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tables/table2.xml" ContentType="application/vnd.openxmlformats-officedocument.spreadsheetml.table+xml"/>
  <Override PartName="/xl/namedSheetViews/namedSheetView2.xml" ContentType="application/vnd.ms-excel.namedsheetviews+xml"/>
  <Override PartName="/xl/tables/table3.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defaultThemeVersion="166925"/>
  <mc:AlternateContent xmlns:mc="http://schemas.openxmlformats.org/markup-compatibility/2006">
    <mc:Choice Requires="x15">
      <x15ac:absPath xmlns:x15ac="http://schemas.microsoft.com/office/spreadsheetml/2010/11/ac" url="https://netorgft9259931.sharepoint.com/sites/KabatTamaulipas/Documentos compartidos/PMIs, Mecánicas, Topos y Shelter/003. Planificación Económica/"/>
    </mc:Choice>
  </mc:AlternateContent>
  <xr:revisionPtr revIDLastSave="20817" documentId="13_ncr:1_{5685EB9C-DB3C-45F4-8EC0-5446B6965D51}" xr6:coauthVersionLast="47" xr6:coauthVersionMax="47" xr10:uidLastSave="{FEED1C1D-4435-47C0-AED4-6C8A8B559678}"/>
  <bookViews>
    <workbookView xWindow="-108" yWindow="-108" windowWidth="23256" windowHeight="13896" tabRatio="779" activeTab="1" xr2:uid="{053CE372-A4A6-44DE-9163-C75726FFC21B}"/>
  </bookViews>
  <sheets>
    <sheet name="Resumen Ejecutivo" sheetId="12" r:id="rId1"/>
    <sheet name="Imput" sheetId="1" r:id="rId2"/>
    <sheet name="Alta Proveedor" sheetId="3" r:id="rId3"/>
    <sheet name="Hoja Auxiliar" sheetId="2" r:id="rId4"/>
    <sheet name="Costo Directo" sheetId="6" r:id="rId5"/>
    <sheet name="Producción" sheetId="7" r:id="rId6"/>
    <sheet name="Indirect Costs" sheetId="5" r:id="rId7"/>
    <sheet name="Control Certificación" sheetId="11" r:id="rId8"/>
    <sheet name="Resultado" sheetId="9" r:id="rId9"/>
  </sheets>
  <definedNames>
    <definedName name="\0" localSheetId="4">#REF!</definedName>
    <definedName name="\0" localSheetId="6">#REF!</definedName>
    <definedName name="\0" localSheetId="5">#REF!</definedName>
    <definedName name="\0" localSheetId="0">#REF!</definedName>
    <definedName name="\0">#REF!</definedName>
    <definedName name="\00" localSheetId="4">#REF!</definedName>
    <definedName name="\00" localSheetId="6">#REF!</definedName>
    <definedName name="\00" localSheetId="5">#REF!</definedName>
    <definedName name="\00" localSheetId="0">#REF!</definedName>
    <definedName name="\00">#REF!</definedName>
    <definedName name="\44333" localSheetId="4">#REF!</definedName>
    <definedName name="\44333" localSheetId="6">#REF!</definedName>
    <definedName name="\44333" localSheetId="5">#REF!</definedName>
    <definedName name="\44333" localSheetId="0">#REF!</definedName>
    <definedName name="\44333">#REF!</definedName>
    <definedName name="\a" localSheetId="4">#REF!</definedName>
    <definedName name="\a" localSheetId="6">#REF!</definedName>
    <definedName name="\a" localSheetId="5">#REF!</definedName>
    <definedName name="\a" localSheetId="0">#REF!</definedName>
    <definedName name="\a">#REF!</definedName>
    <definedName name="\add9a" localSheetId="4">#REF!</definedName>
    <definedName name="\add9a" localSheetId="6">#REF!</definedName>
    <definedName name="\add9a" localSheetId="5">#REF!</definedName>
    <definedName name="\add9a" localSheetId="0">#REF!</definedName>
    <definedName name="\add9a">#REF!</definedName>
    <definedName name="\b" localSheetId="4">#REF!</definedName>
    <definedName name="\b" localSheetId="6">#REF!</definedName>
    <definedName name="\b" localSheetId="5">#REF!</definedName>
    <definedName name="\b" localSheetId="0">#REF!</definedName>
    <definedName name="\b">#REF!</definedName>
    <definedName name="\B1" localSheetId="4">#REF!</definedName>
    <definedName name="\B1" localSheetId="5">#REF!</definedName>
    <definedName name="\B1" localSheetId="0">#REF!</definedName>
    <definedName name="\B1">#REF!</definedName>
    <definedName name="\B10" localSheetId="4">#REF!</definedName>
    <definedName name="\B10" localSheetId="5">#REF!</definedName>
    <definedName name="\B10" localSheetId="0">#REF!</definedName>
    <definedName name="\B10">#REF!</definedName>
    <definedName name="\B11" localSheetId="4">#REF!</definedName>
    <definedName name="\B11" localSheetId="5">#REF!</definedName>
    <definedName name="\B11" localSheetId="0">#REF!</definedName>
    <definedName name="\B11">#REF!</definedName>
    <definedName name="\B12" localSheetId="4">#REF!</definedName>
    <definedName name="\B12" localSheetId="0">#REF!</definedName>
    <definedName name="\B12">#REF!</definedName>
    <definedName name="\B13" localSheetId="4">#REF!</definedName>
    <definedName name="\B13" localSheetId="0">#REF!</definedName>
    <definedName name="\B13">#REF!</definedName>
    <definedName name="\B14" localSheetId="4">#REF!</definedName>
    <definedName name="\B14" localSheetId="0">#REF!</definedName>
    <definedName name="\B14">#REF!</definedName>
    <definedName name="\B2" localSheetId="4">#REF!</definedName>
    <definedName name="\B2" localSheetId="0">#REF!</definedName>
    <definedName name="\B2">#REF!</definedName>
    <definedName name="\B3" localSheetId="4">#REF!</definedName>
    <definedName name="\B3" localSheetId="0">#REF!</definedName>
    <definedName name="\B3">#REF!</definedName>
    <definedName name="\B4" localSheetId="4">#REF!</definedName>
    <definedName name="\B4" localSheetId="0">#REF!</definedName>
    <definedName name="\B4">#REF!</definedName>
    <definedName name="\B5" localSheetId="4">#REF!</definedName>
    <definedName name="\B5" localSheetId="0">#REF!</definedName>
    <definedName name="\B5">#REF!</definedName>
    <definedName name="\B6" localSheetId="4">#REF!</definedName>
    <definedName name="\B6" localSheetId="0">#REF!</definedName>
    <definedName name="\B6">#REF!</definedName>
    <definedName name="\B7" localSheetId="4">#REF!</definedName>
    <definedName name="\B7" localSheetId="0">#REF!</definedName>
    <definedName name="\B7">#REF!</definedName>
    <definedName name="\B8" localSheetId="4">#REF!</definedName>
    <definedName name="\B8" localSheetId="0">#REF!</definedName>
    <definedName name="\B8">#REF!</definedName>
    <definedName name="\B9" localSheetId="4">#REF!</definedName>
    <definedName name="\B9" localSheetId="0">#REF!</definedName>
    <definedName name="\B9">#REF!</definedName>
    <definedName name="\c" localSheetId="4">#REF!</definedName>
    <definedName name="\c" localSheetId="6">#REF!</definedName>
    <definedName name="\c" localSheetId="5">#REF!</definedName>
    <definedName name="\c" localSheetId="0">#REF!</definedName>
    <definedName name="\c">#REF!</definedName>
    <definedName name="\d" localSheetId="4">#REF!</definedName>
    <definedName name="\d" localSheetId="6">#REF!</definedName>
    <definedName name="\d" localSheetId="5">#REF!</definedName>
    <definedName name="\d" localSheetId="0">#REF!</definedName>
    <definedName name="\d">#REF!</definedName>
    <definedName name="\e" localSheetId="4">#REF!</definedName>
    <definedName name="\e" localSheetId="6">#REF!</definedName>
    <definedName name="\e" localSheetId="5">#REF!</definedName>
    <definedName name="\e" localSheetId="0">#REF!</definedName>
    <definedName name="\e">#REF!</definedName>
    <definedName name="\F" localSheetId="4">#REF!</definedName>
    <definedName name="\F" localSheetId="5">#REF!</definedName>
    <definedName name="\F" localSheetId="0">#REF!</definedName>
    <definedName name="\F">#REF!</definedName>
    <definedName name="\G" localSheetId="4">#REF!</definedName>
    <definedName name="\G" localSheetId="5">#REF!</definedName>
    <definedName name="\G" localSheetId="0">#REF!</definedName>
    <definedName name="\G">#REF!</definedName>
    <definedName name="\I">#N/A</definedName>
    <definedName name="\P" localSheetId="4">#REF!</definedName>
    <definedName name="\P" localSheetId="6">#REF!</definedName>
    <definedName name="\P" localSheetId="5">#REF!</definedName>
    <definedName name="\P" localSheetId="0">#REF!</definedName>
    <definedName name="\P">#REF!</definedName>
    <definedName name="\R" localSheetId="4">#REF!</definedName>
    <definedName name="\R" localSheetId="5">#REF!</definedName>
    <definedName name="\R" localSheetId="0">#REF!</definedName>
    <definedName name="\R">#REF!</definedName>
    <definedName name="\s" localSheetId="4">#REF!</definedName>
    <definedName name="\s" localSheetId="6">#REF!</definedName>
    <definedName name="\s" localSheetId="5">#REF!</definedName>
    <definedName name="\s" localSheetId="0">#REF!</definedName>
    <definedName name="\s">#REF!</definedName>
    <definedName name="\T" localSheetId="4">#REF!</definedName>
    <definedName name="\T" localSheetId="5">#REF!</definedName>
    <definedName name="\T" localSheetId="0">#REF!</definedName>
    <definedName name="\T">#REF!</definedName>
    <definedName name="\z" localSheetId="4">#REF!</definedName>
    <definedName name="\z" localSheetId="5">#REF!</definedName>
    <definedName name="\z" localSheetId="0">#REF!</definedName>
    <definedName name="\z">#REF!</definedName>
    <definedName name="\zpr" localSheetId="4">#REF!</definedName>
    <definedName name="\zpr" localSheetId="6">#REF!</definedName>
    <definedName name="\zpr" localSheetId="5">#REF!</definedName>
    <definedName name="\zpr" localSheetId="0">#REF!</definedName>
    <definedName name="\zpr">#REF!</definedName>
    <definedName name="_" localSheetId="4" hidden="1">#REF!</definedName>
    <definedName name="_" localSheetId="6" hidden="1">#REF!</definedName>
    <definedName name="_" localSheetId="5" hidden="1">#REF!</definedName>
    <definedName name="_" localSheetId="0" hidden="1">#REF!</definedName>
    <definedName name="_" hidden="1">#REF!</definedName>
    <definedName name="__" localSheetId="4" hidden="1">#REF!</definedName>
    <definedName name="__" localSheetId="6" hidden="1">#REF!</definedName>
    <definedName name="__" localSheetId="5" hidden="1">#REF!</definedName>
    <definedName name="__" localSheetId="0" hidden="1">#REF!</definedName>
    <definedName name="__" hidden="1">#REF!</definedName>
    <definedName name="___" localSheetId="4" hidden="1">#REF!</definedName>
    <definedName name="___" localSheetId="6" hidden="1">#REF!</definedName>
    <definedName name="___" localSheetId="5" hidden="1">#REF!</definedName>
    <definedName name="___" localSheetId="0" hidden="1">#REF!</definedName>
    <definedName name="___" hidden="1">#REF!</definedName>
    <definedName name="____" localSheetId="4" hidden="1">#REF!</definedName>
    <definedName name="____" localSheetId="6" hidden="1">#REF!</definedName>
    <definedName name="____" localSheetId="5" hidden="1">#REF!</definedName>
    <definedName name="____" localSheetId="0" hidden="1">#REF!</definedName>
    <definedName name="____" hidden="1">#REF!</definedName>
    <definedName name="_____" localSheetId="4" hidden="1">#REF!</definedName>
    <definedName name="_____" localSheetId="6" hidden="1">#REF!</definedName>
    <definedName name="_____" localSheetId="5" hidden="1">#REF!</definedName>
    <definedName name="_____" localSheetId="0" hidden="1">#REF!</definedName>
    <definedName name="_____" hidden="1">#REF!</definedName>
    <definedName name="______" localSheetId="4" hidden="1">#REF!</definedName>
    <definedName name="______" localSheetId="6" hidden="1">#REF!</definedName>
    <definedName name="______" localSheetId="5" hidden="1">#REF!</definedName>
    <definedName name="______" localSheetId="0" hidden="1">#REF!</definedName>
    <definedName name="______" hidden="1">#REF!</definedName>
    <definedName name="_______" localSheetId="4" hidden="1">#REF!</definedName>
    <definedName name="_______" localSheetId="6" hidden="1">#REF!</definedName>
    <definedName name="_______" localSheetId="5" hidden="1">#REF!</definedName>
    <definedName name="_______" localSheetId="0" hidden="1">#REF!</definedName>
    <definedName name="_______" hidden="1">#REF!</definedName>
    <definedName name="________" localSheetId="4" hidden="1">#REF!</definedName>
    <definedName name="________" localSheetId="6" hidden="1">#REF!</definedName>
    <definedName name="________" localSheetId="5" hidden="1">#REF!</definedName>
    <definedName name="________" localSheetId="0" hidden="1">#REF!</definedName>
    <definedName name="________" hidden="1">#REF!</definedName>
    <definedName name="__________C" localSheetId="4">#REF!</definedName>
    <definedName name="__________C" localSheetId="5">#REF!</definedName>
    <definedName name="__________C" localSheetId="0">#REF!</definedName>
    <definedName name="__________C">#REF!</definedName>
    <definedName name="_________C" localSheetId="4">#REF!</definedName>
    <definedName name="_________C" localSheetId="5">#REF!</definedName>
    <definedName name="_________C" localSheetId="0">#REF!</definedName>
    <definedName name="_________C">#REF!</definedName>
    <definedName name="_________xlfn.BAHTTEXT">#NAME?</definedName>
    <definedName name="________C" localSheetId="4">#REF!</definedName>
    <definedName name="________C" localSheetId="5">#REF!</definedName>
    <definedName name="________C" localSheetId="0">#REF!</definedName>
    <definedName name="________C">#REF!</definedName>
    <definedName name="________DAT1" localSheetId="4">#REF!</definedName>
    <definedName name="________DAT1" localSheetId="6">#REF!</definedName>
    <definedName name="________DAT1" localSheetId="5">#REF!</definedName>
    <definedName name="________DAT1" localSheetId="0">#REF!</definedName>
    <definedName name="________DAT1">#REF!</definedName>
    <definedName name="________DAT10" localSheetId="4">#REF!</definedName>
    <definedName name="________DAT10" localSheetId="6">#REF!</definedName>
    <definedName name="________DAT10" localSheetId="5">#REF!</definedName>
    <definedName name="________DAT10" localSheetId="0">#REF!</definedName>
    <definedName name="________DAT10">#REF!</definedName>
    <definedName name="________DAT11" localSheetId="4">#REF!</definedName>
    <definedName name="________DAT11" localSheetId="6">#REF!</definedName>
    <definedName name="________DAT11" localSheetId="5">#REF!</definedName>
    <definedName name="________DAT11" localSheetId="0">#REF!</definedName>
    <definedName name="________DAT11">#REF!</definedName>
    <definedName name="________DAT12" localSheetId="4">#REF!</definedName>
    <definedName name="________DAT12" localSheetId="6">#REF!</definedName>
    <definedName name="________DAT12" localSheetId="5">#REF!</definedName>
    <definedName name="________DAT12" localSheetId="0">#REF!</definedName>
    <definedName name="________DAT12">#REF!</definedName>
    <definedName name="________DAT13" localSheetId="4">#REF!</definedName>
    <definedName name="________DAT13" localSheetId="6">#REF!</definedName>
    <definedName name="________DAT13" localSheetId="5">#REF!</definedName>
    <definedName name="________DAT13" localSheetId="0">#REF!</definedName>
    <definedName name="________DAT13">#REF!</definedName>
    <definedName name="________DAT16" localSheetId="4">#REF!</definedName>
    <definedName name="________DAT16" localSheetId="6">#REF!</definedName>
    <definedName name="________DAT16" localSheetId="5">#REF!</definedName>
    <definedName name="________DAT16" localSheetId="0">#REF!</definedName>
    <definedName name="________DAT16">#REF!</definedName>
    <definedName name="________DAT18" localSheetId="4">#REF!</definedName>
    <definedName name="________DAT18" localSheetId="6">#REF!</definedName>
    <definedName name="________DAT18" localSheetId="5">#REF!</definedName>
    <definedName name="________DAT18" localSheetId="0">#REF!</definedName>
    <definedName name="________DAT18">#REF!</definedName>
    <definedName name="________DAT2" localSheetId="4">#REF!</definedName>
    <definedName name="________DAT2" localSheetId="6">#REF!</definedName>
    <definedName name="________DAT2" localSheetId="5">#REF!</definedName>
    <definedName name="________DAT2" localSheetId="0">#REF!</definedName>
    <definedName name="________DAT2">#REF!</definedName>
    <definedName name="________DAT6" localSheetId="4">#REF!</definedName>
    <definedName name="________DAT6" localSheetId="6">#REF!</definedName>
    <definedName name="________DAT6" localSheetId="5">#REF!</definedName>
    <definedName name="________DAT6" localSheetId="0">#REF!</definedName>
    <definedName name="________DAT6">#REF!</definedName>
    <definedName name="________DAT7" localSheetId="4">#REF!</definedName>
    <definedName name="________DAT7" localSheetId="6">#REF!</definedName>
    <definedName name="________DAT7" localSheetId="5">#REF!</definedName>
    <definedName name="________DAT7" localSheetId="0">#REF!</definedName>
    <definedName name="________DAT7">#REF!</definedName>
    <definedName name="________DAT9" localSheetId="4">#REF!</definedName>
    <definedName name="________DAT9" localSheetId="6">#REF!</definedName>
    <definedName name="________DAT9" localSheetId="5">#REF!</definedName>
    <definedName name="________DAT9" localSheetId="0">#REF!</definedName>
    <definedName name="________DAT9">#REF!</definedName>
    <definedName name="________opl2" localSheetId="4">#REF!-89235.715-1120.75</definedName>
    <definedName name="________opl2" localSheetId="6">#REF!-89235.715-1120.75</definedName>
    <definedName name="________opl2" localSheetId="5">#REF!-89235.715-1120.75</definedName>
    <definedName name="________opl2" localSheetId="0">#REF!-89235.715-1120.75</definedName>
    <definedName name="________opl2">#REF!-89235.715-1120.75</definedName>
    <definedName name="________opl2_1" localSheetId="4">#REF!-89235.715-1120.75</definedName>
    <definedName name="________opl2_1" localSheetId="6">#REF!-89235.715-1120.75</definedName>
    <definedName name="________opl2_1" localSheetId="5">#REF!-89235.715-1120.75</definedName>
    <definedName name="________opl2_1" localSheetId="0">#REF!-89235.715-1120.75</definedName>
    <definedName name="________opl2_1">#REF!-89235.715-1120.75</definedName>
    <definedName name="________opl2_2" localSheetId="4">#REF!-89235.715-1120.75</definedName>
    <definedName name="________opl2_2" localSheetId="5">#REF!-89235.715-1120.75</definedName>
    <definedName name="________opl2_2" localSheetId="0">#REF!-89235.715-1120.75</definedName>
    <definedName name="________opl2_2">#REF!-89235.715-1120.75</definedName>
    <definedName name="________opl2_3" localSheetId="4">#REF!-89235.715-1120.75</definedName>
    <definedName name="________opl2_3" localSheetId="0">#REF!-89235.715-1120.75</definedName>
    <definedName name="________opl2_3">#REF!-89235.715-1120.75</definedName>
    <definedName name="________opl2_4" localSheetId="4">#REF!-89235.715-1120.75</definedName>
    <definedName name="________opl2_4" localSheetId="0">#REF!-89235.715-1120.75</definedName>
    <definedName name="________opl2_4">#REF!-89235.715-1120.75</definedName>
    <definedName name="________opl2_5" localSheetId="4">#REF!-89235.715-1120.75</definedName>
    <definedName name="________opl2_5" localSheetId="0">#REF!-89235.715-1120.75</definedName>
    <definedName name="________opl2_5">#REF!-89235.715-1120.75</definedName>
    <definedName name="________Pow1" localSheetId="4">#REF!</definedName>
    <definedName name="________Pow1" localSheetId="0">#REF!</definedName>
    <definedName name="________Pow1">#REF!</definedName>
    <definedName name="________Pow2" localSheetId="4">#REF!</definedName>
    <definedName name="________Pow2" localSheetId="0">#REF!</definedName>
    <definedName name="________Pow2">#REF!</definedName>
    <definedName name="________Pow3" localSheetId="4">#REF!</definedName>
    <definedName name="________Pow3" localSheetId="0">#REF!</definedName>
    <definedName name="________Pow3">#REF!</definedName>
    <definedName name="________WD2" localSheetId="4">#REF!</definedName>
    <definedName name="________WD2" localSheetId="0">#REF!</definedName>
    <definedName name="________WD2">#REF!</definedName>
    <definedName name="________xlfn.BAHTTEXT">#NAME?</definedName>
    <definedName name="_______apo1" localSheetId="4">#REF!</definedName>
    <definedName name="_______apo1" localSheetId="5">#REF!</definedName>
    <definedName name="_______apo1" localSheetId="0">#REF!</definedName>
    <definedName name="_______apo1">#REF!</definedName>
    <definedName name="_______C" localSheetId="4">#REF!</definedName>
    <definedName name="_______C" localSheetId="5">#REF!</definedName>
    <definedName name="_______C" localSheetId="0">#REF!</definedName>
    <definedName name="_______C">#REF!</definedName>
    <definedName name="_______DAT1" localSheetId="4">#REF!</definedName>
    <definedName name="_______DAT1" localSheetId="5">#REF!</definedName>
    <definedName name="_______DAT1" localSheetId="0">#REF!</definedName>
    <definedName name="_______DAT1">#REF!</definedName>
    <definedName name="_______DAT10" localSheetId="4">#REF!</definedName>
    <definedName name="_______DAT10" localSheetId="5">#REF!</definedName>
    <definedName name="_______DAT10" localSheetId="0">#REF!</definedName>
    <definedName name="_______DAT10">#REF!</definedName>
    <definedName name="_______DAT11" localSheetId="4">#REF!</definedName>
    <definedName name="_______DAT11" localSheetId="5">#REF!</definedName>
    <definedName name="_______DAT11" localSheetId="0">#REF!</definedName>
    <definedName name="_______DAT11">#REF!</definedName>
    <definedName name="_______DAT12" localSheetId="4">#REF!</definedName>
    <definedName name="_______DAT12" localSheetId="5">#REF!</definedName>
    <definedName name="_______DAT12" localSheetId="0">#REF!</definedName>
    <definedName name="_______DAT12">#REF!</definedName>
    <definedName name="_______DAT13" localSheetId="4">#REF!</definedName>
    <definedName name="_______DAT13" localSheetId="5">#REF!</definedName>
    <definedName name="_______DAT13" localSheetId="0">#REF!</definedName>
    <definedName name="_______DAT13">#REF!</definedName>
    <definedName name="_______DAT16" localSheetId="4">#REF!</definedName>
    <definedName name="_______DAT16" localSheetId="5">#REF!</definedName>
    <definedName name="_______DAT16" localSheetId="0">#REF!</definedName>
    <definedName name="_______DAT16">#REF!</definedName>
    <definedName name="_______DAT18" localSheetId="4">#REF!</definedName>
    <definedName name="_______DAT18" localSheetId="5">#REF!</definedName>
    <definedName name="_______DAT18" localSheetId="0">#REF!</definedName>
    <definedName name="_______DAT18">#REF!</definedName>
    <definedName name="_______DAT2" localSheetId="4">#REF!</definedName>
    <definedName name="_______DAT2" localSheetId="5">#REF!</definedName>
    <definedName name="_______DAT2" localSheetId="0">#REF!</definedName>
    <definedName name="_______DAT2">#REF!</definedName>
    <definedName name="_______DAT6" localSheetId="4">#REF!</definedName>
    <definedName name="_______DAT6" localSheetId="5">#REF!</definedName>
    <definedName name="_______DAT6" localSheetId="0">#REF!</definedName>
    <definedName name="_______DAT6">#REF!</definedName>
    <definedName name="_______DAT7" localSheetId="4">#REF!</definedName>
    <definedName name="_______DAT7" localSheetId="5">#REF!</definedName>
    <definedName name="_______DAT7" localSheetId="0">#REF!</definedName>
    <definedName name="_______DAT7">#REF!</definedName>
    <definedName name="_______DAT9" localSheetId="4">#REF!</definedName>
    <definedName name="_______DAT9" localSheetId="5">#REF!</definedName>
    <definedName name="_______DAT9" localSheetId="0">#REF!</definedName>
    <definedName name="_______DAT9">#REF!</definedName>
    <definedName name="_______opl2" localSheetId="4">#REF!-89235.715-1120.75</definedName>
    <definedName name="_______opl2" localSheetId="5">#REF!-89235.715-1120.75</definedName>
    <definedName name="_______opl2" localSheetId="0">#REF!-89235.715-1120.75</definedName>
    <definedName name="_______opl2">#REF!-89235.715-1120.75</definedName>
    <definedName name="_______opl2_1" localSheetId="4">#REF!-89235.715-1120.75</definedName>
    <definedName name="_______opl2_1" localSheetId="5">#REF!-89235.715-1120.75</definedName>
    <definedName name="_______opl2_1" localSheetId="0">#REF!-89235.715-1120.75</definedName>
    <definedName name="_______opl2_1">#REF!-89235.715-1120.75</definedName>
    <definedName name="_______opl2_2" localSheetId="4">#REF!-89235.715-1120.75</definedName>
    <definedName name="_______opl2_2" localSheetId="5">#REF!-89235.715-1120.75</definedName>
    <definedName name="_______opl2_2" localSheetId="0">#REF!-89235.715-1120.75</definedName>
    <definedName name="_______opl2_2">#REF!-89235.715-1120.75</definedName>
    <definedName name="_______opl2_3" localSheetId="4">#REF!-89235.715-1120.75</definedName>
    <definedName name="_______opl2_3" localSheetId="0">#REF!-89235.715-1120.75</definedName>
    <definedName name="_______opl2_3">#REF!-89235.715-1120.75</definedName>
    <definedName name="_______opl2_4" localSheetId="4">#REF!-89235.715-1120.75</definedName>
    <definedName name="_______opl2_4" localSheetId="0">#REF!-89235.715-1120.75</definedName>
    <definedName name="_______opl2_4">#REF!-89235.715-1120.75</definedName>
    <definedName name="_______opl2_5" localSheetId="4">#REF!-89235.715-1120.75</definedName>
    <definedName name="_______opl2_5" localSheetId="0">#REF!-89235.715-1120.75</definedName>
    <definedName name="_______opl2_5">#REF!-89235.715-1120.75</definedName>
    <definedName name="_______Pow1" localSheetId="4">#REF!</definedName>
    <definedName name="_______Pow1" localSheetId="0">#REF!</definedName>
    <definedName name="_______Pow1">#REF!</definedName>
    <definedName name="_______Pow2" localSheetId="4">#REF!</definedName>
    <definedName name="_______Pow2" localSheetId="0">#REF!</definedName>
    <definedName name="_______Pow2">#REF!</definedName>
    <definedName name="_______Pow3" localSheetId="4">#REF!</definedName>
    <definedName name="_______Pow3" localSheetId="0">#REF!</definedName>
    <definedName name="_______Pow3">#REF!</definedName>
    <definedName name="_______r" localSheetId="4">#REF!</definedName>
    <definedName name="_______r" localSheetId="0">#REF!</definedName>
    <definedName name="_______r">#REF!</definedName>
    <definedName name="_______WD10" localSheetId="4">#REF!</definedName>
    <definedName name="_______WD10" localSheetId="5">#REF!</definedName>
    <definedName name="_______WD10" localSheetId="0">#REF!</definedName>
    <definedName name="_______WD10">#REF!</definedName>
    <definedName name="_______WD2" localSheetId="4">#REF!</definedName>
    <definedName name="_______WD2" localSheetId="5">#REF!</definedName>
    <definedName name="_______WD2" localSheetId="0">#REF!</definedName>
    <definedName name="_______WD2">#REF!</definedName>
    <definedName name="_______xlfn.BAHTTEXT">#NAME?</definedName>
    <definedName name="_______xlnm.Print_Area_1">#N/A</definedName>
    <definedName name="______apo1" localSheetId="4">#REF!</definedName>
    <definedName name="______apo1" localSheetId="5">#REF!</definedName>
    <definedName name="______apo1" localSheetId="0">#REF!</definedName>
    <definedName name="______apo1">#REF!</definedName>
    <definedName name="______apo7" localSheetId="4" hidden="1">#REF!</definedName>
    <definedName name="______apo7" localSheetId="5" hidden="1">#REF!</definedName>
    <definedName name="______apo7" localSheetId="0" hidden="1">#REF!</definedName>
    <definedName name="______apo7" hidden="1">#REF!</definedName>
    <definedName name="______bet5" localSheetId="0">#REF!</definedName>
    <definedName name="______bet5">#REF!</definedName>
    <definedName name="______bwu2" localSheetId="0">#REF!</definedName>
    <definedName name="______bwu2">#REF!</definedName>
    <definedName name="______C" localSheetId="4">#REF!</definedName>
    <definedName name="______C" localSheetId="5">#REF!</definedName>
    <definedName name="______C" localSheetId="0">#REF!</definedName>
    <definedName name="______C">#REF!</definedName>
    <definedName name="______chf1" localSheetId="0">#REF!</definedName>
    <definedName name="______chf1">#REF!</definedName>
    <definedName name="______DAT1" localSheetId="4">#REF!</definedName>
    <definedName name="______DAT1" localSheetId="5">#REF!</definedName>
    <definedName name="______DAT1" localSheetId="0">#REF!</definedName>
    <definedName name="______DAT1">#REF!</definedName>
    <definedName name="______DAT10" localSheetId="4">#REF!</definedName>
    <definedName name="______DAT10" localSheetId="5">#REF!</definedName>
    <definedName name="______DAT10" localSheetId="0">#REF!</definedName>
    <definedName name="______DAT10">#REF!</definedName>
    <definedName name="______DAT11" localSheetId="4">#REF!</definedName>
    <definedName name="______DAT11" localSheetId="5">#REF!</definedName>
    <definedName name="______DAT11" localSheetId="0">#REF!</definedName>
    <definedName name="______DAT11">#REF!</definedName>
    <definedName name="______DAT12" localSheetId="4">#REF!</definedName>
    <definedName name="______DAT12" localSheetId="5">#REF!</definedName>
    <definedName name="______DAT12" localSheetId="0">#REF!</definedName>
    <definedName name="______DAT12">#REF!</definedName>
    <definedName name="______DAT13" localSheetId="4">#REF!</definedName>
    <definedName name="______DAT13" localSheetId="5">#REF!</definedName>
    <definedName name="______DAT13" localSheetId="0">#REF!</definedName>
    <definedName name="______DAT13">#REF!</definedName>
    <definedName name="______DAT16" localSheetId="4">#REF!</definedName>
    <definedName name="______DAT16" localSheetId="5">#REF!</definedName>
    <definedName name="______DAT16" localSheetId="0">#REF!</definedName>
    <definedName name="______DAT16">#REF!</definedName>
    <definedName name="______DAT18" localSheetId="4">#REF!</definedName>
    <definedName name="______DAT18" localSheetId="5">#REF!</definedName>
    <definedName name="______DAT18" localSheetId="0">#REF!</definedName>
    <definedName name="______DAT18">#REF!</definedName>
    <definedName name="______DAT2" localSheetId="4">#REF!</definedName>
    <definedName name="______DAT2" localSheetId="5">#REF!</definedName>
    <definedName name="______DAT2" localSheetId="0">#REF!</definedName>
    <definedName name="______DAT2">#REF!</definedName>
    <definedName name="______DAT6" localSheetId="4">#REF!</definedName>
    <definedName name="______DAT6" localSheetId="5">#REF!</definedName>
    <definedName name="______DAT6" localSheetId="0">#REF!</definedName>
    <definedName name="______DAT6">#REF!</definedName>
    <definedName name="______DAT7" localSheetId="4">#REF!</definedName>
    <definedName name="______DAT7" localSheetId="5">#REF!</definedName>
    <definedName name="______DAT7" localSheetId="0">#REF!</definedName>
    <definedName name="______DAT7">#REF!</definedName>
    <definedName name="______DAT9" localSheetId="4">#REF!</definedName>
    <definedName name="______DAT9" localSheetId="5">#REF!</definedName>
    <definedName name="______DAT9" localSheetId="0">#REF!</definedName>
    <definedName name="______DAT9">#REF!</definedName>
    <definedName name="______dyl1" localSheetId="0">#REF!</definedName>
    <definedName name="______dyl1">#REF!</definedName>
    <definedName name="______opl2" localSheetId="4">#REF!-89235.715-1120.75</definedName>
    <definedName name="______opl2" localSheetId="5">#REF!-89235.715-1120.75</definedName>
    <definedName name="______opl2" localSheetId="0">#REF!-89235.715-1120.75</definedName>
    <definedName name="______opl2">#REF!-89235.715-1120.75</definedName>
    <definedName name="______opl2_1" localSheetId="4">#REF!-89235.715-1120.75</definedName>
    <definedName name="______opl2_1" localSheetId="5">#REF!-89235.715-1120.75</definedName>
    <definedName name="______opl2_1" localSheetId="0">#REF!-89235.715-1120.75</definedName>
    <definedName name="______opl2_1">#REF!-89235.715-1120.75</definedName>
    <definedName name="______opl2_2" localSheetId="4">#REF!-89235.715-1120.75</definedName>
    <definedName name="______opl2_2" localSheetId="5">#REF!-89235.715-1120.75</definedName>
    <definedName name="______opl2_2" localSheetId="0">#REF!-89235.715-1120.75</definedName>
    <definedName name="______opl2_2">#REF!-89235.715-1120.75</definedName>
    <definedName name="______pal1" localSheetId="4">#REF!</definedName>
    <definedName name="______pal1" localSheetId="5">#REF!</definedName>
    <definedName name="______pal1" localSheetId="0">#REF!</definedName>
    <definedName name="______pal1">#REF!</definedName>
    <definedName name="______pal2" localSheetId="4">#REF!</definedName>
    <definedName name="______pal2" localSheetId="5">#REF!</definedName>
    <definedName name="______pal2" localSheetId="0">#REF!</definedName>
    <definedName name="______pal2">#REF!</definedName>
    <definedName name="______pas1" localSheetId="0">#REF!</definedName>
    <definedName name="______pas1">#REF!</definedName>
    <definedName name="______pas2" localSheetId="4" hidden="1">#REF!</definedName>
    <definedName name="______pas2" localSheetId="5" hidden="1">#REF!</definedName>
    <definedName name="______pas2" localSheetId="0" hidden="1">#REF!</definedName>
    <definedName name="______pas2" hidden="1">#REF!</definedName>
    <definedName name="______PAS5" localSheetId="4">#REF!</definedName>
    <definedName name="______PAS5" localSheetId="5">#REF!</definedName>
    <definedName name="______PAS5" localSheetId="0">#REF!</definedName>
    <definedName name="______PAS5">#REF!</definedName>
    <definedName name="______por1" localSheetId="0">#REF!</definedName>
    <definedName name="______por1">#REF!</definedName>
    <definedName name="______por2" localSheetId="0">#REF!</definedName>
    <definedName name="______por2">#REF!</definedName>
    <definedName name="______por3" localSheetId="0">#REF!</definedName>
    <definedName name="______por3">#REF!</definedName>
    <definedName name="______Pow1" localSheetId="4">#REF!</definedName>
    <definedName name="______Pow1" localSheetId="5">#REF!</definedName>
    <definedName name="______Pow1" localSheetId="0">#REF!</definedName>
    <definedName name="______Pow1">#REF!</definedName>
    <definedName name="______Pow2" localSheetId="4">#REF!</definedName>
    <definedName name="______Pow2" localSheetId="5">#REF!</definedName>
    <definedName name="______Pow2" localSheetId="0">#REF!</definedName>
    <definedName name="______Pow2">#REF!</definedName>
    <definedName name="______Pow3" localSheetId="4">#REF!</definedName>
    <definedName name="______Pow3" localSheetId="5">#REF!</definedName>
    <definedName name="______Pow3" localSheetId="0">#REF!</definedName>
    <definedName name="______Pow3">#REF!</definedName>
    <definedName name="______r" localSheetId="4">#REF!</definedName>
    <definedName name="______r" localSheetId="0">#REF!</definedName>
    <definedName name="______r">#REF!</definedName>
    <definedName name="______rok2003" localSheetId="0">#REF!</definedName>
    <definedName name="______rok2003">#REF!</definedName>
    <definedName name="______rok2004" localSheetId="0">#REF!</definedName>
    <definedName name="______rok2004">#REF!</definedName>
    <definedName name="______rok2005" localSheetId="0">#REF!</definedName>
    <definedName name="______rok2005">#REF!</definedName>
    <definedName name="______s21" localSheetId="4" hidden="1">#REF!</definedName>
    <definedName name="______s21" localSheetId="5" hidden="1">#REF!</definedName>
    <definedName name="______s21" localSheetId="0" hidden="1">#REF!</definedName>
    <definedName name="______s21" hidden="1">#REF!</definedName>
    <definedName name="______se1" localSheetId="0">#REF!</definedName>
    <definedName name="______se1">#REF!</definedName>
    <definedName name="______se2" localSheetId="0">#REF!</definedName>
    <definedName name="______se2">#REF!</definedName>
    <definedName name="______se3" localSheetId="0">#REF!</definedName>
    <definedName name="______se3">#REF!</definedName>
    <definedName name="______WD10" localSheetId="4">#REF!</definedName>
    <definedName name="______WD10" localSheetId="5">#REF!</definedName>
    <definedName name="______WD10" localSheetId="0">#REF!</definedName>
    <definedName name="______WD10">#REF!</definedName>
    <definedName name="______WD2" localSheetId="4">#REF!</definedName>
    <definedName name="______WD2" localSheetId="5">#REF!</definedName>
    <definedName name="______WD2" localSheetId="0">#REF!</definedName>
    <definedName name="______WD2">#REF!</definedName>
    <definedName name="______xlfn.BAHTTEXT">#NAME?</definedName>
    <definedName name="______zb1" localSheetId="0">#REF!</definedName>
    <definedName name="______zb1">#REF!</definedName>
    <definedName name="_____apo1" localSheetId="4">#REF!</definedName>
    <definedName name="_____apo1" localSheetId="5">#REF!</definedName>
    <definedName name="_____apo1" localSheetId="0">#REF!</definedName>
    <definedName name="_____apo1">#REF!</definedName>
    <definedName name="_____apo7" localSheetId="4" hidden="1">#REF!</definedName>
    <definedName name="_____apo7" localSheetId="5" hidden="1">#REF!</definedName>
    <definedName name="_____apo7" localSheetId="0" hidden="1">#REF!</definedName>
    <definedName name="_____apo7" hidden="1">#REF!</definedName>
    <definedName name="_____bet5" localSheetId="0">#REF!</definedName>
    <definedName name="_____bet5">#REF!</definedName>
    <definedName name="_____bwu2" localSheetId="0">#REF!</definedName>
    <definedName name="_____bwu2">#REF!</definedName>
    <definedName name="_____C" localSheetId="4">#REF!</definedName>
    <definedName name="_____C" localSheetId="5">#REF!</definedName>
    <definedName name="_____C" localSheetId="0">#REF!</definedName>
    <definedName name="_____C">#REF!</definedName>
    <definedName name="_____chf1" localSheetId="0">#REF!</definedName>
    <definedName name="_____chf1">#REF!</definedName>
    <definedName name="_____DAT1" localSheetId="4">#REF!</definedName>
    <definedName name="_____DAT1" localSheetId="5">#REF!</definedName>
    <definedName name="_____DAT1" localSheetId="0">#REF!</definedName>
    <definedName name="_____DAT1">#REF!</definedName>
    <definedName name="_____DAT10" localSheetId="4">#REF!</definedName>
    <definedName name="_____DAT10" localSheetId="5">#REF!</definedName>
    <definedName name="_____DAT10" localSheetId="0">#REF!</definedName>
    <definedName name="_____DAT10">#REF!</definedName>
    <definedName name="_____DAT11" localSheetId="4">#REF!</definedName>
    <definedName name="_____DAT11" localSheetId="5">#REF!</definedName>
    <definedName name="_____DAT11" localSheetId="0">#REF!</definedName>
    <definedName name="_____DAT11">#REF!</definedName>
    <definedName name="_____DAT12" localSheetId="4">#REF!</definedName>
    <definedName name="_____DAT12" localSheetId="0">#REF!</definedName>
    <definedName name="_____DAT12">#REF!</definedName>
    <definedName name="_____DAT13" localSheetId="4">#REF!</definedName>
    <definedName name="_____DAT13" localSheetId="0">#REF!</definedName>
    <definedName name="_____DAT13">#REF!</definedName>
    <definedName name="_____DAT16" localSheetId="4">#REF!</definedName>
    <definedName name="_____DAT16" localSheetId="0">#REF!</definedName>
    <definedName name="_____DAT16">#REF!</definedName>
    <definedName name="_____DAT18" localSheetId="4">#REF!</definedName>
    <definedName name="_____DAT18" localSheetId="0">#REF!</definedName>
    <definedName name="_____DAT18">#REF!</definedName>
    <definedName name="_____DAT2" localSheetId="4">#REF!</definedName>
    <definedName name="_____DAT2" localSheetId="0">#REF!</definedName>
    <definedName name="_____DAT2">#REF!</definedName>
    <definedName name="_____DAT6" localSheetId="4">#REF!</definedName>
    <definedName name="_____DAT6" localSheetId="0">#REF!</definedName>
    <definedName name="_____DAT6">#REF!</definedName>
    <definedName name="_____DAT7" localSheetId="4">#REF!</definedName>
    <definedName name="_____DAT7" localSheetId="0">#REF!</definedName>
    <definedName name="_____DAT7">#REF!</definedName>
    <definedName name="_____DAT9" localSheetId="4">#REF!</definedName>
    <definedName name="_____DAT9" localSheetId="0">#REF!</definedName>
    <definedName name="_____DAT9">#REF!</definedName>
    <definedName name="_____dyl1" localSheetId="0">#REF!</definedName>
    <definedName name="_____dyl1">#REF!</definedName>
    <definedName name="_____opl2" localSheetId="4">#REF!-89235.715-1120.75</definedName>
    <definedName name="_____opl2" localSheetId="5">#REF!-89235.715-1120.75</definedName>
    <definedName name="_____opl2" localSheetId="0">#REF!-89235.715-1120.75</definedName>
    <definedName name="_____opl2">#REF!-89235.715-1120.75</definedName>
    <definedName name="_____opl2_1" localSheetId="4">#REF!-89235.715-1120.75</definedName>
    <definedName name="_____opl2_1" localSheetId="5">#REF!-89235.715-1120.75</definedName>
    <definedName name="_____opl2_1" localSheetId="0">#REF!-89235.715-1120.75</definedName>
    <definedName name="_____opl2_1">#REF!-89235.715-1120.75</definedName>
    <definedName name="_____opl2_2" localSheetId="4">#REF!-89235.715-1120.75</definedName>
    <definedName name="_____opl2_2" localSheetId="5">#REF!-89235.715-1120.75</definedName>
    <definedName name="_____opl2_2" localSheetId="0">#REF!-89235.715-1120.75</definedName>
    <definedName name="_____opl2_2">#REF!-89235.715-1120.75</definedName>
    <definedName name="_____pal1" localSheetId="4">#REF!</definedName>
    <definedName name="_____pal1" localSheetId="5">#REF!</definedName>
    <definedName name="_____pal1" localSheetId="0">#REF!</definedName>
    <definedName name="_____pal1">#REF!</definedName>
    <definedName name="_____pal2" localSheetId="4">#REF!</definedName>
    <definedName name="_____pal2" localSheetId="5">#REF!</definedName>
    <definedName name="_____pal2" localSheetId="0">#REF!</definedName>
    <definedName name="_____pal2">#REF!</definedName>
    <definedName name="_____pas1" localSheetId="0">#REF!</definedName>
    <definedName name="_____pas1">#REF!</definedName>
    <definedName name="_____pas2" localSheetId="4" hidden="1">#REF!</definedName>
    <definedName name="_____pas2" localSheetId="5" hidden="1">#REF!</definedName>
    <definedName name="_____pas2" localSheetId="0" hidden="1">#REF!</definedName>
    <definedName name="_____pas2" hidden="1">#REF!</definedName>
    <definedName name="_____PAS5" localSheetId="4">#REF!</definedName>
    <definedName name="_____PAS5" localSheetId="5">#REF!</definedName>
    <definedName name="_____PAS5" localSheetId="0">#REF!</definedName>
    <definedName name="_____PAS5">#REF!</definedName>
    <definedName name="_____por1" localSheetId="0">#REF!</definedName>
    <definedName name="_____por1">#REF!</definedName>
    <definedName name="_____por2" localSheetId="0">#REF!</definedName>
    <definedName name="_____por2">#REF!</definedName>
    <definedName name="_____por3" localSheetId="0">#REF!</definedName>
    <definedName name="_____por3">#REF!</definedName>
    <definedName name="_____Pow1" localSheetId="4">#REF!</definedName>
    <definedName name="_____Pow1" localSheetId="5">#REF!</definedName>
    <definedName name="_____Pow1" localSheetId="0">#REF!</definedName>
    <definedName name="_____Pow1">#REF!</definedName>
    <definedName name="_____Pow2" localSheetId="4">#REF!</definedName>
    <definedName name="_____Pow2" localSheetId="5">#REF!</definedName>
    <definedName name="_____Pow2" localSheetId="0">#REF!</definedName>
    <definedName name="_____Pow2">#REF!</definedName>
    <definedName name="_____Pow3" localSheetId="4">#REF!</definedName>
    <definedName name="_____Pow3" localSheetId="5">#REF!</definedName>
    <definedName name="_____Pow3" localSheetId="0">#REF!</definedName>
    <definedName name="_____Pow3">#REF!</definedName>
    <definedName name="_____r" localSheetId="4">#REF!</definedName>
    <definedName name="_____r" localSheetId="0">#REF!</definedName>
    <definedName name="_____r">#REF!</definedName>
    <definedName name="_____rok2003" localSheetId="0">#REF!</definedName>
    <definedName name="_____rok2003">#REF!</definedName>
    <definedName name="_____rok2004" localSheetId="0">#REF!</definedName>
    <definedName name="_____rok2004">#REF!</definedName>
    <definedName name="_____rok2005" localSheetId="0">#REF!</definedName>
    <definedName name="_____rok2005">#REF!</definedName>
    <definedName name="_____s21" localSheetId="4" hidden="1">#REF!</definedName>
    <definedName name="_____s21" localSheetId="5" hidden="1">#REF!</definedName>
    <definedName name="_____s21" localSheetId="0" hidden="1">#REF!</definedName>
    <definedName name="_____s21" hidden="1">#REF!</definedName>
    <definedName name="_____se1" localSheetId="0">#REF!</definedName>
    <definedName name="_____se1">#REF!</definedName>
    <definedName name="_____se2" localSheetId="0">#REF!</definedName>
    <definedName name="_____se2">#REF!</definedName>
    <definedName name="_____se3" localSheetId="0">#REF!</definedName>
    <definedName name="_____se3">#REF!</definedName>
    <definedName name="_____WD2" localSheetId="4">#REF!</definedName>
    <definedName name="_____WD2" localSheetId="5">#REF!</definedName>
    <definedName name="_____WD2" localSheetId="0">#REF!</definedName>
    <definedName name="_____WD2">#REF!</definedName>
    <definedName name="_____xlfn.BAHTTEXT">#NAME?</definedName>
    <definedName name="_____zb1" localSheetId="0">#REF!</definedName>
    <definedName name="_____zb1">#REF!</definedName>
    <definedName name="____apo1" localSheetId="4">#REF!</definedName>
    <definedName name="____apo1" localSheetId="5">#REF!</definedName>
    <definedName name="____apo1" localSheetId="0">#REF!</definedName>
    <definedName name="____apo1">#REF!</definedName>
    <definedName name="____apo7" localSheetId="4" hidden="1">#REF!</definedName>
    <definedName name="____apo7" localSheetId="5" hidden="1">#REF!</definedName>
    <definedName name="____apo7" localSheetId="0" hidden="1">#REF!</definedName>
    <definedName name="____apo7" hidden="1">#REF!</definedName>
    <definedName name="____bet5" localSheetId="0">#REF!</definedName>
    <definedName name="____bet5">#REF!</definedName>
    <definedName name="____bwu2" localSheetId="0">#REF!</definedName>
    <definedName name="____bwu2">#REF!</definedName>
    <definedName name="____C" localSheetId="4">#REF!</definedName>
    <definedName name="____C" localSheetId="5">#REF!</definedName>
    <definedName name="____C" localSheetId="0">#REF!</definedName>
    <definedName name="____C">#REF!</definedName>
    <definedName name="____chf1" localSheetId="0">#REF!</definedName>
    <definedName name="____chf1">#REF!</definedName>
    <definedName name="____dyl1" localSheetId="0">#REF!</definedName>
    <definedName name="____dyl1">#REF!</definedName>
    <definedName name="____mat1" localSheetId="0">#REF!</definedName>
    <definedName name="____mat1">#REF!</definedName>
    <definedName name="____pal1" localSheetId="4">#REF!</definedName>
    <definedName name="____pal1" localSheetId="5">#REF!</definedName>
    <definedName name="____pal1" localSheetId="0">#REF!</definedName>
    <definedName name="____pal1">#REF!</definedName>
    <definedName name="____pal2" localSheetId="4">#REF!</definedName>
    <definedName name="____pal2" localSheetId="5">#REF!</definedName>
    <definedName name="____pal2" localSheetId="0">#REF!</definedName>
    <definedName name="____pal2">#REF!</definedName>
    <definedName name="____pas1" localSheetId="0">#REF!</definedName>
    <definedName name="____pas1">#REF!</definedName>
    <definedName name="____pas2" localSheetId="4" hidden="1">#REF!</definedName>
    <definedName name="____pas2" localSheetId="5" hidden="1">#REF!</definedName>
    <definedName name="____pas2" localSheetId="0" hidden="1">#REF!</definedName>
    <definedName name="____pas2" hidden="1">#REF!</definedName>
    <definedName name="____PAS5" localSheetId="4">#REF!</definedName>
    <definedName name="____PAS5" localSheetId="5">#REF!</definedName>
    <definedName name="____PAS5" localSheetId="0">#REF!</definedName>
    <definedName name="____PAS5">#REF!</definedName>
    <definedName name="____por1" localSheetId="0">#REF!</definedName>
    <definedName name="____por1">#REF!</definedName>
    <definedName name="____por2" localSheetId="0">#REF!</definedName>
    <definedName name="____por2">#REF!</definedName>
    <definedName name="____por3" localSheetId="0">#REF!</definedName>
    <definedName name="____por3">#REF!</definedName>
    <definedName name="____r" localSheetId="4">#REF!</definedName>
    <definedName name="____r" localSheetId="5">#REF!</definedName>
    <definedName name="____r" localSheetId="0">#REF!</definedName>
    <definedName name="____r">#REF!</definedName>
    <definedName name="____rok2003" localSheetId="0">#REF!</definedName>
    <definedName name="____rok2003">#REF!</definedName>
    <definedName name="____rok2004" localSheetId="0">#REF!</definedName>
    <definedName name="____rok2004">#REF!</definedName>
    <definedName name="____rok2005" localSheetId="0">#REF!</definedName>
    <definedName name="____rok2005">#REF!</definedName>
    <definedName name="____s21" localSheetId="4" hidden="1">#REF!</definedName>
    <definedName name="____s21" localSheetId="5" hidden="1">#REF!</definedName>
    <definedName name="____s21" localSheetId="0" hidden="1">#REF!</definedName>
    <definedName name="____s21" hidden="1">#REF!</definedName>
    <definedName name="____se1" localSheetId="0">#REF!</definedName>
    <definedName name="____se1">#REF!</definedName>
    <definedName name="____se2" localSheetId="0">#REF!</definedName>
    <definedName name="____se2">#REF!</definedName>
    <definedName name="____se3" localSheetId="0">#REF!</definedName>
    <definedName name="____se3">#REF!</definedName>
    <definedName name="____WD10" localSheetId="4">#REF!</definedName>
    <definedName name="____WD10" localSheetId="5">#REF!</definedName>
    <definedName name="____WD10" localSheetId="0">#REF!</definedName>
    <definedName name="____WD10">#REF!</definedName>
    <definedName name="____xlfn.BAHTTEXT">#NAME?</definedName>
    <definedName name="____xlnm.Print_Area_1" localSheetId="4">#REF!</definedName>
    <definedName name="____xlnm.Print_Area_1" localSheetId="5">#REF!</definedName>
    <definedName name="____xlnm.Print_Area_1" localSheetId="0">#REF!</definedName>
    <definedName name="____xlnm.Print_Area_1">#REF!</definedName>
    <definedName name="____xlnm.Print_Titles_1">#N/A</definedName>
    <definedName name="____zb1" localSheetId="0">#REF!</definedName>
    <definedName name="____zb1">#REF!</definedName>
    <definedName name="___1Excel_BuiltIn_Print_Area_5_1_1" localSheetId="4">#REF!</definedName>
    <definedName name="___1Excel_BuiltIn_Print_Area_5_1_1" localSheetId="5">#REF!</definedName>
    <definedName name="___1Excel_BuiltIn_Print_Area_5_1_1" localSheetId="0">#REF!</definedName>
    <definedName name="___1Excel_BuiltIn_Print_Area_5_1_1">#REF!</definedName>
    <definedName name="___2Excel_BuiltIn_Print_Area_8_1_1" localSheetId="4">#REF!</definedName>
    <definedName name="___2Excel_BuiltIn_Print_Area_8_1_1" localSheetId="5">#REF!</definedName>
    <definedName name="___2Excel_BuiltIn_Print_Area_8_1_1" localSheetId="0">#REF!</definedName>
    <definedName name="___2Excel_BuiltIn_Print_Area_8_1_1">#REF!</definedName>
    <definedName name="___apo1" localSheetId="4">#REF!</definedName>
    <definedName name="___apo1" localSheetId="5">#REF!</definedName>
    <definedName name="___apo1" localSheetId="0">#REF!</definedName>
    <definedName name="___apo1">#REF!</definedName>
    <definedName name="___apo7" localSheetId="4" hidden="1">#REF!</definedName>
    <definedName name="___apo7" localSheetId="0" hidden="1">#REF!</definedName>
    <definedName name="___apo7" hidden="1">#REF!</definedName>
    <definedName name="___bet5" localSheetId="0">#REF!</definedName>
    <definedName name="___bet5">#REF!</definedName>
    <definedName name="___bwu2" localSheetId="0">#REF!</definedName>
    <definedName name="___bwu2">#REF!</definedName>
    <definedName name="___c" localSheetId="4">#REF!</definedName>
    <definedName name="___c" localSheetId="5">#REF!</definedName>
    <definedName name="___c" localSheetId="0">#REF!</definedName>
    <definedName name="___c">#REF!</definedName>
    <definedName name="___chf1" localSheetId="0">#REF!</definedName>
    <definedName name="___chf1">#REF!</definedName>
    <definedName name="___DAT1" localSheetId="4">#REF!</definedName>
    <definedName name="___DAT1" localSheetId="5">#REF!</definedName>
    <definedName name="___DAT1" localSheetId="0">#REF!</definedName>
    <definedName name="___DAT1">#REF!</definedName>
    <definedName name="___DAT10" localSheetId="4">#REF!</definedName>
    <definedName name="___DAT10" localSheetId="5">#REF!</definedName>
    <definedName name="___DAT10" localSheetId="0">#REF!</definedName>
    <definedName name="___DAT10">#REF!</definedName>
    <definedName name="___DAT11" localSheetId="4">#REF!</definedName>
    <definedName name="___DAT11" localSheetId="5">#REF!</definedName>
    <definedName name="___DAT11" localSheetId="0">#REF!</definedName>
    <definedName name="___DAT11">#REF!</definedName>
    <definedName name="___DAT12" localSheetId="4">#REF!</definedName>
    <definedName name="___DAT12" localSheetId="0">#REF!</definedName>
    <definedName name="___DAT12">#REF!</definedName>
    <definedName name="___DAT13" localSheetId="4">#REF!</definedName>
    <definedName name="___DAT13" localSheetId="0">#REF!</definedName>
    <definedName name="___DAT13">#REF!</definedName>
    <definedName name="___DAT16" localSheetId="4">#REF!</definedName>
    <definedName name="___DAT16" localSheetId="0">#REF!</definedName>
    <definedName name="___DAT16">#REF!</definedName>
    <definedName name="___DAT18" localSheetId="4">#REF!</definedName>
    <definedName name="___DAT18" localSheetId="0">#REF!</definedName>
    <definedName name="___DAT18">#REF!</definedName>
    <definedName name="___DAT2" localSheetId="4">#REF!</definedName>
    <definedName name="___DAT2" localSheetId="0">#REF!</definedName>
    <definedName name="___DAT2">#REF!</definedName>
    <definedName name="___DAT6" localSheetId="4">#REF!</definedName>
    <definedName name="___DAT6" localSheetId="0">#REF!</definedName>
    <definedName name="___DAT6">#REF!</definedName>
    <definedName name="___DAT7" localSheetId="4">#REF!</definedName>
    <definedName name="___DAT7" localSheetId="0">#REF!</definedName>
    <definedName name="___DAT7">#REF!</definedName>
    <definedName name="___DAT9" localSheetId="4">#REF!</definedName>
    <definedName name="___DAT9" localSheetId="0">#REF!</definedName>
    <definedName name="___DAT9">#REF!</definedName>
    <definedName name="___dyl1" localSheetId="0">#REF!</definedName>
    <definedName name="___dyl1">#REF!</definedName>
    <definedName name="___F" localSheetId="4">#REF!</definedName>
    <definedName name="___F" localSheetId="5">#REF!</definedName>
    <definedName name="___F" localSheetId="0">#REF!</definedName>
    <definedName name="___F">#REF!</definedName>
    <definedName name="___od1" localSheetId="4">#REF!</definedName>
    <definedName name="___od1" localSheetId="5">#REF!</definedName>
    <definedName name="___od1" localSheetId="0">#REF!</definedName>
    <definedName name="___od1">#REF!</definedName>
    <definedName name="___od2" localSheetId="4">#REF!</definedName>
    <definedName name="___od2" localSheetId="5">#REF!</definedName>
    <definedName name="___od2" localSheetId="0">#REF!</definedName>
    <definedName name="___od2">#REF!</definedName>
    <definedName name="___od3" localSheetId="4">#REF!</definedName>
    <definedName name="___od3" localSheetId="0">#REF!</definedName>
    <definedName name="___od3">#REF!</definedName>
    <definedName name="___od4" localSheetId="4">#REF!</definedName>
    <definedName name="___od4" localSheetId="0">#REF!</definedName>
    <definedName name="___od4">#REF!</definedName>
    <definedName name="___ods1" localSheetId="4">#REF!</definedName>
    <definedName name="___ods1" localSheetId="0">#REF!</definedName>
    <definedName name="___ods1">#REF!</definedName>
    <definedName name="___ods2" localSheetId="4">#REF!</definedName>
    <definedName name="___ods2" localSheetId="0">#REF!</definedName>
    <definedName name="___ods2">#REF!</definedName>
    <definedName name="___ods3" localSheetId="4">#REF!</definedName>
    <definedName name="___ods3" localSheetId="0">#REF!</definedName>
    <definedName name="___ods3">#REF!</definedName>
    <definedName name="___ods4" localSheetId="4">#REF!</definedName>
    <definedName name="___ods4" localSheetId="0">#REF!</definedName>
    <definedName name="___ods4">#REF!</definedName>
    <definedName name="___opl2" localSheetId="4">#REF!-89235.715-1120.75</definedName>
    <definedName name="___opl2" localSheetId="0">#REF!-89235.715-1120.75</definedName>
    <definedName name="___opl2">#REF!-89235.715-1120.75</definedName>
    <definedName name="___opl2_1" localSheetId="4">#REF!-89235.715-1120.75</definedName>
    <definedName name="___opl2_1" localSheetId="0">#REF!-89235.715-1120.75</definedName>
    <definedName name="___opl2_1">#REF!-89235.715-1120.75</definedName>
    <definedName name="___opl2_2" localSheetId="4">#REF!-89235.715-1120.75</definedName>
    <definedName name="___opl2_2" localSheetId="0">#REF!-89235.715-1120.75</definedName>
    <definedName name="___opl2_2">#REF!-89235.715-1120.75</definedName>
    <definedName name="___pal1" localSheetId="4">#REF!</definedName>
    <definedName name="___pal1" localSheetId="5">#REF!</definedName>
    <definedName name="___pal1" localSheetId="0">#REF!</definedName>
    <definedName name="___pal1">#REF!</definedName>
    <definedName name="___pal2" localSheetId="4">#REF!</definedName>
    <definedName name="___pal2" localSheetId="5">#REF!</definedName>
    <definedName name="___pal2" localSheetId="0">#REF!</definedName>
    <definedName name="___pal2">#REF!</definedName>
    <definedName name="___pas1" localSheetId="0">#REF!</definedName>
    <definedName name="___pas1">#REF!</definedName>
    <definedName name="___pas2" localSheetId="4" hidden="1">#REF!</definedName>
    <definedName name="___pas2" localSheetId="5" hidden="1">#REF!</definedName>
    <definedName name="___pas2" localSheetId="0" hidden="1">#REF!</definedName>
    <definedName name="___pas2" hidden="1">#REF!</definedName>
    <definedName name="___PAS5" localSheetId="4">#REF!</definedName>
    <definedName name="___PAS5" localSheetId="5">#REF!</definedName>
    <definedName name="___PAS5" localSheetId="0">#REF!</definedName>
    <definedName name="___PAS5">#REF!</definedName>
    <definedName name="___por1" localSheetId="0">#REF!</definedName>
    <definedName name="___por1">#REF!</definedName>
    <definedName name="___por2" localSheetId="0">#REF!</definedName>
    <definedName name="___por2">#REF!</definedName>
    <definedName name="___por3" localSheetId="0">#REF!</definedName>
    <definedName name="___por3">#REF!</definedName>
    <definedName name="___Pow1" localSheetId="4">#REF!</definedName>
    <definedName name="___Pow1" localSheetId="5">#REF!</definedName>
    <definedName name="___Pow1" localSheetId="0">#REF!</definedName>
    <definedName name="___Pow1">#REF!</definedName>
    <definedName name="___Pow2" localSheetId="4">#REF!</definedName>
    <definedName name="___Pow2" localSheetId="5">#REF!</definedName>
    <definedName name="___Pow2" localSheetId="0">#REF!</definedName>
    <definedName name="___Pow2">#REF!</definedName>
    <definedName name="___Pow3" localSheetId="4">#REF!</definedName>
    <definedName name="___Pow3" localSheetId="5">#REF!</definedName>
    <definedName name="___Pow3" localSheetId="0">#REF!</definedName>
    <definedName name="___Pow3">#REF!</definedName>
    <definedName name="___r" localSheetId="4">#REF!</definedName>
    <definedName name="___r" localSheetId="0">#REF!</definedName>
    <definedName name="___r">#REF!</definedName>
    <definedName name="___rok2003" localSheetId="0">#REF!</definedName>
    <definedName name="___rok2003">#REF!</definedName>
    <definedName name="___rok2004" localSheetId="0">#REF!</definedName>
    <definedName name="___rok2004">#REF!</definedName>
    <definedName name="___rok2005" localSheetId="0">#REF!</definedName>
    <definedName name="___rok2005">#REF!</definedName>
    <definedName name="___s21" localSheetId="4" hidden="1">#REF!</definedName>
    <definedName name="___s21" localSheetId="5" hidden="1">#REF!</definedName>
    <definedName name="___s21" localSheetId="0" hidden="1">#REF!</definedName>
    <definedName name="___s21" hidden="1">#REF!</definedName>
    <definedName name="___se1" localSheetId="0">#REF!</definedName>
    <definedName name="___se1">#REF!</definedName>
    <definedName name="___se2" localSheetId="0">#REF!</definedName>
    <definedName name="___se2">#REF!</definedName>
    <definedName name="___se3" localSheetId="0">#REF!</definedName>
    <definedName name="___se3">#REF!</definedName>
    <definedName name="___WD10" localSheetId="4">#REF!</definedName>
    <definedName name="___WD10" localSheetId="5">#REF!</definedName>
    <definedName name="___WD10" localSheetId="0">#REF!</definedName>
    <definedName name="___WD10">#REF!</definedName>
    <definedName name="___WD2" localSheetId="4">#REF!</definedName>
    <definedName name="___WD2" localSheetId="5">#REF!</definedName>
    <definedName name="___WD2" localSheetId="0">#REF!</definedName>
    <definedName name="___WD2">#REF!</definedName>
    <definedName name="___xlfn.BAHTTEXT">#NAME?</definedName>
    <definedName name="___xlnm.Print_Area_1" localSheetId="4">#REF!</definedName>
    <definedName name="___xlnm.Print_Area_1" localSheetId="5">#REF!</definedName>
    <definedName name="___xlnm.Print_Area_1" localSheetId="0">#REF!</definedName>
    <definedName name="___xlnm.Print_Area_1">#REF!</definedName>
    <definedName name="___zb1" localSheetId="0">#REF!</definedName>
    <definedName name="___zb1">#REF!</definedName>
    <definedName name="__123Graph_A" localSheetId="4" hidden="1">#REF!</definedName>
    <definedName name="__123Graph_A" localSheetId="5" hidden="1">#REF!</definedName>
    <definedName name="__123Graph_A" localSheetId="0" hidden="1">#REF!</definedName>
    <definedName name="__123Graph_A" hidden="1">#REF!</definedName>
    <definedName name="__123Graph_ACORNU" localSheetId="4" hidden="1">#REF!</definedName>
    <definedName name="__123Graph_ACORNU" localSheetId="5" hidden="1">#REF!</definedName>
    <definedName name="__123Graph_ACORNU" localSheetId="0" hidden="1">#REF!</definedName>
    <definedName name="__123Graph_ACORNU" hidden="1">#REF!</definedName>
    <definedName name="__123Graph_ACURRENT" localSheetId="4" hidden="1">#REF!</definedName>
    <definedName name="__123Graph_ACURRENT" localSheetId="5" hidden="1">#REF!</definedName>
    <definedName name="__123Graph_ACURRENT" localSheetId="0" hidden="1">#REF!</definedName>
    <definedName name="__123Graph_ACURRENT" hidden="1">#REF!</definedName>
    <definedName name="__123Graph_AGraph10" localSheetId="4" hidden="1">#REF!</definedName>
    <definedName name="__123Graph_AGraph10" localSheetId="5" hidden="1">#REF!</definedName>
    <definedName name="__123Graph_AGraph10" localSheetId="0" hidden="1">#REF!</definedName>
    <definedName name="__123Graph_AGraph10" hidden="1">#REF!</definedName>
    <definedName name="__123Graph_AGraph11" localSheetId="0" hidden="1">#REF!</definedName>
    <definedName name="__123Graph_AGraph11" hidden="1">#REF!</definedName>
    <definedName name="__123Graph_AGraph12" localSheetId="0" hidden="1">#REF!</definedName>
    <definedName name="__123Graph_AGraph12" hidden="1">#REF!</definedName>
    <definedName name="__123Graph_AGraph13" localSheetId="0" hidden="1">#REF!</definedName>
    <definedName name="__123Graph_AGraph13" hidden="1">#REF!</definedName>
    <definedName name="__123Graph_AGraph14" localSheetId="0" hidden="1">#REF!</definedName>
    <definedName name="__123Graph_AGraph14" hidden="1">#REF!</definedName>
    <definedName name="__123Graph_AGraph15" localSheetId="0" hidden="1">#REF!</definedName>
    <definedName name="__123Graph_AGraph15" hidden="1">#REF!</definedName>
    <definedName name="__123Graph_AGraph16" localSheetId="0" hidden="1">#REF!</definedName>
    <definedName name="__123Graph_AGraph16" hidden="1">#REF!</definedName>
    <definedName name="__123Graph_AGraph17" localSheetId="0" hidden="1">#REF!</definedName>
    <definedName name="__123Graph_AGraph17" hidden="1">#REF!</definedName>
    <definedName name="__123Graph_AGraph18" localSheetId="0" hidden="1">#REF!</definedName>
    <definedName name="__123Graph_AGraph18" hidden="1">#REF!</definedName>
    <definedName name="__123Graph_AGraph2" localSheetId="0" hidden="1">#REF!</definedName>
    <definedName name="__123Graph_AGraph2" hidden="1">#REF!</definedName>
    <definedName name="__123Graph_AGraph3" localSheetId="0" hidden="1">#REF!</definedName>
    <definedName name="__123Graph_AGraph3" hidden="1">#REF!</definedName>
    <definedName name="__123Graph_AGraph4" localSheetId="0" hidden="1">#REF!</definedName>
    <definedName name="__123Graph_AGraph4" hidden="1">#REF!</definedName>
    <definedName name="__123Graph_AGraph5" localSheetId="0" hidden="1">#REF!</definedName>
    <definedName name="__123Graph_AGraph5" hidden="1">#REF!</definedName>
    <definedName name="__123Graph_AGraph6" localSheetId="0" hidden="1">#REF!</definedName>
    <definedName name="__123Graph_AGraph6" hidden="1">#REF!</definedName>
    <definedName name="__123Graph_AGraph7" localSheetId="0" hidden="1">#REF!</definedName>
    <definedName name="__123Graph_AGraph7" hidden="1">#REF!</definedName>
    <definedName name="__123Graph_AGraph8" localSheetId="0" hidden="1">#REF!</definedName>
    <definedName name="__123Graph_AGraph8" hidden="1">#REF!</definedName>
    <definedName name="__123Graph_AGraph9" localSheetId="0" hidden="1">#REF!</definedName>
    <definedName name="__123Graph_AGraph9" hidden="1">#REF!</definedName>
    <definedName name="__123Graph_ASISTEMAS" localSheetId="0" hidden="1">#REF!</definedName>
    <definedName name="__123Graph_ASISTEMAS" hidden="1">#REF!</definedName>
    <definedName name="__123Graph_B" localSheetId="4" hidden="1">#REF!</definedName>
    <definedName name="__123Graph_B" localSheetId="0" hidden="1">#REF!</definedName>
    <definedName name="__123Graph_B"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URRENT" localSheetId="4" hidden="1">#REF!</definedName>
    <definedName name="__123Graph_BCURRENT" localSheetId="5" hidden="1">#REF!</definedName>
    <definedName name="__123Graph_BCURRENT" localSheetId="0" hidden="1">#REF!</definedName>
    <definedName name="__123Graph_BCURRENT" hidden="1">#REF!</definedName>
    <definedName name="__123Graph_D" localSheetId="4" hidden="1">#REF!</definedName>
    <definedName name="__123Graph_D" localSheetId="5" hidden="1">#REF!</definedName>
    <definedName name="__123Graph_D" localSheetId="0" hidden="1">#REF!</definedName>
    <definedName name="__123Graph_D" hidden="1">#REF!</definedName>
    <definedName name="__123Graph_DCHART1" localSheetId="4"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URRENT" localSheetId="0" hidden="1">#REF!</definedName>
    <definedName name="__123Graph_DCURRENT" hidden="1">#REF!</definedName>
    <definedName name="__123Graph_E" localSheetId="4" hidden="1">#REF!</definedName>
    <definedName name="__123Graph_E" localSheetId="0" hidden="1">#REF!</definedName>
    <definedName name="__123Graph_E" hidden="1">#REF!</definedName>
    <definedName name="__123Graph_F" localSheetId="4" hidden="1">#REF!</definedName>
    <definedName name="__123Graph_F" localSheetId="0" hidden="1">#REF!</definedName>
    <definedName name="__123Graph_F" hidden="1">#REF!</definedName>
    <definedName name="__123Graph_FCHART1" localSheetId="0" hidden="1">#REF!</definedName>
    <definedName name="__123Graph_FCHART1" hidden="1">#REF!</definedName>
    <definedName name="__123Graph_FCHART2" localSheetId="0" hidden="1">#REF!</definedName>
    <definedName name="__123Graph_FCHART2" hidden="1">#REF!</definedName>
    <definedName name="__123Graph_X" localSheetId="4" hidden="1">#REF!</definedName>
    <definedName name="__123Graph_X" localSheetId="0" hidden="1">#REF!</definedName>
    <definedName name="__123Graph_X" hidden="1">#REF!</definedName>
    <definedName name="__123Graph_XCHART1" localSheetId="4"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ORNU" localSheetId="4" hidden="1">#REF!</definedName>
    <definedName name="__123Graph_XCORNU" localSheetId="0" hidden="1">#REF!</definedName>
    <definedName name="__123Graph_XCORNU" hidden="1">#REF!</definedName>
    <definedName name="__123Graph_XCURRENT" localSheetId="4" hidden="1">#REF!</definedName>
    <definedName name="__123Graph_XCURRENT" localSheetId="5" hidden="1">#REF!</definedName>
    <definedName name="__123Graph_XCURRENT" localSheetId="0" hidden="1">#REF!</definedName>
    <definedName name="__123Graph_XCURRENT" hidden="1">#REF!</definedName>
    <definedName name="__123Graph_XGraph10" localSheetId="4" hidden="1">#REF!</definedName>
    <definedName name="__123Graph_XGraph10" localSheetId="5" hidden="1">#REF!</definedName>
    <definedName name="__123Graph_XGraph10" localSheetId="0" hidden="1">#REF!</definedName>
    <definedName name="__123Graph_XGraph10" hidden="1">#REF!</definedName>
    <definedName name="__123Graph_XGraph11" localSheetId="4" hidden="1">#REF!</definedName>
    <definedName name="__123Graph_XGraph11" localSheetId="0" hidden="1">#REF!</definedName>
    <definedName name="__123Graph_XGraph11" hidden="1">#REF!</definedName>
    <definedName name="__123Graph_XGraph12" localSheetId="0" hidden="1">#REF!</definedName>
    <definedName name="__123Graph_XGraph12" hidden="1">#REF!</definedName>
    <definedName name="__123Graph_XGraph13" localSheetId="0" hidden="1">#REF!</definedName>
    <definedName name="__123Graph_XGraph13" hidden="1">#REF!</definedName>
    <definedName name="__123Graph_XGraph14" localSheetId="0" hidden="1">#REF!</definedName>
    <definedName name="__123Graph_XGraph14" hidden="1">#REF!</definedName>
    <definedName name="__123Graph_XGraph15" localSheetId="0" hidden="1">#REF!</definedName>
    <definedName name="__123Graph_XGraph15" hidden="1">#REF!</definedName>
    <definedName name="__123Graph_XGraph16" localSheetId="0" hidden="1">#REF!</definedName>
    <definedName name="__123Graph_XGraph16" hidden="1">#REF!</definedName>
    <definedName name="__123Graph_XGraph17" localSheetId="0" hidden="1">#REF!</definedName>
    <definedName name="__123Graph_XGraph17" hidden="1">#REF!</definedName>
    <definedName name="__123Graph_XGraph18" localSheetId="0" hidden="1">#REF!</definedName>
    <definedName name="__123Graph_XGraph18" hidden="1">#REF!</definedName>
    <definedName name="__123Graph_XGraph3" localSheetId="0" hidden="1">#REF!</definedName>
    <definedName name="__123Graph_XGraph3" hidden="1">#REF!</definedName>
    <definedName name="__123Graph_XGraph4" localSheetId="0" hidden="1">#REF!</definedName>
    <definedName name="__123Graph_XGraph4" hidden="1">#REF!</definedName>
    <definedName name="__123Graph_XGraph5" localSheetId="0" hidden="1">#REF!</definedName>
    <definedName name="__123Graph_XGraph5" hidden="1">#REF!</definedName>
    <definedName name="__123Graph_XGraph6" localSheetId="0" hidden="1">#REF!</definedName>
    <definedName name="__123Graph_XGraph6" hidden="1">#REF!</definedName>
    <definedName name="__123Graph_XGraph7" localSheetId="0" hidden="1">#REF!</definedName>
    <definedName name="__123Graph_XGraph7" hidden="1">#REF!</definedName>
    <definedName name="__123Graph_XGraph8" localSheetId="0" hidden="1">#REF!</definedName>
    <definedName name="__123Graph_XGraph8" hidden="1">#REF!</definedName>
    <definedName name="__123Graph_XGraph9" localSheetId="0" hidden="1">#REF!</definedName>
    <definedName name="__123Graph_XGraph9" hidden="1">#REF!</definedName>
    <definedName name="__1Excel_BuiltIn_Print_Area_5_1_1" localSheetId="4">#REF!</definedName>
    <definedName name="__1Excel_BuiltIn_Print_Area_5_1_1" localSheetId="5">#REF!</definedName>
    <definedName name="__1Excel_BuiltIn_Print_Area_5_1_1" localSheetId="0">#REF!</definedName>
    <definedName name="__1Excel_BuiltIn_Print_Area_5_1_1">#REF!</definedName>
    <definedName name="__1F" localSheetId="4" hidden="1">#REF!</definedName>
    <definedName name="__1F" localSheetId="5" hidden="1">#REF!</definedName>
    <definedName name="__1F" localSheetId="0" hidden="1">#REF!</definedName>
    <definedName name="__1F" hidden="1">#REF!</definedName>
    <definedName name="__2_0_0_F" localSheetId="4" hidden="1">#REF!</definedName>
    <definedName name="__2_0_0_F" localSheetId="5" hidden="1">#REF!</definedName>
    <definedName name="__2_0_0_F" localSheetId="0" hidden="1">#REF!</definedName>
    <definedName name="__2_0_0_F" hidden="1">#REF!</definedName>
    <definedName name="__2Excel_BuiltIn_Print_Area_8_1_1" localSheetId="4">#REF!</definedName>
    <definedName name="__2Excel_BuiltIn_Print_Area_8_1_1" localSheetId="0">#REF!</definedName>
    <definedName name="__2Excel_BuiltIn_Print_Area_8_1_1">#REF!</definedName>
    <definedName name="__3F" localSheetId="4" hidden="1">#REF!</definedName>
    <definedName name="__3F" localSheetId="0" hidden="1">#REF!</definedName>
    <definedName name="__3F" hidden="1">#REF!</definedName>
    <definedName name="__7_0_0_F" localSheetId="4" hidden="1">#REF!</definedName>
    <definedName name="__7_0_0_F" localSheetId="0" hidden="1">#REF!</definedName>
    <definedName name="__7_0_0_F" hidden="1">#REF!</definedName>
    <definedName name="__apo1" localSheetId="4">#REF!</definedName>
    <definedName name="__apo1" localSheetId="0">#REF!</definedName>
    <definedName name="__apo1">#REF!</definedName>
    <definedName name="__apo7" localSheetId="4" hidden="1">#REF!</definedName>
    <definedName name="__apo7" localSheetId="0" hidden="1">#REF!</definedName>
    <definedName name="__apo7" hidden="1">#REF!</definedName>
    <definedName name="__bet5" localSheetId="0">#REF!</definedName>
    <definedName name="__bet5">#REF!</definedName>
    <definedName name="__bwu2" localSheetId="0">#REF!</definedName>
    <definedName name="__bwu2">#REF!</definedName>
    <definedName name="__c" localSheetId="4">#REF!</definedName>
    <definedName name="__c" localSheetId="5">#REF!</definedName>
    <definedName name="__c" localSheetId="0">#REF!</definedName>
    <definedName name="__c">#REF!</definedName>
    <definedName name="__chf1" localSheetId="0">#REF!</definedName>
    <definedName name="__chf1">#REF!</definedName>
    <definedName name="__DAT1" localSheetId="4">#REF!</definedName>
    <definedName name="__DAT1" localSheetId="5">#REF!</definedName>
    <definedName name="__DAT1" localSheetId="0">#REF!</definedName>
    <definedName name="__DAT1">#REF!</definedName>
    <definedName name="__DAT10" localSheetId="4">#REF!</definedName>
    <definedName name="__DAT10" localSheetId="5">#REF!</definedName>
    <definedName name="__DAT10" localSheetId="0">#REF!</definedName>
    <definedName name="__DAT10">#REF!</definedName>
    <definedName name="__DAT11" localSheetId="4">#REF!</definedName>
    <definedName name="__DAT11" localSheetId="5">#REF!</definedName>
    <definedName name="__DAT11" localSheetId="0">#REF!</definedName>
    <definedName name="__DAT11">#REF!</definedName>
    <definedName name="__DAT12" localSheetId="4">#REF!</definedName>
    <definedName name="__DAT12" localSheetId="0">#REF!</definedName>
    <definedName name="__DAT12">#REF!</definedName>
    <definedName name="__DAT13" localSheetId="4">#REF!</definedName>
    <definedName name="__DAT13" localSheetId="0">#REF!</definedName>
    <definedName name="__DAT13">#REF!</definedName>
    <definedName name="__DAT16" localSheetId="4">#REF!</definedName>
    <definedName name="__DAT16" localSheetId="0">#REF!</definedName>
    <definedName name="__DAT16">#REF!</definedName>
    <definedName name="__DAT18" localSheetId="4">#REF!</definedName>
    <definedName name="__DAT18" localSheetId="0">#REF!</definedName>
    <definedName name="__DAT18">#REF!</definedName>
    <definedName name="__DAT2" localSheetId="4">#REF!</definedName>
    <definedName name="__DAT2" localSheetId="0">#REF!</definedName>
    <definedName name="__DAT2">#REF!</definedName>
    <definedName name="__DAT6" localSheetId="4">#REF!</definedName>
    <definedName name="__DAT6" localSheetId="0">#REF!</definedName>
    <definedName name="__DAT6">#REF!</definedName>
    <definedName name="__DAT7" localSheetId="4">#REF!</definedName>
    <definedName name="__DAT7" localSheetId="0">#REF!</definedName>
    <definedName name="__DAT7">#REF!</definedName>
    <definedName name="__DAT9" localSheetId="4">#REF!</definedName>
    <definedName name="__DAT9" localSheetId="0">#REF!</definedName>
    <definedName name="__DAT9">#REF!</definedName>
    <definedName name="__dyl1" localSheetId="0">#REF!</definedName>
    <definedName name="__dyl1">#REF!</definedName>
    <definedName name="__FHE7" localSheetId="4" hidden="1">{#N/A,#N/A,FALSE,"masez (10)";#N/A,#N/A,FALSE,"masez (7)";#N/A,#N/A,FALSE,"masez (6)";#N/A,#N/A,FALSE,"masez (5)";#N/A,#N/A,FALSE,"masez (4)";#N/A,#N/A,FALSE,"masez (3)";#N/A,#N/A,FALSE,"masez (2)";#N/A,#N/A,FALSE,"GME";#N/A,#N/A,FALSE,"masez"}</definedName>
    <definedName name="__FHE7" localSheetId="5" hidden="1">{#N/A,#N/A,FALSE,"masez (10)";#N/A,#N/A,FALSE,"masez (7)";#N/A,#N/A,FALSE,"masez (6)";#N/A,#N/A,FALSE,"masez (5)";#N/A,#N/A,FALSE,"masez (4)";#N/A,#N/A,FALSE,"masez (3)";#N/A,#N/A,FALSE,"masez (2)";#N/A,#N/A,FALSE,"GME";#N/A,#N/A,FALSE,"masez"}</definedName>
    <definedName name="__FHE7" localSheetId="0" hidden="1">{#N/A,#N/A,FALSE,"masez (10)";#N/A,#N/A,FALSE,"masez (7)";#N/A,#N/A,FALSE,"masez (6)";#N/A,#N/A,FALSE,"masez (5)";#N/A,#N/A,FALSE,"masez (4)";#N/A,#N/A,FALSE,"masez (3)";#N/A,#N/A,FALSE,"masez (2)";#N/A,#N/A,FALSE,"GME";#N/A,#N/A,FALSE,"masez"}</definedName>
    <definedName name="__FHE7" hidden="1">{#N/A,#N/A,FALSE,"masez (10)";#N/A,#N/A,FALSE,"masez (7)";#N/A,#N/A,FALSE,"masez (6)";#N/A,#N/A,FALSE,"masez (5)";#N/A,#N/A,FALSE,"masez (4)";#N/A,#N/A,FALSE,"masez (3)";#N/A,#N/A,FALSE,"masez (2)";#N/A,#N/A,FALSE,"GME";#N/A,#N/A,FALSE,"masez"}</definedName>
    <definedName name="__gl1" localSheetId="4" hidden="1">{#N/A,#N/A,FALSE,"Total_OC015";#N/A,#N/A,FALSE,"ADMIN";#N/A,#N/A,FALSE,"PROCES";#N/A,#N/A,FALSE,"mecan";#N/A,#N/A,FALSE,"civil";#N/A,#N/A,FALSE,"CAÑER";#N/A,#N/A,FALSE,"ELEC";#N/A,#N/A,FALSE,"INSTR"}</definedName>
    <definedName name="__gl1" localSheetId="5" hidden="1">{#N/A,#N/A,FALSE,"Total_OC015";#N/A,#N/A,FALSE,"ADMIN";#N/A,#N/A,FALSE,"PROCES";#N/A,#N/A,FALSE,"mecan";#N/A,#N/A,FALSE,"civil";#N/A,#N/A,FALSE,"CAÑER";#N/A,#N/A,FALSE,"ELEC";#N/A,#N/A,FALSE,"INSTR"}</definedName>
    <definedName name="__gl1" localSheetId="0" hidden="1">{#N/A,#N/A,FALSE,"Total_OC015";#N/A,#N/A,FALSE,"ADMIN";#N/A,#N/A,FALSE,"PROCES";#N/A,#N/A,FALSE,"mecan";#N/A,#N/A,FALSE,"civil";#N/A,#N/A,FALSE,"CAÑER";#N/A,#N/A,FALSE,"ELEC";#N/A,#N/A,FALSE,"INSTR"}</definedName>
    <definedName name="__gl1" hidden="1">{#N/A,#N/A,FALSE,"Total_OC015";#N/A,#N/A,FALSE,"ADMIN";#N/A,#N/A,FALSE,"PROCES";#N/A,#N/A,FALSE,"mecan";#N/A,#N/A,FALSE,"civil";#N/A,#N/A,FALSE,"CAÑER";#N/A,#N/A,FALSE,"ELEC";#N/A,#N/A,FALSE,"INSTR"}</definedName>
    <definedName name="__GRUP__" localSheetId="4">#REF!</definedName>
    <definedName name="__GRUP__" localSheetId="5">#REF!</definedName>
    <definedName name="__GRUP__" localSheetId="0">#REF!</definedName>
    <definedName name="__GRUP__">#REF!</definedName>
    <definedName name="__jy5" localSheetId="4" hidden="1">{#N/A,#N/A,FALSE,"masez (10)";#N/A,#N/A,FALSE,"masez (7)";#N/A,#N/A,FALSE,"masez (6)";#N/A,#N/A,FALSE,"masez (5)";#N/A,#N/A,FALSE,"masez (4)";#N/A,#N/A,FALSE,"masez (3)";#N/A,#N/A,FALSE,"masez (2)";#N/A,#N/A,FALSE,"GME";#N/A,#N/A,FALSE,"masez"}</definedName>
    <definedName name="__jy5" localSheetId="5" hidden="1">{#N/A,#N/A,FALSE,"masez (10)";#N/A,#N/A,FALSE,"masez (7)";#N/A,#N/A,FALSE,"masez (6)";#N/A,#N/A,FALSE,"masez (5)";#N/A,#N/A,FALSE,"masez (4)";#N/A,#N/A,FALSE,"masez (3)";#N/A,#N/A,FALSE,"masez (2)";#N/A,#N/A,FALSE,"GME";#N/A,#N/A,FALSE,"masez"}</definedName>
    <definedName name="__jy5" localSheetId="0" hidden="1">{#N/A,#N/A,FALSE,"masez (10)";#N/A,#N/A,FALSE,"masez (7)";#N/A,#N/A,FALSE,"masez (6)";#N/A,#N/A,FALSE,"masez (5)";#N/A,#N/A,FALSE,"masez (4)";#N/A,#N/A,FALSE,"masez (3)";#N/A,#N/A,FALSE,"masez (2)";#N/A,#N/A,FALSE,"GME";#N/A,#N/A,FALSE,"masez"}</definedName>
    <definedName name="__jy5" hidden="1">{#N/A,#N/A,FALSE,"masez (10)";#N/A,#N/A,FALSE,"masez (7)";#N/A,#N/A,FALSE,"masez (6)";#N/A,#N/A,FALSE,"masez (5)";#N/A,#N/A,FALSE,"masez (4)";#N/A,#N/A,FALSE,"masez (3)";#N/A,#N/A,FALSE,"masez (2)";#N/A,#N/A,FALSE,"GME";#N/A,#N/A,FALSE,"masez"}</definedName>
    <definedName name="__lot1" localSheetId="4" hidden="1">{#N/A,#N/A,FALSE,"Total_OC015";#N/A,#N/A,FALSE,"ADMIN";#N/A,#N/A,FALSE,"PROCES";#N/A,#N/A,FALSE,"mecan";#N/A,#N/A,FALSE,"civil";#N/A,#N/A,FALSE,"CAÑER";#N/A,#N/A,FALSE,"ELEC";#N/A,#N/A,FALSE,"INSTR"}</definedName>
    <definedName name="__lot1" localSheetId="5" hidden="1">{#N/A,#N/A,FALSE,"Total_OC015";#N/A,#N/A,FALSE,"ADMIN";#N/A,#N/A,FALSE,"PROCES";#N/A,#N/A,FALSE,"mecan";#N/A,#N/A,FALSE,"civil";#N/A,#N/A,FALSE,"CAÑER";#N/A,#N/A,FALSE,"ELEC";#N/A,#N/A,FALSE,"INSTR"}</definedName>
    <definedName name="__lot1" localSheetId="0" hidden="1">{#N/A,#N/A,FALSE,"Total_OC015";#N/A,#N/A,FALSE,"ADMIN";#N/A,#N/A,FALSE,"PROCES";#N/A,#N/A,FALSE,"mecan";#N/A,#N/A,FALSE,"civil";#N/A,#N/A,FALSE,"CAÑER";#N/A,#N/A,FALSE,"ELEC";#N/A,#N/A,FALSE,"INSTR"}</definedName>
    <definedName name="__lot1" hidden="1">{#N/A,#N/A,FALSE,"Total_OC015";#N/A,#N/A,FALSE,"ADMIN";#N/A,#N/A,FALSE,"PROCES";#N/A,#N/A,FALSE,"mecan";#N/A,#N/A,FALSE,"civil";#N/A,#N/A,FALSE,"CAÑER";#N/A,#N/A,FALSE,"ELEC";#N/A,#N/A,FALSE,"INSTR"}</definedName>
    <definedName name="__m1" localSheetId="4">#REF!</definedName>
    <definedName name="__m1" localSheetId="5">#REF!</definedName>
    <definedName name="__m1" localSheetId="0">#REF!</definedName>
    <definedName name="__m1">#REF!</definedName>
    <definedName name="__m2" localSheetId="4">#REF!</definedName>
    <definedName name="__m2" localSheetId="5">#REF!</definedName>
    <definedName name="__m2" localSheetId="0">#REF!</definedName>
    <definedName name="__m2">#REF!</definedName>
    <definedName name="__MAIN__" localSheetId="4">#REF!</definedName>
    <definedName name="__MAIN__" localSheetId="5">#REF!</definedName>
    <definedName name="__MAIN__" localSheetId="0">#REF!</definedName>
    <definedName name="__MAIN__">#REF!</definedName>
    <definedName name="__mat1" localSheetId="4">#REF!</definedName>
    <definedName name="__mat1" localSheetId="0">#REF!</definedName>
    <definedName name="__mat1">#REF!</definedName>
    <definedName name="__od1" localSheetId="4">#REF!</definedName>
    <definedName name="__od1" localSheetId="0">#REF!</definedName>
    <definedName name="__od1">#REF!</definedName>
    <definedName name="__od2" localSheetId="4">#REF!</definedName>
    <definedName name="__od2" localSheetId="0">#REF!</definedName>
    <definedName name="__od2">#REF!</definedName>
    <definedName name="__od3" localSheetId="4">#REF!</definedName>
    <definedName name="__od3" localSheetId="0">#REF!</definedName>
    <definedName name="__od3">#REF!</definedName>
    <definedName name="__od4" localSheetId="4">#REF!</definedName>
    <definedName name="__od4" localSheetId="0">#REF!</definedName>
    <definedName name="__od4">#REF!</definedName>
    <definedName name="__ods1" localSheetId="4">#REF!</definedName>
    <definedName name="__ods1" localSheetId="0">#REF!</definedName>
    <definedName name="__ods1">#REF!</definedName>
    <definedName name="__ods2" localSheetId="4">#REF!</definedName>
    <definedName name="__ods2" localSheetId="0">#REF!</definedName>
    <definedName name="__ods2">#REF!</definedName>
    <definedName name="__ods3" localSheetId="4">#REF!</definedName>
    <definedName name="__ods3" localSheetId="0">#REF!</definedName>
    <definedName name="__ods3">#REF!</definedName>
    <definedName name="__ods4" localSheetId="4">#REF!</definedName>
    <definedName name="__ods4" localSheetId="0">#REF!</definedName>
    <definedName name="__ods4">#REF!</definedName>
    <definedName name="__opl2" localSheetId="4">#REF!-89235.715-1120.75</definedName>
    <definedName name="__opl2" localSheetId="0">#REF!-89235.715-1120.75</definedName>
    <definedName name="__opl2">#REF!-89235.715-1120.75</definedName>
    <definedName name="__opl2_1" localSheetId="4">#REF!-89235.715-1120.75</definedName>
    <definedName name="__opl2_1" localSheetId="0">#REF!-89235.715-1120.75</definedName>
    <definedName name="__opl2_1">#REF!-89235.715-1120.75</definedName>
    <definedName name="__opl2_2" localSheetId="4">#REF!-89235.715-1120.75</definedName>
    <definedName name="__opl2_2" localSheetId="0">#REF!-89235.715-1120.75</definedName>
    <definedName name="__opl2_2">#REF!-89235.715-1120.75</definedName>
    <definedName name="__p1" localSheetId="4">#REF!</definedName>
    <definedName name="__p1" localSheetId="0">#REF!</definedName>
    <definedName name="__p1">#REF!</definedName>
    <definedName name="__pal1" localSheetId="4">#REF!</definedName>
    <definedName name="__pal1" localSheetId="5">#REF!</definedName>
    <definedName name="__pal1" localSheetId="0">#REF!</definedName>
    <definedName name="__pal1">#REF!</definedName>
    <definedName name="__pal2" localSheetId="4">#REF!</definedName>
    <definedName name="__pal2" localSheetId="5">#REF!</definedName>
    <definedName name="__pal2" localSheetId="0">#REF!</definedName>
    <definedName name="__pal2">#REF!</definedName>
    <definedName name="__pas1" localSheetId="0">#REF!</definedName>
    <definedName name="__pas1">#REF!</definedName>
    <definedName name="__pas2" localSheetId="4" hidden="1">#REF!</definedName>
    <definedName name="__pas2" localSheetId="5" hidden="1">#REF!</definedName>
    <definedName name="__pas2" localSheetId="0" hidden="1">#REF!</definedName>
    <definedName name="__pas2" hidden="1">#REF!</definedName>
    <definedName name="__PAS5" localSheetId="4">#REF!</definedName>
    <definedName name="__PAS5" localSheetId="5">#REF!</definedName>
    <definedName name="__PAS5" localSheetId="0">#REF!</definedName>
    <definedName name="__PAS5">#REF!</definedName>
    <definedName name="__por1" localSheetId="0">#REF!</definedName>
    <definedName name="__por1">#REF!</definedName>
    <definedName name="__por2" localSheetId="0">#REF!</definedName>
    <definedName name="__por2">#REF!</definedName>
    <definedName name="__por3" localSheetId="0">#REF!</definedName>
    <definedName name="__por3">#REF!</definedName>
    <definedName name="__Pow1" localSheetId="4">#REF!</definedName>
    <definedName name="__Pow1" localSheetId="5">#REF!</definedName>
    <definedName name="__Pow1" localSheetId="0">#REF!</definedName>
    <definedName name="__Pow1">#REF!</definedName>
    <definedName name="__Pow2" localSheetId="4">#REF!</definedName>
    <definedName name="__Pow2" localSheetId="5">#REF!</definedName>
    <definedName name="__Pow2" localSheetId="0">#REF!</definedName>
    <definedName name="__Pow2">#REF!</definedName>
    <definedName name="__Pow3" localSheetId="4">#REF!</definedName>
    <definedName name="__Pow3" localSheetId="5">#REF!</definedName>
    <definedName name="__Pow3" localSheetId="0">#REF!</definedName>
    <definedName name="__Pow3">#REF!</definedName>
    <definedName name="__r" localSheetId="4">#REF!</definedName>
    <definedName name="__r" localSheetId="0">#REF!</definedName>
    <definedName name="__r">#REF!</definedName>
    <definedName name="__rok2003" localSheetId="0">#REF!</definedName>
    <definedName name="__rok2003">#REF!</definedName>
    <definedName name="__rok2004" localSheetId="0">#REF!</definedName>
    <definedName name="__rok2004">#REF!</definedName>
    <definedName name="__rok2005" localSheetId="0">#REF!</definedName>
    <definedName name="__rok2005">#REF!</definedName>
    <definedName name="__s21" localSheetId="4" hidden="1">#REF!</definedName>
    <definedName name="__s21" localSheetId="5" hidden="1">#REF!</definedName>
    <definedName name="__s21" localSheetId="0" hidden="1">#REF!</definedName>
    <definedName name="__s21" hidden="1">#REF!</definedName>
    <definedName name="__se1" localSheetId="0">#REF!</definedName>
    <definedName name="__se1">#REF!</definedName>
    <definedName name="__se2" localSheetId="0">#REF!</definedName>
    <definedName name="__se2">#REF!</definedName>
    <definedName name="__se3" localSheetId="0">#REF!</definedName>
    <definedName name="__se3">#REF!</definedName>
    <definedName name="__t1" localSheetId="4">#REF!</definedName>
    <definedName name="__t1" localSheetId="5">#REF!</definedName>
    <definedName name="__t1" localSheetId="0">#REF!</definedName>
    <definedName name="__t1">#REF!</definedName>
    <definedName name="__tr1" localSheetId="4">#REF!</definedName>
    <definedName name="__tr1" localSheetId="5">#REF!</definedName>
    <definedName name="__tr1" localSheetId="0">#REF!</definedName>
    <definedName name="__tr1">#REF!</definedName>
    <definedName name="__tyl2" localSheetId="4" hidden="1">{#N/A,#N/A,FALSE,"masez (10)";#N/A,#N/A,FALSE,"masez (7)";#N/A,#N/A,FALSE,"masez (6)";#N/A,#N/A,FALSE,"masez (5)";#N/A,#N/A,FALSE,"masez (4)";#N/A,#N/A,FALSE,"masez (3)";#N/A,#N/A,FALSE,"masez (2)";#N/A,#N/A,FALSE,"GME";#N/A,#N/A,FALSE,"masez"}</definedName>
    <definedName name="__tyl2" localSheetId="5" hidden="1">{#N/A,#N/A,FALSE,"masez (10)";#N/A,#N/A,FALSE,"masez (7)";#N/A,#N/A,FALSE,"masez (6)";#N/A,#N/A,FALSE,"masez (5)";#N/A,#N/A,FALSE,"masez (4)";#N/A,#N/A,FALSE,"masez (3)";#N/A,#N/A,FALSE,"masez (2)";#N/A,#N/A,FALSE,"GME";#N/A,#N/A,FALSE,"masez"}</definedName>
    <definedName name="__tyl2" localSheetId="0" hidden="1">{#N/A,#N/A,FALSE,"masez (10)";#N/A,#N/A,FALSE,"masez (7)";#N/A,#N/A,FALSE,"masez (6)";#N/A,#N/A,FALSE,"masez (5)";#N/A,#N/A,FALSE,"masez (4)";#N/A,#N/A,FALSE,"masez (3)";#N/A,#N/A,FALSE,"masez (2)";#N/A,#N/A,FALSE,"GME";#N/A,#N/A,FALSE,"masez"}</definedName>
    <definedName name="__tyl2" hidden="1">{#N/A,#N/A,FALSE,"masez (10)";#N/A,#N/A,FALSE,"masez (7)";#N/A,#N/A,FALSE,"masez (6)";#N/A,#N/A,FALSE,"masez (5)";#N/A,#N/A,FALSE,"masez (4)";#N/A,#N/A,FALSE,"masez (3)";#N/A,#N/A,FALSE,"masez (2)";#N/A,#N/A,FALSE,"GME";#N/A,#N/A,FALSE,"masez"}</definedName>
    <definedName name="__WD10" localSheetId="4">#REF!</definedName>
    <definedName name="__WD10" localSheetId="0">#REF!</definedName>
    <definedName name="__WD10">#REF!</definedName>
    <definedName name="__WD2" localSheetId="4">#REF!</definedName>
    <definedName name="__WD2" localSheetId="5">#REF!</definedName>
    <definedName name="__WD2" localSheetId="0">#REF!</definedName>
    <definedName name="__WD2">#REF!</definedName>
    <definedName name="__wrn1" localSheetId="4" hidden="1">{#N/A,#N/A,TRUE,"Est. de Fact.";#N/A,#N/A,TRUE,"Capitulo 19";#N/A,#N/A,TRUE,"Proyecto P855"}</definedName>
    <definedName name="__wrn1" localSheetId="5" hidden="1">{#N/A,#N/A,TRUE,"Est. de Fact.";#N/A,#N/A,TRUE,"Capitulo 19";#N/A,#N/A,TRUE,"Proyecto P855"}</definedName>
    <definedName name="__wrn1" localSheetId="0" hidden="1">{#N/A,#N/A,TRUE,"Est. de Fact.";#N/A,#N/A,TRUE,"Capitulo 19";#N/A,#N/A,TRUE,"Proyecto P855"}</definedName>
    <definedName name="__wrn1" hidden="1">{#N/A,#N/A,TRUE,"Est. de Fact.";#N/A,#N/A,TRUE,"Capitulo 19";#N/A,#N/A,TRUE,"Proyecto P855"}</definedName>
    <definedName name="__wrn2" localSheetId="4" hidden="1">{#N/A,#N/A,TRUE,"Est. de Fact.";#N/A,#N/A,TRUE,"Capitulo 19";#N/A,#N/A,TRUE,"Proyecto P855"}</definedName>
    <definedName name="__wrn2" localSheetId="5" hidden="1">{#N/A,#N/A,TRUE,"Est. de Fact.";#N/A,#N/A,TRUE,"Capitulo 19";#N/A,#N/A,TRUE,"Proyecto P855"}</definedName>
    <definedName name="__wrn2" localSheetId="0" hidden="1">{#N/A,#N/A,TRUE,"Est. de Fact.";#N/A,#N/A,TRUE,"Capitulo 19";#N/A,#N/A,TRUE,"Proyecto P855"}</definedName>
    <definedName name="__wrn2" hidden="1">{#N/A,#N/A,TRUE,"Est. de Fact.";#N/A,#N/A,TRUE,"Capitulo 19";#N/A,#N/A,TRUE,"Proyecto P855"}</definedName>
    <definedName name="__wrn3" localSheetId="4" hidden="1">{#N/A,#N/A,FALSE,"Total_OC015";#N/A,#N/A,FALSE,"ADMIN";#N/A,#N/A,FALSE,"PROCES";#N/A,#N/A,FALSE,"mecan";#N/A,#N/A,FALSE,"civil";#N/A,#N/A,FALSE,"CAÑER";#N/A,#N/A,FALSE,"ELEC";#N/A,#N/A,FALSE,"INSTR"}</definedName>
    <definedName name="__wrn3" localSheetId="5" hidden="1">{#N/A,#N/A,FALSE,"Total_OC015";#N/A,#N/A,FALSE,"ADMIN";#N/A,#N/A,FALSE,"PROCES";#N/A,#N/A,FALSE,"mecan";#N/A,#N/A,FALSE,"civil";#N/A,#N/A,FALSE,"CAÑER";#N/A,#N/A,FALSE,"ELEC";#N/A,#N/A,FALSE,"INSTR"}</definedName>
    <definedName name="__wrn3" localSheetId="0" hidden="1">{#N/A,#N/A,FALSE,"Total_OC015";#N/A,#N/A,FALSE,"ADMIN";#N/A,#N/A,FALSE,"PROCES";#N/A,#N/A,FALSE,"mecan";#N/A,#N/A,FALSE,"civil";#N/A,#N/A,FALSE,"CAÑER";#N/A,#N/A,FALSE,"ELEC";#N/A,#N/A,FALSE,"INSTR"}</definedName>
    <definedName name="__wrn3" hidden="1">{#N/A,#N/A,FALSE,"Total_OC015";#N/A,#N/A,FALSE,"ADMIN";#N/A,#N/A,FALSE,"PROCES";#N/A,#N/A,FALSE,"mecan";#N/A,#N/A,FALSE,"civil";#N/A,#N/A,FALSE,"CAÑER";#N/A,#N/A,FALSE,"ELEC";#N/A,#N/A,FALSE,"INSTR"}</definedName>
    <definedName name="__wrn5" localSheetId="4" hidden="1">{#N/A,#N/A,FALSE,"minas";#N/A,#N/A,FALSE,"Total_OC015";#N/A,#N/A,FALSE,"ADMIN";#N/A,#N/A,FALSE,"PROCES";#N/A,#N/A,FALSE,"civil";#N/A,#N/A,FALSE,"CAÑER";#N/A,#N/A,FALSE,"ELEC";#N/A,#N/A,FALSE,"INSTR";#N/A,#N/A,FALSE,"PDS";#N/A,#N/A,FALSE,"mecan"}</definedName>
    <definedName name="__wrn5" localSheetId="5" hidden="1">{#N/A,#N/A,FALSE,"minas";#N/A,#N/A,FALSE,"Total_OC015";#N/A,#N/A,FALSE,"ADMIN";#N/A,#N/A,FALSE,"PROCES";#N/A,#N/A,FALSE,"civil";#N/A,#N/A,FALSE,"CAÑER";#N/A,#N/A,FALSE,"ELEC";#N/A,#N/A,FALSE,"INSTR";#N/A,#N/A,FALSE,"PDS";#N/A,#N/A,FALSE,"mecan"}</definedName>
    <definedName name="__wrn5" localSheetId="0" hidden="1">{#N/A,#N/A,FALSE,"minas";#N/A,#N/A,FALSE,"Total_OC015";#N/A,#N/A,FALSE,"ADMIN";#N/A,#N/A,FALSE,"PROCES";#N/A,#N/A,FALSE,"civil";#N/A,#N/A,FALSE,"CAÑER";#N/A,#N/A,FALSE,"ELEC";#N/A,#N/A,FALSE,"INSTR";#N/A,#N/A,FALSE,"PDS";#N/A,#N/A,FALSE,"mecan"}</definedName>
    <definedName name="__wrn5" hidden="1">{#N/A,#N/A,FALSE,"minas";#N/A,#N/A,FALSE,"Total_OC015";#N/A,#N/A,FALSE,"ADMIN";#N/A,#N/A,FALSE,"PROCES";#N/A,#N/A,FALSE,"civil";#N/A,#N/A,FALSE,"CAÑER";#N/A,#N/A,FALSE,"ELEC";#N/A,#N/A,FALSE,"INSTR";#N/A,#N/A,FALSE,"PDS";#N/A,#N/A,FALSE,"mecan"}</definedName>
    <definedName name="__wrn6" localSheetId="4" hidden="1">{#N/A,#N/A,FALSE,"minas";#N/A,#N/A,FALSE,"Total_OC015";#N/A,#N/A,FALSE,"ADMIN";#N/A,#N/A,FALSE,"PROCES";#N/A,#N/A,FALSE,"civil";#N/A,#N/A,FALSE,"CAÑER";#N/A,#N/A,FALSE,"ELEC";#N/A,#N/A,FALSE,"INSTR";#N/A,#N/A,FALSE,"PDS";#N/A,#N/A,FALSE,"mecan"}</definedName>
    <definedName name="__wrn6" localSheetId="5" hidden="1">{#N/A,#N/A,FALSE,"minas";#N/A,#N/A,FALSE,"Total_OC015";#N/A,#N/A,FALSE,"ADMIN";#N/A,#N/A,FALSE,"PROCES";#N/A,#N/A,FALSE,"civil";#N/A,#N/A,FALSE,"CAÑER";#N/A,#N/A,FALSE,"ELEC";#N/A,#N/A,FALSE,"INSTR";#N/A,#N/A,FALSE,"PDS";#N/A,#N/A,FALSE,"mecan"}</definedName>
    <definedName name="__wrn6" localSheetId="0" hidden="1">{#N/A,#N/A,FALSE,"minas";#N/A,#N/A,FALSE,"Total_OC015";#N/A,#N/A,FALSE,"ADMIN";#N/A,#N/A,FALSE,"PROCES";#N/A,#N/A,FALSE,"civil";#N/A,#N/A,FALSE,"CAÑER";#N/A,#N/A,FALSE,"ELEC";#N/A,#N/A,FALSE,"INSTR";#N/A,#N/A,FALSE,"PDS";#N/A,#N/A,FALSE,"mecan"}</definedName>
    <definedName name="__wrn6" hidden="1">{#N/A,#N/A,FALSE,"minas";#N/A,#N/A,FALSE,"Total_OC015";#N/A,#N/A,FALSE,"ADMIN";#N/A,#N/A,FALSE,"PROCES";#N/A,#N/A,FALSE,"civil";#N/A,#N/A,FALSE,"CAÑER";#N/A,#N/A,FALSE,"ELEC";#N/A,#N/A,FALSE,"INSTR";#N/A,#N/A,FALSE,"PDS";#N/A,#N/A,FALSE,"mecan"}</definedName>
    <definedName name="__xlfn.BAHTTEXT">#NAME?</definedName>
    <definedName name="__xlnm._FilterDatabase_1" localSheetId="4">#REF!</definedName>
    <definedName name="__xlnm._FilterDatabase_1" localSheetId="5">#REF!</definedName>
    <definedName name="__xlnm._FilterDatabase_1" localSheetId="0">#REF!</definedName>
    <definedName name="__xlnm._FilterDatabase_1">#REF!</definedName>
    <definedName name="__xlnm.Print_Area_1" localSheetId="4">#REF!</definedName>
    <definedName name="__xlnm.Print_Area_1" localSheetId="5">#REF!</definedName>
    <definedName name="__xlnm.Print_Area_1" localSheetId="0">#REF!</definedName>
    <definedName name="__xlnm.Print_Area_1">#REF!</definedName>
    <definedName name="__xlnm.Print_Titles_1" localSheetId="4">#REF!</definedName>
    <definedName name="__xlnm.Print_Titles_1" localSheetId="5">#REF!</definedName>
    <definedName name="__xlnm.Print_Titles_1" localSheetId="0">#REF!</definedName>
    <definedName name="__xlnm.Print_Titles_1">#REF!</definedName>
    <definedName name="__xlnm.Print_Titles_2" localSheetId="4">#REF!</definedName>
    <definedName name="__xlnm.Print_Titles_2" localSheetId="0">#REF!</definedName>
    <definedName name="__xlnm.Print_Titles_2">#REF!</definedName>
    <definedName name="__xlnm.Print_Titles_3" localSheetId="4">#REF!</definedName>
    <definedName name="__xlnm.Print_Titles_3" localSheetId="0">#REF!</definedName>
    <definedName name="__xlnm.Print_Titles_3">#REF!</definedName>
    <definedName name="__xlnm.Print_Titles_4" localSheetId="4">#REF!</definedName>
    <definedName name="__xlnm.Print_Titles_4" localSheetId="0">#REF!</definedName>
    <definedName name="__xlnm.Print_Titles_4">#REF!</definedName>
    <definedName name="__YM__" localSheetId="4">#REF!</definedName>
    <definedName name="__YM__" localSheetId="0">#REF!</definedName>
    <definedName name="__YM__">#REF!</definedName>
    <definedName name="__YMBM__" localSheetId="4">#REF!</definedName>
    <definedName name="__YMBM__" localSheetId="0">#REF!</definedName>
    <definedName name="__YMBM__">#REF!</definedName>
    <definedName name="__YMNAK__" localSheetId="4">#REF!</definedName>
    <definedName name="__YMNAK__" localSheetId="0">#REF!</definedName>
    <definedName name="__YMNAK__">#REF!</definedName>
    <definedName name="__zb1" localSheetId="0">#REF!</definedName>
    <definedName name="__zb1">#REF!</definedName>
    <definedName name="__zx2" localSheetId="4" hidden="1">{#N/A,#N/A,FALSE,"masez (10)";#N/A,#N/A,FALSE,"masez (7)";#N/A,#N/A,FALSE,"masez (6)";#N/A,#N/A,FALSE,"masez (5)";#N/A,#N/A,FALSE,"masez (4)";#N/A,#N/A,FALSE,"masez (3)";#N/A,#N/A,FALSE,"masez (2)";#N/A,#N/A,FALSE,"GME";#N/A,#N/A,FALSE,"masez"}</definedName>
    <definedName name="__zx2" localSheetId="5" hidden="1">{#N/A,#N/A,FALSE,"masez (10)";#N/A,#N/A,FALSE,"masez (7)";#N/A,#N/A,FALSE,"masez (6)";#N/A,#N/A,FALSE,"masez (5)";#N/A,#N/A,FALSE,"masez (4)";#N/A,#N/A,FALSE,"masez (3)";#N/A,#N/A,FALSE,"masez (2)";#N/A,#N/A,FALSE,"GME";#N/A,#N/A,FALSE,"masez"}</definedName>
    <definedName name="__zx2" localSheetId="0" hidden="1">{#N/A,#N/A,FALSE,"masez (10)";#N/A,#N/A,FALSE,"masez (7)";#N/A,#N/A,FALSE,"masez (6)";#N/A,#N/A,FALSE,"masez (5)";#N/A,#N/A,FALSE,"masez (4)";#N/A,#N/A,FALSE,"masez (3)";#N/A,#N/A,FALSE,"masez (2)";#N/A,#N/A,FALSE,"GME";#N/A,#N/A,FALSE,"masez"}</definedName>
    <definedName name="__zx2" hidden="1">{#N/A,#N/A,FALSE,"masez (10)";#N/A,#N/A,FALSE,"masez (7)";#N/A,#N/A,FALSE,"masez (6)";#N/A,#N/A,FALSE,"masez (5)";#N/A,#N/A,FALSE,"masez (4)";#N/A,#N/A,FALSE,"masez (3)";#N/A,#N/A,FALSE,"masez (2)";#N/A,#N/A,FALSE,"GME";#N/A,#N/A,FALSE,"masez"}</definedName>
    <definedName name="_1">#N/A</definedName>
    <definedName name="_1._z_budowy_nr" localSheetId="4">#REF!</definedName>
    <definedName name="_1._z_budowy_nr" localSheetId="0">#REF!</definedName>
    <definedName name="_1._z_budowy_nr">#REF!</definedName>
    <definedName name="_1.2" localSheetId="4">#REF!</definedName>
    <definedName name="_1.2" localSheetId="5">#REF!</definedName>
    <definedName name="_1.2" localSheetId="0">#REF!</definedName>
    <definedName name="_1.2">#REF!</definedName>
    <definedName name="_1___________0_0_F" localSheetId="4" hidden="1">#REF!</definedName>
    <definedName name="_1___________0_0_F" localSheetId="5" hidden="1">#REF!</definedName>
    <definedName name="_1___________0_0_F" localSheetId="0" hidden="1">#REF!</definedName>
    <definedName name="_1___________0_0_F" hidden="1">#REF!</definedName>
    <definedName name="_1______F" localSheetId="4" hidden="1">#REF!</definedName>
    <definedName name="_1______F" localSheetId="5" hidden="1">#REF!</definedName>
    <definedName name="_1______F" localSheetId="0" hidden="1">#REF!</definedName>
    <definedName name="_1______F" hidden="1">#REF!</definedName>
    <definedName name="_1__123Graph_ACHART_1" localSheetId="0">#REF!</definedName>
    <definedName name="_1__123Graph_ACHART_1">#REF!</definedName>
    <definedName name="_1_0_0_F" localSheetId="4" hidden="1">#REF!</definedName>
    <definedName name="_1_0_0_F" localSheetId="5" hidden="1">#REF!</definedName>
    <definedName name="_1_0_0_F" localSheetId="0" hidden="1">#REF!</definedName>
    <definedName name="_1_0_0_F" hidden="1">#REF!</definedName>
    <definedName name="_10_2__OPTI" localSheetId="4">#REF!</definedName>
    <definedName name="_10_2__OPTI" localSheetId="5">#REF!</definedName>
    <definedName name="_10_2__OPTI" localSheetId="0">#REF!</definedName>
    <definedName name="_10_2__OPTI">#REF!</definedName>
    <definedName name="_10Zestawienie_sprzętu_1" localSheetId="4">#REF!</definedName>
    <definedName name="_10Zestawienie_sprzętu_1" localSheetId="5">#REF!</definedName>
    <definedName name="_10Zestawienie_sprzętu_1" localSheetId="0">#REF!</definedName>
    <definedName name="_10Zestawienie_sprzętu_1">#REF!</definedName>
    <definedName name="_11">#N/A</definedName>
    <definedName name="_11___________F" localSheetId="4" hidden="1">#REF!</definedName>
    <definedName name="_11___________F" localSheetId="5" hidden="1">#REF!</definedName>
    <definedName name="_11___________F" localSheetId="0" hidden="1">#REF!</definedName>
    <definedName name="_11___________F" hidden="1">#REF!</definedName>
    <definedName name="_11_0_0_F" localSheetId="4" hidden="1">#REF!</definedName>
    <definedName name="_11_0_0_F" localSheetId="5" hidden="1">#REF!</definedName>
    <definedName name="_11_0_0_F" localSheetId="0" hidden="1">#REF!</definedName>
    <definedName name="_11_0_0_F" hidden="1">#REF!</definedName>
    <definedName name="_12_________F" localSheetId="4" hidden="1">#REF!</definedName>
    <definedName name="_12_________F" localSheetId="5" hidden="1">#REF!</definedName>
    <definedName name="_12_________F" localSheetId="0" hidden="1">#REF!</definedName>
    <definedName name="_12_________F" hidden="1">#REF!</definedName>
    <definedName name="_12_0_0_F" localSheetId="4" hidden="1">#REF!</definedName>
    <definedName name="_12_0_0_F" localSheetId="0" hidden="1">#REF!</definedName>
    <definedName name="_12_0_0_F" hidden="1">#REF!</definedName>
    <definedName name="_13_________F" localSheetId="4" hidden="1">#REF!</definedName>
    <definedName name="_13_________F" localSheetId="0" hidden="1">#REF!</definedName>
    <definedName name="_13_________F" hidden="1">#REF!</definedName>
    <definedName name="_13_____0_0_F" localSheetId="4" hidden="1">#REF!</definedName>
    <definedName name="_13_____0_0_F" localSheetId="0" hidden="1">#REF!</definedName>
    <definedName name="_13_____0_0_F" hidden="1">#REF!</definedName>
    <definedName name="_13F" localSheetId="4" hidden="1">#REF!</definedName>
    <definedName name="_13F" localSheetId="0" hidden="1">#REF!</definedName>
    <definedName name="_13F" hidden="1">#REF!</definedName>
    <definedName name="_14__________F" localSheetId="4" hidden="1">#REF!</definedName>
    <definedName name="_14__________F" localSheetId="0" hidden="1">#REF!</definedName>
    <definedName name="_14__________F" hidden="1">#REF!</definedName>
    <definedName name="_15_________F" localSheetId="4" hidden="1">#REF!</definedName>
    <definedName name="_15_________F" localSheetId="0" hidden="1">#REF!</definedName>
    <definedName name="_15_________F" hidden="1">#REF!</definedName>
    <definedName name="_15_____0_0_F" localSheetId="4" hidden="1">#REF!</definedName>
    <definedName name="_15_____0_0_F" localSheetId="0" hidden="1">#REF!</definedName>
    <definedName name="_15_____0_0_F" hidden="1">#REF!</definedName>
    <definedName name="_15_0_0_F" localSheetId="4" hidden="1">#REF!</definedName>
    <definedName name="_15_0_0_F" localSheetId="0" hidden="1">#REF!</definedName>
    <definedName name="_15_0_0_F" hidden="1">#REF!</definedName>
    <definedName name="_17_meses" localSheetId="0">#REF!</definedName>
    <definedName name="_17_meses">#REF!</definedName>
    <definedName name="_1EUR" localSheetId="4">#REF!</definedName>
    <definedName name="_1EUR" localSheetId="5">#REF!</definedName>
    <definedName name="_1EUR" localSheetId="0">#REF!</definedName>
    <definedName name="_1EUR">#REF!</definedName>
    <definedName name="_1Excel_BuiltIn_Print_Area_1_1_1" localSheetId="4">#REF!</definedName>
    <definedName name="_1Excel_BuiltIn_Print_Area_1_1_1" localSheetId="5">#REF!</definedName>
    <definedName name="_1Excel_BuiltIn_Print_Area_1_1_1" localSheetId="0">#REF!</definedName>
    <definedName name="_1Excel_BuiltIn_Print_Area_1_1_1">#REF!</definedName>
    <definedName name="_1Excel_BuiltIn_Print_Area_5_1_1" localSheetId="4">#REF!</definedName>
    <definedName name="_1Excel_BuiltIn_Print_Area_5_1_1" localSheetId="5">#REF!</definedName>
    <definedName name="_1Excel_BuiltIn_Print_Area_5_1_1" localSheetId="0">#REF!</definedName>
    <definedName name="_1Excel_BuiltIn_Print_Area_5_1_1">#REF!</definedName>
    <definedName name="_1F" localSheetId="4" hidden="1">#REF!</definedName>
    <definedName name="_1F" localSheetId="5" hidden="1">#REF!</definedName>
    <definedName name="_1F" localSheetId="0" hidden="1">#REF!</definedName>
    <definedName name="_1F" hidden="1">#REF!</definedName>
    <definedName name="_1PAR" localSheetId="4">#REF!</definedName>
    <definedName name="_1PAR" localSheetId="5">#REF!</definedName>
    <definedName name="_1PAR" localSheetId="0">#REF!</definedName>
    <definedName name="_1PAR">#REF!</definedName>
    <definedName name="_1Tabela_elementów" localSheetId="4">#REF!</definedName>
    <definedName name="_1Tabela_elementów" localSheetId="5">#REF!</definedName>
    <definedName name="_1Tabela_elementów" localSheetId="0">#REF!</definedName>
    <definedName name="_1Tabela_elementów">#REF!</definedName>
    <definedName name="_2" localSheetId="4">#REF!</definedName>
    <definedName name="_2">#N/A</definedName>
    <definedName name="_2.2" localSheetId="4">#REF!</definedName>
    <definedName name="_2.2" localSheetId="5">#REF!</definedName>
    <definedName name="_2.2" localSheetId="0">#REF!</definedName>
    <definedName name="_2.2">#REF!</definedName>
    <definedName name="_2.3" localSheetId="4">#REF!</definedName>
    <definedName name="_2.3" localSheetId="5">#REF!</definedName>
    <definedName name="_2.3" localSheetId="0">#REF!</definedName>
    <definedName name="_2.3">#REF!</definedName>
    <definedName name="_2.4" localSheetId="4">#REF!</definedName>
    <definedName name="_2.4" localSheetId="5">#REF!</definedName>
    <definedName name="_2.4" localSheetId="0">#REF!</definedName>
    <definedName name="_2.4">#REF!</definedName>
    <definedName name="_2.6" localSheetId="4">#REF!</definedName>
    <definedName name="_2.6" localSheetId="0">#REF!</definedName>
    <definedName name="_2.6">#REF!</definedName>
    <definedName name="_2.7" localSheetId="4">#REF!</definedName>
    <definedName name="_2.7" localSheetId="0">#REF!</definedName>
    <definedName name="_2.7">#REF!</definedName>
    <definedName name="_2___________0_0_F" localSheetId="4" hidden="1">#REF!</definedName>
    <definedName name="_2___________0_0_F" localSheetId="0" hidden="1">#REF!</definedName>
    <definedName name="_2___________0_0_F" hidden="1">#REF!</definedName>
    <definedName name="_2__0_0_F" localSheetId="4" hidden="1">#REF!</definedName>
    <definedName name="_2__0_0_F" localSheetId="5" hidden="1">#REF!</definedName>
    <definedName name="_2__0_0_F" localSheetId="0" hidden="1">#REF!</definedName>
    <definedName name="_2__0_0_F" hidden="1">#REF!</definedName>
    <definedName name="_2__123Graph_ACHART_2" localSheetId="0">#REF!</definedName>
    <definedName name="_2__123Graph_ACHART_2">#REF!</definedName>
    <definedName name="_2_0_0_F" localSheetId="4" hidden="1">#REF!</definedName>
    <definedName name="_2_0_0_F" localSheetId="5" hidden="1">#REF!</definedName>
    <definedName name="_2_0_0_F" localSheetId="0" hidden="1">#REF!</definedName>
    <definedName name="_2_0_0_F" hidden="1">#REF!</definedName>
    <definedName name="_22">#N/A</definedName>
    <definedName name="_25" localSheetId="4">#REF!</definedName>
    <definedName name="_25" localSheetId="5">#REF!</definedName>
    <definedName name="_25" localSheetId="0">#REF!</definedName>
    <definedName name="_25">#REF!</definedName>
    <definedName name="_26" localSheetId="4">#REF!</definedName>
    <definedName name="_26" localSheetId="5">#REF!</definedName>
    <definedName name="_26" localSheetId="0">#REF!</definedName>
    <definedName name="_26">#REF!</definedName>
    <definedName name="_27" localSheetId="4">#REF!</definedName>
    <definedName name="_27" localSheetId="5">#REF!</definedName>
    <definedName name="_27" localSheetId="0">#REF!</definedName>
    <definedName name="_27">#REF!</definedName>
    <definedName name="_28" localSheetId="4">#REF!</definedName>
    <definedName name="_28" localSheetId="0">#REF!</definedName>
    <definedName name="_28">#REF!</definedName>
    <definedName name="_2C" localSheetId="4">#REF!</definedName>
    <definedName name="_2C" localSheetId="5">#REF!</definedName>
    <definedName name="_2C" localSheetId="0">#REF!</definedName>
    <definedName name="_2C">#REF!</definedName>
    <definedName name="_2Excel_BuiltIn_Print_Area_1_1_1_1" localSheetId="4">#REF!</definedName>
    <definedName name="_2Excel_BuiltIn_Print_Area_1_1_1_1" localSheetId="5">#REF!</definedName>
    <definedName name="_2Excel_BuiltIn_Print_Area_1_1_1_1" localSheetId="0">#REF!</definedName>
    <definedName name="_2Excel_BuiltIn_Print_Area_1_1_1_1">#REF!</definedName>
    <definedName name="_2Excel_BuiltIn_Print_Area_5_1_1" localSheetId="4">#REF!</definedName>
    <definedName name="_2Excel_BuiltIn_Print_Area_5_1_1" localSheetId="5">#REF!</definedName>
    <definedName name="_2Excel_BuiltIn_Print_Area_5_1_1" localSheetId="0">#REF!</definedName>
    <definedName name="_2Excel_BuiltIn_Print_Area_5_1_1">#REF!</definedName>
    <definedName name="_2Excel_BuiltIn_Print_Area_8_1_1" localSheetId="4">#REF!</definedName>
    <definedName name="_2Excel_BuiltIn_Print_Area_8_1_1" localSheetId="0">#REF!</definedName>
    <definedName name="_2Excel_BuiltIn_Print_Area_8_1_1">#REF!</definedName>
    <definedName name="_2Zestawienie_materiałów" localSheetId="4">#REF!</definedName>
    <definedName name="_2Zestawienie_materiałów" localSheetId="0">#REF!</definedName>
    <definedName name="_2Zestawienie_materiałów">#REF!</definedName>
    <definedName name="_3" localSheetId="4">#REF!</definedName>
    <definedName name="_3" localSheetId="0">#REF!</definedName>
    <definedName name="_3">#REF!</definedName>
    <definedName name="_3.2" localSheetId="4">#REF!</definedName>
    <definedName name="_3.2" localSheetId="0">#REF!</definedName>
    <definedName name="_3.2">#REF!</definedName>
    <definedName name="_3.3" localSheetId="4">#REF!</definedName>
    <definedName name="_3.3" localSheetId="0">#REF!</definedName>
    <definedName name="_3.3">#REF!</definedName>
    <definedName name="_3.4" localSheetId="4">#REF!</definedName>
    <definedName name="_3.4" localSheetId="0">#REF!</definedName>
    <definedName name="_3.4">#REF!</definedName>
    <definedName name="_3.5" localSheetId="4">#REF!</definedName>
    <definedName name="_3.5" localSheetId="0">#REF!</definedName>
    <definedName name="_3.5">#REF!</definedName>
    <definedName name="_3_____________0_0_F" localSheetId="4" hidden="1">#REF!</definedName>
    <definedName name="_3_____________0_0_F" localSheetId="0" hidden="1">#REF!</definedName>
    <definedName name="_3_____________0_0_F" hidden="1">#REF!</definedName>
    <definedName name="_3__123Graph_BCHART_2" localSheetId="0">#REF!</definedName>
    <definedName name="_3__123Graph_BCHART_2">#REF!</definedName>
    <definedName name="_31_Mar_02" localSheetId="4">#REF!</definedName>
    <definedName name="_31_Mar_02" localSheetId="5">#REF!</definedName>
    <definedName name="_31_Mar_02" localSheetId="0">#REF!</definedName>
    <definedName name="_31_Mar_02">#REF!</definedName>
    <definedName name="_31_May_99">"Fin_de_ periodo"</definedName>
    <definedName name="_32323" localSheetId="4">#REF!</definedName>
    <definedName name="_32323" localSheetId="5">#REF!</definedName>
    <definedName name="_32323" localSheetId="0">#REF!</definedName>
    <definedName name="_32323">#REF!</definedName>
    <definedName name="_3C" localSheetId="4">#REF!</definedName>
    <definedName name="_3C" localSheetId="5">#REF!</definedName>
    <definedName name="_3C" localSheetId="0">#REF!</definedName>
    <definedName name="_3C">#REF!</definedName>
    <definedName name="_3Excel_BuiltIn_Print_Area_1_1_1_1_1_1_1_1_1_1_1_1" localSheetId="4">#REF!</definedName>
    <definedName name="_3Excel_BuiltIn_Print_Area_1_1_1_1_1_1_1_1_1_1_1_1" localSheetId="5">#REF!</definedName>
    <definedName name="_3Excel_BuiltIn_Print_Area_1_1_1_1_1_1_1_1_1_1_1_1" localSheetId="0">#REF!</definedName>
    <definedName name="_3Excel_BuiltIn_Print_Area_1_1_1_1_1_1_1_1_1_1_1_1">#REF!</definedName>
    <definedName name="_3F" localSheetId="4" hidden="1">#REF!</definedName>
    <definedName name="_3F" localSheetId="0" hidden="1">#REF!</definedName>
    <definedName name="_3F" hidden="1">#REF!</definedName>
    <definedName name="_3Zestawienie_robocizny" localSheetId="4">#REF!</definedName>
    <definedName name="_3Zestawienie_robocizny" localSheetId="0">#REF!</definedName>
    <definedName name="_3Zestawienie_robocizny">#REF!</definedName>
    <definedName name="_4" localSheetId="4">#REF!</definedName>
    <definedName name="_4" localSheetId="0">#REF!</definedName>
    <definedName name="_4">#REF!</definedName>
    <definedName name="_4__123Graph_CCHART_1" localSheetId="0">#REF!</definedName>
    <definedName name="_4__123Graph_CCHART_1">#REF!</definedName>
    <definedName name="_4_0_0_F" localSheetId="4" hidden="1">#REF!</definedName>
    <definedName name="_4_0_0_F" localSheetId="5" hidden="1">#REF!</definedName>
    <definedName name="_4_0_0_F" localSheetId="0" hidden="1">#REF!</definedName>
    <definedName name="_4_0_0_F" hidden="1">#REF!</definedName>
    <definedName name="_48F" localSheetId="4" hidden="1">#REF!</definedName>
    <definedName name="_48F" localSheetId="5" hidden="1">#REF!</definedName>
    <definedName name="_48F" localSheetId="0" hidden="1">#REF!</definedName>
    <definedName name="_48F" hidden="1">#REF!</definedName>
    <definedName name="_4C" localSheetId="4">#REF!</definedName>
    <definedName name="_4C" localSheetId="5">#REF!</definedName>
    <definedName name="_4C" localSheetId="0">#REF!</definedName>
    <definedName name="_4C">#REF!</definedName>
    <definedName name="_4C_x" localSheetId="4">#REF!</definedName>
    <definedName name="_4C_x" localSheetId="5">#REF!</definedName>
    <definedName name="_4C_x" localSheetId="0">#REF!</definedName>
    <definedName name="_4C_x">#REF!</definedName>
    <definedName name="_4Excel_BuiltIn_Print_Area_1_1_1_1_1_1_1_1_1_1_1_1_1" localSheetId="4">#REF!</definedName>
    <definedName name="_4Excel_BuiltIn_Print_Area_1_1_1_1_1_1_1_1_1_1_1_1_1" localSheetId="5">#REF!</definedName>
    <definedName name="_4Excel_BuiltIn_Print_Area_1_1_1_1_1_1_1_1_1_1_1_1_1" localSheetId="0">#REF!</definedName>
    <definedName name="_4Excel_BuiltIn_Print_Area_1_1_1_1_1_1_1_1_1_1_1_1_1">#REF!</definedName>
    <definedName name="_4Excel_BuiltIn_Print_Area_8_1_1" localSheetId="4">#REF!</definedName>
    <definedName name="_4Excel_BuiltIn_Print_Area_8_1_1" localSheetId="0">#REF!</definedName>
    <definedName name="_4Excel_BuiltIn_Print_Area_8_1_1">#REF!</definedName>
    <definedName name="_4Zestawienie_sprzętu" localSheetId="4">#REF!</definedName>
    <definedName name="_4Zestawienie_sprzętu" localSheetId="0">#REF!</definedName>
    <definedName name="_4Zestawienie_sprzętu">#REF!</definedName>
    <definedName name="_5" localSheetId="4">#REF!</definedName>
    <definedName name="_5" localSheetId="0">#REF!</definedName>
    <definedName name="_5">#REF!</definedName>
    <definedName name="_5.1" localSheetId="4">#REF!</definedName>
    <definedName name="_5.1" localSheetId="0">#REF!</definedName>
    <definedName name="_5.1">#REF!</definedName>
    <definedName name="_5__123Graph_DCHART_1" localSheetId="0">#REF!</definedName>
    <definedName name="_5__123Graph_DCHART_1">#REF!</definedName>
    <definedName name="_500_AREA_TOTAL_LBCu" localSheetId="4">#REF!</definedName>
    <definedName name="_500_AREA_TOTAL_LBCu" localSheetId="5">#REF!</definedName>
    <definedName name="_500_AREA_TOTAL_LBCu" localSheetId="0">#REF!</definedName>
    <definedName name="_500_AREA_TOTAL_LBCu">#REF!</definedName>
    <definedName name="_500_DIESEL_FUEL" localSheetId="4">#REF!</definedName>
    <definedName name="_500_DIESEL_FUEL" localSheetId="5">#REF!</definedName>
    <definedName name="_500_DIESEL_FUEL" localSheetId="0">#REF!</definedName>
    <definedName name="_500_DIESEL_FUEL">#REF!</definedName>
    <definedName name="_500_MAINTENANCE_SUPPLIES" localSheetId="4">#REF!</definedName>
    <definedName name="_500_MAINTENANCE_SUPPLIES" localSheetId="5">#REF!</definedName>
    <definedName name="_500_MAINTENANCE_SUPPLIES" localSheetId="0">#REF!</definedName>
    <definedName name="_500_MAINTENANCE_SUPPLIES">#REF!</definedName>
    <definedName name="_500_PERSONNEL" localSheetId="4">#REF!</definedName>
    <definedName name="_500_PERSONNEL" localSheetId="5">#REF!</definedName>
    <definedName name="_500_PERSONNEL" localSheetId="0">#REF!</definedName>
    <definedName name="_500_PERSONNEL">#REF!</definedName>
    <definedName name="_50F" localSheetId="4" hidden="1">#REF!</definedName>
    <definedName name="_50F" localSheetId="0" hidden="1">#REF!</definedName>
    <definedName name="_50F" hidden="1">#REF!</definedName>
    <definedName name="_51_0_0_F" localSheetId="4" hidden="1">#REF!</definedName>
    <definedName name="_51_0_0_F" localSheetId="5" hidden="1">#REF!</definedName>
    <definedName name="_51_0_0_F" localSheetId="0" hidden="1">#REF!</definedName>
    <definedName name="_51_0_0_F" hidden="1">#REF!</definedName>
    <definedName name="_53_0_0_F" localSheetId="4" hidden="1">#REF!</definedName>
    <definedName name="_53_0_0_F" localSheetId="5" hidden="1">#REF!</definedName>
    <definedName name="_53_0_0_F" localSheetId="0" hidden="1">#REF!</definedName>
    <definedName name="_53_0_0_F" hidden="1">#REF!</definedName>
    <definedName name="_54F" localSheetId="4" hidden="1">#REF!</definedName>
    <definedName name="_54F" localSheetId="5" hidden="1">#REF!</definedName>
    <definedName name="_54F" localSheetId="0" hidden="1">#REF!</definedName>
    <definedName name="_54F" hidden="1">#REF!</definedName>
    <definedName name="_58_0_0_F" localSheetId="4" hidden="1">#REF!</definedName>
    <definedName name="_58_0_0_F" localSheetId="5" hidden="1">#REF!</definedName>
    <definedName name="_58_0_0_F" localSheetId="0" hidden="1">#REF!</definedName>
    <definedName name="_58_0_0_F" hidden="1">#REF!</definedName>
    <definedName name="_5Excel_BuiltIn__FilterDatabase_2_1" localSheetId="4">#REF!</definedName>
    <definedName name="_5Excel_BuiltIn__FilterDatabase_2_1" localSheetId="5">#REF!</definedName>
    <definedName name="_5Excel_BuiltIn__FilterDatabase_2_1" localSheetId="0">#REF!</definedName>
    <definedName name="_5Excel_BuiltIn__FilterDatabase_2_1">#REF!</definedName>
    <definedName name="_5Excel_BuiltIn_Print_Area_5_1_1" localSheetId="4">#REF!</definedName>
    <definedName name="_5Excel_BuiltIn_Print_Area_5_1_1" localSheetId="5">#REF!</definedName>
    <definedName name="_5Excel_BuiltIn_Print_Area_5_1_1" localSheetId="0">#REF!</definedName>
    <definedName name="_5Excel_BuiltIn_Print_Area_5_1_1">#REF!</definedName>
    <definedName name="_5F" localSheetId="4" hidden="1">#REF!</definedName>
    <definedName name="_5F" localSheetId="5" hidden="1">#REF!</definedName>
    <definedName name="_5F" localSheetId="0" hidden="1">#REF!</definedName>
    <definedName name="_5F" hidden="1">#REF!</definedName>
    <definedName name="_6" localSheetId="4">#REF!</definedName>
    <definedName name="_6" localSheetId="5">#REF!</definedName>
    <definedName name="_6" localSheetId="0">#REF!</definedName>
    <definedName name="_6">#REF!</definedName>
    <definedName name="_6____________0_0_F" localSheetId="4" hidden="1">#REF!</definedName>
    <definedName name="_6____________0_0_F" localSheetId="5" hidden="1">#REF!</definedName>
    <definedName name="_6____________0_0_F" localSheetId="0" hidden="1">#REF!</definedName>
    <definedName name="_6____________0_0_F" hidden="1">#REF!</definedName>
    <definedName name="_600_AREA_TOTAL_LBCu" localSheetId="5">#REF!</definedName>
    <definedName name="_600_AREA_TOTAL_LBCu" localSheetId="0">#REF!</definedName>
    <definedName name="_600_AREA_TOTAL_LBCu">#REF!</definedName>
    <definedName name="_600_CATHODE_TRANSPORT" localSheetId="5">#REF!</definedName>
    <definedName name="_600_CATHODE_TRANSPORT" localSheetId="0">#REF!</definedName>
    <definedName name="_600_CATHODE_TRANSPORT">#REF!</definedName>
    <definedName name="_600_ELECTRICAL_POWER" localSheetId="5">#REF!</definedName>
    <definedName name="_600_ELECTRICAL_POWER" localSheetId="0">#REF!</definedName>
    <definedName name="_600_ELECTRICAL_POWER">#REF!</definedName>
    <definedName name="_600_MAINTENANCE_SERVICES_CONTRACT" localSheetId="5">#REF!</definedName>
    <definedName name="_600_MAINTENANCE_SERVICES_CONTRACT" localSheetId="0">#REF!</definedName>
    <definedName name="_600_MAINTENANCE_SERVICES_CONTRACT">#REF!</definedName>
    <definedName name="_600_MAINTENANCE_SUPPLIES" localSheetId="5">#REF!</definedName>
    <definedName name="_600_MAINTENANCE_SUPPLIES" localSheetId="0">#REF!</definedName>
    <definedName name="_600_MAINTENANCE_SUPPLIES">#REF!</definedName>
    <definedName name="_600_MISCELANEOUS" localSheetId="0">#REF!</definedName>
    <definedName name="_600_MISCELANEOUS">#REF!</definedName>
    <definedName name="_600_OPERATING_SUPPLIES" localSheetId="0">#REF!</definedName>
    <definedName name="_600_OPERATING_SUPPLIES">#REF!</definedName>
    <definedName name="_600_OPERATIONS" localSheetId="0">#REF!</definedName>
    <definedName name="_600_OPERATIONS">#REF!</definedName>
    <definedName name="_600_OWNERS_COST" localSheetId="0">#REF!</definedName>
    <definedName name="_600_OWNERS_COST">#REF!</definedName>
    <definedName name="_600_PERSONNEL" localSheetId="0">#REF!</definedName>
    <definedName name="_600_PERSONNEL">#REF!</definedName>
    <definedName name="_600_R.O._WATER" localSheetId="0">#REF!</definedName>
    <definedName name="_600_R.O._WATER">#REF!</definedName>
    <definedName name="_600_SERVICES_AND_INFRASTRUCTURE" localSheetId="0">#REF!</definedName>
    <definedName name="_600_SERVICES_AND_INFRASTRUCTURE">#REF!</definedName>
    <definedName name="_600_STAFF" localSheetId="0">#REF!</definedName>
    <definedName name="_600_STAFF">#REF!</definedName>
    <definedName name="_6Excel_BuiltIn__FilterDatabase_4_1" localSheetId="4">#REF!</definedName>
    <definedName name="_6Excel_BuiltIn__FilterDatabase_4_1" localSheetId="5">#REF!</definedName>
    <definedName name="_6Excel_BuiltIn__FilterDatabase_4_1" localSheetId="0">#REF!</definedName>
    <definedName name="_6Excel_BuiltIn__FilterDatabase_4_1">#REF!</definedName>
    <definedName name="_6Excel_BuiltIn_Print_Area_8_1_1" localSheetId="4">#REF!</definedName>
    <definedName name="_6Excel_BuiltIn_Print_Area_8_1_1" localSheetId="5">#REF!</definedName>
    <definedName name="_6Excel_BuiltIn_Print_Area_8_1_1" localSheetId="0">#REF!</definedName>
    <definedName name="_6Excel_BuiltIn_Print_Area_8_1_1">#REF!</definedName>
    <definedName name="_7_0_0_F" localSheetId="4" hidden="1">#REF!</definedName>
    <definedName name="_7_0_0_F" localSheetId="5" hidden="1">#REF!</definedName>
    <definedName name="_7_0_0_F" localSheetId="0" hidden="1">#REF!</definedName>
    <definedName name="_7_0_0_F" hidden="1">#REF!</definedName>
    <definedName name="_700_ACID__100" localSheetId="5">#REF!</definedName>
    <definedName name="_700_ACID__100" localSheetId="0">#REF!</definedName>
    <definedName name="_700_ACID__100">#REF!</definedName>
    <definedName name="_700_AREA_TOTAL" localSheetId="5">#REF!</definedName>
    <definedName name="_700_AREA_TOTAL" localSheetId="0">#REF!</definedName>
    <definedName name="_700_AREA_TOTAL">#REF!</definedName>
    <definedName name="_700_AREA_TOTAL_LBCu" localSheetId="5">#REF!</definedName>
    <definedName name="_700_AREA_TOTAL_LBCu" localSheetId="0">#REF!</definedName>
    <definedName name="_700_AREA_TOTAL_LBCu">#REF!</definedName>
    <definedName name="_700_ELECTRICAL_POWER" localSheetId="5">#REF!</definedName>
    <definedName name="_700_ELECTRICAL_POWER" localSheetId="0">#REF!</definedName>
    <definedName name="_700_ELECTRICAL_POWER">#REF!</definedName>
    <definedName name="_700_LEACH_SOLUTION_HANDLING" localSheetId="0">#REF!</definedName>
    <definedName name="_700_LEACH_SOLUTION_HANDLING">#REF!</definedName>
    <definedName name="_700_MAINTENANCE_SERVICES_CONTRACT" localSheetId="0">#REF!</definedName>
    <definedName name="_700_MAINTENANCE_SERVICES_CONTRACT">#REF!</definedName>
    <definedName name="_700_MAINTENANCE_SUPPLIES" localSheetId="0">#REF!</definedName>
    <definedName name="_700_MAINTENANCE_SUPPLIES">#REF!</definedName>
    <definedName name="_700_MISCELANEOUS" localSheetId="0">#REF!</definedName>
    <definedName name="_700_MISCELANEOUS">#REF!</definedName>
    <definedName name="_700_OPERATING_SUPPLIES" localSheetId="0">#REF!</definedName>
    <definedName name="_700_OPERATING_SUPPLIES">#REF!</definedName>
    <definedName name="_700_OPERATIONS" localSheetId="0">#REF!</definedName>
    <definedName name="_700_OPERATIONS">#REF!</definedName>
    <definedName name="_700_PERSONNEL" localSheetId="0">#REF!</definedName>
    <definedName name="_700_PERSONNEL">#REF!</definedName>
    <definedName name="_700_PIPE_INSTALLATION_CONTRACT" localSheetId="0">#REF!</definedName>
    <definedName name="_700_PIPE_INSTALLATION_CONTRACT">#REF!</definedName>
    <definedName name="_700_STAFF" localSheetId="0">#REF!</definedName>
    <definedName name="_700_STAFF">#REF!</definedName>
    <definedName name="_700_WATER" localSheetId="0">#REF!</definedName>
    <definedName name="_700_WATER">#REF!</definedName>
    <definedName name="_7Tabela_elementów_1" localSheetId="4">#REF!</definedName>
    <definedName name="_7Tabela_elementów_1" localSheetId="5">#REF!</definedName>
    <definedName name="_7Tabela_elementów_1" localSheetId="0">#REF!</definedName>
    <definedName name="_7Tabela_elementów_1">#REF!</definedName>
    <definedName name="_8Zestawienie_materiałów_1" localSheetId="4">#REF!</definedName>
    <definedName name="_8Zestawienie_materiałów_1" localSheetId="5">#REF!</definedName>
    <definedName name="_8Zestawienie_materiałów_1" localSheetId="0">#REF!</definedName>
    <definedName name="_8Zestawienie_materiałów_1">#REF!</definedName>
    <definedName name="_9_2_0OPTI" localSheetId="4">#REF!</definedName>
    <definedName name="_9_2_0OPTI" localSheetId="5">#REF!</definedName>
    <definedName name="_9_2_0OPTI" localSheetId="0">#REF!</definedName>
    <definedName name="_9_2_0OPTI">#REF!</definedName>
    <definedName name="_9C" localSheetId="4">#REF!</definedName>
    <definedName name="_9C" localSheetId="5">#REF!</definedName>
    <definedName name="_9C" localSheetId="0">#REF!</definedName>
    <definedName name="_9C">#REF!</definedName>
    <definedName name="_9Zestawienie_robocizny_1" localSheetId="4">#REF!</definedName>
    <definedName name="_9Zestawienie_robocizny_1" localSheetId="5">#REF!</definedName>
    <definedName name="_9Zestawienie_robocizny_1" localSheetId="0">#REF!</definedName>
    <definedName name="_9Zestawienie_robocizny_1">#REF!</definedName>
    <definedName name="_A99999" localSheetId="4">#REF!</definedName>
    <definedName name="_A99999" localSheetId="5">#REF!</definedName>
    <definedName name="_A99999" localSheetId="0">#REF!</definedName>
    <definedName name="_A99999">#REF!</definedName>
    <definedName name="_aa122" localSheetId="4">#REF!</definedName>
    <definedName name="_aa122" localSheetId="0">#REF!</definedName>
    <definedName name="_aa122">#REF!</definedName>
    <definedName name="_ab1" localSheetId="4" hidden="1">{#N/A,#N/A,FALSE,"SumD";#N/A,#N/A,FALSE,"ElecD";#N/A,#N/A,FALSE,"MechD";#N/A,#N/A,FALSE,"GeotD";#N/A,#N/A,FALSE,"PrcsD";#N/A,#N/A,FALSE,"TunnD";#N/A,#N/A,FALSE,"CivlD";#N/A,#N/A,FALSE,"NtwkD";#N/A,#N/A,FALSE,"EstgD";#N/A,#N/A,FALSE,"PEngD"}</definedName>
    <definedName name="_ab1" localSheetId="6" hidden="1">{#N/A,#N/A,FALSE,"SumD";#N/A,#N/A,FALSE,"ElecD";#N/A,#N/A,FALSE,"MechD";#N/A,#N/A,FALSE,"GeotD";#N/A,#N/A,FALSE,"PrcsD";#N/A,#N/A,FALSE,"TunnD";#N/A,#N/A,FALSE,"CivlD";#N/A,#N/A,FALSE,"NtwkD";#N/A,#N/A,FALSE,"EstgD";#N/A,#N/A,FALSE,"PEngD"}</definedName>
    <definedName name="_ab1" localSheetId="5" hidden="1">{#N/A,#N/A,FALSE,"SumD";#N/A,#N/A,FALSE,"ElecD";#N/A,#N/A,FALSE,"MechD";#N/A,#N/A,FALSE,"GeotD";#N/A,#N/A,FALSE,"PrcsD";#N/A,#N/A,FALSE,"TunnD";#N/A,#N/A,FALSE,"CivlD";#N/A,#N/A,FALSE,"NtwkD";#N/A,#N/A,FALSE,"EstgD";#N/A,#N/A,FALSE,"PEngD"}</definedName>
    <definedName name="_ab1" localSheetId="0"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123" localSheetId="4">#REF!</definedName>
    <definedName name="_ab123" localSheetId="5">#REF!</definedName>
    <definedName name="_ab123" localSheetId="0">#REF!</definedName>
    <definedName name="_ab123">#REF!</definedName>
    <definedName name="_ABC" localSheetId="0">#REF!</definedName>
    <definedName name="_ABC">#REF!</definedName>
    <definedName name="_ABR2011" localSheetId="4">#REF!</definedName>
    <definedName name="_ABR2011" localSheetId="5">#REF!</definedName>
    <definedName name="_ABR2011" localSheetId="0">#REF!</definedName>
    <definedName name="_ABR2011">#REF!</definedName>
    <definedName name="_ABR2012" localSheetId="4">#REF!</definedName>
    <definedName name="_ABR2012" localSheetId="5">#REF!</definedName>
    <definedName name="_ABR2012" localSheetId="0">#REF!</definedName>
    <definedName name="_ABR2012">#REF!</definedName>
    <definedName name="_AGO2011" localSheetId="4">#REF!</definedName>
    <definedName name="_AGO2011" localSheetId="5">#REF!</definedName>
    <definedName name="_AGO2011" localSheetId="0">#REF!</definedName>
    <definedName name="_AGO2011">#REF!</definedName>
    <definedName name="_AGO2012" localSheetId="4">#REF!</definedName>
    <definedName name="_AGO2012" localSheetId="0">#REF!</definedName>
    <definedName name="_AGO2012">#REF!</definedName>
    <definedName name="_all1" localSheetId="0">#REF!</definedName>
    <definedName name="_all1">#REF!</definedName>
    <definedName name="_API1" localSheetId="0">#REF!</definedName>
    <definedName name="_API1">#REF!</definedName>
    <definedName name="_apo1" localSheetId="4">#REF!</definedName>
    <definedName name="_apo1" localSheetId="5">#REF!</definedName>
    <definedName name="_apo1" localSheetId="0">#REF!</definedName>
    <definedName name="_apo1">#REF!</definedName>
    <definedName name="_apo7" localSheetId="4" hidden="1">#REF!</definedName>
    <definedName name="_apo7" localSheetId="5" hidden="1">#REF!</definedName>
    <definedName name="_apo7" localSheetId="0" hidden="1">#REF!</definedName>
    <definedName name="_apo7" hidden="1">#REF!</definedName>
    <definedName name="_as1" localSheetId="4" hidden="1">{#N/A,#N/A,FALSE,"SumD";#N/A,#N/A,FALSE,"ElecD";#N/A,#N/A,FALSE,"MechD";#N/A,#N/A,FALSE,"GeotD";#N/A,#N/A,FALSE,"PrcsD";#N/A,#N/A,FALSE,"TunnD";#N/A,#N/A,FALSE,"CivlD";#N/A,#N/A,FALSE,"NtwkD";#N/A,#N/A,FALSE,"EstgD";#N/A,#N/A,FALSE,"PEngD"}</definedName>
    <definedName name="_as1" localSheetId="6" hidden="1">{#N/A,#N/A,FALSE,"SumD";#N/A,#N/A,FALSE,"ElecD";#N/A,#N/A,FALSE,"MechD";#N/A,#N/A,FALSE,"GeotD";#N/A,#N/A,FALSE,"PrcsD";#N/A,#N/A,FALSE,"TunnD";#N/A,#N/A,FALSE,"CivlD";#N/A,#N/A,FALSE,"NtwkD";#N/A,#N/A,FALSE,"EstgD";#N/A,#N/A,FALSE,"PEngD"}</definedName>
    <definedName name="_as1" localSheetId="5" hidden="1">{#N/A,#N/A,FALSE,"SumD";#N/A,#N/A,FALSE,"ElecD";#N/A,#N/A,FALSE,"MechD";#N/A,#N/A,FALSE,"GeotD";#N/A,#N/A,FALSE,"PrcsD";#N/A,#N/A,FALSE,"TunnD";#N/A,#N/A,FALSE,"CivlD";#N/A,#N/A,FALSE,"NtwkD";#N/A,#N/A,FALSE,"EstgD";#N/A,#N/A,FALSE,"PEngD"}</definedName>
    <definedName name="_as1" localSheetId="0"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s2" localSheetId="4" hidden="1">{#N/A,#N/A,FALSE,"SumD";#N/A,#N/A,FALSE,"ElecD";#N/A,#N/A,FALSE,"MechD";#N/A,#N/A,FALSE,"GeotD";#N/A,#N/A,FALSE,"PrcsD";#N/A,#N/A,FALSE,"TunnD";#N/A,#N/A,FALSE,"CivlD";#N/A,#N/A,FALSE,"NtwkD";#N/A,#N/A,FALSE,"EstgD";#N/A,#N/A,FALSE,"PEngD"}</definedName>
    <definedName name="_as2" localSheetId="6" hidden="1">{#N/A,#N/A,FALSE,"SumD";#N/A,#N/A,FALSE,"ElecD";#N/A,#N/A,FALSE,"MechD";#N/A,#N/A,FALSE,"GeotD";#N/A,#N/A,FALSE,"PrcsD";#N/A,#N/A,FALSE,"TunnD";#N/A,#N/A,FALSE,"CivlD";#N/A,#N/A,FALSE,"NtwkD";#N/A,#N/A,FALSE,"EstgD";#N/A,#N/A,FALSE,"PEngD"}</definedName>
    <definedName name="_as2" localSheetId="5" hidden="1">{#N/A,#N/A,FALSE,"SumD";#N/A,#N/A,FALSE,"ElecD";#N/A,#N/A,FALSE,"MechD";#N/A,#N/A,FALSE,"GeotD";#N/A,#N/A,FALSE,"PrcsD";#N/A,#N/A,FALSE,"TunnD";#N/A,#N/A,FALSE,"CivlD";#N/A,#N/A,FALSE,"NtwkD";#N/A,#N/A,FALSE,"EstgD";#N/A,#N/A,FALSE,"PEngD"}</definedName>
    <definedName name="_as2" localSheetId="0" hidden="1">{#N/A,#N/A,FALSE,"SumD";#N/A,#N/A,FALSE,"ElecD";#N/A,#N/A,FALSE,"MechD";#N/A,#N/A,FALSE,"GeotD";#N/A,#N/A,FALSE,"PrcsD";#N/A,#N/A,FALSE,"TunnD";#N/A,#N/A,FALSE,"CivlD";#N/A,#N/A,FALSE,"NtwkD";#N/A,#N/A,FALSE,"EstgD";#N/A,#N/A,FALSE,"PEngD"}</definedName>
    <definedName name="_as2" hidden="1">{#N/A,#N/A,FALSE,"SumD";#N/A,#N/A,FALSE,"ElecD";#N/A,#N/A,FALSE,"MechD";#N/A,#N/A,FALSE,"GeotD";#N/A,#N/A,FALSE,"PrcsD";#N/A,#N/A,FALSE,"TunnD";#N/A,#N/A,FALSE,"CivlD";#N/A,#N/A,FALSE,"NtwkD";#N/A,#N/A,FALSE,"EstgD";#N/A,#N/A,FALSE,"PEngD"}</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OptionCustomItemsCount"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 localSheetId="4">#REF!</definedName>
    <definedName name="_AUX3" localSheetId="5">#REF!</definedName>
    <definedName name="_AUX3" localSheetId="0">#REF!</definedName>
    <definedName name="_AUX3">#REF!</definedName>
    <definedName name="_b" localSheetId="4">#REF!</definedName>
    <definedName name="_b" localSheetId="5">#REF!</definedName>
    <definedName name="_b" localSheetId="0">#REF!</definedName>
    <definedName name="_b">#REF!</definedName>
    <definedName name="_B19000" localSheetId="4">#REF!</definedName>
    <definedName name="_B19000" localSheetId="5">#REF!</definedName>
    <definedName name="_B19000" localSheetId="0">#REF!</definedName>
    <definedName name="_B19000">#REF!</definedName>
    <definedName name="_B19999" localSheetId="4">#REF!</definedName>
    <definedName name="_B19999" localSheetId="0">#REF!</definedName>
    <definedName name="_B19999">#REF!</definedName>
    <definedName name="_B20000" localSheetId="4">#REF!</definedName>
    <definedName name="_B20000" localSheetId="0">#REF!</definedName>
    <definedName name="_B20000">#REF!</definedName>
    <definedName name="_B23677" localSheetId="4">#REF!</definedName>
    <definedName name="_B23677" localSheetId="0">#REF!</definedName>
    <definedName name="_B23677">#REF!</definedName>
    <definedName name="_B25" localSheetId="4">#REF!</definedName>
    <definedName name="_B25" localSheetId="0">#REF!</definedName>
    <definedName name="_B25">#REF!</definedName>
    <definedName name="_BDR1" localSheetId="4">#REF!</definedName>
    <definedName name="_BDR1" localSheetId="0">#REF!</definedName>
    <definedName name="_BDR1">#REF!</definedName>
    <definedName name="_BDR2" localSheetId="4">#REF!</definedName>
    <definedName name="_BDR2" localSheetId="0">#REF!</definedName>
    <definedName name="_BDR2">#REF!</definedName>
    <definedName name="_bek5" localSheetId="4">#REF!</definedName>
    <definedName name="_bek5" localSheetId="0">#REF!</definedName>
    <definedName name="_bek5">#REF!</definedName>
    <definedName name="_bel1" localSheetId="4">#REF!</definedName>
    <definedName name="_bel1" localSheetId="0">#REF!</definedName>
    <definedName name="_bel1">#REF!</definedName>
    <definedName name="_bel11" localSheetId="4">#REF!</definedName>
    <definedName name="_bel11" localSheetId="0">#REF!</definedName>
    <definedName name="_bel11">#REF!</definedName>
    <definedName name="_bel12" localSheetId="4">#REF!</definedName>
    <definedName name="_bel12" localSheetId="0">#REF!</definedName>
    <definedName name="_bel12">#REF!</definedName>
    <definedName name="_bel14" localSheetId="4">#REF!</definedName>
    <definedName name="_bel14" localSheetId="0">#REF!</definedName>
    <definedName name="_bel14">#REF!</definedName>
    <definedName name="_bel16" localSheetId="4">#REF!</definedName>
    <definedName name="_bel16" localSheetId="0">#REF!</definedName>
    <definedName name="_bel16">#REF!</definedName>
    <definedName name="_bel18" localSheetId="4">#REF!</definedName>
    <definedName name="_bel18" localSheetId="0">#REF!</definedName>
    <definedName name="_bel18">#REF!</definedName>
    <definedName name="_bel2" localSheetId="4">#REF!</definedName>
    <definedName name="_bel2" localSheetId="0">#REF!</definedName>
    <definedName name="_bel2">#REF!</definedName>
    <definedName name="_bel3" localSheetId="4">#REF!</definedName>
    <definedName name="_bel3" localSheetId="0">#REF!</definedName>
    <definedName name="_bel3">#REF!</definedName>
    <definedName name="_bel4" localSheetId="4">#REF!</definedName>
    <definedName name="_bel4" localSheetId="0">#REF!</definedName>
    <definedName name="_bel4">#REF!</definedName>
    <definedName name="_bel5" localSheetId="4">#REF!</definedName>
    <definedName name="_bel5" localSheetId="0">#REF!</definedName>
    <definedName name="_bel5">#REF!</definedName>
    <definedName name="_bel6" localSheetId="4">#REF!</definedName>
    <definedName name="_bel6" localSheetId="0">#REF!</definedName>
    <definedName name="_bel6">#REF!</definedName>
    <definedName name="_bel7" localSheetId="4">#REF!</definedName>
    <definedName name="_bel7" localSheetId="0">#REF!</definedName>
    <definedName name="_bel7">#REF!</definedName>
    <definedName name="_bel8" localSheetId="4">#REF!</definedName>
    <definedName name="_bel8" localSheetId="0">#REF!</definedName>
    <definedName name="_bel8">#REF!</definedName>
    <definedName name="_bel9" localSheetId="4">#REF!</definedName>
    <definedName name="_bel9" localSheetId="0">#REF!</definedName>
    <definedName name="_bel9">#REF!</definedName>
    <definedName name="_bet5" localSheetId="0">#REF!</definedName>
    <definedName name="_bet5">#REF!</definedName>
    <definedName name="_bin1" localSheetId="4">#REF!</definedName>
    <definedName name="_bin1" localSheetId="5">#REF!</definedName>
    <definedName name="_bin1" localSheetId="0">#REF!</definedName>
    <definedName name="_bin1">#REF!</definedName>
    <definedName name="_boq1" localSheetId="4">#REF!</definedName>
    <definedName name="_boq1" localSheetId="5">#REF!</definedName>
    <definedName name="_boq1" localSheetId="0">#REF!</definedName>
    <definedName name="_boq1">#REF!</definedName>
    <definedName name="_bwu2" localSheetId="0">#REF!</definedName>
    <definedName name="_bwu2">#REF!</definedName>
    <definedName name="_C" localSheetId="4">#REF!</definedName>
    <definedName name="_C" localSheetId="5">#REF!</definedName>
    <definedName name="_C" localSheetId="0">#REF!</definedName>
    <definedName name="_C">#REF!</definedName>
    <definedName name="_C1A">#N/A</definedName>
    <definedName name="_C2A">#N/A</definedName>
    <definedName name="_C3A">#N/A</definedName>
    <definedName name="_C4A">#N/A</definedName>
    <definedName name="_CAT1" localSheetId="0">#REF!</definedName>
    <definedName name="_CAT1">#REF!</definedName>
    <definedName name="_CAT2" localSheetId="0">#REF!</definedName>
    <definedName name="_CAT2">#REF!</definedName>
    <definedName name="_CAT3" localSheetId="0">#REF!</definedName>
    <definedName name="_CAT3">#REF!</definedName>
    <definedName name="_CAT4" localSheetId="0">#REF!</definedName>
    <definedName name="_CAT4">#REF!</definedName>
    <definedName name="_chd1" localSheetId="4">#REF!</definedName>
    <definedName name="_chd1" localSheetId="5">#REF!</definedName>
    <definedName name="_chd1" localSheetId="0">#REF!</definedName>
    <definedName name="_chd1">#REF!</definedName>
    <definedName name="_chd2" localSheetId="4">#REF!</definedName>
    <definedName name="_chd2" localSheetId="5">#REF!</definedName>
    <definedName name="_chd2" localSheetId="0">#REF!</definedName>
    <definedName name="_chd2">#REF!</definedName>
    <definedName name="_chd3" localSheetId="4">#REF!</definedName>
    <definedName name="_chd3" localSheetId="5">#REF!</definedName>
    <definedName name="_chd3" localSheetId="0">#REF!</definedName>
    <definedName name="_chd3">#REF!</definedName>
    <definedName name="_chf1" localSheetId="0">#REF!</definedName>
    <definedName name="_chf1">#REF!</definedName>
    <definedName name="_CON1" localSheetId="4">#REF!</definedName>
    <definedName name="_CON1" localSheetId="5">#REF!</definedName>
    <definedName name="_CON1" localSheetId="0">#REF!</definedName>
    <definedName name="_CON1">#REF!</definedName>
    <definedName name="_CON10" localSheetId="4">#REF!</definedName>
    <definedName name="_CON10" localSheetId="5">#REF!</definedName>
    <definedName name="_CON10" localSheetId="0">#REF!</definedName>
    <definedName name="_CON10">#REF!</definedName>
    <definedName name="_CON2" localSheetId="4">#REF!</definedName>
    <definedName name="_CON2" localSheetId="5">#REF!</definedName>
    <definedName name="_CON2" localSheetId="0">#REF!</definedName>
    <definedName name="_CON2">#REF!</definedName>
    <definedName name="_CON3" localSheetId="4">#REF!</definedName>
    <definedName name="_CON3" localSheetId="0">#REF!</definedName>
    <definedName name="_CON3">#REF!</definedName>
    <definedName name="_CON4" localSheetId="4">#REF!</definedName>
    <definedName name="_CON4" localSheetId="0">#REF!</definedName>
    <definedName name="_CON4">#REF!</definedName>
    <definedName name="_CON5" localSheetId="4">#REF!</definedName>
    <definedName name="_CON5" localSheetId="0">#REF!</definedName>
    <definedName name="_CON5">#REF!</definedName>
    <definedName name="_CON6" localSheetId="4">#REF!</definedName>
    <definedName name="_CON6" localSheetId="0">#REF!</definedName>
    <definedName name="_CON6">#REF!</definedName>
    <definedName name="_CON7" localSheetId="4">#REF!</definedName>
    <definedName name="_CON7" localSheetId="0">#REF!</definedName>
    <definedName name="_CON7">#REF!</definedName>
    <definedName name="_CON8" localSheetId="4">#REF!</definedName>
    <definedName name="_CON8" localSheetId="0">#REF!</definedName>
    <definedName name="_CON8">#REF!</definedName>
    <definedName name="_CON9" localSheetId="4">#REF!</definedName>
    <definedName name="_CON9" localSheetId="0">#REF!</definedName>
    <definedName name="_CON9">#REF!</definedName>
    <definedName name="_CSC300911" localSheetId="4">#REF!</definedName>
    <definedName name="_CSC300911" localSheetId="5">#REF!</definedName>
    <definedName name="_CSC300911" localSheetId="0">#REF!</definedName>
    <definedName name="_CSC300911">#REF!</definedName>
    <definedName name="_D70000" localSheetId="5">#REF!</definedName>
    <definedName name="_D70000" localSheetId="0">#REF!</definedName>
    <definedName name="_D70000">#REF!</definedName>
    <definedName name="_D700002" localSheetId="5">#REF!</definedName>
    <definedName name="_D700002" localSheetId="0">#REF!</definedName>
    <definedName name="_D700002">#REF!</definedName>
    <definedName name="_D70001" localSheetId="5">#REF!</definedName>
    <definedName name="_D70001" localSheetId="0">#REF!</definedName>
    <definedName name="_D70001">#REF!</definedName>
    <definedName name="_D70002" localSheetId="0">#REF!</definedName>
    <definedName name="_D70002">#REF!</definedName>
    <definedName name="_DAT1" localSheetId="4">#REF!</definedName>
    <definedName name="_DAT1" localSheetId="6">#REF!</definedName>
    <definedName name="_DAT1" localSheetId="0">#REF!</definedName>
    <definedName name="_DAT1">#REF!</definedName>
    <definedName name="_DAT10" localSheetId="4">#REF!</definedName>
    <definedName name="_DAT10" localSheetId="5">#REF!</definedName>
    <definedName name="_DAT10" localSheetId="0">#REF!</definedName>
    <definedName name="_DAT10">#REF!</definedName>
    <definedName name="_DAT11" localSheetId="4">#REF!</definedName>
    <definedName name="_DAT11" localSheetId="5">#REF!</definedName>
    <definedName name="_DAT11" localSheetId="0">#REF!</definedName>
    <definedName name="_DAT11">#REF!</definedName>
    <definedName name="_DAT12" localSheetId="4">#REF!</definedName>
    <definedName name="_DAT12" localSheetId="0">#REF!</definedName>
    <definedName name="_DAT12">#REF!</definedName>
    <definedName name="_DAT13" localSheetId="4">#REF!</definedName>
    <definedName name="_DAT13" localSheetId="0">#REF!</definedName>
    <definedName name="_DAT13">#REF!</definedName>
    <definedName name="_DAT16" localSheetId="4">#REF!</definedName>
    <definedName name="_DAT16" localSheetId="0">#REF!</definedName>
    <definedName name="_DAT16">#REF!</definedName>
    <definedName name="_DAT18" localSheetId="4">#REF!</definedName>
    <definedName name="_DAT18" localSheetId="0">#REF!</definedName>
    <definedName name="_DAT18">#REF!</definedName>
    <definedName name="_DAT2" localSheetId="4">#REF!</definedName>
    <definedName name="_DAT2" localSheetId="0">#REF!</definedName>
    <definedName name="_DAT2">#REF!</definedName>
    <definedName name="_DAT3" localSheetId="0">#REF!</definedName>
    <definedName name="_DAT3">#REF!</definedName>
    <definedName name="_DAT4" localSheetId="0">#REF!</definedName>
    <definedName name="_DAT4">#REF!</definedName>
    <definedName name="_DAT5" localSheetId="0">#REF!</definedName>
    <definedName name="_DAT5">#REF!</definedName>
    <definedName name="_DAT6" localSheetId="4">#REF!</definedName>
    <definedName name="_DAT6" localSheetId="5">#REF!</definedName>
    <definedName name="_DAT6" localSheetId="0">#REF!</definedName>
    <definedName name="_DAT6">#REF!</definedName>
    <definedName name="_DAT7" localSheetId="4">#REF!</definedName>
    <definedName name="_DAT7" localSheetId="5">#REF!</definedName>
    <definedName name="_DAT7" localSheetId="0">#REF!</definedName>
    <definedName name="_DAT7">#REF!</definedName>
    <definedName name="_DAT8" localSheetId="0">#REF!</definedName>
    <definedName name="_DAT8">#REF!</definedName>
    <definedName name="_DAT9" localSheetId="4">#REF!</definedName>
    <definedName name="_DAT9" localSheetId="5">#REF!</definedName>
    <definedName name="_DAT9" localSheetId="0">#REF!</definedName>
    <definedName name="_DAT9">#REF!</definedName>
    <definedName name="_dbs1" localSheetId="4">#REF!</definedName>
    <definedName name="_dbs1" localSheetId="5">#REF!</definedName>
    <definedName name="_dbs1" localSheetId="0">#REF!</definedName>
    <definedName name="_dbs1">#REF!</definedName>
    <definedName name="_dbs11" localSheetId="4">#REF!</definedName>
    <definedName name="_dbs11" localSheetId="5">#REF!</definedName>
    <definedName name="_dbs11" localSheetId="0">#REF!</definedName>
    <definedName name="_dbs11">#REF!</definedName>
    <definedName name="_dbs76" localSheetId="4">#REF!</definedName>
    <definedName name="_dbs76" localSheetId="5">#REF!</definedName>
    <definedName name="_dbs76" localSheetId="0">#REF!</definedName>
    <definedName name="_dbs76">#REF!</definedName>
    <definedName name="_DIC2010" localSheetId="4">#REF!</definedName>
    <definedName name="_DIC2010" localSheetId="5">#REF!</definedName>
    <definedName name="_DIC2010" localSheetId="0">#REF!</definedName>
    <definedName name="_DIC2010">#REF!</definedName>
    <definedName name="_DIC2011" localSheetId="4">#REF!</definedName>
    <definedName name="_DIC2011" localSheetId="5">#REF!</definedName>
    <definedName name="_DIC2011" localSheetId="0">#REF!</definedName>
    <definedName name="_DIC2011">#REF!</definedName>
    <definedName name="_DIC2012" localSheetId="4">#REF!</definedName>
    <definedName name="_DIC2012" localSheetId="5">#REF!</definedName>
    <definedName name="_DIC2012" localSheetId="0">#REF!</definedName>
    <definedName name="_DIC2012">#REF!</definedName>
    <definedName name="_Dist_Values" localSheetId="4" hidden="1">#REF!</definedName>
    <definedName name="_Dist_Values" localSheetId="0" hidden="1">#REF!</definedName>
    <definedName name="_Dist_Values" hidden="1">#REF!</definedName>
    <definedName name="_Dist_Values1" localSheetId="4" hidden="1">#REF!</definedName>
    <definedName name="_Dist_Values1" localSheetId="0" hidden="1">#REF!</definedName>
    <definedName name="_Dist_Values1" hidden="1">#REF!</definedName>
    <definedName name="_dyl1" localSheetId="0">#REF!</definedName>
    <definedName name="_dyl1">#REF!</definedName>
    <definedName name="_e20000" localSheetId="4">#REF!</definedName>
    <definedName name="_e20000" localSheetId="5">#REF!</definedName>
    <definedName name="_e20000" localSheetId="0">#REF!</definedName>
    <definedName name="_e20000">#REF!</definedName>
    <definedName name="_e99991" localSheetId="4">#REF!</definedName>
    <definedName name="_e99991" localSheetId="5">#REF!</definedName>
    <definedName name="_e99991" localSheetId="0">#REF!</definedName>
    <definedName name="_e99991">#REF!</definedName>
    <definedName name="_ELL45" localSheetId="4">#REF!</definedName>
    <definedName name="_ELL45" localSheetId="5">#REF!</definedName>
    <definedName name="_ELL45" localSheetId="0">#REF!</definedName>
    <definedName name="_ELL45">#REF!</definedName>
    <definedName name="_ELL90" localSheetId="4">#REF!</definedName>
    <definedName name="_ELL90" localSheetId="0">#REF!</definedName>
    <definedName name="_ELL90">#REF!</definedName>
    <definedName name="_ENE2011" localSheetId="4">#REF!</definedName>
    <definedName name="_ENE2011" localSheetId="0">#REF!</definedName>
    <definedName name="_ENE2011">#REF!</definedName>
    <definedName name="_ENE2012" localSheetId="4">#REF!</definedName>
    <definedName name="_ENE2012" localSheetId="0">#REF!</definedName>
    <definedName name="_ENE2012">#REF!</definedName>
    <definedName name="_f" localSheetId="0">#REF!</definedName>
    <definedName name="_f">#REF!</definedName>
    <definedName name="_F1" localSheetId="4">#REF!</definedName>
    <definedName name="_F1" localSheetId="5">#REF!</definedName>
    <definedName name="_F1" localSheetId="0">#REF!</definedName>
    <definedName name="_F1">#REF!</definedName>
    <definedName name="_F3" localSheetId="4">#REF!</definedName>
    <definedName name="_F3" localSheetId="5">#REF!</definedName>
    <definedName name="_F3" localSheetId="0">#REF!</definedName>
    <definedName name="_F3">#REF!</definedName>
    <definedName name="_Feb03" localSheetId="5">#REF!</definedName>
    <definedName name="_Feb03" localSheetId="0">#REF!</definedName>
    <definedName name="_Feb03">#REF!</definedName>
    <definedName name="_FEB2011" localSheetId="4">#REF!</definedName>
    <definedName name="_FEB2011" localSheetId="5">#REF!</definedName>
    <definedName name="_FEB2011" localSheetId="0">#REF!</definedName>
    <definedName name="_FEB2011">#REF!</definedName>
    <definedName name="_FEB2012" localSheetId="4">#REF!</definedName>
    <definedName name="_FEB2012" localSheetId="5">#REF!</definedName>
    <definedName name="_FEB2012" localSheetId="0">#REF!</definedName>
    <definedName name="_FEB2012">#REF!</definedName>
    <definedName name="_FF3" localSheetId="4">#REF!</definedName>
    <definedName name="_FF3" localSheetId="5">#REF!</definedName>
    <definedName name="_FF3" localSheetId="0">#REF!</definedName>
    <definedName name="_FF3">#REF!</definedName>
    <definedName name="_Fil" localSheetId="4" hidden="1">#REF!</definedName>
    <definedName name="_Fil" localSheetId="0" hidden="1">#REF!</definedName>
    <definedName name="_Fil" hidden="1">#REF!</definedName>
    <definedName name="_Fill" localSheetId="4" hidden="1">#REF!</definedName>
    <definedName name="_Fill" localSheetId="0" hidden="1">#REF!</definedName>
    <definedName name="_Fill" hidden="1">#REF!</definedName>
    <definedName name="_Fill2" localSheetId="4" hidden="1">#REF!</definedName>
    <definedName name="_Fill2" localSheetId="0" hidden="1">#REF!</definedName>
    <definedName name="_Fill2" hidden="1">#REF!</definedName>
    <definedName name="_xlnm._FilterDatabase" localSheetId="4" hidden="1">'Costo Directo'!$A$12:$DH$1210</definedName>
    <definedName name="_xlnm._FilterDatabase" localSheetId="3" hidden="1">#REF!</definedName>
    <definedName name="_xlnm._FilterDatabase" localSheetId="1" hidden="1">Imput!$B$11:$Z$11</definedName>
    <definedName name="_xlnm._FilterDatabase" localSheetId="6" hidden="1">'Indirect Costs'!$A$8:$DF$138</definedName>
    <definedName name="_xlnm._FilterDatabase" localSheetId="5" hidden="1">Producción!$A$9:$DJ$434</definedName>
    <definedName name="_xlnm._FilterDatabase" localSheetId="0">#REF!</definedName>
    <definedName name="_xlnm._FilterDatabase">#REF!</definedName>
    <definedName name="_FilterDatabase_1" localSheetId="4">#REF!</definedName>
    <definedName name="_FilterDatabase_1" localSheetId="5">#REF!</definedName>
    <definedName name="_FilterDatabase_1" localSheetId="0">#REF!</definedName>
    <definedName name="_FilterDatabase_1">#REF!</definedName>
    <definedName name="_FilterDatabase_1_1" localSheetId="4">#REF!</definedName>
    <definedName name="_FilterDatabase_1_1" localSheetId="5">#REF!</definedName>
    <definedName name="_FilterDatabase_1_1" localSheetId="0">#REF!</definedName>
    <definedName name="_FilterDatabase_1_1">#REF!</definedName>
    <definedName name="_FilterDatabase_10" localSheetId="4">#REF!</definedName>
    <definedName name="_FilterDatabase_10" localSheetId="0">#REF!</definedName>
    <definedName name="_FilterDatabase_10">#REF!</definedName>
    <definedName name="_FilterDatabase_11" localSheetId="4">#REF!</definedName>
    <definedName name="_FilterDatabase_11" localSheetId="0">#REF!</definedName>
    <definedName name="_FilterDatabase_11">#REF!</definedName>
    <definedName name="_FilterDatabase_12" localSheetId="4">#REF!</definedName>
    <definedName name="_FilterDatabase_12" localSheetId="0">#REF!</definedName>
    <definedName name="_FilterDatabase_12">#REF!</definedName>
    <definedName name="_FilterDatabase_13" localSheetId="4">#REF!</definedName>
    <definedName name="_FilterDatabase_13" localSheetId="0">#REF!</definedName>
    <definedName name="_FilterDatabase_13">#REF!</definedName>
    <definedName name="_FilterDatabase_14" localSheetId="4">#REF!</definedName>
    <definedName name="_FilterDatabase_14" localSheetId="0">#REF!</definedName>
    <definedName name="_FilterDatabase_14">#REF!</definedName>
    <definedName name="_FilterDatabase_15" localSheetId="4">#REF!</definedName>
    <definedName name="_FilterDatabase_15" localSheetId="0">#REF!</definedName>
    <definedName name="_FilterDatabase_15">#REF!</definedName>
    <definedName name="_FilterDatabase_16" localSheetId="4">#REF!</definedName>
    <definedName name="_FilterDatabase_16" localSheetId="0">#REF!</definedName>
    <definedName name="_FilterDatabase_16">#REF!</definedName>
    <definedName name="_FilterDatabase_17" localSheetId="4">#REF!</definedName>
    <definedName name="_FilterDatabase_17" localSheetId="0">#REF!</definedName>
    <definedName name="_FilterDatabase_17">#REF!</definedName>
    <definedName name="_FilterDatabase_18" localSheetId="4">#REF!</definedName>
    <definedName name="_FilterDatabase_18" localSheetId="0">#REF!</definedName>
    <definedName name="_FilterDatabase_18">#REF!</definedName>
    <definedName name="_FilterDatabase_19" localSheetId="4">#REF!</definedName>
    <definedName name="_FilterDatabase_19" localSheetId="0">#REF!</definedName>
    <definedName name="_FilterDatabase_19">#REF!</definedName>
    <definedName name="_FilterDatabase_2" localSheetId="4">#REF!</definedName>
    <definedName name="_FilterDatabase_2" localSheetId="0">#REF!</definedName>
    <definedName name="_FilterDatabase_2">#REF!</definedName>
    <definedName name="_FilterDatabase_20" localSheetId="4">#REF!</definedName>
    <definedName name="_FilterDatabase_20" localSheetId="0">#REF!</definedName>
    <definedName name="_FilterDatabase_20">#REF!</definedName>
    <definedName name="_FilterDatabase_21" localSheetId="4">#REF!</definedName>
    <definedName name="_FilterDatabase_21" localSheetId="0">#REF!</definedName>
    <definedName name="_FilterDatabase_21">#REF!</definedName>
    <definedName name="_FilterDatabase_22" localSheetId="4">#REF!</definedName>
    <definedName name="_FilterDatabase_22" localSheetId="0">#REF!</definedName>
    <definedName name="_FilterDatabase_22">#REF!</definedName>
    <definedName name="_FilterDatabase_23" localSheetId="4">#REF!</definedName>
    <definedName name="_FilterDatabase_23" localSheetId="0">#REF!</definedName>
    <definedName name="_FilterDatabase_23">#REF!</definedName>
    <definedName name="_FilterDatabase_24" localSheetId="4">#REF!</definedName>
    <definedName name="_FilterDatabase_24" localSheetId="0">#REF!</definedName>
    <definedName name="_FilterDatabase_24">#REF!</definedName>
    <definedName name="_FilterDatabase_25" localSheetId="4">#REF!</definedName>
    <definedName name="_FilterDatabase_25" localSheetId="0">#REF!</definedName>
    <definedName name="_FilterDatabase_25">#REF!</definedName>
    <definedName name="_FilterDatabase_26" localSheetId="4">#REF!</definedName>
    <definedName name="_FilterDatabase_26" localSheetId="0">#REF!</definedName>
    <definedName name="_FilterDatabase_26">#REF!</definedName>
    <definedName name="_FilterDatabase_27" localSheetId="4">#REF!</definedName>
    <definedName name="_FilterDatabase_27" localSheetId="0">#REF!</definedName>
    <definedName name="_FilterDatabase_27">#REF!</definedName>
    <definedName name="_FilterDatabase_28" localSheetId="4">#REF!</definedName>
    <definedName name="_FilterDatabase_28" localSheetId="0">#REF!</definedName>
    <definedName name="_FilterDatabase_28">#REF!</definedName>
    <definedName name="_FilterDatabase_29" localSheetId="4">#REF!</definedName>
    <definedName name="_FilterDatabase_29" localSheetId="0">#REF!</definedName>
    <definedName name="_FilterDatabase_29">#REF!</definedName>
    <definedName name="_FilterDatabase_3" localSheetId="4">#REF!</definedName>
    <definedName name="_FilterDatabase_3" localSheetId="0">#REF!</definedName>
    <definedName name="_FilterDatabase_3">#REF!</definedName>
    <definedName name="_FilterDatabase_30" localSheetId="4">#REF!</definedName>
    <definedName name="_FilterDatabase_30" localSheetId="0">#REF!</definedName>
    <definedName name="_FilterDatabase_30">#REF!</definedName>
    <definedName name="_FilterDatabase_31" localSheetId="4">#REF!</definedName>
    <definedName name="_FilterDatabase_31" localSheetId="0">#REF!</definedName>
    <definedName name="_FilterDatabase_31">#REF!</definedName>
    <definedName name="_FilterDatabase_32" localSheetId="4">#REF!</definedName>
    <definedName name="_FilterDatabase_32" localSheetId="0">#REF!</definedName>
    <definedName name="_FilterDatabase_32">#REF!</definedName>
    <definedName name="_FilterDatabase_33" localSheetId="4">#REF!</definedName>
    <definedName name="_FilterDatabase_33" localSheetId="0">#REF!</definedName>
    <definedName name="_FilterDatabase_33">#REF!</definedName>
    <definedName name="_FilterDatabase_34" localSheetId="4">#REF!</definedName>
    <definedName name="_FilterDatabase_34" localSheetId="0">#REF!</definedName>
    <definedName name="_FilterDatabase_34">#REF!</definedName>
    <definedName name="_FilterDatabase_35" localSheetId="4">#REF!</definedName>
    <definedName name="_FilterDatabase_35" localSheetId="0">#REF!</definedName>
    <definedName name="_FilterDatabase_35">#REF!</definedName>
    <definedName name="_FilterDatabase_36" localSheetId="4">#REF!</definedName>
    <definedName name="_FilterDatabase_36" localSheetId="0">#REF!</definedName>
    <definedName name="_FilterDatabase_36">#REF!</definedName>
    <definedName name="_FilterDatabase_37" localSheetId="4">#REF!</definedName>
    <definedName name="_FilterDatabase_37" localSheetId="0">#REF!</definedName>
    <definedName name="_FilterDatabase_37">#REF!</definedName>
    <definedName name="_FilterDatabase_38" localSheetId="4">#REF!</definedName>
    <definedName name="_FilterDatabase_38" localSheetId="0">#REF!</definedName>
    <definedName name="_FilterDatabase_38">#REF!</definedName>
    <definedName name="_FilterDatabase_39" localSheetId="4">#REF!</definedName>
    <definedName name="_FilterDatabase_39" localSheetId="0">#REF!</definedName>
    <definedName name="_FilterDatabase_39">#REF!</definedName>
    <definedName name="_FilterDatabase_4" localSheetId="4">#REF!</definedName>
    <definedName name="_FilterDatabase_4" localSheetId="0">#REF!</definedName>
    <definedName name="_FilterDatabase_4">#REF!</definedName>
    <definedName name="_FilterDatabase_40" localSheetId="4">#REF!</definedName>
    <definedName name="_FilterDatabase_40" localSheetId="0">#REF!</definedName>
    <definedName name="_FilterDatabase_40">#REF!</definedName>
    <definedName name="_FilterDatabase_41" localSheetId="4">#REF!</definedName>
    <definedName name="_FilterDatabase_41" localSheetId="0">#REF!</definedName>
    <definedName name="_FilterDatabase_41">#REF!</definedName>
    <definedName name="_FilterDatabase_42" localSheetId="4">#REF!</definedName>
    <definedName name="_FilterDatabase_42" localSheetId="0">#REF!</definedName>
    <definedName name="_FilterDatabase_42">#REF!</definedName>
    <definedName name="_FilterDatabase_43" localSheetId="4">#REF!</definedName>
    <definedName name="_FilterDatabase_43" localSheetId="0">#REF!</definedName>
    <definedName name="_FilterDatabase_43">#REF!</definedName>
    <definedName name="_FilterDatabase_44" localSheetId="4">#REF!</definedName>
    <definedName name="_FilterDatabase_44" localSheetId="0">#REF!</definedName>
    <definedName name="_FilterDatabase_44">#REF!</definedName>
    <definedName name="_FilterDatabase_45" localSheetId="4">#REF!</definedName>
    <definedName name="_FilterDatabase_45" localSheetId="0">#REF!</definedName>
    <definedName name="_FilterDatabase_45">#REF!</definedName>
    <definedName name="_FilterDatabase_46" localSheetId="4">#REF!</definedName>
    <definedName name="_FilterDatabase_46" localSheetId="0">#REF!</definedName>
    <definedName name="_FilterDatabase_46">#REF!</definedName>
    <definedName name="_FilterDatabase_47" localSheetId="4">#REF!</definedName>
    <definedName name="_FilterDatabase_47" localSheetId="0">#REF!</definedName>
    <definedName name="_FilterDatabase_47">#REF!</definedName>
    <definedName name="_FilterDatabase_48" localSheetId="4">#REF!</definedName>
    <definedName name="_FilterDatabase_48" localSheetId="0">#REF!</definedName>
    <definedName name="_FilterDatabase_48">#REF!</definedName>
    <definedName name="_FilterDatabase_49" localSheetId="4">#REF!</definedName>
    <definedName name="_FilterDatabase_49" localSheetId="0">#REF!</definedName>
    <definedName name="_FilterDatabase_49">#REF!</definedName>
    <definedName name="_FilterDatabase_5" localSheetId="4">#REF!</definedName>
    <definedName name="_FilterDatabase_5" localSheetId="0">#REF!</definedName>
    <definedName name="_FilterDatabase_5">#REF!</definedName>
    <definedName name="_FilterDatabase_50" localSheetId="4">#REF!</definedName>
    <definedName name="_FilterDatabase_50" localSheetId="0">#REF!</definedName>
    <definedName name="_FilterDatabase_50">#REF!</definedName>
    <definedName name="_FilterDatabase_51" localSheetId="4">#REF!</definedName>
    <definedName name="_FilterDatabase_51" localSheetId="0">#REF!</definedName>
    <definedName name="_FilterDatabase_51">#REF!</definedName>
    <definedName name="_FilterDatabase_52" localSheetId="4">#REF!</definedName>
    <definedName name="_FilterDatabase_52" localSheetId="0">#REF!</definedName>
    <definedName name="_FilterDatabase_52">#REF!</definedName>
    <definedName name="_FilterDatabase_53" localSheetId="4">#REF!</definedName>
    <definedName name="_FilterDatabase_53" localSheetId="0">#REF!</definedName>
    <definedName name="_FilterDatabase_53">#REF!</definedName>
    <definedName name="_FilterDatabase_54" localSheetId="4">#REF!</definedName>
    <definedName name="_FilterDatabase_54" localSheetId="0">#REF!</definedName>
    <definedName name="_FilterDatabase_54">#REF!</definedName>
    <definedName name="_FilterDatabase_55" localSheetId="4">#REF!</definedName>
    <definedName name="_FilterDatabase_55" localSheetId="0">#REF!</definedName>
    <definedName name="_FilterDatabase_55">#REF!</definedName>
    <definedName name="_FilterDatabase_56" localSheetId="4">#REF!</definedName>
    <definedName name="_FilterDatabase_56" localSheetId="0">#REF!</definedName>
    <definedName name="_FilterDatabase_56">#REF!</definedName>
    <definedName name="_FilterDatabase_57" localSheetId="4">#REF!</definedName>
    <definedName name="_FilterDatabase_57" localSheetId="0">#REF!</definedName>
    <definedName name="_FilterDatabase_57">#REF!</definedName>
    <definedName name="_FilterDatabase_58" localSheetId="4">#REF!</definedName>
    <definedName name="_FilterDatabase_58" localSheetId="0">#REF!</definedName>
    <definedName name="_FilterDatabase_58">#REF!</definedName>
    <definedName name="_FilterDatabase_59" localSheetId="4">#REF!</definedName>
    <definedName name="_FilterDatabase_59" localSheetId="0">#REF!</definedName>
    <definedName name="_FilterDatabase_59">#REF!</definedName>
    <definedName name="_FilterDatabase_6" localSheetId="4">#REF!</definedName>
    <definedName name="_FilterDatabase_6" localSheetId="0">#REF!</definedName>
    <definedName name="_FilterDatabase_6">#REF!</definedName>
    <definedName name="_FilterDatabase_60" localSheetId="4">#REF!</definedName>
    <definedName name="_FilterDatabase_60" localSheetId="0">#REF!</definedName>
    <definedName name="_FilterDatabase_60">#REF!</definedName>
    <definedName name="_FilterDatabase_61" localSheetId="4">#REF!</definedName>
    <definedName name="_FilterDatabase_61" localSheetId="0">#REF!</definedName>
    <definedName name="_FilterDatabase_61">#REF!</definedName>
    <definedName name="_FilterDatabase_62" localSheetId="4">#REF!</definedName>
    <definedName name="_FilterDatabase_62" localSheetId="0">#REF!</definedName>
    <definedName name="_FilterDatabase_62">#REF!</definedName>
    <definedName name="_FilterDatabase_63" localSheetId="4">#REF!</definedName>
    <definedName name="_FilterDatabase_63" localSheetId="0">#REF!</definedName>
    <definedName name="_FilterDatabase_63">#REF!</definedName>
    <definedName name="_FilterDatabase_64" localSheetId="4">#REF!</definedName>
    <definedName name="_FilterDatabase_64" localSheetId="0">#REF!</definedName>
    <definedName name="_FilterDatabase_64">#REF!</definedName>
    <definedName name="_FilterDatabase_65" localSheetId="4">#REF!</definedName>
    <definedName name="_FilterDatabase_65" localSheetId="0">#REF!</definedName>
    <definedName name="_FilterDatabase_65">#REF!</definedName>
    <definedName name="_FilterDatabase_66" localSheetId="4">#REF!</definedName>
    <definedName name="_FilterDatabase_66" localSheetId="0">#REF!</definedName>
    <definedName name="_FilterDatabase_66">#REF!</definedName>
    <definedName name="_FilterDatabase_67" localSheetId="4">#REF!</definedName>
    <definedName name="_FilterDatabase_67" localSheetId="0">#REF!</definedName>
    <definedName name="_FilterDatabase_67">#REF!</definedName>
    <definedName name="_FilterDatabase_68" localSheetId="4">#REF!</definedName>
    <definedName name="_FilterDatabase_68" localSheetId="0">#REF!</definedName>
    <definedName name="_FilterDatabase_68">#REF!</definedName>
    <definedName name="_FilterDatabase_69" localSheetId="4">#REF!</definedName>
    <definedName name="_FilterDatabase_69" localSheetId="0">#REF!</definedName>
    <definedName name="_FilterDatabase_69">#REF!</definedName>
    <definedName name="_FilterDatabase_7" localSheetId="4">#REF!</definedName>
    <definedName name="_FilterDatabase_7" localSheetId="0">#REF!</definedName>
    <definedName name="_FilterDatabase_7">#REF!</definedName>
    <definedName name="_FilterDatabase_70" localSheetId="4">#REF!</definedName>
    <definedName name="_FilterDatabase_70" localSheetId="0">#REF!</definedName>
    <definedName name="_FilterDatabase_70">#REF!</definedName>
    <definedName name="_FilterDatabase_71" localSheetId="4">#REF!</definedName>
    <definedName name="_FilterDatabase_71" localSheetId="0">#REF!</definedName>
    <definedName name="_FilterDatabase_71">#REF!</definedName>
    <definedName name="_FilterDatabase_72" localSheetId="4">#REF!</definedName>
    <definedName name="_FilterDatabase_72" localSheetId="0">#REF!</definedName>
    <definedName name="_FilterDatabase_72">#REF!</definedName>
    <definedName name="_FilterDatabase_73" localSheetId="4">#REF!</definedName>
    <definedName name="_FilterDatabase_73" localSheetId="0">#REF!</definedName>
    <definedName name="_FilterDatabase_73">#REF!</definedName>
    <definedName name="_FilterDatabase_74" localSheetId="4">#REF!</definedName>
    <definedName name="_FilterDatabase_74" localSheetId="0">#REF!</definedName>
    <definedName name="_FilterDatabase_74">#REF!</definedName>
    <definedName name="_FilterDatabase_75" localSheetId="4">#REF!</definedName>
    <definedName name="_FilterDatabase_75" localSheetId="0">#REF!</definedName>
    <definedName name="_FilterDatabase_75">#REF!</definedName>
    <definedName name="_FilterDatabase_8" localSheetId="4">#REF!</definedName>
    <definedName name="_FilterDatabase_8" localSheetId="0">#REF!</definedName>
    <definedName name="_FilterDatabase_8">#REF!</definedName>
    <definedName name="_FilterDatabase_9" localSheetId="4">#REF!</definedName>
    <definedName name="_FilterDatabase_9" localSheetId="0">#REF!</definedName>
    <definedName name="_FilterDatabase_9">#REF!</definedName>
    <definedName name="_fiO1">"'file:///D:/PROJEKT PRZETARGOWY REWIZJA T3/Ściany T3/Wykazy stali/K-B1-40-A-T3.xls'#$'2'.$#ODWOŁANIE!$#ODWOŁANIE!"</definedName>
    <definedName name="_fiO2">"'file:///D:/PROJEKT PRZETARGOWY REWIZJA T3/Ściany T3/Wykazy stali/K-B1-40-A-T3.xls'#$'2'.$#ODWOŁANIE!$#ODWOŁANIE!"</definedName>
    <definedName name="_fio3">"'file:///D:/PROJEKT PRZETARGOWY REWIZJA T3/Ściany T3/Wykazy stali/K-B1-40-A-T3.xls'#$'2'.$#ODWOŁANIE!$#ODWOŁANIE!"</definedName>
    <definedName name="_FMAIL" localSheetId="4" hidden="1">#REF!</definedName>
    <definedName name="_FMAIL" localSheetId="5" hidden="1">#REF!</definedName>
    <definedName name="_FMAIL" localSheetId="0" hidden="1">#REF!</definedName>
    <definedName name="_FMAIL" hidden="1">#REF!</definedName>
    <definedName name="_fmn1" localSheetId="4">#REF!</definedName>
    <definedName name="_fmn1" localSheetId="5">#REF!</definedName>
    <definedName name="_fmn1" localSheetId="0">#REF!</definedName>
    <definedName name="_fmn1">#REF!</definedName>
    <definedName name="_fos1" localSheetId="4">#REF!</definedName>
    <definedName name="_fos1" localSheetId="5">#REF!</definedName>
    <definedName name="_fos1" localSheetId="0">#REF!</definedName>
    <definedName name="_fos1">#REF!</definedName>
    <definedName name="_hno2" localSheetId="4">#REF!</definedName>
    <definedName name="_hno2" localSheetId="5">#REF!</definedName>
    <definedName name="_hno2" localSheetId="0">#REF!</definedName>
    <definedName name="_hno2">#REF!</definedName>
    <definedName name="_I">NA()</definedName>
    <definedName name="_ı9" localSheetId="4">#REF!</definedName>
    <definedName name="_ı9" localSheetId="5">#REF!</definedName>
    <definedName name="_ı9" localSheetId="0">#REF!</definedName>
    <definedName name="_ı9">#REF!</definedName>
    <definedName name="_id650000" localSheetId="4">#REF!</definedName>
    <definedName name="_id650000" localSheetId="5">#REF!</definedName>
    <definedName name="_id650000" localSheetId="0">#REF!</definedName>
    <definedName name="_id650000">#REF!</definedName>
    <definedName name="_imp1" localSheetId="4">#REF!</definedName>
    <definedName name="_imp1" localSheetId="5">#REF!</definedName>
    <definedName name="_imp1" localSheetId="0">#REF!</definedName>
    <definedName name="_imp1">#REF!</definedName>
    <definedName name="_JUL2011" localSheetId="4">#REF!</definedName>
    <definedName name="_JUL2011" localSheetId="0">#REF!</definedName>
    <definedName name="_JUL2011">#REF!</definedName>
    <definedName name="_JUL2012" localSheetId="4">#REF!</definedName>
    <definedName name="_JUL2012" localSheetId="0">#REF!</definedName>
    <definedName name="_JUL2012">#REF!</definedName>
    <definedName name="_JUN2011" localSheetId="4">#REF!</definedName>
    <definedName name="_JUN2011" localSheetId="0">#REF!</definedName>
    <definedName name="_JUN2011">#REF!</definedName>
    <definedName name="_JUN2012" localSheetId="4">#REF!</definedName>
    <definedName name="_JUN2012" localSheetId="0">#REF!</definedName>
    <definedName name="_JUN2012">#REF!</definedName>
    <definedName name="_Key1" localSheetId="4" hidden="1">#REF!</definedName>
    <definedName name="_Key1" localSheetId="5" hidden="1">#REF!</definedName>
    <definedName name="_Key1" localSheetId="0" hidden="1">#REF!</definedName>
    <definedName name="_Key1" hidden="1">#REF!</definedName>
    <definedName name="_Key2" localSheetId="4" hidden="1">#REF!</definedName>
    <definedName name="_Key2" localSheetId="5" hidden="1">#REF!</definedName>
    <definedName name="_Key2" localSheetId="0" hidden="1">#REF!</definedName>
    <definedName name="_Key2" hidden="1">#REF!</definedName>
    <definedName name="_L65700" localSheetId="4">#REF!</definedName>
    <definedName name="_L65700" localSheetId="5">#REF!</definedName>
    <definedName name="_L65700" localSheetId="0">#REF!</definedName>
    <definedName name="_L65700">#REF!</definedName>
    <definedName name="_L65800" localSheetId="4">#REF!</definedName>
    <definedName name="_L65800" localSheetId="5">#REF!</definedName>
    <definedName name="_L65800" localSheetId="0">#REF!</definedName>
    <definedName name="_L65800">#REF!</definedName>
    <definedName name="_L65900" localSheetId="4">#REF!</definedName>
    <definedName name="_L65900" localSheetId="0">#REF!</definedName>
    <definedName name="_L65900">#REF!</definedName>
    <definedName name="_L66044" localSheetId="4">#REF!</definedName>
    <definedName name="_L66044" localSheetId="0">#REF!</definedName>
    <definedName name="_L66044">#REF!</definedName>
    <definedName name="_L70091" localSheetId="4">#REF!</definedName>
    <definedName name="_L70091" localSheetId="0">#REF!</definedName>
    <definedName name="_L70091">#REF!</definedName>
    <definedName name="_L80090" localSheetId="4">#REF!</definedName>
    <definedName name="_L80090" localSheetId="0">#REF!</definedName>
    <definedName name="_L80090">#REF!</definedName>
    <definedName name="_m1" localSheetId="4">#REF!</definedName>
    <definedName name="_m1" localSheetId="0">#REF!</definedName>
    <definedName name="_m1">#REF!</definedName>
    <definedName name="_m2" localSheetId="4">#REF!</definedName>
    <definedName name="_m2" localSheetId="0">#REF!</definedName>
    <definedName name="_m2">#REF!</definedName>
    <definedName name="_MAR2011" localSheetId="4">#REF!</definedName>
    <definedName name="_MAR2011" localSheetId="0">#REF!</definedName>
    <definedName name="_MAR2011">#REF!</definedName>
    <definedName name="_MAR2012" localSheetId="4">#REF!</definedName>
    <definedName name="_MAR2012" localSheetId="0">#REF!</definedName>
    <definedName name="_MAR2012">#REF!</definedName>
    <definedName name="_mat" localSheetId="0">#REF!</definedName>
    <definedName name="_mat">#REF!</definedName>
    <definedName name="_mat1" localSheetId="0">#REF!</definedName>
    <definedName name="_mat1">#REF!</definedName>
    <definedName name="_mat2" localSheetId="0">#REF!</definedName>
    <definedName name="_mat2">#REF!</definedName>
    <definedName name="_mati" localSheetId="0">#REF!</definedName>
    <definedName name="_mati">#REF!</definedName>
    <definedName name="_MAY2011" localSheetId="4">#REF!</definedName>
    <definedName name="_MAY2011" localSheetId="5">#REF!</definedName>
    <definedName name="_MAY2011" localSheetId="0">#REF!</definedName>
    <definedName name="_MAY2011">#REF!</definedName>
    <definedName name="_MAY2012" localSheetId="4">#REF!</definedName>
    <definedName name="_MAY2012" localSheetId="5">#REF!</definedName>
    <definedName name="_MAY2012" localSheetId="0">#REF!</definedName>
    <definedName name="_MAY2012">#REF!</definedName>
    <definedName name="_MB2012" localSheetId="0">#REF!</definedName>
    <definedName name="_MB2012">#REF!</definedName>
    <definedName name="_MT1" localSheetId="4">#REF!</definedName>
    <definedName name="_MT1" localSheetId="5">#REF!</definedName>
    <definedName name="_MT1" localSheetId="0">#REF!</definedName>
    <definedName name="_MT1">#REF!</definedName>
    <definedName name="_MT2" localSheetId="4">#REF!</definedName>
    <definedName name="_MT2" localSheetId="5">#REF!</definedName>
    <definedName name="_MT2" localSheetId="0">#REF!</definedName>
    <definedName name="_MT2">#REF!</definedName>
    <definedName name="_NOV2011" localSheetId="4">#REF!</definedName>
    <definedName name="_NOV2011" localSheetId="5">#REF!</definedName>
    <definedName name="_NOV2011" localSheetId="0">#REF!</definedName>
    <definedName name="_NOV2011">#REF!</definedName>
    <definedName name="_NOV2012" localSheetId="4">#REF!</definedName>
    <definedName name="_NOV2012" localSheetId="0">#REF!</definedName>
    <definedName name="_NOV2012">#REF!</definedName>
    <definedName name="_OCT2011" localSheetId="4">#REF!</definedName>
    <definedName name="_OCT2011" localSheetId="0">#REF!</definedName>
    <definedName name="_OCT2011">#REF!</definedName>
    <definedName name="_OCT2012" localSheetId="4">#REF!</definedName>
    <definedName name="_OCT2012" localSheetId="0">#REF!</definedName>
    <definedName name="_OCT2012">#REF!</definedName>
    <definedName name="_od1" localSheetId="4">#REF!</definedName>
    <definedName name="_od1" localSheetId="0">#REF!</definedName>
    <definedName name="_od1">#REF!</definedName>
    <definedName name="_od2" localSheetId="4">#REF!</definedName>
    <definedName name="_od2" localSheetId="0">#REF!</definedName>
    <definedName name="_od2">#REF!</definedName>
    <definedName name="_od3" localSheetId="4">#REF!</definedName>
    <definedName name="_od3" localSheetId="0">#REF!</definedName>
    <definedName name="_od3">#REF!</definedName>
    <definedName name="_od4" localSheetId="4">#REF!</definedName>
    <definedName name="_od4" localSheetId="0">#REF!</definedName>
    <definedName name="_od4">#REF!</definedName>
    <definedName name="_ods1" localSheetId="4">#REF!</definedName>
    <definedName name="_ods1" localSheetId="0">#REF!</definedName>
    <definedName name="_ods1">#REF!</definedName>
    <definedName name="_ods2" localSheetId="4">#REF!</definedName>
    <definedName name="_ods2" localSheetId="0">#REF!</definedName>
    <definedName name="_ods2">#REF!</definedName>
    <definedName name="_ods3" localSheetId="4">#REF!</definedName>
    <definedName name="_ods3" localSheetId="0">#REF!</definedName>
    <definedName name="_ods3">#REF!</definedName>
    <definedName name="_ods4" localSheetId="4">#REF!</definedName>
    <definedName name="_ods4" localSheetId="0">#REF!</definedName>
    <definedName name="_ods4">#REF!</definedName>
    <definedName name="_old2" localSheetId="0">#REF!</definedName>
    <definedName name="_old2">#REF!</definedName>
    <definedName name="_old3" localSheetId="4" hidden="1">{#N/A,#N/A,FALSE,"Summary";#N/A,#N/A,FALSE,"3TJ";#N/A,#N/A,FALSE,"3TN";#N/A,#N/A,FALSE,"3TP";#N/A,#N/A,FALSE,"3SJ";#N/A,#N/A,FALSE,"3CJ";#N/A,#N/A,FALSE,"3CN";#N/A,#N/A,FALSE,"3CP";#N/A,#N/A,FALSE,"3A"}</definedName>
    <definedName name="_old3" localSheetId="6" hidden="1">{#N/A,#N/A,FALSE,"Summary";#N/A,#N/A,FALSE,"3TJ";#N/A,#N/A,FALSE,"3TN";#N/A,#N/A,FALSE,"3TP";#N/A,#N/A,FALSE,"3SJ";#N/A,#N/A,FALSE,"3CJ";#N/A,#N/A,FALSE,"3CN";#N/A,#N/A,FALSE,"3CP";#N/A,#N/A,FALSE,"3A"}</definedName>
    <definedName name="_old3" localSheetId="5" hidden="1">{#N/A,#N/A,FALSE,"Summary";#N/A,#N/A,FALSE,"3TJ";#N/A,#N/A,FALSE,"3TN";#N/A,#N/A,FALSE,"3TP";#N/A,#N/A,FALSE,"3SJ";#N/A,#N/A,FALSE,"3CJ";#N/A,#N/A,FALSE,"3CN";#N/A,#N/A,FALSE,"3CP";#N/A,#N/A,FALSE,"3A"}</definedName>
    <definedName name="_old3" localSheetId="0"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4">#REF!</definedName>
    <definedName name="_old5" localSheetId="4" hidden="1">{#N/A,#N/A,FALSE,"Summary";#N/A,#N/A,FALSE,"3TJ";#N/A,#N/A,FALSE,"3TN";#N/A,#N/A,FALSE,"3TP";#N/A,#N/A,FALSE,"3SJ";#N/A,#N/A,FALSE,"3CJ";#N/A,#N/A,FALSE,"3CN";#N/A,#N/A,FALSE,"3CP";#N/A,#N/A,FALSE,"3A"}</definedName>
    <definedName name="_old5" localSheetId="6" hidden="1">{#N/A,#N/A,FALSE,"Summary";#N/A,#N/A,FALSE,"3TJ";#N/A,#N/A,FALSE,"3TN";#N/A,#N/A,FALSE,"3TP";#N/A,#N/A,FALSE,"3SJ";#N/A,#N/A,FALSE,"3CJ";#N/A,#N/A,FALSE,"3CN";#N/A,#N/A,FALSE,"3CP";#N/A,#N/A,FALSE,"3A"}</definedName>
    <definedName name="_old5" localSheetId="5" hidden="1">{#N/A,#N/A,FALSE,"Summary";#N/A,#N/A,FALSE,"3TJ";#N/A,#N/A,FALSE,"3TN";#N/A,#N/A,FALSE,"3TP";#N/A,#N/A,FALSE,"3SJ";#N/A,#N/A,FALSE,"3CJ";#N/A,#N/A,FALSE,"3CN";#N/A,#N/A,FALSE,"3CP";#N/A,#N/A,FALSE,"3A"}</definedName>
    <definedName name="_old5" localSheetId="0"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6">#REF!</definedName>
    <definedName name="_old7" localSheetId="4" hidden="1">{#N/A,#N/A,FALSE,"Summary";#N/A,#N/A,FALSE,"3TJ";#N/A,#N/A,FALSE,"3TN";#N/A,#N/A,FALSE,"3TP";#N/A,#N/A,FALSE,"3SJ";#N/A,#N/A,FALSE,"3CJ";#N/A,#N/A,FALSE,"3CN";#N/A,#N/A,FALSE,"3CP";#N/A,#N/A,FALSE,"3A"}</definedName>
    <definedName name="_old7" localSheetId="6" hidden="1">{#N/A,#N/A,FALSE,"Summary";#N/A,#N/A,FALSE,"3TJ";#N/A,#N/A,FALSE,"3TN";#N/A,#N/A,FALSE,"3TP";#N/A,#N/A,FALSE,"3SJ";#N/A,#N/A,FALSE,"3CJ";#N/A,#N/A,FALSE,"3CN";#N/A,#N/A,FALSE,"3CP";#N/A,#N/A,FALSE,"3A"}</definedName>
    <definedName name="_old7" localSheetId="5" hidden="1">{#N/A,#N/A,FALSE,"Summary";#N/A,#N/A,FALSE,"3TJ";#N/A,#N/A,FALSE,"3TN";#N/A,#N/A,FALSE,"3TP";#N/A,#N/A,FALSE,"3SJ";#N/A,#N/A,FALSE,"3CJ";#N/A,#N/A,FALSE,"3CN";#N/A,#N/A,FALSE,"3CP";#N/A,#N/A,FALSE,"3A"}</definedName>
    <definedName name="_old7" localSheetId="0"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pl2" localSheetId="4">#REF!-89235.715-1120.75</definedName>
    <definedName name="_opl2" localSheetId="5">#REF!-89235.715-1120.75</definedName>
    <definedName name="_opl2" localSheetId="0">#REF!-89235.715-1120.75</definedName>
    <definedName name="_opl2">#REF!-89235.715-1120.75</definedName>
    <definedName name="_opl2_1" localSheetId="4">#REF!-89235.715-1120.75</definedName>
    <definedName name="_opl2_1" localSheetId="5">#REF!-89235.715-1120.75</definedName>
    <definedName name="_opl2_1" localSheetId="0">#REF!-89235.715-1120.75</definedName>
    <definedName name="_opl2_1">#REF!-89235.715-1120.75</definedName>
    <definedName name="_opl2_1_1" localSheetId="4">#REF!-89235.715-1120.75</definedName>
    <definedName name="_opl2_1_1" localSheetId="5">#REF!-89235.715-1120.75</definedName>
    <definedName name="_opl2_1_1" localSheetId="0">#REF!-89235.715-1120.75</definedName>
    <definedName name="_opl2_1_1">#REF!-89235.715-1120.75</definedName>
    <definedName name="_opl2_1_2" localSheetId="4">#REF!-89235.715-1120.75</definedName>
    <definedName name="_opl2_1_2" localSheetId="0">#REF!-89235.715-1120.75</definedName>
    <definedName name="_opl2_1_2">#REF!-89235.715-1120.75</definedName>
    <definedName name="_opl2_2" localSheetId="4">#REF!-89235.715-1120.75</definedName>
    <definedName name="_opl2_2" localSheetId="0">#REF!-89235.715-1120.75</definedName>
    <definedName name="_opl2_2">#REF!-89235.715-1120.75</definedName>
    <definedName name="_opl2_3" localSheetId="4">#REF!-89235.715-1120.75</definedName>
    <definedName name="_opl2_3" localSheetId="0">#REF!-89235.715-1120.75</definedName>
    <definedName name="_opl2_3">#REF!-89235.715-1120.75</definedName>
    <definedName name="_Order1" hidden="1">255</definedName>
    <definedName name="_Order2" localSheetId="4" hidden="1">0</definedName>
    <definedName name="_Order2" hidden="1">255</definedName>
    <definedName name="_OS13" localSheetId="4">#REF!</definedName>
    <definedName name="_OS13" localSheetId="5">#REF!</definedName>
    <definedName name="_OS13" localSheetId="0">#REF!</definedName>
    <definedName name="_OS13">#REF!</definedName>
    <definedName name="_p1" localSheetId="4">#REF!</definedName>
    <definedName name="_p1" localSheetId="5">#REF!</definedName>
    <definedName name="_p1" localSheetId="0">#REF!</definedName>
    <definedName name="_p1">#REF!</definedName>
    <definedName name="_pal1" localSheetId="4">#REF!</definedName>
    <definedName name="_pal1" localSheetId="5">#REF!</definedName>
    <definedName name="_pal1" localSheetId="0">#REF!</definedName>
    <definedName name="_pal1">#REF!</definedName>
    <definedName name="_pal2" localSheetId="4">#REF!</definedName>
    <definedName name="_pal2" localSheetId="5">#REF!</definedName>
    <definedName name="_pal2" localSheetId="0">#REF!</definedName>
    <definedName name="_pal2">#REF!</definedName>
    <definedName name="_pas1" localSheetId="0">#REF!</definedName>
    <definedName name="_pas1">#REF!</definedName>
    <definedName name="_pas2" localSheetId="4" hidden="1">#REF!</definedName>
    <definedName name="_pas2" localSheetId="5" hidden="1">#REF!</definedName>
    <definedName name="_pas2" localSheetId="0" hidden="1">#REF!</definedName>
    <definedName name="_pas2" hidden="1">#REF!</definedName>
    <definedName name="_PAS5" localSheetId="4">#REF!</definedName>
    <definedName name="_PAS5" localSheetId="5">#REF!</definedName>
    <definedName name="_PAS5" localSheetId="0">#REF!</definedName>
    <definedName name="_PAS5">#REF!</definedName>
    <definedName name="_PIC1" localSheetId="4">#REF!</definedName>
    <definedName name="_PIC1" localSheetId="5">#REF!</definedName>
    <definedName name="_PIC1" localSheetId="0">#REF!</definedName>
    <definedName name="_PIC1">#REF!</definedName>
    <definedName name="_PIC2" localSheetId="4">#REF!</definedName>
    <definedName name="_PIC2" localSheetId="0">#REF!</definedName>
    <definedName name="_PIC2">#REF!</definedName>
    <definedName name="_PIC3" localSheetId="4">#REF!</definedName>
    <definedName name="_PIC3" localSheetId="0">#REF!</definedName>
    <definedName name="_PIC3">#REF!</definedName>
    <definedName name="_PIC4" localSheetId="4">#REF!</definedName>
    <definedName name="_PIC4" localSheetId="0">#REF!</definedName>
    <definedName name="_PIC4">#REF!</definedName>
    <definedName name="_pk1" localSheetId="0">#REF!</definedName>
    <definedName name="_pk1">#REF!</definedName>
    <definedName name="_pmf01" localSheetId="4">#REF!</definedName>
    <definedName name="_pmf01" localSheetId="5">#REF!</definedName>
    <definedName name="_pmf01" localSheetId="0">#REF!</definedName>
    <definedName name="_pmf01">#REF!</definedName>
    <definedName name="_pmf02" localSheetId="4">#REF!</definedName>
    <definedName name="_pmf02" localSheetId="5">#REF!</definedName>
    <definedName name="_pmf02" localSheetId="0">#REF!</definedName>
    <definedName name="_pmf02">#REF!</definedName>
    <definedName name="_pmf03" localSheetId="4">#REF!</definedName>
    <definedName name="_pmf03" localSheetId="5">#REF!</definedName>
    <definedName name="_pmf03" localSheetId="0">#REF!</definedName>
    <definedName name="_pmf03">#REF!</definedName>
    <definedName name="_pmf04" localSheetId="4">#REF!</definedName>
    <definedName name="_pmf04" localSheetId="0">#REF!</definedName>
    <definedName name="_pmf04">#REF!</definedName>
    <definedName name="_pmf05" localSheetId="4">#REF!</definedName>
    <definedName name="_pmf05" localSheetId="0">#REF!</definedName>
    <definedName name="_pmf05">#REF!</definedName>
    <definedName name="_pmf06" localSheetId="4">#REF!</definedName>
    <definedName name="_pmf06" localSheetId="0">#REF!</definedName>
    <definedName name="_pmf06">#REF!</definedName>
    <definedName name="_pmf07" localSheetId="4">#REF!</definedName>
    <definedName name="_pmf07" localSheetId="0">#REF!</definedName>
    <definedName name="_pmf07">#REF!</definedName>
    <definedName name="_pmf08" localSheetId="4">#REF!</definedName>
    <definedName name="_pmf08" localSheetId="0">#REF!</definedName>
    <definedName name="_pmf08">#REF!</definedName>
    <definedName name="_pmf09" localSheetId="4">#REF!</definedName>
    <definedName name="_pmf09" localSheetId="0">#REF!</definedName>
    <definedName name="_pmf09">#REF!</definedName>
    <definedName name="_pmf10" localSheetId="4">#REF!</definedName>
    <definedName name="_pmf10" localSheetId="0">#REF!</definedName>
    <definedName name="_pmf10">#REF!</definedName>
    <definedName name="_pmf11" localSheetId="4">#REF!</definedName>
    <definedName name="_pmf11" localSheetId="0">#REF!</definedName>
    <definedName name="_pmf11">#REF!</definedName>
    <definedName name="_pmf12" localSheetId="4">#REF!</definedName>
    <definedName name="_pmf12" localSheetId="0">#REF!</definedName>
    <definedName name="_pmf12">#REF!</definedName>
    <definedName name="_pmf13" localSheetId="4">#REF!</definedName>
    <definedName name="_pmf13" localSheetId="0">#REF!</definedName>
    <definedName name="_pmf13">#REF!</definedName>
    <definedName name="_por1" localSheetId="0">#REF!</definedName>
    <definedName name="_por1">#REF!</definedName>
    <definedName name="_por2" localSheetId="0">#REF!</definedName>
    <definedName name="_por2">#REF!</definedName>
    <definedName name="_por3" localSheetId="0">#REF!</definedName>
    <definedName name="_por3">#REF!</definedName>
    <definedName name="_Pow1" localSheetId="4">#REF!</definedName>
    <definedName name="_Pow1" localSheetId="5">#REF!</definedName>
    <definedName name="_Pow1" localSheetId="0">#REF!</definedName>
    <definedName name="_Pow1">#REF!</definedName>
    <definedName name="_Pow2" localSheetId="4">#REF!</definedName>
    <definedName name="_Pow2" localSheetId="5">#REF!</definedName>
    <definedName name="_Pow2" localSheetId="0">#REF!</definedName>
    <definedName name="_Pow2">#REF!</definedName>
    <definedName name="_Pow3" localSheetId="4">#REF!</definedName>
    <definedName name="_Pow3" localSheetId="5">#REF!</definedName>
    <definedName name="_Pow3" localSheetId="0">#REF!</definedName>
    <definedName name="_Pow3">#REF!</definedName>
    <definedName name="_pr1" localSheetId="4">#REF!</definedName>
    <definedName name="_pr1" localSheetId="5">#REF!</definedName>
    <definedName name="_pr1" localSheetId="0">#REF!</definedName>
    <definedName name="_pr1">#REF!</definedName>
    <definedName name="_PVC1" localSheetId="4">#REF!</definedName>
    <definedName name="_PVC1" localSheetId="5">#REF!</definedName>
    <definedName name="_PVC1" localSheetId="0">#REF!</definedName>
    <definedName name="_PVC1">#REF!</definedName>
    <definedName name="_PVC2" localSheetId="4">#REF!</definedName>
    <definedName name="_PVC2" localSheetId="5">#REF!</definedName>
    <definedName name="_PVC2" localSheetId="0">#REF!</definedName>
    <definedName name="_PVC2">#REF!</definedName>
    <definedName name="_QTY1">#N/A</definedName>
    <definedName name="_r" localSheetId="4">#REF!</definedName>
    <definedName name="_r" localSheetId="5">#REF!</definedName>
    <definedName name="_r" localSheetId="0">#REF!</definedName>
    <definedName name="_r">#REF!</definedName>
    <definedName name="_rad2" localSheetId="4">#REF!</definedName>
    <definedName name="_rad2" localSheetId="5">#REF!</definedName>
    <definedName name="_rad2" localSheetId="0">#REF!</definedName>
    <definedName name="_rad2">#REF!</definedName>
    <definedName name="_RBS1" localSheetId="4">#REF!</definedName>
    <definedName name="_RBS1" localSheetId="5">#REF!</definedName>
    <definedName name="_RBS1" localSheetId="0">#REF!</definedName>
    <definedName name="_RBS1">#REF!</definedName>
    <definedName name="_RE100" localSheetId="4">#REF!</definedName>
    <definedName name="_RE100" localSheetId="0">#REF!</definedName>
    <definedName name="_RE100">#REF!</definedName>
    <definedName name="_RE104" localSheetId="4">#REF!</definedName>
    <definedName name="_RE104" localSheetId="0">#REF!</definedName>
    <definedName name="_RE104">#REF!</definedName>
    <definedName name="_RE112" localSheetId="4">#REF!</definedName>
    <definedName name="_RE112" localSheetId="0">#REF!</definedName>
    <definedName name="_RE112">#REF!</definedName>
    <definedName name="_RE26" localSheetId="4">#REF!</definedName>
    <definedName name="_RE26" localSheetId="0">#REF!</definedName>
    <definedName name="_RE26">#REF!</definedName>
    <definedName name="_RE28" localSheetId="4">#REF!</definedName>
    <definedName name="_RE28" localSheetId="0">#REF!</definedName>
    <definedName name="_RE28">#REF!</definedName>
    <definedName name="_RE30" localSheetId="4">#REF!</definedName>
    <definedName name="_RE30" localSheetId="0">#REF!</definedName>
    <definedName name="_RE30">#REF!</definedName>
    <definedName name="_RE32" localSheetId="4">#REF!</definedName>
    <definedName name="_RE32" localSheetId="0">#REF!</definedName>
    <definedName name="_RE32">#REF!</definedName>
    <definedName name="_RE34" localSheetId="4">#REF!</definedName>
    <definedName name="_RE34" localSheetId="0">#REF!</definedName>
    <definedName name="_RE34">#REF!</definedName>
    <definedName name="_RE36" localSheetId="4">#REF!</definedName>
    <definedName name="_RE36" localSheetId="0">#REF!</definedName>
    <definedName name="_RE36">#REF!</definedName>
    <definedName name="_RE38" localSheetId="4">#REF!</definedName>
    <definedName name="_RE38" localSheetId="0">#REF!</definedName>
    <definedName name="_RE38">#REF!</definedName>
    <definedName name="_RE40" localSheetId="4">#REF!</definedName>
    <definedName name="_RE40" localSheetId="0">#REF!</definedName>
    <definedName name="_RE40">#REF!</definedName>
    <definedName name="_RE42" localSheetId="4">#REF!</definedName>
    <definedName name="_RE42" localSheetId="0">#REF!</definedName>
    <definedName name="_RE42">#REF!</definedName>
    <definedName name="_RE44" localSheetId="4">#REF!</definedName>
    <definedName name="_RE44" localSheetId="0">#REF!</definedName>
    <definedName name="_RE44">#REF!</definedName>
    <definedName name="_RE48" localSheetId="4">#REF!</definedName>
    <definedName name="_RE48" localSheetId="0">#REF!</definedName>
    <definedName name="_RE48">#REF!</definedName>
    <definedName name="_RE52" localSheetId="4">#REF!</definedName>
    <definedName name="_RE52" localSheetId="0">#REF!</definedName>
    <definedName name="_RE52">#REF!</definedName>
    <definedName name="_RE56" localSheetId="4">#REF!</definedName>
    <definedName name="_RE56" localSheetId="0">#REF!</definedName>
    <definedName name="_RE56">#REF!</definedName>
    <definedName name="_RE60" localSheetId="4">#REF!</definedName>
    <definedName name="_RE60" localSheetId="0">#REF!</definedName>
    <definedName name="_RE60">#REF!</definedName>
    <definedName name="_RE64" localSheetId="4">#REF!</definedName>
    <definedName name="_RE64" localSheetId="0">#REF!</definedName>
    <definedName name="_RE64">#REF!</definedName>
    <definedName name="_RE68" localSheetId="4">#REF!</definedName>
    <definedName name="_RE68" localSheetId="0">#REF!</definedName>
    <definedName name="_RE68">#REF!</definedName>
    <definedName name="_RE72" localSheetId="4">#REF!</definedName>
    <definedName name="_RE72" localSheetId="0">#REF!</definedName>
    <definedName name="_RE72">#REF!</definedName>
    <definedName name="_RE76" localSheetId="4">#REF!</definedName>
    <definedName name="_RE76" localSheetId="0">#REF!</definedName>
    <definedName name="_RE76">#REF!</definedName>
    <definedName name="_RE80" localSheetId="4">#REF!</definedName>
    <definedName name="_RE80" localSheetId="0">#REF!</definedName>
    <definedName name="_RE80">#REF!</definedName>
    <definedName name="_RE88" localSheetId="4">#REF!</definedName>
    <definedName name="_RE88" localSheetId="0">#REF!</definedName>
    <definedName name="_RE88">#REF!</definedName>
    <definedName name="_RE92" localSheetId="4">#REF!</definedName>
    <definedName name="_RE92" localSheetId="0">#REF!</definedName>
    <definedName name="_RE92">#REF!</definedName>
    <definedName name="_RE96" localSheetId="4">#REF!</definedName>
    <definedName name="_RE96" localSheetId="0">#REF!</definedName>
    <definedName name="_RE96">#REF!</definedName>
    <definedName name="_Regression_Int">1</definedName>
    <definedName name="_Regression_Out" localSheetId="4" hidden="1">#REF!</definedName>
    <definedName name="_Regression_Out" localSheetId="5" hidden="1">#REF!</definedName>
    <definedName name="_Regression_Out" localSheetId="0" hidden="1">#REF!</definedName>
    <definedName name="_Regression_Out" hidden="1">#REF!</definedName>
    <definedName name="_Regression_X" localSheetId="4" hidden="1">#REF!</definedName>
    <definedName name="_Regression_X" localSheetId="5" hidden="1">#REF!</definedName>
    <definedName name="_Regression_X" localSheetId="0" hidden="1">#REF!</definedName>
    <definedName name="_Regression_X" hidden="1">#REF!</definedName>
    <definedName name="_Regression_Y" localSheetId="4" hidden="1">#REF!</definedName>
    <definedName name="_Regression_Y" localSheetId="5" hidden="1">#REF!</definedName>
    <definedName name="_Regression_Y" localSheetId="0" hidden="1">#REF!</definedName>
    <definedName name="_Regression_Y" hidden="1">#REF!</definedName>
    <definedName name="_res1" localSheetId="0">#REF!</definedName>
    <definedName name="_res1">#REF!</definedName>
    <definedName name="_res2" localSheetId="0">#REF!</definedName>
    <definedName name="_res2">#REF!</definedName>
    <definedName name="_res3" localSheetId="0">#REF!</definedName>
    <definedName name="_res3">#REF!</definedName>
    <definedName name="_res4" localSheetId="0">#REF!</definedName>
    <definedName name="_res4">#REF!</definedName>
    <definedName name="_ric1" localSheetId="0">#REF!</definedName>
    <definedName name="_ric1">#REF!</definedName>
    <definedName name="_ric2" localSheetId="0">#REF!</definedName>
    <definedName name="_ric2">#REF!</definedName>
    <definedName name="_ric3" localSheetId="0">#REF!</definedName>
    <definedName name="_ric3">#REF!</definedName>
    <definedName name="_ric4" localSheetId="0">#REF!</definedName>
    <definedName name="_ric4">#REF!</definedName>
    <definedName name="_rob1" localSheetId="4">#REF!</definedName>
    <definedName name="_rob1" localSheetId="5">#REF!</definedName>
    <definedName name="_rob1" localSheetId="0">#REF!</definedName>
    <definedName name="_rob1">#REF!</definedName>
    <definedName name="_rok2003" localSheetId="0">#REF!</definedName>
    <definedName name="_rok2003">#REF!</definedName>
    <definedName name="_rok2004" localSheetId="0">#REF!</definedName>
    <definedName name="_rok2004">#REF!</definedName>
    <definedName name="_rok2005" localSheetId="0">#REF!</definedName>
    <definedName name="_rok2005">#REF!</definedName>
    <definedName name="_s" localSheetId="4">#REF!</definedName>
    <definedName name="_s" localSheetId="5">#REF!</definedName>
    <definedName name="_s" localSheetId="0">#REF!</definedName>
    <definedName name="_s">#REF!</definedName>
    <definedName name="_s21" localSheetId="4" hidden="1">#REF!</definedName>
    <definedName name="_s21" localSheetId="5" hidden="1">#REF!</definedName>
    <definedName name="_s21" localSheetId="0" hidden="1">#REF!</definedName>
    <definedName name="_s21" hidden="1">#REF!</definedName>
    <definedName name="_sc1" localSheetId="4">#REF!</definedName>
    <definedName name="_sc1" localSheetId="5">#REF!</definedName>
    <definedName name="_sc1" localSheetId="0">#REF!</definedName>
    <definedName name="_sc1">#REF!</definedName>
    <definedName name="_sc10" localSheetId="4">#REF!</definedName>
    <definedName name="_sc10" localSheetId="0">#REF!</definedName>
    <definedName name="_sc10">#REF!</definedName>
    <definedName name="_sc11" localSheetId="4">#REF!</definedName>
    <definedName name="_sc11" localSheetId="0">#REF!</definedName>
    <definedName name="_sc11">#REF!</definedName>
    <definedName name="_sc12" localSheetId="4">#REF!</definedName>
    <definedName name="_sc12" localSheetId="0">#REF!</definedName>
    <definedName name="_sc12">#REF!</definedName>
    <definedName name="_sc13" localSheetId="4">#REF!</definedName>
    <definedName name="_sc13" localSheetId="0">#REF!</definedName>
    <definedName name="_sc13">#REF!</definedName>
    <definedName name="_sc15" localSheetId="4">#REF!</definedName>
    <definedName name="_sc15" localSheetId="0">#REF!</definedName>
    <definedName name="_sc15">#REF!</definedName>
    <definedName name="_sc16" localSheetId="4">#REF!</definedName>
    <definedName name="_sc16" localSheetId="0">#REF!</definedName>
    <definedName name="_sc16">#REF!</definedName>
    <definedName name="_sc17" localSheetId="4">#REF!</definedName>
    <definedName name="_sc17" localSheetId="0">#REF!</definedName>
    <definedName name="_sc17">#REF!</definedName>
    <definedName name="_sc18" localSheetId="4">#REF!</definedName>
    <definedName name="_sc18" localSheetId="0">#REF!</definedName>
    <definedName name="_sc18">#REF!</definedName>
    <definedName name="_sc2" localSheetId="4">#REF!</definedName>
    <definedName name="_sc2" localSheetId="0">#REF!</definedName>
    <definedName name="_sc2">#REF!</definedName>
    <definedName name="_sc20" localSheetId="4">#REF!</definedName>
    <definedName name="_sc20" localSheetId="0">#REF!</definedName>
    <definedName name="_sc20">#REF!</definedName>
    <definedName name="_sc21" localSheetId="4">#REF!</definedName>
    <definedName name="_sc21" localSheetId="0">#REF!</definedName>
    <definedName name="_sc21">#REF!</definedName>
    <definedName name="_sc22" localSheetId="4">#REF!</definedName>
    <definedName name="_sc22" localSheetId="0">#REF!</definedName>
    <definedName name="_sc22">#REF!</definedName>
    <definedName name="_sc23" localSheetId="4">#REF!</definedName>
    <definedName name="_sc23" localSheetId="0">#REF!</definedName>
    <definedName name="_sc23">#REF!</definedName>
    <definedName name="_sc24" localSheetId="4">#REF!</definedName>
    <definedName name="_sc24" localSheetId="0">#REF!</definedName>
    <definedName name="_sc24">#REF!</definedName>
    <definedName name="_sc25" localSheetId="4">#REF!</definedName>
    <definedName name="_sc25" localSheetId="0">#REF!</definedName>
    <definedName name="_sc25">#REF!</definedName>
    <definedName name="_sc26" localSheetId="4">#REF!</definedName>
    <definedName name="_sc26" localSheetId="0">#REF!</definedName>
    <definedName name="_sc26">#REF!</definedName>
    <definedName name="_sc27" localSheetId="4">#REF!</definedName>
    <definedName name="_sc27" localSheetId="0">#REF!</definedName>
    <definedName name="_sc27">#REF!</definedName>
    <definedName name="_sc28" localSheetId="4">#REF!</definedName>
    <definedName name="_sc28" localSheetId="0">#REF!</definedName>
    <definedName name="_sc28">#REF!</definedName>
    <definedName name="_sc29" localSheetId="4">#REF!</definedName>
    <definedName name="_sc29" localSheetId="0">#REF!</definedName>
    <definedName name="_sc29">#REF!</definedName>
    <definedName name="_sc3" localSheetId="4">#REF!</definedName>
    <definedName name="_sc3" localSheetId="0">#REF!</definedName>
    <definedName name="_sc3">#REF!</definedName>
    <definedName name="_sc31" localSheetId="4">#REF!</definedName>
    <definedName name="_sc31" localSheetId="0">#REF!</definedName>
    <definedName name="_sc31">#REF!</definedName>
    <definedName name="_sc4" localSheetId="4">#REF!</definedName>
    <definedName name="_sc4" localSheetId="0">#REF!</definedName>
    <definedName name="_sc4">#REF!</definedName>
    <definedName name="_sc5" localSheetId="4">#REF!</definedName>
    <definedName name="_sc5" localSheetId="0">#REF!</definedName>
    <definedName name="_sc5">#REF!</definedName>
    <definedName name="_sc6" localSheetId="4">#REF!</definedName>
    <definedName name="_sc6" localSheetId="0">#REF!</definedName>
    <definedName name="_sc6">#REF!</definedName>
    <definedName name="_sc7" localSheetId="4">#REF!</definedName>
    <definedName name="_sc7" localSheetId="0">#REF!</definedName>
    <definedName name="_sc7">#REF!</definedName>
    <definedName name="_sc8" localSheetId="4">#REF!</definedName>
    <definedName name="_sc8" localSheetId="0">#REF!</definedName>
    <definedName name="_sc8">#REF!</definedName>
    <definedName name="_SCH10" localSheetId="4">#REF!</definedName>
    <definedName name="_SCH10" localSheetId="0">#REF!</definedName>
    <definedName name="_SCH10">#REF!</definedName>
    <definedName name="_SCH40" localSheetId="4">#REF!</definedName>
    <definedName name="_SCH40" localSheetId="0">#REF!</definedName>
    <definedName name="_SCH40">#REF!</definedName>
    <definedName name="_se1" localSheetId="0">#REF!</definedName>
    <definedName name="_se1">#REF!</definedName>
    <definedName name="_se2" localSheetId="0">#REF!</definedName>
    <definedName name="_se2">#REF!</definedName>
    <definedName name="_se3" localSheetId="0">#REF!</definedName>
    <definedName name="_se3">#REF!</definedName>
    <definedName name="_SEP2011" localSheetId="4">#REF!</definedName>
    <definedName name="_SEP2011" localSheetId="5">#REF!</definedName>
    <definedName name="_SEP2011" localSheetId="0">#REF!</definedName>
    <definedName name="_SEP2011">#REF!</definedName>
    <definedName name="_SEP2012" localSheetId="4">#REF!</definedName>
    <definedName name="_SEP2012" localSheetId="5">#REF!</definedName>
    <definedName name="_SEP2012" localSheetId="0">#REF!</definedName>
    <definedName name="_SEP2012">#REF!</definedName>
    <definedName name="_SET1" localSheetId="4">#REF!</definedName>
    <definedName name="_SET1" localSheetId="5">#REF!</definedName>
    <definedName name="_SET1" localSheetId="0">#REF!</definedName>
    <definedName name="_SET1">#REF!</definedName>
    <definedName name="_SET11" localSheetId="4">#REF!</definedName>
    <definedName name="_SET11" localSheetId="0">#REF!</definedName>
    <definedName name="_SET11">#REF!</definedName>
    <definedName name="_SET2" localSheetId="4">#REF!</definedName>
    <definedName name="_SET2" localSheetId="0">#REF!</definedName>
    <definedName name="_SET2">#REF!</definedName>
    <definedName name="_SET22" localSheetId="4">#REF!</definedName>
    <definedName name="_SET22" localSheetId="0">#REF!</definedName>
    <definedName name="_SET22">#REF!</definedName>
    <definedName name="_SET3" localSheetId="4">#REF!</definedName>
    <definedName name="_SET3" localSheetId="0">#REF!</definedName>
    <definedName name="_SET3">#REF!</definedName>
    <definedName name="_SET33" localSheetId="4">#REF!</definedName>
    <definedName name="_SET33" localSheetId="0">#REF!</definedName>
    <definedName name="_SET33">#REF!</definedName>
    <definedName name="_SET4" localSheetId="4">#REF!</definedName>
    <definedName name="_SET4" localSheetId="0">#REF!</definedName>
    <definedName name="_SET4">#REF!</definedName>
    <definedName name="_SET44" localSheetId="4">#REF!</definedName>
    <definedName name="_SET44" localSheetId="0">#REF!</definedName>
    <definedName name="_SET44">#REF!</definedName>
    <definedName name="_SET5" localSheetId="4">#REF!</definedName>
    <definedName name="_SET5" localSheetId="0">#REF!</definedName>
    <definedName name="_SET5">#REF!</definedName>
    <definedName name="_SK13" localSheetId="4">#REF!</definedName>
    <definedName name="_SK13" localSheetId="0">#REF!</definedName>
    <definedName name="_SK13">#REF!</definedName>
    <definedName name="_SKI13" localSheetId="4">#REF!</definedName>
    <definedName name="_SKI13" localSheetId="0">#REF!</definedName>
    <definedName name="_SKI13">#REF!</definedName>
    <definedName name="_Sort" localSheetId="4" hidden="1">#REF!</definedName>
    <definedName name="_Sort" localSheetId="5" hidden="1">#REF!</definedName>
    <definedName name="_Sort" localSheetId="0" hidden="1">#REF!</definedName>
    <definedName name="_Sort" hidden="1">#REF!</definedName>
    <definedName name="_SORT2" localSheetId="4" hidden="1">#REF!</definedName>
    <definedName name="_SORT2" localSheetId="5" hidden="1">#REF!</definedName>
    <definedName name="_SORT2" localSheetId="0" hidden="1">#REF!</definedName>
    <definedName name="_SORT2" hidden="1">#REF!</definedName>
    <definedName name="_sprzciezki" localSheetId="0">#REF!</definedName>
    <definedName name="_sprzciezki">#REF!</definedName>
    <definedName name="_sprzeciezki" localSheetId="0">#REF!</definedName>
    <definedName name="_sprzeciezki">#REF!</definedName>
    <definedName name="_ST13" localSheetId="4">#REF!</definedName>
    <definedName name="_ST13" localSheetId="5">#REF!</definedName>
    <definedName name="_ST13" localSheetId="0">#REF!</definedName>
    <definedName name="_ST13">#REF!</definedName>
    <definedName name="_stp1" localSheetId="4">#REF!</definedName>
    <definedName name="_stp1" localSheetId="5">#REF!</definedName>
    <definedName name="_stp1" localSheetId="0">#REF!</definedName>
    <definedName name="_stp1">#REF!</definedName>
    <definedName name="_stp2" localSheetId="4">#REF!</definedName>
    <definedName name="_stp2" localSheetId="5">#REF!</definedName>
    <definedName name="_stp2" localSheetId="0">#REF!</definedName>
    <definedName name="_stp2">#REF!</definedName>
    <definedName name="_stp3" localSheetId="4">#REF!</definedName>
    <definedName name="_stp3" localSheetId="0">#REF!</definedName>
    <definedName name="_stp3">#REF!</definedName>
    <definedName name="_stp4" localSheetId="4">#REF!</definedName>
    <definedName name="_stp4" localSheetId="0">#REF!</definedName>
    <definedName name="_stp4">#REF!</definedName>
    <definedName name="_str1" localSheetId="4">#REF!</definedName>
    <definedName name="_str1" localSheetId="0">#REF!</definedName>
    <definedName name="_str1">#REF!</definedName>
    <definedName name="_str10" localSheetId="4">#REF!</definedName>
    <definedName name="_str10" localSheetId="0">#REF!</definedName>
    <definedName name="_str10">#REF!</definedName>
    <definedName name="_str11" localSheetId="4">#REF!</definedName>
    <definedName name="_str11" localSheetId="0">#REF!</definedName>
    <definedName name="_str11">#REF!</definedName>
    <definedName name="_str12" localSheetId="4">#REF!</definedName>
    <definedName name="_str12" localSheetId="0">#REF!</definedName>
    <definedName name="_str12">#REF!</definedName>
    <definedName name="_str14" localSheetId="4">#REF!</definedName>
    <definedName name="_str14" localSheetId="0">#REF!</definedName>
    <definedName name="_str14">#REF!</definedName>
    <definedName name="_str15" localSheetId="4">#REF!</definedName>
    <definedName name="_str15" localSheetId="0">#REF!</definedName>
    <definedName name="_str15">#REF!</definedName>
    <definedName name="_str17" localSheetId="4">#REF!</definedName>
    <definedName name="_str17" localSheetId="0">#REF!</definedName>
    <definedName name="_str17">#REF!</definedName>
    <definedName name="_str18" localSheetId="4">#REF!</definedName>
    <definedName name="_str18" localSheetId="0">#REF!</definedName>
    <definedName name="_str18">#REF!</definedName>
    <definedName name="_str2" localSheetId="4">#REF!</definedName>
    <definedName name="_str2" localSheetId="0">#REF!</definedName>
    <definedName name="_str2">#REF!</definedName>
    <definedName name="_str20" localSheetId="4">#REF!</definedName>
    <definedName name="_str20" localSheetId="0">#REF!</definedName>
    <definedName name="_str20">#REF!</definedName>
    <definedName name="_str22" localSheetId="4">#REF!</definedName>
    <definedName name="_str22" localSheetId="0">#REF!</definedName>
    <definedName name="_str22">#REF!</definedName>
    <definedName name="_str24" localSheetId="4">#REF!</definedName>
    <definedName name="_str24" localSheetId="0">#REF!</definedName>
    <definedName name="_str24">#REF!</definedName>
    <definedName name="_str26" localSheetId="4">#REF!</definedName>
    <definedName name="_str26" localSheetId="0">#REF!</definedName>
    <definedName name="_str26">#REF!</definedName>
    <definedName name="_str3" localSheetId="4">#REF!</definedName>
    <definedName name="_str3" localSheetId="0">#REF!</definedName>
    <definedName name="_str3">#REF!</definedName>
    <definedName name="_str4" localSheetId="4">#REF!</definedName>
    <definedName name="_str4" localSheetId="0">#REF!</definedName>
    <definedName name="_str4">#REF!</definedName>
    <definedName name="_str5" localSheetId="4">#REF!</definedName>
    <definedName name="_str5" localSheetId="0">#REF!</definedName>
    <definedName name="_str5">#REF!</definedName>
    <definedName name="_str6" localSheetId="4">#REF!</definedName>
    <definedName name="_str6" localSheetId="0">#REF!</definedName>
    <definedName name="_str6">#REF!</definedName>
    <definedName name="_str7" localSheetId="4">#REF!</definedName>
    <definedName name="_str7" localSheetId="0">#REF!</definedName>
    <definedName name="_str7">#REF!</definedName>
    <definedName name="_str8" localSheetId="4">#REF!</definedName>
    <definedName name="_str8" localSheetId="0">#REF!</definedName>
    <definedName name="_str8">#REF!</definedName>
    <definedName name="_str9" localSheetId="4">#REF!</definedName>
    <definedName name="_str9" localSheetId="0">#REF!</definedName>
    <definedName name="_str9">#REF!</definedName>
    <definedName name="_t1" localSheetId="4">#REF!</definedName>
    <definedName name="_t1" localSheetId="0">#REF!</definedName>
    <definedName name="_t1">#REF!</definedName>
    <definedName name="_Table1_In1" localSheetId="4" hidden="1">#REF!</definedName>
    <definedName name="_Table1_In1" localSheetId="0" hidden="1">#REF!</definedName>
    <definedName name="_Table1_In1" hidden="1">#REF!</definedName>
    <definedName name="_Table1_In11" localSheetId="4" hidden="1">#REF!</definedName>
    <definedName name="_Table1_In11" localSheetId="0" hidden="1">#REF!</definedName>
    <definedName name="_Table1_In11" hidden="1">#REF!</definedName>
    <definedName name="_Table1_In2" localSheetId="4" hidden="1">#REF!</definedName>
    <definedName name="_Table1_In2" localSheetId="0" hidden="1">#REF!</definedName>
    <definedName name="_Table1_In2" hidden="1">#REF!</definedName>
    <definedName name="_Table1_Out" localSheetId="4" hidden="1">#REF!</definedName>
    <definedName name="_Table1_Out" localSheetId="0" hidden="1">#REF!</definedName>
    <definedName name="_Table1_Out" hidden="1">#REF!</definedName>
    <definedName name="_TCV02011" localSheetId="0">#REF!</definedName>
    <definedName name="_TCV02011">#REF!</definedName>
    <definedName name="_TDC2001" localSheetId="0">#REF!</definedName>
    <definedName name="_TDC2001">#REF!</definedName>
    <definedName name="_tr1" localSheetId="4">#REF!</definedName>
    <definedName name="_tr1" localSheetId="5">#REF!</definedName>
    <definedName name="_tr1" localSheetId="0">#REF!</definedName>
    <definedName name="_tr1">#REF!</definedName>
    <definedName name="_us96" localSheetId="4">#REF!</definedName>
    <definedName name="_us96" localSheetId="5">#REF!</definedName>
    <definedName name="_us96" localSheetId="0">#REF!</definedName>
    <definedName name="_us96">#REF!</definedName>
    <definedName name="_WD10" localSheetId="4">#REF!</definedName>
    <definedName name="_WD10" localSheetId="5">#REF!</definedName>
    <definedName name="_WD10" localSheetId="0">#REF!</definedName>
    <definedName name="_WD10">#REF!</definedName>
    <definedName name="_WD2" localSheetId="4">#REF!</definedName>
    <definedName name="_WD2" localSheetId="5">#REF!</definedName>
    <definedName name="_WD2" localSheetId="0">#REF!</definedName>
    <definedName name="_WD2">#REF!</definedName>
    <definedName name="_wezeł4" localSheetId="4">#REF!</definedName>
    <definedName name="_wezeł4" localSheetId="5">#REF!</definedName>
    <definedName name="_wezeł4" localSheetId="0">#REF!</definedName>
    <definedName name="_wezeł4">#REF!</definedName>
    <definedName name="_WP1" localSheetId="4">#REF!</definedName>
    <definedName name="_WP1" localSheetId="5">#REF!</definedName>
    <definedName name="_WP1" localSheetId="0">#REF!</definedName>
    <definedName name="_WP1">#REF!</definedName>
    <definedName name="_zb1" localSheetId="0">#REF!</definedName>
    <definedName name="_zb1">#REF!</definedName>
    <definedName name="a" localSheetId="4">#REF!</definedName>
    <definedName name="a" localSheetId="5">#REF!</definedName>
    <definedName name="a" localSheetId="0">#REF!</definedName>
    <definedName name="a">#REF!</definedName>
    <definedName name="A." localSheetId="4">#REF!</definedName>
    <definedName name="A." localSheetId="5">#REF!</definedName>
    <definedName name="A." localSheetId="0">#REF!</definedName>
    <definedName name="A.">#REF!</definedName>
    <definedName name="a___1" localSheetId="4">#REF!</definedName>
    <definedName name="a___1" localSheetId="5">#REF!</definedName>
    <definedName name="a___1" localSheetId="0">#REF!</definedName>
    <definedName name="a___1">#REF!</definedName>
    <definedName name="A_impresión_IM" localSheetId="4">#REF!</definedName>
    <definedName name="A_impresión_IM" localSheetId="5">#REF!</definedName>
    <definedName name="A_impresión_IM" localSheetId="0">#REF!</definedName>
    <definedName name="A_impresión_IM">#REF!</definedName>
    <definedName name="A1A">#N/A</definedName>
    <definedName name="A2A">#N/A</definedName>
    <definedName name="A3A">#N/A</definedName>
    <definedName name="A4A">#N/A</definedName>
    <definedName name="aa" localSheetId="4">#REF!</definedName>
    <definedName name="aa" localSheetId="5">#REF!</definedName>
    <definedName name="aa" localSheetId="0">#REF!</definedName>
    <definedName name="aa">#REF!</definedName>
    <definedName name="aaa" localSheetId="4">#REF!</definedName>
    <definedName name="aaa" localSheetId="5">#REF!</definedName>
    <definedName name="aaa" localSheetId="0">#REF!</definedName>
    <definedName name="aaa">#REF!</definedName>
    <definedName name="aaa___0" localSheetId="4">#REF!</definedName>
    <definedName name="aaa___0" localSheetId="5">#REF!</definedName>
    <definedName name="aaa___0" localSheetId="0">#REF!</definedName>
    <definedName name="aaa___0">#REF!</definedName>
    <definedName name="aaaa" localSheetId="4" hidden="1">#REF!</definedName>
    <definedName name="aaaa" localSheetId="0" hidden="1">#REF!</definedName>
    <definedName name="aaaa" hidden="1">#REF!</definedName>
    <definedName name="aaaaa" localSheetId="4" hidden="1">{"'Feuil1'!$A$1:$Y$50"}</definedName>
    <definedName name="aaaaa" localSheetId="5">#REF!</definedName>
    <definedName name="aaaaa" localSheetId="0">#REF!</definedName>
    <definedName name="aaaaa">#REF!</definedName>
    <definedName name="aaaaaa" localSheetId="4" hidden="1">#REF!</definedName>
    <definedName name="aaaaaa" localSheetId="5" hidden="1">#REF!</definedName>
    <definedName name="aaaaaa" localSheetId="0" hidden="1">#REF!</definedName>
    <definedName name="aaaaaa" hidden="1">#REF!</definedName>
    <definedName name="aaaaaaa" localSheetId="4">#REF!</definedName>
    <definedName name="aaaaaaa" localSheetId="0">#REF!</definedName>
    <definedName name="aaaaaaa">#REF!</definedName>
    <definedName name="aaaaaaaaa" localSheetId="4">#REF!</definedName>
    <definedName name="aaaaaaaaa" localSheetId="0">#REF!</definedName>
    <definedName name="aaaaaaaaa">#REF!</definedName>
    <definedName name="aaaaaaaaaaa" localSheetId="4">#REF!</definedName>
    <definedName name="aaaaaaaaaaa" localSheetId="0">#REF!</definedName>
    <definedName name="aaaaaaaaaaa">#REF!</definedName>
    <definedName name="aaaaaaaaaaa_2" localSheetId="4">#REF!</definedName>
    <definedName name="aaaaaaaaaaa_2" localSheetId="0">#REF!</definedName>
    <definedName name="aaaaaaaaaaa_2">#REF!</definedName>
    <definedName name="aaaaaaaaaaa_6" localSheetId="4">#REF!</definedName>
    <definedName name="aaaaaaaaaaa_6" localSheetId="0">#REF!</definedName>
    <definedName name="aaaaaaaaaaa_6">#REF!</definedName>
    <definedName name="aaaaaaaaaaaaaa" localSheetId="4" hidden="1">#REF!</definedName>
    <definedName name="aaaaaaaaaaaaaa" localSheetId="0" hidden="1">#REF!</definedName>
    <definedName name="aaaaaaaaaaaaaa" hidden="1">#REF!</definedName>
    <definedName name="AAAAAAAAAAAAAAAAA" localSheetId="4" hidden="1">#REF!</definedName>
    <definedName name="AAAAAAAAAAAAAAAAA" localSheetId="5" hidden="1">#REF!</definedName>
    <definedName name="AAAAAAAAAAAAAAAAA" localSheetId="0" hidden="1">#REF!</definedName>
    <definedName name="AAAAAAAAAAAAAAAAA" hidden="1">#REF!</definedName>
    <definedName name="aaddd" localSheetId="4">#REF!</definedName>
    <definedName name="aaddd" localSheetId="5">#REF!</definedName>
    <definedName name="aaddd" localSheetId="0">#REF!</definedName>
    <definedName name="aaddd">#REF!</definedName>
    <definedName name="AATITEL" localSheetId="0">#REF!</definedName>
    <definedName name="AATITEL">#REF!</definedName>
    <definedName name="ab" localSheetId="4" hidden="1">{#N/A,#N/A,FALSE,"SumD";#N/A,#N/A,FALSE,"ElecD";#N/A,#N/A,FALSE,"MechD";#N/A,#N/A,FALSE,"GeotD";#N/A,#N/A,FALSE,"PrcsD";#N/A,#N/A,FALSE,"TunnD";#N/A,#N/A,FALSE,"CivlD";#N/A,#N/A,FALSE,"NtwkD";#N/A,#N/A,FALSE,"EstgD";#N/A,#N/A,FALSE,"PEngD"}</definedName>
    <definedName name="ab" localSheetId="6" hidden="1">{#N/A,#N/A,FALSE,"SumD";#N/A,#N/A,FALSE,"ElecD";#N/A,#N/A,FALSE,"MechD";#N/A,#N/A,FALSE,"GeotD";#N/A,#N/A,FALSE,"PrcsD";#N/A,#N/A,FALSE,"TunnD";#N/A,#N/A,FALSE,"CivlD";#N/A,#N/A,FALSE,"NtwkD";#N/A,#N/A,FALSE,"EstgD";#N/A,#N/A,FALSE,"PEngD"}</definedName>
    <definedName name="ab" localSheetId="5" hidden="1">{#N/A,#N/A,FALSE,"SumD";#N/A,#N/A,FALSE,"ElecD";#N/A,#N/A,FALSE,"MechD";#N/A,#N/A,FALSE,"GeotD";#N/A,#N/A,FALSE,"PrcsD";#N/A,#N/A,FALSE,"TunnD";#N/A,#N/A,FALSE,"CivlD";#N/A,#N/A,FALSE,"NtwkD";#N/A,#N/A,FALSE,"EstgD";#N/A,#N/A,FALSE,"PEngD"}</definedName>
    <definedName name="ab" localSheetId="0" hidden="1">{#N/A,#N/A,FALSE,"SumD";#N/A,#N/A,FALSE,"ElecD";#N/A,#N/A,FALSE,"MechD";#N/A,#N/A,FALSE,"GeotD";#N/A,#N/A,FALSE,"PrcsD";#N/A,#N/A,FALSE,"TunnD";#N/A,#N/A,FALSE,"CivlD";#N/A,#N/A,FALSE,"NtwkD";#N/A,#N/A,FALSE,"EstgD";#N/A,#N/A,FALSE,"PEngD"}</definedName>
    <definedName name="ab" hidden="1">{#N/A,#N/A,FALSE,"SumD";#N/A,#N/A,FALSE,"ElecD";#N/A,#N/A,FALSE,"MechD";#N/A,#N/A,FALSE,"GeotD";#N/A,#N/A,FALSE,"PrcsD";#N/A,#N/A,FALSE,"TunnD";#N/A,#N/A,FALSE,"CivlD";#N/A,#N/A,FALSE,"NtwkD";#N/A,#N/A,FALSE,"EstgD";#N/A,#N/A,FALSE,"PEngD"}</definedName>
    <definedName name="abc" localSheetId="4">#REF!</definedName>
    <definedName name="abc" localSheetId="5">#REF!</definedName>
    <definedName name="abc" localSheetId="0">#REF!</definedName>
    <definedName name="abc">#REF!</definedName>
    <definedName name="ABCD" localSheetId="0">#REF!</definedName>
    <definedName name="ABCD">#REF!</definedName>
    <definedName name="abiz" localSheetId="0">#REF!</definedName>
    <definedName name="abiz">#REF!</definedName>
    <definedName name="abizol" localSheetId="4">#REF!</definedName>
    <definedName name="abizol" localSheetId="5">#REF!</definedName>
    <definedName name="abizol" localSheetId="0">#REF!</definedName>
    <definedName name="abizol">#REF!</definedName>
    <definedName name="ac" localSheetId="4" hidden="1">{#N/A,#N/A,FALSE,"SumD";#N/A,#N/A,FALSE,"ElecD";#N/A,#N/A,FALSE,"MechD";#N/A,#N/A,FALSE,"GeotD";#N/A,#N/A,FALSE,"PrcsD";#N/A,#N/A,FALSE,"TunnD";#N/A,#N/A,FALSE,"CivlD";#N/A,#N/A,FALSE,"NtwkD";#N/A,#N/A,FALSE,"EstgD";#N/A,#N/A,FALSE,"PEngD"}</definedName>
    <definedName name="ac" localSheetId="6" hidden="1">{#N/A,#N/A,FALSE,"SumD";#N/A,#N/A,FALSE,"ElecD";#N/A,#N/A,FALSE,"MechD";#N/A,#N/A,FALSE,"GeotD";#N/A,#N/A,FALSE,"PrcsD";#N/A,#N/A,FALSE,"TunnD";#N/A,#N/A,FALSE,"CivlD";#N/A,#N/A,FALSE,"NtwkD";#N/A,#N/A,FALSE,"EstgD";#N/A,#N/A,FALSE,"PEngD"}</definedName>
    <definedName name="ac" localSheetId="5" hidden="1">{#N/A,#N/A,FALSE,"SumD";#N/A,#N/A,FALSE,"ElecD";#N/A,#N/A,FALSE,"MechD";#N/A,#N/A,FALSE,"GeotD";#N/A,#N/A,FALSE,"PrcsD";#N/A,#N/A,FALSE,"TunnD";#N/A,#N/A,FALSE,"CivlD";#N/A,#N/A,FALSE,"NtwkD";#N/A,#N/A,FALSE,"EstgD";#N/A,#N/A,FALSE,"PEngD"}</definedName>
    <definedName name="ac" localSheetId="0"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ARREOBASE" localSheetId="4">#REF!</definedName>
    <definedName name="ACARREOBASE" localSheetId="5">#REF!</definedName>
    <definedName name="ACARREOBASE" localSheetId="0">#REF!</definedName>
    <definedName name="ACARREOBASE">#REF!</definedName>
    <definedName name="ACARREOBASE2" localSheetId="4">#REF!</definedName>
    <definedName name="ACARREOBASE2" localSheetId="5">#REF!</definedName>
    <definedName name="ACARREOBASE2" localSheetId="0">#REF!</definedName>
    <definedName name="ACARREOBASE2">#REF!</definedName>
    <definedName name="acb">#N/A</definedName>
    <definedName name="AccessDatabase" hidden="1">"D:\Budżety\kontrakty\MARŻA_PLAN.mdb"</definedName>
    <definedName name="ACCIONES_TOMADAS" localSheetId="4">#REF!</definedName>
    <definedName name="ACCIONES_TOMADAS" localSheetId="5">#REF!</definedName>
    <definedName name="ACCIONES_TOMADAS" localSheetId="0">#REF!</definedName>
    <definedName name="ACCIONES_TOMADAS">#REF!</definedName>
    <definedName name="ACCNT_10" localSheetId="4">#REF!</definedName>
    <definedName name="ACCNT_10" localSheetId="5">#REF!</definedName>
    <definedName name="ACCNT_10" localSheetId="0">#REF!</definedName>
    <definedName name="ACCNT_10">#REF!</definedName>
    <definedName name="ACCNT_10THRU95" localSheetId="4">#REF!</definedName>
    <definedName name="ACCNT_10THRU95" localSheetId="5">#REF!</definedName>
    <definedName name="ACCNT_10THRU95" localSheetId="0">#REF!</definedName>
    <definedName name="ACCNT_10THRU95">#REF!</definedName>
    <definedName name="ACCNT_11" localSheetId="4">#REF!</definedName>
    <definedName name="ACCNT_11" localSheetId="0">#REF!</definedName>
    <definedName name="ACCNT_11">#REF!</definedName>
    <definedName name="ACCNT_12" localSheetId="4">#REF!</definedName>
    <definedName name="ACCNT_12" localSheetId="0">#REF!</definedName>
    <definedName name="ACCNT_12">#REF!</definedName>
    <definedName name="ACCNT_13" localSheetId="4">#REF!</definedName>
    <definedName name="ACCNT_13" localSheetId="0">#REF!</definedName>
    <definedName name="ACCNT_13">#REF!</definedName>
    <definedName name="ACCNT_14" localSheetId="4">#REF!</definedName>
    <definedName name="ACCNT_14" localSheetId="0">#REF!</definedName>
    <definedName name="ACCNT_14">#REF!</definedName>
    <definedName name="ACCNT_15" localSheetId="4">#REF!</definedName>
    <definedName name="ACCNT_15" localSheetId="0">#REF!</definedName>
    <definedName name="ACCNT_15">#REF!</definedName>
    <definedName name="ACCNT_15.11" localSheetId="4">#REF!</definedName>
    <definedName name="ACCNT_15.11" localSheetId="0">#REF!</definedName>
    <definedName name="ACCNT_15.11">#REF!</definedName>
    <definedName name="ACCNT_15.12" localSheetId="4">#REF!</definedName>
    <definedName name="ACCNT_15.12" localSheetId="0">#REF!</definedName>
    <definedName name="ACCNT_15.12">#REF!</definedName>
    <definedName name="ACCNT_15.14" localSheetId="4">#REF!</definedName>
    <definedName name="ACCNT_15.14" localSheetId="0">#REF!</definedName>
    <definedName name="ACCNT_15.14">#REF!</definedName>
    <definedName name="ACCNT_15.22" localSheetId="4">#REF!</definedName>
    <definedName name="ACCNT_15.22" localSheetId="0">#REF!</definedName>
    <definedName name="ACCNT_15.22">#REF!</definedName>
    <definedName name="ACCNT_16" localSheetId="4">#REF!</definedName>
    <definedName name="ACCNT_16" localSheetId="0">#REF!</definedName>
    <definedName name="ACCNT_16">#REF!</definedName>
    <definedName name="ACCNT_20" localSheetId="4">#REF!</definedName>
    <definedName name="ACCNT_20" localSheetId="0">#REF!</definedName>
    <definedName name="ACCNT_20">#REF!</definedName>
    <definedName name="ACCNT_21" localSheetId="4">#REF!</definedName>
    <definedName name="ACCNT_21" localSheetId="0">#REF!</definedName>
    <definedName name="ACCNT_21">#REF!</definedName>
    <definedName name="accnt_21.01" localSheetId="4">#REF!</definedName>
    <definedName name="accnt_21.01" localSheetId="0">#REF!</definedName>
    <definedName name="accnt_21.01">#REF!</definedName>
    <definedName name="accnt_21.02" localSheetId="4">#REF!</definedName>
    <definedName name="accnt_21.02" localSheetId="0">#REF!</definedName>
    <definedName name="accnt_21.02">#REF!</definedName>
    <definedName name="ACCNT_22" localSheetId="4">#REF!</definedName>
    <definedName name="ACCNT_22" localSheetId="0">#REF!</definedName>
    <definedName name="ACCNT_22">#REF!</definedName>
    <definedName name="ACCNT_22.9" localSheetId="4">#REF!</definedName>
    <definedName name="ACCNT_22.9" localSheetId="0">#REF!</definedName>
    <definedName name="ACCNT_22.9">#REF!</definedName>
    <definedName name="ACCNT_23" localSheetId="4">#REF!</definedName>
    <definedName name="ACCNT_23" localSheetId="0">#REF!</definedName>
    <definedName name="ACCNT_23">#REF!</definedName>
    <definedName name="ACCNT_25" localSheetId="4">#REF!</definedName>
    <definedName name="ACCNT_25" localSheetId="0">#REF!</definedName>
    <definedName name="ACCNT_25">#REF!</definedName>
    <definedName name="ACCNT_25.4" localSheetId="4">#REF!</definedName>
    <definedName name="ACCNT_25.4" localSheetId="0">#REF!</definedName>
    <definedName name="ACCNT_25.4">#REF!</definedName>
    <definedName name="ACCNT_25.6" localSheetId="4">#REF!</definedName>
    <definedName name="ACCNT_25.6" localSheetId="0">#REF!</definedName>
    <definedName name="ACCNT_25.6">#REF!</definedName>
    <definedName name="ACCNT_26" localSheetId="4">#REF!</definedName>
    <definedName name="ACCNT_26" localSheetId="0">#REF!</definedName>
    <definedName name="ACCNT_26">#REF!</definedName>
    <definedName name="ACCNT_26.2" localSheetId="4">#REF!</definedName>
    <definedName name="ACCNT_26.2" localSheetId="0">#REF!</definedName>
    <definedName name="ACCNT_26.2">#REF!</definedName>
    <definedName name="ACCNT_26.3" localSheetId="4">#REF!</definedName>
    <definedName name="ACCNT_26.3" localSheetId="0">#REF!</definedName>
    <definedName name="ACCNT_26.3">#REF!</definedName>
    <definedName name="ACCNT_27.1" localSheetId="4">#REF!</definedName>
    <definedName name="ACCNT_27.1" localSheetId="0">#REF!</definedName>
    <definedName name="ACCNT_27.1">#REF!</definedName>
    <definedName name="ACCNT_27.2" localSheetId="4">#REF!</definedName>
    <definedName name="ACCNT_27.2" localSheetId="0">#REF!</definedName>
    <definedName name="ACCNT_27.2">#REF!</definedName>
    <definedName name="ACCNT_28" localSheetId="4">#REF!</definedName>
    <definedName name="ACCNT_28" localSheetId="0">#REF!</definedName>
    <definedName name="ACCNT_28">#REF!</definedName>
    <definedName name="ACCNT_28.6" localSheetId="4">#REF!</definedName>
    <definedName name="ACCNT_28.6" localSheetId="0">#REF!</definedName>
    <definedName name="ACCNT_28.6">#REF!</definedName>
    <definedName name="ACCNT_29" localSheetId="4">#REF!</definedName>
    <definedName name="ACCNT_29" localSheetId="0">#REF!</definedName>
    <definedName name="ACCNT_29">#REF!</definedName>
    <definedName name="ACCNT_30" localSheetId="4">#REF!</definedName>
    <definedName name="ACCNT_30" localSheetId="0">#REF!</definedName>
    <definedName name="ACCNT_30">#REF!</definedName>
    <definedName name="ACCNT_40" localSheetId="4">#REF!</definedName>
    <definedName name="ACCNT_40" localSheetId="0">#REF!</definedName>
    <definedName name="ACCNT_40">#REF!</definedName>
    <definedName name="ACCNT_41" localSheetId="4">#REF!</definedName>
    <definedName name="ACCNT_41" localSheetId="0">#REF!</definedName>
    <definedName name="ACCNT_41">#REF!</definedName>
    <definedName name="ACCNT_41.1" localSheetId="4">#REF!</definedName>
    <definedName name="ACCNT_41.1" localSheetId="0">#REF!</definedName>
    <definedName name="ACCNT_41.1">#REF!</definedName>
    <definedName name="ACCNT_42" localSheetId="4">#REF!</definedName>
    <definedName name="ACCNT_42" localSheetId="0">#REF!</definedName>
    <definedName name="ACCNT_42">#REF!</definedName>
    <definedName name="ACCNT_43" localSheetId="4">#REF!</definedName>
    <definedName name="ACCNT_43" localSheetId="0">#REF!</definedName>
    <definedName name="ACCNT_43">#REF!</definedName>
    <definedName name="ACCNT_44" localSheetId="4">#REF!</definedName>
    <definedName name="ACCNT_44" localSheetId="0">#REF!</definedName>
    <definedName name="ACCNT_44">#REF!</definedName>
    <definedName name="ACCNT_45" localSheetId="4">#REF!</definedName>
    <definedName name="ACCNT_45" localSheetId="0">#REF!</definedName>
    <definedName name="ACCNT_45">#REF!</definedName>
    <definedName name="ACCNT_46" localSheetId="4">#REF!</definedName>
    <definedName name="ACCNT_46" localSheetId="0">#REF!</definedName>
    <definedName name="ACCNT_46">#REF!</definedName>
    <definedName name="ACCNT_47" localSheetId="4">#REF!</definedName>
    <definedName name="ACCNT_47" localSheetId="0">#REF!</definedName>
    <definedName name="ACCNT_47">#REF!</definedName>
    <definedName name="ACCNT_47.1" localSheetId="4">#REF!</definedName>
    <definedName name="ACCNT_47.1" localSheetId="0">#REF!</definedName>
    <definedName name="ACCNT_47.1">#REF!</definedName>
    <definedName name="ACCNT_47.3" localSheetId="4">#REF!</definedName>
    <definedName name="ACCNT_47.3" localSheetId="0">#REF!</definedName>
    <definedName name="ACCNT_47.3">#REF!</definedName>
    <definedName name="ACCNT_47.4" localSheetId="4">#REF!</definedName>
    <definedName name="ACCNT_47.4" localSheetId="0">#REF!</definedName>
    <definedName name="ACCNT_47.4">#REF!</definedName>
    <definedName name="ACCNT_47.8" localSheetId="4">#REF!</definedName>
    <definedName name="ACCNT_47.8" localSheetId="0">#REF!</definedName>
    <definedName name="ACCNT_47.8">#REF!</definedName>
    <definedName name="ACCNT_48" localSheetId="4">#REF!</definedName>
    <definedName name="ACCNT_48" localSheetId="0">#REF!</definedName>
    <definedName name="ACCNT_48">#REF!</definedName>
    <definedName name="ACCNT_48.5" localSheetId="4">#REF!</definedName>
    <definedName name="ACCNT_48.5" localSheetId="0">#REF!</definedName>
    <definedName name="ACCNT_48.5">#REF!</definedName>
    <definedName name="ACCNT_48.9" localSheetId="4">#REF!</definedName>
    <definedName name="ACCNT_48.9" localSheetId="0">#REF!</definedName>
    <definedName name="ACCNT_48.9">#REF!</definedName>
    <definedName name="ACCNT_49" localSheetId="4">#REF!</definedName>
    <definedName name="ACCNT_49" localSheetId="0">#REF!</definedName>
    <definedName name="ACCNT_49">#REF!</definedName>
    <definedName name="ACCNT_50" localSheetId="4">#REF!</definedName>
    <definedName name="ACCNT_50" localSheetId="0">#REF!</definedName>
    <definedName name="ACCNT_50">#REF!</definedName>
    <definedName name="ACCNT_50_54_AF_YARD" localSheetId="4">#REF!</definedName>
    <definedName name="ACCNT_50_54_AF_YARD" localSheetId="0">#REF!</definedName>
    <definedName name="ACCNT_50_54_AF_YARD">#REF!</definedName>
    <definedName name="ACCNT_50_54_AFPB" localSheetId="4">#REF!</definedName>
    <definedName name="ACCNT_50_54_AFPB" localSheetId="0">#REF!</definedName>
    <definedName name="ACCNT_50_54_AFPB">#REF!</definedName>
    <definedName name="ACCNT_50_54_C1PB" localSheetId="4">#REF!</definedName>
    <definedName name="ACCNT_50_54_C1PB" localSheetId="0">#REF!</definedName>
    <definedName name="ACCNT_50_54_C1PB">#REF!</definedName>
    <definedName name="ACCNT_50_54_C1YARD" localSheetId="4">#REF!</definedName>
    <definedName name="ACCNT_50_54_C1YARD" localSheetId="0">#REF!</definedName>
    <definedName name="ACCNT_50_54_C1YARD">#REF!</definedName>
    <definedName name="ACCNT_50_54_CPB" localSheetId="4">#REF!</definedName>
    <definedName name="ACCNT_50_54_CPB" localSheetId="0">#REF!</definedName>
    <definedName name="ACCNT_50_54_CPB">#REF!</definedName>
    <definedName name="ACCNT_50_54_CRPB" localSheetId="4">#REF!</definedName>
    <definedName name="ACCNT_50_54_CRPB" localSheetId="0">#REF!</definedName>
    <definedName name="ACCNT_50_54_CRPB">#REF!</definedName>
    <definedName name="ACCNT_50_54_CRPB_HG" localSheetId="4">#REF!</definedName>
    <definedName name="ACCNT_50_54_CRPB_HG" localSheetId="0">#REF!</definedName>
    <definedName name="ACCNT_50_54_CRPB_HG">#REF!</definedName>
    <definedName name="ACCNT_50_54_CRPBAG" localSheetId="4">#REF!</definedName>
    <definedName name="ACCNT_50_54_CRPBAG" localSheetId="0">#REF!</definedName>
    <definedName name="ACCNT_50_54_CRPBAG">#REF!</definedName>
    <definedName name="ACCNT_50_54_CRYARDAG" localSheetId="4">#REF!</definedName>
    <definedName name="ACCNT_50_54_CRYARDAG" localSheetId="0">#REF!</definedName>
    <definedName name="ACCNT_50_54_CRYARDAG">#REF!</definedName>
    <definedName name="ACCNT_50_54_CYARD" localSheetId="4">#REF!</definedName>
    <definedName name="ACCNT_50_54_CYARD" localSheetId="0">#REF!</definedName>
    <definedName name="ACCNT_50_54_CYARD">#REF!</definedName>
    <definedName name="ACCNT_50_54_HISTORY" localSheetId="4">#REF!</definedName>
    <definedName name="ACCNT_50_54_HISTORY" localSheetId="0">#REF!</definedName>
    <definedName name="ACCNT_50_54_HISTORY">#REF!</definedName>
    <definedName name="ACCNT_50_54_KPB" localSheetId="4">#REF!</definedName>
    <definedName name="ACCNT_50_54_KPB" localSheetId="0">#REF!</definedName>
    <definedName name="ACCNT_50_54_KPB">#REF!</definedName>
    <definedName name="ACCNT_50_54_KYARD" localSheetId="4">#REF!</definedName>
    <definedName name="ACCNT_50_54_KYARD" localSheetId="0">#REF!</definedName>
    <definedName name="ACCNT_50_54_KYARD">#REF!</definedName>
    <definedName name="ACCNT_50_54_LBAG" localSheetId="4">#REF!</definedName>
    <definedName name="ACCNT_50_54_LBAG" localSheetId="0">#REF!</definedName>
    <definedName name="ACCNT_50_54_LBAG">#REF!</definedName>
    <definedName name="ACCNT_50_54_OFFSITE" localSheetId="4">#REF!</definedName>
    <definedName name="ACCNT_50_54_OFFSITE" localSheetId="0">#REF!</definedName>
    <definedName name="ACCNT_50_54_OFFSITE">#REF!</definedName>
    <definedName name="ACCNT_50_54_PAINT" localSheetId="4">#REF!</definedName>
    <definedName name="ACCNT_50_54_PAINT" localSheetId="0">#REF!</definedName>
    <definedName name="ACCNT_50_54_PAINT">#REF!</definedName>
    <definedName name="ACCNT_50_54_PB" localSheetId="4">#REF!</definedName>
    <definedName name="ACCNT_50_54_PB" localSheetId="0">#REF!</definedName>
    <definedName name="ACCNT_50_54_PB">#REF!</definedName>
    <definedName name="ACCNT_50_54_PBAG" localSheetId="4">#REF!</definedName>
    <definedName name="ACCNT_50_54_PBAG" localSheetId="0">#REF!</definedName>
    <definedName name="ACCNT_50_54_PBAG">#REF!</definedName>
    <definedName name="ACCNT_50_54_SPB" localSheetId="4">#REF!</definedName>
    <definedName name="ACCNT_50_54_SPB" localSheetId="0">#REF!</definedName>
    <definedName name="ACCNT_50_54_SPB">#REF!</definedName>
    <definedName name="ACCNT_50_54_SPPB" localSheetId="4">#REF!</definedName>
    <definedName name="ACCNT_50_54_SPPB" localSheetId="0">#REF!</definedName>
    <definedName name="ACCNT_50_54_SPPB">#REF!</definedName>
    <definedName name="ACCNT_50_54_SPYARD" localSheetId="4">#REF!</definedName>
    <definedName name="ACCNT_50_54_SPYARD" localSheetId="0">#REF!</definedName>
    <definedName name="ACCNT_50_54_SPYARD">#REF!</definedName>
    <definedName name="ACCNT_50_54_SYARD" localSheetId="4">#REF!</definedName>
    <definedName name="ACCNT_50_54_SYARD" localSheetId="0">#REF!</definedName>
    <definedName name="ACCNT_50_54_SYARD">#REF!</definedName>
    <definedName name="ACCNT_50_54_YARD" localSheetId="4">#REF!</definedName>
    <definedName name="ACCNT_50_54_YARD" localSheetId="0">#REF!</definedName>
    <definedName name="ACCNT_50_54_YARD">#REF!</definedName>
    <definedName name="ACCNT_50_54_YARDAG" localSheetId="4">#REF!</definedName>
    <definedName name="ACCNT_50_54_YARDAG" localSheetId="0">#REF!</definedName>
    <definedName name="ACCNT_50_54_YARDAG">#REF!</definedName>
    <definedName name="ACCNT_51.6" localSheetId="4">#REF!</definedName>
    <definedName name="ACCNT_51.6" localSheetId="0">#REF!</definedName>
    <definedName name="ACCNT_51.6">#REF!</definedName>
    <definedName name="ACCNT_51.7" localSheetId="4">#REF!</definedName>
    <definedName name="ACCNT_51.7" localSheetId="0">#REF!</definedName>
    <definedName name="ACCNT_51.7">#REF!</definedName>
    <definedName name="ACCNT_51.8" localSheetId="4">#REF!</definedName>
    <definedName name="ACCNT_51.8" localSheetId="0">#REF!</definedName>
    <definedName name="ACCNT_51.8">#REF!</definedName>
    <definedName name="ACCNT_51BOP" localSheetId="4">#REF!</definedName>
    <definedName name="ACCNT_51BOP" localSheetId="0">#REF!</definedName>
    <definedName name="ACCNT_51BOP">#REF!</definedName>
    <definedName name="ACCNT_51HP" localSheetId="4">#REF!</definedName>
    <definedName name="ACCNT_51HP" localSheetId="0">#REF!</definedName>
    <definedName name="ACCNT_51HP">#REF!</definedName>
    <definedName name="ACCNT_51OFFSITE" localSheetId="4">#REF!</definedName>
    <definedName name="ACCNT_51OFFSITE" localSheetId="0">#REF!</definedName>
    <definedName name="ACCNT_51OFFSITE">#REF!</definedName>
    <definedName name="ACCNT_51YARD" localSheetId="4">#REF!</definedName>
    <definedName name="ACCNT_51YARD" localSheetId="0">#REF!</definedName>
    <definedName name="ACCNT_51YARD">#REF!</definedName>
    <definedName name="ACCNT_52BOP" localSheetId="4">#REF!</definedName>
    <definedName name="ACCNT_52BOP" localSheetId="0">#REF!</definedName>
    <definedName name="ACCNT_52BOP">#REF!</definedName>
    <definedName name="ACCNT_52HP" localSheetId="4">#REF!</definedName>
    <definedName name="ACCNT_52HP" localSheetId="0">#REF!</definedName>
    <definedName name="ACCNT_52HP">#REF!</definedName>
    <definedName name="ACCNT_52OFFSITE" localSheetId="4">#REF!</definedName>
    <definedName name="ACCNT_52OFFSITE" localSheetId="0">#REF!</definedName>
    <definedName name="ACCNT_52OFFSITE">#REF!</definedName>
    <definedName name="ACCNT_52YARD" localSheetId="4">#REF!</definedName>
    <definedName name="ACCNT_52YARD" localSheetId="0">#REF!</definedName>
    <definedName name="ACCNT_52YARD">#REF!</definedName>
    <definedName name="ACCNT_53" localSheetId="4">#REF!</definedName>
    <definedName name="ACCNT_53" localSheetId="0">#REF!</definedName>
    <definedName name="ACCNT_53">#REF!</definedName>
    <definedName name="ACCNT_54" localSheetId="4">#REF!</definedName>
    <definedName name="ACCNT_54" localSheetId="0">#REF!</definedName>
    <definedName name="ACCNT_54">#REF!</definedName>
    <definedName name="ACCNT_54.1" localSheetId="4">#REF!</definedName>
    <definedName name="ACCNT_54.1" localSheetId="0">#REF!</definedName>
    <definedName name="ACCNT_54.1">#REF!</definedName>
    <definedName name="ACCNT_54.11" localSheetId="4">#REF!</definedName>
    <definedName name="ACCNT_54.11" localSheetId="0">#REF!</definedName>
    <definedName name="ACCNT_54.11">#REF!</definedName>
    <definedName name="ACCNT_54.12" localSheetId="4">#REF!</definedName>
    <definedName name="ACCNT_54.12" localSheetId="0">#REF!</definedName>
    <definedName name="ACCNT_54.12">#REF!</definedName>
    <definedName name="ACCNT_54.13" localSheetId="4">#REF!</definedName>
    <definedName name="ACCNT_54.13" localSheetId="0">#REF!</definedName>
    <definedName name="ACCNT_54.13">#REF!</definedName>
    <definedName name="ACCNT_54.14" localSheetId="4">#REF!</definedName>
    <definedName name="ACCNT_54.14" localSheetId="0">#REF!</definedName>
    <definedName name="ACCNT_54.14">#REF!</definedName>
    <definedName name="ACCNT_54.15" localSheetId="4">#REF!</definedName>
    <definedName name="ACCNT_54.15" localSheetId="0">#REF!</definedName>
    <definedName name="ACCNT_54.15">#REF!</definedName>
    <definedName name="ACCNT_54.19" localSheetId="4">#REF!</definedName>
    <definedName name="ACCNT_54.19" localSheetId="0">#REF!</definedName>
    <definedName name="ACCNT_54.19">#REF!</definedName>
    <definedName name="ACCNT_54.9" localSheetId="4">#REF!</definedName>
    <definedName name="ACCNT_54.9" localSheetId="0">#REF!</definedName>
    <definedName name="ACCNT_54.9">#REF!</definedName>
    <definedName name="ACCNT_55" localSheetId="4">#REF!</definedName>
    <definedName name="ACCNT_55" localSheetId="0">#REF!</definedName>
    <definedName name="ACCNT_55">#REF!</definedName>
    <definedName name="ACCNT_55.1" localSheetId="4">#REF!</definedName>
    <definedName name="ACCNT_55.1" localSheetId="0">#REF!</definedName>
    <definedName name="ACCNT_55.1">#REF!</definedName>
    <definedName name="ACCNT_55.2" localSheetId="4">#REF!</definedName>
    <definedName name="ACCNT_55.2" localSheetId="0">#REF!</definedName>
    <definedName name="ACCNT_55.2">#REF!</definedName>
    <definedName name="ACCNT_55.3" localSheetId="4">#REF!</definedName>
    <definedName name="ACCNT_55.3" localSheetId="0">#REF!</definedName>
    <definedName name="ACCNT_55.3">#REF!</definedName>
    <definedName name="ACCNT_55.4" localSheetId="4">#REF!</definedName>
    <definedName name="ACCNT_55.4" localSheetId="0">#REF!</definedName>
    <definedName name="ACCNT_55.4">#REF!</definedName>
    <definedName name="ACCNT_55.5" localSheetId="4">#REF!</definedName>
    <definedName name="ACCNT_55.5" localSheetId="0">#REF!</definedName>
    <definedName name="ACCNT_55.5">#REF!</definedName>
    <definedName name="ACCNT_55.9" localSheetId="4">#REF!</definedName>
    <definedName name="ACCNT_55.9" localSheetId="0">#REF!</definedName>
    <definedName name="ACCNT_55.9">#REF!</definedName>
    <definedName name="ACCNT_55_DISCOUNT" localSheetId="4">#REF!</definedName>
    <definedName name="ACCNT_55_DISCOUNT" localSheetId="0">#REF!</definedName>
    <definedName name="ACCNT_55_DISCOUNT">#REF!</definedName>
    <definedName name="ACCNT_55_HANGER" localSheetId="4">#REF!</definedName>
    <definedName name="ACCNT_55_HANGER" localSheetId="0">#REF!</definedName>
    <definedName name="ACCNT_55_HANGER">#REF!</definedName>
    <definedName name="ACCNT_55_HISTCHK" localSheetId="4">#REF!</definedName>
    <definedName name="ACCNT_55_HISTCHK" localSheetId="0">#REF!</definedName>
    <definedName name="ACCNT_55_HISTCHK">#REF!</definedName>
    <definedName name="ACCNT_55_PAINT" localSheetId="4">#REF!</definedName>
    <definedName name="ACCNT_55_PAINT" localSheetId="0">#REF!</definedName>
    <definedName name="ACCNT_55_PAINT">#REF!</definedName>
    <definedName name="ACCNT_55_VALVES" localSheetId="4">#REF!</definedName>
    <definedName name="ACCNT_55_VALVES" localSheetId="0">#REF!</definedName>
    <definedName name="ACCNT_55_VALVES">#REF!</definedName>
    <definedName name="ACCNT_57" localSheetId="4">#REF!</definedName>
    <definedName name="ACCNT_57" localSheetId="0">#REF!</definedName>
    <definedName name="ACCNT_57">#REF!</definedName>
    <definedName name="ACCNT_57_AG" localSheetId="4">#REF!</definedName>
    <definedName name="ACCNT_57_AG" localSheetId="0">#REF!</definedName>
    <definedName name="ACCNT_57_AG">#REF!</definedName>
    <definedName name="ACCNT_58" localSheetId="4">#REF!</definedName>
    <definedName name="ACCNT_58" localSheetId="0">#REF!</definedName>
    <definedName name="ACCNT_58">#REF!</definedName>
    <definedName name="ACCNT_58.1" localSheetId="4">#REF!</definedName>
    <definedName name="ACCNT_58.1" localSheetId="0">#REF!</definedName>
    <definedName name="ACCNT_58.1">#REF!</definedName>
    <definedName name="ACCNT_58.7" localSheetId="4">#REF!</definedName>
    <definedName name="ACCNT_58.7" localSheetId="0">#REF!</definedName>
    <definedName name="ACCNT_58.7">#REF!</definedName>
    <definedName name="ACCNT_59" localSheetId="4">#REF!</definedName>
    <definedName name="ACCNT_59" localSheetId="0">#REF!</definedName>
    <definedName name="ACCNT_59">#REF!</definedName>
    <definedName name="ACCNT_59.1" localSheetId="4">#REF!</definedName>
    <definedName name="ACCNT_59.1" localSheetId="0">#REF!</definedName>
    <definedName name="ACCNT_59.1">#REF!</definedName>
    <definedName name="ACCNT_59_NDE" localSheetId="4">#REF!</definedName>
    <definedName name="ACCNT_59_NDE" localSheetId="0">#REF!</definedName>
    <definedName name="ACCNT_59_NDE">#REF!</definedName>
    <definedName name="ACCNT_59_STRESS" localSheetId="4">#REF!</definedName>
    <definedName name="ACCNT_59_STRESS" localSheetId="0">#REF!</definedName>
    <definedName name="ACCNT_59_STRESS">#REF!</definedName>
    <definedName name="ACCNT_60" localSheetId="4">#REF!</definedName>
    <definedName name="ACCNT_60" localSheetId="0">#REF!</definedName>
    <definedName name="ACCNT_60">#REF!</definedName>
    <definedName name="ACCNT_61" localSheetId="4">#REF!</definedName>
    <definedName name="ACCNT_61" localSheetId="0">#REF!</definedName>
    <definedName name="ACCNT_61">#REF!</definedName>
    <definedName name="ACCNT_62" localSheetId="4">#REF!</definedName>
    <definedName name="ACCNT_62" localSheetId="0">#REF!</definedName>
    <definedName name="ACCNT_62">#REF!</definedName>
    <definedName name="ACCNT_62.2" localSheetId="4">#REF!</definedName>
    <definedName name="ACCNT_62.2" localSheetId="0">#REF!</definedName>
    <definedName name="ACCNT_62.2">#REF!</definedName>
    <definedName name="ACCNT_62.5" localSheetId="4">#REF!</definedName>
    <definedName name="ACCNT_62.5" localSheetId="0">#REF!</definedName>
    <definedName name="ACCNT_62.5">#REF!</definedName>
    <definedName name="ACCNT_63" localSheetId="4">#REF!</definedName>
    <definedName name="ACCNT_63" localSheetId="0">#REF!</definedName>
    <definedName name="ACCNT_63">#REF!</definedName>
    <definedName name="ACCNT_70" localSheetId="4">#REF!</definedName>
    <definedName name="ACCNT_70" localSheetId="0">#REF!</definedName>
    <definedName name="ACCNT_70">#REF!</definedName>
    <definedName name="ACCNT_71" localSheetId="4">#REF!</definedName>
    <definedName name="ACCNT_71" localSheetId="0">#REF!</definedName>
    <definedName name="ACCNT_71">#REF!</definedName>
    <definedName name="accnt_71.9" localSheetId="4">#REF!</definedName>
    <definedName name="accnt_71.9" localSheetId="0">#REF!</definedName>
    <definedName name="accnt_71.9">#REF!</definedName>
    <definedName name="ACCNT_72" localSheetId="4">#REF!</definedName>
    <definedName name="ACCNT_72" localSheetId="0">#REF!</definedName>
    <definedName name="ACCNT_72">#REF!</definedName>
    <definedName name="ACCNT_72.1" localSheetId="4">#REF!</definedName>
    <definedName name="ACCNT_72.1" localSheetId="0">#REF!</definedName>
    <definedName name="ACCNT_72.1">#REF!</definedName>
    <definedName name="ACCNT_72.2" localSheetId="4">#REF!</definedName>
    <definedName name="ACCNT_72.2" localSheetId="0">#REF!</definedName>
    <definedName name="ACCNT_72.2">#REF!</definedName>
    <definedName name="ACCNT_72.3" localSheetId="4">#REF!</definedName>
    <definedName name="ACCNT_72.3" localSheetId="0">#REF!</definedName>
    <definedName name="ACCNT_72.3">#REF!</definedName>
    <definedName name="ACCNT_72.33" localSheetId="4">#REF!</definedName>
    <definedName name="ACCNT_72.33" localSheetId="0">#REF!</definedName>
    <definedName name="ACCNT_72.33">#REF!</definedName>
    <definedName name="ACCNT_72.4" localSheetId="4">#REF!</definedName>
    <definedName name="ACCNT_72.4" localSheetId="0">#REF!</definedName>
    <definedName name="ACCNT_72.4">#REF!</definedName>
    <definedName name="ACCNT_73" localSheetId="4">#REF!</definedName>
    <definedName name="ACCNT_73" localSheetId="0">#REF!</definedName>
    <definedName name="ACCNT_73">#REF!</definedName>
    <definedName name="ACCNT_74" localSheetId="4">#REF!</definedName>
    <definedName name="ACCNT_74" localSheetId="0">#REF!</definedName>
    <definedName name="ACCNT_74">#REF!</definedName>
    <definedName name="ACCNT_74.3" localSheetId="4">#REF!</definedName>
    <definedName name="ACCNT_74.3" localSheetId="0">#REF!</definedName>
    <definedName name="ACCNT_74.3">#REF!</definedName>
    <definedName name="ACCNT_75" localSheetId="4">#REF!</definedName>
    <definedName name="ACCNT_75" localSheetId="0">#REF!</definedName>
    <definedName name="ACCNT_75">#REF!</definedName>
    <definedName name="ACCNT_75.1" localSheetId="4">#REF!</definedName>
    <definedName name="ACCNT_75.1" localSheetId="0">#REF!</definedName>
    <definedName name="ACCNT_75.1">#REF!</definedName>
    <definedName name="ACCNT_75.11" localSheetId="4">#REF!</definedName>
    <definedName name="ACCNT_75.11" localSheetId="0">#REF!</definedName>
    <definedName name="ACCNT_75.11">#REF!</definedName>
    <definedName name="ACCNT_76" localSheetId="4">#REF!</definedName>
    <definedName name="ACCNT_76" localSheetId="0">#REF!</definedName>
    <definedName name="ACCNT_76">#REF!</definedName>
    <definedName name="ACCNT_76.5" localSheetId="4">#REF!</definedName>
    <definedName name="ACCNT_76.5" localSheetId="0">#REF!</definedName>
    <definedName name="ACCNT_76.5">#REF!</definedName>
    <definedName name="ACCNT_76.70_ANODE" localSheetId="4">#REF!</definedName>
    <definedName name="ACCNT_76.70_ANODE" localSheetId="0">#REF!</definedName>
    <definedName name="ACCNT_76.70_ANODE">#REF!</definedName>
    <definedName name="ACCNT_76.70_JB" localSheetId="4">#REF!</definedName>
    <definedName name="ACCNT_76.70_JB" localSheetId="0">#REF!</definedName>
    <definedName name="ACCNT_76.70_JB">#REF!</definedName>
    <definedName name="ACCNT_77" localSheetId="4">#REF!</definedName>
    <definedName name="ACCNT_77" localSheetId="0">#REF!</definedName>
    <definedName name="ACCNT_77">#REF!</definedName>
    <definedName name="ACCNT_78" localSheetId="4">#REF!</definedName>
    <definedName name="ACCNT_78" localSheetId="0">#REF!</definedName>
    <definedName name="ACCNT_78">#REF!</definedName>
    <definedName name="ACCNT_78.761" localSheetId="4">#REF!</definedName>
    <definedName name="ACCNT_78.761" localSheetId="0">#REF!</definedName>
    <definedName name="ACCNT_78.761">#REF!</definedName>
    <definedName name="ACCNT_78.762" localSheetId="4">#REF!</definedName>
    <definedName name="ACCNT_78.762" localSheetId="0">#REF!</definedName>
    <definedName name="ACCNT_78.762">#REF!</definedName>
    <definedName name="ACCNT_78.81" localSheetId="4">#REF!</definedName>
    <definedName name="ACCNT_78.81" localSheetId="0">#REF!</definedName>
    <definedName name="ACCNT_78.81">#REF!</definedName>
    <definedName name="ACCNT_78.821" localSheetId="4">#REF!</definedName>
    <definedName name="ACCNT_78.821" localSheetId="0">#REF!</definedName>
    <definedName name="ACCNT_78.821">#REF!</definedName>
    <definedName name="ACCNT_78.827" localSheetId="4">#REF!</definedName>
    <definedName name="ACCNT_78.827" localSheetId="0">#REF!</definedName>
    <definedName name="ACCNT_78.827">#REF!</definedName>
    <definedName name="ACCNT_78.8275" localSheetId="4">#REF!</definedName>
    <definedName name="ACCNT_78.8275" localSheetId="0">#REF!</definedName>
    <definedName name="ACCNT_78.8275">#REF!</definedName>
    <definedName name="ACCNT_78.828" localSheetId="4">#REF!</definedName>
    <definedName name="ACCNT_78.828" localSheetId="0">#REF!</definedName>
    <definedName name="ACCNT_78.828">#REF!</definedName>
    <definedName name="ACCNT_78.83" localSheetId="4">#REF!</definedName>
    <definedName name="ACCNT_78.83" localSheetId="0">#REF!</definedName>
    <definedName name="ACCNT_78.83">#REF!</definedName>
    <definedName name="ACCNT_78.84" localSheetId="4">#REF!</definedName>
    <definedName name="ACCNT_78.84" localSheetId="0">#REF!</definedName>
    <definedName name="ACCNT_78.84">#REF!</definedName>
    <definedName name="ACCNT_78.85" localSheetId="4">#REF!</definedName>
    <definedName name="ACCNT_78.85" localSheetId="0">#REF!</definedName>
    <definedName name="ACCNT_78.85">#REF!</definedName>
    <definedName name="ACCNT_78.861" localSheetId="4">#REF!</definedName>
    <definedName name="ACCNT_78.861" localSheetId="0">#REF!</definedName>
    <definedName name="ACCNT_78.861">#REF!</definedName>
    <definedName name="ACCNT_78.862" localSheetId="4">#REF!</definedName>
    <definedName name="ACCNT_78.862" localSheetId="0">#REF!</definedName>
    <definedName name="ACCNT_78.862">#REF!</definedName>
    <definedName name="ACCNT_79" localSheetId="4">#REF!</definedName>
    <definedName name="ACCNT_79" localSheetId="0">#REF!</definedName>
    <definedName name="ACCNT_79">#REF!</definedName>
    <definedName name="ACCNT_80" localSheetId="4">#REF!</definedName>
    <definedName name="ACCNT_80" localSheetId="0">#REF!</definedName>
    <definedName name="ACCNT_80">#REF!</definedName>
    <definedName name="ACCNT_81" localSheetId="4">#REF!</definedName>
    <definedName name="ACCNT_81" localSheetId="0">#REF!</definedName>
    <definedName name="ACCNT_81">#REF!</definedName>
    <definedName name="ACCNT_82" localSheetId="4">#REF!</definedName>
    <definedName name="ACCNT_82" localSheetId="0">#REF!</definedName>
    <definedName name="ACCNT_82">#REF!</definedName>
    <definedName name="ACCNT_82.2" localSheetId="4">#REF!</definedName>
    <definedName name="ACCNT_82.2" localSheetId="0">#REF!</definedName>
    <definedName name="ACCNT_82.2">#REF!</definedName>
    <definedName name="ACCNT_82.7" localSheetId="4">#REF!</definedName>
    <definedName name="ACCNT_82.7" localSheetId="0">#REF!</definedName>
    <definedName name="ACCNT_82.7">#REF!</definedName>
    <definedName name="ACCNT_82.72" localSheetId="4">#REF!</definedName>
    <definedName name="ACCNT_82.72" localSheetId="0">#REF!</definedName>
    <definedName name="ACCNT_82.72">#REF!</definedName>
    <definedName name="ACCNT_82.80" localSheetId="4">#REF!</definedName>
    <definedName name="ACCNT_82.80" localSheetId="0">#REF!</definedName>
    <definedName name="ACCNT_82.80">#REF!</definedName>
    <definedName name="ACCNT_83" localSheetId="4">#REF!</definedName>
    <definedName name="ACCNT_83" localSheetId="0">#REF!</definedName>
    <definedName name="ACCNT_83">#REF!</definedName>
    <definedName name="ACCNT_83.1" localSheetId="4">#REF!</definedName>
    <definedName name="ACCNT_83.1" localSheetId="0">#REF!</definedName>
    <definedName name="ACCNT_83.1">#REF!</definedName>
    <definedName name="ACCNT_84" localSheetId="4">#REF!</definedName>
    <definedName name="ACCNT_84" localSheetId="0">#REF!</definedName>
    <definedName name="ACCNT_84">#REF!</definedName>
    <definedName name="ACCNT_84.1" localSheetId="4">#REF!</definedName>
    <definedName name="ACCNT_84.1" localSheetId="0">#REF!</definedName>
    <definedName name="ACCNT_84.1">#REF!</definedName>
    <definedName name="ACCNT_84.3" localSheetId="4">#REF!</definedName>
    <definedName name="ACCNT_84.3" localSheetId="0">#REF!</definedName>
    <definedName name="ACCNT_84.3">#REF!</definedName>
    <definedName name="ACCNT_84.4" localSheetId="4">#REF!</definedName>
    <definedName name="ACCNT_84.4" localSheetId="0">#REF!</definedName>
    <definedName name="ACCNT_84.4">#REF!</definedName>
    <definedName name="ACCNT_84.6" localSheetId="4">#REF!</definedName>
    <definedName name="ACCNT_84.6" localSheetId="0">#REF!</definedName>
    <definedName name="ACCNT_84.6">#REF!</definedName>
    <definedName name="ACCNT_85" localSheetId="4">#REF!</definedName>
    <definedName name="ACCNT_85" localSheetId="0">#REF!</definedName>
    <definedName name="ACCNT_85">#REF!</definedName>
    <definedName name="ACCNT_86" localSheetId="4">#REF!</definedName>
    <definedName name="ACCNT_86" localSheetId="0">#REF!</definedName>
    <definedName name="ACCNT_86">#REF!</definedName>
    <definedName name="ACCNT_87" localSheetId="4">#REF!</definedName>
    <definedName name="ACCNT_87" localSheetId="0">#REF!</definedName>
    <definedName name="ACCNT_87">#REF!</definedName>
    <definedName name="ACCNT_90" localSheetId="4">#REF!</definedName>
    <definedName name="ACCNT_90" localSheetId="0">#REF!</definedName>
    <definedName name="ACCNT_90">#REF!</definedName>
    <definedName name="ACCNT_91" localSheetId="4">#REF!</definedName>
    <definedName name="ACCNT_91" localSheetId="0">#REF!</definedName>
    <definedName name="ACCNT_91">#REF!</definedName>
    <definedName name="ACCNT_91.1" localSheetId="4">#REF!</definedName>
    <definedName name="ACCNT_91.1" localSheetId="0">#REF!</definedName>
    <definedName name="ACCNT_91.1">#REF!</definedName>
    <definedName name="ACCNT_91.2" localSheetId="4">#REF!</definedName>
    <definedName name="ACCNT_91.2" localSheetId="0">#REF!</definedName>
    <definedName name="ACCNT_91.2">#REF!</definedName>
    <definedName name="ACCNT_91.3" localSheetId="4">#REF!</definedName>
    <definedName name="ACCNT_91.3" localSheetId="0">#REF!</definedName>
    <definedName name="ACCNT_91.3">#REF!</definedName>
    <definedName name="ACCNT_91.5" localSheetId="4">#REF!</definedName>
    <definedName name="ACCNT_91.5" localSheetId="0">#REF!</definedName>
    <definedName name="ACCNT_91.5">#REF!</definedName>
    <definedName name="ACCNT_91.55" localSheetId="4">#REF!</definedName>
    <definedName name="ACCNT_91.55" localSheetId="0">#REF!</definedName>
    <definedName name="ACCNT_91.55">#REF!</definedName>
    <definedName name="ACCNT_91.6" localSheetId="4">#REF!</definedName>
    <definedName name="ACCNT_91.6" localSheetId="0">#REF!</definedName>
    <definedName name="ACCNT_91.6">#REF!</definedName>
    <definedName name="ACCNT_91.7" localSheetId="4">#REF!</definedName>
    <definedName name="ACCNT_91.7" localSheetId="0">#REF!</definedName>
    <definedName name="ACCNT_91.7">#REF!</definedName>
    <definedName name="ACCNT_91THRU93" localSheetId="4">#REF!</definedName>
    <definedName name="ACCNT_91THRU93" localSheetId="0">#REF!</definedName>
    <definedName name="ACCNT_91THRU93">#REF!</definedName>
    <definedName name="ACCNT_91THRU95" localSheetId="4">#REF!</definedName>
    <definedName name="ACCNT_91THRU95" localSheetId="0">#REF!</definedName>
    <definedName name="ACCNT_91THRU95">#REF!</definedName>
    <definedName name="ACCNT_92" localSheetId="4">#REF!</definedName>
    <definedName name="ACCNT_92" localSheetId="0">#REF!</definedName>
    <definedName name="ACCNT_92">#REF!</definedName>
    <definedName name="ACCNT_92.1" localSheetId="4">#REF!</definedName>
    <definedName name="ACCNT_92.1" localSheetId="0">#REF!</definedName>
    <definedName name="ACCNT_92.1">#REF!</definedName>
    <definedName name="ACCNT_92.2" localSheetId="4">#REF!</definedName>
    <definedName name="ACCNT_92.2" localSheetId="0">#REF!</definedName>
    <definedName name="ACCNT_92.2">#REF!</definedName>
    <definedName name="ACCNT_92.3" localSheetId="4">#REF!</definedName>
    <definedName name="ACCNT_92.3" localSheetId="0">#REF!</definedName>
    <definedName name="ACCNT_92.3">#REF!</definedName>
    <definedName name="ACCNT_92.5" localSheetId="4">#REF!</definedName>
    <definedName name="ACCNT_92.5" localSheetId="0">#REF!</definedName>
    <definedName name="ACCNT_92.5">#REF!</definedName>
    <definedName name="ACCNT_92.6" localSheetId="4">#REF!</definedName>
    <definedName name="ACCNT_92.6" localSheetId="0">#REF!</definedName>
    <definedName name="ACCNT_92.6">#REF!</definedName>
    <definedName name="ACCNT_92.7" localSheetId="4">#REF!</definedName>
    <definedName name="ACCNT_92.7" localSheetId="0">#REF!</definedName>
    <definedName name="ACCNT_92.7">#REF!</definedName>
    <definedName name="ACCNT_92.8" localSheetId="4">#REF!</definedName>
    <definedName name="ACCNT_92.8" localSheetId="0">#REF!</definedName>
    <definedName name="ACCNT_92.8">#REF!</definedName>
    <definedName name="ACCNT_92.81" localSheetId="4">#REF!</definedName>
    <definedName name="ACCNT_92.81" localSheetId="0">#REF!</definedName>
    <definedName name="ACCNT_92.81">#REF!</definedName>
    <definedName name="ACCNT_92.82" localSheetId="4">#REF!</definedName>
    <definedName name="ACCNT_92.82" localSheetId="0">#REF!</definedName>
    <definedName name="ACCNT_92.82">#REF!</definedName>
    <definedName name="ACCNT_92.83" localSheetId="4">#REF!</definedName>
    <definedName name="ACCNT_92.83" localSheetId="0">#REF!</definedName>
    <definedName name="ACCNT_92.83">#REF!</definedName>
    <definedName name="ACCNT_92.84" localSheetId="4">#REF!</definedName>
    <definedName name="ACCNT_92.84" localSheetId="0">#REF!</definedName>
    <definedName name="ACCNT_92.84">#REF!</definedName>
    <definedName name="ACCNT_93" localSheetId="4">#REF!</definedName>
    <definedName name="ACCNT_93" localSheetId="0">#REF!</definedName>
    <definedName name="ACCNT_93">#REF!</definedName>
    <definedName name="ACCNT_94" localSheetId="4">#REF!</definedName>
    <definedName name="ACCNT_94" localSheetId="0">#REF!</definedName>
    <definedName name="ACCNT_94">#REF!</definedName>
    <definedName name="ACCNT_94.01" localSheetId="4">#REF!</definedName>
    <definedName name="ACCNT_94.01" localSheetId="0">#REF!</definedName>
    <definedName name="ACCNT_94.01">#REF!</definedName>
    <definedName name="ACCNT_94.02" localSheetId="4">#REF!</definedName>
    <definedName name="ACCNT_94.02" localSheetId="0">#REF!</definedName>
    <definedName name="ACCNT_94.02">#REF!</definedName>
    <definedName name="ACCNT_94.03" localSheetId="4">#REF!</definedName>
    <definedName name="ACCNT_94.03" localSheetId="0">#REF!</definedName>
    <definedName name="ACCNT_94.03">#REF!</definedName>
    <definedName name="ACCNT_94.04" localSheetId="4">#REF!</definedName>
    <definedName name="ACCNT_94.04" localSheetId="0">#REF!</definedName>
    <definedName name="ACCNT_94.04">#REF!</definedName>
    <definedName name="ACCNT_94.05" localSheetId="4">#REF!</definedName>
    <definedName name="ACCNT_94.05" localSheetId="0">#REF!</definedName>
    <definedName name="ACCNT_94.05">#REF!</definedName>
    <definedName name="ACCNT_94.09" localSheetId="4">#REF!</definedName>
    <definedName name="ACCNT_94.09" localSheetId="0">#REF!</definedName>
    <definedName name="ACCNT_94.09">#REF!</definedName>
    <definedName name="ACCNT_94.11" localSheetId="4">#REF!</definedName>
    <definedName name="ACCNT_94.11" localSheetId="0">#REF!</definedName>
    <definedName name="ACCNT_94.11">#REF!</definedName>
    <definedName name="ACCNT_94.12" localSheetId="4">#REF!</definedName>
    <definedName name="ACCNT_94.12" localSheetId="0">#REF!</definedName>
    <definedName name="ACCNT_94.12">#REF!</definedName>
    <definedName name="ACCNT_94.13" localSheetId="4">#REF!</definedName>
    <definedName name="ACCNT_94.13" localSheetId="0">#REF!</definedName>
    <definedName name="ACCNT_94.13">#REF!</definedName>
    <definedName name="ACCNT_94.14" localSheetId="4">#REF!</definedName>
    <definedName name="ACCNT_94.14" localSheetId="0">#REF!</definedName>
    <definedName name="ACCNT_94.14">#REF!</definedName>
    <definedName name="ACCNT_94.15" localSheetId="4">#REF!</definedName>
    <definedName name="ACCNT_94.15" localSheetId="0">#REF!</definedName>
    <definedName name="ACCNT_94.15">#REF!</definedName>
    <definedName name="ACCNT_94.16" localSheetId="4">#REF!</definedName>
    <definedName name="ACCNT_94.16" localSheetId="0">#REF!</definedName>
    <definedName name="ACCNT_94.16">#REF!</definedName>
    <definedName name="ACCNT_94.17" localSheetId="4">#REF!</definedName>
    <definedName name="ACCNT_94.17" localSheetId="0">#REF!</definedName>
    <definedName name="ACCNT_94.17">#REF!</definedName>
    <definedName name="ACCNT_94.18" localSheetId="4">#REF!</definedName>
    <definedName name="ACCNT_94.18" localSheetId="0">#REF!</definedName>
    <definedName name="ACCNT_94.18">#REF!</definedName>
    <definedName name="ACCNT_94.19" localSheetId="4">#REF!</definedName>
    <definedName name="ACCNT_94.19" localSheetId="0">#REF!</definedName>
    <definedName name="ACCNT_94.19">#REF!</definedName>
    <definedName name="ACCNT_94FCN" localSheetId="4">#REF!</definedName>
    <definedName name="ACCNT_94FCN" localSheetId="0">#REF!</definedName>
    <definedName name="ACCNT_94FCN">#REF!</definedName>
    <definedName name="ACCNT_94IS" localSheetId="4">#REF!</definedName>
    <definedName name="ACCNT_94IS" localSheetId="0">#REF!</definedName>
    <definedName name="ACCNT_94IS">#REF!</definedName>
    <definedName name="ACCNT_94LOCAL" localSheetId="4">#REF!</definedName>
    <definedName name="ACCNT_94LOCAL" localSheetId="0">#REF!</definedName>
    <definedName name="ACCNT_94LOCAL">#REF!</definedName>
    <definedName name="ACCNT_94US" localSheetId="4">#REF!</definedName>
    <definedName name="ACCNT_94US" localSheetId="0">#REF!</definedName>
    <definedName name="ACCNT_94US">#REF!</definedName>
    <definedName name="ACCNT_95" localSheetId="4">#REF!</definedName>
    <definedName name="ACCNT_95" localSheetId="0">#REF!</definedName>
    <definedName name="ACCNT_95">#REF!</definedName>
    <definedName name="ACCNT_95.1" localSheetId="4">#REF!</definedName>
    <definedName name="ACCNT_95.1" localSheetId="0">#REF!</definedName>
    <definedName name="ACCNT_95.1">#REF!</definedName>
    <definedName name="ACCNT_95.1FCN" localSheetId="4">#REF!</definedName>
    <definedName name="ACCNT_95.1FCN" localSheetId="0">#REF!</definedName>
    <definedName name="ACCNT_95.1FCN">#REF!</definedName>
    <definedName name="ACCNT_95.1IS" localSheetId="4">#REF!</definedName>
    <definedName name="ACCNT_95.1IS" localSheetId="0">#REF!</definedName>
    <definedName name="ACCNT_95.1IS">#REF!</definedName>
    <definedName name="ACCNT_95.1LOCAL" localSheetId="4">#REF!</definedName>
    <definedName name="ACCNT_95.1LOCAL" localSheetId="0">#REF!</definedName>
    <definedName name="ACCNT_95.1LOCAL">#REF!</definedName>
    <definedName name="ACCNT_95.1US" localSheetId="4">#REF!</definedName>
    <definedName name="ACCNT_95.1US" localSheetId="0">#REF!</definedName>
    <definedName name="ACCNT_95.1US">#REF!</definedName>
    <definedName name="ACCNT_95.3" localSheetId="4">#REF!</definedName>
    <definedName name="ACCNT_95.3" localSheetId="0">#REF!</definedName>
    <definedName name="ACCNT_95.3">#REF!</definedName>
    <definedName name="ACCNT_96" localSheetId="4">#REF!</definedName>
    <definedName name="ACCNT_96" localSheetId="0">#REF!</definedName>
    <definedName name="ACCNT_96">#REF!</definedName>
    <definedName name="ACCNT_97" localSheetId="4">#REF!</definedName>
    <definedName name="ACCNT_97" localSheetId="0">#REF!</definedName>
    <definedName name="ACCNT_97">#REF!</definedName>
    <definedName name="ACCNT_98" localSheetId="4">#REF!</definedName>
    <definedName name="ACCNT_98" localSheetId="0">#REF!</definedName>
    <definedName name="ACCNT_98">#REF!</definedName>
    <definedName name="ACCNT_98.1" localSheetId="4">#REF!</definedName>
    <definedName name="ACCNT_98.1" localSheetId="0">#REF!</definedName>
    <definedName name="ACCNT_98.1">#REF!</definedName>
    <definedName name="ACCNT_98.10THRU30" localSheetId="4">#REF!</definedName>
    <definedName name="ACCNT_98.10THRU30" localSheetId="0">#REF!</definedName>
    <definedName name="ACCNT_98.10THRU30">#REF!</definedName>
    <definedName name="ACCNT_98.11" localSheetId="4">#REF!</definedName>
    <definedName name="ACCNT_98.11" localSheetId="0">#REF!</definedName>
    <definedName name="ACCNT_98.11">#REF!</definedName>
    <definedName name="ACCNT_98.12" localSheetId="4">#REF!</definedName>
    <definedName name="ACCNT_98.12" localSheetId="0">#REF!</definedName>
    <definedName name="ACCNT_98.12">#REF!</definedName>
    <definedName name="ACCNT_98.13" localSheetId="4">#REF!</definedName>
    <definedName name="ACCNT_98.13" localSheetId="0">#REF!</definedName>
    <definedName name="ACCNT_98.13">#REF!</definedName>
    <definedName name="ACCNT_98.131" localSheetId="4">#REF!</definedName>
    <definedName name="ACCNT_98.131" localSheetId="0">#REF!</definedName>
    <definedName name="ACCNT_98.131">#REF!</definedName>
    <definedName name="ACCNT_98.14" localSheetId="4">#REF!</definedName>
    <definedName name="ACCNT_98.14" localSheetId="0">#REF!</definedName>
    <definedName name="ACCNT_98.14">#REF!</definedName>
    <definedName name="ACCNT_98.15" localSheetId="4">#REF!</definedName>
    <definedName name="ACCNT_98.15" localSheetId="0">#REF!</definedName>
    <definedName name="ACCNT_98.15">#REF!</definedName>
    <definedName name="ACCNT_98.16" localSheetId="4">#REF!</definedName>
    <definedName name="ACCNT_98.16" localSheetId="0">#REF!</definedName>
    <definedName name="ACCNT_98.16">#REF!</definedName>
    <definedName name="ACCNT_98.17" localSheetId="4">#REF!</definedName>
    <definedName name="ACCNT_98.17" localSheetId="0">#REF!</definedName>
    <definedName name="ACCNT_98.17">#REF!</definedName>
    <definedName name="ACCNT_98.18" localSheetId="4">#REF!</definedName>
    <definedName name="ACCNT_98.18" localSheetId="0">#REF!</definedName>
    <definedName name="ACCNT_98.18">#REF!</definedName>
    <definedName name="ACCNT_98.19" localSheetId="4">#REF!</definedName>
    <definedName name="ACCNT_98.19" localSheetId="0">#REF!</definedName>
    <definedName name="ACCNT_98.19">#REF!</definedName>
    <definedName name="ACCNT_98.191" localSheetId="4">#REF!</definedName>
    <definedName name="ACCNT_98.191" localSheetId="0">#REF!</definedName>
    <definedName name="ACCNT_98.191">#REF!</definedName>
    <definedName name="ACCNT_98.192" localSheetId="4">#REF!</definedName>
    <definedName name="ACCNT_98.192" localSheetId="0">#REF!</definedName>
    <definedName name="ACCNT_98.192">#REF!</definedName>
    <definedName name="ACCNT_98.2" localSheetId="4">#REF!</definedName>
    <definedName name="ACCNT_98.2" localSheetId="0">#REF!</definedName>
    <definedName name="ACCNT_98.2">#REF!</definedName>
    <definedName name="ACCNT_98.21" localSheetId="4">#REF!</definedName>
    <definedName name="ACCNT_98.21" localSheetId="0">#REF!</definedName>
    <definedName name="ACCNT_98.21">#REF!</definedName>
    <definedName name="ACCNT_98.22" localSheetId="4">#REF!</definedName>
    <definedName name="ACCNT_98.22" localSheetId="0">#REF!</definedName>
    <definedName name="ACCNT_98.22">#REF!</definedName>
    <definedName name="ACCNT_98.23" localSheetId="4">#REF!</definedName>
    <definedName name="ACCNT_98.23" localSheetId="0">#REF!</definedName>
    <definedName name="ACCNT_98.23">#REF!</definedName>
    <definedName name="ACCNT_98.24" localSheetId="4">#REF!</definedName>
    <definedName name="ACCNT_98.24" localSheetId="0">#REF!</definedName>
    <definedName name="ACCNT_98.24">#REF!</definedName>
    <definedName name="ACCNT_98.26" localSheetId="4">#REF!</definedName>
    <definedName name="ACCNT_98.26" localSheetId="0">#REF!</definedName>
    <definedName name="ACCNT_98.26">#REF!</definedName>
    <definedName name="ACCNT_98.3" localSheetId="4">#REF!</definedName>
    <definedName name="ACCNT_98.3" localSheetId="0">#REF!</definedName>
    <definedName name="ACCNT_98.3">#REF!</definedName>
    <definedName name="ACCNT_98.4" localSheetId="4">#REF!</definedName>
    <definedName name="ACCNT_98.4" localSheetId="0">#REF!</definedName>
    <definedName name="ACCNT_98.4">#REF!</definedName>
    <definedName name="ACCNT_98.40THRU90" localSheetId="4">#REF!</definedName>
    <definedName name="ACCNT_98.40THRU90" localSheetId="0">#REF!</definedName>
    <definedName name="ACCNT_98.40THRU90">#REF!</definedName>
    <definedName name="ACCNT_98.5" localSheetId="4">#REF!</definedName>
    <definedName name="ACCNT_98.5" localSheetId="0">#REF!</definedName>
    <definedName name="ACCNT_98.5">#REF!</definedName>
    <definedName name="ACCNT_98.51" localSheetId="4">#REF!</definedName>
    <definedName name="ACCNT_98.51" localSheetId="0">#REF!</definedName>
    <definedName name="ACCNT_98.51">#REF!</definedName>
    <definedName name="ACCNT_98.52" localSheetId="4">#REF!</definedName>
    <definedName name="ACCNT_98.52" localSheetId="0">#REF!</definedName>
    <definedName name="ACCNT_98.52">#REF!</definedName>
    <definedName name="ACCNT_98.6" localSheetId="4">#REF!</definedName>
    <definedName name="ACCNT_98.6" localSheetId="0">#REF!</definedName>
    <definedName name="ACCNT_98.6">#REF!</definedName>
    <definedName name="ACCNT_98.7" localSheetId="4">#REF!</definedName>
    <definedName name="ACCNT_98.7" localSheetId="0">#REF!</definedName>
    <definedName name="ACCNT_98.7">#REF!</definedName>
    <definedName name="ACCNT_98.8" localSheetId="4">#REF!</definedName>
    <definedName name="ACCNT_98.8" localSheetId="0">#REF!</definedName>
    <definedName name="ACCNT_98.8">#REF!</definedName>
    <definedName name="ACCNT_98.9" localSheetId="4">#REF!</definedName>
    <definedName name="ACCNT_98.9" localSheetId="0">#REF!</definedName>
    <definedName name="ACCNT_98.9">#REF!</definedName>
    <definedName name="ACCNT_98.91" localSheetId="4">#REF!</definedName>
    <definedName name="ACCNT_98.91" localSheetId="0">#REF!</definedName>
    <definedName name="ACCNT_98.91">#REF!</definedName>
    <definedName name="ACCNT_98.92" localSheetId="4">#REF!</definedName>
    <definedName name="ACCNT_98.92" localSheetId="0">#REF!</definedName>
    <definedName name="ACCNT_98.92">#REF!</definedName>
    <definedName name="ACCNT_98.93" localSheetId="4">#REF!</definedName>
    <definedName name="ACCNT_98.93" localSheetId="0">#REF!</definedName>
    <definedName name="ACCNT_98.93">#REF!</definedName>
    <definedName name="ACCNT_98.94" localSheetId="4">#REF!</definedName>
    <definedName name="ACCNT_98.94" localSheetId="0">#REF!</definedName>
    <definedName name="ACCNT_98.94">#REF!</definedName>
    <definedName name="ACCNT_99" localSheetId="4">#REF!</definedName>
    <definedName name="ACCNT_99" localSheetId="0">#REF!</definedName>
    <definedName name="ACCNT_99">#REF!</definedName>
    <definedName name="ACCNT_TOT" localSheetId="4">#REF!</definedName>
    <definedName name="ACCNT_TOT" localSheetId="0">#REF!</definedName>
    <definedName name="ACCNT_TOT">#REF!</definedName>
    <definedName name="account" localSheetId="0">#REF!</definedName>
    <definedName name="account">#REF!</definedName>
    <definedName name="Acero" localSheetId="4">#REF!</definedName>
    <definedName name="Acero" localSheetId="5">#REF!</definedName>
    <definedName name="Acero" localSheetId="0">#REF!</definedName>
    <definedName name="Acero">#REF!</definedName>
    <definedName name="ACERO2" localSheetId="4">#REF!</definedName>
    <definedName name="ACERO2" localSheetId="5">#REF!</definedName>
    <definedName name="ACERO2" localSheetId="0">#REF!</definedName>
    <definedName name="ACERO2">#REF!</definedName>
    <definedName name="Aceros" localSheetId="0">#REF!</definedName>
    <definedName name="Aceros">#REF!</definedName>
    <definedName name="ACON" localSheetId="4">#REF!</definedName>
    <definedName name="ACON" localSheetId="5">#REF!</definedName>
    <definedName name="ACON" localSheetId="0">#REF!</definedName>
    <definedName name="ACON">#REF!</definedName>
    <definedName name="ACT" localSheetId="4">#REF!</definedName>
    <definedName name="ACT" localSheetId="5">#REF!</definedName>
    <definedName name="ACT" localSheetId="0">#REF!</definedName>
    <definedName name="ACT">#REF!</definedName>
    <definedName name="ACTIVITY_5" localSheetId="4">#REF!</definedName>
    <definedName name="ACTIVITY_5" localSheetId="5">#REF!</definedName>
    <definedName name="ACTIVITY_5" localSheetId="0">#REF!</definedName>
    <definedName name="ACTIVITY_5">#REF!</definedName>
    <definedName name="ACTIVITY_6" localSheetId="4">#REF!</definedName>
    <definedName name="ACTIVITY_6" localSheetId="0">#REF!</definedName>
    <definedName name="ACTIVITY_6">#REF!</definedName>
    <definedName name="ACUMULADA" localSheetId="0">#REF!</definedName>
    <definedName name="ACUMULADA">#REF!</definedName>
    <definedName name="ACUMULADO8000" localSheetId="4">#REF!</definedName>
    <definedName name="ACUMULADO8000" localSheetId="0">#REF!</definedName>
    <definedName name="ACUMULADO8000">#REF!</definedName>
    <definedName name="ad" localSheetId="0">#REF!</definedName>
    <definedName name="ad">#REF!</definedName>
    <definedName name="ada" localSheetId="4" hidden="1">{"CONCABL1.1",#N/A,FALSE,"1.1.1a1.1.3 ACSR";"AISL1.2",#N/A,FALSE,"1.1.1a1.1.3 ACSR";"torr1.1.3",#N/A,FALSE,"1.1.1a1.1.3 ACSR";"cm1.2",#N/A,FALSE,"1.2 ACSR";"cm2.2",#N/A,FALSE,"1.2 ACSR";#N/A,#N/A,FALSE,"1.3 ACSR";#N/A,#N/A,FALSE,"2.1.1A2.1.3 ACAR";"ac2.1",#N/A,FALSE,"1.2 ACAR";"ac2.2",#N/A,FALSE,"1.2 ACAR";#N/A,#N/A,FALSE,"2.3 ACAR"}</definedName>
    <definedName name="ada" localSheetId="5" hidden="1">{"CONCABL1.1",#N/A,FALSE,"1.1.1a1.1.3 ACSR";"AISL1.2",#N/A,FALSE,"1.1.1a1.1.3 ACSR";"torr1.1.3",#N/A,FALSE,"1.1.1a1.1.3 ACSR";"cm1.2",#N/A,FALSE,"1.2 ACSR";"cm2.2",#N/A,FALSE,"1.2 ACSR";#N/A,#N/A,FALSE,"1.3 ACSR";#N/A,#N/A,FALSE,"2.1.1A2.1.3 ACAR";"ac2.1",#N/A,FALSE,"1.2 ACAR";"ac2.2",#N/A,FALSE,"1.2 ACAR";#N/A,#N/A,FALSE,"2.3 ACAR"}</definedName>
    <definedName name="ada" localSheetId="0" hidden="1">{"CONCABL1.1",#N/A,FALSE,"1.1.1a1.1.3 ACSR";"AISL1.2",#N/A,FALSE,"1.1.1a1.1.3 ACSR";"torr1.1.3",#N/A,FALSE,"1.1.1a1.1.3 ACSR";"cm1.2",#N/A,FALSE,"1.2 ACSR";"cm2.2",#N/A,FALSE,"1.2 ACSR";#N/A,#N/A,FALSE,"1.3 ACSR";#N/A,#N/A,FALSE,"2.1.1A2.1.3 ACAR";"ac2.1",#N/A,FALSE,"1.2 ACAR";"ac2.2",#N/A,FALSE,"1.2 ACAR";#N/A,#N/A,FALSE,"2.3 ACAR"}</definedName>
    <definedName name="ada" hidden="1">{"CONCABL1.1",#N/A,FALSE,"1.1.1a1.1.3 ACSR";"AISL1.2",#N/A,FALSE,"1.1.1a1.1.3 ACSR";"torr1.1.3",#N/A,FALSE,"1.1.1a1.1.3 ACSR";"cm1.2",#N/A,FALSE,"1.2 ACSR";"cm2.2",#N/A,FALSE,"1.2 ACSR";#N/A,#N/A,FALSE,"1.3 ACSR";#N/A,#N/A,FALSE,"2.1.1A2.1.3 ACAR";"ac2.1",#N/A,FALSE,"1.2 ACAR";"ac2.2",#N/A,FALSE,"1.2 ACAR";#N/A,#N/A,FALSE,"2.3 ACAR"}</definedName>
    <definedName name="ADAD" localSheetId="4">#REF!</definedName>
    <definedName name="ADAD" localSheetId="5">#REF!</definedName>
    <definedName name="ADAD" localSheetId="0">#REF!</definedName>
    <definedName name="ADAD">#REF!</definedName>
    <definedName name="ADADWE" localSheetId="4">#REF!</definedName>
    <definedName name="ADADWE" localSheetId="5">#REF!</definedName>
    <definedName name="ADADWE" localSheetId="0">#REF!</definedName>
    <definedName name="ADADWE">#REF!</definedName>
    <definedName name="adase" localSheetId="4">#REF!</definedName>
    <definedName name="adase" localSheetId="5">#REF!</definedName>
    <definedName name="adase" localSheetId="0">#REF!</definedName>
    <definedName name="adase">#REF!</definedName>
    <definedName name="adasss" localSheetId="4" hidden="1">{"CONCABL1.1",#N/A,FALSE,"1.1.1a1.1.3 ACSR";"AISL1.2",#N/A,FALSE,"1.1.1a1.1.3 ACSR";"torr1.1.3",#N/A,FALSE,"1.1.1a1.1.3 ACSR";"cm1.2",#N/A,FALSE,"1.2 ACSR";"cm2.2",#N/A,FALSE,"1.2 ACSR";#N/A,#N/A,FALSE,"1.3 ACSR";#N/A,#N/A,FALSE,"2.1.1A2.1.3 ACAR";"ac2.1",#N/A,FALSE,"1.2 ACAR";"ac2.2",#N/A,FALSE,"1.2 ACAR";#N/A,#N/A,FALSE,"2.3 ACAR"}</definedName>
    <definedName name="adasss" localSheetId="5" hidden="1">{"CONCABL1.1",#N/A,FALSE,"1.1.1a1.1.3 ACSR";"AISL1.2",#N/A,FALSE,"1.1.1a1.1.3 ACSR";"torr1.1.3",#N/A,FALSE,"1.1.1a1.1.3 ACSR";"cm1.2",#N/A,FALSE,"1.2 ACSR";"cm2.2",#N/A,FALSE,"1.2 ACSR";#N/A,#N/A,FALSE,"1.3 ACSR";#N/A,#N/A,FALSE,"2.1.1A2.1.3 ACAR";"ac2.1",#N/A,FALSE,"1.2 ACAR";"ac2.2",#N/A,FALSE,"1.2 ACAR";#N/A,#N/A,FALSE,"2.3 ACAR"}</definedName>
    <definedName name="adasss" localSheetId="0" hidden="1">{"CONCABL1.1",#N/A,FALSE,"1.1.1a1.1.3 ACSR";"AISL1.2",#N/A,FALSE,"1.1.1a1.1.3 ACSR";"torr1.1.3",#N/A,FALSE,"1.1.1a1.1.3 ACSR";"cm1.2",#N/A,FALSE,"1.2 ACSR";"cm2.2",#N/A,FALSE,"1.2 ACSR";#N/A,#N/A,FALSE,"1.3 ACSR";#N/A,#N/A,FALSE,"2.1.1A2.1.3 ACAR";"ac2.1",#N/A,FALSE,"1.2 ACAR";"ac2.2",#N/A,FALSE,"1.2 ACAR";#N/A,#N/A,FALSE,"2.3 ACAR"}</definedName>
    <definedName name="adasss" hidden="1">{"CONCABL1.1",#N/A,FALSE,"1.1.1a1.1.3 ACSR";"AISL1.2",#N/A,FALSE,"1.1.1a1.1.3 ACSR";"torr1.1.3",#N/A,FALSE,"1.1.1a1.1.3 ACSR";"cm1.2",#N/A,FALSE,"1.2 ACSR";"cm2.2",#N/A,FALSE,"1.2 ACSR";#N/A,#N/A,FALSE,"1.3 ACSR";#N/A,#N/A,FALSE,"2.1.1A2.1.3 ACAR";"ac2.1",#N/A,FALSE,"1.2 ACAR";"ac2.2",#N/A,FALSE,"1.2 ACAR";#N/A,#N/A,FALSE,"2.3 ACAR"}</definedName>
    <definedName name="ADDMENU" localSheetId="4">#REF!</definedName>
    <definedName name="ADDMENU" localSheetId="5">#REF!</definedName>
    <definedName name="ADDMENU" localSheetId="0">#REF!</definedName>
    <definedName name="ADDMENU">#REF!</definedName>
    <definedName name="ADDMENU_RANGE" localSheetId="4">#REF!</definedName>
    <definedName name="ADDMENU_RANGE" localSheetId="5">#REF!</definedName>
    <definedName name="ADDMENU_RANGE" localSheetId="0">#REF!</definedName>
    <definedName name="ADDMENU_RANGE">#REF!</definedName>
    <definedName name="ADJUSMENT" localSheetId="4">#REF!</definedName>
    <definedName name="ADJUSMENT" localSheetId="5">#REF!</definedName>
    <definedName name="ADJUSMENT" localSheetId="0">#REF!</definedName>
    <definedName name="ADJUSMENT">#REF!</definedName>
    <definedName name="ADOBE">7800+500</definedName>
    <definedName name="AE" localSheetId="4" hidden="1">{#N/A,#N/A,FALSE,"minas";#N/A,#N/A,FALSE,"Total_OC015";#N/A,#N/A,FALSE,"ADMIN";#N/A,#N/A,FALSE,"PROCES";#N/A,#N/A,FALSE,"civil";#N/A,#N/A,FALSE,"CAÑER";#N/A,#N/A,FALSE,"ELEC";#N/A,#N/A,FALSE,"INSTR";#N/A,#N/A,FALSE,"PDS";#N/A,#N/A,FALSE,"mecan"}</definedName>
    <definedName name="AE" localSheetId="5" hidden="1">{#N/A,#N/A,FALSE,"minas";#N/A,#N/A,FALSE,"Total_OC015";#N/A,#N/A,FALSE,"ADMIN";#N/A,#N/A,FALSE,"PROCES";#N/A,#N/A,FALSE,"civil";#N/A,#N/A,FALSE,"CAÑER";#N/A,#N/A,FALSE,"ELEC";#N/A,#N/A,FALSE,"INSTR";#N/A,#N/A,FALSE,"PDS";#N/A,#N/A,FALSE,"mecan"}</definedName>
    <definedName name="AE" localSheetId="0" hidden="1">{#N/A,#N/A,FALSE,"minas";#N/A,#N/A,FALSE,"Total_OC015";#N/A,#N/A,FALSE,"ADMIN";#N/A,#N/A,FALSE,"PROCES";#N/A,#N/A,FALSE,"civil";#N/A,#N/A,FALSE,"CAÑER";#N/A,#N/A,FALSE,"ELEC";#N/A,#N/A,FALSE,"INSTR";#N/A,#N/A,FALSE,"PDS";#N/A,#N/A,FALSE,"mecan"}</definedName>
    <definedName name="AE" hidden="1">{#N/A,#N/A,FALSE,"minas";#N/A,#N/A,FALSE,"Total_OC015";#N/A,#N/A,FALSE,"ADMIN";#N/A,#N/A,FALSE,"PROCES";#N/A,#N/A,FALSE,"civil";#N/A,#N/A,FALSE,"CAÑER";#N/A,#N/A,FALSE,"ELEC";#N/A,#N/A,FALSE,"INSTR";#N/A,#N/A,FALSE,"PDS";#N/A,#N/A,FALSE,"mecan"}</definedName>
    <definedName name="aerg" localSheetId="4">#REF!</definedName>
    <definedName name="aerg" localSheetId="5">#REF!</definedName>
    <definedName name="aerg" localSheetId="0">#REF!</definedName>
    <definedName name="aerg">#REF!</definedName>
    <definedName name="afdsadsa" localSheetId="4" hidden="1">{"CONCABL1.1",#N/A,FALSE,"1.1.1a1.1.3 ACSR";"AISL1.2",#N/A,FALSE,"1.1.1a1.1.3 ACSR";"torr1.1.3",#N/A,FALSE,"1.1.1a1.1.3 ACSR";"cm1.2",#N/A,FALSE,"1.2 ACSR";"cm2.2",#N/A,FALSE,"1.2 ACSR";#N/A,#N/A,FALSE,"1.3 ACSR";#N/A,#N/A,FALSE,"2.1.1A2.1.3 ACAR";"ac2.1",#N/A,FALSE,"1.2 ACAR";"ac2.2",#N/A,FALSE,"1.2 ACAR";#N/A,#N/A,FALSE,"2.3 ACAR"}</definedName>
    <definedName name="afdsadsa" localSheetId="5" hidden="1">{"CONCABL1.1",#N/A,FALSE,"1.1.1a1.1.3 ACSR";"AISL1.2",#N/A,FALSE,"1.1.1a1.1.3 ACSR";"torr1.1.3",#N/A,FALSE,"1.1.1a1.1.3 ACSR";"cm1.2",#N/A,FALSE,"1.2 ACSR";"cm2.2",#N/A,FALSE,"1.2 ACSR";#N/A,#N/A,FALSE,"1.3 ACSR";#N/A,#N/A,FALSE,"2.1.1A2.1.3 ACAR";"ac2.1",#N/A,FALSE,"1.2 ACAR";"ac2.2",#N/A,FALSE,"1.2 ACAR";#N/A,#N/A,FALSE,"2.3 ACAR"}</definedName>
    <definedName name="afdsadsa" localSheetId="0" hidden="1">{"CONCABL1.1",#N/A,FALSE,"1.1.1a1.1.3 ACSR";"AISL1.2",#N/A,FALSE,"1.1.1a1.1.3 ACSR";"torr1.1.3",#N/A,FALSE,"1.1.1a1.1.3 ACSR";"cm1.2",#N/A,FALSE,"1.2 ACSR";"cm2.2",#N/A,FALSE,"1.2 ACSR";#N/A,#N/A,FALSE,"1.3 ACSR";#N/A,#N/A,FALSE,"2.1.1A2.1.3 ACAR";"ac2.1",#N/A,FALSE,"1.2 ACAR";"ac2.2",#N/A,FALSE,"1.2 ACAR";#N/A,#N/A,FALSE,"2.3 ACAR"}</definedName>
    <definedName name="afdsadsa" hidden="1">{"CONCABL1.1",#N/A,FALSE,"1.1.1a1.1.3 ACSR";"AISL1.2",#N/A,FALSE,"1.1.1a1.1.3 ACSR";"torr1.1.3",#N/A,FALSE,"1.1.1a1.1.3 ACSR";"cm1.2",#N/A,FALSE,"1.2 ACSR";"cm2.2",#N/A,FALSE,"1.2 ACSR";#N/A,#N/A,FALSE,"1.3 ACSR";#N/A,#N/A,FALSE,"2.1.1A2.1.3 ACAR";"ac2.1",#N/A,FALSE,"1.2 ACAR";"ac2.2",#N/A,FALSE,"1.2 ACAR";#N/A,#N/A,FALSE,"2.3 ACAR"}</definedName>
    <definedName name="AFGIS_ELECT" localSheetId="4">#REF!</definedName>
    <definedName name="AFGIS_ELECT" localSheetId="5">#REF!</definedName>
    <definedName name="AFGIS_ELECT" localSheetId="0">#REF!</definedName>
    <definedName name="AFGIS_ELECT">#REF!</definedName>
    <definedName name="AFTER_MP" localSheetId="4">#REF!</definedName>
    <definedName name="AFTER_MP" localSheetId="5">#REF!</definedName>
    <definedName name="AFTER_MP" localSheetId="0">#REF!</definedName>
    <definedName name="AFTER_MP">#REF!</definedName>
    <definedName name="AG" localSheetId="4">#REF!</definedName>
    <definedName name="AG" localSheetId="5">#REF!</definedName>
    <definedName name="AG" localSheetId="0">#REF!</definedName>
    <definedName name="AG">#REF!</definedName>
    <definedName name="agshjga" localSheetId="4" hidden="1">#REF!</definedName>
    <definedName name="agshjga" localSheetId="5" hidden="1">#REF!</definedName>
    <definedName name="agshjga" localSheetId="0" hidden="1">#REF!</definedName>
    <definedName name="agshjga" hidden="1">#REF!</definedName>
    <definedName name="agua"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gu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horro_senal">1</definedName>
    <definedName name="Aic_Instrumentation_List" localSheetId="4">#REF!</definedName>
    <definedName name="Aic_Instrumentation_List" localSheetId="5">#REF!</definedName>
    <definedName name="Aic_Instrumentation_List" localSheetId="0">#REF!</definedName>
    <definedName name="Aic_Instrumentation_List">#REF!</definedName>
    <definedName name="AIMP" localSheetId="4">#REF!</definedName>
    <definedName name="AIMP" localSheetId="5">#REF!</definedName>
    <definedName name="AIMP" localSheetId="0">#REF!</definedName>
    <definedName name="AIMP">#REF!</definedName>
    <definedName name="air_trap" localSheetId="4">#REF!</definedName>
    <definedName name="air_trap" localSheetId="5">#REF!</definedName>
    <definedName name="air_trap" localSheetId="0">#REF!</definedName>
    <definedName name="air_trap">#REF!</definedName>
    <definedName name="AIRCON" localSheetId="4">#REF!</definedName>
    <definedName name="AIRCON" localSheetId="0">#REF!</definedName>
    <definedName name="AIRCON">#REF!</definedName>
    <definedName name="AJMAQ20121TP" localSheetId="4">#REF!</definedName>
    <definedName name="AJMAQ20121TP" localSheetId="0">#REF!</definedName>
    <definedName name="AJMAQ20121TP">#REF!</definedName>
    <definedName name="AJMAQ20121TR" localSheetId="4">#REF!</definedName>
    <definedName name="AJMAQ20121TR" localSheetId="0">#REF!</definedName>
    <definedName name="AJMAQ20121TR">#REF!</definedName>
    <definedName name="AJMAQ2012V0" localSheetId="4">#REF!</definedName>
    <definedName name="AJMAQ2012V0" localSheetId="0">#REF!</definedName>
    <definedName name="AJMAQ2012V0">#REF!</definedName>
    <definedName name="AJMAQ2012V1" localSheetId="4">#REF!</definedName>
    <definedName name="AJMAQ2012V1" localSheetId="0">#REF!</definedName>
    <definedName name="AJMAQ2012V1">#REF!</definedName>
    <definedName name="AJMAQ2012V1NC" localSheetId="4">#REF!</definedName>
    <definedName name="AJMAQ2012V1NC" localSheetId="0">#REF!</definedName>
    <definedName name="AJMAQ2012V1NC">#REF!</definedName>
    <definedName name="AJMAQ2012V1OC" localSheetId="4">#REF!</definedName>
    <definedName name="AJMAQ2012V1OC" localSheetId="0">#REF!</definedName>
    <definedName name="AJMAQ2012V1OC">#REF!</definedName>
    <definedName name="aktualny" localSheetId="4">#REF!</definedName>
    <definedName name="aktualny" localSheetId="0">#REF!</definedName>
    <definedName name="aktualny">#REF!</definedName>
    <definedName name="akwiz" localSheetId="4">#REF!</definedName>
    <definedName name="akwiz" localSheetId="0">#REF!</definedName>
    <definedName name="akwiz">#REF!</definedName>
    <definedName name="akwizycja" localSheetId="4">#REF!</definedName>
    <definedName name="akwizycja" localSheetId="0">#REF!</definedName>
    <definedName name="akwizycja">#REF!</definedName>
    <definedName name="akwizycja_p" localSheetId="4">#REF!</definedName>
    <definedName name="akwizycja_p" localSheetId="0">#REF!</definedName>
    <definedName name="akwizycja_p">#REF!</definedName>
    <definedName name="alex"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ex"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all" localSheetId="4">#REF!</definedName>
    <definedName name="all" localSheetId="5">#REF!</definedName>
    <definedName name="all" localSheetId="0">#REF!</definedName>
    <definedName name="all">#REF!</definedName>
    <definedName name="allowance" localSheetId="4">#REF!</definedName>
    <definedName name="allowance" localSheetId="5">#REF!</definedName>
    <definedName name="allowance" localSheetId="0">#REF!</definedName>
    <definedName name="allowance">#REF!</definedName>
    <definedName name="alt" localSheetId="0">#REF!</definedName>
    <definedName name="alt">#REF!</definedName>
    <definedName name="alte" localSheetId="0">#REF!</definedName>
    <definedName name="alte">#REF!</definedName>
    <definedName name="Alternativa" localSheetId="4">#REF!</definedName>
    <definedName name="Alternativa" localSheetId="5">#REF!</definedName>
    <definedName name="Alternativa" localSheetId="0">#REF!</definedName>
    <definedName name="Alternativa">#REF!</definedName>
    <definedName name="AMORT20121TP" localSheetId="4">#REF!</definedName>
    <definedName name="AMORT20121TP" localSheetId="5">#REF!</definedName>
    <definedName name="AMORT20121TP" localSheetId="0">#REF!</definedName>
    <definedName name="AMORT20121TP">#REF!</definedName>
    <definedName name="AMORT20121TR" localSheetId="4">#REF!</definedName>
    <definedName name="AMORT20121TR" localSheetId="5">#REF!</definedName>
    <definedName name="AMORT20121TR" localSheetId="0">#REF!</definedName>
    <definedName name="AMORT20121TR">#REF!</definedName>
    <definedName name="AMORT2012V0" localSheetId="4">#REF!</definedName>
    <definedName name="AMORT2012V0" localSheetId="0">#REF!</definedName>
    <definedName name="AMORT2012V0">#REF!</definedName>
    <definedName name="AMORT2012V1" localSheetId="4">#REF!</definedName>
    <definedName name="AMORT2012V1" localSheetId="0">#REF!</definedName>
    <definedName name="AMORT2012V1">#REF!</definedName>
    <definedName name="AMORT2012V1NC" localSheetId="4">#REF!</definedName>
    <definedName name="AMORT2012V1NC" localSheetId="0">#REF!</definedName>
    <definedName name="AMORT2012V1NC">#REF!</definedName>
    <definedName name="AMORT2012V1OC" localSheetId="4">#REF!</definedName>
    <definedName name="AMORT2012V1OC" localSheetId="0">#REF!</definedName>
    <definedName name="AMORT2012V1OC">#REF!</definedName>
    <definedName name="AMORTEC2011" localSheetId="0">#REF!</definedName>
    <definedName name="AMORTEC2011">#REF!</definedName>
    <definedName name="AMORTV02011" localSheetId="0">#REF!</definedName>
    <definedName name="AMORTV02011">#REF!</definedName>
    <definedName name="Amount_of_repayment_due_from_previous_years" localSheetId="4">#REF!</definedName>
    <definedName name="Amount_of_repayment_due_from_previous_years" localSheetId="5">#REF!</definedName>
    <definedName name="Amount_of_repayment_due_from_previous_years" localSheetId="0">#REF!</definedName>
    <definedName name="Amount_of_repayment_due_from_previous_years">#REF!</definedName>
    <definedName name="AMSTR">(53633.64-40184.6)/12</definedName>
    <definedName name="AMURZ" localSheetId="4">#REF!-89235.715-1120.75</definedName>
    <definedName name="AMURZ" localSheetId="5">#REF!-89235.715-1120.75</definedName>
    <definedName name="AMURZ" localSheetId="0">#REF!-89235.715-1120.75</definedName>
    <definedName name="AMURZ">#REF!-89235.715-1120.75</definedName>
    <definedName name="AMURZ1" localSheetId="4">#REF!-(26717.11-15928.3)/12</definedName>
    <definedName name="AMURZ1" localSheetId="5">#REF!-(26717.11-15928.3)/12</definedName>
    <definedName name="AMURZ1" localSheetId="0">#REF!-(26717.11-15928.3)/12</definedName>
    <definedName name="AMURZ1">#REF!-(26717.11-15928.3)/12</definedName>
    <definedName name="AMWNM">(4370995.9-3300167.32)/12</definedName>
    <definedName name="ANAC" localSheetId="4">#REF!</definedName>
    <definedName name="ANAC" localSheetId="5">#REF!</definedName>
    <definedName name="ANAC" localSheetId="0">#REF!</definedName>
    <definedName name="ANAC">#REF!</definedName>
    <definedName name="angle" localSheetId="4">#REF!</definedName>
    <definedName name="angle" localSheetId="5">#REF!</definedName>
    <definedName name="angle" localSheetId="0">#REF!</definedName>
    <definedName name="angle">#REF!</definedName>
    <definedName name="Annual_Grade_A_Discount" localSheetId="4">#REF!</definedName>
    <definedName name="Annual_Grade_A_Discount" localSheetId="5">#REF!</definedName>
    <definedName name="Annual_Grade_A_Discount" localSheetId="0">#REF!</definedName>
    <definedName name="Annual_Grade_A_Discount">#REF!</definedName>
    <definedName name="Annual_Standard_Discount" localSheetId="4">#REF!</definedName>
    <definedName name="Annual_Standard_Discount" localSheetId="5">#REF!</definedName>
    <definedName name="Annual_Standard_Discount" localSheetId="0">#REF!</definedName>
    <definedName name="Annual_Standard_Discount">#REF!</definedName>
    <definedName name="anscount" hidden="1">1</definedName>
    <definedName name="ANTYGRAFITTI" localSheetId="4">#REF!</definedName>
    <definedName name="ANTYGRAFITTI" localSheetId="5">#REF!</definedName>
    <definedName name="ANTYGRAFITTI" localSheetId="0">#REF!</definedName>
    <definedName name="ANTYGRAFITTI">#REF!</definedName>
    <definedName name="ANTYKOROZJA.BALUSTRADY" localSheetId="4">#REF!</definedName>
    <definedName name="ANTYKOROZJA.BALUSTRADY" localSheetId="5">#REF!</definedName>
    <definedName name="ANTYKOROZJA.BALUSTRADY" localSheetId="0">#REF!</definedName>
    <definedName name="ANTYKOROZJA.BALUSTRADY">#REF!</definedName>
    <definedName name="ANTYKOROZJA.BETON" localSheetId="4">#REF!</definedName>
    <definedName name="ANTYKOROZJA.BETON" localSheetId="5">#REF!</definedName>
    <definedName name="ANTYKOROZJA.BETON" localSheetId="0">#REF!</definedName>
    <definedName name="ANTYKOROZJA.BETON">#REF!</definedName>
    <definedName name="ANTYKOROZJA.PORĘCZY" localSheetId="4">#REF!</definedName>
    <definedName name="ANTYKOROZJA.PORĘCZY" localSheetId="0">#REF!</definedName>
    <definedName name="ANTYKOROZJA.PORĘCZY">#REF!</definedName>
    <definedName name="Año" localSheetId="4">#REF!</definedName>
    <definedName name="Año" localSheetId="5">#REF!</definedName>
    <definedName name="Año" localSheetId="0">#REF!</definedName>
    <definedName name="Año">#REF!</definedName>
    <definedName name="ap" localSheetId="4">#REF!</definedName>
    <definedName name="ap" localSheetId="5">#REF!</definedName>
    <definedName name="ap" localSheetId="0">#REF!</definedName>
    <definedName name="ap">#REF!</definedName>
    <definedName name="AP_00" localSheetId="0">#REF!</definedName>
    <definedName name="AP_00">#REF!</definedName>
    <definedName name="apasa" localSheetId="4" hidden="1">#REF!</definedName>
    <definedName name="apasa" localSheetId="5" hidden="1">#REF!</definedName>
    <definedName name="apasa" localSheetId="0" hidden="1">#REF!</definedName>
    <definedName name="apasa" hidden="1">#REF!</definedName>
    <definedName name="API" localSheetId="4">#REF!</definedName>
    <definedName name="API" localSheetId="5">#REF!</definedName>
    <definedName name="API" localSheetId="0">#REF!</definedName>
    <definedName name="API">#REF!</definedName>
    <definedName name="apo" localSheetId="0">#REF!</definedName>
    <definedName name="apo">#REF!</definedName>
    <definedName name="APO_2" localSheetId="4" hidden="1">#REF!</definedName>
    <definedName name="APO_2" localSheetId="5" hidden="1">#REF!</definedName>
    <definedName name="APO_2" localSheetId="0" hidden="1">#REF!</definedName>
    <definedName name="APO_2" hidden="1">#REF!</definedName>
    <definedName name="apoo" localSheetId="4" hidden="1">#REF!</definedName>
    <definedName name="apoo" localSheetId="5" hidden="1">#REF!</definedName>
    <definedName name="apoo" localSheetId="0" hidden="1">#REF!</definedName>
    <definedName name="apoo" hidden="1">#REF!</definedName>
    <definedName name="Approved" localSheetId="4">#REF!</definedName>
    <definedName name="Approved" localSheetId="5">#REF!</definedName>
    <definedName name="Approved" localSheetId="0">#REF!</definedName>
    <definedName name="Approved">#REF!</definedName>
    <definedName name="apska" localSheetId="4" hidden="1">#REF!</definedName>
    <definedName name="apska" localSheetId="0" hidden="1">#REF!</definedName>
    <definedName name="apska" hidden="1">#REF!</definedName>
    <definedName name="aqwse">#N/A</definedName>
    <definedName name="AR" localSheetId="4">#REF!</definedName>
    <definedName name="AR" localSheetId="5">#REF!</definedName>
    <definedName name="AR" localSheetId="0">#REF!</definedName>
    <definedName name="AR">#REF!</definedName>
    <definedName name="ARCH_CITY" localSheetId="4">#REF!</definedName>
    <definedName name="ARCH_CITY" localSheetId="5">#REF!</definedName>
    <definedName name="ARCH_CITY" localSheetId="0">#REF!</definedName>
    <definedName name="ARCH_CITY">#REF!</definedName>
    <definedName name="ARCH_ESC" localSheetId="4">#REF!</definedName>
    <definedName name="ARCH_ESC" localSheetId="5">#REF!</definedName>
    <definedName name="ARCH_ESC" localSheetId="0">#REF!</definedName>
    <definedName name="ARCH_ESC">#REF!</definedName>
    <definedName name="ARCH_OLD_CITY" localSheetId="4">#REF!</definedName>
    <definedName name="ARCH_OLD_CITY" localSheetId="0">#REF!</definedName>
    <definedName name="ARCH_OLD_CITY">#REF!</definedName>
    <definedName name="ARCH_OLD_ESC" localSheetId="4">#REF!</definedName>
    <definedName name="ARCH_OLD_ESC" localSheetId="0">#REF!</definedName>
    <definedName name="ARCH_OLD_ESC">#REF!</definedName>
    <definedName name="ARCH_OLD_PROD" localSheetId="4">#REF!</definedName>
    <definedName name="ARCH_OLD_PROD" localSheetId="0">#REF!</definedName>
    <definedName name="ARCH_OLD_PROD">#REF!</definedName>
    <definedName name="ARCH_OLD_WAGE" localSheetId="4">#REF!</definedName>
    <definedName name="ARCH_OLD_WAGE" localSheetId="0">#REF!</definedName>
    <definedName name="ARCH_OLD_WAGE">#REF!</definedName>
    <definedName name="ARCH_PROD" localSheetId="4">#REF!</definedName>
    <definedName name="ARCH_PROD" localSheetId="0">#REF!</definedName>
    <definedName name="ARCH_PROD">#REF!</definedName>
    <definedName name="ARCH_WAGE" localSheetId="4">#REF!</definedName>
    <definedName name="ARCH_WAGE" localSheetId="0">#REF!</definedName>
    <definedName name="ARCH_WAGE">#REF!</definedName>
    <definedName name="area" localSheetId="4">#REF!</definedName>
    <definedName name="AREA" localSheetId="5">#REF!</definedName>
    <definedName name="AREA" localSheetId="0">#REF!</definedName>
    <definedName name="AREA">#REF!</definedName>
    <definedName name="Area_Cultivo1" localSheetId="0">#REF!</definedName>
    <definedName name="Area_Cultivo1">#REF!</definedName>
    <definedName name="Area_Cultivo1_SP" localSheetId="4">#REF!</definedName>
    <definedName name="Area_Cultivo1_SP" localSheetId="5">#REF!</definedName>
    <definedName name="Area_Cultivo1_SP" localSheetId="0">#REF!</definedName>
    <definedName name="Area_Cultivo1_SP">#REF!</definedName>
    <definedName name="Area_Cultivo2" localSheetId="0">#REF!</definedName>
    <definedName name="Area_Cultivo2">#REF!</definedName>
    <definedName name="Area_Cultivo2_SP" localSheetId="0">#REF!</definedName>
    <definedName name="Area_Cultivo2_SP">#REF!</definedName>
    <definedName name="Area_Cultivo3" localSheetId="0">#REF!</definedName>
    <definedName name="Area_Cultivo3">#REF!</definedName>
    <definedName name="Area_Cultivo3_SP" localSheetId="0">#REF!</definedName>
    <definedName name="Area_Cultivo3_SP">#REF!</definedName>
    <definedName name="Area_Cultivo4" localSheetId="4">#REF!</definedName>
    <definedName name="Area_Cultivo4" localSheetId="5">#REF!</definedName>
    <definedName name="Area_Cultivo4" localSheetId="0">#REF!</definedName>
    <definedName name="Area_Cultivo4">#REF!</definedName>
    <definedName name="Area_Cultivo4_SP" localSheetId="4">#REF!</definedName>
    <definedName name="Area_Cultivo4_SP" localSheetId="5">#REF!</definedName>
    <definedName name="Area_Cultivo4_SP" localSheetId="0">#REF!</definedName>
    <definedName name="Area_Cultivo4_SP">#REF!</definedName>
    <definedName name="Area_Cultivo5" localSheetId="0">#REF!</definedName>
    <definedName name="Area_Cultivo5">#REF!</definedName>
    <definedName name="Area_Cultivo5_SP" localSheetId="0">#REF!</definedName>
    <definedName name="Area_Cultivo5_SP">#REF!</definedName>
    <definedName name="_xlnm.Extract" localSheetId="4">#REF!</definedName>
    <definedName name="_xlnm.Extract" localSheetId="5">#REF!</definedName>
    <definedName name="_xlnm.Extract" localSheetId="0">#REF!</definedName>
    <definedName name="_xlnm.Extract">#REF!</definedName>
    <definedName name="_xlnm.Print_Area" localSheetId="4">#REF!</definedName>
    <definedName name="_xlnm.Print_Area" localSheetId="5">Producción!$A$1:$I$80</definedName>
    <definedName name="_xlnm.Print_Area" localSheetId="0">'Resumen Ejecutivo'!$A$1:$L$120</definedName>
    <definedName name="_xlnm.Print_Area">#REF!</definedName>
    <definedName name="Area_de_impresñion" localSheetId="0">#REF!</definedName>
    <definedName name="Area_de_impresñion">#REF!</definedName>
    <definedName name="Area_impresión" localSheetId="4">#REF!</definedName>
    <definedName name="Area_impresión" localSheetId="5">#REF!</definedName>
    <definedName name="Area_impresión" localSheetId="0">#REF!</definedName>
    <definedName name="Area_impresión">#REF!</definedName>
    <definedName name="Area_Tot_SP" localSheetId="0">#REF!</definedName>
    <definedName name="Area_Tot_SP">#REF!</definedName>
    <definedName name="area2" localSheetId="4">#REF!</definedName>
    <definedName name="area2" localSheetId="5">#REF!</definedName>
    <definedName name="area2" localSheetId="0">#REF!</definedName>
    <definedName name="area2">#REF!</definedName>
    <definedName name="as" localSheetId="0">#REF!</definedName>
    <definedName name="as">#REF!</definedName>
    <definedName name="as_2" localSheetId="4">#REF!</definedName>
    <definedName name="as_2" localSheetId="5">#REF!</definedName>
    <definedName name="as_2" localSheetId="0">#REF!</definedName>
    <definedName name="as_2">#REF!</definedName>
    <definedName name="AS2DocOpenMode" hidden="1">"AS2DocumentEdit"</definedName>
    <definedName name="AS2HasNoAutoHeaderFooter" hidden="1">" "</definedName>
    <definedName name="AS2ReportLS" hidden="1">1</definedName>
    <definedName name="AS2StaticLS" localSheetId="4" hidden="1">#REF!</definedName>
    <definedName name="AS2StaticLS" localSheetId="5" hidden="1">#REF!</definedName>
    <definedName name="AS2StaticLS" localSheetId="0" hidden="1">#REF!</definedName>
    <definedName name="AS2StaticLS" hidden="1">#REF!</definedName>
    <definedName name="AS2SyncStepLS" hidden="1">0</definedName>
    <definedName name="AS2TickmarkLS" localSheetId="4" hidden="1">#REF!</definedName>
    <definedName name="AS2TickmarkLS" localSheetId="5" hidden="1">#REF!</definedName>
    <definedName name="AS2TickmarkLS" localSheetId="0" hidden="1">#REF!</definedName>
    <definedName name="AS2TickmarkLS" hidden="1">#REF!</definedName>
    <definedName name="AS2VersionLS" hidden="1">300</definedName>
    <definedName name="asa" localSheetId="4">VLOOKUP(#REF!,BOPLAB,HLOOKUP(#REF!,BOP,2),FALSE)+(VLOOKUP(#REF!,BOPLAB,HLOOKUP(#REF!,BOP,2)+1,FALSE)-VLOOKUP(#REF!,BOPLAB,HLOOKUP(#REF!,BOP,2),FALSE))*(#REF!-HLOOKUP(#REF!,BOP,1))/(HLOOKUP(#REF!+2,BOP,1)-HLOOKUP(#REF!,BOP,1))</definedName>
    <definedName name="asa" localSheetId="6">VLOOKUP(#REF!,BOPLAB,HLOOKUP(#REF!,BOP,2),FALSE)+(VLOOKUP(#REF!,BOPLAB,HLOOKUP(#REF!,BOP,2)+1,FALSE)-VLOOKUP(#REF!,BOPLAB,HLOOKUP(#REF!,BOP,2),FALSE))*(#REF!-HLOOKUP(#REF!,BOP,1))/(HLOOKUP(#REF!+2,BOP,1)-HLOOKUP(#REF!,BOP,1))</definedName>
    <definedName name="asa" localSheetId="5">VLOOKUP(#REF!,BOPLAB,HLOOKUP(#REF!,BOP,2),FALSE)+(VLOOKUP(#REF!,BOPLAB,HLOOKUP(#REF!,BOP,2)+1,FALSE)-VLOOKUP(#REF!,BOPLAB,HLOOKUP(#REF!,BOP,2),FALSE))*(#REF!-HLOOKUP(#REF!,BOP,1))/(HLOOKUP(#REF!+2,BOP,1)-HLOOKUP(#REF!,BOP,1))</definedName>
    <definedName name="asa" localSheetId="0">VLOOKUP(#REF!,BOPLAB,HLOOKUP(#REF!,BOP,2),FALSE)+(VLOOKUP(#REF!,BOPLAB,HLOOKUP(#REF!,BOP,2)+1,FALSE)-VLOOKUP(#REF!,BOPLAB,HLOOKUP(#REF!,BOP,2),FALSE))*(#REF!-HLOOKUP(#REF!,BOP,1))/(HLOOKUP(#REF!+2,BOP,1)-HLOOKUP(#REF!,BOP,1))</definedName>
    <definedName name="asa">VLOOKUP(#REF!,BOPLAB,HLOOKUP(#REF!,BOP,2),FALSE)+(VLOOKUP(#REF!,BOPLAB,HLOOKUP(#REF!,BOP,2)+1,FALSE)-VLOOKUP(#REF!,BOPLAB,HLOOKUP(#REF!,BOP,2),FALSE))*(#REF!-HLOOKUP(#REF!,BOP,1))/(HLOOKUP(#REF!+2,BOP,1)-HLOOKUP(#REF!,BOP,1))</definedName>
    <definedName name="asas" localSheetId="0">#REF!</definedName>
    <definedName name="asas">#REF!</definedName>
    <definedName name="asda" localSheetId="4" hidden="1">{"CONCABL1.1",#N/A,FALSE,"1.1.1a1.1.3 ACSR";"AISL1.2",#N/A,FALSE,"1.1.1a1.1.3 ACSR";"torr1.1.3",#N/A,FALSE,"1.1.1a1.1.3 ACSR";"cm1.2",#N/A,FALSE,"1.2 ACSR";"cm2.2",#N/A,FALSE,"1.2 ACSR";#N/A,#N/A,FALSE,"1.3 ACSR";#N/A,#N/A,FALSE,"2.1.1A2.1.3 ACAR";"ac2.1",#N/A,FALSE,"1.2 ACAR";"ac2.2",#N/A,FALSE,"1.2 ACAR";#N/A,#N/A,FALSE,"2.3 ACAR"}</definedName>
    <definedName name="asda" localSheetId="5" hidden="1">{"CONCABL1.1",#N/A,FALSE,"1.1.1a1.1.3 ACSR";"AISL1.2",#N/A,FALSE,"1.1.1a1.1.3 ACSR";"torr1.1.3",#N/A,FALSE,"1.1.1a1.1.3 ACSR";"cm1.2",#N/A,FALSE,"1.2 ACSR";"cm2.2",#N/A,FALSE,"1.2 ACSR";#N/A,#N/A,FALSE,"1.3 ACSR";#N/A,#N/A,FALSE,"2.1.1A2.1.3 ACAR";"ac2.1",#N/A,FALSE,"1.2 ACAR";"ac2.2",#N/A,FALSE,"1.2 ACAR";#N/A,#N/A,FALSE,"2.3 ACAR"}</definedName>
    <definedName name="asda" localSheetId="0" hidden="1">{"CONCABL1.1",#N/A,FALSE,"1.1.1a1.1.3 ACSR";"AISL1.2",#N/A,FALSE,"1.1.1a1.1.3 ACSR";"torr1.1.3",#N/A,FALSE,"1.1.1a1.1.3 ACSR";"cm1.2",#N/A,FALSE,"1.2 ACSR";"cm2.2",#N/A,FALSE,"1.2 ACSR";#N/A,#N/A,FALSE,"1.3 ACSR";#N/A,#N/A,FALSE,"2.1.1A2.1.3 ACAR";"ac2.1",#N/A,FALSE,"1.2 ACAR";"ac2.2",#N/A,FALSE,"1.2 ACAR";#N/A,#N/A,FALSE,"2.3 ACAR"}</definedName>
    <definedName name="asda" hidden="1">{"CONCABL1.1",#N/A,FALSE,"1.1.1a1.1.3 ACSR";"AISL1.2",#N/A,FALSE,"1.1.1a1.1.3 ACSR";"torr1.1.3",#N/A,FALSE,"1.1.1a1.1.3 ACSR";"cm1.2",#N/A,FALSE,"1.2 ACSR";"cm2.2",#N/A,FALSE,"1.2 ACSR";#N/A,#N/A,FALSE,"1.3 ACSR";#N/A,#N/A,FALSE,"2.1.1A2.1.3 ACAR";"ac2.1",#N/A,FALSE,"1.2 ACAR";"ac2.2",#N/A,FALSE,"1.2 ACAR";#N/A,#N/A,FALSE,"2.3 ACAR"}</definedName>
    <definedName name="asdd" localSheetId="4">VLOOKUP(#REF!,BOPMAT,HLOOKUP(#REF!,BOP,2)+1,FALSE)+(VLOOKUP(#REF!,BOPMAT,HLOOKUP(#REF!,BOP,2)+1+1,FALSE)-VLOOKUP(#REF!,BOPMAT,HLOOKUP(#REF!,BOP,2)+1,FALSE))*(#REF!-HLOOKUP(#REF!,BOP,1))</definedName>
    <definedName name="asdd" localSheetId="6">VLOOKUP(#REF!,BOPMAT,HLOOKUP(#REF!,BOP,2)+1,FALSE)+(VLOOKUP(#REF!,BOPMAT,HLOOKUP(#REF!,BOP,2)+1+1,FALSE)-VLOOKUP(#REF!,BOPMAT,HLOOKUP(#REF!,BOP,2)+1,FALSE))*(#REF!-HLOOKUP(#REF!,BOP,1))</definedName>
    <definedName name="asdd" localSheetId="5">VLOOKUP(#REF!,BOPMAT,HLOOKUP(#REF!,BOP,2)+1,FALSE)+(VLOOKUP(#REF!,BOPMAT,HLOOKUP(#REF!,BOP,2)+1+1,FALSE)-VLOOKUP(#REF!,BOPMAT,HLOOKUP(#REF!,BOP,2)+1,FALSE))*(#REF!-HLOOKUP(#REF!,BOP,1))</definedName>
    <definedName name="asdd" localSheetId="0">VLOOKUP(#REF!,BOPMAT,HLOOKUP(#REF!,BOP,2)+1,FALSE)+(VLOOKUP(#REF!,BOPMAT,HLOOKUP(#REF!,BOP,2)+1+1,FALSE)-VLOOKUP(#REF!,BOPMAT,HLOOKUP(#REF!,BOP,2)+1,FALSE))*(#REF!-HLOOKUP(#REF!,BOP,1))</definedName>
    <definedName name="asdd">VLOOKUP(#REF!,BOPMAT,HLOOKUP(#REF!,BOP,2)+1,FALSE)+(VLOOKUP(#REF!,BOPMAT,HLOOKUP(#REF!,BOP,2)+1+1,FALSE)-VLOOKUP(#REF!,BOPMAT,HLOOKUP(#REF!,BOP,2)+1,FALSE))*(#REF!-HLOOKUP(#REF!,BOP,1))</definedName>
    <definedName name="asdf" localSheetId="4">#REF!</definedName>
    <definedName name="asdf" localSheetId="5">#REF!</definedName>
    <definedName name="asdf" localSheetId="0">#REF!</definedName>
    <definedName name="asdf">#REF!</definedName>
    <definedName name="asdfasdsa" localSheetId="4" hidden="1">{"CONCABL1.1",#N/A,FALSE,"1.1.1a1.1.3 ACSR";"AISL1.2",#N/A,FALSE,"1.1.1a1.1.3 ACSR";"torr1.1.3",#N/A,FALSE,"1.1.1a1.1.3 ACSR";"cm1.2",#N/A,FALSE,"1.2 ACSR";"cm2.2",#N/A,FALSE,"1.2 ACSR";#N/A,#N/A,FALSE,"1.3 ACSR";#N/A,#N/A,FALSE,"2.1.1A2.1.3 ACAR";"ac2.1",#N/A,FALSE,"1.2 ACAR";"ac2.2",#N/A,FALSE,"1.2 ACAR";#N/A,#N/A,FALSE,"2.3 ACAR"}</definedName>
    <definedName name="asdfasdsa" localSheetId="5" hidden="1">{"CONCABL1.1",#N/A,FALSE,"1.1.1a1.1.3 ACSR";"AISL1.2",#N/A,FALSE,"1.1.1a1.1.3 ACSR";"torr1.1.3",#N/A,FALSE,"1.1.1a1.1.3 ACSR";"cm1.2",#N/A,FALSE,"1.2 ACSR";"cm2.2",#N/A,FALSE,"1.2 ACSR";#N/A,#N/A,FALSE,"1.3 ACSR";#N/A,#N/A,FALSE,"2.1.1A2.1.3 ACAR";"ac2.1",#N/A,FALSE,"1.2 ACAR";"ac2.2",#N/A,FALSE,"1.2 ACAR";#N/A,#N/A,FALSE,"2.3 ACAR"}</definedName>
    <definedName name="asdfasdsa" localSheetId="0" hidden="1">{"CONCABL1.1",#N/A,FALSE,"1.1.1a1.1.3 ACSR";"AISL1.2",#N/A,FALSE,"1.1.1a1.1.3 ACSR";"torr1.1.3",#N/A,FALSE,"1.1.1a1.1.3 ACSR";"cm1.2",#N/A,FALSE,"1.2 ACSR";"cm2.2",#N/A,FALSE,"1.2 ACSR";#N/A,#N/A,FALSE,"1.3 ACSR";#N/A,#N/A,FALSE,"2.1.1A2.1.3 ACAR";"ac2.1",#N/A,FALSE,"1.2 ACAR";"ac2.2",#N/A,FALSE,"1.2 ACAR";#N/A,#N/A,FALSE,"2.3 ACAR"}</definedName>
    <definedName name="asdfasdsa" hidden="1">{"CONCABL1.1",#N/A,FALSE,"1.1.1a1.1.3 ACSR";"AISL1.2",#N/A,FALSE,"1.1.1a1.1.3 ACSR";"torr1.1.3",#N/A,FALSE,"1.1.1a1.1.3 ACSR";"cm1.2",#N/A,FALSE,"1.2 ACSR";"cm2.2",#N/A,FALSE,"1.2 ACSR";#N/A,#N/A,FALSE,"1.3 ACSR";#N/A,#N/A,FALSE,"2.1.1A2.1.3 ACAR";"ac2.1",#N/A,FALSE,"1.2 ACAR";"ac2.2",#N/A,FALSE,"1.2 ACAR";#N/A,#N/A,FALSE,"2.3 ACAR"}</definedName>
    <definedName name="asfdas" localSheetId="4">#REF!</definedName>
    <definedName name="asfdas" localSheetId="5">#REF!</definedName>
    <definedName name="asfdas" localSheetId="0">#REF!</definedName>
    <definedName name="asfdas">#REF!</definedName>
    <definedName name="aspka" localSheetId="0">#REF!</definedName>
    <definedName name="aspka">#REF!</definedName>
    <definedName name="aspka_2" localSheetId="0">#REF!</definedName>
    <definedName name="aspka_2">#REF!</definedName>
    <definedName name="aspka_6" localSheetId="0">#REF!</definedName>
    <definedName name="aspka_6">#REF!</definedName>
    <definedName name="Assay" localSheetId="4">#REF!</definedName>
    <definedName name="Assay" localSheetId="5">#REF!</definedName>
    <definedName name="Assay" localSheetId="0">#REF!</definedName>
    <definedName name="Assay">#REF!</definedName>
    <definedName name="ASSE_Y" localSheetId="4">#REF!</definedName>
    <definedName name="ASSE_Y" localSheetId="5">#REF!</definedName>
    <definedName name="ASSE_Y" localSheetId="0">#REF!</definedName>
    <definedName name="ASSE_Y">#REF!</definedName>
    <definedName name="ats" localSheetId="4">#REF!</definedName>
    <definedName name="ats" localSheetId="5">#REF!</definedName>
    <definedName name="ats" localSheetId="0">#REF!</definedName>
    <definedName name="ats">#REF!</definedName>
    <definedName name="atşman" localSheetId="4">#REF!</definedName>
    <definedName name="atşman" localSheetId="0">#REF!</definedName>
    <definedName name="atşman">#REF!</definedName>
    <definedName name="AUDCAD" localSheetId="4">#REF!</definedName>
    <definedName name="AUDCAD" localSheetId="5">#REF!</definedName>
    <definedName name="AUDCAD" localSheetId="0">#REF!</definedName>
    <definedName name="AUDCAD">#REF!</definedName>
    <definedName name="Authorisation" localSheetId="4">#REF!</definedName>
    <definedName name="Authorisation" localSheetId="5">#REF!</definedName>
    <definedName name="Authorisation" localSheetId="0">#REF!</definedName>
    <definedName name="Authorisation">#REF!</definedName>
    <definedName name="automatyka" localSheetId="0">#REF!</definedName>
    <definedName name="automatyka">#REF!</definedName>
    <definedName name="Autor" localSheetId="4">#REF!</definedName>
    <definedName name="Autor" localSheetId="5">#REF!</definedName>
    <definedName name="Autor" localSheetId="0">#REF!</definedName>
    <definedName name="Autor">#REF!</definedName>
    <definedName name="aux" localSheetId="4">#REF!</definedName>
    <definedName name="aux" localSheetId="5">#REF!</definedName>
    <definedName name="aux" localSheetId="0">#REF!</definedName>
    <definedName name="aux">#REF!</definedName>
    <definedName name="AUX.GENERAL" localSheetId="4">#REF!</definedName>
    <definedName name="AUX.GENERAL" localSheetId="0">#REF!</definedName>
    <definedName name="AUX.GENERAL">#REF!</definedName>
    <definedName name="AUX.INGENIERO" localSheetId="4">#REF!</definedName>
    <definedName name="AUX.INGENIERO" localSheetId="0">#REF!</definedName>
    <definedName name="AUX.INGENIERO">#REF!</definedName>
    <definedName name="AUX.LABORATORISTA" localSheetId="4">#REF!</definedName>
    <definedName name="AUX.LABORATORISTA" localSheetId="0">#REF!</definedName>
    <definedName name="AUX.LABORATORISTA">#REF!</definedName>
    <definedName name="AUX_CONT_PNLS" localSheetId="4">#REF!</definedName>
    <definedName name="AUX_CONT_PNLS" localSheetId="5">#REF!</definedName>
    <definedName name="AUX_CONT_PNLS" localSheetId="0">#REF!</definedName>
    <definedName name="AUX_CONT_PNLS">#REF!</definedName>
    <definedName name="Available_for_Distribution_before_Clawback" localSheetId="4">#REF!</definedName>
    <definedName name="Available_for_Distribution_before_Clawback" localSheetId="5">#REF!</definedName>
    <definedName name="Available_for_Distribution_before_Clawback" localSheetId="0">#REF!</definedName>
    <definedName name="Available_for_Distribution_before_Clawback">#REF!</definedName>
    <definedName name="Avance" localSheetId="5">#REF!</definedName>
    <definedName name="Avance" localSheetId="0">#REF!</definedName>
    <definedName name="Avance">#REF!</definedName>
    <definedName name="avsdv" localSheetId="4">#REF!</definedName>
    <definedName name="avsdv" localSheetId="5">#REF!</definedName>
    <definedName name="avsdv" localSheetId="0">#REF!</definedName>
    <definedName name="avsdv">#REF!</definedName>
    <definedName name="aw" localSheetId="4">#REF!</definedName>
    <definedName name="aw" localSheetId="5">#REF!</definedName>
    <definedName name="aw" localSheetId="0">#REF!</definedName>
    <definedName name="aw">#REF!</definedName>
    <definedName name="AZ" localSheetId="4">#REF!</definedName>
    <definedName name="AZ" localSheetId="0">#REF!</definedName>
    <definedName name="AZ">#REF!</definedName>
    <definedName name="az_2" localSheetId="4">#REF!</definedName>
    <definedName name="az_2" localSheetId="0">#REF!</definedName>
    <definedName name="az_2">#REF!</definedName>
    <definedName name="b" localSheetId="4">#REF!</definedName>
    <definedName name="b" localSheetId="0">#REF!</definedName>
    <definedName name="b">#REF!</definedName>
    <definedName name="B._Materiales" localSheetId="0">#REF!</definedName>
    <definedName name="B._Materiales">#REF!</definedName>
    <definedName name="b___1" localSheetId="4">#REF!</definedName>
    <definedName name="b___1" localSheetId="5">#REF!</definedName>
    <definedName name="b___1" localSheetId="0">#REF!</definedName>
    <definedName name="b___1">#REF!</definedName>
    <definedName name="b_10" localSheetId="4">#REF!</definedName>
    <definedName name="b_10" localSheetId="5">#REF!</definedName>
    <definedName name="b_10" localSheetId="0">#REF!</definedName>
    <definedName name="b_10">#REF!</definedName>
    <definedName name="B_15" localSheetId="4">#REF!</definedName>
    <definedName name="B_15" localSheetId="5">#REF!</definedName>
    <definedName name="B_15" localSheetId="0">#REF!</definedName>
    <definedName name="B_15">#REF!</definedName>
    <definedName name="b_17_5" localSheetId="4">#REF!</definedName>
    <definedName name="b_17_5" localSheetId="5">#REF!</definedName>
    <definedName name="b_17_5" localSheetId="0">#REF!</definedName>
    <definedName name="b_17_5">#REF!</definedName>
    <definedName name="b_2_5" localSheetId="4">#REF!</definedName>
    <definedName name="b_2_5" localSheetId="0">#REF!</definedName>
    <definedName name="b_2_5">#REF!</definedName>
    <definedName name="B_20" localSheetId="4">#REF!</definedName>
    <definedName name="B_20" localSheetId="0">#REF!</definedName>
    <definedName name="B_20">#REF!</definedName>
    <definedName name="b_200" localSheetId="4">#REF!</definedName>
    <definedName name="b_200" localSheetId="0">#REF!</definedName>
    <definedName name="b_200">#REF!</definedName>
    <definedName name="b_20a" localSheetId="4">#REF!</definedName>
    <definedName name="b_20a" localSheetId="0">#REF!</definedName>
    <definedName name="b_20a">#REF!</definedName>
    <definedName name="B_21" localSheetId="4">#REF!</definedName>
    <definedName name="B_21" localSheetId="0">#REF!</definedName>
    <definedName name="B_21">#REF!</definedName>
    <definedName name="b_25" localSheetId="4">#REF!</definedName>
    <definedName name="b_25" localSheetId="0">#REF!</definedName>
    <definedName name="b_25">#REF!</definedName>
    <definedName name="b_30" localSheetId="4">#REF!</definedName>
    <definedName name="b_30" localSheetId="0">#REF!</definedName>
    <definedName name="b_30">#REF!</definedName>
    <definedName name="b_30_b" localSheetId="0">#REF!</definedName>
    <definedName name="b_30_b">#REF!</definedName>
    <definedName name="b_30_m" localSheetId="0">#REF!</definedName>
    <definedName name="b_30_m">#REF!</definedName>
    <definedName name="b_30_zw" localSheetId="4">#REF!</definedName>
    <definedName name="b_30_zw" localSheetId="5">#REF!</definedName>
    <definedName name="b_30_zw" localSheetId="0">#REF!</definedName>
    <definedName name="b_30_zw">#REF!</definedName>
    <definedName name="b_35" localSheetId="4">#REF!</definedName>
    <definedName name="b_35" localSheetId="5">#REF!</definedName>
    <definedName name="b_35" localSheetId="0">#REF!</definedName>
    <definedName name="b_35">#REF!</definedName>
    <definedName name="b_35_zwir" localSheetId="4">#REF!</definedName>
    <definedName name="b_35_zwir" localSheetId="5">#REF!</definedName>
    <definedName name="b_35_zwir" localSheetId="0">#REF!</definedName>
    <definedName name="b_35_zwir">#REF!</definedName>
    <definedName name="b_37" localSheetId="0">#REF!</definedName>
    <definedName name="b_37">#REF!</definedName>
    <definedName name="b_40" localSheetId="4">#REF!</definedName>
    <definedName name="b_40" localSheetId="5">#REF!</definedName>
    <definedName name="b_40" localSheetId="0">#REF!</definedName>
    <definedName name="b_40">#REF!</definedName>
    <definedName name="b_40_baz" localSheetId="4">#REF!</definedName>
    <definedName name="b_40_baz" localSheetId="5">#REF!</definedName>
    <definedName name="b_40_baz" localSheetId="0">#REF!</definedName>
    <definedName name="b_40_baz">#REF!</definedName>
    <definedName name="b_40_d" localSheetId="0">#REF!</definedName>
    <definedName name="b_40_d">#REF!</definedName>
    <definedName name="B_45" localSheetId="4">#REF!</definedName>
    <definedName name="B_45" localSheetId="5">#REF!</definedName>
    <definedName name="B_45" localSheetId="0">#REF!</definedName>
    <definedName name="B_45">#REF!</definedName>
    <definedName name="b_50" localSheetId="4">#REF!</definedName>
    <definedName name="b_50" localSheetId="5">#REF!</definedName>
    <definedName name="b_50" localSheetId="0">#REF!</definedName>
    <definedName name="b_50">#REF!</definedName>
    <definedName name="B_6_9" localSheetId="4">#REF!</definedName>
    <definedName name="B_6_9" localSheetId="5">#REF!</definedName>
    <definedName name="B_6_9" localSheetId="0">#REF!</definedName>
    <definedName name="B_6_9">#REF!</definedName>
    <definedName name="b_60" localSheetId="4">#REF!</definedName>
    <definedName name="b_60" localSheetId="0">#REF!</definedName>
    <definedName name="b_60">#REF!</definedName>
    <definedName name="B_7_5" localSheetId="4">#REF!</definedName>
    <definedName name="B_7_5" localSheetId="0">#REF!</definedName>
    <definedName name="B_7_5">#REF!</definedName>
    <definedName name="b_7_5_1" localSheetId="4">#REF!</definedName>
    <definedName name="b_7_5_1" localSheetId="0">#REF!</definedName>
    <definedName name="b_7_5_1">#REF!</definedName>
    <definedName name="B_FLG" localSheetId="4">#REF!</definedName>
    <definedName name="B_FLG" localSheetId="0">#REF!</definedName>
    <definedName name="B_FLG">#REF!</definedName>
    <definedName name="B_U_Q_U_E_" localSheetId="4">#REF!</definedName>
    <definedName name="B_U_Q_U_E_" localSheetId="0">#REF!</definedName>
    <definedName name="B_U_Q_U_E_">#REF!</definedName>
    <definedName name="B10c" localSheetId="4">#REF!</definedName>
    <definedName name="B10c" localSheetId="5">#REF!</definedName>
    <definedName name="B10c" localSheetId="0">#REF!</definedName>
    <definedName name="B10c">#REF!</definedName>
    <definedName name="B10z" localSheetId="4">#REF!</definedName>
    <definedName name="B10z" localSheetId="5">#REF!</definedName>
    <definedName name="B10z" localSheetId="0">#REF!</definedName>
    <definedName name="B10z">#REF!</definedName>
    <definedName name="B1A">#N/A</definedName>
    <definedName name="B2A">#N/A</definedName>
    <definedName name="B30M" localSheetId="4">#REF!</definedName>
    <definedName name="B30M" localSheetId="5">#REF!</definedName>
    <definedName name="B30M" localSheetId="0">#REF!</definedName>
    <definedName name="B30M">#REF!</definedName>
    <definedName name="B30z" localSheetId="4">#REF!</definedName>
    <definedName name="B30z" localSheetId="5">#REF!</definedName>
    <definedName name="B30z" localSheetId="0">#REF!</definedName>
    <definedName name="B30z">#REF!</definedName>
    <definedName name="B3A">#N/A</definedName>
    <definedName name="B40M" localSheetId="4">#REF!</definedName>
    <definedName name="B40M" localSheetId="0">#REF!</definedName>
    <definedName name="B40M">#REF!</definedName>
    <definedName name="B40z" localSheetId="4">#REF!</definedName>
    <definedName name="B40z" localSheetId="0">#REF!</definedName>
    <definedName name="B40z">#REF!</definedName>
    <definedName name="B4A">#N/A</definedName>
    <definedName name="BABABA" localSheetId="4" hidden="1">#REF!</definedName>
    <definedName name="BABABA" localSheetId="5" hidden="1">#REF!</definedName>
    <definedName name="BABABA" localSheetId="0" hidden="1">#REF!</definedName>
    <definedName name="BABABA" hidden="1">#REF!</definedName>
    <definedName name="back_pressure" localSheetId="4">#REF!</definedName>
    <definedName name="back_pressure" localSheetId="5">#REF!</definedName>
    <definedName name="back_pressure" localSheetId="0">#REF!</definedName>
    <definedName name="back_pressure">#REF!</definedName>
    <definedName name="Baja" localSheetId="4" hidden="1">#REF!</definedName>
    <definedName name="Baja" localSheetId="5" hidden="1">#REF!</definedName>
    <definedName name="Baja" localSheetId="0" hidden="1">#REF!</definedName>
    <definedName name="Baja" hidden="1">#REF!</definedName>
    <definedName name="Balance" localSheetId="4">#REF!</definedName>
    <definedName name="Balance" localSheetId="0">#REF!</definedName>
    <definedName name="Balance">#REF!</definedName>
    <definedName name="ball" localSheetId="4">#REF!</definedName>
    <definedName name="ball" localSheetId="0">#REF!</definedName>
    <definedName name="ball">#REF!</definedName>
    <definedName name="balustrada" localSheetId="4">#REF!</definedName>
    <definedName name="balustrada" localSheetId="0">#REF!</definedName>
    <definedName name="balustrada">#REF!</definedName>
    <definedName name="BALUSTRADA.STALOWA" localSheetId="4">#REF!</definedName>
    <definedName name="BALUSTRADA.STALOWA" localSheetId="5">#REF!</definedName>
    <definedName name="BALUSTRADA.STALOWA" localSheetId="0">#REF!</definedName>
    <definedName name="BALUSTRADA.STALOWA">#REF!</definedName>
    <definedName name="Balustrady">400</definedName>
    <definedName name="balustrady_m" localSheetId="4">#REF!</definedName>
    <definedName name="balustrady_m" localSheetId="5">#REF!</definedName>
    <definedName name="balustrady_m" localSheetId="0">#REF!</definedName>
    <definedName name="balustrady_m">#REF!</definedName>
    <definedName name="BARBICAN" localSheetId="4">#REF!</definedName>
    <definedName name="BARBICAN" localSheetId="5">#REF!</definedName>
    <definedName name="BARBICAN" localSheetId="0">#REF!</definedName>
    <definedName name="BARBICAN">#REF!</definedName>
    <definedName name="bariera" localSheetId="4">#REF!</definedName>
    <definedName name="bariera" localSheetId="5">#REF!</definedName>
    <definedName name="bariera" localSheetId="0">#REF!</definedName>
    <definedName name="bariera">#REF!</definedName>
    <definedName name="BARIERA.DROGOWA" localSheetId="4">#REF!</definedName>
    <definedName name="BARIERA.DROGOWA" localSheetId="5">#REF!</definedName>
    <definedName name="BARIERA.DROGOWA" localSheetId="0">#REF!</definedName>
    <definedName name="BARIERA.DROGOWA">#REF!</definedName>
    <definedName name="barieroporęcz" localSheetId="4">#REF!</definedName>
    <definedName name="barieroporęcz" localSheetId="5">#REF!</definedName>
    <definedName name="barieroporęcz" localSheetId="0">#REF!</definedName>
    <definedName name="barieroporęcz">#REF!</definedName>
    <definedName name="barieroporęcze_na_bazie_SP06_m" localSheetId="4">#REF!</definedName>
    <definedName name="barieroporęcze_na_bazie_SP06_m" localSheetId="5">#REF!</definedName>
    <definedName name="barieroporęcze_na_bazie_SP06_m" localSheetId="0">#REF!</definedName>
    <definedName name="barieroporęcze_na_bazie_SP06_m">#REF!</definedName>
    <definedName name="bariery_SP06_m" localSheetId="4">#REF!</definedName>
    <definedName name="bariery_SP06_m" localSheetId="5">#REF!</definedName>
    <definedName name="bariery_SP06_m" localSheetId="0">#REF!</definedName>
    <definedName name="bariery_SP06_m">#REF!</definedName>
    <definedName name="BASE" localSheetId="4">#REF!</definedName>
    <definedName name="BASE" localSheetId="0">#REF!</definedName>
    <definedName name="BASE">#REF!</definedName>
    <definedName name="Base_Qty_DB">#N/A</definedName>
    <definedName name="_xlnm.Database" localSheetId="4">#REF!</definedName>
    <definedName name="_xlnm.Database" localSheetId="5">#REF!</definedName>
    <definedName name="_xlnm.Database" localSheetId="0">#REF!</definedName>
    <definedName name="_xlnm.Database">#REF!</definedName>
    <definedName name="Basic_Data" localSheetId="5">#REF!</definedName>
    <definedName name="Basic_Data" localSheetId="0">#REF!</definedName>
    <definedName name="Basic_Data">#REF!</definedName>
    <definedName name="BASTONERO" localSheetId="4">#REF!</definedName>
    <definedName name="BASTONERO" localSheetId="0">#REF!</definedName>
    <definedName name="BASTONERO">#REF!</definedName>
    <definedName name="baza" localSheetId="4">#REF!</definedName>
    <definedName name="baza" localSheetId="5">#REF!</definedName>
    <definedName name="baza" localSheetId="0">#REF!</definedName>
    <definedName name="baza">#REF!</definedName>
    <definedName name="BB" localSheetId="4">#REF!</definedName>
    <definedName name="BB" localSheetId="5">#REF!</definedName>
    <definedName name="BB" localSheetId="0">#REF!</definedName>
    <definedName name="BB">#REF!</definedName>
    <definedName name="bbb" localSheetId="4" hidden="1">{"'Feuil1'!$A$1:$Y$50"}</definedName>
    <definedName name="BBB" localSheetId="5">#REF!</definedName>
    <definedName name="BBB" localSheetId="0">#REF!</definedName>
    <definedName name="BBB">#REF!</definedName>
    <definedName name="BBTITEL" localSheetId="0">#REF!</definedName>
    <definedName name="BBTITEL">#REF!</definedName>
    <definedName name="BC" localSheetId="4">#REF!</definedName>
    <definedName name="BC" localSheetId="5">#REF!</definedName>
    <definedName name="BC" localSheetId="0">#REF!</definedName>
    <definedName name="BC">#REF!</definedName>
    <definedName name="BCom" localSheetId="4">#REF!</definedName>
    <definedName name="BCom" localSheetId="5">#REF!</definedName>
    <definedName name="BCom" localSheetId="0">#REF!</definedName>
    <definedName name="BCom">#REF!</definedName>
    <definedName name="BD_ACT" localSheetId="0">#REF!</definedName>
    <definedName name="BD_ACT">#REF!</definedName>
    <definedName name="BD_DELTA" localSheetId="0">#REF!</definedName>
    <definedName name="BD_DELTA">#REF!</definedName>
    <definedName name="BDG_01" localSheetId="0">#REF!</definedName>
    <definedName name="BDG_01">#REF!</definedName>
    <definedName name="BDG_02" localSheetId="0">#REF!</definedName>
    <definedName name="BDG_02">#REF!</definedName>
    <definedName name="BDR" localSheetId="4">#REF!</definedName>
    <definedName name="BDR" localSheetId="5">#REF!</definedName>
    <definedName name="BDR" localSheetId="0">#REF!</definedName>
    <definedName name="BDR">#REF!</definedName>
    <definedName name="BDRBLD" localSheetId="4">#REF!</definedName>
    <definedName name="BDRBLD" localSheetId="5">#REF!</definedName>
    <definedName name="BDRBLD" localSheetId="0">#REF!</definedName>
    <definedName name="BDRBLD">#REF!</definedName>
    <definedName name="be_be" localSheetId="4">#REF!</definedName>
    <definedName name="be_be" localSheetId="5">#REF!</definedName>
    <definedName name="be_be" localSheetId="0">#REF!</definedName>
    <definedName name="be_be">#REF!</definedName>
    <definedName name="be_pf" localSheetId="4">#REF!</definedName>
    <definedName name="be_pf" localSheetId="0">#REF!</definedName>
    <definedName name="be_pf">#REF!</definedName>
    <definedName name="be_sc" localSheetId="4">#REF!</definedName>
    <definedName name="be_sc" localSheetId="0">#REF!</definedName>
    <definedName name="be_sc">#REF!</definedName>
    <definedName name="be_sc." localSheetId="4">#REF!</definedName>
    <definedName name="be_sc." localSheetId="0">#REF!</definedName>
    <definedName name="be_sc.">#REF!</definedName>
    <definedName name="be_sch" localSheetId="4">#REF!</definedName>
    <definedName name="be_sch" localSheetId="0">#REF!</definedName>
    <definedName name="be_sch">#REF!</definedName>
    <definedName name="be_sch." localSheetId="4">#REF!</definedName>
    <definedName name="be_sch." localSheetId="0">#REF!</definedName>
    <definedName name="be_sch.">#REF!</definedName>
    <definedName name="be_so" localSheetId="4">#REF!</definedName>
    <definedName name="be_so" localSheetId="0">#REF!</definedName>
    <definedName name="be_so">#REF!</definedName>
    <definedName name="be_so." localSheetId="4">#REF!</definedName>
    <definedName name="be_so." localSheetId="0">#REF!</definedName>
    <definedName name="be_so.">#REF!</definedName>
    <definedName name="be_sp" localSheetId="4">#REF!</definedName>
    <definedName name="be_sp" localSheetId="0">#REF!</definedName>
    <definedName name="be_sp">#REF!</definedName>
    <definedName name="be_sp." localSheetId="4">#REF!</definedName>
    <definedName name="be_sp." localSheetId="0">#REF!</definedName>
    <definedName name="be_sp.">#REF!</definedName>
    <definedName name="be_st" localSheetId="4">#REF!</definedName>
    <definedName name="be_st" localSheetId="0">#REF!</definedName>
    <definedName name="be_st">#REF!</definedName>
    <definedName name="be_st." localSheetId="4">#REF!</definedName>
    <definedName name="be_st." localSheetId="0">#REF!</definedName>
    <definedName name="be_st.">#REF!</definedName>
    <definedName name="BE_STF" localSheetId="4">#REF!</definedName>
    <definedName name="BE_STF" localSheetId="0">#REF!</definedName>
    <definedName name="BE_STF">#REF!</definedName>
    <definedName name="be_stf." localSheetId="4">#REF!</definedName>
    <definedName name="be_stf." localSheetId="0">#REF!</definedName>
    <definedName name="be_stf.">#REF!</definedName>
    <definedName name="BEFORE_MP" localSheetId="4">#REF!</definedName>
    <definedName name="BEFORE_MP" localSheetId="5">#REF!</definedName>
    <definedName name="BEFORE_MP" localSheetId="0">#REF!</definedName>
    <definedName name="BEFORE_MP">#REF!</definedName>
    <definedName name="Beg_Bal" localSheetId="4">#REF!</definedName>
    <definedName name="Beg_Bal" localSheetId="5">#REF!</definedName>
    <definedName name="Beg_Bal" localSheetId="0">#REF!</definedName>
    <definedName name="Beg_Bal">#REF!</definedName>
    <definedName name="BEGA" localSheetId="4">#REF!</definedName>
    <definedName name="BEGA" localSheetId="5">#REF!</definedName>
    <definedName name="BEGA" localSheetId="0">#REF!</definedName>
    <definedName name="BEGA">#REF!</definedName>
    <definedName name="BEGAMA" localSheetId="4">#REF!</definedName>
    <definedName name="BEGAMA" localSheetId="5">#REF!</definedName>
    <definedName name="BEGAMA" localSheetId="0">#REF!</definedName>
    <definedName name="BEGAMA">#REF!</definedName>
    <definedName name="belpd1" localSheetId="4">#REF!</definedName>
    <definedName name="belpd1" localSheetId="0">#REF!</definedName>
    <definedName name="belpd1">#REF!</definedName>
    <definedName name="belpd2" localSheetId="4">#REF!</definedName>
    <definedName name="belpd2" localSheetId="0">#REF!</definedName>
    <definedName name="belpd2">#REF!</definedName>
    <definedName name="belpd3" localSheetId="4">#REF!</definedName>
    <definedName name="belpd3" localSheetId="0">#REF!</definedName>
    <definedName name="belpd3">#REF!</definedName>
    <definedName name="belpd4" localSheetId="4">#REF!</definedName>
    <definedName name="belpd4" localSheetId="0">#REF!</definedName>
    <definedName name="belpd4">#REF!</definedName>
    <definedName name="bestw" localSheetId="4">#REF!</definedName>
    <definedName name="bestw" localSheetId="0">#REF!</definedName>
    <definedName name="bestw">#REF!</definedName>
    <definedName name="beton" localSheetId="0">#REF!</definedName>
    <definedName name="beton">#REF!</definedName>
    <definedName name="Beton_B_45" localSheetId="0">#REF!</definedName>
    <definedName name="Beton_B_45">#REF!</definedName>
    <definedName name="beton_B15" localSheetId="4">#REF!</definedName>
    <definedName name="beton_B15" localSheetId="5">#REF!</definedName>
    <definedName name="beton_B15" localSheetId="0">#REF!</definedName>
    <definedName name="beton_B15">#REF!</definedName>
    <definedName name="Beton_fundamentu">800</definedName>
    <definedName name="beton_murku_żelbetowego" localSheetId="0">#REF!</definedName>
    <definedName name="beton_murku_żelbetowego">#REF!</definedName>
    <definedName name="Beton_niekonstrukcyjny">350</definedName>
    <definedName name="Beton_podpór">900</definedName>
    <definedName name="Beton_prefabrykatu">2000</definedName>
    <definedName name="Beton_samozagęszczalny">1000</definedName>
    <definedName name="BG_Del" hidden="1">15</definedName>
    <definedName name="BG_Ins" hidden="1">4</definedName>
    <definedName name="BG_Mod" hidden="1">6</definedName>
    <definedName name="BGBG" localSheetId="4">#REF!</definedName>
    <definedName name="BGBG" localSheetId="5">#REF!</definedName>
    <definedName name="BGBG" localSheetId="0">#REF!</definedName>
    <definedName name="BGBG">#REF!</definedName>
    <definedName name="bieg1" localSheetId="4">#REF!</definedName>
    <definedName name="bieg1" localSheetId="5">#REF!</definedName>
    <definedName name="bieg1" localSheetId="0">#REF!</definedName>
    <definedName name="bieg1">#REF!</definedName>
    <definedName name="bieg2" localSheetId="4">#REF!</definedName>
    <definedName name="bieg2" localSheetId="5">#REF!</definedName>
    <definedName name="bieg2" localSheetId="0">#REF!</definedName>
    <definedName name="bieg2">#REF!</definedName>
    <definedName name="bieg3" localSheetId="4">#REF!</definedName>
    <definedName name="bieg3" localSheetId="0">#REF!</definedName>
    <definedName name="bieg3">#REF!</definedName>
    <definedName name="bieg4" localSheetId="4">#REF!</definedName>
    <definedName name="bieg4" localSheetId="0">#REF!</definedName>
    <definedName name="bieg4">#REF!</definedName>
    <definedName name="Biju" localSheetId="4" hidden="1">{#N/A,#N/A,FALSE,"SumG";#N/A,#N/A,FALSE,"ElecG";#N/A,#N/A,FALSE,"MechG";#N/A,#N/A,FALSE,"GeotG";#N/A,#N/A,FALSE,"PrcsG";#N/A,#N/A,FALSE,"TunnG";#N/A,#N/A,FALSE,"CivlG";#N/A,#N/A,FALSE,"NtwkG";#N/A,#N/A,FALSE,"EstgG";#N/A,#N/A,FALSE,"PEngG"}</definedName>
    <definedName name="Biju" localSheetId="6" hidden="1">{#N/A,#N/A,FALSE,"SumG";#N/A,#N/A,FALSE,"ElecG";#N/A,#N/A,FALSE,"MechG";#N/A,#N/A,FALSE,"GeotG";#N/A,#N/A,FALSE,"PrcsG";#N/A,#N/A,FALSE,"TunnG";#N/A,#N/A,FALSE,"CivlG";#N/A,#N/A,FALSE,"NtwkG";#N/A,#N/A,FALSE,"EstgG";#N/A,#N/A,FALSE,"PEngG"}</definedName>
    <definedName name="Biju" localSheetId="5" hidden="1">{#N/A,#N/A,FALSE,"SumG";#N/A,#N/A,FALSE,"ElecG";#N/A,#N/A,FALSE,"MechG";#N/A,#N/A,FALSE,"GeotG";#N/A,#N/A,FALSE,"PrcsG";#N/A,#N/A,FALSE,"TunnG";#N/A,#N/A,FALSE,"CivlG";#N/A,#N/A,FALSE,"NtwkG";#N/A,#N/A,FALSE,"EstgG";#N/A,#N/A,FALSE,"PEngG"}</definedName>
    <definedName name="Biju" localSheetId="0"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il" localSheetId="5">#REF!</definedName>
    <definedName name="bil" localSheetId="0">#REF!</definedName>
    <definedName name="bil">#REF!</definedName>
    <definedName name="Bilancio" localSheetId="5">#REF!</definedName>
    <definedName name="Bilancio" localSheetId="0">#REF!</definedName>
    <definedName name="Bilancio">#REF!</definedName>
    <definedName name="bill" localSheetId="4">#REF!</definedName>
    <definedName name="bill" localSheetId="5">#REF!</definedName>
    <definedName name="bill" localSheetId="0">#REF!</definedName>
    <definedName name="bill">#REF!</definedName>
    <definedName name="billname1" localSheetId="4">#REF!</definedName>
    <definedName name="billname1" localSheetId="5">#REF!</definedName>
    <definedName name="billname1" localSheetId="0">#REF!</definedName>
    <definedName name="billname1">#REF!</definedName>
    <definedName name="billname2" localSheetId="4">#REF!</definedName>
    <definedName name="billname2" localSheetId="5">#REF!</definedName>
    <definedName name="billname2" localSheetId="0">#REF!</definedName>
    <definedName name="billname2">#REF!</definedName>
    <definedName name="billname3" localSheetId="4">#REF!</definedName>
    <definedName name="billname3" localSheetId="0">#REF!</definedName>
    <definedName name="billname3">#REF!</definedName>
    <definedName name="bin" localSheetId="4">#REF!</definedName>
    <definedName name="bin" localSheetId="0">#REF!</definedName>
    <definedName name="bin">#REF!</definedName>
    <definedName name="birimkur" localSheetId="4">#REF!</definedName>
    <definedName name="birimkur" localSheetId="5">#REF!</definedName>
    <definedName name="birimkur" localSheetId="0">#REF!</definedName>
    <definedName name="birimkur">#REF!</definedName>
    <definedName name="BlCom" localSheetId="4">#REF!</definedName>
    <definedName name="BlCom" localSheetId="5">#REF!</definedName>
    <definedName name="BlCom" localSheetId="0">#REF!</definedName>
    <definedName name="BlCom">#REF!</definedName>
    <definedName name="BldArea" localSheetId="4">#REF!</definedName>
    <definedName name="BldArea" localSheetId="5">#REF!</definedName>
    <definedName name="BldArea" localSheetId="0">#REF!</definedName>
    <definedName name="BldArea">#REF!</definedName>
    <definedName name="BldRatio" localSheetId="0">#REF!</definedName>
    <definedName name="BldRatio">#REF!</definedName>
    <definedName name="BLOQUE1" localSheetId="4">#REF!</definedName>
    <definedName name="BLOQUE1" localSheetId="5">#REF!</definedName>
    <definedName name="BLOQUE1" localSheetId="0">#REF!</definedName>
    <definedName name="BLOQUE1">#REF!</definedName>
    <definedName name="BLPH1" localSheetId="4" hidden="1">#REF!</definedName>
    <definedName name="BLPH1" localSheetId="5" hidden="1">#REF!</definedName>
    <definedName name="BLPH1" localSheetId="0" hidden="1">#REF!</definedName>
    <definedName name="BLPH1" hidden="1">#REF!</definedName>
    <definedName name="BLPH10" localSheetId="0" hidden="1">#REF!</definedName>
    <definedName name="BLPH10" hidden="1">#REF!</definedName>
    <definedName name="BLPH2" localSheetId="4" hidden="1">#REF!</definedName>
    <definedName name="BLPH2" localSheetId="5" hidden="1">#REF!</definedName>
    <definedName name="BLPH2" localSheetId="0" hidden="1">#REF!</definedName>
    <definedName name="BLPH2" hidden="1">#REF!</definedName>
    <definedName name="BLPH3" localSheetId="4" hidden="1">#REF!</definedName>
    <definedName name="BLPH3" localSheetId="5" hidden="1">#REF!</definedName>
    <definedName name="BLPH3" localSheetId="0" hidden="1">#REF!</definedName>
    <definedName name="BLPH3" hidden="1">#REF!</definedName>
    <definedName name="BLPH4" localSheetId="0" hidden="1">#REF!</definedName>
    <definedName name="BLPH4" hidden="1">#REF!</definedName>
    <definedName name="BLPH5" localSheetId="4" hidden="1">#REF!</definedName>
    <definedName name="BLPH5" localSheetId="5" hidden="1">#REF!</definedName>
    <definedName name="BLPH5" localSheetId="0" hidden="1">#REF!</definedName>
    <definedName name="BLPH5" hidden="1">#REF!</definedName>
    <definedName name="BLPH6" localSheetId="4" hidden="1">#REF!</definedName>
    <definedName name="BLPH6" localSheetId="5" hidden="1">#REF!</definedName>
    <definedName name="BLPH6" localSheetId="0" hidden="1">#REF!</definedName>
    <definedName name="BLPH6" hidden="1">#REF!</definedName>
    <definedName name="BLPH7" localSheetId="4" hidden="1">#REF!</definedName>
    <definedName name="BLPH7" localSheetId="5" hidden="1">#REF!</definedName>
    <definedName name="BLPH7" localSheetId="0" hidden="1">#REF!</definedName>
    <definedName name="BLPH7" hidden="1">#REF!</definedName>
    <definedName name="BLPH8" localSheetId="0" hidden="1">#REF!</definedName>
    <definedName name="BLPH8" hidden="1">#REF!</definedName>
    <definedName name="BLPH9" localSheetId="0" hidden="1">#REF!</definedName>
    <definedName name="BLPH9" hidden="1">#REF!</definedName>
    <definedName name="Blue" localSheetId="0">#REF!</definedName>
    <definedName name="Blue">#REF!</definedName>
    <definedName name="BOGROLLS" localSheetId="4">#REF!</definedName>
    <definedName name="BOGROLLS" localSheetId="5">#REF!</definedName>
    <definedName name="BOGROLLS" localSheetId="0">#REF!</definedName>
    <definedName name="BOGROLLS">#REF!</definedName>
    <definedName name="BOLT" localSheetId="4">#REF!</definedName>
    <definedName name="BOLT" localSheetId="5">#REF!</definedName>
    <definedName name="BOLT" localSheetId="0">#REF!</definedName>
    <definedName name="BOLT">#REF!</definedName>
    <definedName name="BOP_INS" localSheetId="4">IF(#REF!="INS",VLOOKUP(#REF!,InsB,HLOOKUP(#REF!,BOP,2)+1,FALSE),0)</definedName>
    <definedName name="BOP_INS" localSheetId="6">IF(#REF!="INS",VLOOKUP(#REF!,InsB,HLOOKUP(#REF!,BOP,2)+1,FALSE),0)</definedName>
    <definedName name="BOP_INS" localSheetId="5">IF(#REF!="INS",VLOOKUP(#REF!,InsB,HLOOKUP(#REF!,BOP,2)+1,FALSE),0)</definedName>
    <definedName name="BOP_INS" localSheetId="0">IF(#REF!="INS",VLOOKUP(#REF!,InsB,HLOOKUP(#REF!,BOP,2)+1,FALSE),0)</definedName>
    <definedName name="BOP_INS">IF(#REF!="INS",VLOOKUP(#REF!,InsB,HLOOKUP(#REF!,BOP,2)+1,FALSE),0)</definedName>
    <definedName name="BOP_LAB" localSheetId="4">VLOOKUP(#REF!,BOPLAB,HLOOKUP(#REF!,BOP,2),FALSE)+(VLOOKUP(#REF!,BOPLAB,HLOOKUP(#REF!,BOP,2)+1,FALSE)-VLOOKUP(#REF!,BOPLAB,HLOOKUP(#REF!,BOP,2),FALSE))*(#REF!-HLOOKUP(#REF!,BOP,1))/(HLOOKUP(#REF!+2,BOP,1)-HLOOKUP(#REF!,BOP,1))</definedName>
    <definedName name="BOP_LAB" localSheetId="6">VLOOKUP(#REF!,BOPLAB,HLOOKUP(#REF!,BOP,2),FALSE)+(VLOOKUP(#REF!,BOPLAB,HLOOKUP(#REF!,BOP,2)+1,FALSE)-VLOOKUP(#REF!,BOPLAB,HLOOKUP(#REF!,BOP,2),FALSE))*(#REF!-HLOOKUP(#REF!,BOP,1))/(HLOOKUP(#REF!+2,BOP,1)-HLOOKUP(#REF!,BOP,1))</definedName>
    <definedName name="BOP_LAB" localSheetId="5">VLOOKUP(#REF!,BOPLAB,HLOOKUP(#REF!,BOP,2),FALSE)+(VLOOKUP(#REF!,BOPLAB,HLOOKUP(#REF!,BOP,2)+1,FALSE)-VLOOKUP(#REF!,BOPLAB,HLOOKUP(#REF!,BOP,2),FALSE))*(#REF!-HLOOKUP(#REF!,BOP,1))/(HLOOKUP(#REF!+2,BOP,1)-HLOOKUP(#REF!,BOP,1))</definedName>
    <definedName name="BOP_LAB" localSheetId="0">VLOOKUP(#REF!,BOPLAB,HLOOKUP(#REF!,BOP,2),FALSE)+(VLOOKUP(#REF!,BOPLAB,HLOOKUP(#REF!,BOP,2)+1,FALSE)-VLOOKUP(#REF!,BOPLAB,HLOOKUP(#REF!,BOP,2),FALSE))*(#REF!-HLOOKUP(#REF!,BOP,1))/(HLOOKUP(#REF!+2,BOP,1)-HLOOKUP(#REF!,BOP,1))</definedName>
    <definedName name="BOP_LAB">VLOOKUP(#REF!,BOPLAB,HLOOKUP(#REF!,BOP,2),FALSE)+(VLOOKUP(#REF!,BOPLAB,HLOOKUP(#REF!,BOP,2)+1,FALSE)-VLOOKUP(#REF!,BOPLAB,HLOOKUP(#REF!,BOP,2),FALSE))*(#REF!-HLOOKUP(#REF!,BOP,1))/(HLOOKUP(#REF!+2,BOP,1)-HLOOKUP(#REF!,BOP,1))</definedName>
    <definedName name="BOP_MAT" localSheetId="4">VLOOKUP(#REF!,BOPMAT,HLOOKUP(#REF!,BOP,2)+1,FALSE)+(VLOOKUP(#REF!,BOPMAT,HLOOKUP(#REF!,BOP,2)+1+1,FALSE)-VLOOKUP(#REF!,BOPMAT,HLOOKUP(#REF!,BOP,2)+1,FALSE))*(#REF!-HLOOKUP(#REF!,BOP,1))</definedName>
    <definedName name="BOP_MAT" localSheetId="6">VLOOKUP(#REF!,BOPMAT,HLOOKUP(#REF!,BOP,2)+1,FALSE)+(VLOOKUP(#REF!,BOPMAT,HLOOKUP(#REF!,BOP,2)+1+1,FALSE)-VLOOKUP(#REF!,BOPMAT,HLOOKUP(#REF!,BOP,2)+1,FALSE))*(#REF!-HLOOKUP(#REF!,BOP,1))</definedName>
    <definedName name="BOP_MAT" localSheetId="5">VLOOKUP(#REF!,BOPMAT,HLOOKUP(#REF!,BOP,2)+1,FALSE)+(VLOOKUP(#REF!,BOPMAT,HLOOKUP(#REF!,BOP,2)+1+1,FALSE)-VLOOKUP(#REF!,BOPMAT,HLOOKUP(#REF!,BOP,2)+1,FALSE))*(#REF!-HLOOKUP(#REF!,BOP,1))</definedName>
    <definedName name="BOP_MAT" localSheetId="0">VLOOKUP(#REF!,BOPMAT,HLOOKUP(#REF!,BOP,2)+1,FALSE)+(VLOOKUP(#REF!,BOPMAT,HLOOKUP(#REF!,BOP,2)+1+1,FALSE)-VLOOKUP(#REF!,BOPMAT,HLOOKUP(#REF!,BOP,2)+1,FALSE))*(#REF!-HLOOKUP(#REF!,BOP,1))</definedName>
    <definedName name="BOP_MAT">VLOOKUP(#REF!,BOPMAT,HLOOKUP(#REF!,BOP,2)+1,FALSE)+(VLOOKUP(#REF!,BOPMAT,HLOOKUP(#REF!,BOP,2)+1+1,FALSE)-VLOOKUP(#REF!,BOPMAT,HLOOKUP(#REF!,BOP,2)+1,FALSE))*(#REF!-HLOOKUP(#REF!,BOP,1))</definedName>
    <definedName name="BOP40_CITY" localSheetId="4">#REF!</definedName>
    <definedName name="BOP40_CITY" localSheetId="5">#REF!</definedName>
    <definedName name="BOP40_CITY" localSheetId="0">#REF!</definedName>
    <definedName name="BOP40_CITY">#REF!</definedName>
    <definedName name="BOP40_ESC" localSheetId="4">#REF!</definedName>
    <definedName name="BOP40_ESC" localSheetId="5">#REF!</definedName>
    <definedName name="BOP40_ESC" localSheetId="0">#REF!</definedName>
    <definedName name="BOP40_ESC">#REF!</definedName>
    <definedName name="BOP40_OLD_CITY" localSheetId="4">#REF!</definedName>
    <definedName name="BOP40_OLD_CITY" localSheetId="0">#REF!</definedName>
    <definedName name="BOP40_OLD_CITY">#REF!</definedName>
    <definedName name="BOP40_OLD_ESC" localSheetId="4">#REF!</definedName>
    <definedName name="BOP40_OLD_ESC" localSheetId="0">#REF!</definedName>
    <definedName name="BOP40_OLD_ESC">#REF!</definedName>
    <definedName name="BOP40_OLD_PROD" localSheetId="4">#REF!</definedName>
    <definedName name="BOP40_OLD_PROD" localSheetId="0">#REF!</definedName>
    <definedName name="BOP40_OLD_PROD">#REF!</definedName>
    <definedName name="BOP40_OLD_WAGE" localSheetId="4">#REF!</definedName>
    <definedName name="BOP40_OLD_WAGE" localSheetId="0">#REF!</definedName>
    <definedName name="BOP40_OLD_WAGE">#REF!</definedName>
    <definedName name="BOP40_PROD" localSheetId="4">#REF!</definedName>
    <definedName name="BOP40_PROD" localSheetId="0">#REF!</definedName>
    <definedName name="BOP40_PROD">#REF!</definedName>
    <definedName name="BOP40_WAGE" localSheetId="4">#REF!</definedName>
    <definedName name="BOP40_WAGE" localSheetId="0">#REF!</definedName>
    <definedName name="BOP40_WAGE">#REF!</definedName>
    <definedName name="boq" localSheetId="4">#REF!</definedName>
    <definedName name="boq" localSheetId="5">#REF!</definedName>
    <definedName name="boq" localSheetId="0">#REF!</definedName>
    <definedName name="boq">#REF!</definedName>
    <definedName name="boqformat" localSheetId="4">#REF!</definedName>
    <definedName name="boqformat" localSheetId="5">#REF!</definedName>
    <definedName name="boqformat" localSheetId="0">#REF!</definedName>
    <definedName name="boqformat">#REF!</definedName>
    <definedName name="BOSS" localSheetId="4">#REF!</definedName>
    <definedName name="BOSS" localSheetId="5">#REF!</definedName>
    <definedName name="BOSS" localSheetId="0">#REF!</definedName>
    <definedName name="BOSS">#REF!</definedName>
    <definedName name="br" localSheetId="4">#REF!</definedName>
    <definedName name="br" localSheetId="5">#REF!</definedName>
    <definedName name="br" localSheetId="0">#REF!</definedName>
    <definedName name="br">#REF!</definedName>
    <definedName name="bra" localSheetId="4">#REF!</definedName>
    <definedName name="bra" localSheetId="5">#REF!</definedName>
    <definedName name="bra" localSheetId="0">#REF!</definedName>
    <definedName name="bra">#REF!</definedName>
    <definedName name="brak" localSheetId="0">#REF!</definedName>
    <definedName name="brak">#REF!</definedName>
    <definedName name="bramy_nowe_szt." localSheetId="4">#REF!</definedName>
    <definedName name="bramy_nowe_szt." localSheetId="5">#REF!</definedName>
    <definedName name="bramy_nowe_szt." localSheetId="0">#REF!</definedName>
    <definedName name="bramy_nowe_szt.">#REF!</definedName>
    <definedName name="bramy_wjazdowe_nowe" localSheetId="4">#REF!</definedName>
    <definedName name="bramy_wjazdowe_nowe" localSheetId="5">#REF!</definedName>
    <definedName name="bramy_wjazdowe_nowe" localSheetId="0">#REF!</definedName>
    <definedName name="bramy_wjazdowe_nowe">#REF!</definedName>
    <definedName name="bramy_wjazdowe_z_odzysku" localSheetId="4">#REF!</definedName>
    <definedName name="bramy_wjazdowe_z_odzysku" localSheetId="5">#REF!</definedName>
    <definedName name="bramy_wjazdowe_z_odzysku" localSheetId="0">#REF!</definedName>
    <definedName name="bramy_wjazdowe_z_odzysku">#REF!</definedName>
    <definedName name="bramy_z_odzysku_szt" localSheetId="4">#REF!</definedName>
    <definedName name="bramy_z_odzysku_szt" localSheetId="0">#REF!</definedName>
    <definedName name="bramy_z_odzysku_szt">#REF!</definedName>
    <definedName name="bRKRKRKRKRTDK" localSheetId="4">#REF!</definedName>
    <definedName name="bRKRKRKRKRTDK" localSheetId="5">#REF!</definedName>
    <definedName name="bRKRKRKRKRTDK" localSheetId="0">#REF!</definedName>
    <definedName name="bRKRKRKRKRTDK">#REF!</definedName>
    <definedName name="BRL" localSheetId="4">#REF!</definedName>
    <definedName name="BRL" localSheetId="0">#REF!</definedName>
    <definedName name="BRL">#REF!</definedName>
    <definedName name="brm" localSheetId="0">#REF!</definedName>
    <definedName name="brm">#REF!</definedName>
    <definedName name="Brown" localSheetId="0">#REF!</definedName>
    <definedName name="Brown">#REF!</definedName>
    <definedName name="bst" localSheetId="0">#REF!</definedName>
    <definedName name="bst">#REF!</definedName>
    <definedName name="BT" localSheetId="4">#REF!</definedName>
    <definedName name="BT" localSheetId="5">#REF!</definedName>
    <definedName name="BT" localSheetId="0">#REF!</definedName>
    <definedName name="BT">#REF!</definedName>
    <definedName name="bud" localSheetId="4">#REF!</definedName>
    <definedName name="bud" localSheetId="5">#REF!</definedName>
    <definedName name="bud" localSheetId="0">#REF!</definedName>
    <definedName name="bud">#REF!</definedName>
    <definedName name="BUDGET" localSheetId="4">#REF!</definedName>
    <definedName name="BUDGET" localSheetId="0">#REF!</definedName>
    <definedName name="BUDGET">#REF!</definedName>
    <definedName name="budowa" localSheetId="4">#REF!</definedName>
    <definedName name="budowa" localSheetId="5">#REF!</definedName>
    <definedName name="budowa" localSheetId="0">#REF!</definedName>
    <definedName name="budowa">#REF!</definedName>
    <definedName name="BUILDING" localSheetId="4">#REF!</definedName>
    <definedName name="BUILDING" localSheetId="5">#REF!</definedName>
    <definedName name="BUILDING" localSheetId="0">#REF!</definedName>
    <definedName name="BUILDING">#REF!</definedName>
    <definedName name="BuiltIn_Consolidate_Area___0___0">0</definedName>
    <definedName name="BuiltIn_Print_Area">"$"</definedName>
    <definedName name="BuiltIn_Print_Area___0" localSheetId="4">#REF!</definedName>
    <definedName name="BuiltIn_Print_Area___0" localSheetId="5">#REF!</definedName>
    <definedName name="BuiltIn_Print_Area___0" localSheetId="0">#REF!</definedName>
    <definedName name="BuiltIn_Print_Area___0">#REF!</definedName>
    <definedName name="BuiltIn_Print_Titles" localSheetId="4">#REF!</definedName>
    <definedName name="BuiltIn_Print_Titles" localSheetId="5">#REF!</definedName>
    <definedName name="BuiltIn_Print_Titles" localSheetId="0">#REF!</definedName>
    <definedName name="BuiltIn_Print_Titles">#REF!</definedName>
    <definedName name="BULKMATERIAL_UNIT_COST" localSheetId="0">#REF!,#REF!,#REF!,#REF!,#REF!,#REF!,#REF!</definedName>
    <definedName name="BULKMATERIAL_UNIT_COST">#REF!,#REF!,#REF!,#REF!,#REF!,#REF!,#REF!</definedName>
    <definedName name="BULKS80_CITY" localSheetId="4">#REF!</definedName>
    <definedName name="BULKS80_CITY" localSheetId="5">#REF!</definedName>
    <definedName name="BULKS80_CITY" localSheetId="0">#REF!</definedName>
    <definedName name="BULKS80_CITY">#REF!</definedName>
    <definedName name="BULKS80_ESC" localSheetId="4">#REF!</definedName>
    <definedName name="BULKS80_ESC" localSheetId="5">#REF!</definedName>
    <definedName name="BULKS80_ESC" localSheetId="0">#REF!</definedName>
    <definedName name="BULKS80_ESC">#REF!</definedName>
    <definedName name="BULKS80_HRS" localSheetId="4">#REF!</definedName>
    <definedName name="BULKS80_HRS" localSheetId="5">#REF!</definedName>
    <definedName name="BULKS80_HRS" localSheetId="0">#REF!</definedName>
    <definedName name="BULKS80_HRS">#REF!</definedName>
    <definedName name="BULKS80_LAB" localSheetId="4">#REF!</definedName>
    <definedName name="BULKS80_LAB" localSheetId="0">#REF!</definedName>
    <definedName name="BULKS80_LAB">#REF!</definedName>
    <definedName name="BULKS80_MAT" localSheetId="4">#REF!</definedName>
    <definedName name="BULKS80_MAT" localSheetId="0">#REF!</definedName>
    <definedName name="BULKS80_MAT">#REF!</definedName>
    <definedName name="BULKS80_OLD_CITY" localSheetId="4">#REF!</definedName>
    <definedName name="BULKS80_OLD_CITY" localSheetId="0">#REF!</definedName>
    <definedName name="BULKS80_OLD_CITY">#REF!</definedName>
    <definedName name="BULKS80_OLD_ESC" localSheetId="4">#REF!</definedName>
    <definedName name="BULKS80_OLD_ESC" localSheetId="0">#REF!</definedName>
    <definedName name="BULKS80_OLD_ESC">#REF!</definedName>
    <definedName name="BULKS80_OLD_PROD" localSheetId="4">#REF!</definedName>
    <definedName name="BULKS80_OLD_PROD" localSheetId="0">#REF!</definedName>
    <definedName name="BULKS80_OLD_PROD">#REF!</definedName>
    <definedName name="BULKS80_OLD_WAGE" localSheetId="4">#REF!</definedName>
    <definedName name="BULKS80_OLD_WAGE" localSheetId="0">#REF!</definedName>
    <definedName name="BULKS80_OLD_WAGE">#REF!</definedName>
    <definedName name="BULKS80_PROD" localSheetId="4">#REF!</definedName>
    <definedName name="BULKS80_PROD" localSheetId="0">#REF!</definedName>
    <definedName name="BULKS80_PROD">#REF!</definedName>
    <definedName name="BULKS80_SC" localSheetId="4">#REF!</definedName>
    <definedName name="BULKS80_SC" localSheetId="0">#REF!</definedName>
    <definedName name="BULKS80_SC">#REF!</definedName>
    <definedName name="BULKS80_SCHRS" localSheetId="4">#REF!</definedName>
    <definedName name="BULKS80_SCHRS" localSheetId="0">#REF!</definedName>
    <definedName name="BULKS80_SCHRS">#REF!</definedName>
    <definedName name="BULKS80_TOT" localSheetId="4">#REF!</definedName>
    <definedName name="BULKS80_TOT" localSheetId="0">#REF!</definedName>
    <definedName name="BULKS80_TOT">#REF!</definedName>
    <definedName name="BULKS80_WAGE" localSheetId="4">#REF!</definedName>
    <definedName name="BULKS80_WAGE" localSheetId="0">#REF!</definedName>
    <definedName name="BULKS80_WAGE">#REF!</definedName>
    <definedName name="BULKS81_QTY" localSheetId="4">#REF!</definedName>
    <definedName name="BULKS81_QTY" localSheetId="0">#REF!</definedName>
    <definedName name="BULKS81_QTY">#REF!</definedName>
    <definedName name="BULKS82_QTY" localSheetId="4">#REF!</definedName>
    <definedName name="BULKS82_QTY" localSheetId="0">#REF!</definedName>
    <definedName name="BULKS82_QTY">#REF!</definedName>
    <definedName name="BULKS84_ACL" localSheetId="4">#REF!</definedName>
    <definedName name="BULKS84_ACL" localSheetId="0">#REF!</definedName>
    <definedName name="BULKS84_ACL">#REF!</definedName>
    <definedName name="BULKS84_CKTS" localSheetId="4">#REF!</definedName>
    <definedName name="BULKS84_CKTS" localSheetId="0">#REF!</definedName>
    <definedName name="BULKS84_CKTS">#REF!</definedName>
    <definedName name="BULKS84_QTY" localSheetId="4">#REF!</definedName>
    <definedName name="BULKS84_QTY" localSheetId="0">#REF!</definedName>
    <definedName name="BULKS84_QTY">#REF!</definedName>
    <definedName name="BULKS85_QTY" localSheetId="4">#REF!</definedName>
    <definedName name="BULKS85_QTY" localSheetId="0">#REF!</definedName>
    <definedName name="BULKS85_QTY">#REF!</definedName>
    <definedName name="BUQUE_" localSheetId="4">#REF!</definedName>
    <definedName name="BUQUE_" localSheetId="0">#REF!</definedName>
    <definedName name="BUQUE_">#REF!</definedName>
    <definedName name="BUQUE_1" localSheetId="4">#REF!</definedName>
    <definedName name="BUQUE_1" localSheetId="0">#REF!</definedName>
    <definedName name="BUQUE_1">#REF!</definedName>
    <definedName name="Business_Travel_Rates" localSheetId="4">#REF!</definedName>
    <definedName name="Business_Travel_Rates" localSheetId="0">#REF!</definedName>
    <definedName name="Business_Travel_Rates">#REF!</definedName>
    <definedName name="butterfly" localSheetId="4">#REF!</definedName>
    <definedName name="butterfly" localSheetId="0">#REF!</definedName>
    <definedName name="butterfly">#REF!</definedName>
    <definedName name="bw" localSheetId="0">#REF!</definedName>
    <definedName name="bw">#REF!</definedName>
    <definedName name="C._Equipos" localSheetId="0">#REF!</definedName>
    <definedName name="C._Equipos">#REF!</definedName>
    <definedName name="C.FIJO1" localSheetId="4">#REF!</definedName>
    <definedName name="C.FIJO1" localSheetId="5">#REF!</definedName>
    <definedName name="C.FIJO1" localSheetId="0">#REF!</definedName>
    <definedName name="C.FIJO1">#REF!</definedName>
    <definedName name="C.FIJO2" localSheetId="4">#REF!</definedName>
    <definedName name="C.FIJO2" localSheetId="5">#REF!</definedName>
    <definedName name="C.FIJO2" localSheetId="0">#REF!</definedName>
    <definedName name="C.FIJO2">#REF!</definedName>
    <definedName name="C.FIJO5" localSheetId="4">#REF!</definedName>
    <definedName name="C.FIJO5" localSheetId="5">#REF!</definedName>
    <definedName name="C.FIJO5" localSheetId="0">#REF!</definedName>
    <definedName name="C.FIJO5">#REF!</definedName>
    <definedName name="C_" localSheetId="4">#REF!</definedName>
    <definedName name="C_" localSheetId="0">#REF!</definedName>
    <definedName name="C_">#REF!</definedName>
    <definedName name="c___1" localSheetId="4">#REF!</definedName>
    <definedName name="c___1" localSheetId="5">#REF!</definedName>
    <definedName name="c___1" localSheetId="0">#REF!</definedName>
    <definedName name="c___1">#REF!</definedName>
    <definedName name="C12.15" localSheetId="4">#REF!</definedName>
    <definedName name="C12.15" localSheetId="5">#REF!</definedName>
    <definedName name="C12.15" localSheetId="0">#REF!</definedName>
    <definedName name="C12.15">#REF!</definedName>
    <definedName name="C20.25" localSheetId="4">#REF!</definedName>
    <definedName name="C20.25" localSheetId="5">#REF!</definedName>
    <definedName name="C20.25" localSheetId="0">#REF!</definedName>
    <definedName name="C20.25">#REF!</definedName>
    <definedName name="C25.30" localSheetId="4">#REF!</definedName>
    <definedName name="C25.30" localSheetId="5">#REF!</definedName>
    <definedName name="C25.30" localSheetId="0">#REF!</definedName>
    <definedName name="C25.30">#REF!</definedName>
    <definedName name="C30.37" localSheetId="4">#REF!</definedName>
    <definedName name="C30.37" localSheetId="0">#REF!</definedName>
    <definedName name="C30.37">#REF!</definedName>
    <definedName name="C30.37.KONTRAKTOR.MOKRY" localSheetId="4">#REF!</definedName>
    <definedName name="C30.37.KONTRAKTOR.MOKRY" localSheetId="0">#REF!</definedName>
    <definedName name="C30.37.KONTRAKTOR.MOKRY">#REF!</definedName>
    <definedName name="C30.37.KONTRAKTOR.SUCHY" localSheetId="4">#REF!</definedName>
    <definedName name="C30.37.KONTRAKTOR.SUCHY" localSheetId="0">#REF!</definedName>
    <definedName name="C30.37.KONTRAKTOR.SUCHY">#REF!</definedName>
    <definedName name="C35.45" localSheetId="4">#REF!</definedName>
    <definedName name="C35.45" localSheetId="0">#REF!</definedName>
    <definedName name="C35.45">#REF!</definedName>
    <definedName name="C45.50" localSheetId="4">#REF!</definedName>
    <definedName name="C45.50" localSheetId="0">#REF!</definedName>
    <definedName name="C45.50">#REF!</definedName>
    <definedName name="C8.10" localSheetId="4">#REF!</definedName>
    <definedName name="C8.10" localSheetId="0">#REF!</definedName>
    <definedName name="C8.10">#REF!</definedName>
    <definedName name="ca" localSheetId="4" hidden="1">#REF!</definedName>
    <definedName name="ca" localSheetId="0" hidden="1">#REF!</definedName>
    <definedName name="ca" hidden="1">#REF!</definedName>
    <definedName name="CABLE" localSheetId="0">#REF!</definedName>
    <definedName name="CABLE">#REF!</definedName>
    <definedName name="CABLE_5KV" localSheetId="4">#REF!</definedName>
    <definedName name="CABLE_5KV" localSheetId="5">#REF!</definedName>
    <definedName name="CABLE_5KV" localSheetId="0">#REF!</definedName>
    <definedName name="CABLE_5KV">#REF!</definedName>
    <definedName name="CABLE_600V" localSheetId="4">#REF!</definedName>
    <definedName name="CABLE_600V" localSheetId="5">#REF!</definedName>
    <definedName name="CABLE_600V" localSheetId="0">#REF!</definedName>
    <definedName name="CABLE_600V">#REF!</definedName>
    <definedName name="CABLE_PRICING" localSheetId="4">#REF!</definedName>
    <definedName name="CABLE_PRICING" localSheetId="5">#REF!</definedName>
    <definedName name="CABLE_PRICING" localSheetId="0">#REF!</definedName>
    <definedName name="CABLE_PRICING">#REF!</definedName>
    <definedName name="CABLE_TYPE_15KV" localSheetId="4">#REF!</definedName>
    <definedName name="CABLE_TYPE_15KV" localSheetId="0">#REF!</definedName>
    <definedName name="CABLE_TYPE_15KV">#REF!</definedName>
    <definedName name="CABLE_TYPE_5KV" localSheetId="4">#REF!</definedName>
    <definedName name="CABLE_TYPE_5KV" localSheetId="0">#REF!</definedName>
    <definedName name="CABLE_TYPE_5KV">#REF!</definedName>
    <definedName name="CAJA" localSheetId="4">#REF!</definedName>
    <definedName name="CAJA" localSheetId="0">#REF!</definedName>
    <definedName name="CAJA">#REF!</definedName>
    <definedName name="cał" localSheetId="0">#REF!</definedName>
    <definedName name="cał">#REF!</definedName>
    <definedName name="Calc_Error" localSheetId="0">#REF!</definedName>
    <definedName name="Calc_Error">#REF!</definedName>
    <definedName name="Calc_OK" localSheetId="0">#REF!</definedName>
    <definedName name="Calc_OK">#REF!</definedName>
    <definedName name="CALCULO_DEL_C.I._Y_C.D._SEGUN_PRESUPUESTO" localSheetId="4">#REF!</definedName>
    <definedName name="CALCULO_DEL_C.I._Y_C.D._SEGUN_PRESUPUESTO" localSheetId="5">#REF!</definedName>
    <definedName name="CALCULO_DEL_C.I._Y_C.D._SEGUN_PRESUPUESTO" localSheetId="0">#REF!</definedName>
    <definedName name="CALCULO_DEL_C.I._Y_C.D._SEGUN_PRESUPUESTO">#REF!</definedName>
    <definedName name="cam" localSheetId="5">#REF!</definedName>
    <definedName name="cam" localSheetId="0">#REF!</definedName>
    <definedName name="cam">#REF!</definedName>
    <definedName name="cam_taltal" localSheetId="5">#REF!</definedName>
    <definedName name="cam_taltal" localSheetId="0">#REF!</definedName>
    <definedName name="cam_taltal">#REF!</definedName>
    <definedName name="camion_pluma">1000</definedName>
    <definedName name="CANT" localSheetId="4">#REF!</definedName>
    <definedName name="CANT" localSheetId="5">#REF!</definedName>
    <definedName name="CANT" localSheetId="0">#REF!</definedName>
    <definedName name="CANT">#REF!</definedName>
    <definedName name="Cantidad" localSheetId="5">#REF!</definedName>
    <definedName name="Cantidad" localSheetId="0">#REF!</definedName>
    <definedName name="Cantidad">#REF!</definedName>
    <definedName name="Cantidad01" localSheetId="5">#REF!</definedName>
    <definedName name="Cantidad01" localSheetId="0">#REF!</definedName>
    <definedName name="Cantidad01">#REF!</definedName>
    <definedName name="Cantidad02" localSheetId="0">#REF!</definedName>
    <definedName name="Cantidad02">#REF!</definedName>
    <definedName name="Cantidad03" localSheetId="0">#REF!</definedName>
    <definedName name="Cantidad03">#REF!</definedName>
    <definedName name="Cantidad04" localSheetId="0">#REF!</definedName>
    <definedName name="Cantidad04">#REF!</definedName>
    <definedName name="Cantidad05" localSheetId="0">#REF!</definedName>
    <definedName name="Cantidad05">#REF!</definedName>
    <definedName name="Cantidad06" localSheetId="0">#REF!</definedName>
    <definedName name="Cantidad06">#REF!</definedName>
    <definedName name="Cantidad11" localSheetId="0">#REF!</definedName>
    <definedName name="Cantidad11">#REF!</definedName>
    <definedName name="Cantidad12" localSheetId="0">#REF!</definedName>
    <definedName name="Cantidad12">#REF!</definedName>
    <definedName name="Cantidad31" localSheetId="0">#REF!</definedName>
    <definedName name="Cantidad31">#REF!</definedName>
    <definedName name="CAP" localSheetId="4">#REF!</definedName>
    <definedName name="CAP" localSheetId="0">#REF!</definedName>
    <definedName name="CAP">#REF!</definedName>
    <definedName name="CAPEX_FCT" localSheetId="0">#REF!</definedName>
    <definedName name="CAPEX_FCT">#REF!</definedName>
    <definedName name="CAPEX_IFapproved" localSheetId="0">#REF!</definedName>
    <definedName name="CAPEX_IFapproved">#REF!</definedName>
    <definedName name="CAPTURISTA" localSheetId="4">#REF!</definedName>
    <definedName name="CAPTURISTA" localSheetId="0">#REF!</definedName>
    <definedName name="CAPTURISTA">#REF!</definedName>
    <definedName name="Caratula1" localSheetId="4">#REF!</definedName>
    <definedName name="Caratula1" localSheetId="5">#REF!</definedName>
    <definedName name="Caratula1" localSheetId="0">#REF!</definedName>
    <definedName name="Caratula1">#REF!</definedName>
    <definedName name="cargo" localSheetId="4">#REF!</definedName>
    <definedName name="cargo" localSheetId="5">#REF!</definedName>
    <definedName name="cargo" localSheetId="0">#REF!</definedName>
    <definedName name="cargo">#REF!</definedName>
    <definedName name="cargocontacto" localSheetId="4">#REF!</definedName>
    <definedName name="cargocontacto" localSheetId="5">#REF!</definedName>
    <definedName name="cargocontacto" localSheetId="0">#REF!</definedName>
    <definedName name="cargocontacto">#REF!</definedName>
    <definedName name="cargoresponsabledelaobra" localSheetId="4">#REF!</definedName>
    <definedName name="cargoresponsabledelaobra" localSheetId="0">#REF!</definedName>
    <definedName name="cargoresponsabledelaobra">#REF!</definedName>
    <definedName name="cargovendedor" localSheetId="4">#REF!</definedName>
    <definedName name="cargovendedor" localSheetId="0">#REF!</definedName>
    <definedName name="cargovendedor">#REF!</definedName>
    <definedName name="carlos" localSheetId="4">#REF!</definedName>
    <definedName name="carlos" localSheetId="0">#REF!</definedName>
    <definedName name="carlos">#REF!</definedName>
    <definedName name="CARPETAASFALTICA" localSheetId="4">#REF!</definedName>
    <definedName name="CARPETAASFALTICA" localSheetId="0">#REF!</definedName>
    <definedName name="CARPETAASFALTICA">#REF!</definedName>
    <definedName name="CarteraContratación" localSheetId="0">#REF!</definedName>
    <definedName name="CarteraContratación">#REF!</definedName>
    <definedName name="CARTGA20121TP" localSheetId="4">#REF!</definedName>
    <definedName name="CARTGA20121TP" localSheetId="5">#REF!</definedName>
    <definedName name="CARTGA20121TP" localSheetId="0">#REF!</definedName>
    <definedName name="CARTGA20121TP">#REF!</definedName>
    <definedName name="CARTGA20121TR" localSheetId="4">#REF!</definedName>
    <definedName name="CARTGA20121TR" localSheetId="5">#REF!</definedName>
    <definedName name="CARTGA20121TR" localSheetId="0">#REF!</definedName>
    <definedName name="CARTGA20121TR">#REF!</definedName>
    <definedName name="CARTGA2012V0" localSheetId="4">#REF!</definedName>
    <definedName name="CARTGA2012V0" localSheetId="5">#REF!</definedName>
    <definedName name="CARTGA2012V0" localSheetId="0">#REF!</definedName>
    <definedName name="CARTGA2012V0">#REF!</definedName>
    <definedName name="CARTGA2012V1" localSheetId="4">#REF!</definedName>
    <definedName name="CARTGA2012V1" localSheetId="0">#REF!</definedName>
    <definedName name="CARTGA2012V1">#REF!</definedName>
    <definedName name="CARTGA2012V1NC" localSheetId="4">#REF!</definedName>
    <definedName name="CARTGA2012V1NC" localSheetId="0">#REF!</definedName>
    <definedName name="CARTGA2012V1NC">#REF!</definedName>
    <definedName name="CARTGA2012V1OC" localSheetId="4">#REF!</definedName>
    <definedName name="CARTGA2012V1OC" localSheetId="0">#REF!</definedName>
    <definedName name="CARTGA2012V1OC">#REF!</definedName>
    <definedName name="CARTP20121TP" localSheetId="4">#REF!</definedName>
    <definedName name="CARTP20121TP" localSheetId="0">#REF!</definedName>
    <definedName name="CARTP20121TP">#REF!</definedName>
    <definedName name="CARTP20121TR" localSheetId="4">#REF!</definedName>
    <definedName name="CARTP20121TR" localSheetId="0">#REF!</definedName>
    <definedName name="CARTP20121TR">#REF!</definedName>
    <definedName name="CARTP2012V0" localSheetId="4">#REF!</definedName>
    <definedName name="CARTP2012V0" localSheetId="0">#REF!</definedName>
    <definedName name="CARTP2012V0">#REF!</definedName>
    <definedName name="CARTP2012V1" localSheetId="4">#REF!</definedName>
    <definedName name="CARTP2012V1" localSheetId="0">#REF!</definedName>
    <definedName name="CARTP2012V1">#REF!</definedName>
    <definedName name="CARTP2012V1NC" localSheetId="4">#REF!</definedName>
    <definedName name="CARTP2012V1NC" localSheetId="0">#REF!</definedName>
    <definedName name="CARTP2012V1NC">#REF!</definedName>
    <definedName name="CARTP2012V1OC" localSheetId="4">#REF!</definedName>
    <definedName name="CARTP2012V1OC" localSheetId="0">#REF!</definedName>
    <definedName name="CARTP2012V1OC">#REF!</definedName>
    <definedName name="CARTREC20121TP" localSheetId="4">#REF!</definedName>
    <definedName name="CARTREC20121TP" localSheetId="0">#REF!</definedName>
    <definedName name="CARTREC20121TP">#REF!</definedName>
    <definedName name="CARTREC20121TR" localSheetId="4">#REF!</definedName>
    <definedName name="CARTREC20121TR" localSheetId="0">#REF!</definedName>
    <definedName name="CARTREC20121TR">#REF!</definedName>
    <definedName name="CARTREC2012V0" localSheetId="4">#REF!</definedName>
    <definedName name="CARTREC2012V0" localSheetId="0">#REF!</definedName>
    <definedName name="CARTREC2012V0">#REF!</definedName>
    <definedName name="CARTREC2012V1" localSheetId="4">#REF!</definedName>
    <definedName name="CARTREC2012V1" localSheetId="0">#REF!</definedName>
    <definedName name="CARTREC2012V1">#REF!</definedName>
    <definedName name="CARTREC2012V1NC" localSheetId="4">#REF!</definedName>
    <definedName name="CARTREC2012V1NC" localSheetId="0">#REF!</definedName>
    <definedName name="CARTREC2012V1NC">#REF!</definedName>
    <definedName name="CARTREC2012V1OC" localSheetId="4">#REF!</definedName>
    <definedName name="CARTREC2012V1OC" localSheetId="0">#REF!</definedName>
    <definedName name="CARTREC2012V1OC">#REF!</definedName>
    <definedName name="cas" localSheetId="0">#REF!</definedName>
    <definedName name="cas">#REF!</definedName>
    <definedName name="casa" localSheetId="4" hidden="1">{#N/A,#N/A,FALSE,"masez (10)";#N/A,#N/A,FALSE,"masez (7)";#N/A,#N/A,FALSE,"masez (6)";#N/A,#N/A,FALSE,"masez (5)";#N/A,#N/A,FALSE,"masez (4)";#N/A,#N/A,FALSE,"masez (3)";#N/A,#N/A,FALSE,"masez (2)";#N/A,#N/A,FALSE,"GME";#N/A,#N/A,FALSE,"masez"}</definedName>
    <definedName name="casa" localSheetId="5" hidden="1">{#N/A,#N/A,FALSE,"masez (10)";#N/A,#N/A,FALSE,"masez (7)";#N/A,#N/A,FALSE,"masez (6)";#N/A,#N/A,FALSE,"masez (5)";#N/A,#N/A,FALSE,"masez (4)";#N/A,#N/A,FALSE,"masez (3)";#N/A,#N/A,FALSE,"masez (2)";#N/A,#N/A,FALSE,"GME";#N/A,#N/A,FALSE,"masez"}</definedName>
    <definedName name="casa" localSheetId="0" hidden="1">{#N/A,#N/A,FALSE,"masez (10)";#N/A,#N/A,FALSE,"masez (7)";#N/A,#N/A,FALSE,"masez (6)";#N/A,#N/A,FALSE,"masez (5)";#N/A,#N/A,FALSE,"masez (4)";#N/A,#N/A,FALSE,"masez (3)";#N/A,#N/A,FALSE,"masez (2)";#N/A,#N/A,FALSE,"GME";#N/A,#N/A,FALSE,"masez"}</definedName>
    <definedName name="casa" hidden="1">{#N/A,#N/A,FALSE,"masez (10)";#N/A,#N/A,FALSE,"masez (7)";#N/A,#N/A,FALSE,"masez (6)";#N/A,#N/A,FALSE,"masez (5)";#N/A,#N/A,FALSE,"masez (4)";#N/A,#N/A,FALSE,"masez (3)";#N/A,#N/A,FALSE,"masez (2)";#N/A,#N/A,FALSE,"GME";#N/A,#N/A,FALSE,"masez"}</definedName>
    <definedName name="CASENUMBER">#REF!</definedName>
    <definedName name="Caseta" localSheetId="4">#REF!</definedName>
    <definedName name="Caseta" localSheetId="5">#REF!</definedName>
    <definedName name="Caseta" localSheetId="0">#REF!</definedName>
    <definedName name="Caseta">#REF!</definedName>
    <definedName name="CASETA2" localSheetId="4">#REF!</definedName>
    <definedName name="CASETA2" localSheetId="5">#REF!</definedName>
    <definedName name="CASETA2" localSheetId="0">#REF!</definedName>
    <definedName name="CASETA2">#REF!</definedName>
    <definedName name="cata" localSheetId="4">#REF!</definedName>
    <definedName name="cata" localSheetId="5">#REF!</definedName>
    <definedName name="cata" localSheetId="0">#REF!</definedName>
    <definedName name="cata">#REF!</definedName>
    <definedName name="Catalogo" localSheetId="0">#REF!</definedName>
    <definedName name="Catalogo">#REF!</definedName>
    <definedName name="Caudal_DD_Cult1_SP" localSheetId="0">#REF!</definedName>
    <definedName name="Caudal_DD_Cult1_SP">#REF!</definedName>
    <definedName name="Caudal_DD_Cult2" localSheetId="0">#REF!</definedName>
    <definedName name="Caudal_DD_Cult2">#REF!</definedName>
    <definedName name="Caudal_DD_Cult2_SP" localSheetId="0">#REF!</definedName>
    <definedName name="Caudal_DD_Cult2_SP">#REF!</definedName>
    <definedName name="Caudal_DD_Cult3" localSheetId="0">#REF!</definedName>
    <definedName name="Caudal_DD_Cult3">#REF!</definedName>
    <definedName name="Caudal_DD_Cult3_SP" localSheetId="0">#REF!</definedName>
    <definedName name="Caudal_DD_Cult3_SP">#REF!</definedName>
    <definedName name="Caudal_DD_Cult4" localSheetId="4">#REF!</definedName>
    <definedName name="Caudal_DD_Cult4" localSheetId="5">#REF!</definedName>
    <definedName name="Caudal_DD_Cult4" localSheetId="0">#REF!</definedName>
    <definedName name="Caudal_DD_Cult4">#REF!</definedName>
    <definedName name="Caudal_DD_Cult4_SP" localSheetId="4">#REF!</definedName>
    <definedName name="Caudal_DD_Cult4_SP" localSheetId="5">#REF!</definedName>
    <definedName name="Caudal_DD_Cult4_SP" localSheetId="0">#REF!</definedName>
    <definedName name="Caudal_DD_Cult4_SP">#REF!</definedName>
    <definedName name="Caudal_DD_Cult5" localSheetId="0">#REF!</definedName>
    <definedName name="Caudal_DD_Cult5">#REF!</definedName>
    <definedName name="Caudal_DD_Cult5_SP" localSheetId="0">#REF!</definedName>
    <definedName name="Caudal_DD_Cult5_SP">#REF!</definedName>
    <definedName name="caymet" localSheetId="4">#REF!</definedName>
    <definedName name="caymet" localSheetId="5">#REF!</definedName>
    <definedName name="caymet" localSheetId="0">#REF!</definedName>
    <definedName name="caymet">#REF!</definedName>
    <definedName name="CBWorkbookPriority">-1910156106</definedName>
    <definedName name="CC" localSheetId="4">#REF!</definedName>
    <definedName name="CC" localSheetId="5">#REF!</definedName>
    <definedName name="CC" localSheetId="0">#REF!</definedName>
    <definedName name="CC">#REF!</definedName>
    <definedName name="ccc" localSheetId="4" hidden="1">{"'Feuil1'!$A$1:$Y$50"}</definedName>
    <definedName name="ccc" localSheetId="5">#REF!</definedName>
    <definedName name="ccc" localSheetId="0">#REF!</definedName>
    <definedName name="ccc">#REF!</definedName>
    <definedName name="cccc">NA()</definedName>
    <definedName name="CCOE" localSheetId="4">#REF!</definedName>
    <definedName name="CCOE" localSheetId="5">#REF!</definedName>
    <definedName name="CCOE" localSheetId="0">#REF!</definedName>
    <definedName name="CCOE">#REF!</definedName>
    <definedName name="CCOEMA" localSheetId="4">#REF!</definedName>
    <definedName name="CCOEMA" localSheetId="5">#REF!</definedName>
    <definedName name="CCOEMA" localSheetId="0">#REF!</definedName>
    <definedName name="CCOEMA">#REF!</definedName>
    <definedName name="CCom" localSheetId="4">#REF!</definedName>
    <definedName name="CCom" localSheetId="5">#REF!</definedName>
    <definedName name="CCom" localSheetId="0">#REF!</definedName>
    <definedName name="CCom">#REF!</definedName>
    <definedName name="CCTITEL" localSheetId="0">#REF!</definedName>
    <definedName name="CCTITEL">#REF!</definedName>
    <definedName name="CD" localSheetId="0">#REF!</definedName>
    <definedName name="CD">#REF!</definedName>
    <definedName name="CDT" localSheetId="4">#REF!</definedName>
    <definedName name="CDT" localSheetId="5">#REF!</definedName>
    <definedName name="CDT" localSheetId="0">#REF!</definedName>
    <definedName name="CDT">#REF!</definedName>
    <definedName name="Celd.desprotegidas" localSheetId="4">#REF!</definedName>
    <definedName name="Celd.desprotegidas" localSheetId="5">#REF!</definedName>
    <definedName name="Celd.desprotegidas" localSheetId="0">#REF!</definedName>
    <definedName name="Celd.desprotegidas">#REF!</definedName>
    <definedName name="CEMENTOAC20" localSheetId="4">#REF!</definedName>
    <definedName name="CEMENTOAC20" localSheetId="5">#REF!</definedName>
    <definedName name="CEMENTOAC20" localSheetId="0">#REF!</definedName>
    <definedName name="CEMENTOAC20">#REF!</definedName>
    <definedName name="CEMNTOAC20" localSheetId="4">#REF!</definedName>
    <definedName name="CEMNTOAC20" localSheetId="0">#REF!</definedName>
    <definedName name="CEMNTOAC20">#REF!</definedName>
    <definedName name="CEMS_SYS" localSheetId="4">#REF!</definedName>
    <definedName name="CEMS_SYS" localSheetId="0">#REF!</definedName>
    <definedName name="CEMS_SYS">#REF!</definedName>
    <definedName name="Cena_Sprzedaży" localSheetId="4">#REF!</definedName>
    <definedName name="Cena_Sprzedaży" localSheetId="0">#REF!</definedName>
    <definedName name="Cena_Sprzedaży">#REF!</definedName>
    <definedName name="CENA_ZAKUPU" localSheetId="4">#REF!</definedName>
    <definedName name="CENA_ZAKUPU" localSheetId="0">#REF!</definedName>
    <definedName name="CENA_ZAKUPU">#REF!</definedName>
    <definedName name="Cenarios" localSheetId="0">#REF!</definedName>
    <definedName name="Cenarios">#REF!</definedName>
    <definedName name="Cessazioni" localSheetId="4">#REF!</definedName>
    <definedName name="Cessazioni" localSheetId="5">#REF!</definedName>
    <definedName name="Cessazioni" localSheetId="0">#REF!</definedName>
    <definedName name="Cessazioni">#REF!</definedName>
    <definedName name="Cessazioni2001" localSheetId="4">#REF!</definedName>
    <definedName name="Cessazioni2001" localSheetId="5">#REF!</definedName>
    <definedName name="Cessazioni2001" localSheetId="0">#REF!</definedName>
    <definedName name="Cessazioni2001">#REF!</definedName>
    <definedName name="check" localSheetId="4">#REF!</definedName>
    <definedName name="check" localSheetId="5">#REF!</definedName>
    <definedName name="check" localSheetId="0">#REF!</definedName>
    <definedName name="check">#REF!</definedName>
    <definedName name="Checked" localSheetId="4">#REF!</definedName>
    <definedName name="Checked" localSheetId="0">#REF!</definedName>
    <definedName name="Checked">#REF!</definedName>
    <definedName name="CHECKEDBY_ELBK" localSheetId="4">#REF!</definedName>
    <definedName name="CHECKEDBY_ELBK" localSheetId="0">#REF!</definedName>
    <definedName name="CHECKEDBY_ELBK">#REF!</definedName>
    <definedName name="CHECKEDBY_ELEQ" localSheetId="4">#REF!</definedName>
    <definedName name="CHECKEDBY_ELEQ" localSheetId="0">#REF!</definedName>
    <definedName name="CHECKEDBY_ELEQ">#REF!</definedName>
    <definedName name="CHECKEDBY_INSTR" localSheetId="4">#REF!</definedName>
    <definedName name="CHECKEDBY_INSTR" localSheetId="0">#REF!</definedName>
    <definedName name="CHECKEDBY_INSTR">#REF!</definedName>
    <definedName name="chf" localSheetId="4">#REF!</definedName>
    <definedName name="chf" localSheetId="0">#REF!</definedName>
    <definedName name="chf">#REF!</definedName>
    <definedName name="chf." localSheetId="4">#REF!</definedName>
    <definedName name="chf." localSheetId="0">#REF!</definedName>
    <definedName name="chf.">#REF!</definedName>
    <definedName name="CHOFER" localSheetId="4">#REF!</definedName>
    <definedName name="CHOFER" localSheetId="0">#REF!</definedName>
    <definedName name="CHOFER">#REF!</definedName>
    <definedName name="CHOICE" localSheetId="0">#REF!</definedName>
    <definedName name="CHOICE">#REF!</definedName>
    <definedName name="CHSFH" localSheetId="4" hidden="1">{#N/A,#N/A,FALSE,"masez (10)";#N/A,#N/A,FALSE,"masez (7)";#N/A,#N/A,FALSE,"masez (6)";#N/A,#N/A,FALSE,"masez (5)";#N/A,#N/A,FALSE,"masez (4)";#N/A,#N/A,FALSE,"masez (3)";#N/A,#N/A,FALSE,"masez (2)";#N/A,#N/A,FALSE,"GME";#N/A,#N/A,FALSE,"masez"}</definedName>
    <definedName name="CHSFH" localSheetId="5" hidden="1">{#N/A,#N/A,FALSE,"masez (10)";#N/A,#N/A,FALSE,"masez (7)";#N/A,#N/A,FALSE,"masez (6)";#N/A,#N/A,FALSE,"masez (5)";#N/A,#N/A,FALSE,"masez (4)";#N/A,#N/A,FALSE,"masez (3)";#N/A,#N/A,FALSE,"masez (2)";#N/A,#N/A,FALSE,"GME";#N/A,#N/A,FALSE,"masez"}</definedName>
    <definedName name="CHSFH" localSheetId="0" hidden="1">{#N/A,#N/A,FALSE,"masez (10)";#N/A,#N/A,FALSE,"masez (7)";#N/A,#N/A,FALSE,"masez (6)";#N/A,#N/A,FALSE,"masez (5)";#N/A,#N/A,FALSE,"masez (4)";#N/A,#N/A,FALSE,"masez (3)";#N/A,#N/A,FALSE,"masez (2)";#N/A,#N/A,FALSE,"GME";#N/A,#N/A,FALSE,"masez"}</definedName>
    <definedName name="CHSFH" hidden="1">{#N/A,#N/A,FALSE,"masez (10)";#N/A,#N/A,FALSE,"masez (7)";#N/A,#N/A,FALSE,"masez (6)";#N/A,#N/A,FALSE,"masez (5)";#N/A,#N/A,FALSE,"masez (4)";#N/A,#N/A,FALSE,"masez (3)";#N/A,#N/A,FALSE,"masez (2)";#N/A,#N/A,FALSE,"GME";#N/A,#N/A,FALSE,"masez"}</definedName>
    <definedName name="chudziak" localSheetId="4">#REF!</definedName>
    <definedName name="chudziak" localSheetId="5">#REF!</definedName>
    <definedName name="chudziak" localSheetId="0">#REF!</definedName>
    <definedName name="chudziak">#REF!</definedName>
    <definedName name="CIP" localSheetId="4">#REF!</definedName>
    <definedName name="CIP" localSheetId="5">#REF!</definedName>
    <definedName name="CIP" localSheetId="0">#REF!</definedName>
    <definedName name="CIP">#REF!</definedName>
    <definedName name="CIRCUITS" localSheetId="4">#REF!</definedName>
    <definedName name="CIRCUITS" localSheetId="5">#REF!</definedName>
    <definedName name="CIRCUITS" localSheetId="0">#REF!</definedName>
    <definedName name="CIRCUITS">#REF!</definedName>
    <definedName name="ciudad" localSheetId="4">#REF!</definedName>
    <definedName name="ciudad" localSheetId="0">#REF!</definedName>
    <definedName name="ciudad">#REF!</definedName>
    <definedName name="ciudadcliente" localSheetId="4">#REF!</definedName>
    <definedName name="ciudadcliente" localSheetId="0">#REF!</definedName>
    <definedName name="ciudadcliente">#REF!</definedName>
    <definedName name="ciudaddelaobra" localSheetId="4">#REF!</definedName>
    <definedName name="ciudaddelaobra" localSheetId="0">#REF!</definedName>
    <definedName name="ciudaddelaobra">#REF!</definedName>
    <definedName name="Civ_Det_Des" localSheetId="4">IF(VLOOKUP(#REF!,PRICE_CIVIL,1,FALSE)=0,0,VLOOKUP(#REF!,PRICE_CIVIL,2,FALSE))</definedName>
    <definedName name="Civ_Det_Des" localSheetId="6">IF(VLOOKUP(#REF!,PRICE_CIVIL,1,FALSE)=0,0,VLOOKUP(#REF!,PRICE_CIVIL,2,FALSE))</definedName>
    <definedName name="Civ_Det_Des" localSheetId="5">IF(VLOOKUP(#REF!,PRICE_CIVIL,1,FALSE)=0,0,VLOOKUP(#REF!,PRICE_CIVIL,2,FALSE))</definedName>
    <definedName name="Civ_Det_Des" localSheetId="0">IF(VLOOKUP(#REF!,PRICE_CIVIL,1,FALSE)=0,0,VLOOKUP(#REF!,PRICE_CIVIL,2,FALSE))</definedName>
    <definedName name="Civ_Det_Des">IF(VLOOKUP(#REF!,PRICE_CIVIL,1,FALSE)=0,0,VLOOKUP(#REF!,PRICE_CIVIL,2,FALSE))</definedName>
    <definedName name="Civ_Det_Des1" localSheetId="4">IF(VLOOKUP(#REF!,PRICE_CIVIL,1,FALSE)=0,0,VLOOKUP(#REF!,PRICE_CIVIL,2,FALSE))</definedName>
    <definedName name="Civ_Det_Des1" localSheetId="6">IF(VLOOKUP(#REF!,PRICE_CIVIL,1,FALSE)=0,0,VLOOKUP(#REF!,PRICE_CIVIL,2,FALSE))</definedName>
    <definedName name="Civ_Det_Des1" localSheetId="5">IF(VLOOKUP(#REF!,PRICE_CIVIL,1,FALSE)=0,0,VLOOKUP(#REF!,PRICE_CIVIL,2,FALSE))</definedName>
    <definedName name="Civ_Det_Des1" localSheetId="0">IF(VLOOKUP(#REF!,PRICE_CIVIL,1,FALSE)=0,0,VLOOKUP(#REF!,PRICE_CIVIL,2,FALSE))</definedName>
    <definedName name="Civ_Det_Des1">IF(VLOOKUP(#REF!,PRICE_CIVIL,1,FALSE)=0,0,VLOOKUP(#REF!,PRICE_CIVIL,2,FALSE))</definedName>
    <definedName name="CIVIL_OLD_CITY" localSheetId="4">#REF!</definedName>
    <definedName name="CIVIL_OLD_CITY" localSheetId="5">#REF!</definedName>
    <definedName name="CIVIL_OLD_CITY" localSheetId="0">#REF!</definedName>
    <definedName name="CIVIL_OLD_CITY">#REF!</definedName>
    <definedName name="CIVIL_OLD_ESC" localSheetId="4">#REF!</definedName>
    <definedName name="CIVIL_OLD_ESC" localSheetId="5">#REF!</definedName>
    <definedName name="CIVIL_OLD_ESC" localSheetId="0">#REF!</definedName>
    <definedName name="CIVIL_OLD_ESC">#REF!</definedName>
    <definedName name="CIVIL_OLD_WAGE" localSheetId="4">#REF!</definedName>
    <definedName name="CIVIL_OLD_WAGE" localSheetId="5">#REF!</definedName>
    <definedName name="CIVIL_OLD_WAGE" localSheetId="0">#REF!</definedName>
    <definedName name="CIVIL_OLD_WAGE">#REF!</definedName>
    <definedName name="CIVIL10_CITY" localSheetId="4">#REF!</definedName>
    <definedName name="CIVIL10_CITY" localSheetId="0">#REF!</definedName>
    <definedName name="CIVIL10_CITY">#REF!</definedName>
    <definedName name="CIVIL10_ESC" localSheetId="4">#REF!</definedName>
    <definedName name="CIVIL10_ESC" localSheetId="0">#REF!</definedName>
    <definedName name="CIVIL10_ESC">#REF!</definedName>
    <definedName name="CIVIL10_OLD_PROD" localSheetId="4">#REF!</definedName>
    <definedName name="CIVIL10_OLD_PROD" localSheetId="0">#REF!</definedName>
    <definedName name="CIVIL10_OLD_PROD">#REF!</definedName>
    <definedName name="CIVIL10_PROD" localSheetId="4">#REF!</definedName>
    <definedName name="CIVIL10_PROD" localSheetId="0">#REF!</definedName>
    <definedName name="CIVIL10_PROD">#REF!</definedName>
    <definedName name="CIVIL10_WAGE" localSheetId="4">#REF!</definedName>
    <definedName name="CIVIL10_WAGE" localSheetId="0">#REF!</definedName>
    <definedName name="CIVIL10_WAGE">#REF!</definedName>
    <definedName name="CKT_QTY" localSheetId="4">#REF!</definedName>
    <definedName name="CKT_QTY" localSheetId="0">#REF!</definedName>
    <definedName name="CKT_QTY">#REF!</definedName>
    <definedName name="CKTS" localSheetId="4">#REF!</definedName>
    <definedName name="CKTS" localSheetId="0">#REF!</definedName>
    <definedName name="CKTS">#REF!</definedName>
    <definedName name="CKTS_SWYD" localSheetId="4">#REF!</definedName>
    <definedName name="CKTS_SWYD" localSheetId="0">#REF!</definedName>
    <definedName name="CKTS_SWYD">#REF!</definedName>
    <definedName name="Clawback_Payable" localSheetId="4">#REF!</definedName>
    <definedName name="Clawback_Payable" localSheetId="5">#REF!</definedName>
    <definedName name="Clawback_Payable" localSheetId="0">#REF!</definedName>
    <definedName name="Clawback_Payable">#REF!</definedName>
    <definedName name="CLCom" localSheetId="4">#REF!</definedName>
    <definedName name="CLCom" localSheetId="5">#REF!</definedName>
    <definedName name="CLCom" localSheetId="0">#REF!</definedName>
    <definedName name="CLCom">#REF!</definedName>
    <definedName name="CMA" localSheetId="4">#REF!</definedName>
    <definedName name="CMA" localSheetId="5">#REF!</definedName>
    <definedName name="CMA" localSheetId="0">#REF!</definedName>
    <definedName name="CMA">#REF!</definedName>
    <definedName name="CME" localSheetId="4">#REF!</definedName>
    <definedName name="CME" localSheetId="5">#REF!</definedName>
    <definedName name="CME" localSheetId="0">#REF!</definedName>
    <definedName name="CME">#REF!</definedName>
    <definedName name="CMep" localSheetId="4">#REF!</definedName>
    <definedName name="CMep" localSheetId="5">#REF!</definedName>
    <definedName name="CMep" localSheetId="0">#REF!</definedName>
    <definedName name="CMep">#REF!</definedName>
    <definedName name="cmic" localSheetId="4">#REF!</definedName>
    <definedName name="cmic" localSheetId="5">#REF!</definedName>
    <definedName name="cmic" localSheetId="0">#REF!</definedName>
    <definedName name="cmic">#REF!</definedName>
    <definedName name="CNANWCNl" localSheetId="4" hidden="1">#REF!</definedName>
    <definedName name="CNANWCNl" localSheetId="5" hidden="1">#REF!</definedName>
    <definedName name="CNANWCNl" localSheetId="0" hidden="1">#REF!</definedName>
    <definedName name="CNANWCNl" hidden="1">#REF!</definedName>
    <definedName name="CNTL_VALVE" localSheetId="4">#REF!</definedName>
    <definedName name="CNTL_VALVE" localSheetId="5">#REF!</definedName>
    <definedName name="CNTL_VALVE" localSheetId="0">#REF!</definedName>
    <definedName name="CNTL_VALVE">#REF!</definedName>
    <definedName name="CNTL_VALVE_PRICE" localSheetId="4">#REF!</definedName>
    <definedName name="CNTL_VALVE_PRICE" localSheetId="0">#REF!</definedName>
    <definedName name="CNTL_VALVE_PRICE">#REF!</definedName>
    <definedName name="COCHILCO" localSheetId="4" hidden="1">{#N/A,#N/A,TRUE,"Est. de Fact.";#N/A,#N/A,TRUE,"Capitulo 19";#N/A,#N/A,TRUE,"Proyecto P855"}</definedName>
    <definedName name="COCHILCO" localSheetId="5" hidden="1">{#N/A,#N/A,TRUE,"Est. de Fact.";#N/A,#N/A,TRUE,"Capitulo 19";#N/A,#N/A,TRUE,"Proyecto P855"}</definedName>
    <definedName name="COCHILCO" localSheetId="0" hidden="1">{#N/A,#N/A,TRUE,"Est. de Fact.";#N/A,#N/A,TRUE,"Capitulo 19";#N/A,#N/A,TRUE,"Proyecto P855"}</definedName>
    <definedName name="COCHILCO" hidden="1">{#N/A,#N/A,TRUE,"Est. de Fact.";#N/A,#N/A,TRUE,"Capitulo 19";#N/A,#N/A,TRUE,"Proyecto P855"}</definedName>
    <definedName name="COD" localSheetId="4">#REF!</definedName>
    <definedName name="COD" localSheetId="5">#REF!</definedName>
    <definedName name="COD" localSheetId="0">#REF!</definedName>
    <definedName name="COD">#REF!</definedName>
    <definedName name="CODE" localSheetId="4">#REF!</definedName>
    <definedName name="CODE" localSheetId="5">#REF!</definedName>
    <definedName name="CODE" localSheetId="0">#REF!</definedName>
    <definedName name="CODE">#REF!</definedName>
    <definedName name="CODE_AFGIS" localSheetId="4">#REF!</definedName>
    <definedName name="CODE_AFGIS" localSheetId="5">#REF!</definedName>
    <definedName name="CODE_AFGIS" localSheetId="0">#REF!</definedName>
    <definedName name="CODE_AFGIS">#REF!</definedName>
    <definedName name="CODE_B" localSheetId="4">#REF!</definedName>
    <definedName name="CODE_B" localSheetId="0">#REF!</definedName>
    <definedName name="CODE_B">#REF!</definedName>
    <definedName name="CODE_E" localSheetId="4">#REF!</definedName>
    <definedName name="CODE_E" localSheetId="0">#REF!</definedName>
    <definedName name="CODE_E">#REF!</definedName>
    <definedName name="CODE_F" localSheetId="4">#REF!</definedName>
    <definedName name="CODE_F" localSheetId="0">#REF!</definedName>
    <definedName name="CODE_F">#REF!</definedName>
    <definedName name="CODE_MPA" localSheetId="4">#REF!</definedName>
    <definedName name="CODE_MPA" localSheetId="0">#REF!</definedName>
    <definedName name="CODE_MPA">#REF!</definedName>
    <definedName name="CODE_P" localSheetId="4">#REF!</definedName>
    <definedName name="CODE_P" localSheetId="0">#REF!</definedName>
    <definedName name="CODE_P">#REF!</definedName>
    <definedName name="code_q" localSheetId="4">#REF!</definedName>
    <definedName name="code_q" localSheetId="0">#REF!</definedName>
    <definedName name="code_q">#REF!</definedName>
    <definedName name="CODE_S" localSheetId="4">#REF!</definedName>
    <definedName name="CODE_S" localSheetId="0">#REF!</definedName>
    <definedName name="CODE_S">#REF!</definedName>
    <definedName name="CODIGO_IMP" localSheetId="0">#REF!</definedName>
    <definedName name="CODIGO_IMP">#REF!</definedName>
    <definedName name="codigodelaobra" localSheetId="4">#REF!</definedName>
    <definedName name="codigodelaobra" localSheetId="5">#REF!</definedName>
    <definedName name="codigodelaobra" localSheetId="0">#REF!</definedName>
    <definedName name="codigodelaobra">#REF!</definedName>
    <definedName name="codigopostalcliente" localSheetId="4">#REF!</definedName>
    <definedName name="codigopostalcliente" localSheetId="5">#REF!</definedName>
    <definedName name="codigopostalcliente" localSheetId="0">#REF!</definedName>
    <definedName name="codigopostalcliente">#REF!</definedName>
    <definedName name="codigopostaldelaobra" localSheetId="4">#REF!</definedName>
    <definedName name="codigopostaldelaobra" localSheetId="5">#REF!</definedName>
    <definedName name="codigopostaldelaobra" localSheetId="0">#REF!</definedName>
    <definedName name="codigopostaldelaobra">#REF!</definedName>
    <definedName name="codigovendedor" localSheetId="4">#REF!</definedName>
    <definedName name="codigovendedor" localSheetId="0">#REF!</definedName>
    <definedName name="codigovendedor">#REF!</definedName>
    <definedName name="COEF" localSheetId="4">#REF!</definedName>
    <definedName name="COEF" localSheetId="0">#REF!</definedName>
    <definedName name="COEF">#REF!</definedName>
    <definedName name="CoefRoca" localSheetId="4">#REF!</definedName>
    <definedName name="CoefRoca" localSheetId="0">#REF!</definedName>
    <definedName name="CoefRoca">#REF!</definedName>
    <definedName name="Coge" localSheetId="4">#REF!</definedName>
    <definedName name="Coge" localSheetId="0">#REF!</definedName>
    <definedName name="Coge">#REF!</definedName>
    <definedName name="col_M" localSheetId="4">#REF!</definedName>
    <definedName name="col_M" localSheetId="0">#REF!</definedName>
    <definedName name="col_M">#REF!</definedName>
    <definedName name="Collezione_Galileo" localSheetId="4">#REF!</definedName>
    <definedName name="Collezione_Galileo" localSheetId="0">#REF!</definedName>
    <definedName name="Collezione_Galileo">#REF!</definedName>
    <definedName name="Collezione_Galileo__Estero" localSheetId="4">#REF!</definedName>
    <definedName name="Collezione_Galileo__Estero" localSheetId="0">#REF!</definedName>
    <definedName name="Collezione_Galileo__Estero">#REF!</definedName>
    <definedName name="Collezione_Galileo__Italia" localSheetId="4">#REF!</definedName>
    <definedName name="Collezione_Galileo__Italia" localSheetId="0">#REF!</definedName>
    <definedName name="Collezione_Galileo__Italia">#REF!</definedName>
    <definedName name="colonia" localSheetId="4">#REF!</definedName>
    <definedName name="colonia" localSheetId="0">#REF!</definedName>
    <definedName name="colonia">#REF!</definedName>
    <definedName name="coloniacliente" localSheetId="4">#REF!</definedName>
    <definedName name="coloniacliente" localSheetId="0">#REF!</definedName>
    <definedName name="coloniacliente">#REF!</definedName>
    <definedName name="coloniadelaobra" localSheetId="4">#REF!</definedName>
    <definedName name="coloniadelaobra" localSheetId="0">#REF!</definedName>
    <definedName name="coloniadelaobra">#REF!</definedName>
    <definedName name="COM" localSheetId="4">#REF!</definedName>
    <definedName name="COM" localSheetId="0">#REF!</definedName>
    <definedName name="COM">#REF!</definedName>
    <definedName name="COMB" localSheetId="4">#REF!</definedName>
    <definedName name="COMB" localSheetId="0">#REF!</definedName>
    <definedName name="COMB">#REF!</definedName>
    <definedName name="COMB1" localSheetId="4">#REF!</definedName>
    <definedName name="COMB1" localSheetId="0">#REF!</definedName>
    <definedName name="COMB1">#REF!</definedName>
    <definedName name="COMB2" localSheetId="4">#REF!</definedName>
    <definedName name="COMB2" localSheetId="0">#REF!</definedName>
    <definedName name="COMB2">#REF!</definedName>
    <definedName name="COMBLIGERO" localSheetId="4">#REF!</definedName>
    <definedName name="COMBLIGERO" localSheetId="0">#REF!</definedName>
    <definedName name="COMBLIGERO">#REF!</definedName>
    <definedName name="COMBLIGUERO2" localSheetId="4">#REF!</definedName>
    <definedName name="COMBLIGUERO2" localSheetId="0">#REF!</definedName>
    <definedName name="COMBLIGUERO2">#REF!</definedName>
    <definedName name="COMM_UOM" localSheetId="0">#REF!,#REF!,#REF!,#REF!,#REF!,#REF!,#REF!</definedName>
    <definedName name="COMM_UOM">#REF!,#REF!,#REF!,#REF!,#REF!,#REF!,#REF!</definedName>
    <definedName name="COMMCODE" localSheetId="0">#REF!,#REF!,#REF!,#REF!,#REF!,#REF!,#REF!</definedName>
    <definedName name="COMMCODE">#REF!,#REF!,#REF!,#REF!,#REF!,#REF!,#REF!</definedName>
    <definedName name="COMP_8000" localSheetId="4">#REF!</definedName>
    <definedName name="COMP_8000" localSheetId="5">#REF!</definedName>
    <definedName name="COMP_8000" localSheetId="0">#REF!</definedName>
    <definedName name="COMP_8000">#REF!</definedName>
    <definedName name="COMP_9000" localSheetId="4">#REF!</definedName>
    <definedName name="COMP_9000" localSheetId="5">#REF!</definedName>
    <definedName name="COMP_9000" localSheetId="0">#REF!</definedName>
    <definedName name="COMP_9000">#REF!</definedName>
    <definedName name="comp_amb" localSheetId="5">#REF!</definedName>
    <definedName name="comp_amb" localSheetId="0">#REF!</definedName>
    <definedName name="comp_amb">#REF!</definedName>
    <definedName name="Comp_Cabecera1">""</definedName>
    <definedName name="Comp_Cabecera10">""</definedName>
    <definedName name="Comp_Cabecera11">""</definedName>
    <definedName name="Comp_Cabecera12">""</definedName>
    <definedName name="Comp_Cabecera13">""</definedName>
    <definedName name="Comp_Cabecera14">""</definedName>
    <definedName name="Comp_Cabecera15">""</definedName>
    <definedName name="Comp_Cabecera2">""</definedName>
    <definedName name="Comp_Cabecera3">"IMPORTE"</definedName>
    <definedName name="Comp_Cabecera4">""</definedName>
    <definedName name="Comp_Cabecera5">""</definedName>
    <definedName name="Comp_Cabecera6">""</definedName>
    <definedName name="Comp_Cabecera7">""</definedName>
    <definedName name="Comp_Cabecera8">""</definedName>
    <definedName name="Comp_Cabecera9">""</definedName>
    <definedName name="Company" localSheetId="4">#REF!</definedName>
    <definedName name="Company" localSheetId="0">#REF!</definedName>
    <definedName name="Company">#REF!</definedName>
    <definedName name="COMPARA" localSheetId="4">#REF!</definedName>
    <definedName name="COMPARA" localSheetId="5">#REF!</definedName>
    <definedName name="COMPARA" localSheetId="0">#REF!</definedName>
    <definedName name="COMPARA">#REF!</definedName>
    <definedName name="COMPARA2" localSheetId="4">#REF!</definedName>
    <definedName name="COMPARA2" localSheetId="5">#REF!</definedName>
    <definedName name="COMPARA2" localSheetId="0">#REF!</definedName>
    <definedName name="COMPARA2">#REF!</definedName>
    <definedName name="COMPARADIESEL" localSheetId="4">#REF!</definedName>
    <definedName name="COMPARADIESEL" localSheetId="5">#REF!</definedName>
    <definedName name="COMPARADIESEL" localSheetId="0">#REF!</definedName>
    <definedName name="COMPARADIESEL">#REF!</definedName>
    <definedName name="COMPARADIESEL2" localSheetId="0">#REF!</definedName>
    <definedName name="COMPARADIESEL2">#REF!</definedName>
    <definedName name="COMPARATIVO8000" localSheetId="4">#REF!</definedName>
    <definedName name="COMPARATIVO8000" localSheetId="5">#REF!</definedName>
    <definedName name="COMPARATIVO8000" localSheetId="0">#REF!</definedName>
    <definedName name="COMPARATIVO8000">#REF!</definedName>
    <definedName name="COMPLEJIDAD" localSheetId="4">#REF!</definedName>
    <definedName name="COMPLEJIDAD" localSheetId="5">#REF!</definedName>
    <definedName name="COMPLEJIDAD" localSheetId="0">#REF!</definedName>
    <definedName name="COMPLEJIDAD">#REF!</definedName>
    <definedName name="Con_Sanción" localSheetId="5">#REF!</definedName>
    <definedName name="Con_Sanción" localSheetId="0">#REF!</definedName>
    <definedName name="Con_Sanción">#REF!</definedName>
    <definedName name="Conc_1" localSheetId="4">#REF!</definedName>
    <definedName name="Conc_1" localSheetId="0">#REF!</definedName>
    <definedName name="Conc_1">#REF!</definedName>
    <definedName name="Conc_10" localSheetId="4">#REF!</definedName>
    <definedName name="Conc_10" localSheetId="0">#REF!</definedName>
    <definedName name="Conc_10">#REF!</definedName>
    <definedName name="Conc_100" localSheetId="4">#REF!</definedName>
    <definedName name="Conc_100" localSheetId="0">#REF!</definedName>
    <definedName name="Conc_100">#REF!</definedName>
    <definedName name="Conc_20" localSheetId="4">#REF!</definedName>
    <definedName name="Conc_20" localSheetId="0">#REF!</definedName>
    <definedName name="Conc_20">#REF!</definedName>
    <definedName name="Conc_24" localSheetId="4">#REF!</definedName>
    <definedName name="Conc_24" localSheetId="0">#REF!</definedName>
    <definedName name="Conc_24">#REF!</definedName>
    <definedName name="Conc_30" localSheetId="4">#REF!</definedName>
    <definedName name="Conc_30" localSheetId="0">#REF!</definedName>
    <definedName name="Conc_30">#REF!</definedName>
    <definedName name="Conc_40" localSheetId="4">#REF!</definedName>
    <definedName name="Conc_40" localSheetId="0">#REF!</definedName>
    <definedName name="Conc_40">#REF!</definedName>
    <definedName name="Conc_50" localSheetId="4">#REF!</definedName>
    <definedName name="Conc_50" localSheetId="0">#REF!</definedName>
    <definedName name="Conc_50">#REF!</definedName>
    <definedName name="Conc_60" localSheetId="4">#REF!</definedName>
    <definedName name="Conc_60" localSheetId="0">#REF!</definedName>
    <definedName name="Conc_60">#REF!</definedName>
    <definedName name="Conc_70" localSheetId="4">#REF!</definedName>
    <definedName name="Conc_70" localSheetId="0">#REF!</definedName>
    <definedName name="Conc_70">#REF!</definedName>
    <definedName name="Conc_80" localSheetId="4">#REF!</definedName>
    <definedName name="Conc_80" localSheetId="0">#REF!</definedName>
    <definedName name="Conc_80">#REF!</definedName>
    <definedName name="Conc_90" localSheetId="4">#REF!</definedName>
    <definedName name="Conc_90" localSheetId="0">#REF!</definedName>
    <definedName name="Conc_90">#REF!</definedName>
    <definedName name="ConciliaciónISR" localSheetId="4">#REF!</definedName>
    <definedName name="ConciliaciónISR" localSheetId="0">#REF!</definedName>
    <definedName name="ConciliaciónISR">#REF!</definedName>
    <definedName name="ConciliaciónPTU" localSheetId="4">#REF!</definedName>
    <definedName name="ConciliaciónPTU" localSheetId="0">#REF!</definedName>
    <definedName name="ConciliaciónPTU">#REF!</definedName>
    <definedName name="CONCL_1" localSheetId="4">#REF!</definedName>
    <definedName name="CONCL_1" localSheetId="0">#REF!</definedName>
    <definedName name="CONCL_1">#REF!</definedName>
    <definedName name="COND_PRICING" localSheetId="4">#REF!</definedName>
    <definedName name="COND_PRICING" localSheetId="0">#REF!</definedName>
    <definedName name="COND_PRICING">#REF!</definedName>
    <definedName name="condition">#N/A</definedName>
    <definedName name="CONDUIT" localSheetId="4">#REF!</definedName>
    <definedName name="CONDUIT" localSheetId="5">#REF!</definedName>
    <definedName name="CONDUIT" localSheetId="0">#REF!</definedName>
    <definedName name="CONDUIT">#REF!</definedName>
    <definedName name="CONS" localSheetId="4">#REF!</definedName>
    <definedName name="CONS" localSheetId="5">#REF!</definedName>
    <definedName name="CONS" localSheetId="0">#REF!</definedName>
    <definedName name="CONS">#REF!</definedName>
    <definedName name="Cons_Hrs" localSheetId="4">#REF!</definedName>
    <definedName name="Cons_Hrs" localSheetId="5">#REF!</definedName>
    <definedName name="Cons_Hrs" localSheetId="0">#REF!</definedName>
    <definedName name="Cons_Hrs">#REF!</definedName>
    <definedName name="Cons_Rev" localSheetId="4">#REF!</definedName>
    <definedName name="Cons_Rev" localSheetId="5">#REF!</definedName>
    <definedName name="Cons_Rev" localSheetId="0">#REF!</definedName>
    <definedName name="Cons_Rev">#REF!</definedName>
    <definedName name="CONST_BASIS" localSheetId="4">#REF!</definedName>
    <definedName name="CONST_BASIS" localSheetId="5">#REF!</definedName>
    <definedName name="CONST_BASIS" localSheetId="0">#REF!</definedName>
    <definedName name="CONST_BASIS">#REF!</definedName>
    <definedName name="CONSTRUCCION" localSheetId="4" hidden="1">{#N/A,#N/A,FALSE,"masez (10)";#N/A,#N/A,FALSE,"masez (7)";#N/A,#N/A,FALSE,"masez (6)";#N/A,#N/A,FALSE,"masez (5)";#N/A,#N/A,FALSE,"masez (4)";#N/A,#N/A,FALSE,"masez (3)";#N/A,#N/A,FALSE,"masez (2)";#N/A,#N/A,FALSE,"GME";#N/A,#N/A,FALSE,"masez"}</definedName>
    <definedName name="CONSTRUCCION" localSheetId="5" hidden="1">{#N/A,#N/A,FALSE,"masez (10)";#N/A,#N/A,FALSE,"masez (7)";#N/A,#N/A,FALSE,"masez (6)";#N/A,#N/A,FALSE,"masez (5)";#N/A,#N/A,FALSE,"masez (4)";#N/A,#N/A,FALSE,"masez (3)";#N/A,#N/A,FALSE,"masez (2)";#N/A,#N/A,FALSE,"GME";#N/A,#N/A,FALSE,"masez"}</definedName>
    <definedName name="CONSTRUCCION" localSheetId="0" hidden="1">{#N/A,#N/A,FALSE,"masez (10)";#N/A,#N/A,FALSE,"masez (7)";#N/A,#N/A,FALSE,"masez (6)";#N/A,#N/A,FALSE,"masez (5)";#N/A,#N/A,FALSE,"masez (4)";#N/A,#N/A,FALSE,"masez (3)";#N/A,#N/A,FALSE,"masez (2)";#N/A,#N/A,FALSE,"GME";#N/A,#N/A,FALSE,"masez"}</definedName>
    <definedName name="CONSTRUCCION" hidden="1">{#N/A,#N/A,FALSE,"masez (10)";#N/A,#N/A,FALSE,"masez (7)";#N/A,#N/A,FALSE,"masez (6)";#N/A,#N/A,FALSE,"masez (5)";#N/A,#N/A,FALSE,"masez (4)";#N/A,#N/A,FALSE,"masez (3)";#N/A,#N/A,FALSE,"masez (2)";#N/A,#N/A,FALSE,"GME";#N/A,#N/A,FALSE,"masez"}</definedName>
    <definedName name="constructionDurationMonths">#REF!</definedName>
    <definedName name="ConsumoEspec" localSheetId="4">#REF!</definedName>
    <definedName name="ConsumoEspec" localSheetId="5">#REF!</definedName>
    <definedName name="ConsumoEspec" localSheetId="0">#REF!</definedName>
    <definedName name="ConsumoEspec">#REF!</definedName>
    <definedName name="cont" localSheetId="4">#REF!</definedName>
    <definedName name="cont" localSheetId="5">#REF!</definedName>
    <definedName name="cont" localSheetId="0">#REF!</definedName>
    <definedName name="cont">#REF!</definedName>
    <definedName name="Cont_150" localSheetId="4">#REF!</definedName>
    <definedName name="Cont_150" localSheetId="0">#REF!</definedName>
    <definedName name="Cont_150">#REF!</definedName>
    <definedName name="Cont_ObrasNuevas" localSheetId="0">#REF!</definedName>
    <definedName name="Cont_ObrasNuevas">#REF!</definedName>
    <definedName name="Cont_ON" localSheetId="0">#REF!</definedName>
    <definedName name="Cont_ON">#REF!</definedName>
    <definedName name="Cont_Sup_150" localSheetId="0">#REF!</definedName>
    <definedName name="Cont_Sup_150">#REF!</definedName>
    <definedName name="CONT20121TP" localSheetId="4">#REF!</definedName>
    <definedName name="CONT20121TP" localSheetId="5">#REF!</definedName>
    <definedName name="CONT20121TP" localSheetId="0">#REF!</definedName>
    <definedName name="CONT20121TP">#REF!</definedName>
    <definedName name="CONT20121TR" localSheetId="4">#REF!</definedName>
    <definedName name="CONT20121TR" localSheetId="5">#REF!</definedName>
    <definedName name="CONT20121TR" localSheetId="0">#REF!</definedName>
    <definedName name="CONT20121TR">#REF!</definedName>
    <definedName name="CONT2012V0" localSheetId="4">#REF!</definedName>
    <definedName name="CONT2012V0" localSheetId="5">#REF!</definedName>
    <definedName name="CONT2012V0" localSheetId="0">#REF!</definedName>
    <definedName name="CONT2012V0">#REF!</definedName>
    <definedName name="CONT2012V1" localSheetId="4">#REF!</definedName>
    <definedName name="CONT2012V1" localSheetId="0">#REF!</definedName>
    <definedName name="CONT2012V1">#REF!</definedName>
    <definedName name="CONT2012V1NC" localSheetId="4">#REF!</definedName>
    <definedName name="CONT2012V1NC" localSheetId="0">#REF!</definedName>
    <definedName name="CONT2012V1NC">#REF!</definedName>
    <definedName name="CONT2012V1OC" localSheetId="4">#REF!</definedName>
    <definedName name="CONT2012V1OC" localSheetId="0">#REF!</definedName>
    <definedName name="CONT2012V1OC">#REF!</definedName>
    <definedName name="contactocliente" localSheetId="4">#REF!</definedName>
    <definedName name="contactocliente" localSheetId="0">#REF!</definedName>
    <definedName name="contactocliente">#REF!</definedName>
    <definedName name="Contenido" localSheetId="0">#REF!</definedName>
    <definedName name="Contenido">#REF!</definedName>
    <definedName name="CONTGA20121TP" localSheetId="4">#REF!</definedName>
    <definedName name="CONTGA20121TP" localSheetId="5">#REF!</definedName>
    <definedName name="CONTGA20121TP" localSheetId="0">#REF!</definedName>
    <definedName name="CONTGA20121TP">#REF!</definedName>
    <definedName name="CONTGA20121TR" localSheetId="4">#REF!</definedName>
    <definedName name="CONTGA20121TR" localSheetId="5">#REF!</definedName>
    <definedName name="CONTGA20121TR" localSheetId="0">#REF!</definedName>
    <definedName name="CONTGA20121TR">#REF!</definedName>
    <definedName name="CONTGA2012V0" localSheetId="4">#REF!</definedName>
    <definedName name="CONTGA2012V0" localSheetId="5">#REF!</definedName>
    <definedName name="CONTGA2012V0" localSheetId="0">#REF!</definedName>
    <definedName name="CONTGA2012V0">#REF!</definedName>
    <definedName name="CONTGA2012V1" localSheetId="4">#REF!</definedName>
    <definedName name="CONTGA2012V1" localSheetId="0">#REF!</definedName>
    <definedName name="CONTGA2012V1">#REF!</definedName>
    <definedName name="CONTGA2012V1NC" localSheetId="4">#REF!</definedName>
    <definedName name="CONTGA2012V1NC" localSheetId="0">#REF!</definedName>
    <definedName name="CONTGA2012V1NC">#REF!</definedName>
    <definedName name="CONTGA2012V1OC" localSheetId="4">#REF!</definedName>
    <definedName name="CONTGA2012V1OC" localSheetId="0">#REF!</definedName>
    <definedName name="CONTGA2012V1OC">#REF!</definedName>
    <definedName name="Conti_Lavorazione" localSheetId="4">#REF!</definedName>
    <definedName name="Conti_Lavorazione" localSheetId="0">#REF!</definedName>
    <definedName name="Conti_Lavorazione">#REF!</definedName>
    <definedName name="Conti_lavorazione__Estero" localSheetId="4">#REF!</definedName>
    <definedName name="Conti_lavorazione__Estero" localSheetId="0">#REF!</definedName>
    <definedName name="Conti_lavorazione__Estero">#REF!</definedName>
    <definedName name="Conti_lavorazione__Italia" localSheetId="4">#REF!</definedName>
    <definedName name="Conti_lavorazione__Italia" localSheetId="0">#REF!</definedName>
    <definedName name="Conti_lavorazione__Italia">#REF!</definedName>
    <definedName name="Contingencia_150" localSheetId="0">#REF!</definedName>
    <definedName name="Contingencia_150">#REF!</definedName>
    <definedName name="CONTINGENCY" localSheetId="0">#REF!</definedName>
    <definedName name="CONTINGENCY">#REF!</definedName>
    <definedName name="contracts" localSheetId="4">#REF!</definedName>
    <definedName name="contracts" localSheetId="0">#REF!</definedName>
    <definedName name="contracts">#REF!</definedName>
    <definedName name="Contratado_con_relación_de_contratistas" localSheetId="0">#REF!</definedName>
    <definedName name="Contratado_con_relación_de_contratistas">#REF!</definedName>
    <definedName name="Contrato_No" localSheetId="5">#REF!</definedName>
    <definedName name="Contrato_No" localSheetId="0">#REF!</definedName>
    <definedName name="Contrato_No">#REF!</definedName>
    <definedName name="Contribution_OP" localSheetId="0">#REF!</definedName>
    <definedName name="Contribution_OP">#REF!</definedName>
    <definedName name="CONTS_VAC" localSheetId="0">#REF!,#REF!,#REF!,#REF!</definedName>
    <definedName name="CONTS_VAC">#REF!,#REF!,#REF!,#REF!</definedName>
    <definedName name="Conv" localSheetId="4">#REF!</definedName>
    <definedName name="Conv" localSheetId="5">#REF!</definedName>
    <definedName name="Conv" localSheetId="0">#REF!</definedName>
    <definedName name="Conv">#REF!</definedName>
    <definedName name="Convenio" localSheetId="5">#REF!</definedName>
    <definedName name="Convenio" localSheetId="0">#REF!</definedName>
    <definedName name="Convenio">#REF!</definedName>
    <definedName name="COPP" localSheetId="4">#REF!</definedName>
    <definedName name="COPP" localSheetId="5">#REF!</definedName>
    <definedName name="COPP" localSheetId="0">#REF!</definedName>
    <definedName name="COPP">#REF!</definedName>
    <definedName name="COPPER_PRICE" localSheetId="4">#REF!</definedName>
    <definedName name="COPPER_PRICE" localSheetId="0">#REF!</definedName>
    <definedName name="COPPER_PRICE">#REF!</definedName>
    <definedName name="Copper_recovery___fixed" localSheetId="0">#REF!</definedName>
    <definedName name="Copper_recovery___fixed">#REF!</definedName>
    <definedName name="Copper_recovery___variable" localSheetId="0">#REF!</definedName>
    <definedName name="Copper_recovery___variable">#REF!</definedName>
    <definedName name="copperProductionActualAnnual" localSheetId="5">#REF!*#REF!</definedName>
    <definedName name="copperProductionActualAnnual" localSheetId="0">#REF!*#REF!</definedName>
    <definedName name="copperProductionActualAnnual">#REF!*#REF!</definedName>
    <definedName name="copperProductionAnnual" localSheetId="0">#REF!</definedName>
    <definedName name="copperProductionAnnual">#REF!</definedName>
    <definedName name="copperProductionNominal" localSheetId="5">#REF!/#REF!</definedName>
    <definedName name="copperProductionNominal" localSheetId="0">#REF!/#REF!</definedName>
    <definedName name="copperProductionNominal">#REF!/#REF!</definedName>
    <definedName name="copy_this" localSheetId="4">#REF!</definedName>
    <definedName name="copy_this" localSheetId="5">#REF!</definedName>
    <definedName name="copy_this" localSheetId="0">#REF!</definedName>
    <definedName name="copy_this">#REF!</definedName>
    <definedName name="cos_dir" localSheetId="4">#REF!</definedName>
    <definedName name="cos_dir" localSheetId="5">#REF!</definedName>
    <definedName name="cos_dir" localSheetId="0">#REF!</definedName>
    <definedName name="cos_dir">#REF!</definedName>
    <definedName name="COS_LkWh" localSheetId="4">#REF!</definedName>
    <definedName name="COS_LkWh" localSheetId="5">#REF!</definedName>
    <definedName name="COS_LkWh" localSheetId="0">#REF!</definedName>
    <definedName name="COS_LkWh">#REF!</definedName>
    <definedName name="COST_C" localSheetId="0">#REF!</definedName>
    <definedName name="COST_C">#REF!</definedName>
    <definedName name="Cost_Differential" localSheetId="0">#REF!</definedName>
    <definedName name="Cost_Differential">#REF!</definedName>
    <definedName name="Cost_Estimate_Date" localSheetId="0">#REF!</definedName>
    <definedName name="Cost_Estimate_Date">#REF!</definedName>
    <definedName name="COSTCOMP10" localSheetId="4">#REF!</definedName>
    <definedName name="COSTCOMP10" localSheetId="5">#REF!</definedName>
    <definedName name="COSTCOMP10" localSheetId="0">#REF!</definedName>
    <definedName name="COSTCOMP10">#REF!</definedName>
    <definedName name="COSTCOMP11" localSheetId="4">#REF!</definedName>
    <definedName name="COSTCOMP11" localSheetId="5">#REF!</definedName>
    <definedName name="COSTCOMP11" localSheetId="0">#REF!</definedName>
    <definedName name="COSTCOMP11">#REF!</definedName>
    <definedName name="COSTES20121TP" localSheetId="4">#REF!</definedName>
    <definedName name="COSTES20121TP" localSheetId="5">#REF!</definedName>
    <definedName name="COSTES20121TP" localSheetId="0">#REF!</definedName>
    <definedName name="COSTES20121TP">#REF!</definedName>
    <definedName name="COSTES20121TR" localSheetId="4">#REF!</definedName>
    <definedName name="COSTES20121TR" localSheetId="0">#REF!</definedName>
    <definedName name="COSTES20121TR">#REF!</definedName>
    <definedName name="COSTES2012V0" localSheetId="4">#REF!</definedName>
    <definedName name="COSTES2012V0" localSheetId="0">#REF!</definedName>
    <definedName name="COSTES2012V0">#REF!</definedName>
    <definedName name="COSTES2012V1" localSheetId="4">#REF!</definedName>
    <definedName name="COSTES2012V1" localSheetId="0">#REF!</definedName>
    <definedName name="COSTES2012V1">#REF!</definedName>
    <definedName name="COSTES2012V1NC" localSheetId="4">#REF!</definedName>
    <definedName name="COSTES2012V1NC" localSheetId="0">#REF!</definedName>
    <definedName name="COSTES2012V1NC">#REF!</definedName>
    <definedName name="COSTES2012V1OC" localSheetId="4">#REF!</definedName>
    <definedName name="COSTES2012V1OC" localSheetId="0">#REF!</definedName>
    <definedName name="COSTES2012V1OC">#REF!</definedName>
    <definedName name="costEstimateDate" localSheetId="5">YEAR(#REF!)</definedName>
    <definedName name="costEstimateDate" localSheetId="0">YEAR(#REF!)</definedName>
    <definedName name="costEstimateDate">YEAR(#REF!)</definedName>
    <definedName name="costEstimateYear" localSheetId="5">YEAR(#REF!)</definedName>
    <definedName name="costEstimateYear" localSheetId="0">YEAR(#REF!)</definedName>
    <definedName name="costEstimateYear">YEAR(#REF!)</definedName>
    <definedName name="COSTO">#N/A</definedName>
    <definedName name="COSTOD" localSheetId="4">#REF!</definedName>
    <definedName name="COSTOD" localSheetId="5">#REF!</definedName>
    <definedName name="COSTOD" localSheetId="0">#REF!</definedName>
    <definedName name="COSTOD">#REF!</definedName>
    <definedName name="Costos" localSheetId="4">#REF!</definedName>
    <definedName name="Costos" localSheetId="5">#REF!</definedName>
    <definedName name="Costos" localSheetId="0">#REF!</definedName>
    <definedName name="Costos">#REF!</definedName>
    <definedName name="COSTS_A" localSheetId="0">#REF!</definedName>
    <definedName name="COSTS_A">#REF!</definedName>
    <definedName name="COUNT_RANGE">#N/A</definedName>
    <definedName name="COUNTER" localSheetId="4">#REF!</definedName>
    <definedName name="COUNTER" localSheetId="5">#REF!</definedName>
    <definedName name="COUNTER" localSheetId="0">#REF!</definedName>
    <definedName name="COUNTER">#REF!</definedName>
    <definedName name="COWC" localSheetId="0">#REF!</definedName>
    <definedName name="COWC">#REF!</definedName>
    <definedName name="CPLG" localSheetId="4">#REF!</definedName>
    <definedName name="CPLG" localSheetId="5">#REF!</definedName>
    <definedName name="CPLG" localSheetId="0">#REF!</definedName>
    <definedName name="CPLG">#REF!</definedName>
    <definedName name="CréditosDiferidos" localSheetId="4">#REF!</definedName>
    <definedName name="CréditosDiferidos" localSheetId="5">#REF!</definedName>
    <definedName name="CréditosDiferidos" localSheetId="0">#REF!</definedName>
    <definedName name="CréditosDiferidos">#REF!</definedName>
    <definedName name="CRIT_VALVE" localSheetId="4">#REF!</definedName>
    <definedName name="CRIT_VALVE" localSheetId="5">#REF!</definedName>
    <definedName name="CRIT_VALVE" localSheetId="0">#REF!</definedName>
    <definedName name="CRIT_VALVE">#REF!</definedName>
    <definedName name="Criteria_MI" localSheetId="4">#REF!</definedName>
    <definedName name="Criteria_MI" localSheetId="0">#REF!</definedName>
    <definedName name="Criteria_MI">#REF!</definedName>
    <definedName name="_xlnm.Criteria" localSheetId="4">#REF!</definedName>
    <definedName name="_xlnm.Criteria" localSheetId="0">#REF!</definedName>
    <definedName name="_xlnm.Criteria">#REF!</definedName>
    <definedName name="CSC20121TP" localSheetId="4">#REF!</definedName>
    <definedName name="CSC20121TP" localSheetId="0">#REF!</definedName>
    <definedName name="CSC20121TP">#REF!</definedName>
    <definedName name="CSC20121TR" localSheetId="4">#REF!</definedName>
    <definedName name="CSC20121TR" localSheetId="0">#REF!</definedName>
    <definedName name="CSC20121TR">#REF!</definedName>
    <definedName name="CSC2012V0" localSheetId="4">#REF!</definedName>
    <definedName name="CSC2012V0" localSheetId="0">#REF!</definedName>
    <definedName name="CSC2012V0">#REF!</definedName>
    <definedName name="CSC2012V1" localSheetId="4">#REF!</definedName>
    <definedName name="CSC2012V1" localSheetId="0">#REF!</definedName>
    <definedName name="CSC2012V1">#REF!</definedName>
    <definedName name="CSC2012V1NC" localSheetId="4">#REF!</definedName>
    <definedName name="CSC2012V1NC" localSheetId="0">#REF!</definedName>
    <definedName name="CSC2012V1NC">#REF!</definedName>
    <definedName name="CSC2012V1OC" localSheetId="4">#REF!</definedName>
    <definedName name="CSC2012V1OC" localSheetId="0">#REF!</definedName>
    <definedName name="CSC2012V1OC">#REF!</definedName>
    <definedName name="CSC300911V0" localSheetId="4">#REF!</definedName>
    <definedName name="CSC300911V0" localSheetId="5">#REF!</definedName>
    <definedName name="CSC300911V0" localSheetId="0">#REF!</definedName>
    <definedName name="CSC300911V0">#REF!</definedName>
    <definedName name="CSCEC2011" localSheetId="4">#REF!</definedName>
    <definedName name="CSCEC2011" localSheetId="5">#REF!</definedName>
    <definedName name="CSCEC2011" localSheetId="0">#REF!</definedName>
    <definedName name="CSCEC2011">#REF!</definedName>
    <definedName name="CSCom" localSheetId="4">#REF!</definedName>
    <definedName name="CSCom" localSheetId="5">#REF!</definedName>
    <definedName name="CSCom" localSheetId="0">#REF!</definedName>
    <definedName name="CSCom">#REF!</definedName>
    <definedName name="CSCV02011" localSheetId="4">#REF!</definedName>
    <definedName name="CSCV02011" localSheetId="5">#REF!</definedName>
    <definedName name="CSCV02011" localSheetId="0">#REF!</definedName>
    <definedName name="CSCV02011">#REF!</definedName>
    <definedName name="CSCV12011" localSheetId="4">#REF!</definedName>
    <definedName name="CSCV12011" localSheetId="0">#REF!</definedName>
    <definedName name="CSCV12011">#REF!</definedName>
    <definedName name="CU_ADJ" localSheetId="4">#REF!</definedName>
    <definedName name="CU_ADJ" localSheetId="5">#REF!</definedName>
    <definedName name="CU_ADJ" localSheetId="0">#REF!</definedName>
    <definedName name="CU_ADJ">#REF!</definedName>
    <definedName name="CU_ADJ_MV" localSheetId="4">#REF!</definedName>
    <definedName name="CU_ADJ_MV" localSheetId="5">#REF!</definedName>
    <definedName name="CU_ADJ_MV" localSheetId="0">#REF!</definedName>
    <definedName name="CU_ADJ_MV">#REF!</definedName>
    <definedName name="Cu_Produced" localSheetId="5">#REF!</definedName>
    <definedName name="Cu_Produced" localSheetId="0">#REF!</definedName>
    <definedName name="Cu_Produced">#REF!</definedName>
    <definedName name="cuadristas">1</definedName>
    <definedName name="cub" localSheetId="4" hidden="1">{#N/A,#N/A,FALSE,"RESUMEN";#N/A,#N/A,FALSE,"GG-GI";#N/A,#N/A,FALSE,"AMB";#N/A,#N/A,FALSE,"EyR";#N/A,#N/A,FALSE,"UCP";#N/A,#N/A,FALSE,"IND";#N/A,#N/A,FALSE,"LR";#N/A,#N/A,FALSE,"PRV";#N/A,#N/A,FALSE,"TÚNELES";#N/A,#N/A,FALSE,"IDT";#N/A,#N/A,FALSE,"ING"}</definedName>
    <definedName name="cub" localSheetId="5" hidden="1">{#N/A,#N/A,FALSE,"RESUMEN";#N/A,#N/A,FALSE,"GG-GI";#N/A,#N/A,FALSE,"AMB";#N/A,#N/A,FALSE,"EyR";#N/A,#N/A,FALSE,"UCP";#N/A,#N/A,FALSE,"IND";#N/A,#N/A,FALSE,"LR";#N/A,#N/A,FALSE,"PRV";#N/A,#N/A,FALSE,"TÚNELES";#N/A,#N/A,FALSE,"IDT";#N/A,#N/A,FALSE,"ING"}</definedName>
    <definedName name="cub" localSheetId="0" hidden="1">{#N/A,#N/A,FALSE,"RESUMEN";#N/A,#N/A,FALSE,"GG-GI";#N/A,#N/A,FALSE,"AMB";#N/A,#N/A,FALSE,"EyR";#N/A,#N/A,FALSE,"UCP";#N/A,#N/A,FALSE,"IND";#N/A,#N/A,FALSE,"LR";#N/A,#N/A,FALSE,"PRV";#N/A,#N/A,FALSE,"TÚNELES";#N/A,#N/A,FALSE,"IDT";#N/A,#N/A,FALSE,"ING"}</definedName>
    <definedName name="cub" hidden="1">{#N/A,#N/A,FALSE,"RESUMEN";#N/A,#N/A,FALSE,"GG-GI";#N/A,#N/A,FALSE,"AMB";#N/A,#N/A,FALSE,"EyR";#N/A,#N/A,FALSE,"UCP";#N/A,#N/A,FALSE,"IND";#N/A,#N/A,FALSE,"LR";#N/A,#N/A,FALSE,"PRV";#N/A,#N/A,FALSE,"TÚNELES";#N/A,#N/A,FALSE,"IDT";#N/A,#N/A,FALSE,"ING"}</definedName>
    <definedName name="cuentas" localSheetId="4">#REF!</definedName>
    <definedName name="cuentas" localSheetId="5">#REF!</definedName>
    <definedName name="cuentas" localSheetId="0">#REF!</definedName>
    <definedName name="cuentas">#REF!</definedName>
    <definedName name="Cum_Capex" localSheetId="0">#REF!</definedName>
    <definedName name="Cum_Capex">#REF!</definedName>
    <definedName name="cur">"L.E."</definedName>
    <definedName name="Curacreto" localSheetId="4">#REF!</definedName>
    <definedName name="Curacreto" localSheetId="5">#REF!</definedName>
    <definedName name="Curacreto" localSheetId="0">#REF!</definedName>
    <definedName name="Curacreto">#REF!</definedName>
    <definedName name="CURACRETO2" localSheetId="4">#REF!</definedName>
    <definedName name="CURACRETO2" localSheetId="5">#REF!</definedName>
    <definedName name="CURACRETO2" localSheetId="0">#REF!</definedName>
    <definedName name="CURACRETO2">#REF!</definedName>
    <definedName name="CURDISPLAY" localSheetId="0">#REF!</definedName>
    <definedName name="CURDISPLAY">#REF!</definedName>
    <definedName name="CURMULTIPLIER" localSheetId="0">#REF!</definedName>
    <definedName name="CURMULTIPLIER">#REF!</definedName>
    <definedName name="CURR45" localSheetId="0">#REF!</definedName>
    <definedName name="CURR45">#REF!</definedName>
    <definedName name="Currency" localSheetId="4">#REF!</definedName>
    <definedName name="Currency" localSheetId="5">#REF!</definedName>
    <definedName name="Currency" localSheetId="0">#REF!</definedName>
    <definedName name="Currency">#REF!</definedName>
    <definedName name="Current_year_ACT_totjob_01" localSheetId="0">#REF!</definedName>
    <definedName name="Current_year_ACT_totjob_01">#REF!</definedName>
    <definedName name="Current_year_ACT_totjob_02" localSheetId="0">#REF!</definedName>
    <definedName name="Current_year_ACT_totjob_02">#REF!</definedName>
    <definedName name="Current_year_ACT_totjob_03" localSheetId="0">#REF!</definedName>
    <definedName name="Current_year_ACT_totjob_03">#REF!</definedName>
    <definedName name="Current_year_ACT_totjob_04" localSheetId="0">#REF!</definedName>
    <definedName name="Current_year_ACT_totjob_04">#REF!</definedName>
    <definedName name="Current_year_ACT_totjob_05" localSheetId="0">#REF!</definedName>
    <definedName name="Current_year_ACT_totjob_05">#REF!</definedName>
    <definedName name="Current_year_ACT_totjob_06" localSheetId="0">#REF!</definedName>
    <definedName name="Current_year_ACT_totjob_06">#REF!</definedName>
    <definedName name="Current_year_ACT_totjob_07" localSheetId="0">#REF!</definedName>
    <definedName name="Current_year_ACT_totjob_07">#REF!</definedName>
    <definedName name="Current_year_ACT_totjob_08" localSheetId="0">#REF!</definedName>
    <definedName name="Current_year_ACT_totjob_08">#REF!</definedName>
    <definedName name="Current_year_ACT_totjob_09" localSheetId="0">#REF!</definedName>
    <definedName name="Current_year_ACT_totjob_09">#REF!</definedName>
    <definedName name="Current_year_ACT_totjob_10" localSheetId="4">#REF!</definedName>
    <definedName name="Current_year_ACT_totjob_10" localSheetId="5">#REF!</definedName>
    <definedName name="Current_year_ACT_totjob_10" localSheetId="0">#REF!</definedName>
    <definedName name="Current_year_ACT_totjob_10">#REF!</definedName>
    <definedName name="Current_year_ACT_totjob_11" localSheetId="4">#REF!</definedName>
    <definedName name="Current_year_ACT_totjob_11" localSheetId="5">#REF!</definedName>
    <definedName name="Current_year_ACT_totjob_11" localSheetId="0">#REF!</definedName>
    <definedName name="Current_year_ACT_totjob_11">#REF!</definedName>
    <definedName name="Current_year_ACT_totjob_12" localSheetId="4">#REF!</definedName>
    <definedName name="Current_year_ACT_totjob_12" localSheetId="5">#REF!</definedName>
    <definedName name="Current_year_ACT_totjob_12" localSheetId="0">#REF!</definedName>
    <definedName name="Current_year_ACT_totjob_12">#REF!</definedName>
    <definedName name="Current_year_Baseline_MTD_01" localSheetId="0">#REF!</definedName>
    <definedName name="Current_year_Baseline_MTD_01">#REF!</definedName>
    <definedName name="Current_year_Baseline_MTD_02" localSheetId="0">#REF!</definedName>
    <definedName name="Current_year_Baseline_MTD_02">#REF!</definedName>
    <definedName name="Current_year_Baseline_MTD_03" localSheetId="0">#REF!</definedName>
    <definedName name="Current_year_Baseline_MTD_03">#REF!</definedName>
    <definedName name="Current_year_Baseline_MTD_04" localSheetId="0">#REF!</definedName>
    <definedName name="Current_year_Baseline_MTD_04">#REF!</definedName>
    <definedName name="Current_year_Baseline_MTD_05" localSheetId="0">#REF!</definedName>
    <definedName name="Current_year_Baseline_MTD_05">#REF!</definedName>
    <definedName name="Current_year_Baseline_MTD_06" localSheetId="0">#REF!</definedName>
    <definedName name="Current_year_Baseline_MTD_06">#REF!</definedName>
    <definedName name="Current_year_Baseline_MTD_07" localSheetId="0">#REF!</definedName>
    <definedName name="Current_year_Baseline_MTD_07">#REF!</definedName>
    <definedName name="Current_year_Baseline_MTD_08" localSheetId="0">#REF!</definedName>
    <definedName name="Current_year_Baseline_MTD_08">#REF!</definedName>
    <definedName name="Current_year_Baseline_MTD_09" localSheetId="0">#REF!</definedName>
    <definedName name="Current_year_Baseline_MTD_09">#REF!</definedName>
    <definedName name="Current_year_Baseline_MTD_10" localSheetId="0">#REF!</definedName>
    <definedName name="Current_year_Baseline_MTD_10">#REF!</definedName>
    <definedName name="Current_year_Baseline_MTD_11" localSheetId="0">#REF!</definedName>
    <definedName name="Current_year_Baseline_MTD_11">#REF!</definedName>
    <definedName name="Current_year_Baseline_MTD_12" localSheetId="0">#REF!</definedName>
    <definedName name="Current_year_Baseline_MTD_12">#REF!</definedName>
    <definedName name="Current_year_Baseline_totjob_01" localSheetId="0">#REF!</definedName>
    <definedName name="Current_year_Baseline_totjob_01">#REF!</definedName>
    <definedName name="Current_year_Baseline_totjob_02" localSheetId="0">#REF!</definedName>
    <definedName name="Current_year_Baseline_totjob_02">#REF!</definedName>
    <definedName name="Current_year_Baseline_totjob_03" localSheetId="0">#REF!</definedName>
    <definedName name="Current_year_Baseline_totjob_03">#REF!</definedName>
    <definedName name="Current_year_Baseline_totjob_04" localSheetId="0">#REF!</definedName>
    <definedName name="Current_year_Baseline_totjob_04">#REF!</definedName>
    <definedName name="Current_year_Baseline_totjob_05" localSheetId="0">#REF!</definedName>
    <definedName name="Current_year_Baseline_totjob_05">#REF!</definedName>
    <definedName name="Current_year_Baseline_totjob_06" localSheetId="0">#REF!</definedName>
    <definedName name="Current_year_Baseline_totjob_06">#REF!</definedName>
    <definedName name="Current_year_Baseline_totjob_07" localSheetId="0">#REF!</definedName>
    <definedName name="Current_year_Baseline_totjob_07">#REF!</definedName>
    <definedName name="Current_year_Baseline_totjob_08" localSheetId="0">#REF!</definedName>
    <definedName name="Current_year_Baseline_totjob_08">#REF!</definedName>
    <definedName name="Current_year_Baseline_totjob_09" localSheetId="0">#REF!</definedName>
    <definedName name="Current_year_Baseline_totjob_09">#REF!</definedName>
    <definedName name="Current_year_Baseline_totjob_10" localSheetId="0">#REF!</definedName>
    <definedName name="Current_year_Baseline_totjob_10">#REF!</definedName>
    <definedName name="Current_year_Baseline_totjob_11" localSheetId="0">#REF!</definedName>
    <definedName name="Current_year_Baseline_totjob_11">#REF!</definedName>
    <definedName name="Current_year_Baseline_totjob_12" localSheetId="4">#REF!</definedName>
    <definedName name="Current_year_Baseline_totjob_12" localSheetId="5">#REF!</definedName>
    <definedName name="Current_year_Baseline_totjob_12" localSheetId="0">#REF!</definedName>
    <definedName name="Current_year_Baseline_totjob_12">#REF!</definedName>
    <definedName name="Current_year_FCT_MTD_01" localSheetId="4">#REF!</definedName>
    <definedName name="Current_year_FCT_MTD_01" localSheetId="5">#REF!</definedName>
    <definedName name="Current_year_FCT_MTD_01" localSheetId="0">#REF!</definedName>
    <definedName name="Current_year_FCT_MTD_01">#REF!</definedName>
    <definedName name="Current_year_FCT_MTD_02" localSheetId="4">#REF!</definedName>
    <definedName name="Current_year_FCT_MTD_02" localSheetId="5">#REF!</definedName>
    <definedName name="Current_year_FCT_MTD_02" localSheetId="0">#REF!</definedName>
    <definedName name="Current_year_FCT_MTD_02">#REF!</definedName>
    <definedName name="Current_year_FCT_MTD_03" localSheetId="4">#REF!</definedName>
    <definedName name="Current_year_FCT_MTD_03" localSheetId="0">#REF!</definedName>
    <definedName name="Current_year_FCT_MTD_03">#REF!</definedName>
    <definedName name="Current_year_FCT_MTD_04" localSheetId="4">#REF!</definedName>
    <definedName name="Current_year_FCT_MTD_04" localSheetId="0">#REF!</definedName>
    <definedName name="Current_year_FCT_MTD_04">#REF!</definedName>
    <definedName name="Current_year_FCT_MTD_05" localSheetId="4">#REF!</definedName>
    <definedName name="Current_year_FCT_MTD_05" localSheetId="0">#REF!</definedName>
    <definedName name="Current_year_FCT_MTD_05">#REF!</definedName>
    <definedName name="Current_year_FCT_MTD_06" localSheetId="4">#REF!</definedName>
    <definedName name="Current_year_FCT_MTD_06" localSheetId="0">#REF!</definedName>
    <definedName name="Current_year_FCT_MTD_06">#REF!</definedName>
    <definedName name="Current_year_FCT_MTD_07" localSheetId="4">#REF!</definedName>
    <definedName name="Current_year_FCT_MTD_07" localSheetId="0">#REF!</definedName>
    <definedName name="Current_year_FCT_MTD_07">#REF!</definedName>
    <definedName name="Current_year_FCT_MTD_08" localSheetId="4">#REF!</definedName>
    <definedName name="Current_year_FCT_MTD_08" localSheetId="0">#REF!</definedName>
    <definedName name="Current_year_FCT_MTD_08">#REF!</definedName>
    <definedName name="Current_year_FCT_MTD_09" localSheetId="4">#REF!</definedName>
    <definedName name="Current_year_FCT_MTD_09" localSheetId="0">#REF!</definedName>
    <definedName name="Current_year_FCT_MTD_09">#REF!</definedName>
    <definedName name="Current_year_FCT_MTD_10" localSheetId="0">#REF!</definedName>
    <definedName name="Current_year_FCT_MTD_10">#REF!</definedName>
    <definedName name="Current_year_FCT_MTD_11" localSheetId="0">#REF!</definedName>
    <definedName name="Current_year_FCT_MTD_11">#REF!</definedName>
    <definedName name="Current_year_FCT_MTD_12" localSheetId="0">#REF!</definedName>
    <definedName name="Current_year_FCT_MTD_12">#REF!</definedName>
    <definedName name="Current_year_FCT_totjob_01" localSheetId="4">#REF!</definedName>
    <definedName name="Current_year_FCT_totjob_01" localSheetId="5">#REF!</definedName>
    <definedName name="Current_year_FCT_totjob_01" localSheetId="0">#REF!</definedName>
    <definedName name="Current_year_FCT_totjob_01">#REF!</definedName>
    <definedName name="Current_year_FCT_totjob_02" localSheetId="4">#REF!</definedName>
    <definedName name="Current_year_FCT_totjob_02" localSheetId="5">#REF!</definedName>
    <definedName name="Current_year_FCT_totjob_02" localSheetId="0">#REF!</definedName>
    <definedName name="Current_year_FCT_totjob_02">#REF!</definedName>
    <definedName name="Current_year_FCT_totjob_03" localSheetId="4">#REF!</definedName>
    <definedName name="Current_year_FCT_totjob_03" localSheetId="5">#REF!</definedName>
    <definedName name="Current_year_FCT_totjob_03" localSheetId="0">#REF!</definedName>
    <definedName name="Current_year_FCT_totjob_03">#REF!</definedName>
    <definedName name="Current_year_FCT_totjob_04" localSheetId="4">#REF!</definedName>
    <definedName name="Current_year_FCT_totjob_04" localSheetId="0">#REF!</definedName>
    <definedName name="Current_year_FCT_totjob_04">#REF!</definedName>
    <definedName name="Current_year_FCT_totjob_05" localSheetId="4">#REF!</definedName>
    <definedName name="Current_year_FCT_totjob_05" localSheetId="0">#REF!</definedName>
    <definedName name="Current_year_FCT_totjob_05">#REF!</definedName>
    <definedName name="Current_year_FCT_totjob_06" localSheetId="4">#REF!</definedName>
    <definedName name="Current_year_FCT_totjob_06" localSheetId="0">#REF!</definedName>
    <definedName name="Current_year_FCT_totjob_06">#REF!</definedName>
    <definedName name="Current_year_FCT_totjob_07" localSheetId="4">#REF!</definedName>
    <definedName name="Current_year_FCT_totjob_07" localSheetId="0">#REF!</definedName>
    <definedName name="Current_year_FCT_totjob_07">#REF!</definedName>
    <definedName name="Current_year_FCT_totjob_08" localSheetId="4">#REF!</definedName>
    <definedName name="Current_year_FCT_totjob_08" localSheetId="0">#REF!</definedName>
    <definedName name="Current_year_FCT_totjob_08">#REF!</definedName>
    <definedName name="Current_year_FCT_totjob_09" localSheetId="0">#REF!</definedName>
    <definedName name="Current_year_FCT_totjob_09">#REF!</definedName>
    <definedName name="Current_year_FCT_totjob_10" localSheetId="0">#REF!</definedName>
    <definedName name="Current_year_FCT_totjob_10">#REF!</definedName>
    <definedName name="Current_year_FCT_totjob_11" localSheetId="0">#REF!</definedName>
    <definedName name="Current_year_FCT_totjob_11">#REF!</definedName>
    <definedName name="Current_year_FCT_totjob_12" localSheetId="4">#REF!</definedName>
    <definedName name="Current_year_FCT_totjob_12" localSheetId="5">#REF!</definedName>
    <definedName name="Current_year_FCT_totjob_12" localSheetId="0">#REF!</definedName>
    <definedName name="Current_year_FCT_totjob_12">#REF!</definedName>
    <definedName name="Current_year_MTD_01" localSheetId="0">#REF!</definedName>
    <definedName name="Current_year_MTD_01">#REF!</definedName>
    <definedName name="Current_year_MTD_02" localSheetId="0">#REF!</definedName>
    <definedName name="Current_year_MTD_02">#REF!</definedName>
    <definedName name="Current_year_MTD_03" localSheetId="0">#REF!</definedName>
    <definedName name="Current_year_MTD_03">#REF!</definedName>
    <definedName name="Current_year_MTD_04" localSheetId="0">#REF!</definedName>
    <definedName name="Current_year_MTD_04">#REF!</definedName>
    <definedName name="Current_year_MTD_05" localSheetId="0">#REF!</definedName>
    <definedName name="Current_year_MTD_05">#REF!</definedName>
    <definedName name="Current_year_MTD_06" localSheetId="0">#REF!</definedName>
    <definedName name="Current_year_MTD_06">#REF!</definedName>
    <definedName name="Current_year_MTD_07" localSheetId="0">#REF!</definedName>
    <definedName name="Current_year_MTD_07">#REF!</definedName>
    <definedName name="Current_year_MTD_08" localSheetId="0">#REF!</definedName>
    <definedName name="Current_year_MTD_08">#REF!</definedName>
    <definedName name="Current_year_MTD_09" localSheetId="0">#REF!</definedName>
    <definedName name="Current_year_MTD_09">#REF!</definedName>
    <definedName name="Current_year_MTD_10" localSheetId="4">#REF!</definedName>
    <definedName name="Current_year_MTD_10" localSheetId="5">#REF!</definedName>
    <definedName name="Current_year_MTD_10" localSheetId="0">#REF!</definedName>
    <definedName name="Current_year_MTD_10">#REF!</definedName>
    <definedName name="Current_year_MTD_11" localSheetId="4">#REF!</definedName>
    <definedName name="Current_year_MTD_11" localSheetId="5">#REF!</definedName>
    <definedName name="Current_year_MTD_11" localSheetId="0">#REF!</definedName>
    <definedName name="Current_year_MTD_11">#REF!</definedName>
    <definedName name="Current_year_MTD_12" localSheetId="4">#REF!</definedName>
    <definedName name="Current_year_MTD_12" localSheetId="5">#REF!</definedName>
    <definedName name="Current_year_MTD_12" localSheetId="0">#REF!</definedName>
    <definedName name="Current_year_MTD_12">#REF!</definedName>
    <definedName name="CVL_FAC" localSheetId="4">#REF!</definedName>
    <definedName name="CVL_FAC" localSheetId="0">#REF!</definedName>
    <definedName name="CVL_FAC">#REF!</definedName>
    <definedName name="CY_1999" localSheetId="4">#REF!</definedName>
    <definedName name="CY_1999" localSheetId="5">#REF!</definedName>
    <definedName name="CY_1999" localSheetId="0">#REF!</definedName>
    <definedName name="CY_1999">#REF!</definedName>
    <definedName name="CY_2000" localSheetId="4">#REF!</definedName>
    <definedName name="CY_2000" localSheetId="5">#REF!</definedName>
    <definedName name="CY_2000" localSheetId="0">#REF!</definedName>
    <definedName name="CY_2000">#REF!</definedName>
    <definedName name="CY_2001" localSheetId="4">#REF!</definedName>
    <definedName name="CY_2001" localSheetId="5">#REF!</definedName>
    <definedName name="CY_2001" localSheetId="0">#REF!</definedName>
    <definedName name="CY_2001">#REF!</definedName>
    <definedName name="CY_2002" localSheetId="4">#REF!</definedName>
    <definedName name="CY_2002" localSheetId="5">#REF!</definedName>
    <definedName name="CY_2002" localSheetId="0">#REF!</definedName>
    <definedName name="CY_2002">#REF!</definedName>
    <definedName name="CYM" localSheetId="4">#REF!</definedName>
    <definedName name="CYM" localSheetId="5">#REF!</definedName>
    <definedName name="CYM" localSheetId="0">#REF!</definedName>
    <definedName name="CYM">#REF!</definedName>
    <definedName name="czas" localSheetId="0">#REF!</definedName>
    <definedName name="czas">#REF!</definedName>
    <definedName name="Czas10" localSheetId="4">#REF!</definedName>
    <definedName name="Czas10" localSheetId="5">#REF!</definedName>
    <definedName name="Czas10" localSheetId="0">#REF!</definedName>
    <definedName name="Czas10">#REF!</definedName>
    <definedName name="Czas8" localSheetId="4">#REF!</definedName>
    <definedName name="Czas8" localSheetId="5">#REF!</definedName>
    <definedName name="Czas8" localSheetId="0">#REF!</definedName>
    <definedName name="Czas8">#REF!</definedName>
    <definedName name="Czas9" localSheetId="4">#REF!</definedName>
    <definedName name="Czas9" localSheetId="5">#REF!</definedName>
    <definedName name="Czas9" localSheetId="0">#REF!</definedName>
    <definedName name="Czas9">#REF!</definedName>
    <definedName name="CZYNSZBD">25*4*4.4</definedName>
    <definedName name="CZYNSZMS">22*3*4.4</definedName>
    <definedName name="CZYNSZNS">2300*12/10</definedName>
    <definedName name="CZYNSZWR">16*11*4.4</definedName>
    <definedName name="d" localSheetId="4" hidden="1">{"'JUNIO'!$B$9:$M$54"}</definedName>
    <definedName name="d" localSheetId="0">#REF!</definedName>
    <definedName name="d">#REF!</definedName>
    <definedName name="D.01.03.04" localSheetId="4">#REF!</definedName>
    <definedName name="D.01.03.04" localSheetId="5">#REF!</definedName>
    <definedName name="D.01.03.04" localSheetId="0">#REF!</definedName>
    <definedName name="D.01.03.04">#REF!</definedName>
    <definedName name="d___0" localSheetId="4">#REF!</definedName>
    <definedName name="d___0" localSheetId="5">#REF!</definedName>
    <definedName name="d___0" localSheetId="0">#REF!</definedName>
    <definedName name="d___0">#REF!</definedName>
    <definedName name="D1A">#N/A</definedName>
    <definedName name="D2A">#N/A</definedName>
    <definedName name="D3A">#N/A</definedName>
    <definedName name="D4A">#N/A</definedName>
    <definedName name="da" localSheetId="4" hidden="1">{#N/A,#N/A,FALSE,"Çaykara ataköy (1)";#N/A,#N/A,FALSE,"Çaykara ataköy (2)";#N/A,#N/A,FALSE,"Rize Kalkandere ";#N/A,#N/A,FALSE,"meydancık";#N/A,#N/A,FALSE,"muratlı"}</definedName>
    <definedName name="da" localSheetId="6" hidden="1">{#N/A,#N/A,FALSE,"Çaykara ataköy (1)";#N/A,#N/A,FALSE,"Çaykara ataköy (2)";#N/A,#N/A,FALSE,"Rize Kalkandere ";#N/A,#N/A,FALSE,"meydancık";#N/A,#N/A,FALSE,"muratlı"}</definedName>
    <definedName name="da" localSheetId="5" hidden="1">{#N/A,#N/A,FALSE,"Çaykara ataköy (1)";#N/A,#N/A,FALSE,"Çaykara ataköy (2)";#N/A,#N/A,FALSE,"Rize Kalkandere ";#N/A,#N/A,FALSE,"meydancık";#N/A,#N/A,FALSE,"muratlı"}</definedName>
    <definedName name="da" localSheetId="0" hidden="1">{#N/A,#N/A,FALSE,"Çaykara ataköy (1)";#N/A,#N/A,FALSE,"Çaykara ataköy (2)";#N/A,#N/A,FALSE,"Rize Kalkandere ";#N/A,#N/A,FALSE,"meydancık";#N/A,#N/A,FALSE,"muratlı"}</definedName>
    <definedName name="da" hidden="1">{#N/A,#N/A,FALSE,"Çaykara ataköy (1)";#N/A,#N/A,FALSE,"Çaykara ataköy (2)";#N/A,#N/A,FALSE,"Rize Kalkandere ";#N/A,#N/A,FALSE,"meydancık";#N/A,#N/A,FALSE,"muratlı"}</definedName>
    <definedName name="dagcan" localSheetId="4">#REF!</definedName>
    <definedName name="dagcan" localSheetId="5">#REF!</definedName>
    <definedName name="dagcan" localSheetId="0">#REF!</definedName>
    <definedName name="dagcan">#REF!</definedName>
    <definedName name="dal" localSheetId="4" hidden="1">#REF!</definedName>
    <definedName name="dal" localSheetId="5" hidden="1">#REF!</definedName>
    <definedName name="dal" localSheetId="0" hidden="1">#REF!</definedName>
    <definedName name="dal" hidden="1">#REF!</definedName>
    <definedName name="dane" localSheetId="4">#REF!</definedName>
    <definedName name="dane" localSheetId="5">#REF!</definedName>
    <definedName name="dane" localSheetId="0">#REF!</definedName>
    <definedName name="dane">#REF!</definedName>
    <definedName name="dane." localSheetId="4">#REF!</definedName>
    <definedName name="dane." localSheetId="0">#REF!</definedName>
    <definedName name="dane.">#REF!</definedName>
    <definedName name="DANE_CASHFLOW" localSheetId="0">#REF!</definedName>
    <definedName name="DANE_CASHFLOW">#REF!</definedName>
    <definedName name="DANE_LABOUR" localSheetId="0">#REF!</definedName>
    <definedName name="DANE_LABOUR">#REF!</definedName>
    <definedName name="dane1" localSheetId="4">#REF!</definedName>
    <definedName name="dane1" localSheetId="5">#REF!</definedName>
    <definedName name="dane1" localSheetId="0">#REF!</definedName>
    <definedName name="dane1">#REF!</definedName>
    <definedName name="dasz" localSheetId="0">#REF!</definedName>
    <definedName name="dasz">#REF!</definedName>
    <definedName name="Dat" localSheetId="4">#REF!</definedName>
    <definedName name="Dat" localSheetId="5">#REF!</definedName>
    <definedName name="Dat" localSheetId="0">#REF!</definedName>
    <definedName name="Dat">#REF!</definedName>
    <definedName name="Data" localSheetId="4">#REF!</definedName>
    <definedName name="Data" localSheetId="5">#REF!</definedName>
    <definedName name="Data" localSheetId="0">#REF!</definedName>
    <definedName name="Data">#REF!</definedName>
    <definedName name="DATA___0" localSheetId="4">#REF!</definedName>
    <definedName name="DATA___0" localSheetId="5">#REF!</definedName>
    <definedName name="DATA___0" localSheetId="0">#REF!</definedName>
    <definedName name="DATA___0">#REF!</definedName>
    <definedName name="DATA_1" localSheetId="4">#REF!</definedName>
    <definedName name="DATA_1" localSheetId="0">#REF!</definedName>
    <definedName name="DATA_1">#REF!</definedName>
    <definedName name="DATA_10" localSheetId="4">#REF!</definedName>
    <definedName name="DATA_10" localSheetId="0">#REF!</definedName>
    <definedName name="DATA_10">#REF!</definedName>
    <definedName name="DATA_11" localSheetId="4">#REF!</definedName>
    <definedName name="DATA_11" localSheetId="0">#REF!</definedName>
    <definedName name="DATA_11">#REF!</definedName>
    <definedName name="DATA_12" localSheetId="4">#REF!</definedName>
    <definedName name="DATA_12" localSheetId="0">#REF!</definedName>
    <definedName name="DATA_12">#REF!</definedName>
    <definedName name="DATA_13" localSheetId="4">#REF!</definedName>
    <definedName name="DATA_13" localSheetId="0">#REF!</definedName>
    <definedName name="DATA_13">#REF!</definedName>
    <definedName name="DATA_14" localSheetId="4">#REF!</definedName>
    <definedName name="DATA_14" localSheetId="0">#REF!</definedName>
    <definedName name="DATA_14">#REF!</definedName>
    <definedName name="DATA_15" localSheetId="4">#REF!</definedName>
    <definedName name="DATA_15" localSheetId="0">#REF!</definedName>
    <definedName name="DATA_15">#REF!</definedName>
    <definedName name="DATA_16" localSheetId="4">#REF!</definedName>
    <definedName name="DATA_16" localSheetId="0">#REF!</definedName>
    <definedName name="DATA_16">#REF!</definedName>
    <definedName name="DATA_17" localSheetId="4">#REF!</definedName>
    <definedName name="DATA_17" localSheetId="0">#REF!</definedName>
    <definedName name="DATA_17">#REF!</definedName>
    <definedName name="DATA_18" localSheetId="4">#REF!</definedName>
    <definedName name="DATA_18" localSheetId="0">#REF!</definedName>
    <definedName name="DATA_18">#REF!</definedName>
    <definedName name="DATA_19" localSheetId="4">#REF!</definedName>
    <definedName name="DATA_19" localSheetId="0">#REF!</definedName>
    <definedName name="DATA_19">#REF!</definedName>
    <definedName name="DATA_2" localSheetId="4">#REF!</definedName>
    <definedName name="DATA_2" localSheetId="0">#REF!</definedName>
    <definedName name="DATA_2">#REF!</definedName>
    <definedName name="DATA_20" localSheetId="4">#REF!</definedName>
    <definedName name="DATA_20" localSheetId="0">#REF!</definedName>
    <definedName name="DATA_20">#REF!</definedName>
    <definedName name="DATA_21" localSheetId="4">#REF!</definedName>
    <definedName name="DATA_21" localSheetId="0">#REF!</definedName>
    <definedName name="DATA_21">#REF!</definedName>
    <definedName name="DATA_22" localSheetId="4">#REF!</definedName>
    <definedName name="DATA_22" localSheetId="0">#REF!</definedName>
    <definedName name="DATA_22">#REF!</definedName>
    <definedName name="DATA_23" localSheetId="4">#REF!</definedName>
    <definedName name="DATA_23" localSheetId="0">#REF!</definedName>
    <definedName name="DATA_23">#REF!</definedName>
    <definedName name="DATA_24" localSheetId="4">#REF!</definedName>
    <definedName name="DATA_24" localSheetId="0">#REF!</definedName>
    <definedName name="DATA_24">#REF!</definedName>
    <definedName name="DATA_25" localSheetId="4">#REF!</definedName>
    <definedName name="DATA_25" localSheetId="0">#REF!</definedName>
    <definedName name="DATA_25">#REF!</definedName>
    <definedName name="DATA_3" localSheetId="4">#REF!</definedName>
    <definedName name="DATA_3" localSheetId="0">#REF!</definedName>
    <definedName name="DATA_3">#REF!</definedName>
    <definedName name="DATA_4" localSheetId="4">#REF!</definedName>
    <definedName name="DATA_4" localSheetId="0">#REF!</definedName>
    <definedName name="DATA_4">#REF!</definedName>
    <definedName name="DATA_5" localSheetId="4">#REF!</definedName>
    <definedName name="DATA_5" localSheetId="0">#REF!</definedName>
    <definedName name="DATA_5">#REF!</definedName>
    <definedName name="DATA_6" localSheetId="4">#REF!</definedName>
    <definedName name="DATA_6" localSheetId="0">#REF!</definedName>
    <definedName name="DATA_6">#REF!</definedName>
    <definedName name="DATA_7" localSheetId="4">#REF!</definedName>
    <definedName name="DATA_7" localSheetId="0">#REF!</definedName>
    <definedName name="DATA_7">#REF!</definedName>
    <definedName name="DATA_8" localSheetId="4">#REF!</definedName>
    <definedName name="DATA_8" localSheetId="0">#REF!</definedName>
    <definedName name="DATA_8">#REF!</definedName>
    <definedName name="DATA_9" localSheetId="4">#REF!</definedName>
    <definedName name="DATA_9" localSheetId="0">#REF!</definedName>
    <definedName name="DATA_9">#REF!</definedName>
    <definedName name="DATA1" localSheetId="4">#REF!</definedName>
    <definedName name="DATA1" localSheetId="0">#REF!</definedName>
    <definedName name="DATA1">#REF!</definedName>
    <definedName name="DATA10" localSheetId="4">#REF!</definedName>
    <definedName name="DATA10" localSheetId="0">#REF!</definedName>
    <definedName name="DATA10">#REF!</definedName>
    <definedName name="DATA11" localSheetId="4">#REF!</definedName>
    <definedName name="DATA11" localSheetId="0">#REF!</definedName>
    <definedName name="DATA11">#REF!</definedName>
    <definedName name="DATA12" localSheetId="4">#REF!</definedName>
    <definedName name="DATA12" localSheetId="0">#REF!</definedName>
    <definedName name="DATA12">#REF!</definedName>
    <definedName name="DATA13" localSheetId="4">#REF!</definedName>
    <definedName name="DATA13" localSheetId="0">#REF!</definedName>
    <definedName name="DATA13">#REF!</definedName>
    <definedName name="DATA14" localSheetId="4">#REF!</definedName>
    <definedName name="DATA14" localSheetId="0">#REF!</definedName>
    <definedName name="DATA14">#REF!</definedName>
    <definedName name="DATA15" localSheetId="4">#REF!</definedName>
    <definedName name="DATA15" localSheetId="0">#REF!</definedName>
    <definedName name="DATA15">#REF!</definedName>
    <definedName name="DATA16" localSheetId="4">#REF!</definedName>
    <definedName name="DATA16" localSheetId="0">#REF!</definedName>
    <definedName name="DATA16">#REF!</definedName>
    <definedName name="DATA18" localSheetId="4">#REF!</definedName>
    <definedName name="DATA18" localSheetId="0">#REF!</definedName>
    <definedName name="DATA18">#REF!</definedName>
    <definedName name="DATA19" localSheetId="0">#REF!</definedName>
    <definedName name="DATA19">#REF!</definedName>
    <definedName name="DATA2" localSheetId="4">#REF!</definedName>
    <definedName name="DATA2" localSheetId="5">#REF!</definedName>
    <definedName name="DATA2" localSheetId="0">#REF!</definedName>
    <definedName name="DATA2">#REF!</definedName>
    <definedName name="DATA20" localSheetId="4">#REF!</definedName>
    <definedName name="DATA20" localSheetId="5">#REF!</definedName>
    <definedName name="DATA20" localSheetId="0">#REF!</definedName>
    <definedName name="DATA20">#REF!</definedName>
    <definedName name="DATA21" localSheetId="4">#REF!</definedName>
    <definedName name="DATA21" localSheetId="5">#REF!</definedName>
    <definedName name="DATA21" localSheetId="0">#REF!</definedName>
    <definedName name="DATA21">#REF!</definedName>
    <definedName name="DATA22" localSheetId="4">#REF!</definedName>
    <definedName name="DATA22" localSheetId="0">#REF!</definedName>
    <definedName name="DATA22">#REF!</definedName>
    <definedName name="DATA3" localSheetId="4">#REF!</definedName>
    <definedName name="DATA3" localSheetId="0">#REF!</definedName>
    <definedName name="DATA3">#REF!</definedName>
    <definedName name="DATA4" localSheetId="4">#REF!</definedName>
    <definedName name="DATA4" localSheetId="0">#REF!</definedName>
    <definedName name="DATA4">#REF!</definedName>
    <definedName name="DATA5" localSheetId="4">#REF!</definedName>
    <definedName name="DATA5" localSheetId="0">#REF!</definedName>
    <definedName name="DATA5">#REF!</definedName>
    <definedName name="DATA6" localSheetId="4">#REF!</definedName>
    <definedName name="DATA6" localSheetId="0">#REF!</definedName>
    <definedName name="DATA6">#REF!</definedName>
    <definedName name="DATA7" localSheetId="4">#REF!</definedName>
    <definedName name="DATA7" localSheetId="0">#REF!</definedName>
    <definedName name="DATA7">#REF!</definedName>
    <definedName name="DATA8" localSheetId="4">#REF!</definedName>
    <definedName name="DATA8" localSheetId="0">#REF!</definedName>
    <definedName name="DATA8">#REF!</definedName>
    <definedName name="DATA9" localSheetId="4">#REF!</definedName>
    <definedName name="DATA9" localSheetId="0">#REF!</definedName>
    <definedName name="DATA9">#REF!</definedName>
    <definedName name="DataArea" localSheetId="0">#REF!</definedName>
    <definedName name="DataArea">#REF!</definedName>
    <definedName name="DATACHECKED_ELBK" localSheetId="4">#REF!</definedName>
    <definedName name="DATACHECKED_ELBK" localSheetId="5">#REF!</definedName>
    <definedName name="DATACHECKED_ELBK" localSheetId="0">#REF!</definedName>
    <definedName name="DATACHECKED_ELBK">#REF!</definedName>
    <definedName name="DATACHECKED_ELEQ" localSheetId="4">#REF!</definedName>
    <definedName name="DATACHECKED_ELEQ" localSheetId="5">#REF!</definedName>
    <definedName name="DATACHECKED_ELEQ" localSheetId="0">#REF!</definedName>
    <definedName name="DATACHECKED_ELEQ">#REF!</definedName>
    <definedName name="DATACHECKED_INSTR" localSheetId="4">#REF!</definedName>
    <definedName name="DATACHECKED_INSTR" localSheetId="5">#REF!</definedName>
    <definedName name="DATACHECKED_INSTR" localSheetId="0">#REF!</definedName>
    <definedName name="DATACHECKED_INSTR">#REF!</definedName>
    <definedName name="DATAFILL" localSheetId="0">#REF!</definedName>
    <definedName name="DATAFILL">#REF!</definedName>
    <definedName name="datas" localSheetId="4">#REF!</definedName>
    <definedName name="datas" localSheetId="5">#REF!</definedName>
    <definedName name="datas" localSheetId="0">#REF!</definedName>
    <definedName name="datas">#REF!</definedName>
    <definedName name="DATATATAT" localSheetId="4">#REF!</definedName>
    <definedName name="DATATATAT" localSheetId="5">#REF!</definedName>
    <definedName name="DATATATAT" localSheetId="0">#REF!</definedName>
    <definedName name="DATATATAT">#REF!</definedName>
    <definedName name="Datban122001" localSheetId="4">#REF!</definedName>
    <definedName name="Datban122001" localSheetId="5">#REF!</definedName>
    <definedName name="Datban122001" localSheetId="0">#REF!</definedName>
    <definedName name="Datban122001">#REF!</definedName>
    <definedName name="Datban122001_1">"$#ODWOŁANIE.$A$7:$AF$238"</definedName>
    <definedName name="Date" localSheetId="4">#REF!</definedName>
    <definedName name="Date" localSheetId="5">#REF!</definedName>
    <definedName name="Date" localSheetId="0">#REF!</definedName>
    <definedName name="Date">#REF!</definedName>
    <definedName name="DATECHECKED_ELBK" localSheetId="4">#REF!</definedName>
    <definedName name="DATECHECKED_ELBK" localSheetId="5">#REF!</definedName>
    <definedName name="DATECHECKED_ELBK" localSheetId="0">#REF!</definedName>
    <definedName name="DATECHECKED_ELBK">#REF!</definedName>
    <definedName name="DATECHECKED_ELEQ" localSheetId="4">#REF!</definedName>
    <definedName name="DATECHECKED_ELEQ" localSheetId="5">#REF!</definedName>
    <definedName name="DATECHECKED_ELEQ" localSheetId="0">#REF!</definedName>
    <definedName name="DATECHECKED_ELEQ">#REF!</definedName>
    <definedName name="DATECHECKED_INSTR" localSheetId="4">#REF!</definedName>
    <definedName name="DATECHECKED_INSTR" localSheetId="0">#REF!</definedName>
    <definedName name="DATECHECKED_INSTR">#REF!</definedName>
    <definedName name="DateMade" localSheetId="4">#REF!</definedName>
    <definedName name="DateMade" localSheetId="0">#REF!</definedName>
    <definedName name="DateMade">#REF!</definedName>
    <definedName name="Daten" localSheetId="4">#REF!</definedName>
    <definedName name="Daten" localSheetId="0">#REF!</definedName>
    <definedName name="Daten">#REF!</definedName>
    <definedName name="DATES" localSheetId="0">#REF!</definedName>
    <definedName name="DATES">#REF!</definedName>
    <definedName name="DATI">#N/A</definedName>
    <definedName name="dati7" localSheetId="4">#REF!</definedName>
    <definedName name="dati7" localSheetId="5">#REF!</definedName>
    <definedName name="dati7" localSheetId="0">#REF!</definedName>
    <definedName name="dati7">#REF!</definedName>
    <definedName name="Datos" localSheetId="4">#REF!</definedName>
    <definedName name="Datos" localSheetId="5">#REF!</definedName>
    <definedName name="Datos" localSheetId="0">#REF!</definedName>
    <definedName name="Datos">#REF!</definedName>
    <definedName name="DATOS_P_RDTOS1" localSheetId="4">#REF!</definedName>
    <definedName name="DATOS_P_RDTOS1" localSheetId="5">#REF!</definedName>
    <definedName name="DATOS_P_RDTOS1" localSheetId="0">#REF!</definedName>
    <definedName name="DATOS_P_RDTOS1">#REF!</definedName>
    <definedName name="Datos1"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tos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DAY">#REF!</definedName>
    <definedName name="DaysYr" localSheetId="4">#REF!</definedName>
    <definedName name="DaysYr" localSheetId="0">#REF!</definedName>
    <definedName name="DaysYr">#REF!</definedName>
    <definedName name="db" localSheetId="4">#REF!</definedName>
    <definedName name="db" localSheetId="5">#REF!</definedName>
    <definedName name="db" localSheetId="0">#REF!</definedName>
    <definedName name="db">#REF!</definedName>
    <definedName name="DB_PRICING" localSheetId="4">#REF!</definedName>
    <definedName name="DB_PRICING" localSheetId="5">#REF!</definedName>
    <definedName name="DB_PRICING" localSheetId="0">#REF!</definedName>
    <definedName name="DB_PRICING">#REF!</definedName>
    <definedName name="dbs" localSheetId="4">#REF!</definedName>
    <definedName name="dbs" localSheetId="5">#REF!</definedName>
    <definedName name="dbs" localSheetId="0">#REF!</definedName>
    <definedName name="dbs">#REF!</definedName>
    <definedName name="DCS_SYS" localSheetId="4">#REF!</definedName>
    <definedName name="DCS_SYS" localSheetId="5">#REF!</definedName>
    <definedName name="DCS_SYS" localSheetId="0">#REF!</definedName>
    <definedName name="DCS_SYS">#REF!</definedName>
    <definedName name="DD" localSheetId="4">#REF!</definedName>
    <definedName name="DD" localSheetId="5">#REF!</definedName>
    <definedName name="DD" localSheetId="0">#REF!</definedName>
    <definedName name="DD">#REF!</definedName>
    <definedName name="Dda_Agua_Tot_SP" localSheetId="0">#REF!</definedName>
    <definedName name="Dda_Agua_Tot_SP">#REF!</definedName>
    <definedName name="ddd" localSheetId="4">#REF!</definedName>
    <definedName name="ddd" localSheetId="5">#REF!</definedName>
    <definedName name="ddd" localSheetId="0">#REF!</definedName>
    <definedName name="ddd">#REF!</definedName>
    <definedName name="dddd" localSheetId="4">#REF!</definedName>
    <definedName name="dddd" localSheetId="5">#REF!</definedName>
    <definedName name="dddd" localSheetId="0">#REF!</definedName>
    <definedName name="dddd">#REF!</definedName>
    <definedName name="ddddd" localSheetId="4" hidden="1">{#N/A,#N/A,FALSE,"SumD";#N/A,#N/A,FALSE,"ElecD";#N/A,#N/A,FALSE,"MechD";#N/A,#N/A,FALSE,"GeotD";#N/A,#N/A,FALSE,"PrcsD";#N/A,#N/A,FALSE,"TunnD";#N/A,#N/A,FALSE,"CivlD";#N/A,#N/A,FALSE,"NtwkD";#N/A,#N/A,FALSE,"EstgD";#N/A,#N/A,FALSE,"PEngD"}</definedName>
    <definedName name="ddddd" localSheetId="6" hidden="1">{#N/A,#N/A,FALSE,"SumD";#N/A,#N/A,FALSE,"ElecD";#N/A,#N/A,FALSE,"MechD";#N/A,#N/A,FALSE,"GeotD";#N/A,#N/A,FALSE,"PrcsD";#N/A,#N/A,FALSE,"TunnD";#N/A,#N/A,FALSE,"CivlD";#N/A,#N/A,FALSE,"NtwkD";#N/A,#N/A,FALSE,"EstgD";#N/A,#N/A,FALSE,"PEngD"}</definedName>
    <definedName name="ddddd" localSheetId="5" hidden="1">{#N/A,#N/A,FALSE,"SumD";#N/A,#N/A,FALSE,"ElecD";#N/A,#N/A,FALSE,"MechD";#N/A,#N/A,FALSE,"GeotD";#N/A,#N/A,FALSE,"PrcsD";#N/A,#N/A,FALSE,"TunnD";#N/A,#N/A,FALSE,"CivlD";#N/A,#N/A,FALSE,"NtwkD";#N/A,#N/A,FALSE,"EstgD";#N/A,#N/A,FALSE,"PEngD"}</definedName>
    <definedName name="ddddd" localSheetId="0" hidden="1">{#N/A,#N/A,FALSE,"SumD";#N/A,#N/A,FALSE,"ElecD";#N/A,#N/A,FALSE,"MechD";#N/A,#N/A,FALSE,"GeotD";#N/A,#N/A,FALSE,"PrcsD";#N/A,#N/A,FALSE,"TunnD";#N/A,#N/A,FALSE,"CivlD";#N/A,#N/A,FALSE,"NtwkD";#N/A,#N/A,FALSE,"EstgD";#N/A,#N/A,FALSE,"PEngD"}</definedName>
    <definedName name="ddddd" hidden="1">{#N/A,#N/A,FALSE,"SumD";#N/A,#N/A,FALSE,"ElecD";#N/A,#N/A,FALSE,"MechD";#N/A,#N/A,FALSE,"GeotD";#N/A,#N/A,FALSE,"PrcsD";#N/A,#N/A,FALSE,"TunnD";#N/A,#N/A,FALSE,"CivlD";#N/A,#N/A,FALSE,"NtwkD";#N/A,#N/A,FALSE,"EstgD";#N/A,#N/A,FALSE,"PEngD"}</definedName>
    <definedName name="dddddd" localSheetId="4">#REF!</definedName>
    <definedName name="dddddd" localSheetId="5">#REF!</definedName>
    <definedName name="dddddd" localSheetId="0">#REF!</definedName>
    <definedName name="dddddd">#REF!</definedName>
    <definedName name="ddee" localSheetId="4" hidden="1">#REF!</definedName>
    <definedName name="ddee" localSheetId="5" hidden="1">#REF!</definedName>
    <definedName name="ddee" localSheetId="0" hidden="1">#REF!</definedName>
    <definedName name="ddee" hidden="1">#REF!</definedName>
    <definedName name="DDTITEL" localSheetId="0">#REF!</definedName>
    <definedName name="DDTITEL">#REF!</definedName>
    <definedName name="deal1" localSheetId="0">#REF!</definedName>
    <definedName name="deal1">#REF!</definedName>
    <definedName name="decimalesredondeo" localSheetId="4">#REF!</definedName>
    <definedName name="decimalesredondeo" localSheetId="5">#REF!</definedName>
    <definedName name="decimalesredondeo" localSheetId="0">#REF!</definedName>
    <definedName name="decimalesredondeo">#REF!</definedName>
    <definedName name="deferredMineCapx" localSheetId="5">#REF!</definedName>
    <definedName name="deferredMineCapx" localSheetId="0">#REF!</definedName>
    <definedName name="deferredMineCapx">#REF!</definedName>
    <definedName name="deferredPlantCapx" localSheetId="5">#REF!</definedName>
    <definedName name="deferredPlantCapx" localSheetId="0">#REF!</definedName>
    <definedName name="deferredPlantCapx">#REF!</definedName>
    <definedName name="DEL20121TP" localSheetId="4">#REF!</definedName>
    <definedName name="DEL20121TP" localSheetId="5">#REF!</definedName>
    <definedName name="DEL20121TP" localSheetId="0">#REF!</definedName>
    <definedName name="DEL20121TP">#REF!</definedName>
    <definedName name="DEL20121TR" localSheetId="4">#REF!</definedName>
    <definedName name="DEL20121TR" localSheetId="5">#REF!</definedName>
    <definedName name="DEL20121TR" localSheetId="0">#REF!</definedName>
    <definedName name="DEL20121TR">#REF!</definedName>
    <definedName name="DEL2012V0" localSheetId="4">#REF!</definedName>
    <definedName name="DEL2012V0" localSheetId="5">#REF!</definedName>
    <definedName name="DEL2012V0" localSheetId="0">#REF!</definedName>
    <definedName name="DEL2012V0">#REF!</definedName>
    <definedName name="DEL2012V1" localSheetId="4">#REF!</definedName>
    <definedName name="DEL2012V1" localSheetId="0">#REF!</definedName>
    <definedName name="DEL2012V1">#REF!</definedName>
    <definedName name="DEL2012V1NC" localSheetId="4">#REF!</definedName>
    <definedName name="DEL2012V1NC" localSheetId="0">#REF!</definedName>
    <definedName name="DEL2012V1NC">#REF!</definedName>
    <definedName name="DEL2012V1OC" localSheetId="4">#REF!</definedName>
    <definedName name="DEL2012V1OC" localSheetId="0">#REF!</definedName>
    <definedName name="DEL2012V1OC">#REF!</definedName>
    <definedName name="DELEG2012" localSheetId="0">#REF!</definedName>
    <definedName name="DELEG2012">#REF!</definedName>
    <definedName name="DELEG300911" localSheetId="0">#REF!</definedName>
    <definedName name="DELEG300911">#REF!</definedName>
    <definedName name="DELEGACJE">12000/12</definedName>
    <definedName name="DELEGEC2011">#REF!</definedName>
    <definedName name="DELEGV02011" localSheetId="0">#REF!</definedName>
    <definedName name="DELEGV02011">#REF!</definedName>
    <definedName name="DELEGV12011" localSheetId="0">#REF!</definedName>
    <definedName name="DELEGV12011">#REF!</definedName>
    <definedName name="DELETE" localSheetId="4">#REF!</definedName>
    <definedName name="DELETE" localSheetId="5">#REF!</definedName>
    <definedName name="DELETE" localSheetId="0">#REF!</definedName>
    <definedName name="DELETE">#REF!</definedName>
    <definedName name="DELETE_D" localSheetId="4">#REF!</definedName>
    <definedName name="DELETE_D" localSheetId="5">#REF!</definedName>
    <definedName name="DELETE_D" localSheetId="0">#REF!</definedName>
    <definedName name="DELETE_D">#REF!</definedName>
    <definedName name="DELETE_U" localSheetId="4">#REF!</definedName>
    <definedName name="DELETE_U" localSheetId="5">#REF!</definedName>
    <definedName name="DELETE_U" localSheetId="0">#REF!</definedName>
    <definedName name="DELETE_U">#REF!</definedName>
    <definedName name="dem" localSheetId="4">#REF!</definedName>
    <definedName name="dem" localSheetId="5">#REF!</definedName>
    <definedName name="dem" localSheetId="0">#REF!</definedName>
    <definedName name="dem">#REF!</definedName>
    <definedName name="Dema">#N/A</definedName>
    <definedName name="demontaż_bram_w_celu_późniejszego_wbudowania" localSheetId="4">#REF!</definedName>
    <definedName name="demontaż_bram_w_celu_późniejszego_wbudowania" localSheetId="5">#REF!</definedName>
    <definedName name="demontaż_bram_w_celu_późniejszego_wbudowania" localSheetId="0">#REF!</definedName>
    <definedName name="demontaż_bram_w_celu_późniejszego_wbudowania">#REF!</definedName>
    <definedName name="demontaż_bram_z_wywiezieniem_materiałów_z_rozbiórki" localSheetId="4">#REF!</definedName>
    <definedName name="demontaż_bram_z_wywiezieniem_materiałów_z_rozbiórki" localSheetId="5">#REF!</definedName>
    <definedName name="demontaż_bram_z_wywiezieniem_materiałów_z_rozbiórki" localSheetId="0">#REF!</definedName>
    <definedName name="demontaż_bram_z_wywiezieniem_materiałów_z_rozbiórki">#REF!</definedName>
    <definedName name="demontaż_furtek_w_celu_późniejszego_wbudowania" localSheetId="4">#REF!</definedName>
    <definedName name="demontaż_furtek_w_celu_późniejszego_wbudowania" localSheetId="5">#REF!</definedName>
    <definedName name="demontaż_furtek_w_celu_późniejszego_wbudowania" localSheetId="0">#REF!</definedName>
    <definedName name="demontaż_furtek_w_celu_późniejszego_wbudowania">#REF!</definedName>
    <definedName name="dep_eq_mina" localSheetId="0">#REF!</definedName>
    <definedName name="dep_eq_mina">#REF!</definedName>
    <definedName name="dep_otros" localSheetId="0">#REF!</definedName>
    <definedName name="dep_otros">#REF!</definedName>
    <definedName name="DEP20121TP" localSheetId="4">#REF!</definedName>
    <definedName name="DEP20121TP" localSheetId="5">#REF!</definedName>
    <definedName name="DEP20121TP" localSheetId="0">#REF!</definedName>
    <definedName name="DEP20121TP">#REF!</definedName>
    <definedName name="DEP20121TR" localSheetId="4">#REF!</definedName>
    <definedName name="DEP20121TR" localSheetId="5">#REF!</definedName>
    <definedName name="DEP20121TR" localSheetId="0">#REF!</definedName>
    <definedName name="DEP20121TR">#REF!</definedName>
    <definedName name="DEP2012V0" localSheetId="4">#REF!</definedName>
    <definedName name="DEP2012V0" localSheetId="5">#REF!</definedName>
    <definedName name="DEP2012V0" localSheetId="0">#REF!</definedName>
    <definedName name="DEP2012V0">#REF!</definedName>
    <definedName name="DEP2012V1" localSheetId="4">#REF!</definedName>
    <definedName name="DEP2012V1" localSheetId="0">#REF!</definedName>
    <definedName name="DEP2012V1">#REF!</definedName>
    <definedName name="DEP2012V1NC" localSheetId="4">#REF!</definedName>
    <definedName name="DEP2012V1NC" localSheetId="0">#REF!</definedName>
    <definedName name="DEP2012V1NC">#REF!</definedName>
    <definedName name="DEP2012V1OC" localSheetId="4">#REF!</definedName>
    <definedName name="DEP2012V1OC" localSheetId="0">#REF!</definedName>
    <definedName name="DEP2012V1OC">#REF!</definedName>
    <definedName name="departamento" localSheetId="4">#REF!</definedName>
    <definedName name="departamento" localSheetId="0">#REF!</definedName>
    <definedName name="departamento">#REF!</definedName>
    <definedName name="depreciationMine" localSheetId="0">#REF!</definedName>
    <definedName name="depreciationMine">#REF!</definedName>
    <definedName name="Des_Pkg" localSheetId="0">#REF!</definedName>
    <definedName name="Des_Pkg">#REF!</definedName>
    <definedName name="Desc_Cntl_Valves" localSheetId="4">IF(VLOOKUP(#REF!,'Costo Directo'!CNTL_VALVE_PRICE,2,FALSE)=0,0,VLOOKUP(#REF!,'Costo Directo'!CNTL_VALVE_PRICE,2,FALSE))</definedName>
    <definedName name="Desc_Cntl_Valves" localSheetId="6">IF(VLOOKUP(#REF!,CNTL_VALVE_PRICE,2,FALSE)=0,0,VLOOKUP(#REF!,CNTL_VALVE_PRICE,2,FALSE))</definedName>
    <definedName name="Desc_Cntl_Valves" localSheetId="5">IF(VLOOKUP(#REF!,CNTL_VALVE_PRICE,2,FALSE)=0,0,VLOOKUP(#REF!,CNTL_VALVE_PRICE,2,FALSE))</definedName>
    <definedName name="Desc_Cntl_Valves" localSheetId="0">IF(VLOOKUP(#REF!,'Resumen Ejecutivo'!CNTL_VALVE_PRICE,2,FALSE)=0,0,VLOOKUP(#REF!,'Resumen Ejecutivo'!CNTL_VALVE_PRICE,2,FALSE))</definedName>
    <definedName name="Desc_Cntl_Valves">IF(VLOOKUP(#REF!,CNTL_VALVE_PRICE,2,FALSE)=0,0,VLOOKUP(#REF!,CNTL_VALVE_PRICE,2,FALSE))</definedName>
    <definedName name="Desc_Conduit" localSheetId="4">IF(VLOOKUP(#REF!,'Costo Directo'!COND_PRICING,2,FALSE)=0,0,VLOOKUP(#REF!,'Costo Directo'!COND_PRICING,2,FALSE))</definedName>
    <definedName name="Desc_Conduit" localSheetId="6">IF(VLOOKUP(#REF!,COND_PRICING,2,FALSE)=0,0,VLOOKUP(#REF!,COND_PRICING,2,FALSE))</definedName>
    <definedName name="Desc_Conduit" localSheetId="5">IF(VLOOKUP(#REF!,COND_PRICING,2,FALSE)=0,0,VLOOKUP(#REF!,COND_PRICING,2,FALSE))</definedName>
    <definedName name="Desc_Conduit" localSheetId="0">IF(VLOOKUP(#REF!,'Resumen Ejecutivo'!COND_PRICING,2,FALSE)=0,0,VLOOKUP(#REF!,'Resumen Ejecutivo'!COND_PRICING,2,FALSE))</definedName>
    <definedName name="Desc_Conduit">IF(VLOOKUP(#REF!,COND_PRICING,2,FALSE)=0,0,VLOOKUP(#REF!,COND_PRICING,2,FALSE))</definedName>
    <definedName name="Desc_DB" localSheetId="4">IF(VLOOKUP(#REF!,'Costo Directo'!DB_PRICING,2,FALSE)=0,0,VLOOKUP(#REF!,'Costo Directo'!DB_PRICING,2,FALSE))</definedName>
    <definedName name="Desc_DB" localSheetId="6">IF(VLOOKUP(#REF!,DB_PRICING,2,FALSE)=0,0,VLOOKUP(#REF!,DB_PRICING,2,FALSE))</definedName>
    <definedName name="Desc_DB" localSheetId="5">IF(VLOOKUP(#REF!,Producción!DB_PRICING,2,FALSE)=0,0,VLOOKUP(#REF!,Producción!DB_PRICING,2,FALSE))</definedName>
    <definedName name="Desc_DB" localSheetId="0">IF(VLOOKUP(#REF!,'Resumen Ejecutivo'!DB_PRICING,2,FALSE)=0,0,VLOOKUP(#REF!,'Resumen Ejecutivo'!DB_PRICING,2,FALSE))</definedName>
    <definedName name="Desc_DB">IF(VLOOKUP(#REF!,DB_PRICING,2,FALSE)=0,0,VLOOKUP(#REF!,DB_PRICING,2,FALSE))</definedName>
    <definedName name="Desc_DB1" localSheetId="4">IF(VLOOKUP(#REF!,'Costo Directo'!DB_PRICING,3,FALSE)=0,0,VLOOKUP(#REF!,'Costo Directo'!DB_PRICING,3,FALSE))</definedName>
    <definedName name="Desc_DB1" localSheetId="6">IF(VLOOKUP(#REF!,DB_PRICING,3,FALSE)=0,0,VLOOKUP(#REF!,DB_PRICING,3,FALSE))</definedName>
    <definedName name="Desc_DB1" localSheetId="5">IF(VLOOKUP(#REF!,Producción!DB_PRICING,3,FALSE)=0,0,VLOOKUP(#REF!,Producción!DB_PRICING,3,FALSE))</definedName>
    <definedName name="Desc_DB1" localSheetId="0">IF(VLOOKUP(#REF!,'Resumen Ejecutivo'!DB_PRICING,3,FALSE)=0,0,VLOOKUP(#REF!,'Resumen Ejecutivo'!DB_PRICING,3,FALSE))</definedName>
    <definedName name="Desc_DB1">IF(VLOOKUP(#REF!,DB_PRICING,3,FALSE)=0,0,VLOOKUP(#REF!,DB_PRICING,3,FALSE))</definedName>
    <definedName name="Desc_DC">#N/A</definedName>
    <definedName name="desc_ilum">0.9</definedName>
    <definedName name="Desc_MV_Cable" localSheetId="4">IF(VLOOKUP(#REF!,'Costo Directo'!CABLE_PRICING,3,FALSE)=0,0,VLOOKUP(#REF!,'Costo Directo'!CABLE_PRICING,3,FALSE))</definedName>
    <definedName name="Desc_MV_Cable" localSheetId="6">IF(VLOOKUP(#REF!,CABLE_PRICING,3,FALSE)=0,0,VLOOKUP(#REF!,CABLE_PRICING,3,FALSE))</definedName>
    <definedName name="Desc_MV_Cable" localSheetId="5">IF(VLOOKUP(#REF!,Producción!CABLE_PRICING,3,FALSE)=0,0,VLOOKUP(#REF!,Producción!CABLE_PRICING,3,FALSE))</definedName>
    <definedName name="Desc_MV_Cable" localSheetId="0">IF(VLOOKUP(#REF!,'Resumen Ejecutivo'!CABLE_PRICING,3,FALSE)=0,0,VLOOKUP(#REF!,'Resumen Ejecutivo'!CABLE_PRICING,3,FALSE))</definedName>
    <definedName name="Desc_MV_Cable">IF(VLOOKUP(#REF!,CABLE_PRICING,3,FALSE)=0,0,VLOOKUP(#REF!,CABLE_PRICING,3,FALSE))</definedName>
    <definedName name="Desc_Other">#N/A</definedName>
    <definedName name="Desc_Par1_Conduit" localSheetId="4">IF(VLOOKUP(#REF!,'Costo Directo'!COND_PRICING,3,FALSE)=0,0,VLOOKUP(#REF!,'Costo Directo'!COND_PRICING,3,FALSE))</definedName>
    <definedName name="Desc_Par1_Conduit" localSheetId="6">IF(VLOOKUP(#REF!,COND_PRICING,3,FALSE)=0,0,VLOOKUP(#REF!,COND_PRICING,3,FALSE))</definedName>
    <definedName name="Desc_Par1_Conduit" localSheetId="5">IF(VLOOKUP(#REF!,COND_PRICING,3,FALSE)=0,0,VLOOKUP(#REF!,COND_PRICING,3,FALSE))</definedName>
    <definedName name="Desc_Par1_Conduit" localSheetId="0">IF(VLOOKUP(#REF!,'Resumen Ejecutivo'!COND_PRICING,3,FALSE)=0,0,VLOOKUP(#REF!,'Resumen Ejecutivo'!COND_PRICING,3,FALSE))</definedName>
    <definedName name="Desc_Par1_Conduit">IF(VLOOKUP(#REF!,COND_PRICING,3,FALSE)=0,0,VLOOKUP(#REF!,COND_PRICING,3,FALSE))</definedName>
    <definedName name="Desc_Par1_DB" localSheetId="4">IF(VLOOKUP(#REF!,'Costo Directo'!DB_PRICING,5,FALSE)=0,0,VLOOKUP(#REF!,'Costo Directo'!DB_PRICING,5,FALSE))</definedName>
    <definedName name="Desc_Par1_DB" localSheetId="6">IF(VLOOKUP(#REF!,DB_PRICING,5,FALSE)=0,0,VLOOKUP(#REF!,DB_PRICING,5,FALSE))</definedName>
    <definedName name="Desc_Par1_DB" localSheetId="5">IF(VLOOKUP(#REF!,Producción!DB_PRICING,5,FALSE)=0,0,VLOOKUP(#REF!,Producción!DB_PRICING,5,FALSE))</definedName>
    <definedName name="Desc_Par1_DB" localSheetId="0">IF(VLOOKUP(#REF!,'Resumen Ejecutivo'!DB_PRICING,5,FALSE)=0,0,VLOOKUP(#REF!,'Resumen Ejecutivo'!DB_PRICING,5,FALSE))</definedName>
    <definedName name="Desc_Par1_DB">IF(VLOOKUP(#REF!,DB_PRICING,5,FALSE)=0,0,VLOOKUP(#REF!,DB_PRICING,5,FALSE))</definedName>
    <definedName name="Desc_Par2_Conduit" localSheetId="4">IF(VLOOKUP(#REF!,'Costo Directo'!COND_PRICING,4,FALSE)=0,0,VLOOKUP(#REF!,'Costo Directo'!COND_PRICING,4,FALSE))</definedName>
    <definedName name="Desc_Par2_Conduit" localSheetId="6">IF(VLOOKUP(#REF!,COND_PRICING,4,FALSE)=0,0,VLOOKUP(#REF!,COND_PRICING,4,FALSE))</definedName>
    <definedName name="Desc_Par2_Conduit" localSheetId="5">IF(VLOOKUP(#REF!,COND_PRICING,4,FALSE)=0,0,VLOOKUP(#REF!,COND_PRICING,4,FALSE))</definedName>
    <definedName name="Desc_Par2_Conduit" localSheetId="0">IF(VLOOKUP(#REF!,'Resumen Ejecutivo'!COND_PRICING,4,FALSE)=0,0,VLOOKUP(#REF!,'Resumen Ejecutivo'!COND_PRICING,4,FALSE))</definedName>
    <definedName name="Desc_Par2_Conduit">IF(VLOOKUP(#REF!,COND_PRICING,4,FALSE)=0,0,VLOOKUP(#REF!,COND_PRICING,4,FALSE))</definedName>
    <definedName name="Desc_Par3_DB" localSheetId="4">IF(VLOOKUP(#REF!,'Costo Directo'!DB_PRICING,6,FALSE)=0,0,VLOOKUP(#REF!,'Costo Directo'!DB_PRICING,6,FALSE))</definedName>
    <definedName name="Desc_Par3_DB" localSheetId="6">IF(VLOOKUP(#REF!,DB_PRICING,6,FALSE)=0,0,VLOOKUP(#REF!,DB_PRICING,6,FALSE))</definedName>
    <definedName name="Desc_Par3_DB" localSheetId="5">IF(VLOOKUP(#REF!,Producción!DB_PRICING,6,FALSE)=0,0,VLOOKUP(#REF!,Producción!DB_PRICING,6,FALSE))</definedName>
    <definedName name="Desc_Par3_DB" localSheetId="0">IF(VLOOKUP(#REF!,'Resumen Ejecutivo'!DB_PRICING,6,FALSE)=0,0,VLOOKUP(#REF!,'Resumen Ejecutivo'!DB_PRICING,6,FALSE))</definedName>
    <definedName name="Desc_Par3_DB">IF(VLOOKUP(#REF!,DB_PRICING,6,FALSE)=0,0,VLOOKUP(#REF!,DB_PRICING,6,FALSE))</definedName>
    <definedName name="Desc_Par6_DB" localSheetId="4">IF(VLOOKUP(#REF!,'Costo Directo'!DB_PRICING,7,FALSE)=0,0,VLOOKUP(#REF!,'Costo Directo'!DB_PRICING,7,FALSE))</definedName>
    <definedName name="Desc_Par6_DB" localSheetId="6">IF(VLOOKUP(#REF!,DB_PRICING,7,FALSE)=0,0,VLOOKUP(#REF!,DB_PRICING,7,FALSE))</definedName>
    <definedName name="Desc_Par6_DB" localSheetId="5">IF(VLOOKUP(#REF!,Producción!DB_PRICING,7,FALSE)=0,0,VLOOKUP(#REF!,Producción!DB_PRICING,7,FALSE))</definedName>
    <definedName name="Desc_Par6_DB" localSheetId="0">IF(VLOOKUP(#REF!,'Resumen Ejecutivo'!DB_PRICING,7,FALSE)=0,0,VLOOKUP(#REF!,'Resumen Ejecutivo'!DB_PRICING,7,FALSE))</definedName>
    <definedName name="Desc_Par6_DB">IF(VLOOKUP(#REF!,DB_PRICING,7,FALSE)=0,0,VLOOKUP(#REF!,DB_PRICING,7,FALSE))</definedName>
    <definedName name="Desc_Tray">#N/A</definedName>
    <definedName name="Desc1_Conduit" localSheetId="4">IF(VLOOKUP(#REF!,'Costo Directo'!COND_PRICING,2,FALSE)=0,0,VLOOKUP(#REF!,'Costo Directo'!COND_PRICING,2,FALSE))</definedName>
    <definedName name="Desc1_Conduit" localSheetId="6">IF(VLOOKUP(#REF!,COND_PRICING,2,FALSE)=0,0,VLOOKUP(#REF!,COND_PRICING,2,FALSE))</definedName>
    <definedName name="Desc1_Conduit" localSheetId="5">IF(VLOOKUP(#REF!,COND_PRICING,2,FALSE)=0,0,VLOOKUP(#REF!,COND_PRICING,2,FALSE))</definedName>
    <definedName name="Desc1_Conduit" localSheetId="0">IF(VLOOKUP(#REF!,'Resumen Ejecutivo'!COND_PRICING,2,FALSE)=0,0,VLOOKUP(#REF!,'Resumen Ejecutivo'!COND_PRICING,2,FALSE))</definedName>
    <definedName name="Desc1_Conduit">IF(VLOOKUP(#REF!,COND_PRICING,2,FALSE)=0,0,VLOOKUP(#REF!,COND_PRICING,2,FALSE))</definedName>
    <definedName name="Desc1_MV_Cable" localSheetId="4">IF(VLOOKUP(#REF!,'Costo Directo'!CABLE_PRICING,2,FALSE)=0,0,VLOOKUP(#REF!,'Costo Directo'!CABLE_PRICING,2,FALSE))</definedName>
    <definedName name="Desc1_MV_Cable" localSheetId="6">IF(VLOOKUP(#REF!,CABLE_PRICING,2,FALSE)=0,0,VLOOKUP(#REF!,CABLE_PRICING,2,FALSE))</definedName>
    <definedName name="Desc1_MV_Cable" localSheetId="5">IF(VLOOKUP(#REF!,Producción!CABLE_PRICING,2,FALSE)=0,0,VLOOKUP(#REF!,Producción!CABLE_PRICING,2,FALSE))</definedName>
    <definedName name="Desc1_MV_Cable" localSheetId="0">IF(VLOOKUP(#REF!,'Resumen Ejecutivo'!CABLE_PRICING,2,FALSE)=0,0,VLOOKUP(#REF!,'Resumen Ejecutivo'!CABLE_PRICING,2,FALSE))</definedName>
    <definedName name="Desc1_MV_Cable">IF(VLOOKUP(#REF!,CABLE_PRICING,2,FALSE)=0,0,VLOOKUP(#REF!,CABLE_PRICING,2,FALSE))</definedName>
    <definedName name="Desc1_Other">#N/A</definedName>
    <definedName name="Desc1_Par1_Conduit" localSheetId="4">IF(VLOOKUP(#REF!,'Costo Directo'!COND_PRICING,3,FALSE)=0,0,VLOOKUP(#REF!,'Costo Directo'!COND_PRICING,3,FALSE))</definedName>
    <definedName name="Desc1_Par1_Conduit" localSheetId="6">IF(VLOOKUP(#REF!,COND_PRICING,3,FALSE)=0,0,VLOOKUP(#REF!,COND_PRICING,3,FALSE))</definedName>
    <definedName name="Desc1_Par1_Conduit" localSheetId="5">IF(VLOOKUP(#REF!,COND_PRICING,3,FALSE)=0,0,VLOOKUP(#REF!,COND_PRICING,3,FALSE))</definedName>
    <definedName name="Desc1_Par1_Conduit" localSheetId="0">IF(VLOOKUP(#REF!,'Resumen Ejecutivo'!COND_PRICING,3,FALSE)=0,0,VLOOKUP(#REF!,'Resumen Ejecutivo'!COND_PRICING,3,FALSE))</definedName>
    <definedName name="Desc1_Par1_Conduit">IF(VLOOKUP(#REF!,COND_PRICING,3,FALSE)=0,0,VLOOKUP(#REF!,COND_PRICING,3,FALSE))</definedName>
    <definedName name="Desc1_Tray">#N/A</definedName>
    <definedName name="Desc2_MV_Cable" localSheetId="4">IF(VLOOKUP(#REF!,'Costo Directo'!CABLE_PRICING,3,FALSE)=0,0,VLOOKUP(#REF!,'Costo Directo'!CABLE_PRICING,3,FALSE))</definedName>
    <definedName name="Desc2_MV_Cable" localSheetId="6">IF(VLOOKUP(#REF!,CABLE_PRICING,3,FALSE)=0,0,VLOOKUP(#REF!,CABLE_PRICING,3,FALSE))</definedName>
    <definedName name="Desc2_MV_Cable" localSheetId="5">IF(VLOOKUP(#REF!,Producción!CABLE_PRICING,3,FALSE)=0,0,VLOOKUP(#REF!,Producción!CABLE_PRICING,3,FALSE))</definedName>
    <definedName name="Desc2_MV_Cable" localSheetId="0">IF(VLOOKUP(#REF!,'Resumen Ejecutivo'!CABLE_PRICING,3,FALSE)=0,0,VLOOKUP(#REF!,'Resumen Ejecutivo'!CABLE_PRICING,3,FALSE))</definedName>
    <definedName name="Desc2_MV_Cable">IF(VLOOKUP(#REF!,CABLE_PRICING,3,FALSE)=0,0,VLOOKUP(#REF!,CABLE_PRICING,3,FALSE))</definedName>
    <definedName name="Desc2_Par2_Conduit" localSheetId="4">IF(VLOOKUP(#REF!,'Costo Directo'!COND_PRICING,4,FALSE)=0,0,VLOOKUP(#REF!,'Costo Directo'!COND_PRICING,4,FALSE))</definedName>
    <definedName name="Desc2_Par2_Conduit" localSheetId="6">IF(VLOOKUP(#REF!,COND_PRICING,4,FALSE)=0,0,VLOOKUP(#REF!,COND_PRICING,4,FALSE))</definedName>
    <definedName name="Desc2_Par2_Conduit" localSheetId="5">IF(VLOOKUP(#REF!,COND_PRICING,4,FALSE)=0,0,VLOOKUP(#REF!,COND_PRICING,4,FALSE))</definedName>
    <definedName name="Desc2_Par2_Conduit" localSheetId="0">IF(VLOOKUP(#REF!,'Resumen Ejecutivo'!COND_PRICING,4,FALSE)=0,0,VLOOKUP(#REF!,'Resumen Ejecutivo'!COND_PRICING,4,FALSE))</definedName>
    <definedName name="Desc2_Par2_Conduit">IF(VLOOKUP(#REF!,COND_PRICING,4,FALSE)=0,0,VLOOKUP(#REF!,COND_PRICING,4,FALSE))</definedName>
    <definedName name="Description" localSheetId="4">#REF!</definedName>
    <definedName name="Description" localSheetId="5">#REF!</definedName>
    <definedName name="Description" localSheetId="0">#REF!</definedName>
    <definedName name="Description">#REF!</definedName>
    <definedName name="DESCRIPTION2" localSheetId="0">#REF!,#REF!,#REF!,#REF!,#REF!,#REF!,#REF!</definedName>
    <definedName name="DESCRIPTION2">#REF!,#REF!,#REF!,#REF!,#REF!,#REF!,#REF!</definedName>
    <definedName name="Descuento_gf">0.95</definedName>
    <definedName name="descuento_programacion">0.7</definedName>
    <definedName name="design" localSheetId="4">#REF!</definedName>
    <definedName name="design" localSheetId="0">#REF!</definedName>
    <definedName name="design">#REF!</definedName>
    <definedName name="DesRatio" localSheetId="4">#REF!</definedName>
    <definedName name="DesRatio" localSheetId="5">#REF!</definedName>
    <definedName name="DesRatio" localSheetId="0">#REF!</definedName>
    <definedName name="DesRatio">#REF!</definedName>
    <definedName name="DESUP_HTRS" localSheetId="4">#REF!</definedName>
    <definedName name="DESUP_HTRS" localSheetId="5">#REF!</definedName>
    <definedName name="DESUP_HTRS" localSheetId="0">#REF!</definedName>
    <definedName name="DESUP_HTRS">#REF!</definedName>
    <definedName name="DETAIL_TOT" localSheetId="4">#REF!</definedName>
    <definedName name="DETAIL_TOT" localSheetId="5">#REF!</definedName>
    <definedName name="DETAIL_TOT" localSheetId="0">#REF!</definedName>
    <definedName name="DETAIL_TOT">#REF!</definedName>
    <definedName name="DF" localSheetId="4">#REF!</definedName>
    <definedName name="DF" localSheetId="0">#REF!</definedName>
    <definedName name="DF">#REF!</definedName>
    <definedName name="dfd" localSheetId="4">#REF!</definedName>
    <definedName name="dfd" localSheetId="0">#REF!</definedName>
    <definedName name="dfd">#REF!</definedName>
    <definedName name="dfff" localSheetId="4">#REF!</definedName>
    <definedName name="dfff" localSheetId="0">#REF!</definedName>
    <definedName name="dfff">#REF!</definedName>
    <definedName name="dfffff" localSheetId="4" hidden="1">{#N/A,#N/A,FALSE,"SumG";#N/A,#N/A,FALSE,"ElecG";#N/A,#N/A,FALSE,"MechG";#N/A,#N/A,FALSE,"GeotG";#N/A,#N/A,FALSE,"PrcsG";#N/A,#N/A,FALSE,"TunnG";#N/A,#N/A,FALSE,"CivlG";#N/A,#N/A,FALSE,"NtwkG";#N/A,#N/A,FALSE,"EstgG";#N/A,#N/A,FALSE,"PEngG"}</definedName>
    <definedName name="dfffff" localSheetId="6" hidden="1">{#N/A,#N/A,FALSE,"SumG";#N/A,#N/A,FALSE,"ElecG";#N/A,#N/A,FALSE,"MechG";#N/A,#N/A,FALSE,"GeotG";#N/A,#N/A,FALSE,"PrcsG";#N/A,#N/A,FALSE,"TunnG";#N/A,#N/A,FALSE,"CivlG";#N/A,#N/A,FALSE,"NtwkG";#N/A,#N/A,FALSE,"EstgG";#N/A,#N/A,FALSE,"PEngG"}</definedName>
    <definedName name="dfffff" localSheetId="5" hidden="1">{#N/A,#N/A,FALSE,"SumG";#N/A,#N/A,FALSE,"ElecG";#N/A,#N/A,FALSE,"MechG";#N/A,#N/A,FALSE,"GeotG";#N/A,#N/A,FALSE,"PrcsG";#N/A,#N/A,FALSE,"TunnG";#N/A,#N/A,FALSE,"CivlG";#N/A,#N/A,FALSE,"NtwkG";#N/A,#N/A,FALSE,"EstgG";#N/A,#N/A,FALSE,"PEngG"}</definedName>
    <definedName name="dfffff" localSheetId="0"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 localSheetId="4" hidden="1">{#N/A,#N/A,TRUE,"Est. de Fact.";#N/A,#N/A,TRUE,"Capitulo 19";#N/A,#N/A,TRUE,"Proyecto P855"}</definedName>
    <definedName name="dfg" localSheetId="5" hidden="1">{#N/A,#N/A,TRUE,"Est. de Fact.";#N/A,#N/A,TRUE,"Capitulo 19";#N/A,#N/A,TRUE,"Proyecto P855"}</definedName>
    <definedName name="dfg" localSheetId="0" hidden="1">{#N/A,#N/A,TRUE,"Est. de Fact.";#N/A,#N/A,TRUE,"Capitulo 19";#N/A,#N/A,TRUE,"Proyecto P855"}</definedName>
    <definedName name="dfg" hidden="1">{#N/A,#N/A,TRUE,"Est. de Fact.";#N/A,#N/A,TRUE,"Capitulo 19";#N/A,#N/A,TRUE,"Proyecto P855"}</definedName>
    <definedName name="dfgh" localSheetId="4">#REF!</definedName>
    <definedName name="dfgh" localSheetId="5">#REF!</definedName>
    <definedName name="dfgh" localSheetId="0">#REF!</definedName>
    <definedName name="dfgh">#REF!</definedName>
    <definedName name="DFGVRFGEBGS" localSheetId="4">#REF!</definedName>
    <definedName name="DFGVRFGEBGS" localSheetId="5">#REF!</definedName>
    <definedName name="DFGVRFGEBGS" localSheetId="0">#REF!</definedName>
    <definedName name="DFGVRFGEBGS">#REF!</definedName>
    <definedName name="dgdgdgdgd" localSheetId="4">#REF!</definedName>
    <definedName name="dgdgdgdgd" localSheetId="5">#REF!</definedName>
    <definedName name="dgdgdgdgd" localSheetId="0">#REF!</definedName>
    <definedName name="dgdgdgdgd">#REF!</definedName>
    <definedName name="dgfd" localSheetId="4" hidden="1">{#N/A,#N/A,FALSE,"SumG";#N/A,#N/A,FALSE,"ElecG";#N/A,#N/A,FALSE,"MechG";#N/A,#N/A,FALSE,"GeotG";#N/A,#N/A,FALSE,"PrcsG";#N/A,#N/A,FALSE,"TunnG";#N/A,#N/A,FALSE,"CivlG";#N/A,#N/A,FALSE,"NtwkG";#N/A,#N/A,FALSE,"EstgG";#N/A,#N/A,FALSE,"PEngG"}</definedName>
    <definedName name="dgfd" localSheetId="6" hidden="1">{#N/A,#N/A,FALSE,"SumG";#N/A,#N/A,FALSE,"ElecG";#N/A,#N/A,FALSE,"MechG";#N/A,#N/A,FALSE,"GeotG";#N/A,#N/A,FALSE,"PrcsG";#N/A,#N/A,FALSE,"TunnG";#N/A,#N/A,FALSE,"CivlG";#N/A,#N/A,FALSE,"NtwkG";#N/A,#N/A,FALSE,"EstgG";#N/A,#N/A,FALSE,"PEngG"}</definedName>
    <definedName name="dgfd" localSheetId="5" hidden="1">{#N/A,#N/A,FALSE,"SumG";#N/A,#N/A,FALSE,"ElecG";#N/A,#N/A,FALSE,"MechG";#N/A,#N/A,FALSE,"GeotG";#N/A,#N/A,FALSE,"PrcsG";#N/A,#N/A,FALSE,"TunnG";#N/A,#N/A,FALSE,"CivlG";#N/A,#N/A,FALSE,"NtwkG";#N/A,#N/A,FALSE,"EstgG";#N/A,#N/A,FALSE,"PEngG"}</definedName>
    <definedName name="dgfd" localSheetId="0"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gfdgfgf" localSheetId="4">#REF!</definedName>
    <definedName name="dgfdgfgf" localSheetId="5">#REF!</definedName>
    <definedName name="dgfdgfgf" localSheetId="0">#REF!</definedName>
    <definedName name="dgfdgfgf">#REF!</definedName>
    <definedName name="di">#N/A</definedName>
    <definedName name="diameter" localSheetId="4">#REF!</definedName>
    <definedName name="diameter" localSheetId="5">#REF!</definedName>
    <definedName name="diameter" localSheetId="0">#REF!</definedName>
    <definedName name="diameter">#REF!</definedName>
    <definedName name="diaphragm" localSheetId="4">#REF!</definedName>
    <definedName name="diaphragm" localSheetId="5">#REF!</definedName>
    <definedName name="diaphragm" localSheetId="0">#REF!</definedName>
    <definedName name="diaphragm">#REF!</definedName>
    <definedName name="DIBUJANTE" localSheetId="4">#REF!</definedName>
    <definedName name="DIBUJANTE" localSheetId="0">#REF!</definedName>
    <definedName name="DIBUJANTE">#REF!</definedName>
    <definedName name="direccioncliente" localSheetId="4">#REF!</definedName>
    <definedName name="direccioncliente" localSheetId="5">#REF!</definedName>
    <definedName name="direccioncliente" localSheetId="0">#REF!</definedName>
    <definedName name="direccioncliente">#REF!</definedName>
    <definedName name="direcciondeconcurso" localSheetId="4">#REF!</definedName>
    <definedName name="direcciondeconcurso" localSheetId="5">#REF!</definedName>
    <definedName name="direcciondeconcurso" localSheetId="0">#REF!</definedName>
    <definedName name="direcciondeconcurso">#REF!</definedName>
    <definedName name="direcciondelaobra" localSheetId="4">#REF!</definedName>
    <definedName name="direcciondelaobra" localSheetId="5">#REF!</definedName>
    <definedName name="direcciondelaobra" localSheetId="0">#REF!</definedName>
    <definedName name="direcciondelaobra">#REF!</definedName>
    <definedName name="direct" localSheetId="4">#REF!</definedName>
    <definedName name="direct" localSheetId="5">#REF!</definedName>
    <definedName name="direct" localSheetId="0">#REF!</definedName>
    <definedName name="direct">#REF!</definedName>
    <definedName name="DIRECT_BURIAL" localSheetId="4">#REF!</definedName>
    <definedName name="DIRECT_BURIAL" localSheetId="5">#REF!</definedName>
    <definedName name="DIRECT_BURIAL" localSheetId="0">#REF!</definedName>
    <definedName name="DIRECT_BURIAL">#REF!</definedName>
    <definedName name="DIRECTHIRE_LABOR_UNIT_HOURS" localSheetId="0">#REF!,#REF!,#REF!,#REF!,#REF!,#REF!,#REF!</definedName>
    <definedName name="DIRECTHIRE_LABOR_UNIT_HOURS">#REF!,#REF!,#REF!,#REF!,#REF!,#REF!,#REF!</definedName>
    <definedName name="DIRECTHIRE_WAGE_RATE" localSheetId="0">#REF!,#REF!,#REF!,#REF!,#REF!,#REF!,#REF!</definedName>
    <definedName name="DIRECTHIRE_WAGE_RATE">#REF!,#REF!,#REF!,#REF!,#REF!,#REF!,#REF!</definedName>
    <definedName name="Directo" localSheetId="4">#REF!</definedName>
    <definedName name="Directo" localSheetId="5">#REF!</definedName>
    <definedName name="Directo" localSheetId="0">#REF!</definedName>
    <definedName name="Directo">#REF!</definedName>
    <definedName name="DIRECTOR" localSheetId="5">#REF!</definedName>
    <definedName name="DIRECTOR" localSheetId="0">#REF!</definedName>
    <definedName name="DIRECTOR">#REF!</definedName>
    <definedName name="DirHrs" localSheetId="4">IF(VLOOKUP(#REF!,#REF!,3)*#REF!*#REF!=0,0,VLOOKUP(#REF!,#REF!,3)*#REF!*#REF!)</definedName>
    <definedName name="DirHrs" localSheetId="5">IF(VLOOKUP(#REF!,#REF!,3)*#REF!*#REF!=0,0,VLOOKUP(#REF!,#REF!,3)*#REF!*#REF!)</definedName>
    <definedName name="DirHrs" localSheetId="0">IF(VLOOKUP(#REF!,#REF!,3)*#REF!*#REF!=0,0,VLOOKUP(#REF!,#REF!,3)*#REF!*#REF!)</definedName>
    <definedName name="DirHrs">IF(VLOOKUP(#REF!,#REF!,3)*#REF!*#REF!=0,0,VLOOKUP(#REF!,#REF!,3)*#REF!*#REF!)</definedName>
    <definedName name="DirHrs1" localSheetId="0">IF(VLOOKUP(#REF!,#REF!,3)*#REF!*#REF!=0,0,VLOOKUP(#REF!,#REF!,3)*#REF!*#REF!)</definedName>
    <definedName name="DirHrs1">IF(VLOOKUP(#REF!,#REF!,3)*#REF!*#REF!=0,0,VLOOKUP(#REF!,#REF!,3)*#REF!*#REF!)</definedName>
    <definedName name="DIRTITEL" localSheetId="0">#REF!</definedName>
    <definedName name="DIRTITEL">#REF!</definedName>
    <definedName name="discon_generico">1</definedName>
    <definedName name="DiscRep" localSheetId="4">#REF!</definedName>
    <definedName name="DiscRep" localSheetId="5">#REF!</definedName>
    <definedName name="DiscRep" localSheetId="0">#REF!</definedName>
    <definedName name="DiscRep">#REF!</definedName>
    <definedName name="dkk" localSheetId="4">#REF!</definedName>
    <definedName name="dkk" localSheetId="5">#REF!</definedName>
    <definedName name="dkk" localSheetId="0">#REF!</definedName>
    <definedName name="dkk">#REF!</definedName>
    <definedName name="długość_odcinka" localSheetId="4">#REF!</definedName>
    <definedName name="długość_odcinka" localSheetId="5">#REF!</definedName>
    <definedName name="długość_odcinka" localSheetId="0">#REF!</definedName>
    <definedName name="długość_odcinka">#REF!</definedName>
    <definedName name="dm" localSheetId="4">#REF!</definedName>
    <definedName name="dm" localSheetId="0">#REF!</definedName>
    <definedName name="dm">#REF!</definedName>
    <definedName name="do_łożysk" localSheetId="4">#REF!</definedName>
    <definedName name="do_łożysk" localSheetId="0">#REF!</definedName>
    <definedName name="do_łożysk">#REF!</definedName>
    <definedName name="Do_mb_pala" localSheetId="4">#REF!</definedName>
    <definedName name="Do_mb_pala" localSheetId="0">#REF!</definedName>
    <definedName name="Do_mb_pala">#REF!</definedName>
    <definedName name="DOC" localSheetId="0">#REF!</definedName>
    <definedName name="DOC">#REF!</definedName>
    <definedName name="Doc_Hrs" localSheetId="4">#REF!</definedName>
    <definedName name="Doc_Hrs" localSheetId="5">#REF!</definedName>
    <definedName name="Doc_Hrs" localSheetId="0">#REF!</definedName>
    <definedName name="Doc_Hrs">#REF!</definedName>
    <definedName name="Dodaj_do_kalk" localSheetId="4">#REF!</definedName>
    <definedName name="Dodaj_do_kalk" localSheetId="5">#REF!</definedName>
    <definedName name="Dodaj_do_kalk" localSheetId="0">#REF!</definedName>
    <definedName name="Dodaj_do_kalk">#REF!</definedName>
    <definedName name="Dodatkowy_Sprzęt" localSheetId="0">#REF!</definedName>
    <definedName name="Dodatkowy_Sprzęt">#REF!</definedName>
    <definedName name="dojścia_z_kruszywa" localSheetId="4">#REF!</definedName>
    <definedName name="dojścia_z_kruszywa" localSheetId="5">#REF!</definedName>
    <definedName name="dojścia_z_kruszywa" localSheetId="0">#REF!</definedName>
    <definedName name="dojścia_z_kruszywa">#REF!</definedName>
    <definedName name="dokumentacja" localSheetId="4">#REF!</definedName>
    <definedName name="dokumentacja" localSheetId="5">#REF!</definedName>
    <definedName name="dokumentacja" localSheetId="0">#REF!</definedName>
    <definedName name="dokumentacja">#REF!</definedName>
    <definedName name="dola" localSheetId="4">#REF!</definedName>
    <definedName name="dola" localSheetId="5">#REF!</definedName>
    <definedName name="dola" localSheetId="0">#REF!</definedName>
    <definedName name="dola">#REF!</definedName>
    <definedName name="Dólar" localSheetId="4">#REF!</definedName>
    <definedName name="Dólar" localSheetId="0">#REF!</definedName>
    <definedName name="Dólar">#REF!</definedName>
    <definedName name="Dollar_Euro" localSheetId="4">#REF!</definedName>
    <definedName name="Dollar_Euro" localSheetId="0">#REF!</definedName>
    <definedName name="Dollar_Euro">#REF!</definedName>
    <definedName name="dołożysk" localSheetId="4">#REF!</definedName>
    <definedName name="dołożysk" localSheetId="0">#REF!</definedName>
    <definedName name="dołożysk">#REF!</definedName>
    <definedName name="domicilio" localSheetId="4">#REF!</definedName>
    <definedName name="domicilio" localSheetId="0">#REF!</definedName>
    <definedName name="domicilio">#REF!</definedName>
    <definedName name="dostali" localSheetId="4">#REF!</definedName>
    <definedName name="dostali" localSheetId="0">#REF!</definedName>
    <definedName name="dostali">#REF!</definedName>
    <definedName name="Dostawa_zbrojenia">"$#ODWOŁANIE!.$C$58"</definedName>
    <definedName name="DOSTAWCA" localSheetId="4">#REF!</definedName>
    <definedName name="DOSTAWCA" localSheetId="5">#REF!</definedName>
    <definedName name="DOSTAWCA" localSheetId="0">#REF!</definedName>
    <definedName name="DOSTAWCA">#REF!</definedName>
    <definedName name="dP_INST" localSheetId="4">#REF!</definedName>
    <definedName name="dP_INST" localSheetId="5">#REF!</definedName>
    <definedName name="dP_INST" localSheetId="0">#REF!</definedName>
    <definedName name="dP_INST">#REF!</definedName>
    <definedName name="Dr_rate" localSheetId="4">#REF!</definedName>
    <definedName name="Dr_rate" localSheetId="5">#REF!</definedName>
    <definedName name="Dr_rate" localSheetId="0">#REF!</definedName>
    <definedName name="Dr_rate">#REF!</definedName>
    <definedName name="drain_trap" localSheetId="4">#REF!</definedName>
    <definedName name="drain_trap" localSheetId="0">#REF!</definedName>
    <definedName name="drain_trap">#REF!</definedName>
    <definedName name="Drawing_Reference" localSheetId="4">#REF!</definedName>
    <definedName name="Drawing_Reference" localSheetId="0">#REF!</definedName>
    <definedName name="Drawing_Reference">#REF!</definedName>
    <definedName name="dren_podłużny" localSheetId="4">#REF!</definedName>
    <definedName name="dren_podłużny" localSheetId="0">#REF!</definedName>
    <definedName name="dren_podłużny">#REF!</definedName>
    <definedName name="dren_z_kruszywa_naturalnego_32_do_63" localSheetId="4">#REF!</definedName>
    <definedName name="dren_z_kruszywa_naturalnego_32_do_63" localSheetId="0">#REF!</definedName>
    <definedName name="dren_z_kruszywa_naturalnego_32_do_63">#REF!</definedName>
    <definedName name="DRENAŻ.16.Z.FILTREM" localSheetId="4">#REF!</definedName>
    <definedName name="DRENAŻ.16.Z.FILTREM" localSheetId="5">#REF!</definedName>
    <definedName name="DRENAŻ.16.Z.FILTREM" localSheetId="0">#REF!</definedName>
    <definedName name="DRENAŻ.16.Z.FILTREM">#REF!</definedName>
    <definedName name="DRENAŻ.160" localSheetId="4">#REF!</definedName>
    <definedName name="DRENAŻ.160" localSheetId="5">#REF!</definedName>
    <definedName name="DRENAŻ.160" localSheetId="0">#REF!</definedName>
    <definedName name="DRENAŻ.160">#REF!</definedName>
    <definedName name="Drenaż100">60</definedName>
    <definedName name="drenpłyty" localSheetId="4">#REF!</definedName>
    <definedName name="drenpłyty" localSheetId="5">#REF!</definedName>
    <definedName name="drenpłyty" localSheetId="0">#REF!</definedName>
    <definedName name="drenpłyty">#REF!</definedName>
    <definedName name="drenprzyczółka" localSheetId="4">#REF!</definedName>
    <definedName name="drenprzyczółka" localSheetId="5">#REF!</definedName>
    <definedName name="drenprzyczółka" localSheetId="0">#REF!</definedName>
    <definedName name="drenprzyczółka">#REF!</definedName>
    <definedName name="Drilling_Steel_Grava" localSheetId="0">#REF!</definedName>
    <definedName name="Drilling_Steel_Grava">#REF!</definedName>
    <definedName name="Drilling_Steel_Roca" localSheetId="0">#REF!</definedName>
    <definedName name="Drilling_Steel_Roca">#REF!</definedName>
    <definedName name="DSAD" localSheetId="4">#REF!</definedName>
    <definedName name="DSAD" localSheetId="5">#REF!</definedName>
    <definedName name="DSAD" localSheetId="0">#REF!</definedName>
    <definedName name="DSAD">#REF!</definedName>
    <definedName name="dsafgdsgdfgdfgf" localSheetId="4">#REF!</definedName>
    <definedName name="dsafgdsgdfgdfgf" localSheetId="5">#REF!</definedName>
    <definedName name="dsafgdsgdfgdfgf" localSheetId="0">#REF!</definedName>
    <definedName name="dsafgdsgdfgdfgf">#REF!</definedName>
    <definedName name="DT" localSheetId="4">#REF!</definedName>
    <definedName name="DT" localSheetId="5">#REF!</definedName>
    <definedName name="DT" localSheetId="0">#REF!</definedName>
    <definedName name="DT">#REF!</definedName>
    <definedName name="dual_plate_check" localSheetId="4">#REF!</definedName>
    <definedName name="dual_plate_check" localSheetId="0">#REF!</definedName>
    <definedName name="dual_plate_check">#REF!</definedName>
    <definedName name="DUCT" localSheetId="4">#REF!</definedName>
    <definedName name="DUCT" localSheetId="0">#REF!</definedName>
    <definedName name="DUCT">#REF!</definedName>
    <definedName name="duplex_strainer" localSheetId="4">#REF!</definedName>
    <definedName name="duplex_strainer" localSheetId="0">#REF!</definedName>
    <definedName name="duplex_strainer">#REF!</definedName>
    <definedName name="dvbgf" localSheetId="4" hidden="1">{#N/A,#N/A,FALSE,"SumD";#N/A,#N/A,FALSE,"ElecD";#N/A,#N/A,FALSE,"MechD";#N/A,#N/A,FALSE,"GeotD";#N/A,#N/A,FALSE,"PrcsD";#N/A,#N/A,FALSE,"TunnD";#N/A,#N/A,FALSE,"CivlD";#N/A,#N/A,FALSE,"NtwkD";#N/A,#N/A,FALSE,"EstgD";#N/A,#N/A,FALSE,"PEngD"}</definedName>
    <definedName name="dvbgf" localSheetId="6" hidden="1">{#N/A,#N/A,FALSE,"SumD";#N/A,#N/A,FALSE,"ElecD";#N/A,#N/A,FALSE,"MechD";#N/A,#N/A,FALSE,"GeotD";#N/A,#N/A,FALSE,"PrcsD";#N/A,#N/A,FALSE,"TunnD";#N/A,#N/A,FALSE,"CivlD";#N/A,#N/A,FALSE,"NtwkD";#N/A,#N/A,FALSE,"EstgD";#N/A,#N/A,FALSE,"PEngD"}</definedName>
    <definedName name="dvbgf" localSheetId="5" hidden="1">{#N/A,#N/A,FALSE,"SumD";#N/A,#N/A,FALSE,"ElecD";#N/A,#N/A,FALSE,"MechD";#N/A,#N/A,FALSE,"GeotD";#N/A,#N/A,FALSE,"PrcsD";#N/A,#N/A,FALSE,"TunnD";#N/A,#N/A,FALSE,"CivlD";#N/A,#N/A,FALSE,"NtwkD";#N/A,#N/A,FALSE,"EstgD";#N/A,#N/A,FALSE,"PEngD"}</definedName>
    <definedName name="dvbgf" localSheetId="0"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vs">#REF!</definedName>
    <definedName name="dwcvdw" localSheetId="4">#REF!</definedName>
    <definedName name="dwcvdw" localSheetId="5">#REF!</definedName>
    <definedName name="dwcvdw" localSheetId="0">#REF!</definedName>
    <definedName name="dwcvdw">#REF!</definedName>
    <definedName name="dwedwed" localSheetId="4">#REF!</definedName>
    <definedName name="dwedwed" localSheetId="5">#REF!</definedName>
    <definedName name="dwedwed" localSheetId="0">#REF!</definedName>
    <definedName name="dwedwed">#REF!</definedName>
    <definedName name="dylatacja_bitumiczna" localSheetId="4">#REF!</definedName>
    <definedName name="dylatacja_bitumiczna" localSheetId="5">#REF!</definedName>
    <definedName name="dylatacja_bitumiczna" localSheetId="0">#REF!</definedName>
    <definedName name="dylatacja_bitumiczna">#REF!</definedName>
    <definedName name="dylatacja_pionowa" localSheetId="4">#REF!</definedName>
    <definedName name="dylatacja_pionowa" localSheetId="0">#REF!</definedName>
    <definedName name="dylatacja_pionowa">#REF!</definedName>
    <definedName name="dzial_fin" localSheetId="4">#REF!</definedName>
    <definedName name="dzial_fin" localSheetId="0">#REF!</definedName>
    <definedName name="dzial_fin">#REF!</definedName>
    <definedName name="dzial_oper" localSheetId="4">#REF!</definedName>
    <definedName name="dzial_oper" localSheetId="0">#REF!</definedName>
    <definedName name="dzial_oper">#REF!</definedName>
    <definedName name="Dzielnik_drogi" localSheetId="4">#REF!</definedName>
    <definedName name="Dzielnik_drogi" localSheetId="0">#REF!</definedName>
    <definedName name="Dzielnik_drogi">#REF!</definedName>
    <definedName name="Dzielnik_mosty" localSheetId="4">#REF!</definedName>
    <definedName name="Dzielnik_mosty" localSheetId="0">#REF!</definedName>
    <definedName name="Dzielnik_mosty">#REF!</definedName>
    <definedName name="dziennie" localSheetId="4">#REF!</definedName>
    <definedName name="dziennie" localSheetId="0">#REF!</definedName>
    <definedName name="dziennie">#REF!</definedName>
    <definedName name="E" localSheetId="4">#REF!</definedName>
    <definedName name="E" localSheetId="0">#REF!</definedName>
    <definedName name="E">#REF!</definedName>
    <definedName name="E.M." localSheetId="4">#REF!</definedName>
    <definedName name="E.M." localSheetId="0">#REF!</definedName>
    <definedName name="E.M.">#REF!</definedName>
    <definedName name="e_2" localSheetId="4">#REF!</definedName>
    <definedName name="e_2" localSheetId="0">#REF!</definedName>
    <definedName name="e_2">#REF!</definedName>
    <definedName name="e_3" localSheetId="4">#REF!</definedName>
    <definedName name="e_3" localSheetId="0">#REF!</definedName>
    <definedName name="e_3">#REF!</definedName>
    <definedName name="e_6" localSheetId="4">#REF!</definedName>
    <definedName name="e_6" localSheetId="0">#REF!</definedName>
    <definedName name="e_6">#REF!</definedName>
    <definedName name="E7CM" localSheetId="4">#REF!</definedName>
    <definedName name="E7CM" localSheetId="0">#REF!</definedName>
    <definedName name="E7CM">#REF!</definedName>
    <definedName name="EBIT20121TP" localSheetId="4">#REF!</definedName>
    <definedName name="EBIT20121TP" localSheetId="0">#REF!</definedName>
    <definedName name="EBIT20121TP">#REF!</definedName>
    <definedName name="EBIT20121TR" localSheetId="4">#REF!</definedName>
    <definedName name="EBIT20121TR" localSheetId="0">#REF!</definedName>
    <definedName name="EBIT20121TR">#REF!</definedName>
    <definedName name="EBIT2012V0" localSheetId="4">#REF!</definedName>
    <definedName name="EBIT2012V0" localSheetId="0">#REF!</definedName>
    <definedName name="EBIT2012V0">#REF!</definedName>
    <definedName name="EBIT2012V1" localSheetId="4">#REF!</definedName>
    <definedName name="EBIT2012V1" localSheetId="0">#REF!</definedName>
    <definedName name="EBIT2012V1">#REF!</definedName>
    <definedName name="EBIT2012V1NC" localSheetId="4">#REF!</definedName>
    <definedName name="EBIT2012V1NC" localSheetId="0">#REF!</definedName>
    <definedName name="EBIT2012V1NC">#REF!</definedName>
    <definedName name="EBIT2012V1OC" localSheetId="4">#REF!</definedName>
    <definedName name="EBIT2012V1OC" localSheetId="0">#REF!</definedName>
    <definedName name="EBIT2012V1OC">#REF!</definedName>
    <definedName name="EBITDA20121TP" localSheetId="4">#REF!</definedName>
    <definedName name="EBITDA20121TP" localSheetId="0">#REF!</definedName>
    <definedName name="EBITDA20121TP">#REF!</definedName>
    <definedName name="EBITDA20121TR" localSheetId="4">#REF!</definedName>
    <definedName name="EBITDA20121TR" localSheetId="0">#REF!</definedName>
    <definedName name="EBITDA20121TR">#REF!</definedName>
    <definedName name="EBITDA2012V0" localSheetId="4">#REF!</definedName>
    <definedName name="EBITDA2012V0" localSheetId="0">#REF!</definedName>
    <definedName name="EBITDA2012V0">#REF!</definedName>
    <definedName name="EBITDA2012V1" localSheetId="4">#REF!</definedName>
    <definedName name="EBITDA2012V1" localSheetId="0">#REF!</definedName>
    <definedName name="EBITDA2012V1">#REF!</definedName>
    <definedName name="EBITDA2012V1NC" localSheetId="4">#REF!</definedName>
    <definedName name="EBITDA2012V1NC" localSheetId="0">#REF!</definedName>
    <definedName name="EBITDA2012V1NC">#REF!</definedName>
    <definedName name="EBITDA2012V1OC" localSheetId="4">#REF!</definedName>
    <definedName name="EBITDA2012V1OC" localSheetId="0">#REF!</definedName>
    <definedName name="EBITDA2012V1OC">#REF!</definedName>
    <definedName name="EBT20121TP" localSheetId="4">#REF!</definedName>
    <definedName name="EBT20121TP" localSheetId="0">#REF!</definedName>
    <definedName name="EBT20121TP">#REF!</definedName>
    <definedName name="EBT20121TR" localSheetId="4">#REF!</definedName>
    <definedName name="EBT20121TR" localSheetId="0">#REF!</definedName>
    <definedName name="EBT20121TR">#REF!</definedName>
    <definedName name="EBT2012V0" localSheetId="4">#REF!</definedName>
    <definedName name="EBT2012V0" localSheetId="0">#REF!</definedName>
    <definedName name="EBT2012V0">#REF!</definedName>
    <definedName name="EBT2012V1" localSheetId="4">#REF!</definedName>
    <definedName name="EBT2012V1" localSheetId="0">#REF!</definedName>
    <definedName name="EBT2012V1">#REF!</definedName>
    <definedName name="EBT2012V1NC" localSheetId="4">#REF!</definedName>
    <definedName name="EBT2012V1NC" localSheetId="0">#REF!</definedName>
    <definedName name="EBT2012V1NC">#REF!</definedName>
    <definedName name="EBT2012V1OC" localSheetId="4">#REF!</definedName>
    <definedName name="EBT2012V1OC" localSheetId="0">#REF!</definedName>
    <definedName name="EBT2012V1OC">#REF!</definedName>
    <definedName name="EC_ACT" localSheetId="0">#REF!</definedName>
    <definedName name="EC_ACT">#REF!</definedName>
    <definedName name="EC_DELTA" localSheetId="0">#REF!</definedName>
    <definedName name="EC_DELTA">#REF!</definedName>
    <definedName name="ecrit" localSheetId="0">#REF!</definedName>
    <definedName name="ecrit">#REF!</definedName>
    <definedName name="ecrit2" localSheetId="0">#REF!</definedName>
    <definedName name="ecrit2">#REF!</definedName>
    <definedName name="ee" localSheetId="4" hidden="1">{#N/A,#N/A,FALSE,"SumG";#N/A,#N/A,FALSE,"ElecG";#N/A,#N/A,FALSE,"MechG";#N/A,#N/A,FALSE,"GeotG";#N/A,#N/A,FALSE,"PrcsG";#N/A,#N/A,FALSE,"TunnG";#N/A,#N/A,FALSE,"CivlG";#N/A,#N/A,FALSE,"NtwkG";#N/A,#N/A,FALSE,"EstgG";#N/A,#N/A,FALSE,"PEngG"}</definedName>
    <definedName name="ee" localSheetId="6" hidden="1">{#N/A,#N/A,FALSE,"SumG";#N/A,#N/A,FALSE,"ElecG";#N/A,#N/A,FALSE,"MechG";#N/A,#N/A,FALSE,"GeotG";#N/A,#N/A,FALSE,"PrcsG";#N/A,#N/A,FALSE,"TunnG";#N/A,#N/A,FALSE,"CivlG";#N/A,#N/A,FALSE,"NtwkG";#N/A,#N/A,FALSE,"EstgG";#N/A,#N/A,FALSE,"PEngG"}</definedName>
    <definedName name="ee" localSheetId="5" hidden="1">{#N/A,#N/A,FALSE,"SumG";#N/A,#N/A,FALSE,"ElecG";#N/A,#N/A,FALSE,"MechG";#N/A,#N/A,FALSE,"GeotG";#N/A,#N/A,FALSE,"PrcsG";#N/A,#N/A,FALSE,"TunnG";#N/A,#N/A,FALSE,"CivlG";#N/A,#N/A,FALSE,"NtwkG";#N/A,#N/A,FALSE,"EstgG";#N/A,#N/A,FALSE,"PEngG"}</definedName>
    <definedName name="ee" localSheetId="0" hidden="1">{#N/A,#N/A,FALSE,"SumG";#N/A,#N/A,FALSE,"ElecG";#N/A,#N/A,FALSE,"MechG";#N/A,#N/A,FALSE,"GeotG";#N/A,#N/A,FALSE,"PrcsG";#N/A,#N/A,FALSE,"TunnG";#N/A,#N/A,FALSE,"CivlG";#N/A,#N/A,FALSE,"NtwkG";#N/A,#N/A,FALSE,"EstgG";#N/A,#N/A,FALSE,"PEngG"}</definedName>
    <definedName name="ee" hidden="1">{#N/A,#N/A,FALSE,"SumG";#N/A,#N/A,FALSE,"ElecG";#N/A,#N/A,FALSE,"MechG";#N/A,#N/A,FALSE,"GeotG";#N/A,#N/A,FALSE,"PrcsG";#N/A,#N/A,FALSE,"TunnG";#N/A,#N/A,FALSE,"CivlG";#N/A,#N/A,FALSE,"NtwkG";#N/A,#N/A,FALSE,"EstgG";#N/A,#N/A,FALSE,"PEngG"}</definedName>
    <definedName name="eee" localSheetId="4">#REF!</definedName>
    <definedName name="eee" localSheetId="5">#REF!</definedName>
    <definedName name="eee" localSheetId="0">#REF!</definedName>
    <definedName name="eee">#REF!</definedName>
    <definedName name="eeee" localSheetId="4">#REF!</definedName>
    <definedName name="eeee" localSheetId="5">#REF!</definedName>
    <definedName name="eeee" localSheetId="0">#REF!</definedName>
    <definedName name="eeee">#REF!</definedName>
    <definedName name="eeee_2" localSheetId="4">#REF!</definedName>
    <definedName name="eeee_2" localSheetId="5">#REF!</definedName>
    <definedName name="eeee_2" localSheetId="0">#REF!</definedName>
    <definedName name="eeee_2">#REF!</definedName>
    <definedName name="eeee_6" localSheetId="4">#REF!</definedName>
    <definedName name="eeee_6" localSheetId="0">#REF!</definedName>
    <definedName name="eeee_6">#REF!</definedName>
    <definedName name="eeeee" localSheetId="4" hidden="1">{"'Feuil1'!$A$1:$Y$50"}</definedName>
    <definedName name="eeeee" localSheetId="5" hidden="1">{"'Feuil1'!$A$1:$Y$50"}</definedName>
    <definedName name="eeeee" localSheetId="0" hidden="1">{"'Feuil1'!$A$1:$Y$50"}</definedName>
    <definedName name="eeeee" hidden="1">{"'Feuil1'!$A$1:$Y$50"}</definedName>
    <definedName name="EEEEEE" localSheetId="4">#REF!</definedName>
    <definedName name="EEEEEE" localSheetId="5">#REF!</definedName>
    <definedName name="EEEEEE" localSheetId="0">#REF!</definedName>
    <definedName name="EEEEEE">#REF!</definedName>
    <definedName name="EETITEL" localSheetId="0">#REF!</definedName>
    <definedName name="EETITEL">#REF!</definedName>
    <definedName name="ef"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Ef_Riego_CP">#REF!</definedName>
    <definedName name="Ef_Riego_SP" localSheetId="0">#REF!</definedName>
    <definedName name="Ef_Riego_SP">#REF!</definedName>
    <definedName name="eFFETT" localSheetId="5">#REF!</definedName>
    <definedName name="eFFETT" localSheetId="0">#REF!</definedName>
    <definedName name="eFFETT">#REF!</definedName>
    <definedName name="efffee" localSheetId="4" hidden="1">#REF!</definedName>
    <definedName name="efffee" localSheetId="5" hidden="1">#REF!</definedName>
    <definedName name="efffee" localSheetId="0" hidden="1">#REF!</definedName>
    <definedName name="efffee" hidden="1">#REF!</definedName>
    <definedName name="eftr" localSheetId="4">#REF!</definedName>
    <definedName name="eftr" localSheetId="5">#REF!</definedName>
    <definedName name="eftr" localSheetId="0">#REF!</definedName>
    <definedName name="eftr">#REF!</definedName>
    <definedName name="EFTR2" localSheetId="4">#REF!</definedName>
    <definedName name="EFTR2" localSheetId="5">#REF!</definedName>
    <definedName name="EFTR2" localSheetId="0">#REF!</definedName>
    <definedName name="EFTR2">#REF!</definedName>
    <definedName name="EGRESOS_TOT" localSheetId="4">#REF!</definedName>
    <definedName name="EGRESOS_TOT" localSheetId="5">#REF!</definedName>
    <definedName name="EGRESOS_TOT" localSheetId="0">#REF!</definedName>
    <definedName name="EGRESOS_TOT">#REF!</definedName>
    <definedName name="eiro" localSheetId="4">#REF!</definedName>
    <definedName name="eiro" localSheetId="5">#REF!</definedName>
    <definedName name="eiro" localSheetId="0">#REF!</definedName>
    <definedName name="eiro">#REF!</definedName>
    <definedName name="ekr" localSheetId="0">#REF!</definedName>
    <definedName name="ekr">#REF!</definedName>
    <definedName name="elast1" localSheetId="0">#REF!</definedName>
    <definedName name="elast1">#REF!</definedName>
    <definedName name="elast2" localSheetId="0">#REF!</definedName>
    <definedName name="elast2">#REF!</definedName>
    <definedName name="elast3" localSheetId="0">#REF!</definedName>
    <definedName name="elast3">#REF!</definedName>
    <definedName name="elast4" localSheetId="0">#REF!</definedName>
    <definedName name="elast4">#REF!</definedName>
    <definedName name="ELBLK_REMARKS" localSheetId="4">#REF!</definedName>
    <definedName name="ELBLK_REMARKS" localSheetId="5">#REF!</definedName>
    <definedName name="ELBLK_REMARKS" localSheetId="0">#REF!</definedName>
    <definedName name="ELBLK_REMARKS">#REF!</definedName>
    <definedName name="elcor">1</definedName>
    <definedName name="ele" localSheetId="0">#REF!</definedName>
    <definedName name="ele">#REF!</definedName>
    <definedName name="ELEC_INSTR" localSheetId="4">#REF!</definedName>
    <definedName name="ELEC_INSTR" localSheetId="5">#REF!</definedName>
    <definedName name="ELEC_INSTR" localSheetId="0">#REF!</definedName>
    <definedName name="ELEC_INSTR">#REF!</definedName>
    <definedName name="ELECTRICAL" localSheetId="4">#REF!</definedName>
    <definedName name="ELECTRICAL" localSheetId="5">#REF!</definedName>
    <definedName name="ELECTRICAL" localSheetId="0">#REF!</definedName>
    <definedName name="ELECTRICAL">#REF!</definedName>
    <definedName name="eleke" localSheetId="4">#REF!</definedName>
    <definedName name="eleke" localSheetId="5">#REF!</definedName>
    <definedName name="eleke" localSheetId="0">#REF!</definedName>
    <definedName name="eleke">#REF!</definedName>
    <definedName name="eleke_2" localSheetId="4">#REF!</definedName>
    <definedName name="eleke_2" localSheetId="0">#REF!</definedName>
    <definedName name="eleke_2">#REF!</definedName>
    <definedName name="eleke_6" localSheetId="4">#REF!</definedName>
    <definedName name="eleke_6" localSheetId="0">#REF!</definedName>
    <definedName name="eleke_6">#REF!</definedName>
    <definedName name="elektryka" localSheetId="0">#REF!</definedName>
    <definedName name="elektryka">#REF!</definedName>
    <definedName name="Element" localSheetId="4">#REF!</definedName>
    <definedName name="Element" localSheetId="5">#REF!</definedName>
    <definedName name="Element" localSheetId="0">#REF!</definedName>
    <definedName name="Element">#REF!</definedName>
    <definedName name="ElementRobót" localSheetId="4">#REF!</definedName>
    <definedName name="ElementRobót" localSheetId="5">#REF!</definedName>
    <definedName name="ElementRobót" localSheetId="0">#REF!</definedName>
    <definedName name="ElementRobót">#REF!</definedName>
    <definedName name="Elementy" localSheetId="4">#REF!</definedName>
    <definedName name="Elementy" localSheetId="5">#REF!</definedName>
    <definedName name="Elementy" localSheetId="0">#REF!</definedName>
    <definedName name="Elementy">#REF!</definedName>
    <definedName name="Elenco_Unità_con_UO" localSheetId="0">#REF!</definedName>
    <definedName name="Elenco_Unità_con_UO">#REF!</definedName>
    <definedName name="elenco1" localSheetId="0">#REF!</definedName>
    <definedName name="elenco1">#REF!</definedName>
    <definedName name="ELEQ_REMARKS" localSheetId="4">#REF!</definedName>
    <definedName name="ELEQ_REMARKS" localSheetId="5">#REF!</definedName>
    <definedName name="ELEQ_REMARKS" localSheetId="0">#REF!</definedName>
    <definedName name="ELEQ_REMARKS">#REF!</definedName>
    <definedName name="email" localSheetId="4">#REF!</definedName>
    <definedName name="email" localSheetId="5">#REF!</definedName>
    <definedName name="email" localSheetId="0">#REF!</definedName>
    <definedName name="email">#REF!</definedName>
    <definedName name="emailcliente" localSheetId="4">#REF!</definedName>
    <definedName name="emailcliente" localSheetId="5">#REF!</definedName>
    <definedName name="emailcliente" localSheetId="0">#REF!</definedName>
    <definedName name="emailcliente">#REF!</definedName>
    <definedName name="emaildelaobra" localSheetId="4">#REF!</definedName>
    <definedName name="emaildelaobra" localSheetId="0">#REF!</definedName>
    <definedName name="emaildelaobra">#REF!</definedName>
    <definedName name="EMB_METAL_COND" localSheetId="4">#REF!</definedName>
    <definedName name="EMB_METAL_COND" localSheetId="0">#REF!</definedName>
    <definedName name="EMB_METAL_COND">#REF!</definedName>
    <definedName name="EmbedQty" localSheetId="4">IF('Costo Directo'!BASE=1,#REF!*#REF!,#REF!*#REF!/1.685552931)</definedName>
    <definedName name="EmbedQty" localSheetId="6">IF(BASE=1,#REF!*#REF!,#REF!*#REF!/1.685552931)</definedName>
    <definedName name="EmbedQty" localSheetId="5">IF(BASE=1,#REF!*#REF!,#REF!*#REF!/1.685552931)</definedName>
    <definedName name="EmbedQty" localSheetId="0">IF('Resumen Ejecutivo'!BASE=1,#REF!*#REF!,#REF!*#REF!/1.685552931)</definedName>
    <definedName name="EmbedQty">IF(BASE=1,#REF!*#REF!,#REF!*#REF!/1.685552931)</definedName>
    <definedName name="EmbedQty1" localSheetId="4">IF('Costo Directo'!BASE=1,#REF!*#REF!,#REF!*#REF!/1.685552931)</definedName>
    <definedName name="EmbedQty1" localSheetId="6">IF(BASE=1,#REF!*#REF!,#REF!*#REF!/1.685552931)</definedName>
    <definedName name="EmbedQty1" localSheetId="5">IF(BASE=1,#REF!*#REF!,#REF!*#REF!/1.685552931)</definedName>
    <definedName name="EmbedQty1" localSheetId="0">IF('Resumen Ejecutivo'!BASE=1,#REF!*#REF!,#REF!*#REF!/1.685552931)</definedName>
    <definedName name="EmbedQty1">IF(BASE=1,#REF!*#REF!,#REF!*#REF!/1.685552931)</definedName>
    <definedName name="EMP20121TP" localSheetId="4">#REF!</definedName>
    <definedName name="EMP20121TP" localSheetId="6">#REF!</definedName>
    <definedName name="EMP20121TP" localSheetId="5">#REF!</definedName>
    <definedName name="EMP20121TP" localSheetId="0">#REF!</definedName>
    <definedName name="EMP20121TP">#REF!</definedName>
    <definedName name="EMP20121TR" localSheetId="4">#REF!</definedName>
    <definedName name="EMP20121TR" localSheetId="6">#REF!</definedName>
    <definedName name="EMP20121TR" localSheetId="5">#REF!</definedName>
    <definedName name="EMP20121TR" localSheetId="0">#REF!</definedName>
    <definedName name="EMP20121TR">#REF!</definedName>
    <definedName name="EMP2012V0" localSheetId="4">#REF!</definedName>
    <definedName name="EMP2012V0" localSheetId="6">#REF!</definedName>
    <definedName name="EMP2012V0" localSheetId="5">#REF!</definedName>
    <definedName name="EMP2012V0" localSheetId="0">#REF!</definedName>
    <definedName name="EMP2012V0">#REF!</definedName>
    <definedName name="EMP2012V1" localSheetId="4">#REF!</definedName>
    <definedName name="EMP2012V1" localSheetId="0">#REF!</definedName>
    <definedName name="EMP2012V1">#REF!</definedName>
    <definedName name="EMP2012V1NC" localSheetId="4">#REF!</definedName>
    <definedName name="EMP2012V1NC" localSheetId="0">#REF!</definedName>
    <definedName name="EMP2012V1NC">#REF!</definedName>
    <definedName name="EMP2012V1OC" localSheetId="4">#REF!</definedName>
    <definedName name="EMP2012V1OC" localSheetId="0">#REF!</definedName>
    <definedName name="EMP2012V1OC">#REF!</definedName>
    <definedName name="EMPD20121TP" localSheetId="4">#REF!</definedName>
    <definedName name="EMPD20121TP" localSheetId="0">#REF!</definedName>
    <definedName name="EMPD20121TP">#REF!</definedName>
    <definedName name="EMPD20121TR" localSheetId="4">#REF!</definedName>
    <definedName name="EMPD20121TR" localSheetId="0">#REF!</definedName>
    <definedName name="EMPD20121TR">#REF!</definedName>
    <definedName name="EMPD2012V0" localSheetId="4">#REF!</definedName>
    <definedName name="EMPD2012V0" localSheetId="0">#REF!</definedName>
    <definedName name="EMPD2012V0">#REF!</definedName>
    <definedName name="EMPD2012V1" localSheetId="4">#REF!</definedName>
    <definedName name="EMPD2012V1" localSheetId="0">#REF!</definedName>
    <definedName name="EMPD2012V1">#REF!</definedName>
    <definedName name="EMPD2012V1NC" localSheetId="4">#REF!</definedName>
    <definedName name="EMPD2012V1NC" localSheetId="0">#REF!</definedName>
    <definedName name="EMPD2012V1NC">#REF!</definedName>
    <definedName name="EMPD2012V1OC" localSheetId="4">#REF!</definedName>
    <definedName name="EMPD2012V1OC" localSheetId="0">#REF!</definedName>
    <definedName name="EMPD2012V1OC">#REF!</definedName>
    <definedName name="EMPDEL20121TP" localSheetId="4">#REF!</definedName>
    <definedName name="EMPDEL20121TP" localSheetId="0">#REF!</definedName>
    <definedName name="EMPDEL20121TP">#REF!</definedName>
    <definedName name="EMPDEL20121TR" localSheetId="4">#REF!</definedName>
    <definedName name="EMPDEL20121TR" localSheetId="0">#REF!</definedName>
    <definedName name="EMPDEL20121TR">#REF!</definedName>
    <definedName name="EMPDEL2012V0" localSheetId="4">#REF!</definedName>
    <definedName name="EMPDEL2012V0" localSheetId="0">#REF!</definedName>
    <definedName name="EMPDEL2012V0">#REF!</definedName>
    <definedName name="EMPDEL2012V1" localSheetId="4">#REF!</definedName>
    <definedName name="EMPDEL2012V1" localSheetId="0">#REF!</definedName>
    <definedName name="EMPDEL2012V1">#REF!</definedName>
    <definedName name="EMPDEL2012V1NC" localSheetId="4">#REF!</definedName>
    <definedName name="EMPDEL2012V1NC" localSheetId="0">#REF!</definedName>
    <definedName name="EMPDEL2012V1NC">#REF!</definedName>
    <definedName name="EMPDEL2012V1OC" localSheetId="4">#REF!</definedName>
    <definedName name="EMPDEL2012V1OC" localSheetId="0">#REF!</definedName>
    <definedName name="EMPDEL2012V1OC">#REF!</definedName>
    <definedName name="EMPI20121TP" localSheetId="4">#REF!</definedName>
    <definedName name="EMPI20121TP" localSheetId="0">#REF!</definedName>
    <definedName name="EMPI20121TP">#REF!</definedName>
    <definedName name="EMPI20121TR" localSheetId="4">#REF!</definedName>
    <definedName name="EMPI20121TR" localSheetId="0">#REF!</definedName>
    <definedName name="EMPI20121TR">#REF!</definedName>
    <definedName name="EMPI2012V0" localSheetId="4">#REF!</definedName>
    <definedName name="EMPI2012V0" localSheetId="0">#REF!</definedName>
    <definedName name="EMPI2012V0">#REF!</definedName>
    <definedName name="EMPI2012V1" localSheetId="4">#REF!</definedName>
    <definedName name="EMPI2012V1" localSheetId="0">#REF!</definedName>
    <definedName name="EMPI2012V1">#REF!</definedName>
    <definedName name="EMPI2012V1NC" localSheetId="4">#REF!</definedName>
    <definedName name="EMPI2012V1NC" localSheetId="0">#REF!</definedName>
    <definedName name="EMPI2012V1NC">#REF!</definedName>
    <definedName name="EMPI2012V1OC" localSheetId="4">#REF!</definedName>
    <definedName name="EMPI2012V1OC" localSheetId="0">#REF!</definedName>
    <definedName name="EMPI2012V1OC">#REF!</definedName>
    <definedName name="EMPOOCC20121TP" localSheetId="4">#REF!</definedName>
    <definedName name="EMPOOCC20121TP" localSheetId="0">#REF!</definedName>
    <definedName name="EMPOOCC20121TP">#REF!</definedName>
    <definedName name="EMPOOCC20121TR" localSheetId="4">#REF!</definedName>
    <definedName name="EMPOOCC20121TR" localSheetId="0">#REF!</definedName>
    <definedName name="EMPOOCC20121TR">#REF!</definedName>
    <definedName name="EMPOOCC2012V0" localSheetId="4">#REF!</definedName>
    <definedName name="EMPOOCC2012V0" localSheetId="0">#REF!</definedName>
    <definedName name="EMPOOCC2012V0">#REF!</definedName>
    <definedName name="EMPOOCC2012V1" localSheetId="4">#REF!</definedName>
    <definedName name="EMPOOCC2012V1" localSheetId="0">#REF!</definedName>
    <definedName name="EMPOOCC2012V1">#REF!</definedName>
    <definedName name="EMPOOCC2012V1NC" localSheetId="4">#REF!</definedName>
    <definedName name="EMPOOCC2012V1NC" localSheetId="0">#REF!</definedName>
    <definedName name="EMPOOCC2012V1NC">#REF!</definedName>
    <definedName name="EMPOOCC2012V1OC" localSheetId="4">#REF!</definedName>
    <definedName name="EMPOOCC2012V1OC" localSheetId="0">#REF!</definedName>
    <definedName name="EMPOOCC2012V1OC">#REF!</definedName>
    <definedName name="ENC002D" localSheetId="4">#REF!</definedName>
    <definedName name="ENC002D" localSheetId="0">#REF!</definedName>
    <definedName name="ENC002D">#REF!</definedName>
    <definedName name="END" localSheetId="4">#REF!</definedName>
    <definedName name="END" localSheetId="0">#REF!</definedName>
    <definedName name="END">#REF!</definedName>
    <definedName name="End_Bal" localSheetId="4">#REF!</definedName>
    <definedName name="End_Bal" localSheetId="0">#REF!</definedName>
    <definedName name="End_Bal">#REF!</definedName>
    <definedName name="ENERGET" localSheetId="4">#REF!</definedName>
    <definedName name="ENERGET" localSheetId="0">#REF!</definedName>
    <definedName name="ENERGET">#REF!</definedName>
    <definedName name="Eng_Hrs" localSheetId="4">#REF!</definedName>
    <definedName name="Eng_Hrs" localSheetId="0">#REF!</definedName>
    <definedName name="Eng_Hrs">#REF!</definedName>
    <definedName name="Eng_Rev" localSheetId="4">#REF!</definedName>
    <definedName name="Eng_Rev" localSheetId="0">#REF!</definedName>
    <definedName name="Eng_Rev">#REF!</definedName>
    <definedName name="EOL" localSheetId="4">#REF!</definedName>
    <definedName name="EOL" localSheetId="0">#REF!</definedName>
    <definedName name="EOL">#REF!</definedName>
    <definedName name="EP" localSheetId="4">#REF!</definedName>
    <definedName name="EP" localSheetId="0">#REF!</definedName>
    <definedName name="EP">#REF!</definedName>
    <definedName name="epepe" localSheetId="4">#REF!</definedName>
    <definedName name="epepe" localSheetId="0">#REF!</definedName>
    <definedName name="epepe">#REF!</definedName>
    <definedName name="epepe_2" localSheetId="4">#REF!</definedName>
    <definedName name="epepe_2" localSheetId="0">#REF!</definedName>
    <definedName name="epepe_2">#REF!</definedName>
    <definedName name="epepe_6" localSheetId="4">#REF!</definedName>
    <definedName name="epepe_6" localSheetId="0">#REF!</definedName>
    <definedName name="epepe_6">#REF!</definedName>
    <definedName name="epoxydowa" localSheetId="4">#REF!</definedName>
    <definedName name="epoxydowa" localSheetId="0">#REF!</definedName>
    <definedName name="epoxydowa">#REF!</definedName>
    <definedName name="epp" localSheetId="4">#REF!</definedName>
    <definedName name="epp" localSheetId="0">#REF!</definedName>
    <definedName name="epp">#REF!</definedName>
    <definedName name="eq" localSheetId="4" hidden="1">{#N/A,#N/A,FALSE,"minas";#N/A,#N/A,FALSE,"Total_OC015";#N/A,#N/A,FALSE,"ADMIN";#N/A,#N/A,FALSE,"PROCES";#N/A,#N/A,FALSE,"civil";#N/A,#N/A,FALSE,"CAÑER";#N/A,#N/A,FALSE,"ELEC";#N/A,#N/A,FALSE,"INSTR";#N/A,#N/A,FALSE,"PDS";#N/A,#N/A,FALSE,"mecan"}</definedName>
    <definedName name="eq" localSheetId="5" hidden="1">{#N/A,#N/A,FALSE,"minas";#N/A,#N/A,FALSE,"Total_OC015";#N/A,#N/A,FALSE,"ADMIN";#N/A,#N/A,FALSE,"PROCES";#N/A,#N/A,FALSE,"civil";#N/A,#N/A,FALSE,"CAÑER";#N/A,#N/A,FALSE,"ELEC";#N/A,#N/A,FALSE,"INSTR";#N/A,#N/A,FALSE,"PDS";#N/A,#N/A,FALSE,"mecan"}</definedName>
    <definedName name="eq" localSheetId="0" hidden="1">{#N/A,#N/A,FALSE,"minas";#N/A,#N/A,FALSE,"Total_OC015";#N/A,#N/A,FALSE,"ADMIN";#N/A,#N/A,FALSE,"PROCES";#N/A,#N/A,FALSE,"civil";#N/A,#N/A,FALSE,"CAÑER";#N/A,#N/A,FALSE,"ELEC";#N/A,#N/A,FALSE,"INSTR";#N/A,#N/A,FALSE,"PDS";#N/A,#N/A,FALSE,"mecan"}</definedName>
    <definedName name="eq" hidden="1">{#N/A,#N/A,FALSE,"minas";#N/A,#N/A,FALSE,"Total_OC015";#N/A,#N/A,FALSE,"ADMIN";#N/A,#N/A,FALSE,"PROCES";#N/A,#N/A,FALSE,"civil";#N/A,#N/A,FALSE,"CAÑER";#N/A,#N/A,FALSE,"ELEC";#N/A,#N/A,FALSE,"INSTR";#N/A,#N/A,FALSE,"PDS";#N/A,#N/A,FALSE,"mecan"}</definedName>
    <definedName name="EQ_0_AL_10" localSheetId="4">#REF!</definedName>
    <definedName name="EQ_0_AL_10" localSheetId="0">#REF!</definedName>
    <definedName name="EQ_0_AL_10">#REF!</definedName>
    <definedName name="equ" localSheetId="4" hidden="1">{#N/A,#N/A,TRUE,"Est. de Fact.";#N/A,#N/A,TRUE,"Capitulo 19";#N/A,#N/A,TRUE,"Proyecto P855"}</definedName>
    <definedName name="equ" localSheetId="5" hidden="1">{#N/A,#N/A,TRUE,"Est. de Fact.";#N/A,#N/A,TRUE,"Capitulo 19";#N/A,#N/A,TRUE,"Proyecto P855"}</definedName>
    <definedName name="equ" localSheetId="0" hidden="1">{#N/A,#N/A,TRUE,"Est. de Fact.";#N/A,#N/A,TRUE,"Capitulo 19";#N/A,#N/A,TRUE,"Proyecto P855"}</definedName>
    <definedName name="equ" hidden="1">{#N/A,#N/A,TRUE,"Est. de Fact.";#N/A,#N/A,TRUE,"Capitulo 19";#N/A,#N/A,TRUE,"Proyecto P855"}</definedName>
    <definedName name="equi" localSheetId="4" hidden="1">{#N/A,#N/A,FALSE,"Total_OC015";#N/A,#N/A,FALSE,"ADMIN";#N/A,#N/A,FALSE,"PROCES";#N/A,#N/A,FALSE,"mecan";#N/A,#N/A,FALSE,"civil";#N/A,#N/A,FALSE,"CAÑER";#N/A,#N/A,FALSE,"ELEC";#N/A,#N/A,FALSE,"INSTR"}</definedName>
    <definedName name="equi" localSheetId="5" hidden="1">{#N/A,#N/A,FALSE,"Total_OC015";#N/A,#N/A,FALSE,"ADMIN";#N/A,#N/A,FALSE,"PROCES";#N/A,#N/A,FALSE,"mecan";#N/A,#N/A,FALSE,"civil";#N/A,#N/A,FALSE,"CAÑER";#N/A,#N/A,FALSE,"ELEC";#N/A,#N/A,FALSE,"INSTR"}</definedName>
    <definedName name="equi" localSheetId="0" hidden="1">{#N/A,#N/A,FALSE,"Total_OC015";#N/A,#N/A,FALSE,"ADMIN";#N/A,#N/A,FALSE,"PROCES";#N/A,#N/A,FALSE,"mecan";#N/A,#N/A,FALSE,"civil";#N/A,#N/A,FALSE,"CAÑER";#N/A,#N/A,FALSE,"ELEC";#N/A,#N/A,FALSE,"INSTR"}</definedName>
    <definedName name="equi" hidden="1">{#N/A,#N/A,FALSE,"Total_OC015";#N/A,#N/A,FALSE,"ADMIN";#N/A,#N/A,FALSE,"PROCES";#N/A,#N/A,FALSE,"mecan";#N/A,#N/A,FALSE,"civil";#N/A,#N/A,FALSE,"CAÑER";#N/A,#N/A,FALSE,"ELEC";#N/A,#N/A,FALSE,"INSTR"}</definedName>
    <definedName name="EQUIP70_CITY" localSheetId="4">#REF!</definedName>
    <definedName name="EQUIP70_CITY" localSheetId="5">#REF!</definedName>
    <definedName name="EQUIP70_CITY" localSheetId="0">#REF!</definedName>
    <definedName name="EQUIP70_CITY">#REF!</definedName>
    <definedName name="EQUIP70_ESC" localSheetId="4">#REF!</definedName>
    <definedName name="EQUIP70_ESC" localSheetId="5">#REF!</definedName>
    <definedName name="EQUIP70_ESC" localSheetId="0">#REF!</definedName>
    <definedName name="EQUIP70_ESC">#REF!</definedName>
    <definedName name="EQUIP70_HRS" localSheetId="4">#REF!</definedName>
    <definedName name="EQUIP70_HRS" localSheetId="5">#REF!</definedName>
    <definedName name="EQUIP70_HRS" localSheetId="0">#REF!</definedName>
    <definedName name="EQUIP70_HRS">#REF!</definedName>
    <definedName name="EQUIP70_LAB" localSheetId="4">#REF!</definedName>
    <definedName name="EQUIP70_LAB" localSheetId="0">#REF!</definedName>
    <definedName name="EQUIP70_LAB">#REF!</definedName>
    <definedName name="EQUIP70_MAT" localSheetId="4">#REF!</definedName>
    <definedName name="EQUIP70_MAT" localSheetId="0">#REF!</definedName>
    <definedName name="EQUIP70_MAT">#REF!</definedName>
    <definedName name="EQUIP70_OLD_CITY" localSheetId="4">#REF!</definedName>
    <definedName name="EQUIP70_OLD_CITY" localSheetId="0">#REF!</definedName>
    <definedName name="EQUIP70_OLD_CITY">#REF!</definedName>
    <definedName name="EQUIP70_OLD_ESC" localSheetId="4">#REF!</definedName>
    <definedName name="EQUIP70_OLD_ESC" localSheetId="0">#REF!</definedName>
    <definedName name="EQUIP70_OLD_ESC">#REF!</definedName>
    <definedName name="EQUIP70_OLD_PROD" localSheetId="4">#REF!</definedName>
    <definedName name="EQUIP70_OLD_PROD" localSheetId="0">#REF!</definedName>
    <definedName name="EQUIP70_OLD_PROD">#REF!</definedName>
    <definedName name="EQUIP70_OLD_WAGE" localSheetId="4">#REF!</definedName>
    <definedName name="EQUIP70_OLD_WAGE" localSheetId="0">#REF!</definedName>
    <definedName name="EQUIP70_OLD_WAGE">#REF!</definedName>
    <definedName name="EQUIP70_PROD" localSheetId="4">#REF!</definedName>
    <definedName name="EQUIP70_PROD" localSheetId="0">#REF!</definedName>
    <definedName name="EQUIP70_PROD">#REF!</definedName>
    <definedName name="EQUIP70_SC" localSheetId="4">#REF!</definedName>
    <definedName name="EQUIP70_SC" localSheetId="0">#REF!</definedName>
    <definedName name="EQUIP70_SC">#REF!</definedName>
    <definedName name="EQUIP70_SCHRS" localSheetId="4">#REF!</definedName>
    <definedName name="EQUIP70_SCHRS" localSheetId="0">#REF!</definedName>
    <definedName name="EQUIP70_SCHRS">#REF!</definedName>
    <definedName name="EQUIP70_TOT" localSheetId="4">#REF!</definedName>
    <definedName name="EQUIP70_TOT" localSheetId="0">#REF!</definedName>
    <definedName name="EQUIP70_TOT">#REF!</definedName>
    <definedName name="EQUIP70_WAGE" localSheetId="4">#REF!</definedName>
    <definedName name="EQUIP70_WAGE" localSheetId="0">#REF!</definedName>
    <definedName name="EQUIP70_WAGE">#REF!</definedName>
    <definedName name="EquiposPerf" localSheetId="0">#REF!</definedName>
    <definedName name="EquiposPerf">#REF!</definedName>
    <definedName name="eqwrg" localSheetId="4">#REF!</definedName>
    <definedName name="eqwrg" localSheetId="5">#REF!</definedName>
    <definedName name="eqwrg" localSheetId="0">#REF!</definedName>
    <definedName name="eqwrg">#REF!</definedName>
    <definedName name="er" localSheetId="4" hidden="1">{#N/A,#N/A,FALSE,"SumG";#N/A,#N/A,FALSE,"ElecG";#N/A,#N/A,FALSE,"MechG";#N/A,#N/A,FALSE,"GeotG";#N/A,#N/A,FALSE,"PrcsG";#N/A,#N/A,FALSE,"TunnG";#N/A,#N/A,FALSE,"CivlG";#N/A,#N/A,FALSE,"NtwkG";#N/A,#N/A,FALSE,"EstgG";#N/A,#N/A,FALSE,"PEngG"}</definedName>
    <definedName name="er" localSheetId="6" hidden="1">{#N/A,#N/A,FALSE,"SumG";#N/A,#N/A,FALSE,"ElecG";#N/A,#N/A,FALSE,"MechG";#N/A,#N/A,FALSE,"GeotG";#N/A,#N/A,FALSE,"PrcsG";#N/A,#N/A,FALSE,"TunnG";#N/A,#N/A,FALSE,"CivlG";#N/A,#N/A,FALSE,"NtwkG";#N/A,#N/A,FALSE,"EstgG";#N/A,#N/A,FALSE,"PEngG"}</definedName>
    <definedName name="er" localSheetId="5" hidden="1">{#N/A,#N/A,FALSE,"SumG";#N/A,#N/A,FALSE,"ElecG";#N/A,#N/A,FALSE,"MechG";#N/A,#N/A,FALSE,"GeotG";#N/A,#N/A,FALSE,"PrcsG";#N/A,#N/A,FALSE,"TunnG";#N/A,#N/A,FALSE,"CivlG";#N/A,#N/A,FALSE,"NtwkG";#N/A,#N/A,FALSE,"EstgG";#N/A,#N/A,FALSE,"PEngG"}</definedName>
    <definedName name="er" localSheetId="0"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d" localSheetId="4" hidden="1">{#N/A,#N/A,FALSE,"IC_Global";#N/A,#N/A,FALSE,"IC_Global (98-f)";#N/A,#N/A,FALSE,"Inc";#N/A,#N/A,FALSE,"CAMBIOS (2)";#N/A,#N/A,FALSE,"EXPL Inc.";#N/A,#N/A,FALSE,"HITOS98";#N/A,#N/A,FALSE,"CURVA ""S"" GLOBAL ";#N/A,#N/A,FALSE,"CURVA ""S"" 1998 "}</definedName>
    <definedName name="erd" localSheetId="5" hidden="1">{#N/A,#N/A,FALSE,"IC_Global";#N/A,#N/A,FALSE,"IC_Global (98-f)";#N/A,#N/A,FALSE,"Inc";#N/A,#N/A,FALSE,"CAMBIOS (2)";#N/A,#N/A,FALSE,"EXPL Inc.";#N/A,#N/A,FALSE,"HITOS98";#N/A,#N/A,FALSE,"CURVA ""S"" GLOBAL ";#N/A,#N/A,FALSE,"CURVA ""S"" 1998 "}</definedName>
    <definedName name="erd" localSheetId="0" hidden="1">{#N/A,#N/A,FALSE,"IC_Global";#N/A,#N/A,FALSE,"IC_Global (98-f)";#N/A,#N/A,FALSE,"Inc";#N/A,#N/A,FALSE,"CAMBIOS (2)";#N/A,#N/A,FALSE,"EXPL Inc.";#N/A,#N/A,FALSE,"HITOS98";#N/A,#N/A,FALSE,"CURVA ""S"" GLOBAL ";#N/A,#N/A,FALSE,"CURVA ""S"" 1998 "}</definedName>
    <definedName name="erd" hidden="1">{#N/A,#N/A,FALSE,"IC_Global";#N/A,#N/A,FALSE,"IC_Global (98-f)";#N/A,#N/A,FALSE,"Inc";#N/A,#N/A,FALSE,"CAMBIOS (2)";#N/A,#N/A,FALSE,"EXPL Inc.";#N/A,#N/A,FALSE,"HITOS98";#N/A,#N/A,FALSE,"CURVA ""S"" GLOBAL ";#N/A,#N/A,FALSE,"CURVA ""S"" 1998 "}</definedName>
    <definedName name="ert" localSheetId="4">#REF!</definedName>
    <definedName name="ert" localSheetId="5">#REF!</definedName>
    <definedName name="ert" localSheetId="0">#REF!</definedName>
    <definedName name="ert">#REF!</definedName>
    <definedName name="es">#N/A</definedName>
    <definedName name="ESC" localSheetId="4">#REF!/100</definedName>
    <definedName name="ESC" localSheetId="5">#REF!/100</definedName>
    <definedName name="ESC" localSheetId="0">#REF!/100</definedName>
    <definedName name="ESC">#REF!/100</definedName>
    <definedName name="ESC_CABLE" localSheetId="4">#REF!</definedName>
    <definedName name="ESC_CABLE" localSheetId="5">#REF!</definedName>
    <definedName name="ESC_CABLE" localSheetId="0">#REF!</definedName>
    <definedName name="ESC_CABLE">#REF!</definedName>
    <definedName name="ESC_CNTL_VLVES" localSheetId="4">#REF!</definedName>
    <definedName name="ESC_CNTL_VLVES" localSheetId="5">#REF!</definedName>
    <definedName name="ESC_CNTL_VLVES" localSheetId="0">#REF!</definedName>
    <definedName name="ESC_CNTL_VLVES">#REF!</definedName>
    <definedName name="ESC_COND" localSheetId="4">#REF!</definedName>
    <definedName name="ESC_COND" localSheetId="5">#REF!</definedName>
    <definedName name="ESC_COND" localSheetId="0">#REF!</definedName>
    <definedName name="ESC_COND">#REF!</definedName>
    <definedName name="ESC_DB" localSheetId="4">#REF!</definedName>
    <definedName name="ESC_DB" localSheetId="0">#REF!</definedName>
    <definedName name="ESC_DB">#REF!</definedName>
    <definedName name="ESC_OTHER" localSheetId="4">#REF!</definedName>
    <definedName name="ESC_OTHER" localSheetId="0">#REF!</definedName>
    <definedName name="ESC_OTHER">#REF!</definedName>
    <definedName name="ESC_TRAY" localSheetId="4">#REF!</definedName>
    <definedName name="ESC_TRAY" localSheetId="0">#REF!</definedName>
    <definedName name="ESC_TRAY">#REF!</definedName>
    <definedName name="Escalation_direct_civil" localSheetId="0">#REF!</definedName>
    <definedName name="Escalation_direct_civil">#REF!</definedName>
    <definedName name="escalation_indirect" localSheetId="0">#REF!</definedName>
    <definedName name="escalation_indirect">#REF!</definedName>
    <definedName name="escalationTime" localSheetId="5">#REF!-#REF!</definedName>
    <definedName name="escalationTime" localSheetId="0">#REF!-#REF!</definedName>
    <definedName name="escalationTime">#REF!-#REF!</definedName>
    <definedName name="escudome">"Imagen 280"</definedName>
    <definedName name="espa?a" localSheetId="4" hidden="1">#REF!</definedName>
    <definedName name="espa?a" localSheetId="5" hidden="1">#REF!</definedName>
    <definedName name="espa?a" localSheetId="0" hidden="1">#REF!</definedName>
    <definedName name="espa?a" hidden="1">#REF!</definedName>
    <definedName name="españa" localSheetId="4" hidden="1">#REF!</definedName>
    <definedName name="españa" localSheetId="5" hidden="1">#REF!</definedName>
    <definedName name="españa" localSheetId="0" hidden="1">#REF!</definedName>
    <definedName name="españa" hidden="1">#REF!</definedName>
    <definedName name="EST20121TP" localSheetId="4">#REF!</definedName>
    <definedName name="EST20121TP" localSheetId="5">#REF!</definedName>
    <definedName name="EST20121TP" localSheetId="0">#REF!</definedName>
    <definedName name="EST20121TP">#REF!</definedName>
    <definedName name="EST20121TR" localSheetId="4">#REF!</definedName>
    <definedName name="EST20121TR" localSheetId="0">#REF!</definedName>
    <definedName name="EST20121TR">#REF!</definedName>
    <definedName name="EST2012V0" localSheetId="4">#REF!</definedName>
    <definedName name="EST2012V0" localSheetId="0">#REF!</definedName>
    <definedName name="EST2012V0">#REF!</definedName>
    <definedName name="EST2012V1" localSheetId="4">#REF!</definedName>
    <definedName name="EST2012V1" localSheetId="0">#REF!</definedName>
    <definedName name="EST2012V1">#REF!</definedName>
    <definedName name="EST2012V1NC" localSheetId="4">#REF!</definedName>
    <definedName name="EST2012V1NC" localSheetId="0">#REF!</definedName>
    <definedName name="EST2012V1NC">#REF!</definedName>
    <definedName name="EST2012V1OC" localSheetId="4">#REF!</definedName>
    <definedName name="EST2012V1OC" localSheetId="0">#REF!</definedName>
    <definedName name="EST2012V1OC">#REF!</definedName>
    <definedName name="estado" localSheetId="4">#REF!</definedName>
    <definedName name="estado" localSheetId="0">#REF!</definedName>
    <definedName name="estado">#REF!</definedName>
    <definedName name="estadodelaobra" localSheetId="4">#REF!</definedName>
    <definedName name="estadodelaobra" localSheetId="0">#REF!</definedName>
    <definedName name="estadodelaobra">#REF!</definedName>
    <definedName name="estgastos" localSheetId="0">#REF!</definedName>
    <definedName name="estgastos">#REF!</definedName>
    <definedName name="Estimación" localSheetId="5">#REF!</definedName>
    <definedName name="Estimación" localSheetId="0">#REF!</definedName>
    <definedName name="Estimación">#REF!</definedName>
    <definedName name="EstimateType" localSheetId="4">#REF!</definedName>
    <definedName name="EstimateType" localSheetId="5">#REF!</definedName>
    <definedName name="EstimateType" localSheetId="0">#REF!</definedName>
    <definedName name="EstimateType">#REF!</definedName>
    <definedName name="Estimating_Click">#N/A</definedName>
    <definedName name="Estimating_Click_PDBT">#N/A</definedName>
    <definedName name="ESTRUCTURAS" localSheetId="4">#REF!</definedName>
    <definedName name="ESTRUCTURAS" localSheetId="5">#REF!</definedName>
    <definedName name="ESTRUCTURAS" localSheetId="0">#REF!</definedName>
    <definedName name="ESTRUCTURAS">#REF!</definedName>
    <definedName name="Eto" localSheetId="0">#REF!</definedName>
    <definedName name="Eto">#REF!</definedName>
    <definedName name="Eto_dia" localSheetId="0">#REF!</definedName>
    <definedName name="Eto_dia">#REF!</definedName>
    <definedName name="Eto_Mes" localSheetId="0">#REF!</definedName>
    <definedName name="Eto_Mes">#REF!</definedName>
    <definedName name="EU" localSheetId="4">#REF!</definedName>
    <definedName name="EU" localSheetId="5">#REF!</definedName>
    <definedName name="EU" localSheetId="0">#REF!</definedName>
    <definedName name="EU">#REF!</definedName>
    <definedName name="eur" localSheetId="4">#REF!</definedName>
    <definedName name="eur" localSheetId="0">#REF!</definedName>
    <definedName name="eur">#REF!</definedName>
    <definedName name="eur." localSheetId="4">#REF!</definedName>
    <definedName name="eur." localSheetId="5">#REF!</definedName>
    <definedName name="eur." localSheetId="0">#REF!</definedName>
    <definedName name="eur.">#REF!</definedName>
    <definedName name="EUR_NOK">9.15</definedName>
    <definedName name="euro" localSheetId="4">#REF!</definedName>
    <definedName name="euro" localSheetId="5">#REF!</definedName>
    <definedName name="euro" localSheetId="0">#REF!</definedName>
    <definedName name="euro">#REF!</definedName>
    <definedName name="Euro_Dollar" localSheetId="4">#REF!</definedName>
    <definedName name="Euro_Dollar" localSheetId="5">#REF!</definedName>
    <definedName name="Euro_Dollar" localSheetId="0">#REF!</definedName>
    <definedName name="Euro_Dollar">#REF!</definedName>
    <definedName name="euro1" localSheetId="4">#REF!</definedName>
    <definedName name="euro1" localSheetId="5">#REF!</definedName>
    <definedName name="euro1" localSheetId="0">#REF!</definedName>
    <definedName name="euro1">#REF!</definedName>
    <definedName name="euro2" localSheetId="4">#REF!</definedName>
    <definedName name="euro2" localSheetId="5">#REF!</definedName>
    <definedName name="euro2" localSheetId="0">#REF!</definedName>
    <definedName name="euro2">#REF!</definedName>
    <definedName name="europodwykonawcy" localSheetId="4">#REF!</definedName>
    <definedName name="europodwykonawcy" localSheetId="5">#REF!</definedName>
    <definedName name="europodwykonawcy" localSheetId="0">#REF!</definedName>
    <definedName name="europodwykonawcy">#REF!</definedName>
    <definedName name="Euroskilt">1</definedName>
    <definedName name="EV__LASTREFTIME__" hidden="1">39006.6141666667</definedName>
    <definedName name="ewwee">#REF!</definedName>
    <definedName name="ex_joint" localSheetId="4">#REF!</definedName>
    <definedName name="ex_joint" localSheetId="5">#REF!</definedName>
    <definedName name="ex_joint" localSheetId="0">#REF!</definedName>
    <definedName name="ex_joint">#REF!</definedName>
    <definedName name="excavaciones" localSheetId="0">#REF!</definedName>
    <definedName name="excavaciones">#REF!</definedName>
    <definedName name="excel" localSheetId="4">#REF!</definedName>
    <definedName name="excel" localSheetId="5">#REF!</definedName>
    <definedName name="excel" localSheetId="0">#REF!</definedName>
    <definedName name="excel">#REF!</definedName>
    <definedName name="Excel_BuiltIn__FilterDatabase_1" localSheetId="4">#REF!</definedName>
    <definedName name="Excel_BuiltIn__FilterDatabase_1" localSheetId="5">#REF!</definedName>
    <definedName name="Excel_BuiltIn__FilterDatabase_1" localSheetId="0">#REF!</definedName>
    <definedName name="Excel_BuiltIn__FilterDatabase_1">#REF!</definedName>
    <definedName name="Excel_BuiltIn__FilterDatabase_10">"$#ODWOŁANIE.$C$27:$J$27"</definedName>
    <definedName name="Excel_BuiltIn__FilterDatabase_11">"$#ODWOŁANIE.$C$27:$J$27"</definedName>
    <definedName name="Excel_BuiltIn__FilterDatabase_12">"$#ODWOŁANIE.$C$27:$J$27"</definedName>
    <definedName name="Excel_BuiltIn__FilterDatabase_13">"$#ODWOŁANIE.$C$27:$J$27"</definedName>
    <definedName name="Excel_BuiltIn__FilterDatabase_14">"$#ODWOŁANIE.$C$27:$J$27"</definedName>
    <definedName name="Excel_BuiltIn__FilterDatabase_15">"$#ODWOŁANIE.$C$27:$J$27"</definedName>
    <definedName name="Excel_BuiltIn__FilterDatabase_16">"$#ODWOŁANIE.$C$27:$J$27"</definedName>
    <definedName name="Excel_BuiltIn__FilterDatabase_17">"$#ODWOŁANIE.$C$27:$J$27"</definedName>
    <definedName name="Excel_BuiltIn__FilterDatabase_18">"$#ODWOŁANIE.$C$27:$J$27"</definedName>
    <definedName name="Excel_BuiltIn__FilterDatabase_19" localSheetId="4">#REF!</definedName>
    <definedName name="Excel_BuiltIn__FilterDatabase_19" localSheetId="5">#REF!</definedName>
    <definedName name="Excel_BuiltIn__FilterDatabase_19" localSheetId="0">#REF!</definedName>
    <definedName name="Excel_BuiltIn__FilterDatabase_19">#REF!</definedName>
    <definedName name="Excel_BuiltIn__FilterDatabase_2" localSheetId="4">#REF!</definedName>
    <definedName name="Excel_BuiltIn__FilterDatabase_2" localSheetId="5">#REF!</definedName>
    <definedName name="Excel_BuiltIn__FilterDatabase_2" localSheetId="0">#REF!</definedName>
    <definedName name="Excel_BuiltIn__FilterDatabase_2">#REF!</definedName>
    <definedName name="Excel_BuiltIn__FilterDatabase_20" localSheetId="4">#REF!</definedName>
    <definedName name="Excel_BuiltIn__FilterDatabase_20" localSheetId="5">#REF!</definedName>
    <definedName name="Excel_BuiltIn__FilterDatabase_20" localSheetId="0">#REF!</definedName>
    <definedName name="Excel_BuiltIn__FilterDatabase_20">#REF!</definedName>
    <definedName name="Excel_BuiltIn__FilterDatabase_21" localSheetId="4">#REF!</definedName>
    <definedName name="Excel_BuiltIn__FilterDatabase_21" localSheetId="0">#REF!</definedName>
    <definedName name="Excel_BuiltIn__FilterDatabase_21">#REF!</definedName>
    <definedName name="Excel_BuiltIn__FilterDatabase_22">"$#ODWOŁANIE.$C$27:$J$27"</definedName>
    <definedName name="Excel_BuiltIn__FilterDatabase_23">"$#ODWOŁANIE.$C$27:$J$27"</definedName>
    <definedName name="Excel_BuiltIn__FilterDatabase_24">"$#ODWOŁANIE.$C$27:$J$27"</definedName>
    <definedName name="Excel_BuiltIn__FilterDatabase_25">"$#ODWOŁANIE.$C$27:$J$27"</definedName>
    <definedName name="Excel_BuiltIn__FilterDatabase_26">"$#ODWOŁANIE.$C$27:$J$27"</definedName>
    <definedName name="Excel_BuiltIn__FilterDatabase_27">"$#ODWOŁANIE.$C$27:$J$27"</definedName>
    <definedName name="Excel_BuiltIn__FilterDatabase_28">"$#ODWOŁANIE.$C$27:$J$27"</definedName>
    <definedName name="Excel_BuiltIn__FilterDatabase_29">"$#ODWOŁANIE.$C$27:$J$27"</definedName>
    <definedName name="Excel_BuiltIn__FilterDatabase_3" localSheetId="4">#REF!</definedName>
    <definedName name="Excel_BuiltIn__FilterDatabase_3" localSheetId="5">#REF!</definedName>
    <definedName name="Excel_BuiltIn__FilterDatabase_3" localSheetId="0">#REF!</definedName>
    <definedName name="Excel_BuiltIn__FilterDatabase_3">#REF!</definedName>
    <definedName name="Excel_BuiltIn__FilterDatabase_30">"$#ODWOŁANIE.$C$27:$J$27"</definedName>
    <definedName name="Excel_BuiltIn__FilterDatabase_31">"$#ODWOŁANIE.$C$27:$J$27"</definedName>
    <definedName name="Excel_BuiltIn__FilterDatabase_32">"$#ODWOŁANIE.$C$27:$J$27"</definedName>
    <definedName name="Excel_BuiltIn__FilterDatabase_35">"$#ODWOŁANIE.$C$1:$C$2"</definedName>
    <definedName name="Excel_BuiltIn__FilterDatabase_4" localSheetId="4">#REF!</definedName>
    <definedName name="Excel_BuiltIn__FilterDatabase_4" localSheetId="5">#REF!</definedName>
    <definedName name="Excel_BuiltIn__FilterDatabase_4" localSheetId="0">#REF!</definedName>
    <definedName name="Excel_BuiltIn__FilterDatabase_4">#REF!</definedName>
    <definedName name="Excel_BuiltIn__FilterDatabase_43">"$#ODWOŁANIE.$#ODWOŁANIE$#ODWOŁANIE:$#ODWOŁANIE$#ODWOŁANIE"</definedName>
    <definedName name="Excel_BuiltIn__FilterDatabase_5" localSheetId="4">#REF!</definedName>
    <definedName name="Excel_BuiltIn__FilterDatabase_5" localSheetId="5">#REF!</definedName>
    <definedName name="Excel_BuiltIn__FilterDatabase_5" localSheetId="0">#REF!</definedName>
    <definedName name="Excel_BuiltIn__FilterDatabase_5">#REF!</definedName>
    <definedName name="Excel_BuiltIn__FilterDatabase_5_1" localSheetId="4">#REF!</definedName>
    <definedName name="Excel_BuiltIn__FilterDatabase_5_1" localSheetId="5">#REF!</definedName>
    <definedName name="Excel_BuiltIn__FilterDatabase_5_1" localSheetId="0">#REF!</definedName>
    <definedName name="Excel_BuiltIn__FilterDatabase_5_1">#REF!</definedName>
    <definedName name="Excel_BuiltIn__FilterDatabase_52">"$#ODWOŁANIE.$F$1:$F$2"</definedName>
    <definedName name="Excel_BuiltIn__FilterDatabase_6">"$#ODWOŁANIE.$C$27:$J$27"</definedName>
    <definedName name="Excel_BuiltIn__FilterDatabase_7">"$#ODWOŁANIE.$C$27:$J$27"</definedName>
    <definedName name="Excel_BuiltIn__FilterDatabase_8">"$#ODWOŁANIE.$C$27:$J$27"</definedName>
    <definedName name="Excel_BuiltIn__FilterDatabase_8_1">"$#ODWOŁANIE.$B$1:$K$2"</definedName>
    <definedName name="Excel_BuiltIn__FilterDatabase_9">"$#ODWOŁANIE.$C$27:$J$27"</definedName>
    <definedName name="Excel_BuiltIn_Criteria" localSheetId="4">#REF!</definedName>
    <definedName name="Excel_BuiltIn_Criteria" localSheetId="5">#REF!</definedName>
    <definedName name="Excel_BuiltIn_Criteria" localSheetId="0">#REF!</definedName>
    <definedName name="Excel_BuiltIn_Criteria">#REF!</definedName>
    <definedName name="Excel_BuiltIn_Criteria_0" localSheetId="4">#REF!</definedName>
    <definedName name="Excel_BuiltIn_Criteria_0" localSheetId="5">#REF!</definedName>
    <definedName name="Excel_BuiltIn_Criteria_0" localSheetId="0">#REF!</definedName>
    <definedName name="Excel_BuiltIn_Criteria_0">#REF!</definedName>
    <definedName name="Excel_BuiltIn_Criteria_10">"$#ODWOŁANIE.$#ODWOŁANIE$#ODWOŁANIE:$#ODWOŁANIE$#ODWOŁANIE"</definedName>
    <definedName name="Excel_BuiltIn_Criteria_11">"$#ODWOŁANIE.$#ODWOŁANIE$#ODWOŁANIE:$#ODWOŁANIE$#ODWOŁANIE"</definedName>
    <definedName name="Excel_BuiltIn_Criteria_12">"$#ODWOŁANIE.$#ODWOŁANIE$#ODWOŁANIE:$#ODWOŁANIE$#ODWOŁANIE"</definedName>
    <definedName name="Excel_BuiltIn_Criteria_13">"$#ODWOŁANIE.$#ODWOŁANIE$#ODWOŁANIE:$#ODWOŁANIE$#ODWOŁANIE"</definedName>
    <definedName name="Excel_BuiltIn_Criteria_14">"$#ODWOŁANIE.$#ODWOŁANIE$#ODWOŁANIE:$#ODWOŁANIE$#ODWOŁANIE"</definedName>
    <definedName name="Excel_BuiltIn_Criteria_15">"$#ODWOŁANIE.$#ODWOŁANIE$#ODWOŁANIE:$#ODWOŁANIE$#ODWOŁANIE"</definedName>
    <definedName name="Excel_BuiltIn_Criteria_16">"$#ODWOŁANIE.$#ODWOŁANIE$#ODWOŁANIE:$#ODWOŁANIE$#ODWOŁANIE"</definedName>
    <definedName name="Excel_BuiltIn_Criteria_17">"$#ODWOŁANIE.$#ODWOŁANIE$#ODWOŁANIE:$#ODWOŁANIE$#ODWOŁANIE"</definedName>
    <definedName name="Excel_BuiltIn_Criteria_18">"$#ODWOŁANIE.$#ODWOŁANIE$#ODWOŁANIE:$#ODWOŁANIE$#ODWOŁANIE"</definedName>
    <definedName name="Excel_BuiltIn_Criteria_2">#REF!</definedName>
    <definedName name="Excel_BuiltIn_Criteria_22">"$#ODWOŁANIE.$#ODWOŁANIE$#ODWOŁANIE:$#ODWOŁANIE$#ODWOŁANIE"</definedName>
    <definedName name="Excel_BuiltIn_Criteria_23">"$#ODWOŁANIE.$#ODWOŁANIE$#ODWOŁANIE:$#ODWOŁANIE$#ODWOŁANIE"</definedName>
    <definedName name="Excel_BuiltIn_Criteria_24">"$#ODWOŁANIE.$#ODWOŁANIE$#ODWOŁANIE:$#ODWOŁANIE$#ODWOŁANIE"</definedName>
    <definedName name="Excel_BuiltIn_Criteria_25">"$#ODWOŁANIE.$#ODWOŁANIE$#ODWOŁANIE:$#ODWOŁANIE$#ODWOŁANIE"</definedName>
    <definedName name="Excel_BuiltIn_Criteria_26">"$#ODWOŁANIE.$#ODWOŁANIE$#ODWOŁANIE:$#ODWOŁANIE$#ODWOŁANIE"</definedName>
    <definedName name="Excel_BuiltIn_Criteria_27">"$#ODWOŁANIE.$#ODWOŁANIE$#ODWOŁANIE:$#ODWOŁANIE$#ODWOŁANIE"</definedName>
    <definedName name="Excel_BuiltIn_Criteria_28">"$#ODWOŁANIE.$#ODWOŁANIE$#ODWOŁANIE:$#ODWOŁANIE$#ODWOŁANIE"</definedName>
    <definedName name="Excel_BuiltIn_Criteria_29">"$#ODWOŁANIE.$#ODWOŁANIE$#ODWOŁANIE:$#ODWOŁANIE$#ODWOŁANIE"</definedName>
    <definedName name="Excel_BuiltIn_Criteria_3">#REF!</definedName>
    <definedName name="Excel_BuiltIn_Criteria_30">"$#ODWOŁANIE.$#ODWOŁANIE$#ODWOŁANIE:$#ODWOŁANIE$#ODWOŁANIE"</definedName>
    <definedName name="Excel_BuiltIn_Criteria_31">"$#ODWOŁANIE.$#ODWOŁANIE$#ODWOŁANIE:$#ODWOŁANIE$#ODWOŁANIE"</definedName>
    <definedName name="Excel_BuiltIn_Criteria_32">"$#ODWOŁANIE.$#ODWOŁANIE$#ODWOŁANIE:$#ODWOŁANIE$#ODWOŁANIE"</definedName>
    <definedName name="Excel_BuiltIn_Criteria_4">#REF!</definedName>
    <definedName name="Excel_BuiltIn_Criteria_5">"$'1'.$#ODWOŁANIE$#ODWOŁANIE:$#ODWOŁANIE$#ODWOŁANIE"</definedName>
    <definedName name="Excel_BuiltIn_Criteria_6">"$#ODWOŁANIE.$#ODWOŁANIE$#ODWOŁANIE:$#ODWOŁANIE$#ODWOŁANIE"</definedName>
    <definedName name="Excel_BuiltIn_Criteria_7">"$#ODWOŁANIE.$#ODWOŁANIE$#ODWOŁANIE:$#ODWOŁANIE$#ODWOŁANIE"</definedName>
    <definedName name="Excel_BuiltIn_Criteria_8">"$#ODWOŁANIE.$#ODWOŁANIE$#ODWOŁANIE:$#ODWOŁANIE$#ODWOŁANIE"</definedName>
    <definedName name="Excel_BuiltIn_Criteria_9">"$#ODWOŁANIE.$#ODWOŁANIE$#ODWOŁANIE:$#ODWOŁANIE$#ODWOŁANIE"</definedName>
    <definedName name="Excel_BuiltIn_Database" localSheetId="4">#REF!</definedName>
    <definedName name="Excel_BuiltIn_Database" localSheetId="5">#REF!</definedName>
    <definedName name="Excel_BuiltIn_Database" localSheetId="0">#REF!</definedName>
    <definedName name="Excel_BuiltIn_Database">#REF!</definedName>
    <definedName name="Excel_BuiltIn_Database_0" localSheetId="4">#REF!</definedName>
    <definedName name="Excel_BuiltIn_Database_0" localSheetId="5">#REF!</definedName>
    <definedName name="Excel_BuiltIn_Database_0" localSheetId="0">#REF!</definedName>
    <definedName name="Excel_BuiltIn_Database_0">#REF!</definedName>
    <definedName name="Excel_BuiltIn_Database_1">"$#ODWOŁANIE.$A$1:$L$177"</definedName>
    <definedName name="Excel_BuiltIn_Print_Area_1" localSheetId="4">#REF!</definedName>
    <definedName name="Excel_BuiltIn_Print_Area_1" localSheetId="5">#REF!</definedName>
    <definedName name="Excel_BuiltIn_Print_Area_1" localSheetId="0">#REF!</definedName>
    <definedName name="Excel_BuiltIn_Print_Area_1">#REF!</definedName>
    <definedName name="Excel_BuiltIn_Print_Area_1_1" localSheetId="4">#REF!</definedName>
    <definedName name="Excel_BuiltIn_Print_Area_1_1">"#ref!"</definedName>
    <definedName name="Excel_BuiltIn_Print_Area_1_1_1" localSheetId="4">#REF!</definedName>
    <definedName name="Excel_BuiltIn_Print_Area_1_1_1">"#ref!"</definedName>
    <definedName name="Excel_BuiltIn_Print_Area_1_1_1_1" localSheetId="4">#REF!</definedName>
    <definedName name="Excel_BuiltIn_Print_Area_1_1_1_1" localSheetId="5">#REF!</definedName>
    <definedName name="Excel_BuiltIn_Print_Area_1_1_1_1" localSheetId="0">#REF!</definedName>
    <definedName name="Excel_BuiltIn_Print_Area_1_1_1_1">#REF!</definedName>
    <definedName name="Excel_BuiltIn_Print_Area_1_1_1_1___0" localSheetId="4">#REF!</definedName>
    <definedName name="Excel_BuiltIn_Print_Area_1_1_1_1___0" localSheetId="5">#REF!</definedName>
    <definedName name="Excel_BuiltIn_Print_Area_1_1_1_1___0" localSheetId="0">#REF!</definedName>
    <definedName name="Excel_BuiltIn_Print_Area_1_1_1_1___0">#REF!</definedName>
    <definedName name="Excel_BuiltIn_Print_Area_1_1_1_1_1" localSheetId="4">#REF!</definedName>
    <definedName name="Excel_BuiltIn_Print_Area_1_1_1_1_1">"#ref!"</definedName>
    <definedName name="Excel_BuiltIn_Print_Area_1_1_1_1_1___0" localSheetId="4">#REF!</definedName>
    <definedName name="Excel_BuiltIn_Print_Area_1_1_1_1_1___0" localSheetId="5">#REF!</definedName>
    <definedName name="Excel_BuiltIn_Print_Area_1_1_1_1_1___0" localSheetId="0">#REF!</definedName>
    <definedName name="Excel_BuiltIn_Print_Area_1_1_1_1_1___0">#REF!</definedName>
    <definedName name="Excel_BuiltIn_Print_Area_1_1_1_1_1_1" localSheetId="4">#REF!</definedName>
    <definedName name="Excel_BuiltIn_Print_Area_1_1_1_1_1_1">"#ref!"</definedName>
    <definedName name="Excel_BuiltIn_Print_Area_1_1_1_1_1_1___0" localSheetId="4">#REF!</definedName>
    <definedName name="Excel_BuiltIn_Print_Area_1_1_1_1_1_1___0" localSheetId="5">#REF!</definedName>
    <definedName name="Excel_BuiltIn_Print_Area_1_1_1_1_1_1___0" localSheetId="0">#REF!</definedName>
    <definedName name="Excel_BuiltIn_Print_Area_1_1_1_1_1_1___0">#REF!</definedName>
    <definedName name="Excel_BuiltIn_Print_Area_1_1_1_1_1_1_1" localSheetId="4">#REF!</definedName>
    <definedName name="Excel_BuiltIn_Print_Area_1_1_1_1_1_1_1">"#ref!"</definedName>
    <definedName name="Excel_BuiltIn_Print_Area_1_1_1_1_1_1_1___0" localSheetId="4">#REF!</definedName>
    <definedName name="Excel_BuiltIn_Print_Area_1_1_1_1_1_1_1___0" localSheetId="5">#REF!</definedName>
    <definedName name="Excel_BuiltIn_Print_Area_1_1_1_1_1_1_1___0" localSheetId="0">#REF!</definedName>
    <definedName name="Excel_BuiltIn_Print_Area_1_1_1_1_1_1_1___0">#REF!</definedName>
    <definedName name="Excel_BuiltIn_Print_Area_1_1_1_1_1_1_1_1" localSheetId="4">#REF!</definedName>
    <definedName name="Excel_BuiltIn_Print_Area_1_1_1_1_1_1_1_1">"#ref!"</definedName>
    <definedName name="Excel_BuiltIn_Print_Area_1_1_1_1_1_1_1_1___0" localSheetId="4">#REF!</definedName>
    <definedName name="Excel_BuiltIn_Print_Area_1_1_1_1_1_1_1_1___0" localSheetId="5">#REF!</definedName>
    <definedName name="Excel_BuiltIn_Print_Area_1_1_1_1_1_1_1_1___0" localSheetId="0">#REF!</definedName>
    <definedName name="Excel_BuiltIn_Print_Area_1_1_1_1_1_1_1_1___0">#REF!</definedName>
    <definedName name="Excel_BuiltIn_Print_Area_1_1_1_1_1_1_1_1_1">"#ref!"</definedName>
    <definedName name="Excel_BuiltIn_Print_Area_1_1_1_1_1_1_1_1_1___0" localSheetId="4">#REF!</definedName>
    <definedName name="Excel_BuiltIn_Print_Area_1_1_1_1_1_1_1_1_1___0" localSheetId="5">#REF!</definedName>
    <definedName name="Excel_BuiltIn_Print_Area_1_1_1_1_1_1_1_1_1___0" localSheetId="0">#REF!</definedName>
    <definedName name="Excel_BuiltIn_Print_Area_1_1_1_1_1_1_1_1_1___0">#REF!</definedName>
    <definedName name="Excel_BuiltIn_Print_Area_1_1_1_1_1_1_1_1_1_1">"#ref!"</definedName>
    <definedName name="Excel_BuiltIn_Print_Area_1_1_1_1_1_1_1_1_1_1___0" localSheetId="4">#REF!</definedName>
    <definedName name="Excel_BuiltIn_Print_Area_1_1_1_1_1_1_1_1_1_1___0" localSheetId="5">#REF!</definedName>
    <definedName name="Excel_BuiltIn_Print_Area_1_1_1_1_1_1_1_1_1_1___0" localSheetId="0">#REF!</definedName>
    <definedName name="Excel_BuiltIn_Print_Area_1_1_1_1_1_1_1_1_1_1___0">#REF!</definedName>
    <definedName name="Excel_BuiltIn_Print_Area_1_1_1_1_1_1_1_1_1_1_1">"#ref!"</definedName>
    <definedName name="Excel_BuiltIn_Print_Area_1_1_1_1_1_1_1_1_1_1_1___0" localSheetId="4">#REF!</definedName>
    <definedName name="Excel_BuiltIn_Print_Area_1_1_1_1_1_1_1_1_1_1_1___0" localSheetId="5">#REF!</definedName>
    <definedName name="Excel_BuiltIn_Print_Area_1_1_1_1_1_1_1_1_1_1_1___0" localSheetId="0">#REF!</definedName>
    <definedName name="Excel_BuiltIn_Print_Area_1_1_1_1_1_1_1_1_1_1_1___0">#REF!</definedName>
    <definedName name="Excel_BuiltIn_Print_Area_1_1_1_1_1_1_1_1_1_1_1_1">"#ref!"</definedName>
    <definedName name="Excel_BuiltIn_Print_Area_1_1_1_1_1_1_1_1_1_1_1_1_1">"#ref!"</definedName>
    <definedName name="Excel_BuiltIn_Print_Area_1_1_1_1_1_1_1_1_1_1_1_1_1___0" localSheetId="4">#REF!</definedName>
    <definedName name="Excel_BuiltIn_Print_Area_1_1_1_1_1_1_1_1_1_1_1_1_1___0" localSheetId="5">#REF!</definedName>
    <definedName name="Excel_BuiltIn_Print_Area_1_1_1_1_1_1_1_1_1_1_1_1_1___0" localSheetId="0">#REF!</definedName>
    <definedName name="Excel_BuiltIn_Print_Area_1_1_1_1_1_1_1_1_1_1_1_1_1___0">#REF!</definedName>
    <definedName name="Excel_BuiltIn_Print_Area_1_1_1_1_1_1_1_1_1_1_1_1_1_1">"#ref!"</definedName>
    <definedName name="Excel_BuiltIn_Print_Area_1_1_1_1_1_1_1_1_1_1_1_1_1_1___0" localSheetId="4">#REF!</definedName>
    <definedName name="Excel_BuiltIn_Print_Area_1_1_1_1_1_1_1_1_1_1_1_1_1_1___0" localSheetId="5">#REF!</definedName>
    <definedName name="Excel_BuiltIn_Print_Area_1_1_1_1_1_1_1_1_1_1_1_1_1_1___0" localSheetId="0">#REF!</definedName>
    <definedName name="Excel_BuiltIn_Print_Area_1_1_1_1_1_1_1_1_1_1_1_1_1_1___0">#REF!</definedName>
    <definedName name="Excel_BuiltIn_Print_Area_1_1_1_1_1_1_1_1_1_1_1_1_1_1_1">"#ref!"</definedName>
    <definedName name="Excel_BuiltIn_Print_Area_1_1_1_1_1_1_1_1_1_1_1_1_1_1_1___0" localSheetId="4">#REF!</definedName>
    <definedName name="Excel_BuiltIn_Print_Area_1_1_1_1_1_1_1_1_1_1_1_1_1_1_1___0" localSheetId="5">#REF!</definedName>
    <definedName name="Excel_BuiltIn_Print_Area_1_1_1_1_1_1_1_1_1_1_1_1_1_1_1___0" localSheetId="0">#REF!</definedName>
    <definedName name="Excel_BuiltIn_Print_Area_1_1_1_1_1_1_1_1_1_1_1_1_1_1_1___0">#REF!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__0" localSheetId="4">#REF!</definedName>
    <definedName name="Excel_BuiltIn_Print_Area_1_1_1_1_1_1_1_1_1_1_1_1_1_1_1_1_1_1_1___0" localSheetId="5">#REF!</definedName>
    <definedName name="Excel_BuiltIn_Print_Area_1_1_1_1_1_1_1_1_1_1_1_1_1_1_1_1_1_1_1___0" localSheetId="0">#REF!</definedName>
    <definedName name="Excel_BuiltIn_Print_Area_1_1_1_1_1_1_1_1_1_1_1_1_1_1_1_1_1_1_1___0">#REF!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 localSheetId="4">#REF!,#REF!</definedName>
    <definedName name="Excel_BuiltIn_Print_Area_1_1_1_1_1_1_1_1_1_1_1_1_1_1_1_1_1_1_1_1_1_1_1_1_1_1" localSheetId="5">#REF!,#REF!</definedName>
    <definedName name="Excel_BuiltIn_Print_Area_1_1_1_1_1_1_1_1_1_1_1_1_1_1_1_1_1_1_1_1_1_1_1_1_1_1" localSheetId="0">#REF!,#REF!</definedName>
    <definedName name="Excel_BuiltIn_Print_Area_1_1_1_1_1_1_1_1_1_1_1_1_1_1_1_1_1_1_1_1_1_1_1_1_1_1">#REF!,#REF!</definedName>
    <definedName name="Excel_BuiltIn_Print_Area_1_1_1_1_1_1_1_1_1_1_1_1_1_1_1_1_1_1_1_1_1_1_1_1_1_1_1" localSheetId="4">#REF!,#REF!</definedName>
    <definedName name="Excel_BuiltIn_Print_Area_1_1_1_1_1_1_1_1_1_1_1_1_1_1_1_1_1_1_1_1_1_1_1_1_1_1_1" localSheetId="5">#REF!,#REF!</definedName>
    <definedName name="Excel_BuiltIn_Print_Area_1_1_1_1_1_1_1_1_1_1_1_1_1_1_1_1_1_1_1_1_1_1_1_1_1_1_1" localSheetId="0">#REF!,#REF!</definedName>
    <definedName name="Excel_BuiltIn_Print_Area_1_1_1_1_1_1_1_1_1_1_1_1_1_1_1_1_1_1_1_1_1_1_1_1_1_1_1">#REF!,#REF!</definedName>
    <definedName name="Excel_BuiltIn_Print_Area_1_1_1_1_1_1_1_1_1_1_1_1_1_1_1_1_1_1_1_1_1_1_1_1_1_1_1_1" localSheetId="4">#REF!,#REF!</definedName>
    <definedName name="Excel_BuiltIn_Print_Area_1_1_1_1_1_1_1_1_1_1_1_1_1_1_1_1_1_1_1_1_1_1_1_1_1_1_1_1" localSheetId="5">#REF!,#REF!</definedName>
    <definedName name="Excel_BuiltIn_Print_Area_1_1_1_1_1_1_1_1_1_1_1_1_1_1_1_1_1_1_1_1_1_1_1_1_1_1_1_1" localSheetId="0">#REF!,#REF!</definedName>
    <definedName name="Excel_BuiltIn_Print_Area_1_1_1_1_1_1_1_1_1_1_1_1_1_1_1_1_1_1_1_1_1_1_1_1_1_1_1_1">#REF!,#REF!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1_1_1_1">"#ref!"</definedName>
    <definedName name="Excel_BuiltIn_Print_Area_1_1_1_1_1_1_1_1_1_1_1_1_1_1_1_1_1_1_1_1_1_1_1_1_1_1_1_1_1_1_1_1">"#ref!"</definedName>
    <definedName name="Excel_BuiltIn_Print_Area_1_1_1_1_1_1_1_1_1_1_1_1_1_1_1_1_1_1_1_1_1_1_1_1_1_1_1_1_1_1_1_1_1">"#ref!"</definedName>
    <definedName name="Excel_BuiltIn_Print_Area_1_1_1_1_1_1_1_1_1_1_1_1_1_1_1_1_1_1_1_1_1_1_1_1_1_1_1_1_1_1_1_1_1_1">"#ref!"</definedName>
    <definedName name="Excel_BuiltIn_Print_Area_1_1_1_1_1_1_1_1_1_1_1_1_1_1_1_1_1_1_1_1_1_1_1_1_1_1_1_1_1_1_1_1_1_1_1">"#ref!"</definedName>
    <definedName name="Excel_BuiltIn_Print_Area_1_1_1_1_1_1_1_1_1_1_1_1_1_1_1_1_1_1_1_1_1_1_1_1_1_1_1_1_1_1_1_1_1_1_1_1">"#ref!"</definedName>
    <definedName name="Excel_BuiltIn_Print_Area_1_1_1_1_1_1_1_1_1_1_1_1_1_1_1_1_1_1_1_1_1_1_1_1_1_1_1_1_1_1_1_1_1_1_1_1_1" localSheetId="4">#REF!</definedName>
    <definedName name="Excel_BuiltIn_Print_Area_1_1_1_1_1_1_1_1_1_1_1_1_1_1_1_1_1_1_1_1_1_1_1_1_1_1_1_1_1_1_1_1_1_1_1_1_1" localSheetId="5">#REF!</definedName>
    <definedName name="Excel_BuiltIn_Print_Area_1_1_1_1_1_1_1_1_1_1_1_1_1_1_1_1_1_1_1_1_1_1_1_1_1_1_1_1_1_1_1_1_1_1_1_1_1" localSheetId="0">#REF!</definedName>
    <definedName name="Excel_BuiltIn_Print_Area_1_1_1_1_1_1_1_1_1_1_1_1_1_1_1_1_1_1_1_1_1_1_1_1_1_1_1_1_1_1_1_1_1_1_1_1_1">#REF!</definedName>
    <definedName name="Excel_BuiltIn_Print_Area_1_1_1_1_1_1_1_1_1_1_1_1_1_1_1_1_1_1_1_1_1_1_1_1_1_1_1_1_1_1_1_1_1_1_1_1_1_1" localSheetId="4">#REF!</definedName>
    <definedName name="Excel_BuiltIn_Print_Area_1_1_1_1_1_1_1_1_1_1_1_1_1_1_1_1_1_1_1_1_1_1_1_1_1_1_1_1_1_1_1_1_1_1_1_1_1_1" localSheetId="5">#REF!</definedName>
    <definedName name="Excel_BuiltIn_Print_Area_1_1_1_1_1_1_1_1_1_1_1_1_1_1_1_1_1_1_1_1_1_1_1_1_1_1_1_1_1_1_1_1_1_1_1_1_1_1" localSheetId="0">#REF!</definedName>
    <definedName name="Excel_BuiltIn_Print_Area_1_1_1_1_1_1_1_1_1_1_1_1_1_1_1_1_1_1_1_1_1_1_1_1_1_1_1_1_1_1_1_1_1_1_1_1_1_1">#REF!</definedName>
    <definedName name="Excel_BuiltIn_Print_Area_1_1_1_1_1_1_1_1_1_1_1_1_1_1_1_1_1_1_1_1_1_1_1_1_1_1_1_1_1_1_1_1_1_1_1_1_1_1_1" localSheetId="4">#REF!</definedName>
    <definedName name="Excel_BuiltIn_Print_Area_1_1_1_1_1_1_1_1_1_1_1_1_1_1_1_1_1_1_1_1_1_1_1_1_1_1_1_1_1_1_1_1_1_1_1_1_1_1_1" localSheetId="5">#REF!</definedName>
    <definedName name="Excel_BuiltIn_Print_Area_1_1_1_1_1_1_1_1_1_1_1_1_1_1_1_1_1_1_1_1_1_1_1_1_1_1_1_1_1_1_1_1_1_1_1_1_1_1_1" localSheetId="0">#REF!</definedName>
    <definedName name="Excel_BuiltIn_Print_Area_1_1_1_1_1_1_1_1_1_1_1_1_1_1_1_1_1_1_1_1_1_1_1_1_1_1_1_1_1_1_1_1_1_1_1_1_1_1_1">#REF!</definedName>
    <definedName name="Excel_BuiltIn_Print_Area_1_1_1_1_1_1_1_1_1_1_1_1_1_1_1_1_1_1_1_1_1_1_1_1_1_1_1_1_1_1_1_1_1_1_1_1_1_1_1_1" localSheetId="4">#REF!</definedName>
    <definedName name="Excel_BuiltIn_Print_Area_1_1_1_1_1_1_1_1_1_1_1_1_1_1_1_1_1_1_1_1_1_1_1_1_1_1_1_1_1_1_1_1_1_1_1_1_1_1_1_1" localSheetId="0">#REF!</definedName>
    <definedName name="Excel_BuiltIn_Print_Area_1_1_1_1_1_1_1_1_1_1_1_1_1_1_1_1_1_1_1_1_1_1_1_1_1_1_1_1_1_1_1_1_1_1_1_1_1_1_1_1">#REF!</definedName>
    <definedName name="Excel_BuiltIn_Print_Area_1_1_1_1_1_1_1_1_1_1_1_1_1_1_1_1_1_1_1_1_1_1_1_1_1_1_1_1_1_1_1_1_1_1_1_1_1_1_1_1_1" localSheetId="4">#REF!</definedName>
    <definedName name="Excel_BuiltIn_Print_Area_1_1_1_1_1_1_1_1_1_1_1_1_1_1_1_1_1_1_1_1_1_1_1_1_1_1_1_1_1_1_1_1_1_1_1_1_1_1_1_1_1" localSheetId="0">#REF!</definedName>
    <definedName name="Excel_BuiltIn_Print_Area_1_1_1_1_1_1_1_1_1_1_1_1_1_1_1_1_1_1_1_1_1_1_1_1_1_1_1_1_1_1_1_1_1_1_1_1_1_1_1_1_1">#REF!</definedName>
    <definedName name="Excel_BuiltIn_Print_Area_1_1_1_1_1_1_1_1_1_1_1_1_1_1_1_1_1_1_1_1_1_1_1_1_1_1_1_1_2" localSheetId="4">(#REF!,#REF!)</definedName>
    <definedName name="Excel_BuiltIn_Print_Area_1_1_1_1_1_1_1_1_1_1_1_1_1_1_1_1_1_1_1_1_1_1_1_1_1_1_1_1_2" localSheetId="5">(#REF!,#REF!)</definedName>
    <definedName name="Excel_BuiltIn_Print_Area_1_1_1_1_1_1_1_1_1_1_1_1_1_1_1_1_1_1_1_1_1_1_1_1_1_1_1_1_2" localSheetId="0">(#REF!,#REF!)</definedName>
    <definedName name="Excel_BuiltIn_Print_Area_1_1_1_1_1_1_1_1_1_1_1_1_1_1_1_1_1_1_1_1_1_1_1_1_1_1_1_1_2">(#REF!,#REF!)</definedName>
    <definedName name="Excel_BuiltIn_Print_Area_1_1_1_1_1_1_1_1_1_1_1_1_1_1_1_1_1_1_1_1_1_1_1_1_1_1_1_2" localSheetId="4">(#REF!,#REF!)</definedName>
    <definedName name="Excel_BuiltIn_Print_Area_1_1_1_1_1_1_1_1_1_1_1_1_1_1_1_1_1_1_1_1_1_1_1_1_1_1_1_2" localSheetId="5">(#REF!,#REF!)</definedName>
    <definedName name="Excel_BuiltIn_Print_Area_1_1_1_1_1_1_1_1_1_1_1_1_1_1_1_1_1_1_1_1_1_1_1_1_1_1_1_2" localSheetId="0">(#REF!,#REF!)</definedName>
    <definedName name="Excel_BuiltIn_Print_Area_1_1_1_1_1_1_1_1_1_1_1_1_1_1_1_1_1_1_1_1_1_1_1_1_1_1_1_2">(#REF!,#REF!)</definedName>
    <definedName name="Excel_BuiltIn_Print_Area_1_1_1_1_1_1_1_1_1_1_1_1_1_1_1_1_1_1_1_1_1_1_1_1_1_1_2" localSheetId="4">(#REF!,#REF!)</definedName>
    <definedName name="Excel_BuiltIn_Print_Area_1_1_1_1_1_1_1_1_1_1_1_1_1_1_1_1_1_1_1_1_1_1_1_1_1_1_2" localSheetId="5">(#REF!,#REF!)</definedName>
    <definedName name="Excel_BuiltIn_Print_Area_1_1_1_1_1_1_1_1_1_1_1_1_1_1_1_1_1_1_1_1_1_1_1_1_1_1_2" localSheetId="0">(#REF!,#REF!)</definedName>
    <definedName name="Excel_BuiltIn_Print_Area_1_1_1_1_1_1_1_1_1_1_1_1_1_1_1_1_1_1_1_1_1_1_1_1_1_1_2">(#REF!,#REF!)</definedName>
    <definedName name="Excel_BuiltIn_Print_Area_1_1_1_2" localSheetId="4">#REF!</definedName>
    <definedName name="Excel_BuiltIn_Print_Area_1_1_1_2" localSheetId="5">#REF!</definedName>
    <definedName name="Excel_BuiltIn_Print_Area_1_1_1_2" localSheetId="0">#REF!</definedName>
    <definedName name="Excel_BuiltIn_Print_Area_1_1_1_2">#REF!</definedName>
    <definedName name="Excel_BuiltIn_Print_Area_1_1_2" localSheetId="4">#REF!</definedName>
    <definedName name="Excel_BuiltIn_Print_Area_1_1_2" localSheetId="5">#REF!</definedName>
    <definedName name="Excel_BuiltIn_Print_Area_1_1_2" localSheetId="0">#REF!</definedName>
    <definedName name="Excel_BuiltIn_Print_Area_1_1_2">#REF!</definedName>
    <definedName name="Excel_BuiltIn_Print_Area_10">#N/A</definedName>
    <definedName name="Excel_BuiltIn_Print_Area_10_1">"#ref!"</definedName>
    <definedName name="Excel_BuiltIn_Print_Area_10_1_1">"#ref!"</definedName>
    <definedName name="Excel_BuiltIn_Print_Area_10_1_1_1">"#ref!"</definedName>
    <definedName name="Excel_BuiltIn_Print_Area_10_1_1_1_1" localSheetId="4">#REF!</definedName>
    <definedName name="Excel_BuiltIn_Print_Area_10_1_1_1_1" localSheetId="5">#REF!</definedName>
    <definedName name="Excel_BuiltIn_Print_Area_10_1_1_1_1" localSheetId="0">#REF!</definedName>
    <definedName name="Excel_BuiltIn_Print_Area_10_1_1_1_1">#REF!</definedName>
    <definedName name="Excel_BuiltIn_Print_Area_10_1_1_1_1_1" localSheetId="4">#REF!</definedName>
    <definedName name="Excel_BuiltIn_Print_Area_10_1_1_1_1_1" localSheetId="5">#REF!</definedName>
    <definedName name="Excel_BuiltIn_Print_Area_10_1_1_1_1_1" localSheetId="0">#REF!</definedName>
    <definedName name="Excel_BuiltIn_Print_Area_10_1_1_1_1_1">#REF!</definedName>
    <definedName name="Excel_BuiltIn_Print_Area_10_1_1_1_1_1_1" localSheetId="4">#REF!</definedName>
    <definedName name="Excel_BuiltIn_Print_Area_10_1_1_1_1_1_1" localSheetId="5">#REF!</definedName>
    <definedName name="Excel_BuiltIn_Print_Area_10_1_1_1_1_1_1" localSheetId="0">#REF!</definedName>
    <definedName name="Excel_BuiltIn_Print_Area_10_1_1_1_1_1_1">#REF!</definedName>
    <definedName name="Excel_BuiltIn_Print_Area_11" localSheetId="4">#REF!</definedName>
    <definedName name="Excel_BuiltIn_Print_Area_11">"$#ODWOŁANIE.$B$#ODWOŁANIE:$J$#ODWOŁANIE"</definedName>
    <definedName name="Excel_BuiltIn_Print_Area_11_1">"$#ODWOŁANIE.$B$1:$G$26"</definedName>
    <definedName name="Excel_BuiltIn_Print_Area_11_1_1">"$#ODWOŁANIE!.$A$1:$G$23"</definedName>
    <definedName name="Excel_BuiltIn_Print_Area_11_1_1_1">"$#ODWOŁANIE.$#ODWOŁANIE$#ODWOŁANIE:$#ODWOŁANIE$#ODWOŁANIE"</definedName>
    <definedName name="Excel_BuiltIn_Print_Area_12">"$#ODWOŁANIE.$B$#ODWOŁANIE:$F$#ODWOŁANIE"</definedName>
    <definedName name="Excel_BuiltIn_Print_Area_12_1">"$#ODWOŁANIE.$B$1:$G$26"</definedName>
    <definedName name="Excel_BuiltIn_Print_Area_12_1_1">"#ref!"</definedName>
    <definedName name="Excel_BuiltIn_Print_Area_12_1_1_1">"#ref!"</definedName>
    <definedName name="Excel_BuiltIn_Print_Area_12_1_1_1_1" localSheetId="4">#REF!</definedName>
    <definedName name="Excel_BuiltIn_Print_Area_12_1_1_1_1" localSheetId="5">#REF!</definedName>
    <definedName name="Excel_BuiltIn_Print_Area_12_1_1_1_1" localSheetId="0">#REF!</definedName>
    <definedName name="Excel_BuiltIn_Print_Area_12_1_1_1_1">#REF!</definedName>
    <definedName name="Excel_BuiltIn_Print_Area_12_1_1_1_1_1" localSheetId="4">#REF!</definedName>
    <definedName name="Excel_BuiltIn_Print_Area_12_1_1_1_1_1" localSheetId="5">#REF!</definedName>
    <definedName name="Excel_BuiltIn_Print_Area_12_1_1_1_1_1" localSheetId="0">#REF!</definedName>
    <definedName name="Excel_BuiltIn_Print_Area_12_1_1_1_1_1">#REF!</definedName>
    <definedName name="Excel_BuiltIn_Print_Area_13">#N/A</definedName>
    <definedName name="Excel_BuiltIn_Print_Area_13_1">NA()</definedName>
    <definedName name="Excel_BuiltIn_Print_Area_14">"$#ODWOŁANIE.$B$#ODWOŁANIE:$H$#ODWOŁANIE"</definedName>
    <definedName name="Excel_BuiltIn_Print_Area_14_1">"$#ODWOŁANIE.$B$2:$M$2"</definedName>
    <definedName name="Excel_BuiltIn_Print_Area_15">"$#ODWOŁANIE.$B$#ODWOŁANIE:$H$#ODWOŁANIE"</definedName>
    <definedName name="Excel_BuiltIn_Print_Area_15_1">#N/A</definedName>
    <definedName name="Excel_BuiltIn_Print_Area_15_1_1">"$#ODWOŁANIE.$B$2:$H$2"</definedName>
    <definedName name="Excel_BuiltIn_Print_Area_15_1_1_1">"$#ODWOŁANIE.$B$2:$G$2"</definedName>
    <definedName name="Excel_BuiltIn_Print_Area_16">"$#ODWOŁANIE.$B$#ODWOŁANIE:$H$#ODWOŁANIE"</definedName>
    <definedName name="Excel_BuiltIn_Print_Area_16_1" localSheetId="4">#REF!</definedName>
    <definedName name="Excel_BuiltIn_Print_Area_16_1" localSheetId="5">#REF!</definedName>
    <definedName name="Excel_BuiltIn_Print_Area_16_1" localSheetId="0">#REF!</definedName>
    <definedName name="Excel_BuiltIn_Print_Area_16_1">#REF!</definedName>
    <definedName name="Excel_BuiltIn_Print_Area_17">"$#ODWOŁANIE.$B$#ODWOŁANIE:$H$#ODWOŁANIE"</definedName>
    <definedName name="Excel_BuiltIn_Print_Area_17_1">"$#ODWOŁANIE.$#ODWOŁANIE$#ODWOŁANIE:$#ODWOŁANIE$#ODWOŁANIE"</definedName>
    <definedName name="Excel_BuiltIn_Print_Area_17_1_1">"$#ODWOŁANIE.$B$#ODWOŁANIE:$H$#ODWOŁANIE"</definedName>
    <definedName name="Excel_BuiltIn_Print_Area_18">NA()</definedName>
    <definedName name="Excel_BuiltIn_Print_Area_18_1">("$#ODWOŁANIE.$C$#ODWOŁANIE:$Karta.$C$#ODWOŁANIE~""$#ODWOŁANIE.$C$#ODWOŁANIE:$G$#ODWOŁANIE""))))))))))))))))))))))))))))))))))))))))))))))))))))))))))))))))))))))))))))))))))))))))))))))))))))))))))))))))))))))))))))))))))))))))))))))))))))))))))))))))))))")</definedName>
    <definedName name="Excel_BuiltIn_Print_Area_18_1_1">("$#ODWOŁANIE.$C$#ODWOŁANIE:$Karta.$C$#ODWOŁANIE~""$#ODWOŁANIE.$C$#ODWOŁANIE:$G$#ODWOŁANIE""))))))))))))))))))))))))))))))))))))))))))))))))))))))))))))))))))))))))))))))))))))))))))))))))))))))))))))))))))))))))))))))))))))))))))))))))))))))))))))))))))))")</definedName>
    <definedName name="Excel_BuiltIn_Print_Area_18_1_1_1">("$#ODWOŁANIE.$C$#ODWOŁANIE:$Karta.$C$#ODWOŁANIE~""$#ODWOŁANIE.$C$#ODWOŁANIE:$G$#ODWOŁANIE""))))))))))))))))))))))))))))))))))))))))))))))))))))))))))))))))))))))))))))))))))))))))))))))))))))))))))))))))))))))))))))))))))))))))))))))))))))))))))))))))))))")</definedName>
    <definedName name="Excel_BuiltIn_Print_Area_19">NA()</definedName>
    <definedName name="Excel_BuiltIn_Print_Area_19_1" localSheetId="4">#REF!,#REF!</definedName>
    <definedName name="Excel_BuiltIn_Print_Area_19_1" localSheetId="5">#REF!,#REF!</definedName>
    <definedName name="Excel_BuiltIn_Print_Area_19_1" localSheetId="0">#REF!,#REF!</definedName>
    <definedName name="Excel_BuiltIn_Print_Area_19_1">#REF!,#REF!</definedName>
    <definedName name="Excel_BuiltIn_Print_Area_19_1_1">"#ref!"</definedName>
    <definedName name="Excel_BuiltIn_Print_Area_19_1_1_1" localSheetId="4">#REF!</definedName>
    <definedName name="Excel_BuiltIn_Print_Area_19_1_1_1" localSheetId="5">#REF!</definedName>
    <definedName name="Excel_BuiltIn_Print_Area_19_1_1_1" localSheetId="0">#REF!</definedName>
    <definedName name="Excel_BuiltIn_Print_Area_19_1_1_1">#REF!</definedName>
    <definedName name="Excel_BuiltIn_Print_Area_19_1_1_1_1" localSheetId="4">#REF!</definedName>
    <definedName name="Excel_BuiltIn_Print_Area_19_1_1_1_1" localSheetId="5">#REF!</definedName>
    <definedName name="Excel_BuiltIn_Print_Area_19_1_1_1_1" localSheetId="0">#REF!</definedName>
    <definedName name="Excel_BuiltIn_Print_Area_19_1_1_1_1">#REF!</definedName>
    <definedName name="Excel_BuiltIn_Print_Area_2" localSheetId="4">#REF!</definedName>
    <definedName name="Excel_BuiltIn_Print_Area_2" localSheetId="5">#REF!</definedName>
    <definedName name="Excel_BuiltIn_Print_Area_2" localSheetId="0">#REF!</definedName>
    <definedName name="Excel_BuiltIn_Print_Area_2">#REF!</definedName>
    <definedName name="Excel_BuiltIn_Print_Area_2___0">NA()</definedName>
    <definedName name="Excel_BuiltIn_Print_Area_2_1" localSheetId="4">#REF!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"$#ODWOŁANIE.$B$1:$J$2"</definedName>
    <definedName name="Excel_BuiltIn_Print_Area_2_1_1_1_1_1_1_1_1_1_1">"$#ODWOŁANIE!.$B$2:$I$838"</definedName>
    <definedName name="Excel_BuiltIn_Print_Area_2_1_1_1_1_1_1_1_1_1_1_1">"$#ODWOŁANIE!.$B$2:$I$782"</definedName>
    <definedName name="Excel_BuiltIn_Print_Area_2_1_1_1_1_1_1_1_1_1_1_1_1">"$#ODWOŁANIE.$#ODWOŁANIE$#ODWOŁANIE:$#ODWOŁANIE$#ODWOŁANIE"</definedName>
    <definedName name="Excel_BuiltIn_Print_Area_2_1_1_1_1_1_1_1_1_1_1_1_1_1">"$#ODWOŁANIE!.$B$2:$G$41"</definedName>
    <definedName name="Excel_BuiltIn_Print_Area_2_1_1_1_1_1_1_1_1_1_1_1_1_1_1">"$#ODWOŁANIE.$A$1:$M$2"</definedName>
    <definedName name="Excel_BuiltIn_Print_Area_2_1_1_1_1_1_1_1_1_1_1_1_1_1_1_1">"$#ODWOŁANIE.$B$1:$I$2"</definedName>
    <definedName name="Excel_BuiltIn_Print_Area_2_1_1_1_1_1_1_1_1_1_1_1_1_1_1_1_1">"$#ODWOŁANIE.$B$1:$I$2"</definedName>
    <definedName name="Excel_BuiltIn_Print_Area_2_1_2" localSheetId="4">#REF!</definedName>
    <definedName name="Excel_BuiltIn_Print_Area_2_1_2" localSheetId="5">#REF!</definedName>
    <definedName name="Excel_BuiltIn_Print_Area_2_1_2" localSheetId="0">#REF!</definedName>
    <definedName name="Excel_BuiltIn_Print_Area_2_1_2">#REF!</definedName>
    <definedName name="Excel_BuiltIn_Print_Area_20">"$#ODWOŁANIE.$B$1:$E$2"</definedName>
    <definedName name="Excel_BuiltIn_Print_Area_20_1" localSheetId="4">#REF!,#REF!</definedName>
    <definedName name="Excel_BuiltIn_Print_Area_20_1" localSheetId="5">#REF!,#REF!</definedName>
    <definedName name="Excel_BuiltIn_Print_Area_20_1" localSheetId="0">#REF!,#REF!</definedName>
    <definedName name="Excel_BuiltIn_Print_Area_20_1">#REF!,#REF!</definedName>
    <definedName name="Excel_BuiltIn_Print_Area_20_1_1">"$#ODWOŁANIE.$B$2:$N$2"</definedName>
    <definedName name="Excel_BuiltIn_Print_Area_21">"$#ODWOŁANIE.$B$1:$H$2"</definedName>
    <definedName name="Excel_BuiltIn_Print_Area_21_1">"#ref!"</definedName>
    <definedName name="Excel_BuiltIn_Print_Area_21_1_1" localSheetId="4">#REF!</definedName>
    <definedName name="Excel_BuiltIn_Print_Area_21_1_1" localSheetId="5">#REF!</definedName>
    <definedName name="Excel_BuiltIn_Print_Area_21_1_1" localSheetId="0">#REF!</definedName>
    <definedName name="Excel_BuiltIn_Print_Area_21_1_1">#REF!</definedName>
    <definedName name="Excel_BuiltIn_Print_Area_22">"$#ODWOŁANIE.$B$1:$I$2"</definedName>
    <definedName name="Excel_BuiltIn_Print_Area_22_1">"$#ODWOŁANIE.$B$2:$F$2"</definedName>
    <definedName name="Excel_BuiltIn_Print_Area_23">"$#ODWOŁANIE.$B$1:$J$26"</definedName>
    <definedName name="Excel_BuiltIn_Print_Area_24">"$#ODWOŁANIE.$B$1:$H$2"</definedName>
    <definedName name="Excel_BuiltIn_Print_Area_25">"$#ODWOŁANIE.$B$1:$H$2"</definedName>
    <definedName name="Excel_BuiltIn_Print_Area_26">"$#ODWOŁANIE.$B$1:$H$2"</definedName>
    <definedName name="Excel_BuiltIn_Print_Area_26_1">"$#ODWOŁANIE.$B$2:$H$2"</definedName>
    <definedName name="Excel_BuiltIn_Print_Area_27">"$#ODWOŁANIE.$B$1:$I$2"</definedName>
    <definedName name="Excel_BuiltIn_Print_Area_27_1">NA()</definedName>
    <definedName name="Excel_BuiltIn_Print_Area_28">"$#ODWOŁANIE.$B$1:$I$2"</definedName>
    <definedName name="Excel_BuiltIn_Print_Area_28_1" localSheetId="4">#REF!,#REF!</definedName>
    <definedName name="Excel_BuiltIn_Print_Area_28_1" localSheetId="5">#REF!,#REF!</definedName>
    <definedName name="Excel_BuiltIn_Print_Area_28_1" localSheetId="0">#REF!,#REF!</definedName>
    <definedName name="Excel_BuiltIn_Print_Area_28_1">#REF!,#REF!</definedName>
    <definedName name="Excel_BuiltIn_Print_Area_28_1_1">NA()</definedName>
    <definedName name="Excel_BuiltIn_Print_Area_29">"$#ODWOŁANIE.$B$1:$H$2"</definedName>
    <definedName name="Excel_BuiltIn_Print_Area_29_1">NA()</definedName>
    <definedName name="Excel_BuiltIn_Print_Area_3" localSheetId="4">#REF!</definedName>
    <definedName name="Excel_BuiltIn_Print_Area_3" localSheetId="5">#REF!</definedName>
    <definedName name="Excel_BuiltIn_Print_Area_3" localSheetId="0">#REF!</definedName>
    <definedName name="Excel_BuiltIn_Print_Area_3">#REF!</definedName>
    <definedName name="Excel_BuiltIn_Print_Area_3_1" localSheetId="4">#REF!,#REF!</definedName>
    <definedName name="Excel_BuiltIn_Print_Area_3_1" localSheetId="5">#REF!,#REF!</definedName>
    <definedName name="Excel_BuiltIn_Print_Area_3_1" localSheetId="0">#REF!,#REF!</definedName>
    <definedName name="Excel_BuiltIn_Print_Area_3_1">#REF!,#REF!</definedName>
    <definedName name="Excel_BuiltIn_Print_Area_3_1_1">"#ref!"</definedName>
    <definedName name="Excel_BuiltIn_Print_Area_3_1_1_1">"#ref!"</definedName>
    <definedName name="Excel_BuiltIn_Print_Area_3_1_1_1_1">"#ref!"</definedName>
    <definedName name="Excel_BuiltIn_Print_Area_3_1_1_1_1_1" localSheetId="4">#REF!</definedName>
    <definedName name="Excel_BuiltIn_Print_Area_3_1_1_1_1_1" localSheetId="5">#REF!</definedName>
    <definedName name="Excel_BuiltIn_Print_Area_3_1_1_1_1_1" localSheetId="0">#REF!</definedName>
    <definedName name="Excel_BuiltIn_Print_Area_3_1_1_1_1_1">#REF!</definedName>
    <definedName name="Excel_BuiltIn_Print_Area_3_1_1_1_1_1_1" localSheetId="4">#REF!</definedName>
    <definedName name="Excel_BuiltIn_Print_Area_3_1_1_1_1_1_1" localSheetId="5">#REF!</definedName>
    <definedName name="Excel_BuiltIn_Print_Area_3_1_1_1_1_1_1" localSheetId="0">#REF!</definedName>
    <definedName name="Excel_BuiltIn_Print_Area_3_1_1_1_1_1_1">#REF!</definedName>
    <definedName name="Excel_BuiltIn_Print_Area_3_1_1_1_1_1_1_1" localSheetId="4">#REF!</definedName>
    <definedName name="Excel_BuiltIn_Print_Area_3_1_1_1_1_1_1_1" localSheetId="5">#REF!</definedName>
    <definedName name="Excel_BuiltIn_Print_Area_3_1_1_1_1_1_1_1" localSheetId="0">#REF!</definedName>
    <definedName name="Excel_BuiltIn_Print_Area_3_1_1_1_1_1_1_1">#REF!</definedName>
    <definedName name="Excel_BuiltIn_Print_Area_3_1_1_2" localSheetId="4">#REF!</definedName>
    <definedName name="Excel_BuiltIn_Print_Area_3_1_1_2" localSheetId="0">#REF!</definedName>
    <definedName name="Excel_BuiltIn_Print_Area_3_1_1_2">#REF!</definedName>
    <definedName name="Excel_BuiltIn_Print_Area_3_1_2" localSheetId="4">#REF!</definedName>
    <definedName name="Excel_BuiltIn_Print_Area_3_1_2" localSheetId="0">#REF!</definedName>
    <definedName name="Excel_BuiltIn_Print_Area_3_1_2">#REF!</definedName>
    <definedName name="Excel_BuiltIn_Print_Area_3_1_3" localSheetId="4">#REF!</definedName>
    <definedName name="Excel_BuiltIn_Print_Area_3_1_3" localSheetId="0">#REF!</definedName>
    <definedName name="Excel_BuiltIn_Print_Area_3_1_3">#REF!</definedName>
    <definedName name="Excel_BuiltIn_Print_Area_30">"$#ODWOŁANIE.$B$1:$H$2"</definedName>
    <definedName name="Excel_BuiltIn_Print_Area_31">"$#ODWOŁANIE.$B$1:$I$5"</definedName>
    <definedName name="Excel_BuiltIn_Print_Area_31_1" localSheetId="4">#REF!</definedName>
    <definedName name="Excel_BuiltIn_Print_Area_31_1" localSheetId="5">#REF!</definedName>
    <definedName name="Excel_BuiltIn_Print_Area_31_1" localSheetId="0">#REF!</definedName>
    <definedName name="Excel_BuiltIn_Print_Area_31_1">#REF!</definedName>
    <definedName name="Excel_BuiltIn_Print_Area_31_1_1">"$#ODWOŁANIE.$B$2:$F$2"</definedName>
    <definedName name="Excel_BuiltIn_Print_Area_32">"$#ODWOŁANIE.$B$1:$G$2"</definedName>
    <definedName name="Excel_BuiltIn_Print_Area_32_1">NA()</definedName>
    <definedName name="Excel_BuiltIn_Print_Area_33">"$#ODWOŁANIE.$B$1:$I$2"</definedName>
    <definedName name="Excel_BuiltIn_Print_Area_33_1">NA()</definedName>
    <definedName name="Excel_BuiltIn_Print_Area_34">"$#ODWOŁANIE.$B$1:$I$5"</definedName>
    <definedName name="Excel_BuiltIn_Print_Area_34_1">"$'16.1.3'.$#ODWOŁANIE!$#ODWOŁANIE!:$#ODWOŁANIE!$#ODWOŁANIE!"</definedName>
    <definedName name="Excel_BuiltIn_Print_Area_35">"$#ODWOŁANIE.$B$1:$I$2"</definedName>
    <definedName name="Excel_BuiltIn_Print_Area_35_1">"$'16.1'.$#ODWOŁANIE!$#ODWOŁANIE!:$#ODWOŁANIE!$#ODWOŁANIE!"</definedName>
    <definedName name="Excel_BuiltIn_Print_Area_36">"$#ODWOŁANIE.$B$1:$F$2"</definedName>
    <definedName name="Excel_BuiltIn_Print_Area_36_1">NA()</definedName>
    <definedName name="Excel_BuiltIn_Print_Area_37">"$#ODWOŁANIE.$B$1:$H$2"</definedName>
    <definedName name="Excel_BuiltIn_Print_Area_37_1">NA()</definedName>
    <definedName name="Excel_BuiltIn_Print_Area_37_1_1">NA()</definedName>
    <definedName name="Excel_BuiltIn_Print_Area_38">"$#ODWOŁANIE.$B$1:$I$2"</definedName>
    <definedName name="Excel_BuiltIn_Print_Area_38_1">NA()</definedName>
    <definedName name="Excel_BuiltIn_Print_Area_39">"$#ODWOŁANIE.$B$1:$I$2"</definedName>
    <definedName name="Excel_BuiltIn_Print_Area_39_1">NA()</definedName>
    <definedName name="Excel_BuiltIn_Print_Area_4">#N/A</definedName>
    <definedName name="Excel_BuiltIn_Print_Area_4_1" localSheetId="4">#REF!,#REF!</definedName>
    <definedName name="Excel_BuiltIn_Print_Area_4_1" localSheetId="5">#REF!,#REF!</definedName>
    <definedName name="Excel_BuiltIn_Print_Area_4_1" localSheetId="0">#REF!,#REF!</definedName>
    <definedName name="Excel_BuiltIn_Print_Area_4_1">#REF!,#REF!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 localSheetId="4">#REF!</definedName>
    <definedName name="Excel_BuiltIn_Print_Area_4_1_1_1_1_1_1" localSheetId="5">#REF!</definedName>
    <definedName name="Excel_BuiltIn_Print_Area_4_1_1_1_1_1_1" localSheetId="0">#REF!</definedName>
    <definedName name="Excel_BuiltIn_Print_Area_4_1_1_1_1_1_1">#REF!</definedName>
    <definedName name="Excel_BuiltIn_Print_Area_4_1_1_1_1_1_1_1" localSheetId="4">#REF!</definedName>
    <definedName name="Excel_BuiltIn_Print_Area_4_1_1_1_1_1_1_1" localSheetId="5">#REF!</definedName>
    <definedName name="Excel_BuiltIn_Print_Area_4_1_1_1_1_1_1_1" localSheetId="0">#REF!</definedName>
    <definedName name="Excel_BuiltIn_Print_Area_4_1_1_1_1_1_1_1">#REF!</definedName>
    <definedName name="Excel_BuiltIn_Print_Area_4_1_1_1_1_1_1_1_1" localSheetId="4">#REF!</definedName>
    <definedName name="Excel_BuiltIn_Print_Area_4_1_1_1_1_1_1_1_1" localSheetId="5">#REF!</definedName>
    <definedName name="Excel_BuiltIn_Print_Area_4_1_1_1_1_1_1_1_1" localSheetId="0">#REF!</definedName>
    <definedName name="Excel_BuiltIn_Print_Area_4_1_1_1_1_1_1_1_1">#REF!</definedName>
    <definedName name="Excel_BuiltIn_Print_Area_4_1_1_1_1_1_1_1_1_1" localSheetId="4">#REF!</definedName>
    <definedName name="Excel_BuiltIn_Print_Area_4_1_1_1_1_1_1_1_1_1" localSheetId="0">#REF!</definedName>
    <definedName name="Excel_BuiltIn_Print_Area_4_1_1_1_1_1_1_1_1_1">#REF!</definedName>
    <definedName name="Excel_BuiltIn_Print_Area_40">"$#ODWOŁANIE.$B$1:$J$2"</definedName>
    <definedName name="Excel_BuiltIn_Print_Area_40_1">"$'17.2'.$#ODWOŁANIE!$#ODWOŁANIE!:$#ODWOŁANIE!$#ODWOŁANIE!"</definedName>
    <definedName name="Excel_BuiltIn_Print_Area_41">"$#ODWOŁANIE.$B$1:$J$2"</definedName>
    <definedName name="Excel_BuiltIn_Print_Area_41_1">"#ref!"</definedName>
    <definedName name="Excel_BuiltIn_Print_Area_41_1_1" localSheetId="4">#REF!</definedName>
    <definedName name="Excel_BuiltIn_Print_Area_41_1_1" localSheetId="5">#REF!</definedName>
    <definedName name="Excel_BuiltIn_Print_Area_41_1_1" localSheetId="0">#REF!</definedName>
    <definedName name="Excel_BuiltIn_Print_Area_41_1_1">#REF!</definedName>
    <definedName name="Excel_BuiltIn_Print_Area_42">"$#ODWOŁANIE.$B$1:$J$2"</definedName>
    <definedName name="Excel_BuiltIn_Print_Area_42_1">"#ref!"</definedName>
    <definedName name="Excel_BuiltIn_Print_Area_43">"$#ODWOŁANIE.$B$1:$H$2"</definedName>
    <definedName name="Excel_BuiltIn_Print_Area_43_1">"$'17.1.3'.$#ODWOŁANIE!$#ODWOŁANIE!:$#ODWOŁANIE!$#ODWOŁANIE!"</definedName>
    <definedName name="Excel_BuiltIn_Print_Area_44" localSheetId="4">#REF!</definedName>
    <definedName name="Excel_BuiltIn_Print_Area_44" localSheetId="5">#REF!</definedName>
    <definedName name="Excel_BuiltIn_Print_Area_44" localSheetId="0">#REF!</definedName>
    <definedName name="Excel_BuiltIn_Print_Area_44">#REF!</definedName>
    <definedName name="Excel_BuiltIn_Print_Area_44_1">"#ref!"</definedName>
    <definedName name="Excel_BuiltIn_Print_Area_45">"$#ODWOŁANIE.$B$1:$H$2"</definedName>
    <definedName name="Excel_BuiltIn_Print_Area_45_1" localSheetId="4">#REF!,#REF!</definedName>
    <definedName name="Excel_BuiltIn_Print_Area_45_1" localSheetId="5">#REF!,#REF!</definedName>
    <definedName name="Excel_BuiltIn_Print_Area_45_1" localSheetId="0">#REF!,#REF!</definedName>
    <definedName name="Excel_BuiltIn_Print_Area_45_1">#REF!,#REF!</definedName>
    <definedName name="Excel_BuiltIn_Print_Area_45_1_1" localSheetId="4">(#REF!,#REF!)</definedName>
    <definedName name="Excel_BuiltIn_Print_Area_45_1_1" localSheetId="5">(#REF!,#REF!)</definedName>
    <definedName name="Excel_BuiltIn_Print_Area_45_1_1" localSheetId="0">(#REF!,#REF!)</definedName>
    <definedName name="Excel_BuiltIn_Print_Area_45_1_1">(#REF!,#REF!)</definedName>
    <definedName name="Excel_BuiltIn_Print_Area_46">"$#ODWOŁANIE.$B$1:$K$2"</definedName>
    <definedName name="Excel_BuiltIn_Print_Area_46_1" localSheetId="4">#REF!</definedName>
    <definedName name="Excel_BuiltIn_Print_Area_46_1" localSheetId="5">#REF!</definedName>
    <definedName name="Excel_BuiltIn_Print_Area_46_1" localSheetId="0">#REF!</definedName>
    <definedName name="Excel_BuiltIn_Print_Area_46_1">#REF!</definedName>
    <definedName name="Excel_BuiltIn_Print_Area_47">"$#ODWOŁANIE.$B$1:$G$2"</definedName>
    <definedName name="Excel_BuiltIn_Print_Area_47_1">NA()</definedName>
    <definedName name="Excel_BuiltIn_Print_Area_48">"$#ODWOŁANIE.$B$1:$G$2"</definedName>
    <definedName name="Excel_BuiltIn_Print_Area_48_1">"$'17.1.3'.$#ODWOŁANIE!$#ODWOŁANIE!:$#ODWOŁANIE!$#ODWOŁANIE!"</definedName>
    <definedName name="Excel_BuiltIn_Print_Area_48_1_1">"$#ODWOŁANIE!.$#ODWOŁANIE!$#ODWOŁANIE!:$#ODWOŁANIE!$#ODWOŁANIE!"</definedName>
    <definedName name="Excel_BuiltIn_Print_Area_49">"$#ODWOŁANIE.$B$1:$G$2"</definedName>
    <definedName name="Excel_BuiltIn_Print_Area_49_1">NA()</definedName>
    <definedName name="Excel_BuiltIn_Print_Area_5">#N/A</definedName>
    <definedName name="Excel_BuiltIn_Print_Area_5_1">"$#ODWOŁANIE.$B$2:$H$2"</definedName>
    <definedName name="Excel_BuiltIn_Print_Area_5_1_1">"$#ODWOŁANIE.$#ODWOŁANIE$#ODWOŁANIE:$#ODWOŁANIE$#ODWOŁANIE"</definedName>
    <definedName name="Excel_BuiltIn_Print_Area_5_1_1_1">"$#ODWOŁANIE.$#ODWOŁANIE$#ODWOŁANIE:$#ODWOŁANIE$#ODWOŁANIE"</definedName>
    <definedName name="Excel_BuiltIn_Print_Area_5_1_1_1_1">"$#ODWOŁANIE!.$A$4:$G$180"</definedName>
    <definedName name="Excel_BuiltIn_Print_Area_50">"$#ODWOŁANIE.$B$1:$G$2"</definedName>
    <definedName name="Excel_BuiltIn_Print_Area_50_1">NA()</definedName>
    <definedName name="Excel_BuiltIn_Print_Area_51">"$#ODWOŁANIE.$B$1:$G$2"</definedName>
    <definedName name="Excel_BuiltIn_Print_Area_51_1">NA()</definedName>
    <definedName name="Excel_BuiltIn_Print_Area_52">"$#ODWOŁANIE.$B$1:$H$2"</definedName>
    <definedName name="Excel_BuiltIn_Print_Area_53_1">NA()</definedName>
    <definedName name="Excel_BuiltIn_Print_Area_53_1_1">NA()</definedName>
    <definedName name="Excel_BuiltIn_Print_Area_54_1">NA()</definedName>
    <definedName name="Excel_BuiltIn_Print_Area_54_1_1">NA()</definedName>
    <definedName name="Excel_BuiltIn_Print_Area_56_1">NA()</definedName>
    <definedName name="Excel_BuiltIn_Print_Area_56_1_1">NA()</definedName>
    <definedName name="Excel_BuiltIn_Print_Area_57_1">NA()</definedName>
    <definedName name="Excel_BuiltIn_Print_Area_58_1">"$#ODWOŁANIE!.$#ODWOŁANIE!$#ODWOŁANIE!:$#ODWOŁANIE!$#ODWOŁANIE!"</definedName>
    <definedName name="Excel_BuiltIn_Print_Area_59_1">NA()</definedName>
    <definedName name="Excel_BuiltIn_Print_Area_6" localSheetId="4">#REF!</definedName>
    <definedName name="Excel_BuiltIn_Print_Area_6">#N/A</definedName>
    <definedName name="Excel_BuiltIn_Print_Area_6_1">"#ref!"</definedName>
    <definedName name="Excel_BuiltIn_Print_Area_6_1_1" localSheetId="4">#REF!,#REF!,#REF!</definedName>
    <definedName name="Excel_BuiltIn_Print_Area_6_1_1" localSheetId="5">#REF!,#REF!,#REF!</definedName>
    <definedName name="Excel_BuiltIn_Print_Area_6_1_1" localSheetId="0">#REF!,#REF!,#REF!</definedName>
    <definedName name="Excel_BuiltIn_Print_Area_6_1_1">#REF!,#REF!,#REF!</definedName>
    <definedName name="Excel_BuiltIn_Print_Area_6_1_1_1">"$#ODWOŁANIE.$#ODWOŁANIE$#ODWOŁANIE:$#ODWOŁANIE$#ODWOŁANIE"</definedName>
    <definedName name="Excel_BuiltIn_Print_Area_6_1_1_1_1" localSheetId="4">(#REF!,#REF!,#REF!)</definedName>
    <definedName name="Excel_BuiltIn_Print_Area_6_1_1_1_1" localSheetId="5">(#REF!,#REF!,#REF!)</definedName>
    <definedName name="Excel_BuiltIn_Print_Area_6_1_1_1_1" localSheetId="0">(#REF!,#REF!,#REF!)</definedName>
    <definedName name="Excel_BuiltIn_Print_Area_6_1_1_1_1">(#REF!,#REF!,#REF!)</definedName>
    <definedName name="Excel_BuiltIn_Print_Area_60_1">NA()</definedName>
    <definedName name="Excel_BuiltIn_Print_Area_61_1" localSheetId="4">#REF!</definedName>
    <definedName name="Excel_BuiltIn_Print_Area_61_1" localSheetId="5">#REF!</definedName>
    <definedName name="Excel_BuiltIn_Print_Area_61_1" localSheetId="0">#REF!</definedName>
    <definedName name="Excel_BuiltIn_Print_Area_61_1">#REF!</definedName>
    <definedName name="Excel_BuiltIn_Print_Area_62_1" localSheetId="4">#REF!</definedName>
    <definedName name="Excel_BuiltIn_Print_Area_62_1" localSheetId="5">#REF!</definedName>
    <definedName name="Excel_BuiltIn_Print_Area_62_1" localSheetId="0">#REF!</definedName>
    <definedName name="Excel_BuiltIn_Print_Area_62_1">#REF!</definedName>
    <definedName name="Excel_BuiltIn_Print_Area_63_1">NA()</definedName>
    <definedName name="Excel_BuiltIn_Print_Area_64_1">NA()</definedName>
    <definedName name="Excel_BuiltIn_Print_Area_64_1_1" localSheetId="4">#REF!</definedName>
    <definedName name="Excel_BuiltIn_Print_Area_64_1_1" localSheetId="5">#REF!</definedName>
    <definedName name="Excel_BuiltIn_Print_Area_64_1_1" localSheetId="0">#REF!</definedName>
    <definedName name="Excel_BuiltIn_Print_Area_64_1_1">#REF!</definedName>
    <definedName name="Excel_BuiltIn_Print_Area_65_1">NA()</definedName>
    <definedName name="Excel_BuiltIn_Print_Area_66_1">NA()</definedName>
    <definedName name="Excel_BuiltIn_Print_Area_68_1">NA()</definedName>
    <definedName name="Excel_BuiltIn_Print_Area_68_1_1">NA()</definedName>
    <definedName name="Excel_BuiltIn_Print_Area_7" localSheetId="4">#REF!</definedName>
    <definedName name="Excel_BuiltIn_Print_Area_7">#N/A</definedName>
    <definedName name="Excel_BuiltIn_Print_Area_7_1" localSheetId="4">#REF!</definedName>
    <definedName name="Excel_BuiltIn_Print_Area_7_1">"#ref!"</definedName>
    <definedName name="Excel_BuiltIn_Print_Area_7_1_1">"$#ODWOŁANIE.$B$2:$F$2"</definedName>
    <definedName name="Excel_BuiltIn_Print_Area_7_1_1_1">"$#ODWOŁANIE.$#ODWOŁANIE$#ODWOŁANIE:$#ODWOŁANIE$#ODWOŁANIE"</definedName>
    <definedName name="Excel_BuiltIn_Print_Area_71">NA()</definedName>
    <definedName name="Excel_BuiltIn_Print_Area_71_1">NA()</definedName>
    <definedName name="Excel_BuiltIn_Print_Area_72_1">NA()</definedName>
    <definedName name="Excel_BuiltIn_Print_Area_76_1">NA()</definedName>
    <definedName name="Excel_BuiltIn_Print_Area_77_1">NA()</definedName>
    <definedName name="Excel_BuiltIn_Print_Area_77_1_1">NA()</definedName>
    <definedName name="Excel_BuiltIn_Print_Area_78_1">NA()</definedName>
    <definedName name="Excel_BuiltIn_Print_Area_8" localSheetId="4">#REF!</definedName>
    <definedName name="Excel_BuiltIn_Print_Area_8">#N/A</definedName>
    <definedName name="Excel_BuiltIn_Print_Area_8_1" localSheetId="4">#REF!</definedName>
    <definedName name="Excel_BuiltIn_Print_Area_8_1" localSheetId="5">#REF!,#REF!</definedName>
    <definedName name="Excel_BuiltIn_Print_Area_8_1" localSheetId="0">#REF!,#REF!</definedName>
    <definedName name="Excel_BuiltIn_Print_Area_8_1">#REF!,#REF!</definedName>
    <definedName name="Excel_BuiltIn_Print_Area_8_1_1" localSheetId="4">#REF!</definedName>
    <definedName name="Excel_BuiltIn_Print_Area_8_1_1">"#ref!"</definedName>
    <definedName name="Excel_BuiltIn_Print_Area_8_1_1_1" localSheetId="4">#REF!</definedName>
    <definedName name="Excel_BuiltIn_Print_Area_8_1_1_1" localSheetId="5">#REF!</definedName>
    <definedName name="Excel_BuiltIn_Print_Area_8_1_1_1" localSheetId="0">#REF!</definedName>
    <definedName name="Excel_BuiltIn_Print_Area_8_1_1_1">#REF!</definedName>
    <definedName name="Excel_BuiltIn_Print_Area_81_1">NA()</definedName>
    <definedName name="Excel_BuiltIn_Print_Area_82_1">NA()</definedName>
    <definedName name="Excel_BuiltIn_Print_Area_83_1">NA()</definedName>
    <definedName name="Excel_BuiltIn_Print_Area_84_1">NA()</definedName>
    <definedName name="Excel_BuiltIn_Print_Area_85_1">NA()</definedName>
    <definedName name="Excel_BuiltIn_Print_Area_86_1">NA()</definedName>
    <definedName name="Excel_BuiltIn_Print_Area_87_1">NA()</definedName>
    <definedName name="Excel_BuiltIn_Print_Area_88_1">NA()</definedName>
    <definedName name="Excel_BuiltIn_Print_Area_89_1">NA()</definedName>
    <definedName name="Excel_BuiltIn_Print_Area_9" localSheetId="4">#REF!</definedName>
    <definedName name="Excel_BuiltIn_Print_Area_9">"$#ODWOŁANIE.$B$#ODWOŁANIE:$H$#ODWOŁANIE"</definedName>
    <definedName name="Excel_BuiltIn_Print_Area_9_1" localSheetId="4">#REF!</definedName>
    <definedName name="Excel_BuiltIn_Print_Area_9_1">"#ref!"</definedName>
    <definedName name="Excel_BuiltIn_Print_Area_9_1_1">"#ref!"</definedName>
    <definedName name="Excel_BuiltIn_Print_Area_9_1_1_1" localSheetId="4">#REF!</definedName>
    <definedName name="Excel_BuiltIn_Print_Area_9_1_1_1" localSheetId="5">#REF!</definedName>
    <definedName name="Excel_BuiltIn_Print_Area_9_1_1_1" localSheetId="0">#REF!</definedName>
    <definedName name="Excel_BuiltIn_Print_Area_9_1_1_1">#REF!</definedName>
    <definedName name="Excel_BuiltIn_Print_Area_9_1_1_1_1" localSheetId="4">#REF!</definedName>
    <definedName name="Excel_BuiltIn_Print_Area_9_1_1_1_1" localSheetId="5">#REF!</definedName>
    <definedName name="Excel_BuiltIn_Print_Area_9_1_1_1_1" localSheetId="0">#REF!</definedName>
    <definedName name="Excel_BuiltIn_Print_Area_9_1_1_1_1">#REF!</definedName>
    <definedName name="Excel_BuiltIn_Print_Area_9_2" localSheetId="4">#REF!</definedName>
    <definedName name="Excel_BuiltIn_Print_Area_9_2" localSheetId="5">#REF!</definedName>
    <definedName name="Excel_BuiltIn_Print_Area_9_2" localSheetId="0">#REF!</definedName>
    <definedName name="Excel_BuiltIn_Print_Area_9_2">#REF!</definedName>
    <definedName name="Excel_BuiltIn_Print_Area_90_1">NA()</definedName>
    <definedName name="Excel_BuiltIn_Print_Area_93_1" localSheetId="4">#REF!</definedName>
    <definedName name="Excel_BuiltIn_Print_Area_93_1" localSheetId="5">#REF!</definedName>
    <definedName name="Excel_BuiltIn_Print_Area_93_1" localSheetId="0">#REF!</definedName>
    <definedName name="Excel_BuiltIn_Print_Area_93_1">#REF!</definedName>
    <definedName name="Excel_BuiltIn_Print_Area_95_1">NA()</definedName>
    <definedName name="Excel_BuiltIn_Print_Titles_1_1" localSheetId="4">#REF!</definedName>
    <definedName name="Excel_BuiltIn_Print_Titles_1_1" localSheetId="5">#REF!</definedName>
    <definedName name="Excel_BuiltIn_Print_Titles_1_1" localSheetId="0">#REF!</definedName>
    <definedName name="Excel_BuiltIn_Print_Titles_1_1">#REF!</definedName>
    <definedName name="Excel_BuiltIn_Print_Titles_1_1_1_8" localSheetId="4">#REF!</definedName>
    <definedName name="Excel_BuiltIn_Print_Titles_1_1_1_8" localSheetId="5">#REF!</definedName>
    <definedName name="Excel_BuiltIn_Print_Titles_1_1_1_8" localSheetId="0">#REF!</definedName>
    <definedName name="Excel_BuiltIn_Print_Titles_1_1_1_8">#REF!</definedName>
    <definedName name="Excel_BuiltIn_Print_Titles_1_1_8" localSheetId="4">#REF!</definedName>
    <definedName name="Excel_BuiltIn_Print_Titles_1_1_8" localSheetId="5">#REF!</definedName>
    <definedName name="Excel_BuiltIn_Print_Titles_1_1_8" localSheetId="0">#REF!</definedName>
    <definedName name="Excel_BuiltIn_Print_Titles_1_1_8">#REF!</definedName>
    <definedName name="Excel_BuiltIn_Print_Titles_10">"#ref!"</definedName>
    <definedName name="Excel_BuiltIn_Print_Titles_10_1" localSheetId="4">#REF!</definedName>
    <definedName name="Excel_BuiltIn_Print_Titles_10_1" localSheetId="5">#REF!</definedName>
    <definedName name="Excel_BuiltIn_Print_Titles_10_1" localSheetId="0">#REF!</definedName>
    <definedName name="Excel_BuiltIn_Print_Titles_10_1">#REF!</definedName>
    <definedName name="Excel_BuiltIn_Print_Titles_11">"$#ODWOŁANIE.$A$1:$AMI$5"</definedName>
    <definedName name="Excel_BuiltIn_Print_Titles_12" localSheetId="4">#REF!</definedName>
    <definedName name="Excel_BuiltIn_Print_Titles_12" localSheetId="5">#REF!</definedName>
    <definedName name="Excel_BuiltIn_Print_Titles_12" localSheetId="0">#REF!</definedName>
    <definedName name="Excel_BuiltIn_Print_Titles_12">#REF!</definedName>
    <definedName name="Excel_BuiltIn_Print_Titles_13">"$#ODWOŁANIE.$A$4:$AMI$5"</definedName>
    <definedName name="Excel_BuiltIn_Print_Titles_16" localSheetId="4">#REF!</definedName>
    <definedName name="Excel_BuiltIn_Print_Titles_16" localSheetId="5">#REF!</definedName>
    <definedName name="Excel_BuiltIn_Print_Titles_16" localSheetId="0">#REF!</definedName>
    <definedName name="Excel_BuiltIn_Print_Titles_16">#REF!</definedName>
    <definedName name="Excel_BuiltIn_Print_Titles_18">"$#ODWOŁANIE.$A$#ODWOŁANIE:$AME$#ODWOŁANIE"</definedName>
    <definedName name="Excel_BuiltIn_Print_Titles_19">"$#ODWOŁANIE.$A$1:$AME$2"</definedName>
    <definedName name="Excel_BuiltIn_Print_Titles_2" localSheetId="4">#REF!</definedName>
    <definedName name="Excel_BuiltIn_Print_Titles_2" localSheetId="5">#REF!</definedName>
    <definedName name="Excel_BuiltIn_Print_Titles_2" localSheetId="0">#REF!</definedName>
    <definedName name="Excel_BuiltIn_Print_Titles_2">#REF!</definedName>
    <definedName name="Excel_BuiltIn_Print_Titles_20" localSheetId="4">#REF!</definedName>
    <definedName name="Excel_BuiltIn_Print_Titles_20" localSheetId="5">#REF!</definedName>
    <definedName name="Excel_BuiltIn_Print_Titles_20" localSheetId="0">#REF!</definedName>
    <definedName name="Excel_BuiltIn_Print_Titles_20">#REF!</definedName>
    <definedName name="Excel_BuiltIn_Print_Titles_22">"$#ODWOŁANIE.$A$1:$AMH$2"</definedName>
    <definedName name="Excel_BuiltIn_Print_Titles_23">"$#ODWOŁANIE.$A$1:$AMJ$4"</definedName>
    <definedName name="Excel_BuiltIn_Print_Titles_24">"$#ODWOŁANIE.$A$1:$AMH$2"</definedName>
    <definedName name="Excel_BuiltIn_Print_Titles_25">"$#ODWOŁANIE.$A$1:$AMH$2"</definedName>
    <definedName name="Excel_BuiltIn_Print_Titles_26">"$#ODWOŁANIE.$A$1:$AMH$2"</definedName>
    <definedName name="Excel_BuiltIn_Print_Titles_27">"$#ODWOŁANIE.$A$1:$AMH$2"</definedName>
    <definedName name="Excel_BuiltIn_Print_Titles_28">"$#ODWOŁANIE.$A$1:$AMH$2"</definedName>
    <definedName name="Excel_BuiltIn_Print_Titles_29">"$#ODWOŁANIE.$A$1:$AMH$2"</definedName>
    <definedName name="Excel_BuiltIn_Print_Titles_30">"$#ODWOŁANIE.$A$1:$AMG$2"</definedName>
    <definedName name="Excel_BuiltIn_Print_Titles_31">"$#ODWOŁANIE.$A$1:$AMJ$3"</definedName>
    <definedName name="Excel_BuiltIn_Print_Titles_32">"$#ODWOŁANIE.$A$1:$AMH$2"</definedName>
    <definedName name="Excel_BuiltIn_Print_Titles_33">"$#ODWOŁANIE.$A$1:$AMH$2"</definedName>
    <definedName name="Excel_BuiltIn_Print_Titles_34">"$#ODWOŁANIE.$A$1:$AMJ$3"</definedName>
    <definedName name="Excel_BuiltIn_Print_Titles_35">"$#ODWOŁANIE.$A$1:$AMH$2"</definedName>
    <definedName name="Excel_BuiltIn_Print_Titles_36">"$#ODWOŁANIE.$A$1:$AMH$2"</definedName>
    <definedName name="Excel_BuiltIn_Print_Titles_37">"$#ODWOŁANIE.$A$1:$AMJ$2"</definedName>
    <definedName name="Excel_BuiltIn_Print_Titles_38">"$#ODWOŁANIE.$A$1:$AMH$2"</definedName>
    <definedName name="Excel_BuiltIn_Print_Titles_39">"$#ODWOŁANIE.$A$1:$AMH$2"</definedName>
    <definedName name="Excel_BuiltIn_Print_Titles_4" localSheetId="4">#REF!</definedName>
    <definedName name="Excel_BuiltIn_Print_Titles_4" localSheetId="5">#REF!</definedName>
    <definedName name="Excel_BuiltIn_Print_Titles_4" localSheetId="0">#REF!</definedName>
    <definedName name="Excel_BuiltIn_Print_Titles_4">#REF!</definedName>
    <definedName name="Excel_BuiltIn_Print_Titles_40">"$#ODWOŁANIE.$A$1:$AMJ$2"</definedName>
    <definedName name="Excel_BuiltIn_Print_Titles_41">"$#ODWOŁANIE.$A$1:$AMJ$2"</definedName>
    <definedName name="Excel_BuiltIn_Print_Titles_42">"$#ODWOŁANIE.$A$1:$AMJ$2"</definedName>
    <definedName name="Excel_BuiltIn_Print_Titles_44" localSheetId="4">#REF!</definedName>
    <definedName name="Excel_BuiltIn_Print_Titles_44" localSheetId="5">#REF!</definedName>
    <definedName name="Excel_BuiltIn_Print_Titles_44" localSheetId="0">#REF!</definedName>
    <definedName name="Excel_BuiltIn_Print_Titles_44">#REF!</definedName>
    <definedName name="Excel_BuiltIn_Print_Titles_46">"$#ODWOŁANIE.$A$1:$AMJ$2"</definedName>
    <definedName name="Excel_BuiltIn_Print_Titles_47" localSheetId="4">#REF!</definedName>
    <definedName name="Excel_BuiltIn_Print_Titles_47" localSheetId="5">#REF!</definedName>
    <definedName name="Excel_BuiltIn_Print_Titles_47" localSheetId="0">#REF!</definedName>
    <definedName name="Excel_BuiltIn_Print_Titles_47">#REF!</definedName>
    <definedName name="Excel_BuiltIn_Print_Titles_5" localSheetId="4">#REF!</definedName>
    <definedName name="Excel_BuiltIn_Print_Titles_5" localSheetId="5">#REF!</definedName>
    <definedName name="Excel_BuiltIn_Print_Titles_5" localSheetId="0">#REF!</definedName>
    <definedName name="Excel_BuiltIn_Print_Titles_5">#REF!</definedName>
    <definedName name="Excel_BuiltIn_Print_Titles_6">"$#ODWOŁANIE.$A$1:$AMJ$2"</definedName>
    <definedName name="Excel_BuiltIn_Print_Titles_7">"#ref!"</definedName>
    <definedName name="Excel_BuiltIn_Print_Titles_7_1" localSheetId="4">#REF!</definedName>
    <definedName name="Excel_BuiltIn_Print_Titles_7_1" localSheetId="5">#REF!</definedName>
    <definedName name="Excel_BuiltIn_Print_Titles_7_1" localSheetId="0">#REF!</definedName>
    <definedName name="Excel_BuiltIn_Print_Titles_7_1">#REF!</definedName>
    <definedName name="Excel_BuiltIn_Print_Titles_8">"$#ODWOŁANIE.$A$1:$AMI$5"</definedName>
    <definedName name="Excel_BuiltIn_Print_Titles_9">"$#ODWOŁANIE.$A$1:$AMJ$2"</definedName>
    <definedName name="excelblog_Komunikat1">"W polu z kwotą nie znajduje się liczba"</definedName>
    <definedName name="excelblog_Komunikat2">"Kwota do zamiany jest nieprawidłowa (zbyt duża lub ujemna)"</definedName>
    <definedName name="Exchange_rate">#REF!</definedName>
    <definedName name="Excluded" localSheetId="4">#REF!</definedName>
    <definedName name="Excluded" localSheetId="5">#REF!</definedName>
    <definedName name="Excluded" localSheetId="0">#REF!</definedName>
    <definedName name="Excluded">#REF!</definedName>
    <definedName name="EXP_COND_G2" localSheetId="4">#REF!</definedName>
    <definedName name="EXP_COND_G2" localSheetId="5">#REF!</definedName>
    <definedName name="EXP_COND_G2" localSheetId="0">#REF!</definedName>
    <definedName name="EXP_COND_G2">#REF!</definedName>
    <definedName name="EXP_COND_L2" localSheetId="4">#REF!</definedName>
    <definedName name="EXP_COND_L2" localSheetId="5">#REF!</definedName>
    <definedName name="EXP_COND_L2" localSheetId="0">#REF!</definedName>
    <definedName name="EXP_COND_L2">#REF!</definedName>
    <definedName name="Expat_Perm" localSheetId="0">#REF!</definedName>
    <definedName name="Expat_Perm">#REF!</definedName>
    <definedName name="Expat_Temp" localSheetId="0">#REF!</definedName>
    <definedName name="Expat_Temp">#REF!</definedName>
    <definedName name="EXPLOSIVOS" localSheetId="4">#REF!</definedName>
    <definedName name="EXPLOSIVOS" localSheetId="5">#REF!</definedName>
    <definedName name="EXPLOSIVOS" localSheetId="0">#REF!</definedName>
    <definedName name="EXPLOSIVOS">#REF!</definedName>
    <definedName name="ExRate" localSheetId="4">#REF!</definedName>
    <definedName name="ExRate" localSheetId="5">#REF!</definedName>
    <definedName name="ExRate" localSheetId="0">#REF!</definedName>
    <definedName name="ExRate">#REF!</definedName>
    <definedName name="ExRatio" localSheetId="0">#REF!</definedName>
    <definedName name="ExRatio">#REF!</definedName>
    <definedName name="EXT20121TP" localSheetId="4">#REF!</definedName>
    <definedName name="EXT20121TP" localSheetId="5">#REF!</definedName>
    <definedName name="EXT20121TP" localSheetId="0">#REF!</definedName>
    <definedName name="EXT20121TP">#REF!</definedName>
    <definedName name="EXT20121TR" localSheetId="4">#REF!</definedName>
    <definedName name="EXT20121TR" localSheetId="5">#REF!</definedName>
    <definedName name="EXT20121TR" localSheetId="0">#REF!</definedName>
    <definedName name="EXT20121TR">#REF!</definedName>
    <definedName name="EXT2012V0" localSheetId="4">#REF!</definedName>
    <definedName name="EXT2012V0" localSheetId="5">#REF!</definedName>
    <definedName name="EXT2012V0" localSheetId="0">#REF!</definedName>
    <definedName name="EXT2012V0">#REF!</definedName>
    <definedName name="EXT2012V1" localSheetId="4">#REF!</definedName>
    <definedName name="EXT2012V1" localSheetId="0">#REF!</definedName>
    <definedName name="EXT2012V1">#REF!</definedName>
    <definedName name="EXT2012V1NC" localSheetId="4">#REF!</definedName>
    <definedName name="EXT2012V1NC" localSheetId="0">#REF!</definedName>
    <definedName name="EXT2012V1NC">#REF!</definedName>
    <definedName name="EXT2012V1OC" localSheetId="4">#REF!</definedName>
    <definedName name="EXT2012V1OC" localSheetId="0">#REF!</definedName>
    <definedName name="EXT2012V1OC">#REF!</definedName>
    <definedName name="extra" localSheetId="4">#REF!</definedName>
    <definedName name="extra" localSheetId="0">#REF!</definedName>
    <definedName name="extra">#REF!</definedName>
    <definedName name="Extra_Pay" localSheetId="4">#REF!</definedName>
    <definedName name="Extra_Pay" localSheetId="0">#REF!</definedName>
    <definedName name="Extra_Pay">#REF!</definedName>
    <definedName name="extrac_a_trier" localSheetId="4">#REF!</definedName>
    <definedName name="extrac_a_trier" localSheetId="0">#REF!</definedName>
    <definedName name="extrac_a_trier">#REF!</definedName>
    <definedName name="FA" localSheetId="0">#REF!</definedName>
    <definedName name="FA">#REF!</definedName>
    <definedName name="FABR2012" localSheetId="4">#REF!</definedName>
    <definedName name="FABR2012" localSheetId="5">#REF!</definedName>
    <definedName name="FABR2012" localSheetId="0">#REF!</definedName>
    <definedName name="FABR2012">#REF!</definedName>
    <definedName name="fabr20121" localSheetId="4">#REF!</definedName>
    <definedName name="fabr20121" localSheetId="5">#REF!</definedName>
    <definedName name="fabr20121" localSheetId="0">#REF!</definedName>
    <definedName name="fabr20121">#REF!</definedName>
    <definedName name="FAC" localSheetId="4">#REF!</definedName>
    <definedName name="FAC" localSheetId="5">#REF!</definedName>
    <definedName name="FAC" localSheetId="0">#REF!</definedName>
    <definedName name="FAC">#REF!</definedName>
    <definedName name="Fac_new" localSheetId="0">#REF!</definedName>
    <definedName name="Fac_new">#REF!</definedName>
    <definedName name="Fac_old" localSheetId="0">#REF!</definedName>
    <definedName name="Fac_old">#REF!</definedName>
    <definedName name="FACILITY" localSheetId="4">#REF!</definedName>
    <definedName name="FACILITY" localSheetId="5">#REF!</definedName>
    <definedName name="FACILITY" localSheetId="0">#REF!</definedName>
    <definedName name="FACILITY">#REF!</definedName>
    <definedName name="FACILITY_TOTAL" localSheetId="4">#REF!</definedName>
    <definedName name="FACILITY_TOTAL" localSheetId="5">#REF!</definedName>
    <definedName name="FACILITY_TOTAL" localSheetId="0">#REF!</definedName>
    <definedName name="FACILITY_TOTAL">#REF!</definedName>
    <definedName name="FACILITY_TOTAL_LBCu" localSheetId="4">#REF!</definedName>
    <definedName name="FACILITY_TOTAL_LBCu" localSheetId="0">#REF!</definedName>
    <definedName name="FACILITY_TOTAL_LBCu">#REF!</definedName>
    <definedName name="Facility_Unit_Costs" localSheetId="0">#REF!</definedName>
    <definedName name="Facility_Unit_Costs">#REF!</definedName>
    <definedName name="FACMH" localSheetId="4">#REF!</definedName>
    <definedName name="FACMH" localSheetId="5">#REF!</definedName>
    <definedName name="FACMH" localSheetId="0">#REF!</definedName>
    <definedName name="FACMH">#REF!</definedName>
    <definedName name="FacPUlabour" localSheetId="4">#REF!</definedName>
    <definedName name="FacPUlabour" localSheetId="5">#REF!</definedName>
    <definedName name="FacPUlabour" localSheetId="0">#REF!</definedName>
    <definedName name="FacPUlabour">#REF!</definedName>
    <definedName name="FacPUsupply" localSheetId="4">#REF!</definedName>
    <definedName name="FacPUsupply" localSheetId="5">#REF!</definedName>
    <definedName name="FacPUsupply" localSheetId="0">#REF!</definedName>
    <definedName name="FacPUsupply">#REF!</definedName>
    <definedName name="FacSKMH" localSheetId="4">#REF!</definedName>
    <definedName name="FacSKMH" localSheetId="0">#REF!</definedName>
    <definedName name="FacSKMH">#REF!</definedName>
    <definedName name="FacSKPUlabour" localSheetId="4">#REF!</definedName>
    <definedName name="FacSKPUlabour" localSheetId="0">#REF!</definedName>
    <definedName name="FacSKPUlabour">#REF!</definedName>
    <definedName name="FacSKPUsupply" localSheetId="4">#REF!</definedName>
    <definedName name="FacSKPUsupply" localSheetId="0">#REF!</definedName>
    <definedName name="FacSKPUsupply">#REF!</definedName>
    <definedName name="fact" localSheetId="4">#REF!</definedName>
    <definedName name="fact" localSheetId="0">#REF!</definedName>
    <definedName name="fact">#REF!</definedName>
    <definedName name="fact2" localSheetId="4">#REF!</definedName>
    <definedName name="fact2" localSheetId="0">#REF!</definedName>
    <definedName name="fact2">#REF!</definedName>
    <definedName name="fact3" localSheetId="4">#REF!</definedName>
    <definedName name="fact3" localSheetId="0">#REF!</definedName>
    <definedName name="fact3">#REF!</definedName>
    <definedName name="factor" localSheetId="4">#REF!</definedName>
    <definedName name="factor" localSheetId="0">#REF!</definedName>
    <definedName name="factor">#REF!</definedName>
    <definedName name="factor_BofQ" localSheetId="4">#REF!</definedName>
    <definedName name="factor_BofQ" localSheetId="0">#REF!</definedName>
    <definedName name="factor_BofQ">#REF!</definedName>
    <definedName name="Factores" localSheetId="4">#REF!</definedName>
    <definedName name="Factores" localSheetId="0">#REF!</definedName>
    <definedName name="Factores">#REF!</definedName>
    <definedName name="fafdsaf" localSheetId="4" hidden="1">{"CONCABL1.1",#N/A,FALSE,"1.1.1a1.1.3 ACSR";"AISL1.2",#N/A,FALSE,"1.1.1a1.1.3 ACSR";"torr1.1.3",#N/A,FALSE,"1.1.1a1.1.3 ACSR";"cm1.2",#N/A,FALSE,"1.2 ACSR";"cm2.2",#N/A,FALSE,"1.2 ACSR";#N/A,#N/A,FALSE,"1.3 ACSR";#N/A,#N/A,FALSE,"2.1.1A2.1.3 ACAR";"ac2.1",#N/A,FALSE,"1.2 ACAR";"ac2.2",#N/A,FALSE,"1.2 ACAR";#N/A,#N/A,FALSE,"2.3 ACAR"}</definedName>
    <definedName name="fafdsaf" localSheetId="5" hidden="1">{"CONCABL1.1",#N/A,FALSE,"1.1.1a1.1.3 ACSR";"AISL1.2",#N/A,FALSE,"1.1.1a1.1.3 ACSR";"torr1.1.3",#N/A,FALSE,"1.1.1a1.1.3 ACSR";"cm1.2",#N/A,FALSE,"1.2 ACSR";"cm2.2",#N/A,FALSE,"1.2 ACSR";#N/A,#N/A,FALSE,"1.3 ACSR";#N/A,#N/A,FALSE,"2.1.1A2.1.3 ACAR";"ac2.1",#N/A,FALSE,"1.2 ACAR";"ac2.2",#N/A,FALSE,"1.2 ACAR";#N/A,#N/A,FALSE,"2.3 ACAR"}</definedName>
    <definedName name="fafdsaf" localSheetId="0" hidden="1">{"CONCABL1.1",#N/A,FALSE,"1.1.1a1.1.3 ACSR";"AISL1.2",#N/A,FALSE,"1.1.1a1.1.3 ACSR";"torr1.1.3",#N/A,FALSE,"1.1.1a1.1.3 ACSR";"cm1.2",#N/A,FALSE,"1.2 ACSR";"cm2.2",#N/A,FALSE,"1.2 ACSR";#N/A,#N/A,FALSE,"1.3 ACSR";#N/A,#N/A,FALSE,"2.1.1A2.1.3 ACAR";"ac2.1",#N/A,FALSE,"1.2 ACAR";"ac2.2",#N/A,FALSE,"1.2 ACAR";#N/A,#N/A,FALSE,"2.3 ACAR"}</definedName>
    <definedName name="fafdsaf" hidden="1">{"CONCABL1.1",#N/A,FALSE,"1.1.1a1.1.3 ACSR";"AISL1.2",#N/A,FALSE,"1.1.1a1.1.3 ACSR";"torr1.1.3",#N/A,FALSE,"1.1.1a1.1.3 ACSR";"cm1.2",#N/A,FALSE,"1.2 ACSR";"cm2.2",#N/A,FALSE,"1.2 ACSR";#N/A,#N/A,FALSE,"1.3 ACSR";#N/A,#N/A,FALSE,"2.1.1A2.1.3 ACAR";"ac2.1",#N/A,FALSE,"1.2 ACAR";"ac2.2",#N/A,FALSE,"1.2 ACAR";#N/A,#N/A,FALSE,"2.3 ACAR"}</definedName>
    <definedName name="FAGO2012" localSheetId="4">#REF!</definedName>
    <definedName name="FAGO2012" localSheetId="5">#REF!</definedName>
    <definedName name="FAGO2012" localSheetId="0">#REF!</definedName>
    <definedName name="FAGO2012">#REF!</definedName>
    <definedName name="faiii25">"'file:///D:/PROJEKT PRZETARGOWY REWIZJA T3/Ściany T3/Wykazy stali/K-B1-40-A-T3.xls'#$'2'.$#ODWOŁANIE!$#ODWOŁANIE!"</definedName>
    <definedName name="fakt" localSheetId="4">#REF!</definedName>
    <definedName name="fakt" localSheetId="5">#REF!</definedName>
    <definedName name="fakt" localSheetId="0">#REF!</definedName>
    <definedName name="fakt">#REF!</definedName>
    <definedName name="FAN" localSheetId="4">#REF!</definedName>
    <definedName name="FAN" localSheetId="5">#REF!</definedName>
    <definedName name="FAN" localSheetId="0">#REF!</definedName>
    <definedName name="FAN">#REF!</definedName>
    <definedName name="FASES" localSheetId="4">#REF!</definedName>
    <definedName name="FASES" localSheetId="5">#REF!</definedName>
    <definedName name="FASES" localSheetId="0">#REF!</definedName>
    <definedName name="FASES">#REF!</definedName>
    <definedName name="FASES_RT_CB_2003" localSheetId="4">#REF!</definedName>
    <definedName name="FASES_RT_CB_2003" localSheetId="5">#REF!</definedName>
    <definedName name="FASES_RT_CB_2003" localSheetId="0">#REF!</definedName>
    <definedName name="FASES_RT_CB_2003">#REF!</definedName>
    <definedName name="FCCM" localSheetId="4">#REF!</definedName>
    <definedName name="FCCM" localSheetId="5">#REF!</definedName>
    <definedName name="FCCM" localSheetId="0">#REF!</definedName>
    <definedName name="FCCM">#REF!</definedName>
    <definedName name="FCOBROS" localSheetId="4">#REF!</definedName>
    <definedName name="FCOBROS" localSheetId="5">#REF!</definedName>
    <definedName name="FCOBROS" localSheetId="0">#REF!</definedName>
    <definedName name="FCOBROS">#REF!</definedName>
    <definedName name="FD" localSheetId="4">#REF!</definedName>
    <definedName name="FD" localSheetId="5">#REF!</definedName>
    <definedName name="FD" localSheetId="0">#REF!</definedName>
    <definedName name="FD">#REF!</definedName>
    <definedName name="fdf" localSheetId="4">#REF!</definedName>
    <definedName name="fdf" localSheetId="5">#REF!</definedName>
    <definedName name="fdf" localSheetId="0">#REF!</definedName>
    <definedName name="fdf">#REF!</definedName>
    <definedName name="fdff" localSheetId="4" hidden="1">{#N/A,#N/A,FALSE,"SumG";#N/A,#N/A,FALSE,"ElecG";#N/A,#N/A,FALSE,"MechG";#N/A,#N/A,FALSE,"GeotG";#N/A,#N/A,FALSE,"PrcsG";#N/A,#N/A,FALSE,"TunnG";#N/A,#N/A,FALSE,"CivlG";#N/A,#N/A,FALSE,"NtwkG";#N/A,#N/A,FALSE,"EstgG";#N/A,#N/A,FALSE,"PEngG"}</definedName>
    <definedName name="fdff" localSheetId="6" hidden="1">{#N/A,#N/A,FALSE,"SumG";#N/A,#N/A,FALSE,"ElecG";#N/A,#N/A,FALSE,"MechG";#N/A,#N/A,FALSE,"GeotG";#N/A,#N/A,FALSE,"PrcsG";#N/A,#N/A,FALSE,"TunnG";#N/A,#N/A,FALSE,"CivlG";#N/A,#N/A,FALSE,"NtwkG";#N/A,#N/A,FALSE,"EstgG";#N/A,#N/A,FALSE,"PEngG"}</definedName>
    <definedName name="fdff" localSheetId="5" hidden="1">{#N/A,#N/A,FALSE,"SumG";#N/A,#N/A,FALSE,"ElecG";#N/A,#N/A,FALSE,"MechG";#N/A,#N/A,FALSE,"GeotG";#N/A,#N/A,FALSE,"PrcsG";#N/A,#N/A,FALSE,"TunnG";#N/A,#N/A,FALSE,"CivlG";#N/A,#N/A,FALSE,"NtwkG";#N/A,#N/A,FALSE,"EstgG";#N/A,#N/A,FALSE,"PEngG"}</definedName>
    <definedName name="fdff" localSheetId="0"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dfs" localSheetId="4">#REF!</definedName>
    <definedName name="fdfs" localSheetId="5">#REF!</definedName>
    <definedName name="fdfs" localSheetId="0">#REF!</definedName>
    <definedName name="fdfs">#REF!</definedName>
    <definedName name="fdghgfdhfdghfd" localSheetId="4">#REF!</definedName>
    <definedName name="fdghgfdhfdghfd" localSheetId="5">#REF!</definedName>
    <definedName name="fdghgfdhfdghfd" localSheetId="0">#REF!</definedName>
    <definedName name="fdghgfdhfdghfd">#REF!</definedName>
    <definedName name="FDIC2011" localSheetId="4">#REF!</definedName>
    <definedName name="FDIC2011" localSheetId="5">#REF!</definedName>
    <definedName name="FDIC2011" localSheetId="0">#REF!</definedName>
    <definedName name="FDIC2011">#REF!</definedName>
    <definedName name="FDIC2012" localSheetId="4">#REF!</definedName>
    <definedName name="FDIC2012" localSheetId="0">#REF!</definedName>
    <definedName name="FDIC2012">#REF!</definedName>
    <definedName name="FEBRERO__28__19" localSheetId="4">#REF!</definedName>
    <definedName name="FEBRERO__28__19" localSheetId="0">#REF!</definedName>
    <definedName name="FEBRERO__28__19">#REF!</definedName>
    <definedName name="fecha" localSheetId="0">#REF!</definedName>
    <definedName name="fecha">#REF!</definedName>
    <definedName name="FECHACIERRE" localSheetId="0">#REF!</definedName>
    <definedName name="FECHACIERRE">#REF!</definedName>
    <definedName name="fechaconvocatoria" localSheetId="4">#REF!</definedName>
    <definedName name="fechaconvocatoria" localSheetId="5">#REF!</definedName>
    <definedName name="fechaconvocatoria" localSheetId="0">#REF!</definedName>
    <definedName name="fechaconvocatoria">#REF!</definedName>
    <definedName name="fechadeconcurso" localSheetId="4">#REF!</definedName>
    <definedName name="fechadeconcurso" localSheetId="5">#REF!</definedName>
    <definedName name="fechadeconcurso" localSheetId="0">#REF!</definedName>
    <definedName name="fechadeconcurso">#REF!</definedName>
    <definedName name="fechainicio" localSheetId="4">#REF!</definedName>
    <definedName name="fechainicio" localSheetId="5">#REF!</definedName>
    <definedName name="fechainicio" localSheetId="0">#REF!</definedName>
    <definedName name="fechainicio">#REF!</definedName>
    <definedName name="FECHAS" localSheetId="4">#REF!</definedName>
    <definedName name="FECHAS" localSheetId="0">#REF!</definedName>
    <definedName name="FECHAS">#REF!</definedName>
    <definedName name="fechaterminacion" localSheetId="4">#REF!</definedName>
    <definedName name="fechaterminacion" localSheetId="0">#REF!</definedName>
    <definedName name="fechaterminacion">#REF!</definedName>
    <definedName name="FEED2" localSheetId="4">#REF!</definedName>
    <definedName name="FEED2" localSheetId="0">#REF!</definedName>
    <definedName name="FEED2">#REF!</definedName>
    <definedName name="FEED3" localSheetId="4">#REF!</definedName>
    <definedName name="FEED3" localSheetId="0">#REF!</definedName>
    <definedName name="FEED3">#REF!</definedName>
    <definedName name="FEED4" localSheetId="4">#REF!</definedName>
    <definedName name="FEED4" localSheetId="0">#REF!</definedName>
    <definedName name="FEED4">#REF!</definedName>
    <definedName name="FEFC_Salary" localSheetId="4">#REF!</definedName>
    <definedName name="FEFC_Salary" localSheetId="5">#REF!</definedName>
    <definedName name="FEFC_Salary" localSheetId="0">#REF!</definedName>
    <definedName name="FEFC_Salary">#REF!</definedName>
    <definedName name="FENE2012" localSheetId="4">#REF!</definedName>
    <definedName name="FENE2012" localSheetId="5">#REF!</definedName>
    <definedName name="FENE2012" localSheetId="0">#REF!</definedName>
    <definedName name="FENE2012">#REF!</definedName>
    <definedName name="FF" localSheetId="4">#REF!</definedName>
    <definedName name="FF" localSheetId="5">#REF!</definedName>
    <definedName name="FF" localSheetId="0">#REF!</definedName>
    <definedName name="FF">#REF!</definedName>
    <definedName name="FFEB2012" localSheetId="4">#REF!</definedName>
    <definedName name="FFEB2012" localSheetId="5">#REF!</definedName>
    <definedName name="FFEB2012" localSheetId="0">#REF!</definedName>
    <definedName name="FFEB2012">#REF!</definedName>
    <definedName name="FFECHAS" localSheetId="0">#REF!</definedName>
    <definedName name="FFECHAS">#REF!</definedName>
    <definedName name="fff" localSheetId="4">{"sto";"dwieście";"trzysta";"czterysta";"pięćset";"sześćset";"siedemset";"osiemset";"dziewięćset"}</definedName>
    <definedName name="fff" localSheetId="6">{"sto";"dwieście";"trzysta";"czterysta";"pięćset";"sześćset";"siedemset";"osiemset";"dziewięćset"}</definedName>
    <definedName name="fff" localSheetId="5">{"sto";"dwieście";"trzysta";"czterysta";"pięćset";"sześćset";"siedemset";"osiemset";"dziewięćset"}</definedName>
    <definedName name="fff" localSheetId="0">{"sto";"dwieście";"trzysta";"czterysta";"pięćset";"sześćset";"siedemset";"osiemset";"dziewięćset"}</definedName>
    <definedName name="fff">{"sto";"dwieście";"trzysta";"czterysta";"pięćset";"sześćset";"siedemset";"osiemset";"dziewięćset"}</definedName>
    <definedName name="fffffff" localSheetId="4">#REF!</definedName>
    <definedName name="fffffff" localSheetId="5">#REF!</definedName>
    <definedName name="fffffff" localSheetId="0">#REF!</definedName>
    <definedName name="fffffff">#REF!</definedName>
    <definedName name="ffffffffffff" localSheetId="4">#REF!</definedName>
    <definedName name="ffffffffffff" localSheetId="5">#REF!</definedName>
    <definedName name="ffffffffffff" localSheetId="0">#REF!</definedName>
    <definedName name="ffffffffffff">#REF!</definedName>
    <definedName name="ffgkfgkf" localSheetId="4">#REF!</definedName>
    <definedName name="ffgkfgkf" localSheetId="5">#REF!</definedName>
    <definedName name="ffgkfgkf" localSheetId="0">#REF!</definedName>
    <definedName name="ffgkfgkf">#REF!</definedName>
    <definedName name="ffr" localSheetId="4">#REF!</definedName>
    <definedName name="ffr" localSheetId="0">#REF!</definedName>
    <definedName name="ffr">#REF!</definedName>
    <definedName name="fg" localSheetId="4" hidden="1">{#N/A,#N/A,FALSE,"SumG";#N/A,#N/A,FALSE,"ElecG";#N/A,#N/A,FALSE,"MechG";#N/A,#N/A,FALSE,"GeotG";#N/A,#N/A,FALSE,"PrcsG";#N/A,#N/A,FALSE,"TunnG";#N/A,#N/A,FALSE,"CivlG";#N/A,#N/A,FALSE,"NtwkG";#N/A,#N/A,FALSE,"EstgG";#N/A,#N/A,FALSE,"PEngG"}</definedName>
    <definedName name="fg" localSheetId="6" hidden="1">{#N/A,#N/A,FALSE,"SumG";#N/A,#N/A,FALSE,"ElecG";#N/A,#N/A,FALSE,"MechG";#N/A,#N/A,FALSE,"GeotG";#N/A,#N/A,FALSE,"PrcsG";#N/A,#N/A,FALSE,"TunnG";#N/A,#N/A,FALSE,"CivlG";#N/A,#N/A,FALSE,"NtwkG";#N/A,#N/A,FALSE,"EstgG";#N/A,#N/A,FALSE,"PEngG"}</definedName>
    <definedName name="fg" localSheetId="5" hidden="1">{#N/A,#N/A,FALSE,"SumG";#N/A,#N/A,FALSE,"ElecG";#N/A,#N/A,FALSE,"MechG";#N/A,#N/A,FALSE,"GeotG";#N/A,#N/A,FALSE,"PrcsG";#N/A,#N/A,FALSE,"TunnG";#N/A,#N/A,FALSE,"CivlG";#N/A,#N/A,FALSE,"NtwkG";#N/A,#N/A,FALSE,"EstgG";#N/A,#N/A,FALSE,"PEngG"}</definedName>
    <definedName name="fg" localSheetId="0"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ch" localSheetId="4" hidden="1">{#N/A,#N/A,FALSE,"masez (10)";#N/A,#N/A,FALSE,"masez (7)";#N/A,#N/A,FALSE,"masez (6)";#N/A,#N/A,FALSE,"masez (5)";#N/A,#N/A,FALSE,"masez (4)";#N/A,#N/A,FALSE,"masez (3)";#N/A,#N/A,FALSE,"masez (2)";#N/A,#N/A,FALSE,"GME";#N/A,#N/A,FALSE,"masez"}</definedName>
    <definedName name="fgch" localSheetId="5" hidden="1">{#N/A,#N/A,FALSE,"masez (10)";#N/A,#N/A,FALSE,"masez (7)";#N/A,#N/A,FALSE,"masez (6)";#N/A,#N/A,FALSE,"masez (5)";#N/A,#N/A,FALSE,"masez (4)";#N/A,#N/A,FALSE,"masez (3)";#N/A,#N/A,FALSE,"masez (2)";#N/A,#N/A,FALSE,"GME";#N/A,#N/A,FALSE,"masez"}</definedName>
    <definedName name="fgch" localSheetId="0" hidden="1">{#N/A,#N/A,FALSE,"masez (10)";#N/A,#N/A,FALSE,"masez (7)";#N/A,#N/A,FALSE,"masez (6)";#N/A,#N/A,FALSE,"masez (5)";#N/A,#N/A,FALSE,"masez (4)";#N/A,#N/A,FALSE,"masez (3)";#N/A,#N/A,FALSE,"masez (2)";#N/A,#N/A,FALSE,"GME";#N/A,#N/A,FALSE,"masez"}</definedName>
    <definedName name="fgch" hidden="1">{#N/A,#N/A,FALSE,"masez (10)";#N/A,#N/A,FALSE,"masez (7)";#N/A,#N/A,FALSE,"masez (6)";#N/A,#N/A,FALSE,"masez (5)";#N/A,#N/A,FALSE,"masez (4)";#N/A,#N/A,FALSE,"masez (3)";#N/A,#N/A,FALSE,"masez (2)";#N/A,#N/A,FALSE,"GME";#N/A,#N/A,FALSE,"masez"}</definedName>
    <definedName name="fgdfg" localSheetId="4" hidden="1">{#N/A,#N/A,FALSE,"SumD";#N/A,#N/A,FALSE,"ElecD";#N/A,#N/A,FALSE,"MechD";#N/A,#N/A,FALSE,"GeotD";#N/A,#N/A,FALSE,"PrcsD";#N/A,#N/A,FALSE,"TunnD";#N/A,#N/A,FALSE,"CivlD";#N/A,#N/A,FALSE,"NtwkD";#N/A,#N/A,FALSE,"EstgD";#N/A,#N/A,FALSE,"PEngD"}</definedName>
    <definedName name="fgdfg" localSheetId="6" hidden="1">{#N/A,#N/A,FALSE,"SumD";#N/A,#N/A,FALSE,"ElecD";#N/A,#N/A,FALSE,"MechD";#N/A,#N/A,FALSE,"GeotD";#N/A,#N/A,FALSE,"PrcsD";#N/A,#N/A,FALSE,"TunnD";#N/A,#N/A,FALSE,"CivlD";#N/A,#N/A,FALSE,"NtwkD";#N/A,#N/A,FALSE,"EstgD";#N/A,#N/A,FALSE,"PEngD"}</definedName>
    <definedName name="fgdfg" localSheetId="5" hidden="1">{#N/A,#N/A,FALSE,"SumD";#N/A,#N/A,FALSE,"ElecD";#N/A,#N/A,FALSE,"MechD";#N/A,#N/A,FALSE,"GeotD";#N/A,#N/A,FALSE,"PrcsD";#N/A,#N/A,FALSE,"TunnD";#N/A,#N/A,FALSE,"CivlD";#N/A,#N/A,FALSE,"NtwkD";#N/A,#N/A,FALSE,"EstgD";#N/A,#N/A,FALSE,"PEngD"}</definedName>
    <definedName name="fgdfg" localSheetId="0"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4" hidden="1">{#N/A,#N/A,FALSE,"SumG";#N/A,#N/A,FALSE,"ElecG";#N/A,#N/A,FALSE,"MechG";#N/A,#N/A,FALSE,"GeotG";#N/A,#N/A,FALSE,"PrcsG";#N/A,#N/A,FALSE,"TunnG";#N/A,#N/A,FALSE,"CivlG";#N/A,#N/A,FALSE,"NtwkG";#N/A,#N/A,FALSE,"EstgG";#N/A,#N/A,FALSE,"PEngG"}</definedName>
    <definedName name="fgfdg" localSheetId="6" hidden="1">{#N/A,#N/A,FALSE,"SumG";#N/A,#N/A,FALSE,"ElecG";#N/A,#N/A,FALSE,"MechG";#N/A,#N/A,FALSE,"GeotG";#N/A,#N/A,FALSE,"PrcsG";#N/A,#N/A,FALSE,"TunnG";#N/A,#N/A,FALSE,"CivlG";#N/A,#N/A,FALSE,"NtwkG";#N/A,#N/A,FALSE,"EstgG";#N/A,#N/A,FALSE,"PEngG"}</definedName>
    <definedName name="fgfdg" localSheetId="5" hidden="1">{#N/A,#N/A,FALSE,"SumG";#N/A,#N/A,FALSE,"ElecG";#N/A,#N/A,FALSE,"MechG";#N/A,#N/A,FALSE,"GeotG";#N/A,#N/A,FALSE,"PrcsG";#N/A,#N/A,FALSE,"TunnG";#N/A,#N/A,FALSE,"CivlG";#N/A,#N/A,FALSE,"NtwkG";#N/A,#N/A,FALSE,"EstgG";#N/A,#N/A,FALSE,"PEngG"}</definedName>
    <definedName name="fgfdg" localSheetId="0"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 localSheetId="4">#REF!</definedName>
    <definedName name="FGH" localSheetId="5">#REF!</definedName>
    <definedName name="FGH" localSheetId="0">#REF!</definedName>
    <definedName name="FGH">#REF!</definedName>
    <definedName name="fghfg" localSheetId="4" hidden="1">{#N/A,#N/A,FALSE,"SumD";#N/A,#N/A,FALSE,"ElecD";#N/A,#N/A,FALSE,"MechD";#N/A,#N/A,FALSE,"GeotD";#N/A,#N/A,FALSE,"PrcsD";#N/A,#N/A,FALSE,"TunnD";#N/A,#N/A,FALSE,"CivlD";#N/A,#N/A,FALSE,"NtwkD";#N/A,#N/A,FALSE,"EstgD";#N/A,#N/A,FALSE,"PEngD"}</definedName>
    <definedName name="fghfg" localSheetId="6" hidden="1">{#N/A,#N/A,FALSE,"SumD";#N/A,#N/A,FALSE,"ElecD";#N/A,#N/A,FALSE,"MechD";#N/A,#N/A,FALSE,"GeotD";#N/A,#N/A,FALSE,"PrcsD";#N/A,#N/A,FALSE,"TunnD";#N/A,#N/A,FALSE,"CivlD";#N/A,#N/A,FALSE,"NtwkD";#N/A,#N/A,FALSE,"EstgD";#N/A,#N/A,FALSE,"PEngD"}</definedName>
    <definedName name="fghfg" localSheetId="5" hidden="1">{#N/A,#N/A,FALSE,"SumD";#N/A,#N/A,FALSE,"ElecD";#N/A,#N/A,FALSE,"MechD";#N/A,#N/A,FALSE,"GeotD";#N/A,#N/A,FALSE,"PrcsD";#N/A,#N/A,FALSE,"TunnD";#N/A,#N/A,FALSE,"CivlD";#N/A,#N/A,FALSE,"NtwkD";#N/A,#N/A,FALSE,"EstgD";#N/A,#N/A,FALSE,"PEngD"}</definedName>
    <definedName name="fghfg" localSheetId="0"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fghfhfdhf" localSheetId="4">#REF!</definedName>
    <definedName name="fghfghfhfdhf" localSheetId="5">#REF!</definedName>
    <definedName name="fghfghfhfdhf" localSheetId="0">#REF!</definedName>
    <definedName name="fghfghfhfdhf">#REF!</definedName>
    <definedName name="fghgfhfdh" localSheetId="4">#REF!</definedName>
    <definedName name="fghgfhfdh" localSheetId="5">#REF!</definedName>
    <definedName name="fghgfhfdh" localSheetId="0">#REF!</definedName>
    <definedName name="fghgfhfdh">#REF!</definedName>
    <definedName name="FGHH" localSheetId="4" hidden="1">{#N/A,#N/A,FALSE,"SumD";#N/A,#N/A,FALSE,"ElecD";#N/A,#N/A,FALSE,"MechD";#N/A,#N/A,FALSE,"GeotD";#N/A,#N/A,FALSE,"PrcsD";#N/A,#N/A,FALSE,"TunnD";#N/A,#N/A,FALSE,"CivlD";#N/A,#N/A,FALSE,"NtwkD";#N/A,#N/A,FALSE,"EstgD";#N/A,#N/A,FALSE,"PEngD"}</definedName>
    <definedName name="FGHH" localSheetId="6" hidden="1">{#N/A,#N/A,FALSE,"SumD";#N/A,#N/A,FALSE,"ElecD";#N/A,#N/A,FALSE,"MechD";#N/A,#N/A,FALSE,"GeotD";#N/A,#N/A,FALSE,"PrcsD";#N/A,#N/A,FALSE,"TunnD";#N/A,#N/A,FALSE,"CivlD";#N/A,#N/A,FALSE,"NtwkD";#N/A,#N/A,FALSE,"EstgD";#N/A,#N/A,FALSE,"PEngD"}</definedName>
    <definedName name="FGHH" localSheetId="5" hidden="1">{#N/A,#N/A,FALSE,"SumD";#N/A,#N/A,FALSE,"ElecD";#N/A,#N/A,FALSE,"MechD";#N/A,#N/A,FALSE,"GeotD";#N/A,#N/A,FALSE,"PrcsD";#N/A,#N/A,FALSE,"TunnD";#N/A,#N/A,FALSE,"CivlD";#N/A,#N/A,FALSE,"NtwkD";#N/A,#N/A,FALSE,"EstgD";#N/A,#N/A,FALSE,"PEngD"}</definedName>
    <definedName name="FGHH" localSheetId="0"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RKRKRKRKRKRKRKRKRKRKRKTBTBSPD" localSheetId="4">#REF!</definedName>
    <definedName name="fgRKRKRKRKRKRKRKRKRKRKRKTBTBSPD" localSheetId="5">#REF!</definedName>
    <definedName name="fgRKRKRKRKRKRKRKRKRKRKRKTBTBSPD" localSheetId="0">#REF!</definedName>
    <definedName name="fgRKRKRKRKRKRKRKRKRKRKRKTBTBSPD">#REF!</definedName>
    <definedName name="FGRKRKRKRKRKRKRKTBTBSPDKDKRT" localSheetId="4">#REF!</definedName>
    <definedName name="FGRKRKRKRKRKRKRKTBTBSPDKDKRT" localSheetId="5">#REF!</definedName>
    <definedName name="FGRKRKRKRKRKRKRKTBTBSPDKDKRT" localSheetId="0">#REF!</definedName>
    <definedName name="FGRKRKRKRKRKRKRKTBTBSPDKDKRT">#REF!</definedName>
    <definedName name="FGRKRKRKRKRKRKTBTBSPDKDKRT" localSheetId="4">#REF!</definedName>
    <definedName name="FGRKRKRKRKRKRKTBTBSPDKDKRT" localSheetId="0">#REF!</definedName>
    <definedName name="FGRKRKRKRKRKRKTBTBSPDKDKRT">#REF!</definedName>
    <definedName name="fgRKTBTBSPDKDKRT" localSheetId="4">#REF!</definedName>
    <definedName name="fgRKTBTBSPDKDKRT" localSheetId="0">#REF!</definedName>
    <definedName name="fgRKTBTBSPDKDKRT">#REF!</definedName>
    <definedName name="FGRKTBTBSPRT" localSheetId="4">#REF!</definedName>
    <definedName name="FGRKTBTBSPRT" localSheetId="0">#REF!</definedName>
    <definedName name="FGRKTBTBSPRT">#REF!</definedName>
    <definedName name="fhgfhfdhgfgfh" localSheetId="4">#REF!</definedName>
    <definedName name="fhgfhfdhgfgfh" localSheetId="5">#REF!</definedName>
    <definedName name="fhgfhfdhgfgfh" localSheetId="0">#REF!</definedName>
    <definedName name="fhgfhfdhgfgfh">#REF!</definedName>
    <definedName name="FHSFJKSG" localSheetId="4" hidden="1">{#N/A,#N/A,FALSE,"RESUMEN";#N/A,#N/A,FALSE,"GG-GI";#N/A,#N/A,FALSE,"AMB";#N/A,#N/A,FALSE,"EyR";#N/A,#N/A,FALSE,"UCP";#N/A,#N/A,FALSE,"IND";#N/A,#N/A,FALSE,"LR";#N/A,#N/A,FALSE,"PRV";#N/A,#N/A,FALSE,"TÚNELES";#N/A,#N/A,FALSE,"IDT";#N/A,#N/A,FALSE,"ING"}</definedName>
    <definedName name="FHSFJKSG" localSheetId="5" hidden="1">{#N/A,#N/A,FALSE,"RESUMEN";#N/A,#N/A,FALSE,"GG-GI";#N/A,#N/A,FALSE,"AMB";#N/A,#N/A,FALSE,"EyR";#N/A,#N/A,FALSE,"UCP";#N/A,#N/A,FALSE,"IND";#N/A,#N/A,FALSE,"LR";#N/A,#N/A,FALSE,"PRV";#N/A,#N/A,FALSE,"TÚNELES";#N/A,#N/A,FALSE,"IDT";#N/A,#N/A,FALSE,"ING"}</definedName>
    <definedName name="FHSFJKSG" localSheetId="0" hidden="1">{#N/A,#N/A,FALSE,"RESUMEN";#N/A,#N/A,FALSE,"GG-GI";#N/A,#N/A,FALSE,"AMB";#N/A,#N/A,FALSE,"EyR";#N/A,#N/A,FALSE,"UCP";#N/A,#N/A,FALSE,"IND";#N/A,#N/A,FALSE,"LR";#N/A,#N/A,FALSE,"PRV";#N/A,#N/A,FALSE,"TÚNELES";#N/A,#N/A,FALSE,"IDT";#N/A,#N/A,FALSE,"ING"}</definedName>
    <definedName name="FHSFJKSG" hidden="1">{#N/A,#N/A,FALSE,"RESUMEN";#N/A,#N/A,FALSE,"GG-GI";#N/A,#N/A,FALSE,"AMB";#N/A,#N/A,FALSE,"EyR";#N/A,#N/A,FALSE,"UCP";#N/A,#N/A,FALSE,"IND";#N/A,#N/A,FALSE,"LR";#N/A,#N/A,FALSE,"PRV";#N/A,#N/A,FALSE,"TÚNELES";#N/A,#N/A,FALSE,"IDT";#N/A,#N/A,FALSE,"ING"}</definedName>
    <definedName name="fiAIII2">"'file:///D:/PROJEKT PRZETARGOWY REWIZJA T3/Ściany T3/Wykazy stali/K-B1-40-A-T3.xls'#$'2'.$#ODWOŁANIE!$#ODWOŁANIE!"</definedName>
    <definedName name="Fibra">1</definedName>
    <definedName name="fibra_taltal" localSheetId="4">#REF!</definedName>
    <definedName name="fibra_taltal" localSheetId="5">#REF!</definedName>
    <definedName name="fibra_taltal" localSheetId="0">#REF!</definedName>
    <definedName name="fibra_taltal">#REF!</definedName>
    <definedName name="Field_Ofc_OT" localSheetId="0">#REF!</definedName>
    <definedName name="Field_Ofc_OT">#REF!</definedName>
    <definedName name="Field_Ofc_ST" localSheetId="0">#REF!</definedName>
    <definedName name="Field_Ofc_ST">#REF!</definedName>
    <definedName name="Filename" localSheetId="4">#REF!</definedName>
    <definedName name="Filename" localSheetId="5">#REF!</definedName>
    <definedName name="Filename" localSheetId="0">#REF!</definedName>
    <definedName name="Filename">#REF!</definedName>
    <definedName name="FILLL" localSheetId="4" hidden="1">#REF!</definedName>
    <definedName name="FILLL" localSheetId="5" hidden="1">#REF!</definedName>
    <definedName name="FILLL" localSheetId="0" hidden="1">#REF!</definedName>
    <definedName name="FILLL" hidden="1">#REF!</definedName>
    <definedName name="Filter_input_fac" localSheetId="4">#REF!</definedName>
    <definedName name="Filter_input_fac" localSheetId="5">#REF!</definedName>
    <definedName name="Filter_input_fac" localSheetId="0">#REF!</definedName>
    <definedName name="Filter_input_fac">#REF!</definedName>
    <definedName name="Fin_de_periodo" localSheetId="0">#REF!</definedName>
    <definedName name="Fin_de_periodo">#REF!</definedName>
    <definedName name="Fin_Hrs" localSheetId="4">#REF!</definedName>
    <definedName name="Fin_Hrs" localSheetId="0">#REF!</definedName>
    <definedName name="Fin_Hrs">#REF!</definedName>
    <definedName name="Fin_Rev" localSheetId="4">#REF!</definedName>
    <definedName name="Fin_Rev" localSheetId="0">#REF!</definedName>
    <definedName name="Fin_Rev">#REF!</definedName>
    <definedName name="FIO">"'file:///D:/PROJEKT PRZETARGOWY REWIZJA T3/Ściany T3/Wykazy stali/K-B1-40-A-T3.xls'#$'2'.$#ODWOŁANIE!$#ODWOŁANIE!"</definedName>
    <definedName name="FIRE" localSheetId="4">#REF!</definedName>
    <definedName name="FIRE" localSheetId="5">#REF!</definedName>
    <definedName name="FIRE" localSheetId="0">#REF!</definedName>
    <definedName name="FIRE">#REF!</definedName>
    <definedName name="Firma" localSheetId="4">#REF!</definedName>
    <definedName name="Firma" localSheetId="5">#REF!</definedName>
    <definedName name="Firma" localSheetId="0">#REF!</definedName>
    <definedName name="Firma">#REF!</definedName>
    <definedName name="FIRMY_GET" localSheetId="4">#REF!</definedName>
    <definedName name="FIRMY_GET" localSheetId="5">#REF!</definedName>
    <definedName name="FIRMY_GET" localSheetId="0">#REF!</definedName>
    <definedName name="FIRMY_GET">#REF!</definedName>
    <definedName name="Fixed" localSheetId="4">#REF!</definedName>
    <definedName name="Fixed" localSheetId="5">#REF!</definedName>
    <definedName name="Fixed" localSheetId="0">#REF!</definedName>
    <definedName name="Fixed">#REF!</definedName>
    <definedName name="FJUL2012" localSheetId="4">#REF!</definedName>
    <definedName name="FJUL2012" localSheetId="5">#REF!</definedName>
    <definedName name="FJUL2012" localSheetId="0">#REF!</definedName>
    <definedName name="FJUL2012">#REF!</definedName>
    <definedName name="FJUN2012" localSheetId="4">#REF!</definedName>
    <definedName name="FJUN2012" localSheetId="5">#REF!</definedName>
    <definedName name="FJUN2012" localSheetId="0">#REF!</definedName>
    <definedName name="FJUN2012">#REF!</definedName>
    <definedName name="FKIS_Salary" localSheetId="4">#REF!</definedName>
    <definedName name="FKIS_Salary" localSheetId="5">#REF!</definedName>
    <definedName name="FKIS_Salary" localSheetId="0">#REF!</definedName>
    <definedName name="FKIS_Salary">#REF!</definedName>
    <definedName name="FLA" localSheetId="4">#REF!</definedName>
    <definedName name="FLA" localSheetId="5">#REF!</definedName>
    <definedName name="FLA" localSheetId="0">#REF!</definedName>
    <definedName name="FLA">#REF!</definedName>
    <definedName name="flaco1" localSheetId="4">#REF!</definedName>
    <definedName name="flaco1" localSheetId="5">#REF!</definedName>
    <definedName name="flaco1" localSheetId="0">#REF!</definedName>
    <definedName name="flaco1">#REF!</definedName>
    <definedName name="flaco2" localSheetId="4">#REF!</definedName>
    <definedName name="flaco2" localSheetId="5">#REF!</definedName>
    <definedName name="flaco2" localSheetId="0">#REF!</definedName>
    <definedName name="flaco2">#REF!</definedName>
    <definedName name="FlArea" localSheetId="4">#REF!</definedName>
    <definedName name="FlArea" localSheetId="5">#REF!</definedName>
    <definedName name="FlArea" localSheetId="0">#REF!</definedName>
    <definedName name="FlArea">#REF!</definedName>
    <definedName name="FLETE" localSheetId="4">#REF!</definedName>
    <definedName name="FLETE" localSheetId="0">#REF!</definedName>
    <definedName name="FLETE">#REF!</definedName>
    <definedName name="FLG" localSheetId="4">#REF!</definedName>
    <definedName name="FLG" localSheetId="0">#REF!</definedName>
    <definedName name="FLG">#REF!</definedName>
    <definedName name="FLG_Orifice" localSheetId="4">#REF!</definedName>
    <definedName name="FLG_Orifice" localSheetId="0">#REF!</definedName>
    <definedName name="FLG_Orifice">#REF!</definedName>
    <definedName name="Flujo" localSheetId="4">#REF!</definedName>
    <definedName name="Flujo" localSheetId="0">#REF!</definedName>
    <definedName name="Flujo">#REF!</definedName>
    <definedName name="Flujos_de_Caja" localSheetId="4">#REF!</definedName>
    <definedName name="Flujos_de_Caja" localSheetId="0">#REF!</definedName>
    <definedName name="Flujos_de_Caja">#REF!</definedName>
    <definedName name="FMAR2012" localSheetId="4">#REF!</definedName>
    <definedName name="FMAR2012" localSheetId="0">#REF!</definedName>
    <definedName name="FMAR2012">#REF!</definedName>
    <definedName name="FMAY2012" localSheetId="4">#REF!</definedName>
    <definedName name="FMAY2012" localSheetId="0">#REF!</definedName>
    <definedName name="FMAY2012">#REF!</definedName>
    <definedName name="FME" localSheetId="4">#REF!</definedName>
    <definedName name="FME" localSheetId="5">#REF!</definedName>
    <definedName name="FME" localSheetId="0">#REF!</definedName>
    <definedName name="FME">#REF!</definedName>
    <definedName name="FMN" localSheetId="4">#REF!</definedName>
    <definedName name="FMN" localSheetId="5">#REF!</definedName>
    <definedName name="FMN" localSheetId="0">#REF!</definedName>
    <definedName name="FMN">#REF!</definedName>
    <definedName name="FNC" localSheetId="4">#REF!</definedName>
    <definedName name="FNC" localSheetId="5">#REF!</definedName>
    <definedName name="FNC" localSheetId="0">#REF!</definedName>
    <definedName name="FNC">#REF!</definedName>
    <definedName name="FNOV2012" localSheetId="4">#REF!</definedName>
    <definedName name="FNOV2012" localSheetId="5">#REF!</definedName>
    <definedName name="FNOV2012" localSheetId="0">#REF!</definedName>
    <definedName name="FNOV2012">#REF!</definedName>
    <definedName name="FOA" localSheetId="4">#REF!</definedName>
    <definedName name="FOA" localSheetId="5">#REF!</definedName>
    <definedName name="FOA" localSheetId="0">#REF!</definedName>
    <definedName name="FOA">#REF!</definedName>
    <definedName name="FOCT2012" localSheetId="4">#REF!</definedName>
    <definedName name="FOCT2012" localSheetId="0">#REF!</definedName>
    <definedName name="FOCT2012">#REF!</definedName>
    <definedName name="Folia_kubełkowa">70</definedName>
    <definedName name="foot" localSheetId="4">#REF!</definedName>
    <definedName name="foot" localSheetId="5">#REF!</definedName>
    <definedName name="foot" localSheetId="0">#REF!</definedName>
    <definedName name="foot">#REF!</definedName>
    <definedName name="FORDISPLAY" localSheetId="0">#REF!</definedName>
    <definedName name="FORDISPLAY">#REF!</definedName>
    <definedName name="FOREIGN" localSheetId="0">#REF!</definedName>
    <definedName name="FOREIGN">#REF!</definedName>
    <definedName name="FormQty" localSheetId="4">IF('Costo Directo'!BASE=1,#REF!*#REF!,#REF!*#REF!/8.2296)</definedName>
    <definedName name="FormQty" localSheetId="6">IF(BASE=1,#REF!*#REF!,#REF!*#REF!/8.2296)</definedName>
    <definedName name="FormQty" localSheetId="5">IF(BASE=1,#REF!*#REF!,#REF!*#REF!/8.2296)</definedName>
    <definedName name="FormQty" localSheetId="0">IF('Resumen Ejecutivo'!BASE=1,#REF!*#REF!,#REF!*#REF!/8.2296)</definedName>
    <definedName name="FormQty">IF(BASE=1,#REF!*#REF!,#REF!*#REF!/8.2296)</definedName>
    <definedName name="FormQty1" localSheetId="4">IF('Costo Directo'!BASE=1,#REF!*#REF!,#REF!*#REF!/8.2296)</definedName>
    <definedName name="FormQty1" localSheetId="6">IF(BASE=1,#REF!*#REF!,#REF!*#REF!/8.2296)</definedName>
    <definedName name="FormQty1" localSheetId="5">IF(BASE=1,#REF!*#REF!,#REF!*#REF!/8.2296)</definedName>
    <definedName name="FormQty1" localSheetId="0">IF('Resumen Ejecutivo'!BASE=1,#REF!*#REF!,#REF!*#REF!/8.2296)</definedName>
    <definedName name="FormQty1">IF(BASE=1,#REF!*#REF!,#REF!*#REF!/8.2296)</definedName>
    <definedName name="formula" localSheetId="4">#REF!</definedName>
    <definedName name="formula" localSheetId="6">#REF!</definedName>
    <definedName name="formula" localSheetId="5">#REF!</definedName>
    <definedName name="formula" localSheetId="0">#REF!</definedName>
    <definedName name="formula">#REF!</definedName>
    <definedName name="FORMULA_ELECT" localSheetId="4">#REF!</definedName>
    <definedName name="FORMULA_ELECT" localSheetId="6">#REF!</definedName>
    <definedName name="FORMULA_ELECT" localSheetId="5">#REF!</definedName>
    <definedName name="FORMULA_ELECT" localSheetId="0">#REF!</definedName>
    <definedName name="FORMULA_ELECT">#REF!</definedName>
    <definedName name="FORMULTIPLIER" localSheetId="0">#REF!</definedName>
    <definedName name="FORMULTIPLIER">#REF!</definedName>
    <definedName name="formuły_do_kopiowania" localSheetId="0">#REF!</definedName>
    <definedName name="formuły_do_kopiowania">#REF!</definedName>
    <definedName name="Forniture" localSheetId="4">#REF!</definedName>
    <definedName name="Forniture" localSheetId="5">#REF!</definedName>
    <definedName name="Forniture" localSheetId="0">#REF!</definedName>
    <definedName name="Forniture">#REF!</definedName>
    <definedName name="Forniture__Estero" localSheetId="4">#REF!</definedName>
    <definedName name="Forniture__Estero" localSheetId="5">#REF!</definedName>
    <definedName name="Forniture__Estero" localSheetId="0">#REF!</definedName>
    <definedName name="Forniture__Estero">#REF!</definedName>
    <definedName name="Forniture__Italia" localSheetId="4">#REF!</definedName>
    <definedName name="Forniture__Italia" localSheetId="5">#REF!</definedName>
    <definedName name="Forniture__Italia" localSheetId="0">#REF!</definedName>
    <definedName name="Forniture__Italia">#REF!</definedName>
    <definedName name="Forniture_Comtez" localSheetId="4">#REF!</definedName>
    <definedName name="Forniture_Comtez" localSheetId="0">#REF!</definedName>
    <definedName name="Forniture_Comtez">#REF!</definedName>
    <definedName name="Forniture_Comtez___Italia" localSheetId="4">#REF!</definedName>
    <definedName name="Forniture_Comtez___Italia" localSheetId="0">#REF!</definedName>
    <definedName name="Forniture_Comtez___Italia">#REF!</definedName>
    <definedName name="Forniture_Comtez__Estero" localSheetId="4">#REF!</definedName>
    <definedName name="Forniture_Comtez__Estero" localSheetId="0">#REF!</definedName>
    <definedName name="Forniture_Comtez__Estero">#REF!</definedName>
    <definedName name="Forza00_04" localSheetId="4">#REF!</definedName>
    <definedName name="Forza00_04" localSheetId="0">#REF!</definedName>
    <definedName name="Forza00_04">#REF!</definedName>
    <definedName name="FOS" localSheetId="4">#REF!</definedName>
    <definedName name="FOS" localSheetId="0">#REF!</definedName>
    <definedName name="FOS">#REF!</definedName>
    <definedName name="FOTOMOVIDA" localSheetId="4">#REF!</definedName>
    <definedName name="FOTOMOVIDA" localSheetId="0">#REF!</definedName>
    <definedName name="FOTOMOVIDA">#REF!</definedName>
    <definedName name="FPAGOS" localSheetId="4">#REF!</definedName>
    <definedName name="FPAGOS" localSheetId="0">#REF!</definedName>
    <definedName name="FPAGOS">#REF!</definedName>
    <definedName name="FPE" localSheetId="4">#REF!</definedName>
    <definedName name="FPE" localSheetId="0">#REF!</definedName>
    <definedName name="FPE">#REF!</definedName>
    <definedName name="FPI" localSheetId="4">#REF!</definedName>
    <definedName name="FPI" localSheetId="0">#REF!</definedName>
    <definedName name="FPI">#REF!</definedName>
    <definedName name="FPNT" localSheetId="0">#REF!</definedName>
    <definedName name="FPNT">#REF!</definedName>
    <definedName name="fqw" localSheetId="4">#REF!</definedName>
    <definedName name="fqw" localSheetId="5">#REF!</definedName>
    <definedName name="fqw" localSheetId="0">#REF!</definedName>
    <definedName name="fqw">#REF!</definedName>
    <definedName name="fqwfqwfqw" localSheetId="0">#REF!</definedName>
    <definedName name="fqwfqwfqw">#REF!</definedName>
    <definedName name="FR" localSheetId="4">#REF!</definedName>
    <definedName name="FR" localSheetId="5">#REF!</definedName>
    <definedName name="FR" localSheetId="0">#REF!</definedName>
    <definedName name="FR">#REF!</definedName>
    <definedName name="FRA" localSheetId="4">#REF!</definedName>
    <definedName name="FRA" localSheetId="5">#REF!</definedName>
    <definedName name="FRA" localSheetId="0">#REF!</definedName>
    <definedName name="FRA">#REF!</definedName>
    <definedName name="FRC" localSheetId="4">#REF!</definedName>
    <definedName name="FRC" localSheetId="5">#REF!</definedName>
    <definedName name="FRC" localSheetId="0">#REF!</definedName>
    <definedName name="FRC">#REF!</definedName>
    <definedName name="FRD" localSheetId="4">#REF!</definedName>
    <definedName name="FRD" localSheetId="0">#REF!</definedName>
    <definedName name="FRD">#REF!</definedName>
    <definedName name="frezowanie_gr_2.5cm_m2" localSheetId="4">#REF!</definedName>
    <definedName name="frezowanie_gr_2.5cm_m2" localSheetId="0">#REF!</definedName>
    <definedName name="frezowanie_gr_2.5cm_m2">#REF!</definedName>
    <definedName name="frezowanie_gr_2cm_m2" localSheetId="4">#REF!</definedName>
    <definedName name="frezowanie_gr_2cm_m2" localSheetId="0">#REF!</definedName>
    <definedName name="frezowanie_gr_2cm_m2">#REF!</definedName>
    <definedName name="frezowanie_gr_4cm_m2" localSheetId="4">#REF!</definedName>
    <definedName name="frezowanie_gr_4cm_m2" localSheetId="0">#REF!</definedName>
    <definedName name="frezowanie_gr_4cm_m2">#REF!</definedName>
    <definedName name="frezowanie_gr_7cm_m2" localSheetId="4">#REF!</definedName>
    <definedName name="frezowanie_gr_7cm_m2" localSheetId="0">#REF!</definedName>
    <definedName name="frezowanie_gr_7cm_m2">#REF!</definedName>
    <definedName name="FRF" localSheetId="4">#REF!</definedName>
    <definedName name="FRF" localSheetId="0">#REF!</definedName>
    <definedName name="FRF">#REF!</definedName>
    <definedName name="FSEP2012" localSheetId="4">#REF!</definedName>
    <definedName name="FSEP2012" localSheetId="0">#REF!</definedName>
    <definedName name="FSEP2012">#REF!</definedName>
    <definedName name="FSF" localSheetId="4" hidden="1">{#N/A,#N/A,FALSE,"masez (10)";#N/A,#N/A,FALSE,"masez (7)";#N/A,#N/A,FALSE,"masez (6)";#N/A,#N/A,FALSE,"masez (5)";#N/A,#N/A,FALSE,"masez (4)";#N/A,#N/A,FALSE,"masez (3)";#N/A,#N/A,FALSE,"masez (2)";#N/A,#N/A,FALSE,"GME";#N/A,#N/A,FALSE,"masez"}</definedName>
    <definedName name="FSF" localSheetId="5" hidden="1">{#N/A,#N/A,FALSE,"masez (10)";#N/A,#N/A,FALSE,"masez (7)";#N/A,#N/A,FALSE,"masez (6)";#N/A,#N/A,FALSE,"masez (5)";#N/A,#N/A,FALSE,"masez (4)";#N/A,#N/A,FALSE,"masez (3)";#N/A,#N/A,FALSE,"masez (2)";#N/A,#N/A,FALSE,"GME";#N/A,#N/A,FALSE,"masez"}</definedName>
    <definedName name="FSF" localSheetId="0" hidden="1">{#N/A,#N/A,FALSE,"masez (10)";#N/A,#N/A,FALSE,"masez (7)";#N/A,#N/A,FALSE,"masez (6)";#N/A,#N/A,FALSE,"masez (5)";#N/A,#N/A,FALSE,"masez (4)";#N/A,#N/A,FALSE,"masez (3)";#N/A,#N/A,FALSE,"masez (2)";#N/A,#N/A,FALSE,"GME";#N/A,#N/A,FALSE,"masez"}</definedName>
    <definedName name="FSF" hidden="1">{#N/A,#N/A,FALSE,"masez (10)";#N/A,#N/A,FALSE,"masez (7)";#N/A,#N/A,FALSE,"masez (6)";#N/A,#N/A,FALSE,"masez (5)";#N/A,#N/A,FALSE,"masez (4)";#N/A,#N/A,FALSE,"masez (3)";#N/A,#N/A,FALSE,"masez (2)";#N/A,#N/A,FALSE,"GME";#N/A,#N/A,FALSE,"masez"}</definedName>
    <definedName name="FT" localSheetId="4">#REF!</definedName>
    <definedName name="FT" localSheetId="5">#REF!</definedName>
    <definedName name="FT" localSheetId="0">#REF!</definedName>
    <definedName name="FT">#REF!</definedName>
    <definedName name="FTM" localSheetId="4">#REF!</definedName>
    <definedName name="FTM" localSheetId="5">#REF!</definedName>
    <definedName name="FTM" localSheetId="0">#REF!</definedName>
    <definedName name="FTM">#REF!</definedName>
    <definedName name="full" localSheetId="4" hidden="1">#REF!</definedName>
    <definedName name="full" localSheetId="5" hidden="1">#REF!</definedName>
    <definedName name="full" localSheetId="0" hidden="1">#REF!</definedName>
    <definedName name="full" hidden="1">#REF!</definedName>
    <definedName name="Full_Print" localSheetId="4">#REF!</definedName>
    <definedName name="Full_Print" localSheetId="0">#REF!</definedName>
    <definedName name="Full_Print">#REF!</definedName>
    <definedName name="Furniture_Charge_Rate" localSheetId="4">#REF!</definedName>
    <definedName name="Furniture_Charge_Rate" localSheetId="0">#REF!</definedName>
    <definedName name="Furniture_Charge_Rate">#REF!</definedName>
    <definedName name="furtki_nowe_szt." localSheetId="4">#REF!</definedName>
    <definedName name="furtki_nowe_szt." localSheetId="0">#REF!</definedName>
    <definedName name="furtki_nowe_szt.">#REF!</definedName>
    <definedName name="furtki_z_odzysku" localSheetId="4">#REF!</definedName>
    <definedName name="furtki_z_odzysku" localSheetId="0">#REF!</definedName>
    <definedName name="furtki_z_odzysku">#REF!</definedName>
    <definedName name="fwfwe" localSheetId="4">#REF!</definedName>
    <definedName name="fwfwe" localSheetId="0">#REF!</definedName>
    <definedName name="fwfwe">#REF!</definedName>
    <definedName name="g" localSheetId="4">#REF!</definedName>
    <definedName name="g" localSheetId="0">#REF!</definedName>
    <definedName name="g">#REF!</definedName>
    <definedName name="g___0" localSheetId="4">#REF!</definedName>
    <definedName name="g___0" localSheetId="0">#REF!</definedName>
    <definedName name="g___0">#REF!</definedName>
    <definedName name="gaby" localSheetId="5">YEAR(#REF!)</definedName>
    <definedName name="gaby" localSheetId="0">YEAR(#REF!)</definedName>
    <definedName name="gaby">YEAR(#REF!)</definedName>
    <definedName name="GAEU_LAB" localSheetId="0">#REF!</definedName>
    <definedName name="GAEU_LAB">#REF!</definedName>
    <definedName name="GAR_ADEL" localSheetId="4">#REF!</definedName>
    <definedName name="GAR_ADEL" localSheetId="5">#REF!</definedName>
    <definedName name="GAR_ADEL" localSheetId="0">#REF!</definedName>
    <definedName name="GAR_ADEL">#REF!</definedName>
    <definedName name="Garantia" localSheetId="4" hidden="1">#REF!</definedName>
    <definedName name="Garantia" localSheetId="5" hidden="1">#REF!</definedName>
    <definedName name="Garantia" localSheetId="0" hidden="1">#REF!</definedName>
    <definedName name="Garantia" hidden="1">#REF!</definedName>
    <definedName name="GAS" localSheetId="4">#REF!</definedName>
    <definedName name="GAS" localSheetId="5">#REF!</definedName>
    <definedName name="GAS" localSheetId="0">#REF!</definedName>
    <definedName name="GAS">#REF!</definedName>
    <definedName name="gastos" localSheetId="0">#REF!</definedName>
    <definedName name="gastos">#REF!</definedName>
    <definedName name="gastos1" localSheetId="0">#REF!</definedName>
    <definedName name="gastos1">#REF!</definedName>
    <definedName name="GastosDivisionales" localSheetId="4">#REF!</definedName>
    <definedName name="GastosDivisionales" localSheetId="5">#REF!</definedName>
    <definedName name="GastosDivisionales" localSheetId="0">#REF!</definedName>
    <definedName name="GastosDivisionales">#REF!</definedName>
    <definedName name="gate" localSheetId="4">#REF!</definedName>
    <definedName name="gate" localSheetId="5">#REF!</definedName>
    <definedName name="gate" localSheetId="0">#REF!</definedName>
    <definedName name="gate">#REF!</definedName>
    <definedName name="GB" localSheetId="0">#REF!</definedName>
    <definedName name="GB">#REF!</definedName>
    <definedName name="gbp" localSheetId="4">#REF!</definedName>
    <definedName name="gbp" localSheetId="5">#REF!</definedName>
    <definedName name="gbp" localSheetId="0">#REF!</definedName>
    <definedName name="gbp">#REF!</definedName>
    <definedName name="gbp." localSheetId="4">#REF!</definedName>
    <definedName name="gbp." localSheetId="5">#REF!</definedName>
    <definedName name="gbp." localSheetId="0">#REF!</definedName>
    <definedName name="gbp.">#REF!</definedName>
    <definedName name="gdgdgdffdhgfhfg" localSheetId="4">#REF!</definedName>
    <definedName name="gdgdgdffdhgfhfg" localSheetId="5">#REF!</definedName>
    <definedName name="gdgdgdffdhgfhfg" localSheetId="0">#REF!</definedName>
    <definedName name="gdgdgdffdhgfhfg">#REF!</definedName>
    <definedName name="GEN" localSheetId="4" hidden="1">#REF!</definedName>
    <definedName name="GEN" localSheetId="0" hidden="1">#REF!</definedName>
    <definedName name="GEN" hidden="1">#REF!</definedName>
    <definedName name="GEN_VALVE" localSheetId="4">#REF!</definedName>
    <definedName name="GEN_VALVE" localSheetId="0">#REF!</definedName>
    <definedName name="GEN_VALVE">#REF!</definedName>
    <definedName name="GENERAL" localSheetId="4">#REF!</definedName>
    <definedName name="general" localSheetId="0">#REF!</definedName>
    <definedName name="general">#REF!</definedName>
    <definedName name="General___Administrative" localSheetId="0">#REF!</definedName>
    <definedName name="General___Administrative">#REF!</definedName>
    <definedName name="General_No" localSheetId="4">#REF!</definedName>
    <definedName name="General_No" localSheetId="5">#REF!</definedName>
    <definedName name="General_No" localSheetId="0">#REF!</definedName>
    <definedName name="General_No">#REF!</definedName>
    <definedName name="geodezja" localSheetId="4">#REF!</definedName>
    <definedName name="geodezja" localSheetId="5">#REF!</definedName>
    <definedName name="geodezja" localSheetId="0">#REF!</definedName>
    <definedName name="geodezja">#REF!</definedName>
    <definedName name="Geokrata">450</definedName>
    <definedName name="GEOMEMBRANA" localSheetId="4">#REF!</definedName>
    <definedName name="GEOMEMBRANA" localSheetId="5">#REF!</definedName>
    <definedName name="GEOMEMBRANA" localSheetId="0">#REF!</definedName>
    <definedName name="GEOMEMBRANA">#REF!</definedName>
    <definedName name="GERENTE.PROY" localSheetId="4">#REF!</definedName>
    <definedName name="GERENTE.PROY" localSheetId="0">#REF!</definedName>
    <definedName name="GERENTE.PROY">#REF!</definedName>
    <definedName name="GFA" localSheetId="4">#REF!</definedName>
    <definedName name="GFA" localSheetId="5">#REF!</definedName>
    <definedName name="GFA" localSheetId="0">#REF!</definedName>
    <definedName name="GFA">#REF!</definedName>
    <definedName name="gfdfgfdgdfgdfgd" localSheetId="4">#REF!</definedName>
    <definedName name="gfdfgfdgdfgdfgd" localSheetId="5">#REF!</definedName>
    <definedName name="gfdfgfdgdfgdfgd" localSheetId="0">#REF!</definedName>
    <definedName name="gfdfgfdgdfgdfgd">#REF!</definedName>
    <definedName name="gfdgf" localSheetId="4">#REF!</definedName>
    <definedName name="gfdgf" localSheetId="5">#REF!</definedName>
    <definedName name="gfdgf" localSheetId="0">#REF!</definedName>
    <definedName name="gfdgf">#REF!</definedName>
    <definedName name="gfdgfdg" localSheetId="4" hidden="1">{#N/A,#N/A,FALSE,"SumD";#N/A,#N/A,FALSE,"ElecD";#N/A,#N/A,FALSE,"MechD";#N/A,#N/A,FALSE,"GeotD";#N/A,#N/A,FALSE,"PrcsD";#N/A,#N/A,FALSE,"TunnD";#N/A,#N/A,FALSE,"CivlD";#N/A,#N/A,FALSE,"NtwkD";#N/A,#N/A,FALSE,"EstgD";#N/A,#N/A,FALSE,"PEngD"}</definedName>
    <definedName name="gfdgfdg" localSheetId="6" hidden="1">{#N/A,#N/A,FALSE,"SumD";#N/A,#N/A,FALSE,"ElecD";#N/A,#N/A,FALSE,"MechD";#N/A,#N/A,FALSE,"GeotD";#N/A,#N/A,FALSE,"PrcsD";#N/A,#N/A,FALSE,"TunnD";#N/A,#N/A,FALSE,"CivlD";#N/A,#N/A,FALSE,"NtwkD";#N/A,#N/A,FALSE,"EstgD";#N/A,#N/A,FALSE,"PEngD"}</definedName>
    <definedName name="gfdgfdg" localSheetId="5" hidden="1">{#N/A,#N/A,FALSE,"SumD";#N/A,#N/A,FALSE,"ElecD";#N/A,#N/A,FALSE,"MechD";#N/A,#N/A,FALSE,"GeotD";#N/A,#N/A,FALSE,"PrcsD";#N/A,#N/A,FALSE,"TunnD";#N/A,#N/A,FALSE,"CivlD";#N/A,#N/A,FALSE,"NtwkD";#N/A,#N/A,FALSE,"EstgD";#N/A,#N/A,FALSE,"PEngD"}</definedName>
    <definedName name="gfdgfdg" localSheetId="0"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6" hidden="1">{#N/A,#N/A,FALSE,"SumD";#N/A,#N/A,FALSE,"ElecD";#N/A,#N/A,FALSE,"MechD";#N/A,#N/A,FALSE,"GeotD";#N/A,#N/A,FALSE,"PrcsD";#N/A,#N/A,FALSE,"TunnD";#N/A,#N/A,FALSE,"CivlD";#N/A,#N/A,FALSE,"NtwkD";#N/A,#N/A,FALSE,"EstgD";#N/A,#N/A,FALSE,"PEngD"}</definedName>
    <definedName name="gfgfgfgfg" localSheetId="5" hidden="1">{#N/A,#N/A,FALSE,"SumD";#N/A,#N/A,FALSE,"ElecD";#N/A,#N/A,FALSE,"MechD";#N/A,#N/A,FALSE,"GeotD";#N/A,#N/A,FALSE,"PrcsD";#N/A,#N/A,FALSE,"TunnD";#N/A,#N/A,FALSE,"CivlD";#N/A,#N/A,FALSE,"NtwkD";#N/A,#N/A,FALSE,"EstgD";#N/A,#N/A,FALSE,"PEngD"}</definedName>
    <definedName name="gfgfgfgfg" localSheetId="0"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4" hidden="1">{#N/A,#N/A,FALSE,"SumG";#N/A,#N/A,FALSE,"ElecG";#N/A,#N/A,FALSE,"MechG";#N/A,#N/A,FALSE,"GeotG";#N/A,#N/A,FALSE,"PrcsG";#N/A,#N/A,FALSE,"TunnG";#N/A,#N/A,FALSE,"CivlG";#N/A,#N/A,FALSE,"NtwkG";#N/A,#N/A,FALSE,"EstgG";#N/A,#N/A,FALSE,"PEngG"}</definedName>
    <definedName name="gfgfgfgss" localSheetId="6" hidden="1">{#N/A,#N/A,FALSE,"SumG";#N/A,#N/A,FALSE,"ElecG";#N/A,#N/A,FALSE,"MechG";#N/A,#N/A,FALSE,"GeotG";#N/A,#N/A,FALSE,"PrcsG";#N/A,#N/A,FALSE,"TunnG";#N/A,#N/A,FALSE,"CivlG";#N/A,#N/A,FALSE,"NtwkG";#N/A,#N/A,FALSE,"EstgG";#N/A,#N/A,FALSE,"PEngG"}</definedName>
    <definedName name="gfgfgfgss" localSheetId="5" hidden="1">{#N/A,#N/A,FALSE,"SumG";#N/A,#N/A,FALSE,"ElecG";#N/A,#N/A,FALSE,"MechG";#N/A,#N/A,FALSE,"GeotG";#N/A,#N/A,FALSE,"PrcsG";#N/A,#N/A,FALSE,"TunnG";#N/A,#N/A,FALSE,"CivlG";#N/A,#N/A,FALSE,"NtwkG";#N/A,#N/A,FALSE,"EstgG";#N/A,#N/A,FALSE,"PEngG"}</definedName>
    <definedName name="gfgfgfgss" localSheetId="0"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fhgfdhgfhfghf" localSheetId="4">#REF!</definedName>
    <definedName name="gfhgfdhgfhfghf" localSheetId="5">#REF!</definedName>
    <definedName name="gfhgfdhgfhfghf" localSheetId="0">#REF!</definedName>
    <definedName name="gfhgfdhgfhfghf">#REF!</definedName>
    <definedName name="gfsafs" localSheetId="5">#REF!</definedName>
    <definedName name="gfsafs" localSheetId="0">#REF!</definedName>
    <definedName name="gfsafs">#REF!</definedName>
    <definedName name="gg" localSheetId="4" hidden="1">{#N/A,#N/A,FALSE,"SumG";#N/A,#N/A,FALSE,"ElecG";#N/A,#N/A,FALSE,"MechG";#N/A,#N/A,FALSE,"GeotG";#N/A,#N/A,FALSE,"PrcsG";#N/A,#N/A,FALSE,"TunnG";#N/A,#N/A,FALSE,"CivlG";#N/A,#N/A,FALSE,"NtwkG";#N/A,#N/A,FALSE,"EstgG";#N/A,#N/A,FALSE,"PEngG"}</definedName>
    <definedName name="gg" localSheetId="6" hidden="1">{#N/A,#N/A,FALSE,"SumG";#N/A,#N/A,FALSE,"ElecG";#N/A,#N/A,FALSE,"MechG";#N/A,#N/A,FALSE,"GeotG";#N/A,#N/A,FALSE,"PrcsG";#N/A,#N/A,FALSE,"TunnG";#N/A,#N/A,FALSE,"CivlG";#N/A,#N/A,FALSE,"NtwkG";#N/A,#N/A,FALSE,"EstgG";#N/A,#N/A,FALSE,"PEngG"}</definedName>
    <definedName name="gg" localSheetId="5" hidden="1">{#N/A,#N/A,FALSE,"SumG";#N/A,#N/A,FALSE,"ElecG";#N/A,#N/A,FALSE,"MechG";#N/A,#N/A,FALSE,"GeotG";#N/A,#N/A,FALSE,"PrcsG";#N/A,#N/A,FALSE,"TunnG";#N/A,#N/A,FALSE,"CivlG";#N/A,#N/A,FALSE,"NtwkG";#N/A,#N/A,FALSE,"EstgG";#N/A,#N/A,FALSE,"PEngG"}</definedName>
    <definedName name="gg" localSheetId="0" hidden="1">{#N/A,#N/A,FALSE,"SumG";#N/A,#N/A,FALSE,"ElecG";#N/A,#N/A,FALSE,"MechG";#N/A,#N/A,FALSE,"GeotG";#N/A,#N/A,FALSE,"PrcsG";#N/A,#N/A,FALSE,"TunnG";#N/A,#N/A,FALSE,"CivlG";#N/A,#N/A,FALSE,"NtwkG";#N/A,#N/A,FALSE,"EstgG";#N/A,#N/A,FALSE,"PEngG"}</definedName>
    <definedName name="gg" hidden="1">{#N/A,#N/A,FALSE,"SumG";#N/A,#N/A,FALSE,"ElecG";#N/A,#N/A,FALSE,"MechG";#N/A,#N/A,FALSE,"GeotG";#N/A,#N/A,FALSE,"PrcsG";#N/A,#N/A,FALSE,"TunnG";#N/A,#N/A,FALSE,"CivlG";#N/A,#N/A,FALSE,"NtwkG";#N/A,#N/A,FALSE,"EstgG";#N/A,#N/A,FALSE,"PEngG"}</definedName>
    <definedName name="gggg" localSheetId="4" hidden="1">{#N/A,#N/A,FALSE,"SumD";#N/A,#N/A,FALSE,"ElecD";#N/A,#N/A,FALSE,"MechD";#N/A,#N/A,FALSE,"GeotD";#N/A,#N/A,FALSE,"PrcsD";#N/A,#N/A,FALSE,"TunnD";#N/A,#N/A,FALSE,"CivlD";#N/A,#N/A,FALSE,"NtwkD";#N/A,#N/A,FALSE,"EstgD";#N/A,#N/A,FALSE,"PEngD"}</definedName>
    <definedName name="gggg" localSheetId="6" hidden="1">{#N/A,#N/A,FALSE,"SumD";#N/A,#N/A,FALSE,"ElecD";#N/A,#N/A,FALSE,"MechD";#N/A,#N/A,FALSE,"GeotD";#N/A,#N/A,FALSE,"PrcsD";#N/A,#N/A,FALSE,"TunnD";#N/A,#N/A,FALSE,"CivlD";#N/A,#N/A,FALSE,"NtwkD";#N/A,#N/A,FALSE,"EstgD";#N/A,#N/A,FALSE,"PEngD"}</definedName>
    <definedName name="gggg" localSheetId="5" hidden="1">{#N/A,#N/A,FALSE,"SumD";#N/A,#N/A,FALSE,"ElecD";#N/A,#N/A,FALSE,"MechD";#N/A,#N/A,FALSE,"GeotD";#N/A,#N/A,FALSE,"PrcsD";#N/A,#N/A,FALSE,"TunnD";#N/A,#N/A,FALSE,"CivlD";#N/A,#N/A,FALSE,"NtwkD";#N/A,#N/A,FALSE,"EstgD";#N/A,#N/A,FALSE,"PEngD"}</definedName>
    <definedName name="gggg" localSheetId="0"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ggggg">#REF!</definedName>
    <definedName name="ghggg" localSheetId="4" hidden="1">{#N/A,#N/A,FALSE,"SumG";#N/A,#N/A,FALSE,"ElecG";#N/A,#N/A,FALSE,"MechG";#N/A,#N/A,FALSE,"GeotG";#N/A,#N/A,FALSE,"PrcsG";#N/A,#N/A,FALSE,"TunnG";#N/A,#N/A,FALSE,"CivlG";#N/A,#N/A,FALSE,"NtwkG";#N/A,#N/A,FALSE,"EstgG";#N/A,#N/A,FALSE,"PEngG"}</definedName>
    <definedName name="ghggg" localSheetId="6" hidden="1">{#N/A,#N/A,FALSE,"SumG";#N/A,#N/A,FALSE,"ElecG";#N/A,#N/A,FALSE,"MechG";#N/A,#N/A,FALSE,"GeotG";#N/A,#N/A,FALSE,"PrcsG";#N/A,#N/A,FALSE,"TunnG";#N/A,#N/A,FALSE,"CivlG";#N/A,#N/A,FALSE,"NtwkG";#N/A,#N/A,FALSE,"EstgG";#N/A,#N/A,FALSE,"PEngG"}</definedName>
    <definedName name="ghggg" localSheetId="5" hidden="1">{#N/A,#N/A,FALSE,"SumG";#N/A,#N/A,FALSE,"ElecG";#N/A,#N/A,FALSE,"MechG";#N/A,#N/A,FALSE,"GeotG";#N/A,#N/A,FALSE,"PrcsG";#N/A,#N/A,FALSE,"TunnG";#N/A,#N/A,FALSE,"CivlG";#N/A,#N/A,FALSE,"NtwkG";#N/A,#N/A,FALSE,"EstgG";#N/A,#N/A,FALSE,"PEngG"}</definedName>
    <definedName name="ghggg" localSheetId="0"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jgfhgfjgfj" localSheetId="4">#REF!</definedName>
    <definedName name="ghjgfhgfjgfj" localSheetId="5">#REF!</definedName>
    <definedName name="ghjgfhgfjgfj" localSheetId="0">#REF!</definedName>
    <definedName name="ghjgfhgfjgfj">#REF!</definedName>
    <definedName name="ghjghjgfjgf" localSheetId="4">#REF!</definedName>
    <definedName name="ghjghjgfjgf" localSheetId="5">#REF!</definedName>
    <definedName name="ghjghjgfjgf" localSheetId="0">#REF!</definedName>
    <definedName name="ghjghjgfjgf">#REF!</definedName>
    <definedName name="ghjghjgjgf" localSheetId="4">#REF!</definedName>
    <definedName name="ghjghjgjgf" localSheetId="5">#REF!</definedName>
    <definedName name="ghjghjgjgf" localSheetId="0">#REF!</definedName>
    <definedName name="ghjghjgjgf">#REF!</definedName>
    <definedName name="Giorni" localSheetId="4">#REF!</definedName>
    <definedName name="Giorni" localSheetId="0">#REF!</definedName>
    <definedName name="Giorni">#REF!</definedName>
    <definedName name="giornimese" localSheetId="4">#REF!</definedName>
    <definedName name="giornimese" localSheetId="0">#REF!</definedName>
    <definedName name="giornimese">#REF!</definedName>
    <definedName name="GIP" localSheetId="4">#REF!</definedName>
    <definedName name="GIP" localSheetId="0">#REF!</definedName>
    <definedName name="GIP">#REF!</definedName>
    <definedName name="GJLHÑÑGHK" localSheetId="4" hidden="1">{#N/A,#N/A,FALSE,"masez (10)";#N/A,#N/A,FALSE,"masez (7)";#N/A,#N/A,FALSE,"masez (6)";#N/A,#N/A,FALSE,"masez (5)";#N/A,#N/A,FALSE,"masez (4)";#N/A,#N/A,FALSE,"masez (3)";#N/A,#N/A,FALSE,"masez (2)";#N/A,#N/A,FALSE,"GME";#N/A,#N/A,FALSE,"masez"}</definedName>
    <definedName name="GJLHÑÑGHK" localSheetId="5" hidden="1">{#N/A,#N/A,FALSE,"masez (10)";#N/A,#N/A,FALSE,"masez (7)";#N/A,#N/A,FALSE,"masez (6)";#N/A,#N/A,FALSE,"masez (5)";#N/A,#N/A,FALSE,"masez (4)";#N/A,#N/A,FALSE,"masez (3)";#N/A,#N/A,FALSE,"masez (2)";#N/A,#N/A,FALSE,"GME";#N/A,#N/A,FALSE,"masez"}</definedName>
    <definedName name="GJLHÑÑGHK" localSheetId="0" hidden="1">{#N/A,#N/A,FALSE,"masez (10)";#N/A,#N/A,FALSE,"masez (7)";#N/A,#N/A,FALSE,"masez (6)";#N/A,#N/A,FALSE,"masez (5)";#N/A,#N/A,FALSE,"masez (4)";#N/A,#N/A,FALSE,"masez (3)";#N/A,#N/A,FALSE,"masez (2)";#N/A,#N/A,FALSE,"GME";#N/A,#N/A,FALSE,"masez"}</definedName>
    <definedName name="GJLHÑÑGHK" hidden="1">{#N/A,#N/A,FALSE,"masez (10)";#N/A,#N/A,FALSE,"masez (7)";#N/A,#N/A,FALSE,"masez (6)";#N/A,#N/A,FALSE,"masez (5)";#N/A,#N/A,FALSE,"masez (4)";#N/A,#N/A,FALSE,"masez (3)";#N/A,#N/A,FALSE,"masez (2)";#N/A,#N/A,FALSE,"GME";#N/A,#N/A,FALSE,"masez"}</definedName>
    <definedName name="globe" localSheetId="4">#REF!</definedName>
    <definedName name="globe" localSheetId="5">#REF!</definedName>
    <definedName name="globe" localSheetId="0">#REF!</definedName>
    <definedName name="globe">#REF!</definedName>
    <definedName name="GM" localSheetId="0">#REF!</definedName>
    <definedName name="GM">#REF!</definedName>
    <definedName name="gmo" localSheetId="4" hidden="1">{#N/A,#N/A,FALSE,"SumD";#N/A,#N/A,FALSE,"ElecD";#N/A,#N/A,FALSE,"MechD";#N/A,#N/A,FALSE,"GeotD";#N/A,#N/A,FALSE,"PrcsD";#N/A,#N/A,FALSE,"TunnD";#N/A,#N/A,FALSE,"CivlD";#N/A,#N/A,FALSE,"NtwkD";#N/A,#N/A,FALSE,"EstgD";#N/A,#N/A,FALSE,"PEngD"}</definedName>
    <definedName name="gmo" localSheetId="6" hidden="1">{#N/A,#N/A,FALSE,"SumD";#N/A,#N/A,FALSE,"ElecD";#N/A,#N/A,FALSE,"MechD";#N/A,#N/A,FALSE,"GeotD";#N/A,#N/A,FALSE,"PrcsD";#N/A,#N/A,FALSE,"TunnD";#N/A,#N/A,FALSE,"CivlD";#N/A,#N/A,FALSE,"NtwkD";#N/A,#N/A,FALSE,"EstgD";#N/A,#N/A,FALSE,"PEngD"}</definedName>
    <definedName name="gmo" localSheetId="5" hidden="1">{#N/A,#N/A,FALSE,"SumD";#N/A,#N/A,FALSE,"ElecD";#N/A,#N/A,FALSE,"MechD";#N/A,#N/A,FALSE,"GeotD";#N/A,#N/A,FALSE,"PrcsD";#N/A,#N/A,FALSE,"TunnD";#N/A,#N/A,FALSE,"CivlD";#N/A,#N/A,FALSE,"NtwkD";#N/A,#N/A,FALSE,"EstgD";#N/A,#N/A,FALSE,"PEngD"}</definedName>
    <definedName name="gmo" localSheetId="0" hidden="1">{#N/A,#N/A,FALSE,"SumD";#N/A,#N/A,FALSE,"ElecD";#N/A,#N/A,FALSE,"MechD";#N/A,#N/A,FALSE,"GeotD";#N/A,#N/A,FALSE,"PrcsD";#N/A,#N/A,FALSE,"TunnD";#N/A,#N/A,FALSE,"CivlD";#N/A,#N/A,FALSE,"NtwkD";#N/A,#N/A,FALSE,"EstgD";#N/A,#N/A,FALSE,"PEngD"}</definedName>
    <definedName name="gmo" hidden="1">{#N/A,#N/A,FALSE,"SumD";#N/A,#N/A,FALSE,"ElecD";#N/A,#N/A,FALSE,"MechD";#N/A,#N/A,FALSE,"GeotD";#N/A,#N/A,FALSE,"PrcsD";#N/A,#N/A,FALSE,"TunnD";#N/A,#N/A,FALSE,"CivlD";#N/A,#N/A,FALSE,"NtwkD";#N/A,#N/A,FALSE,"EstgD";#N/A,#N/A,FALSE,"PEngD"}</definedName>
    <definedName name="godzin" localSheetId="4">#REF!</definedName>
    <definedName name="godzin" localSheetId="5">#REF!</definedName>
    <definedName name="godzin" localSheetId="0">#REF!</definedName>
    <definedName name="godzin">#REF!</definedName>
    <definedName name="godzina" localSheetId="4">#REF!</definedName>
    <definedName name="godzina" localSheetId="5">#REF!</definedName>
    <definedName name="godzina" localSheetId="0">#REF!</definedName>
    <definedName name="godzina">#REF!</definedName>
    <definedName name="GQ" localSheetId="4">#REF!</definedName>
    <definedName name="GQ" localSheetId="5">#REF!</definedName>
    <definedName name="GQ" localSheetId="0">#REF!</definedName>
    <definedName name="GQ">#REF!</definedName>
    <definedName name="GR" localSheetId="4">#REF!</definedName>
    <definedName name="GR" localSheetId="0">#REF!</definedName>
    <definedName name="GR">#REF!</definedName>
    <definedName name="_xlnm.Recorder" localSheetId="4">#REF!</definedName>
    <definedName name="_xlnm.Recorder" localSheetId="0">#REF!</definedName>
    <definedName name="_xlnm.Recorder">#REF!</definedName>
    <definedName name="graf" localSheetId="4" hidden="1">#REF!</definedName>
    <definedName name="graf" localSheetId="5" hidden="1">#REF!</definedName>
    <definedName name="graf" localSheetId="0" hidden="1">#REF!</definedName>
    <definedName name="graf" hidden="1">#REF!</definedName>
    <definedName name="grafica" localSheetId="4">#REF!</definedName>
    <definedName name="grafica" localSheetId="5">#REF!</definedName>
    <definedName name="grafica" localSheetId="0">#REF!</definedName>
    <definedName name="grafica">#REF!</definedName>
    <definedName name="graph0" localSheetId="4" hidden="1">#REF!</definedName>
    <definedName name="graph0" localSheetId="5" hidden="1">#REF!</definedName>
    <definedName name="graph0" localSheetId="0" hidden="1">#REF!</definedName>
    <definedName name="graph0" hidden="1">#REF!</definedName>
    <definedName name="Graph1" localSheetId="4" hidden="1">#REF!</definedName>
    <definedName name="Graph1" localSheetId="5" hidden="1">#REF!</definedName>
    <definedName name="Graph1" localSheetId="0" hidden="1">#REF!</definedName>
    <definedName name="Graph1" hidden="1">#REF!</definedName>
    <definedName name="GRAPHS" localSheetId="4">#REF!</definedName>
    <definedName name="GRAPHS" localSheetId="5">#REF!</definedName>
    <definedName name="GRAPHS" localSheetId="0">#REF!</definedName>
    <definedName name="GRAPHS">#REF!</definedName>
    <definedName name="GRAVA" localSheetId="4">#REF!</definedName>
    <definedName name="GRAVA" localSheetId="5">#REF!</definedName>
    <definedName name="GRAVA" localSheetId="0">#REF!</definedName>
    <definedName name="GRAVA">#REF!</definedName>
    <definedName name="GRAVA2" localSheetId="4">#REF!</definedName>
    <definedName name="GRAVA2" localSheetId="5">#REF!</definedName>
    <definedName name="GRAVA2" localSheetId="0">#REF!</definedName>
    <definedName name="GRAVA2">#REF!</definedName>
    <definedName name="Green" localSheetId="0">#REF!</definedName>
    <definedName name="Green">#REF!</definedName>
    <definedName name="gresbalk" localSheetId="4">#REF!</definedName>
    <definedName name="gresbalk" localSheetId="5">#REF!</definedName>
    <definedName name="gresbalk" localSheetId="0">#REF!</definedName>
    <definedName name="gresbalk">#REF!</definedName>
    <definedName name="gresmar" localSheetId="4">#REF!</definedName>
    <definedName name="gresmar" localSheetId="5">#REF!</definedName>
    <definedName name="gresmar" localSheetId="0">#REF!</definedName>
    <definedName name="gresmar">#REF!</definedName>
    <definedName name="grespos" localSheetId="4">#REF!</definedName>
    <definedName name="grespos" localSheetId="5">#REF!</definedName>
    <definedName name="grespos" localSheetId="0">#REF!</definedName>
    <definedName name="grespos">#REF!</definedName>
    <definedName name="gressc" localSheetId="4">#REF!</definedName>
    <definedName name="gressc" localSheetId="0">#REF!</definedName>
    <definedName name="gressc">#REF!</definedName>
    <definedName name="gressch" localSheetId="4">#REF!</definedName>
    <definedName name="gressch" localSheetId="0">#REF!</definedName>
    <definedName name="gressch">#REF!</definedName>
    <definedName name="gressck" localSheetId="4">#REF!</definedName>
    <definedName name="gressck" localSheetId="0">#REF!</definedName>
    <definedName name="gressck">#REF!</definedName>
    <definedName name="ground" localSheetId="4">#REF!</definedName>
    <definedName name="ground" localSheetId="5">#REF!</definedName>
    <definedName name="ground" localSheetId="0">#REF!</definedName>
    <definedName name="ground">#REF!</definedName>
    <definedName name="GROUND_WIRE" localSheetId="4">#REF!</definedName>
    <definedName name="GROUND_WIRE" localSheetId="5">#REF!</definedName>
    <definedName name="GROUND_WIRE" localSheetId="0">#REF!</definedName>
    <definedName name="GROUND_WIRE">#REF!</definedName>
    <definedName name="GROUNDING" localSheetId="4">#REF!</definedName>
    <definedName name="GROUNDING" localSheetId="5">#REF!</definedName>
    <definedName name="GROUNDING" localSheetId="0">#REF!</definedName>
    <definedName name="GROUNDING">#REF!</definedName>
    <definedName name="grubosc_plantowania" localSheetId="4">#REF!</definedName>
    <definedName name="grubosc_plantowania" localSheetId="5">#REF!</definedName>
    <definedName name="grubosc_plantowania" localSheetId="0">#REF!</definedName>
    <definedName name="grubosc_plantowania">#REF!</definedName>
    <definedName name="grubosc_zdjecia_humusu" localSheetId="4">#REF!</definedName>
    <definedName name="grubosc_zdjecia_humusu" localSheetId="0">#REF!</definedName>
    <definedName name="grubosc_zdjecia_humusu">#REF!</definedName>
    <definedName name="grunt_do_wywiezienia" localSheetId="4">#REF!</definedName>
    <definedName name="grunt_do_wywiezienia" localSheetId="0">#REF!</definedName>
    <definedName name="grunt_do_wywiezienia">#REF!</definedName>
    <definedName name="grupa_kalk" localSheetId="4">#REF!</definedName>
    <definedName name="grupa_kalk" localSheetId="0">#REF!</definedName>
    <definedName name="grupa_kalk">#REF!</definedName>
    <definedName name="Grupy" localSheetId="4">#REF!</definedName>
    <definedName name="Grupy" localSheetId="0">#REF!</definedName>
    <definedName name="Grupy">#REF!</definedName>
    <definedName name="GRZANIE_BETONU">"$#ODWOŁANIE!.$C$48"</definedName>
    <definedName name="GT_ELECT" localSheetId="4">#REF!</definedName>
    <definedName name="GT_ELECT" localSheetId="5">#REF!</definedName>
    <definedName name="GT_ELECT" localSheetId="0">#REF!</definedName>
    <definedName name="GT_ELECT">#REF!</definedName>
    <definedName name="GUAR" localSheetId="4">#REF!</definedName>
    <definedName name="GUAR" localSheetId="5">#REF!</definedName>
    <definedName name="GUAR" localSheetId="0">#REF!</definedName>
    <definedName name="GUAR">#REF!</definedName>
    <definedName name="guwo" localSheetId="4">#REF!</definedName>
    <definedName name="guwo" localSheetId="5">#REF!</definedName>
    <definedName name="guwo" localSheetId="0">#REF!</definedName>
    <definedName name="guwo">#REF!</definedName>
    <definedName name="GZYMSY.ŻYWICE" localSheetId="4">#REF!</definedName>
    <definedName name="GZYMSY.ŻYWICE" localSheetId="5">#REF!</definedName>
    <definedName name="GZYMSY.ŻYWICE" localSheetId="0">#REF!</definedName>
    <definedName name="GZYMSY.ŻYWICE">#REF!</definedName>
    <definedName name="h" localSheetId="4">_W73K5</definedName>
    <definedName name="h" localSheetId="6">_W73K5</definedName>
    <definedName name="h" localSheetId="5">_W73K5</definedName>
    <definedName name="h" localSheetId="0">_W73K5</definedName>
    <definedName name="h">_W73K5</definedName>
    <definedName name="HAKNO" localSheetId="4">#REF!</definedName>
    <definedName name="HAKNO" localSheetId="6">#REF!</definedName>
    <definedName name="HAKNO" localSheetId="5">#REF!</definedName>
    <definedName name="HAKNO" localSheetId="0">#REF!</definedName>
    <definedName name="HAKNO">#REF!</definedName>
    <definedName name="hakno1" localSheetId="4">#REF!</definedName>
    <definedName name="hakno1" localSheetId="6">#REF!</definedName>
    <definedName name="hakno1" localSheetId="5">#REF!</definedName>
    <definedName name="hakno1" localSheetId="0">#REF!</definedName>
    <definedName name="hakno1">#REF!</definedName>
    <definedName name="HAND_VLV_MANIF" localSheetId="4">#REF!</definedName>
    <definedName name="HAND_VLV_MANIF" localSheetId="6">#REF!</definedName>
    <definedName name="HAND_VLV_MANIF" localSheetId="5">#REF!</definedName>
    <definedName name="HAND_VLV_MANIF" localSheetId="0">#REF!</definedName>
    <definedName name="HAND_VLV_MANIF">#REF!</definedName>
    <definedName name="HCD_ALSLIGHTCOND_QTY" localSheetId="4">#REF!</definedName>
    <definedName name="HCD_ALSLIGHTCOND_QTY" localSheetId="0">#REF!</definedName>
    <definedName name="HCD_ALSLIGHTCOND_QTY">#REF!</definedName>
    <definedName name="HCD_BUS_HRS" localSheetId="4">#REF!</definedName>
    <definedName name="HCD_BUS_HRS" localSheetId="0">#REF!</definedName>
    <definedName name="HCD_BUS_HRS">#REF!</definedName>
    <definedName name="HCD_BUS_LAB" localSheetId="4">#REF!</definedName>
    <definedName name="HCD_BUS_LAB" localSheetId="0">#REF!</definedName>
    <definedName name="HCD_BUS_LAB">#REF!</definedName>
    <definedName name="HCD_BUS_MAT" localSheetId="4">#REF!</definedName>
    <definedName name="HCD_BUS_MAT" localSheetId="0">#REF!</definedName>
    <definedName name="HCD_BUS_MAT">#REF!</definedName>
    <definedName name="HCD_BUS_QTY" localSheetId="4">#REF!</definedName>
    <definedName name="HCD_BUS_QTY" localSheetId="0">#REF!</definedName>
    <definedName name="HCD_BUS_QTY">#REF!</definedName>
    <definedName name="HCD_BUS_SC" localSheetId="4">#REF!</definedName>
    <definedName name="HCD_BUS_SC" localSheetId="0">#REF!</definedName>
    <definedName name="HCD_BUS_SC">#REF!</definedName>
    <definedName name="HCD_BUS_SCHRS" localSheetId="4">#REF!</definedName>
    <definedName name="HCD_BUS_SCHRS" localSheetId="0">#REF!</definedName>
    <definedName name="HCD_BUS_SCHRS">#REF!</definedName>
    <definedName name="HCD_CBL_HRS" localSheetId="4">#REF!</definedName>
    <definedName name="HCD_CBL_HRS" localSheetId="0">#REF!</definedName>
    <definedName name="HCD_CBL_HRS">#REF!</definedName>
    <definedName name="HCD_CBL_LAB" localSheetId="4">#REF!</definedName>
    <definedName name="HCD_CBL_LAB" localSheetId="0">#REF!</definedName>
    <definedName name="HCD_CBL_LAB">#REF!</definedName>
    <definedName name="HCD_CBL_MAT" localSheetId="4">#REF!</definedName>
    <definedName name="HCD_CBL_MAT" localSheetId="0">#REF!</definedName>
    <definedName name="HCD_CBL_MAT">#REF!</definedName>
    <definedName name="HCD_CBL_QTY" localSheetId="4">#REF!</definedName>
    <definedName name="HCD_CBL_QTY" localSheetId="0">#REF!</definedName>
    <definedName name="HCD_CBL_QTY">#REF!</definedName>
    <definedName name="HCD_CBL_SC" localSheetId="4">#REF!</definedName>
    <definedName name="HCD_CBL_SC" localSheetId="0">#REF!</definedName>
    <definedName name="HCD_CBL_SC">#REF!</definedName>
    <definedName name="HCD_CBL_SCHRS" localSheetId="4">#REF!</definedName>
    <definedName name="HCD_CBL_SCHRS" localSheetId="0">#REF!</definedName>
    <definedName name="HCD_CBL_SCHRS">#REF!</definedName>
    <definedName name="HCD_CKT_QTY" localSheetId="4">#REF!</definedName>
    <definedName name="HCD_CKT_QTY" localSheetId="0">#REF!</definedName>
    <definedName name="HCD_CKT_QTY">#REF!</definedName>
    <definedName name="HCD_CONNECT_HRS" localSheetId="4">#REF!</definedName>
    <definedName name="HCD_CONNECT_HRS" localSheetId="0">#REF!</definedName>
    <definedName name="HCD_CONNECT_HRS">#REF!</definedName>
    <definedName name="HCD_CONNECT_LAB" localSheetId="4">#REF!</definedName>
    <definedName name="HCD_CONNECT_LAB" localSheetId="0">#REF!</definedName>
    <definedName name="HCD_CONNECT_LAB">#REF!</definedName>
    <definedName name="HCD_CONNECT_MAT" localSheetId="4">#REF!</definedName>
    <definedName name="HCD_CONNECT_MAT" localSheetId="0">#REF!</definedName>
    <definedName name="HCD_CONNECT_MAT">#REF!</definedName>
    <definedName name="HCD_CONNECT_QTY" localSheetId="4">#REF!</definedName>
    <definedName name="HCD_CONNECT_QTY" localSheetId="0">#REF!</definedName>
    <definedName name="HCD_CONNECT_QTY">#REF!</definedName>
    <definedName name="HCD_CONNECT_SC" localSheetId="4">#REF!</definedName>
    <definedName name="HCD_CONNECT_SC" localSheetId="0">#REF!</definedName>
    <definedName name="HCD_CONNECT_SC">#REF!</definedName>
    <definedName name="HCD_CONNECT_SCHRS" localSheetId="4">#REF!</definedName>
    <definedName name="HCD_CONNECT_SCHRS" localSheetId="0">#REF!</definedName>
    <definedName name="HCD_CONNECT_SCHRS">#REF!</definedName>
    <definedName name="HCD_CSCBL_QTY" localSheetId="4">#REF!</definedName>
    <definedName name="HCD_CSCBL_QTY" localSheetId="0">#REF!</definedName>
    <definedName name="HCD_CSCBL_QTY">#REF!</definedName>
    <definedName name="HCD_CSCOND_QTY" localSheetId="4">#REF!</definedName>
    <definedName name="HCD_CSCOND_QTY" localSheetId="0">#REF!</definedName>
    <definedName name="HCD_CSCOND_QTY">#REF!</definedName>
    <definedName name="HCD_DBLGTCBL_QTY" localSheetId="4">#REF!</definedName>
    <definedName name="HCD_DBLGTCBL_QTY" localSheetId="0">#REF!</definedName>
    <definedName name="HCD_DBLGTCBL_QTY">#REF!</definedName>
    <definedName name="HCD_DCUPS_HRS" localSheetId="4">#REF!</definedName>
    <definedName name="HCD_DCUPS_HRS" localSheetId="0">#REF!</definedName>
    <definedName name="HCD_DCUPS_HRS">#REF!</definedName>
    <definedName name="HCD_DCUPS_LAB" localSheetId="4">#REF!</definedName>
    <definedName name="HCD_DCUPS_LAB" localSheetId="0">#REF!</definedName>
    <definedName name="HCD_DCUPS_LAB">#REF!</definedName>
    <definedName name="HCD_DCUPS_MAT" localSheetId="4">#REF!</definedName>
    <definedName name="HCD_DCUPS_MAT" localSheetId="0">#REF!</definedName>
    <definedName name="HCD_DCUPS_MAT">#REF!</definedName>
    <definedName name="HCD_DCUPS_QTY" localSheetId="4">#REF!</definedName>
    <definedName name="HCD_DCUPS_QTY" localSheetId="0">#REF!</definedName>
    <definedName name="HCD_DCUPS_QTY">#REF!</definedName>
    <definedName name="HCD_DCUPS_SC" localSheetId="4">#REF!</definedName>
    <definedName name="HCD_DCUPS_SC" localSheetId="0">#REF!</definedName>
    <definedName name="HCD_DCUPS_SC">#REF!</definedName>
    <definedName name="HCD_DCUPS_SCHRS" localSheetId="4">#REF!</definedName>
    <definedName name="HCD_DCUPS_SCHRS" localSheetId="0">#REF!</definedName>
    <definedName name="HCD_DCUPS_SCHRS">#REF!</definedName>
    <definedName name="HCD_DEMO_HRS" localSheetId="4">#REF!</definedName>
    <definedName name="HCD_DEMO_HRS" localSheetId="0">#REF!</definedName>
    <definedName name="HCD_DEMO_HRS">#REF!</definedName>
    <definedName name="HCD_DEMO_LAB" localSheetId="4">#REF!</definedName>
    <definedName name="HCD_DEMO_LAB" localSheetId="0">#REF!</definedName>
    <definedName name="HCD_DEMO_LAB">#REF!</definedName>
    <definedName name="HCD_DEMO_MAT" localSheetId="4">#REF!</definedName>
    <definedName name="HCD_DEMO_MAT" localSheetId="0">#REF!</definedName>
    <definedName name="HCD_DEMO_MAT">#REF!</definedName>
    <definedName name="HCD_DEMO_QTY" localSheetId="4">#REF!</definedName>
    <definedName name="HCD_DEMO_QTY" localSheetId="0">#REF!</definedName>
    <definedName name="HCD_DEMO_QTY">#REF!</definedName>
    <definedName name="HCD_DEMO_SC" localSheetId="4">#REF!</definedName>
    <definedName name="HCD_DEMO_SC" localSheetId="0">#REF!</definedName>
    <definedName name="HCD_DEMO_SC">#REF!</definedName>
    <definedName name="HCD_DEMO_SCHRS" localSheetId="4">#REF!</definedName>
    <definedName name="HCD_DEMO_SCHRS" localSheetId="0">#REF!</definedName>
    <definedName name="HCD_DEMO_SCHRS">#REF!</definedName>
    <definedName name="HCD_FIXT_QTY" localSheetId="4">#REF!</definedName>
    <definedName name="HCD_FIXT_QTY" localSheetId="0">#REF!</definedName>
    <definedName name="HCD_FIXT_QTY">#REF!</definedName>
    <definedName name="HCD_GNDCBL_QTY" localSheetId="4">#REF!</definedName>
    <definedName name="HCD_GNDCBL_QTY" localSheetId="0">#REF!</definedName>
    <definedName name="HCD_GNDCBL_QTY">#REF!</definedName>
    <definedName name="HCD_INDRFIXT_QTY" localSheetId="4">#REF!</definedName>
    <definedName name="HCD_INDRFIXT_QTY" localSheetId="0">#REF!</definedName>
    <definedName name="HCD_INDRFIXT_QTY">#REF!</definedName>
    <definedName name="HCD_INSTRAUXPNL_HRS" localSheetId="4">#REF!</definedName>
    <definedName name="HCD_INSTRAUXPNL_HRS" localSheetId="0">#REF!</definedName>
    <definedName name="HCD_INSTRAUXPNL_HRS">#REF!</definedName>
    <definedName name="HCD_INSTRAUXPNL_LAB" localSheetId="4">#REF!</definedName>
    <definedName name="HCD_INSTRAUXPNL_LAB" localSheetId="0">#REF!</definedName>
    <definedName name="HCD_INSTRAUXPNL_LAB">#REF!</definedName>
    <definedName name="HCD_INSTRAUXPNL_MAT" localSheetId="4">#REF!</definedName>
    <definedName name="HCD_INSTRAUXPNL_MAT" localSheetId="0">#REF!</definedName>
    <definedName name="HCD_INSTRAUXPNL_MAT">#REF!</definedName>
    <definedName name="HCD_INSTRAUXPNL_QTY" localSheetId="4">#REF!</definedName>
    <definedName name="HCD_INSTRAUXPNL_QTY" localSheetId="0">#REF!</definedName>
    <definedName name="HCD_INSTRAUXPNL_QTY">#REF!</definedName>
    <definedName name="HCD_INSTRAUXPNL_SC" localSheetId="4">#REF!</definedName>
    <definedName name="HCD_INSTRAUXPNL_SC" localSheetId="0">#REF!</definedName>
    <definedName name="HCD_INSTRAUXPNL_SC">#REF!</definedName>
    <definedName name="HCD_INSTRAUXPNL_SCHRS" localSheetId="4">#REF!</definedName>
    <definedName name="HCD_INSTRAUXPNL_SCHRS" localSheetId="0">#REF!</definedName>
    <definedName name="HCD_INSTRAUXPNL_SCHRS">#REF!</definedName>
    <definedName name="HCD_INSTRCEMS_HRS" localSheetId="4">#REF!</definedName>
    <definedName name="HCD_INSTRCEMS_HRS" localSheetId="0">#REF!</definedName>
    <definedName name="HCD_INSTRCEMS_HRS">#REF!</definedName>
    <definedName name="HCD_INSTRCEMS_LAB" localSheetId="4">#REF!</definedName>
    <definedName name="HCD_INSTRCEMS_LAB" localSheetId="0">#REF!</definedName>
    <definedName name="HCD_INSTRCEMS_LAB">#REF!</definedName>
    <definedName name="HCD_INSTRCEMS_MAT" localSheetId="4">#REF!</definedName>
    <definedName name="HCD_INSTRCEMS_MAT" localSheetId="0">#REF!</definedName>
    <definedName name="HCD_INSTRCEMS_MAT">#REF!</definedName>
    <definedName name="HCD_INSTRCEMS_QTY" localSheetId="4">#REF!</definedName>
    <definedName name="HCD_INSTRCEMS_QTY" localSheetId="0">#REF!</definedName>
    <definedName name="HCD_INSTRCEMS_QTY">#REF!</definedName>
    <definedName name="HCD_INSTRCEMS_SC" localSheetId="4">#REF!</definedName>
    <definedName name="HCD_INSTRCEMS_SC" localSheetId="0">#REF!</definedName>
    <definedName name="HCD_INSTRCEMS_SC">#REF!</definedName>
    <definedName name="HCD_INSTRCEMS_SCHRS" localSheetId="4">#REF!</definedName>
    <definedName name="HCD_INSTRCEMS_SCHRS" localSheetId="0">#REF!</definedName>
    <definedName name="HCD_INSTRCEMS_SCHRS">#REF!</definedName>
    <definedName name="HCD_INSTRDCS_HRS" localSheetId="4">#REF!</definedName>
    <definedName name="HCD_INSTRDCS_HRS" localSheetId="0">#REF!</definedName>
    <definedName name="HCD_INSTRDCS_HRS">#REF!</definedName>
    <definedName name="HCD_INSTRDCS_LAB" localSheetId="4">#REF!</definedName>
    <definedName name="HCD_INSTRDCS_LAB" localSheetId="0">#REF!</definedName>
    <definedName name="HCD_INSTRDCS_LAB">#REF!</definedName>
    <definedName name="HCD_INSTRDCS_MAT" localSheetId="4">#REF!</definedName>
    <definedName name="HCD_INSTRDCS_MAT" localSheetId="0">#REF!</definedName>
    <definedName name="HCD_INSTRDCS_MAT">#REF!</definedName>
    <definedName name="HCD_INSTRDCS_QTY" localSheetId="4">#REF!</definedName>
    <definedName name="HCD_INSTRDCS_QTY" localSheetId="0">#REF!</definedName>
    <definedName name="HCD_INSTRDCS_QTY">#REF!</definedName>
    <definedName name="HCD_INSTRDCS_SC" localSheetId="4">#REF!</definedName>
    <definedName name="HCD_INSTRDCS_SC" localSheetId="0">#REF!</definedName>
    <definedName name="HCD_INSTRDCS_SC">#REF!</definedName>
    <definedName name="HCD_INSTRDCS_SCHRS" localSheetId="4">#REF!</definedName>
    <definedName name="HCD_INSTRDCS_SCHRS" localSheetId="0">#REF!</definedName>
    <definedName name="HCD_INSTRDCS_SCHRS">#REF!</definedName>
    <definedName name="HCD_INSTRELEC_HRS" localSheetId="4">#REF!</definedName>
    <definedName name="HCD_INSTRELEC_HRS" localSheetId="0">#REF!</definedName>
    <definedName name="HCD_INSTRELEC_HRS">#REF!</definedName>
    <definedName name="HCD_INSTRELEC_LAB" localSheetId="4">#REF!</definedName>
    <definedName name="HCD_INSTRELEC_LAB" localSheetId="0">#REF!</definedName>
    <definedName name="HCD_INSTRELEC_LAB">#REF!</definedName>
    <definedName name="HCD_INSTRELEC_MAT" localSheetId="4">#REF!</definedName>
    <definedName name="HCD_INSTRELEC_MAT" localSheetId="0">#REF!</definedName>
    <definedName name="HCD_INSTRELEC_MAT">#REF!</definedName>
    <definedName name="HCD_INSTRELEC_QTY" localSheetId="4">#REF!</definedName>
    <definedName name="HCD_INSTRELEC_QTY" localSheetId="0">#REF!</definedName>
    <definedName name="HCD_INSTRELEC_QTY">#REF!</definedName>
    <definedName name="HCD_INSTRELEC_SC" localSheetId="4">#REF!</definedName>
    <definedName name="HCD_INSTRELEC_SC" localSheetId="0">#REF!</definedName>
    <definedName name="HCD_INSTRELEC_SC">#REF!</definedName>
    <definedName name="HCD_INSTRELEC_SCHRS" localSheetId="4">#REF!</definedName>
    <definedName name="HCD_INSTRELEC_SCHRS" localSheetId="0">#REF!</definedName>
    <definedName name="HCD_INSTRELEC_SCHRS">#REF!</definedName>
    <definedName name="HCD_INSTRMECH_HRS" localSheetId="4">#REF!</definedName>
    <definedName name="HCD_INSTRMECH_HRS" localSheetId="0">#REF!</definedName>
    <definedName name="HCD_INSTRMECH_HRS">#REF!</definedName>
    <definedName name="HCD_INSTRMECH_LAB" localSheetId="4">#REF!</definedName>
    <definedName name="HCD_INSTRMECH_LAB" localSheetId="0">#REF!</definedName>
    <definedName name="HCD_INSTRMECH_LAB">#REF!</definedName>
    <definedName name="HCD_INSTRMECH_MAT" localSheetId="4">#REF!</definedName>
    <definedName name="HCD_INSTRMECH_MAT" localSheetId="0">#REF!</definedName>
    <definedName name="HCD_INSTRMECH_MAT">#REF!</definedName>
    <definedName name="HCD_INSTRMECH_QTY" localSheetId="4">#REF!</definedName>
    <definedName name="HCD_INSTRMECH_QTY" localSheetId="0">#REF!</definedName>
    <definedName name="HCD_INSTRMECH_QTY">#REF!</definedName>
    <definedName name="HCD_INSTRMECH_SC" localSheetId="4">#REF!</definedName>
    <definedName name="HCD_INSTRMECH_SC" localSheetId="0">#REF!</definedName>
    <definedName name="HCD_INSTRMECH_SC">#REF!</definedName>
    <definedName name="HCD_INSTRMECH_SCHRS" localSheetId="4">#REF!</definedName>
    <definedName name="HCD_INSTRMECH_SCHRS" localSheetId="0">#REF!</definedName>
    <definedName name="HCD_INSTRMECH_SCHRS">#REF!</definedName>
    <definedName name="HCD_INSTRMECHMISC_HRS" localSheetId="4">#REF!</definedName>
    <definedName name="HCD_INSTRMECHMISC_HRS" localSheetId="0">#REF!</definedName>
    <definedName name="HCD_INSTRMECHMISC_HRS">#REF!</definedName>
    <definedName name="HCD_INSTRMECHMISC_LAB" localSheetId="4">#REF!</definedName>
    <definedName name="HCD_INSTRMECHMISC_LAB" localSheetId="0">#REF!</definedName>
    <definedName name="HCD_INSTRMECHMISC_LAB">#REF!</definedName>
    <definedName name="HCD_INSTRMECHMISC_MAT" localSheetId="4">#REF!</definedName>
    <definedName name="HCD_INSTRMECHMISC_MAT" localSheetId="0">#REF!</definedName>
    <definedName name="HCD_INSTRMECHMISC_MAT">#REF!</definedName>
    <definedName name="HCD_INSTRMECHMISC_QTY" localSheetId="4">#REF!</definedName>
    <definedName name="HCD_INSTRMECHMISC_QTY" localSheetId="0">#REF!</definedName>
    <definedName name="HCD_INSTRMECHMISC_QTY">#REF!</definedName>
    <definedName name="HCD_INSTRMECHMISC_SC" localSheetId="4">#REF!</definedName>
    <definedName name="HCD_INSTRMECHMISC_SC" localSheetId="0">#REF!</definedName>
    <definedName name="HCD_INSTRMECHMISC_SC">#REF!</definedName>
    <definedName name="HCD_INSTRMECHMISC_SCHRS" localSheetId="4">#REF!</definedName>
    <definedName name="HCD_INSTRMECHMISC_SCHRS" localSheetId="0">#REF!</definedName>
    <definedName name="HCD_INSTRMECHMISC_SCHRS">#REF!</definedName>
    <definedName name="HCD_INSTRMISC_HRS" localSheetId="4">#REF!</definedName>
    <definedName name="HCD_INSTRMISC_HRS" localSheetId="0">#REF!</definedName>
    <definedName name="HCD_INSTRMISC_HRS">#REF!</definedName>
    <definedName name="HCD_INSTRMISC_LAB" localSheetId="4">#REF!</definedName>
    <definedName name="HCD_INSTRMISC_LAB" localSheetId="0">#REF!</definedName>
    <definedName name="HCD_INSTRMISC_LAB">#REF!</definedName>
    <definedName name="HCD_INSTRMISC_MAT" localSheetId="4">#REF!</definedName>
    <definedName name="HCD_INSTRMISC_MAT" localSheetId="0">#REF!</definedName>
    <definedName name="HCD_INSTRMISC_MAT">#REF!</definedName>
    <definedName name="HCD_INSTRMISC_QTY" localSheetId="4">#REF!</definedName>
    <definedName name="HCD_INSTRMISC_QTY" localSheetId="0">#REF!</definedName>
    <definedName name="HCD_INSTRMISC_QTY">#REF!</definedName>
    <definedName name="HCD_INSTRMISC_SC" localSheetId="4">#REF!</definedName>
    <definedName name="HCD_INSTRMISC_SC" localSheetId="0">#REF!</definedName>
    <definedName name="HCD_INSTRMISC_SC">#REF!</definedName>
    <definedName name="HCD_INSTRMISC_SCHRS" localSheetId="4">#REF!</definedName>
    <definedName name="HCD_INSTRMISC_SCHRS" localSheetId="0">#REF!</definedName>
    <definedName name="HCD_INSTRMISC_SCHRS">#REF!</definedName>
    <definedName name="HCD_INSTRMODSTND_HRS" localSheetId="4">#REF!</definedName>
    <definedName name="HCD_INSTRMODSTND_HRS" localSheetId="0">#REF!</definedName>
    <definedName name="HCD_INSTRMODSTND_HRS">#REF!</definedName>
    <definedName name="HCD_INSTRMODSTND_LAB" localSheetId="4">#REF!</definedName>
    <definedName name="HCD_INSTRMODSTND_LAB" localSheetId="0">#REF!</definedName>
    <definedName name="HCD_INSTRMODSTND_LAB">#REF!</definedName>
    <definedName name="HCD_INSTRMODSTND_MAT" localSheetId="4">#REF!</definedName>
    <definedName name="HCD_INSTRMODSTND_MAT" localSheetId="0">#REF!</definedName>
    <definedName name="HCD_INSTRMODSTND_MAT">#REF!</definedName>
    <definedName name="HCD_INSTRMODSTND_QTY" localSheetId="4">#REF!</definedName>
    <definedName name="HCD_INSTRMODSTND_QTY" localSheetId="0">#REF!</definedName>
    <definedName name="HCD_INSTRMODSTND_QTY">#REF!</definedName>
    <definedName name="HCD_INSTRMODSTND_SC" localSheetId="4">#REF!</definedName>
    <definedName name="HCD_INSTRMODSTND_SC" localSheetId="0">#REF!</definedName>
    <definedName name="HCD_INSTRMODSTND_SC">#REF!</definedName>
    <definedName name="HCD_INSTRMODSTND_SCHRS" localSheetId="4">#REF!</definedName>
    <definedName name="HCD_INSTRMODSTND_SCHRS" localSheetId="0">#REF!</definedName>
    <definedName name="HCD_INSTRMODSTND_SCHRS">#REF!</definedName>
    <definedName name="HCD_INSTRTUBE_HRS" localSheetId="4">#REF!</definedName>
    <definedName name="HCD_INSTRTUBE_HRS" localSheetId="0">#REF!</definedName>
    <definedName name="HCD_INSTRTUBE_HRS">#REF!</definedName>
    <definedName name="HCD_INSTRTUBE_LAB" localSheetId="4">#REF!</definedName>
    <definedName name="HCD_INSTRTUBE_LAB" localSheetId="0">#REF!</definedName>
    <definedName name="HCD_INSTRTUBE_LAB">#REF!</definedName>
    <definedName name="HCD_INSTRTUBE_MAT" localSheetId="4">#REF!</definedName>
    <definedName name="HCD_INSTRTUBE_MAT" localSheetId="0">#REF!</definedName>
    <definedName name="HCD_INSTRTUBE_MAT">#REF!</definedName>
    <definedName name="HCD_INSTRTUBE_QTY" localSheetId="4">#REF!</definedName>
    <definedName name="HCD_INSTRTUBE_QTY" localSheetId="0">#REF!</definedName>
    <definedName name="HCD_INSTRTUBE_QTY">#REF!</definedName>
    <definedName name="HCD_INSTRTUBE_SC" localSheetId="4">#REF!</definedName>
    <definedName name="HCD_INSTRTUBE_SC" localSheetId="0">#REF!</definedName>
    <definedName name="HCD_INSTRTUBE_SC">#REF!</definedName>
    <definedName name="HCD_INSTRTUBE_SCHRS" localSheetId="4">#REF!</definedName>
    <definedName name="HCD_INSTRTUBE_SCHRS" localSheetId="0">#REF!</definedName>
    <definedName name="HCD_INSTRTUBE_SCHRS">#REF!</definedName>
    <definedName name="HCD_INSTRVLVS_HRS" localSheetId="4">#REF!</definedName>
    <definedName name="HCD_INSTRVLVS_HRS" localSheetId="0">#REF!</definedName>
    <definedName name="HCD_INSTRVLVS_HRS">#REF!</definedName>
    <definedName name="HCD_INSTRVLVS_LAB" localSheetId="4">#REF!</definedName>
    <definedName name="HCD_INSTRVLVS_LAB" localSheetId="0">#REF!</definedName>
    <definedName name="HCD_INSTRVLVS_LAB">#REF!</definedName>
    <definedName name="HCD_INSTRVLVS_MAT" localSheetId="4">#REF!</definedName>
    <definedName name="HCD_INSTRVLVS_MAT" localSheetId="0">#REF!</definedName>
    <definedName name="HCD_INSTRVLVS_MAT">#REF!</definedName>
    <definedName name="HCD_INSTRVLVS_QTY" localSheetId="4">#REF!</definedName>
    <definedName name="HCD_INSTRVLVS_QTY" localSheetId="0">#REF!</definedName>
    <definedName name="HCD_INSTRVLVS_QTY">#REF!</definedName>
    <definedName name="HCD_INSTRVLVS_SC" localSheetId="4">#REF!</definedName>
    <definedName name="HCD_INSTRVLVS_SC" localSheetId="0">#REF!</definedName>
    <definedName name="HCD_INSTRVLVS_SC">#REF!</definedName>
    <definedName name="HCD_INSTRVLVS_SCHRS" localSheetId="4">#REF!</definedName>
    <definedName name="HCD_INSTRVLVS_SCHRS" localSheetId="0">#REF!</definedName>
    <definedName name="HCD_INSTRVLVS_SCHRS">#REF!</definedName>
    <definedName name="HCD_INSTRWRTAN_HRS" localSheetId="4">#REF!</definedName>
    <definedName name="HCD_INSTRWRTAN_HRS" localSheetId="0">#REF!</definedName>
    <definedName name="HCD_INSTRWRTAN_HRS">#REF!</definedName>
    <definedName name="HCD_INSTRWRTAN_LAB" localSheetId="4">#REF!</definedName>
    <definedName name="HCD_INSTRWRTAN_LAB" localSheetId="0">#REF!</definedName>
    <definedName name="HCD_INSTRWRTAN_LAB">#REF!</definedName>
    <definedName name="HCD_INSTRWRTAN_MAT" localSheetId="4">#REF!</definedName>
    <definedName name="HCD_INSTRWRTAN_MAT" localSheetId="0">#REF!</definedName>
    <definedName name="HCD_INSTRWRTAN_MAT">#REF!</definedName>
    <definedName name="HCD_INSTRWRTAN_QTY" localSheetId="4">#REF!</definedName>
    <definedName name="HCD_INSTRWRTAN_QTY" localSheetId="0">#REF!</definedName>
    <definedName name="HCD_INSTRWRTAN_QTY">#REF!</definedName>
    <definedName name="HCD_INSTRWRTAN_SC" localSheetId="4">#REF!</definedName>
    <definedName name="HCD_INSTRWRTAN_SC" localSheetId="0">#REF!</definedName>
    <definedName name="HCD_INSTRWRTAN_SC">#REF!</definedName>
    <definedName name="HCD_INSTRWRTAN_SCHRS" localSheetId="4">#REF!</definedName>
    <definedName name="HCD_INSTRWRTAN_SCHRS" localSheetId="0">#REF!</definedName>
    <definedName name="HCD_INSTRWRTAN_SCHRS">#REF!</definedName>
    <definedName name="HCD_LGTCBL_QTY" localSheetId="4">#REF!</definedName>
    <definedName name="HCD_LGTCBL_QTY" localSheetId="0">#REF!</definedName>
    <definedName name="HCD_LGTCBL_QTY">#REF!</definedName>
    <definedName name="HCD_LGTCOND_QTY" localSheetId="4">#REF!</definedName>
    <definedName name="HCD_LGTCOND_QTY" localSheetId="0">#REF!</definedName>
    <definedName name="HCD_LGTCOND_QTY">#REF!</definedName>
    <definedName name="HCD_LIGHTCOND_QTY" localSheetId="4">#REF!</definedName>
    <definedName name="HCD_LIGHTCOND_QTY" localSheetId="0">#REF!</definedName>
    <definedName name="HCD_LIGHTCOND_QTY">#REF!</definedName>
    <definedName name="HCD_MCC480_HRS" localSheetId="4">#REF!</definedName>
    <definedName name="HCD_MCC480_HRS" localSheetId="0">#REF!</definedName>
    <definedName name="HCD_MCC480_HRS">#REF!</definedName>
    <definedName name="HCD_MCC480_LAB" localSheetId="4">#REF!</definedName>
    <definedName name="HCD_MCC480_LAB" localSheetId="0">#REF!</definedName>
    <definedName name="HCD_MCC480_LAB">#REF!</definedName>
    <definedName name="HCD_MCC480_MAT" localSheetId="4">#REF!</definedName>
    <definedName name="HCD_MCC480_MAT" localSheetId="0">#REF!</definedName>
    <definedName name="HCD_MCC480_MAT">#REF!</definedName>
    <definedName name="HCD_MCC480_QTY" localSheetId="4">#REF!</definedName>
    <definedName name="HCD_MCC480_QTY" localSheetId="0">#REF!</definedName>
    <definedName name="HCD_MCC480_QTY">#REF!</definedName>
    <definedName name="HCD_MCC480_SC" localSheetId="4">#REF!</definedName>
    <definedName name="HCD_MCC480_SC" localSheetId="0">#REF!</definedName>
    <definedName name="HCD_MCC480_SC">#REF!</definedName>
    <definedName name="HCD_MCC480_SCHRS" localSheetId="4">#REF!</definedName>
    <definedName name="HCD_MCC480_SCHRS" localSheetId="0">#REF!</definedName>
    <definedName name="HCD_MCC480_SCHRS">#REF!</definedName>
    <definedName name="HCD_METCOND_HRS" localSheetId="4">#REF!</definedName>
    <definedName name="HCD_METCOND_HRS" localSheetId="0">#REF!</definedName>
    <definedName name="HCD_METCOND_HRS">#REF!</definedName>
    <definedName name="HCD_METCOND_LAB" localSheetId="4">#REF!</definedName>
    <definedName name="HCD_METCOND_LAB" localSheetId="0">#REF!</definedName>
    <definedName name="HCD_METCOND_LAB">#REF!</definedName>
    <definedName name="HCD_METCOND_MAT" localSheetId="4">#REF!</definedName>
    <definedName name="HCD_METCOND_MAT" localSheetId="0">#REF!</definedName>
    <definedName name="HCD_METCOND_MAT">#REF!</definedName>
    <definedName name="HCD_METCOND_QTY" localSheetId="4">#REF!</definedName>
    <definedName name="HCD_METCOND_QTY" localSheetId="0">#REF!</definedName>
    <definedName name="HCD_METCOND_QTY">#REF!</definedName>
    <definedName name="HCD_METCOND_SC" localSheetId="4">#REF!</definedName>
    <definedName name="HCD_METCOND_SC" localSheetId="0">#REF!</definedName>
    <definedName name="HCD_METCOND_SC">#REF!</definedName>
    <definedName name="HCD_METCOND_SCHRS" localSheetId="4">#REF!</definedName>
    <definedName name="HCD_METCOND_SCHRS" localSheetId="0">#REF!</definedName>
    <definedName name="HCD_METCOND_SCHRS">#REF!</definedName>
    <definedName name="HCD_METEMBCOND_HRS" localSheetId="4">#REF!</definedName>
    <definedName name="HCD_METEMBCOND_HRS" localSheetId="0">#REF!</definedName>
    <definedName name="HCD_METEMBCOND_HRS">#REF!</definedName>
    <definedName name="HCD_METEMBCOND_LAB" localSheetId="4">#REF!</definedName>
    <definedName name="HCD_METEMBCOND_LAB" localSheetId="0">#REF!</definedName>
    <definedName name="HCD_METEMBCOND_LAB">#REF!</definedName>
    <definedName name="HCD_METEMBCOND_MAT" localSheetId="4">#REF!</definedName>
    <definedName name="HCD_METEMBCOND_MAT" localSheetId="0">#REF!</definedName>
    <definedName name="HCD_METEMBCOND_MAT">#REF!</definedName>
    <definedName name="HCD_METEMBCOND_QTY" localSheetId="4">#REF!</definedName>
    <definedName name="HCD_METEMBCOND_QTY" localSheetId="0">#REF!</definedName>
    <definedName name="HCD_METEMBCOND_QTY">#REF!</definedName>
    <definedName name="HCD_METEMBCOND_SC" localSheetId="4">#REF!</definedName>
    <definedName name="HCD_METEMBCOND_SC" localSheetId="0">#REF!</definedName>
    <definedName name="HCD_METEMBCOND_SC">#REF!</definedName>
    <definedName name="HCD_METEMBCOND_SCHRS" localSheetId="4">#REF!</definedName>
    <definedName name="HCD_METEMBCOND_SCHRS" localSheetId="0">#REF!</definedName>
    <definedName name="HCD_METEMBCOND_SCHRS">#REF!</definedName>
    <definedName name="HCD_MISCPNLS_HRS" localSheetId="4">#REF!</definedName>
    <definedName name="HCD_MISCPNLS_HRS" localSheetId="0">#REF!</definedName>
    <definedName name="HCD_MISCPNLS_HRS">#REF!</definedName>
    <definedName name="HCD_MISCPNLS_LAB" localSheetId="4">#REF!</definedName>
    <definedName name="HCD_MISCPNLS_LAB" localSheetId="0">#REF!</definedName>
    <definedName name="HCD_MISCPNLS_LAB">#REF!</definedName>
    <definedName name="HCD_MISCPNLS_MAT" localSheetId="4">#REF!</definedName>
    <definedName name="HCD_MISCPNLS_MAT" localSheetId="0">#REF!</definedName>
    <definedName name="HCD_MISCPNLS_MAT">#REF!</definedName>
    <definedName name="HCD_MISCPNLS_QTY" localSheetId="4">#REF!</definedName>
    <definedName name="HCD_MISCPNLS_QTY" localSheetId="0">#REF!</definedName>
    <definedName name="HCD_MISCPNLS_QTY">#REF!</definedName>
    <definedName name="HCD_MISCPNLS_SC" localSheetId="4">#REF!</definedName>
    <definedName name="HCD_MISCPNLS_SC" localSheetId="0">#REF!</definedName>
    <definedName name="HCD_MISCPNLS_SC">#REF!</definedName>
    <definedName name="HCD_MISCPNLS_SCHRS" localSheetId="4">#REF!</definedName>
    <definedName name="HCD_MISCPNLS_SCHRS" localSheetId="0">#REF!</definedName>
    <definedName name="HCD_MISCPNLS_SCHRS">#REF!</definedName>
    <definedName name="HCD_NMETCOND_HRS" localSheetId="4">#REF!</definedName>
    <definedName name="HCD_NMETCOND_HRS" localSheetId="0">#REF!</definedName>
    <definedName name="HCD_NMETCOND_HRS">#REF!</definedName>
    <definedName name="HCD_NMETCOND_LAB" localSheetId="4">#REF!</definedName>
    <definedName name="HCD_NMETCOND_LAB" localSheetId="0">#REF!</definedName>
    <definedName name="HCD_NMETCOND_LAB">#REF!</definedName>
    <definedName name="HCD_NMETCOND_MAT" localSheetId="4">#REF!</definedName>
    <definedName name="HCD_NMETCOND_MAT" localSheetId="0">#REF!</definedName>
    <definedName name="HCD_NMETCOND_MAT">#REF!</definedName>
    <definedName name="HCD_NMETCOND_QTY" localSheetId="4">#REF!</definedName>
    <definedName name="HCD_NMETCOND_QTY" localSheetId="0">#REF!</definedName>
    <definedName name="HCD_NMETCOND_QTY">#REF!</definedName>
    <definedName name="HCD_NMETCOND_SC" localSheetId="4">#REF!</definedName>
    <definedName name="HCD_NMETCOND_SC" localSheetId="0">#REF!</definedName>
    <definedName name="HCD_NMETCOND_SC">#REF!</definedName>
    <definedName name="HCD_NMETCOND_SCHRS" localSheetId="4">#REF!</definedName>
    <definedName name="HCD_NMETCOND_SCHRS" localSheetId="0">#REF!</definedName>
    <definedName name="HCD_NMETCOND_SCHRS">#REF!</definedName>
    <definedName name="HCD_OTDRFIXT_QTY" localSheetId="4">#REF!</definedName>
    <definedName name="HCD_OTDRFIXT_QTY" localSheetId="0">#REF!</definedName>
    <definedName name="HCD_OTDRFIXT_QTY">#REF!</definedName>
    <definedName name="HCD_OTHEREQ_HRS" localSheetId="4">#REF!</definedName>
    <definedName name="HCD_OTHEREQ_HRS" localSheetId="0">#REF!</definedName>
    <definedName name="HCD_OTHEREQ_HRS">#REF!</definedName>
    <definedName name="HCD_OTHEREQ_LAB" localSheetId="4">#REF!</definedName>
    <definedName name="HCD_OTHEREQ_LAB" localSheetId="0">#REF!</definedName>
    <definedName name="HCD_OTHEREQ_LAB">#REF!</definedName>
    <definedName name="HCD_OTHEREQ_MAT" localSheetId="4">#REF!</definedName>
    <definedName name="HCD_OTHEREQ_MAT" localSheetId="0">#REF!</definedName>
    <definedName name="HCD_OTHEREQ_MAT">#REF!</definedName>
    <definedName name="HCD_OTHEREQ_QTY" localSheetId="4">#REF!</definedName>
    <definedName name="HCD_OTHEREQ_QTY" localSheetId="0">#REF!</definedName>
    <definedName name="HCD_OTHEREQ_QTY">#REF!</definedName>
    <definedName name="HCD_OTHEREQ_SC" localSheetId="4">#REF!</definedName>
    <definedName name="HCD_OTHEREQ_SC" localSheetId="0">#REF!</definedName>
    <definedName name="HCD_OTHEREQ_SC">#REF!</definedName>
    <definedName name="HCD_OTHEREQ_SCHRS" localSheetId="4">#REF!</definedName>
    <definedName name="HCD_OTHEREQ_SCHRS" localSheetId="0">#REF!</definedName>
    <definedName name="HCD_OTHEREQ_SCHRS">#REF!</definedName>
    <definedName name="HCD_PNLS_QTY" localSheetId="4">#REF!</definedName>
    <definedName name="HCD_PNLS_QTY" localSheetId="0">#REF!</definedName>
    <definedName name="HCD_PNLS_QTY">#REF!</definedName>
    <definedName name="HCD_POLEFIXT_QTY" localSheetId="4">#REF!</definedName>
    <definedName name="HCD_POLEFIXT_QTY" localSheetId="0">#REF!</definedName>
    <definedName name="HCD_POLEFIXT_QTY">#REF!</definedName>
    <definedName name="HCD_RACKTRAY_QTY" localSheetId="4">#REF!</definedName>
    <definedName name="HCD_RACKTRAY_QTY" localSheetId="0">#REF!</definedName>
    <definedName name="HCD_RACKTRAY_QTY">#REF!</definedName>
    <definedName name="HCD_RECEPT_QTY" localSheetId="4">#REF!</definedName>
    <definedName name="HCD_RECEPT_QTY" localSheetId="0">#REF!</definedName>
    <definedName name="HCD_RECEPT_QTY">#REF!</definedName>
    <definedName name="HCD_SCHCOND_HRS" localSheetId="4">#REF!</definedName>
    <definedName name="HCD_SCHCOND_HRS" localSheetId="0">#REF!</definedName>
    <definedName name="HCD_SCHCOND_HRS">#REF!</definedName>
    <definedName name="HCD_SCHCOND_LAB" localSheetId="4">#REF!</definedName>
    <definedName name="HCD_SCHCOND_LAB" localSheetId="0">#REF!</definedName>
    <definedName name="HCD_SCHCOND_LAB">#REF!</definedName>
    <definedName name="HCD_SCHCOND_MAT" localSheetId="4">#REF!</definedName>
    <definedName name="HCD_SCHCOND_MAT" localSheetId="0">#REF!</definedName>
    <definedName name="HCD_SCHCOND_MAT">#REF!</definedName>
    <definedName name="HCD_SCHCOND_SC" localSheetId="4">#REF!</definedName>
    <definedName name="HCD_SCHCOND_SC" localSheetId="0">#REF!</definedName>
    <definedName name="HCD_SCHCOND_SC">#REF!</definedName>
    <definedName name="HCD_SCHCOND_SCHRS" localSheetId="4">#REF!</definedName>
    <definedName name="HCD_SCHCOND_SCHRS" localSheetId="0">#REF!</definedName>
    <definedName name="HCD_SCHCOND_SCHRS">#REF!</definedName>
    <definedName name="HCD_SWGR_HRS" localSheetId="4">#REF!</definedName>
    <definedName name="HCD_SWGR_HRS" localSheetId="0">#REF!</definedName>
    <definedName name="HCD_SWGR_HRS">#REF!</definedName>
    <definedName name="HCD_SWGR_LAB" localSheetId="4">#REF!</definedName>
    <definedName name="HCD_SWGR_LAB" localSheetId="0">#REF!</definedName>
    <definedName name="HCD_SWGR_LAB">#REF!</definedName>
    <definedName name="HCD_SWGR_MAT" localSheetId="4">#REF!</definedName>
    <definedName name="HCD_SWGR_MAT" localSheetId="0">#REF!</definedName>
    <definedName name="HCD_SWGR_MAT">#REF!</definedName>
    <definedName name="HCD_SWGR_QTY" localSheetId="4">#REF!</definedName>
    <definedName name="HCD_SWGR_QTY" localSheetId="0">#REF!</definedName>
    <definedName name="HCD_SWGR_QTY">#REF!</definedName>
    <definedName name="HCD_SWGR_SC" localSheetId="4">#REF!</definedName>
    <definedName name="HCD_SWGR_SC" localSheetId="0">#REF!</definedName>
    <definedName name="HCD_SWGR_SC">#REF!</definedName>
    <definedName name="HCD_SWGR_SCHRS" localSheetId="4">#REF!</definedName>
    <definedName name="HCD_SWGR_SCHRS" localSheetId="0">#REF!</definedName>
    <definedName name="HCD_SWGR_SCHRS">#REF!</definedName>
    <definedName name="HCD_SWYD_HRS" localSheetId="4">#REF!</definedName>
    <definedName name="HCD_SWYD_HRS" localSheetId="0">#REF!</definedName>
    <definedName name="HCD_SWYD_HRS">#REF!</definedName>
    <definedName name="HCD_SWYD_LAB" localSheetId="4">#REF!</definedName>
    <definedName name="HCD_SWYD_LAB" localSheetId="0">#REF!</definedName>
    <definedName name="HCD_SWYD_LAB">#REF!</definedName>
    <definedName name="HCD_SWYD_MAT" localSheetId="4">#REF!</definedName>
    <definedName name="HCD_SWYD_MAT" localSheetId="0">#REF!</definedName>
    <definedName name="HCD_SWYD_MAT">#REF!</definedName>
    <definedName name="HCD_SWYD_QTY" localSheetId="4">#REF!</definedName>
    <definedName name="HCD_SWYD_QTY" localSheetId="0">#REF!</definedName>
    <definedName name="HCD_SWYD_QTY">#REF!</definedName>
    <definedName name="HCD_SWYD_SC" localSheetId="4">#REF!</definedName>
    <definedName name="HCD_SWYD_SC" localSheetId="0">#REF!</definedName>
    <definedName name="HCD_SWYD_SC">#REF!</definedName>
    <definedName name="HCD_SWYD_SCHRS" localSheetId="4">#REF!</definedName>
    <definedName name="HCD_SWYD_SCHRS" localSheetId="0">#REF!</definedName>
    <definedName name="HCD_SWYD_SCHRS">#REF!</definedName>
    <definedName name="HCD_TL_HRS" localSheetId="4">#REF!</definedName>
    <definedName name="HCD_TL_HRS" localSheetId="0">#REF!</definedName>
    <definedName name="HCD_TL_HRS">#REF!</definedName>
    <definedName name="HCD_TL_LAB" localSheetId="4">#REF!</definedName>
    <definedName name="HCD_TL_LAB" localSheetId="0">#REF!</definedName>
    <definedName name="HCD_TL_LAB">#REF!</definedName>
    <definedName name="HCD_TL_MAT" localSheetId="4">#REF!</definedName>
    <definedName name="HCD_TL_MAT" localSheetId="0">#REF!</definedName>
    <definedName name="HCD_TL_MAT">#REF!</definedName>
    <definedName name="HCD_TL_QTY" localSheetId="4">#REF!</definedName>
    <definedName name="HCD_TL_QTY" localSheetId="0">#REF!</definedName>
    <definedName name="HCD_TL_QTY">#REF!</definedName>
    <definedName name="HCD_TL_SC" localSheetId="4">#REF!</definedName>
    <definedName name="HCD_TL_SC" localSheetId="0">#REF!</definedName>
    <definedName name="HCD_TL_SC">#REF!</definedName>
    <definedName name="HCD_TL_SCHRS" localSheetId="4">#REF!</definedName>
    <definedName name="HCD_TL_SCHRS" localSheetId="0">#REF!</definedName>
    <definedName name="HCD_TL_SCHRS">#REF!</definedName>
    <definedName name="HCD_TRAY_HRS" localSheetId="4">#REF!</definedName>
    <definedName name="HCD_TRAY_HRS" localSheetId="0">#REF!</definedName>
    <definedName name="HCD_TRAY_HRS">#REF!</definedName>
    <definedName name="HCD_TRAY_LAB" localSheetId="4">#REF!</definedName>
    <definedName name="HCD_TRAY_LAB" localSheetId="0">#REF!</definedName>
    <definedName name="HCD_TRAY_LAB">#REF!</definedName>
    <definedName name="HCD_TRAY_MAT" localSheetId="4">#REF!</definedName>
    <definedName name="HCD_TRAY_MAT" localSheetId="0">#REF!</definedName>
    <definedName name="HCD_TRAY_MAT">#REF!</definedName>
    <definedName name="HCD_TRAY_QTY" localSheetId="4">#REF!</definedName>
    <definedName name="HCD_TRAY_QTY" localSheetId="0">#REF!</definedName>
    <definedName name="HCD_TRAY_QTY">#REF!</definedName>
    <definedName name="HCD_TRAY_SC" localSheetId="4">#REF!</definedName>
    <definedName name="HCD_TRAY_SC" localSheetId="0">#REF!</definedName>
    <definedName name="HCD_TRAY_SC">#REF!</definedName>
    <definedName name="HCD_TRAY_SCHRS" localSheetId="4">#REF!</definedName>
    <definedName name="HCD_TRAY_SCHRS" localSheetId="0">#REF!</definedName>
    <definedName name="HCD_TRAY_SCHRS">#REF!</definedName>
    <definedName name="HCD_UNSCHCBL_HRS" localSheetId="4">#REF!</definedName>
    <definedName name="HCD_UNSCHCBL_HRS" localSheetId="0">#REF!</definedName>
    <definedName name="HCD_UNSCHCBL_HRS">#REF!</definedName>
    <definedName name="HCD_UNSCHCBL_LAB" localSheetId="4">#REF!</definedName>
    <definedName name="HCD_UNSCHCBL_LAB" localSheetId="0">#REF!</definedName>
    <definedName name="HCD_UNSCHCBL_LAB">#REF!</definedName>
    <definedName name="HCD_UNSCHCBL_MAT" localSheetId="4">#REF!</definedName>
    <definedName name="HCD_UNSCHCBL_MAT" localSheetId="0">#REF!</definedName>
    <definedName name="HCD_UNSCHCBL_MAT">#REF!</definedName>
    <definedName name="HCD_UNSCHCBL_QTY" localSheetId="4">#REF!</definedName>
    <definedName name="HCD_UNSCHCBL_QTY" localSheetId="0">#REF!</definedName>
    <definedName name="HCD_UNSCHCBL_QTY">#REF!</definedName>
    <definedName name="HCD_UNSCHCBL_SC" localSheetId="4">#REF!</definedName>
    <definedName name="HCD_UNSCHCBL_SC" localSheetId="0">#REF!</definedName>
    <definedName name="HCD_UNSCHCBL_SC">#REF!</definedName>
    <definedName name="HCD_UNSCHCBL_SCHRS" localSheetId="4">#REF!</definedName>
    <definedName name="HCD_UNSCHCBL_SCHRS" localSheetId="0">#REF!</definedName>
    <definedName name="HCD_UNSCHCBL_SCHRS">#REF!</definedName>
    <definedName name="HCD_UNSCHCOND_HRS" localSheetId="4">#REF!</definedName>
    <definedName name="HCD_UNSCHCOND_HRS" localSheetId="0">#REF!</definedName>
    <definedName name="HCD_UNSCHCOND_HRS">#REF!</definedName>
    <definedName name="HCD_UNSCHCOND_LAB" localSheetId="4">#REF!</definedName>
    <definedName name="HCD_UNSCHCOND_LAB" localSheetId="0">#REF!</definedName>
    <definedName name="HCD_UNSCHCOND_LAB">#REF!</definedName>
    <definedName name="HCD_UNSCHCOND_MAT" localSheetId="4">#REF!</definedName>
    <definedName name="HCD_UNSCHCOND_MAT" localSheetId="0">#REF!</definedName>
    <definedName name="HCD_UNSCHCOND_MAT">#REF!</definedName>
    <definedName name="HCD_UNSCHCOND_QTY" localSheetId="4">#REF!</definedName>
    <definedName name="HCD_UNSCHCOND_QTY" localSheetId="0">#REF!</definedName>
    <definedName name="HCD_UNSCHCOND_QTY">#REF!</definedName>
    <definedName name="HCD_UNSCHCOND_SC" localSheetId="4">#REF!</definedName>
    <definedName name="HCD_UNSCHCOND_SC" localSheetId="0">#REF!</definedName>
    <definedName name="HCD_UNSCHCOND_SC">#REF!</definedName>
    <definedName name="HCD_UNSCHCOND_SCHRS" localSheetId="4">#REF!</definedName>
    <definedName name="HCD_UNSCHCOND_SCHRS" localSheetId="0">#REF!</definedName>
    <definedName name="HCD_UNSCHCOND_SCHRS">#REF!</definedName>
    <definedName name="HCD_XFMR_HRS" localSheetId="4">#REF!</definedName>
    <definedName name="HCD_XFMR_HRS" localSheetId="0">#REF!</definedName>
    <definedName name="HCD_XFMR_HRS">#REF!</definedName>
    <definedName name="HCD_XFMR_LAB" localSheetId="4">#REF!</definedName>
    <definedName name="HCD_XFMR_LAB" localSheetId="0">#REF!</definedName>
    <definedName name="HCD_XFMR_LAB">#REF!</definedName>
    <definedName name="HCD_XFMR_MAT" localSheetId="4">#REF!</definedName>
    <definedName name="HCD_XFMR_MAT" localSheetId="0">#REF!</definedName>
    <definedName name="HCD_XFMR_MAT">#REF!</definedName>
    <definedName name="HCD_XFMR_QTY" localSheetId="4">#REF!</definedName>
    <definedName name="HCD_XFMR_QTY" localSheetId="0">#REF!</definedName>
    <definedName name="HCD_XFMR_QTY">#REF!</definedName>
    <definedName name="HCD_XFMR_SC" localSheetId="4">#REF!</definedName>
    <definedName name="HCD_XFMR_SC" localSheetId="0">#REF!</definedName>
    <definedName name="HCD_XFMR_SC">#REF!</definedName>
    <definedName name="HCD_XFMR_SCHRS" localSheetId="4">#REF!</definedName>
    <definedName name="HCD_XFMR_SCHRS" localSheetId="0">#REF!</definedName>
    <definedName name="HCD_XFMR_SCHRS">#REF!</definedName>
    <definedName name="HCDNMETCOND_HRS" localSheetId="4">#REF!</definedName>
    <definedName name="HCDNMETCOND_HRS" localSheetId="0">#REF!</definedName>
    <definedName name="HCDNMETCOND_HRS">#REF!</definedName>
    <definedName name="HCDNMETCOND_LAB" localSheetId="4">#REF!</definedName>
    <definedName name="HCDNMETCOND_LAB" localSheetId="0">#REF!</definedName>
    <definedName name="HCDNMETCOND_LAB">#REF!</definedName>
    <definedName name="HCDNMETCOND_MAT" localSheetId="4">#REF!</definedName>
    <definedName name="HCDNMETCOND_MAT" localSheetId="0">#REF!</definedName>
    <definedName name="HCDNMETCOND_MAT">#REF!</definedName>
    <definedName name="HCDNMETCOND_SC" localSheetId="4">#REF!</definedName>
    <definedName name="HCDNMETCOND_SC" localSheetId="0">#REF!</definedName>
    <definedName name="HCDNMETCOND_SC">#REF!</definedName>
    <definedName name="HCom" localSheetId="4">#REF!</definedName>
    <definedName name="HCom" localSheetId="5">#REF!</definedName>
    <definedName name="HCom" localSheetId="0">#REF!</definedName>
    <definedName name="HCom">#REF!</definedName>
    <definedName name="HDR" localSheetId="4">#REF!</definedName>
    <definedName name="HDR" localSheetId="5">#REF!</definedName>
    <definedName name="HDR" localSheetId="0">#REF!</definedName>
    <definedName name="HDR">#REF!</definedName>
    <definedName name="head1" localSheetId="0">#REF!</definedName>
    <definedName name="head1">#REF!</definedName>
    <definedName name="Header_Row" localSheetId="4">ROW(#REF!)</definedName>
    <definedName name="Header_Row">ROW(#REF!)</definedName>
    <definedName name="heapFormationTariff" localSheetId="5">#REF!*#REF!</definedName>
    <definedName name="heapFormationTariff" localSheetId="0">#REF!*#REF!</definedName>
    <definedName name="heapFormationTariff">#REF!*#REF!</definedName>
    <definedName name="heapFormationTariffNominal" localSheetId="0">#REF!</definedName>
    <definedName name="heapFormationTariffNominal">#REF!</definedName>
    <definedName name="heapFormationTariffSensitivity" localSheetId="0">#REF!</definedName>
    <definedName name="heapFormationTariffSensitivity">#REF!</definedName>
    <definedName name="HEAT_TRACE" localSheetId="4">#REF!</definedName>
    <definedName name="HEAT_TRACE" localSheetId="5">#REF!</definedName>
    <definedName name="HEAT_TRACE" localSheetId="0">#REF!</definedName>
    <definedName name="HEAT_TRACE">#REF!</definedName>
    <definedName name="HEAT_TRACE_PROT" localSheetId="4">#REF!</definedName>
    <definedName name="HEAT_TRACE_PROT" localSheetId="5">#REF!</definedName>
    <definedName name="HEAT_TRACE_PROT" localSheetId="0">#REF!</definedName>
    <definedName name="HEAT_TRACE_PROT">#REF!</definedName>
    <definedName name="hgfhgfhfjgfh" localSheetId="4">#REF!</definedName>
    <definedName name="hgfhgfhfjgfh" localSheetId="5">#REF!</definedName>
    <definedName name="hgfhgfhfjgfh" localSheetId="0">#REF!</definedName>
    <definedName name="hgfhgfhfjgfh">#REF!</definedName>
    <definedName name="HH" localSheetId="4">#REF!</definedName>
    <definedName name="HH" localSheetId="0">#REF!</definedName>
    <definedName name="HH">#REF!</definedName>
    <definedName name="hhernand" localSheetId="0">#REF!</definedName>
    <definedName name="hhernand">#REF!</definedName>
    <definedName name="HKE" localSheetId="4">#REF!</definedName>
    <definedName name="HKE" localSheetId="5">#REF!</definedName>
    <definedName name="HKE" localSheetId="0">#REF!</definedName>
    <definedName name="HKE">#REF!</definedName>
    <definedName name="hkhkhkj" localSheetId="4">#REF!</definedName>
    <definedName name="hkhkhkj" localSheetId="5">#REF!</definedName>
    <definedName name="hkhkhkj" localSheetId="0">#REF!</definedName>
    <definedName name="hkhkhkj">#REF!</definedName>
    <definedName name="HKNO" localSheetId="4">#REF!</definedName>
    <definedName name="HKNO" localSheetId="5">#REF!</definedName>
    <definedName name="HKNO" localSheetId="0">#REF!</definedName>
    <definedName name="HKNO">#REF!</definedName>
    <definedName name="HMkCom" localSheetId="4">#REF!</definedName>
    <definedName name="HMkCom" localSheetId="5">#REF!</definedName>
    <definedName name="HMkCom" localSheetId="0">#REF!</definedName>
    <definedName name="HMkCom">#REF!</definedName>
    <definedName name="hmm" localSheetId="4">#REF!</definedName>
    <definedName name="hmm" localSheetId="5">#REF!</definedName>
    <definedName name="hmm" localSheetId="0">#REF!</definedName>
    <definedName name="hmm">#REF!</definedName>
    <definedName name="HMMF" localSheetId="4">#REF!</definedName>
    <definedName name="HMMF" localSheetId="5">#REF!</definedName>
    <definedName name="HMMF" localSheetId="0">#REF!</definedName>
    <definedName name="HMMF">#REF!</definedName>
    <definedName name="HNO" localSheetId="4">#REF!</definedName>
    <definedName name="HNO" localSheetId="5">#REF!</definedName>
    <definedName name="HNO" localSheetId="0">#REF!</definedName>
    <definedName name="HNO">#REF!</definedName>
    <definedName name="HOJA" localSheetId="4" hidden="1">{#N/A,#N/A,FALSE,"minas";#N/A,#N/A,FALSE,"Total_OC015";#N/A,#N/A,FALSE,"ADMIN";#N/A,#N/A,FALSE,"PROCES";#N/A,#N/A,FALSE,"civil";#N/A,#N/A,FALSE,"CAÑER";#N/A,#N/A,FALSE,"ELEC";#N/A,#N/A,FALSE,"INSTR";#N/A,#N/A,FALSE,"PDS";#N/A,#N/A,FALSE,"mecan"}</definedName>
    <definedName name="HOJA" localSheetId="5" hidden="1">{#N/A,#N/A,FALSE,"minas";#N/A,#N/A,FALSE,"Total_OC015";#N/A,#N/A,FALSE,"ADMIN";#N/A,#N/A,FALSE,"PROCES";#N/A,#N/A,FALSE,"civil";#N/A,#N/A,FALSE,"CAÑER";#N/A,#N/A,FALSE,"ELEC";#N/A,#N/A,FALSE,"INSTR";#N/A,#N/A,FALSE,"PDS";#N/A,#N/A,FALSE,"mecan"}</definedName>
    <definedName name="HOJA" localSheetId="0" hidden="1">{#N/A,#N/A,FALSE,"minas";#N/A,#N/A,FALSE,"Total_OC015";#N/A,#N/A,FALSE,"ADMIN";#N/A,#N/A,FALSE,"PROCES";#N/A,#N/A,FALSE,"civil";#N/A,#N/A,FALSE,"CAÑER";#N/A,#N/A,FALSE,"ELEC";#N/A,#N/A,FALSE,"INSTR";#N/A,#N/A,FALSE,"PDS";#N/A,#N/A,FALSE,"mecan"}</definedName>
    <definedName name="HOJA" hidden="1">{#N/A,#N/A,FALSE,"minas";#N/A,#N/A,FALSE,"Total_OC015";#N/A,#N/A,FALSE,"ADMIN";#N/A,#N/A,FALSE,"PROCES";#N/A,#N/A,FALSE,"civil";#N/A,#N/A,FALSE,"CAÑER";#N/A,#N/A,FALSE,"ELEC";#N/A,#N/A,FALSE,"INSTR";#N/A,#N/A,FALSE,"PDS";#N/A,#N/A,FALSE,"mecan"}</definedName>
    <definedName name="HOJA1" localSheetId="4">#REF!</definedName>
    <definedName name="HOJA1" localSheetId="5">#REF!</definedName>
    <definedName name="HOJA1" localSheetId="0">#REF!</definedName>
    <definedName name="HOJA1">#REF!</definedName>
    <definedName name="HOJA2" localSheetId="4">#REF!</definedName>
    <definedName name="HOJA2" localSheetId="5">#REF!</definedName>
    <definedName name="HOJA2" localSheetId="0">#REF!</definedName>
    <definedName name="HOJA2">#REF!</definedName>
    <definedName name="HOJA3" localSheetId="4">#REF!</definedName>
    <definedName name="HOJA3" localSheetId="5">#REF!</definedName>
    <definedName name="HOJA3" localSheetId="0">#REF!</definedName>
    <definedName name="HOJA3">#REF!</definedName>
    <definedName name="HOLA" localSheetId="4">#REF!</definedName>
    <definedName name="HOLA" localSheetId="0">#REF!</definedName>
    <definedName name="HOLA">#REF!</definedName>
    <definedName name="home" localSheetId="4">#REF!</definedName>
    <definedName name="home" localSheetId="0">#REF!</definedName>
    <definedName name="home">#REF!</definedName>
    <definedName name="Home_Ofc_OT" localSheetId="0">#REF!</definedName>
    <definedName name="Home_Ofc_OT">#REF!</definedName>
    <definedName name="Home_Ofc_ST" localSheetId="4">#REF!</definedName>
    <definedName name="Home_Ofc_ST" localSheetId="5">#REF!</definedName>
    <definedName name="Home_Ofc_ST" localSheetId="0">#REF!</definedName>
    <definedName name="Home_Ofc_ST">#REF!</definedName>
    <definedName name="homero" localSheetId="0">#REF!</definedName>
    <definedName name="homero">#REF!</definedName>
    <definedName name="hora_admin">450</definedName>
    <definedName name="Hora_Dozer">700</definedName>
    <definedName name="hora_encargado">450</definedName>
    <definedName name="hora_hombre">400</definedName>
    <definedName name="hora_leader">1050</definedName>
    <definedName name="hora_lift">80</definedName>
    <definedName name="hora_pluma">1000</definedName>
    <definedName name="Hora_retro">700</definedName>
    <definedName name="hora_tecnico">600</definedName>
    <definedName name="hora_Topografo">500</definedName>
    <definedName name="Horas_de_Riego" localSheetId="0">#REF!</definedName>
    <definedName name="Horas_de_Riego">#REF!</definedName>
    <definedName name="hotmix" localSheetId="0">#REF!</definedName>
    <definedName name="hotmix">#REF!</definedName>
    <definedName name="HOURS_A" localSheetId="0">#REF!</definedName>
    <definedName name="HOURS_A">#REF!</definedName>
    <definedName name="HOURS_C" localSheetId="0">#REF!</definedName>
    <definedName name="HOURS_C">#REF!</definedName>
    <definedName name="Hours_Per_Month_For_Recitals" localSheetId="4">#REF!</definedName>
    <definedName name="Hours_Per_Month_For_Recitals" localSheetId="5">#REF!</definedName>
    <definedName name="Hours_Per_Month_For_Recitals" localSheetId="0">#REF!</definedName>
    <definedName name="Hours_Per_Month_For_Recitals">#REF!</definedName>
    <definedName name="Hours_Per_Month_For_Ss_And_FCs" localSheetId="4">#REF!</definedName>
    <definedName name="Hours_Per_Month_For_Ss_And_FCs" localSheetId="5">#REF!</definedName>
    <definedName name="Hours_Per_Month_For_Ss_And_FCs" localSheetId="0">#REF!</definedName>
    <definedName name="Hours_Per_Month_For_Ss_And_FCs">#REF!</definedName>
    <definedName name="HpGPMFth" localSheetId="4">IF(#REF!&lt;&gt;0,(ROUND(#REF!*#REF!/3364*1.33,0)),0)</definedName>
    <definedName name="HpGPMFth" localSheetId="5">IF(#REF!&lt;&gt;0,(ROUND(#REF!*#REF!/3364*1.33,0)),0)</definedName>
    <definedName name="HpGPMFth" localSheetId="0">IF(#REF!&lt;&gt;0,(ROUND(#REF!*#REF!/3364*1.33,0)),0)</definedName>
    <definedName name="HpGPMFth">IF(#REF!&lt;&gt;0,(ROUND(#REF!*#REF!/3364*1.33,0)),0)</definedName>
    <definedName name="Hr_Riego_Cult1" localSheetId="0">#REF!</definedName>
    <definedName name="Hr_Riego_Cult1">#REF!</definedName>
    <definedName name="Hr_Riego_Cult1_SP" localSheetId="0">#REF!</definedName>
    <definedName name="Hr_Riego_Cult1_SP">#REF!</definedName>
    <definedName name="Hr_Riego_Cult2" localSheetId="0">#REF!</definedName>
    <definedName name="Hr_Riego_Cult2">#REF!</definedName>
    <definedName name="Hr_Riego_Cult2_SP" localSheetId="0">#REF!</definedName>
    <definedName name="Hr_Riego_Cult2_SP">#REF!</definedName>
    <definedName name="Hr_Riego_Cult3" localSheetId="0">#REF!</definedName>
    <definedName name="Hr_Riego_Cult3">#REF!</definedName>
    <definedName name="Hr_Riego_Cult3_SP" localSheetId="0">#REF!</definedName>
    <definedName name="Hr_Riego_Cult3_SP">#REF!</definedName>
    <definedName name="Hr_Riego_Cult4" localSheetId="4">#REF!</definedName>
    <definedName name="Hr_Riego_Cult4" localSheetId="5">#REF!</definedName>
    <definedName name="Hr_Riego_Cult4" localSheetId="0">#REF!</definedName>
    <definedName name="Hr_Riego_Cult4">#REF!</definedName>
    <definedName name="Hr_Riego_Cult4_SP" localSheetId="4">#REF!</definedName>
    <definedName name="Hr_Riego_Cult4_SP" localSheetId="5">#REF!</definedName>
    <definedName name="Hr_Riego_Cult4_SP" localSheetId="0">#REF!</definedName>
    <definedName name="Hr_Riego_Cult4_SP">#REF!</definedName>
    <definedName name="Hr_Riego_Cult5" localSheetId="0">#REF!</definedName>
    <definedName name="Hr_Riego_Cult5">#REF!</definedName>
    <definedName name="Hr_Riego_Cult5_SP" localSheetId="0">#REF!</definedName>
    <definedName name="Hr_Riego_Cult5_SP">#REF!</definedName>
    <definedName name="HRSG_Boiler_Conc" localSheetId="4">#REF!</definedName>
    <definedName name="HRSG_Boiler_Conc" localSheetId="5">#REF!</definedName>
    <definedName name="HRSG_Boiler_Conc" localSheetId="0">#REF!</definedName>
    <definedName name="HRSG_Boiler_Conc">#REF!</definedName>
    <definedName name="HTML_1" localSheetId="4">#REF!</definedName>
    <definedName name="HTML_1" localSheetId="5">#REF!</definedName>
    <definedName name="HTML_1" localSheetId="0">#REF!</definedName>
    <definedName name="HTML_1">#REF!</definedName>
    <definedName name="HTML_10" localSheetId="4">#REF!</definedName>
    <definedName name="HTML_10" localSheetId="5">#REF!</definedName>
    <definedName name="HTML_10" localSheetId="0">#REF!</definedName>
    <definedName name="HTML_10">#REF!</definedName>
    <definedName name="HTML_11" localSheetId="4">#REF!</definedName>
    <definedName name="HTML_11" localSheetId="0">#REF!</definedName>
    <definedName name="HTML_11">#REF!</definedName>
    <definedName name="HTML_12" localSheetId="4">#REF!</definedName>
    <definedName name="HTML_12" localSheetId="0">#REF!</definedName>
    <definedName name="HTML_12">#REF!</definedName>
    <definedName name="HTML_13" localSheetId="4">#REF!</definedName>
    <definedName name="HTML_13" localSheetId="0">#REF!</definedName>
    <definedName name="HTML_13">#REF!</definedName>
    <definedName name="HTML_14" localSheetId="4">#REF!</definedName>
    <definedName name="HTML_14" localSheetId="0">#REF!</definedName>
    <definedName name="HTML_14">#REF!</definedName>
    <definedName name="HTML_15" localSheetId="4">#REF!</definedName>
    <definedName name="HTML_15" localSheetId="0">#REF!</definedName>
    <definedName name="HTML_15">#REF!</definedName>
    <definedName name="HTML_16" localSheetId="4">#REF!</definedName>
    <definedName name="HTML_16" localSheetId="0">#REF!</definedName>
    <definedName name="HTML_16">#REF!</definedName>
    <definedName name="HTML_17">#N/A</definedName>
    <definedName name="HTML_18">#N/A</definedName>
    <definedName name="HTML_19" localSheetId="4">#REF!</definedName>
    <definedName name="HTML_19" localSheetId="5">#REF!</definedName>
    <definedName name="HTML_19" localSheetId="0">#REF!</definedName>
    <definedName name="HTML_19">#REF!</definedName>
    <definedName name="HTML_2" localSheetId="4">#REF!</definedName>
    <definedName name="HTML_2" localSheetId="5">#REF!</definedName>
    <definedName name="HTML_2" localSheetId="0">#REF!</definedName>
    <definedName name="HTML_2">#REF!</definedName>
    <definedName name="HTML_20">#N/A</definedName>
    <definedName name="HTML_21">#N/A</definedName>
    <definedName name="HTML_22" localSheetId="4">#REF!</definedName>
    <definedName name="HTML_22" localSheetId="5">#REF!</definedName>
    <definedName name="HTML_22" localSheetId="0">#REF!</definedName>
    <definedName name="HTML_22">#REF!</definedName>
    <definedName name="HTML_23">#N/A</definedName>
    <definedName name="HTML_24">#N/A</definedName>
    <definedName name="HTML_25" localSheetId="4">#REF!</definedName>
    <definedName name="HTML_25" localSheetId="5">#REF!</definedName>
    <definedName name="HTML_25" localSheetId="0">#REF!</definedName>
    <definedName name="HTML_25">#REF!</definedName>
    <definedName name="HTML_26">#N/A</definedName>
    <definedName name="HTML_27">#N/A</definedName>
    <definedName name="HTML_28" localSheetId="4">#REF!</definedName>
    <definedName name="HTML_28" localSheetId="5">#REF!</definedName>
    <definedName name="HTML_28" localSheetId="0">#REF!</definedName>
    <definedName name="HTML_28">#REF!</definedName>
    <definedName name="HTML_29">#N/A</definedName>
    <definedName name="HTML_3" localSheetId="4">#REF!</definedName>
    <definedName name="HTML_3" localSheetId="5">#REF!</definedName>
    <definedName name="HTML_3" localSheetId="0">#REF!</definedName>
    <definedName name="HTML_3">#REF!</definedName>
    <definedName name="HTML_30">#N/A</definedName>
    <definedName name="HTML_31" localSheetId="4">#REF!</definedName>
    <definedName name="HTML_31" localSheetId="5">#REF!</definedName>
    <definedName name="HTML_31" localSheetId="0">#REF!</definedName>
    <definedName name="HTML_31">#REF!</definedName>
    <definedName name="HTML_32">#N/A</definedName>
    <definedName name="HTML_33">#N/A</definedName>
    <definedName name="HTML_34" localSheetId="4">#REF!</definedName>
    <definedName name="HTML_34" localSheetId="5">#REF!</definedName>
    <definedName name="HTML_34" localSheetId="0">#REF!</definedName>
    <definedName name="HTML_34">#REF!</definedName>
    <definedName name="HTML_4" localSheetId="4">#REF!</definedName>
    <definedName name="HTML_4" localSheetId="5">#REF!</definedName>
    <definedName name="HTML_4" localSheetId="0">#REF!</definedName>
    <definedName name="HTML_4">#REF!</definedName>
    <definedName name="HTML_5" localSheetId="4">#REF!</definedName>
    <definedName name="HTML_5" localSheetId="5">#REF!</definedName>
    <definedName name="HTML_5" localSheetId="0">#REF!</definedName>
    <definedName name="HTML_5">#REF!</definedName>
    <definedName name="HTML_6" localSheetId="4">#REF!</definedName>
    <definedName name="HTML_6" localSheetId="0">#REF!</definedName>
    <definedName name="HTML_6">#REF!</definedName>
    <definedName name="HTML_7" localSheetId="4">#REF!</definedName>
    <definedName name="HTML_7" localSheetId="0">#REF!</definedName>
    <definedName name="HTML_7">#REF!</definedName>
    <definedName name="HTML_8" localSheetId="4">#REF!</definedName>
    <definedName name="HTML_8" localSheetId="0">#REF!</definedName>
    <definedName name="HTML_8">#REF!</definedName>
    <definedName name="HTML_9" localSheetId="4">#REF!</definedName>
    <definedName name="HTML_9" localSheetId="0">#REF!</definedName>
    <definedName name="HTML_9">#REF!</definedName>
    <definedName name="HTML_all" localSheetId="4">#REF!</definedName>
    <definedName name="HTML_all" localSheetId="0">#REF!</definedName>
    <definedName name="HTML_all">#REF!</definedName>
    <definedName name="HTML_CodePage">1252</definedName>
    <definedName name="HTML_Cont" localSheetId="4" hidden="1">{"'JUNIO'!$B$9:$M$54"}</definedName>
    <definedName name="HTML_Cont" localSheetId="5" hidden="1">{"'JUNIO'!$B$9:$M$54"}</definedName>
    <definedName name="HTML_Cont" localSheetId="0" hidden="1">{"'JUNIO'!$B$9:$M$54"}</definedName>
    <definedName name="HTML_Cont" hidden="1">{"'JUNIO'!$B$9:$M$54"}</definedName>
    <definedName name="HTML_Control" localSheetId="4" hidden="1">{"'Feuil1'!$A$1:$Y$50"}</definedName>
    <definedName name="HTML_Control" localSheetId="6">{"'Appendix 3 Currency'!$A$1:$U$96"}</definedName>
    <definedName name="HTML_Control" localSheetId="5">{"'Appendix 3 Currency'!$A$1:$U$96"}</definedName>
    <definedName name="HTML_Control" localSheetId="0">{"'Appendix 3 Currency'!$A$1:$U$96"}</definedName>
    <definedName name="HTML_Control">{"'Appendix 3 Currency'!$A$1:$U$96"}</definedName>
    <definedName name="HTML_Description">""</definedName>
    <definedName name="HTML_Email">""</definedName>
    <definedName name="HTML_Header" localSheetId="4" hidden="1">"Feuil1"</definedName>
    <definedName name="HTML_Header">"Appendix 3 Currency"</definedName>
    <definedName name="HTML_LastUpdate" localSheetId="4" hidden="1">"12/02/2003"</definedName>
    <definedName name="HTML_LastUpdate">"2/2/99"</definedName>
    <definedName name="HTML_LineAfter">FALSE</definedName>
    <definedName name="HTML_LineBefore">FALSE</definedName>
    <definedName name="HTML_Name" localSheetId="4" hidden="1">"CGC"</definedName>
    <definedName name="HTML_Name">""</definedName>
    <definedName name="HTML_OBDlg2">TRUE</definedName>
    <definedName name="HTML_OBDlg4">TRUE</definedName>
    <definedName name="HTML_OS">0</definedName>
    <definedName name="HTML_PathFile" localSheetId="4" hidden="1">"D:\B Martin\MonHTML.htm"</definedName>
    <definedName name="HTML_PathFile">"Q:\zteve\html\Files\cashflow.htm"</definedName>
    <definedName name="HTML_tables" localSheetId="4">#REF!</definedName>
    <definedName name="HTML_tables" localSheetId="5">#REF!</definedName>
    <definedName name="HTML_tables" localSheetId="0">#REF!</definedName>
    <definedName name="HTML_tables">#REF!</definedName>
    <definedName name="HTML_Title" localSheetId="4" hidden="1">"sch_proj_12mw"</definedName>
    <definedName name="HTML_Title">"Cash Flow Form"</definedName>
    <definedName name="HTR_COUNT" localSheetId="4">#REF!</definedName>
    <definedName name="HTR_COUNT" localSheetId="5">#REF!</definedName>
    <definedName name="HTR_COUNT" localSheetId="0">#REF!</definedName>
    <definedName name="HTR_COUNT">#REF!</definedName>
    <definedName name="humus_do_plantowania_m3" localSheetId="4">#REF!</definedName>
    <definedName name="humus_do_plantowania_m3" localSheetId="5">#REF!</definedName>
    <definedName name="humus_do_plantowania_m3" localSheetId="0">#REF!</definedName>
    <definedName name="humus_do_plantowania_m3">#REF!</definedName>
    <definedName name="humus_nadmiar_do_wywiezienia" localSheetId="4">#REF!</definedName>
    <definedName name="humus_nadmiar_do_wywiezienia" localSheetId="5">#REF!</definedName>
    <definedName name="humus_nadmiar_do_wywiezienia" localSheetId="0">#REF!</definedName>
    <definedName name="humus_nadmiar_do_wywiezienia">#REF!</definedName>
    <definedName name="humus_zdjęcie_m2" localSheetId="4">#REF!</definedName>
    <definedName name="humus_zdjęcie_m2" localSheetId="0">#REF!</definedName>
    <definedName name="humus_zdjęcie_m2">#REF!</definedName>
    <definedName name="humus_zdjęcie_m3" localSheetId="4">#REF!</definedName>
    <definedName name="humus_zdjęcie_m3" localSheetId="0">#REF!</definedName>
    <definedName name="humus_zdjęcie_m3">#REF!</definedName>
    <definedName name="Hydroizolacja">100</definedName>
    <definedName name="I" localSheetId="4">#REF!</definedName>
    <definedName name="I" localSheetId="5">#REF!</definedName>
    <definedName name="I" localSheetId="0">#REF!</definedName>
    <definedName name="I">#REF!</definedName>
    <definedName name="IBT" localSheetId="4">#REF!</definedName>
    <definedName name="IBT" localSheetId="5">#REF!</definedName>
    <definedName name="IBT" localSheetId="0">#REF!</definedName>
    <definedName name="IBT">#REF!</definedName>
    <definedName name="IC" localSheetId="4">#REF!</definedName>
    <definedName name="IC" localSheetId="5">#REF!</definedName>
    <definedName name="IC" localSheetId="0">#REF!</definedName>
    <definedName name="IC">#REF!</definedName>
    <definedName name="ie" localSheetId="4">#REF!</definedName>
    <definedName name="ie" localSheetId="5">#REF!</definedName>
    <definedName name="ie" localSheetId="0">#REF!</definedName>
    <definedName name="ie">#REF!</definedName>
    <definedName name="IFMA" localSheetId="4">#REF!</definedName>
    <definedName name="IFMA" localSheetId="0">#REF!</definedName>
    <definedName name="IFMA">#REF!</definedName>
    <definedName name="IFT" localSheetId="4">#REF!</definedName>
    <definedName name="IFT" localSheetId="0">#REF!</definedName>
    <definedName name="IFT">#REF!</definedName>
    <definedName name="II" localSheetId="4">#REF!</definedName>
    <definedName name="II" localSheetId="5">#REF!</definedName>
    <definedName name="II" localSheetId="0">#REF!</definedName>
    <definedName name="II">#REF!</definedName>
    <definedName name="III" localSheetId="4">#REF!</definedName>
    <definedName name="III" localSheetId="5">#REF!</definedName>
    <definedName name="III" localSheetId="0">#REF!</definedName>
    <definedName name="III">#REF!</definedName>
    <definedName name="iiiiiiiiiiiiiii" localSheetId="4">#REF!</definedName>
    <definedName name="iiiiiiiiiiiiiii" localSheetId="5">#REF!</definedName>
    <definedName name="iiiiiiiiiiiiiii" localSheetId="0">#REF!</definedName>
    <definedName name="iiiiiiiiiiiiiii">#REF!</definedName>
    <definedName name="il_zjazdów_przez_chodnik" localSheetId="4">#REF!</definedName>
    <definedName name="il_zjazdów_przez_chodnik" localSheetId="5">#REF!</definedName>
    <definedName name="il_zjazdów_przez_chodnik" localSheetId="0">#REF!</definedName>
    <definedName name="il_zjazdów_przez_chodnik">#REF!</definedName>
    <definedName name="Ilość1" localSheetId="4">#REF!</definedName>
    <definedName name="Ilość1" localSheetId="5">#REF!</definedName>
    <definedName name="Ilość1" localSheetId="0">#REF!</definedName>
    <definedName name="Ilość1">#REF!</definedName>
    <definedName name="Ilość2" localSheetId="4">#REF!</definedName>
    <definedName name="Ilość2" localSheetId="0">#REF!</definedName>
    <definedName name="Ilość2">#REF!</definedName>
    <definedName name="Ilość3" localSheetId="4">#REF!</definedName>
    <definedName name="Ilość3" localSheetId="0">#REF!</definedName>
    <definedName name="Ilość3">#REF!</definedName>
    <definedName name="imorsión5" localSheetId="4">#REF!</definedName>
    <definedName name="imorsión5" localSheetId="0">#REF!</definedName>
    <definedName name="imorsión5">#REF!</definedName>
    <definedName name="imp" localSheetId="5">#REF!</definedName>
    <definedName name="imp" localSheetId="0">#REF!</definedName>
    <definedName name="imp">#REF!</definedName>
    <definedName name="impianti" localSheetId="5">#REF!</definedName>
    <definedName name="impianti" localSheetId="0">#REF!</definedName>
    <definedName name="impianti">#REF!</definedName>
    <definedName name="impianti2" localSheetId="5">#REF!</definedName>
    <definedName name="impianti2" localSheetId="0">#REF!</definedName>
    <definedName name="impianti2">#REF!</definedName>
    <definedName name="IMPIANTI3" localSheetId="5">#REF!</definedName>
    <definedName name="IMPIANTI3" localSheetId="0">#REF!</definedName>
    <definedName name="IMPIANTI3">#REF!</definedName>
    <definedName name="Impiegati" localSheetId="4">#REF!</definedName>
    <definedName name="Impiegati" localSheetId="5">#REF!</definedName>
    <definedName name="Impiegati" localSheetId="0">#REF!</definedName>
    <definedName name="Impiegati">#REF!</definedName>
    <definedName name="Impiegati1997" localSheetId="0">#REF!</definedName>
    <definedName name="Impiegati1997">#REF!</definedName>
    <definedName name="impresion" localSheetId="4">#REF!</definedName>
    <definedName name="impresion" localSheetId="5">#REF!</definedName>
    <definedName name="impresion" localSheetId="0">#REF!</definedName>
    <definedName name="impresion">#REF!</definedName>
    <definedName name="Impresión" localSheetId="4">#REF!</definedName>
    <definedName name="Impresión" localSheetId="5">#REF!</definedName>
    <definedName name="Impresión" localSheetId="0">#REF!</definedName>
    <definedName name="Impresión">#REF!</definedName>
    <definedName name="impresión1" localSheetId="4">#REF!</definedName>
    <definedName name="impresión1" localSheetId="5">#REF!</definedName>
    <definedName name="impresión1" localSheetId="0">#REF!</definedName>
    <definedName name="impresión1">#REF!</definedName>
    <definedName name="Impresión2" localSheetId="4">#REF!</definedName>
    <definedName name="Impresión2" localSheetId="0">#REF!</definedName>
    <definedName name="Impresión2">#REF!</definedName>
    <definedName name="Impresión3" localSheetId="4">#REF!</definedName>
    <definedName name="Impresión3" localSheetId="0">#REF!</definedName>
    <definedName name="Impresión3">#REF!</definedName>
    <definedName name="Impresión4" localSheetId="4">#REF!</definedName>
    <definedName name="Impresión4" localSheetId="0">#REF!</definedName>
    <definedName name="Impresión4">#REF!</definedName>
    <definedName name="Impuesto" localSheetId="0">#REF!</definedName>
    <definedName name="Impuesto">#REF!</definedName>
    <definedName name="IMPUTACION" localSheetId="0">#REF!</definedName>
    <definedName name="IMPUTACION">#REF!</definedName>
    <definedName name="IMPUTACIONES" localSheetId="0">#REF!</definedName>
    <definedName name="IMPUTACIONES">#REF!</definedName>
    <definedName name="imss" localSheetId="4">#REF!</definedName>
    <definedName name="imss" localSheetId="5">#REF!</definedName>
    <definedName name="imss" localSheetId="0">#REF!</definedName>
    <definedName name="imss">#REF!</definedName>
    <definedName name="Include_Preconstruction_Sunk_Costs" localSheetId="0">#REF!</definedName>
    <definedName name="Include_Preconstruction_Sunk_Costs">#REF!</definedName>
    <definedName name="Included" localSheetId="4">#REF!</definedName>
    <definedName name="Included" localSheetId="5">#REF!</definedName>
    <definedName name="Included" localSheetId="0">#REF!</definedName>
    <definedName name="Included">#REF!</definedName>
    <definedName name="INCN20121TP" localSheetId="4">#REF!</definedName>
    <definedName name="INCN20121TP" localSheetId="5">#REF!</definedName>
    <definedName name="INCN20121TP" localSheetId="0">#REF!</definedName>
    <definedName name="INCN20121TP">#REF!</definedName>
    <definedName name="INCN20121TR" localSheetId="4">#REF!</definedName>
    <definedName name="INCN20121TR" localSheetId="5">#REF!</definedName>
    <definedName name="INCN20121TR" localSheetId="0">#REF!</definedName>
    <definedName name="INCN20121TR">#REF!</definedName>
    <definedName name="INCN2012V0" localSheetId="4">#REF!</definedName>
    <definedName name="INCN2012V0" localSheetId="5">#REF!</definedName>
    <definedName name="INCN2012V0" localSheetId="0">#REF!</definedName>
    <definedName name="INCN2012V0">#REF!</definedName>
    <definedName name="INCN2012V1" localSheetId="4">#REF!</definedName>
    <definedName name="INCN2012V1" localSheetId="0">#REF!</definedName>
    <definedName name="INCN2012V1">#REF!</definedName>
    <definedName name="INCN2012V1NC" localSheetId="4">#REF!</definedName>
    <definedName name="INCN2012V1NC" localSheetId="0">#REF!</definedName>
    <definedName name="INCN2012V1NC">#REF!</definedName>
    <definedName name="INCN2012V1OC" localSheetId="4">#REF!</definedName>
    <definedName name="INCN2012V1OC" localSheetId="0">#REF!</definedName>
    <definedName name="INCN2012V1OC">#REF!</definedName>
    <definedName name="INCN3OS20121TP" localSheetId="4">#REF!</definedName>
    <definedName name="INCN3OS20121TP" localSheetId="0">#REF!</definedName>
    <definedName name="INCN3OS20121TP">#REF!</definedName>
    <definedName name="INCN3OS20121TR" localSheetId="4">#REF!</definedName>
    <definedName name="INCN3OS20121TR" localSheetId="0">#REF!</definedName>
    <definedName name="INCN3OS20121TR">#REF!</definedName>
    <definedName name="INCN3OS2012V0" localSheetId="4">#REF!</definedName>
    <definedName name="INCN3OS2012V0" localSheetId="0">#REF!</definedName>
    <definedName name="INCN3OS2012V0">#REF!</definedName>
    <definedName name="INCN3OS2012V1" localSheetId="4">#REF!</definedName>
    <definedName name="INCN3OS2012V1" localSheetId="0">#REF!</definedName>
    <definedName name="INCN3OS2012V1">#REF!</definedName>
    <definedName name="INCN3OS2012V1NC" localSheetId="4">#REF!</definedName>
    <definedName name="INCN3OS2012V1NC" localSheetId="0">#REF!</definedName>
    <definedName name="INCN3OS2012V1NC">#REF!</definedName>
    <definedName name="INCN3OS2012V1OC" localSheetId="4">#REF!</definedName>
    <definedName name="INCN3OS2012V1OC" localSheetId="0">#REF!</definedName>
    <definedName name="INCN3OS2012V1OC">#REF!</definedName>
    <definedName name="INCN3OSEC2011" localSheetId="0">#REF!</definedName>
    <definedName name="INCN3OSEC2011">#REF!</definedName>
    <definedName name="INCN3OSV02011" localSheetId="0">#REF!</definedName>
    <definedName name="INCN3OSV02011">#REF!</definedName>
    <definedName name="INCNIC20121TP" localSheetId="4">#REF!</definedName>
    <definedName name="INCNIC20121TP" localSheetId="5">#REF!</definedName>
    <definedName name="INCNIC20121TP" localSheetId="0">#REF!</definedName>
    <definedName name="INCNIC20121TP">#REF!</definedName>
    <definedName name="INCNIC20121TR" localSheetId="4">#REF!</definedName>
    <definedName name="INCNIC20121TR" localSheetId="5">#REF!</definedName>
    <definedName name="INCNIC20121TR" localSheetId="0">#REF!</definedName>
    <definedName name="INCNIC20121TR">#REF!</definedName>
    <definedName name="INCNIC2012V0" localSheetId="4">#REF!</definedName>
    <definedName name="INCNIC2012V0" localSheetId="5">#REF!</definedName>
    <definedName name="INCNIC2012V0" localSheetId="0">#REF!</definedName>
    <definedName name="INCNIC2012V0">#REF!</definedName>
    <definedName name="INCNIC2012V1" localSheetId="4">#REF!</definedName>
    <definedName name="INCNIC2012V1" localSheetId="0">#REF!</definedName>
    <definedName name="INCNIC2012V1">#REF!</definedName>
    <definedName name="INCNIC2012V1NC" localSheetId="4">#REF!</definedName>
    <definedName name="INCNIC2012V1NC" localSheetId="0">#REF!</definedName>
    <definedName name="INCNIC2012V1NC">#REF!</definedName>
    <definedName name="INCNIC2012V1OC" localSheetId="4">#REF!</definedName>
    <definedName name="INCNIC2012V1OC" localSheetId="0">#REF!</definedName>
    <definedName name="INCNIC2012V1OC">#REF!</definedName>
    <definedName name="INCNICEC2011" localSheetId="0">#REF!</definedName>
    <definedName name="INCNICEC2011">#REF!</definedName>
    <definedName name="INCNICV02011" localSheetId="0">#REF!</definedName>
    <definedName name="INCNICV02011">#REF!</definedName>
    <definedName name="IND_A_1" localSheetId="4">#REF!</definedName>
    <definedName name="IND_A_1" localSheetId="5">#REF!</definedName>
    <definedName name="IND_A_1" localSheetId="0">#REF!</definedName>
    <definedName name="IND_A_1">#REF!</definedName>
    <definedName name="IND_A_12" localSheetId="4">#REF!</definedName>
    <definedName name="IND_A_12" localSheetId="5">#REF!</definedName>
    <definedName name="IND_A_12" localSheetId="0">#REF!</definedName>
    <definedName name="IND_A_12">#REF!</definedName>
    <definedName name="IND_A_2" localSheetId="4">#REF!</definedName>
    <definedName name="IND_A_2" localSheetId="5">#REF!</definedName>
    <definedName name="IND_A_2" localSheetId="0">#REF!</definedName>
    <definedName name="IND_A_2">#REF!</definedName>
    <definedName name="IND_A_22" localSheetId="4">#REF!</definedName>
    <definedName name="IND_A_22" localSheetId="5">#REF!</definedName>
    <definedName name="IND_A_22" localSheetId="0">#REF!</definedName>
    <definedName name="IND_A_22">#REF!</definedName>
    <definedName name="Ind_cant" localSheetId="4">#REF!</definedName>
    <definedName name="Ind_cant" localSheetId="5">#REF!</definedName>
    <definedName name="Ind_cant" localSheetId="0">#REF!</definedName>
    <definedName name="Ind_cant">#REF!</definedName>
    <definedName name="Ind_Imp" localSheetId="4">#REF!</definedName>
    <definedName name="Ind_Imp" localSheetId="5">#REF!</definedName>
    <definedName name="Ind_Imp" localSheetId="0">#REF!</definedName>
    <definedName name="Ind_Imp">#REF!</definedName>
    <definedName name="IND20121TP" localSheetId="4">#REF!</definedName>
    <definedName name="IND20121TP" localSheetId="5">#REF!</definedName>
    <definedName name="IND20121TP" localSheetId="0">#REF!</definedName>
    <definedName name="IND20121TP">#REF!</definedName>
    <definedName name="IND20121TR" localSheetId="4">#REF!</definedName>
    <definedName name="IND20121TR" localSheetId="0">#REF!</definedName>
    <definedName name="IND20121TR">#REF!</definedName>
    <definedName name="IND2012V0" localSheetId="4">#REF!</definedName>
    <definedName name="IND2012V0" localSheetId="0">#REF!</definedName>
    <definedName name="IND2012V0">#REF!</definedName>
    <definedName name="IND2012V1" localSheetId="4">#REF!</definedName>
    <definedName name="IND2012V1" localSheetId="0">#REF!</definedName>
    <definedName name="IND2012V1">#REF!</definedName>
    <definedName name="IND2012V1NC" localSheetId="4">#REF!</definedName>
    <definedName name="IND2012V1NC" localSheetId="0">#REF!</definedName>
    <definedName name="IND2012V1NC">#REF!</definedName>
    <definedName name="IND2012V1OC" localSheetId="4">#REF!</definedName>
    <definedName name="IND2012V1OC" localSheetId="0">#REF!</definedName>
    <definedName name="IND2012V1OC">#REF!</definedName>
    <definedName name="INDEM20121TP" localSheetId="4">#REF!</definedName>
    <definedName name="INDEM20121TP" localSheetId="0">#REF!</definedName>
    <definedName name="INDEM20121TP">#REF!</definedName>
    <definedName name="INDEM20121TR" localSheetId="4">#REF!</definedName>
    <definedName name="INDEM20121TR" localSheetId="0">#REF!</definedName>
    <definedName name="INDEM20121TR">#REF!</definedName>
    <definedName name="INDEM2012V0" localSheetId="4">#REF!</definedName>
    <definedName name="INDEM2012V0" localSheetId="0">#REF!</definedName>
    <definedName name="INDEM2012V0">#REF!</definedName>
    <definedName name="INDEM2012V1" localSheetId="4">#REF!</definedName>
    <definedName name="INDEM2012V1" localSheetId="0">#REF!</definedName>
    <definedName name="INDEM2012V1">#REF!</definedName>
    <definedName name="INDEM2012V1NC" localSheetId="4">#REF!</definedName>
    <definedName name="INDEM2012V1NC" localSheetId="0">#REF!</definedName>
    <definedName name="INDEM2012V1NC">#REF!</definedName>
    <definedName name="INDEM2012V1OC" localSheetId="4">#REF!</definedName>
    <definedName name="INDEM2012V1OC" localSheetId="0">#REF!</definedName>
    <definedName name="INDEM2012V1OC">#REF!</definedName>
    <definedName name="INDEX" localSheetId="4">#REF!</definedName>
    <definedName name="INDEX" localSheetId="0">#REF!</definedName>
    <definedName name="INDEX">#REF!</definedName>
    <definedName name="INDEX_1" localSheetId="4">#REF!</definedName>
    <definedName name="INDEX_1" localSheetId="0">#REF!</definedName>
    <definedName name="INDEX_1">#REF!</definedName>
    <definedName name="INDEX_2" localSheetId="4">#REF!</definedName>
    <definedName name="INDEX_2" localSheetId="0">#REF!</definedName>
    <definedName name="INDEX_2">#REF!</definedName>
    <definedName name="ÍNDICES" localSheetId="4">#REF!</definedName>
    <definedName name="ÍNDICES" localSheetId="0">#REF!</definedName>
    <definedName name="ÍNDICES">#REF!</definedName>
    <definedName name="INDIRECT_CITY" localSheetId="4">#REF!</definedName>
    <definedName name="INDIRECT_CITY" localSheetId="0">#REF!</definedName>
    <definedName name="INDIRECT_CITY">#REF!</definedName>
    <definedName name="INDIRECT_ESC" localSheetId="4">#REF!</definedName>
    <definedName name="INDIRECT_ESC" localSheetId="0">#REF!</definedName>
    <definedName name="INDIRECT_ESC">#REF!</definedName>
    <definedName name="INDIRECT_MATRL_UNIT_COST" localSheetId="4">#REF!,#REF!,#REF!,#REF!,#REF!,#REF!,#REF!</definedName>
    <definedName name="INDIRECT_MATRL_UNIT_COST" localSheetId="5">#REF!,#REF!,#REF!,#REF!,#REF!,#REF!,#REF!</definedName>
    <definedName name="INDIRECT_MATRL_UNIT_COST" localSheetId="0">#REF!,#REF!,#REF!,#REF!,#REF!,#REF!,#REF!</definedName>
    <definedName name="INDIRECT_MATRL_UNIT_COST">#REF!,#REF!,#REF!,#REF!,#REF!,#REF!,#REF!</definedName>
    <definedName name="INDIRECT_OLD_CITY" localSheetId="4">#REF!</definedName>
    <definedName name="INDIRECT_OLD_CITY" localSheetId="5">#REF!</definedName>
    <definedName name="INDIRECT_OLD_CITY" localSheetId="0">#REF!</definedName>
    <definedName name="INDIRECT_OLD_CITY">#REF!</definedName>
    <definedName name="INDIRECT_OLD_ESC" localSheetId="4">#REF!</definedName>
    <definedName name="INDIRECT_OLD_ESC" localSheetId="5">#REF!</definedName>
    <definedName name="INDIRECT_OLD_ESC" localSheetId="0">#REF!</definedName>
    <definedName name="INDIRECT_OLD_ESC">#REF!</definedName>
    <definedName name="INDIRECT_OLD_PROD" localSheetId="4">#REF!</definedName>
    <definedName name="INDIRECT_OLD_PROD" localSheetId="5">#REF!</definedName>
    <definedName name="INDIRECT_OLD_PROD" localSheetId="0">#REF!</definedName>
    <definedName name="INDIRECT_OLD_PROD">#REF!</definedName>
    <definedName name="INDIRECT_OLD_WAGE" localSheetId="4">#REF!</definedName>
    <definedName name="INDIRECT_OLD_WAGE" localSheetId="0">#REF!</definedName>
    <definedName name="INDIRECT_OLD_WAGE">#REF!</definedName>
    <definedName name="INDIRECT_PCT_LABOR_COST" localSheetId="0">#REF!,#REF!,#REF!,#REF!,#REF!,#REF!,#REF!</definedName>
    <definedName name="INDIRECT_PCT_LABOR_COST">#REF!,#REF!,#REF!,#REF!,#REF!,#REF!,#REF!</definedName>
    <definedName name="INDIRECT_PROD" localSheetId="4">#REF!</definedName>
    <definedName name="INDIRECT_PROD" localSheetId="5">#REF!</definedName>
    <definedName name="INDIRECT_PROD" localSheetId="0">#REF!</definedName>
    <definedName name="INDIRECT_PROD">#REF!</definedName>
    <definedName name="INDIRECT_WAGE" localSheetId="4">#REF!</definedName>
    <definedName name="INDIRECT_WAGE" localSheetId="5">#REF!</definedName>
    <definedName name="INDIRECT_WAGE" localSheetId="0">#REF!</definedName>
    <definedName name="INDIRECT_WAGE">#REF!</definedName>
    <definedName name="Indirecto" localSheetId="4">#REF!</definedName>
    <definedName name="Indirecto" localSheetId="5">#REF!</definedName>
    <definedName name="Indirecto" localSheetId="0">#REF!</definedName>
    <definedName name="Indirecto">#REF!</definedName>
    <definedName name="INDOOR_COND" localSheetId="4">#REF!</definedName>
    <definedName name="INDOOR_COND" localSheetId="0">#REF!</definedName>
    <definedName name="INDOOR_COND">#REF!</definedName>
    <definedName name="industry" localSheetId="4">#REF!</definedName>
    <definedName name="industry" localSheetId="0">#REF!</definedName>
    <definedName name="industry">#REF!</definedName>
    <definedName name="infonavit" localSheetId="4">#REF!</definedName>
    <definedName name="infonavit" localSheetId="0">#REF!</definedName>
    <definedName name="infonavit">#REF!</definedName>
    <definedName name="Informacja" localSheetId="4">#REF!</definedName>
    <definedName name="Informacja" localSheetId="5">#REF!</definedName>
    <definedName name="Informacja" localSheetId="0">#REF!</definedName>
    <definedName name="Informacja">#REF!</definedName>
    <definedName name="INFORMESEMANAL" localSheetId="4">#REF!</definedName>
    <definedName name="INFORMESEMANAL" localSheetId="5">#REF!</definedName>
    <definedName name="INFORMESEMANAL" localSheetId="0">#REF!</definedName>
    <definedName name="INFORMESEMANAL">#REF!</definedName>
    <definedName name="ING.CIVIL" localSheetId="4">#REF!</definedName>
    <definedName name="ING.CIVIL" localSheetId="0">#REF!</definedName>
    <definedName name="ING.CIVIL">#REF!</definedName>
    <definedName name="ING.CIVIL.DRENAJ" localSheetId="4">#REF!</definedName>
    <definedName name="ING.CIVIL.DRENAJ" localSheetId="0">#REF!</definedName>
    <definedName name="ING.CIVIL.DRENAJ">#REF!</definedName>
    <definedName name="ING.ESP.VIAS.TERRES" localSheetId="4">#REF!</definedName>
    <definedName name="ING.ESP.VIAS.TERRES" localSheetId="0">#REF!</definedName>
    <definedName name="ING.ESP.VIAS.TERRES">#REF!</definedName>
    <definedName name="ING.GEOLOGO" localSheetId="4">#REF!</definedName>
    <definedName name="ING.GEOLOGO" localSheetId="0">#REF!</definedName>
    <definedName name="ING.GEOLOGO">#REF!</definedName>
    <definedName name="ING.GEOTECNISTA" localSheetId="4">#REF!</definedName>
    <definedName name="ING.GEOTECNISTA" localSheetId="0">#REF!</definedName>
    <definedName name="ING.GEOTECNISTA">#REF!</definedName>
    <definedName name="ING.TOPOGRAFO" localSheetId="4">#REF!</definedName>
    <definedName name="ING.TOPOGRAFO" localSheetId="0">#REF!</definedName>
    <definedName name="ING.TOPOGRAFO">#REF!</definedName>
    <definedName name="INGRESO" localSheetId="4">#REF!</definedName>
    <definedName name="INGRESO" localSheetId="5">#REF!</definedName>
    <definedName name="INGRESO" localSheetId="0">#REF!</definedName>
    <definedName name="INGRESO">#REF!</definedName>
    <definedName name="Ingresos" localSheetId="4">#REF!</definedName>
    <definedName name="Ingresos" localSheetId="5">#REF!</definedName>
    <definedName name="Ingresos" localSheetId="0">#REF!</definedName>
    <definedName name="Ingresos">#REF!</definedName>
    <definedName name="INGRESOS_TOT" localSheetId="4">#REF!</definedName>
    <definedName name="INGRESOS_TOT" localSheetId="5">#REF!</definedName>
    <definedName name="INGRESOS_TOT" localSheetId="0">#REF!</definedName>
    <definedName name="INGRESOS_TOT">#REF!</definedName>
    <definedName name="Inicio" localSheetId="0">#REF!</definedName>
    <definedName name="Inicio">#REF!</definedName>
    <definedName name="Iniekcja_z_renowacją">400</definedName>
    <definedName name="initialWorkingCapital">0</definedName>
    <definedName name="INNE">960/12</definedName>
    <definedName name="INNEOPLATY">480/12</definedName>
    <definedName name="input_index" localSheetId="4">#REF!</definedName>
    <definedName name="input_index" localSheetId="5">#REF!</definedName>
    <definedName name="input_index" localSheetId="0">#REF!</definedName>
    <definedName name="input_index">#REF!</definedName>
    <definedName name="InputData" localSheetId="0">#REF!,#REF!,#REF!,#REF!,#REF!,#REF!,#REF!</definedName>
    <definedName name="InputData">#REF!,#REF!,#REF!,#REF!,#REF!,#REF!,#REF!</definedName>
    <definedName name="Inst." localSheetId="4">#REF!</definedName>
    <definedName name="Inst." localSheetId="5">#REF!</definedName>
    <definedName name="Inst." localSheetId="0">#REF!</definedName>
    <definedName name="Inst.">#REF!</definedName>
    <definedName name="INST60_OLD_CITY" localSheetId="4">#REF!</definedName>
    <definedName name="INST60_OLD_CITY" localSheetId="5">#REF!</definedName>
    <definedName name="INST60_OLD_CITY" localSheetId="0">#REF!</definedName>
    <definedName name="INST60_OLD_CITY">#REF!</definedName>
    <definedName name="INST60_OLD_ESC" localSheetId="4">#REF!</definedName>
    <definedName name="INST60_OLD_ESC" localSheetId="5">#REF!</definedName>
    <definedName name="INST60_OLD_ESC" localSheetId="0">#REF!</definedName>
    <definedName name="INST60_OLD_ESC">#REF!</definedName>
    <definedName name="INST60_OLD_PROD" localSheetId="4">#REF!</definedName>
    <definedName name="INST60_OLD_PROD" localSheetId="0">#REF!</definedName>
    <definedName name="INST60_OLD_PROD">#REF!</definedName>
    <definedName name="INST60_OLD_WAGE" localSheetId="4">#REF!</definedName>
    <definedName name="INST60_OLD_WAGE" localSheetId="0">#REF!</definedName>
    <definedName name="INST60_OLD_WAGE">#REF!</definedName>
    <definedName name="INSTR" localSheetId="4">#REF!</definedName>
    <definedName name="INSTR" localSheetId="0">#REF!</definedName>
    <definedName name="INSTR">#REF!</definedName>
    <definedName name="INSTR_REMARKS" localSheetId="4">#REF!</definedName>
    <definedName name="INSTR_REMARKS" localSheetId="0">#REF!</definedName>
    <definedName name="INSTR_REMARKS">#REF!</definedName>
    <definedName name="INSTR_STANDS" localSheetId="4">#REF!</definedName>
    <definedName name="INSTR_STANDS" localSheetId="0">#REF!</definedName>
    <definedName name="INSTR_STANDS">#REF!</definedName>
    <definedName name="INSTR_TUBING" localSheetId="4">#REF!</definedName>
    <definedName name="INSTR_TUBING" localSheetId="0">#REF!</definedName>
    <definedName name="INSTR_TUBING">#REF!</definedName>
    <definedName name="INSTR60_CITY" localSheetId="4">#REF!</definedName>
    <definedName name="INSTR60_CITY" localSheetId="0">#REF!</definedName>
    <definedName name="INSTR60_CITY">#REF!</definedName>
    <definedName name="INSTR60_ESC" localSheetId="4">#REF!</definedName>
    <definedName name="INSTR60_ESC" localSheetId="0">#REF!</definedName>
    <definedName name="INSTR60_ESC">#REF!</definedName>
    <definedName name="INSTR60_HRS" localSheetId="4">#REF!</definedName>
    <definedName name="INSTR60_HRS" localSheetId="0">#REF!</definedName>
    <definedName name="INSTR60_HRS">#REF!</definedName>
    <definedName name="INSTR60_LAB" localSheetId="4">#REF!</definedName>
    <definedName name="INSTR60_LAB" localSheetId="0">#REF!</definedName>
    <definedName name="INSTR60_LAB">#REF!</definedName>
    <definedName name="INSTR60_MAT" localSheetId="4">#REF!</definedName>
    <definedName name="INSTR60_MAT" localSheetId="0">#REF!</definedName>
    <definedName name="INSTR60_MAT">#REF!</definedName>
    <definedName name="INSTR60_PROD" localSheetId="4">#REF!</definedName>
    <definedName name="INSTR60_PROD" localSheetId="0">#REF!</definedName>
    <definedName name="INSTR60_PROD">#REF!</definedName>
    <definedName name="INSTR60_SC" localSheetId="4">#REF!</definedName>
    <definedName name="INSTR60_SC" localSheetId="0">#REF!</definedName>
    <definedName name="INSTR60_SC">#REF!</definedName>
    <definedName name="INSTR60_SCHRS" localSheetId="4">#REF!</definedName>
    <definedName name="INSTR60_SCHRS" localSheetId="0">#REF!</definedName>
    <definedName name="INSTR60_SCHRS">#REF!</definedName>
    <definedName name="INSTR60_TOT" localSheetId="4">#REF!</definedName>
    <definedName name="INSTR60_TOT" localSheetId="0">#REF!</definedName>
    <definedName name="INSTR60_TOT">#REF!</definedName>
    <definedName name="INSTR60_WAGE" localSheetId="4">#REF!</definedName>
    <definedName name="INSTR60_WAGE" localSheetId="0">#REF!</definedName>
    <definedName name="INSTR60_WAGE">#REF!</definedName>
    <definedName name="INSULATION" localSheetId="4">#REF!</definedName>
    <definedName name="INSULATION" localSheetId="0">#REF!</definedName>
    <definedName name="INSULATION">#REF!</definedName>
    <definedName name="Insurance" localSheetId="0">#REF!</definedName>
    <definedName name="Insurance">#REF!</definedName>
    <definedName name="Int" localSheetId="4">#REF!</definedName>
    <definedName name="Int" localSheetId="5">#REF!</definedName>
    <definedName name="Int" localSheetId="0">#REF!</definedName>
    <definedName name="Int">#REF!</definedName>
    <definedName name="INTERES" localSheetId="0">#REF!</definedName>
    <definedName name="INTERES">#REF!</definedName>
    <definedName name="Interés" localSheetId="0">#REF!</definedName>
    <definedName name="Interés">#REF!</definedName>
    <definedName name="Interest_Rate" localSheetId="4">#REF!</definedName>
    <definedName name="Interest_Rate" localSheetId="5">#REF!</definedName>
    <definedName name="Interest_Rate" localSheetId="0">#REF!</definedName>
    <definedName name="Interest_Rate">#REF!</definedName>
    <definedName name="interpower" localSheetId="4">#REF!</definedName>
    <definedName name="interpower" localSheetId="5">#REF!</definedName>
    <definedName name="interpower" localSheetId="0">#REF!</definedName>
    <definedName name="interpower">#REF!</definedName>
    <definedName name="INTRANET">55271.22+15800</definedName>
    <definedName name="Introducción" localSheetId="4">#REF!</definedName>
    <definedName name="Introducción" localSheetId="5">#REF!</definedName>
    <definedName name="Introducción" localSheetId="0">#REF!</definedName>
    <definedName name="Introducción">#REF!</definedName>
    <definedName name="inv" localSheetId="0">#REF!</definedName>
    <definedName name="inv">#REF!</definedName>
    <definedName name="INV20121TP" localSheetId="4">#REF!</definedName>
    <definedName name="INV20121TP" localSheetId="5">#REF!</definedName>
    <definedName name="INV20121TP" localSheetId="0">#REF!</definedName>
    <definedName name="INV20121TP">#REF!</definedName>
    <definedName name="INV20121TR" localSheetId="4">#REF!</definedName>
    <definedName name="INV20121TR" localSheetId="5">#REF!</definedName>
    <definedName name="INV20121TR" localSheetId="0">#REF!</definedName>
    <definedName name="INV20121TR">#REF!</definedName>
    <definedName name="INV2012V0" localSheetId="4">#REF!</definedName>
    <definedName name="INV2012V0" localSheetId="5">#REF!</definedName>
    <definedName name="INV2012V0" localSheetId="0">#REF!</definedName>
    <definedName name="INV2012V0">#REF!</definedName>
    <definedName name="INV2012V1" localSheetId="4">#REF!</definedName>
    <definedName name="INV2012V1" localSheetId="0">#REF!</definedName>
    <definedName name="INV2012V1">#REF!</definedName>
    <definedName name="INV2012V1NC" localSheetId="4">#REF!</definedName>
    <definedName name="INV2012V1NC" localSheetId="0">#REF!</definedName>
    <definedName name="INV2012V1NC">#REF!</definedName>
    <definedName name="INV2012V1OC" localSheetId="4">#REF!</definedName>
    <definedName name="INV2012V1OC" localSheetId="0">#REF!</definedName>
    <definedName name="INV2012V1OC">#REF!</definedName>
    <definedName name="INVADQ20121TP" localSheetId="4">#REF!</definedName>
    <definedName name="INVADQ20121TP" localSheetId="0">#REF!</definedName>
    <definedName name="INVADQ20121TP">#REF!</definedName>
    <definedName name="INVADQ20121TR" localSheetId="4">#REF!</definedName>
    <definedName name="INVADQ20121TR" localSheetId="0">#REF!</definedName>
    <definedName name="INVADQ20121TR">#REF!</definedName>
    <definedName name="INVADQ2012V0" localSheetId="4">#REF!</definedName>
    <definedName name="INVADQ2012V0" localSheetId="0">#REF!</definedName>
    <definedName name="INVADQ2012V0">#REF!</definedName>
    <definedName name="INVADQ2012V1" localSheetId="4">#REF!</definedName>
    <definedName name="INVADQ2012V1" localSheetId="0">#REF!</definedName>
    <definedName name="INVADQ2012V1">#REF!</definedName>
    <definedName name="INVADQ2012V1NC" localSheetId="4">#REF!</definedName>
    <definedName name="INVADQ2012V1NC" localSheetId="0">#REF!</definedName>
    <definedName name="INVADQ2012V1NC">#REF!</definedName>
    <definedName name="INVADQ2012V1OC" localSheetId="4">#REF!</definedName>
    <definedName name="INVADQ2012V1OC" localSheetId="0">#REF!</definedName>
    <definedName name="INVADQ2012V1OC">#REF!</definedName>
    <definedName name="INVEM20121TP" localSheetId="4">#REF!</definedName>
    <definedName name="INVEM20121TP" localSheetId="0">#REF!</definedName>
    <definedName name="INVEM20121TP">#REF!</definedName>
    <definedName name="INVEM20121TR" localSheetId="4">#REF!</definedName>
    <definedName name="INVEM20121TR" localSheetId="0">#REF!</definedName>
    <definedName name="INVEM20121TR">#REF!</definedName>
    <definedName name="INVEM2012V0" localSheetId="4">#REF!</definedName>
    <definedName name="INVEM2012V0" localSheetId="0">#REF!</definedName>
    <definedName name="INVEM2012V0">#REF!</definedName>
    <definedName name="INVEM2012V1" localSheetId="4">#REF!</definedName>
    <definedName name="INVEM2012V1" localSheetId="0">#REF!</definedName>
    <definedName name="INVEM2012V1">#REF!</definedName>
    <definedName name="INVEM2012V1NC" localSheetId="4">#REF!</definedName>
    <definedName name="INVEM2012V1NC" localSheetId="0">#REF!</definedName>
    <definedName name="INVEM2012V1NC">#REF!</definedName>
    <definedName name="INVEM2012V1OC" localSheetId="4">#REF!</definedName>
    <definedName name="INVEM2012V1OC" localSheetId="0">#REF!</definedName>
    <definedName name="INVEM2012V1OC">#REF!</definedName>
    <definedName name="Inversión_Actual" localSheetId="4">#REF!</definedName>
    <definedName name="Inversión_Actual" localSheetId="0">#REF!</definedName>
    <definedName name="Inversión_Actual">#REF!</definedName>
    <definedName name="Inversión_Actualizada1" localSheetId="0">#REF!</definedName>
    <definedName name="Inversión_Actualizada1">#REF!</definedName>
    <definedName name="Inversión_Actualizada112" localSheetId="0">#REF!</definedName>
    <definedName name="Inversión_Actualizada112">#REF!</definedName>
    <definedName name="Inversión_Actualizada2" localSheetId="0">#REF!</definedName>
    <definedName name="Inversión_Actualizada2">#REF!</definedName>
    <definedName name="Inversión_Actualizada212" localSheetId="0">#REF!</definedName>
    <definedName name="Inversión_Actualizada212">#REF!</definedName>
    <definedName name="Inversión_Actualizada3" localSheetId="0">#REF!</definedName>
    <definedName name="Inversión_Actualizada3">#REF!</definedName>
    <definedName name="Inversión_Actualizada312" localSheetId="0">#REF!</definedName>
    <definedName name="Inversión_Actualizada312">#REF!</definedName>
    <definedName name="Inversión_Actualizada4" localSheetId="0">#REF!</definedName>
    <definedName name="Inversión_Actualizada4">#REF!</definedName>
    <definedName name="Inversión_Actualizada412" localSheetId="0">#REF!</definedName>
    <definedName name="Inversión_Actualizada412">#REF!</definedName>
    <definedName name="Inversión_Actualizada5" localSheetId="0">#REF!</definedName>
    <definedName name="Inversión_Actualizada5">#REF!</definedName>
    <definedName name="Inversión_Actualizada512" localSheetId="0">#REF!</definedName>
    <definedName name="Inversión_Actualizada512">#REF!</definedName>
    <definedName name="Inversión_Actualizada6" localSheetId="0">#REF!</definedName>
    <definedName name="Inversión_Actualizada6">#REF!</definedName>
    <definedName name="Inversión_Actualizada612" localSheetId="0">#REF!</definedName>
    <definedName name="Inversión_Actualizada612">#REF!</definedName>
    <definedName name="Inversión_Actualizada7" localSheetId="0">#REF!</definedName>
    <definedName name="Inversión_Actualizada7">#REF!</definedName>
    <definedName name="Inversión_Actualizada712" localSheetId="0">#REF!</definedName>
    <definedName name="Inversión_Actualizada712">#REF!</definedName>
    <definedName name="Inversión_Actualizada8" localSheetId="0">#REF!</definedName>
    <definedName name="Inversión_Actualizada8">#REF!</definedName>
    <definedName name="Inversión_Actualizada812" localSheetId="0">#REF!</definedName>
    <definedName name="Inversión_Actualizada812">#REF!</definedName>
    <definedName name="Inversión_Actualizada9" localSheetId="0">#REF!</definedName>
    <definedName name="Inversión_Actualizada9">#REF!</definedName>
    <definedName name="Inversión_Actualizada912" localSheetId="0">#REF!</definedName>
    <definedName name="Inversión_Actualizada912">#REF!</definedName>
    <definedName name="Inversiones" localSheetId="4">#REF!</definedName>
    <definedName name="Inversiones" localSheetId="5">#REF!</definedName>
    <definedName name="Inversiones" localSheetId="0">#REF!</definedName>
    <definedName name="Inversiones">#REF!</definedName>
    <definedName name="INVIE20121TP" localSheetId="4">#REF!</definedName>
    <definedName name="INVIE20121TP" localSheetId="5">#REF!</definedName>
    <definedName name="INVIE20121TP" localSheetId="0">#REF!</definedName>
    <definedName name="INVIE20121TP">#REF!</definedName>
    <definedName name="INVIE20121TR" localSheetId="4">#REF!</definedName>
    <definedName name="INVIE20121TR" localSheetId="5">#REF!</definedName>
    <definedName name="INVIE20121TR" localSheetId="0">#REF!</definedName>
    <definedName name="INVIE20121TR">#REF!</definedName>
    <definedName name="INVIE2012V0" localSheetId="4">#REF!</definedName>
    <definedName name="INVIE2012V0" localSheetId="0">#REF!</definedName>
    <definedName name="INVIE2012V0">#REF!</definedName>
    <definedName name="INVIE2012V1" localSheetId="4">#REF!</definedName>
    <definedName name="INVIE2012V1" localSheetId="0">#REF!</definedName>
    <definedName name="INVIE2012V1">#REF!</definedName>
    <definedName name="INVIE2012V1NC" localSheetId="4">#REF!</definedName>
    <definedName name="INVIE2012V1NC" localSheetId="0">#REF!</definedName>
    <definedName name="INVIE2012V1NC">#REF!</definedName>
    <definedName name="INVIE2012V1OC" localSheetId="4">#REF!</definedName>
    <definedName name="INVIE2012V1OC" localSheetId="0">#REF!</definedName>
    <definedName name="INVIE2012V1OC">#REF!</definedName>
    <definedName name="INVO20121TP" localSheetId="4">#REF!</definedName>
    <definedName name="INVO20121TP" localSheetId="0">#REF!</definedName>
    <definedName name="INVO20121TP">#REF!</definedName>
    <definedName name="INVO20121TR" localSheetId="4">#REF!</definedName>
    <definedName name="INVO20121TR" localSheetId="0">#REF!</definedName>
    <definedName name="INVO20121TR">#REF!</definedName>
    <definedName name="INVO2012V0" localSheetId="4">#REF!</definedName>
    <definedName name="INVO2012V0" localSheetId="0">#REF!</definedName>
    <definedName name="INVO2012V0">#REF!</definedName>
    <definedName name="INVO2012V1" localSheetId="4">#REF!</definedName>
    <definedName name="INVO2012V1" localSheetId="0">#REF!</definedName>
    <definedName name="INVO2012V1">#REF!</definedName>
    <definedName name="INVO2012V1NC" localSheetId="4">#REF!</definedName>
    <definedName name="INVO2012V1NC" localSheetId="0">#REF!</definedName>
    <definedName name="INVO2012V1NC">#REF!</definedName>
    <definedName name="INVO2012V1OC" localSheetId="4">#REF!</definedName>
    <definedName name="INVO2012V1OC" localSheetId="0">#REF!</definedName>
    <definedName name="INVO2012V1OC">#REF!</definedName>
    <definedName name="INVTEC20121TP" localSheetId="4">#REF!</definedName>
    <definedName name="INVTEC20121TP" localSheetId="0">#REF!</definedName>
    <definedName name="INVTEC20121TP">#REF!</definedName>
    <definedName name="INVTEC20121TR" localSheetId="4">#REF!</definedName>
    <definedName name="INVTEC20121TR" localSheetId="0">#REF!</definedName>
    <definedName name="INVTEC20121TR">#REF!</definedName>
    <definedName name="INVTEC2012V0" localSheetId="4">#REF!</definedName>
    <definedName name="INVTEC2012V0" localSheetId="0">#REF!</definedName>
    <definedName name="INVTEC2012V0">#REF!</definedName>
    <definedName name="INVTEC2012V1" localSheetId="4">#REF!</definedName>
    <definedName name="INVTEC2012V1" localSheetId="0">#REF!</definedName>
    <definedName name="INVTEC2012V1">#REF!</definedName>
    <definedName name="INVTEC2012V1NC" localSheetId="4">#REF!</definedName>
    <definedName name="INVTEC2012V1NC" localSheetId="0">#REF!</definedName>
    <definedName name="INVTEC2012V1NC">#REF!</definedName>
    <definedName name="INVTEC2012V1OC" localSheetId="4">#REF!</definedName>
    <definedName name="INVTEC2012V1OC" localSheetId="0">#REF!</definedName>
    <definedName name="INVTEC2012V1OC">#REF!</definedName>
    <definedName name="IP" localSheetId="4">#REF!</definedName>
    <definedName name="IP" localSheetId="0">#REF!</definedName>
    <definedName name="IP">#REF!</definedName>
    <definedName name="IPC" localSheetId="4">#REF!</definedName>
    <definedName name="IPC" localSheetId="0">#REF!</definedName>
    <definedName name="IPC">#REF!</definedName>
    <definedName name="IPM" localSheetId="4">#REF!</definedName>
    <definedName name="IPM" localSheetId="0">#REF!</definedName>
    <definedName name="IPM">#REF!</definedName>
    <definedName name="IRR_with_management_fee" localSheetId="0">#REF!</definedName>
    <definedName name="IRR_with_management_fee">#REF!</definedName>
    <definedName name="ISAD1" localSheetId="4">#REF!</definedName>
    <definedName name="ISAD1" localSheetId="5">#REF!</definedName>
    <definedName name="ISAD1" localSheetId="0">#REF!</definedName>
    <definedName name="ISAD1">#REF!</definedName>
    <definedName name="ISAD2" localSheetId="4">#REF!</definedName>
    <definedName name="ISAD2" localSheetId="5">#REF!</definedName>
    <definedName name="ISAD2" localSheetId="0">#REF!</definedName>
    <definedName name="ISAD2">#REF!</definedName>
    <definedName name="ISBTARIH" localSheetId="4">#REF!</definedName>
    <definedName name="ISBTARIH" localSheetId="5">#REF!</definedName>
    <definedName name="ISBTARIH" localSheetId="0">#REF!</definedName>
    <definedName name="ISBTARIH">#REF!</definedName>
    <definedName name="ISR" localSheetId="4">#REF!</definedName>
    <definedName name="ISR" localSheetId="5">#REF!</definedName>
    <definedName name="ISR" localSheetId="0">#REF!</definedName>
    <definedName name="ISR">#REF!</definedName>
    <definedName name="Issu_Date" localSheetId="0">#REF!</definedName>
    <definedName name="Issu_Date">#REF!</definedName>
    <definedName name="item" localSheetId="4">#REF!</definedName>
    <definedName name="item" localSheetId="5">#REF!</definedName>
    <definedName name="item" localSheetId="0">#REF!</definedName>
    <definedName name="item">#REF!</definedName>
    <definedName name="iteration" localSheetId="4">#REF!</definedName>
    <definedName name="iteration" localSheetId="5">#REF!</definedName>
    <definedName name="iteration" localSheetId="0">#REF!</definedName>
    <definedName name="iteration">#REF!</definedName>
    <definedName name="ITL" localSheetId="0">#REF!</definedName>
    <definedName name="ITL">#REF!</definedName>
    <definedName name="IV" localSheetId="4">#REF!</definedName>
    <definedName name="IV" localSheetId="5">#REF!</definedName>
    <definedName name="IV" localSheetId="0">#REF!</definedName>
    <definedName name="IV">#REF!</definedName>
    <definedName name="IVANai" localSheetId="4">#REF!</definedName>
    <definedName name="IVANai" localSheetId="5">#REF!</definedName>
    <definedName name="IVANai" localSheetId="0">#REF!</definedName>
    <definedName name="IVANai">#REF!</definedName>
    <definedName name="IVANdi" localSheetId="4">#REF!</definedName>
    <definedName name="IVANdi" localSheetId="5">#REF!</definedName>
    <definedName name="IVANdi" localSheetId="0">#REF!</definedName>
    <definedName name="IVANdi">#REF!</definedName>
    <definedName name="IX" localSheetId="0">#REF!</definedName>
    <definedName name="IX">#REF!</definedName>
    <definedName name="IZOLACJA.BITUMICZNA.NA.ZIMNO" localSheetId="4">#REF!</definedName>
    <definedName name="IZOLACJA.BITUMICZNA.NA.ZIMNO" localSheetId="5">#REF!</definedName>
    <definedName name="IZOLACJA.BITUMICZNA.NA.ZIMNO" localSheetId="0">#REF!</definedName>
    <definedName name="IZOLACJA.BITUMICZNA.NA.ZIMNO">#REF!</definedName>
    <definedName name="Izolacja_bitumiczna">30</definedName>
    <definedName name="J" localSheetId="4">#REF!</definedName>
    <definedName name="J" localSheetId="5">#REF!</definedName>
    <definedName name="J" localSheetId="0">#REF!</definedName>
    <definedName name="J">#REF!</definedName>
    <definedName name="j_sto" localSheetId="4">#REF!</definedName>
    <definedName name="j_sto" localSheetId="5">#REF!</definedName>
    <definedName name="j_sto" localSheetId="0">#REF!</definedName>
    <definedName name="j_sto">#REF!</definedName>
    <definedName name="j_zal" localSheetId="4">#REF!</definedName>
    <definedName name="j_zal" localSheetId="5">#REF!</definedName>
    <definedName name="j_zal" localSheetId="0">#REF!</definedName>
    <definedName name="j_zal">#REF!</definedName>
    <definedName name="jedn_miary" localSheetId="4">#REF!</definedName>
    <definedName name="jedn_miary" localSheetId="5">#REF!</definedName>
    <definedName name="jedn_miary" localSheetId="0">#REF!</definedName>
    <definedName name="jedn_miary">#REF!</definedName>
    <definedName name="JednostkiMiary" localSheetId="4">#REF!</definedName>
    <definedName name="JednostkiMiary" localSheetId="5">#REF!</definedName>
    <definedName name="JednostkiMiary" localSheetId="0">#REF!</definedName>
    <definedName name="JednostkiMiary">#REF!</definedName>
    <definedName name="JEZYK" localSheetId="0">#REF!</definedName>
    <definedName name="JEZYK">#REF!</definedName>
    <definedName name="jggfgfjgf" localSheetId="4">#REF!</definedName>
    <definedName name="jggfgfjgf" localSheetId="5">#REF!</definedName>
    <definedName name="jggfgfjgf" localSheetId="0">#REF!</definedName>
    <definedName name="jggfgfjgf">#REF!</definedName>
    <definedName name="jghjgfjgfj" localSheetId="4">#REF!</definedName>
    <definedName name="jghjgfjgfj" localSheetId="5">#REF!</definedName>
    <definedName name="jghjgfjgfj" localSheetId="0">#REF!</definedName>
    <definedName name="jghjgfjgfj">#REF!</definedName>
    <definedName name="jghjghgfj" localSheetId="4">#REF!</definedName>
    <definedName name="jghjghgfj" localSheetId="5">#REF!</definedName>
    <definedName name="jghjghgfj" localSheetId="0">#REF!</definedName>
    <definedName name="jghjghgfj">#REF!</definedName>
    <definedName name="jh" localSheetId="4" hidden="1">{#N/A,#N/A,FALSE,"SumG";#N/A,#N/A,FALSE,"ElecG";#N/A,#N/A,FALSE,"MechG";#N/A,#N/A,FALSE,"GeotG";#N/A,#N/A,FALSE,"PrcsG";#N/A,#N/A,FALSE,"TunnG";#N/A,#N/A,FALSE,"CivlG";#N/A,#N/A,FALSE,"NtwkG";#N/A,#N/A,FALSE,"EstgG";#N/A,#N/A,FALSE,"PEngG"}</definedName>
    <definedName name="jh" localSheetId="6" hidden="1">{#N/A,#N/A,FALSE,"SumG";#N/A,#N/A,FALSE,"ElecG";#N/A,#N/A,FALSE,"MechG";#N/A,#N/A,FALSE,"GeotG";#N/A,#N/A,FALSE,"PrcsG";#N/A,#N/A,FALSE,"TunnG";#N/A,#N/A,FALSE,"CivlG";#N/A,#N/A,FALSE,"NtwkG";#N/A,#N/A,FALSE,"EstgG";#N/A,#N/A,FALSE,"PEngG"}</definedName>
    <definedName name="jh" localSheetId="5" hidden="1">{#N/A,#N/A,FALSE,"SumG";#N/A,#N/A,FALSE,"ElecG";#N/A,#N/A,FALSE,"MechG";#N/A,#N/A,FALSE,"GeotG";#N/A,#N/A,FALSE,"PrcsG";#N/A,#N/A,FALSE,"TunnG";#N/A,#N/A,FALSE,"CivlG";#N/A,#N/A,FALSE,"NtwkG";#N/A,#N/A,FALSE,"EstgG";#N/A,#N/A,FALSE,"PEngG"}</definedName>
    <definedName name="jh" localSheetId="0" hidden="1">{#N/A,#N/A,FALSE,"SumG";#N/A,#N/A,FALSE,"ElecG";#N/A,#N/A,FALSE,"MechG";#N/A,#N/A,FALSE,"GeotG";#N/A,#N/A,FALSE,"PrcsG";#N/A,#N/A,FALSE,"TunnG";#N/A,#N/A,FALSE,"CivlG";#N/A,#N/A,FALSE,"NtwkG";#N/A,#N/A,FALSE,"EstgG";#N/A,#N/A,FALSE,"PEngG"}</definedName>
    <definedName name="jh" hidden="1">{#N/A,#N/A,FALSE,"SumG";#N/A,#N/A,FALSE,"ElecG";#N/A,#N/A,FALSE,"MechG";#N/A,#N/A,FALSE,"GeotG";#N/A,#N/A,FALSE,"PrcsG";#N/A,#N/A,FALSE,"TunnG";#N/A,#N/A,FALSE,"CivlG";#N/A,#N/A,FALSE,"NtwkG";#N/A,#N/A,FALSE,"EstgG";#N/A,#N/A,FALSE,"PEngG"}</definedName>
    <definedName name="jhhhhhhhhhhhhh" localSheetId="0">(#REF!,#REF!)</definedName>
    <definedName name="jhhhhhhhhhhhhh">(#REF!,#REF!)</definedName>
    <definedName name="jhuetytfc" localSheetId="4">#REF!</definedName>
    <definedName name="jhuetytfc" localSheetId="5">#REF!</definedName>
    <definedName name="jhuetytfc" localSheetId="0">#REF!</definedName>
    <definedName name="jhuetytfc">#REF!</definedName>
    <definedName name="jj" localSheetId="4" hidden="1">#REF!</definedName>
    <definedName name="jj" localSheetId="5" hidden="1">#REF!</definedName>
    <definedName name="jj" localSheetId="0" hidden="1">#REF!</definedName>
    <definedName name="jj" hidden="1">#REF!</definedName>
    <definedName name="jjj" localSheetId="4">#REF!</definedName>
    <definedName name="jjj" localSheetId="5">#REF!</definedName>
    <definedName name="jjj" localSheetId="0">#REF!</definedName>
    <definedName name="jjj">#REF!</definedName>
    <definedName name="JK" localSheetId="4" hidden="1">{#N/A,#N/A,FALSE,"SumG";#N/A,#N/A,FALSE,"ElecG";#N/A,#N/A,FALSE,"MechG";#N/A,#N/A,FALSE,"GeotG";#N/A,#N/A,FALSE,"PrcsG";#N/A,#N/A,FALSE,"TunnG";#N/A,#N/A,FALSE,"CivlG";#N/A,#N/A,FALSE,"NtwkG";#N/A,#N/A,FALSE,"EstgG";#N/A,#N/A,FALSE,"PEngG"}</definedName>
    <definedName name="JK" localSheetId="6" hidden="1">{#N/A,#N/A,FALSE,"SumG";#N/A,#N/A,FALSE,"ElecG";#N/A,#N/A,FALSE,"MechG";#N/A,#N/A,FALSE,"GeotG";#N/A,#N/A,FALSE,"PrcsG";#N/A,#N/A,FALSE,"TunnG";#N/A,#N/A,FALSE,"CivlG";#N/A,#N/A,FALSE,"NtwkG";#N/A,#N/A,FALSE,"EstgG";#N/A,#N/A,FALSE,"PEngG"}</definedName>
    <definedName name="JK" localSheetId="5" hidden="1">{#N/A,#N/A,FALSE,"SumG";#N/A,#N/A,FALSE,"ElecG";#N/A,#N/A,FALSE,"MechG";#N/A,#N/A,FALSE,"GeotG";#N/A,#N/A,FALSE,"PrcsG";#N/A,#N/A,FALSE,"TunnG";#N/A,#N/A,FALSE,"CivlG";#N/A,#N/A,FALSE,"NtwkG";#N/A,#N/A,FALSE,"EstgG";#N/A,#N/A,FALSE,"PEngG"}</definedName>
    <definedName name="JK" localSheetId="0" hidden="1">{#N/A,#N/A,FALSE,"SumG";#N/A,#N/A,FALSE,"ElecG";#N/A,#N/A,FALSE,"MechG";#N/A,#N/A,FALSE,"GeotG";#N/A,#N/A,FALSE,"PrcsG";#N/A,#N/A,FALSE,"TunnG";#N/A,#N/A,FALSE,"CivlG";#N/A,#N/A,FALSE,"NtwkG";#N/A,#N/A,FALSE,"EstgG";#N/A,#N/A,FALSE,"PEngG"}</definedName>
    <definedName name="JK" hidden="1">{#N/A,#N/A,FALSE,"SumG";#N/A,#N/A,FALSE,"ElecG";#N/A,#N/A,FALSE,"MechG";#N/A,#N/A,FALSE,"GeotG";#N/A,#N/A,FALSE,"PrcsG";#N/A,#N/A,FALSE,"TunnG";#N/A,#N/A,FALSE,"CivlG";#N/A,#N/A,FALSE,"NtwkG";#N/A,#N/A,FALSE,"EstgG";#N/A,#N/A,FALSE,"PEngG"}</definedName>
    <definedName name="jkashfjkdsf" localSheetId="4" hidden="1">{"CONCABL1.1",#N/A,FALSE,"1.1.1a1.1.3 ACSR";"AISL1.2",#N/A,FALSE,"1.1.1a1.1.3 ACSR";"torr1.1.3",#N/A,FALSE,"1.1.1a1.1.3 ACSR";"cm1.2",#N/A,FALSE,"1.2 ACSR";"cm2.2",#N/A,FALSE,"1.2 ACSR";#N/A,#N/A,FALSE,"1.3 ACSR";#N/A,#N/A,FALSE,"2.1.1A2.1.3 ACAR";"ac2.1",#N/A,FALSE,"1.2 ACAR";"ac2.2",#N/A,FALSE,"1.2 ACAR";#N/A,#N/A,FALSE,"2.3 ACAR"}</definedName>
    <definedName name="jkashfjkdsf" localSheetId="5" hidden="1">{"CONCABL1.1",#N/A,FALSE,"1.1.1a1.1.3 ACSR";"AISL1.2",#N/A,FALSE,"1.1.1a1.1.3 ACSR";"torr1.1.3",#N/A,FALSE,"1.1.1a1.1.3 ACSR";"cm1.2",#N/A,FALSE,"1.2 ACSR";"cm2.2",#N/A,FALSE,"1.2 ACSR";#N/A,#N/A,FALSE,"1.3 ACSR";#N/A,#N/A,FALSE,"2.1.1A2.1.3 ACAR";"ac2.1",#N/A,FALSE,"1.2 ACAR";"ac2.2",#N/A,FALSE,"1.2 ACAR";#N/A,#N/A,FALSE,"2.3 ACAR"}</definedName>
    <definedName name="jkashfjkdsf" localSheetId="0" hidden="1">{"CONCABL1.1",#N/A,FALSE,"1.1.1a1.1.3 ACSR";"AISL1.2",#N/A,FALSE,"1.1.1a1.1.3 ACSR";"torr1.1.3",#N/A,FALSE,"1.1.1a1.1.3 ACSR";"cm1.2",#N/A,FALSE,"1.2 ACSR";"cm2.2",#N/A,FALSE,"1.2 ACSR";#N/A,#N/A,FALSE,"1.3 ACSR";#N/A,#N/A,FALSE,"2.1.1A2.1.3 ACAR";"ac2.1",#N/A,FALSE,"1.2 ACAR";"ac2.2",#N/A,FALSE,"1.2 ACAR";#N/A,#N/A,FALSE,"2.3 ACAR"}</definedName>
    <definedName name="jkashfjkdsf" hidden="1">{"CONCABL1.1",#N/A,FALSE,"1.1.1a1.1.3 ACSR";"AISL1.2",#N/A,FALSE,"1.1.1a1.1.3 ACSR";"torr1.1.3",#N/A,FALSE,"1.1.1a1.1.3 ACSR";"cm1.2",#N/A,FALSE,"1.2 ACSR";"cm2.2",#N/A,FALSE,"1.2 ACSR";#N/A,#N/A,FALSE,"1.3 ACSR";#N/A,#N/A,FALSE,"2.1.1A2.1.3 ACAR";"ac2.1",#N/A,FALSE,"1.2 ACAR";"ac2.2",#N/A,FALSE,"1.2 ACAR";#N/A,#N/A,FALSE,"2.3 ACAR"}</definedName>
    <definedName name="jntrshgf" localSheetId="4">#REF!</definedName>
    <definedName name="jntrshgf" localSheetId="5">#REF!</definedName>
    <definedName name="jntrshgf" localSheetId="0">#REF!</definedName>
    <definedName name="jntrshgf">#REF!</definedName>
    <definedName name="Job_No" localSheetId="4">#REF!</definedName>
    <definedName name="Job_No" localSheetId="5">#REF!</definedName>
    <definedName name="Job_No" localSheetId="0">#REF!</definedName>
    <definedName name="Job_No">#REF!</definedName>
    <definedName name="JobDate" localSheetId="4">#REF!</definedName>
    <definedName name="JobDate" localSheetId="5">#REF!</definedName>
    <definedName name="JobDate" localSheetId="0">#REF!</definedName>
    <definedName name="JobDate">#REF!</definedName>
    <definedName name="JobNumber" localSheetId="4">#REF!</definedName>
    <definedName name="JobNumber" localSheetId="0">#REF!</definedName>
    <definedName name="JobNumber">#REF!</definedName>
    <definedName name="JobTitle" localSheetId="4">#REF!</definedName>
    <definedName name="JobTitle" localSheetId="0">#REF!</definedName>
    <definedName name="JobTitle">#REF!</definedName>
    <definedName name="joel" localSheetId="4" hidden="1">{"CONCABL1.1",#N/A,FALSE,"1.1.1a1.1.3 ACSR";"AISL1.2",#N/A,FALSE,"1.1.1a1.1.3 ACSR";"torr1.1.3",#N/A,FALSE,"1.1.1a1.1.3 ACSR";"cm1.2",#N/A,FALSE,"1.2 ACSR";"cm2.2",#N/A,FALSE,"1.2 ACSR";#N/A,#N/A,FALSE,"1.3 ACSR";#N/A,#N/A,FALSE,"2.1.1A2.1.3 ACAR";"ac2.1",#N/A,FALSE,"1.2 ACAR";"ac2.2",#N/A,FALSE,"1.2 ACAR";#N/A,#N/A,FALSE,"2.3 ACAR"}</definedName>
    <definedName name="joel" localSheetId="5" hidden="1">{"CONCABL1.1",#N/A,FALSE,"1.1.1a1.1.3 ACSR";"AISL1.2",#N/A,FALSE,"1.1.1a1.1.3 ACSR";"torr1.1.3",#N/A,FALSE,"1.1.1a1.1.3 ACSR";"cm1.2",#N/A,FALSE,"1.2 ACSR";"cm2.2",#N/A,FALSE,"1.2 ACSR";#N/A,#N/A,FALSE,"1.3 ACSR";#N/A,#N/A,FALSE,"2.1.1A2.1.3 ACAR";"ac2.1",#N/A,FALSE,"1.2 ACAR";"ac2.2",#N/A,FALSE,"1.2 ACAR";#N/A,#N/A,FALSE,"2.3 ACAR"}</definedName>
    <definedName name="joel" localSheetId="0" hidden="1">{"CONCABL1.1",#N/A,FALSE,"1.1.1a1.1.3 ACSR";"AISL1.2",#N/A,FALSE,"1.1.1a1.1.3 ACSR";"torr1.1.3",#N/A,FALSE,"1.1.1a1.1.3 ACSR";"cm1.2",#N/A,FALSE,"1.2 ACSR";"cm2.2",#N/A,FALSE,"1.2 ACSR";#N/A,#N/A,FALSE,"1.3 ACSR";#N/A,#N/A,FALSE,"2.1.1A2.1.3 ACAR";"ac2.1",#N/A,FALSE,"1.2 ACAR";"ac2.2",#N/A,FALSE,"1.2 ACAR";#N/A,#N/A,FALSE,"2.3 ACAR"}</definedName>
    <definedName name="joel" hidden="1">{"CONCABL1.1",#N/A,FALSE,"1.1.1a1.1.3 ACSR";"AISL1.2",#N/A,FALSE,"1.1.1a1.1.3 ACSR";"torr1.1.3",#N/A,FALSE,"1.1.1a1.1.3 ACSR";"cm1.2",#N/A,FALSE,"1.2 ACSR";"cm2.2",#N/A,FALSE,"1.2 ACSR";#N/A,#N/A,FALSE,"1.3 ACSR";#N/A,#N/A,FALSE,"2.1.1A2.1.3 ACAR";"ac2.1",#N/A,FALSE,"1.2 ACAR";"ac2.2",#N/A,FALSE,"1.2 ACAR";#N/A,#N/A,FALSE,"2.3 ACAR"}</definedName>
    <definedName name="JUANITO"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ANITO1"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Jul" localSheetId="4" hidden="1">{"'JUNIO'!$B$9:$M$54"}</definedName>
    <definedName name="Jul" localSheetId="5" hidden="1">{"'JUNIO'!$B$9:$M$54"}</definedName>
    <definedName name="Jul" localSheetId="0" hidden="1">{"'JUNIO'!$B$9:$M$54"}</definedName>
    <definedName name="Jul" hidden="1">{"'JUNIO'!$B$9:$M$54"}</definedName>
    <definedName name="julio" localSheetId="4" hidden="1">{"'JUNIO'!$B$9:$M$54"}</definedName>
    <definedName name="julio" localSheetId="5" hidden="1">{"'JUNIO'!$B$9:$M$54"}</definedName>
    <definedName name="julio" localSheetId="0" hidden="1">{"'JUNIO'!$B$9:$M$54"}</definedName>
    <definedName name="julio" hidden="1">{"'JUNIO'!$B$9:$M$54"}</definedName>
    <definedName name="JUPOX" localSheetId="4" hidden="1">{#N/A,#N/A,FALSE,"masez (10)";#N/A,#N/A,FALSE,"masez (7)";#N/A,#N/A,FALSE,"masez (6)";#N/A,#N/A,FALSE,"masez (5)";#N/A,#N/A,FALSE,"masez (4)";#N/A,#N/A,FALSE,"masez (3)";#N/A,#N/A,FALSE,"masez (2)";#N/A,#N/A,FALSE,"GME";#N/A,#N/A,FALSE,"masez"}</definedName>
    <definedName name="JUPOX" localSheetId="5" hidden="1">{#N/A,#N/A,FALSE,"masez (10)";#N/A,#N/A,FALSE,"masez (7)";#N/A,#N/A,FALSE,"masez (6)";#N/A,#N/A,FALSE,"masez (5)";#N/A,#N/A,FALSE,"masez (4)";#N/A,#N/A,FALSE,"masez (3)";#N/A,#N/A,FALSE,"masez (2)";#N/A,#N/A,FALSE,"GME";#N/A,#N/A,FALSE,"masez"}</definedName>
    <definedName name="JUPOX" localSheetId="0" hidden="1">{#N/A,#N/A,FALSE,"masez (10)";#N/A,#N/A,FALSE,"masez (7)";#N/A,#N/A,FALSE,"masez (6)";#N/A,#N/A,FALSE,"masez (5)";#N/A,#N/A,FALSE,"masez (4)";#N/A,#N/A,FALSE,"masez (3)";#N/A,#N/A,FALSE,"masez (2)";#N/A,#N/A,FALSE,"GME";#N/A,#N/A,FALSE,"masez"}</definedName>
    <definedName name="JUPOX" hidden="1">{#N/A,#N/A,FALSE,"masez (10)";#N/A,#N/A,FALSE,"masez (7)";#N/A,#N/A,FALSE,"masez (6)";#N/A,#N/A,FALSE,"masez (5)";#N/A,#N/A,FALSE,"masez (4)";#N/A,#N/A,FALSE,"masez (3)";#N/A,#N/A,FALSE,"masez (2)";#N/A,#N/A,FALSE,"GME";#N/A,#N/A,FALSE,"masez"}</definedName>
    <definedName name="k" localSheetId="4">#REF!</definedName>
    <definedName name="k" localSheetId="0">#REF!</definedName>
    <definedName name="k">#REF!</definedName>
    <definedName name="k_6_ko" localSheetId="4">#REF!</definedName>
    <definedName name="k_6_ko" localSheetId="5">#REF!</definedName>
    <definedName name="k_6_ko" localSheetId="0">#REF!</definedName>
    <definedName name="k_6_ko">#REF!</definedName>
    <definedName name="k_6_sz" localSheetId="4">#REF!</definedName>
    <definedName name="k_6_sz" localSheetId="5">#REF!</definedName>
    <definedName name="k_6_sz" localSheetId="0">#REF!</definedName>
    <definedName name="k_6_sz">#REF!</definedName>
    <definedName name="k_8_ko" localSheetId="4">#REF!</definedName>
    <definedName name="k_8_ko" localSheetId="5">#REF!</definedName>
    <definedName name="k_8_ko" localSheetId="0">#REF!</definedName>
    <definedName name="k_8_ko">#REF!</definedName>
    <definedName name="k_8_sz" localSheetId="4">#REF!</definedName>
    <definedName name="k_8_sz" localSheetId="0">#REF!</definedName>
    <definedName name="k_8_sz">#REF!</definedName>
    <definedName name="k_fin" localSheetId="4">#REF!</definedName>
    <definedName name="k_fin" localSheetId="0">#REF!</definedName>
    <definedName name="k_fin">#REF!</definedName>
    <definedName name="k_oper" localSheetId="4">#REF!</definedName>
    <definedName name="k_oper" localSheetId="0">#REF!</definedName>
    <definedName name="k_oper">#REF!</definedName>
    <definedName name="k_sprz" localSheetId="4">#REF!</definedName>
    <definedName name="k_sprz" localSheetId="0">#REF!</definedName>
    <definedName name="k_sprz">#REF!</definedName>
    <definedName name="k_zarz" localSheetId="4">#REF!</definedName>
    <definedName name="k_zarz" localSheetId="0">#REF!</definedName>
    <definedName name="k_zarz">#REF!</definedName>
    <definedName name="K2_WBEVMODE" hidden="1">-1</definedName>
    <definedName name="kamil12345" localSheetId="4">#REF!</definedName>
    <definedName name="kamil12345" localSheetId="5">#REF!</definedName>
    <definedName name="kamil12345" localSheetId="0">#REF!</definedName>
    <definedName name="kamil12345">#REF!</definedName>
    <definedName name="kan" localSheetId="4">#REF!</definedName>
    <definedName name="kan" localSheetId="5">#REF!</definedName>
    <definedName name="kan" localSheetId="0">#REF!</definedName>
    <definedName name="kan">#REF!</definedName>
    <definedName name="KANAŁY.KABLOWE.110mm" localSheetId="4">#REF!</definedName>
    <definedName name="KANAŁY.KABLOWE.110mm" localSheetId="5">#REF!</definedName>
    <definedName name="KANAŁY.KABLOWE.110mm" localSheetId="0">#REF!</definedName>
    <definedName name="KANAŁY.KABLOWE.110mm">#REF!</definedName>
    <definedName name="kap_obr" localSheetId="4">#REF!</definedName>
    <definedName name="kap_obr" localSheetId="5">#REF!</definedName>
    <definedName name="kap_obr" localSheetId="0">#REF!</definedName>
    <definedName name="kap_obr">#REF!</definedName>
    <definedName name="karargah" localSheetId="4">#REF!</definedName>
    <definedName name="karargah" localSheetId="5">#REF!</definedName>
    <definedName name="karargah" localSheetId="0">#REF!</definedName>
    <definedName name="karargah">#REF!</definedName>
    <definedName name="karczowanie_krzaków" localSheetId="4">#REF!</definedName>
    <definedName name="karczowanie_krzaków" localSheetId="5">#REF!</definedName>
    <definedName name="karczowanie_krzaków" localSheetId="0">#REF!</definedName>
    <definedName name="karczowanie_krzaków">#REF!</definedName>
    <definedName name="Kategoria" localSheetId="4">#REF!</definedName>
    <definedName name="Kategoria" localSheetId="0">#REF!</definedName>
    <definedName name="Kategoria">#REF!</definedName>
    <definedName name="Kc_Cultivo1" localSheetId="0">#REF!</definedName>
    <definedName name="Kc_Cultivo1">#REF!</definedName>
    <definedName name="Kc_Cultivo1_SP" localSheetId="4">#REF!</definedName>
    <definedName name="Kc_Cultivo1_SP" localSheetId="5">#REF!</definedName>
    <definedName name="Kc_Cultivo1_SP" localSheetId="0">#REF!</definedName>
    <definedName name="Kc_Cultivo1_SP">#REF!</definedName>
    <definedName name="Kc_Cultivo2" localSheetId="0">#REF!</definedName>
    <definedName name="Kc_Cultivo2">#REF!</definedName>
    <definedName name="Kc_Cultivo2_SP" localSheetId="0">#REF!</definedName>
    <definedName name="Kc_Cultivo2_SP">#REF!</definedName>
    <definedName name="Kc_Cultivo3" localSheetId="0">#REF!</definedName>
    <definedName name="Kc_Cultivo3">#REF!</definedName>
    <definedName name="Kc_Cultivo3_SP" localSheetId="0">#REF!</definedName>
    <definedName name="Kc_Cultivo3_SP">#REF!</definedName>
    <definedName name="Kc_Cultivo4" localSheetId="4">#REF!</definedName>
    <definedName name="Kc_Cultivo4" localSheetId="5">#REF!</definedName>
    <definedName name="Kc_Cultivo4" localSheetId="0">#REF!</definedName>
    <definedName name="Kc_Cultivo4">#REF!</definedName>
    <definedName name="Kc_Cultivo4_SP" localSheetId="4">#REF!</definedName>
    <definedName name="Kc_Cultivo4_SP" localSheetId="5">#REF!</definedName>
    <definedName name="Kc_Cultivo4_SP" localSheetId="0">#REF!</definedName>
    <definedName name="Kc_Cultivo4_SP">#REF!</definedName>
    <definedName name="Kc_Cultivo5" localSheetId="0">#REF!</definedName>
    <definedName name="Kc_Cultivo5">#REF!</definedName>
    <definedName name="Kc_Cultivo5_SP" localSheetId="0">#REF!</definedName>
    <definedName name="Kc_Cultivo5_SP">#REF!</definedName>
    <definedName name="Kc_Pond_Cult1" localSheetId="0">#REF!</definedName>
    <definedName name="Kc_Pond_Cult1">#REF!</definedName>
    <definedName name="Kc_Pond_Cult1_SP" localSheetId="0">#REF!</definedName>
    <definedName name="Kc_Pond_Cult1_SP">#REF!</definedName>
    <definedName name="Kc_Pond_Cult2" localSheetId="0">#REF!</definedName>
    <definedName name="Kc_Pond_Cult2">#REF!</definedName>
    <definedName name="Kc_Pond_Cult2_SP" localSheetId="0">#REF!</definedName>
    <definedName name="Kc_Pond_Cult2_SP">#REF!</definedName>
    <definedName name="Kc_Pond_Cult3" localSheetId="0">#REF!</definedName>
    <definedName name="Kc_Pond_Cult3">#REF!</definedName>
    <definedName name="Kc_Pond_Cult3_SP" localSheetId="0">#REF!</definedName>
    <definedName name="Kc_Pond_Cult3_SP">#REF!</definedName>
    <definedName name="Kc_Pond_Cult4" localSheetId="4">#REF!</definedName>
    <definedName name="Kc_Pond_Cult4" localSheetId="5">#REF!</definedName>
    <definedName name="Kc_Pond_Cult4" localSheetId="0">#REF!</definedName>
    <definedName name="Kc_Pond_Cult4">#REF!</definedName>
    <definedName name="Kc_Pond_Cult4_SP" localSheetId="4">#REF!</definedName>
    <definedName name="Kc_Pond_Cult4_SP" localSheetId="5">#REF!</definedName>
    <definedName name="Kc_Pond_Cult4_SP" localSheetId="0">#REF!</definedName>
    <definedName name="Kc_Pond_Cult4_SP">#REF!</definedName>
    <definedName name="Kc_Pond_Cult5" localSheetId="0">#REF!</definedName>
    <definedName name="Kc_Pond_Cult5">#REF!</definedName>
    <definedName name="Kc_Pond_Cult5_SP" localSheetId="0">#REF!</definedName>
    <definedName name="Kc_Pond_Cult5_SP">#REF!</definedName>
    <definedName name="kerb" localSheetId="4">#REF!</definedName>
    <definedName name="kerb" localSheetId="5">#REF!</definedName>
    <definedName name="kerb" localSheetId="0">#REF!</definedName>
    <definedName name="kerb">#REF!</definedName>
    <definedName name="kFOB" localSheetId="4">#REF!</definedName>
    <definedName name="kFOB" localSheetId="5">#REF!</definedName>
    <definedName name="kFOB" localSheetId="0">#REF!</definedName>
    <definedName name="kFOB">#REF!</definedName>
    <definedName name="kIF" localSheetId="4">#REF!</definedName>
    <definedName name="kIF" localSheetId="0">#REF!</definedName>
    <definedName name="kIF">#REF!</definedName>
    <definedName name="KİLOMETRE" localSheetId="4">#REF!</definedName>
    <definedName name="KİLOMETRE" localSheetId="5">#REF!</definedName>
    <definedName name="KİLOMETRE" localSheetId="0">#REF!</definedName>
    <definedName name="KİLOMETRE">#REF!</definedName>
    <definedName name="kjhkj" localSheetId="4" hidden="1">{#N/A,#N/A,FALSE,"SumG";#N/A,#N/A,FALSE,"ElecG";#N/A,#N/A,FALSE,"MechG";#N/A,#N/A,FALSE,"GeotG";#N/A,#N/A,FALSE,"PrcsG";#N/A,#N/A,FALSE,"TunnG";#N/A,#N/A,FALSE,"CivlG";#N/A,#N/A,FALSE,"NtwkG";#N/A,#N/A,FALSE,"EstgG";#N/A,#N/A,FALSE,"PEngG"}</definedName>
    <definedName name="kjhkj" localSheetId="6" hidden="1">{#N/A,#N/A,FALSE,"SumG";#N/A,#N/A,FALSE,"ElecG";#N/A,#N/A,FALSE,"MechG";#N/A,#N/A,FALSE,"GeotG";#N/A,#N/A,FALSE,"PrcsG";#N/A,#N/A,FALSE,"TunnG";#N/A,#N/A,FALSE,"CivlG";#N/A,#N/A,FALSE,"NtwkG";#N/A,#N/A,FALSE,"EstgG";#N/A,#N/A,FALSE,"PEngG"}</definedName>
    <definedName name="kjhkj" localSheetId="5" hidden="1">{#N/A,#N/A,FALSE,"SumG";#N/A,#N/A,FALSE,"ElecG";#N/A,#N/A,FALSE,"MechG";#N/A,#N/A,FALSE,"GeotG";#N/A,#N/A,FALSE,"PrcsG";#N/A,#N/A,FALSE,"TunnG";#N/A,#N/A,FALSE,"CivlG";#N/A,#N/A,FALSE,"NtwkG";#N/A,#N/A,FALSE,"EstgG";#N/A,#N/A,FALSE,"PEngG"}</definedName>
    <definedName name="kjhkj" localSheetId="0"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4">#REF!</definedName>
    <definedName name="kk" localSheetId="5">#REF!</definedName>
    <definedName name="kk" localSheetId="0">#REF!</definedName>
    <definedName name="kk">#REF!</definedName>
    <definedName name="kkkk" localSheetId="4">#REF!</definedName>
    <definedName name="kkkk" localSheetId="5">#REF!</definedName>
    <definedName name="kkkk" localSheetId="0">#REF!</definedName>
    <definedName name="kkkk">#REF!</definedName>
    <definedName name="kkm" localSheetId="0">#REF!</definedName>
    <definedName name="kkm">#REF!</definedName>
    <definedName name="kloc" localSheetId="4">#REF!</definedName>
    <definedName name="kloc" localSheetId="5">#REF!</definedName>
    <definedName name="kloc" localSheetId="0">#REF!</definedName>
    <definedName name="kloc">#REF!</definedName>
    <definedName name="KO" localSheetId="4">#REF!</definedName>
    <definedName name="ko" localSheetId="5">#REF!</definedName>
    <definedName name="ko" localSheetId="0">#REF!</definedName>
    <definedName name="ko">#REF!</definedName>
    <definedName name="Kolej">NA()</definedName>
    <definedName name="Kolizje_SN_OUD" localSheetId="4">#REF!</definedName>
    <definedName name="Kolizje_SN_OUD" localSheetId="5">#REF!</definedName>
    <definedName name="Kolizje_SN_OUD" localSheetId="0">#REF!</definedName>
    <definedName name="Kolizje_SN_OUD">#REF!</definedName>
    <definedName name="KOM">1005436.84</definedName>
    <definedName name="koniec">"$drogi.$f$"</definedName>
    <definedName name="KoniecKosztorys" localSheetId="4">#REF!</definedName>
    <definedName name="KoniecKosztorys" localSheetId="5">#REF!</definedName>
    <definedName name="KoniecKosztorys" localSheetId="0">#REF!</definedName>
    <definedName name="KoniecKosztorys">#REF!</definedName>
    <definedName name="KoniecKosztorysEng" localSheetId="4">#REF!</definedName>
    <definedName name="KoniecKosztorysEng" localSheetId="5">#REF!</definedName>
    <definedName name="KoniecKosztorysEng" localSheetId="0">#REF!</definedName>
    <definedName name="KoniecKosztorysEng">#REF!</definedName>
    <definedName name="KoniecPrzedmiar" localSheetId="4">#REF!</definedName>
    <definedName name="KoniecPrzedmiar" localSheetId="5">#REF!</definedName>
    <definedName name="KoniecPrzedmiar" localSheetId="0">#REF!</definedName>
    <definedName name="KoniecPrzedmiar">#REF!</definedName>
    <definedName name="KoniecPrzedmiarEng" localSheetId="4">#REF!</definedName>
    <definedName name="KoniecPrzedmiarEng" localSheetId="0">#REF!</definedName>
    <definedName name="KoniecPrzedmiarEng">#REF!</definedName>
    <definedName name="Konstrukcja_odciążająca1">20000</definedName>
    <definedName name="Konstrukcja_odciążająca2">40000</definedName>
    <definedName name="KONSULT">10000</definedName>
    <definedName name="KONT" localSheetId="4">#REF!</definedName>
    <definedName name="KONT" localSheetId="5">#REF!</definedName>
    <definedName name="KONT" localSheetId="0">#REF!</definedName>
    <definedName name="KONT">#REF!</definedName>
    <definedName name="KONT11" localSheetId="4">#REF!</definedName>
    <definedName name="KONT11" localSheetId="5">#REF!</definedName>
    <definedName name="KONT11" localSheetId="0">#REF!</definedName>
    <definedName name="KONT11">#REF!</definedName>
    <definedName name="KONT12" localSheetId="4">#REF!</definedName>
    <definedName name="KONT12" localSheetId="5">#REF!</definedName>
    <definedName name="KONT12" localSheetId="0">#REF!</definedName>
    <definedName name="KONT12">#REF!</definedName>
    <definedName name="KONT21" localSheetId="4">#REF!</definedName>
    <definedName name="KONT21" localSheetId="5">#REF!</definedName>
    <definedName name="KONT21" localSheetId="0">#REF!</definedName>
    <definedName name="KONT21">#REF!</definedName>
    <definedName name="KONT22" localSheetId="4">#REF!</definedName>
    <definedName name="KONT22" localSheetId="5">#REF!</definedName>
    <definedName name="KONT22" localSheetId="0">#REF!</definedName>
    <definedName name="KONT22">#REF!</definedName>
    <definedName name="KONT31" localSheetId="4">#REF!</definedName>
    <definedName name="KONT31" localSheetId="5">#REF!</definedName>
    <definedName name="KONT31" localSheetId="0">#REF!</definedName>
    <definedName name="KONT31">#REF!</definedName>
    <definedName name="KONT32" localSheetId="4">#REF!</definedName>
    <definedName name="KONT32" localSheetId="5">#REF!</definedName>
    <definedName name="KONT32" localSheetId="0">#REF!</definedName>
    <definedName name="KONT32">#REF!</definedName>
    <definedName name="kontr_real" localSheetId="4">#REF!</definedName>
    <definedName name="kontr_real" localSheetId="5">#REF!</definedName>
    <definedName name="kontr_real" localSheetId="0">#REF!</definedName>
    <definedName name="kontr_real">#REF!</definedName>
    <definedName name="kontr_real_p" localSheetId="4">#REF!</definedName>
    <definedName name="kontr_real_p" localSheetId="5">#REF!</definedName>
    <definedName name="kontr_real_p" localSheetId="0">#REF!</definedName>
    <definedName name="kontr_real_p">#REF!</definedName>
    <definedName name="kontrakty" localSheetId="4">#REF!</definedName>
    <definedName name="kontrakty" localSheetId="5">#REF!</definedName>
    <definedName name="kontrakty" localSheetId="0">#REF!</definedName>
    <definedName name="kontrakty">#REF!</definedName>
    <definedName name="kontrola_zakres" localSheetId="4">#REF!</definedName>
    <definedName name="kontrola_zakres" localSheetId="0">#REF!</definedName>
    <definedName name="kontrola_zakres">#REF!</definedName>
    <definedName name="kopia" localSheetId="4">#REF!</definedName>
    <definedName name="kopia" localSheetId="0">#REF!</definedName>
    <definedName name="kopia">#REF!</definedName>
    <definedName name="korytka_kolejowe_m" localSheetId="4">#REF!</definedName>
    <definedName name="korytka_kolejowe_m" localSheetId="0">#REF!</definedName>
    <definedName name="korytka_kolejowe_m">#REF!</definedName>
    <definedName name="korytka_wypłycone_m" localSheetId="4">#REF!</definedName>
    <definedName name="korytka_wypłycone_m" localSheetId="0">#REF!</definedName>
    <definedName name="korytka_wypłycone_m">#REF!</definedName>
    <definedName name="korytko_30cm" localSheetId="4">#REF!</definedName>
    <definedName name="korytko_30cm" localSheetId="0">#REF!</definedName>
    <definedName name="korytko_30cm">#REF!</definedName>
    <definedName name="korytko_60cm" localSheetId="4">#REF!</definedName>
    <definedName name="korytko_60cm" localSheetId="0">#REF!</definedName>
    <definedName name="korytko_60cm">#REF!</definedName>
    <definedName name="korytko_odwadniające_wbudowanie" localSheetId="4">#REF!</definedName>
    <definedName name="korytko_odwadniające_wbudowanie" localSheetId="0">#REF!</definedName>
    <definedName name="korytko_odwadniające_wbudowanie">#REF!</definedName>
    <definedName name="koryto_jezdnia" localSheetId="4">#REF!</definedName>
    <definedName name="koryto_jezdnia" localSheetId="0">#REF!</definedName>
    <definedName name="koryto_jezdnia">#REF!</definedName>
    <definedName name="koryto_pod_chodnik" localSheetId="4">#REF!</definedName>
    <definedName name="koryto_pod_chodnik" localSheetId="0">#REF!</definedName>
    <definedName name="koryto_pod_chodnik">#REF!</definedName>
    <definedName name="koryto_pod_dojściami" localSheetId="4">#REF!</definedName>
    <definedName name="koryto_pod_dojściami" localSheetId="0">#REF!</definedName>
    <definedName name="koryto_pod_dojściami">#REF!</definedName>
    <definedName name="koryto_pod_zjazdami" localSheetId="4">#REF!</definedName>
    <definedName name="koryto_pod_zjazdami" localSheetId="0">#REF!</definedName>
    <definedName name="koryto_pod_zjazdami">#REF!</definedName>
    <definedName name="koryto_poszerzenia" localSheetId="4">#REF!</definedName>
    <definedName name="koryto_poszerzenia" localSheetId="0">#REF!</definedName>
    <definedName name="koryto_poszerzenia">#REF!</definedName>
    <definedName name="koryto_zatoki_autobusowej" localSheetId="4">#REF!</definedName>
    <definedName name="koryto_zatoki_autobusowej" localSheetId="0">#REF!</definedName>
    <definedName name="koryto_zatoki_autobusowej">#REF!</definedName>
    <definedName name="koryto_zjazdy" localSheetId="4">#REF!</definedName>
    <definedName name="koryto_zjazdy" localSheetId="0">#REF!</definedName>
    <definedName name="koryto_zjazdy">#REF!</definedName>
    <definedName name="kostka_6cm_kolor" localSheetId="4">#REF!</definedName>
    <definedName name="kostka_6cm_kolor" localSheetId="0">#REF!</definedName>
    <definedName name="kostka_6cm_kolor">#REF!</definedName>
    <definedName name="kostka_6cm_nowa_dojścia" localSheetId="4">#REF!</definedName>
    <definedName name="kostka_6cm_nowa_dojścia" localSheetId="0">#REF!</definedName>
    <definedName name="kostka_6cm_nowa_dojścia">#REF!</definedName>
    <definedName name="kostka_6cm_nowa_kolorowa" localSheetId="4">#REF!</definedName>
    <definedName name="kostka_6cm_nowa_kolorowa" localSheetId="0">#REF!</definedName>
    <definedName name="kostka_6cm_nowa_kolorowa">#REF!</definedName>
    <definedName name="kostka_6cm_nowa_szara" localSheetId="4">#REF!</definedName>
    <definedName name="kostka_6cm_nowa_szara" localSheetId="0">#REF!</definedName>
    <definedName name="kostka_6cm_nowa_szara">#REF!</definedName>
    <definedName name="kostka_6cm_schody" localSheetId="4">#REF!</definedName>
    <definedName name="kostka_6cm_schody" localSheetId="0">#REF!</definedName>
    <definedName name="kostka_6cm_schody">#REF!</definedName>
    <definedName name="kostka_6cm_szara" localSheetId="4">#REF!</definedName>
    <definedName name="kostka_6cm_szara" localSheetId="0">#REF!</definedName>
    <definedName name="kostka_6cm_szara">#REF!</definedName>
    <definedName name="kostka_6cm_z_rozbiórki_chodniki_m2" localSheetId="4">#REF!</definedName>
    <definedName name="kostka_6cm_z_rozbiórki_chodniki_m2" localSheetId="0">#REF!</definedName>
    <definedName name="kostka_6cm_z_rozbiórki_chodniki_m2">#REF!</definedName>
    <definedName name="kostka_6cm_z_rozbiórki_dojścia" localSheetId="4">#REF!</definedName>
    <definedName name="kostka_6cm_z_rozbiórki_dojścia" localSheetId="0">#REF!</definedName>
    <definedName name="kostka_6cm_z_rozbiórki_dojścia">#REF!</definedName>
    <definedName name="kostka_8cm_kolor" localSheetId="4">#REF!</definedName>
    <definedName name="kostka_8cm_kolor" localSheetId="0">#REF!</definedName>
    <definedName name="kostka_8cm_kolor">#REF!</definedName>
    <definedName name="kostka_8cm_ściek_przy_krawężniku" localSheetId="4">#REF!</definedName>
    <definedName name="kostka_8cm_ściek_przy_krawężniku" localSheetId="0">#REF!</definedName>
    <definedName name="kostka_8cm_ściek_przy_krawężniku">#REF!</definedName>
    <definedName name="kostka_8cm_szara" localSheetId="4">#REF!</definedName>
    <definedName name="kostka_8cm_szara" localSheetId="0">#REF!</definedName>
    <definedName name="kostka_8cm_szara">#REF!</definedName>
    <definedName name="kostka_8cm_zjazdy" localSheetId="4">#REF!</definedName>
    <definedName name="kostka_8cm_zjazdy" localSheetId="0">#REF!</definedName>
    <definedName name="kostka_8cm_zjazdy">#REF!</definedName>
    <definedName name="kostka_bet_nowa_opaska_przy_ogrodzeniu" localSheetId="4">#REF!</definedName>
    <definedName name="kostka_bet_nowa_opaska_przy_ogrodzeniu" localSheetId="0">#REF!</definedName>
    <definedName name="kostka_bet_nowa_opaska_przy_ogrodzeniu">#REF!</definedName>
    <definedName name="kostka_betonowa_8cm_nowa_zjazdy_m2" localSheetId="4">#REF!</definedName>
    <definedName name="kostka_betonowa_8cm_nowa_zjazdy_m2" localSheetId="0">#REF!</definedName>
    <definedName name="kostka_betonowa_8cm_nowa_zjazdy_m2">#REF!</definedName>
    <definedName name="kostka_betonowa_8cm_z_rozbiórki_zjazdy_m2" localSheetId="4">#REF!</definedName>
    <definedName name="kostka_betonowa_8cm_z_rozbiórki_zjazdy_m2" localSheetId="0">#REF!</definedName>
    <definedName name="kostka_betonowa_8cm_z_rozbiórki_zjazdy_m2">#REF!</definedName>
    <definedName name="kostka_integracyjna" localSheetId="4">#REF!</definedName>
    <definedName name="kostka_integracyjna" localSheetId="0">#REF!</definedName>
    <definedName name="kostka_integracyjna">#REF!</definedName>
    <definedName name="kostka_kamienna_nowa_zjazdy_m2" localSheetId="4">#REF!</definedName>
    <definedName name="kostka_kamienna_nowa_zjazdy_m2" localSheetId="0">#REF!</definedName>
    <definedName name="kostka_kamienna_nowa_zjazdy_m2">#REF!</definedName>
    <definedName name="kostka_kamienna_z_rozbiórki_zjazdy_m2" localSheetId="4">#REF!</definedName>
    <definedName name="kostka_kamienna_z_rozbiórki_zjazdy_m2" localSheetId="0">#REF!</definedName>
    <definedName name="kostka_kamienna_z_rozbiórki_zjazdy_m2">#REF!</definedName>
    <definedName name="kostka_nowa_chodnik" localSheetId="4">#REF!</definedName>
    <definedName name="kostka_nowa_chodnik" localSheetId="0">#REF!</definedName>
    <definedName name="kostka_nowa_chodnik">#REF!</definedName>
    <definedName name="kostka_opaska_z_kostki" localSheetId="4">#REF!</definedName>
    <definedName name="kostka_opaska_z_kostki" localSheetId="0">#REF!</definedName>
    <definedName name="kostka_opaska_z_kostki">#REF!</definedName>
    <definedName name="kosz_fin" localSheetId="4">#REF!</definedName>
    <definedName name="kosz_fin" localSheetId="0">#REF!</definedName>
    <definedName name="kosz_fin">#REF!</definedName>
    <definedName name="kosz_oper" localSheetId="4">#REF!</definedName>
    <definedName name="kosz_oper" localSheetId="0">#REF!</definedName>
    <definedName name="kosz_oper">#REF!</definedName>
    <definedName name="kosz_sprz" localSheetId="4">#REF!</definedName>
    <definedName name="kosz_sprz" localSheetId="0">#REF!</definedName>
    <definedName name="kosz_sprz">#REF!</definedName>
    <definedName name="kosz_sprz_p" localSheetId="4">#REF!</definedName>
    <definedName name="kosz_sprz_p" localSheetId="0">#REF!</definedName>
    <definedName name="kosz_sprz_p">#REF!</definedName>
    <definedName name="kosz_zarz" localSheetId="4">#REF!</definedName>
    <definedName name="kosz_zarz" localSheetId="0">#REF!</definedName>
    <definedName name="kosz_zarz">#REF!</definedName>
    <definedName name="kosz_zarz_p" localSheetId="4">#REF!</definedName>
    <definedName name="kosz_zarz_p" localSheetId="0">#REF!</definedName>
    <definedName name="kosz_zarz_p">#REF!</definedName>
    <definedName name="Kosztorys" localSheetId="4">#REF!</definedName>
    <definedName name="Kosztorys" localSheetId="0">#REF!</definedName>
    <definedName name="Kosztorys">#REF!</definedName>
    <definedName name="Kosztorys_2" localSheetId="4">#REF!</definedName>
    <definedName name="Kosztorys_2" localSheetId="5">#REF!</definedName>
    <definedName name="Kosztorys_2" localSheetId="0">#REF!</definedName>
    <definedName name="Kosztorys_2">#REF!</definedName>
    <definedName name="Kosztorys_3" localSheetId="4">#REF!</definedName>
    <definedName name="Kosztorys_3" localSheetId="5">#REF!</definedName>
    <definedName name="Kosztorys_3" localSheetId="0">#REF!</definedName>
    <definedName name="Kosztorys_3">#REF!</definedName>
    <definedName name="koszty" localSheetId="4">#REF!</definedName>
    <definedName name="koszty" localSheetId="5">#REF!</definedName>
    <definedName name="koszty" localSheetId="0">#REF!</definedName>
    <definedName name="koszty">#REF!</definedName>
    <definedName name="Koszty_besp9" localSheetId="4">#REF!</definedName>
    <definedName name="Koszty_besp9" localSheetId="5">#REF!</definedName>
    <definedName name="Koszty_besp9" localSheetId="0">#REF!</definedName>
    <definedName name="Koszty_besp9">#REF!</definedName>
    <definedName name="Koszty_bezp10" localSheetId="4">#REF!</definedName>
    <definedName name="Koszty_bezp10" localSheetId="5">#REF!</definedName>
    <definedName name="Koszty_bezp10" localSheetId="0">#REF!</definedName>
    <definedName name="Koszty_bezp10">#REF!</definedName>
    <definedName name="Koszty_bezp8" localSheetId="4">#REF!</definedName>
    <definedName name="Koszty_bezp8" localSheetId="5">#REF!</definedName>
    <definedName name="Koszty_bezp8" localSheetId="0">#REF!</definedName>
    <definedName name="Koszty_bezp8">#REF!</definedName>
    <definedName name="Koszty_bezpośrednie" localSheetId="4">#REF!</definedName>
    <definedName name="Koszty_bezpośrednie" localSheetId="5">#REF!</definedName>
    <definedName name="Koszty_bezpośrednie" localSheetId="0">#REF!</definedName>
    <definedName name="Koszty_bezpośrednie">#REF!</definedName>
    <definedName name="koszty_posrednie">"$#ODWOŁANIE!.$E$104"</definedName>
    <definedName name="koszty_robocizny" localSheetId="4">#REF!</definedName>
    <definedName name="koszty_robocizny" localSheetId="5">#REF!</definedName>
    <definedName name="koszty_robocizny" localSheetId="0">#REF!</definedName>
    <definedName name="koszty_robocizny">#REF!</definedName>
    <definedName name="Koszty_wytworzenia" localSheetId="4">#REF!</definedName>
    <definedName name="Koszty_wytworzenia" localSheetId="5">#REF!</definedName>
    <definedName name="Koszty_wytworzenia" localSheetId="0">#REF!</definedName>
    <definedName name="Koszty_wytworzenia">#REF!</definedName>
    <definedName name="KOSZTY_ZARZĄDU" localSheetId="4">#REF!</definedName>
    <definedName name="KOSZTY_ZARZĄDU" localSheetId="5">#REF!</definedName>
    <definedName name="KOSZTY_ZARZĄDU" localSheetId="0">#REF!</definedName>
    <definedName name="KOSZTY_ZARZĄDU">#REF!</definedName>
    <definedName name="kp" localSheetId="0">#REF!</definedName>
    <definedName name="kp">#REF!</definedName>
    <definedName name="kpl" localSheetId="4">#REF!</definedName>
    <definedName name="kpl" localSheetId="5">#REF!</definedName>
    <definedName name="kpl" localSheetId="0">#REF!</definedName>
    <definedName name="kpl">#REF!</definedName>
    <definedName name="KPS" localSheetId="0">#REF!</definedName>
    <definedName name="KPS">#REF!</definedName>
    <definedName name="kpw" localSheetId="0">#REF!</definedName>
    <definedName name="kpw">#REF!</definedName>
    <definedName name="kr_15" localSheetId="4">#REF!</definedName>
    <definedName name="kr_15" localSheetId="5">#REF!</definedName>
    <definedName name="kr_15" localSheetId="0">#REF!</definedName>
    <definedName name="kr_15">#REF!</definedName>
    <definedName name="kr_15_ła" localSheetId="4">#REF!</definedName>
    <definedName name="kr_15_ła" localSheetId="5">#REF!</definedName>
    <definedName name="kr_15_ła" localSheetId="0">#REF!</definedName>
    <definedName name="kr_15_ła">#REF!</definedName>
    <definedName name="krawężnik_12x25" localSheetId="4">#REF!</definedName>
    <definedName name="krawężnik_12x25" localSheetId="5">#REF!</definedName>
    <definedName name="krawężnik_12x25" localSheetId="0">#REF!</definedName>
    <definedName name="krawężnik_12x25">#REF!</definedName>
    <definedName name="krawężnik_15x30" localSheetId="4">#REF!</definedName>
    <definedName name="krawężnik_15x30" localSheetId="0">#REF!</definedName>
    <definedName name="krawężnik_15x30">#REF!</definedName>
    <definedName name="krawężnik_15x30cm_obnizony_4cm" localSheetId="4">#REF!</definedName>
    <definedName name="krawężnik_15x30cm_obnizony_4cm" localSheetId="0">#REF!</definedName>
    <definedName name="krawężnik_15x30cm_obnizony_4cm">#REF!</definedName>
    <definedName name="krawężnik_20x30" localSheetId="4">#REF!</definedName>
    <definedName name="krawężnik_20x30" localSheetId="0">#REF!</definedName>
    <definedName name="krawężnik_20x30">#REF!</definedName>
    <definedName name="krawężnik_20x30cm_na_płask" localSheetId="4">#REF!</definedName>
    <definedName name="krawężnik_20x30cm_na_płask" localSheetId="0">#REF!</definedName>
    <definedName name="krawężnik_20x30cm_na_płask">#REF!</definedName>
    <definedName name="krawężnik_20x30cm_obnizony_4cm" localSheetId="4">#REF!</definedName>
    <definedName name="krawężnik_20x30cm_obnizony_4cm" localSheetId="0">#REF!</definedName>
    <definedName name="krawężnik_20x30cm_obnizony_4cm">#REF!</definedName>
    <definedName name="krawężnik_20x30cm_stojący_12cm_nowy" localSheetId="4">#REF!</definedName>
    <definedName name="krawężnik_20x30cm_stojący_12cm_nowy" localSheetId="0">#REF!</definedName>
    <definedName name="krawężnik_20x30cm_stojący_12cm_nowy">#REF!</definedName>
    <definedName name="krawężnik_20x30cm_stojący_12cm_z_robiórki" localSheetId="4">#REF!</definedName>
    <definedName name="krawężnik_20x30cm_stojący_12cm_z_robiórki" localSheetId="0">#REF!</definedName>
    <definedName name="krawężnik_20x30cm_stojący_12cm_z_robiórki">#REF!</definedName>
    <definedName name="krawężnik_na_ławie_12cm_nowy" localSheetId="4">#REF!</definedName>
    <definedName name="krawężnik_na_ławie_12cm_nowy" localSheetId="0">#REF!</definedName>
    <definedName name="krawężnik_na_ławie_12cm_nowy">#REF!</definedName>
    <definedName name="krawężnik_na_ławie_4cm_do_wbudowania_z_rozbiórki" localSheetId="4">#REF!</definedName>
    <definedName name="krawężnik_na_ławie_4cm_do_wbudowania_z_rozbiórki" localSheetId="0">#REF!</definedName>
    <definedName name="krawężnik_na_ławie_4cm_do_wbudowania_z_rozbiórki">#REF!</definedName>
    <definedName name="krawężnik_na_ławie_4cm_nowy" localSheetId="4">#REF!</definedName>
    <definedName name="krawężnik_na_ławie_4cm_nowy" localSheetId="0">#REF!</definedName>
    <definedName name="krawężnik_na_ławie_4cm_nowy">#REF!</definedName>
    <definedName name="krawężnik_na_ławie_do_4cm_wbudowania_z_rozbiórki" localSheetId="4">#REF!</definedName>
    <definedName name="krawężnik_na_ławie_do_4cm_wbudowania_z_rozbiórki" localSheetId="0">#REF!</definedName>
    <definedName name="krawężnik_na_ławie_do_4cm_wbudowania_z_rozbiórki">#REF!</definedName>
    <definedName name="krawężnik_na_ławie_do_wbudowania_z_rozbiórki" localSheetId="4">#REF!</definedName>
    <definedName name="krawężnik_na_ławie_do_wbudowania_z_rozbiórki" localSheetId="0">#REF!</definedName>
    <definedName name="krawężnik_na_ławie_do_wbudowania_z_rozbiórki">#REF!</definedName>
    <definedName name="krawężnik_na_ławie_nowy" localSheetId="4">#REF!</definedName>
    <definedName name="krawężnik_na_ławie_nowy" localSheetId="0">#REF!</definedName>
    <definedName name="krawężnik_na_ławie_nowy">#REF!</definedName>
    <definedName name="krawężnikk_15cm_na_szer_zjazdó" localSheetId="4">#REF!</definedName>
    <definedName name="krawężnikk_15cm_na_szer_zjazdó" localSheetId="0">#REF!</definedName>
    <definedName name="krawężnikk_15cm_na_szer_zjazdó">#REF!</definedName>
    <definedName name="kruszywo" localSheetId="4">#REF!</definedName>
    <definedName name="kruszywo" localSheetId="0">#REF!</definedName>
    <definedName name="kruszywo">#REF!</definedName>
    <definedName name="kruszywo_przy_oporniku" localSheetId="4">#REF!</definedName>
    <definedName name="kruszywo_przy_oporniku" localSheetId="0">#REF!</definedName>
    <definedName name="kruszywo_przy_oporniku">#REF!</definedName>
    <definedName name="kryt" localSheetId="0">#REF!</definedName>
    <definedName name="kryt">#REF!</definedName>
    <definedName name="kryter" localSheetId="0">#REF!</definedName>
    <definedName name="kryter">#REF!</definedName>
    <definedName name="KRYTERIA1" localSheetId="0">#REF!</definedName>
    <definedName name="KRYTERIA1">#REF!</definedName>
    <definedName name="KRYTERIA2" localSheetId="0">#REF!</definedName>
    <definedName name="KRYTERIA2">#REF!</definedName>
    <definedName name="kryteriaw" localSheetId="0">#REF!</definedName>
    <definedName name="kryteriaw">#REF!</definedName>
    <definedName name="ksdskld" localSheetId="4">#REF!</definedName>
    <definedName name="ksdskld" localSheetId="5">#REF!</definedName>
    <definedName name="ksdskld" localSheetId="0">#REF!</definedName>
    <definedName name="ksdskld">#REF!</definedName>
    <definedName name="kspychala" localSheetId="4">#REF!</definedName>
    <definedName name="kspychala" localSheetId="5">#REF!</definedName>
    <definedName name="kspychala" localSheetId="0">#REF!</definedName>
    <definedName name="kspychala">#REF!</definedName>
    <definedName name="kTonsPerYear" localSheetId="5">#REF!/1000</definedName>
    <definedName name="kTonsPerYear" localSheetId="0">#REF!/1000</definedName>
    <definedName name="kTonsPerYear">#REF!/1000</definedName>
    <definedName name="kub" localSheetId="4">#REF!</definedName>
    <definedName name="kub" localSheetId="5">#REF!</definedName>
    <definedName name="kub" localSheetId="0">#REF!</definedName>
    <definedName name="kub">#REF!</definedName>
    <definedName name="kurs">4.2735</definedName>
    <definedName name="kurs.euro" localSheetId="4">#REF!</definedName>
    <definedName name="kurs.euro" localSheetId="5">#REF!</definedName>
    <definedName name="kurs.euro" localSheetId="0">#REF!</definedName>
    <definedName name="kurs.euro">#REF!</definedName>
    <definedName name="Kurs_Euro" localSheetId="4">#REF!</definedName>
    <definedName name="Kurs_Euro" localSheetId="5">#REF!</definedName>
    <definedName name="Kurs_Euro" localSheetId="0">#REF!</definedName>
    <definedName name="Kurs_Euro">#REF!</definedName>
    <definedName name="kurseuro" localSheetId="4">#REF!</definedName>
    <definedName name="kurseuro" localSheetId="5">#REF!</definedName>
    <definedName name="kurseuro" localSheetId="0">#REF!</definedName>
    <definedName name="kurseuro">#REF!</definedName>
    <definedName name="Kursy" localSheetId="0">#REF!</definedName>
    <definedName name="Kursy">#REF!</definedName>
    <definedName name="KZO" localSheetId="4">#REF!</definedName>
    <definedName name="KZO" localSheetId="5">#REF!</definedName>
    <definedName name="KZO" localSheetId="0">#REF!</definedName>
    <definedName name="KZO">#REF!</definedName>
    <definedName name="L" localSheetId="4">#REF!</definedName>
    <definedName name="L" localSheetId="5">#REF!</definedName>
    <definedName name="L" localSheetId="0">#REF!</definedName>
    <definedName name="L">#REF!</definedName>
    <definedName name="ł" localSheetId="0">#REF!</definedName>
    <definedName name="ł">#REF!</definedName>
    <definedName name="L_" localSheetId="4">#REF!</definedName>
    <definedName name="L_" localSheetId="5">#REF!</definedName>
    <definedName name="L_" localSheetId="0">#REF!</definedName>
    <definedName name="L_">#REF!</definedName>
    <definedName name="L1GDL" localSheetId="4" hidden="1">#REF!</definedName>
    <definedName name="L1GDL" localSheetId="5" hidden="1">#REF!</definedName>
    <definedName name="L1GDL" localSheetId="0" hidden="1">#REF!</definedName>
    <definedName name="L1GDL" hidden="1">#REF!</definedName>
    <definedName name="la" localSheetId="4">#REF!</definedName>
    <definedName name="la" localSheetId="5">#REF!</definedName>
    <definedName name="la" localSheetId="0">#REF!</definedName>
    <definedName name="la">#REF!</definedName>
    <definedName name="Labor" localSheetId="4">IF(VLOOKUP(#REF!,#REF!,7)*#REF!=0,0,VLOOKUP(#REF!,#REF!,7)*#REF!)</definedName>
    <definedName name="Labor" localSheetId="5">IF(VLOOKUP(#REF!,#REF!,7)*#REF!=0,0,VLOOKUP(#REF!,#REF!,7)*#REF!)</definedName>
    <definedName name="Labor" localSheetId="0">IF(VLOOKUP(#REF!,#REF!,7)*#REF!=0,0,VLOOKUP(#REF!,#REF!,7)*#REF!)</definedName>
    <definedName name="Labor">IF(VLOOKUP(#REF!,#REF!,7)*#REF!=0,0,VLOOKUP(#REF!,#REF!,7)*#REF!)</definedName>
    <definedName name="LABOR_C" localSheetId="4">#REF!</definedName>
    <definedName name="LABOR_C" localSheetId="5">#REF!</definedName>
    <definedName name="LABOR_C" localSheetId="0">#REF!</definedName>
    <definedName name="LABOR_C">#REF!</definedName>
    <definedName name="LABOR1" localSheetId="0">IF(VLOOKUP(#REF!,#REF!,7)*#REF!=0,0,VLOOKUP(#REF!,#REF!,7)*#REF!)</definedName>
    <definedName name="LABOR1">IF(VLOOKUP(#REF!,#REF!,7)*#REF!=0,0,VLOOKUP(#REF!,#REF!,7)*#REF!)</definedName>
    <definedName name="LABORATORISTA" localSheetId="4">#REF!</definedName>
    <definedName name="LABORATORISTA" localSheetId="0">#REF!</definedName>
    <definedName name="LABORATORISTA">#REF!</definedName>
    <definedName name="Last_Row" localSheetId="4">IF('Costo Directo'!Values_Entered,'Costo Directo'!Header_Row+'Costo Directo'!Number_of_Payments,'Costo Directo'!Header_Row)</definedName>
    <definedName name="Last_Row" localSheetId="6">IF('Indirect Costs'!Values_Entered,Header_Row+'Indirect Costs'!Number_of_Payments,Header_Row)</definedName>
    <definedName name="Last_Row" localSheetId="5">IF(Producción!Values_Entered,Header_Row+Producción!Number_of_Payments,Header_Row)</definedName>
    <definedName name="Last_Row" localSheetId="0">IF('Resumen Ejecutivo'!Values_Entered,Header_Row+'Resumen Ejecutivo'!Number_of_Payments,Header_Row)</definedName>
    <definedName name="Last_Row">IF(Values_Entered,Header_Row+Number_of_Payments,Header_Row)</definedName>
    <definedName name="ław1" localSheetId="4">#REF!</definedName>
    <definedName name="ław1" localSheetId="5">#REF!</definedName>
    <definedName name="ław1" localSheetId="0">#REF!</definedName>
    <definedName name="ław1">#REF!</definedName>
    <definedName name="ław2" localSheetId="4">#REF!</definedName>
    <definedName name="ław2" localSheetId="5">#REF!</definedName>
    <definedName name="ław2" localSheetId="0">#REF!</definedName>
    <definedName name="ław2">#REF!</definedName>
    <definedName name="ław3" localSheetId="4">#REF!</definedName>
    <definedName name="ław3" localSheetId="5">#REF!</definedName>
    <definedName name="ław3" localSheetId="0">#REF!</definedName>
    <definedName name="ław3">#REF!</definedName>
    <definedName name="ław4" localSheetId="4">#REF!</definedName>
    <definedName name="ław4" localSheetId="0">#REF!</definedName>
    <definedName name="ław4">#REF!</definedName>
    <definedName name="ŁAWY.C20.25.POD.MUR" localSheetId="4">#REF!</definedName>
    <definedName name="ŁAWY.C20.25.POD.MUR" localSheetId="5">#REF!</definedName>
    <definedName name="ŁAWY.C20.25.POD.MUR" localSheetId="0">#REF!</definedName>
    <definedName name="ŁAWY.C20.25.POD.MUR">#REF!</definedName>
    <definedName name="lbsPerTon">2204.6</definedName>
    <definedName name="LCC_EXPAT">#REF!</definedName>
    <definedName name="LCC_LOCAL" localSheetId="0">#REF!</definedName>
    <definedName name="LCC_LOCAL">#REF!</definedName>
    <definedName name="LCom" localSheetId="4">#REF!</definedName>
    <definedName name="LCom" localSheetId="5">#REF!</definedName>
    <definedName name="LCom" localSheetId="0">#REF!</definedName>
    <definedName name="LCom">#REF!</definedName>
    <definedName name="LEAS" localSheetId="4">#REF!</definedName>
    <definedName name="LEAS" localSheetId="5">#REF!</definedName>
    <definedName name="LEAS" localSheetId="0">#REF!</definedName>
    <definedName name="LEAS">#REF!</definedName>
    <definedName name="LH" localSheetId="4" hidden="1">{#N/A,#N/A,FALSE,"Total_OC015";#N/A,#N/A,FALSE,"ADMIN";#N/A,#N/A,FALSE,"PROCES";#N/A,#N/A,FALSE,"mecan";#N/A,#N/A,FALSE,"civil";#N/A,#N/A,FALSE,"CAÑER";#N/A,#N/A,FALSE,"ELEC";#N/A,#N/A,FALSE,"INSTR"}</definedName>
    <definedName name="LH" localSheetId="5" hidden="1">{#N/A,#N/A,FALSE,"Total_OC015";#N/A,#N/A,FALSE,"ADMIN";#N/A,#N/A,FALSE,"PROCES";#N/A,#N/A,FALSE,"mecan";#N/A,#N/A,FALSE,"civil";#N/A,#N/A,FALSE,"CAÑER";#N/A,#N/A,FALSE,"ELEC";#N/A,#N/A,FALSE,"INSTR"}</definedName>
    <definedName name="LH" localSheetId="0" hidden="1">{#N/A,#N/A,FALSE,"Total_OC015";#N/A,#N/A,FALSE,"ADMIN";#N/A,#N/A,FALSE,"PROCES";#N/A,#N/A,FALSE,"mecan";#N/A,#N/A,FALSE,"civil";#N/A,#N/A,FALSE,"CAÑER";#N/A,#N/A,FALSE,"ELEC";#N/A,#N/A,FALSE,"INSTR"}</definedName>
    <definedName name="LH" hidden="1">{#N/A,#N/A,FALSE,"Total_OC015";#N/A,#N/A,FALSE,"ADMIN";#N/A,#N/A,FALSE,"PROCES";#N/A,#N/A,FALSE,"mecan";#N/A,#N/A,FALSE,"civil";#N/A,#N/A,FALSE,"CAÑER";#N/A,#N/A,FALSE,"ELEC";#N/A,#N/A,FALSE,"INSTR"}</definedName>
    <definedName name="LiczbaMiejscDziesietnych" localSheetId="4">#REF!</definedName>
    <definedName name="LiczbaMiejscDziesietnych" localSheetId="5">#REF!</definedName>
    <definedName name="LiczbaMiejscDziesietnych" localSheetId="0">#REF!</definedName>
    <definedName name="LiczbaMiejscDziesietnych">#REF!</definedName>
    <definedName name="LIGHTING" localSheetId="4">#REF!</definedName>
    <definedName name="LIGHTING" localSheetId="5">#REF!</definedName>
    <definedName name="LIGHTING" localSheetId="0">#REF!</definedName>
    <definedName name="LIGHTING">#REF!</definedName>
    <definedName name="LINE" localSheetId="4">#REF!</definedName>
    <definedName name="LINE" localSheetId="5">#REF!</definedName>
    <definedName name="LINE" localSheetId="0">#REF!</definedName>
    <definedName name="LINE">#REF!</definedName>
    <definedName name="LINE1" localSheetId="4">#REF!</definedName>
    <definedName name="LINE1" localSheetId="0">#REF!</definedName>
    <definedName name="LINE1">#REF!</definedName>
    <definedName name="LIST" localSheetId="4">#REF!</definedName>
    <definedName name="LIST" localSheetId="0">#REF!</definedName>
    <definedName name="LIST">#REF!</definedName>
    <definedName name="Lista_países" localSheetId="4">#REF!</definedName>
    <definedName name="Lista_países" localSheetId="5">#REF!</definedName>
    <definedName name="Lista_países" localSheetId="0">#REF!</definedName>
    <definedName name="Lista_países">#REF!</definedName>
    <definedName name="LISTADO" localSheetId="5">#REF!</definedName>
    <definedName name="LISTADO" localSheetId="0">#REF!</definedName>
    <definedName name="LISTADO">#REF!</definedName>
    <definedName name="lk" localSheetId="4" hidden="1">{#N/A,#N/A,FALSE,"Total_OC015";#N/A,#N/A,FALSE,"ADMIN";#N/A,#N/A,FALSE,"PROCES";#N/A,#N/A,FALSE,"mecan";#N/A,#N/A,FALSE,"civil";#N/A,#N/A,FALSE,"CAÑER";#N/A,#N/A,FALSE,"ELEC";#N/A,#N/A,FALSE,"INSTR"}</definedName>
    <definedName name="lk" localSheetId="5" hidden="1">{#N/A,#N/A,FALSE,"Total_OC015";#N/A,#N/A,FALSE,"ADMIN";#N/A,#N/A,FALSE,"PROCES";#N/A,#N/A,FALSE,"mecan";#N/A,#N/A,FALSE,"civil";#N/A,#N/A,FALSE,"CAÑER";#N/A,#N/A,FALSE,"ELEC";#N/A,#N/A,FALSE,"INSTR"}</definedName>
    <definedName name="lk" localSheetId="0" hidden="1">{#N/A,#N/A,FALSE,"Total_OC015";#N/A,#N/A,FALSE,"ADMIN";#N/A,#N/A,FALSE,"PROCES";#N/A,#N/A,FALSE,"mecan";#N/A,#N/A,FALSE,"civil";#N/A,#N/A,FALSE,"CAÑER";#N/A,#N/A,FALSE,"ELEC";#N/A,#N/A,FALSE,"INSTR"}</definedName>
    <definedName name="lk" hidden="1">{#N/A,#N/A,FALSE,"Total_OC015";#N/A,#N/A,FALSE,"ADMIN";#N/A,#N/A,FALSE,"PROCES";#N/A,#N/A,FALSE,"mecan";#N/A,#N/A,FALSE,"civil";#N/A,#N/A,FALSE,"CAÑER";#N/A,#N/A,FALSE,"ELEC";#N/A,#N/A,FALSE,"INSTR"}</definedName>
    <definedName name="LKL" localSheetId="4" hidden="1">{#N/A,#N/A,FALSE,"SumG";#N/A,#N/A,FALSE,"ElecG";#N/A,#N/A,FALSE,"MechG";#N/A,#N/A,FALSE,"GeotG";#N/A,#N/A,FALSE,"PrcsG";#N/A,#N/A,FALSE,"TunnG";#N/A,#N/A,FALSE,"CivlG";#N/A,#N/A,FALSE,"NtwkG";#N/A,#N/A,FALSE,"EstgG";#N/A,#N/A,FALSE,"PEngG"}</definedName>
    <definedName name="LKL" localSheetId="6" hidden="1">{#N/A,#N/A,FALSE,"SumG";#N/A,#N/A,FALSE,"ElecG";#N/A,#N/A,FALSE,"MechG";#N/A,#N/A,FALSE,"GeotG";#N/A,#N/A,FALSE,"PrcsG";#N/A,#N/A,FALSE,"TunnG";#N/A,#N/A,FALSE,"CivlG";#N/A,#N/A,FALSE,"NtwkG";#N/A,#N/A,FALSE,"EstgG";#N/A,#N/A,FALSE,"PEngG"}</definedName>
    <definedName name="LKL" localSheetId="5" hidden="1">{#N/A,#N/A,FALSE,"SumG";#N/A,#N/A,FALSE,"ElecG";#N/A,#N/A,FALSE,"MechG";#N/A,#N/A,FALSE,"GeotG";#N/A,#N/A,FALSE,"PrcsG";#N/A,#N/A,FALSE,"TunnG";#N/A,#N/A,FALSE,"CivlG";#N/A,#N/A,FALSE,"NtwkG";#N/A,#N/A,FALSE,"EstgG";#N/A,#N/A,FALSE,"PEngG"}</definedName>
    <definedName name="LKL" localSheetId="0"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 localSheetId="4" hidden="1">{#N/A,#N/A,FALSE,"SumG";#N/A,#N/A,FALSE,"ElecG";#N/A,#N/A,FALSE,"MechG";#N/A,#N/A,FALSE,"GeotG";#N/A,#N/A,FALSE,"PrcsG";#N/A,#N/A,FALSE,"TunnG";#N/A,#N/A,FALSE,"CivlG";#N/A,#N/A,FALSE,"NtwkG";#N/A,#N/A,FALSE,"EstgG";#N/A,#N/A,FALSE,"PEngG"}</definedName>
    <definedName name="ll" localSheetId="6" hidden="1">{#N/A,#N/A,FALSE,"SumG";#N/A,#N/A,FALSE,"ElecG";#N/A,#N/A,FALSE,"MechG";#N/A,#N/A,FALSE,"GeotG";#N/A,#N/A,FALSE,"PrcsG";#N/A,#N/A,FALSE,"TunnG";#N/A,#N/A,FALSE,"CivlG";#N/A,#N/A,FALSE,"NtwkG";#N/A,#N/A,FALSE,"EstgG";#N/A,#N/A,FALSE,"PEngG"}</definedName>
    <definedName name="ll" localSheetId="5" hidden="1">{#N/A,#N/A,FALSE,"SumG";#N/A,#N/A,FALSE,"ElecG";#N/A,#N/A,FALSE,"MechG";#N/A,#N/A,FALSE,"GeotG";#N/A,#N/A,FALSE,"PrcsG";#N/A,#N/A,FALSE,"TunnG";#N/A,#N/A,FALSE,"CivlG";#N/A,#N/A,FALSE,"NtwkG";#N/A,#N/A,FALSE,"EstgG";#N/A,#N/A,FALSE,"PEngG"}</definedName>
    <definedName name="ll" localSheetId="0"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enado" localSheetId="4">#REF!</definedName>
    <definedName name="Llenado" localSheetId="5">#REF!</definedName>
    <definedName name="Llenado" localSheetId="0">#REF!</definedName>
    <definedName name="Llenado">#REF!</definedName>
    <definedName name="lllll" localSheetId="4" hidden="1">{#N/A,#N/A,FALSE,"Pricing";#N/A,#N/A,FALSE,"Summary";#N/A,#N/A,FALSE,"CompProd";#N/A,#N/A,FALSE,"CompJobhrs";#N/A,#N/A,FALSE,"Escalation";#N/A,#N/A,FALSE,"Contingency";#N/A,#N/A,FALSE,"GM";#N/A,#N/A,FALSE,"CompWage";#N/A,#N/A,FALSE,"costSum"}</definedName>
    <definedName name="lllll" localSheetId="6" hidden="1">{#N/A,#N/A,FALSE,"Pricing";#N/A,#N/A,FALSE,"Summary";#N/A,#N/A,FALSE,"CompProd";#N/A,#N/A,FALSE,"CompJobhrs";#N/A,#N/A,FALSE,"Escalation";#N/A,#N/A,FALSE,"Contingency";#N/A,#N/A,FALSE,"GM";#N/A,#N/A,FALSE,"CompWage";#N/A,#N/A,FALSE,"costSum"}</definedName>
    <definedName name="lllll" localSheetId="5" hidden="1">{#N/A,#N/A,FALSE,"Pricing";#N/A,#N/A,FALSE,"Summary";#N/A,#N/A,FALSE,"CompProd";#N/A,#N/A,FALSE,"CompJobhrs";#N/A,#N/A,FALSE,"Escalation";#N/A,#N/A,FALSE,"Contingency";#N/A,#N/A,FALSE,"GM";#N/A,#N/A,FALSE,"CompWage";#N/A,#N/A,FALSE,"costSum"}</definedName>
    <definedName name="lllll" localSheetId="0"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lllllllll" localSheetId="4" hidden="1">{#N/A,#N/A,FALSE,"respav";#N/A,#N/A,FALSE,"base cemento";#N/A,#N/A,FALSE,"riego liga";#N/A,#N/A,FALSE,"carpeta";#N/A,#N/A,FALSE,"sello trad";#N/A,#N/A,FALSE,"señalamiento";#N/A,#N/A,FALSE,"roturado"}</definedName>
    <definedName name="llllllllll" localSheetId="5" hidden="1">{#N/A,#N/A,FALSE,"respav";#N/A,#N/A,FALSE,"base cemento";#N/A,#N/A,FALSE,"riego liga";#N/A,#N/A,FALSE,"carpeta";#N/A,#N/A,FALSE,"sello trad";#N/A,#N/A,FALSE,"señalamiento";#N/A,#N/A,FALSE,"roturado"}</definedName>
    <definedName name="llllllllll" localSheetId="0" hidden="1">{#N/A,#N/A,FALSE,"respav";#N/A,#N/A,FALSE,"base cemento";#N/A,#N/A,FALSE,"riego liga";#N/A,#N/A,FALSE,"carpeta";#N/A,#N/A,FALSE,"sello trad";#N/A,#N/A,FALSE,"señalamiento";#N/A,#N/A,FALSE,"roturado"}</definedName>
    <definedName name="llllllllll" hidden="1">{#N/A,#N/A,FALSE,"respav";#N/A,#N/A,FALSE,"base cemento";#N/A,#N/A,FALSE,"riego liga";#N/A,#N/A,FALSE,"carpeta";#N/A,#N/A,FALSE,"sello trad";#N/A,#N/A,FALSE,"señalamiento";#N/A,#N/A,FALSE,"roturado"}</definedName>
    <definedName name="LMA" localSheetId="4">#REF!</definedName>
    <definedName name="LMA" localSheetId="5">#REF!</definedName>
    <definedName name="LMA" localSheetId="0">#REF!</definedName>
    <definedName name="LMA">#REF!</definedName>
    <definedName name="Loan_Amount" localSheetId="4">#REF!</definedName>
    <definedName name="Loan_Amount" localSheetId="5">#REF!</definedName>
    <definedName name="Loan_Amount" localSheetId="0">#REF!</definedName>
    <definedName name="Loan_Amount">#REF!</definedName>
    <definedName name="Loan_Start" localSheetId="4">#REF!</definedName>
    <definedName name="Loan_Start" localSheetId="5">#REF!</definedName>
    <definedName name="Loan_Start" localSheetId="0">#REF!</definedName>
    <definedName name="Loan_Start">#REF!</definedName>
    <definedName name="Loan_Years" localSheetId="4">#REF!</definedName>
    <definedName name="Loan_Years" localSheetId="0">#REF!</definedName>
    <definedName name="Loan_Years">#REF!</definedName>
    <definedName name="Location" localSheetId="4">#REF!</definedName>
    <definedName name="Location" localSheetId="0">#REF!</definedName>
    <definedName name="Location">#REF!</definedName>
    <definedName name="london" localSheetId="4">#REF!</definedName>
    <definedName name="london" localSheetId="5">#REF!</definedName>
    <definedName name="london" localSheetId="0">#REF!</definedName>
    <definedName name="london">#REF!</definedName>
    <definedName name="LookPump">#N/A</definedName>
    <definedName name="LookPump1">#N/A</definedName>
    <definedName name="LookupPump" localSheetId="4">#REF!</definedName>
    <definedName name="LookupPump" localSheetId="5">#REF!</definedName>
    <definedName name="LookupPump" localSheetId="0">#REF!</definedName>
    <definedName name="LookupPump">#REF!</definedName>
    <definedName name="lots" localSheetId="4" hidden="1">{#N/A,#N/A,FALSE,"Total_OC015";#N/A,#N/A,FALSE,"ADMIN";#N/A,#N/A,FALSE,"PROCES";#N/A,#N/A,FALSE,"mecan";#N/A,#N/A,FALSE,"civil";#N/A,#N/A,FALSE,"CAÑER";#N/A,#N/A,FALSE,"ELEC";#N/A,#N/A,FALSE,"INSTR"}</definedName>
    <definedName name="lots" localSheetId="5" hidden="1">{#N/A,#N/A,FALSE,"Total_OC015";#N/A,#N/A,FALSE,"ADMIN";#N/A,#N/A,FALSE,"PROCES";#N/A,#N/A,FALSE,"mecan";#N/A,#N/A,FALSE,"civil";#N/A,#N/A,FALSE,"CAÑER";#N/A,#N/A,FALSE,"ELEC";#N/A,#N/A,FALSE,"INSTR"}</definedName>
    <definedName name="lots" localSheetId="0" hidden="1">{#N/A,#N/A,FALSE,"Total_OC015";#N/A,#N/A,FALSE,"ADMIN";#N/A,#N/A,FALSE,"PROCES";#N/A,#N/A,FALSE,"mecan";#N/A,#N/A,FALSE,"civil";#N/A,#N/A,FALSE,"CAÑER";#N/A,#N/A,FALSE,"ELEC";#N/A,#N/A,FALSE,"INSTR"}</definedName>
    <definedName name="lots" hidden="1">{#N/A,#N/A,FALSE,"Total_OC015";#N/A,#N/A,FALSE,"ADMIN";#N/A,#N/A,FALSE,"PROCES";#N/A,#N/A,FALSE,"mecan";#N/A,#N/A,FALSE,"civil";#N/A,#N/A,FALSE,"CAÑER";#N/A,#N/A,FALSE,"ELEC";#N/A,#N/A,FALSE,"INSTR"}</definedName>
    <definedName name="lp" localSheetId="4">#REF!</definedName>
    <definedName name="lp" localSheetId="5">#REF!</definedName>
    <definedName name="lp" localSheetId="0">#REF!</definedName>
    <definedName name="lp">#REF!</definedName>
    <definedName name="LRP" localSheetId="4" hidden="1">{"CONCABL1.1",#N/A,FALSE,"1.1.1a1.1.3 ACSR";"AISL1.2",#N/A,FALSE,"1.1.1a1.1.3 ACSR";"torr1.1.3",#N/A,FALSE,"1.1.1a1.1.3 ACSR";"cm1.2",#N/A,FALSE,"1.2 ACSR";"cm2.2",#N/A,FALSE,"1.2 ACSR";#N/A,#N/A,FALSE,"1.3 ACSR";#N/A,#N/A,FALSE,"2.1.1A2.1.3 ACAR";"ac2.1",#N/A,FALSE,"1.2 ACAR";"ac2.2",#N/A,FALSE,"1.2 ACAR";#N/A,#N/A,FALSE,"2.3 ACAR"}</definedName>
    <definedName name="LRP" localSheetId="5" hidden="1">{"CONCABL1.1",#N/A,FALSE,"1.1.1a1.1.3 ACSR";"AISL1.2",#N/A,FALSE,"1.1.1a1.1.3 ACSR";"torr1.1.3",#N/A,FALSE,"1.1.1a1.1.3 ACSR";"cm1.2",#N/A,FALSE,"1.2 ACSR";"cm2.2",#N/A,FALSE,"1.2 ACSR";#N/A,#N/A,FALSE,"1.3 ACSR";#N/A,#N/A,FALSE,"2.1.1A2.1.3 ACAR";"ac2.1",#N/A,FALSE,"1.2 ACAR";"ac2.2",#N/A,FALSE,"1.2 ACAR";#N/A,#N/A,FALSE,"2.3 ACAR"}</definedName>
    <definedName name="LRP" localSheetId="0" hidden="1">{"CONCABL1.1",#N/A,FALSE,"1.1.1a1.1.3 ACSR";"AISL1.2",#N/A,FALSE,"1.1.1a1.1.3 ACSR";"torr1.1.3",#N/A,FALSE,"1.1.1a1.1.3 ACSR";"cm1.2",#N/A,FALSE,"1.2 ACSR";"cm2.2",#N/A,FALSE,"1.2 ACSR";#N/A,#N/A,FALSE,"1.3 ACSR";#N/A,#N/A,FALSE,"2.1.1A2.1.3 ACAR";"ac2.1",#N/A,FALSE,"1.2 ACAR";"ac2.2",#N/A,FALSE,"1.2 ACAR";#N/A,#N/A,FALSE,"2.3 ACAR"}</definedName>
    <definedName name="LRP" hidden="1">{"CONCABL1.1",#N/A,FALSE,"1.1.1a1.1.3 ACSR";"AISL1.2",#N/A,FALSE,"1.1.1a1.1.3 ACSR";"torr1.1.3",#N/A,FALSE,"1.1.1a1.1.3 ACSR";"cm1.2",#N/A,FALSE,"1.2 ACSR";"cm2.2",#N/A,FALSE,"1.2 ACSR";#N/A,#N/A,FALSE,"1.3 ACSR";#N/A,#N/A,FALSE,"2.1.1A2.1.3 ACAR";"ac2.1",#N/A,FALSE,"1.2 ACAR";"ac2.2",#N/A,FALSE,"1.2 ACAR";#N/A,#N/A,FALSE,"2.3 ACAR"}</definedName>
    <definedName name="lt" localSheetId="4">#REF!</definedName>
    <definedName name="lt" localSheetId="0">#REF!</definedName>
    <definedName name="lt">#REF!</definedName>
    <definedName name="lt_taltal" localSheetId="4">#REF!</definedName>
    <definedName name="lt_taltal" localSheetId="0">#REF!</definedName>
    <definedName name="lt_taltal">#REF!</definedName>
    <definedName name="LTG_ALS" localSheetId="4">#REF!</definedName>
    <definedName name="LTG_ALS" localSheetId="5">#REF!</definedName>
    <definedName name="LTG_ALS" localSheetId="0">#REF!</definedName>
    <definedName name="LTG_ALS">#REF!</definedName>
    <definedName name="LTG_CONDUIT" localSheetId="4">#REF!</definedName>
    <definedName name="LTG_CONDUIT" localSheetId="5">#REF!</definedName>
    <definedName name="LTG_CONDUIT" localSheetId="0">#REF!</definedName>
    <definedName name="LTG_CONDUIT">#REF!</definedName>
    <definedName name="LTG_INDOOR" localSheetId="4">#REF!</definedName>
    <definedName name="LTG_INDOOR" localSheetId="5">#REF!</definedName>
    <definedName name="LTG_INDOOR" localSheetId="0">#REF!</definedName>
    <definedName name="LTG_INDOOR">#REF!</definedName>
    <definedName name="LTG_OUTDOOR" localSheetId="4">#REF!</definedName>
    <definedName name="LTG_OUTDOOR" localSheetId="0">#REF!</definedName>
    <definedName name="LTG_OUTDOOR">#REF!</definedName>
    <definedName name="LTG_POLES" localSheetId="4">#REF!</definedName>
    <definedName name="LTG_POLES" localSheetId="0">#REF!</definedName>
    <definedName name="LTG_POLES">#REF!</definedName>
    <definedName name="LTG_PWR_EQUIP" localSheetId="4">#REF!</definedName>
    <definedName name="LTG_PWR_EQUIP" localSheetId="0">#REF!</definedName>
    <definedName name="LTG_PWR_EQUIP">#REF!</definedName>
    <definedName name="LTG_WIRE" localSheetId="4">#REF!</definedName>
    <definedName name="LTG_WIRE" localSheetId="0">#REF!</definedName>
    <definedName name="LTG_WIRE">#REF!</definedName>
    <definedName name="m" localSheetId="4">#REF!</definedName>
    <definedName name="m" localSheetId="0">#REF!</definedName>
    <definedName name="m">#REF!</definedName>
    <definedName name="m_1">"$#ODWOŁANIE.$A$1"</definedName>
    <definedName name="M13_0001" localSheetId="4">#REF!</definedName>
    <definedName name="M13_0001" localSheetId="5">#REF!</definedName>
    <definedName name="M13_0001" localSheetId="0">#REF!</definedName>
    <definedName name="M13_0001">#REF!</definedName>
    <definedName name="M13_001" localSheetId="4">#REF!</definedName>
    <definedName name="M13_001" localSheetId="5">#REF!</definedName>
    <definedName name="M13_001" localSheetId="0">#REF!</definedName>
    <definedName name="M13_001">#REF!</definedName>
    <definedName name="Macro1" localSheetId="4">#REF!</definedName>
    <definedName name="Macro1" localSheetId="5">#REF!</definedName>
    <definedName name="Macro1" localSheetId="0">#REF!</definedName>
    <definedName name="Macro1">#REF!</definedName>
    <definedName name="Macro2" localSheetId="4">#REF!</definedName>
    <definedName name="Macro2" localSheetId="0">#REF!</definedName>
    <definedName name="Macro2">#REF!</definedName>
    <definedName name="Macro3" localSheetId="4">#REF!</definedName>
    <definedName name="Macro3" localSheetId="0">#REF!</definedName>
    <definedName name="Macro3">#REF!</definedName>
    <definedName name="Macro4">#N/A</definedName>
    <definedName name="MACROS" localSheetId="4">#REF!</definedName>
    <definedName name="MACROS" localSheetId="5">#REF!</definedName>
    <definedName name="MACROS" localSheetId="0">#REF!</definedName>
    <definedName name="MACROS">#REF!</definedName>
    <definedName name="MACU">#N/A</definedName>
    <definedName name="MAD" localSheetId="4" hidden="1">{"'JUNIO'!$B$9:$M$54"}</definedName>
    <definedName name="MAD" localSheetId="5" hidden="1">{"'JUNIO'!$B$9:$M$54"}</definedName>
    <definedName name="MAD" localSheetId="0" hidden="1">{"'JUNIO'!$B$9:$M$54"}</definedName>
    <definedName name="MAD" hidden="1">{"'JUNIO'!$B$9:$M$54"}</definedName>
    <definedName name="MADE" localSheetId="4" hidden="1">{"'JUNIO'!$B$9:$M$54"}</definedName>
    <definedName name="MADE" localSheetId="5" hidden="1">{"'JUNIO'!$B$9:$M$54"}</definedName>
    <definedName name="MADE" localSheetId="0" hidden="1">{"'JUNIO'!$B$9:$M$54"}</definedName>
    <definedName name="MADE" hidden="1">{"'JUNIO'!$B$9:$M$54"}</definedName>
    <definedName name="MadeBy" localSheetId="4">#REF!</definedName>
    <definedName name="MadeBy" localSheetId="5">#REF!</definedName>
    <definedName name="MadeBy" localSheetId="0">#REF!</definedName>
    <definedName name="MadeBy">#REF!</definedName>
    <definedName name="MAIL" localSheetId="4">#REF!</definedName>
    <definedName name="MAIL" localSheetId="5">#REF!</definedName>
    <definedName name="MAIL" localSheetId="0">#REF!</definedName>
    <definedName name="MAIL">#REF!</definedName>
    <definedName name="mailcontacto" localSheetId="4">#REF!</definedName>
    <definedName name="mailcontacto" localSheetId="5">#REF!</definedName>
    <definedName name="mailcontacto" localSheetId="0">#REF!</definedName>
    <definedName name="mailcontacto">#REF!</definedName>
    <definedName name="mailvendedor" localSheetId="4">#REF!</definedName>
    <definedName name="mailvendedor" localSheetId="0">#REF!</definedName>
    <definedName name="mailvendedor">#REF!</definedName>
    <definedName name="Makro1" localSheetId="0">#REF!</definedName>
    <definedName name="Makro1">#REF!</definedName>
    <definedName name="Makro2">"'file:///A:/BMGH/NEU/PLANUNG/2000/BLATT2/MITTE2.XLS'#$Makro1.$#ODWOŁANIE$#ODWOŁANIE"</definedName>
    <definedName name="Makro2_10">"'file:///A:/BMGH/NEU/PLANUNG/2000/BLATT2/MITTE2.XLS'#$Makro1.$#ODWOŁANIE$#ODWOŁANIE"</definedName>
    <definedName name="Makro2_11">"'file:///A:/BMGH/NEU/PLANUNG/2000/BLATT2/MITTE2.XLS'#$Makro1.$#ODWOŁANIE$#ODWOŁANIE"</definedName>
    <definedName name="Makro2_12">"'file:///A:/BMGH/NEU/PLANUNG/2000/BLATT2/MITTE2.XLS'#$Makro1.$#ODWOŁANIE$#ODWOŁANIE"</definedName>
    <definedName name="Makro2_13">"'file:///A:/BMGH/NEU/PLANUNG/2000/BLATT2/MITTE2.XLS'#$Makro1.$#ODWOŁANIE$#ODWOŁANIE"</definedName>
    <definedName name="Makro2_14">"'file:///A:/BMGH/NEU/PLANUNG/2000/BLATT2/MITTE2.XLS'#$Makro1.$#ODWOŁANIE$#ODWOŁANIE"</definedName>
    <definedName name="Makro2_15">"'file:///A:/BMGH/NEU/PLANUNG/2000/BLATT2/MITTE2.XLS'#$Makro1.$#ODWOŁANIE$#ODWOŁANIE"</definedName>
    <definedName name="Makro2_16">"'file:///A:/BMGH/NEU/PLANUNG/2000/BLATT2/MITTE2.XLS'#$Makro1.$#ODWOŁANIE$#ODWOŁANIE"</definedName>
    <definedName name="Makro2_17">"'file:///A:/BMGH/NEU/PLANUNG/2000/BLATT2/MITTE2.XLS'#$Makro1.$#ODWOŁANIE$#ODWOŁANIE"</definedName>
    <definedName name="Makro2_18">"'file:///A:/BMGH/NEU/PLANUNG/2000/BLATT2/MITTE2.XLS'#$Makro1.$#ODWOŁANIE$#ODWOŁANIE"</definedName>
    <definedName name="Makro2_22">"'file:///A:/BMGH/NEU/PLANUNG/2000/BLATT2/MITTE2.XLS'#$Makro1.$#ODWOŁANIE$#ODWOŁANIE"</definedName>
    <definedName name="Makro2_23">"'file:///A:/BMGH/NEU/PLANUNG/2000/BLATT2/MITTE2.XLS'#$Makro1.$#ODWOŁANIE$#ODWOŁANIE"</definedName>
    <definedName name="Makro2_24">"'file:///A:/BMGH/NEU/PLANUNG/2000/BLATT2/MITTE2.XLS'#$Makro1.$#ODWOŁANIE$#ODWOŁANIE"</definedName>
    <definedName name="Makro2_25">"'file:///A:/BMGH/NEU/PLANUNG/2000/BLATT2/MITTE2.XLS'#$Makro1.$#ODWOŁANIE$#ODWOŁANIE"</definedName>
    <definedName name="Makro2_26">"'file:///A:/BMGH/NEU/PLANUNG/2000/BLATT2/MITTE2.XLS'#$Makro1.$#ODWOŁANIE$#ODWOŁANIE"</definedName>
    <definedName name="Makro2_27">"'file:///A:/BMGH/NEU/PLANUNG/2000/BLATT2/MITTE2.XLS'#$Makro1.$#ODWOŁANIE$#ODWOŁANIE"</definedName>
    <definedName name="Makro2_28">"'file:///A:/BMGH/NEU/PLANUNG/2000/BLATT2/MITTE2.XLS'#$Makro1.$#ODWOŁANIE$#ODWOŁANIE"</definedName>
    <definedName name="Makro2_29">"'file:///A:/BMGH/NEU/PLANUNG/2000/BLATT2/MITTE2.XLS'#$Makro1.$#ODWOŁANIE$#ODWOŁANIE"</definedName>
    <definedName name="Makro2_30">"'file:///A:/BMGH/NEU/PLANUNG/2000/BLATT2/MITTE2.XLS'#$Makro1.$#ODWOŁANIE$#ODWOŁANIE"</definedName>
    <definedName name="Makro2_31">"'file:///A:/BMGH/NEU/PLANUNG/2000/BLATT2/MITTE2.XLS'#$Makro1.$#ODWOŁANIE$#ODWOŁANIE"</definedName>
    <definedName name="Makro2_32">"'file:///A:/BMGH/NEU/PLANUNG/2000/BLATT2/MITTE2.XLS'#$Makro1.$#ODWOŁANIE$#ODWOŁANIE"</definedName>
    <definedName name="Makro2_6">"'file:///A:/BMGH/NEU/PLANUNG/2000/BLATT2/MITTE2.XLS'#$Makro1.$#ODWOŁANIE$#ODWOŁANIE"</definedName>
    <definedName name="Makro2_7">"'file:///A:/BMGH/NEU/PLANUNG/2000/BLATT2/MITTE2.XLS'#$Makro1.$#ODWOŁANIE$#ODWOŁANIE"</definedName>
    <definedName name="Makro2_8">"'file:///A:/BMGH/NEU/PLANUNG/2000/BLATT2/MITTE2.XLS'#$Makro1.$#ODWOŁANIE$#ODWOŁANIE"</definedName>
    <definedName name="Makro2_9">"'file:///A:/BMGH/NEU/PLANUNG/2000/BLATT2/MITTE2.XLS'#$Makro1.$#ODWOŁANIE$#ODWOŁANIE"</definedName>
    <definedName name="Makro4">"'file:///A:/BMGH/NEU/PLANUNG/2000/BLATT2/MITTE2.XLS'#$Makro1.$#ODWOŁANIE$#ODWOŁANIE"</definedName>
    <definedName name="Makro4_10">"'file:///A:/BMGH/NEU/PLANUNG/2000/BLATT2/MITTE2.XLS'#$Makro1.$#ODWOŁANIE$#ODWOŁANIE"</definedName>
    <definedName name="Makro4_11">"'file:///A:/BMGH/NEU/PLANUNG/2000/BLATT2/MITTE2.XLS'#$Makro1.$#ODWOŁANIE$#ODWOŁANIE"</definedName>
    <definedName name="Makro4_12">"'file:///A:/BMGH/NEU/PLANUNG/2000/BLATT2/MITTE2.XLS'#$Makro1.$#ODWOŁANIE$#ODWOŁANIE"</definedName>
    <definedName name="Makro4_13">"'file:///A:/BMGH/NEU/PLANUNG/2000/BLATT2/MITTE2.XLS'#$Makro1.$#ODWOŁANIE$#ODWOŁANIE"</definedName>
    <definedName name="Makro4_14">"'file:///A:/BMGH/NEU/PLANUNG/2000/BLATT2/MITTE2.XLS'#$Makro1.$#ODWOŁANIE$#ODWOŁANIE"</definedName>
    <definedName name="Makro4_15">"'file:///A:/BMGH/NEU/PLANUNG/2000/BLATT2/MITTE2.XLS'#$Makro1.$#ODWOŁANIE$#ODWOŁANIE"</definedName>
    <definedName name="Makro4_16">"'file:///A:/BMGH/NEU/PLANUNG/2000/BLATT2/MITTE2.XLS'#$Makro1.$#ODWOŁANIE$#ODWOŁANIE"</definedName>
    <definedName name="Makro4_17">"'file:///A:/BMGH/NEU/PLANUNG/2000/BLATT2/MITTE2.XLS'#$Makro1.$#ODWOŁANIE$#ODWOŁANIE"</definedName>
    <definedName name="Makro4_18">"'file:///A:/BMGH/NEU/PLANUNG/2000/BLATT2/MITTE2.XLS'#$Makro1.$#ODWOŁANIE$#ODWOŁANIE"</definedName>
    <definedName name="Makro4_22">"'file:///A:/BMGH/NEU/PLANUNG/2000/BLATT2/MITTE2.XLS'#$Makro1.$#ODWOŁANIE$#ODWOŁANIE"</definedName>
    <definedName name="Makro4_23">"'file:///A:/BMGH/NEU/PLANUNG/2000/BLATT2/MITTE2.XLS'#$Makro1.$#ODWOŁANIE$#ODWOŁANIE"</definedName>
    <definedName name="Makro4_24">"'file:///A:/BMGH/NEU/PLANUNG/2000/BLATT2/MITTE2.XLS'#$Makro1.$#ODWOŁANIE$#ODWOŁANIE"</definedName>
    <definedName name="Makro4_25">"'file:///A:/BMGH/NEU/PLANUNG/2000/BLATT2/MITTE2.XLS'#$Makro1.$#ODWOŁANIE$#ODWOŁANIE"</definedName>
    <definedName name="Makro4_26">"'file:///A:/BMGH/NEU/PLANUNG/2000/BLATT2/MITTE2.XLS'#$Makro1.$#ODWOŁANIE$#ODWOŁANIE"</definedName>
    <definedName name="Makro4_27">"'file:///A:/BMGH/NEU/PLANUNG/2000/BLATT2/MITTE2.XLS'#$Makro1.$#ODWOŁANIE$#ODWOŁANIE"</definedName>
    <definedName name="Makro4_28">"'file:///A:/BMGH/NEU/PLANUNG/2000/BLATT2/MITTE2.XLS'#$Makro1.$#ODWOŁANIE$#ODWOŁANIE"</definedName>
    <definedName name="Makro4_29">"'file:///A:/BMGH/NEU/PLANUNG/2000/BLATT2/MITTE2.XLS'#$Makro1.$#ODWOŁANIE$#ODWOŁANIE"</definedName>
    <definedName name="Makro4_30">"'file:///A:/BMGH/NEU/PLANUNG/2000/BLATT2/MITTE2.XLS'#$Makro1.$#ODWOŁANIE$#ODWOŁANIE"</definedName>
    <definedName name="Makro4_31">"'file:///A:/BMGH/NEU/PLANUNG/2000/BLATT2/MITTE2.XLS'#$Makro1.$#ODWOŁANIE$#ODWOŁANIE"</definedName>
    <definedName name="Makro4_32">"'file:///A:/BMGH/NEU/PLANUNG/2000/BLATT2/MITTE2.XLS'#$Makro1.$#ODWOŁANIE$#ODWOŁANIE"</definedName>
    <definedName name="Makro4_6">"'file:///A:/BMGH/NEU/PLANUNG/2000/BLATT2/MITTE2.XLS'#$Makro1.$#ODWOŁANIE$#ODWOŁANIE"</definedName>
    <definedName name="Makro4_7">"'file:///A:/BMGH/NEU/PLANUNG/2000/BLATT2/MITTE2.XLS'#$Makro1.$#ODWOŁANIE$#ODWOŁANIE"</definedName>
    <definedName name="Makro4_8">"'file:///A:/BMGH/NEU/PLANUNG/2000/BLATT2/MITTE2.XLS'#$Makro1.$#ODWOŁANIE$#ODWOŁANIE"</definedName>
    <definedName name="Makro4_9">"'file:///A:/BMGH/NEU/PLANUNG/2000/BLATT2/MITTE2.XLS'#$Makro1.$#ODWOŁANIE$#ODWOŁANIE"</definedName>
    <definedName name="Malowanie_betonu">25</definedName>
    <definedName name="MAN_HRS">#REF!</definedName>
    <definedName name="MAN_LAB" localSheetId="0">#REF!</definedName>
    <definedName name="MAN_LAB">#REF!</definedName>
    <definedName name="Management" localSheetId="4">#REF!</definedName>
    <definedName name="Management" localSheetId="5">#REF!</definedName>
    <definedName name="Management" localSheetId="0">#REF!</definedName>
    <definedName name="Management">#REF!</definedName>
    <definedName name="Management_Fee_at_Risk" localSheetId="4">#REF!</definedName>
    <definedName name="Management_Fee_at_Risk" localSheetId="5">#REF!</definedName>
    <definedName name="Management_Fee_at_Risk" localSheetId="0">#REF!</definedName>
    <definedName name="Management_Fee_at_Risk">#REF!</definedName>
    <definedName name="management_graph" localSheetId="4">#REF!</definedName>
    <definedName name="management_graph" localSheetId="5">#REF!</definedName>
    <definedName name="management_graph" localSheetId="0">#REF!</definedName>
    <definedName name="management_graph">#REF!</definedName>
    <definedName name="management_schedule" localSheetId="0">#REF!</definedName>
    <definedName name="management_schedule">#REF!</definedName>
    <definedName name="MANHOLE" localSheetId="4">#REF!</definedName>
    <definedName name="MANHOLE" localSheetId="5">#REF!</definedName>
    <definedName name="MANHOLE" localSheetId="0">#REF!</definedName>
    <definedName name="MANHOLE">#REF!</definedName>
    <definedName name="mao" localSheetId="4">#REF!</definedName>
    <definedName name="mao" localSheetId="5">#REF!</definedName>
    <definedName name="mao" localSheetId="0">#REF!</definedName>
    <definedName name="mao">#REF!</definedName>
    <definedName name="MAQ20121TP" localSheetId="4">#REF!</definedName>
    <definedName name="MAQ20121TP" localSheetId="5">#REF!</definedName>
    <definedName name="MAQ20121TP" localSheetId="0">#REF!</definedName>
    <definedName name="MAQ20121TP">#REF!</definedName>
    <definedName name="MAQ20121TR" localSheetId="4">#REF!</definedName>
    <definedName name="MAQ20121TR" localSheetId="0">#REF!</definedName>
    <definedName name="MAQ20121TR">#REF!</definedName>
    <definedName name="MAQ2012V0" localSheetId="4">#REF!</definedName>
    <definedName name="MAQ2012V0" localSheetId="0">#REF!</definedName>
    <definedName name="MAQ2012V0">#REF!</definedName>
    <definedName name="MAQ2012V1" localSheetId="4">#REF!</definedName>
    <definedName name="MAQ2012V1" localSheetId="0">#REF!</definedName>
    <definedName name="MAQ2012V1">#REF!</definedName>
    <definedName name="MAQ2012V1NC" localSheetId="4">#REF!</definedName>
    <definedName name="MAQ2012V1NC" localSheetId="0">#REF!</definedName>
    <definedName name="MAQ2012V1NC">#REF!</definedName>
    <definedName name="MAQ2012V1OC" localSheetId="4">#REF!</definedName>
    <definedName name="MAQ2012V1OC" localSheetId="0">#REF!</definedName>
    <definedName name="MAQ2012V1OC">#REF!</definedName>
    <definedName name="Maquinaria" localSheetId="4">#REF!</definedName>
    <definedName name="Maquinaria" localSheetId="0">#REF!</definedName>
    <definedName name="Maquinaria">#REF!</definedName>
    <definedName name="MAQUINARIA2" localSheetId="4">#REF!</definedName>
    <definedName name="MAQUINARIA2" localSheetId="0">#REF!</definedName>
    <definedName name="MAQUINARIA2">#REF!</definedName>
    <definedName name="mario" localSheetId="0">#REF!</definedName>
    <definedName name="mario">#REF!</definedName>
    <definedName name="Markup" localSheetId="4">#REF!</definedName>
    <definedName name="Markup" localSheetId="5">#REF!</definedName>
    <definedName name="Markup" localSheetId="0">#REF!</definedName>
    <definedName name="Markup">#REF!</definedName>
    <definedName name="Markup11" localSheetId="4">#REF!</definedName>
    <definedName name="Markup11" localSheetId="5">#REF!</definedName>
    <definedName name="Markup11" localSheetId="0">#REF!</definedName>
    <definedName name="Markup11">#REF!</definedName>
    <definedName name="Markup12" localSheetId="4">#REF!</definedName>
    <definedName name="Markup12" localSheetId="5">#REF!</definedName>
    <definedName name="Markup12" localSheetId="0">#REF!</definedName>
    <definedName name="Markup12">#REF!</definedName>
    <definedName name="Markup13" localSheetId="4">#REF!</definedName>
    <definedName name="Markup13" localSheetId="5">#REF!</definedName>
    <definedName name="Markup13" localSheetId="0">#REF!</definedName>
    <definedName name="Markup13">#REF!</definedName>
    <definedName name="Markup5" localSheetId="4">#REF!</definedName>
    <definedName name="Markup5" localSheetId="0">#REF!</definedName>
    <definedName name="Markup5">#REF!</definedName>
    <definedName name="Markup6" localSheetId="4">#REF!</definedName>
    <definedName name="Markup6" localSheetId="0">#REF!</definedName>
    <definedName name="Markup6">#REF!</definedName>
    <definedName name="Markup7" localSheetId="4">#REF!</definedName>
    <definedName name="Markup7" localSheetId="0">#REF!</definedName>
    <definedName name="Markup7">#REF!</definedName>
    <definedName name="Markup9" localSheetId="4">#REF!</definedName>
    <definedName name="Markup9" localSheetId="0">#REF!</definedName>
    <definedName name="Markup9">#REF!</definedName>
    <definedName name="MarkupCom" localSheetId="4">#REF!</definedName>
    <definedName name="MarkupCom" localSheetId="0">#REF!</definedName>
    <definedName name="MarkupCom">#REF!</definedName>
    <definedName name="MarkupD" localSheetId="4">#REF!</definedName>
    <definedName name="MarkupD" localSheetId="0">#REF!</definedName>
    <definedName name="MarkupD">#REF!</definedName>
    <definedName name="MarkupMEP" localSheetId="4">#REF!</definedName>
    <definedName name="MarkupMEP" localSheetId="0">#REF!</definedName>
    <definedName name="MarkupMEP">#REF!</definedName>
    <definedName name="MarkupMEP1" localSheetId="4">#REF!</definedName>
    <definedName name="MarkupMEP1" localSheetId="0">#REF!</definedName>
    <definedName name="MarkupMEP1">#REF!</definedName>
    <definedName name="MarkupMEP2" localSheetId="4">#REF!</definedName>
    <definedName name="MarkupMEP2" localSheetId="0">#REF!</definedName>
    <definedName name="MarkupMEP2">#REF!</definedName>
    <definedName name="MarkupMEP3" localSheetId="4">#REF!</definedName>
    <definedName name="MarkupMEP3" localSheetId="0">#REF!</definedName>
    <definedName name="MarkupMEP3">#REF!</definedName>
    <definedName name="MarkupMEP4" localSheetId="4">#REF!</definedName>
    <definedName name="MarkupMEP4" localSheetId="0">#REF!</definedName>
    <definedName name="MarkupMEP4">#REF!</definedName>
    <definedName name="MarkupMEP5" localSheetId="4">#REF!</definedName>
    <definedName name="MarkupMEP5" localSheetId="0">#REF!</definedName>
    <definedName name="MarkupMEP5">#REF!</definedName>
    <definedName name="MarkupMEP6" localSheetId="4">#REF!</definedName>
    <definedName name="MarkupMEP6" localSheetId="0">#REF!</definedName>
    <definedName name="MarkupMEP6">#REF!</definedName>
    <definedName name="MarkupMEP7" localSheetId="4">#REF!</definedName>
    <definedName name="MarkupMEP7" localSheetId="0">#REF!</definedName>
    <definedName name="MarkupMEP7">#REF!</definedName>
    <definedName name="marza" localSheetId="4">#REF!</definedName>
    <definedName name="marza" localSheetId="5">#REF!</definedName>
    <definedName name="marza" localSheetId="0">#REF!</definedName>
    <definedName name="marza">#REF!</definedName>
    <definedName name="masaa" localSheetId="0">#REF!</definedName>
    <definedName name="masaa">#REF!</definedName>
    <definedName name="master" localSheetId="4" hidden="1">#REF!</definedName>
    <definedName name="master" localSheetId="5" hidden="1">#REF!</definedName>
    <definedName name="master" localSheetId="0" hidden="1">#REF!</definedName>
    <definedName name="master" hidden="1">#REF!</definedName>
    <definedName name="maszyny" localSheetId="4">#REF!</definedName>
    <definedName name="maszyny" localSheetId="5">#REF!</definedName>
    <definedName name="maszyny" localSheetId="0">#REF!</definedName>
    <definedName name="maszyny">#REF!</definedName>
    <definedName name="mat" localSheetId="0">#REF!</definedName>
    <definedName name="mat">#REF!</definedName>
    <definedName name="MAT_1" localSheetId="4">#REF!</definedName>
    <definedName name="MAT_1" localSheetId="5">#REF!</definedName>
    <definedName name="MAT_1" localSheetId="0">#REF!</definedName>
    <definedName name="MAT_1">#REF!</definedName>
    <definedName name="MAT_2" localSheetId="4">#REF!</definedName>
    <definedName name="MAT_2" localSheetId="5">#REF!</definedName>
    <definedName name="MAT_2" localSheetId="0">#REF!</definedName>
    <definedName name="MAT_2">#REF!</definedName>
    <definedName name="MAT_3_B" localSheetId="4">#REF!</definedName>
    <definedName name="MAT_3_B" localSheetId="5">#REF!</definedName>
    <definedName name="MAT_3_B" localSheetId="0">#REF!</definedName>
    <definedName name="MAT_3_B">#REF!</definedName>
    <definedName name="MAT_4_B" localSheetId="4">#REF!</definedName>
    <definedName name="MAT_4_B" localSheetId="0">#REF!</definedName>
    <definedName name="MAT_4_B">#REF!</definedName>
    <definedName name="MAT_5_B" localSheetId="4">#REF!</definedName>
    <definedName name="MAT_5_B" localSheetId="0">#REF!</definedName>
    <definedName name="MAT_5_B">#REF!</definedName>
    <definedName name="MAT_6_B" localSheetId="4">#REF!</definedName>
    <definedName name="MAT_6_B" localSheetId="0">#REF!</definedName>
    <definedName name="MAT_6_B">#REF!</definedName>
    <definedName name="MAT_7_B" localSheetId="4">#REF!</definedName>
    <definedName name="MAT_7_B" localSheetId="0">#REF!</definedName>
    <definedName name="MAT_7_B">#REF!</definedName>
    <definedName name="MAT_8" localSheetId="4">#REF!</definedName>
    <definedName name="MAT_8" localSheetId="0">#REF!</definedName>
    <definedName name="MAT_8">#REF!</definedName>
    <definedName name="mat1_1" localSheetId="4">#REF!</definedName>
    <definedName name="mat1_1" localSheetId="5">#REF!</definedName>
    <definedName name="mat1_1" localSheetId="0">#REF!</definedName>
    <definedName name="mat1_1">#REF!</definedName>
    <definedName name="MATBIUR">8400/12</definedName>
    <definedName name="mater">#REF!</definedName>
    <definedName name="Materac_gabionowy">130</definedName>
    <definedName name="materia">#REF!</definedName>
    <definedName name="Material" localSheetId="0">#REF!</definedName>
    <definedName name="Material">#REF!</definedName>
    <definedName name="Materiał1" localSheetId="0">#REF!</definedName>
    <definedName name="Materiał1">#REF!</definedName>
    <definedName name="Materiał10" localSheetId="4">#REF!</definedName>
    <definedName name="Materiał10" localSheetId="5">#REF!</definedName>
    <definedName name="Materiał10" localSheetId="0">#REF!</definedName>
    <definedName name="Materiał10">#REF!</definedName>
    <definedName name="Materiał2" localSheetId="0">#REF!</definedName>
    <definedName name="Materiał2">#REF!</definedName>
    <definedName name="Materiał3" localSheetId="0">#REF!</definedName>
    <definedName name="Materiał3">#REF!</definedName>
    <definedName name="Materiał4" localSheetId="0">#REF!</definedName>
    <definedName name="Materiał4">#REF!</definedName>
    <definedName name="Materiał5" localSheetId="0">#REF!</definedName>
    <definedName name="Materiał5">#REF!</definedName>
    <definedName name="Materiał8" localSheetId="4">#REF!</definedName>
    <definedName name="Materiał8" localSheetId="5">#REF!</definedName>
    <definedName name="Materiał8" localSheetId="0">#REF!</definedName>
    <definedName name="Materiał8">#REF!</definedName>
    <definedName name="Materiał9" localSheetId="4">#REF!</definedName>
    <definedName name="Materiał9" localSheetId="5">#REF!</definedName>
    <definedName name="Materiał9" localSheetId="0">#REF!</definedName>
    <definedName name="Materiał9">#REF!</definedName>
    <definedName name="MATERIALES" localSheetId="4">#REF!</definedName>
    <definedName name="MATERIALES" localSheetId="5">#REF!</definedName>
    <definedName name="MATERIALES" localSheetId="0">#REF!</definedName>
    <definedName name="MATERIALES">#REF!</definedName>
    <definedName name="MATERIALES2" localSheetId="0">#REF!</definedName>
    <definedName name="MATERIALES2">#REF!</definedName>
    <definedName name="Materials" localSheetId="4">#REF!</definedName>
    <definedName name="Materials" localSheetId="5">#REF!</definedName>
    <definedName name="Materials" localSheetId="0">#REF!</definedName>
    <definedName name="Materials">#REF!</definedName>
    <definedName name="materiały" localSheetId="4">#REF!</definedName>
    <definedName name="materiały" localSheetId="5">#REF!</definedName>
    <definedName name="materiały" localSheetId="0">#REF!</definedName>
    <definedName name="materiały">#REF!</definedName>
    <definedName name="materiały_1" localSheetId="4">#REF!</definedName>
    <definedName name="materiały_1" localSheetId="5">#REF!</definedName>
    <definedName name="materiały_1" localSheetId="0">#REF!</definedName>
    <definedName name="materiały_1">#REF!</definedName>
    <definedName name="materiały1" localSheetId="4">#REF!</definedName>
    <definedName name="materiały1" localSheetId="5">#REF!</definedName>
    <definedName name="materiały1" localSheetId="0">#REF!</definedName>
    <definedName name="materiały1">#REF!</definedName>
    <definedName name="materiały1_1" localSheetId="4">#REF!</definedName>
    <definedName name="materiały1_1" localSheetId="5">#REF!</definedName>
    <definedName name="materiały1_1" localSheetId="0">#REF!</definedName>
    <definedName name="materiały1_1">#REF!</definedName>
    <definedName name="materiały2" localSheetId="4">#REF!</definedName>
    <definedName name="materiały2" localSheetId="5">#REF!</definedName>
    <definedName name="materiały2" localSheetId="0">#REF!</definedName>
    <definedName name="materiały2">#REF!</definedName>
    <definedName name="materiały2_1" localSheetId="4">#REF!</definedName>
    <definedName name="materiały2_1" localSheetId="5">#REF!</definedName>
    <definedName name="materiały2_1" localSheetId="0">#REF!</definedName>
    <definedName name="materiały2_1">#REF!</definedName>
    <definedName name="MATH_CHK_AFTER_ELEC" localSheetId="4">#REF!</definedName>
    <definedName name="MATH_CHK_AFTER_ELEC" localSheetId="5">#REF!</definedName>
    <definedName name="MATH_CHK_AFTER_ELEC" localSheetId="0">#REF!</definedName>
    <definedName name="MATH_CHK_AFTER_ELEC">#REF!</definedName>
    <definedName name="MATH_CHK_BEFORE_ELEC" localSheetId="4">#REF!</definedName>
    <definedName name="MATH_CHK_BEFORE_ELEC" localSheetId="5">#REF!</definedName>
    <definedName name="MATH_CHK_BEFORE_ELEC" localSheetId="0">#REF!</definedName>
    <definedName name="MATH_CHK_BEFORE_ELEC">#REF!</definedName>
    <definedName name="MATH_CHK_BOX_ELEC" localSheetId="4">#REF!</definedName>
    <definedName name="MATH_CHK_BOX_ELEC" localSheetId="5">#REF!</definedName>
    <definedName name="MATH_CHK_BOX_ELEC" localSheetId="0">#REF!</definedName>
    <definedName name="MATH_CHK_BOX_ELEC">#REF!</definedName>
    <definedName name="MATH_CHK_DATE_ELEC" localSheetId="4">#REF!</definedName>
    <definedName name="MATH_CHK_DATE_ELEC" localSheetId="0">#REF!</definedName>
    <definedName name="MATH_CHK_DATE_ELEC">#REF!</definedName>
    <definedName name="MATH_CHK_DELTA_ELEC" localSheetId="4">#REF!</definedName>
    <definedName name="MATH_CHK_DELTA_ELEC" localSheetId="0">#REF!</definedName>
    <definedName name="MATH_CHK_DELTA_ELEC">#REF!</definedName>
    <definedName name="MATH_CHK_STAT_ELEC" localSheetId="4">#REF!</definedName>
    <definedName name="MATH_CHK_STAT_ELEC" localSheetId="0">#REF!</definedName>
    <definedName name="MATH_CHK_STAT_ELEC">#REF!</definedName>
    <definedName name="MATL" localSheetId="4">IF(VLOOKUP(#REF!,#REF!,5)*#REF!*#REF!=0,0,VLOOKUP(#REF!,#REF!,5)*#REF!*#REF!)</definedName>
    <definedName name="MATL" localSheetId="5">IF(VLOOKUP(#REF!,#REF!,5)*#REF!*#REF!=0,0,VLOOKUP(#REF!,#REF!,5)*#REF!*#REF!)</definedName>
    <definedName name="MATL" localSheetId="0">IF(VLOOKUP(#REF!,#REF!,5)*#REF!*#REF!=0,0,VLOOKUP(#REF!,#REF!,5)*#REF!*#REF!)</definedName>
    <definedName name="MATL">IF(VLOOKUP(#REF!,#REF!,5)*#REF!*#REF!=0,0,VLOOKUP(#REF!,#REF!,5)*#REF!*#REF!)</definedName>
    <definedName name="MATL_DISC_AG_COND" localSheetId="4">#REF!</definedName>
    <definedName name="MATL_DISC_AG_COND" localSheetId="0">#REF!</definedName>
    <definedName name="MATL_DISC_AG_COND">#REF!</definedName>
    <definedName name="MATL_DISC_DB" localSheetId="4">#REF!</definedName>
    <definedName name="MATL_DISC_DB" localSheetId="0">#REF!</definedName>
    <definedName name="MATL_DISC_DB">#REF!</definedName>
    <definedName name="MATL_DISC_EMB_COND" localSheetId="4">#REF!</definedName>
    <definedName name="MATL_DISC_EMB_COND" localSheetId="0">#REF!</definedName>
    <definedName name="MATL_DISC_EMB_COND">#REF!</definedName>
    <definedName name="MATL_DISC_MV" localSheetId="4">#REF!</definedName>
    <definedName name="MATL_DISC_MV" localSheetId="0">#REF!</definedName>
    <definedName name="MATL_DISC_MV">#REF!</definedName>
    <definedName name="MATL_DISC_OTHER" localSheetId="4">#REF!</definedName>
    <definedName name="MATL_DISC_OTHER" localSheetId="0">#REF!</definedName>
    <definedName name="MATL_DISC_OTHER">#REF!</definedName>
    <definedName name="MATL_DISC_TRAY" localSheetId="4">#REF!</definedName>
    <definedName name="MATL_DISC_TRAY" localSheetId="0">#REF!</definedName>
    <definedName name="MATL_DISC_TRAY">#REF!</definedName>
    <definedName name="MATL1" localSheetId="0">IF(VLOOKUP(#REF!,#REF!,5)*#REF!*#REF!=0,0,VLOOKUP(#REF!,#REF!,5)*#REF!*#REF!)</definedName>
    <definedName name="MATL1">IF(VLOOKUP(#REF!,#REF!,5)*#REF!*#REF!=0,0,VLOOKUP(#REF!,#REF!,5)*#REF!*#REF!)</definedName>
    <definedName name="MATPOM">6000/12</definedName>
    <definedName name="MATRIZ">#REF!</definedName>
    <definedName name="MB2011EC" localSheetId="0">#REF!</definedName>
    <definedName name="MB2011EC">#REF!</definedName>
    <definedName name="MB2011V0" localSheetId="0">#REF!</definedName>
    <definedName name="MB2011V0">#REF!</definedName>
    <definedName name="MB20121TP" localSheetId="4">#REF!</definedName>
    <definedName name="MB20121TP" localSheetId="5">#REF!</definedName>
    <definedName name="MB20121TP" localSheetId="0">#REF!</definedName>
    <definedName name="MB20121TP">#REF!</definedName>
    <definedName name="MB20121TR" localSheetId="4">#REF!</definedName>
    <definedName name="MB20121TR" localSheetId="5">#REF!</definedName>
    <definedName name="MB20121TR" localSheetId="0">#REF!</definedName>
    <definedName name="MB20121TR">#REF!</definedName>
    <definedName name="MB2012NC" localSheetId="0">#REF!</definedName>
    <definedName name="MB2012NC">#REF!</definedName>
    <definedName name="MB2012OC" localSheetId="0">#REF!</definedName>
    <definedName name="MB2012OC">#REF!</definedName>
    <definedName name="MB2012V0" localSheetId="4">#REF!</definedName>
    <definedName name="MB2012V0" localSheetId="5">#REF!</definedName>
    <definedName name="MB2012V0" localSheetId="0">#REF!</definedName>
    <definedName name="MB2012V0">#REF!</definedName>
    <definedName name="MB2012V1" localSheetId="4">#REF!</definedName>
    <definedName name="MB2012V1" localSheetId="5">#REF!</definedName>
    <definedName name="MB2012V1" localSheetId="0">#REF!</definedName>
    <definedName name="MB2012V1">#REF!</definedName>
    <definedName name="MB2012V1NC" localSheetId="4">#REF!</definedName>
    <definedName name="MB2012V1NC" localSheetId="5">#REF!</definedName>
    <definedName name="MB2012V1NC" localSheetId="0">#REF!</definedName>
    <definedName name="MB2012V1NC">#REF!</definedName>
    <definedName name="MB2012V1OC" localSheetId="4">#REF!</definedName>
    <definedName name="MB2012V1OC" localSheetId="0">#REF!</definedName>
    <definedName name="MB2012V1OC">#REF!</definedName>
    <definedName name="MBSUP20121TP" localSheetId="4">#REF!</definedName>
    <definedName name="MBSUP20121TP" localSheetId="0">#REF!</definedName>
    <definedName name="MBSUP20121TP">#REF!</definedName>
    <definedName name="MBSUP20121TR" localSheetId="4">#REF!</definedName>
    <definedName name="MBSUP20121TR" localSheetId="0">#REF!</definedName>
    <definedName name="MBSUP20121TR">#REF!</definedName>
    <definedName name="MBSUP2012V0" localSheetId="4">#REF!</definedName>
    <definedName name="MBSUP2012V0" localSheetId="0">#REF!</definedName>
    <definedName name="MBSUP2012V0">#REF!</definedName>
    <definedName name="MBSUP2012V1" localSheetId="4">#REF!</definedName>
    <definedName name="MBSUP2012V1" localSheetId="0">#REF!</definedName>
    <definedName name="MBSUP2012V1">#REF!</definedName>
    <definedName name="MBSUP2012V1NC" localSheetId="4">#REF!</definedName>
    <definedName name="MBSUP2012V1NC" localSheetId="0">#REF!</definedName>
    <definedName name="MBSUP2012V1NC">#REF!</definedName>
    <definedName name="MBSUP2012V1OC" localSheetId="4">#REF!</definedName>
    <definedName name="MBSUP2012V1OC" localSheetId="0">#REF!</definedName>
    <definedName name="MBSUP2012V1OC">#REF!</definedName>
    <definedName name="MCom" localSheetId="4">#REF!</definedName>
    <definedName name="MCom" localSheetId="5">#REF!</definedName>
    <definedName name="MCom" localSheetId="0">#REF!</definedName>
    <definedName name="MCom">#REF!</definedName>
    <definedName name="MComup" localSheetId="4">#REF!</definedName>
    <definedName name="MComup" localSheetId="5">#REF!</definedName>
    <definedName name="MComup" localSheetId="0">#REF!</definedName>
    <definedName name="MComup">#REF!</definedName>
    <definedName name="MDOS" localSheetId="4">#REF!</definedName>
    <definedName name="MDOS" localSheetId="5">#REF!</definedName>
    <definedName name="MDOS" localSheetId="0">#REF!</definedName>
    <definedName name="MDOS">#REF!</definedName>
    <definedName name="ME_Salary" localSheetId="4">#REF!</definedName>
    <definedName name="ME_Salary" localSheetId="5">#REF!</definedName>
    <definedName name="ME_Salary" localSheetId="0">#REF!</definedName>
    <definedName name="ME_Salary">#REF!</definedName>
    <definedName name="MECH_INSTR" localSheetId="4">#REF!</definedName>
    <definedName name="MECH_INSTR" localSheetId="5">#REF!</definedName>
    <definedName name="MECH_INSTR" localSheetId="0">#REF!</definedName>
    <definedName name="MECH_INSTR">#REF!</definedName>
    <definedName name="MECH30_CITY" localSheetId="4">#REF!</definedName>
    <definedName name="MECH30_CITY" localSheetId="5">#REF!</definedName>
    <definedName name="MECH30_CITY" localSheetId="0">#REF!</definedName>
    <definedName name="MECH30_CITY">#REF!</definedName>
    <definedName name="MECH30_ESC" localSheetId="4">#REF!</definedName>
    <definedName name="MECH30_ESC" localSheetId="5">#REF!</definedName>
    <definedName name="MECH30_ESC" localSheetId="0">#REF!</definedName>
    <definedName name="MECH30_ESC">#REF!</definedName>
    <definedName name="MECH30_OLD_CITY" localSheetId="4">#REF!</definedName>
    <definedName name="MECH30_OLD_CITY" localSheetId="0">#REF!</definedName>
    <definedName name="MECH30_OLD_CITY">#REF!</definedName>
    <definedName name="MECH30_OLD_ESC" localSheetId="4">#REF!</definedName>
    <definedName name="MECH30_OLD_ESC" localSheetId="0">#REF!</definedName>
    <definedName name="MECH30_OLD_ESC">#REF!</definedName>
    <definedName name="MECH30_OLD_PROD" localSheetId="4">#REF!</definedName>
    <definedName name="MECH30_OLD_PROD" localSheetId="0">#REF!</definedName>
    <definedName name="MECH30_OLD_PROD">#REF!</definedName>
    <definedName name="MECH30_OLD_WAGE" localSheetId="4">#REF!</definedName>
    <definedName name="MECH30_OLD_WAGE" localSheetId="0">#REF!</definedName>
    <definedName name="MECH30_OLD_WAGE">#REF!</definedName>
    <definedName name="MECH30_PROD" localSheetId="4">#REF!</definedName>
    <definedName name="MECH30_PROD" localSheetId="0">#REF!</definedName>
    <definedName name="MECH30_PROD">#REF!</definedName>
    <definedName name="MECH30_WAGE" localSheetId="4">#REF!</definedName>
    <definedName name="MECH30_WAGE" localSheetId="0">#REF!</definedName>
    <definedName name="MECH30_WAGE">#REF!</definedName>
    <definedName name="MECHNOTES" localSheetId="4">#REF!</definedName>
    <definedName name="MECHNOTES" localSheetId="5">#REF!</definedName>
    <definedName name="MECHNOTES" localSheetId="0">#REF!</definedName>
    <definedName name="MECHNOTES">#REF!</definedName>
    <definedName name="Member_Location" localSheetId="4">#REF!</definedName>
    <definedName name="Member_Location" localSheetId="5">#REF!</definedName>
    <definedName name="Member_Location" localSheetId="0">#REF!</definedName>
    <definedName name="Member_Location">#REF!</definedName>
    <definedName name="Memo" localSheetId="4">#REF!</definedName>
    <definedName name="Memo" localSheetId="5">#REF!</definedName>
    <definedName name="Memo" localSheetId="0">#REF!</definedName>
    <definedName name="Memo">#REF!</definedName>
    <definedName name="Mensile1" localSheetId="4">#REF!</definedName>
    <definedName name="Mensile1" localSheetId="5">#REF!</definedName>
    <definedName name="Mensile1" localSheetId="0">#REF!</definedName>
    <definedName name="Mensile1">#REF!</definedName>
    <definedName name="Mensile2" localSheetId="4">#REF!</definedName>
    <definedName name="Mensile2" localSheetId="5">#REF!</definedName>
    <definedName name="Mensile2" localSheetId="0">#REF!</definedName>
    <definedName name="Mensile2">#REF!</definedName>
    <definedName name="MENSUAL" localSheetId="4">#REF!</definedName>
    <definedName name="MENSUAL" localSheetId="5">#REF!</definedName>
    <definedName name="MENSUAL" localSheetId="0">#REF!</definedName>
    <definedName name="MENSUAL">#REF!</definedName>
    <definedName name="Mensualiza" localSheetId="4">#REF!</definedName>
    <definedName name="Mensualiza" localSheetId="0">#REF!</definedName>
    <definedName name="Mensualiza">#REF!</definedName>
    <definedName name="MENU" localSheetId="0">#REF!</definedName>
    <definedName name="MENU">#REF!</definedName>
    <definedName name="MESACTUAL" localSheetId="4">#REF!</definedName>
    <definedName name="MESACTUAL" localSheetId="5">#REF!</definedName>
    <definedName name="MESACTUAL" localSheetId="0">#REF!</definedName>
    <definedName name="MESACTUAL">#REF!</definedName>
    <definedName name="MESEEEE" localSheetId="5">#REF!</definedName>
    <definedName name="MESEEEE" localSheetId="0">#REF!</definedName>
    <definedName name="MESEEEE">#REF!</definedName>
    <definedName name="met" localSheetId="4">#REF!</definedName>
    <definedName name="met" localSheetId="5">#REF!</definedName>
    <definedName name="met" localSheetId="0">#REF!</definedName>
    <definedName name="met">#REF!</definedName>
    <definedName name="metalowe_elem_ogrodzeń_murowanych" localSheetId="4">#REF!</definedName>
    <definedName name="metalowe_elem_ogrodzeń_murowanych" localSheetId="5">#REF!</definedName>
    <definedName name="metalowe_elem_ogrodzeń_murowanych" localSheetId="0">#REF!</definedName>
    <definedName name="metalowe_elem_ogrodzeń_murowanych">#REF!</definedName>
    <definedName name="MH" localSheetId="4">#REF!</definedName>
    <definedName name="MH" localSheetId="5">#REF!</definedName>
    <definedName name="MH" localSheetId="0">#REF!</definedName>
    <definedName name="MH">#REF!</definedName>
    <definedName name="MH_HH" localSheetId="4">#REF!</definedName>
    <definedName name="MH_HH" localSheetId="5">#REF!</definedName>
    <definedName name="MH_HH" localSheetId="0">#REF!</definedName>
    <definedName name="MH_HH">#REF!</definedName>
    <definedName name="MHR22OS" localSheetId="4">#REF!</definedName>
    <definedName name="MHR22OS" localSheetId="0">#REF!</definedName>
    <definedName name="MHR22OS">#REF!</definedName>
    <definedName name="MHR22SK" localSheetId="4">#REF!</definedName>
    <definedName name="MHR22SK" localSheetId="0">#REF!</definedName>
    <definedName name="MHR22SK">#REF!</definedName>
    <definedName name="MHRS_CONDENSER" localSheetId="4">#REF!</definedName>
    <definedName name="MHRS_CONDENSER" localSheetId="0">#REF!</definedName>
    <definedName name="MHRS_CONDENSER">#REF!</definedName>
    <definedName name="MHRS_GTG" localSheetId="4">#REF!</definedName>
    <definedName name="MHRS_GTG" localSheetId="0">#REF!</definedName>
    <definedName name="MHRS_GTG">#REF!</definedName>
    <definedName name="MHRS_STG" localSheetId="4">#REF!</definedName>
    <definedName name="MHRS_STG" localSheetId="0">#REF!</definedName>
    <definedName name="MHRS_STG">#REF!</definedName>
    <definedName name="MIDPOINT" localSheetId="0">#REF!</definedName>
    <definedName name="MIDPOINT">#REF!</definedName>
    <definedName name="MIGRACJA">79022.68</definedName>
    <definedName name="milan" localSheetId="4">#REF!</definedName>
    <definedName name="milan" localSheetId="5">#REF!</definedName>
    <definedName name="milan" localSheetId="0">#REF!</definedName>
    <definedName name="milan">#REF!</definedName>
    <definedName name="Mine" localSheetId="5">#REF!</definedName>
    <definedName name="Mine" localSheetId="0">#REF!</definedName>
    <definedName name="Mine">#REF!</definedName>
    <definedName name="Mine_Construction_Period_CAPX__less_Mine_Equipment" localSheetId="4">#REF!</definedName>
    <definedName name="Mine_Construction_Period_CAPX__less_Mine_Equipment" localSheetId="5">#REF!</definedName>
    <definedName name="Mine_Construction_Period_CAPX__less_Mine_Equipment" localSheetId="0">#REF!</definedName>
    <definedName name="Mine_Construction_Period_CAPX__less_Mine_Equipment">#REF!</definedName>
    <definedName name="Mine_Partial_Year_Factor" localSheetId="4">#REF!</definedName>
    <definedName name="Mine_Partial_Year_Factor" localSheetId="5">#REF!</definedName>
    <definedName name="Mine_Partial_Year_Factor" localSheetId="0">#REF!</definedName>
    <definedName name="Mine_Partial_Year_Factor">#REF!</definedName>
    <definedName name="Mine_SA_Labor" localSheetId="4">#REF!</definedName>
    <definedName name="Mine_SA_Labor" localSheetId="5">#REF!</definedName>
    <definedName name="Mine_SA_Labor" localSheetId="0">#REF!</definedName>
    <definedName name="Mine_SA_Labor">#REF!</definedName>
    <definedName name="mineHaulageTariff" localSheetId="5">#REF!*#REF!</definedName>
    <definedName name="mineHaulageTariff" localSheetId="0">#REF!*#REF!</definedName>
    <definedName name="mineHaulageTariff">#REF!*#REF!</definedName>
    <definedName name="mineHaulageTariffNominal" localSheetId="0">#REF!</definedName>
    <definedName name="mineHaulageTariffNominal">#REF!</definedName>
    <definedName name="mineHaulageTariffSensitivity" localSheetId="0">#REF!</definedName>
    <definedName name="mineHaulageTariffSensitivity">#REF!</definedName>
    <definedName name="MIOP">5*5000</definedName>
    <definedName name="MISC" localSheetId="4">#REF!</definedName>
    <definedName name="MISC" localSheetId="5">#REF!</definedName>
    <definedName name="MISC" localSheetId="0">#REF!</definedName>
    <definedName name="MISC">#REF!</definedName>
    <definedName name="Misc_Steel_1" localSheetId="4">#REF!</definedName>
    <definedName name="Misc_Steel_1" localSheetId="5">#REF!</definedName>
    <definedName name="Misc_Steel_1" localSheetId="0">#REF!</definedName>
    <definedName name="Misc_Steel_1">#REF!</definedName>
    <definedName name="MIsc_Steel_10" localSheetId="4">#REF!</definedName>
    <definedName name="MIsc_Steel_10" localSheetId="5">#REF!</definedName>
    <definedName name="MIsc_Steel_10" localSheetId="0">#REF!</definedName>
    <definedName name="MIsc_Steel_10">#REF!</definedName>
    <definedName name="Misc_Steel_100" localSheetId="4">#REF!</definedName>
    <definedName name="Misc_Steel_100" localSheetId="0">#REF!</definedName>
    <definedName name="Misc_Steel_100">#REF!</definedName>
    <definedName name="MIsc_Steel_20" localSheetId="4">#REF!</definedName>
    <definedName name="MIsc_Steel_20" localSheetId="0">#REF!</definedName>
    <definedName name="MIsc_Steel_20">#REF!</definedName>
    <definedName name="Misc_Steel_30" localSheetId="4">#REF!</definedName>
    <definedName name="Misc_Steel_30" localSheetId="0">#REF!</definedName>
    <definedName name="Misc_Steel_30">#REF!</definedName>
    <definedName name="MIsc_Steel_40" localSheetId="4">#REF!</definedName>
    <definedName name="MIsc_Steel_40" localSheetId="0">#REF!</definedName>
    <definedName name="MIsc_Steel_40">#REF!</definedName>
    <definedName name="Misc_Steel_50" localSheetId="4">#REF!</definedName>
    <definedName name="Misc_Steel_50" localSheetId="0">#REF!</definedName>
    <definedName name="Misc_Steel_50">#REF!</definedName>
    <definedName name="Misc_Steel_60" localSheetId="4">#REF!</definedName>
    <definedName name="Misc_Steel_60" localSheetId="0">#REF!</definedName>
    <definedName name="Misc_Steel_60">#REF!</definedName>
    <definedName name="MIsc_Steel_70" localSheetId="4">#REF!</definedName>
    <definedName name="MIsc_Steel_70" localSheetId="0">#REF!</definedName>
    <definedName name="MIsc_Steel_70">#REF!</definedName>
    <definedName name="Misc_Steel_80" localSheetId="4">#REF!</definedName>
    <definedName name="Misc_Steel_80" localSheetId="0">#REF!</definedName>
    <definedName name="Misc_Steel_80">#REF!</definedName>
    <definedName name="Misc_Steel_90" localSheetId="4">#REF!</definedName>
    <definedName name="Misc_Steel_90" localSheetId="0">#REF!</definedName>
    <definedName name="Misc_Steel_90">#REF!</definedName>
    <definedName name="MK" localSheetId="4">#REF!</definedName>
    <definedName name="MK" localSheetId="5">#REF!</definedName>
    <definedName name="MK" localSheetId="0">#REF!</definedName>
    <definedName name="MK">#REF!</definedName>
    <definedName name="MkCom" localSheetId="4">#REF!</definedName>
    <definedName name="MkCom" localSheetId="5">#REF!</definedName>
    <definedName name="MkCom" localSheetId="0">#REF!</definedName>
    <definedName name="MkCom">#REF!</definedName>
    <definedName name="MKM" localSheetId="4">#REF!</definedName>
    <definedName name="MKM" localSheetId="5">#REF!</definedName>
    <definedName name="MKM" localSheetId="0">#REF!</definedName>
    <definedName name="MKM">#REF!</definedName>
    <definedName name="MkMep" localSheetId="4">#REF!</definedName>
    <definedName name="MkMep" localSheetId="5">#REF!</definedName>
    <definedName name="MkMep" localSheetId="0">#REF!</definedName>
    <definedName name="MkMep">#REF!</definedName>
    <definedName name="MkMep1" localSheetId="4">#REF!</definedName>
    <definedName name="MkMep1" localSheetId="0">#REF!</definedName>
    <definedName name="MkMep1">#REF!</definedName>
    <definedName name="MKUP" localSheetId="4">#REF!</definedName>
    <definedName name="MKUP" localSheetId="0">#REF!</definedName>
    <definedName name="MKUP">#REF!</definedName>
    <definedName name="MkupCom" localSheetId="4">#REF!</definedName>
    <definedName name="MkupCom" localSheetId="0">#REF!</definedName>
    <definedName name="MkupCom">#REF!</definedName>
    <definedName name="MkupMep" localSheetId="4">#REF!</definedName>
    <definedName name="MkupMep" localSheetId="0">#REF!</definedName>
    <definedName name="MkupMep">#REF!</definedName>
    <definedName name="mm"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MMep" localSheetId="4">#REF!</definedName>
    <definedName name="MMep" localSheetId="0">#REF!</definedName>
    <definedName name="MMep">#REF!</definedName>
    <definedName name="mmmm" localSheetId="4" hidden="1">#REF!</definedName>
    <definedName name="mmmm" localSheetId="5" hidden="1">#REF!</definedName>
    <definedName name="mmmm" localSheetId="0" hidden="1">#REF!</definedName>
    <definedName name="mmmm" hidden="1">#REF!</definedName>
    <definedName name="Mo" localSheetId="4">#REF!</definedName>
    <definedName name="mo" localSheetId="0">#REF!</definedName>
    <definedName name="mo">#REF!</definedName>
    <definedName name="MO20121TP" localSheetId="4">#REF!</definedName>
    <definedName name="MO20121TP" localSheetId="5">#REF!</definedName>
    <definedName name="MO20121TP" localSheetId="0">#REF!</definedName>
    <definedName name="MO20121TP">#REF!</definedName>
    <definedName name="MO20121TR" localSheetId="4">#REF!</definedName>
    <definedName name="MO20121TR" localSheetId="5">#REF!</definedName>
    <definedName name="MO20121TR" localSheetId="0">#REF!</definedName>
    <definedName name="MO20121TR">#REF!</definedName>
    <definedName name="MO2012V0" localSheetId="4">#REF!</definedName>
    <definedName name="MO2012V0" localSheetId="5">#REF!</definedName>
    <definedName name="MO2012V0" localSheetId="0">#REF!</definedName>
    <definedName name="MO2012V0">#REF!</definedName>
    <definedName name="MO2012V1" localSheetId="4">#REF!</definedName>
    <definedName name="MO2012V1" localSheetId="0">#REF!</definedName>
    <definedName name="MO2012V1">#REF!</definedName>
    <definedName name="MO2012V1NC" localSheetId="4">#REF!</definedName>
    <definedName name="MO2012V1NC" localSheetId="0">#REF!</definedName>
    <definedName name="MO2012V1NC">#REF!</definedName>
    <definedName name="MO2012V1OC" localSheetId="4">#REF!</definedName>
    <definedName name="MO2012V1OC" localSheetId="0">#REF!</definedName>
    <definedName name="MO2012V1OC">#REF!</definedName>
    <definedName name="MOBILIZACJA.CFA.ZŁ.M" localSheetId="4">#REF!</definedName>
    <definedName name="MOBILIZACJA.CFA.ZŁ.M" localSheetId="0">#REF!</definedName>
    <definedName name="MOBILIZACJA.CFA.ZŁ.M">#REF!</definedName>
    <definedName name="MoCom" localSheetId="4">#REF!</definedName>
    <definedName name="MoCom" localSheetId="5">#REF!</definedName>
    <definedName name="MoCom" localSheetId="0">#REF!</definedName>
    <definedName name="MoCom">#REF!</definedName>
    <definedName name="Mod_Riego_Cult1" localSheetId="0">#REF!</definedName>
    <definedName name="Mod_Riego_Cult1">#REF!</definedName>
    <definedName name="Mod_Riego_Cult1_SP" localSheetId="0">#REF!</definedName>
    <definedName name="Mod_Riego_Cult1_SP">#REF!</definedName>
    <definedName name="Mod_Riego_Cult2" localSheetId="0">#REF!</definedName>
    <definedName name="Mod_Riego_Cult2">#REF!</definedName>
    <definedName name="Mod_Riego_Cult2_SP" localSheetId="0">#REF!</definedName>
    <definedName name="Mod_Riego_Cult2_SP">#REF!</definedName>
    <definedName name="Mod_Riego_Cult3" localSheetId="0">#REF!</definedName>
    <definedName name="Mod_Riego_Cult3">#REF!</definedName>
    <definedName name="Mod_Riego_Cult3_SP" localSheetId="0">#REF!</definedName>
    <definedName name="Mod_Riego_Cult3_SP">#REF!</definedName>
    <definedName name="Mod_Riego_Cult4" localSheetId="4">#REF!</definedName>
    <definedName name="Mod_Riego_Cult4" localSheetId="5">#REF!</definedName>
    <definedName name="Mod_Riego_Cult4" localSheetId="0">#REF!</definedName>
    <definedName name="Mod_Riego_Cult4">#REF!</definedName>
    <definedName name="Mod_Riego_Cult4_SP" localSheetId="4">#REF!</definedName>
    <definedName name="Mod_Riego_Cult4_SP" localSheetId="5">#REF!</definedName>
    <definedName name="Mod_Riego_Cult4_SP" localSheetId="0">#REF!</definedName>
    <definedName name="Mod_Riego_Cult4_SP">#REF!</definedName>
    <definedName name="Mod_Riego_Cult5" localSheetId="0">#REF!</definedName>
    <definedName name="Mod_Riego_Cult5">#REF!</definedName>
    <definedName name="Mod_Riego_Cult5_SP" localSheetId="0">#REF!</definedName>
    <definedName name="Mod_Riego_Cult5_SP">#REF!</definedName>
    <definedName name="MODEL_Crushing_and_Pile_Formation_Daily_Costs" localSheetId="4">#REF!</definedName>
    <definedName name="MODEL_Crushing_and_Pile_Formation_Daily_Costs" localSheetId="5">#REF!</definedName>
    <definedName name="MODEL_Crushing_and_Pile_Formation_Daily_Costs" localSheetId="0">#REF!</definedName>
    <definedName name="MODEL_Crushing_and_Pile_Formation_Daily_Costs">#REF!</definedName>
    <definedName name="MODEL_Crushing_and_Pile_Formation_Operating_Supplies_Costs" localSheetId="4">#REF!</definedName>
    <definedName name="MODEL_Crushing_and_Pile_Formation_Operating_Supplies_Costs" localSheetId="5">#REF!</definedName>
    <definedName name="MODEL_Crushing_and_Pile_Formation_Operating_Supplies_Costs" localSheetId="0">#REF!</definedName>
    <definedName name="MODEL_Crushing_and_Pile_Formation_Operating_Supplies_Costs">#REF!</definedName>
    <definedName name="MODEL_Crushing_and_Pile_Formation_Outsourcing_Heap_Formattion_Tariffs_Costs" localSheetId="4">#REF!</definedName>
    <definedName name="MODEL_Crushing_and_Pile_Formation_Outsourcing_Heap_Formattion_Tariffs_Costs" localSheetId="5">#REF!</definedName>
    <definedName name="MODEL_Crushing_and_Pile_Formation_Outsourcing_Heap_Formattion_Tariffs_Costs" localSheetId="0">#REF!</definedName>
    <definedName name="MODEL_Crushing_and_Pile_Formation_Outsourcing_Heap_Formattion_Tariffs_Costs">#REF!</definedName>
    <definedName name="MODEL_Crushing_and_Pile_Formation_Supervision_Costs" localSheetId="4">#REF!</definedName>
    <definedName name="MODEL_Crushing_and_Pile_Formation_Supervision_Costs" localSheetId="5">#REF!</definedName>
    <definedName name="MODEL_Crushing_and_Pile_Formation_Supervision_Costs" localSheetId="0">#REF!</definedName>
    <definedName name="MODEL_Crushing_and_Pile_Formation_Supervision_Costs">#REF!</definedName>
    <definedName name="MODEL_Leach__SX_and_EW_Contracts_Costs" localSheetId="0">#REF!</definedName>
    <definedName name="MODEL_Leach__SX_and_EW_Contracts_Costs">#REF!</definedName>
    <definedName name="modelStartDate">33604</definedName>
    <definedName name="modelYear" localSheetId="4">#REF!</definedName>
    <definedName name="modelYear" localSheetId="0">#REF!</definedName>
    <definedName name="modelYear">#REF!</definedName>
    <definedName name="MÓDRIESGO" localSheetId="4">#REF!</definedName>
    <definedName name="MÓDRIESGO" localSheetId="5">#REF!</definedName>
    <definedName name="MÓDRIESGO" localSheetId="0">#REF!</definedName>
    <definedName name="MÓDRIESGO">#REF!</definedName>
    <definedName name="Módulo2.impr">#N/A</definedName>
    <definedName name="Módulo2.imprimeme">#N/A</definedName>
    <definedName name="MODULO3">#N/A</definedName>
    <definedName name="Módulo3.imprimeme" localSheetId="4">#REF!</definedName>
    <definedName name="Módulo3.imprimeme" localSheetId="5">#REF!</definedName>
    <definedName name="Módulo3.imprimeme" localSheetId="0">#REF!</definedName>
    <definedName name="Módulo3.imprimeme">#REF!</definedName>
    <definedName name="molo" localSheetId="4">#REF!-(26717.11-15928.3)/12</definedName>
    <definedName name="molo" localSheetId="5">#REF!-(26717.11-15928.3)/12</definedName>
    <definedName name="molo" localSheetId="0">#REF!-(26717.11-15928.3)/12</definedName>
    <definedName name="molo">#REF!-(26717.11-15928.3)/12</definedName>
    <definedName name="molo_1" localSheetId="4">#REF!-(26717.11-15928.3)/12</definedName>
    <definedName name="molo_1" localSheetId="5">#REF!-(26717.11-15928.3)/12</definedName>
    <definedName name="molo_1" localSheetId="0">#REF!-(26717.11-15928.3)/12</definedName>
    <definedName name="molo_1">#REF!-(26717.11-15928.3)/12</definedName>
    <definedName name="molooooooooo">0</definedName>
    <definedName name="Monito" localSheetId="0">#REF!</definedName>
    <definedName name="Monito">#REF!</definedName>
    <definedName name="MONTH" localSheetId="0">#REF!</definedName>
    <definedName name="MONTH">#REF!</definedName>
    <definedName name="MONTHS" localSheetId="0">#REF!</definedName>
    <definedName name="MONTHS">#REF!</definedName>
    <definedName name="most" localSheetId="0">#REF!</definedName>
    <definedName name="most">#REF!</definedName>
    <definedName name="Motor_Hp" localSheetId="4">#REF!</definedName>
    <definedName name="Motor_Hp" localSheetId="5">#REF!</definedName>
    <definedName name="Motor_Hp" localSheetId="0">#REF!</definedName>
    <definedName name="Motor_Hp">#REF!</definedName>
    <definedName name="MOTOR_HP_OFFSITE" localSheetId="4">#REF!</definedName>
    <definedName name="MOTOR_HP_OFFSITE" localSheetId="5">#REF!</definedName>
    <definedName name="MOTOR_HP_OFFSITE" localSheetId="0">#REF!</definedName>
    <definedName name="MOTOR_HP_OFFSITE">#REF!</definedName>
    <definedName name="MOTOR_HP_PB" localSheetId="4">#REF!</definedName>
    <definedName name="MOTOR_HP_PB" localSheetId="5">#REF!</definedName>
    <definedName name="MOTOR_HP_PB" localSheetId="0">#REF!</definedName>
    <definedName name="MOTOR_HP_PB">#REF!</definedName>
    <definedName name="MOTOR_HP_PB10" localSheetId="4">#REF!</definedName>
    <definedName name="MOTOR_HP_PB10" localSheetId="0">#REF!</definedName>
    <definedName name="MOTOR_HP_PB10">#REF!</definedName>
    <definedName name="MOTOR_HP_PB100" localSheetId="4">#REF!</definedName>
    <definedName name="MOTOR_HP_PB100" localSheetId="0">#REF!</definedName>
    <definedName name="MOTOR_HP_PB100">#REF!</definedName>
    <definedName name="MOTOR_HP_PB1000" localSheetId="4">#REF!</definedName>
    <definedName name="MOTOR_HP_PB1000" localSheetId="0">#REF!</definedName>
    <definedName name="MOTOR_HP_PB1000">#REF!</definedName>
    <definedName name="MOTOR_HP_PB10000" localSheetId="4">#REF!</definedName>
    <definedName name="MOTOR_HP_PB10000" localSheetId="0">#REF!</definedName>
    <definedName name="MOTOR_HP_PB10000">#REF!</definedName>
    <definedName name="MOTOR_HP_PB15000" localSheetId="4">#REF!</definedName>
    <definedName name="MOTOR_HP_PB15000" localSheetId="0">#REF!</definedName>
    <definedName name="MOTOR_HP_PB15000">#REF!</definedName>
    <definedName name="MOTOR_HP_PB200" localSheetId="4">#REF!</definedName>
    <definedName name="MOTOR_HP_PB200" localSheetId="0">#REF!</definedName>
    <definedName name="MOTOR_HP_PB200">#REF!</definedName>
    <definedName name="MOTOR_HP_PB2000" localSheetId="4">#REF!</definedName>
    <definedName name="MOTOR_HP_PB2000" localSheetId="0">#REF!</definedName>
    <definedName name="MOTOR_HP_PB2000">#REF!</definedName>
    <definedName name="MOTOR_HP_PB25" localSheetId="4">#REF!</definedName>
    <definedName name="MOTOR_HP_PB25" localSheetId="0">#REF!</definedName>
    <definedName name="MOTOR_HP_PB25">#REF!</definedName>
    <definedName name="MOTOR_HP_PB3000" localSheetId="4">#REF!</definedName>
    <definedName name="MOTOR_HP_PB3000" localSheetId="0">#REF!</definedName>
    <definedName name="MOTOR_HP_PB3000">#REF!</definedName>
    <definedName name="MOTOR_HP_PB400" localSheetId="4">#REF!</definedName>
    <definedName name="MOTOR_HP_PB400" localSheetId="0">#REF!</definedName>
    <definedName name="MOTOR_HP_PB400">#REF!</definedName>
    <definedName name="MOTOR_HP_PB4000" localSheetId="4">#REF!</definedName>
    <definedName name="MOTOR_HP_PB4000" localSheetId="0">#REF!</definedName>
    <definedName name="MOTOR_HP_PB4000">#REF!</definedName>
    <definedName name="MOTOR_HP_PB50" localSheetId="4">#REF!</definedName>
    <definedName name="MOTOR_HP_PB50" localSheetId="0">#REF!</definedName>
    <definedName name="MOTOR_HP_PB50">#REF!</definedName>
    <definedName name="MOTOR_HP_PB500" localSheetId="4">#REF!</definedName>
    <definedName name="MOTOR_HP_PB500" localSheetId="0">#REF!</definedName>
    <definedName name="MOTOR_HP_PB500">#REF!</definedName>
    <definedName name="MOTOR_HP_PB5000" localSheetId="4">#REF!</definedName>
    <definedName name="MOTOR_HP_PB5000" localSheetId="0">#REF!</definedName>
    <definedName name="MOTOR_HP_PB5000">#REF!</definedName>
    <definedName name="MOTOR_HP_PB7500" localSheetId="4">#REF!</definedName>
    <definedName name="MOTOR_HP_PB7500" localSheetId="0">#REF!</definedName>
    <definedName name="MOTOR_HP_PB7500">#REF!</definedName>
    <definedName name="MOTOR_HP_YARD" localSheetId="4">#REF!</definedName>
    <definedName name="MOTOR_HP_YARD" localSheetId="0">#REF!</definedName>
    <definedName name="MOTOR_HP_YARD">#REF!</definedName>
    <definedName name="MOTOR_HP_YARD10" localSheetId="4">#REF!</definedName>
    <definedName name="MOTOR_HP_YARD10" localSheetId="0">#REF!</definedName>
    <definedName name="MOTOR_HP_YARD10">#REF!</definedName>
    <definedName name="MOTOR_HP_YARD100" localSheetId="4">#REF!</definedName>
    <definedName name="MOTOR_HP_YARD100" localSheetId="0">#REF!</definedName>
    <definedName name="MOTOR_HP_YARD100">#REF!</definedName>
    <definedName name="MOTOR_HP_YARD1000" localSheetId="4">#REF!</definedName>
    <definedName name="MOTOR_HP_YARD1000" localSheetId="0">#REF!</definedName>
    <definedName name="MOTOR_HP_YARD1000">#REF!</definedName>
    <definedName name="MOTOR_HP_YARD10000" localSheetId="4">#REF!</definedName>
    <definedName name="MOTOR_HP_YARD10000" localSheetId="0">#REF!</definedName>
    <definedName name="MOTOR_HP_YARD10000">#REF!</definedName>
    <definedName name="MOTOR_HP_YARD15000" localSheetId="4">#REF!</definedName>
    <definedName name="MOTOR_HP_YARD15000" localSheetId="0">#REF!</definedName>
    <definedName name="MOTOR_HP_YARD15000">#REF!</definedName>
    <definedName name="MOTOR_HP_YARD200" localSheetId="4">#REF!</definedName>
    <definedName name="MOTOR_HP_YARD200" localSheetId="0">#REF!</definedName>
    <definedName name="MOTOR_HP_YARD200">#REF!</definedName>
    <definedName name="MOTOR_HP_YARD2000" localSheetId="4">#REF!</definedName>
    <definedName name="MOTOR_HP_YARD2000" localSheetId="0">#REF!</definedName>
    <definedName name="MOTOR_HP_YARD2000">#REF!</definedName>
    <definedName name="MOTOR_HP_YARD25" localSheetId="4">#REF!</definedName>
    <definedName name="MOTOR_HP_YARD25" localSheetId="0">#REF!</definedName>
    <definedName name="MOTOR_HP_YARD25">#REF!</definedName>
    <definedName name="MOTOR_HP_YARD3000" localSheetId="4">#REF!</definedName>
    <definedName name="MOTOR_HP_YARD3000" localSheetId="0">#REF!</definedName>
    <definedName name="MOTOR_HP_YARD3000">#REF!</definedName>
    <definedName name="MOTOR_HP_YARD400" localSheetId="4">#REF!</definedName>
    <definedName name="MOTOR_HP_YARD400" localSheetId="0">#REF!</definedName>
    <definedName name="MOTOR_HP_YARD400">#REF!</definedName>
    <definedName name="MOTOR_HP_YARD4000" localSheetId="4">#REF!</definedName>
    <definedName name="MOTOR_HP_YARD4000" localSheetId="0">#REF!</definedName>
    <definedName name="MOTOR_HP_YARD4000">#REF!</definedName>
    <definedName name="MOTOR_HP_YARD50" localSheetId="4">#REF!</definedName>
    <definedName name="MOTOR_HP_YARD50" localSheetId="0">#REF!</definedName>
    <definedName name="MOTOR_HP_YARD50">#REF!</definedName>
    <definedName name="MOTOR_HP_YARD500" localSheetId="4">#REF!</definedName>
    <definedName name="MOTOR_HP_YARD500" localSheetId="0">#REF!</definedName>
    <definedName name="MOTOR_HP_YARD500">#REF!</definedName>
    <definedName name="MOTOR_HP_YARD5000" localSheetId="4">#REF!</definedName>
    <definedName name="MOTOR_HP_YARD5000" localSheetId="0">#REF!</definedName>
    <definedName name="MOTOR_HP_YARD5000">#REF!</definedName>
    <definedName name="MOTOR_HP_YARD7500" localSheetId="4">#REF!</definedName>
    <definedName name="MOTOR_HP_YARD7500" localSheetId="0">#REF!</definedName>
    <definedName name="MOTOR_HP_YARD7500">#REF!</definedName>
    <definedName name="MS">1000024</definedName>
    <definedName name="MTHS_TO_DEL" localSheetId="4">#REF!</definedName>
    <definedName name="MTHS_TO_DEL" localSheetId="5">#REF!</definedName>
    <definedName name="MTHS_TO_DEL" localSheetId="0">#REF!</definedName>
    <definedName name="MTHS_TO_DEL">#REF!</definedName>
    <definedName name="MTRES" localSheetId="4">#REF!</definedName>
    <definedName name="MTRES" localSheetId="5">#REF!</definedName>
    <definedName name="MTRES" localSheetId="0">#REF!</definedName>
    <definedName name="MTRES">#REF!</definedName>
    <definedName name="Multilux">0.9</definedName>
    <definedName name="MUNO" localSheetId="4">#REF!</definedName>
    <definedName name="MUNO" localSheetId="5">#REF!</definedName>
    <definedName name="MUNO" localSheetId="0">#REF!</definedName>
    <definedName name="MUNO">#REF!</definedName>
    <definedName name="mup" localSheetId="4">#REF!</definedName>
    <definedName name="mup" localSheetId="5">#REF!</definedName>
    <definedName name="mup" localSheetId="0">#REF!</definedName>
    <definedName name="mup">#REF!</definedName>
    <definedName name="MWeGross" localSheetId="4">#REF!</definedName>
    <definedName name="MWeGross" localSheetId="5">#REF!</definedName>
    <definedName name="MWeGross" localSheetId="0">#REF!</definedName>
    <definedName name="MWeGross">#REF!</definedName>
    <definedName name="MWeNet" localSheetId="4">#REF!</definedName>
    <definedName name="MWeNet" localSheetId="0">#REF!</definedName>
    <definedName name="MWeNet">#REF!</definedName>
    <definedName name="myPosition">CELL("address",#REF!)</definedName>
    <definedName name="myYear" localSheetId="4">YEAR(#REF!)</definedName>
    <definedName name="myYear" localSheetId="5">YEAR(#REF!)</definedName>
    <definedName name="myYear" localSheetId="0">YEAR(#REF!)</definedName>
    <definedName name="myYear">YEAR(#REF!)</definedName>
    <definedName name="N" localSheetId="4">#REF!</definedName>
    <definedName name="N" localSheetId="5">#REF!</definedName>
    <definedName name="N" localSheetId="0">#REF!</definedName>
    <definedName name="N">#REF!</definedName>
    <definedName name="nada" localSheetId="5">#REF!</definedName>
    <definedName name="nada" localSheetId="0">#REF!</definedName>
    <definedName name="nada">#REF!</definedName>
    <definedName name="Nagłówek" localSheetId="4">#REF!</definedName>
    <definedName name="Nagłówek" localSheetId="5">#REF!</definedName>
    <definedName name="Nagłówek" localSheetId="0">#REF!</definedName>
    <definedName name="Nagłówek">#REF!</definedName>
    <definedName name="nal_dlug" localSheetId="4">#REF!</definedName>
    <definedName name="nal_dlug" localSheetId="0">#REF!</definedName>
    <definedName name="nal_dlug">#REF!</definedName>
    <definedName name="nal_krot" localSheetId="4">#REF!</definedName>
    <definedName name="nal_krot" localSheetId="0">#REF!</definedName>
    <definedName name="nal_krot">#REF!</definedName>
    <definedName name="names">#N/A</definedName>
    <definedName name="Naprawy_PCC">300</definedName>
    <definedName name="narz" localSheetId="4">#REF!</definedName>
    <definedName name="narz" localSheetId="5">#REF!</definedName>
    <definedName name="narz" localSheetId="0">#REF!</definedName>
    <definedName name="narz">#REF!</definedName>
    <definedName name="narzut" localSheetId="4">#REF!</definedName>
    <definedName name="narzut" localSheetId="5">#REF!</definedName>
    <definedName name="narzut" localSheetId="0">#REF!</definedName>
    <definedName name="narzut">#REF!</definedName>
    <definedName name="narzut_inst">"$#ODWOŁANIE!.$C$302"</definedName>
    <definedName name="Nasuwka" localSheetId="4">#REF!</definedName>
    <definedName name="Nasuwka" localSheetId="5">#REF!</definedName>
    <definedName name="Nasuwka" localSheetId="0">#REF!</definedName>
    <definedName name="Nasuwka">#REF!</definedName>
    <definedName name="nasyp_wysadzinowy" localSheetId="4">#REF!</definedName>
    <definedName name="nasyp_wysadzinowy" localSheetId="5">#REF!</definedName>
    <definedName name="nasyp_wysadzinowy" localSheetId="0">#REF!</definedName>
    <definedName name="nasyp_wysadzinowy">#REF!</definedName>
    <definedName name="nasypy_z_dokopu" localSheetId="4">#REF!</definedName>
    <definedName name="nasypy_z_dokopu" localSheetId="5">#REF!</definedName>
    <definedName name="nasypy_z_dokopu" localSheetId="0">#REF!</definedName>
    <definedName name="nasypy_z_dokopu">#REF!</definedName>
    <definedName name="nasypy_zjazdy" localSheetId="4">#REF!</definedName>
    <definedName name="nasypy_zjazdy" localSheetId="5">#REF!</definedName>
    <definedName name="nasypy_zjazdy" localSheetId="0">#REF!</definedName>
    <definedName name="nasypy_zjazdy">#REF!</definedName>
    <definedName name="NAWIGACJA" localSheetId="4">#REF!</definedName>
    <definedName name="NAWIGACJA" localSheetId="0">#REF!</definedName>
    <definedName name="NAWIGACJA">#REF!</definedName>
    <definedName name="nazwa" localSheetId="4">#REF!</definedName>
    <definedName name="nazwa" localSheetId="0">#REF!</definedName>
    <definedName name="nazwa">#REF!</definedName>
    <definedName name="nazwa1" localSheetId="4">#REF!</definedName>
    <definedName name="nazwa1" localSheetId="0">#REF!</definedName>
    <definedName name="nazwa1">#REF!</definedName>
    <definedName name="nazwa2" localSheetId="4">#REF!</definedName>
    <definedName name="nazwa2" localSheetId="0">#REF!</definedName>
    <definedName name="nazwa2">#REF!</definedName>
    <definedName name="NCCART" localSheetId="4">#REF!</definedName>
    <definedName name="NCCART" localSheetId="0">#REF!</definedName>
    <definedName name="NCCART">#REF!</definedName>
    <definedName name="NCCART1T" localSheetId="4">#REF!</definedName>
    <definedName name="NCCART1T" localSheetId="0">#REF!</definedName>
    <definedName name="NCCART1T">#REF!</definedName>
    <definedName name="NCCART4T" localSheetId="4">#REF!</definedName>
    <definedName name="NCCART4T" localSheetId="0">#REF!</definedName>
    <definedName name="NCCART4T">#REF!</definedName>
    <definedName name="NCCONT3T" localSheetId="4">#REF!</definedName>
    <definedName name="NCCONT3T" localSheetId="0">#REF!</definedName>
    <definedName name="NCCONT3T">#REF!</definedName>
    <definedName name="NCCONT4T" localSheetId="4">#REF!</definedName>
    <definedName name="NCCONT4T" localSheetId="0">#REF!</definedName>
    <definedName name="NCCONT4T">#REF!</definedName>
    <definedName name="NCEJEC13" localSheetId="4">#REF!</definedName>
    <definedName name="NCEJEC13" localSheetId="0">#REF!</definedName>
    <definedName name="NCEJEC13">#REF!</definedName>
    <definedName name="NCEJEC14SS" localSheetId="4">#REF!</definedName>
    <definedName name="NCEJEC14SS" localSheetId="0">#REF!</definedName>
    <definedName name="NCEJEC14SS">#REF!</definedName>
    <definedName name="NCIN1T" localSheetId="4">#REF!</definedName>
    <definedName name="NCIN1T" localSheetId="0">#REF!</definedName>
    <definedName name="NCIN1T">#REF!</definedName>
    <definedName name="NCIN3T" localSheetId="4">#REF!</definedName>
    <definedName name="NCIN3T" localSheetId="0">#REF!</definedName>
    <definedName name="NCIN3T">#REF!</definedName>
    <definedName name="NCIN4T" localSheetId="4">#REF!</definedName>
    <definedName name="NCIN4T" localSheetId="0">#REF!</definedName>
    <definedName name="NCIN4T">#REF!</definedName>
    <definedName name="NCTOTPPTO" localSheetId="4">#REF!</definedName>
    <definedName name="NCTOTPPTO" localSheetId="0">#REF!</definedName>
    <definedName name="NCTOTPPTO">#REF!</definedName>
    <definedName name="needle" localSheetId="4">#REF!</definedName>
    <definedName name="needle" localSheetId="0">#REF!</definedName>
    <definedName name="needle">#REF!</definedName>
    <definedName name="NETO_TOT" localSheetId="4">#REF!</definedName>
    <definedName name="NETO_TOT" localSheetId="0">#REF!</definedName>
    <definedName name="NETO_TOT">#REF!</definedName>
    <definedName name="NewMatrix" localSheetId="4">#REF!</definedName>
    <definedName name="NewMatrix" localSheetId="0">#REF!</definedName>
    <definedName name="NewMatrix">#REF!</definedName>
    <definedName name="Next_years_totjob_01" localSheetId="4">#REF!</definedName>
    <definedName name="Next_years_totjob_01" localSheetId="0">#REF!</definedName>
    <definedName name="Next_years_totjob_01">#REF!</definedName>
    <definedName name="Next_years_totjob_02" localSheetId="4">#REF!</definedName>
    <definedName name="Next_years_totjob_02" localSheetId="0">#REF!</definedName>
    <definedName name="Next_years_totjob_02">#REF!</definedName>
    <definedName name="Next_years_totjob_03" localSheetId="4">#REF!</definedName>
    <definedName name="Next_years_totjob_03" localSheetId="0">#REF!</definedName>
    <definedName name="Next_years_totjob_03">#REF!</definedName>
    <definedName name="NFEED10" localSheetId="4">#REF!</definedName>
    <definedName name="NFEED10" localSheetId="0">#REF!</definedName>
    <definedName name="NFEED10">#REF!</definedName>
    <definedName name="NFEED2" localSheetId="4">#REF!</definedName>
    <definedName name="NFEED2" localSheetId="0">#REF!</definedName>
    <definedName name="NFEED2">#REF!</definedName>
    <definedName name="NFEED3" localSheetId="4">#REF!</definedName>
    <definedName name="NFEED3" localSheetId="0">#REF!</definedName>
    <definedName name="NFEED3">#REF!</definedName>
    <definedName name="NFEED4" localSheetId="4">#REF!</definedName>
    <definedName name="NFEED4" localSheetId="0">#REF!</definedName>
    <definedName name="NFEED4">#REF!</definedName>
    <definedName name="NFEED5" localSheetId="4">#REF!</definedName>
    <definedName name="NFEED5" localSheetId="0">#REF!</definedName>
    <definedName name="NFEED5">#REF!</definedName>
    <definedName name="NFEED6" localSheetId="4">#REF!</definedName>
    <definedName name="NFEED6" localSheetId="0">#REF!</definedName>
    <definedName name="NFEED6">#REF!</definedName>
    <definedName name="NFEED7" localSheetId="4">#REF!</definedName>
    <definedName name="NFEED7" localSheetId="0">#REF!</definedName>
    <definedName name="NFEED7">#REF!</definedName>
    <definedName name="NFEED8" localSheetId="4">#REF!</definedName>
    <definedName name="NFEED8" localSheetId="0">#REF!</definedName>
    <definedName name="NFEED8">#REF!</definedName>
    <definedName name="NFEED9" localSheetId="4">#REF!</definedName>
    <definedName name="NFEED9" localSheetId="0">#REF!</definedName>
    <definedName name="NFEED9">#REF!</definedName>
    <definedName name="nieaktualna_2" localSheetId="4">#REF!</definedName>
    <definedName name="nieaktualna_2" localSheetId="0">#REF!</definedName>
    <definedName name="nieaktualna_2">#REF!</definedName>
    <definedName name="nieaktualny" localSheetId="4">#REF!</definedName>
    <definedName name="nieaktualny" localSheetId="0">#REF!</definedName>
    <definedName name="nieaktualny">#REF!</definedName>
    <definedName name="nieaktualnyyyyyyyyy" localSheetId="4">#REF!</definedName>
    <definedName name="nieaktualnyyyyyyyyy" localSheetId="0">#REF!</definedName>
    <definedName name="nieaktualnyyyyyyyyy">#REF!</definedName>
    <definedName name="NIPP" localSheetId="4">#REF!</definedName>
    <definedName name="NIPP" localSheetId="0">#REF!</definedName>
    <definedName name="NIPP">#REF!</definedName>
    <definedName name="nk" localSheetId="4" hidden="1">{"CONCABL1.1",#N/A,FALSE,"1.1.1a1.1.3 ACSR";"AISL1.2",#N/A,FALSE,"1.1.1a1.1.3 ACSR";"torr1.1.3",#N/A,FALSE,"1.1.1a1.1.3 ACSR";"cm1.2",#N/A,FALSE,"1.2 ACSR";"cm2.2",#N/A,FALSE,"1.2 ACSR";#N/A,#N/A,FALSE,"1.3 ACSR";#N/A,#N/A,FALSE,"2.1.1A2.1.3 ACAR";"ac2.1",#N/A,FALSE,"1.2 ACAR";"ac2.2",#N/A,FALSE,"1.2 ACAR";#N/A,#N/A,FALSE,"2.3 ACAR"}</definedName>
    <definedName name="nk" localSheetId="5" hidden="1">{"CONCABL1.1",#N/A,FALSE,"1.1.1a1.1.3 ACSR";"AISL1.2",#N/A,FALSE,"1.1.1a1.1.3 ACSR";"torr1.1.3",#N/A,FALSE,"1.1.1a1.1.3 ACSR";"cm1.2",#N/A,FALSE,"1.2 ACSR";"cm2.2",#N/A,FALSE,"1.2 ACSR";#N/A,#N/A,FALSE,"1.3 ACSR";#N/A,#N/A,FALSE,"2.1.1A2.1.3 ACAR";"ac2.1",#N/A,FALSE,"1.2 ACAR";"ac2.2",#N/A,FALSE,"1.2 ACAR";#N/A,#N/A,FALSE,"2.3 ACAR"}</definedName>
    <definedName name="nk" localSheetId="0" hidden="1">{"CONCABL1.1",#N/A,FALSE,"1.1.1a1.1.3 ACSR";"AISL1.2",#N/A,FALSE,"1.1.1a1.1.3 ACSR";"torr1.1.3",#N/A,FALSE,"1.1.1a1.1.3 ACSR";"cm1.2",#N/A,FALSE,"1.2 ACSR";"cm2.2",#N/A,FALSE,"1.2 ACSR";#N/A,#N/A,FALSE,"1.3 ACSR";#N/A,#N/A,FALSE,"2.1.1A2.1.3 ACAR";"ac2.1",#N/A,FALSE,"1.2 ACAR";"ac2.2",#N/A,FALSE,"1.2 ACAR";#N/A,#N/A,FALSE,"2.3 ACAR"}</definedName>
    <definedName name="nk" hidden="1">{"CONCABL1.1",#N/A,FALSE,"1.1.1a1.1.3 ACSR";"AISL1.2",#N/A,FALSE,"1.1.1a1.1.3 ACSR";"torr1.1.3",#N/A,FALSE,"1.1.1a1.1.3 ACSR";"cm1.2",#N/A,FALSE,"1.2 ACSR";"cm2.2",#N/A,FALSE,"1.2 ACSR";#N/A,#N/A,FALSE,"1.3 ACSR";#N/A,#N/A,FALSE,"2.1.1A2.1.3 ACAR";"ac2.1",#N/A,FALSE,"1.2 ACAR";"ac2.2",#N/A,FALSE,"1.2 ACAR";#N/A,#N/A,FALSE,"2.3 ACAR"}</definedName>
    <definedName name="NN" localSheetId="4">#REF!</definedName>
    <definedName name="NN" localSheetId="5">#REF!</definedName>
    <definedName name="NN" localSheetId="0">#REF!</definedName>
    <definedName name="NN">#REF!</definedName>
    <definedName name="nnn" localSheetId="4" hidden="1">{#N/A,#N/A,FALSE,"SumD";#N/A,#N/A,FALSE,"ElecD";#N/A,#N/A,FALSE,"MechD";#N/A,#N/A,FALSE,"GeotD";#N/A,#N/A,FALSE,"PrcsD";#N/A,#N/A,FALSE,"TunnD";#N/A,#N/A,FALSE,"CivlD";#N/A,#N/A,FALSE,"NtwkD";#N/A,#N/A,FALSE,"EstgD";#N/A,#N/A,FALSE,"PEngD"}</definedName>
    <definedName name="nnn" localSheetId="6" hidden="1">{#N/A,#N/A,FALSE,"SumD";#N/A,#N/A,FALSE,"ElecD";#N/A,#N/A,FALSE,"MechD";#N/A,#N/A,FALSE,"GeotD";#N/A,#N/A,FALSE,"PrcsD";#N/A,#N/A,FALSE,"TunnD";#N/A,#N/A,FALSE,"CivlD";#N/A,#N/A,FALSE,"NtwkD";#N/A,#N/A,FALSE,"EstgD";#N/A,#N/A,FALSE,"PEngD"}</definedName>
    <definedName name="nnn" localSheetId="5" hidden="1">{#N/A,#N/A,FALSE,"SumD";#N/A,#N/A,FALSE,"ElecD";#N/A,#N/A,FALSE,"MechD";#N/A,#N/A,FALSE,"GeotD";#N/A,#N/A,FALSE,"PrcsD";#N/A,#N/A,FALSE,"TunnD";#N/A,#N/A,FALSE,"CivlD";#N/A,#N/A,FALSE,"NtwkD";#N/A,#N/A,FALSE,"EstgD";#N/A,#N/A,FALSE,"PEngD"}</definedName>
    <definedName name="nnn" localSheetId="0"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4" hidden="1">{#N/A,#N/A,FALSE,"SumG";#N/A,#N/A,FALSE,"ElecG";#N/A,#N/A,FALSE,"MechG";#N/A,#N/A,FALSE,"GeotG";#N/A,#N/A,FALSE,"PrcsG";#N/A,#N/A,FALSE,"TunnG";#N/A,#N/A,FALSE,"CivlG";#N/A,#N/A,FALSE,"NtwkG";#N/A,#N/A,FALSE,"EstgG";#N/A,#N/A,FALSE,"PEngG"}</definedName>
    <definedName name="nnnnn" localSheetId="6" hidden="1">{#N/A,#N/A,FALSE,"SumG";#N/A,#N/A,FALSE,"ElecG";#N/A,#N/A,FALSE,"MechG";#N/A,#N/A,FALSE,"GeotG";#N/A,#N/A,FALSE,"PrcsG";#N/A,#N/A,FALSE,"TunnG";#N/A,#N/A,FALSE,"CivlG";#N/A,#N/A,FALSE,"NtwkG";#N/A,#N/A,FALSE,"EstgG";#N/A,#N/A,FALSE,"PEngG"}</definedName>
    <definedName name="nnnnn" localSheetId="5" hidden="1">{#N/A,#N/A,FALSE,"SumG";#N/A,#N/A,FALSE,"ElecG";#N/A,#N/A,FALSE,"MechG";#N/A,#N/A,FALSE,"GeotG";#N/A,#N/A,FALSE,"PrcsG";#N/A,#N/A,FALSE,"TunnG";#N/A,#N/A,FALSE,"CivlG";#N/A,#N/A,FALSE,"NtwkG";#N/A,#N/A,FALSE,"EstgG";#N/A,#N/A,FALSE,"PEngG"}</definedName>
    <definedName name="nnnnn" localSheetId="0"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NR">#REF!</definedName>
    <definedName name="Nº_Cód_Operac" localSheetId="4">#REF!</definedName>
    <definedName name="Nº_Cód_Operac" localSheetId="5">#REF!</definedName>
    <definedName name="Nº_Cód_Operac" localSheetId="0">#REF!</definedName>
    <definedName name="Nº_Cód_Operac">#REF!</definedName>
    <definedName name="No_Est" localSheetId="5">#REF!</definedName>
    <definedName name="No_Est" localSheetId="0">#REF!</definedName>
    <definedName name="No_Est">#REF!</definedName>
    <definedName name="No_of_Hollidays" localSheetId="4">#REF!</definedName>
    <definedName name="No_of_Hollidays" localSheetId="5">#REF!</definedName>
    <definedName name="No_of_Hollidays" localSheetId="0">#REF!</definedName>
    <definedName name="No_of_Hollidays">#REF!</definedName>
    <definedName name="No_Ramadan_Days" localSheetId="4">#REF!</definedName>
    <definedName name="No_Ramadan_Days" localSheetId="0">#REF!</definedName>
    <definedName name="No_Ramadan_Days">#REF!</definedName>
    <definedName name="No_Week_Days" localSheetId="4">#REF!</definedName>
    <definedName name="No_Week_Days" localSheetId="0">#REF!</definedName>
    <definedName name="No_Week_Days">#REF!</definedName>
    <definedName name="No_Weekend_Days" localSheetId="4">#REF!</definedName>
    <definedName name="No_Weekend_Days" localSheetId="0">#REF!</definedName>
    <definedName name="No_Weekend_Days">#REF!</definedName>
    <definedName name="NoConceptos" localSheetId="4">#REF!</definedName>
    <definedName name="NoConceptos" localSheetId="0">#REF!</definedName>
    <definedName name="NoConceptos">#REF!</definedName>
    <definedName name="nol" localSheetId="4" hidden="1">#REF!</definedName>
    <definedName name="nol" localSheetId="0" hidden="1">#REF!</definedName>
    <definedName name="nol" hidden="1">#REF!</definedName>
    <definedName name="NOMBRE" localSheetId="4">#REF!</definedName>
    <definedName name="NOMBRE" localSheetId="0">#REF!</definedName>
    <definedName name="NOMBRE">#REF!</definedName>
    <definedName name="nombrecliente" localSheetId="4">#REF!</definedName>
    <definedName name="nombrecliente" localSheetId="0">#REF!</definedName>
    <definedName name="nombrecliente">#REF!</definedName>
    <definedName name="nombredelaobra" localSheetId="4">#REF!</definedName>
    <definedName name="nombredelaobra" localSheetId="0">#REF!</definedName>
    <definedName name="nombredelaobra">#REF!</definedName>
    <definedName name="nombrevendedor" localSheetId="4">#REF!</definedName>
    <definedName name="nombrevendedor" localSheetId="0">#REF!</definedName>
    <definedName name="nombrevendedor">#REF!</definedName>
    <definedName name="nonreimb" localSheetId="4">#REF!</definedName>
    <definedName name="nonreimb" localSheetId="5">#REF!</definedName>
    <definedName name="nonreimb" localSheetId="0">#REF!</definedName>
    <definedName name="nonreimb">#REF!</definedName>
    <definedName name="Nota1" localSheetId="4">#REF!</definedName>
    <definedName name="Nota1" localSheetId="5">#REF!</definedName>
    <definedName name="Nota1" localSheetId="0">#REF!</definedName>
    <definedName name="Nota1">#REF!</definedName>
    <definedName name="Nota3" localSheetId="4">#REF!</definedName>
    <definedName name="Nota3" localSheetId="5">#REF!</definedName>
    <definedName name="Nota3" localSheetId="0">#REF!</definedName>
    <definedName name="Nota3">#REF!</definedName>
    <definedName name="Notes" localSheetId="0">#REF!</definedName>
    <definedName name="Notes">#REF!</definedName>
    <definedName name="nowe_k1" localSheetId="4">#REF!</definedName>
    <definedName name="nowe_k1" localSheetId="5">#REF!</definedName>
    <definedName name="nowe_k1" localSheetId="0">#REF!</definedName>
    <definedName name="nowe_k1">#REF!</definedName>
    <definedName name="nowe_k2" localSheetId="4">#REF!</definedName>
    <definedName name="nowe_k2" localSheetId="5">#REF!</definedName>
    <definedName name="nowe_k2" localSheetId="0">#REF!</definedName>
    <definedName name="nowe_k2">#REF!</definedName>
    <definedName name="nr_grupy" localSheetId="4">#REF!</definedName>
    <definedName name="nr_grupy" localSheetId="5">#REF!</definedName>
    <definedName name="nr_grupy" localSheetId="0">#REF!</definedName>
    <definedName name="nr_grupy">#REF!</definedName>
    <definedName name="NrKolumnyFormuly" localSheetId="4">#REF!</definedName>
    <definedName name="NrKolumnyFormuly" localSheetId="5">#REF!</definedName>
    <definedName name="NrKolumnyFormuly" localSheetId="0">#REF!</definedName>
    <definedName name="NrKolumnyFormuly">#REF!</definedName>
    <definedName name="NrKolumnyWyniku" localSheetId="4">#REF!</definedName>
    <definedName name="NrKolumnyWyniku" localSheetId="5">#REF!</definedName>
    <definedName name="NrKolumnyWyniku" localSheetId="0">#REF!</definedName>
    <definedName name="NrKolumnyWyniku">#REF!</definedName>
    <definedName name="nt" localSheetId="0">#REF!</definedName>
    <definedName name="nt">#REF!</definedName>
    <definedName name="nu" localSheetId="4">#REF!</definedName>
    <definedName name="nu" localSheetId="5">#REF!</definedName>
    <definedName name="nu" localSheetId="0">#REF!</definedName>
    <definedName name="nu">#REF!</definedName>
    <definedName name="num" localSheetId="0">#REF!</definedName>
    <definedName name="num">#REF!</definedName>
    <definedName name="Num_dias" localSheetId="0">#REF!</definedName>
    <definedName name="Num_dias">#REF!</definedName>
    <definedName name="Num_Pmt_Per_Year" localSheetId="4">#REF!</definedName>
    <definedName name="Num_Pmt_Per_Year" localSheetId="5">#REF!</definedName>
    <definedName name="Num_Pmt_Per_Year" localSheetId="0">#REF!</definedName>
    <definedName name="Num_Pmt_Per_Year">#REF!</definedName>
    <definedName name="Number_of_Payments" localSheetId="4">MATCH(0.01,'Costo Directo'!End_Bal,-1)+1</definedName>
    <definedName name="Number_of_Payments" localSheetId="6">MATCH(0.01,End_Bal,-1)+1</definedName>
    <definedName name="Number_of_Payments" localSheetId="5">MATCH(0.01,End_Bal,-1)+1</definedName>
    <definedName name="Number_of_Payments" localSheetId="0">MATCH(0.01,'Resumen Ejecutivo'!End_Bal,-1)+1</definedName>
    <definedName name="Number_of_Payments">MATCH(0.01,End_Bal,-1)+1</definedName>
    <definedName name="numconvocatoria" localSheetId="4">#REF!</definedName>
    <definedName name="numconvocatoria" localSheetId="5">#REF!</definedName>
    <definedName name="numconvocatoria" localSheetId="0">#REF!</definedName>
    <definedName name="numconvocatoria">#REF!</definedName>
    <definedName name="NumDet" localSheetId="4">#REF!</definedName>
    <definedName name="NumDet" localSheetId="5">#REF!</definedName>
    <definedName name="NumDet" localSheetId="0">#REF!</definedName>
    <definedName name="NumDet">#REF!</definedName>
    <definedName name="numer" localSheetId="0">#REF!</definedName>
    <definedName name="numer">#REF!</definedName>
    <definedName name="numerodeconcurso" localSheetId="4">#REF!</definedName>
    <definedName name="numerodeconcurso" localSheetId="5">#REF!</definedName>
    <definedName name="numerodeconcurso" localSheetId="0">#REF!</definedName>
    <definedName name="numerodeconcurso">#REF!</definedName>
    <definedName name="NUMEROS" localSheetId="0">#REF!</definedName>
    <definedName name="NUMEROS">#REF!</definedName>
    <definedName name="NUMEROS___0" localSheetId="0">#REF!</definedName>
    <definedName name="NUMEROS___0">#REF!</definedName>
    <definedName name="NUMEROS___2" localSheetId="0">#REF!</definedName>
    <definedName name="NUMEROS___2">#REF!</definedName>
    <definedName name="NUMEROS___3" localSheetId="0">#REF!</definedName>
    <definedName name="NUMEROS___3">#REF!</definedName>
    <definedName name="NUMEROS2" localSheetId="0">#REF!</definedName>
    <definedName name="NUMEROS2">#REF!</definedName>
    <definedName name="numrob" localSheetId="4">#REF!</definedName>
    <definedName name="numrob" localSheetId="5">#REF!</definedName>
    <definedName name="numrob" localSheetId="0">#REF!</definedName>
    <definedName name="numrob">#REF!</definedName>
    <definedName name="numrobo" localSheetId="0">#REF!</definedName>
    <definedName name="numrobo">#REF!</definedName>
    <definedName name="Nuova_Griffe_1" localSheetId="4">#REF!</definedName>
    <definedName name="Nuova_Griffe_1" localSheetId="5">#REF!</definedName>
    <definedName name="Nuova_Griffe_1" localSheetId="0">#REF!</definedName>
    <definedName name="Nuova_Griffe_1">#REF!</definedName>
    <definedName name="Nuova_Griffe_1__Estero" localSheetId="4">#REF!</definedName>
    <definedName name="Nuova_Griffe_1__Estero" localSheetId="5">#REF!</definedName>
    <definedName name="Nuova_Griffe_1__Estero" localSheetId="0">#REF!</definedName>
    <definedName name="Nuova_Griffe_1__Estero">#REF!</definedName>
    <definedName name="Nuova_Griffe_1__Italia" localSheetId="4">#REF!</definedName>
    <definedName name="Nuova_Griffe_1__Italia" localSheetId="5">#REF!</definedName>
    <definedName name="Nuova_Griffe_1__Italia" localSheetId="0">#REF!</definedName>
    <definedName name="Nuova_Griffe_1__Italia">#REF!</definedName>
    <definedName name="Nuova_Griffe_2" localSheetId="4">#REF!</definedName>
    <definedName name="Nuova_Griffe_2" localSheetId="0">#REF!</definedName>
    <definedName name="Nuova_Griffe_2">#REF!</definedName>
    <definedName name="Nuova_Griffe_2__Estero" localSheetId="4">#REF!</definedName>
    <definedName name="Nuova_Griffe_2__Estero" localSheetId="0">#REF!</definedName>
    <definedName name="Nuova_Griffe_2__Estero">#REF!</definedName>
    <definedName name="Nuova_Griffe_2_Italia" localSheetId="4">#REF!</definedName>
    <definedName name="Nuova_Griffe_2_Italia" localSheetId="0">#REF!</definedName>
    <definedName name="Nuova_Griffe_2_Italia">#REF!</definedName>
    <definedName name="NvsASD">"V2002-01-31"</definedName>
    <definedName name="NvsAutoDrillOk">"VN"</definedName>
    <definedName name="NvsElapsedTime">0.00117442129703704</definedName>
    <definedName name="NvsEndTime">37298.8705142361</definedName>
    <definedName name="NvsInstSpec">"%"</definedName>
    <definedName name="NvsLayoutType">"M3"</definedName>
    <definedName name="NvsNplSpec">"%,X,RZT.ACCOUNT.,CZF.."</definedName>
    <definedName name="NvsPanelEffdt">"V1901-01-01"</definedName>
    <definedName name="NvsPanelSetid">"VGRALS"</definedName>
    <definedName name="NvsReqBU">"VEL011"</definedName>
    <definedName name="NvsReqBUOnly">"VY"</definedName>
    <definedName name="NvsTransLed">"VN"</definedName>
    <definedName name="NvsTreeASD">"V2002-01-31"</definedName>
    <definedName name="NvsValTbl.BUSINESS_UNIT">"BUS_UNIT_TBL_GL"</definedName>
    <definedName name="o" localSheetId="4">#REF!</definedName>
    <definedName name="o" localSheetId="5">#REF!</definedName>
    <definedName name="o" localSheetId="0">#REF!</definedName>
    <definedName name="o">#REF!</definedName>
    <definedName name="O." localSheetId="4">#REF!</definedName>
    <definedName name="O." localSheetId="5">#REF!</definedName>
    <definedName name="O." localSheetId="0">#REF!</definedName>
    <definedName name="O.">#REF!</definedName>
    <definedName name="ob_8_30" localSheetId="4">#REF!</definedName>
    <definedName name="ob_8_30" localSheetId="5">#REF!</definedName>
    <definedName name="ob_8_30" localSheetId="0">#REF!</definedName>
    <definedName name="ob_8_30">#REF!</definedName>
    <definedName name="Obiekt" localSheetId="4">#REF!</definedName>
    <definedName name="Obiekt" localSheetId="5">#REF!</definedName>
    <definedName name="Obiekt" localSheetId="0">#REF!</definedName>
    <definedName name="Obiekt">#REF!</definedName>
    <definedName name="objętość_ścianki_czołowej_m3" localSheetId="4">#REF!</definedName>
    <definedName name="objętość_ścianki_czołowej_m3" localSheetId="5">#REF!</definedName>
    <definedName name="objętość_ścianki_czołowej_m3" localSheetId="0">#REF!</definedName>
    <definedName name="objętość_ścianki_czołowej_m3">#REF!</definedName>
    <definedName name="obra_1" localSheetId="4">#REF!</definedName>
    <definedName name="obra_1" localSheetId="5">#REF!</definedName>
    <definedName name="obra_1" localSheetId="0">#REF!</definedName>
    <definedName name="obra_1">#REF!</definedName>
    <definedName name="obra_2" localSheetId="4">#REF!</definedName>
    <definedName name="obra_2" localSheetId="5">#REF!</definedName>
    <definedName name="obra_2" localSheetId="0">#REF!</definedName>
    <definedName name="obra_2">#REF!</definedName>
    <definedName name="OBRAS" localSheetId="4">#REF!</definedName>
    <definedName name="OBRAS" localSheetId="0">#REF!</definedName>
    <definedName name="OBRAS">#REF!</definedName>
    <definedName name="obrzeże_20x6" localSheetId="4">#REF!</definedName>
    <definedName name="obrzeże_20x6" localSheetId="0">#REF!</definedName>
    <definedName name="obrzeże_20x6">#REF!</definedName>
    <definedName name="obrzeże_30x8" localSheetId="4">#REF!</definedName>
    <definedName name="obrzeże_30x8" localSheetId="0">#REF!</definedName>
    <definedName name="obrzeże_30x8">#REF!</definedName>
    <definedName name="obrzeże_na_ławie" localSheetId="4">#REF!</definedName>
    <definedName name="obrzeże_na_ławie" localSheetId="0">#REF!</definedName>
    <definedName name="obrzeże_na_ławie">#REF!</definedName>
    <definedName name="obrzeże_na_ławie_bet" localSheetId="4">#REF!</definedName>
    <definedName name="obrzeże_na_ławie_bet" localSheetId="0">#REF!</definedName>
    <definedName name="obrzeże_na_ławie_bet">#REF!</definedName>
    <definedName name="obrzeże_na_ławie_nowe" localSheetId="4">#REF!</definedName>
    <definedName name="obrzeże_na_ławie_nowe" localSheetId="0">#REF!</definedName>
    <definedName name="obrzeże_na_ławie_nowe">#REF!</definedName>
    <definedName name="obrzeże_na_ławie_z_rozbiórki" localSheetId="4">#REF!</definedName>
    <definedName name="obrzeże_na_ławie_z_rozbiórki" localSheetId="0">#REF!</definedName>
    <definedName name="obrzeże_na_ławie_z_rozbiórki">#REF!</definedName>
    <definedName name="obrzeże_na_podsypce_nowe" localSheetId="4">#REF!</definedName>
    <definedName name="obrzeże_na_podsypce_nowe" localSheetId="0">#REF!</definedName>
    <definedName name="obrzeże_na_podsypce_nowe">#REF!</definedName>
    <definedName name="obrzeże_na_podsypce_z_rozbiórki" localSheetId="4">#REF!</definedName>
    <definedName name="obrzeże_na_podsypce_z_rozbiórki" localSheetId="0">#REF!</definedName>
    <definedName name="obrzeże_na_podsypce_z_rozbiórki">#REF!</definedName>
    <definedName name="OBSLUGA">10200/12</definedName>
    <definedName name="OBSZAR" localSheetId="4">#REF!</definedName>
    <definedName name="OBSZAR" localSheetId="5">#REF!</definedName>
    <definedName name="OBSZAR" localSheetId="0">#REF!</definedName>
    <definedName name="OBSZAR">#REF!</definedName>
    <definedName name="OCCART" localSheetId="4">#REF!</definedName>
    <definedName name="OCCART" localSheetId="5">#REF!</definedName>
    <definedName name="OCCART" localSheetId="0">#REF!</definedName>
    <definedName name="OCCART">#REF!</definedName>
    <definedName name="OCCART1T" localSheetId="4">#REF!</definedName>
    <definedName name="OCCART1T" localSheetId="5">#REF!</definedName>
    <definedName name="OCCART1T" localSheetId="0">#REF!</definedName>
    <definedName name="OCCART1T">#REF!</definedName>
    <definedName name="OCCART4T" localSheetId="4">#REF!</definedName>
    <definedName name="OCCART4T" localSheetId="0">#REF!</definedName>
    <definedName name="OCCART4T">#REF!</definedName>
    <definedName name="OCCONT1T" localSheetId="4">#REF!</definedName>
    <definedName name="OCCONT1T" localSheetId="0">#REF!</definedName>
    <definedName name="OCCONT1T">#REF!</definedName>
    <definedName name="OCCONT3T" localSheetId="4">#REF!</definedName>
    <definedName name="OCCONT3T" localSheetId="0">#REF!</definedName>
    <definedName name="OCCONT3T">#REF!</definedName>
    <definedName name="OCCONT4T" localSheetId="4">#REF!</definedName>
    <definedName name="OCCONT4T" localSheetId="0">#REF!</definedName>
    <definedName name="OCCONT4T">#REF!</definedName>
    <definedName name="OCEJEC13" localSheetId="4">#REF!</definedName>
    <definedName name="OCEJEC13" localSheetId="0">#REF!</definedName>
    <definedName name="OCEJEC13">#REF!</definedName>
    <definedName name="OCEJEC14SS" localSheetId="4">#REF!</definedName>
    <definedName name="OCEJEC14SS" localSheetId="0">#REF!</definedName>
    <definedName name="OCEJEC14SS">#REF!</definedName>
    <definedName name="OCIN1T" localSheetId="4">#REF!</definedName>
    <definedName name="OCIN1T" localSheetId="0">#REF!</definedName>
    <definedName name="OCIN1T">#REF!</definedName>
    <definedName name="OCIN3T" localSheetId="4">#REF!</definedName>
    <definedName name="OCIN3T" localSheetId="0">#REF!</definedName>
    <definedName name="OCIN3T">#REF!</definedName>
    <definedName name="OCIN4T" localSheetId="4">#REF!</definedName>
    <definedName name="OCIN4T" localSheetId="0">#REF!</definedName>
    <definedName name="OCIN4T">#REF!</definedName>
    <definedName name="OCTOTPPTO" localSheetId="4">#REF!</definedName>
    <definedName name="OCTOTPPTO" localSheetId="0">#REF!</definedName>
    <definedName name="OCTOTPPTO">#REF!</definedName>
    <definedName name="oczyszczenie" localSheetId="4">#REF!</definedName>
    <definedName name="oczyszczenie" localSheetId="0">#REF!</definedName>
    <definedName name="oczyszczenie">#REF!</definedName>
    <definedName name="OD_FACTOR" localSheetId="4">#REF!</definedName>
    <definedName name="OD_FACTOR" localSheetId="0">#REF!</definedName>
    <definedName name="OD_FACTOR">#REF!</definedName>
    <definedName name="ODC" localSheetId="0">#REF!</definedName>
    <definedName name="ODC">#REF!</definedName>
    <definedName name="ODC_Allowance_Rates" localSheetId="4">#REF!</definedName>
    <definedName name="ODC_Allowance_Rates" localSheetId="5">#REF!</definedName>
    <definedName name="ODC_Allowance_Rates" localSheetId="0">#REF!</definedName>
    <definedName name="ODC_Allowance_Rates">#REF!</definedName>
    <definedName name="Odkucie_skorodowanego_betonu">300</definedName>
    <definedName name="odwodnienie" localSheetId="0">#REF!</definedName>
    <definedName name="odwodnienie">#REF!</definedName>
    <definedName name="ofert" localSheetId="4">#REF!</definedName>
    <definedName name="ofert" localSheetId="5">#REF!</definedName>
    <definedName name="ofert" localSheetId="0">#REF!</definedName>
    <definedName name="ofert">#REF!</definedName>
    <definedName name="ofertacja" localSheetId="4">#REF!</definedName>
    <definedName name="ofertacja" localSheetId="5">#REF!</definedName>
    <definedName name="ofertacja" localSheetId="0">#REF!</definedName>
    <definedName name="ofertacja">#REF!</definedName>
    <definedName name="ofertacja_p" localSheetId="4">#REF!</definedName>
    <definedName name="ofertacja_p" localSheetId="5">#REF!</definedName>
    <definedName name="ofertacja_p" localSheetId="0">#REF!</definedName>
    <definedName name="ofertacja_p">#REF!</definedName>
    <definedName name="Office_Charge_Rate" localSheetId="4">#REF!</definedName>
    <definedName name="Office_Charge_Rate" localSheetId="0">#REF!</definedName>
    <definedName name="Office_Charge_Rate">#REF!</definedName>
    <definedName name="Office_Supplies_Unit_Rate" localSheetId="4">#REF!</definedName>
    <definedName name="Office_Supplies_Unit_Rate" localSheetId="0">#REF!</definedName>
    <definedName name="Office_Supplies_Unit_Rate">#REF!</definedName>
    <definedName name="Offices" localSheetId="4">#REF!</definedName>
    <definedName name="Offices" localSheetId="0">#REF!</definedName>
    <definedName name="Offices">#REF!</definedName>
    <definedName name="oglaend">1</definedName>
    <definedName name="OGOLNE" localSheetId="0">#REF!</definedName>
    <definedName name="OGOLNE">#REF!</definedName>
    <definedName name="ogr" localSheetId="0">#REF!</definedName>
    <definedName name="ogr">#REF!</definedName>
    <definedName name="ogrodzenia_drewniane_z_odzysku" localSheetId="4">#REF!</definedName>
    <definedName name="ogrodzenia_drewniane_z_odzysku" localSheetId="5">#REF!</definedName>
    <definedName name="ogrodzenia_drewniane_z_odzysku" localSheetId="0">#REF!</definedName>
    <definedName name="ogrodzenia_drewniane_z_odzysku">#REF!</definedName>
    <definedName name="ogrodzenia_drewniane_z_odzysku_m" localSheetId="4">#REF!</definedName>
    <definedName name="ogrodzenia_drewniane_z_odzysku_m" localSheetId="5">#REF!</definedName>
    <definedName name="ogrodzenia_drewniane_z_odzysku_m" localSheetId="0">#REF!</definedName>
    <definedName name="ogrodzenia_drewniane_z_odzysku_m">#REF!</definedName>
    <definedName name="ogrodzenia_metalowe_na_słupkach_murowanych_z_odzysku" localSheetId="4">#REF!</definedName>
    <definedName name="ogrodzenia_metalowe_na_słupkach_murowanych_z_odzysku" localSheetId="5">#REF!</definedName>
    <definedName name="ogrodzenia_metalowe_na_słupkach_murowanych_z_odzysku" localSheetId="0">#REF!</definedName>
    <definedName name="ogrodzenia_metalowe_na_słupkach_murowanych_z_odzysku">#REF!</definedName>
    <definedName name="ogrodzenia_metalowe_z_odzysku" localSheetId="4">#REF!</definedName>
    <definedName name="ogrodzenia_metalowe_z_odzysku" localSheetId="0">#REF!</definedName>
    <definedName name="ogrodzenia_metalowe_z_odzysku">#REF!</definedName>
    <definedName name="ogrodzenia_metalowych_z_odzysku" localSheetId="4">#REF!</definedName>
    <definedName name="ogrodzenia_metalowych_z_odzysku" localSheetId="0">#REF!</definedName>
    <definedName name="ogrodzenia_metalowych_z_odzysku">#REF!</definedName>
    <definedName name="ogrodzenia_z_siatki_nowe_m" localSheetId="4">#REF!</definedName>
    <definedName name="ogrodzenia_z_siatki_nowe_m" localSheetId="0">#REF!</definedName>
    <definedName name="ogrodzenia_z_siatki_nowe_m">#REF!</definedName>
    <definedName name="ogrodzenia_z_siatki_z_odzysku_m" localSheetId="4">#REF!</definedName>
    <definedName name="ogrodzenia_z_siatki_z_odzysku_m" localSheetId="0">#REF!</definedName>
    <definedName name="ogrodzenia_z_siatki_z_odzysku_m">#REF!</definedName>
    <definedName name="ogrodzenie_betonowe_nowe_m3" localSheetId="4">#REF!</definedName>
    <definedName name="ogrodzenie_betonowe_nowe_m3" localSheetId="0">#REF!</definedName>
    <definedName name="ogrodzenie_betonowe_nowe_m3">#REF!</definedName>
    <definedName name="ogrzodzenia_drewniane_z_odzysku" localSheetId="4">#REF!</definedName>
    <definedName name="ogrzodzenia_drewniane_z_odzysku" localSheetId="0">#REF!</definedName>
    <definedName name="ogrzodzenia_drewniane_z_odzysku">#REF!</definedName>
    <definedName name="OHKNO" localSheetId="4">#REF!</definedName>
    <definedName name="OHKNO" localSheetId="5">#REF!</definedName>
    <definedName name="OHKNO" localSheetId="0">#REF!</definedName>
    <definedName name="OHKNO">#REF!</definedName>
    <definedName name="ohkt" localSheetId="4">#REF!</definedName>
    <definedName name="ohkt" localSheetId="5">#REF!</definedName>
    <definedName name="ohkt" localSheetId="0">#REF!</definedName>
    <definedName name="ohkt">#REF!</definedName>
    <definedName name="ok" localSheetId="4">#REF!</definedName>
    <definedName name="ok" localSheetId="0">#REF!</definedName>
    <definedName name="ok">#REF!</definedName>
    <definedName name="OKŁADZINA.GRUNT.ZBROJONY" localSheetId="4">#REF!</definedName>
    <definedName name="OKŁADZINA.GRUNT.ZBROJONY" localSheetId="5">#REF!</definedName>
    <definedName name="OKŁADZINA.GRUNT.ZBROJONY" localSheetId="0">#REF!</definedName>
    <definedName name="OKŁADZINA.GRUNT.ZBROJONY">#REF!</definedName>
    <definedName name="OKŁADZINA.MUR.RMS" localSheetId="4">#REF!</definedName>
    <definedName name="OKŁADZINA.MUR.RMS" localSheetId="5">#REF!</definedName>
    <definedName name="OKŁADZINA.MUR.RMS" localSheetId="0">#REF!</definedName>
    <definedName name="OKŁADZINA.MUR.RMS">#REF!</definedName>
    <definedName name="oldprinttotal" localSheetId="0">#REF!</definedName>
    <definedName name="oldprinttotal">#REF!</definedName>
    <definedName name="OM" localSheetId="0">#REF!</definedName>
    <definedName name="OM">#REF!</definedName>
    <definedName name="OM_ACT" localSheetId="0">#REF!</definedName>
    <definedName name="OM_ACT">#REF!</definedName>
    <definedName name="OM_Approved" localSheetId="0">#REF!</definedName>
    <definedName name="OM_Approved">#REF!</definedName>
    <definedName name="OM_DELTA" localSheetId="0">#REF!</definedName>
    <definedName name="OM_DELTA">#REF!</definedName>
    <definedName name="OM_FCT_AF" localSheetId="0">#REF!</definedName>
    <definedName name="OM_FCT_AF">#REF!</definedName>
    <definedName name="OM_TOT" localSheetId="0">#REF!</definedName>
    <definedName name="OM_TOT">#REF!</definedName>
    <definedName name="OMA" localSheetId="4">#REF!</definedName>
    <definedName name="OMA" localSheetId="5">#REF!</definedName>
    <definedName name="OMA" localSheetId="0">#REF!</definedName>
    <definedName name="OMA">#REF!</definedName>
    <definedName name="on" localSheetId="4">#REF!</definedName>
    <definedName name="on" localSheetId="5">#REF!</definedName>
    <definedName name="on" localSheetId="0">#REF!</definedName>
    <definedName name="on">#REF!</definedName>
    <definedName name="oninnen">1</definedName>
    <definedName name="OO" localSheetId="4">#REF!</definedName>
    <definedName name="OO" localSheetId="5">#REF!</definedName>
    <definedName name="OO" localSheetId="0">#REF!</definedName>
    <definedName name="OO">#REF!</definedName>
    <definedName name="OOCC20121TP" localSheetId="4">#REF!</definedName>
    <definedName name="OOCC20121TP" localSheetId="5">#REF!</definedName>
    <definedName name="OOCC20121TP" localSheetId="0">#REF!</definedName>
    <definedName name="OOCC20121TP">#REF!</definedName>
    <definedName name="OOCC20121TR" localSheetId="4">#REF!</definedName>
    <definedName name="OOCC20121TR" localSheetId="5">#REF!</definedName>
    <definedName name="OOCC20121TR" localSheetId="0">#REF!</definedName>
    <definedName name="OOCC20121TR">#REF!</definedName>
    <definedName name="OOCC2012V0" localSheetId="4">#REF!</definedName>
    <definedName name="OOCC2012V0" localSheetId="0">#REF!</definedName>
    <definedName name="OOCC2012V0">#REF!</definedName>
    <definedName name="OOCC2012V1" localSheetId="4">#REF!</definedName>
    <definedName name="OOCC2012V1" localSheetId="0">#REF!</definedName>
    <definedName name="OOCC2012V1">#REF!</definedName>
    <definedName name="OOCC2012V1NC" localSheetId="4">#REF!</definedName>
    <definedName name="OOCC2012V1NC" localSheetId="0">#REF!</definedName>
    <definedName name="OOCC2012V1NC">#REF!</definedName>
    <definedName name="OOCC2012V1OC" localSheetId="4">#REF!</definedName>
    <definedName name="OOCC2012V1OC" localSheetId="0">#REF!</definedName>
    <definedName name="OOCC2012V1OC">#REF!</definedName>
    <definedName name="OOCCEC2011" localSheetId="0">#REF!</definedName>
    <definedName name="OOCCEC2011">#REF!</definedName>
    <definedName name="OOCCV02011" localSheetId="0">#REF!</definedName>
    <definedName name="OOCCV02011">#REF!</definedName>
    <definedName name="ooo" localSheetId="0">#REF!</definedName>
    <definedName name="ooo">#REF!</definedName>
    <definedName name="oooo" localSheetId="4">#REF!</definedName>
    <definedName name="oooo" localSheetId="5">#REF!</definedName>
    <definedName name="oooo" localSheetId="0">#REF!</definedName>
    <definedName name="oooo">#REF!</definedName>
    <definedName name="ooooo" localSheetId="0">#REF!</definedName>
    <definedName name="ooooo">#REF!</definedName>
    <definedName name="op" localSheetId="0">#REF!</definedName>
    <definedName name="op">#REF!</definedName>
    <definedName name="oper" localSheetId="4">#REF!</definedName>
    <definedName name="oper" localSheetId="5">#REF!</definedName>
    <definedName name="oper" localSheetId="0">#REF!</definedName>
    <definedName name="oper">#REF!</definedName>
    <definedName name="Operai" localSheetId="4">#REF!</definedName>
    <definedName name="Operai" localSheetId="5">#REF!</definedName>
    <definedName name="Operai" localSheetId="0">#REF!</definedName>
    <definedName name="Operai">#REF!</definedName>
    <definedName name="Operai1997" localSheetId="0">#REF!</definedName>
    <definedName name="Operai1997">#REF!</definedName>
    <definedName name="opi" localSheetId="0">#REF!</definedName>
    <definedName name="opi">#REF!</definedName>
    <definedName name="opp" localSheetId="4">#REF!</definedName>
    <definedName name="opp" localSheetId="5">#REF!</definedName>
    <definedName name="opp" localSheetId="0">#REF!</definedName>
    <definedName name="opp">#REF!</definedName>
    <definedName name="OPTIONS" localSheetId="4">#REF!</definedName>
    <definedName name="OPTIONS" localSheetId="5">#REF!</definedName>
    <definedName name="OPTIONS" localSheetId="0">#REF!</definedName>
    <definedName name="OPTIONS">#REF!</definedName>
    <definedName name="opust" localSheetId="0">#REF!</definedName>
    <definedName name="opust">#REF!</definedName>
    <definedName name="opust1" localSheetId="0">#REF!</definedName>
    <definedName name="opust1">#REF!</definedName>
    <definedName name="opust2" localSheetId="0">#REF!</definedName>
    <definedName name="opust2">#REF!</definedName>
    <definedName name="Orange" localSheetId="0">#REF!</definedName>
    <definedName name="Orange">#REF!</definedName>
    <definedName name="Ore_Leached" localSheetId="4">#REF!</definedName>
    <definedName name="Ore_Leached" localSheetId="5">#REF!</definedName>
    <definedName name="Ore_Leached" localSheetId="0">#REF!</definedName>
    <definedName name="Ore_Leached">#REF!</definedName>
    <definedName name="oreProductionDaily">26640</definedName>
    <definedName name="oreProductionNominal" localSheetId="5">#REF!/#REF!</definedName>
    <definedName name="oreProductionNominal" localSheetId="0">#REF!/#REF!</definedName>
    <definedName name="oreProductionNominal">#REF!/#REF!</definedName>
    <definedName name="OSBL_Costs" localSheetId="4">#REF!</definedName>
    <definedName name="OSBL_Costs" localSheetId="5">#REF!</definedName>
    <definedName name="OSBL_Costs" localSheetId="0">#REF!</definedName>
    <definedName name="OSBL_Costs">#REF!</definedName>
    <definedName name="OSBL_Mhrs" localSheetId="4">#REF!</definedName>
    <definedName name="OSBL_Mhrs" localSheetId="5">#REF!</definedName>
    <definedName name="OSBL_Mhrs" localSheetId="0">#REF!</definedName>
    <definedName name="OSBL_Mhrs">#REF!</definedName>
    <definedName name="oscar" localSheetId="4">#REF!</definedName>
    <definedName name="oscar" localSheetId="5">#REF!</definedName>
    <definedName name="oscar" localSheetId="0">#REF!</definedName>
    <definedName name="oscar">#REF!</definedName>
    <definedName name="osw_uproszcz" localSheetId="4">#REF!</definedName>
    <definedName name="osw_uproszcz" localSheetId="5">#REF!</definedName>
    <definedName name="osw_uproszcz" localSheetId="0">#REF!</definedName>
    <definedName name="osw_uproszcz">#REF!</definedName>
    <definedName name="OTH_DIR" localSheetId="0">#REF!</definedName>
    <definedName name="OTH_DIR">#REF!</definedName>
    <definedName name="OTHER" localSheetId="4">#REF!</definedName>
    <definedName name="OTHER" localSheetId="5">#REF!</definedName>
    <definedName name="OTHER" localSheetId="0">#REF!</definedName>
    <definedName name="OTHER">#REF!</definedName>
    <definedName name="OTHER_PRICING" localSheetId="4">#REF!</definedName>
    <definedName name="OTHER_PRICING" localSheetId="5">#REF!</definedName>
    <definedName name="OTHER_PRICING" localSheetId="0">#REF!</definedName>
    <definedName name="OTHER_PRICING">#REF!</definedName>
    <definedName name="other_schedule" localSheetId="0">#REF!</definedName>
    <definedName name="other_schedule">#REF!</definedName>
    <definedName name="OTHER_VALVES" localSheetId="4">#REF!</definedName>
    <definedName name="OTHER_VALVES" localSheetId="5">#REF!</definedName>
    <definedName name="OTHER_VALVES" localSheetId="0">#REF!</definedName>
    <definedName name="OTHER_VALVES">#REF!</definedName>
    <definedName name="OTROS" localSheetId="4">#REF!</definedName>
    <definedName name="OTROS" localSheetId="5">#REF!</definedName>
    <definedName name="OTROS" localSheetId="0">#REF!</definedName>
    <definedName name="OTROS">#REF!</definedName>
    <definedName name="OtrosGtosIng" localSheetId="4">#REF!</definedName>
    <definedName name="OtrosGtosIng" localSheetId="5">#REF!</definedName>
    <definedName name="OtrosGtosIng" localSheetId="0">#REF!</definedName>
    <definedName name="OtrosGtosIng">#REF!</definedName>
    <definedName name="OUTDOOR_COND" localSheetId="4">#REF!</definedName>
    <definedName name="OUTDOOR_COND" localSheetId="0">#REF!</definedName>
    <definedName name="OUTDOOR_COND">#REF!</definedName>
    <definedName name="outSourceSwitch" localSheetId="5">IF(#REF!="Yes",0,1)</definedName>
    <definedName name="outSourceSwitch" localSheetId="0">IF(#REF!="Yes",0,1)</definedName>
    <definedName name="outSourceSwitch">IF(#REF!="Yes",0,1)</definedName>
    <definedName name="Ovrl_Area" localSheetId="4">#REF!</definedName>
    <definedName name="Ovrl_Area" localSheetId="5">#REF!</definedName>
    <definedName name="Ovrl_Area" localSheetId="0">#REF!</definedName>
    <definedName name="Ovrl_Area">#REF!</definedName>
    <definedName name="Owners_Costs" localSheetId="4">#REF!</definedName>
    <definedName name="Owners_Costs" localSheetId="5">#REF!</definedName>
    <definedName name="Owners_Costs" localSheetId="0">#REF!</definedName>
    <definedName name="Owners_Costs">#REF!</definedName>
    <definedName name="ozgun" localSheetId="4">#REF!</definedName>
    <definedName name="ozgun" localSheetId="5">#REF!</definedName>
    <definedName name="ozgun" localSheetId="0">#REF!</definedName>
    <definedName name="ozgun">#REF!</definedName>
    <definedName name="oznakowanie_poziome_cienkow_skrzyżowania_przejścia_m2" localSheetId="4">#REF!</definedName>
    <definedName name="oznakowanie_poziome_cienkow_skrzyżowania_przejścia_m2" localSheetId="5">#REF!</definedName>
    <definedName name="oznakowanie_poziome_cienkow_skrzyżowania_przejścia_m2" localSheetId="0">#REF!</definedName>
    <definedName name="oznakowanie_poziome_cienkow_skrzyżowania_przejścia_m2">#REF!</definedName>
    <definedName name="Oznakowanie_poziome_linie_ciągłe" localSheetId="4">#REF!</definedName>
    <definedName name="Oznakowanie_poziome_linie_ciągłe" localSheetId="5">#REF!</definedName>
    <definedName name="Oznakowanie_poziome_linie_ciągłe" localSheetId="0">#REF!</definedName>
    <definedName name="Oznakowanie_poziome_linie_ciągłe">#REF!</definedName>
    <definedName name="oznakowanie_poziome_linie_ciągłe_m2" localSheetId="4">#REF!</definedName>
    <definedName name="oznakowanie_poziome_linie_ciągłe_m2" localSheetId="0">#REF!</definedName>
    <definedName name="oznakowanie_poziome_linie_ciągłe_m2">#REF!</definedName>
    <definedName name="Oznakowanie_poziome_linie_przerywane" localSheetId="4">#REF!</definedName>
    <definedName name="Oznakowanie_poziome_linie_przerywane" localSheetId="0">#REF!</definedName>
    <definedName name="Oznakowanie_poziome_linie_przerywane">#REF!</definedName>
    <definedName name="oznakowanie_poziome_linie_przerywane_m2" localSheetId="4">#REF!</definedName>
    <definedName name="oznakowanie_poziome_linie_przerywane_m2" localSheetId="0">#REF!</definedName>
    <definedName name="oznakowanie_poziome_linie_przerywane_m2">#REF!</definedName>
    <definedName name="p" localSheetId="4">#REF!</definedName>
    <definedName name="p" localSheetId="0">#REF!</definedName>
    <definedName name="p">#REF!</definedName>
    <definedName name="P.A." localSheetId="4">#REF!</definedName>
    <definedName name="P.A." localSheetId="0">#REF!</definedName>
    <definedName name="P.A.">#REF!</definedName>
    <definedName name="p_1">"$#ODWOŁANIE.$A$1"</definedName>
    <definedName name="P_8000" localSheetId="4">#REF!</definedName>
    <definedName name="P_8000" localSheetId="5">#REF!</definedName>
    <definedName name="P_8000" localSheetId="0">#REF!</definedName>
    <definedName name="P_8000">#REF!</definedName>
    <definedName name="P_9000" localSheetId="4">#REF!</definedName>
    <definedName name="P_9000" localSheetId="5">#REF!</definedName>
    <definedName name="P_9000" localSheetId="0">#REF!</definedName>
    <definedName name="P_9000">#REF!</definedName>
    <definedName name="p_fin" localSheetId="4">#REF!</definedName>
    <definedName name="p_fin" localSheetId="5">#REF!</definedName>
    <definedName name="p_fin" localSheetId="0">#REF!</definedName>
    <definedName name="p_fin">#REF!</definedName>
    <definedName name="p_oper" localSheetId="4">#REF!</definedName>
    <definedName name="p_oper" localSheetId="0">#REF!</definedName>
    <definedName name="p_oper">#REF!</definedName>
    <definedName name="p_wart" localSheetId="4">#REF!</definedName>
    <definedName name="p_wart" localSheetId="5">#REF!</definedName>
    <definedName name="p_wart" localSheetId="0">#REF!</definedName>
    <definedName name="p_wart">#REF!</definedName>
    <definedName name="p2b" localSheetId="4">#REF!</definedName>
    <definedName name="p2b" localSheetId="5">#REF!</definedName>
    <definedName name="p2b" localSheetId="0">#REF!</definedName>
    <definedName name="p2b">#REF!</definedName>
    <definedName name="P2C" localSheetId="0">#REF!</definedName>
    <definedName name="P2C">#REF!</definedName>
    <definedName name="PA_CABLE" localSheetId="4">#REF!</definedName>
    <definedName name="PA_CABLE" localSheetId="5">#REF!</definedName>
    <definedName name="PA_CABLE" localSheetId="0">#REF!</definedName>
    <definedName name="PA_CABLE">#REF!</definedName>
    <definedName name="PA_CONDUIT" localSheetId="4">#REF!</definedName>
    <definedName name="PA_CONDUIT" localSheetId="5">#REF!</definedName>
    <definedName name="PA_CONDUIT" localSheetId="0">#REF!</definedName>
    <definedName name="PA_CONDUIT">#REF!</definedName>
    <definedName name="PA_EQUIP" localSheetId="4">#REF!</definedName>
    <definedName name="PA_EQUIP" localSheetId="5">#REF!</definedName>
    <definedName name="PA_EQUIP" localSheetId="0">#REF!</definedName>
    <definedName name="PA_EQUIP">#REF!</definedName>
    <definedName name="PAAAA" localSheetId="4" hidden="1">#REF!</definedName>
    <definedName name="PAAAA" localSheetId="0" hidden="1">#REF!</definedName>
    <definedName name="PAAAA" hidden="1">#REF!</definedName>
    <definedName name="PAAAAAA" localSheetId="4">#REF!</definedName>
    <definedName name="PAAAAAA" localSheetId="0">#REF!</definedName>
    <definedName name="PAAAAAA">#REF!</definedName>
    <definedName name="PAAAAAA_2" localSheetId="4">#REF!</definedName>
    <definedName name="PAAAAAA_2" localSheetId="0">#REF!</definedName>
    <definedName name="PAAAAAA_2">#REF!</definedName>
    <definedName name="PAAAAAA_6" localSheetId="4">#REF!</definedName>
    <definedName name="PAAAAAA_6" localSheetId="0">#REF!</definedName>
    <definedName name="PAAAAAA_6">#REF!</definedName>
    <definedName name="paaaas" localSheetId="4" hidden="1">#REF!</definedName>
    <definedName name="paaaas" localSheetId="0" hidden="1">#REF!</definedName>
    <definedName name="paaaas" hidden="1">#REF!</definedName>
    <definedName name="pack_name" localSheetId="4">#REF!</definedName>
    <definedName name="pack_name" localSheetId="0">#REF!</definedName>
    <definedName name="pack_name">#REF!</definedName>
    <definedName name="PAG" localSheetId="4">#REF!</definedName>
    <definedName name="PAG" localSheetId="0">#REF!</definedName>
    <definedName name="PAG">#REF!</definedName>
    <definedName name="Page" localSheetId="4">#REF!</definedName>
    <definedName name="Page" localSheetId="0">#REF!</definedName>
    <definedName name="Page">#REF!</definedName>
    <definedName name="PAGE1" localSheetId="4">#REF!</definedName>
    <definedName name="PAGE1" localSheetId="5">#REF!</definedName>
    <definedName name="PAGE1" localSheetId="0">#REF!</definedName>
    <definedName name="PAGE1">#REF!</definedName>
    <definedName name="PAGE2" localSheetId="0">#REF!</definedName>
    <definedName name="PAGE2">#REF!</definedName>
    <definedName name="PAGE3" localSheetId="0">#REF!</definedName>
    <definedName name="PAGE3">#REF!</definedName>
    <definedName name="PAGE4" localSheetId="0">#REF!</definedName>
    <definedName name="PAGE4">#REF!</definedName>
    <definedName name="Pais" localSheetId="0">#REF!</definedName>
    <definedName name="Pais">#REF!</definedName>
    <definedName name="PALIWO">4008/12</definedName>
    <definedName name="pap_w" localSheetId="4">#REF!</definedName>
    <definedName name="pap_w" localSheetId="5">#REF!</definedName>
    <definedName name="pap_w" localSheetId="0">#REF!</definedName>
    <definedName name="pap_w">#REF!</definedName>
    <definedName name="pap_wart_p" localSheetId="4">_W16K5</definedName>
    <definedName name="pap_wart_p" localSheetId="6">_W16K5</definedName>
    <definedName name="pap_wart_p" localSheetId="5">_W16K5</definedName>
    <definedName name="pap_wart_p" localSheetId="0">_W16K5</definedName>
    <definedName name="pap_wart_p">_W16K5</definedName>
    <definedName name="papa" localSheetId="4">#REF!</definedName>
    <definedName name="papa" localSheetId="6">#REF!</definedName>
    <definedName name="papa" localSheetId="5">#REF!</definedName>
    <definedName name="papa" localSheetId="0">#REF!</definedName>
    <definedName name="papa">#REF!</definedName>
    <definedName name="papa_raz" localSheetId="4">#REF!</definedName>
    <definedName name="papa_raz" localSheetId="6">#REF!</definedName>
    <definedName name="papa_raz" localSheetId="5">#REF!</definedName>
    <definedName name="papa_raz" localSheetId="0">#REF!</definedName>
    <definedName name="papa_raz">#REF!</definedName>
    <definedName name="PAPAPAPA" localSheetId="0">#REF!</definedName>
    <definedName name="PAPAPAPA">#REF!</definedName>
    <definedName name="PAR_1" localSheetId="4">#REF!</definedName>
    <definedName name="PAR_1" localSheetId="5">#REF!</definedName>
    <definedName name="PAR_1" localSheetId="0">#REF!</definedName>
    <definedName name="PAR_1">#REF!</definedName>
    <definedName name="PAR_2" localSheetId="4">#REF!</definedName>
    <definedName name="PAR_2" localSheetId="5">#REF!</definedName>
    <definedName name="PAR_2" localSheetId="0">#REF!</definedName>
    <definedName name="PAR_2">#REF!</definedName>
    <definedName name="PAR_3" localSheetId="4">#REF!</definedName>
    <definedName name="PAR_3" localSheetId="5">#REF!</definedName>
    <definedName name="PAR_3" localSheetId="0">#REF!</definedName>
    <definedName name="PAR_3">#REF!</definedName>
    <definedName name="PAR_4" localSheetId="4">#REF!</definedName>
    <definedName name="PAR_4" localSheetId="0">#REF!</definedName>
    <definedName name="PAR_4">#REF!</definedName>
    <definedName name="PAR_5" localSheetId="4">#REF!</definedName>
    <definedName name="PAR_5" localSheetId="0">#REF!</definedName>
    <definedName name="PAR_5">#REF!</definedName>
    <definedName name="PAR_6" localSheetId="4">#REF!</definedName>
    <definedName name="PAR_6" localSheetId="0">#REF!</definedName>
    <definedName name="PAR_6">#REF!</definedName>
    <definedName name="PAR_7" localSheetId="4">#REF!</definedName>
    <definedName name="PAR_7" localSheetId="0">#REF!</definedName>
    <definedName name="PAR_7">#REF!</definedName>
    <definedName name="PARCIAL" localSheetId="0">#REF!</definedName>
    <definedName name="PARCIAL">#REF!</definedName>
    <definedName name="PARIDAD" localSheetId="4">#REF!</definedName>
    <definedName name="PARIDAD" localSheetId="0">#REF!</definedName>
    <definedName name="PARIDAD">#REF!</definedName>
    <definedName name="Parm_Civil_Build_01" localSheetId="4">#REF!</definedName>
    <definedName name="Parm_Civil_Build_01" localSheetId="0">#REF!</definedName>
    <definedName name="Parm_Civil_Build_01">#REF!</definedName>
    <definedName name="Parm_Civil_Build_02" localSheetId="4">#REF!</definedName>
    <definedName name="Parm_Civil_Build_02" localSheetId="0">#REF!</definedName>
    <definedName name="Parm_Civil_Build_02">#REF!</definedName>
    <definedName name="Parm_Civil_Build_03" localSheetId="4">#REF!</definedName>
    <definedName name="Parm_Civil_Build_03" localSheetId="0">#REF!</definedName>
    <definedName name="Parm_Civil_Build_03">#REF!</definedName>
    <definedName name="Parm_Civil_Build_04" localSheetId="4">#REF!</definedName>
    <definedName name="Parm_Civil_Build_04" localSheetId="0">#REF!</definedName>
    <definedName name="Parm_Civil_Build_04">#REF!</definedName>
    <definedName name="Parm_Civil_Build_05" localSheetId="4">#REF!</definedName>
    <definedName name="Parm_Civil_Build_05" localSheetId="0">#REF!</definedName>
    <definedName name="Parm_Civil_Build_05">#REF!</definedName>
    <definedName name="Parm_Civil_Build_06" localSheetId="4">#REF!</definedName>
    <definedName name="Parm_Civil_Build_06" localSheetId="0">#REF!</definedName>
    <definedName name="Parm_Civil_Build_06">#REF!</definedName>
    <definedName name="Parm_Civil_Build_07" localSheetId="4">#REF!</definedName>
    <definedName name="Parm_Civil_Build_07" localSheetId="0">#REF!</definedName>
    <definedName name="Parm_Civil_Build_07">#REF!</definedName>
    <definedName name="Parm_Civil_Build_08" localSheetId="4">#REF!</definedName>
    <definedName name="Parm_Civil_Build_08" localSheetId="0">#REF!</definedName>
    <definedName name="Parm_Civil_Build_08">#REF!</definedName>
    <definedName name="Parm_Civil_Build_09" localSheetId="4">#REF!</definedName>
    <definedName name="Parm_Civil_Build_09" localSheetId="0">#REF!</definedName>
    <definedName name="Parm_Civil_Build_09">#REF!</definedName>
    <definedName name="Parm_Civil_Build_10" localSheetId="4">#REF!</definedName>
    <definedName name="Parm_Civil_Build_10" localSheetId="0">#REF!</definedName>
    <definedName name="Parm_Civil_Build_10">#REF!</definedName>
    <definedName name="Parm_Civil_Build_11" localSheetId="4">#REF!</definedName>
    <definedName name="Parm_Civil_Build_11" localSheetId="0">#REF!</definedName>
    <definedName name="Parm_Civil_Build_11">#REF!</definedName>
    <definedName name="Parm_Civil_Build_12" localSheetId="4">#REF!</definedName>
    <definedName name="Parm_Civil_Build_12" localSheetId="0">#REF!</definedName>
    <definedName name="Parm_Civil_Build_12">#REF!</definedName>
    <definedName name="Parm_Civil_Build_13" localSheetId="4">#REF!</definedName>
    <definedName name="Parm_Civil_Build_13" localSheetId="0">#REF!</definedName>
    <definedName name="Parm_Civil_Build_13">#REF!</definedName>
    <definedName name="Parm_Civil_Build_14" localSheetId="4">#REF!</definedName>
    <definedName name="Parm_Civil_Build_14" localSheetId="0">#REF!</definedName>
    <definedName name="Parm_Civil_Build_14">#REF!</definedName>
    <definedName name="Parm_Civil_Build_15" localSheetId="4">#REF!</definedName>
    <definedName name="Parm_Civil_Build_15" localSheetId="0">#REF!</definedName>
    <definedName name="Parm_Civil_Build_15">#REF!</definedName>
    <definedName name="Parm_Civil_Build_16" localSheetId="4">#REF!</definedName>
    <definedName name="Parm_Civil_Build_16" localSheetId="0">#REF!</definedName>
    <definedName name="Parm_Civil_Build_16">#REF!</definedName>
    <definedName name="Parm_Civil_Build_17" localSheetId="4">#REF!</definedName>
    <definedName name="Parm_Civil_Build_17" localSheetId="0">#REF!</definedName>
    <definedName name="Parm_Civil_Build_17">#REF!</definedName>
    <definedName name="Parm_Civil_Build_18" localSheetId="4">#REF!</definedName>
    <definedName name="Parm_Civil_Build_18" localSheetId="0">#REF!</definedName>
    <definedName name="Parm_Civil_Build_18">#REF!</definedName>
    <definedName name="Parm_Civil_Build_19" localSheetId="4">#REF!</definedName>
    <definedName name="Parm_Civil_Build_19" localSheetId="0">#REF!</definedName>
    <definedName name="Parm_Civil_Build_19">#REF!</definedName>
    <definedName name="Parm_Civil_Build_20" localSheetId="4">#REF!</definedName>
    <definedName name="Parm_Civil_Build_20" localSheetId="0">#REF!</definedName>
    <definedName name="Parm_Civil_Build_20">#REF!</definedName>
    <definedName name="Parm_Civil_Build_21" localSheetId="4">#REF!</definedName>
    <definedName name="Parm_Civil_Build_21" localSheetId="0">#REF!</definedName>
    <definedName name="Parm_Civil_Build_21">#REF!</definedName>
    <definedName name="Parm_Civil_Parm_01" localSheetId="4">#REF!</definedName>
    <definedName name="Parm_Civil_Parm_01" localSheetId="0">#REF!</definedName>
    <definedName name="Parm_Civil_Parm_01">#REF!</definedName>
    <definedName name="Parm_Civil_Parm_02" localSheetId="4">#REF!</definedName>
    <definedName name="Parm_Civil_Parm_02" localSheetId="0">#REF!</definedName>
    <definedName name="Parm_Civil_Parm_02">#REF!</definedName>
    <definedName name="Parm_Civil_Parm_03" localSheetId="4">#REF!</definedName>
    <definedName name="Parm_Civil_Parm_03" localSheetId="0">#REF!</definedName>
    <definedName name="Parm_Civil_Parm_03">#REF!</definedName>
    <definedName name="Parm_Civil_Parm_04" localSheetId="4">#REF!</definedName>
    <definedName name="Parm_Civil_Parm_04" localSheetId="0">#REF!</definedName>
    <definedName name="Parm_Civil_Parm_04">#REF!</definedName>
    <definedName name="Parm_Civil_Parm_05" localSheetId="4">#REF!</definedName>
    <definedName name="Parm_Civil_Parm_05" localSheetId="0">#REF!</definedName>
    <definedName name="Parm_Civil_Parm_05">#REF!</definedName>
    <definedName name="Parm_Civil_Parm_06" localSheetId="4">#REF!</definedName>
    <definedName name="Parm_Civil_Parm_06" localSheetId="0">#REF!</definedName>
    <definedName name="Parm_Civil_Parm_06">#REF!</definedName>
    <definedName name="Parm_Civil_Parm_07" localSheetId="4">#REF!</definedName>
    <definedName name="Parm_Civil_Parm_07" localSheetId="0">#REF!</definedName>
    <definedName name="Parm_Civil_Parm_07">#REF!</definedName>
    <definedName name="Parm_Civil_Parm_08" localSheetId="4">#REF!</definedName>
    <definedName name="Parm_Civil_Parm_08" localSheetId="0">#REF!</definedName>
    <definedName name="Parm_Civil_Parm_08">#REF!</definedName>
    <definedName name="Parm_Civil_Parm_09" localSheetId="4">#REF!</definedName>
    <definedName name="Parm_Civil_Parm_09" localSheetId="0">#REF!</definedName>
    <definedName name="Parm_Civil_Parm_09">#REF!</definedName>
    <definedName name="Parm_Civil_Parm_10" localSheetId="4">#REF!</definedName>
    <definedName name="Parm_Civil_Parm_10" localSheetId="0">#REF!</definedName>
    <definedName name="Parm_Civil_Parm_10">#REF!</definedName>
    <definedName name="Parm_Civil_Parm_11" localSheetId="4">#REF!</definedName>
    <definedName name="Parm_Civil_Parm_11" localSheetId="0">#REF!</definedName>
    <definedName name="Parm_Civil_Parm_11">#REF!</definedName>
    <definedName name="Parm_Civil_Parm_12" localSheetId="4">#REF!</definedName>
    <definedName name="Parm_Civil_Parm_12" localSheetId="0">#REF!</definedName>
    <definedName name="Parm_Civil_Parm_12">#REF!</definedName>
    <definedName name="Parm_Civil_Parm_13" localSheetId="4">#REF!</definedName>
    <definedName name="Parm_Civil_Parm_13" localSheetId="0">#REF!</definedName>
    <definedName name="Parm_Civil_Parm_13">#REF!</definedName>
    <definedName name="Parm_Civil_Parm_14" localSheetId="4">#REF!</definedName>
    <definedName name="Parm_Civil_Parm_14" localSheetId="0">#REF!</definedName>
    <definedName name="Parm_Civil_Parm_14">#REF!</definedName>
    <definedName name="Parm_Civil_Parm_15" localSheetId="4">#REF!</definedName>
    <definedName name="Parm_Civil_Parm_15" localSheetId="0">#REF!</definedName>
    <definedName name="Parm_Civil_Parm_15">#REF!</definedName>
    <definedName name="Parm_Civil_Parm_16" localSheetId="4">#REF!</definedName>
    <definedName name="Parm_Civil_Parm_16" localSheetId="0">#REF!</definedName>
    <definedName name="Parm_Civil_Parm_16">#REF!</definedName>
    <definedName name="Parm_Civil_Parm_17" localSheetId="4">#REF!</definedName>
    <definedName name="Parm_Civil_Parm_17" localSheetId="0">#REF!</definedName>
    <definedName name="Parm_Civil_Parm_17">#REF!</definedName>
    <definedName name="Parm_Civil_Parm_18" localSheetId="4">#REF!</definedName>
    <definedName name="Parm_Civil_Parm_18" localSheetId="0">#REF!</definedName>
    <definedName name="Parm_Civil_Parm_18">#REF!</definedName>
    <definedName name="Parm_Civil_Site_01" localSheetId="4">#REF!</definedName>
    <definedName name="Parm_Civil_Site_01" localSheetId="0">#REF!</definedName>
    <definedName name="Parm_Civil_Site_01">#REF!</definedName>
    <definedName name="Parm_Civil_Site_02" localSheetId="4">#REF!</definedName>
    <definedName name="Parm_Civil_Site_02" localSheetId="0">#REF!</definedName>
    <definedName name="Parm_Civil_Site_02">#REF!</definedName>
    <definedName name="Parm_Civil_Site_03" localSheetId="4">#REF!</definedName>
    <definedName name="Parm_Civil_Site_03" localSheetId="0">#REF!</definedName>
    <definedName name="Parm_Civil_Site_03">#REF!</definedName>
    <definedName name="Parm_Civil_Site_04" localSheetId="4">#REF!</definedName>
    <definedName name="Parm_Civil_Site_04" localSheetId="0">#REF!</definedName>
    <definedName name="Parm_Civil_Site_04">#REF!</definedName>
    <definedName name="Parm_Civil_Site_05" localSheetId="4">#REF!</definedName>
    <definedName name="Parm_Civil_Site_05" localSheetId="0">#REF!</definedName>
    <definedName name="Parm_Civil_Site_05">#REF!</definedName>
    <definedName name="Parm_Civil_Site_06" localSheetId="4">#REF!</definedName>
    <definedName name="Parm_Civil_Site_06" localSheetId="0">#REF!</definedName>
    <definedName name="Parm_Civil_Site_06">#REF!</definedName>
    <definedName name="Parm_Civil_Site_07" localSheetId="4">#REF!</definedName>
    <definedName name="Parm_Civil_Site_07" localSheetId="0">#REF!</definedName>
    <definedName name="Parm_Civil_Site_07">#REF!</definedName>
    <definedName name="Parm_Civil_Site_08" localSheetId="4">#REF!</definedName>
    <definedName name="Parm_Civil_Site_08" localSheetId="0">#REF!</definedName>
    <definedName name="Parm_Civil_Site_08">#REF!</definedName>
    <definedName name="Parm_Civil_Site_09" localSheetId="4">#REF!</definedName>
    <definedName name="Parm_Civil_Site_09" localSheetId="0">#REF!</definedName>
    <definedName name="Parm_Civil_Site_09">#REF!</definedName>
    <definedName name="Parm_Civil_Site_10" localSheetId="4">#REF!</definedName>
    <definedName name="Parm_Civil_Site_10" localSheetId="0">#REF!</definedName>
    <definedName name="Parm_Civil_Site_10">#REF!</definedName>
    <definedName name="Parm_Civil_Site_11" localSheetId="4">#REF!</definedName>
    <definedName name="Parm_Civil_Site_11" localSheetId="0">#REF!</definedName>
    <definedName name="Parm_Civil_Site_11">#REF!</definedName>
    <definedName name="Parm_Civil_Site_12" localSheetId="4">#REF!</definedName>
    <definedName name="Parm_Civil_Site_12" localSheetId="0">#REF!</definedName>
    <definedName name="Parm_Civil_Site_12">#REF!</definedName>
    <definedName name="Parm_Civil_Site_13" localSheetId="4">#REF!</definedName>
    <definedName name="Parm_Civil_Site_13" localSheetId="0">#REF!</definedName>
    <definedName name="Parm_Civil_Site_13">#REF!</definedName>
    <definedName name="Parm_Civil_Site_14" localSheetId="4">#REF!</definedName>
    <definedName name="Parm_Civil_Site_14" localSheetId="0">#REF!</definedName>
    <definedName name="Parm_Civil_Site_14">#REF!</definedName>
    <definedName name="Parm_Civil_Site_15" localSheetId="4">#REF!</definedName>
    <definedName name="Parm_Civil_Site_15" localSheetId="0">#REF!</definedName>
    <definedName name="Parm_Civil_Site_15">#REF!</definedName>
    <definedName name="Parm_Civil_Site_16" localSheetId="4">#REF!</definedName>
    <definedName name="Parm_Civil_Site_16" localSheetId="0">#REF!</definedName>
    <definedName name="Parm_Civil_Site_16">#REF!</definedName>
    <definedName name="Parm_Civil_Site_17" localSheetId="4">#REF!</definedName>
    <definedName name="Parm_Civil_Site_17" localSheetId="0">#REF!</definedName>
    <definedName name="Parm_Civil_Site_17">#REF!</definedName>
    <definedName name="Parm_Civil_Site_18" localSheetId="4">#REF!</definedName>
    <definedName name="Parm_Civil_Site_18" localSheetId="0">#REF!</definedName>
    <definedName name="Parm_Civil_Site_18">#REF!</definedName>
    <definedName name="Parm_Civil_Site_19" localSheetId="4">#REF!</definedName>
    <definedName name="Parm_Civil_Site_19" localSheetId="0">#REF!</definedName>
    <definedName name="Parm_Civil_Site_19">#REF!</definedName>
    <definedName name="Parm_Civil_Site_20" localSheetId="4">#REF!</definedName>
    <definedName name="Parm_Civil_Site_20" localSheetId="0">#REF!</definedName>
    <definedName name="Parm_Civil_Site_20">#REF!</definedName>
    <definedName name="Parm_Civil_Site_21" localSheetId="4">#REF!</definedName>
    <definedName name="Parm_Civil_Site_21" localSheetId="0">#REF!</definedName>
    <definedName name="Parm_Civil_Site_21">#REF!</definedName>
    <definedName name="Parm_Civil_Site_22" localSheetId="4">#REF!</definedName>
    <definedName name="Parm_Civil_Site_22" localSheetId="0">#REF!</definedName>
    <definedName name="Parm_Civil_Site_22">#REF!</definedName>
    <definedName name="Parm_Civil_Site_23" localSheetId="4">#REF!</definedName>
    <definedName name="Parm_Civil_Site_23" localSheetId="0">#REF!</definedName>
    <definedName name="Parm_Civil_Site_23">#REF!</definedName>
    <definedName name="Parm_Elect_Switchgear_01" localSheetId="4">#REF!</definedName>
    <definedName name="Parm_Elect_Switchgear_01" localSheetId="0">#REF!</definedName>
    <definedName name="Parm_Elect_Switchgear_01">#REF!</definedName>
    <definedName name="Parm_Elect_Switchgear_02" localSheetId="4">#REF!</definedName>
    <definedName name="Parm_Elect_Switchgear_02" localSheetId="0">#REF!</definedName>
    <definedName name="Parm_Elect_Switchgear_02">#REF!</definedName>
    <definedName name="Parm_Elect_Switchgear_03" localSheetId="4">#REF!</definedName>
    <definedName name="Parm_Elect_Switchgear_03" localSheetId="0">#REF!</definedName>
    <definedName name="Parm_Elect_Switchgear_03">#REF!</definedName>
    <definedName name="Parm_Elect_Switchgear_04" localSheetId="4">#REF!</definedName>
    <definedName name="Parm_Elect_Switchgear_04" localSheetId="0">#REF!</definedName>
    <definedName name="Parm_Elect_Switchgear_04">#REF!</definedName>
    <definedName name="Parm_Elect_Switchgear_05" localSheetId="4">#REF!</definedName>
    <definedName name="Parm_Elect_Switchgear_05" localSheetId="0">#REF!</definedName>
    <definedName name="Parm_Elect_Switchgear_05">#REF!</definedName>
    <definedName name="Parm_Elect_Switchgear_06" localSheetId="4">#REF!</definedName>
    <definedName name="Parm_Elect_Switchgear_06" localSheetId="0">#REF!</definedName>
    <definedName name="Parm_Elect_Switchgear_06">#REF!</definedName>
    <definedName name="Parm_Elect_Switchgear_07" localSheetId="4">#REF!</definedName>
    <definedName name="Parm_Elect_Switchgear_07" localSheetId="0">#REF!</definedName>
    <definedName name="Parm_Elect_Switchgear_07">#REF!</definedName>
    <definedName name="Parm_Elect_Switchgear_08" localSheetId="4">#REF!</definedName>
    <definedName name="Parm_Elect_Switchgear_08" localSheetId="0">#REF!</definedName>
    <definedName name="Parm_Elect_Switchgear_08">#REF!</definedName>
    <definedName name="Parm_Elect_Switchgear_09" localSheetId="4">#REF!</definedName>
    <definedName name="Parm_Elect_Switchgear_09" localSheetId="0">#REF!</definedName>
    <definedName name="Parm_Elect_Switchgear_09">#REF!</definedName>
    <definedName name="Parm_Elect_Switchgear_10" localSheetId="4">#REF!</definedName>
    <definedName name="Parm_Elect_Switchgear_10" localSheetId="0">#REF!</definedName>
    <definedName name="Parm_Elect_Switchgear_10">#REF!</definedName>
    <definedName name="Parm_Elect_Switchgear_11" localSheetId="4">#REF!</definedName>
    <definedName name="Parm_Elect_Switchgear_11" localSheetId="0">#REF!</definedName>
    <definedName name="Parm_Elect_Switchgear_11">#REF!</definedName>
    <definedName name="Parm_Elect_Switchgear_12" localSheetId="4">#REF!</definedName>
    <definedName name="Parm_Elect_Switchgear_12" localSheetId="0">#REF!</definedName>
    <definedName name="Parm_Elect_Switchgear_12">#REF!</definedName>
    <definedName name="Parm_Elect_Switchgear_13" localSheetId="4">#REF!</definedName>
    <definedName name="Parm_Elect_Switchgear_13" localSheetId="0">#REF!</definedName>
    <definedName name="Parm_Elect_Switchgear_13">#REF!</definedName>
    <definedName name="Parm_Elect_Switchgear_14" localSheetId="4">#REF!</definedName>
    <definedName name="Parm_Elect_Switchgear_14" localSheetId="0">#REF!</definedName>
    <definedName name="Parm_Elect_Switchgear_14">#REF!</definedName>
    <definedName name="Parm_Elect_Switchgear_15" localSheetId="4">#REF!</definedName>
    <definedName name="Parm_Elect_Switchgear_15" localSheetId="0">#REF!</definedName>
    <definedName name="Parm_Elect_Switchgear_15">#REF!</definedName>
    <definedName name="Parm_Elect_Switchgear_16" localSheetId="4">#REF!</definedName>
    <definedName name="Parm_Elect_Switchgear_16" localSheetId="0">#REF!</definedName>
    <definedName name="Parm_Elect_Switchgear_16">#REF!</definedName>
    <definedName name="Parm_Elect_Switchgear_17" localSheetId="4">#REF!</definedName>
    <definedName name="Parm_Elect_Switchgear_17" localSheetId="0">#REF!</definedName>
    <definedName name="Parm_Elect_Switchgear_17">#REF!</definedName>
    <definedName name="Parm_Elect_Switchgear_18" localSheetId="4">#REF!</definedName>
    <definedName name="Parm_Elect_Switchgear_18" localSheetId="0">#REF!</definedName>
    <definedName name="Parm_Elect_Switchgear_18">#REF!</definedName>
    <definedName name="Parm_Elect_Switchgear_19" localSheetId="4">#REF!</definedName>
    <definedName name="Parm_Elect_Switchgear_19" localSheetId="0">#REF!</definedName>
    <definedName name="Parm_Elect_Switchgear_19">#REF!</definedName>
    <definedName name="Parm_Elect_Switchgear_20" localSheetId="4">#REF!</definedName>
    <definedName name="Parm_Elect_Switchgear_20" localSheetId="0">#REF!</definedName>
    <definedName name="Parm_Elect_Switchgear_20">#REF!</definedName>
    <definedName name="Parm_Elect_Switchgear_21" localSheetId="4">#REF!</definedName>
    <definedName name="Parm_Elect_Switchgear_21" localSheetId="0">#REF!</definedName>
    <definedName name="Parm_Elect_Switchgear_21">#REF!</definedName>
    <definedName name="Parm_Elect_Switchyd_01" localSheetId="4">#REF!</definedName>
    <definedName name="Parm_Elect_Switchyd_01" localSheetId="0">#REF!</definedName>
    <definedName name="Parm_Elect_Switchyd_01">#REF!</definedName>
    <definedName name="Parm_Elect_Switchyd_02" localSheetId="4">#REF!</definedName>
    <definedName name="Parm_Elect_Switchyd_02" localSheetId="0">#REF!</definedName>
    <definedName name="Parm_Elect_Switchyd_02">#REF!</definedName>
    <definedName name="Parm_Elect_Switchyd_03" localSheetId="4">#REF!</definedName>
    <definedName name="Parm_Elect_Switchyd_03" localSheetId="0">#REF!</definedName>
    <definedName name="Parm_Elect_Switchyd_03">#REF!</definedName>
    <definedName name="Parm_Elect_Switchyd_04" localSheetId="4">#REF!</definedName>
    <definedName name="Parm_Elect_Switchyd_04" localSheetId="0">#REF!</definedName>
    <definedName name="Parm_Elect_Switchyd_04">#REF!</definedName>
    <definedName name="Parm_Elect_Switchyd_05" localSheetId="4">#REF!</definedName>
    <definedName name="Parm_Elect_Switchyd_05" localSheetId="0">#REF!</definedName>
    <definedName name="Parm_Elect_Switchyd_05">#REF!</definedName>
    <definedName name="Parm_Elect_Switchyd_06" localSheetId="4">#REF!</definedName>
    <definedName name="Parm_Elect_Switchyd_06" localSheetId="0">#REF!</definedName>
    <definedName name="Parm_Elect_Switchyd_06">#REF!</definedName>
    <definedName name="Parm_Elect_Switchyd_07" localSheetId="4">#REF!</definedName>
    <definedName name="Parm_Elect_Switchyd_07" localSheetId="0">#REF!</definedName>
    <definedName name="Parm_Elect_Switchyd_07">#REF!</definedName>
    <definedName name="Parm_Elect_Switchyd_08" localSheetId="4">#REF!</definedName>
    <definedName name="Parm_Elect_Switchyd_08" localSheetId="0">#REF!</definedName>
    <definedName name="Parm_Elect_Switchyd_08">#REF!</definedName>
    <definedName name="Parm_Elect_Switchyd_09" localSheetId="4">#REF!</definedName>
    <definedName name="Parm_Elect_Switchyd_09" localSheetId="0">#REF!</definedName>
    <definedName name="Parm_Elect_Switchyd_09">#REF!</definedName>
    <definedName name="Parm_Elect_Switchyd_10" localSheetId="4">#REF!</definedName>
    <definedName name="Parm_Elect_Switchyd_10" localSheetId="0">#REF!</definedName>
    <definedName name="Parm_Elect_Switchyd_10">#REF!</definedName>
    <definedName name="Parm_Elect_Switchyd_11" localSheetId="4">#REF!</definedName>
    <definedName name="Parm_Elect_Switchyd_11" localSheetId="0">#REF!</definedName>
    <definedName name="Parm_Elect_Switchyd_11">#REF!</definedName>
    <definedName name="Parm_Elect_Switchyd_12" localSheetId="4">#REF!</definedName>
    <definedName name="Parm_Elect_Switchyd_12" localSheetId="0">#REF!</definedName>
    <definedName name="Parm_Elect_Switchyd_12">#REF!</definedName>
    <definedName name="Parm_Elect_Switchyd_13" localSheetId="4">#REF!</definedName>
    <definedName name="Parm_Elect_Switchyd_13" localSheetId="0">#REF!</definedName>
    <definedName name="Parm_Elect_Switchyd_13">#REF!</definedName>
    <definedName name="Parm_Elect_Switchyd_14" localSheetId="4">#REF!</definedName>
    <definedName name="Parm_Elect_Switchyd_14" localSheetId="0">#REF!</definedName>
    <definedName name="Parm_Elect_Switchyd_14">#REF!</definedName>
    <definedName name="Parm_Elect_Switchyd_15" localSheetId="4">#REF!</definedName>
    <definedName name="Parm_Elect_Switchyd_15" localSheetId="0">#REF!</definedName>
    <definedName name="Parm_Elect_Switchyd_15">#REF!</definedName>
    <definedName name="Parm_Elect_Switchyd_16" localSheetId="4">#REF!</definedName>
    <definedName name="Parm_Elect_Switchyd_16" localSheetId="0">#REF!</definedName>
    <definedName name="Parm_Elect_Switchyd_16">#REF!</definedName>
    <definedName name="Parm_Elect_Switchyd_17" localSheetId="4">#REF!</definedName>
    <definedName name="Parm_Elect_Switchyd_17" localSheetId="0">#REF!</definedName>
    <definedName name="Parm_Elect_Switchyd_17">#REF!</definedName>
    <definedName name="Parm_Elect_Switchyd_18" localSheetId="4">#REF!</definedName>
    <definedName name="Parm_Elect_Switchyd_18" localSheetId="0">#REF!</definedName>
    <definedName name="Parm_Elect_Switchyd_18">#REF!</definedName>
    <definedName name="Parm_Elect_Switchyd_19" localSheetId="4">#REF!</definedName>
    <definedName name="Parm_Elect_Switchyd_19" localSheetId="0">#REF!</definedName>
    <definedName name="Parm_Elect_Switchyd_19">#REF!</definedName>
    <definedName name="Parm_Elect_Switchyd_20" localSheetId="4">#REF!</definedName>
    <definedName name="Parm_Elect_Switchyd_20" localSheetId="0">#REF!</definedName>
    <definedName name="Parm_Elect_Switchyd_20">#REF!</definedName>
    <definedName name="Parm_Elect_Switchyd_21" localSheetId="4">#REF!</definedName>
    <definedName name="Parm_Elect_Switchyd_21" localSheetId="0">#REF!</definedName>
    <definedName name="Parm_Elect_Switchyd_21">#REF!</definedName>
    <definedName name="Parm_Elect_Transfmr_01" localSheetId="4">#REF!</definedName>
    <definedName name="Parm_Elect_Transfmr_01" localSheetId="0">#REF!</definedName>
    <definedName name="Parm_Elect_Transfmr_01">#REF!</definedName>
    <definedName name="Parm_Elect_Transfmr_02" localSheetId="4">#REF!</definedName>
    <definedName name="Parm_Elect_Transfmr_02" localSheetId="0">#REF!</definedName>
    <definedName name="Parm_Elect_Transfmr_02">#REF!</definedName>
    <definedName name="Parm_Elect_Transfmr_03" localSheetId="4">#REF!</definedName>
    <definedName name="Parm_Elect_Transfmr_03" localSheetId="0">#REF!</definedName>
    <definedName name="Parm_Elect_Transfmr_03">#REF!</definedName>
    <definedName name="Parm_Elect_Transfmr_04" localSheetId="4">#REF!</definedName>
    <definedName name="Parm_Elect_Transfmr_04" localSheetId="0">#REF!</definedName>
    <definedName name="Parm_Elect_Transfmr_04">#REF!</definedName>
    <definedName name="Parm_Elect_Transfmr_05" localSheetId="4">#REF!</definedName>
    <definedName name="Parm_Elect_Transfmr_05" localSheetId="0">#REF!</definedName>
    <definedName name="Parm_Elect_Transfmr_05">#REF!</definedName>
    <definedName name="Parm_Elect_Transfmr_06" localSheetId="4">#REF!</definedName>
    <definedName name="Parm_Elect_Transfmr_06" localSheetId="0">#REF!</definedName>
    <definedName name="Parm_Elect_Transfmr_06">#REF!</definedName>
    <definedName name="Parm_Elect_Transfmr_07" localSheetId="4">#REF!</definedName>
    <definedName name="Parm_Elect_Transfmr_07" localSheetId="0">#REF!</definedName>
    <definedName name="Parm_Elect_Transfmr_07">#REF!</definedName>
    <definedName name="Parm_Elect_Transfmr_08" localSheetId="4">#REF!</definedName>
    <definedName name="Parm_Elect_Transfmr_08" localSheetId="0">#REF!</definedName>
    <definedName name="Parm_Elect_Transfmr_08">#REF!</definedName>
    <definedName name="Parm_Elect_Transfmr_09" localSheetId="4">#REF!</definedName>
    <definedName name="Parm_Elect_Transfmr_09" localSheetId="0">#REF!</definedName>
    <definedName name="Parm_Elect_Transfmr_09">#REF!</definedName>
    <definedName name="Parm_Elect_Transfmr_10" localSheetId="4">#REF!</definedName>
    <definedName name="Parm_Elect_Transfmr_10" localSheetId="0">#REF!</definedName>
    <definedName name="Parm_Elect_Transfmr_10">#REF!</definedName>
    <definedName name="Parm_Elect_Transfmr_11" localSheetId="4">#REF!</definedName>
    <definedName name="Parm_Elect_Transfmr_11" localSheetId="0">#REF!</definedName>
    <definedName name="Parm_Elect_Transfmr_11">#REF!</definedName>
    <definedName name="Parm_Elect_Transfmr_12" localSheetId="4">#REF!</definedName>
    <definedName name="Parm_Elect_Transfmr_12" localSheetId="0">#REF!</definedName>
    <definedName name="Parm_Elect_Transfmr_12">#REF!</definedName>
    <definedName name="Parm_Elect_Transfmr_13" localSheetId="4">#REF!</definedName>
    <definedName name="Parm_Elect_Transfmr_13" localSheetId="0">#REF!</definedName>
    <definedName name="Parm_Elect_Transfmr_13">#REF!</definedName>
    <definedName name="Parm_Elect_Transfmr_14" localSheetId="4">#REF!</definedName>
    <definedName name="Parm_Elect_Transfmr_14" localSheetId="0">#REF!</definedName>
    <definedName name="Parm_Elect_Transfmr_14">#REF!</definedName>
    <definedName name="Parm_Elect_Transfmr_15" localSheetId="4">#REF!</definedName>
    <definedName name="Parm_Elect_Transfmr_15" localSheetId="0">#REF!</definedName>
    <definedName name="Parm_Elect_Transfmr_15">#REF!</definedName>
    <definedName name="Parm_Elect_Transfmr_16" localSheetId="4">#REF!</definedName>
    <definedName name="Parm_Elect_Transfmr_16" localSheetId="0">#REF!</definedName>
    <definedName name="Parm_Elect_Transfmr_16">#REF!</definedName>
    <definedName name="Parm_Elect_Transfmr_17" localSheetId="4">#REF!</definedName>
    <definedName name="Parm_Elect_Transfmr_17" localSheetId="0">#REF!</definedName>
    <definedName name="Parm_Elect_Transfmr_17">#REF!</definedName>
    <definedName name="Parm_Elect_Transfmr_18" localSheetId="4">#REF!</definedName>
    <definedName name="Parm_Elect_Transfmr_18" localSheetId="0">#REF!</definedName>
    <definedName name="Parm_Elect_Transfmr_18">#REF!</definedName>
    <definedName name="Parm_Elect_Transfmr_19" localSheetId="4">#REF!</definedName>
    <definedName name="Parm_Elect_Transfmr_19" localSheetId="0">#REF!</definedName>
    <definedName name="Parm_Elect_Transfmr_19">#REF!</definedName>
    <definedName name="Parm_Elect_Transfmr_20" localSheetId="4">#REF!</definedName>
    <definedName name="Parm_Elect_Transfmr_20" localSheetId="0">#REF!</definedName>
    <definedName name="Parm_Elect_Transfmr_20">#REF!</definedName>
    <definedName name="Parm_Elect_Transfmr_21" localSheetId="4">#REF!</definedName>
    <definedName name="Parm_Elect_Transfmr_21" localSheetId="0">#REF!</definedName>
    <definedName name="Parm_Elect_Transfmr_21">#REF!</definedName>
    <definedName name="Parm_Elect_Transfmr_22" localSheetId="4">#REF!</definedName>
    <definedName name="Parm_Elect_Transfmr_22" localSheetId="0">#REF!</definedName>
    <definedName name="Parm_Elect_Transfmr_22">#REF!</definedName>
    <definedName name="Parm_Elect_Transfmr_23" localSheetId="4">#REF!</definedName>
    <definedName name="Parm_Elect_Transfmr_23" localSheetId="0">#REF!</definedName>
    <definedName name="Parm_Elect_Transfmr_23">#REF!</definedName>
    <definedName name="Parm_Elect_Transfmr_24" localSheetId="4">#REF!</definedName>
    <definedName name="Parm_Elect_Transfmr_24" localSheetId="0">#REF!</definedName>
    <definedName name="Parm_Elect_Transfmr_24">#REF!</definedName>
    <definedName name="Parm_Elect_Transfmr_25" localSheetId="4">#REF!</definedName>
    <definedName name="Parm_Elect_Transfmr_25" localSheetId="0">#REF!</definedName>
    <definedName name="Parm_Elect_Transfmr_25">#REF!</definedName>
    <definedName name="Parm_Elect_Transfmr_26" localSheetId="4">#REF!</definedName>
    <definedName name="Parm_Elect_Transfmr_26" localSheetId="0">#REF!</definedName>
    <definedName name="Parm_Elect_Transfmr_26">#REF!</definedName>
    <definedName name="Parm_Elect_Transfmr_27" localSheetId="4">#REF!</definedName>
    <definedName name="Parm_Elect_Transfmr_27" localSheetId="0">#REF!</definedName>
    <definedName name="Parm_Elect_Transfmr_27">#REF!</definedName>
    <definedName name="Parm_Elect_Transfmr_28" localSheetId="4">#REF!</definedName>
    <definedName name="Parm_Elect_Transfmr_28" localSheetId="0">#REF!</definedName>
    <definedName name="Parm_Elect_Transfmr_28">#REF!</definedName>
    <definedName name="Parm_Elect_Transfmr_29" localSheetId="4">#REF!</definedName>
    <definedName name="Parm_Elect_Transfmr_29" localSheetId="0">#REF!</definedName>
    <definedName name="Parm_Elect_Transfmr_29">#REF!</definedName>
    <definedName name="Parm_Elect_Transfmr_30" localSheetId="4">#REF!</definedName>
    <definedName name="Parm_Elect_Transfmr_30" localSheetId="0">#REF!</definedName>
    <definedName name="Parm_Elect_Transfmr_30">#REF!</definedName>
    <definedName name="Parm_Elect_Transfmr_31" localSheetId="4">#REF!</definedName>
    <definedName name="Parm_Elect_Transfmr_31" localSheetId="0">#REF!</definedName>
    <definedName name="Parm_Elect_Transfmr_31">#REF!</definedName>
    <definedName name="Parm_Elect_Transfmr_32" localSheetId="4">#REF!</definedName>
    <definedName name="Parm_Elect_Transfmr_32" localSheetId="0">#REF!</definedName>
    <definedName name="Parm_Elect_Transfmr_32">#REF!</definedName>
    <definedName name="Parm_Elect_Transfmr_33" localSheetId="4">#REF!</definedName>
    <definedName name="Parm_Elect_Transfmr_33" localSheetId="0">#REF!</definedName>
    <definedName name="Parm_Elect_Transfmr_33">#REF!</definedName>
    <definedName name="Parm_Elect_Transfmr_34" localSheetId="4">#REF!</definedName>
    <definedName name="Parm_Elect_Transfmr_34" localSheetId="0">#REF!</definedName>
    <definedName name="Parm_Elect_Transfmr_34">#REF!</definedName>
    <definedName name="Parm_Elect_Transfmr_35" localSheetId="4">#REF!</definedName>
    <definedName name="Parm_Elect_Transfmr_35" localSheetId="0">#REF!</definedName>
    <definedName name="Parm_Elect_Transfmr_35">#REF!</definedName>
    <definedName name="Parm_Elect_Transfmr_36" localSheetId="4">#REF!</definedName>
    <definedName name="Parm_Elect_Transfmr_36" localSheetId="0">#REF!</definedName>
    <definedName name="Parm_Elect_Transfmr_36">#REF!</definedName>
    <definedName name="Parm_Elect_Transfmr_37" localSheetId="4">#REF!</definedName>
    <definedName name="Parm_Elect_Transfmr_37" localSheetId="0">#REF!</definedName>
    <definedName name="Parm_Elect_Transfmr_37">#REF!</definedName>
    <definedName name="Parm_Elect_Transfmr_38" localSheetId="4">#REF!</definedName>
    <definedName name="Parm_Elect_Transfmr_38" localSheetId="0">#REF!</definedName>
    <definedName name="Parm_Elect_Transfmr_38">#REF!</definedName>
    <definedName name="Parm_Elect_Transfmr_39" localSheetId="4">#REF!</definedName>
    <definedName name="Parm_Elect_Transfmr_39" localSheetId="0">#REF!</definedName>
    <definedName name="Parm_Elect_Transfmr_39">#REF!</definedName>
    <definedName name="Parm_Elect_Transfmr_40" localSheetId="4">#REF!</definedName>
    <definedName name="Parm_Elect_Transfmr_40" localSheetId="0">#REF!</definedName>
    <definedName name="Parm_Elect_Transfmr_40">#REF!</definedName>
    <definedName name="Parm_Elect_Transfmr_41" localSheetId="4">#REF!</definedName>
    <definedName name="Parm_Elect_Transfmr_41" localSheetId="0">#REF!</definedName>
    <definedName name="Parm_Elect_Transfmr_41">#REF!</definedName>
    <definedName name="Parm_Elect_Transfmr_42" localSheetId="4">#REF!</definedName>
    <definedName name="Parm_Elect_Transfmr_42" localSheetId="0">#REF!</definedName>
    <definedName name="Parm_Elect_Transfmr_42">#REF!</definedName>
    <definedName name="Parm_Elect_Transfmr_43" localSheetId="4">#REF!</definedName>
    <definedName name="Parm_Elect_Transfmr_43" localSheetId="0">#REF!</definedName>
    <definedName name="Parm_Elect_Transfmr_43">#REF!</definedName>
    <definedName name="Parm_Elect_Transfmr_44" localSheetId="4">#REF!</definedName>
    <definedName name="Parm_Elect_Transfmr_44" localSheetId="0">#REF!</definedName>
    <definedName name="Parm_Elect_Transfmr_44">#REF!</definedName>
    <definedName name="Parm_Elect_Transfmr_45" localSheetId="4">#REF!</definedName>
    <definedName name="Parm_Elect_Transfmr_45" localSheetId="0">#REF!</definedName>
    <definedName name="Parm_Elect_Transfmr_45">#REF!</definedName>
    <definedName name="Parm_Elect_Transfmr_46" localSheetId="4">#REF!</definedName>
    <definedName name="Parm_Elect_Transfmr_46" localSheetId="0">#REF!</definedName>
    <definedName name="Parm_Elect_Transfmr_46">#REF!</definedName>
    <definedName name="Parm_Elect_Transfmr_47" localSheetId="4">#REF!</definedName>
    <definedName name="Parm_Elect_Transfmr_47" localSheetId="0">#REF!</definedName>
    <definedName name="Parm_Elect_Transfmr_47">#REF!</definedName>
    <definedName name="Parm_Elect_Transfmr_48" localSheetId="4">#REF!</definedName>
    <definedName name="Parm_Elect_Transfmr_48" localSheetId="0">#REF!</definedName>
    <definedName name="Parm_Elect_Transfmr_48">#REF!</definedName>
    <definedName name="Parm_Elect_Transfmr_49" localSheetId="4">#REF!</definedName>
    <definedName name="Parm_Elect_Transfmr_49" localSheetId="0">#REF!</definedName>
    <definedName name="Parm_Elect_Transfmr_49">#REF!</definedName>
    <definedName name="Parm_Elect_Transfmr_50" localSheetId="4">#REF!</definedName>
    <definedName name="Parm_Elect_Transfmr_50" localSheetId="0">#REF!</definedName>
    <definedName name="Parm_Elect_Transfmr_50">#REF!</definedName>
    <definedName name="Parm_Elect_Transfmr_51" localSheetId="4">#REF!</definedName>
    <definedName name="Parm_Elect_Transfmr_51" localSheetId="0">#REF!</definedName>
    <definedName name="Parm_Elect_Transfmr_51">#REF!</definedName>
    <definedName name="Parm_Elect_Transfmr_52" localSheetId="4">#REF!</definedName>
    <definedName name="Parm_Elect_Transfmr_52" localSheetId="0">#REF!</definedName>
    <definedName name="Parm_Elect_Transfmr_52">#REF!</definedName>
    <definedName name="Parm_Elect_Transfmr_53" localSheetId="4">#REF!</definedName>
    <definedName name="Parm_Elect_Transfmr_53" localSheetId="0">#REF!</definedName>
    <definedName name="Parm_Elect_Transfmr_53">#REF!</definedName>
    <definedName name="Parm_Elect_Transfmr_54" localSheetId="4">#REF!</definedName>
    <definedName name="Parm_Elect_Transfmr_54" localSheetId="0">#REF!</definedName>
    <definedName name="Parm_Elect_Transfmr_54">#REF!</definedName>
    <definedName name="Parm_Elect_Transfmr_55" localSheetId="4">#REF!</definedName>
    <definedName name="Parm_Elect_Transfmr_55" localSheetId="0">#REF!</definedName>
    <definedName name="Parm_Elect_Transfmr_55">#REF!</definedName>
    <definedName name="Parm_Elect_Transfmr_56" localSheetId="4">#REF!</definedName>
    <definedName name="Parm_Elect_Transfmr_56" localSheetId="0">#REF!</definedName>
    <definedName name="Parm_Elect_Transfmr_56">#REF!</definedName>
    <definedName name="Parm_Elect_Transfmr_57" localSheetId="4">#REF!</definedName>
    <definedName name="Parm_Elect_Transfmr_57" localSheetId="0">#REF!</definedName>
    <definedName name="Parm_Elect_Transfmr_57">#REF!</definedName>
    <definedName name="Parm_Elect_Transfmr_58" localSheetId="4">#REF!</definedName>
    <definedName name="Parm_Elect_Transfmr_58" localSheetId="0">#REF!</definedName>
    <definedName name="Parm_Elect_Transfmr_58">#REF!</definedName>
    <definedName name="Parm_Elect_Transfmr_59" localSheetId="4">#REF!</definedName>
    <definedName name="Parm_Elect_Transfmr_59" localSheetId="0">#REF!</definedName>
    <definedName name="Parm_Elect_Transfmr_59">#REF!</definedName>
    <definedName name="Parm_Elect_Transfmr_60" localSheetId="4">#REF!</definedName>
    <definedName name="Parm_Elect_Transfmr_60" localSheetId="0">#REF!</definedName>
    <definedName name="Parm_Elect_Transfmr_60">#REF!</definedName>
    <definedName name="Parm_Elect_Transfmr_61" localSheetId="4">#REF!</definedName>
    <definedName name="Parm_Elect_Transfmr_61" localSheetId="0">#REF!</definedName>
    <definedName name="Parm_Elect_Transfmr_61">#REF!</definedName>
    <definedName name="Parm_Elect_Transfmr_62" localSheetId="4">#REF!</definedName>
    <definedName name="Parm_Elect_Transfmr_62" localSheetId="0">#REF!</definedName>
    <definedName name="Parm_Elect_Transfmr_62">#REF!</definedName>
    <definedName name="Parm_Elect_Transfmr_63" localSheetId="4">#REF!</definedName>
    <definedName name="Parm_Elect_Transfmr_63" localSheetId="0">#REF!</definedName>
    <definedName name="Parm_Elect_Transfmr_63">#REF!</definedName>
    <definedName name="Parm_Elect_Transfmr_64" localSheetId="4">#REF!</definedName>
    <definedName name="Parm_Elect_Transfmr_64" localSheetId="0">#REF!</definedName>
    <definedName name="Parm_Elect_Transfmr_64">#REF!</definedName>
    <definedName name="Parm_Elect_Transfmr_65" localSheetId="4">#REF!</definedName>
    <definedName name="Parm_Elect_Transfmr_65" localSheetId="0">#REF!</definedName>
    <definedName name="Parm_Elect_Transfmr_65">#REF!</definedName>
    <definedName name="Parm_Elect_Transfmr_66" localSheetId="4">#REF!</definedName>
    <definedName name="Parm_Elect_Transfmr_66" localSheetId="0">#REF!</definedName>
    <definedName name="Parm_Elect_Transfmr_66">#REF!</definedName>
    <definedName name="Parm_Elect_Transfmr_67" localSheetId="4">#REF!</definedName>
    <definedName name="Parm_Elect_Transfmr_67" localSheetId="0">#REF!</definedName>
    <definedName name="Parm_Elect_Transfmr_67">#REF!</definedName>
    <definedName name="Parm_Elect_Transm_01" localSheetId="4">#REF!</definedName>
    <definedName name="Parm_Elect_Transm_01" localSheetId="0">#REF!</definedName>
    <definedName name="Parm_Elect_Transm_01">#REF!</definedName>
    <definedName name="Parm_Elect_Transm_02" localSheetId="4">#REF!</definedName>
    <definedName name="Parm_Elect_Transm_02" localSheetId="0">#REF!</definedName>
    <definedName name="Parm_Elect_Transm_02">#REF!</definedName>
    <definedName name="Parm_Elect_Transm_03" localSheetId="4">#REF!</definedName>
    <definedName name="Parm_Elect_Transm_03" localSheetId="0">#REF!</definedName>
    <definedName name="Parm_Elect_Transm_03">#REF!</definedName>
    <definedName name="Parm_Elect_Transm_04" localSheetId="4">#REF!</definedName>
    <definedName name="Parm_Elect_Transm_04" localSheetId="0">#REF!</definedName>
    <definedName name="Parm_Elect_Transm_04">#REF!</definedName>
    <definedName name="Parm_Elect_Transm_05" localSheetId="4">#REF!</definedName>
    <definedName name="Parm_Elect_Transm_05" localSheetId="0">#REF!</definedName>
    <definedName name="Parm_Elect_Transm_05">#REF!</definedName>
    <definedName name="Parm_Elect_Transm_06" localSheetId="4">#REF!</definedName>
    <definedName name="Parm_Elect_Transm_06" localSheetId="0">#REF!</definedName>
    <definedName name="Parm_Elect_Transm_06">#REF!</definedName>
    <definedName name="Parm_Elect_Transm_07" localSheetId="4">#REF!</definedName>
    <definedName name="Parm_Elect_Transm_07" localSheetId="0">#REF!</definedName>
    <definedName name="Parm_Elect_Transm_07">#REF!</definedName>
    <definedName name="Parm_Elect_Transm_08" localSheetId="4">#REF!</definedName>
    <definedName name="Parm_Elect_Transm_08" localSheetId="0">#REF!</definedName>
    <definedName name="Parm_Elect_Transm_08">#REF!</definedName>
    <definedName name="Parm_General_01" localSheetId="4">#REF!</definedName>
    <definedName name="Parm_General_01" localSheetId="0">#REF!</definedName>
    <definedName name="Parm_General_01">#REF!</definedName>
    <definedName name="Parm_General_02" localSheetId="4">#REF!</definedName>
    <definedName name="Parm_General_02" localSheetId="0">#REF!</definedName>
    <definedName name="Parm_General_02">#REF!</definedName>
    <definedName name="Parm_General_03" localSheetId="4">#REF!</definedName>
    <definedName name="Parm_General_03" localSheetId="0">#REF!</definedName>
    <definedName name="Parm_General_03">#REF!</definedName>
    <definedName name="Parm_General_04" localSheetId="4">#REF!</definedName>
    <definedName name="Parm_General_04" localSheetId="0">#REF!</definedName>
    <definedName name="Parm_General_04">#REF!</definedName>
    <definedName name="Parm_General_05" localSheetId="4">#REF!</definedName>
    <definedName name="Parm_General_05" localSheetId="0">#REF!</definedName>
    <definedName name="Parm_General_05">#REF!</definedName>
    <definedName name="Parm_General_06" localSheetId="4">#REF!</definedName>
    <definedName name="Parm_General_06" localSheetId="0">#REF!</definedName>
    <definedName name="Parm_General_06">#REF!</definedName>
    <definedName name="Parm_General_07" localSheetId="4">#REF!</definedName>
    <definedName name="Parm_General_07" localSheetId="0">#REF!</definedName>
    <definedName name="Parm_General_07">#REF!</definedName>
    <definedName name="Parm_General_08" localSheetId="4">#REF!</definedName>
    <definedName name="Parm_General_08" localSheetId="0">#REF!</definedName>
    <definedName name="Parm_General_08">#REF!</definedName>
    <definedName name="Parm_General_09" localSheetId="4">#REF!</definedName>
    <definedName name="Parm_General_09" localSheetId="0">#REF!</definedName>
    <definedName name="Parm_General_09">#REF!</definedName>
    <definedName name="Parm_Guar_Envirmt_01" localSheetId="4">#REF!</definedName>
    <definedName name="Parm_Guar_Envirmt_01" localSheetId="0">#REF!</definedName>
    <definedName name="Parm_Guar_Envirmt_01">#REF!</definedName>
    <definedName name="Parm_Guar_Envirmt_02" localSheetId="4">#REF!</definedName>
    <definedName name="Parm_Guar_Envirmt_02" localSheetId="0">#REF!</definedName>
    <definedName name="Parm_Guar_Envirmt_02">#REF!</definedName>
    <definedName name="Parm_Guar_Envirmt_03" localSheetId="4">#REF!</definedName>
    <definedName name="Parm_Guar_Envirmt_03" localSheetId="0">#REF!</definedName>
    <definedName name="Parm_Guar_Envirmt_03">#REF!</definedName>
    <definedName name="Parm_Guar_Envirmt_04" localSheetId="4">#REF!</definedName>
    <definedName name="Parm_Guar_Envirmt_04" localSheetId="0">#REF!</definedName>
    <definedName name="Parm_Guar_Envirmt_04">#REF!</definedName>
    <definedName name="Parm_Guar_Envirmt_05" localSheetId="4">#REF!</definedName>
    <definedName name="Parm_Guar_Envirmt_05" localSheetId="0">#REF!</definedName>
    <definedName name="Parm_Guar_Envirmt_05">#REF!</definedName>
    <definedName name="Parm_Guar_Envirmt_06" localSheetId="4">#REF!</definedName>
    <definedName name="Parm_Guar_Envirmt_06" localSheetId="0">#REF!</definedName>
    <definedName name="Parm_Guar_Envirmt_06">#REF!</definedName>
    <definedName name="Parm_Guar_Envirmt_07" localSheetId="4">#REF!</definedName>
    <definedName name="Parm_Guar_Envirmt_07" localSheetId="0">#REF!</definedName>
    <definedName name="Parm_Guar_Envirmt_07">#REF!</definedName>
    <definedName name="Parm_Guar_Envirmt_08" localSheetId="4">#REF!</definedName>
    <definedName name="Parm_Guar_Envirmt_08" localSheetId="0">#REF!</definedName>
    <definedName name="Parm_Guar_Envirmt_08">#REF!</definedName>
    <definedName name="Parm_Guar_Envirmt_09" localSheetId="4">#REF!</definedName>
    <definedName name="Parm_Guar_Envirmt_09" localSheetId="0">#REF!</definedName>
    <definedName name="Parm_Guar_Envirmt_09">#REF!</definedName>
    <definedName name="Parm_Guar_Envirmt_10" localSheetId="4">#REF!</definedName>
    <definedName name="Parm_Guar_Envirmt_10" localSheetId="0">#REF!</definedName>
    <definedName name="Parm_Guar_Envirmt_10">#REF!</definedName>
    <definedName name="Parm_Guar_Envirmt_11" localSheetId="4">#REF!</definedName>
    <definedName name="Parm_Guar_Envirmt_11" localSheetId="0">#REF!</definedName>
    <definedName name="Parm_Guar_Envirmt_11">#REF!</definedName>
    <definedName name="Parm_Guar_Envirmt_12" localSheetId="4">#REF!</definedName>
    <definedName name="Parm_Guar_Envirmt_12" localSheetId="0">#REF!</definedName>
    <definedName name="Parm_Guar_Envirmt_12">#REF!</definedName>
    <definedName name="Parm_Guar_Perf_01" localSheetId="4">#REF!</definedName>
    <definedName name="Parm_Guar_Perf_01" localSheetId="0">#REF!</definedName>
    <definedName name="Parm_Guar_Perf_01">#REF!</definedName>
    <definedName name="Parm_Guar_Perf_02" localSheetId="4">#REF!</definedName>
    <definedName name="Parm_Guar_Perf_02" localSheetId="0">#REF!</definedName>
    <definedName name="Parm_Guar_Perf_02">#REF!</definedName>
    <definedName name="Parm_Guar_Perf_03" localSheetId="4">#REF!</definedName>
    <definedName name="Parm_Guar_Perf_03" localSheetId="0">#REF!</definedName>
    <definedName name="Parm_Guar_Perf_03">#REF!</definedName>
    <definedName name="Parm_Guar_Perf_04" localSheetId="4">#REF!</definedName>
    <definedName name="Parm_Guar_Perf_04" localSheetId="0">#REF!</definedName>
    <definedName name="Parm_Guar_Perf_04">#REF!</definedName>
    <definedName name="Parm_Guar_Perf_05" localSheetId="4">#REF!</definedName>
    <definedName name="Parm_Guar_Perf_05" localSheetId="0">#REF!</definedName>
    <definedName name="Parm_Guar_Perf_05">#REF!</definedName>
    <definedName name="Parm_Guar_Perf_06" localSheetId="4">#REF!</definedName>
    <definedName name="Parm_Guar_Perf_06" localSheetId="0">#REF!</definedName>
    <definedName name="Parm_Guar_Perf_06">#REF!</definedName>
    <definedName name="Parm_Guar_Perf_07" localSheetId="4">#REF!</definedName>
    <definedName name="Parm_Guar_Perf_07" localSheetId="0">#REF!</definedName>
    <definedName name="Parm_Guar_Perf_07">#REF!</definedName>
    <definedName name="Parm_Guar_Perf_08" localSheetId="4">#REF!</definedName>
    <definedName name="Parm_Guar_Perf_08" localSheetId="0">#REF!</definedName>
    <definedName name="Parm_Guar_Perf_08">#REF!</definedName>
    <definedName name="Parm_Guar_Perf_09" localSheetId="4">#REF!</definedName>
    <definedName name="Parm_Guar_Perf_09" localSheetId="0">#REF!</definedName>
    <definedName name="Parm_Guar_Perf_09">#REF!</definedName>
    <definedName name="Parm_Guar_Perf_10" localSheetId="4">#REF!</definedName>
    <definedName name="Parm_Guar_Perf_10" localSheetId="0">#REF!</definedName>
    <definedName name="Parm_Guar_Perf_10">#REF!</definedName>
    <definedName name="Parm_Guar_Perf_11" localSheetId="4">#REF!</definedName>
    <definedName name="Parm_Guar_Perf_11" localSheetId="0">#REF!</definedName>
    <definedName name="Parm_Guar_Perf_11">#REF!</definedName>
    <definedName name="Parm_Guar_Perf_Marg_01" localSheetId="4">#REF!</definedName>
    <definedName name="Parm_Guar_Perf_Marg_01" localSheetId="0">#REF!</definedName>
    <definedName name="Parm_Guar_Perf_Marg_01">#REF!</definedName>
    <definedName name="Parm_Guar_Perf_Marg_02" localSheetId="4">#REF!</definedName>
    <definedName name="Parm_Guar_Perf_Marg_02" localSheetId="0">#REF!</definedName>
    <definedName name="Parm_Guar_Perf_Marg_02">#REF!</definedName>
    <definedName name="Parm_Guar_Perf_Marg_03" localSheetId="4">#REF!</definedName>
    <definedName name="Parm_Guar_Perf_Marg_03" localSheetId="0">#REF!</definedName>
    <definedName name="Parm_Guar_Perf_Marg_03">#REF!</definedName>
    <definedName name="Parm_Guar_Perf_Marg_04" localSheetId="4">#REF!</definedName>
    <definedName name="Parm_Guar_Perf_Marg_04" localSheetId="0">#REF!</definedName>
    <definedName name="Parm_Guar_Perf_Marg_04">#REF!</definedName>
    <definedName name="Parm_Guar_Perf_Marg_05" localSheetId="4">#REF!</definedName>
    <definedName name="Parm_Guar_Perf_Marg_05" localSheetId="0">#REF!</definedName>
    <definedName name="Parm_Guar_Perf_Marg_05">#REF!</definedName>
    <definedName name="Parm_Guar_Perf_Marg_06" localSheetId="4">#REF!</definedName>
    <definedName name="Parm_Guar_Perf_Marg_06" localSheetId="0">#REF!</definedName>
    <definedName name="Parm_Guar_Perf_Marg_06">#REF!</definedName>
    <definedName name="Parm_Guar_Perf_Marg_07" localSheetId="4">#REF!</definedName>
    <definedName name="Parm_Guar_Perf_Marg_07" localSheetId="0">#REF!</definedName>
    <definedName name="Parm_Guar_Perf_Marg_07">#REF!</definedName>
    <definedName name="Parm_Guar_Perf_Marg_08" localSheetId="4">#REF!</definedName>
    <definedName name="Parm_Guar_Perf_Marg_08" localSheetId="0">#REF!</definedName>
    <definedName name="Parm_Guar_Perf_Marg_08">#REF!</definedName>
    <definedName name="Parm_Guar_Perf_Marg_09" localSheetId="4">#REF!</definedName>
    <definedName name="Parm_Guar_Perf_Marg_09" localSheetId="0">#REF!</definedName>
    <definedName name="Parm_Guar_Perf_Marg_09">#REF!</definedName>
    <definedName name="Parm_Guar_Perf_Marg_10" localSheetId="4">#REF!</definedName>
    <definedName name="Parm_Guar_Perf_Marg_10" localSheetId="0">#REF!</definedName>
    <definedName name="Parm_Guar_Perf_Marg_10">#REF!</definedName>
    <definedName name="Parm_Guar_Perf_Marg_11" localSheetId="4">#REF!</definedName>
    <definedName name="Parm_Guar_Perf_Marg_11" localSheetId="0">#REF!</definedName>
    <definedName name="Parm_Guar_Perf_Marg_11">#REF!</definedName>
    <definedName name="Parm_Mech_Boiler_01" localSheetId="4">#REF!</definedName>
    <definedName name="Parm_Mech_Boiler_01" localSheetId="0">#REF!</definedName>
    <definedName name="Parm_Mech_Boiler_01">#REF!</definedName>
    <definedName name="Parm_Mech_Boiler_02" localSheetId="4">#REF!</definedName>
    <definedName name="Parm_Mech_Boiler_02" localSheetId="0">#REF!</definedName>
    <definedName name="Parm_Mech_Boiler_02">#REF!</definedName>
    <definedName name="Parm_Mech_Boiler_03" localSheetId="4">#REF!</definedName>
    <definedName name="Parm_Mech_Boiler_03" localSheetId="0">#REF!</definedName>
    <definedName name="Parm_Mech_Boiler_03">#REF!</definedName>
    <definedName name="Parm_Mech_Boiler_04" localSheetId="4">#REF!</definedName>
    <definedName name="Parm_Mech_Boiler_04" localSheetId="0">#REF!</definedName>
    <definedName name="Parm_Mech_Boiler_04">#REF!</definedName>
    <definedName name="Parm_Mech_Boiler_05" localSheetId="4">#REF!</definedName>
    <definedName name="Parm_Mech_Boiler_05" localSheetId="0">#REF!</definedName>
    <definedName name="Parm_Mech_Boiler_05">#REF!</definedName>
    <definedName name="Parm_Mech_Boiler_06" localSheetId="4">#REF!</definedName>
    <definedName name="Parm_Mech_Boiler_06" localSheetId="0">#REF!</definedName>
    <definedName name="Parm_Mech_Boiler_06">#REF!</definedName>
    <definedName name="Parm_Mech_Boiler_07" localSheetId="4">#REF!</definedName>
    <definedName name="Parm_Mech_Boiler_07" localSheetId="0">#REF!</definedName>
    <definedName name="Parm_Mech_Boiler_07">#REF!</definedName>
    <definedName name="Parm_Mech_Boiler_08" localSheetId="4">#REF!</definedName>
    <definedName name="Parm_Mech_Boiler_08" localSheetId="0">#REF!</definedName>
    <definedName name="Parm_Mech_Boiler_08">#REF!</definedName>
    <definedName name="Parm_Mech_Boiler_09" localSheetId="4">#REF!</definedName>
    <definedName name="Parm_Mech_Boiler_09" localSheetId="0">#REF!</definedName>
    <definedName name="Parm_Mech_Boiler_09">#REF!</definedName>
    <definedName name="Parm_Mech_Boiler_10" localSheetId="4">#REF!</definedName>
    <definedName name="Parm_Mech_Boiler_10" localSheetId="0">#REF!</definedName>
    <definedName name="Parm_Mech_Boiler_10">#REF!</definedName>
    <definedName name="Parm_Mech_Boiler_11" localSheetId="4">#REF!</definedName>
    <definedName name="Parm_Mech_Boiler_11" localSheetId="0">#REF!</definedName>
    <definedName name="Parm_Mech_Boiler_11">#REF!</definedName>
    <definedName name="Parm_Mech_Boiler_12" localSheetId="4">#REF!</definedName>
    <definedName name="Parm_Mech_Boiler_12" localSheetId="0">#REF!</definedName>
    <definedName name="Parm_Mech_Boiler_12">#REF!</definedName>
    <definedName name="Parm_Mech_Boiler_13" localSheetId="4">#REF!</definedName>
    <definedName name="Parm_Mech_Boiler_13" localSheetId="0">#REF!</definedName>
    <definedName name="Parm_Mech_Boiler_13">#REF!</definedName>
    <definedName name="Parm_Mech_Boiler_14" localSheetId="4">#REF!</definedName>
    <definedName name="Parm_Mech_Boiler_14" localSheetId="0">#REF!</definedName>
    <definedName name="Parm_Mech_Boiler_14">#REF!</definedName>
    <definedName name="Parm_Mech_Boiler_15" localSheetId="4">#REF!</definedName>
    <definedName name="Parm_Mech_Boiler_15" localSheetId="0">#REF!</definedName>
    <definedName name="Parm_Mech_Boiler_15">#REF!</definedName>
    <definedName name="Parm_Mech_Boiler_16" localSheetId="4">#REF!</definedName>
    <definedName name="Parm_Mech_Boiler_16" localSheetId="0">#REF!</definedName>
    <definedName name="Parm_Mech_Boiler_16">#REF!</definedName>
    <definedName name="Parm_Mech_Boiler_17" localSheetId="4">#REF!</definedName>
    <definedName name="Parm_Mech_Boiler_17" localSheetId="0">#REF!</definedName>
    <definedName name="Parm_Mech_Boiler_17">#REF!</definedName>
    <definedName name="Parm_Mech_Boiler_18" localSheetId="4">#REF!</definedName>
    <definedName name="Parm_Mech_Boiler_18" localSheetId="0">#REF!</definedName>
    <definedName name="Parm_Mech_Boiler_18">#REF!</definedName>
    <definedName name="Parm_Mech_Boiler_19" localSheetId="4">#REF!</definedName>
    <definedName name="Parm_Mech_Boiler_19" localSheetId="0">#REF!</definedName>
    <definedName name="Parm_Mech_Boiler_19">#REF!</definedName>
    <definedName name="Parm_Mech_Boiler_20" localSheetId="4">#REF!</definedName>
    <definedName name="Parm_Mech_Boiler_20" localSheetId="0">#REF!</definedName>
    <definedName name="Parm_Mech_Boiler_20">#REF!</definedName>
    <definedName name="Parm_Mech_Boiler_21" localSheetId="4">#REF!</definedName>
    <definedName name="Parm_Mech_Boiler_21" localSheetId="0">#REF!</definedName>
    <definedName name="Parm_Mech_Boiler_21">#REF!</definedName>
    <definedName name="Parm_Mech_Boiler_22" localSheetId="4">#REF!</definedName>
    <definedName name="Parm_Mech_Boiler_22" localSheetId="0">#REF!</definedName>
    <definedName name="Parm_Mech_Boiler_22">#REF!</definedName>
    <definedName name="Parm_Mech_Boiler_23" localSheetId="4">#REF!</definedName>
    <definedName name="Parm_Mech_Boiler_23" localSheetId="0">#REF!</definedName>
    <definedName name="Parm_Mech_Boiler_23">#REF!</definedName>
    <definedName name="Parm_Mech_Boiler_24" localSheetId="4">#REF!</definedName>
    <definedName name="Parm_Mech_Boiler_24" localSheetId="0">#REF!</definedName>
    <definedName name="Parm_Mech_Boiler_24">#REF!</definedName>
    <definedName name="Parm_Mech_BOP_01" localSheetId="4">#REF!</definedName>
    <definedName name="Parm_Mech_BOP_01" localSheetId="0">#REF!</definedName>
    <definedName name="Parm_Mech_BOP_01">#REF!</definedName>
    <definedName name="Parm_Mech_BOP_02" localSheetId="4">#REF!</definedName>
    <definedName name="Parm_Mech_BOP_02" localSheetId="0">#REF!</definedName>
    <definedName name="Parm_Mech_BOP_02">#REF!</definedName>
    <definedName name="Parm_Mech_BOP_03" localSheetId="4">#REF!</definedName>
    <definedName name="Parm_Mech_BOP_03" localSheetId="0">#REF!</definedName>
    <definedName name="Parm_Mech_BOP_03">#REF!</definedName>
    <definedName name="Parm_Mech_BOP_04" localSheetId="4">#REF!</definedName>
    <definedName name="Parm_Mech_BOP_04" localSheetId="0">#REF!</definedName>
    <definedName name="Parm_Mech_BOP_04">#REF!</definedName>
    <definedName name="Parm_Mech_BOP_05" localSheetId="4">#REF!</definedName>
    <definedName name="Parm_Mech_BOP_05" localSheetId="0">#REF!</definedName>
    <definedName name="Parm_Mech_BOP_05">#REF!</definedName>
    <definedName name="Parm_Mech_BOP_06" localSheetId="4">#REF!</definedName>
    <definedName name="Parm_Mech_BOP_06" localSheetId="0">#REF!</definedName>
    <definedName name="Parm_Mech_BOP_06">#REF!</definedName>
    <definedName name="Parm_Mech_BOP_07" localSheetId="4">#REF!</definedName>
    <definedName name="Parm_Mech_BOP_07" localSheetId="0">#REF!</definedName>
    <definedName name="Parm_Mech_BOP_07">#REF!</definedName>
    <definedName name="Parm_Mech_BOP_08" localSheetId="4">#REF!</definedName>
    <definedName name="Parm_Mech_BOP_08" localSheetId="0">#REF!</definedName>
    <definedName name="Parm_Mech_BOP_08">#REF!</definedName>
    <definedName name="Parm_Mech_BOP_09" localSheetId="4">#REF!</definedName>
    <definedName name="Parm_Mech_BOP_09" localSheetId="0">#REF!</definedName>
    <definedName name="Parm_Mech_BOP_09">#REF!</definedName>
    <definedName name="Parm_Mech_BOP_10" localSheetId="4">#REF!</definedName>
    <definedName name="Parm_Mech_BOP_10" localSheetId="0">#REF!</definedName>
    <definedName name="Parm_Mech_BOP_10">#REF!</definedName>
    <definedName name="Parm_Mech_BOP_11" localSheetId="4">#REF!</definedName>
    <definedName name="Parm_Mech_BOP_11" localSheetId="0">#REF!</definedName>
    <definedName name="Parm_Mech_BOP_11">#REF!</definedName>
    <definedName name="Parm_Mech_BOP_12" localSheetId="4">#REF!</definedName>
    <definedName name="Parm_Mech_BOP_12" localSheetId="0">#REF!</definedName>
    <definedName name="Parm_Mech_BOP_12">#REF!</definedName>
    <definedName name="Parm_Mech_BOP_13" localSheetId="4">#REF!</definedName>
    <definedName name="Parm_Mech_BOP_13" localSheetId="0">#REF!</definedName>
    <definedName name="Parm_Mech_BOP_13">#REF!</definedName>
    <definedName name="Parm_Mech_BOP_14" localSheetId="4">#REF!</definedName>
    <definedName name="Parm_Mech_BOP_14" localSheetId="0">#REF!</definedName>
    <definedName name="Parm_Mech_BOP_14">#REF!</definedName>
    <definedName name="Parm_Mech_BOP_15" localSheetId="4">#REF!</definedName>
    <definedName name="Parm_Mech_BOP_15" localSheetId="0">#REF!</definedName>
    <definedName name="Parm_Mech_BOP_15">#REF!</definedName>
    <definedName name="Parm_Mech_BOP_16" localSheetId="4">#REF!</definedName>
    <definedName name="Parm_Mech_BOP_16" localSheetId="0">#REF!</definedName>
    <definedName name="Parm_Mech_BOP_16">#REF!</definedName>
    <definedName name="Parm_Mech_BOP_17" localSheetId="4">#REF!</definedName>
    <definedName name="Parm_Mech_BOP_17" localSheetId="0">#REF!</definedName>
    <definedName name="Parm_Mech_BOP_17">#REF!</definedName>
    <definedName name="Parm_Mech_BOP_18" localSheetId="4">#REF!</definedName>
    <definedName name="Parm_Mech_BOP_18" localSheetId="0">#REF!</definedName>
    <definedName name="Parm_Mech_BOP_18">#REF!</definedName>
    <definedName name="Parm_Mech_BOP_19" localSheetId="4">#REF!</definedName>
    <definedName name="Parm_Mech_BOP_19" localSheetId="0">#REF!</definedName>
    <definedName name="Parm_Mech_BOP_19">#REF!</definedName>
    <definedName name="Parm_Mech_BOP_20" localSheetId="4">#REF!</definedName>
    <definedName name="Parm_Mech_BOP_20" localSheetId="0">#REF!</definedName>
    <definedName name="Parm_Mech_BOP_20">#REF!</definedName>
    <definedName name="Parm_Mech_BOP_21" localSheetId="4">#REF!</definedName>
    <definedName name="Parm_Mech_BOP_21" localSheetId="0">#REF!</definedName>
    <definedName name="Parm_Mech_BOP_21">#REF!</definedName>
    <definedName name="Parm_Mech_BOP_22" localSheetId="4">#REF!</definedName>
    <definedName name="Parm_Mech_BOP_22" localSheetId="0">#REF!</definedName>
    <definedName name="Parm_Mech_BOP_22">#REF!</definedName>
    <definedName name="Parm_Mech_BOP_23" localSheetId="4">#REF!</definedName>
    <definedName name="Parm_Mech_BOP_23" localSheetId="0">#REF!</definedName>
    <definedName name="Parm_Mech_BOP_23">#REF!</definedName>
    <definedName name="Parm_Mech_BOP_24" localSheetId="4">#REF!</definedName>
    <definedName name="Parm_Mech_BOP_24" localSheetId="0">#REF!</definedName>
    <definedName name="Parm_Mech_BOP_24">#REF!</definedName>
    <definedName name="Parm_Mech_BOP_25" localSheetId="4">#REF!</definedName>
    <definedName name="Parm_Mech_BOP_25" localSheetId="0">#REF!</definedName>
    <definedName name="Parm_Mech_BOP_25">#REF!</definedName>
    <definedName name="Parm_Mech_BOP_26" localSheetId="4">#REF!</definedName>
    <definedName name="Parm_Mech_BOP_26" localSheetId="0">#REF!</definedName>
    <definedName name="Parm_Mech_BOP_26">#REF!</definedName>
    <definedName name="Parm_Mech_BOP_27" localSheetId="4">#REF!</definedName>
    <definedName name="Parm_Mech_BOP_27" localSheetId="0">#REF!</definedName>
    <definedName name="Parm_Mech_BOP_27">#REF!</definedName>
    <definedName name="Parm_Mech_BOP_28" localSheetId="4">#REF!</definedName>
    <definedName name="Parm_Mech_BOP_28" localSheetId="0">#REF!</definedName>
    <definedName name="Parm_Mech_BOP_28">#REF!</definedName>
    <definedName name="Parm_Mech_BOP_29" localSheetId="4">#REF!</definedName>
    <definedName name="Parm_Mech_BOP_29" localSheetId="0">#REF!</definedName>
    <definedName name="Parm_Mech_BOP_29">#REF!</definedName>
    <definedName name="Parm_Mech_BOP_30" localSheetId="4">#REF!</definedName>
    <definedName name="Parm_Mech_BOP_30" localSheetId="0">#REF!</definedName>
    <definedName name="Parm_Mech_BOP_30">#REF!</definedName>
    <definedName name="Parm_Mech_BOP_31" localSheetId="4">#REF!</definedName>
    <definedName name="Parm_Mech_BOP_31" localSheetId="0">#REF!</definedName>
    <definedName name="Parm_Mech_BOP_31">#REF!</definedName>
    <definedName name="Parm_Mech_Emissions_01" localSheetId="4">#REF!</definedName>
    <definedName name="Parm_Mech_Emissions_01" localSheetId="0">#REF!</definedName>
    <definedName name="Parm_Mech_Emissions_01">#REF!</definedName>
    <definedName name="Parm_Mech_Emissions_02" localSheetId="4">#REF!</definedName>
    <definedName name="Parm_Mech_Emissions_02" localSheetId="0">#REF!</definedName>
    <definedName name="Parm_Mech_Emissions_02">#REF!</definedName>
    <definedName name="Parm_Mech_Emissions_03" localSheetId="4">#REF!</definedName>
    <definedName name="Parm_Mech_Emissions_03" localSheetId="0">#REF!</definedName>
    <definedName name="Parm_Mech_Emissions_03">#REF!</definedName>
    <definedName name="Parm_Mech_Emissions_04" localSheetId="4">#REF!</definedName>
    <definedName name="Parm_Mech_Emissions_04" localSheetId="0">#REF!</definedName>
    <definedName name="Parm_Mech_Emissions_04">#REF!</definedName>
    <definedName name="Parm_Mech_Emissions_05" localSheetId="4">#REF!</definedName>
    <definedName name="Parm_Mech_Emissions_05" localSheetId="0">#REF!</definedName>
    <definedName name="Parm_Mech_Emissions_05">#REF!</definedName>
    <definedName name="Parm_Mech_Emissions_06" localSheetId="4">#REF!</definedName>
    <definedName name="Parm_Mech_Emissions_06" localSheetId="0">#REF!</definedName>
    <definedName name="Parm_Mech_Emissions_06">#REF!</definedName>
    <definedName name="Parm_Mech_Emissions_07" localSheetId="4">#REF!</definedName>
    <definedName name="Parm_Mech_Emissions_07" localSheetId="0">#REF!</definedName>
    <definedName name="Parm_Mech_Emissions_07">#REF!</definedName>
    <definedName name="Parm_Mech_Emissions_08" localSheetId="4">#REF!</definedName>
    <definedName name="Parm_Mech_Emissions_08" localSheetId="0">#REF!</definedName>
    <definedName name="Parm_Mech_Emissions_08">#REF!</definedName>
    <definedName name="Parm_Mech_Emissions_09" localSheetId="4">#REF!</definedName>
    <definedName name="Parm_Mech_Emissions_09" localSheetId="0">#REF!</definedName>
    <definedName name="Parm_Mech_Emissions_09">#REF!</definedName>
    <definedName name="Parm_Mech_Emissions_10" localSheetId="4">#REF!</definedName>
    <definedName name="Parm_Mech_Emissions_10" localSheetId="0">#REF!</definedName>
    <definedName name="Parm_Mech_Emissions_10">#REF!</definedName>
    <definedName name="Parm_Mech_Emissions_11" localSheetId="4">#REF!</definedName>
    <definedName name="Parm_Mech_Emissions_11" localSheetId="0">#REF!</definedName>
    <definedName name="Parm_Mech_Emissions_11">#REF!</definedName>
    <definedName name="Parm_Mech_Emissions_12" localSheetId="4">#REF!</definedName>
    <definedName name="Parm_Mech_Emissions_12" localSheetId="0">#REF!</definedName>
    <definedName name="Parm_Mech_Emissions_12">#REF!</definedName>
    <definedName name="Parm_Mech_Emissions_13" localSheetId="4">#REF!</definedName>
    <definedName name="Parm_Mech_Emissions_13" localSheetId="0">#REF!</definedName>
    <definedName name="Parm_Mech_Emissions_13">#REF!</definedName>
    <definedName name="Parm_Mech_Emissions_14" localSheetId="4">#REF!</definedName>
    <definedName name="Parm_Mech_Emissions_14" localSheetId="0">#REF!</definedName>
    <definedName name="Parm_Mech_Emissions_14">#REF!</definedName>
    <definedName name="Parm_Mech_Emissions_15" localSheetId="4">#REF!</definedName>
    <definedName name="Parm_Mech_Emissions_15" localSheetId="0">#REF!</definedName>
    <definedName name="Parm_Mech_Emissions_15">#REF!</definedName>
    <definedName name="Parm_Mech_Emissions_16" localSheetId="4">#REF!</definedName>
    <definedName name="Parm_Mech_Emissions_16" localSheetId="0">#REF!</definedName>
    <definedName name="Parm_Mech_Emissions_16">#REF!</definedName>
    <definedName name="Parm_Mech_Emissions_17" localSheetId="4">#REF!</definedName>
    <definedName name="Parm_Mech_Emissions_17" localSheetId="0">#REF!</definedName>
    <definedName name="Parm_Mech_Emissions_17">#REF!</definedName>
    <definedName name="Parm_Mech_Emissions_18" localSheetId="4">#REF!</definedName>
    <definedName name="Parm_Mech_Emissions_18" localSheetId="0">#REF!</definedName>
    <definedName name="Parm_Mech_Emissions_18">#REF!</definedName>
    <definedName name="Parm_Mech_Emissions_19" localSheetId="4">#REF!</definedName>
    <definedName name="Parm_Mech_Emissions_19" localSheetId="0">#REF!</definedName>
    <definedName name="Parm_Mech_Emissions_19">#REF!</definedName>
    <definedName name="Parm_Mech_Emissions_20" localSheetId="4">#REF!</definedName>
    <definedName name="Parm_Mech_Emissions_20" localSheetId="0">#REF!</definedName>
    <definedName name="Parm_Mech_Emissions_20">#REF!</definedName>
    <definedName name="Parm_Mech_Emissions_21" localSheetId="4">#REF!</definedName>
    <definedName name="Parm_Mech_Emissions_21" localSheetId="0">#REF!</definedName>
    <definedName name="Parm_Mech_Emissions_21">#REF!</definedName>
    <definedName name="Parm_Mech_Emissions_22" localSheetId="4">#REF!</definedName>
    <definedName name="Parm_Mech_Emissions_22" localSheetId="0">#REF!</definedName>
    <definedName name="Parm_Mech_Emissions_22">#REF!</definedName>
    <definedName name="Parm_Mech_Emissions_23" localSheetId="4">#REF!</definedName>
    <definedName name="Parm_Mech_Emissions_23" localSheetId="0">#REF!</definedName>
    <definedName name="Parm_Mech_Emissions_23">#REF!</definedName>
    <definedName name="Parm_Mech_Emissions_24" localSheetId="4">#REF!</definedName>
    <definedName name="Parm_Mech_Emissions_24" localSheetId="0">#REF!</definedName>
    <definedName name="Parm_Mech_Emissions_24">#REF!</definedName>
    <definedName name="Parm_Mech_Emissions_25" localSheetId="4">#REF!</definedName>
    <definedName name="Parm_Mech_Emissions_25" localSheetId="0">#REF!</definedName>
    <definedName name="Parm_Mech_Emissions_25">#REF!</definedName>
    <definedName name="Parm_Mech_Emissions_26" localSheetId="4">#REF!</definedName>
    <definedName name="Parm_Mech_Emissions_26" localSheetId="0">#REF!</definedName>
    <definedName name="Parm_Mech_Emissions_26">#REF!</definedName>
    <definedName name="Parm_Mech_Emissions_27" localSheetId="4">#REF!</definedName>
    <definedName name="Parm_Mech_Emissions_27" localSheetId="0">#REF!</definedName>
    <definedName name="Parm_Mech_Emissions_27">#REF!</definedName>
    <definedName name="Parm_Mech_Emissions_28" localSheetId="4">#REF!</definedName>
    <definedName name="Parm_Mech_Emissions_28" localSheetId="0">#REF!</definedName>
    <definedName name="Parm_Mech_Emissions_28">#REF!</definedName>
    <definedName name="Parm_Mech_Emissions_29" localSheetId="4">#REF!</definedName>
    <definedName name="Parm_Mech_Emissions_29" localSheetId="0">#REF!</definedName>
    <definedName name="Parm_Mech_Emissions_29">#REF!</definedName>
    <definedName name="Parm_Mech_Emissions_30" localSheetId="4">#REF!</definedName>
    <definedName name="Parm_Mech_Emissions_30" localSheetId="0">#REF!</definedName>
    <definedName name="Parm_Mech_Emissions_30">#REF!</definedName>
    <definedName name="Parm_Mech_Fuel_01" localSheetId="4">#REF!</definedName>
    <definedName name="Parm_Mech_Fuel_01" localSheetId="0">#REF!</definedName>
    <definedName name="Parm_Mech_Fuel_01">#REF!</definedName>
    <definedName name="Parm_Mech_Fuel_02" localSheetId="4">#REF!</definedName>
    <definedName name="Parm_Mech_Fuel_02" localSheetId="0">#REF!</definedName>
    <definedName name="Parm_Mech_Fuel_02">#REF!</definedName>
    <definedName name="Parm_Mech_Fuel_03" localSheetId="4">#REF!</definedName>
    <definedName name="Parm_Mech_Fuel_03" localSheetId="0">#REF!</definedName>
    <definedName name="Parm_Mech_Fuel_03">#REF!</definedName>
    <definedName name="Parm_Mech_Fuel_04" localSheetId="4">#REF!</definedName>
    <definedName name="Parm_Mech_Fuel_04" localSheetId="0">#REF!</definedName>
    <definedName name="Parm_Mech_Fuel_04">#REF!</definedName>
    <definedName name="Parm_Mech_Fuel_05" localSheetId="4">#REF!</definedName>
    <definedName name="Parm_Mech_Fuel_05" localSheetId="0">#REF!</definedName>
    <definedName name="Parm_Mech_Fuel_05">#REF!</definedName>
    <definedName name="Parm_Mech_Fuel_06" localSheetId="4">#REF!</definedName>
    <definedName name="Parm_Mech_Fuel_06" localSheetId="0">#REF!</definedName>
    <definedName name="Parm_Mech_Fuel_06">#REF!</definedName>
    <definedName name="Parm_Mech_Fuel_07" localSheetId="4">#REF!</definedName>
    <definedName name="Parm_Mech_Fuel_07" localSheetId="0">#REF!</definedName>
    <definedName name="Parm_Mech_Fuel_07">#REF!</definedName>
    <definedName name="Parm_Mech_Fuel_08" localSheetId="4">#REF!</definedName>
    <definedName name="Parm_Mech_Fuel_08" localSheetId="0">#REF!</definedName>
    <definedName name="Parm_Mech_Fuel_08">#REF!</definedName>
    <definedName name="Parm_Mech_Fuel_09" localSheetId="4">#REF!</definedName>
    <definedName name="Parm_Mech_Fuel_09" localSheetId="0">#REF!</definedName>
    <definedName name="Parm_Mech_Fuel_09">#REF!</definedName>
    <definedName name="Parm_Mech_Fuel_10" localSheetId="4">#REF!</definedName>
    <definedName name="Parm_Mech_Fuel_10" localSheetId="0">#REF!</definedName>
    <definedName name="Parm_Mech_Fuel_10">#REF!</definedName>
    <definedName name="Parm_Mech_Fuel_11" localSheetId="4">#REF!</definedName>
    <definedName name="Parm_Mech_Fuel_11" localSheetId="0">#REF!</definedName>
    <definedName name="Parm_Mech_Fuel_11">#REF!</definedName>
    <definedName name="Parm_Mech_Fuel_12" localSheetId="4">#REF!</definedName>
    <definedName name="Parm_Mech_Fuel_12" localSheetId="0">#REF!</definedName>
    <definedName name="Parm_Mech_Fuel_12">#REF!</definedName>
    <definedName name="Parm_Mech_Fuel_13" localSheetId="4">#REF!</definedName>
    <definedName name="Parm_Mech_Fuel_13" localSheetId="0">#REF!</definedName>
    <definedName name="Parm_Mech_Fuel_13">#REF!</definedName>
    <definedName name="Parm_Mech_Fuel_14" localSheetId="4">#REF!</definedName>
    <definedName name="Parm_Mech_Fuel_14" localSheetId="0">#REF!</definedName>
    <definedName name="Parm_Mech_Fuel_14">#REF!</definedName>
    <definedName name="Parm_Mech_Fuel_15" localSheetId="4">#REF!</definedName>
    <definedName name="Parm_Mech_Fuel_15" localSheetId="0">#REF!</definedName>
    <definedName name="Parm_Mech_Fuel_15">#REF!</definedName>
    <definedName name="Parm_Mech_Fuel_16" localSheetId="4">#REF!</definedName>
    <definedName name="Parm_Mech_Fuel_16" localSheetId="0">#REF!</definedName>
    <definedName name="Parm_Mech_Fuel_16">#REF!</definedName>
    <definedName name="Parm_Mech_Mtlhd_01" localSheetId="4">#REF!</definedName>
    <definedName name="Parm_Mech_Mtlhd_01" localSheetId="0">#REF!</definedName>
    <definedName name="Parm_Mech_Mtlhd_01">#REF!</definedName>
    <definedName name="Parm_Mech_Mtlhd_02" localSheetId="4">#REF!</definedName>
    <definedName name="Parm_Mech_Mtlhd_02" localSheetId="0">#REF!</definedName>
    <definedName name="Parm_Mech_Mtlhd_02">#REF!</definedName>
    <definedName name="Parm_Mech_Mtlhd_03" localSheetId="4">#REF!</definedName>
    <definedName name="Parm_Mech_Mtlhd_03" localSheetId="0">#REF!</definedName>
    <definedName name="Parm_Mech_Mtlhd_03">#REF!</definedName>
    <definedName name="Parm_Mech_Mtlhd_04" localSheetId="4">#REF!</definedName>
    <definedName name="Parm_Mech_Mtlhd_04" localSheetId="0">#REF!</definedName>
    <definedName name="Parm_Mech_Mtlhd_04">#REF!</definedName>
    <definedName name="Parm_Mech_Mtlhd_05" localSheetId="4">#REF!</definedName>
    <definedName name="Parm_Mech_Mtlhd_05" localSheetId="0">#REF!</definedName>
    <definedName name="Parm_Mech_Mtlhd_05">#REF!</definedName>
    <definedName name="Parm_Mech_Mtlhd_06" localSheetId="4">#REF!</definedName>
    <definedName name="Parm_Mech_Mtlhd_06" localSheetId="0">#REF!</definedName>
    <definedName name="Parm_Mech_Mtlhd_06">#REF!</definedName>
    <definedName name="Parm_Mech_Mtlhd_07" localSheetId="4">#REF!</definedName>
    <definedName name="Parm_Mech_Mtlhd_07" localSheetId="0">#REF!</definedName>
    <definedName name="Parm_Mech_Mtlhd_07">#REF!</definedName>
    <definedName name="Parm_Mech_Mtlhd_08" localSheetId="4">#REF!</definedName>
    <definedName name="Parm_Mech_Mtlhd_08" localSheetId="0">#REF!</definedName>
    <definedName name="Parm_Mech_Mtlhd_08">#REF!</definedName>
    <definedName name="Parm_Mech_Mtlhd_09" localSheetId="4">#REF!</definedName>
    <definedName name="Parm_Mech_Mtlhd_09" localSheetId="0">#REF!</definedName>
    <definedName name="Parm_Mech_Mtlhd_09">#REF!</definedName>
    <definedName name="Parm_Mech_Mtlhd_10" localSheetId="4">#REF!</definedName>
    <definedName name="Parm_Mech_Mtlhd_10" localSheetId="0">#REF!</definedName>
    <definedName name="Parm_Mech_Mtlhd_10">#REF!</definedName>
    <definedName name="Parm_Mech_Mtlhd_11" localSheetId="4">#REF!</definedName>
    <definedName name="Parm_Mech_Mtlhd_11" localSheetId="0">#REF!</definedName>
    <definedName name="Parm_Mech_Mtlhd_11">#REF!</definedName>
    <definedName name="Parm_Mech_Mtlhd_12" localSheetId="4">#REF!</definedName>
    <definedName name="Parm_Mech_Mtlhd_12" localSheetId="0">#REF!</definedName>
    <definedName name="Parm_Mech_Mtlhd_12">#REF!</definedName>
    <definedName name="Parm_Mech_Mtlhd_13" localSheetId="4">#REF!</definedName>
    <definedName name="Parm_Mech_Mtlhd_13" localSheetId="0">#REF!</definedName>
    <definedName name="Parm_Mech_Mtlhd_13">#REF!</definedName>
    <definedName name="Parm_Mech_Mtlhd_14" localSheetId="4">#REF!</definedName>
    <definedName name="Parm_Mech_Mtlhd_14" localSheetId="0">#REF!</definedName>
    <definedName name="Parm_Mech_Mtlhd_14">#REF!</definedName>
    <definedName name="Parm_Mech_Mtlhd_15" localSheetId="4">#REF!</definedName>
    <definedName name="Parm_Mech_Mtlhd_15" localSheetId="0">#REF!</definedName>
    <definedName name="Parm_Mech_Mtlhd_15">#REF!</definedName>
    <definedName name="Parm_Mech_Mtlhd_16" localSheetId="4">#REF!</definedName>
    <definedName name="Parm_Mech_Mtlhd_16" localSheetId="0">#REF!</definedName>
    <definedName name="Parm_Mech_Mtlhd_16">#REF!</definedName>
    <definedName name="Parm_Mech_Mtlhd_17" localSheetId="4">#REF!</definedName>
    <definedName name="Parm_Mech_Mtlhd_17" localSheetId="0">#REF!</definedName>
    <definedName name="Parm_Mech_Mtlhd_17">#REF!</definedName>
    <definedName name="Parm_Mech_STG_01" localSheetId="4">#REF!</definedName>
    <definedName name="Parm_Mech_STG_01" localSheetId="0">#REF!</definedName>
    <definedName name="Parm_Mech_STG_01">#REF!</definedName>
    <definedName name="Parm_Mech_STG_02" localSheetId="4">#REF!</definedName>
    <definedName name="Parm_Mech_STG_02" localSheetId="0">#REF!</definedName>
    <definedName name="Parm_Mech_STG_02">#REF!</definedName>
    <definedName name="Parm_Mech_STG_03" localSheetId="4">#REF!</definedName>
    <definedName name="Parm_Mech_STG_03" localSheetId="0">#REF!</definedName>
    <definedName name="Parm_Mech_STG_03">#REF!</definedName>
    <definedName name="Parm_Mech_STG_04" localSheetId="4">#REF!</definedName>
    <definedName name="Parm_Mech_STG_04" localSheetId="0">#REF!</definedName>
    <definedName name="Parm_Mech_STG_04">#REF!</definedName>
    <definedName name="Parm_Mech_STG_05" localSheetId="4">#REF!</definedName>
    <definedName name="Parm_Mech_STG_05" localSheetId="0">#REF!</definedName>
    <definedName name="Parm_Mech_STG_05">#REF!</definedName>
    <definedName name="Parm_Mech_STG_06" localSheetId="4">#REF!</definedName>
    <definedName name="Parm_Mech_STG_06" localSheetId="0">#REF!</definedName>
    <definedName name="Parm_Mech_STG_06">#REF!</definedName>
    <definedName name="Parm_Mech_STG_07" localSheetId="4">#REF!</definedName>
    <definedName name="Parm_Mech_STG_07" localSheetId="0">#REF!</definedName>
    <definedName name="Parm_Mech_STG_07">#REF!</definedName>
    <definedName name="Parm_Mech_STG_08" localSheetId="4">#REF!</definedName>
    <definedName name="Parm_Mech_STG_08" localSheetId="0">#REF!</definedName>
    <definedName name="Parm_Mech_STG_08">#REF!</definedName>
    <definedName name="Parm_Mech_STG_09" localSheetId="4">#REF!</definedName>
    <definedName name="Parm_Mech_STG_09" localSheetId="0">#REF!</definedName>
    <definedName name="Parm_Mech_STG_09">#REF!</definedName>
    <definedName name="Parm_Mech_STG_10" localSheetId="4">#REF!</definedName>
    <definedName name="Parm_Mech_STG_10" localSheetId="0">#REF!</definedName>
    <definedName name="Parm_Mech_STG_10">#REF!</definedName>
    <definedName name="Parm_Mech_STG_11" localSheetId="4">#REF!</definedName>
    <definedName name="Parm_Mech_STG_11" localSheetId="0">#REF!</definedName>
    <definedName name="Parm_Mech_STG_11">#REF!</definedName>
    <definedName name="Parm_Mech_STG_12" localSheetId="4">#REF!</definedName>
    <definedName name="Parm_Mech_STG_12" localSheetId="0">#REF!</definedName>
    <definedName name="Parm_Mech_STG_12">#REF!</definedName>
    <definedName name="Parm_Mech_STG_13" localSheetId="4">#REF!</definedName>
    <definedName name="Parm_Mech_STG_13" localSheetId="0">#REF!</definedName>
    <definedName name="Parm_Mech_STG_13">#REF!</definedName>
    <definedName name="Parm_Mech_STG_14" localSheetId="4">#REF!</definedName>
    <definedName name="Parm_Mech_STG_14" localSheetId="0">#REF!</definedName>
    <definedName name="Parm_Mech_STG_14">#REF!</definedName>
    <definedName name="Parm_Mech_STG_15" localSheetId="4">#REF!</definedName>
    <definedName name="Parm_Mech_STG_15" localSheetId="0">#REF!</definedName>
    <definedName name="Parm_Mech_STG_15">#REF!</definedName>
    <definedName name="Parm_Mech_STG_16" localSheetId="4">#REF!</definedName>
    <definedName name="Parm_Mech_STG_16" localSheetId="0">#REF!</definedName>
    <definedName name="Parm_Mech_STG_16">#REF!</definedName>
    <definedName name="Parm_Mech_STG_17" localSheetId="4">#REF!</definedName>
    <definedName name="Parm_Mech_STG_17" localSheetId="0">#REF!</definedName>
    <definedName name="Parm_Mech_STG_17">#REF!</definedName>
    <definedName name="Parm_Mech_STG_18" localSheetId="4">#REF!</definedName>
    <definedName name="Parm_Mech_STG_18" localSheetId="0">#REF!</definedName>
    <definedName name="Parm_Mech_STG_18">#REF!</definedName>
    <definedName name="Parm_Mech_STG_19" localSheetId="4">#REF!</definedName>
    <definedName name="Parm_Mech_STG_19" localSheetId="0">#REF!</definedName>
    <definedName name="Parm_Mech_STG_19">#REF!</definedName>
    <definedName name="Parm_Mech_STG_20" localSheetId="4">#REF!</definedName>
    <definedName name="Parm_Mech_STG_20" localSheetId="0">#REF!</definedName>
    <definedName name="Parm_Mech_STG_20">#REF!</definedName>
    <definedName name="Parm_Mech_STG_21" localSheetId="4">#REF!</definedName>
    <definedName name="Parm_Mech_STG_21" localSheetId="0">#REF!</definedName>
    <definedName name="Parm_Mech_STG_21">#REF!</definedName>
    <definedName name="Parm_Mech_Storage_01" localSheetId="4">#REF!</definedName>
    <definedName name="Parm_Mech_Storage_01" localSheetId="0">#REF!</definedName>
    <definedName name="Parm_Mech_Storage_01">#REF!</definedName>
    <definedName name="Parm_Mech_Storage_02" localSheetId="4">#REF!</definedName>
    <definedName name="Parm_Mech_Storage_02" localSheetId="0">#REF!</definedName>
    <definedName name="Parm_Mech_Storage_02">#REF!</definedName>
    <definedName name="Parm_Mech_Storage_03" localSheetId="4">#REF!</definedName>
    <definedName name="Parm_Mech_Storage_03" localSheetId="0">#REF!</definedName>
    <definedName name="Parm_Mech_Storage_03">#REF!</definedName>
    <definedName name="Parm_Mech_Storage_04" localSheetId="4">#REF!</definedName>
    <definedName name="Parm_Mech_Storage_04" localSheetId="0">#REF!</definedName>
    <definedName name="Parm_Mech_Storage_04">#REF!</definedName>
    <definedName name="Parm_Mech_Storage_05" localSheetId="4">#REF!</definedName>
    <definedName name="Parm_Mech_Storage_05" localSheetId="0">#REF!</definedName>
    <definedName name="Parm_Mech_Storage_05">#REF!</definedName>
    <definedName name="Parm_Mech_Storage_06" localSheetId="4">#REF!</definedName>
    <definedName name="Parm_Mech_Storage_06" localSheetId="0">#REF!</definedName>
    <definedName name="Parm_Mech_Storage_06">#REF!</definedName>
    <definedName name="Parm_Mech_Storage_07" localSheetId="4">#REF!</definedName>
    <definedName name="Parm_Mech_Storage_07" localSheetId="0">#REF!</definedName>
    <definedName name="Parm_Mech_Storage_07">#REF!</definedName>
    <definedName name="Parm_Mech_Storage_08" localSheetId="4">#REF!</definedName>
    <definedName name="Parm_Mech_Storage_08" localSheetId="0">#REF!</definedName>
    <definedName name="Parm_Mech_Storage_08">#REF!</definedName>
    <definedName name="Parm_Mech_Storage_09" localSheetId="4">#REF!</definedName>
    <definedName name="Parm_Mech_Storage_09" localSheetId="0">#REF!</definedName>
    <definedName name="Parm_Mech_Storage_09">#REF!</definedName>
    <definedName name="Parm_Mech_Storage_10" localSheetId="4">#REF!</definedName>
    <definedName name="Parm_Mech_Storage_10" localSheetId="0">#REF!</definedName>
    <definedName name="Parm_Mech_Storage_10">#REF!</definedName>
    <definedName name="Parm_Mech_Storage_11" localSheetId="4">#REF!</definedName>
    <definedName name="Parm_Mech_Storage_11" localSheetId="0">#REF!</definedName>
    <definedName name="Parm_Mech_Storage_11">#REF!</definedName>
    <definedName name="Parm_Plant_Design_01" localSheetId="4">#REF!</definedName>
    <definedName name="Parm_Plant_Design_01" localSheetId="0">#REF!</definedName>
    <definedName name="Parm_Plant_Design_01">#REF!</definedName>
    <definedName name="Parm_Plant_Design_02" localSheetId="4">#REF!</definedName>
    <definedName name="Parm_Plant_Design_02" localSheetId="0">#REF!</definedName>
    <definedName name="Parm_Plant_Design_02">#REF!</definedName>
    <definedName name="Parm_Plant_Design_03" localSheetId="4">#REF!</definedName>
    <definedName name="Parm_Plant_Design_03" localSheetId="0">#REF!</definedName>
    <definedName name="Parm_Plant_Design_03">#REF!</definedName>
    <definedName name="Parm_Plant_Design_04" localSheetId="4">#REF!</definedName>
    <definedName name="Parm_Plant_Design_04" localSheetId="0">#REF!</definedName>
    <definedName name="Parm_Plant_Design_04">#REF!</definedName>
    <definedName name="Parm_Plant_Design_05" localSheetId="4">#REF!</definedName>
    <definedName name="Parm_Plant_Design_05" localSheetId="0">#REF!</definedName>
    <definedName name="Parm_Plant_Design_05">#REF!</definedName>
    <definedName name="Parm_Plant_Design_06" localSheetId="4">#REF!</definedName>
    <definedName name="Parm_Plant_Design_06" localSheetId="0">#REF!</definedName>
    <definedName name="Parm_Plant_Design_06">#REF!</definedName>
    <definedName name="Parm_Plant_Design_07" localSheetId="4">#REF!</definedName>
    <definedName name="Parm_Plant_Design_07" localSheetId="0">#REF!</definedName>
    <definedName name="Parm_Plant_Design_07">#REF!</definedName>
    <definedName name="Parm_Plant_Design_08" localSheetId="4">#REF!</definedName>
    <definedName name="Parm_Plant_Design_08" localSheetId="0">#REF!</definedName>
    <definedName name="Parm_Plant_Design_08">#REF!</definedName>
    <definedName name="Parm_Plant_Design_09" localSheetId="4">#REF!</definedName>
    <definedName name="Parm_Plant_Design_09" localSheetId="0">#REF!</definedName>
    <definedName name="Parm_Plant_Design_09">#REF!</definedName>
    <definedName name="Parm_Plant_Design_10" localSheetId="4">#REF!</definedName>
    <definedName name="Parm_Plant_Design_10" localSheetId="0">#REF!</definedName>
    <definedName name="Parm_Plant_Design_10">#REF!</definedName>
    <definedName name="Parm_Plant_Design_11" localSheetId="4">#REF!</definedName>
    <definedName name="Parm_Plant_Design_11" localSheetId="0">#REF!</definedName>
    <definedName name="Parm_Plant_Design_11">#REF!</definedName>
    <definedName name="Parm_Plant_Design_12" localSheetId="4">#REF!</definedName>
    <definedName name="Parm_Plant_Design_12" localSheetId="0">#REF!</definedName>
    <definedName name="Parm_Plant_Design_12">#REF!</definedName>
    <definedName name="Parm_Plant_Design_13" localSheetId="4">#REF!</definedName>
    <definedName name="Parm_Plant_Design_13" localSheetId="0">#REF!</definedName>
    <definedName name="Parm_Plant_Design_13">#REF!</definedName>
    <definedName name="Parm_Plant_Design_14" localSheetId="4">#REF!</definedName>
    <definedName name="Parm_Plant_Design_14" localSheetId="0">#REF!</definedName>
    <definedName name="Parm_Plant_Design_14">#REF!</definedName>
    <definedName name="Parm_Plant_Design_15" localSheetId="4">#REF!</definedName>
    <definedName name="Parm_Plant_Design_15" localSheetId="0">#REF!</definedName>
    <definedName name="Parm_Plant_Design_15">#REF!</definedName>
    <definedName name="Parm_Plant_Design_16" localSheetId="4">#REF!</definedName>
    <definedName name="Parm_Plant_Design_16" localSheetId="0">#REF!</definedName>
    <definedName name="Parm_Plant_Design_16">#REF!</definedName>
    <definedName name="Parm_Plant_Design_17" localSheetId="4">#REF!</definedName>
    <definedName name="Parm_Plant_Design_17" localSheetId="0">#REF!</definedName>
    <definedName name="Parm_Plant_Design_17">#REF!</definedName>
    <definedName name="Parm_Plant_Design_18" localSheetId="4">#REF!</definedName>
    <definedName name="Parm_Plant_Design_18" localSheetId="0">#REF!</definedName>
    <definedName name="Parm_Plant_Design_18">#REF!</definedName>
    <definedName name="Parm_Plant_Design_19" localSheetId="4">#REF!</definedName>
    <definedName name="Parm_Plant_Design_19" localSheetId="0">#REF!</definedName>
    <definedName name="Parm_Plant_Design_19">#REF!</definedName>
    <definedName name="Parm_Plant_Design_20" localSheetId="4">#REF!</definedName>
    <definedName name="Parm_Plant_Design_20" localSheetId="0">#REF!</definedName>
    <definedName name="Parm_Plant_Design_20">#REF!</definedName>
    <definedName name="Parm_Plant_Design_21" localSheetId="4">#REF!</definedName>
    <definedName name="Parm_Plant_Design_21" localSheetId="0">#REF!</definedName>
    <definedName name="Parm_Plant_Design_21">#REF!</definedName>
    <definedName name="Parm_Plant_Design_22" localSheetId="4">#REF!</definedName>
    <definedName name="Parm_Plant_Design_22" localSheetId="0">#REF!</definedName>
    <definedName name="Parm_Plant_Design_22">#REF!</definedName>
    <definedName name="Parm_Plant_Design_23" localSheetId="4">#REF!</definedName>
    <definedName name="Parm_Plant_Design_23" localSheetId="0">#REF!</definedName>
    <definedName name="Parm_Plant_Design_23">#REF!</definedName>
    <definedName name="Parm_Plant_Design_24" localSheetId="4">#REF!</definedName>
    <definedName name="Parm_Plant_Design_24" localSheetId="0">#REF!</definedName>
    <definedName name="Parm_Plant_Design_24">#REF!</definedName>
    <definedName name="Parm_Plant_Design_25" localSheetId="4">#REF!</definedName>
    <definedName name="Parm_Plant_Design_25" localSheetId="0">#REF!</definedName>
    <definedName name="Parm_Plant_Design_25">#REF!</definedName>
    <definedName name="Parm_Plant_Design_26" localSheetId="4">#REF!</definedName>
    <definedName name="Parm_Plant_Design_26" localSheetId="0">#REF!</definedName>
    <definedName name="Parm_Plant_Design_26">#REF!</definedName>
    <definedName name="Parm_Plant_Design_27" localSheetId="4">#REF!</definedName>
    <definedName name="Parm_Plant_Design_27" localSheetId="0">#REF!</definedName>
    <definedName name="Parm_Plant_Design_27">#REF!</definedName>
    <definedName name="Parm_Plant_Design_28" localSheetId="4">#REF!</definedName>
    <definedName name="Parm_Plant_Design_28" localSheetId="0">#REF!</definedName>
    <definedName name="Parm_Plant_Design_28">#REF!</definedName>
    <definedName name="Parm_Plant_Design_29" localSheetId="4">#REF!</definedName>
    <definedName name="Parm_Plant_Design_29" localSheetId="0">#REF!</definedName>
    <definedName name="Parm_Plant_Design_29">#REF!</definedName>
    <definedName name="Partial_Year_Factor" localSheetId="0">#REF!</definedName>
    <definedName name="Partial_Year_Factor">#REF!</definedName>
    <definedName name="partialYearStart" localSheetId="5">(#REF!-#REF!)/365</definedName>
    <definedName name="partialYearStart" localSheetId="0">(#REF!-#REF!)/365</definedName>
    <definedName name="partialYearStart">(#REF!-#REF!)/365</definedName>
    <definedName name="partialYearStop" localSheetId="5">(#REF!-#REF!)/365</definedName>
    <definedName name="partialYearStop" localSheetId="0">(#REF!-#REF!)/365</definedName>
    <definedName name="partialYearStop">(#REF!-#REF!)/365</definedName>
    <definedName name="pas" localSheetId="0">#REF!</definedName>
    <definedName name="pas">#REF!</definedName>
    <definedName name="PAS.ZBIORCZY" localSheetId="4" hidden="1">#REF!</definedName>
    <definedName name="PAS.ZBIORCZY" localSheetId="5" hidden="1">#REF!</definedName>
    <definedName name="PAS.ZBIORCZY" localSheetId="0" hidden="1">#REF!</definedName>
    <definedName name="PAS.ZBIORCZY" hidden="1">#REF!</definedName>
    <definedName name="pas_2" localSheetId="0">#REF!</definedName>
    <definedName name="pas_2">#REF!</definedName>
    <definedName name="PAS_2006_KP" localSheetId="4" hidden="1">#REF!</definedName>
    <definedName name="PAS_2006_KP" localSheetId="5" hidden="1">#REF!</definedName>
    <definedName name="PAS_2006_KP" localSheetId="0" hidden="1">#REF!</definedName>
    <definedName name="PAS_2006_KP" hidden="1">#REF!</definedName>
    <definedName name="PAS_2006_KPP" localSheetId="4" hidden="1">#REF!</definedName>
    <definedName name="PAS_2006_KPP" localSheetId="5" hidden="1">#REF!</definedName>
    <definedName name="PAS_2006_KPP" localSheetId="0" hidden="1">#REF!</definedName>
    <definedName name="PAS_2006_KPP" hidden="1">#REF!</definedName>
    <definedName name="pas_3" localSheetId="0">#REF!</definedName>
    <definedName name="pas_3">#REF!</definedName>
    <definedName name="pas_6" localSheetId="0">#REF!</definedName>
    <definedName name="pas_6">#REF!</definedName>
    <definedName name="pasa" localSheetId="0">#REF!</definedName>
    <definedName name="pasa">#REF!</definedName>
    <definedName name="pasa_2" localSheetId="0">#REF!</definedName>
    <definedName name="pasa_2">#REF!</definedName>
    <definedName name="pasa_6" localSheetId="0">#REF!</definedName>
    <definedName name="pasa_6">#REF!</definedName>
    <definedName name="PASTA2" localSheetId="4">#REF!</definedName>
    <definedName name="PASTA2" localSheetId="5">#REF!</definedName>
    <definedName name="PASTA2" localSheetId="0">#REF!</definedName>
    <definedName name="PASTA2">#REF!</definedName>
    <definedName name="PASTA22" localSheetId="4">#REF!</definedName>
    <definedName name="PASTA22" localSheetId="5">#REF!</definedName>
    <definedName name="PASTA22" localSheetId="0">#REF!</definedName>
    <definedName name="PASTA22">#REF!</definedName>
    <definedName name="pasujja" localSheetId="4">#REF!</definedName>
    <definedName name="pasujja" localSheetId="5">#REF!</definedName>
    <definedName name="pasujja" localSheetId="0">#REF!</definedName>
    <definedName name="pasujja">#REF!</definedName>
    <definedName name="pasujja_2" localSheetId="4">#REF!</definedName>
    <definedName name="pasujja_2" localSheetId="5">#REF!</definedName>
    <definedName name="pasujja_2" localSheetId="0">#REF!</definedName>
    <definedName name="pasujja_2">#REF!</definedName>
    <definedName name="pasujja_6" localSheetId="4">#REF!</definedName>
    <definedName name="pasujja_6" localSheetId="5">#REF!</definedName>
    <definedName name="pasujja_6" localSheetId="0">#REF!</definedName>
    <definedName name="pasujja_6">#REF!</definedName>
    <definedName name="PAVIMENTOS" localSheetId="4">#REF!</definedName>
    <definedName name="PAVIMENTOS" localSheetId="0">#REF!</definedName>
    <definedName name="PAVIMENTOS">#REF!</definedName>
    <definedName name="PAY" localSheetId="4">#REF!</definedName>
    <definedName name="PAY" localSheetId="0">#REF!</definedName>
    <definedName name="PAY">#REF!</definedName>
    <definedName name="Pay_Date" localSheetId="4">#REF!</definedName>
    <definedName name="Pay_Date" localSheetId="0">#REF!</definedName>
    <definedName name="Pay_Date">#REF!</definedName>
    <definedName name="Pay_Num" localSheetId="4">#REF!</definedName>
    <definedName name="Pay_Num" localSheetId="0">#REF!</definedName>
    <definedName name="Pay_Num">#REF!</definedName>
    <definedName name="PAYCRIT" localSheetId="4">#REF!</definedName>
    <definedName name="PAYCRIT" localSheetId="0">#REF!</definedName>
    <definedName name="PAYCRIT">#REF!</definedName>
    <definedName name="PAYITEM" localSheetId="4">#REF!</definedName>
    <definedName name="PAYITEM" localSheetId="0">#REF!</definedName>
    <definedName name="PAYITEM">#REF!</definedName>
    <definedName name="Payment_Date" localSheetId="4">DATE(YEAR('Costo Directo'!Loan_Start),MONTH('Costo Directo'!Loan_Start)+Payment_Number,DAY('Costo Directo'!Loan_Start))</definedName>
    <definedName name="Payment_Date" localSheetId="6">DATE(YEAR(Loan_Start),MONTH(Loan_Start)+Payment_Number,DAY(Loan_Start))</definedName>
    <definedName name="Payment_Date" localSheetId="5">DATE(YEAR(Producción!Loan_Start),MONTH(Producción!Loan_Start)+Payment_Number,DAY(Producción!Loan_Start))</definedName>
    <definedName name="Payment_Date" localSheetId="0">DATE(YEAR('Resumen Ejecutivo'!Loan_Start),MONTH('Resumen Ejecutivo'!Loan_Start)+Payment_Number,DAY('Resumen Ejecutivo'!Loan_Start))</definedName>
    <definedName name="Payment_Date">DATE(YEAR(Loan_Start),MONTH(Loan_Start)+Payment_Number,DAY(Loan_Start))</definedName>
    <definedName name="Payment_Needed">"Wymagana płatność"</definedName>
    <definedName name="PAYMENT_SCHEDUL">#REF!</definedName>
    <definedName name="PAYROLL" localSheetId="4">#REF!</definedName>
    <definedName name="PAYROLL" localSheetId="5">#REF!</definedName>
    <definedName name="PAYROLL" localSheetId="0">#REF!</definedName>
    <definedName name="PAYROLL">#REF!</definedName>
    <definedName name="pb" localSheetId="4">#REF!</definedName>
    <definedName name="pb" localSheetId="5">#REF!</definedName>
    <definedName name="pb" localSheetId="0">#REF!</definedName>
    <definedName name="pb">#REF!</definedName>
    <definedName name="PBCPMA" localSheetId="4">#REF!</definedName>
    <definedName name="PBCPMA" localSheetId="5">#REF!</definedName>
    <definedName name="PBCPMA" localSheetId="0">#REF!</definedName>
    <definedName name="PBCPMA">#REF!</definedName>
    <definedName name="PBLPE" localSheetId="4">#REF!</definedName>
    <definedName name="PBLPE" localSheetId="0">#REF!</definedName>
    <definedName name="PBLPE">#REF!</definedName>
    <definedName name="PBLPMA" localSheetId="4">#REF!</definedName>
    <definedName name="PBLPMA" localSheetId="0">#REF!</definedName>
    <definedName name="PBLPMA">#REF!</definedName>
    <definedName name="Pc" localSheetId="4">#REF!</definedName>
    <definedName name="Pc" localSheetId="0">#REF!</definedName>
    <definedName name="Pc">#REF!</definedName>
    <definedName name="PC_Hrs1" localSheetId="4">#REF!</definedName>
    <definedName name="PC_Hrs1" localSheetId="0">#REF!</definedName>
    <definedName name="PC_Hrs1">#REF!</definedName>
    <definedName name="PC_HRS2" localSheetId="4">#REF!</definedName>
    <definedName name="PC_HRS2" localSheetId="0">#REF!</definedName>
    <definedName name="PC_HRS2">#REF!</definedName>
    <definedName name="PCMA" localSheetId="4">#REF!</definedName>
    <definedName name="PCMA" localSheetId="0">#REF!</definedName>
    <definedName name="PCMA">#REF!</definedName>
    <definedName name="PCu" localSheetId="4">#REF!</definedName>
    <definedName name="PCu" localSheetId="0">#REF!</definedName>
    <definedName name="PCu">#REF!</definedName>
    <definedName name="pdf" localSheetId="4">#REF!</definedName>
    <definedName name="pdf" localSheetId="0">#REF!</definedName>
    <definedName name="pdf">#REF!</definedName>
    <definedName name="PEGA" localSheetId="4">#REF!</definedName>
    <definedName name="PEGA" localSheetId="0">#REF!</definedName>
    <definedName name="PEGA">#REF!</definedName>
    <definedName name="PEGAMA" localSheetId="4">#REF!</definedName>
    <definedName name="PEGAMA" localSheetId="0">#REF!</definedName>
    <definedName name="PEGAMA">#REF!</definedName>
    <definedName name="Penalización" localSheetId="0">#REF!</definedName>
    <definedName name="Penalización">#REF!</definedName>
    <definedName name="PER">4000</definedName>
    <definedName name="pérdida_colapso" localSheetId="0">#REF!</definedName>
    <definedName name="pérdida_colapso">#REF!</definedName>
    <definedName name="Period" localSheetId="4">#REF!</definedName>
    <definedName name="Period" localSheetId="5">#REF!</definedName>
    <definedName name="Period" localSheetId="0">#REF!</definedName>
    <definedName name="Period">#REF!</definedName>
    <definedName name="Periodo" localSheetId="0">#REF!</definedName>
    <definedName name="Periodo">#REF!</definedName>
    <definedName name="PERSONAL">"Button 31"</definedName>
    <definedName name="Personel" localSheetId="4">#REF!</definedName>
    <definedName name="Personel" localSheetId="5">#REF!</definedName>
    <definedName name="Personel" localSheetId="0">#REF!</definedName>
    <definedName name="Personel">#REF!</definedName>
    <definedName name="PERYR" localSheetId="0">#REF!</definedName>
    <definedName name="PERYR">#REF!</definedName>
    <definedName name="PETRO" localSheetId="0">#REF!</definedName>
    <definedName name="PETRO">#REF!</definedName>
    <definedName name="pf" localSheetId="4">#REF!</definedName>
    <definedName name="pf" localSheetId="5">#REF!</definedName>
    <definedName name="pf" localSheetId="0">#REF!</definedName>
    <definedName name="pf">#REF!</definedName>
    <definedName name="PF_CHI01" localSheetId="4">#REF!</definedName>
    <definedName name="PF_CHI01" localSheetId="5">#REF!</definedName>
    <definedName name="PF_CHI01" localSheetId="0">#REF!</definedName>
    <definedName name="PF_CHI01">#REF!</definedName>
    <definedName name="PFCHI01" localSheetId="4">#REF!</definedName>
    <definedName name="PFCHI01" localSheetId="5">#REF!</definedName>
    <definedName name="PFCHI01" localSheetId="0">#REF!</definedName>
    <definedName name="PFCHI01">#REF!</definedName>
    <definedName name="PFELK012" localSheetId="4">#REF!</definedName>
    <definedName name="PFELK012" localSheetId="0">#REF!</definedName>
    <definedName name="PFELK012">#REF!</definedName>
    <definedName name="PFELK12" localSheetId="4">#REF!</definedName>
    <definedName name="PFELK12" localSheetId="0">#REF!</definedName>
    <definedName name="PFELK12">#REF!</definedName>
    <definedName name="PFSR" localSheetId="4">#REF!</definedName>
    <definedName name="PFSR" localSheetId="0">#REF!</definedName>
    <definedName name="PFSR">#REF!</definedName>
    <definedName name="pia" localSheetId="4">#REF!</definedName>
    <definedName name="pia" localSheetId="0">#REF!</definedName>
    <definedName name="pia">#REF!</definedName>
    <definedName name="piasek" localSheetId="4">#REF!</definedName>
    <definedName name="piasek" localSheetId="0">#REF!</definedName>
    <definedName name="piasek">#REF!</definedName>
    <definedName name="PIC" localSheetId="4">#REF!</definedName>
    <definedName name="PIC" localSheetId="0">#REF!</definedName>
    <definedName name="PIC">#REF!</definedName>
    <definedName name="PICE_ALMACEN_Y_MAQUINARIA" localSheetId="4">#REF!</definedName>
    <definedName name="PICE_ALMACEN_Y_MAQUINARIA" localSheetId="0">#REF!</definedName>
    <definedName name="PICE_ALMACEN_Y_MAQUINARIA">#REF!</definedName>
    <definedName name="PICE_C_D_C_I" localSheetId="4">#REF!</definedName>
    <definedName name="PICE_C_D_C_I" localSheetId="0">#REF!</definedName>
    <definedName name="PICE_C_D_C_I">#REF!</definedName>
    <definedName name="PICE_ESTIMADO_DE_OBRA" localSheetId="4">#REF!</definedName>
    <definedName name="PICE_ESTIMADO_DE_OBRA" localSheetId="0">#REF!</definedName>
    <definedName name="PICE_ESTIMADO_DE_OBRA">#REF!</definedName>
    <definedName name="PICE_PROVICIONAL" localSheetId="4">#REF!</definedName>
    <definedName name="PICE_PROVICIONAL" localSheetId="0">#REF!</definedName>
    <definedName name="PICE_PROVICIONAL">#REF!</definedName>
    <definedName name="PICE_REAL_COMPLETO" localSheetId="4">#REF!</definedName>
    <definedName name="PICE_REAL_COMPLETO" localSheetId="0">#REF!</definedName>
    <definedName name="PICE_REAL_COMPLETO">#REF!</definedName>
    <definedName name="PICE_REAL_RESUMEN" localSheetId="4">#REF!</definedName>
    <definedName name="PICE_REAL_RESUMEN" localSheetId="0">#REF!</definedName>
    <definedName name="PICE_REAL_RESUMEN">#REF!</definedName>
    <definedName name="PIPE" localSheetId="4">#REF!</definedName>
    <definedName name="PIPE" localSheetId="0">#REF!</definedName>
    <definedName name="PIPE">#REF!</definedName>
    <definedName name="PIPE_CLASS" localSheetId="4">#REF!</definedName>
    <definedName name="PIPE_CLASS" localSheetId="0">#REF!</definedName>
    <definedName name="PIPE_CLASS">#REF!</definedName>
    <definedName name="PIPE_RACK_TRAY" localSheetId="4">#REF!</definedName>
    <definedName name="PIPE_RACK_TRAY" localSheetId="0">#REF!</definedName>
    <definedName name="PIPE_RACK_TRAY">#REF!</definedName>
    <definedName name="PIPE50_CITY" localSheetId="4">#REF!</definedName>
    <definedName name="PIPE50_CITY" localSheetId="0">#REF!</definedName>
    <definedName name="PIPE50_CITY">#REF!</definedName>
    <definedName name="PIPE50_ESC" localSheetId="4">#REF!</definedName>
    <definedName name="PIPE50_ESC" localSheetId="0">#REF!</definedName>
    <definedName name="PIPE50_ESC">#REF!</definedName>
    <definedName name="PIPE50_OLD_CITY" localSheetId="4">#REF!</definedName>
    <definedName name="PIPE50_OLD_CITY" localSheetId="0">#REF!</definedName>
    <definedName name="PIPE50_OLD_CITY">#REF!</definedName>
    <definedName name="PIPE50_OLD_ESC" localSheetId="4">#REF!</definedName>
    <definedName name="PIPE50_OLD_ESC" localSheetId="0">#REF!</definedName>
    <definedName name="PIPE50_OLD_ESC">#REF!</definedName>
    <definedName name="PIPE50_OLD_PROD" localSheetId="4">#REF!</definedName>
    <definedName name="PIPE50_OLD_PROD" localSheetId="0">#REF!</definedName>
    <definedName name="PIPE50_OLD_PROD">#REF!</definedName>
    <definedName name="PIPE50_OLD_WAGE" localSheetId="4">#REF!</definedName>
    <definedName name="PIPE50_OLD_WAGE" localSheetId="0">#REF!</definedName>
    <definedName name="PIPE50_OLD_WAGE">#REF!</definedName>
    <definedName name="PIPE50_PROD" localSheetId="4">#REF!</definedName>
    <definedName name="PIPE50_PROD" localSheetId="0">#REF!</definedName>
    <definedName name="PIPE50_PROD">#REF!</definedName>
    <definedName name="PIPE50_WAGE" localSheetId="4">#REF!</definedName>
    <definedName name="PIPE50_WAGE" localSheetId="0">#REF!</definedName>
    <definedName name="PIPE50_WAGE">#REF!</definedName>
    <definedName name="pk" localSheetId="4">#REF!</definedName>
    <definedName name="pk" localSheetId="0">#REF!</definedName>
    <definedName name="pk">#REF!</definedName>
    <definedName name="pkn" localSheetId="4">#REF!</definedName>
    <definedName name="pkn" localSheetId="0">#REF!</definedName>
    <definedName name="pkn">#REF!</definedName>
    <definedName name="PKP" localSheetId="0">#REF!</definedName>
    <definedName name="PKP">#REF!</definedName>
    <definedName name="PKP_trakcja" localSheetId="4">#REF!</definedName>
    <definedName name="PKP_trakcja" localSheetId="5">#REF!</definedName>
    <definedName name="PKP_trakcja" localSheetId="0">#REF!</definedName>
    <definedName name="PKP_trakcja">#REF!</definedName>
    <definedName name="Plan" localSheetId="4">#REF!</definedName>
    <definedName name="Plan" localSheetId="5">#REF!</definedName>
    <definedName name="Plan" localSheetId="0">#REF!</definedName>
    <definedName name="Plan">#REF!</definedName>
    <definedName name="Plan_cuentas" localSheetId="4">#REF!</definedName>
    <definedName name="Plan_cuentas" localSheetId="5">#REF!</definedName>
    <definedName name="Plan_cuentas" localSheetId="0">#REF!</definedName>
    <definedName name="Plan_cuentas">#REF!</definedName>
    <definedName name="PlantName" localSheetId="4">#REF!</definedName>
    <definedName name="PlantName" localSheetId="0">#REF!</definedName>
    <definedName name="PlantName">#REF!</definedName>
    <definedName name="PlantPPH" localSheetId="4">#REF!</definedName>
    <definedName name="PlantPPH" localSheetId="0">#REF!</definedName>
    <definedName name="PlantPPH">#REF!</definedName>
    <definedName name="PlantType" localSheetId="4">#REF!</definedName>
    <definedName name="PlantType" localSheetId="0">#REF!</definedName>
    <definedName name="PlantType">#REF!</definedName>
    <definedName name="plat" localSheetId="0">#REF!</definedName>
    <definedName name="plat">#REF!</definedName>
    <definedName name="plat_taltal" localSheetId="0">#REF!</definedName>
    <definedName name="plat_taltal">#REF!</definedName>
    <definedName name="plazocalculado" localSheetId="4">#REF!</definedName>
    <definedName name="plazocalculado" localSheetId="5">#REF!</definedName>
    <definedName name="plazocalculado" localSheetId="0">#REF!</definedName>
    <definedName name="plazocalculado">#REF!</definedName>
    <definedName name="plazoreal" localSheetId="4">#REF!</definedName>
    <definedName name="plazoreal" localSheetId="5">#REF!</definedName>
    <definedName name="plazoreal" localSheetId="0">#REF!</definedName>
    <definedName name="plazoreal">#REF!</definedName>
    <definedName name="PlikiOtwarte" localSheetId="4">#REF!</definedName>
    <definedName name="PlikiOtwarte" localSheetId="5">#REF!</definedName>
    <definedName name="PlikiOtwarte" localSheetId="0">#REF!</definedName>
    <definedName name="PlikiOtwarte">#REF!</definedName>
    <definedName name="pln" localSheetId="4">#REF!</definedName>
    <definedName name="pln" localSheetId="0">#REF!</definedName>
    <definedName name="pln">#REF!</definedName>
    <definedName name="pln." localSheetId="4">#REF!</definedName>
    <definedName name="pln." localSheetId="0">#REF!</definedName>
    <definedName name="pln.">#REF!</definedName>
    <definedName name="Płotki_naprowadzające">200</definedName>
    <definedName name="płt1" localSheetId="4">#REF!</definedName>
    <definedName name="płt1" localSheetId="5">#REF!</definedName>
    <definedName name="płt1" localSheetId="0">#REF!</definedName>
    <definedName name="płt1">#REF!</definedName>
    <definedName name="płt2" localSheetId="4">#REF!</definedName>
    <definedName name="płt2" localSheetId="5">#REF!</definedName>
    <definedName name="płt2" localSheetId="0">#REF!</definedName>
    <definedName name="płt2">#REF!</definedName>
    <definedName name="płt3" localSheetId="4">#REF!</definedName>
    <definedName name="płt3" localSheetId="5">#REF!</definedName>
    <definedName name="płt3" localSheetId="0">#REF!</definedName>
    <definedName name="płt3">#REF!</definedName>
    <definedName name="płt4" localSheetId="4">#REF!</definedName>
    <definedName name="płt4" localSheetId="0">#REF!</definedName>
    <definedName name="płt4">#REF!</definedName>
    <definedName name="PLUG" localSheetId="4">#REF!</definedName>
    <definedName name="PLUG" localSheetId="0">#REF!</definedName>
    <definedName name="PLUG">#REF!</definedName>
    <definedName name="płyty_ażurowe_nawierzchnia_m2" localSheetId="4">#REF!</definedName>
    <definedName name="płyty_ażurowe_nawierzchnia_m2" localSheetId="0">#REF!</definedName>
    <definedName name="płyty_ażurowe_nawierzchnia_m2">#REF!</definedName>
    <definedName name="PM_Hrs" localSheetId="4">#REF!</definedName>
    <definedName name="PM_Hrs" localSheetId="0">#REF!</definedName>
    <definedName name="PM_Hrs">#REF!</definedName>
    <definedName name="pm_i" localSheetId="0">#REF!</definedName>
    <definedName name="pm_i">#REF!</definedName>
    <definedName name="PM_Rev" localSheetId="4">#REF!</definedName>
    <definedName name="PM_Rev" localSheetId="5">#REF!</definedName>
    <definedName name="PM_Rev" localSheetId="0">#REF!</definedName>
    <definedName name="PM_Rev">#REF!</definedName>
    <definedName name="PMC20121TP" localSheetId="4">#REF!</definedName>
    <definedName name="PMC20121TP" localSheetId="5">#REF!</definedName>
    <definedName name="PMC20121TP" localSheetId="0">#REF!</definedName>
    <definedName name="PMC20121TP">#REF!</definedName>
    <definedName name="PMC20121TR" localSheetId="4">#REF!</definedName>
    <definedName name="PMC20121TR" localSheetId="5">#REF!</definedName>
    <definedName name="PMC20121TR" localSheetId="0">#REF!</definedName>
    <definedName name="PMC20121TR">#REF!</definedName>
    <definedName name="PMC2012V0" localSheetId="4">#REF!</definedName>
    <definedName name="PMC2012V0" localSheetId="0">#REF!</definedName>
    <definedName name="PMC2012V0">#REF!</definedName>
    <definedName name="PMC2012V1" localSheetId="4">#REF!</definedName>
    <definedName name="PMC2012V1" localSheetId="0">#REF!</definedName>
    <definedName name="PMC2012V1">#REF!</definedName>
    <definedName name="PMC2012V1NC" localSheetId="4">#REF!</definedName>
    <definedName name="PMC2012V1NC" localSheetId="0">#REF!</definedName>
    <definedName name="PMC2012V1NC">#REF!</definedName>
    <definedName name="PMC2012V1OC" localSheetId="4">#REF!</definedName>
    <definedName name="PMC2012V1OC" localSheetId="0">#REF!</definedName>
    <definedName name="PMC2012V1OC">#REF!</definedName>
    <definedName name="PMCP" localSheetId="4">#REF!</definedName>
    <definedName name="PMCP" localSheetId="0">#REF!</definedName>
    <definedName name="PMCP">#REF!</definedName>
    <definedName name="PMK" localSheetId="4">#REF!</definedName>
    <definedName name="PMK" localSheetId="5">#REF!</definedName>
    <definedName name="PMK" localSheetId="0">#REF!</definedName>
    <definedName name="PMK">#REF!</definedName>
    <definedName name="PMLP" localSheetId="4">#REF!</definedName>
    <definedName name="PMLP" localSheetId="5">#REF!</definedName>
    <definedName name="PMLP" localSheetId="0">#REF!</definedName>
    <definedName name="PMLP">#REF!</definedName>
    <definedName name="PMLPI" localSheetId="4">#REF!</definedName>
    <definedName name="PMLPI" localSheetId="5">#REF!</definedName>
    <definedName name="PMLPI" localSheetId="0">#REF!</definedName>
    <definedName name="PMLPI">#REF!</definedName>
    <definedName name="PMP20121TP" localSheetId="4">#REF!</definedName>
    <definedName name="PMP20121TP" localSheetId="5">#REF!</definedName>
    <definedName name="PMP20121TP" localSheetId="0">#REF!</definedName>
    <definedName name="PMP20121TP">#REF!</definedName>
    <definedName name="PMP20121TR" localSheetId="4">#REF!</definedName>
    <definedName name="PMP20121TR" localSheetId="0">#REF!</definedName>
    <definedName name="PMP20121TR">#REF!</definedName>
    <definedName name="PMP2012V0" localSheetId="4">#REF!</definedName>
    <definedName name="PMP2012V0" localSheetId="0">#REF!</definedName>
    <definedName name="PMP2012V0">#REF!</definedName>
    <definedName name="PMP2012V1" localSheetId="4">#REF!</definedName>
    <definedName name="PMP2012V1" localSheetId="0">#REF!</definedName>
    <definedName name="PMP2012V1">#REF!</definedName>
    <definedName name="PMP2012V1NC" localSheetId="4">#REF!</definedName>
    <definedName name="PMP2012V1NC" localSheetId="0">#REF!</definedName>
    <definedName name="PMP2012V1NC">#REF!</definedName>
    <definedName name="PMP2012V1OC" localSheetId="4">#REF!</definedName>
    <definedName name="PMP2012V1OC" localSheetId="0">#REF!</definedName>
    <definedName name="PMP2012V1OC">#REF!</definedName>
    <definedName name="PMPCOMP20121TP" localSheetId="4">#REF!</definedName>
    <definedName name="PMPCOMP20121TP" localSheetId="0">#REF!</definedName>
    <definedName name="PMPCOMP20121TP">#REF!</definedName>
    <definedName name="PMPCOMP20121TR" localSheetId="4">#REF!</definedName>
    <definedName name="PMPCOMP20121TR" localSheetId="0">#REF!</definedName>
    <definedName name="PMPCOMP20121TR">#REF!</definedName>
    <definedName name="PMPCOMP2012V0" localSheetId="4">#REF!</definedName>
    <definedName name="PMPCOMP2012V0" localSheetId="0">#REF!</definedName>
    <definedName name="PMPCOMP2012V0">#REF!</definedName>
    <definedName name="PMPCOMP2012V1" localSheetId="4">#REF!</definedName>
    <definedName name="PMPCOMP2012V1" localSheetId="0">#REF!</definedName>
    <definedName name="PMPCOMP2012V1">#REF!</definedName>
    <definedName name="PMPCOMP2012V1NC" localSheetId="4">#REF!</definedName>
    <definedName name="PMPCOMP2012V1NC" localSheetId="0">#REF!</definedName>
    <definedName name="PMPCOMP2012V1NC">#REF!</definedName>
    <definedName name="PMPCOMP2012V1OC" localSheetId="4">#REF!</definedName>
    <definedName name="PMPCOMP2012V1OC" localSheetId="0">#REF!</definedName>
    <definedName name="PMPCOMP2012V1OC">#REF!</definedName>
    <definedName name="pn" localSheetId="4">#REF!</definedName>
    <definedName name="pn" localSheetId="0">#REF!</definedName>
    <definedName name="pn">#REF!</definedName>
    <definedName name="PNT20121TP" localSheetId="4">#REF!</definedName>
    <definedName name="PNT20121TP" localSheetId="0">#REF!</definedName>
    <definedName name="PNT20121TP">#REF!</definedName>
    <definedName name="PNT20121TR" localSheetId="4">#REF!</definedName>
    <definedName name="PNT20121TR" localSheetId="0">#REF!</definedName>
    <definedName name="PNT20121TR">#REF!</definedName>
    <definedName name="PNT2012V0" localSheetId="4">#REF!</definedName>
    <definedName name="PNT2012V0" localSheetId="0">#REF!</definedName>
    <definedName name="PNT2012V0">#REF!</definedName>
    <definedName name="PNT2012V1" localSheetId="4">#REF!</definedName>
    <definedName name="PNT2012V1" localSheetId="0">#REF!</definedName>
    <definedName name="PNT2012V1">#REF!</definedName>
    <definedName name="PNT2012V1NC" localSheetId="4">#REF!</definedName>
    <definedName name="PNT2012V1NC" localSheetId="0">#REF!</definedName>
    <definedName name="PNT2012V1NC">#REF!</definedName>
    <definedName name="PNT2012V1OC" localSheetId="4">#REF!</definedName>
    <definedName name="PNT2012V1OC" localSheetId="0">#REF!</definedName>
    <definedName name="PNT2012V1OC">#REF!</definedName>
    <definedName name="PNTEXT20121TP" localSheetId="4">#REF!</definedName>
    <definedName name="PNTEXT20121TP" localSheetId="0">#REF!</definedName>
    <definedName name="PNTEXT20121TP">#REF!</definedName>
    <definedName name="PNTEXT20121TR" localSheetId="4">#REF!</definedName>
    <definedName name="PNTEXT20121TR" localSheetId="0">#REF!</definedName>
    <definedName name="PNTEXT20121TR">#REF!</definedName>
    <definedName name="PNTEXT2012V0" localSheetId="4">#REF!</definedName>
    <definedName name="PNTEXT2012V0" localSheetId="0">#REF!</definedName>
    <definedName name="PNTEXT2012V0">#REF!</definedName>
    <definedName name="PNTEXT2012V1" localSheetId="4">#REF!</definedName>
    <definedName name="PNTEXT2012V1" localSheetId="0">#REF!</definedName>
    <definedName name="PNTEXT2012V1">#REF!</definedName>
    <definedName name="PNTEXT2012V1NC" localSheetId="4">#REF!</definedName>
    <definedName name="PNTEXT2012V1NC" localSheetId="0">#REF!</definedName>
    <definedName name="PNTEXT2012V1NC">#REF!</definedName>
    <definedName name="PNTEXT2012V1OC" localSheetId="4">#REF!</definedName>
    <definedName name="PNTEXT2012V1OC" localSheetId="0">#REF!</definedName>
    <definedName name="PNTEXT2012V1OC">#REF!</definedName>
    <definedName name="PNTMA" localSheetId="4">#REF!</definedName>
    <definedName name="PNTMA" localSheetId="0">#REF!</definedName>
    <definedName name="PNTMA">#REF!</definedName>
    <definedName name="po" localSheetId="4">#REF!</definedName>
    <definedName name="po" localSheetId="0">#REF!</definedName>
    <definedName name="po">#REF!</definedName>
    <definedName name="PO_HRS" localSheetId="0">#REF!</definedName>
    <definedName name="PO_HRS">#REF!</definedName>
    <definedName name="pobocze_z_kruszywa" localSheetId="4">#REF!</definedName>
    <definedName name="pobocze_z_kruszywa" localSheetId="5">#REF!</definedName>
    <definedName name="pobocze_z_kruszywa" localSheetId="0">#REF!</definedName>
    <definedName name="pobocze_z_kruszywa">#REF!</definedName>
    <definedName name="Poc.Nac" localSheetId="4">#REF!</definedName>
    <definedName name="Poc.Nac" localSheetId="5">#REF!</definedName>
    <definedName name="Poc.Nac" localSheetId="0">#REF!</definedName>
    <definedName name="Poc.Nac">#REF!</definedName>
    <definedName name="podbudowa" localSheetId="4">#REF!</definedName>
    <definedName name="podbudowa" localSheetId="5">#REF!</definedName>
    <definedName name="podbudowa" localSheetId="0">#REF!</definedName>
    <definedName name="podbudowa">#REF!</definedName>
    <definedName name="PODBUDOWA.MURY.OPOROWE" localSheetId="4">#REF!</definedName>
    <definedName name="PODBUDOWA.MURY.OPOROWE" localSheetId="5">#REF!</definedName>
    <definedName name="PODBUDOWA.MURY.OPOROWE" localSheetId="0">#REF!</definedName>
    <definedName name="PODBUDOWA.MURY.OPOROWE">#REF!</definedName>
    <definedName name="podbudowa_BA" localSheetId="4">#REF!</definedName>
    <definedName name="podbudowa_BA" localSheetId="5">#REF!</definedName>
    <definedName name="podbudowa_BA" localSheetId="0">#REF!</definedName>
    <definedName name="podbudowa_BA">#REF!</definedName>
    <definedName name="podbudowa_wb" localSheetId="4">#REF!</definedName>
    <definedName name="podbudowa_wb" localSheetId="5">#REF!</definedName>
    <definedName name="podbudowa_wb" localSheetId="0">#REF!</definedName>
    <definedName name="podbudowa_wb">#REF!</definedName>
    <definedName name="podbudowa_z_AC" localSheetId="4">#REF!</definedName>
    <definedName name="podbudowa_z_AC" localSheetId="5">#REF!</definedName>
    <definedName name="podbudowa_z_AC" localSheetId="0">#REF!</definedName>
    <definedName name="podbudowa_z_AC">#REF!</definedName>
    <definedName name="podbudowa_z_chudzielca_zatoka_m2" localSheetId="4">#REF!</definedName>
    <definedName name="podbudowa_z_chudzielca_zatoka_m2" localSheetId="0">#REF!</definedName>
    <definedName name="podbudowa_z_chudzielca_zatoka_m2">#REF!</definedName>
    <definedName name="podbudowa_z_kr_chodnik_m3" localSheetId="4">#REF!</definedName>
    <definedName name="podbudowa_z_kr_chodnik_m3" localSheetId="0">#REF!</definedName>
    <definedName name="podbudowa_z_kr_chodnik_m3">#REF!</definedName>
    <definedName name="podbudowa_z_kr_dojścia_m3" localSheetId="4">#REF!</definedName>
    <definedName name="podbudowa_z_kr_dojścia_m3" localSheetId="0">#REF!</definedName>
    <definedName name="podbudowa_z_kr_dojścia_m3">#REF!</definedName>
    <definedName name="podbudowa_z_kr_jezdnia_m2" localSheetId="4">#REF!</definedName>
    <definedName name="podbudowa_z_kr_jezdnia_m2" localSheetId="0">#REF!</definedName>
    <definedName name="podbudowa_z_kr_jezdnia_m2">#REF!</definedName>
    <definedName name="podbudowa_z_kr_jezdnia_m3" localSheetId="4">#REF!</definedName>
    <definedName name="podbudowa_z_kr_jezdnia_m3" localSheetId="0">#REF!</definedName>
    <definedName name="podbudowa_z_kr_jezdnia_m3">#REF!</definedName>
    <definedName name="podbudowa_z_kr_parking_m3" localSheetId="4">#REF!</definedName>
    <definedName name="podbudowa_z_kr_parking_m3" localSheetId="0">#REF!</definedName>
    <definedName name="podbudowa_z_kr_parking_m3">#REF!</definedName>
    <definedName name="podbudowa_z_kr_zjazdy_m2" localSheetId="4">#REF!</definedName>
    <definedName name="podbudowa_z_kr_zjazdy_m2" localSheetId="0">#REF!</definedName>
    <definedName name="podbudowa_z_kr_zjazdy_m2">#REF!</definedName>
    <definedName name="podbudowa_z_kr_zjazdy_m3" localSheetId="4">#REF!</definedName>
    <definedName name="podbudowa_z_kr_zjazdy_m3" localSheetId="0">#REF!</definedName>
    <definedName name="podbudowa_z_kr_zjazdy_m3">#REF!</definedName>
    <definedName name="podbudowa_z_kruszywa_łącznik_m3" localSheetId="4">#REF!</definedName>
    <definedName name="podbudowa_z_kruszywa_łącznik_m3" localSheetId="0">#REF!</definedName>
    <definedName name="podbudowa_z_kruszywa_łącznik_m3">#REF!</definedName>
    <definedName name="poddostawca" localSheetId="4">#REF!</definedName>
    <definedName name="poddostawca" localSheetId="0">#REF!</definedName>
    <definedName name="poddostawca">#REF!</definedName>
    <definedName name="podkarpackie" localSheetId="4">#REF!</definedName>
    <definedName name="podkarpackie" localSheetId="0">#REF!</definedName>
    <definedName name="podkarpackie">#REF!</definedName>
    <definedName name="podmurówki" localSheetId="4">#REF!</definedName>
    <definedName name="podmurówki" localSheetId="0">#REF!</definedName>
    <definedName name="podmurówki">#REF!</definedName>
    <definedName name="PODPORY" localSheetId="0">#REF!</definedName>
    <definedName name="PODPORY">#REF!</definedName>
    <definedName name="podw" localSheetId="4">#REF!</definedName>
    <definedName name="podw" localSheetId="5">#REF!</definedName>
    <definedName name="podw" localSheetId="0">#REF!</definedName>
    <definedName name="podw">#REF!</definedName>
    <definedName name="Podwyk10" localSheetId="4">#REF!</definedName>
    <definedName name="Podwyk10" localSheetId="5">#REF!</definedName>
    <definedName name="Podwyk10" localSheetId="0">#REF!</definedName>
    <definedName name="Podwyk10">#REF!</definedName>
    <definedName name="Podwyk8" localSheetId="4">#REF!</definedName>
    <definedName name="Podwyk8" localSheetId="5">#REF!</definedName>
    <definedName name="Podwyk8" localSheetId="0">#REF!</definedName>
    <definedName name="Podwyk8">#REF!</definedName>
    <definedName name="Podwyk9" localSheetId="4">#REF!</definedName>
    <definedName name="Podwyk9" localSheetId="5">#REF!</definedName>
    <definedName name="Podwyk9" localSheetId="0">#REF!</definedName>
    <definedName name="Podwyk9">#REF!</definedName>
    <definedName name="POINT">#N/A</definedName>
    <definedName name="POINTS" localSheetId="4">#REF!</definedName>
    <definedName name="POINTS" localSheetId="5">#REF!</definedName>
    <definedName name="POINTS" localSheetId="0">#REF!</definedName>
    <definedName name="POINTS">#REF!</definedName>
    <definedName name="pol" localSheetId="4">#REF!</definedName>
    <definedName name="pol" localSheetId="5">#REF!</definedName>
    <definedName name="pol" localSheetId="0">#REF!</definedName>
    <definedName name="pol">#REF!</definedName>
    <definedName name="pole1" localSheetId="4">#REF!</definedName>
    <definedName name="pole1" localSheetId="5">#REF!</definedName>
    <definedName name="pole1" localSheetId="0">#REF!</definedName>
    <definedName name="pole1">#REF!</definedName>
    <definedName name="poli2" localSheetId="4">#REF!</definedName>
    <definedName name="poli2" localSheetId="0">#REF!</definedName>
    <definedName name="poli2">#REF!</definedName>
    <definedName name="POMPA_STACJONALNA">"$#ODWOŁANIE!.$C$46"</definedName>
    <definedName name="POMPY_1_m3_betonu">"$#ODWOŁANIE!.$C$34"</definedName>
    <definedName name="Por.Imp" localSheetId="4">#REF!</definedName>
    <definedName name="Por.Imp" localSheetId="5">#REF!</definedName>
    <definedName name="Por.Imp" localSheetId="0">#REF!</definedName>
    <definedName name="Por.Imp">#REF!</definedName>
    <definedName name="porcentajeivapresupuesto" localSheetId="4">#REF!</definedName>
    <definedName name="porcentajeivapresupuesto" localSheetId="5">#REF!</definedName>
    <definedName name="porcentajeivapresupuesto" localSheetId="0">#REF!</definedName>
    <definedName name="porcentajeivapresupuesto">#REF!</definedName>
    <definedName name="PORĘCZE" localSheetId="4">#REF!</definedName>
    <definedName name="PORĘCZE" localSheetId="5">#REF!</definedName>
    <definedName name="PORĘCZE" localSheetId="0">#REF!</definedName>
    <definedName name="PORĘCZE">#REF!</definedName>
    <definedName name="POROFER_PALE1" localSheetId="4" hidden="1">#REF!</definedName>
    <definedName name="POROFER_PALE1" localSheetId="5" hidden="1">#REF!</definedName>
    <definedName name="POROFER_PALE1" localSheetId="0" hidden="1">#REF!</definedName>
    <definedName name="POROFER_PALE1" hidden="1">#REF!</definedName>
    <definedName name="porotherm11" localSheetId="4">#REF!</definedName>
    <definedName name="porotherm11" localSheetId="5">#REF!</definedName>
    <definedName name="porotherm11" localSheetId="0">#REF!</definedName>
    <definedName name="porotherm11">#REF!</definedName>
    <definedName name="porotherm18" localSheetId="4">#REF!</definedName>
    <definedName name="porotherm18" localSheetId="5">#REF!</definedName>
    <definedName name="porotherm18" localSheetId="0">#REF!</definedName>
    <definedName name="porotherm18">#REF!</definedName>
    <definedName name="porotherm25" localSheetId="4">#REF!</definedName>
    <definedName name="porotherm25" localSheetId="0">#REF!</definedName>
    <definedName name="porotherm25">#REF!</definedName>
    <definedName name="porotherm25aku" localSheetId="4">#REF!</definedName>
    <definedName name="porotherm25aku" localSheetId="0">#REF!</definedName>
    <definedName name="porotherm25aku">#REF!</definedName>
    <definedName name="porotherm30" localSheetId="4">#REF!</definedName>
    <definedName name="porotherm30" localSheetId="0">#REF!</definedName>
    <definedName name="porotherm30">#REF!</definedName>
    <definedName name="porotherm30aku" localSheetId="4">#REF!</definedName>
    <definedName name="porotherm30aku" localSheetId="0">#REF!</definedName>
    <definedName name="porotherm30aku">#REF!</definedName>
    <definedName name="porotherm38" localSheetId="4">#REF!</definedName>
    <definedName name="porotherm38" localSheetId="0">#REF!</definedName>
    <definedName name="porotherm38">#REF!</definedName>
    <definedName name="porotherm38aku" localSheetId="4">#REF!</definedName>
    <definedName name="porotherm38aku" localSheetId="0">#REF!</definedName>
    <definedName name="porotherm38aku">#REF!</definedName>
    <definedName name="porotherm38si" localSheetId="4">#REF!</definedName>
    <definedName name="porotherm38si" localSheetId="0">#REF!</definedName>
    <definedName name="porotherm38si">#REF!</definedName>
    <definedName name="porotherm44" localSheetId="4">#REF!</definedName>
    <definedName name="porotherm44" localSheetId="0">#REF!</definedName>
    <definedName name="porotherm44">#REF!</definedName>
    <definedName name="porotherm44si" localSheetId="4">#REF!</definedName>
    <definedName name="porotherm44si" localSheetId="0">#REF!</definedName>
    <definedName name="porotherm44si">#REF!</definedName>
    <definedName name="porotherm50" localSheetId="4">#REF!</definedName>
    <definedName name="porotherm50" localSheetId="0">#REF!</definedName>
    <definedName name="porotherm50">#REF!</definedName>
    <definedName name="porotherm8" localSheetId="4">#REF!</definedName>
    <definedName name="porotherm8" localSheetId="0">#REF!</definedName>
    <definedName name="porotherm8">#REF!</definedName>
    <definedName name="porów." localSheetId="0">#REF!</definedName>
    <definedName name="porów.">#REF!</definedName>
    <definedName name="portada" localSheetId="4">#REF!</definedName>
    <definedName name="portada" localSheetId="5">#REF!</definedName>
    <definedName name="portada" localSheetId="0">#REF!</definedName>
    <definedName name="portada">#REF!</definedName>
    <definedName name="portales" localSheetId="0">#REF!</definedName>
    <definedName name="portales">#REF!</definedName>
    <definedName name="POSADOWIENIE" localSheetId="0">#REF!</definedName>
    <definedName name="POSADOWIENIE">#REF!</definedName>
    <definedName name="posz1" localSheetId="4">#REF!</definedName>
    <definedName name="posz1" localSheetId="5">#REF!</definedName>
    <definedName name="posz1" localSheetId="0">#REF!</definedName>
    <definedName name="posz1">#REF!</definedName>
    <definedName name="posz2" localSheetId="4">#REF!</definedName>
    <definedName name="posz2" localSheetId="5">#REF!</definedName>
    <definedName name="posz2" localSheetId="0">#REF!</definedName>
    <definedName name="posz2">#REF!</definedName>
    <definedName name="posz3" localSheetId="4">#REF!</definedName>
    <definedName name="posz3" localSheetId="5">#REF!</definedName>
    <definedName name="posz3" localSheetId="0">#REF!</definedName>
    <definedName name="posz3">#REF!</definedName>
    <definedName name="pound" localSheetId="4">#REF!</definedName>
    <definedName name="pound" localSheetId="0">#REF!</definedName>
    <definedName name="pound">#REF!</definedName>
    <definedName name="pow_humusu_do_zdjęcia_zjazdy" localSheetId="4">#REF!</definedName>
    <definedName name="pow_humusu_do_zdjęcia_zjazdy" localSheetId="0">#REF!</definedName>
    <definedName name="pow_humusu_do_zdjęcia_zjazdy">#REF!</definedName>
    <definedName name="pow_plantowania_zjazdy" localSheetId="4">#REF!</definedName>
    <definedName name="pow_plantowania_zjazdy" localSheetId="0">#REF!</definedName>
    <definedName name="pow_plantowania_zjazdy">#REF!</definedName>
    <definedName name="powcalk" localSheetId="4">#REF!</definedName>
    <definedName name="powcalk" localSheetId="0">#REF!</definedName>
    <definedName name="powcalk">#REF!</definedName>
    <definedName name="powierzchnia" localSheetId="4">#REF!</definedName>
    <definedName name="powierzchnia" localSheetId="5">#REF!</definedName>
    <definedName name="powierzchnia" localSheetId="0">#REF!</definedName>
    <definedName name="powierzchnia">#REF!</definedName>
    <definedName name="powierzchnia_plantowania" localSheetId="4">#REF!</definedName>
    <definedName name="powierzchnia_plantowania" localSheetId="5">#REF!</definedName>
    <definedName name="powierzchnia_plantowania" localSheetId="0">#REF!</definedName>
    <definedName name="powierzchnia_plantowania">#REF!</definedName>
    <definedName name="Powierzchnia10" localSheetId="4">#REF!</definedName>
    <definedName name="Powierzchnia10" localSheetId="5">#REF!</definedName>
    <definedName name="Powierzchnia10" localSheetId="0">#REF!</definedName>
    <definedName name="Powierzchnia10">#REF!</definedName>
    <definedName name="Powierzchnia8" localSheetId="4">#REF!</definedName>
    <definedName name="Powierzchnia8" localSheetId="5">#REF!</definedName>
    <definedName name="Powierzchnia8" localSheetId="0">#REF!</definedName>
    <definedName name="Powierzchnia8">#REF!</definedName>
    <definedName name="Powierzchnia9" localSheetId="4">#REF!</definedName>
    <definedName name="Powierzchnia9" localSheetId="5">#REF!</definedName>
    <definedName name="Powierzchnia9" localSheetId="0">#REF!</definedName>
    <definedName name="Powierzchnia9">#REF!</definedName>
    <definedName name="pownet" localSheetId="4">#REF!</definedName>
    <definedName name="pownet" localSheetId="5">#REF!</definedName>
    <definedName name="pownet" localSheetId="0">#REF!</definedName>
    <definedName name="pownet">#REF!</definedName>
    <definedName name="pownetgar" localSheetId="4">#REF!</definedName>
    <definedName name="pownetgar" localSheetId="5">#REF!</definedName>
    <definedName name="pownetgar" localSheetId="0">#REF!</definedName>
    <definedName name="pownetgar">#REF!</definedName>
    <definedName name="pownetkondtech" localSheetId="4">#REF!</definedName>
    <definedName name="pownetkondtech" localSheetId="5">#REF!</definedName>
    <definedName name="pownetkondtech" localSheetId="0">#REF!</definedName>
    <definedName name="pownetkondtech">#REF!</definedName>
    <definedName name="pownetnad" localSheetId="4">#REF!</definedName>
    <definedName name="pownetnad" localSheetId="0">#REF!</definedName>
    <definedName name="pownetnad">#REF!</definedName>
    <definedName name="pownetpod" localSheetId="4">#REF!</definedName>
    <definedName name="pownetpod" localSheetId="0">#REF!</definedName>
    <definedName name="pownetpod">#REF!</definedName>
    <definedName name="pownetszpit" localSheetId="4">#REF!</definedName>
    <definedName name="pownetszpit" localSheetId="0">#REF!</definedName>
    <definedName name="pownetszpit">#REF!</definedName>
    <definedName name="pownettchpod" localSheetId="4">#REF!</definedName>
    <definedName name="pownettchpod" localSheetId="0">#REF!</definedName>
    <definedName name="pownettchpod">#REF!</definedName>
    <definedName name="pownettech" localSheetId="4">#REF!</definedName>
    <definedName name="pownettech" localSheetId="0">#REF!</definedName>
    <definedName name="pownettech">#REF!</definedName>
    <definedName name="powzab" localSheetId="4">#REF!</definedName>
    <definedName name="powzab" localSheetId="0">#REF!</definedName>
    <definedName name="powzab">#REF!</definedName>
    <definedName name="Pozostałe" localSheetId="0">#REF!</definedName>
    <definedName name="Pozostałe">#REF!</definedName>
    <definedName name="Pozycja" localSheetId="4">#REF!</definedName>
    <definedName name="Pozycja" localSheetId="5">#REF!</definedName>
    <definedName name="Pozycja" localSheetId="0">#REF!</definedName>
    <definedName name="Pozycja">#REF!</definedName>
    <definedName name="Pozycje" localSheetId="4">#REF!</definedName>
    <definedName name="Pozycje" localSheetId="5">#REF!</definedName>
    <definedName name="Pozycje" localSheetId="0">#REF!</definedName>
    <definedName name="Pozycje">#REF!</definedName>
    <definedName name="pp" localSheetId="4">#REF!</definedName>
    <definedName name="pp" localSheetId="5">#REF!</definedName>
    <definedName name="pp" localSheetId="0">#REF!</definedName>
    <definedName name="pp">#REF!</definedName>
    <definedName name="ppp" localSheetId="0">#REF!</definedName>
    <definedName name="ppp">#REF!</definedName>
    <definedName name="pppp" localSheetId="4">#REF!</definedName>
    <definedName name="pppp" localSheetId="5">#REF!</definedName>
    <definedName name="pppp" localSheetId="0">#REF!</definedName>
    <definedName name="pppp">#REF!</definedName>
    <definedName name="pppppp" localSheetId="4">#REF!</definedName>
    <definedName name="pppppp" localSheetId="5">#REF!</definedName>
    <definedName name="pppppp" localSheetId="0">#REF!</definedName>
    <definedName name="pppppp">#REF!</definedName>
    <definedName name="pr" localSheetId="4">#REF!</definedName>
    <definedName name="pr" localSheetId="5">#REF!</definedName>
    <definedName name="pr" localSheetId="0">#REF!</definedName>
    <definedName name="pr">#REF!</definedName>
    <definedName name="PRai" localSheetId="4">#REF!</definedName>
    <definedName name="PRai" localSheetId="5">#REF!</definedName>
    <definedName name="PRai" localSheetId="0">#REF!</definedName>
    <definedName name="PRai">#REF!</definedName>
    <definedName name="PRdi" localSheetId="4">#REF!</definedName>
    <definedName name="PRdi" localSheetId="5">#REF!</definedName>
    <definedName name="PRdi" localSheetId="0">#REF!</definedName>
    <definedName name="PRdi">#REF!</definedName>
    <definedName name="PRE_TRACED_TUBE" localSheetId="4">#REF!</definedName>
    <definedName name="PRE_TRACED_TUBE" localSheetId="5">#REF!</definedName>
    <definedName name="PRE_TRACED_TUBE" localSheetId="0">#REF!</definedName>
    <definedName name="PRE_TRACED_TUBE">#REF!</definedName>
    <definedName name="PRECIO_CHI01" localSheetId="4">#REF!</definedName>
    <definedName name="PRECIO_CHI01" localSheetId="0">#REF!</definedName>
    <definedName name="PRECIO_CHI01">#REF!</definedName>
    <definedName name="PRECIO_ELK01" localSheetId="4">#REF!</definedName>
    <definedName name="PRECIO_ELK01" localSheetId="0">#REF!</definedName>
    <definedName name="PRECIO_ELK01">#REF!</definedName>
    <definedName name="PRECIO_ELK012" localSheetId="4">#REF!</definedName>
    <definedName name="PRECIO_ELK012" localSheetId="0">#REF!</definedName>
    <definedName name="PRECIO_ELK012">#REF!</definedName>
    <definedName name="PRECIO_MET01" localSheetId="4">#REF!</definedName>
    <definedName name="PRECIO_MET01" localSheetId="0">#REF!</definedName>
    <definedName name="PRECIO_MET01">#REF!</definedName>
    <definedName name="PRECL_01" localSheetId="0">#REF!</definedName>
    <definedName name="PRECL_01">#REF!</definedName>
    <definedName name="prefa" localSheetId="4">#REF!</definedName>
    <definedName name="prefa" localSheetId="5">#REF!</definedName>
    <definedName name="prefa" localSheetId="0">#REF!</definedName>
    <definedName name="prefa">#REF!</definedName>
    <definedName name="prefa_rack" localSheetId="4">#REF!</definedName>
    <definedName name="prefa_rack" localSheetId="5">#REF!</definedName>
    <definedName name="prefa_rack" localSheetId="0">#REF!</definedName>
    <definedName name="prefa_rack">#REF!</definedName>
    <definedName name="prefa_rackfinal" localSheetId="4">#REF!</definedName>
    <definedName name="prefa_rackfinal" localSheetId="5">#REF!</definedName>
    <definedName name="prefa_rackfinal" localSheetId="0">#REF!</definedName>
    <definedName name="prefa_rackfinal">#REF!</definedName>
    <definedName name="prefa1" localSheetId="4">#REF!</definedName>
    <definedName name="prefa1" localSheetId="0">#REF!</definedName>
    <definedName name="prefa1">#REF!</definedName>
    <definedName name="prefabrykaty_zbrojarskie">"$#ODWOŁANIE!.$C$59"</definedName>
    <definedName name="prefafinal" localSheetId="4">#REF!</definedName>
    <definedName name="prefafinal" localSheetId="5">#REF!</definedName>
    <definedName name="prefafinal" localSheetId="0">#REF!</definedName>
    <definedName name="prefafinal">#REF!</definedName>
    <definedName name="PREMIO_DESCUENTO" localSheetId="4">#REF!</definedName>
    <definedName name="PREMIO_DESCUENTO" localSheetId="5">#REF!</definedName>
    <definedName name="PREMIO_DESCUENTO" localSheetId="0">#REF!</definedName>
    <definedName name="PREMIO_DESCUENTO">#REF!</definedName>
    <definedName name="Premisas" localSheetId="4">#REF!</definedName>
    <definedName name="Premisas" localSheetId="5">#REF!</definedName>
    <definedName name="Premisas" localSheetId="0">#REF!</definedName>
    <definedName name="Premisas">#REF!</definedName>
    <definedName name="preProductionDurationMonths">2</definedName>
    <definedName name="preProductionWC" localSheetId="5">#REF!*4315</definedName>
    <definedName name="preProductionWC" localSheetId="0">#REF!*4315</definedName>
    <definedName name="preProductionWC">#REF!*4315</definedName>
    <definedName name="Préstamos" localSheetId="4">#REF!</definedName>
    <definedName name="Préstamos" localSheetId="5">#REF!</definedName>
    <definedName name="Préstamos" localSheetId="0">#REF!</definedName>
    <definedName name="Préstamos">#REF!</definedName>
    <definedName name="PRESU800" localSheetId="4">#REF!</definedName>
    <definedName name="PRESU800" localSheetId="5">#REF!</definedName>
    <definedName name="PRESU800" localSheetId="0">#REF!</definedName>
    <definedName name="PRESU800">#REF!</definedName>
    <definedName name="PREVIOUS" localSheetId="4">#REF!</definedName>
    <definedName name="PREVIOUS" localSheetId="5">#REF!</definedName>
    <definedName name="PREVIOUS" localSheetId="0">#REF!</definedName>
    <definedName name="PREVIOUS">#REF!</definedName>
    <definedName name="Previous_year_MTD" localSheetId="4">#REF!</definedName>
    <definedName name="Previous_year_MTD" localSheetId="0">#REF!</definedName>
    <definedName name="Previous_year_MTD">#REF!</definedName>
    <definedName name="Previous_year_totjob" localSheetId="0">#REF!</definedName>
    <definedName name="Previous_year_totjob">#REF!</definedName>
    <definedName name="Price_LME" localSheetId="4">#REF!</definedName>
    <definedName name="Price_LME" localSheetId="5">#REF!</definedName>
    <definedName name="Price_LME" localSheetId="0">#REF!</definedName>
    <definedName name="Price_LME">#REF!</definedName>
    <definedName name="Price_menu" localSheetId="4">#REF!</definedName>
    <definedName name="Price_menu" localSheetId="5">#REF!</definedName>
    <definedName name="Price_menu" localSheetId="0">#REF!</definedName>
    <definedName name="Price_menu">#REF!</definedName>
    <definedName name="priceFlag100" localSheetId="0">IF(#REF!=1,1,0)</definedName>
    <definedName name="priceFlag100">IF(#REF!=1,1,0)</definedName>
    <definedName name="priceFlag70" localSheetId="0">IF(#REF!=0.7,1,0)</definedName>
    <definedName name="priceFlag70">IF(#REF!=0.7,1,0)</definedName>
    <definedName name="priceFlag85" localSheetId="0">IF(#REF!=0.85,1,0)</definedName>
    <definedName name="priceFlag85">IF(#REF!=0.85,1,0)</definedName>
    <definedName name="pricingPerLbCu" localSheetId="5">IF(#REF!=0,"",#REF!/#REF!/#REF!*1000)</definedName>
    <definedName name="pricingPerLbCu" localSheetId="0">IF(#REF!=0,"",#REF!/#REF!/#REF!*1000)</definedName>
    <definedName name="pricingPerLbCu">IF(#REF!=0,"",#REF!/#REF!/#REF!*1000)</definedName>
    <definedName name="pricingPerTonOre" localSheetId="5">IF(#REF!=0,"",#REF!/#REF!/#REF!*1000)</definedName>
    <definedName name="pricingPerTonOre" localSheetId="0">IF(#REF!=0,"",#REF!/#REF!/#REF!*1000)</definedName>
    <definedName name="pricingPerTonOre">IF(#REF!=0,"",#REF!/#REF!/#REF!*1000)</definedName>
    <definedName name="primeramoneda" localSheetId="4">#REF!</definedName>
    <definedName name="primeramoneda" localSheetId="5">#REF!</definedName>
    <definedName name="primeramoneda" localSheetId="0">#REF!</definedName>
    <definedName name="primeramoneda">#REF!</definedName>
    <definedName name="Princ" localSheetId="4">#REF!</definedName>
    <definedName name="Princ" localSheetId="5">#REF!</definedName>
    <definedName name="Princ" localSheetId="0">#REF!</definedName>
    <definedName name="Princ">#REF!</definedName>
    <definedName name="PRINT_1" localSheetId="0">#REF!</definedName>
    <definedName name="PRINT_1">#REF!</definedName>
    <definedName name="Print_Area_13_1" localSheetId="4">#REF!</definedName>
    <definedName name="Print_Area_13_1" localSheetId="5">#REF!</definedName>
    <definedName name="Print_Area_13_1" localSheetId="0">#REF!</definedName>
    <definedName name="Print_Area_13_1">#REF!</definedName>
    <definedName name="Print_Area_15" localSheetId="4">#REF!</definedName>
    <definedName name="Print_Area_15" localSheetId="5">#REF!</definedName>
    <definedName name="Print_Area_15" localSheetId="0">#REF!</definedName>
    <definedName name="Print_Area_15">#REF!</definedName>
    <definedName name="Print_Area_9_1" localSheetId="4">#REF!</definedName>
    <definedName name="Print_Area_9_1" localSheetId="5">#REF!</definedName>
    <definedName name="Print_Area_9_1" localSheetId="0">#REF!</definedName>
    <definedName name="Print_Area_9_1">#REF!</definedName>
    <definedName name="Print_Area_MI" localSheetId="0">#REF!</definedName>
    <definedName name="Print_Area_MI">#REF!</definedName>
    <definedName name="Print_Area_Reset" localSheetId="4">OFFSET('Costo Directo'!Full_Print,0,0,'Costo Directo'!Last_Row)</definedName>
    <definedName name="Print_Area_Reset" localSheetId="6">OFFSET(Full_Print,0,0,'Indirect Costs'!Last_Row)</definedName>
    <definedName name="Print_Area_Reset" localSheetId="5">OFFSET(Full_Print,0,0,Producción!Last_Row)</definedName>
    <definedName name="Print_Area_Reset" localSheetId="0">OFFSET('Resumen Ejecutivo'!Full_Print,0,0,'Resumen Ejecutivo'!Last_Row)</definedName>
    <definedName name="Print_Area_Reset">OFFSET(Full_Print,0,0,Last_Row)</definedName>
    <definedName name="Print_Titles_10_1" localSheetId="4">#REF!</definedName>
    <definedName name="Print_Titles_10_1" localSheetId="6">#REF!</definedName>
    <definedName name="Print_Titles_10_1" localSheetId="5">#REF!</definedName>
    <definedName name="Print_Titles_10_1" localSheetId="0">#REF!</definedName>
    <definedName name="Print_Titles_10_1">#REF!</definedName>
    <definedName name="Print_Titles_7_1" localSheetId="4">#REF!</definedName>
    <definedName name="Print_Titles_7_1" localSheetId="6">#REF!</definedName>
    <definedName name="Print_Titles_7_1" localSheetId="5">#REF!</definedName>
    <definedName name="Print_Titles_7_1" localSheetId="0">#REF!</definedName>
    <definedName name="Print_Titles_7_1">#REF!</definedName>
    <definedName name="Print_Titles_MI" localSheetId="4">#REF!</definedName>
    <definedName name="Print_Titles_MI" localSheetId="6">#REF!</definedName>
    <definedName name="Print_Titles_MI" localSheetId="5">#REF!</definedName>
    <definedName name="Print_Titles_MI" localSheetId="0">#REF!</definedName>
    <definedName name="Print_Titles_MI">#REF!</definedName>
    <definedName name="PrintTotal" localSheetId="0">#REF!</definedName>
    <definedName name="PrintTotal">#REF!</definedName>
    <definedName name="PRJ_ELBK_CST_EDITBY" localSheetId="4">#REF!</definedName>
    <definedName name="PRJ_ELBK_CST_EDITBY" localSheetId="5">#REF!</definedName>
    <definedName name="PRJ_ELBK_CST_EDITBY" localSheetId="0">#REF!</definedName>
    <definedName name="PRJ_ELBK_CST_EDITBY">#REF!</definedName>
    <definedName name="PRJ_ELBK_CST_EDITDATE" localSheetId="4">#REF!</definedName>
    <definedName name="PRJ_ELBK_CST_EDITDATE" localSheetId="5">#REF!</definedName>
    <definedName name="PRJ_ELBK_CST_EDITDATE" localSheetId="0">#REF!</definedName>
    <definedName name="PRJ_ELBK_CST_EDITDATE">#REF!</definedName>
    <definedName name="PRJ_ELEQ_CST_EDITBY" localSheetId="4">#REF!</definedName>
    <definedName name="PRJ_ELEQ_CST_EDITBY" localSheetId="5">#REF!</definedName>
    <definedName name="PRJ_ELEQ_CST_EDITBY" localSheetId="0">#REF!</definedName>
    <definedName name="PRJ_ELEQ_CST_EDITBY">#REF!</definedName>
    <definedName name="PRJ_ELEQ_CST_EDITDATE" localSheetId="4">#REF!</definedName>
    <definedName name="PRJ_ELEQ_CST_EDITDATE" localSheetId="0">#REF!</definedName>
    <definedName name="PRJ_ELEQ_CST_EDITDATE">#REF!</definedName>
    <definedName name="PRJ_INSTR_CST_EDITBY" localSheetId="4">#REF!</definedName>
    <definedName name="PRJ_INSTR_CST_EDITBY" localSheetId="0">#REF!</definedName>
    <definedName name="PRJ_INSTR_CST_EDITBY">#REF!</definedName>
    <definedName name="PRJ_INSTR_CST_EDITDATE" localSheetId="4">#REF!</definedName>
    <definedName name="PRJ_INSTR_CST_EDITDATE" localSheetId="0">#REF!</definedName>
    <definedName name="PRJ_INSTR_CST_EDITDATE">#REF!</definedName>
    <definedName name="Prj_Ttl" localSheetId="4">#REF!</definedName>
    <definedName name="Prj_Ttl" localSheetId="5">#REF!</definedName>
    <definedName name="Prj_Ttl" localSheetId="0">#REF!</definedName>
    <definedName name="Prj_Ttl">#REF!</definedName>
    <definedName name="pro" localSheetId="4">#REF!</definedName>
    <definedName name="pro" localSheetId="5">#REF!</definedName>
    <definedName name="pro" localSheetId="0">#REF!</definedName>
    <definedName name="pro">#REF!</definedName>
    <definedName name="PRO_RATA__Rate_from_Bill_15__Concourse_C" localSheetId="0">#REF!,#REF!,#REF!,#REF!,#REF!,#REF!</definedName>
    <definedName name="PRO_RATA__Rate_from_Bill_15__Concourse_C">#REF!,#REF!,#REF!,#REF!,#REF!,#REF!</definedName>
    <definedName name="próbnezametr" localSheetId="4">#REF!</definedName>
    <definedName name="próbnezametr" localSheetId="5">#REF!</definedName>
    <definedName name="próbnezametr" localSheetId="0">#REF!</definedName>
    <definedName name="próbnezametr">#REF!</definedName>
    <definedName name="proc" localSheetId="4">#REF!</definedName>
    <definedName name="proc" localSheetId="5">#REF!</definedName>
    <definedName name="proc" localSheetId="0">#REF!</definedName>
    <definedName name="proc">#REF!</definedName>
    <definedName name="Proc_Hrs" localSheetId="4">#REF!</definedName>
    <definedName name="Proc_Hrs" localSheetId="5">#REF!</definedName>
    <definedName name="Proc_Hrs" localSheetId="0">#REF!</definedName>
    <definedName name="Proc_Hrs">#REF!</definedName>
    <definedName name="Proc_Rev" localSheetId="4">#REF!</definedName>
    <definedName name="Proc_Rev" localSheetId="0">#REF!</definedName>
    <definedName name="Proc_Rev">#REF!</definedName>
    <definedName name="Production_Start_Date" localSheetId="0">#REF!</definedName>
    <definedName name="Production_Start_Date">#REF!</definedName>
    <definedName name="productionDurationMonths" localSheetId="0">#REF!</definedName>
    <definedName name="productionDurationMonths">#REF!</definedName>
    <definedName name="productionStartDate" localSheetId="5">#REF!</definedName>
    <definedName name="productionStartDate" localSheetId="0">#REF!</definedName>
    <definedName name="productionStartDate">#REF!</definedName>
    <definedName name="productionStartFlag" localSheetId="5">IF(YEAR(#REF!)=YEAR(#REF!),1,0)</definedName>
    <definedName name="productionStartFlag" localSheetId="0">IF(YEAR(#REF!)=YEAR(#REF!),1,0)</definedName>
    <definedName name="productionStartFlag">IF(YEAR(#REF!)=YEAR(#REF!),1,0)</definedName>
    <definedName name="productionstopdate" localSheetId="0">#REF!</definedName>
    <definedName name="productionstopdate">#REF!</definedName>
    <definedName name="productionStopFlag" localSheetId="5">IF(YEAR(#REF!)=YEAR(#REF!),1,0)</definedName>
    <definedName name="productionStopFlag" localSheetId="0">IF(YEAR(#REF!)=YEAR(#REF!),1,0)</definedName>
    <definedName name="productionStopFlag">IF(YEAR(#REF!)=YEAR(#REF!),1,0)</definedName>
    <definedName name="Prog_presupuesto" localSheetId="4">#REF!</definedName>
    <definedName name="Prog_presupuesto" localSheetId="5">#REF!</definedName>
    <definedName name="Prog_presupuesto" localSheetId="0">#REF!</definedName>
    <definedName name="Prog_presupuesto">#REF!</definedName>
    <definedName name="ProgMonat" localSheetId="4">#REF!</definedName>
    <definedName name="ProgMonat" localSheetId="5">#REF!</definedName>
    <definedName name="ProgMonat" localSheetId="0">#REF!</definedName>
    <definedName name="ProgMonat">#REF!</definedName>
    <definedName name="Programa_Obra" localSheetId="4">#REF!</definedName>
    <definedName name="Programa_Obra" localSheetId="5">#REF!</definedName>
    <definedName name="Programa_Obra" localSheetId="0">#REF!</definedName>
    <definedName name="Programa_Obra">#REF!</definedName>
    <definedName name="Programa_Porcentajes" localSheetId="4">#REF!</definedName>
    <definedName name="Programa_Porcentajes" localSheetId="0">#REF!</definedName>
    <definedName name="Programa_Porcentajes">#REF!</definedName>
    <definedName name="PROJ_OFF_HRS" localSheetId="0">#REF!</definedName>
    <definedName name="PROJ_OFF_HRS">#REF!</definedName>
    <definedName name="PROJ_OFF_LAB" localSheetId="0">#REF!</definedName>
    <definedName name="PROJ_OFF_LAB">#REF!</definedName>
    <definedName name="projectDurationMonths" localSheetId="5">#REF!+#REF!+#REF!</definedName>
    <definedName name="projectDurationMonths" localSheetId="0">#REF!+#REF!+#REF!</definedName>
    <definedName name="projectDurationMonths">#REF!+#REF!+#REF!</definedName>
    <definedName name="Projekt_nr" localSheetId="4">#REF!</definedName>
    <definedName name="Projekt_nr" localSheetId="5">#REF!</definedName>
    <definedName name="Projekt_nr" localSheetId="0">#REF!</definedName>
    <definedName name="Projekt_nr">#REF!</definedName>
    <definedName name="PROV20121TP" localSheetId="4">#REF!</definedName>
    <definedName name="PROV20121TP" localSheetId="5">#REF!</definedName>
    <definedName name="PROV20121TP" localSheetId="0">#REF!</definedName>
    <definedName name="PROV20121TP">#REF!</definedName>
    <definedName name="PROV20121TR" localSheetId="4">#REF!</definedName>
    <definedName name="PROV20121TR" localSheetId="5">#REF!</definedName>
    <definedName name="PROV20121TR" localSheetId="0">#REF!</definedName>
    <definedName name="PROV20121TR">#REF!</definedName>
    <definedName name="PROV2012V0" localSheetId="4">#REF!</definedName>
    <definedName name="PROV2012V0" localSheetId="0">#REF!</definedName>
    <definedName name="PROV2012V0">#REF!</definedName>
    <definedName name="PROV2012V1" localSheetId="4">#REF!</definedName>
    <definedName name="PROV2012V1" localSheetId="0">#REF!</definedName>
    <definedName name="PROV2012V1">#REF!</definedName>
    <definedName name="PROV2012V1NC" localSheetId="4">#REF!</definedName>
    <definedName name="PROV2012V1NC" localSheetId="0">#REF!</definedName>
    <definedName name="PROV2012V1NC">#REF!</definedName>
    <definedName name="PROV2012V1OC" localSheetId="4">#REF!</definedName>
    <definedName name="PROV2012V1OC" localSheetId="0">#REF!</definedName>
    <definedName name="PROV2012V1OC">#REF!</definedName>
    <definedName name="proventas" localSheetId="4">#REF!</definedName>
    <definedName name="proventas" localSheetId="0">#REF!</definedName>
    <definedName name="proventas">#REF!</definedName>
    <definedName name="Provisiones" localSheetId="4">#REF!</definedName>
    <definedName name="Provisiones" localSheetId="0">#REF!</definedName>
    <definedName name="Provisiones">#REF!</definedName>
    <definedName name="pRZEDMIAR" localSheetId="4">#REF!</definedName>
    <definedName name="pRZEDMIAR" localSheetId="0">#REF!</definedName>
    <definedName name="pRZEDMIAR">#REF!</definedName>
    <definedName name="Przepływy" localSheetId="4">#REF!</definedName>
    <definedName name="Przepływy" localSheetId="0">#REF!</definedName>
    <definedName name="Przepływy">#REF!</definedName>
    <definedName name="przepusty_pod_zjazdami_m" localSheetId="4">#REF!</definedName>
    <definedName name="przepusty_pod_zjazdami_m" localSheetId="0">#REF!</definedName>
    <definedName name="przepusty_pod_zjazdami_m">#REF!</definedName>
    <definedName name="PRZESZKODA" localSheetId="0">#REF!</definedName>
    <definedName name="PRZESZKODA">#REF!</definedName>
    <definedName name="przych_fin" localSheetId="4">#REF!</definedName>
    <definedName name="przych_fin" localSheetId="5">#REF!</definedName>
    <definedName name="przych_fin" localSheetId="0">#REF!</definedName>
    <definedName name="przych_fin">#REF!</definedName>
    <definedName name="przych_oper" localSheetId="4">#REF!</definedName>
    <definedName name="przych_oper" localSheetId="5">#REF!</definedName>
    <definedName name="przych_oper" localSheetId="0">#REF!</definedName>
    <definedName name="przych_oper">#REF!</definedName>
    <definedName name="przychody" localSheetId="4">#REF!</definedName>
    <definedName name="przychody" localSheetId="5">#REF!</definedName>
    <definedName name="przychody" localSheetId="0">#REF!</definedName>
    <definedName name="przychody">#REF!</definedName>
    <definedName name="Przymocowanie_tablic_B_C_nowych" localSheetId="4">#REF!</definedName>
    <definedName name="Przymocowanie_tablic_B_C_nowych" localSheetId="0">#REF!</definedName>
    <definedName name="Przymocowanie_tablic_B_C_nowych">#REF!</definedName>
    <definedName name="Przymocowanie_tablic_D_nowych" localSheetId="4">#REF!</definedName>
    <definedName name="Przymocowanie_tablic_D_nowych" localSheetId="0">#REF!</definedName>
    <definedName name="Przymocowanie_tablic_D_nowych">#REF!</definedName>
    <definedName name="Przymocowanie_tablic_E_nowych" localSheetId="4">#REF!</definedName>
    <definedName name="Przymocowanie_tablic_E_nowych" localSheetId="0">#REF!</definedName>
    <definedName name="Przymocowanie_tablic_E_nowych">#REF!</definedName>
    <definedName name="Przymocowanie_tablic_F_nowych" localSheetId="4">#REF!</definedName>
    <definedName name="Przymocowanie_tablic_F_nowych" localSheetId="0">#REF!</definedName>
    <definedName name="Przymocowanie_tablic_F_nowych">#REF!</definedName>
    <definedName name="Przymocowanie_tablic_T_nowych" localSheetId="4">#REF!</definedName>
    <definedName name="Przymocowanie_tablic_T_nowych" localSheetId="0">#REF!</definedName>
    <definedName name="Przymocowanie_tablic_T_nowych">#REF!</definedName>
    <definedName name="przymocowanie_tablic_U" localSheetId="4">#REF!</definedName>
    <definedName name="przymocowanie_tablic_U" localSheetId="0">#REF!</definedName>
    <definedName name="przymocowanie_tablic_U">#REF!</definedName>
    <definedName name="Przymocowanie_tablic_U_nowych" localSheetId="4">#REF!</definedName>
    <definedName name="Przymocowanie_tablic_U_nowych" localSheetId="0">#REF!</definedName>
    <definedName name="Przymocowanie_tablic_U_nowych">#REF!</definedName>
    <definedName name="przymocowanie_tablic_znaku_A_nowe" localSheetId="4">#REF!</definedName>
    <definedName name="przymocowanie_tablic_znaku_A_nowe" localSheetId="0">#REF!</definedName>
    <definedName name="przymocowanie_tablic_znaku_A_nowe">#REF!</definedName>
    <definedName name="przymocowanie_tablic_znaku_B_nowe" localSheetId="4">#REF!</definedName>
    <definedName name="przymocowanie_tablic_znaku_B_nowe" localSheetId="0">#REF!</definedName>
    <definedName name="przymocowanie_tablic_znaku_B_nowe">#REF!</definedName>
    <definedName name="przymocowanie_tablic_znaku_D_nowe" localSheetId="4">#REF!</definedName>
    <definedName name="przymocowanie_tablic_znaku_D_nowe" localSheetId="0">#REF!</definedName>
    <definedName name="przymocowanie_tablic_znaku_D_nowe">#REF!</definedName>
    <definedName name="przymocowanie_tabliczek_T" localSheetId="4">#REF!</definedName>
    <definedName name="przymocowanie_tabliczek_T" localSheetId="0">#REF!</definedName>
    <definedName name="przymocowanie_tabliczek_T">#REF!</definedName>
    <definedName name="przymocowanie_tarcz_tablic_uzupełniających_F_prostokątnych" localSheetId="4">#REF!</definedName>
    <definedName name="przymocowanie_tarcz_tablic_uzupełniających_F_prostokątnych" localSheetId="0">#REF!</definedName>
    <definedName name="przymocowanie_tarcz_tablic_uzupełniających_F_prostokątnych">#REF!</definedName>
    <definedName name="przymocowanie_tarcz_znaków_informacyjnych_D_prostokątnych" localSheetId="4">#REF!</definedName>
    <definedName name="przymocowanie_tarcz_znaków_informacyjnych_D_prostokątnych" localSheetId="0">#REF!</definedName>
    <definedName name="przymocowanie_tarcz_znaków_informacyjnych_D_prostokątnych">#REF!</definedName>
    <definedName name="przymocowanie_tarcz_znaków_kierunkowych_E_prostokątnych" localSheetId="4">#REF!</definedName>
    <definedName name="przymocowanie_tarcz_znaków_kierunkowych_E_prostokątnych" localSheetId="0">#REF!</definedName>
    <definedName name="przymocowanie_tarcz_znaków_kierunkowych_E_prostokątnych">#REF!</definedName>
    <definedName name="przymocowanie_tarcz_znaków_nakazu_B_i_zakazu_C_okrągłych" localSheetId="4">#REF!</definedName>
    <definedName name="przymocowanie_tarcz_znaków_nakazu_B_i_zakazu_C_okrągłych" localSheetId="0">#REF!</definedName>
    <definedName name="przymocowanie_tarcz_znaków_nakazu_B_i_zakazu_C_okrągłych">#REF!</definedName>
    <definedName name="przymocowanie_tarcz_znaków_ostrzegawczych_A_trójkątnych" localSheetId="4">#REF!</definedName>
    <definedName name="przymocowanie_tarcz_znaków_ostrzegawczych_A_trójkątnych" localSheetId="0">#REF!</definedName>
    <definedName name="przymocowanie_tarcz_znaków_ostrzegawczych_A_trójkątnych">#REF!</definedName>
    <definedName name="pt" localSheetId="4">#REF!</definedName>
    <definedName name="pt" localSheetId="0">#REF!</definedName>
    <definedName name="pt">#REF!</definedName>
    <definedName name="PTOS_RELEV" localSheetId="4">#REF!</definedName>
    <definedName name="PTOS_RELEV" localSheetId="0">#REF!</definedName>
    <definedName name="PTOS_RELEV">#REF!</definedName>
    <definedName name="PTU" localSheetId="4">#REF!</definedName>
    <definedName name="PTU" localSheetId="0">#REF!</definedName>
    <definedName name="PTU">#REF!</definedName>
    <definedName name="PU" localSheetId="0">#REF!</definedName>
    <definedName name="PU">#REF!</definedName>
    <definedName name="pug" localSheetId="4">#REF!</definedName>
    <definedName name="pug" localSheetId="5">#REF!</definedName>
    <definedName name="pug" localSheetId="0">#REF!</definedName>
    <definedName name="pug">#REF!</definedName>
    <definedName name="pum" localSheetId="4">#REF!</definedName>
    <definedName name="pum" localSheetId="5">#REF!</definedName>
    <definedName name="pum" localSheetId="0">#REF!</definedName>
    <definedName name="pum">#REF!</definedName>
    <definedName name="PUMP" localSheetId="4">#REF!</definedName>
    <definedName name="PUMP" localSheetId="5">#REF!</definedName>
    <definedName name="PUMP" localSheetId="0">#REF!</definedName>
    <definedName name="PUMP">#REF!</definedName>
    <definedName name="Pun" localSheetId="4">#REF!</definedName>
    <definedName name="Pun" localSheetId="0">#REF!</definedName>
    <definedName name="Pun">#REF!</definedName>
    <definedName name="PUNKT.STAŁY" localSheetId="4">#REF!</definedName>
    <definedName name="PUNKT.STAŁY" localSheetId="5">#REF!</definedName>
    <definedName name="PUNKT.STAŁY" localSheetId="0">#REF!</definedName>
    <definedName name="PUNKT.STAŁY">#REF!</definedName>
    <definedName name="puu" localSheetId="4">#REF!</definedName>
    <definedName name="puu" localSheetId="5">#REF!</definedName>
    <definedName name="puu" localSheetId="0">#REF!</definedName>
    <definedName name="puu">#REF!</definedName>
    <definedName name="PVC_FLEXIBLE_PIPE" localSheetId="4">#REF!</definedName>
    <definedName name="PVC_FLEXIBLE_PIPE" localSheetId="5">#REF!</definedName>
    <definedName name="PVC_FLEXIBLE_PIPE" localSheetId="0">#REF!</definedName>
    <definedName name="PVC_FLEXIBLE_PIPE">#REF!</definedName>
    <definedName name="PVC_PIPE" localSheetId="4">#REF!</definedName>
    <definedName name="PVC_PIPE" localSheetId="5">#REF!</definedName>
    <definedName name="PVC_PIPE" localSheetId="0">#REF!</definedName>
    <definedName name="PVC_PIPE">#REF!</definedName>
    <definedName name="pw" localSheetId="0">#REF!</definedName>
    <definedName name="pw">#REF!</definedName>
    <definedName name="PWR_BLK_TRAY" localSheetId="4">#REF!</definedName>
    <definedName name="PWR_BLK_TRAY" localSheetId="5">#REF!</definedName>
    <definedName name="PWR_BLK_TRAY" localSheetId="0">#REF!</definedName>
    <definedName name="PWR_BLK_TRAY">#REF!</definedName>
    <definedName name="Pyczids" localSheetId="4" hidden="1">#REF!</definedName>
    <definedName name="Pyczids" localSheetId="5" hidden="1">#REF!</definedName>
    <definedName name="Pyczids" localSheetId="0" hidden="1">#REF!</definedName>
    <definedName name="Pyczids" hidden="1">#REF!</definedName>
    <definedName name="pz" localSheetId="4">#REF!</definedName>
    <definedName name="pz" localSheetId="5">#REF!</definedName>
    <definedName name="pz" localSheetId="0">#REF!</definedName>
    <definedName name="pz">#REF!</definedName>
    <definedName name="q" localSheetId="4">#REF!</definedName>
    <definedName name="q" localSheetId="5">#REF!</definedName>
    <definedName name="q" localSheetId="0">#REF!</definedName>
    <definedName name="q">#REF!</definedName>
    <definedName name="qa_graph" localSheetId="0">#REF!</definedName>
    <definedName name="qa_graph">#REF!</definedName>
    <definedName name="qa_schedule" localSheetId="0">#REF!</definedName>
    <definedName name="qa_schedule">#REF!</definedName>
    <definedName name="qar" localSheetId="0">#REF!</definedName>
    <definedName name="qar">#REF!</definedName>
    <definedName name="QQ" localSheetId="4">#REF!</definedName>
    <definedName name="QQ" localSheetId="5">#REF!</definedName>
    <definedName name="QQ" localSheetId="0">#REF!</definedName>
    <definedName name="QQ">#REF!</definedName>
    <definedName name="qq_2" localSheetId="0">#REF!</definedName>
    <definedName name="qq_2">#REF!</definedName>
    <definedName name="QQQ" localSheetId="4">#REF!</definedName>
    <definedName name="QQQ" localSheetId="5">#REF!</definedName>
    <definedName name="QQQ" localSheetId="0">#REF!</definedName>
    <definedName name="QQQ">#REF!</definedName>
    <definedName name="QQQQ" localSheetId="0">#REF!</definedName>
    <definedName name="QQQQ">#REF!</definedName>
    <definedName name="qqqqq" localSheetId="4">#REF!</definedName>
    <definedName name="qqqqq" localSheetId="5">#REF!</definedName>
    <definedName name="qqqqq" localSheetId="0">#REF!</definedName>
    <definedName name="qqqqq">#REF!</definedName>
    <definedName name="qqqqqqq" localSheetId="4">#REF!</definedName>
    <definedName name="qqqqqqq" localSheetId="5">#REF!</definedName>
    <definedName name="qqqqqqq" localSheetId="0">#REF!</definedName>
    <definedName name="qqqqqqq">#REF!</definedName>
    <definedName name="QR." localSheetId="4">#REF!</definedName>
    <definedName name="QR." localSheetId="5">#REF!</definedName>
    <definedName name="QR." localSheetId="0">#REF!</definedName>
    <definedName name="QR.">#REF!</definedName>
    <definedName name="QTY">#N/A</definedName>
    <definedName name="Qty_Cntl_Valves" localSheetId="4">ROUND(IF(VLOOKUP(#REF!,'Costo Directo'!CNTL_VALVE_PRICE,9,FALSE)=0,0,VLOOKUP(#REF!,'Costo Directo'!CNTL_VALVE_PRICE,9,FALSE)),0)</definedName>
    <definedName name="Qty_Cntl_Valves" localSheetId="6">ROUND(IF(VLOOKUP(#REF!,CNTL_VALVE_PRICE,9,FALSE)=0,0,VLOOKUP(#REF!,CNTL_VALVE_PRICE,9,FALSE)),0)</definedName>
    <definedName name="Qty_Cntl_Valves" localSheetId="5">ROUND(IF(VLOOKUP(#REF!,CNTL_VALVE_PRICE,9,FALSE)=0,0,VLOOKUP(#REF!,CNTL_VALVE_PRICE,9,FALSE)),0)</definedName>
    <definedName name="Qty_Cntl_Valves" localSheetId="0">ROUND(IF(VLOOKUP(#REF!,'Resumen Ejecutivo'!CNTL_VALVE_PRICE,9,FALSE)=0,0,VLOOKUP(#REF!,'Resumen Ejecutivo'!CNTL_VALVE_PRICE,9,FALSE)),0)</definedName>
    <definedName name="Qty_Cntl_Valves">ROUND(IF(VLOOKUP(#REF!,CNTL_VALVE_PRICE,9,FALSE)=0,0,VLOOKUP(#REF!,CNTL_VALVE_PRICE,9,FALSE)),0)</definedName>
    <definedName name="QTY_DISC_MV" localSheetId="4">#REF!</definedName>
    <definedName name="QTY_DISC_MV" localSheetId="5">#REF!</definedName>
    <definedName name="QTY_DISC_MV" localSheetId="0">#REF!</definedName>
    <definedName name="QTY_DISC_MV">#REF!</definedName>
    <definedName name="QTY_HED_PRN" localSheetId="4">#REF!</definedName>
    <definedName name="QTY_HED_PRN" localSheetId="5">#REF!</definedName>
    <definedName name="QTY_HED_PRN" localSheetId="0">#REF!</definedName>
    <definedName name="QTY_HED_PRN">#REF!</definedName>
    <definedName name="QTY_PRN" localSheetId="4">#REF!</definedName>
    <definedName name="QTY_PRN" localSheetId="0">#REF!</definedName>
    <definedName name="QTY_PRN">#REF!</definedName>
    <definedName name="Quadri" localSheetId="4">#REF!</definedName>
    <definedName name="Quadri" localSheetId="0">#REF!</definedName>
    <definedName name="Quadri">#REF!</definedName>
    <definedName name="Quadri1997" localSheetId="0">#REF!</definedName>
    <definedName name="Quadri1997">#REF!</definedName>
    <definedName name="QUANTITIES" localSheetId="4">#REF!</definedName>
    <definedName name="QUANTITIES" localSheetId="5">#REF!</definedName>
    <definedName name="QUANTITIES" localSheetId="0">#REF!</definedName>
    <definedName name="QUANTITIES">#REF!</definedName>
    <definedName name="QUANTITIES_T" localSheetId="4">#REF!</definedName>
    <definedName name="QUANTITIES_T" localSheetId="5">#REF!</definedName>
    <definedName name="QUANTITIES_T" localSheetId="0">#REF!</definedName>
    <definedName name="QUANTITIES_T">#REF!</definedName>
    <definedName name="QUANTITY" localSheetId="0">#REF!,#REF!,#REF!,#REF!,#REF!,#REF!,#REF!</definedName>
    <definedName name="QUANTITY">#REF!,#REF!,#REF!,#REF!,#REF!,#REF!,#REF!</definedName>
    <definedName name="Quotation" localSheetId="0">#REF!</definedName>
    <definedName name="Quotation">#REF!</definedName>
    <definedName name="qwa"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a"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qwerty" localSheetId="4">#REF!</definedName>
    <definedName name="qwerty" localSheetId="5">#REF!</definedName>
    <definedName name="qwerty" localSheetId="0">#REF!</definedName>
    <definedName name="qwerty">#REF!</definedName>
    <definedName name="QWQ" localSheetId="4">#REF!</definedName>
    <definedName name="QWQ" localSheetId="5">#REF!</definedName>
    <definedName name="QWQ" localSheetId="0">#REF!</definedName>
    <definedName name="QWQ">#REF!</definedName>
    <definedName name="qww" localSheetId="4">#REF!</definedName>
    <definedName name="qww" localSheetId="5">#REF!</definedName>
    <definedName name="qww" localSheetId="0">#REF!</definedName>
    <definedName name="qww">#REF!</definedName>
    <definedName name="qx" localSheetId="4" hidden="1">{#N/A,#N/A,FALSE,"masez (10)";#N/A,#N/A,FALSE,"masez (7)";#N/A,#N/A,FALSE,"masez (6)";#N/A,#N/A,FALSE,"masez (5)";#N/A,#N/A,FALSE,"masez (4)";#N/A,#N/A,FALSE,"masez (3)";#N/A,#N/A,FALSE,"masez (2)";#N/A,#N/A,FALSE,"GME";#N/A,#N/A,FALSE,"masez"}</definedName>
    <definedName name="qx" localSheetId="5" hidden="1">{#N/A,#N/A,FALSE,"masez (10)";#N/A,#N/A,FALSE,"masez (7)";#N/A,#N/A,FALSE,"masez (6)";#N/A,#N/A,FALSE,"masez (5)";#N/A,#N/A,FALSE,"masez (4)";#N/A,#N/A,FALSE,"masez (3)";#N/A,#N/A,FALSE,"masez (2)";#N/A,#N/A,FALSE,"GME";#N/A,#N/A,FALSE,"masez"}</definedName>
    <definedName name="qx" localSheetId="0" hidden="1">{#N/A,#N/A,FALSE,"masez (10)";#N/A,#N/A,FALSE,"masez (7)";#N/A,#N/A,FALSE,"masez (6)";#N/A,#N/A,FALSE,"masez (5)";#N/A,#N/A,FALSE,"masez (4)";#N/A,#N/A,FALSE,"masez (3)";#N/A,#N/A,FALSE,"masez (2)";#N/A,#N/A,FALSE,"GME";#N/A,#N/A,FALSE,"masez"}</definedName>
    <definedName name="qx" hidden="1">{#N/A,#N/A,FALSE,"masez (10)";#N/A,#N/A,FALSE,"masez (7)";#N/A,#N/A,FALSE,"masez (6)";#N/A,#N/A,FALSE,"masez (5)";#N/A,#N/A,FALSE,"masez (4)";#N/A,#N/A,FALSE,"masez (3)";#N/A,#N/A,FALSE,"masez (2)";#N/A,#N/A,FALSE,"GME";#N/A,#N/A,FALSE,"masez"}</definedName>
    <definedName name="r___0" localSheetId="4">#REF!</definedName>
    <definedName name="r___0" localSheetId="5">#REF!</definedName>
    <definedName name="r___0" localSheetId="0">#REF!</definedName>
    <definedName name="r___0">#REF!</definedName>
    <definedName name="R_DATA" localSheetId="4">#REF!</definedName>
    <definedName name="R_DATA" localSheetId="5">#REF!</definedName>
    <definedName name="R_DATA" localSheetId="0">#REF!</definedName>
    <definedName name="R_DATA">#REF!</definedName>
    <definedName name="R_Vol_Br_Cult1" localSheetId="0">#REF!</definedName>
    <definedName name="R_Vol_Br_Cult1">#REF!</definedName>
    <definedName name="R_Vol_Br_Cult1_SP" localSheetId="0">#REF!</definedName>
    <definedName name="R_Vol_Br_Cult1_SP">#REF!</definedName>
    <definedName name="R_Vol_Br_Cult2" localSheetId="0">#REF!</definedName>
    <definedName name="R_Vol_Br_Cult2">#REF!</definedName>
    <definedName name="R_Vol_Br_Cult2_SP" localSheetId="0">#REF!</definedName>
    <definedName name="R_Vol_Br_Cult2_SP">#REF!</definedName>
    <definedName name="R_Vol_Br_Cult3" localSheetId="0">#REF!</definedName>
    <definedName name="R_Vol_Br_Cult3">#REF!</definedName>
    <definedName name="R_Vol_Br_Cult3_SP" localSheetId="0">#REF!</definedName>
    <definedName name="R_Vol_Br_Cult3_SP">#REF!</definedName>
    <definedName name="R_Vol_Br_Cult4" localSheetId="4">#REF!</definedName>
    <definedName name="R_Vol_Br_Cult4" localSheetId="5">#REF!</definedName>
    <definedName name="R_Vol_Br_Cult4" localSheetId="0">#REF!</definedName>
    <definedName name="R_Vol_Br_Cult4">#REF!</definedName>
    <definedName name="R_Vol_Br_Cult4_SP" localSheetId="4">#REF!</definedName>
    <definedName name="R_Vol_Br_Cult4_SP" localSheetId="5">#REF!</definedName>
    <definedName name="R_Vol_Br_Cult4_SP" localSheetId="0">#REF!</definedName>
    <definedName name="R_Vol_Br_Cult4_SP">#REF!</definedName>
    <definedName name="R_Vol_Br_Cult5" localSheetId="0">#REF!</definedName>
    <definedName name="R_Vol_Br_Cult5">#REF!</definedName>
    <definedName name="R_Vol_Br_Cult5_SP" localSheetId="0">#REF!</definedName>
    <definedName name="R_Vol_Br_Cult5_SP">#REF!</definedName>
    <definedName name="R_Vol_Nt_Cult1" localSheetId="0">#REF!</definedName>
    <definedName name="R_Vol_Nt_Cult1">#REF!</definedName>
    <definedName name="R_Vol_Nt_Cult1_SP" localSheetId="0">#REF!</definedName>
    <definedName name="R_Vol_Nt_Cult1_SP">#REF!</definedName>
    <definedName name="R_Vol_Nt_Cult2" localSheetId="0">#REF!</definedName>
    <definedName name="R_Vol_Nt_Cult2">#REF!</definedName>
    <definedName name="R_Vol_Nt_Cult2_SP" localSheetId="0">#REF!</definedName>
    <definedName name="R_Vol_Nt_Cult2_SP">#REF!</definedName>
    <definedName name="R_Vol_Nt_Cult3" localSheetId="0">#REF!</definedName>
    <definedName name="R_Vol_Nt_Cult3">#REF!</definedName>
    <definedName name="R_Vol_Nt_Cult3_SP" localSheetId="0">#REF!</definedName>
    <definedName name="R_Vol_Nt_Cult3_SP">#REF!</definedName>
    <definedName name="R_Vol_Nt_Cult4" localSheetId="4">#REF!</definedName>
    <definedName name="R_Vol_Nt_Cult4" localSheetId="5">#REF!</definedName>
    <definedName name="R_Vol_Nt_Cult4" localSheetId="0">#REF!</definedName>
    <definedName name="R_Vol_Nt_Cult4">#REF!</definedName>
    <definedName name="R_Vol_Nt_Cult4_SP" localSheetId="4">#REF!</definedName>
    <definedName name="R_Vol_Nt_Cult4_SP" localSheetId="5">#REF!</definedName>
    <definedName name="R_Vol_Nt_Cult4_SP" localSheetId="0">#REF!</definedName>
    <definedName name="R_Vol_Nt_Cult4_SP">#REF!</definedName>
    <definedName name="R_Vol_Nt_Cult5" localSheetId="0">#REF!</definedName>
    <definedName name="R_Vol_Nt_Cult5">#REF!</definedName>
    <definedName name="R_Vol_Nt_Cult5_SP" localSheetId="0">#REF!</definedName>
    <definedName name="R_Vol_Nt_Cult5_SP">#REF!</definedName>
    <definedName name="r_zie_dop" localSheetId="4">#REF!</definedName>
    <definedName name="r_zie_dop" localSheetId="5">#REF!</definedName>
    <definedName name="r_zie_dop" localSheetId="0">#REF!</definedName>
    <definedName name="r_zie_dop">#REF!</definedName>
    <definedName name="r_zie_m" localSheetId="4">#REF!</definedName>
    <definedName name="r_zie_m" localSheetId="5">#REF!</definedName>
    <definedName name="r_zie_m" localSheetId="0">#REF!</definedName>
    <definedName name="r_zie_m">#REF!</definedName>
    <definedName name="r_zie_r" localSheetId="4">#REF!</definedName>
    <definedName name="r_zie_r" localSheetId="5">#REF!</definedName>
    <definedName name="r_zie_r" localSheetId="0">#REF!</definedName>
    <definedName name="r_zie_r">#REF!</definedName>
    <definedName name="RA" localSheetId="4">#REF!</definedName>
    <definedName name="RA" localSheetId="5">#REF!</definedName>
    <definedName name="RA" localSheetId="0">#REF!</definedName>
    <definedName name="RA">#REF!</definedName>
    <definedName name="RACH_KOSZTY_SPRZEDAŻY" localSheetId="4">#REF!</definedName>
    <definedName name="RACH_KOSZTY_SPRZEDAŻY" localSheetId="5">#REF!</definedName>
    <definedName name="RACH_KOSZTY_SPRZEDAŻY" localSheetId="0">#REF!</definedName>
    <definedName name="RACH_KOSZTY_SPRZEDAŻY">#REF!</definedName>
    <definedName name="RACH_KOSZTY_ZARZĄDU" localSheetId="4">#REF!</definedName>
    <definedName name="RACH_KOSZTY_ZARZĄDU" localSheetId="5">#REF!</definedName>
    <definedName name="RACH_KOSZTY_ZARZĄDU" localSheetId="0">#REF!</definedName>
    <definedName name="RACH_KOSZTY_ZARZĄDU">#REF!</definedName>
    <definedName name="rach_zysk" localSheetId="4">#REF!</definedName>
    <definedName name="rach_zysk" localSheetId="5">#REF!</definedName>
    <definedName name="rach_zysk" localSheetId="0">#REF!</definedName>
    <definedName name="rach_zysk">#REF!</definedName>
    <definedName name="radar">60000</definedName>
    <definedName name="RAMON" localSheetId="4">#REF!</definedName>
    <definedName name="RAMON" localSheetId="5">#REF!</definedName>
    <definedName name="RAMON" localSheetId="0">#REF!</definedName>
    <definedName name="RAMON">#REF!</definedName>
    <definedName name="RanCon" localSheetId="4">#REF!</definedName>
    <definedName name="RanCon" localSheetId="5">#REF!</definedName>
    <definedName name="RanCon" localSheetId="0">#REF!</definedName>
    <definedName name="RanCon">#REF!</definedName>
    <definedName name="RanFac" localSheetId="4">#REF!</definedName>
    <definedName name="RanFac" localSheetId="5">#REF!</definedName>
    <definedName name="RanFac" localSheetId="0">#REF!</definedName>
    <definedName name="RanFac">#REF!</definedName>
    <definedName name="RANGE1" localSheetId="4">#REF!</definedName>
    <definedName name="RANGE1" localSheetId="5">#REF!</definedName>
    <definedName name="RANGE1" localSheetId="0">#REF!</definedName>
    <definedName name="RANGE1">#REF!</definedName>
    <definedName name="RanTot" localSheetId="4">#REF!</definedName>
    <definedName name="RanTot" localSheetId="0">#REF!</definedName>
    <definedName name="RanTot">#REF!</definedName>
    <definedName name="RAPS" localSheetId="4">#REF!</definedName>
    <definedName name="RAPS" localSheetId="5">#REF!</definedName>
    <definedName name="RAPS" localSheetId="0">#REF!</definedName>
    <definedName name="RAPS">#REF!</definedName>
    <definedName name="RATES" localSheetId="0">#REF!</definedName>
    <definedName name="RATES">#REF!</definedName>
    <definedName name="RATIO" localSheetId="4">#REF!</definedName>
    <definedName name="RATIO" localSheetId="5">#REF!</definedName>
    <definedName name="RATIO" localSheetId="0">#REF!</definedName>
    <definedName name="RATIO">#REF!</definedName>
    <definedName name="Razem" localSheetId="4">#REF!</definedName>
    <definedName name="Razem" localSheetId="5">#REF!</definedName>
    <definedName name="Razem" localSheetId="0">#REF!</definedName>
    <definedName name="Razem">#REF!</definedName>
    <definedName name="RAZEM_BUDŻET">"$#ODWOŁANIE!.$G$407"</definedName>
    <definedName name="RAZEM_WARTOŚĆ_OFERTY">"$#ODWOŁANIE!.$G$419"</definedName>
    <definedName name="razonsocial" localSheetId="4">#REF!</definedName>
    <definedName name="razonsocial" localSheetId="5">#REF!</definedName>
    <definedName name="razonsocial" localSheetId="0">#REF!</definedName>
    <definedName name="razonsocial">#REF!</definedName>
    <definedName name="rb" localSheetId="0">#REF!</definedName>
    <definedName name="rb">#REF!</definedName>
    <definedName name="Rc_Costs" localSheetId="4">#REF!</definedName>
    <definedName name="Rc_Costs" localSheetId="5">#REF!</definedName>
    <definedName name="Rc_Costs" localSheetId="0">#REF!</definedName>
    <definedName name="Rc_Costs">#REF!</definedName>
    <definedName name="RC_Mhrs" localSheetId="4">#REF!</definedName>
    <definedName name="RC_Mhrs" localSheetId="5">#REF!</definedName>
    <definedName name="RC_Mhrs" localSheetId="0">#REF!</definedName>
    <definedName name="RC_Mhrs">#REF!</definedName>
    <definedName name="RCD" localSheetId="4">#REF!</definedName>
    <definedName name="RCD" localSheetId="5">#REF!</definedName>
    <definedName name="RCD" localSheetId="0">#REF!</definedName>
    <definedName name="RCD">#REF!</definedName>
    <definedName name="rClient" localSheetId="0">#REF!</definedName>
    <definedName name="rClient">#REF!</definedName>
    <definedName name="RCS" localSheetId="4">#REF!</definedName>
    <definedName name="RCS" localSheetId="5">#REF!</definedName>
    <definedName name="RCS" localSheetId="0">#REF!</definedName>
    <definedName name="RCS">#REF!</definedName>
    <definedName name="RD" localSheetId="4">#REF!</definedName>
    <definedName name="RD" localSheetId="5">#REF!</definedName>
    <definedName name="RD" localSheetId="0">#REF!</definedName>
    <definedName name="RD">#REF!</definedName>
    <definedName name="rDate" localSheetId="0">#REF!</definedName>
    <definedName name="rDate">#REF!</definedName>
    <definedName name="rDesc" localSheetId="0">#REF!</definedName>
    <definedName name="rDesc">#REF!</definedName>
    <definedName name="RDOFIN20121TP" localSheetId="4">#REF!</definedName>
    <definedName name="RDOFIN20121TP" localSheetId="5">#REF!</definedName>
    <definedName name="RDOFIN20121TP" localSheetId="0">#REF!</definedName>
    <definedName name="RDOFIN20121TP">#REF!</definedName>
    <definedName name="RDOFIN20121TR" localSheetId="4">#REF!</definedName>
    <definedName name="RDOFIN20121TR" localSheetId="5">#REF!</definedName>
    <definedName name="RDOFIN20121TR" localSheetId="0">#REF!</definedName>
    <definedName name="RDOFIN20121TR">#REF!</definedName>
    <definedName name="RDOFIN2012V0" localSheetId="4">#REF!</definedName>
    <definedName name="RDOFIN2012V0" localSheetId="5">#REF!</definedName>
    <definedName name="RDOFIN2012V0" localSheetId="0">#REF!</definedName>
    <definedName name="RDOFIN2012V0">#REF!</definedName>
    <definedName name="RDOFIN2012V1" localSheetId="4">#REF!</definedName>
    <definedName name="RDOFIN2012V1" localSheetId="0">#REF!</definedName>
    <definedName name="RDOFIN2012V1">#REF!</definedName>
    <definedName name="RDOFIN2012V1NC" localSheetId="4">#REF!</definedName>
    <definedName name="RDOFIN2012V1NC" localSheetId="0">#REF!</definedName>
    <definedName name="RDOFIN2012V1NC">#REF!</definedName>
    <definedName name="RDOFIN2012V1OC" localSheetId="4">#REF!</definedName>
    <definedName name="RDOFIN2012V1OC" localSheetId="0">#REF!</definedName>
    <definedName name="RDOFIN2012V1OC">#REF!</definedName>
    <definedName name="RDOFINEC2011" localSheetId="0">#REF!</definedName>
    <definedName name="RDOFINEC2011">#REF!</definedName>
    <definedName name="RDOFINV02011" localSheetId="0">#REF!</definedName>
    <definedName name="RDOFINV02011">#REF!</definedName>
    <definedName name="RDTO1" localSheetId="4">#REF!</definedName>
    <definedName name="RDTO1" localSheetId="5">#REF!</definedName>
    <definedName name="RDTO1" localSheetId="0">#REF!</definedName>
    <definedName name="RDTO1">#REF!</definedName>
    <definedName name="RDTO2" localSheetId="4">#REF!</definedName>
    <definedName name="RDTO2" localSheetId="5">#REF!</definedName>
    <definedName name="RDTO2" localSheetId="0">#REF!</definedName>
    <definedName name="RDTO2">#REF!</definedName>
    <definedName name="RE_SIZE" localSheetId="4">#REF!</definedName>
    <definedName name="RE_SIZE" localSheetId="5">#REF!</definedName>
    <definedName name="RE_SIZE" localSheetId="0">#REF!</definedName>
    <definedName name="RE_SIZE">#REF!</definedName>
    <definedName name="REAL" localSheetId="4">#REF!</definedName>
    <definedName name="real" localSheetId="0">#REF!</definedName>
    <definedName name="real">#REF!</definedName>
    <definedName name="REAL_8000" localSheetId="4">#REF!</definedName>
    <definedName name="REAL_8000" localSheetId="0">#REF!</definedName>
    <definedName name="REAL_8000">#REF!</definedName>
    <definedName name="REAL_9000" localSheetId="4">#REF!</definedName>
    <definedName name="REAL_9000" localSheetId="0">#REF!</definedName>
    <definedName name="REAL_9000">#REF!</definedName>
    <definedName name="REAL8000" localSheetId="4">#REF!</definedName>
    <definedName name="REAL8000" localSheetId="0">#REF!</definedName>
    <definedName name="REAL8000">#REF!</definedName>
    <definedName name="RebarQty" localSheetId="4">IF('Costo Directo'!BASE=1,(#REF!*#REF!)/2000,(#REF!*#REF!)/1685.552931)</definedName>
    <definedName name="RebarQty" localSheetId="6">IF(BASE=1,(#REF!*#REF!)/2000,(#REF!*#REF!)/1685.552931)</definedName>
    <definedName name="RebarQty" localSheetId="5">IF(BASE=1,(#REF!*#REF!)/2000,(#REF!*#REF!)/1685.552931)</definedName>
    <definedName name="RebarQty" localSheetId="0">IF('Resumen Ejecutivo'!BASE=1,(#REF!*#REF!)/2000,(#REF!*#REF!)/1685.552931)</definedName>
    <definedName name="RebarQty">IF(BASE=1,(#REF!*#REF!)/2000,(#REF!*#REF!)/1685.552931)</definedName>
    <definedName name="RebarQty1" localSheetId="4">IF('Costo Directo'!BASE=1,(#REF!*#REF!)/2000,(#REF!*#REF!)/1685.552931)</definedName>
    <definedName name="RebarQty1" localSheetId="6">IF(BASE=1,(#REF!*#REF!)/2000,(#REF!*#REF!)/1685.552931)</definedName>
    <definedName name="RebarQty1" localSheetId="5">IF(BASE=1,(#REF!*#REF!)/2000,(#REF!*#REF!)/1685.552931)</definedName>
    <definedName name="RebarQty1" localSheetId="0">IF('Resumen Ejecutivo'!BASE=1,(#REF!*#REF!)/2000,(#REF!*#REF!)/1685.552931)</definedName>
    <definedName name="RebarQty1">IF(BASE=1,(#REF!*#REF!)/2000,(#REF!*#REF!)/1685.552931)</definedName>
    <definedName name="RECAL">#N/A</definedName>
    <definedName name="RECEPT" localSheetId="4">#REF!</definedName>
    <definedName name="RECEPT" localSheetId="6">#REF!</definedName>
    <definedName name="RECEPT" localSheetId="5">#REF!</definedName>
    <definedName name="RECEPT" localSheetId="0">#REF!</definedName>
    <definedName name="RECEPT">#REF!</definedName>
    <definedName name="RECYC10A" localSheetId="4">#REF!</definedName>
    <definedName name="RECYC10A" localSheetId="5">#REF!</definedName>
    <definedName name="RECYC10A" localSheetId="0">#REF!</definedName>
    <definedName name="RECYC10A">#REF!</definedName>
    <definedName name="RECYC1A" localSheetId="4">#REF!</definedName>
    <definedName name="RECYC1A" localSheetId="5">#REF!</definedName>
    <definedName name="RECYC1A" localSheetId="0">#REF!</definedName>
    <definedName name="RECYC1A">#REF!</definedName>
    <definedName name="RECYC1B" localSheetId="4">#REF!</definedName>
    <definedName name="RECYC1B" localSheetId="0">#REF!</definedName>
    <definedName name="RECYC1B">#REF!</definedName>
    <definedName name="RECYC2A" localSheetId="4">#REF!</definedName>
    <definedName name="RECYC2A" localSheetId="0">#REF!</definedName>
    <definedName name="RECYC2A">#REF!</definedName>
    <definedName name="RECYC3A" localSheetId="4">#REF!</definedName>
    <definedName name="RECYC3A" localSheetId="0">#REF!</definedName>
    <definedName name="RECYC3A">#REF!</definedName>
    <definedName name="RECYC4A" localSheetId="4">#REF!</definedName>
    <definedName name="RECYC4A" localSheetId="0">#REF!</definedName>
    <definedName name="RECYC4A">#REF!</definedName>
    <definedName name="RECYC5A" localSheetId="4">#REF!</definedName>
    <definedName name="RECYC5A" localSheetId="0">#REF!</definedName>
    <definedName name="RECYC5A">#REF!</definedName>
    <definedName name="RECYC6A" localSheetId="4">#REF!</definedName>
    <definedName name="RECYC6A" localSheetId="0">#REF!</definedName>
    <definedName name="RECYC6A">#REF!</definedName>
    <definedName name="RECYC7A" localSheetId="4">#REF!</definedName>
    <definedName name="RECYC7A" localSheetId="0">#REF!</definedName>
    <definedName name="RECYC7A">#REF!</definedName>
    <definedName name="RECYC8A" localSheetId="4">#REF!</definedName>
    <definedName name="RECYC8A" localSheetId="0">#REF!</definedName>
    <definedName name="RECYC8A">#REF!</definedName>
    <definedName name="RECYC9A" localSheetId="4">#REF!</definedName>
    <definedName name="RECYC9A" localSheetId="0">#REF!</definedName>
    <definedName name="RECYC9A">#REF!</definedName>
    <definedName name="RED" localSheetId="4">#REF!</definedName>
    <definedName name="RED" localSheetId="6">#REF!</definedName>
    <definedName name="RED" localSheetId="0">#REF!</definedName>
    <definedName name="RED">#REF!</definedName>
    <definedName name="referencias" localSheetId="4">#REF!</definedName>
    <definedName name="referencias" localSheetId="5">#REF!</definedName>
    <definedName name="referencias" localSheetId="0">#REF!</definedName>
    <definedName name="referencias">#REF!</definedName>
    <definedName name="RefMWeGross" localSheetId="4">#REF!</definedName>
    <definedName name="RefMWeGross" localSheetId="6">#REF!</definedName>
    <definedName name="RefMWeGross" localSheetId="5">#REF!</definedName>
    <definedName name="RefMWeGross" localSheetId="0">#REF!</definedName>
    <definedName name="RefMWeGross">#REF!</definedName>
    <definedName name="RefPlant" localSheetId="4">#REF!</definedName>
    <definedName name="RefPlant" localSheetId="5">#REF!</definedName>
    <definedName name="RefPlant" localSheetId="0">#REF!</definedName>
    <definedName name="RefPlant">#REF!</definedName>
    <definedName name="RefPlantBasis" localSheetId="4">#REF!</definedName>
    <definedName name="RefPlantBasis" localSheetId="5">#REF!</definedName>
    <definedName name="RefPlantBasis" localSheetId="0">#REF!</definedName>
    <definedName name="RefPlantBasis">#REF!</definedName>
    <definedName name="RefPlantDate" localSheetId="4">#REF!</definedName>
    <definedName name="RefPlantDate" localSheetId="0">#REF!</definedName>
    <definedName name="RefPlantDate">#REF!</definedName>
    <definedName name="RefPlantPPH" localSheetId="4">#REF!</definedName>
    <definedName name="RefPlantPPH" localSheetId="0">#REF!</definedName>
    <definedName name="RefPlantPPH">#REF!</definedName>
    <definedName name="region" localSheetId="4">#REF!</definedName>
    <definedName name="region" localSheetId="0">#REF!</definedName>
    <definedName name="region">#REF!</definedName>
    <definedName name="reimb" localSheetId="4">#REF!</definedName>
    <definedName name="reimb" localSheetId="5">#REF!</definedName>
    <definedName name="reimb" localSheetId="0">#REF!</definedName>
    <definedName name="reimb">#REF!</definedName>
    <definedName name="Reimbursement">"Zwroty"</definedName>
    <definedName name="Relacióndescompuestos" localSheetId="4">#REF!</definedName>
    <definedName name="Relacióndescompuestos" localSheetId="5">#REF!</definedName>
    <definedName name="Relacióndescompuestos" localSheetId="0">#REF!</definedName>
    <definedName name="Relacióndescompuestos">#REF!</definedName>
    <definedName name="Relaciónpedidos" localSheetId="4">#REF!</definedName>
    <definedName name="Relaciónpedidos" localSheetId="5">#REF!</definedName>
    <definedName name="Relaciónpedidos" localSheetId="0">#REF!</definedName>
    <definedName name="Relaciónpedidos">#REF!</definedName>
    <definedName name="Relocation_Allowance" localSheetId="0">#REF!</definedName>
    <definedName name="Relocation_Allowance">#REF!</definedName>
    <definedName name="remateprimeramoneda" localSheetId="4">#REF!</definedName>
    <definedName name="remateprimeramoneda" localSheetId="5">#REF!</definedName>
    <definedName name="remateprimeramoneda" localSheetId="0">#REF!</definedName>
    <definedName name="remateprimeramoneda">#REF!</definedName>
    <definedName name="rematesegundamoneda" localSheetId="4">#REF!</definedName>
    <definedName name="rematesegundamoneda" localSheetId="5">#REF!</definedName>
    <definedName name="rematesegundamoneda" localSheetId="0">#REF!</definedName>
    <definedName name="rematesegundamoneda">#REF!</definedName>
    <definedName name="REMONT">3000/2</definedName>
    <definedName name="rendimientos" localSheetId="4" hidden="1">{#N/A,#N/A,FALSE,"presup.";#N/A,#N/A,FALSE,"respav";#N/A,#N/A,FALSE,"reseñal";#N/A,#N/A,FALSE,"roturado";#N/A,#N/A,FALSE,"Mej base";#N/A,#N/A,FALSE,"cemportl";#N/A,#N/A,FALSE,"ligacarpeta";#N/A,#N/A,FALSE,"carpeta";#N/A,#N/A,FALSE,"liga open g.";#N/A,#N/A,FALSE,"open graded";#N/A,#N/A,FALSE,"vialetas";#N/A,#N/A,FALSE,"raya amarill";#N/A,#N/A,FALSE,"raya blanca"}</definedName>
    <definedName name="rendimientos" localSheetId="5" hidden="1">{#N/A,#N/A,FALSE,"presup.";#N/A,#N/A,FALSE,"respav";#N/A,#N/A,FALSE,"reseñal";#N/A,#N/A,FALSE,"roturado";#N/A,#N/A,FALSE,"Mej base";#N/A,#N/A,FALSE,"cemportl";#N/A,#N/A,FALSE,"ligacarpeta";#N/A,#N/A,FALSE,"carpeta";#N/A,#N/A,FALSE,"liga open g.";#N/A,#N/A,FALSE,"open graded";#N/A,#N/A,FALSE,"vialetas";#N/A,#N/A,FALSE,"raya amarill";#N/A,#N/A,FALSE,"raya blanca"}</definedName>
    <definedName name="rendimientos" localSheetId="0" hidden="1">{#N/A,#N/A,FALSE,"presup.";#N/A,#N/A,FALSE,"respav";#N/A,#N/A,FALSE,"reseñal";#N/A,#N/A,FALSE,"roturado";#N/A,#N/A,FALSE,"Mej base";#N/A,#N/A,FALSE,"cemportl";#N/A,#N/A,FALSE,"ligacarpeta";#N/A,#N/A,FALSE,"carpeta";#N/A,#N/A,FALSE,"liga open g.";#N/A,#N/A,FALSE,"open graded";#N/A,#N/A,FALSE,"vialetas";#N/A,#N/A,FALSE,"raya amarill";#N/A,#N/A,FALSE,"raya blanca"}</definedName>
    <definedName name="rendimientos" hidden="1">{#N/A,#N/A,FALSE,"presup.";#N/A,#N/A,FALSE,"respav";#N/A,#N/A,FALSE,"reseñal";#N/A,#N/A,FALSE,"roturado";#N/A,#N/A,FALSE,"Mej base";#N/A,#N/A,FALSE,"cemportl";#N/A,#N/A,FALSE,"ligacarpeta";#N/A,#N/A,FALSE,"carpeta";#N/A,#N/A,FALSE,"liga open g.";#N/A,#N/A,FALSE,"open graded";#N/A,#N/A,FALSE,"vialetas";#N/A,#N/A,FALSE,"raya amarill";#N/A,#N/A,FALSE,"raya blanca"}</definedName>
    <definedName name="Rendto_exc" localSheetId="4">#REF!</definedName>
    <definedName name="Rendto_exc" localSheetId="5">#REF!</definedName>
    <definedName name="Rendto_exc" localSheetId="0">#REF!</definedName>
    <definedName name="Rendto_exc">#REF!</definedName>
    <definedName name="reper" localSheetId="4">#REF!</definedName>
    <definedName name="reper" localSheetId="5">#REF!</definedName>
    <definedName name="reper" localSheetId="0">#REF!</definedName>
    <definedName name="reper">#REF!</definedName>
    <definedName name="REPERY" localSheetId="4">#REF!</definedName>
    <definedName name="REPERY" localSheetId="5">#REF!</definedName>
    <definedName name="REPERY" localSheetId="0">#REF!</definedName>
    <definedName name="REPERY">#REF!</definedName>
    <definedName name="REPREZENTACJA">1200/12</definedName>
    <definedName name="RES" localSheetId="4">#REF!</definedName>
    <definedName name="RES" localSheetId="5">#REF!</definedName>
    <definedName name="RES" localSheetId="0">#REF!</definedName>
    <definedName name="RES">#REF!</definedName>
    <definedName name="RES_CARG_EQ_PROP" localSheetId="4">#REF!</definedName>
    <definedName name="RES_CARG_EQ_PROP" localSheetId="5">#REF!</definedName>
    <definedName name="RES_CARG_EQ_PROP" localSheetId="0">#REF!</definedName>
    <definedName name="RES_CARG_EQ_PROP">#REF!</definedName>
    <definedName name="ResCambiario" localSheetId="4">#REF!</definedName>
    <definedName name="ResCambiario" localSheetId="5">#REF!</definedName>
    <definedName name="ResCambiario" localSheetId="0">#REF!</definedName>
    <definedName name="ResCambiario">#REF!</definedName>
    <definedName name="ResFinanciero" localSheetId="4">#REF!</definedName>
    <definedName name="ResFinanciero" localSheetId="0">#REF!</definedName>
    <definedName name="ResFinanciero">#REF!</definedName>
    <definedName name="ResMonetario" localSheetId="4">#REF!</definedName>
    <definedName name="ResMonetario" localSheetId="0">#REF!</definedName>
    <definedName name="ResMonetario">#REF!</definedName>
    <definedName name="RESOURCES" localSheetId="0">#REF!</definedName>
    <definedName name="RESOURCES">#REF!</definedName>
    <definedName name="responsable" localSheetId="4">#REF!</definedName>
    <definedName name="responsable" localSheetId="5">#REF!</definedName>
    <definedName name="responsable" localSheetId="0">#REF!</definedName>
    <definedName name="responsable">#REF!</definedName>
    <definedName name="responsabledelaobra" localSheetId="4">#REF!</definedName>
    <definedName name="responsabledelaobra" localSheetId="5">#REF!</definedName>
    <definedName name="responsabledelaobra" localSheetId="0">#REF!</definedName>
    <definedName name="responsabledelaobra">#REF!</definedName>
    <definedName name="ressen">#N/A</definedName>
    <definedName name="rEstimator" localSheetId="0">#REF!</definedName>
    <definedName name="rEstimator">#REF!</definedName>
    <definedName name="Resumen" localSheetId="4">#REF!</definedName>
    <definedName name="Resumen" localSheetId="5">#REF!</definedName>
    <definedName name="Resumen" localSheetId="0">#REF!</definedName>
    <definedName name="Resumen">#REF!</definedName>
    <definedName name="RESUMEN_01" hidden="1">#N/A</definedName>
    <definedName name="REtrVarIMPCFL" localSheetId="0">#REF!</definedName>
    <definedName name="REtrVarIMPCFL">#REF!</definedName>
    <definedName name="REtrVarImpiegati" localSheetId="0">#REF!</definedName>
    <definedName name="REtrVarImpiegati">#REF!</definedName>
    <definedName name="REtrVarOpeCFL" localSheetId="0">#REF!</definedName>
    <definedName name="REtrVarOpeCFL">#REF!</definedName>
    <definedName name="REtrVarOperai" localSheetId="0">#REF!</definedName>
    <definedName name="REtrVarOperai">#REF!</definedName>
    <definedName name="REtrVarQuadri" localSheetId="0">#REF!</definedName>
    <definedName name="REtrVarQuadri">#REF!</definedName>
    <definedName name="Rev" localSheetId="4">#REF!</definedName>
    <definedName name="Rev" localSheetId="5">#REF!</definedName>
    <definedName name="Rev" localSheetId="0">#REF!</definedName>
    <definedName name="Rev">#REF!</definedName>
    <definedName name="Rev_No" localSheetId="4">#REF!</definedName>
    <definedName name="Rev_No" localSheetId="5">#REF!</definedName>
    <definedName name="Rev_No" localSheetId="0">#REF!</definedName>
    <definedName name="Rev_No">#REF!</definedName>
    <definedName name="REVAL">#N/A</definedName>
    <definedName name="revalctas" localSheetId="4">#REF!</definedName>
    <definedName name="revalctas" localSheetId="5">#REF!</definedName>
    <definedName name="revalctas" localSheetId="0">#REF!</definedName>
    <definedName name="revalctas">#REF!</definedName>
    <definedName name="Revalidación" localSheetId="5">#REF!</definedName>
    <definedName name="Revalidación" localSheetId="0">#REF!</definedName>
    <definedName name="Revalidación">#REF!</definedName>
    <definedName name="REVCOLUMNAT" localSheetId="4">#REF!</definedName>
    <definedName name="REVCOLUMNAT" localSheetId="5">#REF!</definedName>
    <definedName name="REVCOLUMNAT" localSheetId="0">#REF!</definedName>
    <definedName name="REVCOLUMNAT">#REF!</definedName>
    <definedName name="RevDate" localSheetId="4">#REF!</definedName>
    <definedName name="RevDate" localSheetId="0">#REF!</definedName>
    <definedName name="RevDate">#REF!</definedName>
    <definedName name="REVFECHA" localSheetId="4">#REF!</definedName>
    <definedName name="REVFECHA" localSheetId="0">#REF!</definedName>
    <definedName name="REVFECHA">#REF!</definedName>
    <definedName name="Revision" localSheetId="4">#REF!</definedName>
    <definedName name="Revision" localSheetId="0">#REF!</definedName>
    <definedName name="Revision">#REF!</definedName>
    <definedName name="RevTable1" localSheetId="4">#REF!</definedName>
    <definedName name="RevTable1" localSheetId="0">#REF!</definedName>
    <definedName name="RevTable1">#REF!</definedName>
    <definedName name="rez" localSheetId="4">_W73K5</definedName>
    <definedName name="rez" localSheetId="6">_W73K5</definedName>
    <definedName name="rez" localSheetId="5">_W73K5</definedName>
    <definedName name="rez" localSheetId="0">_W73K5</definedName>
    <definedName name="rez">_W73K5</definedName>
    <definedName name="rezerwy" localSheetId="4">_W58K5</definedName>
    <definedName name="rezerwy" localSheetId="6">_W58K5</definedName>
    <definedName name="rezerwy" localSheetId="5">_W58K5</definedName>
    <definedName name="rezerwy" localSheetId="0">_W58K5</definedName>
    <definedName name="rezerwy">_W58K5</definedName>
    <definedName name="rfc" localSheetId="4">#REF!</definedName>
    <definedName name="rfc" localSheetId="5">#REF!</definedName>
    <definedName name="rfc" localSheetId="0">#REF!</definedName>
    <definedName name="rfc">#REF!</definedName>
    <definedName name="rfeef" localSheetId="4" hidden="1">#REF!</definedName>
    <definedName name="rfeef" localSheetId="6" hidden="1">#REF!</definedName>
    <definedName name="rfeef" localSheetId="5" hidden="1">#REF!</definedName>
    <definedName name="rfeef" localSheetId="0" hidden="1">#REF!</definedName>
    <definedName name="rfeef" hidden="1">#REF!</definedName>
    <definedName name="rg" localSheetId="4">#REF!</definedName>
    <definedName name="rg" localSheetId="6">#REF!</definedName>
    <definedName name="rg" localSheetId="5">#REF!</definedName>
    <definedName name="rg" localSheetId="0">#REF!</definedName>
    <definedName name="rg">#REF!</definedName>
    <definedName name="rg." localSheetId="4">#REF!</definedName>
    <definedName name="rg." localSheetId="6">#REF!</definedName>
    <definedName name="rg." localSheetId="0">#REF!</definedName>
    <definedName name="rg.">#REF!</definedName>
    <definedName name="rg_1" localSheetId="4">#REF!</definedName>
    <definedName name="rg_1" localSheetId="0">#REF!</definedName>
    <definedName name="rg_1">#REF!</definedName>
    <definedName name="rg_nw" localSheetId="4">#REF!</definedName>
    <definedName name="rg_nw" localSheetId="0">#REF!</definedName>
    <definedName name="rg_nw">#REF!</definedName>
    <definedName name="rg_sz" localSheetId="4">#REF!</definedName>
    <definedName name="rg_sz" localSheetId="0">#REF!</definedName>
    <definedName name="rg_sz">#REF!</definedName>
    <definedName name="rg_w" localSheetId="4">#REF!</definedName>
    <definedName name="rg_w" localSheetId="0">#REF!</definedName>
    <definedName name="rg_w">#REF!</definedName>
    <definedName name="RGP" localSheetId="0">#REF!</definedName>
    <definedName name="RGP">#REF!</definedName>
    <definedName name="RI" localSheetId="4">#REF!</definedName>
    <definedName name="RI" localSheetId="5">#REF!</definedName>
    <definedName name="RI" localSheetId="0">#REF!</definedName>
    <definedName name="RI">#REF!</definedName>
    <definedName name="RIC_LkWh" localSheetId="4">#REF!</definedName>
    <definedName name="RIC_LkWh" localSheetId="5">#REF!</definedName>
    <definedName name="RIC_LkWh" localSheetId="0">#REF!</definedName>
    <definedName name="RIC_LkWh">#REF!</definedName>
    <definedName name="riepilTotale" localSheetId="0">#REF!</definedName>
    <definedName name="riepilTotale">#REF!</definedName>
    <definedName name="RIMA" localSheetId="4">#REF!</definedName>
    <definedName name="RIMA" localSheetId="5">#REF!</definedName>
    <definedName name="RIMA" localSheetId="0">#REF!</definedName>
    <definedName name="RIMA">#REF!</definedName>
    <definedName name="RISK" localSheetId="0">#REF!</definedName>
    <definedName name="RISK">#REF!</definedName>
    <definedName name="RiskAfterRecalcMacro" localSheetId="4" hidden="1">""</definedName>
    <definedName name="RiskAfterRecalcMacro">"FailureLoop"</definedName>
    <definedName name="RiskAfterSimMacro" hidden="1">""</definedName>
    <definedName name="RiskAutoStopPercChange">1.5</definedName>
    <definedName name="RiskBeforeRecalcMacro" hidden="1">""</definedName>
    <definedName name="RiskBeforeSimMacro" localSheetId="4" hidden="1">""</definedName>
    <definedName name="RiskBeforeSimMacro">"Initialise_Model"</definedName>
    <definedName name="RiskCollectDistributionSamples">2</definedName>
    <definedName name="RiskCorrelationSheet" localSheetId="4">#REF!</definedName>
    <definedName name="RiskCorrelationSheet" localSheetId="5">#REF!</definedName>
    <definedName name="RiskCorrelationSheet" localSheetId="0">#REF!</definedName>
    <definedName name="RiskCorrelationSheet">#REF!</definedName>
    <definedName name="RiskExcelReportsGoInNewWorkbook">TRUE</definedName>
    <definedName name="RiskExcelReportsToGenerate">0</definedName>
    <definedName name="RiskFixedSeed">1</definedName>
    <definedName name="RiskGenerateExcelReportsAtEndOfSimulation">FALSE</definedName>
    <definedName name="RiskHasSettings" localSheetId="4" hidden="1">7</definedName>
    <definedName name="RiskHasSettings">TRUE</definedName>
    <definedName name="RiskMinimizeOnStart">FALSE</definedName>
    <definedName name="RiskMonitorConvergence">FALSE</definedName>
    <definedName name="RiskMultipleCPUSupportEnabled" hidden="1">FALSE</definedName>
    <definedName name="RiskNumIterations" localSheetId="4" hidden="1">1000</definedName>
    <definedName name="RiskNumIterations">2000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 localSheetId="4" hidden="1">1</definedName>
    <definedName name="RiskStandardRecalc">0</definedName>
    <definedName name="RiskStatFunctionsUpdateFreq">1</definedName>
    <definedName name="RiskTemplateSheetName">"myTemplate"</definedName>
    <definedName name="RiskUpdateDisplay" localSheetId="4" hidden="1">TRUE</definedName>
    <definedName name="RiskUpdateDisplay">FALSE</definedName>
    <definedName name="RiskUpdateStatFunctions">TRUE</definedName>
    <definedName name="RiskUseDifferentSeedForEachSim">FALSE</definedName>
    <definedName name="RiskUseFixedSeed">FALSE</definedName>
    <definedName name="RiskUseMultipleCPUs">FALSE</definedName>
    <definedName name="Rk" localSheetId="4">#REF!</definedName>
    <definedName name="Rk" localSheetId="5">#REF!</definedName>
    <definedName name="Rk" localSheetId="0">#REF!</definedName>
    <definedName name="Rk">#REF!</definedName>
    <definedName name="RL" localSheetId="4">#REF!</definedName>
    <definedName name="RL" localSheetId="5">#REF!</definedName>
    <definedName name="RL" localSheetId="0">#REF!</definedName>
    <definedName name="RL">#REF!</definedName>
    <definedName name="rLocation" localSheetId="0">#REF!</definedName>
    <definedName name="rLocation">#REF!</definedName>
    <definedName name="RLPS" localSheetId="4">#REF!</definedName>
    <definedName name="RLPS" localSheetId="5">#REF!</definedName>
    <definedName name="RLPS" localSheetId="0">#REF!</definedName>
    <definedName name="RLPS">#REF!</definedName>
    <definedName name="RM" localSheetId="4">#REF!</definedName>
    <definedName name="RM" localSheetId="5">#REF!</definedName>
    <definedName name="RM" localSheetId="0">#REF!</definedName>
    <definedName name="RM">#REF!</definedName>
    <definedName name="RMe" localSheetId="4">#REF!</definedName>
    <definedName name="RMe" localSheetId="5">#REF!</definedName>
    <definedName name="RMe" localSheetId="0">#REF!</definedName>
    <definedName name="RMe">#REF!</definedName>
    <definedName name="RMS" localSheetId="4">#REF!</definedName>
    <definedName name="RMS" localSheetId="5">#REF!</definedName>
    <definedName name="RMS" localSheetId="0">#REF!</definedName>
    <definedName name="RMS">#REF!</definedName>
    <definedName name="road" localSheetId="4">#REF!</definedName>
    <definedName name="road" localSheetId="5">#REF!</definedName>
    <definedName name="road" localSheetId="0">#REF!</definedName>
    <definedName name="road">#REF!</definedName>
    <definedName name="ROADWAY_FIXT" localSheetId="4">#REF!</definedName>
    <definedName name="ROADWAY_FIXT" localSheetId="5">#REF!</definedName>
    <definedName name="ROADWAY_FIXT" localSheetId="0">#REF!</definedName>
    <definedName name="ROADWAY_FIXT">#REF!</definedName>
    <definedName name="rob" localSheetId="4">#REF!</definedName>
    <definedName name="rob" localSheetId="5">#REF!</definedName>
    <definedName name="rob" localSheetId="0">#REF!</definedName>
    <definedName name="rob">#REF!</definedName>
    <definedName name="rob_bel_podw" localSheetId="4">#REF!</definedName>
    <definedName name="rob_bel_podw" localSheetId="5">#REF!</definedName>
    <definedName name="rob_bel_podw" localSheetId="0">#REF!</definedName>
    <definedName name="rob_bel_podw">#REF!</definedName>
    <definedName name="robe" localSheetId="4" hidden="1">{"'JUNIO'!$B$9:$M$54"}</definedName>
    <definedName name="robe" localSheetId="5" hidden="1">{"'JUNIO'!$B$9:$M$54"}</definedName>
    <definedName name="robe" localSheetId="0" hidden="1">{"'JUNIO'!$B$9:$M$54"}</definedName>
    <definedName name="robe" hidden="1">{"'JUNIO'!$B$9:$M$54"}</definedName>
    <definedName name="ROBE2" localSheetId="4" hidden="1">#REF!</definedName>
    <definedName name="ROBE2" localSheetId="5" hidden="1">#REF!</definedName>
    <definedName name="ROBE2" localSheetId="0" hidden="1">#REF!</definedName>
    <definedName name="ROBE2" hidden="1">#REF!</definedName>
    <definedName name="ROBE3" localSheetId="4" hidden="1">#REF!</definedName>
    <definedName name="ROBE3" localSheetId="5" hidden="1">#REF!</definedName>
    <definedName name="ROBE3" localSheetId="0" hidden="1">#REF!</definedName>
    <definedName name="ROBE3" hidden="1">#REF!</definedName>
    <definedName name="robi2" localSheetId="0">#REF!</definedName>
    <definedName name="robi2">#REF!</definedName>
    <definedName name="robii" localSheetId="0">#REF!</definedName>
    <definedName name="robii">#REF!</definedName>
    <definedName name="roboc" localSheetId="0">#REF!</definedName>
    <definedName name="roboc">#REF!</definedName>
    <definedName name="robocizn" localSheetId="0">#REF!</definedName>
    <definedName name="robocizn">#REF!</definedName>
    <definedName name="robocizna" localSheetId="4">#REF!</definedName>
    <definedName name="robocizna" localSheetId="5">#REF!</definedName>
    <definedName name="robocizna" localSheetId="0">#REF!</definedName>
    <definedName name="robocizna">#REF!</definedName>
    <definedName name="robocizna1" localSheetId="4">#REF!</definedName>
    <definedName name="robocizna1" localSheetId="5">#REF!</definedName>
    <definedName name="robocizna1" localSheetId="0">#REF!</definedName>
    <definedName name="robocizna1">#REF!</definedName>
    <definedName name="Robocizna10" localSheetId="4">#REF!</definedName>
    <definedName name="Robocizna10" localSheetId="5">#REF!</definedName>
    <definedName name="Robocizna10" localSheetId="0">#REF!</definedName>
    <definedName name="Robocizna10">#REF!</definedName>
    <definedName name="Robocizna8" localSheetId="4">#REF!</definedName>
    <definedName name="Robocizna8" localSheetId="5">#REF!</definedName>
    <definedName name="Robocizna8" localSheetId="0">#REF!</definedName>
    <definedName name="Robocizna8">#REF!</definedName>
    <definedName name="Robocizna9" localSheetId="4">#REF!</definedName>
    <definedName name="Robocizna9" localSheetId="5">#REF!</definedName>
    <definedName name="Robocizna9" localSheetId="0">#REF!</definedName>
    <definedName name="Robocizna9">#REF!</definedName>
    <definedName name="Roboczo_Godzin1" localSheetId="4">#REF!</definedName>
    <definedName name="Roboczo_Godzin1" localSheetId="5">#REF!</definedName>
    <definedName name="Roboczo_Godzin1" localSheetId="0">#REF!</definedName>
    <definedName name="Roboczo_Godzin1">#REF!</definedName>
    <definedName name="Roboczo_Godzin10" localSheetId="4">#REF!</definedName>
    <definedName name="Roboczo_Godzin10" localSheetId="5">#REF!</definedName>
    <definedName name="Roboczo_Godzin10" localSheetId="0">#REF!</definedName>
    <definedName name="Roboczo_Godzin10">#REF!</definedName>
    <definedName name="Roboczo_Godzin2" localSheetId="4">#REF!</definedName>
    <definedName name="Roboczo_Godzin2" localSheetId="5">#REF!</definedName>
    <definedName name="Roboczo_Godzin2" localSheetId="0">#REF!</definedName>
    <definedName name="Roboczo_Godzin2">#REF!</definedName>
    <definedName name="Roboczo_Godzin3" localSheetId="4">#REF!</definedName>
    <definedName name="Roboczo_Godzin3" localSheetId="5">#REF!</definedName>
    <definedName name="Roboczo_Godzin3" localSheetId="0">#REF!</definedName>
    <definedName name="Roboczo_Godzin3">#REF!</definedName>
    <definedName name="Roboczo_Godzin4" localSheetId="4">#REF!</definedName>
    <definedName name="Roboczo_Godzin4" localSheetId="5">#REF!</definedName>
    <definedName name="Roboczo_Godzin4" localSheetId="0">#REF!</definedName>
    <definedName name="Roboczo_Godzin4">#REF!</definedName>
    <definedName name="Roboczo_Godzin5" localSheetId="4">#REF!</definedName>
    <definedName name="Roboczo_Godzin5" localSheetId="0">#REF!</definedName>
    <definedName name="Roboczo_Godzin5">#REF!</definedName>
    <definedName name="Roboczo_Godzin8" localSheetId="4">#REF!</definedName>
    <definedName name="Roboczo_Godzin8" localSheetId="5">#REF!</definedName>
    <definedName name="Roboczo_Godzin8" localSheetId="0">#REF!</definedName>
    <definedName name="Roboczo_Godzin8">#REF!</definedName>
    <definedName name="Roboczo_Godzin9" localSheetId="4">#REF!</definedName>
    <definedName name="Roboczo_Godzin9" localSheetId="5">#REF!</definedName>
    <definedName name="Roboczo_Godzin9" localSheetId="0">#REF!</definedName>
    <definedName name="Roboczo_Godzin9">#REF!</definedName>
    <definedName name="robopg" localSheetId="0">#REF!</definedName>
    <definedName name="robopg">#REF!</definedName>
    <definedName name="ROBOTY_DROGOWE" localSheetId="4">#REF!</definedName>
    <definedName name="ROBOTY_DROGOWE" localSheetId="5">#REF!</definedName>
    <definedName name="ROBOTY_DROGOWE" localSheetId="0">#REF!</definedName>
    <definedName name="ROBOTY_DROGOWE">#REF!</definedName>
    <definedName name="ROBOTY_MOSTOWE" localSheetId="4">#REF!</definedName>
    <definedName name="ROBOTY_MOSTOWE" localSheetId="5">#REF!</definedName>
    <definedName name="ROBOTY_MOSTOWE" localSheetId="0">#REF!</definedName>
    <definedName name="ROBOTY_MOSTOWE">#REF!</definedName>
    <definedName name="ROBOTY_WYKOŃCZENIOWE">"$#ODWOŁANIE!.$G$405"</definedName>
    <definedName name="ROCA_TIPO">#REF!</definedName>
    <definedName name="Rodzaj" localSheetId="4">#REF!</definedName>
    <definedName name="Rodzaj" localSheetId="5">#REF!</definedName>
    <definedName name="Rodzaj" localSheetId="0">#REF!</definedName>
    <definedName name="Rodzaj">#REF!</definedName>
    <definedName name="Rodzaje_jednostek" localSheetId="4">#REF!</definedName>
    <definedName name="Rodzaje_jednostek" localSheetId="5">#REF!</definedName>
    <definedName name="Rodzaje_jednostek" localSheetId="0">#REF!</definedName>
    <definedName name="Rodzaje_jednostek">#REF!</definedName>
    <definedName name="RÖL" localSheetId="4">#REF!</definedName>
    <definedName name="RÖL" localSheetId="5">#REF!</definedName>
    <definedName name="RÖL" localSheetId="0">#REF!</definedName>
    <definedName name="RÖL">#REF!</definedName>
    <definedName name="röl1" localSheetId="4">#REF!</definedName>
    <definedName name="röl1" localSheetId="0">#REF!</definedName>
    <definedName name="röl1">#REF!</definedName>
    <definedName name="roz" localSheetId="4">#REF!</definedName>
    <definedName name="roz" localSheetId="0">#REF!</definedName>
    <definedName name="roz">#REF!</definedName>
    <definedName name="rozbiórka_betonowych_płyt_chodnikowych" localSheetId="4">#REF!</definedName>
    <definedName name="rozbiórka_betonowych_płyt_chodnikowych" localSheetId="0">#REF!</definedName>
    <definedName name="rozbiórka_betonowych_płyt_chodnikowych">#REF!</definedName>
    <definedName name="rozbiórka_fundamentów_budynków_m3" localSheetId="4">#REF!</definedName>
    <definedName name="rozbiórka_fundamentów_budynków_m3" localSheetId="0">#REF!</definedName>
    <definedName name="rozbiórka_fundamentów_budynków_m3">#REF!</definedName>
    <definedName name="rozbiórka_kostki" localSheetId="4">#REF!</definedName>
    <definedName name="rozbiórka_kostki" localSheetId="0">#REF!</definedName>
    <definedName name="rozbiórka_kostki">#REF!</definedName>
    <definedName name="rozbiórka_kostki_betonowej_dojscia_m2" localSheetId="4">#REF!</definedName>
    <definedName name="rozbiórka_kostki_betonowej_dojscia_m2" localSheetId="0">#REF!</definedName>
    <definedName name="rozbiórka_kostki_betonowej_dojscia_m2">#REF!</definedName>
    <definedName name="rozbiórka_kostki_betonowej_wbudowanie_dojscia_m2" localSheetId="4">#REF!</definedName>
    <definedName name="rozbiórka_kostki_betonowej_wbudowanie_dojscia_m2" localSheetId="0">#REF!</definedName>
    <definedName name="rozbiórka_kostki_betonowej_wbudowanie_dojscia_m2">#REF!</definedName>
    <definedName name="rozbiórka_kostki_betonowej_wbudowanie_zjazdy_m2" localSheetId="4">#REF!</definedName>
    <definedName name="rozbiórka_kostki_betonowej_wbudowanie_zjazdy_m2" localSheetId="0">#REF!</definedName>
    <definedName name="rozbiórka_kostki_betonowej_wbudowanie_zjazdy_m2">#REF!</definedName>
    <definedName name="rozbiórka_kostki_betonowej_wywiezienie_dojscia_m2" localSheetId="4">#REF!</definedName>
    <definedName name="rozbiórka_kostki_betonowej_wywiezienie_dojscia_m2" localSheetId="0">#REF!</definedName>
    <definedName name="rozbiórka_kostki_betonowej_wywiezienie_dojscia_m2">#REF!</definedName>
    <definedName name="rozbiórka_kostki_betonowej_wywiezienie_zjady_m2" localSheetId="4">#REF!</definedName>
    <definedName name="rozbiórka_kostki_betonowej_wywiezienie_zjady_m2" localSheetId="0">#REF!</definedName>
    <definedName name="rozbiórka_kostki_betonowej_wywiezienie_zjady_m2">#REF!</definedName>
    <definedName name="rozbiórka_kostki_betonowej_zjazdy_m2" localSheetId="4">#REF!</definedName>
    <definedName name="rozbiórka_kostki_betonowej_zjazdy_m2" localSheetId="0">#REF!</definedName>
    <definedName name="rozbiórka_kostki_betonowej_zjazdy_m2">#REF!</definedName>
    <definedName name="rozbiórka_kostki_kamiennej_m2" localSheetId="4">#REF!</definedName>
    <definedName name="rozbiórka_kostki_kamiennej_m2" localSheetId="0">#REF!</definedName>
    <definedName name="rozbiórka_kostki_kamiennej_m2">#REF!</definedName>
    <definedName name="rozbiórka_kostki_na_zjazdach" localSheetId="4">#REF!</definedName>
    <definedName name="rozbiórka_kostki_na_zjazdach" localSheetId="0">#REF!</definedName>
    <definedName name="rozbiórka_kostki_na_zjazdach">#REF!</definedName>
    <definedName name="rozbiórka_krawężnika_na_ławie" localSheetId="4">#REF!</definedName>
    <definedName name="rozbiórka_krawężnika_na_ławie" localSheetId="0">#REF!</definedName>
    <definedName name="rozbiórka_krawężnika_na_ławie">#REF!</definedName>
    <definedName name="rozbiórka_krawężnika_na_ławie_wbudowanie" localSheetId="4">#REF!</definedName>
    <definedName name="rozbiórka_krawężnika_na_ławie_wbudowanie" localSheetId="0">#REF!</definedName>
    <definedName name="rozbiórka_krawężnika_na_ławie_wbudowanie">#REF!</definedName>
    <definedName name="rozbiórka_krawężnika_na_ławie_wywiezienie" localSheetId="4">#REF!</definedName>
    <definedName name="rozbiórka_krawężnika_na_ławie_wywiezienie" localSheetId="0">#REF!</definedName>
    <definedName name="rozbiórka_krawężnika_na_ławie_wywiezienie">#REF!</definedName>
    <definedName name="rozbiórka_krawężnika_na_podsypce" localSheetId="4">#REF!</definedName>
    <definedName name="rozbiórka_krawężnika_na_podsypce" localSheetId="0">#REF!</definedName>
    <definedName name="rozbiórka_krawężnika_na_podsypce">#REF!</definedName>
    <definedName name="rozbiórka_krawężnika_na_podsypce_wbudowanie" localSheetId="4">#REF!</definedName>
    <definedName name="rozbiórka_krawężnika_na_podsypce_wbudowanie" localSheetId="0">#REF!</definedName>
    <definedName name="rozbiórka_krawężnika_na_podsypce_wbudowanie">#REF!</definedName>
    <definedName name="rozbiórka_krawężnika_na_podsypce_wywiezienie" localSheetId="4">#REF!</definedName>
    <definedName name="rozbiórka_krawężnika_na_podsypce_wywiezienie" localSheetId="0">#REF!</definedName>
    <definedName name="rozbiórka_krawężnika_na_podsypce_wywiezienie">#REF!</definedName>
    <definedName name="rozbiórka_krawężnika_na_zjazdach" localSheetId="4">#REF!</definedName>
    <definedName name="rozbiórka_krawężnika_na_zjazdach" localSheetId="0">#REF!</definedName>
    <definedName name="rozbiórka_krawężnika_na_zjazdach">#REF!</definedName>
    <definedName name="rozbiórka_krawężnika_wbudowanie" localSheetId="4">#REF!</definedName>
    <definedName name="rozbiórka_krawężnika_wbudowanie" localSheetId="0">#REF!</definedName>
    <definedName name="rozbiórka_krawężnika_wbudowanie">#REF!</definedName>
    <definedName name="rozbiórka_nawierzchni_z_ażurów" localSheetId="4">#REF!</definedName>
    <definedName name="rozbiórka_nawierzchni_z_ażurów" localSheetId="0">#REF!</definedName>
    <definedName name="rozbiórka_nawierzchni_z_ażurów">#REF!</definedName>
    <definedName name="rozbiórka_nawierzchni_z_bitumu_m2" localSheetId="4">#REF!</definedName>
    <definedName name="rozbiórka_nawierzchni_z_bitumu_m2" localSheetId="0">#REF!</definedName>
    <definedName name="rozbiórka_nawierzchni_z_bitumu_m2">#REF!</definedName>
    <definedName name="rozbiórka_nawierzchni_z_gruzu_wywiezienie" localSheetId="4">#REF!</definedName>
    <definedName name="rozbiórka_nawierzchni_z_gruzu_wywiezienie" localSheetId="0">#REF!</definedName>
    <definedName name="rozbiórka_nawierzchni_z_gruzu_wywiezienie">#REF!</definedName>
    <definedName name="rozbiórka_nawierzchni_z_kruszywa_20cm" localSheetId="4">#REF!</definedName>
    <definedName name="rozbiórka_nawierzchni_z_kruszywa_20cm" localSheetId="0">#REF!</definedName>
    <definedName name="rozbiórka_nawierzchni_z_kruszywa_20cm">#REF!</definedName>
    <definedName name="rozbiórka_nawierzchni_z_kruszywa_40cm" localSheetId="4">#REF!</definedName>
    <definedName name="rozbiórka_nawierzchni_z_kruszywa_40cm" localSheetId="0">#REF!</definedName>
    <definedName name="rozbiórka_nawierzchni_z_kruszywa_40cm">#REF!</definedName>
    <definedName name="rozbiórka_nawierzchni_z_kruszywa_60cm" localSheetId="4">#REF!</definedName>
    <definedName name="rozbiórka_nawierzchni_z_kruszywa_60cm" localSheetId="0">#REF!</definedName>
    <definedName name="rozbiórka_nawierzchni_z_kruszywa_60cm">#REF!</definedName>
    <definedName name="rozbiórka_nawierzchni_z_kruszywa_80cm" localSheetId="4">#REF!</definedName>
    <definedName name="rozbiórka_nawierzchni_z_kruszywa_80cm" localSheetId="0">#REF!</definedName>
    <definedName name="rozbiórka_nawierzchni_z_kruszywa_80cm">#REF!</definedName>
    <definedName name="rozbiórka_nawierzchni_z_płyt_drogowych_m2" localSheetId="4">#REF!</definedName>
    <definedName name="rozbiórka_nawierzchni_z_płyt_drogowych_m2" localSheetId="0">#REF!</definedName>
    <definedName name="rozbiórka_nawierzchni_z_płyt_drogowych_m2">#REF!</definedName>
    <definedName name="rozbiórka_obrzeża" localSheetId="4">#REF!</definedName>
    <definedName name="rozbiórka_obrzeża" localSheetId="0">#REF!</definedName>
    <definedName name="rozbiórka_obrzeża">#REF!</definedName>
    <definedName name="rozbiórka_obrzeża_wbudowanie_m" localSheetId="4">#REF!</definedName>
    <definedName name="rozbiórka_obrzeża_wbudowanie_m" localSheetId="0">#REF!</definedName>
    <definedName name="rozbiórka_obrzeża_wbudowanie_m">#REF!</definedName>
    <definedName name="rozbiórka_obrzeża_wywiezienie_m" localSheetId="4">#REF!</definedName>
    <definedName name="rozbiórka_obrzeża_wywiezienie_m" localSheetId="0">#REF!</definedName>
    <definedName name="rozbiórka_obrzeża_wywiezienie_m">#REF!</definedName>
    <definedName name="rozbiórka_ogrodzeń_betonowych_m3" localSheetId="4">#REF!</definedName>
    <definedName name="rozbiórka_ogrodzeń_betonowych_m3" localSheetId="0">#REF!</definedName>
    <definedName name="rozbiórka_ogrodzeń_betonowych_m3">#REF!</definedName>
    <definedName name="rozbiórka_ogrodzeń_drewnianych_m" localSheetId="4">#REF!</definedName>
    <definedName name="rozbiórka_ogrodzeń_drewnianych_m" localSheetId="0">#REF!</definedName>
    <definedName name="rozbiórka_ogrodzeń_drewnianych_m">#REF!</definedName>
    <definedName name="rozbiórka_ogrodzeń_metal_wraz_z_słupkami_metal" localSheetId="4">#REF!</definedName>
    <definedName name="rozbiórka_ogrodzeń_metal_wraz_z_słupkami_metal" localSheetId="0">#REF!</definedName>
    <definedName name="rozbiórka_ogrodzeń_metal_wraz_z_słupkami_metal">#REF!</definedName>
    <definedName name="rozbiórka_ogrodzeń_z_siatki_do_wywózki_m" localSheetId="4">#REF!</definedName>
    <definedName name="rozbiórka_ogrodzeń_z_siatki_do_wywózki_m" localSheetId="0">#REF!</definedName>
    <definedName name="rozbiórka_ogrodzeń_z_siatki_do_wywózki_m">#REF!</definedName>
    <definedName name="rozbiórka_ogrodzeń_z_siatki_m" localSheetId="4">#REF!</definedName>
    <definedName name="rozbiórka_ogrodzeń_z_siatki_m" localSheetId="0">#REF!</definedName>
    <definedName name="rozbiórka_ogrodzeń_z_siatki_m">#REF!</definedName>
    <definedName name="rozbiórka_podb.z_kruszywa" localSheetId="4">#REF!</definedName>
    <definedName name="rozbiórka_podb.z_kruszywa" localSheetId="0">#REF!</definedName>
    <definedName name="rozbiórka_podb.z_kruszywa">#REF!</definedName>
    <definedName name="rozbiórka_podbudowy_z_kruszywa" localSheetId="4">#REF!</definedName>
    <definedName name="rozbiórka_podbudowy_z_kruszywa" localSheetId="0">#REF!</definedName>
    <definedName name="rozbiórka_podbudowy_z_kruszywa">#REF!</definedName>
    <definedName name="rozbiórka_podmurówki" localSheetId="4">#REF!</definedName>
    <definedName name="rozbiórka_podmurówki" localSheetId="0">#REF!</definedName>
    <definedName name="rozbiórka_podmurówki">#REF!</definedName>
    <definedName name="rozbiórka_podmurówki_betonowej" localSheetId="4">#REF!</definedName>
    <definedName name="rozbiórka_podmurówki_betonowej" localSheetId="0">#REF!</definedName>
    <definedName name="rozbiórka_podmurówki_betonowej">#REF!</definedName>
    <definedName name="rozbiórka_podmurówki_murowanej" localSheetId="4">#REF!</definedName>
    <definedName name="rozbiórka_podmurówki_murowanej" localSheetId="0">#REF!</definedName>
    <definedName name="rozbiórka_podmurówki_murowanej">#REF!</definedName>
    <definedName name="rozbiórka_przepustów" localSheetId="4">#REF!</definedName>
    <definedName name="rozbiórka_przepustów" localSheetId="0">#REF!</definedName>
    <definedName name="rozbiórka_przepustów">#REF!</definedName>
    <definedName name="rozbiórka_przepustów_betonowych_m" localSheetId="4">#REF!</definedName>
    <definedName name="rozbiórka_przepustów_betonowych_m" localSheetId="0">#REF!</definedName>
    <definedName name="rozbiórka_przepustów_betonowych_m">#REF!</definedName>
    <definedName name="rozbiórka_przepustów_PVC_m" localSheetId="4">#REF!</definedName>
    <definedName name="rozbiórka_przepustów_PVC_m" localSheetId="0">#REF!</definedName>
    <definedName name="rozbiórka_przepustów_PVC_m">#REF!</definedName>
    <definedName name="rozbiórka_przepustów_stalowych_m" localSheetId="4">#REF!</definedName>
    <definedName name="rozbiórka_przepustów_stalowych_m" localSheetId="0">#REF!</definedName>
    <definedName name="rozbiórka_przepustów_stalowych_m">#REF!</definedName>
    <definedName name="rozbiórka_schodów" localSheetId="4">#REF!</definedName>
    <definedName name="rozbiórka_schodów" localSheetId="0">#REF!</definedName>
    <definedName name="rozbiórka_schodów">#REF!</definedName>
    <definedName name="rozbiórka_ścianek_czołowych_przepustów_m3" localSheetId="4">#REF!</definedName>
    <definedName name="rozbiórka_ścianek_czołowych_przepustów_m3" localSheetId="0">#REF!</definedName>
    <definedName name="rozbiórka_ścianek_czołowych_przepustów_m3">#REF!</definedName>
    <definedName name="rozbiórka_ścieku_z_wywozem_materiału_z_rozbiórki" localSheetId="4">#REF!</definedName>
    <definedName name="rozbiórka_ścieku_z_wywozem_materiału_z_rozbiórki" localSheetId="0">#REF!</definedName>
    <definedName name="rozbiórka_ścieku_z_wywozem_materiału_z_rozbiórki">#REF!</definedName>
    <definedName name="rozbiórka_słupków_murowanych" localSheetId="4">#REF!</definedName>
    <definedName name="rozbiórka_słupków_murowanych" localSheetId="0">#REF!</definedName>
    <definedName name="rozbiórka_słupków_murowanych">#REF!</definedName>
    <definedName name="rozbiórka_słupków_prowadzących_do_ponownego_wbudowania_szt" localSheetId="4">#REF!</definedName>
    <definedName name="rozbiórka_słupków_prowadzących_do_ponownego_wbudowania_szt" localSheetId="0">#REF!</definedName>
    <definedName name="rozbiórka_słupków_prowadzących_do_ponownego_wbudowania_szt">#REF!</definedName>
    <definedName name="rozbiórka_słupków_prowadzących_U1a_do_ponownego_wbudowania_szt" localSheetId="4">#REF!</definedName>
    <definedName name="rozbiórka_słupków_prowadzących_U1a_do_ponownego_wbudowania_szt" localSheetId="0">#REF!</definedName>
    <definedName name="rozbiórka_słupków_prowadzących_U1a_do_ponownego_wbudowania_szt">#REF!</definedName>
    <definedName name="rozbiórka_słupków_prowadzących_U1b_do_ponownego_wbudowania_szt" localSheetId="4">#REF!</definedName>
    <definedName name="rozbiórka_słupków_prowadzących_U1b_do_ponownego_wbudowania_szt" localSheetId="0">#REF!</definedName>
    <definedName name="rozbiórka_słupków_prowadzących_U1b_do_ponownego_wbudowania_szt">#REF!</definedName>
    <definedName name="rozbiórka_słupków_prowadzących_z_wywózką_do_Zamawiającego_szt" localSheetId="4">#REF!</definedName>
    <definedName name="rozbiórka_słupków_prowadzących_z_wywózką_do_Zamawiającego_szt" localSheetId="0">#REF!</definedName>
    <definedName name="rozbiórka_słupków_prowadzących_z_wywózką_do_Zamawiającego_szt">#REF!</definedName>
    <definedName name="rozbiórka_słupków_znaków_do_ponownego_wbudowania_szt" localSheetId="4">#REF!</definedName>
    <definedName name="rozbiórka_słupków_znaków_do_ponownego_wbudowania_szt" localSheetId="0">#REF!</definedName>
    <definedName name="rozbiórka_słupków_znaków_do_ponownego_wbudowania_szt">#REF!</definedName>
    <definedName name="rozbiórka_słupków_znaków_z_wywózką_do_Zamawiającego_szt" localSheetId="4">#REF!</definedName>
    <definedName name="rozbiórka_słupków_znaków_z_wywózką_do_Zamawiającego_szt" localSheetId="0">#REF!</definedName>
    <definedName name="rozbiórka_słupków_znaków_z_wywózką_do_Zamawiającego_szt">#REF!</definedName>
    <definedName name="rozbiórka_studni_z_betonowych_kręgów_szt." localSheetId="4">#REF!</definedName>
    <definedName name="rozbiórka_studni_z_betonowych_kręgów_szt." localSheetId="0">#REF!</definedName>
    <definedName name="rozbiórka_studni_z_betonowych_kręgów_szt.">#REF!</definedName>
    <definedName name="rozbiórka_umocnień_z_ażurów" localSheetId="4">#REF!</definedName>
    <definedName name="rozbiórka_umocnień_z_ażurów" localSheetId="0">#REF!</definedName>
    <definedName name="rozbiórka_umocnień_z_ażurów">#REF!</definedName>
    <definedName name="Rozbiórki">100</definedName>
    <definedName name="rozebranie_bram_do_ponownego_wbudowania_szt" localSheetId="4">#REF!</definedName>
    <definedName name="rozebranie_bram_do_ponownego_wbudowania_szt" localSheetId="5">#REF!</definedName>
    <definedName name="rozebranie_bram_do_ponownego_wbudowania_szt" localSheetId="0">#REF!</definedName>
    <definedName name="rozebranie_bram_do_ponownego_wbudowania_szt">#REF!</definedName>
    <definedName name="rozebranie_bram_materiały_do_wywiezienia_szt" localSheetId="4">#REF!</definedName>
    <definedName name="rozebranie_bram_materiały_do_wywiezienia_szt" localSheetId="5">#REF!</definedName>
    <definedName name="rozebranie_bram_materiały_do_wywiezienia_szt" localSheetId="0">#REF!</definedName>
    <definedName name="rozebranie_bram_materiały_do_wywiezienia_szt">#REF!</definedName>
    <definedName name="rozebranie_furtek_do_ponownego_wbudowania_szt" localSheetId="4">#REF!</definedName>
    <definedName name="rozebranie_furtek_do_ponownego_wbudowania_szt" localSheetId="5">#REF!</definedName>
    <definedName name="rozebranie_furtek_do_ponownego_wbudowania_szt" localSheetId="0">#REF!</definedName>
    <definedName name="rozebranie_furtek_do_ponownego_wbudowania_szt">#REF!</definedName>
    <definedName name="rozebranie_furtek_materiał_do_wywieziena_szt" localSheetId="4">#REF!</definedName>
    <definedName name="rozebranie_furtek_materiał_do_wywieziena_szt" localSheetId="0">#REF!</definedName>
    <definedName name="rozebranie_furtek_materiał_do_wywieziena_szt">#REF!</definedName>
    <definedName name="rozebranie_ogrodzeń_z_siatki_wbudowanie" localSheetId="4">#REF!</definedName>
    <definedName name="rozebranie_ogrodzeń_z_siatki_wbudowanie" localSheetId="0">#REF!</definedName>
    <definedName name="rozebranie_ogrodzeń_z_siatki_wbudowanie">#REF!</definedName>
    <definedName name="rozebranie_ogrodzeń_z_siatki_wywiezienie_elementów_z_rozbiórki" localSheetId="4">#REF!</definedName>
    <definedName name="rozebranie_ogrodzeń_z_siatki_wywiezienie_elementów_z_rozbiórki" localSheetId="0">#REF!</definedName>
    <definedName name="rozebranie_ogrodzeń_z_siatki_wywiezienie_elementów_z_rozbiórki">#REF!</definedName>
    <definedName name="rozkusz" localSheetId="4">#REF!</definedName>
    <definedName name="rozkusz" localSheetId="0">#REF!</definedName>
    <definedName name="rozkusz">#REF!</definedName>
    <definedName name="rProjectNo" localSheetId="0">#REF!</definedName>
    <definedName name="rProjectNo">#REF!</definedName>
    <definedName name="rr" localSheetId="0">#REF!</definedName>
    <definedName name="rr">#REF!</definedName>
    <definedName name="RRR" localSheetId="4">#REF!</definedName>
    <definedName name="RRR" localSheetId="5">#REF!</definedName>
    <definedName name="RRR" localSheetId="0">#REF!</definedName>
    <definedName name="RRR">#REF!</definedName>
    <definedName name="RRT" localSheetId="4">#REF!</definedName>
    <definedName name="RRT" localSheetId="5">#REF!</definedName>
    <definedName name="RRT" localSheetId="0">#REF!</definedName>
    <definedName name="RRT">#REF!</definedName>
    <definedName name="RT" localSheetId="4">#REF!</definedName>
    <definedName name="RT" localSheetId="5">#REF!</definedName>
    <definedName name="RT" localSheetId="0">#REF!</definedName>
    <definedName name="RT">#REF!</definedName>
    <definedName name="rty" localSheetId="4" hidden="1">{#N/A,#N/A,FALSE,"masez (10)";#N/A,#N/A,FALSE,"masez (7)";#N/A,#N/A,FALSE,"masez (6)";#N/A,#N/A,FALSE,"masez (5)";#N/A,#N/A,FALSE,"masez (4)";#N/A,#N/A,FALSE,"masez (3)";#N/A,#N/A,FALSE,"masez (2)";#N/A,#N/A,FALSE,"GME";#N/A,#N/A,FALSE,"masez"}</definedName>
    <definedName name="rty" localSheetId="5" hidden="1">{#N/A,#N/A,FALSE,"masez (10)";#N/A,#N/A,FALSE,"masez (7)";#N/A,#N/A,FALSE,"masez (6)";#N/A,#N/A,FALSE,"masez (5)";#N/A,#N/A,FALSE,"masez (4)";#N/A,#N/A,FALSE,"masez (3)";#N/A,#N/A,FALSE,"masez (2)";#N/A,#N/A,FALSE,"GME";#N/A,#N/A,FALSE,"masez"}</definedName>
    <definedName name="rty" localSheetId="0" hidden="1">{#N/A,#N/A,FALSE,"masez (10)";#N/A,#N/A,FALSE,"masez (7)";#N/A,#N/A,FALSE,"masez (6)";#N/A,#N/A,FALSE,"masez (5)";#N/A,#N/A,FALSE,"masez (4)";#N/A,#N/A,FALSE,"masez (3)";#N/A,#N/A,FALSE,"masez (2)";#N/A,#N/A,FALSE,"GME";#N/A,#N/A,FALSE,"masez"}</definedName>
    <definedName name="rty" hidden="1">{#N/A,#N/A,FALSE,"masez (10)";#N/A,#N/A,FALSE,"masez (7)";#N/A,#N/A,FALSE,"masez (6)";#N/A,#N/A,FALSE,"masez (5)";#N/A,#N/A,FALSE,"masez (4)";#N/A,#N/A,FALSE,"masez (3)";#N/A,#N/A,FALSE,"masez (2)";#N/A,#N/A,FALSE,"GME";#N/A,#N/A,FALSE,"masez"}</definedName>
    <definedName name="Rura_HelCor800">1500</definedName>
    <definedName name="rw" localSheetId="4">#REF!</definedName>
    <definedName name="rw" localSheetId="5">#REF!</definedName>
    <definedName name="rw" localSheetId="0">#REF!</definedName>
    <definedName name="rw">#REF!</definedName>
    <definedName name="rWorkWeek" localSheetId="0">#REF!</definedName>
    <definedName name="rWorkWeek">#REF!</definedName>
    <definedName name="rynek" localSheetId="4">#REF!</definedName>
    <definedName name="rynek" localSheetId="5">#REF!</definedName>
    <definedName name="rynek" localSheetId="0">#REF!</definedName>
    <definedName name="rynek">#REF!</definedName>
    <definedName name="rz" localSheetId="4">#REF!</definedName>
    <definedName name="rz" localSheetId="5">#REF!</definedName>
    <definedName name="rz" localSheetId="0">#REF!</definedName>
    <definedName name="rz">#REF!</definedName>
    <definedName name="rz_trw" localSheetId="4">#REF!</definedName>
    <definedName name="rz_trw" localSheetId="5">#REF!</definedName>
    <definedName name="rz_trw" localSheetId="0">#REF!</definedName>
    <definedName name="rz_trw">#REF!</definedName>
    <definedName name="rzecz_fin" localSheetId="4">#REF!</definedName>
    <definedName name="rzecz_fin" localSheetId="5">#REF!</definedName>
    <definedName name="rzecz_fin" localSheetId="0">#REF!</definedName>
    <definedName name="rzecz_fin">#REF!</definedName>
    <definedName name="rzecz_fin_p" localSheetId="4">#REF!</definedName>
    <definedName name="rzecz_fin_p" localSheetId="5">#REF!</definedName>
    <definedName name="rzecz_fin_p" localSheetId="0">#REF!</definedName>
    <definedName name="rzecz_fin_p">#REF!</definedName>
    <definedName name="S" localSheetId="4">#REF!</definedName>
    <definedName name="S" localSheetId="5">#REF!</definedName>
    <definedName name="S" localSheetId="0">#REF!</definedName>
    <definedName name="S">#REF!</definedName>
    <definedName name="S__U__M__A_____A__C__U__M__U__L__A__D__A" localSheetId="0">#REF!</definedName>
    <definedName name="S__U__M__A_____A__C__U__M__U__L__A__D__A">#REF!</definedName>
    <definedName name="S__U__M__A_____P__A__R__C__I__A__L" localSheetId="0">#REF!</definedName>
    <definedName name="S__U__M__A_____P__A__R__C__I__A__L">#REF!</definedName>
    <definedName name="s_pien" localSheetId="4">#REF!</definedName>
    <definedName name="s_pien" localSheetId="5">#REF!</definedName>
    <definedName name="s_pien" localSheetId="0">#REF!</definedName>
    <definedName name="s_pien">#REF!</definedName>
    <definedName name="sa" localSheetId="0">#REF!</definedName>
    <definedName name="sa">#REF!</definedName>
    <definedName name="saa" localSheetId="0">#REF!</definedName>
    <definedName name="saa">#REF!</definedName>
    <definedName name="saaaaaaaaaaa" localSheetId="4">#REF!</definedName>
    <definedName name="saaaaaaaaaaa" localSheetId="5">#REF!</definedName>
    <definedName name="saaaaaaaaaaa" localSheetId="0">#REF!</definedName>
    <definedName name="saaaaaaaaaaa">#REF!</definedName>
    <definedName name="Sabana" localSheetId="4">#REF!</definedName>
    <definedName name="Sabana" localSheetId="5">#REF!</definedName>
    <definedName name="Sabana" localSheetId="0">#REF!</definedName>
    <definedName name="Sabana">#REF!</definedName>
    <definedName name="sączek" localSheetId="4">#REF!</definedName>
    <definedName name="sączek" localSheetId="5">#REF!</definedName>
    <definedName name="sączek" localSheetId="0">#REF!</definedName>
    <definedName name="sączek">#REF!</definedName>
    <definedName name="sad" localSheetId="0">#REF!</definedName>
    <definedName name="sad">#REF!</definedName>
    <definedName name="sada" localSheetId="4" hidden="1">{"CONCABL1.1",#N/A,FALSE,"1.1.1a1.1.3 ACSR";"AISL1.2",#N/A,FALSE,"1.1.1a1.1.3 ACSR";"torr1.1.3",#N/A,FALSE,"1.1.1a1.1.3 ACSR";"cm1.2",#N/A,FALSE,"1.2 ACSR";"cm2.2",#N/A,FALSE,"1.2 ACSR";#N/A,#N/A,FALSE,"1.3 ACSR";#N/A,#N/A,FALSE,"2.1.1A2.1.3 ACAR";"ac2.1",#N/A,FALSE,"1.2 ACAR";"ac2.2",#N/A,FALSE,"1.2 ACAR";#N/A,#N/A,FALSE,"2.3 ACAR"}</definedName>
    <definedName name="sada" localSheetId="5" hidden="1">{"CONCABL1.1",#N/A,FALSE,"1.1.1a1.1.3 ACSR";"AISL1.2",#N/A,FALSE,"1.1.1a1.1.3 ACSR";"torr1.1.3",#N/A,FALSE,"1.1.1a1.1.3 ACSR";"cm1.2",#N/A,FALSE,"1.2 ACSR";"cm2.2",#N/A,FALSE,"1.2 ACSR";#N/A,#N/A,FALSE,"1.3 ACSR";#N/A,#N/A,FALSE,"2.1.1A2.1.3 ACAR";"ac2.1",#N/A,FALSE,"1.2 ACAR";"ac2.2",#N/A,FALSE,"1.2 ACAR";#N/A,#N/A,FALSE,"2.3 ACAR"}</definedName>
    <definedName name="sada" localSheetId="0" hidden="1">{"CONCABL1.1",#N/A,FALSE,"1.1.1a1.1.3 ACSR";"AISL1.2",#N/A,FALSE,"1.1.1a1.1.3 ACSR";"torr1.1.3",#N/A,FALSE,"1.1.1a1.1.3 ACSR";"cm1.2",#N/A,FALSE,"1.2 ACSR";"cm2.2",#N/A,FALSE,"1.2 ACSR";#N/A,#N/A,FALSE,"1.3 ACSR";#N/A,#N/A,FALSE,"2.1.1A2.1.3 ACAR";"ac2.1",#N/A,FALSE,"1.2 ACAR";"ac2.2",#N/A,FALSE,"1.2 ACAR";#N/A,#N/A,FALSE,"2.3 ACAR"}</definedName>
    <definedName name="sada" hidden="1">{"CONCABL1.1",#N/A,FALSE,"1.1.1a1.1.3 ACSR";"AISL1.2",#N/A,FALSE,"1.1.1a1.1.3 ACSR";"torr1.1.3",#N/A,FALSE,"1.1.1a1.1.3 ACSR";"cm1.2",#N/A,FALSE,"1.2 ACSR";"cm2.2",#N/A,FALSE,"1.2 ACSR";#N/A,#N/A,FALSE,"1.3 ACSR";#N/A,#N/A,FALSE,"2.1.1A2.1.3 ACAR";"ac2.1",#N/A,FALSE,"1.2 ACAR";"ac2.2",#N/A,FALSE,"1.2 ACAR";#N/A,#N/A,FALSE,"2.3 ACAR"}</definedName>
    <definedName name="sadfsafsa" localSheetId="4" hidden="1">{"CONCABL1.1",#N/A,FALSE,"1.1.1a1.1.3 ACSR";"AISL1.2",#N/A,FALSE,"1.1.1a1.1.3 ACSR";"torr1.1.3",#N/A,FALSE,"1.1.1a1.1.3 ACSR";"cm1.2",#N/A,FALSE,"1.2 ACSR";"cm2.2",#N/A,FALSE,"1.2 ACSR";#N/A,#N/A,FALSE,"1.3 ACSR";#N/A,#N/A,FALSE,"2.1.1A2.1.3 ACAR";"ac2.1",#N/A,FALSE,"1.2 ACAR";"ac2.2",#N/A,FALSE,"1.2 ACAR";#N/A,#N/A,FALSE,"2.3 ACAR"}</definedName>
    <definedName name="sadfsafsa" localSheetId="5" hidden="1">{"CONCABL1.1",#N/A,FALSE,"1.1.1a1.1.3 ACSR";"AISL1.2",#N/A,FALSE,"1.1.1a1.1.3 ACSR";"torr1.1.3",#N/A,FALSE,"1.1.1a1.1.3 ACSR";"cm1.2",#N/A,FALSE,"1.2 ACSR";"cm2.2",#N/A,FALSE,"1.2 ACSR";#N/A,#N/A,FALSE,"1.3 ACSR";#N/A,#N/A,FALSE,"2.1.1A2.1.3 ACAR";"ac2.1",#N/A,FALSE,"1.2 ACAR";"ac2.2",#N/A,FALSE,"1.2 ACAR";#N/A,#N/A,FALSE,"2.3 ACAR"}</definedName>
    <definedName name="sadfsafsa" localSheetId="0" hidden="1">{"CONCABL1.1",#N/A,FALSE,"1.1.1a1.1.3 ACSR";"AISL1.2",#N/A,FALSE,"1.1.1a1.1.3 ACSR";"torr1.1.3",#N/A,FALSE,"1.1.1a1.1.3 ACSR";"cm1.2",#N/A,FALSE,"1.2 ACSR";"cm2.2",#N/A,FALSE,"1.2 ACSR";#N/A,#N/A,FALSE,"1.3 ACSR";#N/A,#N/A,FALSE,"2.1.1A2.1.3 ACAR";"ac2.1",#N/A,FALSE,"1.2 ACAR";"ac2.2",#N/A,FALSE,"1.2 ACAR";#N/A,#N/A,FALSE,"2.3 ACAR"}</definedName>
    <definedName name="sadfsafsa" hidden="1">{"CONCABL1.1",#N/A,FALSE,"1.1.1a1.1.3 ACSR";"AISL1.2",#N/A,FALSE,"1.1.1a1.1.3 ACSR";"torr1.1.3",#N/A,FALSE,"1.1.1a1.1.3 ACSR";"cm1.2",#N/A,FALSE,"1.2 ACSR";"cm2.2",#N/A,FALSE,"1.2 ACSR";#N/A,#N/A,FALSE,"1.3 ACSR";#N/A,#N/A,FALSE,"2.1.1A2.1.3 ACAR";"ac2.1",#N/A,FALSE,"1.2 ACAR";"ac2.2",#N/A,FALSE,"1.2 ACAR";#N/A,#N/A,FALSE,"2.3 ACAR"}</definedName>
    <definedName name="sadfsdf">#REF!</definedName>
    <definedName name="sal" localSheetId="4">#REF!</definedName>
    <definedName name="sal" localSheetId="5">#REF!</definedName>
    <definedName name="sal" localSheetId="0">#REF!</definedName>
    <definedName name="sal">#REF!</definedName>
    <definedName name="Salesadj" localSheetId="4">#REF!</definedName>
    <definedName name="Salesadj" localSheetId="5">#REF!</definedName>
    <definedName name="Salesadj" localSheetId="0">#REF!</definedName>
    <definedName name="Salesadj">#REF!</definedName>
    <definedName name="SAMOCHODY" localSheetId="0">#REF!</definedName>
    <definedName name="SAMOCHODY">#REF!</definedName>
    <definedName name="san" localSheetId="0">#REF!</definedName>
    <definedName name="san">#REF!</definedName>
    <definedName name="SAN_JUAN_DE_RIO" localSheetId="4">#REF!</definedName>
    <definedName name="SAN_JUAN_DE_RIO" localSheetId="5">#REF!</definedName>
    <definedName name="SAN_JUAN_DE_RIO" localSheetId="0">#REF!</definedName>
    <definedName name="SAN_JUAN_DE_RIO">#REF!</definedName>
    <definedName name="SANITARY" localSheetId="4">#REF!</definedName>
    <definedName name="SANITARY" localSheetId="5">#REF!</definedName>
    <definedName name="SANITARY" localSheetId="0">#REF!</definedName>
    <definedName name="SANITARY">#REF!</definedName>
    <definedName name="sap" localSheetId="4">#REF!</definedName>
    <definedName name="sap" localSheetId="5">#REF!</definedName>
    <definedName name="sap" localSheetId="0">#REF!</definedName>
    <definedName name="sap">#REF!</definedName>
    <definedName name="SAPCO">2*4.4*1100</definedName>
    <definedName name="SAPCOPA">5*4.4*1100</definedName>
    <definedName name="SAPIC">14430</definedName>
    <definedName name="SAPMIKON">5*4.4*1100</definedName>
    <definedName name="SAPMIOP">5*5000</definedName>
    <definedName name="SAPMISZK">4.4*1100*10</definedName>
    <definedName name="SAPSERI">1140000*0.15*4.2925/12</definedName>
    <definedName name="SAPSERII">1140000*0.15*4.2319/12</definedName>
    <definedName name="SAPSERIII">1140000*0.15*4.2019/12</definedName>
    <definedName name="SAPSERIV">1140000*0.15*4.2774/12</definedName>
    <definedName name="sargin" localSheetId="4">#REF!</definedName>
    <definedName name="sargin" localSheetId="5">#REF!</definedName>
    <definedName name="sargin" localSheetId="0">#REF!</definedName>
    <definedName name="sargin">#REF!</definedName>
    <definedName name="Sartowice_w1" localSheetId="4">#REF!</definedName>
    <definedName name="Sartowice_w1" localSheetId="5">#REF!</definedName>
    <definedName name="Sartowice_w1" localSheetId="0">#REF!</definedName>
    <definedName name="Sartowice_w1">#REF!</definedName>
    <definedName name="SAS" localSheetId="4">#REF!</definedName>
    <definedName name="SAS" localSheetId="5">#REF!</definedName>
    <definedName name="SAS" localSheetId="0">#REF!</definedName>
    <definedName name="SAS">#REF!</definedName>
    <definedName name="SC" localSheetId="4">IF(VLOOKUP(#REF!,#REF!,5)*VLOOKUP(#REF!,#REF!,9)*#REF!*#REF!=0,0,VLOOKUP(#REF!,#REF!,5)*VLOOKUP(#REF!,#REF!,9)*#REF!*#REF!)</definedName>
    <definedName name="SC" localSheetId="5">IF(VLOOKUP(#REF!,#REF!,5)*VLOOKUP(#REF!,#REF!,9)*#REF!*#REF!=0,0,VLOOKUP(#REF!,#REF!,5)*VLOOKUP(#REF!,#REF!,9)*#REF!*#REF!)</definedName>
    <definedName name="SC" localSheetId="0">IF(VLOOKUP(#REF!,#REF!,5)*VLOOKUP(#REF!,#REF!,9)*#REF!*#REF!=0,0,VLOOKUP(#REF!,#REF!,5)*VLOOKUP(#REF!,#REF!,9)*#REF!*#REF!)</definedName>
    <definedName name="SC">IF(VLOOKUP(#REF!,#REF!,5)*VLOOKUP(#REF!,#REF!,9)*#REF!*#REF!=0,0,VLOOKUP(#REF!,#REF!,5)*VLOOKUP(#REF!,#REF!,9)*#REF!*#REF!)</definedName>
    <definedName name="SC_MAT_EQUIP" localSheetId="0">#REF!</definedName>
    <definedName name="SC_MAT_EQUIP">#REF!</definedName>
    <definedName name="SCALE_UP" localSheetId="0">#REF!</definedName>
    <definedName name="SCALE_UP">#REF!</definedName>
    <definedName name="scarce" localSheetId="4" hidden="1">{#N/A,#N/A,FALSE,"Summary";#N/A,#N/A,FALSE,"3TJ";#N/A,#N/A,FALSE,"3TN";#N/A,#N/A,FALSE,"3TP";#N/A,#N/A,FALSE,"3SJ";#N/A,#N/A,FALSE,"3CJ";#N/A,#N/A,FALSE,"3CN";#N/A,#N/A,FALSE,"3CP";#N/A,#N/A,FALSE,"3A"}</definedName>
    <definedName name="scarce" localSheetId="6" hidden="1">{#N/A,#N/A,FALSE,"Summary";#N/A,#N/A,FALSE,"3TJ";#N/A,#N/A,FALSE,"3TN";#N/A,#N/A,FALSE,"3TP";#N/A,#N/A,FALSE,"3SJ";#N/A,#N/A,FALSE,"3CJ";#N/A,#N/A,FALSE,"3CN";#N/A,#N/A,FALSE,"3CP";#N/A,#N/A,FALSE,"3A"}</definedName>
    <definedName name="scarce" localSheetId="5" hidden="1">{#N/A,#N/A,FALSE,"Summary";#N/A,#N/A,FALSE,"3TJ";#N/A,#N/A,FALSE,"3TN";#N/A,#N/A,FALSE,"3TP";#N/A,#N/A,FALSE,"3SJ";#N/A,#N/A,FALSE,"3CJ";#N/A,#N/A,FALSE,"3CN";#N/A,#N/A,FALSE,"3CP";#N/A,#N/A,FALSE,"3A"}</definedName>
    <definedName name="scarce" localSheetId="0"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en" localSheetId="4">#REF!</definedName>
    <definedName name="Scen" localSheetId="0">#REF!</definedName>
    <definedName name="Scen">#REF!</definedName>
    <definedName name="Sched_Pay" localSheetId="4">#REF!</definedName>
    <definedName name="Sched_Pay" localSheetId="5">#REF!</definedName>
    <definedName name="Sched_Pay" localSheetId="0">#REF!</definedName>
    <definedName name="Sched_Pay">#REF!</definedName>
    <definedName name="Scheduled_Extra_Payments" localSheetId="4">#REF!</definedName>
    <definedName name="Scheduled_Extra_Payments" localSheetId="5">#REF!</definedName>
    <definedName name="Scheduled_Extra_Payments" localSheetId="0">#REF!</definedName>
    <definedName name="Scheduled_Extra_Payments">#REF!</definedName>
    <definedName name="Scheduled_Interest_Rate" localSheetId="4">#REF!</definedName>
    <definedName name="Scheduled_Interest_Rate" localSheetId="5">#REF!</definedName>
    <definedName name="Scheduled_Interest_Rate" localSheetId="0">#REF!</definedName>
    <definedName name="Scheduled_Interest_Rate">#REF!</definedName>
    <definedName name="Scheduled_Monthly_Payment" localSheetId="4">#REF!</definedName>
    <definedName name="Scheduled_Monthly_Payment" localSheetId="0">#REF!</definedName>
    <definedName name="Scheduled_Monthly_Payment">#REF!</definedName>
    <definedName name="Schneider">0.93</definedName>
    <definedName name="schody" localSheetId="4">#REF!</definedName>
    <definedName name="schody" localSheetId="5">#REF!</definedName>
    <definedName name="schody" localSheetId="0">#REF!</definedName>
    <definedName name="schody">#REF!</definedName>
    <definedName name="SCHrs" localSheetId="4">IF(VLOOKUP(#REF!,#REF!,11)*#REF!*#REF!=0,0,VLOOKUP(#REF!,#REF!,11)*#REF!*#REF!)</definedName>
    <definedName name="SCHrs" localSheetId="5">IF(VLOOKUP(#REF!,#REF!,11)*#REF!*#REF!=0,0,VLOOKUP(#REF!,#REF!,11)*#REF!*#REF!)</definedName>
    <definedName name="SCHrs" localSheetId="0">IF(VLOOKUP(#REF!,#REF!,11)*#REF!*#REF!=0,0,VLOOKUP(#REF!,#REF!,11)*#REF!*#REF!)</definedName>
    <definedName name="SCHrs">IF(VLOOKUP(#REF!,#REF!,11)*#REF!*#REF!=0,0,VLOOKUP(#REF!,#REF!,11)*#REF!*#REF!)</definedName>
    <definedName name="SCHrs1" localSheetId="0">IF(VLOOKUP(#REF!,#REF!,11)*#REF!*#REF!=0,0,VLOOKUP(#REF!,#REF!,11)*#REF!*#REF!)</definedName>
    <definedName name="SCHrs1">IF(VLOOKUP(#REF!,#REF!,11)*#REF!*#REF!=0,0,VLOOKUP(#REF!,#REF!,11)*#REF!*#REF!)</definedName>
    <definedName name="ŚCIANKA.TRACONA" localSheetId="4">#REF!</definedName>
    <definedName name="ŚCIANKA.TRACONA" localSheetId="5">#REF!</definedName>
    <definedName name="ŚCIANKA.TRACONA" localSheetId="0">#REF!</definedName>
    <definedName name="ŚCIANKA.TRACONA">#REF!</definedName>
    <definedName name="ŚCIANKA.TYMCZAS" localSheetId="4">#REF!</definedName>
    <definedName name="ŚCIANKA.TYMCZAS" localSheetId="5">#REF!</definedName>
    <definedName name="ŚCIANKA.TYMCZAS" localSheetId="0">#REF!</definedName>
    <definedName name="ŚCIANKA.TYMCZAS">#REF!</definedName>
    <definedName name="scianka_pozostawiona" localSheetId="4">#REF!</definedName>
    <definedName name="scianka_pozostawiona" localSheetId="5">#REF!</definedName>
    <definedName name="scianka_pozostawiona" localSheetId="0">#REF!</definedName>
    <definedName name="scianka_pozostawiona">#REF!</definedName>
    <definedName name="ścianka_stała" localSheetId="4">#REF!</definedName>
    <definedName name="ścianka_stała" localSheetId="0">#REF!</definedName>
    <definedName name="ścianka_stała">#REF!</definedName>
    <definedName name="scianka_tymczasowa" localSheetId="4">#REF!</definedName>
    <definedName name="scianka_tymczasowa" localSheetId="0">#REF!</definedName>
    <definedName name="scianka_tymczasowa">#REF!</definedName>
    <definedName name="ścianka_tymczasowa" localSheetId="4">#REF!</definedName>
    <definedName name="ścianka_tymczasowa" localSheetId="0">#REF!</definedName>
    <definedName name="ścianka_tymczasowa">#REF!</definedName>
    <definedName name="Ścianki_szczelne_pozostawione">650</definedName>
    <definedName name="Ścianki_szczelne_wyciągane">400</definedName>
    <definedName name="ŚCIANY.BOCZNE.ŻYWICE" localSheetId="4">#REF!</definedName>
    <definedName name="ŚCIANY.BOCZNE.ŻYWICE" localSheetId="5">#REF!</definedName>
    <definedName name="ŚCIANY.BOCZNE.ŻYWICE" localSheetId="0">#REF!</definedName>
    <definedName name="ŚCIANY.BOCZNE.ŻYWICE">#REF!</definedName>
    <definedName name="ŚCIEK.PREFABRYKOWANY" localSheetId="4">#REF!</definedName>
    <definedName name="ŚCIEK.PREFABRYKOWANY" localSheetId="5">#REF!</definedName>
    <definedName name="ŚCIEK.PREFABRYKOWANY" localSheetId="0">#REF!</definedName>
    <definedName name="ŚCIEK.PREFABRYKOWANY">#REF!</definedName>
    <definedName name="ściek_drogowy_mulda_30cm_m" localSheetId="4">#REF!</definedName>
    <definedName name="ściek_drogowy_mulda_30cm_m" localSheetId="5">#REF!</definedName>
    <definedName name="ściek_drogowy_mulda_30cm_m" localSheetId="0">#REF!</definedName>
    <definedName name="ściek_drogowy_mulda_30cm_m">#REF!</definedName>
    <definedName name="ściek_drogowy_mulda_m" localSheetId="4">#REF!</definedName>
    <definedName name="ściek_drogowy_mulda_m" localSheetId="5">#REF!</definedName>
    <definedName name="ściek_drogowy_mulda_m" localSheetId="0">#REF!</definedName>
    <definedName name="ściek_drogowy_mulda_m">#REF!</definedName>
    <definedName name="ściek_podchodnikowy_m" localSheetId="4">#REF!</definedName>
    <definedName name="ściek_podchodnikowy_m" localSheetId="5">#REF!</definedName>
    <definedName name="ściek_podchodnikowy_m" localSheetId="0">#REF!</definedName>
    <definedName name="ściek_podchodnikowy_m">#REF!</definedName>
    <definedName name="ściek_przykrawężnikowy" localSheetId="4">#REF!</definedName>
    <definedName name="ściek_przykrawężnikowy" localSheetId="0">#REF!</definedName>
    <definedName name="ściek_przykrawężnikowy">#REF!</definedName>
    <definedName name="ściek_skarpowy_m" localSheetId="4">#REF!</definedName>
    <definedName name="ściek_skarpowy_m" localSheetId="0">#REF!</definedName>
    <definedName name="ściek_skarpowy_m">#REF!</definedName>
    <definedName name="ściek_skarpowy_monolityczny_m" localSheetId="4">#REF!</definedName>
    <definedName name="ściek_skarpowy_monolityczny_m" localSheetId="0">#REF!</definedName>
    <definedName name="ściek_skarpowy_monolityczny_m">#REF!</definedName>
    <definedName name="SCIEKI">1608/12</definedName>
    <definedName name="ścieralna" localSheetId="4">#REF!</definedName>
    <definedName name="ścieralna" localSheetId="5">#REF!</definedName>
    <definedName name="ścieralna" localSheetId="0">#REF!</definedName>
    <definedName name="ścieralna">#REF!</definedName>
    <definedName name="ścieralna_BA" localSheetId="4">#REF!</definedName>
    <definedName name="ścieralna_BA" localSheetId="5">#REF!</definedName>
    <definedName name="ścieralna_BA" localSheetId="0">#REF!</definedName>
    <definedName name="ścieralna_BA">#REF!</definedName>
    <definedName name="ścieralna_łącznik" localSheetId="4">#REF!</definedName>
    <definedName name="ścieralna_łącznik" localSheetId="5">#REF!</definedName>
    <definedName name="ścieralna_łącznik" localSheetId="0">#REF!</definedName>
    <definedName name="ścieralna_łącznik">#REF!</definedName>
    <definedName name="ścieralna_wb" localSheetId="4">#REF!</definedName>
    <definedName name="ścieralna_wb" localSheetId="0">#REF!</definedName>
    <definedName name="ścieralna_wb">#REF!</definedName>
    <definedName name="ścieralna_z_AC" localSheetId="4">#REF!</definedName>
    <definedName name="ścieralna_z_AC" localSheetId="0">#REF!</definedName>
    <definedName name="ścieralna_z_AC">#REF!</definedName>
    <definedName name="ścieralna_z_AC_zjazdy" localSheetId="4">#REF!</definedName>
    <definedName name="ścieralna_z_AC_zjazdy" localSheetId="0">#REF!</definedName>
    <definedName name="ścieralna_z_AC_zjazdy">#REF!</definedName>
    <definedName name="ścieralna_z_płyt_ażurowych" localSheetId="4">#REF!</definedName>
    <definedName name="ścieralna_z_płyt_ażurowych" localSheetId="0">#REF!</definedName>
    <definedName name="ścieralna_z_płyt_ażurowych">#REF!</definedName>
    <definedName name="ścierlana_z_betonu_B40" localSheetId="4">#REF!</definedName>
    <definedName name="ścierlana_z_betonu_B40" localSheetId="0">#REF!</definedName>
    <definedName name="ścierlana_z_betonu_B40">#REF!</definedName>
    <definedName name="ścierlana_z_płyt_ażurowych" localSheetId="4">#REF!</definedName>
    <definedName name="ścierlana_z_płyt_ażurowych" localSheetId="0">#REF!</definedName>
    <definedName name="ścierlana_z_płyt_ażurowych">#REF!</definedName>
    <definedName name="Sciezka" localSheetId="4">#REF!</definedName>
    <definedName name="Sciezka" localSheetId="0">#REF!</definedName>
    <definedName name="Sciezka">#REF!</definedName>
    <definedName name="sciężki" localSheetId="0">#REF!</definedName>
    <definedName name="sciężki">#REF!</definedName>
    <definedName name="SCom" localSheetId="4">#REF!</definedName>
    <definedName name="SCom" localSheetId="5">#REF!</definedName>
    <definedName name="SCom" localSheetId="0">#REF!</definedName>
    <definedName name="SCom">#REF!</definedName>
    <definedName name="sd" localSheetId="4" hidden="1">{#N/A,#N/A,FALSE,"SumG";#N/A,#N/A,FALSE,"ElecG";#N/A,#N/A,FALSE,"MechG";#N/A,#N/A,FALSE,"GeotG";#N/A,#N/A,FALSE,"PrcsG";#N/A,#N/A,FALSE,"TunnG";#N/A,#N/A,FALSE,"CivlG";#N/A,#N/A,FALSE,"NtwkG";#N/A,#N/A,FALSE,"EstgG";#N/A,#N/A,FALSE,"PEngG"}</definedName>
    <definedName name="sd" localSheetId="6" hidden="1">{#N/A,#N/A,FALSE,"SumG";#N/A,#N/A,FALSE,"ElecG";#N/A,#N/A,FALSE,"MechG";#N/A,#N/A,FALSE,"GeotG";#N/A,#N/A,FALSE,"PrcsG";#N/A,#N/A,FALSE,"TunnG";#N/A,#N/A,FALSE,"CivlG";#N/A,#N/A,FALSE,"NtwkG";#N/A,#N/A,FALSE,"EstgG";#N/A,#N/A,FALSE,"PEngG"}</definedName>
    <definedName name="sd" localSheetId="5" hidden="1">{#N/A,#N/A,FALSE,"SumG";#N/A,#N/A,FALSE,"ElecG";#N/A,#N/A,FALSE,"MechG";#N/A,#N/A,FALSE,"GeotG";#N/A,#N/A,FALSE,"PrcsG";#N/A,#N/A,FALSE,"TunnG";#N/A,#N/A,FALSE,"CivlG";#N/A,#N/A,FALSE,"NtwkG";#N/A,#N/A,FALSE,"EstgG";#N/A,#N/A,FALSE,"PEngG"}</definedName>
    <definedName name="sd" localSheetId="0"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fasfdafd" localSheetId="4">#REF!</definedName>
    <definedName name="sdfasfdafd" localSheetId="5">#REF!</definedName>
    <definedName name="sdfasfdafd" localSheetId="0">#REF!</definedName>
    <definedName name="sdfasfdafd">#REF!</definedName>
    <definedName name="sdfg" localSheetId="0">#REF!</definedName>
    <definedName name="sdfg">#REF!</definedName>
    <definedName name="sdfgh" localSheetId="4">#REF!</definedName>
    <definedName name="sdfgh" localSheetId="5">#REF!</definedName>
    <definedName name="sdfgh" localSheetId="0">#REF!</definedName>
    <definedName name="sdfgh">#REF!</definedName>
    <definedName name="sdfsafsa" localSheetId="4" hidden="1">{"CONCABL1.1",#N/A,FALSE,"1.1.1a1.1.3 ACSR";"AISL1.2",#N/A,FALSE,"1.1.1a1.1.3 ACSR";"torr1.1.3",#N/A,FALSE,"1.1.1a1.1.3 ACSR";"cm1.2",#N/A,FALSE,"1.2 ACSR";"cm2.2",#N/A,FALSE,"1.2 ACSR";#N/A,#N/A,FALSE,"1.3 ACSR";#N/A,#N/A,FALSE,"2.1.1A2.1.3 ACAR";"ac2.1",#N/A,FALSE,"1.2 ACAR";"ac2.2",#N/A,FALSE,"1.2 ACAR";#N/A,#N/A,FALSE,"2.3 ACAR"}</definedName>
    <definedName name="sdfsafsa" localSheetId="5" hidden="1">{"CONCABL1.1",#N/A,FALSE,"1.1.1a1.1.3 ACSR";"AISL1.2",#N/A,FALSE,"1.1.1a1.1.3 ACSR";"torr1.1.3",#N/A,FALSE,"1.1.1a1.1.3 ACSR";"cm1.2",#N/A,FALSE,"1.2 ACSR";"cm2.2",#N/A,FALSE,"1.2 ACSR";#N/A,#N/A,FALSE,"1.3 ACSR";#N/A,#N/A,FALSE,"2.1.1A2.1.3 ACAR";"ac2.1",#N/A,FALSE,"1.2 ACAR";"ac2.2",#N/A,FALSE,"1.2 ACAR";#N/A,#N/A,FALSE,"2.3 ACAR"}</definedName>
    <definedName name="sdfsafsa" localSheetId="0" hidden="1">{"CONCABL1.1",#N/A,FALSE,"1.1.1a1.1.3 ACSR";"AISL1.2",#N/A,FALSE,"1.1.1a1.1.3 ACSR";"torr1.1.3",#N/A,FALSE,"1.1.1a1.1.3 ACSR";"cm1.2",#N/A,FALSE,"1.2 ACSR";"cm2.2",#N/A,FALSE,"1.2 ACSR";#N/A,#N/A,FALSE,"1.3 ACSR";#N/A,#N/A,FALSE,"2.1.1A2.1.3 ACAR";"ac2.1",#N/A,FALSE,"1.2 ACAR";"ac2.2",#N/A,FALSE,"1.2 ACAR";#N/A,#N/A,FALSE,"2.3 ACAR"}</definedName>
    <definedName name="sdfsafsa" hidden="1">{"CONCABL1.1",#N/A,FALSE,"1.1.1a1.1.3 ACSR";"AISL1.2",#N/A,FALSE,"1.1.1a1.1.3 ACSR";"torr1.1.3",#N/A,FALSE,"1.1.1a1.1.3 ACSR";"cm1.2",#N/A,FALSE,"1.2 ACSR";"cm2.2",#N/A,FALSE,"1.2 ACSR";#N/A,#N/A,FALSE,"1.3 ACSR";#N/A,#N/A,FALSE,"2.1.1A2.1.3 ACAR";"ac2.1",#N/A,FALSE,"1.2 ACAR";"ac2.2",#N/A,FALSE,"1.2 ACAR";#N/A,#N/A,FALSE,"2.3 ACAR"}</definedName>
    <definedName name="sec" localSheetId="4">#REF!</definedName>
    <definedName name="sec" localSheetId="5">#REF!</definedName>
    <definedName name="sec" localSheetId="0">#REF!</definedName>
    <definedName name="sec">#REF!</definedName>
    <definedName name="SEC_GIBRALMORA" localSheetId="0">#REF!</definedName>
    <definedName name="SEC_GIBRALMORA">#REF!</definedName>
    <definedName name="SEC_TEVILLA" localSheetId="0">#REF!</definedName>
    <definedName name="SEC_TEVILLA">#REF!</definedName>
    <definedName name="SECTION" localSheetId="4">#REF!</definedName>
    <definedName name="SECTION" localSheetId="5">#REF!</definedName>
    <definedName name="SECTION" localSheetId="0">#REF!</definedName>
    <definedName name="SECTION">#REF!</definedName>
    <definedName name="SEGMENTS" localSheetId="4">#REF!</definedName>
    <definedName name="SEGMENTS" localSheetId="5">#REF!</definedName>
    <definedName name="SEGMENTS" localSheetId="0">#REF!</definedName>
    <definedName name="SEGMENTS">#REF!</definedName>
    <definedName name="segundamoneda" localSheetId="4">#REF!</definedName>
    <definedName name="segundamoneda" localSheetId="5">#REF!</definedName>
    <definedName name="segundamoneda" localSheetId="0">#REF!</definedName>
    <definedName name="segundamoneda">#REF!</definedName>
    <definedName name="sekur" localSheetId="4">#REF!</definedName>
    <definedName name="sekur" localSheetId="0">#REF!</definedName>
    <definedName name="sekur">#REF!</definedName>
    <definedName name="SEMANAL" localSheetId="4">#REF!</definedName>
    <definedName name="SEMANAL" localSheetId="0">#REF!</definedName>
    <definedName name="SEMANAL">#REF!</definedName>
    <definedName name="SEMANAL22" localSheetId="4">#REF!</definedName>
    <definedName name="SEMANAL22" localSheetId="0">#REF!</definedName>
    <definedName name="SEMANAL22">#REF!</definedName>
    <definedName name="SERVICE" localSheetId="4">#REF!</definedName>
    <definedName name="SERVICE" localSheetId="0">#REF!</definedName>
    <definedName name="SERVICE">#REF!</definedName>
    <definedName name="Services2" localSheetId="4" hidden="1">{#N/A,#N/A,FALSE,"Pricing";#N/A,#N/A,FALSE,"Summary";#N/A,#N/A,FALSE,"CompProd";#N/A,#N/A,FALSE,"CompJobhrs";#N/A,#N/A,FALSE,"Escalation";#N/A,#N/A,FALSE,"Contingency";#N/A,#N/A,FALSE,"GM";#N/A,#N/A,FALSE,"CompWage";#N/A,#N/A,FALSE,"costSum"}</definedName>
    <definedName name="Services2" localSheetId="6" hidden="1">{#N/A,#N/A,FALSE,"Pricing";#N/A,#N/A,FALSE,"Summary";#N/A,#N/A,FALSE,"CompProd";#N/A,#N/A,FALSE,"CompJobhrs";#N/A,#N/A,FALSE,"Escalation";#N/A,#N/A,FALSE,"Contingency";#N/A,#N/A,FALSE,"GM";#N/A,#N/A,FALSE,"CompWage";#N/A,#N/A,FALSE,"costSum"}</definedName>
    <definedName name="Services2" localSheetId="5" hidden="1">{#N/A,#N/A,FALSE,"Pricing";#N/A,#N/A,FALSE,"Summary";#N/A,#N/A,FALSE,"CompProd";#N/A,#N/A,FALSE,"CompJobhrs";#N/A,#N/A,FALSE,"Escalation";#N/A,#N/A,FALSE,"Contingency";#N/A,#N/A,FALSE,"GM";#N/A,#N/A,FALSE,"CompWage";#N/A,#N/A,FALSE,"costSum"}</definedName>
    <definedName name="Services2" localSheetId="0"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sse2" localSheetId="4">#REF!</definedName>
    <definedName name="Sesse2" localSheetId="5">#REF!</definedName>
    <definedName name="Sesse2" localSheetId="0">#REF!</definedName>
    <definedName name="Sesse2">#REF!</definedName>
    <definedName name="SETUP" localSheetId="0">#REF!</definedName>
    <definedName name="SETUP">#REF!</definedName>
    <definedName name="sez" localSheetId="0">#REF!</definedName>
    <definedName name="sez">#REF!</definedName>
    <definedName name="sfawefga" localSheetId="4" hidden="1">#REF!</definedName>
    <definedName name="sfawefga" localSheetId="5" hidden="1">#REF!</definedName>
    <definedName name="sfawefga" localSheetId="0" hidden="1">#REF!</definedName>
    <definedName name="sfawefga" hidden="1">#REF!</definedName>
    <definedName name="sffff" localSheetId="4" hidden="1">{#N/A,#N/A,FALSE,"SumD";#N/A,#N/A,FALSE,"ElecD";#N/A,#N/A,FALSE,"MechD";#N/A,#N/A,FALSE,"GeotD";#N/A,#N/A,FALSE,"PrcsD";#N/A,#N/A,FALSE,"TunnD";#N/A,#N/A,FALSE,"CivlD";#N/A,#N/A,FALSE,"NtwkD";#N/A,#N/A,FALSE,"EstgD";#N/A,#N/A,FALSE,"PEngD"}</definedName>
    <definedName name="sffff" localSheetId="6" hidden="1">{#N/A,#N/A,FALSE,"SumD";#N/A,#N/A,FALSE,"ElecD";#N/A,#N/A,FALSE,"MechD";#N/A,#N/A,FALSE,"GeotD";#N/A,#N/A,FALSE,"PrcsD";#N/A,#N/A,FALSE,"TunnD";#N/A,#N/A,FALSE,"CivlD";#N/A,#N/A,FALSE,"NtwkD";#N/A,#N/A,FALSE,"EstgD";#N/A,#N/A,FALSE,"PEngD"}</definedName>
    <definedName name="sffff" localSheetId="5" hidden="1">{#N/A,#N/A,FALSE,"SumD";#N/A,#N/A,FALSE,"ElecD";#N/A,#N/A,FALSE,"MechD";#N/A,#N/A,FALSE,"GeotD";#N/A,#N/A,FALSE,"PrcsD";#N/A,#N/A,FALSE,"TunnD";#N/A,#N/A,FALSE,"CivlD";#N/A,#N/A,FALSE,"NtwkD";#N/A,#N/A,FALSE,"EstgD";#N/A,#N/A,FALSE,"PEngD"}</definedName>
    <definedName name="sffff" localSheetId="0"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GAST5" localSheetId="4" hidden="1">{#N/A,#N/A,FALSE,"IC_Global";#N/A,#N/A,FALSE,"IC_Global (98-f)";#N/A,#N/A,FALSE,"Inc";#N/A,#N/A,FALSE,"CAMBIOS (2)";#N/A,#N/A,FALSE,"EXPL Inc.";#N/A,#N/A,FALSE,"HITOS98";#N/A,#N/A,FALSE,"CURVA ""S"" GLOBAL ";#N/A,#N/A,FALSE,"CURVA ""S"" 1998 "}</definedName>
    <definedName name="SFGAST5" localSheetId="5" hidden="1">{#N/A,#N/A,FALSE,"IC_Global";#N/A,#N/A,FALSE,"IC_Global (98-f)";#N/A,#N/A,FALSE,"Inc";#N/A,#N/A,FALSE,"CAMBIOS (2)";#N/A,#N/A,FALSE,"EXPL Inc.";#N/A,#N/A,FALSE,"HITOS98";#N/A,#N/A,FALSE,"CURVA ""S"" GLOBAL ";#N/A,#N/A,FALSE,"CURVA ""S"" 1998 "}</definedName>
    <definedName name="SFGAST5" localSheetId="0" hidden="1">{#N/A,#N/A,FALSE,"IC_Global";#N/A,#N/A,FALSE,"IC_Global (98-f)";#N/A,#N/A,FALSE,"Inc";#N/A,#N/A,FALSE,"CAMBIOS (2)";#N/A,#N/A,FALSE,"EXPL Inc.";#N/A,#N/A,FALSE,"HITOS98";#N/A,#N/A,FALSE,"CURVA ""S"" GLOBAL ";#N/A,#N/A,FALSE,"CURVA ""S"" 1998 "}</definedName>
    <definedName name="SFGAST5" hidden="1">{#N/A,#N/A,FALSE,"IC_Global";#N/A,#N/A,FALSE,"IC_Global (98-f)";#N/A,#N/A,FALSE,"Inc";#N/A,#N/A,FALSE,"CAMBIOS (2)";#N/A,#N/A,FALSE,"EXPL Inc.";#N/A,#N/A,FALSE,"HITOS98";#N/A,#N/A,FALSE,"CURVA ""S"" GLOBAL ";#N/A,#N/A,FALSE,"CURVA ""S"" 1998 "}</definedName>
    <definedName name="sfsd" localSheetId="4">#REF!</definedName>
    <definedName name="sfsd" localSheetId="5">#REF!</definedName>
    <definedName name="sfsd" localSheetId="0">#REF!</definedName>
    <definedName name="sfsd">#REF!</definedName>
    <definedName name="sfsfds" localSheetId="4">#REF!</definedName>
    <definedName name="sfsfds" localSheetId="5">#REF!</definedName>
    <definedName name="sfsfds" localSheetId="0">#REF!</definedName>
    <definedName name="sfsfds">#REF!</definedName>
    <definedName name="SFSTRT" localSheetId="4" hidden="1">{#N/A,#N/A,FALSE,"masez (10)";#N/A,#N/A,FALSE,"masez (7)";#N/A,#N/A,FALSE,"masez (6)";#N/A,#N/A,FALSE,"masez (5)";#N/A,#N/A,FALSE,"masez (4)";#N/A,#N/A,FALSE,"masez (3)";#N/A,#N/A,FALSE,"masez (2)";#N/A,#N/A,FALSE,"GME";#N/A,#N/A,FALSE,"masez"}</definedName>
    <definedName name="SFSTRT" localSheetId="5" hidden="1">{#N/A,#N/A,FALSE,"masez (10)";#N/A,#N/A,FALSE,"masez (7)";#N/A,#N/A,FALSE,"masez (6)";#N/A,#N/A,FALSE,"masez (5)";#N/A,#N/A,FALSE,"masez (4)";#N/A,#N/A,FALSE,"masez (3)";#N/A,#N/A,FALSE,"masez (2)";#N/A,#N/A,FALSE,"GME";#N/A,#N/A,FALSE,"masez"}</definedName>
    <definedName name="SFSTRT" localSheetId="0" hidden="1">{#N/A,#N/A,FALSE,"masez (10)";#N/A,#N/A,FALSE,"masez (7)";#N/A,#N/A,FALSE,"masez (6)";#N/A,#N/A,FALSE,"masez (5)";#N/A,#N/A,FALSE,"masez (4)";#N/A,#N/A,FALSE,"masez (3)";#N/A,#N/A,FALSE,"masez (2)";#N/A,#N/A,FALSE,"GME";#N/A,#N/A,FALSE,"masez"}</definedName>
    <definedName name="SFSTRT" hidden="1">{#N/A,#N/A,FALSE,"masez (10)";#N/A,#N/A,FALSE,"masez (7)";#N/A,#N/A,FALSE,"masez (6)";#N/A,#N/A,FALSE,"masez (5)";#N/A,#N/A,FALSE,"masez (4)";#N/A,#N/A,FALSE,"masez (3)";#N/A,#N/A,FALSE,"masez (2)";#N/A,#N/A,FALSE,"GME";#N/A,#N/A,FALSE,"masez"}</definedName>
    <definedName name="SHARED_FORMULA_0">#N/A</definedName>
    <definedName name="SHARED_FORMULA_0_133_0_133_28">NA()</definedName>
    <definedName name="SHARED_FORMULA_0_14_0_14_34">NA()</definedName>
    <definedName name="SHARED_FORMULA_0_15_0_15_28">NA()</definedName>
    <definedName name="SHARED_FORMULA_0_160_0_160_41">NA()</definedName>
    <definedName name="SHARED_FORMULA_0_20_0_20_30">NA()</definedName>
    <definedName name="SHARED_FORMULA_0_24_0_24_16">NA()</definedName>
    <definedName name="SHARED_FORMULA_0_58_0_58_35">NA()</definedName>
    <definedName name="SHARED_FORMULA_0_593_0_593_0">NA()</definedName>
    <definedName name="SHARED_FORMULA_0_67_0_67_27">NA()</definedName>
    <definedName name="SHARED_FORMULA_0_7_0_7_38">NA()</definedName>
    <definedName name="SHARED_FORMULA_0_74_0_74_34">NA()</definedName>
    <definedName name="SHARED_FORMULA_0_75_0_75_28">NA()</definedName>
    <definedName name="SHARED_FORMULA_0_843_0_843_0">NA()</definedName>
    <definedName name="SHARED_FORMULA_1">#N/A</definedName>
    <definedName name="SHARED_FORMULA_1_10_1_10_31">NA()</definedName>
    <definedName name="SHARED_FORMULA_1_11_1_11_24">NA()</definedName>
    <definedName name="SHARED_FORMULA_1_111_1_111_26">NA()</definedName>
    <definedName name="SHARED_FORMULA_1_115_1_115_31">NA()</definedName>
    <definedName name="SHARED_FORMULA_1_123_1_123_24">NA()</definedName>
    <definedName name="SHARED_FORMULA_1_135_1_135_26">NA()</definedName>
    <definedName name="SHARED_FORMULA_1_160_1_160_26">NA()</definedName>
    <definedName name="SHARED_FORMULA_1_18_1_18_31">NA()</definedName>
    <definedName name="SHARED_FORMULA_1_185_1_185_26">NA()</definedName>
    <definedName name="SHARED_FORMULA_1_22_1_22_24">NA()</definedName>
    <definedName name="SHARED_FORMULA_1_242_1_242_0">NA()</definedName>
    <definedName name="SHARED_FORMULA_1_246_1_246_0">NA()</definedName>
    <definedName name="SHARED_FORMULA_1_249_1_249_0">NA()</definedName>
    <definedName name="SHARED_FORMULA_1_262_1_262_0">NA()</definedName>
    <definedName name="SHARED_FORMULA_1_266_1_266_0">NA()</definedName>
    <definedName name="SHARED_FORMULA_1_269_1_269_0">NA()</definedName>
    <definedName name="SHARED_FORMULA_1_281_1_281_0">NA()</definedName>
    <definedName name="SHARED_FORMULA_1_286_1_286_0">NA()</definedName>
    <definedName name="SHARED_FORMULA_1_302_1_302_0">NA()</definedName>
    <definedName name="SHARED_FORMULA_1_305_1_305_0">NA()</definedName>
    <definedName name="SHARED_FORMULA_1_308_1_308_0">NA()</definedName>
    <definedName name="SHARED_FORMULA_1_31_1_31_31">NA()</definedName>
    <definedName name="SHARED_FORMULA_1_35_1_35_24">NA()</definedName>
    <definedName name="SHARED_FORMULA_1_39_1_39_21">NA()</definedName>
    <definedName name="SHARED_FORMULA_1_426_1_426_0">NA()</definedName>
    <definedName name="SHARED_FORMULA_1_430_1_430_0">NA()</definedName>
    <definedName name="SHARED_FORMULA_1_433_1_433_0">NA()</definedName>
    <definedName name="SHARED_FORMULA_1_446_1_446_0">NA()</definedName>
    <definedName name="SHARED_FORMULA_1_45_1_45_31">NA()</definedName>
    <definedName name="SHARED_FORMULA_1_450_1_450_0">NA()</definedName>
    <definedName name="SHARED_FORMULA_1_453_1_453_0">NA()</definedName>
    <definedName name="SHARED_FORMULA_1_465_1_465_0">NA()</definedName>
    <definedName name="SHARED_FORMULA_1_470_1_470_0">NA()</definedName>
    <definedName name="SHARED_FORMULA_1_486_1_486_0">NA()</definedName>
    <definedName name="SHARED_FORMULA_1_489_1_489_0">NA()</definedName>
    <definedName name="SHARED_FORMULA_1_49_1_49_24">NA()</definedName>
    <definedName name="SHARED_FORMULA_1_492_1_492_0">NA()</definedName>
    <definedName name="SHARED_FORMULA_1_67_1_67_31">NA()</definedName>
    <definedName name="SHARED_FORMULA_1_73_1_73_24">NA()</definedName>
    <definedName name="SHARED_FORMULA_1_73_1_73_26">NA()</definedName>
    <definedName name="SHARED_FORMULA_1_84_1_84_26">NA()</definedName>
    <definedName name="SHARED_FORMULA_1_90_1_90_31">NA()</definedName>
    <definedName name="SHARED_FORMULA_1_97_1_97_26">NA()</definedName>
    <definedName name="SHARED_FORMULA_1_98_1_98_24">NA()</definedName>
    <definedName name="SHARED_FORMULA_10">#N/A</definedName>
    <definedName name="SHARED_FORMULA_10_132_10_132_28">NA()</definedName>
    <definedName name="SHARED_FORMULA_10_18_10_18_0">NA()</definedName>
    <definedName name="SHARED_FORMULA_10_19_10_19_30">NA()</definedName>
    <definedName name="SHARED_FORMULA_10_23_10_23_16">NA()</definedName>
    <definedName name="SHARED_FORMULA_10_30_10_30_0">NA()</definedName>
    <definedName name="SHARED_FORMULA_10_57_10_57_35">NA()</definedName>
    <definedName name="SHARED_FORMULA_10_6_10_6_38">NA()</definedName>
    <definedName name="SHARED_FORMULA_10_66_10_66_27">NA()</definedName>
    <definedName name="SHARED_FORMULA_10_7_10_7_37">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_18_11_18_0">NA()</definedName>
    <definedName name="SHARED_FORMULA_11_30_11_30_0">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_18_12_18_0">NA()</definedName>
    <definedName name="SHARED_FORMULA_12_30_12_30_0">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6">#N/A</definedName>
    <definedName name="SHARED_FORMULA_17">#N/A</definedName>
    <definedName name="SHARED_FORMULA_18">#N/A</definedName>
    <definedName name="SHARED_FORMULA_18_13_18_13_0">NA()</definedName>
    <definedName name="SHARED_FORMULA_19">#N/A</definedName>
    <definedName name="SHARED_FORMULA_2">#N/A</definedName>
    <definedName name="SHARED_FORMULA_2_44_2_44_12">NA()</definedName>
    <definedName name="SHARED_FORMULA_2_45_2_45_17">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_16_3_16_19">NA()</definedName>
    <definedName name="SHARED_FORMULA_3_7_3_7_19">NA()</definedName>
    <definedName name="SHARED_FORMULA_3_8_3_8_37">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_1013_4_1013_14">NA()</definedName>
    <definedName name="SHARED_FORMULA_4_1051_4_1051_14">NA()</definedName>
    <definedName name="SHARED_FORMULA_4_1098_4_1098_14">NA()</definedName>
    <definedName name="SHARED_FORMULA_4_11_4_11_10">NA()</definedName>
    <definedName name="SHARED_FORMULA_4_11_4_11_13">NA()</definedName>
    <definedName name="SHARED_FORMULA_4_11_4_11_14">NA()</definedName>
    <definedName name="SHARED_FORMULA_4_110_4_110_14">NA()</definedName>
    <definedName name="SHARED_FORMULA_4_113_4_113_13">NA()</definedName>
    <definedName name="SHARED_FORMULA_4_1145_4_1145_14">NA()</definedName>
    <definedName name="SHARED_FORMULA_4_115_4_115_11">NA()</definedName>
    <definedName name="SHARED_FORMULA_4_116_4_116_12">NA()</definedName>
    <definedName name="SHARED_FORMULA_4_116_4_116_48">NA()</definedName>
    <definedName name="SHARED_FORMULA_4_1178_4_1178_14">NA()</definedName>
    <definedName name="SHARED_FORMULA_4_122_4_122_18">NA()</definedName>
    <definedName name="SHARED_FORMULA_4_1221_4_1221_14">NA()</definedName>
    <definedName name="SHARED_FORMULA_4_1237_4_1237_14">NA()</definedName>
    <definedName name="SHARED_FORMULA_4_125_4_125_38">NA()</definedName>
    <definedName name="SHARED_FORMULA_4_1263_4_1263_14">NA()</definedName>
    <definedName name="SHARED_FORMULA_4_1301_4_1301_14">NA()</definedName>
    <definedName name="SHARED_FORMULA_4_133_4_133_48">NA()</definedName>
    <definedName name="SHARED_FORMULA_4_135_4_135_11">NA()</definedName>
    <definedName name="SHARED_FORMULA_4_139_4_139_14">NA()</definedName>
    <definedName name="SHARED_FORMULA_4_1406_4_1406_14">NA()</definedName>
    <definedName name="SHARED_FORMULA_4_141_4_141_10">NA()</definedName>
    <definedName name="SHARED_FORMULA_4_141_4_141_38">NA()</definedName>
    <definedName name="SHARED_FORMULA_4_1453_4_1453_14">NA()</definedName>
    <definedName name="SHARED_FORMULA_4_1507_4_1507_14">NA()</definedName>
    <definedName name="SHARED_FORMULA_4_1556_4_1556_14">NA()</definedName>
    <definedName name="SHARED_FORMULA_4_1586_4_1586_14">NA()</definedName>
    <definedName name="SHARED_FORMULA_4_159_4_159_41">NA()</definedName>
    <definedName name="SHARED_FORMULA_4_159_4_159_48">NA()</definedName>
    <definedName name="SHARED_FORMULA_4_16_4_16_19">NA()</definedName>
    <definedName name="SHARED_FORMULA_4_160_4_160_11">NA()</definedName>
    <definedName name="SHARED_FORMULA_4_160_4_160_13">NA()</definedName>
    <definedName name="SHARED_FORMULA_4_1607_4_1607_14">NA()</definedName>
    <definedName name="SHARED_FORMULA_4_1640_4_1640_14">NA()</definedName>
    <definedName name="SHARED_FORMULA_4_1710_4_1710_14">NA()</definedName>
    <definedName name="SHARED_FORMULA_4_176_4_176_13">NA()</definedName>
    <definedName name="SHARED_FORMULA_4_1760_4_1760_14">NA()</definedName>
    <definedName name="SHARED_FORMULA_4_1797_4_1797_14">NA()</definedName>
    <definedName name="SHARED_FORMULA_4_1821_4_1821_14">NA()</definedName>
    <definedName name="SHARED_FORMULA_4_187_4_187_14">NA()</definedName>
    <definedName name="SHARED_FORMULA_4_1897_4_1897_14">NA()</definedName>
    <definedName name="SHARED_FORMULA_4_19_4_19_38">NA()</definedName>
    <definedName name="SHARED_FORMULA_4_1914_4_1914_14">NA()</definedName>
    <definedName name="SHARED_FORMULA_4_195_4_195_13">NA()</definedName>
    <definedName name="SHARED_FORMULA_4_200_4_200_0">NA()</definedName>
    <definedName name="SHARED_FORMULA_4_209_4_209_14">NA()</definedName>
    <definedName name="SHARED_FORMULA_4_213_4_213_12">NA()</definedName>
    <definedName name="SHARED_FORMULA_4_232_4_232_13">NA()</definedName>
    <definedName name="SHARED_FORMULA_4_26_4_26_0" localSheetId="4">SUM(#REF!)</definedName>
    <definedName name="SHARED_FORMULA_4_26_4_26_0" localSheetId="6">SUM(#REF!)</definedName>
    <definedName name="SHARED_FORMULA_4_26_4_26_0">SUM(#REF!)</definedName>
    <definedName name="SHARED_FORMULA_4_26_4_26_11">NA()</definedName>
    <definedName name="SHARED_FORMULA_4_267_4_267_41">NA()</definedName>
    <definedName name="SHARED_FORMULA_4_274_4_274_13">NA()</definedName>
    <definedName name="SHARED_FORMULA_4_276_4_276_12">NA()</definedName>
    <definedName name="SHARED_FORMULA_4_300_4_300_12">NA()</definedName>
    <definedName name="SHARED_FORMULA_4_317_4_317_12">NA()</definedName>
    <definedName name="SHARED_FORMULA_4_317_4_317_13">NA()</definedName>
    <definedName name="SHARED_FORMULA_4_33_4_33_1">NA()</definedName>
    <definedName name="SHARED_FORMULA_4_336_4_336_14">NA()</definedName>
    <definedName name="SHARED_FORMULA_4_338_4_338_13">NA()</definedName>
    <definedName name="SHARED_FORMULA_4_35_4_35_10">NA()</definedName>
    <definedName name="SHARED_FORMULA_4_359_4_359_13">NA()</definedName>
    <definedName name="SHARED_FORMULA_4_39_4_39_0" localSheetId="4">SUM(#REF!)</definedName>
    <definedName name="SHARED_FORMULA_4_39_4_39_0" localSheetId="6">SUM(#REF!)</definedName>
    <definedName name="SHARED_FORMULA_4_39_4_39_0">SUM(#REF!)</definedName>
    <definedName name="SHARED_FORMULA_4_4_4_4_0" localSheetId="4">SUM(#REF!)</definedName>
    <definedName name="SHARED_FORMULA_4_4_4_4_0" localSheetId="6">SUM(#REF!)</definedName>
    <definedName name="SHARED_FORMULA_4_4_4_4_0">SUM(#REF!)</definedName>
    <definedName name="SHARED_FORMULA_4_4_4_4_1">NA()</definedName>
    <definedName name="SHARED_FORMULA_4_41_4_41_48">NA()</definedName>
    <definedName name="SHARED_FORMULA_4_425_4_425_13">NA()</definedName>
    <definedName name="SHARED_FORMULA_4_449_4_449_13">NA()</definedName>
    <definedName name="SHARED_FORMULA_4_458_4_458_14">NA()</definedName>
    <definedName name="SHARED_FORMULA_4_471_4_471_13">NA()</definedName>
    <definedName name="SHARED_FORMULA_4_49_4_49_38">NA()</definedName>
    <definedName name="SHARED_FORMULA_4_5_4_5_1" localSheetId="4">SUM(#REF!)</definedName>
    <definedName name="SHARED_FORMULA_4_5_4_5_1" localSheetId="6">SUM(#REF!)</definedName>
    <definedName name="SHARED_FORMULA_4_5_4_5_1">SUM(#REF!)</definedName>
    <definedName name="SHARED_FORMULA_4_5_4_5_2" localSheetId="4">SUM(#REF!)</definedName>
    <definedName name="SHARED_FORMULA_4_5_4_5_2" localSheetId="6">SUM(#REF!)</definedName>
    <definedName name="SHARED_FORMULA_4_5_4_5_2">SUM(#REF!)</definedName>
    <definedName name="SHARED_FORMULA_4_529_4_529_14">NA()</definedName>
    <definedName name="SHARED_FORMULA_4_559_4_559_14">NA()</definedName>
    <definedName name="SHARED_FORMULA_4_57_4_57_10">NA()</definedName>
    <definedName name="SHARED_FORMULA_4_592_4_592_0">NA()</definedName>
    <definedName name="SHARED_FORMULA_4_6_4_6_34">NA()</definedName>
    <definedName name="SHARED_FORMULA_4_6_4_6_48">NA()</definedName>
    <definedName name="SHARED_FORMULA_4_62_4_62_38">NA()</definedName>
    <definedName name="SHARED_FORMULA_4_63_4_63_11">NA()</definedName>
    <definedName name="SHARED_FORMULA_4_63_4_63_12">NA()</definedName>
    <definedName name="SHARED_FORMULA_4_630_4_630_14">NA()</definedName>
    <definedName name="SHARED_FORMULA_4_69_4_69_14">NA()</definedName>
    <definedName name="SHARED_FORMULA_4_692_4_692_14">NA()</definedName>
    <definedName name="SHARED_FORMULA_4_7_4_7_19">NA()</definedName>
    <definedName name="SHARED_FORMULA_4_7_4_7_41">NA()</definedName>
    <definedName name="SHARED_FORMULA_4_715_4_715_14">NA()</definedName>
    <definedName name="SHARED_FORMULA_4_75_4_75_13">NA()</definedName>
    <definedName name="SHARED_FORMULA_4_75_4_75_38">NA()</definedName>
    <definedName name="SHARED_FORMULA_4_756_4_756_14">NA()</definedName>
    <definedName name="SHARED_FORMULA_4_789_4_789_0">NA()</definedName>
    <definedName name="SHARED_FORMULA_4_8_4_8_11">NA()</definedName>
    <definedName name="SHARED_FORMULA_4_8_4_8_12">NA()</definedName>
    <definedName name="SHARED_FORMULA_4_815_4_815_14">NA()</definedName>
    <definedName name="SHARED_FORMULA_4_842_4_842_0">NA()</definedName>
    <definedName name="SHARED_FORMULA_4_86_4_86_12">NA()</definedName>
    <definedName name="SHARED_FORMULA_4_873_4_873_14">NA()</definedName>
    <definedName name="SHARED_FORMULA_4_905_4_905_14">NA()</definedName>
    <definedName name="SHARED_FORMULA_4_92_4_92_11">NA()</definedName>
    <definedName name="SHARED_FORMULA_4_92_4_92_38">NA()</definedName>
    <definedName name="SHARED_FORMULA_4_921_4_921_0">NA()</definedName>
    <definedName name="SHARED_FORMULA_4_921_4_921_14">NA()</definedName>
    <definedName name="SHARED_FORMULA_4_959_4_959_14">NA()</definedName>
    <definedName name="SHARED_FORMULA_4_96_4_96_10">NA()</definedName>
    <definedName name="SHARED_FORMULA_4_994_4_994_1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_1013_5_1013_14">NA()</definedName>
    <definedName name="SHARED_FORMULA_5_1051_5_1051_14">NA()</definedName>
    <definedName name="SHARED_FORMULA_5_1098_5_1098_14">NA()</definedName>
    <definedName name="SHARED_FORMULA_5_11_5_11_10">NA()</definedName>
    <definedName name="SHARED_FORMULA_5_11_5_11_13">NA()</definedName>
    <definedName name="SHARED_FORMULA_5_11_5_11_14">NA()</definedName>
    <definedName name="SHARED_FORMULA_5_11_5_11_24">NA()</definedName>
    <definedName name="SHARED_FORMULA_5_11_5_11_26">NA()</definedName>
    <definedName name="SHARED_FORMULA_5_11_5_11_31">NA()</definedName>
    <definedName name="SHARED_FORMULA_5_110_5_110_14">NA()</definedName>
    <definedName name="SHARED_FORMULA_5_112_5_112_0">NA()</definedName>
    <definedName name="SHARED_FORMULA_5_113_5_113_13">NA()</definedName>
    <definedName name="SHARED_FORMULA_5_1145_5_1145_14">NA()</definedName>
    <definedName name="SHARED_FORMULA_5_115_5_115_11">NA()</definedName>
    <definedName name="SHARED_FORMULA_5_116_5_116_12">NA()</definedName>
    <definedName name="SHARED_FORMULA_5_1178_5_1178_14">NA()</definedName>
    <definedName name="SHARED_FORMULA_5_12_5_12_19">NA()</definedName>
    <definedName name="SHARED_FORMULA_5_1221_5_1221_14">NA()</definedName>
    <definedName name="SHARED_FORMULA_5_1237_5_1237_14">NA()</definedName>
    <definedName name="SHARED_FORMULA_5_1263_5_1263_14">NA()</definedName>
    <definedName name="SHARED_FORMULA_5_1301_5_1301_14">NA()</definedName>
    <definedName name="SHARED_FORMULA_5_135_5_135_11">NA()</definedName>
    <definedName name="SHARED_FORMULA_5_139_5_139_14">NA()</definedName>
    <definedName name="SHARED_FORMULA_5_1406_5_1406_14">NA()</definedName>
    <definedName name="SHARED_FORMULA_5_141_5_141_10">NA()</definedName>
    <definedName name="SHARED_FORMULA_5_1453_5_1453_14">NA()</definedName>
    <definedName name="SHARED_FORMULA_5_149_5_149_0">NA()</definedName>
    <definedName name="SHARED_FORMULA_5_1507_5_1507_14">NA()</definedName>
    <definedName name="SHARED_FORMULA_5_1556_5_1556_14">NA()</definedName>
    <definedName name="SHARED_FORMULA_5_1586_5_1586_14">NA()</definedName>
    <definedName name="SHARED_FORMULA_5_16_5_16_19">NA()</definedName>
    <definedName name="SHARED_FORMULA_5_160_5_160_11">NA()</definedName>
    <definedName name="SHARED_FORMULA_5_160_5_160_13">NA()</definedName>
    <definedName name="SHARED_FORMULA_5_1607_5_1607_14">NA()</definedName>
    <definedName name="SHARED_FORMULA_5_1640_5_1640_14">NA()</definedName>
    <definedName name="SHARED_FORMULA_5_1710_5_1710_14">NA()</definedName>
    <definedName name="SHARED_FORMULA_5_176_5_176_13">NA()</definedName>
    <definedName name="SHARED_FORMULA_5_1760_5_1760_14">NA()</definedName>
    <definedName name="SHARED_FORMULA_5_1797_5_1797_14">NA()</definedName>
    <definedName name="SHARED_FORMULA_5_1821_5_1821_14">NA()</definedName>
    <definedName name="SHARED_FORMULA_5_187_5_187_14">NA()</definedName>
    <definedName name="SHARED_FORMULA_5_1897_5_1897_14">NA()</definedName>
    <definedName name="SHARED_FORMULA_5_1914_5_1914_14">NA()</definedName>
    <definedName name="SHARED_FORMULA_5_195_5_195_13">NA()</definedName>
    <definedName name="SHARED_FORMULA_5_209_5_209_14">NA()</definedName>
    <definedName name="SHARED_FORMULA_5_213_5_213_12">NA()</definedName>
    <definedName name="SHARED_FORMULA_5_23_5_23_37">NA()</definedName>
    <definedName name="SHARED_FORMULA_5_232_5_232_13">NA()</definedName>
    <definedName name="SHARED_FORMULA_5_26_5_26_11">NA()</definedName>
    <definedName name="SHARED_FORMULA_5_274_5_274_13">NA()</definedName>
    <definedName name="SHARED_FORMULA_5_276_5_276_12">NA()</definedName>
    <definedName name="SHARED_FORMULA_5_300_5_300_12">NA()</definedName>
    <definedName name="SHARED_FORMULA_5_317_5_317_12">NA()</definedName>
    <definedName name="SHARED_FORMULA_5_317_5_317_13">NA()</definedName>
    <definedName name="SHARED_FORMULA_5_33_5_33_1">NA()</definedName>
    <definedName name="SHARED_FORMULA_5_336_5_336_14">NA()</definedName>
    <definedName name="SHARED_FORMULA_5_338_5_338_13">NA()</definedName>
    <definedName name="SHARED_FORMULA_5_35_5_35_10">NA()</definedName>
    <definedName name="SHARED_FORMULA_5_359_5_359_13">NA()</definedName>
    <definedName name="SHARED_FORMULA_5_36_5_36_0">NA()</definedName>
    <definedName name="SHARED_FORMULA_5_39_5_39_0">NA()</definedName>
    <definedName name="SHARED_FORMULA_5_39_5_39_50">NA()</definedName>
    <definedName name="SHARED_FORMULA_5_4_5_4_1">NA()</definedName>
    <definedName name="SHARED_FORMULA_5_409_5_409_51">NA()</definedName>
    <definedName name="SHARED_FORMULA_5_42_5_42_0">NA()</definedName>
    <definedName name="SHARED_FORMULA_5_425_5_425_13">NA()</definedName>
    <definedName name="SHARED_FORMULA_5_449_5_449_13">NA()</definedName>
    <definedName name="SHARED_FORMULA_5_458_5_458_14">NA()</definedName>
    <definedName name="SHARED_FORMULA_5_471_5_471_13">NA()</definedName>
    <definedName name="SHARED_FORMULA_5_529_5_529_14">NA()</definedName>
    <definedName name="SHARED_FORMULA_5_559_5_559_14">NA()</definedName>
    <definedName name="SHARED_FORMULA_5_57_5_57_10">NA()</definedName>
    <definedName name="SHARED_FORMULA_5_592_5_592_0">NA()</definedName>
    <definedName name="SHARED_FORMULA_5_63_5_63_11">NA()</definedName>
    <definedName name="SHARED_FORMULA_5_63_5_63_12">NA()</definedName>
    <definedName name="SHARED_FORMULA_5_630_5_630_14">NA()</definedName>
    <definedName name="SHARED_FORMULA_5_69_5_69_14">NA()</definedName>
    <definedName name="SHARED_FORMULA_5_692_5_692_14">NA()</definedName>
    <definedName name="SHARED_FORMULA_5_7_5_7_0">NA()</definedName>
    <definedName name="SHARED_FORMULA_5_7_5_7_16">NA()</definedName>
    <definedName name="SHARED_FORMULA_5_7_5_7_19">NA()</definedName>
    <definedName name="SHARED_FORMULA_5_7_5_7_37">NA()</definedName>
    <definedName name="SHARED_FORMULA_5_715_5_715_14">NA()</definedName>
    <definedName name="SHARED_FORMULA_5_75_5_75_13">NA()</definedName>
    <definedName name="SHARED_FORMULA_5_756_5_756_14">NA()</definedName>
    <definedName name="SHARED_FORMULA_5_789_5_789_0">NA()</definedName>
    <definedName name="SHARED_FORMULA_5_8_5_8_11">NA()</definedName>
    <definedName name="SHARED_FORMULA_5_8_5_8_12">NA()</definedName>
    <definedName name="SHARED_FORMULA_5_815_5_815_14">NA()</definedName>
    <definedName name="SHARED_FORMULA_5_82_5_82_12">1*2</definedName>
    <definedName name="SHARED_FORMULA_5_842_5_842_0">NA()</definedName>
    <definedName name="SHARED_FORMULA_5_86_5_86_12">NA()</definedName>
    <definedName name="SHARED_FORMULA_5_873_5_873_14">NA()</definedName>
    <definedName name="SHARED_FORMULA_5_9_5_9_21">NA()</definedName>
    <definedName name="SHARED_FORMULA_5_905_5_905_14">NA()</definedName>
    <definedName name="SHARED_FORMULA_5_92_5_92_11">NA()</definedName>
    <definedName name="SHARED_FORMULA_5_921_5_921_0">NA()</definedName>
    <definedName name="SHARED_FORMULA_5_921_5_921_14">NA()</definedName>
    <definedName name="SHARED_FORMULA_5_959_5_959_14">NA()</definedName>
    <definedName name="SHARED_FORMULA_5_96_5_96_10">NA()</definedName>
    <definedName name="SHARED_FORMULA_5_97_5_97_12">1*2</definedName>
    <definedName name="SHARED_FORMULA_5_994_5_994_14">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_1012_6_1012_14">NA()</definedName>
    <definedName name="SHARED_FORMULA_6_1050_6_1050_14">NA()</definedName>
    <definedName name="SHARED_FORMULA_6_107_6_107_14">NA()</definedName>
    <definedName name="SHARED_FORMULA_6_1097_6_1097_14">NA()</definedName>
    <definedName name="SHARED_FORMULA_6_110_6_110_13">NA()</definedName>
    <definedName name="SHARED_FORMULA_6_114_6_114_16">NA()</definedName>
    <definedName name="SHARED_FORMULA_6_1144_6_1144_14">NA()</definedName>
    <definedName name="SHARED_FORMULA_6_115_6_115_11">NA()</definedName>
    <definedName name="SHARED_FORMULA_6_116_6_116_12">NA()</definedName>
    <definedName name="SHARED_FORMULA_6_1177_6_1177_14">NA()</definedName>
    <definedName name="SHARED_FORMULA_6_122_6_122_16">NA()</definedName>
    <definedName name="SHARED_FORMULA_6_1220_6_1220_14">NA()</definedName>
    <definedName name="SHARED_FORMULA_6_1236_6_1236_14">NA()</definedName>
    <definedName name="SHARED_FORMULA_6_1262_6_1262_14">NA()</definedName>
    <definedName name="SHARED_FORMULA_6_13_6_13_17">NA()</definedName>
    <definedName name="SHARED_FORMULA_6_1300_6_1300_14">NA()</definedName>
    <definedName name="SHARED_FORMULA_6_132_6_132_28">NA()</definedName>
    <definedName name="SHARED_FORMULA_6_135_6_135_11">NA()</definedName>
    <definedName name="SHARED_FORMULA_6_136_6_136_14">NA()</definedName>
    <definedName name="SHARED_FORMULA_6_14_6_14_12">NA()</definedName>
    <definedName name="SHARED_FORMULA_6_14_6_14_28">NA()</definedName>
    <definedName name="SHARED_FORMULA_6_1405_6_1405_14">NA()</definedName>
    <definedName name="SHARED_FORMULA_6_142_6_142_10">NA()</definedName>
    <definedName name="SHARED_FORMULA_6_1452_6_1452_14">NA()</definedName>
    <definedName name="SHARED_FORMULA_6_149_6_149_0">NA()</definedName>
    <definedName name="SHARED_FORMULA_6_1506_6_1506_14">NA()</definedName>
    <definedName name="SHARED_FORMULA_6_1555_6_1555_14">NA()</definedName>
    <definedName name="SHARED_FORMULA_6_1585_6_1585_14">NA()</definedName>
    <definedName name="SHARED_FORMULA_6_16_6_16_19">NA()</definedName>
    <definedName name="SHARED_FORMULA_6_160_6_160_11">NA()</definedName>
    <definedName name="SHARED_FORMULA_6_160_6_160_13">NA()</definedName>
    <definedName name="SHARED_FORMULA_6_1606_6_1606_14">NA()</definedName>
    <definedName name="SHARED_FORMULA_6_1639_6_1639_14">NA()</definedName>
    <definedName name="SHARED_FORMULA_6_165_6_165_0">NA()</definedName>
    <definedName name="SHARED_FORMULA_6_1709_6_1709_14">NA()</definedName>
    <definedName name="SHARED_FORMULA_6_1744_6_1744_14">NA()</definedName>
    <definedName name="SHARED_FORMULA_6_1759_6_1759_14">NA()</definedName>
    <definedName name="SHARED_FORMULA_6_176_6_176_13">NA()</definedName>
    <definedName name="SHARED_FORMULA_6_1796_6_1796_14">NA()</definedName>
    <definedName name="SHARED_FORMULA_6_1820_6_1820_14">NA()</definedName>
    <definedName name="SHARED_FORMULA_6_184_6_184_14">NA()</definedName>
    <definedName name="SHARED_FORMULA_6_1896_6_1896_14">NA()</definedName>
    <definedName name="SHARED_FORMULA_6_19_6_19_30">NA()</definedName>
    <definedName name="SHARED_FORMULA_6_1913_6_1913_14">NA()</definedName>
    <definedName name="SHARED_FORMULA_6_195_6_195_13">NA()</definedName>
    <definedName name="SHARED_FORMULA_6_206_6_206_14">NA()</definedName>
    <definedName name="SHARED_FORMULA_6_21_6_21_7">NA()</definedName>
    <definedName name="SHARED_FORMULA_6_213_6_213_12">NA()</definedName>
    <definedName name="SHARED_FORMULA_6_22_6_22_17">NA()</definedName>
    <definedName name="SHARED_FORMULA_6_221_6_221_0">NA()</definedName>
    <definedName name="SHARED_FORMULA_6_23_6_23_16">NA()</definedName>
    <definedName name="SHARED_FORMULA_6_23_6_23_50">NA()</definedName>
    <definedName name="SHARED_FORMULA_6_232_6_232_13">NA()</definedName>
    <definedName name="SHARED_FORMULA_6_252_6_252_0">NA()</definedName>
    <definedName name="SHARED_FORMULA_6_26_6_26_11">NA()</definedName>
    <definedName name="SHARED_FORMULA_6_270_6_270_0">NA()</definedName>
    <definedName name="SHARED_FORMULA_6_274_6_274_13">NA()</definedName>
    <definedName name="SHARED_FORMULA_6_276_6_276_12">NA()</definedName>
    <definedName name="SHARED_FORMULA_6_28_6_28_21">NA()</definedName>
    <definedName name="SHARED_FORMULA_6_287_6_287_0">NA()</definedName>
    <definedName name="SHARED_FORMULA_6_288_6_288_41">NA()</definedName>
    <definedName name="SHARED_FORMULA_6_300_6_300_12">NA()</definedName>
    <definedName name="SHARED_FORMULA_6_306_6_306_0">NA()</definedName>
    <definedName name="SHARED_FORMULA_6_309_6_309_0">NA()</definedName>
    <definedName name="SHARED_FORMULA_6_317_6_317_12">NA()</definedName>
    <definedName name="SHARED_FORMULA_6_317_6_317_13">NA()</definedName>
    <definedName name="SHARED_FORMULA_6_323_6_323_0">NA()</definedName>
    <definedName name="SHARED_FORMULA_6_329_6_329_0">NA()</definedName>
    <definedName name="SHARED_FORMULA_6_332_6_332_0">NA()</definedName>
    <definedName name="SHARED_FORMULA_6_333_6_333_14">NA()</definedName>
    <definedName name="SHARED_FORMULA_6_338_6_338_0">NA()</definedName>
    <definedName name="SHARED_FORMULA_6_338_6_338_13">NA()</definedName>
    <definedName name="SHARED_FORMULA_6_342_6_342_0">NA()</definedName>
    <definedName name="SHARED_FORMULA_6_346_6_346_0">NA()</definedName>
    <definedName name="SHARED_FORMULA_6_35_6_35_10">NA()</definedName>
    <definedName name="SHARED_FORMULA_6_351_6_351_0">NA()</definedName>
    <definedName name="SHARED_FORMULA_6_352_6_352_51">NA()</definedName>
    <definedName name="SHARED_FORMULA_6_358_6_358_0">NA()</definedName>
    <definedName name="SHARED_FORMULA_6_359_6_359_13">NA()</definedName>
    <definedName name="SHARED_FORMULA_6_36_6_36_0">NA()</definedName>
    <definedName name="SHARED_FORMULA_6_36_6_36_27">NA()</definedName>
    <definedName name="SHARED_FORMULA_6_361_6_361_0">NA()</definedName>
    <definedName name="SHARED_FORMULA_6_370_6_370_0">NA()</definedName>
    <definedName name="SHARED_FORMULA_6_382_6_382_0">NA()</definedName>
    <definedName name="SHARED_FORMULA_6_385_6_385_51">NA()</definedName>
    <definedName name="SHARED_FORMULA_6_39_6_39_0">NA()</definedName>
    <definedName name="SHARED_FORMULA_6_39_6_39_50">NA()</definedName>
    <definedName name="SHARED_FORMULA_6_391_6_391_0">NA()</definedName>
    <definedName name="SHARED_FORMULA_6_405_6_405_0">NA()</definedName>
    <definedName name="SHARED_FORMULA_6_41_6_41_32">NA()</definedName>
    <definedName name="SHARED_FORMULA_6_414_6_414_0">NA()</definedName>
    <definedName name="SHARED_FORMULA_6_417_6_417_0">NA()</definedName>
    <definedName name="SHARED_FORMULA_6_42_6_42_0">NA()</definedName>
    <definedName name="SHARED_FORMULA_6_423_6_423_0">NA()</definedName>
    <definedName name="SHARED_FORMULA_6_425_6_425_13">NA()</definedName>
    <definedName name="SHARED_FORMULA_6_428_6_428_0">NA()</definedName>
    <definedName name="SHARED_FORMULA_6_431_6_431_0">NA()</definedName>
    <definedName name="SHARED_FORMULA_6_439_6_439_0">NA()</definedName>
    <definedName name="SHARED_FORMULA_6_449_6_449_0">NA()</definedName>
    <definedName name="SHARED_FORMULA_6_449_6_449_13">NA()</definedName>
    <definedName name="SHARED_FORMULA_6_454_6_454_0">NA()</definedName>
    <definedName name="SHARED_FORMULA_6_455_6_455_14">NA()</definedName>
    <definedName name="SHARED_FORMULA_6_457_6_457_0">NA()</definedName>
    <definedName name="SHARED_FORMULA_6_46_6_46_50">NA()</definedName>
    <definedName name="SHARED_FORMULA_6_462_6_462_0">NA()</definedName>
    <definedName name="SHARED_FORMULA_6_466_6_466_0">NA()</definedName>
    <definedName name="SHARED_FORMULA_6_471_6_471_13">NA()</definedName>
    <definedName name="SHARED_FORMULA_6_473_6_473_0">NA()</definedName>
    <definedName name="SHARED_FORMULA_6_480_6_480_0">NA()</definedName>
    <definedName name="SHARED_FORMULA_6_487_6_487_0">NA()</definedName>
    <definedName name="SHARED_FORMULA_6_490_6_490_0">NA()</definedName>
    <definedName name="SHARED_FORMULA_6_495_6_495_0">NA()</definedName>
    <definedName name="SHARED_FORMULA_6_498_6_498_0">NA()</definedName>
    <definedName name="SHARED_FORMULA_6_507_6_507_0">NA()</definedName>
    <definedName name="SHARED_FORMULA_6_513_6_513_0">NA()</definedName>
    <definedName name="SHARED_FORMULA_6_526_6_526_14">NA()</definedName>
    <definedName name="SHARED_FORMULA_6_527_6_527_0">NA()</definedName>
    <definedName name="SHARED_FORMULA_6_547_6_547_0">NA()</definedName>
    <definedName name="SHARED_FORMULA_6_551_6_551_0">NA()</definedName>
    <definedName name="SHARED_FORMULA_6_555_6_555_0">NA()</definedName>
    <definedName name="SHARED_FORMULA_6_556_6_556_14">NA()</definedName>
    <definedName name="SHARED_FORMULA_6_559_6_559_0">NA()</definedName>
    <definedName name="SHARED_FORMULA_6_563_6_563_0">NA()</definedName>
    <definedName name="SHARED_FORMULA_6_567_6_567_0">NA()</definedName>
    <definedName name="SHARED_FORMULA_6_57_6_57_10">NA()</definedName>
    <definedName name="SHARED_FORMULA_6_57_6_57_35">NA()</definedName>
    <definedName name="SHARED_FORMULA_6_576_6_576_0">NA()</definedName>
    <definedName name="SHARED_FORMULA_6_592_6_592_0">NA()</definedName>
    <definedName name="SHARED_FORMULA_6_6_6_6_17">NA()</definedName>
    <definedName name="SHARED_FORMULA_6_6_6_6_36">NA()</definedName>
    <definedName name="SHARED_FORMULA_6_6_6_6_38">NA()</definedName>
    <definedName name="SHARED_FORMULA_6_6_6_6_44">NA()</definedName>
    <definedName name="SHARED_FORMULA_6_629_6_629_14">NA()</definedName>
    <definedName name="SHARED_FORMULA_6_63_6_63_11">NA()</definedName>
    <definedName name="SHARED_FORMULA_6_63_6_63_12">NA()</definedName>
    <definedName name="SHARED_FORMULA_6_63_6_63_50">NA()</definedName>
    <definedName name="SHARED_FORMULA_6_66_6_66_14">NA()</definedName>
    <definedName name="SHARED_FORMULA_6_66_6_66_27">NA()</definedName>
    <definedName name="SHARED_FORMULA_6_691_6_691_14">NA()</definedName>
    <definedName name="SHARED_FORMULA_6_7_6_7_0">NA()</definedName>
    <definedName name="SHARED_FORMULA_6_7_6_7_19">NA()</definedName>
    <definedName name="SHARED_FORMULA_6_7_6_7_43">NA()</definedName>
    <definedName name="SHARED_FORMULA_6_714_6_714_14">NA()</definedName>
    <definedName name="SHARED_FORMULA_6_72_6_72_13">NA()</definedName>
    <definedName name="SHARED_FORMULA_6_74_6_74_28">NA()</definedName>
    <definedName name="SHARED_FORMULA_6_755_6_755_14">NA()</definedName>
    <definedName name="SHARED_FORMULA_6_789_6_789_0">NA()</definedName>
    <definedName name="SHARED_FORMULA_6_8_6_8_10">NA()</definedName>
    <definedName name="SHARED_FORMULA_6_8_6_8_11">NA()</definedName>
    <definedName name="SHARED_FORMULA_6_8_6_8_12">NA()</definedName>
    <definedName name="SHARED_FORMULA_6_8_6_8_13">NA()</definedName>
    <definedName name="SHARED_FORMULA_6_8_6_8_14">NA()</definedName>
    <definedName name="SHARED_FORMULA_6_8_6_8_21">NA()</definedName>
    <definedName name="SHARED_FORMULA_6_8_6_8_27">NA()</definedName>
    <definedName name="SHARED_FORMULA_6_8_6_8_50">NA()</definedName>
    <definedName name="SHARED_FORMULA_6_81_6_81_16">NA()</definedName>
    <definedName name="SHARED_FORMULA_6_814_6_814_14">NA()</definedName>
    <definedName name="SHARED_FORMULA_6_842_6_842_0">NA()</definedName>
    <definedName name="SHARED_FORMULA_6_86_6_86_12">NA()</definedName>
    <definedName name="SHARED_FORMULA_6_872_6_872_14">NA()</definedName>
    <definedName name="SHARED_FORMULA_6_904_6_904_14">NA()</definedName>
    <definedName name="SHARED_FORMULA_6_92_6_92_11">NA()</definedName>
    <definedName name="SHARED_FORMULA_6_920_6_920_14">NA()</definedName>
    <definedName name="SHARED_FORMULA_6_921_6_921_0">NA()</definedName>
    <definedName name="SHARED_FORMULA_6_94_6_94_16">NA()</definedName>
    <definedName name="SHARED_FORMULA_6_958_6_958_14">NA()</definedName>
    <definedName name="SHARED_FORMULA_6_97_6_97_10">NA()</definedName>
    <definedName name="SHARED_FORMULA_6_978_6_978_14">NA()</definedName>
    <definedName name="SHARED_FORMULA_6_993_6_993_14">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_1012_7_1012_14">NA()</definedName>
    <definedName name="SHARED_FORMULA_7_1050_7_1050_14">NA()</definedName>
    <definedName name="SHARED_FORMULA_7_107_7_107_14">NA()</definedName>
    <definedName name="SHARED_FORMULA_7_1097_7_1097_14">NA()</definedName>
    <definedName name="SHARED_FORMULA_7_110_7_110_13">NA()</definedName>
    <definedName name="SHARED_FORMULA_7_114_7_114_16">NA()</definedName>
    <definedName name="SHARED_FORMULA_7_1144_7_1144_14">NA()</definedName>
    <definedName name="SHARED_FORMULA_7_115_7_115_11">NA()</definedName>
    <definedName name="SHARED_FORMULA_7_116_7_116_12">NA()</definedName>
    <definedName name="SHARED_FORMULA_7_1177_7_1177_14">NA()</definedName>
    <definedName name="SHARED_FORMULA_7_122_7_122_16">NA()</definedName>
    <definedName name="SHARED_FORMULA_7_1220_7_1220_14">NA()</definedName>
    <definedName name="SHARED_FORMULA_7_1236_7_1236_14">NA()</definedName>
    <definedName name="SHARED_FORMULA_7_1262_7_1262_14">NA()</definedName>
    <definedName name="SHARED_FORMULA_7_13_7_13_0">NA()</definedName>
    <definedName name="SHARED_FORMULA_7_1300_7_1300_14">NA()</definedName>
    <definedName name="SHARED_FORMULA_7_135_7_135_11">NA()</definedName>
    <definedName name="SHARED_FORMULA_7_136_7_136_14">NA()</definedName>
    <definedName name="SHARED_FORMULA_7_14_7_14_28">NA()</definedName>
    <definedName name="SHARED_FORMULA_7_14_7_14_41">NA()</definedName>
    <definedName name="SHARED_FORMULA_7_140_7_140_10">NA()</definedName>
    <definedName name="SHARED_FORMULA_7_1405_7_1405_14">NA()</definedName>
    <definedName name="SHARED_FORMULA_7_1452_7_1452_14">NA()</definedName>
    <definedName name="SHARED_FORMULA_7_1506_7_1506_14">NA()</definedName>
    <definedName name="SHARED_FORMULA_7_1555_7_1555_14">NA()</definedName>
    <definedName name="SHARED_FORMULA_7_1585_7_1585_14">NA()</definedName>
    <definedName name="SHARED_FORMULA_7_160_7_160_11">NA()</definedName>
    <definedName name="SHARED_FORMULA_7_160_7_160_13">NA()</definedName>
    <definedName name="SHARED_FORMULA_7_1606_7_1606_14">NA()</definedName>
    <definedName name="SHARED_FORMULA_7_1639_7_1639_14">NA()</definedName>
    <definedName name="SHARED_FORMULA_7_166_7_166_41">NA()</definedName>
    <definedName name="SHARED_FORMULA_7_1709_7_1709_14">NA()</definedName>
    <definedName name="SHARED_FORMULA_7_1744_7_1744_14">NA()</definedName>
    <definedName name="SHARED_FORMULA_7_1759_7_1759_14">NA()</definedName>
    <definedName name="SHARED_FORMULA_7_176_7_176_13">NA()</definedName>
    <definedName name="SHARED_FORMULA_7_1796_7_1796_14">NA()</definedName>
    <definedName name="SHARED_FORMULA_7_1820_7_1820_14">NA()</definedName>
    <definedName name="SHARED_FORMULA_7_184_7_184_14">NA()</definedName>
    <definedName name="SHARED_FORMULA_7_1896_7_1896_14">NA()</definedName>
    <definedName name="SHARED_FORMULA_7_1913_7_1913_14">NA()</definedName>
    <definedName name="SHARED_FORMULA_7_195_7_195_13">NA()</definedName>
    <definedName name="SHARED_FORMULA_7_200_7_200_0">NA()</definedName>
    <definedName name="SHARED_FORMULA_7_200_7_200_41">NA()</definedName>
    <definedName name="SHARED_FORMULA_7_206_7_206_14">NA()</definedName>
    <definedName name="SHARED_FORMULA_7_213_7_213_12">NA()</definedName>
    <definedName name="SHARED_FORMULA_7_221_7_221_0">NA()</definedName>
    <definedName name="SHARED_FORMULA_7_232_7_232_13">NA()</definedName>
    <definedName name="SHARED_FORMULA_7_25_7_25_41">NA()</definedName>
    <definedName name="SHARED_FORMULA_7_26_7_26_11">NA()</definedName>
    <definedName name="SHARED_FORMULA_7_267_7_267_41">NA()</definedName>
    <definedName name="SHARED_FORMULA_7_274_7_274_13">NA()</definedName>
    <definedName name="SHARED_FORMULA_7_276_7_276_12">NA()</definedName>
    <definedName name="SHARED_FORMULA_7_28_7_28_21">NA()</definedName>
    <definedName name="SHARED_FORMULA_7_300_7_300_12">NA()</definedName>
    <definedName name="SHARED_FORMULA_7_317_7_317_12">NA()</definedName>
    <definedName name="SHARED_FORMULA_7_317_7_317_13">NA()</definedName>
    <definedName name="SHARED_FORMULA_7_323_7_323_0">NA()</definedName>
    <definedName name="SHARED_FORMULA_7_329_7_329_0">NA()</definedName>
    <definedName name="SHARED_FORMULA_7_33_7_33_1">NA()</definedName>
    <definedName name="SHARED_FORMULA_7_332_7_332_0">NA()</definedName>
    <definedName name="SHARED_FORMULA_7_333_7_333_14">NA()</definedName>
    <definedName name="SHARED_FORMULA_7_338_7_338_0">NA()</definedName>
    <definedName name="SHARED_FORMULA_7_338_7_338_13">NA()</definedName>
    <definedName name="SHARED_FORMULA_7_34_7_34_10">NA()</definedName>
    <definedName name="SHARED_FORMULA_7_342_7_342_0">NA()</definedName>
    <definedName name="SHARED_FORMULA_7_346_7_346_0">NA()</definedName>
    <definedName name="SHARED_FORMULA_7_351_7_351_0">NA()</definedName>
    <definedName name="SHARED_FORMULA_7_358_7_358_0">NA()</definedName>
    <definedName name="SHARED_FORMULA_7_359_7_359_13">NA()</definedName>
    <definedName name="SHARED_FORMULA_7_36_7_36_27">NA()</definedName>
    <definedName name="SHARED_FORMULA_7_361_7_361_0">NA()</definedName>
    <definedName name="SHARED_FORMULA_7_370_7_370_0">NA()</definedName>
    <definedName name="SHARED_FORMULA_7_382_7_382_0">NA()</definedName>
    <definedName name="SHARED_FORMULA_7_39_7_39_50">NA()</definedName>
    <definedName name="SHARED_FORMULA_7_391_7_391_0">NA()</definedName>
    <definedName name="SHARED_FORMULA_7_4_7_4_1">NA()</definedName>
    <definedName name="SHARED_FORMULA_7_405_7_405_0">NA()</definedName>
    <definedName name="SHARED_FORMULA_7_425_7_425_13">NA()</definedName>
    <definedName name="SHARED_FORMULA_7_449_7_449_13">NA()</definedName>
    <definedName name="SHARED_FORMULA_7_455_7_455_14">NA()</definedName>
    <definedName name="SHARED_FORMULA_7_46_7_46_8">2*2*1.5*0.4</definedName>
    <definedName name="SHARED_FORMULA_7_471_7_471_13">NA()</definedName>
    <definedName name="SHARED_FORMULA_7_49_7_49_41">NA()</definedName>
    <definedName name="SHARED_FORMULA_7_507_7_507_0">NA()</definedName>
    <definedName name="SHARED_FORMULA_7_513_7_513_0">NA()</definedName>
    <definedName name="SHARED_FORMULA_7_516_7_516_0">NA()</definedName>
    <definedName name="SHARED_FORMULA_7_523_7_523_0">NA()</definedName>
    <definedName name="SHARED_FORMULA_7_526_7_526_14">NA()</definedName>
    <definedName name="SHARED_FORMULA_7_527_7_527_0">NA()</definedName>
    <definedName name="SHARED_FORMULA_7_531_7_531_0">NA()</definedName>
    <definedName name="SHARED_FORMULA_7_536_7_536_0">NA()</definedName>
    <definedName name="SHARED_FORMULA_7_543_7_543_0">NA()</definedName>
    <definedName name="SHARED_FORMULA_7_546_7_546_0">NA()</definedName>
    <definedName name="SHARED_FORMULA_7_555_7_555_0">NA()</definedName>
    <definedName name="SHARED_FORMULA_7_556_7_556_14">NA()</definedName>
    <definedName name="SHARED_FORMULA_7_56_7_56_10">NA()</definedName>
    <definedName name="SHARED_FORMULA_7_567_7_567_0">NA()</definedName>
    <definedName name="SHARED_FORMULA_7_576_7_576_0">NA()</definedName>
    <definedName name="SHARED_FORMULA_7_6_7_6_30">NA()</definedName>
    <definedName name="SHARED_FORMULA_7_629_7_629_14">NA()</definedName>
    <definedName name="SHARED_FORMULA_7_63_7_63_11">NA()</definedName>
    <definedName name="SHARED_FORMULA_7_63_7_63_12">NA()</definedName>
    <definedName name="SHARED_FORMULA_7_63_7_63_50">NA()</definedName>
    <definedName name="SHARED_FORMULA_7_64_7_64_41">NA()</definedName>
    <definedName name="SHARED_FORMULA_7_66_7_66_14">NA()</definedName>
    <definedName name="SHARED_FORMULA_7_691_7_691_14">NA()</definedName>
    <definedName name="SHARED_FORMULA_7_7_7_7_10">NA()</definedName>
    <definedName name="SHARED_FORMULA_7_714_7_714_14">NA()</definedName>
    <definedName name="SHARED_FORMULA_7_72_7_72_13">NA()</definedName>
    <definedName name="SHARED_FORMULA_7_74_7_74_28">NA()</definedName>
    <definedName name="SHARED_FORMULA_7_755_7_755_14">NA()</definedName>
    <definedName name="SHARED_FORMULA_7_8_7_8_11">NA()</definedName>
    <definedName name="SHARED_FORMULA_7_8_7_8_12">NA()</definedName>
    <definedName name="SHARED_FORMULA_7_8_7_8_13">NA()</definedName>
    <definedName name="SHARED_FORMULA_7_8_7_8_14">NA()</definedName>
    <definedName name="SHARED_FORMULA_7_8_7_8_21">NA()</definedName>
    <definedName name="SHARED_FORMULA_7_8_7_8_27">NA()</definedName>
    <definedName name="SHARED_FORMULA_7_81_7_81_16">NA()</definedName>
    <definedName name="SHARED_FORMULA_7_814_7_814_14">NA()</definedName>
    <definedName name="SHARED_FORMULA_7_86_7_86_12">NA()</definedName>
    <definedName name="SHARED_FORMULA_7_872_7_872_14">NA()</definedName>
    <definedName name="SHARED_FORMULA_7_904_7_904_14">NA()</definedName>
    <definedName name="SHARED_FORMULA_7_92_7_92_11">NA()</definedName>
    <definedName name="SHARED_FORMULA_7_920_7_920_14">NA()</definedName>
    <definedName name="SHARED_FORMULA_7_94_7_94_16">NA()</definedName>
    <definedName name="SHARED_FORMULA_7_95_7_95_10">NA()</definedName>
    <definedName name="SHARED_FORMULA_7_958_7_958_14">NA()</definedName>
    <definedName name="SHARED_FORMULA_7_978_7_978_14">NA()</definedName>
    <definedName name="SHARED_FORMULA_7_993_7_993_14">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_1012_8_1012_14">NA()</definedName>
    <definedName name="SHARED_FORMULA_8_1050_8_1050_14">NA()</definedName>
    <definedName name="SHARED_FORMULA_8_107_8_107_14">NA()</definedName>
    <definedName name="SHARED_FORMULA_8_1097_8_1097_14">NA()</definedName>
    <definedName name="SHARED_FORMULA_8_110_8_110_13">NA()</definedName>
    <definedName name="SHARED_FORMULA_8_1144_8_1144_14">NA()</definedName>
    <definedName name="SHARED_FORMULA_8_115_8_115_11">NA()</definedName>
    <definedName name="SHARED_FORMULA_8_115_8_115_51">NA()</definedName>
    <definedName name="SHARED_FORMULA_8_116_8_116_12">NA()</definedName>
    <definedName name="SHARED_FORMULA_8_1177_8_1177_14">NA()</definedName>
    <definedName name="SHARED_FORMULA_8_122_8_122_51">NA()</definedName>
    <definedName name="SHARED_FORMULA_8_1220_8_1220_14">NA()</definedName>
    <definedName name="SHARED_FORMULA_8_1236_8_1236_14">NA()</definedName>
    <definedName name="SHARED_FORMULA_8_1262_8_1262_14">NA()</definedName>
    <definedName name="SHARED_FORMULA_8_1300_8_1300_14">NA()</definedName>
    <definedName name="SHARED_FORMULA_8_131_8_131_51">NA()</definedName>
    <definedName name="SHARED_FORMULA_8_135_8_135_11">NA()</definedName>
    <definedName name="SHARED_FORMULA_8_136_8_136_14">NA()</definedName>
    <definedName name="SHARED_FORMULA_8_14_8_14_12">NA()</definedName>
    <definedName name="SHARED_FORMULA_8_140_8_140_10">NA()</definedName>
    <definedName name="SHARED_FORMULA_8_1405_8_1405_14">NA()</definedName>
    <definedName name="SHARED_FORMULA_8_141_8_141_51">NA()</definedName>
    <definedName name="SHARED_FORMULA_8_1452_8_1452_14">NA()</definedName>
    <definedName name="SHARED_FORMULA_8_15_8_15_0">NA()</definedName>
    <definedName name="SHARED_FORMULA_8_1506_8_1506_14">NA()</definedName>
    <definedName name="SHARED_FORMULA_8_1555_8_1555_14">NA()</definedName>
    <definedName name="SHARED_FORMULA_8_1585_8_1585_14">NA()</definedName>
    <definedName name="SHARED_FORMULA_8_159_8_159_41">NA()</definedName>
    <definedName name="SHARED_FORMULA_8_160_8_160_11">NA()</definedName>
    <definedName name="SHARED_FORMULA_8_160_8_160_13">NA()</definedName>
    <definedName name="SHARED_FORMULA_8_1606_8_1606_14">NA()</definedName>
    <definedName name="SHARED_FORMULA_8_1639_8_1639_14">NA()</definedName>
    <definedName name="SHARED_FORMULA_8_165_8_165_51">NA()</definedName>
    <definedName name="SHARED_FORMULA_8_1709_8_1709_14">NA()</definedName>
    <definedName name="SHARED_FORMULA_8_1744_8_1744_14">NA()</definedName>
    <definedName name="SHARED_FORMULA_8_1759_8_1759_14">NA()</definedName>
    <definedName name="SHARED_FORMULA_8_176_8_176_13">NA()</definedName>
    <definedName name="SHARED_FORMULA_8_178_8_178_51">NA()</definedName>
    <definedName name="SHARED_FORMULA_8_1796_8_1796_14">NA()</definedName>
    <definedName name="SHARED_FORMULA_8_1820_8_1820_14">NA()</definedName>
    <definedName name="SHARED_FORMULA_8_184_8_184_14">NA()</definedName>
    <definedName name="SHARED_FORMULA_8_186_8_186_51">NA()</definedName>
    <definedName name="SHARED_FORMULA_8_1896_8_1896_14">NA()</definedName>
    <definedName name="SHARED_FORMULA_8_19_8_19_34">NA()</definedName>
    <definedName name="SHARED_FORMULA_8_1913_8_1913_14">NA()</definedName>
    <definedName name="SHARED_FORMULA_8_195_8_195_13">NA()</definedName>
    <definedName name="SHARED_FORMULA_8_198_8_198_51">NA()</definedName>
    <definedName name="SHARED_FORMULA_8_206_8_206_14">NA()</definedName>
    <definedName name="SHARED_FORMULA_8_213_8_213_12">NA()</definedName>
    <definedName name="SHARED_FORMULA_8_215_8_215_51">NA()</definedName>
    <definedName name="SHARED_FORMULA_8_222_8_222_51">NA()</definedName>
    <definedName name="SHARED_FORMULA_8_229_8_229_51">NA()</definedName>
    <definedName name="SHARED_FORMULA_8_23_8_23_0">NA()</definedName>
    <definedName name="SHARED_FORMULA_8_23_8_23_51">NA()</definedName>
    <definedName name="SHARED_FORMULA_8_232_8_232_13">NA()</definedName>
    <definedName name="SHARED_FORMULA_8_243_8_243_51">NA()</definedName>
    <definedName name="SHARED_FORMULA_8_26_8_26_11">NA()</definedName>
    <definedName name="SHARED_FORMULA_8_267_8_267_41">NA()</definedName>
    <definedName name="SHARED_FORMULA_8_267_8_267_51">NA()</definedName>
    <definedName name="SHARED_FORMULA_8_274_8_274_13">NA()</definedName>
    <definedName name="SHARED_FORMULA_8_276_8_276_12">NA()</definedName>
    <definedName name="SHARED_FORMULA_8_283_8_283_51">NA()</definedName>
    <definedName name="SHARED_FORMULA_8_294_8_294_51">NA()</definedName>
    <definedName name="SHARED_FORMULA_8_300_8_300_12">NA()</definedName>
    <definedName name="SHARED_FORMULA_8_301_8_301_51">NA()</definedName>
    <definedName name="SHARED_FORMULA_8_317_8_317_12">NA()</definedName>
    <definedName name="SHARED_FORMULA_8_317_8_317_13">NA()</definedName>
    <definedName name="SHARED_FORMULA_8_323_8_323_51">NA()</definedName>
    <definedName name="SHARED_FORMULA_8_333_8_333_14">NA()</definedName>
    <definedName name="SHARED_FORMULA_8_338_8_338_13">NA()</definedName>
    <definedName name="SHARED_FORMULA_8_34_8_34_10">NA()</definedName>
    <definedName name="SHARED_FORMULA_8_359_8_359_13">NA()</definedName>
    <definedName name="SHARED_FORMULA_8_36_8_36_51">NA()</definedName>
    <definedName name="SHARED_FORMULA_8_425_8_425_13">NA()</definedName>
    <definedName name="SHARED_FORMULA_8_43_8_43_51">NA()</definedName>
    <definedName name="SHARED_FORMULA_8_449_8_449_13">NA()</definedName>
    <definedName name="SHARED_FORMULA_8_455_8_455_14">NA()</definedName>
    <definedName name="SHARED_FORMULA_8_471_8_471_13">NA()</definedName>
    <definedName name="SHARED_FORMULA_8_526_8_526_14">NA()</definedName>
    <definedName name="SHARED_FORMULA_8_55_8_55_51">NA()</definedName>
    <definedName name="SHARED_FORMULA_8_556_8_556_14">NA()</definedName>
    <definedName name="SHARED_FORMULA_8_56_8_56_10">NA()</definedName>
    <definedName name="SHARED_FORMULA_8_6_8_6_30">NA()</definedName>
    <definedName name="SHARED_FORMULA_8_6_8_6_34">NA()</definedName>
    <definedName name="SHARED_FORMULA_8_629_8_629_14">NA()</definedName>
    <definedName name="SHARED_FORMULA_8_63_8_63_11">NA()</definedName>
    <definedName name="SHARED_FORMULA_8_63_8_63_12">NA()</definedName>
    <definedName name="SHARED_FORMULA_8_66_8_66_14">NA()</definedName>
    <definedName name="SHARED_FORMULA_8_67_8_67_12">NA()</definedName>
    <definedName name="SHARED_FORMULA_8_691_8_691_14">NA()</definedName>
    <definedName name="SHARED_FORMULA_8_7_8_7_0">NA()</definedName>
    <definedName name="SHARED_FORMULA_8_7_8_7_10">NA()</definedName>
    <definedName name="SHARED_FORMULA_8_7_8_7_37">NA()</definedName>
    <definedName name="SHARED_FORMULA_8_7_8_7_41">NA()</definedName>
    <definedName name="SHARED_FORMULA_8_714_8_714_14">NA()</definedName>
    <definedName name="SHARED_FORMULA_8_72_8_72_13">NA()</definedName>
    <definedName name="SHARED_FORMULA_8_75_8_75_12">NA()</definedName>
    <definedName name="SHARED_FORMULA_8_75_8_75_51">NA()</definedName>
    <definedName name="SHARED_FORMULA_8_755_8_755_14">NA()</definedName>
    <definedName name="SHARED_FORMULA_8_8_8_8_11">NA()</definedName>
    <definedName name="SHARED_FORMULA_8_8_8_8_12">NA()</definedName>
    <definedName name="SHARED_FORMULA_8_8_8_8_13">NA()</definedName>
    <definedName name="SHARED_FORMULA_8_8_8_8_14">NA()</definedName>
    <definedName name="SHARED_FORMULA_8_814_8_814_14">NA()</definedName>
    <definedName name="SHARED_FORMULA_8_82_8_82_12">NA()</definedName>
    <definedName name="SHARED_FORMULA_8_86_8_86_12">NA()</definedName>
    <definedName name="SHARED_FORMULA_8_872_8_872_14">NA()</definedName>
    <definedName name="SHARED_FORMULA_8_904_8_904_14">NA()</definedName>
    <definedName name="SHARED_FORMULA_8_92_8_92_11">NA()</definedName>
    <definedName name="SHARED_FORMULA_8_920_8_920_14">NA()</definedName>
    <definedName name="SHARED_FORMULA_8_94_8_94_51">NA()</definedName>
    <definedName name="SHARED_FORMULA_8_95_8_95_10">NA()</definedName>
    <definedName name="SHARED_FORMULA_8_958_8_958_14">NA()</definedName>
    <definedName name="SHARED_FORMULA_8_97_8_97_12">NA()</definedName>
    <definedName name="SHARED_FORMULA_8_978_8_978_14">NA()</definedName>
    <definedName name="SHARED_FORMULA_8_993_8_993_14">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_114_9_114_16">NA()</definedName>
    <definedName name="SHARED_FORMULA_9_122_9_122_16">NA()</definedName>
    <definedName name="SHARED_FORMULA_9_122_9_122_51">NA()</definedName>
    <definedName name="SHARED_FORMULA_9_131_9_131_51">NA()</definedName>
    <definedName name="SHARED_FORMULA_9_14_9_14_28">NA()</definedName>
    <definedName name="SHARED_FORMULA_9_141_9_141_51">NA()</definedName>
    <definedName name="SHARED_FORMULA_9_15_9_15_0">NA()</definedName>
    <definedName name="SHARED_FORMULA_9_198_9_198_51">NA()</definedName>
    <definedName name="SHARED_FORMULA_9_222_9_222_51">NA()</definedName>
    <definedName name="SHARED_FORMULA_9_23_9_23_0">NA()</definedName>
    <definedName name="SHARED_FORMULA_9_244_9_244_51">NA()</definedName>
    <definedName name="SHARED_FORMULA_9_271_9_271_51">NA()</definedName>
    <definedName name="SHARED_FORMULA_9_28_9_28_21">NA()</definedName>
    <definedName name="SHARED_FORMULA_9_306_9_306_51">NA()</definedName>
    <definedName name="SHARED_FORMULA_9_323_9_323_51">NA()</definedName>
    <definedName name="SHARED_FORMULA_9_36_9_36_27">NA()</definedName>
    <definedName name="SHARED_FORMULA_9_36_9_36_51">NA()</definedName>
    <definedName name="SHARED_FORMULA_9_360_9_360_51">NA()</definedName>
    <definedName name="SHARED_FORMULA_9_385_9_385_51">NA()</definedName>
    <definedName name="SHARED_FORMULA_9_55_9_55_51">NA()</definedName>
    <definedName name="SHARED_FORMULA_9_7_9_7_0">NA()</definedName>
    <definedName name="SHARED_FORMULA_9_7_9_7_37">NA()</definedName>
    <definedName name="SHARED_FORMULA_9_74_9_74_28">NA()</definedName>
    <definedName name="SHARED_FORMULA_9_75_9_75_51">NA()</definedName>
    <definedName name="SHARED_FORMULA_9_8_9_8_21">NA()</definedName>
    <definedName name="SHARED_FORMULA_9_8_9_8_27">NA()</definedName>
    <definedName name="SHARED_FORMULA_9_81_9_81_16">NA()</definedName>
    <definedName name="SHARED_FORMULA_9_94_9_94_16">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res" localSheetId="4">#REF!</definedName>
    <definedName name="Shares" localSheetId="5">#REF!</definedName>
    <definedName name="Shares" localSheetId="0">#REF!</definedName>
    <definedName name="Shares">#REF!</definedName>
    <definedName name="sheet" localSheetId="0">#REF!</definedName>
    <definedName name="sheet">#REF!</definedName>
    <definedName name="SheetNo" localSheetId="4">#REF!</definedName>
    <definedName name="SheetNo" localSheetId="5">#REF!</definedName>
    <definedName name="SheetNo" localSheetId="0">#REF!</definedName>
    <definedName name="SheetNo">#REF!</definedName>
    <definedName name="SheetTable1" localSheetId="4">#REF!</definedName>
    <definedName name="SheetTable1" localSheetId="5">#REF!</definedName>
    <definedName name="SheetTable1" localSheetId="0">#REF!</definedName>
    <definedName name="SheetTable1">#REF!</definedName>
    <definedName name="shiftPeriodConversion">0.36</definedName>
    <definedName name="ShowLee" localSheetId="4">#REF!</definedName>
    <definedName name="ShowLee" localSheetId="5">#REF!</definedName>
    <definedName name="ShowLee" localSheetId="0">#REF!</definedName>
    <definedName name="ShowLee">#REF!</definedName>
    <definedName name="siatka" localSheetId="4">#REF!</definedName>
    <definedName name="siatka" localSheetId="5">#REF!</definedName>
    <definedName name="siatka" localSheetId="0">#REF!</definedName>
    <definedName name="siatka">#REF!</definedName>
    <definedName name="SIBN" localSheetId="4" hidden="1">#REF!</definedName>
    <definedName name="SIBN" localSheetId="5" hidden="1">#REF!</definedName>
    <definedName name="SIBN" localSheetId="0" hidden="1">#REF!</definedName>
    <definedName name="SIBN" hidden="1">#REF!</definedName>
    <definedName name="SIDE" localSheetId="4">#REF!</definedName>
    <definedName name="SIDE" localSheetId="5">#REF!</definedName>
    <definedName name="SIDE" localSheetId="0">#REF!</definedName>
    <definedName name="SIDE">#REF!</definedName>
    <definedName name="siemens">1</definedName>
    <definedName name="silicon" localSheetId="4">#REF!</definedName>
    <definedName name="silicon" localSheetId="5">#REF!</definedName>
    <definedName name="silicon" localSheetId="0">#REF!</definedName>
    <definedName name="silicon">#REF!</definedName>
    <definedName name="SILICON2" localSheetId="4">#REF!</definedName>
    <definedName name="SILICON2" localSheetId="5">#REF!</definedName>
    <definedName name="SILICON2" localSheetId="0">#REF!</definedName>
    <definedName name="SILICON2">#REF!</definedName>
    <definedName name="silikat25" localSheetId="4">#REF!</definedName>
    <definedName name="silikat25" localSheetId="5">#REF!</definedName>
    <definedName name="silikat25" localSheetId="0">#REF!</definedName>
    <definedName name="silikat25">#REF!</definedName>
    <definedName name="silka12z" localSheetId="4">#REF!</definedName>
    <definedName name="silka12z" localSheetId="0">#REF!</definedName>
    <definedName name="silka12z">#REF!</definedName>
    <definedName name="silka18_p" localSheetId="4">#REF!</definedName>
    <definedName name="silka18_p" localSheetId="0">#REF!</definedName>
    <definedName name="silka18_p">#REF!</definedName>
    <definedName name="silka24_p" localSheetId="4">#REF!</definedName>
    <definedName name="silka24_p" localSheetId="0">#REF!</definedName>
    <definedName name="silka24_p">#REF!</definedName>
    <definedName name="simul" localSheetId="4">#REF!</definedName>
    <definedName name="simul" localSheetId="0">#REF!</definedName>
    <definedName name="simul">#REF!</definedName>
    <definedName name="sing_dollrs" localSheetId="0">#REF!</definedName>
    <definedName name="sing_dollrs">#REF!</definedName>
    <definedName name="singaby">#N/A</definedName>
    <definedName name="SinProyecto" localSheetId="4" hidden="1">#REF!</definedName>
    <definedName name="SinProyecto" localSheetId="5" hidden="1">#REF!</definedName>
    <definedName name="SinProyecto" localSheetId="0" hidden="1">#REF!</definedName>
    <definedName name="SinProyecto" hidden="1">#REF!</definedName>
    <definedName name="site" localSheetId="4">#REF!</definedName>
    <definedName name="site" localSheetId="5">#REF!</definedName>
    <definedName name="site" localSheetId="0">#REF!</definedName>
    <definedName name="site">#REF!</definedName>
    <definedName name="site_service">1</definedName>
    <definedName name="SiteArea" localSheetId="4">#REF!</definedName>
    <definedName name="SiteArea" localSheetId="5">#REF!</definedName>
    <definedName name="SiteArea" localSheetId="0">#REF!</definedName>
    <definedName name="SiteArea">#REF!</definedName>
    <definedName name="SiteexRatio" localSheetId="4">#REF!</definedName>
    <definedName name="SiteexRatio" localSheetId="5">#REF!</definedName>
    <definedName name="SiteexRatio" localSheetId="0">#REF!</definedName>
    <definedName name="SiteexRatio">#REF!</definedName>
    <definedName name="SIZE" localSheetId="4">#REF!</definedName>
    <definedName name="SIZE" localSheetId="5">#REF!</definedName>
    <definedName name="SIZE" localSheetId="0">#REF!</definedName>
    <definedName name="SIZE">#REF!</definedName>
    <definedName name="SIZEC" localSheetId="4">#REF!</definedName>
    <definedName name="SIZEC" localSheetId="0">#REF!</definedName>
    <definedName name="SIZEC">#REF!</definedName>
    <definedName name="Sklejka_PCV" localSheetId="0">#REF!</definedName>
    <definedName name="Sklejka_PCV">#REF!</definedName>
    <definedName name="skropienie_bit" localSheetId="4">#REF!</definedName>
    <definedName name="skropienie_bit" localSheetId="5">#REF!</definedName>
    <definedName name="skropienie_bit" localSheetId="0">#REF!</definedName>
    <definedName name="skropienie_bit">#REF!</definedName>
    <definedName name="skropienie_niebit" localSheetId="4">#REF!</definedName>
    <definedName name="skropienie_niebit" localSheetId="5">#REF!</definedName>
    <definedName name="skropienie_niebit" localSheetId="0">#REF!</definedName>
    <definedName name="skropienie_niebit">#REF!</definedName>
    <definedName name="skropienie_pod_podbudowę_z_BA_m2" localSheetId="4">#REF!</definedName>
    <definedName name="skropienie_pod_podbudowę_z_BA_m2" localSheetId="5">#REF!</definedName>
    <definedName name="skropienie_pod_podbudowę_z_BA_m2" localSheetId="0">#REF!</definedName>
    <definedName name="skropienie_pod_podbudowę_z_BA_m2">#REF!</definedName>
    <definedName name="skropienie_pod_ścieralną_m2" localSheetId="4">#REF!</definedName>
    <definedName name="skropienie_pod_ścieralną_m2" localSheetId="0">#REF!</definedName>
    <definedName name="skropienie_pod_ścieralną_m2">#REF!</definedName>
    <definedName name="skropienie_pod_wiążącą_m2" localSheetId="4">#REF!</definedName>
    <definedName name="skropienie_pod_wiążącą_m2" localSheetId="0">#REF!</definedName>
    <definedName name="skropienie_pod_wiążącą_m2">#REF!</definedName>
    <definedName name="słok1" localSheetId="4">#REF!</definedName>
    <definedName name="słok1" localSheetId="0">#REF!</definedName>
    <definedName name="słok1">#REF!</definedName>
    <definedName name="słok2" localSheetId="4">#REF!</definedName>
    <definedName name="słok2" localSheetId="0">#REF!</definedName>
    <definedName name="słok2">#REF!</definedName>
    <definedName name="słok3" localSheetId="4">#REF!</definedName>
    <definedName name="słok3" localSheetId="0">#REF!</definedName>
    <definedName name="słok3">#REF!</definedName>
    <definedName name="słok4" localSheetId="4">#REF!</definedName>
    <definedName name="słok4" localSheetId="0">#REF!</definedName>
    <definedName name="słok4">#REF!</definedName>
    <definedName name="słok5" localSheetId="4">#REF!</definedName>
    <definedName name="słok5" localSheetId="0">#REF!</definedName>
    <definedName name="słok5">#REF!</definedName>
    <definedName name="słok6" localSheetId="4">#REF!</definedName>
    <definedName name="słok6" localSheetId="0">#REF!</definedName>
    <definedName name="słok6">#REF!</definedName>
    <definedName name="słok7" localSheetId="4">#REF!</definedName>
    <definedName name="słok7" localSheetId="0">#REF!</definedName>
    <definedName name="słok7">#REF!</definedName>
    <definedName name="słpr1" localSheetId="4">#REF!</definedName>
    <definedName name="słpr1" localSheetId="0">#REF!</definedName>
    <definedName name="słpr1">#REF!</definedName>
    <definedName name="słpr10" localSheetId="4">#REF!</definedName>
    <definedName name="słpr10" localSheetId="0">#REF!</definedName>
    <definedName name="słpr10">#REF!</definedName>
    <definedName name="słpr11" localSheetId="4">#REF!</definedName>
    <definedName name="słpr11" localSheetId="0">#REF!</definedName>
    <definedName name="słpr11">#REF!</definedName>
    <definedName name="słpr12" localSheetId="4">#REF!</definedName>
    <definedName name="słpr12" localSheetId="0">#REF!</definedName>
    <definedName name="słpr12">#REF!</definedName>
    <definedName name="słpr13" localSheetId="4">#REF!</definedName>
    <definedName name="słpr13" localSheetId="0">#REF!</definedName>
    <definedName name="słpr13">#REF!</definedName>
    <definedName name="słpr14" localSheetId="4">#REF!</definedName>
    <definedName name="słpr14" localSheetId="0">#REF!</definedName>
    <definedName name="słpr14">#REF!</definedName>
    <definedName name="słpr15" localSheetId="4">#REF!</definedName>
    <definedName name="słpr15" localSheetId="0">#REF!</definedName>
    <definedName name="słpr15">#REF!</definedName>
    <definedName name="słpr16" localSheetId="4">#REF!</definedName>
    <definedName name="słpr16" localSheetId="0">#REF!</definedName>
    <definedName name="słpr16">#REF!</definedName>
    <definedName name="słpr17" localSheetId="4">#REF!</definedName>
    <definedName name="słpr17" localSheetId="0">#REF!</definedName>
    <definedName name="słpr17">#REF!</definedName>
    <definedName name="słpr18" localSheetId="4">#REF!</definedName>
    <definedName name="słpr18" localSheetId="0">#REF!</definedName>
    <definedName name="słpr18">#REF!</definedName>
    <definedName name="słpr19" localSheetId="4">#REF!</definedName>
    <definedName name="słpr19" localSheetId="0">#REF!</definedName>
    <definedName name="słpr19">#REF!</definedName>
    <definedName name="słpr2" localSheetId="4">#REF!</definedName>
    <definedName name="słpr2" localSheetId="0">#REF!</definedName>
    <definedName name="słpr2">#REF!</definedName>
    <definedName name="słpr20" localSheetId="4">#REF!</definedName>
    <definedName name="słpr20" localSheetId="0">#REF!</definedName>
    <definedName name="słpr20">#REF!</definedName>
    <definedName name="słpr21" localSheetId="4">#REF!</definedName>
    <definedName name="słpr21" localSheetId="0">#REF!</definedName>
    <definedName name="słpr21">#REF!</definedName>
    <definedName name="słpr23" localSheetId="4">#REF!</definedName>
    <definedName name="słpr23" localSheetId="0">#REF!</definedName>
    <definedName name="słpr23">#REF!</definedName>
    <definedName name="słpr3" localSheetId="4">#REF!</definedName>
    <definedName name="słpr3" localSheetId="0">#REF!</definedName>
    <definedName name="słpr3">#REF!</definedName>
    <definedName name="słpr4" localSheetId="4">#REF!</definedName>
    <definedName name="słpr4" localSheetId="0">#REF!</definedName>
    <definedName name="słpr4">#REF!</definedName>
    <definedName name="słpr5" localSheetId="4">#REF!</definedName>
    <definedName name="słpr5" localSheetId="0">#REF!</definedName>
    <definedName name="słpr5">#REF!</definedName>
    <definedName name="słpr6" localSheetId="4">#REF!</definedName>
    <definedName name="słpr6" localSheetId="0">#REF!</definedName>
    <definedName name="słpr6">#REF!</definedName>
    <definedName name="słpr7" localSheetId="4">#REF!</definedName>
    <definedName name="słpr7" localSheetId="0">#REF!</definedName>
    <definedName name="słpr7">#REF!</definedName>
    <definedName name="słpr8" localSheetId="4">#REF!</definedName>
    <definedName name="słpr8" localSheetId="0">#REF!</definedName>
    <definedName name="słpr8">#REF!</definedName>
    <definedName name="słpr9" localSheetId="4">#REF!</definedName>
    <definedName name="słpr9" localSheetId="0">#REF!</definedName>
    <definedName name="słpr9">#REF!</definedName>
    <definedName name="słupki_do_znaków_materiał_z_rozbiórki_szt" localSheetId="4">#REF!</definedName>
    <definedName name="słupki_do_znaków_materiał_z_rozbiórki_szt" localSheetId="0">#REF!</definedName>
    <definedName name="słupki_do_znaków_materiał_z_rozbiórki_szt">#REF!</definedName>
    <definedName name="słupki_do_znaków_nowe_szt" localSheetId="4">#REF!</definedName>
    <definedName name="słupki_do_znaków_nowe_szt" localSheetId="0">#REF!</definedName>
    <definedName name="słupki_do_znaków_nowe_szt">#REF!</definedName>
    <definedName name="słupki_kilometowe_U7_na_U1a_nowe_szt" localSheetId="4">#REF!</definedName>
    <definedName name="słupki_kilometowe_U7_na_U1a_nowe_szt" localSheetId="0">#REF!</definedName>
    <definedName name="słupki_kilometowe_U7_na_U1a_nowe_szt">#REF!</definedName>
    <definedName name="słupki_kilometowe_U7_na_U1a_z_rozbiórki_szt" localSheetId="4">#REF!</definedName>
    <definedName name="słupki_kilometowe_U7_na_U1a_z_rozbiórki_szt" localSheetId="0">#REF!</definedName>
    <definedName name="słupki_kilometowe_U7_na_U1a_z_rozbiórki_szt">#REF!</definedName>
    <definedName name="słupki_kilometowe_U7_na_U1b_nowe_szt" localSheetId="4">#REF!</definedName>
    <definedName name="słupki_kilometowe_U7_na_U1b_nowe_szt" localSheetId="0">#REF!</definedName>
    <definedName name="słupki_kilometowe_U7_na_U1b_nowe_szt">#REF!</definedName>
    <definedName name="słupki_kilometowe_U7_na_U1b_z_rozbiórki_szt" localSheetId="4">#REF!</definedName>
    <definedName name="słupki_kilometowe_U7_na_U1b_z_rozbiórki_szt" localSheetId="0">#REF!</definedName>
    <definedName name="słupki_kilometowe_U7_na_U1b_z_rozbiórki_szt">#REF!</definedName>
    <definedName name="słupki_kilometrowe_U8_na_U1a_nowe_szt" localSheetId="4">#REF!</definedName>
    <definedName name="słupki_kilometrowe_U8_na_U1a_nowe_szt" localSheetId="0">#REF!</definedName>
    <definedName name="słupki_kilometrowe_U8_na_U1a_nowe_szt">#REF!</definedName>
    <definedName name="słupki_kilometrowe_U8_na_U1a_z_rozbiórki_szt" localSheetId="4">#REF!</definedName>
    <definedName name="słupki_kilometrowe_U8_na_U1a_z_rozbiórki_szt" localSheetId="0">#REF!</definedName>
    <definedName name="słupki_kilometrowe_U8_na_U1a_z_rozbiórki_szt">#REF!</definedName>
    <definedName name="słupki_kilometrowe_U8_na_U1b_nowe_szt" localSheetId="4">#REF!</definedName>
    <definedName name="słupki_kilometrowe_U8_na_U1b_nowe_szt" localSheetId="0">#REF!</definedName>
    <definedName name="słupki_kilometrowe_U8_na_U1b_nowe_szt">#REF!</definedName>
    <definedName name="słupki_kilometrowe_U8_na_U1b_z_rozbiórki_szt" localSheetId="4">#REF!</definedName>
    <definedName name="słupki_kilometrowe_U8_na_U1b_z_rozbiórki_szt" localSheetId="0">#REF!</definedName>
    <definedName name="słupki_kilometrowe_U8_na_U1b_z_rozbiórki_szt">#REF!</definedName>
    <definedName name="słupki_murowane" localSheetId="4">#REF!</definedName>
    <definedName name="słupki_murowane" localSheetId="0">#REF!</definedName>
    <definedName name="słupki_murowane">#REF!</definedName>
    <definedName name="słupki_prowadzące_U1a_nowe_szt" localSheetId="4">#REF!</definedName>
    <definedName name="słupki_prowadzące_U1a_nowe_szt" localSheetId="0">#REF!</definedName>
    <definedName name="słupki_prowadzące_U1a_nowe_szt">#REF!</definedName>
    <definedName name="słupki_prowadzące_U1a_z_rozbiórki_szt" localSheetId="4">#REF!</definedName>
    <definedName name="słupki_prowadzące_U1a_z_rozbiórki_szt" localSheetId="0">#REF!</definedName>
    <definedName name="słupki_prowadzące_U1a_z_rozbiórki_szt">#REF!</definedName>
    <definedName name="słupki_prowadzące_U1b_nowe_szt" localSheetId="4">#REF!</definedName>
    <definedName name="słupki_prowadzące_U1b_nowe_szt" localSheetId="0">#REF!</definedName>
    <definedName name="słupki_prowadzące_U1b_nowe_szt">#REF!</definedName>
    <definedName name="słupki_prowadzące_U1b_z_rozbiórki_szt" localSheetId="4">#REF!</definedName>
    <definedName name="słupki_prowadzące_U1b_z_rozbiórki_szt" localSheetId="0">#REF!</definedName>
    <definedName name="słupki_prowadzące_U1b_z_rozbiórki_szt">#REF!</definedName>
    <definedName name="SMA" localSheetId="4">#REF!</definedName>
    <definedName name="SMA" localSheetId="0">#REF!</definedName>
    <definedName name="SMA">#REF!</definedName>
    <definedName name="SMA_wb" localSheetId="4">#REF!</definedName>
    <definedName name="SMA_wb" localSheetId="0">#REF!</definedName>
    <definedName name="SMA_wb">#REF!</definedName>
    <definedName name="SN_Salary" localSheetId="4">#REF!</definedName>
    <definedName name="SN_Salary" localSheetId="5">#REF!</definedName>
    <definedName name="SN_Salary" localSheetId="0">#REF!</definedName>
    <definedName name="SN_Salary">#REF!</definedName>
    <definedName name="SNM_EXPAT" localSheetId="0">#REF!</definedName>
    <definedName name="SNM_EXPAT">#REF!</definedName>
    <definedName name="SNM_EXPAT_HRS" localSheetId="0">#REF!</definedName>
    <definedName name="SNM_EXPAT_HRS">#REF!</definedName>
    <definedName name="SNM_FOREIGN" localSheetId="0">#REF!</definedName>
    <definedName name="SNM_FOREIGN">#REF!</definedName>
    <definedName name="SNM_FOREIGN_HRS" localSheetId="0">#REF!</definedName>
    <definedName name="SNM_FOREIGN_HRS">#REF!</definedName>
    <definedName name="SNM_HRS" localSheetId="0">#REF!</definedName>
    <definedName name="SNM_HRS">#REF!</definedName>
    <definedName name="SNM_LAB" localSheetId="0">#REF!</definedName>
    <definedName name="SNM_LAB">#REF!</definedName>
    <definedName name="Sobre_coste_Transporte">1</definedName>
    <definedName name="SOCIETA_____.." localSheetId="0">#REF!</definedName>
    <definedName name="SOCIETA_____..">#REF!</definedName>
    <definedName name="SOL" localSheetId="4">#REF!</definedName>
    <definedName name="SOL" localSheetId="5">#REF!</definedName>
    <definedName name="SOL" localSheetId="0">#REF!</definedName>
    <definedName name="SOL">#REF!</definedName>
    <definedName name="solver_adj" localSheetId="0" hidden="1">#REF!</definedName>
    <definedName name="solver_adj" hidden="1">#REF!</definedName>
    <definedName name="solver_lin" hidden="1">0</definedName>
    <definedName name="solver_num" hidden="1">0</definedName>
    <definedName name="solver_opt" localSheetId="0" hidden="1">#REF!</definedName>
    <definedName name="solver_opt" hidden="1">#REF!</definedName>
    <definedName name="solver_typ" hidden="1">3</definedName>
    <definedName name="solver_val" hidden="1">2118.99</definedName>
    <definedName name="sostenimientos">#REF!</definedName>
    <definedName name="spciężki" localSheetId="0">#REF!</definedName>
    <definedName name="spciężki">#REF!</definedName>
    <definedName name="spdrobny" localSheetId="0">#REF!</definedName>
    <definedName name="spdrobny">#REF!</definedName>
    <definedName name="SPEC_1" localSheetId="4">#REF!</definedName>
    <definedName name="SPEC_1" localSheetId="5">#REF!</definedName>
    <definedName name="SPEC_1" localSheetId="0">#REF!</definedName>
    <definedName name="SPEC_1">#REF!</definedName>
    <definedName name="SPEC_10" localSheetId="4">#REF!</definedName>
    <definedName name="SPEC_10" localSheetId="5">#REF!</definedName>
    <definedName name="SPEC_10" localSheetId="0">#REF!</definedName>
    <definedName name="SPEC_10">#REF!</definedName>
    <definedName name="SPEC_11" localSheetId="4">#REF!</definedName>
    <definedName name="SPEC_11" localSheetId="5">#REF!</definedName>
    <definedName name="SPEC_11" localSheetId="0">#REF!</definedName>
    <definedName name="SPEC_11">#REF!</definedName>
    <definedName name="SPEC_12" localSheetId="4">#REF!</definedName>
    <definedName name="SPEC_12" localSheetId="0">#REF!</definedName>
    <definedName name="SPEC_12">#REF!</definedName>
    <definedName name="SPEC_13" localSheetId="4">#REF!</definedName>
    <definedName name="SPEC_13" localSheetId="0">#REF!</definedName>
    <definedName name="SPEC_13">#REF!</definedName>
    <definedName name="SPEC_14" localSheetId="4">#REF!</definedName>
    <definedName name="SPEC_14" localSheetId="0">#REF!</definedName>
    <definedName name="SPEC_14">#REF!</definedName>
    <definedName name="SPEC_15" localSheetId="4">#REF!</definedName>
    <definedName name="SPEC_15" localSheetId="0">#REF!</definedName>
    <definedName name="SPEC_15">#REF!</definedName>
    <definedName name="SPEC_16" localSheetId="4">#REF!</definedName>
    <definedName name="SPEC_16" localSheetId="0">#REF!</definedName>
    <definedName name="SPEC_16">#REF!</definedName>
    <definedName name="SPEC_17" localSheetId="4">#REF!</definedName>
    <definedName name="SPEC_17" localSheetId="0">#REF!</definedName>
    <definedName name="SPEC_17">#REF!</definedName>
    <definedName name="SPEC_18" localSheetId="4">#REF!</definedName>
    <definedName name="SPEC_18" localSheetId="0">#REF!</definedName>
    <definedName name="SPEC_18">#REF!</definedName>
    <definedName name="SPEC_19" localSheetId="4">#REF!</definedName>
    <definedName name="SPEC_19" localSheetId="0">#REF!</definedName>
    <definedName name="SPEC_19">#REF!</definedName>
    <definedName name="SPEC_2" localSheetId="4">#REF!</definedName>
    <definedName name="SPEC_2" localSheetId="0">#REF!</definedName>
    <definedName name="SPEC_2">#REF!</definedName>
    <definedName name="SPEC_20" localSheetId="4">#REF!</definedName>
    <definedName name="SPEC_20" localSheetId="0">#REF!</definedName>
    <definedName name="SPEC_20">#REF!</definedName>
    <definedName name="SPEC_21" localSheetId="4">#REF!</definedName>
    <definedName name="SPEC_21" localSheetId="0">#REF!</definedName>
    <definedName name="SPEC_21">#REF!</definedName>
    <definedName name="SPEC_22" localSheetId="4">#REF!</definedName>
    <definedName name="SPEC_22" localSheetId="0">#REF!</definedName>
    <definedName name="SPEC_22">#REF!</definedName>
    <definedName name="SPEC_23" localSheetId="4">#REF!</definedName>
    <definedName name="SPEC_23" localSheetId="0">#REF!</definedName>
    <definedName name="SPEC_23">#REF!</definedName>
    <definedName name="SPEC_24" localSheetId="4">#REF!</definedName>
    <definedName name="SPEC_24" localSheetId="0">#REF!</definedName>
    <definedName name="SPEC_24">#REF!</definedName>
    <definedName name="SPEC_25" localSheetId="4">#REF!</definedName>
    <definedName name="SPEC_25" localSheetId="0">#REF!</definedName>
    <definedName name="SPEC_25">#REF!</definedName>
    <definedName name="SPEC_3" localSheetId="4">#REF!</definedName>
    <definedName name="SPEC_3" localSheetId="0">#REF!</definedName>
    <definedName name="SPEC_3">#REF!</definedName>
    <definedName name="SPEC_4" localSheetId="4">#REF!</definedName>
    <definedName name="SPEC_4" localSheetId="0">#REF!</definedName>
    <definedName name="SPEC_4">#REF!</definedName>
    <definedName name="SPEC_5" localSheetId="4">#REF!</definedName>
    <definedName name="SPEC_5" localSheetId="0">#REF!</definedName>
    <definedName name="SPEC_5">#REF!</definedName>
    <definedName name="SPEC_6" localSheetId="4">#REF!</definedName>
    <definedName name="SPEC_6" localSheetId="0">#REF!</definedName>
    <definedName name="SPEC_6">#REF!</definedName>
    <definedName name="SPEC_7" localSheetId="4">#REF!</definedName>
    <definedName name="SPEC_7" localSheetId="0">#REF!</definedName>
    <definedName name="SPEC_7">#REF!</definedName>
    <definedName name="SPEC_8" localSheetId="4">#REF!</definedName>
    <definedName name="SPEC_8" localSheetId="0">#REF!</definedName>
    <definedName name="SPEC_8">#REF!</definedName>
    <definedName name="SPEC_9" localSheetId="4">#REF!</definedName>
    <definedName name="SPEC_9" localSheetId="0">#REF!</definedName>
    <definedName name="SPEC_9">#REF!</definedName>
    <definedName name="SPIC">21000</definedName>
    <definedName name="SPIDER_DIS">1</definedName>
    <definedName name="spr" localSheetId="0">#REF!</definedName>
    <definedName name="spr">#REF!</definedName>
    <definedName name="sprz_kosz" localSheetId="4">#REF!</definedName>
    <definedName name="sprz_kosz" localSheetId="5">#REF!</definedName>
    <definedName name="sprz_kosz" localSheetId="0">#REF!</definedName>
    <definedName name="sprz_kosz">#REF!</definedName>
    <definedName name="sprz_mar" localSheetId="4">#REF!</definedName>
    <definedName name="sprz_mar" localSheetId="5">#REF!</definedName>
    <definedName name="sprz_mar" localSheetId="0">#REF!</definedName>
    <definedName name="sprz_mar">#REF!</definedName>
    <definedName name="Sprz_przych" localSheetId="4">#REF!</definedName>
    <definedName name="Sprz_przych" localSheetId="5">#REF!</definedName>
    <definedName name="Sprz_przych" localSheetId="0">#REF!</definedName>
    <definedName name="Sprz_przych">#REF!</definedName>
    <definedName name="sprzcie" localSheetId="0">#REF!</definedName>
    <definedName name="sprzcie">#REF!</definedName>
    <definedName name="sprzciez" localSheetId="0">#REF!</definedName>
    <definedName name="sprzciez">#REF!</definedName>
    <definedName name="sprzciężki" localSheetId="4">#REF!</definedName>
    <definedName name="sprzciężki" localSheetId="5">#REF!</definedName>
    <definedName name="sprzciężki" localSheetId="0">#REF!</definedName>
    <definedName name="sprzciężki">#REF!</definedName>
    <definedName name="sprzdobn" localSheetId="0">#REF!</definedName>
    <definedName name="sprzdobn">#REF!</definedName>
    <definedName name="sprzdobny" localSheetId="0">#REF!</definedName>
    <definedName name="sprzdobny">#REF!</definedName>
    <definedName name="sprzdobnyr" localSheetId="0">#REF!</definedName>
    <definedName name="sprzdobnyr">#REF!</definedName>
    <definedName name="sprzdrobny" localSheetId="4">#REF!</definedName>
    <definedName name="sprzdrobny" localSheetId="5">#REF!</definedName>
    <definedName name="sprzdrobny" localSheetId="0">#REF!</definedName>
    <definedName name="sprzdrobny">#REF!</definedName>
    <definedName name="sprzeciez" localSheetId="0">#REF!</definedName>
    <definedName name="sprzeciez">#REF!</definedName>
    <definedName name="sprzecspe" localSheetId="0">#REF!</definedName>
    <definedName name="sprzecspe">#REF!</definedName>
    <definedName name="sprzecspec" localSheetId="0">#REF!</definedName>
    <definedName name="sprzecspec">#REF!</definedName>
    <definedName name="sprzedaz_p" localSheetId="4">#REF!</definedName>
    <definedName name="sprzedaz_p" localSheetId="5">#REF!</definedName>
    <definedName name="sprzedaz_p" localSheetId="0">#REF!</definedName>
    <definedName name="sprzedaz_p">#REF!</definedName>
    <definedName name="SprzedazE17" localSheetId="4">#REF!</definedName>
    <definedName name="SprzedazE17" localSheetId="5">#REF!</definedName>
    <definedName name="SprzedazE17" localSheetId="0">#REF!</definedName>
    <definedName name="SprzedazE17">#REF!</definedName>
    <definedName name="sprzespe" localSheetId="0">#REF!</definedName>
    <definedName name="sprzespe">#REF!</definedName>
    <definedName name="sprzespec" localSheetId="0">#REF!</definedName>
    <definedName name="sprzespec">#REF!</definedName>
    <definedName name="sprzęspec" localSheetId="4">#REF!</definedName>
    <definedName name="sprzęspec" localSheetId="5">#REF!</definedName>
    <definedName name="sprzęspec" localSheetId="0">#REF!</definedName>
    <definedName name="sprzęspec">#REF!</definedName>
    <definedName name="sprzęt" localSheetId="4">#REF!</definedName>
    <definedName name="sprzęt" localSheetId="5">#REF!</definedName>
    <definedName name="sprzęt" localSheetId="0">#REF!</definedName>
    <definedName name="sprzęt">#REF!</definedName>
    <definedName name="Sprzet_ciezki" localSheetId="0">#REF!</definedName>
    <definedName name="Sprzet_ciezki">#REF!</definedName>
    <definedName name="Sprzet_drobny" localSheetId="0">#REF!</definedName>
    <definedName name="Sprzet_drobny">#REF!</definedName>
    <definedName name="Sprzet_spec" localSheetId="0">#REF!</definedName>
    <definedName name="Sprzet_spec">#REF!</definedName>
    <definedName name="Sprzęt1" localSheetId="0">#REF!</definedName>
    <definedName name="Sprzęt1">#REF!</definedName>
    <definedName name="Sprzęt10" localSheetId="4">#REF!</definedName>
    <definedName name="Sprzęt10" localSheetId="5">#REF!</definedName>
    <definedName name="Sprzęt10" localSheetId="0">#REF!</definedName>
    <definedName name="Sprzęt10">#REF!</definedName>
    <definedName name="Sprzęt2" localSheetId="0">#REF!</definedName>
    <definedName name="Sprzęt2">#REF!</definedName>
    <definedName name="Sprzęt3" localSheetId="0">#REF!</definedName>
    <definedName name="Sprzęt3">#REF!</definedName>
    <definedName name="Sprzęt4" localSheetId="0">#REF!</definedName>
    <definedName name="Sprzęt4">#REF!</definedName>
    <definedName name="Sprzęt5" localSheetId="0">#REF!</definedName>
    <definedName name="Sprzęt5">#REF!</definedName>
    <definedName name="Sprzęt8" localSheetId="4">#REF!</definedName>
    <definedName name="Sprzęt8" localSheetId="5">#REF!</definedName>
    <definedName name="Sprzęt8" localSheetId="0">#REF!</definedName>
    <definedName name="Sprzęt8">#REF!</definedName>
    <definedName name="Sprzęt9" localSheetId="4">#REF!</definedName>
    <definedName name="Sprzęt9" localSheetId="5">#REF!</definedName>
    <definedName name="Sprzęt9" localSheetId="0">#REF!</definedName>
    <definedName name="Sprzęt9">#REF!</definedName>
    <definedName name="sprzobny" localSheetId="0">#REF!</definedName>
    <definedName name="sprzobny">#REF!</definedName>
    <definedName name="spspecjal" localSheetId="0">#REF!</definedName>
    <definedName name="spspecjal">#REF!</definedName>
    <definedName name="srty" localSheetId="4">#REF!</definedName>
    <definedName name="srty" localSheetId="5">#REF!</definedName>
    <definedName name="srty" localSheetId="0">#REF!</definedName>
    <definedName name="srty">#REF!</definedName>
    <definedName name="ss" localSheetId="4">#REF!</definedName>
    <definedName name="ss" localSheetId="5">#REF!</definedName>
    <definedName name="ss" localSheetId="0">#REF!</definedName>
    <definedName name="ss">#REF!</definedName>
    <definedName name="SS_2" localSheetId="4">#REF!</definedName>
    <definedName name="SS_2" localSheetId="5">#REF!</definedName>
    <definedName name="SS_2" localSheetId="0">#REF!</definedName>
    <definedName name="SS_2">#REF!</definedName>
    <definedName name="SSS" localSheetId="4">#REF!</definedName>
    <definedName name="SSS" localSheetId="0">#REF!</definedName>
    <definedName name="SSS">#REF!</definedName>
    <definedName name="ssshhh" localSheetId="4" hidden="1">{#N/A,#N/A,FALSE,"SumG";#N/A,#N/A,FALSE,"ElecG";#N/A,#N/A,FALSE,"MechG";#N/A,#N/A,FALSE,"GeotG";#N/A,#N/A,FALSE,"PrcsG";#N/A,#N/A,FALSE,"TunnG";#N/A,#N/A,FALSE,"CivlG";#N/A,#N/A,FALSE,"NtwkG";#N/A,#N/A,FALSE,"EstgG";#N/A,#N/A,FALSE,"PEngG"}</definedName>
    <definedName name="ssshhh" localSheetId="6" hidden="1">{#N/A,#N/A,FALSE,"SumG";#N/A,#N/A,FALSE,"ElecG";#N/A,#N/A,FALSE,"MechG";#N/A,#N/A,FALSE,"GeotG";#N/A,#N/A,FALSE,"PrcsG";#N/A,#N/A,FALSE,"TunnG";#N/A,#N/A,FALSE,"CivlG";#N/A,#N/A,FALSE,"NtwkG";#N/A,#N/A,FALSE,"EstgG";#N/A,#N/A,FALSE,"PEngG"}</definedName>
    <definedName name="ssshhh" localSheetId="5" hidden="1">{#N/A,#N/A,FALSE,"SumG";#N/A,#N/A,FALSE,"ElecG";#N/A,#N/A,FALSE,"MechG";#N/A,#N/A,FALSE,"GeotG";#N/A,#N/A,FALSE,"PrcsG";#N/A,#N/A,FALSE,"TunnG";#N/A,#N/A,FALSE,"CivlG";#N/A,#N/A,FALSE,"NtwkG";#N/A,#N/A,FALSE,"EstgG";#N/A,#N/A,FALSE,"PEngG"}</definedName>
    <definedName name="ssshhh" localSheetId="0"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 localSheetId="4">#REF!</definedName>
    <definedName name="ssss" localSheetId="5">#REF!</definedName>
    <definedName name="ssss" localSheetId="0">#REF!</definedName>
    <definedName name="ssss">#REF!</definedName>
    <definedName name="sssss" localSheetId="4" hidden="1">{#N/A,#N/A,FALSE,"SumD";#N/A,#N/A,FALSE,"ElecD";#N/A,#N/A,FALSE,"MechD";#N/A,#N/A,FALSE,"GeotD";#N/A,#N/A,FALSE,"PrcsD";#N/A,#N/A,FALSE,"TunnD";#N/A,#N/A,FALSE,"CivlD";#N/A,#N/A,FALSE,"NtwkD";#N/A,#N/A,FALSE,"EstgD";#N/A,#N/A,FALSE,"PEngD"}</definedName>
    <definedName name="sssss" localSheetId="6" hidden="1">{#N/A,#N/A,FALSE,"SumD";#N/A,#N/A,FALSE,"ElecD";#N/A,#N/A,FALSE,"MechD";#N/A,#N/A,FALSE,"GeotD";#N/A,#N/A,FALSE,"PrcsD";#N/A,#N/A,FALSE,"TunnD";#N/A,#N/A,FALSE,"CivlD";#N/A,#N/A,FALSE,"NtwkD";#N/A,#N/A,FALSE,"EstgD";#N/A,#N/A,FALSE,"PEngD"}</definedName>
    <definedName name="sssss" localSheetId="5" hidden="1">{#N/A,#N/A,FALSE,"SumD";#N/A,#N/A,FALSE,"ElecD";#N/A,#N/A,FALSE,"MechD";#N/A,#N/A,FALSE,"GeotD";#N/A,#N/A,FALSE,"PrcsD";#N/A,#N/A,FALSE,"TunnD";#N/A,#N/A,FALSE,"CivlD";#N/A,#N/A,FALSE,"NtwkD";#N/A,#N/A,FALSE,"EstgD";#N/A,#N/A,FALSE,"PEngD"}</definedName>
    <definedName name="sssss" localSheetId="0"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ssss" localSheetId="4">#REF!</definedName>
    <definedName name="ssssss" localSheetId="5">#REF!</definedName>
    <definedName name="ssssss" localSheetId="0">#REF!</definedName>
    <definedName name="ssssss">#REF!</definedName>
    <definedName name="ssssssss" localSheetId="4" hidden="1">{"CONCABL1.1",#N/A,FALSE,"1.1.1a1.1.3 ACSR";"AISL1.2",#N/A,FALSE,"1.1.1a1.1.3 ACSR";"torr1.1.3",#N/A,FALSE,"1.1.1a1.1.3 ACSR";"cm1.2",#N/A,FALSE,"1.2 ACSR";"cm2.2",#N/A,FALSE,"1.2 ACSR";#N/A,#N/A,FALSE,"1.3 ACSR";#N/A,#N/A,FALSE,"2.1.1A2.1.3 ACAR";"ac2.1",#N/A,FALSE,"1.2 ACAR";"ac2.2",#N/A,FALSE,"1.2 ACAR";#N/A,#N/A,FALSE,"2.3 ACAR"}</definedName>
    <definedName name="ssssssss" localSheetId="5" hidden="1">{"CONCABL1.1",#N/A,FALSE,"1.1.1a1.1.3 ACSR";"AISL1.2",#N/A,FALSE,"1.1.1a1.1.3 ACSR";"torr1.1.3",#N/A,FALSE,"1.1.1a1.1.3 ACSR";"cm1.2",#N/A,FALSE,"1.2 ACSR";"cm2.2",#N/A,FALSE,"1.2 ACSR";#N/A,#N/A,FALSE,"1.3 ACSR";#N/A,#N/A,FALSE,"2.1.1A2.1.3 ACAR";"ac2.1",#N/A,FALSE,"1.2 ACAR";"ac2.2",#N/A,FALSE,"1.2 ACAR";#N/A,#N/A,FALSE,"2.3 ACAR"}</definedName>
    <definedName name="ssssssss" localSheetId="0" hidden="1">{"CONCABL1.1",#N/A,FALSE,"1.1.1a1.1.3 ACSR";"AISL1.2",#N/A,FALSE,"1.1.1a1.1.3 ACSR";"torr1.1.3",#N/A,FALSE,"1.1.1a1.1.3 ACSR";"cm1.2",#N/A,FALSE,"1.2 ACSR";"cm2.2",#N/A,FALSE,"1.2 ACSR";#N/A,#N/A,FALSE,"1.3 ACSR";#N/A,#N/A,FALSE,"2.1.1A2.1.3 ACAR";"ac2.1",#N/A,FALSE,"1.2 ACAR";"ac2.2",#N/A,FALSE,"1.2 ACAR";#N/A,#N/A,FALSE,"2.3 ACAR"}</definedName>
    <definedName name="ssssssss" hidden="1">{"CONCABL1.1",#N/A,FALSE,"1.1.1a1.1.3 ACSR";"AISL1.2",#N/A,FALSE,"1.1.1a1.1.3 ACSR";"torr1.1.3",#N/A,FALSE,"1.1.1a1.1.3 ACSR";"cm1.2",#N/A,FALSE,"1.2 ACSR";"cm2.2",#N/A,FALSE,"1.2 ACSR";#N/A,#N/A,FALSE,"1.3 ACSR";#N/A,#N/A,FALSE,"2.1.1A2.1.3 ACAR";"ac2.1",#N/A,FALSE,"1.2 ACAR";"ac2.2",#N/A,FALSE,"1.2 ACAR";#N/A,#N/A,FALSE,"2.3 ACAR"}</definedName>
    <definedName name="sssssssssssss" localSheetId="4">#REF!</definedName>
    <definedName name="sssssssssssss" localSheetId="5">#REF!</definedName>
    <definedName name="sssssssssssss" localSheetId="0">#REF!</definedName>
    <definedName name="sssssssssssss">#REF!</definedName>
    <definedName name="ST" localSheetId="4">#REF!</definedName>
    <definedName name="ST" localSheetId="5">#REF!</definedName>
    <definedName name="ST" localSheetId="0">#REF!</definedName>
    <definedName name="ST">#REF!</definedName>
    <definedName name="st_ma_02" localSheetId="0">#REF!</definedName>
    <definedName name="st_ma_02">#REF!</definedName>
    <definedName name="st_ma_03" localSheetId="0">#REF!</definedName>
    <definedName name="st_ma_03">#REF!</definedName>
    <definedName name="stab_1_5" localSheetId="4">#REF!</definedName>
    <definedName name="stab_1_5" localSheetId="5">#REF!</definedName>
    <definedName name="stab_1_5" localSheetId="0">#REF!</definedName>
    <definedName name="stab_1_5">#REF!</definedName>
    <definedName name="stab_2_5" localSheetId="4">#REF!</definedName>
    <definedName name="stab_2_5" localSheetId="5">#REF!</definedName>
    <definedName name="stab_2_5" localSheetId="0">#REF!</definedName>
    <definedName name="stab_2_5">#REF!</definedName>
    <definedName name="stabilizacja_chodnik_m2" localSheetId="4">#REF!</definedName>
    <definedName name="stabilizacja_chodnik_m2" localSheetId="5">#REF!</definedName>
    <definedName name="stabilizacja_chodnik_m2" localSheetId="0">#REF!</definedName>
    <definedName name="stabilizacja_chodnik_m2">#REF!</definedName>
    <definedName name="stabilizacja_dolna_jezdnia_m2" localSheetId="4">#REF!</definedName>
    <definedName name="stabilizacja_dolna_jezdnia_m2" localSheetId="0">#REF!</definedName>
    <definedName name="stabilizacja_dolna_jezdnia_m2">#REF!</definedName>
    <definedName name="stabilizacja_dolna_łącznik" localSheetId="4">#REF!</definedName>
    <definedName name="stabilizacja_dolna_łącznik" localSheetId="0">#REF!</definedName>
    <definedName name="stabilizacja_dolna_łącznik">#REF!</definedName>
    <definedName name="stabilizacja_dolna_parking_m2" localSheetId="4">#REF!</definedName>
    <definedName name="stabilizacja_dolna_parking_m2" localSheetId="0">#REF!</definedName>
    <definedName name="stabilizacja_dolna_parking_m2">#REF!</definedName>
    <definedName name="stabilizacja_górna_jezdnia_m2" localSheetId="4">#REF!</definedName>
    <definedName name="stabilizacja_górna_jezdnia_m2" localSheetId="0">#REF!</definedName>
    <definedName name="stabilizacja_górna_jezdnia_m2">#REF!</definedName>
    <definedName name="stabilizacja_górna_łącznik" localSheetId="4">#REF!</definedName>
    <definedName name="stabilizacja_górna_łącznik" localSheetId="0">#REF!</definedName>
    <definedName name="stabilizacja_górna_łącznik">#REF!</definedName>
    <definedName name="stabilizacja_górna_parking_m2" localSheetId="4">#REF!</definedName>
    <definedName name="stabilizacja_górna_parking_m2" localSheetId="0">#REF!</definedName>
    <definedName name="stabilizacja_górna_parking_m2">#REF!</definedName>
    <definedName name="stabilizacja_pod_chodnikiem_m2">"="</definedName>
    <definedName name="stabilizacja_pod_dojściami_z_kostki_m2" localSheetId="4">#REF!</definedName>
    <definedName name="stabilizacja_pod_dojściami_z_kostki_m2" localSheetId="5">#REF!</definedName>
    <definedName name="stabilizacja_pod_dojściami_z_kostki_m2" localSheetId="0">#REF!</definedName>
    <definedName name="stabilizacja_pod_dojściami_z_kostki_m2">#REF!</definedName>
    <definedName name="stabilizacja_pod_zjazdami_m2" localSheetId="4">#REF!</definedName>
    <definedName name="stabilizacja_pod_zjazdami_m2" localSheetId="5">#REF!</definedName>
    <definedName name="stabilizacja_pod_zjazdami_m2" localSheetId="0">#REF!</definedName>
    <definedName name="stabilizacja_pod_zjazdami_m2">#REF!</definedName>
    <definedName name="stabilizacja_pod_zjazdami_z_kostki_m2" localSheetId="4">#REF!</definedName>
    <definedName name="stabilizacja_pod_zjazdami_z_kostki_m2" localSheetId="5">#REF!</definedName>
    <definedName name="stabilizacja_pod_zjazdami_z_kostki_m2" localSheetId="0">#REF!</definedName>
    <definedName name="stabilizacja_pod_zjazdami_z_kostki_m2">#REF!</definedName>
    <definedName name="stabilizacja_poz_zjazdami_z_kostki_m2" localSheetId="4">#REF!</definedName>
    <definedName name="stabilizacja_poz_zjazdami_z_kostki_m2" localSheetId="0">#REF!</definedName>
    <definedName name="stabilizacja_poz_zjazdami_z_kostki_m2">#REF!</definedName>
    <definedName name="stal" localSheetId="0">#REF!</definedName>
    <definedName name="stal">#REF!</definedName>
    <definedName name="STAL.KOSZE" localSheetId="4">#REF!</definedName>
    <definedName name="STAL.KOSZE" localSheetId="5">#REF!</definedName>
    <definedName name="STAL.KOSZE" localSheetId="0">#REF!</definedName>
    <definedName name="STAL.KOSZE">#REF!</definedName>
    <definedName name="STAL.MONTAŻ" localSheetId="4">#REF!</definedName>
    <definedName name="STAL.MONTAŻ" localSheetId="5">#REF!</definedName>
    <definedName name="STAL.MONTAŻ" localSheetId="0">#REF!</definedName>
    <definedName name="STAL.MONTAŻ">#REF!</definedName>
    <definedName name="STAL.ZBROJENIOWA" localSheetId="4">#REF!</definedName>
    <definedName name="STAL.ZBROJENIOWA" localSheetId="5">#REF!</definedName>
    <definedName name="STAL.ZBROJENIOWA" localSheetId="0">#REF!</definedName>
    <definedName name="STAL.ZBROJENIOWA">#REF!</definedName>
    <definedName name="stal_murku_żelbetowego" localSheetId="0">#REF!</definedName>
    <definedName name="stal_murku_żelbetowego">#REF!</definedName>
    <definedName name="stal_RMS" localSheetId="4">#REF!</definedName>
    <definedName name="stal_RMS" localSheetId="5">#REF!</definedName>
    <definedName name="stal_RMS" localSheetId="0">#REF!</definedName>
    <definedName name="stal_RMS">#REF!</definedName>
    <definedName name="stal2" localSheetId="0">#REF!</definedName>
    <definedName name="stal2">#REF!</definedName>
    <definedName name="Stałe" localSheetId="4">#REF!</definedName>
    <definedName name="Stałe" localSheetId="5">#REF!</definedName>
    <definedName name="Stałe" localSheetId="0">#REF!</definedName>
    <definedName name="Stałe">#REF!</definedName>
    <definedName name="stare_k1" localSheetId="4">#REF!</definedName>
    <definedName name="stare_k1" localSheetId="5">#REF!</definedName>
    <definedName name="stare_k1" localSheetId="0">#REF!</definedName>
    <definedName name="stare_k1">#REF!</definedName>
    <definedName name="stare_k2" localSheetId="4">#REF!</definedName>
    <definedName name="stare_k2" localSheetId="5">#REF!</definedName>
    <definedName name="stare_k2" localSheetId="0">#REF!</definedName>
    <definedName name="stare_k2">#REF!</definedName>
    <definedName name="Status_projektu" localSheetId="4">#REF!</definedName>
    <definedName name="Status_projektu" localSheetId="5">#REF!</definedName>
    <definedName name="Status_projektu" localSheetId="0">#REF!</definedName>
    <definedName name="Status_projektu">#REF!</definedName>
    <definedName name="Stawka_dzierzawy" localSheetId="4">#REF!</definedName>
    <definedName name="Stawka_dzierzawy" localSheetId="0">#REF!</definedName>
    <definedName name="Stawka_dzierzawy">#REF!</definedName>
    <definedName name="stawka_r_g_brutto">"$#ODWOŁANIE!.$C$54"</definedName>
    <definedName name="stawka_r_g_netto">"$#ODWOŁANIE!.$C$53"</definedName>
    <definedName name="stawka_robocizny">#REF!</definedName>
    <definedName name="steam_trap" localSheetId="4">#REF!</definedName>
    <definedName name="steam_trap" localSheetId="5">#REF!</definedName>
    <definedName name="steam_trap" localSheetId="0">#REF!</definedName>
    <definedName name="steam_trap">#REF!</definedName>
    <definedName name="STEEL_CITY" localSheetId="4">#REF!</definedName>
    <definedName name="STEEL_CITY" localSheetId="5">#REF!</definedName>
    <definedName name="STEEL_CITY" localSheetId="0">#REF!</definedName>
    <definedName name="STEEL_CITY">#REF!</definedName>
    <definedName name="STEEL_ESC" localSheetId="4">#REF!</definedName>
    <definedName name="STEEL_ESC" localSheetId="5">#REF!</definedName>
    <definedName name="STEEL_ESC" localSheetId="0">#REF!</definedName>
    <definedName name="STEEL_ESC">#REF!</definedName>
    <definedName name="STEEL_OLD_CITY" localSheetId="4">#REF!</definedName>
    <definedName name="STEEL_OLD_CITY" localSheetId="0">#REF!</definedName>
    <definedName name="STEEL_OLD_CITY">#REF!</definedName>
    <definedName name="STEEL_OLD_ESC" localSheetId="4">#REF!</definedName>
    <definedName name="STEEL_OLD_ESC" localSheetId="0">#REF!</definedName>
    <definedName name="STEEL_OLD_ESC">#REF!</definedName>
    <definedName name="STEEL_OLD_PROD" localSheetId="4">#REF!</definedName>
    <definedName name="STEEL_OLD_PROD" localSheetId="0">#REF!</definedName>
    <definedName name="STEEL_OLD_PROD">#REF!</definedName>
    <definedName name="STEEL_OLD_WAGE" localSheetId="4">#REF!</definedName>
    <definedName name="STEEL_OLD_WAGE" localSheetId="0">#REF!</definedName>
    <definedName name="STEEL_OLD_WAGE">#REF!</definedName>
    <definedName name="STEEL_PROD" localSheetId="4">#REF!</definedName>
    <definedName name="STEEL_PROD" localSheetId="0">#REF!</definedName>
    <definedName name="STEEL_PROD">#REF!</definedName>
    <definedName name="STEEL_WAGE" localSheetId="4">#REF!</definedName>
    <definedName name="STEEL_WAGE" localSheetId="0">#REF!</definedName>
    <definedName name="STEEL_WAGE">#REF!</definedName>
    <definedName name="stowarz" localSheetId="4">#REF!</definedName>
    <definedName name="stowarz" localSheetId="0">#REF!</definedName>
    <definedName name="stowarz">#REF!</definedName>
    <definedName name="STR">79112</definedName>
    <definedName name="strab" localSheetId="4">#REF!</definedName>
    <definedName name="strab" localSheetId="5">#REF!</definedName>
    <definedName name="strab" localSheetId="0">#REF!</definedName>
    <definedName name="strab">#REF!</definedName>
    <definedName name="straord" localSheetId="0">#REF!</definedName>
    <definedName name="straord">#REF!</definedName>
    <definedName name="Strefa_przejściowa">150</definedName>
    <definedName name="Struct_Steel_1" localSheetId="4">#REF!</definedName>
    <definedName name="Struct_Steel_1" localSheetId="5">#REF!</definedName>
    <definedName name="Struct_Steel_1" localSheetId="0">#REF!</definedName>
    <definedName name="Struct_Steel_1">#REF!</definedName>
    <definedName name="Struct_Steel_10" localSheetId="4">#REF!</definedName>
    <definedName name="Struct_Steel_10" localSheetId="5">#REF!</definedName>
    <definedName name="Struct_Steel_10" localSheetId="0">#REF!</definedName>
    <definedName name="Struct_Steel_10">#REF!</definedName>
    <definedName name="Struct_Steel_100" localSheetId="4">#REF!</definedName>
    <definedName name="Struct_Steel_100" localSheetId="5">#REF!</definedName>
    <definedName name="Struct_Steel_100" localSheetId="0">#REF!</definedName>
    <definedName name="Struct_Steel_100">#REF!</definedName>
    <definedName name="Struct_Steel_20" localSheetId="4">#REF!</definedName>
    <definedName name="Struct_Steel_20" localSheetId="0">#REF!</definedName>
    <definedName name="Struct_Steel_20">#REF!</definedName>
    <definedName name="Struct_Steel_30" localSheetId="4">#REF!</definedName>
    <definedName name="Struct_Steel_30" localSheetId="0">#REF!</definedName>
    <definedName name="Struct_Steel_30">#REF!</definedName>
    <definedName name="Struct_Steel_40" localSheetId="4">#REF!</definedName>
    <definedName name="Struct_Steel_40" localSheetId="0">#REF!</definedName>
    <definedName name="Struct_Steel_40">#REF!</definedName>
    <definedName name="Struct_Steel_50" localSheetId="4">#REF!</definedName>
    <definedName name="Struct_Steel_50" localSheetId="0">#REF!</definedName>
    <definedName name="Struct_Steel_50">#REF!</definedName>
    <definedName name="Struct_Steel_60" localSheetId="4">#REF!</definedName>
    <definedName name="Struct_Steel_60" localSheetId="0">#REF!</definedName>
    <definedName name="Struct_Steel_60">#REF!</definedName>
    <definedName name="Struct_Steel_70" localSheetId="4">#REF!</definedName>
    <definedName name="Struct_Steel_70" localSheetId="0">#REF!</definedName>
    <definedName name="Struct_Steel_70">#REF!</definedName>
    <definedName name="Struct_Steel_80" localSheetId="4">#REF!</definedName>
    <definedName name="Struct_Steel_80" localSheetId="0">#REF!</definedName>
    <definedName name="Struct_Steel_80">#REF!</definedName>
    <definedName name="Struct_Steel_90" localSheetId="4">#REF!</definedName>
    <definedName name="Struct_Steel_90" localSheetId="0">#REF!</definedName>
    <definedName name="Struct_Steel_90">#REF!</definedName>
    <definedName name="STUDNIA.FI600" localSheetId="4">#REF!</definedName>
    <definedName name="STUDNIA.FI600" localSheetId="5">#REF!</definedName>
    <definedName name="STUDNIA.FI600" localSheetId="0">#REF!</definedName>
    <definedName name="STUDNIA.FI600">#REF!</definedName>
    <definedName name="stwyk" localSheetId="4">#REF!</definedName>
    <definedName name="stwyk" localSheetId="5">#REF!</definedName>
    <definedName name="stwyk" localSheetId="0">#REF!</definedName>
    <definedName name="stwyk">#REF!</definedName>
    <definedName name="Sub_Fac_old" localSheetId="0">#REF!</definedName>
    <definedName name="Sub_Fac_old">#REF!</definedName>
    <definedName name="SubCont" localSheetId="4">#REF!</definedName>
    <definedName name="SubCont" localSheetId="5">#REF!</definedName>
    <definedName name="SubCont" localSheetId="0">#REF!</definedName>
    <definedName name="SubCont">#REF!</definedName>
    <definedName name="SUBCONTRACT_MTRL_UNIT_COST" localSheetId="0">#REF!,#REF!,#REF!,#REF!,#REF!,#REF!,#REF!</definedName>
    <definedName name="SUBCONTRACT_MTRL_UNIT_COST">#REF!,#REF!,#REF!,#REF!,#REF!,#REF!,#REF!</definedName>
    <definedName name="SUBCONTRATOS" localSheetId="4">#REF!</definedName>
    <definedName name="SUBCONTRATOS" localSheetId="5">#REF!</definedName>
    <definedName name="SUBCONTRATOS" localSheetId="0">#REF!</definedName>
    <definedName name="SUBCONTRATOS">#REF!</definedName>
    <definedName name="SUBCONTRATOS2" localSheetId="4">#REF!</definedName>
    <definedName name="SUBCONTRATOS2" localSheetId="5">#REF!</definedName>
    <definedName name="SUBCONTRATOS2" localSheetId="0">#REF!</definedName>
    <definedName name="SUBCONTRATOS2">#REF!</definedName>
    <definedName name="subs" localSheetId="4">#REF!</definedName>
    <definedName name="subs" localSheetId="5">#REF!</definedName>
    <definedName name="subs" localSheetId="0">#REF!</definedName>
    <definedName name="subs">#REF!</definedName>
    <definedName name="sum" localSheetId="5">#REF!</definedName>
    <definedName name="sum" localSheetId="0">#REF!</definedName>
    <definedName name="sum">#REF!</definedName>
    <definedName name="SUM_DATA" localSheetId="4">#REF!</definedName>
    <definedName name="SUM_DATA" localSheetId="5">#REF!</definedName>
    <definedName name="SUM_DATA" localSheetId="0">#REF!</definedName>
    <definedName name="SUM_DATA">#REF!</definedName>
    <definedName name="SUM_DEP" localSheetId="4" hidden="1">{"CONCABL1.1",#N/A,FALSE,"1.1.1a1.1.3 ACSR";"AISL1.2",#N/A,FALSE,"1.1.1a1.1.3 ACSR";"torr1.1.3",#N/A,FALSE,"1.1.1a1.1.3 ACSR";"cm1.2",#N/A,FALSE,"1.2 ACSR";"cm2.2",#N/A,FALSE,"1.2 ACSR";#N/A,#N/A,FALSE,"1.3 ACSR";#N/A,#N/A,FALSE,"2.1.1A2.1.3 ACAR";"ac2.1",#N/A,FALSE,"1.2 ACAR";"ac2.2",#N/A,FALSE,"1.2 ACAR";#N/A,#N/A,FALSE,"2.3 ACAR"}</definedName>
    <definedName name="SUM_DEP" localSheetId="5" hidden="1">{"CONCABL1.1",#N/A,FALSE,"1.1.1a1.1.3 ACSR";"AISL1.2",#N/A,FALSE,"1.1.1a1.1.3 ACSR";"torr1.1.3",#N/A,FALSE,"1.1.1a1.1.3 ACSR";"cm1.2",#N/A,FALSE,"1.2 ACSR";"cm2.2",#N/A,FALSE,"1.2 ACSR";#N/A,#N/A,FALSE,"1.3 ACSR";#N/A,#N/A,FALSE,"2.1.1A2.1.3 ACAR";"ac2.1",#N/A,FALSE,"1.2 ACAR";"ac2.2",#N/A,FALSE,"1.2 ACAR";#N/A,#N/A,FALSE,"2.3 ACAR"}</definedName>
    <definedName name="SUM_DEP" localSheetId="0" hidden="1">{"CONCABL1.1",#N/A,FALSE,"1.1.1a1.1.3 ACSR";"AISL1.2",#N/A,FALSE,"1.1.1a1.1.3 ACSR";"torr1.1.3",#N/A,FALSE,"1.1.1a1.1.3 ACSR";"cm1.2",#N/A,FALSE,"1.2 ACSR";"cm2.2",#N/A,FALSE,"1.2 ACSR";#N/A,#N/A,FALSE,"1.3 ACSR";#N/A,#N/A,FALSE,"2.1.1A2.1.3 ACAR";"ac2.1",#N/A,FALSE,"1.2 ACAR";"ac2.2",#N/A,FALSE,"1.2 ACAR";#N/A,#N/A,FALSE,"2.3 ACAR"}</definedName>
    <definedName name="SUM_DEP" hidden="1">{"CONCABL1.1",#N/A,FALSE,"1.1.1a1.1.3 ACSR";"AISL1.2",#N/A,FALSE,"1.1.1a1.1.3 ACSR";"torr1.1.3",#N/A,FALSE,"1.1.1a1.1.3 ACSR";"cm1.2",#N/A,FALSE,"1.2 ACSR";"cm2.2",#N/A,FALSE,"1.2 ACSR";#N/A,#N/A,FALSE,"1.3 ACSR";#N/A,#N/A,FALSE,"2.1.1A2.1.3 ACAR";"ac2.1",#N/A,FALSE,"1.2 ACAR";"ac2.2",#N/A,FALSE,"1.2 ACAR";#N/A,#N/A,FALSE,"2.3 ACAR"}</definedName>
    <definedName name="SUM_K1" localSheetId="4">#REF!</definedName>
    <definedName name="SUM_K1" localSheetId="5">#REF!</definedName>
    <definedName name="SUM_K1" localSheetId="0">#REF!</definedName>
    <definedName name="SUM_K1">#REF!</definedName>
    <definedName name="SUM_K1_1" localSheetId="4">#REF!</definedName>
    <definedName name="SUM_K1_1" localSheetId="5">#REF!</definedName>
    <definedName name="SUM_K1_1" localSheetId="0">#REF!</definedName>
    <definedName name="SUM_K1_1">#REF!</definedName>
    <definedName name="SUM_K1_19" localSheetId="4">#REF!</definedName>
    <definedName name="SUM_K1_19" localSheetId="5">#REF!</definedName>
    <definedName name="SUM_K1_19" localSheetId="0">#REF!</definedName>
    <definedName name="SUM_K1_19">#REF!</definedName>
    <definedName name="SUM_K1_2" localSheetId="4">#REF!</definedName>
    <definedName name="SUM_K1_2" localSheetId="0">#REF!</definedName>
    <definedName name="SUM_K1_2">#REF!</definedName>
    <definedName name="SUM_K1_20" localSheetId="4">#REF!</definedName>
    <definedName name="SUM_K1_20" localSheetId="0">#REF!</definedName>
    <definedName name="SUM_K1_20">#REF!</definedName>
    <definedName name="SUM_K1_21" localSheetId="4">#REF!</definedName>
    <definedName name="SUM_K1_21" localSheetId="0">#REF!</definedName>
    <definedName name="SUM_K1_21">#REF!</definedName>
    <definedName name="SUM_K1_22" localSheetId="4">#REF!</definedName>
    <definedName name="SUM_K1_22" localSheetId="0">#REF!</definedName>
    <definedName name="SUM_K1_22">#REF!</definedName>
    <definedName name="SUM_K1_23" localSheetId="4">#REF!</definedName>
    <definedName name="SUM_K1_23" localSheetId="0">#REF!</definedName>
    <definedName name="SUM_K1_23">#REF!</definedName>
    <definedName name="SUM_K1_24" localSheetId="4">#REF!</definedName>
    <definedName name="SUM_K1_24" localSheetId="0">#REF!</definedName>
    <definedName name="SUM_K1_24">#REF!</definedName>
    <definedName name="SUM_K1_25" localSheetId="4">#REF!</definedName>
    <definedName name="SUM_K1_25" localSheetId="0">#REF!</definedName>
    <definedName name="SUM_K1_25">#REF!</definedName>
    <definedName name="SUM_K1_26" localSheetId="4">#REF!</definedName>
    <definedName name="SUM_K1_26" localSheetId="0">#REF!</definedName>
    <definedName name="SUM_K1_26">#REF!</definedName>
    <definedName name="SUM_K1_27" localSheetId="4">#REF!</definedName>
    <definedName name="SUM_K1_27" localSheetId="0">#REF!</definedName>
    <definedName name="SUM_K1_27">#REF!</definedName>
    <definedName name="SUM_K1_28" localSheetId="4">#REF!</definedName>
    <definedName name="SUM_K1_28" localSheetId="0">#REF!</definedName>
    <definedName name="SUM_K1_28">#REF!</definedName>
    <definedName name="SUM_K1_29" localSheetId="4">#REF!</definedName>
    <definedName name="SUM_K1_29" localSheetId="0">#REF!</definedName>
    <definedName name="SUM_K1_29">#REF!</definedName>
    <definedName name="SUM_K10" localSheetId="4">#REF!</definedName>
    <definedName name="SUM_K10" localSheetId="0">#REF!</definedName>
    <definedName name="SUM_K10">#REF!</definedName>
    <definedName name="SUM_K10_1" localSheetId="4">#REF!</definedName>
    <definedName name="SUM_K10_1" localSheetId="0">#REF!</definedName>
    <definedName name="SUM_K10_1">#REF!</definedName>
    <definedName name="SUM_K10_2" localSheetId="4">#REF!</definedName>
    <definedName name="SUM_K10_2" localSheetId="0">#REF!</definedName>
    <definedName name="SUM_K10_2">#REF!</definedName>
    <definedName name="SUM_K105" localSheetId="4">#REF!</definedName>
    <definedName name="SUM_K105" localSheetId="0">#REF!</definedName>
    <definedName name="SUM_K105">#REF!</definedName>
    <definedName name="SUM_K11" localSheetId="4">#REF!</definedName>
    <definedName name="SUM_K11" localSheetId="0">#REF!</definedName>
    <definedName name="SUM_K11">#REF!</definedName>
    <definedName name="SUM_K11_1" localSheetId="4">#REF!</definedName>
    <definedName name="SUM_K11_1" localSheetId="0">#REF!</definedName>
    <definedName name="SUM_K11_1">#REF!</definedName>
    <definedName name="SUM_K11_2" localSheetId="4">#REF!</definedName>
    <definedName name="SUM_K11_2" localSheetId="0">#REF!</definedName>
    <definedName name="SUM_K11_2">#REF!</definedName>
    <definedName name="SUM_K12" localSheetId="4">#REF!</definedName>
    <definedName name="SUM_K12" localSheetId="0">#REF!</definedName>
    <definedName name="SUM_K12">#REF!</definedName>
    <definedName name="SUM_K12_1" localSheetId="4">#REF!</definedName>
    <definedName name="SUM_K12_1" localSheetId="0">#REF!</definedName>
    <definedName name="SUM_K12_1">#REF!</definedName>
    <definedName name="SUM_K12_2" localSheetId="4">#REF!</definedName>
    <definedName name="SUM_K12_2" localSheetId="0">#REF!</definedName>
    <definedName name="SUM_K12_2">#REF!</definedName>
    <definedName name="SUM_K13" localSheetId="4">#REF!</definedName>
    <definedName name="SUM_K13" localSheetId="0">#REF!</definedName>
    <definedName name="SUM_K13">#REF!</definedName>
    <definedName name="SUM_K13_1" localSheetId="4">#REF!</definedName>
    <definedName name="SUM_K13_1" localSheetId="0">#REF!</definedName>
    <definedName name="SUM_K13_1">#REF!</definedName>
    <definedName name="SUM_K13_2" localSheetId="4">#REF!</definedName>
    <definedName name="SUM_K13_2" localSheetId="0">#REF!</definedName>
    <definedName name="SUM_K13_2">#REF!</definedName>
    <definedName name="SUM_K14" localSheetId="4">#REF!</definedName>
    <definedName name="SUM_K14" localSheetId="0">#REF!</definedName>
    <definedName name="SUM_K14">#REF!</definedName>
    <definedName name="SUM_K14_1" localSheetId="4">#REF!</definedName>
    <definedName name="SUM_K14_1" localSheetId="0">#REF!</definedName>
    <definedName name="SUM_K14_1">#REF!</definedName>
    <definedName name="SUM_K14_2" localSheetId="4">#REF!</definedName>
    <definedName name="SUM_K14_2" localSheetId="0">#REF!</definedName>
    <definedName name="SUM_K14_2">#REF!</definedName>
    <definedName name="SUM_K15" localSheetId="4">#REF!</definedName>
    <definedName name="SUM_K15" localSheetId="0">#REF!</definedName>
    <definedName name="SUM_K15">#REF!</definedName>
    <definedName name="SUM_K15_1" localSheetId="4">#REF!</definedName>
    <definedName name="SUM_K15_1" localSheetId="0">#REF!</definedName>
    <definedName name="SUM_K15_1">#REF!</definedName>
    <definedName name="SUM_K15_2" localSheetId="4">#REF!</definedName>
    <definedName name="SUM_K15_2" localSheetId="0">#REF!</definedName>
    <definedName name="SUM_K15_2">#REF!</definedName>
    <definedName name="SUM_K16" localSheetId="4">#REF!</definedName>
    <definedName name="SUM_K16" localSheetId="0">#REF!</definedName>
    <definedName name="SUM_K16">#REF!</definedName>
    <definedName name="SUM_K16_1" localSheetId="4">#REF!</definedName>
    <definedName name="SUM_K16_1" localSheetId="0">#REF!</definedName>
    <definedName name="SUM_K16_1">#REF!</definedName>
    <definedName name="SUM_K16_2" localSheetId="4">#REF!</definedName>
    <definedName name="SUM_K16_2" localSheetId="0">#REF!</definedName>
    <definedName name="SUM_K16_2">#REF!</definedName>
    <definedName name="SUM_K17" localSheetId="4">#REF!</definedName>
    <definedName name="SUM_K17" localSheetId="0">#REF!</definedName>
    <definedName name="SUM_K17">#REF!</definedName>
    <definedName name="SUM_K17_1" localSheetId="4">#REF!</definedName>
    <definedName name="SUM_K17_1" localSheetId="0">#REF!</definedName>
    <definedName name="SUM_K17_1">#REF!</definedName>
    <definedName name="SUM_K17_2" localSheetId="4">#REF!</definedName>
    <definedName name="SUM_K17_2" localSheetId="0">#REF!</definedName>
    <definedName name="SUM_K17_2">#REF!</definedName>
    <definedName name="SUM_K18" localSheetId="4">#REF!</definedName>
    <definedName name="SUM_K18" localSheetId="0">#REF!</definedName>
    <definedName name="SUM_K18">#REF!</definedName>
    <definedName name="SUM_K18_1" localSheetId="4">#REF!</definedName>
    <definedName name="SUM_K18_1" localSheetId="0">#REF!</definedName>
    <definedName name="SUM_K18_1">#REF!</definedName>
    <definedName name="SUM_K18_2" localSheetId="4">#REF!</definedName>
    <definedName name="SUM_K18_2" localSheetId="0">#REF!</definedName>
    <definedName name="SUM_K18_2">#REF!</definedName>
    <definedName name="SUM_K19" localSheetId="4">#REF!</definedName>
    <definedName name="SUM_K19" localSheetId="0">#REF!</definedName>
    <definedName name="SUM_K19">#REF!</definedName>
    <definedName name="SUM_K19_1" localSheetId="4">#REF!</definedName>
    <definedName name="SUM_K19_1" localSheetId="0">#REF!</definedName>
    <definedName name="SUM_K19_1">#REF!</definedName>
    <definedName name="SUM_K19_2" localSheetId="4">#REF!</definedName>
    <definedName name="SUM_K19_2" localSheetId="0">#REF!</definedName>
    <definedName name="SUM_K19_2">#REF!</definedName>
    <definedName name="SUM_K1kit" localSheetId="4">#REF!</definedName>
    <definedName name="SUM_K1kit" localSheetId="0">#REF!</definedName>
    <definedName name="SUM_K1kit">#REF!</definedName>
    <definedName name="SUM_K2" localSheetId="4">#REF!</definedName>
    <definedName name="SUM_K2" localSheetId="0">#REF!</definedName>
    <definedName name="SUM_K2">#REF!</definedName>
    <definedName name="SUM_K2_1" localSheetId="4">#REF!</definedName>
    <definedName name="SUM_K2_1" localSheetId="0">#REF!</definedName>
    <definedName name="SUM_K2_1">#REF!</definedName>
    <definedName name="SUM_K2_2" localSheetId="4">#REF!</definedName>
    <definedName name="SUM_K2_2" localSheetId="0">#REF!</definedName>
    <definedName name="SUM_K2_2">#REF!</definedName>
    <definedName name="SUM_K20" localSheetId="4">#REF!</definedName>
    <definedName name="SUM_K20" localSheetId="0">#REF!</definedName>
    <definedName name="SUM_K20">#REF!</definedName>
    <definedName name="SUM_K20_1" localSheetId="4">#REF!</definedName>
    <definedName name="SUM_K20_1" localSheetId="0">#REF!</definedName>
    <definedName name="SUM_K20_1">#REF!</definedName>
    <definedName name="SUM_K20_2" localSheetId="4">#REF!</definedName>
    <definedName name="SUM_K20_2" localSheetId="0">#REF!</definedName>
    <definedName name="SUM_K20_2">#REF!</definedName>
    <definedName name="SUM_K21" localSheetId="4">#REF!</definedName>
    <definedName name="SUM_K21" localSheetId="0">#REF!</definedName>
    <definedName name="SUM_K21">#REF!</definedName>
    <definedName name="SUM_K21_1" localSheetId="4">#REF!</definedName>
    <definedName name="SUM_K21_1" localSheetId="0">#REF!</definedName>
    <definedName name="SUM_K21_1">#REF!</definedName>
    <definedName name="SUM_K21_2" localSheetId="4">#REF!</definedName>
    <definedName name="SUM_K21_2" localSheetId="0">#REF!</definedName>
    <definedName name="SUM_K21_2">#REF!</definedName>
    <definedName name="SUM_K22" localSheetId="4">#REF!</definedName>
    <definedName name="SUM_K22" localSheetId="0">#REF!</definedName>
    <definedName name="SUM_K22">#REF!</definedName>
    <definedName name="SUM_K22_1" localSheetId="4">#REF!</definedName>
    <definedName name="SUM_K22_1" localSheetId="0">#REF!</definedName>
    <definedName name="SUM_K22_1">#REF!</definedName>
    <definedName name="SUM_K22_2" localSheetId="4">#REF!</definedName>
    <definedName name="SUM_K22_2" localSheetId="0">#REF!</definedName>
    <definedName name="SUM_K22_2">#REF!</definedName>
    <definedName name="SUM_K23" localSheetId="4">#REF!</definedName>
    <definedName name="SUM_K23" localSheetId="0">#REF!</definedName>
    <definedName name="SUM_K23">#REF!</definedName>
    <definedName name="SUM_K23_1" localSheetId="4">#REF!</definedName>
    <definedName name="SUM_K23_1" localSheetId="0">#REF!</definedName>
    <definedName name="SUM_K23_1">#REF!</definedName>
    <definedName name="SUM_K23_2" localSheetId="4">#REF!</definedName>
    <definedName name="SUM_K23_2" localSheetId="0">#REF!</definedName>
    <definedName name="SUM_K23_2">#REF!</definedName>
    <definedName name="SUM_K24" localSheetId="0">#REF!</definedName>
    <definedName name="SUM_K24">#REF!</definedName>
    <definedName name="SUM_K25" localSheetId="0">#REF!</definedName>
    <definedName name="SUM_K25">#REF!</definedName>
    <definedName name="SUM_K26" localSheetId="0">#REF!</definedName>
    <definedName name="SUM_K26">#REF!</definedName>
    <definedName name="SUM_K3" localSheetId="4">#REF!</definedName>
    <definedName name="SUM_K3" localSheetId="5">#REF!</definedName>
    <definedName name="SUM_K3" localSheetId="0">#REF!</definedName>
    <definedName name="SUM_K3">#REF!</definedName>
    <definedName name="SUM_K3_1" localSheetId="4">#REF!</definedName>
    <definedName name="SUM_K3_1" localSheetId="5">#REF!</definedName>
    <definedName name="SUM_K3_1" localSheetId="0">#REF!</definedName>
    <definedName name="SUM_K3_1">#REF!</definedName>
    <definedName name="SUM_K3_2" localSheetId="4">#REF!</definedName>
    <definedName name="SUM_K3_2" localSheetId="5">#REF!</definedName>
    <definedName name="SUM_K3_2" localSheetId="0">#REF!</definedName>
    <definedName name="SUM_K3_2">#REF!</definedName>
    <definedName name="SUM_K4" localSheetId="4">#REF!</definedName>
    <definedName name="SUM_K4" localSheetId="0">#REF!</definedName>
    <definedName name="SUM_K4">#REF!</definedName>
    <definedName name="SUM_K4_1" localSheetId="4">#REF!</definedName>
    <definedName name="SUM_K4_1" localSheetId="0">#REF!</definedName>
    <definedName name="SUM_K4_1">#REF!</definedName>
    <definedName name="SUM_K4_2" localSheetId="4">#REF!</definedName>
    <definedName name="SUM_K4_2" localSheetId="0">#REF!</definedName>
    <definedName name="SUM_K4_2">#REF!</definedName>
    <definedName name="SUM_K5" localSheetId="4">#REF!</definedName>
    <definedName name="SUM_K5" localSheetId="0">#REF!</definedName>
    <definedName name="SUM_K5">#REF!</definedName>
    <definedName name="SUM_K5_1" localSheetId="4">#REF!</definedName>
    <definedName name="SUM_K5_1" localSheetId="0">#REF!</definedName>
    <definedName name="SUM_K5_1">#REF!</definedName>
    <definedName name="SUM_K5_2" localSheetId="4">#REF!</definedName>
    <definedName name="SUM_K5_2" localSheetId="0">#REF!</definedName>
    <definedName name="SUM_K5_2">#REF!</definedName>
    <definedName name="SUM_K6" localSheetId="4">#REF!</definedName>
    <definedName name="SUM_K6" localSheetId="0">#REF!</definedName>
    <definedName name="SUM_K6">#REF!</definedName>
    <definedName name="SUM_K6_1" localSheetId="4">#REF!</definedName>
    <definedName name="SUM_K6_1" localSheetId="0">#REF!</definedName>
    <definedName name="SUM_K6_1">#REF!</definedName>
    <definedName name="SUM_K6_2" localSheetId="4">#REF!</definedName>
    <definedName name="SUM_K6_2" localSheetId="0">#REF!</definedName>
    <definedName name="SUM_K6_2">#REF!</definedName>
    <definedName name="SUM_K7" localSheetId="4">#REF!</definedName>
    <definedName name="SUM_K7" localSheetId="0">#REF!</definedName>
    <definedName name="SUM_K7">#REF!</definedName>
    <definedName name="SUM_K7_1" localSheetId="4">#REF!</definedName>
    <definedName name="SUM_K7_1" localSheetId="0">#REF!</definedName>
    <definedName name="SUM_K7_1">#REF!</definedName>
    <definedName name="SUM_K7_2" localSheetId="4">#REF!</definedName>
    <definedName name="SUM_K7_2" localSheetId="0">#REF!</definedName>
    <definedName name="SUM_K7_2">#REF!</definedName>
    <definedName name="SUM_K8" localSheetId="4">#REF!</definedName>
    <definedName name="SUM_K8" localSheetId="0">#REF!</definedName>
    <definedName name="SUM_K8">#REF!</definedName>
    <definedName name="SUM_K8_1" localSheetId="4">#REF!</definedName>
    <definedName name="SUM_K8_1" localSheetId="0">#REF!</definedName>
    <definedName name="SUM_K8_1">#REF!</definedName>
    <definedName name="SUM_K8_2" localSheetId="4">#REF!</definedName>
    <definedName name="SUM_K8_2" localSheetId="0">#REF!</definedName>
    <definedName name="SUM_K8_2">#REF!</definedName>
    <definedName name="SUM_K9" localSheetId="4">#REF!</definedName>
    <definedName name="SUM_K9" localSheetId="0">#REF!</definedName>
    <definedName name="SUM_K9">#REF!</definedName>
    <definedName name="SUM_K9_1" localSheetId="4">#REF!</definedName>
    <definedName name="SUM_K9_1" localSheetId="0">#REF!</definedName>
    <definedName name="SUM_K9_1">#REF!</definedName>
    <definedName name="SUM_K9_2" localSheetId="4">#REF!</definedName>
    <definedName name="SUM_K9_2" localSheetId="0">#REF!</definedName>
    <definedName name="SUM_K9_2">#REF!</definedName>
    <definedName name="SUM20121TP" localSheetId="4">#REF!</definedName>
    <definedName name="SUM20121TP" localSheetId="0">#REF!</definedName>
    <definedName name="SUM20121TP">#REF!</definedName>
    <definedName name="SUM20121TR" localSheetId="4">#REF!</definedName>
    <definedName name="SUM20121TR" localSheetId="0">#REF!</definedName>
    <definedName name="SUM20121TR">#REF!</definedName>
    <definedName name="SUM2012V0" localSheetId="4">#REF!</definedName>
    <definedName name="SUM2012V0" localSheetId="0">#REF!</definedName>
    <definedName name="SUM2012V0">#REF!</definedName>
    <definedName name="SUM2012V1" localSheetId="4">#REF!</definedName>
    <definedName name="SUM2012V1" localSheetId="0">#REF!</definedName>
    <definedName name="SUM2012V1">#REF!</definedName>
    <definedName name="SUM2012V1NC" localSheetId="4">#REF!</definedName>
    <definedName name="SUM2012V1NC" localSheetId="0">#REF!</definedName>
    <definedName name="SUM2012V1NC">#REF!</definedName>
    <definedName name="SUM2012V1OC" localSheetId="4">#REF!</definedName>
    <definedName name="SUM2012V1OC" localSheetId="0">#REF!</definedName>
    <definedName name="SUM2012V1OC">#REF!</definedName>
    <definedName name="suma" localSheetId="4">#REF!</definedName>
    <definedName name="suma" localSheetId="0">#REF!</definedName>
    <definedName name="suma">#REF!</definedName>
    <definedName name="SUMEC2011" localSheetId="0">#REF!</definedName>
    <definedName name="SUMEC2011">#REF!</definedName>
    <definedName name="SUMM" localSheetId="4">#REF!</definedName>
    <definedName name="SUMM" localSheetId="5">#REF!</definedName>
    <definedName name="SUMM" localSheetId="0">#REF!</definedName>
    <definedName name="SUMM">#REF!</definedName>
    <definedName name="SUMMARY" localSheetId="4">#REF!</definedName>
    <definedName name="SUMMARY" localSheetId="5">#REF!</definedName>
    <definedName name="SUMMARY" localSheetId="0">#REF!</definedName>
    <definedName name="SUMMARY">#REF!</definedName>
    <definedName name="SUMV02011" localSheetId="0">#REF!</definedName>
    <definedName name="SUMV02011">#REF!</definedName>
    <definedName name="sunkCostSensitivity" localSheetId="5">IF(#REF!="Yes",1,0)</definedName>
    <definedName name="sunkCostSensitivity" localSheetId="0">IF(#REF!="Yes",1,0)</definedName>
    <definedName name="sunkCostSensitivity">IF(#REF!="Yes",1,0)</definedName>
    <definedName name="SUP20121TP" localSheetId="4">#REF!</definedName>
    <definedName name="SUP20121TP" localSheetId="5">#REF!</definedName>
    <definedName name="SUP20121TP" localSheetId="0">#REF!</definedName>
    <definedName name="SUP20121TP">#REF!</definedName>
    <definedName name="SUP20121TR" localSheetId="4">#REF!</definedName>
    <definedName name="SUP20121TR" localSheetId="5">#REF!</definedName>
    <definedName name="SUP20121TR" localSheetId="0">#REF!</definedName>
    <definedName name="SUP20121TR">#REF!</definedName>
    <definedName name="SUP2012V0" localSheetId="4">#REF!</definedName>
    <definedName name="SUP2012V0" localSheetId="5">#REF!</definedName>
    <definedName name="SUP2012V0" localSheetId="0">#REF!</definedName>
    <definedName name="SUP2012V0">#REF!</definedName>
    <definedName name="SUP2012V1" localSheetId="4">#REF!</definedName>
    <definedName name="SUP2012V1" localSheetId="0">#REF!</definedName>
    <definedName name="SUP2012V1">#REF!</definedName>
    <definedName name="SUP2012V1NC" localSheetId="4">#REF!</definedName>
    <definedName name="SUP2012V1NC" localSheetId="0">#REF!</definedName>
    <definedName name="SUP2012V1NC">#REF!</definedName>
    <definedName name="SUP2012V1OC" localSheetId="4">#REF!</definedName>
    <definedName name="SUP2012V1OC" localSheetId="0">#REF!</definedName>
    <definedName name="SUP2012V1OC">#REF!</definedName>
    <definedName name="SUPER" localSheetId="0">#REF!</definedName>
    <definedName name="SUPER">#REF!</definedName>
    <definedName name="SV" localSheetId="4">#REF!</definedName>
    <definedName name="SV" localSheetId="5">#REF!</definedName>
    <definedName name="SV" localSheetId="0">#REF!</definedName>
    <definedName name="SV">#REF!</definedName>
    <definedName name="SVF" localSheetId="4">#REF!</definedName>
    <definedName name="SVF" localSheetId="5">#REF!</definedName>
    <definedName name="SVF" localSheetId="0">#REF!</definedName>
    <definedName name="SVF">#REF!</definedName>
    <definedName name="SVFMA" localSheetId="4">#REF!</definedName>
    <definedName name="SVFMA" localSheetId="5">#REF!</definedName>
    <definedName name="SVFMA" localSheetId="0">#REF!</definedName>
    <definedName name="SVFMA">#REF!</definedName>
    <definedName name="swi" localSheetId="4">#REF!</definedName>
    <definedName name="swi" localSheetId="5">#REF!</definedName>
    <definedName name="swi" localSheetId="0">#REF!</definedName>
    <definedName name="swi">#REF!</definedName>
    <definedName name="SWITCH" localSheetId="4">#REF!</definedName>
    <definedName name="SWITCH" localSheetId="0">#REF!</definedName>
    <definedName name="SWITCH">#REF!</definedName>
    <definedName name="SWYD_DUCT_SIZE" localSheetId="4">#REF!</definedName>
    <definedName name="SWYD_DUCT_SIZE" localSheetId="0">#REF!</definedName>
    <definedName name="SWYD_DUCT_SIZE">#REF!</definedName>
    <definedName name="Swyd_Scope" localSheetId="4">#REF!</definedName>
    <definedName name="Swyd_Scope" localSheetId="0">#REF!</definedName>
    <definedName name="Swyd_Scope">#REF!</definedName>
    <definedName name="SWYD_TYPE" localSheetId="4">#REF!</definedName>
    <definedName name="SWYD_TYPE" localSheetId="0">#REF!</definedName>
    <definedName name="SWYD_TYPE">#REF!</definedName>
    <definedName name="SYS" localSheetId="4">#REF!</definedName>
    <definedName name="SYS" localSheetId="0">#REF!</definedName>
    <definedName name="SYS">#REF!</definedName>
    <definedName name="System" localSheetId="4">#REF!</definedName>
    <definedName name="System" localSheetId="0">#REF!</definedName>
    <definedName name="System">#REF!</definedName>
    <definedName name="sz" localSheetId="4">#REF!</definedName>
    <definedName name="sz" localSheetId="0">#REF!</definedName>
    <definedName name="sz">#REF!</definedName>
    <definedName name="sz_be" localSheetId="4">#REF!</definedName>
    <definedName name="sz_be" localSheetId="0">#REF!</definedName>
    <definedName name="sz_be">#REF!</definedName>
    <definedName name="sz_be." localSheetId="4">#REF!</definedName>
    <definedName name="sz_be." localSheetId="0">#REF!</definedName>
    <definedName name="sz_be.">#REF!</definedName>
    <definedName name="sz_ma" localSheetId="4">#REF!</definedName>
    <definedName name="sz_ma" localSheetId="0">#REF!</definedName>
    <definedName name="sz_ma">#REF!</definedName>
    <definedName name="sz_ma_01" localSheetId="0">#REF!</definedName>
    <definedName name="sz_ma_01">#REF!</definedName>
    <definedName name="sz_ma_01_doka" localSheetId="0">#REF!</definedName>
    <definedName name="sz_ma_01_doka">#REF!</definedName>
    <definedName name="sz_ma_02_doka" localSheetId="0">#REF!</definedName>
    <definedName name="sz_ma_02_doka">#REF!</definedName>
    <definedName name="sz_ma_03_doka" localSheetId="0">#REF!</definedName>
    <definedName name="sz_ma_03_doka">#REF!</definedName>
    <definedName name="sz_ma_04" localSheetId="0">#REF!</definedName>
    <definedName name="sz_ma_04">#REF!</definedName>
    <definedName name="sz_ma_04_doka" localSheetId="0">#REF!</definedName>
    <definedName name="sz_ma_04_doka">#REF!</definedName>
    <definedName name="sz_ma_07" localSheetId="0">#REF!</definedName>
    <definedName name="sz_ma_07">#REF!</definedName>
    <definedName name="sz_ma_07_doka" localSheetId="0">#REF!</definedName>
    <definedName name="sz_ma_07_doka">#REF!</definedName>
    <definedName name="sz_ma_08" localSheetId="0">#REF!</definedName>
    <definedName name="sz_ma_08">#REF!</definedName>
    <definedName name="sz_ma_09" localSheetId="0">#REF!</definedName>
    <definedName name="sz_ma_09">#REF!</definedName>
    <definedName name="sz_ma_14" localSheetId="0">#REF!</definedName>
    <definedName name="sz_ma_14">#REF!</definedName>
    <definedName name="SZ_MA_M" localSheetId="4">#REF!</definedName>
    <definedName name="SZ_MA_M" localSheetId="5">#REF!</definedName>
    <definedName name="SZ_MA_M" localSheetId="0">#REF!</definedName>
    <definedName name="SZ_MA_M">#REF!</definedName>
    <definedName name="sz_ma_mo" localSheetId="0">#REF!</definedName>
    <definedName name="sz_ma_mo">#REF!</definedName>
    <definedName name="sz_ma_mo." localSheetId="4">#REF!</definedName>
    <definedName name="sz_ma_mo." localSheetId="5">#REF!</definedName>
    <definedName name="sz_ma_mo." localSheetId="0">#REF!</definedName>
    <definedName name="sz_ma_mo.">#REF!</definedName>
    <definedName name="SZ_MA_ST" localSheetId="4">#REF!</definedName>
    <definedName name="SZ_MA_ST" localSheetId="5">#REF!</definedName>
    <definedName name="SZ_MA_ST" localSheetId="0">#REF!</definedName>
    <definedName name="SZ_MA_ST">#REF!</definedName>
    <definedName name="sz_ma_st." localSheetId="4">#REF!</definedName>
    <definedName name="sz_ma_st." localSheetId="5">#REF!</definedName>
    <definedName name="sz_ma_st." localSheetId="0">#REF!</definedName>
    <definedName name="sz_ma_st.">#REF!</definedName>
    <definedName name="sz_ma_std" localSheetId="4">#REF!</definedName>
    <definedName name="sz_ma_std" localSheetId="0">#REF!</definedName>
    <definedName name="sz_ma_std">#REF!</definedName>
    <definedName name="sz_pf" localSheetId="4">#REF!</definedName>
    <definedName name="sz_pf" localSheetId="0">#REF!</definedName>
    <definedName name="sz_pf">#REF!</definedName>
    <definedName name="sz_pf." localSheetId="4">#REF!</definedName>
    <definedName name="sz_pf." localSheetId="0">#REF!</definedName>
    <definedName name="sz_pf.">#REF!</definedName>
    <definedName name="sz_sc" localSheetId="4">#REF!</definedName>
    <definedName name="sz_sc" localSheetId="0">#REF!</definedName>
    <definedName name="sz_sc">#REF!</definedName>
    <definedName name="sz_sc." localSheetId="4">#REF!</definedName>
    <definedName name="sz_sc." localSheetId="0">#REF!</definedName>
    <definedName name="sz_sc.">#REF!</definedName>
    <definedName name="sz_sch" localSheetId="4">#REF!</definedName>
    <definedName name="sz_sch" localSheetId="0">#REF!</definedName>
    <definedName name="sz_sch">#REF!</definedName>
    <definedName name="sz_sch." localSheetId="4">#REF!</definedName>
    <definedName name="sz_sch." localSheetId="0">#REF!</definedName>
    <definedName name="sz_sch.">#REF!</definedName>
    <definedName name="sz_so" localSheetId="4">#REF!</definedName>
    <definedName name="sz_so" localSheetId="0">#REF!</definedName>
    <definedName name="sz_so">#REF!</definedName>
    <definedName name="sz_sp" localSheetId="4">#REF!</definedName>
    <definedName name="sz_sp" localSheetId="0">#REF!</definedName>
    <definedName name="sz_sp">#REF!</definedName>
    <definedName name="sz_sp." localSheetId="4">#REF!</definedName>
    <definedName name="sz_sp." localSheetId="0">#REF!</definedName>
    <definedName name="sz_sp.">#REF!</definedName>
    <definedName name="sz_sp2" localSheetId="4">#REF!</definedName>
    <definedName name="sz_sp2" localSheetId="0">#REF!</definedName>
    <definedName name="sz_sp2">#REF!</definedName>
    <definedName name="sz_st" localSheetId="4">#REF!</definedName>
    <definedName name="sz_st" localSheetId="0">#REF!</definedName>
    <definedName name="sz_st">#REF!</definedName>
    <definedName name="sz_st." localSheetId="4">#REF!</definedName>
    <definedName name="sz_st." localSheetId="0">#REF!</definedName>
    <definedName name="sz_st.">#REF!</definedName>
    <definedName name="SZ_STF" localSheetId="4">#REF!</definedName>
    <definedName name="SZ_STF" localSheetId="0">#REF!</definedName>
    <definedName name="SZ_STF">#REF!</definedName>
    <definedName name="sz_stf." localSheetId="4">#REF!</definedName>
    <definedName name="sz_stf." localSheetId="0">#REF!</definedName>
    <definedName name="sz_stf.">#REF!</definedName>
    <definedName name="SZKOPER">2000</definedName>
    <definedName name="szst_778" localSheetId="4">#REF!</definedName>
    <definedName name="szst_778" localSheetId="5">#REF!</definedName>
    <definedName name="szst_778" localSheetId="0">#REF!</definedName>
    <definedName name="szst_778">#REF!</definedName>
    <definedName name="szumam" localSheetId="4">#REF!</definedName>
    <definedName name="szumam" localSheetId="5">#REF!</definedName>
    <definedName name="szumam" localSheetId="0">#REF!</definedName>
    <definedName name="szumam">#REF!</definedName>
    <definedName name="T" localSheetId="4">#REF!</definedName>
    <definedName name="t" localSheetId="5">#REF!</definedName>
    <definedName name="t" localSheetId="0">#REF!</definedName>
    <definedName name="t">#REF!</definedName>
    <definedName name="t_1">"$#ODWOŁANIE.$A$1"</definedName>
    <definedName name="T_GIBRALMORA">#REF!</definedName>
    <definedName name="T_TEVILLA" localSheetId="0">#REF!</definedName>
    <definedName name="T_TEVILLA">#REF!</definedName>
    <definedName name="ta" localSheetId="0">#REF!</definedName>
    <definedName name="ta">#REF!</definedName>
    <definedName name="tabela" localSheetId="4">#REF!</definedName>
    <definedName name="tabela" localSheetId="5">#REF!</definedName>
    <definedName name="tabela" localSheetId="0">#REF!</definedName>
    <definedName name="tabela">#REF!</definedName>
    <definedName name="Tabela_elementów" localSheetId="4">#REF!</definedName>
    <definedName name="Tabela_elementów" localSheetId="5">#REF!</definedName>
    <definedName name="Tabela_elementów" localSheetId="0">#REF!</definedName>
    <definedName name="Tabela_elementów">#REF!</definedName>
    <definedName name="TABLA" localSheetId="4">#REF!</definedName>
    <definedName name="TABLA" localSheetId="5">#REF!</definedName>
    <definedName name="TABLA" localSheetId="0">#REF!</definedName>
    <definedName name="TABLA">#REF!</definedName>
    <definedName name="TABLA_CARGOS_POR_CTA" localSheetId="4">#REF!</definedName>
    <definedName name="TABLA_CARGOS_POR_CTA" localSheetId="0">#REF!</definedName>
    <definedName name="TABLA_CARGOS_POR_CTA">#REF!</definedName>
    <definedName name="TABLA_RENDIMIENTOS" localSheetId="0">#REF!</definedName>
    <definedName name="TABLA_RENDIMIENTOS">#REF!</definedName>
    <definedName name="Tabla13a" localSheetId="4">#REF!</definedName>
    <definedName name="Tabla13a" localSheetId="5">#REF!</definedName>
    <definedName name="Tabla13a" localSheetId="0">#REF!</definedName>
    <definedName name="Tabla13a">#REF!</definedName>
    <definedName name="Tabla13b" localSheetId="4">#REF!</definedName>
    <definedName name="Tabla13b" localSheetId="5">#REF!</definedName>
    <definedName name="Tabla13b" localSheetId="0">#REF!</definedName>
    <definedName name="Tabla13b">#REF!</definedName>
    <definedName name="TABLA2" localSheetId="4">#REF!</definedName>
    <definedName name="TABLA2" localSheetId="0">#REF!</definedName>
    <definedName name="TABLA2">#REF!</definedName>
    <definedName name="Tabla29" localSheetId="0">#REF!</definedName>
    <definedName name="Tabla29">#REF!</definedName>
    <definedName name="Tabla30" localSheetId="0">#REF!</definedName>
    <definedName name="Tabla30">#REF!</definedName>
    <definedName name="TABLA31a" localSheetId="0">#REF!</definedName>
    <definedName name="TABLA31a">#REF!</definedName>
    <definedName name="TABLA31b" localSheetId="0">#REF!</definedName>
    <definedName name="TABLA31b">#REF!</definedName>
    <definedName name="TABLA31c" localSheetId="0">#REF!</definedName>
    <definedName name="TABLA31c">#REF!</definedName>
    <definedName name="TABLA32a" localSheetId="0">#REF!</definedName>
    <definedName name="TABLA32a">#REF!</definedName>
    <definedName name="TABLA32b" localSheetId="0">#REF!</definedName>
    <definedName name="TABLA32b">#REF!</definedName>
    <definedName name="Tabla33" localSheetId="4">#REF!</definedName>
    <definedName name="Tabla33" localSheetId="5">#REF!</definedName>
    <definedName name="Tabla33" localSheetId="0">#REF!</definedName>
    <definedName name="Tabla33">#REF!</definedName>
    <definedName name="Tabla34" localSheetId="4">#REF!</definedName>
    <definedName name="Tabla34" localSheetId="5">#REF!</definedName>
    <definedName name="Tabla34" localSheetId="0">#REF!</definedName>
    <definedName name="Tabla34">#REF!</definedName>
    <definedName name="TABLA34b" localSheetId="0">#REF!</definedName>
    <definedName name="TABLA34b">#REF!</definedName>
    <definedName name="TABLA34c" localSheetId="0">#REF!</definedName>
    <definedName name="TABLA34c">#REF!</definedName>
    <definedName name="Tabla36" localSheetId="0">#REF!</definedName>
    <definedName name="Tabla36">#REF!</definedName>
    <definedName name="Tabla37" localSheetId="4">#REF!</definedName>
    <definedName name="Tabla37" localSheetId="5">#REF!</definedName>
    <definedName name="Tabla37" localSheetId="0">#REF!</definedName>
    <definedName name="Tabla37">#REF!</definedName>
    <definedName name="TABLA37f" localSheetId="0">#REF!</definedName>
    <definedName name="TABLA37f">#REF!</definedName>
    <definedName name="Tabla38a" localSheetId="4">#REF!</definedName>
    <definedName name="Tabla38a" localSheetId="5">#REF!</definedName>
    <definedName name="Tabla38a" localSheetId="0">#REF!</definedName>
    <definedName name="Tabla38a">#REF!</definedName>
    <definedName name="TABLA38d" localSheetId="0">#REF!</definedName>
    <definedName name="TABLA38d">#REF!</definedName>
    <definedName name="Tabla39" localSheetId="4">#REF!</definedName>
    <definedName name="Tabla39" localSheetId="5">#REF!</definedName>
    <definedName name="Tabla39" localSheetId="0">#REF!</definedName>
    <definedName name="Tabla39">#REF!</definedName>
    <definedName name="Tabla4" localSheetId="4">#REF!</definedName>
    <definedName name="Tabla4" localSheetId="5">#REF!</definedName>
    <definedName name="Tabla4" localSheetId="0">#REF!</definedName>
    <definedName name="Tabla4">#REF!</definedName>
    <definedName name="Tabla40" localSheetId="4">#REF!</definedName>
    <definedName name="Tabla40" localSheetId="5">#REF!</definedName>
    <definedName name="Tabla40" localSheetId="0">#REF!</definedName>
    <definedName name="Tabla40">#REF!</definedName>
    <definedName name="TABLA40a" localSheetId="0">#REF!</definedName>
    <definedName name="TABLA40a">#REF!</definedName>
    <definedName name="TABLA40b" localSheetId="0">#REF!</definedName>
    <definedName name="TABLA40b">#REF!</definedName>
    <definedName name="TABLA40c" localSheetId="0">#REF!</definedName>
    <definedName name="TABLA40c">#REF!</definedName>
    <definedName name="TABLA40d" localSheetId="0">#REF!</definedName>
    <definedName name="TABLA40d">#REF!</definedName>
    <definedName name="TABLA40e" localSheetId="0">#REF!</definedName>
    <definedName name="TABLA40e">#REF!</definedName>
    <definedName name="Tabla43" localSheetId="4">#REF!</definedName>
    <definedName name="Tabla43" localSheetId="5">#REF!</definedName>
    <definedName name="Tabla43" localSheetId="0">#REF!</definedName>
    <definedName name="Tabla43">#REF!</definedName>
    <definedName name="TABLA45a" localSheetId="0">#REF!</definedName>
    <definedName name="TABLA45a">#REF!</definedName>
    <definedName name="TABLA45b" localSheetId="0">#REF!</definedName>
    <definedName name="TABLA45b">#REF!</definedName>
    <definedName name="TABLA45c" localSheetId="0">#REF!</definedName>
    <definedName name="TABLA45c">#REF!</definedName>
    <definedName name="TABLA45d" localSheetId="0">#REF!</definedName>
    <definedName name="TABLA45d">#REF!</definedName>
    <definedName name="TABLA46a" localSheetId="0">#REF!</definedName>
    <definedName name="TABLA46a">#REF!</definedName>
    <definedName name="TABLA46b" localSheetId="0">#REF!</definedName>
    <definedName name="TABLA46b">#REF!</definedName>
    <definedName name="TABLA46c" localSheetId="0">#REF!</definedName>
    <definedName name="TABLA46c">#REF!</definedName>
    <definedName name="TABLA46d" localSheetId="0">#REF!</definedName>
    <definedName name="TABLA46d">#REF!</definedName>
    <definedName name="TABLA46e" localSheetId="0">#REF!</definedName>
    <definedName name="TABLA46e">#REF!</definedName>
    <definedName name="TABLA46f" localSheetId="0">#REF!</definedName>
    <definedName name="TABLA46f">#REF!</definedName>
    <definedName name="TABLA46g" localSheetId="0">#REF!</definedName>
    <definedName name="TABLA46g">#REF!</definedName>
    <definedName name="TABLA46h" localSheetId="0">#REF!</definedName>
    <definedName name="TABLA46h">#REF!</definedName>
    <definedName name="TABLA46i" localSheetId="0">#REF!</definedName>
    <definedName name="TABLA46i">#REF!</definedName>
    <definedName name="Tabla5a" localSheetId="4">#REF!</definedName>
    <definedName name="Tabla5a" localSheetId="5">#REF!</definedName>
    <definedName name="Tabla5a" localSheetId="0">#REF!</definedName>
    <definedName name="Tabla5a">#REF!</definedName>
    <definedName name="Tabla5b" localSheetId="4">#REF!</definedName>
    <definedName name="Tabla5b" localSheetId="5">#REF!</definedName>
    <definedName name="Tabla5b" localSheetId="0">#REF!</definedName>
    <definedName name="Tabla5b">#REF!</definedName>
    <definedName name="Tabla5c" localSheetId="4">#REF!</definedName>
    <definedName name="Tabla5c" localSheetId="5">#REF!</definedName>
    <definedName name="Tabla5c" localSheetId="0">#REF!</definedName>
    <definedName name="Tabla5c">#REF!</definedName>
    <definedName name="Tabla5d" localSheetId="4">#REF!</definedName>
    <definedName name="Tabla5d" localSheetId="0">#REF!</definedName>
    <definedName name="Tabla5d">#REF!</definedName>
    <definedName name="TABLA5e" localSheetId="0">#REF!</definedName>
    <definedName name="TABLA5e">#REF!</definedName>
    <definedName name="Tabla6" localSheetId="4">#REF!</definedName>
    <definedName name="Tabla6" localSheetId="5">#REF!</definedName>
    <definedName name="Tabla6" localSheetId="0">#REF!</definedName>
    <definedName name="Tabla6">#REF!</definedName>
    <definedName name="Tabla7" localSheetId="4">#REF!</definedName>
    <definedName name="Tabla7" localSheetId="5">#REF!</definedName>
    <definedName name="Tabla7" localSheetId="0">#REF!</definedName>
    <definedName name="Tabla7">#REF!</definedName>
    <definedName name="TABLE" localSheetId="4">#REF!</definedName>
    <definedName name="TABLE" localSheetId="5">#REF!</definedName>
    <definedName name="TABLE" localSheetId="0">#REF!</definedName>
    <definedName name="TABLE">#REF!</definedName>
    <definedName name="TABLE.OUT" localSheetId="4" hidden="1">#REF!</definedName>
    <definedName name="TABLE.OUT" localSheetId="5" hidden="1">#REF!</definedName>
    <definedName name="TABLE.OUT" localSheetId="0" hidden="1">#REF!</definedName>
    <definedName name="TABLE.OUT" hidden="1">#REF!</definedName>
    <definedName name="TABLE_1" localSheetId="4">#REF!</definedName>
    <definedName name="TABLE_1" localSheetId="5">#REF!</definedName>
    <definedName name="TABLE_1" localSheetId="0">#REF!</definedName>
    <definedName name="TABLE_1">#REF!</definedName>
    <definedName name="TABLE_2" localSheetId="4">#REF!</definedName>
    <definedName name="TABLE_2" localSheetId="5">#REF!</definedName>
    <definedName name="TABLE_2" localSheetId="0">#REF!</definedName>
    <definedName name="TABLE_2">#REF!</definedName>
    <definedName name="TABLE_2_1" localSheetId="4">#REF!</definedName>
    <definedName name="TABLE_2_1" localSheetId="0">#REF!</definedName>
    <definedName name="TABLE_2_1">#REF!</definedName>
    <definedName name="TABLE_2_3" localSheetId="4">#REF!</definedName>
    <definedName name="TABLE_2_3" localSheetId="0">#REF!</definedName>
    <definedName name="TABLE_2_3">#REF!</definedName>
    <definedName name="TABLE_2_4" localSheetId="4">#REF!</definedName>
    <definedName name="TABLE_2_4" localSheetId="0">#REF!</definedName>
    <definedName name="TABLE_2_4">#REF!</definedName>
    <definedName name="TABLE_3" localSheetId="4">#REF!</definedName>
    <definedName name="TABLE_3" localSheetId="0">#REF!</definedName>
    <definedName name="TABLE_3">#REF!</definedName>
    <definedName name="TABLE_3_1" localSheetId="4">#REF!</definedName>
    <definedName name="TABLE_3_1" localSheetId="0">#REF!</definedName>
    <definedName name="TABLE_3_1">#REF!</definedName>
    <definedName name="TABLE_3_3" localSheetId="4">#REF!</definedName>
    <definedName name="TABLE_3_3" localSheetId="0">#REF!</definedName>
    <definedName name="TABLE_3_3">#REF!</definedName>
    <definedName name="TABLE_3_4" localSheetId="4">#REF!</definedName>
    <definedName name="TABLE_3_4" localSheetId="0">#REF!</definedName>
    <definedName name="TABLE_3_4">#REF!</definedName>
    <definedName name="TABLE_4" localSheetId="4">#REF!</definedName>
    <definedName name="TABLE_4" localSheetId="0">#REF!</definedName>
    <definedName name="TABLE_4">#REF!</definedName>
    <definedName name="TABLE_4_1" localSheetId="4">#REF!</definedName>
    <definedName name="TABLE_4_1" localSheetId="0">#REF!</definedName>
    <definedName name="TABLE_4_1">#REF!</definedName>
    <definedName name="TABLE_4_3" localSheetId="4">#REF!</definedName>
    <definedName name="TABLE_4_3" localSheetId="0">#REF!</definedName>
    <definedName name="TABLE_4_3">#REF!</definedName>
    <definedName name="TABLE_4_4" localSheetId="4">#REF!</definedName>
    <definedName name="TABLE_4_4" localSheetId="0">#REF!</definedName>
    <definedName name="TABLE_4_4">#REF!</definedName>
    <definedName name="TABLE_5" localSheetId="4">#REF!</definedName>
    <definedName name="TABLE_5" localSheetId="5">#REF!</definedName>
    <definedName name="TABLE_5" localSheetId="0">#REF!</definedName>
    <definedName name="TABLE_5">#REF!</definedName>
    <definedName name="TABLE_5_1" localSheetId="4">#REF!</definedName>
    <definedName name="TABLE_5_1" localSheetId="5">#REF!</definedName>
    <definedName name="TABLE_5_1" localSheetId="0">#REF!</definedName>
    <definedName name="TABLE_5_1">#REF!</definedName>
    <definedName name="TABLE_5_3" localSheetId="4">#REF!</definedName>
    <definedName name="TABLE_5_3" localSheetId="5">#REF!</definedName>
    <definedName name="TABLE_5_3" localSheetId="0">#REF!</definedName>
    <definedName name="TABLE_5_3">#REF!</definedName>
    <definedName name="TABLE_5_4" localSheetId="4">#REF!</definedName>
    <definedName name="TABLE_5_4" localSheetId="5">#REF!</definedName>
    <definedName name="TABLE_5_4" localSheetId="0">#REF!</definedName>
    <definedName name="TABLE_5_4">#REF!</definedName>
    <definedName name="Table_conv" localSheetId="4">#REF!</definedName>
    <definedName name="Table_conv" localSheetId="0">#REF!</definedName>
    <definedName name="Table_conv">#REF!</definedName>
    <definedName name="table_disci" localSheetId="4">#REF!</definedName>
    <definedName name="table_disci" localSheetId="0">#REF!</definedName>
    <definedName name="table_disci">#REF!</definedName>
    <definedName name="Table_repABC" localSheetId="4">#REF!</definedName>
    <definedName name="Table_repABC" localSheetId="0">#REF!</definedName>
    <definedName name="Table_repABC">#REF!</definedName>
    <definedName name="table1" localSheetId="4">#REF!</definedName>
    <definedName name="table1" localSheetId="0">#REF!</definedName>
    <definedName name="table1">#REF!</definedName>
    <definedName name="TABLE2" localSheetId="4">#REF!</definedName>
    <definedName name="TABLE2" localSheetId="5">#REF!</definedName>
    <definedName name="TABLE2" localSheetId="0">#REF!</definedName>
    <definedName name="TABLE2">#REF!</definedName>
    <definedName name="TABLE5KV" localSheetId="4">#REF!</definedName>
    <definedName name="TABLE5KV" localSheetId="5">#REF!</definedName>
    <definedName name="TABLE5KV" localSheetId="0">#REF!</definedName>
    <definedName name="TABLE5KV">#REF!</definedName>
    <definedName name="TABLKA34c" localSheetId="0">#REF!</definedName>
    <definedName name="TABLKA34c">#REF!</definedName>
    <definedName name="TAIL1" localSheetId="4">#REF!</definedName>
    <definedName name="TAIL1" localSheetId="5">#REF!</definedName>
    <definedName name="TAIL1" localSheetId="0">#REF!</definedName>
    <definedName name="TAIL1">#REF!</definedName>
    <definedName name="TAIL10" localSheetId="4">#REF!</definedName>
    <definedName name="TAIL10" localSheetId="5">#REF!</definedName>
    <definedName name="TAIL10" localSheetId="0">#REF!</definedName>
    <definedName name="TAIL10">#REF!</definedName>
    <definedName name="TAIL2" localSheetId="4">#REF!</definedName>
    <definedName name="TAIL2" localSheetId="5">#REF!</definedName>
    <definedName name="TAIL2" localSheetId="0">#REF!</definedName>
    <definedName name="TAIL2">#REF!</definedName>
    <definedName name="TAIL3" localSheetId="4">#REF!</definedName>
    <definedName name="TAIL3" localSheetId="0">#REF!</definedName>
    <definedName name="TAIL3">#REF!</definedName>
    <definedName name="TAIL4" localSheetId="4">#REF!</definedName>
    <definedName name="TAIL4" localSheetId="0">#REF!</definedName>
    <definedName name="TAIL4">#REF!</definedName>
    <definedName name="TAIL5" localSheetId="4">#REF!</definedName>
    <definedName name="TAIL5" localSheetId="0">#REF!</definedName>
    <definedName name="TAIL5">#REF!</definedName>
    <definedName name="TAIL6" localSheetId="4">#REF!</definedName>
    <definedName name="TAIL6" localSheetId="0">#REF!</definedName>
    <definedName name="TAIL6">#REF!</definedName>
    <definedName name="TAIL7" localSheetId="4">#REF!</definedName>
    <definedName name="TAIL7" localSheetId="0">#REF!</definedName>
    <definedName name="TAIL7">#REF!</definedName>
    <definedName name="TAIL8" localSheetId="4">#REF!</definedName>
    <definedName name="TAIL8" localSheetId="0">#REF!</definedName>
    <definedName name="TAIL8">#REF!</definedName>
    <definedName name="TAIL9" localSheetId="4">#REF!</definedName>
    <definedName name="TAIL9" localSheetId="0">#REF!</definedName>
    <definedName name="TAIL9">#REF!</definedName>
    <definedName name="TARIH" localSheetId="4">#REF!</definedName>
    <definedName name="TARIH" localSheetId="5">#REF!</definedName>
    <definedName name="TARIH" localSheetId="0">#REF!</definedName>
    <definedName name="TARIH">#REF!</definedName>
    <definedName name="tasa" localSheetId="0">#REF!</definedName>
    <definedName name="tasa">#REF!</definedName>
    <definedName name="Tasa_de_descuento" localSheetId="4">#REF!</definedName>
    <definedName name="Tasa_de_descuento" localSheetId="5">#REF!</definedName>
    <definedName name="Tasa_de_descuento" localSheetId="0">#REF!</definedName>
    <definedName name="Tasa_de_descuento">#REF!</definedName>
    <definedName name="tasa12" localSheetId="0">#REF!</definedName>
    <definedName name="tasa12">#REF!</definedName>
    <definedName name="tawrdolany" localSheetId="4">#REF!</definedName>
    <definedName name="tawrdolany" localSheetId="5">#REF!</definedName>
    <definedName name="tawrdolany" localSheetId="0">#REF!</definedName>
    <definedName name="tawrdolany">#REF!</definedName>
    <definedName name="Taxes" localSheetId="0">#REF!</definedName>
    <definedName name="Taxes">#REF!</definedName>
    <definedName name="taxRate">0.5</definedName>
    <definedName name="TC" localSheetId="4">#REF!</definedName>
    <definedName name="TC" localSheetId="5">#REF!</definedName>
    <definedName name="TC" localSheetId="0">#REF!</definedName>
    <definedName name="TC">#REF!</definedName>
    <definedName name="TC20121TP" localSheetId="4">#REF!</definedName>
    <definedName name="TC20121TP" localSheetId="5">#REF!</definedName>
    <definedName name="TC20121TP" localSheetId="0">#REF!</definedName>
    <definedName name="TC20121TP">#REF!</definedName>
    <definedName name="TC20121TR" localSheetId="4">#REF!</definedName>
    <definedName name="TC20121TR" localSheetId="5">#REF!</definedName>
    <definedName name="TC20121TR" localSheetId="0">#REF!</definedName>
    <definedName name="TC20121TR">#REF!</definedName>
    <definedName name="TC2012V0" localSheetId="4">#REF!</definedName>
    <definedName name="TC2012V0" localSheetId="0">#REF!</definedName>
    <definedName name="TC2012V0">#REF!</definedName>
    <definedName name="TC2012V1" localSheetId="4">#REF!</definedName>
    <definedName name="TC2012V1" localSheetId="0">#REF!</definedName>
    <definedName name="TC2012V1">#REF!</definedName>
    <definedName name="TC2012V1NC" localSheetId="4">#REF!</definedName>
    <definedName name="TC2012V1NC" localSheetId="0">#REF!</definedName>
    <definedName name="TC2012V1NC">#REF!</definedName>
    <definedName name="TC2012V1OC" localSheetId="4">#REF!</definedName>
    <definedName name="TC2012V1OC" localSheetId="0">#REF!</definedName>
    <definedName name="TC2012V1OC">#REF!</definedName>
    <definedName name="TCAB20121TP" localSheetId="4">#REF!</definedName>
    <definedName name="TCAB20121TP" localSheetId="0">#REF!</definedName>
    <definedName name="TCAB20121TP">#REF!</definedName>
    <definedName name="TCAB20121TR" localSheetId="4">#REF!</definedName>
    <definedName name="TCAB20121TR" localSheetId="0">#REF!</definedName>
    <definedName name="TCAB20121TR">#REF!</definedName>
    <definedName name="TCAB2012V0" localSheetId="4">#REF!</definedName>
    <definedName name="TCAB2012V0" localSheetId="0">#REF!</definedName>
    <definedName name="TCAB2012V0">#REF!</definedName>
    <definedName name="TCAB2012V1" localSheetId="4">#REF!</definedName>
    <definedName name="TCAB2012V1" localSheetId="0">#REF!</definedName>
    <definedName name="TCAB2012V1">#REF!</definedName>
    <definedName name="TCAB2012V1NC" localSheetId="4">#REF!</definedName>
    <definedName name="TCAB2012V1NC" localSheetId="0">#REF!</definedName>
    <definedName name="TCAB2012V1NC">#REF!</definedName>
    <definedName name="TCAB2012V1OC" localSheetId="4">#REF!</definedName>
    <definedName name="TCAB2012V1OC" localSheetId="0">#REF!</definedName>
    <definedName name="TCAB2012V1OC">#REF!</definedName>
    <definedName name="TCEC2011" localSheetId="0">#REF!</definedName>
    <definedName name="TCEC2011">#REF!</definedName>
    <definedName name="TComp" localSheetId="0">#REF!</definedName>
    <definedName name="TComp">#REF!</definedName>
    <definedName name="TE" localSheetId="4">#REF!</definedName>
    <definedName name="TE" localSheetId="5">#REF!</definedName>
    <definedName name="TE" localSheetId="0">#REF!</definedName>
    <definedName name="TE">#REF!</definedName>
    <definedName name="TEE" localSheetId="4">#REF!</definedName>
    <definedName name="TEE" localSheetId="5">#REF!</definedName>
    <definedName name="TEE" localSheetId="0">#REF!</definedName>
    <definedName name="TEE">#REF!</definedName>
    <definedName name="TEKST" localSheetId="4">#REF!</definedName>
    <definedName name="TEKST" localSheetId="5">#REF!</definedName>
    <definedName name="TEKST" localSheetId="0">#REF!</definedName>
    <definedName name="TEKST">#REF!</definedName>
    <definedName name="tele" localSheetId="0">#REF!</definedName>
    <definedName name="tele">#REF!</definedName>
    <definedName name="TELE_CABLE" localSheetId="4">#REF!</definedName>
    <definedName name="TELE_CABLE" localSheetId="5">#REF!</definedName>
    <definedName name="TELE_CABLE" localSheetId="0">#REF!</definedName>
    <definedName name="TELE_CABLE">#REF!</definedName>
    <definedName name="TELE_CONDUIT" localSheetId="4">#REF!</definedName>
    <definedName name="TELE_CONDUIT" localSheetId="5">#REF!</definedName>
    <definedName name="TELE_CONDUIT" localSheetId="0">#REF!</definedName>
    <definedName name="TELE_CONDUIT">#REF!</definedName>
    <definedName name="TELE_EQUIP" localSheetId="4">#REF!</definedName>
    <definedName name="TELE_EQUIP" localSheetId="5">#REF!</definedName>
    <definedName name="TELE_EQUIP" localSheetId="0">#REF!</definedName>
    <definedName name="TELE_EQUIP">#REF!</definedName>
    <definedName name="TELECOMIC">13000</definedName>
    <definedName name="TELECOMODM">2200</definedName>
    <definedName name="telefono" localSheetId="4">#REF!</definedName>
    <definedName name="telefono" localSheetId="5">#REF!</definedName>
    <definedName name="telefono" localSheetId="0">#REF!</definedName>
    <definedName name="telefono">#REF!</definedName>
    <definedName name="telefonocliente" localSheetId="4">#REF!</definedName>
    <definedName name="telefonocliente" localSheetId="5">#REF!</definedName>
    <definedName name="telefonocliente" localSheetId="0">#REF!</definedName>
    <definedName name="telefonocliente">#REF!</definedName>
    <definedName name="telefonocontacto" localSheetId="4">#REF!</definedName>
    <definedName name="telefonocontacto" localSheetId="5">#REF!</definedName>
    <definedName name="telefonocontacto" localSheetId="0">#REF!</definedName>
    <definedName name="telefonocontacto">#REF!</definedName>
    <definedName name="telefonodelaobra" localSheetId="4">#REF!</definedName>
    <definedName name="telefonodelaobra" localSheetId="0">#REF!</definedName>
    <definedName name="telefonodelaobra">#REF!</definedName>
    <definedName name="telefonovendedor" localSheetId="4">#REF!</definedName>
    <definedName name="telefonovendedor" localSheetId="0">#REF!</definedName>
    <definedName name="telefonovendedor">#REF!</definedName>
    <definedName name="telekom" localSheetId="0">#REF!</definedName>
    <definedName name="telekom">#REF!</definedName>
    <definedName name="TELPER">750</definedName>
    <definedName name="TEM" localSheetId="4">#REF!</definedName>
    <definedName name="TEM" localSheetId="5">#REF!</definedName>
    <definedName name="TEM" localSheetId="0">#REF!</definedName>
    <definedName name="TEM">#REF!</definedName>
    <definedName name="temp" localSheetId="4">#REF!</definedName>
    <definedName name="temp" localSheetId="5">#REF!</definedName>
    <definedName name="temp" localSheetId="0">#REF!</definedName>
    <definedName name="temp">#REF!</definedName>
    <definedName name="temp_strainer" localSheetId="4">#REF!</definedName>
    <definedName name="temp_strainer" localSheetId="5">#REF!</definedName>
    <definedName name="temp_strainer" localSheetId="0">#REF!</definedName>
    <definedName name="temp_strainer">#REF!</definedName>
    <definedName name="TempRatio" localSheetId="4">#REF!</definedName>
    <definedName name="TempRatio" localSheetId="0">#REF!</definedName>
    <definedName name="TempRatio">#REF!</definedName>
    <definedName name="term" localSheetId="0">#REF!</definedName>
    <definedName name="term">#REF!</definedName>
    <definedName name="Terminacion" localSheetId="5">#REF!</definedName>
    <definedName name="Terminacion" localSheetId="0">#REF!</definedName>
    <definedName name="Terminacion">#REF!</definedName>
    <definedName name="TERMS_5KV" localSheetId="4">#REF!</definedName>
    <definedName name="TERMS_5KV" localSheetId="5">#REF!</definedName>
    <definedName name="TERMS_5KV" localSheetId="0">#REF!</definedName>
    <definedName name="TERMS_5KV">#REF!</definedName>
    <definedName name="TERMS_600V" localSheetId="4">#REF!</definedName>
    <definedName name="TERMS_600V" localSheetId="5">#REF!</definedName>
    <definedName name="TERMS_600V" localSheetId="0">#REF!</definedName>
    <definedName name="TERMS_600V">#REF!</definedName>
    <definedName name="TERRACERIAS" localSheetId="4">#REF!</definedName>
    <definedName name="TERRACERIAS" localSheetId="0">#REF!</definedName>
    <definedName name="TERRACERIAS">#REF!</definedName>
    <definedName name="terraplen" localSheetId="0">#REF!</definedName>
    <definedName name="terraplen">#REF!</definedName>
    <definedName name="test" localSheetId="4" hidden="1">{#N/A,#N/A,FALSE,"Pricing";#N/A,#N/A,FALSE,"Summary";#N/A,#N/A,FALSE,"CompProd";#N/A,#N/A,FALSE,"CompJobhrs";#N/A,#N/A,FALSE,"Escalation";#N/A,#N/A,FALSE,"Contingency";#N/A,#N/A,FALSE,"GM";#N/A,#N/A,FALSE,"CompWage";#N/A,#N/A,FALSE,"costSum"}</definedName>
    <definedName name="test" localSheetId="6" hidden="1">{#N/A,#N/A,FALSE,"Pricing";#N/A,#N/A,FALSE,"Summary";#N/A,#N/A,FALSE,"CompProd";#N/A,#N/A,FALSE,"CompJobhrs";#N/A,#N/A,FALSE,"Escalation";#N/A,#N/A,FALSE,"Contingency";#N/A,#N/A,FALSE,"GM";#N/A,#N/A,FALSE,"CompWage";#N/A,#N/A,FALSE,"costSum"}</definedName>
    <definedName name="test" localSheetId="5" hidden="1">{#N/A,#N/A,FALSE,"Pricing";#N/A,#N/A,FALSE,"Summary";#N/A,#N/A,FALSE,"CompProd";#N/A,#N/A,FALSE,"CompJobhrs";#N/A,#N/A,FALSE,"Escalation";#N/A,#N/A,FALSE,"Contingency";#N/A,#N/A,FALSE,"GM";#N/A,#N/A,FALSE,"CompWage";#N/A,#N/A,FALSE,"costSum"}</definedName>
    <definedName name="test" localSheetId="0"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EST0">#REF!</definedName>
    <definedName name="TEST1" localSheetId="4">#REF!</definedName>
    <definedName name="TEST1" localSheetId="5">#REF!</definedName>
    <definedName name="TEST1" localSheetId="0">#REF!</definedName>
    <definedName name="TEST1">#REF!</definedName>
    <definedName name="TEST2" localSheetId="0">#REF!</definedName>
    <definedName name="TEST2">#REF!</definedName>
    <definedName name="TESTHKEY" localSheetId="4">#REF!</definedName>
    <definedName name="TESTHKEY" localSheetId="5">#REF!</definedName>
    <definedName name="TESTHKEY" localSheetId="0">#REF!</definedName>
    <definedName name="TESTHKEY">#REF!</definedName>
    <definedName name="testito"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ito"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TESTKEYS" localSheetId="4">#REF!</definedName>
    <definedName name="TESTKEYS" localSheetId="5">#REF!</definedName>
    <definedName name="TESTKEYS" localSheetId="0">#REF!</definedName>
    <definedName name="TESTKEYS">#REF!</definedName>
    <definedName name="TESTVKEY" localSheetId="4">#REF!</definedName>
    <definedName name="TESTVKEY" localSheetId="5">#REF!</definedName>
    <definedName name="TESTVKEY" localSheetId="0">#REF!</definedName>
    <definedName name="TESTVKEY">#REF!</definedName>
    <definedName name="TextRefCopyRangeCount" hidden="1">14</definedName>
    <definedName name="tfr_ret" localSheetId="4">#REF!</definedName>
    <definedName name="tfr_ret" localSheetId="5">#REF!</definedName>
    <definedName name="tfr_ret" localSheetId="0">#REF!</definedName>
    <definedName name="tfr_ret">#REF!</definedName>
    <definedName name="TGCART" localSheetId="4">#REF!</definedName>
    <definedName name="TGCART" localSheetId="5">#REF!</definedName>
    <definedName name="TGCART" localSheetId="0">#REF!</definedName>
    <definedName name="TGCART">#REF!</definedName>
    <definedName name="TGCART1T" localSheetId="4">#REF!</definedName>
    <definedName name="TGCART1T" localSheetId="5">#REF!</definedName>
    <definedName name="TGCART1T" localSheetId="0">#REF!</definedName>
    <definedName name="TGCART1T">#REF!</definedName>
    <definedName name="TGCART4T" localSheetId="4">#REF!</definedName>
    <definedName name="TGCART4T" localSheetId="0">#REF!</definedName>
    <definedName name="TGCART4T">#REF!</definedName>
    <definedName name="TGCONT3T" localSheetId="4">#REF!</definedName>
    <definedName name="TGCONT3T" localSheetId="0">#REF!</definedName>
    <definedName name="TGCONT3T">#REF!</definedName>
    <definedName name="TGCONT4T" localSheetId="4">#REF!</definedName>
    <definedName name="TGCONT4T" localSheetId="0">#REF!</definedName>
    <definedName name="TGCONT4T">#REF!</definedName>
    <definedName name="TGEJEC13" localSheetId="4">#REF!</definedName>
    <definedName name="TGEJEC13" localSheetId="0">#REF!</definedName>
    <definedName name="TGEJEC13">#REF!</definedName>
    <definedName name="TGEJEC14SS" localSheetId="4">#REF!</definedName>
    <definedName name="TGEJEC14SS" localSheetId="0">#REF!</definedName>
    <definedName name="TGEJEC14SS">#REF!</definedName>
    <definedName name="TGIN1T" localSheetId="4">#REF!</definedName>
    <definedName name="TGIN1T" localSheetId="0">#REF!</definedName>
    <definedName name="TGIN1T">#REF!</definedName>
    <definedName name="TGIN3T" localSheetId="4">#REF!</definedName>
    <definedName name="TGIN3T" localSheetId="0">#REF!</definedName>
    <definedName name="TGIN3T">#REF!</definedName>
    <definedName name="TGIN4T" localSheetId="4">#REF!</definedName>
    <definedName name="TGIN4T" localSheetId="0">#REF!</definedName>
    <definedName name="TGIN4T">#REF!</definedName>
    <definedName name="TGTOTPPTO" localSheetId="4">#REF!</definedName>
    <definedName name="TGTOTPPTO" localSheetId="0">#REF!</definedName>
    <definedName name="TGTOTPPTO">#REF!</definedName>
    <definedName name="thbshmndmdm" localSheetId="4">#REF!</definedName>
    <definedName name="thbshmndmdm" localSheetId="0">#REF!</definedName>
    <definedName name="thbshmndmdm">#REF!</definedName>
    <definedName name="THK" localSheetId="4">#REF!</definedName>
    <definedName name="THK" localSheetId="0">#REF!</definedName>
    <definedName name="THK">#REF!</definedName>
    <definedName name="Tiemp" localSheetId="4" hidden="1">#REF!</definedName>
    <definedName name="Tiemp" localSheetId="5" hidden="1">#REF!</definedName>
    <definedName name="Tiemp" localSheetId="0" hidden="1">#REF!</definedName>
    <definedName name="Tiemp" hidden="1">#REF!</definedName>
    <definedName name="Tiempo" localSheetId="4" hidden="1">#REF!</definedName>
    <definedName name="Tiempo" localSheetId="5" hidden="1">#REF!</definedName>
    <definedName name="Tiempo" localSheetId="0" hidden="1">#REF!</definedName>
    <definedName name="Tiempo" hidden="1">#REF!</definedName>
    <definedName name="TiempoSituaActual" localSheetId="4" hidden="1">#REF!</definedName>
    <definedName name="TiempoSituaActual" localSheetId="5" hidden="1">#REF!</definedName>
    <definedName name="TiempoSituaActual" localSheetId="0" hidden="1">#REF!</definedName>
    <definedName name="TiempoSituaActual" hidden="1">#REF!</definedName>
    <definedName name="Timepo" localSheetId="4">#REF!</definedName>
    <definedName name="Timepo" localSheetId="5">#REF!</definedName>
    <definedName name="Timepo" localSheetId="0">#REF!</definedName>
    <definedName name="Timepo">#REF!</definedName>
    <definedName name="TINT20121TP" localSheetId="4">#REF!</definedName>
    <definedName name="TINT20121TP" localSheetId="5">#REF!</definedName>
    <definedName name="TINT20121TP" localSheetId="0">#REF!</definedName>
    <definedName name="TINT20121TP">#REF!</definedName>
    <definedName name="TINT20121TR" localSheetId="4">#REF!</definedName>
    <definedName name="TINT20121TR" localSheetId="5">#REF!</definedName>
    <definedName name="TINT20121TR" localSheetId="0">#REF!</definedName>
    <definedName name="TINT20121TR">#REF!</definedName>
    <definedName name="TINT2012V0" localSheetId="4">#REF!</definedName>
    <definedName name="TINT2012V0" localSheetId="5">#REF!</definedName>
    <definedName name="TINT2012V0" localSheetId="0">#REF!</definedName>
    <definedName name="TINT2012V0">#REF!</definedName>
    <definedName name="TINT2012V1" localSheetId="4">#REF!</definedName>
    <definedName name="TINT2012V1" localSheetId="0">#REF!</definedName>
    <definedName name="TINT2012V1">#REF!</definedName>
    <definedName name="TINT2012V1NC" localSheetId="4">#REF!</definedName>
    <definedName name="TINT2012V1NC" localSheetId="0">#REF!</definedName>
    <definedName name="TINT2012V1NC">#REF!</definedName>
    <definedName name="TINT2012V1OC" localSheetId="4">#REF!</definedName>
    <definedName name="TINT2012V1OC" localSheetId="0">#REF!</definedName>
    <definedName name="TINT2012V1OC">#REF!</definedName>
    <definedName name="TIPO" localSheetId="4">#REF!</definedName>
    <definedName name="TIPO" localSheetId="0">#REF!</definedName>
    <definedName name="TIPO">#REF!</definedName>
    <definedName name="Tipo_de_Cambio" localSheetId="4">#REF!</definedName>
    <definedName name="Tipo_de_Cambio" localSheetId="0">#REF!</definedName>
    <definedName name="Tipo_de_Cambio">#REF!</definedName>
    <definedName name="tipodelicitacion" localSheetId="4">#REF!</definedName>
    <definedName name="tipodelicitacion" localSheetId="0">#REF!</definedName>
    <definedName name="tipodelicitacion">#REF!</definedName>
    <definedName name="TIRai" localSheetId="4">#REF!</definedName>
    <definedName name="TIRai" localSheetId="0">#REF!</definedName>
    <definedName name="TIRai">#REF!</definedName>
    <definedName name="TIRdi" localSheetId="4">#REF!</definedName>
    <definedName name="TIRdi" localSheetId="0">#REF!</definedName>
    <definedName name="TIRdi">#REF!</definedName>
    <definedName name="TIT" localSheetId="0">#REF!</definedName>
    <definedName name="TIT">#REF!</definedName>
    <definedName name="TITLE" localSheetId="4">#REF!</definedName>
    <definedName name="TITLE" localSheetId="5">#REF!</definedName>
    <definedName name="TITLE" localSheetId="0">#REF!</definedName>
    <definedName name="TITLE">#REF!</definedName>
    <definedName name="title1" localSheetId="4">#REF!</definedName>
    <definedName name="title1" localSheetId="5">#REF!</definedName>
    <definedName name="title1" localSheetId="0">#REF!</definedName>
    <definedName name="title1">#REF!</definedName>
    <definedName name="title2" localSheetId="4">#REF!</definedName>
    <definedName name="title2" localSheetId="5">#REF!</definedName>
    <definedName name="title2" localSheetId="0">#REF!</definedName>
    <definedName name="title2">#REF!</definedName>
    <definedName name="title3" localSheetId="4">#REF!</definedName>
    <definedName name="title3" localSheetId="0">#REF!</definedName>
    <definedName name="title3">#REF!</definedName>
    <definedName name="TITLES_A_HRS" localSheetId="0">#REF!</definedName>
    <definedName name="TITLES_A_HRS">#REF!</definedName>
    <definedName name="TITLES_PRINT" localSheetId="4">#REF!</definedName>
    <definedName name="TITLES_PRINT" localSheetId="5">#REF!</definedName>
    <definedName name="TITLES_PRINT" localSheetId="0">#REF!</definedName>
    <definedName name="TITLES_PRINT">#REF!</definedName>
    <definedName name="Titulo1">"RESUMEN DE PRESUPUESTOS DE OBRA CIVIL"</definedName>
    <definedName name="_xlnm.Print_Titles" localSheetId="4">#N/A</definedName>
    <definedName name="_xlnm.Print_Titles" localSheetId="5">Producción!#REF!</definedName>
    <definedName name="_xlnm.Print_Titles" localSheetId="0">'Resumen Ejecutivo'!$3:$6</definedName>
    <definedName name="_xlnm.Print_Titles">#REF!</definedName>
    <definedName name="Títulos_a_imprimir_IM" localSheetId="4">#REF!</definedName>
    <definedName name="Títulos_a_imprimir_IM" localSheetId="5">#REF!</definedName>
    <definedName name="Títulos_a_imprimir_IM" localSheetId="0">#REF!</definedName>
    <definedName name="Títulos_a_imprimir_IM">#REF!</definedName>
    <definedName name="TL" localSheetId="4">#REF!</definedName>
    <definedName name="TL" localSheetId="5">#REF!</definedName>
    <definedName name="TL" localSheetId="0">#REF!</definedName>
    <definedName name="TL">#REF!</definedName>
    <definedName name="tłu" localSheetId="4">#REF!</definedName>
    <definedName name="tłu" localSheetId="0">#REF!</definedName>
    <definedName name="tłu">#REF!</definedName>
    <definedName name="TM" localSheetId="4">#REF!</definedName>
    <definedName name="TM" localSheetId="0">#REF!</definedName>
    <definedName name="TM">#REF!</definedName>
    <definedName name="Todo" localSheetId="4">#REF!</definedName>
    <definedName name="Todo" localSheetId="0">#REF!</definedName>
    <definedName name="Todo">#REF!</definedName>
    <definedName name="TOL" localSheetId="4">#REF!</definedName>
    <definedName name="TOL" localSheetId="0">#REF!</definedName>
    <definedName name="TOL">#REF!</definedName>
    <definedName name="toño" localSheetId="4" hidden="1">#REF!</definedName>
    <definedName name="toño" localSheetId="5" hidden="1">#REF!</definedName>
    <definedName name="toño" localSheetId="0" hidden="1">#REF!</definedName>
    <definedName name="toño" hidden="1">#REF!</definedName>
    <definedName name="TOP_DIMS" localSheetId="0">#REF!</definedName>
    <definedName name="TOP_DIMS">#REF!</definedName>
    <definedName name="TOT_CV" localSheetId="0">#REF!</definedName>
    <definedName name="TOT_CV">#REF!</definedName>
    <definedName name="TOT_EXP_COND" localSheetId="4">#REF!</definedName>
    <definedName name="TOT_EXP_COND" localSheetId="5">#REF!</definedName>
    <definedName name="TOT_EXP_COND" localSheetId="0">#REF!</definedName>
    <definedName name="TOT_EXP_COND">#REF!</definedName>
    <definedName name="TOT_FCT_AF" localSheetId="0">#REF!</definedName>
    <definedName name="TOT_FCT_AF">#REF!</definedName>
    <definedName name="TOT_FCT_icfex" localSheetId="0">#REF!</definedName>
    <definedName name="TOT_FCT_icfex">#REF!</definedName>
    <definedName name="TOT_FIXTURES" localSheetId="4">#REF!</definedName>
    <definedName name="TOT_FIXTURES" localSheetId="5">#REF!</definedName>
    <definedName name="TOT_FIXTURES" localSheetId="0">#REF!</definedName>
    <definedName name="TOT_FIXTURES">#REF!</definedName>
    <definedName name="TOT_PVC_COND" localSheetId="4">#REF!</definedName>
    <definedName name="TOT_PVC_COND" localSheetId="5">#REF!</definedName>
    <definedName name="TOT_PVC_COND" localSheetId="0">#REF!</definedName>
    <definedName name="TOT_PVC_COND">#REF!</definedName>
    <definedName name="total" localSheetId="0">#REF!</definedName>
    <definedName name="total">#REF!</definedName>
    <definedName name="Total_Burden" localSheetId="0">#REF!</definedName>
    <definedName name="Total_Burden">#REF!</definedName>
    <definedName name="TOTAL_DIRECTS" localSheetId="4">#REF!</definedName>
    <definedName name="TOTAL_DIRECTS" localSheetId="5">#REF!</definedName>
    <definedName name="TOTAL_DIRECTS" localSheetId="0">#REF!</definedName>
    <definedName name="TOTAL_DIRECTS">#REF!</definedName>
    <definedName name="Total_Fino__t" localSheetId="4">#REF!</definedName>
    <definedName name="Total_Fino__t" localSheetId="5">#REF!</definedName>
    <definedName name="Total_Fino__t" localSheetId="0">#REF!</definedName>
    <definedName name="Total_Fino__t">#REF!</definedName>
    <definedName name="total_graph" localSheetId="0">#REF!</definedName>
    <definedName name="total_graph">#REF!</definedName>
    <definedName name="TOTAL_INDIRECTS" localSheetId="4">#REF!</definedName>
    <definedName name="TOTAL_INDIRECTS" localSheetId="5">#REF!</definedName>
    <definedName name="TOTAL_INDIRECTS" localSheetId="0">#REF!</definedName>
    <definedName name="TOTAL_INDIRECTS">#REF!</definedName>
    <definedName name="Total_Interest" localSheetId="4">#REF!</definedName>
    <definedName name="Total_Interest" localSheetId="5">#REF!</definedName>
    <definedName name="Total_Interest" localSheetId="0">#REF!</definedName>
    <definedName name="Total_Interest">#REF!</definedName>
    <definedName name="Total_Pay" localSheetId="4">#REF!</definedName>
    <definedName name="Total_Pay" localSheetId="5">#REF!</definedName>
    <definedName name="Total_Pay" localSheetId="0">#REF!</definedName>
    <definedName name="Total_Pay">#REF!</definedName>
    <definedName name="Total_Payment" localSheetId="4">Scheduled_Payment+Extra_Payment</definedName>
    <definedName name="Total_Payment" localSheetId="6">Scheduled_Payment+Extra_Payment</definedName>
    <definedName name="Total_Payment" localSheetId="5">Scheduled_Payment+Extra_Payment</definedName>
    <definedName name="Total_Payment" localSheetId="0">Scheduled_Payment+Extra_Payment</definedName>
    <definedName name="Total_Payment">Scheduled_Payment+Extra_Payment</definedName>
    <definedName name="total_schedule" localSheetId="0">#REF!</definedName>
    <definedName name="total_schedule">#REF!</definedName>
    <definedName name="Total_Scheduled_Jobhours" localSheetId="4">#REF!</definedName>
    <definedName name="Total_Scheduled_Jobhours" localSheetId="5">#REF!</definedName>
    <definedName name="Total_Scheduled_Jobhours" localSheetId="0">#REF!</definedName>
    <definedName name="Total_Scheduled_Jobhours">#REF!</definedName>
    <definedName name="Total_Senior_Debt_Perc" localSheetId="0">#REF!</definedName>
    <definedName name="Total_Senior_Debt_Perc">#REF!</definedName>
    <definedName name="TOTAL1" localSheetId="0">#REF!</definedName>
    <definedName name="TOTAL1">#REF!</definedName>
    <definedName name="TOTAL2" localSheetId="4">#REF!</definedName>
    <definedName name="TOTAL2" localSheetId="5">#REF!</definedName>
    <definedName name="TOTAL2" localSheetId="0">#REF!</definedName>
    <definedName name="TOTAL2">#REF!</definedName>
    <definedName name="TOTAL3" localSheetId="4">#REF!</definedName>
    <definedName name="TOTAL3" localSheetId="5">#REF!</definedName>
    <definedName name="TOTAL3" localSheetId="0">#REF!</definedName>
    <definedName name="TOTAL3">#REF!</definedName>
    <definedName name="TOTAL4" localSheetId="4">#REF!</definedName>
    <definedName name="TOTAL4" localSheetId="5">#REF!</definedName>
    <definedName name="TOTAL4" localSheetId="0">#REF!</definedName>
    <definedName name="TOTAL4">#REF!</definedName>
    <definedName name="TOTAL5" localSheetId="4">#REF!</definedName>
    <definedName name="TOTAL5" localSheetId="0">#REF!</definedName>
    <definedName name="TOTAL5">#REF!</definedName>
    <definedName name="Totale1997" localSheetId="0">#REF!</definedName>
    <definedName name="Totale1997">#REF!</definedName>
    <definedName name="TotaleAC" localSheetId="0">#REF!</definedName>
    <definedName name="TotaleAC">#REF!</definedName>
    <definedName name="TotaleAP" localSheetId="4">#REF!</definedName>
    <definedName name="TotaleAP" localSheetId="5">#REF!</definedName>
    <definedName name="TotaleAP" localSheetId="0">#REF!</definedName>
    <definedName name="TotaleAP">#REF!</definedName>
    <definedName name="totalpresupuestoprimeramoneda" localSheetId="4">#REF!</definedName>
    <definedName name="totalpresupuestoprimeramoneda" localSheetId="5">#REF!</definedName>
    <definedName name="totalpresupuestoprimeramoneda" localSheetId="0">#REF!</definedName>
    <definedName name="totalpresupuestoprimeramoneda">#REF!</definedName>
    <definedName name="totalpresupuestosegundamoneda" localSheetId="4">#REF!</definedName>
    <definedName name="totalpresupuestosegundamoneda" localSheetId="5">#REF!</definedName>
    <definedName name="totalpresupuestosegundamoneda" localSheetId="0">#REF!</definedName>
    <definedName name="totalpresupuestosegundamoneda">#REF!</definedName>
    <definedName name="TOWAR" localSheetId="4">#REF!</definedName>
    <definedName name="TOWAR" localSheetId="0">#REF!</definedName>
    <definedName name="TOWAR">#REF!</definedName>
    <definedName name="TOWAR_PEŁNA_NAZWA" localSheetId="4">#REF!</definedName>
    <definedName name="TOWAR_PEŁNA_NAZWA" localSheetId="0">#REF!</definedName>
    <definedName name="TOWAR_PEŁNA_NAZWA">#REF!</definedName>
    <definedName name="TPABR2012" localSheetId="4">#REF!</definedName>
    <definedName name="TPABR2012" localSheetId="0">#REF!</definedName>
    <definedName name="TPABR2012">#REF!</definedName>
    <definedName name="TPAGO2012" localSheetId="4">#REF!</definedName>
    <definedName name="TPAGO2012" localSheetId="0">#REF!</definedName>
    <definedName name="TPAGO2012">#REF!</definedName>
    <definedName name="TPDIC2011" localSheetId="4">#REF!</definedName>
    <definedName name="TPDIC2011" localSheetId="0">#REF!</definedName>
    <definedName name="TPDIC2011">#REF!</definedName>
    <definedName name="TPDIC2012" localSheetId="4">#REF!</definedName>
    <definedName name="TPDIC2012" localSheetId="0">#REF!</definedName>
    <definedName name="TPDIC2012">#REF!</definedName>
    <definedName name="TPENE2012" localSheetId="4">#REF!</definedName>
    <definedName name="TPENE2012" localSheetId="0">#REF!</definedName>
    <definedName name="TPENE2012">#REF!</definedName>
    <definedName name="TPF" localSheetId="4">#REF!</definedName>
    <definedName name="TPF" localSheetId="0">#REF!</definedName>
    <definedName name="TPF">#REF!</definedName>
    <definedName name="TPFEB2012" localSheetId="4">#REF!</definedName>
    <definedName name="TPFEB2012" localSheetId="0">#REF!</definedName>
    <definedName name="TPFEB2012">#REF!</definedName>
    <definedName name="TPJUL2012" localSheetId="4">#REF!</definedName>
    <definedName name="TPJUL2012" localSheetId="0">#REF!</definedName>
    <definedName name="TPJUL2012">#REF!</definedName>
    <definedName name="TPJUN2012" localSheetId="4">#REF!</definedName>
    <definedName name="TPJUN2012" localSheetId="0">#REF!</definedName>
    <definedName name="TPJUN2012">#REF!</definedName>
    <definedName name="TPMAR2012" localSheetId="4">#REF!</definedName>
    <definedName name="TPMAR2012" localSheetId="0">#REF!</definedName>
    <definedName name="TPMAR2012">#REF!</definedName>
    <definedName name="TPMAY2012" localSheetId="4">#REF!</definedName>
    <definedName name="TPMAY2012" localSheetId="0">#REF!</definedName>
    <definedName name="TPMAY2012">#REF!</definedName>
    <definedName name="TPNOV2012" localSheetId="4">#REF!</definedName>
    <definedName name="TPNOV2012" localSheetId="0">#REF!</definedName>
    <definedName name="TPNOV2012">#REF!</definedName>
    <definedName name="TPNT" localSheetId="4">#REF!</definedName>
    <definedName name="TPNT" localSheetId="0">#REF!</definedName>
    <definedName name="TPNT">#REF!</definedName>
    <definedName name="TPOCT2012" localSheetId="4">#REF!</definedName>
    <definedName name="TPOCT2012" localSheetId="0">#REF!</definedName>
    <definedName name="TPOCT2012">#REF!</definedName>
    <definedName name="TPSEP2012" localSheetId="4">#REF!</definedName>
    <definedName name="TPSEP2012" localSheetId="0">#REF!</definedName>
    <definedName name="TPSEP2012">#REF!</definedName>
    <definedName name="TPSGABR2012" localSheetId="4">#REF!</definedName>
    <definedName name="TPSGABR2012" localSheetId="0">#REF!</definedName>
    <definedName name="TPSGABR2012">#REF!</definedName>
    <definedName name="TPSGAGO2012" localSheetId="4">#REF!</definedName>
    <definedName name="TPSGAGO2012" localSheetId="0">#REF!</definedName>
    <definedName name="TPSGAGO2012">#REF!</definedName>
    <definedName name="TPSGDIC2011" localSheetId="4">#REF!</definedName>
    <definedName name="TPSGDIC2011" localSheetId="0">#REF!</definedName>
    <definedName name="TPSGDIC2011">#REF!</definedName>
    <definedName name="TPSGDIC2012" localSheetId="4">#REF!</definedName>
    <definedName name="TPSGDIC2012" localSheetId="0">#REF!</definedName>
    <definedName name="TPSGDIC2012">#REF!</definedName>
    <definedName name="TPSGENE2012" localSheetId="4">#REF!</definedName>
    <definedName name="TPSGENE2012" localSheetId="0">#REF!</definedName>
    <definedName name="TPSGENE2012">#REF!</definedName>
    <definedName name="TPSGF" localSheetId="4">#REF!</definedName>
    <definedName name="TPSGF" localSheetId="0">#REF!</definedName>
    <definedName name="TPSGF">#REF!</definedName>
    <definedName name="TPSGFEB2012" localSheetId="4">#REF!</definedName>
    <definedName name="TPSGFEB2012" localSheetId="0">#REF!</definedName>
    <definedName name="TPSGFEB2012">#REF!</definedName>
    <definedName name="TPSGJUL2012" localSheetId="4">#REF!</definedName>
    <definedName name="TPSGJUL2012" localSheetId="0">#REF!</definedName>
    <definedName name="TPSGJUL2012">#REF!</definedName>
    <definedName name="TPSGJUN2012" localSheetId="4">#REF!</definedName>
    <definedName name="TPSGJUN2012" localSheetId="0">#REF!</definedName>
    <definedName name="TPSGJUN2012">#REF!</definedName>
    <definedName name="TPSGMAR2012" localSheetId="4">#REF!</definedName>
    <definedName name="TPSGMAR2012" localSheetId="0">#REF!</definedName>
    <definedName name="TPSGMAR2012">#REF!</definedName>
    <definedName name="TPSGMAY2012" localSheetId="4">#REF!</definedName>
    <definedName name="TPSGMAY2012" localSheetId="0">#REF!</definedName>
    <definedName name="TPSGMAY2012">#REF!</definedName>
    <definedName name="TPSGNOV2012" localSheetId="4">#REF!</definedName>
    <definedName name="TPSGNOV2012" localSheetId="0">#REF!</definedName>
    <definedName name="TPSGNOV2012">#REF!</definedName>
    <definedName name="TPSGNSABR2011" localSheetId="4">#REF!</definedName>
    <definedName name="TPSGNSABR2011" localSheetId="5">#REF!</definedName>
    <definedName name="TPSGNSABR2011" localSheetId="0">#REF!</definedName>
    <definedName name="TPSGNSABR2011">#REF!</definedName>
    <definedName name="TPSGNSAGO2011" localSheetId="4">#REF!</definedName>
    <definedName name="TPSGNSAGO2011" localSheetId="5">#REF!</definedName>
    <definedName name="TPSGNSAGO2011" localSheetId="0">#REF!</definedName>
    <definedName name="TPSGNSAGO2011">#REF!</definedName>
    <definedName name="TPSGNSDIC2011" localSheetId="4">#REF!</definedName>
    <definedName name="TPSGNSDIC2011" localSheetId="5">#REF!</definedName>
    <definedName name="TPSGNSDIC2011" localSheetId="0">#REF!</definedName>
    <definedName name="TPSGNSDIC2011">#REF!</definedName>
    <definedName name="TPSGNSENE2011" localSheetId="4">#REF!</definedName>
    <definedName name="TPSGNSENE2011" localSheetId="5">#REF!</definedName>
    <definedName name="TPSGNSENE2011" localSheetId="0">#REF!</definedName>
    <definedName name="TPSGNSENE2011">#REF!</definedName>
    <definedName name="TPSGNSF" localSheetId="4">#REF!</definedName>
    <definedName name="TPSGNSF" localSheetId="0">#REF!</definedName>
    <definedName name="TPSGNSF">#REF!</definedName>
    <definedName name="TPSGNSFEB2011" localSheetId="4">#REF!</definedName>
    <definedName name="TPSGNSFEB2011" localSheetId="0">#REF!</definedName>
    <definedName name="TPSGNSFEB2011">#REF!</definedName>
    <definedName name="TPSGNSJUL2011" localSheetId="4">#REF!</definedName>
    <definedName name="TPSGNSJUL2011" localSheetId="0">#REF!</definedName>
    <definedName name="TPSGNSJUL2011">#REF!</definedName>
    <definedName name="TPSGNSJUN2011" localSheetId="4">#REF!</definedName>
    <definedName name="TPSGNSJUN2011" localSheetId="0">#REF!</definedName>
    <definedName name="TPSGNSJUN2011">#REF!</definedName>
    <definedName name="TPSGNSMAR2011" localSheetId="4">#REF!</definedName>
    <definedName name="TPSGNSMAR2011" localSheetId="0">#REF!</definedName>
    <definedName name="TPSGNSMAR2011">#REF!</definedName>
    <definedName name="TPSGNSMAY2011" localSheetId="4">#REF!</definedName>
    <definedName name="TPSGNSMAY2011" localSheetId="0">#REF!</definedName>
    <definedName name="TPSGNSMAY2011">#REF!</definedName>
    <definedName name="TPSGNSNOV2011" localSheetId="4">#REF!</definedName>
    <definedName name="TPSGNSNOV2011" localSheetId="0">#REF!</definedName>
    <definedName name="TPSGNSNOV2011">#REF!</definedName>
    <definedName name="TPSGNSOCT2011" localSheetId="4">#REF!</definedName>
    <definedName name="TPSGNSOCT2011" localSheetId="0">#REF!</definedName>
    <definedName name="TPSGNSOCT2011">#REF!</definedName>
    <definedName name="TPSGNSSEP2011" localSheetId="4">#REF!</definedName>
    <definedName name="TPSGNSSEP2011" localSheetId="0">#REF!</definedName>
    <definedName name="TPSGNSSEP2011">#REF!</definedName>
    <definedName name="TPSGOCT2011" localSheetId="4">#REF!</definedName>
    <definedName name="TPSGOCT2011" localSheetId="5">#REF!</definedName>
    <definedName name="TPSGOCT2011" localSheetId="0">#REF!</definedName>
    <definedName name="TPSGOCT2011">#REF!</definedName>
    <definedName name="TPSGSEP2011" localSheetId="4">#REF!</definedName>
    <definedName name="TPSGSEP2011" localSheetId="5">#REF!</definedName>
    <definedName name="TPSGSEP2011" localSheetId="0">#REF!</definedName>
    <definedName name="TPSGSEP2011">#REF!</definedName>
    <definedName name="Tpte2" localSheetId="4" hidden="1">#REF!</definedName>
    <definedName name="Tpte2" localSheetId="5" hidden="1">#REF!</definedName>
    <definedName name="Tpte2" localSheetId="0" hidden="1">#REF!</definedName>
    <definedName name="Tpte2" hidden="1">#REF!</definedName>
    <definedName name="TpteArce" localSheetId="4" hidden="1">#REF!</definedName>
    <definedName name="TpteArce" localSheetId="0" hidden="1">#REF!</definedName>
    <definedName name="TpteArce" hidden="1">#REF!</definedName>
    <definedName name="TpteST2" localSheetId="4" hidden="1">#REF!</definedName>
    <definedName name="TpteST2" localSheetId="0" hidden="1">#REF!</definedName>
    <definedName name="TpteST2" hidden="1">#REF!</definedName>
    <definedName name="Trafsys_Discont">0.85</definedName>
    <definedName name="trakcja">#REF!</definedName>
    <definedName name="trans" localSheetId="0">#REF!</definedName>
    <definedName name="trans">#REF!</definedName>
    <definedName name="transp" localSheetId="0">#REF!</definedName>
    <definedName name="transp">#REF!</definedName>
    <definedName name="transpor" localSheetId="0">#REF!</definedName>
    <definedName name="transpor">#REF!</definedName>
    <definedName name="transport" localSheetId="4">#REF!</definedName>
    <definedName name="transport" localSheetId="5">#REF!</definedName>
    <definedName name="transport" localSheetId="0">#REF!</definedName>
    <definedName name="transport">#REF!</definedName>
    <definedName name="transport_destruktu_ponad_1km_w_m3_na_km" localSheetId="4">#REF!</definedName>
    <definedName name="transport_destruktu_ponad_1km_w_m3_na_km" localSheetId="5">#REF!</definedName>
    <definedName name="transport_destruktu_ponad_1km_w_m3_na_km" localSheetId="0">#REF!</definedName>
    <definedName name="transport_destruktu_ponad_1km_w_m3_na_km">#REF!</definedName>
    <definedName name="transport_gruntu_m3_km" localSheetId="4">#REF!</definedName>
    <definedName name="transport_gruntu_m3_km" localSheetId="5">#REF!</definedName>
    <definedName name="transport_gruntu_m3_km" localSheetId="0">#REF!</definedName>
    <definedName name="transport_gruntu_m3_km">#REF!</definedName>
    <definedName name="transport_gruzu_m3_do_1km" localSheetId="4">#REF!</definedName>
    <definedName name="transport_gruzu_m3_do_1km" localSheetId="0">#REF!</definedName>
    <definedName name="transport_gruzu_m3_do_1km">#REF!</definedName>
    <definedName name="transport_gruzu_m3_ponad_1km" localSheetId="4">#REF!</definedName>
    <definedName name="transport_gruzu_m3_ponad_1km" localSheetId="0">#REF!</definedName>
    <definedName name="transport_gruzu_m3_ponad_1km">#REF!</definedName>
    <definedName name="transport_kruszywo" localSheetId="4">#REF!</definedName>
    <definedName name="transport_kruszywo" localSheetId="0">#REF!</definedName>
    <definedName name="transport_kruszywo">#REF!</definedName>
    <definedName name="transport_masy" localSheetId="4">#REF!</definedName>
    <definedName name="transport_masy" localSheetId="0">#REF!</definedName>
    <definedName name="transport_masy">#REF!</definedName>
    <definedName name="transport_materiałów_bet_do_odzysku_m2_1km" localSheetId="4">#REF!</definedName>
    <definedName name="transport_materiałów_bet_do_odzysku_m2_1km" localSheetId="0">#REF!</definedName>
    <definedName name="transport_materiałów_bet_do_odzysku_m2_1km">#REF!</definedName>
    <definedName name="transport_max_m3_km_grunty" localSheetId="4">#REF!</definedName>
    <definedName name="transport_max_m3_km_grunty" localSheetId="0">#REF!</definedName>
    <definedName name="transport_max_m3_km_grunty">#REF!</definedName>
    <definedName name="transport_min_m3_km_grunty" localSheetId="4">#REF!</definedName>
    <definedName name="transport_min_m3_km_grunty" localSheetId="0">#REF!</definedName>
    <definedName name="transport_min_m3_km_grunty">#REF!</definedName>
    <definedName name="transport_MMA_naw_ponad_5km_w_m3_na_km" localSheetId="4">#REF!</definedName>
    <definedName name="transport_MMA_naw_ponad_5km_w_m3_na_km" localSheetId="0">#REF!</definedName>
    <definedName name="transport_MMA_naw_ponad_5km_w_m3_na_km">#REF!</definedName>
    <definedName name="transport_MMA_ponad_5km_w_m3_na_km" localSheetId="4">#REF!</definedName>
    <definedName name="transport_MMA_ponad_5km_w_m3_na_km" localSheetId="0">#REF!</definedName>
    <definedName name="transport_MMA_ponad_5km_w_m3_na_km">#REF!</definedName>
    <definedName name="transport_MMA_ponad_5km_w_t_na_km" localSheetId="4">#REF!</definedName>
    <definedName name="transport_MMA_ponad_5km_w_t_na_km" localSheetId="0">#REF!</definedName>
    <definedName name="transport_MMA_ponad_5km_w_t_na_km">#REF!</definedName>
    <definedName name="transport_MMA_wyr_ponad_5km_w_t_na_km" localSheetId="4">#REF!</definedName>
    <definedName name="transport_MMA_wyr_ponad_5km_w_t_na_km" localSheetId="0">#REF!</definedName>
    <definedName name="transport_MMA_wyr_ponad_5km_w_t_na_km">#REF!</definedName>
    <definedName name="transport_piasek" localSheetId="4">#REF!</definedName>
    <definedName name="transport_piasek" localSheetId="0">#REF!</definedName>
    <definedName name="transport_piasek">#REF!</definedName>
    <definedName name="transport_śr_m3_km_grunty" localSheetId="4">#REF!</definedName>
    <definedName name="transport_śr_m3_km_grunty" localSheetId="0">#REF!</definedName>
    <definedName name="transport_śr_m3_km_grunty">#REF!</definedName>
    <definedName name="transport_stali_na_odl_1km_t" localSheetId="4">#REF!</definedName>
    <definedName name="transport_stali_na_odl_1km_t" localSheetId="0">#REF!</definedName>
    <definedName name="transport_stali_na_odl_1km_t">#REF!</definedName>
    <definedName name="transport_stali_powyżej_1km_t" localSheetId="4">#REF!</definedName>
    <definedName name="transport_stali_powyżej_1km_t" localSheetId="0">#REF!</definedName>
    <definedName name="transport_stali_powyżej_1km_t">#REF!</definedName>
    <definedName name="Transport10" localSheetId="4">#REF!</definedName>
    <definedName name="Transport10" localSheetId="5">#REF!</definedName>
    <definedName name="Transport10" localSheetId="0">#REF!</definedName>
    <definedName name="Transport10">#REF!</definedName>
    <definedName name="Transport8" localSheetId="4">#REF!</definedName>
    <definedName name="Transport8" localSheetId="5">#REF!</definedName>
    <definedName name="Transport8" localSheetId="0">#REF!</definedName>
    <definedName name="Transport8">#REF!</definedName>
    <definedName name="Transport9" localSheetId="4">#REF!</definedName>
    <definedName name="Transport9" localSheetId="5">#REF!</definedName>
    <definedName name="Transport9" localSheetId="0">#REF!</definedName>
    <definedName name="Transport9">#REF!</definedName>
    <definedName name="transporte" localSheetId="0">#REF!</definedName>
    <definedName name="transporte">#REF!</definedName>
    <definedName name="Travel" localSheetId="4">#REF!</definedName>
    <definedName name="Travel" localSheetId="5">#REF!</definedName>
    <definedName name="Travel" localSheetId="0">#REF!</definedName>
    <definedName name="Travel">#REF!</definedName>
    <definedName name="TRAY" localSheetId="4">#REF!</definedName>
    <definedName name="TRAY" localSheetId="5">#REF!</definedName>
    <definedName name="TRAY" localSheetId="0">#REF!</definedName>
    <definedName name="TRAY">#REF!</definedName>
    <definedName name="TRAY_PRICING" localSheetId="4">#REF!</definedName>
    <definedName name="TRAY_PRICING" localSheetId="5">#REF!</definedName>
    <definedName name="TRAY_PRICING" localSheetId="0">#REF!</definedName>
    <definedName name="TRAY_PRICING">#REF!</definedName>
    <definedName name="TRAY_TYPE" localSheetId="4">#REF!</definedName>
    <definedName name="TRAY_TYPE" localSheetId="0">#REF!</definedName>
    <definedName name="TRAY_TYPE">#REF!</definedName>
    <definedName name="Tray_Width" localSheetId="4">IF(VLOOKUP(#REF!,'Costo Directo'!TRAY_PRICING,2,FALSE)=0,0,VLOOKUP(#REF!,'Costo Directo'!TRAY_PRICING,2,FALSE))</definedName>
    <definedName name="Tray_Width" localSheetId="6">IF(VLOOKUP(#REF!,TRAY_PRICING,2,FALSE)=0,0,VLOOKUP(#REF!,TRAY_PRICING,2,FALSE))</definedName>
    <definedName name="Tray_Width" localSheetId="5">IF(VLOOKUP(#REF!,Producción!TRAY_PRICING,2,FALSE)=0,0,VLOOKUP(#REF!,Producción!TRAY_PRICING,2,FALSE))</definedName>
    <definedName name="Tray_Width" localSheetId="0">IF(VLOOKUP(#REF!,'Resumen Ejecutivo'!TRAY_PRICING,2,FALSE)=0,0,VLOOKUP(#REF!,'Resumen Ejecutivo'!TRAY_PRICING,2,FALSE))</definedName>
    <definedName name="Tray_Width">IF(VLOOKUP(#REF!,TRAY_PRICING,2,FALSE)=0,0,VLOOKUP(#REF!,TRAY_PRICING,2,FALSE))</definedName>
    <definedName name="Tray1_Width" localSheetId="4">IF(VLOOKUP(#REF!,'Costo Directo'!TRAY_PRICING,2,FALSE)=0,0,VLOOKUP(#REF!,'Costo Directo'!TRAY_PRICING,2,FALSE))</definedName>
    <definedName name="Tray1_Width" localSheetId="6">IF(VLOOKUP(#REF!,TRAY_PRICING,2,FALSE)=0,0,VLOOKUP(#REF!,TRAY_PRICING,2,FALSE))</definedName>
    <definedName name="Tray1_Width" localSheetId="5">IF(VLOOKUP(#REF!,Producción!TRAY_PRICING,2,FALSE)=0,0,VLOOKUP(#REF!,Producción!TRAY_PRICING,2,FALSE))</definedName>
    <definedName name="Tray1_Width" localSheetId="0">IF(VLOOKUP(#REF!,'Resumen Ejecutivo'!TRAY_PRICING,2,FALSE)=0,0,VLOOKUP(#REF!,'Resumen Ejecutivo'!TRAY_PRICING,2,FALSE))</definedName>
    <definedName name="Tray1_Width">IF(VLOOKUP(#REF!,TRAY_PRICING,2,FALSE)=0,0,VLOOKUP(#REF!,TRAY_PRICING,2,FALSE))</definedName>
    <definedName name="TRENCHES" localSheetId="4">#REF!</definedName>
    <definedName name="TRENCHES" localSheetId="5">#REF!</definedName>
    <definedName name="TRENCHES" localSheetId="0">#REF!</definedName>
    <definedName name="TRENCHES">#REF!</definedName>
    <definedName name="TRH" localSheetId="4">#REF!</definedName>
    <definedName name="TRH" localSheetId="5">#REF!</definedName>
    <definedName name="TRH" localSheetId="0">#REF!</definedName>
    <definedName name="TRH">#REF!</definedName>
    <definedName name="Tripulacion">1</definedName>
    <definedName name="TS">#N/A</definedName>
    <definedName name="TSC" localSheetId="4">#REF!</definedName>
    <definedName name="TSC" localSheetId="5">#REF!</definedName>
    <definedName name="TSC" localSheetId="0">#REF!</definedName>
    <definedName name="TSC">#REF!</definedName>
    <definedName name="TSD" localSheetId="4">#REF!</definedName>
    <definedName name="TSD" localSheetId="5">#REF!</definedName>
    <definedName name="TSD" localSheetId="0">#REF!</definedName>
    <definedName name="TSD">#REF!</definedName>
    <definedName name="TSK" localSheetId="4">#REF!</definedName>
    <definedName name="TSK" localSheetId="5">#REF!</definedName>
    <definedName name="TSK" localSheetId="0">#REF!</definedName>
    <definedName name="TSK">#REF!</definedName>
    <definedName name="TSRN1" localSheetId="4">#REF!</definedName>
    <definedName name="TSRN1" localSheetId="5">#REF!</definedName>
    <definedName name="TSRN1" localSheetId="0">#REF!</definedName>
    <definedName name="TSRN1">#REF!</definedName>
    <definedName name="TSRN2" localSheetId="4">#REF!</definedName>
    <definedName name="TSRN2" localSheetId="5">#REF!</definedName>
    <definedName name="TSRN2" localSheetId="0">#REF!</definedName>
    <definedName name="TSRN2">#REF!</definedName>
    <definedName name="TSS" localSheetId="4">#REF!</definedName>
    <definedName name="TSS" localSheetId="5">#REF!</definedName>
    <definedName name="TSS" localSheetId="0">#REF!</definedName>
    <definedName name="TSS">#REF!</definedName>
    <definedName name="TT" localSheetId="4" hidden="1">#REF!</definedName>
    <definedName name="TT" localSheetId="5" hidden="1">#REF!</definedName>
    <definedName name="TT" localSheetId="0" hidden="1">#REF!</definedName>
    <definedName name="TT" hidden="1">#REF!</definedName>
    <definedName name="TTT" localSheetId="4">#REF!</definedName>
    <definedName name="TTT" localSheetId="5">#REF!</definedName>
    <definedName name="TTT" localSheetId="0">#REF!</definedName>
    <definedName name="TTT">#REF!</definedName>
    <definedName name="tttttttttttttttttttttttt">#N/A</definedName>
    <definedName name="tube_test_press1_12" localSheetId="4">#REF!</definedName>
    <definedName name="tube_test_press1_12" localSheetId="5">#REF!</definedName>
    <definedName name="tube_test_press1_12" localSheetId="0">#REF!</definedName>
    <definedName name="tube_test_press1_12">#REF!</definedName>
    <definedName name="TUBED_INST" localSheetId="4">#REF!</definedName>
    <definedName name="TUBED_INST" localSheetId="5">#REF!</definedName>
    <definedName name="TUBED_INST" localSheetId="0">#REF!</definedName>
    <definedName name="TUBED_INST">#REF!</definedName>
    <definedName name="TUBE계획" localSheetId="4">#REF!</definedName>
    <definedName name="TUBE계획" localSheetId="5">#REF!</definedName>
    <definedName name="TUBE계획" localSheetId="0">#REF!</definedName>
    <definedName name="TUBE계획">#REF!</definedName>
    <definedName name="tuut" localSheetId="4" hidden="1">{#N/A,#N/A,FALSE,"masez (10)";#N/A,#N/A,FALSE,"masez (7)";#N/A,#N/A,FALSE,"masez (6)";#N/A,#N/A,FALSE,"masez (5)";#N/A,#N/A,FALSE,"masez (4)";#N/A,#N/A,FALSE,"masez (3)";#N/A,#N/A,FALSE,"masez (2)";#N/A,#N/A,FALSE,"GME";#N/A,#N/A,FALSE,"masez"}</definedName>
    <definedName name="tuut" localSheetId="5" hidden="1">{#N/A,#N/A,FALSE,"masez (10)";#N/A,#N/A,FALSE,"masez (7)";#N/A,#N/A,FALSE,"masez (6)";#N/A,#N/A,FALSE,"masez (5)";#N/A,#N/A,FALSE,"masez (4)";#N/A,#N/A,FALSE,"masez (3)";#N/A,#N/A,FALSE,"masez (2)";#N/A,#N/A,FALSE,"GME";#N/A,#N/A,FALSE,"masez"}</definedName>
    <definedName name="tuut" localSheetId="0" hidden="1">{#N/A,#N/A,FALSE,"masez (10)";#N/A,#N/A,FALSE,"masez (7)";#N/A,#N/A,FALSE,"masez (6)";#N/A,#N/A,FALSE,"masez (5)";#N/A,#N/A,FALSE,"masez (4)";#N/A,#N/A,FALSE,"masez (3)";#N/A,#N/A,FALSE,"masez (2)";#N/A,#N/A,FALSE,"GME";#N/A,#N/A,FALSE,"masez"}</definedName>
    <definedName name="tuut" hidden="1">{#N/A,#N/A,FALSE,"masez (10)";#N/A,#N/A,FALSE,"masez (7)";#N/A,#N/A,FALSE,"masez (6)";#N/A,#N/A,FALSE,"masez (5)";#N/A,#N/A,FALSE,"masez (4)";#N/A,#N/A,FALSE,"masez (3)";#N/A,#N/A,FALSE,"masez (2)";#N/A,#N/A,FALSE,"GME";#N/A,#N/A,FALSE,"masez"}</definedName>
    <definedName name="twardolany" localSheetId="4">#REF!</definedName>
    <definedName name="twardolany" localSheetId="5">#REF!</definedName>
    <definedName name="twardolany" localSheetId="0">#REF!</definedName>
    <definedName name="twardolany">#REF!</definedName>
    <definedName name="twosp" localSheetId="4">#REF!</definedName>
    <definedName name="twosp" localSheetId="5">#REF!</definedName>
    <definedName name="twosp" localSheetId="0">#REF!</definedName>
    <definedName name="twosp">#REF!</definedName>
    <definedName name="txtSheetTitle" localSheetId="4">#REF!</definedName>
    <definedName name="txtSheetTitle" localSheetId="5">#REF!</definedName>
    <definedName name="txtSheetTitle" localSheetId="0">#REF!</definedName>
    <definedName name="txtSheetTitle">#REF!</definedName>
    <definedName name="Tytuł" localSheetId="4">#REF!</definedName>
    <definedName name="Tytuł" localSheetId="5">#REF!</definedName>
    <definedName name="Tytuł" localSheetId="0">#REF!</definedName>
    <definedName name="Tytuł">#REF!</definedName>
    <definedName name="u" localSheetId="4">#REF!</definedName>
    <definedName name="u" localSheetId="5">#REF!</definedName>
    <definedName name="u" localSheetId="0">#REF!</definedName>
    <definedName name="u">#REF!</definedName>
    <definedName name="U_G" localSheetId="4">#REF!</definedName>
    <definedName name="U_G" localSheetId="5">#REF!</definedName>
    <definedName name="U_G" localSheetId="0">#REF!</definedName>
    <definedName name="U_G">#REF!</definedName>
    <definedName name="u_sto" localSheetId="4">#REF!</definedName>
    <definedName name="u_sto" localSheetId="5">#REF!</definedName>
    <definedName name="u_sto" localSheetId="0">#REF!</definedName>
    <definedName name="u_sto">#REF!</definedName>
    <definedName name="u_zal" localSheetId="4">#REF!</definedName>
    <definedName name="u_zal" localSheetId="5">#REF!</definedName>
    <definedName name="u_zal" localSheetId="0">#REF!</definedName>
    <definedName name="u_zal">#REF!</definedName>
    <definedName name="UBEZPIECZENIE">480/12</definedName>
    <definedName name="UC_Cultiv1">#REF!</definedName>
    <definedName name="UC_Cultiv1_SP" localSheetId="0">#REF!</definedName>
    <definedName name="UC_Cultiv1_SP">#REF!</definedName>
    <definedName name="UC_Cultiv2" localSheetId="0">#REF!</definedName>
    <definedName name="UC_Cultiv2">#REF!</definedName>
    <definedName name="UC_Cultiv2_SP" localSheetId="0">#REF!</definedName>
    <definedName name="UC_Cultiv2_SP">#REF!</definedName>
    <definedName name="UC_Cultiv3" localSheetId="0">#REF!</definedName>
    <definedName name="UC_Cultiv3">#REF!</definedName>
    <definedName name="UC_Cultiv3_SP" localSheetId="0">#REF!</definedName>
    <definedName name="UC_Cultiv3_SP">#REF!</definedName>
    <definedName name="UC_Cultiv4" localSheetId="4">#REF!</definedName>
    <definedName name="UC_Cultiv4" localSheetId="5">#REF!</definedName>
    <definedName name="UC_Cultiv4" localSheetId="0">#REF!</definedName>
    <definedName name="UC_Cultiv4">#REF!</definedName>
    <definedName name="UC_Cultiv4_SP" localSheetId="4">#REF!</definedName>
    <definedName name="UC_Cultiv4_SP" localSheetId="5">#REF!</definedName>
    <definedName name="UC_Cultiv4_SP" localSheetId="0">#REF!</definedName>
    <definedName name="UC_Cultiv4_SP">#REF!</definedName>
    <definedName name="UC_Cultiv5" localSheetId="0">#REF!</definedName>
    <definedName name="UC_Cultiv5">#REF!</definedName>
    <definedName name="UC_Cultiv5_SP" localSheetId="0">#REF!</definedName>
    <definedName name="UC_Cultiv5_SP">#REF!</definedName>
    <definedName name="UC_Mnhr" localSheetId="4">#REF!</definedName>
    <definedName name="UC_Mnhr" localSheetId="5">#REF!</definedName>
    <definedName name="UC_Mnhr" localSheetId="0">#REF!</definedName>
    <definedName name="UC_Mnhr">#REF!</definedName>
    <definedName name="uf" localSheetId="0">#REF!</definedName>
    <definedName name="uf">#REF!</definedName>
    <definedName name="uf_to_clp" localSheetId="4">#REF!</definedName>
    <definedName name="uf_to_clp" localSheetId="5">#REF!</definedName>
    <definedName name="uf_to_clp" localSheetId="0">#REF!</definedName>
    <definedName name="uf_to_clp">#REF!</definedName>
    <definedName name="UHrs_Civil" localSheetId="4">IF(VLOOKUP(#REF!,PRICE_CIVIL,9,FALSE)=0,0,VLOOKUP(#REF!,PRICE_CIVIL,9,FALSE))</definedName>
    <definedName name="UHrs_Civil" localSheetId="6">IF(VLOOKUP(#REF!,PRICE_CIVIL,9,FALSE)=0,0,VLOOKUP(#REF!,PRICE_CIVIL,9,FALSE))</definedName>
    <definedName name="UHrs_Civil" localSheetId="5">IF(VLOOKUP(#REF!,PRICE_CIVIL,9,FALSE)=0,0,VLOOKUP(#REF!,PRICE_CIVIL,9,FALSE))</definedName>
    <definedName name="UHrs_Civil" localSheetId="0">IF(VLOOKUP(#REF!,PRICE_CIVIL,9,FALSE)=0,0,VLOOKUP(#REF!,PRICE_CIVIL,9,FALSE))</definedName>
    <definedName name="UHrs_Civil">IF(VLOOKUP(#REF!,PRICE_CIVIL,9,FALSE)=0,0,VLOOKUP(#REF!,PRICE_CIVIL,9,FALSE))</definedName>
    <definedName name="Uhrs_Cntl_Valves" localSheetId="4">ROUND(IF(VLOOKUP(#REF!,'Costo Directo'!CNTL_VALVE_PRICE,12,FALSE)=0,0,VLOOKUP(#REF!,'Costo Directo'!CNTL_VALVE_PRICE,12,FALSE)),2)</definedName>
    <definedName name="Uhrs_Cntl_Valves" localSheetId="6">ROUND(IF(VLOOKUP(#REF!,CNTL_VALVE_PRICE,12,FALSE)=0,0,VLOOKUP(#REF!,CNTL_VALVE_PRICE,12,FALSE)),2)</definedName>
    <definedName name="Uhrs_Cntl_Valves" localSheetId="5">ROUND(IF(VLOOKUP(#REF!,CNTL_VALVE_PRICE,12,FALSE)=0,0,VLOOKUP(#REF!,CNTL_VALVE_PRICE,12,FALSE)),2)</definedName>
    <definedName name="Uhrs_Cntl_Valves" localSheetId="0">ROUND(IF(VLOOKUP(#REF!,'Resumen Ejecutivo'!CNTL_VALVE_PRICE,12,FALSE)=0,0,VLOOKUP(#REF!,'Resumen Ejecutivo'!CNTL_VALVE_PRICE,12,FALSE)),2)</definedName>
    <definedName name="Uhrs_Cntl_Valves">ROUND(IF(VLOOKUP(#REF!,CNTL_VALVE_PRICE,12,FALSE)=0,0,VLOOKUP(#REF!,CNTL_VALVE_PRICE,12,FALSE)),2)</definedName>
    <definedName name="UHrs_Conduit" localSheetId="4">IF(VLOOKUP(#REF!,'Costo Directo'!COND_PRICING,12,FALSE)=0,0,VLOOKUP(#REF!,'Costo Directo'!COND_PRICING,12,FALSE))</definedName>
    <definedName name="UHrs_Conduit" localSheetId="6">IF(VLOOKUP(#REF!,COND_PRICING,12,FALSE)=0,0,VLOOKUP(#REF!,COND_PRICING,12,FALSE))</definedName>
    <definedName name="UHrs_Conduit" localSheetId="5">IF(VLOOKUP(#REF!,COND_PRICING,12,FALSE)=0,0,VLOOKUP(#REF!,COND_PRICING,12,FALSE))</definedName>
    <definedName name="UHrs_Conduit" localSheetId="0">IF(VLOOKUP(#REF!,'Resumen Ejecutivo'!COND_PRICING,12,FALSE)=0,0,VLOOKUP(#REF!,'Resumen Ejecutivo'!COND_PRICING,12,FALSE))</definedName>
    <definedName name="UHrs_Conduit">IF(VLOOKUP(#REF!,COND_PRICING,12,FALSE)=0,0,VLOOKUP(#REF!,COND_PRICING,12,FALSE))</definedName>
    <definedName name="Uhrs_DB" localSheetId="4">IF(VLOOKUP(#REF!,'Costo Directo'!DB_PRICING,12,FALSE)=0,0,VLOOKUP(#REF!,'Costo Directo'!DB_PRICING,12,FALSE))</definedName>
    <definedName name="Uhrs_DB" localSheetId="6">IF(VLOOKUP(#REF!,DB_PRICING,12,FALSE)=0,0,VLOOKUP(#REF!,DB_PRICING,12,FALSE))</definedName>
    <definedName name="Uhrs_DB" localSheetId="5">IF(VLOOKUP(#REF!,Producción!DB_PRICING,12,FALSE)=0,0,VLOOKUP(#REF!,Producción!DB_PRICING,12,FALSE))</definedName>
    <definedName name="Uhrs_DB" localSheetId="0">IF(VLOOKUP(#REF!,'Resumen Ejecutivo'!DB_PRICING,12,FALSE)=0,0,VLOOKUP(#REF!,'Resumen Ejecutivo'!DB_PRICING,12,FALSE))</definedName>
    <definedName name="Uhrs_DB">IF(VLOOKUP(#REF!,DB_PRICING,12,FALSE)=0,0,VLOOKUP(#REF!,DB_PRICING,12,FALSE))</definedName>
    <definedName name="UHrs_MV_Cable" localSheetId="4">IF(VLOOKUP(#REF!,'Costo Directo'!CABLE_PRICING,10,FALSE)=0,0,VLOOKUP(#REF!,'Costo Directo'!CABLE_PRICING,10,FALSE))</definedName>
    <definedName name="UHrs_MV_Cable" localSheetId="6">IF(VLOOKUP(#REF!,CABLE_PRICING,10,FALSE)=0,0,VLOOKUP(#REF!,CABLE_PRICING,10,FALSE))</definedName>
    <definedName name="UHrs_MV_Cable" localSheetId="5">IF(VLOOKUP(#REF!,Producción!CABLE_PRICING,10,FALSE)=0,0,VLOOKUP(#REF!,Producción!CABLE_PRICING,10,FALSE))</definedName>
    <definedName name="UHrs_MV_Cable" localSheetId="0">IF(VLOOKUP(#REF!,'Resumen Ejecutivo'!CABLE_PRICING,10,FALSE)=0,0,VLOOKUP(#REF!,'Resumen Ejecutivo'!CABLE_PRICING,10,FALSE))</definedName>
    <definedName name="UHrs_MV_Cable">IF(VLOOKUP(#REF!,CABLE_PRICING,10,FALSE)=0,0,VLOOKUP(#REF!,CABLE_PRICING,10,FALSE))</definedName>
    <definedName name="UHrs_Other" localSheetId="4">IF(VLOOKUP(#REF!,'Costo Directo'!OTHER_PRICING,10,FALSE)=0,0,VLOOKUP(#REF!,'Costo Directo'!OTHER_PRICING,10,FALSE))</definedName>
    <definedName name="UHrs_Other" localSheetId="6">IF(VLOOKUP(#REF!,OTHER_PRICING,10,FALSE)=0,0,VLOOKUP(#REF!,OTHER_PRICING,10,FALSE))</definedName>
    <definedName name="UHrs_Other" localSheetId="5">IF(VLOOKUP(#REF!,Producción!OTHER_PRICING,10,FALSE)=0,0,VLOOKUP(#REF!,Producción!OTHER_PRICING,10,FALSE))</definedName>
    <definedName name="UHrs_Other" localSheetId="0">IF(VLOOKUP(#REF!,'Resumen Ejecutivo'!OTHER_PRICING,10,FALSE)=0,0,VLOOKUP(#REF!,'Resumen Ejecutivo'!OTHER_PRICING,10,FALSE))</definedName>
    <definedName name="UHrs_Other">IF(VLOOKUP(#REF!,OTHER_PRICING,10,FALSE)=0,0,VLOOKUP(#REF!,OTHER_PRICING,10,FALSE))</definedName>
    <definedName name="UHrs_tray" localSheetId="4">IF(VLOOKUP(#REF!,'Costo Directo'!TRAY_PRICING,14,FALSE)=0,0,VLOOKUP(#REF!,'Costo Directo'!TRAY_PRICING,14,FALSE))</definedName>
    <definedName name="UHrs_tray" localSheetId="6">IF(VLOOKUP(#REF!,TRAY_PRICING,14,FALSE)=0,0,VLOOKUP(#REF!,TRAY_PRICING,14,FALSE))</definedName>
    <definedName name="UHrs_tray" localSheetId="5">IF(VLOOKUP(#REF!,Producción!TRAY_PRICING,14,FALSE)=0,0,VLOOKUP(#REF!,Producción!TRAY_PRICING,14,FALSE))</definedName>
    <definedName name="UHrs_tray" localSheetId="0">IF(VLOOKUP(#REF!,'Resumen Ejecutivo'!TRAY_PRICING,14,FALSE)=0,0,VLOOKUP(#REF!,'Resumen Ejecutivo'!TRAY_PRICING,14,FALSE))</definedName>
    <definedName name="UHrs_tray">IF(VLOOKUP(#REF!,TRAY_PRICING,14,FALSE)=0,0,VLOOKUP(#REF!,TRAY_PRICING,14,FALSE))</definedName>
    <definedName name="Uhrs1_Civil" localSheetId="4">IF(VLOOKUP(#REF!,PRICE_CIVIL,9,FALSE)=0,0,VLOOKUP(#REF!,PRICE_CIVIL,9,FALSE))</definedName>
    <definedName name="Uhrs1_Civil" localSheetId="6">IF(VLOOKUP(#REF!,PRICE_CIVIL,9,FALSE)=0,0,VLOOKUP(#REF!,PRICE_CIVIL,9,FALSE))</definedName>
    <definedName name="Uhrs1_Civil" localSheetId="5">IF(VLOOKUP(#REF!,PRICE_CIVIL,9,FALSE)=0,0,VLOOKUP(#REF!,PRICE_CIVIL,9,FALSE))</definedName>
    <definedName name="Uhrs1_Civil" localSheetId="0">IF(VLOOKUP(#REF!,PRICE_CIVIL,9,FALSE)=0,0,VLOOKUP(#REF!,PRICE_CIVIL,9,FALSE))</definedName>
    <definedName name="Uhrs1_Civil">IF(VLOOKUP(#REF!,PRICE_CIVIL,9,FALSE)=0,0,VLOOKUP(#REF!,PRICE_CIVIL,9,FALSE))</definedName>
    <definedName name="UHrs1_Conduit" localSheetId="4">IF(VLOOKUP(#REF!,'Costo Directo'!COND_PRICING,10,FALSE)=0,0,VLOOKUP(#REF!,'Costo Directo'!COND_PRICING,10,FALSE))</definedName>
    <definedName name="UHrs1_Conduit" localSheetId="6">IF(VLOOKUP(#REF!,COND_PRICING,10,FALSE)=0,0,VLOOKUP(#REF!,COND_PRICING,10,FALSE))</definedName>
    <definedName name="UHrs1_Conduit" localSheetId="5">IF(VLOOKUP(#REF!,COND_PRICING,10,FALSE)=0,0,VLOOKUP(#REF!,COND_PRICING,10,FALSE))</definedName>
    <definedName name="UHrs1_Conduit" localSheetId="0">IF(VLOOKUP(#REF!,'Resumen Ejecutivo'!COND_PRICING,10,FALSE)=0,0,VLOOKUP(#REF!,'Resumen Ejecutivo'!COND_PRICING,10,FALSE))</definedName>
    <definedName name="UHrs1_Conduit">IF(VLOOKUP(#REF!,COND_PRICING,10,FALSE)=0,0,VLOOKUP(#REF!,COND_PRICING,10,FALSE))</definedName>
    <definedName name="UHrs1_MV_Cable" localSheetId="4">IF(VLOOKUP(#REF!,'Costo Directo'!CABLE_PRICING,10,FALSE)=0,0,VLOOKUP(#REF!,'Costo Directo'!CABLE_PRICING,10,FALSE))</definedName>
    <definedName name="UHrs1_MV_Cable" localSheetId="6">IF(VLOOKUP(#REF!,CABLE_PRICING,10,FALSE)=0,0,VLOOKUP(#REF!,CABLE_PRICING,10,FALSE))</definedName>
    <definedName name="UHrs1_MV_Cable" localSheetId="5">IF(VLOOKUP(#REF!,Producción!CABLE_PRICING,10,FALSE)=0,0,VLOOKUP(#REF!,Producción!CABLE_PRICING,10,FALSE))</definedName>
    <definedName name="UHrs1_MV_Cable" localSheetId="0">IF(VLOOKUP(#REF!,'Resumen Ejecutivo'!CABLE_PRICING,10,FALSE)=0,0,VLOOKUP(#REF!,'Resumen Ejecutivo'!CABLE_PRICING,10,FALSE))</definedName>
    <definedName name="UHrs1_MV_Cable">IF(VLOOKUP(#REF!,CABLE_PRICING,10,FALSE)=0,0,VLOOKUP(#REF!,CABLE_PRICING,10,FALSE))</definedName>
    <definedName name="UHrs1_Other" localSheetId="4">IF(VLOOKUP(#REF!,'Costo Directo'!OTHER_PRICING,10,FALSE)=0,0,VLOOKUP(#REF!,'Costo Directo'!OTHER_PRICING,10,FALSE))</definedName>
    <definedName name="UHrs1_Other" localSheetId="6">IF(VLOOKUP(#REF!,OTHER_PRICING,10,FALSE)=0,0,VLOOKUP(#REF!,OTHER_PRICING,10,FALSE))</definedName>
    <definedName name="UHrs1_Other" localSheetId="5">IF(VLOOKUP(#REF!,Producción!OTHER_PRICING,10,FALSE)=0,0,VLOOKUP(#REF!,Producción!OTHER_PRICING,10,FALSE))</definedName>
    <definedName name="UHrs1_Other" localSheetId="0">IF(VLOOKUP(#REF!,'Resumen Ejecutivo'!OTHER_PRICING,10,FALSE)=0,0,VLOOKUP(#REF!,'Resumen Ejecutivo'!OTHER_PRICING,10,FALSE))</definedName>
    <definedName name="UHrs1_Other">IF(VLOOKUP(#REF!,OTHER_PRICING,10,FALSE)=0,0,VLOOKUP(#REF!,OTHER_PRICING,10,FALSE))</definedName>
    <definedName name="UHrs1_tray" localSheetId="4">IF(VLOOKUP(#REF!,'Costo Directo'!TRAY_PRICING,12,FALSE)=0,0,VLOOKUP(#REF!,'Costo Directo'!TRAY_PRICING,12,FALSE))</definedName>
    <definedName name="UHrs1_tray" localSheetId="6">IF(VLOOKUP(#REF!,TRAY_PRICING,12,FALSE)=0,0,VLOOKUP(#REF!,TRAY_PRICING,12,FALSE))</definedName>
    <definedName name="UHrs1_tray" localSheetId="5">IF(VLOOKUP(#REF!,Producción!TRAY_PRICING,12,FALSE)=0,0,VLOOKUP(#REF!,Producción!TRAY_PRICING,12,FALSE))</definedName>
    <definedName name="UHrs1_tray" localSheetId="0">IF(VLOOKUP(#REF!,'Resumen Ejecutivo'!TRAY_PRICING,12,FALSE)=0,0,VLOOKUP(#REF!,'Resumen Ejecutivo'!TRAY_PRICING,12,FALSE))</definedName>
    <definedName name="UHrs1_tray">IF(VLOOKUP(#REF!,TRAY_PRICING,12,FALSE)=0,0,VLOOKUP(#REF!,TRAY_PRICING,12,FALSE))</definedName>
    <definedName name="uj" localSheetId="4" hidden="1">{#N/A,#N/A,FALSE,"SumG";#N/A,#N/A,FALSE,"ElecG";#N/A,#N/A,FALSE,"MechG";#N/A,#N/A,FALSE,"GeotG";#N/A,#N/A,FALSE,"PrcsG";#N/A,#N/A,FALSE,"TunnG";#N/A,#N/A,FALSE,"CivlG";#N/A,#N/A,FALSE,"NtwkG";#N/A,#N/A,FALSE,"EstgG";#N/A,#N/A,FALSE,"PEngG"}</definedName>
    <definedName name="uj" localSheetId="6" hidden="1">{#N/A,#N/A,FALSE,"SumG";#N/A,#N/A,FALSE,"ElecG";#N/A,#N/A,FALSE,"MechG";#N/A,#N/A,FALSE,"GeotG";#N/A,#N/A,FALSE,"PrcsG";#N/A,#N/A,FALSE,"TunnG";#N/A,#N/A,FALSE,"CivlG";#N/A,#N/A,FALSE,"NtwkG";#N/A,#N/A,FALSE,"EstgG";#N/A,#N/A,FALSE,"PEngG"}</definedName>
    <definedName name="uj" localSheetId="5" hidden="1">{#N/A,#N/A,FALSE,"SumG";#N/A,#N/A,FALSE,"ElecG";#N/A,#N/A,FALSE,"MechG";#N/A,#N/A,FALSE,"GeotG";#N/A,#N/A,FALSE,"PrcsG";#N/A,#N/A,FALSE,"TunnG";#N/A,#N/A,FALSE,"CivlG";#N/A,#N/A,FALSE,"NtwkG";#N/A,#N/A,FALSE,"EstgG";#N/A,#N/A,FALSE,"PEngG"}</definedName>
    <definedName name="uj" localSheetId="0"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k_in_uk">#REF!</definedName>
    <definedName name="ULD" localSheetId="4">#REF!</definedName>
    <definedName name="ULD" localSheetId="5">#REF!</definedName>
    <definedName name="ULD" localSheetId="0">#REF!</definedName>
    <definedName name="ULD">#REF!</definedName>
    <definedName name="UMatl_Civil" localSheetId="4">IF(VLOOKUP(#REF!,PRICE_CIVIL,7,FALSE)=0,0,VLOOKUP(#REF!,PRICE_CIVIL,7,FALSE))</definedName>
    <definedName name="UMatl_Civil" localSheetId="6">IF(VLOOKUP(#REF!,PRICE_CIVIL,7,FALSE)=0,0,VLOOKUP(#REF!,PRICE_CIVIL,7,FALSE))</definedName>
    <definedName name="UMatl_Civil" localSheetId="5">IF(VLOOKUP(#REF!,PRICE_CIVIL,7,FALSE)=0,0,VLOOKUP(#REF!,PRICE_CIVIL,7,FALSE))</definedName>
    <definedName name="UMatl_Civil" localSheetId="0">IF(VLOOKUP(#REF!,PRICE_CIVIL,7,FALSE)=0,0,VLOOKUP(#REF!,PRICE_CIVIL,7,FALSE))</definedName>
    <definedName name="UMatl_Civil">IF(VLOOKUP(#REF!,PRICE_CIVIL,7,FALSE)=0,0,VLOOKUP(#REF!,PRICE_CIVIL,7,FALSE))</definedName>
    <definedName name="UMatl_Cntl_Valves" localSheetId="4">ROUND(IF(VLOOKUP(#REF!,'Costo Directo'!CNTL_VALVE_PRICE,10,FALSE)=0,0,VLOOKUP(#REF!,'Costo Directo'!CNTL_VALVE_PRICE,10,FALSE)),-2)</definedName>
    <definedName name="UMatl_Cntl_Valves" localSheetId="6">ROUND(IF(VLOOKUP(#REF!,CNTL_VALVE_PRICE,10,FALSE)=0,0,VLOOKUP(#REF!,CNTL_VALVE_PRICE,10,FALSE)),-2)</definedName>
    <definedName name="UMatl_Cntl_Valves" localSheetId="5">ROUND(IF(VLOOKUP(#REF!,CNTL_VALVE_PRICE,10,FALSE)=0,0,VLOOKUP(#REF!,CNTL_VALVE_PRICE,10,FALSE)),-2)</definedName>
    <definedName name="UMatl_Cntl_Valves" localSheetId="0">ROUND(IF(VLOOKUP(#REF!,'Resumen Ejecutivo'!CNTL_VALVE_PRICE,10,FALSE)=0,0,VLOOKUP(#REF!,'Resumen Ejecutivo'!CNTL_VALVE_PRICE,10,FALSE)),-2)</definedName>
    <definedName name="UMatl_Cntl_Valves">ROUND(IF(VLOOKUP(#REF!,CNTL_VALVE_PRICE,10,FALSE)=0,0,VLOOKUP(#REF!,CNTL_VALVE_PRICE,10,FALSE)),-2)</definedName>
    <definedName name="UMatl_Conduit" localSheetId="4">IF(VLOOKUP(#REF!,'Costo Directo'!COND_PRICING,11,FALSE)=0,0,VLOOKUP(#REF!,'Costo Directo'!COND_PRICING,11,FALSE))</definedName>
    <definedName name="UMatl_Conduit" localSheetId="6">IF(VLOOKUP(#REF!,COND_PRICING,11,FALSE)=0,0,VLOOKUP(#REF!,COND_PRICING,11,FALSE))</definedName>
    <definedName name="UMatl_Conduit" localSheetId="5">IF(VLOOKUP(#REF!,COND_PRICING,11,FALSE)=0,0,VLOOKUP(#REF!,COND_PRICING,11,FALSE))</definedName>
    <definedName name="UMatl_Conduit" localSheetId="0">IF(VLOOKUP(#REF!,'Resumen Ejecutivo'!COND_PRICING,11,FALSE)=0,0,VLOOKUP(#REF!,'Resumen Ejecutivo'!COND_PRICING,11,FALSE))</definedName>
    <definedName name="UMatl_Conduit">IF(VLOOKUP(#REF!,COND_PRICING,11,FALSE)=0,0,VLOOKUP(#REF!,COND_PRICING,11,FALSE))</definedName>
    <definedName name="UMatl_DB" localSheetId="4">IF(VLOOKUP(#REF!,'Costo Directo'!DB_PRICING,11,FALSE)=0,0,VLOOKUP(#REF!,'Costo Directo'!DB_PRICING,11,FALSE))</definedName>
    <definedName name="UMatl_DB" localSheetId="6">IF(VLOOKUP(#REF!,DB_PRICING,11,FALSE)=0,0,VLOOKUP(#REF!,DB_PRICING,11,FALSE))</definedName>
    <definedName name="UMatl_DB" localSheetId="5">IF(VLOOKUP(#REF!,Producción!DB_PRICING,11,FALSE)=0,0,VLOOKUP(#REF!,Producción!DB_PRICING,11,FALSE))</definedName>
    <definedName name="UMatl_DB" localSheetId="0">IF(VLOOKUP(#REF!,'Resumen Ejecutivo'!DB_PRICING,11,FALSE)=0,0,VLOOKUP(#REF!,'Resumen Ejecutivo'!DB_PRICING,11,FALSE))</definedName>
    <definedName name="UMatl_DB">IF(VLOOKUP(#REF!,DB_PRICING,11,FALSE)=0,0,VLOOKUP(#REF!,DB_PRICING,11,FALSE))</definedName>
    <definedName name="UMatl_MV_Cable" localSheetId="4">IF(VLOOKUP(#REF!,'Costo Directo'!CABLE_PRICING,9,FALSE)=0,0,VLOOKUP(#REF!,'Costo Directo'!CABLE_PRICING,9,FALSE))</definedName>
    <definedName name="UMatl_MV_Cable" localSheetId="6">IF(VLOOKUP(#REF!,CABLE_PRICING,9,FALSE)=0,0,VLOOKUP(#REF!,CABLE_PRICING,9,FALSE))</definedName>
    <definedName name="UMatl_MV_Cable" localSheetId="5">IF(VLOOKUP(#REF!,Producción!CABLE_PRICING,9,FALSE)=0,0,VLOOKUP(#REF!,Producción!CABLE_PRICING,9,FALSE))</definedName>
    <definedName name="UMatl_MV_Cable" localSheetId="0">IF(VLOOKUP(#REF!,'Resumen Ejecutivo'!CABLE_PRICING,9,FALSE)=0,0,VLOOKUP(#REF!,'Resumen Ejecutivo'!CABLE_PRICING,9,FALSE))</definedName>
    <definedName name="UMatl_MV_Cable">IF(VLOOKUP(#REF!,CABLE_PRICING,9,FALSE)=0,0,VLOOKUP(#REF!,CABLE_PRICING,9,FALSE))</definedName>
    <definedName name="UMatl_Other" localSheetId="4">IF(VLOOKUP(#REF!,'Costo Directo'!OTHER_PRICING,9,FALSE)=0,0,VLOOKUP(#REF!,'Costo Directo'!OTHER_PRICING,9,FALSE))</definedName>
    <definedName name="UMatl_Other" localSheetId="6">IF(VLOOKUP(#REF!,OTHER_PRICING,9,FALSE)=0,0,VLOOKUP(#REF!,OTHER_PRICING,9,FALSE))</definedName>
    <definedName name="UMatl_Other" localSheetId="5">IF(VLOOKUP(#REF!,Producción!OTHER_PRICING,9,FALSE)=0,0,VLOOKUP(#REF!,Producción!OTHER_PRICING,9,FALSE))</definedName>
    <definedName name="UMatl_Other" localSheetId="0">IF(VLOOKUP(#REF!,'Resumen Ejecutivo'!OTHER_PRICING,9,FALSE)=0,0,VLOOKUP(#REF!,'Resumen Ejecutivo'!OTHER_PRICING,9,FALSE))</definedName>
    <definedName name="UMatl_Other">IF(VLOOKUP(#REF!,OTHER_PRICING,9,FALSE)=0,0,VLOOKUP(#REF!,OTHER_PRICING,9,FALSE))</definedName>
    <definedName name="UMatl_Tray" localSheetId="4">IF(VLOOKUP(#REF!,'Costo Directo'!TRAY_PRICING,13,FALSE)=0,0,VLOOKUP(#REF!,'Costo Directo'!TRAY_PRICING,13,FALSE))</definedName>
    <definedName name="UMatl_Tray" localSheetId="6">IF(VLOOKUP(#REF!,TRAY_PRICING,13,FALSE)=0,0,VLOOKUP(#REF!,TRAY_PRICING,13,FALSE))</definedName>
    <definedName name="UMatl_Tray" localSheetId="5">IF(VLOOKUP(#REF!,Producción!TRAY_PRICING,13,FALSE)=0,0,VLOOKUP(#REF!,Producción!TRAY_PRICING,13,FALSE))</definedName>
    <definedName name="UMatl_Tray" localSheetId="0">IF(VLOOKUP(#REF!,'Resumen Ejecutivo'!TRAY_PRICING,13,FALSE)=0,0,VLOOKUP(#REF!,'Resumen Ejecutivo'!TRAY_PRICING,13,FALSE))</definedName>
    <definedName name="UMatl_Tray">IF(VLOOKUP(#REF!,TRAY_PRICING,13,FALSE)=0,0,VLOOKUP(#REF!,TRAY_PRICING,13,FALSE))</definedName>
    <definedName name="UMatl1_Civil" localSheetId="4">IF(VLOOKUP(#REF!,PRICE_CIVIL,7,FALSE)=0,0,VLOOKUP(#REF!,PRICE_CIVIL,7,FALSE))</definedName>
    <definedName name="UMatl1_Civil" localSheetId="6">IF(VLOOKUP(#REF!,PRICE_CIVIL,7,FALSE)=0,0,VLOOKUP(#REF!,PRICE_CIVIL,7,FALSE))</definedName>
    <definedName name="UMatl1_Civil" localSheetId="5">IF(VLOOKUP(#REF!,PRICE_CIVIL,7,FALSE)=0,0,VLOOKUP(#REF!,PRICE_CIVIL,7,FALSE))</definedName>
    <definedName name="UMatl1_Civil" localSheetId="0">IF(VLOOKUP(#REF!,PRICE_CIVIL,7,FALSE)=0,0,VLOOKUP(#REF!,PRICE_CIVIL,7,FALSE))</definedName>
    <definedName name="UMatl1_Civil">IF(VLOOKUP(#REF!,PRICE_CIVIL,7,FALSE)=0,0,VLOOKUP(#REF!,PRICE_CIVIL,7,FALSE))</definedName>
    <definedName name="UMatl1_Conduit" localSheetId="4">IF(VLOOKUP(#REF!,'Costo Directo'!COND_PRICING,9,FALSE)=0,0,VLOOKUP(#REF!,'Costo Directo'!COND_PRICING,9,FALSE))</definedName>
    <definedName name="UMatl1_Conduit" localSheetId="6">IF(VLOOKUP(#REF!,COND_PRICING,9,FALSE)=0,0,VLOOKUP(#REF!,COND_PRICING,9,FALSE))</definedName>
    <definedName name="UMatl1_Conduit" localSheetId="5">IF(VLOOKUP(#REF!,COND_PRICING,9,FALSE)=0,0,VLOOKUP(#REF!,COND_PRICING,9,FALSE))</definedName>
    <definedName name="UMatl1_Conduit" localSheetId="0">IF(VLOOKUP(#REF!,'Resumen Ejecutivo'!COND_PRICING,9,FALSE)=0,0,VLOOKUP(#REF!,'Resumen Ejecutivo'!COND_PRICING,9,FALSE))</definedName>
    <definedName name="UMatl1_Conduit">IF(VLOOKUP(#REF!,COND_PRICING,9,FALSE)=0,0,VLOOKUP(#REF!,COND_PRICING,9,FALSE))</definedName>
    <definedName name="UMatl1_MV_Cable" localSheetId="4">IF(VLOOKUP(#REF!,'Costo Directo'!CABLE_PRICING,9,FALSE)=0,0,VLOOKUP(#REF!,'Costo Directo'!CABLE_PRICING,9,FALSE))</definedName>
    <definedName name="UMatl1_MV_Cable" localSheetId="6">IF(VLOOKUP(#REF!,CABLE_PRICING,9,FALSE)=0,0,VLOOKUP(#REF!,CABLE_PRICING,9,FALSE))</definedName>
    <definedName name="UMatl1_MV_Cable" localSheetId="5">IF(VLOOKUP(#REF!,Producción!CABLE_PRICING,9,FALSE)=0,0,VLOOKUP(#REF!,Producción!CABLE_PRICING,9,FALSE))</definedName>
    <definedName name="UMatl1_MV_Cable" localSheetId="0">IF(VLOOKUP(#REF!,'Resumen Ejecutivo'!CABLE_PRICING,9,FALSE)=0,0,VLOOKUP(#REF!,'Resumen Ejecutivo'!CABLE_PRICING,9,FALSE))</definedName>
    <definedName name="UMatl1_MV_Cable">IF(VLOOKUP(#REF!,CABLE_PRICING,9,FALSE)=0,0,VLOOKUP(#REF!,CABLE_PRICING,9,FALSE))</definedName>
    <definedName name="UMatl1_Other" localSheetId="4">IF(VLOOKUP(#REF!,'Costo Directo'!OTHER_PRICING,9,FALSE)=0,0,VLOOKUP(#REF!,'Costo Directo'!OTHER_PRICING,9,FALSE))</definedName>
    <definedName name="UMatl1_Other" localSheetId="6">IF(VLOOKUP(#REF!,OTHER_PRICING,9,FALSE)=0,0,VLOOKUP(#REF!,OTHER_PRICING,9,FALSE))</definedName>
    <definedName name="UMatl1_Other" localSheetId="5">IF(VLOOKUP(#REF!,Producción!OTHER_PRICING,9,FALSE)=0,0,VLOOKUP(#REF!,Producción!OTHER_PRICING,9,FALSE))</definedName>
    <definedName name="UMatl1_Other" localSheetId="0">IF(VLOOKUP(#REF!,'Resumen Ejecutivo'!OTHER_PRICING,9,FALSE)=0,0,VLOOKUP(#REF!,'Resumen Ejecutivo'!OTHER_PRICING,9,FALSE))</definedName>
    <definedName name="UMatl1_Other">IF(VLOOKUP(#REF!,OTHER_PRICING,9,FALSE)=0,0,VLOOKUP(#REF!,OTHER_PRICING,9,FALSE))</definedName>
    <definedName name="UMatl1_Tray" localSheetId="4">IF(VLOOKUP(#REF!,'Costo Directo'!TRAY_PRICING,11,FALSE)=0,0,VLOOKUP(#REF!,'Costo Directo'!TRAY_PRICING,11,FALSE))</definedName>
    <definedName name="UMatl1_Tray" localSheetId="6">IF(VLOOKUP(#REF!,TRAY_PRICING,11,FALSE)=0,0,VLOOKUP(#REF!,TRAY_PRICING,11,FALSE))</definedName>
    <definedName name="UMatl1_Tray" localSheetId="5">IF(VLOOKUP(#REF!,Producción!TRAY_PRICING,11,FALSE)=0,0,VLOOKUP(#REF!,Producción!TRAY_PRICING,11,FALSE))</definedName>
    <definedName name="UMatl1_Tray" localSheetId="0">IF(VLOOKUP(#REF!,'Resumen Ejecutivo'!TRAY_PRICING,11,FALSE)=0,0,VLOOKUP(#REF!,'Resumen Ejecutivo'!TRAY_PRICING,11,FALSE))</definedName>
    <definedName name="UMatl1_Tray">IF(VLOOKUP(#REF!,TRAY_PRICING,11,FALSE)=0,0,VLOOKUP(#REF!,TRAY_PRICING,11,FALSE))</definedName>
    <definedName name="umocnienie_rowu" localSheetId="4">#REF!</definedName>
    <definedName name="umocnienie_rowu" localSheetId="5">#REF!</definedName>
    <definedName name="umocnienie_rowu" localSheetId="0">#REF!</definedName>
    <definedName name="umocnienie_rowu">#REF!</definedName>
    <definedName name="Umocnienie_skarp">100</definedName>
    <definedName name="umocnienie_skarp_płytami_ażurowymi_m2" localSheetId="4">#REF!</definedName>
    <definedName name="umocnienie_skarp_płytami_ażurowymi_m2" localSheetId="5">#REF!</definedName>
    <definedName name="umocnienie_skarp_płytami_ażurowymi_m2" localSheetId="0">#REF!</definedName>
    <definedName name="umocnienie_skarp_płytami_ażurowymi_m2">#REF!</definedName>
    <definedName name="umocnienie_skarp_trylinką" localSheetId="4">#REF!</definedName>
    <definedName name="umocnienie_skarp_trylinką" localSheetId="5">#REF!</definedName>
    <definedName name="umocnienie_skarp_trylinką" localSheetId="0">#REF!</definedName>
    <definedName name="umocnienie_skarp_trylinką">#REF!</definedName>
    <definedName name="UNIDADES" localSheetId="4">#REF!</definedName>
    <definedName name="UNIDADES" localSheetId="5">#REF!</definedName>
    <definedName name="UNIDADES" localSheetId="0">#REF!</definedName>
    <definedName name="UNIDADES">#REF!</definedName>
    <definedName name="uniformat" localSheetId="4">#REF!</definedName>
    <definedName name="uniformat" localSheetId="0">#REF!</definedName>
    <definedName name="uniformat">#REF!</definedName>
    <definedName name="UNION" localSheetId="4">#REF!</definedName>
    <definedName name="UNION" localSheetId="0">#REF!</definedName>
    <definedName name="UNION">#REF!</definedName>
    <definedName name="unit" localSheetId="0">#REF!</definedName>
    <definedName name="unit">#REF!</definedName>
    <definedName name="UNIT1">#N/A</definedName>
    <definedName name="UnitName" localSheetId="4">#REF!</definedName>
    <definedName name="UnitName" localSheetId="5">#REF!</definedName>
    <definedName name="UnitName" localSheetId="0">#REF!</definedName>
    <definedName name="UnitName">#REF!</definedName>
    <definedName name="UOM" localSheetId="4">#REF!</definedName>
    <definedName name="UOM" localSheetId="5">#REF!</definedName>
    <definedName name="UOM" localSheetId="0">#REF!</definedName>
    <definedName name="UOM">#REF!</definedName>
    <definedName name="UPL22OS" localSheetId="4">#REF!</definedName>
    <definedName name="UPL22OS" localSheetId="5">#REF!</definedName>
    <definedName name="UPL22OS" localSheetId="0">#REF!</definedName>
    <definedName name="UPL22OS">#REF!</definedName>
    <definedName name="UPL22SK" localSheetId="4">#REF!</definedName>
    <definedName name="UPL22SK" localSheetId="0">#REF!</definedName>
    <definedName name="UPL22SK">#REF!</definedName>
    <definedName name="UPS22OS" localSheetId="4">#REF!</definedName>
    <definedName name="UPS22OS" localSheetId="0">#REF!</definedName>
    <definedName name="UPS22OS">#REF!</definedName>
    <definedName name="UPS22SK" localSheetId="4">#REF!</definedName>
    <definedName name="UPS22SK" localSheetId="0">#REF!</definedName>
    <definedName name="UPS22SK">#REF!</definedName>
    <definedName name="upust" localSheetId="4">#REF!</definedName>
    <definedName name="upust" localSheetId="0">#REF!</definedName>
    <definedName name="upust">#REF!</definedName>
    <definedName name="URZ">107888.08</definedName>
    <definedName name="us" localSheetId="4">#REF!</definedName>
    <definedName name="us" localSheetId="5">#REF!</definedName>
    <definedName name="us" localSheetId="0">#REF!</definedName>
    <definedName name="us">#REF!</definedName>
    <definedName name="US__lb_Cu" localSheetId="4">#REF!</definedName>
    <definedName name="US__lb_Cu" localSheetId="5">#REF!</definedName>
    <definedName name="US__lb_Cu" localSheetId="0">#REF!</definedName>
    <definedName name="US__lb_Cu">#REF!</definedName>
    <definedName name="US__t_ore" localSheetId="4">#REF!</definedName>
    <definedName name="US__t_ore" localSheetId="5">#REF!</definedName>
    <definedName name="US__t_ore" localSheetId="0">#REF!</definedName>
    <definedName name="US__t_ore">#REF!</definedName>
    <definedName name="US_C_Civil" localSheetId="4">IF(VLOOKUP(#REF!,PRICE_CIVIL,8,FALSE)=0,0,VLOOKUP(#REF!,PRICE_CIVIL,8,FALSE))</definedName>
    <definedName name="US_C_Civil" localSheetId="6">IF(VLOOKUP(#REF!,PRICE_CIVIL,8,FALSE)=0,0,VLOOKUP(#REF!,PRICE_CIVIL,8,FALSE))</definedName>
    <definedName name="US_C_Civil" localSheetId="5">IF(VLOOKUP(#REF!,PRICE_CIVIL,8,FALSE)=0,0,VLOOKUP(#REF!,PRICE_CIVIL,8,FALSE))</definedName>
    <definedName name="US_C_Civil" localSheetId="0">IF(VLOOKUP(#REF!,PRICE_CIVIL,8,FALSE)=0,0,VLOOKUP(#REF!,PRICE_CIVIL,8,FALSE))</definedName>
    <definedName name="US_C_Civil">IF(VLOOKUP(#REF!,PRICE_CIVIL,8,FALSE)=0,0,VLOOKUP(#REF!,PRICE_CIVIL,8,FALSE))</definedName>
    <definedName name="US_C1_Civil" localSheetId="4">IF(VLOOKUP(#REF!,PRICE_CIVIL,8)=0,0,VLOOKUP(#REF!,PRICE_CIVIL,8))</definedName>
    <definedName name="US_C1_Civil" localSheetId="6">IF(VLOOKUP(#REF!,PRICE_CIVIL,8)=0,0,VLOOKUP(#REF!,PRICE_CIVIL,8))</definedName>
    <definedName name="US_C1_Civil" localSheetId="5">IF(VLOOKUP(#REF!,PRICE_CIVIL,8)=0,0,VLOOKUP(#REF!,PRICE_CIVIL,8))</definedName>
    <definedName name="US_C1_Civil" localSheetId="0">IF(VLOOKUP(#REF!,PRICE_CIVIL,8)=0,0,VLOOKUP(#REF!,PRICE_CIVIL,8))</definedName>
    <definedName name="US_C1_Civil">IF(VLOOKUP(#REF!,PRICE_CIVIL,8)=0,0,VLOOKUP(#REF!,PRICE_CIVIL,8))</definedName>
    <definedName name="USBANK">360/12</definedName>
    <definedName name="USC_Cntl_Valves" localSheetId="4">ROUND(IF(VLOOKUP(#REF!,'Costo Directo'!CNTL_VALVE_PRICE,11,FALSE)=0,0,VLOOKUP(#REF!,'Costo Directo'!CNTL_VALVE_PRICE,11,FALSE)),0)</definedName>
    <definedName name="USC_Cntl_Valves" localSheetId="6">ROUND(IF(VLOOKUP(#REF!,CNTL_VALVE_PRICE,11,FALSE)=0,0,VLOOKUP(#REF!,CNTL_VALVE_PRICE,11,FALSE)),0)</definedName>
    <definedName name="USC_Cntl_Valves" localSheetId="5">ROUND(IF(VLOOKUP(#REF!,CNTL_VALVE_PRICE,11,FALSE)=0,0,VLOOKUP(#REF!,CNTL_VALVE_PRICE,11,FALSE)),0)</definedName>
    <definedName name="USC_Cntl_Valves" localSheetId="0">ROUND(IF(VLOOKUP(#REF!,'Resumen Ejecutivo'!CNTL_VALVE_PRICE,11,FALSE)=0,0,VLOOKUP(#REF!,'Resumen Ejecutivo'!CNTL_VALVE_PRICE,11,FALSE)),0)</definedName>
    <definedName name="USC_Cntl_Valves">ROUND(IF(VLOOKUP(#REF!,CNTL_VALVE_PRICE,11,FALSE)=0,0,VLOOKUP(#REF!,CNTL_VALVE_PRICE,11,FALSE)),0)</definedName>
    <definedName name="USC_Conduit" localSheetId="4">ROUND(IF(VLOOKUP(#REF!,'Costo Directo'!COND_PRICING,19,FALSE)=0,0,VLOOKUP(#REF!,'Costo Directo'!COND_PRICING,19,FALSE)),0)</definedName>
    <definedName name="USC_Conduit" localSheetId="6">ROUND(IF(VLOOKUP(#REF!,COND_PRICING,19,FALSE)=0,0,VLOOKUP(#REF!,COND_PRICING,19,FALSE)),0)</definedName>
    <definedName name="USC_Conduit" localSheetId="5">ROUND(IF(VLOOKUP(#REF!,COND_PRICING,19,FALSE)=0,0,VLOOKUP(#REF!,COND_PRICING,19,FALSE)),0)</definedName>
    <definedName name="USC_Conduit" localSheetId="0">ROUND(IF(VLOOKUP(#REF!,'Resumen Ejecutivo'!COND_PRICING,19,FALSE)=0,0,VLOOKUP(#REF!,'Resumen Ejecutivo'!COND_PRICING,19,FALSE)),0)</definedName>
    <definedName name="USC_Conduit">ROUND(IF(VLOOKUP(#REF!,COND_PRICING,19,FALSE)=0,0,VLOOKUP(#REF!,COND_PRICING,19,FALSE)),0)</definedName>
    <definedName name="USC_DB" localSheetId="4">ROUND(IF(VLOOKUP(#REF!,'Costo Directo'!DB_PRICING,17,FALSE)=0,0,VLOOKUP(#REF!,'Costo Directo'!DB_PRICING,17,FALSE)),0)</definedName>
    <definedName name="USC_DB" localSheetId="6">ROUND(IF(VLOOKUP(#REF!,DB_PRICING,17,FALSE)=0,0,VLOOKUP(#REF!,DB_PRICING,17,FALSE)),0)</definedName>
    <definedName name="USC_DB" localSheetId="5">ROUND(IF(VLOOKUP(#REF!,Producción!DB_PRICING,17,FALSE)=0,0,VLOOKUP(#REF!,Producción!DB_PRICING,17,FALSE)),0)</definedName>
    <definedName name="USC_DB" localSheetId="0">ROUND(IF(VLOOKUP(#REF!,'Resumen Ejecutivo'!DB_PRICING,17,FALSE)=0,0,VLOOKUP(#REF!,'Resumen Ejecutivo'!DB_PRICING,17,FALSE)),0)</definedName>
    <definedName name="USC_DB">ROUND(IF(VLOOKUP(#REF!,DB_PRICING,17,FALSE)=0,0,VLOOKUP(#REF!,DB_PRICING,17,FALSE)),0)</definedName>
    <definedName name="USC_MV_Cable" localSheetId="4">ROUND(IF(VLOOKUP(#REF!,'Costo Directo'!CABLE_PRICING,15,FALSE)=0,0,VLOOKUP(#REF!,'Costo Directo'!CABLE_PRICING,15,FALSE)),0)</definedName>
    <definedName name="USC_MV_Cable" localSheetId="6">ROUND(IF(VLOOKUP(#REF!,CABLE_PRICING,15,FALSE)=0,0,VLOOKUP(#REF!,CABLE_PRICING,15,FALSE)),0)</definedName>
    <definedName name="USC_MV_Cable" localSheetId="5">ROUND(IF(VLOOKUP(#REF!,Producción!CABLE_PRICING,15,FALSE)=0,0,VLOOKUP(#REF!,Producción!CABLE_PRICING,15,FALSE)),0)</definedName>
    <definedName name="USC_MV_Cable" localSheetId="0">ROUND(IF(VLOOKUP(#REF!,'Resumen Ejecutivo'!CABLE_PRICING,15,FALSE)=0,0,VLOOKUP(#REF!,'Resumen Ejecutivo'!CABLE_PRICING,15,FALSE)),0)</definedName>
    <definedName name="USC_MV_Cable">ROUND(IF(VLOOKUP(#REF!,CABLE_PRICING,15,FALSE)=0,0,VLOOKUP(#REF!,CABLE_PRICING,15,FALSE)),0)</definedName>
    <definedName name="USC_Other" localSheetId="4">ROUND(IF(VLOOKUP(#REF!,'Costo Directo'!OTHER_PRICING,15,FALSE)=0,0,VLOOKUP(#REF!,'Costo Directo'!OTHER_PRICING,15,FALSE)),0)</definedName>
    <definedName name="USC_Other" localSheetId="6">ROUND(IF(VLOOKUP(#REF!,OTHER_PRICING,15,FALSE)=0,0,VLOOKUP(#REF!,OTHER_PRICING,15,FALSE)),0)</definedName>
    <definedName name="USC_Other" localSheetId="5">ROUND(IF(VLOOKUP(#REF!,Producción!OTHER_PRICING,15,FALSE)=0,0,VLOOKUP(#REF!,Producción!OTHER_PRICING,15,FALSE)),0)</definedName>
    <definedName name="USC_Other" localSheetId="0">ROUND(IF(VLOOKUP(#REF!,'Resumen Ejecutivo'!OTHER_PRICING,15,FALSE)=0,0,VLOOKUP(#REF!,'Resumen Ejecutivo'!OTHER_PRICING,15,FALSE)),0)</definedName>
    <definedName name="USC_Other">ROUND(IF(VLOOKUP(#REF!,OTHER_PRICING,15,FALSE)=0,0,VLOOKUP(#REF!,OTHER_PRICING,15,FALSE)),0)</definedName>
    <definedName name="USC_Tray" localSheetId="4">ROUND(IF(VLOOKUP(#REF!,'Costo Directo'!TRAY_PRICING,21,FALSE)=0,0,VLOOKUP(#REF!,'Costo Directo'!TRAY_PRICING,21,FALSE)),0)</definedName>
    <definedName name="USC_Tray" localSheetId="6">ROUND(IF(VLOOKUP(#REF!,TRAY_PRICING,21,FALSE)=0,0,VLOOKUP(#REF!,TRAY_PRICING,21,FALSE)),0)</definedName>
    <definedName name="USC_Tray" localSheetId="5">ROUND(IF(VLOOKUP(#REF!,Producción!TRAY_PRICING,21,FALSE)=0,0,VLOOKUP(#REF!,Producción!TRAY_PRICING,21,FALSE)),0)</definedName>
    <definedName name="USC_Tray" localSheetId="0">ROUND(IF(VLOOKUP(#REF!,'Resumen Ejecutivo'!TRAY_PRICING,21,FALSE)=0,0,VLOOKUP(#REF!,'Resumen Ejecutivo'!TRAY_PRICING,21,FALSE)),0)</definedName>
    <definedName name="USC_Tray">ROUND(IF(VLOOKUP(#REF!,TRAY_PRICING,21,FALSE)=0,0,VLOOKUP(#REF!,TRAY_PRICING,21,FALSE)),0)</definedName>
    <definedName name="USC1_Conduit" localSheetId="4">ROUND(IF(VLOOKUP(#REF!,'Costo Directo'!COND_PRICING,15,FALSE)=0,0,VLOOKUP(#REF!,'Costo Directo'!COND_PRICING,15,FALSE)),0)</definedName>
    <definedName name="USC1_Conduit" localSheetId="6">ROUND(IF(VLOOKUP(#REF!,COND_PRICING,15,FALSE)=0,0,VLOOKUP(#REF!,COND_PRICING,15,FALSE)),0)</definedName>
    <definedName name="USC1_Conduit" localSheetId="5">ROUND(IF(VLOOKUP(#REF!,COND_PRICING,15,FALSE)=0,0,VLOOKUP(#REF!,COND_PRICING,15,FALSE)),0)</definedName>
    <definedName name="USC1_Conduit" localSheetId="0">ROUND(IF(VLOOKUP(#REF!,'Resumen Ejecutivo'!COND_PRICING,15,FALSE)=0,0,VLOOKUP(#REF!,'Resumen Ejecutivo'!COND_PRICING,15,FALSE)),0)</definedName>
    <definedName name="USC1_Conduit">ROUND(IF(VLOOKUP(#REF!,COND_PRICING,15,FALSE)=0,0,VLOOKUP(#REF!,COND_PRICING,15,FALSE)),0)</definedName>
    <definedName name="USC1_MV_Cable" localSheetId="4">ROUND(IF(VLOOKUP(#REF!,'Costo Directo'!CABLE_PRICING,15,FALSE)=0,0,VLOOKUP(#REF!,'Costo Directo'!CABLE_PRICING,15,FALSE)),0)</definedName>
    <definedName name="USC1_MV_Cable" localSheetId="6">ROUND(IF(VLOOKUP(#REF!,CABLE_PRICING,15,FALSE)=0,0,VLOOKUP(#REF!,CABLE_PRICING,15,FALSE)),0)</definedName>
    <definedName name="USC1_MV_Cable" localSheetId="5">ROUND(IF(VLOOKUP(#REF!,Producción!CABLE_PRICING,15,FALSE)=0,0,VLOOKUP(#REF!,Producción!CABLE_PRICING,15,FALSE)),0)</definedName>
    <definedName name="USC1_MV_Cable" localSheetId="0">ROUND(IF(VLOOKUP(#REF!,'Resumen Ejecutivo'!CABLE_PRICING,15,FALSE)=0,0,VLOOKUP(#REF!,'Resumen Ejecutivo'!CABLE_PRICING,15,FALSE)),0)</definedName>
    <definedName name="USC1_MV_Cable">ROUND(IF(VLOOKUP(#REF!,CABLE_PRICING,15,FALSE)=0,0,VLOOKUP(#REF!,CABLE_PRICING,15,FALSE)),0)</definedName>
    <definedName name="USC1_Other" localSheetId="4">ROUND(IF(VLOOKUP(#REF!,'Costo Directo'!OTHER_PRICING,15,FALSE)=0,0,VLOOKUP(#REF!,'Costo Directo'!OTHER_PRICING,15,FALSE)),0)</definedName>
    <definedName name="USC1_Other" localSheetId="6">ROUND(IF(VLOOKUP(#REF!,OTHER_PRICING,15,FALSE)=0,0,VLOOKUP(#REF!,OTHER_PRICING,15,FALSE)),0)</definedName>
    <definedName name="USC1_Other" localSheetId="5">ROUND(IF(VLOOKUP(#REF!,Producción!OTHER_PRICING,15,FALSE)=0,0,VLOOKUP(#REF!,Producción!OTHER_PRICING,15,FALSE)),0)</definedName>
    <definedName name="USC1_Other" localSheetId="0">ROUND(IF(VLOOKUP(#REF!,'Resumen Ejecutivo'!OTHER_PRICING,15,FALSE)=0,0,VLOOKUP(#REF!,'Resumen Ejecutivo'!OTHER_PRICING,15,FALSE)),0)</definedName>
    <definedName name="USC1_Other">ROUND(IF(VLOOKUP(#REF!,OTHER_PRICING,15,FALSE)=0,0,VLOOKUP(#REF!,OTHER_PRICING,15,FALSE)),0)</definedName>
    <definedName name="USC1_Tray" localSheetId="4">ROUND(IF(VLOOKUP(#REF!,'Costo Directo'!TRAY_PRICING,17,FALSE)=0,0,VLOOKUP(#REF!,'Costo Directo'!TRAY_PRICING,17,FALSE)),0)</definedName>
    <definedName name="USC1_Tray" localSheetId="6">ROUND(IF(VLOOKUP(#REF!,TRAY_PRICING,17,FALSE)=0,0,VLOOKUP(#REF!,TRAY_PRICING,17,FALSE)),0)</definedName>
    <definedName name="USC1_Tray" localSheetId="5">ROUND(IF(VLOOKUP(#REF!,Producción!TRAY_PRICING,17,FALSE)=0,0,VLOOKUP(#REF!,Producción!TRAY_PRICING,17,FALSE)),0)</definedName>
    <definedName name="USC1_Tray" localSheetId="0">ROUND(IF(VLOOKUP(#REF!,'Resumen Ejecutivo'!TRAY_PRICING,17,FALSE)=0,0,VLOOKUP(#REF!,'Resumen Ejecutivo'!TRAY_PRICING,17,FALSE)),0)</definedName>
    <definedName name="USC1_Tray">ROUND(IF(VLOOKUP(#REF!,TRAY_PRICING,17,FALSE)=0,0,VLOOKUP(#REF!,TRAY_PRICING,17,FALSE)),0)</definedName>
    <definedName name="USCHrs_Civil" localSheetId="4">IF(VLOOKUP(#REF!,PRICE_CIVIL,10,FALSE)=0,0,VLOOKUP(#REF!,PRICE_CIVIL,10,FALSE))</definedName>
    <definedName name="USCHrs_Civil" localSheetId="6">IF(VLOOKUP(#REF!,PRICE_CIVIL,10,FALSE)=0,0,VLOOKUP(#REF!,PRICE_CIVIL,10,FALSE))</definedName>
    <definedName name="USCHrs_Civil" localSheetId="5">IF(VLOOKUP(#REF!,PRICE_CIVIL,10,FALSE)=0,0,VLOOKUP(#REF!,PRICE_CIVIL,10,FALSE))</definedName>
    <definedName name="USCHrs_Civil" localSheetId="0">IF(VLOOKUP(#REF!,PRICE_CIVIL,10,FALSE)=0,0,VLOOKUP(#REF!,PRICE_CIVIL,10,FALSE))</definedName>
    <definedName name="USCHrs_Civil">IF(VLOOKUP(#REF!,PRICE_CIVIL,10,FALSE)=0,0,VLOOKUP(#REF!,PRICE_CIVIL,10,FALSE))</definedName>
    <definedName name="USChrs_Cntl_Valves" localSheetId="4">ROUND(IF(VLOOKUP(#REF!,'Costo Directo'!CNTL_VALVE_PRICE,13,FALSE)=0,0,VLOOKUP(#REF!,'Costo Directo'!CNTL_VALVE_PRICE,13,FALSE)),2)</definedName>
    <definedName name="USChrs_Cntl_Valves" localSheetId="6">ROUND(IF(VLOOKUP(#REF!,CNTL_VALVE_PRICE,13,FALSE)=0,0,VLOOKUP(#REF!,CNTL_VALVE_PRICE,13,FALSE)),2)</definedName>
    <definedName name="USChrs_Cntl_Valves" localSheetId="5">ROUND(IF(VLOOKUP(#REF!,CNTL_VALVE_PRICE,13,FALSE)=0,0,VLOOKUP(#REF!,CNTL_VALVE_PRICE,13,FALSE)),2)</definedName>
    <definedName name="USChrs_Cntl_Valves" localSheetId="0">ROUND(IF(VLOOKUP(#REF!,'Resumen Ejecutivo'!CNTL_VALVE_PRICE,13,FALSE)=0,0,VLOOKUP(#REF!,'Resumen Ejecutivo'!CNTL_VALVE_PRICE,13,FALSE)),2)</definedName>
    <definedName name="USChrs_Cntl_Valves">ROUND(IF(VLOOKUP(#REF!,CNTL_VALVE_PRICE,13,FALSE)=0,0,VLOOKUP(#REF!,CNTL_VALVE_PRICE,13,FALSE)),2)</definedName>
    <definedName name="USChrs_Conduit" localSheetId="4">IF(VLOOKUP(#REF!,'Costo Directo'!COND_PRICING,18,FALSE)=0,0,VLOOKUP(#REF!,'Costo Directo'!COND_PRICING,18,FALSE))</definedName>
    <definedName name="USChrs_Conduit" localSheetId="6">IF(VLOOKUP(#REF!,COND_PRICING,18,FALSE)=0,0,VLOOKUP(#REF!,COND_PRICING,18,FALSE))</definedName>
    <definedName name="USChrs_Conduit" localSheetId="5">IF(VLOOKUP(#REF!,COND_PRICING,18,FALSE)=0,0,VLOOKUP(#REF!,COND_PRICING,18,FALSE))</definedName>
    <definedName name="USChrs_Conduit" localSheetId="0">IF(VLOOKUP(#REF!,'Resumen Ejecutivo'!COND_PRICING,18,FALSE)=0,0,VLOOKUP(#REF!,'Resumen Ejecutivo'!COND_PRICING,18,FALSE))</definedName>
    <definedName name="USChrs_Conduit">IF(VLOOKUP(#REF!,COND_PRICING,18,FALSE)=0,0,VLOOKUP(#REF!,COND_PRICING,18,FALSE))</definedName>
    <definedName name="USChrs_DB" localSheetId="4">ROUND(IF(VLOOKUP(#REF!,'Costo Directo'!DB_PRICING,18,FALSE)=0,0,VLOOKUP(#REF!,'Costo Directo'!DB_PRICING,18,FALSE)),2)</definedName>
    <definedName name="USChrs_DB" localSheetId="6">ROUND(IF(VLOOKUP(#REF!,DB_PRICING,18,FALSE)=0,0,VLOOKUP(#REF!,DB_PRICING,18,FALSE)),2)</definedName>
    <definedName name="USChrs_DB" localSheetId="5">ROUND(IF(VLOOKUP(#REF!,Producción!DB_PRICING,18,FALSE)=0,0,VLOOKUP(#REF!,Producción!DB_PRICING,18,FALSE)),2)</definedName>
    <definedName name="USChrs_DB" localSheetId="0">ROUND(IF(VLOOKUP(#REF!,'Resumen Ejecutivo'!DB_PRICING,18,FALSE)=0,0,VLOOKUP(#REF!,'Resumen Ejecutivo'!DB_PRICING,18,FALSE)),2)</definedName>
    <definedName name="USChrs_DB">ROUND(IF(VLOOKUP(#REF!,DB_PRICING,18,FALSE)=0,0,VLOOKUP(#REF!,DB_PRICING,18,FALSE)),2)</definedName>
    <definedName name="USChrs_MV_Cable" localSheetId="4">IF(VLOOKUP(#REF!,'Costo Directo'!CABLE_PRICING,16,FALSE)=0,0,VLOOKUP(#REF!,'Costo Directo'!CABLE_PRICING,16,FALSE))</definedName>
    <definedName name="USChrs_MV_Cable" localSheetId="6">IF(VLOOKUP(#REF!,CABLE_PRICING,16,FALSE)=0,0,VLOOKUP(#REF!,CABLE_PRICING,16,FALSE))</definedName>
    <definedName name="USChrs_MV_Cable" localSheetId="5">IF(VLOOKUP(#REF!,Producción!CABLE_PRICING,16,FALSE)=0,0,VLOOKUP(#REF!,Producción!CABLE_PRICING,16,FALSE))</definedName>
    <definedName name="USChrs_MV_Cable" localSheetId="0">IF(VLOOKUP(#REF!,'Resumen Ejecutivo'!CABLE_PRICING,16,FALSE)=0,0,VLOOKUP(#REF!,'Resumen Ejecutivo'!CABLE_PRICING,16,FALSE))</definedName>
    <definedName name="USChrs_MV_Cable">IF(VLOOKUP(#REF!,CABLE_PRICING,16,FALSE)=0,0,VLOOKUP(#REF!,CABLE_PRICING,16,FALSE))</definedName>
    <definedName name="USChrs_Other" localSheetId="4">IF(VLOOKUP(#REF!,'Costo Directo'!OTHER_PRICING,16,FALSE)=0,0,VLOOKUP(#REF!,'Costo Directo'!OTHER_PRICING,16,FALSE))</definedName>
    <definedName name="USChrs_Other" localSheetId="6">IF(VLOOKUP(#REF!,OTHER_PRICING,16,FALSE)=0,0,VLOOKUP(#REF!,OTHER_PRICING,16,FALSE))</definedName>
    <definedName name="USChrs_Other" localSheetId="5">IF(VLOOKUP(#REF!,Producción!OTHER_PRICING,16,FALSE)=0,0,VLOOKUP(#REF!,Producción!OTHER_PRICING,16,FALSE))</definedName>
    <definedName name="USChrs_Other" localSheetId="0">IF(VLOOKUP(#REF!,'Resumen Ejecutivo'!OTHER_PRICING,16,FALSE)=0,0,VLOOKUP(#REF!,'Resumen Ejecutivo'!OTHER_PRICING,16,FALSE))</definedName>
    <definedName name="USChrs_Other">IF(VLOOKUP(#REF!,OTHER_PRICING,16,FALSE)=0,0,VLOOKUP(#REF!,OTHER_PRICING,16,FALSE))</definedName>
    <definedName name="USChrs_tray" localSheetId="4">IF(VLOOKUP(#REF!,'Costo Directo'!TRAY_PRICING,20,FALSE)=0,0,VLOOKUP(#REF!,'Costo Directo'!TRAY_PRICING,20,FALSE))</definedName>
    <definedName name="USChrs_tray" localSheetId="6">IF(VLOOKUP(#REF!,TRAY_PRICING,20,FALSE)=0,0,VLOOKUP(#REF!,TRAY_PRICING,20,FALSE))</definedName>
    <definedName name="USChrs_tray" localSheetId="5">IF(VLOOKUP(#REF!,Producción!TRAY_PRICING,20,FALSE)=0,0,VLOOKUP(#REF!,Producción!TRAY_PRICING,20,FALSE))</definedName>
    <definedName name="USChrs_tray" localSheetId="0">IF(VLOOKUP(#REF!,'Resumen Ejecutivo'!TRAY_PRICING,20,FALSE)=0,0,VLOOKUP(#REF!,'Resumen Ejecutivo'!TRAY_PRICING,20,FALSE))</definedName>
    <definedName name="USChrs_tray">IF(VLOOKUP(#REF!,TRAY_PRICING,20,FALSE)=0,0,VLOOKUP(#REF!,TRAY_PRICING,20,FALSE))</definedName>
    <definedName name="USChrs1_Civil" localSheetId="4">IF(VLOOKUP(#REF!,PRICE_CIVIL,10,FALSE)=0,0,VLOOKUP(#REF!,PRICE_CIVIL,10,FALSE))</definedName>
    <definedName name="USChrs1_Civil" localSheetId="6">IF(VLOOKUP(#REF!,PRICE_CIVIL,10,FALSE)=0,0,VLOOKUP(#REF!,PRICE_CIVIL,10,FALSE))</definedName>
    <definedName name="USChrs1_Civil" localSheetId="5">IF(VLOOKUP(#REF!,PRICE_CIVIL,10,FALSE)=0,0,VLOOKUP(#REF!,PRICE_CIVIL,10,FALSE))</definedName>
    <definedName name="USChrs1_Civil" localSheetId="0">IF(VLOOKUP(#REF!,PRICE_CIVIL,10,FALSE)=0,0,VLOOKUP(#REF!,PRICE_CIVIL,10,FALSE))</definedName>
    <definedName name="USChrs1_Civil">IF(VLOOKUP(#REF!,PRICE_CIVIL,10,FALSE)=0,0,VLOOKUP(#REF!,PRICE_CIVIL,10,FALSE))</definedName>
    <definedName name="USChrs1_Conduit" localSheetId="4">IF(VLOOKUP(#REF!,'Costo Directo'!COND_PRICING,16,FALSE)=0,0,VLOOKUP(#REF!,'Costo Directo'!COND_PRICING,16,FALSE))</definedName>
    <definedName name="USChrs1_Conduit" localSheetId="6">IF(VLOOKUP(#REF!,COND_PRICING,16,FALSE)=0,0,VLOOKUP(#REF!,COND_PRICING,16,FALSE))</definedName>
    <definedName name="USChrs1_Conduit" localSheetId="5">IF(VLOOKUP(#REF!,COND_PRICING,16,FALSE)=0,0,VLOOKUP(#REF!,COND_PRICING,16,FALSE))</definedName>
    <definedName name="USChrs1_Conduit" localSheetId="0">IF(VLOOKUP(#REF!,'Resumen Ejecutivo'!COND_PRICING,16,FALSE)=0,0,VLOOKUP(#REF!,'Resumen Ejecutivo'!COND_PRICING,16,FALSE))</definedName>
    <definedName name="USChrs1_Conduit">IF(VLOOKUP(#REF!,COND_PRICING,16,FALSE)=0,0,VLOOKUP(#REF!,COND_PRICING,16,FALSE))</definedName>
    <definedName name="USChrs1_MV_Cable" localSheetId="4">IF(VLOOKUP(#REF!,'Costo Directo'!CABLE_PRICING,16,FALSE)=0,0,VLOOKUP(#REF!,'Costo Directo'!CABLE_PRICING,16,FALSE))</definedName>
    <definedName name="USChrs1_MV_Cable" localSheetId="6">IF(VLOOKUP(#REF!,CABLE_PRICING,16,FALSE)=0,0,VLOOKUP(#REF!,CABLE_PRICING,16,FALSE))</definedName>
    <definedName name="USChrs1_MV_Cable" localSheetId="5">IF(VLOOKUP(#REF!,Producción!CABLE_PRICING,16,FALSE)=0,0,VLOOKUP(#REF!,Producción!CABLE_PRICING,16,FALSE))</definedName>
    <definedName name="USChrs1_MV_Cable" localSheetId="0">IF(VLOOKUP(#REF!,'Resumen Ejecutivo'!CABLE_PRICING,16,FALSE)=0,0,VLOOKUP(#REF!,'Resumen Ejecutivo'!CABLE_PRICING,16,FALSE))</definedName>
    <definedName name="USChrs1_MV_Cable">IF(VLOOKUP(#REF!,CABLE_PRICING,16,FALSE)=0,0,VLOOKUP(#REF!,CABLE_PRICING,16,FALSE))</definedName>
    <definedName name="USChrs1_Other" localSheetId="4">IF(VLOOKUP(#REF!,'Costo Directo'!OTHER_PRICING,16,FALSE)=0,0,VLOOKUP(#REF!,'Costo Directo'!OTHER_PRICING,16,FALSE))</definedName>
    <definedName name="USChrs1_Other" localSheetId="6">IF(VLOOKUP(#REF!,OTHER_PRICING,16,FALSE)=0,0,VLOOKUP(#REF!,OTHER_PRICING,16,FALSE))</definedName>
    <definedName name="USChrs1_Other" localSheetId="5">IF(VLOOKUP(#REF!,Producción!OTHER_PRICING,16,FALSE)=0,0,VLOOKUP(#REF!,Producción!OTHER_PRICING,16,FALSE))</definedName>
    <definedName name="USChrs1_Other" localSheetId="0">IF(VLOOKUP(#REF!,'Resumen Ejecutivo'!OTHER_PRICING,16,FALSE)=0,0,VLOOKUP(#REF!,'Resumen Ejecutivo'!OTHER_PRICING,16,FALSE))</definedName>
    <definedName name="USChrs1_Other">IF(VLOOKUP(#REF!,OTHER_PRICING,16,FALSE)=0,0,VLOOKUP(#REF!,OTHER_PRICING,16,FALSE))</definedName>
    <definedName name="USChrs1_tray" localSheetId="4">IF(VLOOKUP(#REF!,'Costo Directo'!TRAY_PRICING,18,FALSE)=0,0,VLOOKUP(#REF!,'Costo Directo'!TRAY_PRICING,18,FALSE))</definedName>
    <definedName name="USChrs1_tray" localSheetId="6">IF(VLOOKUP(#REF!,TRAY_PRICING,18,FALSE)=0,0,VLOOKUP(#REF!,TRAY_PRICING,18,FALSE))</definedName>
    <definedName name="USChrs1_tray" localSheetId="5">IF(VLOOKUP(#REF!,Producción!TRAY_PRICING,18,FALSE)=0,0,VLOOKUP(#REF!,Producción!TRAY_PRICING,18,FALSE))</definedName>
    <definedName name="USChrs1_tray" localSheetId="0">IF(VLOOKUP(#REF!,'Resumen Ejecutivo'!TRAY_PRICING,18,FALSE)=0,0,VLOOKUP(#REF!,'Resumen Ejecutivo'!TRAY_PRICING,18,FALSE))</definedName>
    <definedName name="USChrs1_tray">IF(VLOOKUP(#REF!,TRAY_PRICING,18,FALSE)=0,0,VLOOKUP(#REF!,TRAY_PRICING,18,FALSE))</definedName>
    <definedName name="usd" localSheetId="4">#REF!</definedName>
    <definedName name="usd" localSheetId="5">#REF!</definedName>
    <definedName name="usd" localSheetId="0">#REF!</definedName>
    <definedName name="usd">#REF!</definedName>
    <definedName name="usd." localSheetId="4">#REF!</definedName>
    <definedName name="usd." localSheetId="5">#REF!</definedName>
    <definedName name="usd." localSheetId="0">#REF!</definedName>
    <definedName name="usd.">#REF!</definedName>
    <definedName name="usd_to_clp" localSheetId="4">#REF!</definedName>
    <definedName name="usd_to_clp" localSheetId="5">#REF!</definedName>
    <definedName name="usd_to_clp" localSheetId="0">#REF!</definedName>
    <definedName name="usd_to_clp">#REF!</definedName>
    <definedName name="Use_Outsourcing" localSheetId="0">#REF!</definedName>
    <definedName name="Use_Outsourcing">#REF!</definedName>
    <definedName name="usługa" localSheetId="4">#REF!</definedName>
    <definedName name="usługa" localSheetId="5">#REF!</definedName>
    <definedName name="usługa" localSheetId="0">#REF!</definedName>
    <definedName name="usługa">#REF!</definedName>
    <definedName name="USOBIN">2400/12</definedName>
    <definedName name="USTELECOM">220000/11*1.15</definedName>
    <definedName name="USTROJ">#REF!</definedName>
    <definedName name="Uszczelnienia_kitem">100</definedName>
    <definedName name="uu">#REF!</definedName>
    <definedName name="uuu" localSheetId="4">#REF!</definedName>
    <definedName name="uuu" localSheetId="5">#REF!</definedName>
    <definedName name="uuu" localSheetId="0">#REF!</definedName>
    <definedName name="uuu">#REF!</definedName>
    <definedName name="uuuuuuuuuuuu" localSheetId="4">#REF!</definedName>
    <definedName name="uuuuuuuuuuuu" localSheetId="5">#REF!</definedName>
    <definedName name="uuuuuuuuuuuu" localSheetId="0">#REF!</definedName>
    <definedName name="uuuuuuuuuuuu">#REF!</definedName>
    <definedName name="uuuuuuuuuuuuuu" localSheetId="4">#REF!</definedName>
    <definedName name="uuuuuuuuuuuuuu" localSheetId="5">#REF!</definedName>
    <definedName name="uuuuuuuuuuuuuu" localSheetId="0">#REF!</definedName>
    <definedName name="uuuuuuuuuuuuuu">#REF!</definedName>
    <definedName name="uywrsdg" localSheetId="4">#REF!</definedName>
    <definedName name="uywrsdg" localSheetId="0">#REF!</definedName>
    <definedName name="uywrsdg">#REF!</definedName>
    <definedName name="V" localSheetId="4">#REF!</definedName>
    <definedName name="V" localSheetId="5">#REF!</definedName>
    <definedName name="V" localSheetId="0">#REF!</definedName>
    <definedName name="V">#REF!</definedName>
    <definedName name="VAL_ALM" localSheetId="4">#REF!</definedName>
    <definedName name="VAL_ALM" localSheetId="5">#REF!</definedName>
    <definedName name="VAL_ALM" localSheetId="0">#REF!</definedName>
    <definedName name="VAL_ALM">#REF!</definedName>
    <definedName name="VALOR_ESP" localSheetId="4">#REF!</definedName>
    <definedName name="VALOR_ESP" localSheetId="5">#REF!</definedName>
    <definedName name="VALOR_ESP" localSheetId="0">#REF!</definedName>
    <definedName name="VALOR_ESP">#REF!</definedName>
    <definedName name="VALOR_HH" localSheetId="4">#REF!</definedName>
    <definedName name="VALOR_HH" localSheetId="5">#REF!</definedName>
    <definedName name="VALOR_HH" localSheetId="0">#REF!</definedName>
    <definedName name="VALOR_HH">#REF!</definedName>
    <definedName name="VALOR_RESIDUAL" localSheetId="4">#REF!</definedName>
    <definedName name="VALOR_RESIDUAL" localSheetId="0">#REF!</definedName>
    <definedName name="VALOR_RESIDUAL">#REF!</definedName>
    <definedName name="Values_Entered" localSheetId="4">IF('Costo Directo'!Loan_Amount*'Costo Directo'!Interest_Rate*'Costo Directo'!Loan_Years*'Costo Directo'!Loan_Start&gt;0,1,0)</definedName>
    <definedName name="Values_Entered" localSheetId="6">IF(Loan_Amount*Interest_Rate*Loan_Years*Loan_Start&gt;0,1,0)</definedName>
    <definedName name="Values_Entered" localSheetId="5">IF(Producción!Loan_Amount*Producción!Interest_Rate*Loan_Years*Producción!Loan_Start&gt;0,1,0)</definedName>
    <definedName name="Values_Entered" localSheetId="0">IF('Resumen Ejecutivo'!Loan_Amount*'Resumen Ejecutivo'!Interest_Rate*'Resumen Ejecutivo'!Loan_Years*'Resumen Ejecutivo'!Loan_Start&gt;0,1,0)</definedName>
    <definedName name="Values_Entered">IF(Loan_Amount*Interest_Rate*Loan_Years*Loan_Start&gt;0,1,0)</definedName>
    <definedName name="VALVE" localSheetId="4">#REF!</definedName>
    <definedName name="VALVE" localSheetId="6">#REF!</definedName>
    <definedName name="VALVE" localSheetId="5">#REF!</definedName>
    <definedName name="VALVE" localSheetId="0">#REF!</definedName>
    <definedName name="VALVE">#REF!</definedName>
    <definedName name="VANai" localSheetId="4">#REF!</definedName>
    <definedName name="VANai" localSheetId="5">#REF!</definedName>
    <definedName name="VANai" localSheetId="0">#REF!</definedName>
    <definedName name="VANai">#REF!</definedName>
    <definedName name="VANdi" localSheetId="4">#REF!</definedName>
    <definedName name="VANdi" localSheetId="5">#REF!</definedName>
    <definedName name="VANdi" localSheetId="0">#REF!</definedName>
    <definedName name="VANdi">#REF!</definedName>
    <definedName name="Variation" localSheetId="4" hidden="1">{#N/A,#N/A,FALSE,"SumD";#N/A,#N/A,FALSE,"ElecD";#N/A,#N/A,FALSE,"MechD";#N/A,#N/A,FALSE,"GeotD";#N/A,#N/A,FALSE,"PrcsD";#N/A,#N/A,FALSE,"TunnD";#N/A,#N/A,FALSE,"CivlD";#N/A,#N/A,FALSE,"NtwkD";#N/A,#N/A,FALSE,"EstgD";#N/A,#N/A,FALSE,"PEngD"}</definedName>
    <definedName name="Variation" localSheetId="6" hidden="1">{#N/A,#N/A,FALSE,"SumD";#N/A,#N/A,FALSE,"ElecD";#N/A,#N/A,FALSE,"MechD";#N/A,#N/A,FALSE,"GeotD";#N/A,#N/A,FALSE,"PrcsD";#N/A,#N/A,FALSE,"TunnD";#N/A,#N/A,FALSE,"CivlD";#N/A,#N/A,FALSE,"NtwkD";#N/A,#N/A,FALSE,"EstgD";#N/A,#N/A,FALSE,"PEngD"}</definedName>
    <definedName name="Variation" localSheetId="5" hidden="1">{#N/A,#N/A,FALSE,"SumD";#N/A,#N/A,FALSE,"ElecD";#N/A,#N/A,FALSE,"MechD";#N/A,#N/A,FALSE,"GeotD";#N/A,#N/A,FALSE,"PrcsD";#N/A,#N/A,FALSE,"TunnD";#N/A,#N/A,FALSE,"CivlD";#N/A,#N/A,FALSE,"NtwkD";#N/A,#N/A,FALSE,"EstgD";#N/A,#N/A,FALSE,"PEngD"}</definedName>
    <definedName name="Variation" localSheetId="0"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AT">1.23</definedName>
    <definedName name="VCD" localSheetId="4">#REF!</definedName>
    <definedName name="VCD" localSheetId="5">#REF!</definedName>
    <definedName name="VCD" localSheetId="0">#REF!</definedName>
    <definedName name="VCD">#REF!</definedName>
    <definedName name="VCXNVJHKKLYJ" localSheetId="4" hidden="1">{#N/A,#N/A,FALSE,"masez (10)";#N/A,#N/A,FALSE,"masez (7)";#N/A,#N/A,FALSE,"masez (6)";#N/A,#N/A,FALSE,"masez (5)";#N/A,#N/A,FALSE,"masez (4)";#N/A,#N/A,FALSE,"masez (3)";#N/A,#N/A,FALSE,"masez (2)";#N/A,#N/A,FALSE,"GME";#N/A,#N/A,FALSE,"masez"}</definedName>
    <definedName name="VCXNVJHKKLYJ" localSheetId="5" hidden="1">{#N/A,#N/A,FALSE,"masez (10)";#N/A,#N/A,FALSE,"masez (7)";#N/A,#N/A,FALSE,"masez (6)";#N/A,#N/A,FALSE,"masez (5)";#N/A,#N/A,FALSE,"masez (4)";#N/A,#N/A,FALSE,"masez (3)";#N/A,#N/A,FALSE,"masez (2)";#N/A,#N/A,FALSE,"GME";#N/A,#N/A,FALSE,"masez"}</definedName>
    <definedName name="VCXNVJHKKLYJ" localSheetId="0" hidden="1">{#N/A,#N/A,FALSE,"masez (10)";#N/A,#N/A,FALSE,"masez (7)";#N/A,#N/A,FALSE,"masez (6)";#N/A,#N/A,FALSE,"masez (5)";#N/A,#N/A,FALSE,"masez (4)";#N/A,#N/A,FALSE,"masez (3)";#N/A,#N/A,FALSE,"masez (2)";#N/A,#N/A,FALSE,"GME";#N/A,#N/A,FALSE,"masez"}</definedName>
    <definedName name="VCXNVJHKKLYJ" hidden="1">{#N/A,#N/A,FALSE,"masez (10)";#N/A,#N/A,FALSE,"masez (7)";#N/A,#N/A,FALSE,"masez (6)";#N/A,#N/A,FALSE,"masez (5)";#N/A,#N/A,FALSE,"masez (4)";#N/A,#N/A,FALSE,"masez (3)";#N/A,#N/A,FALSE,"masez (2)";#N/A,#N/A,FALSE,"GME";#N/A,#N/A,FALSE,"masez"}</definedName>
    <definedName name="Vendor">#REF!</definedName>
    <definedName name="VentasAcum" localSheetId="0">#REF!</definedName>
    <definedName name="VentasAcum">#REF!</definedName>
    <definedName name="VentasMens" localSheetId="0">#REF!</definedName>
    <definedName name="VentasMens">#REF!</definedName>
    <definedName name="VI" localSheetId="4">#REF!</definedName>
    <definedName name="VI" localSheetId="5">#REF!</definedName>
    <definedName name="VI" localSheetId="0">#REF!</definedName>
    <definedName name="VI">#REF!</definedName>
    <definedName name="VIEW" localSheetId="4">#REF!</definedName>
    <definedName name="VIEW" localSheetId="5">#REF!</definedName>
    <definedName name="VIEW" localSheetId="0">#REF!</definedName>
    <definedName name="VIEW">#REF!</definedName>
    <definedName name="VII" localSheetId="4">#REF!</definedName>
    <definedName name="VII" localSheetId="5">#REF!</definedName>
    <definedName name="VII" localSheetId="0">#REF!</definedName>
    <definedName name="VII">#REF!</definedName>
    <definedName name="VIII" localSheetId="4">#REF!</definedName>
    <definedName name="VIII" localSheetId="5">#REF!</definedName>
    <definedName name="VIII" localSheetId="0">#REF!</definedName>
    <definedName name="VIII">#REF!</definedName>
    <definedName name="viio" localSheetId="4" hidden="1">{#N/A,#N/A,FALSE,"masez (10)";#N/A,#N/A,FALSE,"masez (7)";#N/A,#N/A,FALSE,"masez (6)";#N/A,#N/A,FALSE,"masez (5)";#N/A,#N/A,FALSE,"masez (4)";#N/A,#N/A,FALSE,"masez (3)";#N/A,#N/A,FALSE,"masez (2)";#N/A,#N/A,FALSE,"GME";#N/A,#N/A,FALSE,"masez"}</definedName>
    <definedName name="viio" localSheetId="5" hidden="1">{#N/A,#N/A,FALSE,"masez (10)";#N/A,#N/A,FALSE,"masez (7)";#N/A,#N/A,FALSE,"masez (6)";#N/A,#N/A,FALSE,"masez (5)";#N/A,#N/A,FALSE,"masez (4)";#N/A,#N/A,FALSE,"masez (3)";#N/A,#N/A,FALSE,"masez (2)";#N/A,#N/A,FALSE,"GME";#N/A,#N/A,FALSE,"masez"}</definedName>
    <definedName name="viio" localSheetId="0" hidden="1">{#N/A,#N/A,FALSE,"masez (10)";#N/A,#N/A,FALSE,"masez (7)";#N/A,#N/A,FALSE,"masez (6)";#N/A,#N/A,FALSE,"masez (5)";#N/A,#N/A,FALSE,"masez (4)";#N/A,#N/A,FALSE,"masez (3)";#N/A,#N/A,FALSE,"masez (2)";#N/A,#N/A,FALSE,"GME";#N/A,#N/A,FALSE,"masez"}</definedName>
    <definedName name="viio" hidden="1">{#N/A,#N/A,FALSE,"masez (10)";#N/A,#N/A,FALSE,"masez (7)";#N/A,#N/A,FALSE,"masez (6)";#N/A,#N/A,FALSE,"masez (5)";#N/A,#N/A,FALSE,"masez (4)";#N/A,#N/A,FALSE,"masez (3)";#N/A,#N/A,FALSE,"masez (2)";#N/A,#N/A,FALSE,"GME";#N/A,#N/A,FALSE,"masez"}</definedName>
    <definedName name="VisionTech">1</definedName>
    <definedName name="viuda" localSheetId="4" hidden="1">#REF!</definedName>
    <definedName name="viuda" localSheetId="0" hidden="1">#REF!</definedName>
    <definedName name="viuda" hidden="1">#REF!</definedName>
    <definedName name="VLV_DESUP_HTRS" localSheetId="4">#REF!</definedName>
    <definedName name="VLV_DESUP_HTRS" localSheetId="5">#REF!</definedName>
    <definedName name="VLV_DESUP_HTRS" localSheetId="0">#REF!</definedName>
    <definedName name="VLV_DESUP_HTRS">#REF!</definedName>
    <definedName name="VOLUMI" localSheetId="4">#REF!</definedName>
    <definedName name="VOLUMI" localSheetId="5">#REF!</definedName>
    <definedName name="VOLUMI" localSheetId="0">#REF!</definedName>
    <definedName name="VOLUMI">#REF!</definedName>
    <definedName name="vv" localSheetId="4" hidden="1">{#N/A,#N/A,FALSE,"SumD";#N/A,#N/A,FALSE,"ElecD";#N/A,#N/A,FALSE,"MechD";#N/A,#N/A,FALSE,"GeotD";#N/A,#N/A,FALSE,"PrcsD";#N/A,#N/A,FALSE,"TunnD";#N/A,#N/A,FALSE,"CivlD";#N/A,#N/A,FALSE,"NtwkD";#N/A,#N/A,FALSE,"EstgD";#N/A,#N/A,FALSE,"PEngD"}</definedName>
    <definedName name="vv" localSheetId="6" hidden="1">{#N/A,#N/A,FALSE,"SumD";#N/A,#N/A,FALSE,"ElecD";#N/A,#N/A,FALSE,"MechD";#N/A,#N/A,FALSE,"GeotD";#N/A,#N/A,FALSE,"PrcsD";#N/A,#N/A,FALSE,"TunnD";#N/A,#N/A,FALSE,"CivlD";#N/A,#N/A,FALSE,"NtwkD";#N/A,#N/A,FALSE,"EstgD";#N/A,#N/A,FALSE,"PEngD"}</definedName>
    <definedName name="vv" localSheetId="5" hidden="1">{#N/A,#N/A,FALSE,"SumD";#N/A,#N/A,FALSE,"ElecD";#N/A,#N/A,FALSE,"MechD";#N/A,#N/A,FALSE,"GeotD";#N/A,#N/A,FALSE,"PrcsD";#N/A,#N/A,FALSE,"TunnD";#N/A,#N/A,FALSE,"CivlD";#N/A,#N/A,FALSE,"NtwkD";#N/A,#N/A,FALSE,"EstgD";#N/A,#N/A,FALSE,"PEngD"}</definedName>
    <definedName name="vv" localSheetId="0"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w" localSheetId="4" hidden="1">#REF!</definedName>
    <definedName name="w" localSheetId="0" hidden="1">#REF!</definedName>
    <definedName name="w" hidden="1">#REF!</definedName>
    <definedName name="wageEscalation">0.02</definedName>
    <definedName name="waluta">#REF!</definedName>
    <definedName name="Waluta_kontraktu" localSheetId="4">#REF!</definedName>
    <definedName name="Waluta_kontraktu" localSheetId="5">#REF!</definedName>
    <definedName name="Waluta_kontraktu" localSheetId="0">#REF!</definedName>
    <definedName name="Waluta_kontraktu">#REF!</definedName>
    <definedName name="WALUTA_ZAKUPU" localSheetId="4">#REF!</definedName>
    <definedName name="WALUTA_ZAKUPU" localSheetId="5">#REF!</definedName>
    <definedName name="WALUTA_ZAKUPU" localSheetId="0">#REF!</definedName>
    <definedName name="WALUTA_ZAKUPU">#REF!</definedName>
    <definedName name="WAR" localSheetId="4">#REF!</definedName>
    <definedName name="WAR" localSheetId="5">#REF!</definedName>
    <definedName name="WAR" localSheetId="0">#REF!</definedName>
    <definedName name="WAR">#REF!</definedName>
    <definedName name="war_kon">"$BUDŻET_wykończenie.$#ODWOŁANIE!$#ODWOŁANIE!"</definedName>
    <definedName name="wariant" localSheetId="4">#REF!</definedName>
    <definedName name="wariant" localSheetId="5">#REF!</definedName>
    <definedName name="wariant" localSheetId="0">#REF!</definedName>
    <definedName name="wariant">#REF!</definedName>
    <definedName name="warstwa" localSheetId="4">#REF!</definedName>
    <definedName name="warstwa" localSheetId="5">#REF!</definedName>
    <definedName name="warstwa" localSheetId="0">#REF!</definedName>
    <definedName name="warstwa">#REF!</definedName>
    <definedName name="Warstwa_filtracyjna" localSheetId="4">#REF!</definedName>
    <definedName name="Warstwa_filtracyjna" localSheetId="5">#REF!</definedName>
    <definedName name="Warstwa_filtracyjna" localSheetId="0">#REF!</definedName>
    <definedName name="Warstwa_filtracyjna">#REF!</definedName>
    <definedName name="Wartość_całkowita">"$#ODWOŁANIE!.$D$166"</definedName>
    <definedName name="Wartość_całkowita___0">"$#ODWOŁANIE!.$D$370"</definedName>
    <definedName name="Wartość_całkowita___1">"$#ODWOŁANIE!.$D$102"</definedName>
    <definedName name="WARTOŚĆ_PROJEKTU" localSheetId="4">#REF!</definedName>
    <definedName name="WARTOŚĆ_PROJEKTU" localSheetId="5">#REF!</definedName>
    <definedName name="WARTOŚĆ_PROJEKTU" localSheetId="0">#REF!</definedName>
    <definedName name="WARTOŚĆ_PROJEKTU">#REF!</definedName>
    <definedName name="WASTE_FACTOR" localSheetId="4">#REF!</definedName>
    <definedName name="WASTE_FACTOR" localSheetId="5">#REF!</definedName>
    <definedName name="WASTE_FACTOR" localSheetId="0">#REF!</definedName>
    <definedName name="WASTE_FACTOR">#REF!</definedName>
    <definedName name="WATER_ANAL_SYS" localSheetId="4">#REF!</definedName>
    <definedName name="WATER_ANAL_SYS" localSheetId="5">#REF!</definedName>
    <definedName name="WATER_ANAL_SYS" localSheetId="0">#REF!</definedName>
    <definedName name="WATER_ANAL_SYS">#REF!</definedName>
    <definedName name="WBE_1" localSheetId="0">#REF!</definedName>
    <definedName name="WBE_1">#REF!</definedName>
    <definedName name="WBE_13" localSheetId="0">#REF!</definedName>
    <definedName name="WBE_13">#REF!</definedName>
    <definedName name="WBE_14" localSheetId="0">#REF!</definedName>
    <definedName name="WBE_14">#REF!</definedName>
    <definedName name="WBE_15" localSheetId="0">#REF!</definedName>
    <definedName name="WBE_15">#REF!</definedName>
    <definedName name="WBE_16" localSheetId="0">#REF!</definedName>
    <definedName name="WBE_16">#REF!</definedName>
    <definedName name="WBE_17" localSheetId="0">#REF!</definedName>
    <definedName name="WBE_17">#REF!</definedName>
    <definedName name="WBE_2" localSheetId="0">#REF!</definedName>
    <definedName name="WBE_2">#REF!</definedName>
    <definedName name="WBE_3" localSheetId="0">#REF!</definedName>
    <definedName name="WBE_3">#REF!</definedName>
    <definedName name="WBE_4" localSheetId="0">#REF!</definedName>
    <definedName name="WBE_4">#REF!</definedName>
    <definedName name="WBE_5" localSheetId="0">#REF!</definedName>
    <definedName name="WBE_5">#REF!</definedName>
    <definedName name="WBE_6" localSheetId="0">#REF!</definedName>
    <definedName name="WBE_6">#REF!</definedName>
    <definedName name="WBE_7" localSheetId="0">#REF!</definedName>
    <definedName name="WBE_7">#REF!</definedName>
    <definedName name="WBE_8" localSheetId="0">#REF!</definedName>
    <definedName name="WBE_8">#REF!</definedName>
    <definedName name="WBE_9" localSheetId="0">#REF!</definedName>
    <definedName name="WBE_9">#REF!</definedName>
    <definedName name="WBE1_ACT" localSheetId="0">#REF!</definedName>
    <definedName name="WBE1_ACT">#REF!</definedName>
    <definedName name="WBE1_Approved" localSheetId="0">#REF!</definedName>
    <definedName name="WBE1_Approved">#REF!</definedName>
    <definedName name="WBE1_DELTA" localSheetId="0">#REF!</definedName>
    <definedName name="WBE1_DELTA">#REF!</definedName>
    <definedName name="WBE1_FCT_AF" localSheetId="0">#REF!</definedName>
    <definedName name="WBE1_FCT_AF">#REF!</definedName>
    <definedName name="WBE1_FCT_icfex" localSheetId="0">#REF!</definedName>
    <definedName name="WBE1_FCT_icfex">#REF!</definedName>
    <definedName name="WBE13_ACT" localSheetId="0">#REF!</definedName>
    <definedName name="WBE13_ACT">#REF!</definedName>
    <definedName name="WBE13_Approved" localSheetId="0">#REF!</definedName>
    <definedName name="WBE13_Approved">#REF!</definedName>
    <definedName name="WBE13_Comm." localSheetId="0">#REF!</definedName>
    <definedName name="WBE13_Comm.">#REF!</definedName>
    <definedName name="WBE13_DELTA" localSheetId="0">#REF!</definedName>
    <definedName name="WBE13_DELTA">#REF!</definedName>
    <definedName name="WBE13_FCT_AF" localSheetId="0">#REF!</definedName>
    <definedName name="WBE13_FCT_AF">#REF!</definedName>
    <definedName name="WBE13_FCT_icfex" localSheetId="0">#REF!</definedName>
    <definedName name="WBE13_FCT_icfex">#REF!</definedName>
    <definedName name="WBE14_ACT" localSheetId="0">#REF!</definedName>
    <definedName name="WBE14_ACT">#REF!</definedName>
    <definedName name="WBE14_Approved" localSheetId="0">#REF!</definedName>
    <definedName name="WBE14_Approved">#REF!</definedName>
    <definedName name="WBE14_Comm." localSheetId="0">#REF!</definedName>
    <definedName name="WBE14_Comm.">#REF!</definedName>
    <definedName name="WBE14_DELTA" localSheetId="0">#REF!</definedName>
    <definedName name="WBE14_DELTA">#REF!</definedName>
    <definedName name="WBE14_FCT_AF" localSheetId="0">#REF!</definedName>
    <definedName name="WBE14_FCT_AF">#REF!</definedName>
    <definedName name="WBE14_FCT_icfex" localSheetId="0">#REF!</definedName>
    <definedName name="WBE14_FCT_icfex">#REF!</definedName>
    <definedName name="WBE15_ACT" localSheetId="0">#REF!</definedName>
    <definedName name="WBE15_ACT">#REF!</definedName>
    <definedName name="WBE15_Approved" localSheetId="0">#REF!</definedName>
    <definedName name="WBE15_Approved">#REF!</definedName>
    <definedName name="WBE15_Comm." localSheetId="0">#REF!</definedName>
    <definedName name="WBE15_Comm.">#REF!</definedName>
    <definedName name="WBE15_DELTA" localSheetId="0">#REF!</definedName>
    <definedName name="WBE15_DELTA">#REF!</definedName>
    <definedName name="WBE15_FCT_AF" localSheetId="0">#REF!</definedName>
    <definedName name="WBE15_FCT_AF">#REF!</definedName>
    <definedName name="WBE15_FCT_icfex" localSheetId="0">#REF!</definedName>
    <definedName name="WBE15_FCT_icfex">#REF!</definedName>
    <definedName name="WBE16_ACT" localSheetId="0">#REF!</definedName>
    <definedName name="WBE16_ACT">#REF!</definedName>
    <definedName name="WBE16_Approved" localSheetId="0">#REF!</definedName>
    <definedName name="WBE16_Approved">#REF!</definedName>
    <definedName name="WBE16_Comm." localSheetId="0">#REF!</definedName>
    <definedName name="WBE16_Comm.">#REF!</definedName>
    <definedName name="WBE16_DELTA" localSheetId="0">#REF!</definedName>
    <definedName name="WBE16_DELTA">#REF!</definedName>
    <definedName name="WBE16_FCT_AF" localSheetId="0">#REF!</definedName>
    <definedName name="WBE16_FCT_AF">#REF!</definedName>
    <definedName name="WBE16_FCT_icfex" localSheetId="0">#REF!</definedName>
    <definedName name="WBE16_FCT_icfex">#REF!</definedName>
    <definedName name="WBE17_ACT" localSheetId="0">#REF!</definedName>
    <definedName name="WBE17_ACT">#REF!</definedName>
    <definedName name="WBE17_Approved" localSheetId="0">#REF!</definedName>
    <definedName name="WBE17_Approved">#REF!</definedName>
    <definedName name="WBE17_Comm." localSheetId="0">#REF!</definedName>
    <definedName name="WBE17_Comm.">#REF!</definedName>
    <definedName name="WBE17_FCT_AF" localSheetId="0">#REF!</definedName>
    <definedName name="WBE17_FCT_AF">#REF!</definedName>
    <definedName name="WBE17_FCT_icfex" localSheetId="0">#REF!</definedName>
    <definedName name="WBE17_FCT_icfex">#REF!</definedName>
    <definedName name="WBE2_ACT" localSheetId="0">#REF!</definedName>
    <definedName name="WBE2_ACT">#REF!</definedName>
    <definedName name="WBE2_Approved" localSheetId="0">#REF!</definedName>
    <definedName name="WBE2_Approved">#REF!</definedName>
    <definedName name="WBE2_Comm." localSheetId="0">#REF!</definedName>
    <definedName name="WBE2_Comm.">#REF!</definedName>
    <definedName name="WBE2_DELTA" localSheetId="0">#REF!</definedName>
    <definedName name="WBE2_DELTA">#REF!</definedName>
    <definedName name="WBE2_FCT_AF" localSheetId="0">#REF!</definedName>
    <definedName name="WBE2_FCT_AF">#REF!</definedName>
    <definedName name="WBE2_FCT_icfex" localSheetId="0">#REF!</definedName>
    <definedName name="WBE2_FCT_icfex">#REF!</definedName>
    <definedName name="WBE3_ACT" localSheetId="0">#REF!</definedName>
    <definedName name="WBE3_ACT">#REF!</definedName>
    <definedName name="WBE3_Approved" localSheetId="0">#REF!</definedName>
    <definedName name="WBE3_Approved">#REF!</definedName>
    <definedName name="WBE3_Comm." localSheetId="0">#REF!</definedName>
    <definedName name="WBE3_Comm.">#REF!</definedName>
    <definedName name="WBE3_DELTA" localSheetId="0">#REF!</definedName>
    <definedName name="WBE3_DELTA">#REF!</definedName>
    <definedName name="WBE3_FCT_AF" localSheetId="0">#REF!</definedName>
    <definedName name="WBE3_FCT_AF">#REF!</definedName>
    <definedName name="WBE3_FCT_icfex" localSheetId="0">#REF!</definedName>
    <definedName name="WBE3_FCT_icfex">#REF!</definedName>
    <definedName name="WBE4_ACT" localSheetId="0">#REF!</definedName>
    <definedName name="WBE4_ACT">#REF!</definedName>
    <definedName name="WBE4_Approved" localSheetId="0">#REF!</definedName>
    <definedName name="WBE4_Approved">#REF!</definedName>
    <definedName name="WBE4_Comm." localSheetId="0">#REF!</definedName>
    <definedName name="WBE4_Comm.">#REF!</definedName>
    <definedName name="WBE4_DELTA" localSheetId="0">#REF!</definedName>
    <definedName name="WBE4_DELTA">#REF!</definedName>
    <definedName name="WBE4_FCT_AF" localSheetId="0">#REF!</definedName>
    <definedName name="WBE4_FCT_AF">#REF!</definedName>
    <definedName name="WBE4_FCT_icfex" localSheetId="0">#REF!</definedName>
    <definedName name="WBE4_FCT_icfex">#REF!</definedName>
    <definedName name="WBE5_ACT" localSheetId="0">#REF!</definedName>
    <definedName name="WBE5_ACT">#REF!</definedName>
    <definedName name="WBE5_Approved" localSheetId="0">#REF!</definedName>
    <definedName name="WBE5_Approved">#REF!</definedName>
    <definedName name="WBE5_Comm." localSheetId="0">#REF!</definedName>
    <definedName name="WBE5_Comm.">#REF!</definedName>
    <definedName name="WBE5_DELTA" localSheetId="0">#REF!</definedName>
    <definedName name="WBE5_DELTA">#REF!</definedName>
    <definedName name="WBE5_FCT_AF" localSheetId="0">#REF!</definedName>
    <definedName name="WBE5_FCT_AF">#REF!</definedName>
    <definedName name="WBE5_FCT_icfex" localSheetId="0">#REF!</definedName>
    <definedName name="WBE5_FCT_icfex">#REF!</definedName>
    <definedName name="WBE6_ACT" localSheetId="0">#REF!</definedName>
    <definedName name="WBE6_ACT">#REF!</definedName>
    <definedName name="WBE6_Approved" localSheetId="0">#REF!</definedName>
    <definedName name="WBE6_Approved">#REF!</definedName>
    <definedName name="WBE6_Comm." localSheetId="0">#REF!</definedName>
    <definedName name="WBE6_Comm.">#REF!</definedName>
    <definedName name="WBE6_DELTA" localSheetId="0">#REF!</definedName>
    <definedName name="WBE6_DELTA">#REF!</definedName>
    <definedName name="WBE6_FCT_AF" localSheetId="0">#REF!</definedName>
    <definedName name="WBE6_FCT_AF">#REF!</definedName>
    <definedName name="WBE6_FCT_icfex" localSheetId="0">#REF!</definedName>
    <definedName name="WBE6_FCT_icfex">#REF!</definedName>
    <definedName name="WBE7_ACT" localSheetId="0">#REF!</definedName>
    <definedName name="WBE7_ACT">#REF!</definedName>
    <definedName name="WBE7_Approved" localSheetId="0">#REF!</definedName>
    <definedName name="WBE7_Approved">#REF!</definedName>
    <definedName name="WBE7_Comm." localSheetId="0">#REF!</definedName>
    <definedName name="WBE7_Comm.">#REF!</definedName>
    <definedName name="WBE7_DELTA" localSheetId="0">#REF!</definedName>
    <definedName name="WBE7_DELTA">#REF!</definedName>
    <definedName name="WBE7_FCT_AF" localSheetId="0">#REF!</definedName>
    <definedName name="WBE7_FCT_AF">#REF!</definedName>
    <definedName name="WBE7_FCT_icfex" localSheetId="0">#REF!</definedName>
    <definedName name="WBE7_FCT_icfex">#REF!</definedName>
    <definedName name="WBE8_ACT" localSheetId="0">#REF!</definedName>
    <definedName name="WBE8_ACT">#REF!</definedName>
    <definedName name="WBE8_Approved" localSheetId="0">#REF!</definedName>
    <definedName name="WBE8_Approved">#REF!</definedName>
    <definedName name="WBE8_Comm." localSheetId="0">#REF!</definedName>
    <definedName name="WBE8_Comm.">#REF!</definedName>
    <definedName name="WBE8_DELTA" localSheetId="0">#REF!</definedName>
    <definedName name="WBE8_DELTA">#REF!</definedName>
    <definedName name="WBE8_FCT_AF" localSheetId="0">#REF!</definedName>
    <definedName name="WBE8_FCT_AF">#REF!</definedName>
    <definedName name="WBE8_FCT_icfex" localSheetId="0">#REF!</definedName>
    <definedName name="WBE8_FCT_icfex">#REF!</definedName>
    <definedName name="WBE9_Approved" localSheetId="0">#REF!</definedName>
    <definedName name="WBE9_Approved">#REF!</definedName>
    <definedName name="WBE9_DELTA" localSheetId="0">#REF!</definedName>
    <definedName name="WBE9_DELTA">#REF!</definedName>
    <definedName name="WBE9_FCT_AF" localSheetId="0">#REF!</definedName>
    <definedName name="WBE9_FCT_AF">#REF!</definedName>
    <definedName name="WBE9_FCT_icfex" localSheetId="0">#REF!</definedName>
    <definedName name="WBE9_FCT_icfex">#REF!</definedName>
    <definedName name="WBS" localSheetId="4">#REF!</definedName>
    <definedName name="WBS" localSheetId="5">#REF!</definedName>
    <definedName name="WBS" localSheetId="0">#REF!</definedName>
    <definedName name="WBS">#REF!</definedName>
    <definedName name="wbudowanie_masy" localSheetId="4">#REF!</definedName>
    <definedName name="wbudowanie_masy" localSheetId="5">#REF!</definedName>
    <definedName name="wbudowanie_masy" localSheetId="0">#REF!</definedName>
    <definedName name="wbudowanie_masy">#REF!</definedName>
    <definedName name="wbudowanie_wyrównawcza" localSheetId="4">#REF!</definedName>
    <definedName name="wbudowanie_wyrównawcza" localSheetId="5">#REF!</definedName>
    <definedName name="wbudowanie_wyrównawcza" localSheetId="0">#REF!</definedName>
    <definedName name="wbudowanie_wyrównawcza">#REF!</definedName>
    <definedName name="WCAP" localSheetId="0">#REF!</definedName>
    <definedName name="WCAP">#REF!</definedName>
    <definedName name="WD" localSheetId="4">#REF!</definedName>
    <definedName name="WD" localSheetId="5">#REF!</definedName>
    <definedName name="WD" localSheetId="0">#REF!</definedName>
    <definedName name="WD">#REF!</definedName>
    <definedName name="WD." localSheetId="4">#REF!</definedName>
    <definedName name="WD." localSheetId="5">#REF!</definedName>
    <definedName name="WD." localSheetId="0">#REF!</definedName>
    <definedName name="WD.">#REF!</definedName>
    <definedName name="wefcc" localSheetId="4">#REF!</definedName>
    <definedName name="wefcc" localSheetId="0">#REF!</definedName>
    <definedName name="wefcc">#REF!</definedName>
    <definedName name="WEIGHT" localSheetId="4">#REF!</definedName>
    <definedName name="WEIGHT" localSheetId="5">#REF!</definedName>
    <definedName name="WEIGHT" localSheetId="0">#REF!</definedName>
    <definedName name="WEIGHT">#REF!</definedName>
    <definedName name="weq" localSheetId="4" hidden="1">{#N/A,#N/A,FALSE,"SumD";#N/A,#N/A,FALSE,"ElecD";#N/A,#N/A,FALSE,"MechD";#N/A,#N/A,FALSE,"GeotD";#N/A,#N/A,FALSE,"PrcsD";#N/A,#N/A,FALSE,"TunnD";#N/A,#N/A,FALSE,"CivlD";#N/A,#N/A,FALSE,"NtwkD";#N/A,#N/A,FALSE,"EstgD";#N/A,#N/A,FALSE,"PEngD"}</definedName>
    <definedName name="weq" localSheetId="6" hidden="1">{#N/A,#N/A,FALSE,"SumD";#N/A,#N/A,FALSE,"ElecD";#N/A,#N/A,FALSE,"MechD";#N/A,#N/A,FALSE,"GeotD";#N/A,#N/A,FALSE,"PrcsD";#N/A,#N/A,FALSE,"TunnD";#N/A,#N/A,FALSE,"CivlD";#N/A,#N/A,FALSE,"NtwkD";#N/A,#N/A,FALSE,"EstgD";#N/A,#N/A,FALSE,"PEngD"}</definedName>
    <definedName name="weq" localSheetId="5" hidden="1">{#N/A,#N/A,FALSE,"SumD";#N/A,#N/A,FALSE,"ElecD";#N/A,#N/A,FALSE,"MechD";#N/A,#N/A,FALSE,"GeotD";#N/A,#N/A,FALSE,"PrcsD";#N/A,#N/A,FALSE,"TunnD";#N/A,#N/A,FALSE,"CivlD";#N/A,#N/A,FALSE,"NtwkD";#N/A,#N/A,FALSE,"EstgD";#N/A,#N/A,FALSE,"PEngD"}</definedName>
    <definedName name="weq" localSheetId="0"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a" localSheetId="4">#REF!</definedName>
    <definedName name="wera" localSheetId="5">#REF!</definedName>
    <definedName name="wera" localSheetId="0">#REF!</definedName>
    <definedName name="wera">#REF!</definedName>
    <definedName name="wera1" localSheetId="4">#REF!</definedName>
    <definedName name="wera1" localSheetId="5">#REF!</definedName>
    <definedName name="wera1" localSheetId="0">#REF!</definedName>
    <definedName name="wera1">#REF!</definedName>
    <definedName name="wera2" localSheetId="4">#REF!</definedName>
    <definedName name="wera2" localSheetId="5">#REF!</definedName>
    <definedName name="wera2" localSheetId="0">#REF!</definedName>
    <definedName name="wera2">#REF!</definedName>
    <definedName name="wera3" localSheetId="4">#REF!</definedName>
    <definedName name="wera3" localSheetId="0">#REF!</definedName>
    <definedName name="wera3">#REF!</definedName>
    <definedName name="WersjaAngielska" localSheetId="4">#REF!</definedName>
    <definedName name="WersjaAngielska" localSheetId="0">#REF!</definedName>
    <definedName name="WersjaAngielska">#REF!</definedName>
    <definedName name="WERT" localSheetId="4" hidden="1">{#N/A,#N/A,FALSE,"masez (10)";#N/A,#N/A,FALSE,"masez (7)";#N/A,#N/A,FALSE,"masez (6)";#N/A,#N/A,FALSE,"masez (5)";#N/A,#N/A,FALSE,"masez (4)";#N/A,#N/A,FALSE,"masez (3)";#N/A,#N/A,FALSE,"masez (2)";#N/A,#N/A,FALSE,"GME";#N/A,#N/A,FALSE,"masez"}</definedName>
    <definedName name="WERT" localSheetId="5" hidden="1">{#N/A,#N/A,FALSE,"masez (10)";#N/A,#N/A,FALSE,"masez (7)";#N/A,#N/A,FALSE,"masez (6)";#N/A,#N/A,FALSE,"masez (5)";#N/A,#N/A,FALSE,"masez (4)";#N/A,#N/A,FALSE,"masez (3)";#N/A,#N/A,FALSE,"masez (2)";#N/A,#N/A,FALSE,"GME";#N/A,#N/A,FALSE,"masez"}</definedName>
    <definedName name="WERT" localSheetId="0" hidden="1">{#N/A,#N/A,FALSE,"masez (10)";#N/A,#N/A,FALSE,"masez (7)";#N/A,#N/A,FALSE,"masez (6)";#N/A,#N/A,FALSE,"masez (5)";#N/A,#N/A,FALSE,"masez (4)";#N/A,#N/A,FALSE,"masez (3)";#N/A,#N/A,FALSE,"masez (2)";#N/A,#N/A,FALSE,"GME";#N/A,#N/A,FALSE,"masez"}</definedName>
    <definedName name="WERT" hidden="1">{#N/A,#N/A,FALSE,"masez (10)";#N/A,#N/A,FALSE,"masez (7)";#N/A,#N/A,FALSE,"masez (6)";#N/A,#N/A,FALSE,"masez (5)";#N/A,#N/A,FALSE,"masez (4)";#N/A,#N/A,FALSE,"masez (3)";#N/A,#N/A,FALSE,"masez (2)";#N/A,#N/A,FALSE,"GME";#N/A,#N/A,FALSE,"masez"}</definedName>
    <definedName name="wewaeadzD" localSheetId="4">#REF!</definedName>
    <definedName name="wewaeadzD" localSheetId="5">#REF!</definedName>
    <definedName name="wewaeadzD" localSheetId="0">#REF!</definedName>
    <definedName name="wewaeadzD">#REF!</definedName>
    <definedName name="wewe" localSheetId="0">#REF!</definedName>
    <definedName name="wewe">#REF!</definedName>
    <definedName name="węze" localSheetId="4">#REF!</definedName>
    <definedName name="węze" localSheetId="5">#REF!</definedName>
    <definedName name="węze" localSheetId="0">#REF!</definedName>
    <definedName name="węze">#REF!</definedName>
    <definedName name="węzeł" localSheetId="4">#REF!</definedName>
    <definedName name="węzeł" localSheetId="5">#REF!</definedName>
    <definedName name="węzeł" localSheetId="0">#REF!</definedName>
    <definedName name="węzeł">#REF!</definedName>
    <definedName name="wezeł_w5" localSheetId="4">#REF!</definedName>
    <definedName name="wezeł_w5" localSheetId="5">#REF!</definedName>
    <definedName name="wezeł_w5" localSheetId="0">#REF!</definedName>
    <definedName name="wezeł_w5">#REF!</definedName>
    <definedName name="wfohsdgkfdg" localSheetId="4">#REF!</definedName>
    <definedName name="wfohsdgkfdg" localSheetId="0">#REF!</definedName>
    <definedName name="wfohsdgkfdg">#REF!</definedName>
    <definedName name="wiąż" localSheetId="4">#REF!</definedName>
    <definedName name="wiąż" localSheetId="0">#REF!</definedName>
    <definedName name="wiąż">#REF!</definedName>
    <definedName name="wiążąca" localSheetId="4">#REF!</definedName>
    <definedName name="wiążąca" localSheetId="0">#REF!</definedName>
    <definedName name="wiążąca">#REF!</definedName>
    <definedName name="wiążąca_łącznik" localSheetId="4">#REF!</definedName>
    <definedName name="wiążąca_łącznik" localSheetId="0">#REF!</definedName>
    <definedName name="wiążąca_łącznik">#REF!</definedName>
    <definedName name="wiążąca_wb" localSheetId="4">#REF!</definedName>
    <definedName name="wiążąca_wb" localSheetId="0">#REF!</definedName>
    <definedName name="wiążąca_wb">#REF!</definedName>
    <definedName name="wiążąca_z_AC_zjazdy" localSheetId="4">#REF!</definedName>
    <definedName name="wiążąca_z_AC_zjazdy" localSheetId="0">#REF!</definedName>
    <definedName name="wiążąca_z_AC_zjazdy">#REF!</definedName>
    <definedName name="width" localSheetId="4">#REF!</definedName>
    <definedName name="width" localSheetId="0">#REF!</definedName>
    <definedName name="width">#REF!</definedName>
    <definedName name="WIERSZ" localSheetId="4">#REF!</definedName>
    <definedName name="WIERSZ" localSheetId="0">#REF!</definedName>
    <definedName name="WIERSZ">#REF!</definedName>
    <definedName name="Win_rate" localSheetId="4">#REF!</definedName>
    <definedName name="Win_rate" localSheetId="0">#REF!</definedName>
    <definedName name="Win_rate">#REF!</definedName>
    <definedName name="WŁĄCZENIE.DO.KANAL.DESZCZ.FI200" localSheetId="4">#REF!</definedName>
    <definedName name="WŁĄCZENIE.DO.KANAL.DESZCZ.FI200" localSheetId="5">#REF!</definedName>
    <definedName name="WŁĄCZENIE.DO.KANAL.DESZCZ.FI200" localSheetId="0">#REF!</definedName>
    <definedName name="WŁĄCZENIE.DO.KANAL.DESZCZ.FI200">#REF!</definedName>
    <definedName name="WNM">5567447.95</definedName>
    <definedName name="WOL" localSheetId="4">#REF!</definedName>
    <definedName name="WOL" localSheetId="5">#REF!</definedName>
    <definedName name="WOL" localSheetId="0">#REF!</definedName>
    <definedName name="WOL">#REF!</definedName>
    <definedName name="Worsley_Alumina_Expansion_Project___23747" localSheetId="4">#REF!</definedName>
    <definedName name="Worsley_Alumina_Expansion_Project___23747" localSheetId="5">#REF!</definedName>
    <definedName name="Worsley_Alumina_Expansion_Project___23747" localSheetId="0">#REF!</definedName>
    <definedName name="Worsley_Alumina_Expansion_Project___23747">#REF!</definedName>
    <definedName name="wpis" localSheetId="4">#REF!</definedName>
    <definedName name="wpis" localSheetId="5">#REF!</definedName>
    <definedName name="wpis" localSheetId="0">#REF!</definedName>
    <definedName name="wpis">#REF!</definedName>
    <definedName name="wpust" localSheetId="4">#REF!</definedName>
    <definedName name="wpust" localSheetId="0">#REF!</definedName>
    <definedName name="wpust">#REF!</definedName>
    <definedName name="wqs" localSheetId="0" hidden="1">#REF!</definedName>
    <definedName name="wqs" hidden="1">#REF!</definedName>
    <definedName name="wra" localSheetId="4" hidden="1">#REF!</definedName>
    <definedName name="wra" localSheetId="5" hidden="1">#REF!</definedName>
    <definedName name="wra" localSheetId="0" hidden="1">#REF!</definedName>
    <definedName name="wra" hidden="1">#REF!</definedName>
    <definedName name="wrn" localSheetId="4" hidden="1">{#N/A,#N/A,TRUE,"Est. de Fact.";#N/A,#N/A,TRUE,"Capitulo 19";#N/A,#N/A,TRUE,"Proyecto P855"}</definedName>
    <definedName name="wrn" localSheetId="5" hidden="1">{#N/A,#N/A,TRUE,"Est. de Fact.";#N/A,#N/A,TRUE,"Capitulo 19";#N/A,#N/A,TRUE,"Proyecto P855"}</definedName>
    <definedName name="wrn" localSheetId="0" hidden="1">{#N/A,#N/A,TRUE,"Est. de Fact.";#N/A,#N/A,TRUE,"Capitulo 19";#N/A,#N/A,TRUE,"Proyecto P855"}</definedName>
    <definedName name="wrn" hidden="1">{#N/A,#N/A,TRUE,"Est. de Fact.";#N/A,#N/A,TRUE,"Capitulo 19";#N/A,#N/A,TRUE,"Proyecto P855"}</definedName>
    <definedName name="wrn.aligeramiento." localSheetId="4" hidden="1">{#N/A,#N/A,FALSE,"Reniv";#N/A,#N/A,FALSE,"exc. carp";#N/A,#N/A,FALSE,"exc. base";#N/A,#N/A,FALSE,"exc. sub-terr";#N/A,#N/A,FALSE,"form.terr";#N/A,#N/A,FALSE,"aca desp";#N/A,#N/A,FALSE,"form base";#N/A,#N/A,FALSE,"acarreo";#N/A,#N/A,FALSE,"barrido";#N/A,#N/A,FALSE,"liga mat. no.2";#N/A,#N/A,FALSE,"mat 2";#N/A,#N/A,FALSE,"liga mat. 3B";#N/A,#N/A,FALSE,"mat 3B";#N/A,#N/A,FALSE,"aca sello"}</definedName>
    <definedName name="wrn.aligeramiento." localSheetId="5" hidden="1">{#N/A,#N/A,FALSE,"Reniv";#N/A,#N/A,FALSE,"exc. carp";#N/A,#N/A,FALSE,"exc. base";#N/A,#N/A,FALSE,"exc. sub-terr";#N/A,#N/A,FALSE,"form.terr";#N/A,#N/A,FALSE,"aca desp";#N/A,#N/A,FALSE,"form base";#N/A,#N/A,FALSE,"acarreo";#N/A,#N/A,FALSE,"barrido";#N/A,#N/A,FALSE,"liga mat. no.2";#N/A,#N/A,FALSE,"mat 2";#N/A,#N/A,FALSE,"liga mat. 3B";#N/A,#N/A,FALSE,"mat 3B";#N/A,#N/A,FALSE,"aca sello"}</definedName>
    <definedName name="wrn.aligeramiento." localSheetId="0" hidden="1">{#N/A,#N/A,FALSE,"Reniv";#N/A,#N/A,FALSE,"exc. carp";#N/A,#N/A,FALSE,"exc. base";#N/A,#N/A,FALSE,"exc. sub-terr";#N/A,#N/A,FALSE,"form.terr";#N/A,#N/A,FALSE,"aca desp";#N/A,#N/A,FALSE,"form base";#N/A,#N/A,FALSE,"acarreo";#N/A,#N/A,FALSE,"barrido";#N/A,#N/A,FALSE,"liga mat. no.2";#N/A,#N/A,FALSE,"mat 2";#N/A,#N/A,FALSE,"liga mat. 3B";#N/A,#N/A,FALSE,"mat 3B";#N/A,#N/A,FALSE,"aca sello"}</definedName>
    <definedName name="wrn.aligeramiento." hidden="1">{#N/A,#N/A,FALSE,"Reniv";#N/A,#N/A,FALSE,"exc. carp";#N/A,#N/A,FALSE,"exc. base";#N/A,#N/A,FALSE,"exc. sub-terr";#N/A,#N/A,FALSE,"form.terr";#N/A,#N/A,FALSE,"aca desp";#N/A,#N/A,FALSE,"form base";#N/A,#N/A,FALSE,"acarreo";#N/A,#N/A,FALSE,"barrido";#N/A,#N/A,FALSE,"liga mat. no.2";#N/A,#N/A,FALSE,"mat 2";#N/A,#N/A,FALSE,"liga mat. 3B";#N/A,#N/A,FALSE,"mat 3B";#N/A,#N/A,FALSE,"aca sello"}</definedName>
    <definedName name="wrn.all." localSheetId="4" hidden="1">{#N/A,#N/A,FALSE,"Pricing";#N/A,#N/A,FALSE,"Summary";#N/A,#N/A,FALSE,"CompProd";#N/A,#N/A,FALSE,"CompJobhrs";#N/A,#N/A,FALSE,"Escalation";#N/A,#N/A,FALSE,"Contingency";#N/A,#N/A,FALSE,"GM";#N/A,#N/A,FALSE,"CompWage";#N/A,#N/A,FALSE,"costSum"}</definedName>
    <definedName name="wrn.all." localSheetId="6" hidden="1">{#N/A,#N/A,FALSE,"Pricing";#N/A,#N/A,FALSE,"Summary";#N/A,#N/A,FALSE,"CompProd";#N/A,#N/A,FALSE,"CompJobhrs";#N/A,#N/A,FALSE,"Escalation";#N/A,#N/A,FALSE,"Contingency";#N/A,#N/A,FALSE,"GM";#N/A,#N/A,FALSE,"CompWage";#N/A,#N/A,FALSE,"costSum"}</definedName>
    <definedName name="wrn.all." localSheetId="5" hidden="1">{#N/A,#N/A,FALSE,"Pricing";#N/A,#N/A,FALSE,"Summary";#N/A,#N/A,FALSE,"CompProd";#N/A,#N/A,FALSE,"CompJobhrs";#N/A,#N/A,FALSE,"Escalation";#N/A,#N/A,FALSE,"Contingency";#N/A,#N/A,FALSE,"GM";#N/A,#N/A,FALSE,"CompWage";#N/A,#N/A,FALSE,"costSum"}</definedName>
    <definedName name="wrn.all." localSheetId="0"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lines." localSheetId="4" hidden="1">{#N/A,#N/A,FALSE,"Summary";#N/A,#N/A,FALSE,"3TJ";#N/A,#N/A,FALSE,"3TN";#N/A,#N/A,FALSE,"3TP";#N/A,#N/A,FALSE,"3SJ";#N/A,#N/A,FALSE,"3CJ";#N/A,#N/A,FALSE,"3CN";#N/A,#N/A,FALSE,"3CP";#N/A,#N/A,FALSE,"3A"}</definedName>
    <definedName name="wrn.all._.lines." localSheetId="6" hidden="1">{#N/A,#N/A,FALSE,"Summary";#N/A,#N/A,FALSE,"3TJ";#N/A,#N/A,FALSE,"3TN";#N/A,#N/A,FALSE,"3TP";#N/A,#N/A,FALSE,"3SJ";#N/A,#N/A,FALSE,"3CJ";#N/A,#N/A,FALSE,"3CN";#N/A,#N/A,FALSE,"3CP";#N/A,#N/A,FALSE,"3A"}</definedName>
    <definedName name="wrn.all._.lines." localSheetId="5" hidden="1">{#N/A,#N/A,FALSE,"Summary";#N/A,#N/A,FALSE,"3TJ";#N/A,#N/A,FALSE,"3TN";#N/A,#N/A,FALSE,"3TP";#N/A,#N/A,FALSE,"3SJ";#N/A,#N/A,FALSE,"3CJ";#N/A,#N/A,FALSE,"3CN";#N/A,#N/A,FALSE,"3CP";#N/A,#N/A,FALSE,"3A"}</definedName>
    <definedName name="wrn.all._.lines." localSheetId="0"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All._.Pages." localSheetId="4"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6"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5"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localSheetId="0" hidden="1">{#N/A,#N/A,FALSE,"Contents";#N/A,#N/A,FALSE,"1 Commentary";#N/A,#N/A,FALSE,"2 Capital Expenditure Analysis";#N/A,#N/A,FALSE,"3 Capital Comm";#N/A,#N/A,FALSE,"4 Depreciation Analysis";#N/A,#N/A,FALSE,"5 Monthly Trends";#N/A,#N/A,FALSE,"6 Controls and Reconciliations";#N/A,#N/A,FALSE,"7 TOP 10 Proj Web Projects"}</definedName>
    <definedName name="wrn.All._.Pages." hidden="1">{#N/A,#N/A,FALSE,"Contents";#N/A,#N/A,FALSE,"1 Commentary";#N/A,#N/A,FALSE,"2 Capital Expenditure Analysis";#N/A,#N/A,FALSE,"3 Capital Comm";#N/A,#N/A,FALSE,"4 Depreciation Analysis";#N/A,#N/A,FALSE,"5 Monthly Trends";#N/A,#N/A,FALSE,"6 Controls and Reconciliations";#N/A,#N/A,FALSE,"7 TOP 10 Proj Web Projects"}</definedName>
    <definedName name="wrn.bakı.xla." localSheetId="4" hidden="1">{#N/A,#N/A,FALSE,"Çaykara ataköy (1)";#N/A,#N/A,FALSE,"Çaykara ataköy (2)";#N/A,#N/A,FALSE,"Rize Kalkandere ";#N/A,#N/A,FALSE,"meydancık";#N/A,#N/A,FALSE,"muratlı"}</definedName>
    <definedName name="wrn.bakı.xla." localSheetId="6" hidden="1">{#N/A,#N/A,FALSE,"Çaykara ataköy (1)";#N/A,#N/A,FALSE,"Çaykara ataköy (2)";#N/A,#N/A,FALSE,"Rize Kalkandere ";#N/A,#N/A,FALSE,"meydancık";#N/A,#N/A,FALSE,"muratlı"}</definedName>
    <definedName name="wrn.bakı.xla." localSheetId="5" hidden="1">{#N/A,#N/A,FALSE,"Çaykara ataköy (1)";#N/A,#N/A,FALSE,"Çaykara ataköy (2)";#N/A,#N/A,FALSE,"Rize Kalkandere ";#N/A,#N/A,FALSE,"meydancık";#N/A,#N/A,FALSE,"muratlı"}</definedName>
    <definedName name="wrn.bakı.xla." localSheetId="0" hidden="1">{#N/A,#N/A,FALSE,"Çaykara ataköy (1)";#N/A,#N/A,FALSE,"Çaykara ataköy (2)";#N/A,#N/A,FALSE,"Rize Kalkandere ";#N/A,#N/A,FALSE,"meydancık";#N/A,#N/A,FALSE,"muratlı"}</definedName>
    <definedName name="wrn.bakı.xla." hidden="1">{#N/A,#N/A,FALSE,"Çaykara ataköy (1)";#N/A,#N/A,FALSE,"Çaykara ataköy (2)";#N/A,#N/A,FALSE,"Rize Kalkandere ";#N/A,#N/A,FALSE,"meydancık";#N/A,#N/A,FALSE,"muratlı"}</definedName>
    <definedName name="wrn.Barbara._.Modular._.Indirects." localSheetId="4" hidden="1">{#N/A,#N/A,FALSE,"COVER";#N/A,#N/A,FALSE,"RECAP";#N/A,#N/A,FALSE,"SANTA BARBARA NONMANUAL";#N/A,#N/A,FALSE,"CEQUIP";#N/A,#N/A,FALSE,"WRATE";#N/A,#N/A,FALSE,"INDIRECT";#N/A,#N/A,FALSE,"TRAIN";#N/A,#N/A,FALSE,"MANLOADED SCHEDULE"}</definedName>
    <definedName name="wrn.Barbara._.Modular._.Indirects." localSheetId="6" hidden="1">{#N/A,#N/A,FALSE,"COVER";#N/A,#N/A,FALSE,"RECAP";#N/A,#N/A,FALSE,"SANTA BARBARA NONMANUAL";#N/A,#N/A,FALSE,"CEQUIP";#N/A,#N/A,FALSE,"WRATE";#N/A,#N/A,FALSE,"INDIRECT";#N/A,#N/A,FALSE,"TRAIN";#N/A,#N/A,FALSE,"MANLOADED SCHEDULE"}</definedName>
    <definedName name="wrn.Barbara._.Modular._.Indirects." localSheetId="5" hidden="1">{#N/A,#N/A,FALSE,"COVER";#N/A,#N/A,FALSE,"RECAP";#N/A,#N/A,FALSE,"SANTA BARBARA NONMANUAL";#N/A,#N/A,FALSE,"CEQUIP";#N/A,#N/A,FALSE,"WRATE";#N/A,#N/A,FALSE,"INDIRECT";#N/A,#N/A,FALSE,"TRAIN";#N/A,#N/A,FALSE,"MANLOADED SCHEDULE"}</definedName>
    <definedName name="wrn.Barbara._.Modular._.Indirects." localSheetId="0"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st." localSheetId="4" hidden="1">{#N/A,#N/A,FALSE,"respav";#N/A,#N/A,FALSE,"reseñal";#N/A,#N/A,FALSE,"roturado";#N/A,#N/A,FALSE,"base cemento";#N/A,#N/A,FALSE,"riego liga";#N/A,#N/A,FALSE,"carpeta";#N/A,#N/A,FALSE,"open graded";#N/A,#N/A,FALSE,"señalamiento"}</definedName>
    <definedName name="wrn.basest." localSheetId="5" hidden="1">{#N/A,#N/A,FALSE,"respav";#N/A,#N/A,FALSE,"reseñal";#N/A,#N/A,FALSE,"roturado";#N/A,#N/A,FALSE,"base cemento";#N/A,#N/A,FALSE,"riego liga";#N/A,#N/A,FALSE,"carpeta";#N/A,#N/A,FALSE,"open graded";#N/A,#N/A,FALSE,"señalamiento"}</definedName>
    <definedName name="wrn.basest." localSheetId="0" hidden="1">{#N/A,#N/A,FALSE,"respav";#N/A,#N/A,FALSE,"reseñal";#N/A,#N/A,FALSE,"roturado";#N/A,#N/A,FALSE,"base cemento";#N/A,#N/A,FALSE,"riego liga";#N/A,#N/A,FALSE,"carpeta";#N/A,#N/A,FALSE,"open graded";#N/A,#N/A,FALSE,"señalamiento"}</definedName>
    <definedName name="wrn.basest." hidden="1">{#N/A,#N/A,FALSE,"respav";#N/A,#N/A,FALSE,"reseñal";#N/A,#N/A,FALSE,"roturado";#N/A,#N/A,FALSE,"base cemento";#N/A,#N/A,FALSE,"riego liga";#N/A,#N/A,FALSE,"carpeta";#N/A,#N/A,FALSE,"open graded";#N/A,#N/A,FALSE,"señalamiento"}</definedName>
    <definedName name="wrn.basestab.." localSheetId="4" hidden="1">{#N/A,#N/A,FALSE,"fresado";#N/A,#N/A,FALSE,"base cemento";#N/A,#N/A,FALSE,"riego liga";#N/A,#N/A,FALSE,"carpeta";#N/A,#N/A,FALSE,"open graded";#N/A,#N/A,FALSE,"señalamiento"}</definedName>
    <definedName name="wrn.basestab.." localSheetId="5" hidden="1">{#N/A,#N/A,FALSE,"fresado";#N/A,#N/A,FALSE,"base cemento";#N/A,#N/A,FALSE,"riego liga";#N/A,#N/A,FALSE,"carpeta";#N/A,#N/A,FALSE,"open graded";#N/A,#N/A,FALSE,"señalamiento"}</definedName>
    <definedName name="wrn.basestab.." localSheetId="0" hidden="1">{#N/A,#N/A,FALSE,"fresado";#N/A,#N/A,FALSE,"base cemento";#N/A,#N/A,FALSE,"riego liga";#N/A,#N/A,FALSE,"carpeta";#N/A,#N/A,FALSE,"open graded";#N/A,#N/A,FALSE,"señalamiento"}</definedName>
    <definedName name="wrn.basestab.." hidden="1">{#N/A,#N/A,FALSE,"fresado";#N/A,#N/A,FALSE,"base cemento";#N/A,#N/A,FALSE,"riego liga";#N/A,#N/A,FALSE,"carpeta";#N/A,#N/A,FALSE,"open graded";#N/A,#N/A,FALSE,"señalamiento"}</definedName>
    <definedName name="wrn.CHIEF._.REVIEW." localSheetId="4" hidden="1">{#N/A,#N/A,FALSE,"Q&amp;AE";#N/A,#N/A,FALSE,"Params";#N/A,#N/A,FALSE,"ReconE";#N/A,#N/A,FALSE,"CostCompE";#N/A,#N/A,FALSE,"SummaryE";#N/A,#N/A,FALSE,"Detail";#N/A,#N/A,FALSE,"PayItem"}</definedName>
    <definedName name="wrn.CHIEF._.REVIEW." localSheetId="6" hidden="1">{#N/A,#N/A,FALSE,"Q&amp;AE";#N/A,#N/A,FALSE,"Params";#N/A,#N/A,FALSE,"ReconE";#N/A,#N/A,FALSE,"CostCompE";#N/A,#N/A,FALSE,"SummaryE";#N/A,#N/A,FALSE,"Detail";#N/A,#N/A,FALSE,"PayItem"}</definedName>
    <definedName name="wrn.CHIEF._.REVIEW." localSheetId="5" hidden="1">{#N/A,#N/A,FALSE,"Q&amp;AE";#N/A,#N/A,FALSE,"Params";#N/A,#N/A,FALSE,"ReconE";#N/A,#N/A,FALSE,"CostCompE";#N/A,#N/A,FALSE,"SummaryE";#N/A,#N/A,FALSE,"Detail";#N/A,#N/A,FALSE,"PayItem"}</definedName>
    <definedName name="wrn.CHIEF._.REVIEW." localSheetId="0"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4" hidden="1">{"DBANK",#N/A,FALSE,"PriceE";"CKTS",#N/A,FALSE,"PriceE"}</definedName>
    <definedName name="wrn.CIRCUITS." localSheetId="6" hidden="1">{"DBANK",#N/A,FALSE,"PriceE";"CKTS",#N/A,FALSE,"PriceE"}</definedName>
    <definedName name="wrn.CIRCUITS." localSheetId="5" hidden="1">{"DBANK",#N/A,FALSE,"PriceE";"CKTS",#N/A,FALSE,"PriceE"}</definedName>
    <definedName name="wrn.CIRCUITS." localSheetId="0" hidden="1">{"DBANK",#N/A,FALSE,"PriceE";"CKTS",#N/A,FALSE,"PriceE"}</definedName>
    <definedName name="wrn.CIRCUITS." hidden="1">{"DBANK",#N/A,FALSE,"PriceE";"CKTS",#N/A,FALSE,"PriceE"}</definedName>
    <definedName name="wrn.COST_SHEETS." localSheetId="4" hidden="1">{#N/A,#N/A,FALSE,"WBS 1.06";#N/A,#N/A,FALSE,"WBS 1.14";#N/A,#N/A,FALSE,"WBS 1.17";#N/A,#N/A,FALSE,"WBS 1.18"}</definedName>
    <definedName name="wrn.COST_SHEETS." localSheetId="6" hidden="1">{#N/A,#N/A,FALSE,"WBS 1.06";#N/A,#N/A,FALSE,"WBS 1.14";#N/A,#N/A,FALSE,"WBS 1.17";#N/A,#N/A,FALSE,"WBS 1.18"}</definedName>
    <definedName name="wrn.COST_SHEETS." localSheetId="5" hidden="1">{#N/A,#N/A,FALSE,"WBS 1.06";#N/A,#N/A,FALSE,"WBS 1.14";#N/A,#N/A,FALSE,"WBS 1.17";#N/A,#N/A,FALSE,"WBS 1.18"}</definedName>
    <definedName name="wrn.COST_SHEETS." localSheetId="0" hidden="1">{#N/A,#N/A,FALSE,"WBS 1.06";#N/A,#N/A,FALSE,"WBS 1.14";#N/A,#N/A,FALSE,"WBS 1.17";#N/A,#N/A,FALSE,"WBS 1.18"}</definedName>
    <definedName name="wrn.COST_SHEETS." hidden="1">{#N/A,#N/A,FALSE,"WBS 1.06";#N/A,#N/A,FALSE,"WBS 1.14";#N/A,#N/A,FALSE,"WBS 1.17";#N/A,#N/A,FALSE,"WBS 1.18"}</definedName>
    <definedName name="wrn.Datos._.Garantizados._.CFE." localSheetId="4" hidden="1">{"Modelo Matematico",#N/A,FALSE,"PANTALLA"}</definedName>
    <definedName name="wrn.Datos._.Garantizados._.CFE." localSheetId="5" hidden="1">{"Modelo Matematico",#N/A,FALSE,"PANTALLA"}</definedName>
    <definedName name="wrn.Datos._.Garantizados._.CFE." localSheetId="0" hidden="1">{"Modelo Matematico",#N/A,FALSE,"PANTALLA"}</definedName>
    <definedName name="wrn.Datos._.Garantizados._.CFE." hidden="1">{"Modelo Matematico",#N/A,FALSE,"PANTALLA"}</definedName>
    <definedName name="wrn.Día._.API." localSheetId="4" hidden="1">{#N/A,#N/A,FALSE,"IC_Global";#N/A,#N/A,FALSE,"IC_Global (98-f)";#N/A,#N/A,FALSE,"Inc";#N/A,#N/A,FALSE,"CAMBIOS (2)";#N/A,#N/A,FALSE,"EXPL Inc.";#N/A,#N/A,FALSE,"HITOS98";#N/A,#N/A,FALSE,"CURVA ""S"" GLOBAL ";#N/A,#N/A,FALSE,"CURVA ""S"" 1998 "}</definedName>
    <definedName name="wrn.Día._.API." localSheetId="5" hidden="1">{#N/A,#N/A,FALSE,"IC_Global";#N/A,#N/A,FALSE,"IC_Global (98-f)";#N/A,#N/A,FALSE,"Inc";#N/A,#N/A,FALSE,"CAMBIOS (2)";#N/A,#N/A,FALSE,"EXPL Inc.";#N/A,#N/A,FALSE,"HITOS98";#N/A,#N/A,FALSE,"CURVA ""S"" GLOBAL ";#N/A,#N/A,FALSE,"CURVA ""S"" 1998 "}</definedName>
    <definedName name="wrn.Día._.API." localSheetId="0" hidden="1">{#N/A,#N/A,FALSE,"IC_Global";#N/A,#N/A,FALSE,"IC_Global (98-f)";#N/A,#N/A,FALSE,"Inc";#N/A,#N/A,FALSE,"CAMBIOS (2)";#N/A,#N/A,FALSE,"EXPL Inc.";#N/A,#N/A,FALSE,"HITOS98";#N/A,#N/A,FALSE,"CURVA ""S"" GLOBAL ";#N/A,#N/A,FALSE,"CURVA ""S"" 1998 "}</definedName>
    <definedName name="wrn.Día._.API." hidden="1">{#N/A,#N/A,FALSE,"IC_Global";#N/A,#N/A,FALSE,"IC_Global (98-f)";#N/A,#N/A,FALSE,"Inc";#N/A,#N/A,FALSE,"CAMBIOS (2)";#N/A,#N/A,FALSE,"EXPL Inc.";#N/A,#N/A,FALSE,"HITOS98";#N/A,#N/A,FALSE,"CURVA ""S"" GLOBAL ";#N/A,#N/A,FALSE,"CURVA ""S"" 1998 "}</definedName>
    <definedName name="wrn.ep10." localSheetId="4" hidden="1">{#N/A,#N/A,FALSE,"masez (10)";#N/A,#N/A,FALSE,"masez (7)";#N/A,#N/A,FALSE,"masez (6)";#N/A,#N/A,FALSE,"masez (5)";#N/A,#N/A,FALSE,"masez (4)";#N/A,#N/A,FALSE,"masez (3)";#N/A,#N/A,FALSE,"masez (2)";#N/A,#N/A,FALSE,"GME";#N/A,#N/A,FALSE,"masez"}</definedName>
    <definedName name="wrn.ep10." localSheetId="5" hidden="1">{#N/A,#N/A,FALSE,"masez (10)";#N/A,#N/A,FALSE,"masez (7)";#N/A,#N/A,FALSE,"masez (6)";#N/A,#N/A,FALSE,"masez (5)";#N/A,#N/A,FALSE,"masez (4)";#N/A,#N/A,FALSE,"masez (3)";#N/A,#N/A,FALSE,"masez (2)";#N/A,#N/A,FALSE,"GME";#N/A,#N/A,FALSE,"masez"}</definedName>
    <definedName name="wrn.ep10." localSheetId="0" hidden="1">{#N/A,#N/A,FALSE,"masez (10)";#N/A,#N/A,FALSE,"masez (7)";#N/A,#N/A,FALSE,"masez (6)";#N/A,#N/A,FALSE,"masez (5)";#N/A,#N/A,FALSE,"masez (4)";#N/A,#N/A,FALSE,"masez (3)";#N/A,#N/A,FALSE,"masez (2)";#N/A,#N/A,FALSE,"GME";#N/A,#N/A,FALSE,"masez"}</definedName>
    <definedName name="wrn.ep10." hidden="1">{#N/A,#N/A,FALSE,"masez (10)";#N/A,#N/A,FALSE,"masez (7)";#N/A,#N/A,FALSE,"masez (6)";#N/A,#N/A,FALSE,"masez (5)";#N/A,#N/A,FALSE,"masez (4)";#N/A,#N/A,FALSE,"masez (3)";#N/A,#N/A,FALSE,"masez (2)";#N/A,#N/A,FALSE,"GME";#N/A,#N/A,FALSE,"masez"}</definedName>
    <definedName name="wrn.Esquema._.Unifilar._.de._.CMP." localSheetId="4" hidden="1">{"vista 1",#N/A,FALSE,"CMP";"vista 2",#N/A,FALSE,"CMP"}</definedName>
    <definedName name="wrn.Esquema._.Unifilar._.de._.CMP." localSheetId="5" hidden="1">{"vista 1",#N/A,FALSE,"CMP";"vista 2",#N/A,FALSE,"CMP"}</definedName>
    <definedName name="wrn.Esquema._.Unifilar._.de._.CMP." localSheetId="0" hidden="1">{"vista 1",#N/A,FALSE,"CMP";"vista 2",#N/A,FALSE,"CMP"}</definedName>
    <definedName name="wrn.Esquema._.Unifilar._.de._.CMP." hidden="1">{"vista 1",#N/A,FALSE,"CMP";"vista 2",#N/A,FALSE,"CMP"}</definedName>
    <definedName name="wrn.FINAL._.ESTIMATE." localSheetId="4" hidden="1">{#N/A,#N/A,FALSE,"ProjInfo";#N/A,#N/A,FALSE,"Params";#N/A,#N/A,FALSE,"Q&amp;AE";#N/A,#N/A,FALSE,"CostCompE";#N/A,#N/A,FALSE,"SummaryE";#N/A,#N/A,FALSE,"PayItem";#N/A,#N/A,FALSE,"Detail";#N/A,#N/A,FALSE,"ReconE"}</definedName>
    <definedName name="wrn.FINAL._.ESTIMATE." localSheetId="6" hidden="1">{#N/A,#N/A,FALSE,"ProjInfo";#N/A,#N/A,FALSE,"Params";#N/A,#N/A,FALSE,"Q&amp;AE";#N/A,#N/A,FALSE,"CostCompE";#N/A,#N/A,FALSE,"SummaryE";#N/A,#N/A,FALSE,"PayItem";#N/A,#N/A,FALSE,"Detail";#N/A,#N/A,FALSE,"ReconE"}</definedName>
    <definedName name="wrn.FINAL._.ESTIMATE." localSheetId="5" hidden="1">{#N/A,#N/A,FALSE,"ProjInfo";#N/A,#N/A,FALSE,"Params";#N/A,#N/A,FALSE,"Q&amp;AE";#N/A,#N/A,FALSE,"CostCompE";#N/A,#N/A,FALSE,"SummaryE";#N/A,#N/A,FALSE,"PayItem";#N/A,#N/A,FALSE,"Detail";#N/A,#N/A,FALSE,"ReconE"}</definedName>
    <definedName name="wrn.FINAL._.ESTIMATE." localSheetId="0"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ormatos." localSheetId="4" hidden="1">{#N/A,#N/A,FALSE,"F-1";#N/A,#N/A,FALSE,"F-2";#N/A,#N/A,FALSE,"F-2.1";#N/A,#N/A,FALSE,"F-3";#N/A,#N/A,FALSE,"F-4";#N/A,#N/A,FALSE,"F-5";#N/A,#N/A,FALSE,"F-6"}</definedName>
    <definedName name="wrn.formatos." localSheetId="5" hidden="1">{#N/A,#N/A,FALSE,"F-1";#N/A,#N/A,FALSE,"F-2";#N/A,#N/A,FALSE,"F-2.1";#N/A,#N/A,FALSE,"F-3";#N/A,#N/A,FALSE,"F-4";#N/A,#N/A,FALSE,"F-5";#N/A,#N/A,FALSE,"F-6"}</definedName>
    <definedName name="wrn.formatos." localSheetId="0" hidden="1">{#N/A,#N/A,FALSE,"F-1";#N/A,#N/A,FALSE,"F-2";#N/A,#N/A,FALSE,"F-2.1";#N/A,#N/A,FALSE,"F-3";#N/A,#N/A,FALSE,"F-4";#N/A,#N/A,FALSE,"F-5";#N/A,#N/A,FALSE,"F-6"}</definedName>
    <definedName name="wrn.formatos." hidden="1">{#N/A,#N/A,FALSE,"F-1";#N/A,#N/A,FALSE,"F-2";#N/A,#N/A,FALSE,"F-2.1";#N/A,#N/A,FALSE,"F-3";#N/A,#N/A,FALSE,"F-4";#N/A,#N/A,FALSE,"F-5";#N/A,#N/A,FALSE,"F-6"}</definedName>
    <definedName name="wrn.Fuel._.oil._.option." localSheetId="4" hidden="1">{"FUEL OIL",#N/A,FALSE,"Option"}</definedName>
    <definedName name="wrn.Fuel._.oil._.option." localSheetId="6" hidden="1">{"FUEL OIL",#N/A,FALSE,"Option"}</definedName>
    <definedName name="wrn.Fuel._.oil._.option." localSheetId="5" hidden="1">{"FUEL OIL",#N/A,FALSE,"Option"}</definedName>
    <definedName name="wrn.Fuel._.oil._.option." localSheetId="0" hidden="1">{"FUEL OIL",#N/A,FALSE,"Option"}</definedName>
    <definedName name="wrn.Fuel._.oil._.option." hidden="1">{"FUEL OIL",#N/A,FALSE,"Option"}</definedName>
    <definedName name="wrn.gen2opc." localSheetId="4" hidden="1">{#N/A,#N/A,FALSE,"respav";#N/A,#N/A,FALSE,"reseñal";#N/A,#N/A,FALSE,"fresestab";#N/A,#N/A,FALSE,"cemportl";#N/A,#N/A,FALSE,"ligacarpeta";#N/A,#N/A,FALSE,"carpeta";#N/A,#N/A,FALSE,"liga open g.";#N/A,#N/A,FALSE,"open graded";#N/A,#N/A,FALSE,"sello rojo";#N/A,#N/A,FALSE,"liga sello";#N/A,#N/A,FALSE,"vialetas";#N/A,#N/A,FALSE,"raya amarill";#N/A,#N/A,FALSE,"raya blanca"}</definedName>
    <definedName name="wrn.gen2opc." localSheetId="5" hidden="1">{#N/A,#N/A,FALSE,"respav";#N/A,#N/A,FALSE,"reseñal";#N/A,#N/A,FALSE,"fresestab";#N/A,#N/A,FALSE,"cemportl";#N/A,#N/A,FALSE,"ligacarpeta";#N/A,#N/A,FALSE,"carpeta";#N/A,#N/A,FALSE,"liga open g.";#N/A,#N/A,FALSE,"open graded";#N/A,#N/A,FALSE,"sello rojo";#N/A,#N/A,FALSE,"liga sello";#N/A,#N/A,FALSE,"vialetas";#N/A,#N/A,FALSE,"raya amarill";#N/A,#N/A,FALSE,"raya blanca"}</definedName>
    <definedName name="wrn.gen2opc." localSheetId="0" hidden="1">{#N/A,#N/A,FALSE,"respav";#N/A,#N/A,FALSE,"reseñal";#N/A,#N/A,FALSE,"fresestab";#N/A,#N/A,FALSE,"cemportl";#N/A,#N/A,FALSE,"ligacarpeta";#N/A,#N/A,FALSE,"carpeta";#N/A,#N/A,FALSE,"liga open g.";#N/A,#N/A,FALSE,"open graded";#N/A,#N/A,FALSE,"sello rojo";#N/A,#N/A,FALSE,"liga sello";#N/A,#N/A,FALSE,"vialetas";#N/A,#N/A,FALSE,"raya amarill";#N/A,#N/A,FALSE,"raya blanca"}</definedName>
    <definedName name="wrn.gen2opc." hidden="1">{#N/A,#N/A,FALSE,"respav";#N/A,#N/A,FALSE,"reseñal";#N/A,#N/A,FALSE,"fresestab";#N/A,#N/A,FALSE,"cemportl";#N/A,#N/A,FALSE,"ligacarpeta";#N/A,#N/A,FALSE,"carpeta";#N/A,#N/A,FALSE,"liga open g.";#N/A,#N/A,FALSE,"open graded";#N/A,#N/A,FALSE,"sello rojo";#N/A,#N/A,FALSE,"liga sello";#N/A,#N/A,FALSE,"vialetas";#N/A,#N/A,FALSE,"raya amarill";#N/A,#N/A,FALSE,"raya blanca"}</definedName>
    <definedName name="wrn.gen2part." localSheetId="4" hidden="1">{#N/A,#N/A,FALSE,"presup.";#N/A,#N/A,FALSE,"respav";#N/A,#N/A,FALSE,"reseñal";#N/A,#N/A,FALSE,"roturado";#N/A,#N/A,FALSE,"Mej base";#N/A,#N/A,FALSE,"cemportl";#N/A,#N/A,FALSE,"ligacarpeta";#N/A,#N/A,FALSE,"carpeta";#N/A,#N/A,FALSE,"liga open g.";#N/A,#N/A,FALSE,"open graded";#N/A,#N/A,FALSE,"vialetas";#N/A,#N/A,FALSE,"raya amarill";#N/A,#N/A,FALSE,"raya blanca"}</definedName>
    <definedName name="wrn.gen2part." localSheetId="5" hidden="1">{#N/A,#N/A,FALSE,"presup.";#N/A,#N/A,FALSE,"respav";#N/A,#N/A,FALSE,"reseñal";#N/A,#N/A,FALSE,"roturado";#N/A,#N/A,FALSE,"Mej base";#N/A,#N/A,FALSE,"cemportl";#N/A,#N/A,FALSE,"ligacarpeta";#N/A,#N/A,FALSE,"carpeta";#N/A,#N/A,FALSE,"liga open g.";#N/A,#N/A,FALSE,"open graded";#N/A,#N/A,FALSE,"vialetas";#N/A,#N/A,FALSE,"raya amarill";#N/A,#N/A,FALSE,"raya blanca"}</definedName>
    <definedName name="wrn.gen2part." localSheetId="0" hidden="1">{#N/A,#N/A,FALSE,"presup.";#N/A,#N/A,FALSE,"respav";#N/A,#N/A,FALSE,"reseñal";#N/A,#N/A,FALSE,"roturado";#N/A,#N/A,FALSE,"Mej base";#N/A,#N/A,FALSE,"cemportl";#N/A,#N/A,FALSE,"ligacarpeta";#N/A,#N/A,FALSE,"carpeta";#N/A,#N/A,FALSE,"liga open g.";#N/A,#N/A,FALSE,"open graded";#N/A,#N/A,FALSE,"vialetas";#N/A,#N/A,FALSE,"raya amarill";#N/A,#N/A,FALSE,"raya blanca"}</definedName>
    <definedName name="wrn.gen2part." hidden="1">{#N/A,#N/A,FALSE,"presup.";#N/A,#N/A,FALSE,"respav";#N/A,#N/A,FALSE,"reseñal";#N/A,#N/A,FALSE,"roturado";#N/A,#N/A,FALSE,"Mej base";#N/A,#N/A,FALSE,"cemportl";#N/A,#N/A,FALSE,"ligacarpeta";#N/A,#N/A,FALSE,"carpeta";#N/A,#N/A,FALSE,"liga open g.";#N/A,#N/A,FALSE,"open graded";#N/A,#N/A,FALSE,"vialetas";#N/A,#N/A,FALSE,"raya amarill";#N/A,#N/A,FALSE,"raya blanca"}</definedName>
    <definedName name="wrn.generadores." localSheetId="4" hidden="1">{#N/A,#N/A,FALSE,"fresestab";#N/A,#N/A,FALSE,"cemport";#N/A,#N/A,FALSE,"arena";#N/A,#N/A,FALSE,"ligacarpeta";#N/A,#N/A,FALSE,"carpeta";#N/A,#N/A,FALSE,"cem. carp.";#N/A,#N/A,FALSE,"open graded";#N/A,#N/A,FALSE,"cem. open";#N/A,#N/A,FALSE,"hule";#N/A,#N/A,FALSE,"sello rojo";#N/A,#N/A,FALSE,"liga sello";#N/A,#N/A,FALSE,"vialetas";#N/A,#N/A,FALSE,"raya amarill";#N/A,#N/A,FALSE,"raya blanca";#N/A,#N/A,FALSE,"bordillo"}</definedName>
    <definedName name="wrn.generadores." localSheetId="5" hidden="1">{#N/A,#N/A,FALSE,"fresestab";#N/A,#N/A,FALSE,"cemport";#N/A,#N/A,FALSE,"arena";#N/A,#N/A,FALSE,"ligacarpeta";#N/A,#N/A,FALSE,"carpeta";#N/A,#N/A,FALSE,"cem. carp.";#N/A,#N/A,FALSE,"open graded";#N/A,#N/A,FALSE,"cem. open";#N/A,#N/A,FALSE,"hule";#N/A,#N/A,FALSE,"sello rojo";#N/A,#N/A,FALSE,"liga sello";#N/A,#N/A,FALSE,"vialetas";#N/A,#N/A,FALSE,"raya amarill";#N/A,#N/A,FALSE,"raya blanca";#N/A,#N/A,FALSE,"bordillo"}</definedName>
    <definedName name="wrn.generadores." localSheetId="0" hidden="1">{#N/A,#N/A,FALSE,"fresestab";#N/A,#N/A,FALSE,"cemport";#N/A,#N/A,FALSE,"arena";#N/A,#N/A,FALSE,"ligacarpeta";#N/A,#N/A,FALSE,"carpeta";#N/A,#N/A,FALSE,"cem. carp.";#N/A,#N/A,FALSE,"open graded";#N/A,#N/A,FALSE,"cem. open";#N/A,#N/A,FALSE,"hule";#N/A,#N/A,FALSE,"sello rojo";#N/A,#N/A,FALSE,"liga sello";#N/A,#N/A,FALSE,"vialetas";#N/A,#N/A,FALSE,"raya amarill";#N/A,#N/A,FALSE,"raya blanca";#N/A,#N/A,FALSE,"bordillo"}</definedName>
    <definedName name="wrn.generadores." hidden="1">{#N/A,#N/A,FALSE,"fresestab";#N/A,#N/A,FALSE,"cemport";#N/A,#N/A,FALSE,"arena";#N/A,#N/A,FALSE,"ligacarpeta";#N/A,#N/A,FALSE,"carpeta";#N/A,#N/A,FALSE,"cem. carp.";#N/A,#N/A,FALSE,"open graded";#N/A,#N/A,FALSE,"cem. open";#N/A,#N/A,FALSE,"hule";#N/A,#N/A,FALSE,"sello rojo";#N/A,#N/A,FALSE,"liga sello";#N/A,#N/A,FALSE,"vialetas";#N/A,#N/A,FALSE,"raya amarill";#N/A,#N/A,FALSE,"raya blanca";#N/A,#N/A,FALSE,"bordillo"}</definedName>
    <definedName name="wrn.INCASA." localSheetId="4" hidden="1">{#N/A,#N/A,FALSE,"Inca"}</definedName>
    <definedName name="wrn.INCASA." localSheetId="5" hidden="1">{#N/A,#N/A,FALSE,"Inca"}</definedName>
    <definedName name="wrn.INCASA." localSheetId="0" hidden="1">{#N/A,#N/A,FALSE,"Inca"}</definedName>
    <definedName name="wrn.INCASA." hidden="1">{#N/A,#N/A,FALSE,"Inca"}</definedName>
    <definedName name="wrn.Informe._.al._.Directorio._.DELSUR." localSheetId="4" hidden="1">{#N/A,#N/A,TRUE,"CARATULA";"Estado de Resultados",#N/A,TRUE,"balance y E-R ";"Balance General",#N/A,TRUE,"balance y E-R ";#N/A,#N/A,TRUE,"TEND_PRESUP_2001";"Analisis Comparativo",#N/A,TRUE,"COMPARATIVO";"Resultado Comparativo Mensual",#N/A,TRUE,"EST.RES.MENSUAL";"Resultado Comparativo Acumulado",#N/A,TRUE,"EST.RES.ACUMULADO";"Activo NIC",#N/A,TRUE,"balance y E-R NIC";"Pasivo NIC",#N/A,TRUE,"balance y E-R NIC";"Resultados NIC",#N/A,TRUE,"balance y E-R NIC";"Presupuesto USGAAP",#N/A,TRUE,"PRESUP_GAAP_2001";"Tendencia USGAAP",#N/A,TRUE,"PRESUPUESTO EN US$ DOLARES REAL";"Tendencia USGAAP",#N/A,TRUE,"PRESUPUESTO EN US$ DOLARES REAL"}</definedName>
    <definedName name="wrn.Informe._.al._.Directorio._.DELSUR." localSheetId="5" hidden="1">{#N/A,#N/A,TRUE,"CARATULA";"Estado de Resultados",#N/A,TRUE,"balance y E-R ";"Balance General",#N/A,TRUE,"balance y E-R ";#N/A,#N/A,TRUE,"TEND_PRESUP_2001";"Analisis Comparativo",#N/A,TRUE,"COMPARATIVO";"Resultado Comparativo Mensual",#N/A,TRUE,"EST.RES.MENSUAL";"Resultado Comparativo Acumulado",#N/A,TRUE,"EST.RES.ACUMULADO";"Activo NIC",#N/A,TRUE,"balance y E-R NIC";"Pasivo NIC",#N/A,TRUE,"balance y E-R NIC";"Resultados NIC",#N/A,TRUE,"balance y E-R NIC";"Presupuesto USGAAP",#N/A,TRUE,"PRESUP_GAAP_2001";"Tendencia USGAAP",#N/A,TRUE,"PRESUPUESTO EN US$ DOLARES REAL";"Tendencia USGAAP",#N/A,TRUE,"PRESUPUESTO EN US$ DOLARES REAL"}</definedName>
    <definedName name="wrn.Informe._.al._.Directorio._.DELSUR." localSheetId="0" hidden="1">{#N/A,#N/A,TRUE,"CARATULA";"Estado de Resultados",#N/A,TRUE,"balance y E-R ";"Balance General",#N/A,TRUE,"balance y E-R ";#N/A,#N/A,TRUE,"TEND_PRESUP_2001";"Analisis Comparativo",#N/A,TRUE,"COMPARATIVO";"Resultado Comparativo Mensual",#N/A,TRUE,"EST.RES.MENSUAL";"Resultado Comparativo Acumulado",#N/A,TRUE,"EST.RES.ACUMULADO";"Activo NIC",#N/A,TRUE,"balance y E-R NIC";"Pasivo NIC",#N/A,TRUE,"balance y E-R NIC";"Resultados NIC",#N/A,TRUE,"balance y E-R NIC";"Presupuesto USGAAP",#N/A,TRUE,"PRESUP_GAAP_2001";"Tendencia USGAAP",#N/A,TRUE,"PRESUPUESTO EN US$ DOLARES REAL";"Tendencia USGAAP",#N/A,TRUE,"PRESUPUESTO EN US$ DOLARES REAL"}</definedName>
    <definedName name="wrn.Informe._.al._.Directorio._.DELSUR." hidden="1">{#N/A,#N/A,TRUE,"CARATULA";"Estado de Resultados",#N/A,TRUE,"balance y E-R ";"Balance General",#N/A,TRUE,"balance y E-R ";#N/A,#N/A,TRUE,"TEND_PRESUP_2001";"Analisis Comparativo",#N/A,TRUE,"COMPARATIVO";"Resultado Comparativo Mensual",#N/A,TRUE,"EST.RES.MENSUAL";"Resultado Comparativo Acumulado",#N/A,TRUE,"EST.RES.ACUMULADO";"Activo NIC",#N/A,TRUE,"balance y E-R NIC";"Pasivo NIC",#N/A,TRUE,"balance y E-R NIC";"Resultados NIC",#N/A,TRUE,"balance y E-R NIC";"Presupuesto USGAAP",#N/A,TRUE,"PRESUP_GAAP_2001";"Tendencia USGAAP",#N/A,TRUE,"PRESUPUESTO EN US$ DOLARES REAL";"Tendencia USGAAP",#N/A,TRUE,"PRESUPUESTO EN US$ DOLARES REAL"}</definedName>
    <definedName name="wrn.INFORME_XPAND." localSheetId="4" hidden="1">{"DETALLE_1996",#N/A,FALSE,"flujo";"DETALLE_1997",#N/A,FALSE,"flujo";"GASTOS_INCURRIDOS_1996",#N/A,FALSE,"flujo";"GASTOS_PROGRAMADOS_PARA_1997",#N/A,FALSE,"flujo";#N/A,#N/A,FALSE,"comparat";#N/A,#N/A,FALSE,"costos";#N/A,#N/A,FALSE,"proyctrol"}</definedName>
    <definedName name="wrn.INFORME_XPAND." localSheetId="5" hidden="1">{"DETALLE_1996",#N/A,FALSE,"flujo";"DETALLE_1997",#N/A,FALSE,"flujo";"GASTOS_INCURRIDOS_1996",#N/A,FALSE,"flujo";"GASTOS_PROGRAMADOS_PARA_1997",#N/A,FALSE,"flujo";#N/A,#N/A,FALSE,"comparat";#N/A,#N/A,FALSE,"costos";#N/A,#N/A,FALSE,"proyctrol"}</definedName>
    <definedName name="wrn.INFORME_XPAND." localSheetId="0" hidden="1">{"DETALLE_1996",#N/A,FALSE,"flujo";"DETALLE_1997",#N/A,FALSE,"flujo";"GASTOS_INCURRIDOS_1996",#N/A,FALSE,"flujo";"GASTOS_PROGRAMADOS_PARA_1997",#N/A,FALSE,"flujo";#N/A,#N/A,FALSE,"comparat";#N/A,#N/A,FALSE,"costos";#N/A,#N/A,FALSE,"proyctrol"}</definedName>
    <definedName name="wrn.INFORME_XPAND." hidden="1">{"DETALLE_1996",#N/A,FALSE,"flujo";"DETALLE_1997",#N/A,FALSE,"flujo";"GASTOS_INCURRIDOS_1996",#N/A,FALSE,"flujo";"GASTOS_PROGRAMADOS_PARA_1997",#N/A,FALSE,"flujo";#N/A,#N/A,FALSE,"comparat";#N/A,#N/A,FALSE,"costos";#N/A,#N/A,FALSE,"proyctrol"}</definedName>
    <definedName name="wrn.mario" localSheetId="4" hidden="1">{"Area1",#N/A,TRUE,"Obiettivo";"Area2",#N/A,TRUE,"Dati per Direzione"}</definedName>
    <definedName name="wrn.mario" localSheetId="5" hidden="1">{"Area1",#N/A,TRUE,"Obiettivo";"Area2",#N/A,TRUE,"Dati per Direzione"}</definedName>
    <definedName name="wrn.mario" localSheetId="0" hidden="1">{"Area1",#N/A,TRUE,"Obiettivo";"Area2",#N/A,TRUE,"Dati per Direzione"}</definedName>
    <definedName name="wrn.mario" hidden="1">{"Area1",#N/A,TRUE,"Obiettivo";"Area2",#N/A,TRUE,"Dati per Direzione"}</definedName>
    <definedName name="wrn.Mario." localSheetId="4" hidden="1">{"Area1",#N/A,TRUE,"Obiettivo";"Area2",#N/A,TRUE,"Dati per Direzione"}</definedName>
    <definedName name="wrn.Mario." localSheetId="5" hidden="1">{"Area1",#N/A,TRUE,"Obiettivo";"Area2",#N/A,TRUE,"Dati per Direzione"}</definedName>
    <definedName name="wrn.Mario." localSheetId="0" hidden="1">{"Area1",#N/A,TRUE,"Obiettivo";"Area2",#N/A,TRUE,"Dati per Direzione"}</definedName>
    <definedName name="wrn.Mario." hidden="1">{"Area1",#N/A,TRUE,"Obiettivo";"Area2",#N/A,TRUE,"Dati per Direzione"}</definedName>
    <definedName name="wrn.open._.graded." localSheetId="4" hidden="1">{#N/A,#N/A,FALSE,"resumen";#N/A,#N/A,FALSE,"señalam";#N/A,#N/A,FALSE,"pavim";#N/A,#N/A,FALSE,"portada1";#N/A,#N/A,FALSE,"portada2";#N/A,#N/A,FALSE,"portada3"}</definedName>
    <definedName name="wrn.open._.graded." localSheetId="5" hidden="1">{#N/A,#N/A,FALSE,"resumen";#N/A,#N/A,FALSE,"señalam";#N/A,#N/A,FALSE,"pavim";#N/A,#N/A,FALSE,"portada1";#N/A,#N/A,FALSE,"portada2";#N/A,#N/A,FALSE,"portada3"}</definedName>
    <definedName name="wrn.open._.graded." localSheetId="0" hidden="1">{#N/A,#N/A,FALSE,"resumen";#N/A,#N/A,FALSE,"señalam";#N/A,#N/A,FALSE,"pavim";#N/A,#N/A,FALSE,"portada1";#N/A,#N/A,FALSE,"portada2";#N/A,#N/A,FALSE,"portada3"}</definedName>
    <definedName name="wrn.open._.graded." hidden="1">{#N/A,#N/A,FALSE,"resumen";#N/A,#N/A,FALSE,"señalam";#N/A,#N/A,FALSE,"pavim";#N/A,#N/A,FALSE,"portada1";#N/A,#N/A,FALSE,"portada2";#N/A,#N/A,FALSE,"portada3"}</definedName>
    <definedName name="wrn.precios." localSheetId="4" hidden="1">{"CONCABL1.1",#N/A,FALSE,"1.1.1a1.1.3 ACSR";"AISL1.2",#N/A,FALSE,"1.1.1a1.1.3 ACSR";"torr1.1.3",#N/A,FALSE,"1.1.1a1.1.3 ACSR";"cm1.2",#N/A,FALSE,"1.2 ACSR";"cm2.2",#N/A,FALSE,"1.2 ACSR";#N/A,#N/A,FALSE,"1.3 ACSR";#N/A,#N/A,FALSE,"2.1.1A2.1.3 ACAR";"ac2.1",#N/A,FALSE,"1.2 ACAR";"ac2.2",#N/A,FALSE,"1.2 ACAR";#N/A,#N/A,FALSE,"2.3 ACAR"}</definedName>
    <definedName name="wrn.precios." localSheetId="6" hidden="1">{"CONCABL1.1",#N/A,FALSE,"1.1.1a1.1.3 ACSR";"AISL1.2",#N/A,FALSE,"1.1.1a1.1.3 ACSR";"torr1.1.3",#N/A,FALSE,"1.1.1a1.1.3 ACSR";"cm1.2",#N/A,FALSE,"1.2 ACSR";"cm2.2",#N/A,FALSE,"1.2 ACSR";#N/A,#N/A,FALSE,"1.3 ACSR";#N/A,#N/A,FALSE,"2.1.1A2.1.3 ACAR";"ac2.1",#N/A,FALSE,"1.2 ACAR";"ac2.2",#N/A,FALSE,"1.2 ACAR";#N/A,#N/A,FALSE,"2.3 ACAR"}</definedName>
    <definedName name="wrn.precios." localSheetId="5" hidden="1">{"CONCABL1.1",#N/A,FALSE,"1.1.1a1.1.3 ACSR";"AISL1.2",#N/A,FALSE,"1.1.1a1.1.3 ACSR";"torr1.1.3",#N/A,FALSE,"1.1.1a1.1.3 ACSR";"cm1.2",#N/A,FALSE,"1.2 ACSR";"cm2.2",#N/A,FALSE,"1.2 ACSR";#N/A,#N/A,FALSE,"1.3 ACSR";#N/A,#N/A,FALSE,"2.1.1A2.1.3 ACAR";"ac2.1",#N/A,FALSE,"1.2 ACAR";"ac2.2",#N/A,FALSE,"1.2 ACAR";#N/A,#N/A,FALSE,"2.3 ACAR"}</definedName>
    <definedName name="wrn.precios." localSheetId="0" hidden="1">{"CONCABL1.1",#N/A,FALSE,"1.1.1a1.1.3 ACSR";"AISL1.2",#N/A,FALSE,"1.1.1a1.1.3 ACSR";"torr1.1.3",#N/A,FALSE,"1.1.1a1.1.3 ACSR";"cm1.2",#N/A,FALSE,"1.2 ACSR";"cm2.2",#N/A,FALSE,"1.2 ACSR";#N/A,#N/A,FALSE,"1.3 ACSR";#N/A,#N/A,FALSE,"2.1.1A2.1.3 ACAR";"ac2.1",#N/A,FALSE,"1.2 ACAR";"ac2.2",#N/A,FALSE,"1.2 ACAR";#N/A,#N/A,FALSE,"2.3 ACAR"}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esup8." localSheetId="4" hidden="1">{#N/A,#N/A,FALSE,"Rehapav";#N/A,#N/A,FALSE,"fresestab";#N/A,#N/A,FALSE,"cemportl";#N/A,#N/A,FALSE,"ligacarpeta";#N/A,#N/A,FALSE,"carpeta"}</definedName>
    <definedName name="wrn.presup8." localSheetId="5" hidden="1">{#N/A,#N/A,FALSE,"Rehapav";#N/A,#N/A,FALSE,"fresestab";#N/A,#N/A,FALSE,"cemportl";#N/A,#N/A,FALSE,"ligacarpeta";#N/A,#N/A,FALSE,"carpeta"}</definedName>
    <definedName name="wrn.presup8." localSheetId="0" hidden="1">{#N/A,#N/A,FALSE,"Rehapav";#N/A,#N/A,FALSE,"fresestab";#N/A,#N/A,FALSE,"cemportl";#N/A,#N/A,FALSE,"ligacarpeta";#N/A,#N/A,FALSE,"carpeta"}</definedName>
    <definedName name="wrn.presup8." hidden="1">{#N/A,#N/A,FALSE,"Rehapav";#N/A,#N/A,FALSE,"fresestab";#N/A,#N/A,FALSE,"cemportl";#N/A,#N/A,FALSE,"ligacarpeta";#N/A,#N/A,FALSE,"carpeta"}</definedName>
    <definedName name="wrn.presupuesto." localSheetId="4" hidden="1">{#N/A,#N/A,FALSE,"resumen";#N/A,#N/A,FALSE,"señalam";#N/A,#N/A,FALSE,"pavim";#N/A,#N/A,FALSE,"obrdre";#N/A,#N/A,FALSE,"portada1";#N/A,#N/A,FALSE,"portada2";#N/A,#N/A,FALSE,"portada3"}</definedName>
    <definedName name="wrn.presupuesto." localSheetId="5" hidden="1">{#N/A,#N/A,FALSE,"resumen";#N/A,#N/A,FALSE,"señalam";#N/A,#N/A,FALSE,"pavim";#N/A,#N/A,FALSE,"obrdre";#N/A,#N/A,FALSE,"portada1";#N/A,#N/A,FALSE,"portada2";#N/A,#N/A,FALSE,"portada3"}</definedName>
    <definedName name="wrn.presupuesto." localSheetId="0" hidden="1">{#N/A,#N/A,FALSE,"resumen";#N/A,#N/A,FALSE,"señalam";#N/A,#N/A,FALSE,"pavim";#N/A,#N/A,FALSE,"obrdre";#N/A,#N/A,FALSE,"portada1";#N/A,#N/A,FALSE,"portada2";#N/A,#N/A,FALSE,"portada3"}</definedName>
    <definedName name="wrn.presupuesto." hidden="1">{#N/A,#N/A,FALSE,"resumen";#N/A,#N/A,FALSE,"señalam";#N/A,#N/A,FALSE,"pavim";#N/A,#N/A,FALSE,"obrdre";#N/A,#N/A,FALSE,"portada1";#N/A,#N/A,FALSE,"portada2";#N/A,#N/A,FALSE,"portada3"}</definedName>
    <definedName name="wrn.Print._.Base._.Case._.Statements." localSheetId="4"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5"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localSheetId="0"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_.Base._.Case._.Statements." hidden="1">{"Sens Table",#N/A,FALSE,"Timing &amp; Assumptions";#N/A,#N/A,FALSE,"Key Data &amp; Results";"Cash Flow",#N/A,FALSE,"Cash Flows";#N/A,#N/A,FALSE,"Table of Contents";"Total Op Expenses Base Case",#N/A,FALSE,"Total Op Costs";"Plant Opex Base Case",#N/A,FALSE,"Plant Operating Expenses";"Mine Opex Base Case",#N/A,FALSE,"Mine Op Costs";"View_Base",#N/A,FALSE,"Labor Summary by Operation";"View_Base",#N/A,FALSE,"Labor by Function";"Cost Base",#N/A,FALSE,"Cost Table";"Book Base",#N/A,FALSE,"Book Depreciation";"Mine Plan Base Case",#N/A,FALSE,"Mine Plan";"Unit Costs",#N/A,FALSE,"Timing &amp; Assumptions"}</definedName>
    <definedName name="wrn.print1." localSheetId="4" hidden="1">{#N/A,#N/A,TRUE,"Est. de Fact.";#N/A,#N/A,TRUE,"Capitulo 19";#N/A,#N/A,TRUE,"Proyecto P855"}</definedName>
    <definedName name="wrn.print1." localSheetId="5" hidden="1">{#N/A,#N/A,TRUE,"Est. de Fact.";#N/A,#N/A,TRUE,"Capitulo 19";#N/A,#N/A,TRUE,"Proyecto P855"}</definedName>
    <definedName name="wrn.print1." localSheetId="0" hidden="1">{#N/A,#N/A,TRUE,"Est. de Fact.";#N/A,#N/A,TRUE,"Capitulo 19";#N/A,#N/A,TRUE,"Proyecto P855"}</definedName>
    <definedName name="wrn.print1." hidden="1">{#N/A,#N/A,TRUE,"Est. de Fact.";#N/A,#N/A,TRUE,"Capitulo 19";#N/A,#N/A,TRUE,"Proyecto P855"}</definedName>
    <definedName name="wrn.PrintallD." localSheetId="4" hidden="1">{#N/A,#N/A,FALSE,"SumD";#N/A,#N/A,FALSE,"ElecD";#N/A,#N/A,FALSE,"MechD";#N/A,#N/A,FALSE,"GeotD";#N/A,#N/A,FALSE,"PrcsD";#N/A,#N/A,FALSE,"TunnD";#N/A,#N/A,FALSE,"CivlD";#N/A,#N/A,FALSE,"NtwkD";#N/A,#N/A,FALSE,"EstgD";#N/A,#N/A,FALSE,"PEngD"}</definedName>
    <definedName name="wrn.PrintallD." localSheetId="6" hidden="1">{#N/A,#N/A,FALSE,"SumD";#N/A,#N/A,FALSE,"ElecD";#N/A,#N/A,FALSE,"MechD";#N/A,#N/A,FALSE,"GeotD";#N/A,#N/A,FALSE,"PrcsD";#N/A,#N/A,FALSE,"TunnD";#N/A,#N/A,FALSE,"CivlD";#N/A,#N/A,FALSE,"NtwkD";#N/A,#N/A,FALSE,"EstgD";#N/A,#N/A,FALSE,"PEngD"}</definedName>
    <definedName name="wrn.PrintallD." localSheetId="5" hidden="1">{#N/A,#N/A,FALSE,"SumD";#N/A,#N/A,FALSE,"ElecD";#N/A,#N/A,FALSE,"MechD";#N/A,#N/A,FALSE,"GeotD";#N/A,#N/A,FALSE,"PrcsD";#N/A,#N/A,FALSE,"TunnD";#N/A,#N/A,FALSE,"CivlD";#N/A,#N/A,FALSE,"NtwkD";#N/A,#N/A,FALSE,"EstgD";#N/A,#N/A,FALSE,"PEngD"}</definedName>
    <definedName name="wrn.PrintallD." localSheetId="0"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4" hidden="1">{#N/A,#N/A,FALSE,"SumG";#N/A,#N/A,FALSE,"ElecG";#N/A,#N/A,FALSE,"MechG";#N/A,#N/A,FALSE,"GeotG";#N/A,#N/A,FALSE,"PrcsG";#N/A,#N/A,FALSE,"TunnG";#N/A,#N/A,FALSE,"CivlG";#N/A,#N/A,FALSE,"NtwkG";#N/A,#N/A,FALSE,"EstgG";#N/A,#N/A,FALSE,"PEngG"}</definedName>
    <definedName name="wrn.PrintallG." localSheetId="6" hidden="1">{#N/A,#N/A,FALSE,"SumG";#N/A,#N/A,FALSE,"ElecG";#N/A,#N/A,FALSE,"MechG";#N/A,#N/A,FALSE,"GeotG";#N/A,#N/A,FALSE,"PrcsG";#N/A,#N/A,FALSE,"TunnG";#N/A,#N/A,FALSE,"CivlG";#N/A,#N/A,FALSE,"NtwkG";#N/A,#N/A,FALSE,"EstgG";#N/A,#N/A,FALSE,"PEngG"}</definedName>
    <definedName name="wrn.PrintallG." localSheetId="5" hidden="1">{#N/A,#N/A,FALSE,"SumG";#N/A,#N/A,FALSE,"ElecG";#N/A,#N/A,FALSE,"MechG";#N/A,#N/A,FALSE,"GeotG";#N/A,#N/A,FALSE,"PrcsG";#N/A,#N/A,FALSE,"TunnG";#N/A,#N/A,FALSE,"CivlG";#N/A,#N/A,FALSE,"NtwkG";#N/A,#N/A,FALSE,"EstgG";#N/A,#N/A,FALSE,"PEngG"}</definedName>
    <definedName name="wrn.PrintallG." localSheetId="0"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PRINTBAS." localSheetId="4" hidden="1">{#N/A,#N/A,FALSE,"Total_OC015";#N/A,#N/A,FALSE,"ADMIN";#N/A,#N/A,FALSE,"PROCES";#N/A,#N/A,FALSE,"mecan";#N/A,#N/A,FALSE,"civil";#N/A,#N/A,FALSE,"CAÑER";#N/A,#N/A,FALSE,"ELEC";#N/A,#N/A,FALSE,"INSTR"}</definedName>
    <definedName name="wrn.PRINTBAS." localSheetId="5" hidden="1">{#N/A,#N/A,FALSE,"Total_OC015";#N/A,#N/A,FALSE,"ADMIN";#N/A,#N/A,FALSE,"PROCES";#N/A,#N/A,FALSE,"mecan";#N/A,#N/A,FALSE,"civil";#N/A,#N/A,FALSE,"CAÑER";#N/A,#N/A,FALSE,"ELEC";#N/A,#N/A,FALSE,"INSTR"}</definedName>
    <definedName name="wrn.PRINTBAS." localSheetId="0" hidden="1">{#N/A,#N/A,FALSE,"Total_OC015";#N/A,#N/A,FALSE,"ADMIN";#N/A,#N/A,FALSE,"PROCES";#N/A,#N/A,FALSE,"mecan";#N/A,#N/A,FALSE,"civil";#N/A,#N/A,FALSE,"CAÑER";#N/A,#N/A,FALSE,"ELEC";#N/A,#N/A,FALSE,"INSTR"}</definedName>
    <definedName name="wrn.PRINTBAS." hidden="1">{#N/A,#N/A,FALSE,"Total_OC015";#N/A,#N/A,FALSE,"ADMIN";#N/A,#N/A,FALSE,"PROCES";#N/A,#N/A,FALSE,"mecan";#N/A,#N/A,FALSE,"civil";#N/A,#N/A,FALSE,"CAÑER";#N/A,#N/A,FALSE,"ELEC";#N/A,#N/A,FALSE,"INSTR"}</definedName>
    <definedName name="wrn.PRINTEPRS." localSheetId="4" hidden="1">{#N/A,#N/A,FALSE,"minas";#N/A,#N/A,FALSE,"Total_OC015";#N/A,#N/A,FALSE,"ADMIN";#N/A,#N/A,FALSE,"PROCES";#N/A,#N/A,FALSE,"civil";#N/A,#N/A,FALSE,"CAÑER";#N/A,#N/A,FALSE,"ELEC";#N/A,#N/A,FALSE,"INSTR";#N/A,#N/A,FALSE,"PDS";#N/A,#N/A,FALSE,"mecan"}</definedName>
    <definedName name="wrn.PRINTEPRS." localSheetId="5" hidden="1">{#N/A,#N/A,FALSE,"minas";#N/A,#N/A,FALSE,"Total_OC015";#N/A,#N/A,FALSE,"ADMIN";#N/A,#N/A,FALSE,"PROCES";#N/A,#N/A,FALSE,"civil";#N/A,#N/A,FALSE,"CAÑER";#N/A,#N/A,FALSE,"ELEC";#N/A,#N/A,FALSE,"INSTR";#N/A,#N/A,FALSE,"PDS";#N/A,#N/A,FALSE,"mecan"}</definedName>
    <definedName name="wrn.PRINTEPRS." localSheetId="0" hidden="1">{#N/A,#N/A,FALSE,"minas";#N/A,#N/A,FALSE,"Total_OC015";#N/A,#N/A,FALSE,"ADMIN";#N/A,#N/A,FALSE,"PROCES";#N/A,#N/A,FALSE,"civil";#N/A,#N/A,FALSE,"CAÑER";#N/A,#N/A,FALSE,"ELEC";#N/A,#N/A,FALSE,"INSTR";#N/A,#N/A,FALSE,"PDS";#N/A,#N/A,FALSE,"mecan"}</definedName>
    <definedName name="wrn.PRINTEPRS." hidden="1">{#N/A,#N/A,FALSE,"minas";#N/A,#N/A,FALSE,"Total_OC015";#N/A,#N/A,FALSE,"ADMIN";#N/A,#N/A,FALSE,"PROCES";#N/A,#N/A,FALSE,"civil";#N/A,#N/A,FALSE,"CAÑER";#N/A,#N/A,FALSE,"ELEC";#N/A,#N/A,FALSE,"INSTR";#N/A,#N/A,FALSE,"PDS";#N/A,#N/A,FALSE,"mecan"}</definedName>
    <definedName name="wrn.printeprs1" localSheetId="4" hidden="1">{#N/A,#N/A,FALSE,"minas";#N/A,#N/A,FALSE,"Total_OC015";#N/A,#N/A,FALSE,"ADMIN";#N/A,#N/A,FALSE,"PROCES";#N/A,#N/A,FALSE,"civil";#N/A,#N/A,FALSE,"CAÑER";#N/A,#N/A,FALSE,"ELEC";#N/A,#N/A,FALSE,"INSTR";#N/A,#N/A,FALSE,"PDS";#N/A,#N/A,FALSE,"mecan"}</definedName>
    <definedName name="wrn.printeprs1" localSheetId="5" hidden="1">{#N/A,#N/A,FALSE,"minas";#N/A,#N/A,FALSE,"Total_OC015";#N/A,#N/A,FALSE,"ADMIN";#N/A,#N/A,FALSE,"PROCES";#N/A,#N/A,FALSE,"civil";#N/A,#N/A,FALSE,"CAÑER";#N/A,#N/A,FALSE,"ELEC";#N/A,#N/A,FALSE,"INSTR";#N/A,#N/A,FALSE,"PDS";#N/A,#N/A,FALSE,"mecan"}</definedName>
    <definedName name="wrn.printeprs1" localSheetId="0" hidden="1">{#N/A,#N/A,FALSE,"minas";#N/A,#N/A,FALSE,"Total_OC015";#N/A,#N/A,FALSE,"ADMIN";#N/A,#N/A,FALSE,"PROCES";#N/A,#N/A,FALSE,"civil";#N/A,#N/A,FALSE,"CAÑER";#N/A,#N/A,FALSE,"ELEC";#N/A,#N/A,FALSE,"INSTR";#N/A,#N/A,FALSE,"PDS";#N/A,#N/A,FALSE,"mecan"}</definedName>
    <definedName name="wrn.printeprs1" hidden="1">{#N/A,#N/A,FALSE,"minas";#N/A,#N/A,FALSE,"Total_OC015";#N/A,#N/A,FALSE,"ADMIN";#N/A,#N/A,FALSE,"PROCES";#N/A,#N/A,FALSE,"civil";#N/A,#N/A,FALSE,"CAÑER";#N/A,#N/A,FALSE,"ELEC";#N/A,#N/A,FALSE,"INSTR";#N/A,#N/A,FALSE,"PDS";#N/A,#N/A,FALSE,"mecan"}</definedName>
    <definedName name="wrn.Printing." localSheetId="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dundant._.Equipment._.Option." localSheetId="4" hidden="1">{"pumps",#N/A,FALSE,"Option"}</definedName>
    <definedName name="wrn.Redundant._.Equipment._.Option." localSheetId="6" hidden="1">{"pumps",#N/A,FALSE,"Option"}</definedName>
    <definedName name="wrn.Redundant._.Equipment._.Option." localSheetId="5" hidden="1">{"pumps",#N/A,FALSE,"Option"}</definedName>
    <definedName name="wrn.Redundant._.Equipment._.Option." localSheetId="0" hidden="1">{"pumps",#N/A,FALSE,"Option"}</definedName>
    <definedName name="wrn.Redundant._.Equipment._.Option." hidden="1">{"pumps",#N/A,FALSE,"Option"}</definedName>
    <definedName name="wrn.Reniv.._.base._.est.." localSheetId="4" hidden="1">{#N/A,#N/A,FALSE,"respav";#N/A,#N/A,FALSE,"base cemento";#N/A,#N/A,FALSE,"riego liga";#N/A,#N/A,FALSE,"carpeta";#N/A,#N/A,FALSE,"sello trad";#N/A,#N/A,FALSE,"señalamiento";#N/A,#N/A,FALSE,"roturado"}</definedName>
    <definedName name="wrn.Reniv.._.base._.est.." localSheetId="5" hidden="1">{#N/A,#N/A,FALSE,"respav";#N/A,#N/A,FALSE,"base cemento";#N/A,#N/A,FALSE,"riego liga";#N/A,#N/A,FALSE,"carpeta";#N/A,#N/A,FALSE,"sello trad";#N/A,#N/A,FALSE,"señalamiento";#N/A,#N/A,FALSE,"roturado"}</definedName>
    <definedName name="wrn.Reniv.._.base._.est.." localSheetId="0" hidden="1">{#N/A,#N/A,FALSE,"respav";#N/A,#N/A,FALSE,"base cemento";#N/A,#N/A,FALSE,"riego liga";#N/A,#N/A,FALSE,"carpeta";#N/A,#N/A,FALSE,"sello trad";#N/A,#N/A,FALSE,"señalamiento";#N/A,#N/A,FALSE,"roturado"}</definedName>
    <definedName name="wrn.Reniv.._.base._.est.." hidden="1">{#N/A,#N/A,FALSE,"respav";#N/A,#N/A,FALSE,"base cemento";#N/A,#N/A,FALSE,"riego liga";#N/A,#N/A,FALSE,"carpeta";#N/A,#N/A,FALSE,"sello trad";#N/A,#N/A,FALSE,"señalamiento";#N/A,#N/A,FALSE,"roturado"}</definedName>
    <definedName name="wrn.señalmiento." localSheetId="4" hidden="1">{#N/A,#N/A,FALSE,"raya blanca";#N/A,#N/A,FALSE,"raya amarill";#N/A,#N/A,FALSE,"vialetas"}</definedName>
    <definedName name="wrn.señalmiento." localSheetId="5" hidden="1">{#N/A,#N/A,FALSE,"raya blanca";#N/A,#N/A,FALSE,"raya amarill";#N/A,#N/A,FALSE,"vialetas"}</definedName>
    <definedName name="wrn.señalmiento." localSheetId="0" hidden="1">{#N/A,#N/A,FALSE,"raya blanca";#N/A,#N/A,FALSE,"raya amarill";#N/A,#N/A,FALSE,"vialetas"}</definedName>
    <definedName name="wrn.señalmiento." hidden="1">{#N/A,#N/A,FALSE,"raya blanca";#N/A,#N/A,FALSE,"raya amarill";#N/A,#N/A,FALSE,"vialetas"}</definedName>
    <definedName name="wrn.sim." localSheetId="4" hidden="1">{#N/A,#N/A,FALSE,"F-1";#N/A,#N/A,FALSE,"F-2";#N/A,#N/A,FALSE,"F-2.1";#N/A,#N/A,FALSE,"F-3";#N/A,#N/A,FALSE,"F-4";#N/A,#N/A,FALSE,"F-5";#N/A,#N/A,FALSE,"F-6"}</definedName>
    <definedName name="wrn.sim." localSheetId="5" hidden="1">{#N/A,#N/A,FALSE,"F-1";#N/A,#N/A,FALSE,"F-2";#N/A,#N/A,FALSE,"F-2.1";#N/A,#N/A,FALSE,"F-3";#N/A,#N/A,FALSE,"F-4";#N/A,#N/A,FALSE,"F-5";#N/A,#N/A,FALSE,"F-6"}</definedName>
    <definedName name="wrn.sim." localSheetId="0" hidden="1">{#N/A,#N/A,FALSE,"F-1";#N/A,#N/A,FALSE,"F-2";#N/A,#N/A,FALSE,"F-2.1";#N/A,#N/A,FALSE,"F-3";#N/A,#N/A,FALSE,"F-4";#N/A,#N/A,FALSE,"F-5";#N/A,#N/A,FALSE,"F-6"}</definedName>
    <definedName name="wrn.sim." hidden="1">{#N/A,#N/A,FALSE,"F-1";#N/A,#N/A,FALSE,"F-2";#N/A,#N/A,FALSE,"F-2.1";#N/A,#N/A,FALSE,"F-3";#N/A,#N/A,FALSE,"F-4";#N/A,#N/A,FALSE,"F-5";#N/A,#N/A,FALSE,"F-6"}</definedName>
    <definedName name="wrn.STG._.BLDG._.ENCLOSURE." localSheetId="4" hidden="1">{"turbine",#N/A,FALSE,"Option"}</definedName>
    <definedName name="wrn.STG._.BLDG._.ENCLOSURE." localSheetId="6" hidden="1">{"turbine",#N/A,FALSE,"Option"}</definedName>
    <definedName name="wrn.STG._.BLDG._.ENCLOSURE." localSheetId="5" hidden="1">{"turbine",#N/A,FALSE,"Option"}</definedName>
    <definedName name="wrn.STG._.BLDG._.ENCLOSURE." localSheetId="0" hidden="1">{"turbine",#N/A,FALSE,"Option"}</definedName>
    <definedName name="wrn.STG._.BLDG._.ENCLOSURE." hidden="1">{"turbine",#N/A,FALSE,"Option"}</definedName>
    <definedName name="wrn.struckgi." localSheetId="4" hidden="1">{#N/A,#N/A,TRUE,"arnitower";#N/A,#N/A,TRUE,"arnigarage "}</definedName>
    <definedName name="wrn.struckgi." localSheetId="6" hidden="1">{#N/A,#N/A,TRUE,"arnitower";#N/A,#N/A,TRUE,"arnigarage "}</definedName>
    <definedName name="wrn.struckgi." localSheetId="5" hidden="1">{#N/A,#N/A,TRUE,"arnitower";#N/A,#N/A,TRUE,"arnigarage "}</definedName>
    <definedName name="wrn.struckgi." localSheetId="0" hidden="1">{#N/A,#N/A,TRUE,"arnitower";#N/A,#N/A,TRUE,"arnigarage "}</definedName>
    <definedName name="wrn.struckgi." hidden="1">{#N/A,#N/A,TRUE,"arnitower";#N/A,#N/A,TRUE,"arnigarage "}</definedName>
    <definedName name="wrn.Tarifas." localSheetId="4" hidden="1">{"vista1",#N/A,FALSE,"Tarifas_Teoricas_May_97";"vista2",#N/A,FALSE,"Tarifas_Teoricas_May_97";"vista1",#N/A,FALSE,"Tarifas_Barra_May_97";"vista2",#N/A,FALSE,"Tarifas_Barra_May_97"}</definedName>
    <definedName name="wrn.Tarifas." localSheetId="5" hidden="1">{"vista1",#N/A,FALSE,"Tarifas_Teoricas_May_97";"vista2",#N/A,FALSE,"Tarifas_Teoricas_May_97";"vista1",#N/A,FALSE,"Tarifas_Barra_May_97";"vista2",#N/A,FALSE,"Tarifas_Barra_May_97"}</definedName>
    <definedName name="wrn.Tarifas." localSheetId="0" hidden="1">{"vista1",#N/A,FALSE,"Tarifas_Teoricas_May_97";"vista2",#N/A,FALSE,"Tarifas_Teoricas_May_97";"vista1",#N/A,FALSE,"Tarifas_Barra_May_97";"vista2",#N/A,FALSE,"Tarifas_Barra_May_97"}</definedName>
    <definedName name="wrn.Tarifas." hidden="1">{"vista1",#N/A,FALSE,"Tarifas_Teoricas_May_97";"vista2",#N/A,FALSE,"Tarifas_Teoricas_May_97";"vista1",#N/A,FALSE,"Tarifas_Barra_May_97";"vista2",#N/A,FALSE,"Tarifas_Barra_May_97"}</definedName>
    <definedName name="wrn.Todo." localSheetId="4"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5"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localSheetId="0"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unidades." localSheetId="4" hidden="1">{#N/A,#N/A,FALSE,"RESUMEN";#N/A,#N/A,FALSE,"GG-GI";#N/A,#N/A,FALSE,"AMB";#N/A,#N/A,FALSE,"EyR";#N/A,#N/A,FALSE,"UCP";#N/A,#N/A,FALSE,"IND";#N/A,#N/A,FALSE,"LR";#N/A,#N/A,FALSE,"PRV";#N/A,#N/A,FALSE,"TÚNELES";#N/A,#N/A,FALSE,"IDT";#N/A,#N/A,FALSE,"ING"}</definedName>
    <definedName name="wrn.unidades." localSheetId="5" hidden="1">{#N/A,#N/A,FALSE,"RESUMEN";#N/A,#N/A,FALSE,"GG-GI";#N/A,#N/A,FALSE,"AMB";#N/A,#N/A,FALSE,"EyR";#N/A,#N/A,FALSE,"UCP";#N/A,#N/A,FALSE,"IND";#N/A,#N/A,FALSE,"LR";#N/A,#N/A,FALSE,"PRV";#N/A,#N/A,FALSE,"TÚNELES";#N/A,#N/A,FALSE,"IDT";#N/A,#N/A,FALSE,"ING"}</definedName>
    <definedName name="wrn.unidades." localSheetId="0" hidden="1">{#N/A,#N/A,FALSE,"RESUMEN";#N/A,#N/A,FALSE,"GG-GI";#N/A,#N/A,FALSE,"AMB";#N/A,#N/A,FALSE,"EyR";#N/A,#N/A,FALSE,"UCP";#N/A,#N/A,FALSE,"IND";#N/A,#N/A,FALSE,"LR";#N/A,#N/A,FALSE,"PRV";#N/A,#N/A,FALSE,"TÚNELES";#N/A,#N/A,FALSE,"IDT";#N/A,#N/A,FALSE,"ING"}</definedName>
    <definedName name="wrn.unidades." hidden="1">{#N/A,#N/A,FALSE,"RESUMEN";#N/A,#N/A,FALSE,"GG-GI";#N/A,#N/A,FALSE,"AMB";#N/A,#N/A,FALSE,"EyR";#N/A,#N/A,FALSE,"UCP";#N/A,#N/A,FALSE,"IND";#N/A,#N/A,FALSE,"LR";#N/A,#N/A,FALSE,"PRV";#N/A,#N/A,FALSE,"TÚNELES";#N/A,#N/A,FALSE,"IDT";#N/A,#N/A,FALSE,"ING"}</definedName>
    <definedName name="wrn.vol.._.kilomet.." localSheetId="4" hidden="1">{#N/A,#N/A,FALSE,"respav";#N/A,#N/A,FALSE,"reseñal";#N/A,#N/A,FALSE,"fresado";#N/A,#N/A,FALSE,"Arena";#N/A,#N/A,FALSE,"cemport";#N/A,#N/A,FALSE,"riego de liga";#N/A,#N/A,FALSE,"carpeta";#N/A,#N/A,FALSE,"open graded";#N/A,#N/A,FALSE,"señalamiento"}</definedName>
    <definedName name="wrn.vol.._.kilomet.." localSheetId="5" hidden="1">{#N/A,#N/A,FALSE,"respav";#N/A,#N/A,FALSE,"reseñal";#N/A,#N/A,FALSE,"fresado";#N/A,#N/A,FALSE,"Arena";#N/A,#N/A,FALSE,"cemport";#N/A,#N/A,FALSE,"riego de liga";#N/A,#N/A,FALSE,"carpeta";#N/A,#N/A,FALSE,"open graded";#N/A,#N/A,FALSE,"señalamiento"}</definedName>
    <definedName name="wrn.vol.._.kilomet.." localSheetId="0" hidden="1">{#N/A,#N/A,FALSE,"respav";#N/A,#N/A,FALSE,"reseñal";#N/A,#N/A,FALSE,"fresado";#N/A,#N/A,FALSE,"Arena";#N/A,#N/A,FALSE,"cemport";#N/A,#N/A,FALSE,"riego de liga";#N/A,#N/A,FALSE,"carpeta";#N/A,#N/A,FALSE,"open graded";#N/A,#N/A,FALSE,"señalamiento"}</definedName>
    <definedName name="wrn.vol.._.kilomet.." hidden="1">{#N/A,#N/A,FALSE,"respav";#N/A,#N/A,FALSE,"reseñal";#N/A,#N/A,FALSE,"fresado";#N/A,#N/A,FALSE,"Arena";#N/A,#N/A,FALSE,"cemport";#N/A,#N/A,FALSE,"riego de liga";#N/A,#N/A,FALSE,"carpeta";#N/A,#N/A,FALSE,"open graded";#N/A,#N/A,FALSE,"señalamiento"}</definedName>
    <definedName name="wrn.vol._.kilmet.." localSheetId="4" hidden="1">{#N/A,#N/A,FALSE,"respav";#N/A,#N/A,FALSE,"reseñal";#N/A,#N/A,FALSE,"fresado";#N/A,#N/A,FALSE,"cemport";#N/A,#N/A,FALSE,"riego de liga";#N/A,#N/A,FALSE,"carpeta";#N/A,#N/A,FALSE,"open graded";#N/A,#N/A,FALSE,"sello rojo";#N/A,#N/A,FALSE,"señalamiento"}</definedName>
    <definedName name="wrn.vol._.kilmet.." localSheetId="5" hidden="1">{#N/A,#N/A,FALSE,"respav";#N/A,#N/A,FALSE,"reseñal";#N/A,#N/A,FALSE,"fresado";#N/A,#N/A,FALSE,"cemport";#N/A,#N/A,FALSE,"riego de liga";#N/A,#N/A,FALSE,"carpeta";#N/A,#N/A,FALSE,"open graded";#N/A,#N/A,FALSE,"sello rojo";#N/A,#N/A,FALSE,"señalamiento"}</definedName>
    <definedName name="wrn.vol._.kilmet.." localSheetId="0" hidden="1">{#N/A,#N/A,FALSE,"respav";#N/A,#N/A,FALSE,"reseñal";#N/A,#N/A,FALSE,"fresado";#N/A,#N/A,FALSE,"cemport";#N/A,#N/A,FALSE,"riego de liga";#N/A,#N/A,FALSE,"carpeta";#N/A,#N/A,FALSE,"open graded";#N/A,#N/A,FALSE,"sello rojo";#N/A,#N/A,FALSE,"señalamiento"}</definedName>
    <definedName name="wrn.vol._.kilmet.." hidden="1">{#N/A,#N/A,FALSE,"respav";#N/A,#N/A,FALSE,"reseñal";#N/A,#N/A,FALSE,"fresado";#N/A,#N/A,FALSE,"cemport";#N/A,#N/A,FALSE,"riego de liga";#N/A,#N/A,FALSE,"carpeta";#N/A,#N/A,FALSE,"open graded";#N/A,#N/A,FALSE,"sello rojo";#N/A,#N/A,FALSE,"señalamiento"}</definedName>
    <definedName name="wrn.WHOUSE._.CT." localSheetId="4" hidden="1">{"WESTINGHOUSE",#N/A,FALSE,"Option"}</definedName>
    <definedName name="wrn.WHOUSE._.CT." localSheetId="6" hidden="1">{"WESTINGHOUSE",#N/A,FALSE,"Option"}</definedName>
    <definedName name="wrn.WHOUSE._.CT." localSheetId="5" hidden="1">{"WESTINGHOUSE",#N/A,FALSE,"Option"}</definedName>
    <definedName name="wrn.WHOUSE._.CT." localSheetId="0" hidden="1">{"WESTINGHOUSE",#N/A,FALSE,"Option"}</definedName>
    <definedName name="wrn.WHOUSE._.CT." hidden="1">{"WESTINGHOUSE",#N/A,FALSE,"Option"}</definedName>
    <definedName name="ws">#REF!</definedName>
    <definedName name="ws_3" localSheetId="4">#REF!</definedName>
    <definedName name="ws_3" localSheetId="5">#REF!</definedName>
    <definedName name="ws_3" localSheetId="0">#REF!</definedName>
    <definedName name="ws_3">#REF!</definedName>
    <definedName name="wsdf" localSheetId="4" hidden="1">{#N/A,#N/A,FALSE,"Total_OC015";#N/A,#N/A,FALSE,"ADMIN";#N/A,#N/A,FALSE,"PROCES";#N/A,#N/A,FALSE,"mecan";#N/A,#N/A,FALSE,"civil";#N/A,#N/A,FALSE,"CAÑER";#N/A,#N/A,FALSE,"ELEC";#N/A,#N/A,FALSE,"INSTR"}</definedName>
    <definedName name="wsdf" localSheetId="5" hidden="1">{#N/A,#N/A,FALSE,"Total_OC015";#N/A,#N/A,FALSE,"ADMIN";#N/A,#N/A,FALSE,"PROCES";#N/A,#N/A,FALSE,"mecan";#N/A,#N/A,FALSE,"civil";#N/A,#N/A,FALSE,"CAÑER";#N/A,#N/A,FALSE,"ELEC";#N/A,#N/A,FALSE,"INSTR"}</definedName>
    <definedName name="wsdf" localSheetId="0" hidden="1">{#N/A,#N/A,FALSE,"Total_OC015";#N/A,#N/A,FALSE,"ADMIN";#N/A,#N/A,FALSE,"PROCES";#N/A,#N/A,FALSE,"mecan";#N/A,#N/A,FALSE,"civil";#N/A,#N/A,FALSE,"CAÑER";#N/A,#N/A,FALSE,"ELEC";#N/A,#N/A,FALSE,"INSTR"}</definedName>
    <definedName name="wsdf" hidden="1">{#N/A,#N/A,FALSE,"Total_OC015";#N/A,#N/A,FALSE,"ADMIN";#N/A,#N/A,FALSE,"PROCES";#N/A,#N/A,FALSE,"mecan";#N/A,#N/A,FALSE,"civil";#N/A,#N/A,FALSE,"CAÑER";#N/A,#N/A,FALSE,"ELEC";#N/A,#N/A,FALSE,"INSTR"}</definedName>
    <definedName name="wsk" localSheetId="4">#REF!</definedName>
    <definedName name="wsk" localSheetId="5">#REF!</definedName>
    <definedName name="wsk" localSheetId="0">#REF!</definedName>
    <definedName name="wsk">#REF!</definedName>
    <definedName name="WSP" localSheetId="4">#REF!</definedName>
    <definedName name="WSP" localSheetId="5">#REF!</definedName>
    <definedName name="WSP" localSheetId="0">#REF!</definedName>
    <definedName name="WSP">#REF!</definedName>
    <definedName name="wsp._kost._materiały">"$#ODWOŁANIE!.$C$176"</definedName>
    <definedName name="wsp._kost._materiały___1">"$BUDŻET_K_O_żelbet.$#ODWOŁANIE!$#ODWOŁANIE!"</definedName>
    <definedName name="wsp._kost._robocizny">"$#ODWOŁANIE!.$C$175"</definedName>
    <definedName name="wsp._kost._robocizny___1">"$BUDŻET_K_O_żelbet.$#ODWOŁANIE!$#ODWOŁANIE!"</definedName>
    <definedName name="wsp.GD" localSheetId="4">#REF!</definedName>
    <definedName name="wsp.GD" localSheetId="5">#REF!</definedName>
    <definedName name="wsp.GD" localSheetId="0">#REF!</definedName>
    <definedName name="wsp.GD">#REF!</definedName>
    <definedName name="wsp.OD" localSheetId="4">#REF!</definedName>
    <definedName name="wsp.OD" localSheetId="5">#REF!</definedName>
    <definedName name="wsp.OD" localSheetId="0">#REF!</definedName>
    <definedName name="wsp.OD">#REF!</definedName>
    <definedName name="wsp.RK" localSheetId="4">#REF!</definedName>
    <definedName name="wsp.RK" localSheetId="5">#REF!</definedName>
    <definedName name="wsp.RK" localSheetId="0">#REF!</definedName>
    <definedName name="wsp.RK">#REF!</definedName>
    <definedName name="wsp.RZ" localSheetId="4">#REF!</definedName>
    <definedName name="wsp.RZ" localSheetId="0">#REF!</definedName>
    <definedName name="wsp.RZ">#REF!</definedName>
    <definedName name="wsp.W" localSheetId="4">#REF!</definedName>
    <definedName name="wsp.W" localSheetId="5">#REF!</definedName>
    <definedName name="wsp.W" localSheetId="0">#REF!</definedName>
    <definedName name="wsp.W">#REF!</definedName>
    <definedName name="wsp_POW">"'file:///I:/derby IV/BUDżEK - DERBY4-ETAP CAŁOŚĆ-4.07.03-1.xls'#$'BUDŻET _ETAP CAŁOŚĆ'.$#ODWOŁANIE!$#ODWOŁANIE!"</definedName>
    <definedName name="WspKorA" localSheetId="4">#REF!</definedName>
    <definedName name="WspKorA" localSheetId="5">#REF!</definedName>
    <definedName name="WspKorA" localSheetId="0">#REF!</definedName>
    <definedName name="WspKorA">#REF!</definedName>
    <definedName name="WspKorB" localSheetId="4">#REF!</definedName>
    <definedName name="WspKorB" localSheetId="5">#REF!</definedName>
    <definedName name="WspKorB" localSheetId="0">#REF!</definedName>
    <definedName name="WspKorB">#REF!</definedName>
    <definedName name="WspKorC" localSheetId="4">#REF!</definedName>
    <definedName name="WspKorC" localSheetId="5">#REF!</definedName>
    <definedName name="WspKorC" localSheetId="0">#REF!</definedName>
    <definedName name="WspKorC">#REF!</definedName>
    <definedName name="WspKorD" localSheetId="4">#REF!</definedName>
    <definedName name="WspKorD" localSheetId="0">#REF!</definedName>
    <definedName name="WspKorD">#REF!</definedName>
    <definedName name="Wspornik_dla_zwierząt">150</definedName>
    <definedName name="Wstaw_sprzęt_ciężki" localSheetId="4">#REF!</definedName>
    <definedName name="Wstaw_sprzęt_ciężki" localSheetId="5">#REF!</definedName>
    <definedName name="Wstaw_sprzęt_ciężki" localSheetId="0">#REF!</definedName>
    <definedName name="Wstaw_sprzęt_ciężki">#REF!</definedName>
    <definedName name="WszystkieFirmy" localSheetId="4">#REF!</definedName>
    <definedName name="WszystkieFirmy" localSheetId="5">#REF!</definedName>
    <definedName name="WszystkieFirmy" localSheetId="0">#REF!</definedName>
    <definedName name="WszystkieFirmy">#REF!</definedName>
    <definedName name="wtg_taltal" localSheetId="4">#REF!</definedName>
    <definedName name="wtg_taltal" localSheetId="5">#REF!</definedName>
    <definedName name="wtg_taltal" localSheetId="0">#REF!</definedName>
    <definedName name="wtg_taltal">#REF!</definedName>
    <definedName name="wtgs" localSheetId="4">#REF!</definedName>
    <definedName name="wtgs" localSheetId="5">#REF!</definedName>
    <definedName name="wtgs" localSheetId="0">#REF!</definedName>
    <definedName name="wtgs">#REF!</definedName>
    <definedName name="wu" localSheetId="4">#REF!</definedName>
    <definedName name="wu" localSheetId="5">#REF!</definedName>
    <definedName name="wu" localSheetId="0">#REF!</definedName>
    <definedName name="wu">#REF!</definedName>
    <definedName name="ww" localSheetId="4">#REF!</definedName>
    <definedName name="ww" localSheetId="5">#REF!</definedName>
    <definedName name="ww" localSheetId="0">#REF!</definedName>
    <definedName name="ww">#REF!</definedName>
    <definedName name="www" localSheetId="0">#REF!</definedName>
    <definedName name="www">#REF!</definedName>
    <definedName name="wwwe" localSheetId="4">#REF!</definedName>
    <definedName name="wwwe" localSheetId="5">#REF!</definedName>
    <definedName name="wwwe" localSheetId="0">#REF!</definedName>
    <definedName name="wwwe">#REF!</definedName>
    <definedName name="wy" localSheetId="0">#REF!</definedName>
    <definedName name="wy">#REF!</definedName>
    <definedName name="wycinka_drzew_sr_10_do_15" localSheetId="4">#REF!</definedName>
    <definedName name="wycinka_drzew_sr_10_do_15" localSheetId="5">#REF!</definedName>
    <definedName name="wycinka_drzew_sr_10_do_15" localSheetId="0">#REF!</definedName>
    <definedName name="wycinka_drzew_sr_10_do_15">#REF!</definedName>
    <definedName name="wycinka_drzew_sr_16_do_35" localSheetId="4">#REF!</definedName>
    <definedName name="wycinka_drzew_sr_16_do_35" localSheetId="5">#REF!</definedName>
    <definedName name="wycinka_drzew_sr_16_do_35" localSheetId="0">#REF!</definedName>
    <definedName name="wycinka_drzew_sr_16_do_35">#REF!</definedName>
    <definedName name="wycinka_drzew_sr_36_do_45" localSheetId="4">#REF!</definedName>
    <definedName name="wycinka_drzew_sr_36_do_45" localSheetId="5">#REF!</definedName>
    <definedName name="wycinka_drzew_sr_36_do_45" localSheetId="0">#REF!</definedName>
    <definedName name="wycinka_drzew_sr_36_do_45">#REF!</definedName>
    <definedName name="wycinka_drzew_sr_46_do_55" localSheetId="4">#REF!</definedName>
    <definedName name="wycinka_drzew_sr_46_do_55" localSheetId="0">#REF!</definedName>
    <definedName name="wycinka_drzew_sr_46_do_55">#REF!</definedName>
    <definedName name="wycinka_drzew_sr_56_do_75" localSheetId="4">#REF!</definedName>
    <definedName name="wycinka_drzew_sr_56_do_75" localSheetId="0">#REF!</definedName>
    <definedName name="wycinka_drzew_sr_56_do_75">#REF!</definedName>
    <definedName name="wycinka_drzew_sr_powyżej_75" localSheetId="4">#REF!</definedName>
    <definedName name="wycinka_drzew_sr_powyżej_75" localSheetId="0">#REF!</definedName>
    <definedName name="wycinka_drzew_sr_powyżej_75">#REF!</definedName>
    <definedName name="wyk" localSheetId="4">#REF!</definedName>
    <definedName name="wyk" localSheetId="0">#REF!</definedName>
    <definedName name="wyk">#REF!</definedName>
    <definedName name="Wykonanie_nasypów_mechanicznie_z_gruntu_kat._I_VI" localSheetId="4">#REF!</definedName>
    <definedName name="Wykonanie_nasypów_mechanicznie_z_gruntu_kat._I_VI" localSheetId="5">#REF!</definedName>
    <definedName name="Wykonanie_nasypów_mechanicznie_z_gruntu_kat._I_VI" localSheetId="0">#REF!</definedName>
    <definedName name="Wykonanie_nasypów_mechanicznie_z_gruntu_kat._I_VI">#REF!</definedName>
    <definedName name="wykop" localSheetId="4">#REF!</definedName>
    <definedName name="wykop" localSheetId="5">#REF!</definedName>
    <definedName name="wykop" localSheetId="0">#REF!</definedName>
    <definedName name="wykop">#REF!</definedName>
    <definedName name="wykop_całkowity" localSheetId="4">#REF!</definedName>
    <definedName name="wykop_całkowity" localSheetId="5">#REF!</definedName>
    <definedName name="wykop_całkowity" localSheetId="0">#REF!</definedName>
    <definedName name="wykop_całkowity">#REF!</definedName>
    <definedName name="Wykopy">50</definedName>
    <definedName name="wykopy_zjazdy" localSheetId="4">#REF!</definedName>
    <definedName name="wykopy_zjazdy" localSheetId="5">#REF!</definedName>
    <definedName name="wykopy_zjazdy" localSheetId="0">#REF!</definedName>
    <definedName name="wykopy_zjazdy">#REF!</definedName>
    <definedName name="Wymiana_gruntu">80</definedName>
    <definedName name="Wypełnienie_humusem">30</definedName>
    <definedName name="wyrównanie" localSheetId="4">#REF!</definedName>
    <definedName name="wyrównanie" localSheetId="5">#REF!</definedName>
    <definedName name="wyrównanie" localSheetId="0">#REF!</definedName>
    <definedName name="wyrównanie">#REF!</definedName>
    <definedName name="wyrównanie_kruszywem_na_dojściach_m3" localSheetId="4">#REF!</definedName>
    <definedName name="wyrównanie_kruszywem_na_dojściach_m3" localSheetId="5">#REF!</definedName>
    <definedName name="wyrównanie_kruszywem_na_dojściach_m3" localSheetId="0">#REF!</definedName>
    <definedName name="wyrównanie_kruszywem_na_dojściach_m3">#REF!</definedName>
    <definedName name="wyrównanie_kruszywem_na_zjazdach_m3" localSheetId="4">#REF!</definedName>
    <definedName name="wyrównanie_kruszywem_na_zjazdach_m3" localSheetId="5">#REF!</definedName>
    <definedName name="wyrównanie_kruszywem_na_zjazdach_m3" localSheetId="0">#REF!</definedName>
    <definedName name="wyrównanie_kruszywem_na_zjazdach_m3">#REF!</definedName>
    <definedName name="wyrównanie_kruszywem_najezdni_m3" localSheetId="4">#REF!</definedName>
    <definedName name="wyrównanie_kruszywem_najezdni_m3" localSheetId="0">#REF!</definedName>
    <definedName name="wyrównanie_kruszywem_najezdni_m3">#REF!</definedName>
    <definedName name="wyrównanie_kruszywem_opaski_przy_ogrodzeniu" localSheetId="4">#REF!</definedName>
    <definedName name="wyrównanie_kruszywem_opaski_przy_ogrodzeniu" localSheetId="0">#REF!</definedName>
    <definedName name="wyrównanie_kruszywem_opaski_przy_ogrodzeniu">#REF!</definedName>
    <definedName name="wyrównanie_wb" localSheetId="4">#REF!</definedName>
    <definedName name="wyrównanie_wb" localSheetId="0">#REF!</definedName>
    <definedName name="wyrównanie_wb">#REF!</definedName>
    <definedName name="wyrównanie_z_AC_na_jezdni_t" localSheetId="4">#REF!</definedName>
    <definedName name="wyrównanie_z_AC_na_jezdni_t" localSheetId="0">#REF!</definedName>
    <definedName name="wyrównanie_z_AC_na_jezdni_t">#REF!</definedName>
    <definedName name="wyrównanie_z_AC_na_zjazdach_m3" localSheetId="4">#REF!</definedName>
    <definedName name="wyrównanie_z_AC_na_zjazdach_m3" localSheetId="0">#REF!</definedName>
    <definedName name="wyrównanie_z_AC_na_zjazdach_m3">#REF!</definedName>
    <definedName name="wyrównanie_z_AC_na_zjazdach_t" localSheetId="4">#REF!</definedName>
    <definedName name="wyrównanie_z_AC_na_zjazdach_t" localSheetId="0">#REF!</definedName>
    <definedName name="wyrównanie_z_AC_na_zjazdach_t">#REF!</definedName>
    <definedName name="WYZ" localSheetId="4">#REF!</definedName>
    <definedName name="WYZ" localSheetId="0">#REF!</definedName>
    <definedName name="WYZ">#REF!</definedName>
    <definedName name="Wzmocnienie" localSheetId="4">#REF!</definedName>
    <definedName name="Wzmocnienie" localSheetId="0">#REF!</definedName>
    <definedName name="Wzmocnienie">#REF!</definedName>
    <definedName name="X" localSheetId="4">#REF!</definedName>
    <definedName name="x" localSheetId="5">#REF!</definedName>
    <definedName name="x" localSheetId="0">#REF!</definedName>
    <definedName name="x">#REF!</definedName>
    <definedName name="xc" localSheetId="4" hidden="1">{#N/A,#N/A,FALSE,"SumD";#N/A,#N/A,FALSE,"ElecD";#N/A,#N/A,FALSE,"MechD";#N/A,#N/A,FALSE,"GeotD";#N/A,#N/A,FALSE,"PrcsD";#N/A,#N/A,FALSE,"TunnD";#N/A,#N/A,FALSE,"CivlD";#N/A,#N/A,FALSE,"NtwkD";#N/A,#N/A,FALSE,"EstgD";#N/A,#N/A,FALSE,"PEngD"}</definedName>
    <definedName name="xc" localSheetId="6" hidden="1">{#N/A,#N/A,FALSE,"SumD";#N/A,#N/A,FALSE,"ElecD";#N/A,#N/A,FALSE,"MechD";#N/A,#N/A,FALSE,"GeotD";#N/A,#N/A,FALSE,"PrcsD";#N/A,#N/A,FALSE,"TunnD";#N/A,#N/A,FALSE,"CivlD";#N/A,#N/A,FALSE,"NtwkD";#N/A,#N/A,FALSE,"EstgD";#N/A,#N/A,FALSE,"PEngD"}</definedName>
    <definedName name="xc" localSheetId="5" hidden="1">{#N/A,#N/A,FALSE,"SumD";#N/A,#N/A,FALSE,"ElecD";#N/A,#N/A,FALSE,"MechD";#N/A,#N/A,FALSE,"GeotD";#N/A,#N/A,FALSE,"PrcsD";#N/A,#N/A,FALSE,"TunnD";#N/A,#N/A,FALSE,"CivlD";#N/A,#N/A,FALSE,"NtwkD";#N/A,#N/A,FALSE,"EstgD";#N/A,#N/A,FALSE,"PEngD"}</definedName>
    <definedName name="xc" localSheetId="0"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d" localSheetId="4" hidden="1">{#N/A,#N/A,TRUE,"Est. de Fact.";#N/A,#N/A,TRUE,"Capitulo 19";#N/A,#N/A,TRUE,"Proyecto P855"}</definedName>
    <definedName name="xd" localSheetId="5" hidden="1">{#N/A,#N/A,TRUE,"Est. de Fact.";#N/A,#N/A,TRUE,"Capitulo 19";#N/A,#N/A,TRUE,"Proyecto P855"}</definedName>
    <definedName name="xd" localSheetId="0" hidden="1">{#N/A,#N/A,TRUE,"Est. de Fact.";#N/A,#N/A,TRUE,"Capitulo 19";#N/A,#N/A,TRUE,"Proyecto P855"}</definedName>
    <definedName name="xd" hidden="1">{#N/A,#N/A,TRUE,"Est. de Fact.";#N/A,#N/A,TRUE,"Capitulo 19";#N/A,#N/A,TRUE,"Proyecto P855"}</definedName>
    <definedName name="xdf" localSheetId="4">#REF!,#REF!</definedName>
    <definedName name="xdf" localSheetId="5">#REF!,#REF!</definedName>
    <definedName name="xdf" localSheetId="0">#REF!,#REF!</definedName>
    <definedName name="xdf">#REF!,#REF!</definedName>
    <definedName name="XERO">960/12</definedName>
    <definedName name="xGraph11" localSheetId="4" hidden="1">#REF!</definedName>
    <definedName name="xGraph11" localSheetId="5" hidden="1">#REF!</definedName>
    <definedName name="xGraph11" localSheetId="0" hidden="1">#REF!</definedName>
    <definedName name="xGraph11" hidden="1">#REF!</definedName>
    <definedName name="XL2CAD_2005061913152000" localSheetId="4">#REF!,#REF!,#REF!</definedName>
    <definedName name="XL2CAD_2005061913152000" localSheetId="5">#REF!,#REF!,#REF!</definedName>
    <definedName name="XL2CAD_2005061913152000" localSheetId="0">#REF!,#REF!,#REF!</definedName>
    <definedName name="XL2CAD_2005061913152000">#REF!,#REF!,#REF!</definedName>
    <definedName name="XL2CAD_2005061913163600" localSheetId="4">#REF!</definedName>
    <definedName name="XL2CAD_2005061913163600" localSheetId="5">#REF!</definedName>
    <definedName name="XL2CAD_2005061913163600" localSheetId="0">#REF!</definedName>
    <definedName name="XL2CAD_2005061913163600">#REF!</definedName>
    <definedName name="XL2CAD_2005061913194300" localSheetId="4">#REF!</definedName>
    <definedName name="XL2CAD_2005061913194300" localSheetId="5">#REF!</definedName>
    <definedName name="XL2CAD_2005061913194300" localSheetId="0">#REF!</definedName>
    <definedName name="XL2CAD_2005061913194300">#REF!</definedName>
    <definedName name="XL2CAD_2005061913321900" localSheetId="4">#REF!</definedName>
    <definedName name="XL2CAD_2005061913321900" localSheetId="5">#REF!</definedName>
    <definedName name="XL2CAD_2005061913321900" localSheetId="0">#REF!</definedName>
    <definedName name="XL2CAD_2005061913321900">#REF!</definedName>
    <definedName name="XL2CAD_2005061913414800" localSheetId="4">#REF!,#REF!</definedName>
    <definedName name="XL2CAD_2005061913414800" localSheetId="5">#REF!,#REF!</definedName>
    <definedName name="XL2CAD_2005061913414800" localSheetId="0">#REF!,#REF!</definedName>
    <definedName name="XL2CAD_2005061913414800">#REF!,#REF!</definedName>
    <definedName name="XL2CAD_2005061913580000" localSheetId="4">#REF!</definedName>
    <definedName name="XL2CAD_2005061913580000" localSheetId="5">#REF!</definedName>
    <definedName name="XL2CAD_2005061913580000" localSheetId="0">#REF!</definedName>
    <definedName name="XL2CAD_2005061913580000">#REF!</definedName>
    <definedName name="XL2CAD_2005061915342900" localSheetId="4">#REF!</definedName>
    <definedName name="XL2CAD_2005061915342900" localSheetId="5">#REF!</definedName>
    <definedName name="XL2CAD_2005061915342900" localSheetId="0">#REF!</definedName>
    <definedName name="XL2CAD_2005061915342900">#REF!</definedName>
    <definedName name="XL2CAD_2005061915585800" localSheetId="4">#REF!</definedName>
    <definedName name="XL2CAD_2005061915585800" localSheetId="5">#REF!</definedName>
    <definedName name="XL2CAD_2005061915585800" localSheetId="0">#REF!</definedName>
    <definedName name="XL2CAD_2005061915585800">#REF!</definedName>
    <definedName name="XL2CAD_2005061917490500" localSheetId="4">#REF!</definedName>
    <definedName name="XL2CAD_2005061917490500" localSheetId="0">#REF!</definedName>
    <definedName name="XL2CAD_2005061917490500">#REF!</definedName>
    <definedName name="XL2CAD_2005062317071000" localSheetId="4">#REF!</definedName>
    <definedName name="XL2CAD_2005062317071000" localSheetId="0">#REF!</definedName>
    <definedName name="XL2CAD_2005062317071000">#REF!</definedName>
    <definedName name="XL2CAD_2006022314272500" localSheetId="4">#REF!</definedName>
    <definedName name="XL2CAD_2006022314272500" localSheetId="0">#REF!</definedName>
    <definedName name="XL2CAD_2006022314272500">#REF!</definedName>
    <definedName name="XL2CAD_2006022314355100" localSheetId="4">#REF!</definedName>
    <definedName name="XL2CAD_2006022314355100" localSheetId="0">#REF!</definedName>
    <definedName name="XL2CAD_2006022314355100">#REF!</definedName>
    <definedName name="XL2CAD_2006022316174600" localSheetId="4">#REF!</definedName>
    <definedName name="XL2CAD_2006022316174600" localSheetId="0">#REF!</definedName>
    <definedName name="XL2CAD_2006022316174600">#REF!</definedName>
    <definedName name="XL2CAD_2006022411151400" localSheetId="4">#REF!</definedName>
    <definedName name="XL2CAD_2006022411151400" localSheetId="0">#REF!</definedName>
    <definedName name="XL2CAD_2006022411151400">#REF!</definedName>
    <definedName name="XL2CAD_2006062916140700" localSheetId="4">#REF!</definedName>
    <definedName name="XL2CAD_2006062916140700" localSheetId="0">#REF!</definedName>
    <definedName name="XL2CAD_2006062916140700">#REF!</definedName>
    <definedName name="XL2CAD_2006092118095000" localSheetId="4">#REF!</definedName>
    <definedName name="XL2CAD_2006092118095000" localSheetId="0">#REF!</definedName>
    <definedName name="XL2CAD_2006092118095000">#REF!</definedName>
    <definedName name="XL2CAD_2006100615361000" localSheetId="4">#REF!</definedName>
    <definedName name="XL2CAD_2006100615361000" localSheetId="0">#REF!</definedName>
    <definedName name="XL2CAD_2006100615361000">#REF!</definedName>
    <definedName name="XL2CAD_2006100615373400" localSheetId="4">#REF!</definedName>
    <definedName name="XL2CAD_2006100615373400" localSheetId="0">#REF!</definedName>
    <definedName name="XL2CAD_2006100615373400">#REF!</definedName>
    <definedName name="XL2CAD_2006121312281700" localSheetId="4">#REF!</definedName>
    <definedName name="XL2CAD_2006121312281700" localSheetId="0">#REF!</definedName>
    <definedName name="XL2CAD_2006121312281700">#REF!</definedName>
    <definedName name="XL2CAD_2006121408364300" localSheetId="4">#REF!</definedName>
    <definedName name="XL2CAD_2006121408364300" localSheetId="0">#REF!</definedName>
    <definedName name="XL2CAD_2006121408364300">#REF!</definedName>
    <definedName name="XL2CAD_2006121410094300" localSheetId="4">#REF!</definedName>
    <definedName name="XL2CAD_2006121410094300" localSheetId="0">#REF!</definedName>
    <definedName name="XL2CAD_2006121410094300">#REF!</definedName>
    <definedName name="XL2CAD_2006121410473400" localSheetId="4">#REF!</definedName>
    <definedName name="XL2CAD_2006121410473400" localSheetId="0">#REF!</definedName>
    <definedName name="XL2CAD_2006121410473400">#REF!</definedName>
    <definedName name="XL2CAD_2006121410523800" localSheetId="4">#REF!</definedName>
    <definedName name="XL2CAD_2006121410523800" localSheetId="0">#REF!</definedName>
    <definedName name="XL2CAD_2006121410523800">#REF!</definedName>
    <definedName name="XL2CAD_2006121410591000" localSheetId="4">#REF!</definedName>
    <definedName name="XL2CAD_2006121410591000" localSheetId="0">#REF!</definedName>
    <definedName name="XL2CAD_2006121410591000">#REF!</definedName>
    <definedName name="XL2CAD_2006121414245500" localSheetId="4">#REF!</definedName>
    <definedName name="XL2CAD_2006121414245500" localSheetId="0">#REF!</definedName>
    <definedName name="XL2CAD_2006121414245500">#REF!</definedName>
    <definedName name="XL2CAD_2007082711051200" localSheetId="4">#REF!</definedName>
    <definedName name="XL2CAD_2007082711051200" localSheetId="0">#REF!</definedName>
    <definedName name="XL2CAD_2007082711051200">#REF!</definedName>
    <definedName name="XL2CAD_2007101219303900" localSheetId="4">#REF!</definedName>
    <definedName name="XL2CAD_2007101219303900" localSheetId="0">#REF!</definedName>
    <definedName name="XL2CAD_2007101219303900">#REF!</definedName>
    <definedName name="XL2CAD_2008030614382200" localSheetId="4">#REF!</definedName>
    <definedName name="XL2CAD_2008030614382200" localSheetId="0">#REF!</definedName>
    <definedName name="XL2CAD_2008030614382200">#REF!</definedName>
    <definedName name="XL2CAD_2008032823412600" localSheetId="4">#REF!</definedName>
    <definedName name="XL2CAD_2008032823412600" localSheetId="0">#REF!</definedName>
    <definedName name="XL2CAD_2008032823412600">#REF!</definedName>
    <definedName name="XL2CAD_2008040917460300" localSheetId="4">#REF!</definedName>
    <definedName name="XL2CAD_2008040917460300" localSheetId="0">#REF!</definedName>
    <definedName name="XL2CAD_2008040917460300">#REF!</definedName>
    <definedName name="XL2CAD_2008041715245070" localSheetId="4">#REF!</definedName>
    <definedName name="XL2CAD_2008041715245070" localSheetId="0">#REF!</definedName>
    <definedName name="XL2CAD_2008041715245070">#REF!</definedName>
    <definedName name="XL2CAD_2008041715291770" localSheetId="4">#REF!</definedName>
    <definedName name="XL2CAD_2008041715291770" localSheetId="0">#REF!</definedName>
    <definedName name="XL2CAD_2008041715291770">#REF!</definedName>
    <definedName name="XL2CAD_2008041715311470" localSheetId="4">#REF!</definedName>
    <definedName name="XL2CAD_2008041715311470" localSheetId="0">#REF!</definedName>
    <definedName name="XL2CAD_2008041715311470">#REF!</definedName>
    <definedName name="XL2CAD_2008041715315953" localSheetId="4">#REF!</definedName>
    <definedName name="XL2CAD_2008041715315953" localSheetId="0">#REF!</definedName>
    <definedName name="XL2CAD_2008041715315953">#REF!</definedName>
    <definedName name="XL2CAD_2008041715332570" localSheetId="4">#REF!</definedName>
    <definedName name="XL2CAD_2008041715332570" localSheetId="0">#REF!</definedName>
    <definedName name="XL2CAD_2008041715332570">#REF!</definedName>
    <definedName name="xls" localSheetId="4" hidden="1">{#N/A,#N/A,FALSE,"SumD";#N/A,#N/A,FALSE,"ElecD";#N/A,#N/A,FALSE,"MechD";#N/A,#N/A,FALSE,"GeotD";#N/A,#N/A,FALSE,"PrcsD";#N/A,#N/A,FALSE,"TunnD";#N/A,#N/A,FALSE,"CivlD";#N/A,#N/A,FALSE,"NtwkD";#N/A,#N/A,FALSE,"EstgD";#N/A,#N/A,FALSE,"PEngD"}</definedName>
    <definedName name="xls" localSheetId="6" hidden="1">{#N/A,#N/A,FALSE,"SumD";#N/A,#N/A,FALSE,"ElecD";#N/A,#N/A,FALSE,"MechD";#N/A,#N/A,FALSE,"GeotD";#N/A,#N/A,FALSE,"PrcsD";#N/A,#N/A,FALSE,"TunnD";#N/A,#N/A,FALSE,"CivlD";#N/A,#N/A,FALSE,"NtwkD";#N/A,#N/A,FALSE,"EstgD";#N/A,#N/A,FALSE,"PEngD"}</definedName>
    <definedName name="xls" localSheetId="5" hidden="1">{#N/A,#N/A,FALSE,"SumD";#N/A,#N/A,FALSE,"ElecD";#N/A,#N/A,FALSE,"MechD";#N/A,#N/A,FALSE,"GeotD";#N/A,#N/A,FALSE,"PrcsD";#N/A,#N/A,FALSE,"TunnD";#N/A,#N/A,FALSE,"CivlD";#N/A,#N/A,FALSE,"NtwkD";#N/A,#N/A,FALSE,"EstgD";#N/A,#N/A,FALSE,"PEngD"}</definedName>
    <definedName name="xls" localSheetId="0" hidden="1">{#N/A,#N/A,FALSE,"SumD";#N/A,#N/A,FALSE,"ElecD";#N/A,#N/A,FALSE,"MechD";#N/A,#N/A,FALSE,"GeotD";#N/A,#N/A,FALSE,"PrcsD";#N/A,#N/A,FALSE,"TunnD";#N/A,#N/A,FALSE,"CivlD";#N/A,#N/A,FALSE,"NtwkD";#N/A,#N/A,FALSE,"EstgD";#N/A,#N/A,FALSE,"PEngD"}</definedName>
    <definedName name="xls" hidden="1">{#N/A,#N/A,FALSE,"SumD";#N/A,#N/A,FALSE,"ElecD";#N/A,#N/A,FALSE,"MechD";#N/A,#N/A,FALSE,"GeotD";#N/A,#N/A,FALSE,"PrcsD";#N/A,#N/A,FALSE,"TunnD";#N/A,#N/A,FALSE,"CivlD";#N/A,#N/A,FALSE,"NtwkD";#N/A,#N/A,FALSE,"EstgD";#N/A,#N/A,FALSE,"PEngD"}</definedName>
    <definedName name="XMTRS" localSheetId="4">#REF!</definedName>
    <definedName name="XMTRS" localSheetId="5">#REF!</definedName>
    <definedName name="XMTRS" localSheetId="0">#REF!</definedName>
    <definedName name="XMTRS">#REF!</definedName>
    <definedName name="XRefCopy1" localSheetId="4" hidden="1">#REF!</definedName>
    <definedName name="XRefCopy1" localSheetId="5" hidden="1">#REF!</definedName>
    <definedName name="XRefCopy1" localSheetId="0" hidden="1">#REF!</definedName>
    <definedName name="XRefCopy1" hidden="1">#REF!</definedName>
    <definedName name="XRefCopyRangeCount" hidden="1">1</definedName>
    <definedName name="XX" localSheetId="4">#REF!</definedName>
    <definedName name="xx" localSheetId="6" hidden="1">{#N/A,#N/A,FALSE,"SumD";#N/A,#N/A,FALSE,"ElecD";#N/A,#N/A,FALSE,"MechD";#N/A,#N/A,FALSE,"GeotD";#N/A,#N/A,FALSE,"PrcsD";#N/A,#N/A,FALSE,"TunnD";#N/A,#N/A,FALSE,"CivlD";#N/A,#N/A,FALSE,"NtwkD";#N/A,#N/A,FALSE,"EstgD";#N/A,#N/A,FALSE,"PEngD"}</definedName>
    <definedName name="xx" localSheetId="5" hidden="1">{#N/A,#N/A,FALSE,"SumD";#N/A,#N/A,FALSE,"ElecD";#N/A,#N/A,FALSE,"MechD";#N/A,#N/A,FALSE,"GeotD";#N/A,#N/A,FALSE,"PrcsD";#N/A,#N/A,FALSE,"TunnD";#N/A,#N/A,FALSE,"CivlD";#N/A,#N/A,FALSE,"NtwkD";#N/A,#N/A,FALSE,"EstgD";#N/A,#N/A,FALSE,"PEngD"}</definedName>
    <definedName name="xx" localSheetId="0" hidden="1">{#N/A,#N/A,FALSE,"SumD";#N/A,#N/A,FALSE,"ElecD";#N/A,#N/A,FALSE,"MechD";#N/A,#N/A,FALSE,"GeotD";#N/A,#N/A,FALSE,"PrcsD";#N/A,#N/A,FALSE,"TunnD";#N/A,#N/A,FALSE,"CivlD";#N/A,#N/A,FALSE,"NtwkD";#N/A,#N/A,FALSE,"EstgD";#N/A,#N/A,FALSE,"PEngD"}</definedName>
    <definedName name="xx" hidden="1">{#N/A,#N/A,FALSE,"SumD";#N/A,#N/A,FALSE,"ElecD";#N/A,#N/A,FALSE,"MechD";#N/A,#N/A,FALSE,"GeotD";#N/A,#N/A,FALSE,"PrcsD";#N/A,#N/A,FALSE,"TunnD";#N/A,#N/A,FALSE,"CivlD";#N/A,#N/A,FALSE,"NtwkD";#N/A,#N/A,FALSE,"EstgD";#N/A,#N/A,FALSE,"PEngD"}</definedName>
    <definedName name="XXX" localSheetId="4">#REF!</definedName>
    <definedName name="xxx">NA()</definedName>
    <definedName name="xxxx" localSheetId="4">#REF!</definedName>
    <definedName name="xxxx" localSheetId="5">#REF!</definedName>
    <definedName name="xxxx" localSheetId="0">#REF!</definedName>
    <definedName name="xxxx">#REF!</definedName>
    <definedName name="xxxx1" localSheetId="4" hidden="1">{"DETALLE_1996",#N/A,FALSE,"flujo";"DETALLE_1997",#N/A,FALSE,"flujo";"GASTOS_INCURRIDOS_1996",#N/A,FALSE,"flujo";"GASTOS_PROGRAMADOS_PARA_1997",#N/A,FALSE,"flujo";#N/A,#N/A,FALSE,"comparat";#N/A,#N/A,FALSE,"costos";#N/A,#N/A,FALSE,"proyctrol"}</definedName>
    <definedName name="xxxx1" localSheetId="5" hidden="1">{"DETALLE_1996",#N/A,FALSE,"flujo";"DETALLE_1997",#N/A,FALSE,"flujo";"GASTOS_INCURRIDOS_1996",#N/A,FALSE,"flujo";"GASTOS_PROGRAMADOS_PARA_1997",#N/A,FALSE,"flujo";#N/A,#N/A,FALSE,"comparat";#N/A,#N/A,FALSE,"costos";#N/A,#N/A,FALSE,"proyctrol"}</definedName>
    <definedName name="xxxx1" localSheetId="0" hidden="1">{"DETALLE_1996",#N/A,FALSE,"flujo";"DETALLE_1997",#N/A,FALSE,"flujo";"GASTOS_INCURRIDOS_1996",#N/A,FALSE,"flujo";"GASTOS_PROGRAMADOS_PARA_1997",#N/A,FALSE,"flujo";#N/A,#N/A,FALSE,"comparat";#N/A,#N/A,FALSE,"costos";#N/A,#N/A,FALSE,"proyctrol"}</definedName>
    <definedName name="xxxx1" hidden="1">{"DETALLE_1996",#N/A,FALSE,"flujo";"DETALLE_1997",#N/A,FALSE,"flujo";"GASTOS_INCURRIDOS_1996",#N/A,FALSE,"flujo";"GASTOS_PROGRAMADOS_PARA_1997",#N/A,FALSE,"flujo";#N/A,#N/A,FALSE,"comparat";#N/A,#N/A,FALSE,"costos";#N/A,#N/A,FALSE,"proyctrol"}</definedName>
    <definedName name="xxxxx" localSheetId="4">#REF!</definedName>
    <definedName name="xxxxx" localSheetId="5">#REF!</definedName>
    <definedName name="xxxxx" localSheetId="0">#REF!</definedName>
    <definedName name="xxxxx">#REF!</definedName>
    <definedName name="y" localSheetId="4">#REF!</definedName>
    <definedName name="y" localSheetId="5">#REF!</definedName>
    <definedName name="y" localSheetId="0">#REF!</definedName>
    <definedName name="y">#REF!</definedName>
    <definedName name="y_strainer" localSheetId="4">#REF!</definedName>
    <definedName name="y_strainer" localSheetId="5">#REF!</definedName>
    <definedName name="y_strainer" localSheetId="0">#REF!</definedName>
    <definedName name="y_strainer">#REF!</definedName>
    <definedName name="yandudes" localSheetId="4">#REF!</definedName>
    <definedName name="yandudes" localSheetId="5">#REF!</definedName>
    <definedName name="yandudes" localSheetId="0">#REF!</definedName>
    <definedName name="yandudes">#REF!</definedName>
    <definedName name="YARD_INS" localSheetId="4">IF(#REF!="INS",VLOOKUP(#REF!,InsY,HLOOKUP(#REF!,YARD,2)+1,FALSE),0)</definedName>
    <definedName name="YARD_INS" localSheetId="6">IF(#REF!="INS",VLOOKUP(#REF!,InsY,HLOOKUP(#REF!,YARD,2)+1,FALSE),0)</definedName>
    <definedName name="YARD_INS" localSheetId="5">IF(#REF!="INS",VLOOKUP(#REF!,InsY,HLOOKUP(#REF!,YARD,2)+1,FALSE),0)</definedName>
    <definedName name="YARD_INS" localSheetId="0">IF(#REF!="INS",VLOOKUP(#REF!,InsY,HLOOKUP(#REF!,YARD,2)+1,FALSE),0)</definedName>
    <definedName name="YARD_INS">IF(#REF!="INS",VLOOKUP(#REF!,InsY,HLOOKUP(#REF!,YARD,2)+1,FALSE),0)</definedName>
    <definedName name="YARD_LAB" localSheetId="4">(VLOOKUP(#REF!,YARDLAB,HLOOKUP(#REF!,YARD,2),FALSE)+(VLOOKUP(#REF!,YARDLAB,HLOOKUP(#REF!,YARD,2)+1,FALSE)-VLOOKUP(#REF!,YARDLAB,HLOOKUP(#REF!,YARD,2),FALSE))*(#REF!-HLOOKUP(#REF!,YARD,1))/(HLOOKUP(#REF!+2,YARD,1)-HLOOKUP(#REF!,YARD,1)))</definedName>
    <definedName name="YARD_LAB" localSheetId="6">(VLOOKUP(#REF!,YARDLAB,HLOOKUP(#REF!,YARD,2),FALSE)+(VLOOKUP(#REF!,YARDLAB,HLOOKUP(#REF!,YARD,2)+1,FALSE)-VLOOKUP(#REF!,YARDLAB,HLOOKUP(#REF!,YARD,2),FALSE))*(#REF!-HLOOKUP(#REF!,YARD,1))/(HLOOKUP(#REF!+2,YARD,1)-HLOOKUP(#REF!,YARD,1)))</definedName>
    <definedName name="YARD_LAB" localSheetId="5">(VLOOKUP(#REF!,YARDLAB,HLOOKUP(#REF!,YARD,2),FALSE)+(VLOOKUP(#REF!,YARDLAB,HLOOKUP(#REF!,YARD,2)+1,FALSE)-VLOOKUP(#REF!,YARDLAB,HLOOKUP(#REF!,YARD,2),FALSE))*(#REF!-HLOOKUP(#REF!,YARD,1))/(HLOOKUP(#REF!+2,YARD,1)-HLOOKUP(#REF!,YARD,1)))</definedName>
    <definedName name="YARD_LAB" localSheetId="0">(VLOOKUP(#REF!,YARDLAB,HLOOKUP(#REF!,YARD,2),FALSE)+(VLOOKUP(#REF!,YARDLAB,HLOOKUP(#REF!,YARD,2)+1,FALSE)-VLOOKUP(#REF!,YARDLAB,HLOOKUP(#REF!,YARD,2),FALSE))*(#REF!-HLOOKUP(#REF!,YARD,1))/(HLOOKUP(#REF!+2,YARD,1)-HLOOKUP(#REF!,YARD,1)))</definedName>
    <definedName name="YARD_LAB">(VLOOKUP(#REF!,YARDLAB,HLOOKUP(#REF!,YARD,2),FALSE)+(VLOOKUP(#REF!,YARDLAB,HLOOKUP(#REF!,YARD,2)+1,FALSE)-VLOOKUP(#REF!,YARDLAB,HLOOKUP(#REF!,YARD,2),FALSE))*(#REF!-HLOOKUP(#REF!,YARD,1))/(HLOOKUP(#REF!+2,YARD,1)-HLOOKUP(#REF!,YARD,1)))</definedName>
    <definedName name="YARD_MAT" localSheetId="4">VLOOKUP(#REF!,YARDMAT,HLOOKUP(#REF!,YARD,2)+1,FALSE)+(VLOOKUP(#REF!,YARDMAT,HLOOKUP(#REF!,YARD,2)+1+1,FALSE)-VLOOKUP(#REF!,YARDMAT,HLOOKUP(#REF!,YARD,2)+1,FALSE))*(#REF!-HLOOKUP(#REF!,YARD,1))/(HLOOKUP(#REF!+2,YARD,1)-HLOOKUP(#REF!,YARD,1))</definedName>
    <definedName name="YARD_MAT" localSheetId="6">VLOOKUP(#REF!,YARDMAT,HLOOKUP(#REF!,YARD,2)+1,FALSE)+(VLOOKUP(#REF!,YARDMAT,HLOOKUP(#REF!,YARD,2)+1+1,FALSE)-VLOOKUP(#REF!,YARDMAT,HLOOKUP(#REF!,YARD,2)+1,FALSE))*(#REF!-HLOOKUP(#REF!,YARD,1))/(HLOOKUP(#REF!+2,YARD,1)-HLOOKUP(#REF!,YARD,1))</definedName>
    <definedName name="YARD_MAT" localSheetId="5">VLOOKUP(#REF!,YARDMAT,HLOOKUP(#REF!,YARD,2)+1,FALSE)+(VLOOKUP(#REF!,YARDMAT,HLOOKUP(#REF!,YARD,2)+1+1,FALSE)-VLOOKUP(#REF!,YARDMAT,HLOOKUP(#REF!,YARD,2)+1,FALSE))*(#REF!-HLOOKUP(#REF!,YARD,1))/(HLOOKUP(#REF!+2,YARD,1)-HLOOKUP(#REF!,YARD,1))</definedName>
    <definedName name="YARD_MAT" localSheetId="0">VLOOKUP(#REF!,YARDMAT,HLOOKUP(#REF!,YARD,2)+1,FALSE)+(VLOOKUP(#REF!,YARDMAT,HLOOKUP(#REF!,YARD,2)+1+1,FALSE)-VLOOKUP(#REF!,YARDMAT,HLOOKUP(#REF!,YARD,2)+1,FALSE))*(#REF!-HLOOKUP(#REF!,YARD,1))/(HLOOKUP(#REF!+2,YARD,1)-HLOOKUP(#REF!,YARD,1))</definedName>
    <definedName name="YARD_MAT">VLOOKUP(#REF!,YARDMAT,HLOOKUP(#REF!,YARD,2)+1,FALSE)+(VLOOKUP(#REF!,YARDMAT,HLOOKUP(#REF!,YARD,2)+1+1,FALSE)-VLOOKUP(#REF!,YARDMAT,HLOOKUP(#REF!,YARD,2)+1,FALSE))*(#REF!-HLOOKUP(#REF!,YARD,1))/(HLOOKUP(#REF!+2,YARD,1)-HLOOKUP(#REF!,YARD,1))</definedName>
    <definedName name="Year" localSheetId="4">#REF!</definedName>
    <definedName name="Year" localSheetId="5">#REF!</definedName>
    <definedName name="Year" localSheetId="0">#REF!</definedName>
    <definedName name="Year">#REF!</definedName>
    <definedName name="Yearsales" localSheetId="4">#REF!</definedName>
    <definedName name="Yearsales" localSheetId="5">#REF!</definedName>
    <definedName name="Yearsales" localSheetId="0">#REF!</definedName>
    <definedName name="Yearsales">#REF!</definedName>
    <definedName name="yertas" localSheetId="4">#REF!</definedName>
    <definedName name="yertas" localSheetId="0">#REF!</definedName>
    <definedName name="yertas">#REF!</definedName>
    <definedName name="yese" localSheetId="5">#REF!</definedName>
    <definedName name="yese" localSheetId="0">#REF!</definedName>
    <definedName name="yese">#REF!</definedName>
    <definedName name="yn" localSheetId="4">#REF!</definedName>
    <definedName name="yn" localSheetId="5">#REF!</definedName>
    <definedName name="yn" localSheetId="0">#REF!</definedName>
    <definedName name="yn">#REF!</definedName>
    <definedName name="yuturrty" localSheetId="4">#REF!</definedName>
    <definedName name="yuturrty" localSheetId="5">#REF!</definedName>
    <definedName name="yuturrty" localSheetId="0">#REF!</definedName>
    <definedName name="yuturrty">#REF!</definedName>
    <definedName name="YY" localSheetId="4">#REF!</definedName>
    <definedName name="YY" localSheetId="5">#REF!</definedName>
    <definedName name="YY" localSheetId="0">#REF!</definedName>
    <definedName name="YY">#REF!</definedName>
    <definedName name="yyy" localSheetId="4">#REF!</definedName>
    <definedName name="yyy" localSheetId="0">#REF!</definedName>
    <definedName name="yyy">#REF!</definedName>
    <definedName name="yyyy" localSheetId="4">#REF!</definedName>
    <definedName name="yyyy" localSheetId="0">#REF!</definedName>
    <definedName name="yyyy">#REF!</definedName>
    <definedName name="yyyyyyyyyyyy" localSheetId="4">#REF!</definedName>
    <definedName name="yyyyyyyyyyyy" localSheetId="0">#REF!</definedName>
    <definedName name="yyyyyyyyyyyy">#REF!</definedName>
    <definedName name="yyyyyyyyyyyyyyyyy" localSheetId="4">#REF!</definedName>
    <definedName name="yyyyyyyyyyyyyyyyy" localSheetId="0">#REF!</definedName>
    <definedName name="yyyyyyyyyyyyyyyyy">#REF!</definedName>
    <definedName name="z">NA()</definedName>
    <definedName name="Z_56770540_A97A_11D1_870B_00002143DF72_.wvu.Rows" localSheetId="4" hidden="1">#REF!,#REF!,#REF!,#REF!,#REF!,#REF!,#REF!,#REF!,#REF!,#REF!,#REF!,#REF!,#REF!</definedName>
    <definedName name="Z_56770540_A97A_11D1_870B_00002143DF72_.wvu.Rows" localSheetId="6" hidden="1">#REF!,#REF!,#REF!,#REF!,#REF!,#REF!,#REF!,#REF!,#REF!,#REF!,#REF!,#REF!,#REF!</definedName>
    <definedName name="Z_56770540_A97A_11D1_870B_00002143DF72_.wvu.Rows" localSheetId="5" hidden="1">#REF!,#REF!,#REF!,#REF!,#REF!,#REF!,#REF!,#REF!,#REF!,#REF!,#REF!,#REF!,#REF!</definedName>
    <definedName name="Z_56770540_A97A_11D1_870B_00002143DF72_.wvu.Rows" localSheetId="0" hidden="1">#REF!,#REF!,#REF!,#REF!,#REF!,#REF!,#REF!,#REF!,#REF!,#REF!,#REF!,#REF!,#REF!</definedName>
    <definedName name="Z_56770540_A97A_11D1_870B_00002143DF72_.wvu.Rows" hidden="1">#REF!,#REF!,#REF!,#REF!,#REF!,#REF!,#REF!,#REF!,#REF!,#REF!,#REF!,#REF!,#REF!</definedName>
    <definedName name="Z_6104898C_BDC8_4F17_AC01_8428510C4C82_.wvu.Cols" localSheetId="4" hidden="1">#REF!,#REF!</definedName>
    <definedName name="Z_6104898C_BDC8_4F17_AC01_8428510C4C82_.wvu.Cols" localSheetId="5" hidden="1">#REF!,#REF!</definedName>
    <definedName name="Z_6104898C_BDC8_4F17_AC01_8428510C4C82_.wvu.Cols" localSheetId="0" hidden="1">#REF!,#REF!</definedName>
    <definedName name="Z_6104898C_BDC8_4F17_AC01_8428510C4C82_.wvu.Cols" hidden="1">#REF!,#REF!</definedName>
    <definedName name="Z_6104898C_BDC8_4F17_AC01_8428510C4C82_.wvu.PrintArea" localSheetId="4" hidden="1">#REF!</definedName>
    <definedName name="Z_6104898C_BDC8_4F17_AC01_8428510C4C82_.wvu.PrintArea" localSheetId="5" hidden="1">#REF!</definedName>
    <definedName name="Z_6104898C_BDC8_4F17_AC01_8428510C4C82_.wvu.PrintArea" localSheetId="0" hidden="1">#REF!</definedName>
    <definedName name="Z_6104898C_BDC8_4F17_AC01_8428510C4C82_.wvu.PrintArea" hidden="1">#REF!</definedName>
    <definedName name="Zab_antykorozyjne" localSheetId="4">#REF!</definedName>
    <definedName name="Zab_antykorozyjne" localSheetId="5">#REF!</definedName>
    <definedName name="Zab_antykorozyjne" localSheetId="0">#REF!</definedName>
    <definedName name="Zab_antykorozyjne">#REF!</definedName>
    <definedName name="Zabezpieczenie_stali">150</definedName>
    <definedName name="zal" localSheetId="4">#REF!</definedName>
    <definedName name="zal" localSheetId="5">#REF!</definedName>
    <definedName name="zal" localSheetId="0">#REF!</definedName>
    <definedName name="zal">#REF!</definedName>
    <definedName name="zalez" localSheetId="4">#REF!</definedName>
    <definedName name="zalez" localSheetId="5">#REF!</definedName>
    <definedName name="zalez" localSheetId="0">#REF!</definedName>
    <definedName name="zalez">#REF!</definedName>
    <definedName name="zapasy" localSheetId="4">#REF!</definedName>
    <definedName name="zapasy" localSheetId="5">#REF!</definedName>
    <definedName name="zapasy" localSheetId="0">#REF!</definedName>
    <definedName name="zapasy">#REF!</definedName>
    <definedName name="ZAPLECZE" localSheetId="0">#REF!</definedName>
    <definedName name="ZAPLECZE">#REF!</definedName>
    <definedName name="Zaplecze_Wykonawcy" localSheetId="0">#REF!</definedName>
    <definedName name="Zaplecze_Wykonawcy">#REF!</definedName>
    <definedName name="zasypka" localSheetId="4">#REF!</definedName>
    <definedName name="zasypka" localSheetId="5">#REF!</definedName>
    <definedName name="zasypka" localSheetId="0">#REF!</definedName>
    <definedName name="zasypka">#REF!</definedName>
    <definedName name="ZASYPKA.MURÓW.OPOROWYCH" localSheetId="4">#REF!</definedName>
    <definedName name="ZASYPKA.MURÓW.OPOROWYCH" localSheetId="5">#REF!</definedName>
    <definedName name="ZASYPKA.MURÓW.OPOROWYCH" localSheetId="0">#REF!</definedName>
    <definedName name="ZASYPKA.MURÓW.OPOROWYCH">#REF!</definedName>
    <definedName name="Zasypki">65</definedName>
    <definedName name="zb" localSheetId="4">#REF!</definedName>
    <definedName name="zb" localSheetId="5">#REF!</definedName>
    <definedName name="zb" localSheetId="0">#REF!</definedName>
    <definedName name="zb">#REF!</definedName>
    <definedName name="zb." localSheetId="4">#REF!</definedName>
    <definedName name="zb." localSheetId="5">#REF!</definedName>
    <definedName name="zb." localSheetId="0">#REF!</definedName>
    <definedName name="zb.">#REF!</definedName>
    <definedName name="zb_be" localSheetId="4">#REF!</definedName>
    <definedName name="zb_be" localSheetId="5">#REF!</definedName>
    <definedName name="zb_be" localSheetId="0">#REF!</definedName>
    <definedName name="zb_be">#REF!</definedName>
    <definedName name="zb_bel_1" localSheetId="4">#REF!</definedName>
    <definedName name="zb_bel_1" localSheetId="0">#REF!</definedName>
    <definedName name="zb_bel_1">#REF!</definedName>
    <definedName name="zb_bel_2" localSheetId="4">#REF!</definedName>
    <definedName name="zb_bel_2" localSheetId="0">#REF!</definedName>
    <definedName name="zb_bel_2">#REF!</definedName>
    <definedName name="zb_bel_3" localSheetId="4">#REF!</definedName>
    <definedName name="zb_bel_3" localSheetId="0">#REF!</definedName>
    <definedName name="zb_bel_3">#REF!</definedName>
    <definedName name="zb_bel_4" localSheetId="4">#REF!</definedName>
    <definedName name="zb_bel_4" localSheetId="0">#REF!</definedName>
    <definedName name="zb_bel_4">#REF!</definedName>
    <definedName name="zb_bel_5" localSheetId="4">#REF!</definedName>
    <definedName name="zb_bel_5" localSheetId="0">#REF!</definedName>
    <definedName name="zb_bel_5">#REF!</definedName>
    <definedName name="zb_bel_6" localSheetId="4">#REF!</definedName>
    <definedName name="zb_bel_6" localSheetId="0">#REF!</definedName>
    <definedName name="zb_bel_6">#REF!</definedName>
    <definedName name="zb_bel_7" localSheetId="4">#REF!</definedName>
    <definedName name="zb_bel_7" localSheetId="0">#REF!</definedName>
    <definedName name="zb_bel_7">#REF!</definedName>
    <definedName name="zb_bel_podw_1" localSheetId="4">#REF!</definedName>
    <definedName name="zb_bel_podw_1" localSheetId="0">#REF!</definedName>
    <definedName name="zb_bel_podw_1">#REF!</definedName>
    <definedName name="zb_bel_podw_2" localSheetId="4">#REF!</definedName>
    <definedName name="zb_bel_podw_2" localSheetId="0">#REF!</definedName>
    <definedName name="zb_bel_podw_2">#REF!</definedName>
    <definedName name="zb_bel_podw_3" localSheetId="4">#REF!</definedName>
    <definedName name="zb_bel_podw_3" localSheetId="0">#REF!</definedName>
    <definedName name="zb_bel_podw_3">#REF!</definedName>
    <definedName name="zb_bel_podw_4" localSheetId="4">#REF!</definedName>
    <definedName name="zb_bel_podw_4" localSheetId="0">#REF!</definedName>
    <definedName name="zb_bel_podw_4">#REF!</definedName>
    <definedName name="zb_bg_1" localSheetId="4">#REF!</definedName>
    <definedName name="zb_bg_1" localSheetId="0">#REF!</definedName>
    <definedName name="zb_bg_1">#REF!</definedName>
    <definedName name="zb_bg_2" localSheetId="4">#REF!</definedName>
    <definedName name="zb_bg_2" localSheetId="0">#REF!</definedName>
    <definedName name="zb_bg_2">#REF!</definedName>
    <definedName name="zb_bg_3" localSheetId="4">#REF!</definedName>
    <definedName name="zb_bg_3" localSheetId="0">#REF!</definedName>
    <definedName name="zb_bg_3">#REF!</definedName>
    <definedName name="zb_bg_4" localSheetId="4">#REF!</definedName>
    <definedName name="zb_bg_4" localSheetId="0">#REF!</definedName>
    <definedName name="zb_bg_4">#REF!</definedName>
    <definedName name="zb_chudy_1" localSheetId="4">#REF!</definedName>
    <definedName name="zb_chudy_1" localSheetId="0">#REF!</definedName>
    <definedName name="zb_chudy_1">#REF!</definedName>
    <definedName name="zb_chudy_2" localSheetId="4">#REF!</definedName>
    <definedName name="zb_chudy_2" localSheetId="0">#REF!</definedName>
    <definedName name="zb_chudy_2">#REF!</definedName>
    <definedName name="zb_chudy_3" localSheetId="4">#REF!</definedName>
    <definedName name="zb_chudy_3" localSheetId="0">#REF!</definedName>
    <definedName name="zb_chudy_3">#REF!</definedName>
    <definedName name="zb_la" localSheetId="4">#REF!</definedName>
    <definedName name="zb_la" localSheetId="0">#REF!</definedName>
    <definedName name="zb_la">#REF!</definedName>
    <definedName name="zb_ła" localSheetId="4">#REF!</definedName>
    <definedName name="zb_ła" localSheetId="0">#REF!</definedName>
    <definedName name="zb_ła">#REF!</definedName>
    <definedName name="zb_ławy_1" localSheetId="4">#REF!</definedName>
    <definedName name="zb_ławy_1" localSheetId="0">#REF!</definedName>
    <definedName name="zb_ławy_1">#REF!</definedName>
    <definedName name="zb_ławy_2" localSheetId="4">#REF!</definedName>
    <definedName name="zb_ławy_2" localSheetId="0">#REF!</definedName>
    <definedName name="zb_ławy_2">#REF!</definedName>
    <definedName name="zb_ławy_3" localSheetId="4">#REF!</definedName>
    <definedName name="zb_ławy_3" localSheetId="0">#REF!</definedName>
    <definedName name="zb_ławy_3">#REF!</definedName>
    <definedName name="zb_ławy_4" localSheetId="4">#REF!</definedName>
    <definedName name="zb_ławy_4" localSheetId="0">#REF!</definedName>
    <definedName name="zb_ławy_4">#REF!</definedName>
    <definedName name="zb_ma" localSheetId="4">#REF!</definedName>
    <definedName name="zb_ma" localSheetId="0">#REF!</definedName>
    <definedName name="zb_ma">#REF!</definedName>
    <definedName name="zb_ma1" localSheetId="4">#REF!</definedName>
    <definedName name="zb_ma1" localSheetId="0">#REF!</definedName>
    <definedName name="zb_ma1">#REF!</definedName>
    <definedName name="zb_mo" localSheetId="4">#REF!</definedName>
    <definedName name="zb_mo" localSheetId="0">#REF!</definedName>
    <definedName name="zb_mo">#REF!</definedName>
    <definedName name="zb_mon" localSheetId="4">#REF!</definedName>
    <definedName name="zb_mon" localSheetId="0">#REF!</definedName>
    <definedName name="zb_mon">#REF!</definedName>
    <definedName name="zb_mw" localSheetId="4">#REF!</definedName>
    <definedName name="zb_mw" localSheetId="0">#REF!</definedName>
    <definedName name="zb_mw">#REF!</definedName>
    <definedName name="zb_pf" localSheetId="4">#REF!</definedName>
    <definedName name="zb_pf" localSheetId="0">#REF!</definedName>
    <definedName name="zb_pf">#REF!</definedName>
    <definedName name="zb_płyta_1" localSheetId="4">#REF!</definedName>
    <definedName name="zb_płyta_1" localSheetId="0">#REF!</definedName>
    <definedName name="zb_płyta_1">#REF!</definedName>
    <definedName name="zb_płyta_2" localSheetId="4">#REF!</definedName>
    <definedName name="zb_płyta_2" localSheetId="0">#REF!</definedName>
    <definedName name="zb_płyta_2">#REF!</definedName>
    <definedName name="zb_płyta_3" localSheetId="4">#REF!</definedName>
    <definedName name="zb_płyta_3" localSheetId="0">#REF!</definedName>
    <definedName name="zb_płyta_3">#REF!</definedName>
    <definedName name="zb_płyta_4" localSheetId="4">#REF!</definedName>
    <definedName name="zb_płyta_4" localSheetId="0">#REF!</definedName>
    <definedName name="zb_płyta_4">#REF!</definedName>
    <definedName name="zb_rg" localSheetId="4">#REF!</definedName>
    <definedName name="zb_rg" localSheetId="0">#REF!</definedName>
    <definedName name="zb_rg">#REF!</definedName>
    <definedName name="zb_rg." localSheetId="4">#REF!</definedName>
    <definedName name="zb_rg." localSheetId="0">#REF!</definedName>
    <definedName name="zb_rg.">#REF!</definedName>
    <definedName name="zb_s" localSheetId="0">#REF!</definedName>
    <definedName name="zb_s">#REF!</definedName>
    <definedName name="zb_sc" localSheetId="4">#REF!</definedName>
    <definedName name="zb_sc" localSheetId="5">#REF!</definedName>
    <definedName name="zb_sc" localSheetId="0">#REF!</definedName>
    <definedName name="zb_sc">#REF!</definedName>
    <definedName name="zb_sc_1" localSheetId="4">#REF!</definedName>
    <definedName name="zb_sc_1" localSheetId="5">#REF!</definedName>
    <definedName name="zb_sc_1" localSheetId="0">#REF!</definedName>
    <definedName name="zb_sc_1">#REF!</definedName>
    <definedName name="zb_sc_2" localSheetId="4">#REF!</definedName>
    <definedName name="zb_sc_2" localSheetId="5">#REF!</definedName>
    <definedName name="zb_sc_2" localSheetId="0">#REF!</definedName>
    <definedName name="zb_sc_2">#REF!</definedName>
    <definedName name="zb_sc_3" localSheetId="4">#REF!</definedName>
    <definedName name="zb_sc_3" localSheetId="0">#REF!</definedName>
    <definedName name="zb_sc_3">#REF!</definedName>
    <definedName name="zb_sc_4" localSheetId="4">#REF!</definedName>
    <definedName name="zb_sc_4" localSheetId="0">#REF!</definedName>
    <definedName name="zb_sc_4">#REF!</definedName>
    <definedName name="zb_sc_6" localSheetId="4">#REF!</definedName>
    <definedName name="zb_sc_6" localSheetId="0">#REF!</definedName>
    <definedName name="zb_sc_6">#REF!</definedName>
    <definedName name="zb_sc_7" localSheetId="4">#REF!</definedName>
    <definedName name="zb_sc_7" localSheetId="0">#REF!</definedName>
    <definedName name="zb_sc_7">#REF!</definedName>
    <definedName name="zb_sch" localSheetId="4">#REF!</definedName>
    <definedName name="zb_sch" localSheetId="0">#REF!</definedName>
    <definedName name="zb_sch">#REF!</definedName>
    <definedName name="zb_sł_ok_1" localSheetId="4">#REF!</definedName>
    <definedName name="zb_sł_ok_1" localSheetId="0">#REF!</definedName>
    <definedName name="zb_sł_ok_1">#REF!</definedName>
    <definedName name="zb_sł_ok_2" localSheetId="4">#REF!</definedName>
    <definedName name="zb_sł_ok_2" localSheetId="0">#REF!</definedName>
    <definedName name="zb_sł_ok_2">#REF!</definedName>
    <definedName name="zb_sł_ok_3" localSheetId="4">#REF!</definedName>
    <definedName name="zb_sł_ok_3" localSheetId="0">#REF!</definedName>
    <definedName name="zb_sł_ok_3">#REF!</definedName>
    <definedName name="zb_sł_ok_4" localSheetId="4">#REF!</definedName>
    <definedName name="zb_sł_ok_4" localSheetId="0">#REF!</definedName>
    <definedName name="zb_sł_ok_4">#REF!</definedName>
    <definedName name="zb_sł_ok_5" localSheetId="4">#REF!</definedName>
    <definedName name="zb_sł_ok_5" localSheetId="0">#REF!</definedName>
    <definedName name="zb_sł_ok_5">#REF!</definedName>
    <definedName name="zb_sł_ok_6" localSheetId="4">#REF!</definedName>
    <definedName name="zb_sł_ok_6" localSheetId="0">#REF!</definedName>
    <definedName name="zb_sł_ok_6">#REF!</definedName>
    <definedName name="zb_sł_ok_7" localSheetId="4">#REF!</definedName>
    <definedName name="zb_sł_ok_7" localSheetId="0">#REF!</definedName>
    <definedName name="zb_sł_ok_7">#REF!</definedName>
    <definedName name="zb_sł_pr_1" localSheetId="4">#REF!</definedName>
    <definedName name="zb_sł_pr_1" localSheetId="0">#REF!</definedName>
    <definedName name="zb_sł_pr_1">#REF!</definedName>
    <definedName name="zb_sł_pr_2" localSheetId="4">#REF!</definedName>
    <definedName name="zb_sł_pr_2" localSheetId="0">#REF!</definedName>
    <definedName name="zb_sł_pr_2">#REF!</definedName>
    <definedName name="zb_sł_pr_3" localSheetId="4">#REF!</definedName>
    <definedName name="zb_sł_pr_3" localSheetId="0">#REF!</definedName>
    <definedName name="zb_sł_pr_3">#REF!</definedName>
    <definedName name="zb_sł_pr_4" localSheetId="4">#REF!</definedName>
    <definedName name="zb_sł_pr_4" localSheetId="0">#REF!</definedName>
    <definedName name="zb_sł_pr_4">#REF!</definedName>
    <definedName name="zb_sł_pr_5" localSheetId="4">#REF!</definedName>
    <definedName name="zb_sł_pr_5" localSheetId="0">#REF!</definedName>
    <definedName name="zb_sł_pr_5">#REF!</definedName>
    <definedName name="zb_sł_pr_6" localSheetId="4">#REF!</definedName>
    <definedName name="zb_sł_pr_6" localSheetId="0">#REF!</definedName>
    <definedName name="zb_sł_pr_6">#REF!</definedName>
    <definedName name="zb_sł_pr_7" localSheetId="4">#REF!</definedName>
    <definedName name="zb_sł_pr_7" localSheetId="0">#REF!</definedName>
    <definedName name="zb_sł_pr_7">#REF!</definedName>
    <definedName name="zb_sp" localSheetId="4">#REF!</definedName>
    <definedName name="zb_sp" localSheetId="0">#REF!</definedName>
    <definedName name="zb_sp">#REF!</definedName>
    <definedName name="zb_st" localSheetId="4">#REF!</definedName>
    <definedName name="zb_st" localSheetId="0">#REF!</definedName>
    <definedName name="zb_st">#REF!</definedName>
    <definedName name="zb_stf" localSheetId="4">#REF!</definedName>
    <definedName name="zb_stf" localSheetId="0">#REF!</definedName>
    <definedName name="zb_stf">#REF!</definedName>
    <definedName name="zb_stop" localSheetId="4">#REF!</definedName>
    <definedName name="zb_stop" localSheetId="0">#REF!</definedName>
    <definedName name="zb_stop">#REF!</definedName>
    <definedName name="zb_stopy_1" localSheetId="4">#REF!</definedName>
    <definedName name="zb_stopy_1" localSheetId="0">#REF!</definedName>
    <definedName name="zb_stopy_1">#REF!</definedName>
    <definedName name="zb_stopy_2" localSheetId="4">#REF!</definedName>
    <definedName name="zb_stopy_2" localSheetId="0">#REF!</definedName>
    <definedName name="zb_stopy_2">#REF!</definedName>
    <definedName name="zb_stopy_3" localSheetId="4">#REF!</definedName>
    <definedName name="zb_stopy_3" localSheetId="0">#REF!</definedName>
    <definedName name="zb_stopy_3">#REF!</definedName>
    <definedName name="zb_stopy_4" localSheetId="4">#REF!</definedName>
    <definedName name="zb_stopy_4" localSheetId="0">#REF!</definedName>
    <definedName name="zb_stopy_4">#REF!</definedName>
    <definedName name="zb_strop_1" localSheetId="4">#REF!</definedName>
    <definedName name="zb_strop_1" localSheetId="0">#REF!</definedName>
    <definedName name="zb_strop_1">#REF!</definedName>
    <definedName name="zb_strop_10" localSheetId="4">#REF!</definedName>
    <definedName name="zb_strop_10" localSheetId="0">#REF!</definedName>
    <definedName name="zb_strop_10">#REF!</definedName>
    <definedName name="zb_strop_2" localSheetId="4">#REF!</definedName>
    <definedName name="zb_strop_2" localSheetId="0">#REF!</definedName>
    <definedName name="zb_strop_2">#REF!</definedName>
    <definedName name="zb_strop_3" localSheetId="4">#REF!</definedName>
    <definedName name="zb_strop_3" localSheetId="0">#REF!</definedName>
    <definedName name="zb_strop_3">#REF!</definedName>
    <definedName name="zb_strop_4" localSheetId="4">#REF!</definedName>
    <definedName name="zb_strop_4" localSheetId="0">#REF!</definedName>
    <definedName name="zb_strop_4">#REF!</definedName>
    <definedName name="zb_strop_5" localSheetId="4">#REF!</definedName>
    <definedName name="zb_strop_5" localSheetId="0">#REF!</definedName>
    <definedName name="zb_strop_5">#REF!</definedName>
    <definedName name="zb_strop_6" localSheetId="4">#REF!</definedName>
    <definedName name="zb_strop_6" localSheetId="0">#REF!</definedName>
    <definedName name="zb_strop_6">#REF!</definedName>
    <definedName name="zb_strop_7" localSheetId="4">#REF!</definedName>
    <definedName name="zb_strop_7" localSheetId="0">#REF!</definedName>
    <definedName name="zb_strop_7">#REF!</definedName>
    <definedName name="zb_strop_8" localSheetId="4">#REF!</definedName>
    <definedName name="zb_strop_8" localSheetId="0">#REF!</definedName>
    <definedName name="zb_strop_8">#REF!</definedName>
    <definedName name="zb_strop_9" localSheetId="4">#REF!</definedName>
    <definedName name="zb_strop_9" localSheetId="0">#REF!</definedName>
    <definedName name="zb_strop_9">#REF!</definedName>
    <definedName name="zb_w" localSheetId="0">#REF!</definedName>
    <definedName name="zb_w">#REF!</definedName>
    <definedName name="zbrojenie">"$#ODWOŁANIE!.$C$57"</definedName>
    <definedName name="zbrojenie_z_montażem">"$#ODWOŁANIE!.$C$60"</definedName>
    <definedName name="zdjęcie_tarcz_znaków_do_ponownego_wbudowania_szt" localSheetId="4">#REF!</definedName>
    <definedName name="zdjęcie_tarcz_znaków_do_ponownego_wbudowania_szt" localSheetId="5">#REF!</definedName>
    <definedName name="zdjęcie_tarcz_znaków_do_ponownego_wbudowania_szt" localSheetId="0">#REF!</definedName>
    <definedName name="zdjęcie_tarcz_znaków_do_ponownego_wbudowania_szt">#REF!</definedName>
    <definedName name="zdjęcie_tarcz_znaków_z_wywózką_do_Zamawiającego_szt" localSheetId="4">#REF!</definedName>
    <definedName name="zdjęcie_tarcz_znaków_z_wywózką_do_Zamawiającego_szt" localSheetId="5">#REF!</definedName>
    <definedName name="zdjęcie_tarcz_znaków_z_wywózką_do_Zamawiającego_szt" localSheetId="0">#REF!</definedName>
    <definedName name="zdjęcie_tarcz_znaków_z_wywózką_do_Zamawiającego_szt">#REF!</definedName>
    <definedName name="ze" localSheetId="4">#REF!</definedName>
    <definedName name="ze" localSheetId="5">#REF!</definedName>
    <definedName name="ze" localSheetId="0">#REF!</definedName>
    <definedName name="ze">#REF!</definedName>
    <definedName name="Zestawienie_materiałów" localSheetId="4">#REF!</definedName>
    <definedName name="Zestawienie_materiałów" localSheetId="0">#REF!</definedName>
    <definedName name="Zestawienie_materiałów">#REF!</definedName>
    <definedName name="Zestawienie_nr" localSheetId="4">#REF!</definedName>
    <definedName name="Zestawienie_nr" localSheetId="0">#REF!</definedName>
    <definedName name="Zestawienie_nr">#REF!</definedName>
    <definedName name="Zestawienie_robocizny" localSheetId="4">#REF!</definedName>
    <definedName name="Zestawienie_robocizny" localSheetId="0">#REF!</definedName>
    <definedName name="Zestawienie_robocizny">#REF!</definedName>
    <definedName name="Zestawienie_sprzętu" localSheetId="4">#REF!</definedName>
    <definedName name="Zestawienie_sprzętu" localSheetId="0">#REF!</definedName>
    <definedName name="Zestawienie_sprzętu">#REF!</definedName>
    <definedName name="ZFS">45</definedName>
    <definedName name="ziemne1" localSheetId="4">#REF!</definedName>
    <definedName name="ziemne1" localSheetId="5">#REF!</definedName>
    <definedName name="ziemne1" localSheetId="0">#REF!</definedName>
    <definedName name="ziemne1">#REF!</definedName>
    <definedName name="zjazdy_z_kruszywa" localSheetId="4">#REF!</definedName>
    <definedName name="zjazdy_z_kruszywa" localSheetId="5">#REF!</definedName>
    <definedName name="zjazdy_z_kruszywa" localSheetId="0">#REF!</definedName>
    <definedName name="zjazdy_z_kruszywa">#REF!</definedName>
    <definedName name="zob_dl" localSheetId="4">#REF!</definedName>
    <definedName name="zob_dl" localSheetId="5">#REF!</definedName>
    <definedName name="zob_dl" localSheetId="0">#REF!</definedName>
    <definedName name="zob_dl">#REF!</definedName>
    <definedName name="zob_dlug" localSheetId="4">#REF!</definedName>
    <definedName name="zob_dlug" localSheetId="5">#REF!</definedName>
    <definedName name="zob_dlug" localSheetId="0">#REF!</definedName>
    <definedName name="zob_dlug">#REF!</definedName>
    <definedName name="zob_kr" localSheetId="4">#REF!</definedName>
    <definedName name="zob_kr" localSheetId="5">#REF!</definedName>
    <definedName name="zob_kr" localSheetId="0">#REF!</definedName>
    <definedName name="zob_kr">#REF!</definedName>
    <definedName name="zob_krot" localSheetId="4">#REF!</definedName>
    <definedName name="zob_krot" localSheetId="5">#REF!</definedName>
    <definedName name="zob_krot" localSheetId="0">#REF!</definedName>
    <definedName name="zob_krot">#REF!</definedName>
    <definedName name="Zone_eff_dis" localSheetId="4">#REF!</definedName>
    <definedName name="Zone_eff_dis" localSheetId="5">#REF!</definedName>
    <definedName name="Zone_eff_dis" localSheetId="0">#REF!</definedName>
    <definedName name="Zone_eff_dis">#REF!</definedName>
    <definedName name="Zone_impres_MI" localSheetId="4">#REF!</definedName>
    <definedName name="Zone_impres_MI" localSheetId="5">#REF!</definedName>
    <definedName name="Zone_impres_MI" localSheetId="0">#REF!</definedName>
    <definedName name="Zone_impres_MI">#REF!</definedName>
    <definedName name="zone_saisie" localSheetId="4">#REF!,#REF!,#REF!,#REF!</definedName>
    <definedName name="zone_saisie" localSheetId="5">#REF!,#REF!,#REF!,#REF!</definedName>
    <definedName name="zone_saisie" localSheetId="0">#REF!,#REF!,#REF!,#REF!</definedName>
    <definedName name="zone_saisie">#REF!,#REF!,#REF!,#REF!</definedName>
    <definedName name="zpr" localSheetId="4">#REF!</definedName>
    <definedName name="zpr" localSheetId="5">#REF!</definedName>
    <definedName name="zpr" localSheetId="0">#REF!</definedName>
    <definedName name="zpr">#REF!</definedName>
    <definedName name="zse" localSheetId="4" hidden="1">{#N/A,#N/A,FALSE,"SumG";#N/A,#N/A,FALSE,"ElecG";#N/A,#N/A,FALSE,"MechG";#N/A,#N/A,FALSE,"GeotG";#N/A,#N/A,FALSE,"PrcsG";#N/A,#N/A,FALSE,"TunnG";#N/A,#N/A,FALSE,"CivlG";#N/A,#N/A,FALSE,"NtwkG";#N/A,#N/A,FALSE,"EstgG";#N/A,#N/A,FALSE,"PEngG"}</definedName>
    <definedName name="zse" localSheetId="6" hidden="1">{#N/A,#N/A,FALSE,"SumG";#N/A,#N/A,FALSE,"ElecG";#N/A,#N/A,FALSE,"MechG";#N/A,#N/A,FALSE,"GeotG";#N/A,#N/A,FALSE,"PrcsG";#N/A,#N/A,FALSE,"TunnG";#N/A,#N/A,FALSE,"CivlG";#N/A,#N/A,FALSE,"NtwkG";#N/A,#N/A,FALSE,"EstgG";#N/A,#N/A,FALSE,"PEngG"}</definedName>
    <definedName name="zse" localSheetId="5" hidden="1">{#N/A,#N/A,FALSE,"SumG";#N/A,#N/A,FALSE,"ElecG";#N/A,#N/A,FALSE,"MechG";#N/A,#N/A,FALSE,"GeotG";#N/A,#N/A,FALSE,"PrcsG";#N/A,#N/A,FALSE,"TunnG";#N/A,#N/A,FALSE,"CivlG";#N/A,#N/A,FALSE,"NtwkG";#N/A,#N/A,FALSE,"EstgG";#N/A,#N/A,FALSE,"PEngG"}</definedName>
    <definedName name="zse" localSheetId="0"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US">1.230165</definedName>
    <definedName name="zx" localSheetId="4">#REF!</definedName>
    <definedName name="zx" localSheetId="5">#REF!</definedName>
    <definedName name="zx" localSheetId="0">#REF!</definedName>
    <definedName name="zx">#REF!</definedName>
    <definedName name="zy" localSheetId="4">#REF!</definedName>
    <definedName name="zy" localSheetId="5">#REF!</definedName>
    <definedName name="zy" localSheetId="0">#REF!</definedName>
    <definedName name="zy">#REF!</definedName>
    <definedName name="zysk" localSheetId="4">#REF!</definedName>
    <definedName name="zysk" localSheetId="5">#REF!</definedName>
    <definedName name="zysk" localSheetId="0">#REF!</definedName>
    <definedName name="zysk">#REF!</definedName>
    <definedName name="ŻYWICA.6mm" localSheetId="4">#REF!</definedName>
    <definedName name="ŻYWICA.6mm" localSheetId="5">#REF!</definedName>
    <definedName name="ŻYWICA.6mm" localSheetId="0">#REF!</definedName>
    <definedName name="ŻYWICA.6mm">#REF!</definedName>
    <definedName name="zz" localSheetId="4" hidden="1">{#N/A,#N/A,FALSE,"SumD";#N/A,#N/A,FALSE,"ElecD";#N/A,#N/A,FALSE,"MechD";#N/A,#N/A,FALSE,"GeotD";#N/A,#N/A,FALSE,"PrcsD";#N/A,#N/A,FALSE,"TunnD";#N/A,#N/A,FALSE,"CivlD";#N/A,#N/A,FALSE,"NtwkD";#N/A,#N/A,FALSE,"EstgD";#N/A,#N/A,FALSE,"PEngD"}</definedName>
    <definedName name="zz" localSheetId="6" hidden="1">{#N/A,#N/A,FALSE,"SumD";#N/A,#N/A,FALSE,"ElecD";#N/A,#N/A,FALSE,"MechD";#N/A,#N/A,FALSE,"GeotD";#N/A,#N/A,FALSE,"PrcsD";#N/A,#N/A,FALSE,"TunnD";#N/A,#N/A,FALSE,"CivlD";#N/A,#N/A,FALSE,"NtwkD";#N/A,#N/A,FALSE,"EstgD";#N/A,#N/A,FALSE,"PEngD"}</definedName>
    <definedName name="zz" localSheetId="5" hidden="1">{#N/A,#N/A,FALSE,"SumD";#N/A,#N/A,FALSE,"ElecD";#N/A,#N/A,FALSE,"MechD";#N/A,#N/A,FALSE,"GeotD";#N/A,#N/A,FALSE,"PrcsD";#N/A,#N/A,FALSE,"TunnD";#N/A,#N/A,FALSE,"CivlD";#N/A,#N/A,FALSE,"NtwkD";#N/A,#N/A,FALSE,"EstgD";#N/A,#N/A,FALSE,"PEngD"}</definedName>
    <definedName name="zz" localSheetId="0" hidden="1">{#N/A,#N/A,FALSE,"SumD";#N/A,#N/A,FALSE,"ElecD";#N/A,#N/A,FALSE,"MechD";#N/A,#N/A,FALSE,"GeotD";#N/A,#N/A,FALSE,"PrcsD";#N/A,#N/A,FALSE,"TunnD";#N/A,#N/A,FALSE,"CivlD";#N/A,#N/A,FALSE,"NtwkD";#N/A,#N/A,FALSE,"EstgD";#N/A,#N/A,FALSE,"PEngD"}</definedName>
    <definedName name="zz" hidden="1">{#N/A,#N/A,FALSE,"SumD";#N/A,#N/A,FALSE,"ElecD";#N/A,#N/A,FALSE,"MechD";#N/A,#N/A,FALSE,"GeotD";#N/A,#N/A,FALSE,"PrcsD";#N/A,#N/A,FALSE,"TunnD";#N/A,#N/A,FALSE,"CivlD";#N/A,#N/A,FALSE,"NtwkD";#N/A,#N/A,FALSE,"EstgD";#N/A,#N/A,FALSE,"PEngD"}</definedName>
    <definedName name="zzz" localSheetId="4">#REF!</definedName>
    <definedName name="zzz" localSheetId="5">#REF!</definedName>
    <definedName name="zzz" localSheetId="0">#REF!</definedName>
    <definedName name="zzz">#REF!</definedName>
    <definedName name="zzzzz">#N/A</definedName>
    <definedName name="zzzzzzzzzzzzzz" localSheetId="4">#REF!</definedName>
    <definedName name="zzzzzzzzzzzzzz" localSheetId="5">#REF!</definedName>
    <definedName name="zzzzzzzzzzzzzz" localSheetId="0">#REF!</definedName>
    <definedName name="zzzzzzzzzzzzzz">#REF!</definedName>
    <definedName name="건축" localSheetId="4">#REF!</definedName>
    <definedName name="건축" localSheetId="5">#REF!</definedName>
    <definedName name="건축" localSheetId="0">#REF!</definedName>
    <definedName name="건축">#REF!</definedName>
    <definedName name="공종" localSheetId="4">#REF!</definedName>
    <definedName name="공종" localSheetId="5">#REF!</definedName>
    <definedName name="공종" localSheetId="0">#REF!</definedName>
    <definedName name="공종">#REF!</definedName>
    <definedName name="구분" localSheetId="4">#REF!</definedName>
    <definedName name="구분" localSheetId="0">#REF!</definedName>
    <definedName name="구분">#REF!</definedName>
    <definedName name="기계" localSheetId="4">#REF!</definedName>
    <definedName name="기계" localSheetId="0">#REF!</definedName>
    <definedName name="기계">#REF!</definedName>
    <definedName name="기타" localSheetId="4">#REF!</definedName>
    <definedName name="기타" localSheetId="0">#REF!</definedName>
    <definedName name="기타">#REF!</definedName>
    <definedName name="뚜껑" localSheetId="4">#REF!</definedName>
    <definedName name="뚜껑" localSheetId="5">#REF!</definedName>
    <definedName name="뚜껑" localSheetId="0">#REF!</definedName>
    <definedName name="뚜껑">#REF!</definedName>
    <definedName name="사진" localSheetId="4">#REF!</definedName>
    <definedName name="사진" localSheetId="5">#REF!</definedName>
    <definedName name="사진" localSheetId="0">#REF!</definedName>
    <definedName name="사진">#REF!</definedName>
    <definedName name="소모비" localSheetId="4">#REF!</definedName>
    <definedName name="소모비" localSheetId="5">#REF!</definedName>
    <definedName name="소모비" localSheetId="0">#REF!</definedName>
    <definedName name="소모비">#REF!</definedName>
    <definedName name="작업계획" localSheetId="4">#REF!</definedName>
    <definedName name="작업계획" localSheetId="5">#REF!</definedName>
    <definedName name="작업계획" localSheetId="0">#REF!</definedName>
    <definedName name="작업계획">#REF!</definedName>
    <definedName name="전기계장" localSheetId="4">#REF!</definedName>
    <definedName name="전기계장" localSheetId="0">#REF!</definedName>
    <definedName name="전기계장">#REF!</definedName>
    <definedName name="중기" localSheetId="4">#REF!</definedName>
    <definedName name="중기" localSheetId="0">#REF!</definedName>
    <definedName name="중기">#REF!</definedName>
    <definedName name="집계SHEET" localSheetId="4">#REF!</definedName>
    <definedName name="집계SHEET" localSheetId="5">#REF!</definedName>
    <definedName name="집계SHEET" localSheetId="0">#REF!</definedName>
    <definedName name="집계SHEET">#REF!</definedName>
    <definedName name="ㅌ" localSheetId="4">#REF!</definedName>
    <definedName name="ㅌ" localSheetId="5">#REF!</definedName>
    <definedName name="ㅌ" localSheetId="0">#REF!</definedName>
    <definedName name="ㅌ">#REF!</definedName>
    <definedName name="토목" localSheetId="4">#REF!</definedName>
    <definedName name="토목" localSheetId="5">#REF!</definedName>
    <definedName name="토목" localSheetId="0">#REF!</definedName>
    <definedName name="토목">#REF!</definedName>
    <definedName name="표지1" localSheetId="4">#REF!</definedName>
    <definedName name="표지1" localSheetId="5">#REF!</definedName>
    <definedName name="표지1" localSheetId="0">#REF!</definedName>
    <definedName name="표지1">#REF!</definedName>
    <definedName name="空調労務割掛">#N/A</definedName>
    <definedName name="空調継手・支持金物" localSheetId="4">#REF!</definedName>
    <definedName name="空調継手・支持金物" localSheetId="5">#REF!</definedName>
    <definedName name="空調継手・支持金物" localSheetId="0">#REF!</definedName>
    <definedName name="空調継手・支持金物">#REF!</definedName>
    <definedName name="範囲" localSheetId="4">#REF!</definedName>
    <definedName name="範囲" localSheetId="5">#REF!</definedName>
    <definedName name="範囲" localSheetId="0">#REF!</definedName>
    <definedName name="範囲">#REF!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80" i="1" l="1"/>
  <c r="J1880" i="1" s="1"/>
  <c r="E1880" i="1"/>
  <c r="I1878" i="1"/>
  <c r="J1878" i="1" s="1"/>
  <c r="E1878" i="1"/>
  <c r="I1877" i="1"/>
  <c r="J1877" i="1" s="1"/>
  <c r="E1877" i="1"/>
  <c r="I1876" i="1"/>
  <c r="J1876" i="1" s="1"/>
  <c r="E1876" i="1"/>
  <c r="I1875" i="1"/>
  <c r="J1875" i="1" s="1"/>
  <c r="E1875" i="1"/>
  <c r="I1874" i="1"/>
  <c r="J1874" i="1" s="1"/>
  <c r="E1874" i="1"/>
  <c r="I1867" i="1"/>
  <c r="I1872" i="1"/>
  <c r="E1872" i="1"/>
  <c r="I1870" i="1"/>
  <c r="E1870" i="1"/>
  <c r="J1867" i="1"/>
  <c r="H1864" i="1"/>
  <c r="H1863" i="1"/>
  <c r="H1862" i="1"/>
  <c r="I1864" i="1"/>
  <c r="J1864" i="1" s="1"/>
  <c r="E1864" i="1"/>
  <c r="I1863" i="1"/>
  <c r="J1863" i="1" s="1"/>
  <c r="E1863" i="1"/>
  <c r="H1857" i="1"/>
  <c r="I1857" i="1" s="1"/>
  <c r="J1857" i="1" s="1"/>
  <c r="L1857" i="1" s="1"/>
  <c r="H1856" i="1"/>
  <c r="H1855" i="1"/>
  <c r="H1854" i="1"/>
  <c r="H1853" i="1"/>
  <c r="H1852" i="1"/>
  <c r="H1851" i="1"/>
  <c r="I1851" i="1" s="1"/>
  <c r="J1851" i="1" s="1"/>
  <c r="H1850" i="1"/>
  <c r="H1849" i="1"/>
  <c r="E1857" i="1"/>
  <c r="I1856" i="1"/>
  <c r="E1856" i="1"/>
  <c r="I1855" i="1"/>
  <c r="E1855" i="1"/>
  <c r="I1854" i="1"/>
  <c r="E1854" i="1"/>
  <c r="I1853" i="1"/>
  <c r="J1853" i="1" s="1"/>
  <c r="E1853" i="1"/>
  <c r="I1852" i="1"/>
  <c r="J1852" i="1" s="1"/>
  <c r="E1852" i="1"/>
  <c r="E1851" i="1"/>
  <c r="I1850" i="1"/>
  <c r="E1850" i="1"/>
  <c r="H1846" i="1"/>
  <c r="I1846" i="1" s="1"/>
  <c r="J1846" i="1" s="1"/>
  <c r="H1838" i="1"/>
  <c r="I1848" i="1"/>
  <c r="J1848" i="1" s="1"/>
  <c r="E1848" i="1"/>
  <c r="I1847" i="1"/>
  <c r="J1847" i="1" s="1"/>
  <c r="E1847" i="1"/>
  <c r="E1846" i="1"/>
  <c r="I1845" i="1"/>
  <c r="J1845" i="1" s="1"/>
  <c r="E1845" i="1"/>
  <c r="I1844" i="1"/>
  <c r="J1844" i="1" s="1"/>
  <c r="E1844" i="1"/>
  <c r="I1843" i="1"/>
  <c r="J1843" i="1" s="1"/>
  <c r="E1843" i="1"/>
  <c r="I1842" i="1"/>
  <c r="J1842" i="1" s="1"/>
  <c r="E1842" i="1"/>
  <c r="I1841" i="1"/>
  <c r="J1841" i="1" s="1"/>
  <c r="E1841" i="1"/>
  <c r="I1840" i="1"/>
  <c r="J1840" i="1" s="1"/>
  <c r="E1840" i="1"/>
  <c r="I1839" i="1"/>
  <c r="J1839" i="1" s="1"/>
  <c r="E1839" i="1"/>
  <c r="I1837" i="1"/>
  <c r="J1837" i="1" s="1"/>
  <c r="E1837" i="1"/>
  <c r="I1833" i="1"/>
  <c r="J1833" i="1" s="1"/>
  <c r="E1833" i="1"/>
  <c r="I1832" i="1"/>
  <c r="J1832" i="1" s="1"/>
  <c r="E1832" i="1"/>
  <c r="I1831" i="1"/>
  <c r="J1831" i="1" s="1"/>
  <c r="E1831" i="1"/>
  <c r="J1829" i="1"/>
  <c r="I1828" i="1"/>
  <c r="J1828" i="1" s="1"/>
  <c r="E1828" i="1"/>
  <c r="I1827" i="1"/>
  <c r="J1827" i="1" s="1"/>
  <c r="E1827" i="1"/>
  <c r="I1825" i="1"/>
  <c r="J1825" i="1" s="1"/>
  <c r="E1825" i="1"/>
  <c r="I1817" i="1"/>
  <c r="I1819" i="1"/>
  <c r="E1819" i="1"/>
  <c r="I1818" i="1"/>
  <c r="E1818" i="1"/>
  <c r="J1816" i="1"/>
  <c r="E1817" i="1"/>
  <c r="I1815" i="1"/>
  <c r="J1815" i="1" s="1"/>
  <c r="E1815" i="1"/>
  <c r="I1814" i="1"/>
  <c r="J1814" i="1" s="1"/>
  <c r="E1814" i="1"/>
  <c r="I1812" i="1"/>
  <c r="J1812" i="1" s="1"/>
  <c r="E1812" i="1"/>
  <c r="I1811" i="1"/>
  <c r="J1811" i="1" s="1"/>
  <c r="E1811" i="1"/>
  <c r="I1810" i="1"/>
  <c r="J1810" i="1" s="1"/>
  <c r="E1810" i="1"/>
  <c r="I1807" i="1"/>
  <c r="J1807" i="1" s="1"/>
  <c r="E1807" i="1"/>
  <c r="I1803" i="1"/>
  <c r="J1803" i="1" s="1"/>
  <c r="E1803" i="1"/>
  <c r="I1802" i="1"/>
  <c r="J1802" i="1" s="1"/>
  <c r="E1802" i="1"/>
  <c r="I957" i="1"/>
  <c r="I1772" i="1"/>
  <c r="J1772" i="1" s="1"/>
  <c r="E1692" i="1"/>
  <c r="E1693" i="1"/>
  <c r="E1694" i="1"/>
  <c r="E1695" i="1"/>
  <c r="E1696" i="1"/>
  <c r="E1697" i="1"/>
  <c r="E1698" i="1"/>
  <c r="E1699" i="1"/>
  <c r="E1700" i="1"/>
  <c r="E1701" i="1"/>
  <c r="E1702" i="1"/>
  <c r="E1703" i="1"/>
  <c r="E1704" i="1"/>
  <c r="E1705" i="1"/>
  <c r="I1692" i="1"/>
  <c r="I1693" i="1"/>
  <c r="J1693" i="1" s="1"/>
  <c r="L1693" i="1" s="1"/>
  <c r="I1694" i="1"/>
  <c r="J1694" i="1" s="1"/>
  <c r="L1694" i="1" s="1"/>
  <c r="I1695" i="1"/>
  <c r="J1695" i="1" s="1"/>
  <c r="L1695" i="1" s="1"/>
  <c r="I1696" i="1"/>
  <c r="J1696" i="1" s="1"/>
  <c r="L1696" i="1" s="1"/>
  <c r="I1697" i="1"/>
  <c r="J1697" i="1" s="1"/>
  <c r="L1697" i="1" s="1"/>
  <c r="I1698" i="1"/>
  <c r="J1698" i="1" s="1"/>
  <c r="I1699" i="1"/>
  <c r="J1699" i="1" s="1"/>
  <c r="I1700" i="1"/>
  <c r="J1700" i="1" s="1"/>
  <c r="I1701" i="1"/>
  <c r="J1701" i="1" s="1"/>
  <c r="I1702" i="1"/>
  <c r="J1702" i="1" s="1"/>
  <c r="I1703" i="1"/>
  <c r="J1703" i="1" s="1"/>
  <c r="I1704" i="1"/>
  <c r="J1704" i="1" s="1"/>
  <c r="I1705" i="1"/>
  <c r="J1705" i="1" s="1"/>
  <c r="E1660" i="1"/>
  <c r="E1661" i="1"/>
  <c r="E1662" i="1"/>
  <c r="E1663" i="1"/>
  <c r="E1664" i="1"/>
  <c r="E1665" i="1"/>
  <c r="E1666" i="1"/>
  <c r="E1667" i="1"/>
  <c r="I1660" i="1"/>
  <c r="I1661" i="1"/>
  <c r="I1662" i="1"/>
  <c r="I1663" i="1"/>
  <c r="I1664" i="1"/>
  <c r="J1664" i="1" s="1"/>
  <c r="I1665" i="1"/>
  <c r="J1665" i="1" s="1"/>
  <c r="L1665" i="1" s="1"/>
  <c r="I1666" i="1"/>
  <c r="J1666" i="1" s="1"/>
  <c r="I1667" i="1"/>
  <c r="J1667" i="1" s="1"/>
  <c r="E1631" i="1"/>
  <c r="E1632" i="1"/>
  <c r="E1633" i="1"/>
  <c r="E1634" i="1"/>
  <c r="E1635" i="1"/>
  <c r="E1636" i="1"/>
  <c r="E1637" i="1"/>
  <c r="E1638" i="1"/>
  <c r="I1631" i="1"/>
  <c r="I1632" i="1"/>
  <c r="I1633" i="1"/>
  <c r="I1634" i="1"/>
  <c r="I1635" i="1"/>
  <c r="J1635" i="1" s="1"/>
  <c r="I1636" i="1"/>
  <c r="I1637" i="1"/>
  <c r="J1637" i="1" s="1"/>
  <c r="I1638" i="1"/>
  <c r="J1638" i="1" s="1"/>
  <c r="E1594" i="1"/>
  <c r="E1595" i="1"/>
  <c r="E1596" i="1"/>
  <c r="E1597" i="1"/>
  <c r="E1598" i="1"/>
  <c r="E1599" i="1"/>
  <c r="E1600" i="1"/>
  <c r="E1601" i="1"/>
  <c r="E1602" i="1"/>
  <c r="E1603" i="1"/>
  <c r="E1604" i="1"/>
  <c r="E1605" i="1"/>
  <c r="I1594" i="1"/>
  <c r="J1594" i="1" s="1"/>
  <c r="L1594" i="1" s="1"/>
  <c r="I1595" i="1"/>
  <c r="J1595" i="1" s="1"/>
  <c r="I1596" i="1"/>
  <c r="I1597" i="1"/>
  <c r="J1597" i="1" s="1"/>
  <c r="I1598" i="1"/>
  <c r="J1598" i="1" s="1"/>
  <c r="I1599" i="1"/>
  <c r="J1599" i="1" s="1"/>
  <c r="I1600" i="1"/>
  <c r="J1600" i="1" s="1"/>
  <c r="I1601" i="1"/>
  <c r="I1602" i="1"/>
  <c r="J1602" i="1" s="1"/>
  <c r="I1603" i="1"/>
  <c r="J1603" i="1" s="1"/>
  <c r="I1604" i="1"/>
  <c r="J1604" i="1" s="1"/>
  <c r="I1605" i="1"/>
  <c r="J1605" i="1" s="1"/>
  <c r="E1567" i="1"/>
  <c r="E1568" i="1"/>
  <c r="E1569" i="1"/>
  <c r="E1570" i="1"/>
  <c r="E1571" i="1"/>
  <c r="E1572" i="1"/>
  <c r="I1567" i="1"/>
  <c r="J1567" i="1" s="1"/>
  <c r="I1568" i="1"/>
  <c r="J1568" i="1" s="1"/>
  <c r="I1569" i="1"/>
  <c r="J1569" i="1" s="1"/>
  <c r="I1570" i="1"/>
  <c r="J1570" i="1" s="1"/>
  <c r="I1571" i="1"/>
  <c r="J1571" i="1" s="1"/>
  <c r="I1572" i="1"/>
  <c r="J1572" i="1" s="1"/>
  <c r="E1561" i="1"/>
  <c r="E1562" i="1"/>
  <c r="E1563" i="1"/>
  <c r="E1564" i="1"/>
  <c r="E1565" i="1"/>
  <c r="E1566" i="1"/>
  <c r="I1561" i="1"/>
  <c r="J1561" i="1" s="1"/>
  <c r="I1562" i="1"/>
  <c r="J1562" i="1" s="1"/>
  <c r="I1563" i="1"/>
  <c r="J1563" i="1" s="1"/>
  <c r="I1564" i="1"/>
  <c r="J1564" i="1" s="1"/>
  <c r="I1565" i="1"/>
  <c r="J1565" i="1" s="1"/>
  <c r="I1566" i="1"/>
  <c r="J1566" i="1" s="1"/>
  <c r="L1880" i="1" l="1"/>
  <c r="L1878" i="1"/>
  <c r="L1877" i="1"/>
  <c r="L1876" i="1"/>
  <c r="L1875" i="1"/>
  <c r="L1874" i="1"/>
  <c r="J1872" i="1"/>
  <c r="L1872" i="1" s="1"/>
  <c r="J1870" i="1"/>
  <c r="L1870" i="1" s="1"/>
  <c r="L1864" i="1"/>
  <c r="L1863" i="1"/>
  <c r="J1856" i="1"/>
  <c r="L1856" i="1" s="1"/>
  <c r="J1855" i="1"/>
  <c r="L1855" i="1" s="1"/>
  <c r="J1854" i="1"/>
  <c r="L1854" i="1"/>
  <c r="L1853" i="1"/>
  <c r="L1852" i="1"/>
  <c r="L1851" i="1"/>
  <c r="J1850" i="1"/>
  <c r="L1850" i="1" s="1"/>
  <c r="L1848" i="1"/>
  <c r="L1847" i="1"/>
  <c r="L1846" i="1"/>
  <c r="L1845" i="1"/>
  <c r="L1844" i="1"/>
  <c r="L1843" i="1"/>
  <c r="L1842" i="1"/>
  <c r="L1841" i="1"/>
  <c r="L1840" i="1"/>
  <c r="L1839" i="1"/>
  <c r="L1837" i="1"/>
  <c r="L1833" i="1"/>
  <c r="L1832" i="1"/>
  <c r="L1831" i="1"/>
  <c r="L1828" i="1"/>
  <c r="L1827" i="1"/>
  <c r="L1825" i="1"/>
  <c r="J1819" i="1"/>
  <c r="L1819" i="1" s="1"/>
  <c r="J1818" i="1"/>
  <c r="L1818" i="1" s="1"/>
  <c r="J1817" i="1"/>
  <c r="L1817" i="1" s="1"/>
  <c r="L1815" i="1"/>
  <c r="L1814" i="1"/>
  <c r="L1812" i="1"/>
  <c r="L1811" i="1"/>
  <c r="L1810" i="1"/>
  <c r="L1807" i="1"/>
  <c r="L1803" i="1"/>
  <c r="L1802" i="1"/>
  <c r="L1772" i="1"/>
  <c r="L1703" i="1"/>
  <c r="L1705" i="1"/>
  <c r="L1704" i="1"/>
  <c r="J1692" i="1"/>
  <c r="L1692" i="1" s="1"/>
  <c r="L1699" i="1"/>
  <c r="L1698" i="1"/>
  <c r="L1702" i="1"/>
  <c r="L1701" i="1"/>
  <c r="L1667" i="1"/>
  <c r="L1700" i="1"/>
  <c r="L1666" i="1"/>
  <c r="L1664" i="1"/>
  <c r="L1604" i="1"/>
  <c r="L1602" i="1"/>
  <c r="J1601" i="1"/>
  <c r="L1601" i="1" s="1"/>
  <c r="L1600" i="1"/>
  <c r="L1663" i="1"/>
  <c r="L1662" i="1"/>
  <c r="L1660" i="1"/>
  <c r="L1661" i="1"/>
  <c r="J1636" i="1"/>
  <c r="L1636" i="1" s="1"/>
  <c r="L1638" i="1"/>
  <c r="L1637" i="1"/>
  <c r="L1635" i="1"/>
  <c r="L1634" i="1"/>
  <c r="L1633" i="1"/>
  <c r="L1631" i="1"/>
  <c r="L1632" i="1"/>
  <c r="J1596" i="1"/>
  <c r="L1596" i="1" s="1"/>
  <c r="L1595" i="1"/>
  <c r="L1598" i="1"/>
  <c r="L1603" i="1"/>
  <c r="L1605" i="1"/>
  <c r="L1599" i="1"/>
  <c r="L1597" i="1"/>
  <c r="L1572" i="1"/>
  <c r="L1567" i="1"/>
  <c r="L1570" i="1"/>
  <c r="L1571" i="1"/>
  <c r="L1568" i="1"/>
  <c r="L1569" i="1"/>
  <c r="L1563" i="1"/>
  <c r="L1566" i="1"/>
  <c r="L1565" i="1"/>
  <c r="L1564" i="1"/>
  <c r="L1562" i="1"/>
  <c r="L1561" i="1"/>
  <c r="H1546" i="1" l="1"/>
  <c r="I1545" i="1"/>
  <c r="J1545" i="1" s="1"/>
  <c r="L1545" i="1" s="1"/>
  <c r="E1545" i="1"/>
  <c r="I1543" i="1"/>
  <c r="J1543" i="1" s="1"/>
  <c r="L1543" i="1" s="1"/>
  <c r="E1543" i="1"/>
  <c r="J1540" i="1"/>
  <c r="H1540" i="1"/>
  <c r="I1538" i="1"/>
  <c r="J1538" i="1" s="1"/>
  <c r="E1538" i="1"/>
  <c r="I1537" i="1"/>
  <c r="J1537" i="1" s="1"/>
  <c r="E1537" i="1"/>
  <c r="I1536" i="1"/>
  <c r="J1536" i="1" s="1"/>
  <c r="E1536" i="1"/>
  <c r="I1535" i="1"/>
  <c r="J1535" i="1" s="1"/>
  <c r="E1535" i="1"/>
  <c r="I1533" i="1"/>
  <c r="J1533" i="1" s="1"/>
  <c r="L1533" i="1" s="1"/>
  <c r="E1533" i="1"/>
  <c r="I1531" i="1"/>
  <c r="J1531" i="1" s="1"/>
  <c r="L1531" i="1" s="1"/>
  <c r="I1530" i="1"/>
  <c r="J1530" i="1" s="1"/>
  <c r="E1531" i="1"/>
  <c r="E1530" i="1"/>
  <c r="I1529" i="1"/>
  <c r="E1529" i="1"/>
  <c r="H1527" i="1"/>
  <c r="I1527" i="1" s="1"/>
  <c r="H1526" i="1"/>
  <c r="I1526" i="1" s="1"/>
  <c r="J1526" i="1" s="1"/>
  <c r="L1526" i="1" s="1"/>
  <c r="H1525" i="1"/>
  <c r="I1525" i="1" s="1"/>
  <c r="H1524" i="1"/>
  <c r="I1524" i="1" s="1"/>
  <c r="H1523" i="1"/>
  <c r="I1523" i="1" s="1"/>
  <c r="J1523" i="1" s="1"/>
  <c r="H1522" i="1"/>
  <c r="I1522" i="1" s="1"/>
  <c r="J1522" i="1" s="1"/>
  <c r="E1526" i="1"/>
  <c r="E1525" i="1"/>
  <c r="E1524" i="1"/>
  <c r="E1523" i="1"/>
  <c r="J1521" i="1"/>
  <c r="H1521" i="1"/>
  <c r="I1521" i="1" s="1"/>
  <c r="I1520" i="1"/>
  <c r="J1520" i="1" s="1"/>
  <c r="L1520" i="1" s="1"/>
  <c r="E1520" i="1"/>
  <c r="I1519" i="1"/>
  <c r="E1519" i="1"/>
  <c r="I1516" i="1"/>
  <c r="E1516" i="1"/>
  <c r="I1515" i="1"/>
  <c r="J1515" i="1" s="1"/>
  <c r="E1515" i="1"/>
  <c r="I1513" i="1"/>
  <c r="E1513" i="1"/>
  <c r="K1511" i="1"/>
  <c r="I1509" i="1"/>
  <c r="J1509" i="1" s="1"/>
  <c r="E1509" i="1"/>
  <c r="E1506" i="1"/>
  <c r="I1455" i="1"/>
  <c r="L1455" i="1" s="1"/>
  <c r="I1532" i="1"/>
  <c r="E1532" i="1"/>
  <c r="I1528" i="1"/>
  <c r="E1528" i="1"/>
  <c r="E1527" i="1"/>
  <c r="E1522" i="1"/>
  <c r="E1521" i="1"/>
  <c r="I1518" i="1"/>
  <c r="E1518" i="1"/>
  <c r="I1517" i="1"/>
  <c r="E1517" i="1"/>
  <c r="I1514" i="1"/>
  <c r="E1514" i="1"/>
  <c r="I1512" i="1"/>
  <c r="E1512" i="1"/>
  <c r="I1511" i="1"/>
  <c r="E1511" i="1"/>
  <c r="I1510" i="1"/>
  <c r="E1510" i="1"/>
  <c r="I1508" i="1"/>
  <c r="J1508" i="1" s="1"/>
  <c r="E1508" i="1"/>
  <c r="I1507" i="1"/>
  <c r="J1507" i="1" s="1"/>
  <c r="E1507" i="1"/>
  <c r="I1506" i="1"/>
  <c r="I1505" i="1"/>
  <c r="L1505" i="1" s="1"/>
  <c r="E1505" i="1"/>
  <c r="I1504" i="1"/>
  <c r="L1504" i="1" s="1"/>
  <c r="E1504" i="1"/>
  <c r="I1503" i="1"/>
  <c r="L1503" i="1" s="1"/>
  <c r="E1503" i="1"/>
  <c r="I1502" i="1"/>
  <c r="L1502" i="1" s="1"/>
  <c r="E1502" i="1"/>
  <c r="I1501" i="1"/>
  <c r="L1501" i="1" s="1"/>
  <c r="E1501" i="1"/>
  <c r="I1500" i="1"/>
  <c r="L1500" i="1" s="1"/>
  <c r="E1500" i="1"/>
  <c r="I1499" i="1"/>
  <c r="L1499" i="1" s="1"/>
  <c r="E1499" i="1"/>
  <c r="I1498" i="1"/>
  <c r="L1498" i="1" s="1"/>
  <c r="E1498" i="1"/>
  <c r="I1497" i="1"/>
  <c r="L1497" i="1" s="1"/>
  <c r="E1497" i="1"/>
  <c r="I1496" i="1"/>
  <c r="L1496" i="1" s="1"/>
  <c r="E1496" i="1"/>
  <c r="I1495" i="1"/>
  <c r="L1495" i="1" s="1"/>
  <c r="E1495" i="1"/>
  <c r="I1494" i="1"/>
  <c r="L1494" i="1" s="1"/>
  <c r="E1494" i="1"/>
  <c r="I1493" i="1"/>
  <c r="L1493" i="1" s="1"/>
  <c r="E1493" i="1"/>
  <c r="I1492" i="1"/>
  <c r="L1492" i="1" s="1"/>
  <c r="E1492" i="1"/>
  <c r="I1491" i="1"/>
  <c r="L1491" i="1" s="1"/>
  <c r="E1491" i="1"/>
  <c r="I1490" i="1"/>
  <c r="L1490" i="1" s="1"/>
  <c r="E1490" i="1"/>
  <c r="I1489" i="1"/>
  <c r="L1489" i="1" s="1"/>
  <c r="E1489" i="1"/>
  <c r="I1488" i="1"/>
  <c r="L1488" i="1" s="1"/>
  <c r="E1488" i="1"/>
  <c r="I1487" i="1"/>
  <c r="L1487" i="1" s="1"/>
  <c r="E1487" i="1"/>
  <c r="I1486" i="1"/>
  <c r="L1486" i="1" s="1"/>
  <c r="E1486" i="1"/>
  <c r="I1485" i="1"/>
  <c r="L1485" i="1" s="1"/>
  <c r="E1485" i="1"/>
  <c r="I1484" i="1"/>
  <c r="L1484" i="1" s="1"/>
  <c r="E1484" i="1"/>
  <c r="I1483" i="1"/>
  <c r="L1483" i="1" s="1"/>
  <c r="E1483" i="1"/>
  <c r="I1482" i="1"/>
  <c r="L1482" i="1" s="1"/>
  <c r="E1482" i="1"/>
  <c r="I1481" i="1"/>
  <c r="L1481" i="1" s="1"/>
  <c r="E1481" i="1"/>
  <c r="I1480" i="1"/>
  <c r="L1480" i="1" s="1"/>
  <c r="E1480" i="1"/>
  <c r="I1479" i="1"/>
  <c r="L1479" i="1" s="1"/>
  <c r="E1479" i="1"/>
  <c r="I1478" i="1"/>
  <c r="L1478" i="1" s="1"/>
  <c r="E1478" i="1"/>
  <c r="I1477" i="1"/>
  <c r="L1477" i="1" s="1"/>
  <c r="E1477" i="1"/>
  <c r="I1476" i="1"/>
  <c r="L1476" i="1" s="1"/>
  <c r="E1476" i="1"/>
  <c r="I1475" i="1"/>
  <c r="L1475" i="1" s="1"/>
  <c r="E1475" i="1"/>
  <c r="I1474" i="1"/>
  <c r="L1474" i="1" s="1"/>
  <c r="E1474" i="1"/>
  <c r="I1473" i="1"/>
  <c r="L1473" i="1" s="1"/>
  <c r="E1473" i="1"/>
  <c r="I1472" i="1"/>
  <c r="L1472" i="1" s="1"/>
  <c r="E1472" i="1"/>
  <c r="I1471" i="1"/>
  <c r="L1471" i="1" s="1"/>
  <c r="E1471" i="1"/>
  <c r="I1470" i="1"/>
  <c r="L1470" i="1" s="1"/>
  <c r="E1470" i="1"/>
  <c r="I1469" i="1"/>
  <c r="L1469" i="1" s="1"/>
  <c r="E1469" i="1"/>
  <c r="I1468" i="1"/>
  <c r="L1468" i="1" s="1"/>
  <c r="E1468" i="1"/>
  <c r="I1467" i="1"/>
  <c r="L1467" i="1" s="1"/>
  <c r="E1467" i="1"/>
  <c r="I1466" i="1"/>
  <c r="L1466" i="1" s="1"/>
  <c r="E1466" i="1"/>
  <c r="I1465" i="1"/>
  <c r="L1465" i="1" s="1"/>
  <c r="E1465" i="1"/>
  <c r="I1464" i="1"/>
  <c r="L1464" i="1" s="1"/>
  <c r="E1464" i="1"/>
  <c r="I1463" i="1"/>
  <c r="L1463" i="1" s="1"/>
  <c r="E1463" i="1"/>
  <c r="I1462" i="1"/>
  <c r="L1462" i="1" s="1"/>
  <c r="E1462" i="1"/>
  <c r="I1461" i="1"/>
  <c r="L1461" i="1" s="1"/>
  <c r="E1461" i="1"/>
  <c r="I1460" i="1"/>
  <c r="L1460" i="1" s="1"/>
  <c r="E1460" i="1"/>
  <c r="I1459" i="1"/>
  <c r="L1459" i="1" s="1"/>
  <c r="E1459" i="1"/>
  <c r="I1458" i="1"/>
  <c r="L1458" i="1" s="1"/>
  <c r="E1458" i="1"/>
  <c r="I1457" i="1"/>
  <c r="L1457" i="1" s="1"/>
  <c r="E1457" i="1"/>
  <c r="I1456" i="1"/>
  <c r="L1456" i="1" s="1"/>
  <c r="E1456" i="1"/>
  <c r="E1455" i="1"/>
  <c r="I1454" i="1"/>
  <c r="L1454" i="1" s="1"/>
  <c r="E1454" i="1"/>
  <c r="I1453" i="1"/>
  <c r="L1453" i="1" s="1"/>
  <c r="E1453" i="1"/>
  <c r="I1452" i="1"/>
  <c r="L1452" i="1" s="1"/>
  <c r="E1452" i="1"/>
  <c r="I1451" i="1"/>
  <c r="E1451" i="1"/>
  <c r="I1449" i="1"/>
  <c r="E1449" i="1"/>
  <c r="I1448" i="1"/>
  <c r="E1448" i="1"/>
  <c r="I1447" i="1"/>
  <c r="E1447" i="1"/>
  <c r="I1446" i="1"/>
  <c r="E1446" i="1"/>
  <c r="I1445" i="1"/>
  <c r="E1445" i="1"/>
  <c r="I1443" i="1"/>
  <c r="J1443" i="1" s="1"/>
  <c r="L1443" i="1" s="1"/>
  <c r="E1443" i="1"/>
  <c r="H1440" i="1"/>
  <c r="I1440" i="1" s="1"/>
  <c r="J1440" i="1" s="1"/>
  <c r="H1439" i="1"/>
  <c r="I1439" i="1" s="1"/>
  <c r="J1439" i="1" s="1"/>
  <c r="H1438" i="1"/>
  <c r="E1440" i="1"/>
  <c r="E1439" i="1"/>
  <c r="P125" i="1"/>
  <c r="P84" i="1"/>
  <c r="P892" i="1"/>
  <c r="P763" i="1"/>
  <c r="P762" i="1"/>
  <c r="P571" i="1"/>
  <c r="P550" i="1"/>
  <c r="P474" i="1"/>
  <c r="P375" i="1"/>
  <c r="P350" i="1"/>
  <c r="P349" i="1"/>
  <c r="P283" i="1"/>
  <c r="P267" i="1"/>
  <c r="S20" i="11"/>
  <c r="M20" i="11"/>
  <c r="N20" i="11" s="1"/>
  <c r="S19" i="11"/>
  <c r="M19" i="11"/>
  <c r="N19" i="11" s="1"/>
  <c r="S28" i="11"/>
  <c r="M28" i="11"/>
  <c r="N28" i="11" s="1"/>
  <c r="S29" i="11"/>
  <c r="M29" i="11"/>
  <c r="N29" i="11" s="1"/>
  <c r="S27" i="11"/>
  <c r="M27" i="11"/>
  <c r="N27" i="11" s="1"/>
  <c r="S24" i="11"/>
  <c r="M24" i="11"/>
  <c r="N24" i="11" s="1"/>
  <c r="L1523" i="1" l="1"/>
  <c r="L1535" i="1"/>
  <c r="L1538" i="1"/>
  <c r="L1536" i="1"/>
  <c r="L1537" i="1"/>
  <c r="L1530" i="1"/>
  <c r="J1529" i="1"/>
  <c r="L1529" i="1" s="1"/>
  <c r="J1524" i="1"/>
  <c r="L1524" i="1" s="1"/>
  <c r="J1525" i="1"/>
  <c r="L1525" i="1" s="1"/>
  <c r="J1519" i="1"/>
  <c r="L1519" i="1" s="1"/>
  <c r="J1517" i="1"/>
  <c r="L1517" i="1" s="1"/>
  <c r="J1514" i="1"/>
  <c r="L1514" i="1" s="1"/>
  <c r="L1515" i="1"/>
  <c r="J1516" i="1"/>
  <c r="L1516" i="1" s="1"/>
  <c r="J1513" i="1"/>
  <c r="L1513" i="1" s="1"/>
  <c r="J1511" i="1"/>
  <c r="L1511" i="1" s="1"/>
  <c r="L1508" i="1"/>
  <c r="L1509" i="1"/>
  <c r="J1512" i="1"/>
  <c r="L1512" i="1" s="1"/>
  <c r="L1527" i="1"/>
  <c r="L1521" i="1"/>
  <c r="L1507" i="1"/>
  <c r="J1528" i="1"/>
  <c r="L1528" i="1" s="1"/>
  <c r="L1506" i="1"/>
  <c r="J1518" i="1"/>
  <c r="L1518" i="1" s="1"/>
  <c r="L1522" i="1"/>
  <c r="J1532" i="1"/>
  <c r="L1532" i="1" s="1"/>
  <c r="J1510" i="1"/>
  <c r="L1510" i="1" s="1"/>
  <c r="L1451" i="1"/>
  <c r="J1447" i="1"/>
  <c r="L1447" i="1" s="1"/>
  <c r="J1445" i="1"/>
  <c r="L1445" i="1" s="1"/>
  <c r="J1448" i="1"/>
  <c r="L1448" i="1" s="1"/>
  <c r="J1446" i="1"/>
  <c r="L1446" i="1" s="1"/>
  <c r="J1449" i="1"/>
  <c r="L1449" i="1" s="1"/>
  <c r="L1440" i="1"/>
  <c r="L1439" i="1"/>
  <c r="O19" i="11"/>
  <c r="Q19" i="11" s="1"/>
  <c r="O20" i="11"/>
  <c r="Q20" i="11" s="1"/>
  <c r="O28" i="11"/>
  <c r="Q28" i="11" s="1"/>
  <c r="O27" i="11"/>
  <c r="Q27" i="11" s="1"/>
  <c r="O29" i="11"/>
  <c r="Q29" i="11" s="1"/>
  <c r="O24" i="11"/>
  <c r="Q24" i="11" s="1"/>
  <c r="DI132" i="7"/>
  <c r="DH132" i="7"/>
  <c r="DG132" i="7"/>
  <c r="DF132" i="7"/>
  <c r="DE132" i="7"/>
  <c r="DD132" i="7"/>
  <c r="DC132" i="7"/>
  <c r="DB132" i="7"/>
  <c r="DA132" i="7"/>
  <c r="CZ132" i="7"/>
  <c r="CY132" i="7"/>
  <c r="CX132" i="7"/>
  <c r="CW132" i="7"/>
  <c r="CV132" i="7"/>
  <c r="CU132" i="7"/>
  <c r="CT132" i="7"/>
  <c r="CS132" i="7"/>
  <c r="CR132" i="7"/>
  <c r="CQ132" i="7"/>
  <c r="CP132" i="7"/>
  <c r="CO132" i="7"/>
  <c r="CN132" i="7"/>
  <c r="CM132" i="7"/>
  <c r="CL132" i="7"/>
  <c r="CK132" i="7"/>
  <c r="CJ132" i="7"/>
  <c r="CI132" i="7"/>
  <c r="CH132" i="7"/>
  <c r="CG132" i="7"/>
  <c r="CF132" i="7"/>
  <c r="CE132" i="7"/>
  <c r="CD132" i="7"/>
  <c r="CC132" i="7"/>
  <c r="CB132" i="7"/>
  <c r="CA132" i="7"/>
  <c r="BZ132" i="7"/>
  <c r="BY132" i="7"/>
  <c r="BX132" i="7"/>
  <c r="BW132" i="7"/>
  <c r="BV132" i="7"/>
  <c r="BU132" i="7"/>
  <c r="BT132" i="7"/>
  <c r="BS132" i="7"/>
  <c r="BR132" i="7"/>
  <c r="BQ132" i="7"/>
  <c r="BP132" i="7"/>
  <c r="BO132" i="7"/>
  <c r="BN132" i="7"/>
  <c r="DI131" i="7"/>
  <c r="DH131" i="7"/>
  <c r="DG131" i="7"/>
  <c r="DF131" i="7"/>
  <c r="DE131" i="7"/>
  <c r="DD131" i="7"/>
  <c r="DC131" i="7"/>
  <c r="DB131" i="7"/>
  <c r="DA131" i="7"/>
  <c r="CZ131" i="7"/>
  <c r="CY131" i="7"/>
  <c r="CX131" i="7"/>
  <c r="CW131" i="7"/>
  <c r="CV131" i="7"/>
  <c r="CU131" i="7"/>
  <c r="CT131" i="7"/>
  <c r="CS131" i="7"/>
  <c r="CR131" i="7"/>
  <c r="CQ131" i="7"/>
  <c r="CP131" i="7"/>
  <c r="CO131" i="7"/>
  <c r="CN131" i="7"/>
  <c r="CM131" i="7"/>
  <c r="CL131" i="7"/>
  <c r="CK131" i="7"/>
  <c r="CJ131" i="7"/>
  <c r="CI131" i="7"/>
  <c r="CH131" i="7"/>
  <c r="CG131" i="7"/>
  <c r="CF131" i="7"/>
  <c r="CE131" i="7"/>
  <c r="CD131" i="7"/>
  <c r="CC131" i="7"/>
  <c r="CB131" i="7"/>
  <c r="CA131" i="7"/>
  <c r="BZ131" i="7"/>
  <c r="BY131" i="7"/>
  <c r="BX131" i="7"/>
  <c r="BW131" i="7"/>
  <c r="BV131" i="7"/>
  <c r="BU131" i="7"/>
  <c r="BT131" i="7"/>
  <c r="BS131" i="7"/>
  <c r="BR131" i="7"/>
  <c r="BQ131" i="7"/>
  <c r="BP131" i="7"/>
  <c r="BO131" i="7"/>
  <c r="BN131" i="7"/>
  <c r="DI130" i="7"/>
  <c r="DH130" i="7"/>
  <c r="DG130" i="7"/>
  <c r="DF130" i="7"/>
  <c r="DE130" i="7"/>
  <c r="DD130" i="7"/>
  <c r="DC130" i="7"/>
  <c r="DB130" i="7"/>
  <c r="DA130" i="7"/>
  <c r="CZ130" i="7"/>
  <c r="CY130" i="7"/>
  <c r="CX130" i="7"/>
  <c r="CW130" i="7"/>
  <c r="CV130" i="7"/>
  <c r="CU130" i="7"/>
  <c r="CT130" i="7"/>
  <c r="CS130" i="7"/>
  <c r="CR130" i="7"/>
  <c r="CQ130" i="7"/>
  <c r="CP130" i="7"/>
  <c r="CO130" i="7"/>
  <c r="CN130" i="7"/>
  <c r="CM130" i="7"/>
  <c r="CL130" i="7"/>
  <c r="CK130" i="7"/>
  <c r="CJ130" i="7"/>
  <c r="CI130" i="7"/>
  <c r="CH130" i="7"/>
  <c r="CG130" i="7"/>
  <c r="CF130" i="7"/>
  <c r="CE130" i="7"/>
  <c r="CD130" i="7"/>
  <c r="CC130" i="7"/>
  <c r="CB130" i="7"/>
  <c r="CA130" i="7"/>
  <c r="BZ130" i="7"/>
  <c r="BY130" i="7"/>
  <c r="BX130" i="7"/>
  <c r="BW130" i="7"/>
  <c r="BV130" i="7"/>
  <c r="BU130" i="7"/>
  <c r="BT130" i="7"/>
  <c r="BS130" i="7"/>
  <c r="BR130" i="7"/>
  <c r="BQ130" i="7"/>
  <c r="BP130" i="7"/>
  <c r="BO130" i="7"/>
  <c r="BN130" i="7"/>
  <c r="DI129" i="7"/>
  <c r="DH129" i="7"/>
  <c r="DG129" i="7"/>
  <c r="DF129" i="7"/>
  <c r="DE129" i="7"/>
  <c r="DD129" i="7"/>
  <c r="DC129" i="7"/>
  <c r="DB129" i="7"/>
  <c r="DA129" i="7"/>
  <c r="CZ129" i="7"/>
  <c r="CY129" i="7"/>
  <c r="CX129" i="7"/>
  <c r="CW129" i="7"/>
  <c r="CV129" i="7"/>
  <c r="CU129" i="7"/>
  <c r="CT129" i="7"/>
  <c r="CS129" i="7"/>
  <c r="CR129" i="7"/>
  <c r="CQ129" i="7"/>
  <c r="CP129" i="7"/>
  <c r="CO129" i="7"/>
  <c r="CN129" i="7"/>
  <c r="CM129" i="7"/>
  <c r="CL129" i="7"/>
  <c r="CK129" i="7"/>
  <c r="CJ129" i="7"/>
  <c r="CI129" i="7"/>
  <c r="CH129" i="7"/>
  <c r="CG129" i="7"/>
  <c r="CF129" i="7"/>
  <c r="CE129" i="7"/>
  <c r="CD129" i="7"/>
  <c r="CC129" i="7"/>
  <c r="CB129" i="7"/>
  <c r="CA129" i="7"/>
  <c r="BZ129" i="7"/>
  <c r="BY129" i="7"/>
  <c r="BX129" i="7"/>
  <c r="BW129" i="7"/>
  <c r="BV129" i="7"/>
  <c r="BU129" i="7"/>
  <c r="BT129" i="7"/>
  <c r="BS129" i="7"/>
  <c r="BR129" i="7"/>
  <c r="BQ129" i="7"/>
  <c r="BP129" i="7"/>
  <c r="BO129" i="7"/>
  <c r="BN129" i="7"/>
  <c r="DI128" i="7"/>
  <c r="DH128" i="7"/>
  <c r="DG128" i="7"/>
  <c r="DF128" i="7"/>
  <c r="DE128" i="7"/>
  <c r="DD128" i="7"/>
  <c r="DC128" i="7"/>
  <c r="DB128" i="7"/>
  <c r="DA128" i="7"/>
  <c r="CZ128" i="7"/>
  <c r="CY128" i="7"/>
  <c r="CX128" i="7"/>
  <c r="CW128" i="7"/>
  <c r="CV128" i="7"/>
  <c r="CU128" i="7"/>
  <c r="CT128" i="7"/>
  <c r="CS128" i="7"/>
  <c r="CR128" i="7"/>
  <c r="CQ128" i="7"/>
  <c r="CP128" i="7"/>
  <c r="CO128" i="7"/>
  <c r="CN128" i="7"/>
  <c r="CM128" i="7"/>
  <c r="CL128" i="7"/>
  <c r="CK128" i="7"/>
  <c r="CJ128" i="7"/>
  <c r="CI128" i="7"/>
  <c r="CH128" i="7"/>
  <c r="CG128" i="7"/>
  <c r="CF128" i="7"/>
  <c r="CE128" i="7"/>
  <c r="CD128" i="7"/>
  <c r="CC128" i="7"/>
  <c r="CB128" i="7"/>
  <c r="CA128" i="7"/>
  <c r="BZ128" i="7"/>
  <c r="BY128" i="7"/>
  <c r="BX128" i="7"/>
  <c r="BW128" i="7"/>
  <c r="BV128" i="7"/>
  <c r="BU128" i="7"/>
  <c r="BT128" i="7"/>
  <c r="BS128" i="7"/>
  <c r="BR128" i="7"/>
  <c r="BQ128" i="7"/>
  <c r="BP128" i="7"/>
  <c r="BO128" i="7"/>
  <c r="BN128" i="7"/>
  <c r="DI127" i="7"/>
  <c r="DH127" i="7"/>
  <c r="DG127" i="7"/>
  <c r="DF127" i="7"/>
  <c r="DE127" i="7"/>
  <c r="DD127" i="7"/>
  <c r="DC127" i="7"/>
  <c r="DB127" i="7"/>
  <c r="DA127" i="7"/>
  <c r="CZ127" i="7"/>
  <c r="CY127" i="7"/>
  <c r="CX127" i="7"/>
  <c r="CW127" i="7"/>
  <c r="CV127" i="7"/>
  <c r="CU127" i="7"/>
  <c r="CT127" i="7"/>
  <c r="CS127" i="7"/>
  <c r="CR127" i="7"/>
  <c r="CQ127" i="7"/>
  <c r="CP127" i="7"/>
  <c r="CO127" i="7"/>
  <c r="CN127" i="7"/>
  <c r="CM127" i="7"/>
  <c r="CL127" i="7"/>
  <c r="CK127" i="7"/>
  <c r="CJ127" i="7"/>
  <c r="CI127" i="7"/>
  <c r="CH127" i="7"/>
  <c r="CG127" i="7"/>
  <c r="CF127" i="7"/>
  <c r="CE127" i="7"/>
  <c r="CD127" i="7"/>
  <c r="CC127" i="7"/>
  <c r="CB127" i="7"/>
  <c r="CA127" i="7"/>
  <c r="BZ127" i="7"/>
  <c r="BY127" i="7"/>
  <c r="BX127" i="7"/>
  <c r="BW127" i="7"/>
  <c r="BV127" i="7"/>
  <c r="BU127" i="7"/>
  <c r="BT127" i="7"/>
  <c r="BS127" i="7"/>
  <c r="BR127" i="7"/>
  <c r="BQ127" i="7"/>
  <c r="BP127" i="7"/>
  <c r="BO127" i="7"/>
  <c r="BN127" i="7"/>
  <c r="DI126" i="7"/>
  <c r="DH126" i="7"/>
  <c r="DG126" i="7"/>
  <c r="DF126" i="7"/>
  <c r="DE126" i="7"/>
  <c r="DD126" i="7"/>
  <c r="DC126" i="7"/>
  <c r="DB126" i="7"/>
  <c r="DA126" i="7"/>
  <c r="CZ126" i="7"/>
  <c r="CY126" i="7"/>
  <c r="CX126" i="7"/>
  <c r="CW126" i="7"/>
  <c r="CV126" i="7"/>
  <c r="CU126" i="7"/>
  <c r="CT126" i="7"/>
  <c r="CS126" i="7"/>
  <c r="CR126" i="7"/>
  <c r="CQ126" i="7"/>
  <c r="CP126" i="7"/>
  <c r="CO126" i="7"/>
  <c r="CN126" i="7"/>
  <c r="CM126" i="7"/>
  <c r="CL126" i="7"/>
  <c r="CK126" i="7"/>
  <c r="CJ126" i="7"/>
  <c r="CI126" i="7"/>
  <c r="CH126" i="7"/>
  <c r="CG126" i="7"/>
  <c r="CF126" i="7"/>
  <c r="CE126" i="7"/>
  <c r="CD126" i="7"/>
  <c r="CC126" i="7"/>
  <c r="CB126" i="7"/>
  <c r="CA126" i="7"/>
  <c r="BZ126" i="7"/>
  <c r="BY126" i="7"/>
  <c r="BX126" i="7"/>
  <c r="BW126" i="7"/>
  <c r="BV126" i="7"/>
  <c r="BU126" i="7"/>
  <c r="BT126" i="7"/>
  <c r="BS126" i="7"/>
  <c r="BR126" i="7"/>
  <c r="BQ126" i="7"/>
  <c r="BP126" i="7"/>
  <c r="BO126" i="7"/>
  <c r="BN126" i="7"/>
  <c r="DI125" i="7"/>
  <c r="DH125" i="7"/>
  <c r="DG125" i="7"/>
  <c r="DF125" i="7"/>
  <c r="DE125" i="7"/>
  <c r="DD125" i="7"/>
  <c r="DC125" i="7"/>
  <c r="DB125" i="7"/>
  <c r="DA125" i="7"/>
  <c r="CZ125" i="7"/>
  <c r="CY125" i="7"/>
  <c r="CX125" i="7"/>
  <c r="CW125" i="7"/>
  <c r="CV125" i="7"/>
  <c r="CU125" i="7"/>
  <c r="CT125" i="7"/>
  <c r="CS125" i="7"/>
  <c r="CR125" i="7"/>
  <c r="CQ125" i="7"/>
  <c r="CP125" i="7"/>
  <c r="CO125" i="7"/>
  <c r="CN125" i="7"/>
  <c r="CM125" i="7"/>
  <c r="CL125" i="7"/>
  <c r="CK125" i="7"/>
  <c r="CJ125" i="7"/>
  <c r="CI125" i="7"/>
  <c r="CH125" i="7"/>
  <c r="CG125" i="7"/>
  <c r="CF125" i="7"/>
  <c r="CE125" i="7"/>
  <c r="CD125" i="7"/>
  <c r="CC125" i="7"/>
  <c r="CB125" i="7"/>
  <c r="CA125" i="7"/>
  <c r="BZ125" i="7"/>
  <c r="BY125" i="7"/>
  <c r="BX125" i="7"/>
  <c r="BW125" i="7"/>
  <c r="BV125" i="7"/>
  <c r="BU125" i="7"/>
  <c r="BT125" i="7"/>
  <c r="BS125" i="7"/>
  <c r="BR125" i="7"/>
  <c r="BQ125" i="7"/>
  <c r="BP125" i="7"/>
  <c r="BO125" i="7"/>
  <c r="BN125" i="7"/>
  <c r="DI124" i="7"/>
  <c r="DH124" i="7"/>
  <c r="DG124" i="7"/>
  <c r="DF124" i="7"/>
  <c r="DE124" i="7"/>
  <c r="DD124" i="7"/>
  <c r="DC124" i="7"/>
  <c r="DB124" i="7"/>
  <c r="DA124" i="7"/>
  <c r="CZ124" i="7"/>
  <c r="CY124" i="7"/>
  <c r="CX124" i="7"/>
  <c r="CW124" i="7"/>
  <c r="CV124" i="7"/>
  <c r="CU124" i="7"/>
  <c r="CT124" i="7"/>
  <c r="CS124" i="7"/>
  <c r="CR124" i="7"/>
  <c r="CQ124" i="7"/>
  <c r="CP124" i="7"/>
  <c r="CO124" i="7"/>
  <c r="CN124" i="7"/>
  <c r="CM124" i="7"/>
  <c r="CL124" i="7"/>
  <c r="CK124" i="7"/>
  <c r="CJ124" i="7"/>
  <c r="CI124" i="7"/>
  <c r="CH124" i="7"/>
  <c r="CG124" i="7"/>
  <c r="CF124" i="7"/>
  <c r="CE124" i="7"/>
  <c r="CD124" i="7"/>
  <c r="CC124" i="7"/>
  <c r="CB124" i="7"/>
  <c r="CA124" i="7"/>
  <c r="BZ124" i="7"/>
  <c r="BY124" i="7"/>
  <c r="BX124" i="7"/>
  <c r="BW124" i="7"/>
  <c r="BV124" i="7"/>
  <c r="BU124" i="7"/>
  <c r="BT124" i="7"/>
  <c r="BS124" i="7"/>
  <c r="BR124" i="7"/>
  <c r="BQ124" i="7"/>
  <c r="BP124" i="7"/>
  <c r="BO124" i="7"/>
  <c r="BN124" i="7"/>
  <c r="DI123" i="7"/>
  <c r="DH123" i="7"/>
  <c r="DG123" i="7"/>
  <c r="DF123" i="7"/>
  <c r="DE123" i="7"/>
  <c r="DD123" i="7"/>
  <c r="DC123" i="7"/>
  <c r="DB123" i="7"/>
  <c r="DA123" i="7"/>
  <c r="CZ123" i="7"/>
  <c r="CY123" i="7"/>
  <c r="CX123" i="7"/>
  <c r="CW123" i="7"/>
  <c r="CV123" i="7"/>
  <c r="CU123" i="7"/>
  <c r="CT123" i="7"/>
  <c r="CS123" i="7"/>
  <c r="CR123" i="7"/>
  <c r="CQ123" i="7"/>
  <c r="CP123" i="7"/>
  <c r="CO123" i="7"/>
  <c r="CN123" i="7"/>
  <c r="CM123" i="7"/>
  <c r="CL123" i="7"/>
  <c r="CK123" i="7"/>
  <c r="CJ123" i="7"/>
  <c r="CI123" i="7"/>
  <c r="CH123" i="7"/>
  <c r="CG123" i="7"/>
  <c r="CF123" i="7"/>
  <c r="CE123" i="7"/>
  <c r="CD123" i="7"/>
  <c r="CC123" i="7"/>
  <c r="CB123" i="7"/>
  <c r="CA123" i="7"/>
  <c r="BZ123" i="7"/>
  <c r="BY123" i="7"/>
  <c r="BX123" i="7"/>
  <c r="BW123" i="7"/>
  <c r="BV123" i="7"/>
  <c r="BU123" i="7"/>
  <c r="BT123" i="7"/>
  <c r="BS123" i="7"/>
  <c r="BR123" i="7"/>
  <c r="BQ123" i="7"/>
  <c r="BP123" i="7"/>
  <c r="BO123" i="7"/>
  <c r="BN123" i="7"/>
  <c r="DI88" i="7"/>
  <c r="DH88" i="7"/>
  <c r="DG88" i="7"/>
  <c r="DF88" i="7"/>
  <c r="DE88" i="7"/>
  <c r="DD88" i="7"/>
  <c r="DC88" i="7"/>
  <c r="DB88" i="7"/>
  <c r="DA88" i="7"/>
  <c r="CZ88" i="7"/>
  <c r="CY88" i="7"/>
  <c r="CX88" i="7"/>
  <c r="CW88" i="7"/>
  <c r="CV88" i="7"/>
  <c r="CU88" i="7"/>
  <c r="CT88" i="7"/>
  <c r="CS88" i="7"/>
  <c r="CR88" i="7"/>
  <c r="CQ88" i="7"/>
  <c r="CP88" i="7"/>
  <c r="CO88" i="7"/>
  <c r="CN88" i="7"/>
  <c r="CM88" i="7"/>
  <c r="CL88" i="7"/>
  <c r="CK88" i="7"/>
  <c r="CJ88" i="7"/>
  <c r="CI88" i="7"/>
  <c r="CH88" i="7"/>
  <c r="CG88" i="7"/>
  <c r="CF88" i="7"/>
  <c r="CE88" i="7"/>
  <c r="CD88" i="7"/>
  <c r="CC88" i="7"/>
  <c r="CB88" i="7"/>
  <c r="CA88" i="7"/>
  <c r="BZ88" i="7"/>
  <c r="BY88" i="7"/>
  <c r="BX88" i="7"/>
  <c r="BW88" i="7"/>
  <c r="BV88" i="7"/>
  <c r="BU88" i="7"/>
  <c r="BT88" i="7"/>
  <c r="BS88" i="7"/>
  <c r="BR88" i="7"/>
  <c r="BQ88" i="7"/>
  <c r="BP88" i="7"/>
  <c r="BO88" i="7"/>
  <c r="BN88" i="7"/>
  <c r="DI87" i="7"/>
  <c r="DH87" i="7"/>
  <c r="DG87" i="7"/>
  <c r="DF87" i="7"/>
  <c r="DE87" i="7"/>
  <c r="DD87" i="7"/>
  <c r="DC87" i="7"/>
  <c r="DB87" i="7"/>
  <c r="DA87" i="7"/>
  <c r="CZ87" i="7"/>
  <c r="CY87" i="7"/>
  <c r="CX87" i="7"/>
  <c r="CW87" i="7"/>
  <c r="CV87" i="7"/>
  <c r="CU87" i="7"/>
  <c r="CT87" i="7"/>
  <c r="CS87" i="7"/>
  <c r="CR87" i="7"/>
  <c r="CQ87" i="7"/>
  <c r="CP87" i="7"/>
  <c r="CO87" i="7"/>
  <c r="CN87" i="7"/>
  <c r="CM87" i="7"/>
  <c r="CL87" i="7"/>
  <c r="CK87" i="7"/>
  <c r="CJ87" i="7"/>
  <c r="CI87" i="7"/>
  <c r="CH87" i="7"/>
  <c r="CG87" i="7"/>
  <c r="CF87" i="7"/>
  <c r="CE87" i="7"/>
  <c r="CD87" i="7"/>
  <c r="CC87" i="7"/>
  <c r="CB87" i="7"/>
  <c r="CA87" i="7"/>
  <c r="BZ87" i="7"/>
  <c r="BY87" i="7"/>
  <c r="BX87" i="7"/>
  <c r="BW87" i="7"/>
  <c r="BV87" i="7"/>
  <c r="BU87" i="7"/>
  <c r="BT87" i="7"/>
  <c r="BS87" i="7"/>
  <c r="BR87" i="7"/>
  <c r="BQ87" i="7"/>
  <c r="BP87" i="7"/>
  <c r="BO87" i="7"/>
  <c r="BN87" i="7"/>
  <c r="DI86" i="7"/>
  <c r="DH86" i="7"/>
  <c r="DG86" i="7"/>
  <c r="DF86" i="7"/>
  <c r="DE86" i="7"/>
  <c r="DD86" i="7"/>
  <c r="DC86" i="7"/>
  <c r="DB86" i="7"/>
  <c r="DA86" i="7"/>
  <c r="CZ86" i="7"/>
  <c r="CY86" i="7"/>
  <c r="CX86" i="7"/>
  <c r="CW86" i="7"/>
  <c r="CV86" i="7"/>
  <c r="CU86" i="7"/>
  <c r="CT86" i="7"/>
  <c r="CS86" i="7"/>
  <c r="CR86" i="7"/>
  <c r="CQ86" i="7"/>
  <c r="CP86" i="7"/>
  <c r="CO86" i="7"/>
  <c r="CN86" i="7"/>
  <c r="CM86" i="7"/>
  <c r="CL86" i="7"/>
  <c r="CK86" i="7"/>
  <c r="CJ86" i="7"/>
  <c r="CI86" i="7"/>
  <c r="CH86" i="7"/>
  <c r="CG86" i="7"/>
  <c r="CF86" i="7"/>
  <c r="CE86" i="7"/>
  <c r="CD86" i="7"/>
  <c r="CC86" i="7"/>
  <c r="CB86" i="7"/>
  <c r="CA86" i="7"/>
  <c r="BZ86" i="7"/>
  <c r="BY86" i="7"/>
  <c r="BX86" i="7"/>
  <c r="BW86" i="7"/>
  <c r="BV86" i="7"/>
  <c r="BU86" i="7"/>
  <c r="BT86" i="7"/>
  <c r="BS86" i="7"/>
  <c r="BR86" i="7"/>
  <c r="BQ86" i="7"/>
  <c r="BP86" i="7"/>
  <c r="BO86" i="7"/>
  <c r="BN86" i="7"/>
  <c r="DI85" i="7"/>
  <c r="DH85" i="7"/>
  <c r="DG85" i="7"/>
  <c r="DF85" i="7"/>
  <c r="DE85" i="7"/>
  <c r="DD85" i="7"/>
  <c r="DC85" i="7"/>
  <c r="DB85" i="7"/>
  <c r="DA85" i="7"/>
  <c r="CZ85" i="7"/>
  <c r="CY85" i="7"/>
  <c r="CX85" i="7"/>
  <c r="CW85" i="7"/>
  <c r="CV85" i="7"/>
  <c r="CU85" i="7"/>
  <c r="CT85" i="7"/>
  <c r="CS85" i="7"/>
  <c r="CR85" i="7"/>
  <c r="CQ85" i="7"/>
  <c r="CP85" i="7"/>
  <c r="CO85" i="7"/>
  <c r="CN85" i="7"/>
  <c r="CM85" i="7"/>
  <c r="CL85" i="7"/>
  <c r="CK85" i="7"/>
  <c r="CJ85" i="7"/>
  <c r="CI85" i="7"/>
  <c r="CH85" i="7"/>
  <c r="CG85" i="7"/>
  <c r="CF85" i="7"/>
  <c r="CE85" i="7"/>
  <c r="CD85" i="7"/>
  <c r="CC85" i="7"/>
  <c r="CB85" i="7"/>
  <c r="CA85" i="7"/>
  <c r="BZ85" i="7"/>
  <c r="BY85" i="7"/>
  <c r="BX85" i="7"/>
  <c r="BW85" i="7"/>
  <c r="BV85" i="7"/>
  <c r="BU85" i="7"/>
  <c r="BT85" i="7"/>
  <c r="BS85" i="7"/>
  <c r="BR85" i="7"/>
  <c r="BQ85" i="7"/>
  <c r="BP85" i="7"/>
  <c r="BO85" i="7"/>
  <c r="BN85" i="7"/>
  <c r="DI84" i="7"/>
  <c r="DH84" i="7"/>
  <c r="DG84" i="7"/>
  <c r="DF84" i="7"/>
  <c r="DE84" i="7"/>
  <c r="DD84" i="7"/>
  <c r="DC84" i="7"/>
  <c r="DB84" i="7"/>
  <c r="DA84" i="7"/>
  <c r="CZ84" i="7"/>
  <c r="CY84" i="7"/>
  <c r="CX84" i="7"/>
  <c r="CW84" i="7"/>
  <c r="CV84" i="7"/>
  <c r="CU84" i="7"/>
  <c r="CT84" i="7"/>
  <c r="CS84" i="7"/>
  <c r="CR84" i="7"/>
  <c r="CQ84" i="7"/>
  <c r="CP84" i="7"/>
  <c r="CO84" i="7"/>
  <c r="CN84" i="7"/>
  <c r="CM84" i="7"/>
  <c r="CL84" i="7"/>
  <c r="CK84" i="7"/>
  <c r="CJ84" i="7"/>
  <c r="CI84" i="7"/>
  <c r="CH84" i="7"/>
  <c r="CG84" i="7"/>
  <c r="CF84" i="7"/>
  <c r="CE84" i="7"/>
  <c r="CD84" i="7"/>
  <c r="CC84" i="7"/>
  <c r="CB84" i="7"/>
  <c r="CA84" i="7"/>
  <c r="BZ84" i="7"/>
  <c r="BY84" i="7"/>
  <c r="BX84" i="7"/>
  <c r="BW84" i="7"/>
  <c r="BV84" i="7"/>
  <c r="BU84" i="7"/>
  <c r="BT84" i="7"/>
  <c r="BS84" i="7"/>
  <c r="BR84" i="7"/>
  <c r="BQ84" i="7"/>
  <c r="BP84" i="7"/>
  <c r="BO84" i="7"/>
  <c r="BN84" i="7"/>
  <c r="DI83" i="7"/>
  <c r="DH83" i="7"/>
  <c r="DG83" i="7"/>
  <c r="DF83" i="7"/>
  <c r="DE83" i="7"/>
  <c r="DD83" i="7"/>
  <c r="DC83" i="7"/>
  <c r="DB83" i="7"/>
  <c r="DA83" i="7"/>
  <c r="CZ83" i="7"/>
  <c r="CY83" i="7"/>
  <c r="CX83" i="7"/>
  <c r="CW83" i="7"/>
  <c r="CV83" i="7"/>
  <c r="CU83" i="7"/>
  <c r="CT83" i="7"/>
  <c r="CS83" i="7"/>
  <c r="CR83" i="7"/>
  <c r="CQ83" i="7"/>
  <c r="CP83" i="7"/>
  <c r="CO83" i="7"/>
  <c r="CN83" i="7"/>
  <c r="CM83" i="7"/>
  <c r="CL83" i="7"/>
  <c r="CK83" i="7"/>
  <c r="CJ83" i="7"/>
  <c r="CI83" i="7"/>
  <c r="CH83" i="7"/>
  <c r="CG83" i="7"/>
  <c r="CF83" i="7"/>
  <c r="CE83" i="7"/>
  <c r="CD83" i="7"/>
  <c r="CC83" i="7"/>
  <c r="CB83" i="7"/>
  <c r="CA83" i="7"/>
  <c r="BZ83" i="7"/>
  <c r="BY83" i="7"/>
  <c r="BX83" i="7"/>
  <c r="BW83" i="7"/>
  <c r="BV83" i="7"/>
  <c r="BU83" i="7"/>
  <c r="BT83" i="7"/>
  <c r="BS83" i="7"/>
  <c r="BR83" i="7"/>
  <c r="BQ83" i="7"/>
  <c r="BP83" i="7"/>
  <c r="BO83" i="7"/>
  <c r="BN83" i="7"/>
  <c r="DI82" i="7"/>
  <c r="DH82" i="7"/>
  <c r="DG82" i="7"/>
  <c r="DF82" i="7"/>
  <c r="DE82" i="7"/>
  <c r="DD82" i="7"/>
  <c r="DC82" i="7"/>
  <c r="DB82" i="7"/>
  <c r="DA82" i="7"/>
  <c r="CZ82" i="7"/>
  <c r="CY82" i="7"/>
  <c r="CX82" i="7"/>
  <c r="CW82" i="7"/>
  <c r="CV82" i="7"/>
  <c r="CU82" i="7"/>
  <c r="CT82" i="7"/>
  <c r="CS82" i="7"/>
  <c r="CR82" i="7"/>
  <c r="CQ82" i="7"/>
  <c r="CP82" i="7"/>
  <c r="CO82" i="7"/>
  <c r="CN82" i="7"/>
  <c r="CM82" i="7"/>
  <c r="CL82" i="7"/>
  <c r="CK82" i="7"/>
  <c r="CJ82" i="7"/>
  <c r="CI82" i="7"/>
  <c r="CH82" i="7"/>
  <c r="CG82" i="7"/>
  <c r="CF82" i="7"/>
  <c r="CE82" i="7"/>
  <c r="CD82" i="7"/>
  <c r="CC82" i="7"/>
  <c r="CB82" i="7"/>
  <c r="CA82" i="7"/>
  <c r="BZ82" i="7"/>
  <c r="BY82" i="7"/>
  <c r="BX82" i="7"/>
  <c r="BW82" i="7"/>
  <c r="BV82" i="7"/>
  <c r="BU82" i="7"/>
  <c r="BT82" i="7"/>
  <c r="BS82" i="7"/>
  <c r="BR82" i="7"/>
  <c r="BQ82" i="7"/>
  <c r="BP82" i="7"/>
  <c r="BO82" i="7"/>
  <c r="BN82" i="7"/>
  <c r="DI81" i="7"/>
  <c r="DH81" i="7"/>
  <c r="DG81" i="7"/>
  <c r="DF81" i="7"/>
  <c r="DE81" i="7"/>
  <c r="DD81" i="7"/>
  <c r="DC81" i="7"/>
  <c r="DB81" i="7"/>
  <c r="DA81" i="7"/>
  <c r="CZ81" i="7"/>
  <c r="CY81" i="7"/>
  <c r="CX81" i="7"/>
  <c r="CW81" i="7"/>
  <c r="CV81" i="7"/>
  <c r="CU81" i="7"/>
  <c r="CT81" i="7"/>
  <c r="CS81" i="7"/>
  <c r="CR81" i="7"/>
  <c r="CQ81" i="7"/>
  <c r="CP81" i="7"/>
  <c r="CO81" i="7"/>
  <c r="CN81" i="7"/>
  <c r="CM81" i="7"/>
  <c r="CL81" i="7"/>
  <c r="CK81" i="7"/>
  <c r="CJ81" i="7"/>
  <c r="CI81" i="7"/>
  <c r="CH81" i="7"/>
  <c r="CG81" i="7"/>
  <c r="CF81" i="7"/>
  <c r="CE81" i="7"/>
  <c r="CD81" i="7"/>
  <c r="CC81" i="7"/>
  <c r="CB81" i="7"/>
  <c r="CA81" i="7"/>
  <c r="BZ81" i="7"/>
  <c r="BY81" i="7"/>
  <c r="BX81" i="7"/>
  <c r="BW81" i="7"/>
  <c r="BV81" i="7"/>
  <c r="BU81" i="7"/>
  <c r="BT81" i="7"/>
  <c r="BS81" i="7"/>
  <c r="BR81" i="7"/>
  <c r="BQ81" i="7"/>
  <c r="BP81" i="7"/>
  <c r="BO81" i="7"/>
  <c r="BN81" i="7"/>
  <c r="DI80" i="7"/>
  <c r="DH80" i="7"/>
  <c r="DG80" i="7"/>
  <c r="DF80" i="7"/>
  <c r="DE80" i="7"/>
  <c r="DD80" i="7"/>
  <c r="DC80" i="7"/>
  <c r="DB80" i="7"/>
  <c r="DA80" i="7"/>
  <c r="CZ80" i="7"/>
  <c r="CY80" i="7"/>
  <c r="CX80" i="7"/>
  <c r="CW80" i="7"/>
  <c r="CV80" i="7"/>
  <c r="CU80" i="7"/>
  <c r="CT80" i="7"/>
  <c r="CS80" i="7"/>
  <c r="CR80" i="7"/>
  <c r="CQ80" i="7"/>
  <c r="CP80" i="7"/>
  <c r="CO80" i="7"/>
  <c r="CN80" i="7"/>
  <c r="CM80" i="7"/>
  <c r="CL80" i="7"/>
  <c r="CK80" i="7"/>
  <c r="CJ80" i="7"/>
  <c r="CI80" i="7"/>
  <c r="CH80" i="7"/>
  <c r="CG80" i="7"/>
  <c r="CF80" i="7"/>
  <c r="CE80" i="7"/>
  <c r="CD80" i="7"/>
  <c r="CC80" i="7"/>
  <c r="CB80" i="7"/>
  <c r="CA80" i="7"/>
  <c r="BZ80" i="7"/>
  <c r="BY80" i="7"/>
  <c r="BX80" i="7"/>
  <c r="BW80" i="7"/>
  <c r="BV80" i="7"/>
  <c r="BU80" i="7"/>
  <c r="BT80" i="7"/>
  <c r="BS80" i="7"/>
  <c r="BR80" i="7"/>
  <c r="BQ80" i="7"/>
  <c r="BP80" i="7"/>
  <c r="BO80" i="7"/>
  <c r="BN80" i="7"/>
  <c r="DI79" i="7"/>
  <c r="DH79" i="7"/>
  <c r="DG79" i="7"/>
  <c r="DF79" i="7"/>
  <c r="DE79" i="7"/>
  <c r="DD79" i="7"/>
  <c r="DC79" i="7"/>
  <c r="DB79" i="7"/>
  <c r="DA79" i="7"/>
  <c r="CZ79" i="7"/>
  <c r="CY79" i="7"/>
  <c r="CX79" i="7"/>
  <c r="CW79" i="7"/>
  <c r="CV79" i="7"/>
  <c r="CU79" i="7"/>
  <c r="CT79" i="7"/>
  <c r="CS79" i="7"/>
  <c r="CR79" i="7"/>
  <c r="CQ79" i="7"/>
  <c r="CP79" i="7"/>
  <c r="CO79" i="7"/>
  <c r="CN79" i="7"/>
  <c r="CM79" i="7"/>
  <c r="CL79" i="7"/>
  <c r="CK79" i="7"/>
  <c r="CJ79" i="7"/>
  <c r="CI79" i="7"/>
  <c r="CH79" i="7"/>
  <c r="CG79" i="7"/>
  <c r="CF79" i="7"/>
  <c r="CE79" i="7"/>
  <c r="CD79" i="7"/>
  <c r="CC79" i="7"/>
  <c r="CB79" i="7"/>
  <c r="CA79" i="7"/>
  <c r="BZ79" i="7"/>
  <c r="BY79" i="7"/>
  <c r="BX79" i="7"/>
  <c r="BW79" i="7"/>
  <c r="BV79" i="7"/>
  <c r="BU79" i="7"/>
  <c r="BT79" i="7"/>
  <c r="BS79" i="7"/>
  <c r="BR79" i="7"/>
  <c r="BQ79" i="7"/>
  <c r="BP79" i="7"/>
  <c r="BO79" i="7"/>
  <c r="BN79" i="7"/>
  <c r="DI44" i="7"/>
  <c r="DH44" i="7"/>
  <c r="DG44" i="7"/>
  <c r="DF44" i="7"/>
  <c r="DE44" i="7"/>
  <c r="DD44" i="7"/>
  <c r="DC44" i="7"/>
  <c r="DB44" i="7"/>
  <c r="DA44" i="7"/>
  <c r="CZ44" i="7"/>
  <c r="CY44" i="7"/>
  <c r="CX44" i="7"/>
  <c r="CW44" i="7"/>
  <c r="CV44" i="7"/>
  <c r="CU44" i="7"/>
  <c r="CT44" i="7"/>
  <c r="CS44" i="7"/>
  <c r="CR44" i="7"/>
  <c r="CQ44" i="7"/>
  <c r="CP44" i="7"/>
  <c r="CO44" i="7"/>
  <c r="CN44" i="7"/>
  <c r="CM44" i="7"/>
  <c r="CL44" i="7"/>
  <c r="CK44" i="7"/>
  <c r="CJ44" i="7"/>
  <c r="CI44" i="7"/>
  <c r="CH44" i="7"/>
  <c r="CG44" i="7"/>
  <c r="CF44" i="7"/>
  <c r="CE44" i="7"/>
  <c r="CD44" i="7"/>
  <c r="CC44" i="7"/>
  <c r="CB44" i="7"/>
  <c r="CA44" i="7"/>
  <c r="BZ44" i="7"/>
  <c r="BY44" i="7"/>
  <c r="BX44" i="7"/>
  <c r="BW44" i="7"/>
  <c r="BV44" i="7"/>
  <c r="BU44" i="7"/>
  <c r="BT44" i="7"/>
  <c r="BS44" i="7"/>
  <c r="BR44" i="7"/>
  <c r="BQ44" i="7"/>
  <c r="BP44" i="7"/>
  <c r="BO44" i="7"/>
  <c r="BN44" i="7"/>
  <c r="DI43" i="7"/>
  <c r="DH43" i="7"/>
  <c r="DG43" i="7"/>
  <c r="DF43" i="7"/>
  <c r="DE43" i="7"/>
  <c r="DD43" i="7"/>
  <c r="DC43" i="7"/>
  <c r="DB43" i="7"/>
  <c r="DA43" i="7"/>
  <c r="CZ43" i="7"/>
  <c r="CY43" i="7"/>
  <c r="CX43" i="7"/>
  <c r="CW43" i="7"/>
  <c r="CV43" i="7"/>
  <c r="CU43" i="7"/>
  <c r="CT43" i="7"/>
  <c r="CS43" i="7"/>
  <c r="CR43" i="7"/>
  <c r="CQ43" i="7"/>
  <c r="CP43" i="7"/>
  <c r="CO43" i="7"/>
  <c r="CN43" i="7"/>
  <c r="CM43" i="7"/>
  <c r="CL43" i="7"/>
  <c r="CK43" i="7"/>
  <c r="CJ43" i="7"/>
  <c r="CI43" i="7"/>
  <c r="CH43" i="7"/>
  <c r="CG43" i="7"/>
  <c r="CF43" i="7"/>
  <c r="CE43" i="7"/>
  <c r="CD43" i="7"/>
  <c r="CC43" i="7"/>
  <c r="CB43" i="7"/>
  <c r="CA43" i="7"/>
  <c r="BZ43" i="7"/>
  <c r="BY43" i="7"/>
  <c r="BX43" i="7"/>
  <c r="BW43" i="7"/>
  <c r="BV43" i="7"/>
  <c r="BU43" i="7"/>
  <c r="BT43" i="7"/>
  <c r="BS43" i="7"/>
  <c r="BR43" i="7"/>
  <c r="BQ43" i="7"/>
  <c r="BP43" i="7"/>
  <c r="BO43" i="7"/>
  <c r="BN43" i="7"/>
  <c r="DI42" i="7"/>
  <c r="DH42" i="7"/>
  <c r="DG42" i="7"/>
  <c r="DF42" i="7"/>
  <c r="DE42" i="7"/>
  <c r="DD42" i="7"/>
  <c r="DC42" i="7"/>
  <c r="DB42" i="7"/>
  <c r="DA42" i="7"/>
  <c r="CZ42" i="7"/>
  <c r="CY42" i="7"/>
  <c r="CX42" i="7"/>
  <c r="CW42" i="7"/>
  <c r="CV42" i="7"/>
  <c r="CU42" i="7"/>
  <c r="CT42" i="7"/>
  <c r="CS42" i="7"/>
  <c r="CR42" i="7"/>
  <c r="CQ42" i="7"/>
  <c r="CP42" i="7"/>
  <c r="CO42" i="7"/>
  <c r="CN42" i="7"/>
  <c r="CM42" i="7"/>
  <c r="CL42" i="7"/>
  <c r="CK42" i="7"/>
  <c r="CJ42" i="7"/>
  <c r="CI42" i="7"/>
  <c r="CH42" i="7"/>
  <c r="CG42" i="7"/>
  <c r="CF42" i="7"/>
  <c r="CE42" i="7"/>
  <c r="CD42" i="7"/>
  <c r="CC42" i="7"/>
  <c r="CB42" i="7"/>
  <c r="CA42" i="7"/>
  <c r="BZ42" i="7"/>
  <c r="BY42" i="7"/>
  <c r="BX42" i="7"/>
  <c r="BW42" i="7"/>
  <c r="BV42" i="7"/>
  <c r="BU42" i="7"/>
  <c r="BT42" i="7"/>
  <c r="BS42" i="7"/>
  <c r="BR42" i="7"/>
  <c r="BQ42" i="7"/>
  <c r="BP42" i="7"/>
  <c r="BO42" i="7"/>
  <c r="BN42" i="7"/>
  <c r="DI41" i="7"/>
  <c r="DH41" i="7"/>
  <c r="DG41" i="7"/>
  <c r="DF41" i="7"/>
  <c r="DE41" i="7"/>
  <c r="DD41" i="7"/>
  <c r="DC41" i="7"/>
  <c r="DB41" i="7"/>
  <c r="DA41" i="7"/>
  <c r="CZ41" i="7"/>
  <c r="CY41" i="7"/>
  <c r="CX41" i="7"/>
  <c r="CW41" i="7"/>
  <c r="CV41" i="7"/>
  <c r="CU41" i="7"/>
  <c r="CT41" i="7"/>
  <c r="CS41" i="7"/>
  <c r="CR41" i="7"/>
  <c r="CQ41" i="7"/>
  <c r="CP41" i="7"/>
  <c r="CO41" i="7"/>
  <c r="CN41" i="7"/>
  <c r="CM41" i="7"/>
  <c r="CL41" i="7"/>
  <c r="CK41" i="7"/>
  <c r="CJ41" i="7"/>
  <c r="CI41" i="7"/>
  <c r="CH41" i="7"/>
  <c r="CG41" i="7"/>
  <c r="CF41" i="7"/>
  <c r="CE41" i="7"/>
  <c r="CD41" i="7"/>
  <c r="CC41" i="7"/>
  <c r="CB41" i="7"/>
  <c r="CA41" i="7"/>
  <c r="BZ41" i="7"/>
  <c r="BY41" i="7"/>
  <c r="BX41" i="7"/>
  <c r="BW41" i="7"/>
  <c r="BV41" i="7"/>
  <c r="BU41" i="7"/>
  <c r="BT41" i="7"/>
  <c r="BS41" i="7"/>
  <c r="BR41" i="7"/>
  <c r="BQ41" i="7"/>
  <c r="BP41" i="7"/>
  <c r="BO41" i="7"/>
  <c r="BN41" i="7"/>
  <c r="DI40" i="7"/>
  <c r="DH40" i="7"/>
  <c r="DG40" i="7"/>
  <c r="DF40" i="7"/>
  <c r="DE40" i="7"/>
  <c r="DD40" i="7"/>
  <c r="DC40" i="7"/>
  <c r="DB40" i="7"/>
  <c r="DA40" i="7"/>
  <c r="CZ40" i="7"/>
  <c r="CY40" i="7"/>
  <c r="CX40" i="7"/>
  <c r="CW40" i="7"/>
  <c r="CV40" i="7"/>
  <c r="CU40" i="7"/>
  <c r="CT40" i="7"/>
  <c r="CS40" i="7"/>
  <c r="CR40" i="7"/>
  <c r="CQ40" i="7"/>
  <c r="CP40" i="7"/>
  <c r="CO40" i="7"/>
  <c r="CN40" i="7"/>
  <c r="CM40" i="7"/>
  <c r="CL40" i="7"/>
  <c r="CK40" i="7"/>
  <c r="CJ40" i="7"/>
  <c r="CI40" i="7"/>
  <c r="CH40" i="7"/>
  <c r="CG40" i="7"/>
  <c r="CF40" i="7"/>
  <c r="CE40" i="7"/>
  <c r="CD40" i="7"/>
  <c r="CC40" i="7"/>
  <c r="CB40" i="7"/>
  <c r="CA40" i="7"/>
  <c r="BZ40" i="7"/>
  <c r="BY40" i="7"/>
  <c r="BX40" i="7"/>
  <c r="BW40" i="7"/>
  <c r="BV40" i="7"/>
  <c r="BU40" i="7"/>
  <c r="BT40" i="7"/>
  <c r="BS40" i="7"/>
  <c r="BR40" i="7"/>
  <c r="BQ40" i="7"/>
  <c r="BP40" i="7"/>
  <c r="BO40" i="7"/>
  <c r="BN40"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DI38" i="7"/>
  <c r="DH38" i="7"/>
  <c r="DG38" i="7"/>
  <c r="DF38" i="7"/>
  <c r="DE38" i="7"/>
  <c r="DD38" i="7"/>
  <c r="DC38" i="7"/>
  <c r="DB38" i="7"/>
  <c r="DA38" i="7"/>
  <c r="CZ38" i="7"/>
  <c r="CY38" i="7"/>
  <c r="CX38" i="7"/>
  <c r="CW38" i="7"/>
  <c r="CV38" i="7"/>
  <c r="CU38" i="7"/>
  <c r="CT38" i="7"/>
  <c r="CS38" i="7"/>
  <c r="CR38" i="7"/>
  <c r="CQ38" i="7"/>
  <c r="CP38" i="7"/>
  <c r="CO38" i="7"/>
  <c r="CN38" i="7"/>
  <c r="CM38" i="7"/>
  <c r="CL38" i="7"/>
  <c r="CK38" i="7"/>
  <c r="CJ38" i="7"/>
  <c r="CI38" i="7"/>
  <c r="CH38" i="7"/>
  <c r="CG38" i="7"/>
  <c r="CF38" i="7"/>
  <c r="CE38" i="7"/>
  <c r="CD38" i="7"/>
  <c r="CC38" i="7"/>
  <c r="CB38" i="7"/>
  <c r="CA38" i="7"/>
  <c r="BZ38" i="7"/>
  <c r="BY38" i="7"/>
  <c r="BX38" i="7"/>
  <c r="BW38" i="7"/>
  <c r="BV38" i="7"/>
  <c r="BU38" i="7"/>
  <c r="BT38" i="7"/>
  <c r="BS38" i="7"/>
  <c r="BR38" i="7"/>
  <c r="BQ38" i="7"/>
  <c r="BP38" i="7"/>
  <c r="BO38" i="7"/>
  <c r="BN38" i="7"/>
  <c r="DI37" i="7"/>
  <c r="DH37" i="7"/>
  <c r="DG37" i="7"/>
  <c r="DF37" i="7"/>
  <c r="DE37" i="7"/>
  <c r="DD37" i="7"/>
  <c r="DC37" i="7"/>
  <c r="DB37" i="7"/>
  <c r="DA37" i="7"/>
  <c r="CZ37" i="7"/>
  <c r="CY37" i="7"/>
  <c r="CX37" i="7"/>
  <c r="CW37" i="7"/>
  <c r="CV37" i="7"/>
  <c r="CU37" i="7"/>
  <c r="CT37" i="7"/>
  <c r="CS37" i="7"/>
  <c r="CR37" i="7"/>
  <c r="CQ37" i="7"/>
  <c r="CP37" i="7"/>
  <c r="CO37" i="7"/>
  <c r="CN37" i="7"/>
  <c r="CM37" i="7"/>
  <c r="CL37" i="7"/>
  <c r="CK37" i="7"/>
  <c r="CJ37" i="7"/>
  <c r="CI37" i="7"/>
  <c r="CH37" i="7"/>
  <c r="CG37" i="7"/>
  <c r="CF37" i="7"/>
  <c r="CE37" i="7"/>
  <c r="CD37" i="7"/>
  <c r="CC37" i="7"/>
  <c r="CB37" i="7"/>
  <c r="CA37" i="7"/>
  <c r="BZ37" i="7"/>
  <c r="BY37" i="7"/>
  <c r="BX37" i="7"/>
  <c r="BW37" i="7"/>
  <c r="BV37" i="7"/>
  <c r="BU37" i="7"/>
  <c r="BT37" i="7"/>
  <c r="BS37" i="7"/>
  <c r="BR37" i="7"/>
  <c r="BQ37" i="7"/>
  <c r="BP37" i="7"/>
  <c r="BO37" i="7"/>
  <c r="BN37" i="7"/>
  <c r="DI36" i="7"/>
  <c r="DH36" i="7"/>
  <c r="DG36" i="7"/>
  <c r="DF36" i="7"/>
  <c r="DE36" i="7"/>
  <c r="DD36" i="7"/>
  <c r="DC36" i="7"/>
  <c r="DB36" i="7"/>
  <c r="DA36" i="7"/>
  <c r="CZ36" i="7"/>
  <c r="CY36" i="7"/>
  <c r="CX36" i="7"/>
  <c r="CW36" i="7"/>
  <c r="CV36" i="7"/>
  <c r="CU36" i="7"/>
  <c r="CT36" i="7"/>
  <c r="CS36" i="7"/>
  <c r="CR36" i="7"/>
  <c r="CQ36" i="7"/>
  <c r="CP36" i="7"/>
  <c r="CO36" i="7"/>
  <c r="CN36" i="7"/>
  <c r="CM36" i="7"/>
  <c r="CL36" i="7"/>
  <c r="CK36" i="7"/>
  <c r="CJ36" i="7"/>
  <c r="CI36" i="7"/>
  <c r="CH36" i="7"/>
  <c r="CG36" i="7"/>
  <c r="CF36" i="7"/>
  <c r="CE36" i="7"/>
  <c r="CD36" i="7"/>
  <c r="CC36" i="7"/>
  <c r="CB36" i="7"/>
  <c r="CA36" i="7"/>
  <c r="BZ36" i="7"/>
  <c r="BY36" i="7"/>
  <c r="BX36" i="7"/>
  <c r="BW36" i="7"/>
  <c r="BV36" i="7"/>
  <c r="BU36" i="7"/>
  <c r="BT36" i="7"/>
  <c r="BS36" i="7"/>
  <c r="BR36" i="7"/>
  <c r="BQ36" i="7"/>
  <c r="BP36" i="7"/>
  <c r="BO36" i="7"/>
  <c r="BN36" i="7"/>
  <c r="DI35" i="7"/>
  <c r="DH35" i="7"/>
  <c r="DG35" i="7"/>
  <c r="DF35" i="7"/>
  <c r="DE35" i="7"/>
  <c r="DD35" i="7"/>
  <c r="DC35" i="7"/>
  <c r="DB35" i="7"/>
  <c r="DA35" i="7"/>
  <c r="CZ35" i="7"/>
  <c r="CY35" i="7"/>
  <c r="CX35" i="7"/>
  <c r="CW35" i="7"/>
  <c r="CV35" i="7"/>
  <c r="CU35" i="7"/>
  <c r="CT35" i="7"/>
  <c r="CS35" i="7"/>
  <c r="CR35" i="7"/>
  <c r="CQ35" i="7"/>
  <c r="CP35" i="7"/>
  <c r="CO35" i="7"/>
  <c r="CN35" i="7"/>
  <c r="CM35" i="7"/>
  <c r="CL35" i="7"/>
  <c r="CK35" i="7"/>
  <c r="CJ35" i="7"/>
  <c r="CI35" i="7"/>
  <c r="CH35" i="7"/>
  <c r="CG35" i="7"/>
  <c r="CF35" i="7"/>
  <c r="CE35" i="7"/>
  <c r="CD35" i="7"/>
  <c r="CC35" i="7"/>
  <c r="CB35" i="7"/>
  <c r="CA35" i="7"/>
  <c r="BZ35" i="7"/>
  <c r="BY35" i="7"/>
  <c r="BX35" i="7"/>
  <c r="BW35" i="7"/>
  <c r="BV35" i="7"/>
  <c r="BU35" i="7"/>
  <c r="BT35" i="7"/>
  <c r="BS35" i="7"/>
  <c r="BR35" i="7"/>
  <c r="BQ35" i="7"/>
  <c r="BP35" i="7"/>
  <c r="BO35" i="7"/>
  <c r="BN35" i="7"/>
  <c r="DI110" i="7"/>
  <c r="DH110" i="7"/>
  <c r="DG110" i="7"/>
  <c r="DF110" i="7"/>
  <c r="DE110" i="7"/>
  <c r="DD110" i="7"/>
  <c r="DC110" i="7"/>
  <c r="DB110" i="7"/>
  <c r="DA110" i="7"/>
  <c r="CZ110" i="7"/>
  <c r="CY110" i="7"/>
  <c r="CX110" i="7"/>
  <c r="CW110" i="7"/>
  <c r="CV110" i="7"/>
  <c r="CU110" i="7"/>
  <c r="CT110" i="7"/>
  <c r="CS110" i="7"/>
  <c r="CR110" i="7"/>
  <c r="CQ110" i="7"/>
  <c r="CP110" i="7"/>
  <c r="CO110" i="7"/>
  <c r="CN110" i="7"/>
  <c r="CM110" i="7"/>
  <c r="CL110" i="7"/>
  <c r="CK110" i="7"/>
  <c r="CJ110" i="7"/>
  <c r="CI110" i="7"/>
  <c r="CH110" i="7"/>
  <c r="CG110" i="7"/>
  <c r="CF110" i="7"/>
  <c r="CE110" i="7"/>
  <c r="CD110" i="7"/>
  <c r="CC110" i="7"/>
  <c r="CB110" i="7"/>
  <c r="CA110" i="7"/>
  <c r="BZ110" i="7"/>
  <c r="BY110" i="7"/>
  <c r="BX110" i="7"/>
  <c r="BW110" i="7"/>
  <c r="BV110" i="7"/>
  <c r="BU110" i="7"/>
  <c r="BT110" i="7"/>
  <c r="BS110" i="7"/>
  <c r="BR110" i="7"/>
  <c r="BQ110" i="7"/>
  <c r="BP110" i="7"/>
  <c r="BO110" i="7"/>
  <c r="BN110" i="7"/>
  <c r="DI109" i="7"/>
  <c r="DH109" i="7"/>
  <c r="DG109" i="7"/>
  <c r="DF109" i="7"/>
  <c r="DE109" i="7"/>
  <c r="DD109" i="7"/>
  <c r="DC109" i="7"/>
  <c r="DB109" i="7"/>
  <c r="DA109" i="7"/>
  <c r="CZ109" i="7"/>
  <c r="CY109" i="7"/>
  <c r="CX109" i="7"/>
  <c r="CW109" i="7"/>
  <c r="CV109" i="7"/>
  <c r="CU109" i="7"/>
  <c r="CT109" i="7"/>
  <c r="CS109" i="7"/>
  <c r="CR109" i="7"/>
  <c r="CQ109" i="7"/>
  <c r="CP109" i="7"/>
  <c r="CO109" i="7"/>
  <c r="CN109" i="7"/>
  <c r="CM109" i="7"/>
  <c r="CL109" i="7"/>
  <c r="CK109" i="7"/>
  <c r="CJ109" i="7"/>
  <c r="CI109" i="7"/>
  <c r="CH109" i="7"/>
  <c r="CG109" i="7"/>
  <c r="CF109" i="7"/>
  <c r="CE109" i="7"/>
  <c r="CD109" i="7"/>
  <c r="CC109" i="7"/>
  <c r="CB109" i="7"/>
  <c r="CA109" i="7"/>
  <c r="BZ109" i="7"/>
  <c r="BY109" i="7"/>
  <c r="BX109" i="7"/>
  <c r="BW109" i="7"/>
  <c r="BV109" i="7"/>
  <c r="BU109" i="7"/>
  <c r="BT109" i="7"/>
  <c r="BS109" i="7"/>
  <c r="BR109" i="7"/>
  <c r="BQ109" i="7"/>
  <c r="BP109" i="7"/>
  <c r="BO109" i="7"/>
  <c r="BN109" i="7"/>
  <c r="DI108" i="7"/>
  <c r="DH108" i="7"/>
  <c r="DG108" i="7"/>
  <c r="DF108" i="7"/>
  <c r="DE108" i="7"/>
  <c r="DD108" i="7"/>
  <c r="DC108" i="7"/>
  <c r="DB108" i="7"/>
  <c r="DA108" i="7"/>
  <c r="CZ108" i="7"/>
  <c r="CY108" i="7"/>
  <c r="CX108" i="7"/>
  <c r="CW108" i="7"/>
  <c r="CV108" i="7"/>
  <c r="CU108" i="7"/>
  <c r="CT108" i="7"/>
  <c r="CS108" i="7"/>
  <c r="CR108" i="7"/>
  <c r="CQ108" i="7"/>
  <c r="CP108" i="7"/>
  <c r="CO108" i="7"/>
  <c r="CN108" i="7"/>
  <c r="CM108" i="7"/>
  <c r="CL108" i="7"/>
  <c r="CK108" i="7"/>
  <c r="CJ108" i="7"/>
  <c r="CI108" i="7"/>
  <c r="CH108" i="7"/>
  <c r="CG108" i="7"/>
  <c r="CF108" i="7"/>
  <c r="CE108" i="7"/>
  <c r="CD108" i="7"/>
  <c r="CC108" i="7"/>
  <c r="CB108" i="7"/>
  <c r="CA108" i="7"/>
  <c r="BZ108" i="7"/>
  <c r="BY108" i="7"/>
  <c r="BX108" i="7"/>
  <c r="BW108" i="7"/>
  <c r="BV108" i="7"/>
  <c r="BU108" i="7"/>
  <c r="BT108" i="7"/>
  <c r="BS108" i="7"/>
  <c r="BR108" i="7"/>
  <c r="BQ108" i="7"/>
  <c r="BP108" i="7"/>
  <c r="BO108" i="7"/>
  <c r="BN108" i="7"/>
  <c r="DI107" i="7"/>
  <c r="DH107" i="7"/>
  <c r="DG107" i="7"/>
  <c r="DF107" i="7"/>
  <c r="DE107" i="7"/>
  <c r="DD107" i="7"/>
  <c r="DC107" i="7"/>
  <c r="DB107" i="7"/>
  <c r="DA107" i="7"/>
  <c r="CZ107" i="7"/>
  <c r="CY107" i="7"/>
  <c r="CX107" i="7"/>
  <c r="CW107" i="7"/>
  <c r="CV107" i="7"/>
  <c r="CU107" i="7"/>
  <c r="CT107" i="7"/>
  <c r="CS107" i="7"/>
  <c r="CR107" i="7"/>
  <c r="CQ107" i="7"/>
  <c r="CP107" i="7"/>
  <c r="CO107" i="7"/>
  <c r="CN107" i="7"/>
  <c r="CM107" i="7"/>
  <c r="CL107" i="7"/>
  <c r="CK107" i="7"/>
  <c r="CJ107" i="7"/>
  <c r="CI107" i="7"/>
  <c r="CH107" i="7"/>
  <c r="CG107" i="7"/>
  <c r="CF107" i="7"/>
  <c r="CE107" i="7"/>
  <c r="CD107" i="7"/>
  <c r="CC107" i="7"/>
  <c r="CB107" i="7"/>
  <c r="CA107" i="7"/>
  <c r="BZ107" i="7"/>
  <c r="BY107" i="7"/>
  <c r="BX107" i="7"/>
  <c r="BW107" i="7"/>
  <c r="BV107" i="7"/>
  <c r="BU107" i="7"/>
  <c r="BT107" i="7"/>
  <c r="BS107" i="7"/>
  <c r="BR107" i="7"/>
  <c r="BQ107" i="7"/>
  <c r="BP107" i="7"/>
  <c r="BO107" i="7"/>
  <c r="BN107" i="7"/>
  <c r="DI106" i="7"/>
  <c r="DH106" i="7"/>
  <c r="DG106" i="7"/>
  <c r="DF106" i="7"/>
  <c r="DE106" i="7"/>
  <c r="DD106" i="7"/>
  <c r="DC106" i="7"/>
  <c r="DB106" i="7"/>
  <c r="DA106" i="7"/>
  <c r="CZ106" i="7"/>
  <c r="CY106" i="7"/>
  <c r="CX106" i="7"/>
  <c r="CW106" i="7"/>
  <c r="CV106" i="7"/>
  <c r="CU106" i="7"/>
  <c r="CT106" i="7"/>
  <c r="CS106" i="7"/>
  <c r="CR106" i="7"/>
  <c r="CQ106" i="7"/>
  <c r="CP106" i="7"/>
  <c r="CO106" i="7"/>
  <c r="CN106" i="7"/>
  <c r="CM106" i="7"/>
  <c r="CL106" i="7"/>
  <c r="CK106" i="7"/>
  <c r="CJ106" i="7"/>
  <c r="CI106" i="7"/>
  <c r="CH106" i="7"/>
  <c r="CG106" i="7"/>
  <c r="CF106" i="7"/>
  <c r="CE106" i="7"/>
  <c r="CD106" i="7"/>
  <c r="CC106" i="7"/>
  <c r="CB106" i="7"/>
  <c r="CA106" i="7"/>
  <c r="BZ106" i="7"/>
  <c r="BY106" i="7"/>
  <c r="BX106" i="7"/>
  <c r="BW106" i="7"/>
  <c r="BV106" i="7"/>
  <c r="BU106" i="7"/>
  <c r="BT106" i="7"/>
  <c r="BS106" i="7"/>
  <c r="BR106" i="7"/>
  <c r="BQ106" i="7"/>
  <c r="BP106" i="7"/>
  <c r="BO106" i="7"/>
  <c r="BN106" i="7"/>
  <c r="DI105" i="7"/>
  <c r="DH105" i="7"/>
  <c r="DG105" i="7"/>
  <c r="DF105" i="7"/>
  <c r="DE105" i="7"/>
  <c r="DD105" i="7"/>
  <c r="DC105" i="7"/>
  <c r="DB105" i="7"/>
  <c r="DA105" i="7"/>
  <c r="CZ105" i="7"/>
  <c r="CY105" i="7"/>
  <c r="CX105" i="7"/>
  <c r="CW105" i="7"/>
  <c r="CV105" i="7"/>
  <c r="CU105" i="7"/>
  <c r="CT105" i="7"/>
  <c r="CS105" i="7"/>
  <c r="CR105" i="7"/>
  <c r="CQ105" i="7"/>
  <c r="CP105" i="7"/>
  <c r="CO105" i="7"/>
  <c r="CN105" i="7"/>
  <c r="CM105" i="7"/>
  <c r="CL105" i="7"/>
  <c r="CK105" i="7"/>
  <c r="CJ105" i="7"/>
  <c r="CI105" i="7"/>
  <c r="CH105" i="7"/>
  <c r="CG105" i="7"/>
  <c r="CF105" i="7"/>
  <c r="CE105" i="7"/>
  <c r="CD105" i="7"/>
  <c r="CC105" i="7"/>
  <c r="CB105" i="7"/>
  <c r="CA105" i="7"/>
  <c r="BZ105" i="7"/>
  <c r="BY105" i="7"/>
  <c r="BX105" i="7"/>
  <c r="BW105" i="7"/>
  <c r="BV105" i="7"/>
  <c r="BU105" i="7"/>
  <c r="BT105" i="7"/>
  <c r="BS105" i="7"/>
  <c r="BR105" i="7"/>
  <c r="BQ105" i="7"/>
  <c r="BP105" i="7"/>
  <c r="BO105" i="7"/>
  <c r="BN105" i="7"/>
  <c r="DI104" i="7"/>
  <c r="DH104" i="7"/>
  <c r="DG104" i="7"/>
  <c r="DF104" i="7"/>
  <c r="DE104" i="7"/>
  <c r="DD104" i="7"/>
  <c r="DC104" i="7"/>
  <c r="DB104" i="7"/>
  <c r="DA104" i="7"/>
  <c r="CZ104" i="7"/>
  <c r="CY104" i="7"/>
  <c r="CX104" i="7"/>
  <c r="CW104" i="7"/>
  <c r="CV104" i="7"/>
  <c r="CU104" i="7"/>
  <c r="CT104" i="7"/>
  <c r="CS104" i="7"/>
  <c r="CR104" i="7"/>
  <c r="CQ104" i="7"/>
  <c r="CP104" i="7"/>
  <c r="CO104" i="7"/>
  <c r="CN104" i="7"/>
  <c r="CM104" i="7"/>
  <c r="CL104" i="7"/>
  <c r="CK104" i="7"/>
  <c r="CJ104" i="7"/>
  <c r="CI104" i="7"/>
  <c r="CH104" i="7"/>
  <c r="CG104" i="7"/>
  <c r="CF104" i="7"/>
  <c r="CE104" i="7"/>
  <c r="CD104" i="7"/>
  <c r="CC104" i="7"/>
  <c r="CB104" i="7"/>
  <c r="CA104" i="7"/>
  <c r="BZ104" i="7"/>
  <c r="BY104" i="7"/>
  <c r="BX104" i="7"/>
  <c r="BW104" i="7"/>
  <c r="BV104" i="7"/>
  <c r="BU104" i="7"/>
  <c r="BT104" i="7"/>
  <c r="BS104" i="7"/>
  <c r="BR104" i="7"/>
  <c r="BQ104" i="7"/>
  <c r="BP104" i="7"/>
  <c r="BO104" i="7"/>
  <c r="BN104" i="7"/>
  <c r="DI103" i="7"/>
  <c r="DH103" i="7"/>
  <c r="DG103" i="7"/>
  <c r="DF103" i="7"/>
  <c r="DE103" i="7"/>
  <c r="DD103" i="7"/>
  <c r="DC103" i="7"/>
  <c r="DB103" i="7"/>
  <c r="DA103" i="7"/>
  <c r="CZ103" i="7"/>
  <c r="CY103" i="7"/>
  <c r="CX103" i="7"/>
  <c r="CW103" i="7"/>
  <c r="CV103" i="7"/>
  <c r="CU103" i="7"/>
  <c r="CT103" i="7"/>
  <c r="CS103" i="7"/>
  <c r="CR103" i="7"/>
  <c r="CQ103" i="7"/>
  <c r="CP103" i="7"/>
  <c r="CO103" i="7"/>
  <c r="CN103" i="7"/>
  <c r="CM103" i="7"/>
  <c r="CL103" i="7"/>
  <c r="CK103" i="7"/>
  <c r="CJ103" i="7"/>
  <c r="CI103" i="7"/>
  <c r="CH103" i="7"/>
  <c r="CG103" i="7"/>
  <c r="CF103" i="7"/>
  <c r="CE103" i="7"/>
  <c r="CD103" i="7"/>
  <c r="CC103" i="7"/>
  <c r="CB103" i="7"/>
  <c r="CA103" i="7"/>
  <c r="BZ103" i="7"/>
  <c r="BY103" i="7"/>
  <c r="BX103" i="7"/>
  <c r="BW103" i="7"/>
  <c r="BV103" i="7"/>
  <c r="BU103" i="7"/>
  <c r="BT103" i="7"/>
  <c r="BS103" i="7"/>
  <c r="BR103" i="7"/>
  <c r="BQ103" i="7"/>
  <c r="BP103" i="7"/>
  <c r="BO103" i="7"/>
  <c r="BN103" i="7"/>
  <c r="DI102" i="7"/>
  <c r="DH102" i="7"/>
  <c r="DG102" i="7"/>
  <c r="DF102" i="7"/>
  <c r="DE102" i="7"/>
  <c r="DD102" i="7"/>
  <c r="DC102" i="7"/>
  <c r="DB102" i="7"/>
  <c r="DA102" i="7"/>
  <c r="CZ102" i="7"/>
  <c r="CY102" i="7"/>
  <c r="CX102" i="7"/>
  <c r="CW102" i="7"/>
  <c r="CV102" i="7"/>
  <c r="CU102" i="7"/>
  <c r="CT102" i="7"/>
  <c r="CS102" i="7"/>
  <c r="CR102" i="7"/>
  <c r="CQ102" i="7"/>
  <c r="CP102" i="7"/>
  <c r="CO102" i="7"/>
  <c r="CN102" i="7"/>
  <c r="CM102" i="7"/>
  <c r="CL102" i="7"/>
  <c r="CK102" i="7"/>
  <c r="CJ102" i="7"/>
  <c r="CI102" i="7"/>
  <c r="CH102" i="7"/>
  <c r="CG102" i="7"/>
  <c r="CF102" i="7"/>
  <c r="CE102" i="7"/>
  <c r="CD102" i="7"/>
  <c r="CC102" i="7"/>
  <c r="CB102" i="7"/>
  <c r="CA102" i="7"/>
  <c r="BZ102" i="7"/>
  <c r="BY102" i="7"/>
  <c r="BX102" i="7"/>
  <c r="BW102" i="7"/>
  <c r="BV102" i="7"/>
  <c r="BU102" i="7"/>
  <c r="BT102" i="7"/>
  <c r="BS102" i="7"/>
  <c r="BR102" i="7"/>
  <c r="BQ102" i="7"/>
  <c r="BP102" i="7"/>
  <c r="BO102" i="7"/>
  <c r="BN102" i="7"/>
  <c r="DI101" i="7"/>
  <c r="DH101" i="7"/>
  <c r="DG101" i="7"/>
  <c r="DF101" i="7"/>
  <c r="DE101" i="7"/>
  <c r="DD101" i="7"/>
  <c r="DC101" i="7"/>
  <c r="DB101" i="7"/>
  <c r="DA101" i="7"/>
  <c r="CZ101" i="7"/>
  <c r="CY101" i="7"/>
  <c r="CX101" i="7"/>
  <c r="CW101" i="7"/>
  <c r="CV101" i="7"/>
  <c r="CU101" i="7"/>
  <c r="CT101" i="7"/>
  <c r="CS101" i="7"/>
  <c r="CR101" i="7"/>
  <c r="CQ101" i="7"/>
  <c r="CP101" i="7"/>
  <c r="CO101" i="7"/>
  <c r="CN101" i="7"/>
  <c r="CM101" i="7"/>
  <c r="CL101" i="7"/>
  <c r="CK101" i="7"/>
  <c r="CJ101" i="7"/>
  <c r="CI101" i="7"/>
  <c r="CH101" i="7"/>
  <c r="CG101" i="7"/>
  <c r="CF101" i="7"/>
  <c r="CE101" i="7"/>
  <c r="CD101" i="7"/>
  <c r="CC101" i="7"/>
  <c r="CB101" i="7"/>
  <c r="CA101" i="7"/>
  <c r="BZ101" i="7"/>
  <c r="BY101" i="7"/>
  <c r="BX101" i="7"/>
  <c r="BW101" i="7"/>
  <c r="BV101" i="7"/>
  <c r="BU101" i="7"/>
  <c r="BT101" i="7"/>
  <c r="BS101" i="7"/>
  <c r="BR101" i="7"/>
  <c r="BQ101" i="7"/>
  <c r="BP101" i="7"/>
  <c r="BO101" i="7"/>
  <c r="BN101" i="7"/>
  <c r="DI66" i="7"/>
  <c r="DH66" i="7"/>
  <c r="DG66" i="7"/>
  <c r="DF66" i="7"/>
  <c r="DE66" i="7"/>
  <c r="DD66" i="7"/>
  <c r="DC66" i="7"/>
  <c r="DB66" i="7"/>
  <c r="DA66" i="7"/>
  <c r="CZ66" i="7"/>
  <c r="CY66" i="7"/>
  <c r="CX66" i="7"/>
  <c r="CW66" i="7"/>
  <c r="CV66" i="7"/>
  <c r="CU66" i="7"/>
  <c r="CT66" i="7"/>
  <c r="CS66" i="7"/>
  <c r="CR66" i="7"/>
  <c r="CQ66" i="7"/>
  <c r="CP66" i="7"/>
  <c r="CO66" i="7"/>
  <c r="CN66" i="7"/>
  <c r="CM66" i="7"/>
  <c r="CL66" i="7"/>
  <c r="CK66" i="7"/>
  <c r="CJ66" i="7"/>
  <c r="CI66" i="7"/>
  <c r="CH66" i="7"/>
  <c r="CG66" i="7"/>
  <c r="CF66" i="7"/>
  <c r="CE66" i="7"/>
  <c r="CD66" i="7"/>
  <c r="CC66" i="7"/>
  <c r="CB66" i="7"/>
  <c r="CA66" i="7"/>
  <c r="BZ66" i="7"/>
  <c r="BY66" i="7"/>
  <c r="BX66" i="7"/>
  <c r="BW66" i="7"/>
  <c r="BV66" i="7"/>
  <c r="BU66" i="7"/>
  <c r="BT66" i="7"/>
  <c r="BS66" i="7"/>
  <c r="BR66" i="7"/>
  <c r="BQ66" i="7"/>
  <c r="BP66" i="7"/>
  <c r="BO66" i="7"/>
  <c r="BN66" i="7"/>
  <c r="DI65" i="7"/>
  <c r="DH65" i="7"/>
  <c r="DG65" i="7"/>
  <c r="DF65" i="7"/>
  <c r="DE65" i="7"/>
  <c r="DD65" i="7"/>
  <c r="DC65" i="7"/>
  <c r="DB65" i="7"/>
  <c r="DA65" i="7"/>
  <c r="CZ65" i="7"/>
  <c r="CY65" i="7"/>
  <c r="CX65" i="7"/>
  <c r="CW65" i="7"/>
  <c r="CV65" i="7"/>
  <c r="CU65" i="7"/>
  <c r="CT65" i="7"/>
  <c r="CS65" i="7"/>
  <c r="CR65" i="7"/>
  <c r="CQ65" i="7"/>
  <c r="CP65" i="7"/>
  <c r="CO65" i="7"/>
  <c r="CN65" i="7"/>
  <c r="CM65" i="7"/>
  <c r="CL65" i="7"/>
  <c r="CK65" i="7"/>
  <c r="CJ65" i="7"/>
  <c r="CI65" i="7"/>
  <c r="CH65" i="7"/>
  <c r="CG65" i="7"/>
  <c r="CF65" i="7"/>
  <c r="CE65" i="7"/>
  <c r="CD65" i="7"/>
  <c r="CC65" i="7"/>
  <c r="CB65" i="7"/>
  <c r="CA65" i="7"/>
  <c r="BZ65" i="7"/>
  <c r="BY65" i="7"/>
  <c r="BX65" i="7"/>
  <c r="BW65" i="7"/>
  <c r="BV65" i="7"/>
  <c r="BU65" i="7"/>
  <c r="BT65" i="7"/>
  <c r="BS65" i="7"/>
  <c r="BR65" i="7"/>
  <c r="BQ65" i="7"/>
  <c r="BP65" i="7"/>
  <c r="BO65" i="7"/>
  <c r="BN65" i="7"/>
  <c r="DI64" i="7"/>
  <c r="DH64" i="7"/>
  <c r="DG64" i="7"/>
  <c r="DF64" i="7"/>
  <c r="DE64" i="7"/>
  <c r="DD64" i="7"/>
  <c r="DC64" i="7"/>
  <c r="DB64" i="7"/>
  <c r="DA64" i="7"/>
  <c r="CZ64" i="7"/>
  <c r="CY64" i="7"/>
  <c r="CX64" i="7"/>
  <c r="CW64" i="7"/>
  <c r="CV64" i="7"/>
  <c r="CU64" i="7"/>
  <c r="CT64" i="7"/>
  <c r="CS64" i="7"/>
  <c r="CR64" i="7"/>
  <c r="CQ64" i="7"/>
  <c r="CP64" i="7"/>
  <c r="CO64" i="7"/>
  <c r="CN64" i="7"/>
  <c r="CM64" i="7"/>
  <c r="CL64" i="7"/>
  <c r="CK64" i="7"/>
  <c r="CJ64" i="7"/>
  <c r="CI64" i="7"/>
  <c r="CH64" i="7"/>
  <c r="CG64" i="7"/>
  <c r="CF64" i="7"/>
  <c r="CE64" i="7"/>
  <c r="CD64" i="7"/>
  <c r="CC64" i="7"/>
  <c r="CB64" i="7"/>
  <c r="CA64" i="7"/>
  <c r="BZ64" i="7"/>
  <c r="BY64" i="7"/>
  <c r="BX64" i="7"/>
  <c r="BW64" i="7"/>
  <c r="BV64" i="7"/>
  <c r="BU64" i="7"/>
  <c r="BT64" i="7"/>
  <c r="BS64" i="7"/>
  <c r="BR64" i="7"/>
  <c r="BQ64" i="7"/>
  <c r="BP64" i="7"/>
  <c r="BO64" i="7"/>
  <c r="BN64" i="7"/>
  <c r="DI63" i="7"/>
  <c r="DH63" i="7"/>
  <c r="DG63" i="7"/>
  <c r="DF63" i="7"/>
  <c r="DE63" i="7"/>
  <c r="DD63" i="7"/>
  <c r="DC63" i="7"/>
  <c r="DB63" i="7"/>
  <c r="DA63" i="7"/>
  <c r="CZ63" i="7"/>
  <c r="CY63" i="7"/>
  <c r="CX63" i="7"/>
  <c r="CW63" i="7"/>
  <c r="CV63" i="7"/>
  <c r="CU63" i="7"/>
  <c r="CT63" i="7"/>
  <c r="CS63" i="7"/>
  <c r="CR63" i="7"/>
  <c r="CQ63" i="7"/>
  <c r="CP63" i="7"/>
  <c r="CO63" i="7"/>
  <c r="CN63" i="7"/>
  <c r="CM63" i="7"/>
  <c r="CL63" i="7"/>
  <c r="CK63" i="7"/>
  <c r="CJ63" i="7"/>
  <c r="CI63" i="7"/>
  <c r="CH63" i="7"/>
  <c r="CG63" i="7"/>
  <c r="CF63" i="7"/>
  <c r="CE63" i="7"/>
  <c r="CD63" i="7"/>
  <c r="CC63" i="7"/>
  <c r="CB63" i="7"/>
  <c r="CA63" i="7"/>
  <c r="BZ63" i="7"/>
  <c r="BY63" i="7"/>
  <c r="BX63" i="7"/>
  <c r="BW63" i="7"/>
  <c r="BV63" i="7"/>
  <c r="BU63" i="7"/>
  <c r="BT63" i="7"/>
  <c r="BS63" i="7"/>
  <c r="BR63" i="7"/>
  <c r="BQ63" i="7"/>
  <c r="BP63" i="7"/>
  <c r="BO63" i="7"/>
  <c r="BN63" i="7"/>
  <c r="DI62" i="7"/>
  <c r="DH62" i="7"/>
  <c r="DG62" i="7"/>
  <c r="DF62" i="7"/>
  <c r="DE62" i="7"/>
  <c r="DD62" i="7"/>
  <c r="DC62" i="7"/>
  <c r="DB62" i="7"/>
  <c r="DA62" i="7"/>
  <c r="CZ62" i="7"/>
  <c r="CY62" i="7"/>
  <c r="CX62" i="7"/>
  <c r="CW62" i="7"/>
  <c r="CV62" i="7"/>
  <c r="CU62" i="7"/>
  <c r="CT62" i="7"/>
  <c r="CS62" i="7"/>
  <c r="CR62" i="7"/>
  <c r="CQ62" i="7"/>
  <c r="CP62" i="7"/>
  <c r="CO62" i="7"/>
  <c r="CN62" i="7"/>
  <c r="CM62" i="7"/>
  <c r="CL62" i="7"/>
  <c r="CK62" i="7"/>
  <c r="CJ62" i="7"/>
  <c r="CI62" i="7"/>
  <c r="CH62" i="7"/>
  <c r="CG62" i="7"/>
  <c r="CF62" i="7"/>
  <c r="CE62" i="7"/>
  <c r="CD62" i="7"/>
  <c r="CC62" i="7"/>
  <c r="CB62" i="7"/>
  <c r="CA62" i="7"/>
  <c r="BZ62" i="7"/>
  <c r="BY62" i="7"/>
  <c r="BX62" i="7"/>
  <c r="BW62" i="7"/>
  <c r="BV62" i="7"/>
  <c r="BU62" i="7"/>
  <c r="BT62" i="7"/>
  <c r="BS62" i="7"/>
  <c r="BR62" i="7"/>
  <c r="BQ62" i="7"/>
  <c r="BP62" i="7"/>
  <c r="BO62" i="7"/>
  <c r="BN62" i="7"/>
  <c r="DI61" i="7"/>
  <c r="DH61" i="7"/>
  <c r="DG61" i="7"/>
  <c r="DF61" i="7"/>
  <c r="DE61" i="7"/>
  <c r="DD61" i="7"/>
  <c r="DC61" i="7"/>
  <c r="DB61" i="7"/>
  <c r="DA61" i="7"/>
  <c r="CZ61" i="7"/>
  <c r="CY61" i="7"/>
  <c r="CX61" i="7"/>
  <c r="CW61" i="7"/>
  <c r="CV61" i="7"/>
  <c r="CU61" i="7"/>
  <c r="CT61" i="7"/>
  <c r="CS61" i="7"/>
  <c r="CR61" i="7"/>
  <c r="CQ61" i="7"/>
  <c r="CP61" i="7"/>
  <c r="CO61" i="7"/>
  <c r="CN61" i="7"/>
  <c r="CM61" i="7"/>
  <c r="CL61" i="7"/>
  <c r="CK61" i="7"/>
  <c r="CJ61" i="7"/>
  <c r="CI61" i="7"/>
  <c r="CH61" i="7"/>
  <c r="CG61" i="7"/>
  <c r="CF61" i="7"/>
  <c r="CE61" i="7"/>
  <c r="CD61" i="7"/>
  <c r="CC61" i="7"/>
  <c r="CB61" i="7"/>
  <c r="CA61" i="7"/>
  <c r="BZ61" i="7"/>
  <c r="BY61" i="7"/>
  <c r="BX61" i="7"/>
  <c r="BW61" i="7"/>
  <c r="BV61" i="7"/>
  <c r="BU61" i="7"/>
  <c r="BT61" i="7"/>
  <c r="BS61" i="7"/>
  <c r="BR61" i="7"/>
  <c r="BQ61" i="7"/>
  <c r="BP61" i="7"/>
  <c r="BO61" i="7"/>
  <c r="BN61" i="7"/>
  <c r="DI60" i="7"/>
  <c r="DH60" i="7"/>
  <c r="DG60" i="7"/>
  <c r="DF60" i="7"/>
  <c r="DE60" i="7"/>
  <c r="DD60" i="7"/>
  <c r="DC60" i="7"/>
  <c r="DB60" i="7"/>
  <c r="DA60" i="7"/>
  <c r="CZ60" i="7"/>
  <c r="CY60" i="7"/>
  <c r="CX60" i="7"/>
  <c r="CW60" i="7"/>
  <c r="CV60" i="7"/>
  <c r="CU60" i="7"/>
  <c r="CT60" i="7"/>
  <c r="CS60" i="7"/>
  <c r="CR60" i="7"/>
  <c r="CQ60" i="7"/>
  <c r="CP60" i="7"/>
  <c r="CO60" i="7"/>
  <c r="CN60" i="7"/>
  <c r="CM60" i="7"/>
  <c r="CL60" i="7"/>
  <c r="CK60" i="7"/>
  <c r="CJ60" i="7"/>
  <c r="CI60" i="7"/>
  <c r="CH60" i="7"/>
  <c r="CG60" i="7"/>
  <c r="CF60" i="7"/>
  <c r="CE60" i="7"/>
  <c r="CD60" i="7"/>
  <c r="CC60" i="7"/>
  <c r="CB60" i="7"/>
  <c r="CA60" i="7"/>
  <c r="BZ60" i="7"/>
  <c r="BY60" i="7"/>
  <c r="BX60" i="7"/>
  <c r="BW60" i="7"/>
  <c r="BV60" i="7"/>
  <c r="BU60" i="7"/>
  <c r="BT60" i="7"/>
  <c r="BS60" i="7"/>
  <c r="BR60" i="7"/>
  <c r="BQ60" i="7"/>
  <c r="BP60" i="7"/>
  <c r="BO60" i="7"/>
  <c r="BN60" i="7"/>
  <c r="DI59" i="7"/>
  <c r="DH59" i="7"/>
  <c r="DG59" i="7"/>
  <c r="DF59" i="7"/>
  <c r="DE59" i="7"/>
  <c r="DD59" i="7"/>
  <c r="DC59" i="7"/>
  <c r="DB59" i="7"/>
  <c r="DA59" i="7"/>
  <c r="CZ59" i="7"/>
  <c r="CY59" i="7"/>
  <c r="CX59" i="7"/>
  <c r="CW59" i="7"/>
  <c r="CV59" i="7"/>
  <c r="CU59" i="7"/>
  <c r="CT59" i="7"/>
  <c r="CS59" i="7"/>
  <c r="CR59" i="7"/>
  <c r="CQ59" i="7"/>
  <c r="CP59" i="7"/>
  <c r="CO59" i="7"/>
  <c r="CN59" i="7"/>
  <c r="CM59" i="7"/>
  <c r="CL59" i="7"/>
  <c r="CK59" i="7"/>
  <c r="CJ59" i="7"/>
  <c r="CI59" i="7"/>
  <c r="CH59" i="7"/>
  <c r="CG59" i="7"/>
  <c r="CF59" i="7"/>
  <c r="CE59" i="7"/>
  <c r="CD59" i="7"/>
  <c r="CC59" i="7"/>
  <c r="CB59" i="7"/>
  <c r="CA59" i="7"/>
  <c r="BZ59" i="7"/>
  <c r="BY59" i="7"/>
  <c r="BX59" i="7"/>
  <c r="BW59" i="7"/>
  <c r="BV59" i="7"/>
  <c r="BU59" i="7"/>
  <c r="BT59" i="7"/>
  <c r="BS59" i="7"/>
  <c r="BR59" i="7"/>
  <c r="BQ59" i="7"/>
  <c r="BP59" i="7"/>
  <c r="BO59" i="7"/>
  <c r="BN59" i="7"/>
  <c r="DI58" i="7"/>
  <c r="DH58" i="7"/>
  <c r="DG58" i="7"/>
  <c r="DF58" i="7"/>
  <c r="DE58" i="7"/>
  <c r="DD58" i="7"/>
  <c r="DC58" i="7"/>
  <c r="DB58" i="7"/>
  <c r="DA58" i="7"/>
  <c r="CZ58" i="7"/>
  <c r="CY58" i="7"/>
  <c r="CX58" i="7"/>
  <c r="CW58" i="7"/>
  <c r="CV58" i="7"/>
  <c r="CU58" i="7"/>
  <c r="CT58" i="7"/>
  <c r="CS58" i="7"/>
  <c r="CR58" i="7"/>
  <c r="CQ58" i="7"/>
  <c r="CP58" i="7"/>
  <c r="CO58" i="7"/>
  <c r="CN58" i="7"/>
  <c r="CM58" i="7"/>
  <c r="CL58" i="7"/>
  <c r="CK58" i="7"/>
  <c r="CJ58" i="7"/>
  <c r="CI58" i="7"/>
  <c r="CH58" i="7"/>
  <c r="CG58" i="7"/>
  <c r="CF58" i="7"/>
  <c r="CE58" i="7"/>
  <c r="CD58" i="7"/>
  <c r="CC58" i="7"/>
  <c r="CB58" i="7"/>
  <c r="CA58" i="7"/>
  <c r="BZ58" i="7"/>
  <c r="BY58" i="7"/>
  <c r="BX58" i="7"/>
  <c r="BW58" i="7"/>
  <c r="BV58" i="7"/>
  <c r="BU58" i="7"/>
  <c r="BT58" i="7"/>
  <c r="BS58" i="7"/>
  <c r="BR58" i="7"/>
  <c r="BQ58" i="7"/>
  <c r="BP58" i="7"/>
  <c r="BO58" i="7"/>
  <c r="BN58" i="7"/>
  <c r="DI57" i="7"/>
  <c r="DH57" i="7"/>
  <c r="DG57" i="7"/>
  <c r="DF57" i="7"/>
  <c r="DE57" i="7"/>
  <c r="DD57" i="7"/>
  <c r="DC57" i="7"/>
  <c r="DB57" i="7"/>
  <c r="DA57" i="7"/>
  <c r="CZ57" i="7"/>
  <c r="CY57" i="7"/>
  <c r="CX57" i="7"/>
  <c r="CW57" i="7"/>
  <c r="CV57" i="7"/>
  <c r="CU57" i="7"/>
  <c r="CT57" i="7"/>
  <c r="CS57" i="7"/>
  <c r="CR57" i="7"/>
  <c r="CQ57" i="7"/>
  <c r="CP57" i="7"/>
  <c r="CO57" i="7"/>
  <c r="CN57" i="7"/>
  <c r="CM57" i="7"/>
  <c r="CL57" i="7"/>
  <c r="CK57" i="7"/>
  <c r="CJ57" i="7"/>
  <c r="CI57" i="7"/>
  <c r="CH57" i="7"/>
  <c r="CG57" i="7"/>
  <c r="CF57" i="7"/>
  <c r="CE57" i="7"/>
  <c r="CD57" i="7"/>
  <c r="CC57" i="7"/>
  <c r="CB57" i="7"/>
  <c r="CA57" i="7"/>
  <c r="BZ57" i="7"/>
  <c r="BY57" i="7"/>
  <c r="BX57" i="7"/>
  <c r="BW57" i="7"/>
  <c r="BV57" i="7"/>
  <c r="BU57" i="7"/>
  <c r="BT57" i="7"/>
  <c r="BS57" i="7"/>
  <c r="BR57" i="7"/>
  <c r="BQ57" i="7"/>
  <c r="BP57" i="7"/>
  <c r="BO57" i="7"/>
  <c r="BN57" i="7"/>
  <c r="DI22" i="7"/>
  <c r="DH22" i="7"/>
  <c r="DG22" i="7"/>
  <c r="DF22" i="7"/>
  <c r="DE22" i="7"/>
  <c r="DD22" i="7"/>
  <c r="DC22" i="7"/>
  <c r="DB22" i="7"/>
  <c r="DA22" i="7"/>
  <c r="CZ22" i="7"/>
  <c r="CY22" i="7"/>
  <c r="CX22" i="7"/>
  <c r="CW22" i="7"/>
  <c r="CV22" i="7"/>
  <c r="CU22" i="7"/>
  <c r="CT22" i="7"/>
  <c r="CS22" i="7"/>
  <c r="CR22" i="7"/>
  <c r="CQ22" i="7"/>
  <c r="CP22" i="7"/>
  <c r="CO22" i="7"/>
  <c r="CN22" i="7"/>
  <c r="CM22" i="7"/>
  <c r="CL22" i="7"/>
  <c r="CK22" i="7"/>
  <c r="CJ22" i="7"/>
  <c r="CI22" i="7"/>
  <c r="CH22" i="7"/>
  <c r="CG22" i="7"/>
  <c r="CF22" i="7"/>
  <c r="CE22" i="7"/>
  <c r="CD22" i="7"/>
  <c r="CC22" i="7"/>
  <c r="CB22" i="7"/>
  <c r="CA22" i="7"/>
  <c r="BZ22" i="7"/>
  <c r="BY22" i="7"/>
  <c r="BX22" i="7"/>
  <c r="BW22" i="7"/>
  <c r="BV22" i="7"/>
  <c r="BU22" i="7"/>
  <c r="BT22" i="7"/>
  <c r="BS22" i="7"/>
  <c r="BR22" i="7"/>
  <c r="BQ22" i="7"/>
  <c r="BP22" i="7"/>
  <c r="BO22" i="7"/>
  <c r="BN22" i="7"/>
  <c r="DI21" i="7"/>
  <c r="DH21" i="7"/>
  <c r="DG21" i="7"/>
  <c r="DF21" i="7"/>
  <c r="DE21" i="7"/>
  <c r="DD21" i="7"/>
  <c r="DC21" i="7"/>
  <c r="DB21" i="7"/>
  <c r="DA21" i="7"/>
  <c r="CZ21" i="7"/>
  <c r="CY21" i="7"/>
  <c r="CX21" i="7"/>
  <c r="CW21" i="7"/>
  <c r="CV21" i="7"/>
  <c r="CU21" i="7"/>
  <c r="CT21" i="7"/>
  <c r="CS21" i="7"/>
  <c r="CR21" i="7"/>
  <c r="CQ21" i="7"/>
  <c r="CP21" i="7"/>
  <c r="CO21" i="7"/>
  <c r="CN21" i="7"/>
  <c r="CM21" i="7"/>
  <c r="CL21" i="7"/>
  <c r="CK21" i="7"/>
  <c r="CJ21" i="7"/>
  <c r="CI21" i="7"/>
  <c r="CH21" i="7"/>
  <c r="CG21" i="7"/>
  <c r="CF21" i="7"/>
  <c r="CE21" i="7"/>
  <c r="CD21" i="7"/>
  <c r="CC21" i="7"/>
  <c r="CB21" i="7"/>
  <c r="CA21" i="7"/>
  <c r="BZ21" i="7"/>
  <c r="BY21" i="7"/>
  <c r="BX21" i="7"/>
  <c r="BW21" i="7"/>
  <c r="BV21" i="7"/>
  <c r="BU21" i="7"/>
  <c r="BT21" i="7"/>
  <c r="BS21" i="7"/>
  <c r="BR21" i="7"/>
  <c r="BQ21" i="7"/>
  <c r="BP21" i="7"/>
  <c r="BO21" i="7"/>
  <c r="BN21" i="7"/>
  <c r="DI20" i="7"/>
  <c r="DH20" i="7"/>
  <c r="DG20" i="7"/>
  <c r="DF20" i="7"/>
  <c r="DE20" i="7"/>
  <c r="DD20" i="7"/>
  <c r="DC20" i="7"/>
  <c r="DB20" i="7"/>
  <c r="DA20" i="7"/>
  <c r="CZ20" i="7"/>
  <c r="CY20" i="7"/>
  <c r="CX20" i="7"/>
  <c r="CW20" i="7"/>
  <c r="CV20" i="7"/>
  <c r="CU20" i="7"/>
  <c r="CT20" i="7"/>
  <c r="CS20" i="7"/>
  <c r="CR20" i="7"/>
  <c r="CQ20" i="7"/>
  <c r="CP20" i="7"/>
  <c r="CO20" i="7"/>
  <c r="CN20" i="7"/>
  <c r="CM20" i="7"/>
  <c r="CL20" i="7"/>
  <c r="CK20" i="7"/>
  <c r="CJ20" i="7"/>
  <c r="CI20" i="7"/>
  <c r="CH20" i="7"/>
  <c r="CG20" i="7"/>
  <c r="CF20" i="7"/>
  <c r="CE20" i="7"/>
  <c r="CD20" i="7"/>
  <c r="CC20" i="7"/>
  <c r="CB20" i="7"/>
  <c r="CA20" i="7"/>
  <c r="BZ20" i="7"/>
  <c r="BY20" i="7"/>
  <c r="BX20" i="7"/>
  <c r="BW20" i="7"/>
  <c r="BV20" i="7"/>
  <c r="BU20" i="7"/>
  <c r="BT20" i="7"/>
  <c r="BS20" i="7"/>
  <c r="BR20" i="7"/>
  <c r="BQ20" i="7"/>
  <c r="BP20" i="7"/>
  <c r="BO20" i="7"/>
  <c r="BN20" i="7"/>
  <c r="DI19" i="7"/>
  <c r="DH19" i="7"/>
  <c r="DG19" i="7"/>
  <c r="DF19" i="7"/>
  <c r="DE19" i="7"/>
  <c r="DD19" i="7"/>
  <c r="DC19" i="7"/>
  <c r="DB19" i="7"/>
  <c r="DA19" i="7"/>
  <c r="CZ19" i="7"/>
  <c r="CY19" i="7"/>
  <c r="CX19" i="7"/>
  <c r="CW19" i="7"/>
  <c r="CV19" i="7"/>
  <c r="CU19" i="7"/>
  <c r="CT19" i="7"/>
  <c r="CS19" i="7"/>
  <c r="CR19" i="7"/>
  <c r="CQ19" i="7"/>
  <c r="CP19" i="7"/>
  <c r="CO19" i="7"/>
  <c r="CN19" i="7"/>
  <c r="CM19" i="7"/>
  <c r="CL19" i="7"/>
  <c r="CK19" i="7"/>
  <c r="CJ19" i="7"/>
  <c r="CI19" i="7"/>
  <c r="CH19" i="7"/>
  <c r="CG19" i="7"/>
  <c r="CF19" i="7"/>
  <c r="CE19" i="7"/>
  <c r="CD19" i="7"/>
  <c r="CC19" i="7"/>
  <c r="CB19" i="7"/>
  <c r="CA19" i="7"/>
  <c r="BZ19" i="7"/>
  <c r="BY19" i="7"/>
  <c r="BX19" i="7"/>
  <c r="BW19" i="7"/>
  <c r="BV19" i="7"/>
  <c r="BU19" i="7"/>
  <c r="BT19" i="7"/>
  <c r="BS19" i="7"/>
  <c r="BR19" i="7"/>
  <c r="BQ19" i="7"/>
  <c r="BP19" i="7"/>
  <c r="BO19" i="7"/>
  <c r="BN19" i="7"/>
  <c r="DI18" i="7"/>
  <c r="DH18" i="7"/>
  <c r="DG18" i="7"/>
  <c r="DF18" i="7"/>
  <c r="DE18" i="7"/>
  <c r="DD18" i="7"/>
  <c r="DC18" i="7"/>
  <c r="DB18" i="7"/>
  <c r="DA18" i="7"/>
  <c r="CZ18" i="7"/>
  <c r="CY18" i="7"/>
  <c r="CX18" i="7"/>
  <c r="CW18" i="7"/>
  <c r="CV18" i="7"/>
  <c r="CU18" i="7"/>
  <c r="CT18" i="7"/>
  <c r="CS18" i="7"/>
  <c r="CR18" i="7"/>
  <c r="CQ18" i="7"/>
  <c r="CP18" i="7"/>
  <c r="CO18" i="7"/>
  <c r="CN18" i="7"/>
  <c r="CM18" i="7"/>
  <c r="CL18" i="7"/>
  <c r="CK18" i="7"/>
  <c r="CJ18" i="7"/>
  <c r="CI18" i="7"/>
  <c r="CH18" i="7"/>
  <c r="CG18" i="7"/>
  <c r="CF18" i="7"/>
  <c r="CE18" i="7"/>
  <c r="CD18" i="7"/>
  <c r="CC18" i="7"/>
  <c r="CB18" i="7"/>
  <c r="CA18" i="7"/>
  <c r="BZ18" i="7"/>
  <c r="BY18" i="7"/>
  <c r="BX18" i="7"/>
  <c r="BW18" i="7"/>
  <c r="BV18" i="7"/>
  <c r="BU18" i="7"/>
  <c r="BT18" i="7"/>
  <c r="BS18" i="7"/>
  <c r="BR18" i="7"/>
  <c r="BQ18" i="7"/>
  <c r="BP18" i="7"/>
  <c r="BO18" i="7"/>
  <c r="BN18" i="7"/>
  <c r="DI17" i="7"/>
  <c r="DH17" i="7"/>
  <c r="DG17" i="7"/>
  <c r="DF17" i="7"/>
  <c r="DE17" i="7"/>
  <c r="DD17" i="7"/>
  <c r="DC17" i="7"/>
  <c r="DB17" i="7"/>
  <c r="DA17" i="7"/>
  <c r="CZ17" i="7"/>
  <c r="CY17" i="7"/>
  <c r="CX17" i="7"/>
  <c r="CW17" i="7"/>
  <c r="CV17" i="7"/>
  <c r="CU17" i="7"/>
  <c r="CT17" i="7"/>
  <c r="CS17" i="7"/>
  <c r="CR17" i="7"/>
  <c r="CQ17" i="7"/>
  <c r="CP17" i="7"/>
  <c r="CO17" i="7"/>
  <c r="CN17" i="7"/>
  <c r="CM17" i="7"/>
  <c r="CL17" i="7"/>
  <c r="CK17" i="7"/>
  <c r="CJ17" i="7"/>
  <c r="CI17" i="7"/>
  <c r="CH17" i="7"/>
  <c r="CG17" i="7"/>
  <c r="CF17" i="7"/>
  <c r="CE17" i="7"/>
  <c r="CD17" i="7"/>
  <c r="CC17" i="7"/>
  <c r="CB17" i="7"/>
  <c r="CA17" i="7"/>
  <c r="BZ17" i="7"/>
  <c r="BY17" i="7"/>
  <c r="BX17" i="7"/>
  <c r="BW17" i="7"/>
  <c r="BV17" i="7"/>
  <c r="BU17" i="7"/>
  <c r="BT17" i="7"/>
  <c r="BS17" i="7"/>
  <c r="BR17" i="7"/>
  <c r="BQ17" i="7"/>
  <c r="BP17" i="7"/>
  <c r="BO17" i="7"/>
  <c r="BN17" i="7"/>
  <c r="DI16" i="7"/>
  <c r="DH16" i="7"/>
  <c r="DG16" i="7"/>
  <c r="DF16" i="7"/>
  <c r="DE16" i="7"/>
  <c r="DD16" i="7"/>
  <c r="DC16" i="7"/>
  <c r="DB16" i="7"/>
  <c r="DA16" i="7"/>
  <c r="CZ16" i="7"/>
  <c r="CY16" i="7"/>
  <c r="CX16" i="7"/>
  <c r="CW16" i="7"/>
  <c r="CV16" i="7"/>
  <c r="CU16" i="7"/>
  <c r="CT16" i="7"/>
  <c r="CS16" i="7"/>
  <c r="CR16" i="7"/>
  <c r="CQ16" i="7"/>
  <c r="CP16" i="7"/>
  <c r="CO16" i="7"/>
  <c r="CN16" i="7"/>
  <c r="CM16" i="7"/>
  <c r="CL16" i="7"/>
  <c r="CK16" i="7"/>
  <c r="CJ16" i="7"/>
  <c r="CI16" i="7"/>
  <c r="CH16" i="7"/>
  <c r="CG16" i="7"/>
  <c r="CF16" i="7"/>
  <c r="CE16" i="7"/>
  <c r="CD16" i="7"/>
  <c r="CC16" i="7"/>
  <c r="CB16" i="7"/>
  <c r="CA16" i="7"/>
  <c r="BZ16" i="7"/>
  <c r="BY16" i="7"/>
  <c r="BX16" i="7"/>
  <c r="BW16" i="7"/>
  <c r="BV16" i="7"/>
  <c r="BU16" i="7"/>
  <c r="BT16" i="7"/>
  <c r="BS16" i="7"/>
  <c r="BR16" i="7"/>
  <c r="BQ16" i="7"/>
  <c r="BP16" i="7"/>
  <c r="BO16" i="7"/>
  <c r="BN16" i="7"/>
  <c r="DI15" i="7"/>
  <c r="DH15" i="7"/>
  <c r="DG15" i="7"/>
  <c r="DF15" i="7"/>
  <c r="DE15" i="7"/>
  <c r="DD15" i="7"/>
  <c r="DC15" i="7"/>
  <c r="DB15" i="7"/>
  <c r="DA15" i="7"/>
  <c r="CZ15" i="7"/>
  <c r="CY15" i="7"/>
  <c r="CX15" i="7"/>
  <c r="CW15" i="7"/>
  <c r="CV15" i="7"/>
  <c r="CU15" i="7"/>
  <c r="CT15" i="7"/>
  <c r="CS15" i="7"/>
  <c r="CR15" i="7"/>
  <c r="CQ15" i="7"/>
  <c r="CP15" i="7"/>
  <c r="CO15" i="7"/>
  <c r="CN15" i="7"/>
  <c r="CM15" i="7"/>
  <c r="CL15" i="7"/>
  <c r="CK15" i="7"/>
  <c r="CJ15" i="7"/>
  <c r="CI15" i="7"/>
  <c r="CH15" i="7"/>
  <c r="CG15" i="7"/>
  <c r="CF15" i="7"/>
  <c r="CE15" i="7"/>
  <c r="CD15" i="7"/>
  <c r="CC15" i="7"/>
  <c r="CB15" i="7"/>
  <c r="CA15" i="7"/>
  <c r="BZ15" i="7"/>
  <c r="BY15" i="7"/>
  <c r="BX15" i="7"/>
  <c r="BW15" i="7"/>
  <c r="BV15" i="7"/>
  <c r="BU15" i="7"/>
  <c r="BT15" i="7"/>
  <c r="BS15" i="7"/>
  <c r="BR15" i="7"/>
  <c r="BQ15" i="7"/>
  <c r="BP15" i="7"/>
  <c r="BO15" i="7"/>
  <c r="BN15" i="7"/>
  <c r="DI14" i="7"/>
  <c r="DH14" i="7"/>
  <c r="DG14" i="7"/>
  <c r="DF14" i="7"/>
  <c r="DE14" i="7"/>
  <c r="DD14" i="7"/>
  <c r="DC14" i="7"/>
  <c r="DB14" i="7"/>
  <c r="DA14" i="7"/>
  <c r="CZ14" i="7"/>
  <c r="CY14" i="7"/>
  <c r="CX14" i="7"/>
  <c r="CW14" i="7"/>
  <c r="CV14" i="7"/>
  <c r="CU14" i="7"/>
  <c r="CT14" i="7"/>
  <c r="CS14" i="7"/>
  <c r="CR14" i="7"/>
  <c r="CQ14" i="7"/>
  <c r="CP14" i="7"/>
  <c r="CO14" i="7"/>
  <c r="CN14" i="7"/>
  <c r="CM14" i="7"/>
  <c r="CL14" i="7"/>
  <c r="CK14" i="7"/>
  <c r="CJ14" i="7"/>
  <c r="CI14" i="7"/>
  <c r="CH14" i="7"/>
  <c r="CG14" i="7"/>
  <c r="CF14" i="7"/>
  <c r="CE14" i="7"/>
  <c r="CD14" i="7"/>
  <c r="CC14" i="7"/>
  <c r="CB14" i="7"/>
  <c r="CA14" i="7"/>
  <c r="BZ14" i="7"/>
  <c r="BY14" i="7"/>
  <c r="BX14" i="7"/>
  <c r="BW14" i="7"/>
  <c r="BV14" i="7"/>
  <c r="BU14" i="7"/>
  <c r="BT14" i="7"/>
  <c r="BS14" i="7"/>
  <c r="BR14" i="7"/>
  <c r="BQ14" i="7"/>
  <c r="BP14" i="7"/>
  <c r="BO14" i="7"/>
  <c r="BN14" i="7"/>
  <c r="DI13" i="7"/>
  <c r="DH13" i="7"/>
  <c r="DG13" i="7"/>
  <c r="DF13" i="7"/>
  <c r="DE13" i="7"/>
  <c r="DD13" i="7"/>
  <c r="DC13" i="7"/>
  <c r="DB13" i="7"/>
  <c r="DA13" i="7"/>
  <c r="CZ13" i="7"/>
  <c r="CY13" i="7"/>
  <c r="CX13" i="7"/>
  <c r="CW13" i="7"/>
  <c r="CV13" i="7"/>
  <c r="CU13" i="7"/>
  <c r="CT13" i="7"/>
  <c r="CS13" i="7"/>
  <c r="CR13" i="7"/>
  <c r="CQ13" i="7"/>
  <c r="CP13" i="7"/>
  <c r="CO13" i="7"/>
  <c r="CN13" i="7"/>
  <c r="CM13" i="7"/>
  <c r="CL13" i="7"/>
  <c r="CK13" i="7"/>
  <c r="CJ13" i="7"/>
  <c r="CI13" i="7"/>
  <c r="CH13" i="7"/>
  <c r="CG13" i="7"/>
  <c r="CF13" i="7"/>
  <c r="CE13" i="7"/>
  <c r="CD13" i="7"/>
  <c r="CC13" i="7"/>
  <c r="CB13" i="7"/>
  <c r="CA13" i="7"/>
  <c r="BZ13" i="7"/>
  <c r="BY13" i="7"/>
  <c r="BX13" i="7"/>
  <c r="BW13" i="7"/>
  <c r="BV13" i="7"/>
  <c r="BU13" i="7"/>
  <c r="BT13" i="7"/>
  <c r="BS13" i="7"/>
  <c r="BR13" i="7"/>
  <c r="BQ13" i="7"/>
  <c r="BP13" i="7"/>
  <c r="BO13" i="7"/>
  <c r="BN13" i="7"/>
  <c r="I1436" i="1" l="1"/>
  <c r="E1436" i="1"/>
  <c r="I1435" i="1"/>
  <c r="E1435" i="1"/>
  <c r="I1434" i="1"/>
  <c r="E1434" i="1"/>
  <c r="I1433" i="1"/>
  <c r="E1433" i="1"/>
  <c r="I1431" i="1"/>
  <c r="E1431" i="1"/>
  <c r="I1430" i="1"/>
  <c r="E1430" i="1"/>
  <c r="H1424" i="1"/>
  <c r="I1424" i="1" s="1"/>
  <c r="J1424" i="1" s="1"/>
  <c r="L1424" i="1" s="1"/>
  <c r="H1423" i="1"/>
  <c r="I1427" i="1"/>
  <c r="J1427" i="1" s="1"/>
  <c r="E1427" i="1"/>
  <c r="I1426" i="1"/>
  <c r="E1426" i="1"/>
  <c r="I1425" i="1"/>
  <c r="E1425" i="1"/>
  <c r="E1424" i="1"/>
  <c r="H1421" i="1"/>
  <c r="I1421" i="1" s="1"/>
  <c r="J1421" i="1" s="1"/>
  <c r="L1421" i="1" s="1"/>
  <c r="H1420" i="1"/>
  <c r="I1420" i="1" s="1"/>
  <c r="H1419" i="1"/>
  <c r="E1421" i="1"/>
  <c r="E1420" i="1"/>
  <c r="I1417" i="1"/>
  <c r="E1417" i="1"/>
  <c r="I1416" i="1"/>
  <c r="E1416" i="1"/>
  <c r="E1412" i="1"/>
  <c r="I1413" i="1"/>
  <c r="G1410" i="1"/>
  <c r="I1410" i="1" s="1"/>
  <c r="G1409" i="1"/>
  <c r="I1409" i="1" s="1"/>
  <c r="E1410" i="1"/>
  <c r="I1414" i="1"/>
  <c r="I1411" i="1"/>
  <c r="I1415" i="1"/>
  <c r="E1415" i="1"/>
  <c r="E1414" i="1"/>
  <c r="E1413" i="1"/>
  <c r="E1411" i="1"/>
  <c r="E1409" i="1"/>
  <c r="I1408" i="1"/>
  <c r="E1408" i="1"/>
  <c r="I1406" i="1"/>
  <c r="E1406" i="1"/>
  <c r="I1405" i="1"/>
  <c r="E1405" i="1"/>
  <c r="I1404" i="1"/>
  <c r="J1404" i="1" s="1"/>
  <c r="E1404" i="1"/>
  <c r="I1403" i="1"/>
  <c r="E1403" i="1"/>
  <c r="H1400" i="1"/>
  <c r="I1400" i="1" s="1"/>
  <c r="H1399" i="1"/>
  <c r="I1399" i="1" s="1"/>
  <c r="J1399" i="1" s="1"/>
  <c r="L1399" i="1" s="1"/>
  <c r="H1398" i="1"/>
  <c r="I1398" i="1" s="1"/>
  <c r="H1397" i="1"/>
  <c r="E1400" i="1"/>
  <c r="E1399" i="1"/>
  <c r="E1398" i="1"/>
  <c r="I1396" i="1"/>
  <c r="J1396" i="1" s="1"/>
  <c r="H1393" i="1"/>
  <c r="E1387" i="1"/>
  <c r="I1387" i="1"/>
  <c r="I1385" i="1"/>
  <c r="J1385" i="1" s="1"/>
  <c r="L1385" i="1" s="1"/>
  <c r="E1385" i="1"/>
  <c r="I1384" i="1"/>
  <c r="E1384" i="1"/>
  <c r="H1382" i="1"/>
  <c r="H1381" i="1"/>
  <c r="H1380" i="1"/>
  <c r="H1377" i="1"/>
  <c r="I1377" i="1" s="1"/>
  <c r="J1377" i="1" s="1"/>
  <c r="H1376" i="1"/>
  <c r="E1377" i="1"/>
  <c r="K1375" i="1"/>
  <c r="I1374" i="1"/>
  <c r="J1374" i="1" s="1"/>
  <c r="L1374" i="1" s="1"/>
  <c r="E1374" i="1"/>
  <c r="I1373" i="1"/>
  <c r="J1373" i="1" s="1"/>
  <c r="L1373" i="1" s="1"/>
  <c r="E1373" i="1"/>
  <c r="I1372" i="1"/>
  <c r="J1372" i="1" s="1"/>
  <c r="L1372" i="1" s="1"/>
  <c r="E1372" i="1"/>
  <c r="I1371" i="1"/>
  <c r="J1371" i="1" s="1"/>
  <c r="E1371" i="1"/>
  <c r="I1370" i="1"/>
  <c r="E1370" i="1"/>
  <c r="I1369" i="1"/>
  <c r="J1369" i="1" s="1"/>
  <c r="L1369" i="1" s="1"/>
  <c r="E1369" i="1"/>
  <c r="I1368" i="1"/>
  <c r="J1368" i="1" s="1"/>
  <c r="E1368" i="1"/>
  <c r="I1367" i="1"/>
  <c r="J1367" i="1" s="1"/>
  <c r="L1367" i="1" s="1"/>
  <c r="E1367" i="1"/>
  <c r="I1366" i="1"/>
  <c r="J1366" i="1" s="1"/>
  <c r="E1366" i="1"/>
  <c r="I1365" i="1"/>
  <c r="J1365" i="1" s="1"/>
  <c r="E1365" i="1"/>
  <c r="I1364" i="1"/>
  <c r="J1364" i="1" s="1"/>
  <c r="E1364" i="1"/>
  <c r="I1363" i="1"/>
  <c r="J1363" i="1" s="1"/>
  <c r="E1363" i="1"/>
  <c r="I1362" i="1"/>
  <c r="J1362" i="1" s="1"/>
  <c r="E1362" i="1"/>
  <c r="I1361" i="1"/>
  <c r="J1361" i="1" s="1"/>
  <c r="E1361" i="1"/>
  <c r="I1360" i="1"/>
  <c r="J1360" i="1" s="1"/>
  <c r="E1360" i="1"/>
  <c r="I1359" i="1"/>
  <c r="J1359" i="1" s="1"/>
  <c r="E1359" i="1"/>
  <c r="I1358" i="1"/>
  <c r="J1358" i="1" s="1"/>
  <c r="E1358" i="1"/>
  <c r="I1357" i="1"/>
  <c r="J1357" i="1" s="1"/>
  <c r="E1357" i="1"/>
  <c r="H1353" i="1"/>
  <c r="I1353" i="1" s="1"/>
  <c r="J1353" i="1" s="1"/>
  <c r="H1352" i="1"/>
  <c r="I1352" i="1" s="1"/>
  <c r="H1351" i="1"/>
  <c r="I1351" i="1" s="1"/>
  <c r="H1350" i="1"/>
  <c r="I1350" i="1" s="1"/>
  <c r="H1349" i="1"/>
  <c r="I1349" i="1" s="1"/>
  <c r="H1348" i="1"/>
  <c r="I1348" i="1" s="1"/>
  <c r="H1347" i="1"/>
  <c r="I1347" i="1" s="1"/>
  <c r="H1346" i="1"/>
  <c r="I1346" i="1" s="1"/>
  <c r="H1345" i="1"/>
  <c r="I1345" i="1" s="1"/>
  <c r="H1344" i="1"/>
  <c r="I1344" i="1" s="1"/>
  <c r="H1343" i="1"/>
  <c r="I1343" i="1" s="1"/>
  <c r="J1343" i="1" s="1"/>
  <c r="H1342" i="1"/>
  <c r="E1353" i="1"/>
  <c r="E1352" i="1"/>
  <c r="E1351" i="1"/>
  <c r="E1350" i="1"/>
  <c r="E1349" i="1"/>
  <c r="E1348" i="1"/>
  <c r="E1347" i="1"/>
  <c r="E1346" i="1"/>
  <c r="E1345" i="1"/>
  <c r="E1344" i="1"/>
  <c r="E1343" i="1"/>
  <c r="H1340" i="1"/>
  <c r="I1340" i="1" s="1"/>
  <c r="J1340" i="1" s="1"/>
  <c r="L1340" i="1" s="1"/>
  <c r="H1341" i="1"/>
  <c r="I1341" i="1" s="1"/>
  <c r="J1341" i="1" s="1"/>
  <c r="H1339" i="1"/>
  <c r="I1339" i="1" s="1"/>
  <c r="J1339" i="1" s="1"/>
  <c r="H1338" i="1"/>
  <c r="I1338" i="1" s="1"/>
  <c r="H1337" i="1"/>
  <c r="I1337" i="1" s="1"/>
  <c r="J1337" i="1" s="1"/>
  <c r="L1337" i="1" s="1"/>
  <c r="H1336" i="1"/>
  <c r="I1336" i="1" s="1"/>
  <c r="H1335" i="1"/>
  <c r="I1335" i="1" s="1"/>
  <c r="H1334" i="1"/>
  <c r="I1334" i="1" s="1"/>
  <c r="J1334" i="1" s="1"/>
  <c r="L1334" i="1" s="1"/>
  <c r="H1333" i="1"/>
  <c r="I1333" i="1" s="1"/>
  <c r="J1333" i="1" s="1"/>
  <c r="H1332" i="1"/>
  <c r="I1332" i="1" s="1"/>
  <c r="J1332" i="1" s="1"/>
  <c r="H1331" i="1"/>
  <c r="I1331" i="1" s="1"/>
  <c r="J1331" i="1" s="1"/>
  <c r="L1331" i="1" s="1"/>
  <c r="H1330" i="1"/>
  <c r="I1330" i="1" s="1"/>
  <c r="J1330" i="1" s="1"/>
  <c r="H1329" i="1"/>
  <c r="I1329" i="1" s="1"/>
  <c r="J1329" i="1" s="1"/>
  <c r="H1328" i="1"/>
  <c r="E1341" i="1"/>
  <c r="E1340" i="1"/>
  <c r="E1339" i="1"/>
  <c r="E1338" i="1"/>
  <c r="E1337" i="1"/>
  <c r="E1336" i="1"/>
  <c r="E1335" i="1"/>
  <c r="E1334" i="1"/>
  <c r="E1333" i="1"/>
  <c r="E1332" i="1"/>
  <c r="E1331" i="1"/>
  <c r="E1330" i="1"/>
  <c r="E1329" i="1"/>
  <c r="H1325" i="1"/>
  <c r="I1325" i="1" s="1"/>
  <c r="J1325" i="1" s="1"/>
  <c r="H1324" i="1"/>
  <c r="H1327" i="1"/>
  <c r="I1327" i="1" s="1"/>
  <c r="H1326" i="1"/>
  <c r="I1326" i="1" s="1"/>
  <c r="E1327" i="1"/>
  <c r="E1326" i="1"/>
  <c r="E1325" i="1"/>
  <c r="H1323" i="1"/>
  <c r="H1322" i="1"/>
  <c r="I1322" i="1" s="1"/>
  <c r="J1322" i="1" s="1"/>
  <c r="H1321" i="1"/>
  <c r="I1321" i="1" s="1"/>
  <c r="J1321" i="1" s="1"/>
  <c r="H1320" i="1"/>
  <c r="I1320" i="1" s="1"/>
  <c r="J1320" i="1" s="1"/>
  <c r="H1319" i="1"/>
  <c r="I1319" i="1" s="1"/>
  <c r="J1319" i="1" s="1"/>
  <c r="L1319" i="1" s="1"/>
  <c r="H1318" i="1"/>
  <c r="I1318" i="1" s="1"/>
  <c r="H1317" i="1"/>
  <c r="E1322" i="1"/>
  <c r="E1321" i="1"/>
  <c r="E1320" i="1"/>
  <c r="E1319" i="1"/>
  <c r="E1318" i="1"/>
  <c r="H1315" i="1"/>
  <c r="I1316" i="1"/>
  <c r="J1316" i="1" s="1"/>
  <c r="L1316" i="1" s="1"/>
  <c r="E1316" i="1"/>
  <c r="H1314" i="1"/>
  <c r="I1314" i="1" s="1"/>
  <c r="J1314" i="1" s="1"/>
  <c r="L1314" i="1" s="1"/>
  <c r="H1313" i="1"/>
  <c r="I1313" i="1" s="1"/>
  <c r="J1313" i="1" s="1"/>
  <c r="L1313" i="1" s="1"/>
  <c r="H1312" i="1"/>
  <c r="I1312" i="1" s="1"/>
  <c r="H1311" i="1"/>
  <c r="I1311" i="1" s="1"/>
  <c r="J1311" i="1" s="1"/>
  <c r="L1311" i="1" s="1"/>
  <c r="E1314" i="1"/>
  <c r="E1313" i="1"/>
  <c r="E1312" i="1"/>
  <c r="E1311" i="1"/>
  <c r="I1308" i="1"/>
  <c r="J1308" i="1" s="1"/>
  <c r="E1308" i="1"/>
  <c r="I1307" i="1"/>
  <c r="J1307" i="1" s="1"/>
  <c r="E1307" i="1"/>
  <c r="H1287" i="1"/>
  <c r="I1287" i="1" s="1"/>
  <c r="J1287" i="1" s="1"/>
  <c r="H1304" i="1"/>
  <c r="I1304" i="1" s="1"/>
  <c r="J1304" i="1" s="1"/>
  <c r="L1304" i="1" s="1"/>
  <c r="H1301" i="1"/>
  <c r="I1301" i="1" s="1"/>
  <c r="J1301" i="1" s="1"/>
  <c r="L1301" i="1" s="1"/>
  <c r="H1300" i="1"/>
  <c r="I1300" i="1" s="1"/>
  <c r="H1296" i="1"/>
  <c r="I1296" i="1" s="1"/>
  <c r="J1296" i="1" s="1"/>
  <c r="L1296" i="1" s="1"/>
  <c r="H1295" i="1"/>
  <c r="I1295" i="1" s="1"/>
  <c r="J1295" i="1" s="1"/>
  <c r="L1295" i="1" s="1"/>
  <c r="H1292" i="1"/>
  <c r="I1292" i="1" s="1"/>
  <c r="J1292" i="1" s="1"/>
  <c r="H1291" i="1"/>
  <c r="I1291" i="1" s="1"/>
  <c r="J1291" i="1" s="1"/>
  <c r="H1288" i="1"/>
  <c r="I1288" i="1" s="1"/>
  <c r="J1288" i="1" s="1"/>
  <c r="I1305" i="1"/>
  <c r="J1305" i="1" s="1"/>
  <c r="L1305" i="1" s="1"/>
  <c r="E1305" i="1"/>
  <c r="E1304" i="1"/>
  <c r="I1303" i="1"/>
  <c r="E1303" i="1"/>
  <c r="I1302" i="1"/>
  <c r="J1302" i="1" s="1"/>
  <c r="L1302" i="1" s="1"/>
  <c r="E1302" i="1"/>
  <c r="E1301" i="1"/>
  <c r="E1300" i="1"/>
  <c r="I1299" i="1"/>
  <c r="J1299" i="1" s="1"/>
  <c r="L1299" i="1" s="1"/>
  <c r="E1299" i="1"/>
  <c r="I1298" i="1"/>
  <c r="J1298" i="1" s="1"/>
  <c r="L1298" i="1" s="1"/>
  <c r="E1298" i="1"/>
  <c r="I1297" i="1"/>
  <c r="E1297" i="1"/>
  <c r="E1296" i="1"/>
  <c r="E1295" i="1"/>
  <c r="I1294" i="1"/>
  <c r="E1294" i="1"/>
  <c r="I1293" i="1"/>
  <c r="J1293" i="1" s="1"/>
  <c r="L1293" i="1" s="1"/>
  <c r="E1293" i="1"/>
  <c r="E1292" i="1"/>
  <c r="E1291" i="1"/>
  <c r="I1290" i="1"/>
  <c r="J1290" i="1" s="1"/>
  <c r="E1290" i="1"/>
  <c r="I1289" i="1"/>
  <c r="J1289" i="1" s="1"/>
  <c r="E1289" i="1"/>
  <c r="E1288" i="1"/>
  <c r="E1287" i="1"/>
  <c r="I1286" i="1"/>
  <c r="J1286" i="1" s="1"/>
  <c r="E1286" i="1"/>
  <c r="I1283" i="1"/>
  <c r="J1283" i="1" s="1"/>
  <c r="L1283" i="1" s="1"/>
  <c r="E1283" i="1"/>
  <c r="I1282" i="1"/>
  <c r="J1282" i="1" s="1"/>
  <c r="L1282" i="1" s="1"/>
  <c r="E1282" i="1"/>
  <c r="H1280" i="1"/>
  <c r="I1279" i="1"/>
  <c r="E1279" i="1"/>
  <c r="I1278" i="1"/>
  <c r="E1278" i="1"/>
  <c r="I1276" i="1"/>
  <c r="E1276" i="1"/>
  <c r="I1275" i="1"/>
  <c r="E1275" i="1"/>
  <c r="I1273" i="1"/>
  <c r="J1273" i="1" s="1"/>
  <c r="E1273" i="1"/>
  <c r="I1272" i="1"/>
  <c r="E1272" i="1"/>
  <c r="I1265" i="1"/>
  <c r="J1265" i="1" s="1"/>
  <c r="E1265" i="1"/>
  <c r="I1262" i="1"/>
  <c r="E1262" i="1"/>
  <c r="I1260" i="1"/>
  <c r="J1260" i="1" s="1"/>
  <c r="E1260" i="1"/>
  <c r="I1259" i="1"/>
  <c r="J1259" i="1" s="1"/>
  <c r="E1259" i="1"/>
  <c r="I1258" i="1"/>
  <c r="J1258" i="1" s="1"/>
  <c r="E1258" i="1"/>
  <c r="I1256" i="1"/>
  <c r="J1256" i="1" s="1"/>
  <c r="L1256" i="1" s="1"/>
  <c r="E1256" i="1"/>
  <c r="I1255" i="1"/>
  <c r="E1255" i="1"/>
  <c r="I1254" i="1"/>
  <c r="E1254" i="1"/>
  <c r="I1253" i="1"/>
  <c r="J1253" i="1" s="1"/>
  <c r="L1253" i="1" s="1"/>
  <c r="E1253" i="1"/>
  <c r="I1252" i="1"/>
  <c r="E1252" i="1"/>
  <c r="I1251" i="1"/>
  <c r="E1251" i="1"/>
  <c r="H1245" i="1"/>
  <c r="I1245" i="1" s="1"/>
  <c r="J1245" i="1" s="1"/>
  <c r="H1247" i="1"/>
  <c r="I1247" i="1" s="1"/>
  <c r="J1247" i="1" s="1"/>
  <c r="L1247" i="1" s="1"/>
  <c r="H1246" i="1"/>
  <c r="I1246" i="1" s="1"/>
  <c r="J1246" i="1" s="1"/>
  <c r="H1244" i="1"/>
  <c r="I1244" i="1" s="1"/>
  <c r="H1243" i="1"/>
  <c r="E1247" i="1"/>
  <c r="E1246" i="1"/>
  <c r="E1245" i="1"/>
  <c r="E1244" i="1"/>
  <c r="I1242" i="1"/>
  <c r="E1242" i="1"/>
  <c r="I1241" i="1"/>
  <c r="E1241" i="1"/>
  <c r="I1239" i="1"/>
  <c r="E1239" i="1"/>
  <c r="I1238" i="1"/>
  <c r="E1238" i="1"/>
  <c r="I1236" i="1"/>
  <c r="J1236" i="1" s="1"/>
  <c r="L1236" i="1" s="1"/>
  <c r="E1236" i="1"/>
  <c r="I1235" i="1"/>
  <c r="E1235" i="1"/>
  <c r="I1234" i="1"/>
  <c r="E1234" i="1"/>
  <c r="I1232" i="1"/>
  <c r="E1232" i="1"/>
  <c r="I1231" i="1"/>
  <c r="E1231" i="1"/>
  <c r="I1229" i="1"/>
  <c r="J1229" i="1" s="1"/>
  <c r="E1229" i="1"/>
  <c r="I1226" i="1"/>
  <c r="J1226" i="1" s="1"/>
  <c r="L1226" i="1" s="1"/>
  <c r="E1226" i="1"/>
  <c r="I1225" i="1"/>
  <c r="L1225" i="1" s="1"/>
  <c r="E1225" i="1"/>
  <c r="I1224" i="1"/>
  <c r="E1224" i="1"/>
  <c r="I1222" i="1"/>
  <c r="E1222" i="1"/>
  <c r="H1221" i="1"/>
  <c r="I1221" i="1" s="1"/>
  <c r="E1221" i="1"/>
  <c r="I1219" i="1"/>
  <c r="J1219" i="1" s="1"/>
  <c r="L1219" i="1" s="1"/>
  <c r="E1219" i="1"/>
  <c r="I1218" i="1"/>
  <c r="E1218" i="1"/>
  <c r="I1217" i="1"/>
  <c r="E1217" i="1"/>
  <c r="I1216" i="1"/>
  <c r="J1216" i="1" s="1"/>
  <c r="L1216" i="1" s="1"/>
  <c r="E1216" i="1"/>
  <c r="J1212" i="1"/>
  <c r="J1211" i="1"/>
  <c r="J1210" i="1"/>
  <c r="I1212" i="1"/>
  <c r="E1212" i="1"/>
  <c r="I1211" i="1"/>
  <c r="E1211" i="1"/>
  <c r="J1209" i="1"/>
  <c r="J1208" i="1"/>
  <c r="J1207" i="1"/>
  <c r="J1206" i="1"/>
  <c r="J1205" i="1"/>
  <c r="J1204" i="1"/>
  <c r="H1206" i="1"/>
  <c r="I1206" i="1" s="1"/>
  <c r="H1205" i="1"/>
  <c r="I1205" i="1" s="1"/>
  <c r="H1209" i="1"/>
  <c r="I1209" i="1" s="1"/>
  <c r="H1208" i="1"/>
  <c r="I1208" i="1" s="1"/>
  <c r="H1207" i="1"/>
  <c r="I1207" i="1" s="1"/>
  <c r="H1204" i="1"/>
  <c r="E1209" i="1"/>
  <c r="E1208" i="1"/>
  <c r="E1207" i="1"/>
  <c r="E1206" i="1"/>
  <c r="E1205" i="1"/>
  <c r="I1201" i="1"/>
  <c r="E1201" i="1"/>
  <c r="I1200" i="1"/>
  <c r="E1200" i="1"/>
  <c r="I1199" i="1"/>
  <c r="E1199" i="1"/>
  <c r="I1198" i="1"/>
  <c r="E1198" i="1"/>
  <c r="H1196" i="1"/>
  <c r="I1196" i="1" s="1"/>
  <c r="J1196" i="1" s="1"/>
  <c r="H1195" i="1"/>
  <c r="E1196" i="1"/>
  <c r="L1359" i="1" l="1"/>
  <c r="L1365" i="1"/>
  <c r="L1360" i="1"/>
  <c r="L1358" i="1"/>
  <c r="L1361" i="1"/>
  <c r="L1362" i="1"/>
  <c r="L1368" i="1"/>
  <c r="L1357" i="1"/>
  <c r="L1436" i="1"/>
  <c r="J1435" i="1"/>
  <c r="L1435" i="1" s="1"/>
  <c r="J1434" i="1"/>
  <c r="L1434" i="1" s="1"/>
  <c r="J1433" i="1"/>
  <c r="L1433" i="1" s="1"/>
  <c r="L1430" i="1"/>
  <c r="L1431" i="1"/>
  <c r="L1427" i="1"/>
  <c r="J1426" i="1"/>
  <c r="L1426" i="1" s="1"/>
  <c r="J1425" i="1"/>
  <c r="L1425" i="1" s="1"/>
  <c r="J1420" i="1"/>
  <c r="L1420" i="1" s="1"/>
  <c r="L1417" i="1"/>
  <c r="J1416" i="1"/>
  <c r="L1416" i="1" s="1"/>
  <c r="L1410" i="1"/>
  <c r="J1415" i="1"/>
  <c r="L1415" i="1" s="1"/>
  <c r="J1413" i="1"/>
  <c r="L1413" i="1" s="1"/>
  <c r="J1411" i="1"/>
  <c r="L1411" i="1" s="1"/>
  <c r="J1414" i="1"/>
  <c r="L1414" i="1" s="1"/>
  <c r="L1408" i="1"/>
  <c r="L1404" i="1"/>
  <c r="J1405" i="1"/>
  <c r="L1405" i="1" s="1"/>
  <c r="J1406" i="1"/>
  <c r="L1406" i="1" s="1"/>
  <c r="J1403" i="1"/>
  <c r="L1403" i="1" s="1"/>
  <c r="J1400" i="1"/>
  <c r="L1400" i="1" s="1"/>
  <c r="J1398" i="1"/>
  <c r="L1398" i="1" s="1"/>
  <c r="J1387" i="1"/>
  <c r="L1387" i="1" s="1"/>
  <c r="J1384" i="1"/>
  <c r="L1384" i="1" s="1"/>
  <c r="L1377" i="1"/>
  <c r="J1370" i="1"/>
  <c r="L1370" i="1" s="1"/>
  <c r="L1366" i="1"/>
  <c r="L1363" i="1"/>
  <c r="L1364" i="1"/>
  <c r="L1371" i="1"/>
  <c r="J1349" i="1"/>
  <c r="L1349" i="1" s="1"/>
  <c r="L1353" i="1"/>
  <c r="J1345" i="1"/>
  <c r="L1345" i="1" s="1"/>
  <c r="J1348" i="1"/>
  <c r="L1348" i="1" s="1"/>
  <c r="J1351" i="1"/>
  <c r="L1351" i="1" s="1"/>
  <c r="L1343" i="1"/>
  <c r="J1346" i="1"/>
  <c r="L1346" i="1" s="1"/>
  <c r="J1352" i="1"/>
  <c r="L1352" i="1" s="1"/>
  <c r="J1344" i="1"/>
  <c r="L1344" i="1" s="1"/>
  <c r="J1347" i="1"/>
  <c r="L1347" i="1" s="1"/>
  <c r="J1350" i="1"/>
  <c r="L1350" i="1" s="1"/>
  <c r="L1341" i="1"/>
  <c r="J1338" i="1"/>
  <c r="L1338" i="1" s="1"/>
  <c r="J1335" i="1"/>
  <c r="L1335" i="1" s="1"/>
  <c r="L1332" i="1"/>
  <c r="L1329" i="1"/>
  <c r="L1333" i="1"/>
  <c r="L1339" i="1"/>
  <c r="J1336" i="1"/>
  <c r="L1336" i="1" s="1"/>
  <c r="L1330" i="1"/>
  <c r="L1325" i="1"/>
  <c r="J1326" i="1"/>
  <c r="L1326" i="1" s="1"/>
  <c r="J1327" i="1"/>
  <c r="L1327" i="1" s="1"/>
  <c r="L1322" i="1"/>
  <c r="J1318" i="1"/>
  <c r="L1318" i="1" s="1"/>
  <c r="L1321" i="1"/>
  <c r="L1320" i="1"/>
  <c r="J1312" i="1"/>
  <c r="L1312" i="1" s="1"/>
  <c r="L1308" i="1"/>
  <c r="L1307" i="1"/>
  <c r="L1292" i="1"/>
  <c r="L1290" i="1"/>
  <c r="L1289" i="1"/>
  <c r="L1287" i="1"/>
  <c r="L1286" i="1"/>
  <c r="J1294" i="1"/>
  <c r="L1294" i="1" s="1"/>
  <c r="L1288" i="1"/>
  <c r="L1291" i="1"/>
  <c r="J1297" i="1"/>
  <c r="L1297" i="1" s="1"/>
  <c r="J1300" i="1"/>
  <c r="L1300" i="1" s="1"/>
  <c r="J1303" i="1"/>
  <c r="L1303" i="1" s="1"/>
  <c r="J1279" i="1"/>
  <c r="L1279" i="1" s="1"/>
  <c r="J1278" i="1"/>
  <c r="L1278" i="1" s="1"/>
  <c r="J1275" i="1"/>
  <c r="L1275" i="1" s="1"/>
  <c r="J1276" i="1"/>
  <c r="L1276" i="1" s="1"/>
  <c r="L1273" i="1"/>
  <c r="J1272" i="1"/>
  <c r="L1272" i="1" s="1"/>
  <c r="J1244" i="1"/>
  <c r="L1244" i="1" s="1"/>
  <c r="L1265" i="1"/>
  <c r="J1262" i="1"/>
  <c r="L1262" i="1" s="1"/>
  <c r="L1260" i="1"/>
  <c r="L1258" i="1"/>
  <c r="L1259" i="1"/>
  <c r="J1255" i="1"/>
  <c r="L1255" i="1" s="1"/>
  <c r="J1252" i="1"/>
  <c r="L1252" i="1" s="1"/>
  <c r="J1251" i="1"/>
  <c r="L1251" i="1" s="1"/>
  <c r="J1254" i="1"/>
  <c r="L1254" i="1" s="1"/>
  <c r="L1245" i="1"/>
  <c r="L1246" i="1"/>
  <c r="J1241" i="1"/>
  <c r="L1241" i="1" s="1"/>
  <c r="J1242" i="1"/>
  <c r="L1242" i="1" s="1"/>
  <c r="J1238" i="1"/>
  <c r="L1238" i="1" s="1"/>
  <c r="J1239" i="1"/>
  <c r="L1239" i="1" s="1"/>
  <c r="J1235" i="1"/>
  <c r="L1235" i="1" s="1"/>
  <c r="J1234" i="1"/>
  <c r="L1234" i="1" s="1"/>
  <c r="J1231" i="1"/>
  <c r="L1231" i="1" s="1"/>
  <c r="J1232" i="1"/>
  <c r="L1232" i="1" s="1"/>
  <c r="L1229" i="1"/>
  <c r="L1224" i="1"/>
  <c r="J1222" i="1"/>
  <c r="L1222" i="1" s="1"/>
  <c r="J1221" i="1"/>
  <c r="L1221" i="1" s="1"/>
  <c r="J1218" i="1"/>
  <c r="L1218" i="1" s="1"/>
  <c r="J1217" i="1"/>
  <c r="L1217" i="1" s="1"/>
  <c r="L1212" i="1"/>
  <c r="L1211" i="1"/>
  <c r="L1206" i="1"/>
  <c r="L1208" i="1"/>
  <c r="L1205" i="1"/>
  <c r="L1207" i="1"/>
  <c r="L1209" i="1"/>
  <c r="J1198" i="1"/>
  <c r="L1198" i="1" s="1"/>
  <c r="L1200" i="1"/>
  <c r="L1199" i="1"/>
  <c r="J1201" i="1"/>
  <c r="L1201" i="1" s="1"/>
  <c r="L1196" i="1"/>
  <c r="I1192" i="1"/>
  <c r="J1192" i="1" s="1"/>
  <c r="E1192" i="1"/>
  <c r="I1191" i="1"/>
  <c r="J1191" i="1" s="1"/>
  <c r="E1191" i="1"/>
  <c r="I1190" i="1"/>
  <c r="J1190" i="1" s="1"/>
  <c r="E1190" i="1"/>
  <c r="I1189" i="1"/>
  <c r="J1189" i="1" s="1"/>
  <c r="E1189" i="1"/>
  <c r="I1188" i="1"/>
  <c r="J1188" i="1" s="1"/>
  <c r="E1188" i="1"/>
  <c r="H1183" i="1"/>
  <c r="I1183" i="1" s="1"/>
  <c r="H1185" i="1"/>
  <c r="I1185" i="1" s="1"/>
  <c r="H1186" i="1"/>
  <c r="I1186" i="1" s="1"/>
  <c r="J1186" i="1" s="1"/>
  <c r="H1184" i="1"/>
  <c r="I1184" i="1" s="1"/>
  <c r="H1182" i="1"/>
  <c r="E1186" i="1"/>
  <c r="E1185" i="1"/>
  <c r="E1184" i="1"/>
  <c r="E1183" i="1"/>
  <c r="H1181" i="1"/>
  <c r="I1181" i="1" s="1"/>
  <c r="J1181" i="1" s="1"/>
  <c r="H1180" i="1"/>
  <c r="I1180" i="1" s="1"/>
  <c r="J1180" i="1" s="1"/>
  <c r="H1179" i="1"/>
  <c r="I1179" i="1" s="1"/>
  <c r="J1179" i="1" s="1"/>
  <c r="H1178" i="1"/>
  <c r="I1178" i="1" s="1"/>
  <c r="J1178" i="1" s="1"/>
  <c r="H1177" i="1"/>
  <c r="E1181" i="1"/>
  <c r="E1180" i="1"/>
  <c r="E1179" i="1"/>
  <c r="E1178" i="1"/>
  <c r="H1176" i="1"/>
  <c r="I1176" i="1" s="1"/>
  <c r="H1175" i="1"/>
  <c r="I1175" i="1" s="1"/>
  <c r="J1175" i="1" s="1"/>
  <c r="H1174" i="1"/>
  <c r="I1174" i="1" s="1"/>
  <c r="H1173" i="1"/>
  <c r="I1173" i="1" s="1"/>
  <c r="H1172" i="1"/>
  <c r="I1172" i="1" s="1"/>
  <c r="I1171" i="1"/>
  <c r="I1170" i="1"/>
  <c r="J1170" i="1" s="1"/>
  <c r="L1170" i="1" s="1"/>
  <c r="E1176" i="1"/>
  <c r="E1175" i="1"/>
  <c r="E1174" i="1"/>
  <c r="E1173" i="1"/>
  <c r="E1172" i="1"/>
  <c r="E1171" i="1"/>
  <c r="H1168" i="1"/>
  <c r="I1168" i="1" s="1"/>
  <c r="J1168" i="1" s="1"/>
  <c r="H1169" i="1"/>
  <c r="I1169" i="1" s="1"/>
  <c r="J1169" i="1" s="1"/>
  <c r="H1167" i="1"/>
  <c r="I1167" i="1" s="1"/>
  <c r="J1167" i="1" s="1"/>
  <c r="H1166" i="1"/>
  <c r="I1166" i="1" s="1"/>
  <c r="J1166" i="1" s="1"/>
  <c r="H1165" i="1"/>
  <c r="I1165" i="1" s="1"/>
  <c r="J1165" i="1" s="1"/>
  <c r="E1169" i="1"/>
  <c r="E1168" i="1"/>
  <c r="E1167" i="1"/>
  <c r="E1166" i="1"/>
  <c r="E1165" i="1"/>
  <c r="I1164" i="1"/>
  <c r="J1164" i="1" s="1"/>
  <c r="E1164" i="1"/>
  <c r="I1162" i="1"/>
  <c r="J1162" i="1" s="1"/>
  <c r="E1162" i="1"/>
  <c r="I1161" i="1"/>
  <c r="J1161" i="1" s="1"/>
  <c r="E1161" i="1"/>
  <c r="I1160" i="1"/>
  <c r="J1160" i="1" s="1"/>
  <c r="E1160" i="1"/>
  <c r="I1158" i="1"/>
  <c r="E1158" i="1"/>
  <c r="I1157" i="1"/>
  <c r="E1157" i="1"/>
  <c r="I1155" i="1"/>
  <c r="E1155" i="1"/>
  <c r="I1154" i="1"/>
  <c r="E1154" i="1"/>
  <c r="I1152" i="1"/>
  <c r="J1152" i="1" s="1"/>
  <c r="E1152" i="1"/>
  <c r="G100" i="7"/>
  <c r="G107" i="7"/>
  <c r="I107" i="7" s="1"/>
  <c r="G122" i="7"/>
  <c r="G132" i="7"/>
  <c r="G131" i="7"/>
  <c r="G130" i="7"/>
  <c r="G129" i="7"/>
  <c r="G128" i="7"/>
  <c r="G127" i="7"/>
  <c r="G126" i="7"/>
  <c r="G125" i="7"/>
  <c r="G124" i="7"/>
  <c r="G123" i="7"/>
  <c r="G110" i="7"/>
  <c r="I110" i="7" s="1"/>
  <c r="G109" i="7"/>
  <c r="I109" i="7" s="1"/>
  <c r="G108" i="7"/>
  <c r="I108" i="7" s="1"/>
  <c r="DI99" i="7"/>
  <c r="G106" i="7"/>
  <c r="I106" i="7" s="1"/>
  <c r="G105" i="7"/>
  <c r="I105" i="7" s="1"/>
  <c r="G104" i="7"/>
  <c r="I104" i="7" s="1"/>
  <c r="G103" i="7"/>
  <c r="I103" i="7" s="1"/>
  <c r="G102" i="7"/>
  <c r="I102" i="7" s="1"/>
  <c r="G101" i="7"/>
  <c r="I101" i="7" s="1"/>
  <c r="BL119" i="7"/>
  <c r="K119" i="7"/>
  <c r="L119" i="7" s="1"/>
  <c r="I119" i="7"/>
  <c r="A119" i="7"/>
  <c r="BL118" i="7"/>
  <c r="K118" i="7"/>
  <c r="L118" i="7" s="1"/>
  <c r="I118" i="7"/>
  <c r="A118" i="7"/>
  <c r="BL117" i="7"/>
  <c r="K117" i="7"/>
  <c r="L117" i="7" s="1"/>
  <c r="I117" i="7"/>
  <c r="BK117" i="7" s="1"/>
  <c r="A117" i="7"/>
  <c r="BL116" i="7"/>
  <c r="K116" i="7"/>
  <c r="L116" i="7" s="1"/>
  <c r="I116" i="7"/>
  <c r="BK116" i="7" s="1"/>
  <c r="A116" i="7"/>
  <c r="BL115" i="7"/>
  <c r="K115" i="7"/>
  <c r="L115" i="7" s="1"/>
  <c r="I115" i="7"/>
  <c r="A115" i="7"/>
  <c r="BL114" i="7"/>
  <c r="K114" i="7"/>
  <c r="L114" i="7" s="1"/>
  <c r="I114" i="7"/>
  <c r="A114" i="7"/>
  <c r="BL113" i="7"/>
  <c r="K113" i="7"/>
  <c r="L113" i="7" s="1"/>
  <c r="I113" i="7"/>
  <c r="BK113" i="7" s="1"/>
  <c r="A113" i="7"/>
  <c r="BL112" i="7"/>
  <c r="K112" i="7"/>
  <c r="L112" i="7" s="1"/>
  <c r="I112" i="7"/>
  <c r="A112" i="7"/>
  <c r="BL111" i="7"/>
  <c r="K111" i="7"/>
  <c r="L111" i="7" s="1"/>
  <c r="I111" i="7"/>
  <c r="BK111" i="7" s="1"/>
  <c r="A111" i="7"/>
  <c r="BL110" i="7"/>
  <c r="K110" i="7"/>
  <c r="L110" i="7" s="1"/>
  <c r="A110" i="7"/>
  <c r="BL109" i="7"/>
  <c r="K109" i="7"/>
  <c r="L109" i="7" s="1"/>
  <c r="A109" i="7"/>
  <c r="BL108" i="7"/>
  <c r="K108" i="7"/>
  <c r="L108" i="7" s="1"/>
  <c r="A108" i="7"/>
  <c r="K107" i="7"/>
  <c r="A107" i="7"/>
  <c r="BL106" i="7"/>
  <c r="K106" i="7"/>
  <c r="L106" i="7" s="1"/>
  <c r="A106" i="7"/>
  <c r="BL105" i="7"/>
  <c r="K105" i="7"/>
  <c r="L105" i="7" s="1"/>
  <c r="A105" i="7"/>
  <c r="BL104" i="7"/>
  <c r="K104" i="7"/>
  <c r="L104" i="7" s="1"/>
  <c r="A104" i="7"/>
  <c r="BL103" i="7"/>
  <c r="K103" i="7"/>
  <c r="L103" i="7" s="1"/>
  <c r="A103" i="7"/>
  <c r="BL102" i="7"/>
  <c r="K102" i="7"/>
  <c r="L102" i="7" s="1"/>
  <c r="A102" i="7"/>
  <c r="BL101" i="7"/>
  <c r="K101" i="7"/>
  <c r="L101" i="7" s="1"/>
  <c r="A101" i="7"/>
  <c r="BL100" i="7"/>
  <c r="K100" i="7"/>
  <c r="L100" i="7" s="1"/>
  <c r="I100" i="7"/>
  <c r="A100" i="7"/>
  <c r="DC99" i="7"/>
  <c r="DB99" i="7"/>
  <c r="CU99" i="7"/>
  <c r="CT99" i="7"/>
  <c r="CM99" i="7"/>
  <c r="CL99" i="7"/>
  <c r="CE99" i="7"/>
  <c r="CD99" i="7"/>
  <c r="BW99" i="7"/>
  <c r="BV99" i="7"/>
  <c r="BO99" i="7"/>
  <c r="BN99" i="7"/>
  <c r="BC99" i="7"/>
  <c r="BB99" i="7"/>
  <c r="AU99" i="7"/>
  <c r="AT99" i="7"/>
  <c r="AM99" i="7"/>
  <c r="AL99" i="7"/>
  <c r="AE99" i="7"/>
  <c r="AD99" i="7"/>
  <c r="W99" i="7"/>
  <c r="V99" i="7"/>
  <c r="O99" i="7"/>
  <c r="N99" i="7"/>
  <c r="A120" i="7" l="1"/>
  <c r="BK115" i="7"/>
  <c r="BK103" i="7"/>
  <c r="BK104" i="7"/>
  <c r="BK119" i="7"/>
  <c r="BK101" i="7"/>
  <c r="BK105" i="7"/>
  <c r="BK108" i="7"/>
  <c r="BK109" i="7"/>
  <c r="L1160" i="1"/>
  <c r="J1185" i="1"/>
  <c r="L1185" i="1" s="1"/>
  <c r="J1183" i="1"/>
  <c r="L1183" i="1" s="1"/>
  <c r="J1184" i="1"/>
  <c r="L1184" i="1" s="1"/>
  <c r="L1192" i="1"/>
  <c r="L1190" i="1"/>
  <c r="L1188" i="1"/>
  <c r="L1191" i="1"/>
  <c r="L1189" i="1"/>
  <c r="L1186" i="1"/>
  <c r="L1179" i="1"/>
  <c r="L1178" i="1"/>
  <c r="L1180" i="1"/>
  <c r="L1181" i="1"/>
  <c r="J1172" i="1"/>
  <c r="L1172" i="1" s="1"/>
  <c r="J1173" i="1"/>
  <c r="L1173" i="1" s="1"/>
  <c r="J1174" i="1"/>
  <c r="L1174" i="1" s="1"/>
  <c r="J1176" i="1"/>
  <c r="L1176" i="1" s="1"/>
  <c r="L1175" i="1"/>
  <c r="J1171" i="1"/>
  <c r="L1171" i="1" s="1"/>
  <c r="L1164" i="1"/>
  <c r="L1166" i="1"/>
  <c r="L1168" i="1"/>
  <c r="L1165" i="1"/>
  <c r="L1167" i="1"/>
  <c r="L1169" i="1"/>
  <c r="L1161" i="1"/>
  <c r="L1162" i="1"/>
  <c r="J1158" i="1"/>
  <c r="L1158" i="1" s="1"/>
  <c r="J1157" i="1"/>
  <c r="L1157" i="1" s="1"/>
  <c r="J1155" i="1"/>
  <c r="L1155" i="1" s="1"/>
  <c r="J1154" i="1"/>
  <c r="L1154" i="1" s="1"/>
  <c r="L1152" i="1"/>
  <c r="BK110" i="7"/>
  <c r="X99" i="7"/>
  <c r="AV99" i="7"/>
  <c r="L107" i="7"/>
  <c r="L99" i="7" s="1"/>
  <c r="Y99" i="7"/>
  <c r="AW99" i="7"/>
  <c r="BQ99" i="7"/>
  <c r="CG99" i="7"/>
  <c r="CW99" i="7"/>
  <c r="BL107" i="7"/>
  <c r="BK107" i="7" s="1"/>
  <c r="BK114" i="7"/>
  <c r="R99" i="7"/>
  <c r="AH99" i="7"/>
  <c r="AX99" i="7"/>
  <c r="BF99" i="7"/>
  <c r="BZ99" i="7"/>
  <c r="CH99" i="7"/>
  <c r="CP99" i="7"/>
  <c r="CX99" i="7"/>
  <c r="DF99" i="7"/>
  <c r="S99" i="7"/>
  <c r="AA99" i="7"/>
  <c r="AI99" i="7"/>
  <c r="AQ99" i="7"/>
  <c r="AY99" i="7"/>
  <c r="BG99" i="7"/>
  <c r="BS99" i="7"/>
  <c r="CA99" i="7"/>
  <c r="CI99" i="7"/>
  <c r="CQ99" i="7"/>
  <c r="CY99" i="7"/>
  <c r="DG99" i="7"/>
  <c r="BK102" i="7"/>
  <c r="BK118" i="7"/>
  <c r="T99" i="7"/>
  <c r="AB99" i="7"/>
  <c r="AJ99" i="7"/>
  <c r="AR99" i="7"/>
  <c r="AZ99" i="7"/>
  <c r="BH99" i="7"/>
  <c r="BT99" i="7"/>
  <c r="CB99" i="7"/>
  <c r="CJ99" i="7"/>
  <c r="CR99" i="7"/>
  <c r="CZ99" i="7"/>
  <c r="DH99" i="7"/>
  <c r="I99" i="7"/>
  <c r="P99" i="7"/>
  <c r="AF99" i="7"/>
  <c r="AN99" i="7"/>
  <c r="BD99" i="7"/>
  <c r="BP99" i="7"/>
  <c r="BX99" i="7"/>
  <c r="CF99" i="7"/>
  <c r="CN99" i="7"/>
  <c r="CV99" i="7"/>
  <c r="DD99" i="7"/>
  <c r="Q99" i="7"/>
  <c r="AG99" i="7"/>
  <c r="AO99" i="7"/>
  <c r="BE99" i="7"/>
  <c r="BY99" i="7"/>
  <c r="CO99" i="7"/>
  <c r="DE99" i="7"/>
  <c r="Z99" i="7"/>
  <c r="AP99" i="7"/>
  <c r="BR99" i="7"/>
  <c r="A99" i="7"/>
  <c r="U99" i="7"/>
  <c r="AC99" i="7"/>
  <c r="AK99" i="7"/>
  <c r="AS99" i="7"/>
  <c r="BA99" i="7"/>
  <c r="BI99" i="7"/>
  <c r="BU99" i="7"/>
  <c r="CC99" i="7"/>
  <c r="CK99" i="7"/>
  <c r="CS99" i="7"/>
  <c r="DA99" i="7"/>
  <c r="BK106" i="7"/>
  <c r="BK112" i="7"/>
  <c r="BK100" i="7"/>
  <c r="I1148" i="1"/>
  <c r="J1148" i="1" s="1"/>
  <c r="E1148" i="1"/>
  <c r="I1147" i="1"/>
  <c r="J1147" i="1" s="1"/>
  <c r="E1147" i="1"/>
  <c r="I1146" i="1"/>
  <c r="J1146" i="1" s="1"/>
  <c r="E1146" i="1"/>
  <c r="I1145" i="1"/>
  <c r="J1145" i="1" s="1"/>
  <c r="E1145" i="1"/>
  <c r="I1144" i="1"/>
  <c r="J1144" i="1" s="1"/>
  <c r="E1144" i="1"/>
  <c r="I1143" i="1"/>
  <c r="J1143" i="1" s="1"/>
  <c r="E1143" i="1"/>
  <c r="I1142" i="1"/>
  <c r="J1142" i="1" s="1"/>
  <c r="E1142" i="1"/>
  <c r="I1141" i="1"/>
  <c r="J1141" i="1" s="1"/>
  <c r="E1141" i="1"/>
  <c r="I1140" i="1"/>
  <c r="J1140" i="1" s="1"/>
  <c r="E1140" i="1"/>
  <c r="I1139" i="1"/>
  <c r="J1139" i="1" s="1"/>
  <c r="E1139" i="1"/>
  <c r="I1138" i="1"/>
  <c r="J1138" i="1" s="1"/>
  <c r="E1138" i="1"/>
  <c r="I1137" i="1"/>
  <c r="J1137" i="1" s="1"/>
  <c r="E1137" i="1"/>
  <c r="I1136" i="1"/>
  <c r="J1136" i="1" s="1"/>
  <c r="E1136" i="1"/>
  <c r="I1135" i="1"/>
  <c r="J1135" i="1" s="1"/>
  <c r="E1135" i="1"/>
  <c r="I1134" i="1"/>
  <c r="J1134" i="1" s="1"/>
  <c r="E1134" i="1"/>
  <c r="H1132" i="1"/>
  <c r="I1132" i="1" s="1"/>
  <c r="J1132" i="1" s="1"/>
  <c r="H1131" i="1"/>
  <c r="I1131" i="1" s="1"/>
  <c r="J1131" i="1" s="1"/>
  <c r="H1130" i="1"/>
  <c r="I1130" i="1" s="1"/>
  <c r="J1130" i="1" s="1"/>
  <c r="H1129" i="1"/>
  <c r="I1129" i="1" s="1"/>
  <c r="J1129" i="1" s="1"/>
  <c r="H1128" i="1"/>
  <c r="I1128" i="1" s="1"/>
  <c r="J1128" i="1" s="1"/>
  <c r="H1127" i="1"/>
  <c r="I1127" i="1" s="1"/>
  <c r="J1127" i="1" s="1"/>
  <c r="H1125" i="1"/>
  <c r="I1125" i="1" s="1"/>
  <c r="J1125" i="1" s="1"/>
  <c r="H1126" i="1"/>
  <c r="I1126" i="1" s="1"/>
  <c r="J1126" i="1" s="1"/>
  <c r="H1124" i="1"/>
  <c r="E1132" i="1"/>
  <c r="E1131" i="1"/>
  <c r="E1130" i="1"/>
  <c r="E1129" i="1"/>
  <c r="E1128" i="1"/>
  <c r="E1127" i="1"/>
  <c r="E1126" i="1"/>
  <c r="E1125" i="1"/>
  <c r="I1123" i="1"/>
  <c r="E1123" i="1"/>
  <c r="I1122" i="1"/>
  <c r="E1122" i="1"/>
  <c r="I1121" i="1"/>
  <c r="E1121" i="1"/>
  <c r="I1120" i="1"/>
  <c r="E1120" i="1"/>
  <c r="I1119" i="1"/>
  <c r="E1119" i="1"/>
  <c r="I1118" i="1"/>
  <c r="J1118" i="1" s="1"/>
  <c r="E1118" i="1"/>
  <c r="I1116" i="1"/>
  <c r="J1116" i="1" s="1"/>
  <c r="E1116" i="1"/>
  <c r="I1115" i="1"/>
  <c r="J1115" i="1" s="1"/>
  <c r="E1115" i="1"/>
  <c r="I1114" i="1"/>
  <c r="J1114" i="1" s="1"/>
  <c r="E1114" i="1"/>
  <c r="I1113" i="1"/>
  <c r="J1113" i="1" s="1"/>
  <c r="E1113" i="1"/>
  <c r="H1111" i="1"/>
  <c r="I1111" i="1" s="1"/>
  <c r="H1110" i="1"/>
  <c r="I1110" i="1" s="1"/>
  <c r="H1109" i="1"/>
  <c r="I1109" i="1" s="1"/>
  <c r="L1109" i="1" s="1"/>
  <c r="H1108" i="1"/>
  <c r="I1108" i="1" s="1"/>
  <c r="H1107" i="1"/>
  <c r="E1111" i="1"/>
  <c r="E1110" i="1"/>
  <c r="E1109" i="1"/>
  <c r="E1108" i="1"/>
  <c r="I1105" i="1"/>
  <c r="E1105" i="1"/>
  <c r="I1104" i="1"/>
  <c r="E1104" i="1"/>
  <c r="I1102" i="1"/>
  <c r="E1102" i="1"/>
  <c r="I1101" i="1"/>
  <c r="E1101" i="1"/>
  <c r="I1100" i="1"/>
  <c r="J1100" i="1" s="1"/>
  <c r="L1100" i="1" s="1"/>
  <c r="E1100" i="1"/>
  <c r="I1099" i="1"/>
  <c r="E1099" i="1"/>
  <c r="I1098" i="1"/>
  <c r="J1098" i="1" s="1"/>
  <c r="L1098" i="1" s="1"/>
  <c r="E1098" i="1"/>
  <c r="I1097" i="1"/>
  <c r="E1097" i="1"/>
  <c r="I1094" i="1"/>
  <c r="E1094" i="1"/>
  <c r="I1093" i="1"/>
  <c r="E1093" i="1"/>
  <c r="BL99" i="7" l="1"/>
  <c r="BK99" i="7" s="1"/>
  <c r="L1134" i="1"/>
  <c r="L1146" i="1"/>
  <c r="L1139" i="1"/>
  <c r="L1140" i="1"/>
  <c r="L1144" i="1"/>
  <c r="L1148" i="1"/>
  <c r="L1136" i="1"/>
  <c r="L1141" i="1"/>
  <c r="L1138" i="1"/>
  <c r="L1147" i="1"/>
  <c r="L1143" i="1"/>
  <c r="L1145" i="1"/>
  <c r="L1142" i="1"/>
  <c r="L1137" i="1"/>
  <c r="L1135" i="1"/>
  <c r="L1125" i="1"/>
  <c r="L1127" i="1"/>
  <c r="L1129" i="1"/>
  <c r="L1131" i="1"/>
  <c r="L1126" i="1"/>
  <c r="L1128" i="1"/>
  <c r="L1130" i="1"/>
  <c r="L1132" i="1"/>
  <c r="J1121" i="1"/>
  <c r="L1121" i="1" s="1"/>
  <c r="J1123" i="1"/>
  <c r="L1123" i="1" s="1"/>
  <c r="J1120" i="1"/>
  <c r="L1120" i="1" s="1"/>
  <c r="J1122" i="1"/>
  <c r="L1122" i="1" s="1"/>
  <c r="J1119" i="1"/>
  <c r="L1119" i="1" s="1"/>
  <c r="L1118" i="1"/>
  <c r="L1113" i="1"/>
  <c r="L1115" i="1"/>
  <c r="L1116" i="1"/>
  <c r="L1114" i="1"/>
  <c r="L1108" i="1"/>
  <c r="L1110" i="1"/>
  <c r="L1111" i="1"/>
  <c r="J1105" i="1"/>
  <c r="L1105" i="1" s="1"/>
  <c r="J1104" i="1"/>
  <c r="L1104" i="1" s="1"/>
  <c r="J1097" i="1"/>
  <c r="L1097" i="1" s="1"/>
  <c r="J1099" i="1"/>
  <c r="L1099" i="1" s="1"/>
  <c r="J1101" i="1"/>
  <c r="L1101" i="1" s="1"/>
  <c r="J1102" i="1"/>
  <c r="L1102" i="1" s="1"/>
  <c r="J1094" i="1"/>
  <c r="L1094" i="1" s="1"/>
  <c r="J1093" i="1"/>
  <c r="L1093" i="1" s="1"/>
  <c r="A426" i="7" l="1"/>
  <c r="A425" i="7"/>
  <c r="A424" i="7"/>
  <c r="A423" i="7"/>
  <c r="A422" i="7"/>
  <c r="A421" i="7"/>
  <c r="A420" i="7"/>
  <c r="A419" i="7"/>
  <c r="A418" i="7"/>
  <c r="A417" i="7"/>
  <c r="A414" i="7"/>
  <c r="A413" i="7"/>
  <c r="A412" i="7"/>
  <c r="A411" i="7"/>
  <c r="A410" i="7"/>
  <c r="A409" i="7"/>
  <c r="A408" i="7"/>
  <c r="A407" i="7"/>
  <c r="A406" i="7"/>
  <c r="A405" i="7"/>
  <c r="A402" i="7"/>
  <c r="A401" i="7"/>
  <c r="A400" i="7"/>
  <c r="A399" i="7"/>
  <c r="A398" i="7"/>
  <c r="A397" i="7"/>
  <c r="A396" i="7"/>
  <c r="A395" i="7"/>
  <c r="A394" i="7"/>
  <c r="A393" i="7"/>
  <c r="A390" i="7"/>
  <c r="A389" i="7"/>
  <c r="A388" i="7"/>
  <c r="A387" i="7"/>
  <c r="A386" i="7"/>
  <c r="A385" i="7"/>
  <c r="A384" i="7"/>
  <c r="A383" i="7"/>
  <c r="A382" i="7"/>
  <c r="A381" i="7"/>
  <c r="A378" i="7"/>
  <c r="A377" i="7"/>
  <c r="A376" i="7"/>
  <c r="A375" i="7"/>
  <c r="A374" i="7"/>
  <c r="A373" i="7"/>
  <c r="A372" i="7"/>
  <c r="A371" i="7"/>
  <c r="A370" i="7"/>
  <c r="A369" i="7"/>
  <c r="A368" i="7"/>
  <c r="A363" i="7"/>
  <c r="A362" i="7"/>
  <c r="A361" i="7"/>
  <c r="A360" i="7"/>
  <c r="A359" i="7"/>
  <c r="A358" i="7"/>
  <c r="A357" i="7"/>
  <c r="A356" i="7"/>
  <c r="A355" i="7"/>
  <c r="A354" i="7"/>
  <c r="A353" i="7"/>
  <c r="A352" i="7"/>
  <c r="A351" i="7"/>
  <c r="A350" i="7"/>
  <c r="A349" i="7"/>
  <c r="A348" i="7"/>
  <c r="A347" i="7"/>
  <c r="A346" i="7"/>
  <c r="A345" i="7"/>
  <c r="A344" i="7"/>
  <c r="A341" i="7"/>
  <c r="A340" i="7"/>
  <c r="A339" i="7"/>
  <c r="A338" i="7"/>
  <c r="A337" i="7"/>
  <c r="A336" i="7"/>
  <c r="A335" i="7"/>
  <c r="A334" i="7"/>
  <c r="A333" i="7"/>
  <c r="A332" i="7"/>
  <c r="A331" i="7"/>
  <c r="A330" i="7"/>
  <c r="A329" i="7"/>
  <c r="A328" i="7"/>
  <c r="A327" i="7"/>
  <c r="A326" i="7"/>
  <c r="A325" i="7"/>
  <c r="A324" i="7"/>
  <c r="A323" i="7"/>
  <c r="A322" i="7"/>
  <c r="A319" i="7"/>
  <c r="A318" i="7"/>
  <c r="A317" i="7"/>
  <c r="A316" i="7"/>
  <c r="A315" i="7"/>
  <c r="A314" i="7"/>
  <c r="A313" i="7"/>
  <c r="A312" i="7"/>
  <c r="A311" i="7"/>
  <c r="A310" i="7"/>
  <c r="A309" i="7"/>
  <c r="A308" i="7"/>
  <c r="A307" i="7"/>
  <c r="A306" i="7"/>
  <c r="A305" i="7"/>
  <c r="A304" i="7"/>
  <c r="A303" i="7"/>
  <c r="A302" i="7"/>
  <c r="A301" i="7"/>
  <c r="A300" i="7"/>
  <c r="A297" i="7"/>
  <c r="A296" i="7"/>
  <c r="A295" i="7"/>
  <c r="A294" i="7"/>
  <c r="A293" i="7"/>
  <c r="A292" i="7"/>
  <c r="A291" i="7"/>
  <c r="A290" i="7"/>
  <c r="A289" i="7"/>
  <c r="A288" i="7"/>
  <c r="A287" i="7"/>
  <c r="A286" i="7"/>
  <c r="A285" i="7"/>
  <c r="A284" i="7"/>
  <c r="A283" i="7"/>
  <c r="A282" i="7"/>
  <c r="A281" i="7"/>
  <c r="A280" i="7"/>
  <c r="A279" i="7"/>
  <c r="A278" i="7"/>
  <c r="A275" i="7"/>
  <c r="A274" i="7"/>
  <c r="A273" i="7"/>
  <c r="A272" i="7"/>
  <c r="A271" i="7"/>
  <c r="A270" i="7"/>
  <c r="A269" i="7"/>
  <c r="A268" i="7"/>
  <c r="A267" i="7"/>
  <c r="A266" i="7"/>
  <c r="A265" i="7"/>
  <c r="A264" i="7"/>
  <c r="A263" i="7"/>
  <c r="A262" i="7"/>
  <c r="A261" i="7"/>
  <c r="A260" i="7"/>
  <c r="A259" i="7"/>
  <c r="A258" i="7"/>
  <c r="A257" i="7"/>
  <c r="A256" i="7"/>
  <c r="A252" i="7"/>
  <c r="A251" i="7"/>
  <c r="A250" i="7"/>
  <c r="A249" i="7"/>
  <c r="A248" i="7"/>
  <c r="A247" i="7"/>
  <c r="A246" i="7"/>
  <c r="A245" i="7"/>
  <c r="A244" i="7"/>
  <c r="A243" i="7"/>
  <c r="A242" i="7"/>
  <c r="A241" i="7"/>
  <c r="A240" i="7"/>
  <c r="A239" i="7"/>
  <c r="A238" i="7"/>
  <c r="A237" i="7"/>
  <c r="A236" i="7"/>
  <c r="A235" i="7"/>
  <c r="A234" i="7"/>
  <c r="A233" i="7"/>
  <c r="A230" i="7"/>
  <c r="A229" i="7"/>
  <c r="A228" i="7"/>
  <c r="A227" i="7"/>
  <c r="A226" i="7"/>
  <c r="A225" i="7"/>
  <c r="A224" i="7"/>
  <c r="A223" i="7"/>
  <c r="A222" i="7"/>
  <c r="A221" i="7"/>
  <c r="A220" i="7"/>
  <c r="A219" i="7"/>
  <c r="A218" i="7"/>
  <c r="A217" i="7"/>
  <c r="A216" i="7"/>
  <c r="A215" i="7"/>
  <c r="A214" i="7"/>
  <c r="A213" i="7"/>
  <c r="A212" i="7"/>
  <c r="A211" i="7"/>
  <c r="A208" i="7"/>
  <c r="A207" i="7"/>
  <c r="A206" i="7"/>
  <c r="A205" i="7"/>
  <c r="A204" i="7"/>
  <c r="A203" i="7"/>
  <c r="A202" i="7"/>
  <c r="A201" i="7"/>
  <c r="A200" i="7"/>
  <c r="A199" i="7"/>
  <c r="A198" i="7"/>
  <c r="A197" i="7"/>
  <c r="A196" i="7"/>
  <c r="A195" i="7"/>
  <c r="A194" i="7"/>
  <c r="A193" i="7"/>
  <c r="A192" i="7"/>
  <c r="A191" i="7"/>
  <c r="A190" i="7"/>
  <c r="A189" i="7"/>
  <c r="A186" i="7"/>
  <c r="A185" i="7"/>
  <c r="A184" i="7"/>
  <c r="A183" i="7"/>
  <c r="A182" i="7"/>
  <c r="A181" i="7"/>
  <c r="A180" i="7"/>
  <c r="A179" i="7"/>
  <c r="A178" i="7"/>
  <c r="A177" i="7"/>
  <c r="A176" i="7"/>
  <c r="A175" i="7"/>
  <c r="A174" i="7"/>
  <c r="A173" i="7"/>
  <c r="A172" i="7"/>
  <c r="A171" i="7"/>
  <c r="A170" i="7"/>
  <c r="A169" i="7"/>
  <c r="A168" i="7"/>
  <c r="A167" i="7"/>
  <c r="A164" i="7"/>
  <c r="A163" i="7"/>
  <c r="A162" i="7"/>
  <c r="A161" i="7"/>
  <c r="A160" i="7"/>
  <c r="A159" i="7"/>
  <c r="A158" i="7"/>
  <c r="A157" i="7"/>
  <c r="A156" i="7"/>
  <c r="A155" i="7"/>
  <c r="A154" i="7"/>
  <c r="A153" i="7"/>
  <c r="A152" i="7"/>
  <c r="A151" i="7"/>
  <c r="A150" i="7"/>
  <c r="A149" i="7"/>
  <c r="A148" i="7"/>
  <c r="A147" i="7"/>
  <c r="A146" i="7"/>
  <c r="A145" i="7"/>
  <c r="A141" i="7"/>
  <c r="A140" i="7"/>
  <c r="A139" i="7"/>
  <c r="A138" i="7"/>
  <c r="A137" i="7"/>
  <c r="A136" i="7"/>
  <c r="A135" i="7"/>
  <c r="A134" i="7"/>
  <c r="A133" i="7"/>
  <c r="A132" i="7"/>
  <c r="A131" i="7"/>
  <c r="A130" i="7"/>
  <c r="A129" i="7"/>
  <c r="A128" i="7"/>
  <c r="A127" i="7"/>
  <c r="A126" i="7"/>
  <c r="A125" i="7"/>
  <c r="A124" i="7"/>
  <c r="A123" i="7"/>
  <c r="A122" i="7"/>
  <c r="A97" i="7"/>
  <c r="A96" i="7"/>
  <c r="A95" i="7"/>
  <c r="A94" i="7"/>
  <c r="A93" i="7"/>
  <c r="A92" i="7"/>
  <c r="A91" i="7"/>
  <c r="A90" i="7"/>
  <c r="A89" i="7"/>
  <c r="A88" i="7"/>
  <c r="A87" i="7"/>
  <c r="A86" i="7"/>
  <c r="A85" i="7"/>
  <c r="A84" i="7"/>
  <c r="A83" i="7"/>
  <c r="A82" i="7"/>
  <c r="A81" i="7"/>
  <c r="A80" i="7"/>
  <c r="A79" i="7"/>
  <c r="A78" i="7"/>
  <c r="A75" i="7"/>
  <c r="A74" i="7"/>
  <c r="A73" i="7"/>
  <c r="A72" i="7"/>
  <c r="A71" i="7"/>
  <c r="A70" i="7"/>
  <c r="A69" i="7"/>
  <c r="A68" i="7"/>
  <c r="A67" i="7"/>
  <c r="A66" i="7"/>
  <c r="A65" i="7"/>
  <c r="A64" i="7"/>
  <c r="A63" i="7"/>
  <c r="A62" i="7"/>
  <c r="A61" i="7"/>
  <c r="A60" i="7"/>
  <c r="A59" i="7"/>
  <c r="A58" i="7"/>
  <c r="A57" i="7"/>
  <c r="A56" i="7"/>
  <c r="A53" i="7"/>
  <c r="A52" i="7"/>
  <c r="A51" i="7"/>
  <c r="A50" i="7"/>
  <c r="A49" i="7"/>
  <c r="A48" i="7"/>
  <c r="A47" i="7"/>
  <c r="A46" i="7"/>
  <c r="A45" i="7"/>
  <c r="A44" i="7"/>
  <c r="A43" i="7"/>
  <c r="A42" i="7"/>
  <c r="A41" i="7"/>
  <c r="A40" i="7"/>
  <c r="A39" i="7"/>
  <c r="A38" i="7"/>
  <c r="A37" i="7"/>
  <c r="A36" i="7"/>
  <c r="A35" i="7"/>
  <c r="A34" i="7"/>
  <c r="BU256" i="7"/>
  <c r="A166" i="7" l="1"/>
  <c r="A55" i="7"/>
  <c r="A367" i="7"/>
  <c r="A380" i="7"/>
  <c r="A121" i="7"/>
  <c r="A54" i="7"/>
  <c r="A392" i="7"/>
  <c r="A277" i="7"/>
  <c r="A320" i="7"/>
  <c r="A403" i="7"/>
  <c r="A391" i="7"/>
  <c r="A415" i="7"/>
  <c r="A209" i="7"/>
  <c r="A255" i="7"/>
  <c r="A298" i="7"/>
  <c r="A276" i="7"/>
  <c r="A427" i="7"/>
  <c r="A165" i="7"/>
  <c r="A188" i="7"/>
  <c r="A33" i="7"/>
  <c r="A210" i="7"/>
  <c r="A98" i="7"/>
  <c r="A76" i="7"/>
  <c r="A144" i="7"/>
  <c r="A187" i="7"/>
  <c r="A321" i="7"/>
  <c r="A379" i="7"/>
  <c r="A253" i="7"/>
  <c r="A343" i="7"/>
  <c r="A232" i="7"/>
  <c r="A299" i="7"/>
  <c r="A364" i="7"/>
  <c r="A416" i="7"/>
  <c r="A404" i="7"/>
  <c r="A342" i="7"/>
  <c r="A231" i="7"/>
  <c r="A77" i="7"/>
  <c r="A142" i="7"/>
  <c r="A254" i="7" l="1"/>
  <c r="A143" i="7"/>
  <c r="BL378" i="7" l="1"/>
  <c r="K378" i="7"/>
  <c r="L378" i="7" s="1"/>
  <c r="I378" i="7"/>
  <c r="D378" i="7"/>
  <c r="BL377" i="7"/>
  <c r="K377" i="7"/>
  <c r="L377" i="7" s="1"/>
  <c r="I377" i="7"/>
  <c r="D377" i="7"/>
  <c r="BL376" i="7"/>
  <c r="K376" i="7"/>
  <c r="L376" i="7" s="1"/>
  <c r="I376" i="7"/>
  <c r="D376" i="7"/>
  <c r="D390" i="7"/>
  <c r="I390" i="7"/>
  <c r="K390" i="7"/>
  <c r="L390" i="7" s="1"/>
  <c r="BL390" i="7"/>
  <c r="BK390" i="7" l="1"/>
  <c r="BK376" i="7"/>
  <c r="BK377" i="7"/>
  <c r="BK378" i="7"/>
  <c r="I1091" i="1" l="1"/>
  <c r="E1091" i="1"/>
  <c r="I1090" i="1"/>
  <c r="E1090" i="1"/>
  <c r="I1086" i="1"/>
  <c r="E1086" i="1"/>
  <c r="H1084" i="1"/>
  <c r="I1084" i="1" s="1"/>
  <c r="J1084" i="1" s="1"/>
  <c r="H1083" i="1"/>
  <c r="I1087" i="1"/>
  <c r="E1087" i="1"/>
  <c r="I1085" i="1"/>
  <c r="J1085" i="1" s="1"/>
  <c r="E1085" i="1"/>
  <c r="E1084" i="1"/>
  <c r="I1082" i="1"/>
  <c r="E1082" i="1"/>
  <c r="I1080" i="1"/>
  <c r="E1080" i="1"/>
  <c r="J1077" i="1"/>
  <c r="H1077" i="1"/>
  <c r="I1076" i="1"/>
  <c r="J1076" i="1" s="1"/>
  <c r="E1076" i="1"/>
  <c r="I1075" i="1"/>
  <c r="J1075" i="1" s="1"/>
  <c r="E1075" i="1"/>
  <c r="I1074" i="1"/>
  <c r="J1074" i="1" s="1"/>
  <c r="E1074" i="1"/>
  <c r="I1073" i="1"/>
  <c r="J1073" i="1" s="1"/>
  <c r="E1073" i="1"/>
  <c r="I1072" i="1"/>
  <c r="J1072" i="1" s="1"/>
  <c r="E1072" i="1"/>
  <c r="I1071" i="1"/>
  <c r="J1071" i="1" s="1"/>
  <c r="E1071" i="1"/>
  <c r="I1070" i="1"/>
  <c r="J1070" i="1" s="1"/>
  <c r="E1070" i="1"/>
  <c r="I1065" i="1"/>
  <c r="E1065" i="1"/>
  <c r="I1063" i="1"/>
  <c r="J1063" i="1" s="1"/>
  <c r="E1063" i="1"/>
  <c r="I1062" i="1"/>
  <c r="J1062" i="1" s="1"/>
  <c r="E1062" i="1"/>
  <c r="I1061" i="1"/>
  <c r="J1061" i="1" s="1"/>
  <c r="E1061" i="1"/>
  <c r="I1060" i="1"/>
  <c r="J1060" i="1" s="1"/>
  <c r="E1060" i="1"/>
  <c r="H1051" i="1"/>
  <c r="I1051" i="1" s="1"/>
  <c r="H1050" i="1"/>
  <c r="I1057" i="1"/>
  <c r="E1057" i="1"/>
  <c r="I1056" i="1"/>
  <c r="J1056" i="1" s="1"/>
  <c r="L1056" i="1" s="1"/>
  <c r="E1056" i="1"/>
  <c r="I1055" i="1"/>
  <c r="E1055" i="1"/>
  <c r="I1054" i="1"/>
  <c r="J1054" i="1" s="1"/>
  <c r="L1054" i="1" s="1"/>
  <c r="E1054" i="1"/>
  <c r="I1053" i="1"/>
  <c r="E1053" i="1"/>
  <c r="I1052" i="1"/>
  <c r="J1052" i="1" s="1"/>
  <c r="L1052" i="1" s="1"/>
  <c r="E1052" i="1"/>
  <c r="E1051" i="1"/>
  <c r="J1049" i="1"/>
  <c r="I1048" i="1"/>
  <c r="J1048" i="1" s="1"/>
  <c r="E1048" i="1"/>
  <c r="I1047" i="1"/>
  <c r="E1047" i="1"/>
  <c r="H1045" i="1"/>
  <c r="J1044" i="1"/>
  <c r="H1044" i="1"/>
  <c r="I1041" i="1"/>
  <c r="E1041" i="1"/>
  <c r="I1040" i="1"/>
  <c r="J1040" i="1" s="1"/>
  <c r="E1040" i="1"/>
  <c r="I1038" i="1"/>
  <c r="J1038" i="1" s="1"/>
  <c r="E1038" i="1"/>
  <c r="I1037" i="1"/>
  <c r="E1037" i="1"/>
  <c r="I1033" i="1"/>
  <c r="J1033" i="1" s="1"/>
  <c r="E1033" i="1"/>
  <c r="I1032" i="1"/>
  <c r="J1032" i="1" s="1"/>
  <c r="E1032" i="1"/>
  <c r="H1029" i="1"/>
  <c r="G969" i="6"/>
  <c r="G970" i="6"/>
  <c r="G968" i="6"/>
  <c r="G967" i="6"/>
  <c r="G966" i="6"/>
  <c r="G965" i="6"/>
  <c r="G964" i="6"/>
  <c r="G963" i="6"/>
  <c r="G962" i="6"/>
  <c r="G961" i="6"/>
  <c r="I967" i="6"/>
  <c r="I966" i="6"/>
  <c r="J966" i="6" s="1"/>
  <c r="A966" i="6" s="1"/>
  <c r="H1028" i="1"/>
  <c r="H1027" i="1"/>
  <c r="H1025" i="1"/>
  <c r="I1024" i="1"/>
  <c r="J1024" i="1" s="1"/>
  <c r="E1024" i="1"/>
  <c r="H1021" i="1"/>
  <c r="I1020" i="1"/>
  <c r="E1020" i="1"/>
  <c r="I1017" i="1"/>
  <c r="E1017" i="1"/>
  <c r="E1012" i="1"/>
  <c r="I1009" i="1"/>
  <c r="E1009" i="1"/>
  <c r="H1006" i="1"/>
  <c r="I1007" i="1"/>
  <c r="E1007" i="1"/>
  <c r="H1002" i="1"/>
  <c r="I1002" i="1" s="1"/>
  <c r="J1002" i="1" s="1"/>
  <c r="H1001" i="1"/>
  <c r="I1004" i="1"/>
  <c r="J1004" i="1" s="1"/>
  <c r="E1004" i="1"/>
  <c r="I1003" i="1"/>
  <c r="E1003" i="1"/>
  <c r="E1002" i="1"/>
  <c r="H1000" i="1"/>
  <c r="H998" i="1"/>
  <c r="H997" i="1"/>
  <c r="H996" i="1"/>
  <c r="I995" i="1"/>
  <c r="J995" i="1" s="1"/>
  <c r="L995" i="1" s="1"/>
  <c r="E995" i="1"/>
  <c r="I994" i="1"/>
  <c r="E994" i="1"/>
  <c r="I992" i="1"/>
  <c r="E992" i="1"/>
  <c r="I990" i="1"/>
  <c r="E990" i="1"/>
  <c r="I988" i="1"/>
  <c r="E988" i="1"/>
  <c r="I986" i="1"/>
  <c r="J986" i="1" s="1"/>
  <c r="E986" i="1"/>
  <c r="I985" i="1"/>
  <c r="J985" i="1" s="1"/>
  <c r="E985" i="1"/>
  <c r="I982" i="1"/>
  <c r="E982" i="1"/>
  <c r="I981" i="1"/>
  <c r="E981" i="1"/>
  <c r="G731" i="6"/>
  <c r="G495" i="6"/>
  <c r="I1192" i="6"/>
  <c r="I1191" i="6"/>
  <c r="I1190" i="6"/>
  <c r="J1190" i="6" s="1"/>
  <c r="A1190" i="6" s="1"/>
  <c r="I1179" i="6"/>
  <c r="I1178" i="6"/>
  <c r="J1178" i="6" s="1"/>
  <c r="A1178" i="6" s="1"/>
  <c r="I1177" i="6"/>
  <c r="J1177" i="6" s="1"/>
  <c r="A1177" i="6" s="1"/>
  <c r="I1176" i="6"/>
  <c r="I1171" i="6"/>
  <c r="J1171" i="6" s="1"/>
  <c r="A1171" i="6" s="1"/>
  <c r="I1170" i="6"/>
  <c r="I1169" i="6"/>
  <c r="I1168" i="6"/>
  <c r="J1168" i="6" s="1"/>
  <c r="A1168" i="6" s="1"/>
  <c r="I1167" i="6"/>
  <c r="I1166" i="6"/>
  <c r="I1165" i="6"/>
  <c r="J1165" i="6" s="1"/>
  <c r="A1165" i="6" s="1"/>
  <c r="I1164" i="6"/>
  <c r="I1163" i="6"/>
  <c r="J1163" i="6" s="1"/>
  <c r="A1163" i="6" s="1"/>
  <c r="I1162" i="6"/>
  <c r="I1161" i="6"/>
  <c r="I1160" i="6"/>
  <c r="J1160" i="6" s="1"/>
  <c r="A1160" i="6" s="1"/>
  <c r="I1159" i="6"/>
  <c r="I1154" i="6"/>
  <c r="I1153" i="6"/>
  <c r="J1153" i="6" s="1"/>
  <c r="A1153" i="6" s="1"/>
  <c r="I1152" i="6"/>
  <c r="I1151" i="6"/>
  <c r="J1151" i="6" s="1"/>
  <c r="A1151" i="6" s="1"/>
  <c r="I1150" i="6"/>
  <c r="J1150" i="6" s="1"/>
  <c r="A1150" i="6" s="1"/>
  <c r="I1149" i="6"/>
  <c r="I1148" i="6"/>
  <c r="I1147" i="6"/>
  <c r="I1146" i="6"/>
  <c r="I1145" i="6"/>
  <c r="J1145" i="6" s="1"/>
  <c r="A1145" i="6" s="1"/>
  <c r="I1144" i="6"/>
  <c r="I1143" i="6"/>
  <c r="I1142" i="6"/>
  <c r="J1142" i="6" s="1"/>
  <c r="A1142" i="6" s="1"/>
  <c r="I1141" i="6"/>
  <c r="I1140" i="6"/>
  <c r="I1139" i="6"/>
  <c r="I1138" i="6"/>
  <c r="I1137" i="6"/>
  <c r="J1137" i="6" s="1"/>
  <c r="A1137" i="6" s="1"/>
  <c r="I1136" i="6"/>
  <c r="I1131" i="6"/>
  <c r="I1130" i="6"/>
  <c r="I1129" i="6"/>
  <c r="I1128" i="6"/>
  <c r="I1127" i="6"/>
  <c r="I1126" i="6"/>
  <c r="I1125" i="6"/>
  <c r="J1125" i="6" s="1"/>
  <c r="A1125" i="6" s="1"/>
  <c r="I1124" i="6"/>
  <c r="I1123" i="6"/>
  <c r="I1118" i="6"/>
  <c r="I1117" i="6"/>
  <c r="J1117" i="6" s="1"/>
  <c r="A1117" i="6" s="1"/>
  <c r="I1116" i="6"/>
  <c r="I1115" i="6"/>
  <c r="I1114" i="6"/>
  <c r="J1114" i="6" s="1"/>
  <c r="A1114" i="6" s="1"/>
  <c r="I1113" i="6"/>
  <c r="J1113" i="6" s="1"/>
  <c r="A1113" i="6" s="1"/>
  <c r="I1112" i="6"/>
  <c r="I1111" i="6"/>
  <c r="J1111" i="6" s="1"/>
  <c r="A1111" i="6" s="1"/>
  <c r="I1110" i="6"/>
  <c r="I1109" i="6"/>
  <c r="J1109" i="6" s="1"/>
  <c r="A1109" i="6" s="1"/>
  <c r="I1108" i="6"/>
  <c r="I1107" i="6"/>
  <c r="I1106" i="6"/>
  <c r="J1106" i="6" s="1"/>
  <c r="A1106" i="6" s="1"/>
  <c r="I1105" i="6"/>
  <c r="J1105" i="6" s="1"/>
  <c r="A1105" i="6" s="1"/>
  <c r="I1104" i="6"/>
  <c r="I1103" i="6"/>
  <c r="I1102" i="6"/>
  <c r="I1101" i="6"/>
  <c r="J1101" i="6" s="1"/>
  <c r="A1101" i="6" s="1"/>
  <c r="I1100" i="6"/>
  <c r="I1099" i="6"/>
  <c r="I1098" i="6"/>
  <c r="J1098" i="6" s="1"/>
  <c r="A1098" i="6" s="1"/>
  <c r="I1097" i="6"/>
  <c r="J1097" i="6" s="1"/>
  <c r="A1097" i="6" s="1"/>
  <c r="I1096" i="6"/>
  <c r="I1095" i="6"/>
  <c r="I1094" i="6"/>
  <c r="I1093" i="6"/>
  <c r="J1093" i="6" s="1"/>
  <c r="A1093" i="6" s="1"/>
  <c r="I1092" i="6"/>
  <c r="I1091" i="6"/>
  <c r="I1090" i="6"/>
  <c r="J1090" i="6" s="1"/>
  <c r="A1090" i="6" s="1"/>
  <c r="I1089" i="6"/>
  <c r="J1089" i="6" s="1"/>
  <c r="A1089" i="6" s="1"/>
  <c r="I1088" i="6"/>
  <c r="I1087" i="6"/>
  <c r="I1086" i="6"/>
  <c r="J1086" i="6" s="1"/>
  <c r="A1086" i="6" s="1"/>
  <c r="I1085" i="6"/>
  <c r="J1085" i="6" s="1"/>
  <c r="A1085" i="6" s="1"/>
  <c r="I1084" i="6"/>
  <c r="J1084" i="6" s="1"/>
  <c r="A1084" i="6" s="1"/>
  <c r="I1083" i="6"/>
  <c r="J1083" i="6" s="1"/>
  <c r="A1083" i="6" s="1"/>
  <c r="I1082" i="6"/>
  <c r="J1082" i="6" s="1"/>
  <c r="A1082" i="6" s="1"/>
  <c r="I1081" i="6"/>
  <c r="J1081" i="6" s="1"/>
  <c r="A1081" i="6" s="1"/>
  <c r="I1080" i="6"/>
  <c r="J1080" i="6" s="1"/>
  <c r="A1080" i="6" s="1"/>
  <c r="I1079" i="6"/>
  <c r="J1079" i="6" s="1"/>
  <c r="A1079" i="6" s="1"/>
  <c r="I1078" i="6"/>
  <c r="I1077" i="6"/>
  <c r="J1077" i="6" s="1"/>
  <c r="A1077" i="6" s="1"/>
  <c r="I1076" i="6"/>
  <c r="I1075" i="6"/>
  <c r="I1074" i="6"/>
  <c r="J1074" i="6" s="1"/>
  <c r="A1074" i="6" s="1"/>
  <c r="I1073" i="6"/>
  <c r="J1073" i="6" s="1"/>
  <c r="A1073" i="6" s="1"/>
  <c r="I1072" i="6"/>
  <c r="I1071" i="6"/>
  <c r="I1070" i="6"/>
  <c r="J1070" i="6" s="1"/>
  <c r="A1070" i="6" s="1"/>
  <c r="I1065" i="6"/>
  <c r="I1064" i="6"/>
  <c r="J1064" i="6" s="1"/>
  <c r="A1064" i="6" s="1"/>
  <c r="I1063" i="6"/>
  <c r="I1062" i="6"/>
  <c r="I1061" i="6"/>
  <c r="I1060" i="6"/>
  <c r="I1059" i="6"/>
  <c r="J1059" i="6" s="1"/>
  <c r="A1059" i="6" s="1"/>
  <c r="I1058" i="6"/>
  <c r="I1057" i="6"/>
  <c r="I1056" i="6"/>
  <c r="J1056" i="6" s="1"/>
  <c r="A1056" i="6" s="1"/>
  <c r="I1055" i="6"/>
  <c r="I1054" i="6"/>
  <c r="I1053" i="6"/>
  <c r="I1052" i="6"/>
  <c r="J1052" i="6" s="1"/>
  <c r="A1052" i="6" s="1"/>
  <c r="I1051" i="6"/>
  <c r="J1051" i="6" s="1"/>
  <c r="A1051" i="6" s="1"/>
  <c r="I1050" i="6"/>
  <c r="I1049" i="6"/>
  <c r="I1048" i="6"/>
  <c r="J1048" i="6" s="1"/>
  <c r="A1048" i="6" s="1"/>
  <c r="I1047" i="6"/>
  <c r="I1046" i="6"/>
  <c r="I1045" i="6"/>
  <c r="I1044" i="6"/>
  <c r="J1044" i="6" s="1"/>
  <c r="A1044" i="6" s="1"/>
  <c r="I1043" i="6"/>
  <c r="J1043" i="6" s="1"/>
  <c r="A1043" i="6" s="1"/>
  <c r="I1042" i="6"/>
  <c r="I1041" i="6"/>
  <c r="I1040" i="6"/>
  <c r="J1040" i="6" s="1"/>
  <c r="A1040" i="6" s="1"/>
  <c r="I1039" i="6"/>
  <c r="I1038" i="6"/>
  <c r="I1037" i="6"/>
  <c r="I1036" i="6"/>
  <c r="I1035" i="6"/>
  <c r="J1035" i="6" s="1"/>
  <c r="A1035" i="6" s="1"/>
  <c r="I1034" i="6"/>
  <c r="I1033" i="6"/>
  <c r="I1032" i="6"/>
  <c r="J1032" i="6" s="1"/>
  <c r="A1032" i="6" s="1"/>
  <c r="I1031" i="6"/>
  <c r="I1030" i="6"/>
  <c r="I1029" i="6"/>
  <c r="I1028" i="6"/>
  <c r="I1027" i="6"/>
  <c r="J1027" i="6" s="1"/>
  <c r="A1027" i="6" s="1"/>
  <c r="I1026" i="6"/>
  <c r="I1025" i="6"/>
  <c r="I1024" i="6"/>
  <c r="J1024" i="6" s="1"/>
  <c r="A1024" i="6" s="1"/>
  <c r="I1023" i="6"/>
  <c r="I1022" i="6"/>
  <c r="I1021" i="6"/>
  <c r="I1020" i="6"/>
  <c r="J1020" i="6" s="1"/>
  <c r="A1020" i="6" s="1"/>
  <c r="I1019" i="6"/>
  <c r="J1019" i="6" s="1"/>
  <c r="A1019" i="6" s="1"/>
  <c r="I1018" i="6"/>
  <c r="I1017" i="6"/>
  <c r="I1012" i="6"/>
  <c r="I1011" i="6"/>
  <c r="I1010" i="6"/>
  <c r="I1009" i="6"/>
  <c r="J1009" i="6" s="1"/>
  <c r="A1009" i="6" s="1"/>
  <c r="I1008" i="6"/>
  <c r="J1008" i="6" s="1"/>
  <c r="A1008" i="6" s="1"/>
  <c r="I1007" i="6"/>
  <c r="I1006" i="6"/>
  <c r="I1005" i="6"/>
  <c r="I1004" i="6"/>
  <c r="I1003" i="6"/>
  <c r="I1002" i="6"/>
  <c r="I1001" i="6"/>
  <c r="J1001" i="6" s="1"/>
  <c r="A1001" i="6" s="1"/>
  <c r="I1000" i="6"/>
  <c r="I999" i="6"/>
  <c r="I998" i="6"/>
  <c r="I997" i="6"/>
  <c r="I996" i="6"/>
  <c r="I995" i="6"/>
  <c r="I994" i="6"/>
  <c r="J994" i="6" s="1"/>
  <c r="A994" i="6" s="1"/>
  <c r="I993" i="6"/>
  <c r="J993" i="6" s="1"/>
  <c r="A993" i="6" s="1"/>
  <c r="I992" i="6"/>
  <c r="I991" i="6"/>
  <c r="I990" i="6"/>
  <c r="I989" i="6"/>
  <c r="I988" i="6"/>
  <c r="I987" i="6"/>
  <c r="I986" i="6"/>
  <c r="J986" i="6" s="1"/>
  <c r="A986" i="6" s="1"/>
  <c r="I985" i="6"/>
  <c r="J985" i="6" s="1"/>
  <c r="A985" i="6" s="1"/>
  <c r="I984" i="6"/>
  <c r="J984" i="6" s="1"/>
  <c r="A984" i="6" s="1"/>
  <c r="I983" i="6"/>
  <c r="I982" i="6"/>
  <c r="I981" i="6"/>
  <c r="I980" i="6"/>
  <c r="I979" i="6"/>
  <c r="I978" i="6"/>
  <c r="J978" i="6" s="1"/>
  <c r="A978" i="6" s="1"/>
  <c r="I977" i="6"/>
  <c r="J977" i="6" s="1"/>
  <c r="A977" i="6" s="1"/>
  <c r="I976" i="6"/>
  <c r="J976" i="6" s="1"/>
  <c r="A976" i="6" s="1"/>
  <c r="I975" i="6"/>
  <c r="J975" i="6" s="1"/>
  <c r="A975" i="6" s="1"/>
  <c r="I970" i="6"/>
  <c r="I969" i="6"/>
  <c r="I968" i="6"/>
  <c r="I965" i="6"/>
  <c r="I964" i="6"/>
  <c r="I963" i="6"/>
  <c r="I962" i="6"/>
  <c r="I961" i="6"/>
  <c r="I993" i="1"/>
  <c r="J993" i="1" s="1"/>
  <c r="L993" i="1" s="1"/>
  <c r="E993" i="1"/>
  <c r="I989" i="1"/>
  <c r="J989" i="1" s="1"/>
  <c r="L989" i="1" s="1"/>
  <c r="E989" i="1"/>
  <c r="I987" i="1"/>
  <c r="J987" i="1" s="1"/>
  <c r="E987" i="1"/>
  <c r="J1091" i="1" l="1"/>
  <c r="L1091" i="1" s="1"/>
  <c r="J1090" i="1"/>
  <c r="L1090" i="1" s="1"/>
  <c r="J1086" i="1"/>
  <c r="L1086" i="1" s="1"/>
  <c r="L1087" i="1"/>
  <c r="L1084" i="1"/>
  <c r="L1085" i="1"/>
  <c r="J1082" i="1"/>
  <c r="L1082" i="1" s="1"/>
  <c r="J1080" i="1"/>
  <c r="L1080" i="1" s="1"/>
  <c r="J1047" i="1"/>
  <c r="L1047" i="1" s="1"/>
  <c r="L1072" i="1"/>
  <c r="L1070" i="1"/>
  <c r="L1074" i="1"/>
  <c r="L1076" i="1"/>
  <c r="L1071" i="1"/>
  <c r="L1073" i="1"/>
  <c r="L1075" i="1"/>
  <c r="J1065" i="1"/>
  <c r="L1065" i="1" s="1"/>
  <c r="L1060" i="1"/>
  <c r="L1062" i="1"/>
  <c r="L1061" i="1"/>
  <c r="L1063" i="1"/>
  <c r="J1051" i="1"/>
  <c r="L1051" i="1" s="1"/>
  <c r="J1053" i="1"/>
  <c r="L1053" i="1" s="1"/>
  <c r="J1055" i="1"/>
  <c r="L1055" i="1" s="1"/>
  <c r="J1057" i="1"/>
  <c r="L1057" i="1" s="1"/>
  <c r="L1048" i="1"/>
  <c r="L1040" i="1"/>
  <c r="J1041" i="1"/>
  <c r="L1041" i="1" s="1"/>
  <c r="L1038" i="1"/>
  <c r="J1037" i="1"/>
  <c r="L1037" i="1" s="1"/>
  <c r="L1033" i="1"/>
  <c r="L1032" i="1"/>
  <c r="J968" i="6"/>
  <c r="A968" i="6" s="1"/>
  <c r="J967" i="6"/>
  <c r="A967" i="6" s="1"/>
  <c r="J962" i="6"/>
  <c r="A962" i="6" s="1"/>
  <c r="L1024" i="1"/>
  <c r="L1020" i="1"/>
  <c r="J1017" i="1"/>
  <c r="L1017" i="1" s="1"/>
  <c r="J1009" i="1"/>
  <c r="L1009" i="1" s="1"/>
  <c r="J1007" i="1"/>
  <c r="L1007" i="1" s="1"/>
  <c r="L1002" i="1"/>
  <c r="L1004" i="1"/>
  <c r="J1003" i="1"/>
  <c r="L1003" i="1" s="1"/>
  <c r="J988" i="1"/>
  <c r="L988" i="1" s="1"/>
  <c r="J994" i="1"/>
  <c r="L994" i="1" s="1"/>
  <c r="J992" i="1"/>
  <c r="L992" i="1" s="1"/>
  <c r="L990" i="1"/>
  <c r="L985" i="1"/>
  <c r="L986" i="1"/>
  <c r="L981" i="1"/>
  <c r="L982" i="1"/>
  <c r="J1038" i="6"/>
  <c r="A1038" i="6" s="1"/>
  <c r="J1138" i="6"/>
  <c r="A1138" i="6" s="1"/>
  <c r="J1166" i="6"/>
  <c r="A1166" i="6" s="1"/>
  <c r="J1054" i="6"/>
  <c r="A1054" i="6" s="1"/>
  <c r="J964" i="6"/>
  <c r="A964" i="6" s="1"/>
  <c r="J1010" i="6"/>
  <c r="A1010" i="6" s="1"/>
  <c r="J1046" i="6"/>
  <c r="A1046" i="6" s="1"/>
  <c r="J1126" i="6"/>
  <c r="A1126" i="6" s="1"/>
  <c r="J997" i="6"/>
  <c r="A997" i="6" s="1"/>
  <c r="J1025" i="6"/>
  <c r="A1025" i="6" s="1"/>
  <c r="J1049" i="6"/>
  <c r="A1049" i="6" s="1"/>
  <c r="J1141" i="6"/>
  <c r="A1141" i="6" s="1"/>
  <c r="J1161" i="6"/>
  <c r="A1161" i="6" s="1"/>
  <c r="J1191" i="6"/>
  <c r="A1191" i="6" s="1"/>
  <c r="J969" i="6"/>
  <c r="A969" i="6" s="1"/>
  <c r="J989" i="6"/>
  <c r="A989" i="6" s="1"/>
  <c r="J1033" i="6"/>
  <c r="A1033" i="6" s="1"/>
  <c r="J1057" i="6"/>
  <c r="A1057" i="6" s="1"/>
  <c r="J1129" i="6"/>
  <c r="A1129" i="6" s="1"/>
  <c r="J1149" i="6"/>
  <c r="A1149" i="6" s="1"/>
  <c r="J1169" i="6"/>
  <c r="A1169" i="6" s="1"/>
  <c r="J1022" i="6"/>
  <c r="A1022" i="6" s="1"/>
  <c r="J1154" i="6"/>
  <c r="A1154" i="6" s="1"/>
  <c r="J1002" i="6"/>
  <c r="A1002" i="6" s="1"/>
  <c r="J1030" i="6"/>
  <c r="A1030" i="6" s="1"/>
  <c r="J1062" i="6"/>
  <c r="A1062" i="6" s="1"/>
  <c r="J1146" i="6"/>
  <c r="A1146" i="6" s="1"/>
  <c r="J981" i="6"/>
  <c r="A981" i="6" s="1"/>
  <c r="J1005" i="6"/>
  <c r="A1005" i="6" s="1"/>
  <c r="J1017" i="6"/>
  <c r="A1017" i="6" s="1"/>
  <c r="J1041" i="6"/>
  <c r="A1041" i="6" s="1"/>
  <c r="J1065" i="6"/>
  <c r="A1065" i="6" s="1"/>
  <c r="J980" i="6"/>
  <c r="A980" i="6" s="1"/>
  <c r="J988" i="6"/>
  <c r="A988" i="6" s="1"/>
  <c r="J996" i="6"/>
  <c r="A996" i="6" s="1"/>
  <c r="J1004" i="6"/>
  <c r="A1004" i="6" s="1"/>
  <c r="J1012" i="6"/>
  <c r="A1012" i="6" s="1"/>
  <c r="J1076" i="6"/>
  <c r="A1076" i="6" s="1"/>
  <c r="J1092" i="6"/>
  <c r="A1092" i="6" s="1"/>
  <c r="J1100" i="6"/>
  <c r="A1100" i="6" s="1"/>
  <c r="J1108" i="6"/>
  <c r="A1108" i="6" s="1"/>
  <c r="J1116" i="6"/>
  <c r="A1116" i="6" s="1"/>
  <c r="J1128" i="6"/>
  <c r="A1128" i="6" s="1"/>
  <c r="J1140" i="6"/>
  <c r="A1140" i="6" s="1"/>
  <c r="J1148" i="6"/>
  <c r="A1148" i="6" s="1"/>
  <c r="J982" i="6"/>
  <c r="A982" i="6" s="1"/>
  <c r="J990" i="6"/>
  <c r="A990" i="6" s="1"/>
  <c r="J998" i="6"/>
  <c r="A998" i="6" s="1"/>
  <c r="J1006" i="6"/>
  <c r="A1006" i="6" s="1"/>
  <c r="J1018" i="6"/>
  <c r="A1018" i="6" s="1"/>
  <c r="J1026" i="6"/>
  <c r="A1026" i="6" s="1"/>
  <c r="J1034" i="6"/>
  <c r="A1034" i="6" s="1"/>
  <c r="J1042" i="6"/>
  <c r="A1042" i="6" s="1"/>
  <c r="J1050" i="6"/>
  <c r="A1050" i="6" s="1"/>
  <c r="J1058" i="6"/>
  <c r="A1058" i="6" s="1"/>
  <c r="J1078" i="6"/>
  <c r="A1078" i="6" s="1"/>
  <c r="J1094" i="6"/>
  <c r="A1094" i="6" s="1"/>
  <c r="J1102" i="6"/>
  <c r="A1102" i="6" s="1"/>
  <c r="J1110" i="6"/>
  <c r="A1110" i="6" s="1"/>
  <c r="J1118" i="6"/>
  <c r="A1118" i="6" s="1"/>
  <c r="J1130" i="6"/>
  <c r="A1130" i="6" s="1"/>
  <c r="J1162" i="6"/>
  <c r="A1162" i="6" s="1"/>
  <c r="J1170" i="6"/>
  <c r="A1170" i="6" s="1"/>
  <c r="J1192" i="6"/>
  <c r="A1192" i="6" s="1"/>
  <c r="J970" i="6"/>
  <c r="A970" i="6" s="1"/>
  <c r="J961" i="6"/>
  <c r="A961" i="6" s="1"/>
  <c r="J983" i="6"/>
  <c r="A983" i="6" s="1"/>
  <c r="J991" i="6"/>
  <c r="A991" i="6" s="1"/>
  <c r="J999" i="6"/>
  <c r="A999" i="6" s="1"/>
  <c r="J1007" i="6"/>
  <c r="A1007" i="6" s="1"/>
  <c r="J1087" i="6"/>
  <c r="A1087" i="6" s="1"/>
  <c r="J1123" i="6"/>
  <c r="A1123" i="6" s="1"/>
  <c r="J1072" i="6"/>
  <c r="A1072" i="6" s="1"/>
  <c r="J1088" i="6"/>
  <c r="A1088" i="6" s="1"/>
  <c r="J1096" i="6"/>
  <c r="A1096" i="6" s="1"/>
  <c r="J1104" i="6"/>
  <c r="A1104" i="6" s="1"/>
  <c r="J1112" i="6"/>
  <c r="A1112" i="6" s="1"/>
  <c r="J1124" i="6"/>
  <c r="A1124" i="6" s="1"/>
  <c r="J1136" i="6"/>
  <c r="A1136" i="6" s="1"/>
  <c r="J1144" i="6"/>
  <c r="A1144" i="6" s="1"/>
  <c r="J1152" i="6"/>
  <c r="A1152" i="6" s="1"/>
  <c r="J1164" i="6"/>
  <c r="A1164" i="6" s="1"/>
  <c r="J1176" i="6"/>
  <c r="A1176" i="6" s="1"/>
  <c r="J963" i="6"/>
  <c r="A963" i="6" s="1"/>
  <c r="J1021" i="6"/>
  <c r="A1021" i="6" s="1"/>
  <c r="J1029" i="6"/>
  <c r="A1029" i="6" s="1"/>
  <c r="J1037" i="6"/>
  <c r="A1037" i="6" s="1"/>
  <c r="J1045" i="6"/>
  <c r="A1045" i="6" s="1"/>
  <c r="J1053" i="6"/>
  <c r="A1053" i="6" s="1"/>
  <c r="J1061" i="6"/>
  <c r="A1061" i="6" s="1"/>
  <c r="J992" i="6"/>
  <c r="A992" i="6" s="1"/>
  <c r="J1028" i="6"/>
  <c r="A1028" i="6" s="1"/>
  <c r="J1060" i="6"/>
  <c r="A1060" i="6" s="1"/>
  <c r="J1095" i="6"/>
  <c r="A1095" i="6" s="1"/>
  <c r="J1131" i="6"/>
  <c r="A1131" i="6" s="1"/>
  <c r="J965" i="6"/>
  <c r="A965" i="6" s="1"/>
  <c r="J979" i="6"/>
  <c r="A979" i="6" s="1"/>
  <c r="J987" i="6"/>
  <c r="A987" i="6" s="1"/>
  <c r="J995" i="6"/>
  <c r="A995" i="6" s="1"/>
  <c r="J1003" i="6"/>
  <c r="A1003" i="6" s="1"/>
  <c r="J1011" i="6"/>
  <c r="A1011" i="6" s="1"/>
  <c r="J1023" i="6"/>
  <c r="A1023" i="6" s="1"/>
  <c r="J1031" i="6"/>
  <c r="A1031" i="6" s="1"/>
  <c r="J1039" i="6"/>
  <c r="A1039" i="6" s="1"/>
  <c r="J1047" i="6"/>
  <c r="A1047" i="6" s="1"/>
  <c r="J1055" i="6"/>
  <c r="A1055" i="6" s="1"/>
  <c r="J1063" i="6"/>
  <c r="A1063" i="6" s="1"/>
  <c r="J1075" i="6"/>
  <c r="A1075" i="6" s="1"/>
  <c r="J1091" i="6"/>
  <c r="A1091" i="6" s="1"/>
  <c r="J1099" i="6"/>
  <c r="A1099" i="6" s="1"/>
  <c r="J1107" i="6"/>
  <c r="A1107" i="6" s="1"/>
  <c r="J1115" i="6"/>
  <c r="A1115" i="6" s="1"/>
  <c r="J1127" i="6"/>
  <c r="A1127" i="6" s="1"/>
  <c r="J1139" i="6"/>
  <c r="A1139" i="6" s="1"/>
  <c r="J1147" i="6"/>
  <c r="A1147" i="6" s="1"/>
  <c r="J1159" i="6"/>
  <c r="A1159" i="6" s="1"/>
  <c r="J1167" i="6"/>
  <c r="A1167" i="6" s="1"/>
  <c r="J1179" i="6"/>
  <c r="J1000" i="6"/>
  <c r="A1000" i="6" s="1"/>
  <c r="J1036" i="6"/>
  <c r="A1036" i="6" s="1"/>
  <c r="J1071" i="6"/>
  <c r="A1071" i="6" s="1"/>
  <c r="J1103" i="6"/>
  <c r="A1103" i="6" s="1"/>
  <c r="J1143" i="6"/>
  <c r="A1143" i="6" s="1"/>
  <c r="L987" i="1"/>
  <c r="X1173" i="6" l="1"/>
  <c r="AI1187" i="6"/>
  <c r="P1187" i="6"/>
  <c r="N1187" i="6"/>
  <c r="J1187" i="6"/>
  <c r="A1188" i="6" s="1"/>
  <c r="AZ1187" i="6"/>
  <c r="V1187" i="6"/>
  <c r="AQ1187" i="6"/>
  <c r="U1187" i="6"/>
  <c r="BE1173" i="6"/>
  <c r="A1179" i="6"/>
  <c r="AL1156" i="6"/>
  <c r="AI1173" i="6"/>
  <c r="Z1156" i="6"/>
  <c r="AE1120" i="6"/>
  <c r="L1187" i="6"/>
  <c r="AD1156" i="6"/>
  <c r="BF1187" i="6"/>
  <c r="R1187" i="6"/>
  <c r="AX1187" i="6"/>
  <c r="AK1187" i="6"/>
  <c r="AZ1120" i="6"/>
  <c r="AU1187" i="6"/>
  <c r="BC1133" i="6"/>
  <c r="AH1187" i="6"/>
  <c r="Y1187" i="6"/>
  <c r="AA1187" i="6"/>
  <c r="BD1187" i="6"/>
  <c r="AD1187" i="6"/>
  <c r="M1133" i="6"/>
  <c r="AR1187" i="6"/>
  <c r="BD1156" i="6"/>
  <c r="O1187" i="6"/>
  <c r="AO1187" i="6"/>
  <c r="AJ1187" i="6"/>
  <c r="T1187" i="6"/>
  <c r="AL1187" i="6"/>
  <c r="AC1120" i="6"/>
  <c r="AW1133" i="6"/>
  <c r="AW1187" i="6"/>
  <c r="BG1187" i="6"/>
  <c r="BA1187" i="6"/>
  <c r="AS1187" i="6"/>
  <c r="AC1187" i="6"/>
  <c r="AT1187" i="6"/>
  <c r="V1133" i="6"/>
  <c r="AY1187" i="6"/>
  <c r="AG1187" i="6"/>
  <c r="M1187" i="6"/>
  <c r="BC1187" i="6"/>
  <c r="AM1187" i="6"/>
  <c r="BB1187" i="6"/>
  <c r="BG1173" i="6"/>
  <c r="AY1133" i="6"/>
  <c r="W1187" i="6"/>
  <c r="BB958" i="6"/>
  <c r="X1187" i="6"/>
  <c r="Z1187" i="6"/>
  <c r="S1187" i="6"/>
  <c r="AV1187" i="6"/>
  <c r="P1173" i="6"/>
  <c r="AR1173" i="6"/>
  <c r="AE1187" i="6"/>
  <c r="AN1187" i="6"/>
  <c r="AP1187" i="6"/>
  <c r="AB1187" i="6"/>
  <c r="BE1187" i="6"/>
  <c r="AB1173" i="6"/>
  <c r="AF1187" i="6"/>
  <c r="Q1187" i="6"/>
  <c r="AK1156" i="6"/>
  <c r="M1120" i="6"/>
  <c r="L1156" i="6"/>
  <c r="J1158" i="6"/>
  <c r="A1158" i="6" s="1"/>
  <c r="J958" i="6"/>
  <c r="J1122" i="6"/>
  <c r="A1122" i="6" s="1"/>
  <c r="J972" i="6"/>
  <c r="J974" i="6"/>
  <c r="A974" i="6" s="1"/>
  <c r="AT1120" i="6"/>
  <c r="Q1120" i="6"/>
  <c r="J1016" i="6"/>
  <c r="A1016" i="6" s="1"/>
  <c r="J1173" i="6"/>
  <c r="AR1133" i="6"/>
  <c r="J1135" i="6"/>
  <c r="A1135" i="6" s="1"/>
  <c r="J1189" i="6"/>
  <c r="A1189" i="6" s="1"/>
  <c r="BG1120" i="6"/>
  <c r="J1156" i="6"/>
  <c r="BJ1156" i="6" s="1"/>
  <c r="J1067" i="6"/>
  <c r="J1175" i="6"/>
  <c r="A1175" i="6" s="1"/>
  <c r="J1120" i="6"/>
  <c r="J1133" i="6"/>
  <c r="BJ1133" i="6" s="1"/>
  <c r="AT1173" i="6"/>
  <c r="S1173" i="6"/>
  <c r="BA1173" i="6"/>
  <c r="AW1173" i="6"/>
  <c r="AV1156" i="6"/>
  <c r="R1156" i="6"/>
  <c r="AR1120" i="6"/>
  <c r="AY1120" i="6"/>
  <c r="AJ1120" i="6"/>
  <c r="BD1120" i="6"/>
  <c r="AQ1173" i="6"/>
  <c r="U1173" i="6"/>
  <c r="AL1120" i="6"/>
  <c r="AQ1120" i="6"/>
  <c r="P1133" i="6"/>
  <c r="BF1133" i="6"/>
  <c r="AK1133" i="6"/>
  <c r="BA1133" i="6"/>
  <c r="AQ1133" i="6"/>
  <c r="AZ1133" i="6"/>
  <c r="AC1156" i="6"/>
  <c r="N1156" i="6"/>
  <c r="AT1156" i="6"/>
  <c r="AY1156" i="6"/>
  <c r="AS1133" i="6"/>
  <c r="J960" i="6"/>
  <c r="A960" i="6" s="1"/>
  <c r="AE1173" i="6"/>
  <c r="AL1173" i="6"/>
  <c r="AF1173" i="6"/>
  <c r="AP1173" i="6"/>
  <c r="Q1156" i="6"/>
  <c r="AH1156" i="6"/>
  <c r="AU1120" i="6"/>
  <c r="W1120" i="6"/>
  <c r="BF1120" i="6"/>
  <c r="Y1120" i="6"/>
  <c r="M1173" i="6"/>
  <c r="V1173" i="6"/>
  <c r="BA1120" i="6"/>
  <c r="Y1133" i="6"/>
  <c r="Q1133" i="6"/>
  <c r="AC1133" i="6"/>
  <c r="X1133" i="6"/>
  <c r="AF1133" i="6"/>
  <c r="BG1133" i="6"/>
  <c r="BC1156" i="6"/>
  <c r="AQ1156" i="6"/>
  <c r="BA1156" i="6"/>
  <c r="V1156" i="6"/>
  <c r="N1173" i="6"/>
  <c r="AU1173" i="6"/>
  <c r="AZ1173" i="6"/>
  <c r="AN1173" i="6"/>
  <c r="AX1173" i="6"/>
  <c r="Y1156" i="6"/>
  <c r="AP1156" i="6"/>
  <c r="T1120" i="6"/>
  <c r="AI1120" i="6"/>
  <c r="P1120" i="6"/>
  <c r="AG1120" i="6"/>
  <c r="Q1173" i="6"/>
  <c r="BB1173" i="6"/>
  <c r="O1120" i="6"/>
  <c r="R1133" i="6"/>
  <c r="Z1133" i="6"/>
  <c r="AU1133" i="6"/>
  <c r="AL1133" i="6"/>
  <c r="AP1133" i="6"/>
  <c r="L1133" i="6"/>
  <c r="BA1014" i="6"/>
  <c r="AR1156" i="6"/>
  <c r="O1156" i="6"/>
  <c r="AJ1156" i="6"/>
  <c r="Z1173" i="6"/>
  <c r="R1173" i="6"/>
  <c r="L1173" i="6"/>
  <c r="AV1173" i="6"/>
  <c r="BF1173" i="6"/>
  <c r="AG1156" i="6"/>
  <c r="AX1156" i="6"/>
  <c r="AH1120" i="6"/>
  <c r="AS1120" i="6"/>
  <c r="X1120" i="6"/>
  <c r="AO1120" i="6"/>
  <c r="Y1173" i="6"/>
  <c r="W1173" i="6"/>
  <c r="AM1120" i="6"/>
  <c r="AM1133" i="6"/>
  <c r="BD1133" i="6"/>
  <c r="N1133" i="6"/>
  <c r="AX1133" i="6"/>
  <c r="BB1133" i="6"/>
  <c r="T1133" i="6"/>
  <c r="AB1156" i="6"/>
  <c r="T1156" i="6"/>
  <c r="AE1156" i="6"/>
  <c r="AU1156" i="6"/>
  <c r="V1120" i="6"/>
  <c r="AS1173" i="6"/>
  <c r="AA1173" i="6"/>
  <c r="T1173" i="6"/>
  <c r="BD1173" i="6"/>
  <c r="X1156" i="6"/>
  <c r="AO1156" i="6"/>
  <c r="BF1156" i="6"/>
  <c r="AX1120" i="6"/>
  <c r="BC1120" i="6"/>
  <c r="AF1120" i="6"/>
  <c r="AW1120" i="6"/>
  <c r="AJ1173" i="6"/>
  <c r="BC1173" i="6"/>
  <c r="R1120" i="6"/>
  <c r="AN1133" i="6"/>
  <c r="AG1133" i="6"/>
  <c r="AD1133" i="6"/>
  <c r="U1133" i="6"/>
  <c r="S1133" i="6"/>
  <c r="AB1133" i="6"/>
  <c r="AM1156" i="6"/>
  <c r="AS1156" i="6"/>
  <c r="BB1156" i="6"/>
  <c r="M1156" i="6"/>
  <c r="AA1120" i="6"/>
  <c r="O1173" i="6"/>
  <c r="AK1173" i="6"/>
  <c r="AC1173" i="6"/>
  <c r="AG1173" i="6"/>
  <c r="AF1156" i="6"/>
  <c r="AW1156" i="6"/>
  <c r="BG1156" i="6"/>
  <c r="U1120" i="6"/>
  <c r="N1120" i="6"/>
  <c r="AN1120" i="6"/>
  <c r="BE1120" i="6"/>
  <c r="AH1173" i="6"/>
  <c r="L1120" i="6"/>
  <c r="AP1120" i="6"/>
  <c r="O1133" i="6"/>
  <c r="BE1133" i="6"/>
  <c r="AV1133" i="6"/>
  <c r="AE1133" i="6"/>
  <c r="AA1133" i="6"/>
  <c r="AJ1133" i="6"/>
  <c r="P1156" i="6"/>
  <c r="AA1156" i="6"/>
  <c r="U1156" i="6"/>
  <c r="W1156" i="6"/>
  <c r="AD1120" i="6"/>
  <c r="J1069" i="6"/>
  <c r="A1069" i="6" s="1"/>
  <c r="AD1173" i="6"/>
  <c r="AY1173" i="6"/>
  <c r="AM1173" i="6"/>
  <c r="AO1173" i="6"/>
  <c r="AN1156" i="6"/>
  <c r="BE1156" i="6"/>
  <c r="AB1120" i="6"/>
  <c r="AK1120" i="6"/>
  <c r="Z1120" i="6"/>
  <c r="AV1120" i="6"/>
  <c r="BB1120" i="6"/>
  <c r="S1120" i="6"/>
  <c r="AT1133" i="6"/>
  <c r="AH1133" i="6"/>
  <c r="W1133" i="6"/>
  <c r="AO1133" i="6"/>
  <c r="AI1133" i="6"/>
  <c r="S1156" i="6"/>
  <c r="AZ1156" i="6"/>
  <c r="AI1156" i="6"/>
  <c r="J1014" i="6"/>
  <c r="BG1014" i="6"/>
  <c r="AL958" i="6"/>
  <c r="O1014" i="6"/>
  <c r="AT958" i="6"/>
  <c r="AP1014" i="6"/>
  <c r="AR958" i="6"/>
  <c r="BC958" i="6"/>
  <c r="AU958" i="6"/>
  <c r="AO958" i="6"/>
  <c r="Z1014" i="6"/>
  <c r="AB958" i="6"/>
  <c r="AU1014" i="6"/>
  <c r="AI958" i="6"/>
  <c r="BD958" i="6"/>
  <c r="AJ958" i="6"/>
  <c r="S958" i="6"/>
  <c r="BF1014" i="6"/>
  <c r="AH958" i="6"/>
  <c r="Q958" i="6"/>
  <c r="AF958" i="6"/>
  <c r="Q972" i="6"/>
  <c r="BA972" i="6"/>
  <c r="BC972" i="6"/>
  <c r="W1014" i="6"/>
  <c r="P1014" i="6"/>
  <c r="AR1014" i="6"/>
  <c r="BE1014" i="6"/>
  <c r="AD1014" i="6"/>
  <c r="AN1014" i="6"/>
  <c r="T1014" i="6"/>
  <c r="N1014" i="6"/>
  <c r="AO1014" i="6"/>
  <c r="AF1014" i="6"/>
  <c r="BD1014" i="6"/>
  <c r="AQ1014" i="6"/>
  <c r="U1014" i="6"/>
  <c r="Z972" i="6"/>
  <c r="L1014" i="6"/>
  <c r="AZ1014" i="6"/>
  <c r="AG1014" i="6"/>
  <c r="AA1014" i="6"/>
  <c r="AT1014" i="6"/>
  <c r="Y972" i="6"/>
  <c r="AE1014" i="6"/>
  <c r="AI1014" i="6"/>
  <c r="BC1014" i="6"/>
  <c r="AC1014" i="6"/>
  <c r="AY1014" i="6"/>
  <c r="AS1014" i="6"/>
  <c r="V1014" i="6"/>
  <c r="Y1014" i="6"/>
  <c r="AH1014" i="6"/>
  <c r="AL1014" i="6"/>
  <c r="N972" i="6"/>
  <c r="X1014" i="6"/>
  <c r="S1014" i="6"/>
  <c r="AW1014" i="6"/>
  <c r="AJ1014" i="6"/>
  <c r="BB1014" i="6"/>
  <c r="R1014" i="6"/>
  <c r="P972" i="6"/>
  <c r="M1014" i="6"/>
  <c r="AX1014" i="6"/>
  <c r="AK1014" i="6"/>
  <c r="Q1014" i="6"/>
  <c r="AV1014" i="6"/>
  <c r="AM1014" i="6"/>
  <c r="BF972" i="6"/>
  <c r="X972" i="6"/>
  <c r="AG972" i="6"/>
  <c r="AJ972" i="6"/>
  <c r="AA972" i="6"/>
  <c r="AO972" i="6"/>
  <c r="AH972" i="6"/>
  <c r="AK972" i="6"/>
  <c r="AU972" i="6"/>
  <c r="AN972" i="6"/>
  <c r="V972" i="6"/>
  <c r="AE972" i="6"/>
  <c r="S972" i="6"/>
  <c r="BE972" i="6"/>
  <c r="AB972" i="6"/>
  <c r="AC972" i="6"/>
  <c r="AD972" i="6"/>
  <c r="BD972" i="6"/>
  <c r="AQ972" i="6"/>
  <c r="U972" i="6"/>
  <c r="AR972" i="6"/>
  <c r="AT972" i="6"/>
  <c r="O972" i="6"/>
  <c r="AF972" i="6"/>
  <c r="W972" i="6"/>
  <c r="AI972" i="6"/>
  <c r="BG972" i="6"/>
  <c r="AW972" i="6"/>
  <c r="R972" i="6"/>
  <c r="T972" i="6"/>
  <c r="AV972" i="6"/>
  <c r="BB972" i="6"/>
  <c r="AL972" i="6"/>
  <c r="AM972" i="6"/>
  <c r="AP972" i="6"/>
  <c r="L972" i="6"/>
  <c r="AS972" i="6"/>
  <c r="M972" i="6"/>
  <c r="AX972" i="6"/>
  <c r="AY972" i="6"/>
  <c r="AZ972" i="6"/>
  <c r="AI1067" i="6"/>
  <c r="R1067" i="6"/>
  <c r="AG1067" i="6"/>
  <c r="X1067" i="6"/>
  <c r="AP958" i="6"/>
  <c r="Z958" i="6"/>
  <c r="T958" i="6"/>
  <c r="AK958" i="6"/>
  <c r="AX958" i="6"/>
  <c r="O1067" i="6"/>
  <c r="AQ958" i="6"/>
  <c r="AZ958" i="6"/>
  <c r="AC958" i="6"/>
  <c r="U958" i="6"/>
  <c r="L958" i="6"/>
  <c r="BG958" i="6"/>
  <c r="AB1014" i="6"/>
  <c r="AF1067" i="6"/>
  <c r="X958" i="6"/>
  <c r="O958" i="6"/>
  <c r="AM958" i="6"/>
  <c r="AN958" i="6"/>
  <c r="AE958" i="6"/>
  <c r="N958" i="6"/>
  <c r="Y958" i="6"/>
  <c r="AG958" i="6"/>
  <c r="AV958" i="6"/>
  <c r="BF958" i="6"/>
  <c r="AW958" i="6"/>
  <c r="V958" i="6"/>
  <c r="AY958" i="6"/>
  <c r="BA958" i="6"/>
  <c r="BE958" i="6"/>
  <c r="AA958" i="6"/>
  <c r="M958" i="6"/>
  <c r="AD958" i="6"/>
  <c r="AL1067" i="6"/>
  <c r="AM1067" i="6"/>
  <c r="P958" i="6"/>
  <c r="R958" i="6"/>
  <c r="AS958" i="6"/>
  <c r="W958" i="6"/>
  <c r="AC1067" i="6"/>
  <c r="W1067" i="6"/>
  <c r="BA1067" i="6"/>
  <c r="AX1067" i="6"/>
  <c r="L1067" i="6"/>
  <c r="AK1067" i="6"/>
  <c r="AU1067" i="6"/>
  <c r="AP1067" i="6"/>
  <c r="AD1067" i="6"/>
  <c r="Y1067" i="6"/>
  <c r="BE1067" i="6"/>
  <c r="AH1067" i="6"/>
  <c r="BC1067" i="6"/>
  <c r="AT1067" i="6"/>
  <c r="BG1067" i="6"/>
  <c r="AQ1067" i="6"/>
  <c r="M1067" i="6"/>
  <c r="AV1067" i="6"/>
  <c r="AJ1067" i="6"/>
  <c r="BD1067" i="6"/>
  <c r="AO1067" i="6"/>
  <c r="S1067" i="6"/>
  <c r="BF1067" i="6"/>
  <c r="AY1067" i="6"/>
  <c r="AR1067" i="6"/>
  <c r="P1067" i="6"/>
  <c r="T1067" i="6"/>
  <c r="AZ1067" i="6"/>
  <c r="AN1067" i="6"/>
  <c r="Q1067" i="6"/>
  <c r="AE1067" i="6"/>
  <c r="AA1067" i="6"/>
  <c r="AB1067" i="6"/>
  <c r="AW1067" i="6"/>
  <c r="V1067" i="6"/>
  <c r="AS1067" i="6"/>
  <c r="N1067" i="6"/>
  <c r="Z1067" i="6"/>
  <c r="U1067" i="6"/>
  <c r="BB1067" i="6"/>
  <c r="H885" i="6"/>
  <c r="H848" i="6"/>
  <c r="H847" i="6"/>
  <c r="H846" i="6"/>
  <c r="H845" i="6"/>
  <c r="H844" i="6"/>
  <c r="H843" i="6"/>
  <c r="H842" i="6"/>
  <c r="H841" i="6"/>
  <c r="H840" i="6"/>
  <c r="H839" i="6"/>
  <c r="H838" i="6"/>
  <c r="H837" i="6"/>
  <c r="H836" i="6"/>
  <c r="H835" i="6"/>
  <c r="H834" i="6"/>
  <c r="H833" i="6"/>
  <c r="H832" i="6"/>
  <c r="H781" i="6"/>
  <c r="H780" i="6"/>
  <c r="H779" i="6"/>
  <c r="H739" i="6"/>
  <c r="H738" i="6"/>
  <c r="H737" i="6"/>
  <c r="H730" i="6"/>
  <c r="H729" i="6"/>
  <c r="H728" i="6"/>
  <c r="H727" i="6"/>
  <c r="H726" i="6"/>
  <c r="H725" i="6"/>
  <c r="H649" i="6"/>
  <c r="H612" i="6"/>
  <c r="H611" i="6"/>
  <c r="H610" i="6"/>
  <c r="H609" i="6"/>
  <c r="H608" i="6"/>
  <c r="H607" i="6"/>
  <c r="H606" i="6"/>
  <c r="H605" i="6"/>
  <c r="H604" i="6"/>
  <c r="H603" i="6"/>
  <c r="H602" i="6"/>
  <c r="H601" i="6"/>
  <c r="H600" i="6"/>
  <c r="H599" i="6"/>
  <c r="H598" i="6"/>
  <c r="H597" i="6"/>
  <c r="H596" i="6"/>
  <c r="H545" i="6"/>
  <c r="H544" i="6"/>
  <c r="H543" i="6"/>
  <c r="H503" i="6"/>
  <c r="H502" i="6"/>
  <c r="H501" i="6"/>
  <c r="H494" i="6"/>
  <c r="H493" i="6"/>
  <c r="H492" i="6"/>
  <c r="H491" i="6"/>
  <c r="H490" i="6"/>
  <c r="H489" i="6"/>
  <c r="H413" i="6"/>
  <c r="H376" i="6"/>
  <c r="H375" i="6"/>
  <c r="H374" i="6"/>
  <c r="H373" i="6"/>
  <c r="H372" i="6"/>
  <c r="H371" i="6"/>
  <c r="H370" i="6"/>
  <c r="H369" i="6"/>
  <c r="H368" i="6"/>
  <c r="H367" i="6"/>
  <c r="H366" i="6"/>
  <c r="H365" i="6"/>
  <c r="H364" i="6"/>
  <c r="H363" i="6"/>
  <c r="H362" i="6"/>
  <c r="H361" i="6"/>
  <c r="H360" i="6"/>
  <c r="H309" i="6"/>
  <c r="H308" i="6"/>
  <c r="H307" i="6"/>
  <c r="H267" i="6"/>
  <c r="H266" i="6"/>
  <c r="H265" i="6"/>
  <c r="H258" i="6"/>
  <c r="H257" i="6"/>
  <c r="H256" i="6"/>
  <c r="H255" i="6"/>
  <c r="H254" i="6"/>
  <c r="H253" i="6"/>
  <c r="A1193" i="6" l="1"/>
  <c r="BJ1187" i="6"/>
  <c r="A1187" i="6"/>
  <c r="A1134" i="6"/>
  <c r="A1133" i="6"/>
  <c r="A1155" i="6"/>
  <c r="A1119" i="6"/>
  <c r="A1068" i="6"/>
  <c r="A1067" i="6"/>
  <c r="A1120" i="6"/>
  <c r="A1132" i="6"/>
  <c r="A1121" i="6"/>
  <c r="A1174" i="6"/>
  <c r="A1173" i="6"/>
  <c r="A1180" i="6"/>
  <c r="A1013" i="6"/>
  <c r="A973" i="6"/>
  <c r="A972" i="6"/>
  <c r="A958" i="6"/>
  <c r="A971" i="6"/>
  <c r="A959" i="6"/>
  <c r="A1015" i="6"/>
  <c r="A1014" i="6"/>
  <c r="A1066" i="6"/>
  <c r="A1157" i="6"/>
  <c r="A1172" i="6"/>
  <c r="A1156" i="6"/>
  <c r="BJ1173" i="6"/>
  <c r="G1184" i="6"/>
  <c r="G1185" i="6"/>
  <c r="H177" i="6"/>
  <c r="H140" i="6"/>
  <c r="H139" i="6"/>
  <c r="H138" i="6"/>
  <c r="H137" i="6"/>
  <c r="H136" i="6"/>
  <c r="H135" i="6"/>
  <c r="H134" i="6"/>
  <c r="H133" i="6"/>
  <c r="H132" i="6"/>
  <c r="H131" i="6"/>
  <c r="H130" i="6"/>
  <c r="H129" i="6"/>
  <c r="H128" i="6"/>
  <c r="H127" i="6"/>
  <c r="H126" i="6"/>
  <c r="H125" i="6"/>
  <c r="H124" i="6"/>
  <c r="H73" i="6"/>
  <c r="H72" i="6"/>
  <c r="H71" i="6"/>
  <c r="H31" i="6"/>
  <c r="H30" i="6"/>
  <c r="H29" i="6"/>
  <c r="H22" i="6"/>
  <c r="H21" i="6"/>
  <c r="H20" i="6"/>
  <c r="H19" i="6"/>
  <c r="H18" i="6"/>
  <c r="H17" i="6"/>
  <c r="E975" i="1"/>
  <c r="I975" i="1"/>
  <c r="J975" i="1" s="1"/>
  <c r="L975" i="1" s="1"/>
  <c r="E976" i="1"/>
  <c r="I976" i="1"/>
  <c r="J976" i="1" s="1"/>
  <c r="L976" i="1" s="1"/>
  <c r="E977" i="1"/>
  <c r="I977" i="1"/>
  <c r="J977" i="1" s="1"/>
  <c r="E978" i="1"/>
  <c r="I978" i="1"/>
  <c r="J978" i="1" s="1"/>
  <c r="H972" i="1"/>
  <c r="I972" i="1" s="1"/>
  <c r="L972" i="1" s="1"/>
  <c r="E950" i="1"/>
  <c r="I950" i="1"/>
  <c r="J950" i="1" s="1"/>
  <c r="L950" i="1" s="1"/>
  <c r="E951" i="1"/>
  <c r="I951" i="1"/>
  <c r="J951" i="1" s="1"/>
  <c r="L951" i="1" s="1"/>
  <c r="E952" i="1"/>
  <c r="I952" i="1"/>
  <c r="J952" i="1" s="1"/>
  <c r="E953" i="1"/>
  <c r="I953" i="1"/>
  <c r="J953" i="1" s="1"/>
  <c r="E954" i="1"/>
  <c r="I954" i="1"/>
  <c r="E955" i="1"/>
  <c r="I955" i="1"/>
  <c r="E956" i="1"/>
  <c r="I956" i="1"/>
  <c r="E957" i="1"/>
  <c r="J957" i="1"/>
  <c r="E958" i="1"/>
  <c r="I958" i="1"/>
  <c r="J958" i="1" s="1"/>
  <c r="E959" i="1"/>
  <c r="I959" i="1"/>
  <c r="J959" i="1" s="1"/>
  <c r="E960" i="1"/>
  <c r="I960" i="1"/>
  <c r="J960" i="1" s="1"/>
  <c r="E961" i="1"/>
  <c r="I961" i="1"/>
  <c r="J961" i="1" s="1"/>
  <c r="E962" i="1"/>
  <c r="I962" i="1"/>
  <c r="J962" i="1" s="1"/>
  <c r="E963" i="1"/>
  <c r="I963" i="1"/>
  <c r="J963" i="1" s="1"/>
  <c r="E964" i="1"/>
  <c r="I964" i="1"/>
  <c r="E965" i="1"/>
  <c r="I965" i="1"/>
  <c r="J965" i="1" s="1"/>
  <c r="E966" i="1"/>
  <c r="I966" i="1"/>
  <c r="J966" i="1" s="1"/>
  <c r="E967" i="1"/>
  <c r="I967" i="1"/>
  <c r="J967" i="1" s="1"/>
  <c r="E968" i="1"/>
  <c r="I968" i="1"/>
  <c r="E969" i="1"/>
  <c r="I969" i="1"/>
  <c r="J969" i="1" s="1"/>
  <c r="E970" i="1"/>
  <c r="I970" i="1"/>
  <c r="E971" i="1"/>
  <c r="I971" i="1"/>
  <c r="J971" i="1" s="1"/>
  <c r="L971" i="1" s="1"/>
  <c r="E972" i="1"/>
  <c r="E973" i="1"/>
  <c r="I973" i="1"/>
  <c r="L973" i="1" s="1"/>
  <c r="E974" i="1"/>
  <c r="I974" i="1"/>
  <c r="J974" i="1" s="1"/>
  <c r="H943" i="1"/>
  <c r="I943" i="1" s="1"/>
  <c r="J943" i="1" s="1"/>
  <c r="H942" i="1"/>
  <c r="I942" i="1" s="1"/>
  <c r="H941" i="1"/>
  <c r="I941" i="1" s="1"/>
  <c r="J941" i="1" s="1"/>
  <c r="H940" i="1"/>
  <c r="I940" i="1" s="1"/>
  <c r="J940" i="1" s="1"/>
  <c r="H939" i="1"/>
  <c r="E940" i="1"/>
  <c r="E941" i="1"/>
  <c r="E942" i="1"/>
  <c r="E943" i="1"/>
  <c r="E932" i="1"/>
  <c r="I932" i="1"/>
  <c r="J932" i="1" s="1"/>
  <c r="E933" i="1"/>
  <c r="I933" i="1"/>
  <c r="J933" i="1" s="1"/>
  <c r="E945" i="1"/>
  <c r="I945" i="1"/>
  <c r="J945" i="1" s="1"/>
  <c r="L945" i="1" s="1"/>
  <c r="E946" i="1"/>
  <c r="I946" i="1"/>
  <c r="J946" i="1" s="1"/>
  <c r="L946" i="1" s="1"/>
  <c r="E947" i="1"/>
  <c r="I947" i="1"/>
  <c r="J947" i="1" s="1"/>
  <c r="L947" i="1" s="1"/>
  <c r="E948" i="1"/>
  <c r="I948" i="1"/>
  <c r="J948" i="1" s="1"/>
  <c r="L948" i="1" s="1"/>
  <c r="F32" i="5"/>
  <c r="I984" i="1"/>
  <c r="J984" i="1" s="1"/>
  <c r="I983" i="1"/>
  <c r="J983" i="1" s="1"/>
  <c r="E984" i="1"/>
  <c r="E983" i="1"/>
  <c r="H920" i="1"/>
  <c r="J954" i="1" l="1"/>
  <c r="L954" i="1" s="1"/>
  <c r="J955" i="1"/>
  <c r="L955" i="1" s="1"/>
  <c r="J964" i="1"/>
  <c r="L964" i="1" s="1"/>
  <c r="J968" i="1"/>
  <c r="L968" i="1" s="1"/>
  <c r="J970" i="1"/>
  <c r="L970" i="1" s="1"/>
  <c r="J956" i="1"/>
  <c r="L956" i="1" s="1"/>
  <c r="J1185" i="6"/>
  <c r="A1185" i="6" s="1"/>
  <c r="J1184" i="6"/>
  <c r="L943" i="1"/>
  <c r="L952" i="1"/>
  <c r="L940" i="1"/>
  <c r="L967" i="1"/>
  <c r="L960" i="1"/>
  <c r="L978" i="1"/>
  <c r="L977" i="1"/>
  <c r="L963" i="1"/>
  <c r="L959" i="1"/>
  <c r="L966" i="1"/>
  <c r="L974" i="1"/>
  <c r="L965" i="1"/>
  <c r="L961" i="1"/>
  <c r="L958" i="1"/>
  <c r="L957" i="1"/>
  <c r="L969" i="1"/>
  <c r="L932" i="1"/>
  <c r="L962" i="1"/>
  <c r="L953" i="1"/>
  <c r="J942" i="1"/>
  <c r="L942" i="1" s="1"/>
  <c r="L933" i="1"/>
  <c r="L941" i="1"/>
  <c r="L984" i="1"/>
  <c r="L983" i="1"/>
  <c r="H924" i="1"/>
  <c r="H936" i="1"/>
  <c r="H935" i="1"/>
  <c r="I935" i="1" s="1"/>
  <c r="H934" i="1"/>
  <c r="E935" i="1"/>
  <c r="H930" i="1"/>
  <c r="I930" i="1" s="1"/>
  <c r="H929" i="1"/>
  <c r="I929" i="1" s="1"/>
  <c r="J929" i="1" s="1"/>
  <c r="H928" i="1"/>
  <c r="E930" i="1"/>
  <c r="E929" i="1"/>
  <c r="I923" i="1"/>
  <c r="E923" i="1"/>
  <c r="H918" i="1"/>
  <c r="I918" i="1" s="1"/>
  <c r="J918" i="1" s="1"/>
  <c r="H916" i="1"/>
  <c r="I919" i="1"/>
  <c r="E919" i="1"/>
  <c r="E918" i="1"/>
  <c r="I917" i="1"/>
  <c r="J917" i="1" s="1"/>
  <c r="L917" i="1" s="1"/>
  <c r="E917" i="1"/>
  <c r="I891" i="1"/>
  <c r="E891" i="1"/>
  <c r="I889" i="1"/>
  <c r="E889" i="1"/>
  <c r="G79" i="7"/>
  <c r="G88" i="7"/>
  <c r="G87" i="7"/>
  <c r="G86" i="7"/>
  <c r="G85" i="7"/>
  <c r="G84" i="7"/>
  <c r="G83" i="7"/>
  <c r="G82" i="7"/>
  <c r="G81" i="7"/>
  <c r="G80" i="7"/>
  <c r="G66" i="7"/>
  <c r="G65" i="7"/>
  <c r="G64" i="7"/>
  <c r="G63" i="7"/>
  <c r="G62" i="7"/>
  <c r="G61" i="7"/>
  <c r="G60" i="7"/>
  <c r="G59" i="7"/>
  <c r="G58" i="7"/>
  <c r="G57" i="7"/>
  <c r="G44" i="7"/>
  <c r="G43" i="7"/>
  <c r="G42" i="7"/>
  <c r="G41" i="7"/>
  <c r="G40" i="7"/>
  <c r="G39" i="7"/>
  <c r="G38" i="7"/>
  <c r="G37" i="7"/>
  <c r="G36" i="7"/>
  <c r="G35" i="7"/>
  <c r="G22" i="7"/>
  <c r="G21" i="7"/>
  <c r="G20" i="7"/>
  <c r="G19" i="7"/>
  <c r="G18" i="7"/>
  <c r="G17" i="7"/>
  <c r="G16" i="7"/>
  <c r="G15" i="7"/>
  <c r="G14" i="7"/>
  <c r="G13" i="7"/>
  <c r="I13" i="7" s="1"/>
  <c r="K13" i="7"/>
  <c r="L13" i="7" s="1"/>
  <c r="H897" i="1"/>
  <c r="I897" i="1" s="1"/>
  <c r="J897" i="1" s="1"/>
  <c r="H896" i="1"/>
  <c r="E897" i="1"/>
  <c r="H899" i="1"/>
  <c r="I899" i="1" s="1"/>
  <c r="J899" i="1" s="1"/>
  <c r="L899" i="1" s="1"/>
  <c r="H898" i="1"/>
  <c r="I900" i="1"/>
  <c r="J900" i="1" s="1"/>
  <c r="L900" i="1" s="1"/>
  <c r="E900" i="1"/>
  <c r="E899" i="1"/>
  <c r="H902" i="1"/>
  <c r="I902" i="1" s="1"/>
  <c r="E902" i="1"/>
  <c r="H901" i="1"/>
  <c r="I847" i="1"/>
  <c r="J847" i="1" s="1"/>
  <c r="E847" i="1"/>
  <c r="H82" i="1"/>
  <c r="I82" i="1" s="1"/>
  <c r="J82" i="1" s="1"/>
  <c r="L82" i="1" s="1"/>
  <c r="H83" i="1"/>
  <c r="I83" i="1" s="1"/>
  <c r="H81" i="1"/>
  <c r="I81" i="1" s="1"/>
  <c r="J81" i="1" s="1"/>
  <c r="L81" i="1" s="1"/>
  <c r="H80" i="1"/>
  <c r="E83" i="1"/>
  <c r="E82" i="1"/>
  <c r="E81" i="1"/>
  <c r="E267" i="1"/>
  <c r="E84" i="1"/>
  <c r="E283" i="1"/>
  <c r="AK1181" i="6" l="1"/>
  <c r="AK957" i="6" s="1"/>
  <c r="BD1181" i="6"/>
  <c r="BD957" i="6" s="1"/>
  <c r="AB1181" i="6"/>
  <c r="AB957" i="6" s="1"/>
  <c r="AP1181" i="6"/>
  <c r="AP957" i="6" s="1"/>
  <c r="BE1181" i="6"/>
  <c r="BE957" i="6" s="1"/>
  <c r="A1184" i="6"/>
  <c r="T1181" i="6"/>
  <c r="T957" i="6" s="1"/>
  <c r="AW1181" i="6"/>
  <c r="AW957" i="6" s="1"/>
  <c r="N1181" i="6"/>
  <c r="N957" i="6" s="1"/>
  <c r="R1181" i="6"/>
  <c r="R957" i="6" s="1"/>
  <c r="AG1181" i="6"/>
  <c r="AG957" i="6" s="1"/>
  <c r="AD1181" i="6"/>
  <c r="AD957" i="6" s="1"/>
  <c r="AE1181" i="6"/>
  <c r="AE957" i="6" s="1"/>
  <c r="AS1181" i="6"/>
  <c r="AS957" i="6" s="1"/>
  <c r="AX1181" i="6"/>
  <c r="AX957" i="6" s="1"/>
  <c r="AL1181" i="6"/>
  <c r="AL957" i="6" s="1"/>
  <c r="AA1181" i="6"/>
  <c r="AA957" i="6" s="1"/>
  <c r="AN1181" i="6"/>
  <c r="AN957" i="6" s="1"/>
  <c r="AJ1181" i="6"/>
  <c r="AJ957" i="6" s="1"/>
  <c r="BC1181" i="6"/>
  <c r="BC957" i="6" s="1"/>
  <c r="AO1181" i="6"/>
  <c r="AO957" i="6" s="1"/>
  <c r="AY1181" i="6"/>
  <c r="AY957" i="6" s="1"/>
  <c r="O1181" i="6"/>
  <c r="O957" i="6" s="1"/>
  <c r="Q1181" i="6"/>
  <c r="Q957" i="6" s="1"/>
  <c r="Z1181" i="6"/>
  <c r="Z957" i="6" s="1"/>
  <c r="M1181" i="6"/>
  <c r="M957" i="6" s="1"/>
  <c r="AT1181" i="6"/>
  <c r="AT957" i="6" s="1"/>
  <c r="AF1181" i="6"/>
  <c r="AF957" i="6" s="1"/>
  <c r="S1181" i="6"/>
  <c r="S957" i="6" s="1"/>
  <c r="W1181" i="6"/>
  <c r="W957" i="6" s="1"/>
  <c r="L1181" i="6"/>
  <c r="L957" i="6" s="1"/>
  <c r="Y1181" i="6"/>
  <c r="Y957" i="6" s="1"/>
  <c r="AI1181" i="6"/>
  <c r="AI957" i="6" s="1"/>
  <c r="BB1181" i="6"/>
  <c r="BB957" i="6" s="1"/>
  <c r="V1181" i="6"/>
  <c r="V957" i="6" s="1"/>
  <c r="AH1181" i="6"/>
  <c r="AH957" i="6" s="1"/>
  <c r="AV1181" i="6"/>
  <c r="AV957" i="6" s="1"/>
  <c r="AC1181" i="6"/>
  <c r="AC957" i="6" s="1"/>
  <c r="AM1181" i="6"/>
  <c r="AM957" i="6" s="1"/>
  <c r="BG1181" i="6"/>
  <c r="BG957" i="6" s="1"/>
  <c r="X1181" i="6"/>
  <c r="X957" i="6" s="1"/>
  <c r="P1181" i="6"/>
  <c r="P957" i="6" s="1"/>
  <c r="U1181" i="6"/>
  <c r="U957" i="6" s="1"/>
  <c r="BA1181" i="6"/>
  <c r="BA957" i="6" s="1"/>
  <c r="BF1181" i="6"/>
  <c r="BF957" i="6" s="1"/>
  <c r="AR1181" i="6"/>
  <c r="AR957" i="6" s="1"/>
  <c r="AZ1181" i="6"/>
  <c r="AZ957" i="6" s="1"/>
  <c r="J1181" i="6"/>
  <c r="J1183" i="6"/>
  <c r="A1183" i="6" s="1"/>
  <c r="AU1181" i="6"/>
  <c r="AU957" i="6" s="1"/>
  <c r="AQ1181" i="6"/>
  <c r="AQ957" i="6" s="1"/>
  <c r="J935" i="1"/>
  <c r="L935" i="1" s="1"/>
  <c r="J930" i="1"/>
  <c r="L930" i="1" s="1"/>
  <c r="L929" i="1"/>
  <c r="J923" i="1"/>
  <c r="L923" i="1" s="1"/>
  <c r="J919" i="1"/>
  <c r="L919" i="1" s="1"/>
  <c r="L918" i="1"/>
  <c r="J891" i="1"/>
  <c r="L891" i="1" s="1"/>
  <c r="J889" i="1"/>
  <c r="L889" i="1" s="1"/>
  <c r="L897" i="1"/>
  <c r="J902" i="1"/>
  <c r="L902" i="1" s="1"/>
  <c r="L847" i="1"/>
  <c r="J83" i="1"/>
  <c r="L83" i="1" s="1"/>
  <c r="A1181" i="6" l="1"/>
  <c r="A1182" i="6"/>
  <c r="A1186" i="6"/>
  <c r="J957" i="6"/>
  <c r="A957" i="6" s="1"/>
  <c r="I132" i="1"/>
  <c r="L132" i="1" s="1"/>
  <c r="E384" i="1"/>
  <c r="E376" i="1"/>
  <c r="E199" i="1"/>
  <c r="E350" i="1"/>
  <c r="E763" i="1"/>
  <c r="E762" i="1"/>
  <c r="E892" i="1"/>
  <c r="E571" i="1"/>
  <c r="E773" i="1"/>
  <c r="E125" i="1"/>
  <c r="E550" i="1"/>
  <c r="E474" i="1"/>
  <c r="E349" i="1"/>
  <c r="E375" i="1"/>
  <c r="E915" i="1"/>
  <c r="E914" i="1"/>
  <c r="E913" i="1"/>
  <c r="E912" i="1"/>
  <c r="E911" i="1"/>
  <c r="E910" i="1"/>
  <c r="E909" i="1"/>
  <c r="E908" i="1"/>
  <c r="E907" i="1"/>
  <c r="E906" i="1"/>
  <c r="E905" i="1"/>
  <c r="E904" i="1"/>
  <c r="E789" i="1"/>
  <c r="E788" i="1"/>
  <c r="E787" i="1"/>
  <c r="E786" i="1"/>
  <c r="E785" i="1"/>
  <c r="E784" i="1"/>
  <c r="E783" i="1"/>
  <c r="E782" i="1"/>
  <c r="E781" i="1"/>
  <c r="E780" i="1"/>
  <c r="E779" i="1"/>
  <c r="E778" i="1"/>
  <c r="E589" i="1"/>
  <c r="E588" i="1"/>
  <c r="E587" i="1"/>
  <c r="E586" i="1"/>
  <c r="E585" i="1"/>
  <c r="E584" i="1"/>
  <c r="E583" i="1"/>
  <c r="E582" i="1"/>
  <c r="E581" i="1"/>
  <c r="E580" i="1"/>
  <c r="E579" i="1"/>
  <c r="E578" i="1"/>
  <c r="E134" i="1"/>
  <c r="I134" i="1"/>
  <c r="L134" i="1" s="1"/>
  <c r="E132" i="1"/>
  <c r="I580" i="1"/>
  <c r="L580" i="1" s="1"/>
  <c r="I582" i="1"/>
  <c r="L582" i="1" s="1"/>
  <c r="I880" i="1"/>
  <c r="E880" i="1"/>
  <c r="I879" i="1"/>
  <c r="J879" i="1" s="1"/>
  <c r="E879" i="1"/>
  <c r="I878" i="1"/>
  <c r="J878" i="1" s="1"/>
  <c r="L878" i="1" s="1"/>
  <c r="E878" i="1"/>
  <c r="I872" i="1"/>
  <c r="L872" i="1" s="1"/>
  <c r="E872" i="1"/>
  <c r="I870" i="1"/>
  <c r="L870" i="1" s="1"/>
  <c r="E870" i="1"/>
  <c r="I862" i="1"/>
  <c r="J862" i="1" s="1"/>
  <c r="E862" i="1"/>
  <c r="I874" i="1"/>
  <c r="J874" i="1" s="1"/>
  <c r="L874" i="1" s="1"/>
  <c r="E874" i="1"/>
  <c r="H185" i="1"/>
  <c r="E857" i="1"/>
  <c r="I857" i="1"/>
  <c r="J857" i="1" s="1"/>
  <c r="L857" i="1" s="1"/>
  <c r="E858" i="1"/>
  <c r="I858" i="1"/>
  <c r="J858" i="1" s="1"/>
  <c r="L858" i="1" s="1"/>
  <c r="E859" i="1"/>
  <c r="I859" i="1"/>
  <c r="J859" i="1" s="1"/>
  <c r="L859" i="1" s="1"/>
  <c r="E860" i="1"/>
  <c r="I860" i="1"/>
  <c r="J860" i="1" s="1"/>
  <c r="L860" i="1" s="1"/>
  <c r="I466" i="1"/>
  <c r="E466" i="1"/>
  <c r="I415" i="1"/>
  <c r="E415" i="1"/>
  <c r="H195" i="1"/>
  <c r="I195" i="1" s="1"/>
  <c r="E195" i="1"/>
  <c r="I61" i="1"/>
  <c r="E61" i="1"/>
  <c r="G52" i="1"/>
  <c r="G54" i="1"/>
  <c r="H53" i="1"/>
  <c r="I53" i="1" s="1"/>
  <c r="E53" i="1"/>
  <c r="H52" i="1"/>
  <c r="I52" i="1" s="1"/>
  <c r="E52" i="1"/>
  <c r="A1199" i="6"/>
  <c r="I855" i="1"/>
  <c r="J855" i="1" s="1"/>
  <c r="L855" i="1" s="1"/>
  <c r="E855" i="1"/>
  <c r="L879" i="1" l="1"/>
  <c r="L862" i="1"/>
  <c r="J880" i="1"/>
  <c r="L880" i="1" s="1"/>
  <c r="J466" i="1"/>
  <c r="L466" i="1" s="1"/>
  <c r="J415" i="1"/>
  <c r="L415" i="1" s="1"/>
  <c r="J195" i="1"/>
  <c r="L195" i="1" s="1"/>
  <c r="J61" i="1"/>
  <c r="L61" i="1" s="1"/>
  <c r="J53" i="1"/>
  <c r="L53" i="1" s="1"/>
  <c r="J52" i="1"/>
  <c r="L52" i="1" s="1"/>
  <c r="B28" i="9"/>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129" i="2"/>
  <c r="H130" i="2"/>
  <c r="H131" i="2"/>
  <c r="H132" i="2"/>
  <c r="H133" i="2"/>
  <c r="H128"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129" i="2"/>
  <c r="G130" i="2"/>
  <c r="G131" i="2"/>
  <c r="G132" i="2"/>
  <c r="G133" i="2"/>
  <c r="G134" i="2"/>
  <c r="G128" i="2"/>
  <c r="F117" i="5"/>
  <c r="F70" i="5"/>
  <c r="J1200" i="6"/>
  <c r="A1200" i="6" s="1"/>
  <c r="J1201" i="6"/>
  <c r="A1201" i="6" s="1"/>
  <c r="J1202" i="6"/>
  <c r="A1202" i="6" s="1"/>
  <c r="J1203" i="6"/>
  <c r="A1203" i="6" s="1"/>
  <c r="J1204" i="6"/>
  <c r="A1204" i="6" s="1"/>
  <c r="J1205" i="6"/>
  <c r="A1205" i="6" s="1"/>
  <c r="J1206" i="6"/>
  <c r="A1206" i="6" s="1"/>
  <c r="J1207" i="6"/>
  <c r="A1207" i="6" s="1"/>
  <c r="J1208" i="6"/>
  <c r="A1208" i="6" s="1"/>
  <c r="J1209" i="6"/>
  <c r="A1209" i="6" s="1"/>
  <c r="F51" i="5"/>
  <c r="F19" i="5"/>
  <c r="I725" i="6"/>
  <c r="I726" i="6"/>
  <c r="I727" i="6"/>
  <c r="I728" i="6"/>
  <c r="I729" i="6"/>
  <c r="I730" i="6"/>
  <c r="I731" i="6"/>
  <c r="I732"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5" i="6"/>
  <c r="I886" i="6"/>
  <c r="I887" i="6"/>
  <c r="I888" i="6"/>
  <c r="I889" i="6"/>
  <c r="I890" i="6"/>
  <c r="I891" i="6"/>
  <c r="I892" i="6"/>
  <c r="I893" i="6"/>
  <c r="I898" i="6"/>
  <c r="I899" i="6"/>
  <c r="I900" i="6"/>
  <c r="I901" i="6"/>
  <c r="I902" i="6"/>
  <c r="I903" i="6"/>
  <c r="I904" i="6"/>
  <c r="I905" i="6"/>
  <c r="I906" i="6"/>
  <c r="I907" i="6"/>
  <c r="I908" i="6"/>
  <c r="I909" i="6"/>
  <c r="I910" i="6"/>
  <c r="I911" i="6"/>
  <c r="I912" i="6"/>
  <c r="I913" i="6"/>
  <c r="I914" i="6"/>
  <c r="I915" i="6"/>
  <c r="I916" i="6"/>
  <c r="I921" i="6"/>
  <c r="I922" i="6"/>
  <c r="I923" i="6"/>
  <c r="I924" i="6"/>
  <c r="I925" i="6"/>
  <c r="I926" i="6"/>
  <c r="I927" i="6"/>
  <c r="I928" i="6"/>
  <c r="I929" i="6"/>
  <c r="I930" i="6"/>
  <c r="I931" i="6"/>
  <c r="I932" i="6"/>
  <c r="I933" i="6"/>
  <c r="I938" i="6"/>
  <c r="I939" i="6"/>
  <c r="I940" i="6"/>
  <c r="I941" i="6"/>
  <c r="I952" i="6"/>
  <c r="I953" i="6"/>
  <c r="I954" i="6"/>
  <c r="I489" i="6"/>
  <c r="I490" i="6"/>
  <c r="I491" i="6"/>
  <c r="I492" i="6"/>
  <c r="I493" i="6"/>
  <c r="I494" i="6"/>
  <c r="I495" i="6"/>
  <c r="I496"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H541"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H594"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H647" i="6"/>
  <c r="I649" i="6"/>
  <c r="I650" i="6"/>
  <c r="I651" i="6"/>
  <c r="I652" i="6"/>
  <c r="I653" i="6"/>
  <c r="I654" i="6"/>
  <c r="I655" i="6"/>
  <c r="I656" i="6"/>
  <c r="I657" i="6"/>
  <c r="H660" i="6"/>
  <c r="I662" i="6"/>
  <c r="I663" i="6"/>
  <c r="I664" i="6"/>
  <c r="I665" i="6"/>
  <c r="I666" i="6"/>
  <c r="I667" i="6"/>
  <c r="I668" i="6"/>
  <c r="I669" i="6"/>
  <c r="I670" i="6"/>
  <c r="I671" i="6"/>
  <c r="I672" i="6"/>
  <c r="I673" i="6"/>
  <c r="I674" i="6"/>
  <c r="I675" i="6"/>
  <c r="I676" i="6"/>
  <c r="I677" i="6"/>
  <c r="I678" i="6"/>
  <c r="I679" i="6"/>
  <c r="I680" i="6"/>
  <c r="H683" i="6"/>
  <c r="I685" i="6"/>
  <c r="I686" i="6"/>
  <c r="I687" i="6"/>
  <c r="I688" i="6"/>
  <c r="I689" i="6"/>
  <c r="I690" i="6"/>
  <c r="I691" i="6"/>
  <c r="I692" i="6"/>
  <c r="I693" i="6"/>
  <c r="I694" i="6"/>
  <c r="I695" i="6"/>
  <c r="I696" i="6"/>
  <c r="I697" i="6"/>
  <c r="H700" i="6"/>
  <c r="I702" i="6"/>
  <c r="I703" i="6"/>
  <c r="I704" i="6"/>
  <c r="I705" i="6"/>
  <c r="H708" i="6"/>
  <c r="I710" i="6"/>
  <c r="I711" i="6"/>
  <c r="H714" i="6"/>
  <c r="I716" i="6"/>
  <c r="I717" i="6"/>
  <c r="I718" i="6"/>
  <c r="I253" i="6"/>
  <c r="I254" i="6"/>
  <c r="I255" i="6"/>
  <c r="I256" i="6"/>
  <c r="I257" i="6"/>
  <c r="I258" i="6"/>
  <c r="I259" i="6"/>
  <c r="I260"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H305"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H358"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H411" i="6"/>
  <c r="I413" i="6"/>
  <c r="I414" i="6"/>
  <c r="I415" i="6"/>
  <c r="I416" i="6"/>
  <c r="I417" i="6"/>
  <c r="I418" i="6"/>
  <c r="I419" i="6"/>
  <c r="I420" i="6"/>
  <c r="I421" i="6"/>
  <c r="H424" i="6"/>
  <c r="I426" i="6"/>
  <c r="I427" i="6"/>
  <c r="I428" i="6"/>
  <c r="I429" i="6"/>
  <c r="I430" i="6"/>
  <c r="I431" i="6"/>
  <c r="I432" i="6"/>
  <c r="I433" i="6"/>
  <c r="I434" i="6"/>
  <c r="I435" i="6"/>
  <c r="I436" i="6"/>
  <c r="I437" i="6"/>
  <c r="I438" i="6"/>
  <c r="I439" i="6"/>
  <c r="I440" i="6"/>
  <c r="I441" i="6"/>
  <c r="I442" i="6"/>
  <c r="I443" i="6"/>
  <c r="I444" i="6"/>
  <c r="H447" i="6"/>
  <c r="I449" i="6"/>
  <c r="I450" i="6"/>
  <c r="I451" i="6"/>
  <c r="I452" i="6"/>
  <c r="I453" i="6"/>
  <c r="I454" i="6"/>
  <c r="I455" i="6"/>
  <c r="I456" i="6"/>
  <c r="I457" i="6"/>
  <c r="I458" i="6"/>
  <c r="I459" i="6"/>
  <c r="I460" i="6"/>
  <c r="I461" i="6"/>
  <c r="H464" i="6"/>
  <c r="I466" i="6"/>
  <c r="I467" i="6"/>
  <c r="I468" i="6"/>
  <c r="I469" i="6"/>
  <c r="H472" i="6"/>
  <c r="I474" i="6"/>
  <c r="I475" i="6"/>
  <c r="H478" i="6"/>
  <c r="I480" i="6"/>
  <c r="I481" i="6"/>
  <c r="I482" i="6"/>
  <c r="D418" i="7"/>
  <c r="D419" i="7"/>
  <c r="D420" i="7"/>
  <c r="D421" i="7"/>
  <c r="D422" i="7"/>
  <c r="D423" i="7"/>
  <c r="D424" i="7"/>
  <c r="D425" i="7"/>
  <c r="D426" i="7"/>
  <c r="D417" i="7"/>
  <c r="D406" i="7"/>
  <c r="D407" i="7"/>
  <c r="D408" i="7"/>
  <c r="D409" i="7"/>
  <c r="D410" i="7"/>
  <c r="D411" i="7"/>
  <c r="D412" i="7"/>
  <c r="D413" i="7"/>
  <c r="D414" i="7"/>
  <c r="D405" i="7"/>
  <c r="D394" i="7"/>
  <c r="D395" i="7"/>
  <c r="D396" i="7"/>
  <c r="D397" i="7"/>
  <c r="D398" i="7"/>
  <c r="D399" i="7"/>
  <c r="D400" i="7"/>
  <c r="D401" i="7"/>
  <c r="D402" i="7"/>
  <c r="D393" i="7"/>
  <c r="D382" i="7"/>
  <c r="D383" i="7"/>
  <c r="D384" i="7"/>
  <c r="D385" i="7"/>
  <c r="D386" i="7"/>
  <c r="D387" i="7"/>
  <c r="D388" i="7"/>
  <c r="D389" i="7"/>
  <c r="D381" i="7"/>
  <c r="D368" i="7"/>
  <c r="D369" i="7"/>
  <c r="D370" i="7"/>
  <c r="D371" i="7"/>
  <c r="D372" i="7"/>
  <c r="D373" i="7"/>
  <c r="D374" i="7"/>
  <c r="D375" i="7"/>
  <c r="N404" i="7"/>
  <c r="O404" i="7"/>
  <c r="P404" i="7"/>
  <c r="Q404" i="7"/>
  <c r="R404" i="7"/>
  <c r="S404" i="7"/>
  <c r="T404" i="7"/>
  <c r="U404" i="7"/>
  <c r="V404" i="7"/>
  <c r="W404" i="7"/>
  <c r="X404" i="7"/>
  <c r="Y404" i="7"/>
  <c r="Z404" i="7"/>
  <c r="AA404" i="7"/>
  <c r="AB404" i="7"/>
  <c r="AC404" i="7"/>
  <c r="AD404" i="7"/>
  <c r="AE404" i="7"/>
  <c r="AF404" i="7"/>
  <c r="AG404" i="7"/>
  <c r="AH404" i="7"/>
  <c r="AI404" i="7"/>
  <c r="AJ404" i="7"/>
  <c r="AK404" i="7"/>
  <c r="AL404" i="7"/>
  <c r="AM404" i="7"/>
  <c r="BN404" i="7"/>
  <c r="BO404" i="7"/>
  <c r="BP404" i="7"/>
  <c r="BQ404" i="7"/>
  <c r="BR404" i="7"/>
  <c r="BS404" i="7"/>
  <c r="BT404" i="7"/>
  <c r="BU404" i="7"/>
  <c r="BV404" i="7"/>
  <c r="BW404" i="7"/>
  <c r="BX404" i="7"/>
  <c r="BY404" i="7"/>
  <c r="BZ404" i="7"/>
  <c r="CA404" i="7"/>
  <c r="CB404" i="7"/>
  <c r="CC404" i="7"/>
  <c r="CD404" i="7"/>
  <c r="CE404" i="7"/>
  <c r="CF404" i="7"/>
  <c r="CG404" i="7"/>
  <c r="CH404" i="7"/>
  <c r="CI404" i="7"/>
  <c r="CJ404" i="7"/>
  <c r="CK404" i="7"/>
  <c r="CL404" i="7"/>
  <c r="CM404" i="7"/>
  <c r="CN404" i="7"/>
  <c r="CO404" i="7"/>
  <c r="CP404" i="7"/>
  <c r="CQ404" i="7"/>
  <c r="CR404" i="7"/>
  <c r="CS404" i="7"/>
  <c r="CT404" i="7"/>
  <c r="CU404" i="7"/>
  <c r="CV404" i="7"/>
  <c r="CW404" i="7"/>
  <c r="CX404" i="7"/>
  <c r="CY404" i="7"/>
  <c r="CZ404" i="7"/>
  <c r="DA404" i="7"/>
  <c r="DB404" i="7"/>
  <c r="DC404" i="7"/>
  <c r="DD404" i="7"/>
  <c r="DE404" i="7"/>
  <c r="DF404" i="7"/>
  <c r="DG404" i="7"/>
  <c r="DH404" i="7"/>
  <c r="DI404" i="7"/>
  <c r="I405" i="7"/>
  <c r="K405" i="7"/>
  <c r="L405" i="7" s="1"/>
  <c r="BL405" i="7"/>
  <c r="I406" i="7"/>
  <c r="K406" i="7"/>
  <c r="L406" i="7" s="1"/>
  <c r="BL406" i="7"/>
  <c r="I407" i="7"/>
  <c r="K407" i="7"/>
  <c r="L407" i="7" s="1"/>
  <c r="BL407" i="7"/>
  <c r="I408" i="7"/>
  <c r="K408" i="7"/>
  <c r="L408" i="7" s="1"/>
  <c r="BL408" i="7"/>
  <c r="I409" i="7"/>
  <c r="K409" i="7"/>
  <c r="L409" i="7" s="1"/>
  <c r="BL409" i="7"/>
  <c r="I410" i="7"/>
  <c r="K410" i="7"/>
  <c r="L410" i="7" s="1"/>
  <c r="BL410" i="7"/>
  <c r="I411" i="7"/>
  <c r="K411" i="7"/>
  <c r="L411" i="7" s="1"/>
  <c r="BL411" i="7"/>
  <c r="I412" i="7"/>
  <c r="K412" i="7"/>
  <c r="L412" i="7" s="1"/>
  <c r="BL412" i="7"/>
  <c r="I413" i="7"/>
  <c r="K413" i="7"/>
  <c r="L413" i="7" s="1"/>
  <c r="BL413" i="7"/>
  <c r="I414" i="7"/>
  <c r="K414" i="7"/>
  <c r="L414" i="7" s="1"/>
  <c r="BL414" i="7"/>
  <c r="N380" i="7"/>
  <c r="O380" i="7"/>
  <c r="P380" i="7"/>
  <c r="Q380" i="7"/>
  <c r="R380" i="7"/>
  <c r="S380" i="7"/>
  <c r="T380" i="7"/>
  <c r="U380" i="7"/>
  <c r="V380" i="7"/>
  <c r="W380" i="7"/>
  <c r="X380" i="7"/>
  <c r="Y380" i="7"/>
  <c r="Z380" i="7"/>
  <c r="AA380" i="7"/>
  <c r="AB380" i="7"/>
  <c r="AC380" i="7"/>
  <c r="AD380" i="7"/>
  <c r="AE380" i="7"/>
  <c r="AF380" i="7"/>
  <c r="AG380" i="7"/>
  <c r="AH380" i="7"/>
  <c r="AI380" i="7"/>
  <c r="AJ380" i="7"/>
  <c r="AK380" i="7"/>
  <c r="AL380" i="7"/>
  <c r="AM380" i="7"/>
  <c r="BN380" i="7"/>
  <c r="BO380" i="7"/>
  <c r="BP380" i="7"/>
  <c r="BQ380" i="7"/>
  <c r="BR380" i="7"/>
  <c r="BS380" i="7"/>
  <c r="BT380" i="7"/>
  <c r="BU380" i="7"/>
  <c r="BV380" i="7"/>
  <c r="BW380" i="7"/>
  <c r="BX380" i="7"/>
  <c r="BY380" i="7"/>
  <c r="BZ380" i="7"/>
  <c r="CA380" i="7"/>
  <c r="CB380" i="7"/>
  <c r="CC380" i="7"/>
  <c r="CD380" i="7"/>
  <c r="CE380" i="7"/>
  <c r="CF380" i="7"/>
  <c r="CG380" i="7"/>
  <c r="CH380" i="7"/>
  <c r="CI380" i="7"/>
  <c r="CJ380" i="7"/>
  <c r="CK380" i="7"/>
  <c r="CL380" i="7"/>
  <c r="CM380" i="7"/>
  <c r="CN380" i="7"/>
  <c r="CO380" i="7"/>
  <c r="CP380" i="7"/>
  <c r="CQ380" i="7"/>
  <c r="CR380" i="7"/>
  <c r="CS380" i="7"/>
  <c r="CT380" i="7"/>
  <c r="CU380" i="7"/>
  <c r="CV380" i="7"/>
  <c r="CW380" i="7"/>
  <c r="CX380" i="7"/>
  <c r="CY380" i="7"/>
  <c r="CZ380" i="7"/>
  <c r="DA380" i="7"/>
  <c r="DB380" i="7"/>
  <c r="DC380" i="7"/>
  <c r="DD380" i="7"/>
  <c r="DE380" i="7"/>
  <c r="DF380" i="7"/>
  <c r="DG380" i="7"/>
  <c r="DH380" i="7"/>
  <c r="DI380" i="7"/>
  <c r="I381" i="7"/>
  <c r="K381" i="7"/>
  <c r="L381" i="7" s="1"/>
  <c r="BL381" i="7"/>
  <c r="I382" i="7"/>
  <c r="K382" i="7"/>
  <c r="L382" i="7" s="1"/>
  <c r="BL382" i="7"/>
  <c r="I383" i="7"/>
  <c r="K383" i="7"/>
  <c r="L383" i="7" s="1"/>
  <c r="BL383" i="7"/>
  <c r="I384" i="7"/>
  <c r="K384" i="7"/>
  <c r="L384" i="7" s="1"/>
  <c r="BL384" i="7"/>
  <c r="I385" i="7"/>
  <c r="K385" i="7"/>
  <c r="L385" i="7" s="1"/>
  <c r="BL385" i="7"/>
  <c r="I386" i="7"/>
  <c r="K386" i="7"/>
  <c r="L386" i="7" s="1"/>
  <c r="BL386" i="7"/>
  <c r="I387" i="7"/>
  <c r="K387" i="7"/>
  <c r="L387" i="7" s="1"/>
  <c r="BL387" i="7"/>
  <c r="I388" i="7"/>
  <c r="K388" i="7"/>
  <c r="L388" i="7" s="1"/>
  <c r="BL388" i="7"/>
  <c r="I389" i="7"/>
  <c r="K389" i="7"/>
  <c r="L389" i="7" s="1"/>
  <c r="BL389" i="7"/>
  <c r="N392" i="7"/>
  <c r="O392" i="7"/>
  <c r="P392" i="7"/>
  <c r="Q392" i="7"/>
  <c r="R392" i="7"/>
  <c r="S392" i="7"/>
  <c r="T392" i="7"/>
  <c r="U392" i="7"/>
  <c r="V392" i="7"/>
  <c r="W392" i="7"/>
  <c r="X392" i="7"/>
  <c r="Y392" i="7"/>
  <c r="Z392" i="7"/>
  <c r="AA392" i="7"/>
  <c r="AB392" i="7"/>
  <c r="AC392" i="7"/>
  <c r="AD392" i="7"/>
  <c r="AE392" i="7"/>
  <c r="AF392" i="7"/>
  <c r="AG392" i="7"/>
  <c r="AH392" i="7"/>
  <c r="AI392" i="7"/>
  <c r="AJ392" i="7"/>
  <c r="AK392" i="7"/>
  <c r="AL392" i="7"/>
  <c r="AM392" i="7"/>
  <c r="BN392" i="7"/>
  <c r="BO392" i="7"/>
  <c r="BP392" i="7"/>
  <c r="BQ392" i="7"/>
  <c r="BR392" i="7"/>
  <c r="BS392" i="7"/>
  <c r="BT392" i="7"/>
  <c r="BU392" i="7"/>
  <c r="BV392" i="7"/>
  <c r="BW392" i="7"/>
  <c r="BX392" i="7"/>
  <c r="BY392" i="7"/>
  <c r="BZ392" i="7"/>
  <c r="CA392" i="7"/>
  <c r="CB392" i="7"/>
  <c r="CC392" i="7"/>
  <c r="CD392" i="7"/>
  <c r="CE392" i="7"/>
  <c r="CF392" i="7"/>
  <c r="CG392" i="7"/>
  <c r="CH392" i="7"/>
  <c r="CI392" i="7"/>
  <c r="CJ392" i="7"/>
  <c r="CK392" i="7"/>
  <c r="CL392" i="7"/>
  <c r="CM392" i="7"/>
  <c r="CN392" i="7"/>
  <c r="CO392" i="7"/>
  <c r="CP392" i="7"/>
  <c r="CQ392" i="7"/>
  <c r="CR392" i="7"/>
  <c r="CS392" i="7"/>
  <c r="CT392" i="7"/>
  <c r="CU392" i="7"/>
  <c r="CV392" i="7"/>
  <c r="CW392" i="7"/>
  <c r="CX392" i="7"/>
  <c r="CY392" i="7"/>
  <c r="CZ392" i="7"/>
  <c r="DA392" i="7"/>
  <c r="DB392" i="7"/>
  <c r="DC392" i="7"/>
  <c r="DD392" i="7"/>
  <c r="DE392" i="7"/>
  <c r="DF392" i="7"/>
  <c r="DG392" i="7"/>
  <c r="DH392" i="7"/>
  <c r="DI392" i="7"/>
  <c r="I393" i="7"/>
  <c r="K393" i="7"/>
  <c r="L393" i="7" s="1"/>
  <c r="BL393" i="7"/>
  <c r="I394" i="7"/>
  <c r="K394" i="7"/>
  <c r="L394" i="7" s="1"/>
  <c r="BL394" i="7"/>
  <c r="I395" i="7"/>
  <c r="K395" i="7"/>
  <c r="L395" i="7" s="1"/>
  <c r="BL395" i="7"/>
  <c r="I396" i="7"/>
  <c r="K396" i="7"/>
  <c r="L396" i="7" s="1"/>
  <c r="BL396" i="7"/>
  <c r="I397" i="7"/>
  <c r="K397" i="7"/>
  <c r="L397" i="7" s="1"/>
  <c r="BL397" i="7"/>
  <c r="I398" i="7"/>
  <c r="K398" i="7"/>
  <c r="L398" i="7" s="1"/>
  <c r="BL398" i="7"/>
  <c r="I399" i="7"/>
  <c r="K399" i="7"/>
  <c r="L399" i="7" s="1"/>
  <c r="BL399" i="7"/>
  <c r="I400" i="7"/>
  <c r="K400" i="7"/>
  <c r="L400" i="7" s="1"/>
  <c r="BL400" i="7"/>
  <c r="I401" i="7"/>
  <c r="K401" i="7"/>
  <c r="L401" i="7" s="1"/>
  <c r="BL401" i="7"/>
  <c r="I402" i="7"/>
  <c r="K402" i="7"/>
  <c r="L402" i="7" s="1"/>
  <c r="BL402" i="7"/>
  <c r="BK410" i="7" l="1"/>
  <c r="BK412" i="7"/>
  <c r="BK406" i="7"/>
  <c r="BL404" i="7"/>
  <c r="BK414" i="7"/>
  <c r="BK401" i="7"/>
  <c r="BK382" i="7"/>
  <c r="BK409" i="7"/>
  <c r="L380" i="7"/>
  <c r="BK400" i="7"/>
  <c r="BK384" i="7"/>
  <c r="BK408" i="7"/>
  <c r="BK413" i="7"/>
  <c r="I404" i="7"/>
  <c r="BK407" i="7"/>
  <c r="J420" i="6"/>
  <c r="A420" i="6" s="1"/>
  <c r="J369" i="6"/>
  <c r="A369" i="6" s="1"/>
  <c r="J326" i="6"/>
  <c r="A326" i="6" s="1"/>
  <c r="J283" i="6"/>
  <c r="A283" i="6" s="1"/>
  <c r="J615" i="6"/>
  <c r="A615" i="6" s="1"/>
  <c r="J580" i="6"/>
  <c r="A580" i="6" s="1"/>
  <c r="J529" i="6"/>
  <c r="A529" i="6" s="1"/>
  <c r="J941" i="6"/>
  <c r="A941" i="6" s="1"/>
  <c r="J901" i="6"/>
  <c r="A901" i="6" s="1"/>
  <c r="J869" i="6"/>
  <c r="A869" i="6" s="1"/>
  <c r="J809" i="6"/>
  <c r="A809" i="6" s="1"/>
  <c r="J757" i="6"/>
  <c r="A757" i="6" s="1"/>
  <c r="J468" i="6"/>
  <c r="A468" i="6" s="1"/>
  <c r="J438" i="6"/>
  <c r="A438" i="6" s="1"/>
  <c r="J408" i="6"/>
  <c r="A408" i="6" s="1"/>
  <c r="J384" i="6"/>
  <c r="A384" i="6" s="1"/>
  <c r="J360" i="6"/>
  <c r="A360" i="6" s="1"/>
  <c r="J333" i="6"/>
  <c r="A333" i="6" s="1"/>
  <c r="J309" i="6"/>
  <c r="A309" i="6" s="1"/>
  <c r="J282" i="6"/>
  <c r="A282" i="6" s="1"/>
  <c r="J254" i="6"/>
  <c r="A254" i="6" s="1"/>
  <c r="J687" i="6"/>
  <c r="A687" i="6" s="1"/>
  <c r="J657" i="6"/>
  <c r="A657" i="6" s="1"/>
  <c r="J630" i="6"/>
  <c r="A630" i="6" s="1"/>
  <c r="J606" i="6"/>
  <c r="A606" i="6" s="1"/>
  <c r="J579" i="6"/>
  <c r="A579" i="6" s="1"/>
  <c r="J555" i="6"/>
  <c r="A555" i="6" s="1"/>
  <c r="J536" i="6"/>
  <c r="A536" i="6" s="1"/>
  <c r="J512" i="6"/>
  <c r="A512" i="6" s="1"/>
  <c r="J940" i="6"/>
  <c r="A940" i="6" s="1"/>
  <c r="J900" i="6"/>
  <c r="A900" i="6" s="1"/>
  <c r="J860" i="6"/>
  <c r="A860" i="6" s="1"/>
  <c r="J836" i="6"/>
  <c r="A836" i="6" s="1"/>
  <c r="J808" i="6"/>
  <c r="A808" i="6" s="1"/>
  <c r="J772" i="6"/>
  <c r="A772" i="6" s="1"/>
  <c r="J740" i="6"/>
  <c r="A740" i="6" s="1"/>
  <c r="J481" i="6"/>
  <c r="A481" i="6" s="1"/>
  <c r="J467" i="6"/>
  <c r="A467" i="6" s="1"/>
  <c r="J456" i="6"/>
  <c r="A456" i="6" s="1"/>
  <c r="J437" i="6"/>
  <c r="A437" i="6" s="1"/>
  <c r="J429" i="6"/>
  <c r="A429" i="6" s="1"/>
  <c r="J418" i="6"/>
  <c r="A418" i="6" s="1"/>
  <c r="J407" i="6"/>
  <c r="A407" i="6" s="1"/>
  <c r="J399" i="6"/>
  <c r="A399" i="6" s="1"/>
  <c r="J391" i="6"/>
  <c r="A391" i="6" s="1"/>
  <c r="J383" i="6"/>
  <c r="A383" i="6" s="1"/>
  <c r="J375" i="6"/>
  <c r="A375" i="6" s="1"/>
  <c r="J367" i="6"/>
  <c r="A367" i="6" s="1"/>
  <c r="J348" i="6"/>
  <c r="A348" i="6" s="1"/>
  <c r="J340" i="6"/>
  <c r="A340" i="6" s="1"/>
  <c r="J332" i="6"/>
  <c r="A332" i="6" s="1"/>
  <c r="J324" i="6"/>
  <c r="A324" i="6" s="1"/>
  <c r="J316" i="6"/>
  <c r="A316" i="6" s="1"/>
  <c r="J308" i="6"/>
  <c r="A308" i="6" s="1"/>
  <c r="J297" i="6"/>
  <c r="A297" i="6" s="1"/>
  <c r="J289" i="6"/>
  <c r="A289" i="6" s="1"/>
  <c r="J281" i="6"/>
  <c r="A281" i="6" s="1"/>
  <c r="J273" i="6"/>
  <c r="A273" i="6" s="1"/>
  <c r="J265" i="6"/>
  <c r="A265" i="6" s="1"/>
  <c r="J253" i="6"/>
  <c r="A253" i="6" s="1"/>
  <c r="J705" i="6"/>
  <c r="A705" i="6" s="1"/>
  <c r="J694" i="6"/>
  <c r="A694" i="6" s="1"/>
  <c r="J686" i="6"/>
  <c r="A686" i="6" s="1"/>
  <c r="J675" i="6"/>
  <c r="A675" i="6" s="1"/>
  <c r="J667" i="6"/>
  <c r="A667" i="6" s="1"/>
  <c r="J656" i="6"/>
  <c r="A656" i="6" s="1"/>
  <c r="J637" i="6"/>
  <c r="A637" i="6" s="1"/>
  <c r="J629" i="6"/>
  <c r="A629" i="6" s="1"/>
  <c r="J621" i="6"/>
  <c r="A621" i="6" s="1"/>
  <c r="J613" i="6"/>
  <c r="A613" i="6" s="1"/>
  <c r="J605" i="6"/>
  <c r="A605" i="6" s="1"/>
  <c r="J597" i="6"/>
  <c r="A597" i="6" s="1"/>
  <c r="J586" i="6"/>
  <c r="A586" i="6" s="1"/>
  <c r="J578" i="6"/>
  <c r="A578" i="6" s="1"/>
  <c r="J570" i="6"/>
  <c r="A570" i="6" s="1"/>
  <c r="J562" i="6"/>
  <c r="A562" i="6" s="1"/>
  <c r="J554" i="6"/>
  <c r="A554" i="6" s="1"/>
  <c r="J546" i="6"/>
  <c r="A546" i="6" s="1"/>
  <c r="J535" i="6"/>
  <c r="A535" i="6" s="1"/>
  <c r="J527" i="6"/>
  <c r="A527" i="6" s="1"/>
  <c r="J519" i="6"/>
  <c r="A519" i="6" s="1"/>
  <c r="J511" i="6"/>
  <c r="A511" i="6" s="1"/>
  <c r="J503" i="6"/>
  <c r="A503" i="6" s="1"/>
  <c r="J491" i="6"/>
  <c r="A491" i="6" s="1"/>
  <c r="J939" i="6"/>
  <c r="A939" i="6" s="1"/>
  <c r="J927" i="6"/>
  <c r="A927" i="6" s="1"/>
  <c r="J915" i="6"/>
  <c r="A915" i="6" s="1"/>
  <c r="J907" i="6"/>
  <c r="A907" i="6" s="1"/>
  <c r="J899" i="6"/>
  <c r="A899" i="6" s="1"/>
  <c r="J887" i="6"/>
  <c r="A887" i="6" s="1"/>
  <c r="J875" i="6"/>
  <c r="A875" i="6" s="1"/>
  <c r="J867" i="6"/>
  <c r="A867" i="6" s="1"/>
  <c r="J859" i="6"/>
  <c r="A859" i="6" s="1"/>
  <c r="J851" i="6"/>
  <c r="A851" i="6" s="1"/>
  <c r="J843" i="6"/>
  <c r="A843" i="6" s="1"/>
  <c r="J835" i="6"/>
  <c r="A835" i="6" s="1"/>
  <c r="J823" i="6"/>
  <c r="A823" i="6" s="1"/>
  <c r="J815" i="6"/>
  <c r="A815" i="6" s="1"/>
  <c r="J807" i="6"/>
  <c r="A807" i="6" s="1"/>
  <c r="J799" i="6"/>
  <c r="A799" i="6" s="1"/>
  <c r="J791" i="6"/>
  <c r="A791" i="6" s="1"/>
  <c r="J783" i="6"/>
  <c r="A783" i="6" s="1"/>
  <c r="J771" i="6"/>
  <c r="A771" i="6" s="1"/>
  <c r="J763" i="6"/>
  <c r="A763" i="6" s="1"/>
  <c r="J755" i="6"/>
  <c r="A755" i="6" s="1"/>
  <c r="J747" i="6"/>
  <c r="A747" i="6" s="1"/>
  <c r="J739" i="6"/>
  <c r="A739" i="6" s="1"/>
  <c r="J727" i="6"/>
  <c r="A727" i="6" s="1"/>
  <c r="J450" i="6"/>
  <c r="A450" i="6" s="1"/>
  <c r="J393" i="6"/>
  <c r="A393" i="6" s="1"/>
  <c r="J342" i="6"/>
  <c r="A342" i="6" s="1"/>
  <c r="J291" i="6"/>
  <c r="A291" i="6" s="1"/>
  <c r="J696" i="6"/>
  <c r="A696" i="6" s="1"/>
  <c r="J639" i="6"/>
  <c r="A639" i="6" s="1"/>
  <c r="J599" i="6"/>
  <c r="A599" i="6" s="1"/>
  <c r="J556" i="6"/>
  <c r="A556" i="6" s="1"/>
  <c r="J505" i="6"/>
  <c r="A505" i="6" s="1"/>
  <c r="J889" i="6"/>
  <c r="A889" i="6" s="1"/>
  <c r="J837" i="6"/>
  <c r="A837" i="6" s="1"/>
  <c r="J773" i="6"/>
  <c r="A773" i="6" s="1"/>
  <c r="J457" i="6"/>
  <c r="A457" i="6" s="1"/>
  <c r="J430" i="6"/>
  <c r="A430" i="6" s="1"/>
  <c r="J400" i="6"/>
  <c r="A400" i="6" s="1"/>
  <c r="J368" i="6"/>
  <c r="A368" i="6" s="1"/>
  <c r="J341" i="6"/>
  <c r="A341" i="6" s="1"/>
  <c r="J325" i="6"/>
  <c r="A325" i="6" s="1"/>
  <c r="J298" i="6"/>
  <c r="A298" i="6" s="1"/>
  <c r="J274" i="6"/>
  <c r="A274" i="6" s="1"/>
  <c r="J676" i="6"/>
  <c r="A676" i="6" s="1"/>
  <c r="J649" i="6"/>
  <c r="A649" i="6" s="1"/>
  <c r="J622" i="6"/>
  <c r="A622" i="6" s="1"/>
  <c r="J587" i="6"/>
  <c r="A587" i="6" s="1"/>
  <c r="J563" i="6"/>
  <c r="A563" i="6" s="1"/>
  <c r="J528" i="6"/>
  <c r="A528" i="6" s="1"/>
  <c r="J504" i="6"/>
  <c r="A504" i="6" s="1"/>
  <c r="J928" i="6"/>
  <c r="A928" i="6" s="1"/>
  <c r="J908" i="6"/>
  <c r="A908" i="6" s="1"/>
  <c r="J876" i="6"/>
  <c r="A876" i="6" s="1"/>
  <c r="J844" i="6"/>
  <c r="A844" i="6" s="1"/>
  <c r="J816" i="6"/>
  <c r="A816" i="6" s="1"/>
  <c r="J792" i="6"/>
  <c r="A792" i="6" s="1"/>
  <c r="J756" i="6"/>
  <c r="A756" i="6" s="1"/>
  <c r="J466" i="6"/>
  <c r="J455" i="6"/>
  <c r="A455" i="6" s="1"/>
  <c r="J436" i="6"/>
  <c r="A436" i="6" s="1"/>
  <c r="J417" i="6"/>
  <c r="A417" i="6" s="1"/>
  <c r="J398" i="6"/>
  <c r="A398" i="6" s="1"/>
  <c r="J382" i="6"/>
  <c r="A382" i="6" s="1"/>
  <c r="J366" i="6"/>
  <c r="A366" i="6" s="1"/>
  <c r="J347" i="6"/>
  <c r="A347" i="6" s="1"/>
  <c r="J331" i="6"/>
  <c r="A331" i="6" s="1"/>
  <c r="J315" i="6"/>
  <c r="A315" i="6" s="1"/>
  <c r="J296" i="6"/>
  <c r="A296" i="6" s="1"/>
  <c r="J280" i="6"/>
  <c r="A280" i="6" s="1"/>
  <c r="J260" i="6"/>
  <c r="A260" i="6" s="1"/>
  <c r="J704" i="6"/>
  <c r="A704" i="6" s="1"/>
  <c r="J685" i="6"/>
  <c r="A685" i="6" s="1"/>
  <c r="J666" i="6"/>
  <c r="A666" i="6" s="1"/>
  <c r="J644" i="6"/>
  <c r="A644" i="6" s="1"/>
  <c r="J628" i="6"/>
  <c r="A628" i="6" s="1"/>
  <c r="J612" i="6"/>
  <c r="A612" i="6" s="1"/>
  <c r="J585" i="6"/>
  <c r="A585" i="6" s="1"/>
  <c r="J569" i="6"/>
  <c r="A569" i="6" s="1"/>
  <c r="J553" i="6"/>
  <c r="A553" i="6" s="1"/>
  <c r="J534" i="6"/>
  <c r="A534" i="6" s="1"/>
  <c r="J518" i="6"/>
  <c r="A518" i="6" s="1"/>
  <c r="J502" i="6"/>
  <c r="A502" i="6" s="1"/>
  <c r="J938" i="6"/>
  <c r="J914" i="6"/>
  <c r="A914" i="6" s="1"/>
  <c r="J886" i="6"/>
  <c r="A886" i="6" s="1"/>
  <c r="J866" i="6"/>
  <c r="A866" i="6" s="1"/>
  <c r="J850" i="6"/>
  <c r="A850" i="6" s="1"/>
  <c r="J834" i="6"/>
  <c r="A834" i="6" s="1"/>
  <c r="J814" i="6"/>
  <c r="A814" i="6" s="1"/>
  <c r="J798" i="6"/>
  <c r="A798" i="6" s="1"/>
  <c r="J782" i="6"/>
  <c r="A782" i="6" s="1"/>
  <c r="J762" i="6"/>
  <c r="A762" i="6" s="1"/>
  <c r="J754" i="6"/>
  <c r="A754" i="6" s="1"/>
  <c r="J738" i="6"/>
  <c r="A738" i="6" s="1"/>
  <c r="J726" i="6"/>
  <c r="A726" i="6" s="1"/>
  <c r="J454" i="6"/>
  <c r="A454" i="6" s="1"/>
  <c r="J443" i="6"/>
  <c r="A443" i="6" s="1"/>
  <c r="J435" i="6"/>
  <c r="A435" i="6" s="1"/>
  <c r="J427" i="6"/>
  <c r="A427" i="6" s="1"/>
  <c r="J416" i="6"/>
  <c r="A416" i="6" s="1"/>
  <c r="J405" i="6"/>
  <c r="A405" i="6" s="1"/>
  <c r="J397" i="6"/>
  <c r="A397" i="6" s="1"/>
  <c r="J389" i="6"/>
  <c r="A389" i="6" s="1"/>
  <c r="J381" i="6"/>
  <c r="A381" i="6" s="1"/>
  <c r="J373" i="6"/>
  <c r="A373" i="6" s="1"/>
  <c r="J365" i="6"/>
  <c r="A365" i="6" s="1"/>
  <c r="J354" i="6"/>
  <c r="A354" i="6" s="1"/>
  <c r="J346" i="6"/>
  <c r="A346" i="6" s="1"/>
  <c r="J338" i="6"/>
  <c r="A338" i="6" s="1"/>
  <c r="J330" i="6"/>
  <c r="A330" i="6" s="1"/>
  <c r="J322" i="6"/>
  <c r="A322" i="6" s="1"/>
  <c r="J314" i="6"/>
  <c r="A314" i="6" s="1"/>
  <c r="J295" i="6"/>
  <c r="A295" i="6" s="1"/>
  <c r="J287" i="6"/>
  <c r="A287" i="6" s="1"/>
  <c r="J279" i="6"/>
  <c r="A279" i="6" s="1"/>
  <c r="J271" i="6"/>
  <c r="A271" i="6" s="1"/>
  <c r="J259" i="6"/>
  <c r="A259" i="6" s="1"/>
  <c r="J717" i="6"/>
  <c r="A717" i="6" s="1"/>
  <c r="J703" i="6"/>
  <c r="A703" i="6" s="1"/>
  <c r="J692" i="6"/>
  <c r="A692" i="6" s="1"/>
  <c r="J673" i="6"/>
  <c r="A673" i="6" s="1"/>
  <c r="J665" i="6"/>
  <c r="A665" i="6" s="1"/>
  <c r="J654" i="6"/>
  <c r="A654" i="6" s="1"/>
  <c r="J643" i="6"/>
  <c r="A643" i="6" s="1"/>
  <c r="J635" i="6"/>
  <c r="A635" i="6" s="1"/>
  <c r="J627" i="6"/>
  <c r="A627" i="6" s="1"/>
  <c r="J619" i="6"/>
  <c r="A619" i="6" s="1"/>
  <c r="J611" i="6"/>
  <c r="A611" i="6" s="1"/>
  <c r="J603" i="6"/>
  <c r="A603" i="6" s="1"/>
  <c r="J584" i="6"/>
  <c r="A584" i="6" s="1"/>
  <c r="J576" i="6"/>
  <c r="A576" i="6" s="1"/>
  <c r="J568" i="6"/>
  <c r="A568" i="6" s="1"/>
  <c r="J560" i="6"/>
  <c r="A560" i="6" s="1"/>
  <c r="J552" i="6"/>
  <c r="A552" i="6" s="1"/>
  <c r="J544" i="6"/>
  <c r="A544" i="6" s="1"/>
  <c r="J533" i="6"/>
  <c r="A533" i="6" s="1"/>
  <c r="J525" i="6"/>
  <c r="A525" i="6" s="1"/>
  <c r="J517" i="6"/>
  <c r="A517" i="6" s="1"/>
  <c r="J509" i="6"/>
  <c r="A509" i="6" s="1"/>
  <c r="J501" i="6"/>
  <c r="A501" i="6" s="1"/>
  <c r="J489" i="6"/>
  <c r="A489" i="6" s="1"/>
  <c r="J933" i="6"/>
  <c r="A933" i="6" s="1"/>
  <c r="J925" i="6"/>
  <c r="A925" i="6" s="1"/>
  <c r="J913" i="6"/>
  <c r="A913" i="6" s="1"/>
  <c r="J905" i="6"/>
  <c r="A905" i="6" s="1"/>
  <c r="J893" i="6"/>
  <c r="A893" i="6" s="1"/>
  <c r="J885" i="6"/>
  <c r="A885" i="6" s="1"/>
  <c r="J873" i="6"/>
  <c r="A873" i="6" s="1"/>
  <c r="J865" i="6"/>
  <c r="A865" i="6" s="1"/>
  <c r="J857" i="6"/>
  <c r="A857" i="6" s="1"/>
  <c r="J849" i="6"/>
  <c r="A849" i="6" s="1"/>
  <c r="J841" i="6"/>
  <c r="A841" i="6" s="1"/>
  <c r="J833" i="6"/>
  <c r="A833" i="6" s="1"/>
  <c r="J821" i="6"/>
  <c r="A821" i="6" s="1"/>
  <c r="J813" i="6"/>
  <c r="A813" i="6" s="1"/>
  <c r="J805" i="6"/>
  <c r="A805" i="6" s="1"/>
  <c r="J797" i="6"/>
  <c r="A797" i="6" s="1"/>
  <c r="J789" i="6"/>
  <c r="A789" i="6" s="1"/>
  <c r="J781" i="6"/>
  <c r="A781" i="6" s="1"/>
  <c r="J769" i="6"/>
  <c r="A769" i="6" s="1"/>
  <c r="J761" i="6"/>
  <c r="A761" i="6" s="1"/>
  <c r="J753" i="6"/>
  <c r="A753" i="6" s="1"/>
  <c r="J745" i="6"/>
  <c r="A745" i="6" s="1"/>
  <c r="J737" i="6"/>
  <c r="A737" i="6" s="1"/>
  <c r="J725" i="6"/>
  <c r="A725" i="6" s="1"/>
  <c r="J469" i="6"/>
  <c r="A469" i="6" s="1"/>
  <c r="J431" i="6"/>
  <c r="A431" i="6" s="1"/>
  <c r="J385" i="6"/>
  <c r="A385" i="6" s="1"/>
  <c r="J350" i="6"/>
  <c r="A350" i="6" s="1"/>
  <c r="J310" i="6"/>
  <c r="A310" i="6" s="1"/>
  <c r="J255" i="6"/>
  <c r="A255" i="6" s="1"/>
  <c r="J669" i="6"/>
  <c r="A669" i="6" s="1"/>
  <c r="J623" i="6"/>
  <c r="A623" i="6" s="1"/>
  <c r="J588" i="6"/>
  <c r="A588" i="6" s="1"/>
  <c r="J548" i="6"/>
  <c r="A548" i="6" s="1"/>
  <c r="J513" i="6"/>
  <c r="A513" i="6" s="1"/>
  <c r="J921" i="6"/>
  <c r="A921" i="6" s="1"/>
  <c r="J853" i="6"/>
  <c r="A853" i="6" s="1"/>
  <c r="J817" i="6"/>
  <c r="A817" i="6" s="1"/>
  <c r="J785" i="6"/>
  <c r="A785" i="6" s="1"/>
  <c r="J729" i="6"/>
  <c r="A729" i="6" s="1"/>
  <c r="J482" i="6"/>
  <c r="A482" i="6" s="1"/>
  <c r="J449" i="6"/>
  <c r="A449" i="6" s="1"/>
  <c r="J419" i="6"/>
  <c r="A419" i="6" s="1"/>
  <c r="J392" i="6"/>
  <c r="A392" i="6" s="1"/>
  <c r="J376" i="6"/>
  <c r="A376" i="6" s="1"/>
  <c r="J349" i="6"/>
  <c r="A349" i="6" s="1"/>
  <c r="J317" i="6"/>
  <c r="A317" i="6" s="1"/>
  <c r="J290" i="6"/>
  <c r="A290" i="6" s="1"/>
  <c r="J266" i="6"/>
  <c r="A266" i="6" s="1"/>
  <c r="J695" i="6"/>
  <c r="A695" i="6" s="1"/>
  <c r="J668" i="6"/>
  <c r="A668" i="6" s="1"/>
  <c r="J638" i="6"/>
  <c r="A638" i="6" s="1"/>
  <c r="J614" i="6"/>
  <c r="A614" i="6" s="1"/>
  <c r="J598" i="6"/>
  <c r="A598" i="6" s="1"/>
  <c r="J571" i="6"/>
  <c r="A571" i="6" s="1"/>
  <c r="J547" i="6"/>
  <c r="A547" i="6" s="1"/>
  <c r="J520" i="6"/>
  <c r="A520" i="6" s="1"/>
  <c r="J492" i="6"/>
  <c r="A492" i="6" s="1"/>
  <c r="J916" i="6"/>
  <c r="A916" i="6" s="1"/>
  <c r="J888" i="6"/>
  <c r="A888" i="6" s="1"/>
  <c r="J868" i="6"/>
  <c r="A868" i="6" s="1"/>
  <c r="J852" i="6"/>
  <c r="A852" i="6" s="1"/>
  <c r="J824" i="6"/>
  <c r="A824" i="6" s="1"/>
  <c r="J800" i="6"/>
  <c r="A800" i="6" s="1"/>
  <c r="J784" i="6"/>
  <c r="A784" i="6" s="1"/>
  <c r="J764" i="6"/>
  <c r="A764" i="6" s="1"/>
  <c r="J748" i="6"/>
  <c r="A748" i="6" s="1"/>
  <c r="J728" i="6"/>
  <c r="A728" i="6" s="1"/>
  <c r="J480" i="6"/>
  <c r="J444" i="6"/>
  <c r="A444" i="6" s="1"/>
  <c r="J428" i="6"/>
  <c r="A428" i="6" s="1"/>
  <c r="J406" i="6"/>
  <c r="A406" i="6" s="1"/>
  <c r="J390" i="6"/>
  <c r="A390" i="6" s="1"/>
  <c r="J374" i="6"/>
  <c r="A374" i="6" s="1"/>
  <c r="J355" i="6"/>
  <c r="A355" i="6" s="1"/>
  <c r="J339" i="6"/>
  <c r="A339" i="6" s="1"/>
  <c r="J323" i="6"/>
  <c r="A323" i="6" s="1"/>
  <c r="J307" i="6"/>
  <c r="A307" i="6" s="1"/>
  <c r="J288" i="6"/>
  <c r="A288" i="6" s="1"/>
  <c r="J272" i="6"/>
  <c r="A272" i="6" s="1"/>
  <c r="J718" i="6"/>
  <c r="A718" i="6" s="1"/>
  <c r="J693" i="6"/>
  <c r="A693" i="6" s="1"/>
  <c r="J674" i="6"/>
  <c r="A674" i="6" s="1"/>
  <c r="J655" i="6"/>
  <c r="A655" i="6" s="1"/>
  <c r="J636" i="6"/>
  <c r="A636" i="6" s="1"/>
  <c r="J620" i="6"/>
  <c r="A620" i="6" s="1"/>
  <c r="J604" i="6"/>
  <c r="A604" i="6" s="1"/>
  <c r="J596" i="6"/>
  <c r="A596" i="6" s="1"/>
  <c r="J577" i="6"/>
  <c r="A577" i="6" s="1"/>
  <c r="J561" i="6"/>
  <c r="A561" i="6" s="1"/>
  <c r="J545" i="6"/>
  <c r="A545" i="6" s="1"/>
  <c r="J526" i="6"/>
  <c r="A526" i="6" s="1"/>
  <c r="J510" i="6"/>
  <c r="A510" i="6" s="1"/>
  <c r="J490" i="6"/>
  <c r="A490" i="6" s="1"/>
  <c r="J926" i="6"/>
  <c r="A926" i="6" s="1"/>
  <c r="J906" i="6"/>
  <c r="A906" i="6" s="1"/>
  <c r="J898" i="6"/>
  <c r="A898" i="6" s="1"/>
  <c r="J874" i="6"/>
  <c r="A874" i="6" s="1"/>
  <c r="J858" i="6"/>
  <c r="A858" i="6" s="1"/>
  <c r="J842" i="6"/>
  <c r="A842" i="6" s="1"/>
  <c r="J822" i="6"/>
  <c r="A822" i="6" s="1"/>
  <c r="J806" i="6"/>
  <c r="A806" i="6" s="1"/>
  <c r="J790" i="6"/>
  <c r="A790" i="6" s="1"/>
  <c r="J770" i="6"/>
  <c r="A770" i="6" s="1"/>
  <c r="J746" i="6"/>
  <c r="A746" i="6" s="1"/>
  <c r="J461" i="6"/>
  <c r="A461" i="6" s="1"/>
  <c r="J453" i="6"/>
  <c r="A453" i="6" s="1"/>
  <c r="J442" i="6"/>
  <c r="A442" i="6" s="1"/>
  <c r="J434" i="6"/>
  <c r="A434" i="6" s="1"/>
  <c r="J426" i="6"/>
  <c r="A426" i="6" s="1"/>
  <c r="J415" i="6"/>
  <c r="A415" i="6" s="1"/>
  <c r="J404" i="6"/>
  <c r="A404" i="6" s="1"/>
  <c r="J396" i="6"/>
  <c r="A396" i="6" s="1"/>
  <c r="J388" i="6"/>
  <c r="A388" i="6" s="1"/>
  <c r="J380" i="6"/>
  <c r="A380" i="6" s="1"/>
  <c r="J372" i="6"/>
  <c r="A372" i="6" s="1"/>
  <c r="J364" i="6"/>
  <c r="A364" i="6" s="1"/>
  <c r="J353" i="6"/>
  <c r="A353" i="6" s="1"/>
  <c r="J345" i="6"/>
  <c r="A345" i="6" s="1"/>
  <c r="J337" i="6"/>
  <c r="A337" i="6" s="1"/>
  <c r="J329" i="6"/>
  <c r="A329" i="6" s="1"/>
  <c r="J321" i="6"/>
  <c r="A321" i="6" s="1"/>
  <c r="J313" i="6"/>
  <c r="A313" i="6" s="1"/>
  <c r="J302" i="6"/>
  <c r="A302" i="6" s="1"/>
  <c r="J294" i="6"/>
  <c r="A294" i="6" s="1"/>
  <c r="J286" i="6"/>
  <c r="A286" i="6" s="1"/>
  <c r="J278" i="6"/>
  <c r="A278" i="6" s="1"/>
  <c r="J270" i="6"/>
  <c r="A270" i="6" s="1"/>
  <c r="J258" i="6"/>
  <c r="A258" i="6" s="1"/>
  <c r="J716" i="6"/>
  <c r="J702" i="6"/>
  <c r="J691" i="6"/>
  <c r="A691" i="6" s="1"/>
  <c r="J680" i="6"/>
  <c r="A680" i="6" s="1"/>
  <c r="J672" i="6"/>
  <c r="A672" i="6" s="1"/>
  <c r="J664" i="6"/>
  <c r="A664" i="6" s="1"/>
  <c r="J653" i="6"/>
  <c r="A653" i="6" s="1"/>
  <c r="J642" i="6"/>
  <c r="A642" i="6" s="1"/>
  <c r="J634" i="6"/>
  <c r="A634" i="6" s="1"/>
  <c r="J626" i="6"/>
  <c r="A626" i="6" s="1"/>
  <c r="J618" i="6"/>
  <c r="A618" i="6" s="1"/>
  <c r="J610" i="6"/>
  <c r="A610" i="6" s="1"/>
  <c r="J602" i="6"/>
  <c r="A602" i="6" s="1"/>
  <c r="J591" i="6"/>
  <c r="A591" i="6" s="1"/>
  <c r="J583" i="6"/>
  <c r="A583" i="6" s="1"/>
  <c r="J575" i="6"/>
  <c r="A575" i="6" s="1"/>
  <c r="J567" i="6"/>
  <c r="A567" i="6" s="1"/>
  <c r="J559" i="6"/>
  <c r="A559" i="6" s="1"/>
  <c r="J551" i="6"/>
  <c r="A551" i="6" s="1"/>
  <c r="J543" i="6"/>
  <c r="A543" i="6" s="1"/>
  <c r="J532" i="6"/>
  <c r="A532" i="6" s="1"/>
  <c r="J524" i="6"/>
  <c r="A524" i="6" s="1"/>
  <c r="J516" i="6"/>
  <c r="A516" i="6" s="1"/>
  <c r="J508" i="6"/>
  <c r="A508" i="6" s="1"/>
  <c r="J496" i="6"/>
  <c r="A496" i="6" s="1"/>
  <c r="J954" i="6"/>
  <c r="A954" i="6" s="1"/>
  <c r="J932" i="6"/>
  <c r="A932" i="6" s="1"/>
  <c r="J924" i="6"/>
  <c r="A924" i="6" s="1"/>
  <c r="J912" i="6"/>
  <c r="A912" i="6" s="1"/>
  <c r="J904" i="6"/>
  <c r="A904" i="6" s="1"/>
  <c r="J892" i="6"/>
  <c r="A892" i="6" s="1"/>
  <c r="J880" i="6"/>
  <c r="A880" i="6" s="1"/>
  <c r="J872" i="6"/>
  <c r="A872" i="6" s="1"/>
  <c r="J864" i="6"/>
  <c r="A864" i="6" s="1"/>
  <c r="J856" i="6"/>
  <c r="A856" i="6" s="1"/>
  <c r="J848" i="6"/>
  <c r="A848" i="6" s="1"/>
  <c r="J840" i="6"/>
  <c r="A840" i="6" s="1"/>
  <c r="J832" i="6"/>
  <c r="A832" i="6" s="1"/>
  <c r="J820" i="6"/>
  <c r="A820" i="6" s="1"/>
  <c r="J812" i="6"/>
  <c r="A812" i="6" s="1"/>
  <c r="J804" i="6"/>
  <c r="A804" i="6" s="1"/>
  <c r="J796" i="6"/>
  <c r="A796" i="6" s="1"/>
  <c r="J788" i="6"/>
  <c r="A788" i="6" s="1"/>
  <c r="J780" i="6"/>
  <c r="A780" i="6" s="1"/>
  <c r="J768" i="6"/>
  <c r="A768" i="6" s="1"/>
  <c r="J760" i="6"/>
  <c r="A760" i="6" s="1"/>
  <c r="J752" i="6"/>
  <c r="A752" i="6" s="1"/>
  <c r="J744" i="6"/>
  <c r="A744" i="6" s="1"/>
  <c r="J732" i="6"/>
  <c r="A732" i="6" s="1"/>
  <c r="J439" i="6"/>
  <c r="A439" i="6" s="1"/>
  <c r="J401" i="6"/>
  <c r="A401" i="6" s="1"/>
  <c r="J361" i="6"/>
  <c r="A361" i="6" s="1"/>
  <c r="J318" i="6"/>
  <c r="A318" i="6" s="1"/>
  <c r="J275" i="6"/>
  <c r="A275" i="6" s="1"/>
  <c r="J677" i="6"/>
  <c r="A677" i="6" s="1"/>
  <c r="J631" i="6"/>
  <c r="A631" i="6" s="1"/>
  <c r="J572" i="6"/>
  <c r="A572" i="6" s="1"/>
  <c r="J521" i="6"/>
  <c r="A521" i="6" s="1"/>
  <c r="J929" i="6"/>
  <c r="A929" i="6" s="1"/>
  <c r="J877" i="6"/>
  <c r="A877" i="6" s="1"/>
  <c r="J845" i="6"/>
  <c r="A845" i="6" s="1"/>
  <c r="J793" i="6"/>
  <c r="A793" i="6" s="1"/>
  <c r="J749" i="6"/>
  <c r="A749" i="6" s="1"/>
  <c r="J433" i="6"/>
  <c r="A433" i="6" s="1"/>
  <c r="J371" i="6"/>
  <c r="A371" i="6" s="1"/>
  <c r="J269" i="6"/>
  <c r="A269" i="6" s="1"/>
  <c r="J911" i="6"/>
  <c r="A911" i="6" s="1"/>
  <c r="J458" i="6"/>
  <c r="A458" i="6" s="1"/>
  <c r="J377" i="6"/>
  <c r="A377" i="6" s="1"/>
  <c r="J334" i="6"/>
  <c r="A334" i="6" s="1"/>
  <c r="J299" i="6"/>
  <c r="A299" i="6" s="1"/>
  <c r="J267" i="6"/>
  <c r="A267" i="6" s="1"/>
  <c r="J688" i="6"/>
  <c r="A688" i="6" s="1"/>
  <c r="J650" i="6"/>
  <c r="A650" i="6" s="1"/>
  <c r="J607" i="6"/>
  <c r="A607" i="6" s="1"/>
  <c r="J564" i="6"/>
  <c r="A564" i="6" s="1"/>
  <c r="J537" i="6"/>
  <c r="A537" i="6" s="1"/>
  <c r="J493" i="6"/>
  <c r="A493" i="6" s="1"/>
  <c r="J909" i="6"/>
  <c r="A909" i="6" s="1"/>
  <c r="J861" i="6"/>
  <c r="A861" i="6" s="1"/>
  <c r="J825" i="6"/>
  <c r="A825" i="6" s="1"/>
  <c r="J801" i="6"/>
  <c r="A801" i="6" s="1"/>
  <c r="J765" i="6"/>
  <c r="A765" i="6" s="1"/>
  <c r="J741" i="6"/>
  <c r="A741" i="6" s="1"/>
  <c r="J460" i="6"/>
  <c r="A460" i="6" s="1"/>
  <c r="J452" i="6"/>
  <c r="A452" i="6" s="1"/>
  <c r="J441" i="6"/>
  <c r="A441" i="6" s="1"/>
  <c r="J414" i="6"/>
  <c r="A414" i="6" s="1"/>
  <c r="J403" i="6"/>
  <c r="A403" i="6" s="1"/>
  <c r="J395" i="6"/>
  <c r="A395" i="6" s="1"/>
  <c r="J387" i="6"/>
  <c r="A387" i="6" s="1"/>
  <c r="J379" i="6"/>
  <c r="A379" i="6" s="1"/>
  <c r="J363" i="6"/>
  <c r="A363" i="6" s="1"/>
  <c r="J352" i="6"/>
  <c r="A352" i="6" s="1"/>
  <c r="J344" i="6"/>
  <c r="A344" i="6" s="1"/>
  <c r="J336" i="6"/>
  <c r="A336" i="6" s="1"/>
  <c r="J328" i="6"/>
  <c r="A328" i="6" s="1"/>
  <c r="J320" i="6"/>
  <c r="A320" i="6" s="1"/>
  <c r="J312" i="6"/>
  <c r="A312" i="6" s="1"/>
  <c r="J301" i="6"/>
  <c r="A301" i="6" s="1"/>
  <c r="J293" i="6"/>
  <c r="A293" i="6" s="1"/>
  <c r="J285" i="6"/>
  <c r="A285" i="6" s="1"/>
  <c r="J277" i="6"/>
  <c r="A277" i="6" s="1"/>
  <c r="J257" i="6"/>
  <c r="A257" i="6" s="1"/>
  <c r="J690" i="6"/>
  <c r="A690" i="6" s="1"/>
  <c r="J679" i="6"/>
  <c r="A679" i="6" s="1"/>
  <c r="J671" i="6"/>
  <c r="A671" i="6" s="1"/>
  <c r="J663" i="6"/>
  <c r="A663" i="6" s="1"/>
  <c r="J652" i="6"/>
  <c r="A652" i="6" s="1"/>
  <c r="J641" i="6"/>
  <c r="A641" i="6" s="1"/>
  <c r="J633" i="6"/>
  <c r="A633" i="6" s="1"/>
  <c r="J625" i="6"/>
  <c r="A625" i="6" s="1"/>
  <c r="J617" i="6"/>
  <c r="A617" i="6" s="1"/>
  <c r="J609" i="6"/>
  <c r="A609" i="6" s="1"/>
  <c r="J601" i="6"/>
  <c r="A601" i="6" s="1"/>
  <c r="J590" i="6"/>
  <c r="A590" i="6" s="1"/>
  <c r="J582" i="6"/>
  <c r="A582" i="6" s="1"/>
  <c r="J574" i="6"/>
  <c r="A574" i="6" s="1"/>
  <c r="J566" i="6"/>
  <c r="A566" i="6" s="1"/>
  <c r="J558" i="6"/>
  <c r="A558" i="6" s="1"/>
  <c r="J550" i="6"/>
  <c r="A550" i="6" s="1"/>
  <c r="J531" i="6"/>
  <c r="A531" i="6" s="1"/>
  <c r="J523" i="6"/>
  <c r="A523" i="6" s="1"/>
  <c r="J515" i="6"/>
  <c r="A515" i="6" s="1"/>
  <c r="J507" i="6"/>
  <c r="A507" i="6" s="1"/>
  <c r="J495" i="6"/>
  <c r="A495" i="6" s="1"/>
  <c r="J953" i="6"/>
  <c r="A953" i="6" s="1"/>
  <c r="J931" i="6"/>
  <c r="A931" i="6" s="1"/>
  <c r="J923" i="6"/>
  <c r="A923" i="6" s="1"/>
  <c r="J903" i="6"/>
  <c r="A903" i="6" s="1"/>
  <c r="J891" i="6"/>
  <c r="A891" i="6" s="1"/>
  <c r="J879" i="6"/>
  <c r="A879" i="6" s="1"/>
  <c r="J871" i="6"/>
  <c r="A871" i="6" s="1"/>
  <c r="J863" i="6"/>
  <c r="A863" i="6" s="1"/>
  <c r="J855" i="6"/>
  <c r="A855" i="6" s="1"/>
  <c r="J847" i="6"/>
  <c r="A847" i="6" s="1"/>
  <c r="J839" i="6"/>
  <c r="A839" i="6" s="1"/>
  <c r="J827" i="6"/>
  <c r="A827" i="6" s="1"/>
  <c r="J819" i="6"/>
  <c r="A819" i="6" s="1"/>
  <c r="J811" i="6"/>
  <c r="A811" i="6" s="1"/>
  <c r="J803" i="6"/>
  <c r="A803" i="6" s="1"/>
  <c r="J795" i="6"/>
  <c r="A795" i="6" s="1"/>
  <c r="J787" i="6"/>
  <c r="A787" i="6" s="1"/>
  <c r="J779" i="6"/>
  <c r="A779" i="6" s="1"/>
  <c r="J767" i="6"/>
  <c r="A767" i="6" s="1"/>
  <c r="J759" i="6"/>
  <c r="A759" i="6" s="1"/>
  <c r="J751" i="6"/>
  <c r="A751" i="6" s="1"/>
  <c r="J743" i="6"/>
  <c r="A743" i="6" s="1"/>
  <c r="J731" i="6"/>
  <c r="A731" i="6" s="1"/>
  <c r="J459" i="6"/>
  <c r="A459" i="6" s="1"/>
  <c r="J451" i="6"/>
  <c r="A451" i="6" s="1"/>
  <c r="J440" i="6"/>
  <c r="A440" i="6" s="1"/>
  <c r="J432" i="6"/>
  <c r="A432" i="6" s="1"/>
  <c r="J421" i="6"/>
  <c r="A421" i="6" s="1"/>
  <c r="J413" i="6"/>
  <c r="A413" i="6" s="1"/>
  <c r="J402" i="6"/>
  <c r="A402" i="6" s="1"/>
  <c r="J394" i="6"/>
  <c r="A394" i="6" s="1"/>
  <c r="J386" i="6"/>
  <c r="A386" i="6" s="1"/>
  <c r="J378" i="6"/>
  <c r="A378" i="6" s="1"/>
  <c r="J370" i="6"/>
  <c r="A370" i="6" s="1"/>
  <c r="J362" i="6"/>
  <c r="A362" i="6" s="1"/>
  <c r="J351" i="6"/>
  <c r="A351" i="6" s="1"/>
  <c r="J343" i="6"/>
  <c r="A343" i="6" s="1"/>
  <c r="J335" i="6"/>
  <c r="A335" i="6" s="1"/>
  <c r="J327" i="6"/>
  <c r="A327" i="6" s="1"/>
  <c r="J319" i="6"/>
  <c r="A319" i="6" s="1"/>
  <c r="J311" i="6"/>
  <c r="A311" i="6" s="1"/>
  <c r="J300" i="6"/>
  <c r="A300" i="6" s="1"/>
  <c r="J292" i="6"/>
  <c r="A292" i="6" s="1"/>
  <c r="J284" i="6"/>
  <c r="A284" i="6" s="1"/>
  <c r="J276" i="6"/>
  <c r="A276" i="6" s="1"/>
  <c r="J268" i="6"/>
  <c r="A268" i="6" s="1"/>
  <c r="J256" i="6"/>
  <c r="A256" i="6" s="1"/>
  <c r="J697" i="6"/>
  <c r="A697" i="6" s="1"/>
  <c r="J689" i="6"/>
  <c r="A689" i="6" s="1"/>
  <c r="J678" i="6"/>
  <c r="A678" i="6" s="1"/>
  <c r="J670" i="6"/>
  <c r="A670" i="6" s="1"/>
  <c r="J662" i="6"/>
  <c r="A662" i="6" s="1"/>
  <c r="J651" i="6"/>
  <c r="A651" i="6" s="1"/>
  <c r="J640" i="6"/>
  <c r="A640" i="6" s="1"/>
  <c r="J632" i="6"/>
  <c r="A632" i="6" s="1"/>
  <c r="J624" i="6"/>
  <c r="A624" i="6" s="1"/>
  <c r="J616" i="6"/>
  <c r="A616" i="6" s="1"/>
  <c r="J608" i="6"/>
  <c r="A608" i="6" s="1"/>
  <c r="J600" i="6"/>
  <c r="A600" i="6" s="1"/>
  <c r="J589" i="6"/>
  <c r="A589" i="6" s="1"/>
  <c r="J581" i="6"/>
  <c r="A581" i="6" s="1"/>
  <c r="J573" i="6"/>
  <c r="A573" i="6" s="1"/>
  <c r="J565" i="6"/>
  <c r="A565" i="6" s="1"/>
  <c r="J557" i="6"/>
  <c r="A557" i="6" s="1"/>
  <c r="J549" i="6"/>
  <c r="A549" i="6" s="1"/>
  <c r="J538" i="6"/>
  <c r="A538" i="6" s="1"/>
  <c r="J530" i="6"/>
  <c r="A530" i="6" s="1"/>
  <c r="J522" i="6"/>
  <c r="A522" i="6" s="1"/>
  <c r="J514" i="6"/>
  <c r="A514" i="6" s="1"/>
  <c r="J506" i="6"/>
  <c r="A506" i="6" s="1"/>
  <c r="J494" i="6"/>
  <c r="A494" i="6" s="1"/>
  <c r="J952" i="6"/>
  <c r="A952" i="6" s="1"/>
  <c r="J930" i="6"/>
  <c r="A930" i="6" s="1"/>
  <c r="J922" i="6"/>
  <c r="A922" i="6" s="1"/>
  <c r="J910" i="6"/>
  <c r="A910" i="6" s="1"/>
  <c r="J902" i="6"/>
  <c r="A902" i="6" s="1"/>
  <c r="J890" i="6"/>
  <c r="A890" i="6" s="1"/>
  <c r="J878" i="6"/>
  <c r="A878" i="6" s="1"/>
  <c r="J870" i="6"/>
  <c r="A870" i="6" s="1"/>
  <c r="J862" i="6"/>
  <c r="A862" i="6" s="1"/>
  <c r="J854" i="6"/>
  <c r="A854" i="6" s="1"/>
  <c r="J846" i="6"/>
  <c r="A846" i="6" s="1"/>
  <c r="J838" i="6"/>
  <c r="A838" i="6" s="1"/>
  <c r="J826" i="6"/>
  <c r="A826" i="6" s="1"/>
  <c r="J818" i="6"/>
  <c r="A818" i="6" s="1"/>
  <c r="J810" i="6"/>
  <c r="A810" i="6" s="1"/>
  <c r="J802" i="6"/>
  <c r="A802" i="6" s="1"/>
  <c r="J794" i="6"/>
  <c r="A794" i="6" s="1"/>
  <c r="J786" i="6"/>
  <c r="A786" i="6" s="1"/>
  <c r="J774" i="6"/>
  <c r="A774" i="6" s="1"/>
  <c r="J766" i="6"/>
  <c r="A766" i="6" s="1"/>
  <c r="J758" i="6"/>
  <c r="A758" i="6" s="1"/>
  <c r="J750" i="6"/>
  <c r="A750" i="6" s="1"/>
  <c r="J742" i="6"/>
  <c r="A742" i="6" s="1"/>
  <c r="J730" i="6"/>
  <c r="A730" i="6" s="1"/>
  <c r="BK398" i="7"/>
  <c r="I392" i="7"/>
  <c r="BK383" i="7"/>
  <c r="BK396" i="7"/>
  <c r="BK386" i="7"/>
  <c r="BK399" i="7"/>
  <c r="BK389" i="7"/>
  <c r="BK411" i="7"/>
  <c r="J1197" i="6"/>
  <c r="L1197" i="6"/>
  <c r="P1197" i="6"/>
  <c r="T1197" i="6"/>
  <c r="X1197" i="6"/>
  <c r="AB1197" i="6"/>
  <c r="AF1197" i="6"/>
  <c r="AJ1197" i="6"/>
  <c r="AN1197" i="6"/>
  <c r="AR1197" i="6"/>
  <c r="AV1197" i="6"/>
  <c r="AZ1197" i="6"/>
  <c r="BD1197" i="6"/>
  <c r="BG1197" i="6"/>
  <c r="Q1197" i="6"/>
  <c r="V1197" i="6"/>
  <c r="AA1197" i="6"/>
  <c r="AG1197" i="6"/>
  <c r="AL1197" i="6"/>
  <c r="AQ1197" i="6"/>
  <c r="AW1197" i="6"/>
  <c r="BB1197" i="6"/>
  <c r="M1197" i="6"/>
  <c r="R1197" i="6"/>
  <c r="W1197" i="6"/>
  <c r="AC1197" i="6"/>
  <c r="AH1197" i="6"/>
  <c r="AM1197" i="6"/>
  <c r="AS1197" i="6"/>
  <c r="AX1197" i="6"/>
  <c r="BC1197" i="6"/>
  <c r="N1197" i="6"/>
  <c r="S1197" i="6"/>
  <c r="Y1197" i="6"/>
  <c r="AD1197" i="6"/>
  <c r="AI1197" i="6"/>
  <c r="AO1197" i="6"/>
  <c r="AT1197" i="6"/>
  <c r="AY1197" i="6"/>
  <c r="BE1197" i="6"/>
  <c r="O1197" i="6"/>
  <c r="AK1197" i="6"/>
  <c r="BF1197" i="6"/>
  <c r="U1197" i="6"/>
  <c r="AP1197" i="6"/>
  <c r="Z1197" i="6"/>
  <c r="AU1197" i="6"/>
  <c r="AE1197" i="6"/>
  <c r="BA1197" i="6"/>
  <c r="L404" i="7"/>
  <c r="BK405" i="7"/>
  <c r="BK395" i="7"/>
  <c r="BK402" i="7"/>
  <c r="BK388" i="7"/>
  <c r="BK385" i="7"/>
  <c r="BK394" i="7"/>
  <c r="BL380" i="7"/>
  <c r="BK397" i="7"/>
  <c r="BK387" i="7"/>
  <c r="I380" i="7"/>
  <c r="BL392" i="7"/>
  <c r="L392" i="7"/>
  <c r="BK393" i="7"/>
  <c r="BK381" i="7"/>
  <c r="BK404" i="7" l="1"/>
  <c r="BK380" i="7"/>
  <c r="BK392" i="7"/>
  <c r="S713" i="6"/>
  <c r="Z713" i="6"/>
  <c r="P713" i="6"/>
  <c r="AL463" i="6"/>
  <c r="A466" i="6"/>
  <c r="AA699" i="6"/>
  <c r="A702" i="6"/>
  <c r="Q477" i="6"/>
  <c r="A480" i="6"/>
  <c r="X713" i="6"/>
  <c r="A716" i="6"/>
  <c r="BD935" i="6"/>
  <c r="A938" i="6"/>
  <c r="AN477" i="6"/>
  <c r="AJ463" i="6"/>
  <c r="O463" i="6"/>
  <c r="R477" i="6"/>
  <c r="AC477" i="6"/>
  <c r="AX463" i="6"/>
  <c r="AW659" i="6"/>
  <c r="W682" i="6"/>
  <c r="BD463" i="6"/>
  <c r="AC918" i="6"/>
  <c r="AH540" i="6"/>
  <c r="BB477" i="6"/>
  <c r="P895" i="6"/>
  <c r="AE895" i="6"/>
  <c r="R935" i="6"/>
  <c r="BG829" i="6"/>
  <c r="X262" i="6"/>
  <c r="AM699" i="6"/>
  <c r="AI250" i="6"/>
  <c r="BE410" i="6"/>
  <c r="BA713" i="6"/>
  <c r="AN250" i="6"/>
  <c r="AE446" i="6"/>
  <c r="AX357" i="6"/>
  <c r="AG713" i="6"/>
  <c r="BG446" i="6"/>
  <c r="BD713" i="6"/>
  <c r="U935" i="6"/>
  <c r="X935" i="6"/>
  <c r="V713" i="6"/>
  <c r="AA446" i="6"/>
  <c r="AG410" i="6"/>
  <c r="AR446" i="6"/>
  <c r="AZ446" i="6"/>
  <c r="BA935" i="6"/>
  <c r="AD713" i="6"/>
  <c r="X882" i="6"/>
  <c r="AX713" i="6"/>
  <c r="W713" i="6"/>
  <c r="AB713" i="6"/>
  <c r="BC935" i="6"/>
  <c r="BG713" i="6"/>
  <c r="AL713" i="6"/>
  <c r="AS713" i="6"/>
  <c r="W593" i="6"/>
  <c r="BE713" i="6"/>
  <c r="BB935" i="6"/>
  <c r="AL446" i="6"/>
  <c r="AV477" i="6"/>
  <c r="AU410" i="6"/>
  <c r="M446" i="6"/>
  <c r="AG463" i="6"/>
  <c r="AZ935" i="6"/>
  <c r="W446" i="6"/>
  <c r="R446" i="6"/>
  <c r="AA250" i="6"/>
  <c r="BC463" i="6"/>
  <c r="AQ935" i="6"/>
  <c r="AY446" i="6"/>
  <c r="AE829" i="6"/>
  <c r="AH446" i="6"/>
  <c r="AR593" i="6"/>
  <c r="AS250" i="6"/>
  <c r="M262" i="6"/>
  <c r="V463" i="6"/>
  <c r="AY463" i="6"/>
  <c r="Z446" i="6"/>
  <c r="AS935" i="6"/>
  <c r="AH935" i="6"/>
  <c r="AL935" i="6"/>
  <c r="AR935" i="6"/>
  <c r="L935" i="6"/>
  <c r="AB446" i="6"/>
  <c r="AJ446" i="6"/>
  <c r="AU446" i="6"/>
  <c r="O446" i="6"/>
  <c r="AK446" i="6"/>
  <c r="L477" i="6"/>
  <c r="AN446" i="6"/>
  <c r="AI935" i="6"/>
  <c r="AX935" i="6"/>
  <c r="Z722" i="6"/>
  <c r="AE250" i="6"/>
  <c r="AU935" i="6"/>
  <c r="AT446" i="6"/>
  <c r="AE935" i="6"/>
  <c r="P446" i="6"/>
  <c r="N895" i="6"/>
  <c r="AW250" i="6"/>
  <c r="AP935" i="6"/>
  <c r="AV935" i="6"/>
  <c r="AO446" i="6"/>
  <c r="U463" i="6"/>
  <c r="AT935" i="6"/>
  <c r="AT829" i="6"/>
  <c r="AS446" i="6"/>
  <c r="AA593" i="6"/>
  <c r="AO250" i="6"/>
  <c r="BG262" i="6"/>
  <c r="L463" i="6"/>
  <c r="AU463" i="6"/>
  <c r="AV446" i="6"/>
  <c r="AK935" i="6"/>
  <c r="Z935" i="6"/>
  <c r="AG935" i="6"/>
  <c r="AN935" i="6"/>
  <c r="BE498" i="6"/>
  <c r="V446" i="6"/>
  <c r="AD446" i="6"/>
  <c r="AQ446" i="6"/>
  <c r="Z659" i="6"/>
  <c r="BF446" i="6"/>
  <c r="Y477" i="6"/>
  <c r="AX446" i="6"/>
  <c r="AP446" i="6"/>
  <c r="Z477" i="6"/>
  <c r="U722" i="6"/>
  <c r="AC540" i="6"/>
  <c r="AX250" i="6"/>
  <c r="N463" i="6"/>
  <c r="AW935" i="6"/>
  <c r="AF699" i="6"/>
  <c r="AB918" i="6"/>
  <c r="AC776" i="6"/>
  <c r="BF250" i="6"/>
  <c r="AO935" i="6"/>
  <c r="AI949" i="6"/>
  <c r="R463" i="6"/>
  <c r="BD446" i="6"/>
  <c r="Q250" i="6"/>
  <c r="BB463" i="6"/>
  <c r="BE463" i="6"/>
  <c r="AE463" i="6"/>
  <c r="P410" i="6"/>
  <c r="AD935" i="6"/>
  <c r="S935" i="6"/>
  <c r="AA935" i="6"/>
  <c r="AJ935" i="6"/>
  <c r="AJ498" i="6"/>
  <c r="Q446" i="6"/>
  <c r="Y446" i="6"/>
  <c r="AM446" i="6"/>
  <c r="BA446" i="6"/>
  <c r="Z410" i="6"/>
  <c r="T477" i="6"/>
  <c r="M699" i="6"/>
  <c r="AK463" i="6"/>
  <c r="AF722" i="6"/>
  <c r="AS540" i="6"/>
  <c r="BF935" i="6"/>
  <c r="BC446" i="6"/>
  <c r="AA262" i="6"/>
  <c r="AG446" i="6"/>
  <c r="AI776" i="6"/>
  <c r="U949" i="6"/>
  <c r="Y935" i="6"/>
  <c r="X682" i="6"/>
  <c r="AC463" i="6"/>
  <c r="M410" i="6"/>
  <c r="M250" i="6"/>
  <c r="AW463" i="6"/>
  <c r="AT463" i="6"/>
  <c r="W463" i="6"/>
  <c r="AE882" i="6"/>
  <c r="W935" i="6"/>
  <c r="M935" i="6"/>
  <c r="V935" i="6"/>
  <c r="AF935" i="6"/>
  <c r="BB446" i="6"/>
  <c r="L446" i="6"/>
  <c r="T446" i="6"/>
  <c r="AI446" i="6"/>
  <c r="AR357" i="6"/>
  <c r="AM477" i="6"/>
  <c r="X477" i="6"/>
  <c r="AM918" i="6"/>
  <c r="AU895" i="6"/>
  <c r="AM540" i="6"/>
  <c r="M463" i="6"/>
  <c r="BA682" i="6"/>
  <c r="AU918" i="6"/>
  <c r="N935" i="6"/>
  <c r="T935" i="6"/>
  <c r="X446" i="6"/>
  <c r="AB463" i="6"/>
  <c r="AY935" i="6"/>
  <c r="P935" i="6"/>
  <c r="S446" i="6"/>
  <c r="AC446" i="6"/>
  <c r="BC593" i="6"/>
  <c r="AM935" i="6"/>
  <c r="AH682" i="6"/>
  <c r="AN463" i="6"/>
  <c r="AP357" i="6"/>
  <c r="BG250" i="6"/>
  <c r="AR463" i="6"/>
  <c r="AO463" i="6"/>
  <c r="S463" i="6"/>
  <c r="BG882" i="6"/>
  <c r="O935" i="6"/>
  <c r="BG935" i="6"/>
  <c r="Q935" i="6"/>
  <c r="AB935" i="6"/>
  <c r="AW446" i="6"/>
  <c r="BE446" i="6"/>
  <c r="N446" i="6"/>
  <c r="BE935" i="6"/>
  <c r="AI682" i="6"/>
  <c r="AI477" i="6"/>
  <c r="AH477" i="6"/>
  <c r="R918" i="6"/>
  <c r="AB895" i="6"/>
  <c r="AG357" i="6"/>
  <c r="AC935" i="6"/>
  <c r="L776" i="6"/>
  <c r="BG486" i="6"/>
  <c r="AZ486" i="6"/>
  <c r="AR486" i="6"/>
  <c r="AQ699" i="6"/>
  <c r="AD699" i="6"/>
  <c r="V699" i="6"/>
  <c r="O699" i="6"/>
  <c r="AU699" i="6"/>
  <c r="AJ699" i="6"/>
  <c r="AB699" i="6"/>
  <c r="AV699" i="6"/>
  <c r="S699" i="6"/>
  <c r="AY699" i="6"/>
  <c r="AO699" i="6"/>
  <c r="AG699" i="6"/>
  <c r="P699" i="6"/>
  <c r="W699" i="6"/>
  <c r="BC699" i="6"/>
  <c r="AT699" i="6"/>
  <c r="AL699" i="6"/>
  <c r="BD699" i="6"/>
  <c r="AE699" i="6"/>
  <c r="N699" i="6"/>
  <c r="BE699" i="6"/>
  <c r="AW699" i="6"/>
  <c r="AH699" i="6"/>
  <c r="AK699" i="6"/>
  <c r="U699" i="6"/>
  <c r="AI699" i="6"/>
  <c r="T699" i="6"/>
  <c r="L699" i="6"/>
  <c r="BB699" i="6"/>
  <c r="X699" i="6"/>
  <c r="L882" i="6"/>
  <c r="AR882" i="6"/>
  <c r="AL882" i="6"/>
  <c r="AM882" i="6"/>
  <c r="AX882" i="6"/>
  <c r="P882" i="6"/>
  <c r="AV882" i="6"/>
  <c r="AQ882" i="6"/>
  <c r="AT882" i="6"/>
  <c r="BE882" i="6"/>
  <c r="T882" i="6"/>
  <c r="AZ882" i="6"/>
  <c r="AW882" i="6"/>
  <c r="BA882" i="6"/>
  <c r="AH882" i="6"/>
  <c r="BF882" i="6"/>
  <c r="M882" i="6"/>
  <c r="AD882" i="6"/>
  <c r="BC882" i="6"/>
  <c r="AF882" i="6"/>
  <c r="V882" i="6"/>
  <c r="R882" i="6"/>
  <c r="AC882" i="6"/>
  <c r="O882" i="6"/>
  <c r="AO882" i="6"/>
  <c r="AJ882" i="6"/>
  <c r="AA882" i="6"/>
  <c r="Y882" i="6"/>
  <c r="AI882" i="6"/>
  <c r="Z882" i="6"/>
  <c r="AQ776" i="6"/>
  <c r="AS682" i="6"/>
  <c r="AE262" i="6"/>
  <c r="T498" i="6"/>
  <c r="BB682" i="6"/>
  <c r="AA486" i="6"/>
  <c r="W646" i="6"/>
  <c r="AH646" i="6"/>
  <c r="S646" i="6"/>
  <c r="AS646" i="6"/>
  <c r="AM646" i="6"/>
  <c r="R646" i="6"/>
  <c r="AU646" i="6"/>
  <c r="U646" i="6"/>
  <c r="AT646" i="6"/>
  <c r="L646" i="6"/>
  <c r="AB829" i="6"/>
  <c r="Y829" i="6"/>
  <c r="N829" i="6"/>
  <c r="Q829" i="6"/>
  <c r="O829" i="6"/>
  <c r="AL250" i="6"/>
  <c r="AR250" i="6"/>
  <c r="AD250" i="6"/>
  <c r="AB250" i="6"/>
  <c r="N250" i="6"/>
  <c r="V250" i="6"/>
  <c r="L250" i="6"/>
  <c r="AZ250" i="6"/>
  <c r="T250" i="6"/>
  <c r="P250" i="6"/>
  <c r="X250" i="6"/>
  <c r="BB250" i="6"/>
  <c r="AL776" i="6"/>
  <c r="R699" i="6"/>
  <c r="AL593" i="6"/>
  <c r="AG882" i="6"/>
  <c r="AH593" i="6"/>
  <c r="AS895" i="6"/>
  <c r="X498" i="6"/>
  <c r="S498" i="6"/>
  <c r="AY498" i="6"/>
  <c r="AO498" i="6"/>
  <c r="AG498" i="6"/>
  <c r="AV498" i="6"/>
  <c r="M498" i="6"/>
  <c r="BF498" i="6"/>
  <c r="W498" i="6"/>
  <c r="BC498" i="6"/>
  <c r="AT498" i="6"/>
  <c r="AL498" i="6"/>
  <c r="AA498" i="6"/>
  <c r="BG498" i="6"/>
  <c r="AZ498" i="6"/>
  <c r="AR498" i="6"/>
  <c r="BD498" i="6"/>
  <c r="AM498" i="6"/>
  <c r="Y498" i="6"/>
  <c r="Q498" i="6"/>
  <c r="AP498" i="6"/>
  <c r="AF498" i="6"/>
  <c r="AS498" i="6"/>
  <c r="AQ498" i="6"/>
  <c r="AD498" i="6"/>
  <c r="V498" i="6"/>
  <c r="U498" i="6"/>
  <c r="AP423" i="6"/>
  <c r="W423" i="6"/>
  <c r="BC423" i="6"/>
  <c r="AT423" i="6"/>
  <c r="BD423" i="6"/>
  <c r="AL423" i="6"/>
  <c r="L918" i="6"/>
  <c r="AR918" i="6"/>
  <c r="AL918" i="6"/>
  <c r="AI918" i="6"/>
  <c r="AT918" i="6"/>
  <c r="AY918" i="6"/>
  <c r="O918" i="6"/>
  <c r="P918" i="6"/>
  <c r="AV918" i="6"/>
  <c r="AQ918" i="6"/>
  <c r="AP918" i="6"/>
  <c r="BA918" i="6"/>
  <c r="W918" i="6"/>
  <c r="T918" i="6"/>
  <c r="AZ918" i="6"/>
  <c r="AW918" i="6"/>
  <c r="AX918" i="6"/>
  <c r="BC918" i="6"/>
  <c r="X918" i="6"/>
  <c r="BD918" i="6"/>
  <c r="BB918" i="6"/>
  <c r="BE918" i="6"/>
  <c r="AO918" i="6"/>
  <c r="AF918" i="6"/>
  <c r="V918" i="6"/>
  <c r="N918" i="6"/>
  <c r="Y918" i="6"/>
  <c r="M918" i="6"/>
  <c r="AD918" i="6"/>
  <c r="AJ918" i="6"/>
  <c r="AA918" i="6"/>
  <c r="U918" i="6"/>
  <c r="AE918" i="6"/>
  <c r="AV776" i="6"/>
  <c r="BE895" i="6"/>
  <c r="AC699" i="6"/>
  <c r="R659" i="6"/>
  <c r="AC498" i="6"/>
  <c r="X410" i="6"/>
  <c r="R250" i="6"/>
  <c r="AZ593" i="6"/>
  <c r="AG250" i="6"/>
  <c r="AY250" i="6"/>
  <c r="S250" i="6"/>
  <c r="Z682" i="6"/>
  <c r="AJ250" i="6"/>
  <c r="Q882" i="6"/>
  <c r="BB498" i="6"/>
  <c r="AU498" i="6"/>
  <c r="BB949" i="6"/>
  <c r="BA498" i="6"/>
  <c r="L682" i="6"/>
  <c r="Z918" i="6"/>
  <c r="BG918" i="6"/>
  <c r="S882" i="6"/>
  <c r="BG895" i="6"/>
  <c r="Q699" i="6"/>
  <c r="AS918" i="6"/>
  <c r="N410" i="6"/>
  <c r="BB646" i="6"/>
  <c r="BD540" i="6"/>
  <c r="BB882" i="6"/>
  <c r="AS699" i="6"/>
  <c r="M895" i="6"/>
  <c r="AP895" i="6"/>
  <c r="R498" i="6"/>
  <c r="AK250" i="6"/>
  <c r="BC250" i="6"/>
  <c r="W250" i="6"/>
  <c r="BA699" i="6"/>
  <c r="N498" i="6"/>
  <c r="AV250" i="6"/>
  <c r="AL682" i="6"/>
  <c r="AN498" i="6"/>
  <c r="AT593" i="6"/>
  <c r="AC250" i="6"/>
  <c r="AU250" i="6"/>
  <c r="O250" i="6"/>
  <c r="AV540" i="6"/>
  <c r="AP882" i="6"/>
  <c r="BD882" i="6"/>
  <c r="AW498" i="6"/>
  <c r="AI498" i="6"/>
  <c r="AB949" i="6"/>
  <c r="AT682" i="6"/>
  <c r="AX895" i="6"/>
  <c r="AH498" i="6"/>
  <c r="AN410" i="6"/>
  <c r="AG918" i="6"/>
  <c r="AQ895" i="6"/>
  <c r="AZ699" i="6"/>
  <c r="AJ646" i="6"/>
  <c r="AJ722" i="6"/>
  <c r="W722" i="6"/>
  <c r="AA722" i="6"/>
  <c r="AK722" i="6"/>
  <c r="AW722" i="6"/>
  <c r="BG722" i="6"/>
  <c r="AI722" i="6"/>
  <c r="T722" i="6"/>
  <c r="BE722" i="6"/>
  <c r="O540" i="6"/>
  <c r="AE357" i="6"/>
  <c r="AZ357" i="6"/>
  <c r="AL357" i="6"/>
  <c r="T357" i="6"/>
  <c r="AK593" i="6"/>
  <c r="AS593" i="6"/>
  <c r="Y540" i="6"/>
  <c r="Z540" i="6"/>
  <c r="AT540" i="6"/>
  <c r="BE540" i="6"/>
  <c r="AX540" i="6"/>
  <c r="AP540" i="6"/>
  <c r="AW540" i="6"/>
  <c r="AN540" i="6"/>
  <c r="W540" i="6"/>
  <c r="BA540" i="6"/>
  <c r="R540" i="6"/>
  <c r="BF540" i="6"/>
  <c r="AI540" i="6"/>
  <c r="AK540" i="6"/>
  <c r="AF682" i="6"/>
  <c r="AX682" i="6"/>
  <c r="AM682" i="6"/>
  <c r="Y682" i="6"/>
  <c r="Q682" i="6"/>
  <c r="BF682" i="6"/>
  <c r="AN682" i="6"/>
  <c r="AQ682" i="6"/>
  <c r="AD682" i="6"/>
  <c r="V682" i="6"/>
  <c r="AK682" i="6"/>
  <c r="AC682" i="6"/>
  <c r="O682" i="6"/>
  <c r="AU682" i="6"/>
  <c r="AJ682" i="6"/>
  <c r="AB682" i="6"/>
  <c r="P682" i="6"/>
  <c r="AV682" i="6"/>
  <c r="S682" i="6"/>
  <c r="AY682" i="6"/>
  <c r="AO682" i="6"/>
  <c r="AG682" i="6"/>
  <c r="AA682" i="6"/>
  <c r="BG682" i="6"/>
  <c r="AZ682" i="6"/>
  <c r="AR682" i="6"/>
  <c r="AE682" i="6"/>
  <c r="N682" i="6"/>
  <c r="BE682" i="6"/>
  <c r="AW682" i="6"/>
  <c r="AC895" i="6"/>
  <c r="AP699" i="6"/>
  <c r="AE659" i="6"/>
  <c r="V262" i="6"/>
  <c r="BD682" i="6"/>
  <c r="R262" i="6"/>
  <c r="AJ357" i="6"/>
  <c r="P540" i="6"/>
  <c r="BA646" i="6"/>
  <c r="S410" i="6"/>
  <c r="T410" i="6"/>
  <c r="AR410" i="6"/>
  <c r="AF410" i="6"/>
  <c r="AC410" i="6"/>
  <c r="AA410" i="6"/>
  <c r="AJ410" i="6"/>
  <c r="AW410" i="6"/>
  <c r="R410" i="6"/>
  <c r="AE410" i="6"/>
  <c r="AO410" i="6"/>
  <c r="BB410" i="6"/>
  <c r="AI410" i="6"/>
  <c r="AZ410" i="6"/>
  <c r="AY410" i="6"/>
  <c r="L410" i="6"/>
  <c r="AP410" i="6"/>
  <c r="BF410" i="6"/>
  <c r="BA410" i="6"/>
  <c r="BG410" i="6"/>
  <c r="AB410" i="6"/>
  <c r="AX410" i="6"/>
  <c r="AK410" i="6"/>
  <c r="U410" i="6"/>
  <c r="AV410" i="6"/>
  <c r="AR776" i="6"/>
  <c r="W882" i="6"/>
  <c r="AN699" i="6"/>
  <c r="AH410" i="6"/>
  <c r="P776" i="6"/>
  <c r="S918" i="6"/>
  <c r="AK882" i="6"/>
  <c r="AX699" i="6"/>
  <c r="M540" i="6"/>
  <c r="AX498" i="6"/>
  <c r="AS410" i="6"/>
  <c r="AH250" i="6"/>
  <c r="BG593" i="6"/>
  <c r="BE250" i="6"/>
  <c r="Y250" i="6"/>
  <c r="AQ250" i="6"/>
  <c r="AS262" i="6"/>
  <c r="AK486" i="6"/>
  <c r="U882" i="6"/>
  <c r="AN882" i="6"/>
  <c r="AB498" i="6"/>
  <c r="AE498" i="6"/>
  <c r="BF918" i="6"/>
  <c r="X949" i="6"/>
  <c r="T682" i="6"/>
  <c r="AS882" i="6"/>
  <c r="AT357" i="6"/>
  <c r="Q918" i="6"/>
  <c r="AK498" i="6"/>
  <c r="Q895" i="6"/>
  <c r="Y699" i="6"/>
  <c r="O410" i="6"/>
  <c r="AU734" i="6"/>
  <c r="J949" i="6"/>
  <c r="A955" i="6" s="1"/>
  <c r="BG949" i="6"/>
  <c r="AP949" i="6"/>
  <c r="BF949" i="6"/>
  <c r="AC949" i="6"/>
  <c r="M949" i="6"/>
  <c r="BD949" i="6"/>
  <c r="Q949" i="6"/>
  <c r="BA659" i="6"/>
  <c r="N659" i="6"/>
  <c r="BE659" i="6"/>
  <c r="J465" i="6"/>
  <c r="A465" i="6" s="1"/>
  <c r="J463" i="6"/>
  <c r="BJ463" i="6" s="1"/>
  <c r="P463" i="6"/>
  <c r="AS463" i="6"/>
  <c r="AV463" i="6"/>
  <c r="AI463" i="6"/>
  <c r="T463" i="6"/>
  <c r="AH463" i="6"/>
  <c r="AM463" i="6"/>
  <c r="Y463" i="6"/>
  <c r="Q463" i="6"/>
  <c r="BF463" i="6"/>
  <c r="X463" i="6"/>
  <c r="AP463" i="6"/>
  <c r="BA463" i="6"/>
  <c r="AQ463" i="6"/>
  <c r="AD463" i="6"/>
  <c r="Z463" i="6"/>
  <c r="AA463" i="6"/>
  <c r="BG463" i="6"/>
  <c r="AZ463" i="6"/>
  <c r="AX949" i="6"/>
  <c r="BF304" i="6"/>
  <c r="AT895" i="6"/>
  <c r="AY304" i="6"/>
  <c r="AR699" i="6"/>
  <c r="AX593" i="6"/>
  <c r="Z250" i="6"/>
  <c r="AH918" i="6"/>
  <c r="AY882" i="6"/>
  <c r="M682" i="6"/>
  <c r="X540" i="6"/>
  <c r="BD410" i="6"/>
  <c r="AP250" i="6"/>
  <c r="BA250" i="6"/>
  <c r="U250" i="6"/>
  <c r="AM250" i="6"/>
  <c r="AO262" i="6"/>
  <c r="BF486" i="6"/>
  <c r="N882" i="6"/>
  <c r="AB882" i="6"/>
  <c r="L498" i="6"/>
  <c r="O498" i="6"/>
  <c r="BF699" i="6"/>
  <c r="BC682" i="6"/>
  <c r="AT250" i="6"/>
  <c r="AN918" i="6"/>
  <c r="AV895" i="6"/>
  <c r="BG699" i="6"/>
  <c r="BD250" i="6"/>
  <c r="AG304" i="6"/>
  <c r="S304" i="6"/>
  <c r="J897" i="6"/>
  <c r="A897" i="6" s="1"/>
  <c r="J895" i="6"/>
  <c r="A917" i="6" s="1"/>
  <c r="AF895" i="6"/>
  <c r="V895" i="6"/>
  <c r="O895" i="6"/>
  <c r="S895" i="6"/>
  <c r="AI895" i="6"/>
  <c r="R895" i="6"/>
  <c r="AJ895" i="6"/>
  <c r="AA895" i="6"/>
  <c r="W895" i="6"/>
  <c r="Z895" i="6"/>
  <c r="U895" i="6"/>
  <c r="AN895" i="6"/>
  <c r="AG895" i="6"/>
  <c r="AD895" i="6"/>
  <c r="AH895" i="6"/>
  <c r="Y895" i="6"/>
  <c r="L895" i="6"/>
  <c r="AR895" i="6"/>
  <c r="AL895" i="6"/>
  <c r="AK895" i="6"/>
  <c r="AO895" i="6"/>
  <c r="T895" i="6"/>
  <c r="AZ895" i="6"/>
  <c r="AW895" i="6"/>
  <c r="AY895" i="6"/>
  <c r="BC895" i="6"/>
  <c r="AM895" i="6"/>
  <c r="X895" i="6"/>
  <c r="BD895" i="6"/>
  <c r="BB895" i="6"/>
  <c r="BF895" i="6"/>
  <c r="BA895" i="6"/>
  <c r="U446" i="6"/>
  <c r="AQ734" i="6"/>
  <c r="S659" i="6"/>
  <c r="J659" i="6"/>
  <c r="BJ659" i="6" s="1"/>
  <c r="J540" i="6"/>
  <c r="A592" i="6" s="1"/>
  <c r="J918" i="6"/>
  <c r="BJ918" i="6" s="1"/>
  <c r="P734" i="6"/>
  <c r="J423" i="6"/>
  <c r="BJ423" i="6" s="1"/>
  <c r="J684" i="6"/>
  <c r="A684" i="6" s="1"/>
  <c r="J935" i="6"/>
  <c r="A936" i="6" s="1"/>
  <c r="J937" i="6"/>
  <c r="A937" i="6" s="1"/>
  <c r="U682" i="6"/>
  <c r="J920" i="6"/>
  <c r="A920" i="6" s="1"/>
  <c r="J648" i="6"/>
  <c r="A648" i="6" s="1"/>
  <c r="J701" i="6"/>
  <c r="A701" i="6" s="1"/>
  <c r="J699" i="6"/>
  <c r="BJ699" i="6" s="1"/>
  <c r="J479" i="6"/>
  <c r="A479" i="6" s="1"/>
  <c r="J477" i="6"/>
  <c r="BJ477" i="6" s="1"/>
  <c r="J715" i="6"/>
  <c r="A715" i="6" s="1"/>
  <c r="J713" i="6"/>
  <c r="A719" i="6" s="1"/>
  <c r="J264" i="6"/>
  <c r="A264" i="6" s="1"/>
  <c r="J448" i="6"/>
  <c r="A448" i="6" s="1"/>
  <c r="J446" i="6"/>
  <c r="BJ446" i="6" s="1"/>
  <c r="BB304" i="6"/>
  <c r="W829" i="6"/>
  <c r="M829" i="6"/>
  <c r="V829" i="6"/>
  <c r="AF829" i="6"/>
  <c r="BB659" i="6"/>
  <c r="L659" i="6"/>
  <c r="T659" i="6"/>
  <c r="AI659" i="6"/>
  <c r="AR423" i="6"/>
  <c r="AZ423" i="6"/>
  <c r="BG423" i="6"/>
  <c r="AA423" i="6"/>
  <c r="AK659" i="6"/>
  <c r="AN304" i="6"/>
  <c r="AW486" i="6"/>
  <c r="BE486" i="6"/>
  <c r="N486" i="6"/>
  <c r="AE486" i="6"/>
  <c r="AK304" i="6"/>
  <c r="BC304" i="6"/>
  <c r="W304" i="6"/>
  <c r="AK776" i="6"/>
  <c r="AF262" i="6"/>
  <c r="AK357" i="6"/>
  <c r="AI357" i="6"/>
  <c r="AF486" i="6"/>
  <c r="AI713" i="6"/>
  <c r="AF423" i="6"/>
  <c r="U734" i="6"/>
  <c r="BB734" i="6"/>
  <c r="X734" i="6"/>
  <c r="J951" i="6"/>
  <c r="A951" i="6" s="1"/>
  <c r="Z593" i="6"/>
  <c r="U593" i="6"/>
  <c r="AQ540" i="6"/>
  <c r="AD540" i="6"/>
  <c r="V540" i="6"/>
  <c r="AU540" i="6"/>
  <c r="AJ540" i="6"/>
  <c r="AB540" i="6"/>
  <c r="BG540" i="6"/>
  <c r="AZ540" i="6"/>
  <c r="AR540" i="6"/>
  <c r="J831" i="6"/>
  <c r="A831" i="6" s="1"/>
  <c r="M477" i="6"/>
  <c r="AP776" i="6"/>
  <c r="AG776" i="6"/>
  <c r="AN776" i="6"/>
  <c r="Y776" i="6"/>
  <c r="Z776" i="6"/>
  <c r="AC659" i="6"/>
  <c r="M486" i="6"/>
  <c r="AX477" i="6"/>
  <c r="BF357" i="6"/>
  <c r="Z262" i="6"/>
  <c r="AG593" i="6"/>
  <c r="AO593" i="6"/>
  <c r="AY593" i="6"/>
  <c r="S593" i="6"/>
  <c r="O713" i="6"/>
  <c r="M713" i="6"/>
  <c r="AA713" i="6"/>
  <c r="T713" i="6"/>
  <c r="AK262" i="6"/>
  <c r="BC262" i="6"/>
  <c r="W262" i="6"/>
  <c r="AX829" i="6"/>
  <c r="BA593" i="6"/>
  <c r="AF477" i="6"/>
  <c r="L304" i="6"/>
  <c r="R949" i="6"/>
  <c r="BF659" i="6"/>
  <c r="BC949" i="6"/>
  <c r="AY949" i="6"/>
  <c r="AW949" i="6"/>
  <c r="AZ949" i="6"/>
  <c r="T949" i="6"/>
  <c r="T304" i="6"/>
  <c r="AW477" i="6"/>
  <c r="BE477" i="6"/>
  <c r="N477" i="6"/>
  <c r="AE477" i="6"/>
  <c r="BE949" i="6"/>
  <c r="AM829" i="6"/>
  <c r="M659" i="6"/>
  <c r="BD593" i="6"/>
  <c r="AS477" i="6"/>
  <c r="BB357" i="6"/>
  <c r="AD262" i="6"/>
  <c r="BC829" i="6"/>
  <c r="BB829" i="6"/>
  <c r="BD829" i="6"/>
  <c r="X829" i="6"/>
  <c r="AR659" i="6"/>
  <c r="AZ659" i="6"/>
  <c r="BG659" i="6"/>
  <c r="AA659" i="6"/>
  <c r="AG423" i="6"/>
  <c r="AO423" i="6"/>
  <c r="AY423" i="6"/>
  <c r="S423" i="6"/>
  <c r="BE829" i="6"/>
  <c r="U540" i="6"/>
  <c r="AV262" i="6"/>
  <c r="AL486" i="6"/>
  <c r="AT486" i="6"/>
  <c r="BC486" i="6"/>
  <c r="W486" i="6"/>
  <c r="AC304" i="6"/>
  <c r="AU304" i="6"/>
  <c r="O304" i="6"/>
  <c r="P659" i="6"/>
  <c r="BF477" i="6"/>
  <c r="BB540" i="6"/>
  <c r="AO540" i="6"/>
  <c r="AE540" i="6"/>
  <c r="U357" i="6"/>
  <c r="W357" i="6"/>
  <c r="M593" i="6"/>
  <c r="W776" i="6"/>
  <c r="BC722" i="6"/>
  <c r="AC722" i="6"/>
  <c r="AQ722" i="6"/>
  <c r="AB722" i="6"/>
  <c r="AC646" i="6"/>
  <c r="M646" i="6"/>
  <c r="AO646" i="6"/>
  <c r="BE734" i="6"/>
  <c r="S734" i="6"/>
  <c r="V734" i="6"/>
  <c r="AK477" i="6"/>
  <c r="AF446" i="6"/>
  <c r="J425" i="6"/>
  <c r="A425" i="6" s="1"/>
  <c r="AV423" i="6"/>
  <c r="Z423" i="6"/>
  <c r="U423" i="6"/>
  <c r="BF423" i="6"/>
  <c r="AK423" i="6"/>
  <c r="J306" i="6"/>
  <c r="A306" i="6" s="1"/>
  <c r="J304" i="6"/>
  <c r="A305" i="6" s="1"/>
  <c r="X304" i="6"/>
  <c r="M776" i="6"/>
  <c r="AB593" i="6"/>
  <c r="AD776" i="6"/>
  <c r="AF659" i="6"/>
  <c r="AZ477" i="6"/>
  <c r="X659" i="6"/>
  <c r="AL262" i="6"/>
  <c r="AW829" i="6"/>
  <c r="T829" i="6"/>
  <c r="AL659" i="6"/>
  <c r="AT659" i="6"/>
  <c r="BC659" i="6"/>
  <c r="W659" i="6"/>
  <c r="AB423" i="6"/>
  <c r="AJ423" i="6"/>
  <c r="AU423" i="6"/>
  <c r="O423" i="6"/>
  <c r="AY776" i="6"/>
  <c r="AG486" i="6"/>
  <c r="AO486" i="6"/>
  <c r="AY486" i="6"/>
  <c r="S486" i="6"/>
  <c r="BE304" i="6"/>
  <c r="Y304" i="6"/>
  <c r="AQ304" i="6"/>
  <c r="AE949" i="6"/>
  <c r="AV659" i="6"/>
  <c r="Q357" i="6"/>
  <c r="S357" i="6"/>
  <c r="AP734" i="6"/>
  <c r="M734" i="6"/>
  <c r="Q734" i="6"/>
  <c r="AA646" i="6"/>
  <c r="BG646" i="6"/>
  <c r="AZ646" i="6"/>
  <c r="AR646" i="6"/>
  <c r="Z646" i="6"/>
  <c r="AN646" i="6"/>
  <c r="AE646" i="6"/>
  <c r="N646" i="6"/>
  <c r="BE646" i="6"/>
  <c r="AW646" i="6"/>
  <c r="AV646" i="6"/>
  <c r="AX646" i="6"/>
  <c r="AI646" i="6"/>
  <c r="AQ646" i="6"/>
  <c r="AD646" i="6"/>
  <c r="V646" i="6"/>
  <c r="X646" i="6"/>
  <c r="AK646" i="6"/>
  <c r="AF646" i="6"/>
  <c r="J882" i="6"/>
  <c r="A882" i="6" s="1"/>
  <c r="AU882" i="6"/>
  <c r="AA776" i="6"/>
  <c r="AO776" i="6"/>
  <c r="AN659" i="6"/>
  <c r="AH262" i="6"/>
  <c r="AU593" i="6"/>
  <c r="S262" i="6"/>
  <c r="AF357" i="6"/>
  <c r="AI829" i="6"/>
  <c r="Z486" i="6"/>
  <c r="BG477" i="6"/>
  <c r="N304" i="6"/>
  <c r="AZ829" i="6"/>
  <c r="BE776" i="6"/>
  <c r="V776" i="6"/>
  <c r="AF776" i="6"/>
  <c r="AM776" i="6"/>
  <c r="BC776" i="6"/>
  <c r="AX659" i="6"/>
  <c r="AH486" i="6"/>
  <c r="R423" i="6"/>
  <c r="Z304" i="6"/>
  <c r="AP262" i="6"/>
  <c r="V593" i="6"/>
  <c r="AD593" i="6"/>
  <c r="AQ593" i="6"/>
  <c r="BB713" i="6"/>
  <c r="AZ713" i="6"/>
  <c r="BC713" i="6"/>
  <c r="Q713" i="6"/>
  <c r="L713" i="6"/>
  <c r="AC262" i="6"/>
  <c r="AU262" i="6"/>
  <c r="O262" i="6"/>
  <c r="BA949" i="6"/>
  <c r="BF776" i="6"/>
  <c r="AR304" i="6"/>
  <c r="BD357" i="6"/>
  <c r="AO949" i="6"/>
  <c r="AK949" i="6"/>
  <c r="AL949" i="6"/>
  <c r="AR949" i="6"/>
  <c r="L949" i="6"/>
  <c r="O776" i="6"/>
  <c r="AP659" i="6"/>
  <c r="AV486" i="6"/>
  <c r="AZ304" i="6"/>
  <c r="AL477" i="6"/>
  <c r="AT477" i="6"/>
  <c r="BC477" i="6"/>
  <c r="W477" i="6"/>
  <c r="S776" i="6"/>
  <c r="AH659" i="6"/>
  <c r="R486" i="6"/>
  <c r="M423" i="6"/>
  <c r="V304" i="6"/>
  <c r="AT262" i="6"/>
  <c r="AY829" i="6"/>
  <c r="AO829" i="6"/>
  <c r="AQ829" i="6"/>
  <c r="AV829" i="6"/>
  <c r="P829" i="6"/>
  <c r="AG659" i="6"/>
  <c r="AO659" i="6"/>
  <c r="AY659" i="6"/>
  <c r="V423" i="6"/>
  <c r="AD423" i="6"/>
  <c r="AQ423" i="6"/>
  <c r="AT949" i="6"/>
  <c r="AB486" i="6"/>
  <c r="AJ486" i="6"/>
  <c r="AU486" i="6"/>
  <c r="O486" i="6"/>
  <c r="BA304" i="6"/>
  <c r="U304" i="6"/>
  <c r="AM304" i="6"/>
  <c r="P593" i="6"/>
  <c r="AL540" i="6"/>
  <c r="T540" i="6"/>
  <c r="S540" i="6"/>
  <c r="L357" i="6"/>
  <c r="N262" i="6"/>
  <c r="Y949" i="6"/>
  <c r="S722" i="6"/>
  <c r="BA722" i="6"/>
  <c r="V722" i="6"/>
  <c r="P722" i="6"/>
  <c r="BF646" i="6"/>
  <c r="AL646" i="6"/>
  <c r="Y646" i="6"/>
  <c r="O646" i="6"/>
  <c r="AC734" i="6"/>
  <c r="BF734" i="6"/>
  <c r="BD734" i="6"/>
  <c r="R682" i="6"/>
  <c r="AP682" i="6"/>
  <c r="J661" i="6"/>
  <c r="A661" i="6" s="1"/>
  <c r="AJ776" i="6"/>
  <c r="R304" i="6"/>
  <c r="AJ593" i="6"/>
  <c r="AG262" i="6"/>
  <c r="AB304" i="6"/>
  <c r="AU949" i="6"/>
  <c r="AQ949" i="6"/>
  <c r="P949" i="6"/>
  <c r="AR477" i="6"/>
  <c r="BA829" i="6"/>
  <c r="BF829" i="6"/>
  <c r="Q776" i="6"/>
  <c r="AB776" i="6"/>
  <c r="AT776" i="6"/>
  <c r="Y713" i="6"/>
  <c r="R593" i="6"/>
  <c r="AS486" i="6"/>
  <c r="AC423" i="6"/>
  <c r="R357" i="6"/>
  <c r="AH304" i="6"/>
  <c r="AX262" i="6"/>
  <c r="R776" i="6"/>
  <c r="Q593" i="6"/>
  <c r="Y593" i="6"/>
  <c r="AM593" i="6"/>
  <c r="AW713" i="6"/>
  <c r="AT713" i="6"/>
  <c r="AY713" i="6"/>
  <c r="AN713" i="6"/>
  <c r="BE262" i="6"/>
  <c r="Y262" i="6"/>
  <c r="AQ262" i="6"/>
  <c r="AB262" i="6"/>
  <c r="AF304" i="6"/>
  <c r="AH949" i="6"/>
  <c r="AD949" i="6"/>
  <c r="AG949" i="6"/>
  <c r="AN949" i="6"/>
  <c r="AS776" i="6"/>
  <c r="AF593" i="6"/>
  <c r="U477" i="6"/>
  <c r="T262" i="6"/>
  <c r="AG477" i="6"/>
  <c r="AO477" i="6"/>
  <c r="AY477" i="6"/>
  <c r="S477" i="6"/>
  <c r="AH776" i="6"/>
  <c r="AS659" i="6"/>
  <c r="AC486" i="6"/>
  <c r="X423" i="6"/>
  <c r="M357" i="6"/>
  <c r="AD304" i="6"/>
  <c r="BB262" i="6"/>
  <c r="AS829" i="6"/>
  <c r="AH829" i="6"/>
  <c r="AL829" i="6"/>
  <c r="AR829" i="6"/>
  <c r="L829" i="6"/>
  <c r="AB659" i="6"/>
  <c r="AJ659" i="6"/>
  <c r="AU659" i="6"/>
  <c r="O659" i="6"/>
  <c r="Q423" i="6"/>
  <c r="Y423" i="6"/>
  <c r="AM423" i="6"/>
  <c r="U486" i="6"/>
  <c r="P357" i="6"/>
  <c r="V486" i="6"/>
  <c r="AD486" i="6"/>
  <c r="AQ486" i="6"/>
  <c r="AW304" i="6"/>
  <c r="Q304" i="6"/>
  <c r="AI304" i="6"/>
  <c r="AV593" i="6"/>
  <c r="AG540" i="6"/>
  <c r="N540" i="6"/>
  <c r="BA357" i="6"/>
  <c r="BC357" i="6"/>
  <c r="U713" i="6"/>
  <c r="U659" i="6"/>
  <c r="BF722" i="6"/>
  <c r="AT722" i="6"/>
  <c r="Q722" i="6"/>
  <c r="U829" i="6"/>
  <c r="P646" i="6"/>
  <c r="AG646" i="6"/>
  <c r="T646" i="6"/>
  <c r="R713" i="6"/>
  <c r="BA734" i="6"/>
  <c r="AS734" i="6"/>
  <c r="AV734" i="6"/>
  <c r="AM410" i="6"/>
  <c r="P262" i="6"/>
  <c r="L262" i="6"/>
  <c r="BD262" i="6"/>
  <c r="AF463" i="6"/>
  <c r="AX776" i="6"/>
  <c r="AE776" i="6"/>
  <c r="X486" i="6"/>
  <c r="O593" i="6"/>
  <c r="AY262" i="6"/>
  <c r="AM949" i="6"/>
  <c r="BF593" i="6"/>
  <c r="AS949" i="6"/>
  <c r="AV949" i="6"/>
  <c r="AJ304" i="6"/>
  <c r="AA477" i="6"/>
  <c r="BD477" i="6"/>
  <c r="AU829" i="6"/>
  <c r="BG776" i="6"/>
  <c r="N776" i="6"/>
  <c r="BB776" i="6"/>
  <c r="BD776" i="6"/>
  <c r="X776" i="6"/>
  <c r="BA776" i="6"/>
  <c r="AM713" i="6"/>
  <c r="AC593" i="6"/>
  <c r="BD486" i="6"/>
  <c r="AN423" i="6"/>
  <c r="Z357" i="6"/>
  <c r="AP304" i="6"/>
  <c r="BF262" i="6"/>
  <c r="BB593" i="6"/>
  <c r="L593" i="6"/>
  <c r="T593" i="6"/>
  <c r="AI593" i="6"/>
  <c r="AR713" i="6"/>
  <c r="AO713" i="6"/>
  <c r="AU713" i="6"/>
  <c r="AJ713" i="6"/>
  <c r="BA262" i="6"/>
  <c r="U262" i="6"/>
  <c r="AM262" i="6"/>
  <c r="AR262" i="6"/>
  <c r="AP829" i="6"/>
  <c r="BA486" i="6"/>
  <c r="AV304" i="6"/>
  <c r="Z949" i="6"/>
  <c r="W949" i="6"/>
  <c r="AA949" i="6"/>
  <c r="AJ949" i="6"/>
  <c r="AP593" i="6"/>
  <c r="AP477" i="6"/>
  <c r="AJ262" i="6"/>
  <c r="AB477" i="6"/>
  <c r="AJ477" i="6"/>
  <c r="AU477" i="6"/>
  <c r="O477" i="6"/>
  <c r="AU776" i="6"/>
  <c r="BD659" i="6"/>
  <c r="AN486" i="6"/>
  <c r="AH423" i="6"/>
  <c r="V357" i="6"/>
  <c r="AL304" i="6"/>
  <c r="AK829" i="6"/>
  <c r="Z829" i="6"/>
  <c r="AG829" i="6"/>
  <c r="AN829" i="6"/>
  <c r="V659" i="6"/>
  <c r="AD659" i="6"/>
  <c r="AQ659" i="6"/>
  <c r="BB423" i="6"/>
  <c r="L423" i="6"/>
  <c r="T423" i="6"/>
  <c r="AI423" i="6"/>
  <c r="AP486" i="6"/>
  <c r="AN357" i="6"/>
  <c r="Q486" i="6"/>
  <c r="Y486" i="6"/>
  <c r="AM486" i="6"/>
  <c r="AS304" i="6"/>
  <c r="M304" i="6"/>
  <c r="AE304" i="6"/>
  <c r="AF540" i="6"/>
  <c r="X357" i="6"/>
  <c r="Q540" i="6"/>
  <c r="BC540" i="6"/>
  <c r="AW357" i="6"/>
  <c r="AY357" i="6"/>
  <c r="AV713" i="6"/>
  <c r="AS722" i="6"/>
  <c r="Y722" i="6"/>
  <c r="AZ722" i="6"/>
  <c r="AP646" i="6"/>
  <c r="AB646" i="6"/>
  <c r="BC646" i="6"/>
  <c r="P423" i="6"/>
  <c r="AX734" i="6"/>
  <c r="O734" i="6"/>
  <c r="AF734" i="6"/>
  <c r="O357" i="6"/>
  <c r="AQ357" i="6"/>
  <c r="Y357" i="6"/>
  <c r="BE357" i="6"/>
  <c r="N357" i="6"/>
  <c r="AU357" i="6"/>
  <c r="AC357" i="6"/>
  <c r="AA357" i="6"/>
  <c r="BG357" i="6"/>
  <c r="AO357" i="6"/>
  <c r="AV357" i="6"/>
  <c r="J488" i="6"/>
  <c r="A488" i="6" s="1"/>
  <c r="BF713" i="6"/>
  <c r="AC713" i="6"/>
  <c r="N713" i="6"/>
  <c r="AF250" i="6"/>
  <c r="J357" i="6"/>
  <c r="A357" i="6" s="1"/>
  <c r="U776" i="6"/>
  <c r="AW776" i="6"/>
  <c r="AZ776" i="6"/>
  <c r="T776" i="6"/>
  <c r="R829" i="6"/>
  <c r="AN593" i="6"/>
  <c r="AX423" i="6"/>
  <c r="AH357" i="6"/>
  <c r="AX304" i="6"/>
  <c r="AW593" i="6"/>
  <c r="BE593" i="6"/>
  <c r="N593" i="6"/>
  <c r="AE593" i="6"/>
  <c r="AK713" i="6"/>
  <c r="AH713" i="6"/>
  <c r="AQ713" i="6"/>
  <c r="AF713" i="6"/>
  <c r="AW262" i="6"/>
  <c r="Q262" i="6"/>
  <c r="AI262" i="6"/>
  <c r="P486" i="6"/>
  <c r="AN262" i="6"/>
  <c r="S949" i="6"/>
  <c r="O949" i="6"/>
  <c r="V949" i="6"/>
  <c r="AF949" i="6"/>
  <c r="BA477" i="6"/>
  <c r="AB357" i="6"/>
  <c r="AZ262" i="6"/>
  <c r="V477" i="6"/>
  <c r="AD477" i="6"/>
  <c r="AQ477" i="6"/>
  <c r="N949" i="6"/>
  <c r="AE713" i="6"/>
  <c r="X593" i="6"/>
  <c r="AX486" i="6"/>
  <c r="AS423" i="6"/>
  <c r="AD357" i="6"/>
  <c r="AT304" i="6"/>
  <c r="AD829" i="6"/>
  <c r="S829" i="6"/>
  <c r="AA829" i="6"/>
  <c r="AJ829" i="6"/>
  <c r="Q659" i="6"/>
  <c r="Y659" i="6"/>
  <c r="AM659" i="6"/>
  <c r="AW423" i="6"/>
  <c r="BE423" i="6"/>
  <c r="N423" i="6"/>
  <c r="AE423" i="6"/>
  <c r="P477" i="6"/>
  <c r="P304" i="6"/>
  <c r="BB486" i="6"/>
  <c r="L486" i="6"/>
  <c r="T486" i="6"/>
  <c r="AI486" i="6"/>
  <c r="AO304" i="6"/>
  <c r="BG304" i="6"/>
  <c r="AA304" i="6"/>
  <c r="AC829" i="6"/>
  <c r="P498" i="6"/>
  <c r="BD304" i="6"/>
  <c r="L540" i="6"/>
  <c r="AY540" i="6"/>
  <c r="AS357" i="6"/>
  <c r="AM357" i="6"/>
  <c r="AP713" i="6"/>
  <c r="AY722" i="6"/>
  <c r="O722" i="6"/>
  <c r="R722" i="6"/>
  <c r="AV722" i="6"/>
  <c r="Z498" i="6"/>
  <c r="BD646" i="6"/>
  <c r="Q646" i="6"/>
  <c r="AY646" i="6"/>
  <c r="BA423" i="6"/>
  <c r="AI734" i="6"/>
  <c r="BG734" i="6"/>
  <c r="AB734" i="6"/>
  <c r="AN722" i="6"/>
  <c r="AG722" i="6"/>
  <c r="AE722" i="6"/>
  <c r="AP722" i="6"/>
  <c r="AU722" i="6"/>
  <c r="AO722" i="6"/>
  <c r="L722" i="6"/>
  <c r="AR722" i="6"/>
  <c r="AL722" i="6"/>
  <c r="AM722" i="6"/>
  <c r="AX722" i="6"/>
  <c r="M722" i="6"/>
  <c r="X722" i="6"/>
  <c r="BD722" i="6"/>
  <c r="BB722" i="6"/>
  <c r="N722" i="6"/>
  <c r="AD722" i="6"/>
  <c r="AH722" i="6"/>
  <c r="AK918" i="6"/>
  <c r="J736" i="6"/>
  <c r="A736" i="6" s="1"/>
  <c r="J734" i="6"/>
  <c r="A734" i="6" s="1"/>
  <c r="AJ734" i="6"/>
  <c r="AA734" i="6"/>
  <c r="W734" i="6"/>
  <c r="Z734" i="6"/>
  <c r="AM734" i="6"/>
  <c r="AE734" i="6"/>
  <c r="AN734" i="6"/>
  <c r="AG734" i="6"/>
  <c r="AD734" i="6"/>
  <c r="AH734" i="6"/>
  <c r="R734" i="6"/>
  <c r="AT734" i="6"/>
  <c r="L734" i="6"/>
  <c r="AR734" i="6"/>
  <c r="AL734" i="6"/>
  <c r="AK734" i="6"/>
  <c r="AO734" i="6"/>
  <c r="Y734" i="6"/>
  <c r="T734" i="6"/>
  <c r="AZ734" i="6"/>
  <c r="AW734" i="6"/>
  <c r="AY734" i="6"/>
  <c r="BC734" i="6"/>
  <c r="N734" i="6"/>
  <c r="Y410" i="6"/>
  <c r="Q410" i="6"/>
  <c r="AQ410" i="6"/>
  <c r="AD410" i="6"/>
  <c r="V410" i="6"/>
  <c r="AT410" i="6"/>
  <c r="AL410" i="6"/>
  <c r="AA540" i="6"/>
  <c r="BC410" i="6"/>
  <c r="W410" i="6"/>
  <c r="J593" i="6"/>
  <c r="A645" i="6" s="1"/>
  <c r="J595" i="6"/>
  <c r="A595" i="6" s="1"/>
  <c r="J724" i="6"/>
  <c r="A724" i="6" s="1"/>
  <c r="J722" i="6"/>
  <c r="J884" i="6"/>
  <c r="A884" i="6" s="1"/>
  <c r="J829" i="6"/>
  <c r="A881" i="6" s="1"/>
  <c r="J500" i="6"/>
  <c r="A500" i="6" s="1"/>
  <c r="Z699" i="6"/>
  <c r="J778" i="6"/>
  <c r="A778" i="6" s="1"/>
  <c r="J776" i="6"/>
  <c r="A828" i="6" s="1"/>
  <c r="J252" i="6"/>
  <c r="A252" i="6" s="1"/>
  <c r="J542" i="6"/>
  <c r="A542" i="6" s="1"/>
  <c r="J682" i="6"/>
  <c r="A682" i="6" s="1"/>
  <c r="J486" i="6"/>
  <c r="A486" i="6" s="1"/>
  <c r="J646" i="6"/>
  <c r="A646" i="6" s="1"/>
  <c r="J250" i="6"/>
  <c r="A261" i="6" s="1"/>
  <c r="J412" i="6"/>
  <c r="A412" i="6" s="1"/>
  <c r="J410" i="6"/>
  <c r="A410" i="6" s="1"/>
  <c r="J498" i="6"/>
  <c r="A539" i="6" s="1"/>
  <c r="J262" i="6"/>
  <c r="A262" i="6" s="1"/>
  <c r="J359" i="6"/>
  <c r="A359" i="6" s="1"/>
  <c r="A1210" i="6"/>
  <c r="A1198" i="6"/>
  <c r="A1197" i="6"/>
  <c r="BJ895" i="6"/>
  <c r="A895" i="6" l="1"/>
  <c r="A896" i="6"/>
  <c r="A949" i="6"/>
  <c r="A594" i="6"/>
  <c r="A699" i="6"/>
  <c r="A894" i="6"/>
  <c r="A356" i="6"/>
  <c r="A422" i="6"/>
  <c r="A304" i="6"/>
  <c r="A883" i="6"/>
  <c r="A497" i="6"/>
  <c r="A830" i="6"/>
  <c r="A540" i="6"/>
  <c r="A829" i="6"/>
  <c r="A706" i="6"/>
  <c r="A700" i="6"/>
  <c r="BJ949" i="6"/>
  <c r="A683" i="6"/>
  <c r="A478" i="6"/>
  <c r="A950" i="6"/>
  <c r="A942" i="6"/>
  <c r="A462" i="6"/>
  <c r="A498" i="6"/>
  <c r="A477" i="6"/>
  <c r="A446" i="6"/>
  <c r="A447" i="6"/>
  <c r="A541" i="6"/>
  <c r="A483" i="6"/>
  <c r="A593" i="6"/>
  <c r="A487" i="6"/>
  <c r="A775" i="6"/>
  <c r="A934" i="6"/>
  <c r="A735" i="6"/>
  <c r="A918" i="6"/>
  <c r="A411" i="6"/>
  <c r="A919" i="6"/>
  <c r="A463" i="6"/>
  <c r="A713" i="6"/>
  <c r="G947" i="6"/>
  <c r="J947" i="6" s="1"/>
  <c r="A947" i="6" s="1"/>
  <c r="A470" i="6"/>
  <c r="A722" i="6"/>
  <c r="A464" i="6"/>
  <c r="A723" i="6"/>
  <c r="A303" i="6"/>
  <c r="A658" i="6"/>
  <c r="A424" i="6"/>
  <c r="A714" i="6"/>
  <c r="A935" i="6"/>
  <c r="A263" i="6"/>
  <c r="BJ935" i="6"/>
  <c r="BJ713" i="6"/>
  <c r="A423" i="6"/>
  <c r="BJ682" i="6"/>
  <c r="A660" i="6"/>
  <c r="G710" i="6"/>
  <c r="J710" i="6" s="1"/>
  <c r="A710" i="6" s="1"/>
  <c r="A445" i="6"/>
  <c r="A681" i="6"/>
  <c r="A499" i="6"/>
  <c r="A647" i="6"/>
  <c r="A659" i="6"/>
  <c r="G946" i="6"/>
  <c r="J946" i="6" s="1"/>
  <c r="A946" i="6" s="1"/>
  <c r="A733" i="6"/>
  <c r="A777" i="6"/>
  <c r="A250" i="6"/>
  <c r="A409" i="6"/>
  <c r="G474" i="6"/>
  <c r="J474" i="6" s="1"/>
  <c r="A474" i="6" s="1"/>
  <c r="A251" i="6"/>
  <c r="G475" i="6"/>
  <c r="J475" i="6" s="1"/>
  <c r="A475" i="6" s="1"/>
  <c r="G711" i="6"/>
  <c r="J711" i="6" s="1"/>
  <c r="A711" i="6" s="1"/>
  <c r="A776" i="6"/>
  <c r="A358" i="6"/>
  <c r="A698" i="6"/>
  <c r="I833" i="1"/>
  <c r="E833" i="1"/>
  <c r="I775" i="1"/>
  <c r="E775" i="1"/>
  <c r="I777" i="1"/>
  <c r="E777" i="1"/>
  <c r="I812" i="1"/>
  <c r="E812" i="1"/>
  <c r="I811" i="1"/>
  <c r="J811" i="1" s="1"/>
  <c r="E811" i="1"/>
  <c r="I810" i="1"/>
  <c r="J810" i="1" s="1"/>
  <c r="E810" i="1"/>
  <c r="I809" i="1"/>
  <c r="E809" i="1"/>
  <c r="I808" i="1"/>
  <c r="J808" i="1" s="1"/>
  <c r="L808" i="1" s="1"/>
  <c r="E808" i="1"/>
  <c r="H803" i="1"/>
  <c r="I803" i="1" s="1"/>
  <c r="J803" i="1" s="1"/>
  <c r="H802" i="1"/>
  <c r="E803" i="1"/>
  <c r="I817" i="1"/>
  <c r="J817" i="1" s="1"/>
  <c r="L817" i="1" s="1"/>
  <c r="E817" i="1"/>
  <c r="H828" i="1"/>
  <c r="I820" i="1"/>
  <c r="E820" i="1"/>
  <c r="I825" i="1"/>
  <c r="J825" i="1" s="1"/>
  <c r="E825" i="1"/>
  <c r="I824" i="1"/>
  <c r="J824" i="1" s="1"/>
  <c r="E824" i="1"/>
  <c r="I823" i="1"/>
  <c r="J823" i="1" s="1"/>
  <c r="E823" i="1"/>
  <c r="I822" i="1"/>
  <c r="J822" i="1" s="1"/>
  <c r="E822" i="1"/>
  <c r="I827" i="1"/>
  <c r="J827" i="1" s="1"/>
  <c r="E827" i="1"/>
  <c r="H826" i="1"/>
  <c r="H805" i="1"/>
  <c r="I805" i="1" s="1"/>
  <c r="J805" i="1" s="1"/>
  <c r="L805" i="1" s="1"/>
  <c r="H804" i="1"/>
  <c r="I806" i="1"/>
  <c r="J806" i="1" s="1"/>
  <c r="E806" i="1"/>
  <c r="E805" i="1"/>
  <c r="I758" i="1"/>
  <c r="E758" i="1"/>
  <c r="I760" i="1"/>
  <c r="E760" i="1"/>
  <c r="I675" i="1"/>
  <c r="J675" i="1" s="1"/>
  <c r="L675" i="1" s="1"/>
  <c r="E675" i="1"/>
  <c r="H242" i="6"/>
  <c r="H236" i="6"/>
  <c r="H228" i="6"/>
  <c r="H211" i="6"/>
  <c r="H188" i="6"/>
  <c r="H175" i="6"/>
  <c r="H122" i="6"/>
  <c r="H69" i="6"/>
  <c r="I246" i="6"/>
  <c r="J246" i="6" s="1"/>
  <c r="A246" i="6" s="1"/>
  <c r="I245" i="6"/>
  <c r="J245" i="6" s="1"/>
  <c r="A245" i="6" s="1"/>
  <c r="I244" i="6"/>
  <c r="J244" i="6" s="1"/>
  <c r="A244" i="6" s="1"/>
  <c r="I239" i="6"/>
  <c r="I238" i="6"/>
  <c r="I233" i="6"/>
  <c r="J233" i="6" s="1"/>
  <c r="A233" i="6" s="1"/>
  <c r="I232" i="6"/>
  <c r="J232" i="6" s="1"/>
  <c r="A232" i="6" s="1"/>
  <c r="I231" i="6"/>
  <c r="J231" i="6" s="1"/>
  <c r="A231" i="6" s="1"/>
  <c r="I230" i="6"/>
  <c r="J230" i="6" s="1"/>
  <c r="A230" i="6" s="1"/>
  <c r="I225" i="6"/>
  <c r="J225" i="6" s="1"/>
  <c r="A225" i="6" s="1"/>
  <c r="I224" i="6"/>
  <c r="J224" i="6" s="1"/>
  <c r="A224" i="6" s="1"/>
  <c r="I223" i="6"/>
  <c r="J223" i="6" s="1"/>
  <c r="A223" i="6" s="1"/>
  <c r="I222" i="6"/>
  <c r="J222" i="6" s="1"/>
  <c r="A222" i="6" s="1"/>
  <c r="I221" i="6"/>
  <c r="J221" i="6" s="1"/>
  <c r="A221" i="6" s="1"/>
  <c r="I220" i="6"/>
  <c r="J220" i="6" s="1"/>
  <c r="A220" i="6" s="1"/>
  <c r="I219" i="6"/>
  <c r="J219" i="6" s="1"/>
  <c r="A219" i="6" s="1"/>
  <c r="I218" i="6"/>
  <c r="J218" i="6" s="1"/>
  <c r="A218" i="6" s="1"/>
  <c r="I217" i="6"/>
  <c r="J217" i="6" s="1"/>
  <c r="A217" i="6" s="1"/>
  <c r="I216" i="6"/>
  <c r="J216" i="6" s="1"/>
  <c r="A216" i="6" s="1"/>
  <c r="I215" i="6"/>
  <c r="J215" i="6" s="1"/>
  <c r="A215" i="6" s="1"/>
  <c r="I214" i="6"/>
  <c r="J214" i="6" s="1"/>
  <c r="A214" i="6" s="1"/>
  <c r="I213" i="6"/>
  <c r="J213" i="6" s="1"/>
  <c r="A213" i="6" s="1"/>
  <c r="I208" i="6"/>
  <c r="J208" i="6" s="1"/>
  <c r="A208" i="6" s="1"/>
  <c r="I207" i="6"/>
  <c r="J207" i="6" s="1"/>
  <c r="A207" i="6" s="1"/>
  <c r="I206" i="6"/>
  <c r="J206" i="6" s="1"/>
  <c r="A206" i="6" s="1"/>
  <c r="I205" i="6"/>
  <c r="J205" i="6" s="1"/>
  <c r="A205" i="6" s="1"/>
  <c r="I204" i="6"/>
  <c r="J204" i="6" s="1"/>
  <c r="A204" i="6" s="1"/>
  <c r="I203" i="6"/>
  <c r="J203" i="6" s="1"/>
  <c r="A203" i="6" s="1"/>
  <c r="I202" i="6"/>
  <c r="J202" i="6" s="1"/>
  <c r="A202" i="6" s="1"/>
  <c r="I201" i="6"/>
  <c r="J201" i="6" s="1"/>
  <c r="A201" i="6" s="1"/>
  <c r="I200" i="6"/>
  <c r="J200" i="6" s="1"/>
  <c r="A200" i="6" s="1"/>
  <c r="I199" i="6"/>
  <c r="J199" i="6" s="1"/>
  <c r="A199" i="6" s="1"/>
  <c r="I198" i="6"/>
  <c r="J198" i="6" s="1"/>
  <c r="A198" i="6" s="1"/>
  <c r="I197" i="6"/>
  <c r="J197" i="6" s="1"/>
  <c r="A197" i="6" s="1"/>
  <c r="I196" i="6"/>
  <c r="J196" i="6" s="1"/>
  <c r="A196" i="6" s="1"/>
  <c r="I195" i="6"/>
  <c r="J195" i="6" s="1"/>
  <c r="A195" i="6" s="1"/>
  <c r="I194" i="6"/>
  <c r="J194" i="6" s="1"/>
  <c r="A194" i="6" s="1"/>
  <c r="I193" i="6"/>
  <c r="J193" i="6" s="1"/>
  <c r="A193" i="6" s="1"/>
  <c r="I192" i="6"/>
  <c r="J192" i="6" s="1"/>
  <c r="A192" i="6" s="1"/>
  <c r="I191" i="6"/>
  <c r="J191" i="6" s="1"/>
  <c r="A191" i="6" s="1"/>
  <c r="I190" i="6"/>
  <c r="J190" i="6" s="1"/>
  <c r="A190" i="6" s="1"/>
  <c r="I185" i="6"/>
  <c r="J185" i="6" s="1"/>
  <c r="A185" i="6" s="1"/>
  <c r="I184" i="6"/>
  <c r="J184" i="6" s="1"/>
  <c r="A184" i="6" s="1"/>
  <c r="I183" i="6"/>
  <c r="J183" i="6" s="1"/>
  <c r="A183" i="6" s="1"/>
  <c r="I182" i="6"/>
  <c r="J182" i="6" s="1"/>
  <c r="A182" i="6" s="1"/>
  <c r="I181" i="6"/>
  <c r="J181" i="6" s="1"/>
  <c r="A181" i="6" s="1"/>
  <c r="I180" i="6"/>
  <c r="J180" i="6" s="1"/>
  <c r="A180" i="6" s="1"/>
  <c r="I179" i="6"/>
  <c r="J179" i="6" s="1"/>
  <c r="A179" i="6" s="1"/>
  <c r="I178" i="6"/>
  <c r="J178" i="6" s="1"/>
  <c r="A178" i="6" s="1"/>
  <c r="I177" i="6"/>
  <c r="J177" i="6" s="1"/>
  <c r="A177" i="6" s="1"/>
  <c r="I172" i="6"/>
  <c r="J172" i="6" s="1"/>
  <c r="A172" i="6" s="1"/>
  <c r="I171" i="6"/>
  <c r="J171" i="6" s="1"/>
  <c r="A171" i="6" s="1"/>
  <c r="I170" i="6"/>
  <c r="J170" i="6" s="1"/>
  <c r="A170" i="6" s="1"/>
  <c r="I169" i="6"/>
  <c r="J169" i="6" s="1"/>
  <c r="A169" i="6" s="1"/>
  <c r="I168" i="6"/>
  <c r="J168" i="6" s="1"/>
  <c r="A168" i="6" s="1"/>
  <c r="I167" i="6"/>
  <c r="J167" i="6" s="1"/>
  <c r="A167" i="6" s="1"/>
  <c r="I166" i="6"/>
  <c r="J166" i="6" s="1"/>
  <c r="A166" i="6" s="1"/>
  <c r="I165" i="6"/>
  <c r="J165" i="6" s="1"/>
  <c r="A165" i="6" s="1"/>
  <c r="I164" i="6"/>
  <c r="J164" i="6" s="1"/>
  <c r="A164" i="6" s="1"/>
  <c r="I163" i="6"/>
  <c r="J163" i="6" s="1"/>
  <c r="A163" i="6" s="1"/>
  <c r="I162" i="6"/>
  <c r="J162" i="6" s="1"/>
  <c r="A162" i="6" s="1"/>
  <c r="I161" i="6"/>
  <c r="J161" i="6" s="1"/>
  <c r="A161" i="6" s="1"/>
  <c r="I160" i="6"/>
  <c r="J160" i="6" s="1"/>
  <c r="A160" i="6" s="1"/>
  <c r="I159" i="6"/>
  <c r="J159" i="6" s="1"/>
  <c r="A159" i="6" s="1"/>
  <c r="I158" i="6"/>
  <c r="J158" i="6" s="1"/>
  <c r="A158" i="6" s="1"/>
  <c r="I157" i="6"/>
  <c r="J157" i="6" s="1"/>
  <c r="A157" i="6" s="1"/>
  <c r="I156" i="6"/>
  <c r="J156" i="6" s="1"/>
  <c r="A156" i="6" s="1"/>
  <c r="I155" i="6"/>
  <c r="J155" i="6" s="1"/>
  <c r="A155" i="6" s="1"/>
  <c r="I154" i="6"/>
  <c r="J154" i="6" s="1"/>
  <c r="A154" i="6" s="1"/>
  <c r="I153" i="6"/>
  <c r="J153" i="6" s="1"/>
  <c r="A153" i="6" s="1"/>
  <c r="I152" i="6"/>
  <c r="J152" i="6" s="1"/>
  <c r="A152" i="6" s="1"/>
  <c r="I151" i="6"/>
  <c r="J151" i="6" s="1"/>
  <c r="A151" i="6" s="1"/>
  <c r="I150" i="6"/>
  <c r="J150" i="6" s="1"/>
  <c r="A150" i="6" s="1"/>
  <c r="I149" i="6"/>
  <c r="J149" i="6" s="1"/>
  <c r="A149" i="6" s="1"/>
  <c r="I148" i="6"/>
  <c r="J148" i="6" s="1"/>
  <c r="A148" i="6" s="1"/>
  <c r="I147" i="6"/>
  <c r="J147" i="6" s="1"/>
  <c r="A147" i="6" s="1"/>
  <c r="I146" i="6"/>
  <c r="J146" i="6" s="1"/>
  <c r="A146" i="6" s="1"/>
  <c r="I145" i="6"/>
  <c r="J145" i="6" s="1"/>
  <c r="A145" i="6" s="1"/>
  <c r="I144" i="6"/>
  <c r="J144" i="6" s="1"/>
  <c r="A144" i="6" s="1"/>
  <c r="I143" i="6"/>
  <c r="J143" i="6" s="1"/>
  <c r="A143" i="6" s="1"/>
  <c r="I142" i="6"/>
  <c r="J142" i="6" s="1"/>
  <c r="A142" i="6" s="1"/>
  <c r="I141" i="6"/>
  <c r="J141" i="6" s="1"/>
  <c r="A141" i="6" s="1"/>
  <c r="I140" i="6"/>
  <c r="I139" i="6"/>
  <c r="J139" i="6" s="1"/>
  <c r="A139" i="6" s="1"/>
  <c r="I138" i="6"/>
  <c r="J138" i="6" s="1"/>
  <c r="A138" i="6" s="1"/>
  <c r="I137" i="6"/>
  <c r="J137" i="6" s="1"/>
  <c r="A137" i="6" s="1"/>
  <c r="I136" i="6"/>
  <c r="I135" i="6"/>
  <c r="I134" i="6"/>
  <c r="J134" i="6" s="1"/>
  <c r="A134" i="6" s="1"/>
  <c r="I133" i="6"/>
  <c r="J133" i="6" s="1"/>
  <c r="A133" i="6" s="1"/>
  <c r="I132" i="6"/>
  <c r="J132" i="6" s="1"/>
  <c r="A132" i="6" s="1"/>
  <c r="I131" i="6"/>
  <c r="J131" i="6" s="1"/>
  <c r="A131" i="6" s="1"/>
  <c r="I130" i="6"/>
  <c r="J130" i="6" s="1"/>
  <c r="A130" i="6" s="1"/>
  <c r="I129" i="6"/>
  <c r="J129" i="6" s="1"/>
  <c r="A129" i="6" s="1"/>
  <c r="I128" i="6"/>
  <c r="J128" i="6" s="1"/>
  <c r="A128" i="6" s="1"/>
  <c r="I127" i="6"/>
  <c r="J127" i="6" s="1"/>
  <c r="A127" i="6" s="1"/>
  <c r="I126" i="6"/>
  <c r="I125" i="6"/>
  <c r="I124" i="6"/>
  <c r="I119" i="6"/>
  <c r="J119" i="6" s="1"/>
  <c r="A119" i="6" s="1"/>
  <c r="I118" i="6"/>
  <c r="J118" i="6" s="1"/>
  <c r="A118" i="6" s="1"/>
  <c r="I117" i="6"/>
  <c r="J117" i="6" s="1"/>
  <c r="A117" i="6" s="1"/>
  <c r="I116" i="6"/>
  <c r="J116" i="6" s="1"/>
  <c r="A116" i="6" s="1"/>
  <c r="I115" i="6"/>
  <c r="J115" i="6" s="1"/>
  <c r="A115" i="6" s="1"/>
  <c r="I114" i="6"/>
  <c r="J114" i="6" s="1"/>
  <c r="A114" i="6" s="1"/>
  <c r="I113" i="6"/>
  <c r="J113" i="6" s="1"/>
  <c r="A113" i="6" s="1"/>
  <c r="I112" i="6"/>
  <c r="J112" i="6" s="1"/>
  <c r="A112" i="6" s="1"/>
  <c r="I111" i="6"/>
  <c r="J111" i="6" s="1"/>
  <c r="A111" i="6" s="1"/>
  <c r="I110" i="6"/>
  <c r="J110" i="6" s="1"/>
  <c r="A110" i="6" s="1"/>
  <c r="I109" i="6"/>
  <c r="J109" i="6" s="1"/>
  <c r="A109" i="6" s="1"/>
  <c r="I108" i="6"/>
  <c r="J108" i="6" s="1"/>
  <c r="A108" i="6" s="1"/>
  <c r="I107" i="6"/>
  <c r="J107" i="6" s="1"/>
  <c r="A107" i="6" s="1"/>
  <c r="I106" i="6"/>
  <c r="J106" i="6" s="1"/>
  <c r="A106" i="6" s="1"/>
  <c r="I105" i="6"/>
  <c r="J105" i="6" s="1"/>
  <c r="A105" i="6" s="1"/>
  <c r="I104" i="6"/>
  <c r="J104" i="6" s="1"/>
  <c r="A104" i="6" s="1"/>
  <c r="I103" i="6"/>
  <c r="J103" i="6" s="1"/>
  <c r="A103" i="6" s="1"/>
  <c r="I102" i="6"/>
  <c r="J102" i="6" s="1"/>
  <c r="A102" i="6" s="1"/>
  <c r="I101" i="6"/>
  <c r="J101" i="6" s="1"/>
  <c r="A101" i="6" s="1"/>
  <c r="I100" i="6"/>
  <c r="J100" i="6" s="1"/>
  <c r="A100" i="6" s="1"/>
  <c r="I99" i="6"/>
  <c r="J99" i="6" s="1"/>
  <c r="A99" i="6" s="1"/>
  <c r="I98" i="6"/>
  <c r="J98" i="6" s="1"/>
  <c r="A98" i="6" s="1"/>
  <c r="I97" i="6"/>
  <c r="J97" i="6" s="1"/>
  <c r="A97" i="6" s="1"/>
  <c r="I96" i="6"/>
  <c r="J96" i="6" s="1"/>
  <c r="A96" i="6" s="1"/>
  <c r="I95" i="6"/>
  <c r="J95" i="6" s="1"/>
  <c r="A95" i="6" s="1"/>
  <c r="I94" i="6"/>
  <c r="J94" i="6" s="1"/>
  <c r="A94" i="6" s="1"/>
  <c r="I93" i="6"/>
  <c r="J93" i="6" s="1"/>
  <c r="A93" i="6" s="1"/>
  <c r="I92" i="6"/>
  <c r="J92" i="6" s="1"/>
  <c r="A92" i="6" s="1"/>
  <c r="I91" i="6"/>
  <c r="J91" i="6" s="1"/>
  <c r="A91" i="6" s="1"/>
  <c r="I90" i="6"/>
  <c r="J90" i="6" s="1"/>
  <c r="A90" i="6" s="1"/>
  <c r="I89" i="6"/>
  <c r="J89" i="6" s="1"/>
  <c r="A89" i="6" s="1"/>
  <c r="I88" i="6"/>
  <c r="J88" i="6" s="1"/>
  <c r="A88" i="6" s="1"/>
  <c r="I87" i="6"/>
  <c r="J87" i="6" s="1"/>
  <c r="A87" i="6" s="1"/>
  <c r="I86" i="6"/>
  <c r="J86" i="6" s="1"/>
  <c r="A86" i="6" s="1"/>
  <c r="I85" i="6"/>
  <c r="J85" i="6" s="1"/>
  <c r="A85" i="6" s="1"/>
  <c r="I84" i="6"/>
  <c r="J84" i="6" s="1"/>
  <c r="A84" i="6" s="1"/>
  <c r="I83" i="6"/>
  <c r="J83" i="6" s="1"/>
  <c r="A83" i="6" s="1"/>
  <c r="I82" i="6"/>
  <c r="J82" i="6" s="1"/>
  <c r="A82" i="6" s="1"/>
  <c r="I81" i="6"/>
  <c r="J81" i="6" s="1"/>
  <c r="A81" i="6" s="1"/>
  <c r="I80" i="6"/>
  <c r="J80" i="6" s="1"/>
  <c r="A80" i="6" s="1"/>
  <c r="I79" i="6"/>
  <c r="J79" i="6" s="1"/>
  <c r="A79" i="6" s="1"/>
  <c r="I78" i="6"/>
  <c r="J78" i="6" s="1"/>
  <c r="A78" i="6" s="1"/>
  <c r="I77" i="6"/>
  <c r="J77" i="6" s="1"/>
  <c r="A77" i="6" s="1"/>
  <c r="I76" i="6"/>
  <c r="J76" i="6" s="1"/>
  <c r="A76" i="6" s="1"/>
  <c r="I75" i="6"/>
  <c r="J75" i="6" s="1"/>
  <c r="A75" i="6" s="1"/>
  <c r="I74" i="6"/>
  <c r="J74" i="6" s="1"/>
  <c r="A74" i="6" s="1"/>
  <c r="I73" i="6"/>
  <c r="I72" i="6"/>
  <c r="J72" i="6" s="1"/>
  <c r="A72" i="6" s="1"/>
  <c r="I71" i="6"/>
  <c r="I66" i="6"/>
  <c r="J66" i="6" s="1"/>
  <c r="A66" i="6" s="1"/>
  <c r="I65" i="6"/>
  <c r="J65" i="6" s="1"/>
  <c r="A65" i="6" s="1"/>
  <c r="I64" i="6"/>
  <c r="J64" i="6" s="1"/>
  <c r="A64" i="6" s="1"/>
  <c r="I63" i="6"/>
  <c r="J63" i="6" s="1"/>
  <c r="A63" i="6" s="1"/>
  <c r="I62" i="6"/>
  <c r="J62" i="6" s="1"/>
  <c r="A62" i="6" s="1"/>
  <c r="I61" i="6"/>
  <c r="J61" i="6" s="1"/>
  <c r="A61" i="6" s="1"/>
  <c r="I60" i="6"/>
  <c r="J60" i="6" s="1"/>
  <c r="A60" i="6" s="1"/>
  <c r="I59" i="6"/>
  <c r="J59" i="6" s="1"/>
  <c r="A59" i="6" s="1"/>
  <c r="I58" i="6"/>
  <c r="J58" i="6" s="1"/>
  <c r="A58" i="6" s="1"/>
  <c r="I57" i="6"/>
  <c r="J57" i="6" s="1"/>
  <c r="A57" i="6" s="1"/>
  <c r="I56" i="6"/>
  <c r="J56" i="6" s="1"/>
  <c r="A56" i="6" s="1"/>
  <c r="I55" i="6"/>
  <c r="J55" i="6" s="1"/>
  <c r="A55" i="6" s="1"/>
  <c r="I54" i="6"/>
  <c r="J54" i="6" s="1"/>
  <c r="A54" i="6" s="1"/>
  <c r="I53" i="6"/>
  <c r="J53" i="6" s="1"/>
  <c r="A53" i="6" s="1"/>
  <c r="I52" i="6"/>
  <c r="J52" i="6" s="1"/>
  <c r="A52" i="6" s="1"/>
  <c r="I51" i="6"/>
  <c r="J51" i="6" s="1"/>
  <c r="A51" i="6" s="1"/>
  <c r="I50" i="6"/>
  <c r="J50" i="6" s="1"/>
  <c r="A50" i="6" s="1"/>
  <c r="I49" i="6"/>
  <c r="J49" i="6" s="1"/>
  <c r="A49" i="6" s="1"/>
  <c r="I48" i="6"/>
  <c r="J48" i="6" s="1"/>
  <c r="A48" i="6" s="1"/>
  <c r="I47" i="6"/>
  <c r="J47" i="6" s="1"/>
  <c r="A47" i="6" s="1"/>
  <c r="I46" i="6"/>
  <c r="J46" i="6" s="1"/>
  <c r="A46" i="6" s="1"/>
  <c r="I45" i="6"/>
  <c r="J45" i="6" s="1"/>
  <c r="A45" i="6" s="1"/>
  <c r="I44" i="6"/>
  <c r="J44" i="6" s="1"/>
  <c r="A44" i="6" s="1"/>
  <c r="I43" i="6"/>
  <c r="J43" i="6" s="1"/>
  <c r="A43" i="6" s="1"/>
  <c r="I42" i="6"/>
  <c r="J42" i="6" s="1"/>
  <c r="A42" i="6" s="1"/>
  <c r="I41" i="6"/>
  <c r="J41" i="6" s="1"/>
  <c r="A41" i="6" s="1"/>
  <c r="I40" i="6"/>
  <c r="J40" i="6" s="1"/>
  <c r="A40" i="6" s="1"/>
  <c r="I39" i="6"/>
  <c r="J39" i="6" s="1"/>
  <c r="A39" i="6" s="1"/>
  <c r="I38" i="6"/>
  <c r="J38" i="6" s="1"/>
  <c r="A38" i="6" s="1"/>
  <c r="I37" i="6"/>
  <c r="J37" i="6" s="1"/>
  <c r="A37" i="6" s="1"/>
  <c r="I36" i="6"/>
  <c r="J36" i="6" s="1"/>
  <c r="A36" i="6" s="1"/>
  <c r="I35" i="6"/>
  <c r="J35" i="6" s="1"/>
  <c r="A35" i="6" s="1"/>
  <c r="I34" i="6"/>
  <c r="J34" i="6" s="1"/>
  <c r="A34" i="6" s="1"/>
  <c r="I33" i="6"/>
  <c r="J33" i="6" s="1"/>
  <c r="A33" i="6" s="1"/>
  <c r="I32" i="6"/>
  <c r="J32" i="6" s="1"/>
  <c r="A32" i="6" s="1"/>
  <c r="I31" i="6"/>
  <c r="J31" i="6" s="1"/>
  <c r="A31" i="6" s="1"/>
  <c r="I30" i="6"/>
  <c r="J30" i="6" s="1"/>
  <c r="A30" i="6" s="1"/>
  <c r="I29" i="6"/>
  <c r="J29" i="6" s="1"/>
  <c r="A29" i="6" s="1"/>
  <c r="I24" i="6"/>
  <c r="J24" i="6" s="1"/>
  <c r="A24" i="6" s="1"/>
  <c r="I23" i="6"/>
  <c r="J23" i="6" s="1"/>
  <c r="A23" i="6" s="1"/>
  <c r="I22" i="6"/>
  <c r="J22" i="6" s="1"/>
  <c r="A22" i="6" s="1"/>
  <c r="I21" i="6"/>
  <c r="J21" i="6" s="1"/>
  <c r="A21" i="6" s="1"/>
  <c r="I20" i="6"/>
  <c r="J20" i="6" s="1"/>
  <c r="A20" i="6" s="1"/>
  <c r="I19" i="6"/>
  <c r="J19" i="6" s="1"/>
  <c r="A19" i="6" s="1"/>
  <c r="I18" i="6"/>
  <c r="J18" i="6" s="1"/>
  <c r="A18" i="6" s="1"/>
  <c r="I17" i="6"/>
  <c r="J17" i="6" s="1"/>
  <c r="A17" i="6" s="1"/>
  <c r="D3" i="5"/>
  <c r="D2" i="5"/>
  <c r="E3" i="6"/>
  <c r="DI416" i="7"/>
  <c r="DH416" i="7"/>
  <c r="DG416" i="7"/>
  <c r="DF416" i="7"/>
  <c r="DE416" i="7"/>
  <c r="DD416" i="7"/>
  <c r="DC416" i="7"/>
  <c r="DB416" i="7"/>
  <c r="DA416" i="7"/>
  <c r="CZ416" i="7"/>
  <c r="CY416" i="7"/>
  <c r="CX416" i="7"/>
  <c r="CW416" i="7"/>
  <c r="CV416" i="7"/>
  <c r="CU416" i="7"/>
  <c r="CT416" i="7"/>
  <c r="CS416" i="7"/>
  <c r="CR416" i="7"/>
  <c r="CQ416" i="7"/>
  <c r="CP416" i="7"/>
  <c r="CO416" i="7"/>
  <c r="CN416" i="7"/>
  <c r="CM416" i="7"/>
  <c r="CL416" i="7"/>
  <c r="CK416" i="7"/>
  <c r="CJ416" i="7"/>
  <c r="CI416" i="7"/>
  <c r="CH416" i="7"/>
  <c r="CG416" i="7"/>
  <c r="CF416" i="7"/>
  <c r="CE416" i="7"/>
  <c r="CD416" i="7"/>
  <c r="CC416" i="7"/>
  <c r="CB416" i="7"/>
  <c r="CA416" i="7"/>
  <c r="BZ416" i="7"/>
  <c r="BY416" i="7"/>
  <c r="BX416" i="7"/>
  <c r="BW416" i="7"/>
  <c r="BV416" i="7"/>
  <c r="BU416" i="7"/>
  <c r="BT416" i="7"/>
  <c r="BS416" i="7"/>
  <c r="BR416" i="7"/>
  <c r="BQ416" i="7"/>
  <c r="BP416" i="7"/>
  <c r="BO416" i="7"/>
  <c r="DI367" i="7"/>
  <c r="DH367" i="7"/>
  <c r="DG367" i="7"/>
  <c r="DF367" i="7"/>
  <c r="DE367" i="7"/>
  <c r="DD367" i="7"/>
  <c r="DC367" i="7"/>
  <c r="DB367" i="7"/>
  <c r="DA367" i="7"/>
  <c r="CZ367" i="7"/>
  <c r="CY367" i="7"/>
  <c r="CX367" i="7"/>
  <c r="CW367" i="7"/>
  <c r="CV367" i="7"/>
  <c r="CU367" i="7"/>
  <c r="CT367" i="7"/>
  <c r="CS367" i="7"/>
  <c r="CR367" i="7"/>
  <c r="CQ367" i="7"/>
  <c r="CP367" i="7"/>
  <c r="CO367" i="7"/>
  <c r="CN367" i="7"/>
  <c r="CM367" i="7"/>
  <c r="CL367" i="7"/>
  <c r="CK367" i="7"/>
  <c r="CJ367" i="7"/>
  <c r="CI367" i="7"/>
  <c r="CH367" i="7"/>
  <c r="CG367" i="7"/>
  <c r="CF367" i="7"/>
  <c r="CE367" i="7"/>
  <c r="CD367" i="7"/>
  <c r="CC367" i="7"/>
  <c r="CB367" i="7"/>
  <c r="CA367" i="7"/>
  <c r="BZ367" i="7"/>
  <c r="BY367" i="7"/>
  <c r="BX367" i="7"/>
  <c r="BW367" i="7"/>
  <c r="BV367" i="7"/>
  <c r="BU367" i="7"/>
  <c r="BT367" i="7"/>
  <c r="BS367" i="7"/>
  <c r="BR367" i="7"/>
  <c r="BQ367" i="7"/>
  <c r="BP367" i="7"/>
  <c r="BO367" i="7"/>
  <c r="BN367" i="7"/>
  <c r="BN416" i="7"/>
  <c r="AM416" i="7"/>
  <c r="AL416" i="7"/>
  <c r="AK416" i="7"/>
  <c r="AJ416" i="7"/>
  <c r="AI416" i="7"/>
  <c r="AH416" i="7"/>
  <c r="AG416" i="7"/>
  <c r="AF416" i="7"/>
  <c r="AE416" i="7"/>
  <c r="AD416" i="7"/>
  <c r="AC416" i="7"/>
  <c r="AB416" i="7"/>
  <c r="AA416" i="7"/>
  <c r="Z416" i="7"/>
  <c r="Y416" i="7"/>
  <c r="X416" i="7"/>
  <c r="W416" i="7"/>
  <c r="V416" i="7"/>
  <c r="U416" i="7"/>
  <c r="T416" i="7"/>
  <c r="S416" i="7"/>
  <c r="R416" i="7"/>
  <c r="Q416" i="7"/>
  <c r="P416" i="7"/>
  <c r="O416" i="7"/>
  <c r="AM367" i="7"/>
  <c r="AL367" i="7"/>
  <c r="AK367" i="7"/>
  <c r="AJ367" i="7"/>
  <c r="AI367" i="7"/>
  <c r="AH367" i="7"/>
  <c r="AG367" i="7"/>
  <c r="AF367" i="7"/>
  <c r="AE367" i="7"/>
  <c r="AD367" i="7"/>
  <c r="AC367" i="7"/>
  <c r="AB367" i="7"/>
  <c r="AA367" i="7"/>
  <c r="Z367" i="7"/>
  <c r="Y367" i="7"/>
  <c r="X367" i="7"/>
  <c r="W367" i="7"/>
  <c r="V367" i="7"/>
  <c r="U367" i="7"/>
  <c r="T367" i="7"/>
  <c r="S367" i="7"/>
  <c r="R367" i="7"/>
  <c r="Q367" i="7"/>
  <c r="P367" i="7"/>
  <c r="O367" i="7"/>
  <c r="N416" i="7"/>
  <c r="N367" i="7"/>
  <c r="BL426" i="7"/>
  <c r="K426" i="7"/>
  <c r="L426" i="7" s="1"/>
  <c r="I426" i="7"/>
  <c r="BL425" i="7"/>
  <c r="K425" i="7"/>
  <c r="L425" i="7" s="1"/>
  <c r="I425" i="7"/>
  <c r="BL424" i="7"/>
  <c r="K424" i="7"/>
  <c r="L424" i="7" s="1"/>
  <c r="I424" i="7"/>
  <c r="BL423" i="7"/>
  <c r="K423" i="7"/>
  <c r="L423" i="7" s="1"/>
  <c r="I423" i="7"/>
  <c r="BL422" i="7"/>
  <c r="K422" i="7"/>
  <c r="L422" i="7" s="1"/>
  <c r="I422" i="7"/>
  <c r="BL421" i="7"/>
  <c r="K421" i="7"/>
  <c r="L421" i="7" s="1"/>
  <c r="I421" i="7"/>
  <c r="BL420" i="7"/>
  <c r="K420" i="7"/>
  <c r="L420" i="7" s="1"/>
  <c r="I420" i="7"/>
  <c r="BL419" i="7"/>
  <c r="K419" i="7"/>
  <c r="L419" i="7" s="1"/>
  <c r="I419" i="7"/>
  <c r="BL418" i="7"/>
  <c r="K418" i="7"/>
  <c r="L418" i="7" s="1"/>
  <c r="I418" i="7"/>
  <c r="BL417" i="7"/>
  <c r="K417" i="7"/>
  <c r="L417" i="7" s="1"/>
  <c r="I417" i="7"/>
  <c r="BL375" i="7"/>
  <c r="K375" i="7"/>
  <c r="L375" i="7" s="1"/>
  <c r="I375" i="7"/>
  <c r="BL374" i="7"/>
  <c r="K374" i="7"/>
  <c r="L374" i="7" s="1"/>
  <c r="I374" i="7"/>
  <c r="BL373" i="7"/>
  <c r="K373" i="7"/>
  <c r="L373" i="7" s="1"/>
  <c r="I373" i="7"/>
  <c r="BL372" i="7"/>
  <c r="K372" i="7"/>
  <c r="L372" i="7" s="1"/>
  <c r="I372" i="7"/>
  <c r="BL371" i="7"/>
  <c r="K371" i="7"/>
  <c r="L371" i="7" s="1"/>
  <c r="I371" i="7"/>
  <c r="BL370" i="7"/>
  <c r="K370" i="7"/>
  <c r="L370" i="7" s="1"/>
  <c r="I370" i="7"/>
  <c r="BL369" i="7"/>
  <c r="K369" i="7"/>
  <c r="L369" i="7" s="1"/>
  <c r="I369" i="7"/>
  <c r="BL368" i="7"/>
  <c r="K368" i="7"/>
  <c r="L368" i="7" s="1"/>
  <c r="I368" i="7"/>
  <c r="I670" i="1"/>
  <c r="J670" i="1" s="1"/>
  <c r="L670" i="1" s="1"/>
  <c r="E670" i="1"/>
  <c r="I669" i="1"/>
  <c r="J669" i="1" s="1"/>
  <c r="L669" i="1" s="1"/>
  <c r="E669" i="1"/>
  <c r="I668" i="1"/>
  <c r="L668" i="1" s="1"/>
  <c r="E668" i="1"/>
  <c r="J765" i="1"/>
  <c r="J744" i="1"/>
  <c r="I755" i="1"/>
  <c r="J755" i="1" s="1"/>
  <c r="E755" i="1"/>
  <c r="V366" i="7" l="1"/>
  <c r="AL366" i="7"/>
  <c r="AK366" i="7"/>
  <c r="U366" i="7"/>
  <c r="R366" i="7"/>
  <c r="AH366" i="7"/>
  <c r="T366" i="7"/>
  <c r="AJ366" i="7"/>
  <c r="BZ366" i="7"/>
  <c r="DF366" i="7"/>
  <c r="X366" i="7"/>
  <c r="CB366" i="7"/>
  <c r="CR366" i="7"/>
  <c r="DH366" i="7"/>
  <c r="CP366" i="7"/>
  <c r="S366" i="7"/>
  <c r="AI366" i="7"/>
  <c r="CC366" i="7"/>
  <c r="BN366" i="7"/>
  <c r="CD366" i="7"/>
  <c r="L416" i="7"/>
  <c r="CS366" i="7"/>
  <c r="BL416" i="7"/>
  <c r="DI366" i="7"/>
  <c r="CT366" i="7"/>
  <c r="W366" i="7"/>
  <c r="AM366" i="7"/>
  <c r="J243" i="6"/>
  <c r="U943" i="6"/>
  <c r="U721" i="6" s="1"/>
  <c r="AP943" i="6"/>
  <c r="AP721" i="6" s="1"/>
  <c r="AS943" i="6"/>
  <c r="AS721" i="6" s="1"/>
  <c r="AB943" i="6"/>
  <c r="AB721" i="6" s="1"/>
  <c r="AN943" i="6"/>
  <c r="AN721" i="6" s="1"/>
  <c r="Z943" i="6"/>
  <c r="Z721" i="6" s="1"/>
  <c r="AK943" i="6"/>
  <c r="AK721" i="6" s="1"/>
  <c r="AV943" i="6"/>
  <c r="AV721" i="6" s="1"/>
  <c r="BE943" i="6"/>
  <c r="BE721" i="6" s="1"/>
  <c r="AU943" i="6"/>
  <c r="AU721" i="6" s="1"/>
  <c r="L943" i="6"/>
  <c r="L721" i="6" s="1"/>
  <c r="T943" i="6"/>
  <c r="T721" i="6" s="1"/>
  <c r="BG943" i="6"/>
  <c r="BG721" i="6" s="1"/>
  <c r="AE943" i="6"/>
  <c r="AE721" i="6" s="1"/>
  <c r="AZ943" i="6"/>
  <c r="AZ721" i="6" s="1"/>
  <c r="AQ943" i="6"/>
  <c r="AQ721" i="6" s="1"/>
  <c r="W943" i="6"/>
  <c r="W721" i="6" s="1"/>
  <c r="AG943" i="6"/>
  <c r="AG721" i="6" s="1"/>
  <c r="V943" i="6"/>
  <c r="V721" i="6" s="1"/>
  <c r="AL943" i="6"/>
  <c r="AL721" i="6" s="1"/>
  <c r="AW943" i="6"/>
  <c r="AW721" i="6" s="1"/>
  <c r="AF943" i="6"/>
  <c r="AF721" i="6" s="1"/>
  <c r="M943" i="6"/>
  <c r="M721" i="6" s="1"/>
  <c r="BA943" i="6"/>
  <c r="BA721" i="6" s="1"/>
  <c r="AI943" i="6"/>
  <c r="AI721" i="6" s="1"/>
  <c r="Q943" i="6"/>
  <c r="Q721" i="6" s="1"/>
  <c r="AC943" i="6"/>
  <c r="AC721" i="6" s="1"/>
  <c r="AX943" i="6"/>
  <c r="AX721" i="6" s="1"/>
  <c r="AD943" i="6"/>
  <c r="AD721" i="6" s="1"/>
  <c r="R943" i="6"/>
  <c r="R721" i="6" s="1"/>
  <c r="AR943" i="6"/>
  <c r="AR721" i="6" s="1"/>
  <c r="AY943" i="6"/>
  <c r="AY721" i="6" s="1"/>
  <c r="AO943" i="6"/>
  <c r="AO721" i="6" s="1"/>
  <c r="S943" i="6"/>
  <c r="S721" i="6" s="1"/>
  <c r="BF943" i="6"/>
  <c r="BF721" i="6" s="1"/>
  <c r="BC943" i="6"/>
  <c r="BC721" i="6" s="1"/>
  <c r="AJ943" i="6"/>
  <c r="AJ721" i="6" s="1"/>
  <c r="AM943" i="6"/>
  <c r="AM721" i="6" s="1"/>
  <c r="BD943" i="6"/>
  <c r="BD721" i="6" s="1"/>
  <c r="AT943" i="6"/>
  <c r="AT721" i="6" s="1"/>
  <c r="AA943" i="6"/>
  <c r="AA721" i="6" s="1"/>
  <c r="P943" i="6"/>
  <c r="P721" i="6" s="1"/>
  <c r="X943" i="6"/>
  <c r="X721" i="6" s="1"/>
  <c r="Y943" i="6"/>
  <c r="Y721" i="6" s="1"/>
  <c r="AH943" i="6"/>
  <c r="AH721" i="6" s="1"/>
  <c r="N943" i="6"/>
  <c r="N721" i="6" s="1"/>
  <c r="BB943" i="6"/>
  <c r="BB721" i="6" s="1"/>
  <c r="O943" i="6"/>
  <c r="O721" i="6" s="1"/>
  <c r="J212" i="6"/>
  <c r="J189" i="6"/>
  <c r="J229" i="6"/>
  <c r="AB707" i="6"/>
  <c r="AB485" i="6" s="1"/>
  <c r="T707" i="6"/>
  <c r="T485" i="6" s="1"/>
  <c r="AP707" i="6"/>
  <c r="AP485" i="6" s="1"/>
  <c r="AW707" i="6"/>
  <c r="AW485" i="6" s="1"/>
  <c r="Z707" i="6"/>
  <c r="Z485" i="6" s="1"/>
  <c r="AN707" i="6"/>
  <c r="AN485" i="6" s="1"/>
  <c r="AA707" i="6"/>
  <c r="AA485" i="6" s="1"/>
  <c r="BC707" i="6"/>
  <c r="BC485" i="6" s="1"/>
  <c r="Y707" i="6"/>
  <c r="Y485" i="6" s="1"/>
  <c r="AZ707" i="6"/>
  <c r="AZ485" i="6" s="1"/>
  <c r="AQ707" i="6"/>
  <c r="AQ485" i="6" s="1"/>
  <c r="AH707" i="6"/>
  <c r="AH485" i="6" s="1"/>
  <c r="AC707" i="6"/>
  <c r="AC485" i="6" s="1"/>
  <c r="BE707" i="6"/>
  <c r="BE485" i="6" s="1"/>
  <c r="AV707" i="6"/>
  <c r="AV485" i="6" s="1"/>
  <c r="AD707" i="6"/>
  <c r="AD485" i="6" s="1"/>
  <c r="AI707" i="6"/>
  <c r="AI485" i="6" s="1"/>
  <c r="N707" i="6"/>
  <c r="N485" i="6" s="1"/>
  <c r="AF707" i="6"/>
  <c r="AF485" i="6" s="1"/>
  <c r="Q707" i="6"/>
  <c r="Q485" i="6" s="1"/>
  <c r="AX707" i="6"/>
  <c r="AX485" i="6" s="1"/>
  <c r="BD707" i="6"/>
  <c r="BD485" i="6" s="1"/>
  <c r="S707" i="6"/>
  <c r="S485" i="6" s="1"/>
  <c r="AP471" i="6"/>
  <c r="AP249" i="6" s="1"/>
  <c r="BA471" i="6"/>
  <c r="BA249" i="6" s="1"/>
  <c r="BC471" i="6"/>
  <c r="BC249" i="6" s="1"/>
  <c r="AW471" i="6"/>
  <c r="AW249" i="6" s="1"/>
  <c r="O471" i="6"/>
  <c r="O249" i="6" s="1"/>
  <c r="AE471" i="6"/>
  <c r="AE249" i="6" s="1"/>
  <c r="AA471" i="6"/>
  <c r="AA249" i="6" s="1"/>
  <c r="AQ471" i="6"/>
  <c r="AQ249" i="6" s="1"/>
  <c r="BD471" i="6"/>
  <c r="BD249" i="6" s="1"/>
  <c r="AL471" i="6"/>
  <c r="AL249" i="6" s="1"/>
  <c r="Z471" i="6"/>
  <c r="Z249" i="6" s="1"/>
  <c r="AJ471" i="6"/>
  <c r="AJ249" i="6" s="1"/>
  <c r="BE471" i="6"/>
  <c r="BE249" i="6" s="1"/>
  <c r="AS471" i="6"/>
  <c r="AS249" i="6" s="1"/>
  <c r="AX471" i="6"/>
  <c r="AX249" i="6" s="1"/>
  <c r="V471" i="6"/>
  <c r="V249" i="6" s="1"/>
  <c r="AY471" i="6"/>
  <c r="AY249" i="6" s="1"/>
  <c r="AH471" i="6"/>
  <c r="AH249" i="6" s="1"/>
  <c r="M471" i="6"/>
  <c r="M249" i="6" s="1"/>
  <c r="S471" i="6"/>
  <c r="S249" i="6" s="1"/>
  <c r="AI471" i="6"/>
  <c r="AI249" i="6" s="1"/>
  <c r="AN471" i="6"/>
  <c r="AN249" i="6" s="1"/>
  <c r="AG471" i="6"/>
  <c r="AG249" i="6" s="1"/>
  <c r="BG471" i="6"/>
  <c r="BG249" i="6" s="1"/>
  <c r="T471" i="6"/>
  <c r="T249" i="6" s="1"/>
  <c r="AO471" i="6"/>
  <c r="AO249" i="6" s="1"/>
  <c r="L471" i="6"/>
  <c r="L249" i="6" s="1"/>
  <c r="X471" i="6"/>
  <c r="X249" i="6" s="1"/>
  <c r="AK471" i="6"/>
  <c r="AK249" i="6" s="1"/>
  <c r="R471" i="6"/>
  <c r="R249" i="6" s="1"/>
  <c r="AR471" i="6"/>
  <c r="AR249" i="6" s="1"/>
  <c r="BB471" i="6"/>
  <c r="BB249" i="6" s="1"/>
  <c r="W471" i="6"/>
  <c r="W249" i="6" s="1"/>
  <c r="AM471" i="6"/>
  <c r="AM249" i="6" s="1"/>
  <c r="AB471" i="6"/>
  <c r="AB249" i="6" s="1"/>
  <c r="AU471" i="6"/>
  <c r="AU249" i="6" s="1"/>
  <c r="U471" i="6"/>
  <c r="U249" i="6" s="1"/>
  <c r="AV471" i="6"/>
  <c r="AV249" i="6" s="1"/>
  <c r="Y471" i="6"/>
  <c r="Y249" i="6" s="1"/>
  <c r="AT471" i="6"/>
  <c r="AT249" i="6" s="1"/>
  <c r="Q471" i="6"/>
  <c r="Q249" i="6" s="1"/>
  <c r="AC471" i="6"/>
  <c r="AC249" i="6" s="1"/>
  <c r="AF471" i="6"/>
  <c r="AF249" i="6" s="1"/>
  <c r="N471" i="6"/>
  <c r="N249" i="6" s="1"/>
  <c r="P471" i="6"/>
  <c r="P249" i="6" s="1"/>
  <c r="AZ471" i="6"/>
  <c r="AZ249" i="6" s="1"/>
  <c r="BF471" i="6"/>
  <c r="BF249" i="6" s="1"/>
  <c r="AD471" i="6"/>
  <c r="AD249" i="6" s="1"/>
  <c r="AL707" i="6"/>
  <c r="AL485" i="6" s="1"/>
  <c r="J176" i="6"/>
  <c r="J943" i="6"/>
  <c r="A948" i="6" s="1"/>
  <c r="J945" i="6"/>
  <c r="A945" i="6" s="1"/>
  <c r="AU707" i="6"/>
  <c r="AU485" i="6" s="1"/>
  <c r="V707" i="6"/>
  <c r="V485" i="6" s="1"/>
  <c r="AE707" i="6"/>
  <c r="AE485" i="6" s="1"/>
  <c r="AO707" i="6"/>
  <c r="AO485" i="6" s="1"/>
  <c r="AK707" i="6"/>
  <c r="AK485" i="6" s="1"/>
  <c r="BA707" i="6"/>
  <c r="BA485" i="6" s="1"/>
  <c r="J707" i="6"/>
  <c r="J709" i="6"/>
  <c r="A709" i="6" s="1"/>
  <c r="AM707" i="6"/>
  <c r="AM485" i="6" s="1"/>
  <c r="AS707" i="6"/>
  <c r="AS485" i="6" s="1"/>
  <c r="AJ707" i="6"/>
  <c r="AJ485" i="6" s="1"/>
  <c r="P707" i="6"/>
  <c r="P485" i="6" s="1"/>
  <c r="U707" i="6"/>
  <c r="U485" i="6" s="1"/>
  <c r="M707" i="6"/>
  <c r="M485" i="6" s="1"/>
  <c r="R707" i="6"/>
  <c r="R485" i="6" s="1"/>
  <c r="AT707" i="6"/>
  <c r="AT485" i="6" s="1"/>
  <c r="O707" i="6"/>
  <c r="O485" i="6" s="1"/>
  <c r="X707" i="6"/>
  <c r="X485" i="6" s="1"/>
  <c r="AR707" i="6"/>
  <c r="AR485" i="6" s="1"/>
  <c r="AG707" i="6"/>
  <c r="AG485" i="6" s="1"/>
  <c r="L707" i="6"/>
  <c r="L485" i="6" s="1"/>
  <c r="W707" i="6"/>
  <c r="W485" i="6" s="1"/>
  <c r="BF707" i="6"/>
  <c r="BF485" i="6" s="1"/>
  <c r="BB707" i="6"/>
  <c r="BB485" i="6" s="1"/>
  <c r="BG707" i="6"/>
  <c r="BG485" i="6" s="1"/>
  <c r="AY707" i="6"/>
  <c r="AY485" i="6" s="1"/>
  <c r="J471" i="6"/>
  <c r="J473" i="6"/>
  <c r="A473" i="6" s="1"/>
  <c r="CE366" i="7"/>
  <c r="BQ366" i="7"/>
  <c r="CX366" i="7"/>
  <c r="Y366" i="7"/>
  <c r="DA366" i="7"/>
  <c r="Z366" i="7"/>
  <c r="BV366" i="7"/>
  <c r="DC366" i="7"/>
  <c r="DD366" i="7"/>
  <c r="CG366" i="7"/>
  <c r="CY366" i="7"/>
  <c r="DB366" i="7"/>
  <c r="BX366" i="7"/>
  <c r="CN366" i="7"/>
  <c r="N366" i="7"/>
  <c r="AC366" i="7"/>
  <c r="BY366" i="7"/>
  <c r="CO366" i="7"/>
  <c r="DE366" i="7"/>
  <c r="BO366" i="7"/>
  <c r="BP366" i="7"/>
  <c r="CI366" i="7"/>
  <c r="CZ366" i="7"/>
  <c r="BW366" i="7"/>
  <c r="AB366" i="7"/>
  <c r="CU366" i="7"/>
  <c r="CF366" i="7"/>
  <c r="CW366" i="7"/>
  <c r="BR366" i="7"/>
  <c r="CK366" i="7"/>
  <c r="CM366" i="7"/>
  <c r="AD366" i="7"/>
  <c r="O366" i="7"/>
  <c r="AE366" i="7"/>
  <c r="CA366" i="7"/>
  <c r="CQ366" i="7"/>
  <c r="DG366" i="7"/>
  <c r="CH366" i="7"/>
  <c r="BS366" i="7"/>
  <c r="CJ366" i="7"/>
  <c r="P366" i="7"/>
  <c r="AF366" i="7"/>
  <c r="CV366" i="7"/>
  <c r="BT366" i="7"/>
  <c r="BU366" i="7"/>
  <c r="CL366" i="7"/>
  <c r="AA366" i="7"/>
  <c r="Q366" i="7"/>
  <c r="AG366" i="7"/>
  <c r="O187" i="6"/>
  <c r="S187" i="6"/>
  <c r="W187" i="6"/>
  <c r="AA187" i="6"/>
  <c r="AE187" i="6"/>
  <c r="AI187" i="6"/>
  <c r="AM187" i="6"/>
  <c r="AQ187" i="6"/>
  <c r="AU187" i="6"/>
  <c r="AY187" i="6"/>
  <c r="BC187" i="6"/>
  <c r="BG187" i="6"/>
  <c r="M187" i="6"/>
  <c r="Q187" i="6"/>
  <c r="U187" i="6"/>
  <c r="Y187" i="6"/>
  <c r="AC187" i="6"/>
  <c r="AG187" i="6"/>
  <c r="AK187" i="6"/>
  <c r="AO187" i="6"/>
  <c r="AS187" i="6"/>
  <c r="AW187" i="6"/>
  <c r="BA187" i="6"/>
  <c r="BE187" i="6"/>
  <c r="R187" i="6"/>
  <c r="Z187" i="6"/>
  <c r="AH187" i="6"/>
  <c r="AP187" i="6"/>
  <c r="AX187" i="6"/>
  <c r="BF187" i="6"/>
  <c r="T187" i="6"/>
  <c r="AJ187" i="6"/>
  <c r="AZ187" i="6"/>
  <c r="P187" i="6"/>
  <c r="AN187" i="6"/>
  <c r="L187" i="6"/>
  <c r="AB187" i="6"/>
  <c r="AR187" i="6"/>
  <c r="N187" i="6"/>
  <c r="V187" i="6"/>
  <c r="AD187" i="6"/>
  <c r="AL187" i="6"/>
  <c r="AT187" i="6"/>
  <c r="BB187" i="6"/>
  <c r="X187" i="6"/>
  <c r="AV187" i="6"/>
  <c r="AF187" i="6"/>
  <c r="BD187" i="6"/>
  <c r="O227" i="6"/>
  <c r="S227" i="6"/>
  <c r="W227" i="6"/>
  <c r="AA227" i="6"/>
  <c r="AE227" i="6"/>
  <c r="AI227" i="6"/>
  <c r="AM227" i="6"/>
  <c r="AQ227" i="6"/>
  <c r="AU227" i="6"/>
  <c r="AY227" i="6"/>
  <c r="BC227" i="6"/>
  <c r="BG227" i="6"/>
  <c r="M227" i="6"/>
  <c r="Q227" i="6"/>
  <c r="U227" i="6"/>
  <c r="Y227" i="6"/>
  <c r="AC227" i="6"/>
  <c r="AG227" i="6"/>
  <c r="AK227" i="6"/>
  <c r="AO227" i="6"/>
  <c r="AS227" i="6"/>
  <c r="AW227" i="6"/>
  <c r="BA227" i="6"/>
  <c r="BE227" i="6"/>
  <c r="R227" i="6"/>
  <c r="Z227" i="6"/>
  <c r="AH227" i="6"/>
  <c r="AP227" i="6"/>
  <c r="AX227" i="6"/>
  <c r="BF227" i="6"/>
  <c r="L227" i="6"/>
  <c r="AB227" i="6"/>
  <c r="AR227" i="6"/>
  <c r="P227" i="6"/>
  <c r="AN227" i="6"/>
  <c r="T227" i="6"/>
  <c r="AJ227" i="6"/>
  <c r="AZ227" i="6"/>
  <c r="N227" i="6"/>
  <c r="V227" i="6"/>
  <c r="AD227" i="6"/>
  <c r="AL227" i="6"/>
  <c r="AT227" i="6"/>
  <c r="BB227" i="6"/>
  <c r="AF227" i="6"/>
  <c r="AV227" i="6"/>
  <c r="X227" i="6"/>
  <c r="BD227" i="6"/>
  <c r="O210" i="6"/>
  <c r="S210" i="6"/>
  <c r="W210" i="6"/>
  <c r="AA210" i="6"/>
  <c r="AE210" i="6"/>
  <c r="AI210" i="6"/>
  <c r="AM210" i="6"/>
  <c r="AQ210" i="6"/>
  <c r="AU210" i="6"/>
  <c r="AY210" i="6"/>
  <c r="BC210" i="6"/>
  <c r="BG210" i="6"/>
  <c r="M210" i="6"/>
  <c r="Q210" i="6"/>
  <c r="U210" i="6"/>
  <c r="Y210" i="6"/>
  <c r="AC210" i="6"/>
  <c r="AG210" i="6"/>
  <c r="AK210" i="6"/>
  <c r="AO210" i="6"/>
  <c r="AS210" i="6"/>
  <c r="AW210" i="6"/>
  <c r="BA210" i="6"/>
  <c r="BE210" i="6"/>
  <c r="R210" i="6"/>
  <c r="Z210" i="6"/>
  <c r="AH210" i="6"/>
  <c r="AP210" i="6"/>
  <c r="AX210" i="6"/>
  <c r="BF210" i="6"/>
  <c r="T210" i="6"/>
  <c r="AJ210" i="6"/>
  <c r="AZ210" i="6"/>
  <c r="P210" i="6"/>
  <c r="AN210" i="6"/>
  <c r="L210" i="6"/>
  <c r="AB210" i="6"/>
  <c r="AR210" i="6"/>
  <c r="N210" i="6"/>
  <c r="V210" i="6"/>
  <c r="AD210" i="6"/>
  <c r="AL210" i="6"/>
  <c r="AT210" i="6"/>
  <c r="BB210" i="6"/>
  <c r="X210" i="6"/>
  <c r="AV210" i="6"/>
  <c r="AF210" i="6"/>
  <c r="BD210" i="6"/>
  <c r="O241" i="6"/>
  <c r="S241" i="6"/>
  <c r="W241" i="6"/>
  <c r="AA241" i="6"/>
  <c r="AE241" i="6"/>
  <c r="AI241" i="6"/>
  <c r="AM241" i="6"/>
  <c r="AQ241" i="6"/>
  <c r="AU241" i="6"/>
  <c r="AY241" i="6"/>
  <c r="BC241" i="6"/>
  <c r="BG241" i="6"/>
  <c r="M241" i="6"/>
  <c r="Q241" i="6"/>
  <c r="U241" i="6"/>
  <c r="Y241" i="6"/>
  <c r="AC241" i="6"/>
  <c r="AG241" i="6"/>
  <c r="AK241" i="6"/>
  <c r="AO241" i="6"/>
  <c r="AS241" i="6"/>
  <c r="AW241" i="6"/>
  <c r="BA241" i="6"/>
  <c r="BE241" i="6"/>
  <c r="R241" i="6"/>
  <c r="Z241" i="6"/>
  <c r="AH241" i="6"/>
  <c r="AP241" i="6"/>
  <c r="AX241" i="6"/>
  <c r="BF241" i="6"/>
  <c r="T241" i="6"/>
  <c r="AJ241" i="6"/>
  <c r="AZ241" i="6"/>
  <c r="X241" i="6"/>
  <c r="AV241" i="6"/>
  <c r="L241" i="6"/>
  <c r="AB241" i="6"/>
  <c r="AR241" i="6"/>
  <c r="N241" i="6"/>
  <c r="V241" i="6"/>
  <c r="AD241" i="6"/>
  <c r="AL241" i="6"/>
  <c r="AT241" i="6"/>
  <c r="BB241" i="6"/>
  <c r="P241" i="6"/>
  <c r="AF241" i="6"/>
  <c r="BD241" i="6"/>
  <c r="AN241" i="6"/>
  <c r="L174" i="6"/>
  <c r="AB174" i="6"/>
  <c r="AR174" i="6"/>
  <c r="M174" i="6"/>
  <c r="AC174" i="6"/>
  <c r="AS174" i="6"/>
  <c r="N174" i="6"/>
  <c r="AD174" i="6"/>
  <c r="AT174" i="6"/>
  <c r="O174" i="6"/>
  <c r="AE174" i="6"/>
  <c r="AU174" i="6"/>
  <c r="P174" i="6"/>
  <c r="AF174" i="6"/>
  <c r="AV174" i="6"/>
  <c r="Q174" i="6"/>
  <c r="AG174" i="6"/>
  <c r="AW174" i="6"/>
  <c r="R174" i="6"/>
  <c r="AH174" i="6"/>
  <c r="AX174" i="6"/>
  <c r="S174" i="6"/>
  <c r="AI174" i="6"/>
  <c r="AY174" i="6"/>
  <c r="T174" i="6"/>
  <c r="AJ174" i="6"/>
  <c r="AZ174" i="6"/>
  <c r="BF174" i="6"/>
  <c r="BG174" i="6"/>
  <c r="U174" i="6"/>
  <c r="AK174" i="6"/>
  <c r="BA174" i="6"/>
  <c r="AP174" i="6"/>
  <c r="AQ174" i="6"/>
  <c r="V174" i="6"/>
  <c r="AL174" i="6"/>
  <c r="BB174" i="6"/>
  <c r="Z174" i="6"/>
  <c r="AA174" i="6"/>
  <c r="W174" i="6"/>
  <c r="AM174" i="6"/>
  <c r="BC174" i="6"/>
  <c r="X174" i="6"/>
  <c r="AN174" i="6"/>
  <c r="BD174" i="6"/>
  <c r="Y174" i="6"/>
  <c r="AO174" i="6"/>
  <c r="BE174" i="6"/>
  <c r="L14" i="6"/>
  <c r="AB14" i="6"/>
  <c r="AR14" i="6"/>
  <c r="BB14" i="6"/>
  <c r="M14" i="6"/>
  <c r="AC14" i="6"/>
  <c r="AS14" i="6"/>
  <c r="N14" i="6"/>
  <c r="AD14" i="6"/>
  <c r="AT14" i="6"/>
  <c r="O14" i="6"/>
  <c r="AE14" i="6"/>
  <c r="AU14" i="6"/>
  <c r="P14" i="6"/>
  <c r="AF14" i="6"/>
  <c r="AV14" i="6"/>
  <c r="Q14" i="6"/>
  <c r="AG14" i="6"/>
  <c r="AW14" i="6"/>
  <c r="AL14" i="6"/>
  <c r="R14" i="6"/>
  <c r="AH14" i="6"/>
  <c r="AX14" i="6"/>
  <c r="V14" i="6"/>
  <c r="S14" i="6"/>
  <c r="AI14" i="6"/>
  <c r="AY14" i="6"/>
  <c r="T14" i="6"/>
  <c r="AJ14" i="6"/>
  <c r="AZ14" i="6"/>
  <c r="U14" i="6"/>
  <c r="AK14" i="6"/>
  <c r="BA14" i="6"/>
  <c r="W14" i="6"/>
  <c r="AM14" i="6"/>
  <c r="BC14" i="6"/>
  <c r="X14" i="6"/>
  <c r="AN14" i="6"/>
  <c r="BD14" i="6"/>
  <c r="AP14" i="6"/>
  <c r="Y14" i="6"/>
  <c r="AO14" i="6"/>
  <c r="BE14" i="6"/>
  <c r="Z14" i="6"/>
  <c r="BF14" i="6"/>
  <c r="AA14" i="6"/>
  <c r="AQ14" i="6"/>
  <c r="BG14" i="6"/>
  <c r="L26" i="6"/>
  <c r="AB26" i="6"/>
  <c r="AR26" i="6"/>
  <c r="BF26" i="6"/>
  <c r="M26" i="6"/>
  <c r="AC26" i="6"/>
  <c r="AS26" i="6"/>
  <c r="N26" i="6"/>
  <c r="AD26" i="6"/>
  <c r="AT26" i="6"/>
  <c r="O26" i="6"/>
  <c r="AE26" i="6"/>
  <c r="AU26" i="6"/>
  <c r="P26" i="6"/>
  <c r="AF26" i="6"/>
  <c r="AV26" i="6"/>
  <c r="Q26" i="6"/>
  <c r="AG26" i="6"/>
  <c r="AW26" i="6"/>
  <c r="R26" i="6"/>
  <c r="AH26" i="6"/>
  <c r="AX26" i="6"/>
  <c r="S26" i="6"/>
  <c r="AI26" i="6"/>
  <c r="AY26" i="6"/>
  <c r="T26" i="6"/>
  <c r="AJ26" i="6"/>
  <c r="AZ26" i="6"/>
  <c r="U26" i="6"/>
  <c r="AK26" i="6"/>
  <c r="BA26" i="6"/>
  <c r="V26" i="6"/>
  <c r="AL26" i="6"/>
  <c r="BB26" i="6"/>
  <c r="AP26" i="6"/>
  <c r="AQ26" i="6"/>
  <c r="W26" i="6"/>
  <c r="AM26" i="6"/>
  <c r="BC26" i="6"/>
  <c r="BG26" i="6"/>
  <c r="X26" i="6"/>
  <c r="AN26" i="6"/>
  <c r="BD26" i="6"/>
  <c r="Y26" i="6"/>
  <c r="AO26" i="6"/>
  <c r="BE26" i="6"/>
  <c r="Z26" i="6"/>
  <c r="AA26" i="6"/>
  <c r="I367" i="7"/>
  <c r="L367" i="7"/>
  <c r="BL367" i="7"/>
  <c r="I416" i="7"/>
  <c r="J16" i="6"/>
  <c r="A16" i="6" s="1"/>
  <c r="BK371" i="7"/>
  <c r="BK369" i="7"/>
  <c r="BK370" i="7"/>
  <c r="J833" i="1"/>
  <c r="L833" i="1" s="1"/>
  <c r="J775" i="1"/>
  <c r="L775" i="1" s="1"/>
  <c r="J777" i="1"/>
  <c r="L777" i="1" s="1"/>
  <c r="J812" i="1"/>
  <c r="L812" i="1" s="1"/>
  <c r="L811" i="1"/>
  <c r="L810" i="1"/>
  <c r="J809" i="1"/>
  <c r="L809" i="1" s="1"/>
  <c r="L803" i="1"/>
  <c r="J820" i="1"/>
  <c r="L820" i="1" s="1"/>
  <c r="L822" i="1"/>
  <c r="L823" i="1"/>
  <c r="L824" i="1"/>
  <c r="L825" i="1"/>
  <c r="L827" i="1"/>
  <c r="L806" i="1"/>
  <c r="J758" i="1"/>
  <c r="L758" i="1" s="1"/>
  <c r="J760" i="1"/>
  <c r="L760" i="1" s="1"/>
  <c r="J140" i="6"/>
  <c r="A140" i="6" s="1"/>
  <c r="J136" i="6"/>
  <c r="A136" i="6" s="1"/>
  <c r="J135" i="6"/>
  <c r="A135" i="6" s="1"/>
  <c r="J126" i="6"/>
  <c r="A126" i="6" s="1"/>
  <c r="J125" i="6"/>
  <c r="A125" i="6" s="1"/>
  <c r="J124" i="6"/>
  <c r="A124" i="6" s="1"/>
  <c r="J73" i="6"/>
  <c r="A73" i="6" s="1"/>
  <c r="J71" i="6"/>
  <c r="A71" i="6" s="1"/>
  <c r="BK372" i="7"/>
  <c r="BK420" i="7"/>
  <c r="BK424" i="7"/>
  <c r="BK426" i="7"/>
  <c r="BK417" i="7"/>
  <c r="BK418" i="7"/>
  <c r="BK419" i="7"/>
  <c r="BK425" i="7"/>
  <c r="BK421" i="7"/>
  <c r="BK422" i="7"/>
  <c r="BK423" i="7"/>
  <c r="BK374" i="7"/>
  <c r="BK375" i="7"/>
  <c r="BK368" i="7"/>
  <c r="BK373" i="7"/>
  <c r="L755" i="1"/>
  <c r="L366" i="7" l="1"/>
  <c r="I366" i="7"/>
  <c r="BL366" i="7"/>
  <c r="A943" i="6"/>
  <c r="J721" i="6"/>
  <c r="A721" i="6" s="1"/>
  <c r="J249" i="6"/>
  <c r="A249" i="6" s="1"/>
  <c r="A471" i="6"/>
  <c r="A476" i="6"/>
  <c r="A472" i="6"/>
  <c r="A944" i="6"/>
  <c r="J485" i="6"/>
  <c r="A485" i="6" s="1"/>
  <c r="A708" i="6"/>
  <c r="A707" i="6"/>
  <c r="A712" i="6"/>
  <c r="J70" i="6"/>
  <c r="A70" i="6" s="1"/>
  <c r="J123" i="6"/>
  <c r="A123" i="6" s="1"/>
  <c r="BG121" i="6"/>
  <c r="AJ121" i="6"/>
  <c r="L121" i="6"/>
  <c r="S121" i="6"/>
  <c r="BD121" i="6"/>
  <c r="T121" i="6"/>
  <c r="AX121" i="6"/>
  <c r="AE121" i="6"/>
  <c r="Y121" i="6"/>
  <c r="AU121" i="6"/>
  <c r="Y68" i="6"/>
  <c r="BE121" i="6"/>
  <c r="AN121" i="6"/>
  <c r="AY121" i="6"/>
  <c r="P121" i="6"/>
  <c r="O121" i="6"/>
  <c r="AO121" i="6"/>
  <c r="X121" i="6"/>
  <c r="AI121" i="6"/>
  <c r="Z121" i="6"/>
  <c r="AT121" i="6"/>
  <c r="AD121" i="6"/>
  <c r="AP121" i="6"/>
  <c r="BF121" i="6"/>
  <c r="N121" i="6"/>
  <c r="BC121" i="6"/>
  <c r="AW121" i="6"/>
  <c r="AS121" i="6"/>
  <c r="W121" i="6"/>
  <c r="V121" i="6"/>
  <c r="AG121" i="6"/>
  <c r="AC121" i="6"/>
  <c r="R121" i="6"/>
  <c r="BA121" i="6"/>
  <c r="Q121" i="6"/>
  <c r="M121" i="6"/>
  <c r="AQ121" i="6"/>
  <c r="AK121" i="6"/>
  <c r="AA121" i="6"/>
  <c r="AR121" i="6"/>
  <c r="AH121" i="6"/>
  <c r="BB121" i="6"/>
  <c r="U121" i="6"/>
  <c r="AV121" i="6"/>
  <c r="AB121" i="6"/>
  <c r="AM121" i="6"/>
  <c r="AL121" i="6"/>
  <c r="AZ121" i="6"/>
  <c r="AF121" i="6"/>
  <c r="AM68" i="6"/>
  <c r="AS68" i="6"/>
  <c r="X68" i="6"/>
  <c r="M68" i="6"/>
  <c r="AX68" i="6"/>
  <c r="BG68" i="6"/>
  <c r="AO68" i="6"/>
  <c r="AN68" i="6"/>
  <c r="R68" i="6"/>
  <c r="AV68" i="6"/>
  <c r="AQ68" i="6"/>
  <c r="AD68" i="6"/>
  <c r="AB68" i="6"/>
  <c r="W68" i="6"/>
  <c r="AF68" i="6"/>
  <c r="AA68" i="6"/>
  <c r="AC68" i="6"/>
  <c r="L68" i="6"/>
  <c r="AL68" i="6"/>
  <c r="AK68" i="6"/>
  <c r="P68" i="6"/>
  <c r="BF68" i="6"/>
  <c r="AI68" i="6"/>
  <c r="AH68" i="6"/>
  <c r="AG68" i="6"/>
  <c r="U68" i="6"/>
  <c r="AU68" i="6"/>
  <c r="AP68" i="6"/>
  <c r="AY68" i="6"/>
  <c r="AR68" i="6"/>
  <c r="AT68" i="6"/>
  <c r="Q68" i="6"/>
  <c r="AZ68" i="6"/>
  <c r="AE68" i="6"/>
  <c r="Z68" i="6"/>
  <c r="BD68" i="6"/>
  <c r="BC68" i="6"/>
  <c r="BB68" i="6"/>
  <c r="V68" i="6"/>
  <c r="AJ68" i="6"/>
  <c r="O68" i="6"/>
  <c r="BE68" i="6"/>
  <c r="S68" i="6"/>
  <c r="AW68" i="6"/>
  <c r="BA68" i="6"/>
  <c r="T68" i="6"/>
  <c r="N68" i="6"/>
  <c r="BK367" i="7"/>
  <c r="BK416" i="7"/>
  <c r="I752" i="1"/>
  <c r="E752" i="1"/>
  <c r="I751" i="1"/>
  <c r="J751" i="1" s="1"/>
  <c r="E751" i="1"/>
  <c r="I750" i="1"/>
  <c r="E750" i="1"/>
  <c r="I749" i="1"/>
  <c r="E749" i="1"/>
  <c r="I748" i="1"/>
  <c r="E748" i="1"/>
  <c r="I747" i="1"/>
  <c r="J747" i="1" s="1"/>
  <c r="E747" i="1"/>
  <c r="I640" i="1"/>
  <c r="E640" i="1"/>
  <c r="I639" i="1"/>
  <c r="J639" i="1" s="1"/>
  <c r="E639" i="1"/>
  <c r="J637" i="1"/>
  <c r="I637" i="1"/>
  <c r="E637" i="1"/>
  <c r="J629" i="1"/>
  <c r="I666" i="1"/>
  <c r="E666" i="1"/>
  <c r="I635" i="1"/>
  <c r="J635" i="1" s="1"/>
  <c r="E635" i="1"/>
  <c r="I572" i="1"/>
  <c r="E572" i="1"/>
  <c r="I698" i="1"/>
  <c r="E698" i="1"/>
  <c r="I689" i="1"/>
  <c r="E689" i="1"/>
  <c r="I672" i="1"/>
  <c r="E672" i="1"/>
  <c r="I633" i="1"/>
  <c r="E633" i="1"/>
  <c r="I628" i="1"/>
  <c r="E628" i="1"/>
  <c r="I626" i="1"/>
  <c r="E626" i="1"/>
  <c r="I709" i="1"/>
  <c r="E709" i="1"/>
  <c r="I708" i="1"/>
  <c r="J708" i="1" s="1"/>
  <c r="L708" i="1" s="1"/>
  <c r="E708" i="1"/>
  <c r="I686" i="1"/>
  <c r="E686" i="1"/>
  <c r="I685" i="1"/>
  <c r="E685" i="1"/>
  <c r="I684" i="1"/>
  <c r="E684" i="1"/>
  <c r="I683" i="1"/>
  <c r="J683" i="1" s="1"/>
  <c r="L683" i="1" s="1"/>
  <c r="E683" i="1"/>
  <c r="I682" i="1"/>
  <c r="J682" i="1" s="1"/>
  <c r="L682" i="1" s="1"/>
  <c r="E682" i="1"/>
  <c r="I681" i="1"/>
  <c r="J681" i="1" s="1"/>
  <c r="L681" i="1" s="1"/>
  <c r="E681" i="1"/>
  <c r="I680" i="1"/>
  <c r="J680" i="1" s="1"/>
  <c r="L680" i="1" s="1"/>
  <c r="E680" i="1"/>
  <c r="I679" i="1"/>
  <c r="J679" i="1" s="1"/>
  <c r="L679" i="1" s="1"/>
  <c r="E679" i="1"/>
  <c r="I662" i="1"/>
  <c r="I661" i="1"/>
  <c r="I658" i="1"/>
  <c r="I664" i="1"/>
  <c r="E664" i="1"/>
  <c r="I663" i="1"/>
  <c r="E663" i="1"/>
  <c r="E662" i="1"/>
  <c r="E661" i="1"/>
  <c r="I660" i="1"/>
  <c r="E660" i="1"/>
  <c r="I659" i="1"/>
  <c r="E659" i="1"/>
  <c r="E658" i="1"/>
  <c r="I655" i="1"/>
  <c r="E655" i="1"/>
  <c r="I654" i="1"/>
  <c r="E654" i="1"/>
  <c r="I653" i="1"/>
  <c r="E653" i="1"/>
  <c r="I652" i="1"/>
  <c r="E652" i="1"/>
  <c r="I651" i="1"/>
  <c r="J651" i="1" s="1"/>
  <c r="E651" i="1"/>
  <c r="I650" i="1"/>
  <c r="E650" i="1"/>
  <c r="I649" i="1"/>
  <c r="E649" i="1"/>
  <c r="I656" i="1"/>
  <c r="J656" i="1" s="1"/>
  <c r="E656" i="1"/>
  <c r="I600" i="1"/>
  <c r="E600" i="1"/>
  <c r="I599" i="1"/>
  <c r="J599" i="1" s="1"/>
  <c r="E599" i="1"/>
  <c r="I598" i="1"/>
  <c r="E598" i="1"/>
  <c r="I597" i="1"/>
  <c r="E597" i="1"/>
  <c r="I596" i="1"/>
  <c r="E596" i="1"/>
  <c r="J764" i="1"/>
  <c r="H764" i="1"/>
  <c r="BK366" i="7" l="1"/>
  <c r="A243" i="6"/>
  <c r="L637" i="1"/>
  <c r="J752" i="1"/>
  <c r="L752" i="1" s="1"/>
  <c r="L751" i="1"/>
  <c r="J750" i="1"/>
  <c r="L750" i="1" s="1"/>
  <c r="J749" i="1"/>
  <c r="L749" i="1" s="1"/>
  <c r="J748" i="1"/>
  <c r="L748" i="1" s="1"/>
  <c r="L747" i="1"/>
  <c r="J640" i="1"/>
  <c r="L640" i="1" s="1"/>
  <c r="L639" i="1"/>
  <c r="L666" i="1"/>
  <c r="L635" i="1"/>
  <c r="J572" i="1"/>
  <c r="L572" i="1" s="1"/>
  <c r="L698" i="1"/>
  <c r="L689" i="1"/>
  <c r="L672" i="1"/>
  <c r="L633" i="1"/>
  <c r="L628" i="1"/>
  <c r="L626" i="1"/>
  <c r="J709" i="1"/>
  <c r="L709" i="1" s="1"/>
  <c r="J684" i="1"/>
  <c r="L684" i="1" s="1"/>
  <c r="J685" i="1"/>
  <c r="L685" i="1" s="1"/>
  <c r="J686" i="1"/>
  <c r="L686" i="1" s="1"/>
  <c r="J658" i="1"/>
  <c r="L658" i="1" s="1"/>
  <c r="J659" i="1"/>
  <c r="L659" i="1" s="1"/>
  <c r="J660" i="1"/>
  <c r="L660" i="1" s="1"/>
  <c r="J661" i="1"/>
  <c r="L661" i="1" s="1"/>
  <c r="J662" i="1"/>
  <c r="L662" i="1" s="1"/>
  <c r="J663" i="1"/>
  <c r="L663" i="1" s="1"/>
  <c r="J664" i="1"/>
  <c r="L664" i="1" s="1"/>
  <c r="L656" i="1"/>
  <c r="J649" i="1"/>
  <c r="L649" i="1" s="1"/>
  <c r="J650" i="1"/>
  <c r="L650" i="1" s="1"/>
  <c r="L651" i="1"/>
  <c r="J652" i="1"/>
  <c r="L652" i="1" s="1"/>
  <c r="J653" i="1"/>
  <c r="L653" i="1" s="1"/>
  <c r="J654" i="1"/>
  <c r="L654" i="1" s="1"/>
  <c r="J655" i="1"/>
  <c r="L655" i="1" s="1"/>
  <c r="J596" i="1"/>
  <c r="L596" i="1" s="1"/>
  <c r="J597" i="1"/>
  <c r="L597" i="1" s="1"/>
  <c r="J598" i="1"/>
  <c r="L598" i="1" s="1"/>
  <c r="L599" i="1"/>
  <c r="J600" i="1"/>
  <c r="L600" i="1" s="1"/>
  <c r="BI40" i="5"/>
  <c r="BI34" i="5"/>
  <c r="BI24" i="5"/>
  <c r="BI18" i="5"/>
  <c r="BI12" i="5"/>
  <c r="G126" i="2"/>
  <c r="G127" i="2"/>
  <c r="G122" i="2"/>
  <c r="G123" i="2"/>
  <c r="G124" i="2"/>
  <c r="G125" i="2"/>
  <c r="G106" i="2"/>
  <c r="G107" i="2"/>
  <c r="G108" i="2"/>
  <c r="G109" i="2"/>
  <c r="G110" i="2"/>
  <c r="G111" i="2"/>
  <c r="G112" i="2"/>
  <c r="G113" i="2"/>
  <c r="G114" i="2"/>
  <c r="G115" i="2"/>
  <c r="G116" i="2"/>
  <c r="G117" i="2"/>
  <c r="G118" i="2"/>
  <c r="G119" i="2"/>
  <c r="G120" i="2"/>
  <c r="G121" i="2"/>
  <c r="G81" i="2"/>
  <c r="G82" i="2"/>
  <c r="G83" i="2"/>
  <c r="G84" i="2"/>
  <c r="G85" i="2"/>
  <c r="G86" i="2"/>
  <c r="G87" i="2"/>
  <c r="G88" i="2"/>
  <c r="G89" i="2"/>
  <c r="G90" i="2"/>
  <c r="G91" i="2"/>
  <c r="G92" i="2"/>
  <c r="G93" i="2"/>
  <c r="G94" i="2"/>
  <c r="G95" i="2"/>
  <c r="G96" i="2"/>
  <c r="G97" i="2"/>
  <c r="G98" i="2"/>
  <c r="G99" i="2"/>
  <c r="G100" i="2"/>
  <c r="G101" i="2"/>
  <c r="G102" i="2"/>
  <c r="G103" i="2"/>
  <c r="G104" i="2"/>
  <c r="G105" i="2"/>
  <c r="G80" i="2"/>
  <c r="G60" i="2"/>
  <c r="G61" i="2"/>
  <c r="G62" i="2"/>
  <c r="G63" i="2"/>
  <c r="G64" i="2"/>
  <c r="G65" i="2"/>
  <c r="G66" i="2"/>
  <c r="G67" i="2"/>
  <c r="G68" i="2"/>
  <c r="G69" i="2"/>
  <c r="G70" i="2"/>
  <c r="G71" i="2"/>
  <c r="G72" i="2"/>
  <c r="G73" i="2"/>
  <c r="G74" i="2"/>
  <c r="G75" i="2"/>
  <c r="G76" i="2"/>
  <c r="G77" i="2"/>
  <c r="G78" i="2"/>
  <c r="G79" i="2"/>
  <c r="G45" i="2"/>
  <c r="G46" i="2"/>
  <c r="G47" i="2"/>
  <c r="G48" i="2"/>
  <c r="G49" i="2"/>
  <c r="G50" i="2"/>
  <c r="G51" i="2"/>
  <c r="G52" i="2"/>
  <c r="G53" i="2"/>
  <c r="G54" i="2"/>
  <c r="G55" i="2"/>
  <c r="G56" i="2"/>
  <c r="G57" i="2"/>
  <c r="G58" i="2"/>
  <c r="G59" i="2"/>
  <c r="G34" i="2"/>
  <c r="G35" i="2"/>
  <c r="G36" i="2"/>
  <c r="G37" i="2"/>
  <c r="G38" i="2"/>
  <c r="G39" i="2"/>
  <c r="G40" i="2"/>
  <c r="G41" i="2"/>
  <c r="G42" i="2"/>
  <c r="G43" i="2"/>
  <c r="G44" i="2"/>
  <c r="G19" i="2"/>
  <c r="G20" i="2"/>
  <c r="G21" i="2"/>
  <c r="G22" i="2"/>
  <c r="G23" i="2"/>
  <c r="G24" i="2"/>
  <c r="G25" i="2"/>
  <c r="G26" i="2"/>
  <c r="G27" i="2"/>
  <c r="G28" i="2"/>
  <c r="G29" i="2"/>
  <c r="G30" i="2"/>
  <c r="G31" i="2"/>
  <c r="G32" i="2"/>
  <c r="G33" i="2"/>
  <c r="G6" i="2"/>
  <c r="G7" i="2"/>
  <c r="G8" i="2"/>
  <c r="G9" i="2"/>
  <c r="G10" i="2"/>
  <c r="G11" i="2"/>
  <c r="G12" i="2"/>
  <c r="G13" i="2"/>
  <c r="G14" i="2"/>
  <c r="G15" i="2"/>
  <c r="G16" i="2"/>
  <c r="G17" i="2"/>
  <c r="G18" i="2"/>
  <c r="G188" i="1"/>
  <c r="I188" i="1" s="1"/>
  <c r="G187" i="1"/>
  <c r="I187" i="1" s="1"/>
  <c r="G186" i="1"/>
  <c r="E188" i="1"/>
  <c r="E187" i="1"/>
  <c r="I553" i="1"/>
  <c r="E553" i="1"/>
  <c r="I594" i="1"/>
  <c r="E594" i="1"/>
  <c r="I593" i="1"/>
  <c r="E593" i="1"/>
  <c r="J767" i="1"/>
  <c r="J772" i="1"/>
  <c r="J723" i="1"/>
  <c r="J724" i="1"/>
  <c r="I724" i="1"/>
  <c r="E724" i="1"/>
  <c r="J692" i="1"/>
  <c r="J634" i="1"/>
  <c r="I736" i="1"/>
  <c r="E736" i="1"/>
  <c r="I735" i="1"/>
  <c r="J735" i="1" s="1"/>
  <c r="E735" i="1"/>
  <c r="I733" i="1"/>
  <c r="E733" i="1"/>
  <c r="I732" i="1"/>
  <c r="J732" i="1" s="1"/>
  <c r="E732" i="1"/>
  <c r="I729" i="1"/>
  <c r="J729" i="1" s="1"/>
  <c r="E729" i="1"/>
  <c r="I728" i="1"/>
  <c r="J728" i="1" s="1"/>
  <c r="E728" i="1"/>
  <c r="I727" i="1"/>
  <c r="J727" i="1" s="1"/>
  <c r="E727" i="1"/>
  <c r="I647" i="1"/>
  <c r="L647" i="1" s="1"/>
  <c r="E647" i="1"/>
  <c r="I646" i="1"/>
  <c r="J646" i="1" s="1"/>
  <c r="E646" i="1"/>
  <c r="I645" i="1"/>
  <c r="E645" i="1"/>
  <c r="I644" i="1"/>
  <c r="J644" i="1" s="1"/>
  <c r="E644" i="1"/>
  <c r="I643" i="1"/>
  <c r="J643" i="1" s="1"/>
  <c r="E643" i="1"/>
  <c r="I611" i="1"/>
  <c r="E611" i="1"/>
  <c r="I707" i="1"/>
  <c r="E707" i="1"/>
  <c r="I505" i="1"/>
  <c r="E505" i="1"/>
  <c r="I504" i="1"/>
  <c r="E504" i="1"/>
  <c r="I503" i="1"/>
  <c r="E503" i="1"/>
  <c r="I499" i="1"/>
  <c r="I494" i="1"/>
  <c r="J494" i="1" s="1"/>
  <c r="L494" i="1" s="1"/>
  <c r="I501" i="1"/>
  <c r="E501" i="1"/>
  <c r="I500" i="1"/>
  <c r="E500" i="1"/>
  <c r="E499" i="1"/>
  <c r="I498" i="1"/>
  <c r="J498" i="1" s="1"/>
  <c r="L498" i="1" s="1"/>
  <c r="E498" i="1"/>
  <c r="I497" i="1"/>
  <c r="E497" i="1"/>
  <c r="I496" i="1"/>
  <c r="J496" i="1" s="1"/>
  <c r="L496" i="1" s="1"/>
  <c r="E496" i="1"/>
  <c r="I495" i="1"/>
  <c r="E495" i="1"/>
  <c r="E494" i="1"/>
  <c r="I492" i="1"/>
  <c r="E492" i="1"/>
  <c r="I491" i="1"/>
  <c r="J491" i="1" s="1"/>
  <c r="E491" i="1"/>
  <c r="I485" i="1"/>
  <c r="E485" i="1"/>
  <c r="H486" i="1"/>
  <c r="I570" i="1"/>
  <c r="E570" i="1"/>
  <c r="I569" i="1"/>
  <c r="E569" i="1"/>
  <c r="I568" i="1"/>
  <c r="E568" i="1"/>
  <c r="I567" i="1"/>
  <c r="E567" i="1"/>
  <c r="I566" i="1"/>
  <c r="E566" i="1"/>
  <c r="I565" i="1"/>
  <c r="E565" i="1"/>
  <c r="I564" i="1"/>
  <c r="E564" i="1"/>
  <c r="I563" i="1"/>
  <c r="E563" i="1"/>
  <c r="I562" i="1"/>
  <c r="E562" i="1"/>
  <c r="I561" i="1"/>
  <c r="J561" i="1" s="1"/>
  <c r="E561" i="1"/>
  <c r="I560" i="1"/>
  <c r="E560" i="1"/>
  <c r="H577" i="1"/>
  <c r="H558" i="1"/>
  <c r="H480" i="1"/>
  <c r="I480" i="1" s="1"/>
  <c r="H479" i="1"/>
  <c r="I479" i="1" s="1"/>
  <c r="H478" i="1"/>
  <c r="I478" i="1" s="1"/>
  <c r="H477" i="1"/>
  <c r="I477" i="1" s="1"/>
  <c r="J477" i="1" s="1"/>
  <c r="H476" i="1"/>
  <c r="I476" i="1" s="1"/>
  <c r="H475" i="1"/>
  <c r="E480" i="1"/>
  <c r="E479" i="1"/>
  <c r="E478" i="1"/>
  <c r="E477" i="1"/>
  <c r="E476" i="1"/>
  <c r="H551" i="1"/>
  <c r="H481" i="1"/>
  <c r="I549" i="1"/>
  <c r="E549" i="1"/>
  <c r="J187" i="1" l="1"/>
  <c r="L187" i="1" s="1"/>
  <c r="J188" i="1"/>
  <c r="L188" i="1" s="1"/>
  <c r="L553" i="1"/>
  <c r="J594" i="1"/>
  <c r="L594" i="1" s="1"/>
  <c r="J593" i="1"/>
  <c r="L593" i="1" s="1"/>
  <c r="L724" i="1"/>
  <c r="J736" i="1"/>
  <c r="L736" i="1" s="1"/>
  <c r="L735" i="1"/>
  <c r="L732" i="1"/>
  <c r="L733" i="1"/>
  <c r="L729" i="1"/>
  <c r="L728" i="1"/>
  <c r="L727" i="1"/>
  <c r="L646" i="1"/>
  <c r="L645" i="1"/>
  <c r="L644" i="1"/>
  <c r="L643" i="1"/>
  <c r="J611" i="1"/>
  <c r="L611" i="1" s="1"/>
  <c r="J707" i="1"/>
  <c r="L707" i="1" s="1"/>
  <c r="J504" i="1"/>
  <c r="L504" i="1" s="1"/>
  <c r="J503" i="1"/>
  <c r="L503" i="1" s="1"/>
  <c r="J505" i="1"/>
  <c r="L505" i="1" s="1"/>
  <c r="J500" i="1"/>
  <c r="L500" i="1" s="1"/>
  <c r="J495" i="1"/>
  <c r="L495" i="1" s="1"/>
  <c r="J497" i="1"/>
  <c r="L497" i="1" s="1"/>
  <c r="J499" i="1"/>
  <c r="L499" i="1" s="1"/>
  <c r="J501" i="1"/>
  <c r="L501" i="1" s="1"/>
  <c r="L491" i="1"/>
  <c r="J492" i="1"/>
  <c r="L492" i="1" s="1"/>
  <c r="J485" i="1"/>
  <c r="L485" i="1" s="1"/>
  <c r="L561" i="1"/>
  <c r="J563" i="1"/>
  <c r="L563" i="1" s="1"/>
  <c r="J569" i="1"/>
  <c r="L569" i="1" s="1"/>
  <c r="J560" i="1"/>
  <c r="L560" i="1" s="1"/>
  <c r="J562" i="1"/>
  <c r="L562" i="1" s="1"/>
  <c r="J564" i="1"/>
  <c r="L564" i="1" s="1"/>
  <c r="J566" i="1"/>
  <c r="L566" i="1" s="1"/>
  <c r="J568" i="1"/>
  <c r="L568" i="1" s="1"/>
  <c r="J570" i="1"/>
  <c r="L570" i="1" s="1"/>
  <c r="J565" i="1"/>
  <c r="L565" i="1" s="1"/>
  <c r="J567" i="1"/>
  <c r="L567" i="1" s="1"/>
  <c r="J478" i="1"/>
  <c r="L478" i="1" s="1"/>
  <c r="J476" i="1"/>
  <c r="L476" i="1" s="1"/>
  <c r="L477" i="1"/>
  <c r="J479" i="1"/>
  <c r="L479" i="1" s="1"/>
  <c r="J480" i="1"/>
  <c r="L480" i="1" s="1"/>
  <c r="J549" i="1"/>
  <c r="L549" i="1" s="1"/>
  <c r="I547" i="1"/>
  <c r="E547" i="1"/>
  <c r="I545" i="1"/>
  <c r="E545" i="1"/>
  <c r="I543" i="1"/>
  <c r="E543" i="1"/>
  <c r="I542" i="1"/>
  <c r="E542" i="1"/>
  <c r="I540" i="1"/>
  <c r="E540" i="1"/>
  <c r="H538" i="1"/>
  <c r="I538" i="1" s="1"/>
  <c r="J538" i="1" s="1"/>
  <c r="E538" i="1"/>
  <c r="I537" i="1"/>
  <c r="J537" i="1" s="1"/>
  <c r="E537" i="1"/>
  <c r="I536" i="1"/>
  <c r="E536" i="1"/>
  <c r="I534" i="1"/>
  <c r="E534" i="1"/>
  <c r="I533" i="1"/>
  <c r="E533" i="1"/>
  <c r="I556" i="1"/>
  <c r="J556" i="1" s="1"/>
  <c r="L556" i="1" s="1"/>
  <c r="E556" i="1"/>
  <c r="I555" i="1"/>
  <c r="E555" i="1"/>
  <c r="I531" i="1"/>
  <c r="E531" i="1"/>
  <c r="I530" i="1"/>
  <c r="E530" i="1"/>
  <c r="I535" i="1"/>
  <c r="E535" i="1"/>
  <c r="I532" i="1"/>
  <c r="J532" i="1" s="1"/>
  <c r="E532" i="1"/>
  <c r="I557" i="1"/>
  <c r="E557" i="1"/>
  <c r="I554" i="1"/>
  <c r="E554" i="1"/>
  <c r="I528" i="1"/>
  <c r="E528" i="1"/>
  <c r="I526" i="1"/>
  <c r="E526" i="1"/>
  <c r="I525" i="1"/>
  <c r="E525" i="1"/>
  <c r="I524" i="1"/>
  <c r="E524" i="1"/>
  <c r="I522" i="1"/>
  <c r="E522" i="1"/>
  <c r="H520" i="1"/>
  <c r="I520" i="1" s="1"/>
  <c r="E520" i="1"/>
  <c r="I519" i="1"/>
  <c r="E519" i="1"/>
  <c r="H517" i="1"/>
  <c r="I517" i="1" s="1"/>
  <c r="H516" i="1"/>
  <c r="I516" i="1" s="1"/>
  <c r="J516" i="1" s="1"/>
  <c r="H510" i="1"/>
  <c r="I529" i="1"/>
  <c r="J529" i="1" s="1"/>
  <c r="E529" i="1"/>
  <c r="I527" i="1"/>
  <c r="J527" i="1" s="1"/>
  <c r="E527" i="1"/>
  <c r="I523" i="1"/>
  <c r="J523" i="1" s="1"/>
  <c r="E523" i="1"/>
  <c r="I521" i="1"/>
  <c r="E521" i="1"/>
  <c r="I518" i="1"/>
  <c r="E518" i="1"/>
  <c r="E517" i="1"/>
  <c r="E516" i="1"/>
  <c r="I515" i="1"/>
  <c r="J515" i="1" s="1"/>
  <c r="E515" i="1"/>
  <c r="I514" i="1"/>
  <c r="J514" i="1" s="1"/>
  <c r="E514" i="1"/>
  <c r="I513" i="1"/>
  <c r="E513" i="1"/>
  <c r="I512" i="1"/>
  <c r="E512" i="1"/>
  <c r="I511" i="1"/>
  <c r="E511" i="1"/>
  <c r="H473" i="1"/>
  <c r="I473" i="1" s="1"/>
  <c r="J473" i="1" s="1"/>
  <c r="H472" i="1"/>
  <c r="I472" i="1" s="1"/>
  <c r="J472" i="1" s="1"/>
  <c r="H471" i="1"/>
  <c r="E473" i="1"/>
  <c r="E472" i="1"/>
  <c r="I455" i="1"/>
  <c r="E455" i="1"/>
  <c r="I454" i="1"/>
  <c r="E454" i="1"/>
  <c r="I453" i="1"/>
  <c r="J453" i="1" s="1"/>
  <c r="L453" i="1" s="1"/>
  <c r="E453" i="1"/>
  <c r="I452" i="1"/>
  <c r="E452" i="1"/>
  <c r="H432" i="1"/>
  <c r="I461" i="1"/>
  <c r="J461" i="1" s="1"/>
  <c r="E461" i="1"/>
  <c r="I438" i="1"/>
  <c r="K438" i="1" s="1"/>
  <c r="E438" i="1"/>
  <c r="H450" i="1"/>
  <c r="I465" i="1"/>
  <c r="E465" i="1"/>
  <c r="I464" i="1"/>
  <c r="E464" i="1"/>
  <c r="I463" i="1"/>
  <c r="J463" i="1" s="1"/>
  <c r="L463" i="1" s="1"/>
  <c r="E463" i="1"/>
  <c r="H446" i="1"/>
  <c r="I446" i="1" s="1"/>
  <c r="H445" i="1"/>
  <c r="I445" i="1" s="1"/>
  <c r="H444" i="1"/>
  <c r="I444" i="1" s="1"/>
  <c r="H443" i="1"/>
  <c r="I443" i="1" s="1"/>
  <c r="H442" i="1"/>
  <c r="E446" i="1"/>
  <c r="E445" i="1"/>
  <c r="E444" i="1"/>
  <c r="E443" i="1"/>
  <c r="H424" i="1"/>
  <c r="I423" i="1"/>
  <c r="E423" i="1"/>
  <c r="H413" i="1"/>
  <c r="I413" i="1" s="1"/>
  <c r="H412" i="1"/>
  <c r="I412" i="1" s="1"/>
  <c r="H421" i="1"/>
  <c r="I421" i="1" s="1"/>
  <c r="H420" i="1"/>
  <c r="I420" i="1" s="1"/>
  <c r="H411" i="1"/>
  <c r="I411" i="1" s="1"/>
  <c r="H419" i="1"/>
  <c r="I419" i="1" s="1"/>
  <c r="J419" i="1" s="1"/>
  <c r="H418" i="1"/>
  <c r="I418" i="1" s="1"/>
  <c r="J418" i="1" s="1"/>
  <c r="H417" i="1"/>
  <c r="I417" i="1" s="1"/>
  <c r="I416" i="1"/>
  <c r="H414" i="1"/>
  <c r="E413" i="1"/>
  <c r="E412" i="1"/>
  <c r="E421" i="1"/>
  <c r="E420" i="1"/>
  <c r="E411" i="1"/>
  <c r="E419" i="1"/>
  <c r="E418" i="1"/>
  <c r="E417" i="1"/>
  <c r="E416" i="1"/>
  <c r="I441" i="1"/>
  <c r="J441" i="1" s="1"/>
  <c r="E441" i="1"/>
  <c r="I440" i="1"/>
  <c r="E440" i="1"/>
  <c r="I403" i="1"/>
  <c r="L403" i="1" s="1"/>
  <c r="E403" i="1"/>
  <c r="H456" i="1"/>
  <c r="I458" i="1"/>
  <c r="K458" i="1" s="1"/>
  <c r="E458" i="1"/>
  <c r="I483" i="1"/>
  <c r="E483" i="1"/>
  <c r="I357" i="1"/>
  <c r="J357" i="1" s="1"/>
  <c r="E357" i="1"/>
  <c r="I356" i="1"/>
  <c r="J356" i="1" s="1"/>
  <c r="E356" i="1"/>
  <c r="I355" i="1"/>
  <c r="J355" i="1" s="1"/>
  <c r="E355" i="1"/>
  <c r="I354" i="1"/>
  <c r="J354" i="1" s="1"/>
  <c r="E354" i="1"/>
  <c r="I353" i="1"/>
  <c r="J353" i="1" s="1"/>
  <c r="E353" i="1"/>
  <c r="I352" i="1"/>
  <c r="J352" i="1" s="1"/>
  <c r="E352" i="1"/>
  <c r="H426" i="1"/>
  <c r="H427" i="1" s="1"/>
  <c r="I427" i="1" s="1"/>
  <c r="J427" i="1" s="1"/>
  <c r="E427" i="1"/>
  <c r="H338" i="1"/>
  <c r="I374" i="1"/>
  <c r="J374" i="1" s="1"/>
  <c r="E374" i="1"/>
  <c r="I373" i="1"/>
  <c r="J373" i="1" s="1"/>
  <c r="E373" i="1"/>
  <c r="I372" i="1"/>
  <c r="E372" i="1"/>
  <c r="I371" i="1"/>
  <c r="J371" i="1" s="1"/>
  <c r="E371" i="1"/>
  <c r="I370" i="1"/>
  <c r="J370" i="1" s="1"/>
  <c r="E370" i="1"/>
  <c r="I369" i="1"/>
  <c r="J369" i="1" s="1"/>
  <c r="E369" i="1"/>
  <c r="I368" i="1"/>
  <c r="J368" i="1" s="1"/>
  <c r="E368" i="1"/>
  <c r="I367" i="1"/>
  <c r="J367" i="1" s="1"/>
  <c r="E367" i="1"/>
  <c r="I366" i="1"/>
  <c r="J366" i="1" s="1"/>
  <c r="E366" i="1"/>
  <c r="I365" i="1"/>
  <c r="J365" i="1" s="1"/>
  <c r="E365" i="1"/>
  <c r="I364" i="1"/>
  <c r="J364" i="1" s="1"/>
  <c r="E364" i="1"/>
  <c r="I363" i="1"/>
  <c r="J363" i="1" s="1"/>
  <c r="E363" i="1"/>
  <c r="H434" i="1"/>
  <c r="I434" i="1" s="1"/>
  <c r="H433" i="1"/>
  <c r="I433" i="1" s="1"/>
  <c r="H435" i="1"/>
  <c r="E434" i="1"/>
  <c r="E433" i="1"/>
  <c r="I361" i="1"/>
  <c r="J361" i="1" s="1"/>
  <c r="E361" i="1"/>
  <c r="I359" i="1"/>
  <c r="J359" i="1" s="1"/>
  <c r="E359" i="1"/>
  <c r="H395" i="1"/>
  <c r="I395" i="1" s="1"/>
  <c r="H394" i="1"/>
  <c r="I394" i="1" s="1"/>
  <c r="H393" i="1"/>
  <c r="E395" i="1"/>
  <c r="E394" i="1"/>
  <c r="H383" i="1"/>
  <c r="I383" i="1" s="1"/>
  <c r="H382" i="1"/>
  <c r="I382" i="1" s="1"/>
  <c r="J382" i="1" s="1"/>
  <c r="L382" i="1" s="1"/>
  <c r="H381" i="1"/>
  <c r="E383" i="1"/>
  <c r="E382" i="1"/>
  <c r="H380" i="1"/>
  <c r="H348" i="1"/>
  <c r="H347" i="1"/>
  <c r="H337" i="1"/>
  <c r="I337" i="1" s="1"/>
  <c r="H335" i="1"/>
  <c r="I335" i="1" s="1"/>
  <c r="H336" i="1"/>
  <c r="I336" i="1" s="1"/>
  <c r="E337" i="1"/>
  <c r="E335" i="1"/>
  <c r="E336" i="1"/>
  <c r="I333" i="1"/>
  <c r="E333" i="1"/>
  <c r="H409" i="1"/>
  <c r="I409" i="1" s="1"/>
  <c r="J409" i="1" s="1"/>
  <c r="I410" i="1"/>
  <c r="E410" i="1"/>
  <c r="E409" i="1"/>
  <c r="I408" i="1"/>
  <c r="E408" i="1"/>
  <c r="H405" i="1"/>
  <c r="I405" i="1" s="1"/>
  <c r="H404" i="1"/>
  <c r="H406" i="1"/>
  <c r="I406" i="1" s="1"/>
  <c r="E406" i="1"/>
  <c r="E405" i="1"/>
  <c r="I400" i="1"/>
  <c r="E400" i="1"/>
  <c r="H331" i="1"/>
  <c r="H332" i="1"/>
  <c r="I332" i="1" s="1"/>
  <c r="E332" i="1"/>
  <c r="I329" i="1"/>
  <c r="J329" i="1" s="1"/>
  <c r="E329" i="1"/>
  <c r="I328" i="1"/>
  <c r="J328" i="1" s="1"/>
  <c r="E328" i="1"/>
  <c r="J378" i="1"/>
  <c r="I287" i="1"/>
  <c r="E287" i="1"/>
  <c r="I286" i="1"/>
  <c r="E286" i="1"/>
  <c r="I285" i="1"/>
  <c r="E285" i="1"/>
  <c r="I320" i="1"/>
  <c r="E320" i="1"/>
  <c r="I319" i="1"/>
  <c r="E319" i="1"/>
  <c r="I318" i="1"/>
  <c r="J318" i="1" s="1"/>
  <c r="L318" i="1" s="1"/>
  <c r="E318" i="1"/>
  <c r="I317" i="1"/>
  <c r="E317" i="1"/>
  <c r="I316" i="1"/>
  <c r="J316" i="1" s="1"/>
  <c r="L316" i="1" s="1"/>
  <c r="E316" i="1"/>
  <c r="H339" i="1"/>
  <c r="H321" i="1"/>
  <c r="H342" i="1"/>
  <c r="H322" i="1"/>
  <c r="J323" i="1"/>
  <c r="H323" i="1"/>
  <c r="H314" i="1"/>
  <c r="I314" i="1" s="1"/>
  <c r="H313" i="1"/>
  <c r="I313" i="1" s="1"/>
  <c r="H312" i="1"/>
  <c r="I312" i="1" s="1"/>
  <c r="J312" i="1" s="1"/>
  <c r="L312" i="1" s="1"/>
  <c r="H311" i="1"/>
  <c r="I311" i="1" s="1"/>
  <c r="H310" i="1"/>
  <c r="I310" i="1" s="1"/>
  <c r="J310" i="1" s="1"/>
  <c r="L310" i="1" s="1"/>
  <c r="H309" i="1"/>
  <c r="I309" i="1" s="1"/>
  <c r="H308" i="1"/>
  <c r="I308" i="1" s="1"/>
  <c r="J308" i="1" s="1"/>
  <c r="L308" i="1" s="1"/>
  <c r="H307" i="1"/>
  <c r="I307" i="1" s="1"/>
  <c r="H306" i="1"/>
  <c r="I306" i="1" s="1"/>
  <c r="J306" i="1" s="1"/>
  <c r="L306" i="1" s="1"/>
  <c r="H305" i="1"/>
  <c r="I305" i="1" s="1"/>
  <c r="H304" i="1"/>
  <c r="I304" i="1" s="1"/>
  <c r="J304" i="1" s="1"/>
  <c r="L304" i="1" s="1"/>
  <c r="H303" i="1"/>
  <c r="E314" i="1"/>
  <c r="E313" i="1"/>
  <c r="E312" i="1"/>
  <c r="E311" i="1"/>
  <c r="E310" i="1"/>
  <c r="E309" i="1"/>
  <c r="E308" i="1"/>
  <c r="E307" i="1"/>
  <c r="E306" i="1"/>
  <c r="E305" i="1"/>
  <c r="E304" i="1"/>
  <c r="H291" i="1"/>
  <c r="H290" i="1"/>
  <c r="H282" i="1"/>
  <c r="I282" i="1" s="1"/>
  <c r="H281" i="1"/>
  <c r="I281" i="1" s="1"/>
  <c r="H280" i="1"/>
  <c r="E282" i="1"/>
  <c r="E281" i="1"/>
  <c r="H279" i="1"/>
  <c r="I279" i="1" s="1"/>
  <c r="H278" i="1"/>
  <c r="I278" i="1" s="1"/>
  <c r="H277" i="1"/>
  <c r="I277" i="1" s="1"/>
  <c r="H276" i="1"/>
  <c r="I276" i="1" s="1"/>
  <c r="H275" i="1"/>
  <c r="I275" i="1" s="1"/>
  <c r="H274" i="1"/>
  <c r="E279" i="1"/>
  <c r="E278" i="1"/>
  <c r="E277" i="1"/>
  <c r="E276" i="1"/>
  <c r="E275" i="1"/>
  <c r="I299" i="1"/>
  <c r="E299" i="1"/>
  <c r="I298" i="1"/>
  <c r="E298" i="1"/>
  <c r="I297" i="1"/>
  <c r="E297" i="1"/>
  <c r="I296" i="1"/>
  <c r="E296" i="1"/>
  <c r="I295" i="1"/>
  <c r="E295" i="1"/>
  <c r="I294" i="1"/>
  <c r="E294" i="1"/>
  <c r="I293" i="1"/>
  <c r="E293" i="1"/>
  <c r="J289" i="1"/>
  <c r="H289" i="1"/>
  <c r="I272" i="1"/>
  <c r="E272" i="1"/>
  <c r="I271" i="1"/>
  <c r="J271" i="1" s="1"/>
  <c r="E271" i="1"/>
  <c r="I270" i="1"/>
  <c r="E270" i="1"/>
  <c r="I269" i="1"/>
  <c r="E269" i="1"/>
  <c r="L547" i="1" l="1"/>
  <c r="L545" i="1"/>
  <c r="L543" i="1"/>
  <c r="L542" i="1"/>
  <c r="L540" i="1"/>
  <c r="L537" i="1"/>
  <c r="J536" i="1"/>
  <c r="L536" i="1" s="1"/>
  <c r="L538" i="1"/>
  <c r="L534" i="1"/>
  <c r="L533" i="1"/>
  <c r="J555" i="1"/>
  <c r="L555" i="1" s="1"/>
  <c r="J531" i="1"/>
  <c r="L531" i="1" s="1"/>
  <c r="J530" i="1"/>
  <c r="L530" i="1" s="1"/>
  <c r="L557" i="1"/>
  <c r="J554" i="1"/>
  <c r="L554" i="1" s="1"/>
  <c r="L532" i="1"/>
  <c r="L535" i="1"/>
  <c r="J528" i="1"/>
  <c r="L528" i="1" s="1"/>
  <c r="L524" i="1"/>
  <c r="L526" i="1"/>
  <c r="L525" i="1"/>
  <c r="J372" i="1"/>
  <c r="L372" i="1" s="1"/>
  <c r="L522" i="1"/>
  <c r="J520" i="1"/>
  <c r="L520" i="1" s="1"/>
  <c r="J519" i="1"/>
  <c r="L519" i="1" s="1"/>
  <c r="L516" i="1"/>
  <c r="L514" i="1"/>
  <c r="L518" i="1"/>
  <c r="L515" i="1"/>
  <c r="L517" i="1"/>
  <c r="J521" i="1"/>
  <c r="L521" i="1" s="1"/>
  <c r="L523" i="1"/>
  <c r="L527" i="1"/>
  <c r="L529" i="1"/>
  <c r="L511" i="1"/>
  <c r="J513" i="1"/>
  <c r="L513" i="1" s="1"/>
  <c r="L512" i="1"/>
  <c r="L472" i="1"/>
  <c r="L473" i="1"/>
  <c r="J452" i="1"/>
  <c r="L452" i="1" s="1"/>
  <c r="L454" i="1"/>
  <c r="L455" i="1"/>
  <c r="L461" i="1"/>
  <c r="J438" i="1"/>
  <c r="L438" i="1" s="1"/>
  <c r="J464" i="1"/>
  <c r="L464" i="1" s="1"/>
  <c r="J465" i="1"/>
  <c r="L465" i="1" s="1"/>
  <c r="J444" i="1"/>
  <c r="L444" i="1" s="1"/>
  <c r="J446" i="1"/>
  <c r="L446" i="1" s="1"/>
  <c r="J443" i="1"/>
  <c r="L443" i="1" s="1"/>
  <c r="J445" i="1"/>
  <c r="L445" i="1" s="1"/>
  <c r="J423" i="1"/>
  <c r="L423" i="1" s="1"/>
  <c r="J420" i="1"/>
  <c r="L420" i="1" s="1"/>
  <c r="L419" i="1"/>
  <c r="J417" i="1"/>
  <c r="L417" i="1" s="1"/>
  <c r="J412" i="1"/>
  <c r="L412" i="1" s="1"/>
  <c r="J416" i="1"/>
  <c r="L416" i="1" s="1"/>
  <c r="L418" i="1"/>
  <c r="J411" i="1"/>
  <c r="L411" i="1" s="1"/>
  <c r="J421" i="1"/>
  <c r="L421" i="1" s="1"/>
  <c r="J413" i="1"/>
  <c r="L413" i="1" s="1"/>
  <c r="L441" i="1"/>
  <c r="L440" i="1"/>
  <c r="J458" i="1"/>
  <c r="L458" i="1" s="1"/>
  <c r="J483" i="1"/>
  <c r="L483" i="1" s="1"/>
  <c r="L352" i="1"/>
  <c r="L356" i="1"/>
  <c r="L354" i="1"/>
  <c r="L353" i="1"/>
  <c r="L355" i="1"/>
  <c r="L357" i="1"/>
  <c r="L427" i="1"/>
  <c r="L367" i="1"/>
  <c r="L373" i="1"/>
  <c r="L371" i="1"/>
  <c r="L369" i="1"/>
  <c r="L363" i="1"/>
  <c r="L364" i="1"/>
  <c r="L366" i="1"/>
  <c r="L368" i="1"/>
  <c r="L370" i="1"/>
  <c r="L374" i="1"/>
  <c r="L365" i="1"/>
  <c r="J434" i="1"/>
  <c r="L434" i="1" s="1"/>
  <c r="J433" i="1"/>
  <c r="L433" i="1" s="1"/>
  <c r="L361" i="1"/>
  <c r="L359" i="1"/>
  <c r="J395" i="1"/>
  <c r="L395" i="1" s="1"/>
  <c r="J394" i="1"/>
  <c r="L394" i="1" s="1"/>
  <c r="J383" i="1"/>
  <c r="L383" i="1" s="1"/>
  <c r="J337" i="1"/>
  <c r="L337" i="1" s="1"/>
  <c r="J335" i="1"/>
  <c r="L335" i="1" s="1"/>
  <c r="J336" i="1"/>
  <c r="L336" i="1" s="1"/>
  <c r="J333" i="1"/>
  <c r="L333" i="1" s="1"/>
  <c r="L409" i="1"/>
  <c r="L408" i="1"/>
  <c r="J410" i="1"/>
  <c r="L410" i="1" s="1"/>
  <c r="L406" i="1"/>
  <c r="J405" i="1"/>
  <c r="L405" i="1" s="1"/>
  <c r="L400" i="1"/>
  <c r="L332" i="1"/>
  <c r="L329" i="1"/>
  <c r="L328" i="1"/>
  <c r="J286" i="1"/>
  <c r="L286" i="1" s="1"/>
  <c r="J285" i="1"/>
  <c r="L285" i="1" s="1"/>
  <c r="J287" i="1"/>
  <c r="L287" i="1" s="1"/>
  <c r="J319" i="1"/>
  <c r="L319" i="1" s="1"/>
  <c r="J317" i="1"/>
  <c r="L317" i="1" s="1"/>
  <c r="J320" i="1"/>
  <c r="L320" i="1" s="1"/>
  <c r="J305" i="1"/>
  <c r="L305" i="1" s="1"/>
  <c r="J307" i="1"/>
  <c r="L307" i="1" s="1"/>
  <c r="J309" i="1"/>
  <c r="L309" i="1" s="1"/>
  <c r="J311" i="1"/>
  <c r="L311" i="1" s="1"/>
  <c r="J313" i="1"/>
  <c r="L313" i="1" s="1"/>
  <c r="J314" i="1"/>
  <c r="L314" i="1" s="1"/>
  <c r="J281" i="1"/>
  <c r="L281" i="1" s="1"/>
  <c r="J282" i="1"/>
  <c r="L282" i="1" s="1"/>
  <c r="J276" i="1"/>
  <c r="L276" i="1" s="1"/>
  <c r="J278" i="1"/>
  <c r="L278" i="1" s="1"/>
  <c r="J275" i="1"/>
  <c r="L275" i="1" s="1"/>
  <c r="J277" i="1"/>
  <c r="L277" i="1" s="1"/>
  <c r="J279" i="1"/>
  <c r="L279" i="1" s="1"/>
  <c r="J299" i="1"/>
  <c r="L299" i="1" s="1"/>
  <c r="J298" i="1"/>
  <c r="L298" i="1" s="1"/>
  <c r="J297" i="1"/>
  <c r="L297" i="1" s="1"/>
  <c r="J296" i="1"/>
  <c r="L296" i="1" s="1"/>
  <c r="J295" i="1"/>
  <c r="L295" i="1" s="1"/>
  <c r="J294" i="1"/>
  <c r="L294" i="1" s="1"/>
  <c r="J293" i="1"/>
  <c r="L293" i="1" s="1"/>
  <c r="L272" i="1"/>
  <c r="L271" i="1"/>
  <c r="L270" i="1"/>
  <c r="J269" i="1"/>
  <c r="L269" i="1" s="1"/>
  <c r="H302" i="1"/>
  <c r="J261" i="1"/>
  <c r="H261" i="1"/>
  <c r="I244" i="1"/>
  <c r="E244" i="1"/>
  <c r="I243" i="1"/>
  <c r="E243" i="1"/>
  <c r="I210" i="1"/>
  <c r="E210" i="1"/>
  <c r="I209" i="1"/>
  <c r="E209" i="1"/>
  <c r="I208" i="1"/>
  <c r="E208" i="1"/>
  <c r="I207" i="1"/>
  <c r="E207" i="1"/>
  <c r="I205" i="1"/>
  <c r="E205" i="1"/>
  <c r="I204" i="1"/>
  <c r="E204" i="1"/>
  <c r="I259" i="1"/>
  <c r="E259" i="1"/>
  <c r="I258" i="1"/>
  <c r="J258" i="1" s="1"/>
  <c r="E258" i="1"/>
  <c r="I256" i="1"/>
  <c r="E256" i="1"/>
  <c r="I255" i="1"/>
  <c r="E255" i="1"/>
  <c r="I254" i="1"/>
  <c r="E254" i="1"/>
  <c r="I253" i="1"/>
  <c r="J253" i="1" s="1"/>
  <c r="E253" i="1"/>
  <c r="I252" i="1"/>
  <c r="J252" i="1" s="1"/>
  <c r="E252" i="1"/>
  <c r="I251" i="1"/>
  <c r="E251" i="1"/>
  <c r="I250" i="1"/>
  <c r="J250" i="1" s="1"/>
  <c r="E250" i="1"/>
  <c r="I249" i="1"/>
  <c r="L249" i="1" s="1"/>
  <c r="E249" i="1"/>
  <c r="H176" i="1"/>
  <c r="H196" i="1"/>
  <c r="H197" i="1"/>
  <c r="I197" i="1" s="1"/>
  <c r="E197" i="1"/>
  <c r="I193" i="1"/>
  <c r="E193" i="1"/>
  <c r="I192" i="1"/>
  <c r="E192" i="1"/>
  <c r="I191" i="1"/>
  <c r="E191" i="1"/>
  <c r="I190" i="1"/>
  <c r="E190" i="1"/>
  <c r="I173" i="1"/>
  <c r="J173" i="1" s="1"/>
  <c r="E173" i="1"/>
  <c r="I172" i="1"/>
  <c r="J172" i="1" s="1"/>
  <c r="E172" i="1"/>
  <c r="I169" i="1"/>
  <c r="E169" i="1"/>
  <c r="I175" i="1"/>
  <c r="E175" i="1"/>
  <c r="J240" i="1"/>
  <c r="I240" i="1"/>
  <c r="K240" i="1" s="1"/>
  <c r="I174" i="1"/>
  <c r="J235" i="1"/>
  <c r="J232" i="1"/>
  <c r="J229" i="1"/>
  <c r="J228" i="1"/>
  <c r="H239" i="1"/>
  <c r="I239" i="1" s="1"/>
  <c r="H238" i="1"/>
  <c r="I238" i="1" s="1"/>
  <c r="J238" i="1" s="1"/>
  <c r="H237" i="1"/>
  <c r="I237" i="1" s="1"/>
  <c r="J237" i="1" s="1"/>
  <c r="L237" i="1" s="1"/>
  <c r="H236" i="1"/>
  <c r="I236" i="1" s="1"/>
  <c r="J236" i="1" s="1"/>
  <c r="H235" i="1"/>
  <c r="I235" i="1" s="1"/>
  <c r="H234" i="1"/>
  <c r="I234" i="1" s="1"/>
  <c r="H233" i="1"/>
  <c r="I233" i="1" s="1"/>
  <c r="H232" i="1"/>
  <c r="I232" i="1" s="1"/>
  <c r="H231" i="1"/>
  <c r="I231" i="1" s="1"/>
  <c r="H230" i="1"/>
  <c r="I230" i="1" s="1"/>
  <c r="H229" i="1"/>
  <c r="I229" i="1" s="1"/>
  <c r="H228" i="1"/>
  <c r="I228" i="1" s="1"/>
  <c r="E239" i="1"/>
  <c r="E238" i="1"/>
  <c r="E237" i="1"/>
  <c r="E236" i="1"/>
  <c r="E235" i="1"/>
  <c r="E234" i="1"/>
  <c r="E233" i="1"/>
  <c r="E232" i="1"/>
  <c r="E231" i="1"/>
  <c r="E230" i="1"/>
  <c r="E229" i="1"/>
  <c r="E228" i="1"/>
  <c r="J180" i="1"/>
  <c r="H180" i="1"/>
  <c r="I184" i="1"/>
  <c r="E184" i="1"/>
  <c r="I183" i="1"/>
  <c r="E183" i="1"/>
  <c r="I182" i="1"/>
  <c r="J182" i="1" s="1"/>
  <c r="E182" i="1"/>
  <c r="I181" i="1"/>
  <c r="E181" i="1"/>
  <c r="I179" i="1"/>
  <c r="E179" i="1"/>
  <c r="I177" i="1"/>
  <c r="E177" i="1"/>
  <c r="H263" i="1"/>
  <c r="I167" i="1"/>
  <c r="J167" i="1" s="1"/>
  <c r="E167" i="1"/>
  <c r="I147" i="1"/>
  <c r="E147" i="1"/>
  <c r="I165" i="1"/>
  <c r="E165" i="1"/>
  <c r="H222" i="1"/>
  <c r="I227" i="1"/>
  <c r="J227" i="1" s="1"/>
  <c r="E227" i="1"/>
  <c r="I226" i="1"/>
  <c r="J226" i="1" s="1"/>
  <c r="E226" i="1"/>
  <c r="I225" i="1"/>
  <c r="J225" i="1" s="1"/>
  <c r="E225" i="1"/>
  <c r="I224" i="1"/>
  <c r="J224" i="1" s="1"/>
  <c r="E224" i="1"/>
  <c r="I223" i="1"/>
  <c r="J223" i="1" s="1"/>
  <c r="E223" i="1"/>
  <c r="J149" i="1"/>
  <c r="H128" i="1"/>
  <c r="I128" i="1" s="1"/>
  <c r="H162" i="1"/>
  <c r="I162" i="1" s="1"/>
  <c r="J162" i="1" s="1"/>
  <c r="L162" i="1" s="1"/>
  <c r="H161" i="1"/>
  <c r="I161" i="1" s="1"/>
  <c r="H160" i="1"/>
  <c r="E162" i="1"/>
  <c r="E161" i="1"/>
  <c r="H159" i="1"/>
  <c r="I159" i="1" s="1"/>
  <c r="J159" i="1" s="1"/>
  <c r="E159" i="1"/>
  <c r="I158" i="1"/>
  <c r="J158" i="1" s="1"/>
  <c r="E158" i="1"/>
  <c r="I157" i="1"/>
  <c r="J157" i="1" s="1"/>
  <c r="E157" i="1"/>
  <c r="H54" i="1"/>
  <c r="I54" i="1" s="1"/>
  <c r="H51" i="1"/>
  <c r="E54" i="1"/>
  <c r="H154" i="1"/>
  <c r="I154" i="1" s="1"/>
  <c r="J154" i="1" s="1"/>
  <c r="H153" i="1"/>
  <c r="I153" i="1" s="1"/>
  <c r="J153" i="1" s="1"/>
  <c r="H152" i="1"/>
  <c r="I152" i="1" s="1"/>
  <c r="J152" i="1" s="1"/>
  <c r="H151" i="1"/>
  <c r="I151" i="1" s="1"/>
  <c r="J151" i="1" s="1"/>
  <c r="H150" i="1"/>
  <c r="I150" i="1" s="1"/>
  <c r="J150" i="1" s="1"/>
  <c r="H149" i="1"/>
  <c r="I149" i="1" s="1"/>
  <c r="H148" i="1"/>
  <c r="E154" i="1"/>
  <c r="E153" i="1"/>
  <c r="E152" i="1"/>
  <c r="E151" i="1"/>
  <c r="E150" i="1"/>
  <c r="E149" i="1"/>
  <c r="I130" i="1"/>
  <c r="J130" i="1" s="1"/>
  <c r="E130" i="1"/>
  <c r="H123" i="1"/>
  <c r="I123" i="1" s="1"/>
  <c r="I124" i="1"/>
  <c r="E124" i="1"/>
  <c r="E123" i="1"/>
  <c r="I122" i="1"/>
  <c r="E122" i="1"/>
  <c r="H117" i="1"/>
  <c r="I117" i="1" s="1"/>
  <c r="H116" i="1"/>
  <c r="I116" i="1" s="1"/>
  <c r="H115" i="1"/>
  <c r="E117" i="1"/>
  <c r="E116" i="1"/>
  <c r="I114" i="1"/>
  <c r="E114" i="1"/>
  <c r="I113" i="1"/>
  <c r="E113" i="1"/>
  <c r="I112" i="1"/>
  <c r="J112" i="1" s="1"/>
  <c r="E112" i="1"/>
  <c r="I111" i="1"/>
  <c r="J111" i="1" s="1"/>
  <c r="E111" i="1"/>
  <c r="H127" i="1"/>
  <c r="I127" i="1" s="1"/>
  <c r="H126" i="1"/>
  <c r="E128" i="1"/>
  <c r="E127" i="1"/>
  <c r="H24" i="1"/>
  <c r="I24" i="1" s="1"/>
  <c r="E24" i="1"/>
  <c r="H89" i="1"/>
  <c r="I89" i="1" s="1"/>
  <c r="J89" i="1" s="1"/>
  <c r="H88" i="1"/>
  <c r="I88" i="1" s="1"/>
  <c r="J88" i="1" s="1"/>
  <c r="L88" i="1" s="1"/>
  <c r="I92" i="1"/>
  <c r="E92" i="1"/>
  <c r="I91" i="1"/>
  <c r="J91" i="1" s="1"/>
  <c r="E91" i="1"/>
  <c r="I90" i="1"/>
  <c r="E90" i="1"/>
  <c r="E89" i="1"/>
  <c r="E88" i="1"/>
  <c r="I109" i="1"/>
  <c r="E109" i="1"/>
  <c r="I108" i="1"/>
  <c r="E108" i="1"/>
  <c r="I107" i="1"/>
  <c r="E107" i="1"/>
  <c r="I105" i="1"/>
  <c r="E105" i="1"/>
  <c r="I104" i="1"/>
  <c r="E104" i="1"/>
  <c r="I103" i="1"/>
  <c r="E103" i="1"/>
  <c r="I102" i="1"/>
  <c r="E102" i="1"/>
  <c r="I101" i="1"/>
  <c r="E101" i="1"/>
  <c r="I100" i="1"/>
  <c r="E100" i="1"/>
  <c r="I99" i="1"/>
  <c r="E99" i="1"/>
  <c r="I76" i="1"/>
  <c r="E76" i="1"/>
  <c r="I75" i="1"/>
  <c r="E75" i="1"/>
  <c r="I59" i="1"/>
  <c r="E59" i="1"/>
  <c r="E44" i="1"/>
  <c r="I44" i="1"/>
  <c r="J44" i="1" s="1"/>
  <c r="E45" i="1"/>
  <c r="I45" i="1"/>
  <c r="J45" i="1" s="1"/>
  <c r="L45" i="1" s="1"/>
  <c r="E46" i="1"/>
  <c r="I46" i="1"/>
  <c r="J46" i="1" s="1"/>
  <c r="H21" i="1"/>
  <c r="E27" i="1"/>
  <c r="I27" i="1"/>
  <c r="L27" i="1" s="1"/>
  <c r="I48" i="1"/>
  <c r="J48" i="1" s="1"/>
  <c r="L48" i="1" s="1"/>
  <c r="E48" i="1"/>
  <c r="G38" i="1"/>
  <c r="I38" i="1" s="1"/>
  <c r="G39" i="1"/>
  <c r="I39" i="1" s="1"/>
  <c r="G37" i="1"/>
  <c r="E39" i="1"/>
  <c r="E38" i="1"/>
  <c r="I36" i="1"/>
  <c r="J36" i="1" s="1"/>
  <c r="L36" i="1" s="1"/>
  <c r="E36" i="1"/>
  <c r="I35" i="1"/>
  <c r="J35" i="1" s="1"/>
  <c r="L35" i="1" s="1"/>
  <c r="E35" i="1"/>
  <c r="I26" i="1"/>
  <c r="J26" i="1" s="1"/>
  <c r="L26" i="1" s="1"/>
  <c r="E26" i="1"/>
  <c r="E62" i="1"/>
  <c r="I62" i="1"/>
  <c r="J62" i="1" s="1"/>
  <c r="L62" i="1" s="1"/>
  <c r="E63" i="1"/>
  <c r="I63" i="1"/>
  <c r="J63" i="1" s="1"/>
  <c r="L63" i="1" s="1"/>
  <c r="E64" i="1"/>
  <c r="I64" i="1"/>
  <c r="E65" i="1"/>
  <c r="I65" i="1"/>
  <c r="J65" i="1" s="1"/>
  <c r="L65" i="1" s="1"/>
  <c r="E66" i="1"/>
  <c r="I66" i="1"/>
  <c r="J66" i="1" s="1"/>
  <c r="E67" i="1"/>
  <c r="I67" i="1"/>
  <c r="J67" i="1" s="1"/>
  <c r="E68" i="1"/>
  <c r="I68" i="1"/>
  <c r="J68" i="1" s="1"/>
  <c r="E69" i="1"/>
  <c r="I69" i="1"/>
  <c r="J69" i="1" s="1"/>
  <c r="E16" i="1"/>
  <c r="I16" i="1"/>
  <c r="J16" i="1" s="1"/>
  <c r="L16" i="1" s="1"/>
  <c r="E17" i="1"/>
  <c r="I17" i="1"/>
  <c r="J17" i="1" s="1"/>
  <c r="E18" i="1"/>
  <c r="I18" i="1"/>
  <c r="J18" i="1" s="1"/>
  <c r="E19" i="1"/>
  <c r="I19" i="1"/>
  <c r="J19" i="1" s="1"/>
  <c r="I73" i="1"/>
  <c r="E73" i="1"/>
  <c r="I71" i="1"/>
  <c r="J71" i="1" s="1"/>
  <c r="L71" i="1" s="1"/>
  <c r="E71" i="1"/>
  <c r="I14" i="1"/>
  <c r="E14" i="1"/>
  <c r="I13" i="1"/>
  <c r="J13" i="1" s="1"/>
  <c r="E13" i="1"/>
  <c r="E7" i="2"/>
  <c r="E8" i="2"/>
  <c r="E9" i="2"/>
  <c r="E10" i="2"/>
  <c r="E11" i="2"/>
  <c r="E12" i="2"/>
  <c r="E13" i="2"/>
  <c r="E14" i="2"/>
  <c r="E6" i="2"/>
  <c r="E5" i="2"/>
  <c r="E15" i="2"/>
  <c r="E16" i="2"/>
  <c r="E17" i="2"/>
  <c r="E18" i="2"/>
  <c r="E19" i="2"/>
  <c r="E20" i="2"/>
  <c r="E21" i="2"/>
  <c r="E22" i="2"/>
  <c r="E23" i="2"/>
  <c r="E24" i="2"/>
  <c r="E25" i="2"/>
  <c r="E26" i="2"/>
  <c r="E27" i="2"/>
  <c r="E29" i="2"/>
  <c r="E30" i="2"/>
  <c r="E31" i="2"/>
  <c r="E32" i="2"/>
  <c r="E33" i="2"/>
  <c r="E34" i="2"/>
  <c r="E35" i="2"/>
  <c r="E36" i="2"/>
  <c r="E37" i="2"/>
  <c r="E38" i="2"/>
  <c r="E39" i="2"/>
  <c r="E40" i="2"/>
  <c r="E41" i="2"/>
  <c r="E42" i="2"/>
  <c r="E43" i="2"/>
  <c r="E44" i="2"/>
  <c r="E45" i="2"/>
  <c r="E46" i="2"/>
  <c r="E47" i="2"/>
  <c r="E48" i="2"/>
  <c r="E49" i="2"/>
  <c r="E50" i="2"/>
  <c r="E51" i="2"/>
  <c r="H4" i="11"/>
  <c r="N8" i="7"/>
  <c r="F55" i="12"/>
  <c r="F51" i="12"/>
  <c r="F47" i="12"/>
  <c r="J251" i="1" l="1"/>
  <c r="L251" i="1" s="1"/>
  <c r="J244" i="1"/>
  <c r="L244" i="1" s="1"/>
  <c r="J243" i="1"/>
  <c r="L243" i="1" s="1"/>
  <c r="J208" i="1"/>
  <c r="L208" i="1" s="1"/>
  <c r="J210" i="1"/>
  <c r="L210" i="1" s="1"/>
  <c r="J207" i="1"/>
  <c r="L207" i="1" s="1"/>
  <c r="J209" i="1"/>
  <c r="L209" i="1" s="1"/>
  <c r="J205" i="1"/>
  <c r="L205" i="1" s="1"/>
  <c r="J204" i="1"/>
  <c r="L204" i="1" s="1"/>
  <c r="L258" i="1"/>
  <c r="J259" i="1"/>
  <c r="L259" i="1" s="1"/>
  <c r="J255" i="1"/>
  <c r="L255" i="1" s="1"/>
  <c r="L256" i="1"/>
  <c r="L253" i="1"/>
  <c r="L252" i="1"/>
  <c r="L254" i="1"/>
  <c r="L250" i="1"/>
  <c r="J197" i="1"/>
  <c r="L197" i="1" s="1"/>
  <c r="J190" i="1"/>
  <c r="L190" i="1" s="1"/>
  <c r="J192" i="1"/>
  <c r="L192" i="1" s="1"/>
  <c r="J191" i="1"/>
  <c r="L191" i="1" s="1"/>
  <c r="J193" i="1"/>
  <c r="L193" i="1" s="1"/>
  <c r="L173" i="1"/>
  <c r="L172" i="1"/>
  <c r="J169" i="1"/>
  <c r="L169" i="1" s="1"/>
  <c r="J175" i="1"/>
  <c r="L175" i="1" s="1"/>
  <c r="L228" i="1"/>
  <c r="J230" i="1"/>
  <c r="L230" i="1" s="1"/>
  <c r="J234" i="1"/>
  <c r="L234" i="1" s="1"/>
  <c r="L236" i="1"/>
  <c r="L232" i="1"/>
  <c r="L238" i="1"/>
  <c r="L229" i="1"/>
  <c r="J231" i="1"/>
  <c r="L231" i="1" s="1"/>
  <c r="J233" i="1"/>
  <c r="L233" i="1" s="1"/>
  <c r="L235" i="1"/>
  <c r="J239" i="1"/>
  <c r="L239" i="1" s="1"/>
  <c r="L182" i="1"/>
  <c r="L184" i="1"/>
  <c r="J183" i="1"/>
  <c r="L183" i="1" s="1"/>
  <c r="J181" i="1"/>
  <c r="L181" i="1" s="1"/>
  <c r="J179" i="1"/>
  <c r="L179" i="1" s="1"/>
  <c r="J177" i="1"/>
  <c r="L177" i="1" s="1"/>
  <c r="L167" i="1"/>
  <c r="J147" i="1"/>
  <c r="L147" i="1" s="1"/>
  <c r="J165" i="1"/>
  <c r="L165" i="1" s="1"/>
  <c r="L223" i="1"/>
  <c r="L225" i="1"/>
  <c r="L227" i="1"/>
  <c r="L224" i="1"/>
  <c r="L226" i="1"/>
  <c r="J161" i="1"/>
  <c r="L161" i="1" s="1"/>
  <c r="L159" i="1"/>
  <c r="L158" i="1"/>
  <c r="L157" i="1"/>
  <c r="J54" i="1"/>
  <c r="L54" i="1" s="1"/>
  <c r="L149" i="1"/>
  <c r="L151" i="1"/>
  <c r="L153" i="1"/>
  <c r="L150" i="1"/>
  <c r="L152" i="1"/>
  <c r="L154" i="1"/>
  <c r="L130" i="1"/>
  <c r="J122" i="1"/>
  <c r="L122" i="1" s="1"/>
  <c r="J124" i="1"/>
  <c r="L124" i="1" s="1"/>
  <c r="J123" i="1"/>
  <c r="L123" i="1" s="1"/>
  <c r="J117" i="1"/>
  <c r="L117" i="1" s="1"/>
  <c r="J116" i="1"/>
  <c r="L116" i="1" s="1"/>
  <c r="L112" i="1"/>
  <c r="L114" i="1"/>
  <c r="L111" i="1"/>
  <c r="L113" i="1"/>
  <c r="J128" i="1"/>
  <c r="L128" i="1" s="1"/>
  <c r="J127" i="1"/>
  <c r="L127" i="1" s="1"/>
  <c r="J24" i="1"/>
  <c r="L24" i="1" s="1"/>
  <c r="J90" i="1"/>
  <c r="L90" i="1" s="1"/>
  <c r="J92" i="1"/>
  <c r="L92" i="1" s="1"/>
  <c r="L89" i="1"/>
  <c r="L91" i="1"/>
  <c r="J108" i="1"/>
  <c r="L108" i="1" s="1"/>
  <c r="J107" i="1"/>
  <c r="L107" i="1" s="1"/>
  <c r="L109" i="1"/>
  <c r="L104" i="1"/>
  <c r="J100" i="1"/>
  <c r="L100" i="1" s="1"/>
  <c r="L102" i="1"/>
  <c r="J99" i="1"/>
  <c r="L99" i="1" s="1"/>
  <c r="L101" i="1"/>
  <c r="L103" i="1"/>
  <c r="L105" i="1"/>
  <c r="L66" i="1"/>
  <c r="L68" i="1"/>
  <c r="J76" i="1"/>
  <c r="L76" i="1" s="1"/>
  <c r="J75" i="1"/>
  <c r="L75" i="1" s="1"/>
  <c r="L18" i="1"/>
  <c r="J64" i="1"/>
  <c r="L64" i="1" s="1"/>
  <c r="J39" i="1"/>
  <c r="L39" i="1" s="1"/>
  <c r="J38" i="1"/>
  <c r="L38" i="1" s="1"/>
  <c r="L17" i="1"/>
  <c r="L67" i="1"/>
  <c r="L44" i="1"/>
  <c r="J73" i="1"/>
  <c r="L73" i="1" s="1"/>
  <c r="J59" i="1"/>
  <c r="L59" i="1" s="1"/>
  <c r="L19" i="1"/>
  <c r="L69" i="1"/>
  <c r="L46" i="1"/>
  <c r="L14" i="1"/>
  <c r="L13" i="1"/>
  <c r="F46" i="12"/>
  <c r="I131" i="5" l="1"/>
  <c r="A131" i="5" s="1"/>
  <c r="I130" i="5"/>
  <c r="A130" i="5" s="1"/>
  <c r="I129" i="5"/>
  <c r="A129" i="5" s="1"/>
  <c r="I128" i="5"/>
  <c r="A128" i="5" s="1"/>
  <c r="I127" i="5"/>
  <c r="A127" i="5" s="1"/>
  <c r="I126" i="5"/>
  <c r="A126" i="5" s="1"/>
  <c r="I125" i="5"/>
  <c r="A125" i="5" s="1"/>
  <c r="I124" i="5"/>
  <c r="A124" i="5" s="1"/>
  <c r="I123" i="5"/>
  <c r="A123" i="5" s="1"/>
  <c r="I122" i="5"/>
  <c r="A122" i="5" s="1"/>
  <c r="I121" i="5"/>
  <c r="A121" i="5" s="1"/>
  <c r="I120" i="5"/>
  <c r="A120" i="5" s="1"/>
  <c r="I119" i="5"/>
  <c r="A119" i="5" s="1"/>
  <c r="BN121" i="7"/>
  <c r="BN11" i="7"/>
  <c r="BN343" i="7"/>
  <c r="BN321" i="7"/>
  <c r="BN299" i="7"/>
  <c r="BN277" i="7"/>
  <c r="BN255" i="7"/>
  <c r="BN232" i="7"/>
  <c r="BN210" i="7"/>
  <c r="BN188" i="7"/>
  <c r="BN166" i="7"/>
  <c r="BN144" i="7"/>
  <c r="BN77" i="7"/>
  <c r="BN55" i="7"/>
  <c r="BN33" i="7"/>
  <c r="E4" i="6"/>
  <c r="BN254" i="7" l="1"/>
  <c r="BN143" i="7"/>
  <c r="BN10" i="7"/>
  <c r="B55" i="12"/>
  <c r="B87" i="12" s="1"/>
  <c r="B51" i="12"/>
  <c r="B86" i="12" s="1"/>
  <c r="B47" i="12"/>
  <c r="B85" i="12" s="1"/>
  <c r="BO8" i="7"/>
  <c r="BP8" i="7"/>
  <c r="BQ8" i="7"/>
  <c r="BR8" i="7"/>
  <c r="BS8" i="7"/>
  <c r="BT8" i="7"/>
  <c r="BU8" i="7"/>
  <c r="BV8" i="7"/>
  <c r="BW8" i="7"/>
  <c r="BX8" i="7"/>
  <c r="BY8" i="7"/>
  <c r="BZ8" i="7"/>
  <c r="CA8" i="7"/>
  <c r="CB8" i="7"/>
  <c r="CC8" i="7"/>
  <c r="CD8" i="7"/>
  <c r="CE8" i="7"/>
  <c r="CF8" i="7"/>
  <c r="CG8" i="7"/>
  <c r="CH8" i="7"/>
  <c r="CI8" i="7"/>
  <c r="CJ8" i="7"/>
  <c r="CK8" i="7"/>
  <c r="CL8" i="7"/>
  <c r="CM8" i="7"/>
  <c r="CN8" i="7"/>
  <c r="CO8" i="7"/>
  <c r="CP8" i="7"/>
  <c r="CQ8" i="7"/>
  <c r="CR8" i="7"/>
  <c r="CS8" i="7"/>
  <c r="CT8" i="7"/>
  <c r="CU8" i="7"/>
  <c r="CV8" i="7"/>
  <c r="CW8" i="7"/>
  <c r="CX8" i="7"/>
  <c r="CY8" i="7"/>
  <c r="CZ8" i="7"/>
  <c r="DA8" i="7"/>
  <c r="DB8" i="7"/>
  <c r="DC8" i="7"/>
  <c r="DD8" i="7"/>
  <c r="DE8" i="7"/>
  <c r="DF8" i="7"/>
  <c r="DG8" i="7"/>
  <c r="DH8" i="7"/>
  <c r="DI8" i="7"/>
  <c r="BN8" i="7"/>
  <c r="O8" i="7"/>
  <c r="P8" i="7"/>
  <c r="Q8" i="7"/>
  <c r="R8" i="7"/>
  <c r="S8" i="7"/>
  <c r="T8" i="7"/>
  <c r="U8" i="7"/>
  <c r="V8" i="7"/>
  <c r="W8" i="7"/>
  <c r="X8" i="7"/>
  <c r="Y8" i="7"/>
  <c r="Z8" i="7"/>
  <c r="AA8" i="7"/>
  <c r="AB8" i="7"/>
  <c r="AC8" i="7"/>
  <c r="AD8" i="7"/>
  <c r="AE8" i="7"/>
  <c r="AF8" i="7"/>
  <c r="AG8" i="7"/>
  <c r="AH8" i="7"/>
  <c r="AI8" i="7"/>
  <c r="AJ8" i="7"/>
  <c r="AK8" i="7"/>
  <c r="AL8" i="7"/>
  <c r="AM8" i="7"/>
  <c r="AN8" i="7"/>
  <c r="AO8" i="7"/>
  <c r="AP8" i="7"/>
  <c r="AQ8" i="7"/>
  <c r="AR8" i="7"/>
  <c r="AS8" i="7"/>
  <c r="AT8" i="7"/>
  <c r="AU8" i="7"/>
  <c r="AV8" i="7"/>
  <c r="AW8" i="7"/>
  <c r="AX8" i="7"/>
  <c r="AY8" i="7"/>
  <c r="AZ8" i="7"/>
  <c r="BA8" i="7"/>
  <c r="BB8" i="7"/>
  <c r="BC8" i="7"/>
  <c r="BD8" i="7"/>
  <c r="BE8" i="7"/>
  <c r="BF8" i="7"/>
  <c r="BG8" i="7"/>
  <c r="BH8" i="7"/>
  <c r="BI8" i="7"/>
  <c r="BF8" i="5"/>
  <c r="DF8" i="5" s="1"/>
  <c r="BE8" i="5"/>
  <c r="DE8" i="5" s="1"/>
  <c r="BD8" i="5"/>
  <c r="DD8" i="5" s="1"/>
  <c r="BC8" i="5"/>
  <c r="DC8" i="5" s="1"/>
  <c r="BB8" i="5"/>
  <c r="DB8" i="5" s="1"/>
  <c r="BA8" i="5"/>
  <c r="DA8" i="5" s="1"/>
  <c r="AZ8" i="5"/>
  <c r="CZ8" i="5" s="1"/>
  <c r="AY8" i="5"/>
  <c r="CY8" i="5" s="1"/>
  <c r="AX8" i="5"/>
  <c r="CX8" i="5" s="1"/>
  <c r="AW8" i="5"/>
  <c r="CW8" i="5" s="1"/>
  <c r="AV8" i="5"/>
  <c r="CV8" i="5" s="1"/>
  <c r="AU8" i="5"/>
  <c r="CU8" i="5" s="1"/>
  <c r="AT8" i="5"/>
  <c r="CT8" i="5" s="1"/>
  <c r="AS8" i="5"/>
  <c r="CS8" i="5" s="1"/>
  <c r="AR8" i="5"/>
  <c r="CR8" i="5" s="1"/>
  <c r="AQ8" i="5"/>
  <c r="CQ8" i="5" s="1"/>
  <c r="AP8" i="5"/>
  <c r="CP8" i="5" s="1"/>
  <c r="AO8" i="5"/>
  <c r="CO8" i="5" s="1"/>
  <c r="AN8" i="5"/>
  <c r="CN8" i="5" s="1"/>
  <c r="AM8" i="5"/>
  <c r="CM8" i="5" s="1"/>
  <c r="AL8" i="5"/>
  <c r="CL8" i="5" s="1"/>
  <c r="AK8" i="5"/>
  <c r="CK8" i="5" s="1"/>
  <c r="AJ8" i="5"/>
  <c r="CJ8" i="5" s="1"/>
  <c r="AI8" i="5"/>
  <c r="CI8" i="5" s="1"/>
  <c r="AH8" i="5"/>
  <c r="CH8" i="5" s="1"/>
  <c r="AG8" i="5"/>
  <c r="CG8" i="5" s="1"/>
  <c r="AF8" i="5"/>
  <c r="CF8" i="5" s="1"/>
  <c r="AE8" i="5"/>
  <c r="CE8" i="5" s="1"/>
  <c r="AD8" i="5"/>
  <c r="CD8" i="5" s="1"/>
  <c r="AC8" i="5"/>
  <c r="CC8" i="5" s="1"/>
  <c r="AB8" i="5"/>
  <c r="CB8" i="5" s="1"/>
  <c r="AA8" i="5"/>
  <c r="CA8" i="5" s="1"/>
  <c r="Z8" i="5"/>
  <c r="BZ8" i="5" s="1"/>
  <c r="Y8" i="5"/>
  <c r="BY8" i="5" s="1"/>
  <c r="X8" i="5"/>
  <c r="BX8" i="5" s="1"/>
  <c r="W8" i="5"/>
  <c r="BW8" i="5" s="1"/>
  <c r="V8" i="5"/>
  <c r="BV8" i="5" s="1"/>
  <c r="U8" i="5"/>
  <c r="BU8" i="5" s="1"/>
  <c r="T8" i="5"/>
  <c r="BT8" i="5" s="1"/>
  <c r="S8" i="5"/>
  <c r="BS8" i="5" s="1"/>
  <c r="R8" i="5"/>
  <c r="BR8" i="5" s="1"/>
  <c r="Q8" i="5"/>
  <c r="BQ8" i="5" s="1"/>
  <c r="P8" i="5"/>
  <c r="BP8" i="5" s="1"/>
  <c r="O8" i="5"/>
  <c r="BO8" i="5" s="1"/>
  <c r="N8" i="5"/>
  <c r="BN8" i="5" s="1"/>
  <c r="M8" i="5"/>
  <c r="BM8" i="5" s="1"/>
  <c r="L8" i="5"/>
  <c r="BL8" i="5" s="1"/>
  <c r="K8" i="5"/>
  <c r="BK8" i="5" s="1"/>
  <c r="BN9" i="7" l="1"/>
  <c r="BS137" i="5"/>
  <c r="BS133" i="5"/>
  <c r="BS134" i="5"/>
  <c r="BS129" i="5"/>
  <c r="BS125" i="5"/>
  <c r="BS135" i="5"/>
  <c r="BS130" i="5"/>
  <c r="BS136" i="5"/>
  <c r="BS128" i="5"/>
  <c r="BS123" i="5"/>
  <c r="BS119" i="5"/>
  <c r="BS138" i="5"/>
  <c r="BS124" i="5"/>
  <c r="BS126" i="5"/>
  <c r="BS118" i="5"/>
  <c r="BS120" i="5"/>
  <c r="BS115" i="5"/>
  <c r="BS111" i="5"/>
  <c r="BS121" i="5"/>
  <c r="BS110" i="5"/>
  <c r="BS108" i="5"/>
  <c r="BS101" i="5"/>
  <c r="BS97" i="5"/>
  <c r="BS93" i="5"/>
  <c r="BS131" i="5"/>
  <c r="BS127" i="5"/>
  <c r="BS122" i="5"/>
  <c r="BS117" i="5"/>
  <c r="BS112" i="5"/>
  <c r="BS109" i="5"/>
  <c r="BS105" i="5"/>
  <c r="BS106" i="5"/>
  <c r="BS99" i="5"/>
  <c r="BS94" i="5"/>
  <c r="BS88" i="5"/>
  <c r="BS84" i="5"/>
  <c r="BS79" i="5"/>
  <c r="BS75" i="5"/>
  <c r="BS70" i="5"/>
  <c r="BS65" i="5"/>
  <c r="BS60" i="5"/>
  <c r="BS56" i="5"/>
  <c r="BS54" i="5"/>
  <c r="BS51" i="5"/>
  <c r="BS47" i="5"/>
  <c r="BS113" i="5"/>
  <c r="BS107" i="5"/>
  <c r="BS100" i="5"/>
  <c r="BS95" i="5"/>
  <c r="BS92" i="5"/>
  <c r="BS89" i="5"/>
  <c r="BS87" i="5"/>
  <c r="BS81" i="5"/>
  <c r="BS74" i="5"/>
  <c r="BS68" i="5"/>
  <c r="BS66" i="5"/>
  <c r="BS57" i="5"/>
  <c r="BS49" i="5"/>
  <c r="BS44" i="5"/>
  <c r="BS41" i="5"/>
  <c r="BS36" i="5"/>
  <c r="BS31" i="5"/>
  <c r="BS27" i="5"/>
  <c r="BS22" i="5"/>
  <c r="BS17" i="5"/>
  <c r="BS13" i="5"/>
  <c r="BS104" i="5"/>
  <c r="BS98" i="5"/>
  <c r="BS83" i="5"/>
  <c r="BS76" i="5"/>
  <c r="BS69" i="5"/>
  <c r="BS67" i="5"/>
  <c r="BS58" i="5"/>
  <c r="BS50" i="5"/>
  <c r="BS45" i="5"/>
  <c r="BS42" i="5"/>
  <c r="BS103" i="5"/>
  <c r="BS90" i="5"/>
  <c r="BS78" i="5"/>
  <c r="BS77" i="5"/>
  <c r="BS72" i="5"/>
  <c r="BS62" i="5"/>
  <c r="BS55" i="5"/>
  <c r="BS46" i="5"/>
  <c r="BS37" i="5"/>
  <c r="BS30" i="5"/>
  <c r="BS25" i="5"/>
  <c r="BS19" i="5"/>
  <c r="BS114" i="5"/>
  <c r="BS86" i="5"/>
  <c r="BS80" i="5"/>
  <c r="BS61" i="5"/>
  <c r="BS48" i="5"/>
  <c r="BS38" i="5"/>
  <c r="BS32" i="5"/>
  <c r="BS26" i="5"/>
  <c r="BS20" i="5"/>
  <c r="BS14" i="5"/>
  <c r="BS96" i="5"/>
  <c r="BS85" i="5"/>
  <c r="BS53" i="5"/>
  <c r="BS43" i="5"/>
  <c r="BS39" i="5"/>
  <c r="BS33" i="5"/>
  <c r="BS28" i="5"/>
  <c r="BS21" i="5"/>
  <c r="BS15" i="5"/>
  <c r="BS102" i="5"/>
  <c r="BS73" i="5"/>
  <c r="BS64" i="5"/>
  <c r="BS35" i="5"/>
  <c r="BS29" i="5"/>
  <c r="BS23" i="5"/>
  <c r="BS16" i="5"/>
  <c r="BW137" i="5"/>
  <c r="BW133" i="5"/>
  <c r="BW138" i="5"/>
  <c r="BW131" i="5"/>
  <c r="BW129" i="5"/>
  <c r="BW125" i="5"/>
  <c r="BW134" i="5"/>
  <c r="BW130" i="5"/>
  <c r="BW135" i="5"/>
  <c r="BW127" i="5"/>
  <c r="BW123" i="5"/>
  <c r="BW119" i="5"/>
  <c r="BW128" i="5"/>
  <c r="BW124" i="5"/>
  <c r="BW122" i="5"/>
  <c r="BW118" i="5"/>
  <c r="BW115" i="5"/>
  <c r="BW111" i="5"/>
  <c r="BW120" i="5"/>
  <c r="BW114" i="5"/>
  <c r="BW108" i="5"/>
  <c r="BW101" i="5"/>
  <c r="BW97" i="5"/>
  <c r="BW93" i="5"/>
  <c r="BW126" i="5"/>
  <c r="BW110" i="5"/>
  <c r="BW109" i="5"/>
  <c r="BW105" i="5"/>
  <c r="BW103" i="5"/>
  <c r="BW98" i="5"/>
  <c r="BW92" i="5"/>
  <c r="BW88" i="5"/>
  <c r="BW84" i="5"/>
  <c r="BW79" i="5"/>
  <c r="BW75" i="5"/>
  <c r="BW70" i="5"/>
  <c r="BW65" i="5"/>
  <c r="BW56" i="5"/>
  <c r="BW54" i="5"/>
  <c r="BW51" i="5"/>
  <c r="BW47" i="5"/>
  <c r="BW117" i="5"/>
  <c r="BW112" i="5"/>
  <c r="BW106" i="5"/>
  <c r="BW99" i="5"/>
  <c r="BW96" i="5"/>
  <c r="BW94" i="5"/>
  <c r="BW90" i="5"/>
  <c r="BW86" i="5"/>
  <c r="BW80" i="5"/>
  <c r="BW73" i="5"/>
  <c r="BW64" i="5"/>
  <c r="BW48" i="5"/>
  <c r="BW41" i="5"/>
  <c r="BW36" i="5"/>
  <c r="BW31" i="5"/>
  <c r="BW27" i="5"/>
  <c r="BW13" i="5"/>
  <c r="BW121" i="5"/>
  <c r="BW102" i="5"/>
  <c r="BW87" i="5"/>
  <c r="BW81" i="5"/>
  <c r="BW74" i="5"/>
  <c r="BW68" i="5"/>
  <c r="BW66" i="5"/>
  <c r="BW57" i="5"/>
  <c r="BW49" i="5"/>
  <c r="BW44" i="5"/>
  <c r="BW42" i="5"/>
  <c r="BW100" i="5"/>
  <c r="BW89" i="5"/>
  <c r="BW83" i="5"/>
  <c r="BW76" i="5"/>
  <c r="BW50" i="5"/>
  <c r="BW45" i="5"/>
  <c r="BW43" i="5"/>
  <c r="BW35" i="5"/>
  <c r="BW29" i="5"/>
  <c r="BW23" i="5"/>
  <c r="BW136" i="5"/>
  <c r="BW107" i="5"/>
  <c r="BW85" i="5"/>
  <c r="BW60" i="5"/>
  <c r="BW53" i="5"/>
  <c r="BW37" i="5"/>
  <c r="BW30" i="5"/>
  <c r="BW25" i="5"/>
  <c r="BW95" i="5"/>
  <c r="BW69" i="5"/>
  <c r="BW58" i="5"/>
  <c r="BW38" i="5"/>
  <c r="BW26" i="5"/>
  <c r="BW14" i="5"/>
  <c r="BW113" i="5"/>
  <c r="BW78" i="5"/>
  <c r="BW72" i="5"/>
  <c r="BW62" i="5"/>
  <c r="BW55" i="5"/>
  <c r="BW46" i="5"/>
  <c r="BW39" i="5"/>
  <c r="BW33" i="5"/>
  <c r="BW28" i="5"/>
  <c r="BW15" i="5"/>
  <c r="BW104" i="5"/>
  <c r="CE137" i="5"/>
  <c r="CE133" i="5"/>
  <c r="CE135" i="5"/>
  <c r="CE129" i="5"/>
  <c r="CE125" i="5"/>
  <c r="CE136" i="5"/>
  <c r="CE130" i="5"/>
  <c r="CE138" i="5"/>
  <c r="CE123" i="5"/>
  <c r="CE119" i="5"/>
  <c r="CE126" i="5"/>
  <c r="CE124" i="5"/>
  <c r="CE131" i="5"/>
  <c r="CE120" i="5"/>
  <c r="CE128" i="5"/>
  <c r="CE122" i="5"/>
  <c r="CE121" i="5"/>
  <c r="CE115" i="5"/>
  <c r="CE111" i="5"/>
  <c r="CE112" i="5"/>
  <c r="CE108" i="5"/>
  <c r="CE104" i="5"/>
  <c r="CE101" i="5"/>
  <c r="CE97" i="5"/>
  <c r="CE93" i="5"/>
  <c r="CE118" i="5"/>
  <c r="CE113" i="5"/>
  <c r="CE109" i="5"/>
  <c r="CE105" i="5"/>
  <c r="CE114" i="5"/>
  <c r="CE103" i="5"/>
  <c r="CE100" i="5"/>
  <c r="CE95" i="5"/>
  <c r="CE89" i="5"/>
  <c r="CE88" i="5"/>
  <c r="CE84" i="5"/>
  <c r="CE79" i="5"/>
  <c r="CE75" i="5"/>
  <c r="CE70" i="5"/>
  <c r="CE67" i="5"/>
  <c r="CE65" i="5"/>
  <c r="CE56" i="5"/>
  <c r="CE51" i="5"/>
  <c r="CE47" i="5"/>
  <c r="CE107" i="5"/>
  <c r="CE102" i="5"/>
  <c r="CE99" i="5"/>
  <c r="CE94" i="5"/>
  <c r="CE83" i="5"/>
  <c r="CE77" i="5"/>
  <c r="CE76" i="5"/>
  <c r="CE69" i="5"/>
  <c r="CE61" i="5"/>
  <c r="CE59" i="5"/>
  <c r="CE58" i="5"/>
  <c r="CE54" i="5"/>
  <c r="CE50" i="5"/>
  <c r="CE45" i="5"/>
  <c r="CE41" i="5"/>
  <c r="CE36" i="5"/>
  <c r="CE31" i="5"/>
  <c r="CE27" i="5"/>
  <c r="CE22" i="5"/>
  <c r="CE17" i="5"/>
  <c r="CE13" i="5"/>
  <c r="CE110" i="5"/>
  <c r="CE106" i="5"/>
  <c r="CE92" i="5"/>
  <c r="CE85" i="5"/>
  <c r="CE78" i="5"/>
  <c r="CE72" i="5"/>
  <c r="CE62" i="5"/>
  <c r="CE60" i="5"/>
  <c r="CE46" i="5"/>
  <c r="CE42" i="5"/>
  <c r="CE98" i="5"/>
  <c r="CE86" i="5"/>
  <c r="CE80" i="5"/>
  <c r="CE55" i="5"/>
  <c r="CE48" i="5"/>
  <c r="CE43" i="5"/>
  <c r="CE38" i="5"/>
  <c r="CE32" i="5"/>
  <c r="CE26" i="5"/>
  <c r="CE20" i="5"/>
  <c r="CE14" i="5"/>
  <c r="CE127" i="5"/>
  <c r="CE90" i="5"/>
  <c r="CE74" i="5"/>
  <c r="CE68" i="5"/>
  <c r="CE57" i="5"/>
  <c r="CE39" i="5"/>
  <c r="CE33" i="5"/>
  <c r="CE28" i="5"/>
  <c r="CE21" i="5"/>
  <c r="CE15" i="5"/>
  <c r="CE134" i="5"/>
  <c r="CE117" i="5"/>
  <c r="CE73" i="5"/>
  <c r="CE64" i="5"/>
  <c r="CE35" i="5"/>
  <c r="CE29" i="5"/>
  <c r="CE23" i="5"/>
  <c r="CE16" i="5"/>
  <c r="CE96" i="5"/>
  <c r="CE87" i="5"/>
  <c r="CE81" i="5"/>
  <c r="CE66" i="5"/>
  <c r="CE53" i="5"/>
  <c r="CE49" i="5"/>
  <c r="CE44" i="5"/>
  <c r="CE37" i="5"/>
  <c r="CE30" i="5"/>
  <c r="CE25" i="5"/>
  <c r="CE19" i="5"/>
  <c r="CM137" i="5"/>
  <c r="CM133" i="5"/>
  <c r="CM138" i="5"/>
  <c r="CM131" i="5"/>
  <c r="CM129" i="5"/>
  <c r="CM125" i="5"/>
  <c r="CM134" i="5"/>
  <c r="CM130" i="5"/>
  <c r="CM127" i="5"/>
  <c r="CM123" i="5"/>
  <c r="CM119" i="5"/>
  <c r="CM136" i="5"/>
  <c r="CM128" i="5"/>
  <c r="CM124" i="5"/>
  <c r="CM135" i="5"/>
  <c r="CM117" i="5"/>
  <c r="CM126" i="5"/>
  <c r="CM122" i="5"/>
  <c r="CM118" i="5"/>
  <c r="CM115" i="5"/>
  <c r="CM111" i="5"/>
  <c r="CM114" i="5"/>
  <c r="CM108" i="5"/>
  <c r="CM104" i="5"/>
  <c r="CM101" i="5"/>
  <c r="CM97" i="5"/>
  <c r="CM93" i="5"/>
  <c r="CM121" i="5"/>
  <c r="CM110" i="5"/>
  <c r="CM109" i="5"/>
  <c r="CM105" i="5"/>
  <c r="CM102" i="5"/>
  <c r="CM112" i="5"/>
  <c r="CM103" i="5"/>
  <c r="CM98" i="5"/>
  <c r="CM92" i="5"/>
  <c r="CM88" i="5"/>
  <c r="CM84" i="5"/>
  <c r="CM79" i="5"/>
  <c r="CM75" i="5"/>
  <c r="CM70" i="5"/>
  <c r="CM67" i="5"/>
  <c r="CM65" i="5"/>
  <c r="CM56" i="5"/>
  <c r="CM51" i="5"/>
  <c r="CM47" i="5"/>
  <c r="CM86" i="5"/>
  <c r="CM80" i="5"/>
  <c r="CM73" i="5"/>
  <c r="CM64" i="5"/>
  <c r="CM55" i="5"/>
  <c r="CM48" i="5"/>
  <c r="CM41" i="5"/>
  <c r="CM36" i="5"/>
  <c r="CM31" i="5"/>
  <c r="CM27" i="5"/>
  <c r="CM22" i="5"/>
  <c r="CM17" i="5"/>
  <c r="CM13" i="5"/>
  <c r="CM120" i="5"/>
  <c r="CM107" i="5"/>
  <c r="CM100" i="5"/>
  <c r="CM95" i="5"/>
  <c r="CM89" i="5"/>
  <c r="CM87" i="5"/>
  <c r="CM81" i="5"/>
  <c r="CM74" i="5"/>
  <c r="CM68" i="5"/>
  <c r="CM66" i="5"/>
  <c r="CM57" i="5"/>
  <c r="CM53" i="5"/>
  <c r="CM49" i="5"/>
  <c r="CM44" i="5"/>
  <c r="CM42" i="5"/>
  <c r="CM69" i="5"/>
  <c r="CM59" i="5"/>
  <c r="CM58" i="5"/>
  <c r="CM43" i="5"/>
  <c r="CM35" i="5"/>
  <c r="CM29" i="5"/>
  <c r="CM23" i="5"/>
  <c r="CM16" i="5"/>
  <c r="CM113" i="5"/>
  <c r="CM99" i="5"/>
  <c r="CM96" i="5"/>
  <c r="CM78" i="5"/>
  <c r="CM72" i="5"/>
  <c r="CM62" i="5"/>
  <c r="CM46" i="5"/>
  <c r="CM37" i="5"/>
  <c r="CM30" i="5"/>
  <c r="CM25" i="5"/>
  <c r="CM19" i="5"/>
  <c r="CM106" i="5"/>
  <c r="CM83" i="5"/>
  <c r="CM77" i="5"/>
  <c r="CM76" i="5"/>
  <c r="CM61" i="5"/>
  <c r="CM54" i="5"/>
  <c r="CM50" i="5"/>
  <c r="CM45" i="5"/>
  <c r="CM38" i="5"/>
  <c r="CM32" i="5"/>
  <c r="CM26" i="5"/>
  <c r="CM20" i="5"/>
  <c r="CM14" i="5"/>
  <c r="CM94" i="5"/>
  <c r="CM90" i="5"/>
  <c r="CM85" i="5"/>
  <c r="CM60" i="5"/>
  <c r="CM39" i="5"/>
  <c r="CM33" i="5"/>
  <c r="CM28" i="5"/>
  <c r="CM21" i="5"/>
  <c r="CM15" i="5"/>
  <c r="CQ137" i="5"/>
  <c r="CQ133" i="5"/>
  <c r="CQ136" i="5"/>
  <c r="CQ129" i="5"/>
  <c r="CQ125" i="5"/>
  <c r="CQ138" i="5"/>
  <c r="CQ131" i="5"/>
  <c r="CQ130" i="5"/>
  <c r="CQ126" i="5"/>
  <c r="CQ123" i="5"/>
  <c r="CQ119" i="5"/>
  <c r="CQ135" i="5"/>
  <c r="CQ127" i="5"/>
  <c r="CQ124" i="5"/>
  <c r="CQ134" i="5"/>
  <c r="CQ128" i="5"/>
  <c r="CQ121" i="5"/>
  <c r="CQ117" i="5"/>
  <c r="CQ115" i="5"/>
  <c r="CQ111" i="5"/>
  <c r="CQ118" i="5"/>
  <c r="CQ113" i="5"/>
  <c r="CQ108" i="5"/>
  <c r="CQ104" i="5"/>
  <c r="CQ101" i="5"/>
  <c r="CQ97" i="5"/>
  <c r="CQ93" i="5"/>
  <c r="CQ120" i="5"/>
  <c r="CQ114" i="5"/>
  <c r="CQ109" i="5"/>
  <c r="CQ105" i="5"/>
  <c r="CQ102" i="5"/>
  <c r="CQ106" i="5"/>
  <c r="CQ96" i="5"/>
  <c r="CQ90" i="5"/>
  <c r="CQ88" i="5"/>
  <c r="CQ84" i="5"/>
  <c r="CQ79" i="5"/>
  <c r="CQ75" i="5"/>
  <c r="CQ70" i="5"/>
  <c r="CQ67" i="5"/>
  <c r="CQ65" i="5"/>
  <c r="CQ56" i="5"/>
  <c r="CQ51" i="5"/>
  <c r="CQ47" i="5"/>
  <c r="CQ85" i="5"/>
  <c r="CQ78" i="5"/>
  <c r="CQ72" i="5"/>
  <c r="CQ62" i="5"/>
  <c r="CQ60" i="5"/>
  <c r="CQ46" i="5"/>
  <c r="CQ41" i="5"/>
  <c r="CQ36" i="5"/>
  <c r="CQ31" i="5"/>
  <c r="CQ27" i="5"/>
  <c r="CQ22" i="5"/>
  <c r="CQ17" i="5"/>
  <c r="CQ13" i="5"/>
  <c r="CQ110" i="5"/>
  <c r="CQ103" i="5"/>
  <c r="CQ99" i="5"/>
  <c r="CQ94" i="5"/>
  <c r="CQ86" i="5"/>
  <c r="CQ80" i="5"/>
  <c r="CQ73" i="5"/>
  <c r="CQ64" i="5"/>
  <c r="CQ55" i="5"/>
  <c r="CQ48" i="5"/>
  <c r="CQ42" i="5"/>
  <c r="CQ92" i="5"/>
  <c r="CQ74" i="5"/>
  <c r="CQ68" i="5"/>
  <c r="CQ57" i="5"/>
  <c r="CQ39" i="5"/>
  <c r="CQ33" i="5"/>
  <c r="CQ28" i="5"/>
  <c r="CQ21" i="5"/>
  <c r="CQ15" i="5"/>
  <c r="CQ107" i="5"/>
  <c r="CQ98" i="5"/>
  <c r="CQ95" i="5"/>
  <c r="CQ83" i="5"/>
  <c r="CQ77" i="5"/>
  <c r="CQ76" i="5"/>
  <c r="CQ61" i="5"/>
  <c r="CQ54" i="5"/>
  <c r="CQ50" i="5"/>
  <c r="CQ45" i="5"/>
  <c r="CQ35" i="5"/>
  <c r="CQ29" i="5"/>
  <c r="CQ23" i="5"/>
  <c r="CQ16" i="5"/>
  <c r="CQ122" i="5"/>
  <c r="CQ87" i="5"/>
  <c r="CQ81" i="5"/>
  <c r="CQ66" i="5"/>
  <c r="CQ53" i="5"/>
  <c r="CQ49" i="5"/>
  <c r="CQ44" i="5"/>
  <c r="CQ43" i="5"/>
  <c r="CQ37" i="5"/>
  <c r="CQ30" i="5"/>
  <c r="CQ25" i="5"/>
  <c r="CQ19" i="5"/>
  <c r="CQ112" i="5"/>
  <c r="CQ100" i="5"/>
  <c r="CQ89" i="5"/>
  <c r="CQ69" i="5"/>
  <c r="CQ59" i="5"/>
  <c r="CQ58" i="5"/>
  <c r="CQ38" i="5"/>
  <c r="CQ32" i="5"/>
  <c r="CQ26" i="5"/>
  <c r="CQ20" i="5"/>
  <c r="CQ14" i="5"/>
  <c r="DC137" i="5"/>
  <c r="DC133" i="5"/>
  <c r="DC138" i="5"/>
  <c r="DC131" i="5"/>
  <c r="DC129" i="5"/>
  <c r="DC125" i="5"/>
  <c r="DC134" i="5"/>
  <c r="DC135" i="5"/>
  <c r="DC127" i="5"/>
  <c r="DC123" i="5"/>
  <c r="DC119" i="5"/>
  <c r="DC128" i="5"/>
  <c r="DC121" i="5"/>
  <c r="DC117" i="5"/>
  <c r="DC136" i="5"/>
  <c r="DC130" i="5"/>
  <c r="DC122" i="5"/>
  <c r="DC118" i="5"/>
  <c r="DC115" i="5"/>
  <c r="DC111" i="5"/>
  <c r="DC124" i="5"/>
  <c r="DC120" i="5"/>
  <c r="DC114" i="5"/>
  <c r="DC108" i="5"/>
  <c r="DC104" i="5"/>
  <c r="DC101" i="5"/>
  <c r="DC97" i="5"/>
  <c r="DC93" i="5"/>
  <c r="DC88" i="5"/>
  <c r="DC110" i="5"/>
  <c r="DC109" i="5"/>
  <c r="DC105" i="5"/>
  <c r="DC102" i="5"/>
  <c r="DC103" i="5"/>
  <c r="DC98" i="5"/>
  <c r="DC92" i="5"/>
  <c r="DC84" i="5"/>
  <c r="DC79" i="5"/>
  <c r="DC75" i="5"/>
  <c r="DC70" i="5"/>
  <c r="DC67" i="5"/>
  <c r="DC65" i="5"/>
  <c r="DC56" i="5"/>
  <c r="DC51" i="5"/>
  <c r="DC47" i="5"/>
  <c r="DC106" i="5"/>
  <c r="DC100" i="5"/>
  <c r="DC95" i="5"/>
  <c r="DC89" i="5"/>
  <c r="DC86" i="5"/>
  <c r="DC80" i="5"/>
  <c r="DC73" i="5"/>
  <c r="DC64" i="5"/>
  <c r="DC55" i="5"/>
  <c r="DC48" i="5"/>
  <c r="DC41" i="5"/>
  <c r="DC36" i="5"/>
  <c r="DC31" i="5"/>
  <c r="DC27" i="5"/>
  <c r="DC22" i="5"/>
  <c r="DC17" i="5"/>
  <c r="DC13" i="5"/>
  <c r="DC126" i="5"/>
  <c r="DC87" i="5"/>
  <c r="DC81" i="5"/>
  <c r="DC74" i="5"/>
  <c r="DC68" i="5"/>
  <c r="DC66" i="5"/>
  <c r="DC57" i="5"/>
  <c r="DC53" i="5"/>
  <c r="DC49" i="5"/>
  <c r="DC44" i="5"/>
  <c r="DC42" i="5"/>
  <c r="DC99" i="5"/>
  <c r="DC96" i="5"/>
  <c r="DC83" i="5"/>
  <c r="DC77" i="5"/>
  <c r="DC76" i="5"/>
  <c r="DC61" i="5"/>
  <c r="DC54" i="5"/>
  <c r="DC50" i="5"/>
  <c r="DC45" i="5"/>
  <c r="DC43" i="5"/>
  <c r="DC35" i="5"/>
  <c r="DC29" i="5"/>
  <c r="DC23" i="5"/>
  <c r="DC16" i="5"/>
  <c r="DC112" i="5"/>
  <c r="DC85" i="5"/>
  <c r="DC60" i="5"/>
  <c r="DC37" i="5"/>
  <c r="DC30" i="5"/>
  <c r="DC25" i="5"/>
  <c r="DC19" i="5"/>
  <c r="DC113" i="5"/>
  <c r="DC94" i="5"/>
  <c r="DC90" i="5"/>
  <c r="DC69" i="5"/>
  <c r="DC59" i="5"/>
  <c r="DC58" i="5"/>
  <c r="DC38" i="5"/>
  <c r="DC32" i="5"/>
  <c r="DC26" i="5"/>
  <c r="DC20" i="5"/>
  <c r="DC14" i="5"/>
  <c r="DC107" i="5"/>
  <c r="DC78" i="5"/>
  <c r="DC72" i="5"/>
  <c r="DC62" i="5"/>
  <c r="DC46" i="5"/>
  <c r="DC39" i="5"/>
  <c r="DC33" i="5"/>
  <c r="DC28" i="5"/>
  <c r="DC21" i="5"/>
  <c r="DC15" i="5"/>
  <c r="BL138" i="5"/>
  <c r="BL134" i="5"/>
  <c r="BL137" i="5"/>
  <c r="BL131" i="5"/>
  <c r="BL130" i="5"/>
  <c r="BL126" i="5"/>
  <c r="BL133" i="5"/>
  <c r="BL135" i="5"/>
  <c r="BL127" i="5"/>
  <c r="BL124" i="5"/>
  <c r="BL120" i="5"/>
  <c r="BL128" i="5"/>
  <c r="BL136" i="5"/>
  <c r="BL125" i="5"/>
  <c r="BL118" i="5"/>
  <c r="BL117" i="5"/>
  <c r="BL112" i="5"/>
  <c r="BL114" i="5"/>
  <c r="BL109" i="5"/>
  <c r="BL105" i="5"/>
  <c r="BL102" i="5"/>
  <c r="BL98" i="5"/>
  <c r="BL94" i="5"/>
  <c r="BL89" i="5"/>
  <c r="BL129" i="5"/>
  <c r="BL115" i="5"/>
  <c r="BL110" i="5"/>
  <c r="BL106" i="5"/>
  <c r="BL103" i="5"/>
  <c r="BL119" i="5"/>
  <c r="BL111" i="5"/>
  <c r="BL107" i="5"/>
  <c r="BL97" i="5"/>
  <c r="BL92" i="5"/>
  <c r="BL85" i="5"/>
  <c r="BL80" i="5"/>
  <c r="BL76" i="5"/>
  <c r="BL72" i="5"/>
  <c r="BL66" i="5"/>
  <c r="BL57" i="5"/>
  <c r="BL53" i="5"/>
  <c r="BL48" i="5"/>
  <c r="BL123" i="5"/>
  <c r="BL122" i="5"/>
  <c r="BL100" i="5"/>
  <c r="BL95" i="5"/>
  <c r="BL86" i="5"/>
  <c r="BL79" i="5"/>
  <c r="BL73" i="5"/>
  <c r="BL61" i="5"/>
  <c r="BL47" i="5"/>
  <c r="BL42" i="5"/>
  <c r="BL37" i="5"/>
  <c r="BL32" i="5"/>
  <c r="BL28" i="5"/>
  <c r="BL23" i="5"/>
  <c r="BL19" i="5"/>
  <c r="BL14" i="5"/>
  <c r="BL108" i="5"/>
  <c r="BL93" i="5"/>
  <c r="BL87" i="5"/>
  <c r="BL81" i="5"/>
  <c r="BL74" i="5"/>
  <c r="BL65" i="5"/>
  <c r="BL56" i="5"/>
  <c r="BL49" i="5"/>
  <c r="BL43" i="5"/>
  <c r="BL113" i="5"/>
  <c r="BL99" i="5"/>
  <c r="BL96" i="5"/>
  <c r="BL88" i="5"/>
  <c r="BL83" i="5"/>
  <c r="BL67" i="5"/>
  <c r="BL50" i="5"/>
  <c r="BL45" i="5"/>
  <c r="BL41" i="5"/>
  <c r="BL35" i="5"/>
  <c r="BL29" i="5"/>
  <c r="BL22" i="5"/>
  <c r="BL16" i="5"/>
  <c r="BL104" i="5"/>
  <c r="BL70" i="5"/>
  <c r="BL36" i="5"/>
  <c r="BL30" i="5"/>
  <c r="BL25" i="5"/>
  <c r="BL17" i="5"/>
  <c r="BL101" i="5"/>
  <c r="BL90" i="5"/>
  <c r="BL75" i="5"/>
  <c r="BL69" i="5"/>
  <c r="BL58" i="5"/>
  <c r="BL44" i="5"/>
  <c r="BL38" i="5"/>
  <c r="BL31" i="5"/>
  <c r="BL26" i="5"/>
  <c r="BL20" i="5"/>
  <c r="BL13" i="5"/>
  <c r="BL121" i="5"/>
  <c r="BL84" i="5"/>
  <c r="BL78" i="5"/>
  <c r="BL62" i="5"/>
  <c r="BL55" i="5"/>
  <c r="BL51" i="5"/>
  <c r="BL46" i="5"/>
  <c r="BL39" i="5"/>
  <c r="BL33" i="5"/>
  <c r="BL27" i="5"/>
  <c r="BL21" i="5"/>
  <c r="BL15" i="5"/>
  <c r="BP138" i="5"/>
  <c r="BP134" i="5"/>
  <c r="BP136" i="5"/>
  <c r="BP130" i="5"/>
  <c r="BP126" i="5"/>
  <c r="BP137" i="5"/>
  <c r="BP131" i="5"/>
  <c r="BP125" i="5"/>
  <c r="BP124" i="5"/>
  <c r="BP120" i="5"/>
  <c r="BP129" i="5"/>
  <c r="BP127" i="5"/>
  <c r="BP122" i="5"/>
  <c r="BP121" i="5"/>
  <c r="BP135" i="5"/>
  <c r="BP123" i="5"/>
  <c r="BP117" i="5"/>
  <c r="BP112" i="5"/>
  <c r="BP113" i="5"/>
  <c r="BP109" i="5"/>
  <c r="BP105" i="5"/>
  <c r="BP102" i="5"/>
  <c r="BP98" i="5"/>
  <c r="BP89" i="5"/>
  <c r="BP119" i="5"/>
  <c r="BP114" i="5"/>
  <c r="BP106" i="5"/>
  <c r="BP103" i="5"/>
  <c r="BP118" i="5"/>
  <c r="BP115" i="5"/>
  <c r="BP110" i="5"/>
  <c r="BP104" i="5"/>
  <c r="BP101" i="5"/>
  <c r="BP96" i="5"/>
  <c r="BP90" i="5"/>
  <c r="BP85" i="5"/>
  <c r="BP80" i="5"/>
  <c r="BP76" i="5"/>
  <c r="BP72" i="5"/>
  <c r="BP66" i="5"/>
  <c r="BP57" i="5"/>
  <c r="BP53" i="5"/>
  <c r="BP48" i="5"/>
  <c r="BP44" i="5"/>
  <c r="BP111" i="5"/>
  <c r="BP108" i="5"/>
  <c r="BP99" i="5"/>
  <c r="BP84" i="5"/>
  <c r="BP70" i="5"/>
  <c r="BP62" i="5"/>
  <c r="BP55" i="5"/>
  <c r="BP51" i="5"/>
  <c r="BP46" i="5"/>
  <c r="BP42" i="5"/>
  <c r="BP37" i="5"/>
  <c r="BP28" i="5"/>
  <c r="BP23" i="5"/>
  <c r="BP14" i="5"/>
  <c r="BP107" i="5"/>
  <c r="BP97" i="5"/>
  <c r="BP92" i="5"/>
  <c r="BP86" i="5"/>
  <c r="BP79" i="5"/>
  <c r="BP73" i="5"/>
  <c r="BP64" i="5"/>
  <c r="BP47" i="5"/>
  <c r="BP43" i="5"/>
  <c r="BP95" i="5"/>
  <c r="BP87" i="5"/>
  <c r="BP56" i="5"/>
  <c r="BP49" i="5"/>
  <c r="BP39" i="5"/>
  <c r="BP33" i="5"/>
  <c r="BP27" i="5"/>
  <c r="BP21" i="5"/>
  <c r="BP15" i="5"/>
  <c r="BP75" i="5"/>
  <c r="BP69" i="5"/>
  <c r="BP58" i="5"/>
  <c r="BP41" i="5"/>
  <c r="BP35" i="5"/>
  <c r="BP29" i="5"/>
  <c r="BP100" i="5"/>
  <c r="BP74" i="5"/>
  <c r="BP68" i="5"/>
  <c r="BP65" i="5"/>
  <c r="BP36" i="5"/>
  <c r="BP30" i="5"/>
  <c r="BP25" i="5"/>
  <c r="BP93" i="5"/>
  <c r="BP88" i="5"/>
  <c r="BP83" i="5"/>
  <c r="BP50" i="5"/>
  <c r="BP45" i="5"/>
  <c r="BP38" i="5"/>
  <c r="BP31" i="5"/>
  <c r="BP26" i="5"/>
  <c r="BP13" i="5"/>
  <c r="BX138" i="5"/>
  <c r="BX134" i="5"/>
  <c r="BX133" i="5"/>
  <c r="BX130" i="5"/>
  <c r="BX126" i="5"/>
  <c r="BX135" i="5"/>
  <c r="BX128" i="5"/>
  <c r="BX124" i="5"/>
  <c r="BX120" i="5"/>
  <c r="BX137" i="5"/>
  <c r="BX131" i="5"/>
  <c r="BX129" i="5"/>
  <c r="BX125" i="5"/>
  <c r="BX122" i="5"/>
  <c r="BX118" i="5"/>
  <c r="BX127" i="5"/>
  <c r="BX123" i="5"/>
  <c r="BX119" i="5"/>
  <c r="BX112" i="5"/>
  <c r="BX115" i="5"/>
  <c r="BX110" i="5"/>
  <c r="BX109" i="5"/>
  <c r="BX105" i="5"/>
  <c r="BX102" i="5"/>
  <c r="BX98" i="5"/>
  <c r="BX94" i="5"/>
  <c r="BX89" i="5"/>
  <c r="BX111" i="5"/>
  <c r="BX106" i="5"/>
  <c r="BX103" i="5"/>
  <c r="BX136" i="5"/>
  <c r="BX121" i="5"/>
  <c r="BX117" i="5"/>
  <c r="BX113" i="5"/>
  <c r="BX99" i="5"/>
  <c r="BX93" i="5"/>
  <c r="BX85" i="5"/>
  <c r="BX80" i="5"/>
  <c r="BX76" i="5"/>
  <c r="BX72" i="5"/>
  <c r="BX66" i="5"/>
  <c r="BX60" i="5"/>
  <c r="BX57" i="5"/>
  <c r="BX48" i="5"/>
  <c r="BX44" i="5"/>
  <c r="BX87" i="5"/>
  <c r="BX81" i="5"/>
  <c r="BX74" i="5"/>
  <c r="BX68" i="5"/>
  <c r="BX65" i="5"/>
  <c r="BX56" i="5"/>
  <c r="BX49" i="5"/>
  <c r="BX42" i="5"/>
  <c r="BX37" i="5"/>
  <c r="BX28" i="5"/>
  <c r="BX23" i="5"/>
  <c r="BX14" i="5"/>
  <c r="BX108" i="5"/>
  <c r="BX100" i="5"/>
  <c r="BX97" i="5"/>
  <c r="BX95" i="5"/>
  <c r="BX92" i="5"/>
  <c r="BX88" i="5"/>
  <c r="BX83" i="5"/>
  <c r="BX75" i="5"/>
  <c r="BX69" i="5"/>
  <c r="BX58" i="5"/>
  <c r="BX50" i="5"/>
  <c r="BX45" i="5"/>
  <c r="BX43" i="5"/>
  <c r="BX114" i="5"/>
  <c r="BX107" i="5"/>
  <c r="BX70" i="5"/>
  <c r="BX36" i="5"/>
  <c r="BX30" i="5"/>
  <c r="BX25" i="5"/>
  <c r="BX96" i="5"/>
  <c r="BX79" i="5"/>
  <c r="BX73" i="5"/>
  <c r="BX64" i="5"/>
  <c r="BX47" i="5"/>
  <c r="BX38" i="5"/>
  <c r="BX31" i="5"/>
  <c r="BX26" i="5"/>
  <c r="BX13" i="5"/>
  <c r="BX84" i="5"/>
  <c r="BX78" i="5"/>
  <c r="BX62" i="5"/>
  <c r="BX51" i="5"/>
  <c r="BX46" i="5"/>
  <c r="BX39" i="5"/>
  <c r="BX33" i="5"/>
  <c r="BX27" i="5"/>
  <c r="BX15" i="5"/>
  <c r="BX104" i="5"/>
  <c r="BX101" i="5"/>
  <c r="BX90" i="5"/>
  <c r="BX86" i="5"/>
  <c r="BX41" i="5"/>
  <c r="BX35" i="5"/>
  <c r="BX29" i="5"/>
  <c r="BX53" i="5"/>
  <c r="BX55" i="5"/>
  <c r="CJ138" i="5"/>
  <c r="CJ134" i="5"/>
  <c r="CJ135" i="5"/>
  <c r="CJ130" i="5"/>
  <c r="CJ126" i="5"/>
  <c r="CJ136" i="5"/>
  <c r="CJ137" i="5"/>
  <c r="CJ131" i="5"/>
  <c r="CJ124" i="5"/>
  <c r="CJ120" i="5"/>
  <c r="CJ125" i="5"/>
  <c r="CJ127" i="5"/>
  <c r="CJ119" i="5"/>
  <c r="CJ129" i="5"/>
  <c r="CJ121" i="5"/>
  <c r="CJ112" i="5"/>
  <c r="CJ122" i="5"/>
  <c r="CJ117" i="5"/>
  <c r="CJ111" i="5"/>
  <c r="CJ109" i="5"/>
  <c r="CJ105" i="5"/>
  <c r="CJ102" i="5"/>
  <c r="CJ98" i="5"/>
  <c r="CJ94" i="5"/>
  <c r="CJ89" i="5"/>
  <c r="CJ128" i="5"/>
  <c r="CJ123" i="5"/>
  <c r="CJ113" i="5"/>
  <c r="CJ106" i="5"/>
  <c r="CJ103" i="5"/>
  <c r="CJ107" i="5"/>
  <c r="CJ100" i="5"/>
  <c r="CJ95" i="5"/>
  <c r="CJ85" i="5"/>
  <c r="CJ80" i="5"/>
  <c r="CJ76" i="5"/>
  <c r="CJ72" i="5"/>
  <c r="CJ66" i="5"/>
  <c r="CJ61" i="5"/>
  <c r="CJ60" i="5"/>
  <c r="CJ57" i="5"/>
  <c r="CJ54" i="5"/>
  <c r="CJ48" i="5"/>
  <c r="CJ44" i="5"/>
  <c r="CJ133" i="5"/>
  <c r="CJ108" i="5"/>
  <c r="CJ101" i="5"/>
  <c r="CJ96" i="5"/>
  <c r="CJ93" i="5"/>
  <c r="CJ90" i="5"/>
  <c r="CJ88" i="5"/>
  <c r="CJ83" i="5"/>
  <c r="CJ77" i="5"/>
  <c r="CJ75" i="5"/>
  <c r="CJ69" i="5"/>
  <c r="CJ59" i="5"/>
  <c r="CJ58" i="5"/>
  <c r="CJ50" i="5"/>
  <c r="CJ45" i="5"/>
  <c r="CJ42" i="5"/>
  <c r="CJ37" i="5"/>
  <c r="CJ32" i="5"/>
  <c r="CJ28" i="5"/>
  <c r="CJ23" i="5"/>
  <c r="CJ19" i="5"/>
  <c r="CJ14" i="5"/>
  <c r="CJ115" i="5"/>
  <c r="CJ99" i="5"/>
  <c r="CJ84" i="5"/>
  <c r="CJ78" i="5"/>
  <c r="CJ70" i="5"/>
  <c r="CJ62" i="5"/>
  <c r="CJ51" i="5"/>
  <c r="CJ46" i="5"/>
  <c r="CJ43" i="5"/>
  <c r="CJ97" i="5"/>
  <c r="CJ79" i="5"/>
  <c r="CJ73" i="5"/>
  <c r="CJ67" i="5"/>
  <c r="CJ64" i="5"/>
  <c r="CJ47" i="5"/>
  <c r="CJ38" i="5"/>
  <c r="CJ31" i="5"/>
  <c r="CJ26" i="5"/>
  <c r="CJ20" i="5"/>
  <c r="CJ13" i="5"/>
  <c r="CJ110" i="5"/>
  <c r="CJ104" i="5"/>
  <c r="CJ87" i="5"/>
  <c r="CJ81" i="5"/>
  <c r="CJ56" i="5"/>
  <c r="CJ53" i="5"/>
  <c r="CJ49" i="5"/>
  <c r="CJ39" i="5"/>
  <c r="CJ33" i="5"/>
  <c r="CJ27" i="5"/>
  <c r="CJ21" i="5"/>
  <c r="CJ15" i="5"/>
  <c r="CJ114" i="5"/>
  <c r="CJ92" i="5"/>
  <c r="CJ86" i="5"/>
  <c r="CJ55" i="5"/>
  <c r="CJ41" i="5"/>
  <c r="CJ35" i="5"/>
  <c r="CJ29" i="5"/>
  <c r="CJ22" i="5"/>
  <c r="CJ16" i="5"/>
  <c r="CJ118" i="5"/>
  <c r="CJ74" i="5"/>
  <c r="CJ68" i="5"/>
  <c r="CJ65" i="5"/>
  <c r="CJ36" i="5"/>
  <c r="CJ30" i="5"/>
  <c r="CJ25" i="5"/>
  <c r="CJ17" i="5"/>
  <c r="CR138" i="5"/>
  <c r="CR134" i="5"/>
  <c r="CR137" i="5"/>
  <c r="CR131" i="5"/>
  <c r="CR130" i="5"/>
  <c r="CR126" i="5"/>
  <c r="CR133" i="5"/>
  <c r="CR135" i="5"/>
  <c r="CR127" i="5"/>
  <c r="CR124" i="5"/>
  <c r="CR120" i="5"/>
  <c r="CR128" i="5"/>
  <c r="CR117" i="5"/>
  <c r="CR125" i="5"/>
  <c r="CR118" i="5"/>
  <c r="CR112" i="5"/>
  <c r="CR114" i="5"/>
  <c r="CR109" i="5"/>
  <c r="CR105" i="5"/>
  <c r="CR102" i="5"/>
  <c r="CR98" i="5"/>
  <c r="CR94" i="5"/>
  <c r="CR89" i="5"/>
  <c r="CR136" i="5"/>
  <c r="CR129" i="5"/>
  <c r="CR115" i="5"/>
  <c r="CR110" i="5"/>
  <c r="CR106" i="5"/>
  <c r="CR103" i="5"/>
  <c r="CR111" i="5"/>
  <c r="CR107" i="5"/>
  <c r="CR97" i="5"/>
  <c r="CR92" i="5"/>
  <c r="CR85" i="5"/>
  <c r="CR80" i="5"/>
  <c r="CR76" i="5"/>
  <c r="CR72" i="5"/>
  <c r="CR66" i="5"/>
  <c r="CR61" i="5"/>
  <c r="CR60" i="5"/>
  <c r="CR57" i="5"/>
  <c r="CR54" i="5"/>
  <c r="CR48" i="5"/>
  <c r="CR44" i="5"/>
  <c r="CR104" i="5"/>
  <c r="CR101" i="5"/>
  <c r="CR99" i="5"/>
  <c r="CR96" i="5"/>
  <c r="CR90" i="5"/>
  <c r="CR86" i="5"/>
  <c r="CR79" i="5"/>
  <c r="CR73" i="5"/>
  <c r="CR67" i="5"/>
  <c r="CR64" i="5"/>
  <c r="CR55" i="5"/>
  <c r="CR47" i="5"/>
  <c r="CR42" i="5"/>
  <c r="CR37" i="5"/>
  <c r="CR32" i="5"/>
  <c r="CR28" i="5"/>
  <c r="CR23" i="5"/>
  <c r="CR19" i="5"/>
  <c r="CR14" i="5"/>
  <c r="CR123" i="5"/>
  <c r="CR122" i="5"/>
  <c r="CR113" i="5"/>
  <c r="CR108" i="5"/>
  <c r="CR87" i="5"/>
  <c r="CR81" i="5"/>
  <c r="CR74" i="5"/>
  <c r="CR68" i="5"/>
  <c r="CR65" i="5"/>
  <c r="CR56" i="5"/>
  <c r="CR53" i="5"/>
  <c r="CR49" i="5"/>
  <c r="CR43" i="5"/>
  <c r="CR121" i="5"/>
  <c r="CR95" i="5"/>
  <c r="CR88" i="5"/>
  <c r="CR83" i="5"/>
  <c r="CR77" i="5"/>
  <c r="CR50" i="5"/>
  <c r="CR45" i="5"/>
  <c r="CR41" i="5"/>
  <c r="CR35" i="5"/>
  <c r="CR29" i="5"/>
  <c r="CR22" i="5"/>
  <c r="CR16" i="5"/>
  <c r="CR70" i="5"/>
  <c r="CR36" i="5"/>
  <c r="CR30" i="5"/>
  <c r="CR25" i="5"/>
  <c r="CR17" i="5"/>
  <c r="CR100" i="5"/>
  <c r="CR75" i="5"/>
  <c r="CR69" i="5"/>
  <c r="CR59" i="5"/>
  <c r="CR58" i="5"/>
  <c r="CR38" i="5"/>
  <c r="CR31" i="5"/>
  <c r="CR26" i="5"/>
  <c r="CR20" i="5"/>
  <c r="CR13" i="5"/>
  <c r="CR119" i="5"/>
  <c r="CR93" i="5"/>
  <c r="CR84" i="5"/>
  <c r="CR78" i="5"/>
  <c r="CR62" i="5"/>
  <c r="CR51" i="5"/>
  <c r="CR46" i="5"/>
  <c r="CR39" i="5"/>
  <c r="CR33" i="5"/>
  <c r="CR27" i="5"/>
  <c r="CR21" i="5"/>
  <c r="CR15" i="5"/>
  <c r="CZ138" i="5"/>
  <c r="CZ134" i="5"/>
  <c r="CZ135" i="5"/>
  <c r="CZ126" i="5"/>
  <c r="CZ136" i="5"/>
  <c r="CZ130" i="5"/>
  <c r="CZ124" i="5"/>
  <c r="CZ120" i="5"/>
  <c r="CZ133" i="5"/>
  <c r="CZ125" i="5"/>
  <c r="CZ121" i="5"/>
  <c r="CZ137" i="5"/>
  <c r="CZ131" i="5"/>
  <c r="CZ119" i="5"/>
  <c r="CZ129" i="5"/>
  <c r="CZ128" i="5"/>
  <c r="CZ112" i="5"/>
  <c r="CZ122" i="5"/>
  <c r="CZ111" i="5"/>
  <c r="CZ109" i="5"/>
  <c r="CZ105" i="5"/>
  <c r="CZ102" i="5"/>
  <c r="CZ98" i="5"/>
  <c r="CZ94" i="5"/>
  <c r="CZ89" i="5"/>
  <c r="CZ123" i="5"/>
  <c r="CZ118" i="5"/>
  <c r="CZ113" i="5"/>
  <c r="CZ106" i="5"/>
  <c r="CZ103" i="5"/>
  <c r="CZ127" i="5"/>
  <c r="CZ114" i="5"/>
  <c r="CZ107" i="5"/>
  <c r="CZ100" i="5"/>
  <c r="CZ95" i="5"/>
  <c r="CZ88" i="5"/>
  <c r="CZ85" i="5"/>
  <c r="CZ80" i="5"/>
  <c r="CZ76" i="5"/>
  <c r="CZ72" i="5"/>
  <c r="CZ66" i="5"/>
  <c r="CZ61" i="5"/>
  <c r="CZ60" i="5"/>
  <c r="CZ57" i="5"/>
  <c r="CZ54" i="5"/>
  <c r="CZ48" i="5"/>
  <c r="CZ44" i="5"/>
  <c r="CZ99" i="5"/>
  <c r="CZ83" i="5"/>
  <c r="CZ77" i="5"/>
  <c r="CZ75" i="5"/>
  <c r="CZ69" i="5"/>
  <c r="CZ59" i="5"/>
  <c r="CZ58" i="5"/>
  <c r="CZ50" i="5"/>
  <c r="CZ45" i="5"/>
  <c r="CZ42" i="5"/>
  <c r="CZ37" i="5"/>
  <c r="CZ32" i="5"/>
  <c r="CZ28" i="5"/>
  <c r="CZ23" i="5"/>
  <c r="CZ19" i="5"/>
  <c r="CZ14" i="5"/>
  <c r="CZ115" i="5"/>
  <c r="CZ104" i="5"/>
  <c r="CZ97" i="5"/>
  <c r="CZ92" i="5"/>
  <c r="CZ84" i="5"/>
  <c r="CZ78" i="5"/>
  <c r="CZ70" i="5"/>
  <c r="CZ62" i="5"/>
  <c r="CZ51" i="5"/>
  <c r="CZ46" i="5"/>
  <c r="CZ43" i="5"/>
  <c r="CZ86" i="5"/>
  <c r="CZ55" i="5"/>
  <c r="CZ38" i="5"/>
  <c r="CZ31" i="5"/>
  <c r="CZ26" i="5"/>
  <c r="CZ20" i="5"/>
  <c r="CZ13" i="5"/>
  <c r="CZ117" i="5"/>
  <c r="CZ96" i="5"/>
  <c r="CZ93" i="5"/>
  <c r="CZ74" i="5"/>
  <c r="CZ68" i="5"/>
  <c r="CZ65" i="5"/>
  <c r="CZ39" i="5"/>
  <c r="CZ33" i="5"/>
  <c r="CZ27" i="5"/>
  <c r="CZ21" i="5"/>
  <c r="CZ15" i="5"/>
  <c r="CZ108" i="5"/>
  <c r="CZ79" i="5"/>
  <c r="CZ73" i="5"/>
  <c r="CZ67" i="5"/>
  <c r="CZ64" i="5"/>
  <c r="CZ47" i="5"/>
  <c r="CZ41" i="5"/>
  <c r="CZ35" i="5"/>
  <c r="CZ29" i="5"/>
  <c r="CZ22" i="5"/>
  <c r="CZ16" i="5"/>
  <c r="CZ110" i="5"/>
  <c r="CZ101" i="5"/>
  <c r="CZ90" i="5"/>
  <c r="CZ87" i="5"/>
  <c r="CZ81" i="5"/>
  <c r="CZ56" i="5"/>
  <c r="CZ53" i="5"/>
  <c r="CZ49" i="5"/>
  <c r="CZ36" i="5"/>
  <c r="CZ30" i="5"/>
  <c r="CZ25" i="5"/>
  <c r="CZ17" i="5"/>
  <c r="BM135" i="5"/>
  <c r="BM138" i="5"/>
  <c r="BM133" i="5"/>
  <c r="BM127" i="5"/>
  <c r="BM134" i="5"/>
  <c r="BM128" i="5"/>
  <c r="BM121" i="5"/>
  <c r="BM137" i="5"/>
  <c r="BM131" i="5"/>
  <c r="BM122" i="5"/>
  <c r="BM136" i="5"/>
  <c r="BM125" i="5"/>
  <c r="BM118" i="5"/>
  <c r="BM119" i="5"/>
  <c r="BM113" i="5"/>
  <c r="BM129" i="5"/>
  <c r="BM120" i="5"/>
  <c r="BM115" i="5"/>
  <c r="BM110" i="5"/>
  <c r="BM106" i="5"/>
  <c r="BM103" i="5"/>
  <c r="BM99" i="5"/>
  <c r="BM95" i="5"/>
  <c r="BM90" i="5"/>
  <c r="BM117" i="5"/>
  <c r="BM111" i="5"/>
  <c r="BM107" i="5"/>
  <c r="BM104" i="5"/>
  <c r="BM123" i="5"/>
  <c r="BM108" i="5"/>
  <c r="BM98" i="5"/>
  <c r="BM93" i="5"/>
  <c r="BM86" i="5"/>
  <c r="BM81" i="5"/>
  <c r="BM73" i="5"/>
  <c r="BM68" i="5"/>
  <c r="BM67" i="5"/>
  <c r="BM62" i="5"/>
  <c r="BM58" i="5"/>
  <c r="BM55" i="5"/>
  <c r="BM49" i="5"/>
  <c r="BM45" i="5"/>
  <c r="BM130" i="5"/>
  <c r="BM126" i="5"/>
  <c r="BM124" i="5"/>
  <c r="BM89" i="5"/>
  <c r="BM87" i="5"/>
  <c r="BM80" i="5"/>
  <c r="BM74" i="5"/>
  <c r="BM65" i="5"/>
  <c r="BM56" i="5"/>
  <c r="BM48" i="5"/>
  <c r="BM43" i="5"/>
  <c r="BM38" i="5"/>
  <c r="BM33" i="5"/>
  <c r="BM29" i="5"/>
  <c r="BM25" i="5"/>
  <c r="BM15" i="5"/>
  <c r="BM114" i="5"/>
  <c r="BM101" i="5"/>
  <c r="BM96" i="5"/>
  <c r="BM88" i="5"/>
  <c r="BM83" i="5"/>
  <c r="BM75" i="5"/>
  <c r="BM69" i="5"/>
  <c r="BM66" i="5"/>
  <c r="BM57" i="5"/>
  <c r="BM54" i="5"/>
  <c r="BM50" i="5"/>
  <c r="BM44" i="5"/>
  <c r="BM105" i="5"/>
  <c r="BM76" i="5"/>
  <c r="BM70" i="5"/>
  <c r="BM60" i="5"/>
  <c r="BM36" i="5"/>
  <c r="BM30" i="5"/>
  <c r="BM23" i="5"/>
  <c r="BM109" i="5"/>
  <c r="BM102" i="5"/>
  <c r="BM92" i="5"/>
  <c r="BM85" i="5"/>
  <c r="BM79" i="5"/>
  <c r="BM64" i="5"/>
  <c r="BM53" i="5"/>
  <c r="BM47" i="5"/>
  <c r="BM42" i="5"/>
  <c r="BM37" i="5"/>
  <c r="BM31" i="5"/>
  <c r="BM26" i="5"/>
  <c r="BM13" i="5"/>
  <c r="BM94" i="5"/>
  <c r="BM84" i="5"/>
  <c r="BM51" i="5"/>
  <c r="BM46" i="5"/>
  <c r="BM39" i="5"/>
  <c r="BM27" i="5"/>
  <c r="BM21" i="5"/>
  <c r="BM112" i="5"/>
  <c r="BM100" i="5"/>
  <c r="BM97" i="5"/>
  <c r="BM72" i="5"/>
  <c r="BM41" i="5"/>
  <c r="BM35" i="5"/>
  <c r="BM28" i="5"/>
  <c r="BQ135" i="5"/>
  <c r="BQ137" i="5"/>
  <c r="BQ131" i="5"/>
  <c r="BQ127" i="5"/>
  <c r="BQ138" i="5"/>
  <c r="BQ134" i="5"/>
  <c r="BQ129" i="5"/>
  <c r="BQ126" i="5"/>
  <c r="BQ121" i="5"/>
  <c r="BQ117" i="5"/>
  <c r="BQ136" i="5"/>
  <c r="BQ130" i="5"/>
  <c r="BQ128" i="5"/>
  <c r="BQ122" i="5"/>
  <c r="BQ123" i="5"/>
  <c r="BQ124" i="5"/>
  <c r="BQ118" i="5"/>
  <c r="BQ113" i="5"/>
  <c r="BQ119" i="5"/>
  <c r="BQ114" i="5"/>
  <c r="BQ106" i="5"/>
  <c r="BQ103" i="5"/>
  <c r="BQ99" i="5"/>
  <c r="BQ95" i="5"/>
  <c r="BQ90" i="5"/>
  <c r="BQ115" i="5"/>
  <c r="BQ110" i="5"/>
  <c r="BQ107" i="5"/>
  <c r="BQ104" i="5"/>
  <c r="BQ102" i="5"/>
  <c r="BQ97" i="5"/>
  <c r="BQ92" i="5"/>
  <c r="BQ86" i="5"/>
  <c r="BQ73" i="5"/>
  <c r="BQ67" i="5"/>
  <c r="BQ58" i="5"/>
  <c r="BQ55" i="5"/>
  <c r="BQ49" i="5"/>
  <c r="BQ45" i="5"/>
  <c r="BQ105" i="5"/>
  <c r="BQ94" i="5"/>
  <c r="BQ85" i="5"/>
  <c r="BQ79" i="5"/>
  <c r="BQ72" i="5"/>
  <c r="BQ64" i="5"/>
  <c r="BQ53" i="5"/>
  <c r="BQ47" i="5"/>
  <c r="BQ43" i="5"/>
  <c r="BQ38" i="5"/>
  <c r="BQ33" i="5"/>
  <c r="BQ29" i="5"/>
  <c r="BQ25" i="5"/>
  <c r="BQ20" i="5"/>
  <c r="BQ15" i="5"/>
  <c r="BQ120" i="5"/>
  <c r="BQ100" i="5"/>
  <c r="BQ87" i="5"/>
  <c r="BQ80" i="5"/>
  <c r="BQ74" i="5"/>
  <c r="BQ65" i="5"/>
  <c r="BQ56" i="5"/>
  <c r="BQ48" i="5"/>
  <c r="BQ109" i="5"/>
  <c r="BQ98" i="5"/>
  <c r="BQ75" i="5"/>
  <c r="BQ69" i="5"/>
  <c r="BQ66" i="5"/>
  <c r="BQ44" i="5"/>
  <c r="BQ41" i="5"/>
  <c r="BQ35" i="5"/>
  <c r="BQ28" i="5"/>
  <c r="BQ22" i="5"/>
  <c r="BQ16" i="5"/>
  <c r="BQ125" i="5"/>
  <c r="BQ111" i="5"/>
  <c r="BQ108" i="5"/>
  <c r="BQ101" i="5"/>
  <c r="BQ84" i="5"/>
  <c r="BQ78" i="5"/>
  <c r="BQ51" i="5"/>
  <c r="BQ46" i="5"/>
  <c r="BQ36" i="5"/>
  <c r="BQ30" i="5"/>
  <c r="BQ23" i="5"/>
  <c r="BQ17" i="5"/>
  <c r="BQ112" i="5"/>
  <c r="BQ93" i="5"/>
  <c r="BQ89" i="5"/>
  <c r="BQ88" i="5"/>
  <c r="BQ83" i="5"/>
  <c r="BQ57" i="5"/>
  <c r="BQ54" i="5"/>
  <c r="BQ50" i="5"/>
  <c r="BQ37" i="5"/>
  <c r="BQ31" i="5"/>
  <c r="BQ26" i="5"/>
  <c r="BQ19" i="5"/>
  <c r="BQ13" i="5"/>
  <c r="BQ96" i="5"/>
  <c r="BQ76" i="5"/>
  <c r="BQ70" i="5"/>
  <c r="BQ60" i="5"/>
  <c r="BQ42" i="5"/>
  <c r="BQ39" i="5"/>
  <c r="BQ32" i="5"/>
  <c r="BQ27" i="5"/>
  <c r="BQ21" i="5"/>
  <c r="BQ14" i="5"/>
  <c r="BU135" i="5"/>
  <c r="BU136" i="5"/>
  <c r="BU127" i="5"/>
  <c r="BU137" i="5"/>
  <c r="BU131" i="5"/>
  <c r="BU138" i="5"/>
  <c r="BU133" i="5"/>
  <c r="BU125" i="5"/>
  <c r="BU121" i="5"/>
  <c r="BU117" i="5"/>
  <c r="BU126" i="5"/>
  <c r="BU122" i="5"/>
  <c r="BU129" i="5"/>
  <c r="BU128" i="5"/>
  <c r="BU120" i="5"/>
  <c r="BU134" i="5"/>
  <c r="BU130" i="5"/>
  <c r="BU113" i="5"/>
  <c r="BU123" i="5"/>
  <c r="BU118" i="5"/>
  <c r="BU112" i="5"/>
  <c r="BU106" i="5"/>
  <c r="BU103" i="5"/>
  <c r="BU99" i="5"/>
  <c r="BU95" i="5"/>
  <c r="BU90" i="5"/>
  <c r="BU124" i="5"/>
  <c r="BU114" i="5"/>
  <c r="BU107" i="5"/>
  <c r="BU104" i="5"/>
  <c r="BU108" i="5"/>
  <c r="BU101" i="5"/>
  <c r="BU96" i="5"/>
  <c r="BU89" i="5"/>
  <c r="BU86" i="5"/>
  <c r="BU81" i="5"/>
  <c r="BU77" i="5"/>
  <c r="BU73" i="5"/>
  <c r="BU68" i="5"/>
  <c r="BU67" i="5"/>
  <c r="BU62" i="5"/>
  <c r="BU61" i="5"/>
  <c r="BU58" i="5"/>
  <c r="BU55" i="5"/>
  <c r="BU49" i="5"/>
  <c r="BU45" i="5"/>
  <c r="BU109" i="5"/>
  <c r="BU98" i="5"/>
  <c r="BU93" i="5"/>
  <c r="BU84" i="5"/>
  <c r="BU78" i="5"/>
  <c r="BU76" i="5"/>
  <c r="BU70" i="5"/>
  <c r="BU60" i="5"/>
  <c r="BU51" i="5"/>
  <c r="BU46" i="5"/>
  <c r="BU43" i="5"/>
  <c r="BU38" i="5"/>
  <c r="BU33" i="5"/>
  <c r="BU29" i="5"/>
  <c r="BU25" i="5"/>
  <c r="BU20" i="5"/>
  <c r="BU15" i="5"/>
  <c r="BU115" i="5"/>
  <c r="BU85" i="5"/>
  <c r="BU79" i="5"/>
  <c r="BU72" i="5"/>
  <c r="BU64" i="5"/>
  <c r="BU53" i="5"/>
  <c r="BU47" i="5"/>
  <c r="BU111" i="5"/>
  <c r="BU97" i="5"/>
  <c r="BU94" i="5"/>
  <c r="BU80" i="5"/>
  <c r="BU74" i="5"/>
  <c r="BU65" i="5"/>
  <c r="BU48" i="5"/>
  <c r="BU39" i="5"/>
  <c r="BU32" i="5"/>
  <c r="BU27" i="5"/>
  <c r="BU21" i="5"/>
  <c r="BU14" i="5"/>
  <c r="BU119" i="5"/>
  <c r="BU100" i="5"/>
  <c r="BU88" i="5"/>
  <c r="BU83" i="5"/>
  <c r="BU57" i="5"/>
  <c r="BU54" i="5"/>
  <c r="BU50" i="5"/>
  <c r="BU42" i="5"/>
  <c r="BU41" i="5"/>
  <c r="BU35" i="5"/>
  <c r="BU28" i="5"/>
  <c r="BU22" i="5"/>
  <c r="BU16" i="5"/>
  <c r="BU102" i="5"/>
  <c r="BU92" i="5"/>
  <c r="BU87" i="5"/>
  <c r="BU56" i="5"/>
  <c r="BU36" i="5"/>
  <c r="BU30" i="5"/>
  <c r="BU23" i="5"/>
  <c r="BU17" i="5"/>
  <c r="BU110" i="5"/>
  <c r="BU105" i="5"/>
  <c r="BU75" i="5"/>
  <c r="BU69" i="5"/>
  <c r="BU66" i="5"/>
  <c r="BU44" i="5"/>
  <c r="BU37" i="5"/>
  <c r="BU31" i="5"/>
  <c r="BU26" i="5"/>
  <c r="BU19" i="5"/>
  <c r="BU13" i="5"/>
  <c r="BY135" i="5"/>
  <c r="BY134" i="5"/>
  <c r="BY127" i="5"/>
  <c r="BY136" i="5"/>
  <c r="BY137" i="5"/>
  <c r="BY131" i="5"/>
  <c r="BY129" i="5"/>
  <c r="BY121" i="5"/>
  <c r="BY117" i="5"/>
  <c r="BY130" i="5"/>
  <c r="BY125" i="5"/>
  <c r="BY122" i="5"/>
  <c r="BY123" i="5"/>
  <c r="BY119" i="5"/>
  <c r="BY138" i="5"/>
  <c r="BY133" i="5"/>
  <c r="BY124" i="5"/>
  <c r="BY120" i="5"/>
  <c r="BY113" i="5"/>
  <c r="BY126" i="5"/>
  <c r="BY111" i="5"/>
  <c r="BY106" i="5"/>
  <c r="BY103" i="5"/>
  <c r="BY99" i="5"/>
  <c r="BY95" i="5"/>
  <c r="BY90" i="5"/>
  <c r="BY112" i="5"/>
  <c r="BY107" i="5"/>
  <c r="BY104" i="5"/>
  <c r="BY100" i="5"/>
  <c r="BY94" i="5"/>
  <c r="BY86" i="5"/>
  <c r="BY81" i="5"/>
  <c r="BY73" i="5"/>
  <c r="BY68" i="5"/>
  <c r="BY62" i="5"/>
  <c r="BY58" i="5"/>
  <c r="BY49" i="5"/>
  <c r="BY45" i="5"/>
  <c r="BY115" i="5"/>
  <c r="BY108" i="5"/>
  <c r="BY102" i="5"/>
  <c r="BY97" i="5"/>
  <c r="BY92" i="5"/>
  <c r="BY88" i="5"/>
  <c r="BY83" i="5"/>
  <c r="BY75" i="5"/>
  <c r="BY69" i="5"/>
  <c r="BY66" i="5"/>
  <c r="BY57" i="5"/>
  <c r="BY50" i="5"/>
  <c r="BY44" i="5"/>
  <c r="BY43" i="5"/>
  <c r="BY38" i="5"/>
  <c r="BY33" i="5"/>
  <c r="BY29" i="5"/>
  <c r="BY25" i="5"/>
  <c r="BY15" i="5"/>
  <c r="BY128" i="5"/>
  <c r="BY118" i="5"/>
  <c r="BY114" i="5"/>
  <c r="BY105" i="5"/>
  <c r="BY89" i="5"/>
  <c r="BY84" i="5"/>
  <c r="BY78" i="5"/>
  <c r="BY76" i="5"/>
  <c r="BY70" i="5"/>
  <c r="BY54" i="5"/>
  <c r="BY51" i="5"/>
  <c r="BY46" i="5"/>
  <c r="BY96" i="5"/>
  <c r="BY93" i="5"/>
  <c r="BY85" i="5"/>
  <c r="BY79" i="5"/>
  <c r="BY64" i="5"/>
  <c r="BY60" i="5"/>
  <c r="BY47" i="5"/>
  <c r="BY37" i="5"/>
  <c r="BY31" i="5"/>
  <c r="BY26" i="5"/>
  <c r="BY13" i="5"/>
  <c r="BY87" i="5"/>
  <c r="BY56" i="5"/>
  <c r="BY39" i="5"/>
  <c r="BY27" i="5"/>
  <c r="BY14" i="5"/>
  <c r="BY110" i="5"/>
  <c r="BY101" i="5"/>
  <c r="BY98" i="5"/>
  <c r="BY72" i="5"/>
  <c r="BY55" i="5"/>
  <c r="BY41" i="5"/>
  <c r="BY35" i="5"/>
  <c r="BY28" i="5"/>
  <c r="BY109" i="5"/>
  <c r="BY80" i="5"/>
  <c r="BY74" i="5"/>
  <c r="BY65" i="5"/>
  <c r="BY48" i="5"/>
  <c r="BY42" i="5"/>
  <c r="BY36" i="5"/>
  <c r="BY30" i="5"/>
  <c r="BY23" i="5"/>
  <c r="CC135" i="5"/>
  <c r="CC138" i="5"/>
  <c r="CC133" i="5"/>
  <c r="CC127" i="5"/>
  <c r="CC134" i="5"/>
  <c r="CC136" i="5"/>
  <c r="CC128" i="5"/>
  <c r="CC121" i="5"/>
  <c r="CC117" i="5"/>
  <c r="CC122" i="5"/>
  <c r="CC118" i="5"/>
  <c r="CC137" i="5"/>
  <c r="CC131" i="5"/>
  <c r="CC126" i="5"/>
  <c r="CC119" i="5"/>
  <c r="CC113" i="5"/>
  <c r="CC125" i="5"/>
  <c r="CC115" i="5"/>
  <c r="CC110" i="5"/>
  <c r="CC106" i="5"/>
  <c r="CC103" i="5"/>
  <c r="CC99" i="5"/>
  <c r="CC95" i="5"/>
  <c r="CC90" i="5"/>
  <c r="CC130" i="5"/>
  <c r="CC111" i="5"/>
  <c r="CC107" i="5"/>
  <c r="CC120" i="5"/>
  <c r="CC112" i="5"/>
  <c r="CC108" i="5"/>
  <c r="CC98" i="5"/>
  <c r="CC93" i="5"/>
  <c r="CC86" i="5"/>
  <c r="CC81" i="5"/>
  <c r="CC77" i="5"/>
  <c r="CC73" i="5"/>
  <c r="CC68" i="5"/>
  <c r="CC62" i="5"/>
  <c r="CC58" i="5"/>
  <c r="CC49" i="5"/>
  <c r="CC45" i="5"/>
  <c r="CC114" i="5"/>
  <c r="CC105" i="5"/>
  <c r="CC101" i="5"/>
  <c r="CC96" i="5"/>
  <c r="CC87" i="5"/>
  <c r="CC80" i="5"/>
  <c r="CC74" i="5"/>
  <c r="CC65" i="5"/>
  <c r="CC56" i="5"/>
  <c r="CC53" i="5"/>
  <c r="CC48" i="5"/>
  <c r="CC43" i="5"/>
  <c r="CC38" i="5"/>
  <c r="CC33" i="5"/>
  <c r="CC29" i="5"/>
  <c r="CC25" i="5"/>
  <c r="CC20" i="5"/>
  <c r="CC15" i="5"/>
  <c r="CC129" i="5"/>
  <c r="CC109" i="5"/>
  <c r="CC104" i="5"/>
  <c r="CC94" i="5"/>
  <c r="CC88" i="5"/>
  <c r="CC83" i="5"/>
  <c r="CC75" i="5"/>
  <c r="CC69" i="5"/>
  <c r="CC66" i="5"/>
  <c r="CC59" i="5"/>
  <c r="CC57" i="5"/>
  <c r="CC50" i="5"/>
  <c r="CC44" i="5"/>
  <c r="CC123" i="5"/>
  <c r="CC102" i="5"/>
  <c r="CC92" i="5"/>
  <c r="CC84" i="5"/>
  <c r="CC78" i="5"/>
  <c r="CC51" i="5"/>
  <c r="CC46" i="5"/>
  <c r="CC36" i="5"/>
  <c r="CC30" i="5"/>
  <c r="CC23" i="5"/>
  <c r="CC17" i="5"/>
  <c r="CC72" i="5"/>
  <c r="CC55" i="5"/>
  <c r="CC42" i="5"/>
  <c r="CC37" i="5"/>
  <c r="CC31" i="5"/>
  <c r="CC26" i="5"/>
  <c r="CC19" i="5"/>
  <c r="CC13" i="5"/>
  <c r="CC124" i="5"/>
  <c r="CC100" i="5"/>
  <c r="CC97" i="5"/>
  <c r="CC76" i="5"/>
  <c r="CC70" i="5"/>
  <c r="CC61" i="5"/>
  <c r="CC54" i="5"/>
  <c r="CC39" i="5"/>
  <c r="CC32" i="5"/>
  <c r="CC27" i="5"/>
  <c r="CC21" i="5"/>
  <c r="CC14" i="5"/>
  <c r="CC89" i="5"/>
  <c r="CC85" i="5"/>
  <c r="CC79" i="5"/>
  <c r="CC67" i="5"/>
  <c r="CC64" i="5"/>
  <c r="CC60" i="5"/>
  <c r="CC47" i="5"/>
  <c r="CC41" i="5"/>
  <c r="CC35" i="5"/>
  <c r="CC28" i="5"/>
  <c r="CC22" i="5"/>
  <c r="CC16" i="5"/>
  <c r="CG135" i="5"/>
  <c r="CG137" i="5"/>
  <c r="CG131" i="5"/>
  <c r="CG127" i="5"/>
  <c r="CG138" i="5"/>
  <c r="CG133" i="5"/>
  <c r="CG129" i="5"/>
  <c r="CG126" i="5"/>
  <c r="CG121" i="5"/>
  <c r="CG117" i="5"/>
  <c r="CG130" i="5"/>
  <c r="CG128" i="5"/>
  <c r="CG122" i="5"/>
  <c r="CG123" i="5"/>
  <c r="CG136" i="5"/>
  <c r="CG125" i="5"/>
  <c r="CG124" i="5"/>
  <c r="CG118" i="5"/>
  <c r="CG113" i="5"/>
  <c r="CG114" i="5"/>
  <c r="CG106" i="5"/>
  <c r="CG103" i="5"/>
  <c r="CG99" i="5"/>
  <c r="CG95" i="5"/>
  <c r="CG90" i="5"/>
  <c r="CG120" i="5"/>
  <c r="CG115" i="5"/>
  <c r="CG110" i="5"/>
  <c r="CG107" i="5"/>
  <c r="CG134" i="5"/>
  <c r="CG119" i="5"/>
  <c r="CG111" i="5"/>
  <c r="CG104" i="5"/>
  <c r="CG102" i="5"/>
  <c r="CG97" i="5"/>
  <c r="CG92" i="5"/>
  <c r="CG86" i="5"/>
  <c r="CG81" i="5"/>
  <c r="CG77" i="5"/>
  <c r="CG73" i="5"/>
  <c r="CG68" i="5"/>
  <c r="CG62" i="5"/>
  <c r="CG58" i="5"/>
  <c r="CG49" i="5"/>
  <c r="CG45" i="5"/>
  <c r="CG109" i="5"/>
  <c r="CG100" i="5"/>
  <c r="CG85" i="5"/>
  <c r="CG79" i="5"/>
  <c r="CG72" i="5"/>
  <c r="CG67" i="5"/>
  <c r="CG64" i="5"/>
  <c r="CG60" i="5"/>
  <c r="CG55" i="5"/>
  <c r="CG47" i="5"/>
  <c r="CG43" i="5"/>
  <c r="CG38" i="5"/>
  <c r="CG33" i="5"/>
  <c r="CG29" i="5"/>
  <c r="CG25" i="5"/>
  <c r="CG20" i="5"/>
  <c r="CG15" i="5"/>
  <c r="CG108" i="5"/>
  <c r="CG98" i="5"/>
  <c r="CG93" i="5"/>
  <c r="CG89" i="5"/>
  <c r="CG87" i="5"/>
  <c r="CG80" i="5"/>
  <c r="CG74" i="5"/>
  <c r="CG65" i="5"/>
  <c r="CG56" i="5"/>
  <c r="CG53" i="5"/>
  <c r="CG48" i="5"/>
  <c r="CG112" i="5"/>
  <c r="CG105" i="5"/>
  <c r="CG101" i="5"/>
  <c r="CG88" i="5"/>
  <c r="CG83" i="5"/>
  <c r="CG57" i="5"/>
  <c r="CG50" i="5"/>
  <c r="CG41" i="5"/>
  <c r="CG35" i="5"/>
  <c r="CG28" i="5"/>
  <c r="CG22" i="5"/>
  <c r="CG16" i="5"/>
  <c r="CG94" i="5"/>
  <c r="CG76" i="5"/>
  <c r="CG70" i="5"/>
  <c r="CG61" i="5"/>
  <c r="CG54" i="5"/>
  <c r="CG36" i="5"/>
  <c r="CG30" i="5"/>
  <c r="CG23" i="5"/>
  <c r="CG17" i="5"/>
  <c r="CG96" i="5"/>
  <c r="CG75" i="5"/>
  <c r="CG69" i="5"/>
  <c r="CG66" i="5"/>
  <c r="CG59" i="5"/>
  <c r="CG44" i="5"/>
  <c r="CG37" i="5"/>
  <c r="CG31" i="5"/>
  <c r="CG26" i="5"/>
  <c r="CG19" i="5"/>
  <c r="CG13" i="5"/>
  <c r="CG84" i="5"/>
  <c r="CG78" i="5"/>
  <c r="CG51" i="5"/>
  <c r="CG46" i="5"/>
  <c r="CG42" i="5"/>
  <c r="CG39" i="5"/>
  <c r="CG32" i="5"/>
  <c r="CG27" i="5"/>
  <c r="CG21" i="5"/>
  <c r="CG14" i="5"/>
  <c r="CK135" i="5"/>
  <c r="CK136" i="5"/>
  <c r="CK127" i="5"/>
  <c r="CK137" i="5"/>
  <c r="CK131" i="5"/>
  <c r="CK125" i="5"/>
  <c r="CK121" i="5"/>
  <c r="CK117" i="5"/>
  <c r="CK134" i="5"/>
  <c r="CK126" i="5"/>
  <c r="CK122" i="5"/>
  <c r="CK129" i="5"/>
  <c r="CK120" i="5"/>
  <c r="CK130" i="5"/>
  <c r="CK113" i="5"/>
  <c r="CK138" i="5"/>
  <c r="CK128" i="5"/>
  <c r="CK123" i="5"/>
  <c r="CK112" i="5"/>
  <c r="CK106" i="5"/>
  <c r="CK103" i="5"/>
  <c r="CK99" i="5"/>
  <c r="CK95" i="5"/>
  <c r="CK90" i="5"/>
  <c r="CK124" i="5"/>
  <c r="CK119" i="5"/>
  <c r="CK114" i="5"/>
  <c r="CK107" i="5"/>
  <c r="CK118" i="5"/>
  <c r="CK115" i="5"/>
  <c r="CK110" i="5"/>
  <c r="CK108" i="5"/>
  <c r="CK101" i="5"/>
  <c r="CK96" i="5"/>
  <c r="CK89" i="5"/>
  <c r="CK86" i="5"/>
  <c r="CK81" i="5"/>
  <c r="CK77" i="5"/>
  <c r="CK73" i="5"/>
  <c r="CK68" i="5"/>
  <c r="CK62" i="5"/>
  <c r="CK58" i="5"/>
  <c r="CK49" i="5"/>
  <c r="CK45" i="5"/>
  <c r="CK84" i="5"/>
  <c r="CK78" i="5"/>
  <c r="CK76" i="5"/>
  <c r="CK70" i="5"/>
  <c r="CK61" i="5"/>
  <c r="CK54" i="5"/>
  <c r="CK51" i="5"/>
  <c r="CK46" i="5"/>
  <c r="CK43" i="5"/>
  <c r="CK38" i="5"/>
  <c r="CK33" i="5"/>
  <c r="CK29" i="5"/>
  <c r="CK25" i="5"/>
  <c r="CK20" i="5"/>
  <c r="CK15" i="5"/>
  <c r="CK105" i="5"/>
  <c r="CK102" i="5"/>
  <c r="CK97" i="5"/>
  <c r="CK94" i="5"/>
  <c r="CK92" i="5"/>
  <c r="CK85" i="5"/>
  <c r="CK79" i="5"/>
  <c r="CK72" i="5"/>
  <c r="CK67" i="5"/>
  <c r="CK64" i="5"/>
  <c r="CK60" i="5"/>
  <c r="CK55" i="5"/>
  <c r="CK47" i="5"/>
  <c r="CK109" i="5"/>
  <c r="CK104" i="5"/>
  <c r="CK100" i="5"/>
  <c r="CK87" i="5"/>
  <c r="CK56" i="5"/>
  <c r="CK53" i="5"/>
  <c r="CK39" i="5"/>
  <c r="CK32" i="5"/>
  <c r="CK27" i="5"/>
  <c r="CK21" i="5"/>
  <c r="CK14" i="5"/>
  <c r="CK93" i="5"/>
  <c r="CK75" i="5"/>
  <c r="CK69" i="5"/>
  <c r="CK66" i="5"/>
  <c r="CK59" i="5"/>
  <c r="CK44" i="5"/>
  <c r="CK42" i="5"/>
  <c r="CK41" i="5"/>
  <c r="CK35" i="5"/>
  <c r="CK28" i="5"/>
  <c r="CK22" i="5"/>
  <c r="CK16" i="5"/>
  <c r="CK111" i="5"/>
  <c r="CK80" i="5"/>
  <c r="CK74" i="5"/>
  <c r="CK65" i="5"/>
  <c r="CK48" i="5"/>
  <c r="CK36" i="5"/>
  <c r="CK30" i="5"/>
  <c r="CK23" i="5"/>
  <c r="CK17" i="5"/>
  <c r="CK133" i="5"/>
  <c r="CK98" i="5"/>
  <c r="CK88" i="5"/>
  <c r="CK83" i="5"/>
  <c r="CK57" i="5"/>
  <c r="CK50" i="5"/>
  <c r="CK37" i="5"/>
  <c r="CK31" i="5"/>
  <c r="CK26" i="5"/>
  <c r="CK19" i="5"/>
  <c r="CK13" i="5"/>
  <c r="CO135" i="5"/>
  <c r="CO134" i="5"/>
  <c r="CO127" i="5"/>
  <c r="CO136" i="5"/>
  <c r="CO129" i="5"/>
  <c r="CO121" i="5"/>
  <c r="CO117" i="5"/>
  <c r="CO138" i="5"/>
  <c r="CO133" i="5"/>
  <c r="CO130" i="5"/>
  <c r="CO125" i="5"/>
  <c r="CO122" i="5"/>
  <c r="CO126" i="5"/>
  <c r="CO123" i="5"/>
  <c r="CO119" i="5"/>
  <c r="CO128" i="5"/>
  <c r="CO124" i="5"/>
  <c r="CO120" i="5"/>
  <c r="CO113" i="5"/>
  <c r="CO137" i="5"/>
  <c r="CO111" i="5"/>
  <c r="CO106" i="5"/>
  <c r="CO103" i="5"/>
  <c r="CO99" i="5"/>
  <c r="CO95" i="5"/>
  <c r="CO90" i="5"/>
  <c r="CO118" i="5"/>
  <c r="CO112" i="5"/>
  <c r="CO107" i="5"/>
  <c r="CO131" i="5"/>
  <c r="CO114" i="5"/>
  <c r="CO104" i="5"/>
  <c r="CO100" i="5"/>
  <c r="CO94" i="5"/>
  <c r="CO86" i="5"/>
  <c r="CO81" i="5"/>
  <c r="CO77" i="5"/>
  <c r="CO73" i="5"/>
  <c r="CO68" i="5"/>
  <c r="CO62" i="5"/>
  <c r="CO58" i="5"/>
  <c r="CO49" i="5"/>
  <c r="CO45" i="5"/>
  <c r="CO115" i="5"/>
  <c r="CO102" i="5"/>
  <c r="CO89" i="5"/>
  <c r="CO88" i="5"/>
  <c r="CO83" i="5"/>
  <c r="CO75" i="5"/>
  <c r="CO69" i="5"/>
  <c r="CO66" i="5"/>
  <c r="CO59" i="5"/>
  <c r="CO57" i="5"/>
  <c r="CO50" i="5"/>
  <c r="CO44" i="5"/>
  <c r="CO43" i="5"/>
  <c r="CO38" i="5"/>
  <c r="CO33" i="5"/>
  <c r="CO29" i="5"/>
  <c r="CO25" i="5"/>
  <c r="CO20" i="5"/>
  <c r="CO15" i="5"/>
  <c r="CO109" i="5"/>
  <c r="CO101" i="5"/>
  <c r="CO98" i="5"/>
  <c r="CO96" i="5"/>
  <c r="CO93" i="5"/>
  <c r="CO84" i="5"/>
  <c r="CO78" i="5"/>
  <c r="CO76" i="5"/>
  <c r="CO70" i="5"/>
  <c r="CO61" i="5"/>
  <c r="CO54" i="5"/>
  <c r="CO51" i="5"/>
  <c r="CO46" i="5"/>
  <c r="CO110" i="5"/>
  <c r="CO108" i="5"/>
  <c r="CO72" i="5"/>
  <c r="CO55" i="5"/>
  <c r="CO37" i="5"/>
  <c r="CO31" i="5"/>
  <c r="CO26" i="5"/>
  <c r="CO19" i="5"/>
  <c r="CO13" i="5"/>
  <c r="CO92" i="5"/>
  <c r="CO80" i="5"/>
  <c r="CO74" i="5"/>
  <c r="CO65" i="5"/>
  <c r="CO48" i="5"/>
  <c r="CO39" i="5"/>
  <c r="CO32" i="5"/>
  <c r="CO27" i="5"/>
  <c r="CO21" i="5"/>
  <c r="CO14" i="5"/>
  <c r="CO85" i="5"/>
  <c r="CO79" i="5"/>
  <c r="CO67" i="5"/>
  <c r="CO64" i="5"/>
  <c r="CO60" i="5"/>
  <c r="CO47" i="5"/>
  <c r="CO41" i="5"/>
  <c r="CO35" i="5"/>
  <c r="CO28" i="5"/>
  <c r="CO22" i="5"/>
  <c r="CO16" i="5"/>
  <c r="CO105" i="5"/>
  <c r="CO97" i="5"/>
  <c r="CO87" i="5"/>
  <c r="CO56" i="5"/>
  <c r="CO53" i="5"/>
  <c r="CO42" i="5"/>
  <c r="CO36" i="5"/>
  <c r="CO30" i="5"/>
  <c r="CO23" i="5"/>
  <c r="CO17" i="5"/>
  <c r="CS135" i="5"/>
  <c r="CS138" i="5"/>
  <c r="CS133" i="5"/>
  <c r="CS127" i="5"/>
  <c r="CS134" i="5"/>
  <c r="CS128" i="5"/>
  <c r="CS121" i="5"/>
  <c r="CS117" i="5"/>
  <c r="CS137" i="5"/>
  <c r="CS131" i="5"/>
  <c r="CS122" i="5"/>
  <c r="CS125" i="5"/>
  <c r="CS118" i="5"/>
  <c r="CS119" i="5"/>
  <c r="CS113" i="5"/>
  <c r="CS136" i="5"/>
  <c r="CS129" i="5"/>
  <c r="CS120" i="5"/>
  <c r="CS115" i="5"/>
  <c r="CS110" i="5"/>
  <c r="CS106" i="5"/>
  <c r="CS103" i="5"/>
  <c r="CS99" i="5"/>
  <c r="CS95" i="5"/>
  <c r="CS90" i="5"/>
  <c r="CS126" i="5"/>
  <c r="CS111" i="5"/>
  <c r="CS107" i="5"/>
  <c r="CS123" i="5"/>
  <c r="CS108" i="5"/>
  <c r="CS98" i="5"/>
  <c r="CS93" i="5"/>
  <c r="CS86" i="5"/>
  <c r="CS81" i="5"/>
  <c r="CS77" i="5"/>
  <c r="CS73" i="5"/>
  <c r="CS68" i="5"/>
  <c r="CS62" i="5"/>
  <c r="CS58" i="5"/>
  <c r="CS49" i="5"/>
  <c r="CS45" i="5"/>
  <c r="CS114" i="5"/>
  <c r="CS94" i="5"/>
  <c r="CS87" i="5"/>
  <c r="CS80" i="5"/>
  <c r="CS74" i="5"/>
  <c r="CS65" i="5"/>
  <c r="CS56" i="5"/>
  <c r="CS53" i="5"/>
  <c r="CS48" i="5"/>
  <c r="CS43" i="5"/>
  <c r="CS38" i="5"/>
  <c r="CS33" i="5"/>
  <c r="CS29" i="5"/>
  <c r="CS25" i="5"/>
  <c r="CS20" i="5"/>
  <c r="CS15" i="5"/>
  <c r="CS124" i="5"/>
  <c r="CS100" i="5"/>
  <c r="CS97" i="5"/>
  <c r="CS92" i="5"/>
  <c r="CS88" i="5"/>
  <c r="CS83" i="5"/>
  <c r="CS75" i="5"/>
  <c r="CS69" i="5"/>
  <c r="CS66" i="5"/>
  <c r="CS59" i="5"/>
  <c r="CS57" i="5"/>
  <c r="CS50" i="5"/>
  <c r="CS44" i="5"/>
  <c r="CS102" i="5"/>
  <c r="CS76" i="5"/>
  <c r="CS70" i="5"/>
  <c r="CS61" i="5"/>
  <c r="CS54" i="5"/>
  <c r="CS36" i="5"/>
  <c r="CS30" i="5"/>
  <c r="CS23" i="5"/>
  <c r="CS17" i="5"/>
  <c r="CS130" i="5"/>
  <c r="CS101" i="5"/>
  <c r="CS85" i="5"/>
  <c r="CS79" i="5"/>
  <c r="CS67" i="5"/>
  <c r="CS64" i="5"/>
  <c r="CS60" i="5"/>
  <c r="CS47" i="5"/>
  <c r="CS42" i="5"/>
  <c r="CS37" i="5"/>
  <c r="CS31" i="5"/>
  <c r="CS26" i="5"/>
  <c r="CS19" i="5"/>
  <c r="CS13" i="5"/>
  <c r="CS112" i="5"/>
  <c r="CS105" i="5"/>
  <c r="CS89" i="5"/>
  <c r="CS84" i="5"/>
  <c r="CS78" i="5"/>
  <c r="CS51" i="5"/>
  <c r="CS46" i="5"/>
  <c r="CS39" i="5"/>
  <c r="CS32" i="5"/>
  <c r="CS27" i="5"/>
  <c r="CS21" i="5"/>
  <c r="CS14" i="5"/>
  <c r="CS109" i="5"/>
  <c r="CS104" i="5"/>
  <c r="CS96" i="5"/>
  <c r="CS72" i="5"/>
  <c r="CS55" i="5"/>
  <c r="CS41" i="5"/>
  <c r="CS35" i="5"/>
  <c r="CS28" i="5"/>
  <c r="CS22" i="5"/>
  <c r="CS16" i="5"/>
  <c r="CW135" i="5"/>
  <c r="CW130" i="5"/>
  <c r="CW137" i="5"/>
  <c r="CW131" i="5"/>
  <c r="CW127" i="5"/>
  <c r="CW138" i="5"/>
  <c r="CW133" i="5"/>
  <c r="CW134" i="5"/>
  <c r="CW129" i="5"/>
  <c r="CW126" i="5"/>
  <c r="CW121" i="5"/>
  <c r="CW117" i="5"/>
  <c r="CW136" i="5"/>
  <c r="CW128" i="5"/>
  <c r="CW122" i="5"/>
  <c r="CW123" i="5"/>
  <c r="CW124" i="5"/>
  <c r="CW118" i="5"/>
  <c r="CW113" i="5"/>
  <c r="CW119" i="5"/>
  <c r="CW114" i="5"/>
  <c r="CW106" i="5"/>
  <c r="CW103" i="5"/>
  <c r="CW99" i="5"/>
  <c r="CW95" i="5"/>
  <c r="CW90" i="5"/>
  <c r="CW125" i="5"/>
  <c r="CW115" i="5"/>
  <c r="CW110" i="5"/>
  <c r="CW107" i="5"/>
  <c r="CW104" i="5"/>
  <c r="CW97" i="5"/>
  <c r="CW92" i="5"/>
  <c r="CW86" i="5"/>
  <c r="CW81" i="5"/>
  <c r="CW77" i="5"/>
  <c r="CW73" i="5"/>
  <c r="CW68" i="5"/>
  <c r="CW62" i="5"/>
  <c r="CW58" i="5"/>
  <c r="CW49" i="5"/>
  <c r="CW45" i="5"/>
  <c r="CW120" i="5"/>
  <c r="CW105" i="5"/>
  <c r="CW98" i="5"/>
  <c r="CW93" i="5"/>
  <c r="CW89" i="5"/>
  <c r="CW85" i="5"/>
  <c r="CW79" i="5"/>
  <c r="CW72" i="5"/>
  <c r="CW67" i="5"/>
  <c r="CW64" i="5"/>
  <c r="CW60" i="5"/>
  <c r="CW55" i="5"/>
  <c r="CW47" i="5"/>
  <c r="CW43" i="5"/>
  <c r="CW38" i="5"/>
  <c r="CW33" i="5"/>
  <c r="CW29" i="5"/>
  <c r="CW25" i="5"/>
  <c r="CW20" i="5"/>
  <c r="CW15" i="5"/>
  <c r="CW112" i="5"/>
  <c r="CW102" i="5"/>
  <c r="CW101" i="5"/>
  <c r="CW96" i="5"/>
  <c r="CW87" i="5"/>
  <c r="CW80" i="5"/>
  <c r="CW74" i="5"/>
  <c r="CW65" i="5"/>
  <c r="CW56" i="5"/>
  <c r="CW53" i="5"/>
  <c r="CW48" i="5"/>
  <c r="CW111" i="5"/>
  <c r="CW94" i="5"/>
  <c r="CW75" i="5"/>
  <c r="CW69" i="5"/>
  <c r="CW66" i="5"/>
  <c r="CW59" i="5"/>
  <c r="CW44" i="5"/>
  <c r="CW41" i="5"/>
  <c r="CW35" i="5"/>
  <c r="CW28" i="5"/>
  <c r="CW22" i="5"/>
  <c r="CW16" i="5"/>
  <c r="CW100" i="5"/>
  <c r="CW84" i="5"/>
  <c r="CW78" i="5"/>
  <c r="CW51" i="5"/>
  <c r="CW46" i="5"/>
  <c r="CW36" i="5"/>
  <c r="CW30" i="5"/>
  <c r="CW23" i="5"/>
  <c r="CW17" i="5"/>
  <c r="CW109" i="5"/>
  <c r="CW88" i="5"/>
  <c r="CW83" i="5"/>
  <c r="CW57" i="5"/>
  <c r="CW50" i="5"/>
  <c r="CW37" i="5"/>
  <c r="CW31" i="5"/>
  <c r="CW26" i="5"/>
  <c r="CW19" i="5"/>
  <c r="CW13" i="5"/>
  <c r="CW108" i="5"/>
  <c r="CW76" i="5"/>
  <c r="CW70" i="5"/>
  <c r="CW61" i="5"/>
  <c r="CW54" i="5"/>
  <c r="CW42" i="5"/>
  <c r="CW39" i="5"/>
  <c r="CW32" i="5"/>
  <c r="CW27" i="5"/>
  <c r="CW21" i="5"/>
  <c r="CW14" i="5"/>
  <c r="DA135" i="5"/>
  <c r="DA130" i="5"/>
  <c r="DA136" i="5"/>
  <c r="DA127" i="5"/>
  <c r="DA137" i="5"/>
  <c r="DA131" i="5"/>
  <c r="DA138" i="5"/>
  <c r="DA133" i="5"/>
  <c r="DA125" i="5"/>
  <c r="DA121" i="5"/>
  <c r="DA117" i="5"/>
  <c r="DA126" i="5"/>
  <c r="DA122" i="5"/>
  <c r="DA129" i="5"/>
  <c r="DA128" i="5"/>
  <c r="DA120" i="5"/>
  <c r="DA113" i="5"/>
  <c r="DA123" i="5"/>
  <c r="DA118" i="5"/>
  <c r="DA112" i="5"/>
  <c r="DA106" i="5"/>
  <c r="DA103" i="5"/>
  <c r="DA99" i="5"/>
  <c r="DA95" i="5"/>
  <c r="DA90" i="5"/>
  <c r="DA134" i="5"/>
  <c r="DA124" i="5"/>
  <c r="DA114" i="5"/>
  <c r="DA107" i="5"/>
  <c r="DA108" i="5"/>
  <c r="DA101" i="5"/>
  <c r="DA96" i="5"/>
  <c r="DA89" i="5"/>
  <c r="DA86" i="5"/>
  <c r="DA81" i="5"/>
  <c r="DA77" i="5"/>
  <c r="DA73" i="5"/>
  <c r="DA68" i="5"/>
  <c r="DA62" i="5"/>
  <c r="DA58" i="5"/>
  <c r="DA49" i="5"/>
  <c r="DA45" i="5"/>
  <c r="DA115" i="5"/>
  <c r="DA109" i="5"/>
  <c r="DA104" i="5"/>
  <c r="DA97" i="5"/>
  <c r="DA94" i="5"/>
  <c r="DA92" i="5"/>
  <c r="DA88" i="5"/>
  <c r="DA84" i="5"/>
  <c r="DA78" i="5"/>
  <c r="DA76" i="5"/>
  <c r="DA70" i="5"/>
  <c r="DA61" i="5"/>
  <c r="DA54" i="5"/>
  <c r="DA51" i="5"/>
  <c r="DA46" i="5"/>
  <c r="DA43" i="5"/>
  <c r="DA38" i="5"/>
  <c r="DA33" i="5"/>
  <c r="DA29" i="5"/>
  <c r="DA25" i="5"/>
  <c r="DA20" i="5"/>
  <c r="DA15" i="5"/>
  <c r="DA111" i="5"/>
  <c r="DA100" i="5"/>
  <c r="DA85" i="5"/>
  <c r="DA79" i="5"/>
  <c r="DA72" i="5"/>
  <c r="DA67" i="5"/>
  <c r="DA64" i="5"/>
  <c r="DA60" i="5"/>
  <c r="DA55" i="5"/>
  <c r="DA47" i="5"/>
  <c r="DA93" i="5"/>
  <c r="DA80" i="5"/>
  <c r="DA74" i="5"/>
  <c r="DA65" i="5"/>
  <c r="DA48" i="5"/>
  <c r="DA39" i="5"/>
  <c r="DA32" i="5"/>
  <c r="DA27" i="5"/>
  <c r="DA21" i="5"/>
  <c r="DA14" i="5"/>
  <c r="DA105" i="5"/>
  <c r="DA83" i="5"/>
  <c r="DA57" i="5"/>
  <c r="DA50" i="5"/>
  <c r="DA42" i="5"/>
  <c r="DA41" i="5"/>
  <c r="DA35" i="5"/>
  <c r="DA28" i="5"/>
  <c r="DA22" i="5"/>
  <c r="DA16" i="5"/>
  <c r="DA119" i="5"/>
  <c r="DA110" i="5"/>
  <c r="DA98" i="5"/>
  <c r="DA87" i="5"/>
  <c r="DA56" i="5"/>
  <c r="DA53" i="5"/>
  <c r="DA36" i="5"/>
  <c r="DA30" i="5"/>
  <c r="DA23" i="5"/>
  <c r="DA17" i="5"/>
  <c r="DA102" i="5"/>
  <c r="DA75" i="5"/>
  <c r="DA69" i="5"/>
  <c r="DA66" i="5"/>
  <c r="DA59" i="5"/>
  <c r="DA44" i="5"/>
  <c r="DA37" i="5"/>
  <c r="DA31" i="5"/>
  <c r="DA26" i="5"/>
  <c r="DA19" i="5"/>
  <c r="DA13" i="5"/>
  <c r="DE135" i="5"/>
  <c r="DE130" i="5"/>
  <c r="DE134" i="5"/>
  <c r="DE127" i="5"/>
  <c r="DE136" i="5"/>
  <c r="DE128" i="5"/>
  <c r="DE137" i="5"/>
  <c r="DE131" i="5"/>
  <c r="DE129" i="5"/>
  <c r="DE124" i="5"/>
  <c r="DE121" i="5"/>
  <c r="DE117" i="5"/>
  <c r="DE125" i="5"/>
  <c r="DE122" i="5"/>
  <c r="DE123" i="5"/>
  <c r="DE119" i="5"/>
  <c r="DE120" i="5"/>
  <c r="DE113" i="5"/>
  <c r="DE111" i="5"/>
  <c r="DE106" i="5"/>
  <c r="DE103" i="5"/>
  <c r="DE99" i="5"/>
  <c r="DE95" i="5"/>
  <c r="DE90" i="5"/>
  <c r="DE133" i="5"/>
  <c r="DE112" i="5"/>
  <c r="DE107" i="5"/>
  <c r="DE126" i="5"/>
  <c r="DE104" i="5"/>
  <c r="DE100" i="5"/>
  <c r="DE94" i="5"/>
  <c r="DE88" i="5"/>
  <c r="DE86" i="5"/>
  <c r="DE81" i="5"/>
  <c r="DE77" i="5"/>
  <c r="DE73" i="5"/>
  <c r="DE68" i="5"/>
  <c r="DE62" i="5"/>
  <c r="DE58" i="5"/>
  <c r="DE49" i="5"/>
  <c r="DE45" i="5"/>
  <c r="DE118" i="5"/>
  <c r="DE114" i="5"/>
  <c r="DE108" i="5"/>
  <c r="DE101" i="5"/>
  <c r="DE98" i="5"/>
  <c r="DE96" i="5"/>
  <c r="DE93" i="5"/>
  <c r="DE83" i="5"/>
  <c r="DE75" i="5"/>
  <c r="DE69" i="5"/>
  <c r="DE66" i="5"/>
  <c r="DE59" i="5"/>
  <c r="DE57" i="5"/>
  <c r="DE50" i="5"/>
  <c r="DE44" i="5"/>
  <c r="DE43" i="5"/>
  <c r="DE38" i="5"/>
  <c r="DE33" i="5"/>
  <c r="DE29" i="5"/>
  <c r="DE25" i="5"/>
  <c r="DE20" i="5"/>
  <c r="DE15" i="5"/>
  <c r="DE110" i="5"/>
  <c r="DE105" i="5"/>
  <c r="DE84" i="5"/>
  <c r="DE78" i="5"/>
  <c r="DE76" i="5"/>
  <c r="DE70" i="5"/>
  <c r="DE61" i="5"/>
  <c r="DE54" i="5"/>
  <c r="DE51" i="5"/>
  <c r="DE46" i="5"/>
  <c r="DE92" i="5"/>
  <c r="DE85" i="5"/>
  <c r="DE79" i="5"/>
  <c r="DE67" i="5"/>
  <c r="DE64" i="5"/>
  <c r="DE60" i="5"/>
  <c r="DE47" i="5"/>
  <c r="DE37" i="5"/>
  <c r="DE31" i="5"/>
  <c r="DE26" i="5"/>
  <c r="DE19" i="5"/>
  <c r="DE13" i="5"/>
  <c r="DE115" i="5"/>
  <c r="DE109" i="5"/>
  <c r="DE87" i="5"/>
  <c r="DE56" i="5"/>
  <c r="DE53" i="5"/>
  <c r="DE39" i="5"/>
  <c r="DE32" i="5"/>
  <c r="DE27" i="5"/>
  <c r="DE21" i="5"/>
  <c r="DE14" i="5"/>
  <c r="DE102" i="5"/>
  <c r="DE97" i="5"/>
  <c r="DE72" i="5"/>
  <c r="DE55" i="5"/>
  <c r="DE41" i="5"/>
  <c r="DE35" i="5"/>
  <c r="DE28" i="5"/>
  <c r="DE22" i="5"/>
  <c r="DE16" i="5"/>
  <c r="DE138" i="5"/>
  <c r="DE89" i="5"/>
  <c r="DE80" i="5"/>
  <c r="DE74" i="5"/>
  <c r="DE65" i="5"/>
  <c r="DE48" i="5"/>
  <c r="DE42" i="5"/>
  <c r="DE36" i="5"/>
  <c r="DE30" i="5"/>
  <c r="DE23" i="5"/>
  <c r="DE17" i="5"/>
  <c r="BO137" i="5"/>
  <c r="BO135" i="5"/>
  <c r="BO129" i="5"/>
  <c r="BO125" i="5"/>
  <c r="BO136" i="5"/>
  <c r="BO130" i="5"/>
  <c r="BO131" i="5"/>
  <c r="BO123" i="5"/>
  <c r="BO119" i="5"/>
  <c r="BO134" i="5"/>
  <c r="BO126" i="5"/>
  <c r="BO124" i="5"/>
  <c r="BO127" i="5"/>
  <c r="BO120" i="5"/>
  <c r="BO122" i="5"/>
  <c r="BO121" i="5"/>
  <c r="BO115" i="5"/>
  <c r="BO111" i="5"/>
  <c r="BO112" i="5"/>
  <c r="BO108" i="5"/>
  <c r="BO101" i="5"/>
  <c r="BO97" i="5"/>
  <c r="BO93" i="5"/>
  <c r="BO113" i="5"/>
  <c r="BO109" i="5"/>
  <c r="BO105" i="5"/>
  <c r="BO138" i="5"/>
  <c r="BO103" i="5"/>
  <c r="BO100" i="5"/>
  <c r="BO95" i="5"/>
  <c r="BO89" i="5"/>
  <c r="BO88" i="5"/>
  <c r="BO84" i="5"/>
  <c r="BO79" i="5"/>
  <c r="BO75" i="5"/>
  <c r="BO70" i="5"/>
  <c r="BO65" i="5"/>
  <c r="BO60" i="5"/>
  <c r="BO56" i="5"/>
  <c r="BO54" i="5"/>
  <c r="BO51" i="5"/>
  <c r="BO47" i="5"/>
  <c r="BO114" i="5"/>
  <c r="BO96" i="5"/>
  <c r="BO90" i="5"/>
  <c r="BO83" i="5"/>
  <c r="BO76" i="5"/>
  <c r="BO69" i="5"/>
  <c r="BO58" i="5"/>
  <c r="BO50" i="5"/>
  <c r="BO45" i="5"/>
  <c r="BO41" i="5"/>
  <c r="BO36" i="5"/>
  <c r="BO31" i="5"/>
  <c r="BO27" i="5"/>
  <c r="BO13" i="5"/>
  <c r="BO110" i="5"/>
  <c r="BO102" i="5"/>
  <c r="BO99" i="5"/>
  <c r="BO85" i="5"/>
  <c r="BO72" i="5"/>
  <c r="BO62" i="5"/>
  <c r="BO55" i="5"/>
  <c r="BO46" i="5"/>
  <c r="BO42" i="5"/>
  <c r="BO118" i="5"/>
  <c r="BO117" i="5"/>
  <c r="BO104" i="5"/>
  <c r="BO92" i="5"/>
  <c r="BO73" i="5"/>
  <c r="BO64" i="5"/>
  <c r="BO43" i="5"/>
  <c r="BO38" i="5"/>
  <c r="BO26" i="5"/>
  <c r="BO14" i="5"/>
  <c r="BO98" i="5"/>
  <c r="BO87" i="5"/>
  <c r="BO81" i="5"/>
  <c r="BO66" i="5"/>
  <c r="BO49" i="5"/>
  <c r="BO44" i="5"/>
  <c r="BO39" i="5"/>
  <c r="BO33" i="5"/>
  <c r="BO28" i="5"/>
  <c r="BO21" i="5"/>
  <c r="BO15" i="5"/>
  <c r="BO107" i="5"/>
  <c r="BO86" i="5"/>
  <c r="BO80" i="5"/>
  <c r="BO48" i="5"/>
  <c r="BO35" i="5"/>
  <c r="BO29" i="5"/>
  <c r="BO23" i="5"/>
  <c r="BO106" i="5"/>
  <c r="BO74" i="5"/>
  <c r="BO68" i="5"/>
  <c r="BO37" i="5"/>
  <c r="BO30" i="5"/>
  <c r="BO25" i="5"/>
  <c r="CA137" i="5"/>
  <c r="CA133" i="5"/>
  <c r="CA136" i="5"/>
  <c r="CA129" i="5"/>
  <c r="CA125" i="5"/>
  <c r="CA138" i="5"/>
  <c r="CA131" i="5"/>
  <c r="CA130" i="5"/>
  <c r="CA134" i="5"/>
  <c r="CA126" i="5"/>
  <c r="CA123" i="5"/>
  <c r="CA119" i="5"/>
  <c r="CA127" i="5"/>
  <c r="CA124" i="5"/>
  <c r="CA121" i="5"/>
  <c r="CA117" i="5"/>
  <c r="CA115" i="5"/>
  <c r="CA111" i="5"/>
  <c r="CA113" i="5"/>
  <c r="CA108" i="5"/>
  <c r="CA104" i="5"/>
  <c r="CA101" i="5"/>
  <c r="CA97" i="5"/>
  <c r="CA93" i="5"/>
  <c r="CA114" i="5"/>
  <c r="CA109" i="5"/>
  <c r="CA105" i="5"/>
  <c r="CA110" i="5"/>
  <c r="CA106" i="5"/>
  <c r="CA102" i="5"/>
  <c r="CA96" i="5"/>
  <c r="CA90" i="5"/>
  <c r="CA88" i="5"/>
  <c r="CA84" i="5"/>
  <c r="CA79" i="5"/>
  <c r="CA75" i="5"/>
  <c r="CA70" i="5"/>
  <c r="CA67" i="5"/>
  <c r="CA65" i="5"/>
  <c r="CA56" i="5"/>
  <c r="CA51" i="5"/>
  <c r="CA47" i="5"/>
  <c r="CA128" i="5"/>
  <c r="CA118" i="5"/>
  <c r="CA100" i="5"/>
  <c r="CA98" i="5"/>
  <c r="CA95" i="5"/>
  <c r="CA89" i="5"/>
  <c r="CA85" i="5"/>
  <c r="CA78" i="5"/>
  <c r="CA72" i="5"/>
  <c r="CA62" i="5"/>
  <c r="CA60" i="5"/>
  <c r="CA46" i="5"/>
  <c r="CA41" i="5"/>
  <c r="CA36" i="5"/>
  <c r="CA31" i="5"/>
  <c r="CA27" i="5"/>
  <c r="CA22" i="5"/>
  <c r="CA17" i="5"/>
  <c r="CA13" i="5"/>
  <c r="CA135" i="5"/>
  <c r="CA107" i="5"/>
  <c r="CA86" i="5"/>
  <c r="CA80" i="5"/>
  <c r="CA73" i="5"/>
  <c r="CA64" i="5"/>
  <c r="CA55" i="5"/>
  <c r="CA48" i="5"/>
  <c r="CA42" i="5"/>
  <c r="CA99" i="5"/>
  <c r="CA87" i="5"/>
  <c r="CA81" i="5"/>
  <c r="CA66" i="5"/>
  <c r="CA53" i="5"/>
  <c r="CA49" i="5"/>
  <c r="CA44" i="5"/>
  <c r="CA39" i="5"/>
  <c r="CA33" i="5"/>
  <c r="CA28" i="5"/>
  <c r="CA21" i="5"/>
  <c r="CA15" i="5"/>
  <c r="CA120" i="5"/>
  <c r="CA112" i="5"/>
  <c r="CA92" i="5"/>
  <c r="CA69" i="5"/>
  <c r="CA58" i="5"/>
  <c r="CA35" i="5"/>
  <c r="CA29" i="5"/>
  <c r="CA23" i="5"/>
  <c r="CA16" i="5"/>
  <c r="CA94" i="5"/>
  <c r="CA74" i="5"/>
  <c r="CA68" i="5"/>
  <c r="CA57" i="5"/>
  <c r="CA43" i="5"/>
  <c r="CA37" i="5"/>
  <c r="CA30" i="5"/>
  <c r="CA25" i="5"/>
  <c r="CA19" i="5"/>
  <c r="CA122" i="5"/>
  <c r="CA103" i="5"/>
  <c r="CA83" i="5"/>
  <c r="CA77" i="5"/>
  <c r="CA76" i="5"/>
  <c r="CA61" i="5"/>
  <c r="CA54" i="5"/>
  <c r="CA50" i="5"/>
  <c r="CA45" i="5"/>
  <c r="CA38" i="5"/>
  <c r="CA32" i="5"/>
  <c r="CA26" i="5"/>
  <c r="CA20" i="5"/>
  <c r="CA14" i="5"/>
  <c r="CI137" i="5"/>
  <c r="CI133" i="5"/>
  <c r="CI134" i="5"/>
  <c r="CI129" i="5"/>
  <c r="CI125" i="5"/>
  <c r="CI135" i="5"/>
  <c r="CI130" i="5"/>
  <c r="CI128" i="5"/>
  <c r="CI123" i="5"/>
  <c r="CI119" i="5"/>
  <c r="CI131" i="5"/>
  <c r="CI124" i="5"/>
  <c r="CI136" i="5"/>
  <c r="CI118" i="5"/>
  <c r="CI127" i="5"/>
  <c r="CI120" i="5"/>
  <c r="CI115" i="5"/>
  <c r="CI111" i="5"/>
  <c r="CI110" i="5"/>
  <c r="CI108" i="5"/>
  <c r="CI104" i="5"/>
  <c r="CI101" i="5"/>
  <c r="CI97" i="5"/>
  <c r="CI93" i="5"/>
  <c r="CI138" i="5"/>
  <c r="CI122" i="5"/>
  <c r="CI117" i="5"/>
  <c r="CI112" i="5"/>
  <c r="CI109" i="5"/>
  <c r="CI105" i="5"/>
  <c r="CI113" i="5"/>
  <c r="CI106" i="5"/>
  <c r="CI99" i="5"/>
  <c r="CI94" i="5"/>
  <c r="CI88" i="5"/>
  <c r="CI84" i="5"/>
  <c r="CI79" i="5"/>
  <c r="CI75" i="5"/>
  <c r="CI70" i="5"/>
  <c r="CI67" i="5"/>
  <c r="CI65" i="5"/>
  <c r="CI56" i="5"/>
  <c r="CI51" i="5"/>
  <c r="CI47" i="5"/>
  <c r="CI103" i="5"/>
  <c r="CI98" i="5"/>
  <c r="CI87" i="5"/>
  <c r="CI81" i="5"/>
  <c r="CI74" i="5"/>
  <c r="CI68" i="5"/>
  <c r="CI66" i="5"/>
  <c r="CI57" i="5"/>
  <c r="CI53" i="5"/>
  <c r="CI49" i="5"/>
  <c r="CI44" i="5"/>
  <c r="CI41" i="5"/>
  <c r="CI36" i="5"/>
  <c r="CI31" i="5"/>
  <c r="CI27" i="5"/>
  <c r="CI22" i="5"/>
  <c r="CI17" i="5"/>
  <c r="CI13" i="5"/>
  <c r="CI96" i="5"/>
  <c r="CI90" i="5"/>
  <c r="CI83" i="5"/>
  <c r="CI77" i="5"/>
  <c r="CI76" i="5"/>
  <c r="CI69" i="5"/>
  <c r="CI61" i="5"/>
  <c r="CI59" i="5"/>
  <c r="CI58" i="5"/>
  <c r="CI54" i="5"/>
  <c r="CI50" i="5"/>
  <c r="CI45" i="5"/>
  <c r="CI42" i="5"/>
  <c r="CI85" i="5"/>
  <c r="CI60" i="5"/>
  <c r="CI37" i="5"/>
  <c r="CI30" i="5"/>
  <c r="CI25" i="5"/>
  <c r="CI19" i="5"/>
  <c r="CI121" i="5"/>
  <c r="CI100" i="5"/>
  <c r="CI89" i="5"/>
  <c r="CI73" i="5"/>
  <c r="CI64" i="5"/>
  <c r="CI38" i="5"/>
  <c r="CI32" i="5"/>
  <c r="CI26" i="5"/>
  <c r="CI20" i="5"/>
  <c r="CI14" i="5"/>
  <c r="CI126" i="5"/>
  <c r="CI107" i="5"/>
  <c r="CI102" i="5"/>
  <c r="CI78" i="5"/>
  <c r="CI72" i="5"/>
  <c r="CI62" i="5"/>
  <c r="CI46" i="5"/>
  <c r="CI43" i="5"/>
  <c r="CI39" i="5"/>
  <c r="CI33" i="5"/>
  <c r="CI28" i="5"/>
  <c r="CI21" i="5"/>
  <c r="CI15" i="5"/>
  <c r="CI114" i="5"/>
  <c r="CI95" i="5"/>
  <c r="CI92" i="5"/>
  <c r="CI86" i="5"/>
  <c r="CI80" i="5"/>
  <c r="CI55" i="5"/>
  <c r="CI48" i="5"/>
  <c r="CI35" i="5"/>
  <c r="CI29" i="5"/>
  <c r="CI23" i="5"/>
  <c r="CI16" i="5"/>
  <c r="CU137" i="5"/>
  <c r="CU133" i="5"/>
  <c r="CU135" i="5"/>
  <c r="CU129" i="5"/>
  <c r="CU125" i="5"/>
  <c r="CU136" i="5"/>
  <c r="CU130" i="5"/>
  <c r="CU131" i="5"/>
  <c r="CU123" i="5"/>
  <c r="CU119" i="5"/>
  <c r="CU134" i="5"/>
  <c r="CU126" i="5"/>
  <c r="CU124" i="5"/>
  <c r="CU138" i="5"/>
  <c r="CU127" i="5"/>
  <c r="CU120" i="5"/>
  <c r="CU122" i="5"/>
  <c r="CU121" i="5"/>
  <c r="CU115" i="5"/>
  <c r="CU111" i="5"/>
  <c r="CU117" i="5"/>
  <c r="CU112" i="5"/>
  <c r="CU108" i="5"/>
  <c r="CU104" i="5"/>
  <c r="CU101" i="5"/>
  <c r="CU97" i="5"/>
  <c r="CU93" i="5"/>
  <c r="CU113" i="5"/>
  <c r="CU109" i="5"/>
  <c r="CU105" i="5"/>
  <c r="CU102" i="5"/>
  <c r="CU103" i="5"/>
  <c r="CU100" i="5"/>
  <c r="CU95" i="5"/>
  <c r="CU89" i="5"/>
  <c r="CU88" i="5"/>
  <c r="CU84" i="5"/>
  <c r="CU79" i="5"/>
  <c r="CU75" i="5"/>
  <c r="CU70" i="5"/>
  <c r="CU67" i="5"/>
  <c r="CU65" i="5"/>
  <c r="CU56" i="5"/>
  <c r="CU51" i="5"/>
  <c r="CU47" i="5"/>
  <c r="CU110" i="5"/>
  <c r="CU92" i="5"/>
  <c r="CU83" i="5"/>
  <c r="CU77" i="5"/>
  <c r="CU76" i="5"/>
  <c r="CU69" i="5"/>
  <c r="CU61" i="5"/>
  <c r="CU59" i="5"/>
  <c r="CU58" i="5"/>
  <c r="CU54" i="5"/>
  <c r="CU50" i="5"/>
  <c r="CU45" i="5"/>
  <c r="CU41" i="5"/>
  <c r="CU36" i="5"/>
  <c r="CU31" i="5"/>
  <c r="CU27" i="5"/>
  <c r="CU22" i="5"/>
  <c r="CU17" i="5"/>
  <c r="CU13" i="5"/>
  <c r="CU98" i="5"/>
  <c r="CU85" i="5"/>
  <c r="CU78" i="5"/>
  <c r="CU72" i="5"/>
  <c r="CU62" i="5"/>
  <c r="CU60" i="5"/>
  <c r="CU46" i="5"/>
  <c r="CU42" i="5"/>
  <c r="CU107" i="5"/>
  <c r="CU90" i="5"/>
  <c r="CU73" i="5"/>
  <c r="CU64" i="5"/>
  <c r="CU43" i="5"/>
  <c r="CU38" i="5"/>
  <c r="CU32" i="5"/>
  <c r="CU26" i="5"/>
  <c r="CU20" i="5"/>
  <c r="CU14" i="5"/>
  <c r="CU114" i="5"/>
  <c r="CU106" i="5"/>
  <c r="CU94" i="5"/>
  <c r="CU87" i="5"/>
  <c r="CU81" i="5"/>
  <c r="CU66" i="5"/>
  <c r="CU53" i="5"/>
  <c r="CU49" i="5"/>
  <c r="CU44" i="5"/>
  <c r="CU39" i="5"/>
  <c r="CU33" i="5"/>
  <c r="CU28" i="5"/>
  <c r="CU21" i="5"/>
  <c r="CU15" i="5"/>
  <c r="CU118" i="5"/>
  <c r="CU96" i="5"/>
  <c r="CU86" i="5"/>
  <c r="CU80" i="5"/>
  <c r="CU55" i="5"/>
  <c r="CU48" i="5"/>
  <c r="CU35" i="5"/>
  <c r="CU29" i="5"/>
  <c r="CU23" i="5"/>
  <c r="CU16" i="5"/>
  <c r="CU128" i="5"/>
  <c r="CU99" i="5"/>
  <c r="CU74" i="5"/>
  <c r="CU68" i="5"/>
  <c r="CU57" i="5"/>
  <c r="CU37" i="5"/>
  <c r="CU30" i="5"/>
  <c r="CU25" i="5"/>
  <c r="CU19" i="5"/>
  <c r="CY137" i="5"/>
  <c r="CY133" i="5"/>
  <c r="CY134" i="5"/>
  <c r="CY129" i="5"/>
  <c r="CY125" i="5"/>
  <c r="CY135" i="5"/>
  <c r="CY136" i="5"/>
  <c r="CY130" i="5"/>
  <c r="CY128" i="5"/>
  <c r="CY123" i="5"/>
  <c r="CY119" i="5"/>
  <c r="CY138" i="5"/>
  <c r="CY124" i="5"/>
  <c r="CY126" i="5"/>
  <c r="CY118" i="5"/>
  <c r="CY131" i="5"/>
  <c r="CY120" i="5"/>
  <c r="CY115" i="5"/>
  <c r="CY111" i="5"/>
  <c r="CY121" i="5"/>
  <c r="CY110" i="5"/>
  <c r="CY108" i="5"/>
  <c r="CY104" i="5"/>
  <c r="CY101" i="5"/>
  <c r="CY97" i="5"/>
  <c r="CY93" i="5"/>
  <c r="CY88" i="5"/>
  <c r="CY122" i="5"/>
  <c r="CY112" i="5"/>
  <c r="CY109" i="5"/>
  <c r="CY105" i="5"/>
  <c r="CY102" i="5"/>
  <c r="CY106" i="5"/>
  <c r="CY99" i="5"/>
  <c r="CY94" i="5"/>
  <c r="CY84" i="5"/>
  <c r="CY79" i="5"/>
  <c r="CY75" i="5"/>
  <c r="CY70" i="5"/>
  <c r="CY67" i="5"/>
  <c r="CY65" i="5"/>
  <c r="CY56" i="5"/>
  <c r="CY51" i="5"/>
  <c r="CY47" i="5"/>
  <c r="CY117" i="5"/>
  <c r="CY107" i="5"/>
  <c r="CY96" i="5"/>
  <c r="CY90" i="5"/>
  <c r="CY87" i="5"/>
  <c r="CY81" i="5"/>
  <c r="CY74" i="5"/>
  <c r="CY68" i="5"/>
  <c r="CY66" i="5"/>
  <c r="CY57" i="5"/>
  <c r="CY53" i="5"/>
  <c r="CY49" i="5"/>
  <c r="CY44" i="5"/>
  <c r="CY41" i="5"/>
  <c r="CY36" i="5"/>
  <c r="CY31" i="5"/>
  <c r="CY27" i="5"/>
  <c r="CY22" i="5"/>
  <c r="CY17" i="5"/>
  <c r="CY13" i="5"/>
  <c r="CY83" i="5"/>
  <c r="CY77" i="5"/>
  <c r="CY76" i="5"/>
  <c r="CY69" i="5"/>
  <c r="CY61" i="5"/>
  <c r="CY59" i="5"/>
  <c r="CY58" i="5"/>
  <c r="CY54" i="5"/>
  <c r="CY50" i="5"/>
  <c r="CY45" i="5"/>
  <c r="CY42" i="5"/>
  <c r="CY127" i="5"/>
  <c r="CY114" i="5"/>
  <c r="CY100" i="5"/>
  <c r="CY89" i="5"/>
  <c r="CY78" i="5"/>
  <c r="CY72" i="5"/>
  <c r="CY62" i="5"/>
  <c r="CY46" i="5"/>
  <c r="CY37" i="5"/>
  <c r="CY30" i="5"/>
  <c r="CY25" i="5"/>
  <c r="CY19" i="5"/>
  <c r="CY86" i="5"/>
  <c r="CY80" i="5"/>
  <c r="CY55" i="5"/>
  <c r="CY48" i="5"/>
  <c r="CY38" i="5"/>
  <c r="CY32" i="5"/>
  <c r="CY26" i="5"/>
  <c r="CY20" i="5"/>
  <c r="CY14" i="5"/>
  <c r="CY103" i="5"/>
  <c r="CY95" i="5"/>
  <c r="CY92" i="5"/>
  <c r="CY85" i="5"/>
  <c r="CY60" i="5"/>
  <c r="CY43" i="5"/>
  <c r="CY39" i="5"/>
  <c r="CY33" i="5"/>
  <c r="CY28" i="5"/>
  <c r="CY21" i="5"/>
  <c r="CY15" i="5"/>
  <c r="CY113" i="5"/>
  <c r="CY98" i="5"/>
  <c r="CY73" i="5"/>
  <c r="CY64" i="5"/>
  <c r="CY35" i="5"/>
  <c r="CY29" i="5"/>
  <c r="CY23" i="5"/>
  <c r="CY16" i="5"/>
  <c r="BT138" i="5"/>
  <c r="BT134" i="5"/>
  <c r="BT135" i="5"/>
  <c r="BT130" i="5"/>
  <c r="BT126" i="5"/>
  <c r="BT136" i="5"/>
  <c r="BT124" i="5"/>
  <c r="BT120" i="5"/>
  <c r="BT133" i="5"/>
  <c r="BT125" i="5"/>
  <c r="BT119" i="5"/>
  <c r="BT129" i="5"/>
  <c r="BT128" i="5"/>
  <c r="BT121" i="5"/>
  <c r="BT112" i="5"/>
  <c r="BT131" i="5"/>
  <c r="BT127" i="5"/>
  <c r="BT122" i="5"/>
  <c r="BT117" i="5"/>
  <c r="BT111" i="5"/>
  <c r="BT109" i="5"/>
  <c r="BT105" i="5"/>
  <c r="BT102" i="5"/>
  <c r="BT98" i="5"/>
  <c r="BT94" i="5"/>
  <c r="BT89" i="5"/>
  <c r="BT123" i="5"/>
  <c r="BT118" i="5"/>
  <c r="BT113" i="5"/>
  <c r="BT106" i="5"/>
  <c r="BT103" i="5"/>
  <c r="BT114" i="5"/>
  <c r="BT107" i="5"/>
  <c r="BT100" i="5"/>
  <c r="BT95" i="5"/>
  <c r="BT85" i="5"/>
  <c r="BT80" i="5"/>
  <c r="BT76" i="5"/>
  <c r="BT72" i="5"/>
  <c r="BT66" i="5"/>
  <c r="BT57" i="5"/>
  <c r="BT53" i="5"/>
  <c r="BT48" i="5"/>
  <c r="BT44" i="5"/>
  <c r="BT110" i="5"/>
  <c r="BT104" i="5"/>
  <c r="BT88" i="5"/>
  <c r="BT83" i="5"/>
  <c r="BT75" i="5"/>
  <c r="BT69" i="5"/>
  <c r="BT58" i="5"/>
  <c r="BT54" i="5"/>
  <c r="BT50" i="5"/>
  <c r="BT45" i="5"/>
  <c r="BT42" i="5"/>
  <c r="BT37" i="5"/>
  <c r="BT32" i="5"/>
  <c r="BT28" i="5"/>
  <c r="BT23" i="5"/>
  <c r="BT19" i="5"/>
  <c r="BT14" i="5"/>
  <c r="BT137" i="5"/>
  <c r="BT101" i="5"/>
  <c r="BT96" i="5"/>
  <c r="BT93" i="5"/>
  <c r="BT90" i="5"/>
  <c r="BT84" i="5"/>
  <c r="BT78" i="5"/>
  <c r="BT77" i="5"/>
  <c r="BT70" i="5"/>
  <c r="BT62" i="5"/>
  <c r="BT60" i="5"/>
  <c r="BT55" i="5"/>
  <c r="BT51" i="5"/>
  <c r="BT46" i="5"/>
  <c r="BT43" i="5"/>
  <c r="BT108" i="5"/>
  <c r="BT86" i="5"/>
  <c r="BT61" i="5"/>
  <c r="BT38" i="5"/>
  <c r="BT31" i="5"/>
  <c r="BT26" i="5"/>
  <c r="BT20" i="5"/>
  <c r="BT13" i="5"/>
  <c r="BT97" i="5"/>
  <c r="BT74" i="5"/>
  <c r="BT68" i="5"/>
  <c r="BT65" i="5"/>
  <c r="BT39" i="5"/>
  <c r="BT33" i="5"/>
  <c r="BT27" i="5"/>
  <c r="BT21" i="5"/>
  <c r="BT15" i="5"/>
  <c r="BT115" i="5"/>
  <c r="BT99" i="5"/>
  <c r="BT79" i="5"/>
  <c r="BT73" i="5"/>
  <c r="BT64" i="5"/>
  <c r="BT47" i="5"/>
  <c r="BT41" i="5"/>
  <c r="BT35" i="5"/>
  <c r="BT29" i="5"/>
  <c r="BT22" i="5"/>
  <c r="BT16" i="5"/>
  <c r="BT92" i="5"/>
  <c r="BT87" i="5"/>
  <c r="BT81" i="5"/>
  <c r="BT56" i="5"/>
  <c r="BT49" i="5"/>
  <c r="BT36" i="5"/>
  <c r="BT30" i="5"/>
  <c r="BT25" i="5"/>
  <c r="BT17" i="5"/>
  <c r="CB138" i="5"/>
  <c r="CB134" i="5"/>
  <c r="CB137" i="5"/>
  <c r="CB131" i="5"/>
  <c r="CB130" i="5"/>
  <c r="CB126" i="5"/>
  <c r="CB133" i="5"/>
  <c r="CB127" i="5"/>
  <c r="CB124" i="5"/>
  <c r="CB120" i="5"/>
  <c r="CB136" i="5"/>
  <c r="CB128" i="5"/>
  <c r="CB118" i="5"/>
  <c r="CB112" i="5"/>
  <c r="CB119" i="5"/>
  <c r="CB117" i="5"/>
  <c r="CB114" i="5"/>
  <c r="CB109" i="5"/>
  <c r="CB105" i="5"/>
  <c r="CB102" i="5"/>
  <c r="CB98" i="5"/>
  <c r="CB94" i="5"/>
  <c r="CB89" i="5"/>
  <c r="CB125" i="5"/>
  <c r="CB121" i="5"/>
  <c r="CB115" i="5"/>
  <c r="CB110" i="5"/>
  <c r="CB106" i="5"/>
  <c r="CB103" i="5"/>
  <c r="CB122" i="5"/>
  <c r="CB107" i="5"/>
  <c r="CB97" i="5"/>
  <c r="CB92" i="5"/>
  <c r="CB85" i="5"/>
  <c r="CB80" i="5"/>
  <c r="CB76" i="5"/>
  <c r="CB72" i="5"/>
  <c r="CB66" i="5"/>
  <c r="CB61" i="5"/>
  <c r="CB60" i="5"/>
  <c r="CB57" i="5"/>
  <c r="CB54" i="5"/>
  <c r="CB48" i="5"/>
  <c r="CB44" i="5"/>
  <c r="CB135" i="5"/>
  <c r="CB111" i="5"/>
  <c r="CB93" i="5"/>
  <c r="CB86" i="5"/>
  <c r="CB79" i="5"/>
  <c r="CB73" i="5"/>
  <c r="CB67" i="5"/>
  <c r="CB64" i="5"/>
  <c r="CB55" i="5"/>
  <c r="CB47" i="5"/>
  <c r="CB42" i="5"/>
  <c r="CB37" i="5"/>
  <c r="CB32" i="5"/>
  <c r="CB28" i="5"/>
  <c r="CB23" i="5"/>
  <c r="CB19" i="5"/>
  <c r="CB14" i="5"/>
  <c r="CB101" i="5"/>
  <c r="CB99" i="5"/>
  <c r="CB96" i="5"/>
  <c r="CB90" i="5"/>
  <c r="CB87" i="5"/>
  <c r="CB81" i="5"/>
  <c r="CB74" i="5"/>
  <c r="CB68" i="5"/>
  <c r="CB65" i="5"/>
  <c r="CB56" i="5"/>
  <c r="CB53" i="5"/>
  <c r="CB49" i="5"/>
  <c r="CB43" i="5"/>
  <c r="CB75" i="5"/>
  <c r="CB69" i="5"/>
  <c r="CB59" i="5"/>
  <c r="CB58" i="5"/>
  <c r="CB41" i="5"/>
  <c r="CB35" i="5"/>
  <c r="CB29" i="5"/>
  <c r="CB22" i="5"/>
  <c r="CB16" i="5"/>
  <c r="CB123" i="5"/>
  <c r="CB95" i="5"/>
  <c r="CB84" i="5"/>
  <c r="CB78" i="5"/>
  <c r="CB62" i="5"/>
  <c r="CB51" i="5"/>
  <c r="CB46" i="5"/>
  <c r="CB36" i="5"/>
  <c r="CB30" i="5"/>
  <c r="CB25" i="5"/>
  <c r="CB17" i="5"/>
  <c r="CB129" i="5"/>
  <c r="CB113" i="5"/>
  <c r="CB104" i="5"/>
  <c r="CB88" i="5"/>
  <c r="CB83" i="5"/>
  <c r="CB77" i="5"/>
  <c r="CB50" i="5"/>
  <c r="CB45" i="5"/>
  <c r="CB38" i="5"/>
  <c r="CB31" i="5"/>
  <c r="CB26" i="5"/>
  <c r="CB20" i="5"/>
  <c r="CB13" i="5"/>
  <c r="CB108" i="5"/>
  <c r="CB100" i="5"/>
  <c r="CB70" i="5"/>
  <c r="CB39" i="5"/>
  <c r="CB33" i="5"/>
  <c r="CB27" i="5"/>
  <c r="CB21" i="5"/>
  <c r="CB15" i="5"/>
  <c r="CF138" i="5"/>
  <c r="CF134" i="5"/>
  <c r="CF136" i="5"/>
  <c r="CF130" i="5"/>
  <c r="CF126" i="5"/>
  <c r="CF137" i="5"/>
  <c r="CF131" i="5"/>
  <c r="CF133" i="5"/>
  <c r="CF125" i="5"/>
  <c r="CF124" i="5"/>
  <c r="CF120" i="5"/>
  <c r="CF135" i="5"/>
  <c r="CF129" i="5"/>
  <c r="CF127" i="5"/>
  <c r="CF128" i="5"/>
  <c r="CF122" i="5"/>
  <c r="CF121" i="5"/>
  <c r="CF123" i="5"/>
  <c r="CF117" i="5"/>
  <c r="CF112" i="5"/>
  <c r="CF118" i="5"/>
  <c r="CF113" i="5"/>
  <c r="CF109" i="5"/>
  <c r="CF105" i="5"/>
  <c r="CF102" i="5"/>
  <c r="CF98" i="5"/>
  <c r="CF94" i="5"/>
  <c r="CF89" i="5"/>
  <c r="CF114" i="5"/>
  <c r="CF106" i="5"/>
  <c r="CF103" i="5"/>
  <c r="CF101" i="5"/>
  <c r="CF96" i="5"/>
  <c r="CF90" i="5"/>
  <c r="CF85" i="5"/>
  <c r="CF80" i="5"/>
  <c r="CF76" i="5"/>
  <c r="CF72" i="5"/>
  <c r="CF66" i="5"/>
  <c r="CF61" i="5"/>
  <c r="CF60" i="5"/>
  <c r="CF57" i="5"/>
  <c r="CF54" i="5"/>
  <c r="CF48" i="5"/>
  <c r="CF44" i="5"/>
  <c r="CF110" i="5"/>
  <c r="CF104" i="5"/>
  <c r="CF97" i="5"/>
  <c r="CF92" i="5"/>
  <c r="CF84" i="5"/>
  <c r="CF78" i="5"/>
  <c r="CF70" i="5"/>
  <c r="CF62" i="5"/>
  <c r="CF51" i="5"/>
  <c r="CF46" i="5"/>
  <c r="CF42" i="5"/>
  <c r="CF37" i="5"/>
  <c r="CF32" i="5"/>
  <c r="CF28" i="5"/>
  <c r="CF23" i="5"/>
  <c r="CF19" i="5"/>
  <c r="CF14" i="5"/>
  <c r="CF119" i="5"/>
  <c r="CF100" i="5"/>
  <c r="CF95" i="5"/>
  <c r="CF86" i="5"/>
  <c r="CF79" i="5"/>
  <c r="CF73" i="5"/>
  <c r="CF67" i="5"/>
  <c r="CF64" i="5"/>
  <c r="CF55" i="5"/>
  <c r="CF47" i="5"/>
  <c r="CF43" i="5"/>
  <c r="CF115" i="5"/>
  <c r="CF74" i="5"/>
  <c r="CF68" i="5"/>
  <c r="CF65" i="5"/>
  <c r="CF39" i="5"/>
  <c r="CF33" i="5"/>
  <c r="CF27" i="5"/>
  <c r="CF21" i="5"/>
  <c r="CF15" i="5"/>
  <c r="CF88" i="5"/>
  <c r="CF83" i="5"/>
  <c r="CF77" i="5"/>
  <c r="CF50" i="5"/>
  <c r="CF45" i="5"/>
  <c r="CF41" i="5"/>
  <c r="CF35" i="5"/>
  <c r="CF29" i="5"/>
  <c r="CF22" i="5"/>
  <c r="CF16" i="5"/>
  <c r="CF108" i="5"/>
  <c r="CF93" i="5"/>
  <c r="CF87" i="5"/>
  <c r="CF81" i="5"/>
  <c r="CF56" i="5"/>
  <c r="CF53" i="5"/>
  <c r="CF49" i="5"/>
  <c r="CF36" i="5"/>
  <c r="CF30" i="5"/>
  <c r="CF25" i="5"/>
  <c r="CF17" i="5"/>
  <c r="CF111" i="5"/>
  <c r="CF107" i="5"/>
  <c r="CF99" i="5"/>
  <c r="CF75" i="5"/>
  <c r="CF69" i="5"/>
  <c r="CF59" i="5"/>
  <c r="CF58" i="5"/>
  <c r="CF38" i="5"/>
  <c r="CF31" i="5"/>
  <c r="CF26" i="5"/>
  <c r="CF20" i="5"/>
  <c r="CF13" i="5"/>
  <c r="CN138" i="5"/>
  <c r="CN134" i="5"/>
  <c r="CN133" i="5"/>
  <c r="CN130" i="5"/>
  <c r="CN126" i="5"/>
  <c r="CN135" i="5"/>
  <c r="CN136" i="5"/>
  <c r="CN128" i="5"/>
  <c r="CN124" i="5"/>
  <c r="CN120" i="5"/>
  <c r="CN129" i="5"/>
  <c r="CN122" i="5"/>
  <c r="CN118" i="5"/>
  <c r="CN123" i="5"/>
  <c r="CN119" i="5"/>
  <c r="CN112" i="5"/>
  <c r="CN121" i="5"/>
  <c r="CN115" i="5"/>
  <c r="CN110" i="5"/>
  <c r="CN109" i="5"/>
  <c r="CN105" i="5"/>
  <c r="CN102" i="5"/>
  <c r="CN98" i="5"/>
  <c r="CN94" i="5"/>
  <c r="CN89" i="5"/>
  <c r="CN137" i="5"/>
  <c r="CN127" i="5"/>
  <c r="CN111" i="5"/>
  <c r="CN106" i="5"/>
  <c r="CN103" i="5"/>
  <c r="CN99" i="5"/>
  <c r="CN93" i="5"/>
  <c r="CN85" i="5"/>
  <c r="CN80" i="5"/>
  <c r="CN76" i="5"/>
  <c r="CN72" i="5"/>
  <c r="CN66" i="5"/>
  <c r="CN61" i="5"/>
  <c r="CN60" i="5"/>
  <c r="CN57" i="5"/>
  <c r="CN54" i="5"/>
  <c r="CN48" i="5"/>
  <c r="CN44" i="5"/>
  <c r="CN107" i="5"/>
  <c r="CN100" i="5"/>
  <c r="CN97" i="5"/>
  <c r="CN95" i="5"/>
  <c r="CN92" i="5"/>
  <c r="CN87" i="5"/>
  <c r="CN81" i="5"/>
  <c r="CN74" i="5"/>
  <c r="CN68" i="5"/>
  <c r="CN65" i="5"/>
  <c r="CN56" i="5"/>
  <c r="CN53" i="5"/>
  <c r="CN49" i="5"/>
  <c r="CN42" i="5"/>
  <c r="CN37" i="5"/>
  <c r="CN32" i="5"/>
  <c r="CN28" i="5"/>
  <c r="CN23" i="5"/>
  <c r="CN19" i="5"/>
  <c r="CN14" i="5"/>
  <c r="CN131" i="5"/>
  <c r="CN125" i="5"/>
  <c r="CN117" i="5"/>
  <c r="CN114" i="5"/>
  <c r="CN104" i="5"/>
  <c r="CN88" i="5"/>
  <c r="CN83" i="5"/>
  <c r="CN77" i="5"/>
  <c r="CN75" i="5"/>
  <c r="CN69" i="5"/>
  <c r="CN59" i="5"/>
  <c r="CN58" i="5"/>
  <c r="CN50" i="5"/>
  <c r="CN45" i="5"/>
  <c r="CN43" i="5"/>
  <c r="CN113" i="5"/>
  <c r="CN96" i="5"/>
  <c r="CN84" i="5"/>
  <c r="CN78" i="5"/>
  <c r="CN62" i="5"/>
  <c r="CN51" i="5"/>
  <c r="CN46" i="5"/>
  <c r="CN36" i="5"/>
  <c r="CN30" i="5"/>
  <c r="CN25" i="5"/>
  <c r="CN17" i="5"/>
  <c r="CN108" i="5"/>
  <c r="CN86" i="5"/>
  <c r="CN55" i="5"/>
  <c r="CN38" i="5"/>
  <c r="CN31" i="5"/>
  <c r="CN26" i="5"/>
  <c r="CN20" i="5"/>
  <c r="CN13" i="5"/>
  <c r="CN101" i="5"/>
  <c r="CN90" i="5"/>
  <c r="CN70" i="5"/>
  <c r="CN39" i="5"/>
  <c r="CN33" i="5"/>
  <c r="CN27" i="5"/>
  <c r="CN21" i="5"/>
  <c r="CN15" i="5"/>
  <c r="CN79" i="5"/>
  <c r="CN73" i="5"/>
  <c r="CN67" i="5"/>
  <c r="CN64" i="5"/>
  <c r="CN47" i="5"/>
  <c r="CN41" i="5"/>
  <c r="CN35" i="5"/>
  <c r="CN29" i="5"/>
  <c r="CN22" i="5"/>
  <c r="CN16" i="5"/>
  <c r="CV138" i="5"/>
  <c r="CV134" i="5"/>
  <c r="CV136" i="5"/>
  <c r="CV130" i="5"/>
  <c r="CV126" i="5"/>
  <c r="CV137" i="5"/>
  <c r="CV131" i="5"/>
  <c r="CV125" i="5"/>
  <c r="CV124" i="5"/>
  <c r="CV120" i="5"/>
  <c r="CV129" i="5"/>
  <c r="CV127" i="5"/>
  <c r="CV133" i="5"/>
  <c r="CV122" i="5"/>
  <c r="CV121" i="5"/>
  <c r="CV123" i="5"/>
  <c r="CV117" i="5"/>
  <c r="CV112" i="5"/>
  <c r="CV113" i="5"/>
  <c r="CV109" i="5"/>
  <c r="CV105" i="5"/>
  <c r="CV102" i="5"/>
  <c r="CV98" i="5"/>
  <c r="CV94" i="5"/>
  <c r="CV89" i="5"/>
  <c r="CV135" i="5"/>
  <c r="CV119" i="5"/>
  <c r="CV114" i="5"/>
  <c r="CV106" i="5"/>
  <c r="CV103" i="5"/>
  <c r="CV128" i="5"/>
  <c r="CV115" i="5"/>
  <c r="CV110" i="5"/>
  <c r="CV101" i="5"/>
  <c r="CV96" i="5"/>
  <c r="CV90" i="5"/>
  <c r="CV85" i="5"/>
  <c r="CV80" i="5"/>
  <c r="CV76" i="5"/>
  <c r="CV72" i="5"/>
  <c r="CV66" i="5"/>
  <c r="CV61" i="5"/>
  <c r="CV60" i="5"/>
  <c r="CV57" i="5"/>
  <c r="CV54" i="5"/>
  <c r="CV48" i="5"/>
  <c r="CV44" i="5"/>
  <c r="CV108" i="5"/>
  <c r="CV100" i="5"/>
  <c r="CV95" i="5"/>
  <c r="CV84" i="5"/>
  <c r="CV78" i="5"/>
  <c r="CV70" i="5"/>
  <c r="CV62" i="5"/>
  <c r="CV51" i="5"/>
  <c r="CV46" i="5"/>
  <c r="CV42" i="5"/>
  <c r="CV37" i="5"/>
  <c r="CV32" i="5"/>
  <c r="CV28" i="5"/>
  <c r="CV23" i="5"/>
  <c r="CV19" i="5"/>
  <c r="CV14" i="5"/>
  <c r="CV118" i="5"/>
  <c r="CV107" i="5"/>
  <c r="CV93" i="5"/>
  <c r="CV86" i="5"/>
  <c r="CV79" i="5"/>
  <c r="CV73" i="5"/>
  <c r="CV67" i="5"/>
  <c r="CV64" i="5"/>
  <c r="CV55" i="5"/>
  <c r="CV47" i="5"/>
  <c r="CV43" i="5"/>
  <c r="CV87" i="5"/>
  <c r="CV81" i="5"/>
  <c r="CV56" i="5"/>
  <c r="CV53" i="5"/>
  <c r="CV49" i="5"/>
  <c r="CV39" i="5"/>
  <c r="CV33" i="5"/>
  <c r="CV27" i="5"/>
  <c r="CV21" i="5"/>
  <c r="CV15" i="5"/>
  <c r="CV111" i="5"/>
  <c r="CV97" i="5"/>
  <c r="CV75" i="5"/>
  <c r="CV69" i="5"/>
  <c r="CV59" i="5"/>
  <c r="CV58" i="5"/>
  <c r="CV41" i="5"/>
  <c r="CV35" i="5"/>
  <c r="CV29" i="5"/>
  <c r="CV22" i="5"/>
  <c r="CV16" i="5"/>
  <c r="CV104" i="5"/>
  <c r="CV99" i="5"/>
  <c r="CV74" i="5"/>
  <c r="CV68" i="5"/>
  <c r="CV65" i="5"/>
  <c r="CV36" i="5"/>
  <c r="CV30" i="5"/>
  <c r="CV25" i="5"/>
  <c r="CV17" i="5"/>
  <c r="CV92" i="5"/>
  <c r="CV88" i="5"/>
  <c r="CV83" i="5"/>
  <c r="CV77" i="5"/>
  <c r="CV50" i="5"/>
  <c r="CV45" i="5"/>
  <c r="CV38" i="5"/>
  <c r="CV31" i="5"/>
  <c r="CV26" i="5"/>
  <c r="CV20" i="5"/>
  <c r="CV13" i="5"/>
  <c r="DD138" i="5"/>
  <c r="DD134" i="5"/>
  <c r="DD133" i="5"/>
  <c r="DD126" i="5"/>
  <c r="DD135" i="5"/>
  <c r="DD128" i="5"/>
  <c r="DD120" i="5"/>
  <c r="DD137" i="5"/>
  <c r="DD131" i="5"/>
  <c r="DD129" i="5"/>
  <c r="DD124" i="5"/>
  <c r="DD121" i="5"/>
  <c r="DD136" i="5"/>
  <c r="DD130" i="5"/>
  <c r="DD125" i="5"/>
  <c r="DD122" i="5"/>
  <c r="DD118" i="5"/>
  <c r="DD127" i="5"/>
  <c r="DD123" i="5"/>
  <c r="DD119" i="5"/>
  <c r="DD112" i="5"/>
  <c r="DD115" i="5"/>
  <c r="DD110" i="5"/>
  <c r="DD109" i="5"/>
  <c r="DD105" i="5"/>
  <c r="DD102" i="5"/>
  <c r="DD98" i="5"/>
  <c r="DD94" i="5"/>
  <c r="DD89" i="5"/>
  <c r="DD117" i="5"/>
  <c r="DD111" i="5"/>
  <c r="DD106" i="5"/>
  <c r="DD103" i="5"/>
  <c r="DD113" i="5"/>
  <c r="DD99" i="5"/>
  <c r="DD93" i="5"/>
  <c r="DD85" i="5"/>
  <c r="DD80" i="5"/>
  <c r="DD76" i="5"/>
  <c r="DD72" i="5"/>
  <c r="DD66" i="5"/>
  <c r="DD61" i="5"/>
  <c r="DD60" i="5"/>
  <c r="DD57" i="5"/>
  <c r="DD54" i="5"/>
  <c r="DD48" i="5"/>
  <c r="DD44" i="5"/>
  <c r="DD87" i="5"/>
  <c r="DD81" i="5"/>
  <c r="DD74" i="5"/>
  <c r="DD68" i="5"/>
  <c r="DD65" i="5"/>
  <c r="DD56" i="5"/>
  <c r="DD53" i="5"/>
  <c r="DD49" i="5"/>
  <c r="DD42" i="5"/>
  <c r="DD37" i="5"/>
  <c r="DD32" i="5"/>
  <c r="DD28" i="5"/>
  <c r="DD23" i="5"/>
  <c r="DD19" i="5"/>
  <c r="DD14" i="5"/>
  <c r="DD114" i="5"/>
  <c r="DD108" i="5"/>
  <c r="DD101" i="5"/>
  <c r="DD96" i="5"/>
  <c r="DD90" i="5"/>
  <c r="DD83" i="5"/>
  <c r="DD77" i="5"/>
  <c r="DD75" i="5"/>
  <c r="DD69" i="5"/>
  <c r="DD59" i="5"/>
  <c r="DD58" i="5"/>
  <c r="DD50" i="5"/>
  <c r="DD45" i="5"/>
  <c r="DD43" i="5"/>
  <c r="DD88" i="5"/>
  <c r="DD70" i="5"/>
  <c r="DD36" i="5"/>
  <c r="DD30" i="5"/>
  <c r="DD25" i="5"/>
  <c r="DD17" i="5"/>
  <c r="DD104" i="5"/>
  <c r="DD95" i="5"/>
  <c r="DD92" i="5"/>
  <c r="DD79" i="5"/>
  <c r="DD73" i="5"/>
  <c r="DD67" i="5"/>
  <c r="DD64" i="5"/>
  <c r="DD47" i="5"/>
  <c r="DD38" i="5"/>
  <c r="DD31" i="5"/>
  <c r="DD26" i="5"/>
  <c r="DD20" i="5"/>
  <c r="DD13" i="5"/>
  <c r="DD107" i="5"/>
  <c r="DD84" i="5"/>
  <c r="DD78" i="5"/>
  <c r="DD62" i="5"/>
  <c r="DD51" i="5"/>
  <c r="DD46" i="5"/>
  <c r="DD39" i="5"/>
  <c r="DD33" i="5"/>
  <c r="DD27" i="5"/>
  <c r="DD21" i="5"/>
  <c r="DD15" i="5"/>
  <c r="DD100" i="5"/>
  <c r="DD97" i="5"/>
  <c r="DD86" i="5"/>
  <c r="DD55" i="5"/>
  <c r="DD41" i="5"/>
  <c r="DD35" i="5"/>
  <c r="DD29" i="5"/>
  <c r="DD22" i="5"/>
  <c r="DD16" i="5"/>
  <c r="BN136" i="5"/>
  <c r="BN131" i="5"/>
  <c r="BN134" i="5"/>
  <c r="BN135" i="5"/>
  <c r="BN129" i="5"/>
  <c r="BN137" i="5"/>
  <c r="BN122" i="5"/>
  <c r="BN118" i="5"/>
  <c r="BN125" i="5"/>
  <c r="BN123" i="5"/>
  <c r="BN119" i="5"/>
  <c r="BN127" i="5"/>
  <c r="BN120" i="5"/>
  <c r="BN114" i="5"/>
  <c r="BN117" i="5"/>
  <c r="BN111" i="5"/>
  <c r="BN107" i="5"/>
  <c r="BN104" i="5"/>
  <c r="BN100" i="5"/>
  <c r="BN96" i="5"/>
  <c r="BN92" i="5"/>
  <c r="BN133" i="5"/>
  <c r="BN112" i="5"/>
  <c r="BN108" i="5"/>
  <c r="BN130" i="5"/>
  <c r="BN126" i="5"/>
  <c r="BN113" i="5"/>
  <c r="BN109" i="5"/>
  <c r="BN99" i="5"/>
  <c r="BN94" i="5"/>
  <c r="BN87" i="5"/>
  <c r="BN83" i="5"/>
  <c r="BN78" i="5"/>
  <c r="BN74" i="5"/>
  <c r="BN69" i="5"/>
  <c r="BN50" i="5"/>
  <c r="BN46" i="5"/>
  <c r="BN138" i="5"/>
  <c r="BN106" i="5"/>
  <c r="BN103" i="5"/>
  <c r="BN101" i="5"/>
  <c r="BN98" i="5"/>
  <c r="BN93" i="5"/>
  <c r="BN88" i="5"/>
  <c r="BN81" i="5"/>
  <c r="BN75" i="5"/>
  <c r="BN68" i="5"/>
  <c r="BN66" i="5"/>
  <c r="BN57" i="5"/>
  <c r="BN49" i="5"/>
  <c r="BN44" i="5"/>
  <c r="BN39" i="5"/>
  <c r="BN35" i="5"/>
  <c r="BN30" i="5"/>
  <c r="BN26" i="5"/>
  <c r="BN21" i="5"/>
  <c r="BN105" i="5"/>
  <c r="BN90" i="5"/>
  <c r="BN84" i="5"/>
  <c r="BN76" i="5"/>
  <c r="BN70" i="5"/>
  <c r="BN60" i="5"/>
  <c r="BN58" i="5"/>
  <c r="BN51" i="5"/>
  <c r="BN45" i="5"/>
  <c r="BN102" i="5"/>
  <c r="BN85" i="5"/>
  <c r="BN79" i="5"/>
  <c r="BN53" i="5"/>
  <c r="BN47" i="5"/>
  <c r="BN42" i="5"/>
  <c r="BN37" i="5"/>
  <c r="BN31" i="5"/>
  <c r="BN25" i="5"/>
  <c r="BN13" i="5"/>
  <c r="BN95" i="5"/>
  <c r="BN73" i="5"/>
  <c r="BN56" i="5"/>
  <c r="BN43" i="5"/>
  <c r="BN38" i="5"/>
  <c r="BN27" i="5"/>
  <c r="BN14" i="5"/>
  <c r="BN121" i="5"/>
  <c r="BN97" i="5"/>
  <c r="BN72" i="5"/>
  <c r="BN62" i="5"/>
  <c r="BN55" i="5"/>
  <c r="BN41" i="5"/>
  <c r="BN33" i="5"/>
  <c r="BN28" i="5"/>
  <c r="BN15" i="5"/>
  <c r="BN124" i="5"/>
  <c r="BN115" i="5"/>
  <c r="BN89" i="5"/>
  <c r="BN86" i="5"/>
  <c r="BN80" i="5"/>
  <c r="BN65" i="5"/>
  <c r="BN48" i="5"/>
  <c r="BN36" i="5"/>
  <c r="BN29" i="5"/>
  <c r="BN23" i="5"/>
  <c r="BR136" i="5"/>
  <c r="BR131" i="5"/>
  <c r="BR138" i="5"/>
  <c r="BR133" i="5"/>
  <c r="BR128" i="5"/>
  <c r="BR134" i="5"/>
  <c r="BR129" i="5"/>
  <c r="BR130" i="5"/>
  <c r="BR127" i="5"/>
  <c r="BR122" i="5"/>
  <c r="BR118" i="5"/>
  <c r="BR123" i="5"/>
  <c r="BR135" i="5"/>
  <c r="BR124" i="5"/>
  <c r="BR126" i="5"/>
  <c r="BR119" i="5"/>
  <c r="BR114" i="5"/>
  <c r="BR110" i="5"/>
  <c r="BR115" i="5"/>
  <c r="BR107" i="5"/>
  <c r="BR104" i="5"/>
  <c r="BR100" i="5"/>
  <c r="BR96" i="5"/>
  <c r="BR92" i="5"/>
  <c r="BR121" i="5"/>
  <c r="BR111" i="5"/>
  <c r="BR108" i="5"/>
  <c r="BR125" i="5"/>
  <c r="BR112" i="5"/>
  <c r="BR105" i="5"/>
  <c r="BR98" i="5"/>
  <c r="BR93" i="5"/>
  <c r="BR87" i="5"/>
  <c r="BR83" i="5"/>
  <c r="BR78" i="5"/>
  <c r="BR74" i="5"/>
  <c r="BR69" i="5"/>
  <c r="BR64" i="5"/>
  <c r="BR50" i="5"/>
  <c r="BR46" i="5"/>
  <c r="BR120" i="5"/>
  <c r="BR102" i="5"/>
  <c r="BR97" i="5"/>
  <c r="BR86" i="5"/>
  <c r="BR80" i="5"/>
  <c r="BR73" i="5"/>
  <c r="BR65" i="5"/>
  <c r="BR61" i="5"/>
  <c r="BR56" i="5"/>
  <c r="BR48" i="5"/>
  <c r="BR39" i="5"/>
  <c r="BR35" i="5"/>
  <c r="BR30" i="5"/>
  <c r="BR26" i="5"/>
  <c r="BR21" i="5"/>
  <c r="BR16" i="5"/>
  <c r="BR117" i="5"/>
  <c r="BR113" i="5"/>
  <c r="BR109" i="5"/>
  <c r="BR95" i="5"/>
  <c r="BR89" i="5"/>
  <c r="BR88" i="5"/>
  <c r="BR81" i="5"/>
  <c r="BR75" i="5"/>
  <c r="BR68" i="5"/>
  <c r="BR66" i="5"/>
  <c r="BR57" i="5"/>
  <c r="BR54" i="5"/>
  <c r="BR49" i="5"/>
  <c r="BR44" i="5"/>
  <c r="BR137" i="5"/>
  <c r="BR101" i="5"/>
  <c r="BR84" i="5"/>
  <c r="BR58" i="5"/>
  <c r="BR51" i="5"/>
  <c r="BR36" i="5"/>
  <c r="BR29" i="5"/>
  <c r="BR23" i="5"/>
  <c r="BR17" i="5"/>
  <c r="BR103" i="5"/>
  <c r="BR94" i="5"/>
  <c r="BR90" i="5"/>
  <c r="BR72" i="5"/>
  <c r="BR62" i="5"/>
  <c r="BR55" i="5"/>
  <c r="BR37" i="5"/>
  <c r="BR31" i="5"/>
  <c r="BR25" i="5"/>
  <c r="BR19" i="5"/>
  <c r="BR13" i="5"/>
  <c r="BR106" i="5"/>
  <c r="BR76" i="5"/>
  <c r="BR70" i="5"/>
  <c r="BR60" i="5"/>
  <c r="BR45" i="5"/>
  <c r="BR42" i="5"/>
  <c r="BR38" i="5"/>
  <c r="BR32" i="5"/>
  <c r="BR27" i="5"/>
  <c r="BR20" i="5"/>
  <c r="BR14" i="5"/>
  <c r="BR99" i="5"/>
  <c r="BR85" i="5"/>
  <c r="BR79" i="5"/>
  <c r="BR53" i="5"/>
  <c r="BR47" i="5"/>
  <c r="BR43" i="5"/>
  <c r="BR41" i="5"/>
  <c r="BR33" i="5"/>
  <c r="BR28" i="5"/>
  <c r="BR22" i="5"/>
  <c r="BR15" i="5"/>
  <c r="BV136" i="5"/>
  <c r="BV131" i="5"/>
  <c r="BV137" i="5"/>
  <c r="BV128" i="5"/>
  <c r="BV138" i="5"/>
  <c r="BV133" i="5"/>
  <c r="BV129" i="5"/>
  <c r="BV126" i="5"/>
  <c r="BV122" i="5"/>
  <c r="BV118" i="5"/>
  <c r="BV135" i="5"/>
  <c r="BV127" i="5"/>
  <c r="BV123" i="5"/>
  <c r="BV134" i="5"/>
  <c r="BV130" i="5"/>
  <c r="BV121" i="5"/>
  <c r="BV125" i="5"/>
  <c r="BV117" i="5"/>
  <c r="BV114" i="5"/>
  <c r="BV110" i="5"/>
  <c r="BV124" i="5"/>
  <c r="BV113" i="5"/>
  <c r="BV107" i="5"/>
  <c r="BV104" i="5"/>
  <c r="BV100" i="5"/>
  <c r="BV96" i="5"/>
  <c r="BV92" i="5"/>
  <c r="BV120" i="5"/>
  <c r="BV115" i="5"/>
  <c r="BV108" i="5"/>
  <c r="BV111" i="5"/>
  <c r="BV109" i="5"/>
  <c r="BV102" i="5"/>
  <c r="BV97" i="5"/>
  <c r="BV90" i="5"/>
  <c r="BV87" i="5"/>
  <c r="BV83" i="5"/>
  <c r="BV78" i="5"/>
  <c r="BV74" i="5"/>
  <c r="BV69" i="5"/>
  <c r="BV64" i="5"/>
  <c r="BV50" i="5"/>
  <c r="BV46" i="5"/>
  <c r="BV101" i="5"/>
  <c r="BV85" i="5"/>
  <c r="BV79" i="5"/>
  <c r="BV72" i="5"/>
  <c r="BV62" i="5"/>
  <c r="BV55" i="5"/>
  <c r="BV53" i="5"/>
  <c r="BV47" i="5"/>
  <c r="BV39" i="5"/>
  <c r="BV35" i="5"/>
  <c r="BV30" i="5"/>
  <c r="BV26" i="5"/>
  <c r="BV112" i="5"/>
  <c r="BV106" i="5"/>
  <c r="BV103" i="5"/>
  <c r="BV99" i="5"/>
  <c r="BV94" i="5"/>
  <c r="BV86" i="5"/>
  <c r="BV80" i="5"/>
  <c r="BV73" i="5"/>
  <c r="BV65" i="5"/>
  <c r="BV61" i="5"/>
  <c r="BV56" i="5"/>
  <c r="BV48" i="5"/>
  <c r="BV119" i="5"/>
  <c r="BV88" i="5"/>
  <c r="BV68" i="5"/>
  <c r="BV57" i="5"/>
  <c r="BV54" i="5"/>
  <c r="BV42" i="5"/>
  <c r="BV41" i="5"/>
  <c r="BV33" i="5"/>
  <c r="BV28" i="5"/>
  <c r="BV15" i="5"/>
  <c r="BV93" i="5"/>
  <c r="BV89" i="5"/>
  <c r="BV76" i="5"/>
  <c r="BV70" i="5"/>
  <c r="BV45" i="5"/>
  <c r="BV43" i="5"/>
  <c r="BV36" i="5"/>
  <c r="BV29" i="5"/>
  <c r="BV23" i="5"/>
  <c r="BV105" i="5"/>
  <c r="BV81" i="5"/>
  <c r="BV75" i="5"/>
  <c r="BV66" i="5"/>
  <c r="BV49" i="5"/>
  <c r="BV44" i="5"/>
  <c r="BV37" i="5"/>
  <c r="BV31" i="5"/>
  <c r="BV25" i="5"/>
  <c r="BV13" i="5"/>
  <c r="BV98" i="5"/>
  <c r="BV95" i="5"/>
  <c r="BV84" i="5"/>
  <c r="BV58" i="5"/>
  <c r="BV51" i="5"/>
  <c r="BV38" i="5"/>
  <c r="BV27" i="5"/>
  <c r="BV14" i="5"/>
  <c r="BZ136" i="5"/>
  <c r="BZ131" i="5"/>
  <c r="BZ135" i="5"/>
  <c r="BZ128" i="5"/>
  <c r="BZ137" i="5"/>
  <c r="BZ129" i="5"/>
  <c r="BZ130" i="5"/>
  <c r="BZ125" i="5"/>
  <c r="BZ122" i="5"/>
  <c r="BZ118" i="5"/>
  <c r="BZ134" i="5"/>
  <c r="BZ126" i="5"/>
  <c r="BZ123" i="5"/>
  <c r="BZ138" i="5"/>
  <c r="BZ133" i="5"/>
  <c r="BZ127" i="5"/>
  <c r="BZ124" i="5"/>
  <c r="BZ120" i="5"/>
  <c r="BZ121" i="5"/>
  <c r="BZ114" i="5"/>
  <c r="BZ110" i="5"/>
  <c r="BZ112" i="5"/>
  <c r="BZ107" i="5"/>
  <c r="BZ100" i="5"/>
  <c r="BZ96" i="5"/>
  <c r="BZ92" i="5"/>
  <c r="BZ119" i="5"/>
  <c r="BZ117" i="5"/>
  <c r="BZ113" i="5"/>
  <c r="BZ108" i="5"/>
  <c r="BZ104" i="5"/>
  <c r="BZ115" i="5"/>
  <c r="BZ105" i="5"/>
  <c r="BZ101" i="5"/>
  <c r="BZ95" i="5"/>
  <c r="BZ89" i="5"/>
  <c r="BZ87" i="5"/>
  <c r="BZ83" i="5"/>
  <c r="BZ78" i="5"/>
  <c r="BZ74" i="5"/>
  <c r="BZ69" i="5"/>
  <c r="BZ64" i="5"/>
  <c r="BZ55" i="5"/>
  <c r="BZ53" i="5"/>
  <c r="BZ50" i="5"/>
  <c r="BZ46" i="5"/>
  <c r="BZ103" i="5"/>
  <c r="BZ84" i="5"/>
  <c r="BZ77" i="5"/>
  <c r="BZ76" i="5"/>
  <c r="BZ70" i="5"/>
  <c r="BZ61" i="5"/>
  <c r="BZ58" i="5"/>
  <c r="BZ54" i="5"/>
  <c r="BZ51" i="5"/>
  <c r="BZ45" i="5"/>
  <c r="BZ39" i="5"/>
  <c r="BZ35" i="5"/>
  <c r="BZ30" i="5"/>
  <c r="BZ26" i="5"/>
  <c r="BZ21" i="5"/>
  <c r="BZ16" i="5"/>
  <c r="BZ111" i="5"/>
  <c r="BZ98" i="5"/>
  <c r="BZ93" i="5"/>
  <c r="BZ85" i="5"/>
  <c r="BZ79" i="5"/>
  <c r="BZ72" i="5"/>
  <c r="BZ62" i="5"/>
  <c r="BZ47" i="5"/>
  <c r="BZ73" i="5"/>
  <c r="BZ56" i="5"/>
  <c r="BZ38" i="5"/>
  <c r="BZ32" i="5"/>
  <c r="BZ27" i="5"/>
  <c r="BZ20" i="5"/>
  <c r="BZ14" i="5"/>
  <c r="BZ106" i="5"/>
  <c r="BZ102" i="5"/>
  <c r="BZ99" i="5"/>
  <c r="BZ81" i="5"/>
  <c r="BZ75" i="5"/>
  <c r="BZ66" i="5"/>
  <c r="BZ49" i="5"/>
  <c r="BZ44" i="5"/>
  <c r="BZ41" i="5"/>
  <c r="BZ33" i="5"/>
  <c r="BZ28" i="5"/>
  <c r="BZ22" i="5"/>
  <c r="BZ15" i="5"/>
  <c r="BZ109" i="5"/>
  <c r="BZ90" i="5"/>
  <c r="BZ86" i="5"/>
  <c r="BZ80" i="5"/>
  <c r="BZ65" i="5"/>
  <c r="BZ48" i="5"/>
  <c r="BZ42" i="5"/>
  <c r="BZ36" i="5"/>
  <c r="BZ29" i="5"/>
  <c r="BZ23" i="5"/>
  <c r="BZ17" i="5"/>
  <c r="BZ97" i="5"/>
  <c r="BZ94" i="5"/>
  <c r="BZ88" i="5"/>
  <c r="BZ68" i="5"/>
  <c r="BZ57" i="5"/>
  <c r="BZ43" i="5"/>
  <c r="BZ37" i="5"/>
  <c r="BZ31" i="5"/>
  <c r="BZ25" i="5"/>
  <c r="BZ19" i="5"/>
  <c r="BZ13" i="5"/>
  <c r="CD136" i="5"/>
  <c r="CD131" i="5"/>
  <c r="CD134" i="5"/>
  <c r="CD128" i="5"/>
  <c r="CD135" i="5"/>
  <c r="CD129" i="5"/>
  <c r="CD122" i="5"/>
  <c r="CD118" i="5"/>
  <c r="CD138" i="5"/>
  <c r="CD133" i="5"/>
  <c r="CD125" i="5"/>
  <c r="CD123" i="5"/>
  <c r="CD137" i="5"/>
  <c r="CD126" i="5"/>
  <c r="CD119" i="5"/>
  <c r="CD120" i="5"/>
  <c r="CD114" i="5"/>
  <c r="CD110" i="5"/>
  <c r="CD130" i="5"/>
  <c r="CD121" i="5"/>
  <c r="CD111" i="5"/>
  <c r="CD107" i="5"/>
  <c r="CD100" i="5"/>
  <c r="CD96" i="5"/>
  <c r="CD92" i="5"/>
  <c r="CD112" i="5"/>
  <c r="CD108" i="5"/>
  <c r="CD104" i="5"/>
  <c r="CD124" i="5"/>
  <c r="CD109" i="5"/>
  <c r="CD99" i="5"/>
  <c r="CD94" i="5"/>
  <c r="CD87" i="5"/>
  <c r="CD83" i="5"/>
  <c r="CD78" i="5"/>
  <c r="CD74" i="5"/>
  <c r="CD69" i="5"/>
  <c r="CD64" i="5"/>
  <c r="CD59" i="5"/>
  <c r="CD55" i="5"/>
  <c r="CD53" i="5"/>
  <c r="CD50" i="5"/>
  <c r="CD46" i="5"/>
  <c r="CD127" i="5"/>
  <c r="CD90" i="5"/>
  <c r="CD88" i="5"/>
  <c r="CD81" i="5"/>
  <c r="CD75" i="5"/>
  <c r="CD68" i="5"/>
  <c r="CD66" i="5"/>
  <c r="CD57" i="5"/>
  <c r="CD49" i="5"/>
  <c r="CD44" i="5"/>
  <c r="CD39" i="5"/>
  <c r="CD35" i="5"/>
  <c r="CD30" i="5"/>
  <c r="CD26" i="5"/>
  <c r="CD21" i="5"/>
  <c r="CD16" i="5"/>
  <c r="CD113" i="5"/>
  <c r="CD102" i="5"/>
  <c r="CD97" i="5"/>
  <c r="CD84" i="5"/>
  <c r="CD77" i="5"/>
  <c r="CD76" i="5"/>
  <c r="CD70" i="5"/>
  <c r="CD61" i="5"/>
  <c r="CD58" i="5"/>
  <c r="CD54" i="5"/>
  <c r="CD51" i="5"/>
  <c r="CD45" i="5"/>
  <c r="CD106" i="5"/>
  <c r="CD95" i="5"/>
  <c r="CD72" i="5"/>
  <c r="CD62" i="5"/>
  <c r="CD42" i="5"/>
  <c r="CD37" i="5"/>
  <c r="CD31" i="5"/>
  <c r="CD25" i="5"/>
  <c r="CD19" i="5"/>
  <c r="CD13" i="5"/>
  <c r="CD115" i="5"/>
  <c r="CD105" i="5"/>
  <c r="CD101" i="5"/>
  <c r="CD98" i="5"/>
  <c r="CD86" i="5"/>
  <c r="CD80" i="5"/>
  <c r="CD65" i="5"/>
  <c r="CD48" i="5"/>
  <c r="CD43" i="5"/>
  <c r="CD38" i="5"/>
  <c r="CD32" i="5"/>
  <c r="CD27" i="5"/>
  <c r="CD20" i="5"/>
  <c r="CD14" i="5"/>
  <c r="CD103" i="5"/>
  <c r="CD89" i="5"/>
  <c r="CD85" i="5"/>
  <c r="CD79" i="5"/>
  <c r="CD67" i="5"/>
  <c r="CD60" i="5"/>
  <c r="CD47" i="5"/>
  <c r="CD41" i="5"/>
  <c r="CD33" i="5"/>
  <c r="CD28" i="5"/>
  <c r="CD22" i="5"/>
  <c r="CD15" i="5"/>
  <c r="CD117" i="5"/>
  <c r="CD93" i="5"/>
  <c r="CD73" i="5"/>
  <c r="CD56" i="5"/>
  <c r="CD36" i="5"/>
  <c r="CD29" i="5"/>
  <c r="CD23" i="5"/>
  <c r="CD17" i="5"/>
  <c r="CH136" i="5"/>
  <c r="CH131" i="5"/>
  <c r="CH138" i="5"/>
  <c r="CH133" i="5"/>
  <c r="CH128" i="5"/>
  <c r="CH134" i="5"/>
  <c r="CH129" i="5"/>
  <c r="CH135" i="5"/>
  <c r="CH130" i="5"/>
  <c r="CH127" i="5"/>
  <c r="CH122" i="5"/>
  <c r="CH118" i="5"/>
  <c r="CH137" i="5"/>
  <c r="CH123" i="5"/>
  <c r="CH125" i="5"/>
  <c r="CH124" i="5"/>
  <c r="CH117" i="5"/>
  <c r="CH119" i="5"/>
  <c r="CH114" i="5"/>
  <c r="CH110" i="5"/>
  <c r="CH120" i="5"/>
  <c r="CH115" i="5"/>
  <c r="CH107" i="5"/>
  <c r="CH100" i="5"/>
  <c r="CH96" i="5"/>
  <c r="CH92" i="5"/>
  <c r="CH111" i="5"/>
  <c r="CH108" i="5"/>
  <c r="CH104" i="5"/>
  <c r="CH105" i="5"/>
  <c r="CH98" i="5"/>
  <c r="CH93" i="5"/>
  <c r="CH87" i="5"/>
  <c r="CH83" i="5"/>
  <c r="CH78" i="5"/>
  <c r="CH74" i="5"/>
  <c r="CH69" i="5"/>
  <c r="CH64" i="5"/>
  <c r="CH59" i="5"/>
  <c r="CH55" i="5"/>
  <c r="CH53" i="5"/>
  <c r="CH50" i="5"/>
  <c r="CH46" i="5"/>
  <c r="CH121" i="5"/>
  <c r="CH113" i="5"/>
  <c r="CH106" i="5"/>
  <c r="CH95" i="5"/>
  <c r="CH89" i="5"/>
  <c r="CH86" i="5"/>
  <c r="CH80" i="5"/>
  <c r="CH73" i="5"/>
  <c r="CH65" i="5"/>
  <c r="CH56" i="5"/>
  <c r="CH48" i="5"/>
  <c r="CH39" i="5"/>
  <c r="CH35" i="5"/>
  <c r="CH30" i="5"/>
  <c r="CH26" i="5"/>
  <c r="CH21" i="5"/>
  <c r="CH16" i="5"/>
  <c r="CH112" i="5"/>
  <c r="CH103" i="5"/>
  <c r="CH101" i="5"/>
  <c r="CH88" i="5"/>
  <c r="CH81" i="5"/>
  <c r="CH75" i="5"/>
  <c r="CH68" i="5"/>
  <c r="CH66" i="5"/>
  <c r="CH57" i="5"/>
  <c r="CH49" i="5"/>
  <c r="CH44" i="5"/>
  <c r="CH94" i="5"/>
  <c r="CH90" i="5"/>
  <c r="CH77" i="5"/>
  <c r="CH76" i="5"/>
  <c r="CH70" i="5"/>
  <c r="CH61" i="5"/>
  <c r="CH54" i="5"/>
  <c r="CH45" i="5"/>
  <c r="CH36" i="5"/>
  <c r="CH29" i="5"/>
  <c r="CH23" i="5"/>
  <c r="CH17" i="5"/>
  <c r="CH109" i="5"/>
  <c r="CH97" i="5"/>
  <c r="CH85" i="5"/>
  <c r="CH79" i="5"/>
  <c r="CH67" i="5"/>
  <c r="CH60" i="5"/>
  <c r="CH47" i="5"/>
  <c r="CH37" i="5"/>
  <c r="CH31" i="5"/>
  <c r="CH25" i="5"/>
  <c r="CH19" i="5"/>
  <c r="CH13" i="5"/>
  <c r="CH99" i="5"/>
  <c r="CH84" i="5"/>
  <c r="CH58" i="5"/>
  <c r="CH51" i="5"/>
  <c r="CH42" i="5"/>
  <c r="CH38" i="5"/>
  <c r="CH32" i="5"/>
  <c r="CH27" i="5"/>
  <c r="CH20" i="5"/>
  <c r="CH14" i="5"/>
  <c r="CH126" i="5"/>
  <c r="CH102" i="5"/>
  <c r="CH72" i="5"/>
  <c r="CH62" i="5"/>
  <c r="CH43" i="5"/>
  <c r="CH41" i="5"/>
  <c r="CH33" i="5"/>
  <c r="CH28" i="5"/>
  <c r="CH22" i="5"/>
  <c r="CH15" i="5"/>
  <c r="CL136" i="5"/>
  <c r="CL131" i="5"/>
  <c r="CL137" i="5"/>
  <c r="CL128" i="5"/>
  <c r="CL138" i="5"/>
  <c r="CL133" i="5"/>
  <c r="CL129" i="5"/>
  <c r="CL134" i="5"/>
  <c r="CL126" i="5"/>
  <c r="CL122" i="5"/>
  <c r="CL118" i="5"/>
  <c r="CL127" i="5"/>
  <c r="CL123" i="5"/>
  <c r="CL130" i="5"/>
  <c r="CL121" i="5"/>
  <c r="CL135" i="5"/>
  <c r="CL117" i="5"/>
  <c r="CL114" i="5"/>
  <c r="CL110" i="5"/>
  <c r="CL124" i="5"/>
  <c r="CL119" i="5"/>
  <c r="CL113" i="5"/>
  <c r="CL107" i="5"/>
  <c r="CL100" i="5"/>
  <c r="CL96" i="5"/>
  <c r="CL92" i="5"/>
  <c r="CL115" i="5"/>
  <c r="CL108" i="5"/>
  <c r="CL104" i="5"/>
  <c r="CL109" i="5"/>
  <c r="CL102" i="5"/>
  <c r="CL97" i="5"/>
  <c r="CL90" i="5"/>
  <c r="CL87" i="5"/>
  <c r="CL83" i="5"/>
  <c r="CL78" i="5"/>
  <c r="CL74" i="5"/>
  <c r="CL69" i="5"/>
  <c r="CL64" i="5"/>
  <c r="CL59" i="5"/>
  <c r="CL55" i="5"/>
  <c r="CL53" i="5"/>
  <c r="CL50" i="5"/>
  <c r="CL46" i="5"/>
  <c r="CL112" i="5"/>
  <c r="CL105" i="5"/>
  <c r="CL99" i="5"/>
  <c r="CL94" i="5"/>
  <c r="CL85" i="5"/>
  <c r="CL79" i="5"/>
  <c r="CL72" i="5"/>
  <c r="CL67" i="5"/>
  <c r="CL62" i="5"/>
  <c r="CL60" i="5"/>
  <c r="CL47" i="5"/>
  <c r="CL39" i="5"/>
  <c r="CL35" i="5"/>
  <c r="CL30" i="5"/>
  <c r="CL26" i="5"/>
  <c r="CL21" i="5"/>
  <c r="CL16" i="5"/>
  <c r="CL111" i="5"/>
  <c r="CL86" i="5"/>
  <c r="CL80" i="5"/>
  <c r="CL73" i="5"/>
  <c r="CL65" i="5"/>
  <c r="CL56" i="5"/>
  <c r="CL48" i="5"/>
  <c r="CL125" i="5"/>
  <c r="CL120" i="5"/>
  <c r="CL93" i="5"/>
  <c r="CL89" i="5"/>
  <c r="CL81" i="5"/>
  <c r="CL75" i="5"/>
  <c r="CL66" i="5"/>
  <c r="CL49" i="5"/>
  <c r="CL44" i="5"/>
  <c r="CL42" i="5"/>
  <c r="CL41" i="5"/>
  <c r="CL33" i="5"/>
  <c r="CL28" i="5"/>
  <c r="CL22" i="5"/>
  <c r="CL15" i="5"/>
  <c r="CL103" i="5"/>
  <c r="CL84" i="5"/>
  <c r="CL58" i="5"/>
  <c r="CL51" i="5"/>
  <c r="CL43" i="5"/>
  <c r="CL36" i="5"/>
  <c r="CL29" i="5"/>
  <c r="CL23" i="5"/>
  <c r="CL17" i="5"/>
  <c r="CL98" i="5"/>
  <c r="CL95" i="5"/>
  <c r="CL88" i="5"/>
  <c r="CL68" i="5"/>
  <c r="CL57" i="5"/>
  <c r="CL37" i="5"/>
  <c r="CL31" i="5"/>
  <c r="CL25" i="5"/>
  <c r="CL19" i="5"/>
  <c r="CL13" i="5"/>
  <c r="CL106" i="5"/>
  <c r="CL101" i="5"/>
  <c r="CL77" i="5"/>
  <c r="CL76" i="5"/>
  <c r="CL70" i="5"/>
  <c r="CL61" i="5"/>
  <c r="CL54" i="5"/>
  <c r="CL45" i="5"/>
  <c r="CL38" i="5"/>
  <c r="CL32" i="5"/>
  <c r="CL27" i="5"/>
  <c r="CL20" i="5"/>
  <c r="CL14" i="5"/>
  <c r="CP136" i="5"/>
  <c r="CP131" i="5"/>
  <c r="CP135" i="5"/>
  <c r="CP128" i="5"/>
  <c r="CP137" i="5"/>
  <c r="CP129" i="5"/>
  <c r="CP138" i="5"/>
  <c r="CP133" i="5"/>
  <c r="CP130" i="5"/>
  <c r="CP125" i="5"/>
  <c r="CP122" i="5"/>
  <c r="CP118" i="5"/>
  <c r="CP126" i="5"/>
  <c r="CP123" i="5"/>
  <c r="CP124" i="5"/>
  <c r="CP120" i="5"/>
  <c r="CP134" i="5"/>
  <c r="CP121" i="5"/>
  <c r="CP114" i="5"/>
  <c r="CP110" i="5"/>
  <c r="CP127" i="5"/>
  <c r="CP112" i="5"/>
  <c r="CP107" i="5"/>
  <c r="CP100" i="5"/>
  <c r="CP96" i="5"/>
  <c r="CP92" i="5"/>
  <c r="CP113" i="5"/>
  <c r="CP108" i="5"/>
  <c r="CP104" i="5"/>
  <c r="CP117" i="5"/>
  <c r="CP105" i="5"/>
  <c r="CP101" i="5"/>
  <c r="CP95" i="5"/>
  <c r="CP89" i="5"/>
  <c r="CP87" i="5"/>
  <c r="CP83" i="5"/>
  <c r="CP78" i="5"/>
  <c r="CP74" i="5"/>
  <c r="CP69" i="5"/>
  <c r="CP64" i="5"/>
  <c r="CP59" i="5"/>
  <c r="CP55" i="5"/>
  <c r="CP53" i="5"/>
  <c r="CP50" i="5"/>
  <c r="CP46" i="5"/>
  <c r="CP119" i="5"/>
  <c r="CP111" i="5"/>
  <c r="CP109" i="5"/>
  <c r="CP98" i="5"/>
  <c r="CP93" i="5"/>
  <c r="CP84" i="5"/>
  <c r="CP77" i="5"/>
  <c r="CP76" i="5"/>
  <c r="CP70" i="5"/>
  <c r="CP61" i="5"/>
  <c r="CP58" i="5"/>
  <c r="CP54" i="5"/>
  <c r="CP51" i="5"/>
  <c r="CP45" i="5"/>
  <c r="CP39" i="5"/>
  <c r="CP35" i="5"/>
  <c r="CP30" i="5"/>
  <c r="CP26" i="5"/>
  <c r="CP21" i="5"/>
  <c r="CP16" i="5"/>
  <c r="CP106" i="5"/>
  <c r="CP90" i="5"/>
  <c r="CP85" i="5"/>
  <c r="CP79" i="5"/>
  <c r="CP72" i="5"/>
  <c r="CP67" i="5"/>
  <c r="CP62" i="5"/>
  <c r="CP60" i="5"/>
  <c r="CP47" i="5"/>
  <c r="CP103" i="5"/>
  <c r="CP99" i="5"/>
  <c r="CP86" i="5"/>
  <c r="CP80" i="5"/>
  <c r="CP65" i="5"/>
  <c r="CP48" i="5"/>
  <c r="CP38" i="5"/>
  <c r="CP32" i="5"/>
  <c r="CP27" i="5"/>
  <c r="CP20" i="5"/>
  <c r="CP14" i="5"/>
  <c r="CP102" i="5"/>
  <c r="CP88" i="5"/>
  <c r="CP68" i="5"/>
  <c r="CP57" i="5"/>
  <c r="CP41" i="5"/>
  <c r="CP33" i="5"/>
  <c r="CP28" i="5"/>
  <c r="CP22" i="5"/>
  <c r="CP15" i="5"/>
  <c r="CP97" i="5"/>
  <c r="CP94" i="5"/>
  <c r="CP73" i="5"/>
  <c r="CP56" i="5"/>
  <c r="CP42" i="5"/>
  <c r="CP36" i="5"/>
  <c r="CP29" i="5"/>
  <c r="CP23" i="5"/>
  <c r="CP17" i="5"/>
  <c r="CP115" i="5"/>
  <c r="CP81" i="5"/>
  <c r="CP75" i="5"/>
  <c r="CP66" i="5"/>
  <c r="CP49" i="5"/>
  <c r="CP44" i="5"/>
  <c r="CP43" i="5"/>
  <c r="CP37" i="5"/>
  <c r="CP31" i="5"/>
  <c r="CP25" i="5"/>
  <c r="CP19" i="5"/>
  <c r="CP13" i="5"/>
  <c r="CT136" i="5"/>
  <c r="CT131" i="5"/>
  <c r="CT134" i="5"/>
  <c r="CT128" i="5"/>
  <c r="CT135" i="5"/>
  <c r="CT129" i="5"/>
  <c r="CT137" i="5"/>
  <c r="CT122" i="5"/>
  <c r="CT118" i="5"/>
  <c r="CT125" i="5"/>
  <c r="CT123" i="5"/>
  <c r="CT119" i="5"/>
  <c r="CT138" i="5"/>
  <c r="CT133" i="5"/>
  <c r="CT127" i="5"/>
  <c r="CT120" i="5"/>
  <c r="CT114" i="5"/>
  <c r="CT110" i="5"/>
  <c r="CT126" i="5"/>
  <c r="CT111" i="5"/>
  <c r="CT107" i="5"/>
  <c r="CT100" i="5"/>
  <c r="CT96" i="5"/>
  <c r="CT92" i="5"/>
  <c r="CT117" i="5"/>
  <c r="CT112" i="5"/>
  <c r="CT108" i="5"/>
  <c r="CT104" i="5"/>
  <c r="CT121" i="5"/>
  <c r="CT113" i="5"/>
  <c r="CT109" i="5"/>
  <c r="CT102" i="5"/>
  <c r="CT99" i="5"/>
  <c r="CT94" i="5"/>
  <c r="CT87" i="5"/>
  <c r="CT83" i="5"/>
  <c r="CT78" i="5"/>
  <c r="CT74" i="5"/>
  <c r="CT69" i="5"/>
  <c r="CT64" i="5"/>
  <c r="CT59" i="5"/>
  <c r="CT55" i="5"/>
  <c r="CT53" i="5"/>
  <c r="CT50" i="5"/>
  <c r="CT46" i="5"/>
  <c r="CT124" i="5"/>
  <c r="CT106" i="5"/>
  <c r="CT103" i="5"/>
  <c r="CT97" i="5"/>
  <c r="CT88" i="5"/>
  <c r="CT81" i="5"/>
  <c r="CT75" i="5"/>
  <c r="CT68" i="5"/>
  <c r="CT66" i="5"/>
  <c r="CT57" i="5"/>
  <c r="CT49" i="5"/>
  <c r="CT44" i="5"/>
  <c r="CT39" i="5"/>
  <c r="CT35" i="5"/>
  <c r="CT30" i="5"/>
  <c r="CT26" i="5"/>
  <c r="CT21" i="5"/>
  <c r="CT16" i="5"/>
  <c r="CT105" i="5"/>
  <c r="CT95" i="5"/>
  <c r="CT89" i="5"/>
  <c r="CT84" i="5"/>
  <c r="CT77" i="5"/>
  <c r="CT76" i="5"/>
  <c r="CT70" i="5"/>
  <c r="CT61" i="5"/>
  <c r="CT58" i="5"/>
  <c r="CT54" i="5"/>
  <c r="CT51" i="5"/>
  <c r="CT45" i="5"/>
  <c r="CT130" i="5"/>
  <c r="CT101" i="5"/>
  <c r="CT98" i="5"/>
  <c r="CT85" i="5"/>
  <c r="CT79" i="5"/>
  <c r="CT67" i="5"/>
  <c r="CT60" i="5"/>
  <c r="CT47" i="5"/>
  <c r="CT42" i="5"/>
  <c r="CT37" i="5"/>
  <c r="CT31" i="5"/>
  <c r="CT25" i="5"/>
  <c r="CT19" i="5"/>
  <c r="CT13" i="5"/>
  <c r="CT90" i="5"/>
  <c r="CT73" i="5"/>
  <c r="CT56" i="5"/>
  <c r="CT43" i="5"/>
  <c r="CT38" i="5"/>
  <c r="CT32" i="5"/>
  <c r="CT27" i="5"/>
  <c r="CT20" i="5"/>
  <c r="CT14" i="5"/>
  <c r="CT115" i="5"/>
  <c r="CT93" i="5"/>
  <c r="CT72" i="5"/>
  <c r="CT62" i="5"/>
  <c r="CT41" i="5"/>
  <c r="CT33" i="5"/>
  <c r="CT28" i="5"/>
  <c r="CT22" i="5"/>
  <c r="CT15" i="5"/>
  <c r="CT86" i="5"/>
  <c r="CT80" i="5"/>
  <c r="CT65" i="5"/>
  <c r="CT48" i="5"/>
  <c r="CT36" i="5"/>
  <c r="CT29" i="5"/>
  <c r="CT23" i="5"/>
  <c r="CT17" i="5"/>
  <c r="CX136" i="5"/>
  <c r="CX131" i="5"/>
  <c r="CX138" i="5"/>
  <c r="CX133" i="5"/>
  <c r="CX128" i="5"/>
  <c r="CX134" i="5"/>
  <c r="CX129" i="5"/>
  <c r="CX127" i="5"/>
  <c r="CX122" i="5"/>
  <c r="CX118" i="5"/>
  <c r="CX130" i="5"/>
  <c r="CX123" i="5"/>
  <c r="CX124" i="5"/>
  <c r="CX117" i="5"/>
  <c r="CX137" i="5"/>
  <c r="CX126" i="5"/>
  <c r="CX119" i="5"/>
  <c r="CX114" i="5"/>
  <c r="CX110" i="5"/>
  <c r="CX135" i="5"/>
  <c r="CX125" i="5"/>
  <c r="CX115" i="5"/>
  <c r="CX107" i="5"/>
  <c r="CX100" i="5"/>
  <c r="CX96" i="5"/>
  <c r="CX92" i="5"/>
  <c r="CX121" i="5"/>
  <c r="CX111" i="5"/>
  <c r="CX108" i="5"/>
  <c r="CX104" i="5"/>
  <c r="CX120" i="5"/>
  <c r="CX112" i="5"/>
  <c r="CX105" i="5"/>
  <c r="CX98" i="5"/>
  <c r="CX93" i="5"/>
  <c r="CX87" i="5"/>
  <c r="CX83" i="5"/>
  <c r="CX78" i="5"/>
  <c r="CX74" i="5"/>
  <c r="CX69" i="5"/>
  <c r="CX64" i="5"/>
  <c r="CX59" i="5"/>
  <c r="CX55" i="5"/>
  <c r="CX53" i="5"/>
  <c r="CX50" i="5"/>
  <c r="CX46" i="5"/>
  <c r="CX113" i="5"/>
  <c r="CX102" i="5"/>
  <c r="CX101" i="5"/>
  <c r="CX86" i="5"/>
  <c r="CX80" i="5"/>
  <c r="CX73" i="5"/>
  <c r="CX65" i="5"/>
  <c r="CX56" i="5"/>
  <c r="CX48" i="5"/>
  <c r="CX39" i="5"/>
  <c r="CX35" i="5"/>
  <c r="CX30" i="5"/>
  <c r="CX26" i="5"/>
  <c r="CX21" i="5"/>
  <c r="CX16" i="5"/>
  <c r="CX109" i="5"/>
  <c r="CX99" i="5"/>
  <c r="CX94" i="5"/>
  <c r="CX90" i="5"/>
  <c r="CX88" i="5"/>
  <c r="CX81" i="5"/>
  <c r="CX75" i="5"/>
  <c r="CX68" i="5"/>
  <c r="CX66" i="5"/>
  <c r="CX57" i="5"/>
  <c r="CX49" i="5"/>
  <c r="CX44" i="5"/>
  <c r="CX106" i="5"/>
  <c r="CX97" i="5"/>
  <c r="CX84" i="5"/>
  <c r="CX58" i="5"/>
  <c r="CX51" i="5"/>
  <c r="CX36" i="5"/>
  <c r="CX29" i="5"/>
  <c r="CX23" i="5"/>
  <c r="CX17" i="5"/>
  <c r="CX89" i="5"/>
  <c r="CX72" i="5"/>
  <c r="CX62" i="5"/>
  <c r="CX37" i="5"/>
  <c r="CX31" i="5"/>
  <c r="CX25" i="5"/>
  <c r="CX19" i="5"/>
  <c r="CX13" i="5"/>
  <c r="CX77" i="5"/>
  <c r="CX76" i="5"/>
  <c r="CX70" i="5"/>
  <c r="CX61" i="5"/>
  <c r="CX54" i="5"/>
  <c r="CX45" i="5"/>
  <c r="CX42" i="5"/>
  <c r="CX38" i="5"/>
  <c r="CX32" i="5"/>
  <c r="CX27" i="5"/>
  <c r="CX20" i="5"/>
  <c r="CX14" i="5"/>
  <c r="CX103" i="5"/>
  <c r="CX95" i="5"/>
  <c r="CX85" i="5"/>
  <c r="CX79" i="5"/>
  <c r="CX67" i="5"/>
  <c r="CX60" i="5"/>
  <c r="CX47" i="5"/>
  <c r="CX43" i="5"/>
  <c r="CX41" i="5"/>
  <c r="CX33" i="5"/>
  <c r="CX28" i="5"/>
  <c r="CX22" i="5"/>
  <c r="CX15" i="5"/>
  <c r="DB136" i="5"/>
  <c r="DB131" i="5"/>
  <c r="DB137" i="5"/>
  <c r="DB130" i="5"/>
  <c r="DB128" i="5"/>
  <c r="DB124" i="5"/>
  <c r="DB138" i="5"/>
  <c r="DB133" i="5"/>
  <c r="DB129" i="5"/>
  <c r="DB126" i="5"/>
  <c r="DB122" i="5"/>
  <c r="DB118" i="5"/>
  <c r="DB135" i="5"/>
  <c r="DB127" i="5"/>
  <c r="DB123" i="5"/>
  <c r="DB125" i="5"/>
  <c r="DB121" i="5"/>
  <c r="DB117" i="5"/>
  <c r="DB114" i="5"/>
  <c r="DB110" i="5"/>
  <c r="DB134" i="5"/>
  <c r="DB113" i="5"/>
  <c r="DB107" i="5"/>
  <c r="DB100" i="5"/>
  <c r="DB96" i="5"/>
  <c r="DB92" i="5"/>
  <c r="DB120" i="5"/>
  <c r="DB115" i="5"/>
  <c r="DB108" i="5"/>
  <c r="DB104" i="5"/>
  <c r="DB119" i="5"/>
  <c r="DB111" i="5"/>
  <c r="DB109" i="5"/>
  <c r="DB102" i="5"/>
  <c r="DB97" i="5"/>
  <c r="DB90" i="5"/>
  <c r="DB87" i="5"/>
  <c r="DB83" i="5"/>
  <c r="DB78" i="5"/>
  <c r="DB74" i="5"/>
  <c r="DB69" i="5"/>
  <c r="DB64" i="5"/>
  <c r="DB59" i="5"/>
  <c r="DB55" i="5"/>
  <c r="DB53" i="5"/>
  <c r="DB50" i="5"/>
  <c r="DB46" i="5"/>
  <c r="DB112" i="5"/>
  <c r="DB85" i="5"/>
  <c r="DB79" i="5"/>
  <c r="DB72" i="5"/>
  <c r="DB67" i="5"/>
  <c r="DB62" i="5"/>
  <c r="DB60" i="5"/>
  <c r="DB47" i="5"/>
  <c r="DB39" i="5"/>
  <c r="DB35" i="5"/>
  <c r="DB30" i="5"/>
  <c r="DB26" i="5"/>
  <c r="DB21" i="5"/>
  <c r="DB16" i="5"/>
  <c r="DB106" i="5"/>
  <c r="DB103" i="5"/>
  <c r="DB98" i="5"/>
  <c r="DB95" i="5"/>
  <c r="DB93" i="5"/>
  <c r="DB89" i="5"/>
  <c r="DB86" i="5"/>
  <c r="DB80" i="5"/>
  <c r="DB73" i="5"/>
  <c r="DB65" i="5"/>
  <c r="DB56" i="5"/>
  <c r="DB48" i="5"/>
  <c r="DB105" i="5"/>
  <c r="DB68" i="5"/>
  <c r="DB57" i="5"/>
  <c r="DB42" i="5"/>
  <c r="DB41" i="5"/>
  <c r="DB33" i="5"/>
  <c r="DB28" i="5"/>
  <c r="DB22" i="5"/>
  <c r="DB15" i="5"/>
  <c r="DB99" i="5"/>
  <c r="DB88" i="5"/>
  <c r="DB77" i="5"/>
  <c r="DB76" i="5"/>
  <c r="DB70" i="5"/>
  <c r="DB61" i="5"/>
  <c r="DB54" i="5"/>
  <c r="DB45" i="5"/>
  <c r="DB43" i="5"/>
  <c r="DB36" i="5"/>
  <c r="DB29" i="5"/>
  <c r="DB23" i="5"/>
  <c r="DB17" i="5"/>
  <c r="DB101" i="5"/>
  <c r="DB81" i="5"/>
  <c r="DB75" i="5"/>
  <c r="DB66" i="5"/>
  <c r="DB49" i="5"/>
  <c r="DB44" i="5"/>
  <c r="DB37" i="5"/>
  <c r="DB31" i="5"/>
  <c r="DB25" i="5"/>
  <c r="DB19" i="5"/>
  <c r="DB13" i="5"/>
  <c r="DB94" i="5"/>
  <c r="DB84" i="5"/>
  <c r="DB58" i="5"/>
  <c r="DB51" i="5"/>
  <c r="DB38" i="5"/>
  <c r="DB32" i="5"/>
  <c r="DB27" i="5"/>
  <c r="DB20" i="5"/>
  <c r="DB14" i="5"/>
  <c r="DF136" i="5"/>
  <c r="DF131" i="5"/>
  <c r="DF135" i="5"/>
  <c r="DF128" i="5"/>
  <c r="DF124" i="5"/>
  <c r="DF137" i="5"/>
  <c r="DF130" i="5"/>
  <c r="DF129" i="5"/>
  <c r="DF125" i="5"/>
  <c r="DF122" i="5"/>
  <c r="DF118" i="5"/>
  <c r="DF134" i="5"/>
  <c r="DF126" i="5"/>
  <c r="DF123" i="5"/>
  <c r="DF127" i="5"/>
  <c r="DF120" i="5"/>
  <c r="DF114" i="5"/>
  <c r="DF110" i="5"/>
  <c r="DF133" i="5"/>
  <c r="DF117" i="5"/>
  <c r="DF112" i="5"/>
  <c r="DF107" i="5"/>
  <c r="DF100" i="5"/>
  <c r="DF96" i="5"/>
  <c r="DF92" i="5"/>
  <c r="DF119" i="5"/>
  <c r="DF113" i="5"/>
  <c r="DF108" i="5"/>
  <c r="DF104" i="5"/>
  <c r="DF115" i="5"/>
  <c r="DF105" i="5"/>
  <c r="DF101" i="5"/>
  <c r="DF95" i="5"/>
  <c r="DF89" i="5"/>
  <c r="DF87" i="5"/>
  <c r="DF83" i="5"/>
  <c r="DF78" i="5"/>
  <c r="DF74" i="5"/>
  <c r="DF69" i="5"/>
  <c r="DF64" i="5"/>
  <c r="DF59" i="5"/>
  <c r="DF55" i="5"/>
  <c r="DF53" i="5"/>
  <c r="DF50" i="5"/>
  <c r="DF46" i="5"/>
  <c r="DF111" i="5"/>
  <c r="DF103" i="5"/>
  <c r="DF90" i="5"/>
  <c r="DF84" i="5"/>
  <c r="DF77" i="5"/>
  <c r="DF76" i="5"/>
  <c r="DF70" i="5"/>
  <c r="DF61" i="5"/>
  <c r="DF58" i="5"/>
  <c r="DF54" i="5"/>
  <c r="DF51" i="5"/>
  <c r="DF45" i="5"/>
  <c r="DF39" i="5"/>
  <c r="DF35" i="5"/>
  <c r="DF30" i="5"/>
  <c r="DF26" i="5"/>
  <c r="DF21" i="5"/>
  <c r="DF16" i="5"/>
  <c r="DF121" i="5"/>
  <c r="DF102" i="5"/>
  <c r="DF99" i="5"/>
  <c r="DF97" i="5"/>
  <c r="DF94" i="5"/>
  <c r="DF88" i="5"/>
  <c r="DF85" i="5"/>
  <c r="DF79" i="5"/>
  <c r="DF72" i="5"/>
  <c r="DF67" i="5"/>
  <c r="DF62" i="5"/>
  <c r="DF60" i="5"/>
  <c r="DF47" i="5"/>
  <c r="DF41" i="5"/>
  <c r="DF109" i="5"/>
  <c r="DF73" i="5"/>
  <c r="DF56" i="5"/>
  <c r="DF38" i="5"/>
  <c r="DF32" i="5"/>
  <c r="DF27" i="5"/>
  <c r="DF20" i="5"/>
  <c r="DF14" i="5"/>
  <c r="DF98" i="5"/>
  <c r="DF81" i="5"/>
  <c r="DF75" i="5"/>
  <c r="DF66" i="5"/>
  <c r="DF49" i="5"/>
  <c r="DF44" i="5"/>
  <c r="DF33" i="5"/>
  <c r="DF28" i="5"/>
  <c r="DF22" i="5"/>
  <c r="DF15" i="5"/>
  <c r="DF138" i="5"/>
  <c r="DF86" i="5"/>
  <c r="DF80" i="5"/>
  <c r="DF65" i="5"/>
  <c r="DF48" i="5"/>
  <c r="DF42" i="5"/>
  <c r="DF36" i="5"/>
  <c r="DF29" i="5"/>
  <c r="DF23" i="5"/>
  <c r="DF17" i="5"/>
  <c r="DF106" i="5"/>
  <c r="DF93" i="5"/>
  <c r="DF68" i="5"/>
  <c r="DF57" i="5"/>
  <c r="DF43" i="5"/>
  <c r="DF37" i="5"/>
  <c r="DF31" i="5"/>
  <c r="DF25" i="5"/>
  <c r="DF19" i="5"/>
  <c r="DF13" i="5"/>
  <c r="BK135" i="5"/>
  <c r="BK130" i="5"/>
  <c r="BK126" i="5"/>
  <c r="BK122" i="5"/>
  <c r="BK118" i="5"/>
  <c r="BK113" i="5"/>
  <c r="BK109" i="5"/>
  <c r="BK105" i="5"/>
  <c r="BK101" i="5"/>
  <c r="BK97" i="5"/>
  <c r="BK93" i="5"/>
  <c r="BK138" i="5"/>
  <c r="BK134" i="5"/>
  <c r="BK129" i="5"/>
  <c r="BK125" i="5"/>
  <c r="BK121" i="5"/>
  <c r="BK117" i="5"/>
  <c r="BK112" i="5"/>
  <c r="BK108" i="5"/>
  <c r="BK104" i="5"/>
  <c r="BK100" i="5"/>
  <c r="BK96" i="5"/>
  <c r="BK136" i="5"/>
  <c r="BK127" i="5"/>
  <c r="BK119" i="5"/>
  <c r="BK110" i="5"/>
  <c r="BK102" i="5"/>
  <c r="BK94" i="5"/>
  <c r="BK88" i="5"/>
  <c r="BK84" i="5"/>
  <c r="BK79" i="5"/>
  <c r="BK75" i="5"/>
  <c r="BK70" i="5"/>
  <c r="BK66" i="5"/>
  <c r="BK61" i="5"/>
  <c r="BK57" i="5"/>
  <c r="BK53" i="5"/>
  <c r="BK48" i="5"/>
  <c r="BK44" i="5"/>
  <c r="BK39" i="5"/>
  <c r="BK35" i="5"/>
  <c r="BK21" i="5"/>
  <c r="BK133" i="5"/>
  <c r="BK124" i="5"/>
  <c r="BK115" i="5"/>
  <c r="BK107" i="5"/>
  <c r="BK99" i="5"/>
  <c r="BK92" i="5"/>
  <c r="BK87" i="5"/>
  <c r="BK83" i="5"/>
  <c r="BK78" i="5"/>
  <c r="BK74" i="5"/>
  <c r="BK69" i="5"/>
  <c r="BK65" i="5"/>
  <c r="BK60" i="5"/>
  <c r="BK56" i="5"/>
  <c r="BK51" i="5"/>
  <c r="BK47" i="5"/>
  <c r="BK43" i="5"/>
  <c r="BK38" i="5"/>
  <c r="BK33" i="5"/>
  <c r="BK29" i="5"/>
  <c r="BK25" i="5"/>
  <c r="BK20" i="5"/>
  <c r="BK16" i="5"/>
  <c r="BK137" i="5"/>
  <c r="BK120" i="5"/>
  <c r="BK103" i="5"/>
  <c r="BK95" i="5"/>
  <c r="BK85" i="5"/>
  <c r="BK76" i="5"/>
  <c r="BK67" i="5"/>
  <c r="BK58" i="5"/>
  <c r="BK49" i="5"/>
  <c r="BK41" i="5"/>
  <c r="BK27" i="5"/>
  <c r="BK14" i="5"/>
  <c r="BK26" i="5"/>
  <c r="BK131" i="5"/>
  <c r="BK123" i="5"/>
  <c r="BK114" i="5"/>
  <c r="BK106" i="5"/>
  <c r="BK98" i="5"/>
  <c r="BK90" i="5"/>
  <c r="BK86" i="5"/>
  <c r="BK81" i="5"/>
  <c r="BK77" i="5"/>
  <c r="BK73" i="5"/>
  <c r="BK68" i="5"/>
  <c r="BK64" i="5"/>
  <c r="BK59" i="5"/>
  <c r="BK55" i="5"/>
  <c r="BK50" i="5"/>
  <c r="BK46" i="5"/>
  <c r="BK42" i="5"/>
  <c r="BK37" i="5"/>
  <c r="BK32" i="5"/>
  <c r="BK28" i="5"/>
  <c r="BK23" i="5"/>
  <c r="BK19" i="5"/>
  <c r="BK17" i="5"/>
  <c r="BK128" i="5"/>
  <c r="BK111" i="5"/>
  <c r="BK89" i="5"/>
  <c r="BK80" i="5"/>
  <c r="BK72" i="5"/>
  <c r="BK62" i="5"/>
  <c r="BK54" i="5"/>
  <c r="BK45" i="5"/>
  <c r="BK31" i="5"/>
  <c r="BK22" i="5"/>
  <c r="BK13" i="5"/>
  <c r="BK30" i="5"/>
  <c r="BK15" i="5"/>
  <c r="BK36" i="5"/>
  <c r="A16" i="7"/>
  <c r="A17" i="7"/>
  <c r="A18" i="7"/>
  <c r="A19" i="7"/>
  <c r="A20" i="7"/>
  <c r="A21" i="7"/>
  <c r="A22" i="7"/>
  <c r="A23" i="7"/>
  <c r="A24" i="7"/>
  <c r="A25" i="7"/>
  <c r="A26" i="7"/>
  <c r="A27" i="7"/>
  <c r="A28" i="7"/>
  <c r="A29" i="7"/>
  <c r="A30" i="7"/>
  <c r="A31" i="7"/>
  <c r="A15" i="7"/>
  <c r="BN430" i="7" l="1"/>
  <c r="BN432" i="7"/>
  <c r="BN433" i="7" s="1"/>
  <c r="DF11" i="5"/>
  <c r="DB63" i="5"/>
  <c r="DB82" i="5"/>
  <c r="DB116" i="5"/>
  <c r="CT63" i="5"/>
  <c r="CP11" i="5"/>
  <c r="CL132" i="5"/>
  <c r="CD116" i="5"/>
  <c r="BZ11" i="5"/>
  <c r="DF132" i="5"/>
  <c r="DC82" i="5"/>
  <c r="CN63" i="5"/>
  <c r="CF82" i="5"/>
  <c r="CY82" i="5"/>
  <c r="CK71" i="5"/>
  <c r="CQ63" i="5"/>
  <c r="CH116" i="5"/>
  <c r="BZ132" i="5"/>
  <c r="BR116" i="5"/>
  <c r="DD82" i="5"/>
  <c r="DD71" i="5"/>
  <c r="CV11" i="5"/>
  <c r="CV82" i="5"/>
  <c r="CN82" i="5"/>
  <c r="CN116" i="5"/>
  <c r="BT91" i="5"/>
  <c r="CI71" i="5"/>
  <c r="CA71" i="5"/>
  <c r="DE82" i="5"/>
  <c r="DA52" i="5"/>
  <c r="DA132" i="5"/>
  <c r="CW132" i="5"/>
  <c r="CO91" i="5"/>
  <c r="CO132" i="5"/>
  <c r="CK82" i="5"/>
  <c r="BY132" i="5"/>
  <c r="BU11" i="5"/>
  <c r="BU132" i="5"/>
  <c r="CR132" i="5"/>
  <c r="BL82" i="5"/>
  <c r="DC71" i="5"/>
  <c r="CM63" i="5"/>
  <c r="CM132" i="5"/>
  <c r="CE52" i="5"/>
  <c r="BS116" i="5"/>
  <c r="BY91" i="5"/>
  <c r="BU82" i="5"/>
  <c r="BM91" i="5"/>
  <c r="BM116" i="5"/>
  <c r="CZ71" i="5"/>
  <c r="CR11" i="5"/>
  <c r="CJ11" i="5"/>
  <c r="CJ116" i="5"/>
  <c r="BX91" i="5"/>
  <c r="BL11" i="5"/>
  <c r="DC91" i="5"/>
  <c r="CE11" i="5"/>
  <c r="CE82" i="5"/>
  <c r="DB91" i="5"/>
  <c r="CX63" i="5"/>
  <c r="CL52" i="5"/>
  <c r="BR82" i="5"/>
  <c r="CF91" i="5"/>
  <c r="CB52" i="5"/>
  <c r="CY132" i="5"/>
  <c r="CK91" i="5"/>
  <c r="DB52" i="5"/>
  <c r="CX71" i="5"/>
  <c r="CL116" i="5"/>
  <c r="BV116" i="5"/>
  <c r="BV132" i="5"/>
  <c r="DD11" i="5"/>
  <c r="CY116" i="5"/>
  <c r="CU63" i="5"/>
  <c r="CU71" i="5"/>
  <c r="CU11" i="5"/>
  <c r="CU82" i="5"/>
  <c r="CI91" i="5"/>
  <c r="CI116" i="5"/>
  <c r="CA132" i="5"/>
  <c r="DE116" i="5"/>
  <c r="DA11" i="5"/>
  <c r="DA63" i="5"/>
  <c r="DA116" i="5"/>
  <c r="CW71" i="5"/>
  <c r="CS71" i="5"/>
  <c r="CS11" i="5"/>
  <c r="CS63" i="5"/>
  <c r="CS91" i="5"/>
  <c r="CS52" i="5"/>
  <c r="CO11" i="5"/>
  <c r="CO82" i="5"/>
  <c r="CK11" i="5"/>
  <c r="CG82" i="5"/>
  <c r="CG71" i="5"/>
  <c r="CG116" i="5"/>
  <c r="CG132" i="5"/>
  <c r="CC82" i="5"/>
  <c r="CC116" i="5"/>
  <c r="BU91" i="5"/>
  <c r="BU116" i="5"/>
  <c r="BQ91" i="5"/>
  <c r="BM63" i="5"/>
  <c r="CZ91" i="5"/>
  <c r="CR52" i="5"/>
  <c r="CR63" i="5"/>
  <c r="CJ132" i="5"/>
  <c r="CJ71" i="5"/>
  <c r="BX132" i="5"/>
  <c r="BP82" i="5"/>
  <c r="BL116" i="5"/>
  <c r="CQ82" i="5"/>
  <c r="CQ91" i="5"/>
  <c r="CQ11" i="5"/>
  <c r="CQ116" i="5"/>
  <c r="CQ132" i="5"/>
  <c r="CE63" i="5"/>
  <c r="CE91" i="5"/>
  <c r="BW91" i="5"/>
  <c r="BS63" i="5"/>
  <c r="CP52" i="5"/>
  <c r="CL11" i="5"/>
  <c r="CL91" i="5"/>
  <c r="CH52" i="5"/>
  <c r="CB63" i="5"/>
  <c r="CB116" i="5"/>
  <c r="BT71" i="5"/>
  <c r="CU52" i="5"/>
  <c r="CK116" i="5"/>
  <c r="CX132" i="5"/>
  <c r="CP71" i="5"/>
  <c r="CP91" i="5"/>
  <c r="DD132" i="5"/>
  <c r="CV52" i="5"/>
  <c r="CN11" i="5"/>
  <c r="CF132" i="5"/>
  <c r="CB82" i="5"/>
  <c r="BT11" i="5"/>
  <c r="CY71" i="5"/>
  <c r="DB132" i="5"/>
  <c r="CT132" i="5"/>
  <c r="CH11" i="5"/>
  <c r="CD71" i="5"/>
  <c r="CD63" i="5"/>
  <c r="CD82" i="5"/>
  <c r="CD132" i="5"/>
  <c r="BZ71" i="5"/>
  <c r="BV82" i="5"/>
  <c r="BR11" i="5"/>
  <c r="BR91" i="5"/>
  <c r="BR132" i="5"/>
  <c r="DD52" i="5"/>
  <c r="DD116" i="5"/>
  <c r="CV91" i="5"/>
  <c r="CV116" i="5"/>
  <c r="CV132" i="5"/>
  <c r="CN91" i="5"/>
  <c r="CN71" i="5"/>
  <c r="CF11" i="5"/>
  <c r="CF116" i="5"/>
  <c r="BT132" i="5"/>
  <c r="CY11" i="5"/>
  <c r="CU91" i="5"/>
  <c r="CI63" i="5"/>
  <c r="CI11" i="5"/>
  <c r="CI132" i="5"/>
  <c r="CA91" i="5"/>
  <c r="CA11" i="5"/>
  <c r="BO82" i="5"/>
  <c r="DA82" i="5"/>
  <c r="CW82" i="5"/>
  <c r="CW91" i="5"/>
  <c r="CS116" i="5"/>
  <c r="CO116" i="5"/>
  <c r="CK52" i="5"/>
  <c r="CG11" i="5"/>
  <c r="CC63" i="5"/>
  <c r="CC71" i="5"/>
  <c r="BY82" i="5"/>
  <c r="BU63" i="5"/>
  <c r="BQ11" i="5"/>
  <c r="BQ82" i="5"/>
  <c r="BM132" i="5"/>
  <c r="CZ52" i="5"/>
  <c r="CZ116" i="5"/>
  <c r="CR71" i="5"/>
  <c r="CR91" i="5"/>
  <c r="CR116" i="5"/>
  <c r="CJ91" i="5"/>
  <c r="CJ52" i="5"/>
  <c r="CJ63" i="5"/>
  <c r="CJ82" i="5"/>
  <c r="BX82" i="5"/>
  <c r="BL132" i="5"/>
  <c r="DC52" i="5"/>
  <c r="DC11" i="5"/>
  <c r="DC116" i="5"/>
  <c r="DC132" i="5"/>
  <c r="CQ52" i="5"/>
  <c r="CM91" i="5"/>
  <c r="CM116" i="5"/>
  <c r="CE71" i="5"/>
  <c r="BS11" i="5"/>
  <c r="BS91" i="5"/>
  <c r="BS132" i="5"/>
  <c r="DF52" i="5"/>
  <c r="DB11" i="5"/>
  <c r="CX82" i="5"/>
  <c r="CT82" i="5"/>
  <c r="CT91" i="5"/>
  <c r="BV91" i="5"/>
  <c r="CV63" i="5"/>
  <c r="BT116" i="5"/>
  <c r="CU116" i="5"/>
  <c r="CA63" i="5"/>
  <c r="DE11" i="5"/>
  <c r="DE132" i="5"/>
  <c r="DA91" i="5"/>
  <c r="CX52" i="5"/>
  <c r="CT52" i="5"/>
  <c r="CP116" i="5"/>
  <c r="CH71" i="5"/>
  <c r="CH132" i="5"/>
  <c r="BZ82" i="5"/>
  <c r="BZ91" i="5"/>
  <c r="BN132" i="5"/>
  <c r="CB11" i="5"/>
  <c r="CB132" i="5"/>
  <c r="DF91" i="5"/>
  <c r="DF71" i="5"/>
  <c r="DF63" i="5"/>
  <c r="DF82" i="5"/>
  <c r="DF116" i="5"/>
  <c r="DB71" i="5"/>
  <c r="CX11" i="5"/>
  <c r="CX91" i="5"/>
  <c r="CX116" i="5"/>
  <c r="CT71" i="5"/>
  <c r="CT11" i="5"/>
  <c r="CT116" i="5"/>
  <c r="CP63" i="5"/>
  <c r="CP82" i="5"/>
  <c r="CP132" i="5"/>
  <c r="CL71" i="5"/>
  <c r="CL63" i="5"/>
  <c r="CL82" i="5"/>
  <c r="CH63" i="5"/>
  <c r="CH82" i="5"/>
  <c r="CH91" i="5"/>
  <c r="CD11" i="5"/>
  <c r="CD52" i="5"/>
  <c r="CD91" i="5"/>
  <c r="BZ116" i="5"/>
  <c r="BN82" i="5"/>
  <c r="DD63" i="5"/>
  <c r="DD91" i="5"/>
  <c r="CV71" i="5"/>
  <c r="CN52" i="5"/>
  <c r="CN132" i="5"/>
  <c r="CF52" i="5"/>
  <c r="CF63" i="5"/>
  <c r="CF71" i="5"/>
  <c r="CB71" i="5"/>
  <c r="CB91" i="5"/>
  <c r="BT82" i="5"/>
  <c r="CY63" i="5"/>
  <c r="CY91" i="5"/>
  <c r="CY52" i="5"/>
  <c r="CU132" i="5"/>
  <c r="CI82" i="5"/>
  <c r="CI52" i="5"/>
  <c r="CA82" i="5"/>
  <c r="CA116" i="5"/>
  <c r="DE71" i="5"/>
  <c r="DE52" i="5"/>
  <c r="DE63" i="5"/>
  <c r="DE91" i="5"/>
  <c r="DA71" i="5"/>
  <c r="CW11" i="5"/>
  <c r="CW52" i="5"/>
  <c r="CW63" i="5"/>
  <c r="CW116" i="5"/>
  <c r="CS82" i="5"/>
  <c r="CS132" i="5"/>
  <c r="CO52" i="5"/>
  <c r="CO63" i="5"/>
  <c r="CO71" i="5"/>
  <c r="CK132" i="5"/>
  <c r="CK63" i="5"/>
  <c r="CG52" i="5"/>
  <c r="CG63" i="5"/>
  <c r="CG91" i="5"/>
  <c r="CC11" i="5"/>
  <c r="CC91" i="5"/>
  <c r="CC52" i="5"/>
  <c r="CC132" i="5"/>
  <c r="BY116" i="5"/>
  <c r="BU71" i="5"/>
  <c r="BQ116" i="5"/>
  <c r="BM82" i="5"/>
  <c r="CZ63" i="5"/>
  <c r="CZ11" i="5"/>
  <c r="CZ82" i="5"/>
  <c r="CZ132" i="5"/>
  <c r="CR82" i="5"/>
  <c r="BX116" i="5"/>
  <c r="BL91" i="5"/>
  <c r="DC63" i="5"/>
  <c r="CQ71" i="5"/>
  <c r="CM82" i="5"/>
  <c r="CM71" i="5"/>
  <c r="CM52" i="5"/>
  <c r="CM11" i="5"/>
  <c r="CE116" i="5"/>
  <c r="CE132" i="5"/>
  <c r="BW82" i="5"/>
  <c r="BW116" i="5"/>
  <c r="BW132" i="5"/>
  <c r="BS71" i="5"/>
  <c r="BS82" i="5"/>
  <c r="BK11" i="5"/>
  <c r="BK91" i="5"/>
  <c r="BK132" i="5"/>
  <c r="BK71" i="5"/>
  <c r="BK63" i="5"/>
  <c r="BK82" i="5"/>
  <c r="BK52" i="5"/>
  <c r="BK116" i="5"/>
  <c r="BI15" i="5"/>
  <c r="BI31" i="5"/>
  <c r="BI72" i="5"/>
  <c r="BI28" i="5"/>
  <c r="BI46" i="5"/>
  <c r="BI106" i="5"/>
  <c r="BI26" i="5"/>
  <c r="BI49" i="5"/>
  <c r="BI85" i="5"/>
  <c r="BI137" i="5"/>
  <c r="BI29" i="5"/>
  <c r="BI47" i="5"/>
  <c r="BI65" i="5"/>
  <c r="BI83" i="5"/>
  <c r="BI107" i="5"/>
  <c r="BI48" i="5"/>
  <c r="BI66" i="5"/>
  <c r="BI84" i="5"/>
  <c r="BI96" i="5"/>
  <c r="BI112" i="5"/>
  <c r="BI129" i="5"/>
  <c r="BI97" i="5"/>
  <c r="BI113" i="5"/>
  <c r="BI130" i="5"/>
  <c r="BI30" i="5"/>
  <c r="BI45" i="5"/>
  <c r="BI80" i="5"/>
  <c r="BI50" i="5"/>
  <c r="BI86" i="5"/>
  <c r="BI114" i="5"/>
  <c r="BI58" i="5"/>
  <c r="BI95" i="5"/>
  <c r="BI33" i="5"/>
  <c r="BI51" i="5"/>
  <c r="BI69" i="5"/>
  <c r="BI87" i="5"/>
  <c r="BI115" i="5"/>
  <c r="BI35" i="5"/>
  <c r="BI70" i="5"/>
  <c r="BI88" i="5"/>
  <c r="BI119" i="5"/>
  <c r="BI100" i="5"/>
  <c r="BI117" i="5"/>
  <c r="BI134" i="5"/>
  <c r="BI101" i="5"/>
  <c r="BI118" i="5"/>
  <c r="BI135" i="5"/>
  <c r="BI13" i="5"/>
  <c r="BI89" i="5"/>
  <c r="BI37" i="5"/>
  <c r="BI55" i="5"/>
  <c r="BI73" i="5"/>
  <c r="BI90" i="5"/>
  <c r="BI123" i="5"/>
  <c r="BI27" i="5"/>
  <c r="BI103" i="5"/>
  <c r="BI38" i="5"/>
  <c r="BI56" i="5"/>
  <c r="BI74" i="5"/>
  <c r="BI92" i="5"/>
  <c r="BI124" i="5"/>
  <c r="BI39" i="5"/>
  <c r="BI75" i="5"/>
  <c r="BI127" i="5"/>
  <c r="BI104" i="5"/>
  <c r="BI121" i="5"/>
  <c r="BI138" i="5"/>
  <c r="BI105" i="5"/>
  <c r="BI122" i="5"/>
  <c r="BI36" i="5"/>
  <c r="BI111" i="5"/>
  <c r="BI23" i="5"/>
  <c r="BI42" i="5"/>
  <c r="BI98" i="5"/>
  <c r="BI131" i="5"/>
  <c r="BI41" i="5"/>
  <c r="BI76" i="5"/>
  <c r="BI120" i="5"/>
  <c r="BI25" i="5"/>
  <c r="BI43" i="5"/>
  <c r="BI99" i="5"/>
  <c r="BI44" i="5"/>
  <c r="BI79" i="5"/>
  <c r="BI102" i="5"/>
  <c r="BI136" i="5"/>
  <c r="BI108" i="5"/>
  <c r="BI125" i="5"/>
  <c r="BI93" i="5"/>
  <c r="BI109" i="5"/>
  <c r="BI126" i="5"/>
  <c r="CZ9" i="5" l="1"/>
  <c r="CT9" i="5"/>
  <c r="CX9" i="5"/>
  <c r="CB9" i="5"/>
  <c r="CY9" i="5"/>
  <c r="CE9" i="5"/>
  <c r="CV9" i="5"/>
  <c r="DF9" i="5"/>
  <c r="CP9" i="5"/>
  <c r="CN9" i="5"/>
  <c r="CW9" i="5"/>
  <c r="CD9" i="5"/>
  <c r="DE9" i="5"/>
  <c r="CI9" i="5"/>
  <c r="CH9" i="5"/>
  <c r="CQ9" i="5"/>
  <c r="CO9" i="5"/>
  <c r="CS9" i="5"/>
  <c r="CU9" i="5"/>
  <c r="CG9" i="5"/>
  <c r="DA9" i="5"/>
  <c r="DD9" i="5"/>
  <c r="CJ9" i="5"/>
  <c r="BK9" i="5"/>
  <c r="CM9" i="5"/>
  <c r="CC9" i="5"/>
  <c r="DB9" i="5"/>
  <c r="DC9" i="5"/>
  <c r="CF9" i="5"/>
  <c r="CL9" i="5"/>
  <c r="CK9" i="5"/>
  <c r="CR9" i="5"/>
  <c r="BI82" i="5"/>
  <c r="G9" i="9"/>
  <c r="G181" i="9"/>
  <c r="I114" i="5" l="1"/>
  <c r="A114" i="5" s="1"/>
  <c r="I113" i="5"/>
  <c r="A113" i="5" s="1"/>
  <c r="I112" i="5"/>
  <c r="A112" i="5" s="1"/>
  <c r="I111" i="5"/>
  <c r="A111" i="5" s="1"/>
  <c r="I110" i="5"/>
  <c r="A110" i="5" s="1"/>
  <c r="I109" i="5"/>
  <c r="A109" i="5" s="1"/>
  <c r="I108" i="5"/>
  <c r="A108" i="5" s="1"/>
  <c r="I107" i="5"/>
  <c r="A107" i="5" s="1"/>
  <c r="I106" i="5"/>
  <c r="A106" i="5" s="1"/>
  <c r="I105" i="5"/>
  <c r="A105" i="5" s="1"/>
  <c r="I104" i="5"/>
  <c r="A104" i="5" s="1"/>
  <c r="I103" i="5"/>
  <c r="A103" i="5" s="1"/>
  <c r="I102" i="5"/>
  <c r="A102" i="5" s="1"/>
  <c r="I101" i="5"/>
  <c r="A101" i="5" s="1"/>
  <c r="I100" i="5"/>
  <c r="A100" i="5" s="1"/>
  <c r="I98" i="5"/>
  <c r="A98" i="5" s="1"/>
  <c r="I97" i="5"/>
  <c r="A97" i="5" s="1"/>
  <c r="I96" i="5"/>
  <c r="A96" i="5" s="1"/>
  <c r="I95" i="5"/>
  <c r="A95" i="5" s="1"/>
  <c r="I94" i="5"/>
  <c r="A94" i="5" s="1"/>
  <c r="I93" i="5"/>
  <c r="A93" i="5" s="1"/>
  <c r="I92" i="5"/>
  <c r="A92" i="5" s="1"/>
  <c r="I89" i="5"/>
  <c r="A89" i="5" s="1"/>
  <c r="I88" i="5"/>
  <c r="A88" i="5" s="1"/>
  <c r="I87" i="5"/>
  <c r="A87" i="5" s="1"/>
  <c r="I86" i="5"/>
  <c r="A86" i="5" s="1"/>
  <c r="I85" i="5"/>
  <c r="A85" i="5" s="1"/>
  <c r="I84" i="5"/>
  <c r="A84" i="5" s="1"/>
  <c r="I83" i="5"/>
  <c r="A83" i="5" s="1"/>
  <c r="I80" i="5"/>
  <c r="A80" i="5" s="1"/>
  <c r="I79" i="5"/>
  <c r="A79" i="5" s="1"/>
  <c r="I78" i="5"/>
  <c r="A78" i="5" s="1"/>
  <c r="I77" i="5"/>
  <c r="A77" i="5" s="1"/>
  <c r="I76" i="5"/>
  <c r="A76" i="5" s="1"/>
  <c r="I75" i="5"/>
  <c r="A75" i="5" s="1"/>
  <c r="I74" i="5"/>
  <c r="A74" i="5" s="1"/>
  <c r="I73" i="5"/>
  <c r="A73" i="5" s="1"/>
  <c r="I72" i="5"/>
  <c r="A72" i="5" s="1"/>
  <c r="I70" i="5"/>
  <c r="A70" i="5" s="1"/>
  <c r="I69" i="5"/>
  <c r="A69" i="5" s="1"/>
  <c r="I68" i="5"/>
  <c r="A68" i="5" s="1"/>
  <c r="I67" i="5"/>
  <c r="A67" i="5" s="1"/>
  <c r="I66" i="5"/>
  <c r="A66" i="5" s="1"/>
  <c r="I62" i="5"/>
  <c r="A62" i="5" s="1"/>
  <c r="I61" i="5"/>
  <c r="A61" i="5" s="1"/>
  <c r="I60" i="5"/>
  <c r="A60" i="5" s="1"/>
  <c r="A59" i="5"/>
  <c r="I58" i="5"/>
  <c r="A58" i="5" s="1"/>
  <c r="I57" i="5"/>
  <c r="A57" i="5" s="1"/>
  <c r="I56" i="5"/>
  <c r="A56" i="5" s="1"/>
  <c r="I55" i="5"/>
  <c r="A55" i="5" s="1"/>
  <c r="I54" i="5"/>
  <c r="A54" i="5" s="1"/>
  <c r="I53" i="5"/>
  <c r="A53" i="5" s="1"/>
  <c r="I51" i="5"/>
  <c r="A51" i="5" s="1"/>
  <c r="I50" i="5"/>
  <c r="A50" i="5" s="1"/>
  <c r="I49" i="5"/>
  <c r="A49" i="5" s="1"/>
  <c r="I48" i="5"/>
  <c r="A48" i="5" s="1"/>
  <c r="I47" i="5"/>
  <c r="A47" i="5" s="1"/>
  <c r="I46" i="5"/>
  <c r="A46" i="5" s="1"/>
  <c r="I45" i="5"/>
  <c r="A45" i="5" s="1"/>
  <c r="I44" i="5"/>
  <c r="A44" i="5" s="1"/>
  <c r="I43" i="5"/>
  <c r="A43" i="5" s="1"/>
  <c r="I42" i="5"/>
  <c r="A42" i="5" s="1"/>
  <c r="I41" i="5"/>
  <c r="A41" i="5" s="1"/>
  <c r="I39" i="5"/>
  <c r="A39" i="5" s="1"/>
  <c r="I36" i="5"/>
  <c r="A36" i="5" s="1"/>
  <c r="I35" i="5"/>
  <c r="A35" i="5" s="1"/>
  <c r="I33" i="5"/>
  <c r="A33" i="5" s="1"/>
  <c r="I32" i="5"/>
  <c r="A32" i="5" s="1"/>
  <c r="I31" i="5"/>
  <c r="A31" i="5" s="1"/>
  <c r="I30" i="5"/>
  <c r="A30" i="5" s="1"/>
  <c r="I29" i="5"/>
  <c r="A29" i="5" s="1"/>
  <c r="I28" i="5"/>
  <c r="A28" i="5" s="1"/>
  <c r="I27" i="5"/>
  <c r="A27" i="5" s="1"/>
  <c r="I26" i="5"/>
  <c r="A26" i="5" s="1"/>
  <c r="I25" i="5"/>
  <c r="A25" i="5" s="1"/>
  <c r="I23" i="5"/>
  <c r="A23" i="5" s="1"/>
  <c r="I22" i="5"/>
  <c r="A22" i="5" s="1"/>
  <c r="I21" i="5"/>
  <c r="A21" i="5" s="1"/>
  <c r="I19" i="5"/>
  <c r="A19" i="5" s="1"/>
  <c r="I17" i="5"/>
  <c r="A17" i="5" s="1"/>
  <c r="I16" i="5"/>
  <c r="A16" i="5" s="1"/>
  <c r="I15" i="5"/>
  <c r="A15" i="5" s="1"/>
  <c r="I14" i="5"/>
  <c r="A14" i="5" s="1"/>
  <c r="BF132" i="5"/>
  <c r="BA132" i="5"/>
  <c r="AZ132" i="5"/>
  <c r="BF116" i="5"/>
  <c r="BE116" i="5"/>
  <c r="BD116" i="5"/>
  <c r="BC116" i="5"/>
  <c r="BB116" i="5"/>
  <c r="BA116" i="5"/>
  <c r="AZ116" i="5"/>
  <c r="AY116" i="5"/>
  <c r="AX116" i="5"/>
  <c r="AW116" i="5"/>
  <c r="AV116" i="5"/>
  <c r="AU116" i="5"/>
  <c r="AT116" i="5"/>
  <c r="AS116" i="5"/>
  <c r="AR116" i="5"/>
  <c r="AQ116" i="5"/>
  <c r="AP116" i="5"/>
  <c r="AO116" i="5"/>
  <c r="AN116" i="5"/>
  <c r="AM116" i="5"/>
  <c r="AL116" i="5"/>
  <c r="AK116" i="5"/>
  <c r="AJ116" i="5"/>
  <c r="AI116" i="5"/>
  <c r="AH116" i="5"/>
  <c r="AG116" i="5"/>
  <c r="AF116" i="5"/>
  <c r="AE116" i="5"/>
  <c r="AD116" i="5"/>
  <c r="AC116" i="5"/>
  <c r="AB116" i="5"/>
  <c r="AA116" i="5"/>
  <c r="Z116" i="5"/>
  <c r="Y116" i="5"/>
  <c r="X116" i="5"/>
  <c r="W116" i="5"/>
  <c r="V116" i="5"/>
  <c r="U116" i="5"/>
  <c r="T116" i="5"/>
  <c r="S116" i="5"/>
  <c r="R116" i="5"/>
  <c r="Q116" i="5"/>
  <c r="P116" i="5"/>
  <c r="O116" i="5"/>
  <c r="N116" i="5"/>
  <c r="M116" i="5"/>
  <c r="L116" i="5"/>
  <c r="BF91" i="5"/>
  <c r="BE91" i="5"/>
  <c r="BD91" i="5"/>
  <c r="BC91" i="5"/>
  <c r="BB91" i="5"/>
  <c r="BA91" i="5"/>
  <c r="AZ91" i="5"/>
  <c r="AY91" i="5"/>
  <c r="AX91" i="5"/>
  <c r="AW91" i="5"/>
  <c r="AV91" i="5"/>
  <c r="AU91" i="5"/>
  <c r="AT91" i="5"/>
  <c r="AS91" i="5"/>
  <c r="AR91" i="5"/>
  <c r="AQ91" i="5"/>
  <c r="AP91" i="5"/>
  <c r="AO91" i="5"/>
  <c r="AN91" i="5"/>
  <c r="AM91" i="5"/>
  <c r="AL91" i="5"/>
  <c r="AK91" i="5"/>
  <c r="AJ91" i="5"/>
  <c r="AI91" i="5"/>
  <c r="AH91" i="5"/>
  <c r="AG91" i="5"/>
  <c r="AF91" i="5"/>
  <c r="AE91" i="5"/>
  <c r="AD91" i="5"/>
  <c r="AC91" i="5"/>
  <c r="AB91" i="5"/>
  <c r="AA91" i="5"/>
  <c r="Z91" i="5"/>
  <c r="Y91" i="5"/>
  <c r="X91" i="5"/>
  <c r="W91" i="5"/>
  <c r="V91" i="5"/>
  <c r="U91" i="5"/>
  <c r="T91" i="5"/>
  <c r="S91" i="5"/>
  <c r="R91" i="5"/>
  <c r="Q91" i="5"/>
  <c r="P91" i="5"/>
  <c r="O91" i="5"/>
  <c r="N91" i="5"/>
  <c r="M91" i="5"/>
  <c r="L91" i="5"/>
  <c r="BF82" i="5"/>
  <c r="BE82" i="5"/>
  <c r="BD82" i="5"/>
  <c r="BC82" i="5"/>
  <c r="BB82" i="5"/>
  <c r="BA82" i="5"/>
  <c r="AZ82" i="5"/>
  <c r="AY82" i="5"/>
  <c r="AX82" i="5"/>
  <c r="AW82" i="5"/>
  <c r="AV82" i="5"/>
  <c r="AU82" i="5"/>
  <c r="AT82" i="5"/>
  <c r="AS82" i="5"/>
  <c r="AR82" i="5"/>
  <c r="AQ82" i="5"/>
  <c r="AP82" i="5"/>
  <c r="AO82" i="5"/>
  <c r="AN82" i="5"/>
  <c r="AM82" i="5"/>
  <c r="AL82" i="5"/>
  <c r="AK82" i="5"/>
  <c r="AJ82" i="5"/>
  <c r="AI82" i="5"/>
  <c r="AH82" i="5"/>
  <c r="AG82" i="5"/>
  <c r="AF82" i="5"/>
  <c r="AE82" i="5"/>
  <c r="AD82" i="5"/>
  <c r="AC82" i="5"/>
  <c r="AB82" i="5"/>
  <c r="AA82" i="5"/>
  <c r="Z82" i="5"/>
  <c r="Y82" i="5"/>
  <c r="X82" i="5"/>
  <c r="W82" i="5"/>
  <c r="V82" i="5"/>
  <c r="U82" i="5"/>
  <c r="T82" i="5"/>
  <c r="S82" i="5"/>
  <c r="R82" i="5"/>
  <c r="Q82" i="5"/>
  <c r="P82" i="5"/>
  <c r="O82" i="5"/>
  <c r="N82" i="5"/>
  <c r="M82" i="5"/>
  <c r="L82" i="5"/>
  <c r="BF71" i="5"/>
  <c r="BE71" i="5"/>
  <c r="BD71" i="5"/>
  <c r="BC71" i="5"/>
  <c r="BB71" i="5"/>
  <c r="BA71" i="5"/>
  <c r="AZ71" i="5"/>
  <c r="AY71" i="5"/>
  <c r="AX71" i="5"/>
  <c r="AW71" i="5"/>
  <c r="AV71" i="5"/>
  <c r="AU71" i="5"/>
  <c r="AT71" i="5"/>
  <c r="AS71" i="5"/>
  <c r="AR71" i="5"/>
  <c r="AQ71" i="5"/>
  <c r="AP71" i="5"/>
  <c r="AO71" i="5"/>
  <c r="AN71" i="5"/>
  <c r="AM71" i="5"/>
  <c r="AL71" i="5"/>
  <c r="AK71" i="5"/>
  <c r="AJ71" i="5"/>
  <c r="AI71" i="5"/>
  <c r="AH71" i="5"/>
  <c r="AG71" i="5"/>
  <c r="AF71" i="5"/>
  <c r="AE71" i="5"/>
  <c r="AD71" i="5"/>
  <c r="AC71" i="5"/>
  <c r="AB71" i="5"/>
  <c r="AA71" i="5"/>
  <c r="Z71" i="5"/>
  <c r="Y71" i="5"/>
  <c r="X71" i="5"/>
  <c r="W71" i="5"/>
  <c r="V71" i="5"/>
  <c r="U71" i="5"/>
  <c r="T71" i="5"/>
  <c r="S71" i="5"/>
  <c r="R71" i="5"/>
  <c r="Q71" i="5"/>
  <c r="P71" i="5"/>
  <c r="O71" i="5"/>
  <c r="N71" i="5"/>
  <c r="M71" i="5"/>
  <c r="L71" i="5"/>
  <c r="BF63" i="5"/>
  <c r="BE63" i="5"/>
  <c r="BD63" i="5"/>
  <c r="BC63" i="5"/>
  <c r="BB63" i="5"/>
  <c r="BA63" i="5"/>
  <c r="AZ63" i="5"/>
  <c r="AY63" i="5"/>
  <c r="AX63" i="5"/>
  <c r="AW63" i="5"/>
  <c r="AV63" i="5"/>
  <c r="AU63" i="5"/>
  <c r="AT63" i="5"/>
  <c r="AS63" i="5"/>
  <c r="AR63" i="5"/>
  <c r="AQ63" i="5"/>
  <c r="AP63" i="5"/>
  <c r="AO63" i="5"/>
  <c r="AN63" i="5"/>
  <c r="AM63" i="5"/>
  <c r="AL63" i="5"/>
  <c r="AK63" i="5"/>
  <c r="AJ63" i="5"/>
  <c r="AI63" i="5"/>
  <c r="AH63" i="5"/>
  <c r="AG63" i="5"/>
  <c r="AF63" i="5"/>
  <c r="AE63" i="5"/>
  <c r="AD63" i="5"/>
  <c r="AC63" i="5"/>
  <c r="AB63" i="5"/>
  <c r="AA63" i="5"/>
  <c r="Z63" i="5"/>
  <c r="Y63" i="5"/>
  <c r="X63" i="5"/>
  <c r="W63" i="5"/>
  <c r="V63" i="5"/>
  <c r="U63" i="5"/>
  <c r="T63" i="5"/>
  <c r="S63" i="5"/>
  <c r="R63" i="5"/>
  <c r="Q63" i="5"/>
  <c r="P63" i="5"/>
  <c r="O63" i="5"/>
  <c r="N63" i="5"/>
  <c r="M63" i="5"/>
  <c r="L63" i="5"/>
  <c r="BF52" i="5"/>
  <c r="BE52" i="5"/>
  <c r="BD52" i="5"/>
  <c r="BC52" i="5"/>
  <c r="BB52" i="5"/>
  <c r="BA52" i="5"/>
  <c r="AZ52" i="5"/>
  <c r="AY52" i="5"/>
  <c r="AX52" i="5"/>
  <c r="AW52" i="5"/>
  <c r="AV52" i="5"/>
  <c r="AU52" i="5"/>
  <c r="AT52" i="5"/>
  <c r="AS52" i="5"/>
  <c r="AR52" i="5"/>
  <c r="AQ52" i="5"/>
  <c r="AP52" i="5"/>
  <c r="AO52" i="5"/>
  <c r="AN52" i="5"/>
  <c r="AM52" i="5"/>
  <c r="AL52" i="5"/>
  <c r="AK52" i="5"/>
  <c r="AJ52" i="5"/>
  <c r="AI52" i="5"/>
  <c r="AH52" i="5"/>
  <c r="AG52" i="5"/>
  <c r="AF52" i="5"/>
  <c r="AE52" i="5"/>
  <c r="AD52" i="5"/>
  <c r="AC52" i="5"/>
  <c r="AB52" i="5"/>
  <c r="AA52" i="5"/>
  <c r="Z52" i="5"/>
  <c r="Y52" i="5"/>
  <c r="X52" i="5"/>
  <c r="W52" i="5"/>
  <c r="V52" i="5"/>
  <c r="U52" i="5"/>
  <c r="T52" i="5"/>
  <c r="S52" i="5"/>
  <c r="R52" i="5"/>
  <c r="Q52" i="5"/>
  <c r="P52" i="5"/>
  <c r="O52" i="5"/>
  <c r="N52" i="5"/>
  <c r="M52" i="5"/>
  <c r="L52" i="5"/>
  <c r="BF11" i="5"/>
  <c r="BE11" i="5"/>
  <c r="BD11" i="5"/>
  <c r="BC11" i="5"/>
  <c r="BB11" i="5"/>
  <c r="BA11" i="5"/>
  <c r="AZ11" i="5"/>
  <c r="AY11" i="5"/>
  <c r="AX11" i="5"/>
  <c r="AW11" i="5"/>
  <c r="AV11" i="5"/>
  <c r="AU11" i="5"/>
  <c r="AT11" i="5"/>
  <c r="AS11" i="5"/>
  <c r="AR11" i="5"/>
  <c r="AQ11" i="5"/>
  <c r="AP11" i="5"/>
  <c r="AO11" i="5"/>
  <c r="AN11" i="5"/>
  <c r="AM11" i="5"/>
  <c r="AL11" i="5"/>
  <c r="AK11" i="5"/>
  <c r="AJ11" i="5"/>
  <c r="AI11" i="5"/>
  <c r="AH11" i="5"/>
  <c r="AG11" i="5"/>
  <c r="AF11" i="5"/>
  <c r="AE11" i="5"/>
  <c r="AD11" i="5"/>
  <c r="AC11" i="5"/>
  <c r="AB11" i="5"/>
  <c r="AA11" i="5"/>
  <c r="Z11" i="5"/>
  <c r="Y11" i="5"/>
  <c r="X11" i="5"/>
  <c r="W11" i="5"/>
  <c r="V11" i="5"/>
  <c r="U11" i="5"/>
  <c r="T11" i="5"/>
  <c r="S11" i="5"/>
  <c r="R11" i="5"/>
  <c r="Q11" i="5"/>
  <c r="P11" i="5"/>
  <c r="O11" i="5"/>
  <c r="N11" i="5"/>
  <c r="M11" i="5"/>
  <c r="L11" i="5"/>
  <c r="K116" i="5"/>
  <c r="K91" i="5"/>
  <c r="K82" i="5"/>
  <c r="K71" i="5"/>
  <c r="K63" i="5"/>
  <c r="K52" i="5"/>
  <c r="I138" i="5"/>
  <c r="A138" i="5" s="1"/>
  <c r="I137" i="5"/>
  <c r="A137" i="5" s="1"/>
  <c r="I136" i="5"/>
  <c r="A136" i="5" s="1"/>
  <c r="I135" i="5"/>
  <c r="A135" i="5" s="1"/>
  <c r="I133" i="5"/>
  <c r="A133" i="5" s="1"/>
  <c r="I118" i="5"/>
  <c r="A118" i="5" s="1"/>
  <c r="I117" i="5"/>
  <c r="A117" i="5" s="1"/>
  <c r="I115" i="5"/>
  <c r="A115" i="5" s="1"/>
  <c r="I99" i="5"/>
  <c r="A99" i="5" s="1"/>
  <c r="I90" i="5"/>
  <c r="A90" i="5" s="1"/>
  <c r="I81" i="5"/>
  <c r="A81" i="5" s="1"/>
  <c r="I65" i="5"/>
  <c r="A65" i="5" s="1"/>
  <c r="I64" i="5"/>
  <c r="A64" i="5" s="1"/>
  <c r="I38" i="5"/>
  <c r="A38" i="5" s="1"/>
  <c r="I37" i="5"/>
  <c r="A37" i="5" s="1"/>
  <c r="I20" i="5"/>
  <c r="A20" i="5" s="1"/>
  <c r="K132" i="5" l="1"/>
  <c r="Z132" i="5"/>
  <c r="AA132" i="5"/>
  <c r="AH132" i="5"/>
  <c r="AI132" i="5"/>
  <c r="AJ132" i="5"/>
  <c r="R132" i="5"/>
  <c r="S132" i="5"/>
  <c r="AR132" i="5"/>
  <c r="Q132" i="5"/>
  <c r="AQ132" i="5"/>
  <c r="Y132" i="5"/>
  <c r="AS132" i="5"/>
  <c r="V132" i="5"/>
  <c r="AN132" i="5"/>
  <c r="O132" i="5"/>
  <c r="W132" i="5"/>
  <c r="AF132" i="5"/>
  <c r="AO132" i="5"/>
  <c r="AX132" i="5"/>
  <c r="L132" i="5"/>
  <c r="T132" i="5"/>
  <c r="AB132" i="5"/>
  <c r="AK132" i="5"/>
  <c r="AU132" i="5"/>
  <c r="A24" i="5"/>
  <c r="M132" i="5"/>
  <c r="U132" i="5"/>
  <c r="AC132" i="5"/>
  <c r="AM132" i="5"/>
  <c r="AV132" i="5"/>
  <c r="A34" i="5"/>
  <c r="I134" i="5"/>
  <c r="A134" i="5" s="1"/>
  <c r="N132" i="5"/>
  <c r="AE132" i="5"/>
  <c r="AW132" i="5"/>
  <c r="P132" i="5"/>
  <c r="X132" i="5"/>
  <c r="AG132" i="5"/>
  <c r="AP132" i="5"/>
  <c r="AY132" i="5"/>
  <c r="A18" i="5"/>
  <c r="A40" i="5"/>
  <c r="I91" i="5"/>
  <c r="AD132" i="5"/>
  <c r="AL132" i="5"/>
  <c r="AT132" i="5"/>
  <c r="BB132" i="5"/>
  <c r="BC132" i="5"/>
  <c r="BD132" i="5"/>
  <c r="BE132" i="5"/>
  <c r="A91" i="5" l="1"/>
  <c r="D80" i="12"/>
  <c r="C80" i="12"/>
  <c r="H35" i="12"/>
  <c r="H31" i="12"/>
  <c r="AK11" i="7"/>
  <c r="AL11" i="7"/>
  <c r="AM11" i="7"/>
  <c r="AN11" i="7"/>
  <c r="AO11" i="7"/>
  <c r="AP11" i="7"/>
  <c r="AQ11" i="7"/>
  <c r="AR11" i="7"/>
  <c r="AS11" i="7"/>
  <c r="AT11" i="7"/>
  <c r="AU11" i="7"/>
  <c r="AV11" i="7"/>
  <c r="AW11" i="7"/>
  <c r="AX11" i="7"/>
  <c r="AY11" i="7"/>
  <c r="AZ11" i="7"/>
  <c r="BA11" i="7"/>
  <c r="BB11" i="7"/>
  <c r="BC11" i="7"/>
  <c r="BD11" i="7"/>
  <c r="BE11" i="7"/>
  <c r="BF11" i="7"/>
  <c r="BG11" i="7"/>
  <c r="BH11" i="7"/>
  <c r="BI11" i="7"/>
  <c r="AK33" i="7"/>
  <c r="AL33" i="7"/>
  <c r="AM33" i="7"/>
  <c r="AN33" i="7"/>
  <c r="AO33" i="7"/>
  <c r="AP33" i="7"/>
  <c r="AQ33" i="7"/>
  <c r="AR33" i="7"/>
  <c r="AS33" i="7"/>
  <c r="AT33" i="7"/>
  <c r="AU33" i="7"/>
  <c r="AV33" i="7"/>
  <c r="AW33" i="7"/>
  <c r="AX33" i="7"/>
  <c r="AY33" i="7"/>
  <c r="AZ33" i="7"/>
  <c r="BA33" i="7"/>
  <c r="BB33" i="7"/>
  <c r="BC33" i="7"/>
  <c r="BD33" i="7"/>
  <c r="BE33" i="7"/>
  <c r="BF33" i="7"/>
  <c r="BG33" i="7"/>
  <c r="BH33" i="7"/>
  <c r="BI33" i="7"/>
  <c r="AK55" i="7"/>
  <c r="AL55" i="7"/>
  <c r="AM55" i="7"/>
  <c r="AN55" i="7"/>
  <c r="AO55" i="7"/>
  <c r="AP55" i="7"/>
  <c r="AQ55" i="7"/>
  <c r="AR55" i="7"/>
  <c r="AS55" i="7"/>
  <c r="AT55" i="7"/>
  <c r="AU55" i="7"/>
  <c r="AV55" i="7"/>
  <c r="AW55" i="7"/>
  <c r="AX55" i="7"/>
  <c r="AY55" i="7"/>
  <c r="AZ55" i="7"/>
  <c r="BA55" i="7"/>
  <c r="BB55" i="7"/>
  <c r="BC55" i="7"/>
  <c r="BD55" i="7"/>
  <c r="BE55" i="7"/>
  <c r="BF55" i="7"/>
  <c r="BG55" i="7"/>
  <c r="BH55" i="7"/>
  <c r="BI55" i="7"/>
  <c r="AK77" i="7"/>
  <c r="AL77" i="7"/>
  <c r="AM77" i="7"/>
  <c r="AN77" i="7"/>
  <c r="AO77" i="7"/>
  <c r="AP77" i="7"/>
  <c r="AQ77" i="7"/>
  <c r="AR77" i="7"/>
  <c r="AS77" i="7"/>
  <c r="AT77" i="7"/>
  <c r="AU77" i="7"/>
  <c r="AV77" i="7"/>
  <c r="AW77" i="7"/>
  <c r="AX77" i="7"/>
  <c r="AY77" i="7"/>
  <c r="AZ77" i="7"/>
  <c r="BA77" i="7"/>
  <c r="BB77" i="7"/>
  <c r="BC77" i="7"/>
  <c r="BD77" i="7"/>
  <c r="BE77" i="7"/>
  <c r="BF77" i="7"/>
  <c r="BG77" i="7"/>
  <c r="BH77" i="7"/>
  <c r="BI77" i="7"/>
  <c r="AK121" i="7"/>
  <c r="AL121" i="7"/>
  <c r="AM121" i="7"/>
  <c r="AN121" i="7"/>
  <c r="AO121" i="7"/>
  <c r="AP121" i="7"/>
  <c r="AQ121" i="7"/>
  <c r="AR121" i="7"/>
  <c r="AS121" i="7"/>
  <c r="AT121" i="7"/>
  <c r="AU121" i="7"/>
  <c r="AV121" i="7"/>
  <c r="AW121" i="7"/>
  <c r="AX121" i="7"/>
  <c r="AY121" i="7"/>
  <c r="AZ121" i="7"/>
  <c r="BA121" i="7"/>
  <c r="BB121" i="7"/>
  <c r="BC121" i="7"/>
  <c r="BD121" i="7"/>
  <c r="BE121" i="7"/>
  <c r="BF121" i="7"/>
  <c r="BG121" i="7"/>
  <c r="BH121" i="7"/>
  <c r="BI121" i="7"/>
  <c r="AK144" i="7"/>
  <c r="AL144" i="7"/>
  <c r="AM144" i="7"/>
  <c r="AN144" i="7"/>
  <c r="AO144" i="7"/>
  <c r="AP144" i="7"/>
  <c r="AQ144" i="7"/>
  <c r="AR144" i="7"/>
  <c r="AS144" i="7"/>
  <c r="AT144" i="7"/>
  <c r="AU144" i="7"/>
  <c r="AV144" i="7"/>
  <c r="AW144" i="7"/>
  <c r="AX144" i="7"/>
  <c r="AY144" i="7"/>
  <c r="AZ144" i="7"/>
  <c r="BA144" i="7"/>
  <c r="BB144" i="7"/>
  <c r="BC144" i="7"/>
  <c r="BD144" i="7"/>
  <c r="BE144" i="7"/>
  <c r="BF144" i="7"/>
  <c r="BG144" i="7"/>
  <c r="BH144" i="7"/>
  <c r="BI144" i="7"/>
  <c r="AK166" i="7"/>
  <c r="AL166" i="7"/>
  <c r="AM166" i="7"/>
  <c r="AN166" i="7"/>
  <c r="AO166" i="7"/>
  <c r="AP166" i="7"/>
  <c r="AQ166" i="7"/>
  <c r="AR166" i="7"/>
  <c r="AS166" i="7"/>
  <c r="AT166" i="7"/>
  <c r="AU166" i="7"/>
  <c r="AV166" i="7"/>
  <c r="AW166" i="7"/>
  <c r="AX166" i="7"/>
  <c r="AY166" i="7"/>
  <c r="AZ166" i="7"/>
  <c r="BA166" i="7"/>
  <c r="BB166" i="7"/>
  <c r="BC166" i="7"/>
  <c r="BD166" i="7"/>
  <c r="BE166" i="7"/>
  <c r="BF166" i="7"/>
  <c r="BG166" i="7"/>
  <c r="BH166" i="7"/>
  <c r="BI166" i="7"/>
  <c r="AK188" i="7"/>
  <c r="AL188" i="7"/>
  <c r="AM188" i="7"/>
  <c r="AN188" i="7"/>
  <c r="AO188" i="7"/>
  <c r="AP188" i="7"/>
  <c r="AQ188" i="7"/>
  <c r="AR188" i="7"/>
  <c r="AS188" i="7"/>
  <c r="AT188" i="7"/>
  <c r="AU188" i="7"/>
  <c r="AV188" i="7"/>
  <c r="AW188" i="7"/>
  <c r="AX188" i="7"/>
  <c r="AY188" i="7"/>
  <c r="AZ188" i="7"/>
  <c r="BA188" i="7"/>
  <c r="BB188" i="7"/>
  <c r="BC188" i="7"/>
  <c r="BD188" i="7"/>
  <c r="BE188" i="7"/>
  <c r="BF188" i="7"/>
  <c r="BG188" i="7"/>
  <c r="BH188" i="7"/>
  <c r="BI188" i="7"/>
  <c r="AK210" i="7"/>
  <c r="AL210" i="7"/>
  <c r="AM210" i="7"/>
  <c r="AN210" i="7"/>
  <c r="AO210" i="7"/>
  <c r="AP210" i="7"/>
  <c r="AQ210" i="7"/>
  <c r="AR210" i="7"/>
  <c r="AS210" i="7"/>
  <c r="AT210" i="7"/>
  <c r="AU210" i="7"/>
  <c r="AV210" i="7"/>
  <c r="AW210" i="7"/>
  <c r="AX210" i="7"/>
  <c r="AY210" i="7"/>
  <c r="AZ210" i="7"/>
  <c r="BA210" i="7"/>
  <c r="BB210" i="7"/>
  <c r="BC210" i="7"/>
  <c r="BD210" i="7"/>
  <c r="BE210" i="7"/>
  <c r="BF210" i="7"/>
  <c r="BG210" i="7"/>
  <c r="BH210" i="7"/>
  <c r="BI210" i="7"/>
  <c r="AK232" i="7"/>
  <c r="AL232" i="7"/>
  <c r="AM232" i="7"/>
  <c r="AN232" i="7"/>
  <c r="AO232" i="7"/>
  <c r="AP232" i="7"/>
  <c r="AQ232" i="7"/>
  <c r="AR232" i="7"/>
  <c r="AS232" i="7"/>
  <c r="AT232" i="7"/>
  <c r="AU232" i="7"/>
  <c r="AV232" i="7"/>
  <c r="AW232" i="7"/>
  <c r="AX232" i="7"/>
  <c r="AY232" i="7"/>
  <c r="AZ232" i="7"/>
  <c r="BA232" i="7"/>
  <c r="BB232" i="7"/>
  <c r="BC232" i="7"/>
  <c r="BD232" i="7"/>
  <c r="BE232" i="7"/>
  <c r="BF232" i="7"/>
  <c r="BG232" i="7"/>
  <c r="BH232" i="7"/>
  <c r="BI232" i="7"/>
  <c r="AK255" i="7"/>
  <c r="AL255" i="7"/>
  <c r="AM255" i="7"/>
  <c r="AN255" i="7"/>
  <c r="AO255" i="7"/>
  <c r="AP255" i="7"/>
  <c r="AQ255" i="7"/>
  <c r="AR255" i="7"/>
  <c r="AS255" i="7"/>
  <c r="AT255" i="7"/>
  <c r="AU255" i="7"/>
  <c r="AV255" i="7"/>
  <c r="AW255" i="7"/>
  <c r="AX255" i="7"/>
  <c r="AY255" i="7"/>
  <c r="AZ255" i="7"/>
  <c r="BA255" i="7"/>
  <c r="BB255" i="7"/>
  <c r="BC255" i="7"/>
  <c r="BD255" i="7"/>
  <c r="BE255" i="7"/>
  <c r="BF255" i="7"/>
  <c r="BG255" i="7"/>
  <c r="BH255" i="7"/>
  <c r="BI255" i="7"/>
  <c r="AK277" i="7"/>
  <c r="AL277" i="7"/>
  <c r="AM277" i="7"/>
  <c r="AN277" i="7"/>
  <c r="AO277" i="7"/>
  <c r="AP277" i="7"/>
  <c r="AQ277" i="7"/>
  <c r="AR277" i="7"/>
  <c r="AS277" i="7"/>
  <c r="AT277" i="7"/>
  <c r="AU277" i="7"/>
  <c r="AV277" i="7"/>
  <c r="AW277" i="7"/>
  <c r="AX277" i="7"/>
  <c r="AY277" i="7"/>
  <c r="AZ277" i="7"/>
  <c r="BA277" i="7"/>
  <c r="BB277" i="7"/>
  <c r="BC277" i="7"/>
  <c r="BD277" i="7"/>
  <c r="BE277" i="7"/>
  <c r="BF277" i="7"/>
  <c r="BG277" i="7"/>
  <c r="BH277" i="7"/>
  <c r="BI277" i="7"/>
  <c r="AK299" i="7"/>
  <c r="AL299" i="7"/>
  <c r="AM299" i="7"/>
  <c r="AN299" i="7"/>
  <c r="AO299" i="7"/>
  <c r="AP299" i="7"/>
  <c r="AQ299" i="7"/>
  <c r="AR299" i="7"/>
  <c r="AS299" i="7"/>
  <c r="AT299" i="7"/>
  <c r="AU299" i="7"/>
  <c r="AV299" i="7"/>
  <c r="AW299" i="7"/>
  <c r="AX299" i="7"/>
  <c r="AY299" i="7"/>
  <c r="AZ299" i="7"/>
  <c r="BA299" i="7"/>
  <c r="BB299" i="7"/>
  <c r="BC299" i="7"/>
  <c r="BD299" i="7"/>
  <c r="BE299" i="7"/>
  <c r="BF299" i="7"/>
  <c r="BG299" i="7"/>
  <c r="BH299" i="7"/>
  <c r="BI299" i="7"/>
  <c r="AK321" i="7"/>
  <c r="AL321" i="7"/>
  <c r="AM321" i="7"/>
  <c r="AN321" i="7"/>
  <c r="AO321" i="7"/>
  <c r="AP321" i="7"/>
  <c r="AQ321" i="7"/>
  <c r="AR321" i="7"/>
  <c r="AS321" i="7"/>
  <c r="AT321" i="7"/>
  <c r="AU321" i="7"/>
  <c r="AV321" i="7"/>
  <c r="AW321" i="7"/>
  <c r="AX321" i="7"/>
  <c r="AY321" i="7"/>
  <c r="AZ321" i="7"/>
  <c r="BA321" i="7"/>
  <c r="BB321" i="7"/>
  <c r="BC321" i="7"/>
  <c r="BD321" i="7"/>
  <c r="BE321" i="7"/>
  <c r="BF321" i="7"/>
  <c r="BG321" i="7"/>
  <c r="BH321" i="7"/>
  <c r="BI321" i="7"/>
  <c r="AK343" i="7"/>
  <c r="AL343" i="7"/>
  <c r="AM343" i="7"/>
  <c r="AN343" i="7"/>
  <c r="AO343" i="7"/>
  <c r="AP343" i="7"/>
  <c r="AQ343" i="7"/>
  <c r="AR343" i="7"/>
  <c r="AS343" i="7"/>
  <c r="AT343" i="7"/>
  <c r="AU343" i="7"/>
  <c r="AV343" i="7"/>
  <c r="AW343" i="7"/>
  <c r="AX343" i="7"/>
  <c r="AY343" i="7"/>
  <c r="AZ343" i="7"/>
  <c r="BA343" i="7"/>
  <c r="BB343" i="7"/>
  <c r="BC343" i="7"/>
  <c r="BD343" i="7"/>
  <c r="BE343" i="7"/>
  <c r="BF343" i="7"/>
  <c r="BG343" i="7"/>
  <c r="BH343" i="7"/>
  <c r="BI343" i="7"/>
  <c r="C8" i="11"/>
  <c r="C4" i="11"/>
  <c r="C4" i="9"/>
  <c r="C3" i="9"/>
  <c r="E3" i="7"/>
  <c r="BL363" i="7"/>
  <c r="K363" i="7"/>
  <c r="L363" i="7" s="1"/>
  <c r="I363" i="7"/>
  <c r="BL362" i="7"/>
  <c r="K362" i="7"/>
  <c r="L362" i="7" s="1"/>
  <c r="I362" i="7"/>
  <c r="BL361" i="7"/>
  <c r="K361" i="7"/>
  <c r="L361" i="7" s="1"/>
  <c r="I361" i="7"/>
  <c r="BL360" i="7"/>
  <c r="K360" i="7"/>
  <c r="L360" i="7" s="1"/>
  <c r="I360" i="7"/>
  <c r="BL359" i="7"/>
  <c r="K359" i="7"/>
  <c r="L359" i="7" s="1"/>
  <c r="I359" i="7"/>
  <c r="BL358" i="7"/>
  <c r="K358" i="7"/>
  <c r="L358" i="7" s="1"/>
  <c r="I358" i="7"/>
  <c r="BL357" i="7"/>
  <c r="K357" i="7"/>
  <c r="L357" i="7" s="1"/>
  <c r="I357" i="7"/>
  <c r="BL356" i="7"/>
  <c r="K356" i="7"/>
  <c r="L356" i="7" s="1"/>
  <c r="I356" i="7"/>
  <c r="BL355" i="7"/>
  <c r="K355" i="7"/>
  <c r="L355" i="7" s="1"/>
  <c r="I355" i="7"/>
  <c r="BL354" i="7"/>
  <c r="K354" i="7"/>
  <c r="L354" i="7" s="1"/>
  <c r="I354" i="7"/>
  <c r="BL353" i="7"/>
  <c r="K353" i="7"/>
  <c r="L353" i="7" s="1"/>
  <c r="I353" i="7"/>
  <c r="BL352" i="7"/>
  <c r="K352" i="7"/>
  <c r="L352" i="7" s="1"/>
  <c r="I352" i="7"/>
  <c r="BL351" i="7"/>
  <c r="K351" i="7"/>
  <c r="L351" i="7" s="1"/>
  <c r="I351" i="7"/>
  <c r="BL350" i="7"/>
  <c r="K350" i="7"/>
  <c r="L350" i="7" s="1"/>
  <c r="I350" i="7"/>
  <c r="BL349" i="7"/>
  <c r="K349" i="7"/>
  <c r="L349" i="7" s="1"/>
  <c r="I349" i="7"/>
  <c r="BL348" i="7"/>
  <c r="K348" i="7"/>
  <c r="L348" i="7" s="1"/>
  <c r="I348" i="7"/>
  <c r="BL347" i="7"/>
  <c r="K347" i="7"/>
  <c r="L347" i="7" s="1"/>
  <c r="I347" i="7"/>
  <c r="BL346" i="7"/>
  <c r="K346" i="7"/>
  <c r="L346" i="7" s="1"/>
  <c r="I346" i="7"/>
  <c r="BL345" i="7"/>
  <c r="K345" i="7"/>
  <c r="L345" i="7" s="1"/>
  <c r="I345" i="7"/>
  <c r="BL344" i="7"/>
  <c r="K344" i="7"/>
  <c r="L344" i="7" s="1"/>
  <c r="I344" i="7"/>
  <c r="DI343" i="7"/>
  <c r="DH343" i="7"/>
  <c r="DG343" i="7"/>
  <c r="DF343" i="7"/>
  <c r="DE343" i="7"/>
  <c r="DD343" i="7"/>
  <c r="DC343" i="7"/>
  <c r="DB343" i="7"/>
  <c r="DA343" i="7"/>
  <c r="CZ343" i="7"/>
  <c r="CY343" i="7"/>
  <c r="CX343" i="7"/>
  <c r="CW343" i="7"/>
  <c r="CV343" i="7"/>
  <c r="CU343" i="7"/>
  <c r="CT343" i="7"/>
  <c r="CS343" i="7"/>
  <c r="CR343" i="7"/>
  <c r="CQ343" i="7"/>
  <c r="CP343" i="7"/>
  <c r="CO343" i="7"/>
  <c r="CN343" i="7"/>
  <c r="CM343" i="7"/>
  <c r="CL343" i="7"/>
  <c r="CK343" i="7"/>
  <c r="CJ343" i="7"/>
  <c r="CI343" i="7"/>
  <c r="CH343" i="7"/>
  <c r="CG343" i="7"/>
  <c r="CF343" i="7"/>
  <c r="CE343" i="7"/>
  <c r="CD343" i="7"/>
  <c r="CC343" i="7"/>
  <c r="CB343" i="7"/>
  <c r="CA343" i="7"/>
  <c r="BZ343" i="7"/>
  <c r="BY343" i="7"/>
  <c r="BX343" i="7"/>
  <c r="BW343" i="7"/>
  <c r="BV343" i="7"/>
  <c r="BU343" i="7"/>
  <c r="BT343" i="7"/>
  <c r="BS343" i="7"/>
  <c r="BR343" i="7"/>
  <c r="BQ343" i="7"/>
  <c r="BP343" i="7"/>
  <c r="BO343" i="7"/>
  <c r="AJ343" i="7"/>
  <c r="AI343" i="7"/>
  <c r="AH343" i="7"/>
  <c r="AG343" i="7"/>
  <c r="AF343" i="7"/>
  <c r="AE343" i="7"/>
  <c r="AD343" i="7"/>
  <c r="AC343" i="7"/>
  <c r="AB343" i="7"/>
  <c r="AA343" i="7"/>
  <c r="Z343" i="7"/>
  <c r="Y343" i="7"/>
  <c r="X343" i="7"/>
  <c r="W343" i="7"/>
  <c r="V343" i="7"/>
  <c r="U343" i="7"/>
  <c r="T343" i="7"/>
  <c r="S343" i="7"/>
  <c r="R343" i="7"/>
  <c r="Q343" i="7"/>
  <c r="P343" i="7"/>
  <c r="O343" i="7"/>
  <c r="N343" i="7"/>
  <c r="BL341" i="7"/>
  <c r="K341" i="7"/>
  <c r="L341" i="7" s="1"/>
  <c r="I341" i="7"/>
  <c r="BL340" i="7"/>
  <c r="K340" i="7"/>
  <c r="L340" i="7" s="1"/>
  <c r="I340" i="7"/>
  <c r="BL339" i="7"/>
  <c r="K339" i="7"/>
  <c r="L339" i="7" s="1"/>
  <c r="I339" i="7"/>
  <c r="BL338" i="7"/>
  <c r="K338" i="7"/>
  <c r="L338" i="7" s="1"/>
  <c r="I338" i="7"/>
  <c r="BL337" i="7"/>
  <c r="K337" i="7"/>
  <c r="L337" i="7" s="1"/>
  <c r="I337" i="7"/>
  <c r="BL336" i="7"/>
  <c r="K336" i="7"/>
  <c r="L336" i="7" s="1"/>
  <c r="I336" i="7"/>
  <c r="BL335" i="7"/>
  <c r="K335" i="7"/>
  <c r="L335" i="7" s="1"/>
  <c r="I335" i="7"/>
  <c r="BL334" i="7"/>
  <c r="K334" i="7"/>
  <c r="L334" i="7" s="1"/>
  <c r="I334" i="7"/>
  <c r="BL333" i="7"/>
  <c r="K333" i="7"/>
  <c r="L333" i="7" s="1"/>
  <c r="I333" i="7"/>
  <c r="BL332" i="7"/>
  <c r="K332" i="7"/>
  <c r="L332" i="7" s="1"/>
  <c r="I332" i="7"/>
  <c r="BL331" i="7"/>
  <c r="K331" i="7"/>
  <c r="L331" i="7" s="1"/>
  <c r="I331" i="7"/>
  <c r="BL330" i="7"/>
  <c r="K330" i="7"/>
  <c r="L330" i="7" s="1"/>
  <c r="I330" i="7"/>
  <c r="BL329" i="7"/>
  <c r="K329" i="7"/>
  <c r="L329" i="7" s="1"/>
  <c r="I329" i="7"/>
  <c r="BL328" i="7"/>
  <c r="K328" i="7"/>
  <c r="L328" i="7" s="1"/>
  <c r="I328" i="7"/>
  <c r="BL327" i="7"/>
  <c r="K327" i="7"/>
  <c r="L327" i="7" s="1"/>
  <c r="I327" i="7"/>
  <c r="BL326" i="7"/>
  <c r="K326" i="7"/>
  <c r="L326" i="7" s="1"/>
  <c r="I326" i="7"/>
  <c r="BL325" i="7"/>
  <c r="K325" i="7"/>
  <c r="L325" i="7" s="1"/>
  <c r="I325" i="7"/>
  <c r="BL324" i="7"/>
  <c r="K324" i="7"/>
  <c r="L324" i="7" s="1"/>
  <c r="I324" i="7"/>
  <c r="BL323" i="7"/>
  <c r="K323" i="7"/>
  <c r="L323" i="7" s="1"/>
  <c r="I323" i="7"/>
  <c r="BL322" i="7"/>
  <c r="K322" i="7"/>
  <c r="L322" i="7" s="1"/>
  <c r="I322" i="7"/>
  <c r="DI321" i="7"/>
  <c r="DH321" i="7"/>
  <c r="DG321" i="7"/>
  <c r="DF321" i="7"/>
  <c r="DE321" i="7"/>
  <c r="DD321" i="7"/>
  <c r="DC321" i="7"/>
  <c r="DB321" i="7"/>
  <c r="DA321" i="7"/>
  <c r="CZ321" i="7"/>
  <c r="CY321" i="7"/>
  <c r="CX321" i="7"/>
  <c r="CW321" i="7"/>
  <c r="CV321" i="7"/>
  <c r="CU321" i="7"/>
  <c r="CT321" i="7"/>
  <c r="CS321" i="7"/>
  <c r="CR321" i="7"/>
  <c r="CQ321" i="7"/>
  <c r="CP321" i="7"/>
  <c r="CO321" i="7"/>
  <c r="CN321" i="7"/>
  <c r="CM321" i="7"/>
  <c r="CL321" i="7"/>
  <c r="CK321" i="7"/>
  <c r="CJ321" i="7"/>
  <c r="CI321" i="7"/>
  <c r="CH321" i="7"/>
  <c r="CG321" i="7"/>
  <c r="CF321" i="7"/>
  <c r="CE321" i="7"/>
  <c r="CD321" i="7"/>
  <c r="CC321" i="7"/>
  <c r="CB321" i="7"/>
  <c r="CA321" i="7"/>
  <c r="BZ321" i="7"/>
  <c r="BY321" i="7"/>
  <c r="BX321" i="7"/>
  <c r="BW321" i="7"/>
  <c r="BV321" i="7"/>
  <c r="BU321" i="7"/>
  <c r="BT321" i="7"/>
  <c r="BS321" i="7"/>
  <c r="BR321" i="7"/>
  <c r="BQ321" i="7"/>
  <c r="BP321" i="7"/>
  <c r="BO321" i="7"/>
  <c r="AJ321" i="7"/>
  <c r="AI321" i="7"/>
  <c r="AH321" i="7"/>
  <c r="AG321" i="7"/>
  <c r="AF321" i="7"/>
  <c r="AE321" i="7"/>
  <c r="AD321" i="7"/>
  <c r="AC321" i="7"/>
  <c r="AB321" i="7"/>
  <c r="AA321" i="7"/>
  <c r="Z321" i="7"/>
  <c r="Y321" i="7"/>
  <c r="X321" i="7"/>
  <c r="W321" i="7"/>
  <c r="V321" i="7"/>
  <c r="U321" i="7"/>
  <c r="T321" i="7"/>
  <c r="S321" i="7"/>
  <c r="R321" i="7"/>
  <c r="Q321" i="7"/>
  <c r="P321" i="7"/>
  <c r="O321" i="7"/>
  <c r="N321" i="7"/>
  <c r="BL319" i="7"/>
  <c r="K319" i="7"/>
  <c r="L319" i="7" s="1"/>
  <c r="I319" i="7"/>
  <c r="BL318" i="7"/>
  <c r="K318" i="7"/>
  <c r="L318" i="7" s="1"/>
  <c r="I318" i="7"/>
  <c r="BL317" i="7"/>
  <c r="K317" i="7"/>
  <c r="L317" i="7" s="1"/>
  <c r="I317" i="7"/>
  <c r="BL316" i="7"/>
  <c r="K316" i="7"/>
  <c r="L316" i="7" s="1"/>
  <c r="I316" i="7"/>
  <c r="BL315" i="7"/>
  <c r="K315" i="7"/>
  <c r="L315" i="7" s="1"/>
  <c r="I315" i="7"/>
  <c r="BL314" i="7"/>
  <c r="K314" i="7"/>
  <c r="L314" i="7" s="1"/>
  <c r="I314" i="7"/>
  <c r="BL313" i="7"/>
  <c r="K313" i="7"/>
  <c r="L313" i="7" s="1"/>
  <c r="I313" i="7"/>
  <c r="BL312" i="7"/>
  <c r="K312" i="7"/>
  <c r="L312" i="7" s="1"/>
  <c r="I312" i="7"/>
  <c r="BL311" i="7"/>
  <c r="K311" i="7"/>
  <c r="L311" i="7" s="1"/>
  <c r="I311" i="7"/>
  <c r="BL310" i="7"/>
  <c r="K310" i="7"/>
  <c r="L310" i="7" s="1"/>
  <c r="I310" i="7"/>
  <c r="BL309" i="7"/>
  <c r="K309" i="7"/>
  <c r="L309" i="7" s="1"/>
  <c r="I309" i="7"/>
  <c r="BL308" i="7"/>
  <c r="K308" i="7"/>
  <c r="L308" i="7" s="1"/>
  <c r="I308" i="7"/>
  <c r="BL307" i="7"/>
  <c r="K307" i="7"/>
  <c r="L307" i="7" s="1"/>
  <c r="I307" i="7"/>
  <c r="BL306" i="7"/>
  <c r="K306" i="7"/>
  <c r="L306" i="7" s="1"/>
  <c r="I306" i="7"/>
  <c r="BL305" i="7"/>
  <c r="K305" i="7"/>
  <c r="L305" i="7" s="1"/>
  <c r="I305" i="7"/>
  <c r="BL304" i="7"/>
  <c r="K304" i="7"/>
  <c r="L304" i="7" s="1"/>
  <c r="I304" i="7"/>
  <c r="BL303" i="7"/>
  <c r="K303" i="7"/>
  <c r="L303" i="7" s="1"/>
  <c r="I303" i="7"/>
  <c r="BL302" i="7"/>
  <c r="K302" i="7"/>
  <c r="L302" i="7" s="1"/>
  <c r="I302" i="7"/>
  <c r="BL301" i="7"/>
  <c r="K301" i="7"/>
  <c r="L301" i="7" s="1"/>
  <c r="I301" i="7"/>
  <c r="BL300" i="7"/>
  <c r="K300" i="7"/>
  <c r="L300" i="7" s="1"/>
  <c r="I300" i="7"/>
  <c r="DI299" i="7"/>
  <c r="DH299" i="7"/>
  <c r="DG299" i="7"/>
  <c r="DF299" i="7"/>
  <c r="DE299" i="7"/>
  <c r="DD299" i="7"/>
  <c r="DC299" i="7"/>
  <c r="DB299" i="7"/>
  <c r="DA299" i="7"/>
  <c r="CZ299" i="7"/>
  <c r="CY299" i="7"/>
  <c r="CX299" i="7"/>
  <c r="CW299" i="7"/>
  <c r="CV299" i="7"/>
  <c r="CU299" i="7"/>
  <c r="CT299" i="7"/>
  <c r="CS299" i="7"/>
  <c r="CR299" i="7"/>
  <c r="CQ299" i="7"/>
  <c r="CP299" i="7"/>
  <c r="CO299" i="7"/>
  <c r="CN299" i="7"/>
  <c r="CM299" i="7"/>
  <c r="CL299" i="7"/>
  <c r="CK299" i="7"/>
  <c r="CJ299" i="7"/>
  <c r="CI299" i="7"/>
  <c r="CH299" i="7"/>
  <c r="CG299" i="7"/>
  <c r="CF299" i="7"/>
  <c r="CE299" i="7"/>
  <c r="CD299" i="7"/>
  <c r="CC299" i="7"/>
  <c r="CB299" i="7"/>
  <c r="CA299" i="7"/>
  <c r="BZ299" i="7"/>
  <c r="BY299" i="7"/>
  <c r="BX299" i="7"/>
  <c r="BW299" i="7"/>
  <c r="BV299" i="7"/>
  <c r="BU299" i="7"/>
  <c r="BT299" i="7"/>
  <c r="BS299" i="7"/>
  <c r="BR299" i="7"/>
  <c r="BQ299" i="7"/>
  <c r="BP299" i="7"/>
  <c r="BO299" i="7"/>
  <c r="AJ299" i="7"/>
  <c r="AI299" i="7"/>
  <c r="AH299" i="7"/>
  <c r="AG299" i="7"/>
  <c r="AF299" i="7"/>
  <c r="AE299" i="7"/>
  <c r="AD299" i="7"/>
  <c r="AC299" i="7"/>
  <c r="AB299" i="7"/>
  <c r="AA299" i="7"/>
  <c r="Z299" i="7"/>
  <c r="Y299" i="7"/>
  <c r="X299" i="7"/>
  <c r="W299" i="7"/>
  <c r="V299" i="7"/>
  <c r="U299" i="7"/>
  <c r="T299" i="7"/>
  <c r="S299" i="7"/>
  <c r="R299" i="7"/>
  <c r="Q299" i="7"/>
  <c r="P299" i="7"/>
  <c r="O299" i="7"/>
  <c r="N299" i="7"/>
  <c r="BL297" i="7"/>
  <c r="K297" i="7"/>
  <c r="L297" i="7" s="1"/>
  <c r="I297" i="7"/>
  <c r="BL296" i="7"/>
  <c r="K296" i="7"/>
  <c r="L296" i="7" s="1"/>
  <c r="I296" i="7"/>
  <c r="BL295" i="7"/>
  <c r="K295" i="7"/>
  <c r="L295" i="7" s="1"/>
  <c r="I295" i="7"/>
  <c r="BL294" i="7"/>
  <c r="K294" i="7"/>
  <c r="L294" i="7" s="1"/>
  <c r="I294" i="7"/>
  <c r="BL293" i="7"/>
  <c r="K293" i="7"/>
  <c r="L293" i="7" s="1"/>
  <c r="I293" i="7"/>
  <c r="BL292" i="7"/>
  <c r="K292" i="7"/>
  <c r="L292" i="7" s="1"/>
  <c r="I292" i="7"/>
  <c r="BL291" i="7"/>
  <c r="K291" i="7"/>
  <c r="L291" i="7" s="1"/>
  <c r="I291" i="7"/>
  <c r="BL290" i="7"/>
  <c r="K290" i="7"/>
  <c r="L290" i="7" s="1"/>
  <c r="I290" i="7"/>
  <c r="BL289" i="7"/>
  <c r="K289" i="7"/>
  <c r="L289" i="7" s="1"/>
  <c r="I289" i="7"/>
  <c r="BL288" i="7"/>
  <c r="K288" i="7"/>
  <c r="L288" i="7" s="1"/>
  <c r="I288" i="7"/>
  <c r="BL287" i="7"/>
  <c r="K287" i="7"/>
  <c r="L287" i="7" s="1"/>
  <c r="I287" i="7"/>
  <c r="BL286" i="7"/>
  <c r="K286" i="7"/>
  <c r="L286" i="7" s="1"/>
  <c r="I286" i="7"/>
  <c r="BL285" i="7"/>
  <c r="K285" i="7"/>
  <c r="L285" i="7" s="1"/>
  <c r="I285" i="7"/>
  <c r="BL284" i="7"/>
  <c r="K284" i="7"/>
  <c r="L284" i="7" s="1"/>
  <c r="I284" i="7"/>
  <c r="BL283" i="7"/>
  <c r="K283" i="7"/>
  <c r="L283" i="7" s="1"/>
  <c r="I283" i="7"/>
  <c r="BL282" i="7"/>
  <c r="K282" i="7"/>
  <c r="L282" i="7" s="1"/>
  <c r="I282" i="7"/>
  <c r="BL281" i="7"/>
  <c r="K281" i="7"/>
  <c r="L281" i="7" s="1"/>
  <c r="I281" i="7"/>
  <c r="BL280" i="7"/>
  <c r="K280" i="7"/>
  <c r="L280" i="7" s="1"/>
  <c r="I280" i="7"/>
  <c r="BL279" i="7"/>
  <c r="K279" i="7"/>
  <c r="L279" i="7" s="1"/>
  <c r="I279" i="7"/>
  <c r="BL278" i="7"/>
  <c r="K278" i="7"/>
  <c r="L278" i="7" s="1"/>
  <c r="I278" i="7"/>
  <c r="DI277" i="7"/>
  <c r="DH277" i="7"/>
  <c r="DG277" i="7"/>
  <c r="DF277" i="7"/>
  <c r="DE277" i="7"/>
  <c r="DD277" i="7"/>
  <c r="DC277" i="7"/>
  <c r="DB277" i="7"/>
  <c r="DA277" i="7"/>
  <c r="CZ277" i="7"/>
  <c r="CY277" i="7"/>
  <c r="CX277" i="7"/>
  <c r="CW277" i="7"/>
  <c r="CV277" i="7"/>
  <c r="CU277" i="7"/>
  <c r="CT277" i="7"/>
  <c r="CS277" i="7"/>
  <c r="CR277" i="7"/>
  <c r="CQ277" i="7"/>
  <c r="CP277" i="7"/>
  <c r="CO277" i="7"/>
  <c r="CN277" i="7"/>
  <c r="CM277" i="7"/>
  <c r="CL277" i="7"/>
  <c r="CK277" i="7"/>
  <c r="CJ277" i="7"/>
  <c r="CI277" i="7"/>
  <c r="CH277" i="7"/>
  <c r="CG277" i="7"/>
  <c r="CF277" i="7"/>
  <c r="CE277" i="7"/>
  <c r="CD277" i="7"/>
  <c r="CC277" i="7"/>
  <c r="CB277" i="7"/>
  <c r="CA277" i="7"/>
  <c r="BZ277" i="7"/>
  <c r="BY277" i="7"/>
  <c r="BX277" i="7"/>
  <c r="BW277" i="7"/>
  <c r="BV277" i="7"/>
  <c r="BU277" i="7"/>
  <c r="BT277" i="7"/>
  <c r="BS277" i="7"/>
  <c r="BR277" i="7"/>
  <c r="BQ277" i="7"/>
  <c r="BP277" i="7"/>
  <c r="BO277" i="7"/>
  <c r="AJ277" i="7"/>
  <c r="AI277" i="7"/>
  <c r="AH277" i="7"/>
  <c r="AG277" i="7"/>
  <c r="AF277" i="7"/>
  <c r="AE277" i="7"/>
  <c r="AD277" i="7"/>
  <c r="AC277" i="7"/>
  <c r="AB277" i="7"/>
  <c r="AA277" i="7"/>
  <c r="Z277" i="7"/>
  <c r="Y277" i="7"/>
  <c r="X277" i="7"/>
  <c r="W277" i="7"/>
  <c r="V277" i="7"/>
  <c r="U277" i="7"/>
  <c r="T277" i="7"/>
  <c r="S277" i="7"/>
  <c r="R277" i="7"/>
  <c r="Q277" i="7"/>
  <c r="P277" i="7"/>
  <c r="O277" i="7"/>
  <c r="N277" i="7"/>
  <c r="BL275" i="7"/>
  <c r="K275" i="7"/>
  <c r="L275" i="7" s="1"/>
  <c r="I275" i="7"/>
  <c r="BL274" i="7"/>
  <c r="K274" i="7"/>
  <c r="L274" i="7" s="1"/>
  <c r="I274" i="7"/>
  <c r="BL273" i="7"/>
  <c r="K273" i="7"/>
  <c r="L273" i="7" s="1"/>
  <c r="I273" i="7"/>
  <c r="BL272" i="7"/>
  <c r="K272" i="7"/>
  <c r="L272" i="7" s="1"/>
  <c r="I272" i="7"/>
  <c r="BL271" i="7"/>
  <c r="K271" i="7"/>
  <c r="L271" i="7" s="1"/>
  <c r="I271" i="7"/>
  <c r="BL270" i="7"/>
  <c r="K270" i="7"/>
  <c r="L270" i="7" s="1"/>
  <c r="I270" i="7"/>
  <c r="BL269" i="7"/>
  <c r="K269" i="7"/>
  <c r="L269" i="7" s="1"/>
  <c r="I269" i="7"/>
  <c r="BL268" i="7"/>
  <c r="K268" i="7"/>
  <c r="L268" i="7" s="1"/>
  <c r="I268" i="7"/>
  <c r="BL267" i="7"/>
  <c r="K267" i="7"/>
  <c r="L267" i="7" s="1"/>
  <c r="I267" i="7"/>
  <c r="BL266" i="7"/>
  <c r="K266" i="7"/>
  <c r="L266" i="7" s="1"/>
  <c r="I266" i="7"/>
  <c r="BL265" i="7"/>
  <c r="K265" i="7"/>
  <c r="L265" i="7" s="1"/>
  <c r="I265" i="7"/>
  <c r="BL264" i="7"/>
  <c r="K264" i="7"/>
  <c r="L264" i="7" s="1"/>
  <c r="I264" i="7"/>
  <c r="BL263" i="7"/>
  <c r="K263" i="7"/>
  <c r="L263" i="7" s="1"/>
  <c r="I263" i="7"/>
  <c r="BL262" i="7"/>
  <c r="K262" i="7"/>
  <c r="L262" i="7" s="1"/>
  <c r="I262" i="7"/>
  <c r="BL261" i="7"/>
  <c r="K261" i="7"/>
  <c r="L261" i="7" s="1"/>
  <c r="I261" i="7"/>
  <c r="BL260" i="7"/>
  <c r="K260" i="7"/>
  <c r="L260" i="7" s="1"/>
  <c r="I260" i="7"/>
  <c r="BL259" i="7"/>
  <c r="K259" i="7"/>
  <c r="L259" i="7" s="1"/>
  <c r="I259" i="7"/>
  <c r="BL258" i="7"/>
  <c r="K258" i="7"/>
  <c r="L258" i="7" s="1"/>
  <c r="I258" i="7"/>
  <c r="BL257" i="7"/>
  <c r="K257" i="7"/>
  <c r="L257" i="7" s="1"/>
  <c r="I257" i="7"/>
  <c r="BL256" i="7"/>
  <c r="K256" i="7"/>
  <c r="L256" i="7" s="1"/>
  <c r="I256" i="7"/>
  <c r="DI255" i="7"/>
  <c r="DH255" i="7"/>
  <c r="DG255" i="7"/>
  <c r="DF255" i="7"/>
  <c r="DE255" i="7"/>
  <c r="DD255" i="7"/>
  <c r="DC255" i="7"/>
  <c r="DB255" i="7"/>
  <c r="DA255" i="7"/>
  <c r="CZ255" i="7"/>
  <c r="CY255" i="7"/>
  <c r="CX255" i="7"/>
  <c r="CW255" i="7"/>
  <c r="CV255" i="7"/>
  <c r="CU255" i="7"/>
  <c r="CT255" i="7"/>
  <c r="CS255" i="7"/>
  <c r="CR255" i="7"/>
  <c r="CQ255" i="7"/>
  <c r="CP255" i="7"/>
  <c r="CO255" i="7"/>
  <c r="CN255" i="7"/>
  <c r="CM255" i="7"/>
  <c r="CL255" i="7"/>
  <c r="CK255" i="7"/>
  <c r="CJ255" i="7"/>
  <c r="CI255" i="7"/>
  <c r="CH255" i="7"/>
  <c r="CG255" i="7"/>
  <c r="CF255" i="7"/>
  <c r="CE255" i="7"/>
  <c r="CD255" i="7"/>
  <c r="CC255" i="7"/>
  <c r="CB255" i="7"/>
  <c r="CA255" i="7"/>
  <c r="BZ255" i="7"/>
  <c r="BY255" i="7"/>
  <c r="BX255" i="7"/>
  <c r="BW255" i="7"/>
  <c r="BV255" i="7"/>
  <c r="BU255" i="7"/>
  <c r="BT255" i="7"/>
  <c r="BS255" i="7"/>
  <c r="BR255" i="7"/>
  <c r="BQ255" i="7"/>
  <c r="BP255" i="7"/>
  <c r="BO255" i="7"/>
  <c r="AJ255" i="7"/>
  <c r="AI255" i="7"/>
  <c r="AH255" i="7"/>
  <c r="AG255" i="7"/>
  <c r="AF255" i="7"/>
  <c r="AE255" i="7"/>
  <c r="AD255" i="7"/>
  <c r="AC255" i="7"/>
  <c r="AB255" i="7"/>
  <c r="AA255" i="7"/>
  <c r="Z255" i="7"/>
  <c r="Y255" i="7"/>
  <c r="X255" i="7"/>
  <c r="W255" i="7"/>
  <c r="V255" i="7"/>
  <c r="U255" i="7"/>
  <c r="T255" i="7"/>
  <c r="S255" i="7"/>
  <c r="R255" i="7"/>
  <c r="Q255" i="7"/>
  <c r="P255" i="7"/>
  <c r="O255" i="7"/>
  <c r="N255" i="7"/>
  <c r="BL252" i="7"/>
  <c r="K252" i="7"/>
  <c r="L252" i="7" s="1"/>
  <c r="I252" i="7"/>
  <c r="BL251" i="7"/>
  <c r="K251" i="7"/>
  <c r="L251" i="7" s="1"/>
  <c r="I251" i="7"/>
  <c r="BL250" i="7"/>
  <c r="K250" i="7"/>
  <c r="L250" i="7" s="1"/>
  <c r="I250" i="7"/>
  <c r="BL249" i="7"/>
  <c r="K249" i="7"/>
  <c r="L249" i="7" s="1"/>
  <c r="I249" i="7"/>
  <c r="BL248" i="7"/>
  <c r="K248" i="7"/>
  <c r="L248" i="7" s="1"/>
  <c r="I248" i="7"/>
  <c r="BL247" i="7"/>
  <c r="K247" i="7"/>
  <c r="L247" i="7" s="1"/>
  <c r="I247" i="7"/>
  <c r="BL246" i="7"/>
  <c r="K246" i="7"/>
  <c r="L246" i="7" s="1"/>
  <c r="I246" i="7"/>
  <c r="BL245" i="7"/>
  <c r="K245" i="7"/>
  <c r="L245" i="7" s="1"/>
  <c r="I245" i="7"/>
  <c r="BL244" i="7"/>
  <c r="K244" i="7"/>
  <c r="L244" i="7" s="1"/>
  <c r="I244" i="7"/>
  <c r="BL243" i="7"/>
  <c r="K243" i="7"/>
  <c r="L243" i="7" s="1"/>
  <c r="I243" i="7"/>
  <c r="BL242" i="7"/>
  <c r="K242" i="7"/>
  <c r="L242" i="7" s="1"/>
  <c r="I242" i="7"/>
  <c r="BL241" i="7"/>
  <c r="K241" i="7"/>
  <c r="L241" i="7" s="1"/>
  <c r="I241" i="7"/>
  <c r="BL240" i="7"/>
  <c r="K240" i="7"/>
  <c r="L240" i="7" s="1"/>
  <c r="I240" i="7"/>
  <c r="BL239" i="7"/>
  <c r="K239" i="7"/>
  <c r="L239" i="7" s="1"/>
  <c r="I239" i="7"/>
  <c r="BL238" i="7"/>
  <c r="K238" i="7"/>
  <c r="L238" i="7" s="1"/>
  <c r="I238" i="7"/>
  <c r="BL237" i="7"/>
  <c r="K237" i="7"/>
  <c r="L237" i="7" s="1"/>
  <c r="I237" i="7"/>
  <c r="BL236" i="7"/>
  <c r="K236" i="7"/>
  <c r="L236" i="7" s="1"/>
  <c r="I236" i="7"/>
  <c r="BL235" i="7"/>
  <c r="K235" i="7"/>
  <c r="L235" i="7" s="1"/>
  <c r="I235" i="7"/>
  <c r="BL234" i="7"/>
  <c r="K234" i="7"/>
  <c r="L234" i="7" s="1"/>
  <c r="I234" i="7"/>
  <c r="BL233" i="7"/>
  <c r="K233" i="7"/>
  <c r="L233" i="7" s="1"/>
  <c r="I233" i="7"/>
  <c r="DI232" i="7"/>
  <c r="DH232" i="7"/>
  <c r="DG232" i="7"/>
  <c r="DF232" i="7"/>
  <c r="DE232" i="7"/>
  <c r="DD232" i="7"/>
  <c r="DC232" i="7"/>
  <c r="DB232" i="7"/>
  <c r="DA232" i="7"/>
  <c r="CZ232" i="7"/>
  <c r="CY232" i="7"/>
  <c r="CX232" i="7"/>
  <c r="CW232" i="7"/>
  <c r="CV232" i="7"/>
  <c r="CU232" i="7"/>
  <c r="CT232" i="7"/>
  <c r="CS232" i="7"/>
  <c r="CR232" i="7"/>
  <c r="CQ232" i="7"/>
  <c r="CP232" i="7"/>
  <c r="CO232" i="7"/>
  <c r="CN232" i="7"/>
  <c r="CM232" i="7"/>
  <c r="CL232" i="7"/>
  <c r="CK232" i="7"/>
  <c r="CJ232" i="7"/>
  <c r="CI232" i="7"/>
  <c r="CH232" i="7"/>
  <c r="CG232" i="7"/>
  <c r="CF232" i="7"/>
  <c r="CE232" i="7"/>
  <c r="CD232" i="7"/>
  <c r="CC232" i="7"/>
  <c r="CB232" i="7"/>
  <c r="CA232" i="7"/>
  <c r="BZ232" i="7"/>
  <c r="BY232" i="7"/>
  <c r="BX232" i="7"/>
  <c r="BW232" i="7"/>
  <c r="BV232" i="7"/>
  <c r="BU232" i="7"/>
  <c r="BT232" i="7"/>
  <c r="BS232" i="7"/>
  <c r="BR232" i="7"/>
  <c r="BQ232" i="7"/>
  <c r="BP232" i="7"/>
  <c r="BO232" i="7"/>
  <c r="AJ232" i="7"/>
  <c r="AI232" i="7"/>
  <c r="AH232" i="7"/>
  <c r="AG232" i="7"/>
  <c r="AF232" i="7"/>
  <c r="AE232" i="7"/>
  <c r="AD232" i="7"/>
  <c r="AC232" i="7"/>
  <c r="AB232" i="7"/>
  <c r="AA232" i="7"/>
  <c r="Z232" i="7"/>
  <c r="Y232" i="7"/>
  <c r="X232" i="7"/>
  <c r="W232" i="7"/>
  <c r="V232" i="7"/>
  <c r="U232" i="7"/>
  <c r="T232" i="7"/>
  <c r="S232" i="7"/>
  <c r="R232" i="7"/>
  <c r="Q232" i="7"/>
  <c r="P232" i="7"/>
  <c r="O232" i="7"/>
  <c r="N232" i="7"/>
  <c r="BL230" i="7"/>
  <c r="K230" i="7"/>
  <c r="L230" i="7" s="1"/>
  <c r="I230" i="7"/>
  <c r="BL229" i="7"/>
  <c r="K229" i="7"/>
  <c r="L229" i="7" s="1"/>
  <c r="I229" i="7"/>
  <c r="BL228" i="7"/>
  <c r="K228" i="7"/>
  <c r="L228" i="7" s="1"/>
  <c r="I228" i="7"/>
  <c r="BL227" i="7"/>
  <c r="K227" i="7"/>
  <c r="L227" i="7" s="1"/>
  <c r="I227" i="7"/>
  <c r="BL226" i="7"/>
  <c r="K226" i="7"/>
  <c r="L226" i="7" s="1"/>
  <c r="I226" i="7"/>
  <c r="BL225" i="7"/>
  <c r="K225" i="7"/>
  <c r="L225" i="7" s="1"/>
  <c r="I225" i="7"/>
  <c r="BL224" i="7"/>
  <c r="K224" i="7"/>
  <c r="L224" i="7" s="1"/>
  <c r="I224" i="7"/>
  <c r="BL223" i="7"/>
  <c r="K223" i="7"/>
  <c r="L223" i="7" s="1"/>
  <c r="I223" i="7"/>
  <c r="BL222" i="7"/>
  <c r="K222" i="7"/>
  <c r="L222" i="7" s="1"/>
  <c r="I222" i="7"/>
  <c r="BL221" i="7"/>
  <c r="K221" i="7"/>
  <c r="L221" i="7" s="1"/>
  <c r="I221" i="7"/>
  <c r="BL220" i="7"/>
  <c r="K220" i="7"/>
  <c r="L220" i="7" s="1"/>
  <c r="I220" i="7"/>
  <c r="BL219" i="7"/>
  <c r="K219" i="7"/>
  <c r="L219" i="7" s="1"/>
  <c r="I219" i="7"/>
  <c r="BL218" i="7"/>
  <c r="K218" i="7"/>
  <c r="L218" i="7" s="1"/>
  <c r="I218" i="7"/>
  <c r="BL217" i="7"/>
  <c r="K217" i="7"/>
  <c r="L217" i="7" s="1"/>
  <c r="I217" i="7"/>
  <c r="BL216" i="7"/>
  <c r="K216" i="7"/>
  <c r="L216" i="7" s="1"/>
  <c r="I216" i="7"/>
  <c r="BL215" i="7"/>
  <c r="K215" i="7"/>
  <c r="L215" i="7" s="1"/>
  <c r="I215" i="7"/>
  <c r="BL214" i="7"/>
  <c r="K214" i="7"/>
  <c r="L214" i="7" s="1"/>
  <c r="I214" i="7"/>
  <c r="BL213" i="7"/>
  <c r="K213" i="7"/>
  <c r="L213" i="7" s="1"/>
  <c r="I213" i="7"/>
  <c r="BL212" i="7"/>
  <c r="K212" i="7"/>
  <c r="L212" i="7" s="1"/>
  <c r="I212" i="7"/>
  <c r="BL211" i="7"/>
  <c r="K211" i="7"/>
  <c r="L211" i="7" s="1"/>
  <c r="I211" i="7"/>
  <c r="DI210" i="7"/>
  <c r="DH210" i="7"/>
  <c r="DG210" i="7"/>
  <c r="DF210" i="7"/>
  <c r="DE210" i="7"/>
  <c r="DD210" i="7"/>
  <c r="DC210" i="7"/>
  <c r="DB210" i="7"/>
  <c r="DA210" i="7"/>
  <c r="CZ210" i="7"/>
  <c r="CY210" i="7"/>
  <c r="CX210" i="7"/>
  <c r="CW210" i="7"/>
  <c r="CV210" i="7"/>
  <c r="CU210" i="7"/>
  <c r="CT210" i="7"/>
  <c r="CS210" i="7"/>
  <c r="CR210" i="7"/>
  <c r="CQ210" i="7"/>
  <c r="CP210" i="7"/>
  <c r="CO210" i="7"/>
  <c r="CN210" i="7"/>
  <c r="CM210" i="7"/>
  <c r="CL210" i="7"/>
  <c r="CK210" i="7"/>
  <c r="CJ210" i="7"/>
  <c r="CI210" i="7"/>
  <c r="CH210" i="7"/>
  <c r="CG210" i="7"/>
  <c r="CF210" i="7"/>
  <c r="CE210" i="7"/>
  <c r="CD210" i="7"/>
  <c r="CC210" i="7"/>
  <c r="CB210" i="7"/>
  <c r="CA210" i="7"/>
  <c r="BZ210" i="7"/>
  <c r="BY210" i="7"/>
  <c r="BX210" i="7"/>
  <c r="BW210" i="7"/>
  <c r="BV210" i="7"/>
  <c r="BU210" i="7"/>
  <c r="BT210" i="7"/>
  <c r="BS210" i="7"/>
  <c r="BR210" i="7"/>
  <c r="BQ210" i="7"/>
  <c r="BP210" i="7"/>
  <c r="BO210" i="7"/>
  <c r="AJ210" i="7"/>
  <c r="AI210" i="7"/>
  <c r="AH210" i="7"/>
  <c r="AG210" i="7"/>
  <c r="AF210" i="7"/>
  <c r="AE210" i="7"/>
  <c r="AD210" i="7"/>
  <c r="AC210" i="7"/>
  <c r="AB210" i="7"/>
  <c r="AA210" i="7"/>
  <c r="Z210" i="7"/>
  <c r="Y210" i="7"/>
  <c r="X210" i="7"/>
  <c r="W210" i="7"/>
  <c r="V210" i="7"/>
  <c r="U210" i="7"/>
  <c r="T210" i="7"/>
  <c r="S210" i="7"/>
  <c r="R210" i="7"/>
  <c r="Q210" i="7"/>
  <c r="P210" i="7"/>
  <c r="O210" i="7"/>
  <c r="N210" i="7"/>
  <c r="BL208" i="7"/>
  <c r="K208" i="7"/>
  <c r="L208" i="7" s="1"/>
  <c r="I208" i="7"/>
  <c r="BL207" i="7"/>
  <c r="K207" i="7"/>
  <c r="L207" i="7" s="1"/>
  <c r="I207" i="7"/>
  <c r="BL206" i="7"/>
  <c r="K206" i="7"/>
  <c r="L206" i="7" s="1"/>
  <c r="I206" i="7"/>
  <c r="BL205" i="7"/>
  <c r="K205" i="7"/>
  <c r="L205" i="7" s="1"/>
  <c r="I205" i="7"/>
  <c r="BL204" i="7"/>
  <c r="K204" i="7"/>
  <c r="L204" i="7" s="1"/>
  <c r="I204" i="7"/>
  <c r="BL203" i="7"/>
  <c r="K203" i="7"/>
  <c r="L203" i="7" s="1"/>
  <c r="I203" i="7"/>
  <c r="BL202" i="7"/>
  <c r="K202" i="7"/>
  <c r="L202" i="7" s="1"/>
  <c r="I202" i="7"/>
  <c r="BL201" i="7"/>
  <c r="K201" i="7"/>
  <c r="L201" i="7" s="1"/>
  <c r="I201" i="7"/>
  <c r="BL200" i="7"/>
  <c r="K200" i="7"/>
  <c r="L200" i="7" s="1"/>
  <c r="I200" i="7"/>
  <c r="BL199" i="7"/>
  <c r="K199" i="7"/>
  <c r="L199" i="7" s="1"/>
  <c r="I199" i="7"/>
  <c r="BL198" i="7"/>
  <c r="K198" i="7"/>
  <c r="L198" i="7" s="1"/>
  <c r="I198" i="7"/>
  <c r="BL197" i="7"/>
  <c r="K197" i="7"/>
  <c r="L197" i="7" s="1"/>
  <c r="I197" i="7"/>
  <c r="BL196" i="7"/>
  <c r="K196" i="7"/>
  <c r="L196" i="7" s="1"/>
  <c r="I196" i="7"/>
  <c r="BL195" i="7"/>
  <c r="K195" i="7"/>
  <c r="L195" i="7" s="1"/>
  <c r="I195" i="7"/>
  <c r="BL194" i="7"/>
  <c r="K194" i="7"/>
  <c r="L194" i="7" s="1"/>
  <c r="I194" i="7"/>
  <c r="BL193" i="7"/>
  <c r="K193" i="7"/>
  <c r="L193" i="7" s="1"/>
  <c r="I193" i="7"/>
  <c r="BL192" i="7"/>
  <c r="K192" i="7"/>
  <c r="L192" i="7" s="1"/>
  <c r="I192" i="7"/>
  <c r="BL191" i="7"/>
  <c r="K191" i="7"/>
  <c r="L191" i="7" s="1"/>
  <c r="I191" i="7"/>
  <c r="BL190" i="7"/>
  <c r="K190" i="7"/>
  <c r="L190" i="7" s="1"/>
  <c r="I190" i="7"/>
  <c r="BL189" i="7"/>
  <c r="K189" i="7"/>
  <c r="L189" i="7" s="1"/>
  <c r="I189" i="7"/>
  <c r="DI188" i="7"/>
  <c r="DH188" i="7"/>
  <c r="DG188" i="7"/>
  <c r="DF188" i="7"/>
  <c r="DE188" i="7"/>
  <c r="DD188" i="7"/>
  <c r="DC188" i="7"/>
  <c r="DB188" i="7"/>
  <c r="DA188" i="7"/>
  <c r="CZ188" i="7"/>
  <c r="CY188" i="7"/>
  <c r="CX188" i="7"/>
  <c r="CW188" i="7"/>
  <c r="CV188" i="7"/>
  <c r="CU188" i="7"/>
  <c r="CT188" i="7"/>
  <c r="CS188" i="7"/>
  <c r="CR188" i="7"/>
  <c r="CQ188" i="7"/>
  <c r="CP188" i="7"/>
  <c r="CO188" i="7"/>
  <c r="CN188" i="7"/>
  <c r="CM188" i="7"/>
  <c r="CL188" i="7"/>
  <c r="CK188" i="7"/>
  <c r="CJ188" i="7"/>
  <c r="CI188" i="7"/>
  <c r="CH188" i="7"/>
  <c r="CG188" i="7"/>
  <c r="CF188" i="7"/>
  <c r="CE188" i="7"/>
  <c r="CD188" i="7"/>
  <c r="CC188" i="7"/>
  <c r="CB188" i="7"/>
  <c r="CA188" i="7"/>
  <c r="BZ188" i="7"/>
  <c r="BY188" i="7"/>
  <c r="BX188" i="7"/>
  <c r="BW188" i="7"/>
  <c r="BV188" i="7"/>
  <c r="BU188" i="7"/>
  <c r="BT188" i="7"/>
  <c r="BS188" i="7"/>
  <c r="BR188" i="7"/>
  <c r="BQ188" i="7"/>
  <c r="BP188" i="7"/>
  <c r="BO188" i="7"/>
  <c r="AJ188" i="7"/>
  <c r="AI188" i="7"/>
  <c r="AH188" i="7"/>
  <c r="AG188" i="7"/>
  <c r="AF188" i="7"/>
  <c r="AE188" i="7"/>
  <c r="AD188" i="7"/>
  <c r="AC188" i="7"/>
  <c r="AB188" i="7"/>
  <c r="AA188" i="7"/>
  <c r="Z188" i="7"/>
  <c r="Y188" i="7"/>
  <c r="X188" i="7"/>
  <c r="W188" i="7"/>
  <c r="V188" i="7"/>
  <c r="U188" i="7"/>
  <c r="T188" i="7"/>
  <c r="S188" i="7"/>
  <c r="R188" i="7"/>
  <c r="Q188" i="7"/>
  <c r="P188" i="7"/>
  <c r="O188" i="7"/>
  <c r="N188" i="7"/>
  <c r="BL186" i="7"/>
  <c r="K186" i="7"/>
  <c r="L186" i="7" s="1"/>
  <c r="I186" i="7"/>
  <c r="BL185" i="7"/>
  <c r="K185" i="7"/>
  <c r="L185" i="7" s="1"/>
  <c r="I185" i="7"/>
  <c r="BL184" i="7"/>
  <c r="K184" i="7"/>
  <c r="L184" i="7" s="1"/>
  <c r="I184" i="7"/>
  <c r="BL183" i="7"/>
  <c r="K183" i="7"/>
  <c r="L183" i="7" s="1"/>
  <c r="I183" i="7"/>
  <c r="BL182" i="7"/>
  <c r="K182" i="7"/>
  <c r="L182" i="7" s="1"/>
  <c r="I182" i="7"/>
  <c r="BL181" i="7"/>
  <c r="K181" i="7"/>
  <c r="L181" i="7" s="1"/>
  <c r="I181" i="7"/>
  <c r="BL180" i="7"/>
  <c r="K180" i="7"/>
  <c r="L180" i="7" s="1"/>
  <c r="I180" i="7"/>
  <c r="BL179" i="7"/>
  <c r="K179" i="7"/>
  <c r="L179" i="7" s="1"/>
  <c r="I179" i="7"/>
  <c r="BL178" i="7"/>
  <c r="K178" i="7"/>
  <c r="L178" i="7" s="1"/>
  <c r="I178" i="7"/>
  <c r="BL177" i="7"/>
  <c r="K177" i="7"/>
  <c r="L177" i="7" s="1"/>
  <c r="I177" i="7"/>
  <c r="BL176" i="7"/>
  <c r="K176" i="7"/>
  <c r="L176" i="7" s="1"/>
  <c r="I176" i="7"/>
  <c r="BL175" i="7"/>
  <c r="K175" i="7"/>
  <c r="L175" i="7" s="1"/>
  <c r="I175" i="7"/>
  <c r="BL174" i="7"/>
  <c r="K174" i="7"/>
  <c r="L174" i="7" s="1"/>
  <c r="I174" i="7"/>
  <c r="BL173" i="7"/>
  <c r="K173" i="7"/>
  <c r="L173" i="7" s="1"/>
  <c r="I173" i="7"/>
  <c r="BL172" i="7"/>
  <c r="K172" i="7"/>
  <c r="L172" i="7" s="1"/>
  <c r="I172" i="7"/>
  <c r="BL171" i="7"/>
  <c r="K171" i="7"/>
  <c r="L171" i="7" s="1"/>
  <c r="I171" i="7"/>
  <c r="BL170" i="7"/>
  <c r="K170" i="7"/>
  <c r="L170" i="7" s="1"/>
  <c r="I170" i="7"/>
  <c r="BL169" i="7"/>
  <c r="K169" i="7"/>
  <c r="L169" i="7" s="1"/>
  <c r="I169" i="7"/>
  <c r="BL168" i="7"/>
  <c r="K168" i="7"/>
  <c r="L168" i="7" s="1"/>
  <c r="I168" i="7"/>
  <c r="BL167" i="7"/>
  <c r="K167" i="7"/>
  <c r="L167" i="7" s="1"/>
  <c r="I167" i="7"/>
  <c r="DI166" i="7"/>
  <c r="DH166" i="7"/>
  <c r="DG166" i="7"/>
  <c r="DF166" i="7"/>
  <c r="DE166" i="7"/>
  <c r="DD166" i="7"/>
  <c r="DC166" i="7"/>
  <c r="DB166" i="7"/>
  <c r="DA166" i="7"/>
  <c r="CZ166" i="7"/>
  <c r="CY166" i="7"/>
  <c r="CX166" i="7"/>
  <c r="CW166" i="7"/>
  <c r="CV166" i="7"/>
  <c r="CU166" i="7"/>
  <c r="CT166" i="7"/>
  <c r="CS166" i="7"/>
  <c r="CR166" i="7"/>
  <c r="CQ166" i="7"/>
  <c r="CP166" i="7"/>
  <c r="CO166" i="7"/>
  <c r="CN166" i="7"/>
  <c r="CM166" i="7"/>
  <c r="CL166" i="7"/>
  <c r="CK166" i="7"/>
  <c r="CJ166" i="7"/>
  <c r="CI166" i="7"/>
  <c r="CH166" i="7"/>
  <c r="CG166" i="7"/>
  <c r="CF166" i="7"/>
  <c r="CE166" i="7"/>
  <c r="CD166" i="7"/>
  <c r="CC166" i="7"/>
  <c r="CB166" i="7"/>
  <c r="CA166" i="7"/>
  <c r="BZ166" i="7"/>
  <c r="BY166" i="7"/>
  <c r="BX166" i="7"/>
  <c r="BW166" i="7"/>
  <c r="BV166" i="7"/>
  <c r="BU166" i="7"/>
  <c r="BT166" i="7"/>
  <c r="BS166" i="7"/>
  <c r="BR166" i="7"/>
  <c r="BQ166" i="7"/>
  <c r="BP166" i="7"/>
  <c r="BO166" i="7"/>
  <c r="AJ166" i="7"/>
  <c r="AI166" i="7"/>
  <c r="AH166" i="7"/>
  <c r="AG166" i="7"/>
  <c r="AF166" i="7"/>
  <c r="AE166" i="7"/>
  <c r="AD166" i="7"/>
  <c r="AC166" i="7"/>
  <c r="AB166" i="7"/>
  <c r="AA166" i="7"/>
  <c r="Z166" i="7"/>
  <c r="Y166" i="7"/>
  <c r="X166" i="7"/>
  <c r="W166" i="7"/>
  <c r="V166" i="7"/>
  <c r="U166" i="7"/>
  <c r="T166" i="7"/>
  <c r="S166" i="7"/>
  <c r="R166" i="7"/>
  <c r="Q166" i="7"/>
  <c r="P166" i="7"/>
  <c r="O166" i="7"/>
  <c r="N166" i="7"/>
  <c r="BL164" i="7"/>
  <c r="K164" i="7"/>
  <c r="L164" i="7" s="1"/>
  <c r="I164" i="7"/>
  <c r="BL163" i="7"/>
  <c r="K163" i="7"/>
  <c r="L163" i="7" s="1"/>
  <c r="I163" i="7"/>
  <c r="BL162" i="7"/>
  <c r="K162" i="7"/>
  <c r="L162" i="7" s="1"/>
  <c r="I162" i="7"/>
  <c r="BL161" i="7"/>
  <c r="K161" i="7"/>
  <c r="L161" i="7" s="1"/>
  <c r="I161" i="7"/>
  <c r="BL160" i="7"/>
  <c r="K160" i="7"/>
  <c r="L160" i="7" s="1"/>
  <c r="I160" i="7"/>
  <c r="BL159" i="7"/>
  <c r="K159" i="7"/>
  <c r="L159" i="7" s="1"/>
  <c r="I159" i="7"/>
  <c r="BL158" i="7"/>
  <c r="K158" i="7"/>
  <c r="L158" i="7" s="1"/>
  <c r="I158" i="7"/>
  <c r="BL157" i="7"/>
  <c r="K157" i="7"/>
  <c r="L157" i="7" s="1"/>
  <c r="I157" i="7"/>
  <c r="BL156" i="7"/>
  <c r="K156" i="7"/>
  <c r="L156" i="7" s="1"/>
  <c r="I156" i="7"/>
  <c r="BL155" i="7"/>
  <c r="K155" i="7"/>
  <c r="L155" i="7" s="1"/>
  <c r="I155" i="7"/>
  <c r="BL154" i="7"/>
  <c r="K154" i="7"/>
  <c r="L154" i="7" s="1"/>
  <c r="I154" i="7"/>
  <c r="BL153" i="7"/>
  <c r="K153" i="7"/>
  <c r="L153" i="7" s="1"/>
  <c r="I153" i="7"/>
  <c r="BL152" i="7"/>
  <c r="K152" i="7"/>
  <c r="L152" i="7" s="1"/>
  <c r="I152" i="7"/>
  <c r="BL151" i="7"/>
  <c r="K151" i="7"/>
  <c r="L151" i="7" s="1"/>
  <c r="I151" i="7"/>
  <c r="BL150" i="7"/>
  <c r="K150" i="7"/>
  <c r="L150" i="7" s="1"/>
  <c r="I150" i="7"/>
  <c r="BL149" i="7"/>
  <c r="K149" i="7"/>
  <c r="L149" i="7" s="1"/>
  <c r="I149" i="7"/>
  <c r="BL148" i="7"/>
  <c r="K148" i="7"/>
  <c r="L148" i="7" s="1"/>
  <c r="I148" i="7"/>
  <c r="BL147" i="7"/>
  <c r="K147" i="7"/>
  <c r="L147" i="7" s="1"/>
  <c r="I147" i="7"/>
  <c r="BL146" i="7"/>
  <c r="K146" i="7"/>
  <c r="L146" i="7" s="1"/>
  <c r="I146" i="7"/>
  <c r="BL145" i="7"/>
  <c r="K145" i="7"/>
  <c r="L145" i="7" s="1"/>
  <c r="I145" i="7"/>
  <c r="N144" i="7"/>
  <c r="O144" i="7"/>
  <c r="P144" i="7"/>
  <c r="Q144" i="7"/>
  <c r="R144" i="7"/>
  <c r="S144" i="7"/>
  <c r="T144" i="7"/>
  <c r="U144" i="7"/>
  <c r="V144" i="7"/>
  <c r="W144" i="7"/>
  <c r="X144" i="7"/>
  <c r="Y144" i="7"/>
  <c r="Z144" i="7"/>
  <c r="AA144" i="7"/>
  <c r="AB144" i="7"/>
  <c r="AC144" i="7"/>
  <c r="AD144" i="7"/>
  <c r="AE144" i="7"/>
  <c r="AF144" i="7"/>
  <c r="AG144" i="7"/>
  <c r="AH144" i="7"/>
  <c r="AI144" i="7"/>
  <c r="AJ144" i="7"/>
  <c r="BO144" i="7"/>
  <c r="BP144" i="7"/>
  <c r="BQ144" i="7"/>
  <c r="BR144" i="7"/>
  <c r="BS144" i="7"/>
  <c r="BT144" i="7"/>
  <c r="BU144" i="7"/>
  <c r="BV144" i="7"/>
  <c r="BW144" i="7"/>
  <c r="BX144" i="7"/>
  <c r="BY144" i="7"/>
  <c r="BZ144" i="7"/>
  <c r="CA144" i="7"/>
  <c r="CB144" i="7"/>
  <c r="CC144" i="7"/>
  <c r="CD144" i="7"/>
  <c r="CE144" i="7"/>
  <c r="CF144" i="7"/>
  <c r="CG144" i="7"/>
  <c r="CH144" i="7"/>
  <c r="CI144" i="7"/>
  <c r="CJ144" i="7"/>
  <c r="CK144" i="7"/>
  <c r="CL144" i="7"/>
  <c r="CM144" i="7"/>
  <c r="CN144" i="7"/>
  <c r="CO144" i="7"/>
  <c r="CP144" i="7"/>
  <c r="CQ144" i="7"/>
  <c r="CR144" i="7"/>
  <c r="CS144" i="7"/>
  <c r="CT144" i="7"/>
  <c r="CU144" i="7"/>
  <c r="CV144" i="7"/>
  <c r="CW144" i="7"/>
  <c r="CX144" i="7"/>
  <c r="CY144" i="7"/>
  <c r="CZ144" i="7"/>
  <c r="DA144" i="7"/>
  <c r="DB144" i="7"/>
  <c r="DC144" i="7"/>
  <c r="DD144" i="7"/>
  <c r="DE144" i="7"/>
  <c r="DF144" i="7"/>
  <c r="DG144" i="7"/>
  <c r="DH144" i="7"/>
  <c r="DI144" i="7"/>
  <c r="I124" i="7"/>
  <c r="K124" i="7"/>
  <c r="L124" i="7" s="1"/>
  <c r="BL124" i="7"/>
  <c r="I125" i="7"/>
  <c r="K125" i="7"/>
  <c r="L125" i="7" s="1"/>
  <c r="BL125" i="7"/>
  <c r="I126" i="7"/>
  <c r="K126" i="7"/>
  <c r="L126" i="7" s="1"/>
  <c r="BL126" i="7"/>
  <c r="I127" i="7"/>
  <c r="K127" i="7"/>
  <c r="L127" i="7" s="1"/>
  <c r="BL127" i="7"/>
  <c r="I128" i="7"/>
  <c r="K128" i="7"/>
  <c r="L128" i="7" s="1"/>
  <c r="BL128" i="7"/>
  <c r="I129" i="7"/>
  <c r="K129" i="7"/>
  <c r="L129" i="7" s="1"/>
  <c r="BL129" i="7"/>
  <c r="I130" i="7"/>
  <c r="K130" i="7"/>
  <c r="L130" i="7" s="1"/>
  <c r="BL130" i="7"/>
  <c r="I131" i="7"/>
  <c r="K131" i="7"/>
  <c r="L131" i="7" s="1"/>
  <c r="BL131" i="7"/>
  <c r="I132" i="7"/>
  <c r="K132" i="7"/>
  <c r="L132" i="7" s="1"/>
  <c r="BL132" i="7"/>
  <c r="I133" i="7"/>
  <c r="K133" i="7"/>
  <c r="L133" i="7" s="1"/>
  <c r="BL133" i="7"/>
  <c r="I134" i="7"/>
  <c r="K134" i="7"/>
  <c r="L134" i="7" s="1"/>
  <c r="BL134" i="7"/>
  <c r="I135" i="7"/>
  <c r="K135" i="7"/>
  <c r="L135" i="7" s="1"/>
  <c r="BL135" i="7"/>
  <c r="I136" i="7"/>
  <c r="K136" i="7"/>
  <c r="L136" i="7" s="1"/>
  <c r="BL136" i="7"/>
  <c r="I137" i="7"/>
  <c r="K137" i="7"/>
  <c r="L137" i="7" s="1"/>
  <c r="BL137" i="7"/>
  <c r="I138" i="7"/>
  <c r="K138" i="7"/>
  <c r="L138" i="7" s="1"/>
  <c r="BL138" i="7"/>
  <c r="I139" i="7"/>
  <c r="K139" i="7"/>
  <c r="L139" i="7" s="1"/>
  <c r="BL139" i="7"/>
  <c r="I140" i="7"/>
  <c r="K140" i="7"/>
  <c r="L140" i="7" s="1"/>
  <c r="BL140" i="7"/>
  <c r="I141" i="7"/>
  <c r="K141" i="7"/>
  <c r="L141" i="7" s="1"/>
  <c r="BL141" i="7"/>
  <c r="I80" i="7"/>
  <c r="K80" i="7"/>
  <c r="L80" i="7" s="1"/>
  <c r="BL80" i="7"/>
  <c r="I81" i="7"/>
  <c r="K81" i="7"/>
  <c r="L81" i="7" s="1"/>
  <c r="BL81" i="7"/>
  <c r="I82" i="7"/>
  <c r="K82" i="7"/>
  <c r="L82" i="7" s="1"/>
  <c r="BL82" i="7"/>
  <c r="I83" i="7"/>
  <c r="K83" i="7"/>
  <c r="L83" i="7" s="1"/>
  <c r="BL83" i="7"/>
  <c r="I84" i="7"/>
  <c r="K84" i="7"/>
  <c r="L84" i="7" s="1"/>
  <c r="BL84" i="7"/>
  <c r="I85" i="7"/>
  <c r="K85" i="7"/>
  <c r="L85" i="7" s="1"/>
  <c r="BL85" i="7"/>
  <c r="I86" i="7"/>
  <c r="K86" i="7"/>
  <c r="L86" i="7" s="1"/>
  <c r="BL86" i="7"/>
  <c r="I87" i="7"/>
  <c r="K87" i="7"/>
  <c r="L87" i="7" s="1"/>
  <c r="BL87" i="7"/>
  <c r="I88" i="7"/>
  <c r="K88" i="7"/>
  <c r="L88" i="7" s="1"/>
  <c r="BL88" i="7"/>
  <c r="I89" i="7"/>
  <c r="K89" i="7"/>
  <c r="L89" i="7" s="1"/>
  <c r="BL89" i="7"/>
  <c r="I90" i="7"/>
  <c r="K90" i="7"/>
  <c r="L90" i="7" s="1"/>
  <c r="BL90" i="7"/>
  <c r="I91" i="7"/>
  <c r="K91" i="7"/>
  <c r="L91" i="7" s="1"/>
  <c r="BL91" i="7"/>
  <c r="I92" i="7"/>
  <c r="K92" i="7"/>
  <c r="L92" i="7" s="1"/>
  <c r="BL92" i="7"/>
  <c r="I93" i="7"/>
  <c r="K93" i="7"/>
  <c r="L93" i="7" s="1"/>
  <c r="BL93" i="7"/>
  <c r="I94" i="7"/>
  <c r="K94" i="7"/>
  <c r="L94" i="7" s="1"/>
  <c r="BL94" i="7"/>
  <c r="I95" i="7"/>
  <c r="K95" i="7"/>
  <c r="L95" i="7" s="1"/>
  <c r="BL95" i="7"/>
  <c r="I96" i="7"/>
  <c r="K96" i="7"/>
  <c r="L96" i="7" s="1"/>
  <c r="BL96" i="7"/>
  <c r="I97" i="7"/>
  <c r="K97" i="7"/>
  <c r="L97" i="7" s="1"/>
  <c r="BL97" i="7"/>
  <c r="I58" i="7"/>
  <c r="K58" i="7"/>
  <c r="L58" i="7" s="1"/>
  <c r="BL58" i="7"/>
  <c r="I59" i="7"/>
  <c r="K59" i="7"/>
  <c r="L59" i="7" s="1"/>
  <c r="BL59" i="7"/>
  <c r="I60" i="7"/>
  <c r="K60" i="7"/>
  <c r="L60" i="7" s="1"/>
  <c r="BL60" i="7"/>
  <c r="I61" i="7"/>
  <c r="K61" i="7"/>
  <c r="L61" i="7" s="1"/>
  <c r="BL61" i="7"/>
  <c r="I62" i="7"/>
  <c r="K62" i="7"/>
  <c r="L62" i="7" s="1"/>
  <c r="BL62" i="7"/>
  <c r="I63" i="7"/>
  <c r="K63" i="7"/>
  <c r="L63" i="7" s="1"/>
  <c r="BL63" i="7"/>
  <c r="I64" i="7"/>
  <c r="K64" i="7"/>
  <c r="L64" i="7" s="1"/>
  <c r="BL64" i="7"/>
  <c r="I65" i="7"/>
  <c r="K65" i="7"/>
  <c r="L65" i="7" s="1"/>
  <c r="BL65" i="7"/>
  <c r="I66" i="7"/>
  <c r="K66" i="7"/>
  <c r="L66" i="7" s="1"/>
  <c r="BL66" i="7"/>
  <c r="I67" i="7"/>
  <c r="K67" i="7"/>
  <c r="L67" i="7" s="1"/>
  <c r="BL67" i="7"/>
  <c r="I68" i="7"/>
  <c r="K68" i="7"/>
  <c r="L68" i="7" s="1"/>
  <c r="BL68" i="7"/>
  <c r="I69" i="7"/>
  <c r="K69" i="7"/>
  <c r="L69" i="7" s="1"/>
  <c r="BL69" i="7"/>
  <c r="I70" i="7"/>
  <c r="K70" i="7"/>
  <c r="L70" i="7" s="1"/>
  <c r="BL70" i="7"/>
  <c r="I71" i="7"/>
  <c r="K71" i="7"/>
  <c r="L71" i="7" s="1"/>
  <c r="BL71" i="7"/>
  <c r="I72" i="7"/>
  <c r="K72" i="7"/>
  <c r="L72" i="7" s="1"/>
  <c r="BL72" i="7"/>
  <c r="I73" i="7"/>
  <c r="K73" i="7"/>
  <c r="L73" i="7" s="1"/>
  <c r="BL73" i="7"/>
  <c r="I74" i="7"/>
  <c r="K74" i="7"/>
  <c r="L74" i="7" s="1"/>
  <c r="BL74" i="7"/>
  <c r="I75" i="7"/>
  <c r="K75" i="7"/>
  <c r="L75" i="7" s="1"/>
  <c r="BL75" i="7"/>
  <c r="I43" i="7"/>
  <c r="K43" i="7"/>
  <c r="L43" i="7" s="1"/>
  <c r="BL43" i="7"/>
  <c r="I44" i="7"/>
  <c r="K44" i="7"/>
  <c r="L44" i="7" s="1"/>
  <c r="BL44" i="7"/>
  <c r="I45" i="7"/>
  <c r="K45" i="7"/>
  <c r="L45" i="7" s="1"/>
  <c r="BL45" i="7"/>
  <c r="I46" i="7"/>
  <c r="K46" i="7"/>
  <c r="L46" i="7" s="1"/>
  <c r="BL46" i="7"/>
  <c r="I47" i="7"/>
  <c r="K47" i="7"/>
  <c r="L47" i="7" s="1"/>
  <c r="BL47" i="7"/>
  <c r="I48" i="7"/>
  <c r="K48" i="7"/>
  <c r="L48" i="7" s="1"/>
  <c r="BL48" i="7"/>
  <c r="I49" i="7"/>
  <c r="K49" i="7"/>
  <c r="L49" i="7" s="1"/>
  <c r="BL49" i="7"/>
  <c r="I50" i="7"/>
  <c r="K50" i="7"/>
  <c r="L50" i="7" s="1"/>
  <c r="BL50" i="7"/>
  <c r="I51" i="7"/>
  <c r="K51" i="7"/>
  <c r="L51" i="7" s="1"/>
  <c r="BL51" i="7"/>
  <c r="I52" i="7"/>
  <c r="K52" i="7"/>
  <c r="L52" i="7" s="1"/>
  <c r="BL52" i="7"/>
  <c r="I53" i="7"/>
  <c r="K53" i="7"/>
  <c r="L53" i="7" s="1"/>
  <c r="BL53" i="7"/>
  <c r="S11" i="7"/>
  <c r="Q11" i="7"/>
  <c r="P11" i="7"/>
  <c r="O11" i="7"/>
  <c r="N11" i="7"/>
  <c r="I21" i="7"/>
  <c r="K21" i="7"/>
  <c r="L21" i="7" s="1"/>
  <c r="BL21" i="7"/>
  <c r="I22" i="7"/>
  <c r="K22" i="7"/>
  <c r="L22" i="7" s="1"/>
  <c r="BL22" i="7"/>
  <c r="I23" i="7"/>
  <c r="K23" i="7"/>
  <c r="L23" i="7" s="1"/>
  <c r="BL23" i="7"/>
  <c r="I24" i="7"/>
  <c r="K24" i="7"/>
  <c r="L24" i="7" s="1"/>
  <c r="BL24" i="7"/>
  <c r="I25" i="7"/>
  <c r="K25" i="7"/>
  <c r="L25" i="7" s="1"/>
  <c r="BL25" i="7"/>
  <c r="I26" i="7"/>
  <c r="K26" i="7"/>
  <c r="L26" i="7" s="1"/>
  <c r="BL26" i="7"/>
  <c r="I27" i="7"/>
  <c r="K27" i="7"/>
  <c r="L27" i="7" s="1"/>
  <c r="BL27" i="7"/>
  <c r="I28" i="7"/>
  <c r="K28" i="7"/>
  <c r="L28" i="7" s="1"/>
  <c r="BL28" i="7"/>
  <c r="I29" i="7"/>
  <c r="K29" i="7"/>
  <c r="L29" i="7" s="1"/>
  <c r="BL29" i="7"/>
  <c r="I30" i="7"/>
  <c r="K30" i="7"/>
  <c r="L30" i="7" s="1"/>
  <c r="BL30" i="7"/>
  <c r="I31" i="7"/>
  <c r="K31" i="7"/>
  <c r="L31" i="7" s="1"/>
  <c r="BL31" i="7"/>
  <c r="M16" i="11"/>
  <c r="N16" i="11" s="1"/>
  <c r="O16" i="11" s="1"/>
  <c r="S16" i="11"/>
  <c r="M17" i="11"/>
  <c r="N17" i="11" s="1"/>
  <c r="O17" i="11" s="1"/>
  <c r="S17" i="11"/>
  <c r="M18" i="11"/>
  <c r="N18" i="11" s="1"/>
  <c r="O18" i="11" s="1"/>
  <c r="S18" i="11"/>
  <c r="M21" i="11"/>
  <c r="N21" i="11" s="1"/>
  <c r="O21" i="11" s="1"/>
  <c r="S21" i="11"/>
  <c r="M22" i="11"/>
  <c r="N22" i="11"/>
  <c r="O22" i="11" s="1"/>
  <c r="S22" i="11"/>
  <c r="M34" i="11"/>
  <c r="N34" i="11" s="1"/>
  <c r="O34" i="11" s="1"/>
  <c r="S34" i="11"/>
  <c r="M23" i="11"/>
  <c r="N23" i="11" s="1"/>
  <c r="O23" i="11" s="1"/>
  <c r="S23" i="11"/>
  <c r="M33" i="11"/>
  <c r="N33" i="11" s="1"/>
  <c r="O33" i="11" s="1"/>
  <c r="S33" i="11"/>
  <c r="M31" i="11"/>
  <c r="N31" i="11" s="1"/>
  <c r="O31" i="11" s="1"/>
  <c r="S31" i="11"/>
  <c r="M32" i="11"/>
  <c r="N32" i="11" s="1"/>
  <c r="O32" i="11" s="1"/>
  <c r="S32" i="11"/>
  <c r="M30" i="11"/>
  <c r="N30" i="11" s="1"/>
  <c r="O30" i="11" s="1"/>
  <c r="S30" i="11"/>
  <c r="M39" i="11"/>
  <c r="N39" i="11" s="1"/>
  <c r="O39" i="11" s="1"/>
  <c r="S39" i="11"/>
  <c r="M40" i="11"/>
  <c r="N40" i="11" s="1"/>
  <c r="O40" i="11" s="1"/>
  <c r="S40" i="11"/>
  <c r="M35" i="11"/>
  <c r="N35" i="11" s="1"/>
  <c r="O35" i="11" s="1"/>
  <c r="S35" i="11"/>
  <c r="M36" i="11"/>
  <c r="N36" i="11" s="1"/>
  <c r="O36" i="11" s="1"/>
  <c r="S36" i="11"/>
  <c r="M37" i="11"/>
  <c r="N37" i="11" s="1"/>
  <c r="O37" i="11" s="1"/>
  <c r="S37" i="11"/>
  <c r="M38" i="11"/>
  <c r="N38" i="11" s="1"/>
  <c r="O38" i="11" s="1"/>
  <c r="S38" i="11"/>
  <c r="M25" i="11"/>
  <c r="N25" i="11" s="1"/>
  <c r="O25" i="11" s="1"/>
  <c r="S25" i="11"/>
  <c r="M26" i="11"/>
  <c r="N26" i="11" s="1"/>
  <c r="O26" i="11" s="1"/>
  <c r="S26" i="11"/>
  <c r="M41" i="11"/>
  <c r="N41" i="11" s="1"/>
  <c r="O41" i="11" s="1"/>
  <c r="S41" i="11"/>
  <c r="M42" i="11"/>
  <c r="N42" i="11" s="1"/>
  <c r="O42" i="11" s="1"/>
  <c r="S42" i="11"/>
  <c r="M43" i="11"/>
  <c r="N43" i="11" s="1"/>
  <c r="O43" i="11" s="1"/>
  <c r="S43" i="11"/>
  <c r="M44" i="11"/>
  <c r="N44" i="11" s="1"/>
  <c r="O44" i="11" s="1"/>
  <c r="S44" i="11"/>
  <c r="M45" i="11"/>
  <c r="N45" i="11" s="1"/>
  <c r="O45" i="11" s="1"/>
  <c r="S45" i="11"/>
  <c r="M46" i="11"/>
  <c r="N46" i="11" s="1"/>
  <c r="O46" i="11" s="1"/>
  <c r="S46" i="11"/>
  <c r="M47" i="11"/>
  <c r="N47" i="11" s="1"/>
  <c r="O47" i="11" s="1"/>
  <c r="S47" i="11"/>
  <c r="M48" i="11"/>
  <c r="N48" i="11"/>
  <c r="O48" i="11" s="1"/>
  <c r="S48" i="11"/>
  <c r="M49" i="11"/>
  <c r="N49" i="11" s="1"/>
  <c r="O49" i="11" s="1"/>
  <c r="S49" i="11"/>
  <c r="M50" i="11"/>
  <c r="N50" i="11" s="1"/>
  <c r="O50" i="11" s="1"/>
  <c r="S50" i="11"/>
  <c r="M51" i="11"/>
  <c r="N51" i="11" s="1"/>
  <c r="O51" i="11" s="1"/>
  <c r="S51" i="11"/>
  <c r="M52" i="11"/>
  <c r="N52" i="11" s="1"/>
  <c r="O52" i="11" s="1"/>
  <c r="S52" i="11"/>
  <c r="M53" i="11"/>
  <c r="N53" i="11" s="1"/>
  <c r="O53" i="11" s="1"/>
  <c r="S53" i="11"/>
  <c r="M54" i="11"/>
  <c r="N54" i="11" s="1"/>
  <c r="O54" i="11" s="1"/>
  <c r="S54" i="11"/>
  <c r="M55" i="11"/>
  <c r="N55" i="11" s="1"/>
  <c r="O55" i="11" s="1"/>
  <c r="S55" i="11"/>
  <c r="M56" i="11"/>
  <c r="N56" i="11"/>
  <c r="O56" i="11" s="1"/>
  <c r="S56" i="11"/>
  <c r="M57" i="11"/>
  <c r="N57" i="11" s="1"/>
  <c r="O57" i="11" s="1"/>
  <c r="S57" i="11"/>
  <c r="M58" i="11"/>
  <c r="N58" i="11" s="1"/>
  <c r="O58" i="11" s="1"/>
  <c r="S58" i="11"/>
  <c r="M59" i="11"/>
  <c r="N59" i="11" s="1"/>
  <c r="O59" i="11" s="1"/>
  <c r="S59" i="11"/>
  <c r="M60" i="11"/>
  <c r="N60" i="11" s="1"/>
  <c r="O60" i="11" s="1"/>
  <c r="S60" i="11"/>
  <c r="M61" i="11"/>
  <c r="N61" i="11" s="1"/>
  <c r="O61" i="11" s="1"/>
  <c r="S61" i="11"/>
  <c r="M62" i="11"/>
  <c r="N62" i="11" s="1"/>
  <c r="O62" i="11" s="1"/>
  <c r="S62" i="11"/>
  <c r="M63" i="11"/>
  <c r="N63" i="11" s="1"/>
  <c r="O63" i="11" s="1"/>
  <c r="S63" i="11"/>
  <c r="M64" i="11"/>
  <c r="N64" i="11" s="1"/>
  <c r="O64" i="11" s="1"/>
  <c r="S64" i="11"/>
  <c r="M65" i="11"/>
  <c r="N65" i="11" s="1"/>
  <c r="O65" i="11" s="1"/>
  <c r="S65" i="11"/>
  <c r="M66" i="11"/>
  <c r="N66" i="11" s="1"/>
  <c r="O66" i="11" s="1"/>
  <c r="S66" i="11"/>
  <c r="M67" i="11"/>
  <c r="N67" i="11" s="1"/>
  <c r="O67" i="11" s="1"/>
  <c r="S67" i="11"/>
  <c r="M68" i="11"/>
  <c r="N68" i="11" s="1"/>
  <c r="O68" i="11" s="1"/>
  <c r="S68" i="11"/>
  <c r="M69" i="11"/>
  <c r="N69" i="11" s="1"/>
  <c r="O69" i="11" s="1"/>
  <c r="S69" i="11"/>
  <c r="M70" i="11"/>
  <c r="N70" i="11" s="1"/>
  <c r="O70" i="11" s="1"/>
  <c r="S70" i="11"/>
  <c r="M71" i="11"/>
  <c r="N71" i="11" s="1"/>
  <c r="O71" i="11" s="1"/>
  <c r="S71" i="11"/>
  <c r="M72" i="11"/>
  <c r="N72" i="11" s="1"/>
  <c r="O72" i="11" s="1"/>
  <c r="S72" i="11"/>
  <c r="M73" i="11"/>
  <c r="N73" i="11" s="1"/>
  <c r="O73" i="11" s="1"/>
  <c r="S73" i="11"/>
  <c r="M74" i="11"/>
  <c r="N74" i="11" s="1"/>
  <c r="O74" i="11" s="1"/>
  <c r="S74" i="11"/>
  <c r="M75" i="11"/>
  <c r="N75" i="11" s="1"/>
  <c r="O75" i="11" s="1"/>
  <c r="S75" i="11"/>
  <c r="M76" i="11"/>
  <c r="N76" i="11" s="1"/>
  <c r="O76" i="11" s="1"/>
  <c r="S76" i="11"/>
  <c r="M77" i="11"/>
  <c r="N77" i="11" s="1"/>
  <c r="O77" i="11" s="1"/>
  <c r="S77" i="11"/>
  <c r="M78" i="11"/>
  <c r="N78" i="11" s="1"/>
  <c r="O78" i="11" s="1"/>
  <c r="S78" i="11"/>
  <c r="M79" i="11"/>
  <c r="N79" i="11" s="1"/>
  <c r="O79" i="11" s="1"/>
  <c r="S79" i="11"/>
  <c r="M80" i="11"/>
  <c r="N80" i="11" s="1"/>
  <c r="O80" i="11" s="1"/>
  <c r="S80" i="11"/>
  <c r="M81" i="11"/>
  <c r="N81" i="11" s="1"/>
  <c r="O81" i="11" s="1"/>
  <c r="S81" i="11"/>
  <c r="M82" i="11"/>
  <c r="N82" i="11" s="1"/>
  <c r="O82" i="11" s="1"/>
  <c r="S82" i="11"/>
  <c r="M83" i="11"/>
  <c r="N83" i="11" s="1"/>
  <c r="O83" i="11" s="1"/>
  <c r="S83" i="11"/>
  <c r="M84" i="11"/>
  <c r="N84" i="11" s="1"/>
  <c r="O84" i="11" s="1"/>
  <c r="S84" i="11"/>
  <c r="M85" i="11"/>
  <c r="N85" i="11" s="1"/>
  <c r="O85" i="11" s="1"/>
  <c r="S85" i="11"/>
  <c r="M86" i="11"/>
  <c r="N86" i="11" s="1"/>
  <c r="O86" i="11" s="1"/>
  <c r="S86" i="11"/>
  <c r="M87" i="11"/>
  <c r="N87" i="11" s="1"/>
  <c r="O87" i="11" s="1"/>
  <c r="S87" i="11"/>
  <c r="M88" i="11"/>
  <c r="N88" i="11" s="1"/>
  <c r="O88" i="11" s="1"/>
  <c r="S88" i="11"/>
  <c r="M89" i="11"/>
  <c r="N89" i="11" s="1"/>
  <c r="O89" i="11" s="1"/>
  <c r="S89" i="11"/>
  <c r="M90" i="11"/>
  <c r="N90" i="11" s="1"/>
  <c r="O90" i="11" s="1"/>
  <c r="S90" i="11"/>
  <c r="M91" i="11"/>
  <c r="N91" i="11" s="1"/>
  <c r="O91" i="11" s="1"/>
  <c r="S91" i="11"/>
  <c r="M92" i="11"/>
  <c r="N92" i="11" s="1"/>
  <c r="O92" i="11" s="1"/>
  <c r="S92" i="11"/>
  <c r="M93" i="11"/>
  <c r="N93" i="11" s="1"/>
  <c r="O93" i="11" s="1"/>
  <c r="S93" i="11"/>
  <c r="M94" i="11"/>
  <c r="N94" i="11" s="1"/>
  <c r="O94" i="11" s="1"/>
  <c r="S94" i="11"/>
  <c r="E9" i="7"/>
  <c r="BL123" i="7"/>
  <c r="BL122" i="7"/>
  <c r="BL79" i="7"/>
  <c r="BL78" i="7"/>
  <c r="BL57" i="7"/>
  <c r="BL56" i="7"/>
  <c r="BL42" i="7"/>
  <c r="BL41" i="7"/>
  <c r="BL40" i="7"/>
  <c r="BL39" i="7"/>
  <c r="BL38" i="7"/>
  <c r="BL37" i="7"/>
  <c r="BL36" i="7"/>
  <c r="BL35" i="7"/>
  <c r="BL34" i="7"/>
  <c r="BL13" i="7"/>
  <c r="BL14" i="7"/>
  <c r="BL15" i="7"/>
  <c r="BL16" i="7"/>
  <c r="BL17" i="7"/>
  <c r="BL18" i="7"/>
  <c r="BL19" i="7"/>
  <c r="BL20" i="7"/>
  <c r="BL12" i="7"/>
  <c r="Q92" i="11" l="1"/>
  <c r="Q68" i="11"/>
  <c r="Q84" i="11"/>
  <c r="Q76" i="11"/>
  <c r="Q60" i="11"/>
  <c r="Q38" i="11"/>
  <c r="I144" i="7"/>
  <c r="DE143" i="7"/>
  <c r="CW143" i="7"/>
  <c r="CO143" i="7"/>
  <c r="CG143" i="7"/>
  <c r="BY143" i="7"/>
  <c r="BQ143" i="7"/>
  <c r="AE143" i="7"/>
  <c r="O143" i="7"/>
  <c r="P254" i="7"/>
  <c r="AF254" i="7"/>
  <c r="BZ254" i="7"/>
  <c r="CH254" i="7"/>
  <c r="CX254" i="7"/>
  <c r="DF254" i="7"/>
  <c r="AV254" i="7"/>
  <c r="BI143" i="7"/>
  <c r="AS143" i="7"/>
  <c r="AP10" i="7"/>
  <c r="Q254" i="7"/>
  <c r="Y254" i="7"/>
  <c r="AG254" i="7"/>
  <c r="BS254" i="7"/>
  <c r="CA254" i="7"/>
  <c r="CI254" i="7"/>
  <c r="CQ254" i="7"/>
  <c r="CY254" i="7"/>
  <c r="DG254" i="7"/>
  <c r="W143" i="7"/>
  <c r="X254" i="7"/>
  <c r="BR254" i="7"/>
  <c r="CP254" i="7"/>
  <c r="BD254" i="7"/>
  <c r="AN254" i="7"/>
  <c r="BA143" i="7"/>
  <c r="AK143" i="7"/>
  <c r="BF10" i="7"/>
  <c r="AX10" i="7"/>
  <c r="AO10" i="7"/>
  <c r="R254" i="7"/>
  <c r="DD143" i="7"/>
  <c r="CF143" i="7"/>
  <c r="AD143" i="7"/>
  <c r="BC254" i="7"/>
  <c r="BH143" i="7"/>
  <c r="AW10" i="7"/>
  <c r="CU143" i="7"/>
  <c r="CE143" i="7"/>
  <c r="AC143" i="7"/>
  <c r="Z254" i="7"/>
  <c r="BT254" i="7"/>
  <c r="CR254" i="7"/>
  <c r="AL254" i="7"/>
  <c r="AQ143" i="7"/>
  <c r="BD10" i="7"/>
  <c r="CL143" i="7"/>
  <c r="AJ143" i="7"/>
  <c r="AI254" i="7"/>
  <c r="CC254" i="7"/>
  <c r="DI254" i="7"/>
  <c r="BI254" i="7"/>
  <c r="AK254" i="7"/>
  <c r="AP143" i="7"/>
  <c r="AU10" i="7"/>
  <c r="DA143" i="7"/>
  <c r="CC143" i="7"/>
  <c r="S143" i="7"/>
  <c r="AB254" i="7"/>
  <c r="AJ254" i="7"/>
  <c r="CL254" i="7"/>
  <c r="BH254" i="7"/>
  <c r="AO143" i="7"/>
  <c r="BB10" i="7"/>
  <c r="DH143" i="7"/>
  <c r="CZ143" i="7"/>
  <c r="CR143" i="7"/>
  <c r="CJ143" i="7"/>
  <c r="CB143" i="7"/>
  <c r="BT143" i="7"/>
  <c r="AH143" i="7"/>
  <c r="Z143" i="7"/>
  <c r="R143" i="7"/>
  <c r="U254" i="7"/>
  <c r="AC254" i="7"/>
  <c r="BO254" i="7"/>
  <c r="BW254" i="7"/>
  <c r="CE254" i="7"/>
  <c r="CM254" i="7"/>
  <c r="CU254" i="7"/>
  <c r="DC254" i="7"/>
  <c r="BG254" i="7"/>
  <c r="AY254" i="7"/>
  <c r="AQ254" i="7"/>
  <c r="BD143" i="7"/>
  <c r="AV143" i="7"/>
  <c r="AN143" i="7"/>
  <c r="BI10" i="7"/>
  <c r="BA10" i="7"/>
  <c r="AS10" i="7"/>
  <c r="AK10" i="7"/>
  <c r="CN143" i="7"/>
  <c r="BP143" i="7"/>
  <c r="V143" i="7"/>
  <c r="AM254" i="7"/>
  <c r="AR143" i="7"/>
  <c r="DC143" i="7"/>
  <c r="CM143" i="7"/>
  <c r="BO143" i="7"/>
  <c r="AH254" i="7"/>
  <c r="CJ254" i="7"/>
  <c r="CZ254" i="7"/>
  <c r="AT254" i="7"/>
  <c r="AY143" i="7"/>
  <c r="AV10" i="7"/>
  <c r="CT143" i="7"/>
  <c r="CD143" i="7"/>
  <c r="AB143" i="7"/>
  <c r="AA254" i="7"/>
  <c r="CK254" i="7"/>
  <c r="DA254" i="7"/>
  <c r="AS254" i="7"/>
  <c r="AX143" i="7"/>
  <c r="AM10" i="7"/>
  <c r="DI143" i="7"/>
  <c r="CK143" i="7"/>
  <c r="AI143" i="7"/>
  <c r="CD254" i="7"/>
  <c r="DB254" i="7"/>
  <c r="AR254" i="7"/>
  <c r="BE143" i="7"/>
  <c r="AL10" i="7"/>
  <c r="DG143" i="7"/>
  <c r="CY143" i="7"/>
  <c r="CQ143" i="7"/>
  <c r="CI143" i="7"/>
  <c r="CA143" i="7"/>
  <c r="BS143" i="7"/>
  <c r="AG143" i="7"/>
  <c r="Y143" i="7"/>
  <c r="Q143" i="7"/>
  <c r="N254" i="7"/>
  <c r="V254" i="7"/>
  <c r="AD254" i="7"/>
  <c r="BP254" i="7"/>
  <c r="BX254" i="7"/>
  <c r="CF254" i="7"/>
  <c r="CN254" i="7"/>
  <c r="CV254" i="7"/>
  <c r="DD254" i="7"/>
  <c r="BF254" i="7"/>
  <c r="AX254" i="7"/>
  <c r="AP254" i="7"/>
  <c r="BC143" i="7"/>
  <c r="AU143" i="7"/>
  <c r="AM143" i="7"/>
  <c r="BH10" i="7"/>
  <c r="AZ10" i="7"/>
  <c r="AR10" i="7"/>
  <c r="CV143" i="7"/>
  <c r="BX143" i="7"/>
  <c r="N143" i="7"/>
  <c r="AU254" i="7"/>
  <c r="AZ143" i="7"/>
  <c r="BE10" i="7"/>
  <c r="BW143" i="7"/>
  <c r="U143" i="7"/>
  <c r="CB254" i="7"/>
  <c r="DH254" i="7"/>
  <c r="BB254" i="7"/>
  <c r="BG143" i="7"/>
  <c r="AN10" i="7"/>
  <c r="DB143" i="7"/>
  <c r="BV143" i="7"/>
  <c r="T143" i="7"/>
  <c r="S254" i="7"/>
  <c r="BU254" i="7"/>
  <c r="CS254" i="7"/>
  <c r="BA254" i="7"/>
  <c r="BF143" i="7"/>
  <c r="BC10" i="7"/>
  <c r="CS143" i="7"/>
  <c r="BU143" i="7"/>
  <c r="AA143" i="7"/>
  <c r="T254" i="7"/>
  <c r="BV254" i="7"/>
  <c r="CT254" i="7"/>
  <c r="AZ254" i="7"/>
  <c r="AW143" i="7"/>
  <c r="AT10" i="7"/>
  <c r="DF143" i="7"/>
  <c r="CX143" i="7"/>
  <c r="CP143" i="7"/>
  <c r="CH143" i="7"/>
  <c r="BZ143" i="7"/>
  <c r="BR143" i="7"/>
  <c r="AF143" i="7"/>
  <c r="X143" i="7"/>
  <c r="P143" i="7"/>
  <c r="O254" i="7"/>
  <c r="W254" i="7"/>
  <c r="AE254" i="7"/>
  <c r="BQ254" i="7"/>
  <c r="BY254" i="7"/>
  <c r="CG254" i="7"/>
  <c r="CO254" i="7"/>
  <c r="CW254" i="7"/>
  <c r="DE254" i="7"/>
  <c r="BE254" i="7"/>
  <c r="AW254" i="7"/>
  <c r="AO254" i="7"/>
  <c r="BB143" i="7"/>
  <c r="AT143" i="7"/>
  <c r="AL143" i="7"/>
  <c r="BG10" i="7"/>
  <c r="AY10" i="7"/>
  <c r="AQ10" i="7"/>
  <c r="Q43" i="11"/>
  <c r="Q46" i="11"/>
  <c r="Q94" i="11"/>
  <c r="Q86" i="11"/>
  <c r="Q78" i="11"/>
  <c r="Q70" i="11"/>
  <c r="Q62" i="11"/>
  <c r="Q54" i="11"/>
  <c r="Q35" i="11"/>
  <c r="Q83" i="11"/>
  <c r="Q67" i="11"/>
  <c r="Q31" i="11"/>
  <c r="Q51" i="11"/>
  <c r="Q91" i="11"/>
  <c r="Q75" i="11"/>
  <c r="Q59" i="11"/>
  <c r="Q22" i="11"/>
  <c r="Q17" i="11"/>
  <c r="BK349" i="7"/>
  <c r="BK346" i="7"/>
  <c r="BK293" i="7"/>
  <c r="BK129" i="7"/>
  <c r="BK267" i="7"/>
  <c r="BK335" i="7"/>
  <c r="BK347" i="7"/>
  <c r="BK295" i="7"/>
  <c r="BK356" i="7"/>
  <c r="BK362" i="7"/>
  <c r="BK84" i="7"/>
  <c r="BK138" i="7"/>
  <c r="BK355" i="7"/>
  <c r="BK357" i="7"/>
  <c r="BK306" i="7"/>
  <c r="BK308" i="7"/>
  <c r="BK359" i="7"/>
  <c r="BK64" i="7"/>
  <c r="BK132" i="7"/>
  <c r="BK127" i="7"/>
  <c r="BK201" i="7"/>
  <c r="BK282" i="7"/>
  <c r="BK44" i="7"/>
  <c r="BK80" i="7"/>
  <c r="BK134" i="7"/>
  <c r="BK124" i="7"/>
  <c r="BK172" i="7"/>
  <c r="BK272" i="7"/>
  <c r="BK289" i="7"/>
  <c r="BK288" i="7"/>
  <c r="BK92" i="7"/>
  <c r="BK87" i="7"/>
  <c r="BK292" i="7"/>
  <c r="BK70" i="7"/>
  <c r="BK136" i="7"/>
  <c r="BK270" i="7"/>
  <c r="BK287" i="7"/>
  <c r="BK336" i="7"/>
  <c r="BK341" i="7"/>
  <c r="BK309" i="7"/>
  <c r="BK303" i="7"/>
  <c r="BK248" i="7"/>
  <c r="BK283" i="7"/>
  <c r="BK345" i="7"/>
  <c r="BK340" i="7"/>
  <c r="BK235" i="7"/>
  <c r="BK247" i="7"/>
  <c r="BK150" i="7"/>
  <c r="BK199" i="7"/>
  <c r="BL255" i="7"/>
  <c r="BK264" i="7"/>
  <c r="BK328" i="7"/>
  <c r="BK202" i="7"/>
  <c r="BK241" i="7"/>
  <c r="BK244" i="7"/>
  <c r="BK304" i="7"/>
  <c r="BK316" i="7"/>
  <c r="BK361" i="7"/>
  <c r="BK318" i="7"/>
  <c r="BK207" i="7"/>
  <c r="BK243" i="7"/>
  <c r="BK324" i="7"/>
  <c r="BK193" i="7"/>
  <c r="BK205" i="7"/>
  <c r="BK242" i="7"/>
  <c r="BK259" i="7"/>
  <c r="BK261" i="7"/>
  <c r="BK323" i="7"/>
  <c r="BK251" i="7"/>
  <c r="BL277" i="7"/>
  <c r="BK182" i="7"/>
  <c r="BK156" i="7"/>
  <c r="BK312" i="7"/>
  <c r="BK363" i="7"/>
  <c r="BK173" i="7"/>
  <c r="BK225" i="7"/>
  <c r="BK161" i="7"/>
  <c r="BK280" i="7"/>
  <c r="BK354" i="7"/>
  <c r="BK223" i="7"/>
  <c r="BK257" i="7"/>
  <c r="BK310" i="7"/>
  <c r="BK327" i="7"/>
  <c r="BK146" i="7"/>
  <c r="BK154" i="7"/>
  <c r="BL166" i="7"/>
  <c r="BK184" i="7"/>
  <c r="BK224" i="7"/>
  <c r="BK266" i="7"/>
  <c r="BK275" i="7"/>
  <c r="BL299" i="7"/>
  <c r="BK313" i="7"/>
  <c r="BK339" i="7"/>
  <c r="BK175" i="7"/>
  <c r="BK317" i="7"/>
  <c r="BK284" i="7"/>
  <c r="BK228" i="7"/>
  <c r="BK265" i="7"/>
  <c r="BK329" i="7"/>
  <c r="BK96" i="7"/>
  <c r="BK91" i="7"/>
  <c r="BK155" i="7"/>
  <c r="BK162" i="7"/>
  <c r="BK219" i="7"/>
  <c r="BK260" i="7"/>
  <c r="BK330" i="7"/>
  <c r="BK350" i="7"/>
  <c r="BK353" i="7"/>
  <c r="BK307" i="7"/>
  <c r="BK319" i="7"/>
  <c r="BK358" i="7"/>
  <c r="BK331" i="7"/>
  <c r="BK334" i="7"/>
  <c r="BK46" i="7"/>
  <c r="BK66" i="7"/>
  <c r="BK133" i="7"/>
  <c r="BK130" i="7"/>
  <c r="BK125" i="7"/>
  <c r="BK222" i="7"/>
  <c r="BK290" i="7"/>
  <c r="BK311" i="7"/>
  <c r="BK333" i="7"/>
  <c r="BK351" i="7"/>
  <c r="L343" i="7"/>
  <c r="BK258" i="7"/>
  <c r="I299" i="7"/>
  <c r="BK179" i="7"/>
  <c r="BK145" i="7"/>
  <c r="BK149" i="7"/>
  <c r="BK169" i="7"/>
  <c r="BK171" i="7"/>
  <c r="BK186" i="7"/>
  <c r="BK198" i="7"/>
  <c r="BK206" i="7"/>
  <c r="BK208" i="7"/>
  <c r="BK229" i="7"/>
  <c r="BK268" i="7"/>
  <c r="BK278" i="7"/>
  <c r="BK285" i="7"/>
  <c r="BK296" i="7"/>
  <c r="BK301" i="7"/>
  <c r="BK315" i="7"/>
  <c r="BK217" i="7"/>
  <c r="BK250" i="7"/>
  <c r="BK281" i="7"/>
  <c r="BK291" i="7"/>
  <c r="BK332" i="7"/>
  <c r="I321" i="7"/>
  <c r="BK153" i="7"/>
  <c r="BK178" i="7"/>
  <c r="BK192" i="7"/>
  <c r="BK196" i="7"/>
  <c r="BK212" i="7"/>
  <c r="BK238" i="7"/>
  <c r="BK240" i="7"/>
  <c r="BK262" i="7"/>
  <c r="BK269" i="7"/>
  <c r="BK271" i="7"/>
  <c r="BK294" i="7"/>
  <c r="BL321" i="7"/>
  <c r="BK326" i="7"/>
  <c r="BK337" i="7"/>
  <c r="BL188" i="7"/>
  <c r="BK200" i="7"/>
  <c r="BK68" i="7"/>
  <c r="BK58" i="7"/>
  <c r="BK83" i="7"/>
  <c r="BK140" i="7"/>
  <c r="BK126" i="7"/>
  <c r="BK148" i="7"/>
  <c r="BK159" i="7"/>
  <c r="BK164" i="7"/>
  <c r="BK216" i="7"/>
  <c r="BK220" i="7"/>
  <c r="BK230" i="7"/>
  <c r="BK273" i="7"/>
  <c r="BK279" i="7"/>
  <c r="BK286" i="7"/>
  <c r="BK297" i="7"/>
  <c r="BK302" i="7"/>
  <c r="BK338" i="7"/>
  <c r="BK348" i="7"/>
  <c r="BK360" i="7"/>
  <c r="BK246" i="7"/>
  <c r="I277" i="7"/>
  <c r="BK314" i="7"/>
  <c r="BK325" i="7"/>
  <c r="BK50" i="7"/>
  <c r="BK85" i="7"/>
  <c r="BK128" i="7"/>
  <c r="BK176" i="7"/>
  <c r="BK181" i="7"/>
  <c r="BK195" i="7"/>
  <c r="BK197" i="7"/>
  <c r="BK215" i="7"/>
  <c r="BK234" i="7"/>
  <c r="BK236" i="7"/>
  <c r="BK256" i="7"/>
  <c r="BK263" i="7"/>
  <c r="BK274" i="7"/>
  <c r="BK300" i="7"/>
  <c r="BK305" i="7"/>
  <c r="BK344" i="7"/>
  <c r="BK352" i="7"/>
  <c r="L277" i="7"/>
  <c r="L321" i="7"/>
  <c r="L255" i="7"/>
  <c r="L299" i="7"/>
  <c r="BL343" i="7"/>
  <c r="BK322" i="7"/>
  <c r="I343" i="7"/>
  <c r="I255" i="7"/>
  <c r="BK147" i="7"/>
  <c r="I166" i="7"/>
  <c r="BK170" i="7"/>
  <c r="BK180" i="7"/>
  <c r="I188" i="7"/>
  <c r="BK221" i="7"/>
  <c r="L232" i="7"/>
  <c r="BK157" i="7"/>
  <c r="BK167" i="7"/>
  <c r="BK174" i="7"/>
  <c r="BK185" i="7"/>
  <c r="BK190" i="7"/>
  <c r="BK204" i="7"/>
  <c r="BK245" i="7"/>
  <c r="I210" i="7"/>
  <c r="BK93" i="7"/>
  <c r="BK137" i="7"/>
  <c r="BK131" i="7"/>
  <c r="BK151" i="7"/>
  <c r="BK158" i="7"/>
  <c r="BK160" i="7"/>
  <c r="BK183" i="7"/>
  <c r="BL210" i="7"/>
  <c r="BK226" i="7"/>
  <c r="BK48" i="7"/>
  <c r="BK74" i="7"/>
  <c r="BK72" i="7"/>
  <c r="BK60" i="7"/>
  <c r="BK95" i="7"/>
  <c r="BK141" i="7"/>
  <c r="BK139" i="7"/>
  <c r="BK135" i="7"/>
  <c r="BK168" i="7"/>
  <c r="BK191" i="7"/>
  <c r="BK218" i="7"/>
  <c r="BK227" i="7"/>
  <c r="BK237" i="7"/>
  <c r="BK249" i="7"/>
  <c r="BK203" i="7"/>
  <c r="BK214" i="7"/>
  <c r="BK62" i="7"/>
  <c r="BK81" i="7"/>
  <c r="BK152" i="7"/>
  <c r="BK163" i="7"/>
  <c r="BK177" i="7"/>
  <c r="BK189" i="7"/>
  <c r="BK194" i="7"/>
  <c r="BK213" i="7"/>
  <c r="BK233" i="7"/>
  <c r="BK239" i="7"/>
  <c r="BK252" i="7"/>
  <c r="L166" i="7"/>
  <c r="L210" i="7"/>
  <c r="L188" i="7"/>
  <c r="BK211" i="7"/>
  <c r="BL232" i="7"/>
  <c r="I232" i="7"/>
  <c r="L144" i="7"/>
  <c r="BL144" i="7"/>
  <c r="BK61" i="7"/>
  <c r="BK59" i="7"/>
  <c r="BK89" i="7"/>
  <c r="BK82" i="7"/>
  <c r="BK22" i="7"/>
  <c r="BK69" i="7"/>
  <c r="BK67" i="7"/>
  <c r="BK65" i="7"/>
  <c r="BK90" i="7"/>
  <c r="BK88" i="7"/>
  <c r="BK86" i="7"/>
  <c r="BK49" i="7"/>
  <c r="BK75" i="7"/>
  <c r="BK73" i="7"/>
  <c r="BK97" i="7"/>
  <c r="BK94" i="7"/>
  <c r="BK43" i="7"/>
  <c r="BK45" i="7"/>
  <c r="BK24" i="7"/>
  <c r="BK47" i="7"/>
  <c r="BK71" i="7"/>
  <c r="BK63" i="7"/>
  <c r="BK25" i="7"/>
  <c r="BK27" i="7"/>
  <c r="BK52" i="7"/>
  <c r="BK26" i="7"/>
  <c r="BK53" i="7"/>
  <c r="BK51" i="7"/>
  <c r="BK28" i="7"/>
  <c r="BK30" i="7"/>
  <c r="BK23" i="7"/>
  <c r="BK21" i="7"/>
  <c r="BK31" i="7"/>
  <c r="BK29" i="7"/>
  <c r="Q18" i="11"/>
  <c r="Q45" i="11"/>
  <c r="Q25" i="11"/>
  <c r="Q32" i="11"/>
  <c r="Q93" i="11"/>
  <c r="Q85" i="11"/>
  <c r="Q77" i="11"/>
  <c r="Q69" i="11"/>
  <c r="Q61" i="11"/>
  <c r="Q53" i="11"/>
  <c r="Q47" i="11"/>
  <c r="Q36" i="11"/>
  <c r="Q87" i="11"/>
  <c r="Q79" i="11"/>
  <c r="Q71" i="11"/>
  <c r="Q63" i="11"/>
  <c r="Q55" i="11"/>
  <c r="Q44" i="11"/>
  <c r="Q39" i="11"/>
  <c r="Q34" i="11"/>
  <c r="Q37" i="11"/>
  <c r="Q52" i="11"/>
  <c r="Q41" i="11"/>
  <c r="Q30" i="11"/>
  <c r="Q49" i="11"/>
  <c r="Q89" i="11"/>
  <c r="Q81" i="11"/>
  <c r="Q73" i="11"/>
  <c r="Q65" i="11"/>
  <c r="Q57" i="11"/>
  <c r="Q21" i="11"/>
  <c r="Q16" i="11"/>
  <c r="Q90" i="11"/>
  <c r="Q82" i="11"/>
  <c r="Q74" i="11"/>
  <c r="Q66" i="11"/>
  <c r="Q58" i="11"/>
  <c r="Q50" i="11"/>
  <c r="Q42" i="11"/>
  <c r="Q40" i="11"/>
  <c r="Q33" i="11"/>
  <c r="Q88" i="11"/>
  <c r="Q80" i="11"/>
  <c r="Q72" i="11"/>
  <c r="Q64" i="11"/>
  <c r="Q56" i="11"/>
  <c r="Q48" i="11"/>
  <c r="Q26" i="11"/>
  <c r="Q23" i="11"/>
  <c r="BL55" i="7"/>
  <c r="BL77" i="7"/>
  <c r="BL121" i="7"/>
  <c r="BL33" i="7"/>
  <c r="AL9" i="7" l="1"/>
  <c r="AL432" i="7" s="1"/>
  <c r="AK9" i="7"/>
  <c r="AK432" i="7" s="1"/>
  <c r="AM9" i="7"/>
  <c r="AM432" i="7" s="1"/>
  <c r="BG9" i="7"/>
  <c r="BG432" i="7" s="1"/>
  <c r="AS9" i="7"/>
  <c r="AS432" i="7" s="1"/>
  <c r="AV9" i="7"/>
  <c r="AV432" i="7" s="1"/>
  <c r="BF9" i="7"/>
  <c r="BF432" i="7" s="1"/>
  <c r="AQ9" i="7"/>
  <c r="AQ432" i="7" s="1"/>
  <c r="AX9" i="7"/>
  <c r="AX432" i="7" s="1"/>
  <c r="BA9" i="7"/>
  <c r="BA432" i="7" s="1"/>
  <c r="AO9" i="7"/>
  <c r="AO432" i="7" s="1"/>
  <c r="AP9" i="7"/>
  <c r="AP432" i="7" s="1"/>
  <c r="BB9" i="7"/>
  <c r="BB432" i="7" s="1"/>
  <c r="AN9" i="7"/>
  <c r="AN432" i="7" s="1"/>
  <c r="AZ9" i="7"/>
  <c r="AZ432" i="7" s="1"/>
  <c r="AU9" i="7"/>
  <c r="AU432" i="7" s="1"/>
  <c r="AT9" i="7"/>
  <c r="AT432" i="7" s="1"/>
  <c r="BC9" i="7"/>
  <c r="BC432" i="7" s="1"/>
  <c r="AR9" i="7"/>
  <c r="AR432" i="7" s="1"/>
  <c r="BH9" i="7"/>
  <c r="BH432" i="7" s="1"/>
  <c r="BD9" i="7"/>
  <c r="BD432" i="7" s="1"/>
  <c r="BI9" i="7"/>
  <c r="BI432" i="7" s="1"/>
  <c r="BE9" i="7"/>
  <c r="BE432" i="7" s="1"/>
  <c r="AY9" i="7"/>
  <c r="AY432" i="7" s="1"/>
  <c r="AW9" i="7"/>
  <c r="AW432" i="7" s="1"/>
  <c r="BK166" i="7"/>
  <c r="BK188" i="7"/>
  <c r="BK299" i="7"/>
  <c r="BK277" i="7"/>
  <c r="BK321" i="7"/>
  <c r="BK255" i="7"/>
  <c r="BK144" i="7"/>
  <c r="BK210" i="7"/>
  <c r="BK343" i="7"/>
  <c r="BK232" i="7"/>
  <c r="BL143" i="7"/>
  <c r="H52" i="12" s="1"/>
  <c r="BL254" i="7"/>
  <c r="H56" i="12" s="1"/>
  <c r="BQ11" i="7" l="1"/>
  <c r="BR11" i="7"/>
  <c r="BS11" i="7"/>
  <c r="BT11" i="7"/>
  <c r="BU11" i="7"/>
  <c r="BV11" i="7"/>
  <c r="BW11" i="7"/>
  <c r="BX11" i="7"/>
  <c r="BY11" i="7"/>
  <c r="BZ11" i="7"/>
  <c r="CA11" i="7"/>
  <c r="CB11" i="7"/>
  <c r="CC11" i="7"/>
  <c r="CD11" i="7"/>
  <c r="CE11" i="7"/>
  <c r="CF11" i="7"/>
  <c r="CG11" i="7"/>
  <c r="CH11" i="7"/>
  <c r="CI11" i="7"/>
  <c r="CJ11" i="7"/>
  <c r="CK11" i="7"/>
  <c r="CL11" i="7"/>
  <c r="CM11" i="7"/>
  <c r="CN11" i="7"/>
  <c r="CO11" i="7"/>
  <c r="CP11" i="7"/>
  <c r="CQ11" i="7"/>
  <c r="CR11" i="7"/>
  <c r="CS11" i="7"/>
  <c r="CT11" i="7"/>
  <c r="CU11" i="7"/>
  <c r="CV11" i="7"/>
  <c r="CW11" i="7"/>
  <c r="CX11" i="7"/>
  <c r="CY11" i="7"/>
  <c r="CZ11" i="7"/>
  <c r="DA11" i="7"/>
  <c r="DB11" i="7"/>
  <c r="DC11" i="7"/>
  <c r="DD11" i="7"/>
  <c r="DE11" i="7"/>
  <c r="DF11" i="7"/>
  <c r="DG11" i="7"/>
  <c r="DH11" i="7"/>
  <c r="DI11" i="7"/>
  <c r="BQ33" i="7"/>
  <c r="BR33" i="7"/>
  <c r="BS33" i="7"/>
  <c r="BT33" i="7"/>
  <c r="BU33" i="7"/>
  <c r="BV33" i="7"/>
  <c r="BW33" i="7"/>
  <c r="BX33" i="7"/>
  <c r="BY33" i="7"/>
  <c r="BZ33" i="7"/>
  <c r="CA33" i="7"/>
  <c r="CB33" i="7"/>
  <c r="CC33" i="7"/>
  <c r="CD33" i="7"/>
  <c r="CE33" i="7"/>
  <c r="CF33" i="7"/>
  <c r="CG33" i="7"/>
  <c r="CH33" i="7"/>
  <c r="CI33" i="7"/>
  <c r="CJ33" i="7"/>
  <c r="CK33" i="7"/>
  <c r="CL33" i="7"/>
  <c r="CM33" i="7"/>
  <c r="CN33" i="7"/>
  <c r="CO33" i="7"/>
  <c r="CP33" i="7"/>
  <c r="CQ33" i="7"/>
  <c r="CR33" i="7"/>
  <c r="CS33" i="7"/>
  <c r="CT33" i="7"/>
  <c r="CU33" i="7"/>
  <c r="CV33" i="7"/>
  <c r="CW33" i="7"/>
  <c r="CX33" i="7"/>
  <c r="CY33" i="7"/>
  <c r="CZ33" i="7"/>
  <c r="DA33" i="7"/>
  <c r="DB33" i="7"/>
  <c r="DC33" i="7"/>
  <c r="DD33" i="7"/>
  <c r="DE33" i="7"/>
  <c r="DF33" i="7"/>
  <c r="DG33" i="7"/>
  <c r="DH33" i="7"/>
  <c r="DI33" i="7"/>
  <c r="BQ55" i="7"/>
  <c r="BR55" i="7"/>
  <c r="BS55" i="7"/>
  <c r="BT55" i="7"/>
  <c r="BU55" i="7"/>
  <c r="BV55" i="7"/>
  <c r="BW55" i="7"/>
  <c r="BX55" i="7"/>
  <c r="BY55" i="7"/>
  <c r="BZ55" i="7"/>
  <c r="CA55" i="7"/>
  <c r="CB55" i="7"/>
  <c r="CC55" i="7"/>
  <c r="CD55" i="7"/>
  <c r="CE55" i="7"/>
  <c r="CF55" i="7"/>
  <c r="CG55" i="7"/>
  <c r="CH55" i="7"/>
  <c r="CI55" i="7"/>
  <c r="CJ55" i="7"/>
  <c r="CK55" i="7"/>
  <c r="CL55" i="7"/>
  <c r="CM55" i="7"/>
  <c r="CN55" i="7"/>
  <c r="CO55" i="7"/>
  <c r="CP55" i="7"/>
  <c r="CQ55" i="7"/>
  <c r="CR55" i="7"/>
  <c r="CS55" i="7"/>
  <c r="CT55" i="7"/>
  <c r="CU55" i="7"/>
  <c r="CV55" i="7"/>
  <c r="CW55" i="7"/>
  <c r="CX55" i="7"/>
  <c r="CY55" i="7"/>
  <c r="CZ55" i="7"/>
  <c r="DA55" i="7"/>
  <c r="DB55" i="7"/>
  <c r="DC55" i="7"/>
  <c r="DD55" i="7"/>
  <c r="DE55" i="7"/>
  <c r="DF55" i="7"/>
  <c r="DG55" i="7"/>
  <c r="DH55" i="7"/>
  <c r="DI55" i="7"/>
  <c r="BQ77" i="7"/>
  <c r="BR77" i="7"/>
  <c r="BS77" i="7"/>
  <c r="BT77" i="7"/>
  <c r="BU77" i="7"/>
  <c r="BV77" i="7"/>
  <c r="BW77" i="7"/>
  <c r="BX77" i="7"/>
  <c r="BY77" i="7"/>
  <c r="BZ77" i="7"/>
  <c r="CA77" i="7"/>
  <c r="CB77" i="7"/>
  <c r="CC77" i="7"/>
  <c r="CD77" i="7"/>
  <c r="CE77" i="7"/>
  <c r="CF77" i="7"/>
  <c r="CG77" i="7"/>
  <c r="CH77" i="7"/>
  <c r="CI77" i="7"/>
  <c r="CJ77" i="7"/>
  <c r="CK77" i="7"/>
  <c r="CL77" i="7"/>
  <c r="CM77" i="7"/>
  <c r="CN77" i="7"/>
  <c r="CO77" i="7"/>
  <c r="CP77" i="7"/>
  <c r="CQ77" i="7"/>
  <c r="CR77" i="7"/>
  <c r="CS77" i="7"/>
  <c r="CT77" i="7"/>
  <c r="CU77" i="7"/>
  <c r="CV77" i="7"/>
  <c r="CW77" i="7"/>
  <c r="CX77" i="7"/>
  <c r="CY77" i="7"/>
  <c r="CZ77" i="7"/>
  <c r="DA77" i="7"/>
  <c r="DB77" i="7"/>
  <c r="DC77" i="7"/>
  <c r="DD77" i="7"/>
  <c r="DE77" i="7"/>
  <c r="DF77" i="7"/>
  <c r="DG77" i="7"/>
  <c r="DH77" i="7"/>
  <c r="DI77" i="7"/>
  <c r="BQ121" i="7"/>
  <c r="BR121" i="7"/>
  <c r="BS121" i="7"/>
  <c r="BT121" i="7"/>
  <c r="BU121" i="7"/>
  <c r="BV121" i="7"/>
  <c r="BW121" i="7"/>
  <c r="BX121" i="7"/>
  <c r="BY121" i="7"/>
  <c r="BZ121" i="7"/>
  <c r="CA121" i="7"/>
  <c r="CB121" i="7"/>
  <c r="CC121" i="7"/>
  <c r="CD121" i="7"/>
  <c r="CE121" i="7"/>
  <c r="CF121" i="7"/>
  <c r="CG121" i="7"/>
  <c r="CH121" i="7"/>
  <c r="CI121" i="7"/>
  <c r="CJ121" i="7"/>
  <c r="CK121" i="7"/>
  <c r="CL121" i="7"/>
  <c r="CM121" i="7"/>
  <c r="CN121" i="7"/>
  <c r="CO121" i="7"/>
  <c r="CP121" i="7"/>
  <c r="CQ121" i="7"/>
  <c r="CR121" i="7"/>
  <c r="CS121" i="7"/>
  <c r="CT121" i="7"/>
  <c r="CU121" i="7"/>
  <c r="CV121" i="7"/>
  <c r="CW121" i="7"/>
  <c r="CX121" i="7"/>
  <c r="CY121" i="7"/>
  <c r="CZ121" i="7"/>
  <c r="DA121" i="7"/>
  <c r="DB121" i="7"/>
  <c r="DC121" i="7"/>
  <c r="DD121" i="7"/>
  <c r="DE121" i="7"/>
  <c r="DF121" i="7"/>
  <c r="DG121" i="7"/>
  <c r="DH121" i="7"/>
  <c r="DI121" i="7"/>
  <c r="BP121" i="7"/>
  <c r="BO121" i="7"/>
  <c r="BP77" i="7"/>
  <c r="BO77" i="7"/>
  <c r="BP55" i="7"/>
  <c r="BO55" i="7"/>
  <c r="BP33" i="7"/>
  <c r="BO33" i="7"/>
  <c r="BP11" i="7"/>
  <c r="BO11" i="7"/>
  <c r="E4" i="7"/>
  <c r="D4" i="6"/>
  <c r="D3" i="6"/>
  <c r="C3" i="5"/>
  <c r="C2" i="5"/>
  <c r="C5" i="1"/>
  <c r="C4" i="1"/>
  <c r="AJ121" i="7"/>
  <c r="AI121" i="7"/>
  <c r="AH121" i="7"/>
  <c r="AG121" i="7"/>
  <c r="AF121" i="7"/>
  <c r="AE121" i="7"/>
  <c r="AD121" i="7"/>
  <c r="AC121" i="7"/>
  <c r="AB121" i="7"/>
  <c r="AA121" i="7"/>
  <c r="Z121" i="7"/>
  <c r="Y121" i="7"/>
  <c r="X121" i="7"/>
  <c r="W121" i="7"/>
  <c r="V121" i="7"/>
  <c r="U121" i="7"/>
  <c r="T121" i="7"/>
  <c r="S121" i="7"/>
  <c r="R121" i="7"/>
  <c r="Q121" i="7"/>
  <c r="P121" i="7"/>
  <c r="O121" i="7"/>
  <c r="N121" i="7"/>
  <c r="AJ77" i="7"/>
  <c r="AI77" i="7"/>
  <c r="AH77" i="7"/>
  <c r="AG77" i="7"/>
  <c r="AF77" i="7"/>
  <c r="AE77" i="7"/>
  <c r="AD77" i="7"/>
  <c r="AC77" i="7"/>
  <c r="AB77" i="7"/>
  <c r="AA77" i="7"/>
  <c r="Z77" i="7"/>
  <c r="Y77" i="7"/>
  <c r="X77" i="7"/>
  <c r="W77" i="7"/>
  <c r="V77" i="7"/>
  <c r="U77" i="7"/>
  <c r="T77" i="7"/>
  <c r="S77" i="7"/>
  <c r="R77" i="7"/>
  <c r="Q77" i="7"/>
  <c r="P77" i="7"/>
  <c r="O77" i="7"/>
  <c r="N77" i="7"/>
  <c r="AJ55" i="7"/>
  <c r="AI55" i="7"/>
  <c r="AH55" i="7"/>
  <c r="AG55" i="7"/>
  <c r="AF55" i="7"/>
  <c r="AE55" i="7"/>
  <c r="AD55" i="7"/>
  <c r="AC55" i="7"/>
  <c r="AB55" i="7"/>
  <c r="AA55" i="7"/>
  <c r="Z55" i="7"/>
  <c r="Y55" i="7"/>
  <c r="X55" i="7"/>
  <c r="W55" i="7"/>
  <c r="V55" i="7"/>
  <c r="U55" i="7"/>
  <c r="T55" i="7"/>
  <c r="S55" i="7"/>
  <c r="R55" i="7"/>
  <c r="Q55" i="7"/>
  <c r="P55" i="7"/>
  <c r="O55" i="7"/>
  <c r="N55" i="7"/>
  <c r="AJ33" i="7"/>
  <c r="AI33" i="7"/>
  <c r="AH33" i="7"/>
  <c r="AG33" i="7"/>
  <c r="AF33" i="7"/>
  <c r="AE33" i="7"/>
  <c r="AD33" i="7"/>
  <c r="AC33" i="7"/>
  <c r="AB33" i="7"/>
  <c r="AA33" i="7"/>
  <c r="Z33" i="7"/>
  <c r="Y33" i="7"/>
  <c r="X33" i="7"/>
  <c r="W33" i="7"/>
  <c r="V33" i="7"/>
  <c r="U33" i="7"/>
  <c r="T33" i="7"/>
  <c r="S33" i="7"/>
  <c r="R33" i="7"/>
  <c r="Q33" i="7"/>
  <c r="P33" i="7"/>
  <c r="O33" i="7"/>
  <c r="N33" i="7"/>
  <c r="R11" i="7"/>
  <c r="T11" i="7"/>
  <c r="U11" i="7"/>
  <c r="V11" i="7"/>
  <c r="W11" i="7"/>
  <c r="X11" i="7"/>
  <c r="Y11" i="7"/>
  <c r="Z11" i="7"/>
  <c r="AA11" i="7"/>
  <c r="AB11" i="7"/>
  <c r="AC11" i="7"/>
  <c r="AD11" i="7"/>
  <c r="AE11" i="7"/>
  <c r="AF11" i="7"/>
  <c r="AG11" i="7"/>
  <c r="AH11" i="7"/>
  <c r="AI11" i="7"/>
  <c r="AJ11" i="7"/>
  <c r="K123" i="7"/>
  <c r="L123" i="7" s="1"/>
  <c r="K122" i="7"/>
  <c r="L122" i="7" s="1"/>
  <c r="K79" i="7"/>
  <c r="L79" i="7" s="1"/>
  <c r="K57" i="7"/>
  <c r="L57" i="7" s="1"/>
  <c r="K56" i="7"/>
  <c r="L56" i="7" s="1"/>
  <c r="K42" i="7"/>
  <c r="L42" i="7" s="1"/>
  <c r="K41" i="7"/>
  <c r="L41" i="7" s="1"/>
  <c r="K40" i="7"/>
  <c r="L40" i="7" s="1"/>
  <c r="K38" i="7"/>
  <c r="L38" i="7" s="1"/>
  <c r="K37" i="7"/>
  <c r="L37" i="7" s="1"/>
  <c r="K36" i="7"/>
  <c r="L36" i="7" s="1"/>
  <c r="K35" i="7"/>
  <c r="L35" i="7" s="1"/>
  <c r="K34" i="7"/>
  <c r="L34" i="7" s="1"/>
  <c r="K15" i="7"/>
  <c r="L15" i="7" s="1"/>
  <c r="K16" i="7"/>
  <c r="L16" i="7" s="1"/>
  <c r="K17" i="7"/>
  <c r="L17" i="7" s="1"/>
  <c r="K19" i="7"/>
  <c r="L19" i="7" s="1"/>
  <c r="K20" i="7"/>
  <c r="L20" i="7" s="1"/>
  <c r="I123" i="7"/>
  <c r="BK123" i="7" s="1"/>
  <c r="I122" i="7"/>
  <c r="BK122" i="7" s="1"/>
  <c r="I79" i="7"/>
  <c r="BK79" i="7" s="1"/>
  <c r="I78" i="7"/>
  <c r="BK78" i="7" s="1"/>
  <c r="I57" i="7"/>
  <c r="BK57" i="7" s="1"/>
  <c r="I56" i="7"/>
  <c r="BK56" i="7" s="1"/>
  <c r="I42" i="7"/>
  <c r="BK42" i="7" s="1"/>
  <c r="I41" i="7"/>
  <c r="BK41" i="7" s="1"/>
  <c r="I40" i="7"/>
  <c r="BK40" i="7" s="1"/>
  <c r="I39" i="7"/>
  <c r="BK39" i="7" s="1"/>
  <c r="I38" i="7"/>
  <c r="BK38" i="7" s="1"/>
  <c r="I37" i="7"/>
  <c r="BK37" i="7" s="1"/>
  <c r="I36" i="7"/>
  <c r="BK36" i="7" s="1"/>
  <c r="I35" i="7"/>
  <c r="BK35" i="7" s="1"/>
  <c r="I34" i="7"/>
  <c r="BK34" i="7" s="1"/>
  <c r="I16" i="7"/>
  <c r="BK16" i="7" s="1"/>
  <c r="I17" i="7"/>
  <c r="BK17" i="7" s="1"/>
  <c r="I18" i="7"/>
  <c r="BK18" i="7" s="1"/>
  <c r="I19" i="7"/>
  <c r="BK19" i="7" s="1"/>
  <c r="I20" i="7"/>
  <c r="BK20" i="7" s="1"/>
  <c r="I12" i="7"/>
  <c r="BK13" i="7"/>
  <c r="I14" i="7"/>
  <c r="BK14" i="7" s="1"/>
  <c r="A14" i="7"/>
  <c r="A13" i="7"/>
  <c r="A12" i="7"/>
  <c r="A32" i="7" l="1"/>
  <c r="A11" i="7"/>
  <c r="H10" i="2"/>
  <c r="H58" i="2"/>
  <c r="H104" i="2"/>
  <c r="H113" i="2"/>
  <c r="H25" i="2"/>
  <c r="H49" i="2"/>
  <c r="H8" i="2"/>
  <c r="H20" i="2"/>
  <c r="H56" i="2"/>
  <c r="H75" i="2"/>
  <c r="H80" i="2"/>
  <c r="H90" i="2"/>
  <c r="H115" i="2"/>
  <c r="H18" i="2"/>
  <c r="H44" i="2"/>
  <c r="H73" i="2"/>
  <c r="H92" i="2"/>
  <c r="H127" i="2"/>
  <c r="H21" i="2"/>
  <c r="H76" i="2"/>
  <c r="H103" i="2"/>
  <c r="H87" i="2"/>
  <c r="H112" i="2"/>
  <c r="H15" i="2"/>
  <c r="H27" i="2"/>
  <c r="H37" i="2"/>
  <c r="H47" i="2"/>
  <c r="H66" i="2"/>
  <c r="H97" i="2"/>
  <c r="H81" i="2"/>
  <c r="H106" i="2"/>
  <c r="H77" i="2"/>
  <c r="H88" i="2"/>
  <c r="H13" i="2"/>
  <c r="H35" i="2"/>
  <c r="H16" i="2"/>
  <c r="H28" i="2"/>
  <c r="H38" i="2"/>
  <c r="H48" i="2"/>
  <c r="H67" i="2"/>
  <c r="H98" i="2"/>
  <c r="H82" i="2"/>
  <c r="H107" i="2"/>
  <c r="H6" i="2"/>
  <c r="H54" i="2"/>
  <c r="H61" i="2"/>
  <c r="H117" i="2"/>
  <c r="H9" i="2"/>
  <c r="H57" i="2"/>
  <c r="H64" i="2"/>
  <c r="H95" i="2"/>
  <c r="H120" i="2"/>
  <c r="H124" i="2"/>
  <c r="H7" i="2"/>
  <c r="H19" i="2"/>
  <c r="H55" i="2"/>
  <c r="H74" i="2"/>
  <c r="H105" i="2"/>
  <c r="H89" i="2"/>
  <c r="H114" i="2"/>
  <c r="H40" i="2"/>
  <c r="H65" i="2"/>
  <c r="H121" i="2"/>
  <c r="H33" i="2"/>
  <c r="H53" i="2"/>
  <c r="H12" i="2"/>
  <c r="H24" i="2"/>
  <c r="H34" i="2"/>
  <c r="H79" i="2"/>
  <c r="H63" i="2"/>
  <c r="H94" i="2"/>
  <c r="H119" i="2"/>
  <c r="H123" i="2"/>
  <c r="H26" i="2"/>
  <c r="H46" i="2"/>
  <c r="H100" i="2"/>
  <c r="H109" i="2"/>
  <c r="H29" i="2"/>
  <c r="H45" i="2"/>
  <c r="H60" i="2"/>
  <c r="H91" i="2"/>
  <c r="H116" i="2"/>
  <c r="H126" i="2"/>
  <c r="H31" i="2"/>
  <c r="H51" i="2"/>
  <c r="H30" i="2"/>
  <c r="H50" i="2"/>
  <c r="H96" i="2"/>
  <c r="H125" i="2"/>
  <c r="H43" i="2"/>
  <c r="H72" i="2"/>
  <c r="H32" i="2"/>
  <c r="H42" i="2"/>
  <c r="H52" i="2"/>
  <c r="H71" i="2"/>
  <c r="H102" i="2"/>
  <c r="H86" i="2"/>
  <c r="H111" i="2"/>
  <c r="H14" i="2"/>
  <c r="H36" i="2"/>
  <c r="H69" i="2"/>
  <c r="H84" i="2"/>
  <c r="H17" i="2"/>
  <c r="H39" i="2"/>
  <c r="H68" i="2"/>
  <c r="H99" i="2"/>
  <c r="H83" i="2"/>
  <c r="H108" i="2"/>
  <c r="H11" i="2"/>
  <c r="H23" i="2"/>
  <c r="H59" i="2"/>
  <c r="H78" i="2"/>
  <c r="H62" i="2"/>
  <c r="H93" i="2"/>
  <c r="H118" i="2"/>
  <c r="H122" i="2"/>
  <c r="H41" i="2"/>
  <c r="H22" i="2"/>
  <c r="H70" i="2"/>
  <c r="H101" i="2"/>
  <c r="H85" i="2"/>
  <c r="H110" i="2"/>
  <c r="AH10" i="7"/>
  <c r="Z10" i="7"/>
  <c r="DD10" i="7"/>
  <c r="DD9" i="7" s="1"/>
  <c r="DD432" i="7" s="1"/>
  <c r="CV10" i="7"/>
  <c r="CV9" i="7" s="1"/>
  <c r="CV432" i="7" s="1"/>
  <c r="CN10" i="7"/>
  <c r="CN9" i="7" s="1"/>
  <c r="CN432" i="7" s="1"/>
  <c r="CF10" i="7"/>
  <c r="CF9" i="7" s="1"/>
  <c r="CF432" i="7" s="1"/>
  <c r="BX10" i="7"/>
  <c r="BX9" i="7" s="1"/>
  <c r="BX432" i="7" s="1"/>
  <c r="AJ10" i="7"/>
  <c r="AI10" i="7"/>
  <c r="AA10" i="7"/>
  <c r="R10" i="7"/>
  <c r="R9" i="7" s="1"/>
  <c r="DC10" i="7"/>
  <c r="DC9" i="7" s="1"/>
  <c r="DC432" i="7" s="1"/>
  <c r="CU10" i="7"/>
  <c r="CU9" i="7" s="1"/>
  <c r="CU432" i="7" s="1"/>
  <c r="CM10" i="7"/>
  <c r="CM9" i="7" s="1"/>
  <c r="CM432" i="7" s="1"/>
  <c r="CE10" i="7"/>
  <c r="CE9" i="7" s="1"/>
  <c r="CE432" i="7" s="1"/>
  <c r="BW10" i="7"/>
  <c r="BW9" i="7" s="1"/>
  <c r="BW432" i="7" s="1"/>
  <c r="AB10" i="7"/>
  <c r="T10" i="7"/>
  <c r="N10" i="7"/>
  <c r="N9" i="7" s="1"/>
  <c r="CT10" i="7"/>
  <c r="CT9" i="7" s="1"/>
  <c r="CT432" i="7" s="1"/>
  <c r="BV10" i="7"/>
  <c r="BV9" i="7" s="1"/>
  <c r="BV432" i="7" s="1"/>
  <c r="O10" i="7"/>
  <c r="O9" i="7" s="1"/>
  <c r="O432" i="7" s="1"/>
  <c r="CS10" i="7"/>
  <c r="CS9" i="7" s="1"/>
  <c r="CS432" i="7" s="1"/>
  <c r="CK10" i="7"/>
  <c r="CK9" i="7" s="1"/>
  <c r="CK432" i="7" s="1"/>
  <c r="AF10" i="7"/>
  <c r="P10" i="7"/>
  <c r="P9" i="7" s="1"/>
  <c r="CZ10" i="7"/>
  <c r="CZ9" i="7" s="1"/>
  <c r="CZ432" i="7" s="1"/>
  <c r="BO10" i="7"/>
  <c r="BO9" i="7" s="1"/>
  <c r="DG10" i="7"/>
  <c r="DG9" i="7" s="1"/>
  <c r="DG432" i="7" s="1"/>
  <c r="CY10" i="7"/>
  <c r="CY9" i="7" s="1"/>
  <c r="CY432" i="7" s="1"/>
  <c r="CQ10" i="7"/>
  <c r="CQ9" i="7" s="1"/>
  <c r="CQ432" i="7" s="1"/>
  <c r="CI10" i="7"/>
  <c r="CI9" i="7" s="1"/>
  <c r="CI432" i="7" s="1"/>
  <c r="CA10" i="7"/>
  <c r="CA9" i="7" s="1"/>
  <c r="CA432" i="7" s="1"/>
  <c r="BS10" i="7"/>
  <c r="BS9" i="7" s="1"/>
  <c r="BS432" i="7" s="1"/>
  <c r="DB10" i="7"/>
  <c r="DB9" i="7" s="1"/>
  <c r="DB432" i="7" s="1"/>
  <c r="CD10" i="7"/>
  <c r="CD9" i="7" s="1"/>
  <c r="CD432" i="7" s="1"/>
  <c r="AG10" i="7"/>
  <c r="DA10" i="7"/>
  <c r="DA9" i="7" s="1"/>
  <c r="DA432" i="7" s="1"/>
  <c r="CC10" i="7"/>
  <c r="CC9" i="7" s="1"/>
  <c r="CC432" i="7" s="1"/>
  <c r="X10" i="7"/>
  <c r="DH10" i="7"/>
  <c r="DH9" i="7" s="1"/>
  <c r="DH432" i="7" s="1"/>
  <c r="CR10" i="7"/>
  <c r="CR9" i="7" s="1"/>
  <c r="CR432" i="7" s="1"/>
  <c r="CJ10" i="7"/>
  <c r="CJ9" i="7" s="1"/>
  <c r="CJ432" i="7" s="1"/>
  <c r="CB10" i="7"/>
  <c r="CB9" i="7" s="1"/>
  <c r="CB432" i="7" s="1"/>
  <c r="BT10" i="7"/>
  <c r="BT9" i="7" s="1"/>
  <c r="BT432" i="7" s="1"/>
  <c r="Q10" i="7"/>
  <c r="Q9" i="7" s="1"/>
  <c r="AD10" i="7"/>
  <c r="BP10" i="7"/>
  <c r="BP9" i="7" s="1"/>
  <c r="DF10" i="7"/>
  <c r="DF9" i="7" s="1"/>
  <c r="DF432" i="7" s="1"/>
  <c r="CX10" i="7"/>
  <c r="CX9" i="7" s="1"/>
  <c r="CX432" i="7" s="1"/>
  <c r="CP10" i="7"/>
  <c r="CP9" i="7" s="1"/>
  <c r="CP432" i="7" s="1"/>
  <c r="CH10" i="7"/>
  <c r="CH9" i="7" s="1"/>
  <c r="CH432" i="7" s="1"/>
  <c r="BZ10" i="7"/>
  <c r="BZ9" i="7" s="1"/>
  <c r="BZ432" i="7" s="1"/>
  <c r="BR10" i="7"/>
  <c r="BR9" i="7" s="1"/>
  <c r="BR432" i="7" s="1"/>
  <c r="CL10" i="7"/>
  <c r="CL9" i="7" s="1"/>
  <c r="CL432" i="7" s="1"/>
  <c r="Y10" i="7"/>
  <c r="DI10" i="7"/>
  <c r="DI9" i="7" s="1"/>
  <c r="DI432" i="7" s="1"/>
  <c r="BU10" i="7"/>
  <c r="BU9" i="7" s="1"/>
  <c r="BU432" i="7" s="1"/>
  <c r="AE10" i="7"/>
  <c r="W10" i="7"/>
  <c r="V10" i="7"/>
  <c r="AC10" i="7"/>
  <c r="U10" i="7"/>
  <c r="S10" i="7"/>
  <c r="S9" i="7" s="1"/>
  <c r="DE10" i="7"/>
  <c r="DE9" i="7" s="1"/>
  <c r="DE432" i="7" s="1"/>
  <c r="CW10" i="7"/>
  <c r="CW9" i="7" s="1"/>
  <c r="CW432" i="7" s="1"/>
  <c r="CO10" i="7"/>
  <c r="CO9" i="7" s="1"/>
  <c r="CO432" i="7" s="1"/>
  <c r="CG10" i="7"/>
  <c r="CG9" i="7" s="1"/>
  <c r="CG432" i="7" s="1"/>
  <c r="BY10" i="7"/>
  <c r="BY9" i="7" s="1"/>
  <c r="BY432" i="7" s="1"/>
  <c r="BQ10" i="7"/>
  <c r="BQ9" i="7" s="1"/>
  <c r="BQ432" i="7" s="1"/>
  <c r="I55" i="7"/>
  <c r="BK55" i="7" s="1"/>
  <c r="I77" i="7"/>
  <c r="BK77" i="7" s="1"/>
  <c r="I121" i="7"/>
  <c r="BK121" i="7" s="1"/>
  <c r="I33" i="7"/>
  <c r="BK33" i="7" s="1"/>
  <c r="I15" i="7"/>
  <c r="I11" i="7" s="1"/>
  <c r="A10" i="7" l="1"/>
  <c r="R432" i="7"/>
  <c r="P432" i="7"/>
  <c r="S432" i="7"/>
  <c r="BP432" i="7"/>
  <c r="I9" i="9" s="1"/>
  <c r="BO430" i="7"/>
  <c r="BP430" i="7" s="1"/>
  <c r="BQ430" i="7" s="1"/>
  <c r="BR430" i="7" s="1"/>
  <c r="BS430" i="7" s="1"/>
  <c r="BT430" i="7" s="1"/>
  <c r="BU430" i="7" s="1"/>
  <c r="BV430" i="7" s="1"/>
  <c r="BW430" i="7" s="1"/>
  <c r="BX430" i="7" s="1"/>
  <c r="BY430" i="7" s="1"/>
  <c r="BZ430" i="7" s="1"/>
  <c r="CA430" i="7" s="1"/>
  <c r="CB430" i="7" s="1"/>
  <c r="CC430" i="7" s="1"/>
  <c r="CD430" i="7" s="1"/>
  <c r="CE430" i="7" s="1"/>
  <c r="CF430" i="7" s="1"/>
  <c r="CG430" i="7" s="1"/>
  <c r="CH430" i="7" s="1"/>
  <c r="CI430" i="7" s="1"/>
  <c r="CJ430" i="7" s="1"/>
  <c r="CK430" i="7" s="1"/>
  <c r="CL430" i="7" s="1"/>
  <c r="CM430" i="7" s="1"/>
  <c r="CN430" i="7" s="1"/>
  <c r="CO430" i="7" s="1"/>
  <c r="CP430" i="7" s="1"/>
  <c r="CQ430" i="7" s="1"/>
  <c r="CR430" i="7" s="1"/>
  <c r="CS430" i="7" s="1"/>
  <c r="CT430" i="7" s="1"/>
  <c r="CU430" i="7" s="1"/>
  <c r="CV430" i="7" s="1"/>
  <c r="CW430" i="7" s="1"/>
  <c r="CX430" i="7" s="1"/>
  <c r="CY430" i="7" s="1"/>
  <c r="CZ430" i="7" s="1"/>
  <c r="DA430" i="7" s="1"/>
  <c r="DB430" i="7" s="1"/>
  <c r="DC430" i="7" s="1"/>
  <c r="DD430" i="7" s="1"/>
  <c r="DE430" i="7" s="1"/>
  <c r="DF430" i="7" s="1"/>
  <c r="DG430" i="7" s="1"/>
  <c r="DH430" i="7" s="1"/>
  <c r="DI430" i="7" s="1"/>
  <c r="BO432" i="7"/>
  <c r="BO433" i="7" s="1"/>
  <c r="N432" i="7"/>
  <c r="N433" i="7" s="1"/>
  <c r="O433" i="7" s="1"/>
  <c r="N430" i="7"/>
  <c r="O430" i="7" s="1"/>
  <c r="P430" i="7" s="1"/>
  <c r="Q430" i="7" s="1"/>
  <c r="R430" i="7" s="1"/>
  <c r="S430" i="7" s="1"/>
  <c r="Q432" i="7"/>
  <c r="AF9" i="7"/>
  <c r="AF432" i="7" s="1"/>
  <c r="AI9" i="7"/>
  <c r="AI432" i="7" s="1"/>
  <c r="X9" i="7"/>
  <c r="X432" i="7" s="1"/>
  <c r="AD9" i="7"/>
  <c r="AD432" i="7" s="1"/>
  <c r="AC9" i="7"/>
  <c r="AC432" i="7" s="1"/>
  <c r="W9" i="7"/>
  <c r="AE9" i="7"/>
  <c r="AE432" i="7" s="1"/>
  <c r="T9" i="7"/>
  <c r="AA9" i="7"/>
  <c r="AA432" i="7" s="1"/>
  <c r="Z9" i="7"/>
  <c r="Z432" i="7" s="1"/>
  <c r="AB9" i="7"/>
  <c r="AB432" i="7" s="1"/>
  <c r="AH9" i="7"/>
  <c r="AH432" i="7" s="1"/>
  <c r="Y9" i="7"/>
  <c r="Y432" i="7" s="1"/>
  <c r="AJ9" i="7"/>
  <c r="AJ432" i="7" s="1"/>
  <c r="U9" i="7"/>
  <c r="V9" i="7"/>
  <c r="AG9" i="7"/>
  <c r="AG432" i="7" s="1"/>
  <c r="AG9" i="9"/>
  <c r="P9" i="9"/>
  <c r="AT9" i="9"/>
  <c r="AA9" i="9"/>
  <c r="AY9" i="9"/>
  <c r="AI9" i="9"/>
  <c r="AR9" i="9"/>
  <c r="AZ9" i="9"/>
  <c r="AN9" i="9"/>
  <c r="K9" i="9"/>
  <c r="S9" i="9"/>
  <c r="AM9" i="9"/>
  <c r="AJ9" i="9"/>
  <c r="AF9" i="9"/>
  <c r="M9" i="9"/>
  <c r="U9" i="9"/>
  <c r="AV9" i="9"/>
  <c r="J9" i="9"/>
  <c r="R9" i="9"/>
  <c r="AO9" i="9"/>
  <c r="AP9" i="9"/>
  <c r="X9" i="9"/>
  <c r="AC9" i="9"/>
  <c r="N9" i="9"/>
  <c r="AK9" i="9"/>
  <c r="Y9" i="9"/>
  <c r="W9" i="9"/>
  <c r="AW9" i="9"/>
  <c r="AS9" i="9"/>
  <c r="BB9" i="9"/>
  <c r="BA9" i="9"/>
  <c r="O9" i="9"/>
  <c r="AH9" i="9"/>
  <c r="AQ9" i="9"/>
  <c r="AX9" i="9"/>
  <c r="AD9" i="9"/>
  <c r="Z9" i="9"/>
  <c r="AU9" i="9"/>
  <c r="L9" i="9"/>
  <c r="T9" i="9"/>
  <c r="AB9" i="9"/>
  <c r="AE9" i="9"/>
  <c r="V9" i="9"/>
  <c r="AL9" i="9"/>
  <c r="Q9" i="9"/>
  <c r="I10" i="7"/>
  <c r="BK15" i="7"/>
  <c r="L143" i="7"/>
  <c r="L254" i="7"/>
  <c r="I254" i="7"/>
  <c r="I143" i="7"/>
  <c r="I3751" i="1"/>
  <c r="J3751" i="1" s="1"/>
  <c r="E3751" i="1"/>
  <c r="I3750" i="1"/>
  <c r="J3750" i="1" s="1"/>
  <c r="E3750" i="1"/>
  <c r="I3749" i="1"/>
  <c r="J3749" i="1" s="1"/>
  <c r="E3749" i="1"/>
  <c r="I3748" i="1"/>
  <c r="J3748" i="1" s="1"/>
  <c r="E3748" i="1"/>
  <c r="I3747" i="1"/>
  <c r="J3747" i="1" s="1"/>
  <c r="E3747" i="1"/>
  <c r="I3746" i="1"/>
  <c r="J3746" i="1" s="1"/>
  <c r="E3746" i="1"/>
  <c r="I3745" i="1"/>
  <c r="J3745" i="1" s="1"/>
  <c r="E3745" i="1"/>
  <c r="I3744" i="1"/>
  <c r="J3744" i="1" s="1"/>
  <c r="E3744" i="1"/>
  <c r="I3743" i="1"/>
  <c r="J3743" i="1" s="1"/>
  <c r="E3743" i="1"/>
  <c r="I3742" i="1"/>
  <c r="J3742" i="1" s="1"/>
  <c r="E3742" i="1"/>
  <c r="I3741" i="1"/>
  <c r="J3741" i="1" s="1"/>
  <c r="E3741" i="1"/>
  <c r="I3740" i="1"/>
  <c r="J3740" i="1" s="1"/>
  <c r="E3740" i="1"/>
  <c r="I3739" i="1"/>
  <c r="J3739" i="1" s="1"/>
  <c r="E3739" i="1"/>
  <c r="I3738" i="1"/>
  <c r="J3738" i="1" s="1"/>
  <c r="E3738" i="1"/>
  <c r="I3737" i="1"/>
  <c r="J3737" i="1" s="1"/>
  <c r="E3737" i="1"/>
  <c r="I3736" i="1"/>
  <c r="J3736" i="1" s="1"/>
  <c r="E3736" i="1"/>
  <c r="I3735" i="1"/>
  <c r="J3735" i="1" s="1"/>
  <c r="E3735" i="1"/>
  <c r="I3734" i="1"/>
  <c r="J3734" i="1" s="1"/>
  <c r="E3734" i="1"/>
  <c r="I3733" i="1"/>
  <c r="J3733" i="1" s="1"/>
  <c r="E3733" i="1"/>
  <c r="I3732" i="1"/>
  <c r="J3732" i="1" s="1"/>
  <c r="E3732" i="1"/>
  <c r="I3731" i="1"/>
  <c r="J3731" i="1" s="1"/>
  <c r="E3731" i="1"/>
  <c r="I3730" i="1"/>
  <c r="J3730" i="1" s="1"/>
  <c r="E3730" i="1"/>
  <c r="I3729" i="1"/>
  <c r="J3729" i="1" s="1"/>
  <c r="E3729" i="1"/>
  <c r="I3728" i="1"/>
  <c r="J3728" i="1" s="1"/>
  <c r="E3728" i="1"/>
  <c r="I3727" i="1"/>
  <c r="J3727" i="1" s="1"/>
  <c r="E3727" i="1"/>
  <c r="I3726" i="1"/>
  <c r="J3726" i="1" s="1"/>
  <c r="E3726" i="1"/>
  <c r="I3725" i="1"/>
  <c r="J3725" i="1" s="1"/>
  <c r="E3725" i="1"/>
  <c r="I3724" i="1"/>
  <c r="J3724" i="1" s="1"/>
  <c r="E3724" i="1"/>
  <c r="I3723" i="1"/>
  <c r="J3723" i="1" s="1"/>
  <c r="E3723" i="1"/>
  <c r="I3722" i="1"/>
  <c r="J3722" i="1" s="1"/>
  <c r="E3722" i="1"/>
  <c r="I3721" i="1"/>
  <c r="J3721" i="1" s="1"/>
  <c r="E3721" i="1"/>
  <c r="I3720" i="1"/>
  <c r="J3720" i="1" s="1"/>
  <c r="E3720" i="1"/>
  <c r="I3719" i="1"/>
  <c r="J3719" i="1" s="1"/>
  <c r="E3719" i="1"/>
  <c r="I3718" i="1"/>
  <c r="J3718" i="1" s="1"/>
  <c r="E3718" i="1"/>
  <c r="I3717" i="1"/>
  <c r="J3717" i="1" s="1"/>
  <c r="E3717" i="1"/>
  <c r="I3716" i="1"/>
  <c r="J3716" i="1" s="1"/>
  <c r="E3716" i="1"/>
  <c r="I3715" i="1"/>
  <c r="J3715" i="1" s="1"/>
  <c r="E3715" i="1"/>
  <c r="I3714" i="1"/>
  <c r="J3714" i="1" s="1"/>
  <c r="E3714" i="1"/>
  <c r="I3713" i="1"/>
  <c r="J3713" i="1" s="1"/>
  <c r="E3713" i="1"/>
  <c r="I3712" i="1"/>
  <c r="J3712" i="1" s="1"/>
  <c r="E3712" i="1"/>
  <c r="I3711" i="1"/>
  <c r="J3711" i="1" s="1"/>
  <c r="E3711" i="1"/>
  <c r="I3710" i="1"/>
  <c r="J3710" i="1" s="1"/>
  <c r="E3710" i="1"/>
  <c r="I3709" i="1"/>
  <c r="J3709" i="1" s="1"/>
  <c r="E3709" i="1"/>
  <c r="I3708" i="1"/>
  <c r="J3708" i="1" s="1"/>
  <c r="E3708" i="1"/>
  <c r="I3707" i="1"/>
  <c r="J3707" i="1" s="1"/>
  <c r="E3707" i="1"/>
  <c r="I3706" i="1"/>
  <c r="J3706" i="1" s="1"/>
  <c r="E3706" i="1"/>
  <c r="I3705" i="1"/>
  <c r="J3705" i="1" s="1"/>
  <c r="E3705" i="1"/>
  <c r="I3704" i="1"/>
  <c r="J3704" i="1" s="1"/>
  <c r="E3704" i="1"/>
  <c r="I3703" i="1"/>
  <c r="J3703" i="1" s="1"/>
  <c r="E3703" i="1"/>
  <c r="I3702" i="1"/>
  <c r="J3702" i="1" s="1"/>
  <c r="E3702" i="1"/>
  <c r="I3701" i="1"/>
  <c r="J3701" i="1" s="1"/>
  <c r="E3701" i="1"/>
  <c r="I3700" i="1"/>
  <c r="J3700" i="1" s="1"/>
  <c r="E3700" i="1"/>
  <c r="I3699" i="1"/>
  <c r="J3699" i="1" s="1"/>
  <c r="E3699" i="1"/>
  <c r="I3698" i="1"/>
  <c r="J3698" i="1" s="1"/>
  <c r="E3698" i="1"/>
  <c r="I3697" i="1"/>
  <c r="J3697" i="1" s="1"/>
  <c r="E3697" i="1"/>
  <c r="I3696" i="1"/>
  <c r="J3696" i="1" s="1"/>
  <c r="E3696" i="1"/>
  <c r="I3695" i="1"/>
  <c r="J3695" i="1" s="1"/>
  <c r="E3695" i="1"/>
  <c r="I3694" i="1"/>
  <c r="J3694" i="1" s="1"/>
  <c r="E3694" i="1"/>
  <c r="I3693" i="1"/>
  <c r="J3693" i="1" s="1"/>
  <c r="E3693" i="1"/>
  <c r="I3692" i="1"/>
  <c r="J3692" i="1" s="1"/>
  <c r="E3692" i="1"/>
  <c r="I3691" i="1"/>
  <c r="J3691" i="1" s="1"/>
  <c r="E3691" i="1"/>
  <c r="I3690" i="1"/>
  <c r="J3690" i="1" s="1"/>
  <c r="E3690" i="1"/>
  <c r="I3689" i="1"/>
  <c r="J3689" i="1" s="1"/>
  <c r="E3689" i="1"/>
  <c r="I3688" i="1"/>
  <c r="J3688" i="1" s="1"/>
  <c r="E3688" i="1"/>
  <c r="I3687" i="1"/>
  <c r="J3687" i="1" s="1"/>
  <c r="E3687" i="1"/>
  <c r="I3686" i="1"/>
  <c r="J3686" i="1" s="1"/>
  <c r="E3686" i="1"/>
  <c r="I3685" i="1"/>
  <c r="J3685" i="1" s="1"/>
  <c r="E3685" i="1"/>
  <c r="I3684" i="1"/>
  <c r="J3684" i="1" s="1"/>
  <c r="E3684" i="1"/>
  <c r="I3683" i="1"/>
  <c r="J3683" i="1" s="1"/>
  <c r="E3683" i="1"/>
  <c r="I3682" i="1"/>
  <c r="J3682" i="1" s="1"/>
  <c r="E3682" i="1"/>
  <c r="I3681" i="1"/>
  <c r="J3681" i="1" s="1"/>
  <c r="E3681" i="1"/>
  <c r="I3680" i="1"/>
  <c r="J3680" i="1" s="1"/>
  <c r="E3680" i="1"/>
  <c r="I3679" i="1"/>
  <c r="J3679" i="1" s="1"/>
  <c r="E3679" i="1"/>
  <c r="I3678" i="1"/>
  <c r="J3678" i="1" s="1"/>
  <c r="E3678" i="1"/>
  <c r="I3677" i="1"/>
  <c r="J3677" i="1" s="1"/>
  <c r="E3677" i="1"/>
  <c r="I3676" i="1"/>
  <c r="J3676" i="1" s="1"/>
  <c r="E3676" i="1"/>
  <c r="I3675" i="1"/>
  <c r="J3675" i="1" s="1"/>
  <c r="E3675" i="1"/>
  <c r="I3674" i="1"/>
  <c r="J3674" i="1" s="1"/>
  <c r="E3674" i="1"/>
  <c r="I3673" i="1"/>
  <c r="J3673" i="1" s="1"/>
  <c r="E3673" i="1"/>
  <c r="I3672" i="1"/>
  <c r="J3672" i="1" s="1"/>
  <c r="E3672" i="1"/>
  <c r="I3671" i="1"/>
  <c r="J3671" i="1" s="1"/>
  <c r="E3671" i="1"/>
  <c r="I3670" i="1"/>
  <c r="J3670" i="1" s="1"/>
  <c r="E3670" i="1"/>
  <c r="I3669" i="1"/>
  <c r="J3669" i="1" s="1"/>
  <c r="E3669" i="1"/>
  <c r="I3668" i="1"/>
  <c r="J3668" i="1" s="1"/>
  <c r="E3668" i="1"/>
  <c r="I3667" i="1"/>
  <c r="J3667" i="1" s="1"/>
  <c r="E3667" i="1"/>
  <c r="I3666" i="1"/>
  <c r="J3666" i="1" s="1"/>
  <c r="E3666" i="1"/>
  <c r="I3665" i="1"/>
  <c r="J3665" i="1" s="1"/>
  <c r="E3665" i="1"/>
  <c r="I3664" i="1"/>
  <c r="J3664" i="1" s="1"/>
  <c r="E3664" i="1"/>
  <c r="I3663" i="1"/>
  <c r="J3663" i="1" s="1"/>
  <c r="E3663" i="1"/>
  <c r="I3662" i="1"/>
  <c r="J3662" i="1" s="1"/>
  <c r="E3662" i="1"/>
  <c r="I3661" i="1"/>
  <c r="J3661" i="1" s="1"/>
  <c r="E3661" i="1"/>
  <c r="I3660" i="1"/>
  <c r="J3660" i="1" s="1"/>
  <c r="E3660" i="1"/>
  <c r="I3659" i="1"/>
  <c r="J3659" i="1" s="1"/>
  <c r="E3659" i="1"/>
  <c r="I3658" i="1"/>
  <c r="J3658" i="1" s="1"/>
  <c r="E3658" i="1"/>
  <c r="I3657" i="1"/>
  <c r="J3657" i="1" s="1"/>
  <c r="E3657" i="1"/>
  <c r="I3656" i="1"/>
  <c r="J3656" i="1" s="1"/>
  <c r="E3656" i="1"/>
  <c r="I3655" i="1"/>
  <c r="J3655" i="1" s="1"/>
  <c r="E3655" i="1"/>
  <c r="I3654" i="1"/>
  <c r="J3654" i="1" s="1"/>
  <c r="E3654" i="1"/>
  <c r="I3653" i="1"/>
  <c r="J3653" i="1" s="1"/>
  <c r="E3653" i="1"/>
  <c r="I3652" i="1"/>
  <c r="J3652" i="1" s="1"/>
  <c r="E3652" i="1"/>
  <c r="I3651" i="1"/>
  <c r="J3651" i="1" s="1"/>
  <c r="E3651" i="1"/>
  <c r="I3650" i="1"/>
  <c r="J3650" i="1" s="1"/>
  <c r="E3650" i="1"/>
  <c r="I3649" i="1"/>
  <c r="J3649" i="1" s="1"/>
  <c r="E3649" i="1"/>
  <c r="I3648" i="1"/>
  <c r="J3648" i="1" s="1"/>
  <c r="E3648" i="1"/>
  <c r="I3647" i="1"/>
  <c r="J3647" i="1" s="1"/>
  <c r="E3647" i="1"/>
  <c r="I3646" i="1"/>
  <c r="J3646" i="1" s="1"/>
  <c r="E3646" i="1"/>
  <c r="I3645" i="1"/>
  <c r="J3645" i="1" s="1"/>
  <c r="E3645" i="1"/>
  <c r="I3644" i="1"/>
  <c r="J3644" i="1" s="1"/>
  <c r="E3644" i="1"/>
  <c r="I3643" i="1"/>
  <c r="J3643" i="1" s="1"/>
  <c r="E3643" i="1"/>
  <c r="I3642" i="1"/>
  <c r="J3642" i="1" s="1"/>
  <c r="E3642" i="1"/>
  <c r="I3641" i="1"/>
  <c r="J3641" i="1" s="1"/>
  <c r="E3641" i="1"/>
  <c r="I3640" i="1"/>
  <c r="J3640" i="1" s="1"/>
  <c r="E3640" i="1"/>
  <c r="I3639" i="1"/>
  <c r="J3639" i="1" s="1"/>
  <c r="E3639" i="1"/>
  <c r="I3638" i="1"/>
  <c r="J3638" i="1" s="1"/>
  <c r="E3638" i="1"/>
  <c r="I3637" i="1"/>
  <c r="J3637" i="1" s="1"/>
  <c r="E3637" i="1"/>
  <c r="I3636" i="1"/>
  <c r="J3636" i="1" s="1"/>
  <c r="E3636" i="1"/>
  <c r="I3635" i="1"/>
  <c r="J3635" i="1" s="1"/>
  <c r="E3635" i="1"/>
  <c r="I3634" i="1"/>
  <c r="J3634" i="1" s="1"/>
  <c r="E3634" i="1"/>
  <c r="I3633" i="1"/>
  <c r="J3633" i="1" s="1"/>
  <c r="E3633" i="1"/>
  <c r="I3632" i="1"/>
  <c r="J3632" i="1" s="1"/>
  <c r="E3632" i="1"/>
  <c r="I3631" i="1"/>
  <c r="J3631" i="1" s="1"/>
  <c r="E3631" i="1"/>
  <c r="I3630" i="1"/>
  <c r="J3630" i="1" s="1"/>
  <c r="E3630" i="1"/>
  <c r="I3629" i="1"/>
  <c r="J3629" i="1" s="1"/>
  <c r="E3629" i="1"/>
  <c r="I3628" i="1"/>
  <c r="J3628" i="1" s="1"/>
  <c r="E3628" i="1"/>
  <c r="I3627" i="1"/>
  <c r="J3627" i="1" s="1"/>
  <c r="E3627" i="1"/>
  <c r="I3626" i="1"/>
  <c r="J3626" i="1" s="1"/>
  <c r="E3626" i="1"/>
  <c r="I3625" i="1"/>
  <c r="J3625" i="1" s="1"/>
  <c r="E3625" i="1"/>
  <c r="I3624" i="1"/>
  <c r="J3624" i="1" s="1"/>
  <c r="E3624" i="1"/>
  <c r="I3623" i="1"/>
  <c r="J3623" i="1" s="1"/>
  <c r="E3623" i="1"/>
  <c r="I3622" i="1"/>
  <c r="J3622" i="1" s="1"/>
  <c r="E3622" i="1"/>
  <c r="I3621" i="1"/>
  <c r="J3621" i="1" s="1"/>
  <c r="E3621" i="1"/>
  <c r="I3620" i="1"/>
  <c r="J3620" i="1" s="1"/>
  <c r="E3620" i="1"/>
  <c r="I3619" i="1"/>
  <c r="J3619" i="1" s="1"/>
  <c r="E3619" i="1"/>
  <c r="I3618" i="1"/>
  <c r="J3618" i="1" s="1"/>
  <c r="E3618" i="1"/>
  <c r="I3617" i="1"/>
  <c r="J3617" i="1" s="1"/>
  <c r="E3617" i="1"/>
  <c r="I3616" i="1"/>
  <c r="J3616" i="1" s="1"/>
  <c r="E3616" i="1"/>
  <c r="I3615" i="1"/>
  <c r="J3615" i="1" s="1"/>
  <c r="E3615" i="1"/>
  <c r="I3614" i="1"/>
  <c r="J3614" i="1" s="1"/>
  <c r="E3614" i="1"/>
  <c r="I3613" i="1"/>
  <c r="J3613" i="1" s="1"/>
  <c r="E3613" i="1"/>
  <c r="I3612" i="1"/>
  <c r="J3612" i="1" s="1"/>
  <c r="E3612" i="1"/>
  <c r="I3611" i="1"/>
  <c r="J3611" i="1" s="1"/>
  <c r="E3611" i="1"/>
  <c r="I3610" i="1"/>
  <c r="J3610" i="1" s="1"/>
  <c r="E3610" i="1"/>
  <c r="I3609" i="1"/>
  <c r="J3609" i="1" s="1"/>
  <c r="E3609" i="1"/>
  <c r="I3608" i="1"/>
  <c r="J3608" i="1" s="1"/>
  <c r="E3608" i="1"/>
  <c r="I3607" i="1"/>
  <c r="J3607" i="1" s="1"/>
  <c r="E3607" i="1"/>
  <c r="I3606" i="1"/>
  <c r="J3606" i="1" s="1"/>
  <c r="E3606" i="1"/>
  <c r="I3605" i="1"/>
  <c r="J3605" i="1" s="1"/>
  <c r="E3605" i="1"/>
  <c r="I3604" i="1"/>
  <c r="J3604" i="1" s="1"/>
  <c r="E3604" i="1"/>
  <c r="I3603" i="1"/>
  <c r="J3603" i="1" s="1"/>
  <c r="E3603" i="1"/>
  <c r="I3602" i="1"/>
  <c r="J3602" i="1" s="1"/>
  <c r="E3602" i="1"/>
  <c r="I3601" i="1"/>
  <c r="J3601" i="1" s="1"/>
  <c r="E3601" i="1"/>
  <c r="I3600" i="1"/>
  <c r="J3600" i="1" s="1"/>
  <c r="E3600" i="1"/>
  <c r="I3599" i="1"/>
  <c r="J3599" i="1" s="1"/>
  <c r="E3599" i="1"/>
  <c r="I3598" i="1"/>
  <c r="J3598" i="1" s="1"/>
  <c r="E3598" i="1"/>
  <c r="I3597" i="1"/>
  <c r="J3597" i="1" s="1"/>
  <c r="E3597" i="1"/>
  <c r="I3596" i="1"/>
  <c r="J3596" i="1" s="1"/>
  <c r="E3596" i="1"/>
  <c r="I3595" i="1"/>
  <c r="J3595" i="1" s="1"/>
  <c r="E3595" i="1"/>
  <c r="I3594" i="1"/>
  <c r="J3594" i="1" s="1"/>
  <c r="E3594" i="1"/>
  <c r="I3593" i="1"/>
  <c r="J3593" i="1" s="1"/>
  <c r="E3593" i="1"/>
  <c r="I3592" i="1"/>
  <c r="J3592" i="1" s="1"/>
  <c r="E3592" i="1"/>
  <c r="I3591" i="1"/>
  <c r="J3591" i="1" s="1"/>
  <c r="E3591" i="1"/>
  <c r="I3590" i="1"/>
  <c r="J3590" i="1" s="1"/>
  <c r="E3590" i="1"/>
  <c r="I3589" i="1"/>
  <c r="J3589" i="1" s="1"/>
  <c r="E3589" i="1"/>
  <c r="I3588" i="1"/>
  <c r="J3588" i="1" s="1"/>
  <c r="E3588" i="1"/>
  <c r="I3587" i="1"/>
  <c r="J3587" i="1" s="1"/>
  <c r="E3587" i="1"/>
  <c r="I3586" i="1"/>
  <c r="J3586" i="1" s="1"/>
  <c r="E3586" i="1"/>
  <c r="I3585" i="1"/>
  <c r="J3585" i="1" s="1"/>
  <c r="E3585" i="1"/>
  <c r="I3584" i="1"/>
  <c r="J3584" i="1" s="1"/>
  <c r="E3584" i="1"/>
  <c r="I3583" i="1"/>
  <c r="J3583" i="1" s="1"/>
  <c r="E3583" i="1"/>
  <c r="I3582" i="1"/>
  <c r="J3582" i="1" s="1"/>
  <c r="E3582" i="1"/>
  <c r="I3581" i="1"/>
  <c r="J3581" i="1" s="1"/>
  <c r="E3581" i="1"/>
  <c r="I3580" i="1"/>
  <c r="J3580" i="1" s="1"/>
  <c r="E3580" i="1"/>
  <c r="I3579" i="1"/>
  <c r="J3579" i="1" s="1"/>
  <c r="E3579" i="1"/>
  <c r="I3578" i="1"/>
  <c r="J3578" i="1" s="1"/>
  <c r="E3578" i="1"/>
  <c r="I3577" i="1"/>
  <c r="J3577" i="1" s="1"/>
  <c r="E3577" i="1"/>
  <c r="I3576" i="1"/>
  <c r="J3576" i="1" s="1"/>
  <c r="E3576" i="1"/>
  <c r="I3575" i="1"/>
  <c r="J3575" i="1" s="1"/>
  <c r="E3575" i="1"/>
  <c r="I3574" i="1"/>
  <c r="J3574" i="1" s="1"/>
  <c r="E3574" i="1"/>
  <c r="I3573" i="1"/>
  <c r="J3573" i="1" s="1"/>
  <c r="E3573" i="1"/>
  <c r="I3572" i="1"/>
  <c r="J3572" i="1" s="1"/>
  <c r="E3572" i="1"/>
  <c r="I3571" i="1"/>
  <c r="J3571" i="1" s="1"/>
  <c r="E3571" i="1"/>
  <c r="I3570" i="1"/>
  <c r="J3570" i="1" s="1"/>
  <c r="E3570" i="1"/>
  <c r="I3569" i="1"/>
  <c r="J3569" i="1" s="1"/>
  <c r="E3569" i="1"/>
  <c r="I3568" i="1"/>
  <c r="J3568" i="1" s="1"/>
  <c r="E3568" i="1"/>
  <c r="I3567" i="1"/>
  <c r="J3567" i="1" s="1"/>
  <c r="E3567" i="1"/>
  <c r="I3566" i="1"/>
  <c r="J3566" i="1" s="1"/>
  <c r="E3566" i="1"/>
  <c r="I3565" i="1"/>
  <c r="J3565" i="1" s="1"/>
  <c r="E3565" i="1"/>
  <c r="I3564" i="1"/>
  <c r="J3564" i="1" s="1"/>
  <c r="E3564" i="1"/>
  <c r="I3563" i="1"/>
  <c r="J3563" i="1" s="1"/>
  <c r="E3563" i="1"/>
  <c r="I3562" i="1"/>
  <c r="J3562" i="1" s="1"/>
  <c r="E3562" i="1"/>
  <c r="I3561" i="1"/>
  <c r="J3561" i="1" s="1"/>
  <c r="E3561" i="1"/>
  <c r="I3560" i="1"/>
  <c r="J3560" i="1" s="1"/>
  <c r="E3560" i="1"/>
  <c r="I3559" i="1"/>
  <c r="J3559" i="1" s="1"/>
  <c r="E3559" i="1"/>
  <c r="I3558" i="1"/>
  <c r="J3558" i="1" s="1"/>
  <c r="E3558" i="1"/>
  <c r="I3557" i="1"/>
  <c r="J3557" i="1" s="1"/>
  <c r="E3557" i="1"/>
  <c r="I3556" i="1"/>
  <c r="J3556" i="1" s="1"/>
  <c r="E3556" i="1"/>
  <c r="I3555" i="1"/>
  <c r="J3555" i="1" s="1"/>
  <c r="E3555" i="1"/>
  <c r="I3554" i="1"/>
  <c r="J3554" i="1" s="1"/>
  <c r="E3554" i="1"/>
  <c r="I3553" i="1"/>
  <c r="J3553" i="1" s="1"/>
  <c r="E3553" i="1"/>
  <c r="I3552" i="1"/>
  <c r="J3552" i="1" s="1"/>
  <c r="E3552" i="1"/>
  <c r="I3551" i="1"/>
  <c r="J3551" i="1" s="1"/>
  <c r="E3551" i="1"/>
  <c r="I3550" i="1"/>
  <c r="J3550" i="1" s="1"/>
  <c r="E3550" i="1"/>
  <c r="I3549" i="1"/>
  <c r="J3549" i="1" s="1"/>
  <c r="E3549" i="1"/>
  <c r="I3548" i="1"/>
  <c r="J3548" i="1" s="1"/>
  <c r="E3548" i="1"/>
  <c r="I3547" i="1"/>
  <c r="J3547" i="1" s="1"/>
  <c r="E3547" i="1"/>
  <c r="I3546" i="1"/>
  <c r="J3546" i="1" s="1"/>
  <c r="E3546" i="1"/>
  <c r="I3545" i="1"/>
  <c r="J3545" i="1" s="1"/>
  <c r="E3545" i="1"/>
  <c r="I3544" i="1"/>
  <c r="J3544" i="1" s="1"/>
  <c r="E3544" i="1"/>
  <c r="I3543" i="1"/>
  <c r="J3543" i="1" s="1"/>
  <c r="E3543" i="1"/>
  <c r="I3542" i="1"/>
  <c r="J3542" i="1" s="1"/>
  <c r="E3542" i="1"/>
  <c r="I3541" i="1"/>
  <c r="J3541" i="1" s="1"/>
  <c r="E3541" i="1"/>
  <c r="I3540" i="1"/>
  <c r="J3540" i="1" s="1"/>
  <c r="E3540" i="1"/>
  <c r="I3539" i="1"/>
  <c r="J3539" i="1" s="1"/>
  <c r="E3539" i="1"/>
  <c r="I3538" i="1"/>
  <c r="J3538" i="1" s="1"/>
  <c r="E3538" i="1"/>
  <c r="I3537" i="1"/>
  <c r="J3537" i="1" s="1"/>
  <c r="E3537" i="1"/>
  <c r="I3536" i="1"/>
  <c r="J3536" i="1" s="1"/>
  <c r="E3536" i="1"/>
  <c r="I3535" i="1"/>
  <c r="J3535" i="1" s="1"/>
  <c r="E3535" i="1"/>
  <c r="I3534" i="1"/>
  <c r="J3534" i="1" s="1"/>
  <c r="E3534" i="1"/>
  <c r="I3533" i="1"/>
  <c r="J3533" i="1" s="1"/>
  <c r="E3533" i="1"/>
  <c r="I3532" i="1"/>
  <c r="J3532" i="1" s="1"/>
  <c r="E3532" i="1"/>
  <c r="I3531" i="1"/>
  <c r="J3531" i="1" s="1"/>
  <c r="E3531" i="1"/>
  <c r="I3530" i="1"/>
  <c r="J3530" i="1" s="1"/>
  <c r="E3530" i="1"/>
  <c r="I3529" i="1"/>
  <c r="J3529" i="1" s="1"/>
  <c r="E3529" i="1"/>
  <c r="I3528" i="1"/>
  <c r="J3528" i="1" s="1"/>
  <c r="E3528" i="1"/>
  <c r="I3527" i="1"/>
  <c r="J3527" i="1" s="1"/>
  <c r="E3527" i="1"/>
  <c r="I3526" i="1"/>
  <c r="J3526" i="1" s="1"/>
  <c r="E3526" i="1"/>
  <c r="I3525" i="1"/>
  <c r="J3525" i="1" s="1"/>
  <c r="E3525" i="1"/>
  <c r="I3524" i="1"/>
  <c r="J3524" i="1" s="1"/>
  <c r="E3524" i="1"/>
  <c r="I3523" i="1"/>
  <c r="J3523" i="1" s="1"/>
  <c r="E3523" i="1"/>
  <c r="I3522" i="1"/>
  <c r="J3522" i="1" s="1"/>
  <c r="E3522" i="1"/>
  <c r="I3521" i="1"/>
  <c r="J3521" i="1" s="1"/>
  <c r="E3521" i="1"/>
  <c r="I3520" i="1"/>
  <c r="J3520" i="1" s="1"/>
  <c r="E3520" i="1"/>
  <c r="I3519" i="1"/>
  <c r="J3519" i="1" s="1"/>
  <c r="E3519" i="1"/>
  <c r="I3518" i="1"/>
  <c r="J3518" i="1" s="1"/>
  <c r="E3518" i="1"/>
  <c r="I3517" i="1"/>
  <c r="J3517" i="1" s="1"/>
  <c r="E3517" i="1"/>
  <c r="I3516" i="1"/>
  <c r="J3516" i="1" s="1"/>
  <c r="E3516" i="1"/>
  <c r="I3515" i="1"/>
  <c r="J3515" i="1" s="1"/>
  <c r="E3515" i="1"/>
  <c r="I3514" i="1"/>
  <c r="J3514" i="1" s="1"/>
  <c r="E3514" i="1"/>
  <c r="I3513" i="1"/>
  <c r="J3513" i="1" s="1"/>
  <c r="E3513" i="1"/>
  <c r="I3512" i="1"/>
  <c r="J3512" i="1" s="1"/>
  <c r="E3512" i="1"/>
  <c r="I3511" i="1"/>
  <c r="J3511" i="1" s="1"/>
  <c r="E3511" i="1"/>
  <c r="I3510" i="1"/>
  <c r="J3510" i="1" s="1"/>
  <c r="E3510" i="1"/>
  <c r="I3509" i="1"/>
  <c r="J3509" i="1" s="1"/>
  <c r="E3509" i="1"/>
  <c r="I3508" i="1"/>
  <c r="J3508" i="1" s="1"/>
  <c r="E3508" i="1"/>
  <c r="I3507" i="1"/>
  <c r="J3507" i="1" s="1"/>
  <c r="E3507" i="1"/>
  <c r="I3506" i="1"/>
  <c r="J3506" i="1" s="1"/>
  <c r="E3506" i="1"/>
  <c r="I3505" i="1"/>
  <c r="J3505" i="1" s="1"/>
  <c r="E3505" i="1"/>
  <c r="I3504" i="1"/>
  <c r="J3504" i="1" s="1"/>
  <c r="E3504" i="1"/>
  <c r="I3503" i="1"/>
  <c r="J3503" i="1" s="1"/>
  <c r="E3503" i="1"/>
  <c r="I3502" i="1"/>
  <c r="J3502" i="1" s="1"/>
  <c r="E3502" i="1"/>
  <c r="I3501" i="1"/>
  <c r="J3501" i="1" s="1"/>
  <c r="E3501" i="1"/>
  <c r="I3500" i="1"/>
  <c r="J3500" i="1" s="1"/>
  <c r="E3500" i="1"/>
  <c r="I3499" i="1"/>
  <c r="J3499" i="1" s="1"/>
  <c r="E3499" i="1"/>
  <c r="I3498" i="1"/>
  <c r="J3498" i="1" s="1"/>
  <c r="E3498" i="1"/>
  <c r="I3497" i="1"/>
  <c r="J3497" i="1" s="1"/>
  <c r="E3497" i="1"/>
  <c r="I3496" i="1"/>
  <c r="J3496" i="1" s="1"/>
  <c r="E3496" i="1"/>
  <c r="I3495" i="1"/>
  <c r="J3495" i="1" s="1"/>
  <c r="E3495" i="1"/>
  <c r="I3494" i="1"/>
  <c r="J3494" i="1" s="1"/>
  <c r="E3494" i="1"/>
  <c r="I3493" i="1"/>
  <c r="J3493" i="1" s="1"/>
  <c r="E3493" i="1"/>
  <c r="I3492" i="1"/>
  <c r="J3492" i="1" s="1"/>
  <c r="E3492" i="1"/>
  <c r="I3491" i="1"/>
  <c r="J3491" i="1" s="1"/>
  <c r="E3491" i="1"/>
  <c r="I3490" i="1"/>
  <c r="J3490" i="1" s="1"/>
  <c r="E3490" i="1"/>
  <c r="I3489" i="1"/>
  <c r="J3489" i="1" s="1"/>
  <c r="E3489" i="1"/>
  <c r="I3488" i="1"/>
  <c r="J3488" i="1" s="1"/>
  <c r="E3488" i="1"/>
  <c r="I3487" i="1"/>
  <c r="J3487" i="1" s="1"/>
  <c r="E3487" i="1"/>
  <c r="I3486" i="1"/>
  <c r="J3486" i="1" s="1"/>
  <c r="E3486" i="1"/>
  <c r="I3485" i="1"/>
  <c r="J3485" i="1" s="1"/>
  <c r="E3485" i="1"/>
  <c r="I3484" i="1"/>
  <c r="J3484" i="1" s="1"/>
  <c r="E3484" i="1"/>
  <c r="I3483" i="1"/>
  <c r="J3483" i="1" s="1"/>
  <c r="E3483" i="1"/>
  <c r="I3482" i="1"/>
  <c r="J3482" i="1" s="1"/>
  <c r="E3482" i="1"/>
  <c r="I3481" i="1"/>
  <c r="J3481" i="1" s="1"/>
  <c r="E3481" i="1"/>
  <c r="I3480" i="1"/>
  <c r="J3480" i="1" s="1"/>
  <c r="E3480" i="1"/>
  <c r="I3479" i="1"/>
  <c r="J3479" i="1" s="1"/>
  <c r="E3479" i="1"/>
  <c r="I3478" i="1"/>
  <c r="J3478" i="1" s="1"/>
  <c r="E3478" i="1"/>
  <c r="I3477" i="1"/>
  <c r="J3477" i="1" s="1"/>
  <c r="E3477" i="1"/>
  <c r="I3476" i="1"/>
  <c r="J3476" i="1" s="1"/>
  <c r="E3476" i="1"/>
  <c r="I3475" i="1"/>
  <c r="J3475" i="1" s="1"/>
  <c r="E3475" i="1"/>
  <c r="I3474" i="1"/>
  <c r="J3474" i="1" s="1"/>
  <c r="E3474" i="1"/>
  <c r="I3473" i="1"/>
  <c r="J3473" i="1" s="1"/>
  <c r="E3473" i="1"/>
  <c r="I3472" i="1"/>
  <c r="J3472" i="1" s="1"/>
  <c r="E3472" i="1"/>
  <c r="I3471" i="1"/>
  <c r="J3471" i="1" s="1"/>
  <c r="E3471" i="1"/>
  <c r="I3470" i="1"/>
  <c r="J3470" i="1" s="1"/>
  <c r="E3470" i="1"/>
  <c r="I3469" i="1"/>
  <c r="J3469" i="1" s="1"/>
  <c r="E3469" i="1"/>
  <c r="I3468" i="1"/>
  <c r="J3468" i="1" s="1"/>
  <c r="E3468" i="1"/>
  <c r="I3467" i="1"/>
  <c r="J3467" i="1" s="1"/>
  <c r="E3467" i="1"/>
  <c r="I3466" i="1"/>
  <c r="J3466" i="1" s="1"/>
  <c r="E3466" i="1"/>
  <c r="I3465" i="1"/>
  <c r="J3465" i="1" s="1"/>
  <c r="E3465" i="1"/>
  <c r="I3464" i="1"/>
  <c r="J3464" i="1" s="1"/>
  <c r="E3464" i="1"/>
  <c r="I3463" i="1"/>
  <c r="J3463" i="1" s="1"/>
  <c r="E3463" i="1"/>
  <c r="I3462" i="1"/>
  <c r="J3462" i="1" s="1"/>
  <c r="E3462" i="1"/>
  <c r="I3461" i="1"/>
  <c r="J3461" i="1" s="1"/>
  <c r="E3461" i="1"/>
  <c r="I3460" i="1"/>
  <c r="J3460" i="1" s="1"/>
  <c r="E3460" i="1"/>
  <c r="I3459" i="1"/>
  <c r="J3459" i="1" s="1"/>
  <c r="E3459" i="1"/>
  <c r="I3458" i="1"/>
  <c r="J3458" i="1" s="1"/>
  <c r="E3458" i="1"/>
  <c r="I3457" i="1"/>
  <c r="J3457" i="1" s="1"/>
  <c r="E3457" i="1"/>
  <c r="I3456" i="1"/>
  <c r="J3456" i="1" s="1"/>
  <c r="E3456" i="1"/>
  <c r="I3455" i="1"/>
  <c r="J3455" i="1" s="1"/>
  <c r="E3455" i="1"/>
  <c r="I3454" i="1"/>
  <c r="J3454" i="1" s="1"/>
  <c r="E3454" i="1"/>
  <c r="I3453" i="1"/>
  <c r="J3453" i="1" s="1"/>
  <c r="E3453" i="1"/>
  <c r="I3452" i="1"/>
  <c r="J3452" i="1" s="1"/>
  <c r="E3452" i="1"/>
  <c r="I3451" i="1"/>
  <c r="J3451" i="1" s="1"/>
  <c r="E3451" i="1"/>
  <c r="I3450" i="1"/>
  <c r="J3450" i="1" s="1"/>
  <c r="E3450" i="1"/>
  <c r="I3449" i="1"/>
  <c r="J3449" i="1" s="1"/>
  <c r="E3449" i="1"/>
  <c r="I3448" i="1"/>
  <c r="J3448" i="1" s="1"/>
  <c r="E3448" i="1"/>
  <c r="I3447" i="1"/>
  <c r="J3447" i="1" s="1"/>
  <c r="E3447" i="1"/>
  <c r="I3446" i="1"/>
  <c r="J3446" i="1" s="1"/>
  <c r="E3446" i="1"/>
  <c r="I3445" i="1"/>
  <c r="J3445" i="1" s="1"/>
  <c r="E3445" i="1"/>
  <c r="I3444" i="1"/>
  <c r="J3444" i="1" s="1"/>
  <c r="E3444" i="1"/>
  <c r="I3443" i="1"/>
  <c r="J3443" i="1" s="1"/>
  <c r="E3443" i="1"/>
  <c r="I3442" i="1"/>
  <c r="J3442" i="1" s="1"/>
  <c r="E3442" i="1"/>
  <c r="I3441" i="1"/>
  <c r="J3441" i="1" s="1"/>
  <c r="E3441" i="1"/>
  <c r="I3440" i="1"/>
  <c r="J3440" i="1" s="1"/>
  <c r="E3440" i="1"/>
  <c r="I3439" i="1"/>
  <c r="J3439" i="1" s="1"/>
  <c r="E3439" i="1"/>
  <c r="I3438" i="1"/>
  <c r="J3438" i="1" s="1"/>
  <c r="E3438" i="1"/>
  <c r="I3437" i="1"/>
  <c r="J3437" i="1" s="1"/>
  <c r="E3437" i="1"/>
  <c r="I3436" i="1"/>
  <c r="J3436" i="1" s="1"/>
  <c r="E3436" i="1"/>
  <c r="I3435" i="1"/>
  <c r="J3435" i="1" s="1"/>
  <c r="E3435" i="1"/>
  <c r="I3434" i="1"/>
  <c r="J3434" i="1" s="1"/>
  <c r="E3434" i="1"/>
  <c r="I3433" i="1"/>
  <c r="J3433" i="1" s="1"/>
  <c r="E3433" i="1"/>
  <c r="I3432" i="1"/>
  <c r="J3432" i="1" s="1"/>
  <c r="E3432" i="1"/>
  <c r="I3431" i="1"/>
  <c r="J3431" i="1" s="1"/>
  <c r="E3431" i="1"/>
  <c r="I3430" i="1"/>
  <c r="J3430" i="1" s="1"/>
  <c r="E3430" i="1"/>
  <c r="I3429" i="1"/>
  <c r="J3429" i="1" s="1"/>
  <c r="E3429" i="1"/>
  <c r="I3428" i="1"/>
  <c r="J3428" i="1" s="1"/>
  <c r="E3428" i="1"/>
  <c r="I3427" i="1"/>
  <c r="J3427" i="1" s="1"/>
  <c r="E3427" i="1"/>
  <c r="I3426" i="1"/>
  <c r="J3426" i="1" s="1"/>
  <c r="E3426" i="1"/>
  <c r="I3425" i="1"/>
  <c r="J3425" i="1" s="1"/>
  <c r="E3425" i="1"/>
  <c r="I3424" i="1"/>
  <c r="J3424" i="1" s="1"/>
  <c r="E3424" i="1"/>
  <c r="I3423" i="1"/>
  <c r="J3423" i="1" s="1"/>
  <c r="E3423" i="1"/>
  <c r="I3422" i="1"/>
  <c r="J3422" i="1" s="1"/>
  <c r="E3422" i="1"/>
  <c r="I3421" i="1"/>
  <c r="J3421" i="1" s="1"/>
  <c r="E3421" i="1"/>
  <c r="I3420" i="1"/>
  <c r="J3420" i="1" s="1"/>
  <c r="E3420" i="1"/>
  <c r="I3419" i="1"/>
  <c r="J3419" i="1" s="1"/>
  <c r="E3419" i="1"/>
  <c r="I3418" i="1"/>
  <c r="J3418" i="1" s="1"/>
  <c r="E3418" i="1"/>
  <c r="I3417" i="1"/>
  <c r="J3417" i="1" s="1"/>
  <c r="E3417" i="1"/>
  <c r="I3416" i="1"/>
  <c r="J3416" i="1" s="1"/>
  <c r="E3416" i="1"/>
  <c r="I3415" i="1"/>
  <c r="J3415" i="1" s="1"/>
  <c r="E3415" i="1"/>
  <c r="I3414" i="1"/>
  <c r="J3414" i="1" s="1"/>
  <c r="E3414" i="1"/>
  <c r="I3413" i="1"/>
  <c r="J3413" i="1" s="1"/>
  <c r="E3413" i="1"/>
  <c r="I3412" i="1"/>
  <c r="J3412" i="1" s="1"/>
  <c r="E3412" i="1"/>
  <c r="I3411" i="1"/>
  <c r="J3411" i="1" s="1"/>
  <c r="E3411" i="1"/>
  <c r="I3410" i="1"/>
  <c r="J3410" i="1" s="1"/>
  <c r="E3410" i="1"/>
  <c r="I3409" i="1"/>
  <c r="J3409" i="1" s="1"/>
  <c r="E3409" i="1"/>
  <c r="I3408" i="1"/>
  <c r="J3408" i="1" s="1"/>
  <c r="E3408" i="1"/>
  <c r="I3407" i="1"/>
  <c r="J3407" i="1" s="1"/>
  <c r="E3407" i="1"/>
  <c r="I3406" i="1"/>
  <c r="J3406" i="1" s="1"/>
  <c r="E3406" i="1"/>
  <c r="I3405" i="1"/>
  <c r="J3405" i="1" s="1"/>
  <c r="E3405" i="1"/>
  <c r="I3404" i="1"/>
  <c r="J3404" i="1" s="1"/>
  <c r="E3404" i="1"/>
  <c r="I3403" i="1"/>
  <c r="J3403" i="1" s="1"/>
  <c r="E3403" i="1"/>
  <c r="I3402" i="1"/>
  <c r="J3402" i="1" s="1"/>
  <c r="E3402" i="1"/>
  <c r="I3401" i="1"/>
  <c r="J3401" i="1" s="1"/>
  <c r="E3401" i="1"/>
  <c r="I3400" i="1"/>
  <c r="J3400" i="1" s="1"/>
  <c r="E3400" i="1"/>
  <c r="I3399" i="1"/>
  <c r="J3399" i="1" s="1"/>
  <c r="E3399" i="1"/>
  <c r="I3398" i="1"/>
  <c r="J3398" i="1" s="1"/>
  <c r="E3398" i="1"/>
  <c r="I3397" i="1"/>
  <c r="J3397" i="1" s="1"/>
  <c r="E3397" i="1"/>
  <c r="I3396" i="1"/>
  <c r="J3396" i="1" s="1"/>
  <c r="E3396" i="1"/>
  <c r="I3395" i="1"/>
  <c r="J3395" i="1" s="1"/>
  <c r="E3395" i="1"/>
  <c r="I3394" i="1"/>
  <c r="J3394" i="1" s="1"/>
  <c r="E3394" i="1"/>
  <c r="I3393" i="1"/>
  <c r="J3393" i="1" s="1"/>
  <c r="E3393" i="1"/>
  <c r="I3392" i="1"/>
  <c r="J3392" i="1" s="1"/>
  <c r="E3392" i="1"/>
  <c r="I3391" i="1"/>
  <c r="J3391" i="1" s="1"/>
  <c r="E3391" i="1"/>
  <c r="I3390" i="1"/>
  <c r="J3390" i="1" s="1"/>
  <c r="E3390" i="1"/>
  <c r="I3389" i="1"/>
  <c r="J3389" i="1" s="1"/>
  <c r="E3389" i="1"/>
  <c r="I3388" i="1"/>
  <c r="J3388" i="1" s="1"/>
  <c r="E3388" i="1"/>
  <c r="I3387" i="1"/>
  <c r="J3387" i="1" s="1"/>
  <c r="E3387" i="1"/>
  <c r="I3386" i="1"/>
  <c r="J3386" i="1" s="1"/>
  <c r="E3386" i="1"/>
  <c r="I3385" i="1"/>
  <c r="J3385" i="1" s="1"/>
  <c r="E3385" i="1"/>
  <c r="I3384" i="1"/>
  <c r="J3384" i="1" s="1"/>
  <c r="E3384" i="1"/>
  <c r="I3383" i="1"/>
  <c r="J3383" i="1" s="1"/>
  <c r="E3383" i="1"/>
  <c r="I3382" i="1"/>
  <c r="J3382" i="1" s="1"/>
  <c r="E3382" i="1"/>
  <c r="I3381" i="1"/>
  <c r="J3381" i="1" s="1"/>
  <c r="E3381" i="1"/>
  <c r="I3380" i="1"/>
  <c r="J3380" i="1" s="1"/>
  <c r="E3380" i="1"/>
  <c r="I3379" i="1"/>
  <c r="J3379" i="1" s="1"/>
  <c r="E3379" i="1"/>
  <c r="I3378" i="1"/>
  <c r="J3378" i="1" s="1"/>
  <c r="E3378" i="1"/>
  <c r="I3377" i="1"/>
  <c r="J3377" i="1" s="1"/>
  <c r="E3377" i="1"/>
  <c r="I3376" i="1"/>
  <c r="J3376" i="1" s="1"/>
  <c r="E3376" i="1"/>
  <c r="I3375" i="1"/>
  <c r="J3375" i="1" s="1"/>
  <c r="E3375" i="1"/>
  <c r="I3374" i="1"/>
  <c r="J3374" i="1" s="1"/>
  <c r="E3374" i="1"/>
  <c r="I3373" i="1"/>
  <c r="J3373" i="1" s="1"/>
  <c r="E3373" i="1"/>
  <c r="I3372" i="1"/>
  <c r="J3372" i="1" s="1"/>
  <c r="E3372" i="1"/>
  <c r="I3371" i="1"/>
  <c r="J3371" i="1" s="1"/>
  <c r="E3371" i="1"/>
  <c r="I3370" i="1"/>
  <c r="J3370" i="1" s="1"/>
  <c r="E3370" i="1"/>
  <c r="I3369" i="1"/>
  <c r="J3369" i="1" s="1"/>
  <c r="E3369" i="1"/>
  <c r="I3368" i="1"/>
  <c r="J3368" i="1" s="1"/>
  <c r="E3368" i="1"/>
  <c r="I3367" i="1"/>
  <c r="J3367" i="1" s="1"/>
  <c r="E3367" i="1"/>
  <c r="I3366" i="1"/>
  <c r="J3366" i="1" s="1"/>
  <c r="E3366" i="1"/>
  <c r="I3365" i="1"/>
  <c r="J3365" i="1" s="1"/>
  <c r="E3365" i="1"/>
  <c r="I3364" i="1"/>
  <c r="J3364" i="1" s="1"/>
  <c r="E3364" i="1"/>
  <c r="I3363" i="1"/>
  <c r="J3363" i="1" s="1"/>
  <c r="E3363" i="1"/>
  <c r="I3362" i="1"/>
  <c r="J3362" i="1" s="1"/>
  <c r="E3362" i="1"/>
  <c r="I3361" i="1"/>
  <c r="J3361" i="1" s="1"/>
  <c r="E3361" i="1"/>
  <c r="I3360" i="1"/>
  <c r="J3360" i="1" s="1"/>
  <c r="E3360" i="1"/>
  <c r="I3359" i="1"/>
  <c r="J3359" i="1" s="1"/>
  <c r="E3359" i="1"/>
  <c r="I3358" i="1"/>
  <c r="J3358" i="1" s="1"/>
  <c r="E3358" i="1"/>
  <c r="I3357" i="1"/>
  <c r="J3357" i="1" s="1"/>
  <c r="E3357" i="1"/>
  <c r="I3356" i="1"/>
  <c r="J3356" i="1" s="1"/>
  <c r="E3356" i="1"/>
  <c r="I3355" i="1"/>
  <c r="J3355" i="1" s="1"/>
  <c r="E3355" i="1"/>
  <c r="I3354" i="1"/>
  <c r="J3354" i="1" s="1"/>
  <c r="E3354" i="1"/>
  <c r="I3353" i="1"/>
  <c r="J3353" i="1" s="1"/>
  <c r="E3353" i="1"/>
  <c r="I3352" i="1"/>
  <c r="J3352" i="1" s="1"/>
  <c r="E3352" i="1"/>
  <c r="I3351" i="1"/>
  <c r="J3351" i="1" s="1"/>
  <c r="E3351" i="1"/>
  <c r="I3350" i="1"/>
  <c r="J3350" i="1" s="1"/>
  <c r="E3350" i="1"/>
  <c r="I3349" i="1"/>
  <c r="J3349" i="1" s="1"/>
  <c r="E3349" i="1"/>
  <c r="I3348" i="1"/>
  <c r="J3348" i="1" s="1"/>
  <c r="E3348" i="1"/>
  <c r="I3347" i="1"/>
  <c r="J3347" i="1" s="1"/>
  <c r="E3347" i="1"/>
  <c r="I3346" i="1"/>
  <c r="J3346" i="1" s="1"/>
  <c r="E3346" i="1"/>
  <c r="I3345" i="1"/>
  <c r="J3345" i="1" s="1"/>
  <c r="E3345" i="1"/>
  <c r="I3344" i="1"/>
  <c r="J3344" i="1" s="1"/>
  <c r="E3344" i="1"/>
  <c r="I3343" i="1"/>
  <c r="J3343" i="1" s="1"/>
  <c r="E3343" i="1"/>
  <c r="I3342" i="1"/>
  <c r="J3342" i="1" s="1"/>
  <c r="E3342" i="1"/>
  <c r="I3341" i="1"/>
  <c r="J3341" i="1" s="1"/>
  <c r="E3341" i="1"/>
  <c r="I3340" i="1"/>
  <c r="J3340" i="1" s="1"/>
  <c r="E3340" i="1"/>
  <c r="I3339" i="1"/>
  <c r="J3339" i="1" s="1"/>
  <c r="E3339" i="1"/>
  <c r="I3338" i="1"/>
  <c r="J3338" i="1" s="1"/>
  <c r="E3338" i="1"/>
  <c r="I3337" i="1"/>
  <c r="J3337" i="1" s="1"/>
  <c r="E3337" i="1"/>
  <c r="I3336" i="1"/>
  <c r="J3336" i="1" s="1"/>
  <c r="E3336" i="1"/>
  <c r="I3335" i="1"/>
  <c r="J3335" i="1" s="1"/>
  <c r="E3335" i="1"/>
  <c r="I3334" i="1"/>
  <c r="J3334" i="1" s="1"/>
  <c r="E3334" i="1"/>
  <c r="I3333" i="1"/>
  <c r="J3333" i="1" s="1"/>
  <c r="E3333" i="1"/>
  <c r="I3332" i="1"/>
  <c r="J3332" i="1" s="1"/>
  <c r="E3332" i="1"/>
  <c r="I3331" i="1"/>
  <c r="J3331" i="1" s="1"/>
  <c r="E3331" i="1"/>
  <c r="I3330" i="1"/>
  <c r="J3330" i="1" s="1"/>
  <c r="E3330" i="1"/>
  <c r="I3329" i="1"/>
  <c r="J3329" i="1" s="1"/>
  <c r="E3329" i="1"/>
  <c r="I3328" i="1"/>
  <c r="J3328" i="1" s="1"/>
  <c r="E3328" i="1"/>
  <c r="I3327" i="1"/>
  <c r="J3327" i="1" s="1"/>
  <c r="E3327" i="1"/>
  <c r="I3326" i="1"/>
  <c r="J3326" i="1" s="1"/>
  <c r="E3326" i="1"/>
  <c r="I3325" i="1"/>
  <c r="J3325" i="1" s="1"/>
  <c r="E3325" i="1"/>
  <c r="I3324" i="1"/>
  <c r="J3324" i="1" s="1"/>
  <c r="E3324" i="1"/>
  <c r="I3323" i="1"/>
  <c r="J3323" i="1" s="1"/>
  <c r="E3323" i="1"/>
  <c r="I3322" i="1"/>
  <c r="J3322" i="1" s="1"/>
  <c r="E3322" i="1"/>
  <c r="I3321" i="1"/>
  <c r="J3321" i="1" s="1"/>
  <c r="E3321" i="1"/>
  <c r="I3320" i="1"/>
  <c r="J3320" i="1" s="1"/>
  <c r="E3320" i="1"/>
  <c r="I3319" i="1"/>
  <c r="J3319" i="1" s="1"/>
  <c r="E3319" i="1"/>
  <c r="I3318" i="1"/>
  <c r="J3318" i="1" s="1"/>
  <c r="E3318" i="1"/>
  <c r="I3317" i="1"/>
  <c r="J3317" i="1" s="1"/>
  <c r="E3317" i="1"/>
  <c r="I3316" i="1"/>
  <c r="J3316" i="1" s="1"/>
  <c r="E3316" i="1"/>
  <c r="I3315" i="1"/>
  <c r="J3315" i="1" s="1"/>
  <c r="E3315" i="1"/>
  <c r="I3314" i="1"/>
  <c r="J3314" i="1" s="1"/>
  <c r="E3314" i="1"/>
  <c r="I3313" i="1"/>
  <c r="J3313" i="1" s="1"/>
  <c r="E3313" i="1"/>
  <c r="I3312" i="1"/>
  <c r="J3312" i="1" s="1"/>
  <c r="E3312" i="1"/>
  <c r="I3311" i="1"/>
  <c r="J3311" i="1" s="1"/>
  <c r="E3311" i="1"/>
  <c r="I3310" i="1"/>
  <c r="J3310" i="1" s="1"/>
  <c r="E3310" i="1"/>
  <c r="I3309" i="1"/>
  <c r="J3309" i="1" s="1"/>
  <c r="E3309" i="1"/>
  <c r="I3308" i="1"/>
  <c r="J3308" i="1" s="1"/>
  <c r="E3308" i="1"/>
  <c r="I3307" i="1"/>
  <c r="J3307" i="1" s="1"/>
  <c r="E3307" i="1"/>
  <c r="I3306" i="1"/>
  <c r="J3306" i="1" s="1"/>
  <c r="E3306" i="1"/>
  <c r="I3305" i="1"/>
  <c r="J3305" i="1" s="1"/>
  <c r="E3305" i="1"/>
  <c r="I3304" i="1"/>
  <c r="J3304" i="1" s="1"/>
  <c r="E3304" i="1"/>
  <c r="I3303" i="1"/>
  <c r="J3303" i="1" s="1"/>
  <c r="E3303" i="1"/>
  <c r="I3302" i="1"/>
  <c r="J3302" i="1" s="1"/>
  <c r="E3302" i="1"/>
  <c r="I3301" i="1"/>
  <c r="J3301" i="1" s="1"/>
  <c r="E3301" i="1"/>
  <c r="I3300" i="1"/>
  <c r="J3300" i="1" s="1"/>
  <c r="E3300" i="1"/>
  <c r="I3299" i="1"/>
  <c r="J3299" i="1" s="1"/>
  <c r="E3299" i="1"/>
  <c r="I3298" i="1"/>
  <c r="J3298" i="1" s="1"/>
  <c r="E3298" i="1"/>
  <c r="I3297" i="1"/>
  <c r="J3297" i="1" s="1"/>
  <c r="E3297" i="1"/>
  <c r="I3296" i="1"/>
  <c r="J3296" i="1" s="1"/>
  <c r="E3296" i="1"/>
  <c r="I3295" i="1"/>
  <c r="J3295" i="1" s="1"/>
  <c r="E3295" i="1"/>
  <c r="I3294" i="1"/>
  <c r="J3294" i="1" s="1"/>
  <c r="E3294" i="1"/>
  <c r="I3293" i="1"/>
  <c r="J3293" i="1" s="1"/>
  <c r="E3293" i="1"/>
  <c r="I3292" i="1"/>
  <c r="J3292" i="1" s="1"/>
  <c r="E3292" i="1"/>
  <c r="I3291" i="1"/>
  <c r="J3291" i="1" s="1"/>
  <c r="E3291" i="1"/>
  <c r="I3290" i="1"/>
  <c r="J3290" i="1" s="1"/>
  <c r="E3290" i="1"/>
  <c r="I3289" i="1"/>
  <c r="J3289" i="1" s="1"/>
  <c r="E3289" i="1"/>
  <c r="I3288" i="1"/>
  <c r="J3288" i="1" s="1"/>
  <c r="E3288" i="1"/>
  <c r="I3287" i="1"/>
  <c r="J3287" i="1" s="1"/>
  <c r="E3287" i="1"/>
  <c r="I3286" i="1"/>
  <c r="J3286" i="1" s="1"/>
  <c r="E3286" i="1"/>
  <c r="I3285" i="1"/>
  <c r="J3285" i="1" s="1"/>
  <c r="E3285" i="1"/>
  <c r="I3284" i="1"/>
  <c r="J3284" i="1" s="1"/>
  <c r="E3284" i="1"/>
  <c r="I3283" i="1"/>
  <c r="J3283" i="1" s="1"/>
  <c r="E3283" i="1"/>
  <c r="I3282" i="1"/>
  <c r="J3282" i="1" s="1"/>
  <c r="E3282" i="1"/>
  <c r="I3281" i="1"/>
  <c r="J3281" i="1" s="1"/>
  <c r="E3281" i="1"/>
  <c r="I3280" i="1"/>
  <c r="J3280" i="1" s="1"/>
  <c r="E3280" i="1"/>
  <c r="I3279" i="1"/>
  <c r="J3279" i="1" s="1"/>
  <c r="E3279" i="1"/>
  <c r="I3278" i="1"/>
  <c r="J3278" i="1" s="1"/>
  <c r="E3278" i="1"/>
  <c r="I3277" i="1"/>
  <c r="J3277" i="1" s="1"/>
  <c r="E3277" i="1"/>
  <c r="I3276" i="1"/>
  <c r="J3276" i="1" s="1"/>
  <c r="E3276" i="1"/>
  <c r="I3275" i="1"/>
  <c r="J3275" i="1" s="1"/>
  <c r="E3275" i="1"/>
  <c r="I3274" i="1"/>
  <c r="J3274" i="1" s="1"/>
  <c r="E3274" i="1"/>
  <c r="I3273" i="1"/>
  <c r="J3273" i="1" s="1"/>
  <c r="E3273" i="1"/>
  <c r="I3272" i="1"/>
  <c r="J3272" i="1" s="1"/>
  <c r="E3272" i="1"/>
  <c r="I3271" i="1"/>
  <c r="J3271" i="1" s="1"/>
  <c r="E3271" i="1"/>
  <c r="I3270" i="1"/>
  <c r="J3270" i="1" s="1"/>
  <c r="E3270" i="1"/>
  <c r="I3269" i="1"/>
  <c r="J3269" i="1" s="1"/>
  <c r="E3269" i="1"/>
  <c r="I3268" i="1"/>
  <c r="J3268" i="1" s="1"/>
  <c r="E3268" i="1"/>
  <c r="I3267" i="1"/>
  <c r="J3267" i="1" s="1"/>
  <c r="E3267" i="1"/>
  <c r="I3266" i="1"/>
  <c r="J3266" i="1" s="1"/>
  <c r="E3266" i="1"/>
  <c r="I3265" i="1"/>
  <c r="J3265" i="1" s="1"/>
  <c r="E3265" i="1"/>
  <c r="I3264" i="1"/>
  <c r="J3264" i="1" s="1"/>
  <c r="E3264" i="1"/>
  <c r="I3263" i="1"/>
  <c r="J3263" i="1" s="1"/>
  <c r="E3263" i="1"/>
  <c r="I3262" i="1"/>
  <c r="J3262" i="1" s="1"/>
  <c r="E3262" i="1"/>
  <c r="I3261" i="1"/>
  <c r="J3261" i="1" s="1"/>
  <c r="E3261" i="1"/>
  <c r="I3260" i="1"/>
  <c r="J3260" i="1" s="1"/>
  <c r="E3260" i="1"/>
  <c r="I3259" i="1"/>
  <c r="J3259" i="1" s="1"/>
  <c r="E3259" i="1"/>
  <c r="I3258" i="1"/>
  <c r="J3258" i="1" s="1"/>
  <c r="E3258" i="1"/>
  <c r="I3257" i="1"/>
  <c r="J3257" i="1" s="1"/>
  <c r="E3257" i="1"/>
  <c r="I3256" i="1"/>
  <c r="J3256" i="1" s="1"/>
  <c r="E3256" i="1"/>
  <c r="I3255" i="1"/>
  <c r="J3255" i="1" s="1"/>
  <c r="E3255" i="1"/>
  <c r="I3254" i="1"/>
  <c r="J3254" i="1" s="1"/>
  <c r="E3254" i="1"/>
  <c r="I3253" i="1"/>
  <c r="J3253" i="1" s="1"/>
  <c r="E3253" i="1"/>
  <c r="I3252" i="1"/>
  <c r="J3252" i="1" s="1"/>
  <c r="E3252" i="1"/>
  <c r="I3251" i="1"/>
  <c r="J3251" i="1" s="1"/>
  <c r="E3251" i="1"/>
  <c r="I3250" i="1"/>
  <c r="J3250" i="1" s="1"/>
  <c r="E3250" i="1"/>
  <c r="I3249" i="1"/>
  <c r="J3249" i="1" s="1"/>
  <c r="E3249" i="1"/>
  <c r="I3248" i="1"/>
  <c r="J3248" i="1" s="1"/>
  <c r="E3248" i="1"/>
  <c r="I3247" i="1"/>
  <c r="J3247" i="1" s="1"/>
  <c r="E3247" i="1"/>
  <c r="I3246" i="1"/>
  <c r="J3246" i="1" s="1"/>
  <c r="E3246" i="1"/>
  <c r="I3245" i="1"/>
  <c r="J3245" i="1" s="1"/>
  <c r="E3245" i="1"/>
  <c r="I3244" i="1"/>
  <c r="J3244" i="1" s="1"/>
  <c r="E3244" i="1"/>
  <c r="I3243" i="1"/>
  <c r="J3243" i="1" s="1"/>
  <c r="E3243" i="1"/>
  <c r="I3242" i="1"/>
  <c r="J3242" i="1" s="1"/>
  <c r="E3242" i="1"/>
  <c r="I3241" i="1"/>
  <c r="J3241" i="1" s="1"/>
  <c r="E3241" i="1"/>
  <c r="I3240" i="1"/>
  <c r="J3240" i="1" s="1"/>
  <c r="E3240" i="1"/>
  <c r="I3239" i="1"/>
  <c r="J3239" i="1" s="1"/>
  <c r="E3239" i="1"/>
  <c r="I3238" i="1"/>
  <c r="J3238" i="1" s="1"/>
  <c r="E3238" i="1"/>
  <c r="I3237" i="1"/>
  <c r="J3237" i="1" s="1"/>
  <c r="E3237" i="1"/>
  <c r="I3236" i="1"/>
  <c r="J3236" i="1" s="1"/>
  <c r="E3236" i="1"/>
  <c r="I3235" i="1"/>
  <c r="J3235" i="1" s="1"/>
  <c r="E3235" i="1"/>
  <c r="I3234" i="1"/>
  <c r="J3234" i="1" s="1"/>
  <c r="E3234" i="1"/>
  <c r="I3233" i="1"/>
  <c r="J3233" i="1" s="1"/>
  <c r="E3233" i="1"/>
  <c r="I3232" i="1"/>
  <c r="J3232" i="1" s="1"/>
  <c r="E3232" i="1"/>
  <c r="I3231" i="1"/>
  <c r="J3231" i="1" s="1"/>
  <c r="E3231" i="1"/>
  <c r="I3230" i="1"/>
  <c r="J3230" i="1" s="1"/>
  <c r="E3230" i="1"/>
  <c r="I3229" i="1"/>
  <c r="J3229" i="1" s="1"/>
  <c r="E3229" i="1"/>
  <c r="I3228" i="1"/>
  <c r="J3228" i="1" s="1"/>
  <c r="E3228" i="1"/>
  <c r="I3227" i="1"/>
  <c r="J3227" i="1" s="1"/>
  <c r="E3227" i="1"/>
  <c r="I3226" i="1"/>
  <c r="J3226" i="1" s="1"/>
  <c r="E3226" i="1"/>
  <c r="I3225" i="1"/>
  <c r="J3225" i="1" s="1"/>
  <c r="E3225" i="1"/>
  <c r="I3224" i="1"/>
  <c r="J3224" i="1" s="1"/>
  <c r="E3224" i="1"/>
  <c r="I3223" i="1"/>
  <c r="J3223" i="1" s="1"/>
  <c r="E3223" i="1"/>
  <c r="I3222" i="1"/>
  <c r="J3222" i="1" s="1"/>
  <c r="E3222" i="1"/>
  <c r="I3221" i="1"/>
  <c r="J3221" i="1" s="1"/>
  <c r="E3221" i="1"/>
  <c r="I3220" i="1"/>
  <c r="J3220" i="1" s="1"/>
  <c r="E3220" i="1"/>
  <c r="I3219" i="1"/>
  <c r="J3219" i="1" s="1"/>
  <c r="E3219" i="1"/>
  <c r="I3218" i="1"/>
  <c r="J3218" i="1" s="1"/>
  <c r="E3218" i="1"/>
  <c r="I3217" i="1"/>
  <c r="J3217" i="1" s="1"/>
  <c r="E3217" i="1"/>
  <c r="I3216" i="1"/>
  <c r="J3216" i="1" s="1"/>
  <c r="E3216" i="1"/>
  <c r="I3215" i="1"/>
  <c r="J3215" i="1" s="1"/>
  <c r="E3215" i="1"/>
  <c r="I3214" i="1"/>
  <c r="J3214" i="1" s="1"/>
  <c r="E3214" i="1"/>
  <c r="I3213" i="1"/>
  <c r="J3213" i="1" s="1"/>
  <c r="E3213" i="1"/>
  <c r="I3212" i="1"/>
  <c r="J3212" i="1" s="1"/>
  <c r="E3212" i="1"/>
  <c r="I3211" i="1"/>
  <c r="J3211" i="1" s="1"/>
  <c r="E3211" i="1"/>
  <c r="I3210" i="1"/>
  <c r="J3210" i="1" s="1"/>
  <c r="E3210" i="1"/>
  <c r="I3209" i="1"/>
  <c r="J3209" i="1" s="1"/>
  <c r="E3209" i="1"/>
  <c r="I3208" i="1"/>
  <c r="J3208" i="1" s="1"/>
  <c r="E3208" i="1"/>
  <c r="I3207" i="1"/>
  <c r="J3207" i="1" s="1"/>
  <c r="E3207" i="1"/>
  <c r="I3206" i="1"/>
  <c r="J3206" i="1" s="1"/>
  <c r="E3206" i="1"/>
  <c r="I3205" i="1"/>
  <c r="J3205" i="1" s="1"/>
  <c r="E3205" i="1"/>
  <c r="I3204" i="1"/>
  <c r="J3204" i="1" s="1"/>
  <c r="E3204" i="1"/>
  <c r="I3203" i="1"/>
  <c r="J3203" i="1" s="1"/>
  <c r="E3203" i="1"/>
  <c r="I3202" i="1"/>
  <c r="J3202" i="1" s="1"/>
  <c r="E3202" i="1"/>
  <c r="I3201" i="1"/>
  <c r="J3201" i="1" s="1"/>
  <c r="E3201" i="1"/>
  <c r="I3200" i="1"/>
  <c r="J3200" i="1" s="1"/>
  <c r="E3200" i="1"/>
  <c r="I3199" i="1"/>
  <c r="J3199" i="1" s="1"/>
  <c r="E3199" i="1"/>
  <c r="I3198" i="1"/>
  <c r="J3198" i="1" s="1"/>
  <c r="E3198" i="1"/>
  <c r="I3197" i="1"/>
  <c r="J3197" i="1" s="1"/>
  <c r="E3197" i="1"/>
  <c r="I3196" i="1"/>
  <c r="J3196" i="1" s="1"/>
  <c r="E3196" i="1"/>
  <c r="I3195" i="1"/>
  <c r="J3195" i="1" s="1"/>
  <c r="E3195" i="1"/>
  <c r="I3194" i="1"/>
  <c r="J3194" i="1" s="1"/>
  <c r="E3194" i="1"/>
  <c r="I3193" i="1"/>
  <c r="J3193" i="1" s="1"/>
  <c r="E3193" i="1"/>
  <c r="I3192" i="1"/>
  <c r="J3192" i="1" s="1"/>
  <c r="E3192" i="1"/>
  <c r="I3191" i="1"/>
  <c r="J3191" i="1" s="1"/>
  <c r="E3191" i="1"/>
  <c r="I3190" i="1"/>
  <c r="J3190" i="1" s="1"/>
  <c r="E3190" i="1"/>
  <c r="I3189" i="1"/>
  <c r="J3189" i="1" s="1"/>
  <c r="E3189" i="1"/>
  <c r="I3188" i="1"/>
  <c r="J3188" i="1" s="1"/>
  <c r="E3188" i="1"/>
  <c r="I3187" i="1"/>
  <c r="J3187" i="1" s="1"/>
  <c r="E3187" i="1"/>
  <c r="I3186" i="1"/>
  <c r="J3186" i="1" s="1"/>
  <c r="E3186" i="1"/>
  <c r="I3185" i="1"/>
  <c r="J3185" i="1" s="1"/>
  <c r="E3185" i="1"/>
  <c r="I3184" i="1"/>
  <c r="J3184" i="1" s="1"/>
  <c r="E3184" i="1"/>
  <c r="I3183" i="1"/>
  <c r="J3183" i="1" s="1"/>
  <c r="E3183" i="1"/>
  <c r="I3182" i="1"/>
  <c r="J3182" i="1" s="1"/>
  <c r="E3182" i="1"/>
  <c r="I3181" i="1"/>
  <c r="J3181" i="1" s="1"/>
  <c r="E3181" i="1"/>
  <c r="I3180" i="1"/>
  <c r="J3180" i="1" s="1"/>
  <c r="E3180" i="1"/>
  <c r="I3179" i="1"/>
  <c r="J3179" i="1" s="1"/>
  <c r="E3179" i="1"/>
  <c r="I3178" i="1"/>
  <c r="J3178" i="1" s="1"/>
  <c r="E3178" i="1"/>
  <c r="I3177" i="1"/>
  <c r="J3177" i="1" s="1"/>
  <c r="E3177" i="1"/>
  <c r="I3176" i="1"/>
  <c r="J3176" i="1" s="1"/>
  <c r="E3176" i="1"/>
  <c r="I3175" i="1"/>
  <c r="J3175" i="1" s="1"/>
  <c r="E3175" i="1"/>
  <c r="I3174" i="1"/>
  <c r="J3174" i="1" s="1"/>
  <c r="E3174" i="1"/>
  <c r="I3173" i="1"/>
  <c r="J3173" i="1" s="1"/>
  <c r="E3173" i="1"/>
  <c r="I3172" i="1"/>
  <c r="J3172" i="1" s="1"/>
  <c r="E3172" i="1"/>
  <c r="I3171" i="1"/>
  <c r="J3171" i="1" s="1"/>
  <c r="E3171" i="1"/>
  <c r="I3170" i="1"/>
  <c r="J3170" i="1" s="1"/>
  <c r="E3170" i="1"/>
  <c r="I3169" i="1"/>
  <c r="J3169" i="1" s="1"/>
  <c r="E3169" i="1"/>
  <c r="I3168" i="1"/>
  <c r="J3168" i="1" s="1"/>
  <c r="E3168" i="1"/>
  <c r="I3167" i="1"/>
  <c r="J3167" i="1" s="1"/>
  <c r="E3167" i="1"/>
  <c r="I3166" i="1"/>
  <c r="J3166" i="1" s="1"/>
  <c r="E3166" i="1"/>
  <c r="I3165" i="1"/>
  <c r="J3165" i="1" s="1"/>
  <c r="E3165" i="1"/>
  <c r="I3164" i="1"/>
  <c r="J3164" i="1" s="1"/>
  <c r="E3164" i="1"/>
  <c r="I3163" i="1"/>
  <c r="J3163" i="1" s="1"/>
  <c r="E3163" i="1"/>
  <c r="I3162" i="1"/>
  <c r="J3162" i="1" s="1"/>
  <c r="E3162" i="1"/>
  <c r="I3161" i="1"/>
  <c r="J3161" i="1" s="1"/>
  <c r="E3161" i="1"/>
  <c r="I3160" i="1"/>
  <c r="J3160" i="1" s="1"/>
  <c r="E3160" i="1"/>
  <c r="I3159" i="1"/>
  <c r="J3159" i="1" s="1"/>
  <c r="E3159" i="1"/>
  <c r="I3158" i="1"/>
  <c r="J3158" i="1" s="1"/>
  <c r="E3158" i="1"/>
  <c r="I3157" i="1"/>
  <c r="J3157" i="1" s="1"/>
  <c r="E3157" i="1"/>
  <c r="I3156" i="1"/>
  <c r="J3156" i="1" s="1"/>
  <c r="E3156" i="1"/>
  <c r="I3155" i="1"/>
  <c r="J3155" i="1" s="1"/>
  <c r="E3155" i="1"/>
  <c r="I3154" i="1"/>
  <c r="J3154" i="1" s="1"/>
  <c r="E3154" i="1"/>
  <c r="I3153" i="1"/>
  <c r="J3153" i="1" s="1"/>
  <c r="E3153" i="1"/>
  <c r="I3152" i="1"/>
  <c r="J3152" i="1" s="1"/>
  <c r="E3152" i="1"/>
  <c r="I3151" i="1"/>
  <c r="J3151" i="1" s="1"/>
  <c r="E3151" i="1"/>
  <c r="I3150" i="1"/>
  <c r="J3150" i="1" s="1"/>
  <c r="E3150" i="1"/>
  <c r="I3149" i="1"/>
  <c r="J3149" i="1" s="1"/>
  <c r="E3149" i="1"/>
  <c r="I3148" i="1"/>
  <c r="J3148" i="1" s="1"/>
  <c r="E3148" i="1"/>
  <c r="I3147" i="1"/>
  <c r="J3147" i="1" s="1"/>
  <c r="E3147" i="1"/>
  <c r="I3146" i="1"/>
  <c r="J3146" i="1" s="1"/>
  <c r="E3146" i="1"/>
  <c r="I3145" i="1"/>
  <c r="J3145" i="1" s="1"/>
  <c r="E3145" i="1"/>
  <c r="I3144" i="1"/>
  <c r="J3144" i="1" s="1"/>
  <c r="E3144" i="1"/>
  <c r="I3143" i="1"/>
  <c r="J3143" i="1" s="1"/>
  <c r="E3143" i="1"/>
  <c r="I3142" i="1"/>
  <c r="J3142" i="1" s="1"/>
  <c r="E3142" i="1"/>
  <c r="I3141" i="1"/>
  <c r="J3141" i="1" s="1"/>
  <c r="E3141" i="1"/>
  <c r="I3140" i="1"/>
  <c r="J3140" i="1" s="1"/>
  <c r="E3140" i="1"/>
  <c r="I3139" i="1"/>
  <c r="J3139" i="1" s="1"/>
  <c r="E3139" i="1"/>
  <c r="I3138" i="1"/>
  <c r="J3138" i="1" s="1"/>
  <c r="E3138" i="1"/>
  <c r="I3137" i="1"/>
  <c r="J3137" i="1" s="1"/>
  <c r="E3137" i="1"/>
  <c r="I3136" i="1"/>
  <c r="J3136" i="1" s="1"/>
  <c r="E3136" i="1"/>
  <c r="I3135" i="1"/>
  <c r="J3135" i="1" s="1"/>
  <c r="E3135" i="1"/>
  <c r="I3134" i="1"/>
  <c r="J3134" i="1" s="1"/>
  <c r="E3134" i="1"/>
  <c r="I3133" i="1"/>
  <c r="J3133" i="1" s="1"/>
  <c r="E3133" i="1"/>
  <c r="I3132" i="1"/>
  <c r="J3132" i="1" s="1"/>
  <c r="E3132" i="1"/>
  <c r="I3131" i="1"/>
  <c r="J3131" i="1" s="1"/>
  <c r="E3131" i="1"/>
  <c r="I3130" i="1"/>
  <c r="J3130" i="1" s="1"/>
  <c r="E3130" i="1"/>
  <c r="I3129" i="1"/>
  <c r="J3129" i="1" s="1"/>
  <c r="E3129" i="1"/>
  <c r="I3128" i="1"/>
  <c r="J3128" i="1" s="1"/>
  <c r="E3128" i="1"/>
  <c r="I3127" i="1"/>
  <c r="J3127" i="1" s="1"/>
  <c r="E3127" i="1"/>
  <c r="I3126" i="1"/>
  <c r="J3126" i="1" s="1"/>
  <c r="E3126" i="1"/>
  <c r="I3125" i="1"/>
  <c r="J3125" i="1" s="1"/>
  <c r="E3125" i="1"/>
  <c r="I3124" i="1"/>
  <c r="J3124" i="1" s="1"/>
  <c r="E3124" i="1"/>
  <c r="I3123" i="1"/>
  <c r="J3123" i="1" s="1"/>
  <c r="E3123" i="1"/>
  <c r="I3122" i="1"/>
  <c r="J3122" i="1" s="1"/>
  <c r="E3122" i="1"/>
  <c r="I3121" i="1"/>
  <c r="J3121" i="1" s="1"/>
  <c r="E3121" i="1"/>
  <c r="I3120" i="1"/>
  <c r="J3120" i="1" s="1"/>
  <c r="E3120" i="1"/>
  <c r="I3119" i="1"/>
  <c r="J3119" i="1" s="1"/>
  <c r="E3119" i="1"/>
  <c r="I3118" i="1"/>
  <c r="J3118" i="1" s="1"/>
  <c r="E3118" i="1"/>
  <c r="I3117" i="1"/>
  <c r="J3117" i="1" s="1"/>
  <c r="E3117" i="1"/>
  <c r="I3116" i="1"/>
  <c r="J3116" i="1" s="1"/>
  <c r="E3116" i="1"/>
  <c r="I3115" i="1"/>
  <c r="J3115" i="1" s="1"/>
  <c r="E3115" i="1"/>
  <c r="I3114" i="1"/>
  <c r="J3114" i="1" s="1"/>
  <c r="E3114" i="1"/>
  <c r="I3113" i="1"/>
  <c r="J3113" i="1" s="1"/>
  <c r="E3113" i="1"/>
  <c r="I3112" i="1"/>
  <c r="J3112" i="1" s="1"/>
  <c r="E3112" i="1"/>
  <c r="I3111" i="1"/>
  <c r="J3111" i="1" s="1"/>
  <c r="E3111" i="1"/>
  <c r="I3110" i="1"/>
  <c r="J3110" i="1" s="1"/>
  <c r="E3110" i="1"/>
  <c r="I3109" i="1"/>
  <c r="J3109" i="1" s="1"/>
  <c r="E3109" i="1"/>
  <c r="I3108" i="1"/>
  <c r="J3108" i="1" s="1"/>
  <c r="E3108" i="1"/>
  <c r="I3107" i="1"/>
  <c r="J3107" i="1" s="1"/>
  <c r="E3107" i="1"/>
  <c r="I3106" i="1"/>
  <c r="J3106" i="1" s="1"/>
  <c r="E3106" i="1"/>
  <c r="I3105" i="1"/>
  <c r="J3105" i="1" s="1"/>
  <c r="E3105" i="1"/>
  <c r="I3104" i="1"/>
  <c r="J3104" i="1" s="1"/>
  <c r="E3104" i="1"/>
  <c r="I3103" i="1"/>
  <c r="J3103" i="1" s="1"/>
  <c r="E3103" i="1"/>
  <c r="I3102" i="1"/>
  <c r="J3102" i="1" s="1"/>
  <c r="E3102" i="1"/>
  <c r="I3101" i="1"/>
  <c r="J3101" i="1" s="1"/>
  <c r="E3101" i="1"/>
  <c r="I3100" i="1"/>
  <c r="J3100" i="1" s="1"/>
  <c r="E3100" i="1"/>
  <c r="I3099" i="1"/>
  <c r="J3099" i="1" s="1"/>
  <c r="E3099" i="1"/>
  <c r="I3098" i="1"/>
  <c r="J3098" i="1" s="1"/>
  <c r="E3098" i="1"/>
  <c r="I3097" i="1"/>
  <c r="J3097" i="1" s="1"/>
  <c r="E3097" i="1"/>
  <c r="I3096" i="1"/>
  <c r="J3096" i="1" s="1"/>
  <c r="E3096" i="1"/>
  <c r="I3095" i="1"/>
  <c r="J3095" i="1" s="1"/>
  <c r="E3095" i="1"/>
  <c r="I3094" i="1"/>
  <c r="J3094" i="1" s="1"/>
  <c r="E3094" i="1"/>
  <c r="I3093" i="1"/>
  <c r="J3093" i="1" s="1"/>
  <c r="E3093" i="1"/>
  <c r="I3092" i="1"/>
  <c r="J3092" i="1" s="1"/>
  <c r="E3092" i="1"/>
  <c r="I3091" i="1"/>
  <c r="J3091" i="1" s="1"/>
  <c r="E3091" i="1"/>
  <c r="I3090" i="1"/>
  <c r="J3090" i="1" s="1"/>
  <c r="E3090" i="1"/>
  <c r="I3089" i="1"/>
  <c r="J3089" i="1" s="1"/>
  <c r="E3089" i="1"/>
  <c r="I3088" i="1"/>
  <c r="J3088" i="1" s="1"/>
  <c r="E3088" i="1"/>
  <c r="I3087" i="1"/>
  <c r="J3087" i="1" s="1"/>
  <c r="E3087" i="1"/>
  <c r="I3086" i="1"/>
  <c r="J3086" i="1" s="1"/>
  <c r="E3086" i="1"/>
  <c r="I3085" i="1"/>
  <c r="J3085" i="1" s="1"/>
  <c r="E3085" i="1"/>
  <c r="I3084" i="1"/>
  <c r="J3084" i="1" s="1"/>
  <c r="E3084" i="1"/>
  <c r="I3083" i="1"/>
  <c r="J3083" i="1" s="1"/>
  <c r="E3083" i="1"/>
  <c r="I3082" i="1"/>
  <c r="J3082" i="1" s="1"/>
  <c r="E3082" i="1"/>
  <c r="I3081" i="1"/>
  <c r="J3081" i="1" s="1"/>
  <c r="E3081" i="1"/>
  <c r="I3080" i="1"/>
  <c r="J3080" i="1" s="1"/>
  <c r="E3080" i="1"/>
  <c r="I3079" i="1"/>
  <c r="J3079" i="1" s="1"/>
  <c r="E3079" i="1"/>
  <c r="I3078" i="1"/>
  <c r="J3078" i="1" s="1"/>
  <c r="E3078" i="1"/>
  <c r="I3077" i="1"/>
  <c r="J3077" i="1" s="1"/>
  <c r="E3077" i="1"/>
  <c r="I3076" i="1"/>
  <c r="J3076" i="1" s="1"/>
  <c r="E3076" i="1"/>
  <c r="I3075" i="1"/>
  <c r="J3075" i="1" s="1"/>
  <c r="E3075" i="1"/>
  <c r="I3074" i="1"/>
  <c r="J3074" i="1" s="1"/>
  <c r="E3074" i="1"/>
  <c r="I3073" i="1"/>
  <c r="J3073" i="1" s="1"/>
  <c r="E3073" i="1"/>
  <c r="I3072" i="1"/>
  <c r="J3072" i="1" s="1"/>
  <c r="E3072" i="1"/>
  <c r="I3071" i="1"/>
  <c r="J3071" i="1" s="1"/>
  <c r="E3071" i="1"/>
  <c r="I3070" i="1"/>
  <c r="J3070" i="1" s="1"/>
  <c r="E3070" i="1"/>
  <c r="I3069" i="1"/>
  <c r="J3069" i="1" s="1"/>
  <c r="E3069" i="1"/>
  <c r="I3068" i="1"/>
  <c r="J3068" i="1" s="1"/>
  <c r="E3068" i="1"/>
  <c r="I3067" i="1"/>
  <c r="J3067" i="1" s="1"/>
  <c r="E3067" i="1"/>
  <c r="I3066" i="1"/>
  <c r="J3066" i="1" s="1"/>
  <c r="E3066" i="1"/>
  <c r="I3065" i="1"/>
  <c r="J3065" i="1" s="1"/>
  <c r="E3065" i="1"/>
  <c r="I3064" i="1"/>
  <c r="J3064" i="1" s="1"/>
  <c r="E3064" i="1"/>
  <c r="I3063" i="1"/>
  <c r="J3063" i="1" s="1"/>
  <c r="E3063" i="1"/>
  <c r="I3062" i="1"/>
  <c r="J3062" i="1" s="1"/>
  <c r="E3062" i="1"/>
  <c r="I3061" i="1"/>
  <c r="J3061" i="1" s="1"/>
  <c r="E3061" i="1"/>
  <c r="I3060" i="1"/>
  <c r="J3060" i="1" s="1"/>
  <c r="E3060" i="1"/>
  <c r="I3059" i="1"/>
  <c r="J3059" i="1" s="1"/>
  <c r="E3059" i="1"/>
  <c r="I3058" i="1"/>
  <c r="J3058" i="1" s="1"/>
  <c r="E3058" i="1"/>
  <c r="I3057" i="1"/>
  <c r="J3057" i="1" s="1"/>
  <c r="E3057" i="1"/>
  <c r="I3056" i="1"/>
  <c r="J3056" i="1" s="1"/>
  <c r="E3056" i="1"/>
  <c r="I3055" i="1"/>
  <c r="J3055" i="1" s="1"/>
  <c r="E3055" i="1"/>
  <c r="I3054" i="1"/>
  <c r="J3054" i="1" s="1"/>
  <c r="E3054" i="1"/>
  <c r="I3053" i="1"/>
  <c r="J3053" i="1" s="1"/>
  <c r="E3053" i="1"/>
  <c r="I3052" i="1"/>
  <c r="J3052" i="1" s="1"/>
  <c r="E3052" i="1"/>
  <c r="I3051" i="1"/>
  <c r="J3051" i="1" s="1"/>
  <c r="E3051" i="1"/>
  <c r="I3050" i="1"/>
  <c r="J3050" i="1" s="1"/>
  <c r="E3050" i="1"/>
  <c r="I3049" i="1"/>
  <c r="J3049" i="1" s="1"/>
  <c r="E3049" i="1"/>
  <c r="I3048" i="1"/>
  <c r="J3048" i="1" s="1"/>
  <c r="E3048" i="1"/>
  <c r="I3047" i="1"/>
  <c r="J3047" i="1" s="1"/>
  <c r="E3047" i="1"/>
  <c r="I3046" i="1"/>
  <c r="J3046" i="1" s="1"/>
  <c r="E3046" i="1"/>
  <c r="I3045" i="1"/>
  <c r="J3045" i="1" s="1"/>
  <c r="E3045" i="1"/>
  <c r="I3044" i="1"/>
  <c r="J3044" i="1" s="1"/>
  <c r="E3044" i="1"/>
  <c r="I3043" i="1"/>
  <c r="J3043" i="1" s="1"/>
  <c r="E3043" i="1"/>
  <c r="I3042" i="1"/>
  <c r="J3042" i="1" s="1"/>
  <c r="E3042" i="1"/>
  <c r="I3041" i="1"/>
  <c r="J3041" i="1" s="1"/>
  <c r="E3041" i="1"/>
  <c r="I3040" i="1"/>
  <c r="J3040" i="1" s="1"/>
  <c r="E3040" i="1"/>
  <c r="I3039" i="1"/>
  <c r="J3039" i="1" s="1"/>
  <c r="E3039" i="1"/>
  <c r="I3038" i="1"/>
  <c r="J3038" i="1" s="1"/>
  <c r="E3038" i="1"/>
  <c r="I3037" i="1"/>
  <c r="J3037" i="1" s="1"/>
  <c r="E3037" i="1"/>
  <c r="I3036" i="1"/>
  <c r="J3036" i="1" s="1"/>
  <c r="E3036" i="1"/>
  <c r="I3035" i="1"/>
  <c r="J3035" i="1" s="1"/>
  <c r="E3035" i="1"/>
  <c r="I3034" i="1"/>
  <c r="J3034" i="1" s="1"/>
  <c r="E3034" i="1"/>
  <c r="I3033" i="1"/>
  <c r="J3033" i="1" s="1"/>
  <c r="E3033" i="1"/>
  <c r="I3032" i="1"/>
  <c r="J3032" i="1" s="1"/>
  <c r="E3032" i="1"/>
  <c r="I3031" i="1"/>
  <c r="J3031" i="1" s="1"/>
  <c r="E3031" i="1"/>
  <c r="I3030" i="1"/>
  <c r="J3030" i="1" s="1"/>
  <c r="E3030" i="1"/>
  <c r="I3029" i="1"/>
  <c r="J3029" i="1" s="1"/>
  <c r="E3029" i="1"/>
  <c r="I3028" i="1"/>
  <c r="J3028" i="1" s="1"/>
  <c r="E3028" i="1"/>
  <c r="I3027" i="1"/>
  <c r="J3027" i="1" s="1"/>
  <c r="E3027" i="1"/>
  <c r="I3026" i="1"/>
  <c r="J3026" i="1" s="1"/>
  <c r="E3026" i="1"/>
  <c r="I3025" i="1"/>
  <c r="J3025" i="1" s="1"/>
  <c r="E3025" i="1"/>
  <c r="I3024" i="1"/>
  <c r="J3024" i="1" s="1"/>
  <c r="E3024" i="1"/>
  <c r="I3023" i="1"/>
  <c r="J3023" i="1" s="1"/>
  <c r="E3023" i="1"/>
  <c r="I3022" i="1"/>
  <c r="J3022" i="1" s="1"/>
  <c r="E3022" i="1"/>
  <c r="I3021" i="1"/>
  <c r="J3021" i="1" s="1"/>
  <c r="E3021" i="1"/>
  <c r="I3020" i="1"/>
  <c r="J3020" i="1" s="1"/>
  <c r="E3020" i="1"/>
  <c r="I3019" i="1"/>
  <c r="J3019" i="1" s="1"/>
  <c r="E3019" i="1"/>
  <c r="I3018" i="1"/>
  <c r="J3018" i="1" s="1"/>
  <c r="E3018" i="1"/>
  <c r="I3017" i="1"/>
  <c r="J3017" i="1" s="1"/>
  <c r="E3017" i="1"/>
  <c r="I3016" i="1"/>
  <c r="J3016" i="1" s="1"/>
  <c r="E3016" i="1"/>
  <c r="I3015" i="1"/>
  <c r="J3015" i="1" s="1"/>
  <c r="E3015" i="1"/>
  <c r="I3014" i="1"/>
  <c r="J3014" i="1" s="1"/>
  <c r="E3014" i="1"/>
  <c r="I3013" i="1"/>
  <c r="J3013" i="1" s="1"/>
  <c r="E3013" i="1"/>
  <c r="I3012" i="1"/>
  <c r="J3012" i="1" s="1"/>
  <c r="E3012" i="1"/>
  <c r="I3011" i="1"/>
  <c r="J3011" i="1" s="1"/>
  <c r="E3011" i="1"/>
  <c r="I3010" i="1"/>
  <c r="J3010" i="1" s="1"/>
  <c r="E3010" i="1"/>
  <c r="I3009" i="1"/>
  <c r="J3009" i="1" s="1"/>
  <c r="E3009" i="1"/>
  <c r="I3008" i="1"/>
  <c r="J3008" i="1" s="1"/>
  <c r="E3008" i="1"/>
  <c r="I3007" i="1"/>
  <c r="J3007" i="1" s="1"/>
  <c r="E3007" i="1"/>
  <c r="I3006" i="1"/>
  <c r="J3006" i="1" s="1"/>
  <c r="E3006" i="1"/>
  <c r="I3005" i="1"/>
  <c r="J3005" i="1" s="1"/>
  <c r="E3005" i="1"/>
  <c r="I3004" i="1"/>
  <c r="J3004" i="1" s="1"/>
  <c r="E3004" i="1"/>
  <c r="I3003" i="1"/>
  <c r="J3003" i="1" s="1"/>
  <c r="E3003" i="1"/>
  <c r="I3002" i="1"/>
  <c r="J3002" i="1" s="1"/>
  <c r="E3002" i="1"/>
  <c r="I3001" i="1"/>
  <c r="J3001" i="1" s="1"/>
  <c r="E3001" i="1"/>
  <c r="I3000" i="1"/>
  <c r="J3000" i="1" s="1"/>
  <c r="E3000" i="1"/>
  <c r="I2999" i="1"/>
  <c r="J2999" i="1" s="1"/>
  <c r="E2999" i="1"/>
  <c r="I2998" i="1"/>
  <c r="J2998" i="1" s="1"/>
  <c r="E2998" i="1"/>
  <c r="I2997" i="1"/>
  <c r="J2997" i="1" s="1"/>
  <c r="E2997" i="1"/>
  <c r="I2996" i="1"/>
  <c r="J2996" i="1" s="1"/>
  <c r="E2996" i="1"/>
  <c r="I2995" i="1"/>
  <c r="J2995" i="1" s="1"/>
  <c r="E2995" i="1"/>
  <c r="I2994" i="1"/>
  <c r="J2994" i="1" s="1"/>
  <c r="E2994" i="1"/>
  <c r="I2993" i="1"/>
  <c r="J2993" i="1" s="1"/>
  <c r="E2993" i="1"/>
  <c r="I2992" i="1"/>
  <c r="J2992" i="1" s="1"/>
  <c r="E2992" i="1"/>
  <c r="I2991" i="1"/>
  <c r="J2991" i="1" s="1"/>
  <c r="E2991" i="1"/>
  <c r="I2990" i="1"/>
  <c r="J2990" i="1" s="1"/>
  <c r="E2990" i="1"/>
  <c r="I2989" i="1"/>
  <c r="J2989" i="1" s="1"/>
  <c r="E2989" i="1"/>
  <c r="I2988" i="1"/>
  <c r="J2988" i="1" s="1"/>
  <c r="E2988" i="1"/>
  <c r="I2987" i="1"/>
  <c r="J2987" i="1" s="1"/>
  <c r="E2987" i="1"/>
  <c r="I2986" i="1"/>
  <c r="J2986" i="1" s="1"/>
  <c r="E2986" i="1"/>
  <c r="I2985" i="1"/>
  <c r="J2985" i="1" s="1"/>
  <c r="E2985" i="1"/>
  <c r="I2984" i="1"/>
  <c r="J2984" i="1" s="1"/>
  <c r="E2984" i="1"/>
  <c r="I2983" i="1"/>
  <c r="J2983" i="1" s="1"/>
  <c r="E2983" i="1"/>
  <c r="I2982" i="1"/>
  <c r="J2982" i="1" s="1"/>
  <c r="E2982" i="1"/>
  <c r="I2981" i="1"/>
  <c r="J2981" i="1" s="1"/>
  <c r="E2981" i="1"/>
  <c r="I2980" i="1"/>
  <c r="J2980" i="1" s="1"/>
  <c r="E2980" i="1"/>
  <c r="I2979" i="1"/>
  <c r="J2979" i="1" s="1"/>
  <c r="E2979" i="1"/>
  <c r="I2978" i="1"/>
  <c r="J2978" i="1" s="1"/>
  <c r="E2978" i="1"/>
  <c r="I2977" i="1"/>
  <c r="J2977" i="1" s="1"/>
  <c r="E2977" i="1"/>
  <c r="I2976" i="1"/>
  <c r="J2976" i="1" s="1"/>
  <c r="E2976" i="1"/>
  <c r="I2975" i="1"/>
  <c r="J2975" i="1" s="1"/>
  <c r="E2975" i="1"/>
  <c r="I2974" i="1"/>
  <c r="J2974" i="1" s="1"/>
  <c r="E2974" i="1"/>
  <c r="I2973" i="1"/>
  <c r="J2973" i="1" s="1"/>
  <c r="E2973" i="1"/>
  <c r="I2972" i="1"/>
  <c r="J2972" i="1" s="1"/>
  <c r="E2972" i="1"/>
  <c r="I2971" i="1"/>
  <c r="J2971" i="1" s="1"/>
  <c r="E2971" i="1"/>
  <c r="I2970" i="1"/>
  <c r="J2970" i="1" s="1"/>
  <c r="E2970" i="1"/>
  <c r="I2969" i="1"/>
  <c r="J2969" i="1" s="1"/>
  <c r="E2969" i="1"/>
  <c r="I2968" i="1"/>
  <c r="J2968" i="1" s="1"/>
  <c r="E2968" i="1"/>
  <c r="I2967" i="1"/>
  <c r="J2967" i="1" s="1"/>
  <c r="E2967" i="1"/>
  <c r="I2966" i="1"/>
  <c r="J2966" i="1" s="1"/>
  <c r="E2966" i="1"/>
  <c r="I2965" i="1"/>
  <c r="J2965" i="1" s="1"/>
  <c r="E2965" i="1"/>
  <c r="I2964" i="1"/>
  <c r="J2964" i="1" s="1"/>
  <c r="E2964" i="1"/>
  <c r="I2963" i="1"/>
  <c r="J2963" i="1" s="1"/>
  <c r="E2963" i="1"/>
  <c r="I2962" i="1"/>
  <c r="J2962" i="1" s="1"/>
  <c r="E2962" i="1"/>
  <c r="I2961" i="1"/>
  <c r="J2961" i="1" s="1"/>
  <c r="E2961" i="1"/>
  <c r="I2960" i="1"/>
  <c r="J2960" i="1" s="1"/>
  <c r="E2960" i="1"/>
  <c r="I2959" i="1"/>
  <c r="J2959" i="1" s="1"/>
  <c r="E2959" i="1"/>
  <c r="I2958" i="1"/>
  <c r="J2958" i="1" s="1"/>
  <c r="E2958" i="1"/>
  <c r="I2957" i="1"/>
  <c r="J2957" i="1" s="1"/>
  <c r="E2957" i="1"/>
  <c r="I2956" i="1"/>
  <c r="J2956" i="1" s="1"/>
  <c r="E2956" i="1"/>
  <c r="I2955" i="1"/>
  <c r="J2955" i="1" s="1"/>
  <c r="E2955" i="1"/>
  <c r="I2954" i="1"/>
  <c r="J2954" i="1" s="1"/>
  <c r="E2954" i="1"/>
  <c r="I2953" i="1"/>
  <c r="J2953" i="1" s="1"/>
  <c r="E2953" i="1"/>
  <c r="I2952" i="1"/>
  <c r="J2952" i="1" s="1"/>
  <c r="E2952" i="1"/>
  <c r="I2951" i="1"/>
  <c r="J2951" i="1" s="1"/>
  <c r="E2951" i="1"/>
  <c r="I2950" i="1"/>
  <c r="J2950" i="1" s="1"/>
  <c r="E2950" i="1"/>
  <c r="I2949" i="1"/>
  <c r="J2949" i="1" s="1"/>
  <c r="E2949" i="1"/>
  <c r="I2948" i="1"/>
  <c r="J2948" i="1" s="1"/>
  <c r="E2948" i="1"/>
  <c r="I2947" i="1"/>
  <c r="J2947" i="1" s="1"/>
  <c r="E2947" i="1"/>
  <c r="I2946" i="1"/>
  <c r="J2946" i="1" s="1"/>
  <c r="E2946" i="1"/>
  <c r="I2945" i="1"/>
  <c r="J2945" i="1" s="1"/>
  <c r="E2945" i="1"/>
  <c r="I2944" i="1"/>
  <c r="J2944" i="1" s="1"/>
  <c r="E2944" i="1"/>
  <c r="I2943" i="1"/>
  <c r="J2943" i="1" s="1"/>
  <c r="E2943" i="1"/>
  <c r="I2942" i="1"/>
  <c r="J2942" i="1" s="1"/>
  <c r="E2942" i="1"/>
  <c r="I2941" i="1"/>
  <c r="J2941" i="1" s="1"/>
  <c r="E2941" i="1"/>
  <c r="I2940" i="1"/>
  <c r="J2940" i="1" s="1"/>
  <c r="E2940" i="1"/>
  <c r="I2939" i="1"/>
  <c r="J2939" i="1" s="1"/>
  <c r="E2939" i="1"/>
  <c r="I2938" i="1"/>
  <c r="J2938" i="1" s="1"/>
  <c r="E2938" i="1"/>
  <c r="I2937" i="1"/>
  <c r="J2937" i="1" s="1"/>
  <c r="E2937" i="1"/>
  <c r="I2936" i="1"/>
  <c r="J2936" i="1" s="1"/>
  <c r="E2936" i="1"/>
  <c r="I2935" i="1"/>
  <c r="J2935" i="1" s="1"/>
  <c r="E2935" i="1"/>
  <c r="I2934" i="1"/>
  <c r="J2934" i="1" s="1"/>
  <c r="E2934" i="1"/>
  <c r="I2933" i="1"/>
  <c r="J2933" i="1" s="1"/>
  <c r="E2933" i="1"/>
  <c r="I2932" i="1"/>
  <c r="J2932" i="1" s="1"/>
  <c r="E2932" i="1"/>
  <c r="I2931" i="1"/>
  <c r="J2931" i="1" s="1"/>
  <c r="E2931" i="1"/>
  <c r="I2930" i="1"/>
  <c r="J2930" i="1" s="1"/>
  <c r="E2930" i="1"/>
  <c r="I2929" i="1"/>
  <c r="J2929" i="1" s="1"/>
  <c r="E2929" i="1"/>
  <c r="I2928" i="1"/>
  <c r="J2928" i="1" s="1"/>
  <c r="E2928" i="1"/>
  <c r="I2927" i="1"/>
  <c r="J2927" i="1" s="1"/>
  <c r="E2927" i="1"/>
  <c r="I2926" i="1"/>
  <c r="J2926" i="1" s="1"/>
  <c r="E2926" i="1"/>
  <c r="I2925" i="1"/>
  <c r="J2925" i="1" s="1"/>
  <c r="E2925" i="1"/>
  <c r="I2924" i="1"/>
  <c r="J2924" i="1" s="1"/>
  <c r="E2924" i="1"/>
  <c r="I2923" i="1"/>
  <c r="J2923" i="1" s="1"/>
  <c r="E2923" i="1"/>
  <c r="I2922" i="1"/>
  <c r="J2922" i="1" s="1"/>
  <c r="E2922" i="1"/>
  <c r="I2921" i="1"/>
  <c r="J2921" i="1" s="1"/>
  <c r="E2921" i="1"/>
  <c r="I2920" i="1"/>
  <c r="J2920" i="1" s="1"/>
  <c r="E2920" i="1"/>
  <c r="I2919" i="1"/>
  <c r="J2919" i="1" s="1"/>
  <c r="E2919" i="1"/>
  <c r="I2918" i="1"/>
  <c r="J2918" i="1" s="1"/>
  <c r="E2918" i="1"/>
  <c r="I2917" i="1"/>
  <c r="J2917" i="1" s="1"/>
  <c r="E2917" i="1"/>
  <c r="I2916" i="1"/>
  <c r="J2916" i="1" s="1"/>
  <c r="E2916" i="1"/>
  <c r="I2915" i="1"/>
  <c r="J2915" i="1" s="1"/>
  <c r="E2915" i="1"/>
  <c r="I2914" i="1"/>
  <c r="J2914" i="1" s="1"/>
  <c r="E2914" i="1"/>
  <c r="I2913" i="1"/>
  <c r="J2913" i="1" s="1"/>
  <c r="E2913" i="1"/>
  <c r="I2912" i="1"/>
  <c r="J2912" i="1" s="1"/>
  <c r="E2912" i="1"/>
  <c r="I2911" i="1"/>
  <c r="J2911" i="1" s="1"/>
  <c r="E2911" i="1"/>
  <c r="I2910" i="1"/>
  <c r="J2910" i="1" s="1"/>
  <c r="E2910" i="1"/>
  <c r="I2909" i="1"/>
  <c r="J2909" i="1" s="1"/>
  <c r="E2909" i="1"/>
  <c r="I2908" i="1"/>
  <c r="J2908" i="1" s="1"/>
  <c r="E2908" i="1"/>
  <c r="I2907" i="1"/>
  <c r="J2907" i="1" s="1"/>
  <c r="E2907" i="1"/>
  <c r="I2906" i="1"/>
  <c r="J2906" i="1" s="1"/>
  <c r="E2906" i="1"/>
  <c r="I2905" i="1"/>
  <c r="J2905" i="1" s="1"/>
  <c r="E2905" i="1"/>
  <c r="I2904" i="1"/>
  <c r="J2904" i="1" s="1"/>
  <c r="E2904" i="1"/>
  <c r="I2903" i="1"/>
  <c r="J2903" i="1" s="1"/>
  <c r="E2903" i="1"/>
  <c r="I2902" i="1"/>
  <c r="J2902" i="1" s="1"/>
  <c r="E2902" i="1"/>
  <c r="I2901" i="1"/>
  <c r="J2901" i="1" s="1"/>
  <c r="E2901" i="1"/>
  <c r="I2900" i="1"/>
  <c r="J2900" i="1" s="1"/>
  <c r="E2900" i="1"/>
  <c r="I2899" i="1"/>
  <c r="J2899" i="1" s="1"/>
  <c r="E2899" i="1"/>
  <c r="I2898" i="1"/>
  <c r="J2898" i="1" s="1"/>
  <c r="E2898" i="1"/>
  <c r="I2897" i="1"/>
  <c r="J2897" i="1" s="1"/>
  <c r="E2897" i="1"/>
  <c r="I2896" i="1"/>
  <c r="J2896" i="1" s="1"/>
  <c r="E2896" i="1"/>
  <c r="I2895" i="1"/>
  <c r="J2895" i="1" s="1"/>
  <c r="E2895" i="1"/>
  <c r="I2894" i="1"/>
  <c r="J2894" i="1" s="1"/>
  <c r="E2894" i="1"/>
  <c r="I2893" i="1"/>
  <c r="J2893" i="1" s="1"/>
  <c r="E2893" i="1"/>
  <c r="I2892" i="1"/>
  <c r="J2892" i="1" s="1"/>
  <c r="E2892" i="1"/>
  <c r="I2891" i="1"/>
  <c r="J2891" i="1" s="1"/>
  <c r="E2891" i="1"/>
  <c r="I2890" i="1"/>
  <c r="J2890" i="1" s="1"/>
  <c r="E2890" i="1"/>
  <c r="I2889" i="1"/>
  <c r="J2889" i="1" s="1"/>
  <c r="E2889" i="1"/>
  <c r="I2888" i="1"/>
  <c r="J2888" i="1" s="1"/>
  <c r="E2888" i="1"/>
  <c r="I2887" i="1"/>
  <c r="J2887" i="1" s="1"/>
  <c r="E2887" i="1"/>
  <c r="I2886" i="1"/>
  <c r="J2886" i="1" s="1"/>
  <c r="E2886" i="1"/>
  <c r="I2885" i="1"/>
  <c r="J2885" i="1" s="1"/>
  <c r="E2885" i="1"/>
  <c r="I2884" i="1"/>
  <c r="J2884" i="1" s="1"/>
  <c r="E2884" i="1"/>
  <c r="I2883" i="1"/>
  <c r="J2883" i="1" s="1"/>
  <c r="E2883" i="1"/>
  <c r="I2882" i="1"/>
  <c r="J2882" i="1" s="1"/>
  <c r="E2882" i="1"/>
  <c r="I2881" i="1"/>
  <c r="J2881" i="1" s="1"/>
  <c r="E2881" i="1"/>
  <c r="I2880" i="1"/>
  <c r="J2880" i="1" s="1"/>
  <c r="E2880" i="1"/>
  <c r="I2879" i="1"/>
  <c r="J2879" i="1" s="1"/>
  <c r="E2879" i="1"/>
  <c r="I2878" i="1"/>
  <c r="J2878" i="1" s="1"/>
  <c r="E2878" i="1"/>
  <c r="I2877" i="1"/>
  <c r="J2877" i="1" s="1"/>
  <c r="E2877" i="1"/>
  <c r="I2876" i="1"/>
  <c r="J2876" i="1" s="1"/>
  <c r="E2876" i="1"/>
  <c r="I2875" i="1"/>
  <c r="J2875" i="1" s="1"/>
  <c r="E2875" i="1"/>
  <c r="I2874" i="1"/>
  <c r="J2874" i="1" s="1"/>
  <c r="E2874" i="1"/>
  <c r="I2873" i="1"/>
  <c r="J2873" i="1" s="1"/>
  <c r="E2873" i="1"/>
  <c r="I2872" i="1"/>
  <c r="J2872" i="1" s="1"/>
  <c r="E2872" i="1"/>
  <c r="I2871" i="1"/>
  <c r="J2871" i="1" s="1"/>
  <c r="E2871" i="1"/>
  <c r="I2870" i="1"/>
  <c r="J2870" i="1" s="1"/>
  <c r="E2870" i="1"/>
  <c r="I2869" i="1"/>
  <c r="J2869" i="1" s="1"/>
  <c r="E2869" i="1"/>
  <c r="I2868" i="1"/>
  <c r="J2868" i="1" s="1"/>
  <c r="E2868" i="1"/>
  <c r="I2867" i="1"/>
  <c r="J2867" i="1" s="1"/>
  <c r="E2867" i="1"/>
  <c r="I2866" i="1"/>
  <c r="J2866" i="1" s="1"/>
  <c r="E2866" i="1"/>
  <c r="I2865" i="1"/>
  <c r="J2865" i="1" s="1"/>
  <c r="E2865" i="1"/>
  <c r="I2864" i="1"/>
  <c r="J2864" i="1" s="1"/>
  <c r="E2864" i="1"/>
  <c r="I2863" i="1"/>
  <c r="J2863" i="1" s="1"/>
  <c r="E2863" i="1"/>
  <c r="I2862" i="1"/>
  <c r="J2862" i="1" s="1"/>
  <c r="E2862" i="1"/>
  <c r="I2861" i="1"/>
  <c r="J2861" i="1" s="1"/>
  <c r="E2861" i="1"/>
  <c r="I2860" i="1"/>
  <c r="J2860" i="1" s="1"/>
  <c r="E2860" i="1"/>
  <c r="I2859" i="1"/>
  <c r="J2859" i="1" s="1"/>
  <c r="E2859" i="1"/>
  <c r="I2858" i="1"/>
  <c r="J2858" i="1" s="1"/>
  <c r="E2858" i="1"/>
  <c r="I2857" i="1"/>
  <c r="J2857" i="1" s="1"/>
  <c r="E2857" i="1"/>
  <c r="I2856" i="1"/>
  <c r="J2856" i="1" s="1"/>
  <c r="E2856" i="1"/>
  <c r="I2855" i="1"/>
  <c r="J2855" i="1" s="1"/>
  <c r="E2855" i="1"/>
  <c r="I2854" i="1"/>
  <c r="J2854" i="1" s="1"/>
  <c r="E2854" i="1"/>
  <c r="I2853" i="1"/>
  <c r="J2853" i="1" s="1"/>
  <c r="E2853" i="1"/>
  <c r="I2852" i="1"/>
  <c r="J2852" i="1" s="1"/>
  <c r="E2852" i="1"/>
  <c r="I2851" i="1"/>
  <c r="J2851" i="1" s="1"/>
  <c r="E2851" i="1"/>
  <c r="I2850" i="1"/>
  <c r="J2850" i="1" s="1"/>
  <c r="E2850" i="1"/>
  <c r="I2849" i="1"/>
  <c r="J2849" i="1" s="1"/>
  <c r="E2849" i="1"/>
  <c r="I2848" i="1"/>
  <c r="J2848" i="1" s="1"/>
  <c r="E2848" i="1"/>
  <c r="I2847" i="1"/>
  <c r="J2847" i="1" s="1"/>
  <c r="E2847" i="1"/>
  <c r="I2846" i="1"/>
  <c r="J2846" i="1" s="1"/>
  <c r="E2846" i="1"/>
  <c r="I2845" i="1"/>
  <c r="J2845" i="1" s="1"/>
  <c r="E2845" i="1"/>
  <c r="I2844" i="1"/>
  <c r="J2844" i="1" s="1"/>
  <c r="E2844" i="1"/>
  <c r="I2843" i="1"/>
  <c r="J2843" i="1" s="1"/>
  <c r="E2843" i="1"/>
  <c r="I2842" i="1"/>
  <c r="J2842" i="1" s="1"/>
  <c r="E2842" i="1"/>
  <c r="I2841" i="1"/>
  <c r="J2841" i="1" s="1"/>
  <c r="E2841" i="1"/>
  <c r="I2840" i="1"/>
  <c r="J2840" i="1" s="1"/>
  <c r="E2840" i="1"/>
  <c r="I2839" i="1"/>
  <c r="J2839" i="1" s="1"/>
  <c r="E2839" i="1"/>
  <c r="I2838" i="1"/>
  <c r="J2838" i="1" s="1"/>
  <c r="E2838" i="1"/>
  <c r="I2837" i="1"/>
  <c r="J2837" i="1" s="1"/>
  <c r="E2837" i="1"/>
  <c r="I2836" i="1"/>
  <c r="J2836" i="1" s="1"/>
  <c r="E2836" i="1"/>
  <c r="I2835" i="1"/>
  <c r="J2835" i="1" s="1"/>
  <c r="E2835" i="1"/>
  <c r="I2834" i="1"/>
  <c r="J2834" i="1" s="1"/>
  <c r="E2834" i="1"/>
  <c r="I2833" i="1"/>
  <c r="J2833" i="1" s="1"/>
  <c r="E2833" i="1"/>
  <c r="I2832" i="1"/>
  <c r="J2832" i="1" s="1"/>
  <c r="E2832" i="1"/>
  <c r="I2831" i="1"/>
  <c r="J2831" i="1" s="1"/>
  <c r="E2831" i="1"/>
  <c r="I2830" i="1"/>
  <c r="J2830" i="1" s="1"/>
  <c r="E2830" i="1"/>
  <c r="I2829" i="1"/>
  <c r="J2829" i="1" s="1"/>
  <c r="E2829" i="1"/>
  <c r="I2828" i="1"/>
  <c r="J2828" i="1" s="1"/>
  <c r="E2828" i="1"/>
  <c r="I2827" i="1"/>
  <c r="J2827" i="1" s="1"/>
  <c r="E2827" i="1"/>
  <c r="I2826" i="1"/>
  <c r="J2826" i="1" s="1"/>
  <c r="E2826" i="1"/>
  <c r="I2825" i="1"/>
  <c r="J2825" i="1" s="1"/>
  <c r="E2825" i="1"/>
  <c r="I2824" i="1"/>
  <c r="J2824" i="1" s="1"/>
  <c r="E2824" i="1"/>
  <c r="I2823" i="1"/>
  <c r="J2823" i="1" s="1"/>
  <c r="E2823" i="1"/>
  <c r="I2822" i="1"/>
  <c r="J2822" i="1" s="1"/>
  <c r="E2822" i="1"/>
  <c r="I2821" i="1"/>
  <c r="J2821" i="1" s="1"/>
  <c r="E2821" i="1"/>
  <c r="I2820" i="1"/>
  <c r="J2820" i="1" s="1"/>
  <c r="E2820" i="1"/>
  <c r="I2819" i="1"/>
  <c r="J2819" i="1" s="1"/>
  <c r="E2819" i="1"/>
  <c r="I2818" i="1"/>
  <c r="J2818" i="1" s="1"/>
  <c r="E2818" i="1"/>
  <c r="I2817" i="1"/>
  <c r="J2817" i="1" s="1"/>
  <c r="E2817" i="1"/>
  <c r="I2816" i="1"/>
  <c r="J2816" i="1" s="1"/>
  <c r="E2816" i="1"/>
  <c r="I2815" i="1"/>
  <c r="J2815" i="1" s="1"/>
  <c r="E2815" i="1"/>
  <c r="I2814" i="1"/>
  <c r="J2814" i="1" s="1"/>
  <c r="E2814" i="1"/>
  <c r="I2813" i="1"/>
  <c r="J2813" i="1" s="1"/>
  <c r="E2813" i="1"/>
  <c r="I2812" i="1"/>
  <c r="J2812" i="1" s="1"/>
  <c r="E2812" i="1"/>
  <c r="I2811" i="1"/>
  <c r="J2811" i="1" s="1"/>
  <c r="E2811" i="1"/>
  <c r="I2810" i="1"/>
  <c r="J2810" i="1" s="1"/>
  <c r="E2810" i="1"/>
  <c r="I2809" i="1"/>
  <c r="J2809" i="1" s="1"/>
  <c r="E2809" i="1"/>
  <c r="I2808" i="1"/>
  <c r="J2808" i="1" s="1"/>
  <c r="E2808" i="1"/>
  <c r="I2807" i="1"/>
  <c r="J2807" i="1" s="1"/>
  <c r="E2807" i="1"/>
  <c r="I2806" i="1"/>
  <c r="J2806" i="1" s="1"/>
  <c r="E2806" i="1"/>
  <c r="I2805" i="1"/>
  <c r="J2805" i="1" s="1"/>
  <c r="E2805" i="1"/>
  <c r="I2804" i="1"/>
  <c r="J2804" i="1" s="1"/>
  <c r="E2804" i="1"/>
  <c r="I2803" i="1"/>
  <c r="J2803" i="1" s="1"/>
  <c r="E2803" i="1"/>
  <c r="I2802" i="1"/>
  <c r="J2802" i="1" s="1"/>
  <c r="E2802" i="1"/>
  <c r="I2801" i="1"/>
  <c r="J2801" i="1" s="1"/>
  <c r="E2801" i="1"/>
  <c r="I2800" i="1"/>
  <c r="J2800" i="1" s="1"/>
  <c r="E2800" i="1"/>
  <c r="I2799" i="1"/>
  <c r="J2799" i="1" s="1"/>
  <c r="E2799" i="1"/>
  <c r="I2798" i="1"/>
  <c r="J2798" i="1" s="1"/>
  <c r="E2798" i="1"/>
  <c r="I2797" i="1"/>
  <c r="J2797" i="1" s="1"/>
  <c r="E2797" i="1"/>
  <c r="I2796" i="1"/>
  <c r="J2796" i="1" s="1"/>
  <c r="E2796" i="1"/>
  <c r="I2795" i="1"/>
  <c r="J2795" i="1" s="1"/>
  <c r="E2795" i="1"/>
  <c r="I2794" i="1"/>
  <c r="J2794" i="1" s="1"/>
  <c r="E2794" i="1"/>
  <c r="I2793" i="1"/>
  <c r="J2793" i="1" s="1"/>
  <c r="E2793" i="1"/>
  <c r="I2792" i="1"/>
  <c r="J2792" i="1" s="1"/>
  <c r="E2792" i="1"/>
  <c r="I2791" i="1"/>
  <c r="J2791" i="1" s="1"/>
  <c r="E2791" i="1"/>
  <c r="I2790" i="1"/>
  <c r="J2790" i="1" s="1"/>
  <c r="E2790" i="1"/>
  <c r="I2789" i="1"/>
  <c r="J2789" i="1" s="1"/>
  <c r="E2789" i="1"/>
  <c r="I2788" i="1"/>
  <c r="J2788" i="1" s="1"/>
  <c r="E2788" i="1"/>
  <c r="I2787" i="1"/>
  <c r="J2787" i="1" s="1"/>
  <c r="E2787" i="1"/>
  <c r="I2786" i="1"/>
  <c r="J2786" i="1" s="1"/>
  <c r="E2786" i="1"/>
  <c r="I2785" i="1"/>
  <c r="J2785" i="1" s="1"/>
  <c r="E2785" i="1"/>
  <c r="I2784" i="1"/>
  <c r="J2784" i="1" s="1"/>
  <c r="E2784" i="1"/>
  <c r="I2783" i="1"/>
  <c r="J2783" i="1" s="1"/>
  <c r="E2783" i="1"/>
  <c r="I2782" i="1"/>
  <c r="J2782" i="1" s="1"/>
  <c r="E2782" i="1"/>
  <c r="I2781" i="1"/>
  <c r="J2781" i="1" s="1"/>
  <c r="E2781" i="1"/>
  <c r="I2780" i="1"/>
  <c r="J2780" i="1" s="1"/>
  <c r="E2780" i="1"/>
  <c r="I2779" i="1"/>
  <c r="J2779" i="1" s="1"/>
  <c r="E2779" i="1"/>
  <c r="I2778" i="1"/>
  <c r="J2778" i="1" s="1"/>
  <c r="E2778" i="1"/>
  <c r="I2777" i="1"/>
  <c r="J2777" i="1" s="1"/>
  <c r="E2777" i="1"/>
  <c r="I2776" i="1"/>
  <c r="J2776" i="1" s="1"/>
  <c r="E2776" i="1"/>
  <c r="I2775" i="1"/>
  <c r="J2775" i="1" s="1"/>
  <c r="E2775" i="1"/>
  <c r="I2774" i="1"/>
  <c r="J2774" i="1" s="1"/>
  <c r="E2774" i="1"/>
  <c r="I2773" i="1"/>
  <c r="J2773" i="1" s="1"/>
  <c r="E2773" i="1"/>
  <c r="I2772" i="1"/>
  <c r="J2772" i="1" s="1"/>
  <c r="E2772" i="1"/>
  <c r="I2771" i="1"/>
  <c r="J2771" i="1" s="1"/>
  <c r="E2771" i="1"/>
  <c r="I2770" i="1"/>
  <c r="J2770" i="1" s="1"/>
  <c r="E2770" i="1"/>
  <c r="I2769" i="1"/>
  <c r="J2769" i="1" s="1"/>
  <c r="E2769" i="1"/>
  <c r="I2768" i="1"/>
  <c r="J2768" i="1" s="1"/>
  <c r="E2768" i="1"/>
  <c r="I2767" i="1"/>
  <c r="J2767" i="1" s="1"/>
  <c r="E2767" i="1"/>
  <c r="I2766" i="1"/>
  <c r="J2766" i="1" s="1"/>
  <c r="E2766" i="1"/>
  <c r="I2765" i="1"/>
  <c r="J2765" i="1" s="1"/>
  <c r="E2765" i="1"/>
  <c r="I2764" i="1"/>
  <c r="J2764" i="1" s="1"/>
  <c r="E2764" i="1"/>
  <c r="I2763" i="1"/>
  <c r="J2763" i="1" s="1"/>
  <c r="E2763" i="1"/>
  <c r="I2762" i="1"/>
  <c r="J2762" i="1" s="1"/>
  <c r="E2762" i="1"/>
  <c r="I2761" i="1"/>
  <c r="J2761" i="1" s="1"/>
  <c r="E2761" i="1"/>
  <c r="I2760" i="1"/>
  <c r="J2760" i="1" s="1"/>
  <c r="E2760" i="1"/>
  <c r="I2759" i="1"/>
  <c r="J2759" i="1" s="1"/>
  <c r="E2759" i="1"/>
  <c r="I2758" i="1"/>
  <c r="J2758" i="1" s="1"/>
  <c r="E2758" i="1"/>
  <c r="I2757" i="1"/>
  <c r="J2757" i="1" s="1"/>
  <c r="E2757" i="1"/>
  <c r="I2756" i="1"/>
  <c r="J2756" i="1" s="1"/>
  <c r="E2756" i="1"/>
  <c r="I2755" i="1"/>
  <c r="J2755" i="1" s="1"/>
  <c r="E2755" i="1"/>
  <c r="I2754" i="1"/>
  <c r="J2754" i="1" s="1"/>
  <c r="E2754" i="1"/>
  <c r="I2753" i="1"/>
  <c r="J2753" i="1" s="1"/>
  <c r="E2753" i="1"/>
  <c r="I2752" i="1"/>
  <c r="J2752" i="1" s="1"/>
  <c r="E2752" i="1"/>
  <c r="I2751" i="1"/>
  <c r="J2751" i="1" s="1"/>
  <c r="E2751" i="1"/>
  <c r="I2750" i="1"/>
  <c r="J2750" i="1" s="1"/>
  <c r="E2750" i="1"/>
  <c r="I2749" i="1"/>
  <c r="J2749" i="1" s="1"/>
  <c r="E2749" i="1"/>
  <c r="I2748" i="1"/>
  <c r="J2748" i="1" s="1"/>
  <c r="E2748" i="1"/>
  <c r="I2747" i="1"/>
  <c r="J2747" i="1" s="1"/>
  <c r="E2747" i="1"/>
  <c r="I2746" i="1"/>
  <c r="J2746" i="1" s="1"/>
  <c r="E2746" i="1"/>
  <c r="I2745" i="1"/>
  <c r="J2745" i="1" s="1"/>
  <c r="E2745" i="1"/>
  <c r="I2744" i="1"/>
  <c r="J2744" i="1" s="1"/>
  <c r="E2744" i="1"/>
  <c r="I2743" i="1"/>
  <c r="J2743" i="1" s="1"/>
  <c r="E2743" i="1"/>
  <c r="I2742" i="1"/>
  <c r="J2742" i="1" s="1"/>
  <c r="E2742" i="1"/>
  <c r="I2741" i="1"/>
  <c r="J2741" i="1" s="1"/>
  <c r="E2741" i="1"/>
  <c r="I2740" i="1"/>
  <c r="J2740" i="1" s="1"/>
  <c r="E2740" i="1"/>
  <c r="I2739" i="1"/>
  <c r="J2739" i="1" s="1"/>
  <c r="E2739" i="1"/>
  <c r="I2738" i="1"/>
  <c r="J2738" i="1" s="1"/>
  <c r="E2738" i="1"/>
  <c r="I2737" i="1"/>
  <c r="J2737" i="1" s="1"/>
  <c r="E2737" i="1"/>
  <c r="I2736" i="1"/>
  <c r="J2736" i="1" s="1"/>
  <c r="E2736" i="1"/>
  <c r="I2735" i="1"/>
  <c r="J2735" i="1" s="1"/>
  <c r="E2735" i="1"/>
  <c r="I2734" i="1"/>
  <c r="J2734" i="1" s="1"/>
  <c r="E2734" i="1"/>
  <c r="I2733" i="1"/>
  <c r="J2733" i="1" s="1"/>
  <c r="E2733" i="1"/>
  <c r="I2732" i="1"/>
  <c r="J2732" i="1" s="1"/>
  <c r="E2732" i="1"/>
  <c r="I2731" i="1"/>
  <c r="J2731" i="1" s="1"/>
  <c r="E2731" i="1"/>
  <c r="I2730" i="1"/>
  <c r="J2730" i="1" s="1"/>
  <c r="E2730" i="1"/>
  <c r="I2729" i="1"/>
  <c r="J2729" i="1" s="1"/>
  <c r="E2729" i="1"/>
  <c r="I2728" i="1"/>
  <c r="J2728" i="1" s="1"/>
  <c r="E2728" i="1"/>
  <c r="I2727" i="1"/>
  <c r="J2727" i="1" s="1"/>
  <c r="E2727" i="1"/>
  <c r="I2726" i="1"/>
  <c r="J2726" i="1" s="1"/>
  <c r="E2726" i="1"/>
  <c r="I2725" i="1"/>
  <c r="J2725" i="1" s="1"/>
  <c r="E2725" i="1"/>
  <c r="I2724" i="1"/>
  <c r="J2724" i="1" s="1"/>
  <c r="E2724" i="1"/>
  <c r="I2723" i="1"/>
  <c r="J2723" i="1" s="1"/>
  <c r="E2723" i="1"/>
  <c r="I2722" i="1"/>
  <c r="J2722" i="1" s="1"/>
  <c r="E2722" i="1"/>
  <c r="I2721" i="1"/>
  <c r="J2721" i="1" s="1"/>
  <c r="E2721" i="1"/>
  <c r="I2720" i="1"/>
  <c r="J2720" i="1" s="1"/>
  <c r="E2720" i="1"/>
  <c r="I2719" i="1"/>
  <c r="J2719" i="1" s="1"/>
  <c r="E2719" i="1"/>
  <c r="I2718" i="1"/>
  <c r="J2718" i="1" s="1"/>
  <c r="E2718" i="1"/>
  <c r="I2717" i="1"/>
  <c r="J2717" i="1" s="1"/>
  <c r="E2717" i="1"/>
  <c r="I2716" i="1"/>
  <c r="J2716" i="1" s="1"/>
  <c r="E2716" i="1"/>
  <c r="I2715" i="1"/>
  <c r="J2715" i="1" s="1"/>
  <c r="E2715" i="1"/>
  <c r="I2714" i="1"/>
  <c r="J2714" i="1" s="1"/>
  <c r="E2714" i="1"/>
  <c r="I2713" i="1"/>
  <c r="J2713" i="1" s="1"/>
  <c r="E2713" i="1"/>
  <c r="I2712" i="1"/>
  <c r="J2712" i="1" s="1"/>
  <c r="E2712" i="1"/>
  <c r="I2711" i="1"/>
  <c r="J2711" i="1" s="1"/>
  <c r="E2711" i="1"/>
  <c r="I2710" i="1"/>
  <c r="J2710" i="1" s="1"/>
  <c r="E2710" i="1"/>
  <c r="I2709" i="1"/>
  <c r="J2709" i="1" s="1"/>
  <c r="E2709" i="1"/>
  <c r="I2708" i="1"/>
  <c r="J2708" i="1" s="1"/>
  <c r="E2708" i="1"/>
  <c r="I2707" i="1"/>
  <c r="J2707" i="1" s="1"/>
  <c r="E2707" i="1"/>
  <c r="I2706" i="1"/>
  <c r="J2706" i="1" s="1"/>
  <c r="E2706" i="1"/>
  <c r="I2705" i="1"/>
  <c r="J2705" i="1" s="1"/>
  <c r="E2705" i="1"/>
  <c r="I2704" i="1"/>
  <c r="J2704" i="1" s="1"/>
  <c r="E2704" i="1"/>
  <c r="I2703" i="1"/>
  <c r="J2703" i="1" s="1"/>
  <c r="E2703" i="1"/>
  <c r="I2702" i="1"/>
  <c r="J2702" i="1" s="1"/>
  <c r="E2702" i="1"/>
  <c r="I2701" i="1"/>
  <c r="J2701" i="1" s="1"/>
  <c r="E2701" i="1"/>
  <c r="I2700" i="1"/>
  <c r="J2700" i="1" s="1"/>
  <c r="E2700" i="1"/>
  <c r="I2699" i="1"/>
  <c r="J2699" i="1" s="1"/>
  <c r="E2699" i="1"/>
  <c r="I2698" i="1"/>
  <c r="J2698" i="1" s="1"/>
  <c r="E2698" i="1"/>
  <c r="I2697" i="1"/>
  <c r="J2697" i="1" s="1"/>
  <c r="E2697" i="1"/>
  <c r="I2696" i="1"/>
  <c r="J2696" i="1" s="1"/>
  <c r="E2696" i="1"/>
  <c r="I2695" i="1"/>
  <c r="J2695" i="1" s="1"/>
  <c r="E2695" i="1"/>
  <c r="I2694" i="1"/>
  <c r="J2694" i="1" s="1"/>
  <c r="E2694" i="1"/>
  <c r="I2693" i="1"/>
  <c r="J2693" i="1" s="1"/>
  <c r="E2693" i="1"/>
  <c r="I2692" i="1"/>
  <c r="J2692" i="1" s="1"/>
  <c r="E2692" i="1"/>
  <c r="I2691" i="1"/>
  <c r="J2691" i="1" s="1"/>
  <c r="E2691" i="1"/>
  <c r="I2690" i="1"/>
  <c r="J2690" i="1" s="1"/>
  <c r="E2690" i="1"/>
  <c r="I2689" i="1"/>
  <c r="J2689" i="1" s="1"/>
  <c r="E2689" i="1"/>
  <c r="I2688" i="1"/>
  <c r="J2688" i="1" s="1"/>
  <c r="E2688" i="1"/>
  <c r="I2687" i="1"/>
  <c r="J2687" i="1" s="1"/>
  <c r="E2687" i="1"/>
  <c r="I2686" i="1"/>
  <c r="J2686" i="1" s="1"/>
  <c r="E2686" i="1"/>
  <c r="I2685" i="1"/>
  <c r="J2685" i="1" s="1"/>
  <c r="E2685" i="1"/>
  <c r="I2684" i="1"/>
  <c r="J2684" i="1" s="1"/>
  <c r="E2684" i="1"/>
  <c r="I2683" i="1"/>
  <c r="J2683" i="1" s="1"/>
  <c r="E2683" i="1"/>
  <c r="I2682" i="1"/>
  <c r="J2682" i="1" s="1"/>
  <c r="E2682" i="1"/>
  <c r="I2681" i="1"/>
  <c r="J2681" i="1" s="1"/>
  <c r="E2681" i="1"/>
  <c r="I2680" i="1"/>
  <c r="J2680" i="1" s="1"/>
  <c r="E2680" i="1"/>
  <c r="I2679" i="1"/>
  <c r="J2679" i="1" s="1"/>
  <c r="E2679" i="1"/>
  <c r="I2678" i="1"/>
  <c r="J2678" i="1" s="1"/>
  <c r="E2678" i="1"/>
  <c r="I2677" i="1"/>
  <c r="J2677" i="1" s="1"/>
  <c r="E2677" i="1"/>
  <c r="I2676" i="1"/>
  <c r="J2676" i="1" s="1"/>
  <c r="E2676" i="1"/>
  <c r="I2675" i="1"/>
  <c r="J2675" i="1" s="1"/>
  <c r="E2675" i="1"/>
  <c r="I2674" i="1"/>
  <c r="J2674" i="1" s="1"/>
  <c r="E2674" i="1"/>
  <c r="I2673" i="1"/>
  <c r="J2673" i="1" s="1"/>
  <c r="E2673" i="1"/>
  <c r="I2672" i="1"/>
  <c r="J2672" i="1" s="1"/>
  <c r="E2672" i="1"/>
  <c r="I2671" i="1"/>
  <c r="J2671" i="1" s="1"/>
  <c r="E2671" i="1"/>
  <c r="I2670" i="1"/>
  <c r="J2670" i="1" s="1"/>
  <c r="E2670" i="1"/>
  <c r="I2669" i="1"/>
  <c r="J2669" i="1" s="1"/>
  <c r="E2669" i="1"/>
  <c r="I2668" i="1"/>
  <c r="J2668" i="1" s="1"/>
  <c r="E2668" i="1"/>
  <c r="I2667" i="1"/>
  <c r="J2667" i="1" s="1"/>
  <c r="E2667" i="1"/>
  <c r="I2666" i="1"/>
  <c r="J2666" i="1" s="1"/>
  <c r="E2666" i="1"/>
  <c r="I2665" i="1"/>
  <c r="J2665" i="1" s="1"/>
  <c r="E2665" i="1"/>
  <c r="I2664" i="1"/>
  <c r="J2664" i="1" s="1"/>
  <c r="E2664" i="1"/>
  <c r="I2663" i="1"/>
  <c r="J2663" i="1" s="1"/>
  <c r="E2663" i="1"/>
  <c r="I2662" i="1"/>
  <c r="J2662" i="1" s="1"/>
  <c r="E2662" i="1"/>
  <c r="I2661" i="1"/>
  <c r="J2661" i="1" s="1"/>
  <c r="E2661" i="1"/>
  <c r="I2660" i="1"/>
  <c r="J2660" i="1" s="1"/>
  <c r="E2660" i="1"/>
  <c r="I2659" i="1"/>
  <c r="J2659" i="1" s="1"/>
  <c r="E2659" i="1"/>
  <c r="I2658" i="1"/>
  <c r="J2658" i="1" s="1"/>
  <c r="E2658" i="1"/>
  <c r="I2657" i="1"/>
  <c r="J2657" i="1" s="1"/>
  <c r="E2657" i="1"/>
  <c r="I2656" i="1"/>
  <c r="J2656" i="1" s="1"/>
  <c r="E2656" i="1"/>
  <c r="I2655" i="1"/>
  <c r="J2655" i="1" s="1"/>
  <c r="E2655" i="1"/>
  <c r="I2654" i="1"/>
  <c r="J2654" i="1" s="1"/>
  <c r="E2654" i="1"/>
  <c r="I2653" i="1"/>
  <c r="J2653" i="1" s="1"/>
  <c r="E2653" i="1"/>
  <c r="I2652" i="1"/>
  <c r="J2652" i="1" s="1"/>
  <c r="E2652" i="1"/>
  <c r="I2651" i="1"/>
  <c r="J2651" i="1" s="1"/>
  <c r="E2651" i="1"/>
  <c r="I2650" i="1"/>
  <c r="J2650" i="1" s="1"/>
  <c r="E2650" i="1"/>
  <c r="I2649" i="1"/>
  <c r="J2649" i="1" s="1"/>
  <c r="E2649" i="1"/>
  <c r="I2648" i="1"/>
  <c r="J2648" i="1" s="1"/>
  <c r="E2648" i="1"/>
  <c r="I2647" i="1"/>
  <c r="J2647" i="1" s="1"/>
  <c r="E2647" i="1"/>
  <c r="I2646" i="1"/>
  <c r="J2646" i="1" s="1"/>
  <c r="E2646" i="1"/>
  <c r="I2645" i="1"/>
  <c r="J2645" i="1" s="1"/>
  <c r="E2645" i="1"/>
  <c r="I2644" i="1"/>
  <c r="J2644" i="1" s="1"/>
  <c r="E2644" i="1"/>
  <c r="I2643" i="1"/>
  <c r="J2643" i="1" s="1"/>
  <c r="E2643" i="1"/>
  <c r="I2642" i="1"/>
  <c r="J2642" i="1" s="1"/>
  <c r="E2642" i="1"/>
  <c r="I2641" i="1"/>
  <c r="J2641" i="1" s="1"/>
  <c r="E2641" i="1"/>
  <c r="I2640" i="1"/>
  <c r="J2640" i="1" s="1"/>
  <c r="E2640" i="1"/>
  <c r="I2639" i="1"/>
  <c r="J2639" i="1" s="1"/>
  <c r="E2639" i="1"/>
  <c r="I2638" i="1"/>
  <c r="J2638" i="1" s="1"/>
  <c r="E2638" i="1"/>
  <c r="I2637" i="1"/>
  <c r="J2637" i="1" s="1"/>
  <c r="E2637" i="1"/>
  <c r="I2636" i="1"/>
  <c r="J2636" i="1" s="1"/>
  <c r="E2636" i="1"/>
  <c r="I2635" i="1"/>
  <c r="J2635" i="1" s="1"/>
  <c r="E2635" i="1"/>
  <c r="I2634" i="1"/>
  <c r="J2634" i="1" s="1"/>
  <c r="E2634" i="1"/>
  <c r="I2633" i="1"/>
  <c r="J2633" i="1" s="1"/>
  <c r="E2633" i="1"/>
  <c r="I2632" i="1"/>
  <c r="J2632" i="1" s="1"/>
  <c r="E2632" i="1"/>
  <c r="I2631" i="1"/>
  <c r="J2631" i="1" s="1"/>
  <c r="E2631" i="1"/>
  <c r="I2630" i="1"/>
  <c r="J2630" i="1" s="1"/>
  <c r="E2630" i="1"/>
  <c r="I2629" i="1"/>
  <c r="J2629" i="1" s="1"/>
  <c r="E2629" i="1"/>
  <c r="I2628" i="1"/>
  <c r="J2628" i="1" s="1"/>
  <c r="E2628" i="1"/>
  <c r="I2627" i="1"/>
  <c r="J2627" i="1" s="1"/>
  <c r="E2627" i="1"/>
  <c r="I2626" i="1"/>
  <c r="J2626" i="1" s="1"/>
  <c r="E2626" i="1"/>
  <c r="I2625" i="1"/>
  <c r="J2625" i="1" s="1"/>
  <c r="E2625" i="1"/>
  <c r="I2624" i="1"/>
  <c r="J2624" i="1" s="1"/>
  <c r="E2624" i="1"/>
  <c r="I2623" i="1"/>
  <c r="J2623" i="1" s="1"/>
  <c r="E2623" i="1"/>
  <c r="I2622" i="1"/>
  <c r="J2622" i="1" s="1"/>
  <c r="E2622" i="1"/>
  <c r="I2621" i="1"/>
  <c r="J2621" i="1" s="1"/>
  <c r="E2621" i="1"/>
  <c r="I2620" i="1"/>
  <c r="J2620" i="1" s="1"/>
  <c r="E2620" i="1"/>
  <c r="I2619" i="1"/>
  <c r="J2619" i="1" s="1"/>
  <c r="E2619" i="1"/>
  <c r="I2618" i="1"/>
  <c r="J2618" i="1" s="1"/>
  <c r="E2618" i="1"/>
  <c r="I2617" i="1"/>
  <c r="J2617" i="1" s="1"/>
  <c r="E2617" i="1"/>
  <c r="I2616" i="1"/>
  <c r="J2616" i="1" s="1"/>
  <c r="E2616" i="1"/>
  <c r="I2615" i="1"/>
  <c r="J2615" i="1" s="1"/>
  <c r="E2615" i="1"/>
  <c r="I2614" i="1"/>
  <c r="J2614" i="1" s="1"/>
  <c r="E2614" i="1"/>
  <c r="I2613" i="1"/>
  <c r="J2613" i="1" s="1"/>
  <c r="E2613" i="1"/>
  <c r="I2612" i="1"/>
  <c r="J2612" i="1" s="1"/>
  <c r="E2612" i="1"/>
  <c r="I2611" i="1"/>
  <c r="J2611" i="1" s="1"/>
  <c r="E2611" i="1"/>
  <c r="I2610" i="1"/>
  <c r="J2610" i="1" s="1"/>
  <c r="E2610" i="1"/>
  <c r="I2609" i="1"/>
  <c r="J2609" i="1" s="1"/>
  <c r="E2609" i="1"/>
  <c r="I2608" i="1"/>
  <c r="J2608" i="1" s="1"/>
  <c r="E2608" i="1"/>
  <c r="I2607" i="1"/>
  <c r="J2607" i="1" s="1"/>
  <c r="E2607" i="1"/>
  <c r="I2606" i="1"/>
  <c r="J2606" i="1" s="1"/>
  <c r="E2606" i="1"/>
  <c r="I2605" i="1"/>
  <c r="J2605" i="1" s="1"/>
  <c r="E2605" i="1"/>
  <c r="I2604" i="1"/>
  <c r="J2604" i="1" s="1"/>
  <c r="E2604" i="1"/>
  <c r="I2603" i="1"/>
  <c r="J2603" i="1" s="1"/>
  <c r="E2603" i="1"/>
  <c r="I2602" i="1"/>
  <c r="J2602" i="1" s="1"/>
  <c r="E2602" i="1"/>
  <c r="I2601" i="1"/>
  <c r="J2601" i="1" s="1"/>
  <c r="E2601" i="1"/>
  <c r="I2600" i="1"/>
  <c r="J2600" i="1" s="1"/>
  <c r="E2600" i="1"/>
  <c r="I2599" i="1"/>
  <c r="J2599" i="1" s="1"/>
  <c r="E2599" i="1"/>
  <c r="I2598" i="1"/>
  <c r="J2598" i="1" s="1"/>
  <c r="E2598" i="1"/>
  <c r="I2597" i="1"/>
  <c r="J2597" i="1" s="1"/>
  <c r="E2597" i="1"/>
  <c r="I2596" i="1"/>
  <c r="J2596" i="1" s="1"/>
  <c r="E2596" i="1"/>
  <c r="I2595" i="1"/>
  <c r="J2595" i="1" s="1"/>
  <c r="E2595" i="1"/>
  <c r="I2594" i="1"/>
  <c r="J2594" i="1" s="1"/>
  <c r="E2594" i="1"/>
  <c r="I2593" i="1"/>
  <c r="J2593" i="1" s="1"/>
  <c r="E2593" i="1"/>
  <c r="I2592" i="1"/>
  <c r="J2592" i="1" s="1"/>
  <c r="E2592" i="1"/>
  <c r="I2591" i="1"/>
  <c r="J2591" i="1" s="1"/>
  <c r="E2591" i="1"/>
  <c r="I2590" i="1"/>
  <c r="J2590" i="1" s="1"/>
  <c r="E2590" i="1"/>
  <c r="I2589" i="1"/>
  <c r="J2589" i="1" s="1"/>
  <c r="E2589" i="1"/>
  <c r="I2588" i="1"/>
  <c r="J2588" i="1" s="1"/>
  <c r="E2588" i="1"/>
  <c r="I2587" i="1"/>
  <c r="J2587" i="1" s="1"/>
  <c r="E2587" i="1"/>
  <c r="I2586" i="1"/>
  <c r="J2586" i="1" s="1"/>
  <c r="E2586" i="1"/>
  <c r="I2585" i="1"/>
  <c r="J2585" i="1" s="1"/>
  <c r="E2585" i="1"/>
  <c r="I2584" i="1"/>
  <c r="J2584" i="1" s="1"/>
  <c r="E2584" i="1"/>
  <c r="I2583" i="1"/>
  <c r="J2583" i="1" s="1"/>
  <c r="E2583" i="1"/>
  <c r="I2582" i="1"/>
  <c r="J2582" i="1" s="1"/>
  <c r="E2582" i="1"/>
  <c r="I2581" i="1"/>
  <c r="J2581" i="1" s="1"/>
  <c r="E2581" i="1"/>
  <c r="I2580" i="1"/>
  <c r="J2580" i="1" s="1"/>
  <c r="E2580" i="1"/>
  <c r="I2579" i="1"/>
  <c r="J2579" i="1" s="1"/>
  <c r="E2579" i="1"/>
  <c r="I2578" i="1"/>
  <c r="J2578" i="1" s="1"/>
  <c r="E2578" i="1"/>
  <c r="I2577" i="1"/>
  <c r="J2577" i="1" s="1"/>
  <c r="E2577" i="1"/>
  <c r="I2576" i="1"/>
  <c r="J2576" i="1" s="1"/>
  <c r="E2576" i="1"/>
  <c r="I2575" i="1"/>
  <c r="J2575" i="1" s="1"/>
  <c r="E2575" i="1"/>
  <c r="I2574" i="1"/>
  <c r="J2574" i="1" s="1"/>
  <c r="E2574" i="1"/>
  <c r="I2573" i="1"/>
  <c r="J2573" i="1" s="1"/>
  <c r="E2573" i="1"/>
  <c r="I2572" i="1"/>
  <c r="J2572" i="1" s="1"/>
  <c r="E2572" i="1"/>
  <c r="I2571" i="1"/>
  <c r="J2571" i="1" s="1"/>
  <c r="E2571" i="1"/>
  <c r="I2570" i="1"/>
  <c r="J2570" i="1" s="1"/>
  <c r="E2570" i="1"/>
  <c r="I2569" i="1"/>
  <c r="J2569" i="1" s="1"/>
  <c r="E2569" i="1"/>
  <c r="I2568" i="1"/>
  <c r="J2568" i="1" s="1"/>
  <c r="E2568" i="1"/>
  <c r="I2567" i="1"/>
  <c r="J2567" i="1" s="1"/>
  <c r="E2567" i="1"/>
  <c r="I2566" i="1"/>
  <c r="J2566" i="1" s="1"/>
  <c r="E2566" i="1"/>
  <c r="I2565" i="1"/>
  <c r="J2565" i="1" s="1"/>
  <c r="E2565" i="1"/>
  <c r="I2564" i="1"/>
  <c r="J2564" i="1" s="1"/>
  <c r="E2564" i="1"/>
  <c r="I2563" i="1"/>
  <c r="J2563" i="1" s="1"/>
  <c r="E2563" i="1"/>
  <c r="I2562" i="1"/>
  <c r="J2562" i="1" s="1"/>
  <c r="E2562" i="1"/>
  <c r="I2561" i="1"/>
  <c r="J2561" i="1" s="1"/>
  <c r="E2561" i="1"/>
  <c r="I2560" i="1"/>
  <c r="J2560" i="1" s="1"/>
  <c r="E2560" i="1"/>
  <c r="I2559" i="1"/>
  <c r="J2559" i="1" s="1"/>
  <c r="E2559" i="1"/>
  <c r="I2558" i="1"/>
  <c r="J2558" i="1" s="1"/>
  <c r="E2558" i="1"/>
  <c r="I2557" i="1"/>
  <c r="J2557" i="1" s="1"/>
  <c r="E2557" i="1"/>
  <c r="I2556" i="1"/>
  <c r="J2556" i="1" s="1"/>
  <c r="E2556" i="1"/>
  <c r="I2555" i="1"/>
  <c r="J2555" i="1" s="1"/>
  <c r="E2555" i="1"/>
  <c r="I2554" i="1"/>
  <c r="J2554" i="1" s="1"/>
  <c r="E2554" i="1"/>
  <c r="I2553" i="1"/>
  <c r="J2553" i="1" s="1"/>
  <c r="E2553" i="1"/>
  <c r="I2552" i="1"/>
  <c r="J2552" i="1" s="1"/>
  <c r="E2552" i="1"/>
  <c r="I2551" i="1"/>
  <c r="J2551" i="1" s="1"/>
  <c r="E2551" i="1"/>
  <c r="I2550" i="1"/>
  <c r="J2550" i="1" s="1"/>
  <c r="E2550" i="1"/>
  <c r="I2549" i="1"/>
  <c r="J2549" i="1" s="1"/>
  <c r="E2549" i="1"/>
  <c r="I2548" i="1"/>
  <c r="J2548" i="1" s="1"/>
  <c r="E2548" i="1"/>
  <c r="I2547" i="1"/>
  <c r="J2547" i="1" s="1"/>
  <c r="E2547" i="1"/>
  <c r="I2546" i="1"/>
  <c r="J2546" i="1" s="1"/>
  <c r="E2546" i="1"/>
  <c r="I2545" i="1"/>
  <c r="J2545" i="1" s="1"/>
  <c r="E2545" i="1"/>
  <c r="I2544" i="1"/>
  <c r="J2544" i="1" s="1"/>
  <c r="E2544" i="1"/>
  <c r="I2543" i="1"/>
  <c r="J2543" i="1" s="1"/>
  <c r="E2543" i="1"/>
  <c r="I2542" i="1"/>
  <c r="J2542" i="1" s="1"/>
  <c r="E2542" i="1"/>
  <c r="I2541" i="1"/>
  <c r="J2541" i="1" s="1"/>
  <c r="E2541" i="1"/>
  <c r="I2540" i="1"/>
  <c r="J2540" i="1" s="1"/>
  <c r="E2540" i="1"/>
  <c r="I2539" i="1"/>
  <c r="J2539" i="1" s="1"/>
  <c r="E2539" i="1"/>
  <c r="I2538" i="1"/>
  <c r="J2538" i="1" s="1"/>
  <c r="E2538" i="1"/>
  <c r="I2537" i="1"/>
  <c r="J2537" i="1" s="1"/>
  <c r="E2537" i="1"/>
  <c r="I2536" i="1"/>
  <c r="J2536" i="1" s="1"/>
  <c r="E2536" i="1"/>
  <c r="I2535" i="1"/>
  <c r="J2535" i="1" s="1"/>
  <c r="E2535" i="1"/>
  <c r="I2534" i="1"/>
  <c r="J2534" i="1" s="1"/>
  <c r="E2534" i="1"/>
  <c r="I2533" i="1"/>
  <c r="J2533" i="1" s="1"/>
  <c r="E2533" i="1"/>
  <c r="I2532" i="1"/>
  <c r="J2532" i="1" s="1"/>
  <c r="E2532" i="1"/>
  <c r="I2531" i="1"/>
  <c r="J2531" i="1" s="1"/>
  <c r="E2531" i="1"/>
  <c r="I2530" i="1"/>
  <c r="J2530" i="1" s="1"/>
  <c r="E2530" i="1"/>
  <c r="I2529" i="1"/>
  <c r="J2529" i="1" s="1"/>
  <c r="E2529" i="1"/>
  <c r="I2528" i="1"/>
  <c r="J2528" i="1" s="1"/>
  <c r="E2528" i="1"/>
  <c r="I2527" i="1"/>
  <c r="J2527" i="1" s="1"/>
  <c r="E2527" i="1"/>
  <c r="I2526" i="1"/>
  <c r="J2526" i="1" s="1"/>
  <c r="E2526" i="1"/>
  <c r="I2525" i="1"/>
  <c r="J2525" i="1" s="1"/>
  <c r="E2525" i="1"/>
  <c r="I2524" i="1"/>
  <c r="J2524" i="1" s="1"/>
  <c r="E2524" i="1"/>
  <c r="I2523" i="1"/>
  <c r="J2523" i="1" s="1"/>
  <c r="E2523" i="1"/>
  <c r="I2522" i="1"/>
  <c r="J2522" i="1" s="1"/>
  <c r="E2522" i="1"/>
  <c r="I2521" i="1"/>
  <c r="J2521" i="1" s="1"/>
  <c r="E2521" i="1"/>
  <c r="I2520" i="1"/>
  <c r="J2520" i="1" s="1"/>
  <c r="E2520" i="1"/>
  <c r="I2519" i="1"/>
  <c r="J2519" i="1" s="1"/>
  <c r="E2519" i="1"/>
  <c r="I2518" i="1"/>
  <c r="J2518" i="1" s="1"/>
  <c r="E2518" i="1"/>
  <c r="I2517" i="1"/>
  <c r="J2517" i="1" s="1"/>
  <c r="E2517" i="1"/>
  <c r="I2516" i="1"/>
  <c r="J2516" i="1" s="1"/>
  <c r="E2516" i="1"/>
  <c r="I2515" i="1"/>
  <c r="J2515" i="1" s="1"/>
  <c r="E2515" i="1"/>
  <c r="I2514" i="1"/>
  <c r="J2514" i="1" s="1"/>
  <c r="E2514" i="1"/>
  <c r="I2513" i="1"/>
  <c r="J2513" i="1" s="1"/>
  <c r="E2513" i="1"/>
  <c r="I2512" i="1"/>
  <c r="J2512" i="1" s="1"/>
  <c r="E2512" i="1"/>
  <c r="I2511" i="1"/>
  <c r="J2511" i="1" s="1"/>
  <c r="E2511" i="1"/>
  <c r="I2510" i="1"/>
  <c r="J2510" i="1" s="1"/>
  <c r="E2510" i="1"/>
  <c r="I2509" i="1"/>
  <c r="J2509" i="1" s="1"/>
  <c r="E2509" i="1"/>
  <c r="I2508" i="1"/>
  <c r="J2508" i="1" s="1"/>
  <c r="E2508" i="1"/>
  <c r="I2507" i="1"/>
  <c r="J2507" i="1" s="1"/>
  <c r="E2507" i="1"/>
  <c r="I2506" i="1"/>
  <c r="J2506" i="1" s="1"/>
  <c r="E2506" i="1"/>
  <c r="I2505" i="1"/>
  <c r="J2505" i="1" s="1"/>
  <c r="E2505" i="1"/>
  <c r="I2504" i="1"/>
  <c r="J2504" i="1" s="1"/>
  <c r="E2504" i="1"/>
  <c r="I2503" i="1"/>
  <c r="J2503" i="1" s="1"/>
  <c r="E2503" i="1"/>
  <c r="I2502" i="1"/>
  <c r="J2502" i="1" s="1"/>
  <c r="E2502" i="1"/>
  <c r="I2501" i="1"/>
  <c r="J2501" i="1" s="1"/>
  <c r="E2501" i="1"/>
  <c r="I2500" i="1"/>
  <c r="J2500" i="1" s="1"/>
  <c r="E2500" i="1"/>
  <c r="I2499" i="1"/>
  <c r="J2499" i="1" s="1"/>
  <c r="E2499" i="1"/>
  <c r="I2498" i="1"/>
  <c r="J2498" i="1" s="1"/>
  <c r="E2498" i="1"/>
  <c r="I2497" i="1"/>
  <c r="J2497" i="1" s="1"/>
  <c r="E2497" i="1"/>
  <c r="I2496" i="1"/>
  <c r="J2496" i="1" s="1"/>
  <c r="E2496" i="1"/>
  <c r="I2495" i="1"/>
  <c r="J2495" i="1" s="1"/>
  <c r="E2495" i="1"/>
  <c r="I2494" i="1"/>
  <c r="J2494" i="1" s="1"/>
  <c r="E2494" i="1"/>
  <c r="I2493" i="1"/>
  <c r="J2493" i="1" s="1"/>
  <c r="E2493" i="1"/>
  <c r="I2492" i="1"/>
  <c r="J2492" i="1" s="1"/>
  <c r="E2492" i="1"/>
  <c r="I2491" i="1"/>
  <c r="J2491" i="1" s="1"/>
  <c r="E2491" i="1"/>
  <c r="I2490" i="1"/>
  <c r="J2490" i="1" s="1"/>
  <c r="E2490" i="1"/>
  <c r="I2489" i="1"/>
  <c r="J2489" i="1" s="1"/>
  <c r="E2489" i="1"/>
  <c r="I2488" i="1"/>
  <c r="J2488" i="1" s="1"/>
  <c r="E2488" i="1"/>
  <c r="I2487" i="1"/>
  <c r="J2487" i="1" s="1"/>
  <c r="E2487" i="1"/>
  <c r="I2486" i="1"/>
  <c r="J2486" i="1" s="1"/>
  <c r="E2486" i="1"/>
  <c r="I2485" i="1"/>
  <c r="J2485" i="1" s="1"/>
  <c r="E2485" i="1"/>
  <c r="I2484" i="1"/>
  <c r="J2484" i="1" s="1"/>
  <c r="E2484" i="1"/>
  <c r="I2483" i="1"/>
  <c r="J2483" i="1" s="1"/>
  <c r="E2483" i="1"/>
  <c r="I2482" i="1"/>
  <c r="J2482" i="1" s="1"/>
  <c r="E2482" i="1"/>
  <c r="I2481" i="1"/>
  <c r="J2481" i="1" s="1"/>
  <c r="E2481" i="1"/>
  <c r="I2480" i="1"/>
  <c r="J2480" i="1" s="1"/>
  <c r="E2480" i="1"/>
  <c r="I2479" i="1"/>
  <c r="J2479" i="1" s="1"/>
  <c r="E2479" i="1"/>
  <c r="I2478" i="1"/>
  <c r="J2478" i="1" s="1"/>
  <c r="E2478" i="1"/>
  <c r="I2477" i="1"/>
  <c r="J2477" i="1" s="1"/>
  <c r="E2477" i="1"/>
  <c r="I2476" i="1"/>
  <c r="J2476" i="1" s="1"/>
  <c r="E2476" i="1"/>
  <c r="I2475" i="1"/>
  <c r="J2475" i="1" s="1"/>
  <c r="E2475" i="1"/>
  <c r="I2474" i="1"/>
  <c r="J2474" i="1" s="1"/>
  <c r="E2474" i="1"/>
  <c r="I2473" i="1"/>
  <c r="J2473" i="1" s="1"/>
  <c r="E2473" i="1"/>
  <c r="I2472" i="1"/>
  <c r="J2472" i="1" s="1"/>
  <c r="E2472" i="1"/>
  <c r="I2471" i="1"/>
  <c r="J2471" i="1" s="1"/>
  <c r="E2471" i="1"/>
  <c r="I2470" i="1"/>
  <c r="J2470" i="1" s="1"/>
  <c r="E2470" i="1"/>
  <c r="I2469" i="1"/>
  <c r="J2469" i="1" s="1"/>
  <c r="E2469" i="1"/>
  <c r="I2468" i="1"/>
  <c r="J2468" i="1" s="1"/>
  <c r="E2468" i="1"/>
  <c r="I2467" i="1"/>
  <c r="J2467" i="1" s="1"/>
  <c r="E2467" i="1"/>
  <c r="I2466" i="1"/>
  <c r="J2466" i="1" s="1"/>
  <c r="E2466" i="1"/>
  <c r="I2465" i="1"/>
  <c r="J2465" i="1" s="1"/>
  <c r="E2465" i="1"/>
  <c r="I2464" i="1"/>
  <c r="J2464" i="1" s="1"/>
  <c r="E2464" i="1"/>
  <c r="I2463" i="1"/>
  <c r="J2463" i="1" s="1"/>
  <c r="E2463" i="1"/>
  <c r="I2462" i="1"/>
  <c r="J2462" i="1" s="1"/>
  <c r="E2462" i="1"/>
  <c r="I2461" i="1"/>
  <c r="J2461" i="1" s="1"/>
  <c r="E2461" i="1"/>
  <c r="I2460" i="1"/>
  <c r="J2460" i="1" s="1"/>
  <c r="E2460" i="1"/>
  <c r="I2459" i="1"/>
  <c r="J2459" i="1" s="1"/>
  <c r="E2459" i="1"/>
  <c r="I2458" i="1"/>
  <c r="J2458" i="1" s="1"/>
  <c r="E2458" i="1"/>
  <c r="I2457" i="1"/>
  <c r="J2457" i="1" s="1"/>
  <c r="E2457" i="1"/>
  <c r="I2456" i="1"/>
  <c r="J2456" i="1" s="1"/>
  <c r="E2456" i="1"/>
  <c r="I2455" i="1"/>
  <c r="J2455" i="1" s="1"/>
  <c r="E2455" i="1"/>
  <c r="I2454" i="1"/>
  <c r="J2454" i="1" s="1"/>
  <c r="E2454" i="1"/>
  <c r="I2453" i="1"/>
  <c r="J2453" i="1" s="1"/>
  <c r="E2453" i="1"/>
  <c r="I2452" i="1"/>
  <c r="J2452" i="1" s="1"/>
  <c r="E2452" i="1"/>
  <c r="I2451" i="1"/>
  <c r="J2451" i="1" s="1"/>
  <c r="E2451" i="1"/>
  <c r="I2450" i="1"/>
  <c r="J2450" i="1" s="1"/>
  <c r="E2450" i="1"/>
  <c r="I2449" i="1"/>
  <c r="J2449" i="1" s="1"/>
  <c r="E2449" i="1"/>
  <c r="I2448" i="1"/>
  <c r="J2448" i="1" s="1"/>
  <c r="E2448" i="1"/>
  <c r="I2447" i="1"/>
  <c r="J2447" i="1" s="1"/>
  <c r="E2447" i="1"/>
  <c r="I2446" i="1"/>
  <c r="J2446" i="1" s="1"/>
  <c r="E2446" i="1"/>
  <c r="I2445" i="1"/>
  <c r="J2445" i="1" s="1"/>
  <c r="E2445" i="1"/>
  <c r="I2444" i="1"/>
  <c r="J2444" i="1" s="1"/>
  <c r="E2444" i="1"/>
  <c r="I2443" i="1"/>
  <c r="J2443" i="1" s="1"/>
  <c r="E2443" i="1"/>
  <c r="I2442" i="1"/>
  <c r="J2442" i="1" s="1"/>
  <c r="E2442" i="1"/>
  <c r="I2441" i="1"/>
  <c r="J2441" i="1" s="1"/>
  <c r="E2441" i="1"/>
  <c r="I2440" i="1"/>
  <c r="J2440" i="1" s="1"/>
  <c r="E2440" i="1"/>
  <c r="I2439" i="1"/>
  <c r="J2439" i="1" s="1"/>
  <c r="E2439" i="1"/>
  <c r="I2438" i="1"/>
  <c r="J2438" i="1" s="1"/>
  <c r="E2438" i="1"/>
  <c r="I2437" i="1"/>
  <c r="J2437" i="1" s="1"/>
  <c r="E2437" i="1"/>
  <c r="I2436" i="1"/>
  <c r="J2436" i="1" s="1"/>
  <c r="E2436" i="1"/>
  <c r="I2435" i="1"/>
  <c r="J2435" i="1" s="1"/>
  <c r="E2435" i="1"/>
  <c r="I2434" i="1"/>
  <c r="J2434" i="1" s="1"/>
  <c r="E2434" i="1"/>
  <c r="I2433" i="1"/>
  <c r="J2433" i="1" s="1"/>
  <c r="E2433" i="1"/>
  <c r="I2432" i="1"/>
  <c r="J2432" i="1" s="1"/>
  <c r="E2432" i="1"/>
  <c r="I2431" i="1"/>
  <c r="J2431" i="1" s="1"/>
  <c r="E2431" i="1"/>
  <c r="I2430" i="1"/>
  <c r="J2430" i="1" s="1"/>
  <c r="E2430" i="1"/>
  <c r="I2429" i="1"/>
  <c r="J2429" i="1" s="1"/>
  <c r="E2429" i="1"/>
  <c r="I2428" i="1"/>
  <c r="J2428" i="1" s="1"/>
  <c r="E2428" i="1"/>
  <c r="I2427" i="1"/>
  <c r="J2427" i="1" s="1"/>
  <c r="E2427" i="1"/>
  <c r="I2426" i="1"/>
  <c r="J2426" i="1" s="1"/>
  <c r="E2426" i="1"/>
  <c r="I2425" i="1"/>
  <c r="J2425" i="1" s="1"/>
  <c r="E2425" i="1"/>
  <c r="I2424" i="1"/>
  <c r="J2424" i="1" s="1"/>
  <c r="E2424" i="1"/>
  <c r="I2423" i="1"/>
  <c r="J2423" i="1" s="1"/>
  <c r="E2423" i="1"/>
  <c r="I2422" i="1"/>
  <c r="J2422" i="1" s="1"/>
  <c r="E2422" i="1"/>
  <c r="I2421" i="1"/>
  <c r="J2421" i="1" s="1"/>
  <c r="E2421" i="1"/>
  <c r="I2420" i="1"/>
  <c r="J2420" i="1" s="1"/>
  <c r="E2420" i="1"/>
  <c r="I2419" i="1"/>
  <c r="J2419" i="1" s="1"/>
  <c r="E2419" i="1"/>
  <c r="I2418" i="1"/>
  <c r="J2418" i="1" s="1"/>
  <c r="E2418" i="1"/>
  <c r="I2417" i="1"/>
  <c r="J2417" i="1" s="1"/>
  <c r="E2417" i="1"/>
  <c r="I2416" i="1"/>
  <c r="J2416" i="1" s="1"/>
  <c r="E2416" i="1"/>
  <c r="I2415" i="1"/>
  <c r="J2415" i="1" s="1"/>
  <c r="E2415" i="1"/>
  <c r="I2414" i="1"/>
  <c r="J2414" i="1" s="1"/>
  <c r="E2414" i="1"/>
  <c r="I2413" i="1"/>
  <c r="J2413" i="1" s="1"/>
  <c r="E2413" i="1"/>
  <c r="I2412" i="1"/>
  <c r="J2412" i="1" s="1"/>
  <c r="E2412" i="1"/>
  <c r="I2411" i="1"/>
  <c r="J2411" i="1" s="1"/>
  <c r="E2411" i="1"/>
  <c r="I2410" i="1"/>
  <c r="J2410" i="1" s="1"/>
  <c r="E2410" i="1"/>
  <c r="I2409" i="1"/>
  <c r="J2409" i="1" s="1"/>
  <c r="E2409" i="1"/>
  <c r="I2408" i="1"/>
  <c r="J2408" i="1" s="1"/>
  <c r="E2408" i="1"/>
  <c r="I2407" i="1"/>
  <c r="J2407" i="1" s="1"/>
  <c r="E2407" i="1"/>
  <c r="I2406" i="1"/>
  <c r="J2406" i="1" s="1"/>
  <c r="E2406" i="1"/>
  <c r="I2405" i="1"/>
  <c r="J2405" i="1" s="1"/>
  <c r="E2405" i="1"/>
  <c r="I2404" i="1"/>
  <c r="J2404" i="1" s="1"/>
  <c r="E2404" i="1"/>
  <c r="I2403" i="1"/>
  <c r="J2403" i="1" s="1"/>
  <c r="E2403" i="1"/>
  <c r="I2402" i="1"/>
  <c r="J2402" i="1" s="1"/>
  <c r="E2402" i="1"/>
  <c r="I2401" i="1"/>
  <c r="J2401" i="1" s="1"/>
  <c r="E2401" i="1"/>
  <c r="I2400" i="1"/>
  <c r="J2400" i="1" s="1"/>
  <c r="E2400" i="1"/>
  <c r="I2399" i="1"/>
  <c r="J2399" i="1" s="1"/>
  <c r="E2399" i="1"/>
  <c r="I2398" i="1"/>
  <c r="J2398" i="1" s="1"/>
  <c r="E2398" i="1"/>
  <c r="I2397" i="1"/>
  <c r="J2397" i="1" s="1"/>
  <c r="E2397" i="1"/>
  <c r="I2396" i="1"/>
  <c r="J2396" i="1" s="1"/>
  <c r="E2396" i="1"/>
  <c r="I2395" i="1"/>
  <c r="J2395" i="1" s="1"/>
  <c r="E2395" i="1"/>
  <c r="I2394" i="1"/>
  <c r="J2394" i="1" s="1"/>
  <c r="E2394" i="1"/>
  <c r="I2393" i="1"/>
  <c r="J2393" i="1" s="1"/>
  <c r="E2393" i="1"/>
  <c r="I2392" i="1"/>
  <c r="J2392" i="1" s="1"/>
  <c r="E2392" i="1"/>
  <c r="I2391" i="1"/>
  <c r="J2391" i="1" s="1"/>
  <c r="E2391" i="1"/>
  <c r="I2390" i="1"/>
  <c r="J2390" i="1" s="1"/>
  <c r="E2390" i="1"/>
  <c r="I2389" i="1"/>
  <c r="J2389" i="1" s="1"/>
  <c r="E2389" i="1"/>
  <c r="I2388" i="1"/>
  <c r="J2388" i="1" s="1"/>
  <c r="E2388" i="1"/>
  <c r="I2387" i="1"/>
  <c r="J2387" i="1" s="1"/>
  <c r="E2387" i="1"/>
  <c r="I2386" i="1"/>
  <c r="J2386" i="1" s="1"/>
  <c r="E2386" i="1"/>
  <c r="I2385" i="1"/>
  <c r="J2385" i="1" s="1"/>
  <c r="E2385" i="1"/>
  <c r="I2384" i="1"/>
  <c r="J2384" i="1" s="1"/>
  <c r="E2384" i="1"/>
  <c r="I2383" i="1"/>
  <c r="J2383" i="1" s="1"/>
  <c r="E2383" i="1"/>
  <c r="I2382" i="1"/>
  <c r="J2382" i="1" s="1"/>
  <c r="E2382" i="1"/>
  <c r="I2381" i="1"/>
  <c r="J2381" i="1" s="1"/>
  <c r="E2381" i="1"/>
  <c r="I2380" i="1"/>
  <c r="J2380" i="1" s="1"/>
  <c r="E2380" i="1"/>
  <c r="I2379" i="1"/>
  <c r="J2379" i="1" s="1"/>
  <c r="E2379" i="1"/>
  <c r="I2378" i="1"/>
  <c r="J2378" i="1" s="1"/>
  <c r="E2378" i="1"/>
  <c r="I2377" i="1"/>
  <c r="J2377" i="1" s="1"/>
  <c r="E2377" i="1"/>
  <c r="I2376" i="1"/>
  <c r="J2376" i="1" s="1"/>
  <c r="E2376" i="1"/>
  <c r="I2375" i="1"/>
  <c r="J2375" i="1" s="1"/>
  <c r="E2375" i="1"/>
  <c r="I2374" i="1"/>
  <c r="J2374" i="1" s="1"/>
  <c r="E2374" i="1"/>
  <c r="I2373" i="1"/>
  <c r="J2373" i="1" s="1"/>
  <c r="E2373" i="1"/>
  <c r="I2372" i="1"/>
  <c r="J2372" i="1" s="1"/>
  <c r="E2372" i="1"/>
  <c r="I2371" i="1"/>
  <c r="J2371" i="1" s="1"/>
  <c r="E2371" i="1"/>
  <c r="I2370" i="1"/>
  <c r="J2370" i="1" s="1"/>
  <c r="E2370" i="1"/>
  <c r="I2369" i="1"/>
  <c r="J2369" i="1" s="1"/>
  <c r="E2369" i="1"/>
  <c r="I2368" i="1"/>
  <c r="J2368" i="1" s="1"/>
  <c r="E2368" i="1"/>
  <c r="I2367" i="1"/>
  <c r="J2367" i="1" s="1"/>
  <c r="E2367" i="1"/>
  <c r="I2366" i="1"/>
  <c r="J2366" i="1" s="1"/>
  <c r="E2366" i="1"/>
  <c r="I2365" i="1"/>
  <c r="J2365" i="1" s="1"/>
  <c r="E2365" i="1"/>
  <c r="I2364" i="1"/>
  <c r="J2364" i="1" s="1"/>
  <c r="E2364" i="1"/>
  <c r="I2363" i="1"/>
  <c r="J2363" i="1" s="1"/>
  <c r="E2363" i="1"/>
  <c r="I2362" i="1"/>
  <c r="J2362" i="1" s="1"/>
  <c r="E2362" i="1"/>
  <c r="I2361" i="1"/>
  <c r="J2361" i="1" s="1"/>
  <c r="E2361" i="1"/>
  <c r="I2360" i="1"/>
  <c r="J2360" i="1" s="1"/>
  <c r="E2360" i="1"/>
  <c r="I2359" i="1"/>
  <c r="J2359" i="1" s="1"/>
  <c r="E2359" i="1"/>
  <c r="I2358" i="1"/>
  <c r="J2358" i="1" s="1"/>
  <c r="E2358" i="1"/>
  <c r="I2357" i="1"/>
  <c r="J2357" i="1" s="1"/>
  <c r="E2357" i="1"/>
  <c r="I2356" i="1"/>
  <c r="J2356" i="1" s="1"/>
  <c r="E2356" i="1"/>
  <c r="I2355" i="1"/>
  <c r="J2355" i="1" s="1"/>
  <c r="E2355" i="1"/>
  <c r="I2354" i="1"/>
  <c r="J2354" i="1" s="1"/>
  <c r="E2354" i="1"/>
  <c r="I2353" i="1"/>
  <c r="J2353" i="1" s="1"/>
  <c r="E2353" i="1"/>
  <c r="I2352" i="1"/>
  <c r="J2352" i="1" s="1"/>
  <c r="E2352" i="1"/>
  <c r="I2351" i="1"/>
  <c r="J2351" i="1" s="1"/>
  <c r="E2351" i="1"/>
  <c r="I2350" i="1"/>
  <c r="J2350" i="1" s="1"/>
  <c r="E2350" i="1"/>
  <c r="I2349" i="1"/>
  <c r="J2349" i="1" s="1"/>
  <c r="E2349" i="1"/>
  <c r="I2348" i="1"/>
  <c r="J2348" i="1" s="1"/>
  <c r="E2348" i="1"/>
  <c r="I2347" i="1"/>
  <c r="J2347" i="1" s="1"/>
  <c r="E2347" i="1"/>
  <c r="I2346" i="1"/>
  <c r="J2346" i="1" s="1"/>
  <c r="E2346" i="1"/>
  <c r="I2345" i="1"/>
  <c r="J2345" i="1" s="1"/>
  <c r="E2345" i="1"/>
  <c r="I2344" i="1"/>
  <c r="J2344" i="1" s="1"/>
  <c r="E2344" i="1"/>
  <c r="I2343" i="1"/>
  <c r="J2343" i="1" s="1"/>
  <c r="E2343" i="1"/>
  <c r="I2342" i="1"/>
  <c r="J2342" i="1" s="1"/>
  <c r="E2342" i="1"/>
  <c r="I2341" i="1"/>
  <c r="J2341" i="1" s="1"/>
  <c r="E2341" i="1"/>
  <c r="I2340" i="1"/>
  <c r="J2340" i="1" s="1"/>
  <c r="E2340" i="1"/>
  <c r="I2339" i="1"/>
  <c r="J2339" i="1" s="1"/>
  <c r="E2339" i="1"/>
  <c r="I2338" i="1"/>
  <c r="J2338" i="1" s="1"/>
  <c r="E2338" i="1"/>
  <c r="I2337" i="1"/>
  <c r="J2337" i="1" s="1"/>
  <c r="E2337" i="1"/>
  <c r="I2336" i="1"/>
  <c r="J2336" i="1" s="1"/>
  <c r="E2336" i="1"/>
  <c r="I2335" i="1"/>
  <c r="J2335" i="1" s="1"/>
  <c r="E2335" i="1"/>
  <c r="I2334" i="1"/>
  <c r="J2334" i="1" s="1"/>
  <c r="E2334" i="1"/>
  <c r="I2333" i="1"/>
  <c r="J2333" i="1" s="1"/>
  <c r="E2333" i="1"/>
  <c r="I2332" i="1"/>
  <c r="J2332" i="1" s="1"/>
  <c r="E2332" i="1"/>
  <c r="I2331" i="1"/>
  <c r="J2331" i="1" s="1"/>
  <c r="E2331" i="1"/>
  <c r="I2330" i="1"/>
  <c r="J2330" i="1" s="1"/>
  <c r="E2330" i="1"/>
  <c r="I2329" i="1"/>
  <c r="J2329" i="1" s="1"/>
  <c r="E2329" i="1"/>
  <c r="I2328" i="1"/>
  <c r="J2328" i="1" s="1"/>
  <c r="E2328" i="1"/>
  <c r="I2327" i="1"/>
  <c r="J2327" i="1" s="1"/>
  <c r="E2327" i="1"/>
  <c r="I2326" i="1"/>
  <c r="J2326" i="1" s="1"/>
  <c r="E2326" i="1"/>
  <c r="I2325" i="1"/>
  <c r="J2325" i="1" s="1"/>
  <c r="E2325" i="1"/>
  <c r="I2324" i="1"/>
  <c r="J2324" i="1" s="1"/>
  <c r="E2324" i="1"/>
  <c r="I2323" i="1"/>
  <c r="J2323" i="1" s="1"/>
  <c r="E2323" i="1"/>
  <c r="I2322" i="1"/>
  <c r="J2322" i="1" s="1"/>
  <c r="E2322" i="1"/>
  <c r="I2321" i="1"/>
  <c r="J2321" i="1" s="1"/>
  <c r="E2321" i="1"/>
  <c r="I2320" i="1"/>
  <c r="J2320" i="1" s="1"/>
  <c r="E2320" i="1"/>
  <c r="I2319" i="1"/>
  <c r="J2319" i="1" s="1"/>
  <c r="E2319" i="1"/>
  <c r="I2318" i="1"/>
  <c r="J2318" i="1" s="1"/>
  <c r="E2318" i="1"/>
  <c r="I2317" i="1"/>
  <c r="J2317" i="1" s="1"/>
  <c r="E2317" i="1"/>
  <c r="I2316" i="1"/>
  <c r="J2316" i="1" s="1"/>
  <c r="E2316" i="1"/>
  <c r="I2315" i="1"/>
  <c r="J2315" i="1" s="1"/>
  <c r="E2315" i="1"/>
  <c r="I2314" i="1"/>
  <c r="J2314" i="1" s="1"/>
  <c r="E2314" i="1"/>
  <c r="I2313" i="1"/>
  <c r="J2313" i="1" s="1"/>
  <c r="E2313" i="1"/>
  <c r="I2312" i="1"/>
  <c r="J2312" i="1" s="1"/>
  <c r="E2312" i="1"/>
  <c r="I2311" i="1"/>
  <c r="J2311" i="1" s="1"/>
  <c r="E2311" i="1"/>
  <c r="I2310" i="1"/>
  <c r="J2310" i="1" s="1"/>
  <c r="E2310" i="1"/>
  <c r="I2309" i="1"/>
  <c r="J2309" i="1" s="1"/>
  <c r="E2309" i="1"/>
  <c r="I2308" i="1"/>
  <c r="J2308" i="1" s="1"/>
  <c r="E2308" i="1"/>
  <c r="I2307" i="1"/>
  <c r="J2307" i="1" s="1"/>
  <c r="E2307" i="1"/>
  <c r="I2306" i="1"/>
  <c r="J2306" i="1" s="1"/>
  <c r="E2306" i="1"/>
  <c r="I2305" i="1"/>
  <c r="J2305" i="1" s="1"/>
  <c r="E2305" i="1"/>
  <c r="I2304" i="1"/>
  <c r="J2304" i="1" s="1"/>
  <c r="E2304" i="1"/>
  <c r="I2303" i="1"/>
  <c r="J2303" i="1" s="1"/>
  <c r="E2303" i="1"/>
  <c r="I2302" i="1"/>
  <c r="J2302" i="1" s="1"/>
  <c r="E2302" i="1"/>
  <c r="I2301" i="1"/>
  <c r="J2301" i="1" s="1"/>
  <c r="E2301" i="1"/>
  <c r="I2300" i="1"/>
  <c r="J2300" i="1" s="1"/>
  <c r="E2300" i="1"/>
  <c r="I2299" i="1"/>
  <c r="J2299" i="1" s="1"/>
  <c r="E2299" i="1"/>
  <c r="I2298" i="1"/>
  <c r="J2298" i="1" s="1"/>
  <c r="E2298" i="1"/>
  <c r="I2297" i="1"/>
  <c r="J2297" i="1" s="1"/>
  <c r="E2297" i="1"/>
  <c r="I2296" i="1"/>
  <c r="J2296" i="1" s="1"/>
  <c r="E2296" i="1"/>
  <c r="I2295" i="1"/>
  <c r="J2295" i="1" s="1"/>
  <c r="E2295" i="1"/>
  <c r="I2294" i="1"/>
  <c r="J2294" i="1" s="1"/>
  <c r="E2294" i="1"/>
  <c r="I2293" i="1"/>
  <c r="J2293" i="1" s="1"/>
  <c r="E2293" i="1"/>
  <c r="I2292" i="1"/>
  <c r="J2292" i="1" s="1"/>
  <c r="E2292" i="1"/>
  <c r="I2291" i="1"/>
  <c r="J2291" i="1" s="1"/>
  <c r="E2291" i="1"/>
  <c r="I2290" i="1"/>
  <c r="J2290" i="1" s="1"/>
  <c r="E2290" i="1"/>
  <c r="I2289" i="1"/>
  <c r="J2289" i="1" s="1"/>
  <c r="E2289" i="1"/>
  <c r="I2288" i="1"/>
  <c r="J2288" i="1" s="1"/>
  <c r="E2288" i="1"/>
  <c r="I2287" i="1"/>
  <c r="J2287" i="1" s="1"/>
  <c r="E2287" i="1"/>
  <c r="I2286" i="1"/>
  <c r="J2286" i="1" s="1"/>
  <c r="E2286" i="1"/>
  <c r="I2285" i="1"/>
  <c r="J2285" i="1" s="1"/>
  <c r="E2285" i="1"/>
  <c r="I2284" i="1"/>
  <c r="J2284" i="1" s="1"/>
  <c r="E2284" i="1"/>
  <c r="I2283" i="1"/>
  <c r="J2283" i="1" s="1"/>
  <c r="E2283" i="1"/>
  <c r="I2282" i="1"/>
  <c r="J2282" i="1" s="1"/>
  <c r="E2282" i="1"/>
  <c r="I2281" i="1"/>
  <c r="J2281" i="1" s="1"/>
  <c r="E2281" i="1"/>
  <c r="I2280" i="1"/>
  <c r="J2280" i="1" s="1"/>
  <c r="E2280" i="1"/>
  <c r="I2279" i="1"/>
  <c r="J2279" i="1" s="1"/>
  <c r="E2279" i="1"/>
  <c r="I2278" i="1"/>
  <c r="J2278" i="1" s="1"/>
  <c r="E2278" i="1"/>
  <c r="I2277" i="1"/>
  <c r="J2277" i="1" s="1"/>
  <c r="E2277" i="1"/>
  <c r="I2276" i="1"/>
  <c r="J2276" i="1" s="1"/>
  <c r="E2276" i="1"/>
  <c r="I2275" i="1"/>
  <c r="J2275" i="1" s="1"/>
  <c r="E2275" i="1"/>
  <c r="I2274" i="1"/>
  <c r="J2274" i="1" s="1"/>
  <c r="E2274" i="1"/>
  <c r="I2273" i="1"/>
  <c r="J2273" i="1" s="1"/>
  <c r="E2273" i="1"/>
  <c r="I2272" i="1"/>
  <c r="J2272" i="1" s="1"/>
  <c r="E2272" i="1"/>
  <c r="I2271" i="1"/>
  <c r="J2271" i="1" s="1"/>
  <c r="E2271" i="1"/>
  <c r="I2270" i="1"/>
  <c r="J2270" i="1" s="1"/>
  <c r="E2270" i="1"/>
  <c r="I2269" i="1"/>
  <c r="J2269" i="1" s="1"/>
  <c r="E2269" i="1"/>
  <c r="I2268" i="1"/>
  <c r="J2268" i="1" s="1"/>
  <c r="E2268" i="1"/>
  <c r="I2267" i="1"/>
  <c r="J2267" i="1" s="1"/>
  <c r="E2267" i="1"/>
  <c r="I2266" i="1"/>
  <c r="J2266" i="1" s="1"/>
  <c r="E2266" i="1"/>
  <c r="I2265" i="1"/>
  <c r="J2265" i="1" s="1"/>
  <c r="E2265" i="1"/>
  <c r="I2264" i="1"/>
  <c r="J2264" i="1" s="1"/>
  <c r="E2264" i="1"/>
  <c r="I2263" i="1"/>
  <c r="J2263" i="1" s="1"/>
  <c r="E2263" i="1"/>
  <c r="I2262" i="1"/>
  <c r="J2262" i="1" s="1"/>
  <c r="E2262" i="1"/>
  <c r="I2261" i="1"/>
  <c r="J2261" i="1" s="1"/>
  <c r="E2261" i="1"/>
  <c r="I2260" i="1"/>
  <c r="J2260" i="1" s="1"/>
  <c r="E2260" i="1"/>
  <c r="I2259" i="1"/>
  <c r="J2259" i="1" s="1"/>
  <c r="E2259" i="1"/>
  <c r="I2258" i="1"/>
  <c r="J2258" i="1" s="1"/>
  <c r="E2258" i="1"/>
  <c r="I2257" i="1"/>
  <c r="J2257" i="1" s="1"/>
  <c r="E2257" i="1"/>
  <c r="I2256" i="1"/>
  <c r="J2256" i="1" s="1"/>
  <c r="E2256" i="1"/>
  <c r="I2255" i="1"/>
  <c r="J2255" i="1" s="1"/>
  <c r="E2255" i="1"/>
  <c r="I2254" i="1"/>
  <c r="J2254" i="1" s="1"/>
  <c r="E2254" i="1"/>
  <c r="I2253" i="1"/>
  <c r="J2253" i="1" s="1"/>
  <c r="E2253" i="1"/>
  <c r="I2252" i="1"/>
  <c r="J2252" i="1" s="1"/>
  <c r="E2252" i="1"/>
  <c r="I2251" i="1"/>
  <c r="J2251" i="1" s="1"/>
  <c r="E2251" i="1"/>
  <c r="I2250" i="1"/>
  <c r="J2250" i="1" s="1"/>
  <c r="E2250" i="1"/>
  <c r="I2249" i="1"/>
  <c r="J2249" i="1" s="1"/>
  <c r="E2249" i="1"/>
  <c r="I2248" i="1"/>
  <c r="J2248" i="1" s="1"/>
  <c r="E2248" i="1"/>
  <c r="I2247" i="1"/>
  <c r="J2247" i="1" s="1"/>
  <c r="E2247" i="1"/>
  <c r="I2246" i="1"/>
  <c r="J2246" i="1" s="1"/>
  <c r="E2246" i="1"/>
  <c r="I2245" i="1"/>
  <c r="J2245" i="1" s="1"/>
  <c r="E2245" i="1"/>
  <c r="I2244" i="1"/>
  <c r="J2244" i="1" s="1"/>
  <c r="E2244" i="1"/>
  <c r="I2243" i="1"/>
  <c r="J2243" i="1" s="1"/>
  <c r="E2243" i="1"/>
  <c r="I2242" i="1"/>
  <c r="J2242" i="1" s="1"/>
  <c r="E2242" i="1"/>
  <c r="I2241" i="1"/>
  <c r="J2241" i="1" s="1"/>
  <c r="E2241" i="1"/>
  <c r="I2240" i="1"/>
  <c r="J2240" i="1" s="1"/>
  <c r="E2240" i="1"/>
  <c r="I2239" i="1"/>
  <c r="J2239" i="1" s="1"/>
  <c r="E2239" i="1"/>
  <c r="I2238" i="1"/>
  <c r="J2238" i="1" s="1"/>
  <c r="E2238" i="1"/>
  <c r="I2237" i="1"/>
  <c r="J2237" i="1" s="1"/>
  <c r="E2237" i="1"/>
  <c r="I2236" i="1"/>
  <c r="J2236" i="1" s="1"/>
  <c r="E2236" i="1"/>
  <c r="I2235" i="1"/>
  <c r="J2235" i="1" s="1"/>
  <c r="E2235" i="1"/>
  <c r="I2234" i="1"/>
  <c r="J2234" i="1" s="1"/>
  <c r="E2234" i="1"/>
  <c r="I2233" i="1"/>
  <c r="J2233" i="1" s="1"/>
  <c r="E2233" i="1"/>
  <c r="I2232" i="1"/>
  <c r="J2232" i="1" s="1"/>
  <c r="E2232" i="1"/>
  <c r="I2231" i="1"/>
  <c r="J2231" i="1" s="1"/>
  <c r="E2231" i="1"/>
  <c r="I2230" i="1"/>
  <c r="J2230" i="1" s="1"/>
  <c r="E2230" i="1"/>
  <c r="I2229" i="1"/>
  <c r="J2229" i="1" s="1"/>
  <c r="E2229" i="1"/>
  <c r="I2228" i="1"/>
  <c r="J2228" i="1" s="1"/>
  <c r="E2228" i="1"/>
  <c r="I2227" i="1"/>
  <c r="J2227" i="1" s="1"/>
  <c r="E2227" i="1"/>
  <c r="I2226" i="1"/>
  <c r="J2226" i="1" s="1"/>
  <c r="E2226" i="1"/>
  <c r="I2225" i="1"/>
  <c r="J2225" i="1" s="1"/>
  <c r="E2225" i="1"/>
  <c r="I2224" i="1"/>
  <c r="J2224" i="1" s="1"/>
  <c r="E2224" i="1"/>
  <c r="I2223" i="1"/>
  <c r="J2223" i="1" s="1"/>
  <c r="E2223" i="1"/>
  <c r="I2222" i="1"/>
  <c r="J2222" i="1" s="1"/>
  <c r="E2222" i="1"/>
  <c r="I2221" i="1"/>
  <c r="J2221" i="1" s="1"/>
  <c r="E2221" i="1"/>
  <c r="I2220" i="1"/>
  <c r="J2220" i="1" s="1"/>
  <c r="E2220" i="1"/>
  <c r="I2219" i="1"/>
  <c r="J2219" i="1" s="1"/>
  <c r="E2219" i="1"/>
  <c r="I2218" i="1"/>
  <c r="J2218" i="1" s="1"/>
  <c r="E2218" i="1"/>
  <c r="I2217" i="1"/>
  <c r="J2217" i="1" s="1"/>
  <c r="E2217" i="1"/>
  <c r="I2216" i="1"/>
  <c r="J2216" i="1" s="1"/>
  <c r="E2216" i="1"/>
  <c r="I2215" i="1"/>
  <c r="J2215" i="1" s="1"/>
  <c r="E2215" i="1"/>
  <c r="I2214" i="1"/>
  <c r="J2214" i="1" s="1"/>
  <c r="E2214" i="1"/>
  <c r="I2213" i="1"/>
  <c r="J2213" i="1" s="1"/>
  <c r="E2213" i="1"/>
  <c r="I2212" i="1"/>
  <c r="J2212" i="1" s="1"/>
  <c r="E2212" i="1"/>
  <c r="I2211" i="1"/>
  <c r="J2211" i="1" s="1"/>
  <c r="E2211" i="1"/>
  <c r="I2210" i="1"/>
  <c r="J2210" i="1" s="1"/>
  <c r="E2210" i="1"/>
  <c r="I2209" i="1"/>
  <c r="J2209" i="1" s="1"/>
  <c r="E2209" i="1"/>
  <c r="I2208" i="1"/>
  <c r="J2208" i="1" s="1"/>
  <c r="E2208" i="1"/>
  <c r="I2207" i="1"/>
  <c r="J2207" i="1" s="1"/>
  <c r="E2207" i="1"/>
  <c r="I2206" i="1"/>
  <c r="J2206" i="1" s="1"/>
  <c r="E2206" i="1"/>
  <c r="I2205" i="1"/>
  <c r="J2205" i="1" s="1"/>
  <c r="E2205" i="1"/>
  <c r="I2204" i="1"/>
  <c r="J2204" i="1" s="1"/>
  <c r="E2204" i="1"/>
  <c r="I2203" i="1"/>
  <c r="J2203" i="1" s="1"/>
  <c r="E2203" i="1"/>
  <c r="I2202" i="1"/>
  <c r="J2202" i="1" s="1"/>
  <c r="E2202" i="1"/>
  <c r="I2201" i="1"/>
  <c r="J2201" i="1" s="1"/>
  <c r="E2201" i="1"/>
  <c r="I2200" i="1"/>
  <c r="J2200" i="1" s="1"/>
  <c r="E2200" i="1"/>
  <c r="I2199" i="1"/>
  <c r="J2199" i="1" s="1"/>
  <c r="E2199" i="1"/>
  <c r="I2198" i="1"/>
  <c r="J2198" i="1" s="1"/>
  <c r="E2198" i="1"/>
  <c r="I2197" i="1"/>
  <c r="J2197" i="1" s="1"/>
  <c r="E2197" i="1"/>
  <c r="I2196" i="1"/>
  <c r="J2196" i="1" s="1"/>
  <c r="E2196" i="1"/>
  <c r="I2195" i="1"/>
  <c r="J2195" i="1" s="1"/>
  <c r="E2195" i="1"/>
  <c r="I2194" i="1"/>
  <c r="J2194" i="1" s="1"/>
  <c r="E2194" i="1"/>
  <c r="I2193" i="1"/>
  <c r="J2193" i="1" s="1"/>
  <c r="E2193" i="1"/>
  <c r="I2192" i="1"/>
  <c r="J2192" i="1" s="1"/>
  <c r="E2192" i="1"/>
  <c r="I2191" i="1"/>
  <c r="J2191" i="1" s="1"/>
  <c r="E2191" i="1"/>
  <c r="I2190" i="1"/>
  <c r="J2190" i="1" s="1"/>
  <c r="E2190" i="1"/>
  <c r="I2189" i="1"/>
  <c r="J2189" i="1" s="1"/>
  <c r="E2189" i="1"/>
  <c r="I2188" i="1"/>
  <c r="J2188" i="1" s="1"/>
  <c r="E2188" i="1"/>
  <c r="I2187" i="1"/>
  <c r="J2187" i="1" s="1"/>
  <c r="E2187" i="1"/>
  <c r="I2186" i="1"/>
  <c r="J2186" i="1" s="1"/>
  <c r="E2186" i="1"/>
  <c r="I2185" i="1"/>
  <c r="J2185" i="1" s="1"/>
  <c r="E2185" i="1"/>
  <c r="I2184" i="1"/>
  <c r="J2184" i="1" s="1"/>
  <c r="E2184" i="1"/>
  <c r="I2183" i="1"/>
  <c r="J2183" i="1" s="1"/>
  <c r="E2183" i="1"/>
  <c r="I2182" i="1"/>
  <c r="J2182" i="1" s="1"/>
  <c r="E2182" i="1"/>
  <c r="I2181" i="1"/>
  <c r="J2181" i="1" s="1"/>
  <c r="E2181" i="1"/>
  <c r="I2180" i="1"/>
  <c r="J2180" i="1" s="1"/>
  <c r="E2180" i="1"/>
  <c r="I2179" i="1"/>
  <c r="J2179" i="1" s="1"/>
  <c r="E2179" i="1"/>
  <c r="I2178" i="1"/>
  <c r="J2178" i="1" s="1"/>
  <c r="E2178" i="1"/>
  <c r="I2177" i="1"/>
  <c r="J2177" i="1" s="1"/>
  <c r="E2177" i="1"/>
  <c r="I2176" i="1"/>
  <c r="J2176" i="1" s="1"/>
  <c r="E2176" i="1"/>
  <c r="I2175" i="1"/>
  <c r="J2175" i="1" s="1"/>
  <c r="E2175" i="1"/>
  <c r="I2174" i="1"/>
  <c r="J2174" i="1" s="1"/>
  <c r="E2174" i="1"/>
  <c r="I2173" i="1"/>
  <c r="J2173" i="1" s="1"/>
  <c r="E2173" i="1"/>
  <c r="I2172" i="1"/>
  <c r="J2172" i="1" s="1"/>
  <c r="E2172" i="1"/>
  <c r="I2171" i="1"/>
  <c r="J2171" i="1" s="1"/>
  <c r="E2171" i="1"/>
  <c r="I2170" i="1"/>
  <c r="J2170" i="1" s="1"/>
  <c r="E2170" i="1"/>
  <c r="I2169" i="1"/>
  <c r="J2169" i="1" s="1"/>
  <c r="E2169" i="1"/>
  <c r="I2168" i="1"/>
  <c r="J2168" i="1" s="1"/>
  <c r="E2168" i="1"/>
  <c r="I2167" i="1"/>
  <c r="J2167" i="1" s="1"/>
  <c r="E2167" i="1"/>
  <c r="I2166" i="1"/>
  <c r="J2166" i="1" s="1"/>
  <c r="E2166" i="1"/>
  <c r="I2165" i="1"/>
  <c r="J2165" i="1" s="1"/>
  <c r="E2165" i="1"/>
  <c r="I2164" i="1"/>
  <c r="J2164" i="1" s="1"/>
  <c r="E2164" i="1"/>
  <c r="I2163" i="1"/>
  <c r="J2163" i="1" s="1"/>
  <c r="E2163" i="1"/>
  <c r="I2162" i="1"/>
  <c r="J2162" i="1" s="1"/>
  <c r="E2162" i="1"/>
  <c r="I2161" i="1"/>
  <c r="J2161" i="1" s="1"/>
  <c r="E2161" i="1"/>
  <c r="I2160" i="1"/>
  <c r="J2160" i="1" s="1"/>
  <c r="E2160" i="1"/>
  <c r="I2159" i="1"/>
  <c r="J2159" i="1" s="1"/>
  <c r="E2159" i="1"/>
  <c r="I2158" i="1"/>
  <c r="J2158" i="1" s="1"/>
  <c r="E2158" i="1"/>
  <c r="I2157" i="1"/>
  <c r="J2157" i="1" s="1"/>
  <c r="E2157" i="1"/>
  <c r="I2156" i="1"/>
  <c r="J2156" i="1" s="1"/>
  <c r="E2156" i="1"/>
  <c r="I2155" i="1"/>
  <c r="J2155" i="1" s="1"/>
  <c r="E2155" i="1"/>
  <c r="I2154" i="1"/>
  <c r="J2154" i="1" s="1"/>
  <c r="E2154" i="1"/>
  <c r="I2153" i="1"/>
  <c r="J2153" i="1" s="1"/>
  <c r="E2153" i="1"/>
  <c r="I2152" i="1"/>
  <c r="J2152" i="1" s="1"/>
  <c r="E2152" i="1"/>
  <c r="I2151" i="1"/>
  <c r="J2151" i="1" s="1"/>
  <c r="E2151" i="1"/>
  <c r="I2150" i="1"/>
  <c r="J2150" i="1" s="1"/>
  <c r="E2150" i="1"/>
  <c r="I2149" i="1"/>
  <c r="J2149" i="1" s="1"/>
  <c r="E2149" i="1"/>
  <c r="I2148" i="1"/>
  <c r="J2148" i="1" s="1"/>
  <c r="E2148" i="1"/>
  <c r="I2147" i="1"/>
  <c r="J2147" i="1" s="1"/>
  <c r="E2147" i="1"/>
  <c r="I2146" i="1"/>
  <c r="J2146" i="1" s="1"/>
  <c r="E2146" i="1"/>
  <c r="I2145" i="1"/>
  <c r="J2145" i="1" s="1"/>
  <c r="E2145" i="1"/>
  <c r="I2144" i="1"/>
  <c r="J2144" i="1" s="1"/>
  <c r="E2144" i="1"/>
  <c r="I2143" i="1"/>
  <c r="J2143" i="1" s="1"/>
  <c r="E2143" i="1"/>
  <c r="I2142" i="1"/>
  <c r="J2142" i="1" s="1"/>
  <c r="E2142" i="1"/>
  <c r="I2141" i="1"/>
  <c r="J2141" i="1" s="1"/>
  <c r="E2141" i="1"/>
  <c r="I2140" i="1"/>
  <c r="J2140" i="1" s="1"/>
  <c r="E2140" i="1"/>
  <c r="I2139" i="1"/>
  <c r="J2139" i="1" s="1"/>
  <c r="E2139" i="1"/>
  <c r="I2138" i="1"/>
  <c r="J2138" i="1" s="1"/>
  <c r="E2138" i="1"/>
  <c r="I2137" i="1"/>
  <c r="J2137" i="1" s="1"/>
  <c r="E2137" i="1"/>
  <c r="I2136" i="1"/>
  <c r="J2136" i="1" s="1"/>
  <c r="E2136" i="1"/>
  <c r="I2135" i="1"/>
  <c r="J2135" i="1" s="1"/>
  <c r="E2135" i="1"/>
  <c r="I2134" i="1"/>
  <c r="J2134" i="1" s="1"/>
  <c r="E2134" i="1"/>
  <c r="I2133" i="1"/>
  <c r="J2133" i="1" s="1"/>
  <c r="E2133" i="1"/>
  <c r="I2132" i="1"/>
  <c r="J2132" i="1" s="1"/>
  <c r="E2132" i="1"/>
  <c r="I2131" i="1"/>
  <c r="J2131" i="1" s="1"/>
  <c r="E2131" i="1"/>
  <c r="I2130" i="1"/>
  <c r="J2130" i="1" s="1"/>
  <c r="E2130" i="1"/>
  <c r="I2129" i="1"/>
  <c r="J2129" i="1" s="1"/>
  <c r="E2129" i="1"/>
  <c r="I2128" i="1"/>
  <c r="J2128" i="1" s="1"/>
  <c r="E2128" i="1"/>
  <c r="I2127" i="1"/>
  <c r="J2127" i="1" s="1"/>
  <c r="E2127" i="1"/>
  <c r="I2126" i="1"/>
  <c r="J2126" i="1" s="1"/>
  <c r="E2126" i="1"/>
  <c r="I2125" i="1"/>
  <c r="J2125" i="1" s="1"/>
  <c r="E2125" i="1"/>
  <c r="I2124" i="1"/>
  <c r="J2124" i="1" s="1"/>
  <c r="E2124" i="1"/>
  <c r="I2123" i="1"/>
  <c r="J2123" i="1" s="1"/>
  <c r="E2123" i="1"/>
  <c r="I2122" i="1"/>
  <c r="J2122" i="1" s="1"/>
  <c r="E2122" i="1"/>
  <c r="I2121" i="1"/>
  <c r="J2121" i="1" s="1"/>
  <c r="E2121" i="1"/>
  <c r="I2120" i="1"/>
  <c r="J2120" i="1" s="1"/>
  <c r="E2120" i="1"/>
  <c r="I2119" i="1"/>
  <c r="J2119" i="1" s="1"/>
  <c r="E2119" i="1"/>
  <c r="I2118" i="1"/>
  <c r="J2118" i="1" s="1"/>
  <c r="E2118" i="1"/>
  <c r="I2117" i="1"/>
  <c r="J2117" i="1" s="1"/>
  <c r="E2117" i="1"/>
  <c r="I2116" i="1"/>
  <c r="J2116" i="1" s="1"/>
  <c r="E2116" i="1"/>
  <c r="I2115" i="1"/>
  <c r="J2115" i="1" s="1"/>
  <c r="E2115" i="1"/>
  <c r="I2114" i="1"/>
  <c r="J2114" i="1" s="1"/>
  <c r="E2114" i="1"/>
  <c r="I2113" i="1"/>
  <c r="J2113" i="1" s="1"/>
  <c r="E2113" i="1"/>
  <c r="I2112" i="1"/>
  <c r="J2112" i="1" s="1"/>
  <c r="E2112" i="1"/>
  <c r="I2111" i="1"/>
  <c r="J2111" i="1" s="1"/>
  <c r="E2111" i="1"/>
  <c r="I2110" i="1"/>
  <c r="J2110" i="1" s="1"/>
  <c r="E2110" i="1"/>
  <c r="I2109" i="1"/>
  <c r="J2109" i="1" s="1"/>
  <c r="E2109" i="1"/>
  <c r="I2108" i="1"/>
  <c r="J2108" i="1" s="1"/>
  <c r="E2108" i="1"/>
  <c r="I2107" i="1"/>
  <c r="J2107" i="1" s="1"/>
  <c r="E2107" i="1"/>
  <c r="I2106" i="1"/>
  <c r="J2106" i="1" s="1"/>
  <c r="E2106" i="1"/>
  <c r="I2105" i="1"/>
  <c r="J2105" i="1" s="1"/>
  <c r="E2105" i="1"/>
  <c r="I2104" i="1"/>
  <c r="J2104" i="1" s="1"/>
  <c r="E2104" i="1"/>
  <c r="I2103" i="1"/>
  <c r="J2103" i="1" s="1"/>
  <c r="E2103" i="1"/>
  <c r="I2102" i="1"/>
  <c r="J2102" i="1" s="1"/>
  <c r="E2102" i="1"/>
  <c r="I2101" i="1"/>
  <c r="J2101" i="1" s="1"/>
  <c r="E2101" i="1"/>
  <c r="I2100" i="1"/>
  <c r="J2100" i="1" s="1"/>
  <c r="E2100" i="1"/>
  <c r="I2099" i="1"/>
  <c r="J2099" i="1" s="1"/>
  <c r="E2099" i="1"/>
  <c r="I2098" i="1"/>
  <c r="J2098" i="1" s="1"/>
  <c r="E2098" i="1"/>
  <c r="I2097" i="1"/>
  <c r="J2097" i="1" s="1"/>
  <c r="E2097" i="1"/>
  <c r="I2096" i="1"/>
  <c r="J2096" i="1" s="1"/>
  <c r="E2096" i="1"/>
  <c r="I2095" i="1"/>
  <c r="J2095" i="1" s="1"/>
  <c r="E2095" i="1"/>
  <c r="I2094" i="1"/>
  <c r="J2094" i="1" s="1"/>
  <c r="E2094" i="1"/>
  <c r="I2093" i="1"/>
  <c r="J2093" i="1" s="1"/>
  <c r="E2093" i="1"/>
  <c r="I2092" i="1"/>
  <c r="J2092" i="1" s="1"/>
  <c r="E2092" i="1"/>
  <c r="I2091" i="1"/>
  <c r="J2091" i="1" s="1"/>
  <c r="E2091" i="1"/>
  <c r="I2090" i="1"/>
  <c r="J2090" i="1" s="1"/>
  <c r="E2090" i="1"/>
  <c r="I2089" i="1"/>
  <c r="J2089" i="1" s="1"/>
  <c r="E2089" i="1"/>
  <c r="I2088" i="1"/>
  <c r="J2088" i="1" s="1"/>
  <c r="E2088" i="1"/>
  <c r="I2087" i="1"/>
  <c r="J2087" i="1" s="1"/>
  <c r="E2087" i="1"/>
  <c r="I2086" i="1"/>
  <c r="J2086" i="1" s="1"/>
  <c r="E2086" i="1"/>
  <c r="I2085" i="1"/>
  <c r="J2085" i="1" s="1"/>
  <c r="E2085" i="1"/>
  <c r="I2084" i="1"/>
  <c r="J2084" i="1" s="1"/>
  <c r="E2084" i="1"/>
  <c r="I2083" i="1"/>
  <c r="J2083" i="1" s="1"/>
  <c r="E2083" i="1"/>
  <c r="I2082" i="1"/>
  <c r="J2082" i="1" s="1"/>
  <c r="E2082" i="1"/>
  <c r="I2081" i="1"/>
  <c r="J2081" i="1" s="1"/>
  <c r="E2081" i="1"/>
  <c r="I2080" i="1"/>
  <c r="J2080" i="1" s="1"/>
  <c r="E2080" i="1"/>
  <c r="I2079" i="1"/>
  <c r="J2079" i="1" s="1"/>
  <c r="E2079" i="1"/>
  <c r="I2078" i="1"/>
  <c r="J2078" i="1" s="1"/>
  <c r="E2078" i="1"/>
  <c r="I2077" i="1"/>
  <c r="J2077" i="1" s="1"/>
  <c r="E2077" i="1"/>
  <c r="I2076" i="1"/>
  <c r="J2076" i="1" s="1"/>
  <c r="E2076" i="1"/>
  <c r="I2075" i="1"/>
  <c r="J2075" i="1" s="1"/>
  <c r="E2075" i="1"/>
  <c r="I2074" i="1"/>
  <c r="J2074" i="1" s="1"/>
  <c r="E2074" i="1"/>
  <c r="I2073" i="1"/>
  <c r="J2073" i="1" s="1"/>
  <c r="E2073" i="1"/>
  <c r="I2072" i="1"/>
  <c r="J2072" i="1" s="1"/>
  <c r="E2072" i="1"/>
  <c r="I2071" i="1"/>
  <c r="J2071" i="1" s="1"/>
  <c r="E2071" i="1"/>
  <c r="I2070" i="1"/>
  <c r="J2070" i="1" s="1"/>
  <c r="E2070" i="1"/>
  <c r="I2069" i="1"/>
  <c r="J2069" i="1" s="1"/>
  <c r="E2069" i="1"/>
  <c r="I2068" i="1"/>
  <c r="J2068" i="1" s="1"/>
  <c r="E2068" i="1"/>
  <c r="I2067" i="1"/>
  <c r="J2067" i="1" s="1"/>
  <c r="E2067" i="1"/>
  <c r="I2066" i="1"/>
  <c r="J2066" i="1" s="1"/>
  <c r="E2066" i="1"/>
  <c r="I2065" i="1"/>
  <c r="J2065" i="1" s="1"/>
  <c r="E2065" i="1"/>
  <c r="I2064" i="1"/>
  <c r="J2064" i="1" s="1"/>
  <c r="E2064" i="1"/>
  <c r="I2063" i="1"/>
  <c r="J2063" i="1" s="1"/>
  <c r="E2063" i="1"/>
  <c r="I2062" i="1"/>
  <c r="J2062" i="1" s="1"/>
  <c r="E2062" i="1"/>
  <c r="I2061" i="1"/>
  <c r="J2061" i="1" s="1"/>
  <c r="E2061" i="1"/>
  <c r="I2060" i="1"/>
  <c r="J2060" i="1" s="1"/>
  <c r="E2060" i="1"/>
  <c r="I2059" i="1"/>
  <c r="J2059" i="1" s="1"/>
  <c r="E2059" i="1"/>
  <c r="I2058" i="1"/>
  <c r="J2058" i="1" s="1"/>
  <c r="E2058" i="1"/>
  <c r="I2057" i="1"/>
  <c r="J2057" i="1" s="1"/>
  <c r="E2057" i="1"/>
  <c r="I2056" i="1"/>
  <c r="J2056" i="1" s="1"/>
  <c r="E2056" i="1"/>
  <c r="I2055" i="1"/>
  <c r="J2055" i="1" s="1"/>
  <c r="E2055" i="1"/>
  <c r="I2054" i="1"/>
  <c r="J2054" i="1" s="1"/>
  <c r="E2054" i="1"/>
  <c r="I2053" i="1"/>
  <c r="J2053" i="1" s="1"/>
  <c r="E2053" i="1"/>
  <c r="I2052" i="1"/>
  <c r="J2052" i="1" s="1"/>
  <c r="E2052" i="1"/>
  <c r="I2051" i="1"/>
  <c r="J2051" i="1" s="1"/>
  <c r="E2051" i="1"/>
  <c r="I2050" i="1"/>
  <c r="J2050" i="1" s="1"/>
  <c r="E2050" i="1"/>
  <c r="I2049" i="1"/>
  <c r="J2049" i="1" s="1"/>
  <c r="E2049" i="1"/>
  <c r="I2048" i="1"/>
  <c r="J2048" i="1" s="1"/>
  <c r="E2048" i="1"/>
  <c r="I2047" i="1"/>
  <c r="J2047" i="1" s="1"/>
  <c r="E2047" i="1"/>
  <c r="I2046" i="1"/>
  <c r="J2046" i="1" s="1"/>
  <c r="E2046" i="1"/>
  <c r="I2045" i="1"/>
  <c r="J2045" i="1" s="1"/>
  <c r="E2045" i="1"/>
  <c r="I2044" i="1"/>
  <c r="J2044" i="1" s="1"/>
  <c r="E2044" i="1"/>
  <c r="I2043" i="1"/>
  <c r="J2043" i="1" s="1"/>
  <c r="E2043" i="1"/>
  <c r="I2042" i="1"/>
  <c r="J2042" i="1" s="1"/>
  <c r="E2042" i="1"/>
  <c r="I2041" i="1"/>
  <c r="J2041" i="1" s="1"/>
  <c r="E2041" i="1"/>
  <c r="I2040" i="1"/>
  <c r="J2040" i="1" s="1"/>
  <c r="E2040" i="1"/>
  <c r="I2039" i="1"/>
  <c r="J2039" i="1" s="1"/>
  <c r="E2039" i="1"/>
  <c r="I2038" i="1"/>
  <c r="J2038" i="1" s="1"/>
  <c r="E2038" i="1"/>
  <c r="I2037" i="1"/>
  <c r="J2037" i="1" s="1"/>
  <c r="E2037" i="1"/>
  <c r="I2036" i="1"/>
  <c r="J2036" i="1" s="1"/>
  <c r="E2036" i="1"/>
  <c r="I2035" i="1"/>
  <c r="J2035" i="1" s="1"/>
  <c r="E2035" i="1"/>
  <c r="I2034" i="1"/>
  <c r="J2034" i="1" s="1"/>
  <c r="E2034" i="1"/>
  <c r="I2033" i="1"/>
  <c r="J2033" i="1" s="1"/>
  <c r="E2033" i="1"/>
  <c r="I2032" i="1"/>
  <c r="J2032" i="1" s="1"/>
  <c r="E2032" i="1"/>
  <c r="I2031" i="1"/>
  <c r="J2031" i="1" s="1"/>
  <c r="E2031" i="1"/>
  <c r="I2030" i="1"/>
  <c r="J2030" i="1" s="1"/>
  <c r="E2030" i="1"/>
  <c r="I2029" i="1"/>
  <c r="J2029" i="1" s="1"/>
  <c r="E2029" i="1"/>
  <c r="I2028" i="1"/>
  <c r="J2028" i="1" s="1"/>
  <c r="E2028" i="1"/>
  <c r="I2027" i="1"/>
  <c r="J2027" i="1" s="1"/>
  <c r="E2027" i="1"/>
  <c r="I2026" i="1"/>
  <c r="J2026" i="1" s="1"/>
  <c r="E2026" i="1"/>
  <c r="I2025" i="1"/>
  <c r="J2025" i="1" s="1"/>
  <c r="E2025" i="1"/>
  <c r="I2024" i="1"/>
  <c r="J2024" i="1" s="1"/>
  <c r="E2024" i="1"/>
  <c r="I2023" i="1"/>
  <c r="J2023" i="1" s="1"/>
  <c r="E2023" i="1"/>
  <c r="I2022" i="1"/>
  <c r="J2022" i="1" s="1"/>
  <c r="E2022" i="1"/>
  <c r="I2021" i="1"/>
  <c r="J2021" i="1" s="1"/>
  <c r="E2021" i="1"/>
  <c r="I2020" i="1"/>
  <c r="J2020" i="1" s="1"/>
  <c r="E2020" i="1"/>
  <c r="I2019" i="1"/>
  <c r="J2019" i="1" s="1"/>
  <c r="E2019" i="1"/>
  <c r="I2018" i="1"/>
  <c r="J2018" i="1" s="1"/>
  <c r="E2018" i="1"/>
  <c r="I2017" i="1"/>
  <c r="J2017" i="1" s="1"/>
  <c r="E2017" i="1"/>
  <c r="I2016" i="1"/>
  <c r="J2016" i="1" s="1"/>
  <c r="E2016" i="1"/>
  <c r="I2015" i="1"/>
  <c r="J2015" i="1" s="1"/>
  <c r="E2015" i="1"/>
  <c r="I2014" i="1"/>
  <c r="J2014" i="1" s="1"/>
  <c r="E2014" i="1"/>
  <c r="I2013" i="1"/>
  <c r="J2013" i="1" s="1"/>
  <c r="E2013" i="1"/>
  <c r="I2012" i="1"/>
  <c r="J2012" i="1" s="1"/>
  <c r="E2012" i="1"/>
  <c r="I2011" i="1"/>
  <c r="J2011" i="1" s="1"/>
  <c r="E2011" i="1"/>
  <c r="I2010" i="1"/>
  <c r="J2010" i="1" s="1"/>
  <c r="E2010" i="1"/>
  <c r="I2009" i="1"/>
  <c r="J2009" i="1" s="1"/>
  <c r="E2009" i="1"/>
  <c r="I2008" i="1"/>
  <c r="J2008" i="1" s="1"/>
  <c r="E2008" i="1"/>
  <c r="I2007" i="1"/>
  <c r="J2007" i="1" s="1"/>
  <c r="E2007" i="1"/>
  <c r="I2006" i="1"/>
  <c r="J2006" i="1" s="1"/>
  <c r="E2006" i="1"/>
  <c r="I2005" i="1"/>
  <c r="J2005" i="1" s="1"/>
  <c r="E2005" i="1"/>
  <c r="I2004" i="1"/>
  <c r="J2004" i="1" s="1"/>
  <c r="E2004" i="1"/>
  <c r="I2003" i="1"/>
  <c r="J2003" i="1" s="1"/>
  <c r="E2003" i="1"/>
  <c r="I2002" i="1"/>
  <c r="J2002" i="1" s="1"/>
  <c r="E2002" i="1"/>
  <c r="I2001" i="1"/>
  <c r="J2001" i="1" s="1"/>
  <c r="E2001" i="1"/>
  <c r="I2000" i="1"/>
  <c r="J2000" i="1" s="1"/>
  <c r="E2000" i="1"/>
  <c r="I1999" i="1"/>
  <c r="J1999" i="1" s="1"/>
  <c r="E1999" i="1"/>
  <c r="I1998" i="1"/>
  <c r="J1998" i="1" s="1"/>
  <c r="E1998" i="1"/>
  <c r="I1997" i="1"/>
  <c r="J1997" i="1" s="1"/>
  <c r="E1997" i="1"/>
  <c r="I1996" i="1"/>
  <c r="J1996" i="1" s="1"/>
  <c r="E1996" i="1"/>
  <c r="I1995" i="1"/>
  <c r="J1995" i="1" s="1"/>
  <c r="E1995" i="1"/>
  <c r="I1994" i="1"/>
  <c r="J1994" i="1" s="1"/>
  <c r="E1994" i="1"/>
  <c r="I1993" i="1"/>
  <c r="J1993" i="1" s="1"/>
  <c r="E1993" i="1"/>
  <c r="I1992" i="1"/>
  <c r="J1992" i="1" s="1"/>
  <c r="E1992" i="1"/>
  <c r="I1991" i="1"/>
  <c r="J1991" i="1" s="1"/>
  <c r="E1991" i="1"/>
  <c r="I1990" i="1"/>
  <c r="J1990" i="1" s="1"/>
  <c r="E1990" i="1"/>
  <c r="I1989" i="1"/>
  <c r="J1989" i="1" s="1"/>
  <c r="E1989" i="1"/>
  <c r="I1988" i="1"/>
  <c r="J1988" i="1" s="1"/>
  <c r="E1988" i="1"/>
  <c r="I1987" i="1"/>
  <c r="J1987" i="1" s="1"/>
  <c r="E1987" i="1"/>
  <c r="I1986" i="1"/>
  <c r="J1986" i="1" s="1"/>
  <c r="E1986" i="1"/>
  <c r="I1985" i="1"/>
  <c r="J1985" i="1" s="1"/>
  <c r="E1985" i="1"/>
  <c r="I1984" i="1"/>
  <c r="J1984" i="1" s="1"/>
  <c r="E1984" i="1"/>
  <c r="I1983" i="1"/>
  <c r="J1983" i="1" s="1"/>
  <c r="E1983" i="1"/>
  <c r="I1982" i="1"/>
  <c r="J1982" i="1" s="1"/>
  <c r="E1982" i="1"/>
  <c r="I1981" i="1"/>
  <c r="J1981" i="1" s="1"/>
  <c r="E1981" i="1"/>
  <c r="I1980" i="1"/>
  <c r="J1980" i="1" s="1"/>
  <c r="E1980" i="1"/>
  <c r="I1979" i="1"/>
  <c r="J1979" i="1" s="1"/>
  <c r="E1979" i="1"/>
  <c r="I1978" i="1"/>
  <c r="J1978" i="1" s="1"/>
  <c r="E1978" i="1"/>
  <c r="I1977" i="1"/>
  <c r="J1977" i="1" s="1"/>
  <c r="E1977" i="1"/>
  <c r="I1976" i="1"/>
  <c r="J1976" i="1" s="1"/>
  <c r="E1976" i="1"/>
  <c r="I1975" i="1"/>
  <c r="J1975" i="1" s="1"/>
  <c r="E1975" i="1"/>
  <c r="I1974" i="1"/>
  <c r="J1974" i="1" s="1"/>
  <c r="E1974" i="1"/>
  <c r="I1973" i="1"/>
  <c r="J1973" i="1" s="1"/>
  <c r="E1973" i="1"/>
  <c r="I1972" i="1"/>
  <c r="J1972" i="1" s="1"/>
  <c r="E1972" i="1"/>
  <c r="I1971" i="1"/>
  <c r="J1971" i="1" s="1"/>
  <c r="E1971" i="1"/>
  <c r="I1970" i="1"/>
  <c r="J1970" i="1" s="1"/>
  <c r="E1970" i="1"/>
  <c r="I1969" i="1"/>
  <c r="J1969" i="1" s="1"/>
  <c r="E1969" i="1"/>
  <c r="I1968" i="1"/>
  <c r="J1968" i="1" s="1"/>
  <c r="E1968" i="1"/>
  <c r="I1967" i="1"/>
  <c r="J1967" i="1" s="1"/>
  <c r="E1967" i="1"/>
  <c r="I1966" i="1"/>
  <c r="J1966" i="1" s="1"/>
  <c r="E1966" i="1"/>
  <c r="I1965" i="1"/>
  <c r="J1965" i="1" s="1"/>
  <c r="E1965" i="1"/>
  <c r="I1964" i="1"/>
  <c r="J1964" i="1" s="1"/>
  <c r="E1964" i="1"/>
  <c r="I1963" i="1"/>
  <c r="J1963" i="1" s="1"/>
  <c r="E1963" i="1"/>
  <c r="I1962" i="1"/>
  <c r="J1962" i="1" s="1"/>
  <c r="E1962" i="1"/>
  <c r="I1961" i="1"/>
  <c r="J1961" i="1" s="1"/>
  <c r="E1961" i="1"/>
  <c r="I1960" i="1"/>
  <c r="J1960" i="1" s="1"/>
  <c r="E1960" i="1"/>
  <c r="I1959" i="1"/>
  <c r="J1959" i="1" s="1"/>
  <c r="E1959" i="1"/>
  <c r="I1958" i="1"/>
  <c r="J1958" i="1" s="1"/>
  <c r="E1958" i="1"/>
  <c r="I1957" i="1"/>
  <c r="J1957" i="1" s="1"/>
  <c r="E1957" i="1"/>
  <c r="I1956" i="1"/>
  <c r="J1956" i="1" s="1"/>
  <c r="E1956" i="1"/>
  <c r="I1955" i="1"/>
  <c r="J1955" i="1" s="1"/>
  <c r="E1955" i="1"/>
  <c r="I1954" i="1"/>
  <c r="J1954" i="1" s="1"/>
  <c r="E1954" i="1"/>
  <c r="I1953" i="1"/>
  <c r="J1953" i="1" s="1"/>
  <c r="E1953" i="1"/>
  <c r="I1952" i="1"/>
  <c r="J1952" i="1" s="1"/>
  <c r="E1952" i="1"/>
  <c r="I1951" i="1"/>
  <c r="J1951" i="1" s="1"/>
  <c r="E1951" i="1"/>
  <c r="I1950" i="1"/>
  <c r="J1950" i="1" s="1"/>
  <c r="E1950" i="1"/>
  <c r="I1949" i="1"/>
  <c r="J1949" i="1" s="1"/>
  <c r="E1949" i="1"/>
  <c r="I1948" i="1"/>
  <c r="J1948" i="1" s="1"/>
  <c r="E1948" i="1"/>
  <c r="I1947" i="1"/>
  <c r="J1947" i="1" s="1"/>
  <c r="E1947" i="1"/>
  <c r="I1946" i="1"/>
  <c r="J1946" i="1" s="1"/>
  <c r="E1946" i="1"/>
  <c r="I1945" i="1"/>
  <c r="J1945" i="1" s="1"/>
  <c r="E1945" i="1"/>
  <c r="I1944" i="1"/>
  <c r="J1944" i="1" s="1"/>
  <c r="E1944" i="1"/>
  <c r="I1943" i="1"/>
  <c r="J1943" i="1" s="1"/>
  <c r="E1943" i="1"/>
  <c r="I1942" i="1"/>
  <c r="J1942" i="1" s="1"/>
  <c r="E1942" i="1"/>
  <c r="I1941" i="1"/>
  <c r="J1941" i="1" s="1"/>
  <c r="E1941" i="1"/>
  <c r="I1940" i="1"/>
  <c r="J1940" i="1" s="1"/>
  <c r="E1940" i="1"/>
  <c r="I1939" i="1"/>
  <c r="J1939" i="1" s="1"/>
  <c r="E1939" i="1"/>
  <c r="I1938" i="1"/>
  <c r="J1938" i="1" s="1"/>
  <c r="E1938" i="1"/>
  <c r="I1937" i="1"/>
  <c r="J1937" i="1" s="1"/>
  <c r="E1937" i="1"/>
  <c r="I1936" i="1"/>
  <c r="J1936" i="1" s="1"/>
  <c r="E1936" i="1"/>
  <c r="I1935" i="1"/>
  <c r="J1935" i="1" s="1"/>
  <c r="E1935" i="1"/>
  <c r="I1934" i="1"/>
  <c r="J1934" i="1" s="1"/>
  <c r="E1934" i="1"/>
  <c r="I1933" i="1"/>
  <c r="J1933" i="1" s="1"/>
  <c r="E1933" i="1"/>
  <c r="I1932" i="1"/>
  <c r="J1932" i="1" s="1"/>
  <c r="E1932" i="1"/>
  <c r="I1931" i="1"/>
  <c r="J1931" i="1" s="1"/>
  <c r="E1931" i="1"/>
  <c r="I1930" i="1"/>
  <c r="J1930" i="1" s="1"/>
  <c r="E1930" i="1"/>
  <c r="I1929" i="1"/>
  <c r="J1929" i="1" s="1"/>
  <c r="E1929" i="1"/>
  <c r="I1928" i="1"/>
  <c r="J1928" i="1" s="1"/>
  <c r="E1928" i="1"/>
  <c r="I1927" i="1"/>
  <c r="J1927" i="1" s="1"/>
  <c r="E1927" i="1"/>
  <c r="I1926" i="1"/>
  <c r="J1926" i="1" s="1"/>
  <c r="E1926" i="1"/>
  <c r="I1925" i="1"/>
  <c r="J1925" i="1" s="1"/>
  <c r="E1925" i="1"/>
  <c r="I1924" i="1"/>
  <c r="J1924" i="1" s="1"/>
  <c r="E1924" i="1"/>
  <c r="I1923" i="1"/>
  <c r="J1923" i="1" s="1"/>
  <c r="E1923" i="1"/>
  <c r="I1922" i="1"/>
  <c r="J1922" i="1" s="1"/>
  <c r="E1922" i="1"/>
  <c r="I1921" i="1"/>
  <c r="J1921" i="1" s="1"/>
  <c r="E1921" i="1"/>
  <c r="I1920" i="1"/>
  <c r="J1920" i="1" s="1"/>
  <c r="E1920" i="1"/>
  <c r="I1919" i="1"/>
  <c r="J1919" i="1" s="1"/>
  <c r="E1919" i="1"/>
  <c r="I1918" i="1"/>
  <c r="J1918" i="1" s="1"/>
  <c r="E1918" i="1"/>
  <c r="I1917" i="1"/>
  <c r="J1917" i="1" s="1"/>
  <c r="E1917" i="1"/>
  <c r="I1916" i="1"/>
  <c r="J1916" i="1" s="1"/>
  <c r="E1916" i="1"/>
  <c r="I1915" i="1"/>
  <c r="J1915" i="1" s="1"/>
  <c r="E1915" i="1"/>
  <c r="I1914" i="1"/>
  <c r="J1914" i="1" s="1"/>
  <c r="E1914" i="1"/>
  <c r="I1913" i="1"/>
  <c r="J1913" i="1" s="1"/>
  <c r="E1913" i="1"/>
  <c r="I1912" i="1"/>
  <c r="J1912" i="1" s="1"/>
  <c r="E1912" i="1"/>
  <c r="I1911" i="1"/>
  <c r="J1911" i="1" s="1"/>
  <c r="E1911" i="1"/>
  <c r="I1910" i="1"/>
  <c r="J1910" i="1" s="1"/>
  <c r="E1910" i="1"/>
  <c r="I1909" i="1"/>
  <c r="J1909" i="1" s="1"/>
  <c r="E1909" i="1"/>
  <c r="I1908" i="1"/>
  <c r="J1908" i="1" s="1"/>
  <c r="E1908" i="1"/>
  <c r="I1907" i="1"/>
  <c r="J1907" i="1" s="1"/>
  <c r="E1907" i="1"/>
  <c r="I1906" i="1"/>
  <c r="J1906" i="1" s="1"/>
  <c r="E1906" i="1"/>
  <c r="I1905" i="1"/>
  <c r="J1905" i="1" s="1"/>
  <c r="E1905" i="1"/>
  <c r="I1904" i="1"/>
  <c r="J1904" i="1" s="1"/>
  <c r="E1904" i="1"/>
  <c r="I1903" i="1"/>
  <c r="J1903" i="1" s="1"/>
  <c r="E1903" i="1"/>
  <c r="I1902" i="1"/>
  <c r="J1902" i="1" s="1"/>
  <c r="E1902" i="1"/>
  <c r="I1901" i="1"/>
  <c r="J1901" i="1" s="1"/>
  <c r="E1901" i="1"/>
  <c r="I1900" i="1"/>
  <c r="J1900" i="1" s="1"/>
  <c r="E1900" i="1"/>
  <c r="I1899" i="1"/>
  <c r="J1899" i="1" s="1"/>
  <c r="E1899" i="1"/>
  <c r="I1898" i="1"/>
  <c r="J1898" i="1" s="1"/>
  <c r="E1898" i="1"/>
  <c r="I1897" i="1"/>
  <c r="J1897" i="1" s="1"/>
  <c r="E1897" i="1"/>
  <c r="I1896" i="1"/>
  <c r="J1896" i="1" s="1"/>
  <c r="E1896" i="1"/>
  <c r="I1895" i="1"/>
  <c r="J1895" i="1" s="1"/>
  <c r="E1895" i="1"/>
  <c r="I1894" i="1"/>
  <c r="J1894" i="1" s="1"/>
  <c r="E1894" i="1"/>
  <c r="I1893" i="1"/>
  <c r="J1893" i="1" s="1"/>
  <c r="E1893" i="1"/>
  <c r="I1892" i="1"/>
  <c r="J1892" i="1" s="1"/>
  <c r="E1892" i="1"/>
  <c r="I1891" i="1"/>
  <c r="J1891" i="1" s="1"/>
  <c r="E1891" i="1"/>
  <c r="I1890" i="1"/>
  <c r="J1890" i="1" s="1"/>
  <c r="E1890" i="1"/>
  <c r="I1889" i="1"/>
  <c r="J1889" i="1" s="1"/>
  <c r="E1889" i="1"/>
  <c r="I1888" i="1"/>
  <c r="J1888" i="1" s="1"/>
  <c r="E1888" i="1"/>
  <c r="I1887" i="1"/>
  <c r="J1887" i="1" s="1"/>
  <c r="E1887" i="1"/>
  <c r="I1886" i="1"/>
  <c r="J1886" i="1" s="1"/>
  <c r="E1886" i="1"/>
  <c r="I1885" i="1"/>
  <c r="J1885" i="1" s="1"/>
  <c r="E1885" i="1"/>
  <c r="I1884" i="1"/>
  <c r="J1884" i="1" s="1"/>
  <c r="E1884" i="1"/>
  <c r="I1883" i="1"/>
  <c r="J1883" i="1" s="1"/>
  <c r="E1883" i="1"/>
  <c r="I1882" i="1"/>
  <c r="J1882" i="1" s="1"/>
  <c r="E1882" i="1"/>
  <c r="I1881" i="1"/>
  <c r="J1881" i="1" s="1"/>
  <c r="E1881" i="1"/>
  <c r="I1879" i="1"/>
  <c r="J1879" i="1" s="1"/>
  <c r="E1879" i="1"/>
  <c r="I1873" i="1"/>
  <c r="J1873" i="1" s="1"/>
  <c r="E1873" i="1"/>
  <c r="I1871" i="1"/>
  <c r="J1871" i="1" s="1"/>
  <c r="E1871" i="1"/>
  <c r="I1869" i="1"/>
  <c r="J1869" i="1" s="1"/>
  <c r="E1869" i="1"/>
  <c r="I1868" i="1"/>
  <c r="J1868" i="1" s="1"/>
  <c r="E1868" i="1"/>
  <c r="E1867" i="1"/>
  <c r="I1866" i="1"/>
  <c r="J1866" i="1" s="1"/>
  <c r="E1866" i="1"/>
  <c r="I1865" i="1"/>
  <c r="J1865" i="1" s="1"/>
  <c r="E1865" i="1"/>
  <c r="I1862" i="1"/>
  <c r="J1862" i="1" s="1"/>
  <c r="E1862" i="1"/>
  <c r="I1861" i="1"/>
  <c r="J1861" i="1" s="1"/>
  <c r="E1861" i="1"/>
  <c r="I1860" i="1"/>
  <c r="J1860" i="1" s="1"/>
  <c r="E1860" i="1"/>
  <c r="I1859" i="1"/>
  <c r="J1859" i="1" s="1"/>
  <c r="E1859" i="1"/>
  <c r="I1858" i="1"/>
  <c r="E1858" i="1"/>
  <c r="I1849" i="1"/>
  <c r="J1849" i="1" s="1"/>
  <c r="E1849" i="1"/>
  <c r="E1838" i="1"/>
  <c r="I1836" i="1"/>
  <c r="J1836" i="1" s="1"/>
  <c r="E1836" i="1"/>
  <c r="I1835" i="1"/>
  <c r="E1835" i="1"/>
  <c r="I1834" i="1"/>
  <c r="J1834" i="1" s="1"/>
  <c r="E1834" i="1"/>
  <c r="I1830" i="1"/>
  <c r="J1830" i="1" s="1"/>
  <c r="E1830" i="1"/>
  <c r="I1829" i="1"/>
  <c r="E1829" i="1"/>
  <c r="I1826" i="1"/>
  <c r="J1826" i="1" s="1"/>
  <c r="E1826" i="1"/>
  <c r="I1824" i="1"/>
  <c r="J1824" i="1" s="1"/>
  <c r="E1824" i="1"/>
  <c r="I1823" i="1"/>
  <c r="J1823" i="1" s="1"/>
  <c r="E1823" i="1"/>
  <c r="I1822" i="1"/>
  <c r="J1822" i="1" s="1"/>
  <c r="E1822" i="1"/>
  <c r="I1821" i="1"/>
  <c r="J1821" i="1" s="1"/>
  <c r="E1821" i="1"/>
  <c r="I1820" i="1"/>
  <c r="J1820" i="1" s="1"/>
  <c r="E1820" i="1"/>
  <c r="I1816" i="1"/>
  <c r="E1816" i="1"/>
  <c r="I1813" i="1"/>
  <c r="J1813" i="1" s="1"/>
  <c r="E1813" i="1"/>
  <c r="I1809" i="1"/>
  <c r="J1809" i="1" s="1"/>
  <c r="E1809" i="1"/>
  <c r="I1808" i="1"/>
  <c r="J1808" i="1" s="1"/>
  <c r="E1808" i="1"/>
  <c r="I1806" i="1"/>
  <c r="J1806" i="1" s="1"/>
  <c r="E1806" i="1"/>
  <c r="I1805" i="1"/>
  <c r="J1805" i="1" s="1"/>
  <c r="E1805" i="1"/>
  <c r="I1804" i="1"/>
  <c r="J1804" i="1" s="1"/>
  <c r="E1804" i="1"/>
  <c r="I1801" i="1"/>
  <c r="J1801" i="1" s="1"/>
  <c r="E1801" i="1"/>
  <c r="I1800" i="1"/>
  <c r="J1800" i="1" s="1"/>
  <c r="E1800" i="1"/>
  <c r="I1799" i="1"/>
  <c r="J1799" i="1" s="1"/>
  <c r="E1799" i="1"/>
  <c r="I1798" i="1"/>
  <c r="J1798" i="1" s="1"/>
  <c r="E1798" i="1"/>
  <c r="I1797" i="1"/>
  <c r="J1797" i="1" s="1"/>
  <c r="E1797" i="1"/>
  <c r="I1796" i="1"/>
  <c r="J1796" i="1" s="1"/>
  <c r="E1796" i="1"/>
  <c r="I1795" i="1"/>
  <c r="J1795" i="1" s="1"/>
  <c r="E1795" i="1"/>
  <c r="I1794" i="1"/>
  <c r="J1794" i="1" s="1"/>
  <c r="E1794" i="1"/>
  <c r="I1793" i="1"/>
  <c r="J1793" i="1" s="1"/>
  <c r="E1793" i="1"/>
  <c r="I1792" i="1"/>
  <c r="J1792" i="1" s="1"/>
  <c r="E1792" i="1"/>
  <c r="I1791" i="1"/>
  <c r="J1791" i="1" s="1"/>
  <c r="E1791" i="1"/>
  <c r="I1790" i="1"/>
  <c r="J1790" i="1" s="1"/>
  <c r="E1790" i="1"/>
  <c r="I1789" i="1"/>
  <c r="J1789" i="1" s="1"/>
  <c r="E1789" i="1"/>
  <c r="I1788" i="1"/>
  <c r="J1788" i="1" s="1"/>
  <c r="E1788" i="1"/>
  <c r="I1787" i="1"/>
  <c r="J1787" i="1" s="1"/>
  <c r="E1787" i="1"/>
  <c r="I1786" i="1"/>
  <c r="J1786" i="1" s="1"/>
  <c r="E1786" i="1"/>
  <c r="I1785" i="1"/>
  <c r="J1785" i="1" s="1"/>
  <c r="E1785" i="1"/>
  <c r="I1784" i="1"/>
  <c r="J1784" i="1" s="1"/>
  <c r="E1784" i="1"/>
  <c r="I1783" i="1"/>
  <c r="J1783" i="1" s="1"/>
  <c r="E1783" i="1"/>
  <c r="I1782" i="1"/>
  <c r="J1782" i="1" s="1"/>
  <c r="E1782" i="1"/>
  <c r="I1781" i="1"/>
  <c r="J1781" i="1" s="1"/>
  <c r="E1781" i="1"/>
  <c r="I1780" i="1"/>
  <c r="J1780" i="1" s="1"/>
  <c r="E1780" i="1"/>
  <c r="I1779" i="1"/>
  <c r="J1779" i="1" s="1"/>
  <c r="E1779" i="1"/>
  <c r="I1778" i="1"/>
  <c r="J1778" i="1" s="1"/>
  <c r="E1778" i="1"/>
  <c r="I1777" i="1"/>
  <c r="J1777" i="1" s="1"/>
  <c r="E1777" i="1"/>
  <c r="I1776" i="1"/>
  <c r="J1776" i="1" s="1"/>
  <c r="E1776" i="1"/>
  <c r="I1775" i="1"/>
  <c r="J1775" i="1" s="1"/>
  <c r="E1775" i="1"/>
  <c r="I1774" i="1"/>
  <c r="J1774" i="1" s="1"/>
  <c r="E1774" i="1"/>
  <c r="I1773" i="1"/>
  <c r="J1773" i="1" s="1"/>
  <c r="E1773" i="1"/>
  <c r="E1772" i="1"/>
  <c r="I1771" i="1"/>
  <c r="J1771" i="1" s="1"/>
  <c r="E1771" i="1"/>
  <c r="I1770" i="1"/>
  <c r="J1770" i="1" s="1"/>
  <c r="E1770" i="1"/>
  <c r="I1769" i="1"/>
  <c r="J1769" i="1" s="1"/>
  <c r="E1769" i="1"/>
  <c r="I1768" i="1"/>
  <c r="J1768" i="1" s="1"/>
  <c r="E1768" i="1"/>
  <c r="I1767" i="1"/>
  <c r="J1767" i="1" s="1"/>
  <c r="E1767" i="1"/>
  <c r="I1766" i="1"/>
  <c r="J1766" i="1" s="1"/>
  <c r="E1766" i="1"/>
  <c r="I1765" i="1"/>
  <c r="J1765" i="1" s="1"/>
  <c r="E1765" i="1"/>
  <c r="I1764" i="1"/>
  <c r="J1764" i="1" s="1"/>
  <c r="E1764" i="1"/>
  <c r="I1763" i="1"/>
  <c r="J1763" i="1" s="1"/>
  <c r="E1763" i="1"/>
  <c r="I1762" i="1"/>
  <c r="J1762" i="1" s="1"/>
  <c r="E1762" i="1"/>
  <c r="I1761" i="1"/>
  <c r="J1761" i="1" s="1"/>
  <c r="E1761" i="1"/>
  <c r="I1760" i="1"/>
  <c r="J1760" i="1" s="1"/>
  <c r="E1760" i="1"/>
  <c r="I1759" i="1"/>
  <c r="J1759" i="1" s="1"/>
  <c r="E1759" i="1"/>
  <c r="I1758" i="1"/>
  <c r="J1758" i="1" s="1"/>
  <c r="E1758" i="1"/>
  <c r="I1757" i="1"/>
  <c r="J1757" i="1" s="1"/>
  <c r="E1757" i="1"/>
  <c r="I1756" i="1"/>
  <c r="J1756" i="1" s="1"/>
  <c r="E1756" i="1"/>
  <c r="I1755" i="1"/>
  <c r="J1755" i="1" s="1"/>
  <c r="E1755" i="1"/>
  <c r="I1754" i="1"/>
  <c r="J1754" i="1" s="1"/>
  <c r="E1754" i="1"/>
  <c r="I1753" i="1"/>
  <c r="J1753" i="1" s="1"/>
  <c r="E1753" i="1"/>
  <c r="I1752" i="1"/>
  <c r="J1752" i="1" s="1"/>
  <c r="E1752" i="1"/>
  <c r="I1751" i="1"/>
  <c r="J1751" i="1" s="1"/>
  <c r="E1751" i="1"/>
  <c r="I1750" i="1"/>
  <c r="J1750" i="1" s="1"/>
  <c r="E1750" i="1"/>
  <c r="I1749" i="1"/>
  <c r="J1749" i="1" s="1"/>
  <c r="E1749" i="1"/>
  <c r="I1748" i="1"/>
  <c r="J1748" i="1" s="1"/>
  <c r="E1748" i="1"/>
  <c r="I1747" i="1"/>
  <c r="J1747" i="1" s="1"/>
  <c r="E1747" i="1"/>
  <c r="I1746" i="1"/>
  <c r="J1746" i="1" s="1"/>
  <c r="E1746" i="1"/>
  <c r="I1745" i="1"/>
  <c r="J1745" i="1" s="1"/>
  <c r="E1745" i="1"/>
  <c r="I1744" i="1"/>
  <c r="J1744" i="1" s="1"/>
  <c r="E1744" i="1"/>
  <c r="I1743" i="1"/>
  <c r="J1743" i="1" s="1"/>
  <c r="E1743" i="1"/>
  <c r="I1742" i="1"/>
  <c r="J1742" i="1" s="1"/>
  <c r="E1742" i="1"/>
  <c r="I1741" i="1"/>
  <c r="J1741" i="1" s="1"/>
  <c r="E1741" i="1"/>
  <c r="I1740" i="1"/>
  <c r="J1740" i="1" s="1"/>
  <c r="E1740" i="1"/>
  <c r="I1739" i="1"/>
  <c r="J1739" i="1" s="1"/>
  <c r="E1739" i="1"/>
  <c r="I1738" i="1"/>
  <c r="J1738" i="1" s="1"/>
  <c r="E1738" i="1"/>
  <c r="I1737" i="1"/>
  <c r="J1737" i="1" s="1"/>
  <c r="E1737" i="1"/>
  <c r="I1736" i="1"/>
  <c r="J1736" i="1" s="1"/>
  <c r="E1736" i="1"/>
  <c r="I1735" i="1"/>
  <c r="J1735" i="1" s="1"/>
  <c r="E1735" i="1"/>
  <c r="I1734" i="1"/>
  <c r="J1734" i="1" s="1"/>
  <c r="E1734" i="1"/>
  <c r="I1733" i="1"/>
  <c r="J1733" i="1" s="1"/>
  <c r="E1733" i="1"/>
  <c r="I1732" i="1"/>
  <c r="J1732" i="1" s="1"/>
  <c r="E1732" i="1"/>
  <c r="I1731" i="1"/>
  <c r="J1731" i="1" s="1"/>
  <c r="E1731" i="1"/>
  <c r="I1730" i="1"/>
  <c r="J1730" i="1" s="1"/>
  <c r="E1730" i="1"/>
  <c r="I1729" i="1"/>
  <c r="J1729" i="1" s="1"/>
  <c r="E1729" i="1"/>
  <c r="I1728" i="1"/>
  <c r="J1728" i="1" s="1"/>
  <c r="E1728" i="1"/>
  <c r="I1727" i="1"/>
  <c r="J1727" i="1" s="1"/>
  <c r="E1727" i="1"/>
  <c r="I1726" i="1"/>
  <c r="J1726" i="1" s="1"/>
  <c r="E1726" i="1"/>
  <c r="I1725" i="1"/>
  <c r="J1725" i="1" s="1"/>
  <c r="E1725" i="1"/>
  <c r="I1724" i="1"/>
  <c r="J1724" i="1" s="1"/>
  <c r="E1724" i="1"/>
  <c r="I1723" i="1"/>
  <c r="J1723" i="1" s="1"/>
  <c r="E1723" i="1"/>
  <c r="I1722" i="1"/>
  <c r="J1722" i="1" s="1"/>
  <c r="E1722" i="1"/>
  <c r="I1721" i="1"/>
  <c r="J1721" i="1" s="1"/>
  <c r="E1721" i="1"/>
  <c r="I1720" i="1"/>
  <c r="J1720" i="1" s="1"/>
  <c r="E1720" i="1"/>
  <c r="I1719" i="1"/>
  <c r="J1719" i="1" s="1"/>
  <c r="E1719" i="1"/>
  <c r="I1718" i="1"/>
  <c r="J1718" i="1" s="1"/>
  <c r="E1718" i="1"/>
  <c r="I1717" i="1"/>
  <c r="J1717" i="1" s="1"/>
  <c r="E1717" i="1"/>
  <c r="I1716" i="1"/>
  <c r="J1716" i="1" s="1"/>
  <c r="E1716" i="1"/>
  <c r="I1715" i="1"/>
  <c r="J1715" i="1" s="1"/>
  <c r="E1715" i="1"/>
  <c r="I1714" i="1"/>
  <c r="J1714" i="1" s="1"/>
  <c r="E1714" i="1"/>
  <c r="I1713" i="1"/>
  <c r="J1713" i="1" s="1"/>
  <c r="E1713" i="1"/>
  <c r="I1712" i="1"/>
  <c r="J1712" i="1" s="1"/>
  <c r="E1712" i="1"/>
  <c r="I1711" i="1"/>
  <c r="J1711" i="1" s="1"/>
  <c r="E1711" i="1"/>
  <c r="I1710" i="1"/>
  <c r="J1710" i="1" s="1"/>
  <c r="E1710" i="1"/>
  <c r="I1709" i="1"/>
  <c r="J1709" i="1" s="1"/>
  <c r="E1709" i="1"/>
  <c r="I1708" i="1"/>
  <c r="J1708" i="1" s="1"/>
  <c r="E1708" i="1"/>
  <c r="I1707" i="1"/>
  <c r="J1707" i="1" s="1"/>
  <c r="E1707" i="1"/>
  <c r="I1706" i="1"/>
  <c r="J1706" i="1" s="1"/>
  <c r="E1706" i="1"/>
  <c r="I1691" i="1"/>
  <c r="J1691" i="1" s="1"/>
  <c r="E1691" i="1"/>
  <c r="I1690" i="1"/>
  <c r="J1690" i="1" s="1"/>
  <c r="E1690" i="1"/>
  <c r="I1689" i="1"/>
  <c r="J1689" i="1" s="1"/>
  <c r="E1689" i="1"/>
  <c r="I1688" i="1"/>
  <c r="J1688" i="1" s="1"/>
  <c r="E1688" i="1"/>
  <c r="I1687" i="1"/>
  <c r="J1687" i="1" s="1"/>
  <c r="E1687" i="1"/>
  <c r="I1686" i="1"/>
  <c r="J1686" i="1" s="1"/>
  <c r="E1686" i="1"/>
  <c r="I1685" i="1"/>
  <c r="J1685" i="1" s="1"/>
  <c r="E1685" i="1"/>
  <c r="I1684" i="1"/>
  <c r="J1684" i="1" s="1"/>
  <c r="E1684" i="1"/>
  <c r="I1683" i="1"/>
  <c r="J1683" i="1" s="1"/>
  <c r="E1683" i="1"/>
  <c r="I1682" i="1"/>
  <c r="J1682" i="1" s="1"/>
  <c r="E1682" i="1"/>
  <c r="I1681" i="1"/>
  <c r="J1681" i="1" s="1"/>
  <c r="E1681" i="1"/>
  <c r="I1680" i="1"/>
  <c r="J1680" i="1" s="1"/>
  <c r="E1680" i="1"/>
  <c r="I1679" i="1"/>
  <c r="J1679" i="1" s="1"/>
  <c r="E1679" i="1"/>
  <c r="I1678" i="1"/>
  <c r="J1678" i="1" s="1"/>
  <c r="E1678" i="1"/>
  <c r="I1677" i="1"/>
  <c r="J1677" i="1" s="1"/>
  <c r="E1677" i="1"/>
  <c r="I1676" i="1"/>
  <c r="J1676" i="1" s="1"/>
  <c r="E1676" i="1"/>
  <c r="I1675" i="1"/>
  <c r="J1675" i="1" s="1"/>
  <c r="E1675" i="1"/>
  <c r="I1674" i="1"/>
  <c r="J1674" i="1" s="1"/>
  <c r="E1674" i="1"/>
  <c r="I1673" i="1"/>
  <c r="J1673" i="1" s="1"/>
  <c r="E1673" i="1"/>
  <c r="I1672" i="1"/>
  <c r="J1672" i="1" s="1"/>
  <c r="E1672" i="1"/>
  <c r="I1671" i="1"/>
  <c r="J1671" i="1" s="1"/>
  <c r="E1671" i="1"/>
  <c r="I1670" i="1"/>
  <c r="J1670" i="1" s="1"/>
  <c r="E1670" i="1"/>
  <c r="I1669" i="1"/>
  <c r="J1669" i="1" s="1"/>
  <c r="E1669" i="1"/>
  <c r="I1668" i="1"/>
  <c r="J1668" i="1" s="1"/>
  <c r="E1668" i="1"/>
  <c r="I1659" i="1"/>
  <c r="J1659" i="1" s="1"/>
  <c r="E1659" i="1"/>
  <c r="I1658" i="1"/>
  <c r="J1658" i="1" s="1"/>
  <c r="E1658" i="1"/>
  <c r="I1657" i="1"/>
  <c r="J1657" i="1" s="1"/>
  <c r="E1657" i="1"/>
  <c r="I1656" i="1"/>
  <c r="J1656" i="1" s="1"/>
  <c r="E1656" i="1"/>
  <c r="I1655" i="1"/>
  <c r="J1655" i="1" s="1"/>
  <c r="E1655" i="1"/>
  <c r="I1654" i="1"/>
  <c r="J1654" i="1" s="1"/>
  <c r="E1654" i="1"/>
  <c r="I1653" i="1"/>
  <c r="J1653" i="1" s="1"/>
  <c r="E1653" i="1"/>
  <c r="I1652" i="1"/>
  <c r="J1652" i="1" s="1"/>
  <c r="E1652" i="1"/>
  <c r="I1651" i="1"/>
  <c r="J1651" i="1" s="1"/>
  <c r="E1651" i="1"/>
  <c r="I1650" i="1"/>
  <c r="J1650" i="1" s="1"/>
  <c r="E1650" i="1"/>
  <c r="I1649" i="1"/>
  <c r="J1649" i="1" s="1"/>
  <c r="E1649" i="1"/>
  <c r="I1648" i="1"/>
  <c r="J1648" i="1" s="1"/>
  <c r="E1648" i="1"/>
  <c r="I1647" i="1"/>
  <c r="J1647" i="1" s="1"/>
  <c r="E1647" i="1"/>
  <c r="I1646" i="1"/>
  <c r="J1646" i="1" s="1"/>
  <c r="E1646" i="1"/>
  <c r="I1645" i="1"/>
  <c r="J1645" i="1" s="1"/>
  <c r="E1645" i="1"/>
  <c r="I1644" i="1"/>
  <c r="J1644" i="1" s="1"/>
  <c r="E1644" i="1"/>
  <c r="I1643" i="1"/>
  <c r="J1643" i="1" s="1"/>
  <c r="E1643" i="1"/>
  <c r="I1642" i="1"/>
  <c r="J1642" i="1" s="1"/>
  <c r="E1642" i="1"/>
  <c r="I1641" i="1"/>
  <c r="J1641" i="1" s="1"/>
  <c r="E1641" i="1"/>
  <c r="I1640" i="1"/>
  <c r="J1640" i="1" s="1"/>
  <c r="E1640" i="1"/>
  <c r="I1639" i="1"/>
  <c r="J1639" i="1" s="1"/>
  <c r="E1639" i="1"/>
  <c r="I1630" i="1"/>
  <c r="J1630" i="1" s="1"/>
  <c r="E1630" i="1"/>
  <c r="I1629" i="1"/>
  <c r="J1629" i="1" s="1"/>
  <c r="E1629" i="1"/>
  <c r="I1628" i="1"/>
  <c r="J1628" i="1" s="1"/>
  <c r="E1628" i="1"/>
  <c r="I1627" i="1"/>
  <c r="J1627" i="1" s="1"/>
  <c r="E1627" i="1"/>
  <c r="I1626" i="1"/>
  <c r="J1626" i="1" s="1"/>
  <c r="E1626" i="1"/>
  <c r="I1625" i="1"/>
  <c r="J1625" i="1" s="1"/>
  <c r="E1625" i="1"/>
  <c r="I1624" i="1"/>
  <c r="J1624" i="1" s="1"/>
  <c r="E1624" i="1"/>
  <c r="I1623" i="1"/>
  <c r="J1623" i="1" s="1"/>
  <c r="E1623" i="1"/>
  <c r="I1622" i="1"/>
  <c r="J1622" i="1" s="1"/>
  <c r="E1622" i="1"/>
  <c r="I1621" i="1"/>
  <c r="J1621" i="1" s="1"/>
  <c r="E1621" i="1"/>
  <c r="I1620" i="1"/>
  <c r="J1620" i="1" s="1"/>
  <c r="E1620" i="1"/>
  <c r="I1619" i="1"/>
  <c r="J1619" i="1" s="1"/>
  <c r="E1619" i="1"/>
  <c r="I1618" i="1"/>
  <c r="J1618" i="1" s="1"/>
  <c r="E1618" i="1"/>
  <c r="I1617" i="1"/>
  <c r="J1617" i="1" s="1"/>
  <c r="E1617" i="1"/>
  <c r="I1616" i="1"/>
  <c r="J1616" i="1" s="1"/>
  <c r="E1616" i="1"/>
  <c r="I1615" i="1"/>
  <c r="J1615" i="1" s="1"/>
  <c r="E1615" i="1"/>
  <c r="I1614" i="1"/>
  <c r="J1614" i="1" s="1"/>
  <c r="E1614" i="1"/>
  <c r="I1613" i="1"/>
  <c r="J1613" i="1" s="1"/>
  <c r="E1613" i="1"/>
  <c r="I1612" i="1"/>
  <c r="J1612" i="1" s="1"/>
  <c r="E1612" i="1"/>
  <c r="I1611" i="1"/>
  <c r="J1611" i="1" s="1"/>
  <c r="E1611" i="1"/>
  <c r="I1610" i="1"/>
  <c r="J1610" i="1" s="1"/>
  <c r="E1610" i="1"/>
  <c r="I1609" i="1"/>
  <c r="J1609" i="1" s="1"/>
  <c r="E1609" i="1"/>
  <c r="I1608" i="1"/>
  <c r="J1608" i="1" s="1"/>
  <c r="E1608" i="1"/>
  <c r="I1607" i="1"/>
  <c r="J1607" i="1" s="1"/>
  <c r="E1607" i="1"/>
  <c r="I1606" i="1"/>
  <c r="J1606" i="1" s="1"/>
  <c r="E1606" i="1"/>
  <c r="I1593" i="1"/>
  <c r="J1593" i="1" s="1"/>
  <c r="E1593" i="1"/>
  <c r="I1592" i="1"/>
  <c r="J1592" i="1" s="1"/>
  <c r="E1592" i="1"/>
  <c r="I1591" i="1"/>
  <c r="J1591" i="1" s="1"/>
  <c r="E1591" i="1"/>
  <c r="I1590" i="1"/>
  <c r="J1590" i="1" s="1"/>
  <c r="E1590" i="1"/>
  <c r="I1589" i="1"/>
  <c r="J1589" i="1" s="1"/>
  <c r="E1589" i="1"/>
  <c r="I1588" i="1"/>
  <c r="J1588" i="1" s="1"/>
  <c r="E1588" i="1"/>
  <c r="I1587" i="1"/>
  <c r="J1587" i="1" s="1"/>
  <c r="E1587" i="1"/>
  <c r="I1586" i="1"/>
  <c r="J1586" i="1" s="1"/>
  <c r="E1586" i="1"/>
  <c r="I1585" i="1"/>
  <c r="J1585" i="1" s="1"/>
  <c r="E1585" i="1"/>
  <c r="I1584" i="1"/>
  <c r="J1584" i="1" s="1"/>
  <c r="E1584" i="1"/>
  <c r="I1583" i="1"/>
  <c r="J1583" i="1" s="1"/>
  <c r="E1583" i="1"/>
  <c r="I1582" i="1"/>
  <c r="J1582" i="1" s="1"/>
  <c r="E1582" i="1"/>
  <c r="I1581" i="1"/>
  <c r="J1581" i="1" s="1"/>
  <c r="E1581" i="1"/>
  <c r="I1580" i="1"/>
  <c r="J1580" i="1" s="1"/>
  <c r="E1580" i="1"/>
  <c r="I1579" i="1"/>
  <c r="J1579" i="1" s="1"/>
  <c r="E1579" i="1"/>
  <c r="I1578" i="1"/>
  <c r="J1578" i="1" s="1"/>
  <c r="E1578" i="1"/>
  <c r="I1577" i="1"/>
  <c r="J1577" i="1" s="1"/>
  <c r="E1577" i="1"/>
  <c r="I1576" i="1"/>
  <c r="J1576" i="1" s="1"/>
  <c r="E1576" i="1"/>
  <c r="I1575" i="1"/>
  <c r="J1575" i="1" s="1"/>
  <c r="E1575" i="1"/>
  <c r="I1574" i="1"/>
  <c r="J1574" i="1" s="1"/>
  <c r="E1574" i="1"/>
  <c r="I1573" i="1"/>
  <c r="J1573" i="1" s="1"/>
  <c r="E1573" i="1"/>
  <c r="I1560" i="1"/>
  <c r="J1560" i="1" s="1"/>
  <c r="E1560" i="1"/>
  <c r="I1559" i="1"/>
  <c r="J1559" i="1" s="1"/>
  <c r="E1559" i="1"/>
  <c r="I1558" i="1"/>
  <c r="J1558" i="1" s="1"/>
  <c r="E1558" i="1"/>
  <c r="I1557" i="1"/>
  <c r="J1557" i="1" s="1"/>
  <c r="E1557" i="1"/>
  <c r="I1556" i="1"/>
  <c r="J1556" i="1" s="1"/>
  <c r="E1556" i="1"/>
  <c r="I1555" i="1"/>
  <c r="J1555" i="1" s="1"/>
  <c r="E1555" i="1"/>
  <c r="I1554" i="1"/>
  <c r="J1554" i="1" s="1"/>
  <c r="E1554" i="1"/>
  <c r="I1553" i="1"/>
  <c r="J1553" i="1" s="1"/>
  <c r="E1553" i="1"/>
  <c r="I1552" i="1"/>
  <c r="J1552" i="1" s="1"/>
  <c r="E1552" i="1"/>
  <c r="I1551" i="1"/>
  <c r="J1551" i="1" s="1"/>
  <c r="E1551" i="1"/>
  <c r="I1550" i="1"/>
  <c r="J1550" i="1" s="1"/>
  <c r="E1550" i="1"/>
  <c r="I1549" i="1"/>
  <c r="J1549" i="1" s="1"/>
  <c r="E1549" i="1"/>
  <c r="I1548" i="1"/>
  <c r="J1548" i="1" s="1"/>
  <c r="E1548" i="1"/>
  <c r="I1547" i="1"/>
  <c r="J1547" i="1" s="1"/>
  <c r="E1547" i="1"/>
  <c r="I1546" i="1"/>
  <c r="E1546" i="1"/>
  <c r="I1544" i="1"/>
  <c r="J1544" i="1" s="1"/>
  <c r="E1544" i="1"/>
  <c r="I1542" i="1"/>
  <c r="J1542" i="1" s="1"/>
  <c r="E1542" i="1"/>
  <c r="I1541" i="1"/>
  <c r="J1541" i="1" s="1"/>
  <c r="E1541" i="1"/>
  <c r="I1540" i="1"/>
  <c r="E1540" i="1"/>
  <c r="I1539" i="1"/>
  <c r="J1539" i="1" s="1"/>
  <c r="E1539" i="1"/>
  <c r="I1534" i="1"/>
  <c r="J1534" i="1" s="1"/>
  <c r="E1534" i="1"/>
  <c r="I1450" i="1"/>
  <c r="E1450" i="1"/>
  <c r="I1444" i="1"/>
  <c r="J1444" i="1" s="1"/>
  <c r="E1444" i="1"/>
  <c r="I1442" i="1"/>
  <c r="J1442" i="1" s="1"/>
  <c r="E1442" i="1"/>
  <c r="I1441" i="1"/>
  <c r="J1441" i="1" s="1"/>
  <c r="E1441" i="1"/>
  <c r="I1438" i="1"/>
  <c r="J1438" i="1" s="1"/>
  <c r="E1438" i="1"/>
  <c r="I1437" i="1"/>
  <c r="J1437" i="1" s="1"/>
  <c r="E1437" i="1"/>
  <c r="I1432" i="1"/>
  <c r="J1432" i="1" s="1"/>
  <c r="E1432" i="1"/>
  <c r="I1429" i="1"/>
  <c r="E1429" i="1"/>
  <c r="I1428" i="1"/>
  <c r="J1428" i="1" s="1"/>
  <c r="E1428" i="1"/>
  <c r="I1423" i="1"/>
  <c r="J1423" i="1" s="1"/>
  <c r="E1423" i="1"/>
  <c r="I1422" i="1"/>
  <c r="J1422" i="1" s="1"/>
  <c r="E1422" i="1"/>
  <c r="I1419" i="1"/>
  <c r="J1419" i="1" s="1"/>
  <c r="E1419" i="1"/>
  <c r="I1418" i="1"/>
  <c r="J1418" i="1" s="1"/>
  <c r="E1418" i="1"/>
  <c r="I1407" i="1"/>
  <c r="E1407" i="1"/>
  <c r="I1402" i="1"/>
  <c r="J1402" i="1" s="1"/>
  <c r="E1402" i="1"/>
  <c r="I1401" i="1"/>
  <c r="J1401" i="1" s="1"/>
  <c r="E1401" i="1"/>
  <c r="I1397" i="1"/>
  <c r="J1397" i="1" s="1"/>
  <c r="E1397" i="1"/>
  <c r="E1396" i="1"/>
  <c r="I1395" i="1"/>
  <c r="J1395" i="1" s="1"/>
  <c r="E1395" i="1"/>
  <c r="I1394" i="1"/>
  <c r="J1394" i="1" s="1"/>
  <c r="E1394" i="1"/>
  <c r="I1393" i="1"/>
  <c r="J1393" i="1" s="1"/>
  <c r="E1393" i="1"/>
  <c r="I1392" i="1"/>
  <c r="E1392" i="1"/>
  <c r="I1391" i="1"/>
  <c r="E1391" i="1"/>
  <c r="I1390" i="1"/>
  <c r="E1390" i="1"/>
  <c r="I1389" i="1"/>
  <c r="E1389" i="1"/>
  <c r="I1388" i="1"/>
  <c r="J1388" i="1" s="1"/>
  <c r="E1388" i="1"/>
  <c r="I1386" i="1"/>
  <c r="J1386" i="1" s="1"/>
  <c r="E1386" i="1"/>
  <c r="I1383" i="1"/>
  <c r="J1383" i="1" s="1"/>
  <c r="E1383" i="1"/>
  <c r="I1382" i="1"/>
  <c r="J1382" i="1" s="1"/>
  <c r="E1382" i="1"/>
  <c r="I1381" i="1"/>
  <c r="J1381" i="1" s="1"/>
  <c r="E1381" i="1"/>
  <c r="I1380" i="1"/>
  <c r="J1380" i="1" s="1"/>
  <c r="E1380" i="1"/>
  <c r="I1379" i="1"/>
  <c r="J1379" i="1" s="1"/>
  <c r="E1379" i="1"/>
  <c r="I1378" i="1"/>
  <c r="J1378" i="1" s="1"/>
  <c r="E1378" i="1"/>
  <c r="I1376" i="1"/>
  <c r="J1376" i="1" s="1"/>
  <c r="E1376" i="1"/>
  <c r="I1375" i="1"/>
  <c r="J1375" i="1" s="1"/>
  <c r="E1375" i="1"/>
  <c r="I1356" i="1"/>
  <c r="J1356" i="1" s="1"/>
  <c r="E1356" i="1"/>
  <c r="I1355" i="1"/>
  <c r="J1355" i="1" s="1"/>
  <c r="E1355" i="1"/>
  <c r="I1354" i="1"/>
  <c r="E1354" i="1"/>
  <c r="I1342" i="1"/>
  <c r="J1342" i="1" s="1"/>
  <c r="E1342" i="1"/>
  <c r="I1328" i="1"/>
  <c r="J1328" i="1" s="1"/>
  <c r="E1328" i="1"/>
  <c r="I1324" i="1"/>
  <c r="J1324" i="1" s="1"/>
  <c r="E1324" i="1"/>
  <c r="I1323" i="1"/>
  <c r="J1323" i="1" s="1"/>
  <c r="E1323" i="1"/>
  <c r="I1317" i="1"/>
  <c r="J1317" i="1" s="1"/>
  <c r="E1317" i="1"/>
  <c r="I1315" i="1"/>
  <c r="J1315" i="1" s="1"/>
  <c r="E1315" i="1"/>
  <c r="I1310" i="1"/>
  <c r="J1310" i="1" s="1"/>
  <c r="E1310" i="1"/>
  <c r="I1309" i="1"/>
  <c r="J1309" i="1" s="1"/>
  <c r="E1309" i="1"/>
  <c r="I1306" i="1"/>
  <c r="J1306" i="1" s="1"/>
  <c r="E1306" i="1"/>
  <c r="I1285" i="1"/>
  <c r="J1285" i="1" s="1"/>
  <c r="E1285" i="1"/>
  <c r="I1284" i="1"/>
  <c r="J1284" i="1" s="1"/>
  <c r="E1284" i="1"/>
  <c r="I1281" i="1"/>
  <c r="J1281" i="1" s="1"/>
  <c r="E1281" i="1"/>
  <c r="I1280" i="1"/>
  <c r="E1280" i="1"/>
  <c r="I1277" i="1"/>
  <c r="J1277" i="1" s="1"/>
  <c r="E1277" i="1"/>
  <c r="I1274" i="1"/>
  <c r="J1274" i="1" s="1"/>
  <c r="E1274" i="1"/>
  <c r="I1271" i="1"/>
  <c r="J1271" i="1" s="1"/>
  <c r="E1271" i="1"/>
  <c r="I1270" i="1"/>
  <c r="L1270" i="1" s="1"/>
  <c r="E1270" i="1"/>
  <c r="I1269" i="1"/>
  <c r="E1269" i="1"/>
  <c r="I1268" i="1"/>
  <c r="E1268" i="1"/>
  <c r="I1267" i="1"/>
  <c r="J1267" i="1" s="1"/>
  <c r="E1267" i="1"/>
  <c r="I1266" i="1"/>
  <c r="J1266" i="1" s="1"/>
  <c r="E1266" i="1"/>
  <c r="I1264" i="1"/>
  <c r="J1264" i="1" s="1"/>
  <c r="E1264" i="1"/>
  <c r="I1263" i="1"/>
  <c r="J1263" i="1" s="1"/>
  <c r="E1263" i="1"/>
  <c r="I1261" i="1"/>
  <c r="J1261" i="1" s="1"/>
  <c r="E1261" i="1"/>
  <c r="I1257" i="1"/>
  <c r="J1257" i="1" s="1"/>
  <c r="E1257" i="1"/>
  <c r="I1250" i="1"/>
  <c r="J1250" i="1" s="1"/>
  <c r="E1250" i="1"/>
  <c r="I1249" i="1"/>
  <c r="J1249" i="1" s="1"/>
  <c r="E1249" i="1"/>
  <c r="I1248" i="1"/>
  <c r="J1248" i="1" s="1"/>
  <c r="E1248" i="1"/>
  <c r="I1243" i="1"/>
  <c r="J1243" i="1" s="1"/>
  <c r="E1243" i="1"/>
  <c r="I1240" i="1"/>
  <c r="J1240" i="1" s="1"/>
  <c r="E1240" i="1"/>
  <c r="I1237" i="1"/>
  <c r="J1237" i="1" s="1"/>
  <c r="E1237" i="1"/>
  <c r="I1233" i="1"/>
  <c r="J1233" i="1" s="1"/>
  <c r="E1233" i="1"/>
  <c r="I1230" i="1"/>
  <c r="J1230" i="1" s="1"/>
  <c r="E1230" i="1"/>
  <c r="I1228" i="1"/>
  <c r="J1228" i="1" s="1"/>
  <c r="E1228" i="1"/>
  <c r="I1227" i="1"/>
  <c r="J1227" i="1" s="1"/>
  <c r="E1227" i="1"/>
  <c r="I1223" i="1"/>
  <c r="E1223" i="1"/>
  <c r="I1220" i="1"/>
  <c r="J1220" i="1" s="1"/>
  <c r="E1220" i="1"/>
  <c r="I1215" i="1"/>
  <c r="J1215" i="1" s="1"/>
  <c r="E1215" i="1"/>
  <c r="I1214" i="1"/>
  <c r="J1214" i="1" s="1"/>
  <c r="E1214" i="1"/>
  <c r="I1213" i="1"/>
  <c r="E1213" i="1"/>
  <c r="I1210" i="1"/>
  <c r="E1210" i="1"/>
  <c r="I1204" i="1"/>
  <c r="E1204" i="1"/>
  <c r="I1203" i="1"/>
  <c r="J1203" i="1" s="1"/>
  <c r="E1203" i="1"/>
  <c r="I1202" i="1"/>
  <c r="J1202" i="1" s="1"/>
  <c r="E1202" i="1"/>
  <c r="I1197" i="1"/>
  <c r="J1197" i="1" s="1"/>
  <c r="E1197" i="1"/>
  <c r="I1195" i="1"/>
  <c r="J1195" i="1" s="1"/>
  <c r="E1195" i="1"/>
  <c r="I1194" i="1"/>
  <c r="J1194" i="1" s="1"/>
  <c r="E1194" i="1"/>
  <c r="I1193" i="1"/>
  <c r="J1193" i="1" s="1"/>
  <c r="E1193" i="1"/>
  <c r="I1187" i="1"/>
  <c r="J1187" i="1" s="1"/>
  <c r="E1187" i="1"/>
  <c r="I1182" i="1"/>
  <c r="J1182" i="1" s="1"/>
  <c r="E1182" i="1"/>
  <c r="I1177" i="1"/>
  <c r="J1177" i="1" s="1"/>
  <c r="E1177" i="1"/>
  <c r="E1170" i="1"/>
  <c r="I1163" i="1"/>
  <c r="J1163" i="1" s="1"/>
  <c r="E1163" i="1"/>
  <c r="I1159" i="1"/>
  <c r="J1159" i="1" s="1"/>
  <c r="E1159" i="1"/>
  <c r="I1156" i="1"/>
  <c r="J1156" i="1" s="1"/>
  <c r="E1156" i="1"/>
  <c r="I1153" i="1"/>
  <c r="J1153" i="1" s="1"/>
  <c r="E1153" i="1"/>
  <c r="I1151" i="1"/>
  <c r="J1151" i="1" s="1"/>
  <c r="E1151" i="1"/>
  <c r="I1150" i="1"/>
  <c r="J1150" i="1" s="1"/>
  <c r="E1150" i="1"/>
  <c r="I1149" i="1"/>
  <c r="J1149" i="1" s="1"/>
  <c r="E1149" i="1"/>
  <c r="I1133" i="1"/>
  <c r="J1133" i="1" s="1"/>
  <c r="E1133" i="1"/>
  <c r="I1124" i="1"/>
  <c r="J1124" i="1" s="1"/>
  <c r="E1124" i="1"/>
  <c r="I1117" i="1"/>
  <c r="J1117" i="1" s="1"/>
  <c r="E1117" i="1"/>
  <c r="I1112" i="1"/>
  <c r="J1112" i="1" s="1"/>
  <c r="E1112" i="1"/>
  <c r="I1107" i="1"/>
  <c r="E1107" i="1"/>
  <c r="I1106" i="1"/>
  <c r="J1106" i="1" s="1"/>
  <c r="E1106" i="1"/>
  <c r="I1103" i="1"/>
  <c r="J1103" i="1" s="1"/>
  <c r="E1103" i="1"/>
  <c r="I1096" i="1"/>
  <c r="J1096" i="1" s="1"/>
  <c r="E1096" i="1"/>
  <c r="I1095" i="1"/>
  <c r="E1095" i="1"/>
  <c r="I1092" i="1"/>
  <c r="J1092" i="1" s="1"/>
  <c r="E1092" i="1"/>
  <c r="I1089" i="1"/>
  <c r="J1089" i="1" s="1"/>
  <c r="E1089" i="1"/>
  <c r="I1088" i="1"/>
  <c r="E1088" i="1"/>
  <c r="I1083" i="1"/>
  <c r="J1083" i="1" s="1"/>
  <c r="E1083" i="1"/>
  <c r="I1081" i="1"/>
  <c r="J1081" i="1" s="1"/>
  <c r="E1081" i="1"/>
  <c r="I1079" i="1"/>
  <c r="J1079" i="1" s="1"/>
  <c r="E1079" i="1"/>
  <c r="I1078" i="1"/>
  <c r="J1078" i="1" s="1"/>
  <c r="E1078" i="1"/>
  <c r="I1077" i="1"/>
  <c r="E1077" i="1"/>
  <c r="I1069" i="1"/>
  <c r="J1069" i="1" s="1"/>
  <c r="E1069" i="1"/>
  <c r="I1068" i="1"/>
  <c r="J1068" i="1" s="1"/>
  <c r="E1068" i="1"/>
  <c r="I1067" i="1"/>
  <c r="J1067" i="1" s="1"/>
  <c r="E1067" i="1"/>
  <c r="I1066" i="1"/>
  <c r="J1066" i="1" s="1"/>
  <c r="E1066" i="1"/>
  <c r="I1064" i="1"/>
  <c r="J1064" i="1" s="1"/>
  <c r="E1064" i="1"/>
  <c r="I1059" i="1"/>
  <c r="J1059" i="1" s="1"/>
  <c r="E1059" i="1"/>
  <c r="I1058" i="1"/>
  <c r="J1058" i="1" s="1"/>
  <c r="E1058" i="1"/>
  <c r="I1050" i="1"/>
  <c r="J1050" i="1" s="1"/>
  <c r="E1050" i="1"/>
  <c r="I1049" i="1"/>
  <c r="E1049" i="1"/>
  <c r="I1046" i="1"/>
  <c r="J1046" i="1" s="1"/>
  <c r="E1046" i="1"/>
  <c r="I1045" i="1"/>
  <c r="L1045" i="1" s="1"/>
  <c r="E1045" i="1"/>
  <c r="I1044" i="1"/>
  <c r="E1044" i="1"/>
  <c r="I1043" i="1"/>
  <c r="J1043" i="1" s="1"/>
  <c r="E1043" i="1"/>
  <c r="I1042" i="1"/>
  <c r="E1042" i="1"/>
  <c r="I1039" i="1"/>
  <c r="J1039" i="1" s="1"/>
  <c r="E1039" i="1"/>
  <c r="I1036" i="1"/>
  <c r="J1036" i="1" s="1"/>
  <c r="E1036" i="1"/>
  <c r="I1035" i="1"/>
  <c r="J1035" i="1" s="1"/>
  <c r="E1035" i="1"/>
  <c r="I1034" i="1"/>
  <c r="J1034" i="1" s="1"/>
  <c r="E1034" i="1"/>
  <c r="I1031" i="1"/>
  <c r="J1031" i="1" s="1"/>
  <c r="E1031" i="1"/>
  <c r="I1030" i="1"/>
  <c r="J1030" i="1" s="1"/>
  <c r="E1030" i="1"/>
  <c r="I1029" i="1"/>
  <c r="E1029" i="1"/>
  <c r="I1028" i="1"/>
  <c r="E1028" i="1"/>
  <c r="I1027" i="1"/>
  <c r="E1027" i="1"/>
  <c r="I1026" i="1"/>
  <c r="J1026" i="1" s="1"/>
  <c r="E1026" i="1"/>
  <c r="I1025" i="1"/>
  <c r="E1025" i="1"/>
  <c r="I1023" i="1"/>
  <c r="J1023" i="1" s="1"/>
  <c r="E1023" i="1"/>
  <c r="I1022" i="1"/>
  <c r="J1022" i="1" s="1"/>
  <c r="E1022" i="1"/>
  <c r="I1021" i="1"/>
  <c r="E1021" i="1"/>
  <c r="I1019" i="1"/>
  <c r="J1019" i="1" s="1"/>
  <c r="E1019" i="1"/>
  <c r="I1018" i="1"/>
  <c r="E1018" i="1"/>
  <c r="I1016" i="1"/>
  <c r="J1016" i="1" s="1"/>
  <c r="E1016" i="1"/>
  <c r="I1015" i="1"/>
  <c r="J1015" i="1" s="1"/>
  <c r="E1015" i="1"/>
  <c r="I1014" i="1"/>
  <c r="J1014" i="1" s="1"/>
  <c r="E1014" i="1"/>
  <c r="I1013" i="1"/>
  <c r="J1013" i="1" s="1"/>
  <c r="E1013" i="1"/>
  <c r="I1012" i="1"/>
  <c r="J1012" i="1" s="1"/>
  <c r="I1011" i="1"/>
  <c r="J1011" i="1" s="1"/>
  <c r="E1011" i="1"/>
  <c r="I1010" i="1"/>
  <c r="J1010" i="1" s="1"/>
  <c r="E1010" i="1"/>
  <c r="I1008" i="1"/>
  <c r="J1008" i="1" s="1"/>
  <c r="E1008" i="1"/>
  <c r="I1006" i="1"/>
  <c r="J1006" i="1" s="1"/>
  <c r="E1006" i="1"/>
  <c r="I1005" i="1"/>
  <c r="J1005" i="1" s="1"/>
  <c r="E1005" i="1"/>
  <c r="I1001" i="1"/>
  <c r="J1001" i="1" s="1"/>
  <c r="E1001" i="1"/>
  <c r="I1000" i="1"/>
  <c r="E1000" i="1"/>
  <c r="I999" i="1"/>
  <c r="J999" i="1" s="1"/>
  <c r="E999" i="1"/>
  <c r="I998" i="1"/>
  <c r="E998" i="1"/>
  <c r="I997" i="1"/>
  <c r="E997" i="1"/>
  <c r="I996" i="1"/>
  <c r="E996" i="1"/>
  <c r="I991" i="1"/>
  <c r="E991" i="1"/>
  <c r="I979" i="1"/>
  <c r="E979" i="1"/>
  <c r="I949" i="1"/>
  <c r="J949" i="1" s="1"/>
  <c r="E949" i="1"/>
  <c r="I939" i="1"/>
  <c r="J939" i="1" s="1"/>
  <c r="E939" i="1"/>
  <c r="I931" i="1"/>
  <c r="J931" i="1" s="1"/>
  <c r="E931" i="1"/>
  <c r="I944" i="1"/>
  <c r="J944" i="1" s="1"/>
  <c r="E944" i="1"/>
  <c r="I980" i="1"/>
  <c r="J980" i="1" s="1"/>
  <c r="E980" i="1"/>
  <c r="I920" i="1"/>
  <c r="E920" i="1"/>
  <c r="I883" i="1"/>
  <c r="E883" i="1"/>
  <c r="I924" i="1"/>
  <c r="J924" i="1" s="1"/>
  <c r="E924" i="1"/>
  <c r="I938" i="1"/>
  <c r="J938" i="1" s="1"/>
  <c r="E938" i="1"/>
  <c r="I927" i="1"/>
  <c r="E927" i="1"/>
  <c r="I926" i="1"/>
  <c r="E926" i="1"/>
  <c r="I936" i="1"/>
  <c r="J936" i="1" s="1"/>
  <c r="E936" i="1"/>
  <c r="I934" i="1"/>
  <c r="J934" i="1" s="1"/>
  <c r="E934" i="1"/>
  <c r="I928" i="1"/>
  <c r="J928" i="1" s="1"/>
  <c r="E928" i="1"/>
  <c r="I922" i="1"/>
  <c r="J922" i="1" s="1"/>
  <c r="E922" i="1"/>
  <c r="I921" i="1"/>
  <c r="J921" i="1" s="1"/>
  <c r="E921" i="1"/>
  <c r="I916" i="1"/>
  <c r="J916" i="1" s="1"/>
  <c r="E916" i="1"/>
  <c r="I925" i="1"/>
  <c r="E925" i="1"/>
  <c r="I893" i="1"/>
  <c r="E893" i="1"/>
  <c r="I937" i="1"/>
  <c r="E937" i="1"/>
  <c r="I890" i="1"/>
  <c r="J890" i="1" s="1"/>
  <c r="E890" i="1"/>
  <c r="I888" i="1"/>
  <c r="J888" i="1" s="1"/>
  <c r="E888" i="1"/>
  <c r="I903" i="1"/>
  <c r="J903" i="1" s="1"/>
  <c r="E903" i="1"/>
  <c r="I887" i="1"/>
  <c r="J887" i="1" s="1"/>
  <c r="E887" i="1"/>
  <c r="I886" i="1"/>
  <c r="J886" i="1" s="1"/>
  <c r="E886" i="1"/>
  <c r="I885" i="1"/>
  <c r="J885" i="1" s="1"/>
  <c r="E885" i="1"/>
  <c r="I867" i="1"/>
  <c r="J867" i="1" s="1"/>
  <c r="E867" i="1"/>
  <c r="I852" i="1"/>
  <c r="J852" i="1" s="1"/>
  <c r="E852" i="1"/>
  <c r="I851" i="1"/>
  <c r="J851" i="1" s="1"/>
  <c r="E851" i="1"/>
  <c r="I850" i="1"/>
  <c r="J850" i="1" s="1"/>
  <c r="E850" i="1"/>
  <c r="I849" i="1"/>
  <c r="J849" i="1" s="1"/>
  <c r="E849" i="1"/>
  <c r="I834" i="1"/>
  <c r="J834" i="1" s="1"/>
  <c r="E834" i="1"/>
  <c r="I818" i="1"/>
  <c r="J818" i="1" s="1"/>
  <c r="E818" i="1"/>
  <c r="I815" i="1"/>
  <c r="J815" i="1" s="1"/>
  <c r="E815" i="1"/>
  <c r="I814" i="1"/>
  <c r="J814" i="1" s="1"/>
  <c r="E814" i="1"/>
  <c r="I801" i="1"/>
  <c r="J801" i="1" s="1"/>
  <c r="E801" i="1"/>
  <c r="I790" i="1"/>
  <c r="J790" i="1" s="1"/>
  <c r="E790" i="1"/>
  <c r="I771" i="1"/>
  <c r="J771" i="1" s="1"/>
  <c r="E771" i="1"/>
  <c r="I753" i="1"/>
  <c r="J753" i="1" s="1"/>
  <c r="E753" i="1"/>
  <c r="I741" i="1"/>
  <c r="J741" i="1" s="1"/>
  <c r="E741" i="1"/>
  <c r="I725" i="1"/>
  <c r="J725" i="1" s="1"/>
  <c r="E725" i="1"/>
  <c r="I722" i="1"/>
  <c r="J722" i="1" s="1"/>
  <c r="E722" i="1"/>
  <c r="I705" i="1"/>
  <c r="J705" i="1" s="1"/>
  <c r="E705" i="1"/>
  <c r="I704" i="1"/>
  <c r="J704" i="1" s="1"/>
  <c r="E704" i="1"/>
  <c r="I695" i="1"/>
  <c r="J695" i="1" s="1"/>
  <c r="E695" i="1"/>
  <c r="I694" i="1"/>
  <c r="J694" i="1" s="1"/>
  <c r="E694" i="1"/>
  <c r="I693" i="1"/>
  <c r="J693" i="1" s="1"/>
  <c r="E693" i="1"/>
  <c r="I677" i="1"/>
  <c r="J677" i="1" s="1"/>
  <c r="E677" i="1"/>
  <c r="I676" i="1"/>
  <c r="J676" i="1" s="1"/>
  <c r="E676" i="1"/>
  <c r="I624" i="1"/>
  <c r="J624" i="1" s="1"/>
  <c r="E624" i="1"/>
  <c r="I623" i="1"/>
  <c r="J623" i="1" s="1"/>
  <c r="E623" i="1"/>
  <c r="I608" i="1"/>
  <c r="J608" i="1" s="1"/>
  <c r="E608" i="1"/>
  <c r="I607" i="1"/>
  <c r="J607" i="1" s="1"/>
  <c r="E607" i="1"/>
  <c r="I606" i="1"/>
  <c r="J606" i="1" s="1"/>
  <c r="E606" i="1"/>
  <c r="I507" i="1"/>
  <c r="J507" i="1" s="1"/>
  <c r="E507" i="1"/>
  <c r="I470" i="1"/>
  <c r="J470" i="1" s="1"/>
  <c r="E470" i="1"/>
  <c r="I392" i="1"/>
  <c r="J392" i="1" s="1"/>
  <c r="E392" i="1"/>
  <c r="I391" i="1"/>
  <c r="J391" i="1" s="1"/>
  <c r="E391" i="1"/>
  <c r="I390" i="1"/>
  <c r="J390" i="1" s="1"/>
  <c r="E390" i="1"/>
  <c r="I389" i="1"/>
  <c r="J389" i="1" s="1"/>
  <c r="E389" i="1"/>
  <c r="I221" i="1"/>
  <c r="J221" i="1" s="1"/>
  <c r="E221" i="1"/>
  <c r="I220" i="1"/>
  <c r="J220" i="1" s="1"/>
  <c r="E220" i="1"/>
  <c r="I219" i="1"/>
  <c r="J219" i="1" s="1"/>
  <c r="E219" i="1"/>
  <c r="I218" i="1"/>
  <c r="J218" i="1" s="1"/>
  <c r="E218" i="1"/>
  <c r="I145" i="1"/>
  <c r="J145" i="1" s="1"/>
  <c r="E145" i="1"/>
  <c r="I120" i="1"/>
  <c r="J120" i="1" s="1"/>
  <c r="E120" i="1"/>
  <c r="I57" i="1"/>
  <c r="J57" i="1" s="1"/>
  <c r="E57" i="1"/>
  <c r="I50" i="1"/>
  <c r="J50" i="1" s="1"/>
  <c r="E50" i="1"/>
  <c r="I901" i="1"/>
  <c r="J901" i="1" s="1"/>
  <c r="E901" i="1"/>
  <c r="I898" i="1"/>
  <c r="J898" i="1" s="1"/>
  <c r="E898" i="1"/>
  <c r="I896" i="1"/>
  <c r="J896" i="1" s="1"/>
  <c r="E896" i="1"/>
  <c r="I895" i="1"/>
  <c r="J895" i="1" s="1"/>
  <c r="E895" i="1"/>
  <c r="I894" i="1"/>
  <c r="J894" i="1" s="1"/>
  <c r="E894" i="1"/>
  <c r="I848" i="1"/>
  <c r="J848" i="1" s="1"/>
  <c r="E848" i="1"/>
  <c r="I846" i="1"/>
  <c r="J846" i="1" s="1"/>
  <c r="E846" i="1"/>
  <c r="I845" i="1"/>
  <c r="J845" i="1" s="1"/>
  <c r="E845" i="1"/>
  <c r="I844" i="1"/>
  <c r="J844" i="1" s="1"/>
  <c r="E844" i="1"/>
  <c r="I843" i="1"/>
  <c r="J843" i="1" s="1"/>
  <c r="E843" i="1"/>
  <c r="I842" i="1"/>
  <c r="J842" i="1" s="1"/>
  <c r="E842" i="1"/>
  <c r="I841" i="1"/>
  <c r="J841" i="1" s="1"/>
  <c r="E841" i="1"/>
  <c r="I840" i="1"/>
  <c r="J840" i="1" s="1"/>
  <c r="E840" i="1"/>
  <c r="I800" i="1"/>
  <c r="J800" i="1" s="1"/>
  <c r="E800" i="1"/>
  <c r="I799" i="1"/>
  <c r="J799" i="1" s="1"/>
  <c r="E799" i="1"/>
  <c r="I798" i="1"/>
  <c r="J798" i="1" s="1"/>
  <c r="E798" i="1"/>
  <c r="I797" i="1"/>
  <c r="J797" i="1" s="1"/>
  <c r="E797" i="1"/>
  <c r="I796" i="1"/>
  <c r="J796" i="1" s="1"/>
  <c r="E796" i="1"/>
  <c r="I795" i="1"/>
  <c r="J795" i="1" s="1"/>
  <c r="E795" i="1"/>
  <c r="I794" i="1"/>
  <c r="J794" i="1" s="1"/>
  <c r="E794" i="1"/>
  <c r="I793" i="1"/>
  <c r="J793" i="1" s="1"/>
  <c r="E793" i="1"/>
  <c r="I792" i="1"/>
  <c r="J792" i="1" s="1"/>
  <c r="E792" i="1"/>
  <c r="I791" i="1"/>
  <c r="J791" i="1" s="1"/>
  <c r="E791" i="1"/>
  <c r="I740" i="1"/>
  <c r="J740" i="1" s="1"/>
  <c r="E740" i="1"/>
  <c r="I739" i="1"/>
  <c r="J739" i="1" s="1"/>
  <c r="E739" i="1"/>
  <c r="I721" i="1"/>
  <c r="J721" i="1" s="1"/>
  <c r="E721" i="1"/>
  <c r="I720" i="1"/>
  <c r="J720" i="1" s="1"/>
  <c r="E720" i="1"/>
  <c r="I719" i="1"/>
  <c r="J719" i="1" s="1"/>
  <c r="E719" i="1"/>
  <c r="I718" i="1"/>
  <c r="J718" i="1" s="1"/>
  <c r="E718" i="1"/>
  <c r="I717" i="1"/>
  <c r="J717" i="1" s="1"/>
  <c r="E717" i="1"/>
  <c r="I716" i="1"/>
  <c r="J716" i="1" s="1"/>
  <c r="E716" i="1"/>
  <c r="I715" i="1"/>
  <c r="J715" i="1" s="1"/>
  <c r="E715" i="1"/>
  <c r="I714" i="1"/>
  <c r="J714" i="1" s="1"/>
  <c r="E714" i="1"/>
  <c r="I713" i="1"/>
  <c r="J713" i="1" s="1"/>
  <c r="E713" i="1"/>
  <c r="I712" i="1"/>
  <c r="J712" i="1" s="1"/>
  <c r="E712" i="1"/>
  <c r="I703" i="1"/>
  <c r="J703" i="1" s="1"/>
  <c r="E703" i="1"/>
  <c r="I641" i="1"/>
  <c r="J641" i="1" s="1"/>
  <c r="E641" i="1"/>
  <c r="I631" i="1"/>
  <c r="J631" i="1" s="1"/>
  <c r="E631" i="1"/>
  <c r="I622" i="1"/>
  <c r="J622" i="1" s="1"/>
  <c r="E622" i="1"/>
  <c r="I621" i="1"/>
  <c r="J621" i="1" s="1"/>
  <c r="E621" i="1"/>
  <c r="I620" i="1"/>
  <c r="J620" i="1" s="1"/>
  <c r="E620" i="1"/>
  <c r="I619" i="1"/>
  <c r="J619" i="1" s="1"/>
  <c r="E619" i="1"/>
  <c r="I618" i="1"/>
  <c r="J618" i="1" s="1"/>
  <c r="E618" i="1"/>
  <c r="I617" i="1"/>
  <c r="J617" i="1" s="1"/>
  <c r="E617" i="1"/>
  <c r="I616" i="1"/>
  <c r="J616" i="1" s="1"/>
  <c r="E616" i="1"/>
  <c r="I615" i="1"/>
  <c r="J615" i="1" s="1"/>
  <c r="E615" i="1"/>
  <c r="I614" i="1"/>
  <c r="J614" i="1" s="1"/>
  <c r="E614" i="1"/>
  <c r="I605" i="1"/>
  <c r="J605" i="1" s="1"/>
  <c r="E605" i="1"/>
  <c r="I591" i="1"/>
  <c r="J591" i="1" s="1"/>
  <c r="E591" i="1"/>
  <c r="I590" i="1"/>
  <c r="J590" i="1" s="1"/>
  <c r="E590" i="1"/>
  <c r="I506" i="1"/>
  <c r="J506" i="1" s="1"/>
  <c r="E506" i="1"/>
  <c r="I469" i="1"/>
  <c r="J469" i="1" s="1"/>
  <c r="E469" i="1"/>
  <c r="I468" i="1"/>
  <c r="J468" i="1" s="1"/>
  <c r="E468" i="1"/>
  <c r="I396" i="1"/>
  <c r="J396" i="1" s="1"/>
  <c r="E396" i="1"/>
  <c r="I388" i="1"/>
  <c r="J388" i="1" s="1"/>
  <c r="E388" i="1"/>
  <c r="I387" i="1"/>
  <c r="J387" i="1" s="1"/>
  <c r="E387" i="1"/>
  <c r="I386" i="1"/>
  <c r="J386" i="1" s="1"/>
  <c r="E386" i="1"/>
  <c r="I385" i="1"/>
  <c r="J385" i="1" s="1"/>
  <c r="E385" i="1"/>
  <c r="I377" i="1"/>
  <c r="J377" i="1" s="1"/>
  <c r="E377" i="1"/>
  <c r="I346" i="1"/>
  <c r="J346" i="1" s="1"/>
  <c r="E346" i="1"/>
  <c r="I345" i="1"/>
  <c r="J345" i="1" s="1"/>
  <c r="E345" i="1"/>
  <c r="I344" i="1"/>
  <c r="J344" i="1" s="1"/>
  <c r="E344" i="1"/>
  <c r="I343" i="1"/>
  <c r="J343" i="1" s="1"/>
  <c r="E343" i="1"/>
  <c r="I325" i="1"/>
  <c r="J325" i="1" s="1"/>
  <c r="E325" i="1"/>
  <c r="I324" i="1"/>
  <c r="J324" i="1" s="1"/>
  <c r="E324" i="1"/>
  <c r="I266" i="1"/>
  <c r="J266" i="1" s="1"/>
  <c r="E266" i="1"/>
  <c r="I241" i="1"/>
  <c r="J241" i="1" s="1"/>
  <c r="E241" i="1"/>
  <c r="I217" i="1"/>
  <c r="J217" i="1" s="1"/>
  <c r="E217" i="1"/>
  <c r="I216" i="1"/>
  <c r="J216" i="1" s="1"/>
  <c r="E216" i="1"/>
  <c r="I215" i="1"/>
  <c r="J215" i="1" s="1"/>
  <c r="E215" i="1"/>
  <c r="I214" i="1"/>
  <c r="J214" i="1" s="1"/>
  <c r="E214" i="1"/>
  <c r="I213" i="1"/>
  <c r="J213" i="1" s="1"/>
  <c r="E213" i="1"/>
  <c r="I212" i="1"/>
  <c r="J212" i="1" s="1"/>
  <c r="E212" i="1"/>
  <c r="I211" i="1"/>
  <c r="J211" i="1" s="1"/>
  <c r="E211" i="1"/>
  <c r="I202" i="1"/>
  <c r="J202" i="1" s="1"/>
  <c r="E202" i="1"/>
  <c r="I201" i="1"/>
  <c r="J201" i="1" s="1"/>
  <c r="E201" i="1"/>
  <c r="I200" i="1"/>
  <c r="J200" i="1" s="1"/>
  <c r="E200" i="1"/>
  <c r="I163" i="1"/>
  <c r="J163" i="1" s="1"/>
  <c r="E163" i="1"/>
  <c r="I144" i="1"/>
  <c r="J144" i="1" s="1"/>
  <c r="E144" i="1"/>
  <c r="I119" i="1"/>
  <c r="J119" i="1" s="1"/>
  <c r="E119" i="1"/>
  <c r="I97" i="1"/>
  <c r="J97" i="1" s="1"/>
  <c r="E97" i="1"/>
  <c r="I96" i="1"/>
  <c r="J96" i="1" s="1"/>
  <c r="E96" i="1"/>
  <c r="I95" i="1"/>
  <c r="J95" i="1" s="1"/>
  <c r="E95" i="1"/>
  <c r="I94" i="1"/>
  <c r="J94" i="1" s="1"/>
  <c r="E94" i="1"/>
  <c r="I93" i="1"/>
  <c r="J93" i="1" s="1"/>
  <c r="E93" i="1"/>
  <c r="I86" i="1"/>
  <c r="J86" i="1" s="1"/>
  <c r="E86" i="1"/>
  <c r="I56" i="1"/>
  <c r="J56" i="1" s="1"/>
  <c r="E56" i="1"/>
  <c r="I41" i="1"/>
  <c r="J41" i="1" s="1"/>
  <c r="E41" i="1"/>
  <c r="I31" i="1"/>
  <c r="E31" i="1"/>
  <c r="I80" i="1"/>
  <c r="J80" i="1" s="1"/>
  <c r="E80" i="1"/>
  <c r="I384" i="1"/>
  <c r="I376" i="1"/>
  <c r="I199" i="1"/>
  <c r="I350" i="1"/>
  <c r="I763" i="1"/>
  <c r="I762" i="1"/>
  <c r="I892" i="1"/>
  <c r="I571" i="1"/>
  <c r="I773" i="1"/>
  <c r="I125" i="1"/>
  <c r="I550" i="1"/>
  <c r="I474" i="1"/>
  <c r="I349" i="1"/>
  <c r="I375" i="1"/>
  <c r="I283" i="1"/>
  <c r="I84" i="1"/>
  <c r="I267" i="1"/>
  <c r="I915" i="1"/>
  <c r="J915" i="1" s="1"/>
  <c r="I914" i="1"/>
  <c r="J914" i="1" s="1"/>
  <c r="I913" i="1"/>
  <c r="J913" i="1" s="1"/>
  <c r="I912" i="1"/>
  <c r="J912" i="1" s="1"/>
  <c r="I911" i="1"/>
  <c r="J911" i="1" s="1"/>
  <c r="I910" i="1"/>
  <c r="J910" i="1" s="1"/>
  <c r="I909" i="1"/>
  <c r="I908" i="1"/>
  <c r="I907" i="1"/>
  <c r="I906" i="1"/>
  <c r="I905" i="1"/>
  <c r="I904" i="1"/>
  <c r="I789" i="1"/>
  <c r="J789" i="1" s="1"/>
  <c r="I788" i="1"/>
  <c r="J788" i="1" s="1"/>
  <c r="I787" i="1"/>
  <c r="J787" i="1" s="1"/>
  <c r="I786" i="1"/>
  <c r="J786" i="1" s="1"/>
  <c r="I785" i="1"/>
  <c r="J785" i="1" s="1"/>
  <c r="I784" i="1"/>
  <c r="J784" i="1" s="1"/>
  <c r="I783" i="1"/>
  <c r="I782" i="1"/>
  <c r="I781" i="1"/>
  <c r="I780" i="1"/>
  <c r="I779" i="1"/>
  <c r="I778" i="1"/>
  <c r="I589" i="1"/>
  <c r="J589" i="1" s="1"/>
  <c r="I588" i="1"/>
  <c r="J588" i="1" s="1"/>
  <c r="I587" i="1"/>
  <c r="J587" i="1" s="1"/>
  <c r="I586" i="1"/>
  <c r="J586" i="1" s="1"/>
  <c r="I585" i="1"/>
  <c r="J585" i="1" s="1"/>
  <c r="I584" i="1"/>
  <c r="J584" i="1" s="1"/>
  <c r="I583" i="1"/>
  <c r="I581" i="1"/>
  <c r="I579" i="1"/>
  <c r="I578" i="1"/>
  <c r="I143" i="1"/>
  <c r="J143" i="1" s="1"/>
  <c r="E143" i="1"/>
  <c r="I142" i="1"/>
  <c r="J142" i="1" s="1"/>
  <c r="E142" i="1"/>
  <c r="I141" i="1"/>
  <c r="J141" i="1" s="1"/>
  <c r="E141" i="1"/>
  <c r="I140" i="1"/>
  <c r="J140" i="1" s="1"/>
  <c r="E140" i="1"/>
  <c r="I139" i="1"/>
  <c r="J139" i="1" s="1"/>
  <c r="E139" i="1"/>
  <c r="I138" i="1"/>
  <c r="J138" i="1" s="1"/>
  <c r="E138" i="1"/>
  <c r="I137" i="1"/>
  <c r="E137" i="1"/>
  <c r="I136" i="1"/>
  <c r="E136" i="1"/>
  <c r="I135" i="1"/>
  <c r="E135" i="1"/>
  <c r="I133" i="1"/>
  <c r="E133" i="1"/>
  <c r="I813" i="1"/>
  <c r="J813" i="1" s="1"/>
  <c r="E813" i="1"/>
  <c r="I884" i="1"/>
  <c r="J884" i="1" s="1"/>
  <c r="E884" i="1"/>
  <c r="I881" i="1"/>
  <c r="E881" i="1"/>
  <c r="I876" i="1"/>
  <c r="J876" i="1" s="1"/>
  <c r="E876" i="1"/>
  <c r="I877" i="1"/>
  <c r="J877" i="1" s="1"/>
  <c r="E877" i="1"/>
  <c r="I882" i="1"/>
  <c r="J882" i="1" s="1"/>
  <c r="E882" i="1"/>
  <c r="I875" i="1"/>
  <c r="E875" i="1"/>
  <c r="I871" i="1"/>
  <c r="E871" i="1"/>
  <c r="I869" i="1"/>
  <c r="E869" i="1"/>
  <c r="I868" i="1"/>
  <c r="J868" i="1" s="1"/>
  <c r="E868" i="1"/>
  <c r="I861" i="1"/>
  <c r="J861" i="1" s="1"/>
  <c r="E861" i="1"/>
  <c r="I873" i="1"/>
  <c r="J873" i="1" s="1"/>
  <c r="E873" i="1"/>
  <c r="I864" i="1"/>
  <c r="J864" i="1" s="1"/>
  <c r="E864" i="1"/>
  <c r="I865" i="1"/>
  <c r="J865" i="1" s="1"/>
  <c r="E865" i="1"/>
  <c r="I856" i="1"/>
  <c r="J856" i="1" s="1"/>
  <c r="E856" i="1"/>
  <c r="I866" i="1"/>
  <c r="J866" i="1" s="1"/>
  <c r="E866" i="1"/>
  <c r="I301" i="1"/>
  <c r="J301" i="1" s="1"/>
  <c r="E301" i="1"/>
  <c r="I185" i="1"/>
  <c r="J185" i="1" s="1"/>
  <c r="E185" i="1"/>
  <c r="I835" i="1"/>
  <c r="J835" i="1" s="1"/>
  <c r="E835" i="1"/>
  <c r="I854" i="1"/>
  <c r="J854" i="1" s="1"/>
  <c r="E854" i="1"/>
  <c r="I853" i="1"/>
  <c r="J853" i="1" s="1"/>
  <c r="E853" i="1"/>
  <c r="I838" i="1"/>
  <c r="J838" i="1" s="1"/>
  <c r="E838" i="1"/>
  <c r="I837" i="1"/>
  <c r="J837" i="1" s="1"/>
  <c r="E837" i="1"/>
  <c r="I863" i="1"/>
  <c r="E863" i="1"/>
  <c r="I836" i="1"/>
  <c r="E836" i="1"/>
  <c r="I839" i="1"/>
  <c r="J839" i="1" s="1"/>
  <c r="E839" i="1"/>
  <c r="I829" i="1"/>
  <c r="J829" i="1" s="1"/>
  <c r="E829" i="1"/>
  <c r="I830" i="1"/>
  <c r="J830" i="1" s="1"/>
  <c r="E830" i="1"/>
  <c r="I832" i="1"/>
  <c r="J832" i="1" s="1"/>
  <c r="E832" i="1"/>
  <c r="I831" i="1"/>
  <c r="J831" i="1" s="1"/>
  <c r="E831" i="1"/>
  <c r="I774" i="1"/>
  <c r="J774" i="1" s="1"/>
  <c r="E774" i="1"/>
  <c r="I776" i="1"/>
  <c r="J776" i="1" s="1"/>
  <c r="E776" i="1"/>
  <c r="I807" i="1"/>
  <c r="J807" i="1" s="1"/>
  <c r="E807" i="1"/>
  <c r="I802" i="1"/>
  <c r="J802" i="1" s="1"/>
  <c r="E802" i="1"/>
  <c r="I816" i="1"/>
  <c r="J816" i="1" s="1"/>
  <c r="E816" i="1"/>
  <c r="I828" i="1"/>
  <c r="E828" i="1"/>
  <c r="I819" i="1"/>
  <c r="J819" i="1" s="1"/>
  <c r="E819" i="1"/>
  <c r="I821" i="1"/>
  <c r="J821" i="1" s="1"/>
  <c r="E821" i="1"/>
  <c r="I826" i="1"/>
  <c r="J826" i="1" s="1"/>
  <c r="E826" i="1"/>
  <c r="I804" i="1"/>
  <c r="J804" i="1" s="1"/>
  <c r="E804" i="1"/>
  <c r="I262" i="1"/>
  <c r="J262" i="1" s="1"/>
  <c r="E262" i="1"/>
  <c r="I757" i="1"/>
  <c r="J757" i="1" s="1"/>
  <c r="E757" i="1"/>
  <c r="I759" i="1"/>
  <c r="J759" i="1" s="1"/>
  <c r="E759" i="1"/>
  <c r="I770" i="1"/>
  <c r="J770" i="1" s="1"/>
  <c r="E770" i="1"/>
  <c r="I700" i="1"/>
  <c r="J700" i="1" s="1"/>
  <c r="E700" i="1"/>
  <c r="I674" i="1"/>
  <c r="J674" i="1" s="1"/>
  <c r="E674" i="1"/>
  <c r="I673" i="1"/>
  <c r="J673" i="1" s="1"/>
  <c r="E673" i="1"/>
  <c r="I630" i="1"/>
  <c r="J630" i="1" s="1"/>
  <c r="E630" i="1"/>
  <c r="I604" i="1"/>
  <c r="J604" i="1" s="1"/>
  <c r="E604" i="1"/>
  <c r="I699" i="1"/>
  <c r="E699" i="1"/>
  <c r="I667" i="1"/>
  <c r="E667" i="1"/>
  <c r="I765" i="1"/>
  <c r="E765" i="1"/>
  <c r="I744" i="1"/>
  <c r="E744" i="1"/>
  <c r="I602" i="1"/>
  <c r="J602" i="1" s="1"/>
  <c r="E602" i="1"/>
  <c r="I601" i="1"/>
  <c r="J601" i="1" s="1"/>
  <c r="E601" i="1"/>
  <c r="I745" i="1"/>
  <c r="J745" i="1" s="1"/>
  <c r="E745" i="1"/>
  <c r="I754" i="1"/>
  <c r="J754" i="1" s="1"/>
  <c r="E754" i="1"/>
  <c r="I603" i="1"/>
  <c r="J603" i="1" s="1"/>
  <c r="E603" i="1"/>
  <c r="I701" i="1"/>
  <c r="E701" i="1"/>
  <c r="I769" i="1"/>
  <c r="J769" i="1" s="1"/>
  <c r="E769" i="1"/>
  <c r="I768" i="1"/>
  <c r="J768" i="1" s="1"/>
  <c r="E768" i="1"/>
  <c r="I746" i="1"/>
  <c r="J746" i="1" s="1"/>
  <c r="E746" i="1"/>
  <c r="I638" i="1"/>
  <c r="J638" i="1" s="1"/>
  <c r="E638" i="1"/>
  <c r="I766" i="1"/>
  <c r="E766" i="1"/>
  <c r="I629" i="1"/>
  <c r="E629" i="1"/>
  <c r="I690" i="1"/>
  <c r="J690" i="1" s="1"/>
  <c r="E690" i="1"/>
  <c r="I665" i="1"/>
  <c r="J665" i="1" s="1"/>
  <c r="E665" i="1"/>
  <c r="I487" i="1"/>
  <c r="J487" i="1" s="1"/>
  <c r="E487" i="1"/>
  <c r="I697" i="1"/>
  <c r="J697" i="1" s="1"/>
  <c r="E697" i="1"/>
  <c r="I688" i="1"/>
  <c r="J688" i="1" s="1"/>
  <c r="E688" i="1"/>
  <c r="I671" i="1"/>
  <c r="J671" i="1" s="1"/>
  <c r="E671" i="1"/>
  <c r="I632" i="1"/>
  <c r="J632" i="1" s="1"/>
  <c r="E632" i="1"/>
  <c r="I627" i="1"/>
  <c r="J627" i="1" s="1"/>
  <c r="E627" i="1"/>
  <c r="I625" i="1"/>
  <c r="J625" i="1" s="1"/>
  <c r="E625" i="1"/>
  <c r="I613" i="1"/>
  <c r="J613" i="1" s="1"/>
  <c r="E613" i="1"/>
  <c r="I489" i="1"/>
  <c r="J489" i="1" s="1"/>
  <c r="E489" i="1"/>
  <c r="I738" i="1"/>
  <c r="J738" i="1" s="1"/>
  <c r="E738" i="1"/>
  <c r="I711" i="1"/>
  <c r="J711" i="1" s="1"/>
  <c r="E711" i="1"/>
  <c r="I710" i="1"/>
  <c r="J710" i="1" s="1"/>
  <c r="E710" i="1"/>
  <c r="I678" i="1"/>
  <c r="J678" i="1" s="1"/>
  <c r="E678" i="1"/>
  <c r="I657" i="1"/>
  <c r="J657" i="1" s="1"/>
  <c r="E657" i="1"/>
  <c r="I648" i="1"/>
  <c r="J648" i="1" s="1"/>
  <c r="E648" i="1"/>
  <c r="I595" i="1"/>
  <c r="J595" i="1" s="1"/>
  <c r="E595" i="1"/>
  <c r="E764" i="1"/>
  <c r="I687" i="1"/>
  <c r="J687" i="1" s="1"/>
  <c r="E687" i="1"/>
  <c r="I743" i="1"/>
  <c r="J743" i="1" s="1"/>
  <c r="E743" i="1"/>
  <c r="I552" i="1"/>
  <c r="J552" i="1" s="1"/>
  <c r="E552" i="1"/>
  <c r="E592" i="1"/>
  <c r="I761" i="1"/>
  <c r="J761" i="1" s="1"/>
  <c r="E761" i="1"/>
  <c r="E767" i="1"/>
  <c r="E772" i="1"/>
  <c r="I723" i="1"/>
  <c r="E723" i="1"/>
  <c r="I692" i="1"/>
  <c r="E692" i="1"/>
  <c r="I634" i="1"/>
  <c r="E634" i="1"/>
  <c r="I734" i="1"/>
  <c r="E734" i="1"/>
  <c r="I731" i="1"/>
  <c r="J731" i="1" s="1"/>
  <c r="E731" i="1"/>
  <c r="I730" i="1"/>
  <c r="E730" i="1"/>
  <c r="I726" i="1"/>
  <c r="J726" i="1" s="1"/>
  <c r="E726" i="1"/>
  <c r="I642" i="1"/>
  <c r="J642" i="1" s="1"/>
  <c r="E642" i="1"/>
  <c r="I610" i="1"/>
  <c r="J610" i="1" s="1"/>
  <c r="E610" i="1"/>
  <c r="I742" i="1"/>
  <c r="J742" i="1" s="1"/>
  <c r="E742" i="1"/>
  <c r="I756" i="1"/>
  <c r="J756" i="1" s="1"/>
  <c r="E756" i="1"/>
  <c r="I706" i="1"/>
  <c r="J706" i="1" s="1"/>
  <c r="E706" i="1"/>
  <c r="I737" i="1"/>
  <c r="J737" i="1" s="1"/>
  <c r="E737" i="1"/>
  <c r="I696" i="1"/>
  <c r="J696" i="1" s="1"/>
  <c r="E696" i="1"/>
  <c r="I691" i="1"/>
  <c r="J691" i="1" s="1"/>
  <c r="E691" i="1"/>
  <c r="I636" i="1"/>
  <c r="J636" i="1" s="1"/>
  <c r="E636" i="1"/>
  <c r="I612" i="1"/>
  <c r="J612" i="1" s="1"/>
  <c r="E612" i="1"/>
  <c r="I609" i="1"/>
  <c r="J609" i="1" s="1"/>
  <c r="E609" i="1"/>
  <c r="I702" i="1"/>
  <c r="J702" i="1" s="1"/>
  <c r="E702" i="1"/>
  <c r="I502" i="1"/>
  <c r="J502" i="1" s="1"/>
  <c r="E502" i="1"/>
  <c r="I493" i="1"/>
  <c r="J493" i="1" s="1"/>
  <c r="E493" i="1"/>
  <c r="I490" i="1"/>
  <c r="J490" i="1" s="1"/>
  <c r="E490" i="1"/>
  <c r="I484" i="1"/>
  <c r="E484" i="1"/>
  <c r="I486" i="1"/>
  <c r="E486" i="1"/>
  <c r="I559" i="1"/>
  <c r="J559" i="1" s="1"/>
  <c r="E559" i="1"/>
  <c r="I577" i="1"/>
  <c r="E577" i="1"/>
  <c r="I558" i="1"/>
  <c r="E558" i="1"/>
  <c r="I574" i="1"/>
  <c r="J574" i="1" s="1"/>
  <c r="E574" i="1"/>
  <c r="I573" i="1"/>
  <c r="J573" i="1" s="1"/>
  <c r="E573" i="1"/>
  <c r="I576" i="1"/>
  <c r="J576" i="1" s="1"/>
  <c r="E576" i="1"/>
  <c r="I475" i="1"/>
  <c r="J475" i="1" s="1"/>
  <c r="E475" i="1"/>
  <c r="I551" i="1"/>
  <c r="E551" i="1"/>
  <c r="I447" i="1"/>
  <c r="E447" i="1"/>
  <c r="I481" i="1"/>
  <c r="E481" i="1"/>
  <c r="I548" i="1"/>
  <c r="E548" i="1"/>
  <c r="I546" i="1"/>
  <c r="J546" i="1" s="1"/>
  <c r="E546" i="1"/>
  <c r="I544" i="1"/>
  <c r="E544" i="1"/>
  <c r="I541" i="1"/>
  <c r="E541" i="1"/>
  <c r="I539" i="1"/>
  <c r="J539" i="1" s="1"/>
  <c r="E539" i="1"/>
  <c r="I510" i="1"/>
  <c r="J510" i="1" s="1"/>
  <c r="E510" i="1"/>
  <c r="I471" i="1"/>
  <c r="J471" i="1" s="1"/>
  <c r="E471" i="1"/>
  <c r="I509" i="1"/>
  <c r="J509" i="1" s="1"/>
  <c r="E509" i="1"/>
  <c r="I508" i="1"/>
  <c r="J508" i="1" s="1"/>
  <c r="E508" i="1"/>
  <c r="I575" i="1"/>
  <c r="J575" i="1" s="1"/>
  <c r="E575" i="1"/>
  <c r="I451" i="1"/>
  <c r="E451" i="1"/>
  <c r="I428" i="1"/>
  <c r="J428" i="1" s="1"/>
  <c r="E428" i="1"/>
  <c r="I432" i="1"/>
  <c r="E432" i="1"/>
  <c r="I460" i="1"/>
  <c r="J460" i="1" s="1"/>
  <c r="E460" i="1"/>
  <c r="I429" i="1"/>
  <c r="J429" i="1" s="1"/>
  <c r="E429" i="1"/>
  <c r="I437" i="1"/>
  <c r="J437" i="1" s="1"/>
  <c r="E437" i="1"/>
  <c r="I425" i="1"/>
  <c r="J425" i="1" s="1"/>
  <c r="E425" i="1"/>
  <c r="I436" i="1"/>
  <c r="J436" i="1" s="1"/>
  <c r="E436" i="1"/>
  <c r="I398" i="1"/>
  <c r="J398" i="1" s="1"/>
  <c r="E398" i="1"/>
  <c r="I397" i="1"/>
  <c r="J397" i="1" s="1"/>
  <c r="E397" i="1"/>
  <c r="I467" i="1"/>
  <c r="J467" i="1" s="1"/>
  <c r="E467" i="1"/>
  <c r="I450" i="1"/>
  <c r="E450" i="1"/>
  <c r="I462" i="1"/>
  <c r="J462" i="1" s="1"/>
  <c r="E462" i="1"/>
  <c r="I488" i="1"/>
  <c r="J488" i="1" s="1"/>
  <c r="E488" i="1"/>
  <c r="I431" i="1"/>
  <c r="J431" i="1" s="1"/>
  <c r="E431" i="1"/>
  <c r="I442" i="1"/>
  <c r="J442" i="1" s="1"/>
  <c r="E442" i="1"/>
  <c r="I424" i="1"/>
  <c r="J424" i="1" s="1"/>
  <c r="E424" i="1"/>
  <c r="I422" i="1"/>
  <c r="J422" i="1" s="1"/>
  <c r="E422" i="1"/>
  <c r="I414" i="1"/>
  <c r="J414" i="1" s="1"/>
  <c r="E414" i="1"/>
  <c r="I439" i="1"/>
  <c r="J439" i="1" s="1"/>
  <c r="E439" i="1"/>
  <c r="I402" i="1"/>
  <c r="E402" i="1"/>
  <c r="I456" i="1"/>
  <c r="E456" i="1"/>
  <c r="I459" i="1"/>
  <c r="J459" i="1" s="1"/>
  <c r="E459" i="1"/>
  <c r="I457" i="1"/>
  <c r="E457" i="1"/>
  <c r="I449" i="1"/>
  <c r="J449" i="1" s="1"/>
  <c r="E449" i="1"/>
  <c r="I448" i="1"/>
  <c r="J448" i="1" s="1"/>
  <c r="E448" i="1"/>
  <c r="I482" i="1"/>
  <c r="J482" i="1" s="1"/>
  <c r="E482" i="1"/>
  <c r="I351" i="1"/>
  <c r="J351" i="1" s="1"/>
  <c r="E351" i="1"/>
  <c r="I340" i="1"/>
  <c r="J340" i="1" s="1"/>
  <c r="E340" i="1"/>
  <c r="I426" i="1"/>
  <c r="J426" i="1" s="1"/>
  <c r="E426" i="1"/>
  <c r="I338" i="1"/>
  <c r="E338" i="1"/>
  <c r="I362" i="1"/>
  <c r="J362" i="1" s="1"/>
  <c r="E362" i="1"/>
  <c r="I435" i="1"/>
  <c r="J435" i="1" s="1"/>
  <c r="E435" i="1"/>
  <c r="I360" i="1"/>
  <c r="J360" i="1" s="1"/>
  <c r="E360" i="1"/>
  <c r="I358" i="1"/>
  <c r="J358" i="1" s="1"/>
  <c r="E358" i="1"/>
  <c r="I393" i="1"/>
  <c r="J393" i="1" s="1"/>
  <c r="E393" i="1"/>
  <c r="I381" i="1"/>
  <c r="J381" i="1" s="1"/>
  <c r="E381" i="1"/>
  <c r="I380" i="1"/>
  <c r="J380" i="1" s="1"/>
  <c r="E380" i="1"/>
  <c r="I379" i="1"/>
  <c r="J379" i="1" s="1"/>
  <c r="E379" i="1"/>
  <c r="I348" i="1"/>
  <c r="J348" i="1" s="1"/>
  <c r="E348" i="1"/>
  <c r="I347" i="1"/>
  <c r="J347" i="1" s="1"/>
  <c r="E347" i="1"/>
  <c r="I334" i="1"/>
  <c r="J334" i="1" s="1"/>
  <c r="E334" i="1"/>
  <c r="I430" i="1"/>
  <c r="E430" i="1"/>
  <c r="I407" i="1"/>
  <c r="J407" i="1" s="1"/>
  <c r="E407" i="1"/>
  <c r="I404" i="1"/>
  <c r="J404" i="1" s="1"/>
  <c r="E404" i="1"/>
  <c r="I401" i="1"/>
  <c r="E401" i="1"/>
  <c r="I399" i="1"/>
  <c r="J399" i="1" s="1"/>
  <c r="E399" i="1"/>
  <c r="I331" i="1"/>
  <c r="J331" i="1" s="1"/>
  <c r="E331" i="1"/>
  <c r="I330" i="1"/>
  <c r="J330" i="1" s="1"/>
  <c r="E330" i="1"/>
  <c r="I327" i="1"/>
  <c r="J327" i="1" s="1"/>
  <c r="E327" i="1"/>
  <c r="I326" i="1"/>
  <c r="E326" i="1"/>
  <c r="I378" i="1"/>
  <c r="E378" i="1"/>
  <c r="I288" i="1"/>
  <c r="J288" i="1" s="1"/>
  <c r="E288" i="1"/>
  <c r="I284" i="1"/>
  <c r="J284" i="1" s="1"/>
  <c r="E284" i="1"/>
  <c r="I315" i="1"/>
  <c r="J315" i="1" s="1"/>
  <c r="E315" i="1"/>
  <c r="I339" i="1"/>
  <c r="J339" i="1" s="1"/>
  <c r="E339" i="1"/>
  <c r="I321" i="1"/>
  <c r="E321" i="1"/>
  <c r="I342" i="1"/>
  <c r="E342" i="1"/>
  <c r="I322" i="1"/>
  <c r="E322" i="1"/>
  <c r="I323" i="1"/>
  <c r="E323" i="1"/>
  <c r="I300" i="1"/>
  <c r="J300" i="1" s="1"/>
  <c r="E300" i="1"/>
  <c r="I341" i="1"/>
  <c r="J341" i="1" s="1"/>
  <c r="E341" i="1"/>
  <c r="I303" i="1"/>
  <c r="J303" i="1" s="1"/>
  <c r="E303" i="1"/>
  <c r="I291" i="1"/>
  <c r="E291" i="1"/>
  <c r="I290" i="1"/>
  <c r="E290" i="1"/>
  <c r="I280" i="1"/>
  <c r="J280" i="1" s="1"/>
  <c r="E280" i="1"/>
  <c r="I274" i="1"/>
  <c r="J274" i="1" s="1"/>
  <c r="E274" i="1"/>
  <c r="I292" i="1"/>
  <c r="J292" i="1" s="1"/>
  <c r="E292" i="1"/>
  <c r="I289" i="1"/>
  <c r="E289" i="1"/>
  <c r="I273" i="1"/>
  <c r="J273" i="1" s="1"/>
  <c r="E273" i="1"/>
  <c r="I268" i="1"/>
  <c r="J268" i="1" s="1"/>
  <c r="E268" i="1"/>
  <c r="I302" i="1"/>
  <c r="J302" i="1" s="1"/>
  <c r="E302" i="1"/>
  <c r="I261" i="1"/>
  <c r="E261" i="1"/>
  <c r="I242" i="1"/>
  <c r="J242" i="1" s="1"/>
  <c r="E242" i="1"/>
  <c r="I206" i="1"/>
  <c r="J206" i="1" s="1"/>
  <c r="E206" i="1"/>
  <c r="I203" i="1"/>
  <c r="J203" i="1" s="1"/>
  <c r="E203" i="1"/>
  <c r="I257" i="1"/>
  <c r="E257" i="1"/>
  <c r="I248" i="1"/>
  <c r="J248" i="1" s="1"/>
  <c r="E248" i="1"/>
  <c r="I176" i="1"/>
  <c r="E176" i="1"/>
  <c r="I265" i="1"/>
  <c r="J265" i="1" s="1"/>
  <c r="E265" i="1"/>
  <c r="I198" i="1"/>
  <c r="J198" i="1" s="1"/>
  <c r="E198" i="1"/>
  <c r="I196" i="1"/>
  <c r="J196" i="1" s="1"/>
  <c r="E196" i="1"/>
  <c r="I194" i="1"/>
  <c r="J194" i="1" s="1"/>
  <c r="E194" i="1"/>
  <c r="I189" i="1"/>
  <c r="J189" i="1" s="1"/>
  <c r="E189" i="1"/>
  <c r="I171" i="1"/>
  <c r="J171" i="1" s="1"/>
  <c r="E171" i="1"/>
  <c r="I170" i="1"/>
  <c r="J170" i="1" s="1"/>
  <c r="E170" i="1"/>
  <c r="I168" i="1"/>
  <c r="J168" i="1" s="1"/>
  <c r="E168" i="1"/>
  <c r="J174" i="1"/>
  <c r="E174" i="1"/>
  <c r="E240" i="1"/>
  <c r="I186" i="1"/>
  <c r="J186" i="1" s="1"/>
  <c r="E186" i="1"/>
  <c r="I180" i="1"/>
  <c r="E180" i="1"/>
  <c r="I178" i="1"/>
  <c r="J178" i="1" s="1"/>
  <c r="E178" i="1"/>
  <c r="I263" i="1"/>
  <c r="E263" i="1"/>
  <c r="I247" i="1"/>
  <c r="J247" i="1" s="1"/>
  <c r="E247" i="1"/>
  <c r="I246" i="1"/>
  <c r="J246" i="1" s="1"/>
  <c r="E246" i="1"/>
  <c r="I260" i="1"/>
  <c r="J260" i="1" s="1"/>
  <c r="E260" i="1"/>
  <c r="I264" i="1"/>
  <c r="J264" i="1" s="1"/>
  <c r="E264" i="1"/>
  <c r="I166" i="1"/>
  <c r="J166" i="1" s="1"/>
  <c r="E166" i="1"/>
  <c r="I245" i="1"/>
  <c r="E245" i="1"/>
  <c r="I146" i="1"/>
  <c r="E146" i="1"/>
  <c r="I164" i="1"/>
  <c r="J164" i="1" s="1"/>
  <c r="E164" i="1"/>
  <c r="I222" i="1"/>
  <c r="J222" i="1" s="1"/>
  <c r="E222" i="1"/>
  <c r="I160" i="1"/>
  <c r="J160" i="1" s="1"/>
  <c r="E160" i="1"/>
  <c r="I156" i="1"/>
  <c r="J156" i="1" s="1"/>
  <c r="E156" i="1"/>
  <c r="I70" i="1"/>
  <c r="J70" i="1" s="1"/>
  <c r="E70" i="1"/>
  <c r="I51" i="1"/>
  <c r="J51" i="1" s="1"/>
  <c r="E51" i="1"/>
  <c r="I148" i="1"/>
  <c r="J148" i="1" s="1"/>
  <c r="E148" i="1"/>
  <c r="I155" i="1"/>
  <c r="J155" i="1" s="1"/>
  <c r="E155" i="1"/>
  <c r="I129" i="1"/>
  <c r="J129" i="1" s="1"/>
  <c r="E129" i="1"/>
  <c r="I121" i="1"/>
  <c r="E121" i="1"/>
  <c r="I115" i="1"/>
  <c r="E115" i="1"/>
  <c r="I131" i="1"/>
  <c r="E131" i="1"/>
  <c r="I118" i="1"/>
  <c r="E118" i="1"/>
  <c r="I110" i="1"/>
  <c r="J110" i="1" s="1"/>
  <c r="E110" i="1"/>
  <c r="I126" i="1"/>
  <c r="E126" i="1"/>
  <c r="I85" i="1"/>
  <c r="E85" i="1"/>
  <c r="I23" i="1"/>
  <c r="E23" i="1"/>
  <c r="I87" i="1"/>
  <c r="E87" i="1"/>
  <c r="I106" i="1"/>
  <c r="J106" i="1" s="1"/>
  <c r="E106" i="1"/>
  <c r="I98" i="1"/>
  <c r="E98" i="1"/>
  <c r="I74" i="1"/>
  <c r="E74" i="1"/>
  <c r="I77" i="1"/>
  <c r="E77" i="1"/>
  <c r="I79" i="1"/>
  <c r="E79" i="1"/>
  <c r="I78" i="1"/>
  <c r="E78" i="1"/>
  <c r="I58" i="1"/>
  <c r="E58" i="1"/>
  <c r="I55" i="1"/>
  <c r="E55" i="1"/>
  <c r="I43" i="1"/>
  <c r="E43" i="1"/>
  <c r="I20" i="1"/>
  <c r="L20" i="1" s="1"/>
  <c r="E20" i="1"/>
  <c r="I25" i="1"/>
  <c r="E25" i="1"/>
  <c r="I21" i="1"/>
  <c r="E21" i="1"/>
  <c r="I49" i="1"/>
  <c r="E49" i="1"/>
  <c r="I30" i="1"/>
  <c r="E30" i="1"/>
  <c r="I28" i="1"/>
  <c r="E28" i="1"/>
  <c r="I47" i="1"/>
  <c r="E47" i="1"/>
  <c r="I37" i="1"/>
  <c r="E37" i="1"/>
  <c r="I34" i="1"/>
  <c r="E34" i="1"/>
  <c r="I60" i="1"/>
  <c r="E60" i="1"/>
  <c r="I32" i="1"/>
  <c r="J32" i="1" s="1"/>
  <c r="E32" i="1"/>
  <c r="I40" i="1"/>
  <c r="E40" i="1"/>
  <c r="I29" i="1"/>
  <c r="E29" i="1"/>
  <c r="I15" i="1"/>
  <c r="E15" i="1"/>
  <c r="I72" i="1"/>
  <c r="E72" i="1"/>
  <c r="I42" i="1"/>
  <c r="J42" i="1" s="1"/>
  <c r="E42" i="1"/>
  <c r="I33" i="1"/>
  <c r="E33" i="1"/>
  <c r="I22" i="1"/>
  <c r="E22" i="1"/>
  <c r="E12" i="1"/>
  <c r="I12" i="1"/>
  <c r="P433" i="7" l="1"/>
  <c r="G177" i="9"/>
  <c r="W432" i="7"/>
  <c r="T430" i="7"/>
  <c r="U430" i="7" s="1"/>
  <c r="V430" i="7" s="1"/>
  <c r="W430" i="7" s="1"/>
  <c r="X430" i="7" s="1"/>
  <c r="Y430" i="7" s="1"/>
  <c r="Z430" i="7" s="1"/>
  <c r="AA430" i="7" s="1"/>
  <c r="AB430" i="7" s="1"/>
  <c r="AC430" i="7" s="1"/>
  <c r="AD430" i="7" s="1"/>
  <c r="AE430" i="7" s="1"/>
  <c r="AF430" i="7" s="1"/>
  <c r="AG430" i="7" s="1"/>
  <c r="AH430" i="7" s="1"/>
  <c r="AI430" i="7" s="1"/>
  <c r="AJ430" i="7" s="1"/>
  <c r="AK430" i="7" s="1"/>
  <c r="AL430" i="7" s="1"/>
  <c r="AM430" i="7" s="1"/>
  <c r="T432" i="7"/>
  <c r="U432" i="7"/>
  <c r="Q433" i="7"/>
  <c r="R433" i="7" s="1"/>
  <c r="S433" i="7" s="1"/>
  <c r="V432" i="7"/>
  <c r="BP433" i="7"/>
  <c r="BQ433" i="7" s="1"/>
  <c r="BR433" i="7" s="1"/>
  <c r="BS433" i="7" s="1"/>
  <c r="BT433" i="7" s="1"/>
  <c r="BU433" i="7" s="1"/>
  <c r="BV433" i="7" s="1"/>
  <c r="BW433" i="7" s="1"/>
  <c r="BX433" i="7" s="1"/>
  <c r="BY433" i="7" s="1"/>
  <c r="BZ433" i="7" s="1"/>
  <c r="CA433" i="7" s="1"/>
  <c r="CB433" i="7" s="1"/>
  <c r="CC433" i="7" s="1"/>
  <c r="CD433" i="7" s="1"/>
  <c r="CE433" i="7" s="1"/>
  <c r="CF433" i="7" s="1"/>
  <c r="CG433" i="7" s="1"/>
  <c r="CH433" i="7" s="1"/>
  <c r="CI433" i="7" s="1"/>
  <c r="CJ433" i="7" s="1"/>
  <c r="CK433" i="7" s="1"/>
  <c r="CL433" i="7" s="1"/>
  <c r="CM433" i="7" s="1"/>
  <c r="CN433" i="7" s="1"/>
  <c r="CO433" i="7" s="1"/>
  <c r="CP433" i="7" s="1"/>
  <c r="CQ433" i="7" s="1"/>
  <c r="CR433" i="7" s="1"/>
  <c r="CS433" i="7" s="1"/>
  <c r="CT433" i="7" s="1"/>
  <c r="CU433" i="7" s="1"/>
  <c r="CV433" i="7" s="1"/>
  <c r="CW433" i="7" s="1"/>
  <c r="CX433" i="7" s="1"/>
  <c r="CY433" i="7" s="1"/>
  <c r="CZ433" i="7" s="1"/>
  <c r="DA433" i="7" s="1"/>
  <c r="DB433" i="7" s="1"/>
  <c r="DC433" i="7" s="1"/>
  <c r="DD433" i="7" s="1"/>
  <c r="DE433" i="7" s="1"/>
  <c r="DF433" i="7" s="1"/>
  <c r="DG433" i="7" s="1"/>
  <c r="DH433" i="7" s="1"/>
  <c r="DI433" i="7" s="1"/>
  <c r="I9" i="7"/>
  <c r="G48" i="12"/>
  <c r="J31" i="1"/>
  <c r="L31" i="1" s="1"/>
  <c r="J734" i="1"/>
  <c r="I767" i="1" s="1"/>
  <c r="L767" i="1" s="1"/>
  <c r="J457" i="1"/>
  <c r="K457" i="1"/>
  <c r="K437" i="1"/>
  <c r="L437" i="1" s="1"/>
  <c r="L3526" i="1"/>
  <c r="L2251" i="1"/>
  <c r="L3123" i="1"/>
  <c r="L3651" i="1"/>
  <c r="L1868" i="1"/>
  <c r="M1868" i="1" s="1"/>
  <c r="L1944" i="1"/>
  <c r="L2272" i="1"/>
  <c r="L2716" i="1"/>
  <c r="L2740" i="1"/>
  <c r="L2756" i="1"/>
  <c r="L2836" i="1"/>
  <c r="L2884" i="1"/>
  <c r="L2916" i="1"/>
  <c r="L2964" i="1"/>
  <c r="L1228" i="1"/>
  <c r="L2725" i="1"/>
  <c r="L2027" i="1"/>
  <c r="L3247" i="1"/>
  <c r="L2876" i="1"/>
  <c r="L2525" i="1"/>
  <c r="L2318" i="1"/>
  <c r="L3507" i="1"/>
  <c r="L2299" i="1"/>
  <c r="L2334" i="1"/>
  <c r="L2750" i="1"/>
  <c r="L3686" i="1"/>
  <c r="L979" i="1"/>
  <c r="L671" i="1"/>
  <c r="L2902" i="1"/>
  <c r="L3483" i="1"/>
  <c r="L2565" i="1"/>
  <c r="L2776" i="1"/>
  <c r="L3178" i="1"/>
  <c r="L3607" i="1"/>
  <c r="L1250" i="1"/>
  <c r="L3270" i="1"/>
  <c r="L866" i="1"/>
  <c r="L1613" i="1"/>
  <c r="L2952" i="1"/>
  <c r="L3462" i="1"/>
  <c r="L340" i="1"/>
  <c r="L2182" i="1"/>
  <c r="L2516" i="1"/>
  <c r="L1397" i="1"/>
  <c r="L2059" i="1"/>
  <c r="L2797" i="1"/>
  <c r="L1342" i="1"/>
  <c r="L1894" i="1"/>
  <c r="L2040" i="1"/>
  <c r="L2075" i="1"/>
  <c r="L802" i="1"/>
  <c r="L766" i="1"/>
  <c r="L1182" i="1"/>
  <c r="L1647" i="1"/>
  <c r="L1734" i="1"/>
  <c r="L1793" i="1"/>
  <c r="L2179" i="1"/>
  <c r="L2214" i="1"/>
  <c r="L2351" i="1"/>
  <c r="L2666" i="1"/>
  <c r="L2853" i="1"/>
  <c r="L3046" i="1"/>
  <c r="L3081" i="1"/>
  <c r="L3223" i="1"/>
  <c r="L3392" i="1"/>
  <c r="L3671" i="1"/>
  <c r="L2246" i="1"/>
  <c r="L2344" i="1"/>
  <c r="L2544" i="1"/>
  <c r="L2752" i="1"/>
  <c r="L3239" i="1"/>
  <c r="L3471" i="1"/>
  <c r="L3616" i="1"/>
  <c r="L1979" i="1"/>
  <c r="L2403" i="1"/>
  <c r="L2498" i="1"/>
  <c r="L2710" i="1"/>
  <c r="L2764" i="1"/>
  <c r="L186" i="1"/>
  <c r="L667" i="1"/>
  <c r="L1708" i="1"/>
  <c r="L1822" i="1"/>
  <c r="L2956" i="1"/>
  <c r="L3170" i="1"/>
  <c r="L3251" i="1"/>
  <c r="L3342" i="1"/>
  <c r="L3503" i="1"/>
  <c r="L3514" i="1"/>
  <c r="L322" i="1"/>
  <c r="L241" i="1"/>
  <c r="L1240" i="1"/>
  <c r="L1776" i="1"/>
  <c r="L2016" i="1"/>
  <c r="L2377" i="1"/>
  <c r="L2460" i="1"/>
  <c r="L2589" i="1"/>
  <c r="L2676" i="1"/>
  <c r="L2719" i="1"/>
  <c r="L2848" i="1"/>
  <c r="L2942" i="1"/>
  <c r="L3064" i="1"/>
  <c r="L3202" i="1"/>
  <c r="L3430" i="1"/>
  <c r="L807" i="1"/>
  <c r="L762" i="1"/>
  <c r="L1707" i="1"/>
  <c r="L1918" i="1"/>
  <c r="L1964" i="1"/>
  <c r="L1995" i="1"/>
  <c r="L2022" i="1"/>
  <c r="L2052" i="1"/>
  <c r="L2480" i="1"/>
  <c r="L2998" i="1"/>
  <c r="L3021" i="1"/>
  <c r="L3112" i="1"/>
  <c r="L2180" i="1"/>
  <c r="L2222" i="1"/>
  <c r="L2308" i="1"/>
  <c r="L2376" i="1"/>
  <c r="L2379" i="1"/>
  <c r="L2406" i="1"/>
  <c r="L2522" i="1"/>
  <c r="L2533" i="1"/>
  <c r="L2695" i="1"/>
  <c r="L2804" i="1"/>
  <c r="L2847" i="1"/>
  <c r="L2850" i="1"/>
  <c r="L3018" i="1"/>
  <c r="L3079" i="1"/>
  <c r="L3082" i="1"/>
  <c r="L3151" i="1"/>
  <c r="L3166" i="1"/>
  <c r="L3240" i="1"/>
  <c r="L3258" i="1"/>
  <c r="L3331" i="1"/>
  <c r="L3403" i="1"/>
  <c r="L3474" i="1"/>
  <c r="L3504" i="1"/>
  <c r="L3554" i="1"/>
  <c r="L3675" i="1"/>
  <c r="L131" i="1"/>
  <c r="L459" i="1"/>
  <c r="L246" i="1"/>
  <c r="L552" i="1"/>
  <c r="L489" i="1"/>
  <c r="L781" i="1"/>
  <c r="L705" i="1"/>
  <c r="L1715" i="1"/>
  <c r="L1808" i="1"/>
  <c r="L1950" i="1"/>
  <c r="L2064" i="1"/>
  <c r="L2095" i="1"/>
  <c r="L2134" i="1"/>
  <c r="L2634" i="1"/>
  <c r="L3102" i="1"/>
  <c r="L3200" i="1"/>
  <c r="L3203" i="1"/>
  <c r="L3354" i="1"/>
  <c r="L3423" i="1"/>
  <c r="L2123" i="1"/>
  <c r="L2200" i="1"/>
  <c r="L2328" i="1"/>
  <c r="L2508" i="1"/>
  <c r="L2568" i="1"/>
  <c r="L2900" i="1"/>
  <c r="L3030" i="1"/>
  <c r="L3053" i="1"/>
  <c r="L3238" i="1"/>
  <c r="L3274" i="1"/>
  <c r="L3362" i="1"/>
  <c r="L3434" i="1"/>
  <c r="L3610" i="1"/>
  <c r="L619" i="1"/>
  <c r="L1608" i="1"/>
  <c r="L1619" i="1"/>
  <c r="L711" i="1"/>
  <c r="L829" i="1"/>
  <c r="L579" i="1"/>
  <c r="L796" i="1"/>
  <c r="L1001" i="1"/>
  <c r="L1959" i="1"/>
  <c r="L2340" i="1"/>
  <c r="L2463" i="1"/>
  <c r="L2490" i="1"/>
  <c r="L2558" i="1"/>
  <c r="L2596" i="1"/>
  <c r="L2670" i="1"/>
  <c r="L2712" i="1"/>
  <c r="L2878" i="1"/>
  <c r="L2908" i="1"/>
  <c r="L2954" i="1"/>
  <c r="L3107" i="1"/>
  <c r="L3175" i="1"/>
  <c r="L3182" i="1"/>
  <c r="L3216" i="1"/>
  <c r="L3306" i="1"/>
  <c r="L3344" i="1"/>
  <c r="L3712" i="1"/>
  <c r="L402" i="1"/>
  <c r="L507" i="1"/>
  <c r="L1736" i="1"/>
  <c r="L1779" i="1"/>
  <c r="L1867" i="1"/>
  <c r="M1867" i="1" s="1"/>
  <c r="L2032" i="1"/>
  <c r="L3142" i="1"/>
  <c r="L3157" i="1"/>
  <c r="L3299" i="1"/>
  <c r="L3310" i="1"/>
  <c r="L3375" i="1"/>
  <c r="L3432" i="1"/>
  <c r="L3435" i="1"/>
  <c r="L185" i="1"/>
  <c r="L783" i="1"/>
  <c r="L2176" i="1"/>
  <c r="L2252" i="1"/>
  <c r="L2348" i="1"/>
  <c r="L2660" i="1"/>
  <c r="L2724" i="1"/>
  <c r="L2751" i="1"/>
  <c r="L2762" i="1"/>
  <c r="L2765" i="1"/>
  <c r="L2784" i="1"/>
  <c r="L2860" i="1"/>
  <c r="L2944" i="1"/>
  <c r="L2958" i="1"/>
  <c r="L3250" i="1"/>
  <c r="L3387" i="1"/>
  <c r="L3455" i="1"/>
  <c r="L3466" i="1"/>
  <c r="L3488" i="1"/>
  <c r="L3510" i="1"/>
  <c r="L3647" i="1"/>
  <c r="L2345" i="1"/>
  <c r="J49" i="1"/>
  <c r="L49" i="1" s="1"/>
  <c r="L288" i="1"/>
  <c r="L467" i="1"/>
  <c r="L460" i="1"/>
  <c r="L881" i="1"/>
  <c r="L137" i="1"/>
  <c r="L712" i="1"/>
  <c r="L1899" i="1"/>
  <c r="L2049" i="1"/>
  <c r="L2718" i="1"/>
  <c r="L2832" i="1"/>
  <c r="L674" i="1"/>
  <c r="L875" i="1"/>
  <c r="L2107" i="1"/>
  <c r="L2174" i="1"/>
  <c r="L2219" i="1"/>
  <c r="L2462" i="1"/>
  <c r="L2892" i="1"/>
  <c r="L200" i="1"/>
  <c r="L1684" i="1"/>
  <c r="L248" i="1"/>
  <c r="L836" i="1"/>
  <c r="L2163" i="1"/>
  <c r="J58" i="1"/>
  <c r="L58" i="1" s="1"/>
  <c r="L1356" i="1"/>
  <c r="L2255" i="1"/>
  <c r="L2814" i="1"/>
  <c r="L2092" i="1"/>
  <c r="L155" i="1"/>
  <c r="L342" i="1"/>
  <c r="L743" i="1"/>
  <c r="L905" i="1"/>
  <c r="L1740" i="1"/>
  <c r="L2355" i="1"/>
  <c r="L2534" i="1"/>
  <c r="J98" i="1"/>
  <c r="L98" i="1" s="1"/>
  <c r="L196" i="1"/>
  <c r="L292" i="1"/>
  <c r="L585" i="1"/>
  <c r="L145" i="1"/>
  <c r="BM78" i="5" s="1"/>
  <c r="L1987" i="1"/>
  <c r="L2296" i="1"/>
  <c r="L2574" i="1"/>
  <c r="L326" i="1"/>
  <c r="L393" i="1"/>
  <c r="L700" i="1"/>
  <c r="L96" i="1"/>
  <c r="L202" i="1"/>
  <c r="L852" i="1"/>
  <c r="L922" i="1"/>
  <c r="L1010" i="1"/>
  <c r="L1210" i="1"/>
  <c r="L1379" i="1"/>
  <c r="L1578" i="1"/>
  <c r="L1589" i="1"/>
  <c r="L1690" i="1"/>
  <c r="L1774" i="1"/>
  <c r="L1800" i="1"/>
  <c r="L1859" i="1"/>
  <c r="M1859" i="1" s="1"/>
  <c r="L1888" i="1"/>
  <c r="L1921" i="1"/>
  <c r="L1924" i="1"/>
  <c r="L1931" i="1"/>
  <c r="L1953" i="1"/>
  <c r="L1971" i="1"/>
  <c r="L2008" i="1"/>
  <c r="L2055" i="1"/>
  <c r="L2084" i="1"/>
  <c r="L2190" i="1"/>
  <c r="L2208" i="1"/>
  <c r="L2288" i="1"/>
  <c r="L2302" i="1"/>
  <c r="L2320" i="1"/>
  <c r="L2331" i="1"/>
  <c r="L2383" i="1"/>
  <c r="L2439" i="1"/>
  <c r="L2454" i="1"/>
  <c r="L2566" i="1"/>
  <c r="L2630" i="1"/>
  <c r="L2637" i="1"/>
  <c r="L2656" i="1"/>
  <c r="L2680" i="1"/>
  <c r="L2820" i="1"/>
  <c r="L2838" i="1"/>
  <c r="L2862" i="1"/>
  <c r="L3024" i="1"/>
  <c r="L3130" i="1"/>
  <c r="L3192" i="1"/>
  <c r="L3231" i="1"/>
  <c r="L3234" i="1"/>
  <c r="L3254" i="1"/>
  <c r="L3360" i="1"/>
  <c r="L3382" i="1"/>
  <c r="L3426" i="1"/>
  <c r="L3458" i="1"/>
  <c r="L3509" i="1"/>
  <c r="L3648" i="1"/>
  <c r="L3659" i="1"/>
  <c r="L3715" i="1"/>
  <c r="L3730" i="1"/>
  <c r="L2940" i="1"/>
  <c r="L2950" i="1"/>
  <c r="L3000" i="1"/>
  <c r="L3036" i="1"/>
  <c r="L3054" i="1"/>
  <c r="L3159" i="1"/>
  <c r="L3176" i="1"/>
  <c r="L3207" i="1"/>
  <c r="L3210" i="1"/>
  <c r="L3314" i="1"/>
  <c r="L3368" i="1"/>
  <c r="L3448" i="1"/>
  <c r="L3472" i="1"/>
  <c r="L3479" i="1"/>
  <c r="L3638" i="1"/>
  <c r="L1046" i="1"/>
  <c r="L1117" i="1"/>
  <c r="L1151" i="1"/>
  <c r="L1315" i="1"/>
  <c r="L1824" i="1"/>
  <c r="L1896" i="1"/>
  <c r="L1936" i="1"/>
  <c r="L1998" i="1"/>
  <c r="L2035" i="1"/>
  <c r="L2046" i="1"/>
  <c r="L2078" i="1"/>
  <c r="L2089" i="1"/>
  <c r="L2115" i="1"/>
  <c r="L2160" i="1"/>
  <c r="L2171" i="1"/>
  <c r="L2184" i="1"/>
  <c r="L2195" i="1"/>
  <c r="L2216" i="1"/>
  <c r="L2249" i="1"/>
  <c r="L2259" i="1"/>
  <c r="L2371" i="1"/>
  <c r="L2384" i="1"/>
  <c r="L2433" i="1"/>
  <c r="L2448" i="1"/>
  <c r="L2624" i="1"/>
  <c r="L2732" i="1"/>
  <c r="L2757" i="1"/>
  <c r="L2774" i="1"/>
  <c r="L2910" i="1"/>
  <c r="L2925" i="1"/>
  <c r="L2960" i="1"/>
  <c r="L2982" i="1"/>
  <c r="L3004" i="1"/>
  <c r="L3135" i="1"/>
  <c r="L3190" i="1"/>
  <c r="L3232" i="1"/>
  <c r="L3552" i="1"/>
  <c r="L3555" i="1"/>
  <c r="L3743" i="1"/>
  <c r="L2315" i="1"/>
  <c r="L2343" i="1"/>
  <c r="L2392" i="1"/>
  <c r="L2466" i="1"/>
  <c r="L2510" i="1"/>
  <c r="L2532" i="1"/>
  <c r="L2550" i="1"/>
  <c r="L2668" i="1"/>
  <c r="L2701" i="1"/>
  <c r="L2722" i="1"/>
  <c r="L2990" i="1"/>
  <c r="L3008" i="1"/>
  <c r="L3052" i="1"/>
  <c r="L3070" i="1"/>
  <c r="L3110" i="1"/>
  <c r="L3139" i="1"/>
  <c r="L3183" i="1"/>
  <c r="L3267" i="1"/>
  <c r="L3322" i="1"/>
  <c r="L3351" i="1"/>
  <c r="L3391" i="1"/>
  <c r="L3578" i="1"/>
  <c r="L3672" i="1"/>
  <c r="L3683" i="1"/>
  <c r="L488" i="1"/>
  <c r="L541" i="1"/>
  <c r="L842" i="1"/>
  <c r="L693" i="1"/>
  <c r="L944" i="1"/>
  <c r="L1016" i="1"/>
  <c r="L1058" i="1"/>
  <c r="L1243" i="1"/>
  <c r="L1284" i="1"/>
  <c r="L1712" i="1"/>
  <c r="L1923" i="1"/>
  <c r="L1992" i="1"/>
  <c r="L2072" i="1"/>
  <c r="L2203" i="1"/>
  <c r="L2283" i="1"/>
  <c r="L2382" i="1"/>
  <c r="L2400" i="1"/>
  <c r="L2808" i="1"/>
  <c r="L2826" i="1"/>
  <c r="L2844" i="1"/>
  <c r="L2872" i="1"/>
  <c r="L2904" i="1"/>
  <c r="L2948" i="1"/>
  <c r="L2968" i="1"/>
  <c r="L3208" i="1"/>
  <c r="L3480" i="1"/>
  <c r="L3498" i="1"/>
  <c r="L2158" i="1"/>
  <c r="L2232" i="1"/>
  <c r="L2337" i="1"/>
  <c r="L2350" i="1"/>
  <c r="L2411" i="1"/>
  <c r="L2486" i="1"/>
  <c r="L2493" i="1"/>
  <c r="L2504" i="1"/>
  <c r="L2562" i="1"/>
  <c r="L2591" i="1"/>
  <c r="L2614" i="1"/>
  <c r="L2662" i="1"/>
  <c r="L2672" i="1"/>
  <c r="L2758" i="1"/>
  <c r="L2768" i="1"/>
  <c r="L2854" i="1"/>
  <c r="L2976" i="1"/>
  <c r="L3020" i="1"/>
  <c r="L3093" i="1"/>
  <c r="L3104" i="1"/>
  <c r="L3118" i="1"/>
  <c r="L3147" i="1"/>
  <c r="L3154" i="1"/>
  <c r="L3168" i="1"/>
  <c r="L3171" i="1"/>
  <c r="L3181" i="1"/>
  <c r="L3219" i="1"/>
  <c r="L3243" i="1"/>
  <c r="L3271" i="1"/>
  <c r="L3278" i="1"/>
  <c r="L3395" i="1"/>
  <c r="L3406" i="1"/>
  <c r="L3464" i="1"/>
  <c r="L3467" i="1"/>
  <c r="L3495" i="1"/>
  <c r="L3502" i="1"/>
  <c r="L3538" i="1"/>
  <c r="L3560" i="1"/>
  <c r="L3598" i="1"/>
  <c r="L3695" i="1"/>
  <c r="L577" i="1"/>
  <c r="L487" i="1"/>
  <c r="L603" i="1"/>
  <c r="L774" i="1"/>
  <c r="L873" i="1"/>
  <c r="L587" i="1"/>
  <c r="L801" i="1"/>
  <c r="L999" i="1"/>
  <c r="L1213" i="1"/>
  <c r="L1375" i="1"/>
  <c r="L1390" i="1"/>
  <c r="L1581" i="1"/>
  <c r="L1652" i="1"/>
  <c r="L1686" i="1"/>
  <c r="L1720" i="1"/>
  <c r="L1742" i="1"/>
  <c r="L1891" i="1"/>
  <c r="L1927" i="1"/>
  <c r="L1956" i="1"/>
  <c r="L2128" i="1"/>
  <c r="L2147" i="1"/>
  <c r="L2211" i="1"/>
  <c r="L2240" i="1"/>
  <c r="L2291" i="1"/>
  <c r="L2640" i="1"/>
  <c r="L2798" i="1"/>
  <c r="L2816" i="1"/>
  <c r="L2887" i="1"/>
  <c r="L3320" i="1"/>
  <c r="L3323" i="1"/>
  <c r="L3338" i="1"/>
  <c r="L3439" i="1"/>
  <c r="L3576" i="1"/>
  <c r="L3579" i="1"/>
  <c r="L3722" i="1"/>
  <c r="L1067" i="1"/>
  <c r="L240" i="1"/>
  <c r="L339" i="1"/>
  <c r="L589" i="1"/>
  <c r="L784" i="1"/>
  <c r="L815" i="1"/>
  <c r="L558" i="1"/>
  <c r="L548" i="1"/>
  <c r="L761" i="1"/>
  <c r="L687" i="1"/>
  <c r="L616" i="1"/>
  <c r="J30" i="1"/>
  <c r="L30" i="1" s="1"/>
  <c r="L838" i="1"/>
  <c r="L856" i="1"/>
  <c r="L607" i="1"/>
  <c r="J40" i="1"/>
  <c r="L40" i="1" s="1"/>
  <c r="L769" i="1"/>
  <c r="L602" i="1"/>
  <c r="L699" i="1"/>
  <c r="L770" i="1"/>
  <c r="L97" i="1"/>
  <c r="L211" i="1"/>
  <c r="L391" i="1"/>
  <c r="L1026" i="1"/>
  <c r="L284" i="1"/>
  <c r="L1019" i="1"/>
  <c r="L327" i="1"/>
  <c r="L194" i="1"/>
  <c r="L688" i="1"/>
  <c r="L665" i="1"/>
  <c r="L1013" i="1"/>
  <c r="L1156" i="1"/>
  <c r="L432" i="1"/>
  <c r="L1006" i="1"/>
  <c r="L1781" i="1"/>
  <c r="L1834" i="1"/>
  <c r="L1946" i="1"/>
  <c r="L1960" i="1"/>
  <c r="L1975" i="1"/>
  <c r="L1990" i="1"/>
  <c r="L2144" i="1"/>
  <c r="L2215" i="1"/>
  <c r="L2366" i="1"/>
  <c r="L2432" i="1"/>
  <c r="L2541" i="1"/>
  <c r="L2563" i="1"/>
  <c r="L2746" i="1"/>
  <c r="L2824" i="1"/>
  <c r="L2981" i="1"/>
  <c r="L3061" i="1"/>
  <c r="L3134" i="1"/>
  <c r="L3196" i="1"/>
  <c r="L3317" i="1"/>
  <c r="L1615" i="1"/>
  <c r="L436" i="1"/>
  <c r="L575" i="1"/>
  <c r="L486" i="1"/>
  <c r="L756" i="1"/>
  <c r="L730" i="1"/>
  <c r="L142" i="1"/>
  <c r="L349" i="1"/>
  <c r="L384" i="1"/>
  <c r="L56" i="1"/>
  <c r="L469" i="1"/>
  <c r="L631" i="1"/>
  <c r="L716" i="1"/>
  <c r="L740" i="1"/>
  <c r="L896" i="1"/>
  <c r="L741" i="1"/>
  <c r="L938" i="1"/>
  <c r="L1088" i="1"/>
  <c r="L1163" i="1"/>
  <c r="L1177" i="1"/>
  <c r="L1267" i="1"/>
  <c r="L1418" i="1"/>
  <c r="L1432" i="1"/>
  <c r="L1552" i="1"/>
  <c r="L1622" i="1"/>
  <c r="L1629" i="1"/>
  <c r="L1643" i="1"/>
  <c r="L1649" i="1"/>
  <c r="L1655" i="1"/>
  <c r="L1669" i="1"/>
  <c r="L1676" i="1"/>
  <c r="L1754" i="1"/>
  <c r="L1761" i="1"/>
  <c r="L1911" i="1"/>
  <c r="L1939" i="1"/>
  <c r="L1968" i="1"/>
  <c r="L1983" i="1"/>
  <c r="L2187" i="1"/>
  <c r="L2484" i="1"/>
  <c r="L2600" i="1"/>
  <c r="L3127" i="1"/>
  <c r="L3592" i="1"/>
  <c r="L1274" i="1"/>
  <c r="L1583" i="1"/>
  <c r="J12" i="1"/>
  <c r="L12" i="1" s="1"/>
  <c r="J78" i="1"/>
  <c r="L78" i="1" s="1"/>
  <c r="L106" i="1"/>
  <c r="L118" i="1"/>
  <c r="L174" i="1"/>
  <c r="L206" i="1"/>
  <c r="L315" i="1"/>
  <c r="L351" i="1"/>
  <c r="L482" i="1"/>
  <c r="L456" i="1"/>
  <c r="L612" i="1"/>
  <c r="L634" i="1"/>
  <c r="L627" i="1"/>
  <c r="L701" i="1"/>
  <c r="L744" i="1"/>
  <c r="L604" i="1"/>
  <c r="L759" i="1"/>
  <c r="L776" i="1"/>
  <c r="L830" i="1"/>
  <c r="L853" i="1"/>
  <c r="L876" i="1"/>
  <c r="L135" i="1"/>
  <c r="L583" i="1"/>
  <c r="L778" i="1"/>
  <c r="L785" i="1"/>
  <c r="L906" i="1"/>
  <c r="L913" i="1"/>
  <c r="L892" i="1"/>
  <c r="L119" i="1"/>
  <c r="L212" i="1"/>
  <c r="L266" i="1"/>
  <c r="L377" i="1"/>
  <c r="L797" i="1"/>
  <c r="L843" i="1"/>
  <c r="L694" i="1"/>
  <c r="L867" i="1"/>
  <c r="L1000" i="1"/>
  <c r="L1068" i="1"/>
  <c r="L1095" i="1"/>
  <c r="L1150" i="1"/>
  <c r="L1281" i="1"/>
  <c r="L1378" i="1"/>
  <c r="L1391" i="1"/>
  <c r="L1559" i="1"/>
  <c r="L1577" i="1"/>
  <c r="L1584" i="1"/>
  <c r="L1591" i="1"/>
  <c r="L1609" i="1"/>
  <c r="L1683" i="1"/>
  <c r="L1689" i="1"/>
  <c r="L1714" i="1"/>
  <c r="L1721" i="1"/>
  <c r="L1728" i="1"/>
  <c r="L1735" i="1"/>
  <c r="L1741" i="1"/>
  <c r="L1747" i="1"/>
  <c r="BV32" i="5" s="1"/>
  <c r="L1768" i="1"/>
  <c r="L1809" i="1"/>
  <c r="L1816" i="1"/>
  <c r="L1823" i="1"/>
  <c r="L1829" i="1"/>
  <c r="L1869" i="1"/>
  <c r="M1869" i="1" s="1"/>
  <c r="L1890" i="1"/>
  <c r="L1925" i="1"/>
  <c r="L1932" i="1"/>
  <c r="L1947" i="1"/>
  <c r="L1954" i="1"/>
  <c r="L1976" i="1"/>
  <c r="L2056" i="1"/>
  <c r="L2085" i="1"/>
  <c r="L2209" i="1"/>
  <c r="L2274" i="1"/>
  <c r="L2339" i="1"/>
  <c r="L2359" i="1"/>
  <c r="L2425" i="1"/>
  <c r="L2477" i="1"/>
  <c r="L2616" i="1"/>
  <c r="L2896" i="1"/>
  <c r="L3517" i="1"/>
  <c r="L3548" i="1"/>
  <c r="L290" i="1"/>
  <c r="L341" i="1"/>
  <c r="L401" i="1"/>
  <c r="L347" i="1"/>
  <c r="L435" i="1"/>
  <c r="L425" i="1"/>
  <c r="L484" i="1"/>
  <c r="L648" i="1"/>
  <c r="L86" i="1"/>
  <c r="L617" i="1"/>
  <c r="L717" i="1"/>
  <c r="L791" i="1"/>
  <c r="L753" i="1"/>
  <c r="L818" i="1"/>
  <c r="L890" i="1"/>
  <c r="L924" i="1"/>
  <c r="L1027" i="1"/>
  <c r="L1089" i="1"/>
  <c r="L1268" i="1"/>
  <c r="L1419" i="1"/>
  <c r="L1553" i="1"/>
  <c r="L1616" i="1"/>
  <c r="L1623" i="1"/>
  <c r="L1630" i="1"/>
  <c r="L1656" i="1"/>
  <c r="L1677" i="1"/>
  <c r="L1762" i="1"/>
  <c r="L1796" i="1"/>
  <c r="L1835" i="1"/>
  <c r="L1883" i="1"/>
  <c r="L1897" i="1"/>
  <c r="L1904" i="1"/>
  <c r="L1919" i="1"/>
  <c r="L1984" i="1"/>
  <c r="L2100" i="1"/>
  <c r="L2130" i="1"/>
  <c r="L2267" i="1"/>
  <c r="L2352" i="1"/>
  <c r="L2492" i="1"/>
  <c r="L2528" i="1"/>
  <c r="L2609" i="1"/>
  <c r="L2654" i="1"/>
  <c r="L2811" i="1"/>
  <c r="L2975" i="1"/>
  <c r="L3048" i="1"/>
  <c r="L3304" i="1"/>
  <c r="L3623" i="1"/>
  <c r="L3690" i="1"/>
  <c r="L1197" i="1"/>
  <c r="L1713" i="1"/>
  <c r="L70" i="1"/>
  <c r="L264" i="1"/>
  <c r="L32" i="1"/>
  <c r="J79" i="1"/>
  <c r="L79" i="1" s="1"/>
  <c r="L164" i="1"/>
  <c r="L291" i="1"/>
  <c r="L300" i="1"/>
  <c r="L428" i="1"/>
  <c r="L508" i="1"/>
  <c r="L502" i="1"/>
  <c r="L636" i="1"/>
  <c r="L742" i="1"/>
  <c r="L731" i="1"/>
  <c r="L692" i="1"/>
  <c r="L697" i="1"/>
  <c r="L765" i="1"/>
  <c r="L630" i="1"/>
  <c r="L854" i="1"/>
  <c r="L861" i="1"/>
  <c r="L136" i="1"/>
  <c r="L143" i="1"/>
  <c r="L584" i="1"/>
  <c r="L779" i="1"/>
  <c r="L786" i="1"/>
  <c r="L907" i="1"/>
  <c r="L914" i="1"/>
  <c r="L474" i="1"/>
  <c r="L80" i="1"/>
  <c r="L144" i="1"/>
  <c r="L213" i="1"/>
  <c r="L324" i="1"/>
  <c r="L385" i="1"/>
  <c r="L506" i="1"/>
  <c r="L641" i="1"/>
  <c r="L798" i="1"/>
  <c r="L844" i="1"/>
  <c r="L898" i="1"/>
  <c r="L218" i="1"/>
  <c r="L392" i="1"/>
  <c r="L608" i="1"/>
  <c r="L695" i="1"/>
  <c r="L885" i="1"/>
  <c r="L1014" i="1"/>
  <c r="L1021" i="1"/>
  <c r="L1034" i="1"/>
  <c r="L1069" i="1"/>
  <c r="L1083" i="1"/>
  <c r="L1096" i="1"/>
  <c r="L1233" i="1"/>
  <c r="L1261" i="1"/>
  <c r="L1309" i="1"/>
  <c r="L1323" i="1"/>
  <c r="L1392" i="1"/>
  <c r="L1441" i="1"/>
  <c r="L1539" i="1"/>
  <c r="L1546" i="1"/>
  <c r="L1560" i="1"/>
  <c r="L1585" i="1"/>
  <c r="L1592" i="1"/>
  <c r="L1610" i="1"/>
  <c r="L1644" i="1"/>
  <c r="L1650" i="1"/>
  <c r="L1670" i="1"/>
  <c r="L1722" i="1"/>
  <c r="L1729" i="1"/>
  <c r="L1748" i="1"/>
  <c r="L1755" i="1"/>
  <c r="L1769" i="1"/>
  <c r="L1783" i="1"/>
  <c r="L1790" i="1"/>
  <c r="L1912" i="1"/>
  <c r="L1926" i="1"/>
  <c r="L1933" i="1"/>
  <c r="L1962" i="1"/>
  <c r="L2043" i="1"/>
  <c r="L2050" i="1"/>
  <c r="L2108" i="1"/>
  <c r="L2168" i="1"/>
  <c r="L2346" i="1"/>
  <c r="L2418" i="1"/>
  <c r="L2470" i="1"/>
  <c r="L2594" i="1"/>
  <c r="L3041" i="1"/>
  <c r="L3121" i="1"/>
  <c r="L3246" i="1"/>
  <c r="L3398" i="1"/>
  <c r="L481" i="1"/>
  <c r="L559" i="1"/>
  <c r="L690" i="1"/>
  <c r="L768" i="1"/>
  <c r="L819" i="1"/>
  <c r="L792" i="1"/>
  <c r="L771" i="1"/>
  <c r="L883" i="1"/>
  <c r="L1008" i="1"/>
  <c r="L1028" i="1"/>
  <c r="L1042" i="1"/>
  <c r="L1049" i="1"/>
  <c r="L1077" i="1"/>
  <c r="L1103" i="1"/>
  <c r="L1269" i="1"/>
  <c r="L1617" i="1"/>
  <c r="L1657" i="1"/>
  <c r="L1709" i="1"/>
  <c r="L1849" i="1"/>
  <c r="L1884" i="1"/>
  <c r="L1898" i="1"/>
  <c r="L1905" i="1"/>
  <c r="L1920" i="1"/>
  <c r="L1999" i="1"/>
  <c r="L2029" i="1"/>
  <c r="L2079" i="1"/>
  <c r="L2101" i="1"/>
  <c r="L2116" i="1"/>
  <c r="L2154" i="1"/>
  <c r="L2260" i="1"/>
  <c r="L2312" i="1"/>
  <c r="L2602" i="1"/>
  <c r="L2647" i="1"/>
  <c r="L2890" i="1"/>
  <c r="L3348" i="1"/>
  <c r="L3442" i="1"/>
  <c r="L3586" i="1"/>
  <c r="L3654" i="1"/>
  <c r="L3729" i="1"/>
  <c r="L1355" i="1"/>
  <c r="J21" i="1"/>
  <c r="L21" i="1" s="1"/>
  <c r="L257" i="1"/>
  <c r="L222" i="1"/>
  <c r="L260" i="1"/>
  <c r="L180" i="1"/>
  <c r="L168" i="1"/>
  <c r="L323" i="1"/>
  <c r="L430" i="1"/>
  <c r="L348" i="1"/>
  <c r="L451" i="1"/>
  <c r="L509" i="1"/>
  <c r="L691" i="1"/>
  <c r="L673" i="1"/>
  <c r="L757" i="1"/>
  <c r="L835" i="1"/>
  <c r="L578" i="1"/>
  <c r="L780" i="1"/>
  <c r="L787" i="1"/>
  <c r="L908" i="1"/>
  <c r="L915" i="1"/>
  <c r="L93" i="1"/>
  <c r="L163" i="1"/>
  <c r="L214" i="1"/>
  <c r="L325" i="1"/>
  <c r="L386" i="1"/>
  <c r="L590" i="1"/>
  <c r="L618" i="1"/>
  <c r="L703" i="1"/>
  <c r="L718" i="1"/>
  <c r="L799" i="1"/>
  <c r="L845" i="1"/>
  <c r="L901" i="1"/>
  <c r="L219" i="1"/>
  <c r="L470" i="1"/>
  <c r="L834" i="1"/>
  <c r="L886" i="1"/>
  <c r="L934" i="1"/>
  <c r="L1035" i="1"/>
  <c r="L1124" i="1"/>
  <c r="L1220" i="1"/>
  <c r="L1227" i="1"/>
  <c r="L1310" i="1"/>
  <c r="L1324" i="1"/>
  <c r="L1386" i="1"/>
  <c r="L1393" i="1"/>
  <c r="L1442" i="1"/>
  <c r="L1540" i="1"/>
  <c r="L1547" i="1"/>
  <c r="L1554" i="1"/>
  <c r="L1593" i="1"/>
  <c r="L1624" i="1"/>
  <c r="L1671" i="1"/>
  <c r="L1678" i="1"/>
  <c r="L1730" i="1"/>
  <c r="L1749" i="1"/>
  <c r="L1756" i="1"/>
  <c r="L1763" i="1"/>
  <c r="L1770" i="1"/>
  <c r="L1784" i="1"/>
  <c r="L1804" i="1"/>
  <c r="L1836" i="1"/>
  <c r="L1913" i="1"/>
  <c r="L1934" i="1"/>
  <c r="L1963" i="1"/>
  <c r="L2051" i="1"/>
  <c r="L2065" i="1"/>
  <c r="L2094" i="1"/>
  <c r="L2109" i="1"/>
  <c r="L2124" i="1"/>
  <c r="L2427" i="1"/>
  <c r="L2536" i="1"/>
  <c r="L2588" i="1"/>
  <c r="L2706" i="1"/>
  <c r="L3298" i="1"/>
  <c r="L3385" i="1"/>
  <c r="L3542" i="1"/>
  <c r="L1544" i="1"/>
  <c r="J25" i="1"/>
  <c r="L25" i="1" s="1"/>
  <c r="L110" i="1"/>
  <c r="J115" i="1"/>
  <c r="L115" i="1" s="1"/>
  <c r="L129" i="1"/>
  <c r="L289" i="1"/>
  <c r="L303" i="1"/>
  <c r="L330" i="1"/>
  <c r="L448" i="1"/>
  <c r="L422" i="1"/>
  <c r="L450" i="1"/>
  <c r="L544" i="1"/>
  <c r="L447" i="1"/>
  <c r="L610" i="1"/>
  <c r="L723" i="1"/>
  <c r="L738" i="1"/>
  <c r="L632" i="1"/>
  <c r="L629" i="1"/>
  <c r="L754" i="1"/>
  <c r="L839" i="1"/>
  <c r="L882" i="1"/>
  <c r="L884" i="1"/>
  <c r="L623" i="1"/>
  <c r="L704" i="1"/>
  <c r="L790" i="1"/>
  <c r="L921" i="1"/>
  <c r="L931" i="1"/>
  <c r="L1015" i="1"/>
  <c r="L1022" i="1"/>
  <c r="L1043" i="1"/>
  <c r="L1248" i="1"/>
  <c r="L1277" i="1"/>
  <c r="L1317" i="1"/>
  <c r="L1407" i="1"/>
  <c r="L1579" i="1"/>
  <c r="L1586" i="1"/>
  <c r="L1611" i="1"/>
  <c r="L1618" i="1"/>
  <c r="L1645" i="1"/>
  <c r="L1651" i="1"/>
  <c r="L1685" i="1"/>
  <c r="L1716" i="1"/>
  <c r="L1723" i="1"/>
  <c r="L1871" i="1"/>
  <c r="M1871" i="1" s="1"/>
  <c r="L1906" i="1"/>
  <c r="L1993" i="1"/>
  <c r="L2030" i="1"/>
  <c r="L2102" i="1"/>
  <c r="L2155" i="1"/>
  <c r="L2197" i="1"/>
  <c r="L2204" i="1"/>
  <c r="L2225" i="1"/>
  <c r="L2254" i="1"/>
  <c r="L2530" i="1"/>
  <c r="L2791" i="1"/>
  <c r="L3115" i="1"/>
  <c r="L3227" i="1"/>
  <c r="L3492" i="1"/>
  <c r="L3535" i="1"/>
  <c r="L156" i="1"/>
  <c r="L404" i="1"/>
  <c r="L746" i="1"/>
  <c r="L826" i="1"/>
  <c r="J60" i="1"/>
  <c r="L60" i="1" s="1"/>
  <c r="L77" i="1"/>
  <c r="J34" i="1"/>
  <c r="L34" i="1" s="1"/>
  <c r="J74" i="1"/>
  <c r="L74" i="1" s="1"/>
  <c r="L146" i="1"/>
  <c r="L302" i="1"/>
  <c r="L334" i="1"/>
  <c r="L379" i="1"/>
  <c r="L338" i="1"/>
  <c r="L471" i="1"/>
  <c r="L490" i="1"/>
  <c r="L696" i="1"/>
  <c r="L657" i="1"/>
  <c r="L868" i="1"/>
  <c r="L788" i="1"/>
  <c r="L909" i="1"/>
  <c r="L267" i="1"/>
  <c r="L94" i="1"/>
  <c r="L215" i="1"/>
  <c r="L343" i="1"/>
  <c r="L387" i="1"/>
  <c r="L591" i="1"/>
  <c r="L719" i="1"/>
  <c r="L793" i="1"/>
  <c r="L800" i="1"/>
  <c r="L846" i="1"/>
  <c r="L50" i="1"/>
  <c r="L220" i="1"/>
  <c r="L849" i="1"/>
  <c r="L887" i="1"/>
  <c r="L937" i="1"/>
  <c r="L996" i="1"/>
  <c r="L1029" i="1"/>
  <c r="L1036" i="1"/>
  <c r="L1050" i="1"/>
  <c r="L1078" i="1"/>
  <c r="L1159" i="1"/>
  <c r="L1193" i="1"/>
  <c r="L1214" i="1"/>
  <c r="L1263" i="1"/>
  <c r="L1380" i="1"/>
  <c r="L1394" i="1"/>
  <c r="L1401" i="1"/>
  <c r="L1428" i="1"/>
  <c r="L1548" i="1"/>
  <c r="L1555" i="1"/>
  <c r="L1625" i="1"/>
  <c r="L1639" i="1"/>
  <c r="L1658" i="1"/>
  <c r="L1672" i="1"/>
  <c r="L1679" i="1"/>
  <c r="L1691" i="1"/>
  <c r="L1710" i="1"/>
  <c r="L1737" i="1"/>
  <c r="L1743" i="1"/>
  <c r="L1750" i="1"/>
  <c r="L1757" i="1"/>
  <c r="L1764" i="1"/>
  <c r="L1785" i="1"/>
  <c r="L1798" i="1"/>
  <c r="L1805" i="1"/>
  <c r="L1914" i="1"/>
  <c r="L2023" i="1"/>
  <c r="L2088" i="1"/>
  <c r="L2140" i="1"/>
  <c r="L2248" i="1"/>
  <c r="L2306" i="1"/>
  <c r="L2458" i="1"/>
  <c r="L2581" i="1"/>
  <c r="L2870" i="1"/>
  <c r="L3028" i="1"/>
  <c r="L3291" i="1"/>
  <c r="L3573" i="1"/>
  <c r="L3641" i="1"/>
  <c r="L1795" i="1"/>
  <c r="L261" i="1"/>
  <c r="L595" i="1"/>
  <c r="J23" i="1"/>
  <c r="L23" i="1" s="1"/>
  <c r="L198" i="1"/>
  <c r="L331" i="1"/>
  <c r="L449" i="1"/>
  <c r="L439" i="1"/>
  <c r="L431" i="1"/>
  <c r="L429" i="1"/>
  <c r="L551" i="1"/>
  <c r="L726" i="1"/>
  <c r="L821" i="1"/>
  <c r="L828" i="1"/>
  <c r="L877" i="1"/>
  <c r="L813" i="1"/>
  <c r="L138" i="1"/>
  <c r="BM17" i="5" s="1"/>
  <c r="L586" i="1"/>
  <c r="L550" i="1"/>
  <c r="L763" i="1"/>
  <c r="L624" i="1"/>
  <c r="L1023" i="1"/>
  <c r="L1044" i="1"/>
  <c r="L1112" i="1"/>
  <c r="L1153" i="1"/>
  <c r="L1249" i="1"/>
  <c r="L1271" i="1"/>
  <c r="L1450" i="1"/>
  <c r="L1534" i="1"/>
  <c r="L1541" i="1"/>
  <c r="L1573" i="1"/>
  <c r="L1580" i="1"/>
  <c r="L1587" i="1"/>
  <c r="L1612" i="1"/>
  <c r="L1646" i="1"/>
  <c r="L1717" i="1"/>
  <c r="L1724" i="1"/>
  <c r="L1731" i="1"/>
  <c r="L1771" i="1"/>
  <c r="L1778" i="1"/>
  <c r="L1792" i="1"/>
  <c r="L1858" i="1"/>
  <c r="L1865" i="1"/>
  <c r="M1865" i="1" s="1"/>
  <c r="L1907" i="1"/>
  <c r="L1957" i="1"/>
  <c r="L2001" i="1"/>
  <c r="L2118" i="1"/>
  <c r="L2148" i="1"/>
  <c r="L2241" i="1"/>
  <c r="L2262" i="1"/>
  <c r="L2451" i="1"/>
  <c r="L2502" i="1"/>
  <c r="L2700" i="1"/>
  <c r="L2936" i="1"/>
  <c r="L3379" i="1"/>
  <c r="L3678" i="1"/>
  <c r="L189" i="1"/>
  <c r="L273" i="1"/>
  <c r="J72" i="1"/>
  <c r="L72" i="1" s="1"/>
  <c r="J37" i="1"/>
  <c r="L37" i="1" s="1"/>
  <c r="L268" i="1"/>
  <c r="L280" i="1"/>
  <c r="L576" i="1"/>
  <c r="L737" i="1"/>
  <c r="L678" i="1"/>
  <c r="L869" i="1"/>
  <c r="L910" i="1"/>
  <c r="L84" i="1"/>
  <c r="L344" i="1"/>
  <c r="L388" i="1"/>
  <c r="L605" i="1"/>
  <c r="L794" i="1"/>
  <c r="L848" i="1"/>
  <c r="L221" i="1"/>
  <c r="L850" i="1"/>
  <c r="L893" i="1"/>
  <c r="L949" i="1"/>
  <c r="L997" i="1"/>
  <c r="L1064" i="1"/>
  <c r="L1092" i="1"/>
  <c r="L1133" i="1"/>
  <c r="BU59" i="5" s="1"/>
  <c r="BU52" i="5" s="1"/>
  <c r="BU9" i="5" s="1"/>
  <c r="L1187" i="1"/>
  <c r="L1194" i="1"/>
  <c r="L1381" i="1"/>
  <c r="L1395" i="1"/>
  <c r="L1402" i="1"/>
  <c r="L1429" i="1"/>
  <c r="L1549" i="1"/>
  <c r="L1556" i="1"/>
  <c r="L1626" i="1"/>
  <c r="L1640" i="1"/>
  <c r="L1659" i="1"/>
  <c r="L1673" i="1"/>
  <c r="L1680" i="1"/>
  <c r="L1738" i="1"/>
  <c r="L1751" i="1"/>
  <c r="L1758" i="1"/>
  <c r="L1765" i="1"/>
  <c r="BW21" i="5" s="1"/>
  <c r="L1786" i="1"/>
  <c r="L1826" i="1"/>
  <c r="L1900" i="1"/>
  <c r="L1915" i="1"/>
  <c r="L1972" i="1"/>
  <c r="L2009" i="1"/>
  <c r="L2024" i="1"/>
  <c r="L2111" i="1"/>
  <c r="L2141" i="1"/>
  <c r="L2234" i="1"/>
  <c r="L2413" i="1"/>
  <c r="L2444" i="1"/>
  <c r="L2524" i="1"/>
  <c r="L3015" i="1"/>
  <c r="L3095" i="1"/>
  <c r="L3221" i="1"/>
  <c r="L3284" i="1"/>
  <c r="L3336" i="1"/>
  <c r="L3416" i="1"/>
  <c r="L3486" i="1"/>
  <c r="L3604" i="1"/>
  <c r="L3709" i="1"/>
  <c r="L1590" i="1"/>
  <c r="L1861" i="1"/>
  <c r="M1861" i="1" s="1"/>
  <c r="L380" i="1"/>
  <c r="J43" i="1"/>
  <c r="L43" i="1" s="1"/>
  <c r="J87" i="1"/>
  <c r="L87" i="1" s="1"/>
  <c r="L247" i="1"/>
  <c r="L170" i="1"/>
  <c r="L265" i="1"/>
  <c r="L378" i="1"/>
  <c r="L407" i="1"/>
  <c r="L358" i="1"/>
  <c r="L362" i="1"/>
  <c r="L426" i="1"/>
  <c r="L539" i="1"/>
  <c r="L546" i="1"/>
  <c r="L475" i="1"/>
  <c r="L642" i="1"/>
  <c r="L262" i="1"/>
  <c r="L816" i="1"/>
  <c r="L301" i="1"/>
  <c r="L865" i="1"/>
  <c r="L139" i="1"/>
  <c r="L782" i="1"/>
  <c r="L789" i="1"/>
  <c r="L125" i="1"/>
  <c r="L350" i="1"/>
  <c r="L95" i="1"/>
  <c r="L201" i="1"/>
  <c r="L216" i="1"/>
  <c r="L620" i="1"/>
  <c r="L713" i="1"/>
  <c r="L720" i="1"/>
  <c r="L840" i="1"/>
  <c r="L57" i="1"/>
  <c r="L676" i="1"/>
  <c r="L936" i="1"/>
  <c r="L920" i="1"/>
  <c r="L1030" i="1"/>
  <c r="L1079" i="1"/>
  <c r="L1106" i="1"/>
  <c r="L1202" i="1"/>
  <c r="L1215" i="1"/>
  <c r="L1257" i="1"/>
  <c r="L1264" i="1"/>
  <c r="L1285" i="1"/>
  <c r="L1388" i="1"/>
  <c r="L1422" i="1"/>
  <c r="L1444" i="1"/>
  <c r="L1542" i="1"/>
  <c r="L1574" i="1"/>
  <c r="L1588" i="1"/>
  <c r="L1606" i="1"/>
  <c r="L1711" i="1"/>
  <c r="L1718" i="1"/>
  <c r="L1725" i="1"/>
  <c r="L1732" i="1"/>
  <c r="L1744" i="1"/>
  <c r="L1799" i="1"/>
  <c r="L1806" i="1"/>
  <c r="L1813" i="1"/>
  <c r="L1820" i="1"/>
  <c r="L1951" i="1"/>
  <c r="L1958" i="1"/>
  <c r="L1965" i="1"/>
  <c r="L2002" i="1"/>
  <c r="L2017" i="1"/>
  <c r="L2082" i="1"/>
  <c r="L2104" i="1"/>
  <c r="L2149" i="1"/>
  <c r="L2227" i="1"/>
  <c r="L2286" i="1"/>
  <c r="L2517" i="1"/>
  <c r="L2628" i="1"/>
  <c r="L2929" i="1"/>
  <c r="L3088" i="1"/>
  <c r="L3146" i="1"/>
  <c r="L3529" i="1"/>
  <c r="L3635" i="1"/>
  <c r="J15" i="1"/>
  <c r="L15" i="1" s="1"/>
  <c r="L245" i="1"/>
  <c r="L573" i="1"/>
  <c r="L283" i="1"/>
  <c r="L1011" i="1"/>
  <c r="L1195" i="1"/>
  <c r="L1223" i="1"/>
  <c r="L1354" i="1"/>
  <c r="L1382" i="1"/>
  <c r="L1437" i="1"/>
  <c r="L1550" i="1"/>
  <c r="L1620" i="1"/>
  <c r="L1627" i="1"/>
  <c r="L1641" i="1"/>
  <c r="L1653" i="1"/>
  <c r="L1674" i="1"/>
  <c r="L1759" i="1"/>
  <c r="L1873" i="1"/>
  <c r="M1873" i="1" s="1"/>
  <c r="L1901" i="1"/>
  <c r="L2010" i="1"/>
  <c r="L2127" i="1"/>
  <c r="L2142" i="1"/>
  <c r="L2164" i="1"/>
  <c r="L2279" i="1"/>
  <c r="L2364" i="1"/>
  <c r="L2496" i="1"/>
  <c r="L2621" i="1"/>
  <c r="L2694" i="1"/>
  <c r="L2771" i="1"/>
  <c r="L3215" i="1"/>
  <c r="L3373" i="1"/>
  <c r="L3567" i="1"/>
  <c r="L3702" i="1"/>
  <c r="L613" i="1"/>
  <c r="L745" i="1"/>
  <c r="L903" i="1"/>
  <c r="J55" i="1"/>
  <c r="L55" i="1" s="1"/>
  <c r="L85" i="1"/>
  <c r="L263" i="1"/>
  <c r="L171" i="1"/>
  <c r="L176" i="1"/>
  <c r="L274" i="1"/>
  <c r="L702" i="1"/>
  <c r="L804" i="1"/>
  <c r="L864" i="1"/>
  <c r="L133" i="1"/>
  <c r="L140" i="1"/>
  <c r="BM32" i="5" s="1"/>
  <c r="L904" i="1"/>
  <c r="L911" i="1"/>
  <c r="L773" i="1"/>
  <c r="L199" i="1"/>
  <c r="L217" i="1"/>
  <c r="L345" i="1"/>
  <c r="L621" i="1"/>
  <c r="L714" i="1"/>
  <c r="L721" i="1"/>
  <c r="L795" i="1"/>
  <c r="L841" i="1"/>
  <c r="L894" i="1"/>
  <c r="L120" i="1"/>
  <c r="L677" i="1"/>
  <c r="L722" i="1"/>
  <c r="L851" i="1"/>
  <c r="L926" i="1"/>
  <c r="L980" i="1"/>
  <c r="L998" i="1"/>
  <c r="L1031" i="1"/>
  <c r="L1107" i="1"/>
  <c r="L1203" i="1"/>
  <c r="L1230" i="1"/>
  <c r="L1237" i="1"/>
  <c r="L1376" i="1"/>
  <c r="L1389" i="1"/>
  <c r="L1396" i="1"/>
  <c r="L1423" i="1"/>
  <c r="L1557" i="1"/>
  <c r="L1575" i="1"/>
  <c r="L1607" i="1"/>
  <c r="L1681" i="1"/>
  <c r="L1687" i="1"/>
  <c r="L1706" i="1"/>
  <c r="L1719" i="1"/>
  <c r="L1726" i="1"/>
  <c r="L1733" i="1"/>
  <c r="L1739" i="1"/>
  <c r="L1745" i="1"/>
  <c r="L1752" i="1"/>
  <c r="L1766" i="1"/>
  <c r="L1773" i="1"/>
  <c r="L1787" i="1"/>
  <c r="L1821" i="1"/>
  <c r="L1937" i="1"/>
  <c r="L1952" i="1"/>
  <c r="L1966" i="1"/>
  <c r="L2003" i="1"/>
  <c r="L2083" i="1"/>
  <c r="L2243" i="1"/>
  <c r="L2385" i="1"/>
  <c r="L2438" i="1"/>
  <c r="L2830" i="1"/>
  <c r="L3330" i="1"/>
  <c r="J47" i="1"/>
  <c r="L47" i="1" s="1"/>
  <c r="L203" i="1"/>
  <c r="L397" i="1"/>
  <c r="L706" i="1"/>
  <c r="L925" i="1"/>
  <c r="J29" i="1"/>
  <c r="L29" i="1" s="1"/>
  <c r="J28" i="1"/>
  <c r="L28" i="1" s="1"/>
  <c r="J121" i="1"/>
  <c r="L121" i="1" s="1"/>
  <c r="L160" i="1"/>
  <c r="L166" i="1"/>
  <c r="L321" i="1"/>
  <c r="L399" i="1"/>
  <c r="L442" i="1"/>
  <c r="L510" i="1"/>
  <c r="L574" i="1"/>
  <c r="L710" i="1"/>
  <c r="L625" i="1"/>
  <c r="L638" i="1"/>
  <c r="L601" i="1"/>
  <c r="L832" i="1"/>
  <c r="L837" i="1"/>
  <c r="L581" i="1"/>
  <c r="L588" i="1"/>
  <c r="L615" i="1"/>
  <c r="L390" i="1"/>
  <c r="L606" i="1"/>
  <c r="L814" i="1"/>
  <c r="L888" i="1"/>
  <c r="L916" i="1"/>
  <c r="L928" i="1"/>
  <c r="L991" i="1"/>
  <c r="L1005" i="1"/>
  <c r="L1012" i="1"/>
  <c r="L1018" i="1"/>
  <c r="L1025" i="1"/>
  <c r="L1059" i="1"/>
  <c r="L1066" i="1"/>
  <c r="L1306" i="1"/>
  <c r="L1438" i="1"/>
  <c r="L1582" i="1"/>
  <c r="L1614" i="1"/>
  <c r="L1628" i="1"/>
  <c r="L1654" i="1"/>
  <c r="L1780" i="1"/>
  <c r="L1794" i="1"/>
  <c r="L1860" i="1"/>
  <c r="M1860" i="1" s="1"/>
  <c r="L1945" i="1"/>
  <c r="L1989" i="1"/>
  <c r="L1996" i="1"/>
  <c r="L2135" i="1"/>
  <c r="L2357" i="1"/>
  <c r="L2446" i="1"/>
  <c r="L2555" i="1"/>
  <c r="L2576" i="1"/>
  <c r="L2687" i="1"/>
  <c r="L2923" i="1"/>
  <c r="L2995" i="1"/>
  <c r="L3410" i="1"/>
  <c r="L3523" i="1"/>
  <c r="L3666" i="1"/>
  <c r="L381" i="1"/>
  <c r="L424" i="1"/>
  <c r="L831" i="1"/>
  <c r="L863" i="1"/>
  <c r="L396" i="1"/>
  <c r="L614" i="1"/>
  <c r="L389" i="1"/>
  <c r="J126" i="1"/>
  <c r="L126" i="1" s="1"/>
  <c r="L148" i="1"/>
  <c r="L51" i="1"/>
  <c r="L178" i="1"/>
  <c r="L242" i="1"/>
  <c r="L360" i="1"/>
  <c r="L414" i="1"/>
  <c r="L462" i="1"/>
  <c r="L398" i="1"/>
  <c r="L493" i="1"/>
  <c r="L609" i="1"/>
  <c r="L871" i="1"/>
  <c r="L141" i="1"/>
  <c r="L912" i="1"/>
  <c r="L375" i="1"/>
  <c r="L571" i="1"/>
  <c r="L376" i="1"/>
  <c r="L41" i="1"/>
  <c r="L346" i="1"/>
  <c r="L468" i="1"/>
  <c r="L622" i="1"/>
  <c r="L715" i="1"/>
  <c r="L739" i="1"/>
  <c r="L895" i="1"/>
  <c r="L725" i="1"/>
  <c r="L927" i="1"/>
  <c r="L939" i="1"/>
  <c r="L1039" i="1"/>
  <c r="L1081" i="1"/>
  <c r="L1149" i="1"/>
  <c r="L1204" i="1"/>
  <c r="L1266" i="1"/>
  <c r="L1280" i="1"/>
  <c r="L1328" i="1"/>
  <c r="L1383" i="1"/>
  <c r="L1551" i="1"/>
  <c r="L1558" i="1"/>
  <c r="L1576" i="1"/>
  <c r="L1621" i="1"/>
  <c r="L1642" i="1"/>
  <c r="L1648" i="1"/>
  <c r="L1668" i="1"/>
  <c r="L1675" i="1"/>
  <c r="L1682" i="1"/>
  <c r="L1688" i="1"/>
  <c r="L1727" i="1"/>
  <c r="L1746" i="1"/>
  <c r="L1753" i="1"/>
  <c r="L1760" i="1"/>
  <c r="L1767" i="1"/>
  <c r="L1788" i="1"/>
  <c r="L1938" i="1"/>
  <c r="L1982" i="1"/>
  <c r="L2019" i="1"/>
  <c r="L2062" i="1"/>
  <c r="L2091" i="1"/>
  <c r="L2121" i="1"/>
  <c r="L2265" i="1"/>
  <c r="L2373" i="1"/>
  <c r="L2548" i="1"/>
  <c r="L2569" i="1"/>
  <c r="L2607" i="1"/>
  <c r="L2988" i="1"/>
  <c r="L3068" i="1"/>
  <c r="L3265" i="1"/>
  <c r="L3367" i="1"/>
  <c r="L3629" i="1"/>
  <c r="L1930" i="1"/>
  <c r="L2036" i="1"/>
  <c r="L2069" i="1"/>
  <c r="L2076" i="1"/>
  <c r="L2161" i="1"/>
  <c r="L2175" i="1"/>
  <c r="L2181" i="1"/>
  <c r="L2194" i="1"/>
  <c r="L2201" i="1"/>
  <c r="L2293" i="1"/>
  <c r="L2300" i="1"/>
  <c r="L2319" i="1"/>
  <c r="L2326" i="1"/>
  <c r="L2333" i="1"/>
  <c r="L2378" i="1"/>
  <c r="L2391" i="1"/>
  <c r="L2398" i="1"/>
  <c r="L2405" i="1"/>
  <c r="L2464" i="1"/>
  <c r="L2509" i="1"/>
  <c r="L2661" i="1"/>
  <c r="L2674" i="1"/>
  <c r="L2713" i="1"/>
  <c r="L2778" i="1"/>
  <c r="L2818" i="1"/>
  <c r="L2837" i="1"/>
  <c r="L2856" i="1"/>
  <c r="L2863" i="1"/>
  <c r="L2877" i="1"/>
  <c r="L2903" i="1"/>
  <c r="L2943" i="1"/>
  <c r="L2962" i="1"/>
  <c r="L3002" i="1"/>
  <c r="L3035" i="1"/>
  <c r="L3075" i="1"/>
  <c r="L3109" i="1"/>
  <c r="L3140" i="1"/>
  <c r="L3152" i="1"/>
  <c r="L3209" i="1"/>
  <c r="L3252" i="1"/>
  <c r="L3361" i="1"/>
  <c r="L3404" i="1"/>
  <c r="L3449" i="1"/>
  <c r="L3561" i="1"/>
  <c r="L3617" i="1"/>
  <c r="L3660" i="1"/>
  <c r="L3684" i="1"/>
  <c r="L3736" i="1"/>
  <c r="L3750" i="1"/>
  <c r="L2226" i="1"/>
  <c r="L2233" i="1"/>
  <c r="L2247" i="1"/>
  <c r="L2253" i="1"/>
  <c r="L2266" i="1"/>
  <c r="L2273" i="1"/>
  <c r="L2358" i="1"/>
  <c r="L2365" i="1"/>
  <c r="L2372" i="1"/>
  <c r="L2412" i="1"/>
  <c r="L2426" i="1"/>
  <c r="L2445" i="1"/>
  <c r="L2491" i="1"/>
  <c r="L2523" i="1"/>
  <c r="L2529" i="1"/>
  <c r="L2535" i="1"/>
  <c r="L2575" i="1"/>
  <c r="L2601" i="1"/>
  <c r="L2608" i="1"/>
  <c r="L2615" i="1"/>
  <c r="L2635" i="1"/>
  <c r="L2641" i="1"/>
  <c r="L2681" i="1"/>
  <c r="L2707" i="1"/>
  <c r="L2733" i="1"/>
  <c r="L2747" i="1"/>
  <c r="L2753" i="1"/>
  <c r="L2785" i="1"/>
  <c r="L2792" i="1"/>
  <c r="L2805" i="1"/>
  <c r="L2917" i="1"/>
  <c r="L2930" i="1"/>
  <c r="L2969" i="1"/>
  <c r="L3009" i="1"/>
  <c r="L3042" i="1"/>
  <c r="L3049" i="1"/>
  <c r="L3055" i="1"/>
  <c r="L3089" i="1"/>
  <c r="L3172" i="1"/>
  <c r="L3184" i="1"/>
  <c r="L3197" i="1"/>
  <c r="L3259" i="1"/>
  <c r="L3285" i="1"/>
  <c r="L3292" i="1"/>
  <c r="L3318" i="1"/>
  <c r="L3324" i="1"/>
  <c r="L3349" i="1"/>
  <c r="L3417" i="1"/>
  <c r="L3436" i="1"/>
  <c r="L3468" i="1"/>
  <c r="L3493" i="1"/>
  <c r="L3505" i="1"/>
  <c r="L3549" i="1"/>
  <c r="L3574" i="1"/>
  <c r="L3580" i="1"/>
  <c r="L3605" i="1"/>
  <c r="L3696" i="1"/>
  <c r="L3716" i="1"/>
  <c r="L3723" i="1"/>
  <c r="L1969" i="1"/>
  <c r="L2037" i="1"/>
  <c r="L2044" i="1"/>
  <c r="L2063" i="1"/>
  <c r="L2070" i="1"/>
  <c r="L2077" i="1"/>
  <c r="L2122" i="1"/>
  <c r="L2162" i="1"/>
  <c r="L2169" i="1"/>
  <c r="L2188" i="1"/>
  <c r="L2202" i="1"/>
  <c r="L2220" i="1"/>
  <c r="L2280" i="1"/>
  <c r="L2287" i="1"/>
  <c r="L2294" i="1"/>
  <c r="L2301" i="1"/>
  <c r="L2307" i="1"/>
  <c r="L2313" i="1"/>
  <c r="L2327" i="1"/>
  <c r="L2399" i="1"/>
  <c r="L2419" i="1"/>
  <c r="L2452" i="1"/>
  <c r="L2459" i="1"/>
  <c r="L2465" i="1"/>
  <c r="L2471" i="1"/>
  <c r="L2478" i="1"/>
  <c r="L2485" i="1"/>
  <c r="L2497" i="1"/>
  <c r="L2503" i="1"/>
  <c r="L2542" i="1"/>
  <c r="L2549" i="1"/>
  <c r="L2556" i="1"/>
  <c r="L2582" i="1"/>
  <c r="L2595" i="1"/>
  <c r="L2622" i="1"/>
  <c r="L2629" i="1"/>
  <c r="L2648" i="1"/>
  <c r="L2655" i="1"/>
  <c r="L2675" i="1"/>
  <c r="L2688" i="1"/>
  <c r="L2714" i="1"/>
  <c r="L2720" i="1"/>
  <c r="L2726" i="1"/>
  <c r="L2759" i="1"/>
  <c r="L2772" i="1"/>
  <c r="L2779" i="1"/>
  <c r="L2812" i="1"/>
  <c r="L2819" i="1"/>
  <c r="L2825" i="1"/>
  <c r="L2831" i="1"/>
  <c r="L2857" i="1"/>
  <c r="L2864" i="1"/>
  <c r="L2871" i="1"/>
  <c r="L2891" i="1"/>
  <c r="L2897" i="1"/>
  <c r="L2924" i="1"/>
  <c r="L2937" i="1"/>
  <c r="L2963" i="1"/>
  <c r="L2989" i="1"/>
  <c r="L2996" i="1"/>
  <c r="L3003" i="1"/>
  <c r="L3016" i="1"/>
  <c r="L3022" i="1"/>
  <c r="L3029" i="1"/>
  <c r="L3062" i="1"/>
  <c r="L3069" i="1"/>
  <c r="L3076" i="1"/>
  <c r="L3096" i="1"/>
  <c r="L3103" i="1"/>
  <c r="L3116" i="1"/>
  <c r="L3122" i="1"/>
  <c r="L3128" i="1"/>
  <c r="L3141" i="1"/>
  <c r="L3153" i="1"/>
  <c r="L3191" i="1"/>
  <c r="L3222" i="1"/>
  <c r="L3228" i="1"/>
  <c r="L3253" i="1"/>
  <c r="L3266" i="1"/>
  <c r="L3272" i="1"/>
  <c r="L3305" i="1"/>
  <c r="L3311" i="1"/>
  <c r="L3337" i="1"/>
  <c r="L3343" i="1"/>
  <c r="L3355" i="1"/>
  <c r="L3374" i="1"/>
  <c r="L3380" i="1"/>
  <c r="L3386" i="1"/>
  <c r="L3405" i="1"/>
  <c r="L3424" i="1"/>
  <c r="L3443" i="1"/>
  <c r="L3456" i="1"/>
  <c r="L3487" i="1"/>
  <c r="L3499" i="1"/>
  <c r="L3511" i="1"/>
  <c r="L3518" i="1"/>
  <c r="L3524" i="1"/>
  <c r="L3530" i="1"/>
  <c r="L3536" i="1"/>
  <c r="L3543" i="1"/>
  <c r="L3593" i="1"/>
  <c r="L3599" i="1"/>
  <c r="L3611" i="1"/>
  <c r="L3630" i="1"/>
  <c r="L3636" i="1"/>
  <c r="L3642" i="1"/>
  <c r="L3661" i="1"/>
  <c r="L3685" i="1"/>
  <c r="L3703" i="1"/>
  <c r="L3710" i="1"/>
  <c r="L3737" i="1"/>
  <c r="L3751" i="1"/>
  <c r="L2642" i="1"/>
  <c r="L2682" i="1"/>
  <c r="L2741" i="1"/>
  <c r="L2786" i="1"/>
  <c r="L2793" i="1"/>
  <c r="L2799" i="1"/>
  <c r="L2845" i="1"/>
  <c r="L2851" i="1"/>
  <c r="L2885" i="1"/>
  <c r="L2911" i="1"/>
  <c r="L2931" i="1"/>
  <c r="L2970" i="1"/>
  <c r="L3010" i="1"/>
  <c r="L3043" i="1"/>
  <c r="L3083" i="1"/>
  <c r="L3160" i="1"/>
  <c r="L3173" i="1"/>
  <c r="L3185" i="1"/>
  <c r="L3198" i="1"/>
  <c r="L3204" i="1"/>
  <c r="L3241" i="1"/>
  <c r="L3260" i="1"/>
  <c r="L3286" i="1"/>
  <c r="L3293" i="1"/>
  <c r="L3325" i="1"/>
  <c r="L3393" i="1"/>
  <c r="L3399" i="1"/>
  <c r="L3411" i="1"/>
  <c r="L3437" i="1"/>
  <c r="L3450" i="1"/>
  <c r="L3469" i="1"/>
  <c r="L3481" i="1"/>
  <c r="L3550" i="1"/>
  <c r="L3556" i="1"/>
  <c r="L3562" i="1"/>
  <c r="L3568" i="1"/>
  <c r="L3581" i="1"/>
  <c r="L3587" i="1"/>
  <c r="L3618" i="1"/>
  <c r="L3624" i="1"/>
  <c r="L3649" i="1"/>
  <c r="L3655" i="1"/>
  <c r="L3667" i="1"/>
  <c r="L3673" i="1"/>
  <c r="L3679" i="1"/>
  <c r="L3691" i="1"/>
  <c r="L3697" i="1"/>
  <c r="L3717" i="1"/>
  <c r="L3724" i="1"/>
  <c r="L3744" i="1"/>
  <c r="L1885" i="1"/>
  <c r="L1892" i="1"/>
  <c r="L1970" i="1"/>
  <c r="L1977" i="1"/>
  <c r="L1991" i="1"/>
  <c r="L1997" i="1"/>
  <c r="L2031" i="1"/>
  <c r="L2038" i="1"/>
  <c r="L2045" i="1"/>
  <c r="L2057" i="1"/>
  <c r="L2071" i="1"/>
  <c r="L2156" i="1"/>
  <c r="L2170" i="1"/>
  <c r="L2189" i="1"/>
  <c r="L2221" i="1"/>
  <c r="L2281" i="1"/>
  <c r="L2295" i="1"/>
  <c r="L2314" i="1"/>
  <c r="L2420" i="1"/>
  <c r="L2453" i="1"/>
  <c r="L2472" i="1"/>
  <c r="L2479" i="1"/>
  <c r="L2543" i="1"/>
  <c r="L2557" i="1"/>
  <c r="L2583" i="1"/>
  <c r="L2623" i="1"/>
  <c r="L2636" i="1"/>
  <c r="L2649" i="1"/>
  <c r="L2669" i="1"/>
  <c r="L2689" i="1"/>
  <c r="L2708" i="1"/>
  <c r="L2715" i="1"/>
  <c r="L2721" i="1"/>
  <c r="L2727" i="1"/>
  <c r="L2734" i="1"/>
  <c r="L2748" i="1"/>
  <c r="L2754" i="1"/>
  <c r="L2760" i="1"/>
  <c r="L2766" i="1"/>
  <c r="L2773" i="1"/>
  <c r="L2806" i="1"/>
  <c r="L2813" i="1"/>
  <c r="L2858" i="1"/>
  <c r="L2865" i="1"/>
  <c r="L2898" i="1"/>
  <c r="L2918" i="1"/>
  <c r="L2938" i="1"/>
  <c r="L2951" i="1"/>
  <c r="L2957" i="1"/>
  <c r="L2997" i="1"/>
  <c r="L3017" i="1"/>
  <c r="L3023" i="1"/>
  <c r="L3050" i="1"/>
  <c r="L3056" i="1"/>
  <c r="L3063" i="1"/>
  <c r="L3077" i="1"/>
  <c r="L3090" i="1"/>
  <c r="L3097" i="1"/>
  <c r="L3117" i="1"/>
  <c r="L3129" i="1"/>
  <c r="L3167" i="1"/>
  <c r="L3179" i="1"/>
  <c r="L3229" i="1"/>
  <c r="L3235" i="1"/>
  <c r="L3273" i="1"/>
  <c r="L3279" i="1"/>
  <c r="L3312" i="1"/>
  <c r="L3319" i="1"/>
  <c r="L3350" i="1"/>
  <c r="L3356" i="1"/>
  <c r="L3381" i="1"/>
  <c r="L3418" i="1"/>
  <c r="L3425" i="1"/>
  <c r="L3431" i="1"/>
  <c r="L3444" i="1"/>
  <c r="L3457" i="1"/>
  <c r="L3463" i="1"/>
  <c r="L3475" i="1"/>
  <c r="L3494" i="1"/>
  <c r="L3500" i="1"/>
  <c r="L3506" i="1"/>
  <c r="L3512" i="1"/>
  <c r="L3525" i="1"/>
  <c r="L3537" i="1"/>
  <c r="L3575" i="1"/>
  <c r="L3606" i="1"/>
  <c r="L3612" i="1"/>
  <c r="L3637" i="1"/>
  <c r="L3704" i="1"/>
  <c r="L3711" i="1"/>
  <c r="L3731" i="1"/>
  <c r="L2018" i="1"/>
  <c r="L2090" i="1"/>
  <c r="L2103" i="1"/>
  <c r="L2110" i="1"/>
  <c r="L2117" i="1"/>
  <c r="L2129" i="1"/>
  <c r="L2143" i="1"/>
  <c r="L2196" i="1"/>
  <c r="L2242" i="1"/>
  <c r="L2261" i="1"/>
  <c r="L2321" i="1"/>
  <c r="L2335" i="1"/>
  <c r="L2341" i="1"/>
  <c r="L2367" i="1"/>
  <c r="L2386" i="1"/>
  <c r="L2393" i="1"/>
  <c r="L2407" i="1"/>
  <c r="L2434" i="1"/>
  <c r="L2511" i="1"/>
  <c r="L2570" i="1"/>
  <c r="L2603" i="1"/>
  <c r="L2610" i="1"/>
  <c r="L2643" i="1"/>
  <c r="L2663" i="1"/>
  <c r="L2683" i="1"/>
  <c r="L2780" i="1"/>
  <c r="L2787" i="1"/>
  <c r="L2839" i="1"/>
  <c r="L2879" i="1"/>
  <c r="L2905" i="1"/>
  <c r="L2945" i="1"/>
  <c r="L2971" i="1"/>
  <c r="L2977" i="1"/>
  <c r="L2983" i="1"/>
  <c r="L3011" i="1"/>
  <c r="L3037" i="1"/>
  <c r="L3084" i="1"/>
  <c r="L3148" i="1"/>
  <c r="L3161" i="1"/>
  <c r="L3205" i="1"/>
  <c r="L3217" i="1"/>
  <c r="L3261" i="1"/>
  <c r="L3294" i="1"/>
  <c r="L3300" i="1"/>
  <c r="L3326" i="1"/>
  <c r="L3332" i="1"/>
  <c r="L3369" i="1"/>
  <c r="L3412" i="1"/>
  <c r="L3519" i="1"/>
  <c r="L3531" i="1"/>
  <c r="L3544" i="1"/>
  <c r="L3557" i="1"/>
  <c r="L3569" i="1"/>
  <c r="L3582" i="1"/>
  <c r="L3588" i="1"/>
  <c r="L3594" i="1"/>
  <c r="L3600" i="1"/>
  <c r="L3625" i="1"/>
  <c r="L3631" i="1"/>
  <c r="L3643" i="1"/>
  <c r="L3662" i="1"/>
  <c r="L3668" i="1"/>
  <c r="L3692" i="1"/>
  <c r="L3738" i="1"/>
  <c r="L3745" i="1"/>
  <c r="L1866" i="1"/>
  <c r="L1879" i="1"/>
  <c r="M1879" i="1" s="1"/>
  <c r="L1886" i="1"/>
  <c r="L1893" i="1"/>
  <c r="L1978" i="1"/>
  <c r="L1985" i="1"/>
  <c r="L2004" i="1"/>
  <c r="L2011" i="1"/>
  <c r="L2025" i="1"/>
  <c r="L2039" i="1"/>
  <c r="L2058" i="1"/>
  <c r="L2096" i="1"/>
  <c r="L2136" i="1"/>
  <c r="L2150" i="1"/>
  <c r="L2157" i="1"/>
  <c r="L2177" i="1"/>
  <c r="L2183" i="1"/>
  <c r="L2210" i="1"/>
  <c r="L2228" i="1"/>
  <c r="L2235" i="1"/>
  <c r="L2268" i="1"/>
  <c r="L2275" i="1"/>
  <c r="L2282" i="1"/>
  <c r="L2347" i="1"/>
  <c r="L2353" i="1"/>
  <c r="L2360" i="1"/>
  <c r="L2374" i="1"/>
  <c r="L2380" i="1"/>
  <c r="L2414" i="1"/>
  <c r="L2421" i="1"/>
  <c r="L2428" i="1"/>
  <c r="L2440" i="1"/>
  <c r="L2447" i="1"/>
  <c r="L2473" i="1"/>
  <c r="L2518" i="1"/>
  <c r="L2531" i="1"/>
  <c r="L2537" i="1"/>
  <c r="L2564" i="1"/>
  <c r="L2577" i="1"/>
  <c r="L2584" i="1"/>
  <c r="L2590" i="1"/>
  <c r="L2617" i="1"/>
  <c r="L2650" i="1"/>
  <c r="L2690" i="1"/>
  <c r="L2696" i="1"/>
  <c r="L2702" i="1"/>
  <c r="L2709" i="1"/>
  <c r="L2728" i="1"/>
  <c r="L2735" i="1"/>
  <c r="L2742" i="1"/>
  <c r="L2749" i="1"/>
  <c r="L2755" i="1"/>
  <c r="L2761" i="1"/>
  <c r="L2767" i="1"/>
  <c r="L2794" i="1"/>
  <c r="L2800" i="1"/>
  <c r="L2807" i="1"/>
  <c r="L2846" i="1"/>
  <c r="L2852" i="1"/>
  <c r="L2859" i="1"/>
  <c r="L2866" i="1"/>
  <c r="L2886" i="1"/>
  <c r="L2899" i="1"/>
  <c r="L2912" i="1"/>
  <c r="L2919" i="1"/>
  <c r="L2932" i="1"/>
  <c r="L2939" i="1"/>
  <c r="L3044" i="1"/>
  <c r="L3051" i="1"/>
  <c r="L3057" i="1"/>
  <c r="L3078" i="1"/>
  <c r="L3091" i="1"/>
  <c r="L3098" i="1"/>
  <c r="L3111" i="1"/>
  <c r="L3136" i="1"/>
  <c r="L3174" i="1"/>
  <c r="L3180" i="1"/>
  <c r="L3186" i="1"/>
  <c r="L3199" i="1"/>
  <c r="L3211" i="1"/>
  <c r="L3230" i="1"/>
  <c r="L3236" i="1"/>
  <c r="L3242" i="1"/>
  <c r="L3248" i="1"/>
  <c r="L3280" i="1"/>
  <c r="L3287" i="1"/>
  <c r="L3313" i="1"/>
  <c r="L3357" i="1"/>
  <c r="L3363" i="1"/>
  <c r="L3394" i="1"/>
  <c r="L3400" i="1"/>
  <c r="L3419" i="1"/>
  <c r="L3438" i="1"/>
  <c r="L3445" i="1"/>
  <c r="L3451" i="1"/>
  <c r="L3470" i="1"/>
  <c r="L3476" i="1"/>
  <c r="L3482" i="1"/>
  <c r="L3501" i="1"/>
  <c r="L3513" i="1"/>
  <c r="L3551" i="1"/>
  <c r="L3563" i="1"/>
  <c r="L3613" i="1"/>
  <c r="L3619" i="1"/>
  <c r="L3650" i="1"/>
  <c r="L3656" i="1"/>
  <c r="L3674" i="1"/>
  <c r="L3680" i="1"/>
  <c r="L3698" i="1"/>
  <c r="L3705" i="1"/>
  <c r="L3718" i="1"/>
  <c r="L3725" i="1"/>
  <c r="L3732" i="1"/>
  <c r="L2289" i="1"/>
  <c r="L2303" i="1"/>
  <c r="L2309" i="1"/>
  <c r="L2322" i="1"/>
  <c r="L2329" i="1"/>
  <c r="L2394" i="1"/>
  <c r="L2401" i="1"/>
  <c r="L2467" i="1"/>
  <c r="L2499" i="1"/>
  <c r="L2505" i="1"/>
  <c r="L2551" i="1"/>
  <c r="L2571" i="1"/>
  <c r="L2611" i="1"/>
  <c r="L2657" i="1"/>
  <c r="L2664" i="1"/>
  <c r="L2677" i="1"/>
  <c r="L2781" i="1"/>
  <c r="L2821" i="1"/>
  <c r="L2827" i="1"/>
  <c r="L2833" i="1"/>
  <c r="L2873" i="1"/>
  <c r="L2906" i="1"/>
  <c r="L2946" i="1"/>
  <c r="L2965" i="1"/>
  <c r="L2984" i="1"/>
  <c r="L2991" i="1"/>
  <c r="L3005" i="1"/>
  <c r="L3031" i="1"/>
  <c r="L3071" i="1"/>
  <c r="L3105" i="1"/>
  <c r="L3124" i="1"/>
  <c r="L3155" i="1"/>
  <c r="L3193" i="1"/>
  <c r="L3262" i="1"/>
  <c r="L3268" i="1"/>
  <c r="L3301" i="1"/>
  <c r="L3333" i="1"/>
  <c r="L3345" i="1"/>
  <c r="L3388" i="1"/>
  <c r="L3413" i="1"/>
  <c r="L3489" i="1"/>
  <c r="L3532" i="1"/>
  <c r="L3545" i="1"/>
  <c r="L3589" i="1"/>
  <c r="L3601" i="1"/>
  <c r="L3644" i="1"/>
  <c r="L3739" i="1"/>
  <c r="L1775" i="1"/>
  <c r="L1782" i="1"/>
  <c r="L1789" i="1"/>
  <c r="L1801" i="1"/>
  <c r="L1887" i="1"/>
  <c r="L1940" i="1"/>
  <c r="L1986" i="1"/>
  <c r="L2005" i="1"/>
  <c r="L2012" i="1"/>
  <c r="L2026" i="1"/>
  <c r="L2097" i="1"/>
  <c r="L2137" i="1"/>
  <c r="L2151" i="1"/>
  <c r="L2178" i="1"/>
  <c r="L2229" i="1"/>
  <c r="L2236" i="1"/>
  <c r="L2269" i="1"/>
  <c r="L2276" i="1"/>
  <c r="L2336" i="1"/>
  <c r="L2342" i="1"/>
  <c r="L2354" i="1"/>
  <c r="L2361" i="1"/>
  <c r="L2368" i="1"/>
  <c r="L2375" i="1"/>
  <c r="L2381" i="1"/>
  <c r="L2387" i="1"/>
  <c r="L2408" i="1"/>
  <c r="L2415" i="1"/>
  <c r="L2422" i="1"/>
  <c r="L2429" i="1"/>
  <c r="L2435" i="1"/>
  <c r="L2441" i="1"/>
  <c r="L2461" i="1"/>
  <c r="L2474" i="1"/>
  <c r="L2487" i="1"/>
  <c r="L2512" i="1"/>
  <c r="L2519" i="1"/>
  <c r="L2538" i="1"/>
  <c r="L2578" i="1"/>
  <c r="L2585" i="1"/>
  <c r="L2597" i="1"/>
  <c r="L2604" i="1"/>
  <c r="L2618" i="1"/>
  <c r="L2631" i="1"/>
  <c r="L2644" i="1"/>
  <c r="L2651" i="1"/>
  <c r="L2684" i="1"/>
  <c r="L2691" i="1"/>
  <c r="L2697" i="1"/>
  <c r="L2703" i="1"/>
  <c r="L2729" i="1"/>
  <c r="L2736" i="1"/>
  <c r="L2743" i="1"/>
  <c r="L2788" i="1"/>
  <c r="L2795" i="1"/>
  <c r="L2801" i="1"/>
  <c r="L2840" i="1"/>
  <c r="L2867" i="1"/>
  <c r="L2880" i="1"/>
  <c r="L2893" i="1"/>
  <c r="L2913" i="1"/>
  <c r="L2920" i="1"/>
  <c r="L2926" i="1"/>
  <c r="L2933" i="1"/>
  <c r="L2972" i="1"/>
  <c r="L2978" i="1"/>
  <c r="L3012" i="1"/>
  <c r="L3038" i="1"/>
  <c r="L3045" i="1"/>
  <c r="L3058" i="1"/>
  <c r="L3085" i="1"/>
  <c r="L3092" i="1"/>
  <c r="L3099" i="1"/>
  <c r="L3137" i="1"/>
  <c r="L3143" i="1"/>
  <c r="L3149" i="1"/>
  <c r="L3162" i="1"/>
  <c r="L3187" i="1"/>
  <c r="L3206" i="1"/>
  <c r="L3212" i="1"/>
  <c r="L3218" i="1"/>
  <c r="L3224" i="1"/>
  <c r="L3237" i="1"/>
  <c r="L3249" i="1"/>
  <c r="L3255" i="1"/>
  <c r="L3281" i="1"/>
  <c r="L3288" i="1"/>
  <c r="L3295" i="1"/>
  <c r="L3307" i="1"/>
  <c r="L3327" i="1"/>
  <c r="L3339" i="1"/>
  <c r="L3358" i="1"/>
  <c r="L3364" i="1"/>
  <c r="L3370" i="1"/>
  <c r="L3376" i="1"/>
  <c r="L3401" i="1"/>
  <c r="L3407" i="1"/>
  <c r="L3420" i="1"/>
  <c r="L3446" i="1"/>
  <c r="L3452" i="1"/>
  <c r="L3477" i="1"/>
  <c r="L3520" i="1"/>
  <c r="L3558" i="1"/>
  <c r="L3564" i="1"/>
  <c r="L3570" i="1"/>
  <c r="L3583" i="1"/>
  <c r="L3595" i="1"/>
  <c r="L3614" i="1"/>
  <c r="L3620" i="1"/>
  <c r="L3626" i="1"/>
  <c r="L3632" i="1"/>
  <c r="L3657" i="1"/>
  <c r="L3663" i="1"/>
  <c r="L3669" i="1"/>
  <c r="L3681" i="1"/>
  <c r="L3687" i="1"/>
  <c r="L3693" i="1"/>
  <c r="L3719" i="1"/>
  <c r="L3726" i="1"/>
  <c r="L3746" i="1"/>
  <c r="L2033" i="1"/>
  <c r="L2047" i="1"/>
  <c r="L2053" i="1"/>
  <c r="L2066" i="1"/>
  <c r="L2073" i="1"/>
  <c r="L2165" i="1"/>
  <c r="L2172" i="1"/>
  <c r="L2191" i="1"/>
  <c r="L2198" i="1"/>
  <c r="L2205" i="1"/>
  <c r="L2250" i="1"/>
  <c r="L2290" i="1"/>
  <c r="L2297" i="1"/>
  <c r="L2316" i="1"/>
  <c r="L2330" i="1"/>
  <c r="L2402" i="1"/>
  <c r="L2455" i="1"/>
  <c r="L2481" i="1"/>
  <c r="L2506" i="1"/>
  <c r="L2545" i="1"/>
  <c r="L2552" i="1"/>
  <c r="L2625" i="1"/>
  <c r="L2658" i="1"/>
  <c r="L2665" i="1"/>
  <c r="L2671" i="1"/>
  <c r="L2717" i="1"/>
  <c r="L2723" i="1"/>
  <c r="L2775" i="1"/>
  <c r="L2815" i="1"/>
  <c r="L2834" i="1"/>
  <c r="L2874" i="1"/>
  <c r="L2907" i="1"/>
  <c r="L2947" i="1"/>
  <c r="L2953" i="1"/>
  <c r="L2959" i="1"/>
  <c r="L2985" i="1"/>
  <c r="L2992" i="1"/>
  <c r="L2999" i="1"/>
  <c r="L3019" i="1"/>
  <c r="L3025" i="1"/>
  <c r="L3065" i="1"/>
  <c r="L3106" i="1"/>
  <c r="L3131" i="1"/>
  <c r="L3156" i="1"/>
  <c r="L3169" i="1"/>
  <c r="L3269" i="1"/>
  <c r="L3321" i="1"/>
  <c r="L3389" i="1"/>
  <c r="L3433" i="1"/>
  <c r="L3465" i="1"/>
  <c r="L3508" i="1"/>
  <c r="L3539" i="1"/>
  <c r="L3577" i="1"/>
  <c r="L3645" i="1"/>
  <c r="L3699" i="1"/>
  <c r="L3706" i="1"/>
  <c r="L3713" i="1"/>
  <c r="L3733" i="1"/>
  <c r="L3740" i="1"/>
  <c r="L1908" i="1"/>
  <c r="L1941" i="1"/>
  <c r="L1948" i="1"/>
  <c r="L2006" i="1"/>
  <c r="L2013" i="1"/>
  <c r="L2020" i="1"/>
  <c r="L2080" i="1"/>
  <c r="L2086" i="1"/>
  <c r="L2098" i="1"/>
  <c r="L2105" i="1"/>
  <c r="L2112" i="1"/>
  <c r="L2119" i="1"/>
  <c r="L2125" i="1"/>
  <c r="L2131" i="1"/>
  <c r="L2138" i="1"/>
  <c r="L2145" i="1"/>
  <c r="L2217" i="1"/>
  <c r="L2223" i="1"/>
  <c r="L2230" i="1"/>
  <c r="L2237" i="1"/>
  <c r="L2244" i="1"/>
  <c r="L2256" i="1"/>
  <c r="L2263" i="1"/>
  <c r="L2270" i="1"/>
  <c r="L2277" i="1"/>
  <c r="L2304" i="1"/>
  <c r="L2310" i="1"/>
  <c r="L2323" i="1"/>
  <c r="L2362" i="1"/>
  <c r="L2369" i="1"/>
  <c r="L2388" i="1"/>
  <c r="L2395" i="1"/>
  <c r="L2409" i="1"/>
  <c r="L2423" i="1"/>
  <c r="L2442" i="1"/>
  <c r="L2468" i="1"/>
  <c r="L2475" i="1"/>
  <c r="L2488" i="1"/>
  <c r="L2494" i="1"/>
  <c r="L2500" i="1"/>
  <c r="L2513" i="1"/>
  <c r="L2520" i="1"/>
  <c r="L2526" i="1"/>
  <c r="L2539" i="1"/>
  <c r="L2559" i="1"/>
  <c r="L2572" i="1"/>
  <c r="L2579" i="1"/>
  <c r="L2605" i="1"/>
  <c r="L2612" i="1"/>
  <c r="L2619" i="1"/>
  <c r="L2632" i="1"/>
  <c r="L2638" i="1"/>
  <c r="L2645" i="1"/>
  <c r="L2678" i="1"/>
  <c r="L2685" i="1"/>
  <c r="L2730" i="1"/>
  <c r="L2737" i="1"/>
  <c r="L2782" i="1"/>
  <c r="L2789" i="1"/>
  <c r="L2802" i="1"/>
  <c r="L2822" i="1"/>
  <c r="L2828" i="1"/>
  <c r="L2841" i="1"/>
  <c r="L2881" i="1"/>
  <c r="L2914" i="1"/>
  <c r="L2921" i="1"/>
  <c r="L2927" i="1"/>
  <c r="L2966" i="1"/>
  <c r="L2973" i="1"/>
  <c r="L2979" i="1"/>
  <c r="L3006" i="1"/>
  <c r="L3013" i="1"/>
  <c r="L3032" i="1"/>
  <c r="L3039" i="1"/>
  <c r="L3059" i="1"/>
  <c r="L3072" i="1"/>
  <c r="L3086" i="1"/>
  <c r="L3100" i="1"/>
  <c r="L3119" i="1"/>
  <c r="L3125" i="1"/>
  <c r="L3163" i="1"/>
  <c r="L3188" i="1"/>
  <c r="L3194" i="1"/>
  <c r="L3213" i="1"/>
  <c r="L3225" i="1"/>
  <c r="L3256" i="1"/>
  <c r="L3263" i="1"/>
  <c r="L3275" i="1"/>
  <c r="L3289" i="1"/>
  <c r="L3302" i="1"/>
  <c r="L3308" i="1"/>
  <c r="L3334" i="1"/>
  <c r="L3340" i="1"/>
  <c r="L3346" i="1"/>
  <c r="L3352" i="1"/>
  <c r="L3365" i="1"/>
  <c r="L3377" i="1"/>
  <c r="L3383" i="1"/>
  <c r="L3414" i="1"/>
  <c r="L3421" i="1"/>
  <c r="L3427" i="1"/>
  <c r="L3453" i="1"/>
  <c r="L3459" i="1"/>
  <c r="L3490" i="1"/>
  <c r="L3496" i="1"/>
  <c r="L3521" i="1"/>
  <c r="L3527" i="1"/>
  <c r="L3533" i="1"/>
  <c r="L3546" i="1"/>
  <c r="L3565" i="1"/>
  <c r="L3590" i="1"/>
  <c r="L3596" i="1"/>
  <c r="L3602" i="1"/>
  <c r="L3608" i="1"/>
  <c r="L3621" i="1"/>
  <c r="L3633" i="1"/>
  <c r="L3639" i="1"/>
  <c r="L3720" i="1"/>
  <c r="L3747" i="1"/>
  <c r="L1881" i="1"/>
  <c r="M1881" i="1" s="1"/>
  <c r="L1895" i="1"/>
  <c r="L1922" i="1"/>
  <c r="L1973" i="1"/>
  <c r="L1980" i="1"/>
  <c r="L2034" i="1"/>
  <c r="L2041" i="1"/>
  <c r="L2060" i="1"/>
  <c r="L2074" i="1"/>
  <c r="L2152" i="1"/>
  <c r="L2159" i="1"/>
  <c r="L2166" i="1"/>
  <c r="L2173" i="1"/>
  <c r="L2185" i="1"/>
  <c r="L2199" i="1"/>
  <c r="L2284" i="1"/>
  <c r="L2298" i="1"/>
  <c r="L2317" i="1"/>
  <c r="L2349" i="1"/>
  <c r="L2416" i="1"/>
  <c r="L2430" i="1"/>
  <c r="L2436" i="1"/>
  <c r="L2449" i="1"/>
  <c r="L2456" i="1"/>
  <c r="L2482" i="1"/>
  <c r="L2507" i="1"/>
  <c r="L2546" i="1"/>
  <c r="L2553" i="1"/>
  <c r="L2586" i="1"/>
  <c r="L2592" i="1"/>
  <c r="L2598" i="1"/>
  <c r="L2626" i="1"/>
  <c r="L2652" i="1"/>
  <c r="L2659" i="1"/>
  <c r="L2692" i="1"/>
  <c r="L2698" i="1"/>
  <c r="L2704" i="1"/>
  <c r="L2711" i="1"/>
  <c r="L2744" i="1"/>
  <c r="L2763" i="1"/>
  <c r="L2769" i="1"/>
  <c r="L2796" i="1"/>
  <c r="L2809" i="1"/>
  <c r="L2835" i="1"/>
  <c r="L2861" i="1"/>
  <c r="L2868" i="1"/>
  <c r="L2875" i="1"/>
  <c r="L2888" i="1"/>
  <c r="L2894" i="1"/>
  <c r="L2901" i="1"/>
  <c r="L2934" i="1"/>
  <c r="L2941" i="1"/>
  <c r="L2986" i="1"/>
  <c r="L2993" i="1"/>
  <c r="L3026" i="1"/>
  <c r="L3066" i="1"/>
  <c r="L3080" i="1"/>
  <c r="L3113" i="1"/>
  <c r="L3132" i="1"/>
  <c r="L3138" i="1"/>
  <c r="L3144" i="1"/>
  <c r="L3150" i="1"/>
  <c r="L3201" i="1"/>
  <c r="L3244" i="1"/>
  <c r="L3282" i="1"/>
  <c r="L3296" i="1"/>
  <c r="L3315" i="1"/>
  <c r="L3328" i="1"/>
  <c r="L3359" i="1"/>
  <c r="L3371" i="1"/>
  <c r="L3390" i="1"/>
  <c r="L3396" i="1"/>
  <c r="L3402" i="1"/>
  <c r="L3408" i="1"/>
  <c r="L3440" i="1"/>
  <c r="L3447" i="1"/>
  <c r="L3478" i="1"/>
  <c r="L3484" i="1"/>
  <c r="L3515" i="1"/>
  <c r="L3540" i="1"/>
  <c r="L3553" i="1"/>
  <c r="L3559" i="1"/>
  <c r="L3571" i="1"/>
  <c r="L3584" i="1"/>
  <c r="L3615" i="1"/>
  <c r="L3627" i="1"/>
  <c r="L3646" i="1"/>
  <c r="L3652" i="1"/>
  <c r="L3658" i="1"/>
  <c r="L3664" i="1"/>
  <c r="L3670" i="1"/>
  <c r="L3676" i="1"/>
  <c r="L3682" i="1"/>
  <c r="L3688" i="1"/>
  <c r="L3694" i="1"/>
  <c r="L3700" i="1"/>
  <c r="L3707" i="1"/>
  <c r="L3727" i="1"/>
  <c r="L3734" i="1"/>
  <c r="L1862" i="1"/>
  <c r="M1862" i="1" s="1"/>
  <c r="L1902" i="1"/>
  <c r="L1909" i="1"/>
  <c r="L1916" i="1"/>
  <c r="L1928" i="1"/>
  <c r="L1935" i="1"/>
  <c r="L1942" i="1"/>
  <c r="L1949" i="1"/>
  <c r="L1955" i="1"/>
  <c r="L1994" i="1"/>
  <c r="L2007" i="1"/>
  <c r="L2014" i="1"/>
  <c r="L2021" i="1"/>
  <c r="L2048" i="1"/>
  <c r="L2054" i="1"/>
  <c r="L2067" i="1"/>
  <c r="L2106" i="1"/>
  <c r="L2113" i="1"/>
  <c r="L2132" i="1"/>
  <c r="L2146" i="1"/>
  <c r="L2192" i="1"/>
  <c r="L2206" i="1"/>
  <c r="L2212" i="1"/>
  <c r="L2218" i="1"/>
  <c r="L2231" i="1"/>
  <c r="L2238" i="1"/>
  <c r="L2245" i="1"/>
  <c r="L2257" i="1"/>
  <c r="L2271" i="1"/>
  <c r="L2324" i="1"/>
  <c r="L2370" i="1"/>
  <c r="L2389" i="1"/>
  <c r="L2396" i="1"/>
  <c r="L2410" i="1"/>
  <c r="L2489" i="1"/>
  <c r="L2514" i="1"/>
  <c r="L2521" i="1"/>
  <c r="L2560" i="1"/>
  <c r="L2573" i="1"/>
  <c r="L2613" i="1"/>
  <c r="L2633" i="1"/>
  <c r="L2639" i="1"/>
  <c r="L2679" i="1"/>
  <c r="L2731" i="1"/>
  <c r="L2738" i="1"/>
  <c r="L2783" i="1"/>
  <c r="L2803" i="1"/>
  <c r="L2842" i="1"/>
  <c r="L2882" i="1"/>
  <c r="L2915" i="1"/>
  <c r="L2967" i="1"/>
  <c r="L3007" i="1"/>
  <c r="L3033" i="1"/>
  <c r="L3073" i="1"/>
  <c r="L3101" i="1"/>
  <c r="L3164" i="1"/>
  <c r="L3189" i="1"/>
  <c r="L3257" i="1"/>
  <c r="L3276" i="1"/>
  <c r="L3309" i="1"/>
  <c r="L3341" i="1"/>
  <c r="L3353" i="1"/>
  <c r="L3422" i="1"/>
  <c r="L3428" i="1"/>
  <c r="L3454" i="1"/>
  <c r="L3460" i="1"/>
  <c r="L3497" i="1"/>
  <c r="L3597" i="1"/>
  <c r="L3609" i="1"/>
  <c r="L3714" i="1"/>
  <c r="L3721" i="1"/>
  <c r="L3741" i="1"/>
  <c r="L3748" i="1"/>
  <c r="L1777" i="1"/>
  <c r="L1791" i="1"/>
  <c r="L1797" i="1"/>
  <c r="L1882" i="1"/>
  <c r="L1889" i="1"/>
  <c r="L1961" i="1"/>
  <c r="L1967" i="1"/>
  <c r="L1974" i="1"/>
  <c r="L1981" i="1"/>
  <c r="L1988" i="1"/>
  <c r="L2000" i="1"/>
  <c r="L2028" i="1"/>
  <c r="L2042" i="1"/>
  <c r="L2061" i="1"/>
  <c r="L2081" i="1"/>
  <c r="L2087" i="1"/>
  <c r="L2093" i="1"/>
  <c r="L2099" i="1"/>
  <c r="L2120" i="1"/>
  <c r="L2126" i="1"/>
  <c r="L2139" i="1"/>
  <c r="L2153" i="1"/>
  <c r="L2167" i="1"/>
  <c r="L2186" i="1"/>
  <c r="L2224" i="1"/>
  <c r="L2264" i="1"/>
  <c r="L2278" i="1"/>
  <c r="L2285" i="1"/>
  <c r="L2305" i="1"/>
  <c r="L2311" i="1"/>
  <c r="L2338" i="1"/>
  <c r="L2356" i="1"/>
  <c r="L2363" i="1"/>
  <c r="L2417" i="1"/>
  <c r="L2424" i="1"/>
  <c r="L2431" i="1"/>
  <c r="L2437" i="1"/>
  <c r="L2443" i="1"/>
  <c r="L2450" i="1"/>
  <c r="L2457" i="1"/>
  <c r="L2469" i="1"/>
  <c r="L2476" i="1"/>
  <c r="L2483" i="1"/>
  <c r="L2495" i="1"/>
  <c r="L2501" i="1"/>
  <c r="L2527" i="1"/>
  <c r="L2540" i="1"/>
  <c r="L2547" i="1"/>
  <c r="L2554" i="1"/>
  <c r="L2580" i="1"/>
  <c r="L2587" i="1"/>
  <c r="L2593" i="1"/>
  <c r="L2599" i="1"/>
  <c r="L2606" i="1"/>
  <c r="L2620" i="1"/>
  <c r="L2627" i="1"/>
  <c r="L2646" i="1"/>
  <c r="L2653" i="1"/>
  <c r="L2686" i="1"/>
  <c r="L2693" i="1"/>
  <c r="L2699" i="1"/>
  <c r="L2705" i="1"/>
  <c r="L2745" i="1"/>
  <c r="L2770" i="1"/>
  <c r="L2790" i="1"/>
  <c r="L2810" i="1"/>
  <c r="L2823" i="1"/>
  <c r="L2829" i="1"/>
  <c r="L2869" i="1"/>
  <c r="L2889" i="1"/>
  <c r="L2895" i="1"/>
  <c r="L2922" i="1"/>
  <c r="L2928" i="1"/>
  <c r="L2935" i="1"/>
  <c r="L2974" i="1"/>
  <c r="L2980" i="1"/>
  <c r="L2987" i="1"/>
  <c r="L2994" i="1"/>
  <c r="L3014" i="1"/>
  <c r="L3027" i="1"/>
  <c r="L3040" i="1"/>
  <c r="L3047" i="1"/>
  <c r="L3060" i="1"/>
  <c r="L3067" i="1"/>
  <c r="L3087" i="1"/>
  <c r="L3094" i="1"/>
  <c r="L3114" i="1"/>
  <c r="L3120" i="1"/>
  <c r="L3126" i="1"/>
  <c r="L3133" i="1"/>
  <c r="L3145" i="1"/>
  <c r="L3195" i="1"/>
  <c r="L3214" i="1"/>
  <c r="L3220" i="1"/>
  <c r="L3226" i="1"/>
  <c r="L3245" i="1"/>
  <c r="L3264" i="1"/>
  <c r="L3283" i="1"/>
  <c r="L3290" i="1"/>
  <c r="L3297" i="1"/>
  <c r="L3303" i="1"/>
  <c r="L3316" i="1"/>
  <c r="L3329" i="1"/>
  <c r="L3335" i="1"/>
  <c r="L3347" i="1"/>
  <c r="L3366" i="1"/>
  <c r="L3372" i="1"/>
  <c r="L3378" i="1"/>
  <c r="L3384" i="1"/>
  <c r="L3397" i="1"/>
  <c r="L3409" i="1"/>
  <c r="L3415" i="1"/>
  <c r="L3441" i="1"/>
  <c r="L3485" i="1"/>
  <c r="L3491" i="1"/>
  <c r="L3516" i="1"/>
  <c r="L3522" i="1"/>
  <c r="L3528" i="1"/>
  <c r="L3534" i="1"/>
  <c r="L3541" i="1"/>
  <c r="L3547" i="1"/>
  <c r="L3566" i="1"/>
  <c r="L3572" i="1"/>
  <c r="L3585" i="1"/>
  <c r="L3591" i="1"/>
  <c r="L3603" i="1"/>
  <c r="L3622" i="1"/>
  <c r="L3628" i="1"/>
  <c r="L3634" i="1"/>
  <c r="L3640" i="1"/>
  <c r="L3653" i="1"/>
  <c r="L3665" i="1"/>
  <c r="L3677" i="1"/>
  <c r="L3689" i="1"/>
  <c r="L3701" i="1"/>
  <c r="L3708" i="1"/>
  <c r="L3728" i="1"/>
  <c r="L1903" i="1"/>
  <c r="L1910" i="1"/>
  <c r="L1917" i="1"/>
  <c r="L1929" i="1"/>
  <c r="L1943" i="1"/>
  <c r="L2015" i="1"/>
  <c r="L2068" i="1"/>
  <c r="L2114" i="1"/>
  <c r="L2133" i="1"/>
  <c r="L2193" i="1"/>
  <c r="L2207" i="1"/>
  <c r="L2213" i="1"/>
  <c r="L2239" i="1"/>
  <c r="L2258" i="1"/>
  <c r="L2292" i="1"/>
  <c r="L2325" i="1"/>
  <c r="L2332" i="1"/>
  <c r="L2390" i="1"/>
  <c r="L2397" i="1"/>
  <c r="L2404" i="1"/>
  <c r="L2515" i="1"/>
  <c r="L2561" i="1"/>
  <c r="L2567" i="1"/>
  <c r="L2667" i="1"/>
  <c r="L2673" i="1"/>
  <c r="L2739" i="1"/>
  <c r="L2777" i="1"/>
  <c r="L2817" i="1"/>
  <c r="L2843" i="1"/>
  <c r="L2849" i="1"/>
  <c r="L2855" i="1"/>
  <c r="L2883" i="1"/>
  <c r="L2909" i="1"/>
  <c r="L2949" i="1"/>
  <c r="L2955" i="1"/>
  <c r="L2961" i="1"/>
  <c r="L3001" i="1"/>
  <c r="L3034" i="1"/>
  <c r="L3074" i="1"/>
  <c r="L3108" i="1"/>
  <c r="L3158" i="1"/>
  <c r="L3165" i="1"/>
  <c r="L3177" i="1"/>
  <c r="L3233" i="1"/>
  <c r="L3277" i="1"/>
  <c r="L3429" i="1"/>
  <c r="L3461" i="1"/>
  <c r="L3473" i="1"/>
  <c r="L3735" i="1"/>
  <c r="L3742" i="1"/>
  <c r="L3749" i="1"/>
  <c r="L42" i="1"/>
  <c r="L33" i="1"/>
  <c r="J22" i="1"/>
  <c r="L22" i="1" s="1"/>
  <c r="BL60" i="5" s="1"/>
  <c r="H9" i="9"/>
  <c r="BK254" i="7"/>
  <c r="G56" i="12"/>
  <c r="BK143" i="7"/>
  <c r="G52" i="12"/>
  <c r="BX16" i="5" l="1"/>
  <c r="BV21" i="5"/>
  <c r="CA59" i="5"/>
  <c r="CA52" i="5" s="1"/>
  <c r="CA9" i="5" s="1"/>
  <c r="BT67" i="5"/>
  <c r="BT63" i="5" s="1"/>
  <c r="BV67" i="5"/>
  <c r="BV63" i="5" s="1"/>
  <c r="BW67" i="5"/>
  <c r="BW63" i="5" s="1"/>
  <c r="M1866" i="1"/>
  <c r="BZ67" i="5"/>
  <c r="BZ63" i="5" s="1"/>
  <c r="BT59" i="5"/>
  <c r="BT52" i="5" s="1"/>
  <c r="BY20" i="5"/>
  <c r="BX21" i="5"/>
  <c r="BV22" i="5"/>
  <c r="BV19" i="5"/>
  <c r="BX20" i="5"/>
  <c r="I1838" i="1"/>
  <c r="J1838" i="1" s="1"/>
  <c r="L1830" i="1"/>
  <c r="BV16" i="5"/>
  <c r="BY21" i="5"/>
  <c r="BY17" i="5"/>
  <c r="BW20" i="5"/>
  <c r="BY22" i="5"/>
  <c r="BW22" i="5"/>
  <c r="BX22" i="5"/>
  <c r="BX32" i="5"/>
  <c r="BW32" i="5"/>
  <c r="BX19" i="5"/>
  <c r="BY32" i="5"/>
  <c r="BW19" i="5"/>
  <c r="BV20" i="5"/>
  <c r="BW16" i="5"/>
  <c r="BY19" i="5"/>
  <c r="BV17" i="5"/>
  <c r="BY16" i="5"/>
  <c r="BX17" i="5"/>
  <c r="BW17" i="5"/>
  <c r="BR67" i="5"/>
  <c r="BR63" i="5" s="1"/>
  <c r="BO53" i="5"/>
  <c r="BQ68" i="5"/>
  <c r="BQ63" i="5" s="1"/>
  <c r="BQ62" i="5"/>
  <c r="BI62" i="5" s="1"/>
  <c r="BS59" i="5"/>
  <c r="BS52" i="5" s="1"/>
  <c r="BS9" i="5" s="1"/>
  <c r="BP81" i="5"/>
  <c r="BR77" i="5"/>
  <c r="BR71" i="5" s="1"/>
  <c r="BQ133" i="5"/>
  <c r="BQ132" i="5" s="1"/>
  <c r="BP78" i="5"/>
  <c r="BP133" i="5"/>
  <c r="BP132" i="5" s="1"/>
  <c r="BP94" i="5"/>
  <c r="BP91" i="5" s="1"/>
  <c r="BN64" i="5"/>
  <c r="BN110" i="5"/>
  <c r="BI110" i="5" s="1"/>
  <c r="BM14" i="5"/>
  <c r="BI14" i="5" s="1"/>
  <c r="BL64" i="5"/>
  <c r="BN32" i="5"/>
  <c r="BO133" i="5"/>
  <c r="BO132" i="5" s="1"/>
  <c r="T433" i="7"/>
  <c r="U433" i="7" s="1"/>
  <c r="V433" i="7" s="1"/>
  <c r="W433" i="7" s="1"/>
  <c r="X433" i="7" s="1"/>
  <c r="Y433" i="7" s="1"/>
  <c r="Z433" i="7" s="1"/>
  <c r="AA433" i="7" s="1"/>
  <c r="AB433" i="7" s="1"/>
  <c r="AC433" i="7" s="1"/>
  <c r="AD433" i="7" s="1"/>
  <c r="AE433" i="7" s="1"/>
  <c r="AF433" i="7" s="1"/>
  <c r="AG433" i="7" s="1"/>
  <c r="AH433" i="7" s="1"/>
  <c r="AI433" i="7" s="1"/>
  <c r="AJ433" i="7" s="1"/>
  <c r="AK433" i="7" s="1"/>
  <c r="AL433" i="7" s="1"/>
  <c r="AM433" i="7" s="1"/>
  <c r="BQ81" i="5"/>
  <c r="BQ77" i="5"/>
  <c r="BR59" i="5"/>
  <c r="BR52" i="5" s="1"/>
  <c r="BP17" i="5"/>
  <c r="BQ61" i="5"/>
  <c r="BQ59" i="5"/>
  <c r="BM16" i="5"/>
  <c r="BO32" i="5"/>
  <c r="BP32" i="5"/>
  <c r="BO17" i="5"/>
  <c r="BL68" i="5"/>
  <c r="BN16" i="5"/>
  <c r="BN17" i="5"/>
  <c r="BO16" i="5"/>
  <c r="BP16" i="5"/>
  <c r="H177" i="9"/>
  <c r="BO57" i="5"/>
  <c r="BI57" i="5" s="1"/>
  <c r="BO94" i="5"/>
  <c r="BO128" i="5"/>
  <c r="BO116" i="5" s="1"/>
  <c r="BO78" i="5"/>
  <c r="BP22" i="5"/>
  <c r="BM20" i="5"/>
  <c r="BP128" i="5"/>
  <c r="BP116" i="5" s="1"/>
  <c r="BN128" i="5"/>
  <c r="BN116" i="5" s="1"/>
  <c r="BO20" i="5"/>
  <c r="BO22" i="5"/>
  <c r="BN22" i="5"/>
  <c r="BN20" i="5"/>
  <c r="BP20" i="5"/>
  <c r="BM22" i="5"/>
  <c r="BP19" i="5"/>
  <c r="BO19" i="5"/>
  <c r="BM19" i="5"/>
  <c r="BN19" i="5"/>
  <c r="BP67" i="5"/>
  <c r="BP63" i="5" s="1"/>
  <c r="BP61" i="5"/>
  <c r="BP77" i="5"/>
  <c r="BP54" i="5"/>
  <c r="BL54" i="5"/>
  <c r="BM61" i="5"/>
  <c r="BW77" i="5"/>
  <c r="BW71" i="5" s="1"/>
  <c r="BM77" i="5"/>
  <c r="BM71" i="5" s="1"/>
  <c r="BY67" i="5"/>
  <c r="BY63" i="5" s="1"/>
  <c r="BO67" i="5"/>
  <c r="BO63" i="5" s="1"/>
  <c r="BN54" i="5"/>
  <c r="BZ59" i="5"/>
  <c r="BP59" i="5"/>
  <c r="BO77" i="5"/>
  <c r="BN67" i="5"/>
  <c r="BN61" i="5"/>
  <c r="BN77" i="5"/>
  <c r="BN71" i="5" s="1"/>
  <c r="BL77" i="5"/>
  <c r="BL71" i="5" s="1"/>
  <c r="BM59" i="5"/>
  <c r="BZ60" i="5"/>
  <c r="BP60" i="5"/>
  <c r="BN59" i="5"/>
  <c r="BL59" i="5"/>
  <c r="BV77" i="5"/>
  <c r="BV71" i="5" s="1"/>
  <c r="BX59" i="5"/>
  <c r="BV60" i="5"/>
  <c r="BX61" i="5"/>
  <c r="BW61" i="5"/>
  <c r="BY53" i="5"/>
  <c r="BX77" i="5"/>
  <c r="BX71" i="5" s="1"/>
  <c r="BX67" i="5"/>
  <c r="BX63" i="5" s="1"/>
  <c r="BX54" i="5"/>
  <c r="BY77" i="5"/>
  <c r="BY71" i="5" s="1"/>
  <c r="K10" i="1"/>
  <c r="L734" i="1"/>
  <c r="L457" i="1"/>
  <c r="I592" i="1"/>
  <c r="I772" i="1"/>
  <c r="H181" i="9"/>
  <c r="I177" i="9"/>
  <c r="G13" i="11"/>
  <c r="V7" i="9"/>
  <c r="V11" i="9" s="1"/>
  <c r="V179" i="9" s="1"/>
  <c r="X7" i="9"/>
  <c r="X11" i="9" s="1"/>
  <c r="X179" i="9" s="1"/>
  <c r="Y7" i="9"/>
  <c r="Y11" i="9" s="1"/>
  <c r="Y179" i="9" s="1"/>
  <c r="Z7" i="9"/>
  <c r="Z11" i="9" s="1"/>
  <c r="Z179" i="9" s="1"/>
  <c r="AA7" i="9"/>
  <c r="AA11" i="9" s="1"/>
  <c r="AA179" i="9" s="1"/>
  <c r="AB7" i="9"/>
  <c r="AB11" i="9" s="1"/>
  <c r="AB179" i="9" s="1"/>
  <c r="AC7" i="9"/>
  <c r="AC11" i="9" s="1"/>
  <c r="AC179" i="9" s="1"/>
  <c r="AD7" i="9"/>
  <c r="AD11" i="9" s="1"/>
  <c r="AD179" i="9" s="1"/>
  <c r="AE22" i="9"/>
  <c r="AF7" i="9"/>
  <c r="AF11" i="9" s="1"/>
  <c r="AF179" i="9" s="1"/>
  <c r="AG7" i="9"/>
  <c r="AH7" i="9"/>
  <c r="AH11" i="9" s="1"/>
  <c r="AH179" i="9" s="1"/>
  <c r="AI7" i="9"/>
  <c r="AI11" i="9" s="1"/>
  <c r="AI179" i="9" s="1"/>
  <c r="AJ7" i="9"/>
  <c r="AJ11" i="9" s="1"/>
  <c r="AJ179" i="9" s="1"/>
  <c r="AK7" i="9"/>
  <c r="AK11" i="9" s="1"/>
  <c r="AK179" i="9" s="1"/>
  <c r="AL7" i="9"/>
  <c r="AL11" i="9" s="1"/>
  <c r="AL179" i="9" s="1"/>
  <c r="AM22" i="9"/>
  <c r="AN7" i="9"/>
  <c r="AN11" i="9" s="1"/>
  <c r="AN179" i="9" s="1"/>
  <c r="AO7" i="9"/>
  <c r="AP7" i="9"/>
  <c r="AP11" i="9" s="1"/>
  <c r="AP179" i="9" s="1"/>
  <c r="AQ7" i="9"/>
  <c r="AQ11" i="9" s="1"/>
  <c r="AQ179" i="9" s="1"/>
  <c r="AR7" i="9"/>
  <c r="AR11" i="9" s="1"/>
  <c r="AR179" i="9" s="1"/>
  <c r="AS7" i="9"/>
  <c r="AS11" i="9" s="1"/>
  <c r="AS179" i="9" s="1"/>
  <c r="AT7" i="9"/>
  <c r="AT11" i="9" s="1"/>
  <c r="AT179" i="9" s="1"/>
  <c r="AU22" i="9"/>
  <c r="AV7" i="9"/>
  <c r="AV11" i="9" s="1"/>
  <c r="AV179" i="9" s="1"/>
  <c r="AW7" i="9"/>
  <c r="AW11" i="9" s="1"/>
  <c r="AW179" i="9" s="1"/>
  <c r="AX7" i="9"/>
  <c r="AX11" i="9" s="1"/>
  <c r="AX179" i="9" s="1"/>
  <c r="AY7" i="9"/>
  <c r="AY11" i="9" s="1"/>
  <c r="AY179" i="9" s="1"/>
  <c r="AZ7" i="9"/>
  <c r="AZ11" i="9" s="1"/>
  <c r="AZ179" i="9" s="1"/>
  <c r="BA7" i="9"/>
  <c r="BA11" i="9" s="1"/>
  <c r="BA179" i="9" s="1"/>
  <c r="BB7" i="9"/>
  <c r="BB11" i="9" s="1"/>
  <c r="BB179" i="9" s="1"/>
  <c r="BN9" i="6"/>
  <c r="BO9" i="6"/>
  <c r="BP9" i="6"/>
  <c r="BQ9" i="6"/>
  <c r="BR9" i="6"/>
  <c r="BS9" i="6"/>
  <c r="BT9" i="6"/>
  <c r="BU9" i="6"/>
  <c r="BV9" i="6"/>
  <c r="BW9" i="6"/>
  <c r="BX9" i="6"/>
  <c r="BY9" i="6"/>
  <c r="BZ9" i="6"/>
  <c r="CA9" i="6"/>
  <c r="CB9" i="6"/>
  <c r="CC9" i="6"/>
  <c r="CD9" i="6"/>
  <c r="CE9" i="6"/>
  <c r="CF9" i="6"/>
  <c r="CG9" i="6"/>
  <c r="CH9" i="6"/>
  <c r="CI9" i="6"/>
  <c r="CJ9" i="6"/>
  <c r="CK9" i="6"/>
  <c r="CL9" i="6"/>
  <c r="CM9" i="6"/>
  <c r="CN9" i="6"/>
  <c r="CO9" i="6"/>
  <c r="CP9" i="6"/>
  <c r="CQ9" i="6"/>
  <c r="CR9" i="6"/>
  <c r="CS9" i="6"/>
  <c r="CT9" i="6"/>
  <c r="CU9" i="6"/>
  <c r="CV9" i="6"/>
  <c r="CW9" i="6"/>
  <c r="CX9" i="6"/>
  <c r="CY9" i="6"/>
  <c r="CZ9" i="6"/>
  <c r="DA9" i="6"/>
  <c r="DB9" i="6"/>
  <c r="DC9" i="6"/>
  <c r="DD9" i="6"/>
  <c r="DE9" i="6"/>
  <c r="DF9" i="6"/>
  <c r="DG9" i="6"/>
  <c r="DH9" i="6"/>
  <c r="BM9" i="6"/>
  <c r="AN22" i="9"/>
  <c r="AP22" i="9"/>
  <c r="AN21" i="9"/>
  <c r="AN20" i="9"/>
  <c r="AN19" i="9"/>
  <c r="AN18" i="9"/>
  <c r="AL17" i="9"/>
  <c r="AN17" i="9"/>
  <c r="BT9" i="5" l="1"/>
  <c r="BI21" i="5"/>
  <c r="L1838" i="1"/>
  <c r="BX11" i="5"/>
  <c r="BV11" i="5"/>
  <c r="BW11" i="5"/>
  <c r="BY11" i="5"/>
  <c r="BI53" i="5"/>
  <c r="BY61" i="5"/>
  <c r="BI94" i="5"/>
  <c r="BI91" i="5" s="1"/>
  <c r="BI81" i="5"/>
  <c r="BR9" i="5"/>
  <c r="BI78" i="5"/>
  <c r="BP71" i="5"/>
  <c r="BN63" i="5"/>
  <c r="BN91" i="5"/>
  <c r="BI133" i="5"/>
  <c r="BI132" i="5" s="1"/>
  <c r="BL63" i="5"/>
  <c r="BI64" i="5"/>
  <c r="DG967" i="6"/>
  <c r="DG966" i="6"/>
  <c r="CQ967" i="6"/>
  <c r="CQ966" i="6"/>
  <c r="CI967" i="6"/>
  <c r="CI966" i="6"/>
  <c r="CA967" i="6"/>
  <c r="CA966" i="6"/>
  <c r="BS967" i="6"/>
  <c r="BS966" i="6"/>
  <c r="DF967" i="6"/>
  <c r="DF966" i="6"/>
  <c r="CP967" i="6"/>
  <c r="CP966" i="6"/>
  <c r="CH967" i="6"/>
  <c r="CH966" i="6"/>
  <c r="BZ967" i="6"/>
  <c r="BZ966" i="6"/>
  <c r="BR967" i="6"/>
  <c r="BR966" i="6"/>
  <c r="DH967" i="6"/>
  <c r="DH966" i="6"/>
  <c r="CZ967" i="6"/>
  <c r="CZ966" i="6"/>
  <c r="CR967" i="6"/>
  <c r="CR966" i="6"/>
  <c r="CJ967" i="6"/>
  <c r="CJ966" i="6"/>
  <c r="CB967" i="6"/>
  <c r="CB966" i="6"/>
  <c r="BT967" i="6"/>
  <c r="BT966" i="6"/>
  <c r="CX967" i="6"/>
  <c r="CX966" i="6"/>
  <c r="DD966" i="6"/>
  <c r="DD967" i="6"/>
  <c r="CV966" i="6"/>
  <c r="CV967" i="6"/>
  <c r="CN966" i="6"/>
  <c r="CN967" i="6"/>
  <c r="CF966" i="6"/>
  <c r="CF967" i="6"/>
  <c r="BX966" i="6"/>
  <c r="BX967" i="6"/>
  <c r="BP966" i="6"/>
  <c r="BP967" i="6"/>
  <c r="DE966" i="6"/>
  <c r="DE967" i="6"/>
  <c r="CW966" i="6"/>
  <c r="CW967" i="6"/>
  <c r="CG966" i="6"/>
  <c r="CG967" i="6"/>
  <c r="BY966" i="6"/>
  <c r="BY967" i="6"/>
  <c r="BQ966" i="6"/>
  <c r="BQ967" i="6"/>
  <c r="DC966" i="6"/>
  <c r="DC967" i="6"/>
  <c r="CU966" i="6"/>
  <c r="CU967" i="6"/>
  <c r="CM966" i="6"/>
  <c r="CM967" i="6"/>
  <c r="CE966" i="6"/>
  <c r="CE967" i="6"/>
  <c r="BW966" i="6"/>
  <c r="BW967" i="6"/>
  <c r="BO966" i="6"/>
  <c r="BO967" i="6"/>
  <c r="DB966" i="6"/>
  <c r="DB967" i="6"/>
  <c r="CT966" i="6"/>
  <c r="CT967" i="6"/>
  <c r="CL966" i="6"/>
  <c r="CL967" i="6"/>
  <c r="CD966" i="6"/>
  <c r="CD967" i="6"/>
  <c r="BV966" i="6"/>
  <c r="BV967" i="6"/>
  <c r="BN966" i="6"/>
  <c r="BN967" i="6"/>
  <c r="CY967" i="6"/>
  <c r="CY966" i="6"/>
  <c r="CO966" i="6"/>
  <c r="CO967" i="6"/>
  <c r="BM966" i="6"/>
  <c r="BM967" i="6"/>
  <c r="DA966" i="6"/>
  <c r="DA967" i="6"/>
  <c r="CS966" i="6"/>
  <c r="CS967" i="6"/>
  <c r="CK966" i="6"/>
  <c r="CK967" i="6"/>
  <c r="CC966" i="6"/>
  <c r="CC967" i="6"/>
  <c r="BU966" i="6"/>
  <c r="BU967" i="6"/>
  <c r="BQ71" i="5"/>
  <c r="BQ52" i="5"/>
  <c r="CQ1179" i="6"/>
  <c r="CQ1184" i="6"/>
  <c r="CQ1178" i="6"/>
  <c r="CQ1190" i="6"/>
  <c r="CQ1191" i="6"/>
  <c r="CQ1185" i="6"/>
  <c r="CQ1167" i="6"/>
  <c r="CQ1159" i="6"/>
  <c r="CQ1176" i="6"/>
  <c r="CQ1170" i="6"/>
  <c r="CQ1162" i="6"/>
  <c r="CQ1171" i="6"/>
  <c r="CQ1153" i="6"/>
  <c r="CQ1145" i="6"/>
  <c r="CQ1148" i="6"/>
  <c r="CQ1192" i="6"/>
  <c r="CQ1177" i="6"/>
  <c r="CQ1169" i="6"/>
  <c r="CQ1154" i="6"/>
  <c r="CQ1152" i="6"/>
  <c r="CQ1151" i="6"/>
  <c r="CQ1138" i="6"/>
  <c r="CQ1168" i="6"/>
  <c r="CQ1150" i="6"/>
  <c r="CQ1149" i="6"/>
  <c r="CQ1147" i="6"/>
  <c r="CQ1141" i="6"/>
  <c r="CQ1166" i="6"/>
  <c r="CQ1161" i="6"/>
  <c r="CQ1160" i="6"/>
  <c r="CQ1136" i="6"/>
  <c r="CQ1124" i="6"/>
  <c r="CQ1112" i="6"/>
  <c r="CQ1104" i="6"/>
  <c r="CQ1165" i="6"/>
  <c r="CQ1127" i="6"/>
  <c r="CQ1115" i="6"/>
  <c r="CQ1107" i="6"/>
  <c r="CQ1099" i="6"/>
  <c r="CQ1163" i="6"/>
  <c r="CQ1144" i="6"/>
  <c r="CQ1139" i="6"/>
  <c r="CQ1129" i="6"/>
  <c r="CQ1093" i="6"/>
  <c r="CQ1140" i="6"/>
  <c r="CQ1128" i="6"/>
  <c r="CQ1126" i="6"/>
  <c r="CQ1118" i="6"/>
  <c r="CQ1096" i="6"/>
  <c r="CQ1088" i="6"/>
  <c r="CQ1085" i="6"/>
  <c r="CQ1142" i="6"/>
  <c r="CQ1113" i="6"/>
  <c r="CQ1086" i="6"/>
  <c r="CQ1080" i="6"/>
  <c r="CQ1076" i="6"/>
  <c r="CQ1072" i="6"/>
  <c r="CQ1062" i="6"/>
  <c r="CQ1054" i="6"/>
  <c r="CQ1046" i="6"/>
  <c r="CQ1038" i="6"/>
  <c r="CQ1030" i="6"/>
  <c r="CQ1022" i="6"/>
  <c r="CQ1114" i="6"/>
  <c r="CQ1109" i="6"/>
  <c r="CQ1065" i="6"/>
  <c r="CQ1057" i="6"/>
  <c r="CQ1049" i="6"/>
  <c r="CQ1041" i="6"/>
  <c r="CQ1033" i="6"/>
  <c r="CQ1025" i="6"/>
  <c r="CQ1130" i="6"/>
  <c r="CQ1111" i="6"/>
  <c r="CQ1110" i="6"/>
  <c r="CQ1092" i="6"/>
  <c r="CQ1091" i="6"/>
  <c r="CQ1087" i="6"/>
  <c r="CQ1070" i="6"/>
  <c r="CQ1064" i="6"/>
  <c r="CQ1042" i="6"/>
  <c r="CQ1040" i="6"/>
  <c r="CQ1019" i="6"/>
  <c r="CQ1012" i="6"/>
  <c r="CQ1011" i="6"/>
  <c r="CQ1003" i="6"/>
  <c r="CQ995" i="6"/>
  <c r="CQ987" i="6"/>
  <c r="CQ1131" i="6"/>
  <c r="CQ1097" i="6"/>
  <c r="CQ1095" i="6"/>
  <c r="CQ1094" i="6"/>
  <c r="CQ1090" i="6"/>
  <c r="CQ1089" i="6"/>
  <c r="CQ1082" i="6"/>
  <c r="CQ1075" i="6"/>
  <c r="CQ1063" i="6"/>
  <c r="CQ1061" i="6"/>
  <c r="CQ1060" i="6"/>
  <c r="CQ1039" i="6"/>
  <c r="CQ1037" i="6"/>
  <c r="CQ1036" i="6"/>
  <c r="CQ1018" i="6"/>
  <c r="CQ1006" i="6"/>
  <c r="CQ1106" i="6"/>
  <c r="CQ1045" i="6"/>
  <c r="CQ1044" i="6"/>
  <c r="CQ1031" i="6"/>
  <c r="CQ1024" i="6"/>
  <c r="CQ1021" i="6"/>
  <c r="CQ1010" i="6"/>
  <c r="CQ1009" i="6"/>
  <c r="CQ990" i="6"/>
  <c r="CQ985" i="6"/>
  <c r="CQ977" i="6"/>
  <c r="CQ1101" i="6"/>
  <c r="CQ1084" i="6"/>
  <c r="CQ1073" i="6"/>
  <c r="CQ1071" i="6"/>
  <c r="CQ1053" i="6"/>
  <c r="CQ1048" i="6"/>
  <c r="CQ1047" i="6"/>
  <c r="CQ1043" i="6"/>
  <c r="CQ1032" i="6"/>
  <c r="CQ1027" i="6"/>
  <c r="CQ1026" i="6"/>
  <c r="CQ1023" i="6"/>
  <c r="CQ1008" i="6"/>
  <c r="CQ1007" i="6"/>
  <c r="CQ1005" i="6"/>
  <c r="CQ996" i="6"/>
  <c r="CQ980" i="6"/>
  <c r="CQ1079" i="6"/>
  <c r="CQ1058" i="6"/>
  <c r="CQ1105" i="6"/>
  <c r="CQ1074" i="6"/>
  <c r="CQ1116" i="6"/>
  <c r="CQ1103" i="6"/>
  <c r="CQ1098" i="6"/>
  <c r="CQ1081" i="6"/>
  <c r="CQ1078" i="6"/>
  <c r="CQ998" i="6"/>
  <c r="CQ992" i="6"/>
  <c r="CQ1002" i="6"/>
  <c r="CQ1137" i="6"/>
  <c r="CQ1123" i="6"/>
  <c r="CQ1056" i="6"/>
  <c r="CQ1050" i="6"/>
  <c r="CQ1035" i="6"/>
  <c r="CQ1034" i="6"/>
  <c r="CQ994" i="6"/>
  <c r="CQ1125" i="6"/>
  <c r="CQ1102" i="6"/>
  <c r="CQ999" i="6"/>
  <c r="CQ979" i="6"/>
  <c r="CQ978" i="6"/>
  <c r="CQ1020" i="6"/>
  <c r="CQ1017" i="6"/>
  <c r="CQ993" i="6"/>
  <c r="CQ1164" i="6"/>
  <c r="CQ1146" i="6"/>
  <c r="CQ1059" i="6"/>
  <c r="CQ986" i="6"/>
  <c r="CQ961" i="6"/>
  <c r="CQ965" i="6"/>
  <c r="CQ1143" i="6"/>
  <c r="CQ988" i="6"/>
  <c r="CQ976" i="6"/>
  <c r="CQ1117" i="6"/>
  <c r="CQ1100" i="6"/>
  <c r="CQ1051" i="6"/>
  <c r="CQ1000" i="6"/>
  <c r="CQ983" i="6"/>
  <c r="CQ963" i="6"/>
  <c r="CQ962" i="6"/>
  <c r="CQ981" i="6"/>
  <c r="CQ964" i="6"/>
  <c r="CQ1077" i="6"/>
  <c r="CQ1004" i="6"/>
  <c r="CQ1052" i="6"/>
  <c r="CQ1028" i="6"/>
  <c r="CQ1083" i="6"/>
  <c r="CQ997" i="6"/>
  <c r="CQ991" i="6"/>
  <c r="CQ975" i="6"/>
  <c r="CQ1055" i="6"/>
  <c r="CQ982" i="6"/>
  <c r="CQ968" i="6"/>
  <c r="CQ969" i="6"/>
  <c r="CQ989" i="6"/>
  <c r="CQ1108" i="6"/>
  <c r="CQ1001" i="6"/>
  <c r="CQ984" i="6"/>
  <c r="CQ970" i="6"/>
  <c r="CQ1029" i="6"/>
  <c r="CG1191" i="6"/>
  <c r="CG1177" i="6"/>
  <c r="CG1184" i="6"/>
  <c r="CG1178" i="6"/>
  <c r="CG1190" i="6"/>
  <c r="CG1185" i="6"/>
  <c r="CG1179" i="6"/>
  <c r="CG1169" i="6"/>
  <c r="CG1161" i="6"/>
  <c r="CG1164" i="6"/>
  <c r="CG1170" i="6"/>
  <c r="CG1147" i="6"/>
  <c r="CG1176" i="6"/>
  <c r="CG1150" i="6"/>
  <c r="CG1165" i="6"/>
  <c r="CG1154" i="6"/>
  <c r="CG1152" i="6"/>
  <c r="CG1151" i="6"/>
  <c r="CG1148" i="6"/>
  <c r="CG1140" i="6"/>
  <c r="CG1192" i="6"/>
  <c r="CG1167" i="6"/>
  <c r="CG1149" i="6"/>
  <c r="CG1145" i="6"/>
  <c r="CG1143" i="6"/>
  <c r="CG1171" i="6"/>
  <c r="CG1160" i="6"/>
  <c r="CG1126" i="6"/>
  <c r="CG1114" i="6"/>
  <c r="CG1106" i="6"/>
  <c r="CG1098" i="6"/>
  <c r="CG1136" i="6"/>
  <c r="CG1129" i="6"/>
  <c r="CG1117" i="6"/>
  <c r="CG1109" i="6"/>
  <c r="CG1101" i="6"/>
  <c r="CG1162" i="6"/>
  <c r="CG1141" i="6"/>
  <c r="CG1127" i="6"/>
  <c r="CG1095" i="6"/>
  <c r="CG1087" i="6"/>
  <c r="CG1159" i="6"/>
  <c r="CG1128" i="6"/>
  <c r="CG1124" i="6"/>
  <c r="CG1118" i="6"/>
  <c r="CG1115" i="6"/>
  <c r="CG1090" i="6"/>
  <c r="CG1084" i="6"/>
  <c r="CG1163" i="6"/>
  <c r="CG1130" i="6"/>
  <c r="CG1110" i="6"/>
  <c r="CG1105" i="6"/>
  <c r="CG1086" i="6"/>
  <c r="CG1085" i="6"/>
  <c r="CG1083" i="6"/>
  <c r="CG1079" i="6"/>
  <c r="CG1075" i="6"/>
  <c r="CG1071" i="6"/>
  <c r="CG1064" i="6"/>
  <c r="CG1056" i="6"/>
  <c r="CG1048" i="6"/>
  <c r="CG1040" i="6"/>
  <c r="CG1032" i="6"/>
  <c r="CG1024" i="6"/>
  <c r="CG1146" i="6"/>
  <c r="CG1131" i="6"/>
  <c r="CG1125" i="6"/>
  <c r="CG1059" i="6"/>
  <c r="CG1051" i="6"/>
  <c r="CG1043" i="6"/>
  <c r="CG1035" i="6"/>
  <c r="CG1027" i="6"/>
  <c r="CG1019" i="6"/>
  <c r="CG1107" i="6"/>
  <c r="CG1103" i="6"/>
  <c r="CG1099" i="6"/>
  <c r="CG1096" i="6"/>
  <c r="CG1070" i="6"/>
  <c r="CG1062" i="6"/>
  <c r="CG1042" i="6"/>
  <c r="CG1038" i="6"/>
  <c r="CG1012" i="6"/>
  <c r="CG1005" i="6"/>
  <c r="CG997" i="6"/>
  <c r="CG989" i="6"/>
  <c r="CG1123" i="6"/>
  <c r="CG1116" i="6"/>
  <c r="CG1104" i="6"/>
  <c r="CG1082" i="6"/>
  <c r="CG1063" i="6"/>
  <c r="CG1061" i="6"/>
  <c r="CG1060" i="6"/>
  <c r="CG1039" i="6"/>
  <c r="CG1037" i="6"/>
  <c r="CG1036" i="6"/>
  <c r="CG1018" i="6"/>
  <c r="CG1008" i="6"/>
  <c r="CG1000" i="6"/>
  <c r="CG1137" i="6"/>
  <c r="CG1108" i="6"/>
  <c r="CG1100" i="6"/>
  <c r="CG1094" i="6"/>
  <c r="CG1089" i="6"/>
  <c r="CG1080" i="6"/>
  <c r="CG1074" i="6"/>
  <c r="CG1058" i="6"/>
  <c r="CG1054" i="6"/>
  <c r="CG1049" i="6"/>
  <c r="CG1033" i="6"/>
  <c r="CG1028" i="6"/>
  <c r="CG1010" i="6"/>
  <c r="CG1009" i="6"/>
  <c r="CG1006" i="6"/>
  <c r="CG995" i="6"/>
  <c r="CG979" i="6"/>
  <c r="CG976" i="6"/>
  <c r="CG1144" i="6"/>
  <c r="CG1078" i="6"/>
  <c r="CG1076" i="6"/>
  <c r="CG1007" i="6"/>
  <c r="CG1003" i="6"/>
  <c r="CG990" i="6"/>
  <c r="CG982" i="6"/>
  <c r="CG969" i="6"/>
  <c r="CG1102" i="6"/>
  <c r="CG1097" i="6"/>
  <c r="CG1081" i="6"/>
  <c r="CG1077" i="6"/>
  <c r="CG1153" i="6"/>
  <c r="CG1138" i="6"/>
  <c r="CG1065" i="6"/>
  <c r="CG1050" i="6"/>
  <c r="CG1113" i="6"/>
  <c r="CG1092" i="6"/>
  <c r="CG987" i="6"/>
  <c r="CG1022" i="6"/>
  <c r="CG1020" i="6"/>
  <c r="CG996" i="6"/>
  <c r="CG994" i="6"/>
  <c r="CG1168" i="6"/>
  <c r="CG1112" i="6"/>
  <c r="CG1091" i="6"/>
  <c r="CG1072" i="6"/>
  <c r="CG1057" i="6"/>
  <c r="CG1055" i="6"/>
  <c r="CG1045" i="6"/>
  <c r="CG1041" i="6"/>
  <c r="CG1030" i="6"/>
  <c r="CG1029" i="6"/>
  <c r="CG1025" i="6"/>
  <c r="CG1021" i="6"/>
  <c r="CG1017" i="6"/>
  <c r="CG991" i="6"/>
  <c r="CG1052" i="6"/>
  <c r="CG1046" i="6"/>
  <c r="CG1002" i="6"/>
  <c r="CG993" i="6"/>
  <c r="CG986" i="6"/>
  <c r="CG1031" i="6"/>
  <c r="CG964" i="6"/>
  <c r="CG962" i="6"/>
  <c r="CG1142" i="6"/>
  <c r="CG1093" i="6"/>
  <c r="CG1034" i="6"/>
  <c r="CG983" i="6"/>
  <c r="CG1088" i="6"/>
  <c r="CG1044" i="6"/>
  <c r="CG978" i="6"/>
  <c r="CG1053" i="6"/>
  <c r="CG1166" i="6"/>
  <c r="CG1047" i="6"/>
  <c r="CG1023" i="6"/>
  <c r="CG1001" i="6"/>
  <c r="CG998" i="6"/>
  <c r="CG988" i="6"/>
  <c r="CG985" i="6"/>
  <c r="CG981" i="6"/>
  <c r="CG977" i="6"/>
  <c r="CG961" i="6"/>
  <c r="CG963" i="6"/>
  <c r="CG999" i="6"/>
  <c r="CG965" i="6"/>
  <c r="CG1026" i="6"/>
  <c r="CG984" i="6"/>
  <c r="CG970" i="6"/>
  <c r="CG1139" i="6"/>
  <c r="CG1073" i="6"/>
  <c r="CG1011" i="6"/>
  <c r="CG980" i="6"/>
  <c r="CG975" i="6"/>
  <c r="CG1111" i="6"/>
  <c r="CG1004" i="6"/>
  <c r="CG968" i="6"/>
  <c r="CG992" i="6"/>
  <c r="DC1184" i="6"/>
  <c r="DC1192" i="6"/>
  <c r="DC1178" i="6"/>
  <c r="DC1168" i="6"/>
  <c r="DC1171" i="6"/>
  <c r="DC1163" i="6"/>
  <c r="DC1176" i="6"/>
  <c r="DC1166" i="6"/>
  <c r="DC1149" i="6"/>
  <c r="DC1167" i="6"/>
  <c r="DC1152" i="6"/>
  <c r="DC1144" i="6"/>
  <c r="DC1164" i="6"/>
  <c r="DC1185" i="6"/>
  <c r="DC1179" i="6"/>
  <c r="DC1160" i="6"/>
  <c r="DC1154" i="6"/>
  <c r="DC1151" i="6"/>
  <c r="DC1148" i="6"/>
  <c r="DC1142" i="6"/>
  <c r="DC1145" i="6"/>
  <c r="DC1137" i="6"/>
  <c r="DC1191" i="6"/>
  <c r="DC1169" i="6"/>
  <c r="DC1159" i="6"/>
  <c r="DC1162" i="6"/>
  <c r="DC1153" i="6"/>
  <c r="DC1146" i="6"/>
  <c r="DC1128" i="6"/>
  <c r="DC1116" i="6"/>
  <c r="DC1108" i="6"/>
  <c r="DC1100" i="6"/>
  <c r="DC1161" i="6"/>
  <c r="DC1147" i="6"/>
  <c r="DC1143" i="6"/>
  <c r="DC1140" i="6"/>
  <c r="DC1131" i="6"/>
  <c r="DC1123" i="6"/>
  <c r="DC1111" i="6"/>
  <c r="DC1103" i="6"/>
  <c r="DC1127" i="6"/>
  <c r="DC1117" i="6"/>
  <c r="DC1114" i="6"/>
  <c r="DC1089" i="6"/>
  <c r="DC1150" i="6"/>
  <c r="DC1124" i="6"/>
  <c r="DC1118" i="6"/>
  <c r="DC1115" i="6"/>
  <c r="DC1092" i="6"/>
  <c r="DC1190" i="6"/>
  <c r="DC1170" i="6"/>
  <c r="DC1139" i="6"/>
  <c r="DC1102" i="6"/>
  <c r="DC1086" i="6"/>
  <c r="DC1085" i="6"/>
  <c r="DC1084" i="6"/>
  <c r="DC1082" i="6"/>
  <c r="DC1078" i="6"/>
  <c r="DC1074" i="6"/>
  <c r="DC1070" i="6"/>
  <c r="DC1058" i="6"/>
  <c r="DC1050" i="6"/>
  <c r="DC1042" i="6"/>
  <c r="DC1034" i="6"/>
  <c r="DC1026" i="6"/>
  <c r="DC1136" i="6"/>
  <c r="DC1109" i="6"/>
  <c r="DC1061" i="6"/>
  <c r="DC1053" i="6"/>
  <c r="DC1045" i="6"/>
  <c r="DC1037" i="6"/>
  <c r="DC1029" i="6"/>
  <c r="DC1021" i="6"/>
  <c r="DC1018" i="6"/>
  <c r="DC1107" i="6"/>
  <c r="DC1099" i="6"/>
  <c r="DC1098" i="6"/>
  <c r="DC1087" i="6"/>
  <c r="DC1062" i="6"/>
  <c r="DC1059" i="6"/>
  <c r="DC1038" i="6"/>
  <c r="DC1035" i="6"/>
  <c r="DC1007" i="6"/>
  <c r="DC999" i="6"/>
  <c r="DC991" i="6"/>
  <c r="DC1177" i="6"/>
  <c r="DC1126" i="6"/>
  <c r="DC1105" i="6"/>
  <c r="DC1095" i="6"/>
  <c r="DC1090" i="6"/>
  <c r="DC1088" i="6"/>
  <c r="DC1063" i="6"/>
  <c r="DC1060" i="6"/>
  <c r="DC1056" i="6"/>
  <c r="DC1039" i="6"/>
  <c r="DC1036" i="6"/>
  <c r="DC1032" i="6"/>
  <c r="DC1010" i="6"/>
  <c r="DC1002" i="6"/>
  <c r="DC1125" i="6"/>
  <c r="DC1104" i="6"/>
  <c r="DC1096" i="6"/>
  <c r="DC1024" i="6"/>
  <c r="DC1009" i="6"/>
  <c r="DC1006" i="6"/>
  <c r="DC986" i="6"/>
  <c r="DC981" i="6"/>
  <c r="DC975" i="6"/>
  <c r="DC968" i="6"/>
  <c r="DC1071" i="6"/>
  <c r="DC1057" i="6"/>
  <c r="DC1052" i="6"/>
  <c r="DC1048" i="6"/>
  <c r="DC1043" i="6"/>
  <c r="DC1041" i="6"/>
  <c r="DC1027" i="6"/>
  <c r="DC1022" i="6"/>
  <c r="DC1020" i="6"/>
  <c r="DC1003" i="6"/>
  <c r="DC1000" i="6"/>
  <c r="DC998" i="6"/>
  <c r="DC992" i="6"/>
  <c r="DC984" i="6"/>
  <c r="DC1072" i="6"/>
  <c r="DC1046" i="6"/>
  <c r="DC1044" i="6"/>
  <c r="DC1079" i="6"/>
  <c r="DC1165" i="6"/>
  <c r="DC1094" i="6"/>
  <c r="DC1093" i="6"/>
  <c r="DC1064" i="6"/>
  <c r="DC1054" i="6"/>
  <c r="DC1040" i="6"/>
  <c r="DC1025" i="6"/>
  <c r="DC1012" i="6"/>
  <c r="DC1005" i="6"/>
  <c r="DC1138" i="6"/>
  <c r="DC1130" i="6"/>
  <c r="DC1076" i="6"/>
  <c r="DC1051" i="6"/>
  <c r="DC1023" i="6"/>
  <c r="DC1001" i="6"/>
  <c r="DC994" i="6"/>
  <c r="DC990" i="6"/>
  <c r="DC1110" i="6"/>
  <c r="DC1080" i="6"/>
  <c r="DC1047" i="6"/>
  <c r="DC1030" i="6"/>
  <c r="DC1028" i="6"/>
  <c r="DC1017" i="6"/>
  <c r="DC1141" i="6"/>
  <c r="DC1106" i="6"/>
  <c r="DC1101" i="6"/>
  <c r="DC1073" i="6"/>
  <c r="DC964" i="6"/>
  <c r="DC962" i="6"/>
  <c r="DC1031" i="6"/>
  <c r="DC1075" i="6"/>
  <c r="DC1113" i="6"/>
  <c r="DC1077" i="6"/>
  <c r="DC1019" i="6"/>
  <c r="DC1004" i="6"/>
  <c r="DC996" i="6"/>
  <c r="DC989" i="6"/>
  <c r="DC965" i="6"/>
  <c r="DC978" i="6"/>
  <c r="DC1055" i="6"/>
  <c r="DC1083" i="6"/>
  <c r="DC1112" i="6"/>
  <c r="DC1091" i="6"/>
  <c r="DC1008" i="6"/>
  <c r="DC997" i="6"/>
  <c r="DC995" i="6"/>
  <c r="DC987" i="6"/>
  <c r="DC979" i="6"/>
  <c r="DC977" i="6"/>
  <c r="DC976" i="6"/>
  <c r="DC1049" i="6"/>
  <c r="DC983" i="6"/>
  <c r="DC1033" i="6"/>
  <c r="DC985" i="6"/>
  <c r="DC969" i="6"/>
  <c r="DC1129" i="6"/>
  <c r="DC993" i="6"/>
  <c r="DC1011" i="6"/>
  <c r="DC1097" i="6"/>
  <c r="DC988" i="6"/>
  <c r="DC970" i="6"/>
  <c r="DC961" i="6"/>
  <c r="DC980" i="6"/>
  <c r="DC963" i="6"/>
  <c r="DC1065" i="6"/>
  <c r="DC982" i="6"/>
  <c r="DC1081" i="6"/>
  <c r="CU1184" i="6"/>
  <c r="CU1192" i="6"/>
  <c r="CU1176" i="6"/>
  <c r="CU1168" i="6"/>
  <c r="CU1171" i="6"/>
  <c r="CU1163" i="6"/>
  <c r="CU1185" i="6"/>
  <c r="CU1177" i="6"/>
  <c r="CU1166" i="6"/>
  <c r="CU1170" i="6"/>
  <c r="CU1169" i="6"/>
  <c r="CU1164" i="6"/>
  <c r="CU1149" i="6"/>
  <c r="CU1165" i="6"/>
  <c r="CU1161" i="6"/>
  <c r="CU1152" i="6"/>
  <c r="CU1144" i="6"/>
  <c r="CU1179" i="6"/>
  <c r="CU1162" i="6"/>
  <c r="CU1146" i="6"/>
  <c r="CU1142" i="6"/>
  <c r="CU1137" i="6"/>
  <c r="CU1178" i="6"/>
  <c r="CU1148" i="6"/>
  <c r="CU1141" i="6"/>
  <c r="CU1128" i="6"/>
  <c r="CU1116" i="6"/>
  <c r="CU1108" i="6"/>
  <c r="CU1100" i="6"/>
  <c r="CU1151" i="6"/>
  <c r="CU1138" i="6"/>
  <c r="CU1131" i="6"/>
  <c r="CU1123" i="6"/>
  <c r="CU1111" i="6"/>
  <c r="CU1103" i="6"/>
  <c r="CU1167" i="6"/>
  <c r="CU1145" i="6"/>
  <c r="CU1125" i="6"/>
  <c r="CU1112" i="6"/>
  <c r="CU1109" i="6"/>
  <c r="CU1106" i="6"/>
  <c r="CU1089" i="6"/>
  <c r="CU1113" i="6"/>
  <c r="CU1110" i="6"/>
  <c r="CU1107" i="6"/>
  <c r="CU1092" i="6"/>
  <c r="CU1160" i="6"/>
  <c r="CU1143" i="6"/>
  <c r="CU1130" i="6"/>
  <c r="CU1124" i="6"/>
  <c r="CU1118" i="6"/>
  <c r="CU1105" i="6"/>
  <c r="CU1098" i="6"/>
  <c r="CU1082" i="6"/>
  <c r="CU1078" i="6"/>
  <c r="CU1074" i="6"/>
  <c r="CU1070" i="6"/>
  <c r="CU1058" i="6"/>
  <c r="CU1050" i="6"/>
  <c r="CU1042" i="6"/>
  <c r="CU1034" i="6"/>
  <c r="CU1026" i="6"/>
  <c r="CU1190" i="6"/>
  <c r="CU1147" i="6"/>
  <c r="CU1095" i="6"/>
  <c r="CU1061" i="6"/>
  <c r="CU1053" i="6"/>
  <c r="CU1045" i="6"/>
  <c r="CU1037" i="6"/>
  <c r="CU1029" i="6"/>
  <c r="CU1021" i="6"/>
  <c r="CU1018" i="6"/>
  <c r="CU1139" i="6"/>
  <c r="CU1096" i="6"/>
  <c r="CU1081" i="6"/>
  <c r="CU1080" i="6"/>
  <c r="CU1079" i="6"/>
  <c r="CU1057" i="6"/>
  <c r="CU1033" i="6"/>
  <c r="CU1007" i="6"/>
  <c r="CU999" i="6"/>
  <c r="CU991" i="6"/>
  <c r="CU1102" i="6"/>
  <c r="CU1054" i="6"/>
  <c r="CU1051" i="6"/>
  <c r="CU1048" i="6"/>
  <c r="CU1030" i="6"/>
  <c r="CU1027" i="6"/>
  <c r="CU1017" i="6"/>
  <c r="CU1010" i="6"/>
  <c r="CU1002" i="6"/>
  <c r="CU1090" i="6"/>
  <c r="CU1088" i="6"/>
  <c r="CU1085" i="6"/>
  <c r="CU1075" i="6"/>
  <c r="CU1064" i="6"/>
  <c r="CU1049" i="6"/>
  <c r="CU1028" i="6"/>
  <c r="CU1004" i="6"/>
  <c r="CU1001" i="6"/>
  <c r="CU998" i="6"/>
  <c r="CU992" i="6"/>
  <c r="CU981" i="6"/>
  <c r="CU975" i="6"/>
  <c r="CU968" i="6"/>
  <c r="CU1159" i="6"/>
  <c r="CU1117" i="6"/>
  <c r="CU1093" i="6"/>
  <c r="CU1091" i="6"/>
  <c r="CU1083" i="6"/>
  <c r="CU1076" i="6"/>
  <c r="CU1059" i="6"/>
  <c r="CU1012" i="6"/>
  <c r="CU987" i="6"/>
  <c r="CU984" i="6"/>
  <c r="CU1094" i="6"/>
  <c r="CU1077" i="6"/>
  <c r="CU1191" i="6"/>
  <c r="CU1104" i="6"/>
  <c r="CU1086" i="6"/>
  <c r="CU1065" i="6"/>
  <c r="CU1063" i="6"/>
  <c r="CU1127" i="6"/>
  <c r="CU1071" i="6"/>
  <c r="CU1056" i="6"/>
  <c r="CU1035" i="6"/>
  <c r="CU1032" i="6"/>
  <c r="CU989" i="6"/>
  <c r="CU1101" i="6"/>
  <c r="CU1052" i="6"/>
  <c r="CU1046" i="6"/>
  <c r="CU1044" i="6"/>
  <c r="CU1019" i="6"/>
  <c r="CU996" i="6"/>
  <c r="CU1140" i="6"/>
  <c r="CU1115" i="6"/>
  <c r="CU1099" i="6"/>
  <c r="CU1087" i="6"/>
  <c r="CU1073" i="6"/>
  <c r="CU1060" i="6"/>
  <c r="CU1040" i="6"/>
  <c r="CU1024" i="6"/>
  <c r="CU1008" i="6"/>
  <c r="CU1003" i="6"/>
  <c r="CU993" i="6"/>
  <c r="CU1154" i="6"/>
  <c r="CU1114" i="6"/>
  <c r="CU1097" i="6"/>
  <c r="CU1072" i="6"/>
  <c r="CU1062" i="6"/>
  <c r="CU1047" i="6"/>
  <c r="CU1039" i="6"/>
  <c r="CU1031" i="6"/>
  <c r="CU1025" i="6"/>
  <c r="CU1009" i="6"/>
  <c r="CU1000" i="6"/>
  <c r="CU983" i="6"/>
  <c r="CU977" i="6"/>
  <c r="CU976" i="6"/>
  <c r="CU965" i="6"/>
  <c r="CU1150" i="6"/>
  <c r="CU997" i="6"/>
  <c r="CU1136" i="6"/>
  <c r="CU1041" i="6"/>
  <c r="CU988" i="6"/>
  <c r="CU985" i="6"/>
  <c r="CU978" i="6"/>
  <c r="CU1036" i="6"/>
  <c r="CU1043" i="6"/>
  <c r="CU1022" i="6"/>
  <c r="CU995" i="6"/>
  <c r="CU980" i="6"/>
  <c r="CU1084" i="6"/>
  <c r="CU1020" i="6"/>
  <c r="CU1011" i="6"/>
  <c r="CU994" i="6"/>
  <c r="CU982" i="6"/>
  <c r="CU969" i="6"/>
  <c r="CU970" i="6"/>
  <c r="CU1006" i="6"/>
  <c r="CU1055" i="6"/>
  <c r="CU990" i="6"/>
  <c r="CU964" i="6"/>
  <c r="CU1023" i="6"/>
  <c r="CU1126" i="6"/>
  <c r="CU963" i="6"/>
  <c r="CU979" i="6"/>
  <c r="CU986" i="6"/>
  <c r="CU961" i="6"/>
  <c r="CU1005" i="6"/>
  <c r="CU1038" i="6"/>
  <c r="CU962" i="6"/>
  <c r="CU1153" i="6"/>
  <c r="CU1129" i="6"/>
  <c r="CM1184" i="6"/>
  <c r="CM1176" i="6"/>
  <c r="CM1178" i="6"/>
  <c r="CM1168" i="6"/>
  <c r="CM1192" i="6"/>
  <c r="CM1171" i="6"/>
  <c r="CM1163" i="6"/>
  <c r="CM1166" i="6"/>
  <c r="CM1162" i="6"/>
  <c r="CM1149" i="6"/>
  <c r="CM1190" i="6"/>
  <c r="CM1159" i="6"/>
  <c r="CM1152" i="6"/>
  <c r="CM1191" i="6"/>
  <c r="CM1185" i="6"/>
  <c r="CM1160" i="6"/>
  <c r="CM1142" i="6"/>
  <c r="CM1169" i="6"/>
  <c r="CM1137" i="6"/>
  <c r="CM1179" i="6"/>
  <c r="CM1170" i="6"/>
  <c r="CM1139" i="6"/>
  <c r="CM1128" i="6"/>
  <c r="CM1116" i="6"/>
  <c r="CM1108" i="6"/>
  <c r="CM1100" i="6"/>
  <c r="CM1147" i="6"/>
  <c r="CM1131" i="6"/>
  <c r="CM1123" i="6"/>
  <c r="CM1111" i="6"/>
  <c r="CM1103" i="6"/>
  <c r="CM1153" i="6"/>
  <c r="CM1104" i="6"/>
  <c r="CM1101" i="6"/>
  <c r="CM1098" i="6"/>
  <c r="CM1089" i="6"/>
  <c r="CM1177" i="6"/>
  <c r="CM1143" i="6"/>
  <c r="CM1138" i="6"/>
  <c r="CM1136" i="6"/>
  <c r="CM1105" i="6"/>
  <c r="CM1102" i="6"/>
  <c r="CM1099" i="6"/>
  <c r="CM1092" i="6"/>
  <c r="CM1150" i="6"/>
  <c r="CM1107" i="6"/>
  <c r="CM1096" i="6"/>
  <c r="CM1082" i="6"/>
  <c r="CM1078" i="6"/>
  <c r="CM1074" i="6"/>
  <c r="CM1070" i="6"/>
  <c r="CM1058" i="6"/>
  <c r="CM1050" i="6"/>
  <c r="CM1042" i="6"/>
  <c r="CM1034" i="6"/>
  <c r="CM1026" i="6"/>
  <c r="CM1145" i="6"/>
  <c r="CM1127" i="6"/>
  <c r="CM1117" i="6"/>
  <c r="CM1112" i="6"/>
  <c r="CM1093" i="6"/>
  <c r="CM1090" i="6"/>
  <c r="CM1087" i="6"/>
  <c r="CM1061" i="6"/>
  <c r="CM1053" i="6"/>
  <c r="CM1045" i="6"/>
  <c r="CM1037" i="6"/>
  <c r="CM1029" i="6"/>
  <c r="CM1021" i="6"/>
  <c r="CM1018" i="6"/>
  <c r="CM1151" i="6"/>
  <c r="CM1141" i="6"/>
  <c r="CM1129" i="6"/>
  <c r="CM1124" i="6"/>
  <c r="CM1073" i="6"/>
  <c r="CM1072" i="6"/>
  <c r="CM1071" i="6"/>
  <c r="CM1055" i="6"/>
  <c r="CM1052" i="6"/>
  <c r="CM1049" i="6"/>
  <c r="CM1031" i="6"/>
  <c r="CM1028" i="6"/>
  <c r="CM1024" i="6"/>
  <c r="CM1007" i="6"/>
  <c r="CM999" i="6"/>
  <c r="CM991" i="6"/>
  <c r="CM1148" i="6"/>
  <c r="CM1140" i="6"/>
  <c r="CM1109" i="6"/>
  <c r="CM1088" i="6"/>
  <c r="CM1085" i="6"/>
  <c r="CM1083" i="6"/>
  <c r="CM1046" i="6"/>
  <c r="CM1043" i="6"/>
  <c r="CM1025" i="6"/>
  <c r="CM1010" i="6"/>
  <c r="CM1002" i="6"/>
  <c r="CM1164" i="6"/>
  <c r="CM1097" i="6"/>
  <c r="CM1081" i="6"/>
  <c r="CM1060" i="6"/>
  <c r="CM1056" i="6"/>
  <c r="CM1051" i="6"/>
  <c r="CM1035" i="6"/>
  <c r="CM987" i="6"/>
  <c r="CM981" i="6"/>
  <c r="CM975" i="6"/>
  <c r="CM968" i="6"/>
  <c r="CM1167" i="6"/>
  <c r="CM1165" i="6"/>
  <c r="CM1146" i="6"/>
  <c r="CM1041" i="6"/>
  <c r="CM1039" i="6"/>
  <c r="CM1030" i="6"/>
  <c r="CM1022" i="6"/>
  <c r="CM1020" i="6"/>
  <c r="CM1017" i="6"/>
  <c r="CM994" i="6"/>
  <c r="CM993" i="6"/>
  <c r="CM984" i="6"/>
  <c r="CM1044" i="6"/>
  <c r="CM1130" i="6"/>
  <c r="CM1118" i="6"/>
  <c r="CM1113" i="6"/>
  <c r="CM1106" i="6"/>
  <c r="CM1114" i="6"/>
  <c r="CM1084" i="6"/>
  <c r="CM1057" i="6"/>
  <c r="CM1038" i="6"/>
  <c r="CM1012" i="6"/>
  <c r="CM1005" i="6"/>
  <c r="CM1000" i="6"/>
  <c r="CM997" i="6"/>
  <c r="CM986" i="6"/>
  <c r="CM983" i="6"/>
  <c r="CM979" i="6"/>
  <c r="CM1125" i="6"/>
  <c r="CM1080" i="6"/>
  <c r="CM1077" i="6"/>
  <c r="CM1059" i="6"/>
  <c r="CM1009" i="6"/>
  <c r="CM1004" i="6"/>
  <c r="CM995" i="6"/>
  <c r="CM1095" i="6"/>
  <c r="CM1075" i="6"/>
  <c r="CM1065" i="6"/>
  <c r="CM1032" i="6"/>
  <c r="CM1161" i="6"/>
  <c r="CM1144" i="6"/>
  <c r="CM1086" i="6"/>
  <c r="CM1001" i="6"/>
  <c r="CM996" i="6"/>
  <c r="CM989" i="6"/>
  <c r="CM982" i="6"/>
  <c r="CM969" i="6"/>
  <c r="CM1091" i="6"/>
  <c r="CM1154" i="6"/>
  <c r="CM1062" i="6"/>
  <c r="CM1047" i="6"/>
  <c r="CM1033" i="6"/>
  <c r="CM1023" i="6"/>
  <c r="CM990" i="6"/>
  <c r="CM980" i="6"/>
  <c r="CM970" i="6"/>
  <c r="CM1003" i="6"/>
  <c r="CM992" i="6"/>
  <c r="CM1079" i="6"/>
  <c r="CM1019" i="6"/>
  <c r="CM1027" i="6"/>
  <c r="CM1076" i="6"/>
  <c r="CM1048" i="6"/>
  <c r="CM1040" i="6"/>
  <c r="CM1115" i="6"/>
  <c r="CM1094" i="6"/>
  <c r="CM1011" i="6"/>
  <c r="CM1036" i="6"/>
  <c r="CM1006" i="6"/>
  <c r="CM961" i="6"/>
  <c r="CM977" i="6"/>
  <c r="CM1110" i="6"/>
  <c r="CM1064" i="6"/>
  <c r="CM1008" i="6"/>
  <c r="CM978" i="6"/>
  <c r="CM962" i="6"/>
  <c r="CM988" i="6"/>
  <c r="CM985" i="6"/>
  <c r="CM976" i="6"/>
  <c r="CM1126" i="6"/>
  <c r="CM964" i="6"/>
  <c r="CM1054" i="6"/>
  <c r="CM1063" i="6"/>
  <c r="CM965" i="6"/>
  <c r="CM963" i="6"/>
  <c r="CM998" i="6"/>
  <c r="CE1184" i="6"/>
  <c r="CE1176" i="6"/>
  <c r="CE1178" i="6"/>
  <c r="CE1177" i="6"/>
  <c r="CE1168" i="6"/>
  <c r="CE1171" i="6"/>
  <c r="CE1163" i="6"/>
  <c r="CE1185" i="6"/>
  <c r="CE1166" i="6"/>
  <c r="CE1167" i="6"/>
  <c r="CE1160" i="6"/>
  <c r="CE1149" i="6"/>
  <c r="CE1152" i="6"/>
  <c r="CE1190" i="6"/>
  <c r="CE1170" i="6"/>
  <c r="CE1169" i="6"/>
  <c r="CE1191" i="6"/>
  <c r="CE1142" i="6"/>
  <c r="CE1153" i="6"/>
  <c r="CE1150" i="6"/>
  <c r="CE1147" i="6"/>
  <c r="CE1137" i="6"/>
  <c r="CE1165" i="6"/>
  <c r="CE1164" i="6"/>
  <c r="CE1154" i="6"/>
  <c r="CE1151" i="6"/>
  <c r="CE1192" i="6"/>
  <c r="CE1148" i="6"/>
  <c r="CE1128" i="6"/>
  <c r="CE1116" i="6"/>
  <c r="CE1108" i="6"/>
  <c r="CE1100" i="6"/>
  <c r="CE1162" i="6"/>
  <c r="CE1131" i="6"/>
  <c r="CE1123" i="6"/>
  <c r="CE1111" i="6"/>
  <c r="CE1103" i="6"/>
  <c r="CE1144" i="6"/>
  <c r="CE1139" i="6"/>
  <c r="CE1129" i="6"/>
  <c r="CE1089" i="6"/>
  <c r="CE1146" i="6"/>
  <c r="CE1130" i="6"/>
  <c r="CE1126" i="6"/>
  <c r="CE1097" i="6"/>
  <c r="CE1092" i="6"/>
  <c r="CE1161" i="6"/>
  <c r="CE1124" i="6"/>
  <c r="CE1118" i="6"/>
  <c r="CE1113" i="6"/>
  <c r="CE1104" i="6"/>
  <c r="CE1094" i="6"/>
  <c r="CE1091" i="6"/>
  <c r="CE1088" i="6"/>
  <c r="CE1082" i="6"/>
  <c r="CE1078" i="6"/>
  <c r="CE1074" i="6"/>
  <c r="CE1070" i="6"/>
  <c r="CE1058" i="6"/>
  <c r="CE1050" i="6"/>
  <c r="CE1042" i="6"/>
  <c r="CE1034" i="6"/>
  <c r="CE1026" i="6"/>
  <c r="CE1138" i="6"/>
  <c r="CE1106" i="6"/>
  <c r="CE1061" i="6"/>
  <c r="CE1053" i="6"/>
  <c r="CE1045" i="6"/>
  <c r="CE1037" i="6"/>
  <c r="CE1029" i="6"/>
  <c r="CE1021" i="6"/>
  <c r="CE1018" i="6"/>
  <c r="CE1159" i="6"/>
  <c r="CE1114" i="6"/>
  <c r="CE1093" i="6"/>
  <c r="CE1064" i="6"/>
  <c r="CE1047" i="6"/>
  <c r="CE1044" i="6"/>
  <c r="CE1040" i="6"/>
  <c r="CE1022" i="6"/>
  <c r="CE1019" i="6"/>
  <c r="CE1007" i="6"/>
  <c r="CE999" i="6"/>
  <c r="CE991" i="6"/>
  <c r="CE1115" i="6"/>
  <c r="CE1102" i="6"/>
  <c r="CE1077" i="6"/>
  <c r="CE1076" i="6"/>
  <c r="CE1075" i="6"/>
  <c r="CE1065" i="6"/>
  <c r="CE1041" i="6"/>
  <c r="CE1023" i="6"/>
  <c r="CE1020" i="6"/>
  <c r="CE1010" i="6"/>
  <c r="CE1002" i="6"/>
  <c r="CE1140" i="6"/>
  <c r="CE1136" i="6"/>
  <c r="CE1125" i="6"/>
  <c r="CE1109" i="6"/>
  <c r="CE1095" i="6"/>
  <c r="CE1090" i="6"/>
  <c r="CE1086" i="6"/>
  <c r="CE1079" i="6"/>
  <c r="CE1072" i="6"/>
  <c r="CE1046" i="6"/>
  <c r="CE1031" i="6"/>
  <c r="CE1025" i="6"/>
  <c r="CE994" i="6"/>
  <c r="CE993" i="6"/>
  <c r="CE981" i="6"/>
  <c r="CE975" i="6"/>
  <c r="CE968" i="6"/>
  <c r="CE1107" i="6"/>
  <c r="CE1096" i="6"/>
  <c r="CE1073" i="6"/>
  <c r="CE1059" i="6"/>
  <c r="CE1011" i="6"/>
  <c r="CE1008" i="6"/>
  <c r="CE1005" i="6"/>
  <c r="CE989" i="6"/>
  <c r="CE988" i="6"/>
  <c r="CE984" i="6"/>
  <c r="CE1063" i="6"/>
  <c r="CE1054" i="6"/>
  <c r="CE1049" i="6"/>
  <c r="CE1179" i="6"/>
  <c r="CE1080" i="6"/>
  <c r="CE1143" i="6"/>
  <c r="CE1141" i="6"/>
  <c r="CE1117" i="6"/>
  <c r="CE1052" i="6"/>
  <c r="CE992" i="6"/>
  <c r="CE990" i="6"/>
  <c r="CE1127" i="6"/>
  <c r="CE1062" i="6"/>
  <c r="CE1051" i="6"/>
  <c r="CE1036" i="6"/>
  <c r="CE998" i="6"/>
  <c r="CE1098" i="6"/>
  <c r="CE1085" i="6"/>
  <c r="CE1084" i="6"/>
  <c r="CE1038" i="6"/>
  <c r="CE1024" i="6"/>
  <c r="CE1003" i="6"/>
  <c r="CE1145" i="6"/>
  <c r="CE1110" i="6"/>
  <c r="CE1043" i="6"/>
  <c r="CE1028" i="6"/>
  <c r="CE997" i="6"/>
  <c r="CE995" i="6"/>
  <c r="CE1012" i="6"/>
  <c r="CE985" i="6"/>
  <c r="CE977" i="6"/>
  <c r="CE976" i="6"/>
  <c r="CE963" i="6"/>
  <c r="CE1060" i="6"/>
  <c r="CE1055" i="6"/>
  <c r="CE1006" i="6"/>
  <c r="CE1004" i="6"/>
  <c r="CE987" i="6"/>
  <c r="CE1039" i="6"/>
  <c r="CE1033" i="6"/>
  <c r="CE1032" i="6"/>
  <c r="CE983" i="6"/>
  <c r="CE1101" i="6"/>
  <c r="CE1083" i="6"/>
  <c r="CE1071" i="6"/>
  <c r="CE1056" i="6"/>
  <c r="CE1030" i="6"/>
  <c r="CE996" i="6"/>
  <c r="CE986" i="6"/>
  <c r="CE979" i="6"/>
  <c r="CE1105" i="6"/>
  <c r="CE1081" i="6"/>
  <c r="CE1112" i="6"/>
  <c r="CE1099" i="6"/>
  <c r="CE1001" i="6"/>
  <c r="CE961" i="6"/>
  <c r="CE1017" i="6"/>
  <c r="CE965" i="6"/>
  <c r="CE1009" i="6"/>
  <c r="CE982" i="6"/>
  <c r="CE970" i="6"/>
  <c r="CE980" i="6"/>
  <c r="CE1087" i="6"/>
  <c r="CE1035" i="6"/>
  <c r="CE1027" i="6"/>
  <c r="CE978" i="6"/>
  <c r="CE969" i="6"/>
  <c r="CE1048" i="6"/>
  <c r="CE964" i="6"/>
  <c r="CE1057" i="6"/>
  <c r="CE1000" i="6"/>
  <c r="CE962" i="6"/>
  <c r="BW1184" i="6"/>
  <c r="BW1178" i="6"/>
  <c r="BW1177" i="6"/>
  <c r="BW1168" i="6"/>
  <c r="BW1192" i="6"/>
  <c r="BW1171" i="6"/>
  <c r="BW1163" i="6"/>
  <c r="BW1166" i="6"/>
  <c r="BW1179" i="6"/>
  <c r="BW1149" i="6"/>
  <c r="BW1152" i="6"/>
  <c r="BW1164" i="6"/>
  <c r="BW1191" i="6"/>
  <c r="BW1169" i="6"/>
  <c r="BW1154" i="6"/>
  <c r="BW1151" i="6"/>
  <c r="BW1148" i="6"/>
  <c r="BW1142" i="6"/>
  <c r="BW1159" i="6"/>
  <c r="BW1145" i="6"/>
  <c r="BW1137" i="6"/>
  <c r="BW1162" i="6"/>
  <c r="BW1161" i="6"/>
  <c r="BW1165" i="6"/>
  <c r="BW1128" i="6"/>
  <c r="BW1116" i="6"/>
  <c r="BW1108" i="6"/>
  <c r="BW1100" i="6"/>
  <c r="BW1190" i="6"/>
  <c r="BW1187" i="6" s="1"/>
  <c r="BW1167" i="6"/>
  <c r="BW1150" i="6"/>
  <c r="BW1143" i="6"/>
  <c r="BW1140" i="6"/>
  <c r="BW1131" i="6"/>
  <c r="BW1123" i="6"/>
  <c r="BW1111" i="6"/>
  <c r="BW1103" i="6"/>
  <c r="BW1127" i="6"/>
  <c r="BW1117" i="6"/>
  <c r="BW1114" i="6"/>
  <c r="BW1089" i="6"/>
  <c r="BW1160" i="6"/>
  <c r="BW1138" i="6"/>
  <c r="BW1124" i="6"/>
  <c r="BW1118" i="6"/>
  <c r="BW1115" i="6"/>
  <c r="BW1092" i="6"/>
  <c r="BW1141" i="6"/>
  <c r="BW1126" i="6"/>
  <c r="BW1107" i="6"/>
  <c r="BW1101" i="6"/>
  <c r="BW1099" i="6"/>
  <c r="BW1086" i="6"/>
  <c r="BW1085" i="6"/>
  <c r="BW1084" i="6"/>
  <c r="BW1082" i="6"/>
  <c r="BW1078" i="6"/>
  <c r="BW1074" i="6"/>
  <c r="BW1070" i="6"/>
  <c r="BW1058" i="6"/>
  <c r="BW1050" i="6"/>
  <c r="BW1042" i="6"/>
  <c r="BW1034" i="6"/>
  <c r="BW1026" i="6"/>
  <c r="BW1176" i="6"/>
  <c r="BW1147" i="6"/>
  <c r="BW1112" i="6"/>
  <c r="BW1097" i="6"/>
  <c r="BW1061" i="6"/>
  <c r="BW1053" i="6"/>
  <c r="BW1045" i="6"/>
  <c r="BW1037" i="6"/>
  <c r="BW1029" i="6"/>
  <c r="BW1021" i="6"/>
  <c r="BW1018" i="6"/>
  <c r="BW1139" i="6"/>
  <c r="BW1129" i="6"/>
  <c r="BW1125" i="6"/>
  <c r="BW1062" i="6"/>
  <c r="BW1059" i="6"/>
  <c r="BW1038" i="6"/>
  <c r="BW1035" i="6"/>
  <c r="BW1007" i="6"/>
  <c r="BW999" i="6"/>
  <c r="BW991" i="6"/>
  <c r="BW1063" i="6"/>
  <c r="BW1060" i="6"/>
  <c r="BW1056" i="6"/>
  <c r="BW1039" i="6"/>
  <c r="BW1036" i="6"/>
  <c r="BW1032" i="6"/>
  <c r="BW1012" i="6"/>
  <c r="BW1010" i="6"/>
  <c r="BW1002" i="6"/>
  <c r="BW1130" i="6"/>
  <c r="BW1081" i="6"/>
  <c r="BW1077" i="6"/>
  <c r="BW1065" i="6"/>
  <c r="BW1051" i="6"/>
  <c r="BW1009" i="6"/>
  <c r="BW1006" i="6"/>
  <c r="BW989" i="6"/>
  <c r="BW988" i="6"/>
  <c r="BW981" i="6"/>
  <c r="BW975" i="6"/>
  <c r="BW968" i="6"/>
  <c r="BW1098" i="6"/>
  <c r="BW1087" i="6"/>
  <c r="BW1055" i="6"/>
  <c r="BW1040" i="6"/>
  <c r="BW1030" i="6"/>
  <c r="BW1019" i="6"/>
  <c r="BW1017" i="6"/>
  <c r="BW1003" i="6"/>
  <c r="BW1000" i="6"/>
  <c r="BW995" i="6"/>
  <c r="BW984" i="6"/>
  <c r="BW1105" i="6"/>
  <c r="BW1104" i="6"/>
  <c r="BW1088" i="6"/>
  <c r="BW1170" i="6"/>
  <c r="BW1109" i="6"/>
  <c r="BW1095" i="6"/>
  <c r="BW1090" i="6"/>
  <c r="BW1136" i="6"/>
  <c r="BW1094" i="6"/>
  <c r="BW1093" i="6"/>
  <c r="BW1071" i="6"/>
  <c r="BW1048" i="6"/>
  <c r="BW1028" i="6"/>
  <c r="BW1008" i="6"/>
  <c r="BW996" i="6"/>
  <c r="BW1110" i="6"/>
  <c r="BW1096" i="6"/>
  <c r="BW1079" i="6"/>
  <c r="BW1075" i="6"/>
  <c r="BW1052" i="6"/>
  <c r="BW1046" i="6"/>
  <c r="BW1044" i="6"/>
  <c r="BW1031" i="6"/>
  <c r="BW1004" i="6"/>
  <c r="BW1113" i="6"/>
  <c r="BW1073" i="6"/>
  <c r="BW1005" i="6"/>
  <c r="BW997" i="6"/>
  <c r="BW1054" i="6"/>
  <c r="BW1041" i="6"/>
  <c r="BW1027" i="6"/>
  <c r="BW990" i="6"/>
  <c r="BW983" i="6"/>
  <c r="BW979" i="6"/>
  <c r="BW978" i="6"/>
  <c r="BW963" i="6"/>
  <c r="BW1033" i="6"/>
  <c r="BW964" i="6"/>
  <c r="BW1144" i="6"/>
  <c r="BW1020" i="6"/>
  <c r="BW985" i="6"/>
  <c r="BW1022" i="6"/>
  <c r="BW1106" i="6"/>
  <c r="BW1049" i="6"/>
  <c r="BW1024" i="6"/>
  <c r="BW993" i="6"/>
  <c r="BW1146" i="6"/>
  <c r="BW1064" i="6"/>
  <c r="BW1043" i="6"/>
  <c r="BW1011" i="6"/>
  <c r="BW992" i="6"/>
  <c r="BW982" i="6"/>
  <c r="BW977" i="6"/>
  <c r="BW976" i="6"/>
  <c r="BW1102" i="6"/>
  <c r="BW1083" i="6"/>
  <c r="BW961" i="6"/>
  <c r="BW1080" i="6"/>
  <c r="BW980" i="6"/>
  <c r="BW969" i="6"/>
  <c r="BW962" i="6"/>
  <c r="BW1185" i="6"/>
  <c r="BW1072" i="6"/>
  <c r="BW1047" i="6"/>
  <c r="BW994" i="6"/>
  <c r="BW1025" i="6"/>
  <c r="BW1023" i="6"/>
  <c r="BW998" i="6"/>
  <c r="BW986" i="6"/>
  <c r="BW970" i="6"/>
  <c r="BW1057" i="6"/>
  <c r="BW1001" i="6"/>
  <c r="BW965" i="6"/>
  <c r="BW1153" i="6"/>
  <c r="BW1076" i="6"/>
  <c r="BW1091" i="6"/>
  <c r="BW987" i="6"/>
  <c r="BO474" i="6"/>
  <c r="BO1184" i="6"/>
  <c r="BO1178" i="6"/>
  <c r="BO1177" i="6"/>
  <c r="BO1191" i="6"/>
  <c r="BO1190" i="6"/>
  <c r="BO1185" i="6"/>
  <c r="BO1179" i="6"/>
  <c r="BO1168" i="6"/>
  <c r="BO1176" i="6"/>
  <c r="BO1171" i="6"/>
  <c r="BO1163" i="6"/>
  <c r="BO1166" i="6"/>
  <c r="BO1164" i="6"/>
  <c r="BO1149" i="6"/>
  <c r="BO1165" i="6"/>
  <c r="BO1161" i="6"/>
  <c r="BO1152" i="6"/>
  <c r="BO1167" i="6"/>
  <c r="BO1162" i="6"/>
  <c r="BO1146" i="6"/>
  <c r="BO1142" i="6"/>
  <c r="BO1169" i="6"/>
  <c r="BO1160" i="6"/>
  <c r="BO1159" i="6"/>
  <c r="BO1151" i="6"/>
  <c r="BO1144" i="6"/>
  <c r="BO1141" i="6"/>
  <c r="BO1128" i="6"/>
  <c r="BO1116" i="6"/>
  <c r="BO1108" i="6"/>
  <c r="BO1100" i="6"/>
  <c r="BO1192" i="6"/>
  <c r="BO1154" i="6"/>
  <c r="BO1138" i="6"/>
  <c r="BO1137" i="6"/>
  <c r="BO1136" i="6"/>
  <c r="BO1131" i="6"/>
  <c r="BO1123" i="6"/>
  <c r="BO1111" i="6"/>
  <c r="BO1103" i="6"/>
  <c r="BO1153" i="6"/>
  <c r="BO1147" i="6"/>
  <c r="BO1139" i="6"/>
  <c r="BO1125" i="6"/>
  <c r="BO1112" i="6"/>
  <c r="BO1109" i="6"/>
  <c r="BO1106" i="6"/>
  <c r="BO1089" i="6"/>
  <c r="BO1150" i="6"/>
  <c r="BO1148" i="6"/>
  <c r="BO1140" i="6"/>
  <c r="BO1113" i="6"/>
  <c r="BO1110" i="6"/>
  <c r="BO1107" i="6"/>
  <c r="BO1092" i="6"/>
  <c r="BO1129" i="6"/>
  <c r="BO1104" i="6"/>
  <c r="BO1082" i="6"/>
  <c r="BO1078" i="6"/>
  <c r="BO1074" i="6"/>
  <c r="BO1070" i="6"/>
  <c r="BO1058" i="6"/>
  <c r="BO1050" i="6"/>
  <c r="BO1042" i="6"/>
  <c r="BO1034" i="6"/>
  <c r="BO1026" i="6"/>
  <c r="BO1145" i="6"/>
  <c r="BO1114" i="6"/>
  <c r="BO1095" i="6"/>
  <c r="BO1061" i="6"/>
  <c r="BO1053" i="6"/>
  <c r="BO1045" i="6"/>
  <c r="BO1037" i="6"/>
  <c r="BO1029" i="6"/>
  <c r="BO1021" i="6"/>
  <c r="BO1018" i="6"/>
  <c r="BO1099" i="6"/>
  <c r="BO1098" i="6"/>
  <c r="BO1093" i="6"/>
  <c r="BO1091" i="6"/>
  <c r="BO1081" i="6"/>
  <c r="BO1080" i="6"/>
  <c r="BO1079" i="6"/>
  <c r="BO1057" i="6"/>
  <c r="BO1033" i="6"/>
  <c r="BO1012" i="6"/>
  <c r="BO1007" i="6"/>
  <c r="BO999" i="6"/>
  <c r="BO991" i="6"/>
  <c r="BO1126" i="6"/>
  <c r="BO1115" i="6"/>
  <c r="BO1105" i="6"/>
  <c r="BO1094" i="6"/>
  <c r="BO1086" i="6"/>
  <c r="BO1054" i="6"/>
  <c r="BO1051" i="6"/>
  <c r="BO1048" i="6"/>
  <c r="BO1030" i="6"/>
  <c r="BO1027" i="6"/>
  <c r="BO1017" i="6"/>
  <c r="BO1010" i="6"/>
  <c r="BO1002" i="6"/>
  <c r="BO1102" i="6"/>
  <c r="BO1097" i="6"/>
  <c r="BO1072" i="6"/>
  <c r="BO1046" i="6"/>
  <c r="BO1044" i="6"/>
  <c r="BO1031" i="6"/>
  <c r="BO1025" i="6"/>
  <c r="BO1004" i="6"/>
  <c r="BO1001" i="6"/>
  <c r="BO995" i="6"/>
  <c r="BO981" i="6"/>
  <c r="BO975" i="6"/>
  <c r="BO1127" i="6"/>
  <c r="BO1101" i="6"/>
  <c r="BO1073" i="6"/>
  <c r="BO1062" i="6"/>
  <c r="BO1047" i="6"/>
  <c r="BO1036" i="6"/>
  <c r="BO1032" i="6"/>
  <c r="BO1023" i="6"/>
  <c r="BO990" i="6"/>
  <c r="BO984" i="6"/>
  <c r="BO1075" i="6"/>
  <c r="BO1130" i="6"/>
  <c r="BO1118" i="6"/>
  <c r="BO1064" i="6"/>
  <c r="BO1049" i="6"/>
  <c r="BO1090" i="6"/>
  <c r="BO1040" i="6"/>
  <c r="BO1024" i="6"/>
  <c r="BO993" i="6"/>
  <c r="BO1143" i="6"/>
  <c r="BO1077" i="6"/>
  <c r="BO1059" i="6"/>
  <c r="BO1055" i="6"/>
  <c r="BO1022" i="6"/>
  <c r="BO1020" i="6"/>
  <c r="BO1011" i="6"/>
  <c r="BO1006" i="6"/>
  <c r="BO1124" i="6"/>
  <c r="BO1088" i="6"/>
  <c r="BO1087" i="6"/>
  <c r="BO1065" i="6"/>
  <c r="BO1043" i="6"/>
  <c r="BO1041" i="6"/>
  <c r="BO1038" i="6"/>
  <c r="BO1028" i="6"/>
  <c r="BO992" i="6"/>
  <c r="BO1170" i="6"/>
  <c r="BO1039" i="6"/>
  <c r="BO998" i="6"/>
  <c r="BO977" i="6"/>
  <c r="BO976" i="6"/>
  <c r="BO1019" i="6"/>
  <c r="BO964" i="6"/>
  <c r="BO1071" i="6"/>
  <c r="BO988" i="6"/>
  <c r="BO986" i="6"/>
  <c r="BO1060" i="6"/>
  <c r="BO1005" i="6"/>
  <c r="BO996" i="6"/>
  <c r="BO980" i="6"/>
  <c r="BO978" i="6"/>
  <c r="BO962" i="6"/>
  <c r="BO1117" i="6"/>
  <c r="BO1096" i="6"/>
  <c r="BO1052" i="6"/>
  <c r="BO1035" i="6"/>
  <c r="BO1085" i="6"/>
  <c r="BO997" i="6"/>
  <c r="BO987" i="6"/>
  <c r="BO969" i="6"/>
  <c r="BO963" i="6"/>
  <c r="BO961" i="6"/>
  <c r="BO1063" i="6"/>
  <c r="BO1003" i="6"/>
  <c r="BO970" i="6"/>
  <c r="BO1083" i="6"/>
  <c r="BO1009" i="6"/>
  <c r="BO1000" i="6"/>
  <c r="BO965" i="6"/>
  <c r="BO983" i="6"/>
  <c r="BO982" i="6"/>
  <c r="BO968" i="6"/>
  <c r="BO989" i="6"/>
  <c r="BO1084" i="6"/>
  <c r="BO1056" i="6"/>
  <c r="BO985" i="6"/>
  <c r="BO994" i="6"/>
  <c r="BO1008" i="6"/>
  <c r="BO979" i="6"/>
  <c r="BO1076" i="6"/>
  <c r="DG1179" i="6"/>
  <c r="DG1192" i="6"/>
  <c r="DG1176" i="6"/>
  <c r="DG1177" i="6"/>
  <c r="DG1184" i="6"/>
  <c r="DG1178" i="6"/>
  <c r="DG1167" i="6"/>
  <c r="DG1159" i="6"/>
  <c r="DG1170" i="6"/>
  <c r="DG1162" i="6"/>
  <c r="DG1190" i="6"/>
  <c r="DG1166" i="6"/>
  <c r="DG1164" i="6"/>
  <c r="DG1153" i="6"/>
  <c r="DG1145" i="6"/>
  <c r="DG1163" i="6"/>
  <c r="DG1161" i="6"/>
  <c r="DG1148" i="6"/>
  <c r="DG1191" i="6"/>
  <c r="DG1185" i="6"/>
  <c r="DG1169" i="6"/>
  <c r="DG1160" i="6"/>
  <c r="DG1138" i="6"/>
  <c r="DG1141" i="6"/>
  <c r="DG1168" i="6"/>
  <c r="DG1152" i="6"/>
  <c r="DG1139" i="6"/>
  <c r="DG1137" i="6"/>
  <c r="DG1124" i="6"/>
  <c r="DG1112" i="6"/>
  <c r="DG1104" i="6"/>
  <c r="DG1096" i="6"/>
  <c r="DG1127" i="6"/>
  <c r="DG1115" i="6"/>
  <c r="DG1107" i="6"/>
  <c r="DG1099" i="6"/>
  <c r="DG1109" i="6"/>
  <c r="DG1108" i="6"/>
  <c r="DG1106" i="6"/>
  <c r="DG1093" i="6"/>
  <c r="DG1140" i="6"/>
  <c r="DG1105" i="6"/>
  <c r="DG1103" i="6"/>
  <c r="DG1102" i="6"/>
  <c r="DG1088" i="6"/>
  <c r="DG1085" i="6"/>
  <c r="DG1130" i="6"/>
  <c r="DG1129" i="6"/>
  <c r="DG1128" i="6"/>
  <c r="DG1118" i="6"/>
  <c r="DG1113" i="6"/>
  <c r="DG1080" i="6"/>
  <c r="DG1076" i="6"/>
  <c r="DG1072" i="6"/>
  <c r="DG1062" i="6"/>
  <c r="DG1054" i="6"/>
  <c r="DG1046" i="6"/>
  <c r="DG1038" i="6"/>
  <c r="DG1030" i="6"/>
  <c r="DG1022" i="6"/>
  <c r="DG1171" i="6"/>
  <c r="DG1154" i="6"/>
  <c r="DG1151" i="6"/>
  <c r="DG1146" i="6"/>
  <c r="DG1131" i="6"/>
  <c r="DG1114" i="6"/>
  <c r="DG1095" i="6"/>
  <c r="DG1065" i="6"/>
  <c r="DG1057" i="6"/>
  <c r="DG1049" i="6"/>
  <c r="DG1041" i="6"/>
  <c r="DG1033" i="6"/>
  <c r="DG1025" i="6"/>
  <c r="DG1150" i="6"/>
  <c r="DG1125" i="6"/>
  <c r="DG1079" i="6"/>
  <c r="DG1073" i="6"/>
  <c r="DG1055" i="6"/>
  <c r="DG1053" i="6"/>
  <c r="DG1052" i="6"/>
  <c r="DG1031" i="6"/>
  <c r="DG1029" i="6"/>
  <c r="DG1028" i="6"/>
  <c r="DG1011" i="6"/>
  <c r="DG1003" i="6"/>
  <c r="DG995" i="6"/>
  <c r="DG987" i="6"/>
  <c r="DG1136" i="6"/>
  <c r="DG1117" i="6"/>
  <c r="DG1097" i="6"/>
  <c r="DG1051" i="6"/>
  <c r="DG1050" i="6"/>
  <c r="DG1048" i="6"/>
  <c r="DG1027" i="6"/>
  <c r="DG1006" i="6"/>
  <c r="DG1042" i="6"/>
  <c r="DG994" i="6"/>
  <c r="DG988" i="6"/>
  <c r="DG985" i="6"/>
  <c r="DG977" i="6"/>
  <c r="DG1143" i="6"/>
  <c r="DG1078" i="6"/>
  <c r="DG1070" i="6"/>
  <c r="DG1037" i="6"/>
  <c r="DG1032" i="6"/>
  <c r="DG1012" i="6"/>
  <c r="DG989" i="6"/>
  <c r="DG980" i="6"/>
  <c r="DG1074" i="6"/>
  <c r="DG1063" i="6"/>
  <c r="DG1077" i="6"/>
  <c r="DG1075" i="6"/>
  <c r="DG1064" i="6"/>
  <c r="DG1058" i="6"/>
  <c r="DG1110" i="6"/>
  <c r="DG1045" i="6"/>
  <c r="DG1017" i="6"/>
  <c r="DG996" i="6"/>
  <c r="DG984" i="6"/>
  <c r="DG983" i="6"/>
  <c r="DG1126" i="6"/>
  <c r="DG1091" i="6"/>
  <c r="DG1086" i="6"/>
  <c r="DG1047" i="6"/>
  <c r="DG1043" i="6"/>
  <c r="DG1002" i="6"/>
  <c r="DG991" i="6"/>
  <c r="DG1144" i="6"/>
  <c r="DG1111" i="6"/>
  <c r="DG1100" i="6"/>
  <c r="DG1061" i="6"/>
  <c r="DG1059" i="6"/>
  <c r="DG1007" i="6"/>
  <c r="DG1149" i="6"/>
  <c r="DG1123" i="6"/>
  <c r="DG1116" i="6"/>
  <c r="DG1090" i="6"/>
  <c r="DG1036" i="6"/>
  <c r="DG1035" i="6"/>
  <c r="DG1018" i="6"/>
  <c r="DG1008" i="6"/>
  <c r="DG986" i="6"/>
  <c r="DG981" i="6"/>
  <c r="DG979" i="6"/>
  <c r="DG976" i="6"/>
  <c r="DG1071" i="6"/>
  <c r="DG961" i="6"/>
  <c r="DG1083" i="6"/>
  <c r="DG1023" i="6"/>
  <c r="DG992" i="6"/>
  <c r="DG962" i="6"/>
  <c r="DG1056" i="6"/>
  <c r="DG1147" i="6"/>
  <c r="DG1094" i="6"/>
  <c r="DG1087" i="6"/>
  <c r="DG1021" i="6"/>
  <c r="DG1010" i="6"/>
  <c r="DG999" i="6"/>
  <c r="DG990" i="6"/>
  <c r="DG970" i="6"/>
  <c r="DG1089" i="6"/>
  <c r="DG1040" i="6"/>
  <c r="DG1142" i="6"/>
  <c r="DG1098" i="6"/>
  <c r="DG1034" i="6"/>
  <c r="DG1005" i="6"/>
  <c r="DG1001" i="6"/>
  <c r="DG975" i="6"/>
  <c r="DG969" i="6"/>
  <c r="DG1009" i="6"/>
  <c r="DG982" i="6"/>
  <c r="DG968" i="6"/>
  <c r="DG1081" i="6"/>
  <c r="DG1044" i="6"/>
  <c r="DG1024" i="6"/>
  <c r="DG963" i="6"/>
  <c r="DG1165" i="6"/>
  <c r="DG1082" i="6"/>
  <c r="DG1039" i="6"/>
  <c r="DG1092" i="6"/>
  <c r="DG1084" i="6"/>
  <c r="DG1020" i="6"/>
  <c r="DG997" i="6"/>
  <c r="DG1026" i="6"/>
  <c r="DG1019" i="6"/>
  <c r="DG1004" i="6"/>
  <c r="DG978" i="6"/>
  <c r="DG964" i="6"/>
  <c r="DG1101" i="6"/>
  <c r="DG1060" i="6"/>
  <c r="DG1000" i="6"/>
  <c r="DG998" i="6"/>
  <c r="DG993" i="6"/>
  <c r="DG965" i="6"/>
  <c r="CY1179" i="6"/>
  <c r="CY1177" i="6"/>
  <c r="CY1184" i="6"/>
  <c r="CY1178" i="6"/>
  <c r="CY1190" i="6"/>
  <c r="CY1191" i="6"/>
  <c r="CY1192" i="6"/>
  <c r="CY1167" i="6"/>
  <c r="CY1159" i="6"/>
  <c r="CY1170" i="6"/>
  <c r="CY1162" i="6"/>
  <c r="CY1160" i="6"/>
  <c r="CY1153" i="6"/>
  <c r="CY1145" i="6"/>
  <c r="CY1148" i="6"/>
  <c r="CY1168" i="6"/>
  <c r="CY1165" i="6"/>
  <c r="CY1138" i="6"/>
  <c r="CY1185" i="6"/>
  <c r="CY1171" i="6"/>
  <c r="CY1141" i="6"/>
  <c r="CY1164" i="6"/>
  <c r="CY1154" i="6"/>
  <c r="CY1152" i="6"/>
  <c r="CY1151" i="6"/>
  <c r="CY1163" i="6"/>
  <c r="CY1124" i="6"/>
  <c r="CY1112" i="6"/>
  <c r="CY1104" i="6"/>
  <c r="CY1096" i="6"/>
  <c r="CY1166" i="6"/>
  <c r="CY1150" i="6"/>
  <c r="CY1136" i="6"/>
  <c r="CY1127" i="6"/>
  <c r="CY1115" i="6"/>
  <c r="CY1107" i="6"/>
  <c r="CY1099" i="6"/>
  <c r="CY1147" i="6"/>
  <c r="CY1137" i="6"/>
  <c r="CY1101" i="6"/>
  <c r="CY1100" i="6"/>
  <c r="CY1098" i="6"/>
  <c r="CY1093" i="6"/>
  <c r="CY1142" i="6"/>
  <c r="CY1131" i="6"/>
  <c r="CY1130" i="6"/>
  <c r="CY1097" i="6"/>
  <c r="CY1088" i="6"/>
  <c r="CY1085" i="6"/>
  <c r="CY1176" i="6"/>
  <c r="CY1126" i="6"/>
  <c r="CY1111" i="6"/>
  <c r="CY1094" i="6"/>
  <c r="CY1092" i="6"/>
  <c r="CY1091" i="6"/>
  <c r="CY1080" i="6"/>
  <c r="CY1076" i="6"/>
  <c r="CY1072" i="6"/>
  <c r="CY1062" i="6"/>
  <c r="CY1054" i="6"/>
  <c r="CY1046" i="6"/>
  <c r="CY1038" i="6"/>
  <c r="CY1030" i="6"/>
  <c r="CY1022" i="6"/>
  <c r="CY1144" i="6"/>
  <c r="CY1116" i="6"/>
  <c r="CY1090" i="6"/>
  <c r="CY1089" i="6"/>
  <c r="CY1087" i="6"/>
  <c r="CY1065" i="6"/>
  <c r="CY1057" i="6"/>
  <c r="CY1049" i="6"/>
  <c r="CY1041" i="6"/>
  <c r="CY1033" i="6"/>
  <c r="CY1025" i="6"/>
  <c r="CY1146" i="6"/>
  <c r="CY1143" i="6"/>
  <c r="CY1114" i="6"/>
  <c r="CY1103" i="6"/>
  <c r="CY1078" i="6"/>
  <c r="CY1071" i="6"/>
  <c r="CY1047" i="6"/>
  <c r="CY1045" i="6"/>
  <c r="CY1044" i="6"/>
  <c r="CY1026" i="6"/>
  <c r="CY1024" i="6"/>
  <c r="CY1011" i="6"/>
  <c r="CY1003" i="6"/>
  <c r="CY995" i="6"/>
  <c r="CY987" i="6"/>
  <c r="CY1149" i="6"/>
  <c r="CY1123" i="6"/>
  <c r="CY1084" i="6"/>
  <c r="CY1083" i="6"/>
  <c r="CY1077" i="6"/>
  <c r="CY1043" i="6"/>
  <c r="CY1023" i="6"/>
  <c r="CY1021" i="6"/>
  <c r="CY1020" i="6"/>
  <c r="CY1012" i="6"/>
  <c r="CY1006" i="6"/>
  <c r="CY1105" i="6"/>
  <c r="CY1095" i="6"/>
  <c r="CY1081" i="6"/>
  <c r="CY1060" i="6"/>
  <c r="CY1050" i="6"/>
  <c r="CY1029" i="6"/>
  <c r="CY989" i="6"/>
  <c r="CY985" i="6"/>
  <c r="CY977" i="6"/>
  <c r="CY1139" i="6"/>
  <c r="CY1129" i="6"/>
  <c r="CY1082" i="6"/>
  <c r="CY1055" i="6"/>
  <c r="CY1040" i="6"/>
  <c r="CY1039" i="6"/>
  <c r="CY1034" i="6"/>
  <c r="CY1019" i="6"/>
  <c r="CY1018" i="6"/>
  <c r="CY1017" i="6"/>
  <c r="CY990" i="6"/>
  <c r="CY980" i="6"/>
  <c r="CY1061" i="6"/>
  <c r="CY1051" i="6"/>
  <c r="CY1169" i="6"/>
  <c r="CY1125" i="6"/>
  <c r="CY1109" i="6"/>
  <c r="CY1108" i="6"/>
  <c r="CY1056" i="6"/>
  <c r="CY1140" i="6"/>
  <c r="CY1073" i="6"/>
  <c r="CY1048" i="6"/>
  <c r="CY1008" i="6"/>
  <c r="CY997" i="6"/>
  <c r="CY993" i="6"/>
  <c r="CY981" i="6"/>
  <c r="CY979" i="6"/>
  <c r="CY1079" i="6"/>
  <c r="CY1037" i="6"/>
  <c r="CY1009" i="6"/>
  <c r="CY1004" i="6"/>
  <c r="CY999" i="6"/>
  <c r="CY1128" i="6"/>
  <c r="CY1118" i="6"/>
  <c r="CY1102" i="6"/>
  <c r="CY1064" i="6"/>
  <c r="CY1058" i="6"/>
  <c r="CY1005" i="6"/>
  <c r="CY1000" i="6"/>
  <c r="CY1059" i="6"/>
  <c r="CY1053" i="6"/>
  <c r="CY975" i="6"/>
  <c r="CY969" i="6"/>
  <c r="CY1070" i="6"/>
  <c r="CY963" i="6"/>
  <c r="CY1052" i="6"/>
  <c r="CY964" i="6"/>
  <c r="CY1110" i="6"/>
  <c r="CY1117" i="6"/>
  <c r="CY1042" i="6"/>
  <c r="CY1027" i="6"/>
  <c r="CY1002" i="6"/>
  <c r="CY998" i="6"/>
  <c r="CY994" i="6"/>
  <c r="CY982" i="6"/>
  <c r="CY968" i="6"/>
  <c r="CY1001" i="6"/>
  <c r="CY962" i="6"/>
  <c r="CY1063" i="6"/>
  <c r="CY965" i="6"/>
  <c r="CY1106" i="6"/>
  <c r="CY1036" i="6"/>
  <c r="CY1035" i="6"/>
  <c r="CY1010" i="6"/>
  <c r="CY996" i="6"/>
  <c r="CY984" i="6"/>
  <c r="CY961" i="6"/>
  <c r="CY1113" i="6"/>
  <c r="CY1028" i="6"/>
  <c r="CY1074" i="6"/>
  <c r="CY1086" i="6"/>
  <c r="CY1007" i="6"/>
  <c r="CY991" i="6"/>
  <c r="CY988" i="6"/>
  <c r="CY970" i="6"/>
  <c r="CY1161" i="6"/>
  <c r="CY983" i="6"/>
  <c r="CY1031" i="6"/>
  <c r="CY992" i="6"/>
  <c r="CY1032" i="6"/>
  <c r="CY1075" i="6"/>
  <c r="CY986" i="6"/>
  <c r="CY978" i="6"/>
  <c r="CY976" i="6"/>
  <c r="CI1179" i="6"/>
  <c r="CI1190" i="6"/>
  <c r="CI1191" i="6"/>
  <c r="CI1185" i="6"/>
  <c r="CI1192" i="6"/>
  <c r="CI1177" i="6"/>
  <c r="CI1167" i="6"/>
  <c r="CI1159" i="6"/>
  <c r="CI1170" i="6"/>
  <c r="CI1162" i="6"/>
  <c r="CI1184" i="6"/>
  <c r="CI1178" i="6"/>
  <c r="CI1176" i="6"/>
  <c r="CI1153" i="6"/>
  <c r="CI1145" i="6"/>
  <c r="CI1169" i="6"/>
  <c r="CI1166" i="6"/>
  <c r="CI1165" i="6"/>
  <c r="CI1148" i="6"/>
  <c r="CI1164" i="6"/>
  <c r="CI1171" i="6"/>
  <c r="CI1160" i="6"/>
  <c r="CI1146" i="6"/>
  <c r="CI1138" i="6"/>
  <c r="CI1141" i="6"/>
  <c r="CI1163" i="6"/>
  <c r="CI1168" i="6"/>
  <c r="CI1161" i="6"/>
  <c r="CI1144" i="6"/>
  <c r="CI1124" i="6"/>
  <c r="CI1112" i="6"/>
  <c r="CI1104" i="6"/>
  <c r="CI1149" i="6"/>
  <c r="CI1143" i="6"/>
  <c r="CI1142" i="6"/>
  <c r="CI1140" i="6"/>
  <c r="CI1127" i="6"/>
  <c r="CI1115" i="6"/>
  <c r="CI1107" i="6"/>
  <c r="CI1099" i="6"/>
  <c r="CI1147" i="6"/>
  <c r="CI1137" i="6"/>
  <c r="CI1125" i="6"/>
  <c r="CI1123" i="6"/>
  <c r="CI1117" i="6"/>
  <c r="CI1116" i="6"/>
  <c r="CI1114" i="6"/>
  <c r="CI1093" i="6"/>
  <c r="CI1150" i="6"/>
  <c r="CI1113" i="6"/>
  <c r="CI1111" i="6"/>
  <c r="CI1110" i="6"/>
  <c r="CI1096" i="6"/>
  <c r="CI1088" i="6"/>
  <c r="CI1085" i="6"/>
  <c r="CI1139" i="6"/>
  <c r="CI1098" i="6"/>
  <c r="CI1084" i="6"/>
  <c r="CI1080" i="6"/>
  <c r="CI1076" i="6"/>
  <c r="CI1072" i="6"/>
  <c r="CI1062" i="6"/>
  <c r="CI1054" i="6"/>
  <c r="CI1046" i="6"/>
  <c r="CI1038" i="6"/>
  <c r="CI1030" i="6"/>
  <c r="CI1022" i="6"/>
  <c r="CI1154" i="6"/>
  <c r="CI1151" i="6"/>
  <c r="CI1100" i="6"/>
  <c r="CI1097" i="6"/>
  <c r="CI1065" i="6"/>
  <c r="CI1057" i="6"/>
  <c r="CI1049" i="6"/>
  <c r="CI1041" i="6"/>
  <c r="CI1033" i="6"/>
  <c r="CI1025" i="6"/>
  <c r="CI1081" i="6"/>
  <c r="CI1059" i="6"/>
  <c r="CI1035" i="6"/>
  <c r="CI1011" i="6"/>
  <c r="CI1003" i="6"/>
  <c r="CI995" i="6"/>
  <c r="CI987" i="6"/>
  <c r="CI1126" i="6"/>
  <c r="CI1108" i="6"/>
  <c r="CI1106" i="6"/>
  <c r="CI1105" i="6"/>
  <c r="CI1074" i="6"/>
  <c r="CI1058" i="6"/>
  <c r="CI1056" i="6"/>
  <c r="CI1034" i="6"/>
  <c r="CI1032" i="6"/>
  <c r="CI1017" i="6"/>
  <c r="CI1006" i="6"/>
  <c r="CI1102" i="6"/>
  <c r="CI1077" i="6"/>
  <c r="CI1075" i="6"/>
  <c r="CI1064" i="6"/>
  <c r="CI1063" i="6"/>
  <c r="CI1050" i="6"/>
  <c r="CI1029" i="6"/>
  <c r="CI1004" i="6"/>
  <c r="CI1002" i="6"/>
  <c r="CI1001" i="6"/>
  <c r="CI996" i="6"/>
  <c r="CI985" i="6"/>
  <c r="CI977" i="6"/>
  <c r="CI1131" i="6"/>
  <c r="CI1083" i="6"/>
  <c r="CI1055" i="6"/>
  <c r="CI1000" i="6"/>
  <c r="CI997" i="6"/>
  <c r="CI991" i="6"/>
  <c r="CI980" i="6"/>
  <c r="CI1060" i="6"/>
  <c r="CI1152" i="6"/>
  <c r="CI1128" i="6"/>
  <c r="CI1051" i="6"/>
  <c r="CI1091" i="6"/>
  <c r="CI1086" i="6"/>
  <c r="CI1045" i="6"/>
  <c r="CI1040" i="6"/>
  <c r="CI1024" i="6"/>
  <c r="CI1021" i="6"/>
  <c r="CI1018" i="6"/>
  <c r="CI1007" i="6"/>
  <c r="CI1129" i="6"/>
  <c r="CI1047" i="6"/>
  <c r="CI1039" i="6"/>
  <c r="CI1037" i="6"/>
  <c r="CI1027" i="6"/>
  <c r="CI1026" i="6"/>
  <c r="CI1023" i="6"/>
  <c r="CI989" i="6"/>
  <c r="CI1109" i="6"/>
  <c r="CI1103" i="6"/>
  <c r="CI1101" i="6"/>
  <c r="CI1061" i="6"/>
  <c r="CI1053" i="6"/>
  <c r="CI1043" i="6"/>
  <c r="CI1028" i="6"/>
  <c r="CI1012" i="6"/>
  <c r="CI1008" i="6"/>
  <c r="CI993" i="6"/>
  <c r="CI1089" i="6"/>
  <c r="CI1071" i="6"/>
  <c r="CI998" i="6"/>
  <c r="CI994" i="6"/>
  <c r="CI988" i="6"/>
  <c r="CI981" i="6"/>
  <c r="CI979" i="6"/>
  <c r="CI961" i="6"/>
  <c r="CI1073" i="6"/>
  <c r="CI975" i="6"/>
  <c r="CI1094" i="6"/>
  <c r="CI1044" i="6"/>
  <c r="CI1031" i="6"/>
  <c r="CI1010" i="6"/>
  <c r="CI978" i="6"/>
  <c r="CI963" i="6"/>
  <c r="CI962" i="6"/>
  <c r="CI1136" i="6"/>
  <c r="CI1118" i="6"/>
  <c r="CI982" i="6"/>
  <c r="CI990" i="6"/>
  <c r="CI984" i="6"/>
  <c r="CI1087" i="6"/>
  <c r="CI1095" i="6"/>
  <c r="CI1092" i="6"/>
  <c r="CI1082" i="6"/>
  <c r="CI1005" i="6"/>
  <c r="CI999" i="6"/>
  <c r="CI976" i="6"/>
  <c r="CI965" i="6"/>
  <c r="CI964" i="6"/>
  <c r="CI1009" i="6"/>
  <c r="CI970" i="6"/>
  <c r="CI1090" i="6"/>
  <c r="CI1048" i="6"/>
  <c r="CI969" i="6"/>
  <c r="CI986" i="6"/>
  <c r="CI1052" i="6"/>
  <c r="CI1078" i="6"/>
  <c r="CI1019" i="6"/>
  <c r="CI1079" i="6"/>
  <c r="CI1036" i="6"/>
  <c r="CI1130" i="6"/>
  <c r="CI1070" i="6"/>
  <c r="CI1020" i="6"/>
  <c r="CI968" i="6"/>
  <c r="CI1042" i="6"/>
  <c r="CI992" i="6"/>
  <c r="CI983" i="6"/>
  <c r="BS1179" i="6"/>
  <c r="BS1192" i="6"/>
  <c r="BS1177" i="6"/>
  <c r="BS1167" i="6"/>
  <c r="BS1159" i="6"/>
  <c r="BS1190" i="6"/>
  <c r="BS1185" i="6"/>
  <c r="BS1170" i="6"/>
  <c r="BS1162" i="6"/>
  <c r="BS1191" i="6"/>
  <c r="BS1160" i="6"/>
  <c r="BS1153" i="6"/>
  <c r="BS1145" i="6"/>
  <c r="BS1148" i="6"/>
  <c r="BS1138" i="6"/>
  <c r="BS1169" i="6"/>
  <c r="BS1164" i="6"/>
  <c r="BS1141" i="6"/>
  <c r="BS1168" i="6"/>
  <c r="BS1154" i="6"/>
  <c r="BS1152" i="6"/>
  <c r="BS1151" i="6"/>
  <c r="BS1124" i="6"/>
  <c r="BS1112" i="6"/>
  <c r="BS1104" i="6"/>
  <c r="BS1171" i="6"/>
  <c r="BS1163" i="6"/>
  <c r="BS1149" i="6"/>
  <c r="BS1127" i="6"/>
  <c r="BS1115" i="6"/>
  <c r="BS1107" i="6"/>
  <c r="BS1099" i="6"/>
  <c r="BS1184" i="6"/>
  <c r="BS1101" i="6"/>
  <c r="BS1100" i="6"/>
  <c r="BS1098" i="6"/>
  <c r="BS1093" i="6"/>
  <c r="BS1178" i="6"/>
  <c r="BS1166" i="6"/>
  <c r="BS1131" i="6"/>
  <c r="BS1130" i="6"/>
  <c r="BS1097" i="6"/>
  <c r="BS1096" i="6"/>
  <c r="BS1088" i="6"/>
  <c r="BS1085" i="6"/>
  <c r="BS1165" i="6"/>
  <c r="BS1139" i="6"/>
  <c r="BS1110" i="6"/>
  <c r="BS1105" i="6"/>
  <c r="BS1094" i="6"/>
  <c r="BS1092" i="6"/>
  <c r="BS1091" i="6"/>
  <c r="BS1080" i="6"/>
  <c r="BS1076" i="6"/>
  <c r="BS1072" i="6"/>
  <c r="BS1062" i="6"/>
  <c r="BS1054" i="6"/>
  <c r="BS1046" i="6"/>
  <c r="BS1038" i="6"/>
  <c r="BS1030" i="6"/>
  <c r="BS1022" i="6"/>
  <c r="BS1140" i="6"/>
  <c r="BS1125" i="6"/>
  <c r="BS1106" i="6"/>
  <c r="BS1090" i="6"/>
  <c r="BS1089" i="6"/>
  <c r="BS1087" i="6"/>
  <c r="BS1065" i="6"/>
  <c r="BS1057" i="6"/>
  <c r="BS1049" i="6"/>
  <c r="BS1041" i="6"/>
  <c r="BS1033" i="6"/>
  <c r="BS1025" i="6"/>
  <c r="BS1161" i="6"/>
  <c r="BS1146" i="6"/>
  <c r="BS1144" i="6"/>
  <c r="BS1136" i="6"/>
  <c r="BS1078" i="6"/>
  <c r="BS1071" i="6"/>
  <c r="BS1047" i="6"/>
  <c r="BS1045" i="6"/>
  <c r="BS1044" i="6"/>
  <c r="BS1026" i="6"/>
  <c r="BS1024" i="6"/>
  <c r="BS1011" i="6"/>
  <c r="BS1003" i="6"/>
  <c r="BS995" i="6"/>
  <c r="BS987" i="6"/>
  <c r="BS1117" i="6"/>
  <c r="BS1108" i="6"/>
  <c r="BS1083" i="6"/>
  <c r="BS1077" i="6"/>
  <c r="BS1043" i="6"/>
  <c r="BS1023" i="6"/>
  <c r="BS1021" i="6"/>
  <c r="BS1020" i="6"/>
  <c r="BS1006" i="6"/>
  <c r="BS1118" i="6"/>
  <c r="BS1113" i="6"/>
  <c r="BS1079" i="6"/>
  <c r="BS1075" i="6"/>
  <c r="BS1074" i="6"/>
  <c r="BS1064" i="6"/>
  <c r="BS1063" i="6"/>
  <c r="BS1058" i="6"/>
  <c r="BS1028" i="6"/>
  <c r="BS998" i="6"/>
  <c r="BS985" i="6"/>
  <c r="BS977" i="6"/>
  <c r="BS1176" i="6"/>
  <c r="BS1147" i="6"/>
  <c r="BS1143" i="6"/>
  <c r="BS1126" i="6"/>
  <c r="BS1059" i="6"/>
  <c r="BS992" i="6"/>
  <c r="BS980" i="6"/>
  <c r="BS1060" i="6"/>
  <c r="BS1050" i="6"/>
  <c r="BS1150" i="6"/>
  <c r="BS1137" i="6"/>
  <c r="BS1081" i="6"/>
  <c r="BS1111" i="6"/>
  <c r="BS1070" i="6"/>
  <c r="BS1029" i="6"/>
  <c r="BS1017" i="6"/>
  <c r="BS1007" i="6"/>
  <c r="BS990" i="6"/>
  <c r="BS981" i="6"/>
  <c r="BS1142" i="6"/>
  <c r="BS1128" i="6"/>
  <c r="BS1102" i="6"/>
  <c r="BS1095" i="6"/>
  <c r="BS1053" i="6"/>
  <c r="BS1042" i="6"/>
  <c r="BS1027" i="6"/>
  <c r="BS994" i="6"/>
  <c r="BS1129" i="6"/>
  <c r="BS1056" i="6"/>
  <c r="BS1012" i="6"/>
  <c r="BS1008" i="6"/>
  <c r="BS1109" i="6"/>
  <c r="BS1073" i="6"/>
  <c r="BS1048" i="6"/>
  <c r="BS1009" i="6"/>
  <c r="BS975" i="6"/>
  <c r="BS969" i="6"/>
  <c r="BS965" i="6"/>
  <c r="BS964" i="6"/>
  <c r="BS1114" i="6"/>
  <c r="BS1082" i="6"/>
  <c r="BS1004" i="6"/>
  <c r="BS979" i="6"/>
  <c r="BS1019" i="6"/>
  <c r="BS999" i="6"/>
  <c r="BS997" i="6"/>
  <c r="BS988" i="6"/>
  <c r="BS986" i="6"/>
  <c r="BS968" i="6"/>
  <c r="BS1116" i="6"/>
  <c r="BS1103" i="6"/>
  <c r="BS1034" i="6"/>
  <c r="BS1037" i="6"/>
  <c r="BS1086" i="6"/>
  <c r="BS1052" i="6"/>
  <c r="BS1036" i="6"/>
  <c r="BS1035" i="6"/>
  <c r="BS1018" i="6"/>
  <c r="BS1000" i="6"/>
  <c r="BS991" i="6"/>
  <c r="BS989" i="6"/>
  <c r="BS983" i="6"/>
  <c r="BS1061" i="6"/>
  <c r="BS1055" i="6"/>
  <c r="BS1084" i="6"/>
  <c r="BS1001" i="6"/>
  <c r="BS1039" i="6"/>
  <c r="BS1002" i="6"/>
  <c r="BS1040" i="6"/>
  <c r="BS984" i="6"/>
  <c r="BS962" i="6"/>
  <c r="BS1031" i="6"/>
  <c r="BS1123" i="6"/>
  <c r="BS1032" i="6"/>
  <c r="BS976" i="6"/>
  <c r="BS996" i="6"/>
  <c r="BS982" i="6"/>
  <c r="BS961" i="6"/>
  <c r="BS1010" i="6"/>
  <c r="BS1005" i="6"/>
  <c r="BS993" i="6"/>
  <c r="BS1051" i="6"/>
  <c r="BS978" i="6"/>
  <c r="BS970" i="6"/>
  <c r="BS963" i="6"/>
  <c r="DF1185" i="6"/>
  <c r="DF1176" i="6"/>
  <c r="DF1192" i="6"/>
  <c r="DF1177" i="6"/>
  <c r="DF1179" i="6"/>
  <c r="DF1169" i="6"/>
  <c r="DF1184" i="6"/>
  <c r="DF1164" i="6"/>
  <c r="DF1167" i="6"/>
  <c r="DF1159" i="6"/>
  <c r="DF1178" i="6"/>
  <c r="DF1170" i="6"/>
  <c r="DF1165" i="6"/>
  <c r="DF1150" i="6"/>
  <c r="DF1190" i="6"/>
  <c r="DF1166" i="6"/>
  <c r="DF1162" i="6"/>
  <c r="DF1153" i="6"/>
  <c r="DF1145" i="6"/>
  <c r="DF1163" i="6"/>
  <c r="DF1161" i="6"/>
  <c r="DF1191" i="6"/>
  <c r="DF1171" i="6"/>
  <c r="DF1143" i="6"/>
  <c r="DF1138" i="6"/>
  <c r="DF1147" i="6"/>
  <c r="DF1142" i="6"/>
  <c r="DF1140" i="6"/>
  <c r="DF1129" i="6"/>
  <c r="DF1117" i="6"/>
  <c r="DF1109" i="6"/>
  <c r="DF1101" i="6"/>
  <c r="DF1152" i="6"/>
  <c r="DF1148" i="6"/>
  <c r="DF1139" i="6"/>
  <c r="DF1137" i="6"/>
  <c r="DF1124" i="6"/>
  <c r="DF1112" i="6"/>
  <c r="DF1104" i="6"/>
  <c r="DF1096" i="6"/>
  <c r="DF1149" i="6"/>
  <c r="DF1113" i="6"/>
  <c r="DF1111" i="6"/>
  <c r="DF1110" i="6"/>
  <c r="DF1107" i="6"/>
  <c r="DF1090" i="6"/>
  <c r="DF1084" i="6"/>
  <c r="DF1108" i="6"/>
  <c r="DF1106" i="6"/>
  <c r="DF1093" i="6"/>
  <c r="DF1123" i="6"/>
  <c r="DF1083" i="6"/>
  <c r="DF1059" i="6"/>
  <c r="DF1051" i="6"/>
  <c r="DF1043" i="6"/>
  <c r="DF1035" i="6"/>
  <c r="DF1027" i="6"/>
  <c r="DF1019" i="6"/>
  <c r="DF1141" i="6"/>
  <c r="DF1130" i="6"/>
  <c r="DF1128" i="6"/>
  <c r="DF1118" i="6"/>
  <c r="DF1105" i="6"/>
  <c r="DF1080" i="6"/>
  <c r="DF1076" i="6"/>
  <c r="DF1072" i="6"/>
  <c r="DF1062" i="6"/>
  <c r="DF1054" i="6"/>
  <c r="DF1046" i="6"/>
  <c r="DF1038" i="6"/>
  <c r="DF1030" i="6"/>
  <c r="DF1022" i="6"/>
  <c r="DF1012" i="6"/>
  <c r="DF1127" i="6"/>
  <c r="DF1126" i="6"/>
  <c r="DF1116" i="6"/>
  <c r="DF1095" i="6"/>
  <c r="DF1094" i="6"/>
  <c r="DF1089" i="6"/>
  <c r="DF1086" i="6"/>
  <c r="DF1074" i="6"/>
  <c r="DF1058" i="6"/>
  <c r="DF1056" i="6"/>
  <c r="DF1034" i="6"/>
  <c r="DF1032" i="6"/>
  <c r="DF1017" i="6"/>
  <c r="DF1008" i="6"/>
  <c r="DF1000" i="6"/>
  <c r="DF992" i="6"/>
  <c r="DF1125" i="6"/>
  <c r="DF1079" i="6"/>
  <c r="DF1073" i="6"/>
  <c r="DF1055" i="6"/>
  <c r="DF1053" i="6"/>
  <c r="DF1052" i="6"/>
  <c r="DF1049" i="6"/>
  <c r="DF1031" i="6"/>
  <c r="DF1029" i="6"/>
  <c r="DF1028" i="6"/>
  <c r="DF1011" i="6"/>
  <c r="DF1003" i="6"/>
  <c r="DF1136" i="6"/>
  <c r="DF1131" i="6"/>
  <c r="DF1115" i="6"/>
  <c r="DF1103" i="6"/>
  <c r="DF1071" i="6"/>
  <c r="DF1057" i="6"/>
  <c r="DF1048" i="6"/>
  <c r="DF1047" i="6"/>
  <c r="DF1036" i="6"/>
  <c r="DF1026" i="6"/>
  <c r="DF1023" i="6"/>
  <c r="DF999" i="6"/>
  <c r="DF993" i="6"/>
  <c r="DF982" i="6"/>
  <c r="DF969" i="6"/>
  <c r="DF1168" i="6"/>
  <c r="DF1151" i="6"/>
  <c r="DF1114" i="6"/>
  <c r="DF1102" i="6"/>
  <c r="DF1097" i="6"/>
  <c r="DF1042" i="6"/>
  <c r="DF994" i="6"/>
  <c r="DF988" i="6"/>
  <c r="DF985" i="6"/>
  <c r="DF977" i="6"/>
  <c r="DF964" i="6"/>
  <c r="DF1160" i="6"/>
  <c r="DF1154" i="6"/>
  <c r="DF1099" i="6"/>
  <c r="DF1078" i="6"/>
  <c r="DF1070" i="6"/>
  <c r="DF1092" i="6"/>
  <c r="DF1039" i="6"/>
  <c r="DF1010" i="6"/>
  <c r="DF1006" i="6"/>
  <c r="DF1001" i="6"/>
  <c r="DF987" i="6"/>
  <c r="DF1077" i="6"/>
  <c r="DF1045" i="6"/>
  <c r="DF996" i="6"/>
  <c r="DF989" i="6"/>
  <c r="DF1091" i="6"/>
  <c r="DF1085" i="6"/>
  <c r="DF1065" i="6"/>
  <c r="DF1002" i="6"/>
  <c r="DF991" i="6"/>
  <c r="DF1146" i="6"/>
  <c r="DF1100" i="6"/>
  <c r="DF1020" i="6"/>
  <c r="DF1004" i="6"/>
  <c r="DF998" i="6"/>
  <c r="DF997" i="6"/>
  <c r="DF983" i="6"/>
  <c r="DF978" i="6"/>
  <c r="DF1098" i="6"/>
  <c r="DF1033" i="6"/>
  <c r="DF1144" i="6"/>
  <c r="DF1081" i="6"/>
  <c r="DF1024" i="6"/>
  <c r="DF1063" i="6"/>
  <c r="DF1018" i="6"/>
  <c r="DF986" i="6"/>
  <c r="DF981" i="6"/>
  <c r="DF979" i="6"/>
  <c r="DF976" i="6"/>
  <c r="DF1005" i="6"/>
  <c r="DF1075" i="6"/>
  <c r="DF1087" i="6"/>
  <c r="DF1061" i="6"/>
  <c r="DF1037" i="6"/>
  <c r="DF1021" i="6"/>
  <c r="DF990" i="6"/>
  <c r="DF970" i="6"/>
  <c r="DF1064" i="6"/>
  <c r="DF1050" i="6"/>
  <c r="DF975" i="6"/>
  <c r="DF1009" i="6"/>
  <c r="DF1007" i="6"/>
  <c r="DF980" i="6"/>
  <c r="DF968" i="6"/>
  <c r="DF961" i="6"/>
  <c r="DF1044" i="6"/>
  <c r="DF984" i="6"/>
  <c r="DF963" i="6"/>
  <c r="DF962" i="6"/>
  <c r="DF1025" i="6"/>
  <c r="DF1040" i="6"/>
  <c r="DF995" i="6"/>
  <c r="DF1088" i="6"/>
  <c r="DF1060" i="6"/>
  <c r="DF1082" i="6"/>
  <c r="DF1041" i="6"/>
  <c r="DF965" i="6"/>
  <c r="CP1185" i="6"/>
  <c r="CP1176" i="6"/>
  <c r="CP1177" i="6"/>
  <c r="CP1184" i="6"/>
  <c r="CP1178" i="6"/>
  <c r="CP1190" i="6"/>
  <c r="CP1179" i="6"/>
  <c r="CP1169" i="6"/>
  <c r="CP1164" i="6"/>
  <c r="CP1167" i="6"/>
  <c r="CP1159" i="6"/>
  <c r="CP1191" i="6"/>
  <c r="CP1168" i="6"/>
  <c r="CP1150" i="6"/>
  <c r="CP1171" i="6"/>
  <c r="CP1153" i="6"/>
  <c r="CP1145" i="6"/>
  <c r="CP1170" i="6"/>
  <c r="CP1192" i="6"/>
  <c r="CP1163" i="6"/>
  <c r="CP1143" i="6"/>
  <c r="CP1162" i="6"/>
  <c r="CP1154" i="6"/>
  <c r="CP1152" i="6"/>
  <c r="CP1151" i="6"/>
  <c r="CP1148" i="6"/>
  <c r="CP1138" i="6"/>
  <c r="CP1147" i="6"/>
  <c r="CP1129" i="6"/>
  <c r="CP1117" i="6"/>
  <c r="CP1109" i="6"/>
  <c r="CP1101" i="6"/>
  <c r="CP1160" i="6"/>
  <c r="CP1136" i="6"/>
  <c r="CP1124" i="6"/>
  <c r="CP1112" i="6"/>
  <c r="CP1104" i="6"/>
  <c r="CP1131" i="6"/>
  <c r="CP1130" i="6"/>
  <c r="CP1097" i="6"/>
  <c r="CP1090" i="6"/>
  <c r="CP1084" i="6"/>
  <c r="CP1144" i="6"/>
  <c r="CP1139" i="6"/>
  <c r="CP1127" i="6"/>
  <c r="CP1093" i="6"/>
  <c r="CP1123" i="6"/>
  <c r="CP1108" i="6"/>
  <c r="CP1103" i="6"/>
  <c r="CP1089" i="6"/>
  <c r="CP1087" i="6"/>
  <c r="CP1059" i="6"/>
  <c r="CP1051" i="6"/>
  <c r="CP1043" i="6"/>
  <c r="CP1035" i="6"/>
  <c r="CP1027" i="6"/>
  <c r="CP1019" i="6"/>
  <c r="CP1149" i="6"/>
  <c r="CP1142" i="6"/>
  <c r="CP1128" i="6"/>
  <c r="CP1118" i="6"/>
  <c r="CP1113" i="6"/>
  <c r="CP1086" i="6"/>
  <c r="CP1085" i="6"/>
  <c r="CP1080" i="6"/>
  <c r="CP1076" i="6"/>
  <c r="CP1072" i="6"/>
  <c r="CP1062" i="6"/>
  <c r="CP1054" i="6"/>
  <c r="CP1046" i="6"/>
  <c r="CP1038" i="6"/>
  <c r="CP1030" i="6"/>
  <c r="CP1022" i="6"/>
  <c r="CP1012" i="6"/>
  <c r="CP1140" i="6"/>
  <c r="CP1088" i="6"/>
  <c r="CP1083" i="6"/>
  <c r="CP1077" i="6"/>
  <c r="CP1065" i="6"/>
  <c r="CP1041" i="6"/>
  <c r="CP1023" i="6"/>
  <c r="CP1021" i="6"/>
  <c r="CP1020" i="6"/>
  <c r="CP1008" i="6"/>
  <c r="CP1000" i="6"/>
  <c r="CP992" i="6"/>
  <c r="CP1111" i="6"/>
  <c r="CP1110" i="6"/>
  <c r="CP1092" i="6"/>
  <c r="CP1091" i="6"/>
  <c r="CP1070" i="6"/>
  <c r="CP1064" i="6"/>
  <c r="CP1042" i="6"/>
  <c r="CP1040" i="6"/>
  <c r="CP1011" i="6"/>
  <c r="CP1003" i="6"/>
  <c r="CP1165" i="6"/>
  <c r="CP1146" i="6"/>
  <c r="CP1099" i="6"/>
  <c r="CP1057" i="6"/>
  <c r="CP1052" i="6"/>
  <c r="CP1036" i="6"/>
  <c r="CP995" i="6"/>
  <c r="CP989" i="6"/>
  <c r="CP982" i="6"/>
  <c r="CP969" i="6"/>
  <c r="CP1106" i="6"/>
  <c r="CP1045" i="6"/>
  <c r="CP1044" i="6"/>
  <c r="CP1031" i="6"/>
  <c r="CP1025" i="6"/>
  <c r="CP1024" i="6"/>
  <c r="CP1010" i="6"/>
  <c r="CP1009" i="6"/>
  <c r="CP1006" i="6"/>
  <c r="CP990" i="6"/>
  <c r="CP985" i="6"/>
  <c r="CP977" i="6"/>
  <c r="CP964" i="6"/>
  <c r="CP1071" i="6"/>
  <c r="CP1141" i="6"/>
  <c r="CP1126" i="6"/>
  <c r="CP1073" i="6"/>
  <c r="CP1053" i="6"/>
  <c r="CP1048" i="6"/>
  <c r="CP1047" i="6"/>
  <c r="CP1125" i="6"/>
  <c r="CP1061" i="6"/>
  <c r="CP1055" i="6"/>
  <c r="CP1001" i="6"/>
  <c r="CP988" i="6"/>
  <c r="CP1116" i="6"/>
  <c r="CP1107" i="6"/>
  <c r="CP1098" i="6"/>
  <c r="CP1095" i="6"/>
  <c r="CP1081" i="6"/>
  <c r="CP1078" i="6"/>
  <c r="CP1075" i="6"/>
  <c r="CP1063" i="6"/>
  <c r="CP1032" i="6"/>
  <c r="CP998" i="6"/>
  <c r="CP1105" i="6"/>
  <c r="CP1094" i="6"/>
  <c r="CP1033" i="6"/>
  <c r="CP1002" i="6"/>
  <c r="CP1115" i="6"/>
  <c r="CP1082" i="6"/>
  <c r="CP1056" i="6"/>
  <c r="CP1005" i="6"/>
  <c r="CP991" i="6"/>
  <c r="CP984" i="6"/>
  <c r="CP968" i="6"/>
  <c r="CP983" i="6"/>
  <c r="CP994" i="6"/>
  <c r="CP965" i="6"/>
  <c r="CP1037" i="6"/>
  <c r="CP1166" i="6"/>
  <c r="CP1137" i="6"/>
  <c r="CP1114" i="6"/>
  <c r="CP1102" i="6"/>
  <c r="CP1060" i="6"/>
  <c r="CP1039" i="6"/>
  <c r="CP1007" i="6"/>
  <c r="CP999" i="6"/>
  <c r="CP1026" i="6"/>
  <c r="CP963" i="6"/>
  <c r="CP979" i="6"/>
  <c r="CP987" i="6"/>
  <c r="CP986" i="6"/>
  <c r="CP961" i="6"/>
  <c r="CP1100" i="6"/>
  <c r="CP1079" i="6"/>
  <c r="CP962" i="6"/>
  <c r="CP1018" i="6"/>
  <c r="CP981" i="6"/>
  <c r="CP978" i="6"/>
  <c r="CP1058" i="6"/>
  <c r="CP1096" i="6"/>
  <c r="CP1049" i="6"/>
  <c r="CP1029" i="6"/>
  <c r="CP975" i="6"/>
  <c r="CP1050" i="6"/>
  <c r="CP997" i="6"/>
  <c r="CP996" i="6"/>
  <c r="CP993" i="6"/>
  <c r="CP980" i="6"/>
  <c r="CP1028" i="6"/>
  <c r="CP1034" i="6"/>
  <c r="CP1017" i="6"/>
  <c r="CP1161" i="6"/>
  <c r="CP970" i="6"/>
  <c r="CP1074" i="6"/>
  <c r="CP1004" i="6"/>
  <c r="CP976" i="6"/>
  <c r="CH1185" i="6"/>
  <c r="CH1176" i="6"/>
  <c r="CH1184" i="6"/>
  <c r="CH1178" i="6"/>
  <c r="CH1190" i="6"/>
  <c r="CH1179" i="6"/>
  <c r="CH1191" i="6"/>
  <c r="CH1169" i="6"/>
  <c r="CH1164" i="6"/>
  <c r="CH1192" i="6"/>
  <c r="CH1177" i="6"/>
  <c r="CH1167" i="6"/>
  <c r="CH1159" i="6"/>
  <c r="CH1150" i="6"/>
  <c r="CH1153" i="6"/>
  <c r="CH1145" i="6"/>
  <c r="CH1166" i="6"/>
  <c r="CH1165" i="6"/>
  <c r="CH1149" i="6"/>
  <c r="CH1147" i="6"/>
  <c r="CH1143" i="6"/>
  <c r="CH1171" i="6"/>
  <c r="CH1160" i="6"/>
  <c r="CH1146" i="6"/>
  <c r="CH1138" i="6"/>
  <c r="CH1154" i="6"/>
  <c r="CH1136" i="6"/>
  <c r="CH1129" i="6"/>
  <c r="CH1117" i="6"/>
  <c r="CH1109" i="6"/>
  <c r="CH1101" i="6"/>
  <c r="CH1168" i="6"/>
  <c r="CH1161" i="6"/>
  <c r="CH1144" i="6"/>
  <c r="CH1141" i="6"/>
  <c r="CH1124" i="6"/>
  <c r="CH1112" i="6"/>
  <c r="CH1104" i="6"/>
  <c r="CH1128" i="6"/>
  <c r="CH1126" i="6"/>
  <c r="CH1118" i="6"/>
  <c r="CH1115" i="6"/>
  <c r="CH1090" i="6"/>
  <c r="CH1084" i="6"/>
  <c r="CH1163" i="6"/>
  <c r="CH1137" i="6"/>
  <c r="CH1125" i="6"/>
  <c r="CH1123" i="6"/>
  <c r="CH1116" i="6"/>
  <c r="CH1114" i="6"/>
  <c r="CH1093" i="6"/>
  <c r="CH1152" i="6"/>
  <c r="CH1131" i="6"/>
  <c r="CH1106" i="6"/>
  <c r="CH1059" i="6"/>
  <c r="CH1051" i="6"/>
  <c r="CH1043" i="6"/>
  <c r="CH1035" i="6"/>
  <c r="CH1027" i="6"/>
  <c r="CH1019" i="6"/>
  <c r="CH1139" i="6"/>
  <c r="CH1111" i="6"/>
  <c r="CH1107" i="6"/>
  <c r="CH1099" i="6"/>
  <c r="CH1098" i="6"/>
  <c r="CH1080" i="6"/>
  <c r="CH1076" i="6"/>
  <c r="CH1072" i="6"/>
  <c r="CH1062" i="6"/>
  <c r="CH1054" i="6"/>
  <c r="CH1046" i="6"/>
  <c r="CH1038" i="6"/>
  <c r="CH1030" i="6"/>
  <c r="CH1022" i="6"/>
  <c r="CH1012" i="6"/>
  <c r="CH1082" i="6"/>
  <c r="CH1075" i="6"/>
  <c r="CH1063" i="6"/>
  <c r="CH1061" i="6"/>
  <c r="CH1060" i="6"/>
  <c r="CH1039" i="6"/>
  <c r="CH1037" i="6"/>
  <c r="CH1036" i="6"/>
  <c r="CH1018" i="6"/>
  <c r="CH1008" i="6"/>
  <c r="CH1000" i="6"/>
  <c r="CH992" i="6"/>
  <c r="CH1170" i="6"/>
  <c r="CH1151" i="6"/>
  <c r="CH1081" i="6"/>
  <c r="CH1057" i="6"/>
  <c r="CH1033" i="6"/>
  <c r="CH1011" i="6"/>
  <c r="CH1003" i="6"/>
  <c r="CH1162" i="6"/>
  <c r="CH1103" i="6"/>
  <c r="CH1096" i="6"/>
  <c r="CH1078" i="6"/>
  <c r="CH1070" i="6"/>
  <c r="CH1007" i="6"/>
  <c r="CH1005" i="6"/>
  <c r="CH990" i="6"/>
  <c r="CH982" i="6"/>
  <c r="CH969" i="6"/>
  <c r="CH1102" i="6"/>
  <c r="CH1097" i="6"/>
  <c r="CH1077" i="6"/>
  <c r="CH1065" i="6"/>
  <c r="CH1064" i="6"/>
  <c r="CH1050" i="6"/>
  <c r="CH1029" i="6"/>
  <c r="CH1004" i="6"/>
  <c r="CH1002" i="6"/>
  <c r="CH1001" i="6"/>
  <c r="CH996" i="6"/>
  <c r="CH985" i="6"/>
  <c r="CH977" i="6"/>
  <c r="CH964" i="6"/>
  <c r="CH1127" i="6"/>
  <c r="CH1083" i="6"/>
  <c r="CH1055" i="6"/>
  <c r="CH1100" i="6"/>
  <c r="CH1058" i="6"/>
  <c r="CH1020" i="6"/>
  <c r="CH994" i="6"/>
  <c r="CH1091" i="6"/>
  <c r="CH1086" i="6"/>
  <c r="CH1085" i="6"/>
  <c r="CH1045" i="6"/>
  <c r="CH1041" i="6"/>
  <c r="CH1040" i="6"/>
  <c r="CH1025" i="6"/>
  <c r="CH1024" i="6"/>
  <c r="CH1021" i="6"/>
  <c r="CH1017" i="6"/>
  <c r="CH991" i="6"/>
  <c r="CH1074" i="6"/>
  <c r="CH1047" i="6"/>
  <c r="CH1026" i="6"/>
  <c r="CH1023" i="6"/>
  <c r="CH1140" i="6"/>
  <c r="CH1130" i="6"/>
  <c r="CH1108" i="6"/>
  <c r="CH1049" i="6"/>
  <c r="CH1034" i="6"/>
  <c r="CH1006" i="6"/>
  <c r="CH983" i="6"/>
  <c r="CH1053" i="6"/>
  <c r="CH989" i="6"/>
  <c r="CH976" i="6"/>
  <c r="CH980" i="6"/>
  <c r="CH1148" i="6"/>
  <c r="CH1089" i="6"/>
  <c r="CH1071" i="6"/>
  <c r="CH1056" i="6"/>
  <c r="CH998" i="6"/>
  <c r="CH997" i="6"/>
  <c r="CH988" i="6"/>
  <c r="CH981" i="6"/>
  <c r="CH979" i="6"/>
  <c r="CH961" i="6"/>
  <c r="CH1095" i="6"/>
  <c r="CH1092" i="6"/>
  <c r="CH1073" i="6"/>
  <c r="CH1105" i="6"/>
  <c r="CH1088" i="6"/>
  <c r="CH1044" i="6"/>
  <c r="CH1032" i="6"/>
  <c r="CH1031" i="6"/>
  <c r="CH1010" i="6"/>
  <c r="CH995" i="6"/>
  <c r="CH978" i="6"/>
  <c r="CH963" i="6"/>
  <c r="CH962" i="6"/>
  <c r="CH999" i="6"/>
  <c r="CH965" i="6"/>
  <c r="CH1142" i="6"/>
  <c r="CH1009" i="6"/>
  <c r="CH970" i="6"/>
  <c r="CH1113" i="6"/>
  <c r="CH1048" i="6"/>
  <c r="CH1052" i="6"/>
  <c r="CH984" i="6"/>
  <c r="CH1087" i="6"/>
  <c r="CH986" i="6"/>
  <c r="CH975" i="6"/>
  <c r="CH993" i="6"/>
  <c r="CH968" i="6"/>
  <c r="CH987" i="6"/>
  <c r="CH1110" i="6"/>
  <c r="CH1079" i="6"/>
  <c r="CH1042" i="6"/>
  <c r="CH1028" i="6"/>
  <c r="CH1094" i="6"/>
  <c r="BZ1185" i="6"/>
  <c r="BZ1176" i="6"/>
  <c r="BZ1190" i="6"/>
  <c r="BZ1179" i="6"/>
  <c r="BZ1191" i="6"/>
  <c r="BZ1192" i="6"/>
  <c r="BZ1169" i="6"/>
  <c r="BZ1178" i="6"/>
  <c r="BZ1164" i="6"/>
  <c r="BZ1167" i="6"/>
  <c r="BZ1159" i="6"/>
  <c r="BZ1177" i="6"/>
  <c r="BZ1166" i="6"/>
  <c r="BZ1165" i="6"/>
  <c r="BZ1150" i="6"/>
  <c r="BZ1162" i="6"/>
  <c r="BZ1153" i="6"/>
  <c r="BZ1145" i="6"/>
  <c r="BZ1184" i="6"/>
  <c r="BZ1168" i="6"/>
  <c r="BZ1163" i="6"/>
  <c r="BZ1161" i="6"/>
  <c r="BZ1170" i="6"/>
  <c r="BZ1143" i="6"/>
  <c r="BZ1138" i="6"/>
  <c r="BZ1152" i="6"/>
  <c r="BZ1142" i="6"/>
  <c r="BZ1140" i="6"/>
  <c r="BZ1129" i="6"/>
  <c r="BZ1117" i="6"/>
  <c r="BZ1109" i="6"/>
  <c r="BZ1101" i="6"/>
  <c r="BZ1146" i="6"/>
  <c r="BZ1139" i="6"/>
  <c r="BZ1137" i="6"/>
  <c r="BZ1124" i="6"/>
  <c r="BZ1112" i="6"/>
  <c r="BZ1104" i="6"/>
  <c r="BZ1113" i="6"/>
  <c r="BZ1111" i="6"/>
  <c r="BZ1110" i="6"/>
  <c r="BZ1107" i="6"/>
  <c r="BZ1090" i="6"/>
  <c r="BZ1084" i="6"/>
  <c r="BZ1154" i="6"/>
  <c r="BZ1108" i="6"/>
  <c r="BZ1106" i="6"/>
  <c r="BZ1093" i="6"/>
  <c r="BZ1147" i="6"/>
  <c r="BZ1127" i="6"/>
  <c r="BZ1116" i="6"/>
  <c r="BZ1103" i="6"/>
  <c r="BZ1059" i="6"/>
  <c r="BZ1051" i="6"/>
  <c r="BZ1043" i="6"/>
  <c r="BZ1035" i="6"/>
  <c r="BZ1027" i="6"/>
  <c r="BZ1019" i="6"/>
  <c r="BZ1096" i="6"/>
  <c r="BZ1080" i="6"/>
  <c r="BZ1076" i="6"/>
  <c r="BZ1072" i="6"/>
  <c r="BZ1062" i="6"/>
  <c r="BZ1054" i="6"/>
  <c r="BZ1046" i="6"/>
  <c r="BZ1038" i="6"/>
  <c r="BZ1030" i="6"/>
  <c r="BZ1022" i="6"/>
  <c r="BZ1012" i="6"/>
  <c r="BZ1160" i="6"/>
  <c r="BZ1149" i="6"/>
  <c r="BZ1131" i="6"/>
  <c r="BZ1097" i="6"/>
  <c r="BZ1088" i="6"/>
  <c r="BZ1085" i="6"/>
  <c r="BZ1074" i="6"/>
  <c r="BZ1058" i="6"/>
  <c r="BZ1056" i="6"/>
  <c r="BZ1034" i="6"/>
  <c r="BZ1032" i="6"/>
  <c r="BZ1017" i="6"/>
  <c r="BZ1008" i="6"/>
  <c r="BZ1000" i="6"/>
  <c r="BZ992" i="6"/>
  <c r="BZ1092" i="6"/>
  <c r="BZ1091" i="6"/>
  <c r="BZ1087" i="6"/>
  <c r="BZ1079" i="6"/>
  <c r="BZ1073" i="6"/>
  <c r="BZ1055" i="6"/>
  <c r="BZ1053" i="6"/>
  <c r="BZ1052" i="6"/>
  <c r="BZ1049" i="6"/>
  <c r="BZ1031" i="6"/>
  <c r="BZ1029" i="6"/>
  <c r="BZ1028" i="6"/>
  <c r="BZ1011" i="6"/>
  <c r="BZ1003" i="6"/>
  <c r="BZ1126" i="6"/>
  <c r="BZ1098" i="6"/>
  <c r="BZ1082" i="6"/>
  <c r="BZ1041" i="6"/>
  <c r="BZ1040" i="6"/>
  <c r="BZ1039" i="6"/>
  <c r="BZ1020" i="6"/>
  <c r="BZ1018" i="6"/>
  <c r="BZ996" i="6"/>
  <c r="BZ982" i="6"/>
  <c r="BZ969" i="6"/>
  <c r="BZ1100" i="6"/>
  <c r="BZ1095" i="6"/>
  <c r="BZ1094" i="6"/>
  <c r="BZ1089" i="6"/>
  <c r="BZ1086" i="6"/>
  <c r="BZ1061" i="6"/>
  <c r="BZ1045" i="6"/>
  <c r="BZ1044" i="6"/>
  <c r="BZ1025" i="6"/>
  <c r="BZ1024" i="6"/>
  <c r="BZ1021" i="6"/>
  <c r="BZ997" i="6"/>
  <c r="BZ991" i="6"/>
  <c r="BZ985" i="6"/>
  <c r="BZ977" i="6"/>
  <c r="BZ964" i="6"/>
  <c r="BZ1048" i="6"/>
  <c r="BZ1047" i="6"/>
  <c r="BZ1144" i="6"/>
  <c r="BZ1136" i="6"/>
  <c r="BZ1115" i="6"/>
  <c r="BZ1071" i="6"/>
  <c r="BZ1057" i="6"/>
  <c r="BZ1148" i="6"/>
  <c r="BZ1128" i="6"/>
  <c r="BZ1118" i="6"/>
  <c r="BZ1081" i="6"/>
  <c r="BZ1075" i="6"/>
  <c r="BZ1063" i="6"/>
  <c r="BZ1050" i="6"/>
  <c r="BZ1009" i="6"/>
  <c r="BZ1004" i="6"/>
  <c r="BZ993" i="6"/>
  <c r="BZ1171" i="6"/>
  <c r="BZ1005" i="6"/>
  <c r="BZ999" i="6"/>
  <c r="BZ1151" i="6"/>
  <c r="BZ1114" i="6"/>
  <c r="BZ1083" i="6"/>
  <c r="BZ1060" i="6"/>
  <c r="BZ1036" i="6"/>
  <c r="BZ1033" i="6"/>
  <c r="BZ1010" i="6"/>
  <c r="BZ1006" i="6"/>
  <c r="BZ1001" i="6"/>
  <c r="BZ995" i="6"/>
  <c r="BZ1078" i="6"/>
  <c r="BZ1007" i="6"/>
  <c r="BZ989" i="6"/>
  <c r="BZ978" i="6"/>
  <c r="BZ961" i="6"/>
  <c r="BZ1141" i="6"/>
  <c r="BZ994" i="6"/>
  <c r="BZ1125" i="6"/>
  <c r="BZ1070" i="6"/>
  <c r="BZ1064" i="6"/>
  <c r="BZ1042" i="6"/>
  <c r="BZ980" i="6"/>
  <c r="BZ976" i="6"/>
  <c r="BZ963" i="6"/>
  <c r="BZ962" i="6"/>
  <c r="BZ1023" i="6"/>
  <c r="BZ998" i="6"/>
  <c r="BZ986" i="6"/>
  <c r="BZ1099" i="6"/>
  <c r="BZ1130" i="6"/>
  <c r="BZ1102" i="6"/>
  <c r="BZ1037" i="6"/>
  <c r="BZ1002" i="6"/>
  <c r="BZ984" i="6"/>
  <c r="BZ970" i="6"/>
  <c r="BZ965" i="6"/>
  <c r="BZ1123" i="6"/>
  <c r="BZ987" i="6"/>
  <c r="BZ975" i="6"/>
  <c r="BZ1105" i="6"/>
  <c r="BZ968" i="6"/>
  <c r="BZ1065" i="6"/>
  <c r="BZ1077" i="6"/>
  <c r="BZ1026" i="6"/>
  <c r="BZ988" i="6"/>
  <c r="BZ990" i="6"/>
  <c r="BZ981" i="6"/>
  <c r="BZ979" i="6"/>
  <c r="BZ983" i="6"/>
  <c r="DE1191" i="6"/>
  <c r="DE1192" i="6"/>
  <c r="DE1176" i="6"/>
  <c r="DE1166" i="6"/>
  <c r="DE1179" i="6"/>
  <c r="DE1169" i="6"/>
  <c r="DE1161" i="6"/>
  <c r="DE1184" i="6"/>
  <c r="DE1164" i="6"/>
  <c r="DE1171" i="6"/>
  <c r="DE1147" i="6"/>
  <c r="DE1178" i="6"/>
  <c r="DE1170" i="6"/>
  <c r="DE1165" i="6"/>
  <c r="DE1150" i="6"/>
  <c r="DE1190" i="6"/>
  <c r="DE1162" i="6"/>
  <c r="DE1167" i="6"/>
  <c r="DE1163" i="6"/>
  <c r="DE1159" i="6"/>
  <c r="DE1146" i="6"/>
  <c r="DE1144" i="6"/>
  <c r="DE1140" i="6"/>
  <c r="DE1177" i="6"/>
  <c r="DE1143" i="6"/>
  <c r="DE1141" i="6"/>
  <c r="DE1126" i="6"/>
  <c r="DE1114" i="6"/>
  <c r="DE1106" i="6"/>
  <c r="DE1098" i="6"/>
  <c r="DE1142" i="6"/>
  <c r="DE1138" i="6"/>
  <c r="DE1129" i="6"/>
  <c r="DE1117" i="6"/>
  <c r="DE1109" i="6"/>
  <c r="DE1101" i="6"/>
  <c r="DE1160" i="6"/>
  <c r="DE1139" i="6"/>
  <c r="DE1125" i="6"/>
  <c r="DE1123" i="6"/>
  <c r="DE1116" i="6"/>
  <c r="DE1112" i="6"/>
  <c r="DE1095" i="6"/>
  <c r="DE1087" i="6"/>
  <c r="DE1149" i="6"/>
  <c r="DE1113" i="6"/>
  <c r="DE1111" i="6"/>
  <c r="DE1110" i="6"/>
  <c r="DE1107" i="6"/>
  <c r="DE1090" i="6"/>
  <c r="DE1084" i="6"/>
  <c r="DE1104" i="6"/>
  <c r="DE1079" i="6"/>
  <c r="DE1075" i="6"/>
  <c r="DE1071" i="6"/>
  <c r="DE1064" i="6"/>
  <c r="DE1056" i="6"/>
  <c r="DE1048" i="6"/>
  <c r="DE1040" i="6"/>
  <c r="DE1032" i="6"/>
  <c r="DE1024" i="6"/>
  <c r="DE1153" i="6"/>
  <c r="DE1152" i="6"/>
  <c r="DE1083" i="6"/>
  <c r="DE1059" i="6"/>
  <c r="DE1051" i="6"/>
  <c r="DE1043" i="6"/>
  <c r="DE1035" i="6"/>
  <c r="DE1027" i="6"/>
  <c r="DE1019" i="6"/>
  <c r="DE1185" i="6"/>
  <c r="DE1124" i="6"/>
  <c r="DE1093" i="6"/>
  <c r="DE1092" i="6"/>
  <c r="DE1091" i="6"/>
  <c r="DE1081" i="6"/>
  <c r="DE1080" i="6"/>
  <c r="DE1057" i="6"/>
  <c r="DE1033" i="6"/>
  <c r="DE1005" i="6"/>
  <c r="DE997" i="6"/>
  <c r="DE989" i="6"/>
  <c r="DE1127" i="6"/>
  <c r="DE1108" i="6"/>
  <c r="DE1094" i="6"/>
  <c r="DE1089" i="6"/>
  <c r="DE1086" i="6"/>
  <c r="DE1074" i="6"/>
  <c r="DE1058" i="6"/>
  <c r="DE1054" i="6"/>
  <c r="DE1034" i="6"/>
  <c r="DE1030" i="6"/>
  <c r="DE1017" i="6"/>
  <c r="DE1008" i="6"/>
  <c r="DE1000" i="6"/>
  <c r="DE1100" i="6"/>
  <c r="DE1072" i="6"/>
  <c r="DE1061" i="6"/>
  <c r="DE1046" i="6"/>
  <c r="DE1045" i="6"/>
  <c r="DE1044" i="6"/>
  <c r="DE1031" i="6"/>
  <c r="DE1025" i="6"/>
  <c r="DE1021" i="6"/>
  <c r="DE1004" i="6"/>
  <c r="DE1002" i="6"/>
  <c r="DE1001" i="6"/>
  <c r="DE987" i="6"/>
  <c r="DE979" i="6"/>
  <c r="DE976" i="6"/>
  <c r="DE1148" i="6"/>
  <c r="DE1145" i="6"/>
  <c r="DE1136" i="6"/>
  <c r="DE1131" i="6"/>
  <c r="DE1115" i="6"/>
  <c r="DE1103" i="6"/>
  <c r="DE1073" i="6"/>
  <c r="DE1062" i="6"/>
  <c r="DE1053" i="6"/>
  <c r="DE1047" i="6"/>
  <c r="DE1036" i="6"/>
  <c r="DE1026" i="6"/>
  <c r="DE1023" i="6"/>
  <c r="DE999" i="6"/>
  <c r="DE993" i="6"/>
  <c r="DE982" i="6"/>
  <c r="DE969" i="6"/>
  <c r="DE1097" i="6"/>
  <c r="DE1049" i="6"/>
  <c r="DE1168" i="6"/>
  <c r="DE1151" i="6"/>
  <c r="DE1137" i="6"/>
  <c r="DE1128" i="6"/>
  <c r="DE1102" i="6"/>
  <c r="DE1118" i="6"/>
  <c r="DE1105" i="6"/>
  <c r="DE1099" i="6"/>
  <c r="DE1096" i="6"/>
  <c r="DE1082" i="6"/>
  <c r="DE1041" i="6"/>
  <c r="DE1038" i="6"/>
  <c r="DE1029" i="6"/>
  <c r="DE1028" i="6"/>
  <c r="DE1018" i="6"/>
  <c r="DE998" i="6"/>
  <c r="DE994" i="6"/>
  <c r="DE1042" i="6"/>
  <c r="DE1039" i="6"/>
  <c r="DE1011" i="6"/>
  <c r="DE1010" i="6"/>
  <c r="DE1006" i="6"/>
  <c r="DE1154" i="6"/>
  <c r="DE1077" i="6"/>
  <c r="DE1070" i="6"/>
  <c r="DE1055" i="6"/>
  <c r="DE996" i="6"/>
  <c r="DE1078" i="6"/>
  <c r="DE1060" i="6"/>
  <c r="DE995" i="6"/>
  <c r="DE977" i="6"/>
  <c r="DE1022" i="6"/>
  <c r="DE975" i="6"/>
  <c r="DE1085" i="6"/>
  <c r="DE1020" i="6"/>
  <c r="DE983" i="6"/>
  <c r="DE978" i="6"/>
  <c r="DE1037" i="6"/>
  <c r="DE1050" i="6"/>
  <c r="DE1003" i="6"/>
  <c r="DE1130" i="6"/>
  <c r="DE1063" i="6"/>
  <c r="DE991" i="6"/>
  <c r="DE986" i="6"/>
  <c r="DE985" i="6"/>
  <c r="DE981" i="6"/>
  <c r="DE1052" i="6"/>
  <c r="DE990" i="6"/>
  <c r="DE988" i="6"/>
  <c r="DE970" i="6"/>
  <c r="DE1065" i="6"/>
  <c r="DE965" i="6"/>
  <c r="DE962" i="6"/>
  <c r="DE992" i="6"/>
  <c r="DE984" i="6"/>
  <c r="DE963" i="6"/>
  <c r="DE1076" i="6"/>
  <c r="DE968" i="6"/>
  <c r="DE964" i="6"/>
  <c r="DE1088" i="6"/>
  <c r="DE1012" i="6"/>
  <c r="DE1009" i="6"/>
  <c r="DE1007" i="6"/>
  <c r="DE961" i="6"/>
  <c r="DE980" i="6"/>
  <c r="CW1191" i="6"/>
  <c r="CW1176" i="6"/>
  <c r="CW1177" i="6"/>
  <c r="CW1185" i="6"/>
  <c r="CW1190" i="6"/>
  <c r="CW1169" i="6"/>
  <c r="CW1161" i="6"/>
  <c r="CW1164" i="6"/>
  <c r="CW1192" i="6"/>
  <c r="CW1179" i="6"/>
  <c r="CW1162" i="6"/>
  <c r="CW1147" i="6"/>
  <c r="CW1163" i="6"/>
  <c r="CW1159" i="6"/>
  <c r="CW1150" i="6"/>
  <c r="CW1184" i="6"/>
  <c r="CW1178" i="6"/>
  <c r="CW1160" i="6"/>
  <c r="CW1170" i="6"/>
  <c r="CW1140" i="6"/>
  <c r="CW1166" i="6"/>
  <c r="CW1143" i="6"/>
  <c r="CW1167" i="6"/>
  <c r="CW1165" i="6"/>
  <c r="CW1171" i="6"/>
  <c r="CW1154" i="6"/>
  <c r="CW1144" i="6"/>
  <c r="CW1139" i="6"/>
  <c r="CW1137" i="6"/>
  <c r="CW1126" i="6"/>
  <c r="CW1114" i="6"/>
  <c r="CW1106" i="6"/>
  <c r="CW1098" i="6"/>
  <c r="CW1153" i="6"/>
  <c r="CW1149" i="6"/>
  <c r="CW1145" i="6"/>
  <c r="CW1129" i="6"/>
  <c r="CW1117" i="6"/>
  <c r="CW1109" i="6"/>
  <c r="CW1101" i="6"/>
  <c r="CW1141" i="6"/>
  <c r="CW1108" i="6"/>
  <c r="CW1104" i="6"/>
  <c r="CW1095" i="6"/>
  <c r="CW1087" i="6"/>
  <c r="CW1152" i="6"/>
  <c r="CW1146" i="6"/>
  <c r="CW1105" i="6"/>
  <c r="CW1103" i="6"/>
  <c r="CW1102" i="6"/>
  <c r="CW1099" i="6"/>
  <c r="CW1090" i="6"/>
  <c r="CW1084" i="6"/>
  <c r="CW1148" i="6"/>
  <c r="CW1115" i="6"/>
  <c r="CW1110" i="6"/>
  <c r="CW1096" i="6"/>
  <c r="CW1083" i="6"/>
  <c r="CW1079" i="6"/>
  <c r="CW1075" i="6"/>
  <c r="CW1071" i="6"/>
  <c r="CW1064" i="6"/>
  <c r="CW1056" i="6"/>
  <c r="CW1048" i="6"/>
  <c r="CW1040" i="6"/>
  <c r="CW1032" i="6"/>
  <c r="CW1024" i="6"/>
  <c r="CW1168" i="6"/>
  <c r="CW1138" i="6"/>
  <c r="CW1125" i="6"/>
  <c r="CW1100" i="6"/>
  <c r="CW1097" i="6"/>
  <c r="CW1093" i="6"/>
  <c r="CW1059" i="6"/>
  <c r="CW1051" i="6"/>
  <c r="CW1043" i="6"/>
  <c r="CW1035" i="6"/>
  <c r="CW1027" i="6"/>
  <c r="CW1019" i="6"/>
  <c r="CW1073" i="6"/>
  <c r="CW1072" i="6"/>
  <c r="CW1055" i="6"/>
  <c r="CW1053" i="6"/>
  <c r="CW1052" i="6"/>
  <c r="CW1049" i="6"/>
  <c r="CW1031" i="6"/>
  <c r="CW1029" i="6"/>
  <c r="CW1028" i="6"/>
  <c r="CW1005" i="6"/>
  <c r="CW997" i="6"/>
  <c r="CW989" i="6"/>
  <c r="CW1113" i="6"/>
  <c r="CW1050" i="6"/>
  <c r="CW1046" i="6"/>
  <c r="CW1025" i="6"/>
  <c r="CW1008" i="6"/>
  <c r="CW1000" i="6"/>
  <c r="CW1142" i="6"/>
  <c r="CW1130" i="6"/>
  <c r="CW1118" i="6"/>
  <c r="CW1112" i="6"/>
  <c r="CW1094" i="6"/>
  <c r="CW1089" i="6"/>
  <c r="CW1086" i="6"/>
  <c r="CW1080" i="6"/>
  <c r="CW1077" i="6"/>
  <c r="CW1074" i="6"/>
  <c r="CW1065" i="6"/>
  <c r="CW1063" i="6"/>
  <c r="CW1058" i="6"/>
  <c r="CW1054" i="6"/>
  <c r="CW1038" i="6"/>
  <c r="CW1033" i="6"/>
  <c r="CW999" i="6"/>
  <c r="CW993" i="6"/>
  <c r="CW979" i="6"/>
  <c r="CW976" i="6"/>
  <c r="CW1116" i="6"/>
  <c r="CW994" i="6"/>
  <c r="CW988" i="6"/>
  <c r="CW982" i="6"/>
  <c r="CW969" i="6"/>
  <c r="CW1081" i="6"/>
  <c r="CW1060" i="6"/>
  <c r="CW1136" i="6"/>
  <c r="CW1123" i="6"/>
  <c r="CW1088" i="6"/>
  <c r="CW1034" i="6"/>
  <c r="CW1007" i="6"/>
  <c r="CW1003" i="6"/>
  <c r="CW991" i="6"/>
  <c r="CW984" i="6"/>
  <c r="CW983" i="6"/>
  <c r="CW1151" i="6"/>
  <c r="CW1082" i="6"/>
  <c r="CW1036" i="6"/>
  <c r="CW1022" i="6"/>
  <c r="CW1020" i="6"/>
  <c r="CW1062" i="6"/>
  <c r="CW1041" i="6"/>
  <c r="CW1021" i="6"/>
  <c r="CW1018" i="6"/>
  <c r="CW995" i="6"/>
  <c r="CW1128" i="6"/>
  <c r="CW1124" i="6"/>
  <c r="CW1026" i="6"/>
  <c r="CW1011" i="6"/>
  <c r="CW985" i="6"/>
  <c r="CW1042" i="6"/>
  <c r="CW1037" i="6"/>
  <c r="CW1030" i="6"/>
  <c r="CW970" i="6"/>
  <c r="CW1002" i="6"/>
  <c r="CW1091" i="6"/>
  <c r="CW1061" i="6"/>
  <c r="CW996" i="6"/>
  <c r="CW961" i="6"/>
  <c r="CW1070" i="6"/>
  <c r="CW1111" i="6"/>
  <c r="CW1057" i="6"/>
  <c r="CW1017" i="6"/>
  <c r="CW1006" i="6"/>
  <c r="CW1004" i="6"/>
  <c r="CW980" i="6"/>
  <c r="CW975" i="6"/>
  <c r="CW1085" i="6"/>
  <c r="CW998" i="6"/>
  <c r="CW968" i="6"/>
  <c r="CW1078" i="6"/>
  <c r="CW1010" i="6"/>
  <c r="CW1107" i="6"/>
  <c r="CW1047" i="6"/>
  <c r="CW1012" i="6"/>
  <c r="CW962" i="6"/>
  <c r="CW978" i="6"/>
  <c r="CW1009" i="6"/>
  <c r="CW981" i="6"/>
  <c r="CW1092" i="6"/>
  <c r="CW1044" i="6"/>
  <c r="CW963" i="6"/>
  <c r="CW1131" i="6"/>
  <c r="CW1076" i="6"/>
  <c r="CW1023" i="6"/>
  <c r="CW1127" i="6"/>
  <c r="CW990" i="6"/>
  <c r="CW1045" i="6"/>
  <c r="CW987" i="6"/>
  <c r="CW965" i="6"/>
  <c r="CW1039" i="6"/>
  <c r="CW1001" i="6"/>
  <c r="CW992" i="6"/>
  <c r="CW977" i="6"/>
  <c r="CW986" i="6"/>
  <c r="CW964" i="6"/>
  <c r="CO1191" i="6"/>
  <c r="CO1177" i="6"/>
  <c r="CO1184" i="6"/>
  <c r="CO1178" i="6"/>
  <c r="CO1179" i="6"/>
  <c r="CO1169" i="6"/>
  <c r="CO1161" i="6"/>
  <c r="CO1164" i="6"/>
  <c r="CO1185" i="6"/>
  <c r="CO1160" i="6"/>
  <c r="CO1147" i="6"/>
  <c r="CO1168" i="6"/>
  <c r="CO1167" i="6"/>
  <c r="CO1150" i="6"/>
  <c r="CO1171" i="6"/>
  <c r="CO1192" i="6"/>
  <c r="CO1190" i="6"/>
  <c r="CO1140" i="6"/>
  <c r="CO1176" i="6"/>
  <c r="CO1163" i="6"/>
  <c r="CO1159" i="6"/>
  <c r="CO1153" i="6"/>
  <c r="CO1143" i="6"/>
  <c r="CO1170" i="6"/>
  <c r="CO1162" i="6"/>
  <c r="CO1154" i="6"/>
  <c r="CO1152" i="6"/>
  <c r="CO1151" i="6"/>
  <c r="CO1146" i="6"/>
  <c r="CO1126" i="6"/>
  <c r="CO1114" i="6"/>
  <c r="CO1106" i="6"/>
  <c r="CO1098" i="6"/>
  <c r="CO1129" i="6"/>
  <c r="CO1117" i="6"/>
  <c r="CO1109" i="6"/>
  <c r="CO1101" i="6"/>
  <c r="CO1165" i="6"/>
  <c r="CO1100" i="6"/>
  <c r="CO1095" i="6"/>
  <c r="CO1087" i="6"/>
  <c r="CO1131" i="6"/>
  <c r="CO1130" i="6"/>
  <c r="CO1097" i="6"/>
  <c r="CO1090" i="6"/>
  <c r="CO1084" i="6"/>
  <c r="CO1141" i="6"/>
  <c r="CO1102" i="6"/>
  <c r="CO1094" i="6"/>
  <c r="CO1092" i="6"/>
  <c r="CO1091" i="6"/>
  <c r="CO1088" i="6"/>
  <c r="CO1083" i="6"/>
  <c r="CO1079" i="6"/>
  <c r="CO1075" i="6"/>
  <c r="CO1071" i="6"/>
  <c r="CO1064" i="6"/>
  <c r="CO1056" i="6"/>
  <c r="CO1048" i="6"/>
  <c r="CO1040" i="6"/>
  <c r="CO1032" i="6"/>
  <c r="CO1024" i="6"/>
  <c r="CO1123" i="6"/>
  <c r="CO1108" i="6"/>
  <c r="CO1103" i="6"/>
  <c r="CO1089" i="6"/>
  <c r="CO1059" i="6"/>
  <c r="CO1051" i="6"/>
  <c r="CO1043" i="6"/>
  <c r="CO1035" i="6"/>
  <c r="CO1027" i="6"/>
  <c r="CO1019" i="6"/>
  <c r="CO1144" i="6"/>
  <c r="CO1128" i="6"/>
  <c r="CO1125" i="6"/>
  <c r="CO1118" i="6"/>
  <c r="CO1078" i="6"/>
  <c r="CO1047" i="6"/>
  <c r="CO1045" i="6"/>
  <c r="CO1044" i="6"/>
  <c r="CO1026" i="6"/>
  <c r="CO1022" i="6"/>
  <c r="CO1005" i="6"/>
  <c r="CO997" i="6"/>
  <c r="CO989" i="6"/>
  <c r="CO1136" i="6"/>
  <c r="CO1086" i="6"/>
  <c r="CO1077" i="6"/>
  <c r="CO1076" i="6"/>
  <c r="CO1065" i="6"/>
  <c r="CO1041" i="6"/>
  <c r="CO1023" i="6"/>
  <c r="CO1021" i="6"/>
  <c r="CO1020" i="6"/>
  <c r="CO1012" i="6"/>
  <c r="CO1008" i="6"/>
  <c r="CO1000" i="6"/>
  <c r="CO1166" i="6"/>
  <c r="CO1138" i="6"/>
  <c r="CO1113" i="6"/>
  <c r="CO1061" i="6"/>
  <c r="CO994" i="6"/>
  <c r="CO988" i="6"/>
  <c r="CO979" i="6"/>
  <c r="CO976" i="6"/>
  <c r="CO1149" i="6"/>
  <c r="CO1127" i="6"/>
  <c r="CO1110" i="6"/>
  <c r="CO1099" i="6"/>
  <c r="CO1062" i="6"/>
  <c r="CO1057" i="6"/>
  <c r="CO1052" i="6"/>
  <c r="CO1036" i="6"/>
  <c r="CO1011" i="6"/>
  <c r="CO995" i="6"/>
  <c r="CO982" i="6"/>
  <c r="CO969" i="6"/>
  <c r="CO1085" i="6"/>
  <c r="CO1072" i="6"/>
  <c r="CO1142" i="6"/>
  <c r="CO1112" i="6"/>
  <c r="CO1046" i="6"/>
  <c r="CO1053" i="6"/>
  <c r="CO1049" i="6"/>
  <c r="CO1030" i="6"/>
  <c r="CO1029" i="6"/>
  <c r="CO1028" i="6"/>
  <c r="CO1017" i="6"/>
  <c r="CO999" i="6"/>
  <c r="CO981" i="6"/>
  <c r="CO1139" i="6"/>
  <c r="CO1055" i="6"/>
  <c r="CO1031" i="6"/>
  <c r="CO1010" i="6"/>
  <c r="CO1006" i="6"/>
  <c r="CO1001" i="6"/>
  <c r="CO992" i="6"/>
  <c r="CO990" i="6"/>
  <c r="CO1116" i="6"/>
  <c r="CO1107" i="6"/>
  <c r="CO1081" i="6"/>
  <c r="CO1063" i="6"/>
  <c r="CO998" i="6"/>
  <c r="CO1096" i="6"/>
  <c r="CO1080" i="6"/>
  <c r="CO1050" i="6"/>
  <c r="CO1038" i="6"/>
  <c r="CO980" i="6"/>
  <c r="CO975" i="6"/>
  <c r="CO1111" i="6"/>
  <c r="CO962" i="6"/>
  <c r="CO1115" i="6"/>
  <c r="CO1105" i="6"/>
  <c r="CO1104" i="6"/>
  <c r="CO1082" i="6"/>
  <c r="CO1003" i="6"/>
  <c r="CO991" i="6"/>
  <c r="CO984" i="6"/>
  <c r="CO968" i="6"/>
  <c r="CO987" i="6"/>
  <c r="CO961" i="6"/>
  <c r="CO1054" i="6"/>
  <c r="CO963" i="6"/>
  <c r="CO1137" i="6"/>
  <c r="CO1124" i="6"/>
  <c r="CO1073" i="6"/>
  <c r="CO1060" i="6"/>
  <c r="CO1039" i="6"/>
  <c r="CO1025" i="6"/>
  <c r="CO1009" i="6"/>
  <c r="CO1007" i="6"/>
  <c r="CO986" i="6"/>
  <c r="CO1148" i="6"/>
  <c r="CO1002" i="6"/>
  <c r="CO983" i="6"/>
  <c r="CO977" i="6"/>
  <c r="CO964" i="6"/>
  <c r="CO1093" i="6"/>
  <c r="CO1042" i="6"/>
  <c r="CO1037" i="6"/>
  <c r="CO970" i="6"/>
  <c r="CO978" i="6"/>
  <c r="CO1070" i="6"/>
  <c r="CO1058" i="6"/>
  <c r="CO1145" i="6"/>
  <c r="CO1074" i="6"/>
  <c r="CO1034" i="6"/>
  <c r="CO996" i="6"/>
  <c r="CO993" i="6"/>
  <c r="CO1004" i="6"/>
  <c r="CO965" i="6"/>
  <c r="CO985" i="6"/>
  <c r="CO1033" i="6"/>
  <c r="CO1018" i="6"/>
  <c r="BY1191" i="6"/>
  <c r="BY1184" i="6"/>
  <c r="BY1178" i="6"/>
  <c r="BY1190" i="6"/>
  <c r="BY1185" i="6"/>
  <c r="BY1179" i="6"/>
  <c r="BY1169" i="6"/>
  <c r="BY1161" i="6"/>
  <c r="BY1164" i="6"/>
  <c r="BY1147" i="6"/>
  <c r="BY1192" i="6"/>
  <c r="BY1177" i="6"/>
  <c r="BY1166" i="6"/>
  <c r="BY1165" i="6"/>
  <c r="BY1150" i="6"/>
  <c r="BY1176" i="6"/>
  <c r="BY1162" i="6"/>
  <c r="BY1146" i="6"/>
  <c r="BY1140" i="6"/>
  <c r="BY1170" i="6"/>
  <c r="BY1143" i="6"/>
  <c r="BY1163" i="6"/>
  <c r="BY1144" i="6"/>
  <c r="BY1141" i="6"/>
  <c r="BY1136" i="6"/>
  <c r="BY1126" i="6"/>
  <c r="BY1114" i="6"/>
  <c r="BY1106" i="6"/>
  <c r="BY1098" i="6"/>
  <c r="BY1152" i="6"/>
  <c r="BY1142" i="6"/>
  <c r="BY1138" i="6"/>
  <c r="BY1129" i="6"/>
  <c r="BY1117" i="6"/>
  <c r="BY1109" i="6"/>
  <c r="BY1101" i="6"/>
  <c r="BY1125" i="6"/>
  <c r="BY1123" i="6"/>
  <c r="BY1116" i="6"/>
  <c r="BY1112" i="6"/>
  <c r="BY1095" i="6"/>
  <c r="BY1087" i="6"/>
  <c r="BY1168" i="6"/>
  <c r="BY1113" i="6"/>
  <c r="BY1111" i="6"/>
  <c r="BY1110" i="6"/>
  <c r="BY1107" i="6"/>
  <c r="BY1090" i="6"/>
  <c r="BY1084" i="6"/>
  <c r="BY1149" i="6"/>
  <c r="BY1148" i="6"/>
  <c r="BY1102" i="6"/>
  <c r="BY1083" i="6"/>
  <c r="BY1079" i="6"/>
  <c r="BY1075" i="6"/>
  <c r="BY1071" i="6"/>
  <c r="BY1064" i="6"/>
  <c r="BY1056" i="6"/>
  <c r="BY1048" i="6"/>
  <c r="BY1040" i="6"/>
  <c r="BY1032" i="6"/>
  <c r="BY1024" i="6"/>
  <c r="BY1127" i="6"/>
  <c r="BY1108" i="6"/>
  <c r="BY1103" i="6"/>
  <c r="BY1059" i="6"/>
  <c r="BY1051" i="6"/>
  <c r="BY1043" i="6"/>
  <c r="BY1035" i="6"/>
  <c r="BY1027" i="6"/>
  <c r="BY1019" i="6"/>
  <c r="BY1153" i="6"/>
  <c r="BY1130" i="6"/>
  <c r="BY1128" i="6"/>
  <c r="BY1118" i="6"/>
  <c r="BY1081" i="6"/>
  <c r="BY1080" i="6"/>
  <c r="BY1057" i="6"/>
  <c r="BY1033" i="6"/>
  <c r="BY1005" i="6"/>
  <c r="BY997" i="6"/>
  <c r="BY989" i="6"/>
  <c r="BY1160" i="6"/>
  <c r="BY1159" i="6"/>
  <c r="BY1137" i="6"/>
  <c r="BY1131" i="6"/>
  <c r="BY1097" i="6"/>
  <c r="BY1088" i="6"/>
  <c r="BY1085" i="6"/>
  <c r="BY1074" i="6"/>
  <c r="BY1058" i="6"/>
  <c r="BY1054" i="6"/>
  <c r="BY1034" i="6"/>
  <c r="BY1030" i="6"/>
  <c r="BY1017" i="6"/>
  <c r="BY1008" i="6"/>
  <c r="BY1000" i="6"/>
  <c r="BY1105" i="6"/>
  <c r="BY1104" i="6"/>
  <c r="BY1060" i="6"/>
  <c r="BY1012" i="6"/>
  <c r="BY1004" i="6"/>
  <c r="BY1002" i="6"/>
  <c r="BY1001" i="6"/>
  <c r="BY990" i="6"/>
  <c r="BY979" i="6"/>
  <c r="BY976" i="6"/>
  <c r="BY1093" i="6"/>
  <c r="BY1092" i="6"/>
  <c r="BY1091" i="6"/>
  <c r="BY1082" i="6"/>
  <c r="BY1052" i="6"/>
  <c r="BY1041" i="6"/>
  <c r="BY1039" i="6"/>
  <c r="BY1022" i="6"/>
  <c r="BY1020" i="6"/>
  <c r="BY1018" i="6"/>
  <c r="BY996" i="6"/>
  <c r="BY982" i="6"/>
  <c r="BY969" i="6"/>
  <c r="BY1100" i="6"/>
  <c r="BY1094" i="6"/>
  <c r="BY1089" i="6"/>
  <c r="BY1086" i="6"/>
  <c r="BY1061" i="6"/>
  <c r="BY1046" i="6"/>
  <c r="BY1045" i="6"/>
  <c r="BY1072" i="6"/>
  <c r="BY1044" i="6"/>
  <c r="BY1124" i="6"/>
  <c r="BY1073" i="6"/>
  <c r="BY1063" i="6"/>
  <c r="BY1050" i="6"/>
  <c r="BY1009" i="6"/>
  <c r="BY993" i="6"/>
  <c r="BY1171" i="6"/>
  <c r="BY1062" i="6"/>
  <c r="BY999" i="6"/>
  <c r="BY1151" i="6"/>
  <c r="BY1139" i="6"/>
  <c r="BY1077" i="6"/>
  <c r="BY1036" i="6"/>
  <c r="BY1011" i="6"/>
  <c r="BY1003" i="6"/>
  <c r="BY992" i="6"/>
  <c r="BY991" i="6"/>
  <c r="BY977" i="6"/>
  <c r="BY1047" i="6"/>
  <c r="BY1029" i="6"/>
  <c r="BY965" i="6"/>
  <c r="BY1115" i="6"/>
  <c r="BY994" i="6"/>
  <c r="BY987" i="6"/>
  <c r="BY1053" i="6"/>
  <c r="BY1078" i="6"/>
  <c r="BY1021" i="6"/>
  <c r="BY1007" i="6"/>
  <c r="BY978" i="6"/>
  <c r="BY961" i="6"/>
  <c r="BY1025" i="6"/>
  <c r="BY1154" i="6"/>
  <c r="BY1145" i="6"/>
  <c r="BY1070" i="6"/>
  <c r="BY1049" i="6"/>
  <c r="BY1042" i="6"/>
  <c r="BY1028" i="6"/>
  <c r="BY1006" i="6"/>
  <c r="BY980" i="6"/>
  <c r="BY964" i="6"/>
  <c r="BY963" i="6"/>
  <c r="BY962" i="6"/>
  <c r="BY1096" i="6"/>
  <c r="BY1055" i="6"/>
  <c r="BY1037" i="6"/>
  <c r="BY984" i="6"/>
  <c r="BY970" i="6"/>
  <c r="BY1076" i="6"/>
  <c r="BY1023" i="6"/>
  <c r="BY1010" i="6"/>
  <c r="BY998" i="6"/>
  <c r="BY975" i="6"/>
  <c r="BY1038" i="6"/>
  <c r="BY1031" i="6"/>
  <c r="BY968" i="6"/>
  <c r="BY983" i="6"/>
  <c r="BY1099" i="6"/>
  <c r="BY1026" i="6"/>
  <c r="BY988" i="6"/>
  <c r="BY986" i="6"/>
  <c r="BY985" i="6"/>
  <c r="BY1065" i="6"/>
  <c r="BY981" i="6"/>
  <c r="BY1167" i="6"/>
  <c r="BY995" i="6"/>
  <c r="BQ1191" i="6"/>
  <c r="BQ1190" i="6"/>
  <c r="BQ1185" i="6"/>
  <c r="BQ1179" i="6"/>
  <c r="BQ1192" i="6"/>
  <c r="BQ1184" i="6"/>
  <c r="BQ1169" i="6"/>
  <c r="BQ1161" i="6"/>
  <c r="BQ1164" i="6"/>
  <c r="BQ1168" i="6"/>
  <c r="BQ1167" i="6"/>
  <c r="BQ1162" i="6"/>
  <c r="BQ1147" i="6"/>
  <c r="BQ1171" i="6"/>
  <c r="BQ1163" i="6"/>
  <c r="BQ1159" i="6"/>
  <c r="BQ1150" i="6"/>
  <c r="BQ1177" i="6"/>
  <c r="BQ1170" i="6"/>
  <c r="BQ1160" i="6"/>
  <c r="BQ1166" i="6"/>
  <c r="BQ1140" i="6"/>
  <c r="BQ1165" i="6"/>
  <c r="BQ1143" i="6"/>
  <c r="BQ1176" i="6"/>
  <c r="BQ1153" i="6"/>
  <c r="BQ1148" i="6"/>
  <c r="BQ1139" i="6"/>
  <c r="BQ1137" i="6"/>
  <c r="BQ1126" i="6"/>
  <c r="BQ1114" i="6"/>
  <c r="BQ1106" i="6"/>
  <c r="BQ1098" i="6"/>
  <c r="BQ1129" i="6"/>
  <c r="BQ1117" i="6"/>
  <c r="BQ1109" i="6"/>
  <c r="BQ1101" i="6"/>
  <c r="BQ1144" i="6"/>
  <c r="BQ1136" i="6"/>
  <c r="BQ1108" i="6"/>
  <c r="BQ1104" i="6"/>
  <c r="BQ1095" i="6"/>
  <c r="BQ1087" i="6"/>
  <c r="BQ1149" i="6"/>
  <c r="BQ1105" i="6"/>
  <c r="BQ1103" i="6"/>
  <c r="BQ1102" i="6"/>
  <c r="BQ1099" i="6"/>
  <c r="BQ1090" i="6"/>
  <c r="BQ1084" i="6"/>
  <c r="BQ1130" i="6"/>
  <c r="BQ1128" i="6"/>
  <c r="BQ1124" i="6"/>
  <c r="BQ1118" i="6"/>
  <c r="BQ1113" i="6"/>
  <c r="BQ1096" i="6"/>
  <c r="BQ1083" i="6"/>
  <c r="BQ1079" i="6"/>
  <c r="BQ1075" i="6"/>
  <c r="BQ1071" i="6"/>
  <c r="BQ1064" i="6"/>
  <c r="BQ1056" i="6"/>
  <c r="BQ1048" i="6"/>
  <c r="BQ1040" i="6"/>
  <c r="BQ1032" i="6"/>
  <c r="BQ1024" i="6"/>
  <c r="BQ1131" i="6"/>
  <c r="BQ1093" i="6"/>
  <c r="BQ1059" i="6"/>
  <c r="BQ1051" i="6"/>
  <c r="BQ1043" i="6"/>
  <c r="BQ1035" i="6"/>
  <c r="BQ1027" i="6"/>
  <c r="BQ1019" i="6"/>
  <c r="BQ1145" i="6"/>
  <c r="BQ1107" i="6"/>
  <c r="BQ1073" i="6"/>
  <c r="BQ1072" i="6"/>
  <c r="BQ1055" i="6"/>
  <c r="BQ1053" i="6"/>
  <c r="BQ1052" i="6"/>
  <c r="BQ1049" i="6"/>
  <c r="BQ1031" i="6"/>
  <c r="BQ1029" i="6"/>
  <c r="BQ1028" i="6"/>
  <c r="BQ1005" i="6"/>
  <c r="BQ997" i="6"/>
  <c r="BQ989" i="6"/>
  <c r="BQ1127" i="6"/>
  <c r="BQ1123" i="6"/>
  <c r="BQ1116" i="6"/>
  <c r="BQ1050" i="6"/>
  <c r="BQ1046" i="6"/>
  <c r="BQ1025" i="6"/>
  <c r="BQ1008" i="6"/>
  <c r="BQ1000" i="6"/>
  <c r="BQ1178" i="6"/>
  <c r="BQ1151" i="6"/>
  <c r="BQ1142" i="6"/>
  <c r="BQ1042" i="6"/>
  <c r="BQ996" i="6"/>
  <c r="BQ979" i="6"/>
  <c r="BQ976" i="6"/>
  <c r="BQ1154" i="6"/>
  <c r="BQ1110" i="6"/>
  <c r="BQ1078" i="6"/>
  <c r="BQ1076" i="6"/>
  <c r="BQ1070" i="6"/>
  <c r="BQ1037" i="6"/>
  <c r="BQ991" i="6"/>
  <c r="BQ982" i="6"/>
  <c r="BQ969" i="6"/>
  <c r="BQ1080" i="6"/>
  <c r="BQ1058" i="6"/>
  <c r="BQ1112" i="6"/>
  <c r="BQ1077" i="6"/>
  <c r="BQ1074" i="6"/>
  <c r="BQ1065" i="6"/>
  <c r="BQ1063" i="6"/>
  <c r="BQ1054" i="6"/>
  <c r="BQ1146" i="6"/>
  <c r="BQ1088" i="6"/>
  <c r="BQ1047" i="6"/>
  <c r="BQ1041" i="6"/>
  <c r="BQ1038" i="6"/>
  <c r="BQ1021" i="6"/>
  <c r="BQ1018" i="6"/>
  <c r="BQ995" i="6"/>
  <c r="BQ992" i="6"/>
  <c r="BQ988" i="6"/>
  <c r="BQ986" i="6"/>
  <c r="BQ984" i="6"/>
  <c r="BQ983" i="6"/>
  <c r="BQ1115" i="6"/>
  <c r="BQ1089" i="6"/>
  <c r="BQ1061" i="6"/>
  <c r="BQ1057" i="6"/>
  <c r="BQ1039" i="6"/>
  <c r="BQ1026" i="6"/>
  <c r="BQ1023" i="6"/>
  <c r="BQ1002" i="6"/>
  <c r="BQ998" i="6"/>
  <c r="BQ1152" i="6"/>
  <c r="BQ1111" i="6"/>
  <c r="BQ1100" i="6"/>
  <c r="BQ1094" i="6"/>
  <c r="BQ1081" i="6"/>
  <c r="BQ1030" i="6"/>
  <c r="BQ1017" i="6"/>
  <c r="BQ1007" i="6"/>
  <c r="BQ1003" i="6"/>
  <c r="BQ990" i="6"/>
  <c r="BQ1085" i="6"/>
  <c r="BQ1045" i="6"/>
  <c r="BQ1010" i="6"/>
  <c r="BQ987" i="6"/>
  <c r="BQ961" i="6"/>
  <c r="BQ999" i="6"/>
  <c r="BQ1086" i="6"/>
  <c r="BQ1036" i="6"/>
  <c r="BQ981" i="6"/>
  <c r="BQ1044" i="6"/>
  <c r="BQ1091" i="6"/>
  <c r="BQ1012" i="6"/>
  <c r="BQ1001" i="6"/>
  <c r="BQ970" i="6"/>
  <c r="BQ964" i="6"/>
  <c r="BQ963" i="6"/>
  <c r="BQ962" i="6"/>
  <c r="BQ1020" i="6"/>
  <c r="BQ1141" i="6"/>
  <c r="BQ1125" i="6"/>
  <c r="BQ1097" i="6"/>
  <c r="BQ1009" i="6"/>
  <c r="BQ975" i="6"/>
  <c r="BQ965" i="6"/>
  <c r="BQ968" i="6"/>
  <c r="BQ1092" i="6"/>
  <c r="BQ1011" i="6"/>
  <c r="BQ1034" i="6"/>
  <c r="BQ1022" i="6"/>
  <c r="BQ1033" i="6"/>
  <c r="BQ1082" i="6"/>
  <c r="BQ994" i="6"/>
  <c r="BQ1138" i="6"/>
  <c r="BQ985" i="6"/>
  <c r="BQ977" i="6"/>
  <c r="BQ1004" i="6"/>
  <c r="BQ993" i="6"/>
  <c r="BQ978" i="6"/>
  <c r="BQ1062" i="6"/>
  <c r="BQ1006" i="6"/>
  <c r="BQ1060" i="6"/>
  <c r="BQ980" i="6"/>
  <c r="DD1178" i="6"/>
  <c r="DD1192" i="6"/>
  <c r="DD1176" i="6"/>
  <c r="DD1171" i="6"/>
  <c r="DD1166" i="6"/>
  <c r="DD1179" i="6"/>
  <c r="DD1169" i="6"/>
  <c r="DD1161" i="6"/>
  <c r="DD1168" i="6"/>
  <c r="DD1167" i="6"/>
  <c r="DD1152" i="6"/>
  <c r="DD1144" i="6"/>
  <c r="DD1164" i="6"/>
  <c r="DD1147" i="6"/>
  <c r="DD1170" i="6"/>
  <c r="DD1165" i="6"/>
  <c r="DD1190" i="6"/>
  <c r="DD1149" i="6"/>
  <c r="DD1145" i="6"/>
  <c r="DD1137" i="6"/>
  <c r="DD1191" i="6"/>
  <c r="DD1163" i="6"/>
  <c r="DD1159" i="6"/>
  <c r="DD1146" i="6"/>
  <c r="DD1140" i="6"/>
  <c r="DD1177" i="6"/>
  <c r="DD1162" i="6"/>
  <c r="DD1185" i="6"/>
  <c r="DD1143" i="6"/>
  <c r="DD1131" i="6"/>
  <c r="DD1123" i="6"/>
  <c r="DD1111" i="6"/>
  <c r="DD1103" i="6"/>
  <c r="DD1141" i="6"/>
  <c r="DD1126" i="6"/>
  <c r="DD1114" i="6"/>
  <c r="DD1106" i="6"/>
  <c r="DD1098" i="6"/>
  <c r="DD1154" i="6"/>
  <c r="DD1150" i="6"/>
  <c r="DD1148" i="6"/>
  <c r="DD1128" i="6"/>
  <c r="DD1124" i="6"/>
  <c r="DD1118" i="6"/>
  <c r="DD1115" i="6"/>
  <c r="DD1092" i="6"/>
  <c r="DD1083" i="6"/>
  <c r="DD1160" i="6"/>
  <c r="DD1139" i="6"/>
  <c r="DD1125" i="6"/>
  <c r="DD1116" i="6"/>
  <c r="DD1112" i="6"/>
  <c r="DD1109" i="6"/>
  <c r="DD1095" i="6"/>
  <c r="DD1087" i="6"/>
  <c r="DD1184" i="6"/>
  <c r="DD1136" i="6"/>
  <c r="DD1127" i="6"/>
  <c r="DD1117" i="6"/>
  <c r="DD1108" i="6"/>
  <c r="DD1061" i="6"/>
  <c r="DD1053" i="6"/>
  <c r="DD1045" i="6"/>
  <c r="DD1037" i="6"/>
  <c r="DD1029" i="6"/>
  <c r="DD1021" i="6"/>
  <c r="DD1018" i="6"/>
  <c r="DD1129" i="6"/>
  <c r="DD1113" i="6"/>
  <c r="DD1104" i="6"/>
  <c r="DD1079" i="6"/>
  <c r="DD1075" i="6"/>
  <c r="DD1071" i="6"/>
  <c r="DD1064" i="6"/>
  <c r="DD1056" i="6"/>
  <c r="DD1048" i="6"/>
  <c r="DD1040" i="6"/>
  <c r="DD1032" i="6"/>
  <c r="DD1024" i="6"/>
  <c r="DD1142" i="6"/>
  <c r="DD1105" i="6"/>
  <c r="DD1090" i="6"/>
  <c r="DD1088" i="6"/>
  <c r="DD1085" i="6"/>
  <c r="DD1082" i="6"/>
  <c r="DD1063" i="6"/>
  <c r="DD1060" i="6"/>
  <c r="DD1039" i="6"/>
  <c r="DD1036" i="6"/>
  <c r="DD1010" i="6"/>
  <c r="DD1002" i="6"/>
  <c r="DD994" i="6"/>
  <c r="DD986" i="6"/>
  <c r="DD1093" i="6"/>
  <c r="DD1091" i="6"/>
  <c r="DD1081" i="6"/>
  <c r="DD1080" i="6"/>
  <c r="DD1057" i="6"/>
  <c r="DD1033" i="6"/>
  <c r="DD1005" i="6"/>
  <c r="DD1052" i="6"/>
  <c r="DD1043" i="6"/>
  <c r="DD1041" i="6"/>
  <c r="DD1027" i="6"/>
  <c r="DD1022" i="6"/>
  <c r="DD1020" i="6"/>
  <c r="DD1007" i="6"/>
  <c r="DD1003" i="6"/>
  <c r="DD1000" i="6"/>
  <c r="DD998" i="6"/>
  <c r="DD992" i="6"/>
  <c r="DD984" i="6"/>
  <c r="DD1100" i="6"/>
  <c r="DD1072" i="6"/>
  <c r="DD1046" i="6"/>
  <c r="DD1044" i="6"/>
  <c r="DD1031" i="6"/>
  <c r="DD1025" i="6"/>
  <c r="DD1004" i="6"/>
  <c r="DD1001" i="6"/>
  <c r="DD987" i="6"/>
  <c r="DD979" i="6"/>
  <c r="DD976" i="6"/>
  <c r="DD963" i="6"/>
  <c r="DD1073" i="6"/>
  <c r="DD1062" i="6"/>
  <c r="DD1107" i="6"/>
  <c r="DD1047" i="6"/>
  <c r="DD1138" i="6"/>
  <c r="DD1130" i="6"/>
  <c r="DD1076" i="6"/>
  <c r="DD1051" i="6"/>
  <c r="DD1026" i="6"/>
  <c r="DD1023" i="6"/>
  <c r="DD1009" i="6"/>
  <c r="DD990" i="6"/>
  <c r="DD1153" i="6"/>
  <c r="DD1110" i="6"/>
  <c r="DD1102" i="6"/>
  <c r="DD1099" i="6"/>
  <c r="DD1096" i="6"/>
  <c r="DD1074" i="6"/>
  <c r="DD1038" i="6"/>
  <c r="DD1030" i="6"/>
  <c r="DD1028" i="6"/>
  <c r="DD1017" i="6"/>
  <c r="DD1086" i="6"/>
  <c r="DD1049" i="6"/>
  <c r="DD1042" i="6"/>
  <c r="DD1011" i="6"/>
  <c r="DD1006" i="6"/>
  <c r="DD989" i="6"/>
  <c r="DD1077" i="6"/>
  <c r="DD1019" i="6"/>
  <c r="DD996" i="6"/>
  <c r="DD965" i="6"/>
  <c r="DD988" i="6"/>
  <c r="DD1078" i="6"/>
  <c r="DD1054" i="6"/>
  <c r="DD1035" i="6"/>
  <c r="DD1008" i="6"/>
  <c r="DD997" i="6"/>
  <c r="DD995" i="6"/>
  <c r="DD977" i="6"/>
  <c r="DD1034" i="6"/>
  <c r="DD981" i="6"/>
  <c r="DD1097" i="6"/>
  <c r="DD1050" i="6"/>
  <c r="DD1094" i="6"/>
  <c r="DD1070" i="6"/>
  <c r="DD999" i="6"/>
  <c r="DD983" i="6"/>
  <c r="DD978" i="6"/>
  <c r="DD1058" i="6"/>
  <c r="DD1055" i="6"/>
  <c r="DD991" i="6"/>
  <c r="DD985" i="6"/>
  <c r="DD969" i="6"/>
  <c r="DD982" i="6"/>
  <c r="DD970" i="6"/>
  <c r="DD1089" i="6"/>
  <c r="DD1059" i="6"/>
  <c r="DD993" i="6"/>
  <c r="DD1084" i="6"/>
  <c r="DD1151" i="6"/>
  <c r="DD1101" i="6"/>
  <c r="DD961" i="6"/>
  <c r="DD980" i="6"/>
  <c r="DD968" i="6"/>
  <c r="DD964" i="6"/>
  <c r="DD1065" i="6"/>
  <c r="DD975" i="6"/>
  <c r="DD1012" i="6"/>
  <c r="DD962" i="6"/>
  <c r="BP265" i="6"/>
  <c r="BP1178" i="6"/>
  <c r="BP1184" i="6"/>
  <c r="BP1191" i="6"/>
  <c r="BP1190" i="6"/>
  <c r="BP1185" i="6"/>
  <c r="BP1179" i="6"/>
  <c r="BP1176" i="6"/>
  <c r="BP1171" i="6"/>
  <c r="BP1166" i="6"/>
  <c r="BP1169" i="6"/>
  <c r="BP1161" i="6"/>
  <c r="BP1165" i="6"/>
  <c r="BP1152" i="6"/>
  <c r="BP1168" i="6"/>
  <c r="BP1167" i="6"/>
  <c r="BP1162" i="6"/>
  <c r="BP1147" i="6"/>
  <c r="BP1163" i="6"/>
  <c r="BP1159" i="6"/>
  <c r="BP1192" i="6"/>
  <c r="BP1137" i="6"/>
  <c r="BP1160" i="6"/>
  <c r="BP1140" i="6"/>
  <c r="BP1177" i="6"/>
  <c r="BP1164" i="6"/>
  <c r="BP1154" i="6"/>
  <c r="BP1142" i="6"/>
  <c r="BP1138" i="6"/>
  <c r="BP1136" i="6"/>
  <c r="BP1131" i="6"/>
  <c r="BP1123" i="6"/>
  <c r="BP1111" i="6"/>
  <c r="BP1103" i="6"/>
  <c r="BP1153" i="6"/>
  <c r="BP1148" i="6"/>
  <c r="BP1139" i="6"/>
  <c r="BP1126" i="6"/>
  <c r="BP1114" i="6"/>
  <c r="BP1106" i="6"/>
  <c r="BP1098" i="6"/>
  <c r="BP1150" i="6"/>
  <c r="BP1146" i="6"/>
  <c r="BP1113" i="6"/>
  <c r="BP1110" i="6"/>
  <c r="BP1107" i="6"/>
  <c r="BP1092" i="6"/>
  <c r="BP1144" i="6"/>
  <c r="BP1108" i="6"/>
  <c r="BP1104" i="6"/>
  <c r="BP1101" i="6"/>
  <c r="BP1095" i="6"/>
  <c r="BP1087" i="6"/>
  <c r="BP1145" i="6"/>
  <c r="BP1109" i="6"/>
  <c r="BP1061" i="6"/>
  <c r="BP1053" i="6"/>
  <c r="BP1045" i="6"/>
  <c r="BP1037" i="6"/>
  <c r="BP1029" i="6"/>
  <c r="BP1021" i="6"/>
  <c r="BP1018" i="6"/>
  <c r="BP1149" i="6"/>
  <c r="BP1130" i="6"/>
  <c r="BP1128" i="6"/>
  <c r="BP1124" i="6"/>
  <c r="BP1118" i="6"/>
  <c r="BP1105" i="6"/>
  <c r="BP1096" i="6"/>
  <c r="BP1083" i="6"/>
  <c r="BP1079" i="6"/>
  <c r="BP1075" i="6"/>
  <c r="BP1071" i="6"/>
  <c r="BP1064" i="6"/>
  <c r="BP1056" i="6"/>
  <c r="BP1048" i="6"/>
  <c r="BP1040" i="6"/>
  <c r="BP1032" i="6"/>
  <c r="BP1024" i="6"/>
  <c r="BP1115" i="6"/>
  <c r="BP1094" i="6"/>
  <c r="BP1089" i="6"/>
  <c r="BP1086" i="6"/>
  <c r="BP1074" i="6"/>
  <c r="BP1058" i="6"/>
  <c r="BP1054" i="6"/>
  <c r="BP1051" i="6"/>
  <c r="BP1034" i="6"/>
  <c r="BP1030" i="6"/>
  <c r="BP1027" i="6"/>
  <c r="BP1017" i="6"/>
  <c r="BP1010" i="6"/>
  <c r="BP1002" i="6"/>
  <c r="BP994" i="6"/>
  <c r="BP1073" i="6"/>
  <c r="BP1072" i="6"/>
  <c r="BP1055" i="6"/>
  <c r="BP1052" i="6"/>
  <c r="BP1049" i="6"/>
  <c r="BP1031" i="6"/>
  <c r="BP1028" i="6"/>
  <c r="BP1005" i="6"/>
  <c r="BP1141" i="6"/>
  <c r="BP1127" i="6"/>
  <c r="BP1099" i="6"/>
  <c r="BP1062" i="6"/>
  <c r="BP1057" i="6"/>
  <c r="BP1047" i="6"/>
  <c r="BP1036" i="6"/>
  <c r="BP1026" i="6"/>
  <c r="BP1023" i="6"/>
  <c r="BP990" i="6"/>
  <c r="BP984" i="6"/>
  <c r="BP1151" i="6"/>
  <c r="BP1042" i="6"/>
  <c r="BP997" i="6"/>
  <c r="BP996" i="6"/>
  <c r="BP979" i="6"/>
  <c r="BP976" i="6"/>
  <c r="BP963" i="6"/>
  <c r="BP1076" i="6"/>
  <c r="BP1070" i="6"/>
  <c r="BP1143" i="6"/>
  <c r="BP1117" i="6"/>
  <c r="BP1078" i="6"/>
  <c r="BP1059" i="6"/>
  <c r="BP1080" i="6"/>
  <c r="BP1077" i="6"/>
  <c r="BP1022" i="6"/>
  <c r="BP1020" i="6"/>
  <c r="BP1011" i="6"/>
  <c r="BP1006" i="6"/>
  <c r="BP1001" i="6"/>
  <c r="BP999" i="6"/>
  <c r="BP985" i="6"/>
  <c r="BP982" i="6"/>
  <c r="BP1088" i="6"/>
  <c r="BP1065" i="6"/>
  <c r="BP1043" i="6"/>
  <c r="BP1041" i="6"/>
  <c r="BP1038" i="6"/>
  <c r="BP1025" i="6"/>
  <c r="BP995" i="6"/>
  <c r="BP992" i="6"/>
  <c r="BP1102" i="6"/>
  <c r="BP1039" i="6"/>
  <c r="BP998" i="6"/>
  <c r="BP1090" i="6"/>
  <c r="BP1060" i="6"/>
  <c r="BP993" i="6"/>
  <c r="BP980" i="6"/>
  <c r="BP978" i="6"/>
  <c r="BP1000" i="6"/>
  <c r="BP988" i="6"/>
  <c r="BP975" i="6"/>
  <c r="BP1116" i="6"/>
  <c r="BP1129" i="6"/>
  <c r="BP1085" i="6"/>
  <c r="BP987" i="6"/>
  <c r="BP969" i="6"/>
  <c r="BP961" i="6"/>
  <c r="BP1097" i="6"/>
  <c r="BP1046" i="6"/>
  <c r="BP1035" i="6"/>
  <c r="BP991" i="6"/>
  <c r="BP986" i="6"/>
  <c r="BP983" i="6"/>
  <c r="BP1100" i="6"/>
  <c r="BP1093" i="6"/>
  <c r="BP1091" i="6"/>
  <c r="BP1063" i="6"/>
  <c r="BP1019" i="6"/>
  <c r="BP1012" i="6"/>
  <c r="BP1003" i="6"/>
  <c r="BP970" i="6"/>
  <c r="BP964" i="6"/>
  <c r="BP962" i="6"/>
  <c r="BP1125" i="6"/>
  <c r="BP1009" i="6"/>
  <c r="BP1007" i="6"/>
  <c r="BP965" i="6"/>
  <c r="BP1050" i="6"/>
  <c r="BP989" i="6"/>
  <c r="BP968" i="6"/>
  <c r="BP1112" i="6"/>
  <c r="BP1081" i="6"/>
  <c r="BP1033" i="6"/>
  <c r="BP977" i="6"/>
  <c r="BP1004" i="6"/>
  <c r="BP1084" i="6"/>
  <c r="BP1082" i="6"/>
  <c r="BP1044" i="6"/>
  <c r="BP1170" i="6"/>
  <c r="BP1008" i="6"/>
  <c r="BP981" i="6"/>
  <c r="CA1179" i="6"/>
  <c r="CA1191" i="6"/>
  <c r="CA1185" i="6"/>
  <c r="CA1192" i="6"/>
  <c r="CA1178" i="6"/>
  <c r="CA1167" i="6"/>
  <c r="CA1159" i="6"/>
  <c r="CA1176" i="6"/>
  <c r="CA1170" i="6"/>
  <c r="CA1162" i="6"/>
  <c r="CA1164" i="6"/>
  <c r="CA1153" i="6"/>
  <c r="CA1145" i="6"/>
  <c r="CA1184" i="6"/>
  <c r="CA1168" i="6"/>
  <c r="CA1163" i="6"/>
  <c r="CA1161" i="6"/>
  <c r="CA1148" i="6"/>
  <c r="CA1171" i="6"/>
  <c r="CA1160" i="6"/>
  <c r="CA1138" i="6"/>
  <c r="CA1177" i="6"/>
  <c r="CA1141" i="6"/>
  <c r="CA1190" i="6"/>
  <c r="CA1146" i="6"/>
  <c r="CA1139" i="6"/>
  <c r="CA1137" i="6"/>
  <c r="CA1124" i="6"/>
  <c r="CA1112" i="6"/>
  <c r="CA1104" i="6"/>
  <c r="CA1151" i="6"/>
  <c r="CA1147" i="6"/>
  <c r="CA1127" i="6"/>
  <c r="CA1115" i="6"/>
  <c r="CA1107" i="6"/>
  <c r="CA1099" i="6"/>
  <c r="CA1166" i="6"/>
  <c r="CA1154" i="6"/>
  <c r="CA1109" i="6"/>
  <c r="CA1108" i="6"/>
  <c r="CA1106" i="6"/>
  <c r="CA1093" i="6"/>
  <c r="CA1152" i="6"/>
  <c r="CA1143" i="6"/>
  <c r="CA1136" i="6"/>
  <c r="CA1105" i="6"/>
  <c r="CA1103" i="6"/>
  <c r="CA1102" i="6"/>
  <c r="CA1096" i="6"/>
  <c r="CA1088" i="6"/>
  <c r="CA1085" i="6"/>
  <c r="CA1142" i="6"/>
  <c r="CA1080" i="6"/>
  <c r="CA1076" i="6"/>
  <c r="CA1072" i="6"/>
  <c r="CA1062" i="6"/>
  <c r="CA1054" i="6"/>
  <c r="CA1046" i="6"/>
  <c r="CA1038" i="6"/>
  <c r="CA1030" i="6"/>
  <c r="CA1022" i="6"/>
  <c r="CA1144" i="6"/>
  <c r="CA1123" i="6"/>
  <c r="CA1117" i="6"/>
  <c r="CA1095" i="6"/>
  <c r="CA1065" i="6"/>
  <c r="CA1057" i="6"/>
  <c r="CA1049" i="6"/>
  <c r="CA1041" i="6"/>
  <c r="CA1033" i="6"/>
  <c r="CA1025" i="6"/>
  <c r="CA1165" i="6"/>
  <c r="CA1150" i="6"/>
  <c r="CA1111" i="6"/>
  <c r="CA1110" i="6"/>
  <c r="CA1092" i="6"/>
  <c r="CA1091" i="6"/>
  <c r="CA1087" i="6"/>
  <c r="CA1079" i="6"/>
  <c r="CA1073" i="6"/>
  <c r="CA1055" i="6"/>
  <c r="CA1053" i="6"/>
  <c r="CA1052" i="6"/>
  <c r="CA1031" i="6"/>
  <c r="CA1029" i="6"/>
  <c r="CA1028" i="6"/>
  <c r="CA1011" i="6"/>
  <c r="CA1003" i="6"/>
  <c r="CA995" i="6"/>
  <c r="CA987" i="6"/>
  <c r="CA1113" i="6"/>
  <c r="CA1101" i="6"/>
  <c r="CA1100" i="6"/>
  <c r="CA1094" i="6"/>
  <c r="CA1090" i="6"/>
  <c r="CA1089" i="6"/>
  <c r="CA1086" i="6"/>
  <c r="CA1051" i="6"/>
  <c r="CA1050" i="6"/>
  <c r="CA1048" i="6"/>
  <c r="CA1027" i="6"/>
  <c r="CA1006" i="6"/>
  <c r="CA1061" i="6"/>
  <c r="CA1056" i="6"/>
  <c r="CA1045" i="6"/>
  <c r="CA1044" i="6"/>
  <c r="CA1035" i="6"/>
  <c r="CA1024" i="6"/>
  <c r="CA1021" i="6"/>
  <c r="CA997" i="6"/>
  <c r="CA991" i="6"/>
  <c r="CA985" i="6"/>
  <c r="CA977" i="6"/>
  <c r="CA1129" i="6"/>
  <c r="CA1116" i="6"/>
  <c r="CA1084" i="6"/>
  <c r="CA1071" i="6"/>
  <c r="CA1047" i="6"/>
  <c r="CA1043" i="6"/>
  <c r="CA1036" i="6"/>
  <c r="CA1026" i="6"/>
  <c r="CA1023" i="6"/>
  <c r="CA998" i="6"/>
  <c r="CA980" i="6"/>
  <c r="CA1140" i="6"/>
  <c r="CA1125" i="6"/>
  <c r="CA1114" i="6"/>
  <c r="CA1131" i="6"/>
  <c r="CA1126" i="6"/>
  <c r="CA1032" i="6"/>
  <c r="CA1005" i="6"/>
  <c r="CA1000" i="6"/>
  <c r="CA999" i="6"/>
  <c r="CA986" i="6"/>
  <c r="CA984" i="6"/>
  <c r="CA983" i="6"/>
  <c r="CA1149" i="6"/>
  <c r="CA1097" i="6"/>
  <c r="CA1083" i="6"/>
  <c r="CA1060" i="6"/>
  <c r="CA1010" i="6"/>
  <c r="CA1001" i="6"/>
  <c r="CA1082" i="6"/>
  <c r="CA1064" i="6"/>
  <c r="CA1058" i="6"/>
  <c r="CA1034" i="6"/>
  <c r="CA992" i="6"/>
  <c r="CA1070" i="6"/>
  <c r="CA1042" i="6"/>
  <c r="CA1018" i="6"/>
  <c r="CA1012" i="6"/>
  <c r="CA982" i="6"/>
  <c r="CA976" i="6"/>
  <c r="CA963" i="6"/>
  <c r="CA962" i="6"/>
  <c r="CA993" i="6"/>
  <c r="CA1075" i="6"/>
  <c r="CA1118" i="6"/>
  <c r="CA1059" i="6"/>
  <c r="CA1130" i="6"/>
  <c r="CA1074" i="6"/>
  <c r="CA1063" i="6"/>
  <c r="CA1037" i="6"/>
  <c r="CA1017" i="6"/>
  <c r="CA1002" i="6"/>
  <c r="CA970" i="6"/>
  <c r="CA965" i="6"/>
  <c r="CA964" i="6"/>
  <c r="CA1081" i="6"/>
  <c r="CA994" i="6"/>
  <c r="CA975" i="6"/>
  <c r="CA969" i="6"/>
  <c r="CA1128" i="6"/>
  <c r="CA1004" i="6"/>
  <c r="CA968" i="6"/>
  <c r="CA1008" i="6"/>
  <c r="CA988" i="6"/>
  <c r="CA1169" i="6"/>
  <c r="CA1040" i="6"/>
  <c r="CA1039" i="6"/>
  <c r="CA961" i="6"/>
  <c r="CA1020" i="6"/>
  <c r="CA981" i="6"/>
  <c r="CA978" i="6"/>
  <c r="CA1098" i="6"/>
  <c r="CA1077" i="6"/>
  <c r="CA1078" i="6"/>
  <c r="CA1019" i="6"/>
  <c r="CA990" i="6"/>
  <c r="CA979" i="6"/>
  <c r="CA1009" i="6"/>
  <c r="CA1007" i="6"/>
  <c r="CA996" i="6"/>
  <c r="CA989" i="6"/>
  <c r="DB1190" i="6"/>
  <c r="DB1191" i="6"/>
  <c r="DB1185" i="6"/>
  <c r="DB1179" i="6"/>
  <c r="DB1192" i="6"/>
  <c r="DB1178" i="6"/>
  <c r="DB1168" i="6"/>
  <c r="DB1160" i="6"/>
  <c r="DB1171" i="6"/>
  <c r="DB1163" i="6"/>
  <c r="DB1184" i="6"/>
  <c r="DB1176" i="6"/>
  <c r="DB1154" i="6"/>
  <c r="DB1146" i="6"/>
  <c r="DB1149" i="6"/>
  <c r="DB1167" i="6"/>
  <c r="DB1166" i="6"/>
  <c r="DB1153" i="6"/>
  <c r="DB1150" i="6"/>
  <c r="DB1147" i="6"/>
  <c r="DB1139" i="6"/>
  <c r="DB1151" i="6"/>
  <c r="DB1148" i="6"/>
  <c r="DB1144" i="6"/>
  <c r="DB1142" i="6"/>
  <c r="DB1165" i="6"/>
  <c r="DB1125" i="6"/>
  <c r="DB1113" i="6"/>
  <c r="DB1105" i="6"/>
  <c r="DB1097" i="6"/>
  <c r="DB1162" i="6"/>
  <c r="DB1128" i="6"/>
  <c r="DB1116" i="6"/>
  <c r="DB1108" i="6"/>
  <c r="DB1100" i="6"/>
  <c r="DB1177" i="6"/>
  <c r="DB1170" i="6"/>
  <c r="DB1161" i="6"/>
  <c r="DB1143" i="6"/>
  <c r="DB1138" i="6"/>
  <c r="DB1136" i="6"/>
  <c r="DB1130" i="6"/>
  <c r="DB1126" i="6"/>
  <c r="DB1094" i="6"/>
  <c r="DB1086" i="6"/>
  <c r="DB1127" i="6"/>
  <c r="DB1123" i="6"/>
  <c r="DB1117" i="6"/>
  <c r="DB1114" i="6"/>
  <c r="DB1089" i="6"/>
  <c r="DB1140" i="6"/>
  <c r="DB1112" i="6"/>
  <c r="DB1103" i="6"/>
  <c r="DB1063" i="6"/>
  <c r="DB1055" i="6"/>
  <c r="DB1047" i="6"/>
  <c r="DB1039" i="6"/>
  <c r="DB1031" i="6"/>
  <c r="DB1023" i="6"/>
  <c r="DB1017" i="6"/>
  <c r="DB1159" i="6"/>
  <c r="DB1102" i="6"/>
  <c r="DB1085" i="6"/>
  <c r="DB1084" i="6"/>
  <c r="DB1082" i="6"/>
  <c r="DB1078" i="6"/>
  <c r="DB1074" i="6"/>
  <c r="DB1070" i="6"/>
  <c r="DB1058" i="6"/>
  <c r="DB1050" i="6"/>
  <c r="DB1042" i="6"/>
  <c r="DB1034" i="6"/>
  <c r="DB1026" i="6"/>
  <c r="DB1137" i="6"/>
  <c r="DB1115" i="6"/>
  <c r="DB1106" i="6"/>
  <c r="DB1104" i="6"/>
  <c r="DB1077" i="6"/>
  <c r="DB1076" i="6"/>
  <c r="DB1075" i="6"/>
  <c r="DB1065" i="6"/>
  <c r="DB1061" i="6"/>
  <c r="DB1041" i="6"/>
  <c r="DB1037" i="6"/>
  <c r="DB1020" i="6"/>
  <c r="DB1018" i="6"/>
  <c r="DB1004" i="6"/>
  <c r="DB996" i="6"/>
  <c r="DB988" i="6"/>
  <c r="DB1169" i="6"/>
  <c r="DB1124" i="6"/>
  <c r="DB1107" i="6"/>
  <c r="DB1099" i="6"/>
  <c r="DB1098" i="6"/>
  <c r="DB1092" i="6"/>
  <c r="DB1087" i="6"/>
  <c r="DB1062" i="6"/>
  <c r="DB1059" i="6"/>
  <c r="DB1038" i="6"/>
  <c r="DB1035" i="6"/>
  <c r="DB1007" i="6"/>
  <c r="DB1129" i="6"/>
  <c r="DB1111" i="6"/>
  <c r="DB1040" i="6"/>
  <c r="DB1030" i="6"/>
  <c r="DB1019" i="6"/>
  <c r="DB1011" i="6"/>
  <c r="DB1008" i="6"/>
  <c r="DB1005" i="6"/>
  <c r="DB997" i="6"/>
  <c r="DB991" i="6"/>
  <c r="DB978" i="6"/>
  <c r="DB1096" i="6"/>
  <c r="DB1045" i="6"/>
  <c r="DB1024" i="6"/>
  <c r="DB1021" i="6"/>
  <c r="DB1009" i="6"/>
  <c r="DB1006" i="6"/>
  <c r="DB1002" i="6"/>
  <c r="DB986" i="6"/>
  <c r="DB981" i="6"/>
  <c r="DB975" i="6"/>
  <c r="DB968" i="6"/>
  <c r="DB962" i="6"/>
  <c r="DB1053" i="6"/>
  <c r="DB1052" i="6"/>
  <c r="DB1048" i="6"/>
  <c r="DB1145" i="6"/>
  <c r="DB1131" i="6"/>
  <c r="DB1071" i="6"/>
  <c r="DB1057" i="6"/>
  <c r="DB1152" i="6"/>
  <c r="DB1101" i="6"/>
  <c r="DB1083" i="6"/>
  <c r="DB1060" i="6"/>
  <c r="DB1027" i="6"/>
  <c r="DB1022" i="6"/>
  <c r="DB995" i="6"/>
  <c r="DB992" i="6"/>
  <c r="DB1118" i="6"/>
  <c r="DB1093" i="6"/>
  <c r="DB1064" i="6"/>
  <c r="DB1054" i="6"/>
  <c r="DB1029" i="6"/>
  <c r="DB1025" i="6"/>
  <c r="DB1012" i="6"/>
  <c r="DB998" i="6"/>
  <c r="DB1072" i="6"/>
  <c r="DB1051" i="6"/>
  <c r="DB1043" i="6"/>
  <c r="DB1010" i="6"/>
  <c r="DB1001" i="6"/>
  <c r="DB994" i="6"/>
  <c r="DB990" i="6"/>
  <c r="DB1164" i="6"/>
  <c r="DB1088" i="6"/>
  <c r="DB993" i="6"/>
  <c r="DB980" i="6"/>
  <c r="DB963" i="6"/>
  <c r="DB961" i="6"/>
  <c r="DB1091" i="6"/>
  <c r="DB977" i="6"/>
  <c r="DB976" i="6"/>
  <c r="DB1109" i="6"/>
  <c r="DB1080" i="6"/>
  <c r="DB1049" i="6"/>
  <c r="DB1141" i="6"/>
  <c r="DB1090" i="6"/>
  <c r="DB1079" i="6"/>
  <c r="DB1073" i="6"/>
  <c r="DB1036" i="6"/>
  <c r="DB964" i="6"/>
  <c r="DB1110" i="6"/>
  <c r="DB983" i="6"/>
  <c r="DB1033" i="6"/>
  <c r="DB1028" i="6"/>
  <c r="DB989" i="6"/>
  <c r="DB965" i="6"/>
  <c r="DB1046" i="6"/>
  <c r="DB1032" i="6"/>
  <c r="DB999" i="6"/>
  <c r="DB987" i="6"/>
  <c r="DB979" i="6"/>
  <c r="DB1044" i="6"/>
  <c r="DB1056" i="6"/>
  <c r="DB969" i="6"/>
  <c r="DB970" i="6"/>
  <c r="DB1081" i="6"/>
  <c r="DB1003" i="6"/>
  <c r="DB985" i="6"/>
  <c r="DB984" i="6"/>
  <c r="DB1095" i="6"/>
  <c r="DB1000" i="6"/>
  <c r="DB982" i="6"/>
  <c r="CL1190" i="6"/>
  <c r="CL1192" i="6"/>
  <c r="CL1176" i="6"/>
  <c r="CL1191" i="6"/>
  <c r="CL1178" i="6"/>
  <c r="CL1168" i="6"/>
  <c r="CL1160" i="6"/>
  <c r="CL1171" i="6"/>
  <c r="CL1163" i="6"/>
  <c r="CL1165" i="6"/>
  <c r="CL1161" i="6"/>
  <c r="CL1154" i="6"/>
  <c r="CL1146" i="6"/>
  <c r="CL1162" i="6"/>
  <c r="CL1149" i="6"/>
  <c r="CL1159" i="6"/>
  <c r="CL1164" i="6"/>
  <c r="CL1139" i="6"/>
  <c r="CL1142" i="6"/>
  <c r="CL1169" i="6"/>
  <c r="CL1179" i="6"/>
  <c r="CL1150" i="6"/>
  <c r="CL1145" i="6"/>
  <c r="CL1138" i="6"/>
  <c r="CL1125" i="6"/>
  <c r="CL1113" i="6"/>
  <c r="CL1105" i="6"/>
  <c r="CL1097" i="6"/>
  <c r="CL1185" i="6"/>
  <c r="CL1170" i="6"/>
  <c r="CL1152" i="6"/>
  <c r="CL1128" i="6"/>
  <c r="CL1116" i="6"/>
  <c r="CL1108" i="6"/>
  <c r="CL1100" i="6"/>
  <c r="CL1148" i="6"/>
  <c r="CL1110" i="6"/>
  <c r="CL1107" i="6"/>
  <c r="CL1103" i="6"/>
  <c r="CL1094" i="6"/>
  <c r="CL1086" i="6"/>
  <c r="CL1153" i="6"/>
  <c r="CL1104" i="6"/>
  <c r="CL1101" i="6"/>
  <c r="CL1098" i="6"/>
  <c r="CL1089" i="6"/>
  <c r="CL1151" i="6"/>
  <c r="CL1140" i="6"/>
  <c r="CL1136" i="6"/>
  <c r="CL1095" i="6"/>
  <c r="CL1063" i="6"/>
  <c r="CL1055" i="6"/>
  <c r="CL1047" i="6"/>
  <c r="CL1039" i="6"/>
  <c r="CL1031" i="6"/>
  <c r="CL1023" i="6"/>
  <c r="CL1017" i="6"/>
  <c r="CL1184" i="6"/>
  <c r="CL1102" i="6"/>
  <c r="CL1096" i="6"/>
  <c r="CL1092" i="6"/>
  <c r="CL1082" i="6"/>
  <c r="CL1078" i="6"/>
  <c r="CL1074" i="6"/>
  <c r="CL1070" i="6"/>
  <c r="CL1058" i="6"/>
  <c r="CL1050" i="6"/>
  <c r="CL1042" i="6"/>
  <c r="CL1034" i="6"/>
  <c r="CL1026" i="6"/>
  <c r="CL1127" i="6"/>
  <c r="CL1126" i="6"/>
  <c r="CL1117" i="6"/>
  <c r="CL1115" i="6"/>
  <c r="CL1106" i="6"/>
  <c r="CL1084" i="6"/>
  <c r="CL1054" i="6"/>
  <c r="CL1051" i="6"/>
  <c r="CL1048" i="6"/>
  <c r="CL1030" i="6"/>
  <c r="CL1027" i="6"/>
  <c r="CL1004" i="6"/>
  <c r="CL996" i="6"/>
  <c r="CL988" i="6"/>
  <c r="CL1141" i="6"/>
  <c r="CL1129" i="6"/>
  <c r="CL1124" i="6"/>
  <c r="CL1087" i="6"/>
  <c r="CL1073" i="6"/>
  <c r="CL1072" i="6"/>
  <c r="CL1071" i="6"/>
  <c r="CL1052" i="6"/>
  <c r="CL1049" i="6"/>
  <c r="CL1045" i="6"/>
  <c r="CL1028" i="6"/>
  <c r="CL1024" i="6"/>
  <c r="CL1007" i="6"/>
  <c r="CL1144" i="6"/>
  <c r="CL1123" i="6"/>
  <c r="CL1040" i="6"/>
  <c r="CL1019" i="6"/>
  <c r="CL1018" i="6"/>
  <c r="CL998" i="6"/>
  <c r="CL992" i="6"/>
  <c r="CL986" i="6"/>
  <c r="CL978" i="6"/>
  <c r="CL1166" i="6"/>
  <c r="CL1081" i="6"/>
  <c r="CL1061" i="6"/>
  <c r="CL1060" i="6"/>
  <c r="CL1056" i="6"/>
  <c r="CL1035" i="6"/>
  <c r="CL1021" i="6"/>
  <c r="CL999" i="6"/>
  <c r="CL987" i="6"/>
  <c r="CL981" i="6"/>
  <c r="CL975" i="6"/>
  <c r="CL968" i="6"/>
  <c r="CL962" i="6"/>
  <c r="CL1099" i="6"/>
  <c r="CL1043" i="6"/>
  <c r="CL1167" i="6"/>
  <c r="CL1090" i="6"/>
  <c r="CL993" i="6"/>
  <c r="CL985" i="6"/>
  <c r="CL982" i="6"/>
  <c r="CL1114" i="6"/>
  <c r="CL1112" i="6"/>
  <c r="CL1109" i="6"/>
  <c r="CL1057" i="6"/>
  <c r="CL1053" i="6"/>
  <c r="CL1038" i="6"/>
  <c r="CL1029" i="6"/>
  <c r="CL1012" i="6"/>
  <c r="CL1005" i="6"/>
  <c r="CL1000" i="6"/>
  <c r="CL997" i="6"/>
  <c r="CL1088" i="6"/>
  <c r="CL1080" i="6"/>
  <c r="CL1077" i="6"/>
  <c r="CL1059" i="6"/>
  <c r="CL1010" i="6"/>
  <c r="CL1009" i="6"/>
  <c r="CL995" i="6"/>
  <c r="CL1083" i="6"/>
  <c r="CL1075" i="6"/>
  <c r="CL1044" i="6"/>
  <c r="CL1032" i="6"/>
  <c r="CL1008" i="6"/>
  <c r="CL965" i="6"/>
  <c r="CL1025" i="6"/>
  <c r="CL991" i="6"/>
  <c r="CL1046" i="6"/>
  <c r="CL1177" i="6"/>
  <c r="CL1001" i="6"/>
  <c r="CL989" i="6"/>
  <c r="CL969" i="6"/>
  <c r="CL1137" i="6"/>
  <c r="CL1079" i="6"/>
  <c r="CL1118" i="6"/>
  <c r="CL1065" i="6"/>
  <c r="CL1062" i="6"/>
  <c r="CL1033" i="6"/>
  <c r="CL990" i="6"/>
  <c r="CL984" i="6"/>
  <c r="CL980" i="6"/>
  <c r="CL970" i="6"/>
  <c r="CL1076" i="6"/>
  <c r="CL1147" i="6"/>
  <c r="CL1041" i="6"/>
  <c r="CL1011" i="6"/>
  <c r="CL1003" i="6"/>
  <c r="CL1143" i="6"/>
  <c r="CL1111" i="6"/>
  <c r="CL1085" i="6"/>
  <c r="CL977" i="6"/>
  <c r="CL976" i="6"/>
  <c r="CL1130" i="6"/>
  <c r="CL1037" i="6"/>
  <c r="CL1020" i="6"/>
  <c r="CL1006" i="6"/>
  <c r="CL961" i="6"/>
  <c r="CL983" i="6"/>
  <c r="CL964" i="6"/>
  <c r="CL1036" i="6"/>
  <c r="CL1091" i="6"/>
  <c r="CL1064" i="6"/>
  <c r="CL1002" i="6"/>
  <c r="CL1093" i="6"/>
  <c r="CL994" i="6"/>
  <c r="CL1131" i="6"/>
  <c r="CL979" i="6"/>
  <c r="CL1022" i="6"/>
  <c r="CL963" i="6"/>
  <c r="CD1190" i="6"/>
  <c r="CD1176" i="6"/>
  <c r="CD1184" i="6"/>
  <c r="CD1179" i="6"/>
  <c r="CD1168" i="6"/>
  <c r="CD1160" i="6"/>
  <c r="CD1171" i="6"/>
  <c r="CD1163" i="6"/>
  <c r="CD1192" i="6"/>
  <c r="CD1159" i="6"/>
  <c r="CD1154" i="6"/>
  <c r="CD1146" i="6"/>
  <c r="CD1178" i="6"/>
  <c r="CD1167" i="6"/>
  <c r="CD1149" i="6"/>
  <c r="CD1166" i="6"/>
  <c r="CD1162" i="6"/>
  <c r="CD1161" i="6"/>
  <c r="CD1139" i="6"/>
  <c r="CD1152" i="6"/>
  <c r="CD1142" i="6"/>
  <c r="CD1153" i="6"/>
  <c r="CD1191" i="6"/>
  <c r="CD1151" i="6"/>
  <c r="CD1125" i="6"/>
  <c r="CD1113" i="6"/>
  <c r="CD1105" i="6"/>
  <c r="CD1097" i="6"/>
  <c r="CD1169" i="6"/>
  <c r="CD1148" i="6"/>
  <c r="CD1128" i="6"/>
  <c r="CD1116" i="6"/>
  <c r="CD1108" i="6"/>
  <c r="CD1100" i="6"/>
  <c r="CD1185" i="6"/>
  <c r="CD1140" i="6"/>
  <c r="CD1131" i="6"/>
  <c r="CD1102" i="6"/>
  <c r="CD1099" i="6"/>
  <c r="CD1094" i="6"/>
  <c r="CD1086" i="6"/>
  <c r="CD1147" i="6"/>
  <c r="CD1144" i="6"/>
  <c r="CD1129" i="6"/>
  <c r="CD1089" i="6"/>
  <c r="CD1164" i="6"/>
  <c r="CD1137" i="6"/>
  <c r="CD1114" i="6"/>
  <c r="CD1109" i="6"/>
  <c r="CD1093" i="6"/>
  <c r="CD1090" i="6"/>
  <c r="CD1087" i="6"/>
  <c r="CD1063" i="6"/>
  <c r="CD1055" i="6"/>
  <c r="CD1047" i="6"/>
  <c r="CD1039" i="6"/>
  <c r="CD1031" i="6"/>
  <c r="CD1023" i="6"/>
  <c r="CD1017" i="6"/>
  <c r="CD1150" i="6"/>
  <c r="CD1130" i="6"/>
  <c r="CD1124" i="6"/>
  <c r="CD1118" i="6"/>
  <c r="CD1104" i="6"/>
  <c r="CD1091" i="6"/>
  <c r="CD1088" i="6"/>
  <c r="CD1082" i="6"/>
  <c r="CD1078" i="6"/>
  <c r="CD1074" i="6"/>
  <c r="CD1070" i="6"/>
  <c r="CD1058" i="6"/>
  <c r="CD1050" i="6"/>
  <c r="CD1042" i="6"/>
  <c r="CD1034" i="6"/>
  <c r="CD1026" i="6"/>
  <c r="CD1101" i="6"/>
  <c r="CD1095" i="6"/>
  <c r="CD1083" i="6"/>
  <c r="CD1046" i="6"/>
  <c r="CD1043" i="6"/>
  <c r="CD1025" i="6"/>
  <c r="CD1021" i="6"/>
  <c r="CD1004" i="6"/>
  <c r="CD996" i="6"/>
  <c r="CD988" i="6"/>
  <c r="CD1103" i="6"/>
  <c r="CD1064" i="6"/>
  <c r="CD1044" i="6"/>
  <c r="CD1040" i="6"/>
  <c r="CD1022" i="6"/>
  <c r="CD1019" i="6"/>
  <c r="CD1007" i="6"/>
  <c r="CD1143" i="6"/>
  <c r="CD1115" i="6"/>
  <c r="CD1111" i="6"/>
  <c r="CD1092" i="6"/>
  <c r="CD1071" i="6"/>
  <c r="CD1062" i="6"/>
  <c r="CD1057" i="6"/>
  <c r="CD1053" i="6"/>
  <c r="CD1052" i="6"/>
  <c r="CD1048" i="6"/>
  <c r="CD1037" i="6"/>
  <c r="CD1036" i="6"/>
  <c r="CD1032" i="6"/>
  <c r="CD1027" i="6"/>
  <c r="CD999" i="6"/>
  <c r="CD987" i="6"/>
  <c r="CD986" i="6"/>
  <c r="CD978" i="6"/>
  <c r="CD1170" i="6"/>
  <c r="CD1136" i="6"/>
  <c r="CD1079" i="6"/>
  <c r="CD1075" i="6"/>
  <c r="CD1072" i="6"/>
  <c r="CD1010" i="6"/>
  <c r="CD994" i="6"/>
  <c r="CD993" i="6"/>
  <c r="CD981" i="6"/>
  <c r="CD975" i="6"/>
  <c r="CD968" i="6"/>
  <c r="CD962" i="6"/>
  <c r="CD1107" i="6"/>
  <c r="CD1096" i="6"/>
  <c r="CD1073" i="6"/>
  <c r="CD1059" i="6"/>
  <c r="CD1165" i="6"/>
  <c r="CD1123" i="6"/>
  <c r="CD1076" i="6"/>
  <c r="CD1110" i="6"/>
  <c r="CD1106" i="6"/>
  <c r="CD1060" i="6"/>
  <c r="CD1033" i="6"/>
  <c r="CD1011" i="6"/>
  <c r="CD1006" i="6"/>
  <c r="CD1002" i="6"/>
  <c r="CD1001" i="6"/>
  <c r="CD980" i="6"/>
  <c r="CD1141" i="6"/>
  <c r="CD1117" i="6"/>
  <c r="CD1054" i="6"/>
  <c r="CD1018" i="6"/>
  <c r="CD992" i="6"/>
  <c r="CD990" i="6"/>
  <c r="CD1127" i="6"/>
  <c r="CD1051" i="6"/>
  <c r="CD1020" i="6"/>
  <c r="CD998" i="6"/>
  <c r="CD1126" i="6"/>
  <c r="CD1035" i="6"/>
  <c r="CD1029" i="6"/>
  <c r="CD970" i="6"/>
  <c r="CD995" i="6"/>
  <c r="CD983" i="6"/>
  <c r="CD1112" i="6"/>
  <c r="CD1098" i="6"/>
  <c r="CD1145" i="6"/>
  <c r="CD1080" i="6"/>
  <c r="CD1049" i="6"/>
  <c r="CD1028" i="6"/>
  <c r="CD1008" i="6"/>
  <c r="CD1084" i="6"/>
  <c r="CD1024" i="6"/>
  <c r="CD979" i="6"/>
  <c r="CD1081" i="6"/>
  <c r="CD1045" i="6"/>
  <c r="CD997" i="6"/>
  <c r="CD989" i="6"/>
  <c r="CD1077" i="6"/>
  <c r="CD1177" i="6"/>
  <c r="CD1038" i="6"/>
  <c r="CD1138" i="6"/>
  <c r="CD1065" i="6"/>
  <c r="CD1056" i="6"/>
  <c r="CD1030" i="6"/>
  <c r="CD1005" i="6"/>
  <c r="CD1041" i="6"/>
  <c r="CD1061" i="6"/>
  <c r="CD985" i="6"/>
  <c r="CD984" i="6"/>
  <c r="CD1012" i="6"/>
  <c r="CD977" i="6"/>
  <c r="CD976" i="6"/>
  <c r="CD965" i="6"/>
  <c r="CD963" i="6"/>
  <c r="CD969" i="6"/>
  <c r="CD961" i="6"/>
  <c r="CD982" i="6"/>
  <c r="CD1000" i="6"/>
  <c r="CD991" i="6"/>
  <c r="CD1009" i="6"/>
  <c r="CD1085" i="6"/>
  <c r="CD1003" i="6"/>
  <c r="CD964" i="6"/>
  <c r="BV1190" i="6"/>
  <c r="BV1176" i="6"/>
  <c r="BV1184" i="6"/>
  <c r="BV1178" i="6"/>
  <c r="BV1177" i="6"/>
  <c r="BV1191" i="6"/>
  <c r="BV1168" i="6"/>
  <c r="BV1160" i="6"/>
  <c r="BV1192" i="6"/>
  <c r="BV1171" i="6"/>
  <c r="BV1163" i="6"/>
  <c r="BV1185" i="6"/>
  <c r="BV1170" i="6"/>
  <c r="BV1169" i="6"/>
  <c r="BV1154" i="6"/>
  <c r="BV1146" i="6"/>
  <c r="BV1179" i="6"/>
  <c r="BV1149" i="6"/>
  <c r="BV1166" i="6"/>
  <c r="BV1153" i="6"/>
  <c r="BV1150" i="6"/>
  <c r="BV1147" i="6"/>
  <c r="BV1139" i="6"/>
  <c r="BV1151" i="6"/>
  <c r="BV1148" i="6"/>
  <c r="BV1142" i="6"/>
  <c r="BV1159" i="6"/>
  <c r="BV1164" i="6"/>
  <c r="BV1145" i="6"/>
  <c r="BV1125" i="6"/>
  <c r="BV1113" i="6"/>
  <c r="BV1105" i="6"/>
  <c r="BV1097" i="6"/>
  <c r="BV1165" i="6"/>
  <c r="BV1128" i="6"/>
  <c r="BV1116" i="6"/>
  <c r="BV1108" i="6"/>
  <c r="BV1100" i="6"/>
  <c r="BV1130" i="6"/>
  <c r="BV1126" i="6"/>
  <c r="BV1094" i="6"/>
  <c r="BV1086" i="6"/>
  <c r="BV1162" i="6"/>
  <c r="BV1127" i="6"/>
  <c r="BV1123" i="6"/>
  <c r="BV1117" i="6"/>
  <c r="BV1114" i="6"/>
  <c r="BV1089" i="6"/>
  <c r="BV1136" i="6"/>
  <c r="BV1063" i="6"/>
  <c r="BV1055" i="6"/>
  <c r="BV1047" i="6"/>
  <c r="BV1039" i="6"/>
  <c r="BV1031" i="6"/>
  <c r="BV1023" i="6"/>
  <c r="BV1017" i="6"/>
  <c r="BV1161" i="6"/>
  <c r="BV1152" i="6"/>
  <c r="BV1143" i="6"/>
  <c r="BV1141" i="6"/>
  <c r="BV1107" i="6"/>
  <c r="BV1101" i="6"/>
  <c r="BV1099" i="6"/>
  <c r="BV1085" i="6"/>
  <c r="BV1084" i="6"/>
  <c r="BV1082" i="6"/>
  <c r="BV1078" i="6"/>
  <c r="BV1074" i="6"/>
  <c r="BV1070" i="6"/>
  <c r="BV1058" i="6"/>
  <c r="BV1050" i="6"/>
  <c r="BV1042" i="6"/>
  <c r="BV1034" i="6"/>
  <c r="BV1026" i="6"/>
  <c r="BV1138" i="6"/>
  <c r="BV1109" i="6"/>
  <c r="BV1077" i="6"/>
  <c r="BV1076" i="6"/>
  <c r="BV1075" i="6"/>
  <c r="BV1065" i="6"/>
  <c r="BV1061" i="6"/>
  <c r="BV1041" i="6"/>
  <c r="BV1037" i="6"/>
  <c r="BV1020" i="6"/>
  <c r="BV1018" i="6"/>
  <c r="BV1004" i="6"/>
  <c r="BV996" i="6"/>
  <c r="BV988" i="6"/>
  <c r="BV1129" i="6"/>
  <c r="BV1118" i="6"/>
  <c r="BV1112" i="6"/>
  <c r="BV1111" i="6"/>
  <c r="BV1062" i="6"/>
  <c r="BV1059" i="6"/>
  <c r="BV1038" i="6"/>
  <c r="BV1035" i="6"/>
  <c r="BV1007" i="6"/>
  <c r="BV1110" i="6"/>
  <c r="BV1083" i="6"/>
  <c r="BV1011" i="6"/>
  <c r="BV1008" i="6"/>
  <c r="BV1005" i="6"/>
  <c r="BV994" i="6"/>
  <c r="BV993" i="6"/>
  <c r="BV986" i="6"/>
  <c r="BV978" i="6"/>
  <c r="BV1137" i="6"/>
  <c r="BV1081" i="6"/>
  <c r="BV1060" i="6"/>
  <c r="BV1056" i="6"/>
  <c r="BV1051" i="6"/>
  <c r="BV1012" i="6"/>
  <c r="BV1009" i="6"/>
  <c r="BV1006" i="6"/>
  <c r="BV1002" i="6"/>
  <c r="BV989" i="6"/>
  <c r="BV981" i="6"/>
  <c r="BV975" i="6"/>
  <c r="BV968" i="6"/>
  <c r="BV962" i="6"/>
  <c r="BV1103" i="6"/>
  <c r="BV1098" i="6"/>
  <c r="BV1092" i="6"/>
  <c r="BV1087" i="6"/>
  <c r="BV1167" i="6"/>
  <c r="BV1144" i="6"/>
  <c r="BV1115" i="6"/>
  <c r="BV1102" i="6"/>
  <c r="BV1049" i="6"/>
  <c r="BV987" i="6"/>
  <c r="BV1131" i="6"/>
  <c r="BV1124" i="6"/>
  <c r="BV1104" i="6"/>
  <c r="BV1093" i="6"/>
  <c r="BV1071" i="6"/>
  <c r="BV1048" i="6"/>
  <c r="BV1032" i="6"/>
  <c r="BV1028" i="6"/>
  <c r="BV1000" i="6"/>
  <c r="BV991" i="6"/>
  <c r="BV1096" i="6"/>
  <c r="BV1079" i="6"/>
  <c r="BV1052" i="6"/>
  <c r="BV1046" i="6"/>
  <c r="BV1044" i="6"/>
  <c r="BV1091" i="6"/>
  <c r="BV1057" i="6"/>
  <c r="BV1025" i="6"/>
  <c r="BV1019" i="6"/>
  <c r="BV999" i="6"/>
  <c r="BV992" i="6"/>
  <c r="BV1022" i="6"/>
  <c r="BV1088" i="6"/>
  <c r="BV1080" i="6"/>
  <c r="BV1033" i="6"/>
  <c r="BV1140" i="6"/>
  <c r="BV1054" i="6"/>
  <c r="BV1036" i="6"/>
  <c r="BV1027" i="6"/>
  <c r="BV1003" i="6"/>
  <c r="BV990" i="6"/>
  <c r="BV983" i="6"/>
  <c r="BV979" i="6"/>
  <c r="BV1043" i="6"/>
  <c r="BV977" i="6"/>
  <c r="BV976" i="6"/>
  <c r="BV961" i="6"/>
  <c r="BV1030" i="6"/>
  <c r="BV1021" i="6"/>
  <c r="BV985" i="6"/>
  <c r="BV1064" i="6"/>
  <c r="BV982" i="6"/>
  <c r="BV1095" i="6"/>
  <c r="BV1029" i="6"/>
  <c r="BV984" i="6"/>
  <c r="BV963" i="6"/>
  <c r="BV1106" i="6"/>
  <c r="BV1045" i="6"/>
  <c r="BV1073" i="6"/>
  <c r="BV1001" i="6"/>
  <c r="BV1010" i="6"/>
  <c r="BV1053" i="6"/>
  <c r="BV965" i="6"/>
  <c r="BV1090" i="6"/>
  <c r="BV969" i="6"/>
  <c r="BV1040" i="6"/>
  <c r="BV995" i="6"/>
  <c r="BV964" i="6"/>
  <c r="BV998" i="6"/>
  <c r="BV997" i="6"/>
  <c r="BV980" i="6"/>
  <c r="BV970" i="6"/>
  <c r="BV1072" i="6"/>
  <c r="BV1024" i="6"/>
  <c r="BN368" i="6"/>
  <c r="BN1190" i="6"/>
  <c r="BN1184" i="6"/>
  <c r="BN1178" i="6"/>
  <c r="BN1177" i="6"/>
  <c r="BN1179" i="6"/>
  <c r="BN1168" i="6"/>
  <c r="BN1160" i="6"/>
  <c r="BN1176" i="6"/>
  <c r="BN1171" i="6"/>
  <c r="BN1163" i="6"/>
  <c r="BN1166" i="6"/>
  <c r="BN1154" i="6"/>
  <c r="BN1146" i="6"/>
  <c r="BN1191" i="6"/>
  <c r="BN1185" i="6"/>
  <c r="BN1164" i="6"/>
  <c r="BN1149" i="6"/>
  <c r="BN1165" i="6"/>
  <c r="BN1161" i="6"/>
  <c r="BN1167" i="6"/>
  <c r="BN1145" i="6"/>
  <c r="BN1139" i="6"/>
  <c r="BN1142" i="6"/>
  <c r="BN1147" i="6"/>
  <c r="BN1143" i="6"/>
  <c r="BN1140" i="6"/>
  <c r="BN1125" i="6"/>
  <c r="BN1113" i="6"/>
  <c r="BN1105" i="6"/>
  <c r="BN1097" i="6"/>
  <c r="BN1159" i="6"/>
  <c r="BN1151" i="6"/>
  <c r="BN1144" i="6"/>
  <c r="BN1141" i="6"/>
  <c r="BN1128" i="6"/>
  <c r="BN1116" i="6"/>
  <c r="BN1108" i="6"/>
  <c r="BN1100" i="6"/>
  <c r="BN1192" i="6"/>
  <c r="BN1170" i="6"/>
  <c r="BN1124" i="6"/>
  <c r="BN1118" i="6"/>
  <c r="BN1115" i="6"/>
  <c r="BN1111" i="6"/>
  <c r="BN1094" i="6"/>
  <c r="BN1086" i="6"/>
  <c r="BN1153" i="6"/>
  <c r="BN1136" i="6"/>
  <c r="BN1112" i="6"/>
  <c r="BN1109" i="6"/>
  <c r="BN1106" i="6"/>
  <c r="BN1089" i="6"/>
  <c r="BN1169" i="6"/>
  <c r="BN1162" i="6"/>
  <c r="BN1138" i="6"/>
  <c r="BN1127" i="6"/>
  <c r="BN1123" i="6"/>
  <c r="BN1117" i="6"/>
  <c r="BN1063" i="6"/>
  <c r="BN1055" i="6"/>
  <c r="BN1047" i="6"/>
  <c r="BN1039" i="6"/>
  <c r="BN1031" i="6"/>
  <c r="BN1023" i="6"/>
  <c r="BN1017" i="6"/>
  <c r="BN1129" i="6"/>
  <c r="BN1104" i="6"/>
  <c r="BN1082" i="6"/>
  <c r="BN1078" i="6"/>
  <c r="BN1074" i="6"/>
  <c r="BN1070" i="6"/>
  <c r="BN1058" i="6"/>
  <c r="BN1050" i="6"/>
  <c r="BN1042" i="6"/>
  <c r="BN1034" i="6"/>
  <c r="BN1026" i="6"/>
  <c r="BN1102" i="6"/>
  <c r="BN1095" i="6"/>
  <c r="BN1090" i="6"/>
  <c r="BN1088" i="6"/>
  <c r="BN1085" i="6"/>
  <c r="BN1060" i="6"/>
  <c r="BN1056" i="6"/>
  <c r="BN1036" i="6"/>
  <c r="BN1032" i="6"/>
  <c r="BN1004" i="6"/>
  <c r="BN996" i="6"/>
  <c r="BN988" i="6"/>
  <c r="BN1107" i="6"/>
  <c r="BN1099" i="6"/>
  <c r="BN1098" i="6"/>
  <c r="BN1093" i="6"/>
  <c r="BN1091" i="6"/>
  <c r="BN1081" i="6"/>
  <c r="BN1080" i="6"/>
  <c r="BN1079" i="6"/>
  <c r="BN1057" i="6"/>
  <c r="BN1053" i="6"/>
  <c r="BN1033" i="6"/>
  <c r="BN1029" i="6"/>
  <c r="BN1012" i="6"/>
  <c r="BN1007" i="6"/>
  <c r="BN1148" i="6"/>
  <c r="BN1096" i="6"/>
  <c r="BN1071" i="6"/>
  <c r="BN1052" i="6"/>
  <c r="BN1048" i="6"/>
  <c r="BN1043" i="6"/>
  <c r="BN1041" i="6"/>
  <c r="BN1027" i="6"/>
  <c r="BN1022" i="6"/>
  <c r="BN1020" i="6"/>
  <c r="BN1003" i="6"/>
  <c r="BN1000" i="6"/>
  <c r="BN989" i="6"/>
  <c r="BN986" i="6"/>
  <c r="BN978" i="6"/>
  <c r="BN1072" i="6"/>
  <c r="BN1046" i="6"/>
  <c r="BN1044" i="6"/>
  <c r="BN1025" i="6"/>
  <c r="BN1001" i="6"/>
  <c r="BN995" i="6"/>
  <c r="BN981" i="6"/>
  <c r="BN975" i="6"/>
  <c r="BN968" i="6"/>
  <c r="BN962" i="6"/>
  <c r="BN1110" i="6"/>
  <c r="BN1101" i="6"/>
  <c r="BN1126" i="6"/>
  <c r="BN1073" i="6"/>
  <c r="BN1062" i="6"/>
  <c r="BN1130" i="6"/>
  <c r="BN1084" i="6"/>
  <c r="BN1045" i="6"/>
  <c r="BN1037" i="6"/>
  <c r="BN1019" i="6"/>
  <c r="BN1010" i="6"/>
  <c r="BN1009" i="6"/>
  <c r="BN997" i="6"/>
  <c r="BN1049" i="6"/>
  <c r="BN1040" i="6"/>
  <c r="BN1024" i="6"/>
  <c r="BN1021" i="6"/>
  <c r="BN1018" i="6"/>
  <c r="BN999" i="6"/>
  <c r="BN993" i="6"/>
  <c r="BN1150" i="6"/>
  <c r="BN1077" i="6"/>
  <c r="BN1061" i="6"/>
  <c r="BN1059" i="6"/>
  <c r="BN1011" i="6"/>
  <c r="BN1006" i="6"/>
  <c r="BN1002" i="6"/>
  <c r="BN1087" i="6"/>
  <c r="BN1076" i="6"/>
  <c r="BN1051" i="6"/>
  <c r="BN1008" i="6"/>
  <c r="BN994" i="6"/>
  <c r="BN982" i="6"/>
  <c r="BN1152" i="6"/>
  <c r="BN987" i="6"/>
  <c r="BN1114" i="6"/>
  <c r="BN1092" i="6"/>
  <c r="BN1083" i="6"/>
  <c r="BN1035" i="6"/>
  <c r="BN1131" i="6"/>
  <c r="BN998" i="6"/>
  <c r="BN984" i="6"/>
  <c r="BN977" i="6"/>
  <c r="BN976" i="6"/>
  <c r="BN990" i="6"/>
  <c r="BN961" i="6"/>
  <c r="BN1103" i="6"/>
  <c r="BN1064" i="6"/>
  <c r="BN1028" i="6"/>
  <c r="BN991" i="6"/>
  <c r="BN964" i="6"/>
  <c r="BN1075" i="6"/>
  <c r="BN1054" i="6"/>
  <c r="BN1005" i="6"/>
  <c r="BN980" i="6"/>
  <c r="BN969" i="6"/>
  <c r="BN963" i="6"/>
  <c r="BN970" i="6"/>
  <c r="BN1137" i="6"/>
  <c r="BN992" i="6"/>
  <c r="BN983" i="6"/>
  <c r="BN1030" i="6"/>
  <c r="BN985" i="6"/>
  <c r="BN1065" i="6"/>
  <c r="BN979" i="6"/>
  <c r="BN1038" i="6"/>
  <c r="BN965" i="6"/>
  <c r="CX1185" i="6"/>
  <c r="CX1176" i="6"/>
  <c r="CX1177" i="6"/>
  <c r="CX1184" i="6"/>
  <c r="CX1178" i="6"/>
  <c r="CX1190" i="6"/>
  <c r="CX1169" i="6"/>
  <c r="CX1191" i="6"/>
  <c r="CX1164" i="6"/>
  <c r="CX1192" i="6"/>
  <c r="CX1167" i="6"/>
  <c r="CX1159" i="6"/>
  <c r="CX1163" i="6"/>
  <c r="CX1161" i="6"/>
  <c r="CX1150" i="6"/>
  <c r="CX1160" i="6"/>
  <c r="CX1153" i="6"/>
  <c r="CX1145" i="6"/>
  <c r="CX1166" i="6"/>
  <c r="CX1143" i="6"/>
  <c r="CX1179" i="6"/>
  <c r="CX1165" i="6"/>
  <c r="CX1138" i="6"/>
  <c r="CX1171" i="6"/>
  <c r="CX1149" i="6"/>
  <c r="CX1129" i="6"/>
  <c r="CX1117" i="6"/>
  <c r="CX1109" i="6"/>
  <c r="CX1101" i="6"/>
  <c r="CX1124" i="6"/>
  <c r="CX1112" i="6"/>
  <c r="CX1104" i="6"/>
  <c r="CX1152" i="6"/>
  <c r="CX1146" i="6"/>
  <c r="CX1105" i="6"/>
  <c r="CX1103" i="6"/>
  <c r="CX1102" i="6"/>
  <c r="CX1099" i="6"/>
  <c r="CX1090" i="6"/>
  <c r="CX1084" i="6"/>
  <c r="CX1170" i="6"/>
  <c r="CX1154" i="6"/>
  <c r="CX1147" i="6"/>
  <c r="CX1137" i="6"/>
  <c r="CX1136" i="6"/>
  <c r="CX1100" i="6"/>
  <c r="CX1098" i="6"/>
  <c r="CX1093" i="6"/>
  <c r="CX1168" i="6"/>
  <c r="CX1125" i="6"/>
  <c r="CX1106" i="6"/>
  <c r="CX1097" i="6"/>
  <c r="CX1095" i="6"/>
  <c r="CX1059" i="6"/>
  <c r="CX1051" i="6"/>
  <c r="CX1043" i="6"/>
  <c r="CX1035" i="6"/>
  <c r="CX1027" i="6"/>
  <c r="CX1019" i="6"/>
  <c r="CX1126" i="6"/>
  <c r="CX1111" i="6"/>
  <c r="CX1107" i="6"/>
  <c r="CX1094" i="6"/>
  <c r="CX1092" i="6"/>
  <c r="CX1091" i="6"/>
  <c r="CX1088" i="6"/>
  <c r="CX1080" i="6"/>
  <c r="CX1076" i="6"/>
  <c r="CX1072" i="6"/>
  <c r="CX1062" i="6"/>
  <c r="CX1054" i="6"/>
  <c r="CX1046" i="6"/>
  <c r="CX1038" i="6"/>
  <c r="CX1030" i="6"/>
  <c r="CX1022" i="6"/>
  <c r="CX1012" i="6"/>
  <c r="CX1113" i="6"/>
  <c r="CX1050" i="6"/>
  <c r="CX1048" i="6"/>
  <c r="CX1025" i="6"/>
  <c r="CX1008" i="6"/>
  <c r="CX1000" i="6"/>
  <c r="CX992" i="6"/>
  <c r="CX1114" i="6"/>
  <c r="CX1078" i="6"/>
  <c r="CX1071" i="6"/>
  <c r="CX1047" i="6"/>
  <c r="CX1045" i="6"/>
  <c r="CX1044" i="6"/>
  <c r="CX1026" i="6"/>
  <c r="CX1024" i="6"/>
  <c r="CX1011" i="6"/>
  <c r="CX1003" i="6"/>
  <c r="CX1141" i="6"/>
  <c r="CX1116" i="6"/>
  <c r="CX1110" i="6"/>
  <c r="CX1083" i="6"/>
  <c r="CX994" i="6"/>
  <c r="CX988" i="6"/>
  <c r="CX982" i="6"/>
  <c r="CX969" i="6"/>
  <c r="CX1081" i="6"/>
  <c r="CX1060" i="6"/>
  <c r="CX1029" i="6"/>
  <c r="CX995" i="6"/>
  <c r="CX989" i="6"/>
  <c r="CX985" i="6"/>
  <c r="CX977" i="6"/>
  <c r="CX964" i="6"/>
  <c r="CX1096" i="6"/>
  <c r="CX1055" i="6"/>
  <c r="CX1148" i="6"/>
  <c r="CX1139" i="6"/>
  <c r="CX1115" i="6"/>
  <c r="CX1082" i="6"/>
  <c r="CX1151" i="6"/>
  <c r="CX1089" i="6"/>
  <c r="CX1075" i="6"/>
  <c r="CX1063" i="6"/>
  <c r="CX1052" i="6"/>
  <c r="CX1036" i="6"/>
  <c r="CX1033" i="6"/>
  <c r="CX1020" i="6"/>
  <c r="CX986" i="6"/>
  <c r="CX980" i="6"/>
  <c r="CX1140" i="6"/>
  <c r="CX1087" i="6"/>
  <c r="CX1073" i="6"/>
  <c r="CX1041" i="6"/>
  <c r="CX1040" i="6"/>
  <c r="CX1021" i="6"/>
  <c r="CX1018" i="6"/>
  <c r="CX997" i="6"/>
  <c r="CX993" i="6"/>
  <c r="CX1130" i="6"/>
  <c r="CX1108" i="6"/>
  <c r="CX1079" i="6"/>
  <c r="CX1039" i="6"/>
  <c r="CX1037" i="6"/>
  <c r="CX1023" i="6"/>
  <c r="CX1009" i="6"/>
  <c r="CX1004" i="6"/>
  <c r="CX999" i="6"/>
  <c r="CX1065" i="6"/>
  <c r="CX1007" i="6"/>
  <c r="CX970" i="6"/>
  <c r="CX1142" i="6"/>
  <c r="CX1028" i="6"/>
  <c r="CX1001" i="6"/>
  <c r="CX990" i="6"/>
  <c r="CX963" i="6"/>
  <c r="CX1123" i="6"/>
  <c r="CX1118" i="6"/>
  <c r="CX1057" i="6"/>
  <c r="CX1053" i="6"/>
  <c r="CX1017" i="6"/>
  <c r="CX1006" i="6"/>
  <c r="CX975" i="6"/>
  <c r="CX996" i="6"/>
  <c r="CX1070" i="6"/>
  <c r="CX1064" i="6"/>
  <c r="CX1058" i="6"/>
  <c r="CX1162" i="6"/>
  <c r="CX1085" i="6"/>
  <c r="CX1077" i="6"/>
  <c r="CX1042" i="6"/>
  <c r="CX1002" i="6"/>
  <c r="CX998" i="6"/>
  <c r="CX968" i="6"/>
  <c r="CX1061" i="6"/>
  <c r="CX1010" i="6"/>
  <c r="CX984" i="6"/>
  <c r="CX961" i="6"/>
  <c r="CX1005" i="6"/>
  <c r="CX962" i="6"/>
  <c r="CX1131" i="6"/>
  <c r="CX1074" i="6"/>
  <c r="CX1034" i="6"/>
  <c r="CX1144" i="6"/>
  <c r="CX983" i="6"/>
  <c r="CX981" i="6"/>
  <c r="CX987" i="6"/>
  <c r="CX965" i="6"/>
  <c r="CX1127" i="6"/>
  <c r="CX978" i="6"/>
  <c r="CX1128" i="6"/>
  <c r="CX1056" i="6"/>
  <c r="CX1031" i="6"/>
  <c r="CX1032" i="6"/>
  <c r="CX979" i="6"/>
  <c r="CX991" i="6"/>
  <c r="CX976" i="6"/>
  <c r="CX1086" i="6"/>
  <c r="CX1049" i="6"/>
  <c r="BR1185" i="6"/>
  <c r="BR1176" i="6"/>
  <c r="BR1191" i="6"/>
  <c r="BR1192" i="6"/>
  <c r="BR1184" i="6"/>
  <c r="BR1169" i="6"/>
  <c r="BR1164" i="6"/>
  <c r="BR1177" i="6"/>
  <c r="BR1167" i="6"/>
  <c r="BR1159" i="6"/>
  <c r="BR1171" i="6"/>
  <c r="BR1163" i="6"/>
  <c r="BR1161" i="6"/>
  <c r="BR1150" i="6"/>
  <c r="BR1170" i="6"/>
  <c r="BR1160" i="6"/>
  <c r="BR1153" i="6"/>
  <c r="BR1145" i="6"/>
  <c r="BR1179" i="6"/>
  <c r="BR1165" i="6"/>
  <c r="BR1143" i="6"/>
  <c r="BR1138" i="6"/>
  <c r="BR1129" i="6"/>
  <c r="BR1117" i="6"/>
  <c r="BR1109" i="6"/>
  <c r="BR1101" i="6"/>
  <c r="BR1124" i="6"/>
  <c r="BR1112" i="6"/>
  <c r="BR1104" i="6"/>
  <c r="BR1149" i="6"/>
  <c r="BR1148" i="6"/>
  <c r="BR1140" i="6"/>
  <c r="BR1105" i="6"/>
  <c r="BR1103" i="6"/>
  <c r="BR1102" i="6"/>
  <c r="BR1099" i="6"/>
  <c r="BR1090" i="6"/>
  <c r="BR1084" i="6"/>
  <c r="BR1151" i="6"/>
  <c r="BR1141" i="6"/>
  <c r="BR1100" i="6"/>
  <c r="BR1098" i="6"/>
  <c r="BR1093" i="6"/>
  <c r="BR1131" i="6"/>
  <c r="BR1114" i="6"/>
  <c r="BR1095" i="6"/>
  <c r="BR1059" i="6"/>
  <c r="BR1051" i="6"/>
  <c r="BR1043" i="6"/>
  <c r="BR1035" i="6"/>
  <c r="BR1027" i="6"/>
  <c r="BR1019" i="6"/>
  <c r="BR1139" i="6"/>
  <c r="BR1115" i="6"/>
  <c r="BR1110" i="6"/>
  <c r="BR1094" i="6"/>
  <c r="BR1092" i="6"/>
  <c r="BR1091" i="6"/>
  <c r="BR1088" i="6"/>
  <c r="BR1080" i="6"/>
  <c r="BR1076" i="6"/>
  <c r="BR1072" i="6"/>
  <c r="BR1062" i="6"/>
  <c r="BR1054" i="6"/>
  <c r="BR1046" i="6"/>
  <c r="BR1038" i="6"/>
  <c r="BR1030" i="6"/>
  <c r="BR1022" i="6"/>
  <c r="BR1012" i="6"/>
  <c r="BR1190" i="6"/>
  <c r="BR1166" i="6"/>
  <c r="BR1127" i="6"/>
  <c r="BR1126" i="6"/>
  <c r="BR1123" i="6"/>
  <c r="BR1116" i="6"/>
  <c r="BR1106" i="6"/>
  <c r="BR1050" i="6"/>
  <c r="BR1048" i="6"/>
  <c r="BR1025" i="6"/>
  <c r="BR1008" i="6"/>
  <c r="BR1000" i="6"/>
  <c r="BR992" i="6"/>
  <c r="BR1162" i="6"/>
  <c r="BR1146" i="6"/>
  <c r="BR1144" i="6"/>
  <c r="BR1136" i="6"/>
  <c r="BR1125" i="6"/>
  <c r="BR1096" i="6"/>
  <c r="BR1078" i="6"/>
  <c r="BR1071" i="6"/>
  <c r="BR1047" i="6"/>
  <c r="BR1045" i="6"/>
  <c r="BR1044" i="6"/>
  <c r="BR1026" i="6"/>
  <c r="BR1024" i="6"/>
  <c r="BR1011" i="6"/>
  <c r="BR1003" i="6"/>
  <c r="BR1154" i="6"/>
  <c r="BR1073" i="6"/>
  <c r="BR1070" i="6"/>
  <c r="BR1053" i="6"/>
  <c r="BR1037" i="6"/>
  <c r="BR1032" i="6"/>
  <c r="BR997" i="6"/>
  <c r="BR991" i="6"/>
  <c r="BR982" i="6"/>
  <c r="BR969" i="6"/>
  <c r="BR1130" i="6"/>
  <c r="BR1118" i="6"/>
  <c r="BR1113" i="6"/>
  <c r="BR1079" i="6"/>
  <c r="BR1077" i="6"/>
  <c r="BR1075" i="6"/>
  <c r="BR1074" i="6"/>
  <c r="BR1065" i="6"/>
  <c r="BR1064" i="6"/>
  <c r="BR1063" i="6"/>
  <c r="BR1058" i="6"/>
  <c r="BR1049" i="6"/>
  <c r="BR1033" i="6"/>
  <c r="BR1028" i="6"/>
  <c r="BR998" i="6"/>
  <c r="BR985" i="6"/>
  <c r="BR977" i="6"/>
  <c r="BR964" i="6"/>
  <c r="BR1147" i="6"/>
  <c r="BR1083" i="6"/>
  <c r="BR1089" i="6"/>
  <c r="BR1061" i="6"/>
  <c r="BR1057" i="6"/>
  <c r="BR1055" i="6"/>
  <c r="BR1039" i="6"/>
  <c r="BR1023" i="6"/>
  <c r="BR1002" i="6"/>
  <c r="BR980" i="6"/>
  <c r="BR1178" i="6"/>
  <c r="BR1152" i="6"/>
  <c r="BR1111" i="6"/>
  <c r="BR1108" i="6"/>
  <c r="BR1087" i="6"/>
  <c r="BR1081" i="6"/>
  <c r="BR1029" i="6"/>
  <c r="BR1017" i="6"/>
  <c r="BR1007" i="6"/>
  <c r="BR990" i="6"/>
  <c r="BR1142" i="6"/>
  <c r="BR1128" i="6"/>
  <c r="BR1097" i="6"/>
  <c r="BR1042" i="6"/>
  <c r="BR994" i="6"/>
  <c r="BR1040" i="6"/>
  <c r="BR1005" i="6"/>
  <c r="BR1001" i="6"/>
  <c r="BR996" i="6"/>
  <c r="BR984" i="6"/>
  <c r="BR970" i="6"/>
  <c r="BR963" i="6"/>
  <c r="BR962" i="6"/>
  <c r="BR1036" i="6"/>
  <c r="BR1018" i="6"/>
  <c r="BR1137" i="6"/>
  <c r="BR1041" i="6"/>
  <c r="BR1009" i="6"/>
  <c r="BR995" i="6"/>
  <c r="BR975" i="6"/>
  <c r="BR965" i="6"/>
  <c r="BR1086" i="6"/>
  <c r="BR989" i="6"/>
  <c r="BR983" i="6"/>
  <c r="BR981" i="6"/>
  <c r="BR1021" i="6"/>
  <c r="BR1082" i="6"/>
  <c r="BR1168" i="6"/>
  <c r="BR1107" i="6"/>
  <c r="BR1020" i="6"/>
  <c r="BR999" i="6"/>
  <c r="BR988" i="6"/>
  <c r="BR986" i="6"/>
  <c r="BR968" i="6"/>
  <c r="BR1052" i="6"/>
  <c r="BR1056" i="6"/>
  <c r="BR1034" i="6"/>
  <c r="BR987" i="6"/>
  <c r="BR961" i="6"/>
  <c r="BR1085" i="6"/>
  <c r="BR979" i="6"/>
  <c r="BR993" i="6"/>
  <c r="BR976" i="6"/>
  <c r="BR1010" i="6"/>
  <c r="BR1006" i="6"/>
  <c r="BR1060" i="6"/>
  <c r="BR1031" i="6"/>
  <c r="BR1004" i="6"/>
  <c r="BR978" i="6"/>
  <c r="CV1178" i="6"/>
  <c r="CV1176" i="6"/>
  <c r="CV1171" i="6"/>
  <c r="CV1185" i="6"/>
  <c r="CV1177" i="6"/>
  <c r="CV1166" i="6"/>
  <c r="CV1191" i="6"/>
  <c r="CV1190" i="6"/>
  <c r="CV1169" i="6"/>
  <c r="CV1161" i="6"/>
  <c r="CV1165" i="6"/>
  <c r="CV1152" i="6"/>
  <c r="CV1144" i="6"/>
  <c r="CV1192" i="6"/>
  <c r="CV1179" i="6"/>
  <c r="CV1162" i="6"/>
  <c r="CV1147" i="6"/>
  <c r="CV1163" i="6"/>
  <c r="CV1159" i="6"/>
  <c r="CV1137" i="6"/>
  <c r="CV1170" i="6"/>
  <c r="CV1140" i="6"/>
  <c r="CV1160" i="6"/>
  <c r="CV1184" i="6"/>
  <c r="CV1164" i="6"/>
  <c r="CV1151" i="6"/>
  <c r="CV1142" i="6"/>
  <c r="CV1138" i="6"/>
  <c r="CV1131" i="6"/>
  <c r="CV1123" i="6"/>
  <c r="CV1111" i="6"/>
  <c r="CV1103" i="6"/>
  <c r="CV1154" i="6"/>
  <c r="CV1139" i="6"/>
  <c r="CV1126" i="6"/>
  <c r="CV1114" i="6"/>
  <c r="CV1106" i="6"/>
  <c r="CV1098" i="6"/>
  <c r="CV1113" i="6"/>
  <c r="CV1110" i="6"/>
  <c r="CV1107" i="6"/>
  <c r="CV1092" i="6"/>
  <c r="CV1141" i="6"/>
  <c r="CV1108" i="6"/>
  <c r="CV1104" i="6"/>
  <c r="CV1101" i="6"/>
  <c r="CV1095" i="6"/>
  <c r="CV1087" i="6"/>
  <c r="CV1061" i="6"/>
  <c r="CV1053" i="6"/>
  <c r="CV1045" i="6"/>
  <c r="CV1037" i="6"/>
  <c r="CV1029" i="6"/>
  <c r="CV1021" i="6"/>
  <c r="CV1018" i="6"/>
  <c r="CV1167" i="6"/>
  <c r="CV1148" i="6"/>
  <c r="CV1115" i="6"/>
  <c r="CV1099" i="6"/>
  <c r="CV1096" i="6"/>
  <c r="CV1083" i="6"/>
  <c r="CV1079" i="6"/>
  <c r="CV1075" i="6"/>
  <c r="CV1071" i="6"/>
  <c r="CV1064" i="6"/>
  <c r="CV1056" i="6"/>
  <c r="CV1048" i="6"/>
  <c r="CV1040" i="6"/>
  <c r="CV1032" i="6"/>
  <c r="CV1024" i="6"/>
  <c r="CV1102" i="6"/>
  <c r="CV1100" i="6"/>
  <c r="CV1074" i="6"/>
  <c r="CV1058" i="6"/>
  <c r="CV1054" i="6"/>
  <c r="CV1051" i="6"/>
  <c r="CV1034" i="6"/>
  <c r="CV1030" i="6"/>
  <c r="CV1027" i="6"/>
  <c r="CV1017" i="6"/>
  <c r="CV1010" i="6"/>
  <c r="CV1002" i="6"/>
  <c r="CV994" i="6"/>
  <c r="CV986" i="6"/>
  <c r="CV1150" i="6"/>
  <c r="CV1146" i="6"/>
  <c r="CV1145" i="6"/>
  <c r="CV1143" i="6"/>
  <c r="CV1073" i="6"/>
  <c r="CV1072" i="6"/>
  <c r="CV1055" i="6"/>
  <c r="CV1052" i="6"/>
  <c r="CV1049" i="6"/>
  <c r="CV1031" i="6"/>
  <c r="CV1028" i="6"/>
  <c r="CV1005" i="6"/>
  <c r="CV1149" i="6"/>
  <c r="CV1117" i="6"/>
  <c r="CV1093" i="6"/>
  <c r="CV1091" i="6"/>
  <c r="CV1078" i="6"/>
  <c r="CV1076" i="6"/>
  <c r="CV1070" i="6"/>
  <c r="CV1059" i="6"/>
  <c r="CV1012" i="6"/>
  <c r="CV987" i="6"/>
  <c r="CV984" i="6"/>
  <c r="CV1130" i="6"/>
  <c r="CV1118" i="6"/>
  <c r="CV1112" i="6"/>
  <c r="CV1105" i="6"/>
  <c r="CV1094" i="6"/>
  <c r="CV1089" i="6"/>
  <c r="CV1086" i="6"/>
  <c r="CV1080" i="6"/>
  <c r="CV1077" i="6"/>
  <c r="CV1065" i="6"/>
  <c r="CV1063" i="6"/>
  <c r="CV1050" i="6"/>
  <c r="CV1038" i="6"/>
  <c r="CV1033" i="6"/>
  <c r="CV999" i="6"/>
  <c r="CV993" i="6"/>
  <c r="CV979" i="6"/>
  <c r="CV976" i="6"/>
  <c r="CV963" i="6"/>
  <c r="CV1129" i="6"/>
  <c r="CV1116" i="6"/>
  <c r="CV1046" i="6"/>
  <c r="CV1044" i="6"/>
  <c r="CV1019" i="6"/>
  <c r="CV996" i="6"/>
  <c r="CV985" i="6"/>
  <c r="CV982" i="6"/>
  <c r="CV1168" i="6"/>
  <c r="CV1088" i="6"/>
  <c r="CV1060" i="6"/>
  <c r="CV1008" i="6"/>
  <c r="CV1007" i="6"/>
  <c r="CV1003" i="6"/>
  <c r="CV991" i="6"/>
  <c r="CV1153" i="6"/>
  <c r="CV1082" i="6"/>
  <c r="CV1036" i="6"/>
  <c r="CV1022" i="6"/>
  <c r="CV1020" i="6"/>
  <c r="CV997" i="6"/>
  <c r="CV1136" i="6"/>
  <c r="CV1127" i="6"/>
  <c r="CV1081" i="6"/>
  <c r="CV1041" i="6"/>
  <c r="CV992" i="6"/>
  <c r="CV988" i="6"/>
  <c r="CV981" i="6"/>
  <c r="CV978" i="6"/>
  <c r="CV980" i="6"/>
  <c r="CV1042" i="6"/>
  <c r="CV998" i="6"/>
  <c r="CV1128" i="6"/>
  <c r="CV1124" i="6"/>
  <c r="CV1084" i="6"/>
  <c r="CV1026" i="6"/>
  <c r="CV1011" i="6"/>
  <c r="CV969" i="6"/>
  <c r="CV1090" i="6"/>
  <c r="CV975" i="6"/>
  <c r="CV1085" i="6"/>
  <c r="CV1109" i="6"/>
  <c r="CV970" i="6"/>
  <c r="CV1057" i="6"/>
  <c r="CV1043" i="6"/>
  <c r="CV1035" i="6"/>
  <c r="CV1006" i="6"/>
  <c r="CV1004" i="6"/>
  <c r="CV995" i="6"/>
  <c r="CV968" i="6"/>
  <c r="CV1009" i="6"/>
  <c r="CV989" i="6"/>
  <c r="CV1023" i="6"/>
  <c r="CV1047" i="6"/>
  <c r="CV983" i="6"/>
  <c r="CV962" i="6"/>
  <c r="CV965" i="6"/>
  <c r="CV961" i="6"/>
  <c r="CV1062" i="6"/>
  <c r="CV1097" i="6"/>
  <c r="CV1039" i="6"/>
  <c r="CV1001" i="6"/>
  <c r="CV1000" i="6"/>
  <c r="CV977" i="6"/>
  <c r="CV1125" i="6"/>
  <c r="CV1025" i="6"/>
  <c r="CV990" i="6"/>
  <c r="CV964" i="6"/>
  <c r="CN1178" i="6"/>
  <c r="CN1176" i="6"/>
  <c r="CN1177" i="6"/>
  <c r="CN1192" i="6"/>
  <c r="CN1171" i="6"/>
  <c r="CN1166" i="6"/>
  <c r="CN1179" i="6"/>
  <c r="CN1169" i="6"/>
  <c r="CN1161" i="6"/>
  <c r="CN1190" i="6"/>
  <c r="CN1163" i="6"/>
  <c r="CN1159" i="6"/>
  <c r="CN1152" i="6"/>
  <c r="CN1191" i="6"/>
  <c r="CN1185" i="6"/>
  <c r="CN1160" i="6"/>
  <c r="CN1147" i="6"/>
  <c r="CN1168" i="6"/>
  <c r="CN1167" i="6"/>
  <c r="CN1137" i="6"/>
  <c r="CN1140" i="6"/>
  <c r="CN1153" i="6"/>
  <c r="CN1131" i="6"/>
  <c r="CN1123" i="6"/>
  <c r="CN1111" i="6"/>
  <c r="CN1103" i="6"/>
  <c r="CN1184" i="6"/>
  <c r="CN1146" i="6"/>
  <c r="CN1126" i="6"/>
  <c r="CN1114" i="6"/>
  <c r="CN1106" i="6"/>
  <c r="CN1098" i="6"/>
  <c r="CN1149" i="6"/>
  <c r="CN1143" i="6"/>
  <c r="CN1142" i="6"/>
  <c r="CN1138" i="6"/>
  <c r="CN1136" i="6"/>
  <c r="CN1105" i="6"/>
  <c r="CN1102" i="6"/>
  <c r="CN1099" i="6"/>
  <c r="CN1092" i="6"/>
  <c r="CN1165" i="6"/>
  <c r="CN1151" i="6"/>
  <c r="CN1129" i="6"/>
  <c r="CN1100" i="6"/>
  <c r="CN1095" i="6"/>
  <c r="CN1087" i="6"/>
  <c r="CN1145" i="6"/>
  <c r="CN1127" i="6"/>
  <c r="CN1117" i="6"/>
  <c r="CN1116" i="6"/>
  <c r="CN1112" i="6"/>
  <c r="CN1093" i="6"/>
  <c r="CN1090" i="6"/>
  <c r="CN1061" i="6"/>
  <c r="CN1053" i="6"/>
  <c r="CN1045" i="6"/>
  <c r="CN1037" i="6"/>
  <c r="CN1029" i="6"/>
  <c r="CN1021" i="6"/>
  <c r="CN1018" i="6"/>
  <c r="CN1170" i="6"/>
  <c r="CN1141" i="6"/>
  <c r="CN1094" i="6"/>
  <c r="CN1091" i="6"/>
  <c r="CN1088" i="6"/>
  <c r="CN1083" i="6"/>
  <c r="CN1079" i="6"/>
  <c r="CN1075" i="6"/>
  <c r="CN1071" i="6"/>
  <c r="CN1064" i="6"/>
  <c r="CN1056" i="6"/>
  <c r="CN1048" i="6"/>
  <c r="CN1040" i="6"/>
  <c r="CN1032" i="6"/>
  <c r="CN1024" i="6"/>
  <c r="CN1148" i="6"/>
  <c r="CN1109" i="6"/>
  <c r="CN1108" i="6"/>
  <c r="CN1085" i="6"/>
  <c r="CN1050" i="6"/>
  <c r="CN1046" i="6"/>
  <c r="CN1043" i="6"/>
  <c r="CN1025" i="6"/>
  <c r="CN1010" i="6"/>
  <c r="CN1002" i="6"/>
  <c r="CN994" i="6"/>
  <c r="CN1154" i="6"/>
  <c r="CN1144" i="6"/>
  <c r="CN1130" i="6"/>
  <c r="CN1128" i="6"/>
  <c r="CN1125" i="6"/>
  <c r="CN1118" i="6"/>
  <c r="CN1078" i="6"/>
  <c r="CN1047" i="6"/>
  <c r="CN1044" i="6"/>
  <c r="CN1026" i="6"/>
  <c r="CN1022" i="6"/>
  <c r="CN1019" i="6"/>
  <c r="CN1005" i="6"/>
  <c r="CN1107" i="6"/>
  <c r="CN1082" i="6"/>
  <c r="CN1055" i="6"/>
  <c r="CN1041" i="6"/>
  <c r="CN1039" i="6"/>
  <c r="CN1034" i="6"/>
  <c r="CN1030" i="6"/>
  <c r="CN1020" i="6"/>
  <c r="CN1017" i="6"/>
  <c r="CN999" i="6"/>
  <c r="CN993" i="6"/>
  <c r="CN984" i="6"/>
  <c r="CN1113" i="6"/>
  <c r="CN989" i="6"/>
  <c r="CN988" i="6"/>
  <c r="CN979" i="6"/>
  <c r="CN976" i="6"/>
  <c r="CN963" i="6"/>
  <c r="CN1084" i="6"/>
  <c r="CN1057" i="6"/>
  <c r="CN1052" i="6"/>
  <c r="CN1110" i="6"/>
  <c r="CN1101" i="6"/>
  <c r="CN1062" i="6"/>
  <c r="CN1080" i="6"/>
  <c r="CN1077" i="6"/>
  <c r="CN1074" i="6"/>
  <c r="CN1070" i="6"/>
  <c r="CN1059" i="6"/>
  <c r="CN1042" i="6"/>
  <c r="CN1009" i="6"/>
  <c r="CN1004" i="6"/>
  <c r="CN995" i="6"/>
  <c r="CN980" i="6"/>
  <c r="CN1162" i="6"/>
  <c r="CN1150" i="6"/>
  <c r="CN1089" i="6"/>
  <c r="CN1065" i="6"/>
  <c r="CN1049" i="6"/>
  <c r="CN1028" i="6"/>
  <c r="CN1139" i="6"/>
  <c r="CN1031" i="6"/>
  <c r="CN1011" i="6"/>
  <c r="CN1006" i="6"/>
  <c r="CN1001" i="6"/>
  <c r="CN992" i="6"/>
  <c r="CN990" i="6"/>
  <c r="CN1033" i="6"/>
  <c r="CN1023" i="6"/>
  <c r="CN997" i="6"/>
  <c r="CN970" i="6"/>
  <c r="CN1124" i="6"/>
  <c r="CN1073" i="6"/>
  <c r="CN986" i="6"/>
  <c r="CN961" i="6"/>
  <c r="CN1063" i="6"/>
  <c r="CN1097" i="6"/>
  <c r="CN1096" i="6"/>
  <c r="CN1081" i="6"/>
  <c r="CN1076" i="6"/>
  <c r="CN1038" i="6"/>
  <c r="CN975" i="6"/>
  <c r="CN1051" i="6"/>
  <c r="CN1036" i="6"/>
  <c r="CN1164" i="6"/>
  <c r="CN1115" i="6"/>
  <c r="CN1104" i="6"/>
  <c r="CN1072" i="6"/>
  <c r="CN1003" i="6"/>
  <c r="CN991" i="6"/>
  <c r="CN968" i="6"/>
  <c r="CN1060" i="6"/>
  <c r="CN1012" i="6"/>
  <c r="CN1007" i="6"/>
  <c r="CN1000" i="6"/>
  <c r="CN1035" i="6"/>
  <c r="CN1027" i="6"/>
  <c r="CN987" i="6"/>
  <c r="CN1054" i="6"/>
  <c r="CN1008" i="6"/>
  <c r="CN981" i="6"/>
  <c r="CN978" i="6"/>
  <c r="CN969" i="6"/>
  <c r="CN964" i="6"/>
  <c r="CN962" i="6"/>
  <c r="CN965" i="6"/>
  <c r="CN998" i="6"/>
  <c r="CN977" i="6"/>
  <c r="CN1086" i="6"/>
  <c r="CN1058" i="6"/>
  <c r="CN983" i="6"/>
  <c r="CN982" i="6"/>
  <c r="CN996" i="6"/>
  <c r="CN985" i="6"/>
  <c r="CF1178" i="6"/>
  <c r="CF1177" i="6"/>
  <c r="CF1184" i="6"/>
  <c r="CF1176" i="6"/>
  <c r="CF1171" i="6"/>
  <c r="CF1185" i="6"/>
  <c r="CF1166" i="6"/>
  <c r="CF1191" i="6"/>
  <c r="CF1190" i="6"/>
  <c r="CF1169" i="6"/>
  <c r="CF1161" i="6"/>
  <c r="CF1152" i="6"/>
  <c r="CF1170" i="6"/>
  <c r="CF1147" i="6"/>
  <c r="CF1153" i="6"/>
  <c r="CF1150" i="6"/>
  <c r="CF1137" i="6"/>
  <c r="CF1165" i="6"/>
  <c r="CF1164" i="6"/>
  <c r="CF1154" i="6"/>
  <c r="CF1151" i="6"/>
  <c r="CF1148" i="6"/>
  <c r="CF1140" i="6"/>
  <c r="CF1192" i="6"/>
  <c r="CF1167" i="6"/>
  <c r="CF1162" i="6"/>
  <c r="CF1131" i="6"/>
  <c r="CF1123" i="6"/>
  <c r="CF1111" i="6"/>
  <c r="CF1103" i="6"/>
  <c r="CF1126" i="6"/>
  <c r="CF1114" i="6"/>
  <c r="CF1106" i="6"/>
  <c r="CF1098" i="6"/>
  <c r="CF1168" i="6"/>
  <c r="CF1146" i="6"/>
  <c r="CF1130" i="6"/>
  <c r="CF1097" i="6"/>
  <c r="CF1092" i="6"/>
  <c r="CF1179" i="6"/>
  <c r="CF1141" i="6"/>
  <c r="CF1127" i="6"/>
  <c r="CF1117" i="6"/>
  <c r="CF1095" i="6"/>
  <c r="CF1087" i="6"/>
  <c r="CF1144" i="6"/>
  <c r="CF1138" i="6"/>
  <c r="CF1089" i="6"/>
  <c r="CF1061" i="6"/>
  <c r="CF1053" i="6"/>
  <c r="CF1045" i="6"/>
  <c r="CF1037" i="6"/>
  <c r="CF1029" i="6"/>
  <c r="CF1021" i="6"/>
  <c r="CF1018" i="6"/>
  <c r="CF1163" i="6"/>
  <c r="CF1115" i="6"/>
  <c r="CF1110" i="6"/>
  <c r="CF1105" i="6"/>
  <c r="CF1086" i="6"/>
  <c r="CF1085" i="6"/>
  <c r="CF1084" i="6"/>
  <c r="CF1083" i="6"/>
  <c r="CF1079" i="6"/>
  <c r="CF1075" i="6"/>
  <c r="CF1071" i="6"/>
  <c r="CF1064" i="6"/>
  <c r="CF1056" i="6"/>
  <c r="CF1048" i="6"/>
  <c r="CF1040" i="6"/>
  <c r="CF1032" i="6"/>
  <c r="CF1024" i="6"/>
  <c r="CF1142" i="6"/>
  <c r="CF1113" i="6"/>
  <c r="CF1102" i="6"/>
  <c r="CF1100" i="6"/>
  <c r="CF1094" i="6"/>
  <c r="CF1077" i="6"/>
  <c r="CF1076" i="6"/>
  <c r="CF1065" i="6"/>
  <c r="CF1041" i="6"/>
  <c r="CF1023" i="6"/>
  <c r="CF1020" i="6"/>
  <c r="CF1010" i="6"/>
  <c r="CF1002" i="6"/>
  <c r="CF994" i="6"/>
  <c r="CF1107" i="6"/>
  <c r="CF1099" i="6"/>
  <c r="CF1096" i="6"/>
  <c r="CF1070" i="6"/>
  <c r="CF1062" i="6"/>
  <c r="CF1059" i="6"/>
  <c r="CF1042" i="6"/>
  <c r="CF1038" i="6"/>
  <c r="CF1035" i="6"/>
  <c r="CF1012" i="6"/>
  <c r="CF1005" i="6"/>
  <c r="CF1129" i="6"/>
  <c r="CF1093" i="6"/>
  <c r="CF1091" i="6"/>
  <c r="CF1073" i="6"/>
  <c r="CF1047" i="6"/>
  <c r="CF1026" i="6"/>
  <c r="CF1011" i="6"/>
  <c r="CF1008" i="6"/>
  <c r="CF989" i="6"/>
  <c r="CF988" i="6"/>
  <c r="CF984" i="6"/>
  <c r="CF1124" i="6"/>
  <c r="CF1108" i="6"/>
  <c r="CF1080" i="6"/>
  <c r="CF1074" i="6"/>
  <c r="CF1063" i="6"/>
  <c r="CF1058" i="6"/>
  <c r="CF1054" i="6"/>
  <c r="CF1049" i="6"/>
  <c r="CF1033" i="6"/>
  <c r="CF1028" i="6"/>
  <c r="CF1009" i="6"/>
  <c r="CF1006" i="6"/>
  <c r="CF995" i="6"/>
  <c r="CF979" i="6"/>
  <c r="CF976" i="6"/>
  <c r="CF963" i="6"/>
  <c r="CF1078" i="6"/>
  <c r="CF1159" i="6"/>
  <c r="CF1149" i="6"/>
  <c r="CF1104" i="6"/>
  <c r="CF1051" i="6"/>
  <c r="CF1036" i="6"/>
  <c r="CF1019" i="6"/>
  <c r="CF998" i="6"/>
  <c r="CF1007" i="6"/>
  <c r="CF1003" i="6"/>
  <c r="CF1125" i="6"/>
  <c r="CF1039" i="6"/>
  <c r="CF1027" i="6"/>
  <c r="CF1022" i="6"/>
  <c r="CF996" i="6"/>
  <c r="CF1055" i="6"/>
  <c r="CF1004" i="6"/>
  <c r="CF987" i="6"/>
  <c r="CF968" i="6"/>
  <c r="CF1112" i="6"/>
  <c r="CF1082" i="6"/>
  <c r="CF981" i="6"/>
  <c r="CF977" i="6"/>
  <c r="CF961" i="6"/>
  <c r="CF1118" i="6"/>
  <c r="CF1088" i="6"/>
  <c r="CF1044" i="6"/>
  <c r="CF1025" i="6"/>
  <c r="CF1000" i="6"/>
  <c r="CF991" i="6"/>
  <c r="CF1160" i="6"/>
  <c r="CF1090" i="6"/>
  <c r="CF1116" i="6"/>
  <c r="CF1101" i="6"/>
  <c r="CF1052" i="6"/>
  <c r="CF1046" i="6"/>
  <c r="CF1030" i="6"/>
  <c r="CF993" i="6"/>
  <c r="CF986" i="6"/>
  <c r="CF1136" i="6"/>
  <c r="CF1060" i="6"/>
  <c r="CF1031" i="6"/>
  <c r="CF982" i="6"/>
  <c r="CF978" i="6"/>
  <c r="CF964" i="6"/>
  <c r="CF1128" i="6"/>
  <c r="CF1081" i="6"/>
  <c r="CF1050" i="6"/>
  <c r="CF1034" i="6"/>
  <c r="CF997" i="6"/>
  <c r="CF983" i="6"/>
  <c r="CF1072" i="6"/>
  <c r="CF1001" i="6"/>
  <c r="CF985" i="6"/>
  <c r="CF962" i="6"/>
  <c r="CF1057" i="6"/>
  <c r="CF1139" i="6"/>
  <c r="CF1017" i="6"/>
  <c r="CF999" i="6"/>
  <c r="CF990" i="6"/>
  <c r="CF969" i="6"/>
  <c r="CF980" i="6"/>
  <c r="CF975" i="6"/>
  <c r="CF1145" i="6"/>
  <c r="CF1043" i="6"/>
  <c r="CF965" i="6"/>
  <c r="CF970" i="6"/>
  <c r="CF1143" i="6"/>
  <c r="CF1109" i="6"/>
  <c r="CF992" i="6"/>
  <c r="BX1178" i="6"/>
  <c r="BX1177" i="6"/>
  <c r="BX1184" i="6"/>
  <c r="BX1191" i="6"/>
  <c r="BX1190" i="6"/>
  <c r="BX1185" i="6"/>
  <c r="BX1179" i="6"/>
  <c r="BX1192" i="6"/>
  <c r="BX1171" i="6"/>
  <c r="BX1166" i="6"/>
  <c r="BX1169" i="6"/>
  <c r="BX1161" i="6"/>
  <c r="BX1152" i="6"/>
  <c r="BX1164" i="6"/>
  <c r="BX1147" i="6"/>
  <c r="BX1165" i="6"/>
  <c r="BX1168" i="6"/>
  <c r="BX1163" i="6"/>
  <c r="BX1159" i="6"/>
  <c r="BX1149" i="6"/>
  <c r="BX1145" i="6"/>
  <c r="BX1137" i="6"/>
  <c r="BX1162" i="6"/>
  <c r="BX1146" i="6"/>
  <c r="BX1140" i="6"/>
  <c r="BX1170" i="6"/>
  <c r="BX1167" i="6"/>
  <c r="BX1150" i="6"/>
  <c r="BX1143" i="6"/>
  <c r="BX1131" i="6"/>
  <c r="BX1123" i="6"/>
  <c r="BX1111" i="6"/>
  <c r="BX1103" i="6"/>
  <c r="BX1144" i="6"/>
  <c r="BX1141" i="6"/>
  <c r="BX1136" i="6"/>
  <c r="BX1126" i="6"/>
  <c r="BX1114" i="6"/>
  <c r="BX1106" i="6"/>
  <c r="BX1098" i="6"/>
  <c r="BX1160" i="6"/>
  <c r="BX1151" i="6"/>
  <c r="BX1142" i="6"/>
  <c r="BX1138" i="6"/>
  <c r="BX1128" i="6"/>
  <c r="BX1124" i="6"/>
  <c r="BX1118" i="6"/>
  <c r="BX1115" i="6"/>
  <c r="BX1092" i="6"/>
  <c r="BX1176" i="6"/>
  <c r="BX1125" i="6"/>
  <c r="BX1116" i="6"/>
  <c r="BX1112" i="6"/>
  <c r="BX1109" i="6"/>
  <c r="BX1095" i="6"/>
  <c r="BX1087" i="6"/>
  <c r="BX1100" i="6"/>
  <c r="BX1097" i="6"/>
  <c r="BX1061" i="6"/>
  <c r="BX1053" i="6"/>
  <c r="BX1045" i="6"/>
  <c r="BX1037" i="6"/>
  <c r="BX1029" i="6"/>
  <c r="BX1021" i="6"/>
  <c r="BX1018" i="6"/>
  <c r="BX1148" i="6"/>
  <c r="BX1102" i="6"/>
  <c r="BX1083" i="6"/>
  <c r="BX1079" i="6"/>
  <c r="BX1075" i="6"/>
  <c r="BX1071" i="6"/>
  <c r="BX1064" i="6"/>
  <c r="BX1056" i="6"/>
  <c r="BX1048" i="6"/>
  <c r="BX1040" i="6"/>
  <c r="BX1032" i="6"/>
  <c r="BX1024" i="6"/>
  <c r="BX1084" i="6"/>
  <c r="BX1082" i="6"/>
  <c r="BX1063" i="6"/>
  <c r="BX1060" i="6"/>
  <c r="BX1039" i="6"/>
  <c r="BX1036" i="6"/>
  <c r="BX1012" i="6"/>
  <c r="BX1010" i="6"/>
  <c r="BX1002" i="6"/>
  <c r="BX994" i="6"/>
  <c r="BX1153" i="6"/>
  <c r="BX1130" i="6"/>
  <c r="BX1110" i="6"/>
  <c r="BX1081" i="6"/>
  <c r="BX1080" i="6"/>
  <c r="BX1057" i="6"/>
  <c r="BX1033" i="6"/>
  <c r="BX1005" i="6"/>
  <c r="BX1139" i="6"/>
  <c r="BX1117" i="6"/>
  <c r="BX1055" i="6"/>
  <c r="BX1034" i="6"/>
  <c r="BX1030" i="6"/>
  <c r="BX1019" i="6"/>
  <c r="BX1017" i="6"/>
  <c r="BX1007" i="6"/>
  <c r="BX1003" i="6"/>
  <c r="BX1000" i="6"/>
  <c r="BX995" i="6"/>
  <c r="BX984" i="6"/>
  <c r="BX1105" i="6"/>
  <c r="BX1104" i="6"/>
  <c r="BX1090" i="6"/>
  <c r="BX1088" i="6"/>
  <c r="BX1085" i="6"/>
  <c r="BX1035" i="6"/>
  <c r="BX1004" i="6"/>
  <c r="BX1001" i="6"/>
  <c r="BX990" i="6"/>
  <c r="BX979" i="6"/>
  <c r="BX976" i="6"/>
  <c r="BX963" i="6"/>
  <c r="BX1093" i="6"/>
  <c r="BX1091" i="6"/>
  <c r="BX1129" i="6"/>
  <c r="BX1052" i="6"/>
  <c r="BX1099" i="6"/>
  <c r="BX1096" i="6"/>
  <c r="BX1078" i="6"/>
  <c r="BX1065" i="6"/>
  <c r="BX1046" i="6"/>
  <c r="BX1044" i="6"/>
  <c r="BX1042" i="6"/>
  <c r="BX1031" i="6"/>
  <c r="BX991" i="6"/>
  <c r="BX989" i="6"/>
  <c r="BX1113" i="6"/>
  <c r="BX1073" i="6"/>
  <c r="BX997" i="6"/>
  <c r="BX1086" i="6"/>
  <c r="BX1050" i="6"/>
  <c r="BX1009" i="6"/>
  <c r="BX993" i="6"/>
  <c r="BX1107" i="6"/>
  <c r="BX1026" i="6"/>
  <c r="BX1020" i="6"/>
  <c r="BX985" i="6"/>
  <c r="BX981" i="6"/>
  <c r="BX1154" i="6"/>
  <c r="BX980" i="6"/>
  <c r="BX1108" i="6"/>
  <c r="BX1077" i="6"/>
  <c r="BX1058" i="6"/>
  <c r="BX1043" i="6"/>
  <c r="BX1011" i="6"/>
  <c r="BX992" i="6"/>
  <c r="BX982" i="6"/>
  <c r="BX977" i="6"/>
  <c r="BX1101" i="6"/>
  <c r="BX1070" i="6"/>
  <c r="BX1049" i="6"/>
  <c r="BX1028" i="6"/>
  <c r="BX1072" i="6"/>
  <c r="BX1062" i="6"/>
  <c r="BX1047" i="6"/>
  <c r="BX965" i="6"/>
  <c r="BX1127" i="6"/>
  <c r="BX1089" i="6"/>
  <c r="BX1074" i="6"/>
  <c r="BX1022" i="6"/>
  <c r="BX978" i="6"/>
  <c r="BX961" i="6"/>
  <c r="BX1006" i="6"/>
  <c r="BX969" i="6"/>
  <c r="BX964" i="6"/>
  <c r="BX962" i="6"/>
  <c r="BX970" i="6"/>
  <c r="BX1076" i="6"/>
  <c r="BX1051" i="6"/>
  <c r="BX1094" i="6"/>
  <c r="BX1025" i="6"/>
  <c r="BX1023" i="6"/>
  <c r="BX998" i="6"/>
  <c r="BX987" i="6"/>
  <c r="BX983" i="6"/>
  <c r="BX1041" i="6"/>
  <c r="BX999" i="6"/>
  <c r="BX986" i="6"/>
  <c r="BX975" i="6"/>
  <c r="BX1008" i="6"/>
  <c r="BX1027" i="6"/>
  <c r="BX988" i="6"/>
  <c r="BX1059" i="6"/>
  <c r="BX1038" i="6"/>
  <c r="BX996" i="6"/>
  <c r="BX1054" i="6"/>
  <c r="BX968" i="6"/>
  <c r="CT1190" i="6"/>
  <c r="CT1192" i="6"/>
  <c r="CT1184" i="6"/>
  <c r="CT1179" i="6"/>
  <c r="CT1168" i="6"/>
  <c r="CT1160" i="6"/>
  <c r="CT1171" i="6"/>
  <c r="CT1163" i="6"/>
  <c r="CT1177" i="6"/>
  <c r="CT1166" i="6"/>
  <c r="CT1154" i="6"/>
  <c r="CT1146" i="6"/>
  <c r="CT1170" i="6"/>
  <c r="CT1169" i="6"/>
  <c r="CT1164" i="6"/>
  <c r="CT1149" i="6"/>
  <c r="CT1165" i="6"/>
  <c r="CT1161" i="6"/>
  <c r="CT1176" i="6"/>
  <c r="CT1145" i="6"/>
  <c r="CT1139" i="6"/>
  <c r="CT1142" i="6"/>
  <c r="CT1185" i="6"/>
  <c r="CT1159" i="6"/>
  <c r="CT1143" i="6"/>
  <c r="CT1140" i="6"/>
  <c r="CT1125" i="6"/>
  <c r="CT1113" i="6"/>
  <c r="CT1105" i="6"/>
  <c r="CT1097" i="6"/>
  <c r="CT1178" i="6"/>
  <c r="CT1148" i="6"/>
  <c r="CT1144" i="6"/>
  <c r="CT1141" i="6"/>
  <c r="CT1137" i="6"/>
  <c r="CT1128" i="6"/>
  <c r="CT1116" i="6"/>
  <c r="CT1108" i="6"/>
  <c r="CT1100" i="6"/>
  <c r="CT1151" i="6"/>
  <c r="CT1124" i="6"/>
  <c r="CT1118" i="6"/>
  <c r="CT1115" i="6"/>
  <c r="CT1111" i="6"/>
  <c r="CT1094" i="6"/>
  <c r="CT1086" i="6"/>
  <c r="CT1167" i="6"/>
  <c r="CT1112" i="6"/>
  <c r="CT1109" i="6"/>
  <c r="CT1106" i="6"/>
  <c r="CT1089" i="6"/>
  <c r="CT1131" i="6"/>
  <c r="CT1114" i="6"/>
  <c r="CT1063" i="6"/>
  <c r="CT1055" i="6"/>
  <c r="CT1047" i="6"/>
  <c r="CT1039" i="6"/>
  <c r="CT1031" i="6"/>
  <c r="CT1023" i="6"/>
  <c r="CT1017" i="6"/>
  <c r="CT1130" i="6"/>
  <c r="CT1110" i="6"/>
  <c r="CT1098" i="6"/>
  <c r="CT1082" i="6"/>
  <c r="CT1078" i="6"/>
  <c r="CT1074" i="6"/>
  <c r="CT1070" i="6"/>
  <c r="CT1058" i="6"/>
  <c r="CT1050" i="6"/>
  <c r="CT1042" i="6"/>
  <c r="CT1034" i="6"/>
  <c r="CT1026" i="6"/>
  <c r="CT1138" i="6"/>
  <c r="CT1101" i="6"/>
  <c r="CT1060" i="6"/>
  <c r="CT1056" i="6"/>
  <c r="CT1036" i="6"/>
  <c r="CT1032" i="6"/>
  <c r="CT1004" i="6"/>
  <c r="CT996" i="6"/>
  <c r="CT988" i="6"/>
  <c r="CT1103" i="6"/>
  <c r="CT1096" i="6"/>
  <c r="CT1081" i="6"/>
  <c r="CT1080" i="6"/>
  <c r="CT1079" i="6"/>
  <c r="CT1057" i="6"/>
  <c r="CT1053" i="6"/>
  <c r="CT1033" i="6"/>
  <c r="CT1029" i="6"/>
  <c r="CT1007" i="6"/>
  <c r="CT1153" i="6"/>
  <c r="CT1152" i="6"/>
  <c r="CT1127" i="6"/>
  <c r="CT1126" i="6"/>
  <c r="CT1092" i="6"/>
  <c r="CT1087" i="6"/>
  <c r="CT1084" i="6"/>
  <c r="CT1073" i="6"/>
  <c r="CT1062" i="6"/>
  <c r="CT1037" i="6"/>
  <c r="CT1003" i="6"/>
  <c r="CT1000" i="6"/>
  <c r="CT986" i="6"/>
  <c r="CT978" i="6"/>
  <c r="CT1095" i="6"/>
  <c r="CT1090" i="6"/>
  <c r="CT1088" i="6"/>
  <c r="CT1085" i="6"/>
  <c r="CT1075" i="6"/>
  <c r="CT1064" i="6"/>
  <c r="CT1054" i="6"/>
  <c r="CT1049" i="6"/>
  <c r="CT1028" i="6"/>
  <c r="CT1001" i="6"/>
  <c r="CT998" i="6"/>
  <c r="CT992" i="6"/>
  <c r="CT981" i="6"/>
  <c r="CT975" i="6"/>
  <c r="CT968" i="6"/>
  <c r="CT962" i="6"/>
  <c r="CT1059" i="6"/>
  <c r="CT1117" i="6"/>
  <c r="CT1093" i="6"/>
  <c r="CT1091" i="6"/>
  <c r="CT1083" i="6"/>
  <c r="CT1076" i="6"/>
  <c r="CT1162" i="6"/>
  <c r="CT1011" i="6"/>
  <c r="CT1006" i="6"/>
  <c r="CT1002" i="6"/>
  <c r="CT1123" i="6"/>
  <c r="CT1071" i="6"/>
  <c r="CT1048" i="6"/>
  <c r="CT1035" i="6"/>
  <c r="CT989" i="6"/>
  <c r="CT1191" i="6"/>
  <c r="CT1052" i="6"/>
  <c r="CT1046" i="6"/>
  <c r="CT1044" i="6"/>
  <c r="CT1019" i="6"/>
  <c r="CT991" i="6"/>
  <c r="CT1104" i="6"/>
  <c r="CT1045" i="6"/>
  <c r="CT1012" i="6"/>
  <c r="CT990" i="6"/>
  <c r="CT987" i="6"/>
  <c r="CT979" i="6"/>
  <c r="CT964" i="6"/>
  <c r="CT1021" i="6"/>
  <c r="CT1020" i="6"/>
  <c r="CT982" i="6"/>
  <c r="CT1008" i="6"/>
  <c r="CT984" i="6"/>
  <c r="CT1061" i="6"/>
  <c r="CT1072" i="6"/>
  <c r="CT1065" i="6"/>
  <c r="CT1025" i="6"/>
  <c r="CT1009" i="6"/>
  <c r="CT983" i="6"/>
  <c r="CT977" i="6"/>
  <c r="CT976" i="6"/>
  <c r="CT965" i="6"/>
  <c r="CT1077" i="6"/>
  <c r="CT994" i="6"/>
  <c r="CT1147" i="6"/>
  <c r="CT1136" i="6"/>
  <c r="CT1099" i="6"/>
  <c r="CT1041" i="6"/>
  <c r="CT1027" i="6"/>
  <c r="CT1018" i="6"/>
  <c r="CT993" i="6"/>
  <c r="CT985" i="6"/>
  <c r="CT969" i="6"/>
  <c r="CT1150" i="6"/>
  <c r="CT970" i="6"/>
  <c r="CT1043" i="6"/>
  <c r="CT1005" i="6"/>
  <c r="CT980" i="6"/>
  <c r="CT1030" i="6"/>
  <c r="CT1051" i="6"/>
  <c r="CT995" i="6"/>
  <c r="CT1022" i="6"/>
  <c r="CT1129" i="6"/>
  <c r="CT1010" i="6"/>
  <c r="CT997" i="6"/>
  <c r="CT1038" i="6"/>
  <c r="CT999" i="6"/>
  <c r="CT1040" i="6"/>
  <c r="CT1024" i="6"/>
  <c r="CT963" i="6"/>
  <c r="CT1107" i="6"/>
  <c r="CT1102" i="6"/>
  <c r="CT961" i="6"/>
  <c r="BM1177" i="6"/>
  <c r="BM1176" i="6"/>
  <c r="BM1184" i="6"/>
  <c r="BM1178" i="6"/>
  <c r="BM1170" i="6"/>
  <c r="BM1179" i="6"/>
  <c r="BM1165" i="6"/>
  <c r="BM1168" i="6"/>
  <c r="BM1160" i="6"/>
  <c r="BM1190" i="6"/>
  <c r="BM1151" i="6"/>
  <c r="BM1166" i="6"/>
  <c r="BM1154" i="6"/>
  <c r="BM1146" i="6"/>
  <c r="BM1191" i="6"/>
  <c r="BM1185" i="6"/>
  <c r="BM1171" i="6"/>
  <c r="BM1164" i="6"/>
  <c r="BM1148" i="6"/>
  <c r="BM1144" i="6"/>
  <c r="BM1136" i="6"/>
  <c r="BM1167" i="6"/>
  <c r="BM1145" i="6"/>
  <c r="BM1139" i="6"/>
  <c r="BM1130" i="6"/>
  <c r="BM1118" i="6"/>
  <c r="BM1110" i="6"/>
  <c r="BM1102" i="6"/>
  <c r="BM1147" i="6"/>
  <c r="BM1143" i="6"/>
  <c r="BM1142" i="6"/>
  <c r="BM1140" i="6"/>
  <c r="BM1125" i="6"/>
  <c r="BM1113" i="6"/>
  <c r="BM1105" i="6"/>
  <c r="BM1097" i="6"/>
  <c r="BM1127" i="6"/>
  <c r="BM1123" i="6"/>
  <c r="BM1117" i="6"/>
  <c r="BM1116" i="6"/>
  <c r="BM1114" i="6"/>
  <c r="BM1091" i="6"/>
  <c r="BM1192" i="6"/>
  <c r="BM1124" i="6"/>
  <c r="BM1115" i="6"/>
  <c r="BM1111" i="6"/>
  <c r="BM1094" i="6"/>
  <c r="BM1086" i="6"/>
  <c r="BM1159" i="6"/>
  <c r="BM1150" i="6"/>
  <c r="BM1137" i="6"/>
  <c r="BM1085" i="6"/>
  <c r="BM1084" i="6"/>
  <c r="BM1081" i="6"/>
  <c r="BM1077" i="6"/>
  <c r="BM1073" i="6"/>
  <c r="BM1060" i="6"/>
  <c r="BM1052" i="6"/>
  <c r="BM1044" i="6"/>
  <c r="BM1036" i="6"/>
  <c r="BM1028" i="6"/>
  <c r="BM1020" i="6"/>
  <c r="BM1169" i="6"/>
  <c r="BM1162" i="6"/>
  <c r="BM1138" i="6"/>
  <c r="BM1109" i="6"/>
  <c r="BM1063" i="6"/>
  <c r="BM1055" i="6"/>
  <c r="BM1047" i="6"/>
  <c r="BM1039" i="6"/>
  <c r="BM1031" i="6"/>
  <c r="BM1023" i="6"/>
  <c r="BM1017" i="6"/>
  <c r="BM1141" i="6"/>
  <c r="BM1103" i="6"/>
  <c r="BM1092" i="6"/>
  <c r="BM1087" i="6"/>
  <c r="BM1062" i="6"/>
  <c r="BM1059" i="6"/>
  <c r="BM1038" i="6"/>
  <c r="BM1035" i="6"/>
  <c r="BM1009" i="6"/>
  <c r="BM1001" i="6"/>
  <c r="BM993" i="6"/>
  <c r="BM1161" i="6"/>
  <c r="BM1149" i="6"/>
  <c r="BM1106" i="6"/>
  <c r="BM1104" i="6"/>
  <c r="BM1095" i="6"/>
  <c r="BM1090" i="6"/>
  <c r="BM1089" i="6"/>
  <c r="BM1088" i="6"/>
  <c r="BM1074" i="6"/>
  <c r="BM1058" i="6"/>
  <c r="BM1056" i="6"/>
  <c r="BM1034" i="6"/>
  <c r="BM1032" i="6"/>
  <c r="BM1004" i="6"/>
  <c r="BM1163" i="6"/>
  <c r="BM1128" i="6"/>
  <c r="BM1061" i="6"/>
  <c r="BM1045" i="6"/>
  <c r="BM1024" i="6"/>
  <c r="BM1021" i="6"/>
  <c r="BM1006" i="6"/>
  <c r="BM1002" i="6"/>
  <c r="BM994" i="6"/>
  <c r="BM988" i="6"/>
  <c r="BM983" i="6"/>
  <c r="BM970" i="6"/>
  <c r="BM1099" i="6"/>
  <c r="BM1096" i="6"/>
  <c r="BM1071" i="6"/>
  <c r="BM1057" i="6"/>
  <c r="BM1053" i="6"/>
  <c r="BM1048" i="6"/>
  <c r="BM1043" i="6"/>
  <c r="BM1041" i="6"/>
  <c r="BM1027" i="6"/>
  <c r="BM1026" i="6"/>
  <c r="BM1022" i="6"/>
  <c r="BM1003" i="6"/>
  <c r="BM1000" i="6"/>
  <c r="BM989" i="6"/>
  <c r="BM986" i="6"/>
  <c r="BM978" i="6"/>
  <c r="BM1079" i="6"/>
  <c r="BM1072" i="6"/>
  <c r="BM1046" i="6"/>
  <c r="BM1076" i="6"/>
  <c r="BM1051" i="6"/>
  <c r="BM1005" i="6"/>
  <c r="BM1126" i="6"/>
  <c r="BM1080" i="6"/>
  <c r="BM1070" i="6"/>
  <c r="BM1037" i="6"/>
  <c r="BM1019" i="6"/>
  <c r="BM1010" i="6"/>
  <c r="BM997" i="6"/>
  <c r="BM1108" i="6"/>
  <c r="BM1078" i="6"/>
  <c r="BM1049" i="6"/>
  <c r="BM1040" i="6"/>
  <c r="BM1029" i="6"/>
  <c r="BM1025" i="6"/>
  <c r="BM1018" i="6"/>
  <c r="BM999" i="6"/>
  <c r="BM995" i="6"/>
  <c r="BM1153" i="6"/>
  <c r="BM1082" i="6"/>
  <c r="BM1065" i="6"/>
  <c r="BM1033" i="6"/>
  <c r="BM985" i="6"/>
  <c r="BM979" i="6"/>
  <c r="BM962" i="6"/>
  <c r="BM961" i="6"/>
  <c r="BM1008" i="6"/>
  <c r="BM982" i="6"/>
  <c r="BM980" i="6"/>
  <c r="BM987" i="6"/>
  <c r="BM975" i="6"/>
  <c r="BM963" i="6"/>
  <c r="BM1101" i="6"/>
  <c r="BM1131" i="6"/>
  <c r="BM1129" i="6"/>
  <c r="BM998" i="6"/>
  <c r="BM996" i="6"/>
  <c r="BM984" i="6"/>
  <c r="BM977" i="6"/>
  <c r="BM976" i="6"/>
  <c r="BM1107" i="6"/>
  <c r="BM1093" i="6"/>
  <c r="BM1054" i="6"/>
  <c r="BM1042" i="6"/>
  <c r="BM1012" i="6"/>
  <c r="BM1152" i="6"/>
  <c r="BM1007" i="6"/>
  <c r="BM990" i="6"/>
  <c r="BM969" i="6"/>
  <c r="BM1064" i="6"/>
  <c r="BM1050" i="6"/>
  <c r="BM992" i="6"/>
  <c r="BM1112" i="6"/>
  <c r="BM1083" i="6"/>
  <c r="BM968" i="6"/>
  <c r="BM1075" i="6"/>
  <c r="BM1098" i="6"/>
  <c r="BM981" i="6"/>
  <c r="BM991" i="6"/>
  <c r="BM964" i="6"/>
  <c r="BM1011" i="6"/>
  <c r="BM1030" i="6"/>
  <c r="BM1100" i="6"/>
  <c r="BM965" i="6"/>
  <c r="DA1177" i="6"/>
  <c r="DA1190" i="6"/>
  <c r="DA1191" i="6"/>
  <c r="DA1185" i="6"/>
  <c r="DA1179" i="6"/>
  <c r="DA1192" i="6"/>
  <c r="DA1170" i="6"/>
  <c r="DA1165" i="6"/>
  <c r="DA1178" i="6"/>
  <c r="DA1168" i="6"/>
  <c r="DA1160" i="6"/>
  <c r="DA1151" i="6"/>
  <c r="DA1184" i="6"/>
  <c r="DA1176" i="6"/>
  <c r="DA1171" i="6"/>
  <c r="DA1154" i="6"/>
  <c r="DA1146" i="6"/>
  <c r="DA1164" i="6"/>
  <c r="DA1152" i="6"/>
  <c r="DA1136" i="6"/>
  <c r="DA1167" i="6"/>
  <c r="DA1153" i="6"/>
  <c r="DA1150" i="6"/>
  <c r="DA1149" i="6"/>
  <c r="DA1147" i="6"/>
  <c r="DA1139" i="6"/>
  <c r="DA1163" i="6"/>
  <c r="DA1130" i="6"/>
  <c r="DA1118" i="6"/>
  <c r="DA1110" i="6"/>
  <c r="DA1102" i="6"/>
  <c r="DA1125" i="6"/>
  <c r="DA1113" i="6"/>
  <c r="DA1105" i="6"/>
  <c r="DA1097" i="6"/>
  <c r="DA1129" i="6"/>
  <c r="DA1096" i="6"/>
  <c r="DA1091" i="6"/>
  <c r="DA1161" i="6"/>
  <c r="DA1148" i="6"/>
  <c r="DA1143" i="6"/>
  <c r="DA1138" i="6"/>
  <c r="DA1128" i="6"/>
  <c r="DA1126" i="6"/>
  <c r="DA1094" i="6"/>
  <c r="DA1086" i="6"/>
  <c r="DA1107" i="6"/>
  <c r="DA1101" i="6"/>
  <c r="DA1099" i="6"/>
  <c r="DA1088" i="6"/>
  <c r="DA1081" i="6"/>
  <c r="DA1077" i="6"/>
  <c r="DA1073" i="6"/>
  <c r="DA1060" i="6"/>
  <c r="DA1052" i="6"/>
  <c r="DA1044" i="6"/>
  <c r="DA1036" i="6"/>
  <c r="DA1028" i="6"/>
  <c r="DA1020" i="6"/>
  <c r="DA1166" i="6"/>
  <c r="DA1162" i="6"/>
  <c r="DA1140" i="6"/>
  <c r="DA1127" i="6"/>
  <c r="DA1123" i="6"/>
  <c r="DA1117" i="6"/>
  <c r="DA1112" i="6"/>
  <c r="DA1108" i="6"/>
  <c r="DA1103" i="6"/>
  <c r="DA1063" i="6"/>
  <c r="DA1055" i="6"/>
  <c r="DA1047" i="6"/>
  <c r="DA1039" i="6"/>
  <c r="DA1031" i="6"/>
  <c r="DA1023" i="6"/>
  <c r="DA1017" i="6"/>
  <c r="DA1145" i="6"/>
  <c r="DA1070" i="6"/>
  <c r="DA1064" i="6"/>
  <c r="DA1042" i="6"/>
  <c r="DA1040" i="6"/>
  <c r="DA1022" i="6"/>
  <c r="DA1019" i="6"/>
  <c r="DA1009" i="6"/>
  <c r="DA1001" i="6"/>
  <c r="DA993" i="6"/>
  <c r="DA1142" i="6"/>
  <c r="DA1137" i="6"/>
  <c r="DA1116" i="6"/>
  <c r="DA1115" i="6"/>
  <c r="DA1106" i="6"/>
  <c r="DA1104" i="6"/>
  <c r="DA1085" i="6"/>
  <c r="DA1082" i="6"/>
  <c r="DA1076" i="6"/>
  <c r="DA1075" i="6"/>
  <c r="DA1065" i="6"/>
  <c r="DA1061" i="6"/>
  <c r="DA1041" i="6"/>
  <c r="DA1037" i="6"/>
  <c r="DA1018" i="6"/>
  <c r="DA1004" i="6"/>
  <c r="DA1169" i="6"/>
  <c r="DA1159" i="6"/>
  <c r="DA1109" i="6"/>
  <c r="DA1056" i="6"/>
  <c r="DA1051" i="6"/>
  <c r="DA1035" i="6"/>
  <c r="DA1010" i="6"/>
  <c r="DA996" i="6"/>
  <c r="DA990" i="6"/>
  <c r="DA983" i="6"/>
  <c r="DA970" i="6"/>
  <c r="DA1111" i="6"/>
  <c r="DA1030" i="6"/>
  <c r="DA1011" i="6"/>
  <c r="DA1008" i="6"/>
  <c r="DA1007" i="6"/>
  <c r="DA1005" i="6"/>
  <c r="DA997" i="6"/>
  <c r="DA991" i="6"/>
  <c r="DA978" i="6"/>
  <c r="DA1045" i="6"/>
  <c r="DA1124" i="6"/>
  <c r="DA1114" i="6"/>
  <c r="DA1100" i="6"/>
  <c r="DA1087" i="6"/>
  <c r="DA1062" i="6"/>
  <c r="DA1058" i="6"/>
  <c r="DA1024" i="6"/>
  <c r="DA1021" i="6"/>
  <c r="DA1000" i="6"/>
  <c r="DA988" i="6"/>
  <c r="DA1092" i="6"/>
  <c r="DA1083" i="6"/>
  <c r="DA1027" i="6"/>
  <c r="DA1026" i="6"/>
  <c r="DA995" i="6"/>
  <c r="DA992" i="6"/>
  <c r="DA1093" i="6"/>
  <c r="DA1074" i="6"/>
  <c r="DA1054" i="6"/>
  <c r="DA1038" i="6"/>
  <c r="DA1029" i="6"/>
  <c r="DA1025" i="6"/>
  <c r="DA1012" i="6"/>
  <c r="DA998" i="6"/>
  <c r="DA1095" i="6"/>
  <c r="DA1084" i="6"/>
  <c r="DA1057" i="6"/>
  <c r="DA1048" i="6"/>
  <c r="DA1006" i="6"/>
  <c r="DA984" i="6"/>
  <c r="DA965" i="6"/>
  <c r="DA1098" i="6"/>
  <c r="DA1034" i="6"/>
  <c r="DA999" i="6"/>
  <c r="DA981" i="6"/>
  <c r="DA979" i="6"/>
  <c r="DA976" i="6"/>
  <c r="DA980" i="6"/>
  <c r="DA963" i="6"/>
  <c r="DA962" i="6"/>
  <c r="DA961" i="6"/>
  <c r="DA986" i="6"/>
  <c r="DA1131" i="6"/>
  <c r="DA1032" i="6"/>
  <c r="DA987" i="6"/>
  <c r="DA977" i="6"/>
  <c r="DA1141" i="6"/>
  <c r="DA1090" i="6"/>
  <c r="DA1079" i="6"/>
  <c r="DA1078" i="6"/>
  <c r="DA1043" i="6"/>
  <c r="DA964" i="6"/>
  <c r="DA989" i="6"/>
  <c r="DA1071" i="6"/>
  <c r="DA1046" i="6"/>
  <c r="DA1080" i="6"/>
  <c r="DA1049" i="6"/>
  <c r="DA1089" i="6"/>
  <c r="DA1050" i="6"/>
  <c r="DA1144" i="6"/>
  <c r="DA982" i="6"/>
  <c r="DA1053" i="6"/>
  <c r="DA1072" i="6"/>
  <c r="DA1059" i="6"/>
  <c r="DA1002" i="6"/>
  <c r="DA1003" i="6"/>
  <c r="DA985" i="6"/>
  <c r="DA994" i="6"/>
  <c r="DA975" i="6"/>
  <c r="DA969" i="6"/>
  <c r="DA1033" i="6"/>
  <c r="DA968" i="6"/>
  <c r="CS1177" i="6"/>
  <c r="CS1191" i="6"/>
  <c r="CS1185" i="6"/>
  <c r="CS1179" i="6"/>
  <c r="CS1192" i="6"/>
  <c r="CS1176" i="6"/>
  <c r="CS1170" i="6"/>
  <c r="CS1184" i="6"/>
  <c r="CS1165" i="6"/>
  <c r="CS1168" i="6"/>
  <c r="CS1160" i="6"/>
  <c r="CS1167" i="6"/>
  <c r="CS1151" i="6"/>
  <c r="CS1166" i="6"/>
  <c r="CS1154" i="6"/>
  <c r="CS1146" i="6"/>
  <c r="CS1169" i="6"/>
  <c r="CS1164" i="6"/>
  <c r="CS1162" i="6"/>
  <c r="CS1161" i="6"/>
  <c r="CS1148" i="6"/>
  <c r="CS1144" i="6"/>
  <c r="CS1136" i="6"/>
  <c r="CS1145" i="6"/>
  <c r="CS1139" i="6"/>
  <c r="CS1190" i="6"/>
  <c r="CS1130" i="6"/>
  <c r="CS1118" i="6"/>
  <c r="CS1110" i="6"/>
  <c r="CS1102" i="6"/>
  <c r="CS1171" i="6"/>
  <c r="CS1163" i="6"/>
  <c r="CS1159" i="6"/>
  <c r="CS1143" i="6"/>
  <c r="CS1142" i="6"/>
  <c r="CS1140" i="6"/>
  <c r="CS1125" i="6"/>
  <c r="CS1113" i="6"/>
  <c r="CS1105" i="6"/>
  <c r="CS1097" i="6"/>
  <c r="CS1127" i="6"/>
  <c r="CS1123" i="6"/>
  <c r="CS1117" i="6"/>
  <c r="CS1116" i="6"/>
  <c r="CS1114" i="6"/>
  <c r="CS1091" i="6"/>
  <c r="CS1124" i="6"/>
  <c r="CS1115" i="6"/>
  <c r="CS1111" i="6"/>
  <c r="CS1094" i="6"/>
  <c r="CS1086" i="6"/>
  <c r="CS1149" i="6"/>
  <c r="CS1129" i="6"/>
  <c r="CS1128" i="6"/>
  <c r="CS1104" i="6"/>
  <c r="CS1085" i="6"/>
  <c r="CS1084" i="6"/>
  <c r="CS1081" i="6"/>
  <c r="CS1077" i="6"/>
  <c r="CS1073" i="6"/>
  <c r="CS1060" i="6"/>
  <c r="CS1052" i="6"/>
  <c r="CS1044" i="6"/>
  <c r="CS1036" i="6"/>
  <c r="CS1028" i="6"/>
  <c r="CS1020" i="6"/>
  <c r="CS1137" i="6"/>
  <c r="CS1131" i="6"/>
  <c r="CS1106" i="6"/>
  <c r="CS1063" i="6"/>
  <c r="CS1055" i="6"/>
  <c r="CS1047" i="6"/>
  <c r="CS1039" i="6"/>
  <c r="CS1031" i="6"/>
  <c r="CS1023" i="6"/>
  <c r="CS1017" i="6"/>
  <c r="CS1152" i="6"/>
  <c r="CS1112" i="6"/>
  <c r="CS1093" i="6"/>
  <c r="CS1062" i="6"/>
  <c r="CS1059" i="6"/>
  <c r="CS1038" i="6"/>
  <c r="CS1035" i="6"/>
  <c r="CS1009" i="6"/>
  <c r="CS1001" i="6"/>
  <c r="CS993" i="6"/>
  <c r="CS1138" i="6"/>
  <c r="CS1101" i="6"/>
  <c r="CS1100" i="6"/>
  <c r="CS1074" i="6"/>
  <c r="CS1058" i="6"/>
  <c r="CS1056" i="6"/>
  <c r="CS1034" i="6"/>
  <c r="CS1032" i="6"/>
  <c r="CS1004" i="6"/>
  <c r="CS1079" i="6"/>
  <c r="CS1072" i="6"/>
  <c r="CS1046" i="6"/>
  <c r="CS1042" i="6"/>
  <c r="CS1025" i="6"/>
  <c r="CS1006" i="6"/>
  <c r="CS1002" i="6"/>
  <c r="CS997" i="6"/>
  <c r="CS991" i="6"/>
  <c r="CS983" i="6"/>
  <c r="CS970" i="6"/>
  <c r="CS1153" i="6"/>
  <c r="CS1141" i="6"/>
  <c r="CS1126" i="6"/>
  <c r="CS1098" i="6"/>
  <c r="CS1092" i="6"/>
  <c r="CS1087" i="6"/>
  <c r="CS1078" i="6"/>
  <c r="CS1070" i="6"/>
  <c r="CS1037" i="6"/>
  <c r="CS1003" i="6"/>
  <c r="CS1000" i="6"/>
  <c r="CS986" i="6"/>
  <c r="CS978" i="6"/>
  <c r="CS1095" i="6"/>
  <c r="CS1090" i="6"/>
  <c r="CS1088" i="6"/>
  <c r="CS1075" i="6"/>
  <c r="CS1064" i="6"/>
  <c r="CS1054" i="6"/>
  <c r="CS1050" i="6"/>
  <c r="CS1089" i="6"/>
  <c r="CS1080" i="6"/>
  <c r="CS1049" i="6"/>
  <c r="CS1178" i="6"/>
  <c r="CS1150" i="6"/>
  <c r="CS1109" i="6"/>
  <c r="CS1107" i="6"/>
  <c r="CS1065" i="6"/>
  <c r="CS994" i="6"/>
  <c r="CS990" i="6"/>
  <c r="CS987" i="6"/>
  <c r="CS1033" i="6"/>
  <c r="CS1011" i="6"/>
  <c r="CS1096" i="6"/>
  <c r="CS1083" i="6"/>
  <c r="CS1071" i="6"/>
  <c r="CS1048" i="6"/>
  <c r="CS1007" i="6"/>
  <c r="CS996" i="6"/>
  <c r="CS989" i="6"/>
  <c r="CS1076" i="6"/>
  <c r="CS1051" i="6"/>
  <c r="CS1040" i="6"/>
  <c r="CS963" i="6"/>
  <c r="CS962" i="6"/>
  <c r="CS961" i="6"/>
  <c r="CS1147" i="6"/>
  <c r="CS985" i="6"/>
  <c r="CS982" i="6"/>
  <c r="CS1108" i="6"/>
  <c r="CS1045" i="6"/>
  <c r="CS1012" i="6"/>
  <c r="CS992" i="6"/>
  <c r="CS981" i="6"/>
  <c r="CS979" i="6"/>
  <c r="CS964" i="6"/>
  <c r="CS1099" i="6"/>
  <c r="CS1041" i="6"/>
  <c r="CS1018" i="6"/>
  <c r="CS1057" i="6"/>
  <c r="CS1029" i="6"/>
  <c r="CS975" i="6"/>
  <c r="CS1053" i="6"/>
  <c r="CS1026" i="6"/>
  <c r="CS1019" i="6"/>
  <c r="CS988" i="6"/>
  <c r="CS977" i="6"/>
  <c r="CS976" i="6"/>
  <c r="CS965" i="6"/>
  <c r="CS1027" i="6"/>
  <c r="CS1021" i="6"/>
  <c r="CS969" i="6"/>
  <c r="CS1082" i="6"/>
  <c r="CS980" i="6"/>
  <c r="CS1061" i="6"/>
  <c r="CS1005" i="6"/>
  <c r="CS995" i="6"/>
  <c r="CS999" i="6"/>
  <c r="CS1043" i="6"/>
  <c r="CS1024" i="6"/>
  <c r="CS968" i="6"/>
  <c r="CS1030" i="6"/>
  <c r="CS984" i="6"/>
  <c r="CS1103" i="6"/>
  <c r="CS998" i="6"/>
  <c r="CS1022" i="6"/>
  <c r="CS1010" i="6"/>
  <c r="CS1008" i="6"/>
  <c r="CK1177" i="6"/>
  <c r="CK1192" i="6"/>
  <c r="CK1190" i="6"/>
  <c r="CK1185" i="6"/>
  <c r="CK1170" i="6"/>
  <c r="CK1191" i="6"/>
  <c r="CK1165" i="6"/>
  <c r="CK1178" i="6"/>
  <c r="CK1168" i="6"/>
  <c r="CK1160" i="6"/>
  <c r="CK1164" i="6"/>
  <c r="CK1151" i="6"/>
  <c r="CK1163" i="6"/>
  <c r="CK1161" i="6"/>
  <c r="CK1154" i="6"/>
  <c r="CK1146" i="6"/>
  <c r="CK1162" i="6"/>
  <c r="CK1184" i="6"/>
  <c r="CK1167" i="6"/>
  <c r="CK1144" i="6"/>
  <c r="CK1136" i="6"/>
  <c r="CK1139" i="6"/>
  <c r="CK1176" i="6"/>
  <c r="CK1159" i="6"/>
  <c r="CK1169" i="6"/>
  <c r="CK1153" i="6"/>
  <c r="CK1141" i="6"/>
  <c r="CK1137" i="6"/>
  <c r="CK1130" i="6"/>
  <c r="CK1118" i="6"/>
  <c r="CK1110" i="6"/>
  <c r="CK1102" i="6"/>
  <c r="CK1179" i="6"/>
  <c r="CK1150" i="6"/>
  <c r="CK1145" i="6"/>
  <c r="CK1138" i="6"/>
  <c r="CK1125" i="6"/>
  <c r="CK1113" i="6"/>
  <c r="CK1105" i="6"/>
  <c r="CK1097" i="6"/>
  <c r="CK1171" i="6"/>
  <c r="CK1112" i="6"/>
  <c r="CK1109" i="6"/>
  <c r="CK1108" i="6"/>
  <c r="CK1106" i="6"/>
  <c r="CK1091" i="6"/>
  <c r="CK1149" i="6"/>
  <c r="CK1148" i="6"/>
  <c r="CK1142" i="6"/>
  <c r="CK1107" i="6"/>
  <c r="CK1103" i="6"/>
  <c r="CK1094" i="6"/>
  <c r="CK1086" i="6"/>
  <c r="CK1126" i="6"/>
  <c r="CK1115" i="6"/>
  <c r="CK1111" i="6"/>
  <c r="CK1101" i="6"/>
  <c r="CK1099" i="6"/>
  <c r="CK1081" i="6"/>
  <c r="CK1077" i="6"/>
  <c r="CK1073" i="6"/>
  <c r="CK1060" i="6"/>
  <c r="CK1052" i="6"/>
  <c r="CK1044" i="6"/>
  <c r="CK1036" i="6"/>
  <c r="CK1028" i="6"/>
  <c r="CK1020" i="6"/>
  <c r="CK1140" i="6"/>
  <c r="CK1116" i="6"/>
  <c r="CK1095" i="6"/>
  <c r="CK1063" i="6"/>
  <c r="CK1055" i="6"/>
  <c r="CK1047" i="6"/>
  <c r="CK1039" i="6"/>
  <c r="CK1031" i="6"/>
  <c r="CK1023" i="6"/>
  <c r="CK1017" i="6"/>
  <c r="CK1098" i="6"/>
  <c r="CK1080" i="6"/>
  <c r="CK1079" i="6"/>
  <c r="CK1057" i="6"/>
  <c r="CK1053" i="6"/>
  <c r="CK1033" i="6"/>
  <c r="CK1029" i="6"/>
  <c r="CK1009" i="6"/>
  <c r="CK1001" i="6"/>
  <c r="CK993" i="6"/>
  <c r="CK1152" i="6"/>
  <c r="CK1127" i="6"/>
  <c r="CK1117" i="6"/>
  <c r="CK1084" i="6"/>
  <c r="CK1054" i="6"/>
  <c r="CK1051" i="6"/>
  <c r="CK1050" i="6"/>
  <c r="CK1048" i="6"/>
  <c r="CK1030" i="6"/>
  <c r="CK1027" i="6"/>
  <c r="CK1004" i="6"/>
  <c r="CK1128" i="6"/>
  <c r="CK1124" i="6"/>
  <c r="CK1114" i="6"/>
  <c r="CK1065" i="6"/>
  <c r="CK1038" i="6"/>
  <c r="CK1012" i="6"/>
  <c r="CK983" i="6"/>
  <c r="CK970" i="6"/>
  <c r="CK1123" i="6"/>
  <c r="CK1082" i="6"/>
  <c r="CK1040" i="6"/>
  <c r="CK1034" i="6"/>
  <c r="CK1019" i="6"/>
  <c r="CK1018" i="6"/>
  <c r="CK998" i="6"/>
  <c r="CK992" i="6"/>
  <c r="CK986" i="6"/>
  <c r="CK978" i="6"/>
  <c r="CK1056" i="6"/>
  <c r="CK1166" i="6"/>
  <c r="CK1061" i="6"/>
  <c r="CK1045" i="6"/>
  <c r="CK1147" i="6"/>
  <c r="CK1085" i="6"/>
  <c r="CK1076" i="6"/>
  <c r="CK1072" i="6"/>
  <c r="CK1043" i="6"/>
  <c r="CK1041" i="6"/>
  <c r="CK1025" i="6"/>
  <c r="CK1008" i="6"/>
  <c r="CK1003" i="6"/>
  <c r="CK991" i="6"/>
  <c r="CK984" i="6"/>
  <c r="CK1090" i="6"/>
  <c r="CK1074" i="6"/>
  <c r="CK1070" i="6"/>
  <c r="CK1042" i="6"/>
  <c r="CK999" i="6"/>
  <c r="CK1089" i="6"/>
  <c r="CK1078" i="6"/>
  <c r="CK1049" i="6"/>
  <c r="CK1005" i="6"/>
  <c r="CK1000" i="6"/>
  <c r="CK997" i="6"/>
  <c r="CK1131" i="6"/>
  <c r="CK1129" i="6"/>
  <c r="CK1092" i="6"/>
  <c r="CK1064" i="6"/>
  <c r="CK1058" i="6"/>
  <c r="CK1037" i="6"/>
  <c r="CK1022" i="6"/>
  <c r="CK995" i="6"/>
  <c r="CK985" i="6"/>
  <c r="CK977" i="6"/>
  <c r="CK976" i="6"/>
  <c r="CK964" i="6"/>
  <c r="CK1104" i="6"/>
  <c r="CK1087" i="6"/>
  <c r="CK990" i="6"/>
  <c r="CK1007" i="6"/>
  <c r="CK1088" i="6"/>
  <c r="CK1083" i="6"/>
  <c r="CK1075" i="6"/>
  <c r="CK1032" i="6"/>
  <c r="CK1024" i="6"/>
  <c r="CK996" i="6"/>
  <c r="CK982" i="6"/>
  <c r="CK965" i="6"/>
  <c r="CK980" i="6"/>
  <c r="CK1100" i="6"/>
  <c r="CK1026" i="6"/>
  <c r="CK1096" i="6"/>
  <c r="CK1059" i="6"/>
  <c r="CK989" i="6"/>
  <c r="CK975" i="6"/>
  <c r="CK969" i="6"/>
  <c r="CK1062" i="6"/>
  <c r="CK968" i="6"/>
  <c r="CK1035" i="6"/>
  <c r="CK1011" i="6"/>
  <c r="CK1010" i="6"/>
  <c r="CK963" i="6"/>
  <c r="CK994" i="6"/>
  <c r="CK988" i="6"/>
  <c r="CK981" i="6"/>
  <c r="CK1143" i="6"/>
  <c r="CK987" i="6"/>
  <c r="CK1021" i="6"/>
  <c r="CK1093" i="6"/>
  <c r="CK979" i="6"/>
  <c r="CK1006" i="6"/>
  <c r="CK961" i="6"/>
  <c r="CK1071" i="6"/>
  <c r="CK1002" i="6"/>
  <c r="CK962" i="6"/>
  <c r="CK1046" i="6"/>
  <c r="CC1177" i="6"/>
  <c r="CC1192" i="6"/>
  <c r="CC1176" i="6"/>
  <c r="CC1170" i="6"/>
  <c r="CC1184" i="6"/>
  <c r="CC1179" i="6"/>
  <c r="CC1165" i="6"/>
  <c r="CC1168" i="6"/>
  <c r="CC1160" i="6"/>
  <c r="CC1171" i="6"/>
  <c r="CC1162" i="6"/>
  <c r="CC1151" i="6"/>
  <c r="CC1159" i="6"/>
  <c r="CC1154" i="6"/>
  <c r="CC1146" i="6"/>
  <c r="CC1178" i="6"/>
  <c r="CC1167" i="6"/>
  <c r="CC1190" i="6"/>
  <c r="CC1144" i="6"/>
  <c r="CC1136" i="6"/>
  <c r="CC1166" i="6"/>
  <c r="CC1161" i="6"/>
  <c r="CC1139" i="6"/>
  <c r="CC1152" i="6"/>
  <c r="CC1130" i="6"/>
  <c r="CC1118" i="6"/>
  <c r="CC1110" i="6"/>
  <c r="CC1102" i="6"/>
  <c r="CC1191" i="6"/>
  <c r="CC1125" i="6"/>
  <c r="CC1113" i="6"/>
  <c r="CC1105" i="6"/>
  <c r="CC1097" i="6"/>
  <c r="CC1145" i="6"/>
  <c r="CC1104" i="6"/>
  <c r="CC1101" i="6"/>
  <c r="CC1100" i="6"/>
  <c r="CC1098" i="6"/>
  <c r="CC1091" i="6"/>
  <c r="CC1185" i="6"/>
  <c r="CC1169" i="6"/>
  <c r="CC1140" i="6"/>
  <c r="CC1131" i="6"/>
  <c r="CC1099" i="6"/>
  <c r="CC1094" i="6"/>
  <c r="CC1086" i="6"/>
  <c r="CC1153" i="6"/>
  <c r="CC1143" i="6"/>
  <c r="CC1129" i="6"/>
  <c r="CC1128" i="6"/>
  <c r="CC1096" i="6"/>
  <c r="CC1092" i="6"/>
  <c r="CC1081" i="6"/>
  <c r="CC1077" i="6"/>
  <c r="CC1073" i="6"/>
  <c r="CC1060" i="6"/>
  <c r="CC1052" i="6"/>
  <c r="CC1044" i="6"/>
  <c r="CC1036" i="6"/>
  <c r="CC1028" i="6"/>
  <c r="CC1020" i="6"/>
  <c r="CC1164" i="6"/>
  <c r="CC1137" i="6"/>
  <c r="CC1114" i="6"/>
  <c r="CC1109" i="6"/>
  <c r="CC1093" i="6"/>
  <c r="CC1090" i="6"/>
  <c r="CC1089" i="6"/>
  <c r="CC1087" i="6"/>
  <c r="CC1063" i="6"/>
  <c r="CC1055" i="6"/>
  <c r="CC1047" i="6"/>
  <c r="CC1039" i="6"/>
  <c r="CC1031" i="6"/>
  <c r="CC1023" i="6"/>
  <c r="CC1017" i="6"/>
  <c r="CC1147" i="6"/>
  <c r="CC1112" i="6"/>
  <c r="CC1078" i="6"/>
  <c r="CC1072" i="6"/>
  <c r="CC1071" i="6"/>
  <c r="CC1049" i="6"/>
  <c r="CC1045" i="6"/>
  <c r="CC1026" i="6"/>
  <c r="CC1024" i="6"/>
  <c r="CC1009" i="6"/>
  <c r="CC1001" i="6"/>
  <c r="CC993" i="6"/>
  <c r="CC1142" i="6"/>
  <c r="CC1095" i="6"/>
  <c r="CC1083" i="6"/>
  <c r="CC1046" i="6"/>
  <c r="CC1043" i="6"/>
  <c r="CC1025" i="6"/>
  <c r="CC1021" i="6"/>
  <c r="CC1004" i="6"/>
  <c r="CC1150" i="6"/>
  <c r="CC1088" i="6"/>
  <c r="CC1085" i="6"/>
  <c r="CC1042" i="6"/>
  <c r="CC998" i="6"/>
  <c r="CC992" i="6"/>
  <c r="CC983" i="6"/>
  <c r="CC970" i="6"/>
  <c r="CC1115" i="6"/>
  <c r="CC1111" i="6"/>
  <c r="CC1103" i="6"/>
  <c r="CC1070" i="6"/>
  <c r="CC1062" i="6"/>
  <c r="CC1057" i="6"/>
  <c r="CC1053" i="6"/>
  <c r="CC1048" i="6"/>
  <c r="CC1037" i="6"/>
  <c r="CC1032" i="6"/>
  <c r="CC1027" i="6"/>
  <c r="CC999" i="6"/>
  <c r="CC987" i="6"/>
  <c r="CC986" i="6"/>
  <c r="CC978" i="6"/>
  <c r="CC1074" i="6"/>
  <c r="CC1124" i="6"/>
  <c r="CC1108" i="6"/>
  <c r="CC1079" i="6"/>
  <c r="CC1075" i="6"/>
  <c r="CC1064" i="6"/>
  <c r="CC1058" i="6"/>
  <c r="CC1082" i="6"/>
  <c r="CC1035" i="6"/>
  <c r="CC1034" i="6"/>
  <c r="CC995" i="6"/>
  <c r="CC981" i="6"/>
  <c r="CC1106" i="6"/>
  <c r="CC1076" i="6"/>
  <c r="CC1033" i="6"/>
  <c r="CC1019" i="6"/>
  <c r="CC1011" i="6"/>
  <c r="CC1006" i="6"/>
  <c r="CC1002" i="6"/>
  <c r="CC1141" i="6"/>
  <c r="CC1117" i="6"/>
  <c r="CC1054" i="6"/>
  <c r="CC1040" i="6"/>
  <c r="CC1018" i="6"/>
  <c r="CC1007" i="6"/>
  <c r="CC994" i="6"/>
  <c r="CC990" i="6"/>
  <c r="CC1061" i="6"/>
  <c r="CC984" i="6"/>
  <c r="CC980" i="6"/>
  <c r="CC975" i="6"/>
  <c r="CC969" i="6"/>
  <c r="CC965" i="6"/>
  <c r="CC996" i="6"/>
  <c r="CC1056" i="6"/>
  <c r="CC1030" i="6"/>
  <c r="CC1005" i="6"/>
  <c r="CC1149" i="6"/>
  <c r="CC1127" i="6"/>
  <c r="CC1126" i="6"/>
  <c r="CC1029" i="6"/>
  <c r="CC1022" i="6"/>
  <c r="CC968" i="6"/>
  <c r="CC1050" i="6"/>
  <c r="CC988" i="6"/>
  <c r="CC1084" i="6"/>
  <c r="CC1065" i="6"/>
  <c r="CC1123" i="6"/>
  <c r="CC1116" i="6"/>
  <c r="CC1080" i="6"/>
  <c r="CC1008" i="6"/>
  <c r="CC1059" i="6"/>
  <c r="CC1038" i="6"/>
  <c r="CC1010" i="6"/>
  <c r="CC1138" i="6"/>
  <c r="CC1051" i="6"/>
  <c r="CC979" i="6"/>
  <c r="CC1163" i="6"/>
  <c r="CC1107" i="6"/>
  <c r="CC1041" i="6"/>
  <c r="CC1000" i="6"/>
  <c r="CC991" i="6"/>
  <c r="CC985" i="6"/>
  <c r="CC1148" i="6"/>
  <c r="CC961" i="6"/>
  <c r="CC962" i="6"/>
  <c r="CC1012" i="6"/>
  <c r="CC997" i="6"/>
  <c r="CC977" i="6"/>
  <c r="CC976" i="6"/>
  <c r="CC963" i="6"/>
  <c r="CC989" i="6"/>
  <c r="CC982" i="6"/>
  <c r="CC1003" i="6"/>
  <c r="CC964" i="6"/>
  <c r="BU1177" i="6"/>
  <c r="BU1176" i="6"/>
  <c r="BU1190" i="6"/>
  <c r="BU1185" i="6"/>
  <c r="BU1170" i="6"/>
  <c r="BU1191" i="6"/>
  <c r="BU1165" i="6"/>
  <c r="BU1178" i="6"/>
  <c r="BU1168" i="6"/>
  <c r="BU1160" i="6"/>
  <c r="BU1151" i="6"/>
  <c r="BU1169" i="6"/>
  <c r="BU1154" i="6"/>
  <c r="BU1146" i="6"/>
  <c r="BU1192" i="6"/>
  <c r="BU1179" i="6"/>
  <c r="BU1152" i="6"/>
  <c r="BU1144" i="6"/>
  <c r="BU1136" i="6"/>
  <c r="BU1163" i="6"/>
  <c r="BU1153" i="6"/>
  <c r="BU1150" i="6"/>
  <c r="BU1149" i="6"/>
  <c r="BU1147" i="6"/>
  <c r="BU1139" i="6"/>
  <c r="BU1184" i="6"/>
  <c r="BU1166" i="6"/>
  <c r="BU1130" i="6"/>
  <c r="BU1118" i="6"/>
  <c r="BU1110" i="6"/>
  <c r="BU1102" i="6"/>
  <c r="BU1164" i="6"/>
  <c r="BU1145" i="6"/>
  <c r="BU1125" i="6"/>
  <c r="BU1113" i="6"/>
  <c r="BU1105" i="6"/>
  <c r="BU1097" i="6"/>
  <c r="BU1161" i="6"/>
  <c r="BU1141" i="6"/>
  <c r="BU1137" i="6"/>
  <c r="BU1129" i="6"/>
  <c r="BU1091" i="6"/>
  <c r="BU1142" i="6"/>
  <c r="BU1128" i="6"/>
  <c r="BU1126" i="6"/>
  <c r="BU1094" i="6"/>
  <c r="BU1086" i="6"/>
  <c r="BU1115" i="6"/>
  <c r="BU1111" i="6"/>
  <c r="BU1098" i="6"/>
  <c r="BU1088" i="6"/>
  <c r="BU1081" i="6"/>
  <c r="BU1077" i="6"/>
  <c r="BU1073" i="6"/>
  <c r="BU1060" i="6"/>
  <c r="BU1052" i="6"/>
  <c r="BU1044" i="6"/>
  <c r="BU1036" i="6"/>
  <c r="BU1028" i="6"/>
  <c r="BU1020" i="6"/>
  <c r="BU1116" i="6"/>
  <c r="BU1100" i="6"/>
  <c r="BU1063" i="6"/>
  <c r="BU1055" i="6"/>
  <c r="BU1047" i="6"/>
  <c r="BU1039" i="6"/>
  <c r="BU1031" i="6"/>
  <c r="BU1023" i="6"/>
  <c r="BU1017" i="6"/>
  <c r="BU1167" i="6"/>
  <c r="BU1162" i="6"/>
  <c r="BU1143" i="6"/>
  <c r="BU1124" i="6"/>
  <c r="BU1096" i="6"/>
  <c r="BU1070" i="6"/>
  <c r="BU1064" i="6"/>
  <c r="BU1042" i="6"/>
  <c r="BU1040" i="6"/>
  <c r="BU1022" i="6"/>
  <c r="BU1019" i="6"/>
  <c r="BU1009" i="6"/>
  <c r="BU1001" i="6"/>
  <c r="BU993" i="6"/>
  <c r="BU1138" i="6"/>
  <c r="BU1109" i="6"/>
  <c r="BU1084" i="6"/>
  <c r="BU1082" i="6"/>
  <c r="BU1076" i="6"/>
  <c r="BU1075" i="6"/>
  <c r="BU1065" i="6"/>
  <c r="BU1061" i="6"/>
  <c r="BU1041" i="6"/>
  <c r="BU1037" i="6"/>
  <c r="BU1018" i="6"/>
  <c r="BU1004" i="6"/>
  <c r="BU1112" i="6"/>
  <c r="BU1106" i="6"/>
  <c r="BU1080" i="6"/>
  <c r="BU1054" i="6"/>
  <c r="BU1050" i="6"/>
  <c r="BU1049" i="6"/>
  <c r="BU1038" i="6"/>
  <c r="BU1033" i="6"/>
  <c r="BU1029" i="6"/>
  <c r="BU1010" i="6"/>
  <c r="BU999" i="6"/>
  <c r="BU987" i="6"/>
  <c r="BU983" i="6"/>
  <c r="BU970" i="6"/>
  <c r="BU1117" i="6"/>
  <c r="BU1083" i="6"/>
  <c r="BU1034" i="6"/>
  <c r="BU1011" i="6"/>
  <c r="BU1008" i="6"/>
  <c r="BU1007" i="6"/>
  <c r="BU1005" i="6"/>
  <c r="BU994" i="6"/>
  <c r="BU988" i="6"/>
  <c r="BU986" i="6"/>
  <c r="BU978" i="6"/>
  <c r="BU1085" i="6"/>
  <c r="BU1051" i="6"/>
  <c r="BU1056" i="6"/>
  <c r="BU1159" i="6"/>
  <c r="BU1108" i="6"/>
  <c r="BU1087" i="6"/>
  <c r="BU1059" i="6"/>
  <c r="BU1043" i="6"/>
  <c r="BU1030" i="6"/>
  <c r="BU1025" i="6"/>
  <c r="BU1012" i="6"/>
  <c r="BU1003" i="6"/>
  <c r="BU998" i="6"/>
  <c r="BU1148" i="6"/>
  <c r="BU1099" i="6"/>
  <c r="BU1092" i="6"/>
  <c r="BU1078" i="6"/>
  <c r="BU996" i="6"/>
  <c r="BU989" i="6"/>
  <c r="BU1131" i="6"/>
  <c r="BU1104" i="6"/>
  <c r="BU1093" i="6"/>
  <c r="BU1071" i="6"/>
  <c r="BU1048" i="6"/>
  <c r="BU1035" i="6"/>
  <c r="BU1032" i="6"/>
  <c r="BU1000" i="6"/>
  <c r="BU991" i="6"/>
  <c r="BU1079" i="6"/>
  <c r="BU1127" i="6"/>
  <c r="BU1006" i="6"/>
  <c r="BU1095" i="6"/>
  <c r="BU1062" i="6"/>
  <c r="BU1107" i="6"/>
  <c r="BU1103" i="6"/>
  <c r="BU1057" i="6"/>
  <c r="BU1026" i="6"/>
  <c r="BU981" i="6"/>
  <c r="BU1074" i="6"/>
  <c r="BU1021" i="6"/>
  <c r="BU985" i="6"/>
  <c r="BU977" i="6"/>
  <c r="BU976" i="6"/>
  <c r="BU1140" i="6"/>
  <c r="BU1114" i="6"/>
  <c r="BU1058" i="6"/>
  <c r="BU1046" i="6"/>
  <c r="BU1027" i="6"/>
  <c r="BU990" i="6"/>
  <c r="BU979" i="6"/>
  <c r="BU1089" i="6"/>
  <c r="BU1002" i="6"/>
  <c r="BU1171" i="6"/>
  <c r="BU1123" i="6"/>
  <c r="BU1101" i="6"/>
  <c r="BU992" i="6"/>
  <c r="BU982" i="6"/>
  <c r="BU1024" i="6"/>
  <c r="BU995" i="6"/>
  <c r="BU964" i="6"/>
  <c r="BU980" i="6"/>
  <c r="BU984" i="6"/>
  <c r="BU962" i="6"/>
  <c r="BU1045" i="6"/>
  <c r="BU1090" i="6"/>
  <c r="BU975" i="6"/>
  <c r="BU968" i="6"/>
  <c r="BU1053" i="6"/>
  <c r="BU997" i="6"/>
  <c r="BU965" i="6"/>
  <c r="BU963" i="6"/>
  <c r="BU969" i="6"/>
  <c r="BU961" i="6"/>
  <c r="BU1072" i="6"/>
  <c r="DH1192" i="6"/>
  <c r="DH1177" i="6"/>
  <c r="DH1184" i="6"/>
  <c r="DH1178" i="6"/>
  <c r="DH1190" i="6"/>
  <c r="DH1167" i="6"/>
  <c r="DH1176" i="6"/>
  <c r="DH1170" i="6"/>
  <c r="DH1162" i="6"/>
  <c r="DH1185" i="6"/>
  <c r="DH1165" i="6"/>
  <c r="DH1163" i="6"/>
  <c r="DH1161" i="6"/>
  <c r="DH1148" i="6"/>
  <c r="DH1191" i="6"/>
  <c r="DH1169" i="6"/>
  <c r="DH1160" i="6"/>
  <c r="DH1151" i="6"/>
  <c r="DH1159" i="6"/>
  <c r="DH1141" i="6"/>
  <c r="DH1168" i="6"/>
  <c r="DH1138" i="6"/>
  <c r="DH1127" i="6"/>
  <c r="DH1115" i="6"/>
  <c r="DH1107" i="6"/>
  <c r="DH1099" i="6"/>
  <c r="DH1144" i="6"/>
  <c r="DH1136" i="6"/>
  <c r="DH1130" i="6"/>
  <c r="DH1118" i="6"/>
  <c r="DH1110" i="6"/>
  <c r="DH1102" i="6"/>
  <c r="DH1179" i="6"/>
  <c r="DH1140" i="6"/>
  <c r="DH1105" i="6"/>
  <c r="DH1103" i="6"/>
  <c r="DH1088" i="6"/>
  <c r="DH1085" i="6"/>
  <c r="DH1166" i="6"/>
  <c r="DH1164" i="6"/>
  <c r="DH1153" i="6"/>
  <c r="DH1104" i="6"/>
  <c r="DH1101" i="6"/>
  <c r="DH1100" i="6"/>
  <c r="DH1098" i="6"/>
  <c r="DH1091" i="6"/>
  <c r="DH1171" i="6"/>
  <c r="DH1154" i="6"/>
  <c r="DH1152" i="6"/>
  <c r="DH1146" i="6"/>
  <c r="DH1131" i="6"/>
  <c r="DH1114" i="6"/>
  <c r="DH1109" i="6"/>
  <c r="DH1095" i="6"/>
  <c r="DH1065" i="6"/>
  <c r="DH1057" i="6"/>
  <c r="DH1049" i="6"/>
  <c r="DH1041" i="6"/>
  <c r="DH1033" i="6"/>
  <c r="DH1025" i="6"/>
  <c r="DH1150" i="6"/>
  <c r="DH1142" i="6"/>
  <c r="DH1124" i="6"/>
  <c r="DH1094" i="6"/>
  <c r="DH1092" i="6"/>
  <c r="DH1081" i="6"/>
  <c r="DH1077" i="6"/>
  <c r="DH1073" i="6"/>
  <c r="DH1060" i="6"/>
  <c r="DH1052" i="6"/>
  <c r="DH1044" i="6"/>
  <c r="DH1036" i="6"/>
  <c r="DH1028" i="6"/>
  <c r="DH1020" i="6"/>
  <c r="DH1117" i="6"/>
  <c r="DH1108" i="6"/>
  <c r="DH1097" i="6"/>
  <c r="DH1054" i="6"/>
  <c r="DH1051" i="6"/>
  <c r="DH1050" i="6"/>
  <c r="DH1048" i="6"/>
  <c r="DH1030" i="6"/>
  <c r="DH1027" i="6"/>
  <c r="DH1006" i="6"/>
  <c r="DH998" i="6"/>
  <c r="DH990" i="6"/>
  <c r="DH1147" i="6"/>
  <c r="DH1129" i="6"/>
  <c r="DH1128" i="6"/>
  <c r="DH1111" i="6"/>
  <c r="DH1078" i="6"/>
  <c r="DH1072" i="6"/>
  <c r="DH1071" i="6"/>
  <c r="DH1047" i="6"/>
  <c r="DH1045" i="6"/>
  <c r="DH1026" i="6"/>
  <c r="DH1024" i="6"/>
  <c r="DH1012" i="6"/>
  <c r="DH1009" i="6"/>
  <c r="DH1001" i="6"/>
  <c r="DH1145" i="6"/>
  <c r="DH1143" i="6"/>
  <c r="DH1139" i="6"/>
  <c r="DH1070" i="6"/>
  <c r="DH1062" i="6"/>
  <c r="DH1053" i="6"/>
  <c r="DH1037" i="6"/>
  <c r="DH1032" i="6"/>
  <c r="DH989" i="6"/>
  <c r="DH980" i="6"/>
  <c r="DH1137" i="6"/>
  <c r="DH1079" i="6"/>
  <c r="DH1075" i="6"/>
  <c r="DH1074" i="6"/>
  <c r="DH1064" i="6"/>
  <c r="DH1063" i="6"/>
  <c r="DH1058" i="6"/>
  <c r="DH995" i="6"/>
  <c r="DH983" i="6"/>
  <c r="DH970" i="6"/>
  <c r="DH965" i="6"/>
  <c r="DH961" i="6"/>
  <c r="DH1084" i="6"/>
  <c r="DH1076" i="6"/>
  <c r="DH1123" i="6"/>
  <c r="DH1087" i="6"/>
  <c r="DH1059" i="6"/>
  <c r="DH1126" i="6"/>
  <c r="DH1086" i="6"/>
  <c r="DH1043" i="6"/>
  <c r="DH1042" i="6"/>
  <c r="DH1011" i="6"/>
  <c r="DH1002" i="6"/>
  <c r="DH991" i="6"/>
  <c r="DH985" i="6"/>
  <c r="DH982" i="6"/>
  <c r="DH1080" i="6"/>
  <c r="DH1061" i="6"/>
  <c r="DH1055" i="6"/>
  <c r="DH1007" i="6"/>
  <c r="DH1113" i="6"/>
  <c r="DH1031" i="6"/>
  <c r="DH997" i="6"/>
  <c r="DH993" i="6"/>
  <c r="DH1021" i="6"/>
  <c r="DH1017" i="6"/>
  <c r="DH1010" i="6"/>
  <c r="DH999" i="6"/>
  <c r="DH1089" i="6"/>
  <c r="DH1083" i="6"/>
  <c r="DH1023" i="6"/>
  <c r="DH1003" i="6"/>
  <c r="DH962" i="6"/>
  <c r="DH1093" i="6"/>
  <c r="DH1040" i="6"/>
  <c r="DH1112" i="6"/>
  <c r="DH1034" i="6"/>
  <c r="DH1005" i="6"/>
  <c r="DH987" i="6"/>
  <c r="DH975" i="6"/>
  <c r="DH969" i="6"/>
  <c r="DH1082" i="6"/>
  <c r="DH1056" i="6"/>
  <c r="DH1000" i="6"/>
  <c r="DH984" i="6"/>
  <c r="DH964" i="6"/>
  <c r="DH1046" i="6"/>
  <c r="DH1029" i="6"/>
  <c r="DH1022" i="6"/>
  <c r="DH988" i="6"/>
  <c r="DH968" i="6"/>
  <c r="DH992" i="6"/>
  <c r="DH963" i="6"/>
  <c r="DH1039" i="6"/>
  <c r="DH1038" i="6"/>
  <c r="DH1149" i="6"/>
  <c r="DH1035" i="6"/>
  <c r="DH1004" i="6"/>
  <c r="DH996" i="6"/>
  <c r="DH1090" i="6"/>
  <c r="DH1019" i="6"/>
  <c r="DH1096" i="6"/>
  <c r="DH979" i="6"/>
  <c r="DH978" i="6"/>
  <c r="DH977" i="6"/>
  <c r="DH976" i="6"/>
  <c r="DH994" i="6"/>
  <c r="DH986" i="6"/>
  <c r="DH1116" i="6"/>
  <c r="DH1106" i="6"/>
  <c r="DH981" i="6"/>
  <c r="DH1125" i="6"/>
  <c r="DH1018" i="6"/>
  <c r="DH1008" i="6"/>
  <c r="CZ1192" i="6"/>
  <c r="CZ1184" i="6"/>
  <c r="CZ1178" i="6"/>
  <c r="CZ1190" i="6"/>
  <c r="CZ1191" i="6"/>
  <c r="CZ1185" i="6"/>
  <c r="CZ1179" i="6"/>
  <c r="CZ1177" i="6"/>
  <c r="CZ1167" i="6"/>
  <c r="CZ1170" i="6"/>
  <c r="CZ1162" i="6"/>
  <c r="CZ1165" i="6"/>
  <c r="CZ1159" i="6"/>
  <c r="CZ1148" i="6"/>
  <c r="CZ1168" i="6"/>
  <c r="CZ1151" i="6"/>
  <c r="CZ1176" i="6"/>
  <c r="CZ1171" i="6"/>
  <c r="CZ1141" i="6"/>
  <c r="CZ1164" i="6"/>
  <c r="CZ1160" i="6"/>
  <c r="CZ1154" i="6"/>
  <c r="CZ1152" i="6"/>
  <c r="CZ1153" i="6"/>
  <c r="CZ1166" i="6"/>
  <c r="CZ1150" i="6"/>
  <c r="CZ1145" i="6"/>
  <c r="CZ1136" i="6"/>
  <c r="CZ1127" i="6"/>
  <c r="CZ1115" i="6"/>
  <c r="CZ1107" i="6"/>
  <c r="CZ1099" i="6"/>
  <c r="CZ1146" i="6"/>
  <c r="CZ1130" i="6"/>
  <c r="CZ1118" i="6"/>
  <c r="CZ1110" i="6"/>
  <c r="CZ1102" i="6"/>
  <c r="CZ1142" i="6"/>
  <c r="CZ1131" i="6"/>
  <c r="CZ1097" i="6"/>
  <c r="CZ1088" i="6"/>
  <c r="CZ1085" i="6"/>
  <c r="CZ1129" i="6"/>
  <c r="CZ1096" i="6"/>
  <c r="CZ1091" i="6"/>
  <c r="CZ1147" i="6"/>
  <c r="CZ1144" i="6"/>
  <c r="CZ1138" i="6"/>
  <c r="CZ1137" i="6"/>
  <c r="CZ1116" i="6"/>
  <c r="CZ1100" i="6"/>
  <c r="CZ1093" i="6"/>
  <c r="CZ1090" i="6"/>
  <c r="CZ1089" i="6"/>
  <c r="CZ1087" i="6"/>
  <c r="CZ1065" i="6"/>
  <c r="CZ1057" i="6"/>
  <c r="CZ1049" i="6"/>
  <c r="CZ1041" i="6"/>
  <c r="CZ1033" i="6"/>
  <c r="CZ1025" i="6"/>
  <c r="CZ1139" i="6"/>
  <c r="CZ1101" i="6"/>
  <c r="CZ1086" i="6"/>
  <c r="CZ1081" i="6"/>
  <c r="CZ1077" i="6"/>
  <c r="CZ1073" i="6"/>
  <c r="CZ1060" i="6"/>
  <c r="CZ1052" i="6"/>
  <c r="CZ1044" i="6"/>
  <c r="CZ1036" i="6"/>
  <c r="CZ1028" i="6"/>
  <c r="CZ1020" i="6"/>
  <c r="CZ1149" i="6"/>
  <c r="CZ1123" i="6"/>
  <c r="CZ1084" i="6"/>
  <c r="CZ1083" i="6"/>
  <c r="CZ1046" i="6"/>
  <c r="CZ1043" i="6"/>
  <c r="CZ1023" i="6"/>
  <c r="CZ1021" i="6"/>
  <c r="CZ1012" i="6"/>
  <c r="CZ1006" i="6"/>
  <c r="CZ998" i="6"/>
  <c r="CZ990" i="6"/>
  <c r="CZ1070" i="6"/>
  <c r="CZ1064" i="6"/>
  <c r="CZ1042" i="6"/>
  <c r="CZ1040" i="6"/>
  <c r="CZ1022" i="6"/>
  <c r="CZ1019" i="6"/>
  <c r="CZ1009" i="6"/>
  <c r="CZ1001" i="6"/>
  <c r="CZ1098" i="6"/>
  <c r="CZ1082" i="6"/>
  <c r="CZ1055" i="6"/>
  <c r="CZ1039" i="6"/>
  <c r="CZ1034" i="6"/>
  <c r="CZ1018" i="6"/>
  <c r="CZ1017" i="6"/>
  <c r="CZ995" i="6"/>
  <c r="CZ980" i="6"/>
  <c r="CZ1169" i="6"/>
  <c r="CZ1125" i="6"/>
  <c r="CZ1109" i="6"/>
  <c r="CZ1108" i="6"/>
  <c r="CZ1104" i="6"/>
  <c r="CZ1061" i="6"/>
  <c r="CZ1056" i="6"/>
  <c r="CZ1051" i="6"/>
  <c r="CZ1035" i="6"/>
  <c r="CZ1010" i="6"/>
  <c r="CZ996" i="6"/>
  <c r="CZ983" i="6"/>
  <c r="CZ970" i="6"/>
  <c r="CZ965" i="6"/>
  <c r="CZ961" i="6"/>
  <c r="CZ1143" i="6"/>
  <c r="CZ1111" i="6"/>
  <c r="CZ1103" i="6"/>
  <c r="CZ1112" i="6"/>
  <c r="CZ1095" i="6"/>
  <c r="CZ1079" i="6"/>
  <c r="CZ1050" i="6"/>
  <c r="CZ1037" i="6"/>
  <c r="CZ1004" i="6"/>
  <c r="CZ999" i="6"/>
  <c r="CZ1163" i="6"/>
  <c r="CZ1128" i="6"/>
  <c r="CZ1105" i="6"/>
  <c r="CZ1094" i="6"/>
  <c r="CZ1062" i="6"/>
  <c r="CZ1058" i="6"/>
  <c r="CZ1024" i="6"/>
  <c r="CZ1005" i="6"/>
  <c r="CZ1000" i="6"/>
  <c r="CZ1126" i="6"/>
  <c r="CZ1124" i="6"/>
  <c r="CZ1092" i="6"/>
  <c r="CZ1076" i="6"/>
  <c r="CZ1045" i="6"/>
  <c r="CZ1027" i="6"/>
  <c r="CZ1026" i="6"/>
  <c r="CZ992" i="6"/>
  <c r="CZ1117" i="6"/>
  <c r="CZ1002" i="6"/>
  <c r="CZ994" i="6"/>
  <c r="CZ982" i="6"/>
  <c r="CZ968" i="6"/>
  <c r="CZ964" i="6"/>
  <c r="CZ989" i="6"/>
  <c r="CZ1106" i="6"/>
  <c r="CZ1048" i="6"/>
  <c r="CZ993" i="6"/>
  <c r="CZ984" i="6"/>
  <c r="CZ1029" i="6"/>
  <c r="CZ991" i="6"/>
  <c r="CZ978" i="6"/>
  <c r="CZ1071" i="6"/>
  <c r="CZ1047" i="6"/>
  <c r="CZ1038" i="6"/>
  <c r="CZ1031" i="6"/>
  <c r="CZ1113" i="6"/>
  <c r="CZ1054" i="6"/>
  <c r="CZ963" i="6"/>
  <c r="CZ962" i="6"/>
  <c r="CZ1078" i="6"/>
  <c r="CZ1074" i="6"/>
  <c r="CZ1063" i="6"/>
  <c r="CZ1008" i="6"/>
  <c r="CZ997" i="6"/>
  <c r="CZ1030" i="6"/>
  <c r="CZ986" i="6"/>
  <c r="CZ1161" i="6"/>
  <c r="CZ1032" i="6"/>
  <c r="CZ1007" i="6"/>
  <c r="CZ987" i="6"/>
  <c r="CZ1114" i="6"/>
  <c r="CZ1059" i="6"/>
  <c r="CZ979" i="6"/>
  <c r="CZ1072" i="6"/>
  <c r="CZ981" i="6"/>
  <c r="CZ969" i="6"/>
  <c r="CZ1080" i="6"/>
  <c r="CZ1011" i="6"/>
  <c r="CZ1053" i="6"/>
  <c r="CZ1140" i="6"/>
  <c r="CZ1075" i="6"/>
  <c r="CZ977" i="6"/>
  <c r="CZ976" i="6"/>
  <c r="CZ1003" i="6"/>
  <c r="CZ988" i="6"/>
  <c r="CZ985" i="6"/>
  <c r="CZ975" i="6"/>
  <c r="CR1192" i="6"/>
  <c r="CR1190" i="6"/>
  <c r="CR1191" i="6"/>
  <c r="CR1185" i="6"/>
  <c r="CR1179" i="6"/>
  <c r="CR1167" i="6"/>
  <c r="CR1176" i="6"/>
  <c r="CR1170" i="6"/>
  <c r="CR1162" i="6"/>
  <c r="CR1184" i="6"/>
  <c r="CR1165" i="6"/>
  <c r="CR1148" i="6"/>
  <c r="CR1177" i="6"/>
  <c r="CR1151" i="6"/>
  <c r="CR1166" i="6"/>
  <c r="CR1168" i="6"/>
  <c r="CR1159" i="6"/>
  <c r="CR1153" i="6"/>
  <c r="CR1150" i="6"/>
  <c r="CR1149" i="6"/>
  <c r="CR1147" i="6"/>
  <c r="CR1141" i="6"/>
  <c r="CR1161" i="6"/>
  <c r="CR1146" i="6"/>
  <c r="CR1144" i="6"/>
  <c r="CR1152" i="6"/>
  <c r="CR1127" i="6"/>
  <c r="CR1115" i="6"/>
  <c r="CR1107" i="6"/>
  <c r="CR1099" i="6"/>
  <c r="CR1164" i="6"/>
  <c r="CR1130" i="6"/>
  <c r="CR1118" i="6"/>
  <c r="CR1110" i="6"/>
  <c r="CR1102" i="6"/>
  <c r="CR1178" i="6"/>
  <c r="CR1169" i="6"/>
  <c r="CR1140" i="6"/>
  <c r="CR1128" i="6"/>
  <c r="CR1126" i="6"/>
  <c r="CR1096" i="6"/>
  <c r="CR1088" i="6"/>
  <c r="CR1085" i="6"/>
  <c r="CR1145" i="6"/>
  <c r="CR1125" i="6"/>
  <c r="CR1123" i="6"/>
  <c r="CR1117" i="6"/>
  <c r="CR1116" i="6"/>
  <c r="CR1114" i="6"/>
  <c r="CR1091" i="6"/>
  <c r="CR1109" i="6"/>
  <c r="CR1065" i="6"/>
  <c r="CR1057" i="6"/>
  <c r="CR1049" i="6"/>
  <c r="CR1041" i="6"/>
  <c r="CR1033" i="6"/>
  <c r="CR1025" i="6"/>
  <c r="CR1160" i="6"/>
  <c r="CR1143" i="6"/>
  <c r="CR1129" i="6"/>
  <c r="CR1124" i="6"/>
  <c r="CR1105" i="6"/>
  <c r="CR1104" i="6"/>
  <c r="CR1084" i="6"/>
  <c r="CR1081" i="6"/>
  <c r="CR1077" i="6"/>
  <c r="CR1073" i="6"/>
  <c r="CR1060" i="6"/>
  <c r="CR1052" i="6"/>
  <c r="CR1044" i="6"/>
  <c r="CR1036" i="6"/>
  <c r="CR1028" i="6"/>
  <c r="CR1020" i="6"/>
  <c r="CR1154" i="6"/>
  <c r="CR1136" i="6"/>
  <c r="CR1131" i="6"/>
  <c r="CR1097" i="6"/>
  <c r="CR1095" i="6"/>
  <c r="CR1094" i="6"/>
  <c r="CR1090" i="6"/>
  <c r="CR1089" i="6"/>
  <c r="CR1086" i="6"/>
  <c r="CR1082" i="6"/>
  <c r="CR1076" i="6"/>
  <c r="CR1075" i="6"/>
  <c r="CR1063" i="6"/>
  <c r="CR1061" i="6"/>
  <c r="CR1039" i="6"/>
  <c r="CR1037" i="6"/>
  <c r="CR1018" i="6"/>
  <c r="CR1006" i="6"/>
  <c r="CR998" i="6"/>
  <c r="CR990" i="6"/>
  <c r="CR1139" i="6"/>
  <c r="CR1112" i="6"/>
  <c r="CR1093" i="6"/>
  <c r="CR1062" i="6"/>
  <c r="CR1059" i="6"/>
  <c r="CR1038" i="6"/>
  <c r="CR1035" i="6"/>
  <c r="CR1009" i="6"/>
  <c r="CR1001" i="6"/>
  <c r="CR1101" i="6"/>
  <c r="CR1071" i="6"/>
  <c r="CR1053" i="6"/>
  <c r="CR1048" i="6"/>
  <c r="CR1047" i="6"/>
  <c r="CR1043" i="6"/>
  <c r="CR1032" i="6"/>
  <c r="CR1027" i="6"/>
  <c r="CR1026" i="6"/>
  <c r="CR1023" i="6"/>
  <c r="CR1022" i="6"/>
  <c r="CR1011" i="6"/>
  <c r="CR1008" i="6"/>
  <c r="CR1007" i="6"/>
  <c r="CR1005" i="6"/>
  <c r="CR996" i="6"/>
  <c r="CR980" i="6"/>
  <c r="CR1142" i="6"/>
  <c r="CR1079" i="6"/>
  <c r="CR1074" i="6"/>
  <c r="CR1072" i="6"/>
  <c r="CR1058" i="6"/>
  <c r="CR1046" i="6"/>
  <c r="CR1042" i="6"/>
  <c r="CR1004" i="6"/>
  <c r="CR1002" i="6"/>
  <c r="CR997" i="6"/>
  <c r="CR991" i="6"/>
  <c r="CR983" i="6"/>
  <c r="CR970" i="6"/>
  <c r="CR965" i="6"/>
  <c r="CR961" i="6"/>
  <c r="CR1098" i="6"/>
  <c r="CR1087" i="6"/>
  <c r="CR1078" i="6"/>
  <c r="CR1070" i="6"/>
  <c r="CR1092" i="6"/>
  <c r="CR1171" i="6"/>
  <c r="CR1031" i="6"/>
  <c r="CR1010" i="6"/>
  <c r="CR1137" i="6"/>
  <c r="CR1056" i="6"/>
  <c r="CR1050" i="6"/>
  <c r="CR1034" i="6"/>
  <c r="CR994" i="6"/>
  <c r="CR1163" i="6"/>
  <c r="CR1138" i="6"/>
  <c r="CR1103" i="6"/>
  <c r="CR1030" i="6"/>
  <c r="CR1024" i="6"/>
  <c r="CR1003" i="6"/>
  <c r="CR986" i="6"/>
  <c r="CR988" i="6"/>
  <c r="CR1064" i="6"/>
  <c r="CR1100" i="6"/>
  <c r="CR1051" i="6"/>
  <c r="CR1040" i="6"/>
  <c r="CR1000" i="6"/>
  <c r="CR987" i="6"/>
  <c r="CR963" i="6"/>
  <c r="CR962" i="6"/>
  <c r="CR1111" i="6"/>
  <c r="CR1106" i="6"/>
  <c r="CR1054" i="6"/>
  <c r="CR993" i="6"/>
  <c r="CR977" i="6"/>
  <c r="CR976" i="6"/>
  <c r="CR1113" i="6"/>
  <c r="CR985" i="6"/>
  <c r="CR1045" i="6"/>
  <c r="CR1012" i="6"/>
  <c r="CR992" i="6"/>
  <c r="CR981" i="6"/>
  <c r="CR979" i="6"/>
  <c r="CR978" i="6"/>
  <c r="CR964" i="6"/>
  <c r="CR1019" i="6"/>
  <c r="CR1017" i="6"/>
  <c r="CR1029" i="6"/>
  <c r="CR1055" i="6"/>
  <c r="CR982" i="6"/>
  <c r="CR968" i="6"/>
  <c r="CR975" i="6"/>
  <c r="CR1083" i="6"/>
  <c r="CR989" i="6"/>
  <c r="CR995" i="6"/>
  <c r="CR1108" i="6"/>
  <c r="CR1021" i="6"/>
  <c r="CR984" i="6"/>
  <c r="CR999" i="6"/>
  <c r="CR969" i="6"/>
  <c r="CR1080" i="6"/>
  <c r="CJ1192" i="6"/>
  <c r="CJ1191" i="6"/>
  <c r="CJ1185" i="6"/>
  <c r="CJ1179" i="6"/>
  <c r="CJ1177" i="6"/>
  <c r="CJ1167" i="6"/>
  <c r="CJ1190" i="6"/>
  <c r="CJ1170" i="6"/>
  <c r="CJ1162" i="6"/>
  <c r="CJ1165" i="6"/>
  <c r="CJ1169" i="6"/>
  <c r="CJ1166" i="6"/>
  <c r="CJ1148" i="6"/>
  <c r="CJ1164" i="6"/>
  <c r="CJ1151" i="6"/>
  <c r="CJ1163" i="6"/>
  <c r="CJ1161" i="6"/>
  <c r="CJ1178" i="6"/>
  <c r="CJ1145" i="6"/>
  <c r="CJ1141" i="6"/>
  <c r="CJ1184" i="6"/>
  <c r="CJ1144" i="6"/>
  <c r="CJ1168" i="6"/>
  <c r="CJ1149" i="6"/>
  <c r="CJ1143" i="6"/>
  <c r="CJ1142" i="6"/>
  <c r="CJ1140" i="6"/>
  <c r="CJ1127" i="6"/>
  <c r="CJ1115" i="6"/>
  <c r="CJ1107" i="6"/>
  <c r="CJ1099" i="6"/>
  <c r="CJ1153" i="6"/>
  <c r="CJ1139" i="6"/>
  <c r="CJ1137" i="6"/>
  <c r="CJ1130" i="6"/>
  <c r="CJ1118" i="6"/>
  <c r="CJ1110" i="6"/>
  <c r="CJ1102" i="6"/>
  <c r="CJ1176" i="6"/>
  <c r="CJ1159" i="6"/>
  <c r="CJ1150" i="6"/>
  <c r="CJ1124" i="6"/>
  <c r="CJ1113" i="6"/>
  <c r="CJ1111" i="6"/>
  <c r="CJ1096" i="6"/>
  <c r="CJ1088" i="6"/>
  <c r="CJ1085" i="6"/>
  <c r="CJ1171" i="6"/>
  <c r="CJ1112" i="6"/>
  <c r="CJ1109" i="6"/>
  <c r="CJ1108" i="6"/>
  <c r="CJ1106" i="6"/>
  <c r="CJ1091" i="6"/>
  <c r="CJ1154" i="6"/>
  <c r="CJ1146" i="6"/>
  <c r="CJ1125" i="6"/>
  <c r="CJ1100" i="6"/>
  <c r="CJ1097" i="6"/>
  <c r="CJ1065" i="6"/>
  <c r="CJ1057" i="6"/>
  <c r="CJ1049" i="6"/>
  <c r="CJ1041" i="6"/>
  <c r="CJ1033" i="6"/>
  <c r="CJ1025" i="6"/>
  <c r="CJ1136" i="6"/>
  <c r="CJ1126" i="6"/>
  <c r="CJ1101" i="6"/>
  <c r="CJ1081" i="6"/>
  <c r="CJ1077" i="6"/>
  <c r="CJ1073" i="6"/>
  <c r="CJ1060" i="6"/>
  <c r="CJ1052" i="6"/>
  <c r="CJ1044" i="6"/>
  <c r="CJ1036" i="6"/>
  <c r="CJ1028" i="6"/>
  <c r="CJ1020" i="6"/>
  <c r="CJ1123" i="6"/>
  <c r="CJ1116" i="6"/>
  <c r="CJ1105" i="6"/>
  <c r="CJ1104" i="6"/>
  <c r="CJ1074" i="6"/>
  <c r="CJ1058" i="6"/>
  <c r="CJ1056" i="6"/>
  <c r="CJ1034" i="6"/>
  <c r="CJ1032" i="6"/>
  <c r="CJ1017" i="6"/>
  <c r="CJ1006" i="6"/>
  <c r="CJ998" i="6"/>
  <c r="CJ990" i="6"/>
  <c r="CJ1098" i="6"/>
  <c r="CJ1080" i="6"/>
  <c r="CJ1079" i="6"/>
  <c r="CJ1055" i="6"/>
  <c r="CJ1053" i="6"/>
  <c r="CJ1031" i="6"/>
  <c r="CJ1029" i="6"/>
  <c r="CJ1009" i="6"/>
  <c r="CJ1001" i="6"/>
  <c r="CJ1147" i="6"/>
  <c r="CJ1131" i="6"/>
  <c r="CJ1083" i="6"/>
  <c r="CJ1076" i="6"/>
  <c r="CJ1059" i="6"/>
  <c r="CJ1003" i="6"/>
  <c r="CJ1000" i="6"/>
  <c r="CJ997" i="6"/>
  <c r="CJ991" i="6"/>
  <c r="CJ980" i="6"/>
  <c r="CJ1152" i="6"/>
  <c r="CJ1138" i="6"/>
  <c r="CJ1128" i="6"/>
  <c r="CJ1114" i="6"/>
  <c r="CJ1051" i="6"/>
  <c r="CJ1038" i="6"/>
  <c r="CJ1012" i="6"/>
  <c r="CJ983" i="6"/>
  <c r="CJ970" i="6"/>
  <c r="CJ965" i="6"/>
  <c r="CJ961" i="6"/>
  <c r="CJ1082" i="6"/>
  <c r="CJ1129" i="6"/>
  <c r="CJ1064" i="6"/>
  <c r="CJ1062" i="6"/>
  <c r="CJ1054" i="6"/>
  <c r="CJ1047" i="6"/>
  <c r="CJ1039" i="6"/>
  <c r="CJ1037" i="6"/>
  <c r="CJ1027" i="6"/>
  <c r="CJ1026" i="6"/>
  <c r="CJ1023" i="6"/>
  <c r="CJ1022" i="6"/>
  <c r="CJ996" i="6"/>
  <c r="CJ989" i="6"/>
  <c r="CJ1103" i="6"/>
  <c r="CJ1084" i="6"/>
  <c r="CJ1072" i="6"/>
  <c r="CJ1061" i="6"/>
  <c r="CJ1043" i="6"/>
  <c r="CJ1030" i="6"/>
  <c r="CJ1008" i="6"/>
  <c r="CJ993" i="6"/>
  <c r="CJ1090" i="6"/>
  <c r="CJ1070" i="6"/>
  <c r="CJ1042" i="6"/>
  <c r="CJ1004" i="6"/>
  <c r="CJ999" i="6"/>
  <c r="CJ1093" i="6"/>
  <c r="CJ1010" i="6"/>
  <c r="CJ978" i="6"/>
  <c r="CJ963" i="6"/>
  <c r="CJ962" i="6"/>
  <c r="CJ992" i="6"/>
  <c r="CJ1095" i="6"/>
  <c r="CJ1092" i="6"/>
  <c r="CJ1086" i="6"/>
  <c r="CJ1050" i="6"/>
  <c r="CJ1005" i="6"/>
  <c r="CJ995" i="6"/>
  <c r="CJ985" i="6"/>
  <c r="CJ977" i="6"/>
  <c r="CJ976" i="6"/>
  <c r="CJ964" i="6"/>
  <c r="CJ1040" i="6"/>
  <c r="CJ984" i="6"/>
  <c r="CJ975" i="6"/>
  <c r="CJ1094" i="6"/>
  <c r="CJ1075" i="6"/>
  <c r="CJ1024" i="6"/>
  <c r="CJ982" i="6"/>
  <c r="CJ1117" i="6"/>
  <c r="CJ1048" i="6"/>
  <c r="CJ1045" i="6"/>
  <c r="CJ969" i="6"/>
  <c r="CJ1160" i="6"/>
  <c r="CJ1087" i="6"/>
  <c r="CJ968" i="6"/>
  <c r="CJ1078" i="6"/>
  <c r="CJ1019" i="6"/>
  <c r="CJ1018" i="6"/>
  <c r="CJ988" i="6"/>
  <c r="CJ979" i="6"/>
  <c r="CJ986" i="6"/>
  <c r="CJ1089" i="6"/>
  <c r="CJ1035" i="6"/>
  <c r="CJ1011" i="6"/>
  <c r="CJ1007" i="6"/>
  <c r="CJ981" i="6"/>
  <c r="CJ1071" i="6"/>
  <c r="CJ987" i="6"/>
  <c r="CJ1021" i="6"/>
  <c r="CJ1002" i="6"/>
  <c r="CJ1063" i="6"/>
  <c r="CJ1046" i="6"/>
  <c r="CJ994" i="6"/>
  <c r="CB1192" i="6"/>
  <c r="CB1167" i="6"/>
  <c r="CB1176" i="6"/>
  <c r="CB1170" i="6"/>
  <c r="CB1162" i="6"/>
  <c r="CB1184" i="6"/>
  <c r="CB1179" i="6"/>
  <c r="CB1165" i="6"/>
  <c r="CB1168" i="6"/>
  <c r="CB1163" i="6"/>
  <c r="CB1161" i="6"/>
  <c r="CB1148" i="6"/>
  <c r="CB1171" i="6"/>
  <c r="CB1160" i="6"/>
  <c r="CB1151" i="6"/>
  <c r="CB1159" i="6"/>
  <c r="CB1177" i="6"/>
  <c r="CB1141" i="6"/>
  <c r="CB1190" i="6"/>
  <c r="CB1178" i="6"/>
  <c r="CB1144" i="6"/>
  <c r="CB1166" i="6"/>
  <c r="CB1147" i="6"/>
  <c r="CB1138" i="6"/>
  <c r="CB1127" i="6"/>
  <c r="CB1115" i="6"/>
  <c r="CB1107" i="6"/>
  <c r="CB1099" i="6"/>
  <c r="CB1154" i="6"/>
  <c r="CB1130" i="6"/>
  <c r="CB1118" i="6"/>
  <c r="CB1110" i="6"/>
  <c r="CB1102" i="6"/>
  <c r="CB1164" i="6"/>
  <c r="CB1152" i="6"/>
  <c r="CB1143" i="6"/>
  <c r="CB1136" i="6"/>
  <c r="CB1105" i="6"/>
  <c r="CB1103" i="6"/>
  <c r="CB1096" i="6"/>
  <c r="CB1088" i="6"/>
  <c r="CB1085" i="6"/>
  <c r="CB1145" i="6"/>
  <c r="CB1139" i="6"/>
  <c r="CB1104" i="6"/>
  <c r="CB1101" i="6"/>
  <c r="CB1100" i="6"/>
  <c r="CB1098" i="6"/>
  <c r="CB1091" i="6"/>
  <c r="CB1123" i="6"/>
  <c r="CB1117" i="6"/>
  <c r="CB1112" i="6"/>
  <c r="CB1108" i="6"/>
  <c r="CB1095" i="6"/>
  <c r="CB1065" i="6"/>
  <c r="CB1057" i="6"/>
  <c r="CB1049" i="6"/>
  <c r="CB1041" i="6"/>
  <c r="CB1033" i="6"/>
  <c r="CB1025" i="6"/>
  <c r="CB1153" i="6"/>
  <c r="CB1129" i="6"/>
  <c r="CB1128" i="6"/>
  <c r="CB1113" i="6"/>
  <c r="CB1094" i="6"/>
  <c r="CB1092" i="6"/>
  <c r="CB1081" i="6"/>
  <c r="CB1077" i="6"/>
  <c r="CB1073" i="6"/>
  <c r="CB1060" i="6"/>
  <c r="CB1052" i="6"/>
  <c r="CB1044" i="6"/>
  <c r="CB1036" i="6"/>
  <c r="CB1028" i="6"/>
  <c r="CB1020" i="6"/>
  <c r="CB1137" i="6"/>
  <c r="CB1090" i="6"/>
  <c r="CB1089" i="6"/>
  <c r="CB1086" i="6"/>
  <c r="CB1054" i="6"/>
  <c r="CB1051" i="6"/>
  <c r="CB1050" i="6"/>
  <c r="CB1048" i="6"/>
  <c r="CB1030" i="6"/>
  <c r="CB1027" i="6"/>
  <c r="CB1006" i="6"/>
  <c r="CB998" i="6"/>
  <c r="CB990" i="6"/>
  <c r="CB1185" i="6"/>
  <c r="CB1114" i="6"/>
  <c r="CB1093" i="6"/>
  <c r="CB1078" i="6"/>
  <c r="CB1072" i="6"/>
  <c r="CB1071" i="6"/>
  <c r="CB1047" i="6"/>
  <c r="CB1045" i="6"/>
  <c r="CB1026" i="6"/>
  <c r="CB1024" i="6"/>
  <c r="CB1009" i="6"/>
  <c r="CB1001" i="6"/>
  <c r="CB1116" i="6"/>
  <c r="CB1087" i="6"/>
  <c r="CB1084" i="6"/>
  <c r="CB1043" i="6"/>
  <c r="CB1023" i="6"/>
  <c r="CB1022" i="6"/>
  <c r="CB980" i="6"/>
  <c r="CB1150" i="6"/>
  <c r="CB1140" i="6"/>
  <c r="CB1125" i="6"/>
  <c r="CB1109" i="6"/>
  <c r="CB1046" i="6"/>
  <c r="CB1042" i="6"/>
  <c r="CB1031" i="6"/>
  <c r="CB992" i="6"/>
  <c r="CB983" i="6"/>
  <c r="CB970" i="6"/>
  <c r="CB965" i="6"/>
  <c r="CB961" i="6"/>
  <c r="CB1062" i="6"/>
  <c r="CB1053" i="6"/>
  <c r="CB1146" i="6"/>
  <c r="CB1131" i="6"/>
  <c r="CB1111" i="6"/>
  <c r="CB1070" i="6"/>
  <c r="CB1149" i="6"/>
  <c r="CB1142" i="6"/>
  <c r="CB1097" i="6"/>
  <c r="CB1083" i="6"/>
  <c r="CB1079" i="6"/>
  <c r="CB1056" i="6"/>
  <c r="CB1010" i="6"/>
  <c r="CB997" i="6"/>
  <c r="CB988" i="6"/>
  <c r="CB985" i="6"/>
  <c r="CB982" i="6"/>
  <c r="CB1082" i="6"/>
  <c r="CB1064" i="6"/>
  <c r="CB1058" i="6"/>
  <c r="CB1035" i="6"/>
  <c r="CB1034" i="6"/>
  <c r="CB995" i="6"/>
  <c r="CB1106" i="6"/>
  <c r="CB1076" i="6"/>
  <c r="CB1037" i="6"/>
  <c r="CB1019" i="6"/>
  <c r="CB1011" i="6"/>
  <c r="CB1002" i="6"/>
  <c r="CB1074" i="6"/>
  <c r="CB1063" i="6"/>
  <c r="CB1021" i="6"/>
  <c r="CB1017" i="6"/>
  <c r="CB1000" i="6"/>
  <c r="CB964" i="6"/>
  <c r="CB1080" i="6"/>
  <c r="CB1075" i="6"/>
  <c r="CB986" i="6"/>
  <c r="CB1124" i="6"/>
  <c r="CB1039" i="6"/>
  <c r="CB996" i="6"/>
  <c r="CB1061" i="6"/>
  <c r="CB994" i="6"/>
  <c r="CB984" i="6"/>
  <c r="CB975" i="6"/>
  <c r="CB969" i="6"/>
  <c r="CB1059" i="6"/>
  <c r="CB1040" i="6"/>
  <c r="CB1038" i="6"/>
  <c r="CB981" i="6"/>
  <c r="CB1191" i="6"/>
  <c r="CB1126" i="6"/>
  <c r="CB1055" i="6"/>
  <c r="CB1029" i="6"/>
  <c r="CB1004" i="6"/>
  <c r="CB993" i="6"/>
  <c r="CB987" i="6"/>
  <c r="CB968" i="6"/>
  <c r="CB1008" i="6"/>
  <c r="CB1169" i="6"/>
  <c r="CB1032" i="6"/>
  <c r="CB999" i="6"/>
  <c r="CB962" i="6"/>
  <c r="CB1018" i="6"/>
  <c r="CB991" i="6"/>
  <c r="CB979" i="6"/>
  <c r="CB978" i="6"/>
  <c r="CB977" i="6"/>
  <c r="CB976" i="6"/>
  <c r="CB963" i="6"/>
  <c r="CB989" i="6"/>
  <c r="CB1003" i="6"/>
  <c r="CB1005" i="6"/>
  <c r="CB1012" i="6"/>
  <c r="CB1007" i="6"/>
  <c r="BT1192" i="6"/>
  <c r="BT1176" i="6"/>
  <c r="BT1177" i="6"/>
  <c r="BT1167" i="6"/>
  <c r="BT1190" i="6"/>
  <c r="BT1185" i="6"/>
  <c r="BT1170" i="6"/>
  <c r="BT1162" i="6"/>
  <c r="BT1191" i="6"/>
  <c r="BT1165" i="6"/>
  <c r="BT1159" i="6"/>
  <c r="BT1148" i="6"/>
  <c r="BT1151" i="6"/>
  <c r="BT1169" i="6"/>
  <c r="BT1164" i="6"/>
  <c r="BT1160" i="6"/>
  <c r="BT1141" i="6"/>
  <c r="BT1168" i="6"/>
  <c r="BT1154" i="6"/>
  <c r="BT1152" i="6"/>
  <c r="BT1144" i="6"/>
  <c r="BT1178" i="6"/>
  <c r="BT1163" i="6"/>
  <c r="BT1153" i="6"/>
  <c r="BT1171" i="6"/>
  <c r="BT1149" i="6"/>
  <c r="BT1127" i="6"/>
  <c r="BT1115" i="6"/>
  <c r="BT1107" i="6"/>
  <c r="BT1099" i="6"/>
  <c r="BT1166" i="6"/>
  <c r="BT1130" i="6"/>
  <c r="BT1118" i="6"/>
  <c r="BT1110" i="6"/>
  <c r="BT1102" i="6"/>
  <c r="BT1131" i="6"/>
  <c r="BT1097" i="6"/>
  <c r="BT1096" i="6"/>
  <c r="BT1088" i="6"/>
  <c r="BT1085" i="6"/>
  <c r="BT1161" i="6"/>
  <c r="BT1137" i="6"/>
  <c r="BT1129" i="6"/>
  <c r="BT1091" i="6"/>
  <c r="BT1179" i="6"/>
  <c r="BT1140" i="6"/>
  <c r="BT1125" i="6"/>
  <c r="BT1106" i="6"/>
  <c r="BT1093" i="6"/>
  <c r="BT1090" i="6"/>
  <c r="BT1089" i="6"/>
  <c r="BT1087" i="6"/>
  <c r="BT1065" i="6"/>
  <c r="BT1057" i="6"/>
  <c r="BT1049" i="6"/>
  <c r="BT1041" i="6"/>
  <c r="BT1033" i="6"/>
  <c r="BT1025" i="6"/>
  <c r="BT1142" i="6"/>
  <c r="BT1136" i="6"/>
  <c r="BT1126" i="6"/>
  <c r="BT1111" i="6"/>
  <c r="BT1098" i="6"/>
  <c r="BT1086" i="6"/>
  <c r="BT1081" i="6"/>
  <c r="BT1077" i="6"/>
  <c r="BT1073" i="6"/>
  <c r="BT1060" i="6"/>
  <c r="BT1052" i="6"/>
  <c r="BT1044" i="6"/>
  <c r="BT1036" i="6"/>
  <c r="BT1028" i="6"/>
  <c r="BT1020" i="6"/>
  <c r="BT1117" i="6"/>
  <c r="BT1108" i="6"/>
  <c r="BT1105" i="6"/>
  <c r="BT1104" i="6"/>
  <c r="BT1083" i="6"/>
  <c r="BT1046" i="6"/>
  <c r="BT1043" i="6"/>
  <c r="BT1023" i="6"/>
  <c r="BT1021" i="6"/>
  <c r="BT1006" i="6"/>
  <c r="BT998" i="6"/>
  <c r="BT990" i="6"/>
  <c r="BT1150" i="6"/>
  <c r="BT1147" i="6"/>
  <c r="BT1143" i="6"/>
  <c r="BT1139" i="6"/>
  <c r="BT1128" i="6"/>
  <c r="BT1124" i="6"/>
  <c r="BT1070" i="6"/>
  <c r="BT1064" i="6"/>
  <c r="BT1042" i="6"/>
  <c r="BT1040" i="6"/>
  <c r="BT1022" i="6"/>
  <c r="BT1019" i="6"/>
  <c r="BT1009" i="6"/>
  <c r="BT1001" i="6"/>
  <c r="BT1145" i="6"/>
  <c r="BT1101" i="6"/>
  <c r="BT1078" i="6"/>
  <c r="BT1076" i="6"/>
  <c r="BT1059" i="6"/>
  <c r="BT992" i="6"/>
  <c r="BT980" i="6"/>
  <c r="BT1184" i="6"/>
  <c r="BT1112" i="6"/>
  <c r="BT1080" i="6"/>
  <c r="BT1054" i="6"/>
  <c r="BT1050" i="6"/>
  <c r="BT1038" i="6"/>
  <c r="BT1029" i="6"/>
  <c r="BT1010" i="6"/>
  <c r="BT999" i="6"/>
  <c r="BT993" i="6"/>
  <c r="BT987" i="6"/>
  <c r="BT983" i="6"/>
  <c r="BT970" i="6"/>
  <c r="BT965" i="6"/>
  <c r="BT961" i="6"/>
  <c r="BT1055" i="6"/>
  <c r="BT1116" i="6"/>
  <c r="BT1084" i="6"/>
  <c r="BT1082" i="6"/>
  <c r="BT1095" i="6"/>
  <c r="BT1072" i="6"/>
  <c r="BT1053" i="6"/>
  <c r="BT1027" i="6"/>
  <c r="BT1026" i="6"/>
  <c r="BT994" i="6"/>
  <c r="BT1100" i="6"/>
  <c r="BT1094" i="6"/>
  <c r="BT1056" i="6"/>
  <c r="BT1030" i="6"/>
  <c r="BT1012" i="6"/>
  <c r="BT1008" i="6"/>
  <c r="BT1003" i="6"/>
  <c r="BT1092" i="6"/>
  <c r="BT1075" i="6"/>
  <c r="BT1063" i="6"/>
  <c r="BT1031" i="6"/>
  <c r="BT1004" i="6"/>
  <c r="BT996" i="6"/>
  <c r="BT997" i="6"/>
  <c r="BT995" i="6"/>
  <c r="BT988" i="6"/>
  <c r="BT986" i="6"/>
  <c r="BT968" i="6"/>
  <c r="BT1146" i="6"/>
  <c r="BT979" i="6"/>
  <c r="BT978" i="6"/>
  <c r="BT1138" i="6"/>
  <c r="BT1123" i="6"/>
  <c r="BT1032" i="6"/>
  <c r="BT1079" i="6"/>
  <c r="BT1035" i="6"/>
  <c r="BT1018" i="6"/>
  <c r="BT1000" i="6"/>
  <c r="BT991" i="6"/>
  <c r="BT989" i="6"/>
  <c r="BT1114" i="6"/>
  <c r="BT1074" i="6"/>
  <c r="BT1103" i="6"/>
  <c r="BT1061" i="6"/>
  <c r="BT1017" i="6"/>
  <c r="BT1007" i="6"/>
  <c r="BT981" i="6"/>
  <c r="BT1071" i="6"/>
  <c r="BT1058" i="6"/>
  <c r="BT1034" i="6"/>
  <c r="BT1011" i="6"/>
  <c r="BT1037" i="6"/>
  <c r="BT1002" i="6"/>
  <c r="BT985" i="6"/>
  <c r="BT1024" i="6"/>
  <c r="BT964" i="6"/>
  <c r="BT1062" i="6"/>
  <c r="BT977" i="6"/>
  <c r="BT976" i="6"/>
  <c r="BT1039" i="6"/>
  <c r="BT963" i="6"/>
  <c r="BT982" i="6"/>
  <c r="BT1109" i="6"/>
  <c r="BT1047" i="6"/>
  <c r="BT984" i="6"/>
  <c r="BT962" i="6"/>
  <c r="BT1005" i="6"/>
  <c r="BT1051" i="6"/>
  <c r="BT1048" i="6"/>
  <c r="BT1045" i="6"/>
  <c r="BT1113" i="6"/>
  <c r="BT975" i="6"/>
  <c r="BT969" i="6"/>
  <c r="BI32" i="5"/>
  <c r="BI68" i="5"/>
  <c r="BI17" i="5"/>
  <c r="BI16" i="5"/>
  <c r="BO91" i="5"/>
  <c r="BO71" i="5"/>
  <c r="BI128" i="5"/>
  <c r="BI116" i="5" s="1"/>
  <c r="BI22" i="5"/>
  <c r="BO11" i="5"/>
  <c r="BN11" i="5"/>
  <c r="BI20" i="5"/>
  <c r="BP11" i="5"/>
  <c r="BM11" i="5"/>
  <c r="BI19" i="5"/>
  <c r="BL52" i="5"/>
  <c r="BO265" i="6"/>
  <c r="BO363" i="6"/>
  <c r="BO369" i="6"/>
  <c r="BP371" i="6"/>
  <c r="BP475" i="6"/>
  <c r="BO266" i="6"/>
  <c r="BO368" i="6"/>
  <c r="DA1201" i="6"/>
  <c r="DA1202" i="6"/>
  <c r="DA1203" i="6"/>
  <c r="DA1204" i="6"/>
  <c r="DA1205" i="6"/>
  <c r="DA1206" i="6"/>
  <c r="DA1207" i="6"/>
  <c r="DA1208" i="6"/>
  <c r="DA1209" i="6"/>
  <c r="DA1200" i="6"/>
  <c r="DA921" i="6"/>
  <c r="DA922" i="6"/>
  <c r="DA923" i="6"/>
  <c r="DA924" i="6"/>
  <c r="DA925" i="6"/>
  <c r="DA926" i="6"/>
  <c r="DA927" i="6"/>
  <c r="DA928" i="6"/>
  <c r="DA929" i="6"/>
  <c r="DA930" i="6"/>
  <c r="DA931" i="6"/>
  <c r="DA932" i="6"/>
  <c r="DA933" i="6"/>
  <c r="DA938" i="6"/>
  <c r="DA939" i="6"/>
  <c r="DA940" i="6"/>
  <c r="DA941" i="6"/>
  <c r="DA946" i="6"/>
  <c r="DA947" i="6"/>
  <c r="DA952" i="6"/>
  <c r="DA953" i="6"/>
  <c r="DA954" i="6"/>
  <c r="DA898" i="6"/>
  <c r="DA899" i="6"/>
  <c r="DA900" i="6"/>
  <c r="DA901" i="6"/>
  <c r="DA902" i="6"/>
  <c r="DA903" i="6"/>
  <c r="DA904" i="6"/>
  <c r="DA905" i="6"/>
  <c r="DA906" i="6"/>
  <c r="DA907" i="6"/>
  <c r="DA908" i="6"/>
  <c r="DA909" i="6"/>
  <c r="DA910" i="6"/>
  <c r="DA911" i="6"/>
  <c r="DA912" i="6"/>
  <c r="DA913" i="6"/>
  <c r="DA914" i="6"/>
  <c r="DA915" i="6"/>
  <c r="DA916" i="6"/>
  <c r="DA885" i="6"/>
  <c r="DA886" i="6"/>
  <c r="DA887" i="6"/>
  <c r="DA888" i="6"/>
  <c r="DA889" i="6"/>
  <c r="DA890" i="6"/>
  <c r="DA891" i="6"/>
  <c r="DA892" i="6"/>
  <c r="DA893" i="6"/>
  <c r="DA832" i="6"/>
  <c r="DA833" i="6"/>
  <c r="DA834" i="6"/>
  <c r="DA841" i="6"/>
  <c r="DA842" i="6"/>
  <c r="DA843" i="6"/>
  <c r="DA844" i="6"/>
  <c r="DA845" i="6"/>
  <c r="DA846" i="6"/>
  <c r="DA847" i="6"/>
  <c r="DA848" i="6"/>
  <c r="DA849" i="6"/>
  <c r="DA850" i="6"/>
  <c r="DA851" i="6"/>
  <c r="DA852" i="6"/>
  <c r="DA853" i="6"/>
  <c r="DA854" i="6"/>
  <c r="DA855" i="6"/>
  <c r="DA856" i="6"/>
  <c r="DA857" i="6"/>
  <c r="DA858" i="6"/>
  <c r="DA859" i="6"/>
  <c r="DA860" i="6"/>
  <c r="DA835" i="6"/>
  <c r="DA836" i="6"/>
  <c r="DA837" i="6"/>
  <c r="DA838" i="6"/>
  <c r="DA839" i="6"/>
  <c r="DA840" i="6"/>
  <c r="DA861" i="6"/>
  <c r="DA862" i="6"/>
  <c r="DA863" i="6"/>
  <c r="DA864" i="6"/>
  <c r="DA865" i="6"/>
  <c r="DA866" i="6"/>
  <c r="DA867" i="6"/>
  <c r="DA868" i="6"/>
  <c r="DA869" i="6"/>
  <c r="DA870" i="6"/>
  <c r="DA871" i="6"/>
  <c r="DA872" i="6"/>
  <c r="DA873" i="6"/>
  <c r="DA874" i="6"/>
  <c r="DA875" i="6"/>
  <c r="DA876" i="6"/>
  <c r="DA877" i="6"/>
  <c r="DA878" i="6"/>
  <c r="DA879" i="6"/>
  <c r="DA880" i="6"/>
  <c r="DA779" i="6"/>
  <c r="DA780" i="6"/>
  <c r="DA781" i="6"/>
  <c r="DA782" i="6"/>
  <c r="DA783" i="6"/>
  <c r="DA784" i="6"/>
  <c r="DA785" i="6"/>
  <c r="DA786" i="6"/>
  <c r="DA787" i="6"/>
  <c r="DA788" i="6"/>
  <c r="DA789" i="6"/>
  <c r="DA790" i="6"/>
  <c r="DA791" i="6"/>
  <c r="DA792" i="6"/>
  <c r="DA793" i="6"/>
  <c r="DA794" i="6"/>
  <c r="DA796" i="6"/>
  <c r="DA795" i="6"/>
  <c r="DA797" i="6"/>
  <c r="DA798" i="6"/>
  <c r="DA799" i="6"/>
  <c r="DA800" i="6"/>
  <c r="DA801" i="6"/>
  <c r="DA802" i="6"/>
  <c r="DA803" i="6"/>
  <c r="DA804" i="6"/>
  <c r="DA805" i="6"/>
  <c r="DA806" i="6"/>
  <c r="DA807" i="6"/>
  <c r="DA808" i="6"/>
  <c r="DA809" i="6"/>
  <c r="DA810" i="6"/>
  <c r="DA811" i="6"/>
  <c r="DA812" i="6"/>
  <c r="DA813" i="6"/>
  <c r="DA814" i="6"/>
  <c r="DA815" i="6"/>
  <c r="DA816" i="6"/>
  <c r="DA817" i="6"/>
  <c r="DA818" i="6"/>
  <c r="DA819" i="6"/>
  <c r="DA820" i="6"/>
  <c r="DA821" i="6"/>
  <c r="DA822" i="6"/>
  <c r="DA823" i="6"/>
  <c r="DA824" i="6"/>
  <c r="DA825" i="6"/>
  <c r="DA826" i="6"/>
  <c r="DA827" i="6"/>
  <c r="DA737" i="6"/>
  <c r="DA738" i="6"/>
  <c r="DA739" i="6"/>
  <c r="DA740" i="6"/>
  <c r="DA741" i="6"/>
  <c r="DA742" i="6"/>
  <c r="DA743" i="6"/>
  <c r="DA744" i="6"/>
  <c r="DA745" i="6"/>
  <c r="DA746" i="6"/>
  <c r="DA747" i="6"/>
  <c r="DA750" i="6"/>
  <c r="DA751" i="6"/>
  <c r="DA752" i="6"/>
  <c r="DA753" i="6"/>
  <c r="DA754" i="6"/>
  <c r="DA755" i="6"/>
  <c r="DA756" i="6"/>
  <c r="DA757" i="6"/>
  <c r="DA758" i="6"/>
  <c r="DA759" i="6"/>
  <c r="DA760" i="6"/>
  <c r="DA761" i="6"/>
  <c r="DA762" i="6"/>
  <c r="DA763" i="6"/>
  <c r="DA764" i="6"/>
  <c r="DA765" i="6"/>
  <c r="DA766" i="6"/>
  <c r="DA767" i="6"/>
  <c r="DA768" i="6"/>
  <c r="DA769" i="6"/>
  <c r="DA770" i="6"/>
  <c r="DA771" i="6"/>
  <c r="DA772" i="6"/>
  <c r="DA773" i="6"/>
  <c r="DA774" i="6"/>
  <c r="DA685" i="6"/>
  <c r="DA686" i="6"/>
  <c r="DA687" i="6"/>
  <c r="DA688" i="6"/>
  <c r="DA689" i="6"/>
  <c r="DA690" i="6"/>
  <c r="DA691" i="6"/>
  <c r="DA692" i="6"/>
  <c r="DA693" i="6"/>
  <c r="DA694" i="6"/>
  <c r="DA695" i="6"/>
  <c r="DA696" i="6"/>
  <c r="DA697" i="6"/>
  <c r="DA702" i="6"/>
  <c r="DA703" i="6"/>
  <c r="DA704" i="6"/>
  <c r="DA705" i="6"/>
  <c r="DA710" i="6"/>
  <c r="DA711" i="6"/>
  <c r="DA716" i="6"/>
  <c r="DA717" i="6"/>
  <c r="DA718" i="6"/>
  <c r="DA662" i="6"/>
  <c r="DA663" i="6"/>
  <c r="DA664" i="6"/>
  <c r="DA665" i="6"/>
  <c r="DA666" i="6"/>
  <c r="DA667" i="6"/>
  <c r="DA668" i="6"/>
  <c r="DA669" i="6"/>
  <c r="DA670" i="6"/>
  <c r="DA671" i="6"/>
  <c r="DA672" i="6"/>
  <c r="DA673" i="6"/>
  <c r="DA674" i="6"/>
  <c r="DA675" i="6"/>
  <c r="DA676" i="6"/>
  <c r="DA677" i="6"/>
  <c r="DA678" i="6"/>
  <c r="DA679" i="6"/>
  <c r="DA680" i="6"/>
  <c r="DA596" i="6"/>
  <c r="DA597" i="6"/>
  <c r="DA598" i="6"/>
  <c r="DA599" i="6"/>
  <c r="DA600" i="6"/>
  <c r="DA601" i="6"/>
  <c r="DA602" i="6"/>
  <c r="DA603" i="6"/>
  <c r="DA604" i="6"/>
  <c r="DA605" i="6"/>
  <c r="DA606" i="6"/>
  <c r="DA607" i="6"/>
  <c r="DA608" i="6"/>
  <c r="DA609" i="6"/>
  <c r="DA610" i="6"/>
  <c r="DA748" i="6"/>
  <c r="DA749" i="6"/>
  <c r="DA649" i="6"/>
  <c r="DA650" i="6"/>
  <c r="DA651" i="6"/>
  <c r="DA652" i="6"/>
  <c r="DA725" i="6"/>
  <c r="DA726" i="6"/>
  <c r="DA727" i="6"/>
  <c r="DA728" i="6"/>
  <c r="DA729" i="6"/>
  <c r="DA730" i="6"/>
  <c r="DA731" i="6"/>
  <c r="DA732" i="6"/>
  <c r="DA543" i="6"/>
  <c r="DA544" i="6"/>
  <c r="DA545" i="6"/>
  <c r="DA546" i="6"/>
  <c r="DA547" i="6"/>
  <c r="DA548" i="6"/>
  <c r="DA549" i="6"/>
  <c r="DA550" i="6"/>
  <c r="DA551" i="6"/>
  <c r="DA552" i="6"/>
  <c r="DA553" i="6"/>
  <c r="DA554" i="6"/>
  <c r="DA555" i="6"/>
  <c r="DA556" i="6"/>
  <c r="DA557" i="6"/>
  <c r="DA558" i="6"/>
  <c r="DA559" i="6"/>
  <c r="DA560" i="6"/>
  <c r="DA561" i="6"/>
  <c r="DA562" i="6"/>
  <c r="DA563" i="6"/>
  <c r="DA564" i="6"/>
  <c r="DA565" i="6"/>
  <c r="DA566" i="6"/>
  <c r="DA567" i="6"/>
  <c r="DA568" i="6"/>
  <c r="DA569" i="6"/>
  <c r="DA570" i="6"/>
  <c r="DA571" i="6"/>
  <c r="DA572" i="6"/>
  <c r="DA573" i="6"/>
  <c r="DA574" i="6"/>
  <c r="DA575" i="6"/>
  <c r="DA576" i="6"/>
  <c r="DA577" i="6"/>
  <c r="DA578" i="6"/>
  <c r="DA579" i="6"/>
  <c r="DA580" i="6"/>
  <c r="DA581" i="6"/>
  <c r="DA582" i="6"/>
  <c r="DA583" i="6"/>
  <c r="DA584" i="6"/>
  <c r="DA585" i="6"/>
  <c r="DA586" i="6"/>
  <c r="DA587" i="6"/>
  <c r="DA588" i="6"/>
  <c r="DA653" i="6"/>
  <c r="DA654" i="6"/>
  <c r="DA655" i="6"/>
  <c r="DA656" i="6"/>
  <c r="DA657" i="6"/>
  <c r="DA611" i="6"/>
  <c r="DA612" i="6"/>
  <c r="DA613" i="6"/>
  <c r="DA614" i="6"/>
  <c r="DA615" i="6"/>
  <c r="DA616" i="6"/>
  <c r="DA617" i="6"/>
  <c r="DA618" i="6"/>
  <c r="DA619" i="6"/>
  <c r="DA620" i="6"/>
  <c r="DA621" i="6"/>
  <c r="DA622" i="6"/>
  <c r="DA623" i="6"/>
  <c r="DA624" i="6"/>
  <c r="DA625" i="6"/>
  <c r="DA626" i="6"/>
  <c r="DA627" i="6"/>
  <c r="DA628" i="6"/>
  <c r="DA629" i="6"/>
  <c r="DA630" i="6"/>
  <c r="DA631" i="6"/>
  <c r="DA632" i="6"/>
  <c r="DA633" i="6"/>
  <c r="DA634" i="6"/>
  <c r="DA635" i="6"/>
  <c r="DA636" i="6"/>
  <c r="DA637" i="6"/>
  <c r="DA638" i="6"/>
  <c r="DA639" i="6"/>
  <c r="DA640" i="6"/>
  <c r="DA641" i="6"/>
  <c r="DA642" i="6"/>
  <c r="DA643" i="6"/>
  <c r="DA644" i="6"/>
  <c r="DA589" i="6"/>
  <c r="DA590" i="6"/>
  <c r="DA591" i="6"/>
  <c r="DA501" i="6"/>
  <c r="DA502" i="6"/>
  <c r="DA503" i="6"/>
  <c r="DA504" i="6"/>
  <c r="DA505" i="6"/>
  <c r="DA506" i="6"/>
  <c r="DA507" i="6"/>
  <c r="DA508" i="6"/>
  <c r="DA509" i="6"/>
  <c r="DA510" i="6"/>
  <c r="DA511" i="6"/>
  <c r="DA512" i="6"/>
  <c r="DA513" i="6"/>
  <c r="DA514" i="6"/>
  <c r="DA515" i="6"/>
  <c r="DA516" i="6"/>
  <c r="DA517" i="6"/>
  <c r="DA518" i="6"/>
  <c r="DA519" i="6"/>
  <c r="DA520" i="6"/>
  <c r="DA521" i="6"/>
  <c r="DA522" i="6"/>
  <c r="DA523" i="6"/>
  <c r="DA524" i="6"/>
  <c r="DA525" i="6"/>
  <c r="DA526" i="6"/>
  <c r="DA527" i="6"/>
  <c r="DA528" i="6"/>
  <c r="DA529" i="6"/>
  <c r="DA530" i="6"/>
  <c r="DA531" i="6"/>
  <c r="DA532" i="6"/>
  <c r="DA533" i="6"/>
  <c r="DA534" i="6"/>
  <c r="DA535" i="6"/>
  <c r="DA536" i="6"/>
  <c r="DA537" i="6"/>
  <c r="DA538" i="6"/>
  <c r="DA449" i="6"/>
  <c r="DA450" i="6"/>
  <c r="DA451" i="6"/>
  <c r="DA452" i="6"/>
  <c r="DA453" i="6"/>
  <c r="DA454" i="6"/>
  <c r="DA455" i="6"/>
  <c r="DA456" i="6"/>
  <c r="DA457" i="6"/>
  <c r="DA458" i="6"/>
  <c r="DA459" i="6"/>
  <c r="DA460" i="6"/>
  <c r="DA461" i="6"/>
  <c r="DA466" i="6"/>
  <c r="DA467" i="6"/>
  <c r="DA468" i="6"/>
  <c r="DA469" i="6"/>
  <c r="DA371" i="6"/>
  <c r="DA372" i="6"/>
  <c r="DA373" i="6"/>
  <c r="DA374" i="6"/>
  <c r="DA474" i="6"/>
  <c r="DA360" i="6"/>
  <c r="DA361" i="6"/>
  <c r="DA362" i="6"/>
  <c r="DA368" i="6"/>
  <c r="DA265" i="6"/>
  <c r="DA366" i="6"/>
  <c r="DA367" i="6"/>
  <c r="DA375" i="6"/>
  <c r="DA267" i="6"/>
  <c r="DA268" i="6"/>
  <c r="DA269" i="6"/>
  <c r="DA270" i="6"/>
  <c r="DA271" i="6"/>
  <c r="DA272" i="6"/>
  <c r="DA273" i="6"/>
  <c r="DA274" i="6"/>
  <c r="DA275" i="6"/>
  <c r="DA276" i="6"/>
  <c r="DA277" i="6"/>
  <c r="DA278" i="6"/>
  <c r="DA279" i="6"/>
  <c r="DA280" i="6"/>
  <c r="DA281" i="6"/>
  <c r="DA282" i="6"/>
  <c r="DA283" i="6"/>
  <c r="DA284" i="6"/>
  <c r="DA285" i="6"/>
  <c r="DA286" i="6"/>
  <c r="DA287" i="6"/>
  <c r="DA288" i="6"/>
  <c r="DA289" i="6"/>
  <c r="DA290" i="6"/>
  <c r="DA291" i="6"/>
  <c r="DA292" i="6"/>
  <c r="DA293" i="6"/>
  <c r="DA294" i="6"/>
  <c r="DA295" i="6"/>
  <c r="DA296" i="6"/>
  <c r="DA297" i="6"/>
  <c r="DA298" i="6"/>
  <c r="DA299" i="6"/>
  <c r="DA300" i="6"/>
  <c r="DA301" i="6"/>
  <c r="DA302" i="6"/>
  <c r="DA253" i="6"/>
  <c r="DA254" i="6"/>
  <c r="DA255" i="6"/>
  <c r="DA256" i="6"/>
  <c r="DA257" i="6"/>
  <c r="DA258" i="6"/>
  <c r="DA259" i="6"/>
  <c r="DA260" i="6"/>
  <c r="DA489" i="6"/>
  <c r="DA490" i="6"/>
  <c r="DA491" i="6"/>
  <c r="DA492" i="6"/>
  <c r="DA493" i="6"/>
  <c r="DA494" i="6"/>
  <c r="DA495" i="6"/>
  <c r="DA496" i="6"/>
  <c r="DA475" i="6"/>
  <c r="DA481" i="6"/>
  <c r="DA426" i="6"/>
  <c r="DA428" i="6"/>
  <c r="DA430" i="6"/>
  <c r="DA432" i="6"/>
  <c r="DA434" i="6"/>
  <c r="DA436" i="6"/>
  <c r="DA438" i="6"/>
  <c r="DA440" i="6"/>
  <c r="DA442" i="6"/>
  <c r="DA444" i="6"/>
  <c r="DA414" i="6"/>
  <c r="DA416" i="6"/>
  <c r="DA418" i="6"/>
  <c r="DA420" i="6"/>
  <c r="DA266" i="6"/>
  <c r="DA482" i="6"/>
  <c r="DA435" i="6"/>
  <c r="DA437" i="6"/>
  <c r="DA439" i="6"/>
  <c r="DA413" i="6"/>
  <c r="DA421" i="6"/>
  <c r="DA376" i="6"/>
  <c r="DA370" i="6"/>
  <c r="DA381" i="6"/>
  <c r="DA383" i="6"/>
  <c r="DA391" i="6"/>
  <c r="DA393" i="6"/>
  <c r="DA399" i="6"/>
  <c r="DA401" i="6"/>
  <c r="DA403" i="6"/>
  <c r="DA405" i="6"/>
  <c r="DA407" i="6"/>
  <c r="DA307" i="6"/>
  <c r="DA312" i="6"/>
  <c r="DA313" i="6"/>
  <c r="DA314" i="6"/>
  <c r="DA315" i="6"/>
  <c r="DA317" i="6"/>
  <c r="DA319" i="6"/>
  <c r="DA321" i="6"/>
  <c r="DA324" i="6"/>
  <c r="DA326" i="6"/>
  <c r="DA328" i="6"/>
  <c r="DA331" i="6"/>
  <c r="DA334" i="6"/>
  <c r="DA336" i="6"/>
  <c r="DA338" i="6"/>
  <c r="DA339" i="6"/>
  <c r="DA343" i="6"/>
  <c r="DA344" i="6"/>
  <c r="DA346" i="6"/>
  <c r="DA347" i="6"/>
  <c r="DA349" i="6"/>
  <c r="DA353" i="6"/>
  <c r="DA355" i="6"/>
  <c r="DA364" i="6"/>
  <c r="DA369" i="6"/>
  <c r="DA378" i="6"/>
  <c r="DA380" i="6"/>
  <c r="DA382" i="6"/>
  <c r="DA384" i="6"/>
  <c r="DA386" i="6"/>
  <c r="DA388" i="6"/>
  <c r="DA390" i="6"/>
  <c r="DA392" i="6"/>
  <c r="DA394" i="6"/>
  <c r="DA396" i="6"/>
  <c r="DA398" i="6"/>
  <c r="DA400" i="6"/>
  <c r="DA402" i="6"/>
  <c r="DA404" i="6"/>
  <c r="DA406" i="6"/>
  <c r="DA408" i="6"/>
  <c r="DA308" i="6"/>
  <c r="DA310" i="6"/>
  <c r="DA480" i="6"/>
  <c r="DA427" i="6"/>
  <c r="DA429" i="6"/>
  <c r="DA431" i="6"/>
  <c r="DA433" i="6"/>
  <c r="DA441" i="6"/>
  <c r="DA443" i="6"/>
  <c r="DA415" i="6"/>
  <c r="DA417" i="6"/>
  <c r="DA419" i="6"/>
  <c r="DA363" i="6"/>
  <c r="DA365" i="6"/>
  <c r="DA377" i="6"/>
  <c r="DA379" i="6"/>
  <c r="DA385" i="6"/>
  <c r="DA387" i="6"/>
  <c r="DA389" i="6"/>
  <c r="DA395" i="6"/>
  <c r="DA397" i="6"/>
  <c r="DA309" i="6"/>
  <c r="DA311" i="6"/>
  <c r="DA316" i="6"/>
  <c r="DA318" i="6"/>
  <c r="DA320" i="6"/>
  <c r="DA322" i="6"/>
  <c r="DA323" i="6"/>
  <c r="DA325" i="6"/>
  <c r="DA327" i="6"/>
  <c r="DA329" i="6"/>
  <c r="DA330" i="6"/>
  <c r="DA332" i="6"/>
  <c r="DA333" i="6"/>
  <c r="DA335" i="6"/>
  <c r="DA337" i="6"/>
  <c r="DA340" i="6"/>
  <c r="DA341" i="6"/>
  <c r="DA342" i="6"/>
  <c r="DA345" i="6"/>
  <c r="DA348" i="6"/>
  <c r="DA350" i="6"/>
  <c r="DA351" i="6"/>
  <c r="DA352" i="6"/>
  <c r="DA354" i="6"/>
  <c r="DD1201" i="6"/>
  <c r="DD1202" i="6"/>
  <c r="DD1203" i="6"/>
  <c r="DD1204" i="6"/>
  <c r="DD1205" i="6"/>
  <c r="DD1206" i="6"/>
  <c r="DD1207" i="6"/>
  <c r="DD1208" i="6"/>
  <c r="DD1209" i="6"/>
  <c r="DD1200" i="6"/>
  <c r="DD921" i="6"/>
  <c r="DD922" i="6"/>
  <c r="DD923" i="6"/>
  <c r="DD924" i="6"/>
  <c r="DD941" i="6"/>
  <c r="DD946" i="6"/>
  <c r="DD947" i="6"/>
  <c r="DD952" i="6"/>
  <c r="DD925" i="6"/>
  <c r="DD926" i="6"/>
  <c r="DD927" i="6"/>
  <c r="DD928" i="6"/>
  <c r="DD929" i="6"/>
  <c r="DD930" i="6"/>
  <c r="DD931" i="6"/>
  <c r="DD932" i="6"/>
  <c r="DD933" i="6"/>
  <c r="DD938" i="6"/>
  <c r="DD939" i="6"/>
  <c r="DD940" i="6"/>
  <c r="DD953" i="6"/>
  <c r="DD954" i="6"/>
  <c r="DD898" i="6"/>
  <c r="DD899" i="6"/>
  <c r="DD900" i="6"/>
  <c r="DD901" i="6"/>
  <c r="DD902" i="6"/>
  <c r="DD903" i="6"/>
  <c r="DD904" i="6"/>
  <c r="DD905" i="6"/>
  <c r="DD906" i="6"/>
  <c r="DD907" i="6"/>
  <c r="DD908" i="6"/>
  <c r="DD909" i="6"/>
  <c r="DD910" i="6"/>
  <c r="DD911" i="6"/>
  <c r="DD912" i="6"/>
  <c r="DD913" i="6"/>
  <c r="DD914" i="6"/>
  <c r="DD835" i="6"/>
  <c r="DD836" i="6"/>
  <c r="DD837" i="6"/>
  <c r="DD838" i="6"/>
  <c r="DD839" i="6"/>
  <c r="DD840" i="6"/>
  <c r="DD916" i="6"/>
  <c r="DD886" i="6"/>
  <c r="DD888" i="6"/>
  <c r="DD890" i="6"/>
  <c r="DD892" i="6"/>
  <c r="DD833" i="6"/>
  <c r="DD841" i="6"/>
  <c r="DD842" i="6"/>
  <c r="DD843" i="6"/>
  <c r="DD844" i="6"/>
  <c r="DD845" i="6"/>
  <c r="DD846" i="6"/>
  <c r="DD847" i="6"/>
  <c r="DD848" i="6"/>
  <c r="DD849" i="6"/>
  <c r="DD850" i="6"/>
  <c r="DD851" i="6"/>
  <c r="DD852" i="6"/>
  <c r="DD853" i="6"/>
  <c r="DD854" i="6"/>
  <c r="DD855" i="6"/>
  <c r="DD856" i="6"/>
  <c r="DD857" i="6"/>
  <c r="DD858" i="6"/>
  <c r="DD859" i="6"/>
  <c r="DD860" i="6"/>
  <c r="DD861" i="6"/>
  <c r="DD862" i="6"/>
  <c r="DD863" i="6"/>
  <c r="DD864" i="6"/>
  <c r="DD865" i="6"/>
  <c r="DD866" i="6"/>
  <c r="DD867" i="6"/>
  <c r="DD868" i="6"/>
  <c r="DD869" i="6"/>
  <c r="DD870" i="6"/>
  <c r="DD871" i="6"/>
  <c r="DD872" i="6"/>
  <c r="DD873" i="6"/>
  <c r="DD874" i="6"/>
  <c r="DD875" i="6"/>
  <c r="DD876" i="6"/>
  <c r="DD877" i="6"/>
  <c r="DD878" i="6"/>
  <c r="DD879" i="6"/>
  <c r="DD880" i="6"/>
  <c r="DD779" i="6"/>
  <c r="DD780" i="6"/>
  <c r="DD781" i="6"/>
  <c r="DD782" i="6"/>
  <c r="DD783" i="6"/>
  <c r="DD784" i="6"/>
  <c r="DD785" i="6"/>
  <c r="DD786" i="6"/>
  <c r="DD787" i="6"/>
  <c r="DD788" i="6"/>
  <c r="DD789" i="6"/>
  <c r="DD790" i="6"/>
  <c r="DD791" i="6"/>
  <c r="DD792" i="6"/>
  <c r="DD793" i="6"/>
  <c r="DD794" i="6"/>
  <c r="DD795" i="6"/>
  <c r="DD796" i="6"/>
  <c r="DD797" i="6"/>
  <c r="DD798" i="6"/>
  <c r="DD799" i="6"/>
  <c r="DD885" i="6"/>
  <c r="DD889" i="6"/>
  <c r="DD893" i="6"/>
  <c r="DD834" i="6"/>
  <c r="DD891" i="6"/>
  <c r="DD887" i="6"/>
  <c r="DD800" i="6"/>
  <c r="DD801" i="6"/>
  <c r="DD802" i="6"/>
  <c r="DD803" i="6"/>
  <c r="DD804" i="6"/>
  <c r="DD805" i="6"/>
  <c r="DD806" i="6"/>
  <c r="DD807" i="6"/>
  <c r="DD808" i="6"/>
  <c r="DD809" i="6"/>
  <c r="DD810" i="6"/>
  <c r="DD811" i="6"/>
  <c r="DD812" i="6"/>
  <c r="DD813" i="6"/>
  <c r="DD814" i="6"/>
  <c r="DD815" i="6"/>
  <c r="DD816" i="6"/>
  <c r="DD817" i="6"/>
  <c r="DD818" i="6"/>
  <c r="DD819" i="6"/>
  <c r="DD820" i="6"/>
  <c r="DD821" i="6"/>
  <c r="DD822" i="6"/>
  <c r="DD823" i="6"/>
  <c r="DD824" i="6"/>
  <c r="DD825" i="6"/>
  <c r="DD826" i="6"/>
  <c r="DD827" i="6"/>
  <c r="DD737" i="6"/>
  <c r="DD738" i="6"/>
  <c r="DD739" i="6"/>
  <c r="DD740" i="6"/>
  <c r="DD741" i="6"/>
  <c r="DD742" i="6"/>
  <c r="DD743" i="6"/>
  <c r="DD744" i="6"/>
  <c r="DD745" i="6"/>
  <c r="DD746" i="6"/>
  <c r="DD747" i="6"/>
  <c r="DD748" i="6"/>
  <c r="DD749" i="6"/>
  <c r="DD750" i="6"/>
  <c r="DD751" i="6"/>
  <c r="DD915" i="6"/>
  <c r="DD832" i="6"/>
  <c r="DD649" i="6"/>
  <c r="DD650" i="6"/>
  <c r="DD651" i="6"/>
  <c r="DD652" i="6"/>
  <c r="DD653" i="6"/>
  <c r="DD654" i="6"/>
  <c r="DD655" i="6"/>
  <c r="DD656" i="6"/>
  <c r="DD657" i="6"/>
  <c r="DD685" i="6"/>
  <c r="DD686" i="6"/>
  <c r="DD687" i="6"/>
  <c r="DD688" i="6"/>
  <c r="DD689" i="6"/>
  <c r="DD690" i="6"/>
  <c r="DD691" i="6"/>
  <c r="DD692" i="6"/>
  <c r="DD693" i="6"/>
  <c r="DD694" i="6"/>
  <c r="DD695" i="6"/>
  <c r="DD696" i="6"/>
  <c r="DD697" i="6"/>
  <c r="DD702" i="6"/>
  <c r="DD703" i="6"/>
  <c r="DD704" i="6"/>
  <c r="DD705" i="6"/>
  <c r="DD710" i="6"/>
  <c r="DD711" i="6"/>
  <c r="DD716" i="6"/>
  <c r="DD717" i="6"/>
  <c r="DD718" i="6"/>
  <c r="DD662" i="6"/>
  <c r="DD663" i="6"/>
  <c r="DD664" i="6"/>
  <c r="DD665" i="6"/>
  <c r="DD666" i="6"/>
  <c r="DD667" i="6"/>
  <c r="DD668" i="6"/>
  <c r="DD669" i="6"/>
  <c r="DD670" i="6"/>
  <c r="DD671" i="6"/>
  <c r="DD672" i="6"/>
  <c r="DD673" i="6"/>
  <c r="DD674" i="6"/>
  <c r="DD675" i="6"/>
  <c r="DD676" i="6"/>
  <c r="DD677" i="6"/>
  <c r="DD678" i="6"/>
  <c r="DD679" i="6"/>
  <c r="DD680" i="6"/>
  <c r="DD611" i="6"/>
  <c r="DD612" i="6"/>
  <c r="DD613" i="6"/>
  <c r="DD614" i="6"/>
  <c r="DD615" i="6"/>
  <c r="DD616" i="6"/>
  <c r="DD617" i="6"/>
  <c r="DD618" i="6"/>
  <c r="DD619" i="6"/>
  <c r="DD620" i="6"/>
  <c r="DD621" i="6"/>
  <c r="DD622" i="6"/>
  <c r="DD623" i="6"/>
  <c r="DD624" i="6"/>
  <c r="DD625" i="6"/>
  <c r="DD626" i="6"/>
  <c r="DD627" i="6"/>
  <c r="DD628" i="6"/>
  <c r="DD629" i="6"/>
  <c r="DD630" i="6"/>
  <c r="DD631" i="6"/>
  <c r="DD632" i="6"/>
  <c r="DD633" i="6"/>
  <c r="DD634" i="6"/>
  <c r="DD635" i="6"/>
  <c r="DD636" i="6"/>
  <c r="DD637" i="6"/>
  <c r="DD638" i="6"/>
  <c r="DD639" i="6"/>
  <c r="DD640" i="6"/>
  <c r="DD641" i="6"/>
  <c r="DD642" i="6"/>
  <c r="DD643" i="6"/>
  <c r="DD644" i="6"/>
  <c r="DD725" i="6"/>
  <c r="DD726" i="6"/>
  <c r="DD727" i="6"/>
  <c r="DD728" i="6"/>
  <c r="DD729" i="6"/>
  <c r="DD730" i="6"/>
  <c r="DD731" i="6"/>
  <c r="DD732" i="6"/>
  <c r="DD753" i="6"/>
  <c r="DD755" i="6"/>
  <c r="DD596" i="6"/>
  <c r="DD598" i="6"/>
  <c r="DD600" i="6"/>
  <c r="DD602" i="6"/>
  <c r="DD604" i="6"/>
  <c r="DD606" i="6"/>
  <c r="DD608" i="6"/>
  <c r="DD610" i="6"/>
  <c r="DD543" i="6"/>
  <c r="DD544" i="6"/>
  <c r="DD545" i="6"/>
  <c r="DD546" i="6"/>
  <c r="DD547" i="6"/>
  <c r="DD548" i="6"/>
  <c r="DD549" i="6"/>
  <c r="DD550" i="6"/>
  <c r="DD551" i="6"/>
  <c r="DD552" i="6"/>
  <c r="DD553" i="6"/>
  <c r="DD554" i="6"/>
  <c r="DD555" i="6"/>
  <c r="DD556" i="6"/>
  <c r="DD557" i="6"/>
  <c r="DD558" i="6"/>
  <c r="DD559" i="6"/>
  <c r="DD560" i="6"/>
  <c r="DD561" i="6"/>
  <c r="DD562" i="6"/>
  <c r="DD563" i="6"/>
  <c r="DD564" i="6"/>
  <c r="DD565" i="6"/>
  <c r="DD449" i="6"/>
  <c r="DD450" i="6"/>
  <c r="DD451" i="6"/>
  <c r="DD452" i="6"/>
  <c r="DD453" i="6"/>
  <c r="DD454" i="6"/>
  <c r="DD455" i="6"/>
  <c r="DD456" i="6"/>
  <c r="DD457" i="6"/>
  <c r="DD458" i="6"/>
  <c r="DD459" i="6"/>
  <c r="DD460" i="6"/>
  <c r="DD461" i="6"/>
  <c r="DD466" i="6"/>
  <c r="DD467" i="6"/>
  <c r="DD468" i="6"/>
  <c r="DD757" i="6"/>
  <c r="DD758" i="6"/>
  <c r="DD759" i="6"/>
  <c r="DD760" i="6"/>
  <c r="DD761" i="6"/>
  <c r="DD762" i="6"/>
  <c r="DD763" i="6"/>
  <c r="DD764" i="6"/>
  <c r="DD765" i="6"/>
  <c r="DD766" i="6"/>
  <c r="DD767" i="6"/>
  <c r="DD768" i="6"/>
  <c r="DD769" i="6"/>
  <c r="DD770" i="6"/>
  <c r="DD771" i="6"/>
  <c r="DD772" i="6"/>
  <c r="DD773" i="6"/>
  <c r="DD774" i="6"/>
  <c r="DD566" i="6"/>
  <c r="DD567" i="6"/>
  <c r="DD568" i="6"/>
  <c r="DD569" i="6"/>
  <c r="DD570" i="6"/>
  <c r="DD571" i="6"/>
  <c r="DD572" i="6"/>
  <c r="DD573" i="6"/>
  <c r="DD574" i="6"/>
  <c r="DD575" i="6"/>
  <c r="DD576" i="6"/>
  <c r="DD577" i="6"/>
  <c r="DD578" i="6"/>
  <c r="DD579" i="6"/>
  <c r="DD580" i="6"/>
  <c r="DD581" i="6"/>
  <c r="DD582" i="6"/>
  <c r="DD583" i="6"/>
  <c r="DD584" i="6"/>
  <c r="DD585" i="6"/>
  <c r="DD586" i="6"/>
  <c r="DD587" i="6"/>
  <c r="DD588" i="6"/>
  <c r="DD474" i="6"/>
  <c r="DD360" i="6"/>
  <c r="DD361" i="6"/>
  <c r="DD362" i="6"/>
  <c r="DD366" i="6"/>
  <c r="DD367" i="6"/>
  <c r="DD369" i="6"/>
  <c r="DD370" i="6"/>
  <c r="DD376" i="6"/>
  <c r="DD597" i="6"/>
  <c r="DD601" i="6"/>
  <c r="DD605" i="6"/>
  <c r="DD609" i="6"/>
  <c r="DD489" i="6"/>
  <c r="DD490" i="6"/>
  <c r="DD491" i="6"/>
  <c r="DD492" i="6"/>
  <c r="DD493" i="6"/>
  <c r="DD494" i="6"/>
  <c r="DD495" i="6"/>
  <c r="DD496" i="6"/>
  <c r="DD363" i="6"/>
  <c r="DD364" i="6"/>
  <c r="DD365" i="6"/>
  <c r="DD371" i="6"/>
  <c r="DD372" i="6"/>
  <c r="DD373" i="6"/>
  <c r="DD374" i="6"/>
  <c r="DD377" i="6"/>
  <c r="DD378" i="6"/>
  <c r="DD379" i="6"/>
  <c r="DD380" i="6"/>
  <c r="DD381" i="6"/>
  <c r="DD382" i="6"/>
  <c r="DD383" i="6"/>
  <c r="DD384" i="6"/>
  <c r="DD385" i="6"/>
  <c r="DD386" i="6"/>
  <c r="DD387" i="6"/>
  <c r="DD388" i="6"/>
  <c r="DD389" i="6"/>
  <c r="DD390" i="6"/>
  <c r="DD391" i="6"/>
  <c r="DD392" i="6"/>
  <c r="DD393" i="6"/>
  <c r="DD394" i="6"/>
  <c r="DD395" i="6"/>
  <c r="DD396" i="6"/>
  <c r="DD397" i="6"/>
  <c r="DD398" i="6"/>
  <c r="DD399" i="6"/>
  <c r="DD400" i="6"/>
  <c r="DD401" i="6"/>
  <c r="DD402" i="6"/>
  <c r="DD403" i="6"/>
  <c r="DD404" i="6"/>
  <c r="DD405" i="6"/>
  <c r="DD406" i="6"/>
  <c r="DD407" i="6"/>
  <c r="DD408" i="6"/>
  <c r="DD307" i="6"/>
  <c r="DD308" i="6"/>
  <c r="DD309" i="6"/>
  <c r="DD310" i="6"/>
  <c r="DD267" i="6"/>
  <c r="DD268" i="6"/>
  <c r="DD269" i="6"/>
  <c r="DD270" i="6"/>
  <c r="DD271" i="6"/>
  <c r="DD272" i="6"/>
  <c r="DD273" i="6"/>
  <c r="DD274" i="6"/>
  <c r="DD275" i="6"/>
  <c r="DD276" i="6"/>
  <c r="DD277" i="6"/>
  <c r="DD278" i="6"/>
  <c r="DD279" i="6"/>
  <c r="DD280" i="6"/>
  <c r="DD281" i="6"/>
  <c r="DD282" i="6"/>
  <c r="DD283" i="6"/>
  <c r="DD284" i="6"/>
  <c r="DD285" i="6"/>
  <c r="DD286" i="6"/>
  <c r="DD287" i="6"/>
  <c r="DD288" i="6"/>
  <c r="DD289" i="6"/>
  <c r="DD290" i="6"/>
  <c r="DD291" i="6"/>
  <c r="DD292" i="6"/>
  <c r="DD293" i="6"/>
  <c r="DD294" i="6"/>
  <c r="DD295" i="6"/>
  <c r="DD296" i="6"/>
  <c r="DD297" i="6"/>
  <c r="DD298" i="6"/>
  <c r="DD299" i="6"/>
  <c r="DD300" i="6"/>
  <c r="DD301" i="6"/>
  <c r="DD302" i="6"/>
  <c r="DD253" i="6"/>
  <c r="DD254" i="6"/>
  <c r="DD255" i="6"/>
  <c r="DD256" i="6"/>
  <c r="DD257" i="6"/>
  <c r="DD258" i="6"/>
  <c r="DD259" i="6"/>
  <c r="DD260" i="6"/>
  <c r="DD603" i="6"/>
  <c r="DD754" i="6"/>
  <c r="DD469" i="6"/>
  <c r="DD475" i="6"/>
  <c r="DD480" i="6"/>
  <c r="DD481" i="6"/>
  <c r="DD482" i="6"/>
  <c r="DD426" i="6"/>
  <c r="DD427" i="6"/>
  <c r="DD428" i="6"/>
  <c r="DD429" i="6"/>
  <c r="DD430" i="6"/>
  <c r="DD431" i="6"/>
  <c r="DD432" i="6"/>
  <c r="DD433" i="6"/>
  <c r="DD434" i="6"/>
  <c r="DD435" i="6"/>
  <c r="DD436" i="6"/>
  <c r="DD437" i="6"/>
  <c r="DD438" i="6"/>
  <c r="DD439" i="6"/>
  <c r="DD440" i="6"/>
  <c r="DD441" i="6"/>
  <c r="DD442" i="6"/>
  <c r="DD443" i="6"/>
  <c r="DD444" i="6"/>
  <c r="DD413" i="6"/>
  <c r="DD414" i="6"/>
  <c r="DD415" i="6"/>
  <c r="DD416" i="6"/>
  <c r="DD417" i="6"/>
  <c r="DD418" i="6"/>
  <c r="DD419" i="6"/>
  <c r="DD420" i="6"/>
  <c r="DD421" i="6"/>
  <c r="DD311" i="6"/>
  <c r="DD312" i="6"/>
  <c r="DD313" i="6"/>
  <c r="DD314" i="6"/>
  <c r="DD315" i="6"/>
  <c r="DD316" i="6"/>
  <c r="DD317" i="6"/>
  <c r="DD318" i="6"/>
  <c r="DD319" i="6"/>
  <c r="DD320" i="6"/>
  <c r="DD321" i="6"/>
  <c r="DD322" i="6"/>
  <c r="DD323" i="6"/>
  <c r="DD324" i="6"/>
  <c r="DD325" i="6"/>
  <c r="DD326" i="6"/>
  <c r="DD327" i="6"/>
  <c r="DD328" i="6"/>
  <c r="DD329" i="6"/>
  <c r="DD330" i="6"/>
  <c r="DD331" i="6"/>
  <c r="DD332" i="6"/>
  <c r="DD333" i="6"/>
  <c r="DD334" i="6"/>
  <c r="DD335" i="6"/>
  <c r="DD336" i="6"/>
  <c r="DD337" i="6"/>
  <c r="DD338" i="6"/>
  <c r="DD339" i="6"/>
  <c r="DD340" i="6"/>
  <c r="DD341" i="6"/>
  <c r="DD342" i="6"/>
  <c r="DD343" i="6"/>
  <c r="DD344" i="6"/>
  <c r="DD345" i="6"/>
  <c r="DD346" i="6"/>
  <c r="DD347" i="6"/>
  <c r="DD348" i="6"/>
  <c r="DD349" i="6"/>
  <c r="DD350" i="6"/>
  <c r="DD351" i="6"/>
  <c r="DD352" i="6"/>
  <c r="DD353" i="6"/>
  <c r="DD354" i="6"/>
  <c r="DD355" i="6"/>
  <c r="DD266" i="6"/>
  <c r="DD599" i="6"/>
  <c r="DD607" i="6"/>
  <c r="DD756" i="6"/>
  <c r="DD265" i="6"/>
  <c r="DD591" i="6"/>
  <c r="DD502" i="6"/>
  <c r="DD505" i="6"/>
  <c r="DD507" i="6"/>
  <c r="DD509" i="6"/>
  <c r="DD512" i="6"/>
  <c r="DD514" i="6"/>
  <c r="DD516" i="6"/>
  <c r="DD517" i="6"/>
  <c r="DD519" i="6"/>
  <c r="DD521" i="6"/>
  <c r="DD523" i="6"/>
  <c r="DD524" i="6"/>
  <c r="DD529" i="6"/>
  <c r="DD532" i="6"/>
  <c r="DD536" i="6"/>
  <c r="DD538" i="6"/>
  <c r="DD375" i="6"/>
  <c r="DD752" i="6"/>
  <c r="DD368" i="6"/>
  <c r="DD589" i="6"/>
  <c r="DD590" i="6"/>
  <c r="DD501" i="6"/>
  <c r="DD503" i="6"/>
  <c r="DD504" i="6"/>
  <c r="DD506" i="6"/>
  <c r="DD508" i="6"/>
  <c r="DD510" i="6"/>
  <c r="DD511" i="6"/>
  <c r="DD513" i="6"/>
  <c r="DD515" i="6"/>
  <c r="DD518" i="6"/>
  <c r="DD520" i="6"/>
  <c r="DD522" i="6"/>
  <c r="DD525" i="6"/>
  <c r="DD526" i="6"/>
  <c r="DD527" i="6"/>
  <c r="DD528" i="6"/>
  <c r="DD530" i="6"/>
  <c r="DD531" i="6"/>
  <c r="DD533" i="6"/>
  <c r="DD534" i="6"/>
  <c r="DD535" i="6"/>
  <c r="DD537" i="6"/>
  <c r="BM1201" i="6"/>
  <c r="BM1202" i="6"/>
  <c r="BM1203" i="6"/>
  <c r="BM1204" i="6"/>
  <c r="BM1205" i="6"/>
  <c r="BM1206" i="6"/>
  <c r="BM1207" i="6"/>
  <c r="BM1209" i="6"/>
  <c r="BM1200" i="6"/>
  <c r="BM921" i="6"/>
  <c r="BM922" i="6"/>
  <c r="BM1208" i="6"/>
  <c r="BM926" i="6"/>
  <c r="BM927" i="6"/>
  <c r="BM928" i="6"/>
  <c r="BM929" i="6"/>
  <c r="BM930" i="6"/>
  <c r="BM931" i="6"/>
  <c r="BM932" i="6"/>
  <c r="BM933" i="6"/>
  <c r="BM938" i="6"/>
  <c r="BM939" i="6"/>
  <c r="BM940" i="6"/>
  <c r="BM941" i="6"/>
  <c r="BM923" i="6"/>
  <c r="BM924" i="6"/>
  <c r="BM925" i="6"/>
  <c r="BM946" i="6"/>
  <c r="BM947" i="6"/>
  <c r="BM952" i="6"/>
  <c r="BM953" i="6"/>
  <c r="BM954" i="6"/>
  <c r="BM898" i="6"/>
  <c r="BM899" i="6"/>
  <c r="BM900" i="6"/>
  <c r="BM901" i="6"/>
  <c r="BM902" i="6"/>
  <c r="BM903" i="6"/>
  <c r="BM904" i="6"/>
  <c r="BM905" i="6"/>
  <c r="BM906" i="6"/>
  <c r="BM907" i="6"/>
  <c r="BM908" i="6"/>
  <c r="BM909" i="6"/>
  <c r="BM910" i="6"/>
  <c r="BM916" i="6"/>
  <c r="BM885" i="6"/>
  <c r="BM886" i="6"/>
  <c r="BM887" i="6"/>
  <c r="BM888" i="6"/>
  <c r="BM889" i="6"/>
  <c r="BM890" i="6"/>
  <c r="BM891" i="6"/>
  <c r="BM892" i="6"/>
  <c r="BM893" i="6"/>
  <c r="BM832" i="6"/>
  <c r="BM833" i="6"/>
  <c r="BM834" i="6"/>
  <c r="BM835" i="6"/>
  <c r="BM911" i="6"/>
  <c r="BM912" i="6"/>
  <c r="BM913" i="6"/>
  <c r="BM914" i="6"/>
  <c r="BM915" i="6"/>
  <c r="BM842" i="6"/>
  <c r="BM843" i="6"/>
  <c r="BM844" i="6"/>
  <c r="BM845" i="6"/>
  <c r="BM846" i="6"/>
  <c r="BM847" i="6"/>
  <c r="BM848" i="6"/>
  <c r="BM849" i="6"/>
  <c r="BM850" i="6"/>
  <c r="BM851" i="6"/>
  <c r="BM852" i="6"/>
  <c r="BM853" i="6"/>
  <c r="BM854" i="6"/>
  <c r="BM855" i="6"/>
  <c r="BM856" i="6"/>
  <c r="BM857" i="6"/>
  <c r="BM858" i="6"/>
  <c r="BM859" i="6"/>
  <c r="BM860" i="6"/>
  <c r="BM861" i="6"/>
  <c r="BM837" i="6"/>
  <c r="BM839" i="6"/>
  <c r="BM841" i="6"/>
  <c r="BM795" i="6"/>
  <c r="BM796" i="6"/>
  <c r="BM797" i="6"/>
  <c r="BM798" i="6"/>
  <c r="BM838" i="6"/>
  <c r="BM799" i="6"/>
  <c r="BM800" i="6"/>
  <c r="BM836" i="6"/>
  <c r="BM840" i="6"/>
  <c r="BM862" i="6"/>
  <c r="BM863" i="6"/>
  <c r="BM864" i="6"/>
  <c r="BM865" i="6"/>
  <c r="BM866" i="6"/>
  <c r="BM867" i="6"/>
  <c r="BM868" i="6"/>
  <c r="BM869" i="6"/>
  <c r="BM870" i="6"/>
  <c r="BM871" i="6"/>
  <c r="BM872" i="6"/>
  <c r="BM873" i="6"/>
  <c r="BM874" i="6"/>
  <c r="BM875" i="6"/>
  <c r="BM876" i="6"/>
  <c r="BM877" i="6"/>
  <c r="BM878" i="6"/>
  <c r="BM879" i="6"/>
  <c r="BM880" i="6"/>
  <c r="BM779" i="6"/>
  <c r="BM780" i="6"/>
  <c r="BM781" i="6"/>
  <c r="BM782" i="6"/>
  <c r="BM783" i="6"/>
  <c r="BM784" i="6"/>
  <c r="BM785" i="6"/>
  <c r="BM786" i="6"/>
  <c r="BM787" i="6"/>
  <c r="BM788" i="6"/>
  <c r="BM789" i="6"/>
  <c r="BM790" i="6"/>
  <c r="BM791" i="6"/>
  <c r="BM792" i="6"/>
  <c r="BM793" i="6"/>
  <c r="BM794" i="6"/>
  <c r="BM801" i="6"/>
  <c r="BM802" i="6"/>
  <c r="BM803" i="6"/>
  <c r="BM804" i="6"/>
  <c r="BM805" i="6"/>
  <c r="BM806" i="6"/>
  <c r="BM807" i="6"/>
  <c r="BM808" i="6"/>
  <c r="BM809" i="6"/>
  <c r="BM810" i="6"/>
  <c r="BM811" i="6"/>
  <c r="BM812" i="6"/>
  <c r="BM813" i="6"/>
  <c r="BM814" i="6"/>
  <c r="BM815" i="6"/>
  <c r="BM816" i="6"/>
  <c r="BM817" i="6"/>
  <c r="BM818" i="6"/>
  <c r="BM819" i="6"/>
  <c r="BM820" i="6"/>
  <c r="BM821" i="6"/>
  <c r="BM822" i="6"/>
  <c r="BM823" i="6"/>
  <c r="BM824" i="6"/>
  <c r="BM825" i="6"/>
  <c r="BM826" i="6"/>
  <c r="BM827" i="6"/>
  <c r="BM737" i="6"/>
  <c r="BM738" i="6"/>
  <c r="BM739" i="6"/>
  <c r="BM740" i="6"/>
  <c r="BM741" i="6"/>
  <c r="BM742" i="6"/>
  <c r="BM743" i="6"/>
  <c r="BM744" i="6"/>
  <c r="BM745" i="6"/>
  <c r="BM746" i="6"/>
  <c r="BM747" i="6"/>
  <c r="BM748" i="6"/>
  <c r="BM753" i="6"/>
  <c r="BM754" i="6"/>
  <c r="BM755" i="6"/>
  <c r="BM756" i="6"/>
  <c r="BM757" i="6"/>
  <c r="BM758" i="6"/>
  <c r="BM759" i="6"/>
  <c r="BM760" i="6"/>
  <c r="BM761" i="6"/>
  <c r="BM762" i="6"/>
  <c r="BM763" i="6"/>
  <c r="BM764" i="6"/>
  <c r="BM765" i="6"/>
  <c r="BM766" i="6"/>
  <c r="BM767" i="6"/>
  <c r="BM768" i="6"/>
  <c r="BM769" i="6"/>
  <c r="BM770" i="6"/>
  <c r="BM771" i="6"/>
  <c r="BM772" i="6"/>
  <c r="BM773" i="6"/>
  <c r="BM774" i="6"/>
  <c r="BM685" i="6"/>
  <c r="BM686" i="6"/>
  <c r="BM687" i="6"/>
  <c r="BM688" i="6"/>
  <c r="BM689" i="6"/>
  <c r="BM690" i="6"/>
  <c r="BM691" i="6"/>
  <c r="BM692" i="6"/>
  <c r="BM693" i="6"/>
  <c r="BM694" i="6"/>
  <c r="BM695" i="6"/>
  <c r="BM696" i="6"/>
  <c r="BM697" i="6"/>
  <c r="BM702" i="6"/>
  <c r="BM703" i="6"/>
  <c r="BM704" i="6"/>
  <c r="BM705" i="6"/>
  <c r="BM710" i="6"/>
  <c r="BM711" i="6"/>
  <c r="BM716" i="6"/>
  <c r="BM717" i="6"/>
  <c r="BM718" i="6"/>
  <c r="BM662" i="6"/>
  <c r="BM663" i="6"/>
  <c r="BM664" i="6"/>
  <c r="BM665" i="6"/>
  <c r="BM666" i="6"/>
  <c r="BM667" i="6"/>
  <c r="BM668" i="6"/>
  <c r="BM669" i="6"/>
  <c r="BM670" i="6"/>
  <c r="BM671" i="6"/>
  <c r="BM672" i="6"/>
  <c r="BM673" i="6"/>
  <c r="BM674" i="6"/>
  <c r="BM675" i="6"/>
  <c r="BM676" i="6"/>
  <c r="BM677" i="6"/>
  <c r="BM678" i="6"/>
  <c r="BM679" i="6"/>
  <c r="BM680" i="6"/>
  <c r="BM596" i="6"/>
  <c r="BM597" i="6"/>
  <c r="BM598" i="6"/>
  <c r="BM599" i="6"/>
  <c r="BM600" i="6"/>
  <c r="BM601" i="6"/>
  <c r="BM602" i="6"/>
  <c r="BM603" i="6"/>
  <c r="BM604" i="6"/>
  <c r="BM605" i="6"/>
  <c r="BM606" i="6"/>
  <c r="BM607" i="6"/>
  <c r="BM608" i="6"/>
  <c r="BM609" i="6"/>
  <c r="BM610" i="6"/>
  <c r="BM611" i="6"/>
  <c r="BM749" i="6"/>
  <c r="BM750" i="6"/>
  <c r="BM649" i="6"/>
  <c r="BM650" i="6"/>
  <c r="BM651" i="6"/>
  <c r="BM652" i="6"/>
  <c r="BM653" i="6"/>
  <c r="BM751" i="6"/>
  <c r="BM752" i="6"/>
  <c r="BM725" i="6"/>
  <c r="BM726" i="6"/>
  <c r="BM727" i="6"/>
  <c r="BM728" i="6"/>
  <c r="BM729" i="6"/>
  <c r="BM730" i="6"/>
  <c r="BM731" i="6"/>
  <c r="BM732" i="6"/>
  <c r="BM543" i="6"/>
  <c r="BM544" i="6"/>
  <c r="BM545" i="6"/>
  <c r="BM546" i="6"/>
  <c r="BM547" i="6"/>
  <c r="BM548" i="6"/>
  <c r="BM549" i="6"/>
  <c r="BM550" i="6"/>
  <c r="BM551" i="6"/>
  <c r="BM552" i="6"/>
  <c r="BM553" i="6"/>
  <c r="BM554" i="6"/>
  <c r="BM555" i="6"/>
  <c r="BM556" i="6"/>
  <c r="BM557" i="6"/>
  <c r="BM558" i="6"/>
  <c r="BM559" i="6"/>
  <c r="BM560" i="6"/>
  <c r="BM561" i="6"/>
  <c r="BM562" i="6"/>
  <c r="BM563" i="6"/>
  <c r="BM564" i="6"/>
  <c r="BM565" i="6"/>
  <c r="BM566" i="6"/>
  <c r="BM567" i="6"/>
  <c r="BM568" i="6"/>
  <c r="BM569" i="6"/>
  <c r="BM570" i="6"/>
  <c r="BM571" i="6"/>
  <c r="BM572" i="6"/>
  <c r="BM573" i="6"/>
  <c r="BM574" i="6"/>
  <c r="BM575" i="6"/>
  <c r="BM576" i="6"/>
  <c r="BM577" i="6"/>
  <c r="BM578" i="6"/>
  <c r="BM579" i="6"/>
  <c r="BM580" i="6"/>
  <c r="BM581" i="6"/>
  <c r="BM582" i="6"/>
  <c r="BM583" i="6"/>
  <c r="BM584" i="6"/>
  <c r="BM585" i="6"/>
  <c r="BM586" i="6"/>
  <c r="BM587" i="6"/>
  <c r="BM588" i="6"/>
  <c r="BM589" i="6"/>
  <c r="BM612" i="6"/>
  <c r="BM613" i="6"/>
  <c r="BM614" i="6"/>
  <c r="BM615" i="6"/>
  <c r="BM616" i="6"/>
  <c r="BM617" i="6"/>
  <c r="BM618" i="6"/>
  <c r="BM619" i="6"/>
  <c r="BM620" i="6"/>
  <c r="BM621" i="6"/>
  <c r="BM622" i="6"/>
  <c r="BM623" i="6"/>
  <c r="BM624" i="6"/>
  <c r="BM625" i="6"/>
  <c r="BM626" i="6"/>
  <c r="BM627" i="6"/>
  <c r="BM628" i="6"/>
  <c r="BM629" i="6"/>
  <c r="BM630" i="6"/>
  <c r="BM631" i="6"/>
  <c r="BM632" i="6"/>
  <c r="BM633" i="6"/>
  <c r="BM634" i="6"/>
  <c r="BM635" i="6"/>
  <c r="BM636" i="6"/>
  <c r="BM637" i="6"/>
  <c r="BM638" i="6"/>
  <c r="BM639" i="6"/>
  <c r="BM640" i="6"/>
  <c r="BM641" i="6"/>
  <c r="BM642" i="6"/>
  <c r="BM643" i="6"/>
  <c r="BM644" i="6"/>
  <c r="BM655" i="6"/>
  <c r="BM657" i="6"/>
  <c r="BM590" i="6"/>
  <c r="BM591" i="6"/>
  <c r="BM501" i="6"/>
  <c r="BM502" i="6"/>
  <c r="BM503" i="6"/>
  <c r="BM504" i="6"/>
  <c r="BM505" i="6"/>
  <c r="BM506" i="6"/>
  <c r="BM507" i="6"/>
  <c r="BM508" i="6"/>
  <c r="BM509" i="6"/>
  <c r="BM510" i="6"/>
  <c r="BM511" i="6"/>
  <c r="BM512" i="6"/>
  <c r="BM513" i="6"/>
  <c r="BM514" i="6"/>
  <c r="BM515" i="6"/>
  <c r="BM516" i="6"/>
  <c r="BM517" i="6"/>
  <c r="BM518" i="6"/>
  <c r="BM519" i="6"/>
  <c r="BM520" i="6"/>
  <c r="BM521" i="6"/>
  <c r="BM522" i="6"/>
  <c r="BM523" i="6"/>
  <c r="BM524" i="6"/>
  <c r="BM525" i="6"/>
  <c r="BM526" i="6"/>
  <c r="BM527" i="6"/>
  <c r="BM528" i="6"/>
  <c r="BM529" i="6"/>
  <c r="BM530" i="6"/>
  <c r="BM531" i="6"/>
  <c r="BM532" i="6"/>
  <c r="BM533" i="6"/>
  <c r="BM534" i="6"/>
  <c r="BM535" i="6"/>
  <c r="BM536" i="6"/>
  <c r="BM537" i="6"/>
  <c r="BM538" i="6"/>
  <c r="BM449" i="6"/>
  <c r="BM450" i="6"/>
  <c r="BM451" i="6"/>
  <c r="BM452" i="6"/>
  <c r="BM453" i="6"/>
  <c r="BM454" i="6"/>
  <c r="BM455" i="6"/>
  <c r="BM456" i="6"/>
  <c r="BM457" i="6"/>
  <c r="BM458" i="6"/>
  <c r="BM459" i="6"/>
  <c r="BM460" i="6"/>
  <c r="BM461" i="6"/>
  <c r="BM466" i="6"/>
  <c r="BM467" i="6"/>
  <c r="BM468" i="6"/>
  <c r="BM469" i="6"/>
  <c r="BM474" i="6"/>
  <c r="BM372" i="6"/>
  <c r="BM373" i="6"/>
  <c r="BM374" i="6"/>
  <c r="BM375" i="6"/>
  <c r="BM654" i="6"/>
  <c r="BM364" i="6"/>
  <c r="BM365" i="6"/>
  <c r="BM366" i="6"/>
  <c r="BM370" i="6"/>
  <c r="BM371" i="6"/>
  <c r="BM378" i="6"/>
  <c r="BM379" i="6"/>
  <c r="BM380" i="6"/>
  <c r="BM381" i="6"/>
  <c r="BM382" i="6"/>
  <c r="BM383" i="6"/>
  <c r="BM384" i="6"/>
  <c r="BM385" i="6"/>
  <c r="BM386" i="6"/>
  <c r="BM387" i="6"/>
  <c r="BM388" i="6"/>
  <c r="BM389" i="6"/>
  <c r="BM390" i="6"/>
  <c r="BM391" i="6"/>
  <c r="BM392" i="6"/>
  <c r="BM393" i="6"/>
  <c r="BM394" i="6"/>
  <c r="BM395" i="6"/>
  <c r="BM396" i="6"/>
  <c r="BM397" i="6"/>
  <c r="BM398" i="6"/>
  <c r="BM399" i="6"/>
  <c r="BM400" i="6"/>
  <c r="BM401" i="6"/>
  <c r="BM402" i="6"/>
  <c r="BM403" i="6"/>
  <c r="BM404" i="6"/>
  <c r="BM405" i="6"/>
  <c r="BM406" i="6"/>
  <c r="BM407" i="6"/>
  <c r="BM408" i="6"/>
  <c r="BM307" i="6"/>
  <c r="BM308" i="6"/>
  <c r="BM309" i="6"/>
  <c r="BM310" i="6"/>
  <c r="BM311" i="6"/>
  <c r="BM266" i="6"/>
  <c r="BM480" i="6"/>
  <c r="BM481" i="6"/>
  <c r="BM482" i="6"/>
  <c r="BM426" i="6"/>
  <c r="BM427" i="6"/>
  <c r="BM428" i="6"/>
  <c r="BM429" i="6"/>
  <c r="BM430" i="6"/>
  <c r="BM431" i="6"/>
  <c r="BM432" i="6"/>
  <c r="BM433" i="6"/>
  <c r="BM434" i="6"/>
  <c r="BM435" i="6"/>
  <c r="BM436" i="6"/>
  <c r="BM437" i="6"/>
  <c r="BM438" i="6"/>
  <c r="BM439" i="6"/>
  <c r="BM440" i="6"/>
  <c r="BM441" i="6"/>
  <c r="BM442" i="6"/>
  <c r="BM443" i="6"/>
  <c r="BM444" i="6"/>
  <c r="BM413" i="6"/>
  <c r="BM414" i="6"/>
  <c r="BM415" i="6"/>
  <c r="BM416" i="6"/>
  <c r="BM417" i="6"/>
  <c r="BM418" i="6"/>
  <c r="BM419" i="6"/>
  <c r="BM420" i="6"/>
  <c r="BM421" i="6"/>
  <c r="BM377" i="6"/>
  <c r="BM268" i="6"/>
  <c r="BM269" i="6"/>
  <c r="BM270" i="6"/>
  <c r="BM271" i="6"/>
  <c r="BM272" i="6"/>
  <c r="BM273" i="6"/>
  <c r="BM274" i="6"/>
  <c r="BM275" i="6"/>
  <c r="BM276" i="6"/>
  <c r="BM277" i="6"/>
  <c r="BM278" i="6"/>
  <c r="BM279" i="6"/>
  <c r="BM280" i="6"/>
  <c r="BM281" i="6"/>
  <c r="BM282" i="6"/>
  <c r="BM283" i="6"/>
  <c r="BM284" i="6"/>
  <c r="BM285" i="6"/>
  <c r="BM286" i="6"/>
  <c r="BM287" i="6"/>
  <c r="BM288" i="6"/>
  <c r="BM289" i="6"/>
  <c r="BM290" i="6"/>
  <c r="BM291" i="6"/>
  <c r="BM292" i="6"/>
  <c r="BM293" i="6"/>
  <c r="BM294" i="6"/>
  <c r="BM295" i="6"/>
  <c r="BM296" i="6"/>
  <c r="BM297" i="6"/>
  <c r="BM298" i="6"/>
  <c r="BM299" i="6"/>
  <c r="BM300" i="6"/>
  <c r="BM301" i="6"/>
  <c r="BM302" i="6"/>
  <c r="BM253" i="6"/>
  <c r="BM254" i="6"/>
  <c r="BM255" i="6"/>
  <c r="BM256" i="6"/>
  <c r="BM257" i="6"/>
  <c r="BM258" i="6"/>
  <c r="BM259" i="6"/>
  <c r="BM260" i="6"/>
  <c r="BM656" i="6"/>
  <c r="BM367" i="6"/>
  <c r="BM376" i="6"/>
  <c r="BM490" i="6"/>
  <c r="BM491" i="6"/>
  <c r="BM493" i="6"/>
  <c r="BM496" i="6"/>
  <c r="BM368" i="6"/>
  <c r="BM362" i="6"/>
  <c r="BM369" i="6"/>
  <c r="BM312" i="6"/>
  <c r="BM313" i="6"/>
  <c r="BM317" i="6"/>
  <c r="BM319" i="6"/>
  <c r="BM321" i="6"/>
  <c r="BM323" i="6"/>
  <c r="BM326" i="6"/>
  <c r="BM331" i="6"/>
  <c r="BM333" i="6"/>
  <c r="BM336" i="6"/>
  <c r="BM338" i="6"/>
  <c r="BM342" i="6"/>
  <c r="BM346" i="6"/>
  <c r="BM349" i="6"/>
  <c r="BM351" i="6"/>
  <c r="BM352" i="6"/>
  <c r="BM265" i="6"/>
  <c r="BM475" i="6"/>
  <c r="BM361" i="6"/>
  <c r="BM363" i="6"/>
  <c r="BM267" i="6"/>
  <c r="BM489" i="6"/>
  <c r="BM492" i="6"/>
  <c r="BM494" i="6"/>
  <c r="BM495" i="6"/>
  <c r="BM360" i="6"/>
  <c r="BM314" i="6"/>
  <c r="BM315" i="6"/>
  <c r="BM316" i="6"/>
  <c r="BM318" i="6"/>
  <c r="BM320" i="6"/>
  <c r="BM322" i="6"/>
  <c r="BM324" i="6"/>
  <c r="BM325" i="6"/>
  <c r="BM327" i="6"/>
  <c r="BM328" i="6"/>
  <c r="BM329" i="6"/>
  <c r="BM330" i="6"/>
  <c r="BM332" i="6"/>
  <c r="BM334" i="6"/>
  <c r="BM335" i="6"/>
  <c r="BM337" i="6"/>
  <c r="BM339" i="6"/>
  <c r="BM340" i="6"/>
  <c r="BM341" i="6"/>
  <c r="BM343" i="6"/>
  <c r="BM344" i="6"/>
  <c r="BM345" i="6"/>
  <c r="BM347" i="6"/>
  <c r="BM348" i="6"/>
  <c r="BM350" i="6"/>
  <c r="BM353" i="6"/>
  <c r="BM354" i="6"/>
  <c r="BM355" i="6"/>
  <c r="CW1201" i="6"/>
  <c r="CW1202" i="6"/>
  <c r="CW1203" i="6"/>
  <c r="CW1204" i="6"/>
  <c r="CW1205" i="6"/>
  <c r="CW1206" i="6"/>
  <c r="CW1208" i="6"/>
  <c r="CW1207" i="6"/>
  <c r="CW921" i="6"/>
  <c r="CW925" i="6"/>
  <c r="CW926" i="6"/>
  <c r="CW927" i="6"/>
  <c r="CW928" i="6"/>
  <c r="CW929" i="6"/>
  <c r="CW930" i="6"/>
  <c r="CW931" i="6"/>
  <c r="CW932" i="6"/>
  <c r="CW933" i="6"/>
  <c r="CW938" i="6"/>
  <c r="CW939" i="6"/>
  <c r="CW940" i="6"/>
  <c r="CW1209" i="6"/>
  <c r="CW924" i="6"/>
  <c r="CW1200" i="6"/>
  <c r="CW923" i="6"/>
  <c r="CW922" i="6"/>
  <c r="CW941" i="6"/>
  <c r="CW946" i="6"/>
  <c r="CW947" i="6"/>
  <c r="CW952" i="6"/>
  <c r="CW953" i="6"/>
  <c r="CW954" i="6"/>
  <c r="CW898" i="6"/>
  <c r="CW899" i="6"/>
  <c r="CW900" i="6"/>
  <c r="CW901" i="6"/>
  <c r="CW902" i="6"/>
  <c r="CW903" i="6"/>
  <c r="CW904" i="6"/>
  <c r="CW905" i="6"/>
  <c r="CW906" i="6"/>
  <c r="CW907" i="6"/>
  <c r="CW908" i="6"/>
  <c r="CW909" i="6"/>
  <c r="CW916" i="6"/>
  <c r="CW885" i="6"/>
  <c r="CW886" i="6"/>
  <c r="CW887" i="6"/>
  <c r="CW888" i="6"/>
  <c r="CW889" i="6"/>
  <c r="CW890" i="6"/>
  <c r="CW891" i="6"/>
  <c r="CW892" i="6"/>
  <c r="CW893" i="6"/>
  <c r="CW832" i="6"/>
  <c r="CW833" i="6"/>
  <c r="CW834" i="6"/>
  <c r="CW910" i="6"/>
  <c r="CW911" i="6"/>
  <c r="CW912" i="6"/>
  <c r="CW913" i="6"/>
  <c r="CW914" i="6"/>
  <c r="CW915" i="6"/>
  <c r="CW841" i="6"/>
  <c r="CW842" i="6"/>
  <c r="CW843" i="6"/>
  <c r="CW844" i="6"/>
  <c r="CW845" i="6"/>
  <c r="CW846" i="6"/>
  <c r="CW847" i="6"/>
  <c r="CW848" i="6"/>
  <c r="CW849" i="6"/>
  <c r="CW850" i="6"/>
  <c r="CW851" i="6"/>
  <c r="CW852" i="6"/>
  <c r="CW853" i="6"/>
  <c r="CW854" i="6"/>
  <c r="CW855" i="6"/>
  <c r="CW856" i="6"/>
  <c r="CW857" i="6"/>
  <c r="CW858" i="6"/>
  <c r="CW859" i="6"/>
  <c r="CW860" i="6"/>
  <c r="CW835" i="6"/>
  <c r="CW836" i="6"/>
  <c r="CW837" i="6"/>
  <c r="CW838" i="6"/>
  <c r="CW839" i="6"/>
  <c r="CW840" i="6"/>
  <c r="CW861" i="6"/>
  <c r="CW862" i="6"/>
  <c r="CW863" i="6"/>
  <c r="CW864" i="6"/>
  <c r="CW865" i="6"/>
  <c r="CW866" i="6"/>
  <c r="CW867" i="6"/>
  <c r="CW868" i="6"/>
  <c r="CW869" i="6"/>
  <c r="CW870" i="6"/>
  <c r="CW871" i="6"/>
  <c r="CW872" i="6"/>
  <c r="CW873" i="6"/>
  <c r="CW874" i="6"/>
  <c r="CW875" i="6"/>
  <c r="CW876" i="6"/>
  <c r="CW877" i="6"/>
  <c r="CW878" i="6"/>
  <c r="CW879" i="6"/>
  <c r="CW880" i="6"/>
  <c r="CW779" i="6"/>
  <c r="CW780" i="6"/>
  <c r="CW781" i="6"/>
  <c r="CW782" i="6"/>
  <c r="CW783" i="6"/>
  <c r="CW784" i="6"/>
  <c r="CW785" i="6"/>
  <c r="CW786" i="6"/>
  <c r="CW787" i="6"/>
  <c r="CW788" i="6"/>
  <c r="CW789" i="6"/>
  <c r="CW790" i="6"/>
  <c r="CW791" i="6"/>
  <c r="CW792" i="6"/>
  <c r="CW793" i="6"/>
  <c r="CW798" i="6"/>
  <c r="CW795" i="6"/>
  <c r="CW797" i="6"/>
  <c r="CW801" i="6"/>
  <c r="CW802" i="6"/>
  <c r="CW803" i="6"/>
  <c r="CW804" i="6"/>
  <c r="CW805" i="6"/>
  <c r="CW806" i="6"/>
  <c r="CW807" i="6"/>
  <c r="CW808" i="6"/>
  <c r="CW809" i="6"/>
  <c r="CW810" i="6"/>
  <c r="CW811" i="6"/>
  <c r="CW812" i="6"/>
  <c r="CW813" i="6"/>
  <c r="CW814" i="6"/>
  <c r="CW815" i="6"/>
  <c r="CW816" i="6"/>
  <c r="CW817" i="6"/>
  <c r="CW818" i="6"/>
  <c r="CW819" i="6"/>
  <c r="CW820" i="6"/>
  <c r="CW821" i="6"/>
  <c r="CW822" i="6"/>
  <c r="CW823" i="6"/>
  <c r="CW824" i="6"/>
  <c r="CW825" i="6"/>
  <c r="CW826" i="6"/>
  <c r="CW827" i="6"/>
  <c r="CW737" i="6"/>
  <c r="CW738" i="6"/>
  <c r="CW739" i="6"/>
  <c r="CW740" i="6"/>
  <c r="CW741" i="6"/>
  <c r="CW742" i="6"/>
  <c r="CW743" i="6"/>
  <c r="CW744" i="6"/>
  <c r="CW745" i="6"/>
  <c r="CW746" i="6"/>
  <c r="CW747" i="6"/>
  <c r="CW799" i="6"/>
  <c r="CW752" i="6"/>
  <c r="CW753" i="6"/>
  <c r="CW754" i="6"/>
  <c r="CW755" i="6"/>
  <c r="CW756" i="6"/>
  <c r="CW757" i="6"/>
  <c r="CW758" i="6"/>
  <c r="CW759" i="6"/>
  <c r="CW760" i="6"/>
  <c r="CW761" i="6"/>
  <c r="CW762" i="6"/>
  <c r="CW763" i="6"/>
  <c r="CW764" i="6"/>
  <c r="CW765" i="6"/>
  <c r="CW766" i="6"/>
  <c r="CW767" i="6"/>
  <c r="CW768" i="6"/>
  <c r="CW769" i="6"/>
  <c r="CW770" i="6"/>
  <c r="CW771" i="6"/>
  <c r="CW772" i="6"/>
  <c r="CW773" i="6"/>
  <c r="CW774" i="6"/>
  <c r="CW685" i="6"/>
  <c r="CW686" i="6"/>
  <c r="CW687" i="6"/>
  <c r="CW688" i="6"/>
  <c r="CW689" i="6"/>
  <c r="CW690" i="6"/>
  <c r="CW691" i="6"/>
  <c r="CW692" i="6"/>
  <c r="CW693" i="6"/>
  <c r="CW694" i="6"/>
  <c r="CW695" i="6"/>
  <c r="CW696" i="6"/>
  <c r="CW697" i="6"/>
  <c r="CW702" i="6"/>
  <c r="CW703" i="6"/>
  <c r="CW704" i="6"/>
  <c r="CW705" i="6"/>
  <c r="CW710" i="6"/>
  <c r="CW711" i="6"/>
  <c r="CW716" i="6"/>
  <c r="CW717" i="6"/>
  <c r="CW718" i="6"/>
  <c r="CW662" i="6"/>
  <c r="CW663" i="6"/>
  <c r="CW664" i="6"/>
  <c r="CW665" i="6"/>
  <c r="CW666" i="6"/>
  <c r="CW667" i="6"/>
  <c r="CW668" i="6"/>
  <c r="CW669" i="6"/>
  <c r="CW670" i="6"/>
  <c r="CW671" i="6"/>
  <c r="CW672" i="6"/>
  <c r="CW673" i="6"/>
  <c r="CW674" i="6"/>
  <c r="CW675" i="6"/>
  <c r="CW676" i="6"/>
  <c r="CW677" i="6"/>
  <c r="CW678" i="6"/>
  <c r="CW679" i="6"/>
  <c r="CW680" i="6"/>
  <c r="CW596" i="6"/>
  <c r="CW597" i="6"/>
  <c r="CW598" i="6"/>
  <c r="CW599" i="6"/>
  <c r="CW600" i="6"/>
  <c r="CW601" i="6"/>
  <c r="CW602" i="6"/>
  <c r="CW603" i="6"/>
  <c r="CW604" i="6"/>
  <c r="CW605" i="6"/>
  <c r="CW606" i="6"/>
  <c r="CW607" i="6"/>
  <c r="CW608" i="6"/>
  <c r="CW609" i="6"/>
  <c r="CW610" i="6"/>
  <c r="CW794" i="6"/>
  <c r="CW800" i="6"/>
  <c r="CW750" i="6"/>
  <c r="CW751" i="6"/>
  <c r="CW649" i="6"/>
  <c r="CW650" i="6"/>
  <c r="CW651" i="6"/>
  <c r="CW652" i="6"/>
  <c r="CW796" i="6"/>
  <c r="CW748" i="6"/>
  <c r="CW543" i="6"/>
  <c r="CW544" i="6"/>
  <c r="CW545" i="6"/>
  <c r="CW546" i="6"/>
  <c r="CW547" i="6"/>
  <c r="CW548" i="6"/>
  <c r="CW549" i="6"/>
  <c r="CW550" i="6"/>
  <c r="CW551" i="6"/>
  <c r="CW552" i="6"/>
  <c r="CW553" i="6"/>
  <c r="CW554" i="6"/>
  <c r="CW555" i="6"/>
  <c r="CW556" i="6"/>
  <c r="CW557" i="6"/>
  <c r="CW558" i="6"/>
  <c r="CW559" i="6"/>
  <c r="CW560" i="6"/>
  <c r="CW561" i="6"/>
  <c r="CW562" i="6"/>
  <c r="CW563" i="6"/>
  <c r="CW564" i="6"/>
  <c r="CW565" i="6"/>
  <c r="CW566" i="6"/>
  <c r="CW567" i="6"/>
  <c r="CW568" i="6"/>
  <c r="CW569" i="6"/>
  <c r="CW570" i="6"/>
  <c r="CW571" i="6"/>
  <c r="CW572" i="6"/>
  <c r="CW573" i="6"/>
  <c r="CW574" i="6"/>
  <c r="CW575" i="6"/>
  <c r="CW576" i="6"/>
  <c r="CW577" i="6"/>
  <c r="CW578" i="6"/>
  <c r="CW579" i="6"/>
  <c r="CW580" i="6"/>
  <c r="CW581" i="6"/>
  <c r="CW582" i="6"/>
  <c r="CW583" i="6"/>
  <c r="CW584" i="6"/>
  <c r="CW585" i="6"/>
  <c r="CW586" i="6"/>
  <c r="CW587" i="6"/>
  <c r="CW588" i="6"/>
  <c r="CW611" i="6"/>
  <c r="CW612" i="6"/>
  <c r="CW613" i="6"/>
  <c r="CW614" i="6"/>
  <c r="CW615" i="6"/>
  <c r="CW616" i="6"/>
  <c r="CW617" i="6"/>
  <c r="CW618" i="6"/>
  <c r="CW619" i="6"/>
  <c r="CW620" i="6"/>
  <c r="CW621" i="6"/>
  <c r="CW622" i="6"/>
  <c r="CW623" i="6"/>
  <c r="CW624" i="6"/>
  <c r="CW625" i="6"/>
  <c r="CW626" i="6"/>
  <c r="CW627" i="6"/>
  <c r="CW628" i="6"/>
  <c r="CW629" i="6"/>
  <c r="CW630" i="6"/>
  <c r="CW631" i="6"/>
  <c r="CW632" i="6"/>
  <c r="CW633" i="6"/>
  <c r="CW634" i="6"/>
  <c r="CW635" i="6"/>
  <c r="CW636" i="6"/>
  <c r="CW637" i="6"/>
  <c r="CW638" i="6"/>
  <c r="CW639" i="6"/>
  <c r="CW640" i="6"/>
  <c r="CW641" i="6"/>
  <c r="CW642" i="6"/>
  <c r="CW643" i="6"/>
  <c r="CW644" i="6"/>
  <c r="CW589" i="6"/>
  <c r="CW590" i="6"/>
  <c r="CW591" i="6"/>
  <c r="CW501" i="6"/>
  <c r="CW502" i="6"/>
  <c r="CW503" i="6"/>
  <c r="CW504" i="6"/>
  <c r="CW505" i="6"/>
  <c r="CW506" i="6"/>
  <c r="CW507" i="6"/>
  <c r="CW508" i="6"/>
  <c r="CW509" i="6"/>
  <c r="CW510" i="6"/>
  <c r="CW511" i="6"/>
  <c r="CW512" i="6"/>
  <c r="CW513" i="6"/>
  <c r="CW514" i="6"/>
  <c r="CW515" i="6"/>
  <c r="CW516" i="6"/>
  <c r="CW517" i="6"/>
  <c r="CW518" i="6"/>
  <c r="CW519" i="6"/>
  <c r="CW520" i="6"/>
  <c r="CW521" i="6"/>
  <c r="CW522" i="6"/>
  <c r="CW523" i="6"/>
  <c r="CW524" i="6"/>
  <c r="CW525" i="6"/>
  <c r="CW526" i="6"/>
  <c r="CW527" i="6"/>
  <c r="CW528" i="6"/>
  <c r="CW529" i="6"/>
  <c r="CW530" i="6"/>
  <c r="CW531" i="6"/>
  <c r="CW532" i="6"/>
  <c r="CW533" i="6"/>
  <c r="CW534" i="6"/>
  <c r="CW535" i="6"/>
  <c r="CW536" i="6"/>
  <c r="CW537" i="6"/>
  <c r="CW538" i="6"/>
  <c r="CW653" i="6"/>
  <c r="CW655" i="6"/>
  <c r="CW657" i="6"/>
  <c r="CW449" i="6"/>
  <c r="CW450" i="6"/>
  <c r="CW451" i="6"/>
  <c r="CW452" i="6"/>
  <c r="CW453" i="6"/>
  <c r="CW454" i="6"/>
  <c r="CW455" i="6"/>
  <c r="CW456" i="6"/>
  <c r="CW457" i="6"/>
  <c r="CW458" i="6"/>
  <c r="CW459" i="6"/>
  <c r="CW460" i="6"/>
  <c r="CW461" i="6"/>
  <c r="CW466" i="6"/>
  <c r="CW467" i="6"/>
  <c r="CW468" i="6"/>
  <c r="CW469" i="6"/>
  <c r="CW371" i="6"/>
  <c r="CW372" i="6"/>
  <c r="CW373" i="6"/>
  <c r="CW374" i="6"/>
  <c r="CW749" i="6"/>
  <c r="CW726" i="6"/>
  <c r="CW728" i="6"/>
  <c r="CW730" i="6"/>
  <c r="CW732" i="6"/>
  <c r="CW475" i="6"/>
  <c r="CW480" i="6"/>
  <c r="CW481" i="6"/>
  <c r="CW482" i="6"/>
  <c r="CW426" i="6"/>
  <c r="CW427" i="6"/>
  <c r="CW428" i="6"/>
  <c r="CW429" i="6"/>
  <c r="CW430" i="6"/>
  <c r="CW431" i="6"/>
  <c r="CW432" i="6"/>
  <c r="CW433" i="6"/>
  <c r="CW434" i="6"/>
  <c r="CW435" i="6"/>
  <c r="CW436" i="6"/>
  <c r="CW437" i="6"/>
  <c r="CW438" i="6"/>
  <c r="CW439" i="6"/>
  <c r="CW440" i="6"/>
  <c r="CW441" i="6"/>
  <c r="CW442" i="6"/>
  <c r="CW443" i="6"/>
  <c r="CW444" i="6"/>
  <c r="CW413" i="6"/>
  <c r="CW414" i="6"/>
  <c r="CW415" i="6"/>
  <c r="CW416" i="6"/>
  <c r="CW417" i="6"/>
  <c r="CW418" i="6"/>
  <c r="CW419" i="6"/>
  <c r="CW420" i="6"/>
  <c r="CW421" i="6"/>
  <c r="CW376" i="6"/>
  <c r="CW265" i="6"/>
  <c r="CW656" i="6"/>
  <c r="CW489" i="6"/>
  <c r="CW490" i="6"/>
  <c r="CW491" i="6"/>
  <c r="CW492" i="6"/>
  <c r="CW493" i="6"/>
  <c r="CW494" i="6"/>
  <c r="CW495" i="6"/>
  <c r="CW496" i="6"/>
  <c r="CW474" i="6"/>
  <c r="CW360" i="6"/>
  <c r="CW361" i="6"/>
  <c r="CW362" i="6"/>
  <c r="CW368" i="6"/>
  <c r="CW267" i="6"/>
  <c r="CW268" i="6"/>
  <c r="CW269" i="6"/>
  <c r="CW270" i="6"/>
  <c r="CW271" i="6"/>
  <c r="CW272" i="6"/>
  <c r="CW273" i="6"/>
  <c r="CW274" i="6"/>
  <c r="CW275" i="6"/>
  <c r="CW276" i="6"/>
  <c r="CW277" i="6"/>
  <c r="CW278" i="6"/>
  <c r="CW279" i="6"/>
  <c r="CW280" i="6"/>
  <c r="CW281" i="6"/>
  <c r="CW282" i="6"/>
  <c r="CW283" i="6"/>
  <c r="CW284" i="6"/>
  <c r="CW285" i="6"/>
  <c r="CW286" i="6"/>
  <c r="CW287" i="6"/>
  <c r="CW288" i="6"/>
  <c r="CW289" i="6"/>
  <c r="CW290" i="6"/>
  <c r="CW291" i="6"/>
  <c r="CW292" i="6"/>
  <c r="CW293" i="6"/>
  <c r="CW294" i="6"/>
  <c r="CW295" i="6"/>
  <c r="CW296" i="6"/>
  <c r="CW297" i="6"/>
  <c r="CW298" i="6"/>
  <c r="CW299" i="6"/>
  <c r="CW300" i="6"/>
  <c r="CW301" i="6"/>
  <c r="CW302" i="6"/>
  <c r="CW253" i="6"/>
  <c r="CW254" i="6"/>
  <c r="CW255" i="6"/>
  <c r="CW256" i="6"/>
  <c r="CW257" i="6"/>
  <c r="CW258" i="6"/>
  <c r="CW259" i="6"/>
  <c r="CW260" i="6"/>
  <c r="CW725" i="6"/>
  <c r="CW727" i="6"/>
  <c r="CW729" i="6"/>
  <c r="CW731" i="6"/>
  <c r="CW364" i="6"/>
  <c r="CW369" i="6"/>
  <c r="CW378" i="6"/>
  <c r="CW380" i="6"/>
  <c r="CW382" i="6"/>
  <c r="CW384" i="6"/>
  <c r="CW386" i="6"/>
  <c r="CW388" i="6"/>
  <c r="CW390" i="6"/>
  <c r="CW392" i="6"/>
  <c r="CW394" i="6"/>
  <c r="CW396" i="6"/>
  <c r="CW398" i="6"/>
  <c r="CW400" i="6"/>
  <c r="CW402" i="6"/>
  <c r="CW404" i="6"/>
  <c r="CW406" i="6"/>
  <c r="CW408" i="6"/>
  <c r="CW308" i="6"/>
  <c r="CW310" i="6"/>
  <c r="CW333" i="6"/>
  <c r="CW336" i="6"/>
  <c r="CW338" i="6"/>
  <c r="CW339" i="6"/>
  <c r="CW352" i="6"/>
  <c r="CW353" i="6"/>
  <c r="CW363" i="6"/>
  <c r="CW365" i="6"/>
  <c r="CW370" i="6"/>
  <c r="CW381" i="6"/>
  <c r="CW383" i="6"/>
  <c r="CW385" i="6"/>
  <c r="CW387" i="6"/>
  <c r="CW393" i="6"/>
  <c r="CW654" i="6"/>
  <c r="CW367" i="6"/>
  <c r="CW312" i="6"/>
  <c r="CW313" i="6"/>
  <c r="CW314" i="6"/>
  <c r="CW315" i="6"/>
  <c r="CW316" i="6"/>
  <c r="CW317" i="6"/>
  <c r="CW318" i="6"/>
  <c r="CW319" i="6"/>
  <c r="CW320" i="6"/>
  <c r="CW321" i="6"/>
  <c r="CW322" i="6"/>
  <c r="CW323" i="6"/>
  <c r="CW324" i="6"/>
  <c r="CW325" i="6"/>
  <c r="CW326" i="6"/>
  <c r="CW327" i="6"/>
  <c r="CW328" i="6"/>
  <c r="CW329" i="6"/>
  <c r="CW330" i="6"/>
  <c r="CW331" i="6"/>
  <c r="CW332" i="6"/>
  <c r="CW334" i="6"/>
  <c r="CW335" i="6"/>
  <c r="CW337" i="6"/>
  <c r="CW340" i="6"/>
  <c r="CW341" i="6"/>
  <c r="CW342" i="6"/>
  <c r="CW343" i="6"/>
  <c r="CW344" i="6"/>
  <c r="CW345" i="6"/>
  <c r="CW346" i="6"/>
  <c r="CW347" i="6"/>
  <c r="CW348" i="6"/>
  <c r="CW349" i="6"/>
  <c r="CW350" i="6"/>
  <c r="CW351" i="6"/>
  <c r="CW354" i="6"/>
  <c r="CW355" i="6"/>
  <c r="CW377" i="6"/>
  <c r="CW379" i="6"/>
  <c r="CW389" i="6"/>
  <c r="CW391" i="6"/>
  <c r="CW395" i="6"/>
  <c r="CW397" i="6"/>
  <c r="CW399" i="6"/>
  <c r="CW401" i="6"/>
  <c r="CW403" i="6"/>
  <c r="CW405" i="6"/>
  <c r="CW407" i="6"/>
  <c r="CW307" i="6"/>
  <c r="CW309" i="6"/>
  <c r="CW311" i="6"/>
  <c r="CW366" i="6"/>
  <c r="CW375" i="6"/>
  <c r="CW266" i="6"/>
  <c r="CS1201" i="6"/>
  <c r="CS1202" i="6"/>
  <c r="CS1203" i="6"/>
  <c r="CS1204" i="6"/>
  <c r="CS1205" i="6"/>
  <c r="CS1206" i="6"/>
  <c r="CS1208" i="6"/>
  <c r="CS1209" i="6"/>
  <c r="CS1200" i="6"/>
  <c r="CS921" i="6"/>
  <c r="CS1207" i="6"/>
  <c r="CS925" i="6"/>
  <c r="CS926" i="6"/>
  <c r="CS927" i="6"/>
  <c r="CS928" i="6"/>
  <c r="CS929" i="6"/>
  <c r="CS930" i="6"/>
  <c r="CS931" i="6"/>
  <c r="CS932" i="6"/>
  <c r="CS933" i="6"/>
  <c r="CS938" i="6"/>
  <c r="CS939" i="6"/>
  <c r="CS940" i="6"/>
  <c r="CS922" i="6"/>
  <c r="CS923" i="6"/>
  <c r="CS924" i="6"/>
  <c r="CS941" i="6"/>
  <c r="CS946" i="6"/>
  <c r="CS947" i="6"/>
  <c r="CS952" i="6"/>
  <c r="CS953" i="6"/>
  <c r="CS954" i="6"/>
  <c r="CS898" i="6"/>
  <c r="CS899" i="6"/>
  <c r="CS900" i="6"/>
  <c r="CS901" i="6"/>
  <c r="CS902" i="6"/>
  <c r="CS903" i="6"/>
  <c r="CS904" i="6"/>
  <c r="CS905" i="6"/>
  <c r="CS906" i="6"/>
  <c r="CS907" i="6"/>
  <c r="CS908" i="6"/>
  <c r="CS909" i="6"/>
  <c r="CS916" i="6"/>
  <c r="CS885" i="6"/>
  <c r="CS886" i="6"/>
  <c r="CS887" i="6"/>
  <c r="CS888" i="6"/>
  <c r="CS889" i="6"/>
  <c r="CS890" i="6"/>
  <c r="CS891" i="6"/>
  <c r="CS892" i="6"/>
  <c r="CS893" i="6"/>
  <c r="CS832" i="6"/>
  <c r="CS833" i="6"/>
  <c r="CS834" i="6"/>
  <c r="CS911" i="6"/>
  <c r="CS912" i="6"/>
  <c r="CS913" i="6"/>
  <c r="CS914" i="6"/>
  <c r="CS915" i="6"/>
  <c r="CS910" i="6"/>
  <c r="CS842" i="6"/>
  <c r="CS843" i="6"/>
  <c r="CS844" i="6"/>
  <c r="CS845" i="6"/>
  <c r="CS846" i="6"/>
  <c r="CS847" i="6"/>
  <c r="CS848" i="6"/>
  <c r="CS849" i="6"/>
  <c r="CS850" i="6"/>
  <c r="CS851" i="6"/>
  <c r="CS852" i="6"/>
  <c r="CS853" i="6"/>
  <c r="CS854" i="6"/>
  <c r="CS855" i="6"/>
  <c r="CS856" i="6"/>
  <c r="CS857" i="6"/>
  <c r="CS858" i="6"/>
  <c r="CS859" i="6"/>
  <c r="CS860" i="6"/>
  <c r="CS841" i="6"/>
  <c r="CS835" i="6"/>
  <c r="CS837" i="6"/>
  <c r="CS839" i="6"/>
  <c r="CS794" i="6"/>
  <c r="CS795" i="6"/>
  <c r="CS796" i="6"/>
  <c r="CS797" i="6"/>
  <c r="CS798" i="6"/>
  <c r="CS836" i="6"/>
  <c r="CS840" i="6"/>
  <c r="CS799" i="6"/>
  <c r="CS800" i="6"/>
  <c r="CS838" i="6"/>
  <c r="CS861" i="6"/>
  <c r="CS862" i="6"/>
  <c r="CS863" i="6"/>
  <c r="CS864" i="6"/>
  <c r="CS865" i="6"/>
  <c r="CS866" i="6"/>
  <c r="CS867" i="6"/>
  <c r="CS868" i="6"/>
  <c r="CS869" i="6"/>
  <c r="CS870" i="6"/>
  <c r="CS871" i="6"/>
  <c r="CS872" i="6"/>
  <c r="CS873" i="6"/>
  <c r="CS874" i="6"/>
  <c r="CS875" i="6"/>
  <c r="CS876" i="6"/>
  <c r="CS877" i="6"/>
  <c r="CS878" i="6"/>
  <c r="CS879" i="6"/>
  <c r="CS880" i="6"/>
  <c r="CS779" i="6"/>
  <c r="CS780" i="6"/>
  <c r="CS781" i="6"/>
  <c r="CS782" i="6"/>
  <c r="CS783" i="6"/>
  <c r="CS784" i="6"/>
  <c r="CS785" i="6"/>
  <c r="CS786" i="6"/>
  <c r="CS787" i="6"/>
  <c r="CS788" i="6"/>
  <c r="CS789" i="6"/>
  <c r="CS790" i="6"/>
  <c r="CS791" i="6"/>
  <c r="CS792" i="6"/>
  <c r="CS793" i="6"/>
  <c r="CS801" i="6"/>
  <c r="CS802" i="6"/>
  <c r="CS803" i="6"/>
  <c r="CS804" i="6"/>
  <c r="CS805" i="6"/>
  <c r="CS806" i="6"/>
  <c r="CS807" i="6"/>
  <c r="CS808" i="6"/>
  <c r="CS809" i="6"/>
  <c r="CS810" i="6"/>
  <c r="CS811" i="6"/>
  <c r="CS812" i="6"/>
  <c r="CS813" i="6"/>
  <c r="CS814" i="6"/>
  <c r="CS815" i="6"/>
  <c r="CS816" i="6"/>
  <c r="CS817" i="6"/>
  <c r="CS818" i="6"/>
  <c r="CS819" i="6"/>
  <c r="CS820" i="6"/>
  <c r="CS821" i="6"/>
  <c r="CS822" i="6"/>
  <c r="CS823" i="6"/>
  <c r="CS824" i="6"/>
  <c r="CS825" i="6"/>
  <c r="CS826" i="6"/>
  <c r="CS827" i="6"/>
  <c r="CS737" i="6"/>
  <c r="CS738" i="6"/>
  <c r="CS739" i="6"/>
  <c r="CS740" i="6"/>
  <c r="CS741" i="6"/>
  <c r="CS742" i="6"/>
  <c r="CS743" i="6"/>
  <c r="CS744" i="6"/>
  <c r="CS745" i="6"/>
  <c r="CS746" i="6"/>
  <c r="CS747" i="6"/>
  <c r="CS752" i="6"/>
  <c r="CS753" i="6"/>
  <c r="CS754" i="6"/>
  <c r="CS755" i="6"/>
  <c r="CS756" i="6"/>
  <c r="CS757" i="6"/>
  <c r="CS758" i="6"/>
  <c r="CS759" i="6"/>
  <c r="CS760" i="6"/>
  <c r="CS761" i="6"/>
  <c r="CS762" i="6"/>
  <c r="CS763" i="6"/>
  <c r="CS764" i="6"/>
  <c r="CS765" i="6"/>
  <c r="CS766" i="6"/>
  <c r="CS767" i="6"/>
  <c r="CS768" i="6"/>
  <c r="CS769" i="6"/>
  <c r="CS770" i="6"/>
  <c r="CS771" i="6"/>
  <c r="CS772" i="6"/>
  <c r="CS773" i="6"/>
  <c r="CS774" i="6"/>
  <c r="CS685" i="6"/>
  <c r="CS686" i="6"/>
  <c r="CS687" i="6"/>
  <c r="CS688" i="6"/>
  <c r="CS689" i="6"/>
  <c r="CS690" i="6"/>
  <c r="CS691" i="6"/>
  <c r="CS692" i="6"/>
  <c r="CS693" i="6"/>
  <c r="CS694" i="6"/>
  <c r="CS695" i="6"/>
  <c r="CS696" i="6"/>
  <c r="CS697" i="6"/>
  <c r="CS702" i="6"/>
  <c r="CS703" i="6"/>
  <c r="CS704" i="6"/>
  <c r="CS705" i="6"/>
  <c r="CS710" i="6"/>
  <c r="CS711" i="6"/>
  <c r="CS716" i="6"/>
  <c r="CS717" i="6"/>
  <c r="CS718" i="6"/>
  <c r="CS662" i="6"/>
  <c r="CS663" i="6"/>
  <c r="CS664" i="6"/>
  <c r="CS665" i="6"/>
  <c r="CS666" i="6"/>
  <c r="CS667" i="6"/>
  <c r="CS668" i="6"/>
  <c r="CS669" i="6"/>
  <c r="CS670" i="6"/>
  <c r="CS671" i="6"/>
  <c r="CS672" i="6"/>
  <c r="CS673" i="6"/>
  <c r="CS674" i="6"/>
  <c r="CS675" i="6"/>
  <c r="CS676" i="6"/>
  <c r="CS677" i="6"/>
  <c r="CS678" i="6"/>
  <c r="CS679" i="6"/>
  <c r="CS680" i="6"/>
  <c r="CS596" i="6"/>
  <c r="CS597" i="6"/>
  <c r="CS598" i="6"/>
  <c r="CS599" i="6"/>
  <c r="CS600" i="6"/>
  <c r="CS601" i="6"/>
  <c r="CS602" i="6"/>
  <c r="CS603" i="6"/>
  <c r="CS604" i="6"/>
  <c r="CS605" i="6"/>
  <c r="CS606" i="6"/>
  <c r="CS607" i="6"/>
  <c r="CS608" i="6"/>
  <c r="CS609" i="6"/>
  <c r="CS610" i="6"/>
  <c r="CS748" i="6"/>
  <c r="CS749" i="6"/>
  <c r="CS649" i="6"/>
  <c r="CS650" i="6"/>
  <c r="CS651" i="6"/>
  <c r="CS652" i="6"/>
  <c r="CS653" i="6"/>
  <c r="CS750" i="6"/>
  <c r="CS751" i="6"/>
  <c r="CS725" i="6"/>
  <c r="CS726" i="6"/>
  <c r="CS727" i="6"/>
  <c r="CS728" i="6"/>
  <c r="CS729" i="6"/>
  <c r="CS730" i="6"/>
  <c r="CS731" i="6"/>
  <c r="CS732" i="6"/>
  <c r="CS543" i="6"/>
  <c r="CS544" i="6"/>
  <c r="CS545" i="6"/>
  <c r="CS546" i="6"/>
  <c r="CS547" i="6"/>
  <c r="CS548" i="6"/>
  <c r="CS549" i="6"/>
  <c r="CS550" i="6"/>
  <c r="CS551" i="6"/>
  <c r="CS552" i="6"/>
  <c r="CS553" i="6"/>
  <c r="CS554" i="6"/>
  <c r="CS555" i="6"/>
  <c r="CS556" i="6"/>
  <c r="CS557" i="6"/>
  <c r="CS558" i="6"/>
  <c r="CS559" i="6"/>
  <c r="CS560" i="6"/>
  <c r="CS561" i="6"/>
  <c r="CS562" i="6"/>
  <c r="CS563" i="6"/>
  <c r="CS564" i="6"/>
  <c r="CS565" i="6"/>
  <c r="CS566" i="6"/>
  <c r="CS567" i="6"/>
  <c r="CS568" i="6"/>
  <c r="CS569" i="6"/>
  <c r="CS570" i="6"/>
  <c r="CS571" i="6"/>
  <c r="CS572" i="6"/>
  <c r="CS573" i="6"/>
  <c r="CS574" i="6"/>
  <c r="CS575" i="6"/>
  <c r="CS576" i="6"/>
  <c r="CS577" i="6"/>
  <c r="CS578" i="6"/>
  <c r="CS579" i="6"/>
  <c r="CS580" i="6"/>
  <c r="CS581" i="6"/>
  <c r="CS582" i="6"/>
  <c r="CS583" i="6"/>
  <c r="CS584" i="6"/>
  <c r="CS585" i="6"/>
  <c r="CS586" i="6"/>
  <c r="CS587" i="6"/>
  <c r="CS588" i="6"/>
  <c r="CS611" i="6"/>
  <c r="CS612" i="6"/>
  <c r="CS613" i="6"/>
  <c r="CS614" i="6"/>
  <c r="CS615" i="6"/>
  <c r="CS616" i="6"/>
  <c r="CS617" i="6"/>
  <c r="CS618" i="6"/>
  <c r="CS619" i="6"/>
  <c r="CS620" i="6"/>
  <c r="CS621" i="6"/>
  <c r="CS622" i="6"/>
  <c r="CS623" i="6"/>
  <c r="CS624" i="6"/>
  <c r="CS625" i="6"/>
  <c r="CS626" i="6"/>
  <c r="CS627" i="6"/>
  <c r="CS628" i="6"/>
  <c r="CS629" i="6"/>
  <c r="CS630" i="6"/>
  <c r="CS631" i="6"/>
  <c r="CS632" i="6"/>
  <c r="CS633" i="6"/>
  <c r="CS634" i="6"/>
  <c r="CS635" i="6"/>
  <c r="CS636" i="6"/>
  <c r="CS637" i="6"/>
  <c r="CS638" i="6"/>
  <c r="CS639" i="6"/>
  <c r="CS640" i="6"/>
  <c r="CS641" i="6"/>
  <c r="CS642" i="6"/>
  <c r="CS643" i="6"/>
  <c r="CS644" i="6"/>
  <c r="CS655" i="6"/>
  <c r="CS657" i="6"/>
  <c r="CS589" i="6"/>
  <c r="CS590" i="6"/>
  <c r="CS591" i="6"/>
  <c r="CS501" i="6"/>
  <c r="CS502" i="6"/>
  <c r="CS503" i="6"/>
  <c r="CS504" i="6"/>
  <c r="CS505" i="6"/>
  <c r="CS506" i="6"/>
  <c r="CS507" i="6"/>
  <c r="CS508" i="6"/>
  <c r="CS509" i="6"/>
  <c r="CS510" i="6"/>
  <c r="CS511" i="6"/>
  <c r="CS512" i="6"/>
  <c r="CS513" i="6"/>
  <c r="CS514" i="6"/>
  <c r="CS515" i="6"/>
  <c r="CS516" i="6"/>
  <c r="CS517" i="6"/>
  <c r="CS518" i="6"/>
  <c r="CS519" i="6"/>
  <c r="CS520" i="6"/>
  <c r="CS521" i="6"/>
  <c r="CS522" i="6"/>
  <c r="CS523" i="6"/>
  <c r="CS524" i="6"/>
  <c r="CS525" i="6"/>
  <c r="CS526" i="6"/>
  <c r="CS527" i="6"/>
  <c r="CS528" i="6"/>
  <c r="CS529" i="6"/>
  <c r="CS530" i="6"/>
  <c r="CS531" i="6"/>
  <c r="CS532" i="6"/>
  <c r="CS533" i="6"/>
  <c r="CS534" i="6"/>
  <c r="CS535" i="6"/>
  <c r="CS536" i="6"/>
  <c r="CS537" i="6"/>
  <c r="CS538" i="6"/>
  <c r="CS449" i="6"/>
  <c r="CS450" i="6"/>
  <c r="CS451" i="6"/>
  <c r="CS452" i="6"/>
  <c r="CS453" i="6"/>
  <c r="CS454" i="6"/>
  <c r="CS455" i="6"/>
  <c r="CS456" i="6"/>
  <c r="CS457" i="6"/>
  <c r="CS458" i="6"/>
  <c r="CS459" i="6"/>
  <c r="CS460" i="6"/>
  <c r="CS461" i="6"/>
  <c r="CS466" i="6"/>
  <c r="CS467" i="6"/>
  <c r="CS468" i="6"/>
  <c r="CS469" i="6"/>
  <c r="CS371" i="6"/>
  <c r="CS372" i="6"/>
  <c r="CS373" i="6"/>
  <c r="CS374" i="6"/>
  <c r="CS656" i="6"/>
  <c r="CS363" i="6"/>
  <c r="CS364" i="6"/>
  <c r="CS365" i="6"/>
  <c r="CS369" i="6"/>
  <c r="CS370" i="6"/>
  <c r="CS377" i="6"/>
  <c r="CS378" i="6"/>
  <c r="CS379" i="6"/>
  <c r="CS380" i="6"/>
  <c r="CS381" i="6"/>
  <c r="CS382" i="6"/>
  <c r="CS383" i="6"/>
  <c r="CS384" i="6"/>
  <c r="CS385" i="6"/>
  <c r="CS386" i="6"/>
  <c r="CS387" i="6"/>
  <c r="CS388" i="6"/>
  <c r="CS389" i="6"/>
  <c r="CS390" i="6"/>
  <c r="CS391" i="6"/>
  <c r="CS392" i="6"/>
  <c r="CS393" i="6"/>
  <c r="CS394" i="6"/>
  <c r="CS395" i="6"/>
  <c r="CS396" i="6"/>
  <c r="CS397" i="6"/>
  <c r="CS398" i="6"/>
  <c r="CS399" i="6"/>
  <c r="CS400" i="6"/>
  <c r="CS401" i="6"/>
  <c r="CS402" i="6"/>
  <c r="CS403" i="6"/>
  <c r="CS404" i="6"/>
  <c r="CS405" i="6"/>
  <c r="CS406" i="6"/>
  <c r="CS407" i="6"/>
  <c r="CS408" i="6"/>
  <c r="CS307" i="6"/>
  <c r="CS308" i="6"/>
  <c r="CS309" i="6"/>
  <c r="CS310" i="6"/>
  <c r="CS311" i="6"/>
  <c r="CS265" i="6"/>
  <c r="CS475" i="6"/>
  <c r="CS480" i="6"/>
  <c r="CS481" i="6"/>
  <c r="CS482" i="6"/>
  <c r="CS426" i="6"/>
  <c r="CS427" i="6"/>
  <c r="CS428" i="6"/>
  <c r="CS429" i="6"/>
  <c r="CS430" i="6"/>
  <c r="CS431" i="6"/>
  <c r="CS432" i="6"/>
  <c r="CS433" i="6"/>
  <c r="CS434" i="6"/>
  <c r="CS435" i="6"/>
  <c r="CS436" i="6"/>
  <c r="CS437" i="6"/>
  <c r="CS438" i="6"/>
  <c r="CS439" i="6"/>
  <c r="CS440" i="6"/>
  <c r="CS441" i="6"/>
  <c r="CS442" i="6"/>
  <c r="CS443" i="6"/>
  <c r="CS444" i="6"/>
  <c r="CS413" i="6"/>
  <c r="CS414" i="6"/>
  <c r="CS415" i="6"/>
  <c r="CS416" i="6"/>
  <c r="CS417" i="6"/>
  <c r="CS418" i="6"/>
  <c r="CS419" i="6"/>
  <c r="CS420" i="6"/>
  <c r="CS421" i="6"/>
  <c r="CS376" i="6"/>
  <c r="CS267" i="6"/>
  <c r="CS268" i="6"/>
  <c r="CS269" i="6"/>
  <c r="CS270" i="6"/>
  <c r="CS271" i="6"/>
  <c r="CS272" i="6"/>
  <c r="CS273" i="6"/>
  <c r="CS274" i="6"/>
  <c r="CS275" i="6"/>
  <c r="CS276" i="6"/>
  <c r="CS277" i="6"/>
  <c r="CS278" i="6"/>
  <c r="CS279" i="6"/>
  <c r="CS280" i="6"/>
  <c r="CS281" i="6"/>
  <c r="CS282" i="6"/>
  <c r="CS283" i="6"/>
  <c r="CS284" i="6"/>
  <c r="CS285" i="6"/>
  <c r="CS286" i="6"/>
  <c r="CS287" i="6"/>
  <c r="CS288" i="6"/>
  <c r="CS289" i="6"/>
  <c r="CS290" i="6"/>
  <c r="CS291" i="6"/>
  <c r="CS292" i="6"/>
  <c r="CS293" i="6"/>
  <c r="CS294" i="6"/>
  <c r="CS295" i="6"/>
  <c r="CS296" i="6"/>
  <c r="CS297" i="6"/>
  <c r="CS298" i="6"/>
  <c r="CS299" i="6"/>
  <c r="CS300" i="6"/>
  <c r="CS301" i="6"/>
  <c r="CS302" i="6"/>
  <c r="CS253" i="6"/>
  <c r="CS254" i="6"/>
  <c r="CS255" i="6"/>
  <c r="CS256" i="6"/>
  <c r="CS257" i="6"/>
  <c r="CS258" i="6"/>
  <c r="CS259" i="6"/>
  <c r="CS260" i="6"/>
  <c r="CS654" i="6"/>
  <c r="CS367" i="6"/>
  <c r="CS491" i="6"/>
  <c r="CS493" i="6"/>
  <c r="CS494" i="6"/>
  <c r="CS496" i="6"/>
  <c r="CS366" i="6"/>
  <c r="CS474" i="6"/>
  <c r="CS360" i="6"/>
  <c r="CS362" i="6"/>
  <c r="CS316" i="6"/>
  <c r="CS318" i="6"/>
  <c r="CS320" i="6"/>
  <c r="CS322" i="6"/>
  <c r="CS323" i="6"/>
  <c r="CS325" i="6"/>
  <c r="CS327" i="6"/>
  <c r="CS329" i="6"/>
  <c r="CS333" i="6"/>
  <c r="CS335" i="6"/>
  <c r="CS337" i="6"/>
  <c r="CS340" i="6"/>
  <c r="CS342" i="6"/>
  <c r="CS348" i="6"/>
  <c r="CS350" i="6"/>
  <c r="CS352" i="6"/>
  <c r="CS354" i="6"/>
  <c r="CS361" i="6"/>
  <c r="CS368" i="6"/>
  <c r="CS266" i="6"/>
  <c r="CS489" i="6"/>
  <c r="CS490" i="6"/>
  <c r="CS492" i="6"/>
  <c r="CS495" i="6"/>
  <c r="CS375" i="6"/>
  <c r="CS312" i="6"/>
  <c r="CS313" i="6"/>
  <c r="CS314" i="6"/>
  <c r="CS315" i="6"/>
  <c r="CS317" i="6"/>
  <c r="CS319" i="6"/>
  <c r="CS321" i="6"/>
  <c r="CS324" i="6"/>
  <c r="CS326" i="6"/>
  <c r="CS328" i="6"/>
  <c r="CS330" i="6"/>
  <c r="CS331" i="6"/>
  <c r="CS332" i="6"/>
  <c r="CS334" i="6"/>
  <c r="CS336" i="6"/>
  <c r="CS338" i="6"/>
  <c r="CS339" i="6"/>
  <c r="CS341" i="6"/>
  <c r="CS343" i="6"/>
  <c r="CS344" i="6"/>
  <c r="CS345" i="6"/>
  <c r="CS346" i="6"/>
  <c r="CS347" i="6"/>
  <c r="CS349" i="6"/>
  <c r="CS351" i="6"/>
  <c r="CS353" i="6"/>
  <c r="CS355" i="6"/>
  <c r="CO1201" i="6"/>
  <c r="CO1202" i="6"/>
  <c r="CO1203" i="6"/>
  <c r="CO1204" i="6"/>
  <c r="CO1205" i="6"/>
  <c r="CO1206" i="6"/>
  <c r="CO1207" i="6"/>
  <c r="CO1208" i="6"/>
  <c r="CO1209" i="6"/>
  <c r="CO1200" i="6"/>
  <c r="CO921" i="6"/>
  <c r="CO925" i="6"/>
  <c r="CO926" i="6"/>
  <c r="CO927" i="6"/>
  <c r="CO928" i="6"/>
  <c r="CO929" i="6"/>
  <c r="CO930" i="6"/>
  <c r="CO931" i="6"/>
  <c r="CO932" i="6"/>
  <c r="CO933" i="6"/>
  <c r="CO938" i="6"/>
  <c r="CO939" i="6"/>
  <c r="CO940" i="6"/>
  <c r="CO941" i="6"/>
  <c r="CO922" i="6"/>
  <c r="CO923" i="6"/>
  <c r="CO924" i="6"/>
  <c r="CO946" i="6"/>
  <c r="CO947" i="6"/>
  <c r="CO952" i="6"/>
  <c r="CO953" i="6"/>
  <c r="CO954" i="6"/>
  <c r="CO898" i="6"/>
  <c r="CO899" i="6"/>
  <c r="CO900" i="6"/>
  <c r="CO901" i="6"/>
  <c r="CO902" i="6"/>
  <c r="CO903" i="6"/>
  <c r="CO904" i="6"/>
  <c r="CO905" i="6"/>
  <c r="CO906" i="6"/>
  <c r="CO907" i="6"/>
  <c r="CO908" i="6"/>
  <c r="CO909" i="6"/>
  <c r="CO916" i="6"/>
  <c r="CO885" i="6"/>
  <c r="CO886" i="6"/>
  <c r="CO887" i="6"/>
  <c r="CO888" i="6"/>
  <c r="CO889" i="6"/>
  <c r="CO890" i="6"/>
  <c r="CO891" i="6"/>
  <c r="CO892" i="6"/>
  <c r="CO893" i="6"/>
  <c r="CO832" i="6"/>
  <c r="CO833" i="6"/>
  <c r="CO834" i="6"/>
  <c r="CO910" i="6"/>
  <c r="CO911" i="6"/>
  <c r="CO915" i="6"/>
  <c r="CO842" i="6"/>
  <c r="CO843" i="6"/>
  <c r="CO844" i="6"/>
  <c r="CO845" i="6"/>
  <c r="CO846" i="6"/>
  <c r="CO847" i="6"/>
  <c r="CO848" i="6"/>
  <c r="CO849" i="6"/>
  <c r="CO850" i="6"/>
  <c r="CO851" i="6"/>
  <c r="CO852" i="6"/>
  <c r="CO853" i="6"/>
  <c r="CO854" i="6"/>
  <c r="CO855" i="6"/>
  <c r="CO856" i="6"/>
  <c r="CO857" i="6"/>
  <c r="CO858" i="6"/>
  <c r="CO859" i="6"/>
  <c r="CO860" i="6"/>
  <c r="CO912" i="6"/>
  <c r="CO835" i="6"/>
  <c r="CO836" i="6"/>
  <c r="CO837" i="6"/>
  <c r="CO838" i="6"/>
  <c r="CO839" i="6"/>
  <c r="CO840" i="6"/>
  <c r="CO914" i="6"/>
  <c r="CO841" i="6"/>
  <c r="CO861" i="6"/>
  <c r="CO862" i="6"/>
  <c r="CO863" i="6"/>
  <c r="CO864" i="6"/>
  <c r="CO865" i="6"/>
  <c r="CO866" i="6"/>
  <c r="CO867" i="6"/>
  <c r="CO868" i="6"/>
  <c r="CO869" i="6"/>
  <c r="CO870" i="6"/>
  <c r="CO871" i="6"/>
  <c r="CO872" i="6"/>
  <c r="CO873" i="6"/>
  <c r="CO874" i="6"/>
  <c r="CO875" i="6"/>
  <c r="CO876" i="6"/>
  <c r="CO877" i="6"/>
  <c r="CO878" i="6"/>
  <c r="CO879" i="6"/>
  <c r="CO880" i="6"/>
  <c r="CO779" i="6"/>
  <c r="CO780" i="6"/>
  <c r="CO781" i="6"/>
  <c r="CO782" i="6"/>
  <c r="CO783" i="6"/>
  <c r="CO784" i="6"/>
  <c r="CO785" i="6"/>
  <c r="CO786" i="6"/>
  <c r="CO787" i="6"/>
  <c r="CO788" i="6"/>
  <c r="CO789" i="6"/>
  <c r="CO790" i="6"/>
  <c r="CO791" i="6"/>
  <c r="CO792" i="6"/>
  <c r="CO793" i="6"/>
  <c r="CO913" i="6"/>
  <c r="CO794" i="6"/>
  <c r="CO795" i="6"/>
  <c r="CO796" i="6"/>
  <c r="CO797" i="6"/>
  <c r="CO798" i="6"/>
  <c r="CO799" i="6"/>
  <c r="CO800" i="6"/>
  <c r="CO801" i="6"/>
  <c r="CO802" i="6"/>
  <c r="CO803" i="6"/>
  <c r="CO804" i="6"/>
  <c r="CO805" i="6"/>
  <c r="CO806" i="6"/>
  <c r="CO807" i="6"/>
  <c r="CO808" i="6"/>
  <c r="CO809" i="6"/>
  <c r="CO810" i="6"/>
  <c r="CO811" i="6"/>
  <c r="CO812" i="6"/>
  <c r="CO813" i="6"/>
  <c r="CO814" i="6"/>
  <c r="CO815" i="6"/>
  <c r="CO816" i="6"/>
  <c r="CO817" i="6"/>
  <c r="CO818" i="6"/>
  <c r="CO819" i="6"/>
  <c r="CO820" i="6"/>
  <c r="CO821" i="6"/>
  <c r="CO822" i="6"/>
  <c r="CO823" i="6"/>
  <c r="CO824" i="6"/>
  <c r="CO825" i="6"/>
  <c r="CO826" i="6"/>
  <c r="CO827" i="6"/>
  <c r="CO737" i="6"/>
  <c r="CO738" i="6"/>
  <c r="CO739" i="6"/>
  <c r="CO740" i="6"/>
  <c r="CO741" i="6"/>
  <c r="CO742" i="6"/>
  <c r="CO743" i="6"/>
  <c r="CO744" i="6"/>
  <c r="CO745" i="6"/>
  <c r="CO746" i="6"/>
  <c r="CO747" i="6"/>
  <c r="CO752" i="6"/>
  <c r="CO753" i="6"/>
  <c r="CO754" i="6"/>
  <c r="CO755" i="6"/>
  <c r="CO756" i="6"/>
  <c r="CO757" i="6"/>
  <c r="CO758" i="6"/>
  <c r="CO759" i="6"/>
  <c r="CO760" i="6"/>
  <c r="CO761" i="6"/>
  <c r="CO762" i="6"/>
  <c r="CO763" i="6"/>
  <c r="CO764" i="6"/>
  <c r="CO765" i="6"/>
  <c r="CO766" i="6"/>
  <c r="CO767" i="6"/>
  <c r="CO768" i="6"/>
  <c r="CO769" i="6"/>
  <c r="CO770" i="6"/>
  <c r="CO771" i="6"/>
  <c r="CO772" i="6"/>
  <c r="CO773" i="6"/>
  <c r="CO774" i="6"/>
  <c r="CO685" i="6"/>
  <c r="CO686" i="6"/>
  <c r="CO687" i="6"/>
  <c r="CO688" i="6"/>
  <c r="CO689" i="6"/>
  <c r="CO690" i="6"/>
  <c r="CO691" i="6"/>
  <c r="CO692" i="6"/>
  <c r="CO693" i="6"/>
  <c r="CO694" i="6"/>
  <c r="CO695" i="6"/>
  <c r="CO696" i="6"/>
  <c r="CO697" i="6"/>
  <c r="CO702" i="6"/>
  <c r="CO703" i="6"/>
  <c r="CO704" i="6"/>
  <c r="CO705" i="6"/>
  <c r="CO710" i="6"/>
  <c r="CO711" i="6"/>
  <c r="CO716" i="6"/>
  <c r="CO717" i="6"/>
  <c r="CO718" i="6"/>
  <c r="CO662" i="6"/>
  <c r="CO663" i="6"/>
  <c r="CO664" i="6"/>
  <c r="CO665" i="6"/>
  <c r="CO666" i="6"/>
  <c r="CO667" i="6"/>
  <c r="CO668" i="6"/>
  <c r="CO669" i="6"/>
  <c r="CO670" i="6"/>
  <c r="CO671" i="6"/>
  <c r="CO672" i="6"/>
  <c r="CO673" i="6"/>
  <c r="CO674" i="6"/>
  <c r="CO675" i="6"/>
  <c r="CO676" i="6"/>
  <c r="CO677" i="6"/>
  <c r="CO678" i="6"/>
  <c r="CO679" i="6"/>
  <c r="CO680" i="6"/>
  <c r="CO596" i="6"/>
  <c r="CO597" i="6"/>
  <c r="CO598" i="6"/>
  <c r="CO599" i="6"/>
  <c r="CO600" i="6"/>
  <c r="CO601" i="6"/>
  <c r="CO602" i="6"/>
  <c r="CO603" i="6"/>
  <c r="CO604" i="6"/>
  <c r="CO605" i="6"/>
  <c r="CO606" i="6"/>
  <c r="CO607" i="6"/>
  <c r="CO608" i="6"/>
  <c r="CO609" i="6"/>
  <c r="CO610" i="6"/>
  <c r="CO649" i="6"/>
  <c r="CO650" i="6"/>
  <c r="CO651" i="6"/>
  <c r="CO652" i="6"/>
  <c r="CO653" i="6"/>
  <c r="CO750" i="6"/>
  <c r="CO654" i="6"/>
  <c r="CO655" i="6"/>
  <c r="CO656" i="6"/>
  <c r="CO657" i="6"/>
  <c r="CO543" i="6"/>
  <c r="CO544" i="6"/>
  <c r="CO545" i="6"/>
  <c r="CO546" i="6"/>
  <c r="CO547" i="6"/>
  <c r="CO548" i="6"/>
  <c r="CO549" i="6"/>
  <c r="CO550" i="6"/>
  <c r="CO551" i="6"/>
  <c r="CO552" i="6"/>
  <c r="CO553" i="6"/>
  <c r="CO554" i="6"/>
  <c r="CO555" i="6"/>
  <c r="CO556" i="6"/>
  <c r="CO557" i="6"/>
  <c r="CO558" i="6"/>
  <c r="CO559" i="6"/>
  <c r="CO560" i="6"/>
  <c r="CO561" i="6"/>
  <c r="CO562" i="6"/>
  <c r="CO563" i="6"/>
  <c r="CO564" i="6"/>
  <c r="CO565" i="6"/>
  <c r="CO566" i="6"/>
  <c r="CO567" i="6"/>
  <c r="CO568" i="6"/>
  <c r="CO569" i="6"/>
  <c r="CO570" i="6"/>
  <c r="CO571" i="6"/>
  <c r="CO572" i="6"/>
  <c r="CO573" i="6"/>
  <c r="CO574" i="6"/>
  <c r="CO575" i="6"/>
  <c r="CO576" i="6"/>
  <c r="CO577" i="6"/>
  <c r="CO578" i="6"/>
  <c r="CO579" i="6"/>
  <c r="CO580" i="6"/>
  <c r="CO581" i="6"/>
  <c r="CO582" i="6"/>
  <c r="CO583" i="6"/>
  <c r="CO584" i="6"/>
  <c r="CO585" i="6"/>
  <c r="CO586" i="6"/>
  <c r="CO587" i="6"/>
  <c r="CO588" i="6"/>
  <c r="CO749" i="6"/>
  <c r="CO751" i="6"/>
  <c r="CO611" i="6"/>
  <c r="CO612" i="6"/>
  <c r="CO613" i="6"/>
  <c r="CO614" i="6"/>
  <c r="CO615" i="6"/>
  <c r="CO616" i="6"/>
  <c r="CO617" i="6"/>
  <c r="CO618" i="6"/>
  <c r="CO619" i="6"/>
  <c r="CO620" i="6"/>
  <c r="CO621" i="6"/>
  <c r="CO622" i="6"/>
  <c r="CO623" i="6"/>
  <c r="CO624" i="6"/>
  <c r="CO625" i="6"/>
  <c r="CO626" i="6"/>
  <c r="CO627" i="6"/>
  <c r="CO628" i="6"/>
  <c r="CO629" i="6"/>
  <c r="CO630" i="6"/>
  <c r="CO631" i="6"/>
  <c r="CO632" i="6"/>
  <c r="CO633" i="6"/>
  <c r="CO634" i="6"/>
  <c r="CO635" i="6"/>
  <c r="CO636" i="6"/>
  <c r="CO637" i="6"/>
  <c r="CO638" i="6"/>
  <c r="CO639" i="6"/>
  <c r="CO640" i="6"/>
  <c r="CO641" i="6"/>
  <c r="CO642" i="6"/>
  <c r="CO643" i="6"/>
  <c r="CO644" i="6"/>
  <c r="CO748" i="6"/>
  <c r="CO589" i="6"/>
  <c r="CO590" i="6"/>
  <c r="CO591" i="6"/>
  <c r="CO501" i="6"/>
  <c r="CO502" i="6"/>
  <c r="CO503" i="6"/>
  <c r="CO504" i="6"/>
  <c r="CO505" i="6"/>
  <c r="CO506" i="6"/>
  <c r="CO507" i="6"/>
  <c r="CO508" i="6"/>
  <c r="CO509" i="6"/>
  <c r="CO510" i="6"/>
  <c r="CO511" i="6"/>
  <c r="CO512" i="6"/>
  <c r="CO513" i="6"/>
  <c r="CO514" i="6"/>
  <c r="CO515" i="6"/>
  <c r="CO516" i="6"/>
  <c r="CO517" i="6"/>
  <c r="CO518" i="6"/>
  <c r="CO519" i="6"/>
  <c r="CO520" i="6"/>
  <c r="CO521" i="6"/>
  <c r="CO522" i="6"/>
  <c r="CO523" i="6"/>
  <c r="CO524" i="6"/>
  <c r="CO525" i="6"/>
  <c r="CO526" i="6"/>
  <c r="CO527" i="6"/>
  <c r="CO528" i="6"/>
  <c r="CO529" i="6"/>
  <c r="CO530" i="6"/>
  <c r="CO531" i="6"/>
  <c r="CO532" i="6"/>
  <c r="CO533" i="6"/>
  <c r="CO534" i="6"/>
  <c r="CO535" i="6"/>
  <c r="CO536" i="6"/>
  <c r="CO537" i="6"/>
  <c r="CO538" i="6"/>
  <c r="CO725" i="6"/>
  <c r="CO726" i="6"/>
  <c r="CO727" i="6"/>
  <c r="CO728" i="6"/>
  <c r="CO729" i="6"/>
  <c r="CO730" i="6"/>
  <c r="CO731" i="6"/>
  <c r="CO732" i="6"/>
  <c r="CO449" i="6"/>
  <c r="CO450" i="6"/>
  <c r="CO451" i="6"/>
  <c r="CO452" i="6"/>
  <c r="CO453" i="6"/>
  <c r="CO454" i="6"/>
  <c r="CO455" i="6"/>
  <c r="CO456" i="6"/>
  <c r="CO457" i="6"/>
  <c r="CO458" i="6"/>
  <c r="CO459" i="6"/>
  <c r="CO460" i="6"/>
  <c r="CO461" i="6"/>
  <c r="CO466" i="6"/>
  <c r="CO467" i="6"/>
  <c r="CO468" i="6"/>
  <c r="CO469" i="6"/>
  <c r="CO371" i="6"/>
  <c r="CO372" i="6"/>
  <c r="CO373" i="6"/>
  <c r="CO374" i="6"/>
  <c r="CO366" i="6"/>
  <c r="CO367" i="6"/>
  <c r="CO375" i="6"/>
  <c r="CO265" i="6"/>
  <c r="CO489" i="6"/>
  <c r="CO490" i="6"/>
  <c r="CO491" i="6"/>
  <c r="CO492" i="6"/>
  <c r="CO493" i="6"/>
  <c r="CO494" i="6"/>
  <c r="CO495" i="6"/>
  <c r="CO496" i="6"/>
  <c r="CO363" i="6"/>
  <c r="CO364" i="6"/>
  <c r="CO365" i="6"/>
  <c r="CO369" i="6"/>
  <c r="CO370" i="6"/>
  <c r="CO377" i="6"/>
  <c r="CO378" i="6"/>
  <c r="CO379" i="6"/>
  <c r="CO380" i="6"/>
  <c r="CO381" i="6"/>
  <c r="CO382" i="6"/>
  <c r="CO383" i="6"/>
  <c r="CO384" i="6"/>
  <c r="CO385" i="6"/>
  <c r="CO386" i="6"/>
  <c r="CO387" i="6"/>
  <c r="CO388" i="6"/>
  <c r="CO389" i="6"/>
  <c r="CO390" i="6"/>
  <c r="CO391" i="6"/>
  <c r="CO392" i="6"/>
  <c r="CO393" i="6"/>
  <c r="CO394" i="6"/>
  <c r="CO395" i="6"/>
  <c r="CO396" i="6"/>
  <c r="CO397" i="6"/>
  <c r="CO398" i="6"/>
  <c r="CO399" i="6"/>
  <c r="CO400" i="6"/>
  <c r="CO401" i="6"/>
  <c r="CO402" i="6"/>
  <c r="CO403" i="6"/>
  <c r="CO404" i="6"/>
  <c r="CO405" i="6"/>
  <c r="CO406" i="6"/>
  <c r="CO407" i="6"/>
  <c r="CO408" i="6"/>
  <c r="CO307" i="6"/>
  <c r="CO308" i="6"/>
  <c r="CO309" i="6"/>
  <c r="CO310" i="6"/>
  <c r="CO311" i="6"/>
  <c r="CO267" i="6"/>
  <c r="CO268" i="6"/>
  <c r="CO269" i="6"/>
  <c r="CO270" i="6"/>
  <c r="CO271" i="6"/>
  <c r="CO272" i="6"/>
  <c r="CO273" i="6"/>
  <c r="CO274" i="6"/>
  <c r="CO275" i="6"/>
  <c r="CO276" i="6"/>
  <c r="CO277" i="6"/>
  <c r="CO278" i="6"/>
  <c r="CO279" i="6"/>
  <c r="CO280" i="6"/>
  <c r="CO281" i="6"/>
  <c r="CO282" i="6"/>
  <c r="CO283" i="6"/>
  <c r="CO284" i="6"/>
  <c r="CO285" i="6"/>
  <c r="CO286" i="6"/>
  <c r="CO287" i="6"/>
  <c r="CO288" i="6"/>
  <c r="CO289" i="6"/>
  <c r="CO290" i="6"/>
  <c r="CO291" i="6"/>
  <c r="CO292" i="6"/>
  <c r="CO293" i="6"/>
  <c r="CO294" i="6"/>
  <c r="CO295" i="6"/>
  <c r="CO296" i="6"/>
  <c r="CO297" i="6"/>
  <c r="CO298" i="6"/>
  <c r="CO299" i="6"/>
  <c r="CO300" i="6"/>
  <c r="CO301" i="6"/>
  <c r="CO302" i="6"/>
  <c r="CO253" i="6"/>
  <c r="CO254" i="6"/>
  <c r="CO255" i="6"/>
  <c r="CO256" i="6"/>
  <c r="CO257" i="6"/>
  <c r="CO258" i="6"/>
  <c r="CO259" i="6"/>
  <c r="CO260" i="6"/>
  <c r="CO361" i="6"/>
  <c r="CO368" i="6"/>
  <c r="CO317" i="6"/>
  <c r="CO318" i="6"/>
  <c r="CO319" i="6"/>
  <c r="CO320" i="6"/>
  <c r="CO321" i="6"/>
  <c r="CO322" i="6"/>
  <c r="CO323" i="6"/>
  <c r="CO324" i="6"/>
  <c r="CO325" i="6"/>
  <c r="CO326" i="6"/>
  <c r="CO327" i="6"/>
  <c r="CO328" i="6"/>
  <c r="CO329" i="6"/>
  <c r="CO330" i="6"/>
  <c r="CO331" i="6"/>
  <c r="CO332" i="6"/>
  <c r="CO334" i="6"/>
  <c r="CO337" i="6"/>
  <c r="CO340" i="6"/>
  <c r="CO349" i="6"/>
  <c r="CO350" i="6"/>
  <c r="CO351" i="6"/>
  <c r="CO355" i="6"/>
  <c r="CO474" i="6"/>
  <c r="CO360" i="6"/>
  <c r="CO428" i="6"/>
  <c r="CO432" i="6"/>
  <c r="CO434" i="6"/>
  <c r="CO438" i="6"/>
  <c r="CO442" i="6"/>
  <c r="CO266" i="6"/>
  <c r="CO480" i="6"/>
  <c r="CO482" i="6"/>
  <c r="CO427" i="6"/>
  <c r="CO429" i="6"/>
  <c r="CO431" i="6"/>
  <c r="CO433" i="6"/>
  <c r="CO435" i="6"/>
  <c r="CO437" i="6"/>
  <c r="CO439" i="6"/>
  <c r="CO441" i="6"/>
  <c r="CO443" i="6"/>
  <c r="CO413" i="6"/>
  <c r="CO415" i="6"/>
  <c r="CO417" i="6"/>
  <c r="CO419" i="6"/>
  <c r="CO421" i="6"/>
  <c r="CO376" i="6"/>
  <c r="CO312" i="6"/>
  <c r="CO313" i="6"/>
  <c r="CO314" i="6"/>
  <c r="CO315" i="6"/>
  <c r="CO316" i="6"/>
  <c r="CO333" i="6"/>
  <c r="CO335" i="6"/>
  <c r="CO336" i="6"/>
  <c r="CO338" i="6"/>
  <c r="CO339" i="6"/>
  <c r="CO341" i="6"/>
  <c r="CO342" i="6"/>
  <c r="CO343" i="6"/>
  <c r="CO344" i="6"/>
  <c r="CO345" i="6"/>
  <c r="CO346" i="6"/>
  <c r="CO347" i="6"/>
  <c r="CO348" i="6"/>
  <c r="CO352" i="6"/>
  <c r="CO353" i="6"/>
  <c r="CO354" i="6"/>
  <c r="CO362" i="6"/>
  <c r="CO475" i="6"/>
  <c r="CO481" i="6"/>
  <c r="CO426" i="6"/>
  <c r="CO430" i="6"/>
  <c r="CO436" i="6"/>
  <c r="CO440" i="6"/>
  <c r="CO444" i="6"/>
  <c r="CO414" i="6"/>
  <c r="CO416" i="6"/>
  <c r="CO418" i="6"/>
  <c r="CO420" i="6"/>
  <c r="CK1201" i="6"/>
  <c r="CK1202" i="6"/>
  <c r="CK1203" i="6"/>
  <c r="CK1204" i="6"/>
  <c r="CK1205" i="6"/>
  <c r="CK1206" i="6"/>
  <c r="CK1207" i="6"/>
  <c r="CK1208" i="6"/>
  <c r="CK1209" i="6"/>
  <c r="CK1200" i="6"/>
  <c r="CK921" i="6"/>
  <c r="CK922" i="6"/>
  <c r="CK923" i="6"/>
  <c r="CK924" i="6"/>
  <c r="CK925" i="6"/>
  <c r="CK926" i="6"/>
  <c r="CK927" i="6"/>
  <c r="CK928" i="6"/>
  <c r="CK929" i="6"/>
  <c r="CK930" i="6"/>
  <c r="CK931" i="6"/>
  <c r="CK932" i="6"/>
  <c r="CK933" i="6"/>
  <c r="CK938" i="6"/>
  <c r="CK939" i="6"/>
  <c r="CK940" i="6"/>
  <c r="CK941" i="6"/>
  <c r="CK946" i="6"/>
  <c r="CK947" i="6"/>
  <c r="CK952" i="6"/>
  <c r="CK953" i="6"/>
  <c r="CK954" i="6"/>
  <c r="CK898" i="6"/>
  <c r="CK899" i="6"/>
  <c r="CK900" i="6"/>
  <c r="CK901" i="6"/>
  <c r="CK902" i="6"/>
  <c r="CK903" i="6"/>
  <c r="CK904" i="6"/>
  <c r="CK905" i="6"/>
  <c r="CK906" i="6"/>
  <c r="CK907" i="6"/>
  <c r="CK908" i="6"/>
  <c r="CK909" i="6"/>
  <c r="CK911" i="6"/>
  <c r="CK912" i="6"/>
  <c r="CK913" i="6"/>
  <c r="CK914" i="6"/>
  <c r="CK915" i="6"/>
  <c r="CK916" i="6"/>
  <c r="CK885" i="6"/>
  <c r="CK886" i="6"/>
  <c r="CK887" i="6"/>
  <c r="CK888" i="6"/>
  <c r="CK889" i="6"/>
  <c r="CK890" i="6"/>
  <c r="CK891" i="6"/>
  <c r="CK892" i="6"/>
  <c r="CK893" i="6"/>
  <c r="CK832" i="6"/>
  <c r="CK833" i="6"/>
  <c r="CK834" i="6"/>
  <c r="CK842" i="6"/>
  <c r="CK843" i="6"/>
  <c r="CK844" i="6"/>
  <c r="CK845" i="6"/>
  <c r="CK846" i="6"/>
  <c r="CK847" i="6"/>
  <c r="CK848" i="6"/>
  <c r="CK849" i="6"/>
  <c r="CK850" i="6"/>
  <c r="CK851" i="6"/>
  <c r="CK852" i="6"/>
  <c r="CK853" i="6"/>
  <c r="CK854" i="6"/>
  <c r="CK855" i="6"/>
  <c r="CK856" i="6"/>
  <c r="CK857" i="6"/>
  <c r="CK858" i="6"/>
  <c r="CK859" i="6"/>
  <c r="CK860" i="6"/>
  <c r="CK835" i="6"/>
  <c r="CK836" i="6"/>
  <c r="CK837" i="6"/>
  <c r="CK838" i="6"/>
  <c r="CK839" i="6"/>
  <c r="CK840" i="6"/>
  <c r="CK841" i="6"/>
  <c r="CK861" i="6"/>
  <c r="CK862" i="6"/>
  <c r="CK863" i="6"/>
  <c r="CK864" i="6"/>
  <c r="CK865" i="6"/>
  <c r="CK866" i="6"/>
  <c r="CK867" i="6"/>
  <c r="CK868" i="6"/>
  <c r="CK869" i="6"/>
  <c r="CK870" i="6"/>
  <c r="CK871" i="6"/>
  <c r="CK872" i="6"/>
  <c r="CK873" i="6"/>
  <c r="CK874" i="6"/>
  <c r="CK875" i="6"/>
  <c r="CK876" i="6"/>
  <c r="CK877" i="6"/>
  <c r="CK878" i="6"/>
  <c r="CK879" i="6"/>
  <c r="CK880" i="6"/>
  <c r="CK779" i="6"/>
  <c r="CK780" i="6"/>
  <c r="CK781" i="6"/>
  <c r="CK782" i="6"/>
  <c r="CK783" i="6"/>
  <c r="CK784" i="6"/>
  <c r="CK785" i="6"/>
  <c r="CK786" i="6"/>
  <c r="CK787" i="6"/>
  <c r="CK788" i="6"/>
  <c r="CK789" i="6"/>
  <c r="CK790" i="6"/>
  <c r="CK791" i="6"/>
  <c r="CK792" i="6"/>
  <c r="CK793" i="6"/>
  <c r="CK795" i="6"/>
  <c r="CK797" i="6"/>
  <c r="CK794" i="6"/>
  <c r="CK796" i="6"/>
  <c r="CK798" i="6"/>
  <c r="CK799" i="6"/>
  <c r="CK800" i="6"/>
  <c r="CK801" i="6"/>
  <c r="CK802" i="6"/>
  <c r="CK803" i="6"/>
  <c r="CK804" i="6"/>
  <c r="CK805" i="6"/>
  <c r="CK806" i="6"/>
  <c r="CK807" i="6"/>
  <c r="CK808" i="6"/>
  <c r="CK809" i="6"/>
  <c r="CK810" i="6"/>
  <c r="CK811" i="6"/>
  <c r="CK812" i="6"/>
  <c r="CK813" i="6"/>
  <c r="CK814" i="6"/>
  <c r="CK815" i="6"/>
  <c r="CK816" i="6"/>
  <c r="CK817" i="6"/>
  <c r="CK818" i="6"/>
  <c r="CK819" i="6"/>
  <c r="CK820" i="6"/>
  <c r="CK821" i="6"/>
  <c r="CK822" i="6"/>
  <c r="CK823" i="6"/>
  <c r="CK824" i="6"/>
  <c r="CK825" i="6"/>
  <c r="CK826" i="6"/>
  <c r="CK827" i="6"/>
  <c r="CK737" i="6"/>
  <c r="CK738" i="6"/>
  <c r="CK739" i="6"/>
  <c r="CK740" i="6"/>
  <c r="CK741" i="6"/>
  <c r="CK742" i="6"/>
  <c r="CK743" i="6"/>
  <c r="CK744" i="6"/>
  <c r="CK745" i="6"/>
  <c r="CK746" i="6"/>
  <c r="CK747" i="6"/>
  <c r="CK750" i="6"/>
  <c r="CK751" i="6"/>
  <c r="CK752" i="6"/>
  <c r="CK753" i="6"/>
  <c r="CK754" i="6"/>
  <c r="CK755" i="6"/>
  <c r="CK756" i="6"/>
  <c r="CK757" i="6"/>
  <c r="CK758" i="6"/>
  <c r="CK759" i="6"/>
  <c r="CK760" i="6"/>
  <c r="CK761" i="6"/>
  <c r="CK762" i="6"/>
  <c r="CK763" i="6"/>
  <c r="CK764" i="6"/>
  <c r="CK765" i="6"/>
  <c r="CK766" i="6"/>
  <c r="CK767" i="6"/>
  <c r="CK768" i="6"/>
  <c r="CK769" i="6"/>
  <c r="CK770" i="6"/>
  <c r="CK771" i="6"/>
  <c r="CK772" i="6"/>
  <c r="CK773" i="6"/>
  <c r="CK774" i="6"/>
  <c r="CK685" i="6"/>
  <c r="CK686" i="6"/>
  <c r="CK687" i="6"/>
  <c r="CK688" i="6"/>
  <c r="CK689" i="6"/>
  <c r="CK690" i="6"/>
  <c r="CK691" i="6"/>
  <c r="CK692" i="6"/>
  <c r="CK693" i="6"/>
  <c r="CK694" i="6"/>
  <c r="CK695" i="6"/>
  <c r="CK696" i="6"/>
  <c r="CK697" i="6"/>
  <c r="CK702" i="6"/>
  <c r="CK703" i="6"/>
  <c r="CK704" i="6"/>
  <c r="CK705" i="6"/>
  <c r="CK710" i="6"/>
  <c r="CK711" i="6"/>
  <c r="CK716" i="6"/>
  <c r="CK717" i="6"/>
  <c r="CK718" i="6"/>
  <c r="CK662" i="6"/>
  <c r="CK663" i="6"/>
  <c r="CK664" i="6"/>
  <c r="CK665" i="6"/>
  <c r="CK666" i="6"/>
  <c r="CK667" i="6"/>
  <c r="CK668" i="6"/>
  <c r="CK669" i="6"/>
  <c r="CK670" i="6"/>
  <c r="CK671" i="6"/>
  <c r="CK672" i="6"/>
  <c r="CK673" i="6"/>
  <c r="CK674" i="6"/>
  <c r="CK675" i="6"/>
  <c r="CK676" i="6"/>
  <c r="CK677" i="6"/>
  <c r="CK678" i="6"/>
  <c r="CK679" i="6"/>
  <c r="CK680" i="6"/>
  <c r="CK596" i="6"/>
  <c r="CK597" i="6"/>
  <c r="CK598" i="6"/>
  <c r="CK599" i="6"/>
  <c r="CK600" i="6"/>
  <c r="CK601" i="6"/>
  <c r="CK602" i="6"/>
  <c r="CK603" i="6"/>
  <c r="CK604" i="6"/>
  <c r="CK605" i="6"/>
  <c r="CK606" i="6"/>
  <c r="CK607" i="6"/>
  <c r="CK608" i="6"/>
  <c r="CK609" i="6"/>
  <c r="CK610" i="6"/>
  <c r="CK910" i="6"/>
  <c r="CK748" i="6"/>
  <c r="CK749" i="6"/>
  <c r="CK649" i="6"/>
  <c r="CK650" i="6"/>
  <c r="CK651" i="6"/>
  <c r="CK652" i="6"/>
  <c r="CK653" i="6"/>
  <c r="CK725" i="6"/>
  <c r="CK726" i="6"/>
  <c r="CK727" i="6"/>
  <c r="CK728" i="6"/>
  <c r="CK729" i="6"/>
  <c r="CK730" i="6"/>
  <c r="CK731" i="6"/>
  <c r="CK732" i="6"/>
  <c r="CK543" i="6"/>
  <c r="CK544" i="6"/>
  <c r="CK545" i="6"/>
  <c r="CK546" i="6"/>
  <c r="CK547" i="6"/>
  <c r="CK548" i="6"/>
  <c r="CK549" i="6"/>
  <c r="CK550" i="6"/>
  <c r="CK551" i="6"/>
  <c r="CK552" i="6"/>
  <c r="CK553" i="6"/>
  <c r="CK554" i="6"/>
  <c r="CK555" i="6"/>
  <c r="CK556" i="6"/>
  <c r="CK557" i="6"/>
  <c r="CK558" i="6"/>
  <c r="CK559" i="6"/>
  <c r="CK560" i="6"/>
  <c r="CK561" i="6"/>
  <c r="CK562" i="6"/>
  <c r="CK563" i="6"/>
  <c r="CK564" i="6"/>
  <c r="CK565" i="6"/>
  <c r="CK566" i="6"/>
  <c r="CK567" i="6"/>
  <c r="CK568" i="6"/>
  <c r="CK569" i="6"/>
  <c r="CK570" i="6"/>
  <c r="CK571" i="6"/>
  <c r="CK572" i="6"/>
  <c r="CK573" i="6"/>
  <c r="CK574" i="6"/>
  <c r="CK575" i="6"/>
  <c r="CK576" i="6"/>
  <c r="CK577" i="6"/>
  <c r="CK578" i="6"/>
  <c r="CK579" i="6"/>
  <c r="CK580" i="6"/>
  <c r="CK581" i="6"/>
  <c r="CK582" i="6"/>
  <c r="CK583" i="6"/>
  <c r="CK584" i="6"/>
  <c r="CK585" i="6"/>
  <c r="CK586" i="6"/>
  <c r="CK587" i="6"/>
  <c r="CK588" i="6"/>
  <c r="CK654" i="6"/>
  <c r="CK655" i="6"/>
  <c r="CK656" i="6"/>
  <c r="CK657" i="6"/>
  <c r="CK611" i="6"/>
  <c r="CK612" i="6"/>
  <c r="CK613" i="6"/>
  <c r="CK614" i="6"/>
  <c r="CK615" i="6"/>
  <c r="CK616" i="6"/>
  <c r="CK617" i="6"/>
  <c r="CK618" i="6"/>
  <c r="CK619" i="6"/>
  <c r="CK620" i="6"/>
  <c r="CK621" i="6"/>
  <c r="CK622" i="6"/>
  <c r="CK623" i="6"/>
  <c r="CK624" i="6"/>
  <c r="CK625" i="6"/>
  <c r="CK626" i="6"/>
  <c r="CK627" i="6"/>
  <c r="CK628" i="6"/>
  <c r="CK629" i="6"/>
  <c r="CK630" i="6"/>
  <c r="CK631" i="6"/>
  <c r="CK632" i="6"/>
  <c r="CK633" i="6"/>
  <c r="CK634" i="6"/>
  <c r="CK635" i="6"/>
  <c r="CK636" i="6"/>
  <c r="CK637" i="6"/>
  <c r="CK638" i="6"/>
  <c r="CK639" i="6"/>
  <c r="CK640" i="6"/>
  <c r="CK641" i="6"/>
  <c r="CK642" i="6"/>
  <c r="CK643" i="6"/>
  <c r="CK644" i="6"/>
  <c r="CK589" i="6"/>
  <c r="CK590" i="6"/>
  <c r="CK591" i="6"/>
  <c r="CK501" i="6"/>
  <c r="CK502" i="6"/>
  <c r="CK503" i="6"/>
  <c r="CK504" i="6"/>
  <c r="CK505" i="6"/>
  <c r="CK506" i="6"/>
  <c r="CK507" i="6"/>
  <c r="CK508" i="6"/>
  <c r="CK509" i="6"/>
  <c r="CK510" i="6"/>
  <c r="CK511" i="6"/>
  <c r="CK512" i="6"/>
  <c r="CK513" i="6"/>
  <c r="CK514" i="6"/>
  <c r="CK515" i="6"/>
  <c r="CK516" i="6"/>
  <c r="CK517" i="6"/>
  <c r="CK518" i="6"/>
  <c r="CK519" i="6"/>
  <c r="CK520" i="6"/>
  <c r="CK521" i="6"/>
  <c r="CK522" i="6"/>
  <c r="CK523" i="6"/>
  <c r="CK524" i="6"/>
  <c r="CK525" i="6"/>
  <c r="CK526" i="6"/>
  <c r="CK527" i="6"/>
  <c r="CK528" i="6"/>
  <c r="CK529" i="6"/>
  <c r="CK530" i="6"/>
  <c r="CK531" i="6"/>
  <c r="CK532" i="6"/>
  <c r="CK533" i="6"/>
  <c r="CK534" i="6"/>
  <c r="CK535" i="6"/>
  <c r="CK536" i="6"/>
  <c r="CK537" i="6"/>
  <c r="CK538" i="6"/>
  <c r="CK449" i="6"/>
  <c r="CK450" i="6"/>
  <c r="CK451" i="6"/>
  <c r="CK452" i="6"/>
  <c r="CK453" i="6"/>
  <c r="CK454" i="6"/>
  <c r="CK455" i="6"/>
  <c r="CK456" i="6"/>
  <c r="CK457" i="6"/>
  <c r="CK458" i="6"/>
  <c r="CK459" i="6"/>
  <c r="CK460" i="6"/>
  <c r="CK461" i="6"/>
  <c r="CK466" i="6"/>
  <c r="CK467" i="6"/>
  <c r="CK468" i="6"/>
  <c r="CK469" i="6"/>
  <c r="CK371" i="6"/>
  <c r="CK372" i="6"/>
  <c r="CK373" i="6"/>
  <c r="CK374" i="6"/>
  <c r="CK474" i="6"/>
  <c r="CK360" i="6"/>
  <c r="CK361" i="6"/>
  <c r="CK362" i="6"/>
  <c r="CK368" i="6"/>
  <c r="CK265" i="6"/>
  <c r="CK366" i="6"/>
  <c r="CK367" i="6"/>
  <c r="CK375" i="6"/>
  <c r="CK267" i="6"/>
  <c r="CK268" i="6"/>
  <c r="CK269" i="6"/>
  <c r="CK270" i="6"/>
  <c r="CK271" i="6"/>
  <c r="CK272" i="6"/>
  <c r="CK273" i="6"/>
  <c r="CK274" i="6"/>
  <c r="CK275" i="6"/>
  <c r="CK276" i="6"/>
  <c r="CK277" i="6"/>
  <c r="CK278" i="6"/>
  <c r="CK279" i="6"/>
  <c r="CK280" i="6"/>
  <c r="CK281" i="6"/>
  <c r="CK282" i="6"/>
  <c r="CK283" i="6"/>
  <c r="CK284" i="6"/>
  <c r="CK285" i="6"/>
  <c r="CK286" i="6"/>
  <c r="CK287" i="6"/>
  <c r="CK288" i="6"/>
  <c r="CK289" i="6"/>
  <c r="CK290" i="6"/>
  <c r="CK291" i="6"/>
  <c r="CK292" i="6"/>
  <c r="CK293" i="6"/>
  <c r="CK294" i="6"/>
  <c r="CK295" i="6"/>
  <c r="CK296" i="6"/>
  <c r="CK297" i="6"/>
  <c r="CK298" i="6"/>
  <c r="CK299" i="6"/>
  <c r="CK300" i="6"/>
  <c r="CK301" i="6"/>
  <c r="CK302" i="6"/>
  <c r="CK253" i="6"/>
  <c r="CK254" i="6"/>
  <c r="CK255" i="6"/>
  <c r="CK256" i="6"/>
  <c r="CK257" i="6"/>
  <c r="CK258" i="6"/>
  <c r="CK259" i="6"/>
  <c r="CK260" i="6"/>
  <c r="CK489" i="6"/>
  <c r="CK490" i="6"/>
  <c r="CK491" i="6"/>
  <c r="CK492" i="6"/>
  <c r="CK493" i="6"/>
  <c r="CK494" i="6"/>
  <c r="CK495" i="6"/>
  <c r="CK496" i="6"/>
  <c r="CK480" i="6"/>
  <c r="CK482" i="6"/>
  <c r="CK427" i="6"/>
  <c r="CK429" i="6"/>
  <c r="CK431" i="6"/>
  <c r="CK433" i="6"/>
  <c r="CK435" i="6"/>
  <c r="CK437" i="6"/>
  <c r="CK439" i="6"/>
  <c r="CK441" i="6"/>
  <c r="CK443" i="6"/>
  <c r="CK413" i="6"/>
  <c r="CK415" i="6"/>
  <c r="CK417" i="6"/>
  <c r="CK419" i="6"/>
  <c r="CK421" i="6"/>
  <c r="CK376" i="6"/>
  <c r="CK266" i="6"/>
  <c r="CK481" i="6"/>
  <c r="CK432" i="6"/>
  <c r="CK434" i="6"/>
  <c r="CK442" i="6"/>
  <c r="CK444" i="6"/>
  <c r="CK416" i="6"/>
  <c r="CK418" i="6"/>
  <c r="CK420" i="6"/>
  <c r="CK364" i="6"/>
  <c r="CK369" i="6"/>
  <c r="CK384" i="6"/>
  <c r="CK386" i="6"/>
  <c r="CK394" i="6"/>
  <c r="CK396" i="6"/>
  <c r="CK406" i="6"/>
  <c r="CK408" i="6"/>
  <c r="CK308" i="6"/>
  <c r="CK310" i="6"/>
  <c r="CK313" i="6"/>
  <c r="CK314" i="6"/>
  <c r="CK315" i="6"/>
  <c r="CK319" i="6"/>
  <c r="CK321" i="6"/>
  <c r="CK324" i="6"/>
  <c r="CK326" i="6"/>
  <c r="CK328" i="6"/>
  <c r="CK330" i="6"/>
  <c r="CK332" i="6"/>
  <c r="CK334" i="6"/>
  <c r="CK336" i="6"/>
  <c r="CK339" i="6"/>
  <c r="CK341" i="6"/>
  <c r="CK343" i="6"/>
  <c r="CK345" i="6"/>
  <c r="CK347" i="6"/>
  <c r="CK349" i="6"/>
  <c r="CK351" i="6"/>
  <c r="CK353" i="6"/>
  <c r="CK355" i="6"/>
  <c r="CK363" i="6"/>
  <c r="CK365" i="6"/>
  <c r="CK370" i="6"/>
  <c r="CK377" i="6"/>
  <c r="CK379" i="6"/>
  <c r="CK381" i="6"/>
  <c r="CK383" i="6"/>
  <c r="CK385" i="6"/>
  <c r="CK387" i="6"/>
  <c r="CK389" i="6"/>
  <c r="CK391" i="6"/>
  <c r="CK393" i="6"/>
  <c r="CK395" i="6"/>
  <c r="CK397" i="6"/>
  <c r="CK399" i="6"/>
  <c r="CK401" i="6"/>
  <c r="CK403" i="6"/>
  <c r="CK405" i="6"/>
  <c r="CK407" i="6"/>
  <c r="CK307" i="6"/>
  <c r="CK309" i="6"/>
  <c r="CK311" i="6"/>
  <c r="CK475" i="6"/>
  <c r="CK426" i="6"/>
  <c r="CK428" i="6"/>
  <c r="CK430" i="6"/>
  <c r="CK436" i="6"/>
  <c r="CK438" i="6"/>
  <c r="CK440" i="6"/>
  <c r="CK414" i="6"/>
  <c r="CK378" i="6"/>
  <c r="CK380" i="6"/>
  <c r="CK382" i="6"/>
  <c r="CK388" i="6"/>
  <c r="CK390" i="6"/>
  <c r="CK392" i="6"/>
  <c r="CK398" i="6"/>
  <c r="CK400" i="6"/>
  <c r="CK402" i="6"/>
  <c r="CK404" i="6"/>
  <c r="CK312" i="6"/>
  <c r="CK316" i="6"/>
  <c r="CK317" i="6"/>
  <c r="CK318" i="6"/>
  <c r="CK320" i="6"/>
  <c r="CK322" i="6"/>
  <c r="CK323" i="6"/>
  <c r="CK325" i="6"/>
  <c r="CK327" i="6"/>
  <c r="CK329" i="6"/>
  <c r="CK331" i="6"/>
  <c r="CK333" i="6"/>
  <c r="CK335" i="6"/>
  <c r="CK337" i="6"/>
  <c r="CK338" i="6"/>
  <c r="CK340" i="6"/>
  <c r="CK342" i="6"/>
  <c r="CK344" i="6"/>
  <c r="CK346" i="6"/>
  <c r="CK348" i="6"/>
  <c r="CK350" i="6"/>
  <c r="CK352" i="6"/>
  <c r="CK354" i="6"/>
  <c r="CG1201" i="6"/>
  <c r="CG1202" i="6"/>
  <c r="CG1203" i="6"/>
  <c r="CG1204" i="6"/>
  <c r="CG1205" i="6"/>
  <c r="CG1206" i="6"/>
  <c r="CG1208" i="6"/>
  <c r="CG1207" i="6"/>
  <c r="CG1200" i="6"/>
  <c r="CG925" i="6"/>
  <c r="CG926" i="6"/>
  <c r="CG927" i="6"/>
  <c r="CG928" i="6"/>
  <c r="CG929" i="6"/>
  <c r="CG930" i="6"/>
  <c r="CG931" i="6"/>
  <c r="CG932" i="6"/>
  <c r="CG933" i="6"/>
  <c r="CG938" i="6"/>
  <c r="CG939" i="6"/>
  <c r="CG940" i="6"/>
  <c r="CG941" i="6"/>
  <c r="CG921" i="6"/>
  <c r="CG1209" i="6"/>
  <c r="CG923" i="6"/>
  <c r="CG922" i="6"/>
  <c r="CG946" i="6"/>
  <c r="CG947" i="6"/>
  <c r="CG952" i="6"/>
  <c r="CG953" i="6"/>
  <c r="CG954" i="6"/>
  <c r="CG898" i="6"/>
  <c r="CG899" i="6"/>
  <c r="CG900" i="6"/>
  <c r="CG901" i="6"/>
  <c r="CG902" i="6"/>
  <c r="CG924" i="6"/>
  <c r="CG903" i="6"/>
  <c r="CG904" i="6"/>
  <c r="CG905" i="6"/>
  <c r="CG906" i="6"/>
  <c r="CG907" i="6"/>
  <c r="CG908" i="6"/>
  <c r="CG909" i="6"/>
  <c r="CG910" i="6"/>
  <c r="CG916" i="6"/>
  <c r="CG885" i="6"/>
  <c r="CG886" i="6"/>
  <c r="CG887" i="6"/>
  <c r="CG888" i="6"/>
  <c r="CG889" i="6"/>
  <c r="CG890" i="6"/>
  <c r="CG891" i="6"/>
  <c r="CG892" i="6"/>
  <c r="CG893" i="6"/>
  <c r="CG832" i="6"/>
  <c r="CG833" i="6"/>
  <c r="CG834" i="6"/>
  <c r="CG911" i="6"/>
  <c r="CG912" i="6"/>
  <c r="CG913" i="6"/>
  <c r="CG914" i="6"/>
  <c r="CG915" i="6"/>
  <c r="CG842" i="6"/>
  <c r="CG843" i="6"/>
  <c r="CG844" i="6"/>
  <c r="CG845" i="6"/>
  <c r="CG846" i="6"/>
  <c r="CG847" i="6"/>
  <c r="CG848" i="6"/>
  <c r="CG849" i="6"/>
  <c r="CG850" i="6"/>
  <c r="CG851" i="6"/>
  <c r="CG852" i="6"/>
  <c r="CG853" i="6"/>
  <c r="CG854" i="6"/>
  <c r="CG855" i="6"/>
  <c r="CG856" i="6"/>
  <c r="CG857" i="6"/>
  <c r="CG858" i="6"/>
  <c r="CG859" i="6"/>
  <c r="CG860" i="6"/>
  <c r="CG835" i="6"/>
  <c r="CG836" i="6"/>
  <c r="CG837" i="6"/>
  <c r="CG838" i="6"/>
  <c r="CG839" i="6"/>
  <c r="CG840" i="6"/>
  <c r="CG841" i="6"/>
  <c r="CG861" i="6"/>
  <c r="CG862" i="6"/>
  <c r="CG863" i="6"/>
  <c r="CG864" i="6"/>
  <c r="CG865" i="6"/>
  <c r="CG866" i="6"/>
  <c r="CG867" i="6"/>
  <c r="CG868" i="6"/>
  <c r="CG869" i="6"/>
  <c r="CG870" i="6"/>
  <c r="CG871" i="6"/>
  <c r="CG872" i="6"/>
  <c r="CG873" i="6"/>
  <c r="CG874" i="6"/>
  <c r="CG875" i="6"/>
  <c r="CG876" i="6"/>
  <c r="CG877" i="6"/>
  <c r="CG878" i="6"/>
  <c r="CG879" i="6"/>
  <c r="CG880" i="6"/>
  <c r="CG779" i="6"/>
  <c r="CG780" i="6"/>
  <c r="CG781" i="6"/>
  <c r="CG782" i="6"/>
  <c r="CG783" i="6"/>
  <c r="CG784" i="6"/>
  <c r="CG785" i="6"/>
  <c r="CG786" i="6"/>
  <c r="CG787" i="6"/>
  <c r="CG788" i="6"/>
  <c r="CG789" i="6"/>
  <c r="CG790" i="6"/>
  <c r="CG791" i="6"/>
  <c r="CG792" i="6"/>
  <c r="CG793" i="6"/>
  <c r="CG794" i="6"/>
  <c r="CG796" i="6"/>
  <c r="CG798" i="6"/>
  <c r="CG801" i="6"/>
  <c r="CG802" i="6"/>
  <c r="CG803" i="6"/>
  <c r="CG804" i="6"/>
  <c r="CG805" i="6"/>
  <c r="CG806" i="6"/>
  <c r="CG807" i="6"/>
  <c r="CG808" i="6"/>
  <c r="CG809" i="6"/>
  <c r="CG810" i="6"/>
  <c r="CG811" i="6"/>
  <c r="CG812" i="6"/>
  <c r="CG813" i="6"/>
  <c r="CG814" i="6"/>
  <c r="CG815" i="6"/>
  <c r="CG816" i="6"/>
  <c r="CG817" i="6"/>
  <c r="CG818" i="6"/>
  <c r="CG819" i="6"/>
  <c r="CG820" i="6"/>
  <c r="CG821" i="6"/>
  <c r="CG822" i="6"/>
  <c r="CG823" i="6"/>
  <c r="CG824" i="6"/>
  <c r="CG825" i="6"/>
  <c r="CG826" i="6"/>
  <c r="CG827" i="6"/>
  <c r="CG737" i="6"/>
  <c r="CG738" i="6"/>
  <c r="CG739" i="6"/>
  <c r="CG740" i="6"/>
  <c r="CG741" i="6"/>
  <c r="CG742" i="6"/>
  <c r="CG743" i="6"/>
  <c r="CG744" i="6"/>
  <c r="CG745" i="6"/>
  <c r="CG746" i="6"/>
  <c r="CG747" i="6"/>
  <c r="CG795" i="6"/>
  <c r="CG752" i="6"/>
  <c r="CG753" i="6"/>
  <c r="CG754" i="6"/>
  <c r="CG755" i="6"/>
  <c r="CG756" i="6"/>
  <c r="CG757" i="6"/>
  <c r="CG758" i="6"/>
  <c r="CG759" i="6"/>
  <c r="CG760" i="6"/>
  <c r="CG761" i="6"/>
  <c r="CG762" i="6"/>
  <c r="CG763" i="6"/>
  <c r="CG764" i="6"/>
  <c r="CG765" i="6"/>
  <c r="CG766" i="6"/>
  <c r="CG767" i="6"/>
  <c r="CG768" i="6"/>
  <c r="CG769" i="6"/>
  <c r="CG770" i="6"/>
  <c r="CG771" i="6"/>
  <c r="CG772" i="6"/>
  <c r="CG773" i="6"/>
  <c r="CG774" i="6"/>
  <c r="CG685" i="6"/>
  <c r="CG686" i="6"/>
  <c r="CG687" i="6"/>
  <c r="CG688" i="6"/>
  <c r="CG689" i="6"/>
  <c r="CG690" i="6"/>
  <c r="CG691" i="6"/>
  <c r="CG692" i="6"/>
  <c r="CG693" i="6"/>
  <c r="CG694" i="6"/>
  <c r="CG695" i="6"/>
  <c r="CG696" i="6"/>
  <c r="CG697" i="6"/>
  <c r="CG702" i="6"/>
  <c r="CG703" i="6"/>
  <c r="CG704" i="6"/>
  <c r="CG705" i="6"/>
  <c r="CG710" i="6"/>
  <c r="CG711" i="6"/>
  <c r="CG716" i="6"/>
  <c r="CG717" i="6"/>
  <c r="CG718" i="6"/>
  <c r="CG662" i="6"/>
  <c r="CG663" i="6"/>
  <c r="CG664" i="6"/>
  <c r="CG665" i="6"/>
  <c r="CG666" i="6"/>
  <c r="CG667" i="6"/>
  <c r="CG668" i="6"/>
  <c r="CG669" i="6"/>
  <c r="CG670" i="6"/>
  <c r="CG671" i="6"/>
  <c r="CG672" i="6"/>
  <c r="CG673" i="6"/>
  <c r="CG674" i="6"/>
  <c r="CG675" i="6"/>
  <c r="CG676" i="6"/>
  <c r="CG677" i="6"/>
  <c r="CG678" i="6"/>
  <c r="CG679" i="6"/>
  <c r="CG680" i="6"/>
  <c r="CG596" i="6"/>
  <c r="CG597" i="6"/>
  <c r="CG598" i="6"/>
  <c r="CG599" i="6"/>
  <c r="CG600" i="6"/>
  <c r="CG601" i="6"/>
  <c r="CG602" i="6"/>
  <c r="CG603" i="6"/>
  <c r="CG604" i="6"/>
  <c r="CG605" i="6"/>
  <c r="CG606" i="6"/>
  <c r="CG607" i="6"/>
  <c r="CG608" i="6"/>
  <c r="CG609" i="6"/>
  <c r="CG610" i="6"/>
  <c r="CG611" i="6"/>
  <c r="CG797" i="6"/>
  <c r="CG799" i="6"/>
  <c r="CG750" i="6"/>
  <c r="CG751" i="6"/>
  <c r="CG649" i="6"/>
  <c r="CG650" i="6"/>
  <c r="CG651" i="6"/>
  <c r="CG652" i="6"/>
  <c r="CG653" i="6"/>
  <c r="CG800" i="6"/>
  <c r="CG749" i="6"/>
  <c r="CG543" i="6"/>
  <c r="CG544" i="6"/>
  <c r="CG545" i="6"/>
  <c r="CG546" i="6"/>
  <c r="CG547" i="6"/>
  <c r="CG548" i="6"/>
  <c r="CG549" i="6"/>
  <c r="CG550" i="6"/>
  <c r="CG551" i="6"/>
  <c r="CG552" i="6"/>
  <c r="CG553" i="6"/>
  <c r="CG554" i="6"/>
  <c r="CG555" i="6"/>
  <c r="CG556" i="6"/>
  <c r="CG557" i="6"/>
  <c r="CG558" i="6"/>
  <c r="CG559" i="6"/>
  <c r="CG560" i="6"/>
  <c r="CG561" i="6"/>
  <c r="CG562" i="6"/>
  <c r="CG563" i="6"/>
  <c r="CG564" i="6"/>
  <c r="CG565" i="6"/>
  <c r="CG566" i="6"/>
  <c r="CG567" i="6"/>
  <c r="CG568" i="6"/>
  <c r="CG569" i="6"/>
  <c r="CG570" i="6"/>
  <c r="CG571" i="6"/>
  <c r="CG572" i="6"/>
  <c r="CG573" i="6"/>
  <c r="CG574" i="6"/>
  <c r="CG575" i="6"/>
  <c r="CG576" i="6"/>
  <c r="CG577" i="6"/>
  <c r="CG578" i="6"/>
  <c r="CG579" i="6"/>
  <c r="CG580" i="6"/>
  <c r="CG581" i="6"/>
  <c r="CG582" i="6"/>
  <c r="CG583" i="6"/>
  <c r="CG584" i="6"/>
  <c r="CG585" i="6"/>
  <c r="CG586" i="6"/>
  <c r="CG587" i="6"/>
  <c r="CG588" i="6"/>
  <c r="CG612" i="6"/>
  <c r="CG613" i="6"/>
  <c r="CG614" i="6"/>
  <c r="CG615" i="6"/>
  <c r="CG616" i="6"/>
  <c r="CG617" i="6"/>
  <c r="CG618" i="6"/>
  <c r="CG619" i="6"/>
  <c r="CG620" i="6"/>
  <c r="CG621" i="6"/>
  <c r="CG622" i="6"/>
  <c r="CG623" i="6"/>
  <c r="CG624" i="6"/>
  <c r="CG625" i="6"/>
  <c r="CG626" i="6"/>
  <c r="CG627" i="6"/>
  <c r="CG628" i="6"/>
  <c r="CG629" i="6"/>
  <c r="CG630" i="6"/>
  <c r="CG631" i="6"/>
  <c r="CG632" i="6"/>
  <c r="CG633" i="6"/>
  <c r="CG634" i="6"/>
  <c r="CG635" i="6"/>
  <c r="CG636" i="6"/>
  <c r="CG637" i="6"/>
  <c r="CG638" i="6"/>
  <c r="CG639" i="6"/>
  <c r="CG640" i="6"/>
  <c r="CG641" i="6"/>
  <c r="CG642" i="6"/>
  <c r="CG643" i="6"/>
  <c r="CG644" i="6"/>
  <c r="CG589" i="6"/>
  <c r="CG590" i="6"/>
  <c r="CG591" i="6"/>
  <c r="CG501" i="6"/>
  <c r="CG502" i="6"/>
  <c r="CG503" i="6"/>
  <c r="CG504" i="6"/>
  <c r="CG505" i="6"/>
  <c r="CG506" i="6"/>
  <c r="CG507" i="6"/>
  <c r="CG508" i="6"/>
  <c r="CG509" i="6"/>
  <c r="CG510" i="6"/>
  <c r="CG511" i="6"/>
  <c r="CG512" i="6"/>
  <c r="CG513" i="6"/>
  <c r="CG514" i="6"/>
  <c r="CG515" i="6"/>
  <c r="CG516" i="6"/>
  <c r="CG517" i="6"/>
  <c r="CG518" i="6"/>
  <c r="CG519" i="6"/>
  <c r="CG520" i="6"/>
  <c r="CG521" i="6"/>
  <c r="CG522" i="6"/>
  <c r="CG523" i="6"/>
  <c r="CG524" i="6"/>
  <c r="CG525" i="6"/>
  <c r="CG526" i="6"/>
  <c r="CG527" i="6"/>
  <c r="CG528" i="6"/>
  <c r="CG529" i="6"/>
  <c r="CG530" i="6"/>
  <c r="CG531" i="6"/>
  <c r="CG532" i="6"/>
  <c r="CG533" i="6"/>
  <c r="CG534" i="6"/>
  <c r="CG535" i="6"/>
  <c r="CG536" i="6"/>
  <c r="CG537" i="6"/>
  <c r="CG538" i="6"/>
  <c r="CG654" i="6"/>
  <c r="CG656" i="6"/>
  <c r="CG449" i="6"/>
  <c r="CG450" i="6"/>
  <c r="CG451" i="6"/>
  <c r="CG452" i="6"/>
  <c r="CG453" i="6"/>
  <c r="CG454" i="6"/>
  <c r="CG455" i="6"/>
  <c r="CG456" i="6"/>
  <c r="CG457" i="6"/>
  <c r="CG458" i="6"/>
  <c r="CG459" i="6"/>
  <c r="CG460" i="6"/>
  <c r="CG461" i="6"/>
  <c r="CG466" i="6"/>
  <c r="CG467" i="6"/>
  <c r="CG468" i="6"/>
  <c r="CG469" i="6"/>
  <c r="CG371" i="6"/>
  <c r="CG372" i="6"/>
  <c r="CG373" i="6"/>
  <c r="CG374" i="6"/>
  <c r="CG725" i="6"/>
  <c r="CG727" i="6"/>
  <c r="CG729" i="6"/>
  <c r="CG731" i="6"/>
  <c r="CG475" i="6"/>
  <c r="CG480" i="6"/>
  <c r="CG481" i="6"/>
  <c r="CG482" i="6"/>
  <c r="CG426" i="6"/>
  <c r="CG427" i="6"/>
  <c r="CG428" i="6"/>
  <c r="CG429" i="6"/>
  <c r="CG430" i="6"/>
  <c r="CG431" i="6"/>
  <c r="CG432" i="6"/>
  <c r="CG433" i="6"/>
  <c r="CG434" i="6"/>
  <c r="CG435" i="6"/>
  <c r="CG436" i="6"/>
  <c r="CG437" i="6"/>
  <c r="CG438" i="6"/>
  <c r="CG439" i="6"/>
  <c r="CG440" i="6"/>
  <c r="CG441" i="6"/>
  <c r="CG442" i="6"/>
  <c r="CG443" i="6"/>
  <c r="CG444" i="6"/>
  <c r="CG413" i="6"/>
  <c r="CG414" i="6"/>
  <c r="CG415" i="6"/>
  <c r="CG416" i="6"/>
  <c r="CG417" i="6"/>
  <c r="CG418" i="6"/>
  <c r="CG419" i="6"/>
  <c r="CG420" i="6"/>
  <c r="CG421" i="6"/>
  <c r="CG376" i="6"/>
  <c r="CG265" i="6"/>
  <c r="CG655" i="6"/>
  <c r="CG489" i="6"/>
  <c r="CG490" i="6"/>
  <c r="CG491" i="6"/>
  <c r="CG492" i="6"/>
  <c r="CG493" i="6"/>
  <c r="CG494" i="6"/>
  <c r="CG495" i="6"/>
  <c r="CG496" i="6"/>
  <c r="CG474" i="6"/>
  <c r="CG360" i="6"/>
  <c r="CG361" i="6"/>
  <c r="CG362" i="6"/>
  <c r="CG368" i="6"/>
  <c r="CG267" i="6"/>
  <c r="CG268" i="6"/>
  <c r="CG269" i="6"/>
  <c r="CG270" i="6"/>
  <c r="CG271" i="6"/>
  <c r="CG272" i="6"/>
  <c r="CG273" i="6"/>
  <c r="CG274" i="6"/>
  <c r="CG275" i="6"/>
  <c r="CG276" i="6"/>
  <c r="CG277" i="6"/>
  <c r="CG278" i="6"/>
  <c r="CG279" i="6"/>
  <c r="CG280" i="6"/>
  <c r="CG281" i="6"/>
  <c r="CG282" i="6"/>
  <c r="CG283" i="6"/>
  <c r="CG284" i="6"/>
  <c r="CG285" i="6"/>
  <c r="CG286" i="6"/>
  <c r="CG287" i="6"/>
  <c r="CG288" i="6"/>
  <c r="CG289" i="6"/>
  <c r="CG290" i="6"/>
  <c r="CG291" i="6"/>
  <c r="CG292" i="6"/>
  <c r="CG293" i="6"/>
  <c r="CG294" i="6"/>
  <c r="CG295" i="6"/>
  <c r="CG296" i="6"/>
  <c r="CG297" i="6"/>
  <c r="CG298" i="6"/>
  <c r="CG299" i="6"/>
  <c r="CG300" i="6"/>
  <c r="CG301" i="6"/>
  <c r="CG302" i="6"/>
  <c r="CG253" i="6"/>
  <c r="CG254" i="6"/>
  <c r="CG255" i="6"/>
  <c r="CG256" i="6"/>
  <c r="CG257" i="6"/>
  <c r="CG258" i="6"/>
  <c r="CG259" i="6"/>
  <c r="CG260" i="6"/>
  <c r="CG748" i="6"/>
  <c r="CG726" i="6"/>
  <c r="CG728" i="6"/>
  <c r="CG730" i="6"/>
  <c r="CG732" i="6"/>
  <c r="CG363" i="6"/>
  <c r="CG365" i="6"/>
  <c r="CG370" i="6"/>
  <c r="CG377" i="6"/>
  <c r="CG379" i="6"/>
  <c r="CG381" i="6"/>
  <c r="CG383" i="6"/>
  <c r="CG385" i="6"/>
  <c r="CG387" i="6"/>
  <c r="CG389" i="6"/>
  <c r="CG391" i="6"/>
  <c r="CG393" i="6"/>
  <c r="CG395" i="6"/>
  <c r="CG397" i="6"/>
  <c r="CG399" i="6"/>
  <c r="CG401" i="6"/>
  <c r="CG403" i="6"/>
  <c r="CG405" i="6"/>
  <c r="CG407" i="6"/>
  <c r="CG307" i="6"/>
  <c r="CG309" i="6"/>
  <c r="CG311" i="6"/>
  <c r="CG316" i="6"/>
  <c r="CG333" i="6"/>
  <c r="CG337" i="6"/>
  <c r="CG338" i="6"/>
  <c r="CG339" i="6"/>
  <c r="CG353" i="6"/>
  <c r="CG354" i="6"/>
  <c r="CG355" i="6"/>
  <c r="CG378" i="6"/>
  <c r="CG380" i="6"/>
  <c r="CG384" i="6"/>
  <c r="CG390" i="6"/>
  <c r="CG392" i="6"/>
  <c r="CG367" i="6"/>
  <c r="CG366" i="6"/>
  <c r="CG375" i="6"/>
  <c r="CG312" i="6"/>
  <c r="CG313" i="6"/>
  <c r="CG314" i="6"/>
  <c r="CG315" i="6"/>
  <c r="CG317" i="6"/>
  <c r="CG318" i="6"/>
  <c r="CG319" i="6"/>
  <c r="CG320" i="6"/>
  <c r="CG321" i="6"/>
  <c r="CG322" i="6"/>
  <c r="CG323" i="6"/>
  <c r="CG324" i="6"/>
  <c r="CG325" i="6"/>
  <c r="CG326" i="6"/>
  <c r="CG327" i="6"/>
  <c r="CG328" i="6"/>
  <c r="CG329" i="6"/>
  <c r="CG330" i="6"/>
  <c r="CG331" i="6"/>
  <c r="CG332" i="6"/>
  <c r="CG334" i="6"/>
  <c r="CG335" i="6"/>
  <c r="CG336" i="6"/>
  <c r="CG340" i="6"/>
  <c r="CG341" i="6"/>
  <c r="CG342" i="6"/>
  <c r="CG343" i="6"/>
  <c r="CG344" i="6"/>
  <c r="CG345" i="6"/>
  <c r="CG346" i="6"/>
  <c r="CG347" i="6"/>
  <c r="CG348" i="6"/>
  <c r="CG349" i="6"/>
  <c r="CG350" i="6"/>
  <c r="CG351" i="6"/>
  <c r="CG352" i="6"/>
  <c r="CG364" i="6"/>
  <c r="CG369" i="6"/>
  <c r="CG382" i="6"/>
  <c r="CG386" i="6"/>
  <c r="CG388" i="6"/>
  <c r="CG394" i="6"/>
  <c r="CG396" i="6"/>
  <c r="CG398" i="6"/>
  <c r="CG400" i="6"/>
  <c r="CG402" i="6"/>
  <c r="CG404" i="6"/>
  <c r="CG406" i="6"/>
  <c r="CG408" i="6"/>
  <c r="CG308" i="6"/>
  <c r="CG310" i="6"/>
  <c r="CG657" i="6"/>
  <c r="CG266" i="6"/>
  <c r="CC1201" i="6"/>
  <c r="CC1202" i="6"/>
  <c r="CC1203" i="6"/>
  <c r="CC1204" i="6"/>
  <c r="CC1205" i="6"/>
  <c r="CC1206" i="6"/>
  <c r="CC1207" i="6"/>
  <c r="CC1208" i="6"/>
  <c r="CC1209" i="6"/>
  <c r="CC1200" i="6"/>
  <c r="CC921" i="6"/>
  <c r="CC925" i="6"/>
  <c r="CC926" i="6"/>
  <c r="CC927" i="6"/>
  <c r="CC928" i="6"/>
  <c r="CC929" i="6"/>
  <c r="CC930" i="6"/>
  <c r="CC931" i="6"/>
  <c r="CC932" i="6"/>
  <c r="CC933" i="6"/>
  <c r="CC938" i="6"/>
  <c r="CC939" i="6"/>
  <c r="CC940" i="6"/>
  <c r="CC941" i="6"/>
  <c r="CC922" i="6"/>
  <c r="CC923" i="6"/>
  <c r="CC924" i="6"/>
  <c r="CC946" i="6"/>
  <c r="CC947" i="6"/>
  <c r="CC952" i="6"/>
  <c r="CC953" i="6"/>
  <c r="CC954" i="6"/>
  <c r="CC898" i="6"/>
  <c r="CC899" i="6"/>
  <c r="CC900" i="6"/>
  <c r="CC901" i="6"/>
  <c r="CC902" i="6"/>
  <c r="CC903" i="6"/>
  <c r="CC904" i="6"/>
  <c r="CC905" i="6"/>
  <c r="CC906" i="6"/>
  <c r="CC907" i="6"/>
  <c r="CC908" i="6"/>
  <c r="CC909" i="6"/>
  <c r="CC910" i="6"/>
  <c r="CC916" i="6"/>
  <c r="CC885" i="6"/>
  <c r="CC886" i="6"/>
  <c r="CC887" i="6"/>
  <c r="CC888" i="6"/>
  <c r="CC889" i="6"/>
  <c r="CC890" i="6"/>
  <c r="CC891" i="6"/>
  <c r="CC892" i="6"/>
  <c r="CC893" i="6"/>
  <c r="CC832" i="6"/>
  <c r="CC833" i="6"/>
  <c r="CC834" i="6"/>
  <c r="CC911" i="6"/>
  <c r="CC912" i="6"/>
  <c r="CC913" i="6"/>
  <c r="CC914" i="6"/>
  <c r="CC915" i="6"/>
  <c r="CC842" i="6"/>
  <c r="CC843" i="6"/>
  <c r="CC844" i="6"/>
  <c r="CC845" i="6"/>
  <c r="CC846" i="6"/>
  <c r="CC847" i="6"/>
  <c r="CC848" i="6"/>
  <c r="CC849" i="6"/>
  <c r="CC850" i="6"/>
  <c r="CC851" i="6"/>
  <c r="CC852" i="6"/>
  <c r="CC853" i="6"/>
  <c r="CC854" i="6"/>
  <c r="CC855" i="6"/>
  <c r="CC856" i="6"/>
  <c r="CC857" i="6"/>
  <c r="CC858" i="6"/>
  <c r="CC859" i="6"/>
  <c r="CC860" i="6"/>
  <c r="CC861" i="6"/>
  <c r="CC836" i="6"/>
  <c r="CC838" i="6"/>
  <c r="CC840" i="6"/>
  <c r="CC794" i="6"/>
  <c r="CC795" i="6"/>
  <c r="CC796" i="6"/>
  <c r="CC797" i="6"/>
  <c r="CC798" i="6"/>
  <c r="CC839" i="6"/>
  <c r="CC799" i="6"/>
  <c r="CC800" i="6"/>
  <c r="CC835" i="6"/>
  <c r="CC837" i="6"/>
  <c r="CC841" i="6"/>
  <c r="CC862" i="6"/>
  <c r="CC863" i="6"/>
  <c r="CC864" i="6"/>
  <c r="CC865" i="6"/>
  <c r="CC866" i="6"/>
  <c r="CC867" i="6"/>
  <c r="CC868" i="6"/>
  <c r="CC869" i="6"/>
  <c r="CC870" i="6"/>
  <c r="CC871" i="6"/>
  <c r="CC872" i="6"/>
  <c r="CC873" i="6"/>
  <c r="CC874" i="6"/>
  <c r="CC875" i="6"/>
  <c r="CC876" i="6"/>
  <c r="CC877" i="6"/>
  <c r="CC878" i="6"/>
  <c r="CC879" i="6"/>
  <c r="CC880" i="6"/>
  <c r="CC779" i="6"/>
  <c r="CC780" i="6"/>
  <c r="CC781" i="6"/>
  <c r="CC782" i="6"/>
  <c r="CC783" i="6"/>
  <c r="CC784" i="6"/>
  <c r="CC785" i="6"/>
  <c r="CC786" i="6"/>
  <c r="CC787" i="6"/>
  <c r="CC788" i="6"/>
  <c r="CC789" i="6"/>
  <c r="CC790" i="6"/>
  <c r="CC791" i="6"/>
  <c r="CC792" i="6"/>
  <c r="CC793" i="6"/>
  <c r="CC801" i="6"/>
  <c r="CC802" i="6"/>
  <c r="CC803" i="6"/>
  <c r="CC804" i="6"/>
  <c r="CC805" i="6"/>
  <c r="CC806" i="6"/>
  <c r="CC807" i="6"/>
  <c r="CC808" i="6"/>
  <c r="CC809" i="6"/>
  <c r="CC810" i="6"/>
  <c r="CC811" i="6"/>
  <c r="CC812" i="6"/>
  <c r="CC813" i="6"/>
  <c r="CC814" i="6"/>
  <c r="CC815" i="6"/>
  <c r="CC816" i="6"/>
  <c r="CC817" i="6"/>
  <c r="CC818" i="6"/>
  <c r="CC819" i="6"/>
  <c r="CC820" i="6"/>
  <c r="CC821" i="6"/>
  <c r="CC822" i="6"/>
  <c r="CC823" i="6"/>
  <c r="CC824" i="6"/>
  <c r="CC825" i="6"/>
  <c r="CC826" i="6"/>
  <c r="CC827" i="6"/>
  <c r="CC737" i="6"/>
  <c r="CC738" i="6"/>
  <c r="CC739" i="6"/>
  <c r="CC740" i="6"/>
  <c r="CC741" i="6"/>
  <c r="CC742" i="6"/>
  <c r="CC743" i="6"/>
  <c r="CC744" i="6"/>
  <c r="CC745" i="6"/>
  <c r="CC746" i="6"/>
  <c r="CC747" i="6"/>
  <c r="CC752" i="6"/>
  <c r="CC753" i="6"/>
  <c r="CC754" i="6"/>
  <c r="CC755" i="6"/>
  <c r="CC756" i="6"/>
  <c r="CC757" i="6"/>
  <c r="CC758" i="6"/>
  <c r="CC759" i="6"/>
  <c r="CC760" i="6"/>
  <c r="CC761" i="6"/>
  <c r="CC762" i="6"/>
  <c r="CC763" i="6"/>
  <c r="CC764" i="6"/>
  <c r="CC765" i="6"/>
  <c r="CC766" i="6"/>
  <c r="CC767" i="6"/>
  <c r="CC768" i="6"/>
  <c r="CC769" i="6"/>
  <c r="CC770" i="6"/>
  <c r="CC771" i="6"/>
  <c r="CC772" i="6"/>
  <c r="CC773" i="6"/>
  <c r="CC774" i="6"/>
  <c r="CC685" i="6"/>
  <c r="CC686" i="6"/>
  <c r="CC687" i="6"/>
  <c r="CC688" i="6"/>
  <c r="CC689" i="6"/>
  <c r="CC690" i="6"/>
  <c r="CC691" i="6"/>
  <c r="CC692" i="6"/>
  <c r="CC693" i="6"/>
  <c r="CC694" i="6"/>
  <c r="CC695" i="6"/>
  <c r="CC696" i="6"/>
  <c r="CC697" i="6"/>
  <c r="CC702" i="6"/>
  <c r="CC703" i="6"/>
  <c r="CC704" i="6"/>
  <c r="CC705" i="6"/>
  <c r="CC710" i="6"/>
  <c r="CC711" i="6"/>
  <c r="CC716" i="6"/>
  <c r="CC717" i="6"/>
  <c r="CC718" i="6"/>
  <c r="CC662" i="6"/>
  <c r="CC663" i="6"/>
  <c r="CC664" i="6"/>
  <c r="CC665" i="6"/>
  <c r="CC666" i="6"/>
  <c r="CC667" i="6"/>
  <c r="CC668" i="6"/>
  <c r="CC669" i="6"/>
  <c r="CC670" i="6"/>
  <c r="CC671" i="6"/>
  <c r="CC672" i="6"/>
  <c r="CC673" i="6"/>
  <c r="CC674" i="6"/>
  <c r="CC675" i="6"/>
  <c r="CC676" i="6"/>
  <c r="CC677" i="6"/>
  <c r="CC678" i="6"/>
  <c r="CC679" i="6"/>
  <c r="CC680" i="6"/>
  <c r="CC596" i="6"/>
  <c r="CC597" i="6"/>
  <c r="CC598" i="6"/>
  <c r="CC599" i="6"/>
  <c r="CC600" i="6"/>
  <c r="CC601" i="6"/>
  <c r="CC602" i="6"/>
  <c r="CC603" i="6"/>
  <c r="CC604" i="6"/>
  <c r="CC605" i="6"/>
  <c r="CC606" i="6"/>
  <c r="CC607" i="6"/>
  <c r="CC608" i="6"/>
  <c r="CC609" i="6"/>
  <c r="CC610" i="6"/>
  <c r="CC611" i="6"/>
  <c r="CC748" i="6"/>
  <c r="CC749" i="6"/>
  <c r="CC649" i="6"/>
  <c r="CC650" i="6"/>
  <c r="CC651" i="6"/>
  <c r="CC652" i="6"/>
  <c r="CC653" i="6"/>
  <c r="CC750" i="6"/>
  <c r="CC751" i="6"/>
  <c r="CC725" i="6"/>
  <c r="CC726" i="6"/>
  <c r="CC727" i="6"/>
  <c r="CC728" i="6"/>
  <c r="CC729" i="6"/>
  <c r="CC730" i="6"/>
  <c r="CC731" i="6"/>
  <c r="CC732" i="6"/>
  <c r="CC543" i="6"/>
  <c r="CC544" i="6"/>
  <c r="CC545" i="6"/>
  <c r="CC546" i="6"/>
  <c r="CC547" i="6"/>
  <c r="CC548" i="6"/>
  <c r="CC549" i="6"/>
  <c r="CC550" i="6"/>
  <c r="CC551" i="6"/>
  <c r="CC552" i="6"/>
  <c r="CC553" i="6"/>
  <c r="CC554" i="6"/>
  <c r="CC555" i="6"/>
  <c r="CC556" i="6"/>
  <c r="CC557" i="6"/>
  <c r="CC558" i="6"/>
  <c r="CC559" i="6"/>
  <c r="CC560" i="6"/>
  <c r="CC561" i="6"/>
  <c r="CC562" i="6"/>
  <c r="CC563" i="6"/>
  <c r="CC564" i="6"/>
  <c r="CC565" i="6"/>
  <c r="CC566" i="6"/>
  <c r="CC567" i="6"/>
  <c r="CC568" i="6"/>
  <c r="CC569" i="6"/>
  <c r="CC570" i="6"/>
  <c r="CC571" i="6"/>
  <c r="CC572" i="6"/>
  <c r="CC573" i="6"/>
  <c r="CC574" i="6"/>
  <c r="CC575" i="6"/>
  <c r="CC576" i="6"/>
  <c r="CC577" i="6"/>
  <c r="CC578" i="6"/>
  <c r="CC579" i="6"/>
  <c r="CC580" i="6"/>
  <c r="CC581" i="6"/>
  <c r="CC582" i="6"/>
  <c r="CC583" i="6"/>
  <c r="CC584" i="6"/>
  <c r="CC585" i="6"/>
  <c r="CC586" i="6"/>
  <c r="CC587" i="6"/>
  <c r="CC588" i="6"/>
  <c r="CC612" i="6"/>
  <c r="CC613" i="6"/>
  <c r="CC614" i="6"/>
  <c r="CC615" i="6"/>
  <c r="CC616" i="6"/>
  <c r="CC617" i="6"/>
  <c r="CC618" i="6"/>
  <c r="CC619" i="6"/>
  <c r="CC620" i="6"/>
  <c r="CC621" i="6"/>
  <c r="CC622" i="6"/>
  <c r="CC623" i="6"/>
  <c r="CC624" i="6"/>
  <c r="CC625" i="6"/>
  <c r="CC626" i="6"/>
  <c r="CC627" i="6"/>
  <c r="CC628" i="6"/>
  <c r="CC629" i="6"/>
  <c r="CC630" i="6"/>
  <c r="CC631" i="6"/>
  <c r="CC632" i="6"/>
  <c r="CC633" i="6"/>
  <c r="CC634" i="6"/>
  <c r="CC635" i="6"/>
  <c r="CC636" i="6"/>
  <c r="CC637" i="6"/>
  <c r="CC638" i="6"/>
  <c r="CC639" i="6"/>
  <c r="CC640" i="6"/>
  <c r="CC641" i="6"/>
  <c r="CC642" i="6"/>
  <c r="CC643" i="6"/>
  <c r="CC644" i="6"/>
  <c r="CC654" i="6"/>
  <c r="CC656" i="6"/>
  <c r="CC589" i="6"/>
  <c r="CC590" i="6"/>
  <c r="CC591" i="6"/>
  <c r="CC501" i="6"/>
  <c r="CC502" i="6"/>
  <c r="CC503" i="6"/>
  <c r="CC504" i="6"/>
  <c r="CC505" i="6"/>
  <c r="CC506" i="6"/>
  <c r="CC507" i="6"/>
  <c r="CC508" i="6"/>
  <c r="CC509" i="6"/>
  <c r="CC510" i="6"/>
  <c r="CC511" i="6"/>
  <c r="CC512" i="6"/>
  <c r="CC513" i="6"/>
  <c r="CC514" i="6"/>
  <c r="CC515" i="6"/>
  <c r="CC516" i="6"/>
  <c r="CC517" i="6"/>
  <c r="CC518" i="6"/>
  <c r="CC519" i="6"/>
  <c r="CC520" i="6"/>
  <c r="CC521" i="6"/>
  <c r="CC522" i="6"/>
  <c r="CC523" i="6"/>
  <c r="CC524" i="6"/>
  <c r="CC525" i="6"/>
  <c r="CC526" i="6"/>
  <c r="CC527" i="6"/>
  <c r="CC528" i="6"/>
  <c r="CC529" i="6"/>
  <c r="CC530" i="6"/>
  <c r="CC531" i="6"/>
  <c r="CC532" i="6"/>
  <c r="CC533" i="6"/>
  <c r="CC534" i="6"/>
  <c r="CC535" i="6"/>
  <c r="CC536" i="6"/>
  <c r="CC537" i="6"/>
  <c r="CC538" i="6"/>
  <c r="CC449" i="6"/>
  <c r="CC450" i="6"/>
  <c r="CC451" i="6"/>
  <c r="CC452" i="6"/>
  <c r="CC453" i="6"/>
  <c r="CC454" i="6"/>
  <c r="CC455" i="6"/>
  <c r="CC456" i="6"/>
  <c r="CC457" i="6"/>
  <c r="CC458" i="6"/>
  <c r="CC459" i="6"/>
  <c r="CC460" i="6"/>
  <c r="CC461" i="6"/>
  <c r="CC466" i="6"/>
  <c r="CC467" i="6"/>
  <c r="CC468" i="6"/>
  <c r="CC469" i="6"/>
  <c r="CC371" i="6"/>
  <c r="CC372" i="6"/>
  <c r="CC373" i="6"/>
  <c r="CC374" i="6"/>
  <c r="CC655" i="6"/>
  <c r="CC363" i="6"/>
  <c r="CC364" i="6"/>
  <c r="CC365" i="6"/>
  <c r="CC369" i="6"/>
  <c r="CC370" i="6"/>
  <c r="CC377" i="6"/>
  <c r="CC378" i="6"/>
  <c r="CC379" i="6"/>
  <c r="CC380" i="6"/>
  <c r="CC381" i="6"/>
  <c r="CC382" i="6"/>
  <c r="CC383" i="6"/>
  <c r="CC384" i="6"/>
  <c r="CC385" i="6"/>
  <c r="CC386" i="6"/>
  <c r="CC387" i="6"/>
  <c r="CC388" i="6"/>
  <c r="CC389" i="6"/>
  <c r="CC390" i="6"/>
  <c r="CC391" i="6"/>
  <c r="CC392" i="6"/>
  <c r="CC393" i="6"/>
  <c r="CC394" i="6"/>
  <c r="CC395" i="6"/>
  <c r="CC396" i="6"/>
  <c r="CC397" i="6"/>
  <c r="CC398" i="6"/>
  <c r="CC399" i="6"/>
  <c r="CC400" i="6"/>
  <c r="CC401" i="6"/>
  <c r="CC402" i="6"/>
  <c r="CC403" i="6"/>
  <c r="CC404" i="6"/>
  <c r="CC405" i="6"/>
  <c r="CC406" i="6"/>
  <c r="CC407" i="6"/>
  <c r="CC408" i="6"/>
  <c r="CC307" i="6"/>
  <c r="CC308" i="6"/>
  <c r="CC309" i="6"/>
  <c r="CC310" i="6"/>
  <c r="CC311" i="6"/>
  <c r="CC265" i="6"/>
  <c r="CC475" i="6"/>
  <c r="CC480" i="6"/>
  <c r="CC481" i="6"/>
  <c r="CC482" i="6"/>
  <c r="CC426" i="6"/>
  <c r="CC427" i="6"/>
  <c r="CC428" i="6"/>
  <c r="CC429" i="6"/>
  <c r="CC430" i="6"/>
  <c r="CC431" i="6"/>
  <c r="CC432" i="6"/>
  <c r="CC433" i="6"/>
  <c r="CC434" i="6"/>
  <c r="CC435" i="6"/>
  <c r="CC436" i="6"/>
  <c r="CC437" i="6"/>
  <c r="CC438" i="6"/>
  <c r="CC439" i="6"/>
  <c r="CC440" i="6"/>
  <c r="CC441" i="6"/>
  <c r="CC442" i="6"/>
  <c r="CC443" i="6"/>
  <c r="CC444" i="6"/>
  <c r="CC413" i="6"/>
  <c r="CC414" i="6"/>
  <c r="CC415" i="6"/>
  <c r="CC416" i="6"/>
  <c r="CC417" i="6"/>
  <c r="CC418" i="6"/>
  <c r="CC419" i="6"/>
  <c r="CC420" i="6"/>
  <c r="CC421" i="6"/>
  <c r="CC376" i="6"/>
  <c r="CC267" i="6"/>
  <c r="CC268" i="6"/>
  <c r="CC269" i="6"/>
  <c r="CC270" i="6"/>
  <c r="CC271" i="6"/>
  <c r="CC272" i="6"/>
  <c r="CC273" i="6"/>
  <c r="CC274" i="6"/>
  <c r="CC275" i="6"/>
  <c r="CC276" i="6"/>
  <c r="CC277" i="6"/>
  <c r="CC278" i="6"/>
  <c r="CC279" i="6"/>
  <c r="CC280" i="6"/>
  <c r="CC281" i="6"/>
  <c r="CC282" i="6"/>
  <c r="CC283" i="6"/>
  <c r="CC284" i="6"/>
  <c r="CC285" i="6"/>
  <c r="CC286" i="6"/>
  <c r="CC287" i="6"/>
  <c r="CC288" i="6"/>
  <c r="CC289" i="6"/>
  <c r="CC290" i="6"/>
  <c r="CC291" i="6"/>
  <c r="CC292" i="6"/>
  <c r="CC293" i="6"/>
  <c r="CC294" i="6"/>
  <c r="CC295" i="6"/>
  <c r="CC296" i="6"/>
  <c r="CC297" i="6"/>
  <c r="CC298" i="6"/>
  <c r="CC299" i="6"/>
  <c r="CC300" i="6"/>
  <c r="CC301" i="6"/>
  <c r="CC302" i="6"/>
  <c r="CC253" i="6"/>
  <c r="CC254" i="6"/>
  <c r="CC255" i="6"/>
  <c r="CC256" i="6"/>
  <c r="CC257" i="6"/>
  <c r="CC258" i="6"/>
  <c r="CC259" i="6"/>
  <c r="CC260" i="6"/>
  <c r="CC657" i="6"/>
  <c r="CC366" i="6"/>
  <c r="CC375" i="6"/>
  <c r="CC266" i="6"/>
  <c r="CC489" i="6"/>
  <c r="CC492" i="6"/>
  <c r="CC495" i="6"/>
  <c r="CC312" i="6"/>
  <c r="CC313" i="6"/>
  <c r="CC316" i="6"/>
  <c r="CC317" i="6"/>
  <c r="CC323" i="6"/>
  <c r="CC325" i="6"/>
  <c r="CC327" i="6"/>
  <c r="CC329" i="6"/>
  <c r="CC331" i="6"/>
  <c r="CC333" i="6"/>
  <c r="CC338" i="6"/>
  <c r="CC342" i="6"/>
  <c r="CC344" i="6"/>
  <c r="CC346" i="6"/>
  <c r="CC348" i="6"/>
  <c r="CC350" i="6"/>
  <c r="CC352" i="6"/>
  <c r="CC354" i="6"/>
  <c r="CC474" i="6"/>
  <c r="CC360" i="6"/>
  <c r="CC362" i="6"/>
  <c r="CC490" i="6"/>
  <c r="CC491" i="6"/>
  <c r="CC493" i="6"/>
  <c r="CC494" i="6"/>
  <c r="CC496" i="6"/>
  <c r="CC367" i="6"/>
  <c r="CC361" i="6"/>
  <c r="CC368" i="6"/>
  <c r="CC314" i="6"/>
  <c r="CC315" i="6"/>
  <c r="CC318" i="6"/>
  <c r="CC319" i="6"/>
  <c r="CC320" i="6"/>
  <c r="CC321" i="6"/>
  <c r="CC322" i="6"/>
  <c r="CC324" i="6"/>
  <c r="CC326" i="6"/>
  <c r="CC328" i="6"/>
  <c r="CC330" i="6"/>
  <c r="CC332" i="6"/>
  <c r="CC334" i="6"/>
  <c r="CC335" i="6"/>
  <c r="CC336" i="6"/>
  <c r="CC337" i="6"/>
  <c r="CC339" i="6"/>
  <c r="CC340" i="6"/>
  <c r="CC341" i="6"/>
  <c r="CC343" i="6"/>
  <c r="CC345" i="6"/>
  <c r="CC347" i="6"/>
  <c r="CC349" i="6"/>
  <c r="CC351" i="6"/>
  <c r="CC353" i="6"/>
  <c r="CC355" i="6"/>
  <c r="BY1201" i="6"/>
  <c r="BY1202" i="6"/>
  <c r="BY1203" i="6"/>
  <c r="BY1204" i="6"/>
  <c r="BY1205" i="6"/>
  <c r="BY1206" i="6"/>
  <c r="BY1207" i="6"/>
  <c r="BY1208" i="6"/>
  <c r="BY1209" i="6"/>
  <c r="BY1200" i="6"/>
  <c r="BY921" i="6"/>
  <c r="BY925" i="6"/>
  <c r="BY926" i="6"/>
  <c r="BY927" i="6"/>
  <c r="BY928" i="6"/>
  <c r="BY929" i="6"/>
  <c r="BY930" i="6"/>
  <c r="BY931" i="6"/>
  <c r="BY932" i="6"/>
  <c r="BY933" i="6"/>
  <c r="BY938" i="6"/>
  <c r="BY939" i="6"/>
  <c r="BY940" i="6"/>
  <c r="BY941" i="6"/>
  <c r="BY922" i="6"/>
  <c r="BY923" i="6"/>
  <c r="BY924" i="6"/>
  <c r="BY946" i="6"/>
  <c r="BY947" i="6"/>
  <c r="BY952" i="6"/>
  <c r="BY953" i="6"/>
  <c r="BY954" i="6"/>
  <c r="BY898" i="6"/>
  <c r="BY899" i="6"/>
  <c r="BY900" i="6"/>
  <c r="BY901" i="6"/>
  <c r="BY902" i="6"/>
  <c r="BY903" i="6"/>
  <c r="BY904" i="6"/>
  <c r="BY905" i="6"/>
  <c r="BY906" i="6"/>
  <c r="BY907" i="6"/>
  <c r="BY908" i="6"/>
  <c r="BY909" i="6"/>
  <c r="BY910" i="6"/>
  <c r="BY916" i="6"/>
  <c r="BY885" i="6"/>
  <c r="BY886" i="6"/>
  <c r="BY887" i="6"/>
  <c r="BY888" i="6"/>
  <c r="BY889" i="6"/>
  <c r="BY890" i="6"/>
  <c r="BY891" i="6"/>
  <c r="BY892" i="6"/>
  <c r="BY893" i="6"/>
  <c r="BY832" i="6"/>
  <c r="BY833" i="6"/>
  <c r="BY834" i="6"/>
  <c r="BY914" i="6"/>
  <c r="BY842" i="6"/>
  <c r="BY843" i="6"/>
  <c r="BY844" i="6"/>
  <c r="BY845" i="6"/>
  <c r="BY846" i="6"/>
  <c r="BY847" i="6"/>
  <c r="BY848" i="6"/>
  <c r="BY849" i="6"/>
  <c r="BY850" i="6"/>
  <c r="BY851" i="6"/>
  <c r="BY852" i="6"/>
  <c r="BY853" i="6"/>
  <c r="BY854" i="6"/>
  <c r="BY855" i="6"/>
  <c r="BY856" i="6"/>
  <c r="BY857" i="6"/>
  <c r="BY858" i="6"/>
  <c r="BY859" i="6"/>
  <c r="BY860" i="6"/>
  <c r="BY861" i="6"/>
  <c r="BY911" i="6"/>
  <c r="BY915" i="6"/>
  <c r="BY835" i="6"/>
  <c r="BY836" i="6"/>
  <c r="BY837" i="6"/>
  <c r="BY838" i="6"/>
  <c r="BY839" i="6"/>
  <c r="BY840" i="6"/>
  <c r="BY841" i="6"/>
  <c r="BY912" i="6"/>
  <c r="BY913" i="6"/>
  <c r="BY862" i="6"/>
  <c r="BY863" i="6"/>
  <c r="BY864" i="6"/>
  <c r="BY865" i="6"/>
  <c r="BY866" i="6"/>
  <c r="BY867" i="6"/>
  <c r="BY868" i="6"/>
  <c r="BY869" i="6"/>
  <c r="BY870" i="6"/>
  <c r="BY871" i="6"/>
  <c r="BY872" i="6"/>
  <c r="BY873" i="6"/>
  <c r="BY874" i="6"/>
  <c r="BY875" i="6"/>
  <c r="BY876" i="6"/>
  <c r="BY877" i="6"/>
  <c r="BY878" i="6"/>
  <c r="BY879" i="6"/>
  <c r="BY880" i="6"/>
  <c r="BY779" i="6"/>
  <c r="BY780" i="6"/>
  <c r="BY781" i="6"/>
  <c r="BY782" i="6"/>
  <c r="BY783" i="6"/>
  <c r="BY784" i="6"/>
  <c r="BY785" i="6"/>
  <c r="BY786" i="6"/>
  <c r="BY787" i="6"/>
  <c r="BY788" i="6"/>
  <c r="BY789" i="6"/>
  <c r="BY790" i="6"/>
  <c r="BY791" i="6"/>
  <c r="BY792" i="6"/>
  <c r="BY793" i="6"/>
  <c r="BY794" i="6"/>
  <c r="BY795" i="6"/>
  <c r="BY796" i="6"/>
  <c r="BY797" i="6"/>
  <c r="BY798" i="6"/>
  <c r="BY799" i="6"/>
  <c r="BY800" i="6"/>
  <c r="BY801" i="6"/>
  <c r="BY802" i="6"/>
  <c r="BY803" i="6"/>
  <c r="BY804" i="6"/>
  <c r="BY805" i="6"/>
  <c r="BY806" i="6"/>
  <c r="BY807" i="6"/>
  <c r="BY808" i="6"/>
  <c r="BY809" i="6"/>
  <c r="BY810" i="6"/>
  <c r="BY811" i="6"/>
  <c r="BY812" i="6"/>
  <c r="BY813" i="6"/>
  <c r="BY814" i="6"/>
  <c r="BY815" i="6"/>
  <c r="BY816" i="6"/>
  <c r="BY817" i="6"/>
  <c r="BY818" i="6"/>
  <c r="BY819" i="6"/>
  <c r="BY820" i="6"/>
  <c r="BY821" i="6"/>
  <c r="BY822" i="6"/>
  <c r="BY823" i="6"/>
  <c r="BY824" i="6"/>
  <c r="BY825" i="6"/>
  <c r="BY826" i="6"/>
  <c r="BY827" i="6"/>
  <c r="BY737" i="6"/>
  <c r="BY738" i="6"/>
  <c r="BY739" i="6"/>
  <c r="BY740" i="6"/>
  <c r="BY741" i="6"/>
  <c r="BY742" i="6"/>
  <c r="BY743" i="6"/>
  <c r="BY744" i="6"/>
  <c r="BY745" i="6"/>
  <c r="BY746" i="6"/>
  <c r="BY747" i="6"/>
  <c r="BY752" i="6"/>
  <c r="BY753" i="6"/>
  <c r="BY754" i="6"/>
  <c r="BY755" i="6"/>
  <c r="BY756" i="6"/>
  <c r="BY757" i="6"/>
  <c r="BY758" i="6"/>
  <c r="BY759" i="6"/>
  <c r="BY760" i="6"/>
  <c r="BY761" i="6"/>
  <c r="BY762" i="6"/>
  <c r="BY763" i="6"/>
  <c r="BY764" i="6"/>
  <c r="BY765" i="6"/>
  <c r="BY766" i="6"/>
  <c r="BY767" i="6"/>
  <c r="BY768" i="6"/>
  <c r="BY769" i="6"/>
  <c r="BY770" i="6"/>
  <c r="BY771" i="6"/>
  <c r="BY772" i="6"/>
  <c r="BY773" i="6"/>
  <c r="BY774" i="6"/>
  <c r="BY685" i="6"/>
  <c r="BY686" i="6"/>
  <c r="BY687" i="6"/>
  <c r="BY688" i="6"/>
  <c r="BY689" i="6"/>
  <c r="BY690" i="6"/>
  <c r="BY691" i="6"/>
  <c r="BY692" i="6"/>
  <c r="BY693" i="6"/>
  <c r="BY694" i="6"/>
  <c r="BY695" i="6"/>
  <c r="BY696" i="6"/>
  <c r="BY697" i="6"/>
  <c r="BY702" i="6"/>
  <c r="BY703" i="6"/>
  <c r="BY704" i="6"/>
  <c r="BY705" i="6"/>
  <c r="BY710" i="6"/>
  <c r="BY711" i="6"/>
  <c r="BY716" i="6"/>
  <c r="BY717" i="6"/>
  <c r="BY718" i="6"/>
  <c r="BY662" i="6"/>
  <c r="BY663" i="6"/>
  <c r="BY664" i="6"/>
  <c r="BY665" i="6"/>
  <c r="BY666" i="6"/>
  <c r="BY667" i="6"/>
  <c r="BY668" i="6"/>
  <c r="BY669" i="6"/>
  <c r="BY670" i="6"/>
  <c r="BY671" i="6"/>
  <c r="BY672" i="6"/>
  <c r="BY673" i="6"/>
  <c r="BY674" i="6"/>
  <c r="BY675" i="6"/>
  <c r="BY676" i="6"/>
  <c r="BY677" i="6"/>
  <c r="BY678" i="6"/>
  <c r="BY679" i="6"/>
  <c r="BY680" i="6"/>
  <c r="BY596" i="6"/>
  <c r="BY597" i="6"/>
  <c r="BY598" i="6"/>
  <c r="BY599" i="6"/>
  <c r="BY600" i="6"/>
  <c r="BY601" i="6"/>
  <c r="BY602" i="6"/>
  <c r="BY603" i="6"/>
  <c r="BY604" i="6"/>
  <c r="BY605" i="6"/>
  <c r="BY606" i="6"/>
  <c r="BY607" i="6"/>
  <c r="BY608" i="6"/>
  <c r="BY609" i="6"/>
  <c r="BY610" i="6"/>
  <c r="BY611" i="6"/>
  <c r="BY649" i="6"/>
  <c r="BY650" i="6"/>
  <c r="BY651" i="6"/>
  <c r="BY652" i="6"/>
  <c r="BY653" i="6"/>
  <c r="BY654" i="6"/>
  <c r="BY655" i="6"/>
  <c r="BY656" i="6"/>
  <c r="BY657" i="6"/>
  <c r="BY543" i="6"/>
  <c r="BY544" i="6"/>
  <c r="BY545" i="6"/>
  <c r="BY546" i="6"/>
  <c r="BY547" i="6"/>
  <c r="BY548" i="6"/>
  <c r="BY549" i="6"/>
  <c r="BY550" i="6"/>
  <c r="BY551" i="6"/>
  <c r="BY552" i="6"/>
  <c r="BY553" i="6"/>
  <c r="BY554" i="6"/>
  <c r="BY555" i="6"/>
  <c r="BY556" i="6"/>
  <c r="BY557" i="6"/>
  <c r="BY558" i="6"/>
  <c r="BY559" i="6"/>
  <c r="BY560" i="6"/>
  <c r="BY561" i="6"/>
  <c r="BY562" i="6"/>
  <c r="BY563" i="6"/>
  <c r="BY564" i="6"/>
  <c r="BY565" i="6"/>
  <c r="BY566" i="6"/>
  <c r="BY567" i="6"/>
  <c r="BY568" i="6"/>
  <c r="BY569" i="6"/>
  <c r="BY570" i="6"/>
  <c r="BY571" i="6"/>
  <c r="BY572" i="6"/>
  <c r="BY573" i="6"/>
  <c r="BY574" i="6"/>
  <c r="BY575" i="6"/>
  <c r="BY576" i="6"/>
  <c r="BY577" i="6"/>
  <c r="BY578" i="6"/>
  <c r="BY579" i="6"/>
  <c r="BY580" i="6"/>
  <c r="BY581" i="6"/>
  <c r="BY582" i="6"/>
  <c r="BY583" i="6"/>
  <c r="BY584" i="6"/>
  <c r="BY585" i="6"/>
  <c r="BY586" i="6"/>
  <c r="BY587" i="6"/>
  <c r="BY588" i="6"/>
  <c r="BY748" i="6"/>
  <c r="BY750" i="6"/>
  <c r="BY612" i="6"/>
  <c r="BY613" i="6"/>
  <c r="BY614" i="6"/>
  <c r="BY615" i="6"/>
  <c r="BY616" i="6"/>
  <c r="BY617" i="6"/>
  <c r="BY618" i="6"/>
  <c r="BY619" i="6"/>
  <c r="BY620" i="6"/>
  <c r="BY621" i="6"/>
  <c r="BY622" i="6"/>
  <c r="BY623" i="6"/>
  <c r="BY624" i="6"/>
  <c r="BY625" i="6"/>
  <c r="BY626" i="6"/>
  <c r="BY627" i="6"/>
  <c r="BY628" i="6"/>
  <c r="BY629" i="6"/>
  <c r="BY630" i="6"/>
  <c r="BY631" i="6"/>
  <c r="BY632" i="6"/>
  <c r="BY633" i="6"/>
  <c r="BY634" i="6"/>
  <c r="BY635" i="6"/>
  <c r="BY636" i="6"/>
  <c r="BY637" i="6"/>
  <c r="BY638" i="6"/>
  <c r="BY639" i="6"/>
  <c r="BY640" i="6"/>
  <c r="BY641" i="6"/>
  <c r="BY642" i="6"/>
  <c r="BY643" i="6"/>
  <c r="BY644" i="6"/>
  <c r="BY589" i="6"/>
  <c r="BY590" i="6"/>
  <c r="BY591" i="6"/>
  <c r="BY501" i="6"/>
  <c r="BY502" i="6"/>
  <c r="BY503" i="6"/>
  <c r="BY504" i="6"/>
  <c r="BY505" i="6"/>
  <c r="BY506" i="6"/>
  <c r="BY507" i="6"/>
  <c r="BY508" i="6"/>
  <c r="BY509" i="6"/>
  <c r="BY510" i="6"/>
  <c r="BY511" i="6"/>
  <c r="BY512" i="6"/>
  <c r="BY513" i="6"/>
  <c r="BY514" i="6"/>
  <c r="BY515" i="6"/>
  <c r="BY516" i="6"/>
  <c r="BY517" i="6"/>
  <c r="BY518" i="6"/>
  <c r="BY519" i="6"/>
  <c r="BY520" i="6"/>
  <c r="BY521" i="6"/>
  <c r="BY522" i="6"/>
  <c r="BY523" i="6"/>
  <c r="BY524" i="6"/>
  <c r="BY525" i="6"/>
  <c r="BY526" i="6"/>
  <c r="BY527" i="6"/>
  <c r="BY528" i="6"/>
  <c r="BY529" i="6"/>
  <c r="BY530" i="6"/>
  <c r="BY531" i="6"/>
  <c r="BY532" i="6"/>
  <c r="BY533" i="6"/>
  <c r="BY534" i="6"/>
  <c r="BY535" i="6"/>
  <c r="BY536" i="6"/>
  <c r="BY537" i="6"/>
  <c r="BY538" i="6"/>
  <c r="BY751" i="6"/>
  <c r="BY725" i="6"/>
  <c r="BY726" i="6"/>
  <c r="BY727" i="6"/>
  <c r="BY728" i="6"/>
  <c r="BY729" i="6"/>
  <c r="BY730" i="6"/>
  <c r="BY731" i="6"/>
  <c r="BY732" i="6"/>
  <c r="BY449" i="6"/>
  <c r="BY450" i="6"/>
  <c r="BY451" i="6"/>
  <c r="BY452" i="6"/>
  <c r="BY453" i="6"/>
  <c r="BY454" i="6"/>
  <c r="BY455" i="6"/>
  <c r="BY456" i="6"/>
  <c r="BY457" i="6"/>
  <c r="BY458" i="6"/>
  <c r="BY459" i="6"/>
  <c r="BY460" i="6"/>
  <c r="BY461" i="6"/>
  <c r="BY466" i="6"/>
  <c r="BY467" i="6"/>
  <c r="BY468" i="6"/>
  <c r="BY469" i="6"/>
  <c r="BY371" i="6"/>
  <c r="BY372" i="6"/>
  <c r="BY373" i="6"/>
  <c r="BY374" i="6"/>
  <c r="BY366" i="6"/>
  <c r="BY367" i="6"/>
  <c r="BY375" i="6"/>
  <c r="BY265" i="6"/>
  <c r="BY489" i="6"/>
  <c r="BY490" i="6"/>
  <c r="BY491" i="6"/>
  <c r="BY492" i="6"/>
  <c r="BY493" i="6"/>
  <c r="BY494" i="6"/>
  <c r="BY495" i="6"/>
  <c r="BY496" i="6"/>
  <c r="BY363" i="6"/>
  <c r="BY364" i="6"/>
  <c r="BY365" i="6"/>
  <c r="BY369" i="6"/>
  <c r="BY370" i="6"/>
  <c r="BY377" i="6"/>
  <c r="BY378" i="6"/>
  <c r="BY379" i="6"/>
  <c r="BY380" i="6"/>
  <c r="BY381" i="6"/>
  <c r="BY382" i="6"/>
  <c r="BY383" i="6"/>
  <c r="BY384" i="6"/>
  <c r="BY385" i="6"/>
  <c r="BY386" i="6"/>
  <c r="BY387" i="6"/>
  <c r="BY388" i="6"/>
  <c r="BY389" i="6"/>
  <c r="BY390" i="6"/>
  <c r="BY391" i="6"/>
  <c r="BY392" i="6"/>
  <c r="BY393" i="6"/>
  <c r="BY394" i="6"/>
  <c r="BY395" i="6"/>
  <c r="BY396" i="6"/>
  <c r="BY397" i="6"/>
  <c r="BY398" i="6"/>
  <c r="BY399" i="6"/>
  <c r="BY400" i="6"/>
  <c r="BY401" i="6"/>
  <c r="BY402" i="6"/>
  <c r="BY403" i="6"/>
  <c r="BY404" i="6"/>
  <c r="BY405" i="6"/>
  <c r="BY406" i="6"/>
  <c r="BY407" i="6"/>
  <c r="BY408" i="6"/>
  <c r="BY307" i="6"/>
  <c r="BY308" i="6"/>
  <c r="BY309" i="6"/>
  <c r="BY310" i="6"/>
  <c r="BY311" i="6"/>
  <c r="BY267" i="6"/>
  <c r="BY268" i="6"/>
  <c r="BY269" i="6"/>
  <c r="BY270" i="6"/>
  <c r="BY271" i="6"/>
  <c r="BY272" i="6"/>
  <c r="BY273" i="6"/>
  <c r="BY274" i="6"/>
  <c r="BY275" i="6"/>
  <c r="BY276" i="6"/>
  <c r="BY277" i="6"/>
  <c r="BY278" i="6"/>
  <c r="BY279" i="6"/>
  <c r="BY280" i="6"/>
  <c r="BY281" i="6"/>
  <c r="BY282" i="6"/>
  <c r="BY283" i="6"/>
  <c r="BY284" i="6"/>
  <c r="BY285" i="6"/>
  <c r="BY286" i="6"/>
  <c r="BY287" i="6"/>
  <c r="BY288" i="6"/>
  <c r="BY289" i="6"/>
  <c r="BY290" i="6"/>
  <c r="BY291" i="6"/>
  <c r="BY292" i="6"/>
  <c r="BY293" i="6"/>
  <c r="BY294" i="6"/>
  <c r="BY295" i="6"/>
  <c r="BY296" i="6"/>
  <c r="BY297" i="6"/>
  <c r="BY298" i="6"/>
  <c r="BY299" i="6"/>
  <c r="BY300" i="6"/>
  <c r="BY301" i="6"/>
  <c r="BY302" i="6"/>
  <c r="BY253" i="6"/>
  <c r="BY254" i="6"/>
  <c r="BY255" i="6"/>
  <c r="BY256" i="6"/>
  <c r="BY257" i="6"/>
  <c r="BY258" i="6"/>
  <c r="BY259" i="6"/>
  <c r="BY260" i="6"/>
  <c r="BY474" i="6"/>
  <c r="BY360" i="6"/>
  <c r="BY362" i="6"/>
  <c r="BY317" i="6"/>
  <c r="BY318" i="6"/>
  <c r="BY319" i="6"/>
  <c r="BY320" i="6"/>
  <c r="BY321" i="6"/>
  <c r="BY322" i="6"/>
  <c r="BY323" i="6"/>
  <c r="BY324" i="6"/>
  <c r="BY325" i="6"/>
  <c r="BY326" i="6"/>
  <c r="BY327" i="6"/>
  <c r="BY328" i="6"/>
  <c r="BY329" i="6"/>
  <c r="BY330" i="6"/>
  <c r="BY331" i="6"/>
  <c r="BY332" i="6"/>
  <c r="BY335" i="6"/>
  <c r="BY351" i="6"/>
  <c r="BY352" i="6"/>
  <c r="BY480" i="6"/>
  <c r="BY482" i="6"/>
  <c r="BY427" i="6"/>
  <c r="BY431" i="6"/>
  <c r="BY435" i="6"/>
  <c r="BY437" i="6"/>
  <c r="BY413" i="6"/>
  <c r="BY415" i="6"/>
  <c r="BY419" i="6"/>
  <c r="BY421" i="6"/>
  <c r="BY266" i="6"/>
  <c r="BY475" i="6"/>
  <c r="BY481" i="6"/>
  <c r="BY426" i="6"/>
  <c r="BY428" i="6"/>
  <c r="BY430" i="6"/>
  <c r="BY432" i="6"/>
  <c r="BY434" i="6"/>
  <c r="BY436" i="6"/>
  <c r="BY438" i="6"/>
  <c r="BY440" i="6"/>
  <c r="BY442" i="6"/>
  <c r="BY444" i="6"/>
  <c r="BY414" i="6"/>
  <c r="BY416" i="6"/>
  <c r="BY418" i="6"/>
  <c r="BY420" i="6"/>
  <c r="BY312" i="6"/>
  <c r="BY313" i="6"/>
  <c r="BY314" i="6"/>
  <c r="BY315" i="6"/>
  <c r="BY316" i="6"/>
  <c r="BY333" i="6"/>
  <c r="BY334" i="6"/>
  <c r="BY336" i="6"/>
  <c r="BY337" i="6"/>
  <c r="BY338" i="6"/>
  <c r="BY339" i="6"/>
  <c r="BY340" i="6"/>
  <c r="BY341" i="6"/>
  <c r="BY342" i="6"/>
  <c r="BY343" i="6"/>
  <c r="BY344" i="6"/>
  <c r="BY345" i="6"/>
  <c r="BY346" i="6"/>
  <c r="BY347" i="6"/>
  <c r="BY348" i="6"/>
  <c r="BY349" i="6"/>
  <c r="BY350" i="6"/>
  <c r="BY353" i="6"/>
  <c r="BY354" i="6"/>
  <c r="BY355" i="6"/>
  <c r="BY361" i="6"/>
  <c r="BY368" i="6"/>
  <c r="BY749" i="6"/>
  <c r="BY429" i="6"/>
  <c r="BY433" i="6"/>
  <c r="BY439" i="6"/>
  <c r="BY441" i="6"/>
  <c r="BY443" i="6"/>
  <c r="BY417" i="6"/>
  <c r="BY376" i="6"/>
  <c r="BU1201" i="6"/>
  <c r="BU1202" i="6"/>
  <c r="BU1203" i="6"/>
  <c r="BU1204" i="6"/>
  <c r="BU1205" i="6"/>
  <c r="BU1206" i="6"/>
  <c r="BU1207" i="6"/>
  <c r="BU1208" i="6"/>
  <c r="BU1209" i="6"/>
  <c r="BU1200" i="6"/>
  <c r="BU921" i="6"/>
  <c r="BU922" i="6"/>
  <c r="BU923" i="6"/>
  <c r="BU924" i="6"/>
  <c r="BU926" i="6"/>
  <c r="BU927" i="6"/>
  <c r="BU928" i="6"/>
  <c r="BU929" i="6"/>
  <c r="BU930" i="6"/>
  <c r="BU931" i="6"/>
  <c r="BU932" i="6"/>
  <c r="BU933" i="6"/>
  <c r="BU938" i="6"/>
  <c r="BU939" i="6"/>
  <c r="BU940" i="6"/>
  <c r="BU941" i="6"/>
  <c r="BU925" i="6"/>
  <c r="BU946" i="6"/>
  <c r="BU947" i="6"/>
  <c r="BU952" i="6"/>
  <c r="BU953" i="6"/>
  <c r="BU954" i="6"/>
  <c r="BU898" i="6"/>
  <c r="BU899" i="6"/>
  <c r="BU900" i="6"/>
  <c r="BU901" i="6"/>
  <c r="BU902" i="6"/>
  <c r="BU903" i="6"/>
  <c r="BU904" i="6"/>
  <c r="BU905" i="6"/>
  <c r="BU906" i="6"/>
  <c r="BU907" i="6"/>
  <c r="BU908" i="6"/>
  <c r="BU909" i="6"/>
  <c r="BU910" i="6"/>
  <c r="BU911" i="6"/>
  <c r="BU912" i="6"/>
  <c r="BU913" i="6"/>
  <c r="BU914" i="6"/>
  <c r="BU915" i="6"/>
  <c r="BU916" i="6"/>
  <c r="BU885" i="6"/>
  <c r="BU886" i="6"/>
  <c r="BU887" i="6"/>
  <c r="BU888" i="6"/>
  <c r="BU889" i="6"/>
  <c r="BU890" i="6"/>
  <c r="BU891" i="6"/>
  <c r="BU892" i="6"/>
  <c r="BU893" i="6"/>
  <c r="BU832" i="6"/>
  <c r="BU833" i="6"/>
  <c r="BU834" i="6"/>
  <c r="BU842" i="6"/>
  <c r="BU843" i="6"/>
  <c r="BU844" i="6"/>
  <c r="BU845" i="6"/>
  <c r="BU846" i="6"/>
  <c r="BU847" i="6"/>
  <c r="BU848" i="6"/>
  <c r="BU849" i="6"/>
  <c r="BU850" i="6"/>
  <c r="BU851" i="6"/>
  <c r="BU852" i="6"/>
  <c r="BU853" i="6"/>
  <c r="BU854" i="6"/>
  <c r="BU855" i="6"/>
  <c r="BU856" i="6"/>
  <c r="BU857" i="6"/>
  <c r="BU858" i="6"/>
  <c r="BU859" i="6"/>
  <c r="BU860" i="6"/>
  <c r="BU861" i="6"/>
  <c r="BU835" i="6"/>
  <c r="BU836" i="6"/>
  <c r="BU837" i="6"/>
  <c r="BU838" i="6"/>
  <c r="BU839" i="6"/>
  <c r="BU840" i="6"/>
  <c r="BU841" i="6"/>
  <c r="BU862" i="6"/>
  <c r="BU863" i="6"/>
  <c r="BU864" i="6"/>
  <c r="BU865" i="6"/>
  <c r="BU866" i="6"/>
  <c r="BU867" i="6"/>
  <c r="BU868" i="6"/>
  <c r="BU869" i="6"/>
  <c r="BU870" i="6"/>
  <c r="BU871" i="6"/>
  <c r="BU872" i="6"/>
  <c r="BU873" i="6"/>
  <c r="BU874" i="6"/>
  <c r="BU875" i="6"/>
  <c r="BU876" i="6"/>
  <c r="BU877" i="6"/>
  <c r="BU878" i="6"/>
  <c r="BU879" i="6"/>
  <c r="BU880" i="6"/>
  <c r="BU779" i="6"/>
  <c r="BU780" i="6"/>
  <c r="BU781" i="6"/>
  <c r="BU782" i="6"/>
  <c r="BU783" i="6"/>
  <c r="BU784" i="6"/>
  <c r="BU785" i="6"/>
  <c r="BU786" i="6"/>
  <c r="BU787" i="6"/>
  <c r="BU788" i="6"/>
  <c r="BU789" i="6"/>
  <c r="BU790" i="6"/>
  <c r="BU791" i="6"/>
  <c r="BU792" i="6"/>
  <c r="BU793" i="6"/>
  <c r="BU794" i="6"/>
  <c r="BU796" i="6"/>
  <c r="BU798" i="6"/>
  <c r="BU795" i="6"/>
  <c r="BU797" i="6"/>
  <c r="BU799" i="6"/>
  <c r="BU800" i="6"/>
  <c r="BU801" i="6"/>
  <c r="BU802" i="6"/>
  <c r="BU803" i="6"/>
  <c r="BU804" i="6"/>
  <c r="BU805" i="6"/>
  <c r="BU806" i="6"/>
  <c r="BU807" i="6"/>
  <c r="BU808" i="6"/>
  <c r="BU809" i="6"/>
  <c r="BU810" i="6"/>
  <c r="BU811" i="6"/>
  <c r="BU812" i="6"/>
  <c r="BU813" i="6"/>
  <c r="BU814" i="6"/>
  <c r="BU815" i="6"/>
  <c r="BU816" i="6"/>
  <c r="BU817" i="6"/>
  <c r="BU818" i="6"/>
  <c r="BU819" i="6"/>
  <c r="BU820" i="6"/>
  <c r="BU821" i="6"/>
  <c r="BU822" i="6"/>
  <c r="BU823" i="6"/>
  <c r="BU824" i="6"/>
  <c r="BU825" i="6"/>
  <c r="BU826" i="6"/>
  <c r="BU827" i="6"/>
  <c r="BU737" i="6"/>
  <c r="BU738" i="6"/>
  <c r="BU739" i="6"/>
  <c r="BU740" i="6"/>
  <c r="BU741" i="6"/>
  <c r="BU742" i="6"/>
  <c r="BU743" i="6"/>
  <c r="BU744" i="6"/>
  <c r="BU745" i="6"/>
  <c r="BU746" i="6"/>
  <c r="BU747" i="6"/>
  <c r="BU748" i="6"/>
  <c r="BU751" i="6"/>
  <c r="BU752" i="6"/>
  <c r="BU753" i="6"/>
  <c r="BU754" i="6"/>
  <c r="BU755" i="6"/>
  <c r="BU756" i="6"/>
  <c r="BU757" i="6"/>
  <c r="BU758" i="6"/>
  <c r="BU759" i="6"/>
  <c r="BU760" i="6"/>
  <c r="BU761" i="6"/>
  <c r="BU762" i="6"/>
  <c r="BU763" i="6"/>
  <c r="BU764" i="6"/>
  <c r="BU765" i="6"/>
  <c r="BU766" i="6"/>
  <c r="BU767" i="6"/>
  <c r="BU768" i="6"/>
  <c r="BU769" i="6"/>
  <c r="BU770" i="6"/>
  <c r="BU771" i="6"/>
  <c r="BU772" i="6"/>
  <c r="BU773" i="6"/>
  <c r="BU774" i="6"/>
  <c r="BU685" i="6"/>
  <c r="BU686" i="6"/>
  <c r="BU687" i="6"/>
  <c r="BU688" i="6"/>
  <c r="BU689" i="6"/>
  <c r="BU690" i="6"/>
  <c r="BU691" i="6"/>
  <c r="BU692" i="6"/>
  <c r="BU693" i="6"/>
  <c r="BU694" i="6"/>
  <c r="BU695" i="6"/>
  <c r="BU696" i="6"/>
  <c r="BU697" i="6"/>
  <c r="BU702" i="6"/>
  <c r="BU703" i="6"/>
  <c r="BU704" i="6"/>
  <c r="BU705" i="6"/>
  <c r="BU710" i="6"/>
  <c r="BU711" i="6"/>
  <c r="BU716" i="6"/>
  <c r="BU717" i="6"/>
  <c r="BU718" i="6"/>
  <c r="BU662" i="6"/>
  <c r="BU663" i="6"/>
  <c r="BU664" i="6"/>
  <c r="BU665" i="6"/>
  <c r="BU666" i="6"/>
  <c r="BU667" i="6"/>
  <c r="BU668" i="6"/>
  <c r="BU669" i="6"/>
  <c r="BU670" i="6"/>
  <c r="BU671" i="6"/>
  <c r="BU672" i="6"/>
  <c r="BU673" i="6"/>
  <c r="BU674" i="6"/>
  <c r="BU675" i="6"/>
  <c r="BU676" i="6"/>
  <c r="BU677" i="6"/>
  <c r="BU678" i="6"/>
  <c r="BU679" i="6"/>
  <c r="BU680" i="6"/>
  <c r="BU596" i="6"/>
  <c r="BU597" i="6"/>
  <c r="BU598" i="6"/>
  <c r="BU599" i="6"/>
  <c r="BU600" i="6"/>
  <c r="BU601" i="6"/>
  <c r="BU602" i="6"/>
  <c r="BU603" i="6"/>
  <c r="BU604" i="6"/>
  <c r="BU605" i="6"/>
  <c r="BU606" i="6"/>
  <c r="BU607" i="6"/>
  <c r="BU608" i="6"/>
  <c r="BU609" i="6"/>
  <c r="BU610" i="6"/>
  <c r="BU611" i="6"/>
  <c r="BU749" i="6"/>
  <c r="BU750" i="6"/>
  <c r="BU649" i="6"/>
  <c r="BU650" i="6"/>
  <c r="BU651" i="6"/>
  <c r="BU652" i="6"/>
  <c r="BU653" i="6"/>
  <c r="BU725" i="6"/>
  <c r="BU726" i="6"/>
  <c r="BU727" i="6"/>
  <c r="BU728" i="6"/>
  <c r="BU729" i="6"/>
  <c r="BU730" i="6"/>
  <c r="BU731" i="6"/>
  <c r="BU732" i="6"/>
  <c r="BU543" i="6"/>
  <c r="BU544" i="6"/>
  <c r="BU545" i="6"/>
  <c r="BU546" i="6"/>
  <c r="BU547" i="6"/>
  <c r="BU548" i="6"/>
  <c r="BU549" i="6"/>
  <c r="BU550" i="6"/>
  <c r="BU551" i="6"/>
  <c r="BU552" i="6"/>
  <c r="BU553" i="6"/>
  <c r="BU554" i="6"/>
  <c r="BU555" i="6"/>
  <c r="BU556" i="6"/>
  <c r="BU557" i="6"/>
  <c r="BU558" i="6"/>
  <c r="BU559" i="6"/>
  <c r="BU560" i="6"/>
  <c r="BU561" i="6"/>
  <c r="BU562" i="6"/>
  <c r="BU563" i="6"/>
  <c r="BU564" i="6"/>
  <c r="BU565" i="6"/>
  <c r="BU566" i="6"/>
  <c r="BU567" i="6"/>
  <c r="BU568" i="6"/>
  <c r="BU569" i="6"/>
  <c r="BU570" i="6"/>
  <c r="BU571" i="6"/>
  <c r="BU572" i="6"/>
  <c r="BU573" i="6"/>
  <c r="BU574" i="6"/>
  <c r="BU575" i="6"/>
  <c r="BU576" i="6"/>
  <c r="BU577" i="6"/>
  <c r="BU578" i="6"/>
  <c r="BU579" i="6"/>
  <c r="BU580" i="6"/>
  <c r="BU581" i="6"/>
  <c r="BU582" i="6"/>
  <c r="BU583" i="6"/>
  <c r="BU584" i="6"/>
  <c r="BU585" i="6"/>
  <c r="BU586" i="6"/>
  <c r="BU587" i="6"/>
  <c r="BU588" i="6"/>
  <c r="BU654" i="6"/>
  <c r="BU655" i="6"/>
  <c r="BU656" i="6"/>
  <c r="BU657" i="6"/>
  <c r="BU612" i="6"/>
  <c r="BU613" i="6"/>
  <c r="BU614" i="6"/>
  <c r="BU615" i="6"/>
  <c r="BU616" i="6"/>
  <c r="BU617" i="6"/>
  <c r="BU618" i="6"/>
  <c r="BU619" i="6"/>
  <c r="BU620" i="6"/>
  <c r="BU621" i="6"/>
  <c r="BU622" i="6"/>
  <c r="BU623" i="6"/>
  <c r="BU624" i="6"/>
  <c r="BU625" i="6"/>
  <c r="BU626" i="6"/>
  <c r="BU627" i="6"/>
  <c r="BU628" i="6"/>
  <c r="BU629" i="6"/>
  <c r="BU630" i="6"/>
  <c r="BU631" i="6"/>
  <c r="BU632" i="6"/>
  <c r="BU633" i="6"/>
  <c r="BU634" i="6"/>
  <c r="BU635" i="6"/>
  <c r="BU636" i="6"/>
  <c r="BU637" i="6"/>
  <c r="BU638" i="6"/>
  <c r="BU639" i="6"/>
  <c r="BU640" i="6"/>
  <c r="BU641" i="6"/>
  <c r="BU642" i="6"/>
  <c r="BU643" i="6"/>
  <c r="BU644" i="6"/>
  <c r="BU589" i="6"/>
  <c r="BU590" i="6"/>
  <c r="BU591" i="6"/>
  <c r="BU501" i="6"/>
  <c r="BU502" i="6"/>
  <c r="BU503" i="6"/>
  <c r="BU504" i="6"/>
  <c r="BU505" i="6"/>
  <c r="BU506" i="6"/>
  <c r="BU507" i="6"/>
  <c r="BU508" i="6"/>
  <c r="BU509" i="6"/>
  <c r="BU510" i="6"/>
  <c r="BU511" i="6"/>
  <c r="BU512" i="6"/>
  <c r="BU513" i="6"/>
  <c r="BU514" i="6"/>
  <c r="BU515" i="6"/>
  <c r="BU516" i="6"/>
  <c r="BU517" i="6"/>
  <c r="BU518" i="6"/>
  <c r="BU519" i="6"/>
  <c r="BU520" i="6"/>
  <c r="BU521" i="6"/>
  <c r="BU522" i="6"/>
  <c r="BU523" i="6"/>
  <c r="BU524" i="6"/>
  <c r="BU525" i="6"/>
  <c r="BU526" i="6"/>
  <c r="BU527" i="6"/>
  <c r="BU528" i="6"/>
  <c r="BU529" i="6"/>
  <c r="BU530" i="6"/>
  <c r="BU531" i="6"/>
  <c r="BU532" i="6"/>
  <c r="BU533" i="6"/>
  <c r="BU534" i="6"/>
  <c r="BU535" i="6"/>
  <c r="BU536" i="6"/>
  <c r="BU537" i="6"/>
  <c r="BU538" i="6"/>
  <c r="BU449" i="6"/>
  <c r="BU450" i="6"/>
  <c r="BU451" i="6"/>
  <c r="BU452" i="6"/>
  <c r="BU453" i="6"/>
  <c r="BU454" i="6"/>
  <c r="BU455" i="6"/>
  <c r="BU456" i="6"/>
  <c r="BU457" i="6"/>
  <c r="BU458" i="6"/>
  <c r="BU459" i="6"/>
  <c r="BU460" i="6"/>
  <c r="BU461" i="6"/>
  <c r="BU466" i="6"/>
  <c r="BU467" i="6"/>
  <c r="BU468" i="6"/>
  <c r="BU469" i="6"/>
  <c r="BU371" i="6"/>
  <c r="BU372" i="6"/>
  <c r="BU373" i="6"/>
  <c r="BU374" i="6"/>
  <c r="BU474" i="6"/>
  <c r="BU360" i="6"/>
  <c r="BU361" i="6"/>
  <c r="BU362" i="6"/>
  <c r="BU368" i="6"/>
  <c r="BU265" i="6"/>
  <c r="BU366" i="6"/>
  <c r="BU367" i="6"/>
  <c r="BU375" i="6"/>
  <c r="BU267" i="6"/>
  <c r="BU268" i="6"/>
  <c r="BU269" i="6"/>
  <c r="BU270" i="6"/>
  <c r="BU271" i="6"/>
  <c r="BU272" i="6"/>
  <c r="BU273" i="6"/>
  <c r="BU274" i="6"/>
  <c r="BU275" i="6"/>
  <c r="BU276" i="6"/>
  <c r="BU277" i="6"/>
  <c r="BU278" i="6"/>
  <c r="BU279" i="6"/>
  <c r="BU280" i="6"/>
  <c r="BU281" i="6"/>
  <c r="BU282" i="6"/>
  <c r="BU283" i="6"/>
  <c r="BU284" i="6"/>
  <c r="BU285" i="6"/>
  <c r="BU286" i="6"/>
  <c r="BU287" i="6"/>
  <c r="BU288" i="6"/>
  <c r="BU289" i="6"/>
  <c r="BU290" i="6"/>
  <c r="BU291" i="6"/>
  <c r="BU292" i="6"/>
  <c r="BU293" i="6"/>
  <c r="BU294" i="6"/>
  <c r="BU295" i="6"/>
  <c r="BU296" i="6"/>
  <c r="BU297" i="6"/>
  <c r="BU298" i="6"/>
  <c r="BU299" i="6"/>
  <c r="BU300" i="6"/>
  <c r="BU301" i="6"/>
  <c r="BU302" i="6"/>
  <c r="BU253" i="6"/>
  <c r="BU254" i="6"/>
  <c r="BU255" i="6"/>
  <c r="BU256" i="6"/>
  <c r="BU257" i="6"/>
  <c r="BU258" i="6"/>
  <c r="BU259" i="6"/>
  <c r="BU260" i="6"/>
  <c r="BU489" i="6"/>
  <c r="BU490" i="6"/>
  <c r="BU491" i="6"/>
  <c r="BU492" i="6"/>
  <c r="BU493" i="6"/>
  <c r="BU494" i="6"/>
  <c r="BU495" i="6"/>
  <c r="BU496" i="6"/>
  <c r="BU475" i="6"/>
  <c r="BU481" i="6"/>
  <c r="BU426" i="6"/>
  <c r="BU428" i="6"/>
  <c r="BU430" i="6"/>
  <c r="BU432" i="6"/>
  <c r="BU434" i="6"/>
  <c r="BU436" i="6"/>
  <c r="BU438" i="6"/>
  <c r="BU440" i="6"/>
  <c r="BU442" i="6"/>
  <c r="BU444" i="6"/>
  <c r="BU414" i="6"/>
  <c r="BU416" i="6"/>
  <c r="BU418" i="6"/>
  <c r="BU420" i="6"/>
  <c r="BU480" i="6"/>
  <c r="BU427" i="6"/>
  <c r="BU429" i="6"/>
  <c r="BU431" i="6"/>
  <c r="BU433" i="6"/>
  <c r="BU437" i="6"/>
  <c r="BU441" i="6"/>
  <c r="BU443" i="6"/>
  <c r="BU415" i="6"/>
  <c r="BU417" i="6"/>
  <c r="BU363" i="6"/>
  <c r="BU365" i="6"/>
  <c r="BU379" i="6"/>
  <c r="BU381" i="6"/>
  <c r="BU389" i="6"/>
  <c r="BU391" i="6"/>
  <c r="BU397" i="6"/>
  <c r="BU311" i="6"/>
  <c r="BU313" i="6"/>
  <c r="BU314" i="6"/>
  <c r="BU315" i="6"/>
  <c r="BU318" i="6"/>
  <c r="BU320" i="6"/>
  <c r="BU322" i="6"/>
  <c r="BU324" i="6"/>
  <c r="BU328" i="6"/>
  <c r="BU330" i="6"/>
  <c r="BU332" i="6"/>
  <c r="BU334" i="6"/>
  <c r="BU335" i="6"/>
  <c r="BU337" i="6"/>
  <c r="BU339" i="6"/>
  <c r="BU340" i="6"/>
  <c r="BU341" i="6"/>
  <c r="BU343" i="6"/>
  <c r="BU345" i="6"/>
  <c r="BU347" i="6"/>
  <c r="BU353" i="6"/>
  <c r="BU355" i="6"/>
  <c r="BU364" i="6"/>
  <c r="BU369" i="6"/>
  <c r="BU378" i="6"/>
  <c r="BU380" i="6"/>
  <c r="BU382" i="6"/>
  <c r="BU384" i="6"/>
  <c r="BU386" i="6"/>
  <c r="BU388" i="6"/>
  <c r="BU390" i="6"/>
  <c r="BU392" i="6"/>
  <c r="BU394" i="6"/>
  <c r="BU396" i="6"/>
  <c r="BU398" i="6"/>
  <c r="BU400" i="6"/>
  <c r="BU402" i="6"/>
  <c r="BU404" i="6"/>
  <c r="BU406" i="6"/>
  <c r="BU408" i="6"/>
  <c r="BU308" i="6"/>
  <c r="BU310" i="6"/>
  <c r="BU266" i="6"/>
  <c r="BU482" i="6"/>
  <c r="BU435" i="6"/>
  <c r="BU439" i="6"/>
  <c r="BU413" i="6"/>
  <c r="BU419" i="6"/>
  <c r="BU421" i="6"/>
  <c r="BU376" i="6"/>
  <c r="BU370" i="6"/>
  <c r="BU377" i="6"/>
  <c r="BU383" i="6"/>
  <c r="BU385" i="6"/>
  <c r="BU387" i="6"/>
  <c r="BU393" i="6"/>
  <c r="BU395" i="6"/>
  <c r="BU399" i="6"/>
  <c r="BU401" i="6"/>
  <c r="BU403" i="6"/>
  <c r="BU405" i="6"/>
  <c r="BU407" i="6"/>
  <c r="BU307" i="6"/>
  <c r="BU309" i="6"/>
  <c r="BU312" i="6"/>
  <c r="BU316" i="6"/>
  <c r="BU317" i="6"/>
  <c r="BU319" i="6"/>
  <c r="BU321" i="6"/>
  <c r="BU323" i="6"/>
  <c r="BU325" i="6"/>
  <c r="BU326" i="6"/>
  <c r="BU327" i="6"/>
  <c r="BU329" i="6"/>
  <c r="BU331" i="6"/>
  <c r="BU333" i="6"/>
  <c r="BU336" i="6"/>
  <c r="BU338" i="6"/>
  <c r="BU342" i="6"/>
  <c r="BU344" i="6"/>
  <c r="BU346" i="6"/>
  <c r="BU348" i="6"/>
  <c r="BU349" i="6"/>
  <c r="BU350" i="6"/>
  <c r="BU351" i="6"/>
  <c r="BU352" i="6"/>
  <c r="BU354" i="6"/>
  <c r="BQ1202" i="6"/>
  <c r="BQ1203" i="6"/>
  <c r="BQ1204" i="6"/>
  <c r="BQ1205" i="6"/>
  <c r="BQ1206" i="6"/>
  <c r="BQ1207" i="6"/>
  <c r="BQ1208" i="6"/>
  <c r="BQ925" i="6"/>
  <c r="BQ926" i="6"/>
  <c r="BQ927" i="6"/>
  <c r="BQ928" i="6"/>
  <c r="BQ929" i="6"/>
  <c r="BQ930" i="6"/>
  <c r="BQ931" i="6"/>
  <c r="BQ932" i="6"/>
  <c r="BQ933" i="6"/>
  <c r="BQ938" i="6"/>
  <c r="BQ939" i="6"/>
  <c r="BQ940" i="6"/>
  <c r="BQ941" i="6"/>
  <c r="BQ1200" i="6"/>
  <c r="BQ921" i="6"/>
  <c r="BQ922" i="6"/>
  <c r="BQ924" i="6"/>
  <c r="BQ946" i="6"/>
  <c r="BQ947" i="6"/>
  <c r="BQ952" i="6"/>
  <c r="BQ953" i="6"/>
  <c r="BQ954" i="6"/>
  <c r="BQ898" i="6"/>
  <c r="BQ899" i="6"/>
  <c r="BQ900" i="6"/>
  <c r="BQ901" i="6"/>
  <c r="BQ902" i="6"/>
  <c r="BQ923" i="6"/>
  <c r="BQ1209" i="6"/>
  <c r="BQ903" i="6"/>
  <c r="BQ904" i="6"/>
  <c r="BQ905" i="6"/>
  <c r="BQ906" i="6"/>
  <c r="BQ907" i="6"/>
  <c r="BQ908" i="6"/>
  <c r="BQ909" i="6"/>
  <c r="BQ910" i="6"/>
  <c r="BQ916" i="6"/>
  <c r="BQ885" i="6"/>
  <c r="BQ886" i="6"/>
  <c r="BQ887" i="6"/>
  <c r="BQ888" i="6"/>
  <c r="BQ889" i="6"/>
  <c r="BQ890" i="6"/>
  <c r="BQ891" i="6"/>
  <c r="BQ892" i="6"/>
  <c r="BQ893" i="6"/>
  <c r="BQ832" i="6"/>
  <c r="BQ833" i="6"/>
  <c r="BQ834" i="6"/>
  <c r="BQ835" i="6"/>
  <c r="BQ911" i="6"/>
  <c r="BQ912" i="6"/>
  <c r="BQ913" i="6"/>
  <c r="BQ914" i="6"/>
  <c r="BQ915" i="6"/>
  <c r="BQ842" i="6"/>
  <c r="BQ843" i="6"/>
  <c r="BQ844" i="6"/>
  <c r="BQ845" i="6"/>
  <c r="BQ846" i="6"/>
  <c r="BQ847" i="6"/>
  <c r="BQ848" i="6"/>
  <c r="BQ849" i="6"/>
  <c r="BQ850" i="6"/>
  <c r="BQ851" i="6"/>
  <c r="BQ852" i="6"/>
  <c r="BQ853" i="6"/>
  <c r="BQ854" i="6"/>
  <c r="BQ855" i="6"/>
  <c r="BQ856" i="6"/>
  <c r="BQ857" i="6"/>
  <c r="BQ858" i="6"/>
  <c r="BQ859" i="6"/>
  <c r="BQ860" i="6"/>
  <c r="BQ861" i="6"/>
  <c r="BQ836" i="6"/>
  <c r="BQ837" i="6"/>
  <c r="BQ838" i="6"/>
  <c r="BQ839" i="6"/>
  <c r="BQ840" i="6"/>
  <c r="BQ841" i="6"/>
  <c r="BQ862" i="6"/>
  <c r="BQ863" i="6"/>
  <c r="BQ864" i="6"/>
  <c r="BQ865" i="6"/>
  <c r="BQ866" i="6"/>
  <c r="BQ867" i="6"/>
  <c r="BQ868" i="6"/>
  <c r="BQ869" i="6"/>
  <c r="BQ870" i="6"/>
  <c r="BQ871" i="6"/>
  <c r="BQ872" i="6"/>
  <c r="BQ873" i="6"/>
  <c r="BQ874" i="6"/>
  <c r="BQ875" i="6"/>
  <c r="BQ876" i="6"/>
  <c r="BQ877" i="6"/>
  <c r="BQ878" i="6"/>
  <c r="BQ879" i="6"/>
  <c r="BQ880" i="6"/>
  <c r="BQ779" i="6"/>
  <c r="BQ780" i="6"/>
  <c r="BQ781" i="6"/>
  <c r="BQ782" i="6"/>
  <c r="BQ783" i="6"/>
  <c r="BQ784" i="6"/>
  <c r="BQ785" i="6"/>
  <c r="BQ786" i="6"/>
  <c r="BQ787" i="6"/>
  <c r="BQ788" i="6"/>
  <c r="BQ789" i="6"/>
  <c r="BQ790" i="6"/>
  <c r="BQ791" i="6"/>
  <c r="BQ792" i="6"/>
  <c r="BQ793" i="6"/>
  <c r="BQ794" i="6"/>
  <c r="BQ795" i="6"/>
  <c r="BQ797" i="6"/>
  <c r="BQ801" i="6"/>
  <c r="BQ802" i="6"/>
  <c r="BQ803" i="6"/>
  <c r="BQ804" i="6"/>
  <c r="BQ805" i="6"/>
  <c r="BQ806" i="6"/>
  <c r="BQ807" i="6"/>
  <c r="BQ808" i="6"/>
  <c r="BQ809" i="6"/>
  <c r="BQ810" i="6"/>
  <c r="BQ811" i="6"/>
  <c r="BQ812" i="6"/>
  <c r="BQ813" i="6"/>
  <c r="BQ814" i="6"/>
  <c r="BQ815" i="6"/>
  <c r="BQ816" i="6"/>
  <c r="BQ817" i="6"/>
  <c r="BQ818" i="6"/>
  <c r="BQ819" i="6"/>
  <c r="BQ820" i="6"/>
  <c r="BQ821" i="6"/>
  <c r="BQ822" i="6"/>
  <c r="BQ823" i="6"/>
  <c r="BQ824" i="6"/>
  <c r="BQ825" i="6"/>
  <c r="BQ826" i="6"/>
  <c r="BQ827" i="6"/>
  <c r="BQ737" i="6"/>
  <c r="BQ738" i="6"/>
  <c r="BQ739" i="6"/>
  <c r="BQ740" i="6"/>
  <c r="BQ741" i="6"/>
  <c r="BQ742" i="6"/>
  <c r="BQ743" i="6"/>
  <c r="BQ744" i="6"/>
  <c r="BQ745" i="6"/>
  <c r="BQ746" i="6"/>
  <c r="BQ747" i="6"/>
  <c r="BQ748" i="6"/>
  <c r="BQ798" i="6"/>
  <c r="BQ753" i="6"/>
  <c r="BQ754" i="6"/>
  <c r="BQ755" i="6"/>
  <c r="BQ756" i="6"/>
  <c r="BQ757" i="6"/>
  <c r="BQ758" i="6"/>
  <c r="BQ759" i="6"/>
  <c r="BQ760" i="6"/>
  <c r="BQ761" i="6"/>
  <c r="BQ762" i="6"/>
  <c r="BQ763" i="6"/>
  <c r="BQ764" i="6"/>
  <c r="BQ765" i="6"/>
  <c r="BQ766" i="6"/>
  <c r="BQ767" i="6"/>
  <c r="BQ768" i="6"/>
  <c r="BQ769" i="6"/>
  <c r="BQ770" i="6"/>
  <c r="BQ771" i="6"/>
  <c r="BQ772" i="6"/>
  <c r="BQ773" i="6"/>
  <c r="BQ774" i="6"/>
  <c r="BQ685" i="6"/>
  <c r="BQ686" i="6"/>
  <c r="BQ687" i="6"/>
  <c r="BQ688" i="6"/>
  <c r="BQ689" i="6"/>
  <c r="BQ690" i="6"/>
  <c r="BQ691" i="6"/>
  <c r="BQ692" i="6"/>
  <c r="BQ693" i="6"/>
  <c r="BQ694" i="6"/>
  <c r="BQ695" i="6"/>
  <c r="BQ696" i="6"/>
  <c r="BQ697" i="6"/>
  <c r="BQ702" i="6"/>
  <c r="BQ703" i="6"/>
  <c r="BQ704" i="6"/>
  <c r="BQ705" i="6"/>
  <c r="BQ710" i="6"/>
  <c r="BQ711" i="6"/>
  <c r="BQ716" i="6"/>
  <c r="BQ717" i="6"/>
  <c r="BQ718" i="6"/>
  <c r="BQ662" i="6"/>
  <c r="BQ663" i="6"/>
  <c r="BQ664" i="6"/>
  <c r="BQ665" i="6"/>
  <c r="BQ666" i="6"/>
  <c r="BQ667" i="6"/>
  <c r="BQ668" i="6"/>
  <c r="BQ669" i="6"/>
  <c r="BQ670" i="6"/>
  <c r="BQ671" i="6"/>
  <c r="BQ672" i="6"/>
  <c r="BQ673" i="6"/>
  <c r="BQ674" i="6"/>
  <c r="BQ675" i="6"/>
  <c r="BQ676" i="6"/>
  <c r="BQ677" i="6"/>
  <c r="BQ678" i="6"/>
  <c r="BQ679" i="6"/>
  <c r="BQ680" i="6"/>
  <c r="BQ596" i="6"/>
  <c r="BQ597" i="6"/>
  <c r="BQ598" i="6"/>
  <c r="BQ599" i="6"/>
  <c r="BQ600" i="6"/>
  <c r="BQ601" i="6"/>
  <c r="BQ602" i="6"/>
  <c r="BQ603" i="6"/>
  <c r="BQ604" i="6"/>
  <c r="BQ605" i="6"/>
  <c r="BQ606" i="6"/>
  <c r="BQ607" i="6"/>
  <c r="BQ608" i="6"/>
  <c r="BQ609" i="6"/>
  <c r="BQ610" i="6"/>
  <c r="BQ611" i="6"/>
  <c r="BQ751" i="6"/>
  <c r="BQ752" i="6"/>
  <c r="BQ649" i="6"/>
  <c r="BQ650" i="6"/>
  <c r="BQ651" i="6"/>
  <c r="BQ652" i="6"/>
  <c r="BQ653" i="6"/>
  <c r="BQ799" i="6"/>
  <c r="BQ750" i="6"/>
  <c r="BQ543" i="6"/>
  <c r="BQ544" i="6"/>
  <c r="BQ545" i="6"/>
  <c r="BQ546" i="6"/>
  <c r="BQ547" i="6"/>
  <c r="BQ548" i="6"/>
  <c r="BQ549" i="6"/>
  <c r="BQ550" i="6"/>
  <c r="BQ551" i="6"/>
  <c r="BQ552" i="6"/>
  <c r="BQ553" i="6"/>
  <c r="BQ554" i="6"/>
  <c r="BQ555" i="6"/>
  <c r="BQ556" i="6"/>
  <c r="BQ557" i="6"/>
  <c r="BQ558" i="6"/>
  <c r="BQ559" i="6"/>
  <c r="BQ560" i="6"/>
  <c r="BQ561" i="6"/>
  <c r="BQ562" i="6"/>
  <c r="BQ563" i="6"/>
  <c r="BQ564" i="6"/>
  <c r="BQ565" i="6"/>
  <c r="BQ566" i="6"/>
  <c r="BQ567" i="6"/>
  <c r="BQ568" i="6"/>
  <c r="BQ569" i="6"/>
  <c r="BQ570" i="6"/>
  <c r="BQ571" i="6"/>
  <c r="BQ572" i="6"/>
  <c r="BQ573" i="6"/>
  <c r="BQ574" i="6"/>
  <c r="BQ575" i="6"/>
  <c r="BQ576" i="6"/>
  <c r="BQ577" i="6"/>
  <c r="BQ578" i="6"/>
  <c r="BQ579" i="6"/>
  <c r="BQ580" i="6"/>
  <c r="BQ581" i="6"/>
  <c r="BQ582" i="6"/>
  <c r="BQ583" i="6"/>
  <c r="BQ584" i="6"/>
  <c r="BQ585" i="6"/>
  <c r="BQ586" i="6"/>
  <c r="BQ587" i="6"/>
  <c r="BQ588" i="6"/>
  <c r="BQ800" i="6"/>
  <c r="BQ612" i="6"/>
  <c r="BQ613" i="6"/>
  <c r="BQ614" i="6"/>
  <c r="BQ615" i="6"/>
  <c r="BQ616" i="6"/>
  <c r="BQ617" i="6"/>
  <c r="BQ618" i="6"/>
  <c r="BQ619" i="6"/>
  <c r="BQ620" i="6"/>
  <c r="BQ621" i="6"/>
  <c r="BQ622" i="6"/>
  <c r="BQ623" i="6"/>
  <c r="BQ624" i="6"/>
  <c r="BQ625" i="6"/>
  <c r="BQ626" i="6"/>
  <c r="BQ627" i="6"/>
  <c r="BQ628" i="6"/>
  <c r="BQ629" i="6"/>
  <c r="BQ630" i="6"/>
  <c r="BQ631" i="6"/>
  <c r="BQ632" i="6"/>
  <c r="BQ633" i="6"/>
  <c r="BQ634" i="6"/>
  <c r="BQ635" i="6"/>
  <c r="BQ636" i="6"/>
  <c r="BQ637" i="6"/>
  <c r="BQ638" i="6"/>
  <c r="BQ639" i="6"/>
  <c r="BQ640" i="6"/>
  <c r="BQ641" i="6"/>
  <c r="BQ642" i="6"/>
  <c r="BQ643" i="6"/>
  <c r="BQ644" i="6"/>
  <c r="BQ796" i="6"/>
  <c r="BQ589" i="6"/>
  <c r="BQ590" i="6"/>
  <c r="BQ591" i="6"/>
  <c r="BQ501" i="6"/>
  <c r="BQ502" i="6"/>
  <c r="BQ503" i="6"/>
  <c r="BQ504" i="6"/>
  <c r="BQ505" i="6"/>
  <c r="BQ506" i="6"/>
  <c r="BQ507" i="6"/>
  <c r="BQ508" i="6"/>
  <c r="BQ509" i="6"/>
  <c r="BQ510" i="6"/>
  <c r="BQ511" i="6"/>
  <c r="BQ512" i="6"/>
  <c r="BQ513" i="6"/>
  <c r="BQ514" i="6"/>
  <c r="BQ515" i="6"/>
  <c r="BQ516" i="6"/>
  <c r="BQ517" i="6"/>
  <c r="BQ518" i="6"/>
  <c r="BQ519" i="6"/>
  <c r="BQ520" i="6"/>
  <c r="BQ521" i="6"/>
  <c r="BQ522" i="6"/>
  <c r="BQ523" i="6"/>
  <c r="BQ524" i="6"/>
  <c r="BQ525" i="6"/>
  <c r="BQ526" i="6"/>
  <c r="BQ527" i="6"/>
  <c r="BQ528" i="6"/>
  <c r="BQ529" i="6"/>
  <c r="BQ530" i="6"/>
  <c r="BQ531" i="6"/>
  <c r="BQ532" i="6"/>
  <c r="BQ533" i="6"/>
  <c r="BQ534" i="6"/>
  <c r="BQ535" i="6"/>
  <c r="BQ536" i="6"/>
  <c r="BQ537" i="6"/>
  <c r="BQ538" i="6"/>
  <c r="BQ749" i="6"/>
  <c r="BQ655" i="6"/>
  <c r="BQ657" i="6"/>
  <c r="BQ449" i="6"/>
  <c r="BQ450" i="6"/>
  <c r="BQ451" i="6"/>
  <c r="BQ452" i="6"/>
  <c r="BQ453" i="6"/>
  <c r="BQ454" i="6"/>
  <c r="BQ455" i="6"/>
  <c r="BQ456" i="6"/>
  <c r="BQ457" i="6"/>
  <c r="BQ458" i="6"/>
  <c r="BQ459" i="6"/>
  <c r="BQ460" i="6"/>
  <c r="BQ461" i="6"/>
  <c r="BQ466" i="6"/>
  <c r="BQ467" i="6"/>
  <c r="BQ468" i="6"/>
  <c r="BQ469" i="6"/>
  <c r="BQ371" i="6"/>
  <c r="BQ372" i="6"/>
  <c r="BQ373" i="6"/>
  <c r="BQ374" i="6"/>
  <c r="BQ726" i="6"/>
  <c r="BQ728" i="6"/>
  <c r="BQ730" i="6"/>
  <c r="BQ732" i="6"/>
  <c r="BQ475" i="6"/>
  <c r="BQ480" i="6"/>
  <c r="BQ481" i="6"/>
  <c r="BQ482" i="6"/>
  <c r="BQ426" i="6"/>
  <c r="BQ427" i="6"/>
  <c r="BQ428" i="6"/>
  <c r="BQ429" i="6"/>
  <c r="BQ430" i="6"/>
  <c r="BQ431" i="6"/>
  <c r="BQ432" i="6"/>
  <c r="BQ433" i="6"/>
  <c r="BQ434" i="6"/>
  <c r="BQ435" i="6"/>
  <c r="BQ436" i="6"/>
  <c r="BQ437" i="6"/>
  <c r="BQ438" i="6"/>
  <c r="BQ439" i="6"/>
  <c r="BQ440" i="6"/>
  <c r="BQ441" i="6"/>
  <c r="BQ442" i="6"/>
  <c r="BQ443" i="6"/>
  <c r="BQ444" i="6"/>
  <c r="BQ413" i="6"/>
  <c r="BQ414" i="6"/>
  <c r="BQ415" i="6"/>
  <c r="BQ416" i="6"/>
  <c r="BQ417" i="6"/>
  <c r="BQ418" i="6"/>
  <c r="BQ419" i="6"/>
  <c r="BQ420" i="6"/>
  <c r="BQ421" i="6"/>
  <c r="BQ376" i="6"/>
  <c r="BQ265" i="6"/>
  <c r="BQ654" i="6"/>
  <c r="BQ489" i="6"/>
  <c r="BQ490" i="6"/>
  <c r="BQ491" i="6"/>
  <c r="BQ492" i="6"/>
  <c r="BQ493" i="6"/>
  <c r="BQ494" i="6"/>
  <c r="BQ495" i="6"/>
  <c r="BQ496" i="6"/>
  <c r="BQ474" i="6"/>
  <c r="BQ360" i="6"/>
  <c r="BQ361" i="6"/>
  <c r="BQ362" i="6"/>
  <c r="BQ368" i="6"/>
  <c r="BQ267" i="6"/>
  <c r="BQ268" i="6"/>
  <c r="BQ269" i="6"/>
  <c r="BQ270" i="6"/>
  <c r="BQ271" i="6"/>
  <c r="BQ272" i="6"/>
  <c r="BQ273" i="6"/>
  <c r="BQ274" i="6"/>
  <c r="BQ275" i="6"/>
  <c r="BQ276" i="6"/>
  <c r="BQ277" i="6"/>
  <c r="BQ278" i="6"/>
  <c r="BQ279" i="6"/>
  <c r="BQ280" i="6"/>
  <c r="BQ281" i="6"/>
  <c r="BQ282" i="6"/>
  <c r="BQ283" i="6"/>
  <c r="BQ284" i="6"/>
  <c r="BQ285" i="6"/>
  <c r="BQ286" i="6"/>
  <c r="BQ287" i="6"/>
  <c r="BQ288" i="6"/>
  <c r="BQ289" i="6"/>
  <c r="BQ290" i="6"/>
  <c r="BQ291" i="6"/>
  <c r="BQ292" i="6"/>
  <c r="BQ293" i="6"/>
  <c r="BQ294" i="6"/>
  <c r="BQ295" i="6"/>
  <c r="BQ296" i="6"/>
  <c r="BQ297" i="6"/>
  <c r="BQ298" i="6"/>
  <c r="BQ299" i="6"/>
  <c r="BQ300" i="6"/>
  <c r="BQ301" i="6"/>
  <c r="BQ302" i="6"/>
  <c r="BQ253" i="6"/>
  <c r="BQ254" i="6"/>
  <c r="BQ255" i="6"/>
  <c r="BQ256" i="6"/>
  <c r="BQ257" i="6"/>
  <c r="BQ258" i="6"/>
  <c r="BQ259" i="6"/>
  <c r="BQ260" i="6"/>
  <c r="BQ725" i="6"/>
  <c r="BQ727" i="6"/>
  <c r="BQ729" i="6"/>
  <c r="BQ731" i="6"/>
  <c r="BQ656" i="6"/>
  <c r="BQ364" i="6"/>
  <c r="BQ369" i="6"/>
  <c r="BQ378" i="6"/>
  <c r="BQ380" i="6"/>
  <c r="BQ382" i="6"/>
  <c r="BQ384" i="6"/>
  <c r="BQ386" i="6"/>
  <c r="BQ388" i="6"/>
  <c r="BQ390" i="6"/>
  <c r="BQ392" i="6"/>
  <c r="BQ394" i="6"/>
  <c r="BQ396" i="6"/>
  <c r="BQ398" i="6"/>
  <c r="BQ400" i="6"/>
  <c r="BQ402" i="6"/>
  <c r="BQ404" i="6"/>
  <c r="BQ406" i="6"/>
  <c r="BQ408" i="6"/>
  <c r="BQ308" i="6"/>
  <c r="BQ310" i="6"/>
  <c r="BQ333" i="6"/>
  <c r="BQ334" i="6"/>
  <c r="BQ337" i="6"/>
  <c r="BQ338" i="6"/>
  <c r="BQ339" i="6"/>
  <c r="BQ340" i="6"/>
  <c r="BQ350" i="6"/>
  <c r="BQ353" i="6"/>
  <c r="BQ354" i="6"/>
  <c r="BQ355" i="6"/>
  <c r="BQ370" i="6"/>
  <c r="BQ377" i="6"/>
  <c r="BQ379" i="6"/>
  <c r="BQ385" i="6"/>
  <c r="BQ389" i="6"/>
  <c r="BQ393" i="6"/>
  <c r="BQ395" i="6"/>
  <c r="BQ366" i="6"/>
  <c r="BQ367" i="6"/>
  <c r="BQ312" i="6"/>
  <c r="BQ313" i="6"/>
  <c r="BQ314" i="6"/>
  <c r="BQ315" i="6"/>
  <c r="BQ316" i="6"/>
  <c r="BQ317" i="6"/>
  <c r="BQ318" i="6"/>
  <c r="BQ319" i="6"/>
  <c r="BQ320" i="6"/>
  <c r="BQ321" i="6"/>
  <c r="BQ322" i="6"/>
  <c r="BQ323" i="6"/>
  <c r="BQ324" i="6"/>
  <c r="BQ325" i="6"/>
  <c r="BQ326" i="6"/>
  <c r="BQ327" i="6"/>
  <c r="BQ328" i="6"/>
  <c r="BQ329" i="6"/>
  <c r="BQ330" i="6"/>
  <c r="BQ331" i="6"/>
  <c r="BQ332" i="6"/>
  <c r="BQ335" i="6"/>
  <c r="BQ336" i="6"/>
  <c r="BQ341" i="6"/>
  <c r="BQ342" i="6"/>
  <c r="BQ343" i="6"/>
  <c r="BQ344" i="6"/>
  <c r="BQ345" i="6"/>
  <c r="BQ346" i="6"/>
  <c r="BQ347" i="6"/>
  <c r="BQ348" i="6"/>
  <c r="BQ349" i="6"/>
  <c r="BQ351" i="6"/>
  <c r="BQ352" i="6"/>
  <c r="BQ363" i="6"/>
  <c r="BQ365" i="6"/>
  <c r="BQ381" i="6"/>
  <c r="BQ383" i="6"/>
  <c r="BQ387" i="6"/>
  <c r="BQ391" i="6"/>
  <c r="BQ397" i="6"/>
  <c r="BQ399" i="6"/>
  <c r="BQ401" i="6"/>
  <c r="BQ403" i="6"/>
  <c r="BQ405" i="6"/>
  <c r="BQ407" i="6"/>
  <c r="BQ307" i="6"/>
  <c r="BQ309" i="6"/>
  <c r="BQ311" i="6"/>
  <c r="BQ375" i="6"/>
  <c r="BQ266" i="6"/>
  <c r="DH1201" i="6"/>
  <c r="DH1202" i="6"/>
  <c r="DH1203" i="6"/>
  <c r="DH1204" i="6"/>
  <c r="DH1205" i="6"/>
  <c r="DH1206" i="6"/>
  <c r="DH1207" i="6"/>
  <c r="DH922" i="6"/>
  <c r="DH923" i="6"/>
  <c r="DH924" i="6"/>
  <c r="DH1200" i="6"/>
  <c r="DH1208" i="6"/>
  <c r="DH921" i="6"/>
  <c r="DH940" i="6"/>
  <c r="DH1209" i="6"/>
  <c r="DH941" i="6"/>
  <c r="DH946" i="6"/>
  <c r="DH947" i="6"/>
  <c r="DH952" i="6"/>
  <c r="DH925" i="6"/>
  <c r="DH929" i="6"/>
  <c r="DH933" i="6"/>
  <c r="DH902" i="6"/>
  <c r="DH903" i="6"/>
  <c r="DH904" i="6"/>
  <c r="DH905" i="6"/>
  <c r="DH906" i="6"/>
  <c r="DH907" i="6"/>
  <c r="DH908" i="6"/>
  <c r="DH909" i="6"/>
  <c r="DH928" i="6"/>
  <c r="DH932" i="6"/>
  <c r="DH927" i="6"/>
  <c r="DH931" i="6"/>
  <c r="DH939" i="6"/>
  <c r="DH898" i="6"/>
  <c r="DH938" i="6"/>
  <c r="DH899" i="6"/>
  <c r="DH910" i="6"/>
  <c r="DH911" i="6"/>
  <c r="DH912" i="6"/>
  <c r="DH913" i="6"/>
  <c r="DH914" i="6"/>
  <c r="DH930" i="6"/>
  <c r="DH953" i="6"/>
  <c r="DH900" i="6"/>
  <c r="DH915" i="6"/>
  <c r="DH916" i="6"/>
  <c r="DH885" i="6"/>
  <c r="DH886" i="6"/>
  <c r="DH887" i="6"/>
  <c r="DH888" i="6"/>
  <c r="DH889" i="6"/>
  <c r="DH890" i="6"/>
  <c r="DH891" i="6"/>
  <c r="DH892" i="6"/>
  <c r="DH893" i="6"/>
  <c r="DH832" i="6"/>
  <c r="DH833" i="6"/>
  <c r="DH834" i="6"/>
  <c r="DH926" i="6"/>
  <c r="DH954" i="6"/>
  <c r="DH901" i="6"/>
  <c r="DH835" i="6"/>
  <c r="DH836" i="6"/>
  <c r="DH837" i="6"/>
  <c r="DH838" i="6"/>
  <c r="DH839" i="6"/>
  <c r="DH840" i="6"/>
  <c r="DH861" i="6"/>
  <c r="DH862" i="6"/>
  <c r="DH863" i="6"/>
  <c r="DH864" i="6"/>
  <c r="DH865" i="6"/>
  <c r="DH866" i="6"/>
  <c r="DH867" i="6"/>
  <c r="DH868" i="6"/>
  <c r="DH869" i="6"/>
  <c r="DH870" i="6"/>
  <c r="DH871" i="6"/>
  <c r="DH872" i="6"/>
  <c r="DH873" i="6"/>
  <c r="DH874" i="6"/>
  <c r="DH875" i="6"/>
  <c r="DH876" i="6"/>
  <c r="DH877" i="6"/>
  <c r="DH878" i="6"/>
  <c r="DH879" i="6"/>
  <c r="DH880" i="6"/>
  <c r="DH779" i="6"/>
  <c r="DH780" i="6"/>
  <c r="DH781" i="6"/>
  <c r="DH782" i="6"/>
  <c r="DH783" i="6"/>
  <c r="DH784" i="6"/>
  <c r="DH785" i="6"/>
  <c r="DH786" i="6"/>
  <c r="DH787" i="6"/>
  <c r="DH788" i="6"/>
  <c r="DH789" i="6"/>
  <c r="DH790" i="6"/>
  <c r="DH791" i="6"/>
  <c r="DH792" i="6"/>
  <c r="DH793" i="6"/>
  <c r="DH794" i="6"/>
  <c r="DH795" i="6"/>
  <c r="DH796" i="6"/>
  <c r="DH797" i="6"/>
  <c r="DH798" i="6"/>
  <c r="DH799" i="6"/>
  <c r="DH841" i="6"/>
  <c r="DH842" i="6"/>
  <c r="DH843" i="6"/>
  <c r="DH844" i="6"/>
  <c r="DH845" i="6"/>
  <c r="DH846" i="6"/>
  <c r="DH847" i="6"/>
  <c r="DH848" i="6"/>
  <c r="DH849" i="6"/>
  <c r="DH850" i="6"/>
  <c r="DH851" i="6"/>
  <c r="DH852" i="6"/>
  <c r="DH853" i="6"/>
  <c r="DH854" i="6"/>
  <c r="DH855" i="6"/>
  <c r="DH856" i="6"/>
  <c r="DH857" i="6"/>
  <c r="DH858" i="6"/>
  <c r="DH859" i="6"/>
  <c r="DH860" i="6"/>
  <c r="DH800" i="6"/>
  <c r="DH801" i="6"/>
  <c r="DH802" i="6"/>
  <c r="DH803" i="6"/>
  <c r="DH804" i="6"/>
  <c r="DH805" i="6"/>
  <c r="DH806" i="6"/>
  <c r="DH807" i="6"/>
  <c r="DH808" i="6"/>
  <c r="DH809" i="6"/>
  <c r="DH810" i="6"/>
  <c r="DH811" i="6"/>
  <c r="DH812" i="6"/>
  <c r="DH813" i="6"/>
  <c r="DH814" i="6"/>
  <c r="DH815" i="6"/>
  <c r="DH816" i="6"/>
  <c r="DH817" i="6"/>
  <c r="DH818" i="6"/>
  <c r="DH819" i="6"/>
  <c r="DH820" i="6"/>
  <c r="DH821" i="6"/>
  <c r="DH822" i="6"/>
  <c r="DH823" i="6"/>
  <c r="DH824" i="6"/>
  <c r="DH825" i="6"/>
  <c r="DH826" i="6"/>
  <c r="DH827" i="6"/>
  <c r="DH737" i="6"/>
  <c r="DH738" i="6"/>
  <c r="DH739" i="6"/>
  <c r="DH740" i="6"/>
  <c r="DH741" i="6"/>
  <c r="DH742" i="6"/>
  <c r="DH743" i="6"/>
  <c r="DH744" i="6"/>
  <c r="DH745" i="6"/>
  <c r="DH746" i="6"/>
  <c r="DH747" i="6"/>
  <c r="DH748" i="6"/>
  <c r="DH749" i="6"/>
  <c r="DH750" i="6"/>
  <c r="DH751" i="6"/>
  <c r="DH649" i="6"/>
  <c r="DH650" i="6"/>
  <c r="DH651" i="6"/>
  <c r="DH652" i="6"/>
  <c r="DH653" i="6"/>
  <c r="DH654" i="6"/>
  <c r="DH655" i="6"/>
  <c r="DH656" i="6"/>
  <c r="DH657" i="6"/>
  <c r="DH752" i="6"/>
  <c r="DH753" i="6"/>
  <c r="DH754" i="6"/>
  <c r="DH755" i="6"/>
  <c r="DH756" i="6"/>
  <c r="DH757" i="6"/>
  <c r="DH758" i="6"/>
  <c r="DH759" i="6"/>
  <c r="DH760" i="6"/>
  <c r="DH761" i="6"/>
  <c r="DH762" i="6"/>
  <c r="DH763" i="6"/>
  <c r="DH764" i="6"/>
  <c r="DH765" i="6"/>
  <c r="DH766" i="6"/>
  <c r="DH767" i="6"/>
  <c r="DH768" i="6"/>
  <c r="DH769" i="6"/>
  <c r="DH770" i="6"/>
  <c r="DH771" i="6"/>
  <c r="DH772" i="6"/>
  <c r="DH773" i="6"/>
  <c r="DH774" i="6"/>
  <c r="DH611" i="6"/>
  <c r="DH612" i="6"/>
  <c r="DH613" i="6"/>
  <c r="DH614" i="6"/>
  <c r="DH615" i="6"/>
  <c r="DH616" i="6"/>
  <c r="DH617" i="6"/>
  <c r="DH618" i="6"/>
  <c r="DH619" i="6"/>
  <c r="DH620" i="6"/>
  <c r="DH621" i="6"/>
  <c r="DH622" i="6"/>
  <c r="DH623" i="6"/>
  <c r="DH624" i="6"/>
  <c r="DH625" i="6"/>
  <c r="DH626" i="6"/>
  <c r="DH627" i="6"/>
  <c r="DH628" i="6"/>
  <c r="DH629" i="6"/>
  <c r="DH630" i="6"/>
  <c r="DH631" i="6"/>
  <c r="DH632" i="6"/>
  <c r="DH633" i="6"/>
  <c r="DH634" i="6"/>
  <c r="DH635" i="6"/>
  <c r="DH636" i="6"/>
  <c r="DH637" i="6"/>
  <c r="DH638" i="6"/>
  <c r="DH639" i="6"/>
  <c r="DH640" i="6"/>
  <c r="DH641" i="6"/>
  <c r="DH642" i="6"/>
  <c r="DH643" i="6"/>
  <c r="DH644" i="6"/>
  <c r="DH566" i="6"/>
  <c r="DH567" i="6"/>
  <c r="DH568" i="6"/>
  <c r="DH569" i="6"/>
  <c r="DH570" i="6"/>
  <c r="DH571" i="6"/>
  <c r="DH572" i="6"/>
  <c r="DH573" i="6"/>
  <c r="DH574" i="6"/>
  <c r="DH575" i="6"/>
  <c r="DH576" i="6"/>
  <c r="DH577" i="6"/>
  <c r="DH578" i="6"/>
  <c r="DH579" i="6"/>
  <c r="DH580" i="6"/>
  <c r="DH581" i="6"/>
  <c r="DH582" i="6"/>
  <c r="DH583" i="6"/>
  <c r="DH584" i="6"/>
  <c r="DH585" i="6"/>
  <c r="DH586" i="6"/>
  <c r="DH587" i="6"/>
  <c r="DH588" i="6"/>
  <c r="DH449" i="6"/>
  <c r="DH450" i="6"/>
  <c r="DH451" i="6"/>
  <c r="DH452" i="6"/>
  <c r="DH453" i="6"/>
  <c r="DH454" i="6"/>
  <c r="DH455" i="6"/>
  <c r="DH456" i="6"/>
  <c r="DH457" i="6"/>
  <c r="DH458" i="6"/>
  <c r="DH459" i="6"/>
  <c r="DH460" i="6"/>
  <c r="DH461" i="6"/>
  <c r="DH466" i="6"/>
  <c r="DH467" i="6"/>
  <c r="DH468" i="6"/>
  <c r="DH596" i="6"/>
  <c r="DH598" i="6"/>
  <c r="DH600" i="6"/>
  <c r="DH602" i="6"/>
  <c r="DH604" i="6"/>
  <c r="DH606" i="6"/>
  <c r="DH608" i="6"/>
  <c r="DH610" i="6"/>
  <c r="DH474" i="6"/>
  <c r="DH360" i="6"/>
  <c r="DH361" i="6"/>
  <c r="DH362" i="6"/>
  <c r="DH366" i="6"/>
  <c r="DH367" i="6"/>
  <c r="DH369" i="6"/>
  <c r="DH370" i="6"/>
  <c r="DH376" i="6"/>
  <c r="DH685" i="6"/>
  <c r="DH687" i="6"/>
  <c r="DH689" i="6"/>
  <c r="DH691" i="6"/>
  <c r="DH693" i="6"/>
  <c r="DH695" i="6"/>
  <c r="DH697" i="6"/>
  <c r="DH703" i="6"/>
  <c r="DH705" i="6"/>
  <c r="DH711" i="6"/>
  <c r="DH717" i="6"/>
  <c r="DH662" i="6"/>
  <c r="DH664" i="6"/>
  <c r="DH666" i="6"/>
  <c r="DH668" i="6"/>
  <c r="DH670" i="6"/>
  <c r="DH672" i="6"/>
  <c r="DH674" i="6"/>
  <c r="DH676" i="6"/>
  <c r="DH678" i="6"/>
  <c r="DH680" i="6"/>
  <c r="DH543" i="6"/>
  <c r="DH544" i="6"/>
  <c r="DH545" i="6"/>
  <c r="DH546" i="6"/>
  <c r="DH547" i="6"/>
  <c r="DH548" i="6"/>
  <c r="DH549" i="6"/>
  <c r="DH550" i="6"/>
  <c r="DH551" i="6"/>
  <c r="DH552" i="6"/>
  <c r="DH553" i="6"/>
  <c r="DH554" i="6"/>
  <c r="DH555" i="6"/>
  <c r="DH556" i="6"/>
  <c r="DH557" i="6"/>
  <c r="DH558" i="6"/>
  <c r="DH559" i="6"/>
  <c r="DH560" i="6"/>
  <c r="DH561" i="6"/>
  <c r="DH562" i="6"/>
  <c r="DH563" i="6"/>
  <c r="DH564" i="6"/>
  <c r="DH565" i="6"/>
  <c r="DH469" i="6"/>
  <c r="DH475" i="6"/>
  <c r="DH480" i="6"/>
  <c r="DH481" i="6"/>
  <c r="DH482" i="6"/>
  <c r="DH426" i="6"/>
  <c r="DH427" i="6"/>
  <c r="DH428" i="6"/>
  <c r="DH429" i="6"/>
  <c r="DH430" i="6"/>
  <c r="DH431" i="6"/>
  <c r="DH432" i="6"/>
  <c r="DH433" i="6"/>
  <c r="DH434" i="6"/>
  <c r="DH435" i="6"/>
  <c r="DH436" i="6"/>
  <c r="DH437" i="6"/>
  <c r="DH438" i="6"/>
  <c r="DH439" i="6"/>
  <c r="DH440" i="6"/>
  <c r="DH441" i="6"/>
  <c r="DH442" i="6"/>
  <c r="DH443" i="6"/>
  <c r="DH444" i="6"/>
  <c r="DH413" i="6"/>
  <c r="DH414" i="6"/>
  <c r="DH415" i="6"/>
  <c r="DH416" i="6"/>
  <c r="DH417" i="6"/>
  <c r="DH418" i="6"/>
  <c r="DH419" i="6"/>
  <c r="DH420" i="6"/>
  <c r="DH421" i="6"/>
  <c r="DH267" i="6"/>
  <c r="DH268" i="6"/>
  <c r="DH269" i="6"/>
  <c r="DH270" i="6"/>
  <c r="DH271" i="6"/>
  <c r="DH272" i="6"/>
  <c r="DH273" i="6"/>
  <c r="DH274" i="6"/>
  <c r="DH275" i="6"/>
  <c r="DH276" i="6"/>
  <c r="DH277" i="6"/>
  <c r="DH278" i="6"/>
  <c r="DH279" i="6"/>
  <c r="DH280" i="6"/>
  <c r="DH281" i="6"/>
  <c r="DH282" i="6"/>
  <c r="DH283" i="6"/>
  <c r="DH284" i="6"/>
  <c r="DH285" i="6"/>
  <c r="DH286" i="6"/>
  <c r="DH287" i="6"/>
  <c r="DH288" i="6"/>
  <c r="DH289" i="6"/>
  <c r="DH290" i="6"/>
  <c r="DH291" i="6"/>
  <c r="DH292" i="6"/>
  <c r="DH293" i="6"/>
  <c r="DH294" i="6"/>
  <c r="DH295" i="6"/>
  <c r="DH296" i="6"/>
  <c r="DH297" i="6"/>
  <c r="DH298" i="6"/>
  <c r="DH299" i="6"/>
  <c r="DH300" i="6"/>
  <c r="DH301" i="6"/>
  <c r="DH302" i="6"/>
  <c r="DH253" i="6"/>
  <c r="DH254" i="6"/>
  <c r="DH255" i="6"/>
  <c r="DH256" i="6"/>
  <c r="DH257" i="6"/>
  <c r="DH258" i="6"/>
  <c r="DH259" i="6"/>
  <c r="DH260" i="6"/>
  <c r="DH726" i="6"/>
  <c r="DH728" i="6"/>
  <c r="DH730" i="6"/>
  <c r="DH732" i="6"/>
  <c r="DH597" i="6"/>
  <c r="DH601" i="6"/>
  <c r="DH605" i="6"/>
  <c r="DH609" i="6"/>
  <c r="DH589" i="6"/>
  <c r="DH590" i="6"/>
  <c r="DH591" i="6"/>
  <c r="DH501" i="6"/>
  <c r="DH502" i="6"/>
  <c r="DH503" i="6"/>
  <c r="DH504" i="6"/>
  <c r="DH505" i="6"/>
  <c r="DH506" i="6"/>
  <c r="DH507" i="6"/>
  <c r="DH508" i="6"/>
  <c r="DH509" i="6"/>
  <c r="DH510" i="6"/>
  <c r="DH511" i="6"/>
  <c r="DH512" i="6"/>
  <c r="DH513" i="6"/>
  <c r="DH514" i="6"/>
  <c r="DH515" i="6"/>
  <c r="DH516" i="6"/>
  <c r="DH517" i="6"/>
  <c r="DH518" i="6"/>
  <c r="DH519" i="6"/>
  <c r="DH520" i="6"/>
  <c r="DH521" i="6"/>
  <c r="DH522" i="6"/>
  <c r="DH523" i="6"/>
  <c r="DH524" i="6"/>
  <c r="DH525" i="6"/>
  <c r="DH526" i="6"/>
  <c r="DH527" i="6"/>
  <c r="DH528" i="6"/>
  <c r="DH529" i="6"/>
  <c r="DH530" i="6"/>
  <c r="DH531" i="6"/>
  <c r="DH532" i="6"/>
  <c r="DH533" i="6"/>
  <c r="DH534" i="6"/>
  <c r="DH535" i="6"/>
  <c r="DH536" i="6"/>
  <c r="DH537" i="6"/>
  <c r="DH538" i="6"/>
  <c r="DH368" i="6"/>
  <c r="DH311" i="6"/>
  <c r="DH312" i="6"/>
  <c r="DH313" i="6"/>
  <c r="DH314" i="6"/>
  <c r="DH315" i="6"/>
  <c r="DH316" i="6"/>
  <c r="DH317" i="6"/>
  <c r="DH318" i="6"/>
  <c r="DH319" i="6"/>
  <c r="DH320" i="6"/>
  <c r="DH321" i="6"/>
  <c r="DH322" i="6"/>
  <c r="DH323" i="6"/>
  <c r="DH324" i="6"/>
  <c r="DH325" i="6"/>
  <c r="DH326" i="6"/>
  <c r="DH327" i="6"/>
  <c r="DH328" i="6"/>
  <c r="DH329" i="6"/>
  <c r="DH330" i="6"/>
  <c r="DH331" i="6"/>
  <c r="DH332" i="6"/>
  <c r="DH333" i="6"/>
  <c r="DH334" i="6"/>
  <c r="DH335" i="6"/>
  <c r="DH336" i="6"/>
  <c r="DH337" i="6"/>
  <c r="DH338" i="6"/>
  <c r="DH339" i="6"/>
  <c r="DH340" i="6"/>
  <c r="DH341" i="6"/>
  <c r="DH342" i="6"/>
  <c r="DH343" i="6"/>
  <c r="DH344" i="6"/>
  <c r="DH345" i="6"/>
  <c r="DH346" i="6"/>
  <c r="DH347" i="6"/>
  <c r="DH348" i="6"/>
  <c r="DH349" i="6"/>
  <c r="DH350" i="6"/>
  <c r="DH351" i="6"/>
  <c r="DH352" i="6"/>
  <c r="DH353" i="6"/>
  <c r="DH354" i="6"/>
  <c r="DH355" i="6"/>
  <c r="DH266" i="6"/>
  <c r="DH686" i="6"/>
  <c r="DH688" i="6"/>
  <c r="DH690" i="6"/>
  <c r="DH692" i="6"/>
  <c r="DH694" i="6"/>
  <c r="DH696" i="6"/>
  <c r="DH702" i="6"/>
  <c r="DH704" i="6"/>
  <c r="DH710" i="6"/>
  <c r="DH716" i="6"/>
  <c r="DH718" i="6"/>
  <c r="DH663" i="6"/>
  <c r="DH665" i="6"/>
  <c r="DH667" i="6"/>
  <c r="DH669" i="6"/>
  <c r="DH671" i="6"/>
  <c r="DH673" i="6"/>
  <c r="DH675" i="6"/>
  <c r="DH677" i="6"/>
  <c r="DH679" i="6"/>
  <c r="DH729" i="6"/>
  <c r="DH607" i="6"/>
  <c r="DH364" i="6"/>
  <c r="DH371" i="6"/>
  <c r="DH373" i="6"/>
  <c r="DH378" i="6"/>
  <c r="DH380" i="6"/>
  <c r="DH382" i="6"/>
  <c r="DH384" i="6"/>
  <c r="DH386" i="6"/>
  <c r="DH388" i="6"/>
  <c r="DH390" i="6"/>
  <c r="DH392" i="6"/>
  <c r="DH394" i="6"/>
  <c r="DH396" i="6"/>
  <c r="DH398" i="6"/>
  <c r="DH400" i="6"/>
  <c r="DH402" i="6"/>
  <c r="DH404" i="6"/>
  <c r="DH406" i="6"/>
  <c r="DH408" i="6"/>
  <c r="DH308" i="6"/>
  <c r="DH310" i="6"/>
  <c r="DH725" i="6"/>
  <c r="DH599" i="6"/>
  <c r="DH377" i="6"/>
  <c r="DH379" i="6"/>
  <c r="DH385" i="6"/>
  <c r="DH389" i="6"/>
  <c r="DH391" i="6"/>
  <c r="DH265" i="6"/>
  <c r="DH603" i="6"/>
  <c r="DH375" i="6"/>
  <c r="DH727" i="6"/>
  <c r="DH489" i="6"/>
  <c r="DH490" i="6"/>
  <c r="DH491" i="6"/>
  <c r="DH492" i="6"/>
  <c r="DH493" i="6"/>
  <c r="DH494" i="6"/>
  <c r="DH495" i="6"/>
  <c r="DH496" i="6"/>
  <c r="DH363" i="6"/>
  <c r="DH365" i="6"/>
  <c r="DH372" i="6"/>
  <c r="DH374" i="6"/>
  <c r="DH381" i="6"/>
  <c r="DH383" i="6"/>
  <c r="DH387" i="6"/>
  <c r="DH393" i="6"/>
  <c r="DH395" i="6"/>
  <c r="DH397" i="6"/>
  <c r="DH399" i="6"/>
  <c r="DH401" i="6"/>
  <c r="DH403" i="6"/>
  <c r="DH405" i="6"/>
  <c r="DH407" i="6"/>
  <c r="DH307" i="6"/>
  <c r="DH309" i="6"/>
  <c r="DH731" i="6"/>
  <c r="CV1201" i="6"/>
  <c r="CV1202" i="6"/>
  <c r="CV1203" i="6"/>
  <c r="CV1204" i="6"/>
  <c r="CV1205" i="6"/>
  <c r="CV1206" i="6"/>
  <c r="CV1208" i="6"/>
  <c r="CV1207" i="6"/>
  <c r="CV1209" i="6"/>
  <c r="CV1200" i="6"/>
  <c r="CV921" i="6"/>
  <c r="CV922" i="6"/>
  <c r="CV923" i="6"/>
  <c r="CV924" i="6"/>
  <c r="CV925" i="6"/>
  <c r="CV926" i="6"/>
  <c r="CV927" i="6"/>
  <c r="CV928" i="6"/>
  <c r="CV929" i="6"/>
  <c r="CV930" i="6"/>
  <c r="CV931" i="6"/>
  <c r="CV932" i="6"/>
  <c r="CV933" i="6"/>
  <c r="CV938" i="6"/>
  <c r="CV939" i="6"/>
  <c r="CV941" i="6"/>
  <c r="CV946" i="6"/>
  <c r="CV947" i="6"/>
  <c r="CV952" i="6"/>
  <c r="CV953" i="6"/>
  <c r="CV940" i="6"/>
  <c r="CV903" i="6"/>
  <c r="CV904" i="6"/>
  <c r="CV905" i="6"/>
  <c r="CV906" i="6"/>
  <c r="CV907" i="6"/>
  <c r="CV908" i="6"/>
  <c r="CV909" i="6"/>
  <c r="CV910" i="6"/>
  <c r="CV954" i="6"/>
  <c r="CV898" i="6"/>
  <c r="CV899" i="6"/>
  <c r="CV900" i="6"/>
  <c r="CV901" i="6"/>
  <c r="CV902" i="6"/>
  <c r="CV911" i="6"/>
  <c r="CV912" i="6"/>
  <c r="CV913" i="6"/>
  <c r="CV914" i="6"/>
  <c r="CV915" i="6"/>
  <c r="CV835" i="6"/>
  <c r="CV836" i="6"/>
  <c r="CV837" i="6"/>
  <c r="CV838" i="6"/>
  <c r="CV839" i="6"/>
  <c r="CV840" i="6"/>
  <c r="CV916" i="6"/>
  <c r="CV885" i="6"/>
  <c r="CV886" i="6"/>
  <c r="CV887" i="6"/>
  <c r="CV888" i="6"/>
  <c r="CV889" i="6"/>
  <c r="CV890" i="6"/>
  <c r="CV891" i="6"/>
  <c r="CV892" i="6"/>
  <c r="CV893" i="6"/>
  <c r="CV832" i="6"/>
  <c r="CV833" i="6"/>
  <c r="CV834" i="6"/>
  <c r="CV841" i="6"/>
  <c r="CV842" i="6"/>
  <c r="CV843" i="6"/>
  <c r="CV844" i="6"/>
  <c r="CV845" i="6"/>
  <c r="CV846" i="6"/>
  <c r="CV847" i="6"/>
  <c r="CV848" i="6"/>
  <c r="CV849" i="6"/>
  <c r="CV850" i="6"/>
  <c r="CV851" i="6"/>
  <c r="CV852" i="6"/>
  <c r="CV853" i="6"/>
  <c r="CV854" i="6"/>
  <c r="CV855" i="6"/>
  <c r="CV856" i="6"/>
  <c r="CV857" i="6"/>
  <c r="CV858" i="6"/>
  <c r="CV859" i="6"/>
  <c r="CV860" i="6"/>
  <c r="CV861" i="6"/>
  <c r="CV862" i="6"/>
  <c r="CV863" i="6"/>
  <c r="CV864" i="6"/>
  <c r="CV865" i="6"/>
  <c r="CV866" i="6"/>
  <c r="CV867" i="6"/>
  <c r="CV868" i="6"/>
  <c r="CV869" i="6"/>
  <c r="CV870" i="6"/>
  <c r="CV871" i="6"/>
  <c r="CV872" i="6"/>
  <c r="CV873" i="6"/>
  <c r="CV874" i="6"/>
  <c r="CV875" i="6"/>
  <c r="CV876" i="6"/>
  <c r="CV877" i="6"/>
  <c r="CV878" i="6"/>
  <c r="CV879" i="6"/>
  <c r="CV880" i="6"/>
  <c r="CV779" i="6"/>
  <c r="CV780" i="6"/>
  <c r="CV781" i="6"/>
  <c r="CV782" i="6"/>
  <c r="CV783" i="6"/>
  <c r="CV784" i="6"/>
  <c r="CV785" i="6"/>
  <c r="CV786" i="6"/>
  <c r="CV787" i="6"/>
  <c r="CV788" i="6"/>
  <c r="CV789" i="6"/>
  <c r="CV790" i="6"/>
  <c r="CV791" i="6"/>
  <c r="CV792" i="6"/>
  <c r="CV793" i="6"/>
  <c r="CV794" i="6"/>
  <c r="CV795" i="6"/>
  <c r="CV796" i="6"/>
  <c r="CV797" i="6"/>
  <c r="CV798" i="6"/>
  <c r="CV799" i="6"/>
  <c r="CV800" i="6"/>
  <c r="CV801" i="6"/>
  <c r="CV802" i="6"/>
  <c r="CV803" i="6"/>
  <c r="CV804" i="6"/>
  <c r="CV805" i="6"/>
  <c r="CV806" i="6"/>
  <c r="CV807" i="6"/>
  <c r="CV808" i="6"/>
  <c r="CV809" i="6"/>
  <c r="CV810" i="6"/>
  <c r="CV811" i="6"/>
  <c r="CV812" i="6"/>
  <c r="CV813" i="6"/>
  <c r="CV814" i="6"/>
  <c r="CV815" i="6"/>
  <c r="CV816" i="6"/>
  <c r="CV817" i="6"/>
  <c r="CV818" i="6"/>
  <c r="CV819" i="6"/>
  <c r="CV820" i="6"/>
  <c r="CV821" i="6"/>
  <c r="CV822" i="6"/>
  <c r="CV823" i="6"/>
  <c r="CV824" i="6"/>
  <c r="CV825" i="6"/>
  <c r="CV826" i="6"/>
  <c r="CV827" i="6"/>
  <c r="CV737" i="6"/>
  <c r="CV738" i="6"/>
  <c r="CV739" i="6"/>
  <c r="CV740" i="6"/>
  <c r="CV741" i="6"/>
  <c r="CV742" i="6"/>
  <c r="CV743" i="6"/>
  <c r="CV744" i="6"/>
  <c r="CV745" i="6"/>
  <c r="CV746" i="6"/>
  <c r="CV747" i="6"/>
  <c r="CV748" i="6"/>
  <c r="CV749" i="6"/>
  <c r="CV750" i="6"/>
  <c r="CV751" i="6"/>
  <c r="CV649" i="6"/>
  <c r="CV650" i="6"/>
  <c r="CV651" i="6"/>
  <c r="CV652" i="6"/>
  <c r="CV653" i="6"/>
  <c r="CV654" i="6"/>
  <c r="CV655" i="6"/>
  <c r="CV656" i="6"/>
  <c r="CV657" i="6"/>
  <c r="CV685" i="6"/>
  <c r="CV686" i="6"/>
  <c r="CV687" i="6"/>
  <c r="CV688" i="6"/>
  <c r="CV689" i="6"/>
  <c r="CV690" i="6"/>
  <c r="CV691" i="6"/>
  <c r="CV692" i="6"/>
  <c r="CV693" i="6"/>
  <c r="CV694" i="6"/>
  <c r="CV695" i="6"/>
  <c r="CV696" i="6"/>
  <c r="CV697" i="6"/>
  <c r="CV702" i="6"/>
  <c r="CV703" i="6"/>
  <c r="CV704" i="6"/>
  <c r="CV705" i="6"/>
  <c r="CV710" i="6"/>
  <c r="CV711" i="6"/>
  <c r="CV716" i="6"/>
  <c r="CV717" i="6"/>
  <c r="CV718" i="6"/>
  <c r="CV662" i="6"/>
  <c r="CV663" i="6"/>
  <c r="CV664" i="6"/>
  <c r="CV665" i="6"/>
  <c r="CV666" i="6"/>
  <c r="CV667" i="6"/>
  <c r="CV668" i="6"/>
  <c r="CV669" i="6"/>
  <c r="CV670" i="6"/>
  <c r="CV671" i="6"/>
  <c r="CV672" i="6"/>
  <c r="CV673" i="6"/>
  <c r="CV674" i="6"/>
  <c r="CV675" i="6"/>
  <c r="CV676" i="6"/>
  <c r="CV677" i="6"/>
  <c r="CV678" i="6"/>
  <c r="CV679" i="6"/>
  <c r="CV680" i="6"/>
  <c r="CV611" i="6"/>
  <c r="CV612" i="6"/>
  <c r="CV613" i="6"/>
  <c r="CV614" i="6"/>
  <c r="CV615" i="6"/>
  <c r="CV616" i="6"/>
  <c r="CV617" i="6"/>
  <c r="CV618" i="6"/>
  <c r="CV619" i="6"/>
  <c r="CV620" i="6"/>
  <c r="CV621" i="6"/>
  <c r="CV622" i="6"/>
  <c r="CV623" i="6"/>
  <c r="CV624" i="6"/>
  <c r="CV625" i="6"/>
  <c r="CV626" i="6"/>
  <c r="CV627" i="6"/>
  <c r="CV628" i="6"/>
  <c r="CV629" i="6"/>
  <c r="CV630" i="6"/>
  <c r="CV631" i="6"/>
  <c r="CV632" i="6"/>
  <c r="CV633" i="6"/>
  <c r="CV634" i="6"/>
  <c r="CV635" i="6"/>
  <c r="CV636" i="6"/>
  <c r="CV637" i="6"/>
  <c r="CV638" i="6"/>
  <c r="CV639" i="6"/>
  <c r="CV640" i="6"/>
  <c r="CV641" i="6"/>
  <c r="CV642" i="6"/>
  <c r="CV643" i="6"/>
  <c r="CV644" i="6"/>
  <c r="CV752" i="6"/>
  <c r="CV753" i="6"/>
  <c r="CV754" i="6"/>
  <c r="CV755" i="6"/>
  <c r="CV756" i="6"/>
  <c r="CV725" i="6"/>
  <c r="CV726" i="6"/>
  <c r="CV727" i="6"/>
  <c r="CV728" i="6"/>
  <c r="CV729" i="6"/>
  <c r="CV730" i="6"/>
  <c r="CV731" i="6"/>
  <c r="CV732" i="6"/>
  <c r="CV596" i="6"/>
  <c r="CV597" i="6"/>
  <c r="CV598" i="6"/>
  <c r="CV599" i="6"/>
  <c r="CV600" i="6"/>
  <c r="CV601" i="6"/>
  <c r="CV602" i="6"/>
  <c r="CV603" i="6"/>
  <c r="CV604" i="6"/>
  <c r="CV605" i="6"/>
  <c r="CV606" i="6"/>
  <c r="CV607" i="6"/>
  <c r="CV608" i="6"/>
  <c r="CV609" i="6"/>
  <c r="CV610" i="6"/>
  <c r="CV543" i="6"/>
  <c r="CV544" i="6"/>
  <c r="CV545" i="6"/>
  <c r="CV546" i="6"/>
  <c r="CV547" i="6"/>
  <c r="CV548" i="6"/>
  <c r="CV549" i="6"/>
  <c r="CV550" i="6"/>
  <c r="CV551" i="6"/>
  <c r="CV552" i="6"/>
  <c r="CV553" i="6"/>
  <c r="CV554" i="6"/>
  <c r="CV555" i="6"/>
  <c r="CV556" i="6"/>
  <c r="CV557" i="6"/>
  <c r="CV558" i="6"/>
  <c r="CV559" i="6"/>
  <c r="CV560" i="6"/>
  <c r="CV561" i="6"/>
  <c r="CV562" i="6"/>
  <c r="CV563" i="6"/>
  <c r="CV564" i="6"/>
  <c r="CV565" i="6"/>
  <c r="CV449" i="6"/>
  <c r="CV450" i="6"/>
  <c r="CV451" i="6"/>
  <c r="CV452" i="6"/>
  <c r="CV453" i="6"/>
  <c r="CV454" i="6"/>
  <c r="CV455" i="6"/>
  <c r="CV456" i="6"/>
  <c r="CV457" i="6"/>
  <c r="CV458" i="6"/>
  <c r="CV459" i="6"/>
  <c r="CV460" i="6"/>
  <c r="CV461" i="6"/>
  <c r="CV466" i="6"/>
  <c r="CV467" i="6"/>
  <c r="CV468" i="6"/>
  <c r="CV474" i="6"/>
  <c r="CV360" i="6"/>
  <c r="CV361" i="6"/>
  <c r="CV362" i="6"/>
  <c r="CV366" i="6"/>
  <c r="CV367" i="6"/>
  <c r="CV369" i="6"/>
  <c r="CV370" i="6"/>
  <c r="CV376" i="6"/>
  <c r="CV757" i="6"/>
  <c r="CV759" i="6"/>
  <c r="CV761" i="6"/>
  <c r="CV763" i="6"/>
  <c r="CV765" i="6"/>
  <c r="CV767" i="6"/>
  <c r="CV769" i="6"/>
  <c r="CV771" i="6"/>
  <c r="CV773" i="6"/>
  <c r="CV489" i="6"/>
  <c r="CV490" i="6"/>
  <c r="CV491" i="6"/>
  <c r="CV492" i="6"/>
  <c r="CV493" i="6"/>
  <c r="CV494" i="6"/>
  <c r="CV495" i="6"/>
  <c r="CV496" i="6"/>
  <c r="CV368" i="6"/>
  <c r="CV267" i="6"/>
  <c r="CV268" i="6"/>
  <c r="CV269" i="6"/>
  <c r="CV270" i="6"/>
  <c r="CV271" i="6"/>
  <c r="CV272" i="6"/>
  <c r="CV273" i="6"/>
  <c r="CV274" i="6"/>
  <c r="CV275" i="6"/>
  <c r="CV276" i="6"/>
  <c r="CV277" i="6"/>
  <c r="CV278" i="6"/>
  <c r="CV279" i="6"/>
  <c r="CV280" i="6"/>
  <c r="CV281" i="6"/>
  <c r="CV282" i="6"/>
  <c r="CV283" i="6"/>
  <c r="CV284" i="6"/>
  <c r="CV285" i="6"/>
  <c r="CV286" i="6"/>
  <c r="CV287" i="6"/>
  <c r="CV288" i="6"/>
  <c r="CV289" i="6"/>
  <c r="CV290" i="6"/>
  <c r="CV291" i="6"/>
  <c r="CV292" i="6"/>
  <c r="CV293" i="6"/>
  <c r="CV294" i="6"/>
  <c r="CV295" i="6"/>
  <c r="CV296" i="6"/>
  <c r="CV297" i="6"/>
  <c r="CV298" i="6"/>
  <c r="CV299" i="6"/>
  <c r="CV300" i="6"/>
  <c r="CV301" i="6"/>
  <c r="CV302" i="6"/>
  <c r="CV253" i="6"/>
  <c r="CV254" i="6"/>
  <c r="CV255" i="6"/>
  <c r="CV256" i="6"/>
  <c r="CV257" i="6"/>
  <c r="CV258" i="6"/>
  <c r="CV259" i="6"/>
  <c r="CV260" i="6"/>
  <c r="CV566" i="6"/>
  <c r="CV568" i="6"/>
  <c r="CV570" i="6"/>
  <c r="CV572" i="6"/>
  <c r="CV574" i="6"/>
  <c r="CV576" i="6"/>
  <c r="CV578" i="6"/>
  <c r="CV580" i="6"/>
  <c r="CV582" i="6"/>
  <c r="CV584" i="6"/>
  <c r="CV586" i="6"/>
  <c r="CV588" i="6"/>
  <c r="CV375" i="6"/>
  <c r="CV312" i="6"/>
  <c r="CV313" i="6"/>
  <c r="CV314" i="6"/>
  <c r="CV315" i="6"/>
  <c r="CV316" i="6"/>
  <c r="CV317" i="6"/>
  <c r="CV318" i="6"/>
  <c r="CV319" i="6"/>
  <c r="CV320" i="6"/>
  <c r="CV321" i="6"/>
  <c r="CV322" i="6"/>
  <c r="CV323" i="6"/>
  <c r="CV324" i="6"/>
  <c r="CV325" i="6"/>
  <c r="CV326" i="6"/>
  <c r="CV327" i="6"/>
  <c r="CV328" i="6"/>
  <c r="CV329" i="6"/>
  <c r="CV330" i="6"/>
  <c r="CV331" i="6"/>
  <c r="CV332" i="6"/>
  <c r="CV333" i="6"/>
  <c r="CV334" i="6"/>
  <c r="CV335" i="6"/>
  <c r="CV336" i="6"/>
  <c r="CV337" i="6"/>
  <c r="CV338" i="6"/>
  <c r="CV339" i="6"/>
  <c r="CV340" i="6"/>
  <c r="CV341" i="6"/>
  <c r="CV342" i="6"/>
  <c r="CV343" i="6"/>
  <c r="CV344" i="6"/>
  <c r="CV345" i="6"/>
  <c r="CV346" i="6"/>
  <c r="CV347" i="6"/>
  <c r="CV348" i="6"/>
  <c r="CV349" i="6"/>
  <c r="CV350" i="6"/>
  <c r="CV351" i="6"/>
  <c r="CV352" i="6"/>
  <c r="CV353" i="6"/>
  <c r="CV354" i="6"/>
  <c r="CV355" i="6"/>
  <c r="CV266" i="6"/>
  <c r="CV758" i="6"/>
  <c r="CV760" i="6"/>
  <c r="CV762" i="6"/>
  <c r="CV764" i="6"/>
  <c r="CV766" i="6"/>
  <c r="CV768" i="6"/>
  <c r="CV770" i="6"/>
  <c r="CV772" i="6"/>
  <c r="CV774" i="6"/>
  <c r="CV567" i="6"/>
  <c r="CV571" i="6"/>
  <c r="CV575" i="6"/>
  <c r="CV579" i="6"/>
  <c r="CV583" i="6"/>
  <c r="CV587" i="6"/>
  <c r="CV589" i="6"/>
  <c r="CV590" i="6"/>
  <c r="CV591" i="6"/>
  <c r="CV501" i="6"/>
  <c r="CV502" i="6"/>
  <c r="CV503" i="6"/>
  <c r="CV504" i="6"/>
  <c r="CV505" i="6"/>
  <c r="CV506" i="6"/>
  <c r="CV507" i="6"/>
  <c r="CV508" i="6"/>
  <c r="CV509" i="6"/>
  <c r="CV510" i="6"/>
  <c r="CV511" i="6"/>
  <c r="CV512" i="6"/>
  <c r="CV513" i="6"/>
  <c r="CV514" i="6"/>
  <c r="CV515" i="6"/>
  <c r="CV516" i="6"/>
  <c r="CV517" i="6"/>
  <c r="CV518" i="6"/>
  <c r="CV519" i="6"/>
  <c r="CV520" i="6"/>
  <c r="CV521" i="6"/>
  <c r="CV522" i="6"/>
  <c r="CV523" i="6"/>
  <c r="CV524" i="6"/>
  <c r="CV525" i="6"/>
  <c r="CV526" i="6"/>
  <c r="CV527" i="6"/>
  <c r="CV528" i="6"/>
  <c r="CV529" i="6"/>
  <c r="CV530" i="6"/>
  <c r="CV531" i="6"/>
  <c r="CV532" i="6"/>
  <c r="CV533" i="6"/>
  <c r="CV534" i="6"/>
  <c r="CV535" i="6"/>
  <c r="CV536" i="6"/>
  <c r="CV537" i="6"/>
  <c r="CV538" i="6"/>
  <c r="CV469" i="6"/>
  <c r="CV480" i="6"/>
  <c r="CV482" i="6"/>
  <c r="CV427" i="6"/>
  <c r="CV429" i="6"/>
  <c r="CV431" i="6"/>
  <c r="CV433" i="6"/>
  <c r="CV435" i="6"/>
  <c r="CV437" i="6"/>
  <c r="CV439" i="6"/>
  <c r="CV441" i="6"/>
  <c r="CV443" i="6"/>
  <c r="CV413" i="6"/>
  <c r="CV415" i="6"/>
  <c r="CV417" i="6"/>
  <c r="CV419" i="6"/>
  <c r="CV421" i="6"/>
  <c r="CV265" i="6"/>
  <c r="CV573" i="6"/>
  <c r="CV475" i="6"/>
  <c r="CV426" i="6"/>
  <c r="CV428" i="6"/>
  <c r="CV430" i="6"/>
  <c r="CV436" i="6"/>
  <c r="CV438" i="6"/>
  <c r="CV440" i="6"/>
  <c r="CV414" i="6"/>
  <c r="CV371" i="6"/>
  <c r="CV378" i="6"/>
  <c r="CV380" i="6"/>
  <c r="CV388" i="6"/>
  <c r="CV390" i="6"/>
  <c r="CV398" i="6"/>
  <c r="CV402" i="6"/>
  <c r="CV363" i="6"/>
  <c r="CV365" i="6"/>
  <c r="CV372" i="6"/>
  <c r="CV374" i="6"/>
  <c r="CV377" i="6"/>
  <c r="CV379" i="6"/>
  <c r="CV381" i="6"/>
  <c r="CV383" i="6"/>
  <c r="CV385" i="6"/>
  <c r="CV387" i="6"/>
  <c r="CV389" i="6"/>
  <c r="CV391" i="6"/>
  <c r="CV393" i="6"/>
  <c r="CV395" i="6"/>
  <c r="CV397" i="6"/>
  <c r="CV399" i="6"/>
  <c r="CV401" i="6"/>
  <c r="CV403" i="6"/>
  <c r="CV405" i="6"/>
  <c r="CV407" i="6"/>
  <c r="CV307" i="6"/>
  <c r="CV309" i="6"/>
  <c r="CV311" i="6"/>
  <c r="CV569" i="6"/>
  <c r="CV577" i="6"/>
  <c r="CV581" i="6"/>
  <c r="CV585" i="6"/>
  <c r="CV481" i="6"/>
  <c r="CV432" i="6"/>
  <c r="CV434" i="6"/>
  <c r="CV442" i="6"/>
  <c r="CV444" i="6"/>
  <c r="CV416" i="6"/>
  <c r="CV418" i="6"/>
  <c r="CV420" i="6"/>
  <c r="CV364" i="6"/>
  <c r="CV373" i="6"/>
  <c r="CV382" i="6"/>
  <c r="CV384" i="6"/>
  <c r="CV386" i="6"/>
  <c r="CV392" i="6"/>
  <c r="CV394" i="6"/>
  <c r="CV396" i="6"/>
  <c r="CV400" i="6"/>
  <c r="CV404" i="6"/>
  <c r="CV406" i="6"/>
  <c r="CV408" i="6"/>
  <c r="CV308" i="6"/>
  <c r="CV310" i="6"/>
  <c r="CN1201" i="6"/>
  <c r="CN1202" i="6"/>
  <c r="CN1203" i="6"/>
  <c r="CN1204" i="6"/>
  <c r="CN1205" i="6"/>
  <c r="CN1206" i="6"/>
  <c r="CN1208" i="6"/>
  <c r="CN1209" i="6"/>
  <c r="CN1200" i="6"/>
  <c r="CN921" i="6"/>
  <c r="CN1207" i="6"/>
  <c r="CN922" i="6"/>
  <c r="CN923" i="6"/>
  <c r="CN924" i="6"/>
  <c r="CN946" i="6"/>
  <c r="CN947" i="6"/>
  <c r="CN952" i="6"/>
  <c r="CN953" i="6"/>
  <c r="CN925" i="6"/>
  <c r="CN926" i="6"/>
  <c r="CN927" i="6"/>
  <c r="CN928" i="6"/>
  <c r="CN929" i="6"/>
  <c r="CN930" i="6"/>
  <c r="CN931" i="6"/>
  <c r="CN932" i="6"/>
  <c r="CN933" i="6"/>
  <c r="CN938" i="6"/>
  <c r="CN939" i="6"/>
  <c r="CN940" i="6"/>
  <c r="CN941" i="6"/>
  <c r="CN954" i="6"/>
  <c r="CN898" i="6"/>
  <c r="CN899" i="6"/>
  <c r="CN900" i="6"/>
  <c r="CN901" i="6"/>
  <c r="CN902" i="6"/>
  <c r="CN903" i="6"/>
  <c r="CN904" i="6"/>
  <c r="CN905" i="6"/>
  <c r="CN906" i="6"/>
  <c r="CN907" i="6"/>
  <c r="CN908" i="6"/>
  <c r="CN909" i="6"/>
  <c r="CN910" i="6"/>
  <c r="CN911" i="6"/>
  <c r="CN912" i="6"/>
  <c r="CN913" i="6"/>
  <c r="CN914" i="6"/>
  <c r="CN915" i="6"/>
  <c r="CN835" i="6"/>
  <c r="CN836" i="6"/>
  <c r="CN837" i="6"/>
  <c r="CN838" i="6"/>
  <c r="CN839" i="6"/>
  <c r="CN840" i="6"/>
  <c r="CN841" i="6"/>
  <c r="CN885" i="6"/>
  <c r="CN887" i="6"/>
  <c r="CN889" i="6"/>
  <c r="CN891" i="6"/>
  <c r="CN893" i="6"/>
  <c r="CN832" i="6"/>
  <c r="CN834" i="6"/>
  <c r="CN842" i="6"/>
  <c r="CN843" i="6"/>
  <c r="CN844" i="6"/>
  <c r="CN845" i="6"/>
  <c r="CN846" i="6"/>
  <c r="CN847" i="6"/>
  <c r="CN848" i="6"/>
  <c r="CN849" i="6"/>
  <c r="CN850" i="6"/>
  <c r="CN851" i="6"/>
  <c r="CN852" i="6"/>
  <c r="CN853" i="6"/>
  <c r="CN854" i="6"/>
  <c r="CN855" i="6"/>
  <c r="CN856" i="6"/>
  <c r="CN857" i="6"/>
  <c r="CN858" i="6"/>
  <c r="CN859" i="6"/>
  <c r="CN860" i="6"/>
  <c r="CN861" i="6"/>
  <c r="CN862" i="6"/>
  <c r="CN863" i="6"/>
  <c r="CN864" i="6"/>
  <c r="CN865" i="6"/>
  <c r="CN866" i="6"/>
  <c r="CN867" i="6"/>
  <c r="CN868" i="6"/>
  <c r="CN869" i="6"/>
  <c r="CN870" i="6"/>
  <c r="CN871" i="6"/>
  <c r="CN872" i="6"/>
  <c r="CN873" i="6"/>
  <c r="CN874" i="6"/>
  <c r="CN875" i="6"/>
  <c r="CN876" i="6"/>
  <c r="CN877" i="6"/>
  <c r="CN878" i="6"/>
  <c r="CN879" i="6"/>
  <c r="CN880" i="6"/>
  <c r="CN779" i="6"/>
  <c r="CN780" i="6"/>
  <c r="CN781" i="6"/>
  <c r="CN782" i="6"/>
  <c r="CN783" i="6"/>
  <c r="CN784" i="6"/>
  <c r="CN785" i="6"/>
  <c r="CN786" i="6"/>
  <c r="CN787" i="6"/>
  <c r="CN788" i="6"/>
  <c r="CN789" i="6"/>
  <c r="CN790" i="6"/>
  <c r="CN791" i="6"/>
  <c r="CN792" i="6"/>
  <c r="CN793" i="6"/>
  <c r="CN794" i="6"/>
  <c r="CN795" i="6"/>
  <c r="CN796" i="6"/>
  <c r="CN797" i="6"/>
  <c r="CN798" i="6"/>
  <c r="CN799" i="6"/>
  <c r="CN800" i="6"/>
  <c r="CN916" i="6"/>
  <c r="CN888" i="6"/>
  <c r="CN892" i="6"/>
  <c r="CN833" i="6"/>
  <c r="CN886" i="6"/>
  <c r="CN801" i="6"/>
  <c r="CN802" i="6"/>
  <c r="CN803" i="6"/>
  <c r="CN804" i="6"/>
  <c r="CN805" i="6"/>
  <c r="CN806" i="6"/>
  <c r="CN807" i="6"/>
  <c r="CN808" i="6"/>
  <c r="CN809" i="6"/>
  <c r="CN810" i="6"/>
  <c r="CN811" i="6"/>
  <c r="CN812" i="6"/>
  <c r="CN813" i="6"/>
  <c r="CN814" i="6"/>
  <c r="CN815" i="6"/>
  <c r="CN816" i="6"/>
  <c r="CN817" i="6"/>
  <c r="CN818" i="6"/>
  <c r="CN819" i="6"/>
  <c r="CN820" i="6"/>
  <c r="CN821" i="6"/>
  <c r="CN822" i="6"/>
  <c r="CN823" i="6"/>
  <c r="CN824" i="6"/>
  <c r="CN825" i="6"/>
  <c r="CN826" i="6"/>
  <c r="CN827" i="6"/>
  <c r="CN737" i="6"/>
  <c r="CN738" i="6"/>
  <c r="CN739" i="6"/>
  <c r="CN740" i="6"/>
  <c r="CN741" i="6"/>
  <c r="CN742" i="6"/>
  <c r="CN743" i="6"/>
  <c r="CN744" i="6"/>
  <c r="CN745" i="6"/>
  <c r="CN746" i="6"/>
  <c r="CN747" i="6"/>
  <c r="CN748" i="6"/>
  <c r="CN749" i="6"/>
  <c r="CN750" i="6"/>
  <c r="CN751" i="6"/>
  <c r="CN649" i="6"/>
  <c r="CN650" i="6"/>
  <c r="CN651" i="6"/>
  <c r="CN652" i="6"/>
  <c r="CN653" i="6"/>
  <c r="CN654" i="6"/>
  <c r="CN655" i="6"/>
  <c r="CN656" i="6"/>
  <c r="CN657" i="6"/>
  <c r="CN685" i="6"/>
  <c r="CN686" i="6"/>
  <c r="CN687" i="6"/>
  <c r="CN688" i="6"/>
  <c r="CN689" i="6"/>
  <c r="CN690" i="6"/>
  <c r="CN691" i="6"/>
  <c r="CN692" i="6"/>
  <c r="CN693" i="6"/>
  <c r="CN694" i="6"/>
  <c r="CN695" i="6"/>
  <c r="CN696" i="6"/>
  <c r="CN697" i="6"/>
  <c r="CN702" i="6"/>
  <c r="CN703" i="6"/>
  <c r="CN704" i="6"/>
  <c r="CN705" i="6"/>
  <c r="CN710" i="6"/>
  <c r="CN711" i="6"/>
  <c r="CN716" i="6"/>
  <c r="CN717" i="6"/>
  <c r="CN718" i="6"/>
  <c r="CN662" i="6"/>
  <c r="CN663" i="6"/>
  <c r="CN664" i="6"/>
  <c r="CN665" i="6"/>
  <c r="CN666" i="6"/>
  <c r="CN667" i="6"/>
  <c r="CN668" i="6"/>
  <c r="CN669" i="6"/>
  <c r="CN670" i="6"/>
  <c r="CN671" i="6"/>
  <c r="CN672" i="6"/>
  <c r="CN673" i="6"/>
  <c r="CN674" i="6"/>
  <c r="CN675" i="6"/>
  <c r="CN676" i="6"/>
  <c r="CN677" i="6"/>
  <c r="CN678" i="6"/>
  <c r="CN679" i="6"/>
  <c r="CN680" i="6"/>
  <c r="CN611" i="6"/>
  <c r="CN612" i="6"/>
  <c r="CN613" i="6"/>
  <c r="CN614" i="6"/>
  <c r="CN615" i="6"/>
  <c r="CN616" i="6"/>
  <c r="CN617" i="6"/>
  <c r="CN618" i="6"/>
  <c r="CN619" i="6"/>
  <c r="CN620" i="6"/>
  <c r="CN621" i="6"/>
  <c r="CN622" i="6"/>
  <c r="CN623" i="6"/>
  <c r="CN624" i="6"/>
  <c r="CN625" i="6"/>
  <c r="CN626" i="6"/>
  <c r="CN627" i="6"/>
  <c r="CN628" i="6"/>
  <c r="CN629" i="6"/>
  <c r="CN630" i="6"/>
  <c r="CN631" i="6"/>
  <c r="CN632" i="6"/>
  <c r="CN633" i="6"/>
  <c r="CN634" i="6"/>
  <c r="CN635" i="6"/>
  <c r="CN636" i="6"/>
  <c r="CN637" i="6"/>
  <c r="CN638" i="6"/>
  <c r="CN639" i="6"/>
  <c r="CN640" i="6"/>
  <c r="CN641" i="6"/>
  <c r="CN642" i="6"/>
  <c r="CN643" i="6"/>
  <c r="CN644" i="6"/>
  <c r="CN890" i="6"/>
  <c r="CN725" i="6"/>
  <c r="CN726" i="6"/>
  <c r="CN727" i="6"/>
  <c r="CN728" i="6"/>
  <c r="CN729" i="6"/>
  <c r="CN730" i="6"/>
  <c r="CN731" i="6"/>
  <c r="CN732" i="6"/>
  <c r="CN752" i="6"/>
  <c r="CN754" i="6"/>
  <c r="CN756" i="6"/>
  <c r="CN597" i="6"/>
  <c r="CN599" i="6"/>
  <c r="CN601" i="6"/>
  <c r="CN603" i="6"/>
  <c r="CN605" i="6"/>
  <c r="CN607" i="6"/>
  <c r="CN609" i="6"/>
  <c r="CN543" i="6"/>
  <c r="CN544" i="6"/>
  <c r="CN545" i="6"/>
  <c r="CN546" i="6"/>
  <c r="CN547" i="6"/>
  <c r="CN548" i="6"/>
  <c r="CN549" i="6"/>
  <c r="CN550" i="6"/>
  <c r="CN551" i="6"/>
  <c r="CN552" i="6"/>
  <c r="CN553" i="6"/>
  <c r="CN554" i="6"/>
  <c r="CN555" i="6"/>
  <c r="CN556" i="6"/>
  <c r="CN557" i="6"/>
  <c r="CN558" i="6"/>
  <c r="CN559" i="6"/>
  <c r="CN560" i="6"/>
  <c r="CN561" i="6"/>
  <c r="CN562" i="6"/>
  <c r="CN563" i="6"/>
  <c r="CN564" i="6"/>
  <c r="CN565" i="6"/>
  <c r="CN449" i="6"/>
  <c r="CN450" i="6"/>
  <c r="CN451" i="6"/>
  <c r="CN452" i="6"/>
  <c r="CN453" i="6"/>
  <c r="CN454" i="6"/>
  <c r="CN455" i="6"/>
  <c r="CN456" i="6"/>
  <c r="CN457" i="6"/>
  <c r="CN458" i="6"/>
  <c r="CN459" i="6"/>
  <c r="CN460" i="6"/>
  <c r="CN461" i="6"/>
  <c r="CN466" i="6"/>
  <c r="CN467" i="6"/>
  <c r="CN468" i="6"/>
  <c r="CN757" i="6"/>
  <c r="CN758" i="6"/>
  <c r="CN759" i="6"/>
  <c r="CN760" i="6"/>
  <c r="CN761" i="6"/>
  <c r="CN762" i="6"/>
  <c r="CN763" i="6"/>
  <c r="CN764" i="6"/>
  <c r="CN765" i="6"/>
  <c r="CN766" i="6"/>
  <c r="CN767" i="6"/>
  <c r="CN768" i="6"/>
  <c r="CN769" i="6"/>
  <c r="CN770" i="6"/>
  <c r="CN771" i="6"/>
  <c r="CN772" i="6"/>
  <c r="CN773" i="6"/>
  <c r="CN774" i="6"/>
  <c r="CN566" i="6"/>
  <c r="CN567" i="6"/>
  <c r="CN568" i="6"/>
  <c r="CN569" i="6"/>
  <c r="CN570" i="6"/>
  <c r="CN571" i="6"/>
  <c r="CN572" i="6"/>
  <c r="CN573" i="6"/>
  <c r="CN574" i="6"/>
  <c r="CN575" i="6"/>
  <c r="CN576" i="6"/>
  <c r="CN577" i="6"/>
  <c r="CN578" i="6"/>
  <c r="CN579" i="6"/>
  <c r="CN580" i="6"/>
  <c r="CN581" i="6"/>
  <c r="CN582" i="6"/>
  <c r="CN583" i="6"/>
  <c r="CN584" i="6"/>
  <c r="CN585" i="6"/>
  <c r="CN586" i="6"/>
  <c r="CN587" i="6"/>
  <c r="CN588" i="6"/>
  <c r="CN474" i="6"/>
  <c r="CN360" i="6"/>
  <c r="CN361" i="6"/>
  <c r="CN362" i="6"/>
  <c r="CN366" i="6"/>
  <c r="CN367" i="6"/>
  <c r="CN369" i="6"/>
  <c r="CN370" i="6"/>
  <c r="CN376" i="6"/>
  <c r="CN596" i="6"/>
  <c r="CN600" i="6"/>
  <c r="CN604" i="6"/>
  <c r="CN608" i="6"/>
  <c r="CN489" i="6"/>
  <c r="CN490" i="6"/>
  <c r="CN491" i="6"/>
  <c r="CN492" i="6"/>
  <c r="CN493" i="6"/>
  <c r="CN494" i="6"/>
  <c r="CN495" i="6"/>
  <c r="CN496" i="6"/>
  <c r="CN363" i="6"/>
  <c r="CN364" i="6"/>
  <c r="CN365" i="6"/>
  <c r="CN371" i="6"/>
  <c r="CN372" i="6"/>
  <c r="CN373" i="6"/>
  <c r="CN374" i="6"/>
  <c r="CN377" i="6"/>
  <c r="CN378" i="6"/>
  <c r="CN379" i="6"/>
  <c r="CN380" i="6"/>
  <c r="CN381" i="6"/>
  <c r="CN382" i="6"/>
  <c r="CN383" i="6"/>
  <c r="CN384" i="6"/>
  <c r="CN385" i="6"/>
  <c r="CN386" i="6"/>
  <c r="CN387" i="6"/>
  <c r="CN388" i="6"/>
  <c r="CN389" i="6"/>
  <c r="CN390" i="6"/>
  <c r="CN391" i="6"/>
  <c r="CN392" i="6"/>
  <c r="CN393" i="6"/>
  <c r="CN394" i="6"/>
  <c r="CN395" i="6"/>
  <c r="CN396" i="6"/>
  <c r="CN397" i="6"/>
  <c r="CN398" i="6"/>
  <c r="CN399" i="6"/>
  <c r="CN400" i="6"/>
  <c r="CN401" i="6"/>
  <c r="CN402" i="6"/>
  <c r="CN403" i="6"/>
  <c r="CN404" i="6"/>
  <c r="CN405" i="6"/>
  <c r="CN406" i="6"/>
  <c r="CN407" i="6"/>
  <c r="CN408" i="6"/>
  <c r="CN307" i="6"/>
  <c r="CN308" i="6"/>
  <c r="CN309" i="6"/>
  <c r="CN310" i="6"/>
  <c r="CN311" i="6"/>
  <c r="CN267" i="6"/>
  <c r="CN268" i="6"/>
  <c r="CN269" i="6"/>
  <c r="CN270" i="6"/>
  <c r="CN271" i="6"/>
  <c r="CN272" i="6"/>
  <c r="CN273" i="6"/>
  <c r="CN274" i="6"/>
  <c r="CN275" i="6"/>
  <c r="CN276" i="6"/>
  <c r="CN277" i="6"/>
  <c r="CN278" i="6"/>
  <c r="CN279" i="6"/>
  <c r="CN280" i="6"/>
  <c r="CN281" i="6"/>
  <c r="CN282" i="6"/>
  <c r="CN283" i="6"/>
  <c r="CN284" i="6"/>
  <c r="CN285" i="6"/>
  <c r="CN286" i="6"/>
  <c r="CN287" i="6"/>
  <c r="CN288" i="6"/>
  <c r="CN289" i="6"/>
  <c r="CN290" i="6"/>
  <c r="CN291" i="6"/>
  <c r="CN292" i="6"/>
  <c r="CN293" i="6"/>
  <c r="CN294" i="6"/>
  <c r="CN295" i="6"/>
  <c r="CN296" i="6"/>
  <c r="CN297" i="6"/>
  <c r="CN298" i="6"/>
  <c r="CN299" i="6"/>
  <c r="CN300" i="6"/>
  <c r="CN301" i="6"/>
  <c r="CN302" i="6"/>
  <c r="CN253" i="6"/>
  <c r="CN254" i="6"/>
  <c r="CN255" i="6"/>
  <c r="CN256" i="6"/>
  <c r="CN257" i="6"/>
  <c r="CN258" i="6"/>
  <c r="CN259" i="6"/>
  <c r="CN260" i="6"/>
  <c r="CN598" i="6"/>
  <c r="CN606" i="6"/>
  <c r="CN753" i="6"/>
  <c r="CN469" i="6"/>
  <c r="CN475" i="6"/>
  <c r="CN480" i="6"/>
  <c r="CN481" i="6"/>
  <c r="CN482" i="6"/>
  <c r="CN426" i="6"/>
  <c r="CN427" i="6"/>
  <c r="CN428" i="6"/>
  <c r="CN429" i="6"/>
  <c r="CN430" i="6"/>
  <c r="CN431" i="6"/>
  <c r="CN432" i="6"/>
  <c r="CN433" i="6"/>
  <c r="CN434" i="6"/>
  <c r="CN435" i="6"/>
  <c r="CN436" i="6"/>
  <c r="CN437" i="6"/>
  <c r="CN438" i="6"/>
  <c r="CN439" i="6"/>
  <c r="CN440" i="6"/>
  <c r="CN441" i="6"/>
  <c r="CN442" i="6"/>
  <c r="CN443" i="6"/>
  <c r="CN444" i="6"/>
  <c r="CN413" i="6"/>
  <c r="CN414" i="6"/>
  <c r="CN415" i="6"/>
  <c r="CN416" i="6"/>
  <c r="CN417" i="6"/>
  <c r="CN418" i="6"/>
  <c r="CN419" i="6"/>
  <c r="CN420" i="6"/>
  <c r="CN421" i="6"/>
  <c r="CN312" i="6"/>
  <c r="CN313" i="6"/>
  <c r="CN314" i="6"/>
  <c r="CN315" i="6"/>
  <c r="CN316" i="6"/>
  <c r="CN317" i="6"/>
  <c r="CN318" i="6"/>
  <c r="CN319" i="6"/>
  <c r="CN320" i="6"/>
  <c r="CN321" i="6"/>
  <c r="CN322" i="6"/>
  <c r="CN323" i="6"/>
  <c r="CN324" i="6"/>
  <c r="CN325" i="6"/>
  <c r="CN326" i="6"/>
  <c r="CN327" i="6"/>
  <c r="CN328" i="6"/>
  <c r="CN329" i="6"/>
  <c r="CN330" i="6"/>
  <c r="CN331" i="6"/>
  <c r="CN332" i="6"/>
  <c r="CN333" i="6"/>
  <c r="CN334" i="6"/>
  <c r="CN335" i="6"/>
  <c r="CN336" i="6"/>
  <c r="CN337" i="6"/>
  <c r="CN338" i="6"/>
  <c r="CN339" i="6"/>
  <c r="CN340" i="6"/>
  <c r="CN341" i="6"/>
  <c r="CN342" i="6"/>
  <c r="CN343" i="6"/>
  <c r="CN344" i="6"/>
  <c r="CN345" i="6"/>
  <c r="CN346" i="6"/>
  <c r="CN347" i="6"/>
  <c r="CN348" i="6"/>
  <c r="CN349" i="6"/>
  <c r="CN350" i="6"/>
  <c r="CN351" i="6"/>
  <c r="CN352" i="6"/>
  <c r="CN353" i="6"/>
  <c r="CN354" i="6"/>
  <c r="CN355" i="6"/>
  <c r="CN266" i="6"/>
  <c r="CN602" i="6"/>
  <c r="CN375" i="6"/>
  <c r="CN265" i="6"/>
  <c r="CN589" i="6"/>
  <c r="CN590" i="6"/>
  <c r="CN501" i="6"/>
  <c r="CN503" i="6"/>
  <c r="CN504" i="6"/>
  <c r="CN506" i="6"/>
  <c r="CN508" i="6"/>
  <c r="CN510" i="6"/>
  <c r="CN513" i="6"/>
  <c r="CN515" i="6"/>
  <c r="CN518" i="6"/>
  <c r="CN520" i="6"/>
  <c r="CN522" i="6"/>
  <c r="CN524" i="6"/>
  <c r="CN525" i="6"/>
  <c r="CN528" i="6"/>
  <c r="CN530" i="6"/>
  <c r="CN533" i="6"/>
  <c r="CN534" i="6"/>
  <c r="CN537" i="6"/>
  <c r="CN755" i="6"/>
  <c r="CN368" i="6"/>
  <c r="CN591" i="6"/>
  <c r="CN502" i="6"/>
  <c r="CN505" i="6"/>
  <c r="CN507" i="6"/>
  <c r="CN509" i="6"/>
  <c r="CN511" i="6"/>
  <c r="CN512" i="6"/>
  <c r="CN514" i="6"/>
  <c r="CN516" i="6"/>
  <c r="CN517" i="6"/>
  <c r="CN519" i="6"/>
  <c r="CN521" i="6"/>
  <c r="CN523" i="6"/>
  <c r="CN526" i="6"/>
  <c r="CN527" i="6"/>
  <c r="CN529" i="6"/>
  <c r="CN531" i="6"/>
  <c r="CN532" i="6"/>
  <c r="CN535" i="6"/>
  <c r="CN536" i="6"/>
  <c r="CN538" i="6"/>
  <c r="CN610" i="6"/>
  <c r="BX1201" i="6"/>
  <c r="BX1202" i="6"/>
  <c r="BX1203" i="6"/>
  <c r="BX1204" i="6"/>
  <c r="BX1205" i="6"/>
  <c r="BX1206" i="6"/>
  <c r="BX1207" i="6"/>
  <c r="BX1208" i="6"/>
  <c r="BX1209" i="6"/>
  <c r="BX1200" i="6"/>
  <c r="BX921" i="6"/>
  <c r="BX922" i="6"/>
  <c r="BX923" i="6"/>
  <c r="BX924" i="6"/>
  <c r="BX946" i="6"/>
  <c r="BX947" i="6"/>
  <c r="BX952" i="6"/>
  <c r="BX953" i="6"/>
  <c r="BX925" i="6"/>
  <c r="BX926" i="6"/>
  <c r="BX927" i="6"/>
  <c r="BX928" i="6"/>
  <c r="BX929" i="6"/>
  <c r="BX930" i="6"/>
  <c r="BX931" i="6"/>
  <c r="BX932" i="6"/>
  <c r="BX933" i="6"/>
  <c r="BX938" i="6"/>
  <c r="BX939" i="6"/>
  <c r="BX940" i="6"/>
  <c r="BX941" i="6"/>
  <c r="BX954" i="6"/>
  <c r="BX898" i="6"/>
  <c r="BX899" i="6"/>
  <c r="BX900" i="6"/>
  <c r="BX901" i="6"/>
  <c r="BX902" i="6"/>
  <c r="BX903" i="6"/>
  <c r="BX904" i="6"/>
  <c r="BX905" i="6"/>
  <c r="BX906" i="6"/>
  <c r="BX907" i="6"/>
  <c r="BX908" i="6"/>
  <c r="BX909" i="6"/>
  <c r="BX910" i="6"/>
  <c r="BX911" i="6"/>
  <c r="BX912" i="6"/>
  <c r="BX913" i="6"/>
  <c r="BX914" i="6"/>
  <c r="BX915" i="6"/>
  <c r="BX835" i="6"/>
  <c r="BX836" i="6"/>
  <c r="BX837" i="6"/>
  <c r="BX838" i="6"/>
  <c r="BX839" i="6"/>
  <c r="BX840" i="6"/>
  <c r="BX841" i="6"/>
  <c r="BX916" i="6"/>
  <c r="BX886" i="6"/>
  <c r="BX888" i="6"/>
  <c r="BX890" i="6"/>
  <c r="BX892" i="6"/>
  <c r="BX833" i="6"/>
  <c r="BX842" i="6"/>
  <c r="BX843" i="6"/>
  <c r="BX844" i="6"/>
  <c r="BX845" i="6"/>
  <c r="BX846" i="6"/>
  <c r="BX847" i="6"/>
  <c r="BX848" i="6"/>
  <c r="BX849" i="6"/>
  <c r="BX850" i="6"/>
  <c r="BX851" i="6"/>
  <c r="BX852" i="6"/>
  <c r="BX853" i="6"/>
  <c r="BX854" i="6"/>
  <c r="BX855" i="6"/>
  <c r="BX856" i="6"/>
  <c r="BX857" i="6"/>
  <c r="BX858" i="6"/>
  <c r="BX859" i="6"/>
  <c r="BX860" i="6"/>
  <c r="BX862" i="6"/>
  <c r="BX863" i="6"/>
  <c r="BX864" i="6"/>
  <c r="BX865" i="6"/>
  <c r="BX866" i="6"/>
  <c r="BX867" i="6"/>
  <c r="BX868" i="6"/>
  <c r="BX869" i="6"/>
  <c r="BX870" i="6"/>
  <c r="BX871" i="6"/>
  <c r="BX872" i="6"/>
  <c r="BX873" i="6"/>
  <c r="BX874" i="6"/>
  <c r="BX875" i="6"/>
  <c r="BX876" i="6"/>
  <c r="BX877" i="6"/>
  <c r="BX878" i="6"/>
  <c r="BX879" i="6"/>
  <c r="BX880" i="6"/>
  <c r="BX779" i="6"/>
  <c r="BX780" i="6"/>
  <c r="BX781" i="6"/>
  <c r="BX782" i="6"/>
  <c r="BX783" i="6"/>
  <c r="BX784" i="6"/>
  <c r="BX785" i="6"/>
  <c r="BX786" i="6"/>
  <c r="BX787" i="6"/>
  <c r="BX788" i="6"/>
  <c r="BX789" i="6"/>
  <c r="BX790" i="6"/>
  <c r="BX791" i="6"/>
  <c r="BX792" i="6"/>
  <c r="BX793" i="6"/>
  <c r="BX794" i="6"/>
  <c r="BX795" i="6"/>
  <c r="BX796" i="6"/>
  <c r="BX797" i="6"/>
  <c r="BX798" i="6"/>
  <c r="BX799" i="6"/>
  <c r="BX800" i="6"/>
  <c r="BX887" i="6"/>
  <c r="BX891" i="6"/>
  <c r="BX832" i="6"/>
  <c r="BX861" i="6"/>
  <c r="BX834" i="6"/>
  <c r="BX893" i="6"/>
  <c r="BX801" i="6"/>
  <c r="BX802" i="6"/>
  <c r="BX803" i="6"/>
  <c r="BX804" i="6"/>
  <c r="BX805" i="6"/>
  <c r="BX806" i="6"/>
  <c r="BX807" i="6"/>
  <c r="BX808" i="6"/>
  <c r="BX809" i="6"/>
  <c r="BX810" i="6"/>
  <c r="BX811" i="6"/>
  <c r="BX812" i="6"/>
  <c r="BX813" i="6"/>
  <c r="BX814" i="6"/>
  <c r="BX815" i="6"/>
  <c r="BX816" i="6"/>
  <c r="BX817" i="6"/>
  <c r="BX818" i="6"/>
  <c r="BX819" i="6"/>
  <c r="BX820" i="6"/>
  <c r="BX821" i="6"/>
  <c r="BX822" i="6"/>
  <c r="BX823" i="6"/>
  <c r="BX824" i="6"/>
  <c r="BX825" i="6"/>
  <c r="BX826" i="6"/>
  <c r="BX827" i="6"/>
  <c r="BX737" i="6"/>
  <c r="BX738" i="6"/>
  <c r="BX739" i="6"/>
  <c r="BX740" i="6"/>
  <c r="BX741" i="6"/>
  <c r="BX742" i="6"/>
  <c r="BX743" i="6"/>
  <c r="BX744" i="6"/>
  <c r="BX745" i="6"/>
  <c r="BX746" i="6"/>
  <c r="BX747" i="6"/>
  <c r="BX748" i="6"/>
  <c r="BX749" i="6"/>
  <c r="BX750" i="6"/>
  <c r="BX751" i="6"/>
  <c r="BX889" i="6"/>
  <c r="BX649" i="6"/>
  <c r="BX650" i="6"/>
  <c r="BX651" i="6"/>
  <c r="BX652" i="6"/>
  <c r="BX653" i="6"/>
  <c r="BX654" i="6"/>
  <c r="BX655" i="6"/>
  <c r="BX656" i="6"/>
  <c r="BX657" i="6"/>
  <c r="BX885" i="6"/>
  <c r="BX685" i="6"/>
  <c r="BX686" i="6"/>
  <c r="BX687" i="6"/>
  <c r="BX688" i="6"/>
  <c r="BX689" i="6"/>
  <c r="BX690" i="6"/>
  <c r="BX691" i="6"/>
  <c r="BX692" i="6"/>
  <c r="BX693" i="6"/>
  <c r="BX694" i="6"/>
  <c r="BX695" i="6"/>
  <c r="BX696" i="6"/>
  <c r="BX697" i="6"/>
  <c r="BX702" i="6"/>
  <c r="BX703" i="6"/>
  <c r="BX704" i="6"/>
  <c r="BX705" i="6"/>
  <c r="BX710" i="6"/>
  <c r="BX711" i="6"/>
  <c r="BX716" i="6"/>
  <c r="BX717" i="6"/>
  <c r="BX718" i="6"/>
  <c r="BX662" i="6"/>
  <c r="BX663" i="6"/>
  <c r="BX664" i="6"/>
  <c r="BX665" i="6"/>
  <c r="BX666" i="6"/>
  <c r="BX667" i="6"/>
  <c r="BX668" i="6"/>
  <c r="BX669" i="6"/>
  <c r="BX670" i="6"/>
  <c r="BX671" i="6"/>
  <c r="BX672" i="6"/>
  <c r="BX673" i="6"/>
  <c r="BX674" i="6"/>
  <c r="BX675" i="6"/>
  <c r="BX676" i="6"/>
  <c r="BX677" i="6"/>
  <c r="BX678" i="6"/>
  <c r="BX679" i="6"/>
  <c r="BX680" i="6"/>
  <c r="BX612" i="6"/>
  <c r="BX613" i="6"/>
  <c r="BX614" i="6"/>
  <c r="BX615" i="6"/>
  <c r="BX616" i="6"/>
  <c r="BX617" i="6"/>
  <c r="BX618" i="6"/>
  <c r="BX619" i="6"/>
  <c r="BX620" i="6"/>
  <c r="BX621" i="6"/>
  <c r="BX622" i="6"/>
  <c r="BX623" i="6"/>
  <c r="BX624" i="6"/>
  <c r="BX625" i="6"/>
  <c r="BX626" i="6"/>
  <c r="BX627" i="6"/>
  <c r="BX628" i="6"/>
  <c r="BX629" i="6"/>
  <c r="BX630" i="6"/>
  <c r="BX631" i="6"/>
  <c r="BX632" i="6"/>
  <c r="BX633" i="6"/>
  <c r="BX634" i="6"/>
  <c r="BX635" i="6"/>
  <c r="BX636" i="6"/>
  <c r="BX637" i="6"/>
  <c r="BX638" i="6"/>
  <c r="BX639" i="6"/>
  <c r="BX640" i="6"/>
  <c r="BX641" i="6"/>
  <c r="BX642" i="6"/>
  <c r="BX643" i="6"/>
  <c r="BX644" i="6"/>
  <c r="BX725" i="6"/>
  <c r="BX726" i="6"/>
  <c r="BX727" i="6"/>
  <c r="BX728" i="6"/>
  <c r="BX729" i="6"/>
  <c r="BX730" i="6"/>
  <c r="BX731" i="6"/>
  <c r="BX732" i="6"/>
  <c r="BX753" i="6"/>
  <c r="BX755" i="6"/>
  <c r="BX596" i="6"/>
  <c r="BX598" i="6"/>
  <c r="BX600" i="6"/>
  <c r="BX602" i="6"/>
  <c r="BX604" i="6"/>
  <c r="BX606" i="6"/>
  <c r="BX608" i="6"/>
  <c r="BX610" i="6"/>
  <c r="BX543" i="6"/>
  <c r="BX544" i="6"/>
  <c r="BX545" i="6"/>
  <c r="BX546" i="6"/>
  <c r="BX547" i="6"/>
  <c r="BX548" i="6"/>
  <c r="BX549" i="6"/>
  <c r="BX550" i="6"/>
  <c r="BX551" i="6"/>
  <c r="BX552" i="6"/>
  <c r="BX553" i="6"/>
  <c r="BX554" i="6"/>
  <c r="BX555" i="6"/>
  <c r="BX556" i="6"/>
  <c r="BX557" i="6"/>
  <c r="BX558" i="6"/>
  <c r="BX559" i="6"/>
  <c r="BX560" i="6"/>
  <c r="BX561" i="6"/>
  <c r="BX562" i="6"/>
  <c r="BX563" i="6"/>
  <c r="BX564" i="6"/>
  <c r="BX565" i="6"/>
  <c r="BX449" i="6"/>
  <c r="BX450" i="6"/>
  <c r="BX451" i="6"/>
  <c r="BX452" i="6"/>
  <c r="BX453" i="6"/>
  <c r="BX454" i="6"/>
  <c r="BX455" i="6"/>
  <c r="BX456" i="6"/>
  <c r="BX457" i="6"/>
  <c r="BX458" i="6"/>
  <c r="BX459" i="6"/>
  <c r="BX460" i="6"/>
  <c r="BX461" i="6"/>
  <c r="BX466" i="6"/>
  <c r="BX467" i="6"/>
  <c r="BX468" i="6"/>
  <c r="BX757" i="6"/>
  <c r="BX758" i="6"/>
  <c r="BX759" i="6"/>
  <c r="BX760" i="6"/>
  <c r="BX761" i="6"/>
  <c r="BX762" i="6"/>
  <c r="BX763" i="6"/>
  <c r="BX764" i="6"/>
  <c r="BX765" i="6"/>
  <c r="BX766" i="6"/>
  <c r="BX767" i="6"/>
  <c r="BX768" i="6"/>
  <c r="BX769" i="6"/>
  <c r="BX770" i="6"/>
  <c r="BX771" i="6"/>
  <c r="BX772" i="6"/>
  <c r="BX773" i="6"/>
  <c r="BX774" i="6"/>
  <c r="BX566" i="6"/>
  <c r="BX567" i="6"/>
  <c r="BX568" i="6"/>
  <c r="BX569" i="6"/>
  <c r="BX570" i="6"/>
  <c r="BX571" i="6"/>
  <c r="BX572" i="6"/>
  <c r="BX573" i="6"/>
  <c r="BX574" i="6"/>
  <c r="BX575" i="6"/>
  <c r="BX576" i="6"/>
  <c r="BX577" i="6"/>
  <c r="BX578" i="6"/>
  <c r="BX579" i="6"/>
  <c r="BX580" i="6"/>
  <c r="BX581" i="6"/>
  <c r="BX582" i="6"/>
  <c r="BX583" i="6"/>
  <c r="BX584" i="6"/>
  <c r="BX585" i="6"/>
  <c r="BX586" i="6"/>
  <c r="BX587" i="6"/>
  <c r="BX588" i="6"/>
  <c r="BX474" i="6"/>
  <c r="BX360" i="6"/>
  <c r="BX361" i="6"/>
  <c r="BX362" i="6"/>
  <c r="BX366" i="6"/>
  <c r="BX367" i="6"/>
  <c r="BX369" i="6"/>
  <c r="BX370" i="6"/>
  <c r="BX376" i="6"/>
  <c r="BX599" i="6"/>
  <c r="BX603" i="6"/>
  <c r="BX607" i="6"/>
  <c r="BX611" i="6"/>
  <c r="BX489" i="6"/>
  <c r="BX490" i="6"/>
  <c r="BX491" i="6"/>
  <c r="BX492" i="6"/>
  <c r="BX493" i="6"/>
  <c r="BX494" i="6"/>
  <c r="BX495" i="6"/>
  <c r="BX496" i="6"/>
  <c r="BX363" i="6"/>
  <c r="BX364" i="6"/>
  <c r="BX365" i="6"/>
  <c r="BX371" i="6"/>
  <c r="BX372" i="6"/>
  <c r="BX373" i="6"/>
  <c r="BX374" i="6"/>
  <c r="BX377" i="6"/>
  <c r="BX378" i="6"/>
  <c r="BX379" i="6"/>
  <c r="BX380" i="6"/>
  <c r="BX381" i="6"/>
  <c r="BX382" i="6"/>
  <c r="BX383" i="6"/>
  <c r="BX384" i="6"/>
  <c r="BX385" i="6"/>
  <c r="BX386" i="6"/>
  <c r="BX387" i="6"/>
  <c r="BX388" i="6"/>
  <c r="BX389" i="6"/>
  <c r="BX390" i="6"/>
  <c r="BX391" i="6"/>
  <c r="BX392" i="6"/>
  <c r="BX393" i="6"/>
  <c r="BX394" i="6"/>
  <c r="BX395" i="6"/>
  <c r="BX396" i="6"/>
  <c r="BX397" i="6"/>
  <c r="BX398" i="6"/>
  <c r="BX399" i="6"/>
  <c r="BX400" i="6"/>
  <c r="BX401" i="6"/>
  <c r="BX402" i="6"/>
  <c r="BX403" i="6"/>
  <c r="BX404" i="6"/>
  <c r="BX405" i="6"/>
  <c r="BX406" i="6"/>
  <c r="BX407" i="6"/>
  <c r="BX408" i="6"/>
  <c r="BX307" i="6"/>
  <c r="BX308" i="6"/>
  <c r="BX309" i="6"/>
  <c r="BX310" i="6"/>
  <c r="BX311" i="6"/>
  <c r="BX267" i="6"/>
  <c r="BX268" i="6"/>
  <c r="BX269" i="6"/>
  <c r="BX270" i="6"/>
  <c r="BX271" i="6"/>
  <c r="BX272" i="6"/>
  <c r="BX273" i="6"/>
  <c r="BX274" i="6"/>
  <c r="BX275" i="6"/>
  <c r="BX276" i="6"/>
  <c r="BX277" i="6"/>
  <c r="BX278" i="6"/>
  <c r="BX279" i="6"/>
  <c r="BX280" i="6"/>
  <c r="BX281" i="6"/>
  <c r="BX282" i="6"/>
  <c r="BX283" i="6"/>
  <c r="BX284" i="6"/>
  <c r="BX285" i="6"/>
  <c r="BX286" i="6"/>
  <c r="BX287" i="6"/>
  <c r="BX288" i="6"/>
  <c r="BX289" i="6"/>
  <c r="BX290" i="6"/>
  <c r="BX291" i="6"/>
  <c r="BX292" i="6"/>
  <c r="BX293" i="6"/>
  <c r="BX294" i="6"/>
  <c r="BX295" i="6"/>
  <c r="BX296" i="6"/>
  <c r="BX297" i="6"/>
  <c r="BX298" i="6"/>
  <c r="BX299" i="6"/>
  <c r="BX300" i="6"/>
  <c r="BX301" i="6"/>
  <c r="BX302" i="6"/>
  <c r="BX253" i="6"/>
  <c r="BX254" i="6"/>
  <c r="BX255" i="6"/>
  <c r="BX256" i="6"/>
  <c r="BX257" i="6"/>
  <c r="BX258" i="6"/>
  <c r="BX259" i="6"/>
  <c r="BX260" i="6"/>
  <c r="BX597" i="6"/>
  <c r="BX601" i="6"/>
  <c r="BX752" i="6"/>
  <c r="BX756" i="6"/>
  <c r="BX469" i="6"/>
  <c r="BX475" i="6"/>
  <c r="BX480" i="6"/>
  <c r="BX481" i="6"/>
  <c r="BX482" i="6"/>
  <c r="BX426" i="6"/>
  <c r="BX427" i="6"/>
  <c r="BX428" i="6"/>
  <c r="BX429" i="6"/>
  <c r="BX430" i="6"/>
  <c r="BX431" i="6"/>
  <c r="BX432" i="6"/>
  <c r="BX433" i="6"/>
  <c r="BX434" i="6"/>
  <c r="BX435" i="6"/>
  <c r="BX436" i="6"/>
  <c r="BX437" i="6"/>
  <c r="BX438" i="6"/>
  <c r="BX439" i="6"/>
  <c r="BX440" i="6"/>
  <c r="BX441" i="6"/>
  <c r="BX442" i="6"/>
  <c r="BX443" i="6"/>
  <c r="BX444" i="6"/>
  <c r="BX413" i="6"/>
  <c r="BX414" i="6"/>
  <c r="BX415" i="6"/>
  <c r="BX416" i="6"/>
  <c r="BX417" i="6"/>
  <c r="BX418" i="6"/>
  <c r="BX419" i="6"/>
  <c r="BX420" i="6"/>
  <c r="BX421" i="6"/>
  <c r="BX312" i="6"/>
  <c r="BX313" i="6"/>
  <c r="BX314" i="6"/>
  <c r="BX315" i="6"/>
  <c r="BX316" i="6"/>
  <c r="BX317" i="6"/>
  <c r="BX318" i="6"/>
  <c r="BX319" i="6"/>
  <c r="BX320" i="6"/>
  <c r="BX321" i="6"/>
  <c r="BX322" i="6"/>
  <c r="BX323" i="6"/>
  <c r="BX324" i="6"/>
  <c r="BX325" i="6"/>
  <c r="BX326" i="6"/>
  <c r="BX327" i="6"/>
  <c r="BX328" i="6"/>
  <c r="BX329" i="6"/>
  <c r="BX330" i="6"/>
  <c r="BX331" i="6"/>
  <c r="BX332" i="6"/>
  <c r="BX333" i="6"/>
  <c r="BX334" i="6"/>
  <c r="BX335" i="6"/>
  <c r="BX336" i="6"/>
  <c r="BX337" i="6"/>
  <c r="BX338" i="6"/>
  <c r="BX339" i="6"/>
  <c r="BX340" i="6"/>
  <c r="BX341" i="6"/>
  <c r="BX342" i="6"/>
  <c r="BX343" i="6"/>
  <c r="BX344" i="6"/>
  <c r="BX345" i="6"/>
  <c r="BX346" i="6"/>
  <c r="BX347" i="6"/>
  <c r="BX348" i="6"/>
  <c r="BX349" i="6"/>
  <c r="BX350" i="6"/>
  <c r="BX351" i="6"/>
  <c r="BX352" i="6"/>
  <c r="BX353" i="6"/>
  <c r="BX354" i="6"/>
  <c r="BX355" i="6"/>
  <c r="BX266" i="6"/>
  <c r="BX605" i="6"/>
  <c r="BX265" i="6"/>
  <c r="BX754" i="6"/>
  <c r="BX589" i="6"/>
  <c r="BX590" i="6"/>
  <c r="BX591" i="6"/>
  <c r="BX501" i="6"/>
  <c r="BX502" i="6"/>
  <c r="BX505" i="6"/>
  <c r="BX507" i="6"/>
  <c r="BX509" i="6"/>
  <c r="BX510" i="6"/>
  <c r="BX511" i="6"/>
  <c r="BX512" i="6"/>
  <c r="BX514" i="6"/>
  <c r="BX516" i="6"/>
  <c r="BX519" i="6"/>
  <c r="BX520" i="6"/>
  <c r="BX521" i="6"/>
  <c r="BX523" i="6"/>
  <c r="BX526" i="6"/>
  <c r="BX531" i="6"/>
  <c r="BX532" i="6"/>
  <c r="BX535" i="6"/>
  <c r="BX536" i="6"/>
  <c r="BX538" i="6"/>
  <c r="BX375" i="6"/>
  <c r="BX609" i="6"/>
  <c r="BX368" i="6"/>
  <c r="BX503" i="6"/>
  <c r="BX504" i="6"/>
  <c r="BX506" i="6"/>
  <c r="BX508" i="6"/>
  <c r="BX513" i="6"/>
  <c r="BX515" i="6"/>
  <c r="BX517" i="6"/>
  <c r="BX518" i="6"/>
  <c r="BX522" i="6"/>
  <c r="BX524" i="6"/>
  <c r="BX525" i="6"/>
  <c r="BX527" i="6"/>
  <c r="BX528" i="6"/>
  <c r="BX529" i="6"/>
  <c r="BX530" i="6"/>
  <c r="BX533" i="6"/>
  <c r="BX534" i="6"/>
  <c r="BX537" i="6"/>
  <c r="BO475" i="6"/>
  <c r="BP366" i="6"/>
  <c r="BP375" i="6"/>
  <c r="DE1201" i="6"/>
  <c r="DE1202" i="6"/>
  <c r="DE1203" i="6"/>
  <c r="DE1204" i="6"/>
  <c r="DE1205" i="6"/>
  <c r="DE1206" i="6"/>
  <c r="DE1207" i="6"/>
  <c r="DE1208" i="6"/>
  <c r="DE1209" i="6"/>
  <c r="DE1200" i="6"/>
  <c r="DE921" i="6"/>
  <c r="DE925" i="6"/>
  <c r="DE926" i="6"/>
  <c r="DE927" i="6"/>
  <c r="DE928" i="6"/>
  <c r="DE929" i="6"/>
  <c r="DE930" i="6"/>
  <c r="DE931" i="6"/>
  <c r="DE932" i="6"/>
  <c r="DE933" i="6"/>
  <c r="DE938" i="6"/>
  <c r="DE939" i="6"/>
  <c r="DE940" i="6"/>
  <c r="DE922" i="6"/>
  <c r="DE923" i="6"/>
  <c r="DE924" i="6"/>
  <c r="DE941" i="6"/>
  <c r="DE946" i="6"/>
  <c r="DE947" i="6"/>
  <c r="DE952" i="6"/>
  <c r="DE953" i="6"/>
  <c r="DE954" i="6"/>
  <c r="DE898" i="6"/>
  <c r="DE899" i="6"/>
  <c r="DE900" i="6"/>
  <c r="DE901" i="6"/>
  <c r="DE902" i="6"/>
  <c r="DE903" i="6"/>
  <c r="DE904" i="6"/>
  <c r="DE905" i="6"/>
  <c r="DE906" i="6"/>
  <c r="DE907" i="6"/>
  <c r="DE908" i="6"/>
  <c r="DE909" i="6"/>
  <c r="DE915" i="6"/>
  <c r="DE916" i="6"/>
  <c r="DE885" i="6"/>
  <c r="DE886" i="6"/>
  <c r="DE887" i="6"/>
  <c r="DE888" i="6"/>
  <c r="DE889" i="6"/>
  <c r="DE890" i="6"/>
  <c r="DE891" i="6"/>
  <c r="DE892" i="6"/>
  <c r="DE893" i="6"/>
  <c r="DE832" i="6"/>
  <c r="DE833" i="6"/>
  <c r="DE834" i="6"/>
  <c r="DE912" i="6"/>
  <c r="DE841" i="6"/>
  <c r="DE842" i="6"/>
  <c r="DE843" i="6"/>
  <c r="DE844" i="6"/>
  <c r="DE845" i="6"/>
  <c r="DE846" i="6"/>
  <c r="DE847" i="6"/>
  <c r="DE848" i="6"/>
  <c r="DE849" i="6"/>
  <c r="DE850" i="6"/>
  <c r="DE851" i="6"/>
  <c r="DE852" i="6"/>
  <c r="DE853" i="6"/>
  <c r="DE854" i="6"/>
  <c r="DE855" i="6"/>
  <c r="DE856" i="6"/>
  <c r="DE857" i="6"/>
  <c r="DE858" i="6"/>
  <c r="DE859" i="6"/>
  <c r="DE860" i="6"/>
  <c r="DE913" i="6"/>
  <c r="DE835" i="6"/>
  <c r="DE836" i="6"/>
  <c r="DE837" i="6"/>
  <c r="DE838" i="6"/>
  <c r="DE839" i="6"/>
  <c r="DE840" i="6"/>
  <c r="DE911" i="6"/>
  <c r="DE914" i="6"/>
  <c r="DE910" i="6"/>
  <c r="DE861" i="6"/>
  <c r="DE862" i="6"/>
  <c r="DE863" i="6"/>
  <c r="DE864" i="6"/>
  <c r="DE865" i="6"/>
  <c r="DE866" i="6"/>
  <c r="DE867" i="6"/>
  <c r="DE868" i="6"/>
  <c r="DE869" i="6"/>
  <c r="DE870" i="6"/>
  <c r="DE871" i="6"/>
  <c r="DE872" i="6"/>
  <c r="DE873" i="6"/>
  <c r="DE874" i="6"/>
  <c r="DE875" i="6"/>
  <c r="DE876" i="6"/>
  <c r="DE877" i="6"/>
  <c r="DE878" i="6"/>
  <c r="DE879" i="6"/>
  <c r="DE880" i="6"/>
  <c r="DE779" i="6"/>
  <c r="DE780" i="6"/>
  <c r="DE781" i="6"/>
  <c r="DE782" i="6"/>
  <c r="DE783" i="6"/>
  <c r="DE784" i="6"/>
  <c r="DE785" i="6"/>
  <c r="DE786" i="6"/>
  <c r="DE787" i="6"/>
  <c r="DE788" i="6"/>
  <c r="DE789" i="6"/>
  <c r="DE790" i="6"/>
  <c r="DE791" i="6"/>
  <c r="DE792" i="6"/>
  <c r="DE793" i="6"/>
  <c r="DE794" i="6"/>
  <c r="DE795" i="6"/>
  <c r="DE796" i="6"/>
  <c r="DE797" i="6"/>
  <c r="DE798" i="6"/>
  <c r="DE799" i="6"/>
  <c r="DE800" i="6"/>
  <c r="DE801" i="6"/>
  <c r="DE802" i="6"/>
  <c r="DE803" i="6"/>
  <c r="DE804" i="6"/>
  <c r="DE805" i="6"/>
  <c r="DE806" i="6"/>
  <c r="DE807" i="6"/>
  <c r="DE808" i="6"/>
  <c r="DE809" i="6"/>
  <c r="DE810" i="6"/>
  <c r="DE811" i="6"/>
  <c r="DE812" i="6"/>
  <c r="DE813" i="6"/>
  <c r="DE814" i="6"/>
  <c r="DE815" i="6"/>
  <c r="DE816" i="6"/>
  <c r="DE817" i="6"/>
  <c r="DE818" i="6"/>
  <c r="DE819" i="6"/>
  <c r="DE820" i="6"/>
  <c r="DE821" i="6"/>
  <c r="DE822" i="6"/>
  <c r="DE823" i="6"/>
  <c r="DE824" i="6"/>
  <c r="DE825" i="6"/>
  <c r="DE826" i="6"/>
  <c r="DE827" i="6"/>
  <c r="DE737" i="6"/>
  <c r="DE738" i="6"/>
  <c r="DE739" i="6"/>
  <c r="DE740" i="6"/>
  <c r="DE741" i="6"/>
  <c r="DE742" i="6"/>
  <c r="DE743" i="6"/>
  <c r="DE744" i="6"/>
  <c r="DE745" i="6"/>
  <c r="DE746" i="6"/>
  <c r="DE747" i="6"/>
  <c r="DE752" i="6"/>
  <c r="DE753" i="6"/>
  <c r="DE754" i="6"/>
  <c r="DE755" i="6"/>
  <c r="DE756" i="6"/>
  <c r="DE757" i="6"/>
  <c r="DE758" i="6"/>
  <c r="DE759" i="6"/>
  <c r="DE760" i="6"/>
  <c r="DE761" i="6"/>
  <c r="DE762" i="6"/>
  <c r="DE763" i="6"/>
  <c r="DE764" i="6"/>
  <c r="DE765" i="6"/>
  <c r="DE766" i="6"/>
  <c r="DE767" i="6"/>
  <c r="DE768" i="6"/>
  <c r="DE769" i="6"/>
  <c r="DE770" i="6"/>
  <c r="DE771" i="6"/>
  <c r="DE772" i="6"/>
  <c r="DE773" i="6"/>
  <c r="DE774" i="6"/>
  <c r="DE685" i="6"/>
  <c r="DE686" i="6"/>
  <c r="DE687" i="6"/>
  <c r="DE688" i="6"/>
  <c r="DE689" i="6"/>
  <c r="DE690" i="6"/>
  <c r="DE691" i="6"/>
  <c r="DE692" i="6"/>
  <c r="DE693" i="6"/>
  <c r="DE694" i="6"/>
  <c r="DE695" i="6"/>
  <c r="DE696" i="6"/>
  <c r="DE697" i="6"/>
  <c r="DE702" i="6"/>
  <c r="DE703" i="6"/>
  <c r="DE704" i="6"/>
  <c r="DE705" i="6"/>
  <c r="DE710" i="6"/>
  <c r="DE711" i="6"/>
  <c r="DE716" i="6"/>
  <c r="DE717" i="6"/>
  <c r="DE718" i="6"/>
  <c r="DE662" i="6"/>
  <c r="DE663" i="6"/>
  <c r="DE664" i="6"/>
  <c r="DE665" i="6"/>
  <c r="DE666" i="6"/>
  <c r="DE667" i="6"/>
  <c r="DE668" i="6"/>
  <c r="DE669" i="6"/>
  <c r="DE670" i="6"/>
  <c r="DE671" i="6"/>
  <c r="DE672" i="6"/>
  <c r="DE673" i="6"/>
  <c r="DE674" i="6"/>
  <c r="DE675" i="6"/>
  <c r="DE676" i="6"/>
  <c r="DE677" i="6"/>
  <c r="DE678" i="6"/>
  <c r="DE679" i="6"/>
  <c r="DE680" i="6"/>
  <c r="DE596" i="6"/>
  <c r="DE597" i="6"/>
  <c r="DE598" i="6"/>
  <c r="DE599" i="6"/>
  <c r="DE600" i="6"/>
  <c r="DE601" i="6"/>
  <c r="DE602" i="6"/>
  <c r="DE603" i="6"/>
  <c r="DE604" i="6"/>
  <c r="DE605" i="6"/>
  <c r="DE606" i="6"/>
  <c r="DE607" i="6"/>
  <c r="DE608" i="6"/>
  <c r="DE609" i="6"/>
  <c r="DE610" i="6"/>
  <c r="DE649" i="6"/>
  <c r="DE650" i="6"/>
  <c r="DE651" i="6"/>
  <c r="DE652" i="6"/>
  <c r="DE751" i="6"/>
  <c r="DE653" i="6"/>
  <c r="DE654" i="6"/>
  <c r="DE655" i="6"/>
  <c r="DE656" i="6"/>
  <c r="DE657" i="6"/>
  <c r="DE543" i="6"/>
  <c r="DE544" i="6"/>
  <c r="DE545" i="6"/>
  <c r="DE546" i="6"/>
  <c r="DE547" i="6"/>
  <c r="DE548" i="6"/>
  <c r="DE549" i="6"/>
  <c r="DE550" i="6"/>
  <c r="DE551" i="6"/>
  <c r="DE552" i="6"/>
  <c r="DE553" i="6"/>
  <c r="DE554" i="6"/>
  <c r="DE555" i="6"/>
  <c r="DE556" i="6"/>
  <c r="DE557" i="6"/>
  <c r="DE558" i="6"/>
  <c r="DE559" i="6"/>
  <c r="DE560" i="6"/>
  <c r="DE561" i="6"/>
  <c r="DE562" i="6"/>
  <c r="DE563" i="6"/>
  <c r="DE564" i="6"/>
  <c r="DE565" i="6"/>
  <c r="DE566" i="6"/>
  <c r="DE567" i="6"/>
  <c r="DE568" i="6"/>
  <c r="DE569" i="6"/>
  <c r="DE570" i="6"/>
  <c r="DE571" i="6"/>
  <c r="DE572" i="6"/>
  <c r="DE573" i="6"/>
  <c r="DE574" i="6"/>
  <c r="DE575" i="6"/>
  <c r="DE576" i="6"/>
  <c r="DE577" i="6"/>
  <c r="DE578" i="6"/>
  <c r="DE579" i="6"/>
  <c r="DE580" i="6"/>
  <c r="DE581" i="6"/>
  <c r="DE582" i="6"/>
  <c r="DE583" i="6"/>
  <c r="DE584" i="6"/>
  <c r="DE585" i="6"/>
  <c r="DE586" i="6"/>
  <c r="DE587" i="6"/>
  <c r="DE588" i="6"/>
  <c r="DE748" i="6"/>
  <c r="DE611" i="6"/>
  <c r="DE612" i="6"/>
  <c r="DE613" i="6"/>
  <c r="DE614" i="6"/>
  <c r="DE615" i="6"/>
  <c r="DE616" i="6"/>
  <c r="DE617" i="6"/>
  <c r="DE618" i="6"/>
  <c r="DE619" i="6"/>
  <c r="DE620" i="6"/>
  <c r="DE621" i="6"/>
  <c r="DE622" i="6"/>
  <c r="DE623" i="6"/>
  <c r="DE624" i="6"/>
  <c r="DE625" i="6"/>
  <c r="DE626" i="6"/>
  <c r="DE627" i="6"/>
  <c r="DE628" i="6"/>
  <c r="DE629" i="6"/>
  <c r="DE630" i="6"/>
  <c r="DE631" i="6"/>
  <c r="DE632" i="6"/>
  <c r="DE633" i="6"/>
  <c r="DE634" i="6"/>
  <c r="DE635" i="6"/>
  <c r="DE636" i="6"/>
  <c r="DE637" i="6"/>
  <c r="DE638" i="6"/>
  <c r="DE639" i="6"/>
  <c r="DE640" i="6"/>
  <c r="DE641" i="6"/>
  <c r="DE642" i="6"/>
  <c r="DE643" i="6"/>
  <c r="DE644" i="6"/>
  <c r="DE749" i="6"/>
  <c r="DE750" i="6"/>
  <c r="DE589" i="6"/>
  <c r="DE590" i="6"/>
  <c r="DE591" i="6"/>
  <c r="DE501" i="6"/>
  <c r="DE502" i="6"/>
  <c r="DE503" i="6"/>
  <c r="DE504" i="6"/>
  <c r="DE505" i="6"/>
  <c r="DE506" i="6"/>
  <c r="DE507" i="6"/>
  <c r="DE508" i="6"/>
  <c r="DE509" i="6"/>
  <c r="DE510" i="6"/>
  <c r="DE511" i="6"/>
  <c r="DE512" i="6"/>
  <c r="DE513" i="6"/>
  <c r="DE514" i="6"/>
  <c r="DE515" i="6"/>
  <c r="DE516" i="6"/>
  <c r="DE517" i="6"/>
  <c r="DE518" i="6"/>
  <c r="DE519" i="6"/>
  <c r="DE520" i="6"/>
  <c r="DE521" i="6"/>
  <c r="DE522" i="6"/>
  <c r="DE523" i="6"/>
  <c r="DE524" i="6"/>
  <c r="DE525" i="6"/>
  <c r="DE526" i="6"/>
  <c r="DE527" i="6"/>
  <c r="DE528" i="6"/>
  <c r="DE529" i="6"/>
  <c r="DE530" i="6"/>
  <c r="DE531" i="6"/>
  <c r="DE532" i="6"/>
  <c r="DE533" i="6"/>
  <c r="DE534" i="6"/>
  <c r="DE535" i="6"/>
  <c r="DE536" i="6"/>
  <c r="DE537" i="6"/>
  <c r="DE538" i="6"/>
  <c r="DE725" i="6"/>
  <c r="DE726" i="6"/>
  <c r="DE727" i="6"/>
  <c r="DE728" i="6"/>
  <c r="DE729" i="6"/>
  <c r="DE730" i="6"/>
  <c r="DE731" i="6"/>
  <c r="DE732" i="6"/>
  <c r="DE449" i="6"/>
  <c r="DE450" i="6"/>
  <c r="DE451" i="6"/>
  <c r="DE452" i="6"/>
  <c r="DE453" i="6"/>
  <c r="DE454" i="6"/>
  <c r="DE455" i="6"/>
  <c r="DE456" i="6"/>
  <c r="DE457" i="6"/>
  <c r="DE458" i="6"/>
  <c r="DE459" i="6"/>
  <c r="DE460" i="6"/>
  <c r="DE461" i="6"/>
  <c r="DE466" i="6"/>
  <c r="DE467" i="6"/>
  <c r="DE468" i="6"/>
  <c r="DE469" i="6"/>
  <c r="DE371" i="6"/>
  <c r="DE372" i="6"/>
  <c r="DE373" i="6"/>
  <c r="DE374" i="6"/>
  <c r="DE366" i="6"/>
  <c r="DE367" i="6"/>
  <c r="DE375" i="6"/>
  <c r="DE265" i="6"/>
  <c r="DE489" i="6"/>
  <c r="DE490" i="6"/>
  <c r="DE491" i="6"/>
  <c r="DE492" i="6"/>
  <c r="DE493" i="6"/>
  <c r="DE494" i="6"/>
  <c r="DE495" i="6"/>
  <c r="DE496" i="6"/>
  <c r="DE363" i="6"/>
  <c r="DE364" i="6"/>
  <c r="DE365" i="6"/>
  <c r="DE369" i="6"/>
  <c r="DE370" i="6"/>
  <c r="DE377" i="6"/>
  <c r="DE378" i="6"/>
  <c r="DE379" i="6"/>
  <c r="DE380" i="6"/>
  <c r="DE381" i="6"/>
  <c r="DE382" i="6"/>
  <c r="DE383" i="6"/>
  <c r="DE384" i="6"/>
  <c r="DE385" i="6"/>
  <c r="DE386" i="6"/>
  <c r="DE387" i="6"/>
  <c r="DE388" i="6"/>
  <c r="DE389" i="6"/>
  <c r="DE390" i="6"/>
  <c r="DE391" i="6"/>
  <c r="DE392" i="6"/>
  <c r="DE393" i="6"/>
  <c r="DE394" i="6"/>
  <c r="DE395" i="6"/>
  <c r="DE396" i="6"/>
  <c r="DE397" i="6"/>
  <c r="DE398" i="6"/>
  <c r="DE399" i="6"/>
  <c r="DE400" i="6"/>
  <c r="DE401" i="6"/>
  <c r="DE402" i="6"/>
  <c r="DE403" i="6"/>
  <c r="DE404" i="6"/>
  <c r="DE405" i="6"/>
  <c r="DE406" i="6"/>
  <c r="DE407" i="6"/>
  <c r="DE408" i="6"/>
  <c r="DE307" i="6"/>
  <c r="DE308" i="6"/>
  <c r="DE309" i="6"/>
  <c r="DE310" i="6"/>
  <c r="DE267" i="6"/>
  <c r="DE268" i="6"/>
  <c r="DE269" i="6"/>
  <c r="DE270" i="6"/>
  <c r="DE271" i="6"/>
  <c r="DE272" i="6"/>
  <c r="DE273" i="6"/>
  <c r="DE274" i="6"/>
  <c r="DE275" i="6"/>
  <c r="DE276" i="6"/>
  <c r="DE277" i="6"/>
  <c r="DE278" i="6"/>
  <c r="DE279" i="6"/>
  <c r="DE280" i="6"/>
  <c r="DE281" i="6"/>
  <c r="DE282" i="6"/>
  <c r="DE283" i="6"/>
  <c r="DE284" i="6"/>
  <c r="DE285" i="6"/>
  <c r="DE286" i="6"/>
  <c r="DE287" i="6"/>
  <c r="DE288" i="6"/>
  <c r="DE289" i="6"/>
  <c r="DE290" i="6"/>
  <c r="DE291" i="6"/>
  <c r="DE292" i="6"/>
  <c r="DE293" i="6"/>
  <c r="DE294" i="6"/>
  <c r="DE295" i="6"/>
  <c r="DE296" i="6"/>
  <c r="DE297" i="6"/>
  <c r="DE298" i="6"/>
  <c r="DE299" i="6"/>
  <c r="DE300" i="6"/>
  <c r="DE301" i="6"/>
  <c r="DE302" i="6"/>
  <c r="DE253" i="6"/>
  <c r="DE254" i="6"/>
  <c r="DE255" i="6"/>
  <c r="DE256" i="6"/>
  <c r="DE257" i="6"/>
  <c r="DE258" i="6"/>
  <c r="DE259" i="6"/>
  <c r="DE260" i="6"/>
  <c r="DE474" i="6"/>
  <c r="DE360" i="6"/>
  <c r="DE362" i="6"/>
  <c r="DE315" i="6"/>
  <c r="DE316" i="6"/>
  <c r="DE317" i="6"/>
  <c r="DE318" i="6"/>
  <c r="DE319" i="6"/>
  <c r="DE320" i="6"/>
  <c r="DE321" i="6"/>
  <c r="DE322" i="6"/>
  <c r="DE323" i="6"/>
  <c r="DE324" i="6"/>
  <c r="DE325" i="6"/>
  <c r="DE326" i="6"/>
  <c r="DE327" i="6"/>
  <c r="DE328" i="6"/>
  <c r="DE329" i="6"/>
  <c r="DE330" i="6"/>
  <c r="DE331" i="6"/>
  <c r="DE332" i="6"/>
  <c r="DE334" i="6"/>
  <c r="DE340" i="6"/>
  <c r="DE347" i="6"/>
  <c r="DE350" i="6"/>
  <c r="DE351" i="6"/>
  <c r="DE354" i="6"/>
  <c r="DE361" i="6"/>
  <c r="DE480" i="6"/>
  <c r="DE482" i="6"/>
  <c r="DE429" i="6"/>
  <c r="DE433" i="6"/>
  <c r="DE435" i="6"/>
  <c r="DE439" i="6"/>
  <c r="DE443" i="6"/>
  <c r="DE413" i="6"/>
  <c r="DE415" i="6"/>
  <c r="DE417" i="6"/>
  <c r="DE419" i="6"/>
  <c r="DE376" i="6"/>
  <c r="DE266" i="6"/>
  <c r="DE475" i="6"/>
  <c r="DE481" i="6"/>
  <c r="DE426" i="6"/>
  <c r="DE428" i="6"/>
  <c r="DE430" i="6"/>
  <c r="DE432" i="6"/>
  <c r="DE434" i="6"/>
  <c r="DE436" i="6"/>
  <c r="DE438" i="6"/>
  <c r="DE440" i="6"/>
  <c r="DE442" i="6"/>
  <c r="DE444" i="6"/>
  <c r="DE414" i="6"/>
  <c r="DE416" i="6"/>
  <c r="DE418" i="6"/>
  <c r="DE420" i="6"/>
  <c r="DE311" i="6"/>
  <c r="DE312" i="6"/>
  <c r="DE313" i="6"/>
  <c r="DE314" i="6"/>
  <c r="DE333" i="6"/>
  <c r="DE335" i="6"/>
  <c r="DE336" i="6"/>
  <c r="DE337" i="6"/>
  <c r="DE338" i="6"/>
  <c r="DE339" i="6"/>
  <c r="DE341" i="6"/>
  <c r="DE342" i="6"/>
  <c r="DE343" i="6"/>
  <c r="DE344" i="6"/>
  <c r="DE345" i="6"/>
  <c r="DE346" i="6"/>
  <c r="DE348" i="6"/>
  <c r="DE349" i="6"/>
  <c r="DE352" i="6"/>
  <c r="DE353" i="6"/>
  <c r="DE355" i="6"/>
  <c r="DE368" i="6"/>
  <c r="DE427" i="6"/>
  <c r="DE431" i="6"/>
  <c r="DE437" i="6"/>
  <c r="DE441" i="6"/>
  <c r="DE421" i="6"/>
  <c r="CZ1201" i="6"/>
  <c r="CZ1202" i="6"/>
  <c r="CZ1203" i="6"/>
  <c r="CZ1204" i="6"/>
  <c r="CZ1205" i="6"/>
  <c r="CZ1206" i="6"/>
  <c r="CZ1207" i="6"/>
  <c r="CZ1208" i="6"/>
  <c r="CZ1209" i="6"/>
  <c r="CZ1200" i="6"/>
  <c r="CZ921" i="6"/>
  <c r="CZ922" i="6"/>
  <c r="CZ923" i="6"/>
  <c r="CZ924" i="6"/>
  <c r="CZ940" i="6"/>
  <c r="CZ925" i="6"/>
  <c r="CZ926" i="6"/>
  <c r="CZ927" i="6"/>
  <c r="CZ928" i="6"/>
  <c r="CZ929" i="6"/>
  <c r="CZ930" i="6"/>
  <c r="CZ931" i="6"/>
  <c r="CZ932" i="6"/>
  <c r="CZ933" i="6"/>
  <c r="CZ938" i="6"/>
  <c r="CZ939" i="6"/>
  <c r="CZ941" i="6"/>
  <c r="CZ946" i="6"/>
  <c r="CZ947" i="6"/>
  <c r="CZ952" i="6"/>
  <c r="CZ903" i="6"/>
  <c r="CZ904" i="6"/>
  <c r="CZ905" i="6"/>
  <c r="CZ906" i="6"/>
  <c r="CZ907" i="6"/>
  <c r="CZ908" i="6"/>
  <c r="CZ909" i="6"/>
  <c r="CZ954" i="6"/>
  <c r="CZ898" i="6"/>
  <c r="CZ899" i="6"/>
  <c r="CZ900" i="6"/>
  <c r="CZ901" i="6"/>
  <c r="CZ902" i="6"/>
  <c r="CZ953" i="6"/>
  <c r="CZ913" i="6"/>
  <c r="CZ910" i="6"/>
  <c r="CZ914" i="6"/>
  <c r="CZ912" i="6"/>
  <c r="CZ915" i="6"/>
  <c r="CZ885" i="6"/>
  <c r="CZ887" i="6"/>
  <c r="CZ889" i="6"/>
  <c r="CZ891" i="6"/>
  <c r="CZ893" i="6"/>
  <c r="CZ832" i="6"/>
  <c r="CZ834" i="6"/>
  <c r="CZ861" i="6"/>
  <c r="CZ862" i="6"/>
  <c r="CZ863" i="6"/>
  <c r="CZ864" i="6"/>
  <c r="CZ865" i="6"/>
  <c r="CZ866" i="6"/>
  <c r="CZ867" i="6"/>
  <c r="CZ868" i="6"/>
  <c r="CZ869" i="6"/>
  <c r="CZ870" i="6"/>
  <c r="CZ871" i="6"/>
  <c r="CZ872" i="6"/>
  <c r="CZ873" i="6"/>
  <c r="CZ874" i="6"/>
  <c r="CZ875" i="6"/>
  <c r="CZ876" i="6"/>
  <c r="CZ877" i="6"/>
  <c r="CZ878" i="6"/>
  <c r="CZ879" i="6"/>
  <c r="CZ880" i="6"/>
  <c r="CZ779" i="6"/>
  <c r="CZ780" i="6"/>
  <c r="CZ781" i="6"/>
  <c r="CZ782" i="6"/>
  <c r="CZ783" i="6"/>
  <c r="CZ784" i="6"/>
  <c r="CZ785" i="6"/>
  <c r="CZ786" i="6"/>
  <c r="CZ787" i="6"/>
  <c r="CZ788" i="6"/>
  <c r="CZ789" i="6"/>
  <c r="CZ790" i="6"/>
  <c r="CZ791" i="6"/>
  <c r="CZ792" i="6"/>
  <c r="CZ793" i="6"/>
  <c r="CZ794" i="6"/>
  <c r="CZ795" i="6"/>
  <c r="CZ796" i="6"/>
  <c r="CZ797" i="6"/>
  <c r="CZ798" i="6"/>
  <c r="CZ799" i="6"/>
  <c r="CZ800" i="6"/>
  <c r="CZ886" i="6"/>
  <c r="CZ890" i="6"/>
  <c r="CZ911" i="6"/>
  <c r="CZ916" i="6"/>
  <c r="CZ888" i="6"/>
  <c r="CZ892" i="6"/>
  <c r="CZ833" i="6"/>
  <c r="CZ835" i="6"/>
  <c r="CZ837" i="6"/>
  <c r="CZ839" i="6"/>
  <c r="CZ841" i="6"/>
  <c r="CZ843" i="6"/>
  <c r="CZ845" i="6"/>
  <c r="CZ847" i="6"/>
  <c r="CZ849" i="6"/>
  <c r="CZ851" i="6"/>
  <c r="CZ853" i="6"/>
  <c r="CZ855" i="6"/>
  <c r="CZ857" i="6"/>
  <c r="CZ859" i="6"/>
  <c r="CZ836" i="6"/>
  <c r="CZ840" i="6"/>
  <c r="CZ801" i="6"/>
  <c r="CZ802" i="6"/>
  <c r="CZ803" i="6"/>
  <c r="CZ804" i="6"/>
  <c r="CZ805" i="6"/>
  <c r="CZ806" i="6"/>
  <c r="CZ807" i="6"/>
  <c r="CZ808" i="6"/>
  <c r="CZ809" i="6"/>
  <c r="CZ810" i="6"/>
  <c r="CZ811" i="6"/>
  <c r="CZ812" i="6"/>
  <c r="CZ813" i="6"/>
  <c r="CZ814" i="6"/>
  <c r="CZ815" i="6"/>
  <c r="CZ816" i="6"/>
  <c r="CZ817" i="6"/>
  <c r="CZ818" i="6"/>
  <c r="CZ819" i="6"/>
  <c r="CZ820" i="6"/>
  <c r="CZ821" i="6"/>
  <c r="CZ822" i="6"/>
  <c r="CZ823" i="6"/>
  <c r="CZ824" i="6"/>
  <c r="CZ825" i="6"/>
  <c r="CZ826" i="6"/>
  <c r="CZ827" i="6"/>
  <c r="CZ737" i="6"/>
  <c r="CZ738" i="6"/>
  <c r="CZ739" i="6"/>
  <c r="CZ740" i="6"/>
  <c r="CZ741" i="6"/>
  <c r="CZ742" i="6"/>
  <c r="CZ743" i="6"/>
  <c r="CZ744" i="6"/>
  <c r="CZ745" i="6"/>
  <c r="CZ746" i="6"/>
  <c r="CZ747" i="6"/>
  <c r="CZ748" i="6"/>
  <c r="CZ749" i="6"/>
  <c r="CZ750" i="6"/>
  <c r="CZ751" i="6"/>
  <c r="CZ842" i="6"/>
  <c r="CZ844" i="6"/>
  <c r="CZ846" i="6"/>
  <c r="CZ848" i="6"/>
  <c r="CZ850" i="6"/>
  <c r="CZ852" i="6"/>
  <c r="CZ854" i="6"/>
  <c r="CZ856" i="6"/>
  <c r="CZ858" i="6"/>
  <c r="CZ860" i="6"/>
  <c r="CZ649" i="6"/>
  <c r="CZ650" i="6"/>
  <c r="CZ651" i="6"/>
  <c r="CZ652" i="6"/>
  <c r="CZ653" i="6"/>
  <c r="CZ654" i="6"/>
  <c r="CZ655" i="6"/>
  <c r="CZ656" i="6"/>
  <c r="CZ657" i="6"/>
  <c r="CZ757" i="6"/>
  <c r="CZ758" i="6"/>
  <c r="CZ759" i="6"/>
  <c r="CZ760" i="6"/>
  <c r="CZ761" i="6"/>
  <c r="CZ762" i="6"/>
  <c r="CZ763" i="6"/>
  <c r="CZ764" i="6"/>
  <c r="CZ765" i="6"/>
  <c r="CZ766" i="6"/>
  <c r="CZ767" i="6"/>
  <c r="CZ768" i="6"/>
  <c r="CZ769" i="6"/>
  <c r="CZ770" i="6"/>
  <c r="CZ771" i="6"/>
  <c r="CZ772" i="6"/>
  <c r="CZ773" i="6"/>
  <c r="CZ774" i="6"/>
  <c r="CZ596" i="6"/>
  <c r="CZ597" i="6"/>
  <c r="CZ598" i="6"/>
  <c r="CZ599" i="6"/>
  <c r="CZ600" i="6"/>
  <c r="CZ601" i="6"/>
  <c r="CZ602" i="6"/>
  <c r="CZ603" i="6"/>
  <c r="CZ604" i="6"/>
  <c r="CZ605" i="6"/>
  <c r="CZ606" i="6"/>
  <c r="CZ607" i="6"/>
  <c r="CZ608" i="6"/>
  <c r="CZ609" i="6"/>
  <c r="CZ610" i="6"/>
  <c r="CZ611" i="6"/>
  <c r="CZ612" i="6"/>
  <c r="CZ613" i="6"/>
  <c r="CZ614" i="6"/>
  <c r="CZ615" i="6"/>
  <c r="CZ616" i="6"/>
  <c r="CZ617" i="6"/>
  <c r="CZ618" i="6"/>
  <c r="CZ619" i="6"/>
  <c r="CZ620" i="6"/>
  <c r="CZ621" i="6"/>
  <c r="CZ622" i="6"/>
  <c r="CZ623" i="6"/>
  <c r="CZ624" i="6"/>
  <c r="CZ625" i="6"/>
  <c r="CZ626" i="6"/>
  <c r="CZ627" i="6"/>
  <c r="CZ628" i="6"/>
  <c r="CZ629" i="6"/>
  <c r="CZ630" i="6"/>
  <c r="CZ631" i="6"/>
  <c r="CZ632" i="6"/>
  <c r="CZ633" i="6"/>
  <c r="CZ634" i="6"/>
  <c r="CZ635" i="6"/>
  <c r="CZ636" i="6"/>
  <c r="CZ637" i="6"/>
  <c r="CZ638" i="6"/>
  <c r="CZ639" i="6"/>
  <c r="CZ640" i="6"/>
  <c r="CZ641" i="6"/>
  <c r="CZ642" i="6"/>
  <c r="CZ643" i="6"/>
  <c r="CZ644" i="6"/>
  <c r="CZ725" i="6"/>
  <c r="CZ726" i="6"/>
  <c r="CZ727" i="6"/>
  <c r="CZ728" i="6"/>
  <c r="CZ729" i="6"/>
  <c r="CZ730" i="6"/>
  <c r="CZ731" i="6"/>
  <c r="CZ732" i="6"/>
  <c r="CZ449" i="6"/>
  <c r="CZ450" i="6"/>
  <c r="CZ451" i="6"/>
  <c r="CZ452" i="6"/>
  <c r="CZ453" i="6"/>
  <c r="CZ454" i="6"/>
  <c r="CZ455" i="6"/>
  <c r="CZ456" i="6"/>
  <c r="CZ457" i="6"/>
  <c r="CZ458" i="6"/>
  <c r="CZ459" i="6"/>
  <c r="CZ460" i="6"/>
  <c r="CZ461" i="6"/>
  <c r="CZ466" i="6"/>
  <c r="CZ467" i="6"/>
  <c r="CZ468" i="6"/>
  <c r="CZ838" i="6"/>
  <c r="CZ752" i="6"/>
  <c r="CZ754" i="6"/>
  <c r="CZ756" i="6"/>
  <c r="CZ685" i="6"/>
  <c r="CZ686" i="6"/>
  <c r="CZ687" i="6"/>
  <c r="CZ688" i="6"/>
  <c r="CZ689" i="6"/>
  <c r="CZ690" i="6"/>
  <c r="CZ691" i="6"/>
  <c r="CZ692" i="6"/>
  <c r="CZ693" i="6"/>
  <c r="CZ694" i="6"/>
  <c r="CZ695" i="6"/>
  <c r="CZ696" i="6"/>
  <c r="CZ697" i="6"/>
  <c r="CZ702" i="6"/>
  <c r="CZ703" i="6"/>
  <c r="CZ704" i="6"/>
  <c r="CZ705" i="6"/>
  <c r="CZ710" i="6"/>
  <c r="CZ711" i="6"/>
  <c r="CZ716" i="6"/>
  <c r="CZ717" i="6"/>
  <c r="CZ718" i="6"/>
  <c r="CZ662" i="6"/>
  <c r="CZ663" i="6"/>
  <c r="CZ664" i="6"/>
  <c r="CZ665" i="6"/>
  <c r="CZ666" i="6"/>
  <c r="CZ667" i="6"/>
  <c r="CZ668" i="6"/>
  <c r="CZ669" i="6"/>
  <c r="CZ670" i="6"/>
  <c r="CZ671" i="6"/>
  <c r="CZ672" i="6"/>
  <c r="CZ673" i="6"/>
  <c r="CZ674" i="6"/>
  <c r="CZ675" i="6"/>
  <c r="CZ676" i="6"/>
  <c r="CZ677" i="6"/>
  <c r="CZ678" i="6"/>
  <c r="CZ679" i="6"/>
  <c r="CZ680" i="6"/>
  <c r="CZ474" i="6"/>
  <c r="CZ360" i="6"/>
  <c r="CZ361" i="6"/>
  <c r="CZ362" i="6"/>
  <c r="CZ366" i="6"/>
  <c r="CZ367" i="6"/>
  <c r="CZ369" i="6"/>
  <c r="CZ370" i="6"/>
  <c r="CZ376" i="6"/>
  <c r="CZ755" i="6"/>
  <c r="CZ567" i="6"/>
  <c r="CZ569" i="6"/>
  <c r="CZ571" i="6"/>
  <c r="CZ573" i="6"/>
  <c r="CZ575" i="6"/>
  <c r="CZ577" i="6"/>
  <c r="CZ579" i="6"/>
  <c r="CZ581" i="6"/>
  <c r="CZ583" i="6"/>
  <c r="CZ585" i="6"/>
  <c r="CZ587" i="6"/>
  <c r="CZ375" i="6"/>
  <c r="CZ267" i="6"/>
  <c r="CZ268" i="6"/>
  <c r="CZ269" i="6"/>
  <c r="CZ270" i="6"/>
  <c r="CZ271" i="6"/>
  <c r="CZ272" i="6"/>
  <c r="CZ273" i="6"/>
  <c r="CZ274" i="6"/>
  <c r="CZ275" i="6"/>
  <c r="CZ276" i="6"/>
  <c r="CZ277" i="6"/>
  <c r="CZ278" i="6"/>
  <c r="CZ279" i="6"/>
  <c r="CZ280" i="6"/>
  <c r="CZ281" i="6"/>
  <c r="CZ282" i="6"/>
  <c r="CZ283" i="6"/>
  <c r="CZ284" i="6"/>
  <c r="CZ285" i="6"/>
  <c r="CZ286" i="6"/>
  <c r="CZ287" i="6"/>
  <c r="CZ288" i="6"/>
  <c r="CZ289" i="6"/>
  <c r="CZ290" i="6"/>
  <c r="CZ291" i="6"/>
  <c r="CZ292" i="6"/>
  <c r="CZ293" i="6"/>
  <c r="CZ294" i="6"/>
  <c r="CZ295" i="6"/>
  <c r="CZ296" i="6"/>
  <c r="CZ297" i="6"/>
  <c r="CZ298" i="6"/>
  <c r="CZ299" i="6"/>
  <c r="CZ300" i="6"/>
  <c r="CZ301" i="6"/>
  <c r="CZ302" i="6"/>
  <c r="CZ253" i="6"/>
  <c r="CZ254" i="6"/>
  <c r="CZ255" i="6"/>
  <c r="CZ256" i="6"/>
  <c r="CZ257" i="6"/>
  <c r="CZ258" i="6"/>
  <c r="CZ259" i="6"/>
  <c r="CZ260" i="6"/>
  <c r="CZ589" i="6"/>
  <c r="CZ590" i="6"/>
  <c r="CZ591" i="6"/>
  <c r="CZ501" i="6"/>
  <c r="CZ502" i="6"/>
  <c r="CZ503" i="6"/>
  <c r="CZ504" i="6"/>
  <c r="CZ505" i="6"/>
  <c r="CZ506" i="6"/>
  <c r="CZ507" i="6"/>
  <c r="CZ508" i="6"/>
  <c r="CZ509" i="6"/>
  <c r="CZ510" i="6"/>
  <c r="CZ511" i="6"/>
  <c r="CZ512" i="6"/>
  <c r="CZ513" i="6"/>
  <c r="CZ514" i="6"/>
  <c r="CZ515" i="6"/>
  <c r="CZ516" i="6"/>
  <c r="CZ517" i="6"/>
  <c r="CZ518" i="6"/>
  <c r="CZ519" i="6"/>
  <c r="CZ520" i="6"/>
  <c r="CZ521" i="6"/>
  <c r="CZ522" i="6"/>
  <c r="CZ523" i="6"/>
  <c r="CZ524" i="6"/>
  <c r="CZ525" i="6"/>
  <c r="CZ526" i="6"/>
  <c r="CZ527" i="6"/>
  <c r="CZ528" i="6"/>
  <c r="CZ529" i="6"/>
  <c r="CZ530" i="6"/>
  <c r="CZ531" i="6"/>
  <c r="CZ532" i="6"/>
  <c r="CZ533" i="6"/>
  <c r="CZ534" i="6"/>
  <c r="CZ535" i="6"/>
  <c r="CZ536" i="6"/>
  <c r="CZ537" i="6"/>
  <c r="CZ538" i="6"/>
  <c r="CZ363" i="6"/>
  <c r="CZ364" i="6"/>
  <c r="CZ365" i="6"/>
  <c r="CZ371" i="6"/>
  <c r="CZ372" i="6"/>
  <c r="CZ373" i="6"/>
  <c r="CZ374" i="6"/>
  <c r="CZ377" i="6"/>
  <c r="CZ378" i="6"/>
  <c r="CZ379" i="6"/>
  <c r="CZ380" i="6"/>
  <c r="CZ381" i="6"/>
  <c r="CZ382" i="6"/>
  <c r="CZ383" i="6"/>
  <c r="CZ384" i="6"/>
  <c r="CZ385" i="6"/>
  <c r="CZ386" i="6"/>
  <c r="CZ387" i="6"/>
  <c r="CZ388" i="6"/>
  <c r="CZ389" i="6"/>
  <c r="CZ390" i="6"/>
  <c r="CZ391" i="6"/>
  <c r="CZ392" i="6"/>
  <c r="CZ393" i="6"/>
  <c r="CZ394" i="6"/>
  <c r="CZ395" i="6"/>
  <c r="CZ396" i="6"/>
  <c r="CZ397" i="6"/>
  <c r="CZ398" i="6"/>
  <c r="CZ399" i="6"/>
  <c r="CZ400" i="6"/>
  <c r="CZ401" i="6"/>
  <c r="CZ402" i="6"/>
  <c r="CZ403" i="6"/>
  <c r="CZ404" i="6"/>
  <c r="CZ405" i="6"/>
  <c r="CZ406" i="6"/>
  <c r="CZ407" i="6"/>
  <c r="CZ408" i="6"/>
  <c r="CZ307" i="6"/>
  <c r="CZ308" i="6"/>
  <c r="CZ309" i="6"/>
  <c r="CZ310" i="6"/>
  <c r="CZ311" i="6"/>
  <c r="CZ312" i="6"/>
  <c r="CZ313" i="6"/>
  <c r="CZ314" i="6"/>
  <c r="CZ315" i="6"/>
  <c r="CZ316" i="6"/>
  <c r="CZ317" i="6"/>
  <c r="CZ318" i="6"/>
  <c r="CZ319" i="6"/>
  <c r="CZ320" i="6"/>
  <c r="CZ321" i="6"/>
  <c r="CZ322" i="6"/>
  <c r="CZ323" i="6"/>
  <c r="CZ324" i="6"/>
  <c r="CZ325" i="6"/>
  <c r="CZ326" i="6"/>
  <c r="CZ327" i="6"/>
  <c r="CZ328" i="6"/>
  <c r="CZ329" i="6"/>
  <c r="CZ330" i="6"/>
  <c r="CZ331" i="6"/>
  <c r="CZ332" i="6"/>
  <c r="CZ333" i="6"/>
  <c r="CZ334" i="6"/>
  <c r="CZ335" i="6"/>
  <c r="CZ336" i="6"/>
  <c r="CZ337" i="6"/>
  <c r="CZ338" i="6"/>
  <c r="CZ339" i="6"/>
  <c r="CZ340" i="6"/>
  <c r="CZ341" i="6"/>
  <c r="CZ342" i="6"/>
  <c r="CZ343" i="6"/>
  <c r="CZ344" i="6"/>
  <c r="CZ345" i="6"/>
  <c r="CZ346" i="6"/>
  <c r="CZ347" i="6"/>
  <c r="CZ348" i="6"/>
  <c r="CZ349" i="6"/>
  <c r="CZ350" i="6"/>
  <c r="CZ351" i="6"/>
  <c r="CZ352" i="6"/>
  <c r="CZ353" i="6"/>
  <c r="CZ354" i="6"/>
  <c r="CZ355" i="6"/>
  <c r="CZ266" i="6"/>
  <c r="CZ753" i="6"/>
  <c r="CZ368" i="6"/>
  <c r="CZ555" i="6"/>
  <c r="CZ561" i="6"/>
  <c r="CZ565" i="6"/>
  <c r="CZ566" i="6"/>
  <c r="CZ570" i="6"/>
  <c r="CZ574" i="6"/>
  <c r="CZ578" i="6"/>
  <c r="CZ489" i="6"/>
  <c r="CZ490" i="6"/>
  <c r="CZ492" i="6"/>
  <c r="CZ494" i="6"/>
  <c r="CZ475" i="6"/>
  <c r="CZ481" i="6"/>
  <c r="CZ426" i="6"/>
  <c r="CZ430" i="6"/>
  <c r="CZ436" i="6"/>
  <c r="CZ444" i="6"/>
  <c r="CZ414" i="6"/>
  <c r="CZ416" i="6"/>
  <c r="CZ418" i="6"/>
  <c r="CZ420" i="6"/>
  <c r="CZ544" i="6"/>
  <c r="CZ546" i="6"/>
  <c r="CZ548" i="6"/>
  <c r="CZ550" i="6"/>
  <c r="CZ552" i="6"/>
  <c r="CZ554" i="6"/>
  <c r="CZ556" i="6"/>
  <c r="CZ558" i="6"/>
  <c r="CZ560" i="6"/>
  <c r="CZ562" i="6"/>
  <c r="CZ564" i="6"/>
  <c r="CZ568" i="6"/>
  <c r="CZ572" i="6"/>
  <c r="CZ576" i="6"/>
  <c r="CZ580" i="6"/>
  <c r="CZ584" i="6"/>
  <c r="CZ588" i="6"/>
  <c r="CZ469" i="6"/>
  <c r="CZ480" i="6"/>
  <c r="CZ482" i="6"/>
  <c r="CZ427" i="6"/>
  <c r="CZ429" i="6"/>
  <c r="CZ431" i="6"/>
  <c r="CZ433" i="6"/>
  <c r="CZ435" i="6"/>
  <c r="CZ437" i="6"/>
  <c r="CZ439" i="6"/>
  <c r="CZ441" i="6"/>
  <c r="CZ443" i="6"/>
  <c r="CZ413" i="6"/>
  <c r="CZ415" i="6"/>
  <c r="CZ417" i="6"/>
  <c r="CZ419" i="6"/>
  <c r="CZ421" i="6"/>
  <c r="CZ265" i="6"/>
  <c r="CZ543" i="6"/>
  <c r="CZ545" i="6"/>
  <c r="CZ547" i="6"/>
  <c r="CZ549" i="6"/>
  <c r="CZ551" i="6"/>
  <c r="CZ553" i="6"/>
  <c r="CZ557" i="6"/>
  <c r="CZ559" i="6"/>
  <c r="CZ563" i="6"/>
  <c r="CZ582" i="6"/>
  <c r="CZ586" i="6"/>
  <c r="CZ491" i="6"/>
  <c r="CZ493" i="6"/>
  <c r="CZ495" i="6"/>
  <c r="CZ496" i="6"/>
  <c r="CZ428" i="6"/>
  <c r="CZ432" i="6"/>
  <c r="CZ434" i="6"/>
  <c r="CZ438" i="6"/>
  <c r="CZ440" i="6"/>
  <c r="CZ442" i="6"/>
  <c r="CR1201" i="6"/>
  <c r="CR1202" i="6"/>
  <c r="CR1203" i="6"/>
  <c r="CR1204" i="6"/>
  <c r="CR1205" i="6"/>
  <c r="CR1206" i="6"/>
  <c r="CR1208" i="6"/>
  <c r="CR1207" i="6"/>
  <c r="CR922" i="6"/>
  <c r="CR923" i="6"/>
  <c r="CR924" i="6"/>
  <c r="CR1209" i="6"/>
  <c r="CR1200" i="6"/>
  <c r="CR940" i="6"/>
  <c r="CR941" i="6"/>
  <c r="CR946" i="6"/>
  <c r="CR947" i="6"/>
  <c r="CR952" i="6"/>
  <c r="CR953" i="6"/>
  <c r="CR928" i="6"/>
  <c r="CR932" i="6"/>
  <c r="CR903" i="6"/>
  <c r="CR904" i="6"/>
  <c r="CR905" i="6"/>
  <c r="CR906" i="6"/>
  <c r="CR907" i="6"/>
  <c r="CR908" i="6"/>
  <c r="CR909" i="6"/>
  <c r="CR910" i="6"/>
  <c r="CR927" i="6"/>
  <c r="CR931" i="6"/>
  <c r="CR939" i="6"/>
  <c r="CR926" i="6"/>
  <c r="CR930" i="6"/>
  <c r="CR938" i="6"/>
  <c r="CR933" i="6"/>
  <c r="CR954" i="6"/>
  <c r="CR901" i="6"/>
  <c r="CR921" i="6"/>
  <c r="CR929" i="6"/>
  <c r="CR898" i="6"/>
  <c r="CR902" i="6"/>
  <c r="CR911" i="6"/>
  <c r="CR912" i="6"/>
  <c r="CR913" i="6"/>
  <c r="CR914" i="6"/>
  <c r="CR915" i="6"/>
  <c r="CR925" i="6"/>
  <c r="CR899" i="6"/>
  <c r="CR916" i="6"/>
  <c r="CR885" i="6"/>
  <c r="CR886" i="6"/>
  <c r="CR887" i="6"/>
  <c r="CR888" i="6"/>
  <c r="CR889" i="6"/>
  <c r="CR890" i="6"/>
  <c r="CR891" i="6"/>
  <c r="CR892" i="6"/>
  <c r="CR893" i="6"/>
  <c r="CR832" i="6"/>
  <c r="CR833" i="6"/>
  <c r="CR834" i="6"/>
  <c r="CR841" i="6"/>
  <c r="CR900" i="6"/>
  <c r="CR835" i="6"/>
  <c r="CR836" i="6"/>
  <c r="CR837" i="6"/>
  <c r="CR838" i="6"/>
  <c r="CR839" i="6"/>
  <c r="CR840" i="6"/>
  <c r="CR861" i="6"/>
  <c r="CR862" i="6"/>
  <c r="CR863" i="6"/>
  <c r="CR864" i="6"/>
  <c r="CR865" i="6"/>
  <c r="CR866" i="6"/>
  <c r="CR867" i="6"/>
  <c r="CR868" i="6"/>
  <c r="CR869" i="6"/>
  <c r="CR870" i="6"/>
  <c r="CR871" i="6"/>
  <c r="CR872" i="6"/>
  <c r="CR873" i="6"/>
  <c r="CR874" i="6"/>
  <c r="CR875" i="6"/>
  <c r="CR876" i="6"/>
  <c r="CR877" i="6"/>
  <c r="CR878" i="6"/>
  <c r="CR879" i="6"/>
  <c r="CR880" i="6"/>
  <c r="CR779" i="6"/>
  <c r="CR780" i="6"/>
  <c r="CR781" i="6"/>
  <c r="CR782" i="6"/>
  <c r="CR783" i="6"/>
  <c r="CR784" i="6"/>
  <c r="CR785" i="6"/>
  <c r="CR786" i="6"/>
  <c r="CR787" i="6"/>
  <c r="CR788" i="6"/>
  <c r="CR789" i="6"/>
  <c r="CR790" i="6"/>
  <c r="CR791" i="6"/>
  <c r="CR792" i="6"/>
  <c r="CR793" i="6"/>
  <c r="CR794" i="6"/>
  <c r="CR795" i="6"/>
  <c r="CR796" i="6"/>
  <c r="CR797" i="6"/>
  <c r="CR798" i="6"/>
  <c r="CR799" i="6"/>
  <c r="CR800" i="6"/>
  <c r="CR842" i="6"/>
  <c r="CR843" i="6"/>
  <c r="CR844" i="6"/>
  <c r="CR845" i="6"/>
  <c r="CR846" i="6"/>
  <c r="CR847" i="6"/>
  <c r="CR848" i="6"/>
  <c r="CR849" i="6"/>
  <c r="CR850" i="6"/>
  <c r="CR851" i="6"/>
  <c r="CR852" i="6"/>
  <c r="CR853" i="6"/>
  <c r="CR854" i="6"/>
  <c r="CR855" i="6"/>
  <c r="CR856" i="6"/>
  <c r="CR857" i="6"/>
  <c r="CR858" i="6"/>
  <c r="CR859" i="6"/>
  <c r="CR860" i="6"/>
  <c r="CR801" i="6"/>
  <c r="CR802" i="6"/>
  <c r="CR803" i="6"/>
  <c r="CR804" i="6"/>
  <c r="CR805" i="6"/>
  <c r="CR806" i="6"/>
  <c r="CR807" i="6"/>
  <c r="CR808" i="6"/>
  <c r="CR809" i="6"/>
  <c r="CR810" i="6"/>
  <c r="CR811" i="6"/>
  <c r="CR812" i="6"/>
  <c r="CR813" i="6"/>
  <c r="CR814" i="6"/>
  <c r="CR815" i="6"/>
  <c r="CR816" i="6"/>
  <c r="CR817" i="6"/>
  <c r="CR818" i="6"/>
  <c r="CR819" i="6"/>
  <c r="CR820" i="6"/>
  <c r="CR821" i="6"/>
  <c r="CR822" i="6"/>
  <c r="CR823" i="6"/>
  <c r="CR824" i="6"/>
  <c r="CR825" i="6"/>
  <c r="CR826" i="6"/>
  <c r="CR827" i="6"/>
  <c r="CR737" i="6"/>
  <c r="CR738" i="6"/>
  <c r="CR739" i="6"/>
  <c r="CR740" i="6"/>
  <c r="CR741" i="6"/>
  <c r="CR742" i="6"/>
  <c r="CR743" i="6"/>
  <c r="CR744" i="6"/>
  <c r="CR745" i="6"/>
  <c r="CR746" i="6"/>
  <c r="CR747" i="6"/>
  <c r="CR748" i="6"/>
  <c r="CR749" i="6"/>
  <c r="CR750" i="6"/>
  <c r="CR751" i="6"/>
  <c r="CR649" i="6"/>
  <c r="CR650" i="6"/>
  <c r="CR651" i="6"/>
  <c r="CR652" i="6"/>
  <c r="CR653" i="6"/>
  <c r="CR654" i="6"/>
  <c r="CR655" i="6"/>
  <c r="CR656" i="6"/>
  <c r="CR657" i="6"/>
  <c r="CR752" i="6"/>
  <c r="CR753" i="6"/>
  <c r="CR754" i="6"/>
  <c r="CR755" i="6"/>
  <c r="CR756" i="6"/>
  <c r="CR757" i="6"/>
  <c r="CR758" i="6"/>
  <c r="CR759" i="6"/>
  <c r="CR760" i="6"/>
  <c r="CR761" i="6"/>
  <c r="CR762" i="6"/>
  <c r="CR763" i="6"/>
  <c r="CR764" i="6"/>
  <c r="CR765" i="6"/>
  <c r="CR766" i="6"/>
  <c r="CR767" i="6"/>
  <c r="CR768" i="6"/>
  <c r="CR769" i="6"/>
  <c r="CR770" i="6"/>
  <c r="CR771" i="6"/>
  <c r="CR772" i="6"/>
  <c r="CR773" i="6"/>
  <c r="CR774" i="6"/>
  <c r="CR611" i="6"/>
  <c r="CR612" i="6"/>
  <c r="CR613" i="6"/>
  <c r="CR614" i="6"/>
  <c r="CR615" i="6"/>
  <c r="CR616" i="6"/>
  <c r="CR617" i="6"/>
  <c r="CR618" i="6"/>
  <c r="CR619" i="6"/>
  <c r="CR620" i="6"/>
  <c r="CR621" i="6"/>
  <c r="CR622" i="6"/>
  <c r="CR623" i="6"/>
  <c r="CR624" i="6"/>
  <c r="CR625" i="6"/>
  <c r="CR626" i="6"/>
  <c r="CR627" i="6"/>
  <c r="CR628" i="6"/>
  <c r="CR629" i="6"/>
  <c r="CR630" i="6"/>
  <c r="CR631" i="6"/>
  <c r="CR632" i="6"/>
  <c r="CR633" i="6"/>
  <c r="CR634" i="6"/>
  <c r="CR635" i="6"/>
  <c r="CR636" i="6"/>
  <c r="CR637" i="6"/>
  <c r="CR638" i="6"/>
  <c r="CR639" i="6"/>
  <c r="CR640" i="6"/>
  <c r="CR641" i="6"/>
  <c r="CR642" i="6"/>
  <c r="CR643" i="6"/>
  <c r="CR644" i="6"/>
  <c r="CR566" i="6"/>
  <c r="CR567" i="6"/>
  <c r="CR568" i="6"/>
  <c r="CR569" i="6"/>
  <c r="CR570" i="6"/>
  <c r="CR571" i="6"/>
  <c r="CR572" i="6"/>
  <c r="CR573" i="6"/>
  <c r="CR574" i="6"/>
  <c r="CR575" i="6"/>
  <c r="CR576" i="6"/>
  <c r="CR577" i="6"/>
  <c r="CR578" i="6"/>
  <c r="CR579" i="6"/>
  <c r="CR580" i="6"/>
  <c r="CR581" i="6"/>
  <c r="CR582" i="6"/>
  <c r="CR583" i="6"/>
  <c r="CR584" i="6"/>
  <c r="CR585" i="6"/>
  <c r="CR586" i="6"/>
  <c r="CR587" i="6"/>
  <c r="CR588" i="6"/>
  <c r="CR449" i="6"/>
  <c r="CR450" i="6"/>
  <c r="CR451" i="6"/>
  <c r="CR452" i="6"/>
  <c r="CR453" i="6"/>
  <c r="CR454" i="6"/>
  <c r="CR455" i="6"/>
  <c r="CR456" i="6"/>
  <c r="CR457" i="6"/>
  <c r="CR458" i="6"/>
  <c r="CR459" i="6"/>
  <c r="CR460" i="6"/>
  <c r="CR461" i="6"/>
  <c r="CR466" i="6"/>
  <c r="CR467" i="6"/>
  <c r="CR468" i="6"/>
  <c r="CR597" i="6"/>
  <c r="CR599" i="6"/>
  <c r="CR601" i="6"/>
  <c r="CR603" i="6"/>
  <c r="CR605" i="6"/>
  <c r="CR607" i="6"/>
  <c r="CR609" i="6"/>
  <c r="CR474" i="6"/>
  <c r="CR360" i="6"/>
  <c r="CR361" i="6"/>
  <c r="CR362" i="6"/>
  <c r="CR366" i="6"/>
  <c r="CR367" i="6"/>
  <c r="CR369" i="6"/>
  <c r="CR370" i="6"/>
  <c r="CR376" i="6"/>
  <c r="CR686" i="6"/>
  <c r="CR688" i="6"/>
  <c r="CR690" i="6"/>
  <c r="CR692" i="6"/>
  <c r="CR694" i="6"/>
  <c r="CR696" i="6"/>
  <c r="CR702" i="6"/>
  <c r="CR704" i="6"/>
  <c r="CR710" i="6"/>
  <c r="CR716" i="6"/>
  <c r="CR718" i="6"/>
  <c r="CR663" i="6"/>
  <c r="CR665" i="6"/>
  <c r="CR667" i="6"/>
  <c r="CR669" i="6"/>
  <c r="CR671" i="6"/>
  <c r="CR673" i="6"/>
  <c r="CR675" i="6"/>
  <c r="CR677" i="6"/>
  <c r="CR679" i="6"/>
  <c r="CR543" i="6"/>
  <c r="CR544" i="6"/>
  <c r="CR545" i="6"/>
  <c r="CR546" i="6"/>
  <c r="CR547" i="6"/>
  <c r="CR548" i="6"/>
  <c r="CR549" i="6"/>
  <c r="CR550" i="6"/>
  <c r="CR551" i="6"/>
  <c r="CR552" i="6"/>
  <c r="CR553" i="6"/>
  <c r="CR554" i="6"/>
  <c r="CR555" i="6"/>
  <c r="CR556" i="6"/>
  <c r="CR557" i="6"/>
  <c r="CR558" i="6"/>
  <c r="CR559" i="6"/>
  <c r="CR560" i="6"/>
  <c r="CR561" i="6"/>
  <c r="CR562" i="6"/>
  <c r="CR563" i="6"/>
  <c r="CR564" i="6"/>
  <c r="CR565" i="6"/>
  <c r="CR469" i="6"/>
  <c r="CR475" i="6"/>
  <c r="CR480" i="6"/>
  <c r="CR481" i="6"/>
  <c r="CR482" i="6"/>
  <c r="CR426" i="6"/>
  <c r="CR427" i="6"/>
  <c r="CR428" i="6"/>
  <c r="CR429" i="6"/>
  <c r="CR430" i="6"/>
  <c r="CR431" i="6"/>
  <c r="CR432" i="6"/>
  <c r="CR433" i="6"/>
  <c r="CR434" i="6"/>
  <c r="CR435" i="6"/>
  <c r="CR436" i="6"/>
  <c r="CR437" i="6"/>
  <c r="CR438" i="6"/>
  <c r="CR439" i="6"/>
  <c r="CR440" i="6"/>
  <c r="CR441" i="6"/>
  <c r="CR442" i="6"/>
  <c r="CR443" i="6"/>
  <c r="CR444" i="6"/>
  <c r="CR413" i="6"/>
  <c r="CR414" i="6"/>
  <c r="CR415" i="6"/>
  <c r="CR416" i="6"/>
  <c r="CR417" i="6"/>
  <c r="CR418" i="6"/>
  <c r="CR419" i="6"/>
  <c r="CR420" i="6"/>
  <c r="CR421" i="6"/>
  <c r="CR267" i="6"/>
  <c r="CR268" i="6"/>
  <c r="CR269" i="6"/>
  <c r="CR270" i="6"/>
  <c r="CR271" i="6"/>
  <c r="CR272" i="6"/>
  <c r="CR273" i="6"/>
  <c r="CR274" i="6"/>
  <c r="CR275" i="6"/>
  <c r="CR276" i="6"/>
  <c r="CR277" i="6"/>
  <c r="CR278" i="6"/>
  <c r="CR279" i="6"/>
  <c r="CR280" i="6"/>
  <c r="CR281" i="6"/>
  <c r="CR282" i="6"/>
  <c r="CR283" i="6"/>
  <c r="CR284" i="6"/>
  <c r="CR285" i="6"/>
  <c r="CR286" i="6"/>
  <c r="CR287" i="6"/>
  <c r="CR288" i="6"/>
  <c r="CR289" i="6"/>
  <c r="CR290" i="6"/>
  <c r="CR291" i="6"/>
  <c r="CR292" i="6"/>
  <c r="CR293" i="6"/>
  <c r="CR294" i="6"/>
  <c r="CR295" i="6"/>
  <c r="CR296" i="6"/>
  <c r="CR297" i="6"/>
  <c r="CR298" i="6"/>
  <c r="CR299" i="6"/>
  <c r="CR300" i="6"/>
  <c r="CR301" i="6"/>
  <c r="CR302" i="6"/>
  <c r="CR253" i="6"/>
  <c r="CR254" i="6"/>
  <c r="CR255" i="6"/>
  <c r="CR256" i="6"/>
  <c r="CR257" i="6"/>
  <c r="CR258" i="6"/>
  <c r="CR259" i="6"/>
  <c r="CR260" i="6"/>
  <c r="CR725" i="6"/>
  <c r="CR727" i="6"/>
  <c r="CR729" i="6"/>
  <c r="CR731" i="6"/>
  <c r="CR596" i="6"/>
  <c r="CR600" i="6"/>
  <c r="CR604" i="6"/>
  <c r="CR608" i="6"/>
  <c r="CR589" i="6"/>
  <c r="CR590" i="6"/>
  <c r="CR591" i="6"/>
  <c r="CR501" i="6"/>
  <c r="CR502" i="6"/>
  <c r="CR503" i="6"/>
  <c r="CR504" i="6"/>
  <c r="CR505" i="6"/>
  <c r="CR506" i="6"/>
  <c r="CR507" i="6"/>
  <c r="CR508" i="6"/>
  <c r="CR509" i="6"/>
  <c r="CR510" i="6"/>
  <c r="CR511" i="6"/>
  <c r="CR512" i="6"/>
  <c r="CR513" i="6"/>
  <c r="CR514" i="6"/>
  <c r="CR515" i="6"/>
  <c r="CR516" i="6"/>
  <c r="CR517" i="6"/>
  <c r="CR518" i="6"/>
  <c r="CR519" i="6"/>
  <c r="CR520" i="6"/>
  <c r="CR521" i="6"/>
  <c r="CR522" i="6"/>
  <c r="CR523" i="6"/>
  <c r="CR524" i="6"/>
  <c r="CR525" i="6"/>
  <c r="CR526" i="6"/>
  <c r="CR527" i="6"/>
  <c r="CR528" i="6"/>
  <c r="CR529" i="6"/>
  <c r="CR530" i="6"/>
  <c r="CR531" i="6"/>
  <c r="CR532" i="6"/>
  <c r="CR533" i="6"/>
  <c r="CR534" i="6"/>
  <c r="CR535" i="6"/>
  <c r="CR536" i="6"/>
  <c r="CR537" i="6"/>
  <c r="CR538" i="6"/>
  <c r="CR368" i="6"/>
  <c r="CR312" i="6"/>
  <c r="CR313" i="6"/>
  <c r="CR314" i="6"/>
  <c r="CR315" i="6"/>
  <c r="CR316" i="6"/>
  <c r="CR317" i="6"/>
  <c r="CR318" i="6"/>
  <c r="CR319" i="6"/>
  <c r="CR320" i="6"/>
  <c r="CR321" i="6"/>
  <c r="CR322" i="6"/>
  <c r="CR323" i="6"/>
  <c r="CR324" i="6"/>
  <c r="CR325" i="6"/>
  <c r="CR326" i="6"/>
  <c r="CR327" i="6"/>
  <c r="CR328" i="6"/>
  <c r="CR329" i="6"/>
  <c r="CR330" i="6"/>
  <c r="CR331" i="6"/>
  <c r="CR332" i="6"/>
  <c r="CR333" i="6"/>
  <c r="CR334" i="6"/>
  <c r="CR335" i="6"/>
  <c r="CR336" i="6"/>
  <c r="CR337" i="6"/>
  <c r="CR338" i="6"/>
  <c r="CR339" i="6"/>
  <c r="CR340" i="6"/>
  <c r="CR341" i="6"/>
  <c r="CR342" i="6"/>
  <c r="CR343" i="6"/>
  <c r="CR344" i="6"/>
  <c r="CR345" i="6"/>
  <c r="CR346" i="6"/>
  <c r="CR347" i="6"/>
  <c r="CR348" i="6"/>
  <c r="CR349" i="6"/>
  <c r="CR350" i="6"/>
  <c r="CR351" i="6"/>
  <c r="CR352" i="6"/>
  <c r="CR353" i="6"/>
  <c r="CR354" i="6"/>
  <c r="CR355" i="6"/>
  <c r="CR266" i="6"/>
  <c r="CR685" i="6"/>
  <c r="CR687" i="6"/>
  <c r="CR689" i="6"/>
  <c r="CR691" i="6"/>
  <c r="CR693" i="6"/>
  <c r="CR695" i="6"/>
  <c r="CR697" i="6"/>
  <c r="CR703" i="6"/>
  <c r="CR705" i="6"/>
  <c r="CR711" i="6"/>
  <c r="CR717" i="6"/>
  <c r="CR662" i="6"/>
  <c r="CR664" i="6"/>
  <c r="CR666" i="6"/>
  <c r="CR668" i="6"/>
  <c r="CR670" i="6"/>
  <c r="CR672" i="6"/>
  <c r="CR674" i="6"/>
  <c r="CR676" i="6"/>
  <c r="CR678" i="6"/>
  <c r="CR680" i="6"/>
  <c r="CR732" i="6"/>
  <c r="CR602" i="6"/>
  <c r="CR610" i="6"/>
  <c r="CR363" i="6"/>
  <c r="CR365" i="6"/>
  <c r="CR372" i="6"/>
  <c r="CR374" i="6"/>
  <c r="CR377" i="6"/>
  <c r="CR379" i="6"/>
  <c r="CR381" i="6"/>
  <c r="CR383" i="6"/>
  <c r="CR385" i="6"/>
  <c r="CR387" i="6"/>
  <c r="CR389" i="6"/>
  <c r="CR391" i="6"/>
  <c r="CR393" i="6"/>
  <c r="CR395" i="6"/>
  <c r="CR397" i="6"/>
  <c r="CR399" i="6"/>
  <c r="CR401" i="6"/>
  <c r="CR403" i="6"/>
  <c r="CR405" i="6"/>
  <c r="CR407" i="6"/>
  <c r="CR307" i="6"/>
  <c r="CR309" i="6"/>
  <c r="CR311" i="6"/>
  <c r="CR728" i="6"/>
  <c r="CR371" i="6"/>
  <c r="CR373" i="6"/>
  <c r="CR382" i="6"/>
  <c r="CR384" i="6"/>
  <c r="CR388" i="6"/>
  <c r="CR394" i="6"/>
  <c r="CR730" i="6"/>
  <c r="CR606" i="6"/>
  <c r="CR489" i="6"/>
  <c r="CR490" i="6"/>
  <c r="CR491" i="6"/>
  <c r="CR492" i="6"/>
  <c r="CR493" i="6"/>
  <c r="CR494" i="6"/>
  <c r="CR495" i="6"/>
  <c r="CR496" i="6"/>
  <c r="CR375" i="6"/>
  <c r="CR364" i="6"/>
  <c r="CR378" i="6"/>
  <c r="CR380" i="6"/>
  <c r="CR386" i="6"/>
  <c r="CR390" i="6"/>
  <c r="CR392" i="6"/>
  <c r="CR396" i="6"/>
  <c r="CR398" i="6"/>
  <c r="CR400" i="6"/>
  <c r="CR402" i="6"/>
  <c r="CR404" i="6"/>
  <c r="CR406" i="6"/>
  <c r="CR408" i="6"/>
  <c r="CR308" i="6"/>
  <c r="CR310" i="6"/>
  <c r="CR265" i="6"/>
  <c r="CR726" i="6"/>
  <c r="CR598" i="6"/>
  <c r="CJ1201" i="6"/>
  <c r="CJ1202" i="6"/>
  <c r="CJ1203" i="6"/>
  <c r="CJ1204" i="6"/>
  <c r="CJ1205" i="6"/>
  <c r="CJ1206" i="6"/>
  <c r="CJ1207" i="6"/>
  <c r="CJ1208" i="6"/>
  <c r="CJ1209" i="6"/>
  <c r="CJ1200" i="6"/>
  <c r="CJ921" i="6"/>
  <c r="CJ922" i="6"/>
  <c r="CJ923" i="6"/>
  <c r="CJ924" i="6"/>
  <c r="CJ940" i="6"/>
  <c r="CJ941" i="6"/>
  <c r="CJ925" i="6"/>
  <c r="CJ926" i="6"/>
  <c r="CJ927" i="6"/>
  <c r="CJ928" i="6"/>
  <c r="CJ929" i="6"/>
  <c r="CJ930" i="6"/>
  <c r="CJ931" i="6"/>
  <c r="CJ932" i="6"/>
  <c r="CJ933" i="6"/>
  <c r="CJ938" i="6"/>
  <c r="CJ939" i="6"/>
  <c r="CJ946" i="6"/>
  <c r="CJ947" i="6"/>
  <c r="CJ952" i="6"/>
  <c r="CJ953" i="6"/>
  <c r="CJ903" i="6"/>
  <c r="CJ904" i="6"/>
  <c r="CJ905" i="6"/>
  <c r="CJ906" i="6"/>
  <c r="CJ907" i="6"/>
  <c r="CJ908" i="6"/>
  <c r="CJ909" i="6"/>
  <c r="CJ910" i="6"/>
  <c r="CJ954" i="6"/>
  <c r="CJ898" i="6"/>
  <c r="CJ899" i="6"/>
  <c r="CJ900" i="6"/>
  <c r="CJ901" i="6"/>
  <c r="CJ902" i="6"/>
  <c r="CJ912" i="6"/>
  <c r="CJ913" i="6"/>
  <c r="CJ915" i="6"/>
  <c r="CJ916" i="6"/>
  <c r="CJ886" i="6"/>
  <c r="CJ888" i="6"/>
  <c r="CJ890" i="6"/>
  <c r="CJ892" i="6"/>
  <c r="CJ833" i="6"/>
  <c r="CJ861" i="6"/>
  <c r="CJ862" i="6"/>
  <c r="CJ863" i="6"/>
  <c r="CJ864" i="6"/>
  <c r="CJ865" i="6"/>
  <c r="CJ866" i="6"/>
  <c r="CJ867" i="6"/>
  <c r="CJ868" i="6"/>
  <c r="CJ869" i="6"/>
  <c r="CJ870" i="6"/>
  <c r="CJ871" i="6"/>
  <c r="CJ872" i="6"/>
  <c r="CJ873" i="6"/>
  <c r="CJ874" i="6"/>
  <c r="CJ875" i="6"/>
  <c r="CJ876" i="6"/>
  <c r="CJ877" i="6"/>
  <c r="CJ878" i="6"/>
  <c r="CJ879" i="6"/>
  <c r="CJ880" i="6"/>
  <c r="CJ779" i="6"/>
  <c r="CJ780" i="6"/>
  <c r="CJ781" i="6"/>
  <c r="CJ782" i="6"/>
  <c r="CJ783" i="6"/>
  <c r="CJ784" i="6"/>
  <c r="CJ785" i="6"/>
  <c r="CJ786" i="6"/>
  <c r="CJ787" i="6"/>
  <c r="CJ788" i="6"/>
  <c r="CJ789" i="6"/>
  <c r="CJ790" i="6"/>
  <c r="CJ791" i="6"/>
  <c r="CJ792" i="6"/>
  <c r="CJ793" i="6"/>
  <c r="CJ794" i="6"/>
  <c r="CJ795" i="6"/>
  <c r="CJ796" i="6"/>
  <c r="CJ797" i="6"/>
  <c r="CJ798" i="6"/>
  <c r="CJ799" i="6"/>
  <c r="CJ800" i="6"/>
  <c r="CJ914" i="6"/>
  <c r="CJ885" i="6"/>
  <c r="CJ889" i="6"/>
  <c r="CJ893" i="6"/>
  <c r="CJ834" i="6"/>
  <c r="CJ835" i="6"/>
  <c r="CJ911" i="6"/>
  <c r="CJ887" i="6"/>
  <c r="CJ891" i="6"/>
  <c r="CJ832" i="6"/>
  <c r="CJ836" i="6"/>
  <c r="CJ838" i="6"/>
  <c r="CJ840" i="6"/>
  <c r="CJ842" i="6"/>
  <c r="CJ844" i="6"/>
  <c r="CJ846" i="6"/>
  <c r="CJ848" i="6"/>
  <c r="CJ850" i="6"/>
  <c r="CJ852" i="6"/>
  <c r="CJ854" i="6"/>
  <c r="CJ856" i="6"/>
  <c r="CJ858" i="6"/>
  <c r="CJ860" i="6"/>
  <c r="CJ839" i="6"/>
  <c r="CJ801" i="6"/>
  <c r="CJ802" i="6"/>
  <c r="CJ803" i="6"/>
  <c r="CJ804" i="6"/>
  <c r="CJ805" i="6"/>
  <c r="CJ806" i="6"/>
  <c r="CJ807" i="6"/>
  <c r="CJ808" i="6"/>
  <c r="CJ809" i="6"/>
  <c r="CJ810" i="6"/>
  <c r="CJ811" i="6"/>
  <c r="CJ812" i="6"/>
  <c r="CJ813" i="6"/>
  <c r="CJ814" i="6"/>
  <c r="CJ815" i="6"/>
  <c r="CJ816" i="6"/>
  <c r="CJ817" i="6"/>
  <c r="CJ818" i="6"/>
  <c r="CJ819" i="6"/>
  <c r="CJ820" i="6"/>
  <c r="CJ821" i="6"/>
  <c r="CJ822" i="6"/>
  <c r="CJ823" i="6"/>
  <c r="CJ824" i="6"/>
  <c r="CJ825" i="6"/>
  <c r="CJ826" i="6"/>
  <c r="CJ827" i="6"/>
  <c r="CJ737" i="6"/>
  <c r="CJ738" i="6"/>
  <c r="CJ739" i="6"/>
  <c r="CJ740" i="6"/>
  <c r="CJ741" i="6"/>
  <c r="CJ742" i="6"/>
  <c r="CJ743" i="6"/>
  <c r="CJ744" i="6"/>
  <c r="CJ745" i="6"/>
  <c r="CJ746" i="6"/>
  <c r="CJ747" i="6"/>
  <c r="CJ748" i="6"/>
  <c r="CJ749" i="6"/>
  <c r="CJ750" i="6"/>
  <c r="CJ751" i="6"/>
  <c r="CJ843" i="6"/>
  <c r="CJ845" i="6"/>
  <c r="CJ847" i="6"/>
  <c r="CJ849" i="6"/>
  <c r="CJ851" i="6"/>
  <c r="CJ853" i="6"/>
  <c r="CJ855" i="6"/>
  <c r="CJ857" i="6"/>
  <c r="CJ859" i="6"/>
  <c r="CJ649" i="6"/>
  <c r="CJ650" i="6"/>
  <c r="CJ651" i="6"/>
  <c r="CJ652" i="6"/>
  <c r="CJ653" i="6"/>
  <c r="CJ654" i="6"/>
  <c r="CJ655" i="6"/>
  <c r="CJ656" i="6"/>
  <c r="CJ657" i="6"/>
  <c r="CJ841" i="6"/>
  <c r="CJ837" i="6"/>
  <c r="CJ757" i="6"/>
  <c r="CJ758" i="6"/>
  <c r="CJ759" i="6"/>
  <c r="CJ760" i="6"/>
  <c r="CJ761" i="6"/>
  <c r="CJ762" i="6"/>
  <c r="CJ763" i="6"/>
  <c r="CJ764" i="6"/>
  <c r="CJ765" i="6"/>
  <c r="CJ766" i="6"/>
  <c r="CJ767" i="6"/>
  <c r="CJ768" i="6"/>
  <c r="CJ769" i="6"/>
  <c r="CJ770" i="6"/>
  <c r="CJ771" i="6"/>
  <c r="CJ772" i="6"/>
  <c r="CJ773" i="6"/>
  <c r="CJ774" i="6"/>
  <c r="CJ596" i="6"/>
  <c r="CJ597" i="6"/>
  <c r="CJ598" i="6"/>
  <c r="CJ599" i="6"/>
  <c r="CJ600" i="6"/>
  <c r="CJ601" i="6"/>
  <c r="CJ602" i="6"/>
  <c r="CJ603" i="6"/>
  <c r="CJ604" i="6"/>
  <c r="CJ605" i="6"/>
  <c r="CJ606" i="6"/>
  <c r="CJ607" i="6"/>
  <c r="CJ608" i="6"/>
  <c r="CJ609" i="6"/>
  <c r="CJ610" i="6"/>
  <c r="CJ611" i="6"/>
  <c r="CJ612" i="6"/>
  <c r="CJ613" i="6"/>
  <c r="CJ614" i="6"/>
  <c r="CJ615" i="6"/>
  <c r="CJ616" i="6"/>
  <c r="CJ617" i="6"/>
  <c r="CJ618" i="6"/>
  <c r="CJ619" i="6"/>
  <c r="CJ620" i="6"/>
  <c r="CJ621" i="6"/>
  <c r="CJ622" i="6"/>
  <c r="CJ623" i="6"/>
  <c r="CJ624" i="6"/>
  <c r="CJ625" i="6"/>
  <c r="CJ626" i="6"/>
  <c r="CJ627" i="6"/>
  <c r="CJ628" i="6"/>
  <c r="CJ629" i="6"/>
  <c r="CJ630" i="6"/>
  <c r="CJ631" i="6"/>
  <c r="CJ632" i="6"/>
  <c r="CJ633" i="6"/>
  <c r="CJ634" i="6"/>
  <c r="CJ635" i="6"/>
  <c r="CJ636" i="6"/>
  <c r="CJ637" i="6"/>
  <c r="CJ638" i="6"/>
  <c r="CJ639" i="6"/>
  <c r="CJ640" i="6"/>
  <c r="CJ641" i="6"/>
  <c r="CJ642" i="6"/>
  <c r="CJ643" i="6"/>
  <c r="CJ644" i="6"/>
  <c r="CJ725" i="6"/>
  <c r="CJ726" i="6"/>
  <c r="CJ727" i="6"/>
  <c r="CJ728" i="6"/>
  <c r="CJ729" i="6"/>
  <c r="CJ730" i="6"/>
  <c r="CJ731" i="6"/>
  <c r="CJ732" i="6"/>
  <c r="CJ449" i="6"/>
  <c r="CJ450" i="6"/>
  <c r="CJ451" i="6"/>
  <c r="CJ452" i="6"/>
  <c r="CJ453" i="6"/>
  <c r="CJ454" i="6"/>
  <c r="CJ455" i="6"/>
  <c r="CJ456" i="6"/>
  <c r="CJ457" i="6"/>
  <c r="CJ458" i="6"/>
  <c r="CJ459" i="6"/>
  <c r="CJ460" i="6"/>
  <c r="CJ461" i="6"/>
  <c r="CJ466" i="6"/>
  <c r="CJ467" i="6"/>
  <c r="CJ468" i="6"/>
  <c r="CJ753" i="6"/>
  <c r="CJ755" i="6"/>
  <c r="CJ685" i="6"/>
  <c r="CJ686" i="6"/>
  <c r="CJ687" i="6"/>
  <c r="CJ688" i="6"/>
  <c r="CJ689" i="6"/>
  <c r="CJ690" i="6"/>
  <c r="CJ691" i="6"/>
  <c r="CJ692" i="6"/>
  <c r="CJ693" i="6"/>
  <c r="CJ694" i="6"/>
  <c r="CJ695" i="6"/>
  <c r="CJ696" i="6"/>
  <c r="CJ697" i="6"/>
  <c r="CJ702" i="6"/>
  <c r="CJ703" i="6"/>
  <c r="CJ704" i="6"/>
  <c r="CJ705" i="6"/>
  <c r="CJ710" i="6"/>
  <c r="CJ711" i="6"/>
  <c r="CJ716" i="6"/>
  <c r="CJ717" i="6"/>
  <c r="CJ718" i="6"/>
  <c r="CJ662" i="6"/>
  <c r="CJ663" i="6"/>
  <c r="CJ664" i="6"/>
  <c r="CJ665" i="6"/>
  <c r="CJ666" i="6"/>
  <c r="CJ667" i="6"/>
  <c r="CJ668" i="6"/>
  <c r="CJ669" i="6"/>
  <c r="CJ670" i="6"/>
  <c r="CJ671" i="6"/>
  <c r="CJ672" i="6"/>
  <c r="CJ673" i="6"/>
  <c r="CJ674" i="6"/>
  <c r="CJ675" i="6"/>
  <c r="CJ676" i="6"/>
  <c r="CJ677" i="6"/>
  <c r="CJ678" i="6"/>
  <c r="CJ679" i="6"/>
  <c r="CJ680" i="6"/>
  <c r="CJ474" i="6"/>
  <c r="CJ360" i="6"/>
  <c r="CJ361" i="6"/>
  <c r="CJ362" i="6"/>
  <c r="CJ366" i="6"/>
  <c r="CJ367" i="6"/>
  <c r="CJ369" i="6"/>
  <c r="CJ370" i="6"/>
  <c r="CJ376" i="6"/>
  <c r="CJ754" i="6"/>
  <c r="CJ566" i="6"/>
  <c r="CJ568" i="6"/>
  <c r="CJ570" i="6"/>
  <c r="CJ572" i="6"/>
  <c r="CJ574" i="6"/>
  <c r="CJ576" i="6"/>
  <c r="CJ578" i="6"/>
  <c r="CJ580" i="6"/>
  <c r="CJ582" i="6"/>
  <c r="CJ584" i="6"/>
  <c r="CJ586" i="6"/>
  <c r="CJ588" i="6"/>
  <c r="CJ375" i="6"/>
  <c r="CJ267" i="6"/>
  <c r="CJ268" i="6"/>
  <c r="CJ269" i="6"/>
  <c r="CJ270" i="6"/>
  <c r="CJ271" i="6"/>
  <c r="CJ272" i="6"/>
  <c r="CJ273" i="6"/>
  <c r="CJ274" i="6"/>
  <c r="CJ275" i="6"/>
  <c r="CJ276" i="6"/>
  <c r="CJ277" i="6"/>
  <c r="CJ278" i="6"/>
  <c r="CJ279" i="6"/>
  <c r="CJ280" i="6"/>
  <c r="CJ281" i="6"/>
  <c r="CJ282" i="6"/>
  <c r="CJ283" i="6"/>
  <c r="CJ284" i="6"/>
  <c r="CJ285" i="6"/>
  <c r="CJ286" i="6"/>
  <c r="CJ287" i="6"/>
  <c r="CJ288" i="6"/>
  <c r="CJ289" i="6"/>
  <c r="CJ290" i="6"/>
  <c r="CJ291" i="6"/>
  <c r="CJ292" i="6"/>
  <c r="CJ293" i="6"/>
  <c r="CJ294" i="6"/>
  <c r="CJ295" i="6"/>
  <c r="CJ296" i="6"/>
  <c r="CJ297" i="6"/>
  <c r="CJ298" i="6"/>
  <c r="CJ299" i="6"/>
  <c r="CJ300" i="6"/>
  <c r="CJ301" i="6"/>
  <c r="CJ302" i="6"/>
  <c r="CJ253" i="6"/>
  <c r="CJ254" i="6"/>
  <c r="CJ255" i="6"/>
  <c r="CJ256" i="6"/>
  <c r="CJ257" i="6"/>
  <c r="CJ258" i="6"/>
  <c r="CJ259" i="6"/>
  <c r="CJ260" i="6"/>
  <c r="CJ589" i="6"/>
  <c r="CJ590" i="6"/>
  <c r="CJ591" i="6"/>
  <c r="CJ501" i="6"/>
  <c r="CJ502" i="6"/>
  <c r="CJ503" i="6"/>
  <c r="CJ504" i="6"/>
  <c r="CJ505" i="6"/>
  <c r="CJ506" i="6"/>
  <c r="CJ507" i="6"/>
  <c r="CJ508" i="6"/>
  <c r="CJ509" i="6"/>
  <c r="CJ510" i="6"/>
  <c r="CJ511" i="6"/>
  <c r="CJ512" i="6"/>
  <c r="CJ513" i="6"/>
  <c r="CJ514" i="6"/>
  <c r="CJ515" i="6"/>
  <c r="CJ516" i="6"/>
  <c r="CJ517" i="6"/>
  <c r="CJ518" i="6"/>
  <c r="CJ519" i="6"/>
  <c r="CJ520" i="6"/>
  <c r="CJ521" i="6"/>
  <c r="CJ522" i="6"/>
  <c r="CJ523" i="6"/>
  <c r="CJ524" i="6"/>
  <c r="CJ525" i="6"/>
  <c r="CJ526" i="6"/>
  <c r="CJ527" i="6"/>
  <c r="CJ528" i="6"/>
  <c r="CJ529" i="6"/>
  <c r="CJ530" i="6"/>
  <c r="CJ531" i="6"/>
  <c r="CJ532" i="6"/>
  <c r="CJ533" i="6"/>
  <c r="CJ534" i="6"/>
  <c r="CJ535" i="6"/>
  <c r="CJ536" i="6"/>
  <c r="CJ537" i="6"/>
  <c r="CJ538" i="6"/>
  <c r="CJ363" i="6"/>
  <c r="CJ364" i="6"/>
  <c r="CJ365" i="6"/>
  <c r="CJ371" i="6"/>
  <c r="CJ372" i="6"/>
  <c r="CJ373" i="6"/>
  <c r="CJ374" i="6"/>
  <c r="CJ377" i="6"/>
  <c r="CJ378" i="6"/>
  <c r="CJ379" i="6"/>
  <c r="CJ380" i="6"/>
  <c r="CJ381" i="6"/>
  <c r="CJ382" i="6"/>
  <c r="CJ383" i="6"/>
  <c r="CJ384" i="6"/>
  <c r="CJ385" i="6"/>
  <c r="CJ386" i="6"/>
  <c r="CJ387" i="6"/>
  <c r="CJ388" i="6"/>
  <c r="CJ389" i="6"/>
  <c r="CJ390" i="6"/>
  <c r="CJ391" i="6"/>
  <c r="CJ392" i="6"/>
  <c r="CJ393" i="6"/>
  <c r="CJ394" i="6"/>
  <c r="CJ395" i="6"/>
  <c r="CJ396" i="6"/>
  <c r="CJ397" i="6"/>
  <c r="CJ398" i="6"/>
  <c r="CJ399" i="6"/>
  <c r="CJ400" i="6"/>
  <c r="CJ401" i="6"/>
  <c r="CJ402" i="6"/>
  <c r="CJ403" i="6"/>
  <c r="CJ404" i="6"/>
  <c r="CJ405" i="6"/>
  <c r="CJ406" i="6"/>
  <c r="CJ407" i="6"/>
  <c r="CJ408" i="6"/>
  <c r="CJ307" i="6"/>
  <c r="CJ308" i="6"/>
  <c r="CJ309" i="6"/>
  <c r="CJ310" i="6"/>
  <c r="CJ311" i="6"/>
  <c r="CJ312" i="6"/>
  <c r="CJ313" i="6"/>
  <c r="CJ314" i="6"/>
  <c r="CJ315" i="6"/>
  <c r="CJ316" i="6"/>
  <c r="CJ317" i="6"/>
  <c r="CJ318" i="6"/>
  <c r="CJ319" i="6"/>
  <c r="CJ320" i="6"/>
  <c r="CJ321" i="6"/>
  <c r="CJ322" i="6"/>
  <c r="CJ323" i="6"/>
  <c r="CJ324" i="6"/>
  <c r="CJ325" i="6"/>
  <c r="CJ326" i="6"/>
  <c r="CJ327" i="6"/>
  <c r="CJ328" i="6"/>
  <c r="CJ329" i="6"/>
  <c r="CJ330" i="6"/>
  <c r="CJ331" i="6"/>
  <c r="CJ332" i="6"/>
  <c r="CJ333" i="6"/>
  <c r="CJ334" i="6"/>
  <c r="CJ335" i="6"/>
  <c r="CJ336" i="6"/>
  <c r="CJ337" i="6"/>
  <c r="CJ338" i="6"/>
  <c r="CJ339" i="6"/>
  <c r="CJ340" i="6"/>
  <c r="CJ341" i="6"/>
  <c r="CJ342" i="6"/>
  <c r="CJ343" i="6"/>
  <c r="CJ344" i="6"/>
  <c r="CJ345" i="6"/>
  <c r="CJ346" i="6"/>
  <c r="CJ347" i="6"/>
  <c r="CJ348" i="6"/>
  <c r="CJ349" i="6"/>
  <c r="CJ350" i="6"/>
  <c r="CJ351" i="6"/>
  <c r="CJ352" i="6"/>
  <c r="CJ353" i="6"/>
  <c r="CJ354" i="6"/>
  <c r="CJ355" i="6"/>
  <c r="CJ266" i="6"/>
  <c r="CJ752" i="6"/>
  <c r="CJ756" i="6"/>
  <c r="CJ368" i="6"/>
  <c r="CJ265" i="6"/>
  <c r="CJ560" i="6"/>
  <c r="CJ564" i="6"/>
  <c r="CJ573" i="6"/>
  <c r="CJ577" i="6"/>
  <c r="CJ581" i="6"/>
  <c r="CJ585" i="6"/>
  <c r="CJ489" i="6"/>
  <c r="CJ490" i="6"/>
  <c r="CJ491" i="6"/>
  <c r="CJ493" i="6"/>
  <c r="CJ495" i="6"/>
  <c r="CJ496" i="6"/>
  <c r="CJ480" i="6"/>
  <c r="CJ482" i="6"/>
  <c r="CJ429" i="6"/>
  <c r="CJ433" i="6"/>
  <c r="CJ435" i="6"/>
  <c r="CJ439" i="6"/>
  <c r="CJ441" i="6"/>
  <c r="CJ443" i="6"/>
  <c r="CJ417" i="6"/>
  <c r="CJ419" i="6"/>
  <c r="CJ543" i="6"/>
  <c r="CJ545" i="6"/>
  <c r="CJ547" i="6"/>
  <c r="CJ549" i="6"/>
  <c r="CJ551" i="6"/>
  <c r="CJ553" i="6"/>
  <c r="CJ555" i="6"/>
  <c r="CJ557" i="6"/>
  <c r="CJ559" i="6"/>
  <c r="CJ561" i="6"/>
  <c r="CJ563" i="6"/>
  <c r="CJ565" i="6"/>
  <c r="CJ567" i="6"/>
  <c r="CJ571" i="6"/>
  <c r="CJ575" i="6"/>
  <c r="CJ579" i="6"/>
  <c r="CJ583" i="6"/>
  <c r="CJ587" i="6"/>
  <c r="CJ475" i="6"/>
  <c r="CJ481" i="6"/>
  <c r="CJ426" i="6"/>
  <c r="CJ428" i="6"/>
  <c r="CJ430" i="6"/>
  <c r="CJ432" i="6"/>
  <c r="CJ434" i="6"/>
  <c r="CJ436" i="6"/>
  <c r="CJ438" i="6"/>
  <c r="CJ440" i="6"/>
  <c r="CJ442" i="6"/>
  <c r="CJ444" i="6"/>
  <c r="CJ414" i="6"/>
  <c r="CJ416" i="6"/>
  <c r="CJ418" i="6"/>
  <c r="CJ420" i="6"/>
  <c r="CJ544" i="6"/>
  <c r="CJ546" i="6"/>
  <c r="CJ548" i="6"/>
  <c r="CJ550" i="6"/>
  <c r="CJ552" i="6"/>
  <c r="CJ554" i="6"/>
  <c r="CJ556" i="6"/>
  <c r="CJ558" i="6"/>
  <c r="CJ562" i="6"/>
  <c r="CJ569" i="6"/>
  <c r="CJ492" i="6"/>
  <c r="CJ494" i="6"/>
  <c r="CJ469" i="6"/>
  <c r="CJ427" i="6"/>
  <c r="CJ431" i="6"/>
  <c r="CJ437" i="6"/>
  <c r="CJ413" i="6"/>
  <c r="CJ415" i="6"/>
  <c r="CJ421" i="6"/>
  <c r="CF1201" i="6"/>
  <c r="CF1202" i="6"/>
  <c r="CF1203" i="6"/>
  <c r="CF1204" i="6"/>
  <c r="CF1205" i="6"/>
  <c r="CF1206" i="6"/>
  <c r="CF1207" i="6"/>
  <c r="CF1208" i="6"/>
  <c r="CF1209" i="6"/>
  <c r="CF1200" i="6"/>
  <c r="CF921" i="6"/>
  <c r="CF922" i="6"/>
  <c r="CF923" i="6"/>
  <c r="CF924" i="6"/>
  <c r="CF925" i="6"/>
  <c r="CF926" i="6"/>
  <c r="CF927" i="6"/>
  <c r="CF928" i="6"/>
  <c r="CF929" i="6"/>
  <c r="CF930" i="6"/>
  <c r="CF931" i="6"/>
  <c r="CF932" i="6"/>
  <c r="CF933" i="6"/>
  <c r="CF938" i="6"/>
  <c r="CF939" i="6"/>
  <c r="CF946" i="6"/>
  <c r="CF947" i="6"/>
  <c r="CF952" i="6"/>
  <c r="CF953" i="6"/>
  <c r="CF940" i="6"/>
  <c r="CF941" i="6"/>
  <c r="CF903" i="6"/>
  <c r="CF904" i="6"/>
  <c r="CF905" i="6"/>
  <c r="CF906" i="6"/>
  <c r="CF907" i="6"/>
  <c r="CF908" i="6"/>
  <c r="CF909" i="6"/>
  <c r="CF910" i="6"/>
  <c r="CF954" i="6"/>
  <c r="CF898" i="6"/>
  <c r="CF899" i="6"/>
  <c r="CF900" i="6"/>
  <c r="CF901" i="6"/>
  <c r="CF902" i="6"/>
  <c r="CF911" i="6"/>
  <c r="CF912" i="6"/>
  <c r="CF913" i="6"/>
  <c r="CF914" i="6"/>
  <c r="CF915" i="6"/>
  <c r="CF835" i="6"/>
  <c r="CF836" i="6"/>
  <c r="CF837" i="6"/>
  <c r="CF838" i="6"/>
  <c r="CF839" i="6"/>
  <c r="CF840" i="6"/>
  <c r="CF841" i="6"/>
  <c r="CF916" i="6"/>
  <c r="CF885" i="6"/>
  <c r="CF886" i="6"/>
  <c r="CF887" i="6"/>
  <c r="CF888" i="6"/>
  <c r="CF889" i="6"/>
  <c r="CF890" i="6"/>
  <c r="CF891" i="6"/>
  <c r="CF892" i="6"/>
  <c r="CF893" i="6"/>
  <c r="CF832" i="6"/>
  <c r="CF833" i="6"/>
  <c r="CF834" i="6"/>
  <c r="CF842" i="6"/>
  <c r="CF843" i="6"/>
  <c r="CF844" i="6"/>
  <c r="CF845" i="6"/>
  <c r="CF846" i="6"/>
  <c r="CF847" i="6"/>
  <c r="CF848" i="6"/>
  <c r="CF849" i="6"/>
  <c r="CF850" i="6"/>
  <c r="CF851" i="6"/>
  <c r="CF852" i="6"/>
  <c r="CF853" i="6"/>
  <c r="CF854" i="6"/>
  <c r="CF855" i="6"/>
  <c r="CF856" i="6"/>
  <c r="CF857" i="6"/>
  <c r="CF858" i="6"/>
  <c r="CF859" i="6"/>
  <c r="CF860" i="6"/>
  <c r="CF861" i="6"/>
  <c r="CF862" i="6"/>
  <c r="CF863" i="6"/>
  <c r="CF864" i="6"/>
  <c r="CF865" i="6"/>
  <c r="CF866" i="6"/>
  <c r="CF867" i="6"/>
  <c r="CF868" i="6"/>
  <c r="CF869" i="6"/>
  <c r="CF870" i="6"/>
  <c r="CF871" i="6"/>
  <c r="CF872" i="6"/>
  <c r="CF873" i="6"/>
  <c r="CF874" i="6"/>
  <c r="CF875" i="6"/>
  <c r="CF876" i="6"/>
  <c r="CF877" i="6"/>
  <c r="CF878" i="6"/>
  <c r="CF879" i="6"/>
  <c r="CF880" i="6"/>
  <c r="CF779" i="6"/>
  <c r="CF780" i="6"/>
  <c r="CF781" i="6"/>
  <c r="CF782" i="6"/>
  <c r="CF783" i="6"/>
  <c r="CF784" i="6"/>
  <c r="CF785" i="6"/>
  <c r="CF786" i="6"/>
  <c r="CF787" i="6"/>
  <c r="CF788" i="6"/>
  <c r="CF789" i="6"/>
  <c r="CF790" i="6"/>
  <c r="CF791" i="6"/>
  <c r="CF792" i="6"/>
  <c r="CF793" i="6"/>
  <c r="CF794" i="6"/>
  <c r="CF795" i="6"/>
  <c r="CF796" i="6"/>
  <c r="CF797" i="6"/>
  <c r="CF798" i="6"/>
  <c r="CF799" i="6"/>
  <c r="CF800" i="6"/>
  <c r="CF801" i="6"/>
  <c r="CF802" i="6"/>
  <c r="CF803" i="6"/>
  <c r="CF804" i="6"/>
  <c r="CF805" i="6"/>
  <c r="CF806" i="6"/>
  <c r="CF807" i="6"/>
  <c r="CF808" i="6"/>
  <c r="CF809" i="6"/>
  <c r="CF810" i="6"/>
  <c r="CF811" i="6"/>
  <c r="CF812" i="6"/>
  <c r="CF813" i="6"/>
  <c r="CF814" i="6"/>
  <c r="CF815" i="6"/>
  <c r="CF816" i="6"/>
  <c r="CF817" i="6"/>
  <c r="CF818" i="6"/>
  <c r="CF819" i="6"/>
  <c r="CF820" i="6"/>
  <c r="CF821" i="6"/>
  <c r="CF822" i="6"/>
  <c r="CF823" i="6"/>
  <c r="CF824" i="6"/>
  <c r="CF825" i="6"/>
  <c r="CF826" i="6"/>
  <c r="CF827" i="6"/>
  <c r="CF737" i="6"/>
  <c r="CF738" i="6"/>
  <c r="CF739" i="6"/>
  <c r="CF740" i="6"/>
  <c r="CF741" i="6"/>
  <c r="CF742" i="6"/>
  <c r="CF743" i="6"/>
  <c r="CF744" i="6"/>
  <c r="CF745" i="6"/>
  <c r="CF746" i="6"/>
  <c r="CF747" i="6"/>
  <c r="CF748" i="6"/>
  <c r="CF749" i="6"/>
  <c r="CF750" i="6"/>
  <c r="CF751" i="6"/>
  <c r="CF649" i="6"/>
  <c r="CF650" i="6"/>
  <c r="CF651" i="6"/>
  <c r="CF652" i="6"/>
  <c r="CF653" i="6"/>
  <c r="CF654" i="6"/>
  <c r="CF655" i="6"/>
  <c r="CF656" i="6"/>
  <c r="CF657" i="6"/>
  <c r="CF685" i="6"/>
  <c r="CF686" i="6"/>
  <c r="CF687" i="6"/>
  <c r="CF688" i="6"/>
  <c r="CF689" i="6"/>
  <c r="CF690" i="6"/>
  <c r="CF691" i="6"/>
  <c r="CF692" i="6"/>
  <c r="CF693" i="6"/>
  <c r="CF694" i="6"/>
  <c r="CF695" i="6"/>
  <c r="CF696" i="6"/>
  <c r="CF697" i="6"/>
  <c r="CF702" i="6"/>
  <c r="CF703" i="6"/>
  <c r="CF704" i="6"/>
  <c r="CF705" i="6"/>
  <c r="CF710" i="6"/>
  <c r="CF711" i="6"/>
  <c r="CF716" i="6"/>
  <c r="CF717" i="6"/>
  <c r="CF718" i="6"/>
  <c r="CF662" i="6"/>
  <c r="CF663" i="6"/>
  <c r="CF664" i="6"/>
  <c r="CF665" i="6"/>
  <c r="CF666" i="6"/>
  <c r="CF667" i="6"/>
  <c r="CF668" i="6"/>
  <c r="CF669" i="6"/>
  <c r="CF670" i="6"/>
  <c r="CF671" i="6"/>
  <c r="CF672" i="6"/>
  <c r="CF673" i="6"/>
  <c r="CF674" i="6"/>
  <c r="CF675" i="6"/>
  <c r="CF676" i="6"/>
  <c r="CF677" i="6"/>
  <c r="CF678" i="6"/>
  <c r="CF679" i="6"/>
  <c r="CF680" i="6"/>
  <c r="CF612" i="6"/>
  <c r="CF613" i="6"/>
  <c r="CF614" i="6"/>
  <c r="CF615" i="6"/>
  <c r="CF616" i="6"/>
  <c r="CF617" i="6"/>
  <c r="CF618" i="6"/>
  <c r="CF619" i="6"/>
  <c r="CF620" i="6"/>
  <c r="CF621" i="6"/>
  <c r="CF622" i="6"/>
  <c r="CF623" i="6"/>
  <c r="CF624" i="6"/>
  <c r="CF625" i="6"/>
  <c r="CF626" i="6"/>
  <c r="CF627" i="6"/>
  <c r="CF628" i="6"/>
  <c r="CF629" i="6"/>
  <c r="CF630" i="6"/>
  <c r="CF631" i="6"/>
  <c r="CF632" i="6"/>
  <c r="CF633" i="6"/>
  <c r="CF634" i="6"/>
  <c r="CF635" i="6"/>
  <c r="CF636" i="6"/>
  <c r="CF637" i="6"/>
  <c r="CF638" i="6"/>
  <c r="CF639" i="6"/>
  <c r="CF640" i="6"/>
  <c r="CF641" i="6"/>
  <c r="CF642" i="6"/>
  <c r="CF643" i="6"/>
  <c r="CF644" i="6"/>
  <c r="CF752" i="6"/>
  <c r="CF753" i="6"/>
  <c r="CF754" i="6"/>
  <c r="CF755" i="6"/>
  <c r="CF756" i="6"/>
  <c r="CF725" i="6"/>
  <c r="CF726" i="6"/>
  <c r="CF727" i="6"/>
  <c r="CF728" i="6"/>
  <c r="CF729" i="6"/>
  <c r="CF730" i="6"/>
  <c r="CF731" i="6"/>
  <c r="CF732" i="6"/>
  <c r="CF596" i="6"/>
  <c r="CF597" i="6"/>
  <c r="CF598" i="6"/>
  <c r="CF599" i="6"/>
  <c r="CF600" i="6"/>
  <c r="CF601" i="6"/>
  <c r="CF602" i="6"/>
  <c r="CF603" i="6"/>
  <c r="CF604" i="6"/>
  <c r="CF605" i="6"/>
  <c r="CF606" i="6"/>
  <c r="CF607" i="6"/>
  <c r="CF608" i="6"/>
  <c r="CF609" i="6"/>
  <c r="CF610" i="6"/>
  <c r="CF611" i="6"/>
  <c r="CF543" i="6"/>
  <c r="CF544" i="6"/>
  <c r="CF545" i="6"/>
  <c r="CF546" i="6"/>
  <c r="CF547" i="6"/>
  <c r="CF548" i="6"/>
  <c r="CF549" i="6"/>
  <c r="CF550" i="6"/>
  <c r="CF551" i="6"/>
  <c r="CF552" i="6"/>
  <c r="CF553" i="6"/>
  <c r="CF554" i="6"/>
  <c r="CF555" i="6"/>
  <c r="CF556" i="6"/>
  <c r="CF557" i="6"/>
  <c r="CF558" i="6"/>
  <c r="CF559" i="6"/>
  <c r="CF560" i="6"/>
  <c r="CF561" i="6"/>
  <c r="CF562" i="6"/>
  <c r="CF563" i="6"/>
  <c r="CF564" i="6"/>
  <c r="CF565" i="6"/>
  <c r="CF449" i="6"/>
  <c r="CF450" i="6"/>
  <c r="CF451" i="6"/>
  <c r="CF452" i="6"/>
  <c r="CF453" i="6"/>
  <c r="CF454" i="6"/>
  <c r="CF455" i="6"/>
  <c r="CF456" i="6"/>
  <c r="CF457" i="6"/>
  <c r="CF458" i="6"/>
  <c r="CF459" i="6"/>
  <c r="CF460" i="6"/>
  <c r="CF461" i="6"/>
  <c r="CF466" i="6"/>
  <c r="CF467" i="6"/>
  <c r="CF468" i="6"/>
  <c r="CF474" i="6"/>
  <c r="CF360" i="6"/>
  <c r="CF361" i="6"/>
  <c r="CF362" i="6"/>
  <c r="CF366" i="6"/>
  <c r="CF367" i="6"/>
  <c r="CF369" i="6"/>
  <c r="CF370" i="6"/>
  <c r="CF376" i="6"/>
  <c r="CF758" i="6"/>
  <c r="CF760" i="6"/>
  <c r="CF762" i="6"/>
  <c r="CF764" i="6"/>
  <c r="CF766" i="6"/>
  <c r="CF768" i="6"/>
  <c r="CF770" i="6"/>
  <c r="CF772" i="6"/>
  <c r="CF774" i="6"/>
  <c r="CF489" i="6"/>
  <c r="CF490" i="6"/>
  <c r="CF491" i="6"/>
  <c r="CF492" i="6"/>
  <c r="CF493" i="6"/>
  <c r="CF494" i="6"/>
  <c r="CF495" i="6"/>
  <c r="CF496" i="6"/>
  <c r="CF368" i="6"/>
  <c r="CF267" i="6"/>
  <c r="CF268" i="6"/>
  <c r="CF269" i="6"/>
  <c r="CF270" i="6"/>
  <c r="CF271" i="6"/>
  <c r="CF272" i="6"/>
  <c r="CF273" i="6"/>
  <c r="CF274" i="6"/>
  <c r="CF275" i="6"/>
  <c r="CF276" i="6"/>
  <c r="CF277" i="6"/>
  <c r="CF278" i="6"/>
  <c r="CF279" i="6"/>
  <c r="CF280" i="6"/>
  <c r="CF281" i="6"/>
  <c r="CF282" i="6"/>
  <c r="CF283" i="6"/>
  <c r="CF284" i="6"/>
  <c r="CF285" i="6"/>
  <c r="CF286" i="6"/>
  <c r="CF287" i="6"/>
  <c r="CF288" i="6"/>
  <c r="CF289" i="6"/>
  <c r="CF290" i="6"/>
  <c r="CF291" i="6"/>
  <c r="CF292" i="6"/>
  <c r="CF293" i="6"/>
  <c r="CF294" i="6"/>
  <c r="CF295" i="6"/>
  <c r="CF296" i="6"/>
  <c r="CF297" i="6"/>
  <c r="CF298" i="6"/>
  <c r="CF299" i="6"/>
  <c r="CF300" i="6"/>
  <c r="CF301" i="6"/>
  <c r="CF302" i="6"/>
  <c r="CF253" i="6"/>
  <c r="CF254" i="6"/>
  <c r="CF255" i="6"/>
  <c r="CF256" i="6"/>
  <c r="CF257" i="6"/>
  <c r="CF258" i="6"/>
  <c r="CF259" i="6"/>
  <c r="CF260" i="6"/>
  <c r="CF567" i="6"/>
  <c r="CF569" i="6"/>
  <c r="CF571" i="6"/>
  <c r="CF573" i="6"/>
  <c r="CF575" i="6"/>
  <c r="CF577" i="6"/>
  <c r="CF579" i="6"/>
  <c r="CF581" i="6"/>
  <c r="CF583" i="6"/>
  <c r="CF585" i="6"/>
  <c r="CF587" i="6"/>
  <c r="CF375" i="6"/>
  <c r="CF312" i="6"/>
  <c r="CF313" i="6"/>
  <c r="CF314" i="6"/>
  <c r="CF315" i="6"/>
  <c r="CF316" i="6"/>
  <c r="CF317" i="6"/>
  <c r="CF318" i="6"/>
  <c r="CF319" i="6"/>
  <c r="CF320" i="6"/>
  <c r="CF321" i="6"/>
  <c r="CF322" i="6"/>
  <c r="CF323" i="6"/>
  <c r="CF324" i="6"/>
  <c r="CF325" i="6"/>
  <c r="CF326" i="6"/>
  <c r="CF327" i="6"/>
  <c r="CF328" i="6"/>
  <c r="CF329" i="6"/>
  <c r="CF330" i="6"/>
  <c r="CF331" i="6"/>
  <c r="CF332" i="6"/>
  <c r="CF333" i="6"/>
  <c r="CF334" i="6"/>
  <c r="CF335" i="6"/>
  <c r="CF336" i="6"/>
  <c r="CF337" i="6"/>
  <c r="CF338" i="6"/>
  <c r="CF339" i="6"/>
  <c r="CF340" i="6"/>
  <c r="CF341" i="6"/>
  <c r="CF342" i="6"/>
  <c r="CF343" i="6"/>
  <c r="CF344" i="6"/>
  <c r="CF345" i="6"/>
  <c r="CF346" i="6"/>
  <c r="CF347" i="6"/>
  <c r="CF348" i="6"/>
  <c r="CF349" i="6"/>
  <c r="CF350" i="6"/>
  <c r="CF351" i="6"/>
  <c r="CF352" i="6"/>
  <c r="CF353" i="6"/>
  <c r="CF354" i="6"/>
  <c r="CF355" i="6"/>
  <c r="CF266" i="6"/>
  <c r="CF757" i="6"/>
  <c r="CF759" i="6"/>
  <c r="CF761" i="6"/>
  <c r="CF763" i="6"/>
  <c r="CF765" i="6"/>
  <c r="CF767" i="6"/>
  <c r="CF769" i="6"/>
  <c r="CF771" i="6"/>
  <c r="CF773" i="6"/>
  <c r="CF566" i="6"/>
  <c r="CF570" i="6"/>
  <c r="CF574" i="6"/>
  <c r="CF578" i="6"/>
  <c r="CF582" i="6"/>
  <c r="CF586" i="6"/>
  <c r="CF589" i="6"/>
  <c r="CF590" i="6"/>
  <c r="CF591" i="6"/>
  <c r="CF501" i="6"/>
  <c r="CF502" i="6"/>
  <c r="CF503" i="6"/>
  <c r="CF504" i="6"/>
  <c r="CF505" i="6"/>
  <c r="CF506" i="6"/>
  <c r="CF507" i="6"/>
  <c r="CF508" i="6"/>
  <c r="CF509" i="6"/>
  <c r="CF510" i="6"/>
  <c r="CF511" i="6"/>
  <c r="CF512" i="6"/>
  <c r="CF513" i="6"/>
  <c r="CF514" i="6"/>
  <c r="CF515" i="6"/>
  <c r="CF516" i="6"/>
  <c r="CF517" i="6"/>
  <c r="CF518" i="6"/>
  <c r="CF519" i="6"/>
  <c r="CF520" i="6"/>
  <c r="CF521" i="6"/>
  <c r="CF522" i="6"/>
  <c r="CF523" i="6"/>
  <c r="CF524" i="6"/>
  <c r="CF525" i="6"/>
  <c r="CF526" i="6"/>
  <c r="CF527" i="6"/>
  <c r="CF528" i="6"/>
  <c r="CF529" i="6"/>
  <c r="CF530" i="6"/>
  <c r="CF531" i="6"/>
  <c r="CF532" i="6"/>
  <c r="CF533" i="6"/>
  <c r="CF534" i="6"/>
  <c r="CF535" i="6"/>
  <c r="CF536" i="6"/>
  <c r="CF537" i="6"/>
  <c r="CF538" i="6"/>
  <c r="CF475" i="6"/>
  <c r="CF481" i="6"/>
  <c r="CF426" i="6"/>
  <c r="CF428" i="6"/>
  <c r="CF430" i="6"/>
  <c r="CF432" i="6"/>
  <c r="CF434" i="6"/>
  <c r="CF436" i="6"/>
  <c r="CF438" i="6"/>
  <c r="CF440" i="6"/>
  <c r="CF442" i="6"/>
  <c r="CF444" i="6"/>
  <c r="CF414" i="6"/>
  <c r="CF416" i="6"/>
  <c r="CF418" i="6"/>
  <c r="CF420" i="6"/>
  <c r="CF265" i="6"/>
  <c r="CF568" i="6"/>
  <c r="CF572" i="6"/>
  <c r="CF576" i="6"/>
  <c r="CF580" i="6"/>
  <c r="CF584" i="6"/>
  <c r="CF588" i="6"/>
  <c r="CF482" i="6"/>
  <c r="CF435" i="6"/>
  <c r="CF439" i="6"/>
  <c r="CF413" i="6"/>
  <c r="CF419" i="6"/>
  <c r="CF421" i="6"/>
  <c r="CF372" i="6"/>
  <c r="CF374" i="6"/>
  <c r="CF383" i="6"/>
  <c r="CF385" i="6"/>
  <c r="CF393" i="6"/>
  <c r="CF395" i="6"/>
  <c r="CF399" i="6"/>
  <c r="CF401" i="6"/>
  <c r="CF403" i="6"/>
  <c r="CF405" i="6"/>
  <c r="CF407" i="6"/>
  <c r="CF307" i="6"/>
  <c r="CF364" i="6"/>
  <c r="CF371" i="6"/>
  <c r="CF373" i="6"/>
  <c r="CF378" i="6"/>
  <c r="CF380" i="6"/>
  <c r="CF382" i="6"/>
  <c r="CF384" i="6"/>
  <c r="CF386" i="6"/>
  <c r="CF388" i="6"/>
  <c r="CF390" i="6"/>
  <c r="CF392" i="6"/>
  <c r="CF394" i="6"/>
  <c r="CF396" i="6"/>
  <c r="CF398" i="6"/>
  <c r="CF400" i="6"/>
  <c r="CF402" i="6"/>
  <c r="CF404" i="6"/>
  <c r="CF406" i="6"/>
  <c r="CF408" i="6"/>
  <c r="CF308" i="6"/>
  <c r="CF310" i="6"/>
  <c r="CF469" i="6"/>
  <c r="CF480" i="6"/>
  <c r="CF427" i="6"/>
  <c r="CF429" i="6"/>
  <c r="CF431" i="6"/>
  <c r="CF433" i="6"/>
  <c r="CF437" i="6"/>
  <c r="CF441" i="6"/>
  <c r="CF443" i="6"/>
  <c r="CF415" i="6"/>
  <c r="CF417" i="6"/>
  <c r="CF363" i="6"/>
  <c r="CF365" i="6"/>
  <c r="CF377" i="6"/>
  <c r="CF379" i="6"/>
  <c r="CF381" i="6"/>
  <c r="CF387" i="6"/>
  <c r="CF389" i="6"/>
  <c r="CF391" i="6"/>
  <c r="CF397" i="6"/>
  <c r="CF309" i="6"/>
  <c r="CF311" i="6"/>
  <c r="CB1201" i="6"/>
  <c r="CB1202" i="6"/>
  <c r="CB1203" i="6"/>
  <c r="CB1204" i="6"/>
  <c r="CB1205" i="6"/>
  <c r="CB1206" i="6"/>
  <c r="CB1207" i="6"/>
  <c r="CB1208" i="6"/>
  <c r="CB922" i="6"/>
  <c r="CB923" i="6"/>
  <c r="CB924" i="6"/>
  <c r="CB921" i="6"/>
  <c r="CB1209" i="6"/>
  <c r="CB1200" i="6"/>
  <c r="CB940" i="6"/>
  <c r="CB941" i="6"/>
  <c r="CB946" i="6"/>
  <c r="CB947" i="6"/>
  <c r="CB952" i="6"/>
  <c r="CB953" i="6"/>
  <c r="CB927" i="6"/>
  <c r="CB931" i="6"/>
  <c r="CB939" i="6"/>
  <c r="CB903" i="6"/>
  <c r="CB904" i="6"/>
  <c r="CB905" i="6"/>
  <c r="CB906" i="6"/>
  <c r="CB907" i="6"/>
  <c r="CB908" i="6"/>
  <c r="CB909" i="6"/>
  <c r="CB910" i="6"/>
  <c r="CB926" i="6"/>
  <c r="CB930" i="6"/>
  <c r="CB938" i="6"/>
  <c r="CB925" i="6"/>
  <c r="CB929" i="6"/>
  <c r="CB933" i="6"/>
  <c r="CB928" i="6"/>
  <c r="CB900" i="6"/>
  <c r="CB954" i="6"/>
  <c r="CB901" i="6"/>
  <c r="CB911" i="6"/>
  <c r="CB912" i="6"/>
  <c r="CB913" i="6"/>
  <c r="CB914" i="6"/>
  <c r="CB915" i="6"/>
  <c r="CB898" i="6"/>
  <c r="CB902" i="6"/>
  <c r="CB899" i="6"/>
  <c r="CB916" i="6"/>
  <c r="CB885" i="6"/>
  <c r="CB886" i="6"/>
  <c r="CB887" i="6"/>
  <c r="CB888" i="6"/>
  <c r="CB889" i="6"/>
  <c r="CB890" i="6"/>
  <c r="CB891" i="6"/>
  <c r="CB892" i="6"/>
  <c r="CB893" i="6"/>
  <c r="CB832" i="6"/>
  <c r="CB833" i="6"/>
  <c r="CB834" i="6"/>
  <c r="CB932" i="6"/>
  <c r="CB835" i="6"/>
  <c r="CB836" i="6"/>
  <c r="CB837" i="6"/>
  <c r="CB838" i="6"/>
  <c r="CB839" i="6"/>
  <c r="CB840" i="6"/>
  <c r="CB841" i="6"/>
  <c r="CB862" i="6"/>
  <c r="CB863" i="6"/>
  <c r="CB864" i="6"/>
  <c r="CB865" i="6"/>
  <c r="CB866" i="6"/>
  <c r="CB867" i="6"/>
  <c r="CB868" i="6"/>
  <c r="CB869" i="6"/>
  <c r="CB870" i="6"/>
  <c r="CB871" i="6"/>
  <c r="CB872" i="6"/>
  <c r="CB873" i="6"/>
  <c r="CB874" i="6"/>
  <c r="CB875" i="6"/>
  <c r="CB876" i="6"/>
  <c r="CB877" i="6"/>
  <c r="CB878" i="6"/>
  <c r="CB879" i="6"/>
  <c r="CB880" i="6"/>
  <c r="CB779" i="6"/>
  <c r="CB780" i="6"/>
  <c r="CB781" i="6"/>
  <c r="CB782" i="6"/>
  <c r="CB783" i="6"/>
  <c r="CB784" i="6"/>
  <c r="CB785" i="6"/>
  <c r="CB786" i="6"/>
  <c r="CB787" i="6"/>
  <c r="CB788" i="6"/>
  <c r="CB789" i="6"/>
  <c r="CB790" i="6"/>
  <c r="CB791" i="6"/>
  <c r="CB792" i="6"/>
  <c r="CB793" i="6"/>
  <c r="CB794" i="6"/>
  <c r="CB795" i="6"/>
  <c r="CB796" i="6"/>
  <c r="CB797" i="6"/>
  <c r="CB798" i="6"/>
  <c r="CB799" i="6"/>
  <c r="CB800" i="6"/>
  <c r="CB842" i="6"/>
  <c r="CB843" i="6"/>
  <c r="CB844" i="6"/>
  <c r="CB845" i="6"/>
  <c r="CB846" i="6"/>
  <c r="CB847" i="6"/>
  <c r="CB848" i="6"/>
  <c r="CB849" i="6"/>
  <c r="CB850" i="6"/>
  <c r="CB851" i="6"/>
  <c r="CB852" i="6"/>
  <c r="CB853" i="6"/>
  <c r="CB854" i="6"/>
  <c r="CB855" i="6"/>
  <c r="CB856" i="6"/>
  <c r="CB857" i="6"/>
  <c r="CB858" i="6"/>
  <c r="CB859" i="6"/>
  <c r="CB860" i="6"/>
  <c r="CB801" i="6"/>
  <c r="CB802" i="6"/>
  <c r="CB803" i="6"/>
  <c r="CB804" i="6"/>
  <c r="CB805" i="6"/>
  <c r="CB806" i="6"/>
  <c r="CB807" i="6"/>
  <c r="CB808" i="6"/>
  <c r="CB809" i="6"/>
  <c r="CB810" i="6"/>
  <c r="CB811" i="6"/>
  <c r="CB812" i="6"/>
  <c r="CB813" i="6"/>
  <c r="CB814" i="6"/>
  <c r="CB815" i="6"/>
  <c r="CB816" i="6"/>
  <c r="CB817" i="6"/>
  <c r="CB818" i="6"/>
  <c r="CB819" i="6"/>
  <c r="CB820" i="6"/>
  <c r="CB821" i="6"/>
  <c r="CB822" i="6"/>
  <c r="CB823" i="6"/>
  <c r="CB824" i="6"/>
  <c r="CB825" i="6"/>
  <c r="CB826" i="6"/>
  <c r="CB827" i="6"/>
  <c r="CB737" i="6"/>
  <c r="CB738" i="6"/>
  <c r="CB739" i="6"/>
  <c r="CB740" i="6"/>
  <c r="CB741" i="6"/>
  <c r="CB742" i="6"/>
  <c r="CB743" i="6"/>
  <c r="CB744" i="6"/>
  <c r="CB745" i="6"/>
  <c r="CB746" i="6"/>
  <c r="CB747" i="6"/>
  <c r="CB748" i="6"/>
  <c r="CB749" i="6"/>
  <c r="CB750" i="6"/>
  <c r="CB751" i="6"/>
  <c r="CB861" i="6"/>
  <c r="CB649" i="6"/>
  <c r="CB650" i="6"/>
  <c r="CB651" i="6"/>
  <c r="CB652" i="6"/>
  <c r="CB653" i="6"/>
  <c r="CB654" i="6"/>
  <c r="CB655" i="6"/>
  <c r="CB656" i="6"/>
  <c r="CB657" i="6"/>
  <c r="CB752" i="6"/>
  <c r="CB753" i="6"/>
  <c r="CB754" i="6"/>
  <c r="CB755" i="6"/>
  <c r="CB756" i="6"/>
  <c r="CB757" i="6"/>
  <c r="CB758" i="6"/>
  <c r="CB759" i="6"/>
  <c r="CB760" i="6"/>
  <c r="CB761" i="6"/>
  <c r="CB762" i="6"/>
  <c r="CB763" i="6"/>
  <c r="CB764" i="6"/>
  <c r="CB765" i="6"/>
  <c r="CB766" i="6"/>
  <c r="CB767" i="6"/>
  <c r="CB768" i="6"/>
  <c r="CB769" i="6"/>
  <c r="CB770" i="6"/>
  <c r="CB771" i="6"/>
  <c r="CB772" i="6"/>
  <c r="CB773" i="6"/>
  <c r="CB774" i="6"/>
  <c r="CB612" i="6"/>
  <c r="CB613" i="6"/>
  <c r="CB614" i="6"/>
  <c r="CB615" i="6"/>
  <c r="CB616" i="6"/>
  <c r="CB617" i="6"/>
  <c r="CB618" i="6"/>
  <c r="CB619" i="6"/>
  <c r="CB620" i="6"/>
  <c r="CB621" i="6"/>
  <c r="CB622" i="6"/>
  <c r="CB623" i="6"/>
  <c r="CB624" i="6"/>
  <c r="CB625" i="6"/>
  <c r="CB626" i="6"/>
  <c r="CB627" i="6"/>
  <c r="CB628" i="6"/>
  <c r="CB629" i="6"/>
  <c r="CB630" i="6"/>
  <c r="CB631" i="6"/>
  <c r="CB632" i="6"/>
  <c r="CB633" i="6"/>
  <c r="CB634" i="6"/>
  <c r="CB635" i="6"/>
  <c r="CB636" i="6"/>
  <c r="CB637" i="6"/>
  <c r="CB638" i="6"/>
  <c r="CB639" i="6"/>
  <c r="CB640" i="6"/>
  <c r="CB641" i="6"/>
  <c r="CB642" i="6"/>
  <c r="CB643" i="6"/>
  <c r="CB644" i="6"/>
  <c r="CB566" i="6"/>
  <c r="CB567" i="6"/>
  <c r="CB568" i="6"/>
  <c r="CB569" i="6"/>
  <c r="CB570" i="6"/>
  <c r="CB571" i="6"/>
  <c r="CB572" i="6"/>
  <c r="CB573" i="6"/>
  <c r="CB574" i="6"/>
  <c r="CB575" i="6"/>
  <c r="CB576" i="6"/>
  <c r="CB577" i="6"/>
  <c r="CB578" i="6"/>
  <c r="CB579" i="6"/>
  <c r="CB580" i="6"/>
  <c r="CB581" i="6"/>
  <c r="CB582" i="6"/>
  <c r="CB583" i="6"/>
  <c r="CB584" i="6"/>
  <c r="CB585" i="6"/>
  <c r="CB586" i="6"/>
  <c r="CB587" i="6"/>
  <c r="CB588" i="6"/>
  <c r="CB449" i="6"/>
  <c r="CB450" i="6"/>
  <c r="CB451" i="6"/>
  <c r="CB452" i="6"/>
  <c r="CB453" i="6"/>
  <c r="CB454" i="6"/>
  <c r="CB455" i="6"/>
  <c r="CB456" i="6"/>
  <c r="CB457" i="6"/>
  <c r="CB458" i="6"/>
  <c r="CB459" i="6"/>
  <c r="CB460" i="6"/>
  <c r="CB461" i="6"/>
  <c r="CB466" i="6"/>
  <c r="CB467" i="6"/>
  <c r="CB468" i="6"/>
  <c r="CB596" i="6"/>
  <c r="CB598" i="6"/>
  <c r="CB600" i="6"/>
  <c r="CB602" i="6"/>
  <c r="CB604" i="6"/>
  <c r="CB606" i="6"/>
  <c r="CB608" i="6"/>
  <c r="CB610" i="6"/>
  <c r="CB474" i="6"/>
  <c r="CB360" i="6"/>
  <c r="CB361" i="6"/>
  <c r="CB362" i="6"/>
  <c r="CB366" i="6"/>
  <c r="CB367" i="6"/>
  <c r="CB369" i="6"/>
  <c r="CB370" i="6"/>
  <c r="CB376" i="6"/>
  <c r="CB685" i="6"/>
  <c r="CB687" i="6"/>
  <c r="CB689" i="6"/>
  <c r="CB691" i="6"/>
  <c r="CB693" i="6"/>
  <c r="CB695" i="6"/>
  <c r="CB697" i="6"/>
  <c r="CB703" i="6"/>
  <c r="CB705" i="6"/>
  <c r="CB711" i="6"/>
  <c r="CB717" i="6"/>
  <c r="CB662" i="6"/>
  <c r="CB664" i="6"/>
  <c r="CB666" i="6"/>
  <c r="CB668" i="6"/>
  <c r="CB670" i="6"/>
  <c r="CB672" i="6"/>
  <c r="CB674" i="6"/>
  <c r="CB676" i="6"/>
  <c r="CB678" i="6"/>
  <c r="CB680" i="6"/>
  <c r="CB543" i="6"/>
  <c r="CB544" i="6"/>
  <c r="CB545" i="6"/>
  <c r="CB546" i="6"/>
  <c r="CB547" i="6"/>
  <c r="CB548" i="6"/>
  <c r="CB549" i="6"/>
  <c r="CB550" i="6"/>
  <c r="CB551" i="6"/>
  <c r="CB552" i="6"/>
  <c r="CB553" i="6"/>
  <c r="CB554" i="6"/>
  <c r="CB555" i="6"/>
  <c r="CB556" i="6"/>
  <c r="CB557" i="6"/>
  <c r="CB558" i="6"/>
  <c r="CB559" i="6"/>
  <c r="CB560" i="6"/>
  <c r="CB561" i="6"/>
  <c r="CB562" i="6"/>
  <c r="CB563" i="6"/>
  <c r="CB564" i="6"/>
  <c r="CB565" i="6"/>
  <c r="CB469" i="6"/>
  <c r="CB475" i="6"/>
  <c r="CB480" i="6"/>
  <c r="CB481" i="6"/>
  <c r="CB482" i="6"/>
  <c r="CB426" i="6"/>
  <c r="CB427" i="6"/>
  <c r="CB428" i="6"/>
  <c r="CB429" i="6"/>
  <c r="CB430" i="6"/>
  <c r="CB431" i="6"/>
  <c r="CB432" i="6"/>
  <c r="CB433" i="6"/>
  <c r="CB434" i="6"/>
  <c r="CB435" i="6"/>
  <c r="CB436" i="6"/>
  <c r="CB437" i="6"/>
  <c r="CB438" i="6"/>
  <c r="CB439" i="6"/>
  <c r="CB440" i="6"/>
  <c r="CB441" i="6"/>
  <c r="CB442" i="6"/>
  <c r="CB443" i="6"/>
  <c r="CB444" i="6"/>
  <c r="CB413" i="6"/>
  <c r="CB414" i="6"/>
  <c r="CB415" i="6"/>
  <c r="CB416" i="6"/>
  <c r="CB417" i="6"/>
  <c r="CB418" i="6"/>
  <c r="CB419" i="6"/>
  <c r="CB420" i="6"/>
  <c r="CB421" i="6"/>
  <c r="CB267" i="6"/>
  <c r="CB268" i="6"/>
  <c r="CB269" i="6"/>
  <c r="CB270" i="6"/>
  <c r="CB271" i="6"/>
  <c r="CB272" i="6"/>
  <c r="CB273" i="6"/>
  <c r="CB274" i="6"/>
  <c r="CB275" i="6"/>
  <c r="CB276" i="6"/>
  <c r="CB277" i="6"/>
  <c r="CB278" i="6"/>
  <c r="CB279" i="6"/>
  <c r="CB280" i="6"/>
  <c r="CB281" i="6"/>
  <c r="CB282" i="6"/>
  <c r="CB283" i="6"/>
  <c r="CB284" i="6"/>
  <c r="CB285" i="6"/>
  <c r="CB286" i="6"/>
  <c r="CB287" i="6"/>
  <c r="CB288" i="6"/>
  <c r="CB289" i="6"/>
  <c r="CB290" i="6"/>
  <c r="CB291" i="6"/>
  <c r="CB292" i="6"/>
  <c r="CB293" i="6"/>
  <c r="CB294" i="6"/>
  <c r="CB295" i="6"/>
  <c r="CB296" i="6"/>
  <c r="CB297" i="6"/>
  <c r="CB298" i="6"/>
  <c r="CB299" i="6"/>
  <c r="CB300" i="6"/>
  <c r="CB301" i="6"/>
  <c r="CB302" i="6"/>
  <c r="CB253" i="6"/>
  <c r="CB254" i="6"/>
  <c r="CB255" i="6"/>
  <c r="CB256" i="6"/>
  <c r="CB257" i="6"/>
  <c r="CB258" i="6"/>
  <c r="CB259" i="6"/>
  <c r="CB260" i="6"/>
  <c r="CB679" i="6"/>
  <c r="CB726" i="6"/>
  <c r="CB728" i="6"/>
  <c r="CB730" i="6"/>
  <c r="CB732" i="6"/>
  <c r="CB599" i="6"/>
  <c r="CB603" i="6"/>
  <c r="CB607" i="6"/>
  <c r="CB611" i="6"/>
  <c r="CB589" i="6"/>
  <c r="CB590" i="6"/>
  <c r="CB591" i="6"/>
  <c r="CB501" i="6"/>
  <c r="CB502" i="6"/>
  <c r="CB503" i="6"/>
  <c r="CB504" i="6"/>
  <c r="CB505" i="6"/>
  <c r="CB506" i="6"/>
  <c r="CB507" i="6"/>
  <c r="CB508" i="6"/>
  <c r="CB509" i="6"/>
  <c r="CB510" i="6"/>
  <c r="CB511" i="6"/>
  <c r="CB512" i="6"/>
  <c r="CB513" i="6"/>
  <c r="CB514" i="6"/>
  <c r="CB515" i="6"/>
  <c r="CB516" i="6"/>
  <c r="CB517" i="6"/>
  <c r="CB518" i="6"/>
  <c r="CB519" i="6"/>
  <c r="CB520" i="6"/>
  <c r="CB521" i="6"/>
  <c r="CB522" i="6"/>
  <c r="CB523" i="6"/>
  <c r="CB524" i="6"/>
  <c r="CB525" i="6"/>
  <c r="CB526" i="6"/>
  <c r="CB527" i="6"/>
  <c r="CB528" i="6"/>
  <c r="CB529" i="6"/>
  <c r="CB530" i="6"/>
  <c r="CB531" i="6"/>
  <c r="CB532" i="6"/>
  <c r="CB533" i="6"/>
  <c r="CB534" i="6"/>
  <c r="CB535" i="6"/>
  <c r="CB536" i="6"/>
  <c r="CB537" i="6"/>
  <c r="CB538" i="6"/>
  <c r="CB368" i="6"/>
  <c r="CB312" i="6"/>
  <c r="CB313" i="6"/>
  <c r="CB314" i="6"/>
  <c r="CB315" i="6"/>
  <c r="CB316" i="6"/>
  <c r="CB317" i="6"/>
  <c r="CB318" i="6"/>
  <c r="CB319" i="6"/>
  <c r="CB320" i="6"/>
  <c r="CB321" i="6"/>
  <c r="CB322" i="6"/>
  <c r="CB323" i="6"/>
  <c r="CB324" i="6"/>
  <c r="CB325" i="6"/>
  <c r="CB326" i="6"/>
  <c r="CB327" i="6"/>
  <c r="CB328" i="6"/>
  <c r="CB329" i="6"/>
  <c r="CB330" i="6"/>
  <c r="CB331" i="6"/>
  <c r="CB332" i="6"/>
  <c r="CB333" i="6"/>
  <c r="CB334" i="6"/>
  <c r="CB335" i="6"/>
  <c r="CB336" i="6"/>
  <c r="CB337" i="6"/>
  <c r="CB338" i="6"/>
  <c r="CB339" i="6"/>
  <c r="CB340" i="6"/>
  <c r="CB341" i="6"/>
  <c r="CB342" i="6"/>
  <c r="CB343" i="6"/>
  <c r="CB344" i="6"/>
  <c r="CB345" i="6"/>
  <c r="CB346" i="6"/>
  <c r="CB347" i="6"/>
  <c r="CB348" i="6"/>
  <c r="CB349" i="6"/>
  <c r="CB350" i="6"/>
  <c r="CB351" i="6"/>
  <c r="CB352" i="6"/>
  <c r="CB353" i="6"/>
  <c r="CB354" i="6"/>
  <c r="CB355" i="6"/>
  <c r="CB266" i="6"/>
  <c r="CB686" i="6"/>
  <c r="CB688" i="6"/>
  <c r="CB690" i="6"/>
  <c r="CB692" i="6"/>
  <c r="CB694" i="6"/>
  <c r="CB696" i="6"/>
  <c r="CB702" i="6"/>
  <c r="CB704" i="6"/>
  <c r="CB710" i="6"/>
  <c r="CB716" i="6"/>
  <c r="CB718" i="6"/>
  <c r="CB663" i="6"/>
  <c r="CB665" i="6"/>
  <c r="CB667" i="6"/>
  <c r="CB669" i="6"/>
  <c r="CB671" i="6"/>
  <c r="CB673" i="6"/>
  <c r="CB675" i="6"/>
  <c r="CB677" i="6"/>
  <c r="CB727" i="6"/>
  <c r="CB597" i="6"/>
  <c r="CB364" i="6"/>
  <c r="CB371" i="6"/>
  <c r="CB373" i="6"/>
  <c r="CB378" i="6"/>
  <c r="CB380" i="6"/>
  <c r="CB382" i="6"/>
  <c r="CB384" i="6"/>
  <c r="CB386" i="6"/>
  <c r="CB388" i="6"/>
  <c r="CB390" i="6"/>
  <c r="CB392" i="6"/>
  <c r="CB394" i="6"/>
  <c r="CB396" i="6"/>
  <c r="CB398" i="6"/>
  <c r="CB400" i="6"/>
  <c r="CB402" i="6"/>
  <c r="CB404" i="6"/>
  <c r="CB406" i="6"/>
  <c r="CB408" i="6"/>
  <c r="CB308" i="6"/>
  <c r="CB310" i="6"/>
  <c r="CB731" i="6"/>
  <c r="CB605" i="6"/>
  <c r="CB609" i="6"/>
  <c r="CB363" i="6"/>
  <c r="CB365" i="6"/>
  <c r="CB374" i="6"/>
  <c r="CB381" i="6"/>
  <c r="CB383" i="6"/>
  <c r="CB385" i="6"/>
  <c r="CB387" i="6"/>
  <c r="CB391" i="6"/>
  <c r="CB729" i="6"/>
  <c r="CB725" i="6"/>
  <c r="CB601" i="6"/>
  <c r="CB489" i="6"/>
  <c r="CB490" i="6"/>
  <c r="CB491" i="6"/>
  <c r="CB492" i="6"/>
  <c r="CB493" i="6"/>
  <c r="CB494" i="6"/>
  <c r="CB495" i="6"/>
  <c r="CB496" i="6"/>
  <c r="CB372" i="6"/>
  <c r="CB377" i="6"/>
  <c r="CB379" i="6"/>
  <c r="CB389" i="6"/>
  <c r="CB393" i="6"/>
  <c r="CB395" i="6"/>
  <c r="CB397" i="6"/>
  <c r="CB399" i="6"/>
  <c r="CB401" i="6"/>
  <c r="CB403" i="6"/>
  <c r="CB405" i="6"/>
  <c r="CB407" i="6"/>
  <c r="CB307" i="6"/>
  <c r="CB309" i="6"/>
  <c r="CB311" i="6"/>
  <c r="CB265" i="6"/>
  <c r="CB375" i="6"/>
  <c r="BT1201" i="6"/>
  <c r="BT1202" i="6"/>
  <c r="BT1203" i="6"/>
  <c r="BT1204" i="6"/>
  <c r="BT1205" i="6"/>
  <c r="BT1206" i="6"/>
  <c r="BT1207" i="6"/>
  <c r="BT1208" i="6"/>
  <c r="BT1209" i="6"/>
  <c r="BT1200" i="6"/>
  <c r="BT921" i="6"/>
  <c r="BT922" i="6"/>
  <c r="BT923" i="6"/>
  <c r="BT924" i="6"/>
  <c r="BT925" i="6"/>
  <c r="BT941" i="6"/>
  <c r="BT926" i="6"/>
  <c r="BT927" i="6"/>
  <c r="BT928" i="6"/>
  <c r="BT929" i="6"/>
  <c r="BT930" i="6"/>
  <c r="BT931" i="6"/>
  <c r="BT932" i="6"/>
  <c r="BT933" i="6"/>
  <c r="BT938" i="6"/>
  <c r="BT939" i="6"/>
  <c r="BT940" i="6"/>
  <c r="BT946" i="6"/>
  <c r="BT947" i="6"/>
  <c r="BT952" i="6"/>
  <c r="BT953" i="6"/>
  <c r="BT903" i="6"/>
  <c r="BT904" i="6"/>
  <c r="BT905" i="6"/>
  <c r="BT906" i="6"/>
  <c r="BT907" i="6"/>
  <c r="BT908" i="6"/>
  <c r="BT909" i="6"/>
  <c r="BT910" i="6"/>
  <c r="BT954" i="6"/>
  <c r="BT898" i="6"/>
  <c r="BT899" i="6"/>
  <c r="BT900" i="6"/>
  <c r="BT901" i="6"/>
  <c r="BT902" i="6"/>
  <c r="BT911" i="6"/>
  <c r="BT915" i="6"/>
  <c r="BT912" i="6"/>
  <c r="BT861" i="6"/>
  <c r="BT913" i="6"/>
  <c r="BT885" i="6"/>
  <c r="BT887" i="6"/>
  <c r="BT889" i="6"/>
  <c r="BT891" i="6"/>
  <c r="BT893" i="6"/>
  <c r="BT832" i="6"/>
  <c r="BT834" i="6"/>
  <c r="BT862" i="6"/>
  <c r="BT863" i="6"/>
  <c r="BT864" i="6"/>
  <c r="BT865" i="6"/>
  <c r="BT866" i="6"/>
  <c r="BT867" i="6"/>
  <c r="BT868" i="6"/>
  <c r="BT869" i="6"/>
  <c r="BT870" i="6"/>
  <c r="BT871" i="6"/>
  <c r="BT872" i="6"/>
  <c r="BT873" i="6"/>
  <c r="BT874" i="6"/>
  <c r="BT875" i="6"/>
  <c r="BT876" i="6"/>
  <c r="BT877" i="6"/>
  <c r="BT878" i="6"/>
  <c r="BT879" i="6"/>
  <c r="BT880" i="6"/>
  <c r="BT779" i="6"/>
  <c r="BT780" i="6"/>
  <c r="BT781" i="6"/>
  <c r="BT782" i="6"/>
  <c r="BT783" i="6"/>
  <c r="BT784" i="6"/>
  <c r="BT785" i="6"/>
  <c r="BT786" i="6"/>
  <c r="BT787" i="6"/>
  <c r="BT788" i="6"/>
  <c r="BT789" i="6"/>
  <c r="BT790" i="6"/>
  <c r="BT791" i="6"/>
  <c r="BT792" i="6"/>
  <c r="BT793" i="6"/>
  <c r="BT794" i="6"/>
  <c r="BT795" i="6"/>
  <c r="BT796" i="6"/>
  <c r="BT797" i="6"/>
  <c r="BT798" i="6"/>
  <c r="BT799" i="6"/>
  <c r="BT800" i="6"/>
  <c r="BT916" i="6"/>
  <c r="BT888" i="6"/>
  <c r="BT892" i="6"/>
  <c r="BT833" i="6"/>
  <c r="BT886" i="6"/>
  <c r="BT890" i="6"/>
  <c r="BT835" i="6"/>
  <c r="BT837" i="6"/>
  <c r="BT839" i="6"/>
  <c r="BT841" i="6"/>
  <c r="BT843" i="6"/>
  <c r="BT845" i="6"/>
  <c r="BT847" i="6"/>
  <c r="BT849" i="6"/>
  <c r="BT851" i="6"/>
  <c r="BT853" i="6"/>
  <c r="BT855" i="6"/>
  <c r="BT857" i="6"/>
  <c r="BT859" i="6"/>
  <c r="BT914" i="6"/>
  <c r="BT838" i="6"/>
  <c r="BT801" i="6"/>
  <c r="BT802" i="6"/>
  <c r="BT803" i="6"/>
  <c r="BT804" i="6"/>
  <c r="BT805" i="6"/>
  <c r="BT806" i="6"/>
  <c r="BT807" i="6"/>
  <c r="BT808" i="6"/>
  <c r="BT809" i="6"/>
  <c r="BT810" i="6"/>
  <c r="BT811" i="6"/>
  <c r="BT812" i="6"/>
  <c r="BT813" i="6"/>
  <c r="BT814" i="6"/>
  <c r="BT815" i="6"/>
  <c r="BT816" i="6"/>
  <c r="BT817" i="6"/>
  <c r="BT818" i="6"/>
  <c r="BT819" i="6"/>
  <c r="BT820" i="6"/>
  <c r="BT821" i="6"/>
  <c r="BT822" i="6"/>
  <c r="BT823" i="6"/>
  <c r="BT824" i="6"/>
  <c r="BT825" i="6"/>
  <c r="BT826" i="6"/>
  <c r="BT827" i="6"/>
  <c r="BT737" i="6"/>
  <c r="BT738" i="6"/>
  <c r="BT739" i="6"/>
  <c r="BT740" i="6"/>
  <c r="BT741" i="6"/>
  <c r="BT742" i="6"/>
  <c r="BT743" i="6"/>
  <c r="BT744" i="6"/>
  <c r="BT745" i="6"/>
  <c r="BT746" i="6"/>
  <c r="BT747" i="6"/>
  <c r="BT748" i="6"/>
  <c r="BT749" i="6"/>
  <c r="BT750" i="6"/>
  <c r="BT751" i="6"/>
  <c r="BT752" i="6"/>
  <c r="BT842" i="6"/>
  <c r="BT844" i="6"/>
  <c r="BT846" i="6"/>
  <c r="BT848" i="6"/>
  <c r="BT850" i="6"/>
  <c r="BT852" i="6"/>
  <c r="BT854" i="6"/>
  <c r="BT856" i="6"/>
  <c r="BT858" i="6"/>
  <c r="BT860" i="6"/>
  <c r="BT840" i="6"/>
  <c r="BT649" i="6"/>
  <c r="BT650" i="6"/>
  <c r="BT651" i="6"/>
  <c r="BT652" i="6"/>
  <c r="BT653" i="6"/>
  <c r="BT654" i="6"/>
  <c r="BT655" i="6"/>
  <c r="BT656" i="6"/>
  <c r="BT657" i="6"/>
  <c r="BT836" i="6"/>
  <c r="BT757" i="6"/>
  <c r="BT758" i="6"/>
  <c r="BT759" i="6"/>
  <c r="BT760" i="6"/>
  <c r="BT761" i="6"/>
  <c r="BT762" i="6"/>
  <c r="BT763" i="6"/>
  <c r="BT764" i="6"/>
  <c r="BT765" i="6"/>
  <c r="BT766" i="6"/>
  <c r="BT767" i="6"/>
  <c r="BT768" i="6"/>
  <c r="BT769" i="6"/>
  <c r="BT770" i="6"/>
  <c r="BT771" i="6"/>
  <c r="BT772" i="6"/>
  <c r="BT773" i="6"/>
  <c r="BT774" i="6"/>
  <c r="BT596" i="6"/>
  <c r="BT597" i="6"/>
  <c r="BT598" i="6"/>
  <c r="BT599" i="6"/>
  <c r="BT600" i="6"/>
  <c r="BT601" i="6"/>
  <c r="BT602" i="6"/>
  <c r="BT603" i="6"/>
  <c r="BT604" i="6"/>
  <c r="BT605" i="6"/>
  <c r="BT606" i="6"/>
  <c r="BT607" i="6"/>
  <c r="BT608" i="6"/>
  <c r="BT609" i="6"/>
  <c r="BT610" i="6"/>
  <c r="BT611" i="6"/>
  <c r="BT612" i="6"/>
  <c r="BT613" i="6"/>
  <c r="BT614" i="6"/>
  <c r="BT615" i="6"/>
  <c r="BT616" i="6"/>
  <c r="BT617" i="6"/>
  <c r="BT618" i="6"/>
  <c r="BT619" i="6"/>
  <c r="BT620" i="6"/>
  <c r="BT621" i="6"/>
  <c r="BT622" i="6"/>
  <c r="BT623" i="6"/>
  <c r="BT624" i="6"/>
  <c r="BT625" i="6"/>
  <c r="BT626" i="6"/>
  <c r="BT627" i="6"/>
  <c r="BT628" i="6"/>
  <c r="BT629" i="6"/>
  <c r="BT630" i="6"/>
  <c r="BT631" i="6"/>
  <c r="BT632" i="6"/>
  <c r="BT633" i="6"/>
  <c r="BT634" i="6"/>
  <c r="BT635" i="6"/>
  <c r="BT636" i="6"/>
  <c r="BT637" i="6"/>
  <c r="BT638" i="6"/>
  <c r="BT639" i="6"/>
  <c r="BT640" i="6"/>
  <c r="BT641" i="6"/>
  <c r="BT642" i="6"/>
  <c r="BT643" i="6"/>
  <c r="BT644" i="6"/>
  <c r="BT725" i="6"/>
  <c r="BT726" i="6"/>
  <c r="BT727" i="6"/>
  <c r="BT728" i="6"/>
  <c r="BT729" i="6"/>
  <c r="BT730" i="6"/>
  <c r="BT731" i="6"/>
  <c r="BT732" i="6"/>
  <c r="BT449" i="6"/>
  <c r="BT450" i="6"/>
  <c r="BT451" i="6"/>
  <c r="BT452" i="6"/>
  <c r="BT453" i="6"/>
  <c r="BT454" i="6"/>
  <c r="BT455" i="6"/>
  <c r="BT456" i="6"/>
  <c r="BT457" i="6"/>
  <c r="BT458" i="6"/>
  <c r="BT459" i="6"/>
  <c r="BT460" i="6"/>
  <c r="BT461" i="6"/>
  <c r="BT466" i="6"/>
  <c r="BT467" i="6"/>
  <c r="BT468" i="6"/>
  <c r="BT754" i="6"/>
  <c r="BT756" i="6"/>
  <c r="BT685" i="6"/>
  <c r="BT686" i="6"/>
  <c r="BT687" i="6"/>
  <c r="BT688" i="6"/>
  <c r="BT689" i="6"/>
  <c r="BT690" i="6"/>
  <c r="BT691" i="6"/>
  <c r="BT692" i="6"/>
  <c r="BT693" i="6"/>
  <c r="BT694" i="6"/>
  <c r="BT695" i="6"/>
  <c r="BT696" i="6"/>
  <c r="BT697" i="6"/>
  <c r="BT702" i="6"/>
  <c r="BT703" i="6"/>
  <c r="BT704" i="6"/>
  <c r="BT705" i="6"/>
  <c r="BT710" i="6"/>
  <c r="BT711" i="6"/>
  <c r="BT716" i="6"/>
  <c r="BT717" i="6"/>
  <c r="BT718" i="6"/>
  <c r="BT662" i="6"/>
  <c r="BT663" i="6"/>
  <c r="BT664" i="6"/>
  <c r="BT665" i="6"/>
  <c r="BT666" i="6"/>
  <c r="BT667" i="6"/>
  <c r="BT668" i="6"/>
  <c r="BT669" i="6"/>
  <c r="BT670" i="6"/>
  <c r="BT671" i="6"/>
  <c r="BT672" i="6"/>
  <c r="BT673" i="6"/>
  <c r="BT674" i="6"/>
  <c r="BT675" i="6"/>
  <c r="BT676" i="6"/>
  <c r="BT677" i="6"/>
  <c r="BT678" i="6"/>
  <c r="BT679" i="6"/>
  <c r="BT680" i="6"/>
  <c r="BT474" i="6"/>
  <c r="BT360" i="6"/>
  <c r="BT361" i="6"/>
  <c r="BT362" i="6"/>
  <c r="BT366" i="6"/>
  <c r="BT367" i="6"/>
  <c r="BT369" i="6"/>
  <c r="BT370" i="6"/>
  <c r="BT376" i="6"/>
  <c r="BT753" i="6"/>
  <c r="BT567" i="6"/>
  <c r="BT569" i="6"/>
  <c r="BT571" i="6"/>
  <c r="BT573" i="6"/>
  <c r="BT575" i="6"/>
  <c r="BT577" i="6"/>
  <c r="BT579" i="6"/>
  <c r="BT581" i="6"/>
  <c r="BT583" i="6"/>
  <c r="BT585" i="6"/>
  <c r="BT587" i="6"/>
  <c r="BT375" i="6"/>
  <c r="BT267" i="6"/>
  <c r="BT268" i="6"/>
  <c r="BT269" i="6"/>
  <c r="BT270" i="6"/>
  <c r="BT271" i="6"/>
  <c r="BT272" i="6"/>
  <c r="BT273" i="6"/>
  <c r="BT274" i="6"/>
  <c r="BT275" i="6"/>
  <c r="BT276" i="6"/>
  <c r="BT277" i="6"/>
  <c r="BT278" i="6"/>
  <c r="BT279" i="6"/>
  <c r="BT280" i="6"/>
  <c r="BT281" i="6"/>
  <c r="BT282" i="6"/>
  <c r="BT283" i="6"/>
  <c r="BT284" i="6"/>
  <c r="BT285" i="6"/>
  <c r="BT286" i="6"/>
  <c r="BT287" i="6"/>
  <c r="BT288" i="6"/>
  <c r="BT289" i="6"/>
  <c r="BT290" i="6"/>
  <c r="BT291" i="6"/>
  <c r="BT292" i="6"/>
  <c r="BT293" i="6"/>
  <c r="BT294" i="6"/>
  <c r="BT295" i="6"/>
  <c r="BT296" i="6"/>
  <c r="BT297" i="6"/>
  <c r="BT298" i="6"/>
  <c r="BT299" i="6"/>
  <c r="BT300" i="6"/>
  <c r="BT301" i="6"/>
  <c r="BT302" i="6"/>
  <c r="BT253" i="6"/>
  <c r="BT254" i="6"/>
  <c r="BT255" i="6"/>
  <c r="BT256" i="6"/>
  <c r="BT257" i="6"/>
  <c r="BT258" i="6"/>
  <c r="BT259" i="6"/>
  <c r="BT260" i="6"/>
  <c r="BT589" i="6"/>
  <c r="BT590" i="6"/>
  <c r="BT591" i="6"/>
  <c r="BT501" i="6"/>
  <c r="BT502" i="6"/>
  <c r="BT503" i="6"/>
  <c r="BT504" i="6"/>
  <c r="BT505" i="6"/>
  <c r="BT506" i="6"/>
  <c r="BT507" i="6"/>
  <c r="BT508" i="6"/>
  <c r="BT509" i="6"/>
  <c r="BT510" i="6"/>
  <c r="BT511" i="6"/>
  <c r="BT512" i="6"/>
  <c r="BT513" i="6"/>
  <c r="BT514" i="6"/>
  <c r="BT515" i="6"/>
  <c r="BT516" i="6"/>
  <c r="BT517" i="6"/>
  <c r="BT518" i="6"/>
  <c r="BT519" i="6"/>
  <c r="BT520" i="6"/>
  <c r="BT521" i="6"/>
  <c r="BT522" i="6"/>
  <c r="BT523" i="6"/>
  <c r="BT524" i="6"/>
  <c r="BT525" i="6"/>
  <c r="BT526" i="6"/>
  <c r="BT527" i="6"/>
  <c r="BT528" i="6"/>
  <c r="BT529" i="6"/>
  <c r="BT530" i="6"/>
  <c r="BT531" i="6"/>
  <c r="BT532" i="6"/>
  <c r="BT533" i="6"/>
  <c r="BT534" i="6"/>
  <c r="BT535" i="6"/>
  <c r="BT536" i="6"/>
  <c r="BT537" i="6"/>
  <c r="BT538" i="6"/>
  <c r="BT363" i="6"/>
  <c r="BT364" i="6"/>
  <c r="BT365" i="6"/>
  <c r="BT371" i="6"/>
  <c r="BT372" i="6"/>
  <c r="BT373" i="6"/>
  <c r="BT374" i="6"/>
  <c r="BT377" i="6"/>
  <c r="BT378" i="6"/>
  <c r="BT379" i="6"/>
  <c r="BT380" i="6"/>
  <c r="BT381" i="6"/>
  <c r="BT382" i="6"/>
  <c r="BT383" i="6"/>
  <c r="BT384" i="6"/>
  <c r="BT385" i="6"/>
  <c r="BT386" i="6"/>
  <c r="BT387" i="6"/>
  <c r="BT388" i="6"/>
  <c r="BT389" i="6"/>
  <c r="BT390" i="6"/>
  <c r="BT391" i="6"/>
  <c r="BT392" i="6"/>
  <c r="BT393" i="6"/>
  <c r="BT394" i="6"/>
  <c r="BT395" i="6"/>
  <c r="BT396" i="6"/>
  <c r="BT397" i="6"/>
  <c r="BT398" i="6"/>
  <c r="BT399" i="6"/>
  <c r="BT400" i="6"/>
  <c r="BT401" i="6"/>
  <c r="BT402" i="6"/>
  <c r="BT403" i="6"/>
  <c r="BT404" i="6"/>
  <c r="BT405" i="6"/>
  <c r="BT406" i="6"/>
  <c r="BT407" i="6"/>
  <c r="BT408" i="6"/>
  <c r="BT307" i="6"/>
  <c r="BT308" i="6"/>
  <c r="BT309" i="6"/>
  <c r="BT310" i="6"/>
  <c r="BT311" i="6"/>
  <c r="BT312" i="6"/>
  <c r="BT313" i="6"/>
  <c r="BT314" i="6"/>
  <c r="BT315" i="6"/>
  <c r="BT316" i="6"/>
  <c r="BT317" i="6"/>
  <c r="BT318" i="6"/>
  <c r="BT319" i="6"/>
  <c r="BT320" i="6"/>
  <c r="BT321" i="6"/>
  <c r="BT322" i="6"/>
  <c r="BT323" i="6"/>
  <c r="BT324" i="6"/>
  <c r="BT325" i="6"/>
  <c r="BT326" i="6"/>
  <c r="BT327" i="6"/>
  <c r="BT328" i="6"/>
  <c r="BT329" i="6"/>
  <c r="BT330" i="6"/>
  <c r="BT331" i="6"/>
  <c r="BT332" i="6"/>
  <c r="BT333" i="6"/>
  <c r="BT334" i="6"/>
  <c r="BT335" i="6"/>
  <c r="BT336" i="6"/>
  <c r="BT337" i="6"/>
  <c r="BT338" i="6"/>
  <c r="BT339" i="6"/>
  <c r="BT340" i="6"/>
  <c r="BT341" i="6"/>
  <c r="BT342" i="6"/>
  <c r="BT343" i="6"/>
  <c r="BT344" i="6"/>
  <c r="BT345" i="6"/>
  <c r="BT346" i="6"/>
  <c r="BT347" i="6"/>
  <c r="BT348" i="6"/>
  <c r="BT349" i="6"/>
  <c r="BT350" i="6"/>
  <c r="BT351" i="6"/>
  <c r="BT352" i="6"/>
  <c r="BT353" i="6"/>
  <c r="BT354" i="6"/>
  <c r="BT355" i="6"/>
  <c r="BT266" i="6"/>
  <c r="BT755" i="6"/>
  <c r="BT368" i="6"/>
  <c r="BT559" i="6"/>
  <c r="BT563" i="6"/>
  <c r="BT584" i="6"/>
  <c r="BT588" i="6"/>
  <c r="BT489" i="6"/>
  <c r="BT492" i="6"/>
  <c r="BT494" i="6"/>
  <c r="BT496" i="6"/>
  <c r="BT428" i="6"/>
  <c r="BT432" i="6"/>
  <c r="BT438" i="6"/>
  <c r="BT442" i="6"/>
  <c r="BT544" i="6"/>
  <c r="BT546" i="6"/>
  <c r="BT548" i="6"/>
  <c r="BT550" i="6"/>
  <c r="BT552" i="6"/>
  <c r="BT554" i="6"/>
  <c r="BT556" i="6"/>
  <c r="BT558" i="6"/>
  <c r="BT560" i="6"/>
  <c r="BT562" i="6"/>
  <c r="BT564" i="6"/>
  <c r="BT566" i="6"/>
  <c r="BT570" i="6"/>
  <c r="BT574" i="6"/>
  <c r="BT578" i="6"/>
  <c r="BT582" i="6"/>
  <c r="BT586" i="6"/>
  <c r="BT469" i="6"/>
  <c r="BT480" i="6"/>
  <c r="BT482" i="6"/>
  <c r="BT427" i="6"/>
  <c r="BT429" i="6"/>
  <c r="BT431" i="6"/>
  <c r="BT433" i="6"/>
  <c r="BT435" i="6"/>
  <c r="BT437" i="6"/>
  <c r="BT439" i="6"/>
  <c r="BT441" i="6"/>
  <c r="BT443" i="6"/>
  <c r="BT413" i="6"/>
  <c r="BT415" i="6"/>
  <c r="BT417" i="6"/>
  <c r="BT419" i="6"/>
  <c r="BT421" i="6"/>
  <c r="BT265" i="6"/>
  <c r="BT543" i="6"/>
  <c r="BT545" i="6"/>
  <c r="BT547" i="6"/>
  <c r="BT549" i="6"/>
  <c r="BT551" i="6"/>
  <c r="BT553" i="6"/>
  <c r="BT555" i="6"/>
  <c r="BT557" i="6"/>
  <c r="BT561" i="6"/>
  <c r="BT565" i="6"/>
  <c r="BT568" i="6"/>
  <c r="BT572" i="6"/>
  <c r="BT576" i="6"/>
  <c r="BT580" i="6"/>
  <c r="BT490" i="6"/>
  <c r="BT491" i="6"/>
  <c r="BT493" i="6"/>
  <c r="BT495" i="6"/>
  <c r="BT475" i="6"/>
  <c r="BT481" i="6"/>
  <c r="BT426" i="6"/>
  <c r="BT430" i="6"/>
  <c r="BT434" i="6"/>
  <c r="BT436" i="6"/>
  <c r="BT440" i="6"/>
  <c r="BT444" i="6"/>
  <c r="BT414" i="6"/>
  <c r="BT416" i="6"/>
  <c r="BT418" i="6"/>
  <c r="BT420" i="6"/>
  <c r="BP1202" i="6"/>
  <c r="BP1203" i="6"/>
  <c r="BP1204" i="6"/>
  <c r="BP1205" i="6"/>
  <c r="BP1206" i="6"/>
  <c r="BP1207" i="6"/>
  <c r="BP1208" i="6"/>
  <c r="BP1209" i="6"/>
  <c r="BP1200" i="6"/>
  <c r="BP921" i="6"/>
  <c r="BP922" i="6"/>
  <c r="BP923" i="6"/>
  <c r="BP924" i="6"/>
  <c r="BP926" i="6"/>
  <c r="BP927" i="6"/>
  <c r="BP928" i="6"/>
  <c r="BP929" i="6"/>
  <c r="BP930" i="6"/>
  <c r="BP931" i="6"/>
  <c r="BP932" i="6"/>
  <c r="BP933" i="6"/>
  <c r="BP938" i="6"/>
  <c r="BP939" i="6"/>
  <c r="BP940" i="6"/>
  <c r="BP925" i="6"/>
  <c r="BP946" i="6"/>
  <c r="BP947" i="6"/>
  <c r="BP952" i="6"/>
  <c r="BP953" i="6"/>
  <c r="BP941" i="6"/>
  <c r="BP903" i="6"/>
  <c r="BP904" i="6"/>
  <c r="BP905" i="6"/>
  <c r="BP906" i="6"/>
  <c r="BP907" i="6"/>
  <c r="BP908" i="6"/>
  <c r="BP909" i="6"/>
  <c r="BP910" i="6"/>
  <c r="BP954" i="6"/>
  <c r="BP898" i="6"/>
  <c r="BP899" i="6"/>
  <c r="BP900" i="6"/>
  <c r="BP901" i="6"/>
  <c r="BP902" i="6"/>
  <c r="BP911" i="6"/>
  <c r="BP912" i="6"/>
  <c r="BP913" i="6"/>
  <c r="BP914" i="6"/>
  <c r="BP915" i="6"/>
  <c r="BP836" i="6"/>
  <c r="BP837" i="6"/>
  <c r="BP838" i="6"/>
  <c r="BP839" i="6"/>
  <c r="BP840" i="6"/>
  <c r="BP841" i="6"/>
  <c r="BP916" i="6"/>
  <c r="BP885" i="6"/>
  <c r="BP886" i="6"/>
  <c r="BP887" i="6"/>
  <c r="BP888" i="6"/>
  <c r="BP889" i="6"/>
  <c r="BP890" i="6"/>
  <c r="BP891" i="6"/>
  <c r="BP892" i="6"/>
  <c r="BP893" i="6"/>
  <c r="BP832" i="6"/>
  <c r="BP833" i="6"/>
  <c r="BP834" i="6"/>
  <c r="BP835" i="6"/>
  <c r="BP842" i="6"/>
  <c r="BP843" i="6"/>
  <c r="BP844" i="6"/>
  <c r="BP845" i="6"/>
  <c r="BP846" i="6"/>
  <c r="BP847" i="6"/>
  <c r="BP848" i="6"/>
  <c r="BP849" i="6"/>
  <c r="BP850" i="6"/>
  <c r="BP851" i="6"/>
  <c r="BP852" i="6"/>
  <c r="BP853" i="6"/>
  <c r="BP854" i="6"/>
  <c r="BP855" i="6"/>
  <c r="BP856" i="6"/>
  <c r="BP857" i="6"/>
  <c r="BP858" i="6"/>
  <c r="BP859" i="6"/>
  <c r="BP860" i="6"/>
  <c r="BP861" i="6"/>
  <c r="BP862" i="6"/>
  <c r="BP863" i="6"/>
  <c r="BP864" i="6"/>
  <c r="BP865" i="6"/>
  <c r="BP866" i="6"/>
  <c r="BP867" i="6"/>
  <c r="BP868" i="6"/>
  <c r="BP869" i="6"/>
  <c r="BP870" i="6"/>
  <c r="BP871" i="6"/>
  <c r="BP872" i="6"/>
  <c r="BP873" i="6"/>
  <c r="BP874" i="6"/>
  <c r="BP875" i="6"/>
  <c r="BP876" i="6"/>
  <c r="BP877" i="6"/>
  <c r="BP878" i="6"/>
  <c r="BP879" i="6"/>
  <c r="BP880" i="6"/>
  <c r="BP779" i="6"/>
  <c r="BP780" i="6"/>
  <c r="BP781" i="6"/>
  <c r="BP782" i="6"/>
  <c r="BP783" i="6"/>
  <c r="BP784" i="6"/>
  <c r="BP785" i="6"/>
  <c r="BP786" i="6"/>
  <c r="BP787" i="6"/>
  <c r="BP788" i="6"/>
  <c r="BP789" i="6"/>
  <c r="BP790" i="6"/>
  <c r="BP791" i="6"/>
  <c r="BP792" i="6"/>
  <c r="BP793" i="6"/>
  <c r="BP794" i="6"/>
  <c r="BP795" i="6"/>
  <c r="BP796" i="6"/>
  <c r="BP797" i="6"/>
  <c r="BP798" i="6"/>
  <c r="BP799" i="6"/>
  <c r="BP800" i="6"/>
  <c r="BP801" i="6"/>
  <c r="BP802" i="6"/>
  <c r="BP803" i="6"/>
  <c r="BP804" i="6"/>
  <c r="BP805" i="6"/>
  <c r="BP806" i="6"/>
  <c r="BP807" i="6"/>
  <c r="BP808" i="6"/>
  <c r="BP809" i="6"/>
  <c r="BP810" i="6"/>
  <c r="BP811" i="6"/>
  <c r="BP812" i="6"/>
  <c r="BP813" i="6"/>
  <c r="BP814" i="6"/>
  <c r="BP815" i="6"/>
  <c r="BP816" i="6"/>
  <c r="BP817" i="6"/>
  <c r="BP818" i="6"/>
  <c r="BP819" i="6"/>
  <c r="BP820" i="6"/>
  <c r="BP821" i="6"/>
  <c r="BP822" i="6"/>
  <c r="BP823" i="6"/>
  <c r="BP824" i="6"/>
  <c r="BP825" i="6"/>
  <c r="BP826" i="6"/>
  <c r="BP827" i="6"/>
  <c r="BP737" i="6"/>
  <c r="BP738" i="6"/>
  <c r="BP739" i="6"/>
  <c r="BP740" i="6"/>
  <c r="BP741" i="6"/>
  <c r="BP742" i="6"/>
  <c r="BP743" i="6"/>
  <c r="BP744" i="6"/>
  <c r="BP745" i="6"/>
  <c r="BP746" i="6"/>
  <c r="BP747" i="6"/>
  <c r="BP748" i="6"/>
  <c r="BP749" i="6"/>
  <c r="BP750" i="6"/>
  <c r="BP751" i="6"/>
  <c r="BP752" i="6"/>
  <c r="BP649" i="6"/>
  <c r="BP650" i="6"/>
  <c r="BP651" i="6"/>
  <c r="BP652" i="6"/>
  <c r="BP653" i="6"/>
  <c r="BP654" i="6"/>
  <c r="BP655" i="6"/>
  <c r="BP656" i="6"/>
  <c r="BP657" i="6"/>
  <c r="BP685" i="6"/>
  <c r="BP686" i="6"/>
  <c r="BP687" i="6"/>
  <c r="BP688" i="6"/>
  <c r="BP689" i="6"/>
  <c r="BP690" i="6"/>
  <c r="BP691" i="6"/>
  <c r="BP692" i="6"/>
  <c r="BP693" i="6"/>
  <c r="BP694" i="6"/>
  <c r="BP695" i="6"/>
  <c r="BP696" i="6"/>
  <c r="BP697" i="6"/>
  <c r="BP702" i="6"/>
  <c r="BP703" i="6"/>
  <c r="BP704" i="6"/>
  <c r="BP705" i="6"/>
  <c r="BP710" i="6"/>
  <c r="BP711" i="6"/>
  <c r="BP716" i="6"/>
  <c r="BP717" i="6"/>
  <c r="BP718" i="6"/>
  <c r="BP662" i="6"/>
  <c r="BP663" i="6"/>
  <c r="BP664" i="6"/>
  <c r="BP665" i="6"/>
  <c r="BP666" i="6"/>
  <c r="BP667" i="6"/>
  <c r="BP668" i="6"/>
  <c r="BP669" i="6"/>
  <c r="BP670" i="6"/>
  <c r="BP671" i="6"/>
  <c r="BP672" i="6"/>
  <c r="BP673" i="6"/>
  <c r="BP674" i="6"/>
  <c r="BP675" i="6"/>
  <c r="BP676" i="6"/>
  <c r="BP677" i="6"/>
  <c r="BP678" i="6"/>
  <c r="BP679" i="6"/>
  <c r="BP680" i="6"/>
  <c r="BP612" i="6"/>
  <c r="BP613" i="6"/>
  <c r="BP614" i="6"/>
  <c r="BP615" i="6"/>
  <c r="BP616" i="6"/>
  <c r="BP617" i="6"/>
  <c r="BP618" i="6"/>
  <c r="BP619" i="6"/>
  <c r="BP620" i="6"/>
  <c r="BP621" i="6"/>
  <c r="BP622" i="6"/>
  <c r="BP623" i="6"/>
  <c r="BP624" i="6"/>
  <c r="BP625" i="6"/>
  <c r="BP626" i="6"/>
  <c r="BP627" i="6"/>
  <c r="BP628" i="6"/>
  <c r="BP629" i="6"/>
  <c r="BP630" i="6"/>
  <c r="BP631" i="6"/>
  <c r="BP632" i="6"/>
  <c r="BP633" i="6"/>
  <c r="BP634" i="6"/>
  <c r="BP635" i="6"/>
  <c r="BP636" i="6"/>
  <c r="BP637" i="6"/>
  <c r="BP638" i="6"/>
  <c r="BP639" i="6"/>
  <c r="BP640" i="6"/>
  <c r="BP641" i="6"/>
  <c r="BP642" i="6"/>
  <c r="BP643" i="6"/>
  <c r="BP644" i="6"/>
  <c r="BP753" i="6"/>
  <c r="BP754" i="6"/>
  <c r="BP755" i="6"/>
  <c r="BP756" i="6"/>
  <c r="BP725" i="6"/>
  <c r="BP726" i="6"/>
  <c r="BP727" i="6"/>
  <c r="BP728" i="6"/>
  <c r="BP729" i="6"/>
  <c r="BP730" i="6"/>
  <c r="BP731" i="6"/>
  <c r="BP732" i="6"/>
  <c r="BP596" i="6"/>
  <c r="BP597" i="6"/>
  <c r="BP598" i="6"/>
  <c r="BP599" i="6"/>
  <c r="BP600" i="6"/>
  <c r="BP601" i="6"/>
  <c r="BP602" i="6"/>
  <c r="BP603" i="6"/>
  <c r="BP604" i="6"/>
  <c r="BP605" i="6"/>
  <c r="BP606" i="6"/>
  <c r="BP607" i="6"/>
  <c r="BP608" i="6"/>
  <c r="BP609" i="6"/>
  <c r="BP610" i="6"/>
  <c r="BP611" i="6"/>
  <c r="BP543" i="6"/>
  <c r="BP544" i="6"/>
  <c r="BP545" i="6"/>
  <c r="BP546" i="6"/>
  <c r="BP547" i="6"/>
  <c r="BP548" i="6"/>
  <c r="BP549" i="6"/>
  <c r="BP550" i="6"/>
  <c r="BP551" i="6"/>
  <c r="BP552" i="6"/>
  <c r="BP553" i="6"/>
  <c r="BP554" i="6"/>
  <c r="BP555" i="6"/>
  <c r="BP556" i="6"/>
  <c r="BP557" i="6"/>
  <c r="BP558" i="6"/>
  <c r="BP559" i="6"/>
  <c r="BP560" i="6"/>
  <c r="BP561" i="6"/>
  <c r="BP562" i="6"/>
  <c r="BP563" i="6"/>
  <c r="BP564" i="6"/>
  <c r="BP565" i="6"/>
  <c r="BP566" i="6"/>
  <c r="BP449" i="6"/>
  <c r="BP450" i="6"/>
  <c r="BP451" i="6"/>
  <c r="BP452" i="6"/>
  <c r="BP453" i="6"/>
  <c r="BP454" i="6"/>
  <c r="BP455" i="6"/>
  <c r="BP456" i="6"/>
  <c r="BP457" i="6"/>
  <c r="BP458" i="6"/>
  <c r="BP459" i="6"/>
  <c r="BP460" i="6"/>
  <c r="BP461" i="6"/>
  <c r="BP466" i="6"/>
  <c r="BP467" i="6"/>
  <c r="BP468" i="6"/>
  <c r="BP469" i="6"/>
  <c r="BP360" i="6"/>
  <c r="BP361" i="6"/>
  <c r="BP362" i="6"/>
  <c r="BP367" i="6"/>
  <c r="BP369" i="6"/>
  <c r="BP370" i="6"/>
  <c r="BP376" i="6"/>
  <c r="BP757" i="6"/>
  <c r="BP759" i="6"/>
  <c r="BP761" i="6"/>
  <c r="BP763" i="6"/>
  <c r="BP765" i="6"/>
  <c r="BP767" i="6"/>
  <c r="BP769" i="6"/>
  <c r="BP771" i="6"/>
  <c r="BP773" i="6"/>
  <c r="BP489" i="6"/>
  <c r="BP490" i="6"/>
  <c r="BP491" i="6"/>
  <c r="BP492" i="6"/>
  <c r="BP493" i="6"/>
  <c r="BP494" i="6"/>
  <c r="BP495" i="6"/>
  <c r="BP496" i="6"/>
  <c r="BP368" i="6"/>
  <c r="BP268" i="6"/>
  <c r="BP269" i="6"/>
  <c r="BP270" i="6"/>
  <c r="BP271" i="6"/>
  <c r="BP272" i="6"/>
  <c r="BP273" i="6"/>
  <c r="BP274" i="6"/>
  <c r="BP275" i="6"/>
  <c r="BP276" i="6"/>
  <c r="BP277" i="6"/>
  <c r="BP278" i="6"/>
  <c r="BP279" i="6"/>
  <c r="BP280" i="6"/>
  <c r="BP281" i="6"/>
  <c r="BP282" i="6"/>
  <c r="BP283" i="6"/>
  <c r="BP284" i="6"/>
  <c r="BP285" i="6"/>
  <c r="BP286" i="6"/>
  <c r="BP287" i="6"/>
  <c r="BP288" i="6"/>
  <c r="BP289" i="6"/>
  <c r="BP290" i="6"/>
  <c r="BP291" i="6"/>
  <c r="BP292" i="6"/>
  <c r="BP293" i="6"/>
  <c r="BP294" i="6"/>
  <c r="BP295" i="6"/>
  <c r="BP296" i="6"/>
  <c r="BP297" i="6"/>
  <c r="BP298" i="6"/>
  <c r="BP299" i="6"/>
  <c r="BP300" i="6"/>
  <c r="BP301" i="6"/>
  <c r="BP302" i="6"/>
  <c r="BP253" i="6"/>
  <c r="BP254" i="6"/>
  <c r="BP255" i="6"/>
  <c r="BP256" i="6"/>
  <c r="BP257" i="6"/>
  <c r="BP258" i="6"/>
  <c r="BP259" i="6"/>
  <c r="BP260" i="6"/>
  <c r="BP568" i="6"/>
  <c r="BP570" i="6"/>
  <c r="BP572" i="6"/>
  <c r="BP574" i="6"/>
  <c r="BP576" i="6"/>
  <c r="BP578" i="6"/>
  <c r="BP580" i="6"/>
  <c r="BP582" i="6"/>
  <c r="BP584" i="6"/>
  <c r="BP586" i="6"/>
  <c r="BP588" i="6"/>
  <c r="BP312" i="6"/>
  <c r="BP313" i="6"/>
  <c r="BP314" i="6"/>
  <c r="BP315" i="6"/>
  <c r="BP316" i="6"/>
  <c r="BP317" i="6"/>
  <c r="BP318" i="6"/>
  <c r="BP319" i="6"/>
  <c r="BP320" i="6"/>
  <c r="BP321" i="6"/>
  <c r="BP322" i="6"/>
  <c r="BP323" i="6"/>
  <c r="BP324" i="6"/>
  <c r="BP325" i="6"/>
  <c r="BP326" i="6"/>
  <c r="BP327" i="6"/>
  <c r="BP328" i="6"/>
  <c r="BP329" i="6"/>
  <c r="BP330" i="6"/>
  <c r="BP331" i="6"/>
  <c r="BP332" i="6"/>
  <c r="BP333" i="6"/>
  <c r="BP334" i="6"/>
  <c r="BP335" i="6"/>
  <c r="BP336" i="6"/>
  <c r="BP337" i="6"/>
  <c r="BP338" i="6"/>
  <c r="BP339" i="6"/>
  <c r="BP340" i="6"/>
  <c r="BP341" i="6"/>
  <c r="BP342" i="6"/>
  <c r="BP343" i="6"/>
  <c r="BP344" i="6"/>
  <c r="BP345" i="6"/>
  <c r="BP346" i="6"/>
  <c r="BP347" i="6"/>
  <c r="BP348" i="6"/>
  <c r="BP349" i="6"/>
  <c r="BP350" i="6"/>
  <c r="BP351" i="6"/>
  <c r="BP352" i="6"/>
  <c r="BP353" i="6"/>
  <c r="BP354" i="6"/>
  <c r="BP355" i="6"/>
  <c r="BP758" i="6"/>
  <c r="BP760" i="6"/>
  <c r="BP762" i="6"/>
  <c r="BP764" i="6"/>
  <c r="BP766" i="6"/>
  <c r="BP768" i="6"/>
  <c r="BP770" i="6"/>
  <c r="BP772" i="6"/>
  <c r="BP774" i="6"/>
  <c r="BP569" i="6"/>
  <c r="BP573" i="6"/>
  <c r="BP577" i="6"/>
  <c r="BP581" i="6"/>
  <c r="BP585" i="6"/>
  <c r="BP589" i="6"/>
  <c r="BP590" i="6"/>
  <c r="BP591" i="6"/>
  <c r="BP501" i="6"/>
  <c r="BP502" i="6"/>
  <c r="BP503" i="6"/>
  <c r="BP504" i="6"/>
  <c r="BP505" i="6"/>
  <c r="BP506" i="6"/>
  <c r="BP507" i="6"/>
  <c r="BP508" i="6"/>
  <c r="BP509" i="6"/>
  <c r="BP510" i="6"/>
  <c r="BP511" i="6"/>
  <c r="BP512" i="6"/>
  <c r="BP513" i="6"/>
  <c r="BP514" i="6"/>
  <c r="BP515" i="6"/>
  <c r="BP516" i="6"/>
  <c r="BP517" i="6"/>
  <c r="BP518" i="6"/>
  <c r="BP519" i="6"/>
  <c r="BP520" i="6"/>
  <c r="BP521" i="6"/>
  <c r="BP522" i="6"/>
  <c r="BP523" i="6"/>
  <c r="BP524" i="6"/>
  <c r="BP525" i="6"/>
  <c r="BP526" i="6"/>
  <c r="BP527" i="6"/>
  <c r="BP528" i="6"/>
  <c r="BP529" i="6"/>
  <c r="BP530" i="6"/>
  <c r="BP531" i="6"/>
  <c r="BP532" i="6"/>
  <c r="BP533" i="6"/>
  <c r="BP534" i="6"/>
  <c r="BP535" i="6"/>
  <c r="BP536" i="6"/>
  <c r="BP537" i="6"/>
  <c r="BP538" i="6"/>
  <c r="BP480" i="6"/>
  <c r="BP482" i="6"/>
  <c r="BP427" i="6"/>
  <c r="BP429" i="6"/>
  <c r="BP431" i="6"/>
  <c r="BP433" i="6"/>
  <c r="BP435" i="6"/>
  <c r="BP437" i="6"/>
  <c r="BP439" i="6"/>
  <c r="BP441" i="6"/>
  <c r="BP443" i="6"/>
  <c r="BP413" i="6"/>
  <c r="BP415" i="6"/>
  <c r="BP417" i="6"/>
  <c r="BP419" i="6"/>
  <c r="BP421" i="6"/>
  <c r="BP579" i="6"/>
  <c r="BP587" i="6"/>
  <c r="BP481" i="6"/>
  <c r="BP428" i="6"/>
  <c r="BP432" i="6"/>
  <c r="BP434" i="6"/>
  <c r="BP442" i="6"/>
  <c r="BP444" i="6"/>
  <c r="BP416" i="6"/>
  <c r="BP418" i="6"/>
  <c r="BP420" i="6"/>
  <c r="BP364" i="6"/>
  <c r="BP378" i="6"/>
  <c r="BP386" i="6"/>
  <c r="BP388" i="6"/>
  <c r="BP396" i="6"/>
  <c r="BP310" i="6"/>
  <c r="BP365" i="6"/>
  <c r="BP372" i="6"/>
  <c r="BP374" i="6"/>
  <c r="BP377" i="6"/>
  <c r="BP379" i="6"/>
  <c r="BP381" i="6"/>
  <c r="BP383" i="6"/>
  <c r="BP385" i="6"/>
  <c r="BP387" i="6"/>
  <c r="BP389" i="6"/>
  <c r="BP391" i="6"/>
  <c r="BP393" i="6"/>
  <c r="BP395" i="6"/>
  <c r="BP397" i="6"/>
  <c r="BP399" i="6"/>
  <c r="BP401" i="6"/>
  <c r="BP403" i="6"/>
  <c r="BP405" i="6"/>
  <c r="BP407" i="6"/>
  <c r="BP307" i="6"/>
  <c r="BP309" i="6"/>
  <c r="BP311" i="6"/>
  <c r="BP567" i="6"/>
  <c r="BP571" i="6"/>
  <c r="BP575" i="6"/>
  <c r="BP583" i="6"/>
  <c r="BP426" i="6"/>
  <c r="BP430" i="6"/>
  <c r="BP436" i="6"/>
  <c r="BP438" i="6"/>
  <c r="BP440" i="6"/>
  <c r="BP414" i="6"/>
  <c r="BP373" i="6"/>
  <c r="BP380" i="6"/>
  <c r="BP382" i="6"/>
  <c r="BP384" i="6"/>
  <c r="BP390" i="6"/>
  <c r="BP392" i="6"/>
  <c r="BP394" i="6"/>
  <c r="BP398" i="6"/>
  <c r="BP400" i="6"/>
  <c r="BP402" i="6"/>
  <c r="BP404" i="6"/>
  <c r="BP406" i="6"/>
  <c r="BP408" i="6"/>
  <c r="BP308" i="6"/>
  <c r="BP267" i="6"/>
  <c r="BP266" i="6"/>
  <c r="BP363" i="6"/>
  <c r="BQ1201" i="6"/>
  <c r="BP1201" i="6"/>
  <c r="DG1201" i="6"/>
  <c r="DG1202" i="6"/>
  <c r="DG1203" i="6"/>
  <c r="DG1204" i="6"/>
  <c r="DG1205" i="6"/>
  <c r="DG1206" i="6"/>
  <c r="DG1207" i="6"/>
  <c r="DG922" i="6"/>
  <c r="DG923" i="6"/>
  <c r="DG924" i="6"/>
  <c r="DG1208" i="6"/>
  <c r="DG1209" i="6"/>
  <c r="DG1200" i="6"/>
  <c r="DG921" i="6"/>
  <c r="DG925" i="6"/>
  <c r="DG926" i="6"/>
  <c r="DG927" i="6"/>
  <c r="DG928" i="6"/>
  <c r="DG929" i="6"/>
  <c r="DG930" i="6"/>
  <c r="DG931" i="6"/>
  <c r="DG932" i="6"/>
  <c r="DG933" i="6"/>
  <c r="DG938" i="6"/>
  <c r="DG939" i="6"/>
  <c r="DG941" i="6"/>
  <c r="DG946" i="6"/>
  <c r="DG947" i="6"/>
  <c r="DG952" i="6"/>
  <c r="DG953" i="6"/>
  <c r="DG954" i="6"/>
  <c r="DG898" i="6"/>
  <c r="DG899" i="6"/>
  <c r="DG900" i="6"/>
  <c r="DG901" i="6"/>
  <c r="DG902" i="6"/>
  <c r="DG903" i="6"/>
  <c r="DG904" i="6"/>
  <c r="DG905" i="6"/>
  <c r="DG906" i="6"/>
  <c r="DG907" i="6"/>
  <c r="DG908" i="6"/>
  <c r="DG909" i="6"/>
  <c r="DG910" i="6"/>
  <c r="DG911" i="6"/>
  <c r="DG912" i="6"/>
  <c r="DG913" i="6"/>
  <c r="DG914" i="6"/>
  <c r="DG915" i="6"/>
  <c r="DG916" i="6"/>
  <c r="DG885" i="6"/>
  <c r="DG886" i="6"/>
  <c r="DG887" i="6"/>
  <c r="DG888" i="6"/>
  <c r="DG889" i="6"/>
  <c r="DG890" i="6"/>
  <c r="DG891" i="6"/>
  <c r="DG892" i="6"/>
  <c r="DG893" i="6"/>
  <c r="DG832" i="6"/>
  <c r="DG833" i="6"/>
  <c r="DG834" i="6"/>
  <c r="DG835" i="6"/>
  <c r="DG836" i="6"/>
  <c r="DG837" i="6"/>
  <c r="DG838" i="6"/>
  <c r="DG839" i="6"/>
  <c r="DG840" i="6"/>
  <c r="DG861" i="6"/>
  <c r="DG862" i="6"/>
  <c r="DG863" i="6"/>
  <c r="DG864" i="6"/>
  <c r="DG865" i="6"/>
  <c r="DG866" i="6"/>
  <c r="DG867" i="6"/>
  <c r="DG868" i="6"/>
  <c r="DG869" i="6"/>
  <c r="DG870" i="6"/>
  <c r="DG871" i="6"/>
  <c r="DG872" i="6"/>
  <c r="DG873" i="6"/>
  <c r="DG874" i="6"/>
  <c r="DG875" i="6"/>
  <c r="DG876" i="6"/>
  <c r="DG877" i="6"/>
  <c r="DG878" i="6"/>
  <c r="DG879" i="6"/>
  <c r="DG880" i="6"/>
  <c r="DG779" i="6"/>
  <c r="DG780" i="6"/>
  <c r="DG781" i="6"/>
  <c r="DG782" i="6"/>
  <c r="DG783" i="6"/>
  <c r="DG784" i="6"/>
  <c r="DG785" i="6"/>
  <c r="DG786" i="6"/>
  <c r="DG787" i="6"/>
  <c r="DG788" i="6"/>
  <c r="DG789" i="6"/>
  <c r="DG790" i="6"/>
  <c r="DG791" i="6"/>
  <c r="DG792" i="6"/>
  <c r="DG793" i="6"/>
  <c r="DG841" i="6"/>
  <c r="DG842" i="6"/>
  <c r="DG843" i="6"/>
  <c r="DG844" i="6"/>
  <c r="DG845" i="6"/>
  <c r="DG846" i="6"/>
  <c r="DG847" i="6"/>
  <c r="DG848" i="6"/>
  <c r="DG849" i="6"/>
  <c r="DG850" i="6"/>
  <c r="DG851" i="6"/>
  <c r="DG852" i="6"/>
  <c r="DG853" i="6"/>
  <c r="DG854" i="6"/>
  <c r="DG855" i="6"/>
  <c r="DG856" i="6"/>
  <c r="DG857" i="6"/>
  <c r="DG858" i="6"/>
  <c r="DG859" i="6"/>
  <c r="DG860" i="6"/>
  <c r="DG940" i="6"/>
  <c r="DG800" i="6"/>
  <c r="DG801" i="6"/>
  <c r="DG802" i="6"/>
  <c r="DG803" i="6"/>
  <c r="DG804" i="6"/>
  <c r="DG805" i="6"/>
  <c r="DG806" i="6"/>
  <c r="DG807" i="6"/>
  <c r="DG808" i="6"/>
  <c r="DG809" i="6"/>
  <c r="DG810" i="6"/>
  <c r="DG811" i="6"/>
  <c r="DG812" i="6"/>
  <c r="DG813" i="6"/>
  <c r="DG814" i="6"/>
  <c r="DG815" i="6"/>
  <c r="DG816" i="6"/>
  <c r="DG817" i="6"/>
  <c r="DG818" i="6"/>
  <c r="DG819" i="6"/>
  <c r="DG820" i="6"/>
  <c r="DG821" i="6"/>
  <c r="DG822" i="6"/>
  <c r="DG823" i="6"/>
  <c r="DG824" i="6"/>
  <c r="DG825" i="6"/>
  <c r="DG826" i="6"/>
  <c r="DG827" i="6"/>
  <c r="DG737" i="6"/>
  <c r="DG738" i="6"/>
  <c r="DG739" i="6"/>
  <c r="DG740" i="6"/>
  <c r="DG741" i="6"/>
  <c r="DG742" i="6"/>
  <c r="DG743" i="6"/>
  <c r="DG744" i="6"/>
  <c r="DG745" i="6"/>
  <c r="DG746" i="6"/>
  <c r="DG747" i="6"/>
  <c r="DG748" i="6"/>
  <c r="DG749" i="6"/>
  <c r="DG795" i="6"/>
  <c r="DG797" i="6"/>
  <c r="DG798" i="6"/>
  <c r="DG750" i="6"/>
  <c r="DG751" i="6"/>
  <c r="DG725" i="6"/>
  <c r="DG726" i="6"/>
  <c r="DG727" i="6"/>
  <c r="DG728" i="6"/>
  <c r="DG729" i="6"/>
  <c r="DG730" i="6"/>
  <c r="DG731" i="6"/>
  <c r="DG732" i="6"/>
  <c r="DG794" i="6"/>
  <c r="DG799" i="6"/>
  <c r="DG752" i="6"/>
  <c r="DG753" i="6"/>
  <c r="DG754" i="6"/>
  <c r="DG755" i="6"/>
  <c r="DG756" i="6"/>
  <c r="DG796" i="6"/>
  <c r="DG685" i="6"/>
  <c r="DG686" i="6"/>
  <c r="DG687" i="6"/>
  <c r="DG688" i="6"/>
  <c r="DG689" i="6"/>
  <c r="DG690" i="6"/>
  <c r="DG691" i="6"/>
  <c r="DG692" i="6"/>
  <c r="DG693" i="6"/>
  <c r="DG694" i="6"/>
  <c r="DG695" i="6"/>
  <c r="DG696" i="6"/>
  <c r="DG697" i="6"/>
  <c r="DG702" i="6"/>
  <c r="DG703" i="6"/>
  <c r="DG704" i="6"/>
  <c r="DG705" i="6"/>
  <c r="DG710" i="6"/>
  <c r="DG711" i="6"/>
  <c r="DG716" i="6"/>
  <c r="DG717" i="6"/>
  <c r="DG718" i="6"/>
  <c r="DG662" i="6"/>
  <c r="DG663" i="6"/>
  <c r="DG664" i="6"/>
  <c r="DG665" i="6"/>
  <c r="DG666" i="6"/>
  <c r="DG667" i="6"/>
  <c r="DG668" i="6"/>
  <c r="DG669" i="6"/>
  <c r="DG670" i="6"/>
  <c r="DG671" i="6"/>
  <c r="DG672" i="6"/>
  <c r="DG673" i="6"/>
  <c r="DG674" i="6"/>
  <c r="DG675" i="6"/>
  <c r="DG676" i="6"/>
  <c r="DG677" i="6"/>
  <c r="DG678" i="6"/>
  <c r="DG679" i="6"/>
  <c r="DG680" i="6"/>
  <c r="DG596" i="6"/>
  <c r="DG597" i="6"/>
  <c r="DG598" i="6"/>
  <c r="DG599" i="6"/>
  <c r="DG600" i="6"/>
  <c r="DG601" i="6"/>
  <c r="DG602" i="6"/>
  <c r="DG603" i="6"/>
  <c r="DG604" i="6"/>
  <c r="DG605" i="6"/>
  <c r="DG606" i="6"/>
  <c r="DG607" i="6"/>
  <c r="DG608" i="6"/>
  <c r="DG609" i="6"/>
  <c r="DG610" i="6"/>
  <c r="DG649" i="6"/>
  <c r="DG650" i="6"/>
  <c r="DG651" i="6"/>
  <c r="DG652" i="6"/>
  <c r="DG653" i="6"/>
  <c r="DG655" i="6"/>
  <c r="DG657" i="6"/>
  <c r="DG543" i="6"/>
  <c r="DG544" i="6"/>
  <c r="DG545" i="6"/>
  <c r="DG546" i="6"/>
  <c r="DG547" i="6"/>
  <c r="DG548" i="6"/>
  <c r="DG549" i="6"/>
  <c r="DG550" i="6"/>
  <c r="DG551" i="6"/>
  <c r="DG552" i="6"/>
  <c r="DG553" i="6"/>
  <c r="DG554" i="6"/>
  <c r="DG555" i="6"/>
  <c r="DG556" i="6"/>
  <c r="DG557" i="6"/>
  <c r="DG558" i="6"/>
  <c r="DG559" i="6"/>
  <c r="DG560" i="6"/>
  <c r="DG561" i="6"/>
  <c r="DG562" i="6"/>
  <c r="DG563" i="6"/>
  <c r="DG564" i="6"/>
  <c r="DG565" i="6"/>
  <c r="DG489" i="6"/>
  <c r="DG490" i="6"/>
  <c r="DG491" i="6"/>
  <c r="DG492" i="6"/>
  <c r="DG493" i="6"/>
  <c r="DG494" i="6"/>
  <c r="DG495" i="6"/>
  <c r="DG496" i="6"/>
  <c r="DG363" i="6"/>
  <c r="DG364" i="6"/>
  <c r="DG365" i="6"/>
  <c r="DG611" i="6"/>
  <c r="DG612" i="6"/>
  <c r="DG613" i="6"/>
  <c r="DG614" i="6"/>
  <c r="DG615" i="6"/>
  <c r="DG616" i="6"/>
  <c r="DG617" i="6"/>
  <c r="DG618" i="6"/>
  <c r="DG619" i="6"/>
  <c r="DG620" i="6"/>
  <c r="DG621" i="6"/>
  <c r="DG622" i="6"/>
  <c r="DG623" i="6"/>
  <c r="DG624" i="6"/>
  <c r="DG625" i="6"/>
  <c r="DG626" i="6"/>
  <c r="DG627" i="6"/>
  <c r="DG628" i="6"/>
  <c r="DG629" i="6"/>
  <c r="DG630" i="6"/>
  <c r="DG631" i="6"/>
  <c r="DG632" i="6"/>
  <c r="DG633" i="6"/>
  <c r="DG634" i="6"/>
  <c r="DG635" i="6"/>
  <c r="DG636" i="6"/>
  <c r="DG637" i="6"/>
  <c r="DG638" i="6"/>
  <c r="DG639" i="6"/>
  <c r="DG640" i="6"/>
  <c r="DG641" i="6"/>
  <c r="DG642" i="6"/>
  <c r="DG643" i="6"/>
  <c r="DG644" i="6"/>
  <c r="DG589" i="6"/>
  <c r="DG590" i="6"/>
  <c r="DG591" i="6"/>
  <c r="DG501" i="6"/>
  <c r="DG502" i="6"/>
  <c r="DG503" i="6"/>
  <c r="DG504" i="6"/>
  <c r="DG505" i="6"/>
  <c r="DG506" i="6"/>
  <c r="DG507" i="6"/>
  <c r="DG508" i="6"/>
  <c r="DG509" i="6"/>
  <c r="DG510" i="6"/>
  <c r="DG511" i="6"/>
  <c r="DG512" i="6"/>
  <c r="DG513" i="6"/>
  <c r="DG514" i="6"/>
  <c r="DG515" i="6"/>
  <c r="DG516" i="6"/>
  <c r="DG517" i="6"/>
  <c r="DG518" i="6"/>
  <c r="DG519" i="6"/>
  <c r="DG520" i="6"/>
  <c r="DG521" i="6"/>
  <c r="DG522" i="6"/>
  <c r="DG523" i="6"/>
  <c r="DG524" i="6"/>
  <c r="DG525" i="6"/>
  <c r="DG526" i="6"/>
  <c r="DG527" i="6"/>
  <c r="DG528" i="6"/>
  <c r="DG529" i="6"/>
  <c r="DG530" i="6"/>
  <c r="DG531" i="6"/>
  <c r="DG532" i="6"/>
  <c r="DG533" i="6"/>
  <c r="DG534" i="6"/>
  <c r="DG535" i="6"/>
  <c r="DG536" i="6"/>
  <c r="DG537" i="6"/>
  <c r="DG538" i="6"/>
  <c r="DG368" i="6"/>
  <c r="DG376" i="6"/>
  <c r="DG311" i="6"/>
  <c r="DG312" i="6"/>
  <c r="DG313" i="6"/>
  <c r="DG314" i="6"/>
  <c r="DG315" i="6"/>
  <c r="DG316" i="6"/>
  <c r="DG317" i="6"/>
  <c r="DG318" i="6"/>
  <c r="DG319" i="6"/>
  <c r="DG320" i="6"/>
  <c r="DG321" i="6"/>
  <c r="DG322" i="6"/>
  <c r="DG323" i="6"/>
  <c r="DG324" i="6"/>
  <c r="DG325" i="6"/>
  <c r="DG326" i="6"/>
  <c r="DG327" i="6"/>
  <c r="DG328" i="6"/>
  <c r="DG329" i="6"/>
  <c r="DG330" i="6"/>
  <c r="DG331" i="6"/>
  <c r="DG332" i="6"/>
  <c r="DG333" i="6"/>
  <c r="DG334" i="6"/>
  <c r="DG335" i="6"/>
  <c r="DG336" i="6"/>
  <c r="DG337" i="6"/>
  <c r="DG338" i="6"/>
  <c r="DG339" i="6"/>
  <c r="DG340" i="6"/>
  <c r="DG341" i="6"/>
  <c r="DG342" i="6"/>
  <c r="DG343" i="6"/>
  <c r="DG344" i="6"/>
  <c r="DG345" i="6"/>
  <c r="DG346" i="6"/>
  <c r="DG347" i="6"/>
  <c r="DG348" i="6"/>
  <c r="DG349" i="6"/>
  <c r="DG350" i="6"/>
  <c r="DG351" i="6"/>
  <c r="DG352" i="6"/>
  <c r="DG353" i="6"/>
  <c r="DG354" i="6"/>
  <c r="DG355" i="6"/>
  <c r="DG266" i="6"/>
  <c r="DG757" i="6"/>
  <c r="DG759" i="6"/>
  <c r="DG761" i="6"/>
  <c r="DG763" i="6"/>
  <c r="DG765" i="6"/>
  <c r="DG767" i="6"/>
  <c r="DG769" i="6"/>
  <c r="DG771" i="6"/>
  <c r="DG773" i="6"/>
  <c r="DG654" i="6"/>
  <c r="DG566" i="6"/>
  <c r="DG568" i="6"/>
  <c r="DG570" i="6"/>
  <c r="DG572" i="6"/>
  <c r="DG574" i="6"/>
  <c r="DG576" i="6"/>
  <c r="DG578" i="6"/>
  <c r="DG580" i="6"/>
  <c r="DG582" i="6"/>
  <c r="DG584" i="6"/>
  <c r="DG586" i="6"/>
  <c r="DG588" i="6"/>
  <c r="DG449" i="6"/>
  <c r="DG450" i="6"/>
  <c r="DG451" i="6"/>
  <c r="DG452" i="6"/>
  <c r="DG453" i="6"/>
  <c r="DG454" i="6"/>
  <c r="DG455" i="6"/>
  <c r="DG456" i="6"/>
  <c r="DG457" i="6"/>
  <c r="DG458" i="6"/>
  <c r="DG459" i="6"/>
  <c r="DG460" i="6"/>
  <c r="DG461" i="6"/>
  <c r="DG466" i="6"/>
  <c r="DG467" i="6"/>
  <c r="DG468" i="6"/>
  <c r="DG474" i="6"/>
  <c r="DG360" i="6"/>
  <c r="DG361" i="6"/>
  <c r="DG362" i="6"/>
  <c r="DG375" i="6"/>
  <c r="DG764" i="6"/>
  <c r="DG772" i="6"/>
  <c r="DG569" i="6"/>
  <c r="DG573" i="6"/>
  <c r="DG577" i="6"/>
  <c r="DG581" i="6"/>
  <c r="DG585" i="6"/>
  <c r="DG469" i="6"/>
  <c r="DG480" i="6"/>
  <c r="DG482" i="6"/>
  <c r="DG427" i="6"/>
  <c r="DG429" i="6"/>
  <c r="DG431" i="6"/>
  <c r="DG433" i="6"/>
  <c r="DG435" i="6"/>
  <c r="DG437" i="6"/>
  <c r="DG439" i="6"/>
  <c r="DG441" i="6"/>
  <c r="DG443" i="6"/>
  <c r="DG413" i="6"/>
  <c r="DG415" i="6"/>
  <c r="DG417" i="6"/>
  <c r="DG419" i="6"/>
  <c r="DG421" i="6"/>
  <c r="DG369" i="6"/>
  <c r="DG267" i="6"/>
  <c r="DG268" i="6"/>
  <c r="DG269" i="6"/>
  <c r="DG270" i="6"/>
  <c r="DG271" i="6"/>
  <c r="DG272" i="6"/>
  <c r="DG273" i="6"/>
  <c r="DG274" i="6"/>
  <c r="DG275" i="6"/>
  <c r="DG276" i="6"/>
  <c r="DG277" i="6"/>
  <c r="DG278" i="6"/>
  <c r="DG279" i="6"/>
  <c r="DG280" i="6"/>
  <c r="DG281" i="6"/>
  <c r="DG282" i="6"/>
  <c r="DG283" i="6"/>
  <c r="DG284" i="6"/>
  <c r="DG285" i="6"/>
  <c r="DG286" i="6"/>
  <c r="DG287" i="6"/>
  <c r="DG288" i="6"/>
  <c r="DG289" i="6"/>
  <c r="DG290" i="6"/>
  <c r="DG291" i="6"/>
  <c r="DG292" i="6"/>
  <c r="DG293" i="6"/>
  <c r="DG294" i="6"/>
  <c r="DG295" i="6"/>
  <c r="DG296" i="6"/>
  <c r="DG297" i="6"/>
  <c r="DG298" i="6"/>
  <c r="DG299" i="6"/>
  <c r="DG300" i="6"/>
  <c r="DG301" i="6"/>
  <c r="DG302" i="6"/>
  <c r="DG253" i="6"/>
  <c r="DG254" i="6"/>
  <c r="DG255" i="6"/>
  <c r="DG256" i="6"/>
  <c r="DG257" i="6"/>
  <c r="DG258" i="6"/>
  <c r="DG259" i="6"/>
  <c r="DG260" i="6"/>
  <c r="DG265" i="6"/>
  <c r="DG760" i="6"/>
  <c r="DG768" i="6"/>
  <c r="DG656" i="6"/>
  <c r="DG587" i="6"/>
  <c r="DG481" i="6"/>
  <c r="DG434" i="6"/>
  <c r="DG444" i="6"/>
  <c r="DG418" i="6"/>
  <c r="DG420" i="6"/>
  <c r="DG370" i="6"/>
  <c r="DG766" i="6"/>
  <c r="DG774" i="6"/>
  <c r="DG366" i="6"/>
  <c r="DG373" i="6"/>
  <c r="DG382" i="6"/>
  <c r="DG384" i="6"/>
  <c r="DG386" i="6"/>
  <c r="DG392" i="6"/>
  <c r="DG394" i="6"/>
  <c r="DG400" i="6"/>
  <c r="DG404" i="6"/>
  <c r="DG406" i="6"/>
  <c r="DG408" i="6"/>
  <c r="DG308" i="6"/>
  <c r="DG762" i="6"/>
  <c r="DG770" i="6"/>
  <c r="DG367" i="6"/>
  <c r="DG372" i="6"/>
  <c r="DG374" i="6"/>
  <c r="DG377" i="6"/>
  <c r="DG379" i="6"/>
  <c r="DG381" i="6"/>
  <c r="DG383" i="6"/>
  <c r="DG385" i="6"/>
  <c r="DG387" i="6"/>
  <c r="DG389" i="6"/>
  <c r="DG391" i="6"/>
  <c r="DG393" i="6"/>
  <c r="DG395" i="6"/>
  <c r="DG397" i="6"/>
  <c r="DG399" i="6"/>
  <c r="DG401" i="6"/>
  <c r="DG403" i="6"/>
  <c r="DG405" i="6"/>
  <c r="DG407" i="6"/>
  <c r="DG307" i="6"/>
  <c r="DG309" i="6"/>
  <c r="DG567" i="6"/>
  <c r="DG571" i="6"/>
  <c r="DG575" i="6"/>
  <c r="DG579" i="6"/>
  <c r="DG583" i="6"/>
  <c r="DG475" i="6"/>
  <c r="DG426" i="6"/>
  <c r="DG428" i="6"/>
  <c r="DG430" i="6"/>
  <c r="DG432" i="6"/>
  <c r="DG436" i="6"/>
  <c r="DG438" i="6"/>
  <c r="DG440" i="6"/>
  <c r="DG442" i="6"/>
  <c r="DG414" i="6"/>
  <c r="DG416" i="6"/>
  <c r="DG758" i="6"/>
  <c r="DG371" i="6"/>
  <c r="DG378" i="6"/>
  <c r="DG380" i="6"/>
  <c r="DG388" i="6"/>
  <c r="DG390" i="6"/>
  <c r="DG396" i="6"/>
  <c r="DG398" i="6"/>
  <c r="DG402" i="6"/>
  <c r="DG310" i="6"/>
  <c r="DC1201" i="6"/>
  <c r="DC1202" i="6"/>
  <c r="DC1203" i="6"/>
  <c r="DC1204" i="6"/>
  <c r="DC1205" i="6"/>
  <c r="DC1206" i="6"/>
  <c r="DC1207" i="6"/>
  <c r="DC922" i="6"/>
  <c r="DC923" i="6"/>
  <c r="DC924" i="6"/>
  <c r="DC1200" i="6"/>
  <c r="DC1208" i="6"/>
  <c r="DC921" i="6"/>
  <c r="DC1209" i="6"/>
  <c r="DC925" i="6"/>
  <c r="DC926" i="6"/>
  <c r="DC927" i="6"/>
  <c r="DC928" i="6"/>
  <c r="DC929" i="6"/>
  <c r="DC930" i="6"/>
  <c r="DC931" i="6"/>
  <c r="DC932" i="6"/>
  <c r="DC933" i="6"/>
  <c r="DC938" i="6"/>
  <c r="DC939" i="6"/>
  <c r="DC941" i="6"/>
  <c r="DC946" i="6"/>
  <c r="DC947" i="6"/>
  <c r="DC952" i="6"/>
  <c r="DC953" i="6"/>
  <c r="DC940" i="6"/>
  <c r="DC899" i="6"/>
  <c r="DC900" i="6"/>
  <c r="DC910" i="6"/>
  <c r="DC911" i="6"/>
  <c r="DC912" i="6"/>
  <c r="DC913" i="6"/>
  <c r="DC914" i="6"/>
  <c r="DC954" i="6"/>
  <c r="DC901" i="6"/>
  <c r="DC915" i="6"/>
  <c r="DC916" i="6"/>
  <c r="DC885" i="6"/>
  <c r="DC886" i="6"/>
  <c r="DC887" i="6"/>
  <c r="DC888" i="6"/>
  <c r="DC889" i="6"/>
  <c r="DC890" i="6"/>
  <c r="DC891" i="6"/>
  <c r="DC892" i="6"/>
  <c r="DC893" i="6"/>
  <c r="DC832" i="6"/>
  <c r="DC833" i="6"/>
  <c r="DC834" i="6"/>
  <c r="DC835" i="6"/>
  <c r="DC836" i="6"/>
  <c r="DC837" i="6"/>
  <c r="DC838" i="6"/>
  <c r="DC839" i="6"/>
  <c r="DC840" i="6"/>
  <c r="DC902" i="6"/>
  <c r="DC906" i="6"/>
  <c r="DC905" i="6"/>
  <c r="DC909" i="6"/>
  <c r="DC903" i="6"/>
  <c r="DC861" i="6"/>
  <c r="DC862" i="6"/>
  <c r="DC863" i="6"/>
  <c r="DC864" i="6"/>
  <c r="DC865" i="6"/>
  <c r="DC866" i="6"/>
  <c r="DC867" i="6"/>
  <c r="DC868" i="6"/>
  <c r="DC869" i="6"/>
  <c r="DC870" i="6"/>
  <c r="DC871" i="6"/>
  <c r="DC872" i="6"/>
  <c r="DC873" i="6"/>
  <c r="DC874" i="6"/>
  <c r="DC875" i="6"/>
  <c r="DC876" i="6"/>
  <c r="DC877" i="6"/>
  <c r="DC878" i="6"/>
  <c r="DC879" i="6"/>
  <c r="DC880" i="6"/>
  <c r="DC779" i="6"/>
  <c r="DC780" i="6"/>
  <c r="DC781" i="6"/>
  <c r="DC782" i="6"/>
  <c r="DC783" i="6"/>
  <c r="DC784" i="6"/>
  <c r="DC785" i="6"/>
  <c r="DC786" i="6"/>
  <c r="DC787" i="6"/>
  <c r="DC788" i="6"/>
  <c r="DC789" i="6"/>
  <c r="DC790" i="6"/>
  <c r="DC791" i="6"/>
  <c r="DC792" i="6"/>
  <c r="DC793" i="6"/>
  <c r="DC904" i="6"/>
  <c r="DC907" i="6"/>
  <c r="DC794" i="6"/>
  <c r="DC795" i="6"/>
  <c r="DC796" i="6"/>
  <c r="DC797" i="6"/>
  <c r="DC908" i="6"/>
  <c r="DC798" i="6"/>
  <c r="DC799" i="6"/>
  <c r="DC800" i="6"/>
  <c r="DC801" i="6"/>
  <c r="DC802" i="6"/>
  <c r="DC803" i="6"/>
  <c r="DC804" i="6"/>
  <c r="DC805" i="6"/>
  <c r="DC806" i="6"/>
  <c r="DC807" i="6"/>
  <c r="DC808" i="6"/>
  <c r="DC809" i="6"/>
  <c r="DC810" i="6"/>
  <c r="DC811" i="6"/>
  <c r="DC812" i="6"/>
  <c r="DC813" i="6"/>
  <c r="DC814" i="6"/>
  <c r="DC815" i="6"/>
  <c r="DC816" i="6"/>
  <c r="DC817" i="6"/>
  <c r="DC818" i="6"/>
  <c r="DC819" i="6"/>
  <c r="DC820" i="6"/>
  <c r="DC821" i="6"/>
  <c r="DC822" i="6"/>
  <c r="DC823" i="6"/>
  <c r="DC824" i="6"/>
  <c r="DC825" i="6"/>
  <c r="DC826" i="6"/>
  <c r="DC827" i="6"/>
  <c r="DC737" i="6"/>
  <c r="DC738" i="6"/>
  <c r="DC739" i="6"/>
  <c r="DC740" i="6"/>
  <c r="DC741" i="6"/>
  <c r="DC742" i="6"/>
  <c r="DC743" i="6"/>
  <c r="DC744" i="6"/>
  <c r="DC745" i="6"/>
  <c r="DC746" i="6"/>
  <c r="DC747" i="6"/>
  <c r="DC748" i="6"/>
  <c r="DC749" i="6"/>
  <c r="DC898" i="6"/>
  <c r="DC841" i="6"/>
  <c r="DC843" i="6"/>
  <c r="DC845" i="6"/>
  <c r="DC847" i="6"/>
  <c r="DC849" i="6"/>
  <c r="DC851" i="6"/>
  <c r="DC853" i="6"/>
  <c r="DC855" i="6"/>
  <c r="DC857" i="6"/>
  <c r="DC859" i="6"/>
  <c r="DC848" i="6"/>
  <c r="DC856" i="6"/>
  <c r="DC846" i="6"/>
  <c r="DC854" i="6"/>
  <c r="DC725" i="6"/>
  <c r="DC726" i="6"/>
  <c r="DC727" i="6"/>
  <c r="DC728" i="6"/>
  <c r="DC729" i="6"/>
  <c r="DC730" i="6"/>
  <c r="DC731" i="6"/>
  <c r="DC732" i="6"/>
  <c r="DC844" i="6"/>
  <c r="DC852" i="6"/>
  <c r="DC860" i="6"/>
  <c r="DC750" i="6"/>
  <c r="DC751" i="6"/>
  <c r="DC752" i="6"/>
  <c r="DC753" i="6"/>
  <c r="DC754" i="6"/>
  <c r="DC755" i="6"/>
  <c r="DC756" i="6"/>
  <c r="DC858" i="6"/>
  <c r="DC757" i="6"/>
  <c r="DC758" i="6"/>
  <c r="DC759" i="6"/>
  <c r="DC760" i="6"/>
  <c r="DC761" i="6"/>
  <c r="DC762" i="6"/>
  <c r="DC763" i="6"/>
  <c r="DC764" i="6"/>
  <c r="DC765" i="6"/>
  <c r="DC766" i="6"/>
  <c r="DC767" i="6"/>
  <c r="DC768" i="6"/>
  <c r="DC769" i="6"/>
  <c r="DC770" i="6"/>
  <c r="DC771" i="6"/>
  <c r="DC772" i="6"/>
  <c r="DC773" i="6"/>
  <c r="DC774" i="6"/>
  <c r="DC649" i="6"/>
  <c r="DC650" i="6"/>
  <c r="DC651" i="6"/>
  <c r="DC652" i="6"/>
  <c r="DC653" i="6"/>
  <c r="DC655" i="6"/>
  <c r="DC657" i="6"/>
  <c r="DC611" i="6"/>
  <c r="DC612" i="6"/>
  <c r="DC613" i="6"/>
  <c r="DC614" i="6"/>
  <c r="DC615" i="6"/>
  <c r="DC616" i="6"/>
  <c r="DC617" i="6"/>
  <c r="DC618" i="6"/>
  <c r="DC619" i="6"/>
  <c r="DC620" i="6"/>
  <c r="DC621" i="6"/>
  <c r="DC622" i="6"/>
  <c r="DC623" i="6"/>
  <c r="DC624" i="6"/>
  <c r="DC625" i="6"/>
  <c r="DC626" i="6"/>
  <c r="DC627" i="6"/>
  <c r="DC628" i="6"/>
  <c r="DC629" i="6"/>
  <c r="DC630" i="6"/>
  <c r="DC631" i="6"/>
  <c r="DC632" i="6"/>
  <c r="DC633" i="6"/>
  <c r="DC634" i="6"/>
  <c r="DC635" i="6"/>
  <c r="DC636" i="6"/>
  <c r="DC637" i="6"/>
  <c r="DC638" i="6"/>
  <c r="DC639" i="6"/>
  <c r="DC640" i="6"/>
  <c r="DC641" i="6"/>
  <c r="DC642" i="6"/>
  <c r="DC643" i="6"/>
  <c r="DC644" i="6"/>
  <c r="DC566" i="6"/>
  <c r="DC567" i="6"/>
  <c r="DC568" i="6"/>
  <c r="DC569" i="6"/>
  <c r="DC570" i="6"/>
  <c r="DC571" i="6"/>
  <c r="DC572" i="6"/>
  <c r="DC573" i="6"/>
  <c r="DC574" i="6"/>
  <c r="DC575" i="6"/>
  <c r="DC576" i="6"/>
  <c r="DC577" i="6"/>
  <c r="DC578" i="6"/>
  <c r="DC579" i="6"/>
  <c r="DC580" i="6"/>
  <c r="DC581" i="6"/>
  <c r="DC582" i="6"/>
  <c r="DC583" i="6"/>
  <c r="DC584" i="6"/>
  <c r="DC585" i="6"/>
  <c r="DC586" i="6"/>
  <c r="DC587" i="6"/>
  <c r="DC588" i="6"/>
  <c r="DC597" i="6"/>
  <c r="DC599" i="6"/>
  <c r="DC601" i="6"/>
  <c r="DC603" i="6"/>
  <c r="DC605" i="6"/>
  <c r="DC607" i="6"/>
  <c r="DC609" i="6"/>
  <c r="DC489" i="6"/>
  <c r="DC490" i="6"/>
  <c r="DC491" i="6"/>
  <c r="DC492" i="6"/>
  <c r="DC493" i="6"/>
  <c r="DC494" i="6"/>
  <c r="DC495" i="6"/>
  <c r="DC496" i="6"/>
  <c r="DC363" i="6"/>
  <c r="DC364" i="6"/>
  <c r="DC365" i="6"/>
  <c r="DC654" i="6"/>
  <c r="DC469" i="6"/>
  <c r="DC475" i="6"/>
  <c r="DC480" i="6"/>
  <c r="DC481" i="6"/>
  <c r="DC482" i="6"/>
  <c r="DC426" i="6"/>
  <c r="DC427" i="6"/>
  <c r="DC428" i="6"/>
  <c r="DC429" i="6"/>
  <c r="DC430" i="6"/>
  <c r="DC431" i="6"/>
  <c r="DC432" i="6"/>
  <c r="DC433" i="6"/>
  <c r="DC434" i="6"/>
  <c r="DC435" i="6"/>
  <c r="DC436" i="6"/>
  <c r="DC437" i="6"/>
  <c r="DC438" i="6"/>
  <c r="DC439" i="6"/>
  <c r="DC440" i="6"/>
  <c r="DC441" i="6"/>
  <c r="DC442" i="6"/>
  <c r="DC443" i="6"/>
  <c r="DC444" i="6"/>
  <c r="DC413" i="6"/>
  <c r="DC414" i="6"/>
  <c r="DC415" i="6"/>
  <c r="DC416" i="6"/>
  <c r="DC417" i="6"/>
  <c r="DC418" i="6"/>
  <c r="DC419" i="6"/>
  <c r="DC420" i="6"/>
  <c r="DC421" i="6"/>
  <c r="DC369" i="6"/>
  <c r="DC370" i="6"/>
  <c r="DC311" i="6"/>
  <c r="DC312" i="6"/>
  <c r="DC313" i="6"/>
  <c r="DC314" i="6"/>
  <c r="DC315" i="6"/>
  <c r="DC316" i="6"/>
  <c r="DC317" i="6"/>
  <c r="DC318" i="6"/>
  <c r="DC319" i="6"/>
  <c r="DC320" i="6"/>
  <c r="DC321" i="6"/>
  <c r="DC322" i="6"/>
  <c r="DC323" i="6"/>
  <c r="DC324" i="6"/>
  <c r="DC325" i="6"/>
  <c r="DC326" i="6"/>
  <c r="DC327" i="6"/>
  <c r="DC328" i="6"/>
  <c r="DC329" i="6"/>
  <c r="DC330" i="6"/>
  <c r="DC331" i="6"/>
  <c r="DC332" i="6"/>
  <c r="DC333" i="6"/>
  <c r="DC334" i="6"/>
  <c r="DC335" i="6"/>
  <c r="DC336" i="6"/>
  <c r="DC337" i="6"/>
  <c r="DC338" i="6"/>
  <c r="DC339" i="6"/>
  <c r="DC340" i="6"/>
  <c r="DC341" i="6"/>
  <c r="DC342" i="6"/>
  <c r="DC343" i="6"/>
  <c r="DC344" i="6"/>
  <c r="DC345" i="6"/>
  <c r="DC346" i="6"/>
  <c r="DC347" i="6"/>
  <c r="DC348" i="6"/>
  <c r="DC349" i="6"/>
  <c r="DC350" i="6"/>
  <c r="DC351" i="6"/>
  <c r="DC352" i="6"/>
  <c r="DC353" i="6"/>
  <c r="DC354" i="6"/>
  <c r="DC355" i="6"/>
  <c r="DC266" i="6"/>
  <c r="DC842" i="6"/>
  <c r="DC686" i="6"/>
  <c r="DC688" i="6"/>
  <c r="DC690" i="6"/>
  <c r="DC692" i="6"/>
  <c r="DC694" i="6"/>
  <c r="DC696" i="6"/>
  <c r="DC702" i="6"/>
  <c r="DC704" i="6"/>
  <c r="DC710" i="6"/>
  <c r="DC716" i="6"/>
  <c r="DC718" i="6"/>
  <c r="DC663" i="6"/>
  <c r="DC665" i="6"/>
  <c r="DC667" i="6"/>
  <c r="DC669" i="6"/>
  <c r="DC671" i="6"/>
  <c r="DC673" i="6"/>
  <c r="DC675" i="6"/>
  <c r="DC677" i="6"/>
  <c r="DC679" i="6"/>
  <c r="DC598" i="6"/>
  <c r="DC602" i="6"/>
  <c r="DC606" i="6"/>
  <c r="DC610" i="6"/>
  <c r="DC368" i="6"/>
  <c r="DC376" i="6"/>
  <c r="DC850" i="6"/>
  <c r="DC656" i="6"/>
  <c r="DC689" i="6"/>
  <c r="DC697" i="6"/>
  <c r="DC717" i="6"/>
  <c r="DC668" i="6"/>
  <c r="DC676" i="6"/>
  <c r="DC600" i="6"/>
  <c r="DC608" i="6"/>
  <c r="DC543" i="6"/>
  <c r="DC545" i="6"/>
  <c r="DC547" i="6"/>
  <c r="DC549" i="6"/>
  <c r="DC551" i="6"/>
  <c r="DC553" i="6"/>
  <c r="DC555" i="6"/>
  <c r="DC557" i="6"/>
  <c r="DC559" i="6"/>
  <c r="DC561" i="6"/>
  <c r="DC563" i="6"/>
  <c r="DC565" i="6"/>
  <c r="DC367" i="6"/>
  <c r="DC372" i="6"/>
  <c r="DC374" i="6"/>
  <c r="DC377" i="6"/>
  <c r="DC379" i="6"/>
  <c r="DC381" i="6"/>
  <c r="DC383" i="6"/>
  <c r="DC385" i="6"/>
  <c r="DC387" i="6"/>
  <c r="DC389" i="6"/>
  <c r="DC391" i="6"/>
  <c r="DC393" i="6"/>
  <c r="DC395" i="6"/>
  <c r="DC397" i="6"/>
  <c r="DC399" i="6"/>
  <c r="DC401" i="6"/>
  <c r="DC403" i="6"/>
  <c r="DC405" i="6"/>
  <c r="DC407" i="6"/>
  <c r="DC307" i="6"/>
  <c r="DC309" i="6"/>
  <c r="DC685" i="6"/>
  <c r="DC693" i="6"/>
  <c r="DC705" i="6"/>
  <c r="DC664" i="6"/>
  <c r="DC672" i="6"/>
  <c r="DC680" i="6"/>
  <c r="DC546" i="6"/>
  <c r="DC548" i="6"/>
  <c r="DC550" i="6"/>
  <c r="DC552" i="6"/>
  <c r="DC554" i="6"/>
  <c r="DC560" i="6"/>
  <c r="DC449" i="6"/>
  <c r="DC451" i="6"/>
  <c r="DC453" i="6"/>
  <c r="DC455" i="6"/>
  <c r="DC458" i="6"/>
  <c r="DC460" i="6"/>
  <c r="DC466" i="6"/>
  <c r="DC467" i="6"/>
  <c r="DC371" i="6"/>
  <c r="DC373" i="6"/>
  <c r="DC378" i="6"/>
  <c r="DC380" i="6"/>
  <c r="DC382" i="6"/>
  <c r="DC384" i="6"/>
  <c r="DC390" i="6"/>
  <c r="DC392" i="6"/>
  <c r="DC267" i="6"/>
  <c r="DC268" i="6"/>
  <c r="DC269" i="6"/>
  <c r="DC278" i="6"/>
  <c r="DC279" i="6"/>
  <c r="DC282" i="6"/>
  <c r="DC283" i="6"/>
  <c r="DC284" i="6"/>
  <c r="DC285" i="6"/>
  <c r="DC286" i="6"/>
  <c r="DC287" i="6"/>
  <c r="DC288" i="6"/>
  <c r="DC289" i="6"/>
  <c r="DC290" i="6"/>
  <c r="DC291" i="6"/>
  <c r="DC292" i="6"/>
  <c r="DC293" i="6"/>
  <c r="DC294" i="6"/>
  <c r="DC295" i="6"/>
  <c r="DC296" i="6"/>
  <c r="DC253" i="6"/>
  <c r="DC254" i="6"/>
  <c r="DC255" i="6"/>
  <c r="DC256" i="6"/>
  <c r="DC257" i="6"/>
  <c r="DC258" i="6"/>
  <c r="DC259" i="6"/>
  <c r="DC260" i="6"/>
  <c r="DC691" i="6"/>
  <c r="DC662" i="6"/>
  <c r="DC678" i="6"/>
  <c r="DC596" i="6"/>
  <c r="DC474" i="6"/>
  <c r="DC687" i="6"/>
  <c r="DC695" i="6"/>
  <c r="DC711" i="6"/>
  <c r="DC666" i="6"/>
  <c r="DC674" i="6"/>
  <c r="DC604" i="6"/>
  <c r="DC589" i="6"/>
  <c r="DC590" i="6"/>
  <c r="DC591" i="6"/>
  <c r="DC501" i="6"/>
  <c r="DC502" i="6"/>
  <c r="DC503" i="6"/>
  <c r="DC504" i="6"/>
  <c r="DC505" i="6"/>
  <c r="DC506" i="6"/>
  <c r="DC507" i="6"/>
  <c r="DC508" i="6"/>
  <c r="DC509" i="6"/>
  <c r="DC510" i="6"/>
  <c r="DC511" i="6"/>
  <c r="DC512" i="6"/>
  <c r="DC513" i="6"/>
  <c r="DC514" i="6"/>
  <c r="DC515" i="6"/>
  <c r="DC516" i="6"/>
  <c r="DC517" i="6"/>
  <c r="DC518" i="6"/>
  <c r="DC519" i="6"/>
  <c r="DC520" i="6"/>
  <c r="DC521" i="6"/>
  <c r="DC522" i="6"/>
  <c r="DC523" i="6"/>
  <c r="DC524" i="6"/>
  <c r="DC525" i="6"/>
  <c r="DC526" i="6"/>
  <c r="DC527" i="6"/>
  <c r="DC528" i="6"/>
  <c r="DC529" i="6"/>
  <c r="DC530" i="6"/>
  <c r="DC531" i="6"/>
  <c r="DC532" i="6"/>
  <c r="DC533" i="6"/>
  <c r="DC534" i="6"/>
  <c r="DC535" i="6"/>
  <c r="DC536" i="6"/>
  <c r="DC537" i="6"/>
  <c r="DC538" i="6"/>
  <c r="DC361" i="6"/>
  <c r="DC375" i="6"/>
  <c r="DC544" i="6"/>
  <c r="DC556" i="6"/>
  <c r="DC558" i="6"/>
  <c r="DC562" i="6"/>
  <c r="DC564" i="6"/>
  <c r="DC450" i="6"/>
  <c r="DC452" i="6"/>
  <c r="DC454" i="6"/>
  <c r="DC456" i="6"/>
  <c r="DC457" i="6"/>
  <c r="DC459" i="6"/>
  <c r="DC461" i="6"/>
  <c r="DC468" i="6"/>
  <c r="DC366" i="6"/>
  <c r="DC386" i="6"/>
  <c r="DC388" i="6"/>
  <c r="DC394" i="6"/>
  <c r="DC396" i="6"/>
  <c r="DC398" i="6"/>
  <c r="DC400" i="6"/>
  <c r="DC402" i="6"/>
  <c r="DC404" i="6"/>
  <c r="DC406" i="6"/>
  <c r="DC408" i="6"/>
  <c r="DC308" i="6"/>
  <c r="DC310" i="6"/>
  <c r="DC270" i="6"/>
  <c r="DC271" i="6"/>
  <c r="DC272" i="6"/>
  <c r="DC273" i="6"/>
  <c r="DC274" i="6"/>
  <c r="DC275" i="6"/>
  <c r="DC276" i="6"/>
  <c r="DC277" i="6"/>
  <c r="DC280" i="6"/>
  <c r="DC281" i="6"/>
  <c r="DC297" i="6"/>
  <c r="DC298" i="6"/>
  <c r="DC299" i="6"/>
  <c r="DC300" i="6"/>
  <c r="DC301" i="6"/>
  <c r="DC302" i="6"/>
  <c r="DC703" i="6"/>
  <c r="DC670" i="6"/>
  <c r="DC360" i="6"/>
  <c r="DC362" i="6"/>
  <c r="DC265" i="6"/>
  <c r="CY1201" i="6"/>
  <c r="CY1202" i="6"/>
  <c r="CY1203" i="6"/>
  <c r="CY1204" i="6"/>
  <c r="CY1205" i="6"/>
  <c r="CY1206" i="6"/>
  <c r="CY1207" i="6"/>
  <c r="CY1209" i="6"/>
  <c r="CY1200" i="6"/>
  <c r="CY921" i="6"/>
  <c r="CY922" i="6"/>
  <c r="CY923" i="6"/>
  <c r="CY924" i="6"/>
  <c r="CY1208" i="6"/>
  <c r="CY925" i="6"/>
  <c r="CY926" i="6"/>
  <c r="CY927" i="6"/>
  <c r="CY928" i="6"/>
  <c r="CY929" i="6"/>
  <c r="CY930" i="6"/>
  <c r="CY931" i="6"/>
  <c r="CY932" i="6"/>
  <c r="CY933" i="6"/>
  <c r="CY938" i="6"/>
  <c r="CY939" i="6"/>
  <c r="CY941" i="6"/>
  <c r="CY946" i="6"/>
  <c r="CY947" i="6"/>
  <c r="CY952" i="6"/>
  <c r="CY953" i="6"/>
  <c r="CY954" i="6"/>
  <c r="CY898" i="6"/>
  <c r="CY899" i="6"/>
  <c r="CY900" i="6"/>
  <c r="CY901" i="6"/>
  <c r="CY902" i="6"/>
  <c r="CY940" i="6"/>
  <c r="CY903" i="6"/>
  <c r="CY904" i="6"/>
  <c r="CY905" i="6"/>
  <c r="CY906" i="6"/>
  <c r="CY907" i="6"/>
  <c r="CY908" i="6"/>
  <c r="CY909" i="6"/>
  <c r="CY910" i="6"/>
  <c r="CY911" i="6"/>
  <c r="CY912" i="6"/>
  <c r="CY913" i="6"/>
  <c r="CY914" i="6"/>
  <c r="CY915" i="6"/>
  <c r="CY916" i="6"/>
  <c r="CY885" i="6"/>
  <c r="CY886" i="6"/>
  <c r="CY887" i="6"/>
  <c r="CY888" i="6"/>
  <c r="CY889" i="6"/>
  <c r="CY890" i="6"/>
  <c r="CY891" i="6"/>
  <c r="CY892" i="6"/>
  <c r="CY893" i="6"/>
  <c r="CY832" i="6"/>
  <c r="CY833" i="6"/>
  <c r="CY834" i="6"/>
  <c r="CY835" i="6"/>
  <c r="CY836" i="6"/>
  <c r="CY837" i="6"/>
  <c r="CY838" i="6"/>
  <c r="CY839" i="6"/>
  <c r="CY840" i="6"/>
  <c r="CY861" i="6"/>
  <c r="CY862" i="6"/>
  <c r="CY863" i="6"/>
  <c r="CY864" i="6"/>
  <c r="CY865" i="6"/>
  <c r="CY866" i="6"/>
  <c r="CY867" i="6"/>
  <c r="CY868" i="6"/>
  <c r="CY869" i="6"/>
  <c r="CY870" i="6"/>
  <c r="CY871" i="6"/>
  <c r="CY872" i="6"/>
  <c r="CY873" i="6"/>
  <c r="CY874" i="6"/>
  <c r="CY875" i="6"/>
  <c r="CY876" i="6"/>
  <c r="CY877" i="6"/>
  <c r="CY878" i="6"/>
  <c r="CY879" i="6"/>
  <c r="CY880" i="6"/>
  <c r="CY779" i="6"/>
  <c r="CY780" i="6"/>
  <c r="CY781" i="6"/>
  <c r="CY782" i="6"/>
  <c r="CY783" i="6"/>
  <c r="CY784" i="6"/>
  <c r="CY785" i="6"/>
  <c r="CY786" i="6"/>
  <c r="CY787" i="6"/>
  <c r="CY788" i="6"/>
  <c r="CY789" i="6"/>
  <c r="CY790" i="6"/>
  <c r="CY791" i="6"/>
  <c r="CY792" i="6"/>
  <c r="CY793" i="6"/>
  <c r="CY841" i="6"/>
  <c r="CY842" i="6"/>
  <c r="CY843" i="6"/>
  <c r="CY844" i="6"/>
  <c r="CY845" i="6"/>
  <c r="CY846" i="6"/>
  <c r="CY847" i="6"/>
  <c r="CY848" i="6"/>
  <c r="CY849" i="6"/>
  <c r="CY850" i="6"/>
  <c r="CY851" i="6"/>
  <c r="CY852" i="6"/>
  <c r="CY853" i="6"/>
  <c r="CY854" i="6"/>
  <c r="CY855" i="6"/>
  <c r="CY856" i="6"/>
  <c r="CY857" i="6"/>
  <c r="CY858" i="6"/>
  <c r="CY859" i="6"/>
  <c r="CY860" i="6"/>
  <c r="CY794" i="6"/>
  <c r="CY795" i="6"/>
  <c r="CY796" i="6"/>
  <c r="CY797" i="6"/>
  <c r="CY801" i="6"/>
  <c r="CY802" i="6"/>
  <c r="CY803" i="6"/>
  <c r="CY804" i="6"/>
  <c r="CY805" i="6"/>
  <c r="CY806" i="6"/>
  <c r="CY807" i="6"/>
  <c r="CY808" i="6"/>
  <c r="CY809" i="6"/>
  <c r="CY810" i="6"/>
  <c r="CY811" i="6"/>
  <c r="CY812" i="6"/>
  <c r="CY813" i="6"/>
  <c r="CY814" i="6"/>
  <c r="CY815" i="6"/>
  <c r="CY816" i="6"/>
  <c r="CY817" i="6"/>
  <c r="CY818" i="6"/>
  <c r="CY819" i="6"/>
  <c r="CY820" i="6"/>
  <c r="CY821" i="6"/>
  <c r="CY822" i="6"/>
  <c r="CY823" i="6"/>
  <c r="CY824" i="6"/>
  <c r="CY825" i="6"/>
  <c r="CY826" i="6"/>
  <c r="CY827" i="6"/>
  <c r="CY737" i="6"/>
  <c r="CY738" i="6"/>
  <c r="CY739" i="6"/>
  <c r="CY740" i="6"/>
  <c r="CY741" i="6"/>
  <c r="CY742" i="6"/>
  <c r="CY743" i="6"/>
  <c r="CY744" i="6"/>
  <c r="CY745" i="6"/>
  <c r="CY746" i="6"/>
  <c r="CY747" i="6"/>
  <c r="CY748" i="6"/>
  <c r="CY749" i="6"/>
  <c r="CY798" i="6"/>
  <c r="CY799" i="6"/>
  <c r="CY800" i="6"/>
  <c r="CY725" i="6"/>
  <c r="CY726" i="6"/>
  <c r="CY727" i="6"/>
  <c r="CY728" i="6"/>
  <c r="CY729" i="6"/>
  <c r="CY730" i="6"/>
  <c r="CY731" i="6"/>
  <c r="CY732" i="6"/>
  <c r="CY752" i="6"/>
  <c r="CY753" i="6"/>
  <c r="CY754" i="6"/>
  <c r="CY755" i="6"/>
  <c r="CY756" i="6"/>
  <c r="CY653" i="6"/>
  <c r="CY654" i="6"/>
  <c r="CY655" i="6"/>
  <c r="CY656" i="6"/>
  <c r="CY657" i="6"/>
  <c r="CY685" i="6"/>
  <c r="CY686" i="6"/>
  <c r="CY687" i="6"/>
  <c r="CY688" i="6"/>
  <c r="CY689" i="6"/>
  <c r="CY690" i="6"/>
  <c r="CY691" i="6"/>
  <c r="CY692" i="6"/>
  <c r="CY693" i="6"/>
  <c r="CY694" i="6"/>
  <c r="CY695" i="6"/>
  <c r="CY696" i="6"/>
  <c r="CY697" i="6"/>
  <c r="CY702" i="6"/>
  <c r="CY703" i="6"/>
  <c r="CY704" i="6"/>
  <c r="CY705" i="6"/>
  <c r="CY710" i="6"/>
  <c r="CY711" i="6"/>
  <c r="CY716" i="6"/>
  <c r="CY717" i="6"/>
  <c r="CY718" i="6"/>
  <c r="CY662" i="6"/>
  <c r="CY663" i="6"/>
  <c r="CY664" i="6"/>
  <c r="CY665" i="6"/>
  <c r="CY666" i="6"/>
  <c r="CY667" i="6"/>
  <c r="CY668" i="6"/>
  <c r="CY669" i="6"/>
  <c r="CY670" i="6"/>
  <c r="CY671" i="6"/>
  <c r="CY672" i="6"/>
  <c r="CY673" i="6"/>
  <c r="CY674" i="6"/>
  <c r="CY675" i="6"/>
  <c r="CY676" i="6"/>
  <c r="CY677" i="6"/>
  <c r="CY678" i="6"/>
  <c r="CY679" i="6"/>
  <c r="CY680" i="6"/>
  <c r="CY751" i="6"/>
  <c r="CY757" i="6"/>
  <c r="CY758" i="6"/>
  <c r="CY759" i="6"/>
  <c r="CY760" i="6"/>
  <c r="CY761" i="6"/>
  <c r="CY762" i="6"/>
  <c r="CY763" i="6"/>
  <c r="CY764" i="6"/>
  <c r="CY765" i="6"/>
  <c r="CY766" i="6"/>
  <c r="CY767" i="6"/>
  <c r="CY768" i="6"/>
  <c r="CY769" i="6"/>
  <c r="CY770" i="6"/>
  <c r="CY771" i="6"/>
  <c r="CY772" i="6"/>
  <c r="CY773" i="6"/>
  <c r="CY774" i="6"/>
  <c r="CY597" i="6"/>
  <c r="CY599" i="6"/>
  <c r="CY601" i="6"/>
  <c r="CY603" i="6"/>
  <c r="CY605" i="6"/>
  <c r="CY607" i="6"/>
  <c r="CY609" i="6"/>
  <c r="CY543" i="6"/>
  <c r="CY544" i="6"/>
  <c r="CY545" i="6"/>
  <c r="CY546" i="6"/>
  <c r="CY547" i="6"/>
  <c r="CY548" i="6"/>
  <c r="CY549" i="6"/>
  <c r="CY550" i="6"/>
  <c r="CY551" i="6"/>
  <c r="CY552" i="6"/>
  <c r="CY553" i="6"/>
  <c r="CY554" i="6"/>
  <c r="CY555" i="6"/>
  <c r="CY556" i="6"/>
  <c r="CY557" i="6"/>
  <c r="CY558" i="6"/>
  <c r="CY559" i="6"/>
  <c r="CY560" i="6"/>
  <c r="CY561" i="6"/>
  <c r="CY562" i="6"/>
  <c r="CY563" i="6"/>
  <c r="CY564" i="6"/>
  <c r="CY565" i="6"/>
  <c r="CY566" i="6"/>
  <c r="CY567" i="6"/>
  <c r="CY568" i="6"/>
  <c r="CY569" i="6"/>
  <c r="CY570" i="6"/>
  <c r="CY571" i="6"/>
  <c r="CY572" i="6"/>
  <c r="CY573" i="6"/>
  <c r="CY574" i="6"/>
  <c r="CY575" i="6"/>
  <c r="CY576" i="6"/>
  <c r="CY577" i="6"/>
  <c r="CY578" i="6"/>
  <c r="CY579" i="6"/>
  <c r="CY580" i="6"/>
  <c r="CY581" i="6"/>
  <c r="CY582" i="6"/>
  <c r="CY583" i="6"/>
  <c r="CY584" i="6"/>
  <c r="CY585" i="6"/>
  <c r="CY586" i="6"/>
  <c r="CY587" i="6"/>
  <c r="CY588" i="6"/>
  <c r="CY489" i="6"/>
  <c r="CY490" i="6"/>
  <c r="CY491" i="6"/>
  <c r="CY492" i="6"/>
  <c r="CY493" i="6"/>
  <c r="CY494" i="6"/>
  <c r="CY495" i="6"/>
  <c r="CY496" i="6"/>
  <c r="CY363" i="6"/>
  <c r="CY364" i="6"/>
  <c r="CY365" i="6"/>
  <c r="CY650" i="6"/>
  <c r="CY652" i="6"/>
  <c r="CY598" i="6"/>
  <c r="CY602" i="6"/>
  <c r="CY606" i="6"/>
  <c r="CY610" i="6"/>
  <c r="CY589" i="6"/>
  <c r="CY590" i="6"/>
  <c r="CY591" i="6"/>
  <c r="CY501" i="6"/>
  <c r="CY502" i="6"/>
  <c r="CY503" i="6"/>
  <c r="CY504" i="6"/>
  <c r="CY505" i="6"/>
  <c r="CY506" i="6"/>
  <c r="CY507" i="6"/>
  <c r="CY508" i="6"/>
  <c r="CY509" i="6"/>
  <c r="CY510" i="6"/>
  <c r="CY511" i="6"/>
  <c r="CY512" i="6"/>
  <c r="CY513" i="6"/>
  <c r="CY514" i="6"/>
  <c r="CY515" i="6"/>
  <c r="CY516" i="6"/>
  <c r="CY517" i="6"/>
  <c r="CY518" i="6"/>
  <c r="CY519" i="6"/>
  <c r="CY520" i="6"/>
  <c r="CY521" i="6"/>
  <c r="CY522" i="6"/>
  <c r="CY523" i="6"/>
  <c r="CY524" i="6"/>
  <c r="CY525" i="6"/>
  <c r="CY526" i="6"/>
  <c r="CY527" i="6"/>
  <c r="CY528" i="6"/>
  <c r="CY529" i="6"/>
  <c r="CY530" i="6"/>
  <c r="CY531" i="6"/>
  <c r="CY532" i="6"/>
  <c r="CY533" i="6"/>
  <c r="CY534" i="6"/>
  <c r="CY535" i="6"/>
  <c r="CY536" i="6"/>
  <c r="CY537" i="6"/>
  <c r="CY538" i="6"/>
  <c r="CY366" i="6"/>
  <c r="CY367" i="6"/>
  <c r="CY371" i="6"/>
  <c r="CY372" i="6"/>
  <c r="CY373" i="6"/>
  <c r="CY374" i="6"/>
  <c r="CY377" i="6"/>
  <c r="CY378" i="6"/>
  <c r="CY379" i="6"/>
  <c r="CY380" i="6"/>
  <c r="CY381" i="6"/>
  <c r="CY382" i="6"/>
  <c r="CY383" i="6"/>
  <c r="CY384" i="6"/>
  <c r="CY385" i="6"/>
  <c r="CY386" i="6"/>
  <c r="CY387" i="6"/>
  <c r="CY388" i="6"/>
  <c r="CY389" i="6"/>
  <c r="CY390" i="6"/>
  <c r="CY391" i="6"/>
  <c r="CY392" i="6"/>
  <c r="CY393" i="6"/>
  <c r="CY394" i="6"/>
  <c r="CY395" i="6"/>
  <c r="CY396" i="6"/>
  <c r="CY397" i="6"/>
  <c r="CY398" i="6"/>
  <c r="CY399" i="6"/>
  <c r="CY400" i="6"/>
  <c r="CY401" i="6"/>
  <c r="CY402" i="6"/>
  <c r="CY403" i="6"/>
  <c r="CY404" i="6"/>
  <c r="CY405" i="6"/>
  <c r="CY406" i="6"/>
  <c r="CY407" i="6"/>
  <c r="CY408" i="6"/>
  <c r="CY307" i="6"/>
  <c r="CY308" i="6"/>
  <c r="CY309" i="6"/>
  <c r="CY310" i="6"/>
  <c r="CY311" i="6"/>
  <c r="CY312" i="6"/>
  <c r="CY313" i="6"/>
  <c r="CY314" i="6"/>
  <c r="CY315" i="6"/>
  <c r="CY316" i="6"/>
  <c r="CY317" i="6"/>
  <c r="CY318" i="6"/>
  <c r="CY319" i="6"/>
  <c r="CY320" i="6"/>
  <c r="CY321" i="6"/>
  <c r="CY322" i="6"/>
  <c r="CY323" i="6"/>
  <c r="CY324" i="6"/>
  <c r="CY325" i="6"/>
  <c r="CY326" i="6"/>
  <c r="CY327" i="6"/>
  <c r="CY328" i="6"/>
  <c r="CY329" i="6"/>
  <c r="CY330" i="6"/>
  <c r="CY331" i="6"/>
  <c r="CY332" i="6"/>
  <c r="CY333" i="6"/>
  <c r="CY334" i="6"/>
  <c r="CY335" i="6"/>
  <c r="CY336" i="6"/>
  <c r="CY337" i="6"/>
  <c r="CY338" i="6"/>
  <c r="CY339" i="6"/>
  <c r="CY340" i="6"/>
  <c r="CY341" i="6"/>
  <c r="CY342" i="6"/>
  <c r="CY343" i="6"/>
  <c r="CY344" i="6"/>
  <c r="CY345" i="6"/>
  <c r="CY346" i="6"/>
  <c r="CY347" i="6"/>
  <c r="CY348" i="6"/>
  <c r="CY349" i="6"/>
  <c r="CY350" i="6"/>
  <c r="CY351" i="6"/>
  <c r="CY352" i="6"/>
  <c r="CY353" i="6"/>
  <c r="CY354" i="6"/>
  <c r="CY355" i="6"/>
  <c r="CY266" i="6"/>
  <c r="CY604" i="6"/>
  <c r="CY449" i="6"/>
  <c r="CY450" i="6"/>
  <c r="CY451" i="6"/>
  <c r="CY452" i="6"/>
  <c r="CY453" i="6"/>
  <c r="CY454" i="6"/>
  <c r="CY455" i="6"/>
  <c r="CY456" i="6"/>
  <c r="CY457" i="6"/>
  <c r="CY458" i="6"/>
  <c r="CY459" i="6"/>
  <c r="CY460" i="6"/>
  <c r="CY461" i="6"/>
  <c r="CY466" i="6"/>
  <c r="CY467" i="6"/>
  <c r="CY468" i="6"/>
  <c r="CY469" i="6"/>
  <c r="CY475" i="6"/>
  <c r="CY480" i="6"/>
  <c r="CY481" i="6"/>
  <c r="CY482" i="6"/>
  <c r="CY426" i="6"/>
  <c r="CY427" i="6"/>
  <c r="CY428" i="6"/>
  <c r="CY429" i="6"/>
  <c r="CY430" i="6"/>
  <c r="CY431" i="6"/>
  <c r="CY432" i="6"/>
  <c r="CY433" i="6"/>
  <c r="CY434" i="6"/>
  <c r="CY435" i="6"/>
  <c r="CY436" i="6"/>
  <c r="CY437" i="6"/>
  <c r="CY438" i="6"/>
  <c r="CY439" i="6"/>
  <c r="CY440" i="6"/>
  <c r="CY441" i="6"/>
  <c r="CY442" i="6"/>
  <c r="CY443" i="6"/>
  <c r="CY444" i="6"/>
  <c r="CY413" i="6"/>
  <c r="CY414" i="6"/>
  <c r="CY415" i="6"/>
  <c r="CY416" i="6"/>
  <c r="CY417" i="6"/>
  <c r="CY418" i="6"/>
  <c r="CY419" i="6"/>
  <c r="CY420" i="6"/>
  <c r="CY421" i="6"/>
  <c r="CY369" i="6"/>
  <c r="CY370" i="6"/>
  <c r="CY750" i="6"/>
  <c r="CY649" i="6"/>
  <c r="CY651" i="6"/>
  <c r="CY596" i="6"/>
  <c r="CY600" i="6"/>
  <c r="CY361" i="6"/>
  <c r="CY375" i="6"/>
  <c r="CY267" i="6"/>
  <c r="CY268" i="6"/>
  <c r="CY269" i="6"/>
  <c r="CY270" i="6"/>
  <c r="CY271" i="6"/>
  <c r="CY272" i="6"/>
  <c r="CY273" i="6"/>
  <c r="CY274" i="6"/>
  <c r="CY275" i="6"/>
  <c r="CY276" i="6"/>
  <c r="CY277" i="6"/>
  <c r="CY278" i="6"/>
  <c r="CY279" i="6"/>
  <c r="CY280" i="6"/>
  <c r="CY281" i="6"/>
  <c r="CY282" i="6"/>
  <c r="CY283" i="6"/>
  <c r="CY284" i="6"/>
  <c r="CY285" i="6"/>
  <c r="CY286" i="6"/>
  <c r="CY287" i="6"/>
  <c r="CY288" i="6"/>
  <c r="CY289" i="6"/>
  <c r="CY290" i="6"/>
  <c r="CY291" i="6"/>
  <c r="CY292" i="6"/>
  <c r="CY293" i="6"/>
  <c r="CY294" i="6"/>
  <c r="CY295" i="6"/>
  <c r="CY296" i="6"/>
  <c r="CY297" i="6"/>
  <c r="CY298" i="6"/>
  <c r="CY299" i="6"/>
  <c r="CY300" i="6"/>
  <c r="CY301" i="6"/>
  <c r="CY302" i="6"/>
  <c r="CY253" i="6"/>
  <c r="CY254" i="6"/>
  <c r="CY255" i="6"/>
  <c r="CY256" i="6"/>
  <c r="CY257" i="6"/>
  <c r="CY258" i="6"/>
  <c r="CY259" i="6"/>
  <c r="CY260" i="6"/>
  <c r="CY362" i="6"/>
  <c r="CY612" i="6"/>
  <c r="CY616" i="6"/>
  <c r="CY620" i="6"/>
  <c r="CY622" i="6"/>
  <c r="CY626" i="6"/>
  <c r="CY630" i="6"/>
  <c r="CY634" i="6"/>
  <c r="CY638" i="6"/>
  <c r="CY640" i="6"/>
  <c r="CY611" i="6"/>
  <c r="CY613" i="6"/>
  <c r="CY615" i="6"/>
  <c r="CY617" i="6"/>
  <c r="CY619" i="6"/>
  <c r="CY621" i="6"/>
  <c r="CY623" i="6"/>
  <c r="CY625" i="6"/>
  <c r="CY627" i="6"/>
  <c r="CY629" i="6"/>
  <c r="CY631" i="6"/>
  <c r="CY633" i="6"/>
  <c r="CY635" i="6"/>
  <c r="CY637" i="6"/>
  <c r="CY639" i="6"/>
  <c r="CY641" i="6"/>
  <c r="CY643" i="6"/>
  <c r="CY376" i="6"/>
  <c r="CY265" i="6"/>
  <c r="CY474" i="6"/>
  <c r="CY360" i="6"/>
  <c r="CY608" i="6"/>
  <c r="CY614" i="6"/>
  <c r="CY618" i="6"/>
  <c r="CY624" i="6"/>
  <c r="CY628" i="6"/>
  <c r="CY632" i="6"/>
  <c r="CY636" i="6"/>
  <c r="CY642" i="6"/>
  <c r="CY644" i="6"/>
  <c r="CY368" i="6"/>
  <c r="CU1201" i="6"/>
  <c r="CU1202" i="6"/>
  <c r="CU1203" i="6"/>
  <c r="CU1204" i="6"/>
  <c r="CU1205" i="6"/>
  <c r="CU1206" i="6"/>
  <c r="CU1207" i="6"/>
  <c r="CU1208" i="6"/>
  <c r="CU1209" i="6"/>
  <c r="CU1200" i="6"/>
  <c r="CU921" i="6"/>
  <c r="CU922" i="6"/>
  <c r="CU923" i="6"/>
  <c r="CU924" i="6"/>
  <c r="CU925" i="6"/>
  <c r="CU926" i="6"/>
  <c r="CU927" i="6"/>
  <c r="CU928" i="6"/>
  <c r="CU929" i="6"/>
  <c r="CU930" i="6"/>
  <c r="CU931" i="6"/>
  <c r="CU932" i="6"/>
  <c r="CU933" i="6"/>
  <c r="CU938" i="6"/>
  <c r="CU939" i="6"/>
  <c r="CU941" i="6"/>
  <c r="CU946" i="6"/>
  <c r="CU947" i="6"/>
  <c r="CU952" i="6"/>
  <c r="CU953" i="6"/>
  <c r="CU940" i="6"/>
  <c r="CU954" i="6"/>
  <c r="CU898" i="6"/>
  <c r="CU899" i="6"/>
  <c r="CU900" i="6"/>
  <c r="CU901" i="6"/>
  <c r="CU902" i="6"/>
  <c r="CU910" i="6"/>
  <c r="CU903" i="6"/>
  <c r="CU904" i="6"/>
  <c r="CU905" i="6"/>
  <c r="CU906" i="6"/>
  <c r="CU907" i="6"/>
  <c r="CU908" i="6"/>
  <c r="CU909" i="6"/>
  <c r="CU916" i="6"/>
  <c r="CU885" i="6"/>
  <c r="CU886" i="6"/>
  <c r="CU887" i="6"/>
  <c r="CU888" i="6"/>
  <c r="CU889" i="6"/>
  <c r="CU890" i="6"/>
  <c r="CU891" i="6"/>
  <c r="CU892" i="6"/>
  <c r="CU893" i="6"/>
  <c r="CU832" i="6"/>
  <c r="CU833" i="6"/>
  <c r="CU834" i="6"/>
  <c r="CU835" i="6"/>
  <c r="CU836" i="6"/>
  <c r="CU837" i="6"/>
  <c r="CU838" i="6"/>
  <c r="CU839" i="6"/>
  <c r="CU840" i="6"/>
  <c r="CU914" i="6"/>
  <c r="CU911" i="6"/>
  <c r="CU915" i="6"/>
  <c r="CU913" i="6"/>
  <c r="CU861" i="6"/>
  <c r="CU862" i="6"/>
  <c r="CU863" i="6"/>
  <c r="CU864" i="6"/>
  <c r="CU865" i="6"/>
  <c r="CU866" i="6"/>
  <c r="CU867" i="6"/>
  <c r="CU868" i="6"/>
  <c r="CU869" i="6"/>
  <c r="CU870" i="6"/>
  <c r="CU871" i="6"/>
  <c r="CU872" i="6"/>
  <c r="CU873" i="6"/>
  <c r="CU874" i="6"/>
  <c r="CU875" i="6"/>
  <c r="CU876" i="6"/>
  <c r="CU877" i="6"/>
  <c r="CU878" i="6"/>
  <c r="CU879" i="6"/>
  <c r="CU880" i="6"/>
  <c r="CU779" i="6"/>
  <c r="CU780" i="6"/>
  <c r="CU781" i="6"/>
  <c r="CU782" i="6"/>
  <c r="CU783" i="6"/>
  <c r="CU784" i="6"/>
  <c r="CU785" i="6"/>
  <c r="CU786" i="6"/>
  <c r="CU787" i="6"/>
  <c r="CU788" i="6"/>
  <c r="CU789" i="6"/>
  <c r="CU790" i="6"/>
  <c r="CU791" i="6"/>
  <c r="CU792" i="6"/>
  <c r="CU793" i="6"/>
  <c r="CU912" i="6"/>
  <c r="CU841" i="6"/>
  <c r="CU842" i="6"/>
  <c r="CU843" i="6"/>
  <c r="CU844" i="6"/>
  <c r="CU845" i="6"/>
  <c r="CU846" i="6"/>
  <c r="CU847" i="6"/>
  <c r="CU848" i="6"/>
  <c r="CU849" i="6"/>
  <c r="CU850" i="6"/>
  <c r="CU851" i="6"/>
  <c r="CU852" i="6"/>
  <c r="CU853" i="6"/>
  <c r="CU854" i="6"/>
  <c r="CU855" i="6"/>
  <c r="CU856" i="6"/>
  <c r="CU857" i="6"/>
  <c r="CU858" i="6"/>
  <c r="CU859" i="6"/>
  <c r="CU860" i="6"/>
  <c r="CU795" i="6"/>
  <c r="CU797" i="6"/>
  <c r="CU801" i="6"/>
  <c r="CU802" i="6"/>
  <c r="CU803" i="6"/>
  <c r="CU804" i="6"/>
  <c r="CU805" i="6"/>
  <c r="CU806" i="6"/>
  <c r="CU807" i="6"/>
  <c r="CU808" i="6"/>
  <c r="CU809" i="6"/>
  <c r="CU810" i="6"/>
  <c r="CU811" i="6"/>
  <c r="CU812" i="6"/>
  <c r="CU813" i="6"/>
  <c r="CU814" i="6"/>
  <c r="CU815" i="6"/>
  <c r="CU816" i="6"/>
  <c r="CU817" i="6"/>
  <c r="CU818" i="6"/>
  <c r="CU819" i="6"/>
  <c r="CU820" i="6"/>
  <c r="CU821" i="6"/>
  <c r="CU822" i="6"/>
  <c r="CU823" i="6"/>
  <c r="CU824" i="6"/>
  <c r="CU825" i="6"/>
  <c r="CU826" i="6"/>
  <c r="CU827" i="6"/>
  <c r="CU737" i="6"/>
  <c r="CU738" i="6"/>
  <c r="CU739" i="6"/>
  <c r="CU740" i="6"/>
  <c r="CU741" i="6"/>
  <c r="CU742" i="6"/>
  <c r="CU743" i="6"/>
  <c r="CU744" i="6"/>
  <c r="CU745" i="6"/>
  <c r="CU746" i="6"/>
  <c r="CU747" i="6"/>
  <c r="CU748" i="6"/>
  <c r="CU749" i="6"/>
  <c r="CU794" i="6"/>
  <c r="CU796" i="6"/>
  <c r="CU799" i="6"/>
  <c r="CU800" i="6"/>
  <c r="CU750" i="6"/>
  <c r="CU751" i="6"/>
  <c r="CU725" i="6"/>
  <c r="CU726" i="6"/>
  <c r="CU727" i="6"/>
  <c r="CU728" i="6"/>
  <c r="CU729" i="6"/>
  <c r="CU730" i="6"/>
  <c r="CU731" i="6"/>
  <c r="CU732" i="6"/>
  <c r="CU752" i="6"/>
  <c r="CU753" i="6"/>
  <c r="CU754" i="6"/>
  <c r="CU755" i="6"/>
  <c r="CU756" i="6"/>
  <c r="CU596" i="6"/>
  <c r="CU597" i="6"/>
  <c r="CU598" i="6"/>
  <c r="CU599" i="6"/>
  <c r="CU600" i="6"/>
  <c r="CU601" i="6"/>
  <c r="CU602" i="6"/>
  <c r="CU603" i="6"/>
  <c r="CU604" i="6"/>
  <c r="CU605" i="6"/>
  <c r="CU606" i="6"/>
  <c r="CU607" i="6"/>
  <c r="CU608" i="6"/>
  <c r="CU609" i="6"/>
  <c r="CU610" i="6"/>
  <c r="CU757" i="6"/>
  <c r="CU758" i="6"/>
  <c r="CU759" i="6"/>
  <c r="CU760" i="6"/>
  <c r="CU761" i="6"/>
  <c r="CU762" i="6"/>
  <c r="CU763" i="6"/>
  <c r="CU764" i="6"/>
  <c r="CU765" i="6"/>
  <c r="CU766" i="6"/>
  <c r="CU767" i="6"/>
  <c r="CU768" i="6"/>
  <c r="CU769" i="6"/>
  <c r="CU770" i="6"/>
  <c r="CU771" i="6"/>
  <c r="CU772" i="6"/>
  <c r="CU773" i="6"/>
  <c r="CU774" i="6"/>
  <c r="CU649" i="6"/>
  <c r="CU650" i="6"/>
  <c r="CU651" i="6"/>
  <c r="CU652" i="6"/>
  <c r="CU653" i="6"/>
  <c r="CU654" i="6"/>
  <c r="CU655" i="6"/>
  <c r="CU656" i="6"/>
  <c r="CU657" i="6"/>
  <c r="CU685" i="6"/>
  <c r="CU686" i="6"/>
  <c r="CU687" i="6"/>
  <c r="CU688" i="6"/>
  <c r="CU689" i="6"/>
  <c r="CU690" i="6"/>
  <c r="CU691" i="6"/>
  <c r="CU692" i="6"/>
  <c r="CU693" i="6"/>
  <c r="CU694" i="6"/>
  <c r="CU695" i="6"/>
  <c r="CU696" i="6"/>
  <c r="CU697" i="6"/>
  <c r="CU702" i="6"/>
  <c r="CU703" i="6"/>
  <c r="CU704" i="6"/>
  <c r="CU705" i="6"/>
  <c r="CU710" i="6"/>
  <c r="CU711" i="6"/>
  <c r="CU716" i="6"/>
  <c r="CU717" i="6"/>
  <c r="CU718" i="6"/>
  <c r="CU662" i="6"/>
  <c r="CU663" i="6"/>
  <c r="CU664" i="6"/>
  <c r="CU665" i="6"/>
  <c r="CU666" i="6"/>
  <c r="CU667" i="6"/>
  <c r="CU668" i="6"/>
  <c r="CU669" i="6"/>
  <c r="CU670" i="6"/>
  <c r="CU671" i="6"/>
  <c r="CU672" i="6"/>
  <c r="CU673" i="6"/>
  <c r="CU674" i="6"/>
  <c r="CU675" i="6"/>
  <c r="CU676" i="6"/>
  <c r="CU677" i="6"/>
  <c r="CU678" i="6"/>
  <c r="CU679" i="6"/>
  <c r="CU680" i="6"/>
  <c r="CU611" i="6"/>
  <c r="CU612" i="6"/>
  <c r="CU613" i="6"/>
  <c r="CU614" i="6"/>
  <c r="CU615" i="6"/>
  <c r="CU616" i="6"/>
  <c r="CU617" i="6"/>
  <c r="CU618" i="6"/>
  <c r="CU619" i="6"/>
  <c r="CU620" i="6"/>
  <c r="CU621" i="6"/>
  <c r="CU622" i="6"/>
  <c r="CU623" i="6"/>
  <c r="CU624" i="6"/>
  <c r="CU625" i="6"/>
  <c r="CU626" i="6"/>
  <c r="CU627" i="6"/>
  <c r="CU628" i="6"/>
  <c r="CU629" i="6"/>
  <c r="CU630" i="6"/>
  <c r="CU631" i="6"/>
  <c r="CU632" i="6"/>
  <c r="CU633" i="6"/>
  <c r="CU634" i="6"/>
  <c r="CU635" i="6"/>
  <c r="CU636" i="6"/>
  <c r="CU637" i="6"/>
  <c r="CU638" i="6"/>
  <c r="CU639" i="6"/>
  <c r="CU640" i="6"/>
  <c r="CU641" i="6"/>
  <c r="CU642" i="6"/>
  <c r="CU643" i="6"/>
  <c r="CU644" i="6"/>
  <c r="CU798" i="6"/>
  <c r="CU489" i="6"/>
  <c r="CU490" i="6"/>
  <c r="CU491" i="6"/>
  <c r="CU492" i="6"/>
  <c r="CU493" i="6"/>
  <c r="CU494" i="6"/>
  <c r="CU495" i="6"/>
  <c r="CU496" i="6"/>
  <c r="CU363" i="6"/>
  <c r="CU364" i="6"/>
  <c r="CU365" i="6"/>
  <c r="CU566" i="6"/>
  <c r="CU568" i="6"/>
  <c r="CU570" i="6"/>
  <c r="CU572" i="6"/>
  <c r="CU574" i="6"/>
  <c r="CU576" i="6"/>
  <c r="CU578" i="6"/>
  <c r="CU580" i="6"/>
  <c r="CU582" i="6"/>
  <c r="CU584" i="6"/>
  <c r="CU586" i="6"/>
  <c r="CU588" i="6"/>
  <c r="CU474" i="6"/>
  <c r="CU360" i="6"/>
  <c r="CU361" i="6"/>
  <c r="CU362" i="6"/>
  <c r="CU375" i="6"/>
  <c r="CU312" i="6"/>
  <c r="CU313" i="6"/>
  <c r="CU314" i="6"/>
  <c r="CU315" i="6"/>
  <c r="CU316" i="6"/>
  <c r="CU317" i="6"/>
  <c r="CU318" i="6"/>
  <c r="CU319" i="6"/>
  <c r="CU320" i="6"/>
  <c r="CU321" i="6"/>
  <c r="CU322" i="6"/>
  <c r="CU323" i="6"/>
  <c r="CU324" i="6"/>
  <c r="CU325" i="6"/>
  <c r="CU326" i="6"/>
  <c r="CU327" i="6"/>
  <c r="CU328" i="6"/>
  <c r="CU329" i="6"/>
  <c r="CU330" i="6"/>
  <c r="CU331" i="6"/>
  <c r="CU332" i="6"/>
  <c r="CU333" i="6"/>
  <c r="CU334" i="6"/>
  <c r="CU335" i="6"/>
  <c r="CU336" i="6"/>
  <c r="CU337" i="6"/>
  <c r="CU338" i="6"/>
  <c r="CU339" i="6"/>
  <c r="CU340" i="6"/>
  <c r="CU341" i="6"/>
  <c r="CU342" i="6"/>
  <c r="CU343" i="6"/>
  <c r="CU344" i="6"/>
  <c r="CU345" i="6"/>
  <c r="CU346" i="6"/>
  <c r="CU347" i="6"/>
  <c r="CU348" i="6"/>
  <c r="CU349" i="6"/>
  <c r="CU350" i="6"/>
  <c r="CU351" i="6"/>
  <c r="CU352" i="6"/>
  <c r="CU353" i="6"/>
  <c r="CU354" i="6"/>
  <c r="CU355" i="6"/>
  <c r="CU266" i="6"/>
  <c r="CU543" i="6"/>
  <c r="CU544" i="6"/>
  <c r="CU545" i="6"/>
  <c r="CU546" i="6"/>
  <c r="CU547" i="6"/>
  <c r="CU548" i="6"/>
  <c r="CU549" i="6"/>
  <c r="CU550" i="6"/>
  <c r="CU551" i="6"/>
  <c r="CU552" i="6"/>
  <c r="CU553" i="6"/>
  <c r="CU554" i="6"/>
  <c r="CU555" i="6"/>
  <c r="CU556" i="6"/>
  <c r="CU557" i="6"/>
  <c r="CU558" i="6"/>
  <c r="CU559" i="6"/>
  <c r="CU560" i="6"/>
  <c r="CU561" i="6"/>
  <c r="CU562" i="6"/>
  <c r="CU563" i="6"/>
  <c r="CU564" i="6"/>
  <c r="CU565" i="6"/>
  <c r="CU366" i="6"/>
  <c r="CU367" i="6"/>
  <c r="CU371" i="6"/>
  <c r="CU372" i="6"/>
  <c r="CU373" i="6"/>
  <c r="CU374" i="6"/>
  <c r="CU377" i="6"/>
  <c r="CU378" i="6"/>
  <c r="CU379" i="6"/>
  <c r="CU380" i="6"/>
  <c r="CU381" i="6"/>
  <c r="CU382" i="6"/>
  <c r="CU383" i="6"/>
  <c r="CU384" i="6"/>
  <c r="CU385" i="6"/>
  <c r="CU386" i="6"/>
  <c r="CU387" i="6"/>
  <c r="CU388" i="6"/>
  <c r="CU389" i="6"/>
  <c r="CU390" i="6"/>
  <c r="CU391" i="6"/>
  <c r="CU392" i="6"/>
  <c r="CU393" i="6"/>
  <c r="CU394" i="6"/>
  <c r="CU395" i="6"/>
  <c r="CU396" i="6"/>
  <c r="CU397" i="6"/>
  <c r="CU398" i="6"/>
  <c r="CU399" i="6"/>
  <c r="CU400" i="6"/>
  <c r="CU401" i="6"/>
  <c r="CU402" i="6"/>
  <c r="CU403" i="6"/>
  <c r="CU404" i="6"/>
  <c r="CU405" i="6"/>
  <c r="CU406" i="6"/>
  <c r="CU407" i="6"/>
  <c r="CU408" i="6"/>
  <c r="CU307" i="6"/>
  <c r="CU308" i="6"/>
  <c r="CU309" i="6"/>
  <c r="CU310" i="6"/>
  <c r="CU311" i="6"/>
  <c r="CU449" i="6"/>
  <c r="CU450" i="6"/>
  <c r="CU451" i="6"/>
  <c r="CU452" i="6"/>
  <c r="CU453" i="6"/>
  <c r="CU454" i="6"/>
  <c r="CU455" i="6"/>
  <c r="CU456" i="6"/>
  <c r="CU457" i="6"/>
  <c r="CU458" i="6"/>
  <c r="CU459" i="6"/>
  <c r="CU460" i="6"/>
  <c r="CU461" i="6"/>
  <c r="CU466" i="6"/>
  <c r="CU467" i="6"/>
  <c r="CU468" i="6"/>
  <c r="CU376" i="6"/>
  <c r="CU270" i="6"/>
  <c r="CU271" i="6"/>
  <c r="CU276" i="6"/>
  <c r="CU277" i="6"/>
  <c r="CU281" i="6"/>
  <c r="CU284" i="6"/>
  <c r="CU285" i="6"/>
  <c r="CU286" i="6"/>
  <c r="CU287" i="6"/>
  <c r="CU288" i="6"/>
  <c r="CU289" i="6"/>
  <c r="CU290" i="6"/>
  <c r="CU291" i="6"/>
  <c r="CU292" i="6"/>
  <c r="CU293" i="6"/>
  <c r="CU294" i="6"/>
  <c r="CU295" i="6"/>
  <c r="CU296" i="6"/>
  <c r="CU297" i="6"/>
  <c r="CU298" i="6"/>
  <c r="CU299" i="6"/>
  <c r="CU300" i="6"/>
  <c r="CU301" i="6"/>
  <c r="CU302" i="6"/>
  <c r="CU253" i="6"/>
  <c r="CU254" i="6"/>
  <c r="CU255" i="6"/>
  <c r="CU256" i="6"/>
  <c r="CU257" i="6"/>
  <c r="CU258" i="6"/>
  <c r="CU259" i="6"/>
  <c r="CU260" i="6"/>
  <c r="CU567" i="6"/>
  <c r="CU571" i="6"/>
  <c r="CU575" i="6"/>
  <c r="CU579" i="6"/>
  <c r="CU589" i="6"/>
  <c r="CU591" i="6"/>
  <c r="CU502" i="6"/>
  <c r="CU504" i="6"/>
  <c r="CU505" i="6"/>
  <c r="CU507" i="6"/>
  <c r="CU509" i="6"/>
  <c r="CU511" i="6"/>
  <c r="CU513" i="6"/>
  <c r="CU514" i="6"/>
  <c r="CU516" i="6"/>
  <c r="CU517" i="6"/>
  <c r="CU519" i="6"/>
  <c r="CU520" i="6"/>
  <c r="CU522" i="6"/>
  <c r="CU524" i="6"/>
  <c r="CU527" i="6"/>
  <c r="CU529" i="6"/>
  <c r="CU530" i="6"/>
  <c r="CU532" i="6"/>
  <c r="CU533" i="6"/>
  <c r="CU535" i="6"/>
  <c r="CU538" i="6"/>
  <c r="CU469" i="6"/>
  <c r="CU427" i="6"/>
  <c r="CU431" i="6"/>
  <c r="CU437" i="6"/>
  <c r="CU441" i="6"/>
  <c r="CU413" i="6"/>
  <c r="CU415" i="6"/>
  <c r="CU421" i="6"/>
  <c r="CU265" i="6"/>
  <c r="CU569" i="6"/>
  <c r="CU573" i="6"/>
  <c r="CU577" i="6"/>
  <c r="CU581" i="6"/>
  <c r="CU585" i="6"/>
  <c r="CU475" i="6"/>
  <c r="CU481" i="6"/>
  <c r="CU426" i="6"/>
  <c r="CU428" i="6"/>
  <c r="CU430" i="6"/>
  <c r="CU432" i="6"/>
  <c r="CU434" i="6"/>
  <c r="CU436" i="6"/>
  <c r="CU438" i="6"/>
  <c r="CU440" i="6"/>
  <c r="CU442" i="6"/>
  <c r="CU444" i="6"/>
  <c r="CU414" i="6"/>
  <c r="CU416" i="6"/>
  <c r="CU418" i="6"/>
  <c r="CU420" i="6"/>
  <c r="CU370" i="6"/>
  <c r="CU368" i="6"/>
  <c r="CU267" i="6"/>
  <c r="CU268" i="6"/>
  <c r="CU269" i="6"/>
  <c r="CU272" i="6"/>
  <c r="CU273" i="6"/>
  <c r="CU274" i="6"/>
  <c r="CU275" i="6"/>
  <c r="CU278" i="6"/>
  <c r="CU279" i="6"/>
  <c r="CU280" i="6"/>
  <c r="CU282" i="6"/>
  <c r="CU283" i="6"/>
  <c r="CU583" i="6"/>
  <c r="CU587" i="6"/>
  <c r="CU590" i="6"/>
  <c r="CU501" i="6"/>
  <c r="CU503" i="6"/>
  <c r="CU506" i="6"/>
  <c r="CU508" i="6"/>
  <c r="CU510" i="6"/>
  <c r="CU512" i="6"/>
  <c r="CU515" i="6"/>
  <c r="CU518" i="6"/>
  <c r="CU521" i="6"/>
  <c r="CU523" i="6"/>
  <c r="CU525" i="6"/>
  <c r="CU526" i="6"/>
  <c r="CU528" i="6"/>
  <c r="CU531" i="6"/>
  <c r="CU534" i="6"/>
  <c r="CU536" i="6"/>
  <c r="CU537" i="6"/>
  <c r="CU480" i="6"/>
  <c r="CU482" i="6"/>
  <c r="CU429" i="6"/>
  <c r="CU433" i="6"/>
  <c r="CU435" i="6"/>
  <c r="CU439" i="6"/>
  <c r="CU443" i="6"/>
  <c r="CU417" i="6"/>
  <c r="CU419" i="6"/>
  <c r="CU369" i="6"/>
  <c r="CQ1201" i="6"/>
  <c r="CQ1202" i="6"/>
  <c r="CQ1203" i="6"/>
  <c r="CQ1204" i="6"/>
  <c r="CQ1205" i="6"/>
  <c r="CQ1206" i="6"/>
  <c r="CQ1207" i="6"/>
  <c r="CQ1208" i="6"/>
  <c r="CQ922" i="6"/>
  <c r="CQ923" i="6"/>
  <c r="CQ924" i="6"/>
  <c r="CQ1209" i="6"/>
  <c r="CQ1200" i="6"/>
  <c r="CQ921" i="6"/>
  <c r="CQ925" i="6"/>
  <c r="CQ926" i="6"/>
  <c r="CQ927" i="6"/>
  <c r="CQ928" i="6"/>
  <c r="CQ929" i="6"/>
  <c r="CQ930" i="6"/>
  <c r="CQ931" i="6"/>
  <c r="CQ932" i="6"/>
  <c r="CQ933" i="6"/>
  <c r="CQ938" i="6"/>
  <c r="CQ939" i="6"/>
  <c r="CQ941" i="6"/>
  <c r="CQ946" i="6"/>
  <c r="CQ947" i="6"/>
  <c r="CQ952" i="6"/>
  <c r="CQ953" i="6"/>
  <c r="CQ940" i="6"/>
  <c r="CQ954" i="6"/>
  <c r="CQ898" i="6"/>
  <c r="CQ899" i="6"/>
  <c r="CQ900" i="6"/>
  <c r="CQ901" i="6"/>
  <c r="CQ902" i="6"/>
  <c r="CQ903" i="6"/>
  <c r="CQ904" i="6"/>
  <c r="CQ905" i="6"/>
  <c r="CQ906" i="6"/>
  <c r="CQ907" i="6"/>
  <c r="CQ908" i="6"/>
  <c r="CQ909" i="6"/>
  <c r="CQ911" i="6"/>
  <c r="CQ912" i="6"/>
  <c r="CQ913" i="6"/>
  <c r="CQ914" i="6"/>
  <c r="CQ915" i="6"/>
  <c r="CQ910" i="6"/>
  <c r="CQ916" i="6"/>
  <c r="CQ885" i="6"/>
  <c r="CQ886" i="6"/>
  <c r="CQ887" i="6"/>
  <c r="CQ888" i="6"/>
  <c r="CQ889" i="6"/>
  <c r="CQ890" i="6"/>
  <c r="CQ891" i="6"/>
  <c r="CQ892" i="6"/>
  <c r="CQ893" i="6"/>
  <c r="CQ832" i="6"/>
  <c r="CQ833" i="6"/>
  <c r="CQ834" i="6"/>
  <c r="CQ835" i="6"/>
  <c r="CQ836" i="6"/>
  <c r="CQ837" i="6"/>
  <c r="CQ838" i="6"/>
  <c r="CQ839" i="6"/>
  <c r="CQ840" i="6"/>
  <c r="CQ861" i="6"/>
  <c r="CQ862" i="6"/>
  <c r="CQ863" i="6"/>
  <c r="CQ864" i="6"/>
  <c r="CQ865" i="6"/>
  <c r="CQ866" i="6"/>
  <c r="CQ867" i="6"/>
  <c r="CQ868" i="6"/>
  <c r="CQ869" i="6"/>
  <c r="CQ870" i="6"/>
  <c r="CQ871" i="6"/>
  <c r="CQ872" i="6"/>
  <c r="CQ873" i="6"/>
  <c r="CQ874" i="6"/>
  <c r="CQ875" i="6"/>
  <c r="CQ876" i="6"/>
  <c r="CQ877" i="6"/>
  <c r="CQ878" i="6"/>
  <c r="CQ879" i="6"/>
  <c r="CQ880" i="6"/>
  <c r="CQ779" i="6"/>
  <c r="CQ780" i="6"/>
  <c r="CQ781" i="6"/>
  <c r="CQ782" i="6"/>
  <c r="CQ783" i="6"/>
  <c r="CQ784" i="6"/>
  <c r="CQ785" i="6"/>
  <c r="CQ786" i="6"/>
  <c r="CQ787" i="6"/>
  <c r="CQ788" i="6"/>
  <c r="CQ789" i="6"/>
  <c r="CQ790" i="6"/>
  <c r="CQ791" i="6"/>
  <c r="CQ792" i="6"/>
  <c r="CQ793" i="6"/>
  <c r="CQ842" i="6"/>
  <c r="CQ843" i="6"/>
  <c r="CQ844" i="6"/>
  <c r="CQ845" i="6"/>
  <c r="CQ846" i="6"/>
  <c r="CQ847" i="6"/>
  <c r="CQ848" i="6"/>
  <c r="CQ849" i="6"/>
  <c r="CQ850" i="6"/>
  <c r="CQ851" i="6"/>
  <c r="CQ852" i="6"/>
  <c r="CQ853" i="6"/>
  <c r="CQ854" i="6"/>
  <c r="CQ855" i="6"/>
  <c r="CQ856" i="6"/>
  <c r="CQ857" i="6"/>
  <c r="CQ858" i="6"/>
  <c r="CQ859" i="6"/>
  <c r="CQ860" i="6"/>
  <c r="CQ841" i="6"/>
  <c r="CQ801" i="6"/>
  <c r="CQ802" i="6"/>
  <c r="CQ803" i="6"/>
  <c r="CQ804" i="6"/>
  <c r="CQ805" i="6"/>
  <c r="CQ806" i="6"/>
  <c r="CQ807" i="6"/>
  <c r="CQ808" i="6"/>
  <c r="CQ809" i="6"/>
  <c r="CQ810" i="6"/>
  <c r="CQ811" i="6"/>
  <c r="CQ812" i="6"/>
  <c r="CQ813" i="6"/>
  <c r="CQ814" i="6"/>
  <c r="CQ815" i="6"/>
  <c r="CQ816" i="6"/>
  <c r="CQ817" i="6"/>
  <c r="CQ818" i="6"/>
  <c r="CQ819" i="6"/>
  <c r="CQ820" i="6"/>
  <c r="CQ821" i="6"/>
  <c r="CQ822" i="6"/>
  <c r="CQ823" i="6"/>
  <c r="CQ824" i="6"/>
  <c r="CQ825" i="6"/>
  <c r="CQ826" i="6"/>
  <c r="CQ827" i="6"/>
  <c r="CQ737" i="6"/>
  <c r="CQ738" i="6"/>
  <c r="CQ739" i="6"/>
  <c r="CQ740" i="6"/>
  <c r="CQ741" i="6"/>
  <c r="CQ742" i="6"/>
  <c r="CQ743" i="6"/>
  <c r="CQ744" i="6"/>
  <c r="CQ745" i="6"/>
  <c r="CQ746" i="6"/>
  <c r="CQ747" i="6"/>
  <c r="CQ748" i="6"/>
  <c r="CQ749" i="6"/>
  <c r="CQ794" i="6"/>
  <c r="CQ796" i="6"/>
  <c r="CQ798" i="6"/>
  <c r="CQ800" i="6"/>
  <c r="CQ795" i="6"/>
  <c r="CQ750" i="6"/>
  <c r="CQ751" i="6"/>
  <c r="CQ725" i="6"/>
  <c r="CQ726" i="6"/>
  <c r="CQ727" i="6"/>
  <c r="CQ728" i="6"/>
  <c r="CQ729" i="6"/>
  <c r="CQ730" i="6"/>
  <c r="CQ731" i="6"/>
  <c r="CQ732" i="6"/>
  <c r="CQ797" i="6"/>
  <c r="CQ752" i="6"/>
  <c r="CQ753" i="6"/>
  <c r="CQ754" i="6"/>
  <c r="CQ755" i="6"/>
  <c r="CQ756" i="6"/>
  <c r="CQ799" i="6"/>
  <c r="CQ685" i="6"/>
  <c r="CQ686" i="6"/>
  <c r="CQ687" i="6"/>
  <c r="CQ688" i="6"/>
  <c r="CQ689" i="6"/>
  <c r="CQ690" i="6"/>
  <c r="CQ691" i="6"/>
  <c r="CQ692" i="6"/>
  <c r="CQ693" i="6"/>
  <c r="CQ694" i="6"/>
  <c r="CQ695" i="6"/>
  <c r="CQ696" i="6"/>
  <c r="CQ697" i="6"/>
  <c r="CQ702" i="6"/>
  <c r="CQ703" i="6"/>
  <c r="CQ704" i="6"/>
  <c r="CQ705" i="6"/>
  <c r="CQ710" i="6"/>
  <c r="CQ711" i="6"/>
  <c r="CQ716" i="6"/>
  <c r="CQ717" i="6"/>
  <c r="CQ718" i="6"/>
  <c r="CQ662" i="6"/>
  <c r="CQ663" i="6"/>
  <c r="CQ664" i="6"/>
  <c r="CQ665" i="6"/>
  <c r="CQ666" i="6"/>
  <c r="CQ667" i="6"/>
  <c r="CQ668" i="6"/>
  <c r="CQ669" i="6"/>
  <c r="CQ670" i="6"/>
  <c r="CQ671" i="6"/>
  <c r="CQ672" i="6"/>
  <c r="CQ673" i="6"/>
  <c r="CQ674" i="6"/>
  <c r="CQ675" i="6"/>
  <c r="CQ676" i="6"/>
  <c r="CQ677" i="6"/>
  <c r="CQ678" i="6"/>
  <c r="CQ679" i="6"/>
  <c r="CQ680" i="6"/>
  <c r="CQ596" i="6"/>
  <c r="CQ597" i="6"/>
  <c r="CQ598" i="6"/>
  <c r="CQ599" i="6"/>
  <c r="CQ600" i="6"/>
  <c r="CQ601" i="6"/>
  <c r="CQ602" i="6"/>
  <c r="CQ603" i="6"/>
  <c r="CQ604" i="6"/>
  <c r="CQ605" i="6"/>
  <c r="CQ606" i="6"/>
  <c r="CQ607" i="6"/>
  <c r="CQ608" i="6"/>
  <c r="CQ609" i="6"/>
  <c r="CQ610" i="6"/>
  <c r="CQ649" i="6"/>
  <c r="CQ650" i="6"/>
  <c r="CQ651" i="6"/>
  <c r="CQ652" i="6"/>
  <c r="CQ653" i="6"/>
  <c r="CQ654" i="6"/>
  <c r="CQ656" i="6"/>
  <c r="CQ543" i="6"/>
  <c r="CQ544" i="6"/>
  <c r="CQ545" i="6"/>
  <c r="CQ546" i="6"/>
  <c r="CQ547" i="6"/>
  <c r="CQ548" i="6"/>
  <c r="CQ549" i="6"/>
  <c r="CQ550" i="6"/>
  <c r="CQ551" i="6"/>
  <c r="CQ552" i="6"/>
  <c r="CQ553" i="6"/>
  <c r="CQ554" i="6"/>
  <c r="CQ555" i="6"/>
  <c r="CQ556" i="6"/>
  <c r="CQ557" i="6"/>
  <c r="CQ558" i="6"/>
  <c r="CQ559" i="6"/>
  <c r="CQ560" i="6"/>
  <c r="CQ561" i="6"/>
  <c r="CQ562" i="6"/>
  <c r="CQ563" i="6"/>
  <c r="CQ564" i="6"/>
  <c r="CQ565" i="6"/>
  <c r="CQ489" i="6"/>
  <c r="CQ490" i="6"/>
  <c r="CQ491" i="6"/>
  <c r="CQ492" i="6"/>
  <c r="CQ493" i="6"/>
  <c r="CQ494" i="6"/>
  <c r="CQ495" i="6"/>
  <c r="CQ496" i="6"/>
  <c r="CQ363" i="6"/>
  <c r="CQ364" i="6"/>
  <c r="CQ365" i="6"/>
  <c r="CQ611" i="6"/>
  <c r="CQ612" i="6"/>
  <c r="CQ613" i="6"/>
  <c r="CQ614" i="6"/>
  <c r="CQ615" i="6"/>
  <c r="CQ616" i="6"/>
  <c r="CQ617" i="6"/>
  <c r="CQ618" i="6"/>
  <c r="CQ619" i="6"/>
  <c r="CQ620" i="6"/>
  <c r="CQ621" i="6"/>
  <c r="CQ622" i="6"/>
  <c r="CQ623" i="6"/>
  <c r="CQ624" i="6"/>
  <c r="CQ625" i="6"/>
  <c r="CQ626" i="6"/>
  <c r="CQ627" i="6"/>
  <c r="CQ628" i="6"/>
  <c r="CQ629" i="6"/>
  <c r="CQ630" i="6"/>
  <c r="CQ631" i="6"/>
  <c r="CQ632" i="6"/>
  <c r="CQ633" i="6"/>
  <c r="CQ634" i="6"/>
  <c r="CQ635" i="6"/>
  <c r="CQ636" i="6"/>
  <c r="CQ637" i="6"/>
  <c r="CQ638" i="6"/>
  <c r="CQ639" i="6"/>
  <c r="CQ640" i="6"/>
  <c r="CQ641" i="6"/>
  <c r="CQ642" i="6"/>
  <c r="CQ643" i="6"/>
  <c r="CQ644" i="6"/>
  <c r="CQ589" i="6"/>
  <c r="CQ590" i="6"/>
  <c r="CQ591" i="6"/>
  <c r="CQ501" i="6"/>
  <c r="CQ502" i="6"/>
  <c r="CQ503" i="6"/>
  <c r="CQ504" i="6"/>
  <c r="CQ505" i="6"/>
  <c r="CQ506" i="6"/>
  <c r="CQ507" i="6"/>
  <c r="CQ508" i="6"/>
  <c r="CQ509" i="6"/>
  <c r="CQ510" i="6"/>
  <c r="CQ511" i="6"/>
  <c r="CQ512" i="6"/>
  <c r="CQ513" i="6"/>
  <c r="CQ514" i="6"/>
  <c r="CQ515" i="6"/>
  <c r="CQ516" i="6"/>
  <c r="CQ517" i="6"/>
  <c r="CQ518" i="6"/>
  <c r="CQ519" i="6"/>
  <c r="CQ520" i="6"/>
  <c r="CQ521" i="6"/>
  <c r="CQ522" i="6"/>
  <c r="CQ523" i="6"/>
  <c r="CQ524" i="6"/>
  <c r="CQ525" i="6"/>
  <c r="CQ526" i="6"/>
  <c r="CQ527" i="6"/>
  <c r="CQ528" i="6"/>
  <c r="CQ529" i="6"/>
  <c r="CQ530" i="6"/>
  <c r="CQ531" i="6"/>
  <c r="CQ532" i="6"/>
  <c r="CQ533" i="6"/>
  <c r="CQ534" i="6"/>
  <c r="CQ535" i="6"/>
  <c r="CQ536" i="6"/>
  <c r="CQ537" i="6"/>
  <c r="CQ538" i="6"/>
  <c r="CQ368" i="6"/>
  <c r="CQ376" i="6"/>
  <c r="CQ312" i="6"/>
  <c r="CQ313" i="6"/>
  <c r="CQ314" i="6"/>
  <c r="CQ315" i="6"/>
  <c r="CQ316" i="6"/>
  <c r="CQ317" i="6"/>
  <c r="CQ318" i="6"/>
  <c r="CQ319" i="6"/>
  <c r="CQ320" i="6"/>
  <c r="CQ321" i="6"/>
  <c r="CQ322" i="6"/>
  <c r="CQ323" i="6"/>
  <c r="CQ324" i="6"/>
  <c r="CQ325" i="6"/>
  <c r="CQ326" i="6"/>
  <c r="CQ327" i="6"/>
  <c r="CQ328" i="6"/>
  <c r="CQ329" i="6"/>
  <c r="CQ330" i="6"/>
  <c r="CQ331" i="6"/>
  <c r="CQ332" i="6"/>
  <c r="CQ333" i="6"/>
  <c r="CQ334" i="6"/>
  <c r="CQ335" i="6"/>
  <c r="CQ336" i="6"/>
  <c r="CQ337" i="6"/>
  <c r="CQ338" i="6"/>
  <c r="CQ339" i="6"/>
  <c r="CQ340" i="6"/>
  <c r="CQ341" i="6"/>
  <c r="CQ342" i="6"/>
  <c r="CQ343" i="6"/>
  <c r="CQ344" i="6"/>
  <c r="CQ345" i="6"/>
  <c r="CQ346" i="6"/>
  <c r="CQ347" i="6"/>
  <c r="CQ348" i="6"/>
  <c r="CQ349" i="6"/>
  <c r="CQ350" i="6"/>
  <c r="CQ351" i="6"/>
  <c r="CQ352" i="6"/>
  <c r="CQ353" i="6"/>
  <c r="CQ354" i="6"/>
  <c r="CQ355" i="6"/>
  <c r="CQ266" i="6"/>
  <c r="CQ758" i="6"/>
  <c r="CQ760" i="6"/>
  <c r="CQ762" i="6"/>
  <c r="CQ764" i="6"/>
  <c r="CQ766" i="6"/>
  <c r="CQ768" i="6"/>
  <c r="CQ770" i="6"/>
  <c r="CQ772" i="6"/>
  <c r="CQ774" i="6"/>
  <c r="CQ657" i="6"/>
  <c r="CQ567" i="6"/>
  <c r="CQ569" i="6"/>
  <c r="CQ571" i="6"/>
  <c r="CQ573" i="6"/>
  <c r="CQ575" i="6"/>
  <c r="CQ577" i="6"/>
  <c r="CQ579" i="6"/>
  <c r="CQ581" i="6"/>
  <c r="CQ583" i="6"/>
  <c r="CQ585" i="6"/>
  <c r="CQ587" i="6"/>
  <c r="CQ449" i="6"/>
  <c r="CQ450" i="6"/>
  <c r="CQ451" i="6"/>
  <c r="CQ452" i="6"/>
  <c r="CQ453" i="6"/>
  <c r="CQ454" i="6"/>
  <c r="CQ455" i="6"/>
  <c r="CQ456" i="6"/>
  <c r="CQ457" i="6"/>
  <c r="CQ458" i="6"/>
  <c r="CQ459" i="6"/>
  <c r="CQ460" i="6"/>
  <c r="CQ461" i="6"/>
  <c r="CQ466" i="6"/>
  <c r="CQ467" i="6"/>
  <c r="CQ468" i="6"/>
  <c r="CQ474" i="6"/>
  <c r="CQ360" i="6"/>
  <c r="CQ361" i="6"/>
  <c r="CQ362" i="6"/>
  <c r="CQ375" i="6"/>
  <c r="CQ759" i="6"/>
  <c r="CQ767" i="6"/>
  <c r="CQ568" i="6"/>
  <c r="CQ572" i="6"/>
  <c r="CQ576" i="6"/>
  <c r="CQ580" i="6"/>
  <c r="CQ584" i="6"/>
  <c r="CQ588" i="6"/>
  <c r="CQ475" i="6"/>
  <c r="CQ481" i="6"/>
  <c r="CQ426" i="6"/>
  <c r="CQ428" i="6"/>
  <c r="CQ430" i="6"/>
  <c r="CQ432" i="6"/>
  <c r="CQ434" i="6"/>
  <c r="CQ436" i="6"/>
  <c r="CQ438" i="6"/>
  <c r="CQ440" i="6"/>
  <c r="CQ442" i="6"/>
  <c r="CQ444" i="6"/>
  <c r="CQ414" i="6"/>
  <c r="CQ416" i="6"/>
  <c r="CQ418" i="6"/>
  <c r="CQ420" i="6"/>
  <c r="CQ370" i="6"/>
  <c r="CQ267" i="6"/>
  <c r="CQ268" i="6"/>
  <c r="CQ269" i="6"/>
  <c r="CQ270" i="6"/>
  <c r="CQ271" i="6"/>
  <c r="CQ272" i="6"/>
  <c r="CQ273" i="6"/>
  <c r="CQ274" i="6"/>
  <c r="CQ275" i="6"/>
  <c r="CQ276" i="6"/>
  <c r="CQ277" i="6"/>
  <c r="CQ278" i="6"/>
  <c r="CQ279" i="6"/>
  <c r="CQ280" i="6"/>
  <c r="CQ281" i="6"/>
  <c r="CQ282" i="6"/>
  <c r="CQ283" i="6"/>
  <c r="CQ284" i="6"/>
  <c r="CQ285" i="6"/>
  <c r="CQ286" i="6"/>
  <c r="CQ287" i="6"/>
  <c r="CQ288" i="6"/>
  <c r="CQ289" i="6"/>
  <c r="CQ290" i="6"/>
  <c r="CQ291" i="6"/>
  <c r="CQ292" i="6"/>
  <c r="CQ293" i="6"/>
  <c r="CQ294" i="6"/>
  <c r="CQ295" i="6"/>
  <c r="CQ296" i="6"/>
  <c r="CQ297" i="6"/>
  <c r="CQ298" i="6"/>
  <c r="CQ299" i="6"/>
  <c r="CQ300" i="6"/>
  <c r="CQ301" i="6"/>
  <c r="CQ302" i="6"/>
  <c r="CQ253" i="6"/>
  <c r="CQ254" i="6"/>
  <c r="CQ255" i="6"/>
  <c r="CQ256" i="6"/>
  <c r="CQ257" i="6"/>
  <c r="CQ258" i="6"/>
  <c r="CQ259" i="6"/>
  <c r="CQ260" i="6"/>
  <c r="CQ763" i="6"/>
  <c r="CQ771" i="6"/>
  <c r="CQ566" i="6"/>
  <c r="CQ570" i="6"/>
  <c r="CQ574" i="6"/>
  <c r="CQ582" i="6"/>
  <c r="CQ586" i="6"/>
  <c r="CQ469" i="6"/>
  <c r="CQ480" i="6"/>
  <c r="CQ427" i="6"/>
  <c r="CQ429" i="6"/>
  <c r="CQ431" i="6"/>
  <c r="CQ433" i="6"/>
  <c r="CQ441" i="6"/>
  <c r="CQ443" i="6"/>
  <c r="CQ415" i="6"/>
  <c r="CQ417" i="6"/>
  <c r="CQ369" i="6"/>
  <c r="CQ761" i="6"/>
  <c r="CQ769" i="6"/>
  <c r="CQ655" i="6"/>
  <c r="CQ367" i="6"/>
  <c r="CQ377" i="6"/>
  <c r="CQ379" i="6"/>
  <c r="CQ387" i="6"/>
  <c r="CQ389" i="6"/>
  <c r="CQ397" i="6"/>
  <c r="CQ309" i="6"/>
  <c r="CQ311" i="6"/>
  <c r="CQ757" i="6"/>
  <c r="CQ765" i="6"/>
  <c r="CQ773" i="6"/>
  <c r="CQ366" i="6"/>
  <c r="CQ371" i="6"/>
  <c r="CQ373" i="6"/>
  <c r="CQ378" i="6"/>
  <c r="CQ380" i="6"/>
  <c r="CQ382" i="6"/>
  <c r="CQ384" i="6"/>
  <c r="CQ386" i="6"/>
  <c r="CQ388" i="6"/>
  <c r="CQ390" i="6"/>
  <c r="CQ392" i="6"/>
  <c r="CQ394" i="6"/>
  <c r="CQ396" i="6"/>
  <c r="CQ398" i="6"/>
  <c r="CQ400" i="6"/>
  <c r="CQ402" i="6"/>
  <c r="CQ404" i="6"/>
  <c r="CQ406" i="6"/>
  <c r="CQ408" i="6"/>
  <c r="CQ308" i="6"/>
  <c r="CQ310" i="6"/>
  <c r="CQ265" i="6"/>
  <c r="CQ578" i="6"/>
  <c r="CQ482" i="6"/>
  <c r="CQ435" i="6"/>
  <c r="CQ437" i="6"/>
  <c r="CQ439" i="6"/>
  <c r="CQ413" i="6"/>
  <c r="CQ419" i="6"/>
  <c r="CQ421" i="6"/>
  <c r="CQ372" i="6"/>
  <c r="CQ374" i="6"/>
  <c r="CQ381" i="6"/>
  <c r="CQ383" i="6"/>
  <c r="CQ385" i="6"/>
  <c r="CQ391" i="6"/>
  <c r="CQ393" i="6"/>
  <c r="CQ395" i="6"/>
  <c r="CQ399" i="6"/>
  <c r="CQ401" i="6"/>
  <c r="CQ403" i="6"/>
  <c r="CQ405" i="6"/>
  <c r="CQ407" i="6"/>
  <c r="CQ307" i="6"/>
  <c r="CM1201" i="6"/>
  <c r="CM1202" i="6"/>
  <c r="CM1203" i="6"/>
  <c r="CM1204" i="6"/>
  <c r="CM1205" i="6"/>
  <c r="CM1206" i="6"/>
  <c r="CM1207" i="6"/>
  <c r="CM922" i="6"/>
  <c r="CM923" i="6"/>
  <c r="CM924" i="6"/>
  <c r="CM1208" i="6"/>
  <c r="CM1200" i="6"/>
  <c r="CM921" i="6"/>
  <c r="CM925" i="6"/>
  <c r="CM926" i="6"/>
  <c r="CM927" i="6"/>
  <c r="CM928" i="6"/>
  <c r="CM929" i="6"/>
  <c r="CM930" i="6"/>
  <c r="CM931" i="6"/>
  <c r="CM932" i="6"/>
  <c r="CM933" i="6"/>
  <c r="CM938" i="6"/>
  <c r="CM939" i="6"/>
  <c r="CM1209" i="6"/>
  <c r="CM946" i="6"/>
  <c r="CM947" i="6"/>
  <c r="CM952" i="6"/>
  <c r="CM953" i="6"/>
  <c r="CM940" i="6"/>
  <c r="CM941" i="6"/>
  <c r="CM898" i="6"/>
  <c r="CM902" i="6"/>
  <c r="CM910" i="6"/>
  <c r="CM899" i="6"/>
  <c r="CM911" i="6"/>
  <c r="CM912" i="6"/>
  <c r="CM913" i="6"/>
  <c r="CM914" i="6"/>
  <c r="CM915" i="6"/>
  <c r="CM900" i="6"/>
  <c r="CM916" i="6"/>
  <c r="CM885" i="6"/>
  <c r="CM886" i="6"/>
  <c r="CM887" i="6"/>
  <c r="CM888" i="6"/>
  <c r="CM889" i="6"/>
  <c r="CM890" i="6"/>
  <c r="CM891" i="6"/>
  <c r="CM892" i="6"/>
  <c r="CM893" i="6"/>
  <c r="CM832" i="6"/>
  <c r="CM833" i="6"/>
  <c r="CM834" i="6"/>
  <c r="CM835" i="6"/>
  <c r="CM836" i="6"/>
  <c r="CM837" i="6"/>
  <c r="CM838" i="6"/>
  <c r="CM839" i="6"/>
  <c r="CM840" i="6"/>
  <c r="CM954" i="6"/>
  <c r="CM905" i="6"/>
  <c r="CM909" i="6"/>
  <c r="CM841" i="6"/>
  <c r="CM901" i="6"/>
  <c r="CM904" i="6"/>
  <c r="CM908" i="6"/>
  <c r="CM906" i="6"/>
  <c r="CM861" i="6"/>
  <c r="CM862" i="6"/>
  <c r="CM863" i="6"/>
  <c r="CM864" i="6"/>
  <c r="CM865" i="6"/>
  <c r="CM866" i="6"/>
  <c r="CM867" i="6"/>
  <c r="CM868" i="6"/>
  <c r="CM869" i="6"/>
  <c r="CM870" i="6"/>
  <c r="CM871" i="6"/>
  <c r="CM872" i="6"/>
  <c r="CM873" i="6"/>
  <c r="CM874" i="6"/>
  <c r="CM875" i="6"/>
  <c r="CM876" i="6"/>
  <c r="CM877" i="6"/>
  <c r="CM878" i="6"/>
  <c r="CM879" i="6"/>
  <c r="CM880" i="6"/>
  <c r="CM779" i="6"/>
  <c r="CM780" i="6"/>
  <c r="CM781" i="6"/>
  <c r="CM782" i="6"/>
  <c r="CM783" i="6"/>
  <c r="CM784" i="6"/>
  <c r="CM785" i="6"/>
  <c r="CM786" i="6"/>
  <c r="CM787" i="6"/>
  <c r="CM788" i="6"/>
  <c r="CM789" i="6"/>
  <c r="CM790" i="6"/>
  <c r="CM791" i="6"/>
  <c r="CM792" i="6"/>
  <c r="CM793" i="6"/>
  <c r="CM907" i="6"/>
  <c r="CM794" i="6"/>
  <c r="CM795" i="6"/>
  <c r="CM796" i="6"/>
  <c r="CM797" i="6"/>
  <c r="CM798" i="6"/>
  <c r="CM903" i="6"/>
  <c r="CM799" i="6"/>
  <c r="CM800" i="6"/>
  <c r="CM801" i="6"/>
  <c r="CM802" i="6"/>
  <c r="CM803" i="6"/>
  <c r="CM804" i="6"/>
  <c r="CM805" i="6"/>
  <c r="CM806" i="6"/>
  <c r="CM807" i="6"/>
  <c r="CM808" i="6"/>
  <c r="CM809" i="6"/>
  <c r="CM810" i="6"/>
  <c r="CM811" i="6"/>
  <c r="CM812" i="6"/>
  <c r="CM813" i="6"/>
  <c r="CM814" i="6"/>
  <c r="CM815" i="6"/>
  <c r="CM816" i="6"/>
  <c r="CM817" i="6"/>
  <c r="CM818" i="6"/>
  <c r="CM819" i="6"/>
  <c r="CM820" i="6"/>
  <c r="CM821" i="6"/>
  <c r="CM822" i="6"/>
  <c r="CM823" i="6"/>
  <c r="CM824" i="6"/>
  <c r="CM825" i="6"/>
  <c r="CM826" i="6"/>
  <c r="CM827" i="6"/>
  <c r="CM737" i="6"/>
  <c r="CM738" i="6"/>
  <c r="CM739" i="6"/>
  <c r="CM740" i="6"/>
  <c r="CM741" i="6"/>
  <c r="CM742" i="6"/>
  <c r="CM743" i="6"/>
  <c r="CM744" i="6"/>
  <c r="CM745" i="6"/>
  <c r="CM746" i="6"/>
  <c r="CM747" i="6"/>
  <c r="CM748" i="6"/>
  <c r="CM749" i="6"/>
  <c r="CM842" i="6"/>
  <c r="CM844" i="6"/>
  <c r="CM846" i="6"/>
  <c r="CM848" i="6"/>
  <c r="CM850" i="6"/>
  <c r="CM852" i="6"/>
  <c r="CM854" i="6"/>
  <c r="CM856" i="6"/>
  <c r="CM858" i="6"/>
  <c r="CM860" i="6"/>
  <c r="CM843" i="6"/>
  <c r="CM851" i="6"/>
  <c r="CM859" i="6"/>
  <c r="CM849" i="6"/>
  <c r="CM857" i="6"/>
  <c r="CM725" i="6"/>
  <c r="CM726" i="6"/>
  <c r="CM727" i="6"/>
  <c r="CM728" i="6"/>
  <c r="CM729" i="6"/>
  <c r="CM730" i="6"/>
  <c r="CM731" i="6"/>
  <c r="CM732" i="6"/>
  <c r="CM847" i="6"/>
  <c r="CM855" i="6"/>
  <c r="CM750" i="6"/>
  <c r="CM751" i="6"/>
  <c r="CM752" i="6"/>
  <c r="CM753" i="6"/>
  <c r="CM754" i="6"/>
  <c r="CM755" i="6"/>
  <c r="CM756" i="6"/>
  <c r="CM845" i="6"/>
  <c r="CM757" i="6"/>
  <c r="CM758" i="6"/>
  <c r="CM759" i="6"/>
  <c r="CM760" i="6"/>
  <c r="CM761" i="6"/>
  <c r="CM762" i="6"/>
  <c r="CM763" i="6"/>
  <c r="CM764" i="6"/>
  <c r="CM765" i="6"/>
  <c r="CM766" i="6"/>
  <c r="CM767" i="6"/>
  <c r="CM768" i="6"/>
  <c r="CM769" i="6"/>
  <c r="CM770" i="6"/>
  <c r="CM771" i="6"/>
  <c r="CM772" i="6"/>
  <c r="CM773" i="6"/>
  <c r="CM774" i="6"/>
  <c r="CM649" i="6"/>
  <c r="CM650" i="6"/>
  <c r="CM651" i="6"/>
  <c r="CM652" i="6"/>
  <c r="CM653" i="6"/>
  <c r="CM853" i="6"/>
  <c r="CM654" i="6"/>
  <c r="CM656" i="6"/>
  <c r="CM611" i="6"/>
  <c r="CM612" i="6"/>
  <c r="CM613" i="6"/>
  <c r="CM614" i="6"/>
  <c r="CM615" i="6"/>
  <c r="CM616" i="6"/>
  <c r="CM617" i="6"/>
  <c r="CM618" i="6"/>
  <c r="CM619" i="6"/>
  <c r="CM620" i="6"/>
  <c r="CM621" i="6"/>
  <c r="CM622" i="6"/>
  <c r="CM623" i="6"/>
  <c r="CM624" i="6"/>
  <c r="CM625" i="6"/>
  <c r="CM626" i="6"/>
  <c r="CM627" i="6"/>
  <c r="CM628" i="6"/>
  <c r="CM629" i="6"/>
  <c r="CM630" i="6"/>
  <c r="CM631" i="6"/>
  <c r="CM632" i="6"/>
  <c r="CM633" i="6"/>
  <c r="CM634" i="6"/>
  <c r="CM635" i="6"/>
  <c r="CM636" i="6"/>
  <c r="CM637" i="6"/>
  <c r="CM638" i="6"/>
  <c r="CM639" i="6"/>
  <c r="CM640" i="6"/>
  <c r="CM641" i="6"/>
  <c r="CM642" i="6"/>
  <c r="CM643" i="6"/>
  <c r="CM644" i="6"/>
  <c r="CM566" i="6"/>
  <c r="CM567" i="6"/>
  <c r="CM568" i="6"/>
  <c r="CM569" i="6"/>
  <c r="CM570" i="6"/>
  <c r="CM571" i="6"/>
  <c r="CM572" i="6"/>
  <c r="CM573" i="6"/>
  <c r="CM574" i="6"/>
  <c r="CM575" i="6"/>
  <c r="CM576" i="6"/>
  <c r="CM577" i="6"/>
  <c r="CM578" i="6"/>
  <c r="CM579" i="6"/>
  <c r="CM580" i="6"/>
  <c r="CM581" i="6"/>
  <c r="CM582" i="6"/>
  <c r="CM583" i="6"/>
  <c r="CM584" i="6"/>
  <c r="CM585" i="6"/>
  <c r="CM586" i="6"/>
  <c r="CM587" i="6"/>
  <c r="CM588" i="6"/>
  <c r="CM596" i="6"/>
  <c r="CM598" i="6"/>
  <c r="CM600" i="6"/>
  <c r="CM602" i="6"/>
  <c r="CM604" i="6"/>
  <c r="CM606" i="6"/>
  <c r="CM608" i="6"/>
  <c r="CM610" i="6"/>
  <c r="CM489" i="6"/>
  <c r="CM490" i="6"/>
  <c r="CM491" i="6"/>
  <c r="CM492" i="6"/>
  <c r="CM493" i="6"/>
  <c r="CM494" i="6"/>
  <c r="CM495" i="6"/>
  <c r="CM496" i="6"/>
  <c r="CM363" i="6"/>
  <c r="CM364" i="6"/>
  <c r="CM365" i="6"/>
  <c r="CM657" i="6"/>
  <c r="CM469" i="6"/>
  <c r="CM475" i="6"/>
  <c r="CM480" i="6"/>
  <c r="CM481" i="6"/>
  <c r="CM482" i="6"/>
  <c r="CM426" i="6"/>
  <c r="CM427" i="6"/>
  <c r="CM428" i="6"/>
  <c r="CM429" i="6"/>
  <c r="CM430" i="6"/>
  <c r="CM431" i="6"/>
  <c r="CM432" i="6"/>
  <c r="CM433" i="6"/>
  <c r="CM434" i="6"/>
  <c r="CM435" i="6"/>
  <c r="CM436" i="6"/>
  <c r="CM437" i="6"/>
  <c r="CM438" i="6"/>
  <c r="CM439" i="6"/>
  <c r="CM440" i="6"/>
  <c r="CM441" i="6"/>
  <c r="CM442" i="6"/>
  <c r="CM443" i="6"/>
  <c r="CM444" i="6"/>
  <c r="CM413" i="6"/>
  <c r="CM414" i="6"/>
  <c r="CM415" i="6"/>
  <c r="CM416" i="6"/>
  <c r="CM417" i="6"/>
  <c r="CM418" i="6"/>
  <c r="CM419" i="6"/>
  <c r="CM420" i="6"/>
  <c r="CM421" i="6"/>
  <c r="CM369" i="6"/>
  <c r="CM370" i="6"/>
  <c r="CM312" i="6"/>
  <c r="CM313" i="6"/>
  <c r="CM314" i="6"/>
  <c r="CM315" i="6"/>
  <c r="CM316" i="6"/>
  <c r="CM317" i="6"/>
  <c r="CM318" i="6"/>
  <c r="CM319" i="6"/>
  <c r="CM320" i="6"/>
  <c r="CM321" i="6"/>
  <c r="CM322" i="6"/>
  <c r="CM323" i="6"/>
  <c r="CM324" i="6"/>
  <c r="CM325" i="6"/>
  <c r="CM326" i="6"/>
  <c r="CM327" i="6"/>
  <c r="CM328" i="6"/>
  <c r="CM329" i="6"/>
  <c r="CM330" i="6"/>
  <c r="CM331" i="6"/>
  <c r="CM332" i="6"/>
  <c r="CM333" i="6"/>
  <c r="CM334" i="6"/>
  <c r="CM335" i="6"/>
  <c r="CM336" i="6"/>
  <c r="CM337" i="6"/>
  <c r="CM338" i="6"/>
  <c r="CM339" i="6"/>
  <c r="CM340" i="6"/>
  <c r="CM341" i="6"/>
  <c r="CM342" i="6"/>
  <c r="CM343" i="6"/>
  <c r="CM344" i="6"/>
  <c r="CM345" i="6"/>
  <c r="CM346" i="6"/>
  <c r="CM347" i="6"/>
  <c r="CM348" i="6"/>
  <c r="CM349" i="6"/>
  <c r="CM350" i="6"/>
  <c r="CM351" i="6"/>
  <c r="CM352" i="6"/>
  <c r="CM353" i="6"/>
  <c r="CM354" i="6"/>
  <c r="CM355" i="6"/>
  <c r="CM266" i="6"/>
  <c r="CM685" i="6"/>
  <c r="CM687" i="6"/>
  <c r="CM689" i="6"/>
  <c r="CM691" i="6"/>
  <c r="CM693" i="6"/>
  <c r="CM695" i="6"/>
  <c r="CM697" i="6"/>
  <c r="CM703" i="6"/>
  <c r="CM705" i="6"/>
  <c r="CM711" i="6"/>
  <c r="CM717" i="6"/>
  <c r="CM662" i="6"/>
  <c r="CM664" i="6"/>
  <c r="CM666" i="6"/>
  <c r="CM668" i="6"/>
  <c r="CM670" i="6"/>
  <c r="CM672" i="6"/>
  <c r="CM674" i="6"/>
  <c r="CM676" i="6"/>
  <c r="CM678" i="6"/>
  <c r="CM680" i="6"/>
  <c r="CM597" i="6"/>
  <c r="CM601" i="6"/>
  <c r="CM605" i="6"/>
  <c r="CM609" i="6"/>
  <c r="CM368" i="6"/>
  <c r="CM376" i="6"/>
  <c r="CM655" i="6"/>
  <c r="CM692" i="6"/>
  <c r="CM704" i="6"/>
  <c r="CM663" i="6"/>
  <c r="CM671" i="6"/>
  <c r="CM679" i="6"/>
  <c r="CM544" i="6"/>
  <c r="CM546" i="6"/>
  <c r="CM548" i="6"/>
  <c r="CM550" i="6"/>
  <c r="CM552" i="6"/>
  <c r="CM554" i="6"/>
  <c r="CM556" i="6"/>
  <c r="CM558" i="6"/>
  <c r="CM560" i="6"/>
  <c r="CM562" i="6"/>
  <c r="CM564" i="6"/>
  <c r="CM366" i="6"/>
  <c r="CM371" i="6"/>
  <c r="CM373" i="6"/>
  <c r="CM378" i="6"/>
  <c r="CM380" i="6"/>
  <c r="CM382" i="6"/>
  <c r="CM384" i="6"/>
  <c r="CM386" i="6"/>
  <c r="CM388" i="6"/>
  <c r="CM390" i="6"/>
  <c r="CM392" i="6"/>
  <c r="CM394" i="6"/>
  <c r="CM396" i="6"/>
  <c r="CM398" i="6"/>
  <c r="CM400" i="6"/>
  <c r="CM402" i="6"/>
  <c r="CM404" i="6"/>
  <c r="CM406" i="6"/>
  <c r="CM408" i="6"/>
  <c r="CM308" i="6"/>
  <c r="CM310" i="6"/>
  <c r="CM688" i="6"/>
  <c r="CM696" i="6"/>
  <c r="CM716" i="6"/>
  <c r="CM667" i="6"/>
  <c r="CM675" i="6"/>
  <c r="CM603" i="6"/>
  <c r="CM543" i="6"/>
  <c r="CM545" i="6"/>
  <c r="CM547" i="6"/>
  <c r="CM549" i="6"/>
  <c r="CM551" i="6"/>
  <c r="CM559" i="6"/>
  <c r="CM565" i="6"/>
  <c r="CM449" i="6"/>
  <c r="CM450" i="6"/>
  <c r="CM452" i="6"/>
  <c r="CM454" i="6"/>
  <c r="CM456" i="6"/>
  <c r="CM459" i="6"/>
  <c r="CM461" i="6"/>
  <c r="CM468" i="6"/>
  <c r="CM367" i="6"/>
  <c r="CM372" i="6"/>
  <c r="CM377" i="6"/>
  <c r="CM379" i="6"/>
  <c r="CM385" i="6"/>
  <c r="CM389" i="6"/>
  <c r="CM395" i="6"/>
  <c r="CM268" i="6"/>
  <c r="CM269" i="6"/>
  <c r="CM272" i="6"/>
  <c r="CM278" i="6"/>
  <c r="CM280" i="6"/>
  <c r="CM282" i="6"/>
  <c r="CM283" i="6"/>
  <c r="CM284" i="6"/>
  <c r="CM285" i="6"/>
  <c r="CM286" i="6"/>
  <c r="CM287" i="6"/>
  <c r="CM288" i="6"/>
  <c r="CM289" i="6"/>
  <c r="CM290" i="6"/>
  <c r="CM291" i="6"/>
  <c r="CM292" i="6"/>
  <c r="CM293" i="6"/>
  <c r="CM294" i="6"/>
  <c r="CM295" i="6"/>
  <c r="CM296" i="6"/>
  <c r="CM297" i="6"/>
  <c r="CM301" i="6"/>
  <c r="CM253" i="6"/>
  <c r="CM254" i="6"/>
  <c r="CM255" i="6"/>
  <c r="CM256" i="6"/>
  <c r="CM257" i="6"/>
  <c r="CM258" i="6"/>
  <c r="CM259" i="6"/>
  <c r="CM260" i="6"/>
  <c r="CM686" i="6"/>
  <c r="CM710" i="6"/>
  <c r="CM673" i="6"/>
  <c r="CM607" i="6"/>
  <c r="CM361" i="6"/>
  <c r="CM375" i="6"/>
  <c r="CM690" i="6"/>
  <c r="CM702" i="6"/>
  <c r="CM718" i="6"/>
  <c r="CM669" i="6"/>
  <c r="CM677" i="6"/>
  <c r="CM599" i="6"/>
  <c r="CM589" i="6"/>
  <c r="CM590" i="6"/>
  <c r="CM591" i="6"/>
  <c r="CM501" i="6"/>
  <c r="CM502" i="6"/>
  <c r="CM503" i="6"/>
  <c r="CM504" i="6"/>
  <c r="CM505" i="6"/>
  <c r="CM506" i="6"/>
  <c r="CM507" i="6"/>
  <c r="CM508" i="6"/>
  <c r="CM509" i="6"/>
  <c r="CM510" i="6"/>
  <c r="CM511" i="6"/>
  <c r="CM512" i="6"/>
  <c r="CM513" i="6"/>
  <c r="CM514" i="6"/>
  <c r="CM515" i="6"/>
  <c r="CM516" i="6"/>
  <c r="CM517" i="6"/>
  <c r="CM518" i="6"/>
  <c r="CM519" i="6"/>
  <c r="CM520" i="6"/>
  <c r="CM521" i="6"/>
  <c r="CM522" i="6"/>
  <c r="CM523" i="6"/>
  <c r="CM524" i="6"/>
  <c r="CM525" i="6"/>
  <c r="CM526" i="6"/>
  <c r="CM527" i="6"/>
  <c r="CM528" i="6"/>
  <c r="CM529" i="6"/>
  <c r="CM530" i="6"/>
  <c r="CM531" i="6"/>
  <c r="CM532" i="6"/>
  <c r="CM533" i="6"/>
  <c r="CM534" i="6"/>
  <c r="CM535" i="6"/>
  <c r="CM536" i="6"/>
  <c r="CM537" i="6"/>
  <c r="CM538" i="6"/>
  <c r="CM474" i="6"/>
  <c r="CM360" i="6"/>
  <c r="CM362" i="6"/>
  <c r="CM553" i="6"/>
  <c r="CM555" i="6"/>
  <c r="CM557" i="6"/>
  <c r="CM561" i="6"/>
  <c r="CM563" i="6"/>
  <c r="CM451" i="6"/>
  <c r="CM453" i="6"/>
  <c r="CM455" i="6"/>
  <c r="CM457" i="6"/>
  <c r="CM458" i="6"/>
  <c r="CM460" i="6"/>
  <c r="CM466" i="6"/>
  <c r="CM467" i="6"/>
  <c r="CM374" i="6"/>
  <c r="CM381" i="6"/>
  <c r="CM383" i="6"/>
  <c r="CM387" i="6"/>
  <c r="CM391" i="6"/>
  <c r="CM393" i="6"/>
  <c r="CM397" i="6"/>
  <c r="CM399" i="6"/>
  <c r="CM401" i="6"/>
  <c r="CM403" i="6"/>
  <c r="CM405" i="6"/>
  <c r="CM407" i="6"/>
  <c r="CM307" i="6"/>
  <c r="CM309" i="6"/>
  <c r="CM311" i="6"/>
  <c r="CM267" i="6"/>
  <c r="CM270" i="6"/>
  <c r="CM271" i="6"/>
  <c r="CM273" i="6"/>
  <c r="CM274" i="6"/>
  <c r="CM275" i="6"/>
  <c r="CM276" i="6"/>
  <c r="CM277" i="6"/>
  <c r="CM279" i="6"/>
  <c r="CM281" i="6"/>
  <c r="CM298" i="6"/>
  <c r="CM299" i="6"/>
  <c r="CM300" i="6"/>
  <c r="CM302" i="6"/>
  <c r="CM694" i="6"/>
  <c r="CM665" i="6"/>
  <c r="CM265" i="6"/>
  <c r="CI1201" i="6"/>
  <c r="CI1202" i="6"/>
  <c r="CI1203" i="6"/>
  <c r="CI1204" i="6"/>
  <c r="CI1205" i="6"/>
  <c r="CI1206" i="6"/>
  <c r="CI1207" i="6"/>
  <c r="CI1209" i="6"/>
  <c r="CI1200" i="6"/>
  <c r="CI921" i="6"/>
  <c r="CI922" i="6"/>
  <c r="CI923" i="6"/>
  <c r="CI924" i="6"/>
  <c r="CI1208" i="6"/>
  <c r="CI925" i="6"/>
  <c r="CI926" i="6"/>
  <c r="CI927" i="6"/>
  <c r="CI928" i="6"/>
  <c r="CI929" i="6"/>
  <c r="CI930" i="6"/>
  <c r="CI931" i="6"/>
  <c r="CI932" i="6"/>
  <c r="CI933" i="6"/>
  <c r="CI938" i="6"/>
  <c r="CI939" i="6"/>
  <c r="CI946" i="6"/>
  <c r="CI947" i="6"/>
  <c r="CI952" i="6"/>
  <c r="CI953" i="6"/>
  <c r="CI940" i="6"/>
  <c r="CI954" i="6"/>
  <c r="CI898" i="6"/>
  <c r="CI899" i="6"/>
  <c r="CI900" i="6"/>
  <c r="CI901" i="6"/>
  <c r="CI902" i="6"/>
  <c r="CI941" i="6"/>
  <c r="CI903" i="6"/>
  <c r="CI904" i="6"/>
  <c r="CI905" i="6"/>
  <c r="CI906" i="6"/>
  <c r="CI907" i="6"/>
  <c r="CI908" i="6"/>
  <c r="CI909" i="6"/>
  <c r="CI910" i="6"/>
  <c r="CI911" i="6"/>
  <c r="CI912" i="6"/>
  <c r="CI913" i="6"/>
  <c r="CI914" i="6"/>
  <c r="CI915" i="6"/>
  <c r="CI916" i="6"/>
  <c r="CI885" i="6"/>
  <c r="CI886" i="6"/>
  <c r="CI887" i="6"/>
  <c r="CI888" i="6"/>
  <c r="CI889" i="6"/>
  <c r="CI890" i="6"/>
  <c r="CI891" i="6"/>
  <c r="CI892" i="6"/>
  <c r="CI893" i="6"/>
  <c r="CI832" i="6"/>
  <c r="CI833" i="6"/>
  <c r="CI834" i="6"/>
  <c r="CI835" i="6"/>
  <c r="CI836" i="6"/>
  <c r="CI837" i="6"/>
  <c r="CI838" i="6"/>
  <c r="CI839" i="6"/>
  <c r="CI840" i="6"/>
  <c r="CI841" i="6"/>
  <c r="CI861" i="6"/>
  <c r="CI862" i="6"/>
  <c r="CI863" i="6"/>
  <c r="CI864" i="6"/>
  <c r="CI865" i="6"/>
  <c r="CI866" i="6"/>
  <c r="CI867" i="6"/>
  <c r="CI868" i="6"/>
  <c r="CI869" i="6"/>
  <c r="CI870" i="6"/>
  <c r="CI871" i="6"/>
  <c r="CI872" i="6"/>
  <c r="CI873" i="6"/>
  <c r="CI874" i="6"/>
  <c r="CI875" i="6"/>
  <c r="CI876" i="6"/>
  <c r="CI877" i="6"/>
  <c r="CI878" i="6"/>
  <c r="CI879" i="6"/>
  <c r="CI880" i="6"/>
  <c r="CI779" i="6"/>
  <c r="CI780" i="6"/>
  <c r="CI781" i="6"/>
  <c r="CI782" i="6"/>
  <c r="CI783" i="6"/>
  <c r="CI784" i="6"/>
  <c r="CI785" i="6"/>
  <c r="CI786" i="6"/>
  <c r="CI787" i="6"/>
  <c r="CI788" i="6"/>
  <c r="CI789" i="6"/>
  <c r="CI790" i="6"/>
  <c r="CI791" i="6"/>
  <c r="CI792" i="6"/>
  <c r="CI793" i="6"/>
  <c r="CI842" i="6"/>
  <c r="CI843" i="6"/>
  <c r="CI844" i="6"/>
  <c r="CI845" i="6"/>
  <c r="CI846" i="6"/>
  <c r="CI847" i="6"/>
  <c r="CI848" i="6"/>
  <c r="CI849" i="6"/>
  <c r="CI850" i="6"/>
  <c r="CI851" i="6"/>
  <c r="CI852" i="6"/>
  <c r="CI853" i="6"/>
  <c r="CI854" i="6"/>
  <c r="CI855" i="6"/>
  <c r="CI856" i="6"/>
  <c r="CI857" i="6"/>
  <c r="CI858" i="6"/>
  <c r="CI859" i="6"/>
  <c r="CI860" i="6"/>
  <c r="CI794" i="6"/>
  <c r="CI795" i="6"/>
  <c r="CI796" i="6"/>
  <c r="CI797" i="6"/>
  <c r="CI798" i="6"/>
  <c r="CI801" i="6"/>
  <c r="CI802" i="6"/>
  <c r="CI803" i="6"/>
  <c r="CI804" i="6"/>
  <c r="CI805" i="6"/>
  <c r="CI806" i="6"/>
  <c r="CI807" i="6"/>
  <c r="CI808" i="6"/>
  <c r="CI809" i="6"/>
  <c r="CI810" i="6"/>
  <c r="CI811" i="6"/>
  <c r="CI812" i="6"/>
  <c r="CI813" i="6"/>
  <c r="CI814" i="6"/>
  <c r="CI815" i="6"/>
  <c r="CI816" i="6"/>
  <c r="CI817" i="6"/>
  <c r="CI818" i="6"/>
  <c r="CI819" i="6"/>
  <c r="CI820" i="6"/>
  <c r="CI821" i="6"/>
  <c r="CI822" i="6"/>
  <c r="CI823" i="6"/>
  <c r="CI824" i="6"/>
  <c r="CI825" i="6"/>
  <c r="CI826" i="6"/>
  <c r="CI827" i="6"/>
  <c r="CI737" i="6"/>
  <c r="CI738" i="6"/>
  <c r="CI739" i="6"/>
  <c r="CI740" i="6"/>
  <c r="CI741" i="6"/>
  <c r="CI742" i="6"/>
  <c r="CI743" i="6"/>
  <c r="CI744" i="6"/>
  <c r="CI745" i="6"/>
  <c r="CI746" i="6"/>
  <c r="CI747" i="6"/>
  <c r="CI748" i="6"/>
  <c r="CI749" i="6"/>
  <c r="CI799" i="6"/>
  <c r="CI800" i="6"/>
  <c r="CI725" i="6"/>
  <c r="CI726" i="6"/>
  <c r="CI727" i="6"/>
  <c r="CI728" i="6"/>
  <c r="CI729" i="6"/>
  <c r="CI730" i="6"/>
  <c r="CI731" i="6"/>
  <c r="CI732" i="6"/>
  <c r="CI752" i="6"/>
  <c r="CI753" i="6"/>
  <c r="CI754" i="6"/>
  <c r="CI755" i="6"/>
  <c r="CI756" i="6"/>
  <c r="CI751" i="6"/>
  <c r="CI654" i="6"/>
  <c r="CI655" i="6"/>
  <c r="CI656" i="6"/>
  <c r="CI657" i="6"/>
  <c r="CI685" i="6"/>
  <c r="CI686" i="6"/>
  <c r="CI687" i="6"/>
  <c r="CI688" i="6"/>
  <c r="CI689" i="6"/>
  <c r="CI690" i="6"/>
  <c r="CI691" i="6"/>
  <c r="CI692" i="6"/>
  <c r="CI693" i="6"/>
  <c r="CI694" i="6"/>
  <c r="CI695" i="6"/>
  <c r="CI696" i="6"/>
  <c r="CI697" i="6"/>
  <c r="CI702" i="6"/>
  <c r="CI703" i="6"/>
  <c r="CI704" i="6"/>
  <c r="CI705" i="6"/>
  <c r="CI710" i="6"/>
  <c r="CI711" i="6"/>
  <c r="CI716" i="6"/>
  <c r="CI717" i="6"/>
  <c r="CI718" i="6"/>
  <c r="CI662" i="6"/>
  <c r="CI663" i="6"/>
  <c r="CI664" i="6"/>
  <c r="CI665" i="6"/>
  <c r="CI666" i="6"/>
  <c r="CI667" i="6"/>
  <c r="CI668" i="6"/>
  <c r="CI669" i="6"/>
  <c r="CI670" i="6"/>
  <c r="CI671" i="6"/>
  <c r="CI672" i="6"/>
  <c r="CI673" i="6"/>
  <c r="CI674" i="6"/>
  <c r="CI675" i="6"/>
  <c r="CI676" i="6"/>
  <c r="CI677" i="6"/>
  <c r="CI678" i="6"/>
  <c r="CI679" i="6"/>
  <c r="CI680" i="6"/>
  <c r="CI757" i="6"/>
  <c r="CI758" i="6"/>
  <c r="CI759" i="6"/>
  <c r="CI760" i="6"/>
  <c r="CI761" i="6"/>
  <c r="CI762" i="6"/>
  <c r="CI763" i="6"/>
  <c r="CI764" i="6"/>
  <c r="CI765" i="6"/>
  <c r="CI766" i="6"/>
  <c r="CI767" i="6"/>
  <c r="CI768" i="6"/>
  <c r="CI769" i="6"/>
  <c r="CI770" i="6"/>
  <c r="CI771" i="6"/>
  <c r="CI772" i="6"/>
  <c r="CI773" i="6"/>
  <c r="CI774" i="6"/>
  <c r="CI596" i="6"/>
  <c r="CI598" i="6"/>
  <c r="CI600" i="6"/>
  <c r="CI602" i="6"/>
  <c r="CI604" i="6"/>
  <c r="CI606" i="6"/>
  <c r="CI608" i="6"/>
  <c r="CI610" i="6"/>
  <c r="CI543" i="6"/>
  <c r="CI544" i="6"/>
  <c r="CI545" i="6"/>
  <c r="CI546" i="6"/>
  <c r="CI547" i="6"/>
  <c r="CI548" i="6"/>
  <c r="CI549" i="6"/>
  <c r="CI550" i="6"/>
  <c r="CI551" i="6"/>
  <c r="CI552" i="6"/>
  <c r="CI553" i="6"/>
  <c r="CI554" i="6"/>
  <c r="CI555" i="6"/>
  <c r="CI556" i="6"/>
  <c r="CI557" i="6"/>
  <c r="CI558" i="6"/>
  <c r="CI559" i="6"/>
  <c r="CI560" i="6"/>
  <c r="CI561" i="6"/>
  <c r="CI562" i="6"/>
  <c r="CI563" i="6"/>
  <c r="CI564" i="6"/>
  <c r="CI565" i="6"/>
  <c r="CI566" i="6"/>
  <c r="CI567" i="6"/>
  <c r="CI568" i="6"/>
  <c r="CI569" i="6"/>
  <c r="CI570" i="6"/>
  <c r="CI571" i="6"/>
  <c r="CI572" i="6"/>
  <c r="CI573" i="6"/>
  <c r="CI574" i="6"/>
  <c r="CI575" i="6"/>
  <c r="CI576" i="6"/>
  <c r="CI577" i="6"/>
  <c r="CI578" i="6"/>
  <c r="CI579" i="6"/>
  <c r="CI580" i="6"/>
  <c r="CI581" i="6"/>
  <c r="CI582" i="6"/>
  <c r="CI583" i="6"/>
  <c r="CI584" i="6"/>
  <c r="CI585" i="6"/>
  <c r="CI586" i="6"/>
  <c r="CI587" i="6"/>
  <c r="CI588" i="6"/>
  <c r="CI489" i="6"/>
  <c r="CI490" i="6"/>
  <c r="CI491" i="6"/>
  <c r="CI492" i="6"/>
  <c r="CI493" i="6"/>
  <c r="CI494" i="6"/>
  <c r="CI495" i="6"/>
  <c r="CI496" i="6"/>
  <c r="CI363" i="6"/>
  <c r="CI364" i="6"/>
  <c r="CI365" i="6"/>
  <c r="CI649" i="6"/>
  <c r="CI651" i="6"/>
  <c r="CI653" i="6"/>
  <c r="CI597" i="6"/>
  <c r="CI601" i="6"/>
  <c r="CI605" i="6"/>
  <c r="CI609" i="6"/>
  <c r="CI589" i="6"/>
  <c r="CI590" i="6"/>
  <c r="CI591" i="6"/>
  <c r="CI501" i="6"/>
  <c r="CI502" i="6"/>
  <c r="CI503" i="6"/>
  <c r="CI504" i="6"/>
  <c r="CI505" i="6"/>
  <c r="CI506" i="6"/>
  <c r="CI507" i="6"/>
  <c r="CI508" i="6"/>
  <c r="CI509" i="6"/>
  <c r="CI510" i="6"/>
  <c r="CI511" i="6"/>
  <c r="CI512" i="6"/>
  <c r="CI513" i="6"/>
  <c r="CI514" i="6"/>
  <c r="CI515" i="6"/>
  <c r="CI516" i="6"/>
  <c r="CI517" i="6"/>
  <c r="CI518" i="6"/>
  <c r="CI519" i="6"/>
  <c r="CI520" i="6"/>
  <c r="CI521" i="6"/>
  <c r="CI522" i="6"/>
  <c r="CI523" i="6"/>
  <c r="CI524" i="6"/>
  <c r="CI525" i="6"/>
  <c r="CI526" i="6"/>
  <c r="CI527" i="6"/>
  <c r="CI528" i="6"/>
  <c r="CI529" i="6"/>
  <c r="CI530" i="6"/>
  <c r="CI531" i="6"/>
  <c r="CI532" i="6"/>
  <c r="CI533" i="6"/>
  <c r="CI534" i="6"/>
  <c r="CI535" i="6"/>
  <c r="CI536" i="6"/>
  <c r="CI537" i="6"/>
  <c r="CI538" i="6"/>
  <c r="CI366" i="6"/>
  <c r="CI367" i="6"/>
  <c r="CI371" i="6"/>
  <c r="CI372" i="6"/>
  <c r="CI373" i="6"/>
  <c r="CI374" i="6"/>
  <c r="CI377" i="6"/>
  <c r="CI378" i="6"/>
  <c r="CI379" i="6"/>
  <c r="CI380" i="6"/>
  <c r="CI381" i="6"/>
  <c r="CI382" i="6"/>
  <c r="CI383" i="6"/>
  <c r="CI384" i="6"/>
  <c r="CI385" i="6"/>
  <c r="CI386" i="6"/>
  <c r="CI387" i="6"/>
  <c r="CI388" i="6"/>
  <c r="CI389" i="6"/>
  <c r="CI390" i="6"/>
  <c r="CI391" i="6"/>
  <c r="CI392" i="6"/>
  <c r="CI393" i="6"/>
  <c r="CI394" i="6"/>
  <c r="CI395" i="6"/>
  <c r="CI396" i="6"/>
  <c r="CI397" i="6"/>
  <c r="CI398" i="6"/>
  <c r="CI399" i="6"/>
  <c r="CI400" i="6"/>
  <c r="CI401" i="6"/>
  <c r="CI402" i="6"/>
  <c r="CI403" i="6"/>
  <c r="CI404" i="6"/>
  <c r="CI405" i="6"/>
  <c r="CI406" i="6"/>
  <c r="CI407" i="6"/>
  <c r="CI408" i="6"/>
  <c r="CI307" i="6"/>
  <c r="CI308" i="6"/>
  <c r="CI309" i="6"/>
  <c r="CI310" i="6"/>
  <c r="CI311" i="6"/>
  <c r="CI312" i="6"/>
  <c r="CI313" i="6"/>
  <c r="CI314" i="6"/>
  <c r="CI315" i="6"/>
  <c r="CI316" i="6"/>
  <c r="CI317" i="6"/>
  <c r="CI318" i="6"/>
  <c r="CI319" i="6"/>
  <c r="CI320" i="6"/>
  <c r="CI321" i="6"/>
  <c r="CI322" i="6"/>
  <c r="CI323" i="6"/>
  <c r="CI324" i="6"/>
  <c r="CI325" i="6"/>
  <c r="CI326" i="6"/>
  <c r="CI327" i="6"/>
  <c r="CI328" i="6"/>
  <c r="CI329" i="6"/>
  <c r="CI330" i="6"/>
  <c r="CI331" i="6"/>
  <c r="CI332" i="6"/>
  <c r="CI333" i="6"/>
  <c r="CI334" i="6"/>
  <c r="CI335" i="6"/>
  <c r="CI336" i="6"/>
  <c r="CI337" i="6"/>
  <c r="CI338" i="6"/>
  <c r="CI339" i="6"/>
  <c r="CI340" i="6"/>
  <c r="CI341" i="6"/>
  <c r="CI342" i="6"/>
  <c r="CI343" i="6"/>
  <c r="CI344" i="6"/>
  <c r="CI345" i="6"/>
  <c r="CI346" i="6"/>
  <c r="CI347" i="6"/>
  <c r="CI348" i="6"/>
  <c r="CI349" i="6"/>
  <c r="CI350" i="6"/>
  <c r="CI351" i="6"/>
  <c r="CI352" i="6"/>
  <c r="CI353" i="6"/>
  <c r="CI354" i="6"/>
  <c r="CI355" i="6"/>
  <c r="CI266" i="6"/>
  <c r="CI599" i="6"/>
  <c r="CI607" i="6"/>
  <c r="CI750" i="6"/>
  <c r="CI449" i="6"/>
  <c r="CI450" i="6"/>
  <c r="CI451" i="6"/>
  <c r="CI452" i="6"/>
  <c r="CI453" i="6"/>
  <c r="CI454" i="6"/>
  <c r="CI455" i="6"/>
  <c r="CI456" i="6"/>
  <c r="CI457" i="6"/>
  <c r="CI458" i="6"/>
  <c r="CI459" i="6"/>
  <c r="CI460" i="6"/>
  <c r="CI461" i="6"/>
  <c r="CI466" i="6"/>
  <c r="CI467" i="6"/>
  <c r="CI468" i="6"/>
  <c r="CI469" i="6"/>
  <c r="CI475" i="6"/>
  <c r="CI480" i="6"/>
  <c r="CI481" i="6"/>
  <c r="CI482" i="6"/>
  <c r="CI426" i="6"/>
  <c r="CI427" i="6"/>
  <c r="CI428" i="6"/>
  <c r="CI429" i="6"/>
  <c r="CI430" i="6"/>
  <c r="CI431" i="6"/>
  <c r="CI432" i="6"/>
  <c r="CI433" i="6"/>
  <c r="CI434" i="6"/>
  <c r="CI435" i="6"/>
  <c r="CI436" i="6"/>
  <c r="CI437" i="6"/>
  <c r="CI438" i="6"/>
  <c r="CI439" i="6"/>
  <c r="CI440" i="6"/>
  <c r="CI441" i="6"/>
  <c r="CI442" i="6"/>
  <c r="CI443" i="6"/>
  <c r="CI444" i="6"/>
  <c r="CI413" i="6"/>
  <c r="CI414" i="6"/>
  <c r="CI415" i="6"/>
  <c r="CI416" i="6"/>
  <c r="CI417" i="6"/>
  <c r="CI418" i="6"/>
  <c r="CI419" i="6"/>
  <c r="CI420" i="6"/>
  <c r="CI421" i="6"/>
  <c r="CI369" i="6"/>
  <c r="CI370" i="6"/>
  <c r="CI650" i="6"/>
  <c r="CI652" i="6"/>
  <c r="CI603" i="6"/>
  <c r="CI474" i="6"/>
  <c r="CI360" i="6"/>
  <c r="CI362" i="6"/>
  <c r="CI267" i="6"/>
  <c r="CI268" i="6"/>
  <c r="CI269" i="6"/>
  <c r="CI270" i="6"/>
  <c r="CI271" i="6"/>
  <c r="CI272" i="6"/>
  <c r="CI273" i="6"/>
  <c r="CI274" i="6"/>
  <c r="CI275" i="6"/>
  <c r="CI276" i="6"/>
  <c r="CI277" i="6"/>
  <c r="CI278" i="6"/>
  <c r="CI279" i="6"/>
  <c r="CI280" i="6"/>
  <c r="CI281" i="6"/>
  <c r="CI282" i="6"/>
  <c r="CI283" i="6"/>
  <c r="CI284" i="6"/>
  <c r="CI285" i="6"/>
  <c r="CI286" i="6"/>
  <c r="CI287" i="6"/>
  <c r="CI288" i="6"/>
  <c r="CI289" i="6"/>
  <c r="CI290" i="6"/>
  <c r="CI291" i="6"/>
  <c r="CI292" i="6"/>
  <c r="CI293" i="6"/>
  <c r="CI294" i="6"/>
  <c r="CI295" i="6"/>
  <c r="CI296" i="6"/>
  <c r="CI297" i="6"/>
  <c r="CI298" i="6"/>
  <c r="CI299" i="6"/>
  <c r="CI300" i="6"/>
  <c r="CI301" i="6"/>
  <c r="CI302" i="6"/>
  <c r="CI253" i="6"/>
  <c r="CI254" i="6"/>
  <c r="CI255" i="6"/>
  <c r="CI256" i="6"/>
  <c r="CI257" i="6"/>
  <c r="CI258" i="6"/>
  <c r="CI259" i="6"/>
  <c r="CI260" i="6"/>
  <c r="CI265" i="6"/>
  <c r="CI361" i="6"/>
  <c r="CI611" i="6"/>
  <c r="CI615" i="6"/>
  <c r="CI619" i="6"/>
  <c r="CI621" i="6"/>
  <c r="CI625" i="6"/>
  <c r="CI629" i="6"/>
  <c r="CI633" i="6"/>
  <c r="CI637" i="6"/>
  <c r="CI639" i="6"/>
  <c r="CI376" i="6"/>
  <c r="CI612" i="6"/>
  <c r="CI614" i="6"/>
  <c r="CI616" i="6"/>
  <c r="CI618" i="6"/>
  <c r="CI620" i="6"/>
  <c r="CI622" i="6"/>
  <c r="CI624" i="6"/>
  <c r="CI626" i="6"/>
  <c r="CI628" i="6"/>
  <c r="CI630" i="6"/>
  <c r="CI632" i="6"/>
  <c r="CI634" i="6"/>
  <c r="CI636" i="6"/>
  <c r="CI638" i="6"/>
  <c r="CI640" i="6"/>
  <c r="CI642" i="6"/>
  <c r="CI644" i="6"/>
  <c r="CI368" i="6"/>
  <c r="CI375" i="6"/>
  <c r="CI613" i="6"/>
  <c r="CI617" i="6"/>
  <c r="CI623" i="6"/>
  <c r="CI627" i="6"/>
  <c r="CI631" i="6"/>
  <c r="CI635" i="6"/>
  <c r="CI641" i="6"/>
  <c r="CI643" i="6"/>
  <c r="CE1201" i="6"/>
  <c r="CE1202" i="6"/>
  <c r="CE1203" i="6"/>
  <c r="CE1204" i="6"/>
  <c r="CE1205" i="6"/>
  <c r="CE1206" i="6"/>
  <c r="CE1207" i="6"/>
  <c r="CE1208" i="6"/>
  <c r="CE1209" i="6"/>
  <c r="CE1200" i="6"/>
  <c r="CE921" i="6"/>
  <c r="CE922" i="6"/>
  <c r="CE923" i="6"/>
  <c r="CE924" i="6"/>
  <c r="CE925" i="6"/>
  <c r="CE926" i="6"/>
  <c r="CE927" i="6"/>
  <c r="CE928" i="6"/>
  <c r="CE929" i="6"/>
  <c r="CE930" i="6"/>
  <c r="CE931" i="6"/>
  <c r="CE932" i="6"/>
  <c r="CE933" i="6"/>
  <c r="CE938" i="6"/>
  <c r="CE939" i="6"/>
  <c r="CE946" i="6"/>
  <c r="CE947" i="6"/>
  <c r="CE952" i="6"/>
  <c r="CE953" i="6"/>
  <c r="CE940" i="6"/>
  <c r="CE941" i="6"/>
  <c r="CE954" i="6"/>
  <c r="CE898" i="6"/>
  <c r="CE899" i="6"/>
  <c r="CE900" i="6"/>
  <c r="CE901" i="6"/>
  <c r="CE902" i="6"/>
  <c r="CE903" i="6"/>
  <c r="CE904" i="6"/>
  <c r="CE905" i="6"/>
  <c r="CE906" i="6"/>
  <c r="CE907" i="6"/>
  <c r="CE908" i="6"/>
  <c r="CE909" i="6"/>
  <c r="CE910" i="6"/>
  <c r="CE916" i="6"/>
  <c r="CE885" i="6"/>
  <c r="CE886" i="6"/>
  <c r="CE887" i="6"/>
  <c r="CE888" i="6"/>
  <c r="CE889" i="6"/>
  <c r="CE890" i="6"/>
  <c r="CE891" i="6"/>
  <c r="CE892" i="6"/>
  <c r="CE893" i="6"/>
  <c r="CE832" i="6"/>
  <c r="CE833" i="6"/>
  <c r="CE834" i="6"/>
  <c r="CE835" i="6"/>
  <c r="CE836" i="6"/>
  <c r="CE837" i="6"/>
  <c r="CE838" i="6"/>
  <c r="CE839" i="6"/>
  <c r="CE840" i="6"/>
  <c r="CE841" i="6"/>
  <c r="CE913" i="6"/>
  <c r="CE914" i="6"/>
  <c r="CE861" i="6"/>
  <c r="CE862" i="6"/>
  <c r="CE863" i="6"/>
  <c r="CE864" i="6"/>
  <c r="CE865" i="6"/>
  <c r="CE866" i="6"/>
  <c r="CE867" i="6"/>
  <c r="CE868" i="6"/>
  <c r="CE869" i="6"/>
  <c r="CE870" i="6"/>
  <c r="CE871" i="6"/>
  <c r="CE872" i="6"/>
  <c r="CE873" i="6"/>
  <c r="CE874" i="6"/>
  <c r="CE875" i="6"/>
  <c r="CE876" i="6"/>
  <c r="CE877" i="6"/>
  <c r="CE878" i="6"/>
  <c r="CE879" i="6"/>
  <c r="CE880" i="6"/>
  <c r="CE779" i="6"/>
  <c r="CE780" i="6"/>
  <c r="CE781" i="6"/>
  <c r="CE782" i="6"/>
  <c r="CE783" i="6"/>
  <c r="CE784" i="6"/>
  <c r="CE785" i="6"/>
  <c r="CE786" i="6"/>
  <c r="CE787" i="6"/>
  <c r="CE788" i="6"/>
  <c r="CE789" i="6"/>
  <c r="CE790" i="6"/>
  <c r="CE791" i="6"/>
  <c r="CE792" i="6"/>
  <c r="CE793" i="6"/>
  <c r="CE911" i="6"/>
  <c r="CE915" i="6"/>
  <c r="CE842" i="6"/>
  <c r="CE843" i="6"/>
  <c r="CE844" i="6"/>
  <c r="CE845" i="6"/>
  <c r="CE846" i="6"/>
  <c r="CE847" i="6"/>
  <c r="CE848" i="6"/>
  <c r="CE849" i="6"/>
  <c r="CE850" i="6"/>
  <c r="CE851" i="6"/>
  <c r="CE852" i="6"/>
  <c r="CE853" i="6"/>
  <c r="CE854" i="6"/>
  <c r="CE855" i="6"/>
  <c r="CE856" i="6"/>
  <c r="CE857" i="6"/>
  <c r="CE858" i="6"/>
  <c r="CE859" i="6"/>
  <c r="CE860" i="6"/>
  <c r="CE912" i="6"/>
  <c r="CE794" i="6"/>
  <c r="CE796" i="6"/>
  <c r="CE798" i="6"/>
  <c r="CE801" i="6"/>
  <c r="CE802" i="6"/>
  <c r="CE803" i="6"/>
  <c r="CE804" i="6"/>
  <c r="CE805" i="6"/>
  <c r="CE806" i="6"/>
  <c r="CE807" i="6"/>
  <c r="CE808" i="6"/>
  <c r="CE809" i="6"/>
  <c r="CE810" i="6"/>
  <c r="CE811" i="6"/>
  <c r="CE812" i="6"/>
  <c r="CE813" i="6"/>
  <c r="CE814" i="6"/>
  <c r="CE815" i="6"/>
  <c r="CE816" i="6"/>
  <c r="CE817" i="6"/>
  <c r="CE818" i="6"/>
  <c r="CE819" i="6"/>
  <c r="CE820" i="6"/>
  <c r="CE821" i="6"/>
  <c r="CE822" i="6"/>
  <c r="CE823" i="6"/>
  <c r="CE824" i="6"/>
  <c r="CE825" i="6"/>
  <c r="CE826" i="6"/>
  <c r="CE827" i="6"/>
  <c r="CE737" i="6"/>
  <c r="CE738" i="6"/>
  <c r="CE739" i="6"/>
  <c r="CE740" i="6"/>
  <c r="CE741" i="6"/>
  <c r="CE742" i="6"/>
  <c r="CE743" i="6"/>
  <c r="CE744" i="6"/>
  <c r="CE745" i="6"/>
  <c r="CE746" i="6"/>
  <c r="CE747" i="6"/>
  <c r="CE748" i="6"/>
  <c r="CE749" i="6"/>
  <c r="CE795" i="6"/>
  <c r="CE797" i="6"/>
  <c r="CE799" i="6"/>
  <c r="CE800" i="6"/>
  <c r="CE750" i="6"/>
  <c r="CE751" i="6"/>
  <c r="CE725" i="6"/>
  <c r="CE726" i="6"/>
  <c r="CE727" i="6"/>
  <c r="CE728" i="6"/>
  <c r="CE729" i="6"/>
  <c r="CE730" i="6"/>
  <c r="CE731" i="6"/>
  <c r="CE732" i="6"/>
  <c r="CE752" i="6"/>
  <c r="CE753" i="6"/>
  <c r="CE754" i="6"/>
  <c r="CE755" i="6"/>
  <c r="CE756" i="6"/>
  <c r="CE596" i="6"/>
  <c r="CE597" i="6"/>
  <c r="CE598" i="6"/>
  <c r="CE599" i="6"/>
  <c r="CE600" i="6"/>
  <c r="CE601" i="6"/>
  <c r="CE602" i="6"/>
  <c r="CE603" i="6"/>
  <c r="CE604" i="6"/>
  <c r="CE605" i="6"/>
  <c r="CE606" i="6"/>
  <c r="CE607" i="6"/>
  <c r="CE608" i="6"/>
  <c r="CE609" i="6"/>
  <c r="CE610" i="6"/>
  <c r="CE611" i="6"/>
  <c r="CE757" i="6"/>
  <c r="CE758" i="6"/>
  <c r="CE759" i="6"/>
  <c r="CE760" i="6"/>
  <c r="CE761" i="6"/>
  <c r="CE762" i="6"/>
  <c r="CE763" i="6"/>
  <c r="CE764" i="6"/>
  <c r="CE765" i="6"/>
  <c r="CE766" i="6"/>
  <c r="CE767" i="6"/>
  <c r="CE768" i="6"/>
  <c r="CE769" i="6"/>
  <c r="CE770" i="6"/>
  <c r="CE771" i="6"/>
  <c r="CE772" i="6"/>
  <c r="CE773" i="6"/>
  <c r="CE774" i="6"/>
  <c r="CE649" i="6"/>
  <c r="CE650" i="6"/>
  <c r="CE651" i="6"/>
  <c r="CE652" i="6"/>
  <c r="CE653" i="6"/>
  <c r="CE654" i="6"/>
  <c r="CE655" i="6"/>
  <c r="CE656" i="6"/>
  <c r="CE657" i="6"/>
  <c r="CE685" i="6"/>
  <c r="CE686" i="6"/>
  <c r="CE687" i="6"/>
  <c r="CE688" i="6"/>
  <c r="CE689" i="6"/>
  <c r="CE690" i="6"/>
  <c r="CE691" i="6"/>
  <c r="CE692" i="6"/>
  <c r="CE693" i="6"/>
  <c r="CE694" i="6"/>
  <c r="CE695" i="6"/>
  <c r="CE696" i="6"/>
  <c r="CE697" i="6"/>
  <c r="CE702" i="6"/>
  <c r="CE703" i="6"/>
  <c r="CE704" i="6"/>
  <c r="CE705" i="6"/>
  <c r="CE710" i="6"/>
  <c r="CE711" i="6"/>
  <c r="CE716" i="6"/>
  <c r="CE717" i="6"/>
  <c r="CE718" i="6"/>
  <c r="CE662" i="6"/>
  <c r="CE663" i="6"/>
  <c r="CE664" i="6"/>
  <c r="CE665" i="6"/>
  <c r="CE666" i="6"/>
  <c r="CE667" i="6"/>
  <c r="CE668" i="6"/>
  <c r="CE669" i="6"/>
  <c r="CE670" i="6"/>
  <c r="CE671" i="6"/>
  <c r="CE672" i="6"/>
  <c r="CE673" i="6"/>
  <c r="CE674" i="6"/>
  <c r="CE675" i="6"/>
  <c r="CE676" i="6"/>
  <c r="CE677" i="6"/>
  <c r="CE678" i="6"/>
  <c r="CE679" i="6"/>
  <c r="CE680" i="6"/>
  <c r="CE612" i="6"/>
  <c r="CE613" i="6"/>
  <c r="CE614" i="6"/>
  <c r="CE615" i="6"/>
  <c r="CE616" i="6"/>
  <c r="CE617" i="6"/>
  <c r="CE618" i="6"/>
  <c r="CE619" i="6"/>
  <c r="CE620" i="6"/>
  <c r="CE621" i="6"/>
  <c r="CE622" i="6"/>
  <c r="CE623" i="6"/>
  <c r="CE624" i="6"/>
  <c r="CE625" i="6"/>
  <c r="CE626" i="6"/>
  <c r="CE627" i="6"/>
  <c r="CE628" i="6"/>
  <c r="CE629" i="6"/>
  <c r="CE630" i="6"/>
  <c r="CE631" i="6"/>
  <c r="CE632" i="6"/>
  <c r="CE633" i="6"/>
  <c r="CE634" i="6"/>
  <c r="CE635" i="6"/>
  <c r="CE636" i="6"/>
  <c r="CE637" i="6"/>
  <c r="CE638" i="6"/>
  <c r="CE639" i="6"/>
  <c r="CE640" i="6"/>
  <c r="CE641" i="6"/>
  <c r="CE642" i="6"/>
  <c r="CE643" i="6"/>
  <c r="CE644" i="6"/>
  <c r="CE489" i="6"/>
  <c r="CE490" i="6"/>
  <c r="CE491" i="6"/>
  <c r="CE492" i="6"/>
  <c r="CE493" i="6"/>
  <c r="CE494" i="6"/>
  <c r="CE495" i="6"/>
  <c r="CE496" i="6"/>
  <c r="CE363" i="6"/>
  <c r="CE364" i="6"/>
  <c r="CE365" i="6"/>
  <c r="CE567" i="6"/>
  <c r="CE569" i="6"/>
  <c r="CE571" i="6"/>
  <c r="CE573" i="6"/>
  <c r="CE575" i="6"/>
  <c r="CE577" i="6"/>
  <c r="CE579" i="6"/>
  <c r="CE581" i="6"/>
  <c r="CE583" i="6"/>
  <c r="CE585" i="6"/>
  <c r="CE587" i="6"/>
  <c r="CE474" i="6"/>
  <c r="CE360" i="6"/>
  <c r="CE361" i="6"/>
  <c r="CE362" i="6"/>
  <c r="CE375" i="6"/>
  <c r="CE312" i="6"/>
  <c r="CE313" i="6"/>
  <c r="CE314" i="6"/>
  <c r="CE315" i="6"/>
  <c r="CE316" i="6"/>
  <c r="CE317" i="6"/>
  <c r="CE318" i="6"/>
  <c r="CE319" i="6"/>
  <c r="CE320" i="6"/>
  <c r="CE321" i="6"/>
  <c r="CE322" i="6"/>
  <c r="CE323" i="6"/>
  <c r="CE324" i="6"/>
  <c r="CE325" i="6"/>
  <c r="CE326" i="6"/>
  <c r="CE327" i="6"/>
  <c r="CE328" i="6"/>
  <c r="CE329" i="6"/>
  <c r="CE330" i="6"/>
  <c r="CE331" i="6"/>
  <c r="CE332" i="6"/>
  <c r="CE333" i="6"/>
  <c r="CE334" i="6"/>
  <c r="CE335" i="6"/>
  <c r="CE336" i="6"/>
  <c r="CE337" i="6"/>
  <c r="CE338" i="6"/>
  <c r="CE339" i="6"/>
  <c r="CE340" i="6"/>
  <c r="CE341" i="6"/>
  <c r="CE342" i="6"/>
  <c r="CE343" i="6"/>
  <c r="CE344" i="6"/>
  <c r="CE345" i="6"/>
  <c r="CE346" i="6"/>
  <c r="CE347" i="6"/>
  <c r="CE348" i="6"/>
  <c r="CE349" i="6"/>
  <c r="CE350" i="6"/>
  <c r="CE351" i="6"/>
  <c r="CE352" i="6"/>
  <c r="CE353" i="6"/>
  <c r="CE354" i="6"/>
  <c r="CE355" i="6"/>
  <c r="CE266" i="6"/>
  <c r="CE543" i="6"/>
  <c r="CE544" i="6"/>
  <c r="CE545" i="6"/>
  <c r="CE546" i="6"/>
  <c r="CE547" i="6"/>
  <c r="CE548" i="6"/>
  <c r="CE549" i="6"/>
  <c r="CE550" i="6"/>
  <c r="CE551" i="6"/>
  <c r="CE552" i="6"/>
  <c r="CE553" i="6"/>
  <c r="CE554" i="6"/>
  <c r="CE555" i="6"/>
  <c r="CE556" i="6"/>
  <c r="CE557" i="6"/>
  <c r="CE558" i="6"/>
  <c r="CE559" i="6"/>
  <c r="CE560" i="6"/>
  <c r="CE561" i="6"/>
  <c r="CE562" i="6"/>
  <c r="CE563" i="6"/>
  <c r="CE564" i="6"/>
  <c r="CE565" i="6"/>
  <c r="CE366" i="6"/>
  <c r="CE367" i="6"/>
  <c r="CE371" i="6"/>
  <c r="CE372" i="6"/>
  <c r="CE373" i="6"/>
  <c r="CE374" i="6"/>
  <c r="CE377" i="6"/>
  <c r="CE378" i="6"/>
  <c r="CE379" i="6"/>
  <c r="CE380" i="6"/>
  <c r="CE381" i="6"/>
  <c r="CE382" i="6"/>
  <c r="CE383" i="6"/>
  <c r="CE384" i="6"/>
  <c r="CE385" i="6"/>
  <c r="CE386" i="6"/>
  <c r="CE387" i="6"/>
  <c r="CE388" i="6"/>
  <c r="CE389" i="6"/>
  <c r="CE390" i="6"/>
  <c r="CE391" i="6"/>
  <c r="CE392" i="6"/>
  <c r="CE393" i="6"/>
  <c r="CE394" i="6"/>
  <c r="CE395" i="6"/>
  <c r="CE396" i="6"/>
  <c r="CE397" i="6"/>
  <c r="CE398" i="6"/>
  <c r="CE399" i="6"/>
  <c r="CE400" i="6"/>
  <c r="CE401" i="6"/>
  <c r="CE402" i="6"/>
  <c r="CE403" i="6"/>
  <c r="CE404" i="6"/>
  <c r="CE405" i="6"/>
  <c r="CE406" i="6"/>
  <c r="CE407" i="6"/>
  <c r="CE408" i="6"/>
  <c r="CE307" i="6"/>
  <c r="CE308" i="6"/>
  <c r="CE309" i="6"/>
  <c r="CE310" i="6"/>
  <c r="CE311" i="6"/>
  <c r="CE449" i="6"/>
  <c r="CE450" i="6"/>
  <c r="CE451" i="6"/>
  <c r="CE452" i="6"/>
  <c r="CE453" i="6"/>
  <c r="CE454" i="6"/>
  <c r="CE455" i="6"/>
  <c r="CE456" i="6"/>
  <c r="CE457" i="6"/>
  <c r="CE458" i="6"/>
  <c r="CE459" i="6"/>
  <c r="CE460" i="6"/>
  <c r="CE461" i="6"/>
  <c r="CE466" i="6"/>
  <c r="CE467" i="6"/>
  <c r="CE468" i="6"/>
  <c r="CE368" i="6"/>
  <c r="CE376" i="6"/>
  <c r="CE267" i="6"/>
  <c r="CE271" i="6"/>
  <c r="CE275" i="6"/>
  <c r="CE276" i="6"/>
  <c r="CE277" i="6"/>
  <c r="CE279" i="6"/>
  <c r="CE281" i="6"/>
  <c r="CE284" i="6"/>
  <c r="CE285" i="6"/>
  <c r="CE286" i="6"/>
  <c r="CE287" i="6"/>
  <c r="CE288" i="6"/>
  <c r="CE289" i="6"/>
  <c r="CE290" i="6"/>
  <c r="CE291" i="6"/>
  <c r="CE292" i="6"/>
  <c r="CE293" i="6"/>
  <c r="CE294" i="6"/>
  <c r="CE295" i="6"/>
  <c r="CE298" i="6"/>
  <c r="CE299" i="6"/>
  <c r="CE300" i="6"/>
  <c r="CE302" i="6"/>
  <c r="CE253" i="6"/>
  <c r="CE254" i="6"/>
  <c r="CE255" i="6"/>
  <c r="CE256" i="6"/>
  <c r="CE257" i="6"/>
  <c r="CE258" i="6"/>
  <c r="CE259" i="6"/>
  <c r="CE260" i="6"/>
  <c r="CE578" i="6"/>
  <c r="CE582" i="6"/>
  <c r="CE586" i="6"/>
  <c r="CE590" i="6"/>
  <c r="CE503" i="6"/>
  <c r="CE506" i="6"/>
  <c r="CE508" i="6"/>
  <c r="CE510" i="6"/>
  <c r="CE512" i="6"/>
  <c r="CE515" i="6"/>
  <c r="CE517" i="6"/>
  <c r="CE518" i="6"/>
  <c r="CE520" i="6"/>
  <c r="CE521" i="6"/>
  <c r="CE523" i="6"/>
  <c r="CE525" i="6"/>
  <c r="CE526" i="6"/>
  <c r="CE528" i="6"/>
  <c r="CE530" i="6"/>
  <c r="CE531" i="6"/>
  <c r="CE533" i="6"/>
  <c r="CE534" i="6"/>
  <c r="CE536" i="6"/>
  <c r="CE537" i="6"/>
  <c r="CE475" i="6"/>
  <c r="CE481" i="6"/>
  <c r="CE426" i="6"/>
  <c r="CE430" i="6"/>
  <c r="CE434" i="6"/>
  <c r="CE436" i="6"/>
  <c r="CE440" i="6"/>
  <c r="CE444" i="6"/>
  <c r="CE414" i="6"/>
  <c r="CE416" i="6"/>
  <c r="CE418" i="6"/>
  <c r="CE420" i="6"/>
  <c r="CE370" i="6"/>
  <c r="CE265" i="6"/>
  <c r="CE568" i="6"/>
  <c r="CE572" i="6"/>
  <c r="CE576" i="6"/>
  <c r="CE580" i="6"/>
  <c r="CE584" i="6"/>
  <c r="CE588" i="6"/>
  <c r="CE469" i="6"/>
  <c r="CE480" i="6"/>
  <c r="CE482" i="6"/>
  <c r="CE427" i="6"/>
  <c r="CE429" i="6"/>
  <c r="CE431" i="6"/>
  <c r="CE433" i="6"/>
  <c r="CE435" i="6"/>
  <c r="CE437" i="6"/>
  <c r="CE439" i="6"/>
  <c r="CE441" i="6"/>
  <c r="CE443" i="6"/>
  <c r="CE413" i="6"/>
  <c r="CE415" i="6"/>
  <c r="CE417" i="6"/>
  <c r="CE419" i="6"/>
  <c r="CE421" i="6"/>
  <c r="CE369" i="6"/>
  <c r="CE268" i="6"/>
  <c r="CE269" i="6"/>
  <c r="CE270" i="6"/>
  <c r="CE272" i="6"/>
  <c r="CE273" i="6"/>
  <c r="CE274" i="6"/>
  <c r="CE278" i="6"/>
  <c r="CE280" i="6"/>
  <c r="CE282" i="6"/>
  <c r="CE283" i="6"/>
  <c r="CE296" i="6"/>
  <c r="CE297" i="6"/>
  <c r="CE301" i="6"/>
  <c r="CE566" i="6"/>
  <c r="CE570" i="6"/>
  <c r="CE574" i="6"/>
  <c r="CE589" i="6"/>
  <c r="CE591" i="6"/>
  <c r="CE501" i="6"/>
  <c r="CE502" i="6"/>
  <c r="CE504" i="6"/>
  <c r="CE505" i="6"/>
  <c r="CE507" i="6"/>
  <c r="CE509" i="6"/>
  <c r="CE511" i="6"/>
  <c r="CE513" i="6"/>
  <c r="CE514" i="6"/>
  <c r="CE516" i="6"/>
  <c r="CE519" i="6"/>
  <c r="CE522" i="6"/>
  <c r="CE524" i="6"/>
  <c r="CE527" i="6"/>
  <c r="CE529" i="6"/>
  <c r="CE532" i="6"/>
  <c r="CE535" i="6"/>
  <c r="CE538" i="6"/>
  <c r="CE428" i="6"/>
  <c r="CE432" i="6"/>
  <c r="CE438" i="6"/>
  <c r="CE442" i="6"/>
  <c r="CA1201" i="6"/>
  <c r="CA1202" i="6"/>
  <c r="CA1203" i="6"/>
  <c r="CA1204" i="6"/>
  <c r="CA1205" i="6"/>
  <c r="CA1206" i="6"/>
  <c r="CA1207" i="6"/>
  <c r="CA1208" i="6"/>
  <c r="CA922" i="6"/>
  <c r="CA923" i="6"/>
  <c r="CA924" i="6"/>
  <c r="CA1209" i="6"/>
  <c r="CA1200" i="6"/>
  <c r="CA921" i="6"/>
  <c r="CA925" i="6"/>
  <c r="CA926" i="6"/>
  <c r="CA927" i="6"/>
  <c r="CA928" i="6"/>
  <c r="CA929" i="6"/>
  <c r="CA930" i="6"/>
  <c r="CA931" i="6"/>
  <c r="CA932" i="6"/>
  <c r="CA933" i="6"/>
  <c r="CA938" i="6"/>
  <c r="CA939" i="6"/>
  <c r="CA946" i="6"/>
  <c r="CA947" i="6"/>
  <c r="CA952" i="6"/>
  <c r="CA953" i="6"/>
  <c r="CA941" i="6"/>
  <c r="CA954" i="6"/>
  <c r="CA898" i="6"/>
  <c r="CA899" i="6"/>
  <c r="CA900" i="6"/>
  <c r="CA901" i="6"/>
  <c r="CA902" i="6"/>
  <c r="CA903" i="6"/>
  <c r="CA904" i="6"/>
  <c r="CA905" i="6"/>
  <c r="CA906" i="6"/>
  <c r="CA907" i="6"/>
  <c r="CA908" i="6"/>
  <c r="CA909" i="6"/>
  <c r="CA910" i="6"/>
  <c r="CA911" i="6"/>
  <c r="CA912" i="6"/>
  <c r="CA913" i="6"/>
  <c r="CA914" i="6"/>
  <c r="CA915" i="6"/>
  <c r="CA940" i="6"/>
  <c r="CA916" i="6"/>
  <c r="CA885" i="6"/>
  <c r="CA886" i="6"/>
  <c r="CA887" i="6"/>
  <c r="CA888" i="6"/>
  <c r="CA889" i="6"/>
  <c r="CA890" i="6"/>
  <c r="CA891" i="6"/>
  <c r="CA892" i="6"/>
  <c r="CA893" i="6"/>
  <c r="CA832" i="6"/>
  <c r="CA833" i="6"/>
  <c r="CA834" i="6"/>
  <c r="CA835" i="6"/>
  <c r="CA836" i="6"/>
  <c r="CA837" i="6"/>
  <c r="CA838" i="6"/>
  <c r="CA839" i="6"/>
  <c r="CA840" i="6"/>
  <c r="CA841" i="6"/>
  <c r="CA862" i="6"/>
  <c r="CA863" i="6"/>
  <c r="CA864" i="6"/>
  <c r="CA865" i="6"/>
  <c r="CA866" i="6"/>
  <c r="CA867" i="6"/>
  <c r="CA868" i="6"/>
  <c r="CA869" i="6"/>
  <c r="CA870" i="6"/>
  <c r="CA871" i="6"/>
  <c r="CA872" i="6"/>
  <c r="CA873" i="6"/>
  <c r="CA874" i="6"/>
  <c r="CA875" i="6"/>
  <c r="CA876" i="6"/>
  <c r="CA877" i="6"/>
  <c r="CA878" i="6"/>
  <c r="CA879" i="6"/>
  <c r="CA880" i="6"/>
  <c r="CA779" i="6"/>
  <c r="CA780" i="6"/>
  <c r="CA781" i="6"/>
  <c r="CA782" i="6"/>
  <c r="CA783" i="6"/>
  <c r="CA784" i="6"/>
  <c r="CA785" i="6"/>
  <c r="CA786" i="6"/>
  <c r="CA787" i="6"/>
  <c r="CA788" i="6"/>
  <c r="CA789" i="6"/>
  <c r="CA790" i="6"/>
  <c r="CA791" i="6"/>
  <c r="CA792" i="6"/>
  <c r="CA793" i="6"/>
  <c r="CA842" i="6"/>
  <c r="CA843" i="6"/>
  <c r="CA844" i="6"/>
  <c r="CA845" i="6"/>
  <c r="CA846" i="6"/>
  <c r="CA847" i="6"/>
  <c r="CA848" i="6"/>
  <c r="CA849" i="6"/>
  <c r="CA850" i="6"/>
  <c r="CA851" i="6"/>
  <c r="CA852" i="6"/>
  <c r="CA853" i="6"/>
  <c r="CA854" i="6"/>
  <c r="CA855" i="6"/>
  <c r="CA856" i="6"/>
  <c r="CA857" i="6"/>
  <c r="CA858" i="6"/>
  <c r="CA859" i="6"/>
  <c r="CA860" i="6"/>
  <c r="CA861" i="6"/>
  <c r="CA801" i="6"/>
  <c r="CA802" i="6"/>
  <c r="CA803" i="6"/>
  <c r="CA804" i="6"/>
  <c r="CA805" i="6"/>
  <c r="CA806" i="6"/>
  <c r="CA807" i="6"/>
  <c r="CA808" i="6"/>
  <c r="CA809" i="6"/>
  <c r="CA810" i="6"/>
  <c r="CA811" i="6"/>
  <c r="CA812" i="6"/>
  <c r="CA813" i="6"/>
  <c r="CA814" i="6"/>
  <c r="CA815" i="6"/>
  <c r="CA816" i="6"/>
  <c r="CA817" i="6"/>
  <c r="CA818" i="6"/>
  <c r="CA819" i="6"/>
  <c r="CA820" i="6"/>
  <c r="CA821" i="6"/>
  <c r="CA822" i="6"/>
  <c r="CA823" i="6"/>
  <c r="CA824" i="6"/>
  <c r="CA825" i="6"/>
  <c r="CA826" i="6"/>
  <c r="CA827" i="6"/>
  <c r="CA737" i="6"/>
  <c r="CA738" i="6"/>
  <c r="CA739" i="6"/>
  <c r="CA740" i="6"/>
  <c r="CA741" i="6"/>
  <c r="CA742" i="6"/>
  <c r="CA743" i="6"/>
  <c r="CA744" i="6"/>
  <c r="CA745" i="6"/>
  <c r="CA746" i="6"/>
  <c r="CA747" i="6"/>
  <c r="CA748" i="6"/>
  <c r="CA749" i="6"/>
  <c r="CA795" i="6"/>
  <c r="CA797" i="6"/>
  <c r="CA796" i="6"/>
  <c r="CA799" i="6"/>
  <c r="CA798" i="6"/>
  <c r="CA800" i="6"/>
  <c r="CA750" i="6"/>
  <c r="CA751" i="6"/>
  <c r="CA725" i="6"/>
  <c r="CA726" i="6"/>
  <c r="CA727" i="6"/>
  <c r="CA728" i="6"/>
  <c r="CA729" i="6"/>
  <c r="CA730" i="6"/>
  <c r="CA731" i="6"/>
  <c r="CA732" i="6"/>
  <c r="CA752" i="6"/>
  <c r="CA753" i="6"/>
  <c r="CA754" i="6"/>
  <c r="CA755" i="6"/>
  <c r="CA756" i="6"/>
  <c r="CA794" i="6"/>
  <c r="CA685" i="6"/>
  <c r="CA686" i="6"/>
  <c r="CA687" i="6"/>
  <c r="CA688" i="6"/>
  <c r="CA689" i="6"/>
  <c r="CA690" i="6"/>
  <c r="CA691" i="6"/>
  <c r="CA692" i="6"/>
  <c r="CA693" i="6"/>
  <c r="CA694" i="6"/>
  <c r="CA695" i="6"/>
  <c r="CA696" i="6"/>
  <c r="CA697" i="6"/>
  <c r="CA702" i="6"/>
  <c r="CA703" i="6"/>
  <c r="CA704" i="6"/>
  <c r="CA705" i="6"/>
  <c r="CA710" i="6"/>
  <c r="CA711" i="6"/>
  <c r="CA716" i="6"/>
  <c r="CA717" i="6"/>
  <c r="CA718" i="6"/>
  <c r="CA662" i="6"/>
  <c r="CA663" i="6"/>
  <c r="CA664" i="6"/>
  <c r="CA665" i="6"/>
  <c r="CA666" i="6"/>
  <c r="CA667" i="6"/>
  <c r="CA668" i="6"/>
  <c r="CA669" i="6"/>
  <c r="CA670" i="6"/>
  <c r="CA671" i="6"/>
  <c r="CA672" i="6"/>
  <c r="CA673" i="6"/>
  <c r="CA674" i="6"/>
  <c r="CA675" i="6"/>
  <c r="CA676" i="6"/>
  <c r="CA677" i="6"/>
  <c r="CA678" i="6"/>
  <c r="CA679" i="6"/>
  <c r="CA680" i="6"/>
  <c r="CA596" i="6"/>
  <c r="CA597" i="6"/>
  <c r="CA598" i="6"/>
  <c r="CA599" i="6"/>
  <c r="CA600" i="6"/>
  <c r="CA601" i="6"/>
  <c r="CA602" i="6"/>
  <c r="CA603" i="6"/>
  <c r="CA604" i="6"/>
  <c r="CA605" i="6"/>
  <c r="CA606" i="6"/>
  <c r="CA607" i="6"/>
  <c r="CA608" i="6"/>
  <c r="CA609" i="6"/>
  <c r="CA610" i="6"/>
  <c r="CA611" i="6"/>
  <c r="CA649" i="6"/>
  <c r="CA650" i="6"/>
  <c r="CA651" i="6"/>
  <c r="CA652" i="6"/>
  <c r="CA653" i="6"/>
  <c r="CA655" i="6"/>
  <c r="CA657" i="6"/>
  <c r="CA543" i="6"/>
  <c r="CA544" i="6"/>
  <c r="CA545" i="6"/>
  <c r="CA546" i="6"/>
  <c r="CA547" i="6"/>
  <c r="CA548" i="6"/>
  <c r="CA549" i="6"/>
  <c r="CA550" i="6"/>
  <c r="CA551" i="6"/>
  <c r="CA552" i="6"/>
  <c r="CA553" i="6"/>
  <c r="CA554" i="6"/>
  <c r="CA555" i="6"/>
  <c r="CA556" i="6"/>
  <c r="CA557" i="6"/>
  <c r="CA558" i="6"/>
  <c r="CA559" i="6"/>
  <c r="CA560" i="6"/>
  <c r="CA561" i="6"/>
  <c r="CA562" i="6"/>
  <c r="CA563" i="6"/>
  <c r="CA564" i="6"/>
  <c r="CA565" i="6"/>
  <c r="CA489" i="6"/>
  <c r="CA490" i="6"/>
  <c r="CA491" i="6"/>
  <c r="CA492" i="6"/>
  <c r="CA493" i="6"/>
  <c r="CA494" i="6"/>
  <c r="CA495" i="6"/>
  <c r="CA496" i="6"/>
  <c r="CA363" i="6"/>
  <c r="CA364" i="6"/>
  <c r="CA365" i="6"/>
  <c r="CA612" i="6"/>
  <c r="CA613" i="6"/>
  <c r="CA614" i="6"/>
  <c r="CA615" i="6"/>
  <c r="CA616" i="6"/>
  <c r="CA617" i="6"/>
  <c r="CA618" i="6"/>
  <c r="CA619" i="6"/>
  <c r="CA620" i="6"/>
  <c r="CA621" i="6"/>
  <c r="CA622" i="6"/>
  <c r="CA623" i="6"/>
  <c r="CA624" i="6"/>
  <c r="CA625" i="6"/>
  <c r="CA626" i="6"/>
  <c r="CA627" i="6"/>
  <c r="CA628" i="6"/>
  <c r="CA629" i="6"/>
  <c r="CA630" i="6"/>
  <c r="CA631" i="6"/>
  <c r="CA632" i="6"/>
  <c r="CA633" i="6"/>
  <c r="CA634" i="6"/>
  <c r="CA635" i="6"/>
  <c r="CA636" i="6"/>
  <c r="CA637" i="6"/>
  <c r="CA638" i="6"/>
  <c r="CA639" i="6"/>
  <c r="CA640" i="6"/>
  <c r="CA641" i="6"/>
  <c r="CA642" i="6"/>
  <c r="CA643" i="6"/>
  <c r="CA644" i="6"/>
  <c r="CA589" i="6"/>
  <c r="CA590" i="6"/>
  <c r="CA591" i="6"/>
  <c r="CA501" i="6"/>
  <c r="CA502" i="6"/>
  <c r="CA503" i="6"/>
  <c r="CA504" i="6"/>
  <c r="CA505" i="6"/>
  <c r="CA506" i="6"/>
  <c r="CA507" i="6"/>
  <c r="CA508" i="6"/>
  <c r="CA509" i="6"/>
  <c r="CA510" i="6"/>
  <c r="CA511" i="6"/>
  <c r="CA512" i="6"/>
  <c r="CA513" i="6"/>
  <c r="CA514" i="6"/>
  <c r="CA515" i="6"/>
  <c r="CA516" i="6"/>
  <c r="CA517" i="6"/>
  <c r="CA518" i="6"/>
  <c r="CA519" i="6"/>
  <c r="CA520" i="6"/>
  <c r="CA521" i="6"/>
  <c r="CA522" i="6"/>
  <c r="CA523" i="6"/>
  <c r="CA524" i="6"/>
  <c r="CA525" i="6"/>
  <c r="CA526" i="6"/>
  <c r="CA527" i="6"/>
  <c r="CA528" i="6"/>
  <c r="CA529" i="6"/>
  <c r="CA530" i="6"/>
  <c r="CA531" i="6"/>
  <c r="CA532" i="6"/>
  <c r="CA533" i="6"/>
  <c r="CA534" i="6"/>
  <c r="CA535" i="6"/>
  <c r="CA536" i="6"/>
  <c r="CA537" i="6"/>
  <c r="CA538" i="6"/>
  <c r="CA368" i="6"/>
  <c r="CA376" i="6"/>
  <c r="CA312" i="6"/>
  <c r="CA313" i="6"/>
  <c r="CA314" i="6"/>
  <c r="CA315" i="6"/>
  <c r="CA316" i="6"/>
  <c r="CA317" i="6"/>
  <c r="CA318" i="6"/>
  <c r="CA319" i="6"/>
  <c r="CA320" i="6"/>
  <c r="CA321" i="6"/>
  <c r="CA322" i="6"/>
  <c r="CA323" i="6"/>
  <c r="CA324" i="6"/>
  <c r="CA325" i="6"/>
  <c r="CA326" i="6"/>
  <c r="CA327" i="6"/>
  <c r="CA328" i="6"/>
  <c r="CA329" i="6"/>
  <c r="CA330" i="6"/>
  <c r="CA331" i="6"/>
  <c r="CA332" i="6"/>
  <c r="CA333" i="6"/>
  <c r="CA334" i="6"/>
  <c r="CA335" i="6"/>
  <c r="CA336" i="6"/>
  <c r="CA337" i="6"/>
  <c r="CA338" i="6"/>
  <c r="CA339" i="6"/>
  <c r="CA340" i="6"/>
  <c r="CA341" i="6"/>
  <c r="CA342" i="6"/>
  <c r="CA343" i="6"/>
  <c r="CA344" i="6"/>
  <c r="CA345" i="6"/>
  <c r="CA346" i="6"/>
  <c r="CA347" i="6"/>
  <c r="CA348" i="6"/>
  <c r="CA349" i="6"/>
  <c r="CA350" i="6"/>
  <c r="CA351" i="6"/>
  <c r="CA352" i="6"/>
  <c r="CA353" i="6"/>
  <c r="CA354" i="6"/>
  <c r="CA355" i="6"/>
  <c r="CA266" i="6"/>
  <c r="CA757" i="6"/>
  <c r="CA759" i="6"/>
  <c r="CA761" i="6"/>
  <c r="CA763" i="6"/>
  <c r="CA765" i="6"/>
  <c r="CA767" i="6"/>
  <c r="CA769" i="6"/>
  <c r="CA771" i="6"/>
  <c r="CA773" i="6"/>
  <c r="CA656" i="6"/>
  <c r="CA566" i="6"/>
  <c r="CA568" i="6"/>
  <c r="CA570" i="6"/>
  <c r="CA572" i="6"/>
  <c r="CA574" i="6"/>
  <c r="CA576" i="6"/>
  <c r="CA578" i="6"/>
  <c r="CA580" i="6"/>
  <c r="CA582" i="6"/>
  <c r="CA584" i="6"/>
  <c r="CA586" i="6"/>
  <c r="CA588" i="6"/>
  <c r="CA449" i="6"/>
  <c r="CA450" i="6"/>
  <c r="CA451" i="6"/>
  <c r="CA452" i="6"/>
  <c r="CA453" i="6"/>
  <c r="CA454" i="6"/>
  <c r="CA455" i="6"/>
  <c r="CA456" i="6"/>
  <c r="CA457" i="6"/>
  <c r="CA458" i="6"/>
  <c r="CA459" i="6"/>
  <c r="CA460" i="6"/>
  <c r="CA461" i="6"/>
  <c r="CA466" i="6"/>
  <c r="CA467" i="6"/>
  <c r="CA468" i="6"/>
  <c r="CA474" i="6"/>
  <c r="CA360" i="6"/>
  <c r="CA361" i="6"/>
  <c r="CA362" i="6"/>
  <c r="CA375" i="6"/>
  <c r="CA762" i="6"/>
  <c r="CA770" i="6"/>
  <c r="CA654" i="6"/>
  <c r="CA567" i="6"/>
  <c r="CA571" i="6"/>
  <c r="CA575" i="6"/>
  <c r="CA579" i="6"/>
  <c r="CA583" i="6"/>
  <c r="CA587" i="6"/>
  <c r="CA469" i="6"/>
  <c r="CA480" i="6"/>
  <c r="CA482" i="6"/>
  <c r="CA427" i="6"/>
  <c r="CA429" i="6"/>
  <c r="CA431" i="6"/>
  <c r="CA433" i="6"/>
  <c r="CA435" i="6"/>
  <c r="CA437" i="6"/>
  <c r="CA439" i="6"/>
  <c r="CA441" i="6"/>
  <c r="CA443" i="6"/>
  <c r="CA413" i="6"/>
  <c r="CA415" i="6"/>
  <c r="CA417" i="6"/>
  <c r="CA419" i="6"/>
  <c r="CA421" i="6"/>
  <c r="CA369" i="6"/>
  <c r="CA267" i="6"/>
  <c r="CA268" i="6"/>
  <c r="CA269" i="6"/>
  <c r="CA270" i="6"/>
  <c r="CA271" i="6"/>
  <c r="CA272" i="6"/>
  <c r="CA273" i="6"/>
  <c r="CA274" i="6"/>
  <c r="CA275" i="6"/>
  <c r="CA276" i="6"/>
  <c r="CA277" i="6"/>
  <c r="CA278" i="6"/>
  <c r="CA279" i="6"/>
  <c r="CA280" i="6"/>
  <c r="CA281" i="6"/>
  <c r="CA282" i="6"/>
  <c r="CA283" i="6"/>
  <c r="CA284" i="6"/>
  <c r="CA285" i="6"/>
  <c r="CA286" i="6"/>
  <c r="CA287" i="6"/>
  <c r="CA288" i="6"/>
  <c r="CA289" i="6"/>
  <c r="CA290" i="6"/>
  <c r="CA291" i="6"/>
  <c r="CA292" i="6"/>
  <c r="CA293" i="6"/>
  <c r="CA294" i="6"/>
  <c r="CA295" i="6"/>
  <c r="CA296" i="6"/>
  <c r="CA297" i="6"/>
  <c r="CA298" i="6"/>
  <c r="CA299" i="6"/>
  <c r="CA300" i="6"/>
  <c r="CA301" i="6"/>
  <c r="CA302" i="6"/>
  <c r="CA253" i="6"/>
  <c r="CA254" i="6"/>
  <c r="CA255" i="6"/>
  <c r="CA256" i="6"/>
  <c r="CA257" i="6"/>
  <c r="CA258" i="6"/>
  <c r="CA259" i="6"/>
  <c r="CA260" i="6"/>
  <c r="CA397" i="6"/>
  <c r="CA758" i="6"/>
  <c r="CA766" i="6"/>
  <c r="CA774" i="6"/>
  <c r="CA569" i="6"/>
  <c r="CA577" i="6"/>
  <c r="CA581" i="6"/>
  <c r="CA585" i="6"/>
  <c r="CA475" i="6"/>
  <c r="CA426" i="6"/>
  <c r="CA430" i="6"/>
  <c r="CA436" i="6"/>
  <c r="CA438" i="6"/>
  <c r="CA440" i="6"/>
  <c r="CA414" i="6"/>
  <c r="CA370" i="6"/>
  <c r="CA371" i="6"/>
  <c r="CA373" i="6"/>
  <c r="CA380" i="6"/>
  <c r="CA382" i="6"/>
  <c r="CA390" i="6"/>
  <c r="CA392" i="6"/>
  <c r="CA398" i="6"/>
  <c r="CA400" i="6"/>
  <c r="CA402" i="6"/>
  <c r="CA404" i="6"/>
  <c r="CA760" i="6"/>
  <c r="CA768" i="6"/>
  <c r="CA367" i="6"/>
  <c r="CA372" i="6"/>
  <c r="CA374" i="6"/>
  <c r="CA377" i="6"/>
  <c r="CA379" i="6"/>
  <c r="CA381" i="6"/>
  <c r="CA383" i="6"/>
  <c r="CA385" i="6"/>
  <c r="CA387" i="6"/>
  <c r="CA389" i="6"/>
  <c r="CA391" i="6"/>
  <c r="CA393" i="6"/>
  <c r="CA395" i="6"/>
  <c r="CA399" i="6"/>
  <c r="CA401" i="6"/>
  <c r="CA403" i="6"/>
  <c r="CA405" i="6"/>
  <c r="CA407" i="6"/>
  <c r="CA307" i="6"/>
  <c r="CA309" i="6"/>
  <c r="CA311" i="6"/>
  <c r="CA265" i="6"/>
  <c r="CA573" i="6"/>
  <c r="CA481" i="6"/>
  <c r="CA428" i="6"/>
  <c r="CA432" i="6"/>
  <c r="CA434" i="6"/>
  <c r="CA442" i="6"/>
  <c r="CA444" i="6"/>
  <c r="CA416" i="6"/>
  <c r="CA418" i="6"/>
  <c r="CA420" i="6"/>
  <c r="CA764" i="6"/>
  <c r="CA772" i="6"/>
  <c r="CA366" i="6"/>
  <c r="CA378" i="6"/>
  <c r="CA384" i="6"/>
  <c r="CA386" i="6"/>
  <c r="CA388" i="6"/>
  <c r="CA394" i="6"/>
  <c r="CA396" i="6"/>
  <c r="CA406" i="6"/>
  <c r="CA408" i="6"/>
  <c r="CA308" i="6"/>
  <c r="CA310" i="6"/>
  <c r="BW1201" i="6"/>
  <c r="BW1202" i="6"/>
  <c r="BW1203" i="6"/>
  <c r="BW1204" i="6"/>
  <c r="BW1205" i="6"/>
  <c r="BW1206" i="6"/>
  <c r="BW1207" i="6"/>
  <c r="BW922" i="6"/>
  <c r="BW923" i="6"/>
  <c r="BW924" i="6"/>
  <c r="BW925" i="6"/>
  <c r="BW1209" i="6"/>
  <c r="BW1200" i="6"/>
  <c r="BW926" i="6"/>
  <c r="BW927" i="6"/>
  <c r="BW928" i="6"/>
  <c r="BW929" i="6"/>
  <c r="BW930" i="6"/>
  <c r="BW931" i="6"/>
  <c r="BW932" i="6"/>
  <c r="BW933" i="6"/>
  <c r="BW938" i="6"/>
  <c r="BW939" i="6"/>
  <c r="BW940" i="6"/>
  <c r="BW946" i="6"/>
  <c r="BW947" i="6"/>
  <c r="BW952" i="6"/>
  <c r="BW953" i="6"/>
  <c r="BW941" i="6"/>
  <c r="BW1208" i="6"/>
  <c r="BW921" i="6"/>
  <c r="BW954" i="6"/>
  <c r="BW901" i="6"/>
  <c r="BW898" i="6"/>
  <c r="BW902" i="6"/>
  <c r="BW911" i="6"/>
  <c r="BW912" i="6"/>
  <c r="BW913" i="6"/>
  <c r="BW914" i="6"/>
  <c r="BW915" i="6"/>
  <c r="BW899" i="6"/>
  <c r="BW916" i="6"/>
  <c r="BW885" i="6"/>
  <c r="BW886" i="6"/>
  <c r="BW887" i="6"/>
  <c r="BW888" i="6"/>
  <c r="BW889" i="6"/>
  <c r="BW890" i="6"/>
  <c r="BW891" i="6"/>
  <c r="BW892" i="6"/>
  <c r="BW893" i="6"/>
  <c r="BW832" i="6"/>
  <c r="BW833" i="6"/>
  <c r="BW834" i="6"/>
  <c r="BW835" i="6"/>
  <c r="BW836" i="6"/>
  <c r="BW837" i="6"/>
  <c r="BW838" i="6"/>
  <c r="BW839" i="6"/>
  <c r="BW840" i="6"/>
  <c r="BW841" i="6"/>
  <c r="BW904" i="6"/>
  <c r="BW908" i="6"/>
  <c r="BW903" i="6"/>
  <c r="BW907" i="6"/>
  <c r="BW909" i="6"/>
  <c r="BW862" i="6"/>
  <c r="BW863" i="6"/>
  <c r="BW864" i="6"/>
  <c r="BW865" i="6"/>
  <c r="BW866" i="6"/>
  <c r="BW867" i="6"/>
  <c r="BW868" i="6"/>
  <c r="BW869" i="6"/>
  <c r="BW870" i="6"/>
  <c r="BW871" i="6"/>
  <c r="BW872" i="6"/>
  <c r="BW873" i="6"/>
  <c r="BW874" i="6"/>
  <c r="BW875" i="6"/>
  <c r="BW876" i="6"/>
  <c r="BW877" i="6"/>
  <c r="BW878" i="6"/>
  <c r="BW879" i="6"/>
  <c r="BW880" i="6"/>
  <c r="BW779" i="6"/>
  <c r="BW780" i="6"/>
  <c r="BW781" i="6"/>
  <c r="BW782" i="6"/>
  <c r="BW783" i="6"/>
  <c r="BW784" i="6"/>
  <c r="BW785" i="6"/>
  <c r="BW786" i="6"/>
  <c r="BW787" i="6"/>
  <c r="BW788" i="6"/>
  <c r="BW789" i="6"/>
  <c r="BW790" i="6"/>
  <c r="BW791" i="6"/>
  <c r="BW792" i="6"/>
  <c r="BW793" i="6"/>
  <c r="BW910" i="6"/>
  <c r="BW900" i="6"/>
  <c r="BW906" i="6"/>
  <c r="BW861" i="6"/>
  <c r="BW794" i="6"/>
  <c r="BW795" i="6"/>
  <c r="BW796" i="6"/>
  <c r="BW797" i="6"/>
  <c r="BW798" i="6"/>
  <c r="BW799" i="6"/>
  <c r="BW800" i="6"/>
  <c r="BW801" i="6"/>
  <c r="BW802" i="6"/>
  <c r="BW803" i="6"/>
  <c r="BW804" i="6"/>
  <c r="BW805" i="6"/>
  <c r="BW806" i="6"/>
  <c r="BW807" i="6"/>
  <c r="BW808" i="6"/>
  <c r="BW809" i="6"/>
  <c r="BW810" i="6"/>
  <c r="BW811" i="6"/>
  <c r="BW812" i="6"/>
  <c r="BW813" i="6"/>
  <c r="BW814" i="6"/>
  <c r="BW815" i="6"/>
  <c r="BW816" i="6"/>
  <c r="BW817" i="6"/>
  <c r="BW818" i="6"/>
  <c r="BW819" i="6"/>
  <c r="BW820" i="6"/>
  <c r="BW821" i="6"/>
  <c r="BW822" i="6"/>
  <c r="BW823" i="6"/>
  <c r="BW824" i="6"/>
  <c r="BW825" i="6"/>
  <c r="BW826" i="6"/>
  <c r="BW827" i="6"/>
  <c r="BW737" i="6"/>
  <c r="BW738" i="6"/>
  <c r="BW739" i="6"/>
  <c r="BW740" i="6"/>
  <c r="BW741" i="6"/>
  <c r="BW742" i="6"/>
  <c r="BW743" i="6"/>
  <c r="BW744" i="6"/>
  <c r="BW745" i="6"/>
  <c r="BW746" i="6"/>
  <c r="BW747" i="6"/>
  <c r="BW748" i="6"/>
  <c r="BW749" i="6"/>
  <c r="BW750" i="6"/>
  <c r="BW843" i="6"/>
  <c r="BW845" i="6"/>
  <c r="BW847" i="6"/>
  <c r="BW849" i="6"/>
  <c r="BW851" i="6"/>
  <c r="BW853" i="6"/>
  <c r="BW855" i="6"/>
  <c r="BW857" i="6"/>
  <c r="BW859" i="6"/>
  <c r="BW905" i="6"/>
  <c r="BW846" i="6"/>
  <c r="BW854" i="6"/>
  <c r="BW844" i="6"/>
  <c r="BW852" i="6"/>
  <c r="BW860" i="6"/>
  <c r="BW725" i="6"/>
  <c r="BW726" i="6"/>
  <c r="BW727" i="6"/>
  <c r="BW728" i="6"/>
  <c r="BW729" i="6"/>
  <c r="BW730" i="6"/>
  <c r="BW731" i="6"/>
  <c r="BW732" i="6"/>
  <c r="BW842" i="6"/>
  <c r="BW850" i="6"/>
  <c r="BW858" i="6"/>
  <c r="BW751" i="6"/>
  <c r="BW752" i="6"/>
  <c r="BW753" i="6"/>
  <c r="BW754" i="6"/>
  <c r="BW755" i="6"/>
  <c r="BW756" i="6"/>
  <c r="BW856" i="6"/>
  <c r="BW848" i="6"/>
  <c r="BW757" i="6"/>
  <c r="BW758" i="6"/>
  <c r="BW759" i="6"/>
  <c r="BW760" i="6"/>
  <c r="BW761" i="6"/>
  <c r="BW762" i="6"/>
  <c r="BW763" i="6"/>
  <c r="BW764" i="6"/>
  <c r="BW765" i="6"/>
  <c r="BW766" i="6"/>
  <c r="BW767" i="6"/>
  <c r="BW768" i="6"/>
  <c r="BW769" i="6"/>
  <c r="BW770" i="6"/>
  <c r="BW771" i="6"/>
  <c r="BW772" i="6"/>
  <c r="BW773" i="6"/>
  <c r="BW774" i="6"/>
  <c r="BW649" i="6"/>
  <c r="BW650" i="6"/>
  <c r="BW651" i="6"/>
  <c r="BW652" i="6"/>
  <c r="BW653" i="6"/>
  <c r="BW655" i="6"/>
  <c r="BW657" i="6"/>
  <c r="BW612" i="6"/>
  <c r="BW613" i="6"/>
  <c r="BW614" i="6"/>
  <c r="BW615" i="6"/>
  <c r="BW616" i="6"/>
  <c r="BW617" i="6"/>
  <c r="BW618" i="6"/>
  <c r="BW619" i="6"/>
  <c r="BW620" i="6"/>
  <c r="BW621" i="6"/>
  <c r="BW622" i="6"/>
  <c r="BW623" i="6"/>
  <c r="BW624" i="6"/>
  <c r="BW625" i="6"/>
  <c r="BW626" i="6"/>
  <c r="BW627" i="6"/>
  <c r="BW628" i="6"/>
  <c r="BW629" i="6"/>
  <c r="BW630" i="6"/>
  <c r="BW631" i="6"/>
  <c r="BW632" i="6"/>
  <c r="BW633" i="6"/>
  <c r="BW634" i="6"/>
  <c r="BW635" i="6"/>
  <c r="BW636" i="6"/>
  <c r="BW637" i="6"/>
  <c r="BW638" i="6"/>
  <c r="BW639" i="6"/>
  <c r="BW640" i="6"/>
  <c r="BW641" i="6"/>
  <c r="BW642" i="6"/>
  <c r="BW643" i="6"/>
  <c r="BW644" i="6"/>
  <c r="BW566" i="6"/>
  <c r="BW567" i="6"/>
  <c r="BW568" i="6"/>
  <c r="BW569" i="6"/>
  <c r="BW570" i="6"/>
  <c r="BW571" i="6"/>
  <c r="BW572" i="6"/>
  <c r="BW573" i="6"/>
  <c r="BW574" i="6"/>
  <c r="BW575" i="6"/>
  <c r="BW576" i="6"/>
  <c r="BW577" i="6"/>
  <c r="BW578" i="6"/>
  <c r="BW579" i="6"/>
  <c r="BW580" i="6"/>
  <c r="BW581" i="6"/>
  <c r="BW582" i="6"/>
  <c r="BW583" i="6"/>
  <c r="BW584" i="6"/>
  <c r="BW585" i="6"/>
  <c r="BW586" i="6"/>
  <c r="BW587" i="6"/>
  <c r="BW588" i="6"/>
  <c r="BW597" i="6"/>
  <c r="BW599" i="6"/>
  <c r="BW601" i="6"/>
  <c r="BW603" i="6"/>
  <c r="BW605" i="6"/>
  <c r="BW607" i="6"/>
  <c r="BW609" i="6"/>
  <c r="BW611" i="6"/>
  <c r="BW489" i="6"/>
  <c r="BW490" i="6"/>
  <c r="BW491" i="6"/>
  <c r="BW492" i="6"/>
  <c r="BW493" i="6"/>
  <c r="BW494" i="6"/>
  <c r="BW495" i="6"/>
  <c r="BW496" i="6"/>
  <c r="BW363" i="6"/>
  <c r="BW364" i="6"/>
  <c r="BW365" i="6"/>
  <c r="BW656" i="6"/>
  <c r="BW469" i="6"/>
  <c r="BW475" i="6"/>
  <c r="BW480" i="6"/>
  <c r="BW481" i="6"/>
  <c r="BW482" i="6"/>
  <c r="BW426" i="6"/>
  <c r="BW427" i="6"/>
  <c r="BW428" i="6"/>
  <c r="BW429" i="6"/>
  <c r="BW430" i="6"/>
  <c r="BW431" i="6"/>
  <c r="BW432" i="6"/>
  <c r="BW433" i="6"/>
  <c r="BW434" i="6"/>
  <c r="BW435" i="6"/>
  <c r="BW436" i="6"/>
  <c r="BW437" i="6"/>
  <c r="BW438" i="6"/>
  <c r="BW439" i="6"/>
  <c r="BW440" i="6"/>
  <c r="BW441" i="6"/>
  <c r="BW442" i="6"/>
  <c r="BW443" i="6"/>
  <c r="BW444" i="6"/>
  <c r="BW413" i="6"/>
  <c r="BW414" i="6"/>
  <c r="BW415" i="6"/>
  <c r="BW416" i="6"/>
  <c r="BW417" i="6"/>
  <c r="BW418" i="6"/>
  <c r="BW419" i="6"/>
  <c r="BW420" i="6"/>
  <c r="BW421" i="6"/>
  <c r="BW369" i="6"/>
  <c r="BW370" i="6"/>
  <c r="BW312" i="6"/>
  <c r="BW313" i="6"/>
  <c r="BW314" i="6"/>
  <c r="BW315" i="6"/>
  <c r="BW316" i="6"/>
  <c r="BW317" i="6"/>
  <c r="BW318" i="6"/>
  <c r="BW319" i="6"/>
  <c r="BW320" i="6"/>
  <c r="BW321" i="6"/>
  <c r="BW322" i="6"/>
  <c r="BW323" i="6"/>
  <c r="BW324" i="6"/>
  <c r="BW325" i="6"/>
  <c r="BW326" i="6"/>
  <c r="BW327" i="6"/>
  <c r="BW328" i="6"/>
  <c r="BW329" i="6"/>
  <c r="BW330" i="6"/>
  <c r="BW331" i="6"/>
  <c r="BW332" i="6"/>
  <c r="BW333" i="6"/>
  <c r="BW334" i="6"/>
  <c r="BW335" i="6"/>
  <c r="BW336" i="6"/>
  <c r="BW337" i="6"/>
  <c r="BW338" i="6"/>
  <c r="BW339" i="6"/>
  <c r="BW340" i="6"/>
  <c r="BW341" i="6"/>
  <c r="BW342" i="6"/>
  <c r="BW343" i="6"/>
  <c r="BW344" i="6"/>
  <c r="BW345" i="6"/>
  <c r="BW346" i="6"/>
  <c r="BW347" i="6"/>
  <c r="BW348" i="6"/>
  <c r="BW349" i="6"/>
  <c r="BW350" i="6"/>
  <c r="BW351" i="6"/>
  <c r="BW352" i="6"/>
  <c r="BW353" i="6"/>
  <c r="BW354" i="6"/>
  <c r="BW355" i="6"/>
  <c r="BW266" i="6"/>
  <c r="BW686" i="6"/>
  <c r="BW688" i="6"/>
  <c r="BW690" i="6"/>
  <c r="BW692" i="6"/>
  <c r="BW694" i="6"/>
  <c r="BW696" i="6"/>
  <c r="BW702" i="6"/>
  <c r="BW704" i="6"/>
  <c r="BW710" i="6"/>
  <c r="BW716" i="6"/>
  <c r="BW718" i="6"/>
  <c r="BW663" i="6"/>
  <c r="BW665" i="6"/>
  <c r="BW667" i="6"/>
  <c r="BW669" i="6"/>
  <c r="BW671" i="6"/>
  <c r="BW673" i="6"/>
  <c r="BW675" i="6"/>
  <c r="BW677" i="6"/>
  <c r="BW679" i="6"/>
  <c r="BW596" i="6"/>
  <c r="BW600" i="6"/>
  <c r="BW604" i="6"/>
  <c r="BW608" i="6"/>
  <c r="BW368" i="6"/>
  <c r="BW376" i="6"/>
  <c r="BW654" i="6"/>
  <c r="BW687" i="6"/>
  <c r="BW695" i="6"/>
  <c r="BW711" i="6"/>
  <c r="BW666" i="6"/>
  <c r="BW674" i="6"/>
  <c r="BW606" i="6"/>
  <c r="BW543" i="6"/>
  <c r="BW545" i="6"/>
  <c r="BW547" i="6"/>
  <c r="BW549" i="6"/>
  <c r="BW551" i="6"/>
  <c r="BW553" i="6"/>
  <c r="BW555" i="6"/>
  <c r="BW557" i="6"/>
  <c r="BW559" i="6"/>
  <c r="BW561" i="6"/>
  <c r="BW563" i="6"/>
  <c r="BW565" i="6"/>
  <c r="BW367" i="6"/>
  <c r="BW372" i="6"/>
  <c r="BW374" i="6"/>
  <c r="BW377" i="6"/>
  <c r="BW379" i="6"/>
  <c r="BW381" i="6"/>
  <c r="BW383" i="6"/>
  <c r="BW385" i="6"/>
  <c r="BW387" i="6"/>
  <c r="BW389" i="6"/>
  <c r="BW391" i="6"/>
  <c r="BW393" i="6"/>
  <c r="BW395" i="6"/>
  <c r="BW397" i="6"/>
  <c r="BW399" i="6"/>
  <c r="BW401" i="6"/>
  <c r="BW403" i="6"/>
  <c r="BW405" i="6"/>
  <c r="BW407" i="6"/>
  <c r="BW307" i="6"/>
  <c r="BW309" i="6"/>
  <c r="BW311" i="6"/>
  <c r="BW691" i="6"/>
  <c r="BW703" i="6"/>
  <c r="BW662" i="6"/>
  <c r="BW670" i="6"/>
  <c r="BW678" i="6"/>
  <c r="BW598" i="6"/>
  <c r="BW610" i="6"/>
  <c r="BW544" i="6"/>
  <c r="BW546" i="6"/>
  <c r="BW548" i="6"/>
  <c r="BW550" i="6"/>
  <c r="BW552" i="6"/>
  <c r="BW554" i="6"/>
  <c r="BW556" i="6"/>
  <c r="BW558" i="6"/>
  <c r="BW562" i="6"/>
  <c r="BW564" i="6"/>
  <c r="BW449" i="6"/>
  <c r="BW451" i="6"/>
  <c r="BW453" i="6"/>
  <c r="BW455" i="6"/>
  <c r="BW457" i="6"/>
  <c r="BW458" i="6"/>
  <c r="BW460" i="6"/>
  <c r="BW466" i="6"/>
  <c r="BW366" i="6"/>
  <c r="BW371" i="6"/>
  <c r="BW373" i="6"/>
  <c r="BW382" i="6"/>
  <c r="BW384" i="6"/>
  <c r="BW388" i="6"/>
  <c r="BW394" i="6"/>
  <c r="BW268" i="6"/>
  <c r="BW269" i="6"/>
  <c r="BW270" i="6"/>
  <c r="BW278" i="6"/>
  <c r="BW280" i="6"/>
  <c r="BW283" i="6"/>
  <c r="BW284" i="6"/>
  <c r="BW285" i="6"/>
  <c r="BW286" i="6"/>
  <c r="BW287" i="6"/>
  <c r="BW288" i="6"/>
  <c r="BW289" i="6"/>
  <c r="BW290" i="6"/>
  <c r="BW291" i="6"/>
  <c r="BW292" i="6"/>
  <c r="BW293" i="6"/>
  <c r="BW294" i="6"/>
  <c r="BW295" i="6"/>
  <c r="BW296" i="6"/>
  <c r="BW297" i="6"/>
  <c r="BW254" i="6"/>
  <c r="BW255" i="6"/>
  <c r="BW256" i="6"/>
  <c r="BW257" i="6"/>
  <c r="BW258" i="6"/>
  <c r="BW259" i="6"/>
  <c r="BW260" i="6"/>
  <c r="BW697" i="6"/>
  <c r="BW668" i="6"/>
  <c r="BW474" i="6"/>
  <c r="BW360" i="6"/>
  <c r="BW685" i="6"/>
  <c r="BW693" i="6"/>
  <c r="BW705" i="6"/>
  <c r="BW664" i="6"/>
  <c r="BW672" i="6"/>
  <c r="BW680" i="6"/>
  <c r="BW589" i="6"/>
  <c r="BW590" i="6"/>
  <c r="BW591" i="6"/>
  <c r="BW501" i="6"/>
  <c r="BW502" i="6"/>
  <c r="BW503" i="6"/>
  <c r="BW504" i="6"/>
  <c r="BW505" i="6"/>
  <c r="BW506" i="6"/>
  <c r="BW507" i="6"/>
  <c r="BW508" i="6"/>
  <c r="BW509" i="6"/>
  <c r="BW510" i="6"/>
  <c r="BW511" i="6"/>
  <c r="BW512" i="6"/>
  <c r="BW513" i="6"/>
  <c r="BW514" i="6"/>
  <c r="BW515" i="6"/>
  <c r="BW516" i="6"/>
  <c r="BW517" i="6"/>
  <c r="BW518" i="6"/>
  <c r="BW519" i="6"/>
  <c r="BW520" i="6"/>
  <c r="BW521" i="6"/>
  <c r="BW522" i="6"/>
  <c r="BW523" i="6"/>
  <c r="BW524" i="6"/>
  <c r="BW525" i="6"/>
  <c r="BW526" i="6"/>
  <c r="BW527" i="6"/>
  <c r="BW528" i="6"/>
  <c r="BW529" i="6"/>
  <c r="BW530" i="6"/>
  <c r="BW531" i="6"/>
  <c r="BW532" i="6"/>
  <c r="BW533" i="6"/>
  <c r="BW534" i="6"/>
  <c r="BW535" i="6"/>
  <c r="BW536" i="6"/>
  <c r="BW537" i="6"/>
  <c r="BW538" i="6"/>
  <c r="BW361" i="6"/>
  <c r="BW375" i="6"/>
  <c r="BW560" i="6"/>
  <c r="BW450" i="6"/>
  <c r="BW452" i="6"/>
  <c r="BW454" i="6"/>
  <c r="BW456" i="6"/>
  <c r="BW459" i="6"/>
  <c r="BW461" i="6"/>
  <c r="BW467" i="6"/>
  <c r="BW468" i="6"/>
  <c r="BW378" i="6"/>
  <c r="BW380" i="6"/>
  <c r="BW386" i="6"/>
  <c r="BW390" i="6"/>
  <c r="BW392" i="6"/>
  <c r="BW396" i="6"/>
  <c r="BW398" i="6"/>
  <c r="BW400" i="6"/>
  <c r="BW402" i="6"/>
  <c r="BW404" i="6"/>
  <c r="BW406" i="6"/>
  <c r="BW408" i="6"/>
  <c r="BW308" i="6"/>
  <c r="BW310" i="6"/>
  <c r="BW267" i="6"/>
  <c r="BW271" i="6"/>
  <c r="BW272" i="6"/>
  <c r="BW273" i="6"/>
  <c r="BW274" i="6"/>
  <c r="BW275" i="6"/>
  <c r="BW276" i="6"/>
  <c r="BW277" i="6"/>
  <c r="BW279" i="6"/>
  <c r="BW281" i="6"/>
  <c r="BW282" i="6"/>
  <c r="BW298" i="6"/>
  <c r="BW299" i="6"/>
  <c r="BW300" i="6"/>
  <c r="BW301" i="6"/>
  <c r="BW302" i="6"/>
  <c r="BW253" i="6"/>
  <c r="BW689" i="6"/>
  <c r="BW717" i="6"/>
  <c r="BW676" i="6"/>
  <c r="BW602" i="6"/>
  <c r="BW362" i="6"/>
  <c r="BW265" i="6"/>
  <c r="BS1201" i="6"/>
  <c r="BS1202" i="6"/>
  <c r="BS1203" i="6"/>
  <c r="BS1204" i="6"/>
  <c r="BS1205" i="6"/>
  <c r="BS1206" i="6"/>
  <c r="BS1207" i="6"/>
  <c r="BS1208" i="6"/>
  <c r="BS1209" i="6"/>
  <c r="BS1200" i="6"/>
  <c r="BS921" i="6"/>
  <c r="BS922" i="6"/>
  <c r="BS923" i="6"/>
  <c r="BS924" i="6"/>
  <c r="BS925" i="6"/>
  <c r="BS926" i="6"/>
  <c r="BS927" i="6"/>
  <c r="BS928" i="6"/>
  <c r="BS929" i="6"/>
  <c r="BS930" i="6"/>
  <c r="BS931" i="6"/>
  <c r="BS932" i="6"/>
  <c r="BS933" i="6"/>
  <c r="BS938" i="6"/>
  <c r="BS939" i="6"/>
  <c r="BS940" i="6"/>
  <c r="BS946" i="6"/>
  <c r="BS947" i="6"/>
  <c r="BS952" i="6"/>
  <c r="BS953" i="6"/>
  <c r="BS941" i="6"/>
  <c r="BS954" i="6"/>
  <c r="BS898" i="6"/>
  <c r="BS899" i="6"/>
  <c r="BS900" i="6"/>
  <c r="BS901" i="6"/>
  <c r="BS902" i="6"/>
  <c r="BS903" i="6"/>
  <c r="BS904" i="6"/>
  <c r="BS905" i="6"/>
  <c r="BS906" i="6"/>
  <c r="BS907" i="6"/>
  <c r="BS908" i="6"/>
  <c r="BS909" i="6"/>
  <c r="BS910" i="6"/>
  <c r="BS911" i="6"/>
  <c r="BS912" i="6"/>
  <c r="BS913" i="6"/>
  <c r="BS914" i="6"/>
  <c r="BS915" i="6"/>
  <c r="BS916" i="6"/>
  <c r="BS885" i="6"/>
  <c r="BS886" i="6"/>
  <c r="BS887" i="6"/>
  <c r="BS888" i="6"/>
  <c r="BS889" i="6"/>
  <c r="BS890" i="6"/>
  <c r="BS891" i="6"/>
  <c r="BS892" i="6"/>
  <c r="BS893" i="6"/>
  <c r="BS832" i="6"/>
  <c r="BS833" i="6"/>
  <c r="BS834" i="6"/>
  <c r="BS835" i="6"/>
  <c r="BS836" i="6"/>
  <c r="BS837" i="6"/>
  <c r="BS838" i="6"/>
  <c r="BS839" i="6"/>
  <c r="BS840" i="6"/>
  <c r="BS841" i="6"/>
  <c r="BS862" i="6"/>
  <c r="BS863" i="6"/>
  <c r="BS864" i="6"/>
  <c r="BS865" i="6"/>
  <c r="BS866" i="6"/>
  <c r="BS867" i="6"/>
  <c r="BS868" i="6"/>
  <c r="BS869" i="6"/>
  <c r="BS870" i="6"/>
  <c r="BS871" i="6"/>
  <c r="BS872" i="6"/>
  <c r="BS873" i="6"/>
  <c r="BS874" i="6"/>
  <c r="BS875" i="6"/>
  <c r="BS876" i="6"/>
  <c r="BS877" i="6"/>
  <c r="BS878" i="6"/>
  <c r="BS879" i="6"/>
  <c r="BS880" i="6"/>
  <c r="BS779" i="6"/>
  <c r="BS780" i="6"/>
  <c r="BS781" i="6"/>
  <c r="BS782" i="6"/>
  <c r="BS783" i="6"/>
  <c r="BS784" i="6"/>
  <c r="BS785" i="6"/>
  <c r="BS786" i="6"/>
  <c r="BS787" i="6"/>
  <c r="BS788" i="6"/>
  <c r="BS789" i="6"/>
  <c r="BS790" i="6"/>
  <c r="BS791" i="6"/>
  <c r="BS792" i="6"/>
  <c r="BS793" i="6"/>
  <c r="BS794" i="6"/>
  <c r="BS842" i="6"/>
  <c r="BS843" i="6"/>
  <c r="BS844" i="6"/>
  <c r="BS845" i="6"/>
  <c r="BS846" i="6"/>
  <c r="BS847" i="6"/>
  <c r="BS848" i="6"/>
  <c r="BS849" i="6"/>
  <c r="BS850" i="6"/>
  <c r="BS851" i="6"/>
  <c r="BS852" i="6"/>
  <c r="BS853" i="6"/>
  <c r="BS854" i="6"/>
  <c r="BS855" i="6"/>
  <c r="BS856" i="6"/>
  <c r="BS857" i="6"/>
  <c r="BS858" i="6"/>
  <c r="BS859" i="6"/>
  <c r="BS860" i="6"/>
  <c r="BS795" i="6"/>
  <c r="BS796" i="6"/>
  <c r="BS797" i="6"/>
  <c r="BS798" i="6"/>
  <c r="BS801" i="6"/>
  <c r="BS802" i="6"/>
  <c r="BS803" i="6"/>
  <c r="BS804" i="6"/>
  <c r="BS805" i="6"/>
  <c r="BS806" i="6"/>
  <c r="BS807" i="6"/>
  <c r="BS808" i="6"/>
  <c r="BS809" i="6"/>
  <c r="BS810" i="6"/>
  <c r="BS811" i="6"/>
  <c r="BS812" i="6"/>
  <c r="BS813" i="6"/>
  <c r="BS814" i="6"/>
  <c r="BS815" i="6"/>
  <c r="BS816" i="6"/>
  <c r="BS817" i="6"/>
  <c r="BS818" i="6"/>
  <c r="BS819" i="6"/>
  <c r="BS820" i="6"/>
  <c r="BS821" i="6"/>
  <c r="BS822" i="6"/>
  <c r="BS823" i="6"/>
  <c r="BS824" i="6"/>
  <c r="BS825" i="6"/>
  <c r="BS826" i="6"/>
  <c r="BS827" i="6"/>
  <c r="BS737" i="6"/>
  <c r="BS738" i="6"/>
  <c r="BS739" i="6"/>
  <c r="BS740" i="6"/>
  <c r="BS741" i="6"/>
  <c r="BS742" i="6"/>
  <c r="BS743" i="6"/>
  <c r="BS744" i="6"/>
  <c r="BS745" i="6"/>
  <c r="BS746" i="6"/>
  <c r="BS747" i="6"/>
  <c r="BS748" i="6"/>
  <c r="BS749" i="6"/>
  <c r="BS750" i="6"/>
  <c r="BS861" i="6"/>
  <c r="BS799" i="6"/>
  <c r="BS800" i="6"/>
  <c r="BS725" i="6"/>
  <c r="BS726" i="6"/>
  <c r="BS727" i="6"/>
  <c r="BS728" i="6"/>
  <c r="BS729" i="6"/>
  <c r="BS730" i="6"/>
  <c r="BS731" i="6"/>
  <c r="BS732" i="6"/>
  <c r="BS753" i="6"/>
  <c r="BS754" i="6"/>
  <c r="BS755" i="6"/>
  <c r="BS756" i="6"/>
  <c r="BS654" i="6"/>
  <c r="BS655" i="6"/>
  <c r="BS656" i="6"/>
  <c r="BS657" i="6"/>
  <c r="BS751" i="6"/>
  <c r="BS685" i="6"/>
  <c r="BS686" i="6"/>
  <c r="BS687" i="6"/>
  <c r="BS688" i="6"/>
  <c r="BS689" i="6"/>
  <c r="BS690" i="6"/>
  <c r="BS691" i="6"/>
  <c r="BS692" i="6"/>
  <c r="BS693" i="6"/>
  <c r="BS694" i="6"/>
  <c r="BS695" i="6"/>
  <c r="BS696" i="6"/>
  <c r="BS697" i="6"/>
  <c r="BS702" i="6"/>
  <c r="BS703" i="6"/>
  <c r="BS704" i="6"/>
  <c r="BS705" i="6"/>
  <c r="BS710" i="6"/>
  <c r="BS711" i="6"/>
  <c r="BS716" i="6"/>
  <c r="BS717" i="6"/>
  <c r="BS718" i="6"/>
  <c r="BS662" i="6"/>
  <c r="BS663" i="6"/>
  <c r="BS664" i="6"/>
  <c r="BS665" i="6"/>
  <c r="BS666" i="6"/>
  <c r="BS667" i="6"/>
  <c r="BS668" i="6"/>
  <c r="BS669" i="6"/>
  <c r="BS670" i="6"/>
  <c r="BS671" i="6"/>
  <c r="BS672" i="6"/>
  <c r="BS673" i="6"/>
  <c r="BS674" i="6"/>
  <c r="BS675" i="6"/>
  <c r="BS676" i="6"/>
  <c r="BS677" i="6"/>
  <c r="BS678" i="6"/>
  <c r="BS679" i="6"/>
  <c r="BS680" i="6"/>
  <c r="BS757" i="6"/>
  <c r="BS758" i="6"/>
  <c r="BS759" i="6"/>
  <c r="BS760" i="6"/>
  <c r="BS761" i="6"/>
  <c r="BS762" i="6"/>
  <c r="BS763" i="6"/>
  <c r="BS764" i="6"/>
  <c r="BS765" i="6"/>
  <c r="BS766" i="6"/>
  <c r="BS767" i="6"/>
  <c r="BS768" i="6"/>
  <c r="BS769" i="6"/>
  <c r="BS770" i="6"/>
  <c r="BS771" i="6"/>
  <c r="BS772" i="6"/>
  <c r="BS773" i="6"/>
  <c r="BS774" i="6"/>
  <c r="BS597" i="6"/>
  <c r="BS599" i="6"/>
  <c r="BS601" i="6"/>
  <c r="BS603" i="6"/>
  <c r="BS605" i="6"/>
  <c r="BS607" i="6"/>
  <c r="BS609" i="6"/>
  <c r="BS611" i="6"/>
  <c r="BS752" i="6"/>
  <c r="BS543" i="6"/>
  <c r="BS544" i="6"/>
  <c r="BS545" i="6"/>
  <c r="BS546" i="6"/>
  <c r="BS547" i="6"/>
  <c r="BS548" i="6"/>
  <c r="BS549" i="6"/>
  <c r="BS550" i="6"/>
  <c r="BS551" i="6"/>
  <c r="BS552" i="6"/>
  <c r="BS553" i="6"/>
  <c r="BS554" i="6"/>
  <c r="BS555" i="6"/>
  <c r="BS556" i="6"/>
  <c r="BS557" i="6"/>
  <c r="BS558" i="6"/>
  <c r="BS559" i="6"/>
  <c r="BS560" i="6"/>
  <c r="BS561" i="6"/>
  <c r="BS562" i="6"/>
  <c r="BS563" i="6"/>
  <c r="BS564" i="6"/>
  <c r="BS565" i="6"/>
  <c r="BS566" i="6"/>
  <c r="BS567" i="6"/>
  <c r="BS568" i="6"/>
  <c r="BS569" i="6"/>
  <c r="BS570" i="6"/>
  <c r="BS571" i="6"/>
  <c r="BS572" i="6"/>
  <c r="BS573" i="6"/>
  <c r="BS574" i="6"/>
  <c r="BS575" i="6"/>
  <c r="BS576" i="6"/>
  <c r="BS577" i="6"/>
  <c r="BS578" i="6"/>
  <c r="BS579" i="6"/>
  <c r="BS580" i="6"/>
  <c r="BS581" i="6"/>
  <c r="BS582" i="6"/>
  <c r="BS583" i="6"/>
  <c r="BS584" i="6"/>
  <c r="BS585" i="6"/>
  <c r="BS586" i="6"/>
  <c r="BS587" i="6"/>
  <c r="BS588" i="6"/>
  <c r="BS489" i="6"/>
  <c r="BS490" i="6"/>
  <c r="BS491" i="6"/>
  <c r="BS492" i="6"/>
  <c r="BS493" i="6"/>
  <c r="BS494" i="6"/>
  <c r="BS495" i="6"/>
  <c r="BS496" i="6"/>
  <c r="BS363" i="6"/>
  <c r="BS364" i="6"/>
  <c r="BS365" i="6"/>
  <c r="BS650" i="6"/>
  <c r="BS652" i="6"/>
  <c r="BS596" i="6"/>
  <c r="BS600" i="6"/>
  <c r="BS604" i="6"/>
  <c r="BS608" i="6"/>
  <c r="BS589" i="6"/>
  <c r="BS590" i="6"/>
  <c r="BS591" i="6"/>
  <c r="BS501" i="6"/>
  <c r="BS502" i="6"/>
  <c r="BS503" i="6"/>
  <c r="BS504" i="6"/>
  <c r="BS505" i="6"/>
  <c r="BS506" i="6"/>
  <c r="BS507" i="6"/>
  <c r="BS508" i="6"/>
  <c r="BS509" i="6"/>
  <c r="BS510" i="6"/>
  <c r="BS511" i="6"/>
  <c r="BS512" i="6"/>
  <c r="BS513" i="6"/>
  <c r="BS514" i="6"/>
  <c r="BS515" i="6"/>
  <c r="BS516" i="6"/>
  <c r="BS517" i="6"/>
  <c r="BS518" i="6"/>
  <c r="BS519" i="6"/>
  <c r="BS520" i="6"/>
  <c r="BS521" i="6"/>
  <c r="BS522" i="6"/>
  <c r="BS523" i="6"/>
  <c r="BS524" i="6"/>
  <c r="BS525" i="6"/>
  <c r="BS526" i="6"/>
  <c r="BS527" i="6"/>
  <c r="BS528" i="6"/>
  <c r="BS529" i="6"/>
  <c r="BS530" i="6"/>
  <c r="BS531" i="6"/>
  <c r="BS532" i="6"/>
  <c r="BS533" i="6"/>
  <c r="BS534" i="6"/>
  <c r="BS535" i="6"/>
  <c r="BS536" i="6"/>
  <c r="BS537" i="6"/>
  <c r="BS538" i="6"/>
  <c r="BS366" i="6"/>
  <c r="BS367" i="6"/>
  <c r="BS371" i="6"/>
  <c r="BS372" i="6"/>
  <c r="BS373" i="6"/>
  <c r="BS374" i="6"/>
  <c r="BS377" i="6"/>
  <c r="BS378" i="6"/>
  <c r="BS379" i="6"/>
  <c r="BS380" i="6"/>
  <c r="BS381" i="6"/>
  <c r="BS382" i="6"/>
  <c r="BS383" i="6"/>
  <c r="BS384" i="6"/>
  <c r="BS385" i="6"/>
  <c r="BS386" i="6"/>
  <c r="BS387" i="6"/>
  <c r="BS388" i="6"/>
  <c r="BS389" i="6"/>
  <c r="BS390" i="6"/>
  <c r="BS391" i="6"/>
  <c r="BS392" i="6"/>
  <c r="BS393" i="6"/>
  <c r="BS394" i="6"/>
  <c r="BS395" i="6"/>
  <c r="BS396" i="6"/>
  <c r="BS397" i="6"/>
  <c r="BS398" i="6"/>
  <c r="BS399" i="6"/>
  <c r="BS400" i="6"/>
  <c r="BS401" i="6"/>
  <c r="BS402" i="6"/>
  <c r="BS403" i="6"/>
  <c r="BS404" i="6"/>
  <c r="BS405" i="6"/>
  <c r="BS406" i="6"/>
  <c r="BS407" i="6"/>
  <c r="BS408" i="6"/>
  <c r="BS307" i="6"/>
  <c r="BS308" i="6"/>
  <c r="BS309" i="6"/>
  <c r="BS310" i="6"/>
  <c r="BS311" i="6"/>
  <c r="BS312" i="6"/>
  <c r="BS313" i="6"/>
  <c r="BS314" i="6"/>
  <c r="BS315" i="6"/>
  <c r="BS316" i="6"/>
  <c r="BS317" i="6"/>
  <c r="BS318" i="6"/>
  <c r="BS319" i="6"/>
  <c r="BS320" i="6"/>
  <c r="BS321" i="6"/>
  <c r="BS322" i="6"/>
  <c r="BS323" i="6"/>
  <c r="BS324" i="6"/>
  <c r="BS325" i="6"/>
  <c r="BS326" i="6"/>
  <c r="BS327" i="6"/>
  <c r="BS328" i="6"/>
  <c r="BS329" i="6"/>
  <c r="BS330" i="6"/>
  <c r="BS331" i="6"/>
  <c r="BS332" i="6"/>
  <c r="BS333" i="6"/>
  <c r="BS334" i="6"/>
  <c r="BS335" i="6"/>
  <c r="BS336" i="6"/>
  <c r="BS337" i="6"/>
  <c r="BS338" i="6"/>
  <c r="BS339" i="6"/>
  <c r="BS340" i="6"/>
  <c r="BS341" i="6"/>
  <c r="BS342" i="6"/>
  <c r="BS343" i="6"/>
  <c r="BS344" i="6"/>
  <c r="BS345" i="6"/>
  <c r="BS346" i="6"/>
  <c r="BS347" i="6"/>
  <c r="BS348" i="6"/>
  <c r="BS349" i="6"/>
  <c r="BS350" i="6"/>
  <c r="BS351" i="6"/>
  <c r="BS352" i="6"/>
  <c r="BS353" i="6"/>
  <c r="BS354" i="6"/>
  <c r="BS355" i="6"/>
  <c r="BS266" i="6"/>
  <c r="BS602" i="6"/>
  <c r="BS449" i="6"/>
  <c r="BS450" i="6"/>
  <c r="BS451" i="6"/>
  <c r="BS452" i="6"/>
  <c r="BS453" i="6"/>
  <c r="BS454" i="6"/>
  <c r="BS455" i="6"/>
  <c r="BS456" i="6"/>
  <c r="BS457" i="6"/>
  <c r="BS458" i="6"/>
  <c r="BS459" i="6"/>
  <c r="BS460" i="6"/>
  <c r="BS461" i="6"/>
  <c r="BS466" i="6"/>
  <c r="BS467" i="6"/>
  <c r="BS468" i="6"/>
  <c r="BS469" i="6"/>
  <c r="BS475" i="6"/>
  <c r="BS480" i="6"/>
  <c r="BS481" i="6"/>
  <c r="BS482" i="6"/>
  <c r="BS426" i="6"/>
  <c r="BS427" i="6"/>
  <c r="BS428" i="6"/>
  <c r="BS429" i="6"/>
  <c r="BS430" i="6"/>
  <c r="BS431" i="6"/>
  <c r="BS432" i="6"/>
  <c r="BS433" i="6"/>
  <c r="BS434" i="6"/>
  <c r="BS435" i="6"/>
  <c r="BS436" i="6"/>
  <c r="BS437" i="6"/>
  <c r="BS438" i="6"/>
  <c r="BS439" i="6"/>
  <c r="BS440" i="6"/>
  <c r="BS441" i="6"/>
  <c r="BS442" i="6"/>
  <c r="BS443" i="6"/>
  <c r="BS444" i="6"/>
  <c r="BS413" i="6"/>
  <c r="BS414" i="6"/>
  <c r="BS415" i="6"/>
  <c r="BS416" i="6"/>
  <c r="BS417" i="6"/>
  <c r="BS418" i="6"/>
  <c r="BS419" i="6"/>
  <c r="BS420" i="6"/>
  <c r="BS421" i="6"/>
  <c r="BS369" i="6"/>
  <c r="BS370" i="6"/>
  <c r="BS649" i="6"/>
  <c r="BS651" i="6"/>
  <c r="BS653" i="6"/>
  <c r="BS598" i="6"/>
  <c r="BS606" i="6"/>
  <c r="BS361" i="6"/>
  <c r="BS375" i="6"/>
  <c r="BS267" i="6"/>
  <c r="BS268" i="6"/>
  <c r="BS269" i="6"/>
  <c r="BS270" i="6"/>
  <c r="BS271" i="6"/>
  <c r="BS272" i="6"/>
  <c r="BS273" i="6"/>
  <c r="BS274" i="6"/>
  <c r="BS275" i="6"/>
  <c r="BS276" i="6"/>
  <c r="BS277" i="6"/>
  <c r="BS278" i="6"/>
  <c r="BS279" i="6"/>
  <c r="BS280" i="6"/>
  <c r="BS281" i="6"/>
  <c r="BS282" i="6"/>
  <c r="BS283" i="6"/>
  <c r="BS284" i="6"/>
  <c r="BS285" i="6"/>
  <c r="BS286" i="6"/>
  <c r="BS287" i="6"/>
  <c r="BS288" i="6"/>
  <c r="BS289" i="6"/>
  <c r="BS290" i="6"/>
  <c r="BS291" i="6"/>
  <c r="BS292" i="6"/>
  <c r="BS293" i="6"/>
  <c r="BS294" i="6"/>
  <c r="BS295" i="6"/>
  <c r="BS296" i="6"/>
  <c r="BS297" i="6"/>
  <c r="BS298" i="6"/>
  <c r="BS299" i="6"/>
  <c r="BS300" i="6"/>
  <c r="BS301" i="6"/>
  <c r="BS302" i="6"/>
  <c r="BS253" i="6"/>
  <c r="BS254" i="6"/>
  <c r="BS255" i="6"/>
  <c r="BS256" i="6"/>
  <c r="BS257" i="6"/>
  <c r="BS258" i="6"/>
  <c r="BS259" i="6"/>
  <c r="BS260" i="6"/>
  <c r="BS474" i="6"/>
  <c r="BS614" i="6"/>
  <c r="BS618" i="6"/>
  <c r="BS624" i="6"/>
  <c r="BS628" i="6"/>
  <c r="BS632" i="6"/>
  <c r="BS636" i="6"/>
  <c r="BS368" i="6"/>
  <c r="BS610" i="6"/>
  <c r="BS613" i="6"/>
  <c r="BS615" i="6"/>
  <c r="BS617" i="6"/>
  <c r="BS619" i="6"/>
  <c r="BS621" i="6"/>
  <c r="BS623" i="6"/>
  <c r="BS625" i="6"/>
  <c r="BS627" i="6"/>
  <c r="BS629" i="6"/>
  <c r="BS631" i="6"/>
  <c r="BS633" i="6"/>
  <c r="BS635" i="6"/>
  <c r="BS637" i="6"/>
  <c r="BS639" i="6"/>
  <c r="BS641" i="6"/>
  <c r="BS643" i="6"/>
  <c r="BS376" i="6"/>
  <c r="BS265" i="6"/>
  <c r="BS360" i="6"/>
  <c r="BS362" i="6"/>
  <c r="BS612" i="6"/>
  <c r="BS616" i="6"/>
  <c r="BS620" i="6"/>
  <c r="BS622" i="6"/>
  <c r="BS626" i="6"/>
  <c r="BS630" i="6"/>
  <c r="BS634" i="6"/>
  <c r="BS638" i="6"/>
  <c r="BS640" i="6"/>
  <c r="BS642" i="6"/>
  <c r="BS644" i="6"/>
  <c r="BO1202" i="6"/>
  <c r="BO1203" i="6"/>
  <c r="BO1204" i="6"/>
  <c r="BO1205" i="6"/>
  <c r="BO1206" i="6"/>
  <c r="BO1207" i="6"/>
  <c r="BO1208" i="6"/>
  <c r="BO1201" i="6"/>
  <c r="BO1209" i="6"/>
  <c r="BO1200" i="6"/>
  <c r="BO921" i="6"/>
  <c r="BO922" i="6"/>
  <c r="BO923" i="6"/>
  <c r="BO924" i="6"/>
  <c r="BO925" i="6"/>
  <c r="BO926" i="6"/>
  <c r="BO927" i="6"/>
  <c r="BO928" i="6"/>
  <c r="BO929" i="6"/>
  <c r="BO930" i="6"/>
  <c r="BO931" i="6"/>
  <c r="BO932" i="6"/>
  <c r="BO933" i="6"/>
  <c r="BO938" i="6"/>
  <c r="BO939" i="6"/>
  <c r="BO940" i="6"/>
  <c r="BO946" i="6"/>
  <c r="BO947" i="6"/>
  <c r="BO952" i="6"/>
  <c r="BO953" i="6"/>
  <c r="BO941" i="6"/>
  <c r="BO954" i="6"/>
  <c r="BO898" i="6"/>
  <c r="BO899" i="6"/>
  <c r="BO900" i="6"/>
  <c r="BO901" i="6"/>
  <c r="BO902" i="6"/>
  <c r="BO903" i="6"/>
  <c r="BO904" i="6"/>
  <c r="BO905" i="6"/>
  <c r="BO906" i="6"/>
  <c r="BO907" i="6"/>
  <c r="BO908" i="6"/>
  <c r="BO909" i="6"/>
  <c r="BO910" i="6"/>
  <c r="BO916" i="6"/>
  <c r="BO885" i="6"/>
  <c r="BO886" i="6"/>
  <c r="BO887" i="6"/>
  <c r="BO888" i="6"/>
  <c r="BO889" i="6"/>
  <c r="BO890" i="6"/>
  <c r="BO891" i="6"/>
  <c r="BO892" i="6"/>
  <c r="BO893" i="6"/>
  <c r="BO832" i="6"/>
  <c r="BO833" i="6"/>
  <c r="BO834" i="6"/>
  <c r="BO835" i="6"/>
  <c r="BO836" i="6"/>
  <c r="BO837" i="6"/>
  <c r="BO838" i="6"/>
  <c r="BO839" i="6"/>
  <c r="BO840" i="6"/>
  <c r="BO841" i="6"/>
  <c r="BO912" i="6"/>
  <c r="BO913" i="6"/>
  <c r="BO911" i="6"/>
  <c r="BO861" i="6"/>
  <c r="BO862" i="6"/>
  <c r="BO863" i="6"/>
  <c r="BO864" i="6"/>
  <c r="BO865" i="6"/>
  <c r="BO866" i="6"/>
  <c r="BO867" i="6"/>
  <c r="BO868" i="6"/>
  <c r="BO869" i="6"/>
  <c r="BO870" i="6"/>
  <c r="BO871" i="6"/>
  <c r="BO872" i="6"/>
  <c r="BO873" i="6"/>
  <c r="BO874" i="6"/>
  <c r="BO875" i="6"/>
  <c r="BO876" i="6"/>
  <c r="BO877" i="6"/>
  <c r="BO878" i="6"/>
  <c r="BO879" i="6"/>
  <c r="BO880" i="6"/>
  <c r="BO779" i="6"/>
  <c r="BO780" i="6"/>
  <c r="BO781" i="6"/>
  <c r="BO782" i="6"/>
  <c r="BO783" i="6"/>
  <c r="BO784" i="6"/>
  <c r="BO785" i="6"/>
  <c r="BO786" i="6"/>
  <c r="BO787" i="6"/>
  <c r="BO788" i="6"/>
  <c r="BO789" i="6"/>
  <c r="BO790" i="6"/>
  <c r="BO791" i="6"/>
  <c r="BO792" i="6"/>
  <c r="BO793" i="6"/>
  <c r="BO794" i="6"/>
  <c r="BO914" i="6"/>
  <c r="BO915" i="6"/>
  <c r="BO842" i="6"/>
  <c r="BO843" i="6"/>
  <c r="BO844" i="6"/>
  <c r="BO845" i="6"/>
  <c r="BO846" i="6"/>
  <c r="BO847" i="6"/>
  <c r="BO848" i="6"/>
  <c r="BO849" i="6"/>
  <c r="BO850" i="6"/>
  <c r="BO851" i="6"/>
  <c r="BO852" i="6"/>
  <c r="BO853" i="6"/>
  <c r="BO854" i="6"/>
  <c r="BO855" i="6"/>
  <c r="BO856" i="6"/>
  <c r="BO857" i="6"/>
  <c r="BO858" i="6"/>
  <c r="BO859" i="6"/>
  <c r="BO860" i="6"/>
  <c r="BO795" i="6"/>
  <c r="BO797" i="6"/>
  <c r="BO801" i="6"/>
  <c r="BO802" i="6"/>
  <c r="BO803" i="6"/>
  <c r="BO804" i="6"/>
  <c r="BO805" i="6"/>
  <c r="BO806" i="6"/>
  <c r="BO807" i="6"/>
  <c r="BO808" i="6"/>
  <c r="BO809" i="6"/>
  <c r="BO810" i="6"/>
  <c r="BO811" i="6"/>
  <c r="BO812" i="6"/>
  <c r="BO813" i="6"/>
  <c r="BO814" i="6"/>
  <c r="BO815" i="6"/>
  <c r="BO816" i="6"/>
  <c r="BO817" i="6"/>
  <c r="BO818" i="6"/>
  <c r="BO819" i="6"/>
  <c r="BO820" i="6"/>
  <c r="BO821" i="6"/>
  <c r="BO822" i="6"/>
  <c r="BO823" i="6"/>
  <c r="BO824" i="6"/>
  <c r="BO825" i="6"/>
  <c r="BO826" i="6"/>
  <c r="BO827" i="6"/>
  <c r="BO737" i="6"/>
  <c r="BO738" i="6"/>
  <c r="BO739" i="6"/>
  <c r="BO740" i="6"/>
  <c r="BO741" i="6"/>
  <c r="BO742" i="6"/>
  <c r="BO743" i="6"/>
  <c r="BO744" i="6"/>
  <c r="BO745" i="6"/>
  <c r="BO746" i="6"/>
  <c r="BO747" i="6"/>
  <c r="BO748" i="6"/>
  <c r="BO749" i="6"/>
  <c r="BO750" i="6"/>
  <c r="BO796" i="6"/>
  <c r="BO798" i="6"/>
  <c r="BO799" i="6"/>
  <c r="BO800" i="6"/>
  <c r="BO751" i="6"/>
  <c r="BO752" i="6"/>
  <c r="BO725" i="6"/>
  <c r="BO726" i="6"/>
  <c r="BO727" i="6"/>
  <c r="BO728" i="6"/>
  <c r="BO729" i="6"/>
  <c r="BO730" i="6"/>
  <c r="BO731" i="6"/>
  <c r="BO732" i="6"/>
  <c r="BO753" i="6"/>
  <c r="BO754" i="6"/>
  <c r="BO755" i="6"/>
  <c r="BO756" i="6"/>
  <c r="BO596" i="6"/>
  <c r="BO597" i="6"/>
  <c r="BO598" i="6"/>
  <c r="BO599" i="6"/>
  <c r="BO600" i="6"/>
  <c r="BO601" i="6"/>
  <c r="BO602" i="6"/>
  <c r="BO603" i="6"/>
  <c r="BO604" i="6"/>
  <c r="BO605" i="6"/>
  <c r="BO606" i="6"/>
  <c r="BO607" i="6"/>
  <c r="BO608" i="6"/>
  <c r="BO609" i="6"/>
  <c r="BO610" i="6"/>
  <c r="BO611" i="6"/>
  <c r="BO757" i="6"/>
  <c r="BO758" i="6"/>
  <c r="BO759" i="6"/>
  <c r="BO760" i="6"/>
  <c r="BO761" i="6"/>
  <c r="BO762" i="6"/>
  <c r="BO763" i="6"/>
  <c r="BO764" i="6"/>
  <c r="BO765" i="6"/>
  <c r="BO766" i="6"/>
  <c r="BO767" i="6"/>
  <c r="BO768" i="6"/>
  <c r="BO769" i="6"/>
  <c r="BO770" i="6"/>
  <c r="BO771" i="6"/>
  <c r="BO772" i="6"/>
  <c r="BO773" i="6"/>
  <c r="BO774" i="6"/>
  <c r="BO649" i="6"/>
  <c r="BO650" i="6"/>
  <c r="BO651" i="6"/>
  <c r="BO652" i="6"/>
  <c r="BO653" i="6"/>
  <c r="BO654" i="6"/>
  <c r="BO655" i="6"/>
  <c r="BO656" i="6"/>
  <c r="BO657" i="6"/>
  <c r="BO685" i="6"/>
  <c r="BO686" i="6"/>
  <c r="BO687" i="6"/>
  <c r="BO688" i="6"/>
  <c r="BO689" i="6"/>
  <c r="BO690" i="6"/>
  <c r="BO691" i="6"/>
  <c r="BO692" i="6"/>
  <c r="BO693" i="6"/>
  <c r="BO694" i="6"/>
  <c r="BO695" i="6"/>
  <c r="BO696" i="6"/>
  <c r="BO697" i="6"/>
  <c r="BO702" i="6"/>
  <c r="BO703" i="6"/>
  <c r="BO704" i="6"/>
  <c r="BO705" i="6"/>
  <c r="BO710" i="6"/>
  <c r="BO711" i="6"/>
  <c r="BO716" i="6"/>
  <c r="BO717" i="6"/>
  <c r="BO718" i="6"/>
  <c r="BO662" i="6"/>
  <c r="BO663" i="6"/>
  <c r="BO664" i="6"/>
  <c r="BO665" i="6"/>
  <c r="BO666" i="6"/>
  <c r="BO667" i="6"/>
  <c r="BO668" i="6"/>
  <c r="BO669" i="6"/>
  <c r="BO670" i="6"/>
  <c r="BO671" i="6"/>
  <c r="BO672" i="6"/>
  <c r="BO673" i="6"/>
  <c r="BO674" i="6"/>
  <c r="BO675" i="6"/>
  <c r="BO676" i="6"/>
  <c r="BO677" i="6"/>
  <c r="BO678" i="6"/>
  <c r="BO679" i="6"/>
  <c r="BO680" i="6"/>
  <c r="BO612" i="6"/>
  <c r="BO613" i="6"/>
  <c r="BO614" i="6"/>
  <c r="BO615" i="6"/>
  <c r="BO616" i="6"/>
  <c r="BO617" i="6"/>
  <c r="BO618" i="6"/>
  <c r="BO619" i="6"/>
  <c r="BO620" i="6"/>
  <c r="BO621" i="6"/>
  <c r="BO622" i="6"/>
  <c r="BO623" i="6"/>
  <c r="BO624" i="6"/>
  <c r="BO625" i="6"/>
  <c r="BO626" i="6"/>
  <c r="BO627" i="6"/>
  <c r="BO628" i="6"/>
  <c r="BO629" i="6"/>
  <c r="BO630" i="6"/>
  <c r="BO631" i="6"/>
  <c r="BO632" i="6"/>
  <c r="BO633" i="6"/>
  <c r="BO634" i="6"/>
  <c r="BO635" i="6"/>
  <c r="BO636" i="6"/>
  <c r="BO637" i="6"/>
  <c r="BO638" i="6"/>
  <c r="BO639" i="6"/>
  <c r="BO640" i="6"/>
  <c r="BO641" i="6"/>
  <c r="BO642" i="6"/>
  <c r="BO643" i="6"/>
  <c r="BO644" i="6"/>
  <c r="BO489" i="6"/>
  <c r="BO490" i="6"/>
  <c r="BO491" i="6"/>
  <c r="BO492" i="6"/>
  <c r="BO493" i="6"/>
  <c r="BO494" i="6"/>
  <c r="BO495" i="6"/>
  <c r="BO496" i="6"/>
  <c r="BO364" i="6"/>
  <c r="BO365" i="6"/>
  <c r="BO366" i="6"/>
  <c r="BO568" i="6"/>
  <c r="BO570" i="6"/>
  <c r="BO572" i="6"/>
  <c r="BO574" i="6"/>
  <c r="BO576" i="6"/>
  <c r="BO578" i="6"/>
  <c r="BO580" i="6"/>
  <c r="BO582" i="6"/>
  <c r="BO584" i="6"/>
  <c r="BO586" i="6"/>
  <c r="BO588" i="6"/>
  <c r="BO360" i="6"/>
  <c r="BO361" i="6"/>
  <c r="BO362" i="6"/>
  <c r="BO312" i="6"/>
  <c r="BO313" i="6"/>
  <c r="BO314" i="6"/>
  <c r="BO315" i="6"/>
  <c r="BO316" i="6"/>
  <c r="BO317" i="6"/>
  <c r="BO318" i="6"/>
  <c r="BO319" i="6"/>
  <c r="BO320" i="6"/>
  <c r="BO321" i="6"/>
  <c r="BO322" i="6"/>
  <c r="BO323" i="6"/>
  <c r="BO324" i="6"/>
  <c r="BO325" i="6"/>
  <c r="BO326" i="6"/>
  <c r="BO327" i="6"/>
  <c r="BO328" i="6"/>
  <c r="BO329" i="6"/>
  <c r="BO330" i="6"/>
  <c r="BO331" i="6"/>
  <c r="BO332" i="6"/>
  <c r="BO333" i="6"/>
  <c r="BO334" i="6"/>
  <c r="BO335" i="6"/>
  <c r="BO336" i="6"/>
  <c r="BO337" i="6"/>
  <c r="BO338" i="6"/>
  <c r="BO339" i="6"/>
  <c r="BO340" i="6"/>
  <c r="BO341" i="6"/>
  <c r="BO342" i="6"/>
  <c r="BO343" i="6"/>
  <c r="BO344" i="6"/>
  <c r="BO345" i="6"/>
  <c r="BO346" i="6"/>
  <c r="BO347" i="6"/>
  <c r="BO348" i="6"/>
  <c r="BO349" i="6"/>
  <c r="BO350" i="6"/>
  <c r="BO351" i="6"/>
  <c r="BO352" i="6"/>
  <c r="BO353" i="6"/>
  <c r="BO354" i="6"/>
  <c r="BO355" i="6"/>
  <c r="BO267" i="6"/>
  <c r="BO543" i="6"/>
  <c r="BO544" i="6"/>
  <c r="BO545" i="6"/>
  <c r="BO546" i="6"/>
  <c r="BO547" i="6"/>
  <c r="BO548" i="6"/>
  <c r="BO549" i="6"/>
  <c r="BO550" i="6"/>
  <c r="BO551" i="6"/>
  <c r="BO552" i="6"/>
  <c r="BO553" i="6"/>
  <c r="BO554" i="6"/>
  <c r="BO555" i="6"/>
  <c r="BO556" i="6"/>
  <c r="BO557" i="6"/>
  <c r="BO558" i="6"/>
  <c r="BO559" i="6"/>
  <c r="BO560" i="6"/>
  <c r="BO561" i="6"/>
  <c r="BO562" i="6"/>
  <c r="BO563" i="6"/>
  <c r="BO564" i="6"/>
  <c r="BO565" i="6"/>
  <c r="BO566" i="6"/>
  <c r="BO367" i="6"/>
  <c r="BO372" i="6"/>
  <c r="BO373" i="6"/>
  <c r="BO374" i="6"/>
  <c r="BO375" i="6"/>
  <c r="BO378" i="6"/>
  <c r="BO379" i="6"/>
  <c r="BO380" i="6"/>
  <c r="BO381" i="6"/>
  <c r="BO382" i="6"/>
  <c r="BO383" i="6"/>
  <c r="BO384" i="6"/>
  <c r="BO385" i="6"/>
  <c r="BO386" i="6"/>
  <c r="BO387" i="6"/>
  <c r="BO388" i="6"/>
  <c r="BO389" i="6"/>
  <c r="BO390" i="6"/>
  <c r="BO391" i="6"/>
  <c r="BO392" i="6"/>
  <c r="BO393" i="6"/>
  <c r="BO394" i="6"/>
  <c r="BO395" i="6"/>
  <c r="BO396" i="6"/>
  <c r="BO397" i="6"/>
  <c r="BO398" i="6"/>
  <c r="BO399" i="6"/>
  <c r="BO400" i="6"/>
  <c r="BO401" i="6"/>
  <c r="BO402" i="6"/>
  <c r="BO403" i="6"/>
  <c r="BO404" i="6"/>
  <c r="BO405" i="6"/>
  <c r="BO406" i="6"/>
  <c r="BO407" i="6"/>
  <c r="BO408" i="6"/>
  <c r="BO307" i="6"/>
  <c r="BO308" i="6"/>
  <c r="BO309" i="6"/>
  <c r="BO310" i="6"/>
  <c r="BO311" i="6"/>
  <c r="BO449" i="6"/>
  <c r="BO450" i="6"/>
  <c r="BO451" i="6"/>
  <c r="BO452" i="6"/>
  <c r="BO453" i="6"/>
  <c r="BO454" i="6"/>
  <c r="BO455" i="6"/>
  <c r="BO456" i="6"/>
  <c r="BO457" i="6"/>
  <c r="BO458" i="6"/>
  <c r="BO459" i="6"/>
  <c r="BO460" i="6"/>
  <c r="BO461" i="6"/>
  <c r="BO466" i="6"/>
  <c r="BO467" i="6"/>
  <c r="BO468" i="6"/>
  <c r="BO469" i="6"/>
  <c r="BO271" i="6"/>
  <c r="BO272" i="6"/>
  <c r="BO276" i="6"/>
  <c r="BO277" i="6"/>
  <c r="BO281" i="6"/>
  <c r="BO282" i="6"/>
  <c r="BO284" i="6"/>
  <c r="BO285" i="6"/>
  <c r="BO286" i="6"/>
  <c r="BO287" i="6"/>
  <c r="BO288" i="6"/>
  <c r="BO289" i="6"/>
  <c r="BO290" i="6"/>
  <c r="BO291" i="6"/>
  <c r="BO292" i="6"/>
  <c r="BO293" i="6"/>
  <c r="BO294" i="6"/>
  <c r="BO295" i="6"/>
  <c r="BO296" i="6"/>
  <c r="BO298" i="6"/>
  <c r="BO299" i="6"/>
  <c r="BO300" i="6"/>
  <c r="BO301" i="6"/>
  <c r="BO302" i="6"/>
  <c r="BO253" i="6"/>
  <c r="BO254" i="6"/>
  <c r="BO255" i="6"/>
  <c r="BO256" i="6"/>
  <c r="BO257" i="6"/>
  <c r="BO258" i="6"/>
  <c r="BO259" i="6"/>
  <c r="BO260" i="6"/>
  <c r="BO569" i="6"/>
  <c r="BO589" i="6"/>
  <c r="BO591" i="6"/>
  <c r="BO502" i="6"/>
  <c r="BO504" i="6"/>
  <c r="BO505" i="6"/>
  <c r="BO507" i="6"/>
  <c r="BO509" i="6"/>
  <c r="BO511" i="6"/>
  <c r="BO513" i="6"/>
  <c r="BO514" i="6"/>
  <c r="BO516" i="6"/>
  <c r="BO519" i="6"/>
  <c r="BO522" i="6"/>
  <c r="BO524" i="6"/>
  <c r="BO526" i="6"/>
  <c r="BO527" i="6"/>
  <c r="BO529" i="6"/>
  <c r="BO532" i="6"/>
  <c r="BO535" i="6"/>
  <c r="BO537" i="6"/>
  <c r="BO538" i="6"/>
  <c r="BO429" i="6"/>
  <c r="BO433" i="6"/>
  <c r="BO439" i="6"/>
  <c r="BO441" i="6"/>
  <c r="BO443" i="6"/>
  <c r="BO567" i="6"/>
  <c r="BO571" i="6"/>
  <c r="BO575" i="6"/>
  <c r="BO579" i="6"/>
  <c r="BO583" i="6"/>
  <c r="BO587" i="6"/>
  <c r="BO481" i="6"/>
  <c r="BO426" i="6"/>
  <c r="BO428" i="6"/>
  <c r="BO430" i="6"/>
  <c r="BO432" i="6"/>
  <c r="BO434" i="6"/>
  <c r="BO436" i="6"/>
  <c r="BO438" i="6"/>
  <c r="BO440" i="6"/>
  <c r="BO442" i="6"/>
  <c r="BO444" i="6"/>
  <c r="BO414" i="6"/>
  <c r="BO416" i="6"/>
  <c r="BO418" i="6"/>
  <c r="BO420" i="6"/>
  <c r="BO370" i="6"/>
  <c r="BO268" i="6"/>
  <c r="BO269" i="6"/>
  <c r="BO270" i="6"/>
  <c r="BO273" i="6"/>
  <c r="BO274" i="6"/>
  <c r="BO275" i="6"/>
  <c r="BO278" i="6"/>
  <c r="BO279" i="6"/>
  <c r="BO280" i="6"/>
  <c r="BO283" i="6"/>
  <c r="BO297" i="6"/>
  <c r="BO573" i="6"/>
  <c r="BO577" i="6"/>
  <c r="BO581" i="6"/>
  <c r="BO585" i="6"/>
  <c r="BO590" i="6"/>
  <c r="BO501" i="6"/>
  <c r="BO503" i="6"/>
  <c r="BO506" i="6"/>
  <c r="BO508" i="6"/>
  <c r="BO510" i="6"/>
  <c r="BO512" i="6"/>
  <c r="BO515" i="6"/>
  <c r="BO517" i="6"/>
  <c r="BO518" i="6"/>
  <c r="BO520" i="6"/>
  <c r="BO521" i="6"/>
  <c r="BO523" i="6"/>
  <c r="BO525" i="6"/>
  <c r="BO528" i="6"/>
  <c r="BO530" i="6"/>
  <c r="BO531" i="6"/>
  <c r="BO533" i="6"/>
  <c r="BO534" i="6"/>
  <c r="BO536" i="6"/>
  <c r="BO480" i="6"/>
  <c r="BO482" i="6"/>
  <c r="BO427" i="6"/>
  <c r="BO431" i="6"/>
  <c r="BO435" i="6"/>
  <c r="BO437" i="6"/>
  <c r="BO413" i="6"/>
  <c r="BO415" i="6"/>
  <c r="BO417" i="6"/>
  <c r="BO419" i="6"/>
  <c r="BO421" i="6"/>
  <c r="BO371" i="6"/>
  <c r="BO376" i="6"/>
  <c r="DF1207" i="6"/>
  <c r="DF1208" i="6"/>
  <c r="DF1209" i="6"/>
  <c r="DF1200" i="6"/>
  <c r="DF921" i="6"/>
  <c r="DF1204" i="6"/>
  <c r="DF922" i="6"/>
  <c r="DF923" i="6"/>
  <c r="DF924" i="6"/>
  <c r="DF1203" i="6"/>
  <c r="DF1202" i="6"/>
  <c r="DF1206" i="6"/>
  <c r="DF1205" i="6"/>
  <c r="DF1201" i="6"/>
  <c r="DF925" i="6"/>
  <c r="DF926" i="6"/>
  <c r="DF927" i="6"/>
  <c r="DF928" i="6"/>
  <c r="DF929" i="6"/>
  <c r="DF930" i="6"/>
  <c r="DF931" i="6"/>
  <c r="DF932" i="6"/>
  <c r="DF933" i="6"/>
  <c r="DF938" i="6"/>
  <c r="DF939" i="6"/>
  <c r="DF940" i="6"/>
  <c r="DF953" i="6"/>
  <c r="DF954" i="6"/>
  <c r="DF898" i="6"/>
  <c r="DF899" i="6"/>
  <c r="DF900" i="6"/>
  <c r="DF901" i="6"/>
  <c r="DF902" i="6"/>
  <c r="DF903" i="6"/>
  <c r="DF904" i="6"/>
  <c r="DF905" i="6"/>
  <c r="DF906" i="6"/>
  <c r="DF907" i="6"/>
  <c r="DF908" i="6"/>
  <c r="DF909" i="6"/>
  <c r="DF910" i="6"/>
  <c r="DF911" i="6"/>
  <c r="DF912" i="6"/>
  <c r="DF913" i="6"/>
  <c r="DF914" i="6"/>
  <c r="DF946" i="6"/>
  <c r="DF941" i="6"/>
  <c r="DF915" i="6"/>
  <c r="DF916" i="6"/>
  <c r="DF885" i="6"/>
  <c r="DF886" i="6"/>
  <c r="DF887" i="6"/>
  <c r="DF888" i="6"/>
  <c r="DF889" i="6"/>
  <c r="DF890" i="6"/>
  <c r="DF891" i="6"/>
  <c r="DF892" i="6"/>
  <c r="DF893" i="6"/>
  <c r="DF832" i="6"/>
  <c r="DF833" i="6"/>
  <c r="DF834" i="6"/>
  <c r="DF835" i="6"/>
  <c r="DF836" i="6"/>
  <c r="DF837" i="6"/>
  <c r="DF838" i="6"/>
  <c r="DF839" i="6"/>
  <c r="DF840" i="6"/>
  <c r="DF952" i="6"/>
  <c r="DF947" i="6"/>
  <c r="DF841" i="6"/>
  <c r="DF842" i="6"/>
  <c r="DF843" i="6"/>
  <c r="DF844" i="6"/>
  <c r="DF845" i="6"/>
  <c r="DF846" i="6"/>
  <c r="DF847" i="6"/>
  <c r="DF848" i="6"/>
  <c r="DF849" i="6"/>
  <c r="DF850" i="6"/>
  <c r="DF851" i="6"/>
  <c r="DF852" i="6"/>
  <c r="DF853" i="6"/>
  <c r="DF854" i="6"/>
  <c r="DF855" i="6"/>
  <c r="DF856" i="6"/>
  <c r="DF857" i="6"/>
  <c r="DF858" i="6"/>
  <c r="DF859" i="6"/>
  <c r="DF860" i="6"/>
  <c r="DF861" i="6"/>
  <c r="DF862" i="6"/>
  <c r="DF863" i="6"/>
  <c r="DF864" i="6"/>
  <c r="DF865" i="6"/>
  <c r="DF866" i="6"/>
  <c r="DF867" i="6"/>
  <c r="DF868" i="6"/>
  <c r="DF869" i="6"/>
  <c r="DF870" i="6"/>
  <c r="DF871" i="6"/>
  <c r="DF872" i="6"/>
  <c r="DF873" i="6"/>
  <c r="DF874" i="6"/>
  <c r="DF875" i="6"/>
  <c r="DF876" i="6"/>
  <c r="DF877" i="6"/>
  <c r="DF878" i="6"/>
  <c r="DF879" i="6"/>
  <c r="DF880" i="6"/>
  <c r="DF779" i="6"/>
  <c r="DF780" i="6"/>
  <c r="DF781" i="6"/>
  <c r="DF782" i="6"/>
  <c r="DF783" i="6"/>
  <c r="DF784" i="6"/>
  <c r="DF785" i="6"/>
  <c r="DF786" i="6"/>
  <c r="DF787" i="6"/>
  <c r="DF788" i="6"/>
  <c r="DF789" i="6"/>
  <c r="DF790" i="6"/>
  <c r="DF791" i="6"/>
  <c r="DF792" i="6"/>
  <c r="DF793" i="6"/>
  <c r="DF795" i="6"/>
  <c r="DF797" i="6"/>
  <c r="DF794" i="6"/>
  <c r="DF796" i="6"/>
  <c r="DF798" i="6"/>
  <c r="DF799" i="6"/>
  <c r="DF748" i="6"/>
  <c r="DF749" i="6"/>
  <c r="DF750" i="6"/>
  <c r="DF751" i="6"/>
  <c r="DF725" i="6"/>
  <c r="DF726" i="6"/>
  <c r="DF727" i="6"/>
  <c r="DF728" i="6"/>
  <c r="DF729" i="6"/>
  <c r="DF730" i="6"/>
  <c r="DF731" i="6"/>
  <c r="DF732" i="6"/>
  <c r="DF752" i="6"/>
  <c r="DF753" i="6"/>
  <c r="DF754" i="6"/>
  <c r="DF755" i="6"/>
  <c r="DF756" i="6"/>
  <c r="DF757" i="6"/>
  <c r="DF758" i="6"/>
  <c r="DF759" i="6"/>
  <c r="DF760" i="6"/>
  <c r="DF761" i="6"/>
  <c r="DF762" i="6"/>
  <c r="DF763" i="6"/>
  <c r="DF764" i="6"/>
  <c r="DF765" i="6"/>
  <c r="DF766" i="6"/>
  <c r="DF767" i="6"/>
  <c r="DF768" i="6"/>
  <c r="DF769" i="6"/>
  <c r="DF770" i="6"/>
  <c r="DF771" i="6"/>
  <c r="DF772" i="6"/>
  <c r="DF773" i="6"/>
  <c r="DF774" i="6"/>
  <c r="DF685" i="6"/>
  <c r="DF686" i="6"/>
  <c r="DF687" i="6"/>
  <c r="DF688" i="6"/>
  <c r="DF689" i="6"/>
  <c r="DF690" i="6"/>
  <c r="DF691" i="6"/>
  <c r="DF692" i="6"/>
  <c r="DF693" i="6"/>
  <c r="DF694" i="6"/>
  <c r="DF695" i="6"/>
  <c r="DF696" i="6"/>
  <c r="DF697" i="6"/>
  <c r="DF702" i="6"/>
  <c r="DF703" i="6"/>
  <c r="DF704" i="6"/>
  <c r="DF705" i="6"/>
  <c r="DF710" i="6"/>
  <c r="DF711" i="6"/>
  <c r="DF716" i="6"/>
  <c r="DF717" i="6"/>
  <c r="DF718" i="6"/>
  <c r="DF662" i="6"/>
  <c r="DF663" i="6"/>
  <c r="DF664" i="6"/>
  <c r="DF665" i="6"/>
  <c r="DF666" i="6"/>
  <c r="DF667" i="6"/>
  <c r="DF668" i="6"/>
  <c r="DF669" i="6"/>
  <c r="DF670" i="6"/>
  <c r="DF671" i="6"/>
  <c r="DF672" i="6"/>
  <c r="DF673" i="6"/>
  <c r="DF674" i="6"/>
  <c r="DF675" i="6"/>
  <c r="DF676" i="6"/>
  <c r="DF677" i="6"/>
  <c r="DF678" i="6"/>
  <c r="DF679" i="6"/>
  <c r="DF680" i="6"/>
  <c r="DF803" i="6"/>
  <c r="DF807" i="6"/>
  <c r="DF811" i="6"/>
  <c r="DF815" i="6"/>
  <c r="DF819" i="6"/>
  <c r="DF823" i="6"/>
  <c r="DF827" i="6"/>
  <c r="DF739" i="6"/>
  <c r="DF743" i="6"/>
  <c r="DF747" i="6"/>
  <c r="DF596" i="6"/>
  <c r="DF597" i="6"/>
  <c r="DF598" i="6"/>
  <c r="DF599" i="6"/>
  <c r="DF600" i="6"/>
  <c r="DF601" i="6"/>
  <c r="DF602" i="6"/>
  <c r="DF603" i="6"/>
  <c r="DF604" i="6"/>
  <c r="DF605" i="6"/>
  <c r="DF606" i="6"/>
  <c r="DF607" i="6"/>
  <c r="DF608" i="6"/>
  <c r="DF609" i="6"/>
  <c r="DF610" i="6"/>
  <c r="DF802" i="6"/>
  <c r="DF806" i="6"/>
  <c r="DF810" i="6"/>
  <c r="DF814" i="6"/>
  <c r="DF818" i="6"/>
  <c r="DF822" i="6"/>
  <c r="DF826" i="6"/>
  <c r="DF738" i="6"/>
  <c r="DF742" i="6"/>
  <c r="DF746" i="6"/>
  <c r="DF653" i="6"/>
  <c r="DF654" i="6"/>
  <c r="DF655" i="6"/>
  <c r="DF656" i="6"/>
  <c r="DF657" i="6"/>
  <c r="DF543" i="6"/>
  <c r="DF544" i="6"/>
  <c r="DF545" i="6"/>
  <c r="DF546" i="6"/>
  <c r="DF547" i="6"/>
  <c r="DF548" i="6"/>
  <c r="DF549" i="6"/>
  <c r="DF550" i="6"/>
  <c r="DF551" i="6"/>
  <c r="DF552" i="6"/>
  <c r="DF553" i="6"/>
  <c r="DF554" i="6"/>
  <c r="DF555" i="6"/>
  <c r="DF556" i="6"/>
  <c r="DF557" i="6"/>
  <c r="DF558" i="6"/>
  <c r="DF559" i="6"/>
  <c r="DF560" i="6"/>
  <c r="DF561" i="6"/>
  <c r="DF562" i="6"/>
  <c r="DF563" i="6"/>
  <c r="DF564" i="6"/>
  <c r="DF565" i="6"/>
  <c r="DF800" i="6"/>
  <c r="DF808" i="6"/>
  <c r="DF816" i="6"/>
  <c r="DF824" i="6"/>
  <c r="DF740" i="6"/>
  <c r="DF489" i="6"/>
  <c r="DF490" i="6"/>
  <c r="DF491" i="6"/>
  <c r="DF492" i="6"/>
  <c r="DF493" i="6"/>
  <c r="DF494" i="6"/>
  <c r="DF495" i="6"/>
  <c r="DF496" i="6"/>
  <c r="DF801" i="6"/>
  <c r="DF809" i="6"/>
  <c r="DF817" i="6"/>
  <c r="DF825" i="6"/>
  <c r="DF741" i="6"/>
  <c r="DF611" i="6"/>
  <c r="DF612" i="6"/>
  <c r="DF613" i="6"/>
  <c r="DF614" i="6"/>
  <c r="DF615" i="6"/>
  <c r="DF616" i="6"/>
  <c r="DF617" i="6"/>
  <c r="DF618" i="6"/>
  <c r="DF619" i="6"/>
  <c r="DF620" i="6"/>
  <c r="DF621" i="6"/>
  <c r="DF622" i="6"/>
  <c r="DF623" i="6"/>
  <c r="DF624" i="6"/>
  <c r="DF625" i="6"/>
  <c r="DF626" i="6"/>
  <c r="DF627" i="6"/>
  <c r="DF628" i="6"/>
  <c r="DF629" i="6"/>
  <c r="DF630" i="6"/>
  <c r="DF631" i="6"/>
  <c r="DF632" i="6"/>
  <c r="DF633" i="6"/>
  <c r="DF634" i="6"/>
  <c r="DF635" i="6"/>
  <c r="DF636" i="6"/>
  <c r="DF637" i="6"/>
  <c r="DF638" i="6"/>
  <c r="DF639" i="6"/>
  <c r="DF640" i="6"/>
  <c r="DF641" i="6"/>
  <c r="DF642" i="6"/>
  <c r="DF643" i="6"/>
  <c r="DF644" i="6"/>
  <c r="DF589" i="6"/>
  <c r="DF590" i="6"/>
  <c r="DF591" i="6"/>
  <c r="DF501" i="6"/>
  <c r="DF502" i="6"/>
  <c r="DF503" i="6"/>
  <c r="DF504" i="6"/>
  <c r="DF505" i="6"/>
  <c r="DF506" i="6"/>
  <c r="DF507" i="6"/>
  <c r="DF508" i="6"/>
  <c r="DF509" i="6"/>
  <c r="DF510" i="6"/>
  <c r="DF511" i="6"/>
  <c r="DF512" i="6"/>
  <c r="DF513" i="6"/>
  <c r="DF514" i="6"/>
  <c r="DF515" i="6"/>
  <c r="DF516" i="6"/>
  <c r="DF517" i="6"/>
  <c r="DF518" i="6"/>
  <c r="DF519" i="6"/>
  <c r="DF520" i="6"/>
  <c r="DF521" i="6"/>
  <c r="DF522" i="6"/>
  <c r="DF523" i="6"/>
  <c r="DF524" i="6"/>
  <c r="DF525" i="6"/>
  <c r="DF526" i="6"/>
  <c r="DF527" i="6"/>
  <c r="DF528" i="6"/>
  <c r="DF529" i="6"/>
  <c r="DF530" i="6"/>
  <c r="DF531" i="6"/>
  <c r="DF532" i="6"/>
  <c r="DF533" i="6"/>
  <c r="DF534" i="6"/>
  <c r="DF535" i="6"/>
  <c r="DF536" i="6"/>
  <c r="DF537" i="6"/>
  <c r="DF538" i="6"/>
  <c r="DF475" i="6"/>
  <c r="DF480" i="6"/>
  <c r="DF481" i="6"/>
  <c r="DF482" i="6"/>
  <c r="DF426" i="6"/>
  <c r="DF427" i="6"/>
  <c r="DF428" i="6"/>
  <c r="DF429" i="6"/>
  <c r="DF430" i="6"/>
  <c r="DF431" i="6"/>
  <c r="DF432" i="6"/>
  <c r="DF433" i="6"/>
  <c r="DF434" i="6"/>
  <c r="DF435" i="6"/>
  <c r="DF436" i="6"/>
  <c r="DF437" i="6"/>
  <c r="DF438" i="6"/>
  <c r="DF439" i="6"/>
  <c r="DF440" i="6"/>
  <c r="DF441" i="6"/>
  <c r="DF442" i="6"/>
  <c r="DF443" i="6"/>
  <c r="DF444" i="6"/>
  <c r="DF413" i="6"/>
  <c r="DF414" i="6"/>
  <c r="DF415" i="6"/>
  <c r="DF416" i="6"/>
  <c r="DF417" i="6"/>
  <c r="DF418" i="6"/>
  <c r="DF419" i="6"/>
  <c r="DF420" i="6"/>
  <c r="DF421" i="6"/>
  <c r="DF368" i="6"/>
  <c r="DF375" i="6"/>
  <c r="DF377" i="6"/>
  <c r="DF378" i="6"/>
  <c r="DF379" i="6"/>
  <c r="DF380" i="6"/>
  <c r="DF381" i="6"/>
  <c r="DF382" i="6"/>
  <c r="DF383" i="6"/>
  <c r="DF384" i="6"/>
  <c r="DF385" i="6"/>
  <c r="DF386" i="6"/>
  <c r="DF387" i="6"/>
  <c r="DF388" i="6"/>
  <c r="DF389" i="6"/>
  <c r="DF390" i="6"/>
  <c r="DF391" i="6"/>
  <c r="DF392" i="6"/>
  <c r="DF393" i="6"/>
  <c r="DF394" i="6"/>
  <c r="DF395" i="6"/>
  <c r="DF396" i="6"/>
  <c r="DF397" i="6"/>
  <c r="DF398" i="6"/>
  <c r="DF399" i="6"/>
  <c r="DF400" i="6"/>
  <c r="DF401" i="6"/>
  <c r="DF402" i="6"/>
  <c r="DF403" i="6"/>
  <c r="DF404" i="6"/>
  <c r="DF405" i="6"/>
  <c r="DF406" i="6"/>
  <c r="DF407" i="6"/>
  <c r="DF408" i="6"/>
  <c r="DF307" i="6"/>
  <c r="DF308" i="6"/>
  <c r="DF309" i="6"/>
  <c r="DF310" i="6"/>
  <c r="DF805" i="6"/>
  <c r="DF821" i="6"/>
  <c r="DF745" i="6"/>
  <c r="DF566" i="6"/>
  <c r="DF568" i="6"/>
  <c r="DF570" i="6"/>
  <c r="DF572" i="6"/>
  <c r="DF574" i="6"/>
  <c r="DF576" i="6"/>
  <c r="DF578" i="6"/>
  <c r="DF580" i="6"/>
  <c r="DF582" i="6"/>
  <c r="DF584" i="6"/>
  <c r="DF586" i="6"/>
  <c r="DF588" i="6"/>
  <c r="DF449" i="6"/>
  <c r="DF450" i="6"/>
  <c r="DF451" i="6"/>
  <c r="DF452" i="6"/>
  <c r="DF453" i="6"/>
  <c r="DF454" i="6"/>
  <c r="DF455" i="6"/>
  <c r="DF456" i="6"/>
  <c r="DF457" i="6"/>
  <c r="DF458" i="6"/>
  <c r="DF459" i="6"/>
  <c r="DF460" i="6"/>
  <c r="DF461" i="6"/>
  <c r="DF466" i="6"/>
  <c r="DF467" i="6"/>
  <c r="DF468" i="6"/>
  <c r="DF474" i="6"/>
  <c r="DF360" i="6"/>
  <c r="DF361" i="6"/>
  <c r="DF362" i="6"/>
  <c r="DF812" i="6"/>
  <c r="DF650" i="6"/>
  <c r="DF652" i="6"/>
  <c r="DF366" i="6"/>
  <c r="DF367" i="6"/>
  <c r="DF371" i="6"/>
  <c r="DF372" i="6"/>
  <c r="DF373" i="6"/>
  <c r="DF374" i="6"/>
  <c r="DF265" i="6"/>
  <c r="DF813" i="6"/>
  <c r="DF737" i="6"/>
  <c r="DF804" i="6"/>
  <c r="DF651" i="6"/>
  <c r="DF376" i="6"/>
  <c r="DF266" i="6"/>
  <c r="DF744" i="6"/>
  <c r="DF318" i="6"/>
  <c r="DF321" i="6"/>
  <c r="DF322" i="6"/>
  <c r="DF325" i="6"/>
  <c r="DF326" i="6"/>
  <c r="DF330" i="6"/>
  <c r="DF331" i="6"/>
  <c r="DF332" i="6"/>
  <c r="DF333" i="6"/>
  <c r="DF338" i="6"/>
  <c r="DF340" i="6"/>
  <c r="DF341" i="6"/>
  <c r="DF343" i="6"/>
  <c r="DF344" i="6"/>
  <c r="DF349" i="6"/>
  <c r="DF350" i="6"/>
  <c r="DF352" i="6"/>
  <c r="DF569" i="6"/>
  <c r="DF573" i="6"/>
  <c r="DF364" i="6"/>
  <c r="DF369" i="6"/>
  <c r="DF268" i="6"/>
  <c r="DF273" i="6"/>
  <c r="DF274" i="6"/>
  <c r="DF277" i="6"/>
  <c r="DF278" i="6"/>
  <c r="DF280" i="6"/>
  <c r="DF282" i="6"/>
  <c r="DF284" i="6"/>
  <c r="DF286" i="6"/>
  <c r="DF288" i="6"/>
  <c r="DF290" i="6"/>
  <c r="DF294" i="6"/>
  <c r="DF297" i="6"/>
  <c r="DF300" i="6"/>
  <c r="DF253" i="6"/>
  <c r="DF255" i="6"/>
  <c r="DF257" i="6"/>
  <c r="DF259" i="6"/>
  <c r="DF260" i="6"/>
  <c r="DF649" i="6"/>
  <c r="DF567" i="6"/>
  <c r="DF571" i="6"/>
  <c r="DF575" i="6"/>
  <c r="DF579" i="6"/>
  <c r="DF583" i="6"/>
  <c r="DF587" i="6"/>
  <c r="DF363" i="6"/>
  <c r="DF365" i="6"/>
  <c r="DF370" i="6"/>
  <c r="DF311" i="6"/>
  <c r="DF312" i="6"/>
  <c r="DF313" i="6"/>
  <c r="DF314" i="6"/>
  <c r="DF315" i="6"/>
  <c r="DF316" i="6"/>
  <c r="DF317" i="6"/>
  <c r="DF319" i="6"/>
  <c r="DF320" i="6"/>
  <c r="DF323" i="6"/>
  <c r="DF324" i="6"/>
  <c r="DF327" i="6"/>
  <c r="DF328" i="6"/>
  <c r="DF329" i="6"/>
  <c r="DF334" i="6"/>
  <c r="DF335" i="6"/>
  <c r="DF336" i="6"/>
  <c r="DF337" i="6"/>
  <c r="DF339" i="6"/>
  <c r="DF342" i="6"/>
  <c r="DF345" i="6"/>
  <c r="DF346" i="6"/>
  <c r="DF347" i="6"/>
  <c r="DF348" i="6"/>
  <c r="DF351" i="6"/>
  <c r="DF353" i="6"/>
  <c r="DF354" i="6"/>
  <c r="DF355" i="6"/>
  <c r="DF820" i="6"/>
  <c r="DF577" i="6"/>
  <c r="DF581" i="6"/>
  <c r="DF585" i="6"/>
  <c r="DF469" i="6"/>
  <c r="DF267" i="6"/>
  <c r="DF269" i="6"/>
  <c r="DF270" i="6"/>
  <c r="DF271" i="6"/>
  <c r="DF272" i="6"/>
  <c r="DF275" i="6"/>
  <c r="DF276" i="6"/>
  <c r="DF279" i="6"/>
  <c r="DF281" i="6"/>
  <c r="DF283" i="6"/>
  <c r="DF285" i="6"/>
  <c r="DF287" i="6"/>
  <c r="DF289" i="6"/>
  <c r="DF291" i="6"/>
  <c r="DF292" i="6"/>
  <c r="DF293" i="6"/>
  <c r="DF295" i="6"/>
  <c r="DF296" i="6"/>
  <c r="DF298" i="6"/>
  <c r="DF299" i="6"/>
  <c r="DF301" i="6"/>
  <c r="DF302" i="6"/>
  <c r="DF254" i="6"/>
  <c r="DF256" i="6"/>
  <c r="DF258" i="6"/>
  <c r="DB1201" i="6"/>
  <c r="DB1202" i="6"/>
  <c r="DB1203" i="6"/>
  <c r="DB1204" i="6"/>
  <c r="DB1205" i="6"/>
  <c r="DB1206" i="6"/>
  <c r="DB1207" i="6"/>
  <c r="DB1208" i="6"/>
  <c r="DB1209" i="6"/>
  <c r="DB1200" i="6"/>
  <c r="DB921" i="6"/>
  <c r="DB922" i="6"/>
  <c r="DB923" i="6"/>
  <c r="DB924" i="6"/>
  <c r="DB925" i="6"/>
  <c r="DB926" i="6"/>
  <c r="DB927" i="6"/>
  <c r="DB928" i="6"/>
  <c r="DB929" i="6"/>
  <c r="DB930" i="6"/>
  <c r="DB931" i="6"/>
  <c r="DB932" i="6"/>
  <c r="DB933" i="6"/>
  <c r="DB938" i="6"/>
  <c r="DB939" i="6"/>
  <c r="DB940" i="6"/>
  <c r="DB941" i="6"/>
  <c r="DB946" i="6"/>
  <c r="DB947" i="6"/>
  <c r="DB952" i="6"/>
  <c r="DB954" i="6"/>
  <c r="DB898" i="6"/>
  <c r="DB899" i="6"/>
  <c r="DB900" i="6"/>
  <c r="DB901" i="6"/>
  <c r="DB902" i="6"/>
  <c r="DB903" i="6"/>
  <c r="DB904" i="6"/>
  <c r="DB905" i="6"/>
  <c r="DB906" i="6"/>
  <c r="DB907" i="6"/>
  <c r="DB908" i="6"/>
  <c r="DB909" i="6"/>
  <c r="DB910" i="6"/>
  <c r="DB911" i="6"/>
  <c r="DB912" i="6"/>
  <c r="DB913" i="6"/>
  <c r="DB914" i="6"/>
  <c r="DB953" i="6"/>
  <c r="DB915" i="6"/>
  <c r="DB916" i="6"/>
  <c r="DB885" i="6"/>
  <c r="DB886" i="6"/>
  <c r="DB887" i="6"/>
  <c r="DB888" i="6"/>
  <c r="DB889" i="6"/>
  <c r="DB890" i="6"/>
  <c r="DB891" i="6"/>
  <c r="DB892" i="6"/>
  <c r="DB893" i="6"/>
  <c r="DB832" i="6"/>
  <c r="DB833" i="6"/>
  <c r="DB834" i="6"/>
  <c r="DB835" i="6"/>
  <c r="DB836" i="6"/>
  <c r="DB837" i="6"/>
  <c r="DB838" i="6"/>
  <c r="DB839" i="6"/>
  <c r="DB840" i="6"/>
  <c r="DB841" i="6"/>
  <c r="DB842" i="6"/>
  <c r="DB843" i="6"/>
  <c r="DB844" i="6"/>
  <c r="DB845" i="6"/>
  <c r="DB846" i="6"/>
  <c r="DB847" i="6"/>
  <c r="DB848" i="6"/>
  <c r="DB849" i="6"/>
  <c r="DB850" i="6"/>
  <c r="DB851" i="6"/>
  <c r="DB852" i="6"/>
  <c r="DB853" i="6"/>
  <c r="DB854" i="6"/>
  <c r="DB855" i="6"/>
  <c r="DB856" i="6"/>
  <c r="DB857" i="6"/>
  <c r="DB858" i="6"/>
  <c r="DB859" i="6"/>
  <c r="DB860" i="6"/>
  <c r="DB861" i="6"/>
  <c r="DB862" i="6"/>
  <c r="DB863" i="6"/>
  <c r="DB864" i="6"/>
  <c r="DB865" i="6"/>
  <c r="DB866" i="6"/>
  <c r="DB867" i="6"/>
  <c r="DB868" i="6"/>
  <c r="DB869" i="6"/>
  <c r="DB870" i="6"/>
  <c r="DB871" i="6"/>
  <c r="DB872" i="6"/>
  <c r="DB873" i="6"/>
  <c r="DB874" i="6"/>
  <c r="DB875" i="6"/>
  <c r="DB876" i="6"/>
  <c r="DB877" i="6"/>
  <c r="DB878" i="6"/>
  <c r="DB879" i="6"/>
  <c r="DB880" i="6"/>
  <c r="DB779" i="6"/>
  <c r="DB780" i="6"/>
  <c r="DB781" i="6"/>
  <c r="DB782" i="6"/>
  <c r="DB783" i="6"/>
  <c r="DB784" i="6"/>
  <c r="DB785" i="6"/>
  <c r="DB786" i="6"/>
  <c r="DB787" i="6"/>
  <c r="DB788" i="6"/>
  <c r="DB789" i="6"/>
  <c r="DB790" i="6"/>
  <c r="DB791" i="6"/>
  <c r="DB792" i="6"/>
  <c r="DB793" i="6"/>
  <c r="DB794" i="6"/>
  <c r="DB796" i="6"/>
  <c r="DB798" i="6"/>
  <c r="DB725" i="6"/>
  <c r="DB726" i="6"/>
  <c r="DB727" i="6"/>
  <c r="DB728" i="6"/>
  <c r="DB729" i="6"/>
  <c r="DB730" i="6"/>
  <c r="DB731" i="6"/>
  <c r="DB732" i="6"/>
  <c r="DB799" i="6"/>
  <c r="DB750" i="6"/>
  <c r="DB751" i="6"/>
  <c r="DB752" i="6"/>
  <c r="DB753" i="6"/>
  <c r="DB754" i="6"/>
  <c r="DB755" i="6"/>
  <c r="DB756" i="6"/>
  <c r="DB757" i="6"/>
  <c r="DB758" i="6"/>
  <c r="DB759" i="6"/>
  <c r="DB760" i="6"/>
  <c r="DB761" i="6"/>
  <c r="DB762" i="6"/>
  <c r="DB763" i="6"/>
  <c r="DB764" i="6"/>
  <c r="DB765" i="6"/>
  <c r="DB766" i="6"/>
  <c r="DB767" i="6"/>
  <c r="DB768" i="6"/>
  <c r="DB769" i="6"/>
  <c r="DB770" i="6"/>
  <c r="DB771" i="6"/>
  <c r="DB772" i="6"/>
  <c r="DB773" i="6"/>
  <c r="DB774" i="6"/>
  <c r="DB685" i="6"/>
  <c r="DB686" i="6"/>
  <c r="DB687" i="6"/>
  <c r="DB688" i="6"/>
  <c r="DB689" i="6"/>
  <c r="DB690" i="6"/>
  <c r="DB691" i="6"/>
  <c r="DB692" i="6"/>
  <c r="DB693" i="6"/>
  <c r="DB694" i="6"/>
  <c r="DB695" i="6"/>
  <c r="DB696" i="6"/>
  <c r="DB697" i="6"/>
  <c r="DB702" i="6"/>
  <c r="DB703" i="6"/>
  <c r="DB704" i="6"/>
  <c r="DB705" i="6"/>
  <c r="DB710" i="6"/>
  <c r="DB711" i="6"/>
  <c r="DB716" i="6"/>
  <c r="DB717" i="6"/>
  <c r="DB718" i="6"/>
  <c r="DB662" i="6"/>
  <c r="DB663" i="6"/>
  <c r="DB664" i="6"/>
  <c r="DB665" i="6"/>
  <c r="DB666" i="6"/>
  <c r="DB667" i="6"/>
  <c r="DB668" i="6"/>
  <c r="DB669" i="6"/>
  <c r="DB670" i="6"/>
  <c r="DB671" i="6"/>
  <c r="DB672" i="6"/>
  <c r="DB673" i="6"/>
  <c r="DB674" i="6"/>
  <c r="DB675" i="6"/>
  <c r="DB676" i="6"/>
  <c r="DB677" i="6"/>
  <c r="DB678" i="6"/>
  <c r="DB679" i="6"/>
  <c r="DB680" i="6"/>
  <c r="DB795" i="6"/>
  <c r="DB800" i="6"/>
  <c r="DB801" i="6"/>
  <c r="DB802" i="6"/>
  <c r="DB803" i="6"/>
  <c r="DB804" i="6"/>
  <c r="DB805" i="6"/>
  <c r="DB806" i="6"/>
  <c r="DB807" i="6"/>
  <c r="DB808" i="6"/>
  <c r="DB809" i="6"/>
  <c r="DB810" i="6"/>
  <c r="DB811" i="6"/>
  <c r="DB812" i="6"/>
  <c r="DB813" i="6"/>
  <c r="DB814" i="6"/>
  <c r="DB815" i="6"/>
  <c r="DB816" i="6"/>
  <c r="DB817" i="6"/>
  <c r="DB818" i="6"/>
  <c r="DB819" i="6"/>
  <c r="DB820" i="6"/>
  <c r="DB821" i="6"/>
  <c r="DB822" i="6"/>
  <c r="DB823" i="6"/>
  <c r="DB824" i="6"/>
  <c r="DB825" i="6"/>
  <c r="DB826" i="6"/>
  <c r="DB827" i="6"/>
  <c r="DB737" i="6"/>
  <c r="DB738" i="6"/>
  <c r="DB739" i="6"/>
  <c r="DB740" i="6"/>
  <c r="DB741" i="6"/>
  <c r="DB742" i="6"/>
  <c r="DB743" i="6"/>
  <c r="DB744" i="6"/>
  <c r="DB745" i="6"/>
  <c r="DB746" i="6"/>
  <c r="DB747" i="6"/>
  <c r="DB748" i="6"/>
  <c r="DB749" i="6"/>
  <c r="DB649" i="6"/>
  <c r="DB650" i="6"/>
  <c r="DB651" i="6"/>
  <c r="DB652" i="6"/>
  <c r="DB797" i="6"/>
  <c r="DB596" i="6"/>
  <c r="DB597" i="6"/>
  <c r="DB598" i="6"/>
  <c r="DB599" i="6"/>
  <c r="DB600" i="6"/>
  <c r="DB601" i="6"/>
  <c r="DB602" i="6"/>
  <c r="DB603" i="6"/>
  <c r="DB604" i="6"/>
  <c r="DB605" i="6"/>
  <c r="DB606" i="6"/>
  <c r="DB607" i="6"/>
  <c r="DB608" i="6"/>
  <c r="DB609" i="6"/>
  <c r="DB610" i="6"/>
  <c r="DB543" i="6"/>
  <c r="DB544" i="6"/>
  <c r="DB545" i="6"/>
  <c r="DB546" i="6"/>
  <c r="DB547" i="6"/>
  <c r="DB548" i="6"/>
  <c r="DB549" i="6"/>
  <c r="DB550" i="6"/>
  <c r="DB551" i="6"/>
  <c r="DB552" i="6"/>
  <c r="DB553" i="6"/>
  <c r="DB554" i="6"/>
  <c r="DB555" i="6"/>
  <c r="DB556" i="6"/>
  <c r="DB557" i="6"/>
  <c r="DB558" i="6"/>
  <c r="DB559" i="6"/>
  <c r="DB560" i="6"/>
  <c r="DB561" i="6"/>
  <c r="DB562" i="6"/>
  <c r="DB563" i="6"/>
  <c r="DB564" i="6"/>
  <c r="DB565" i="6"/>
  <c r="DB489" i="6"/>
  <c r="DB490" i="6"/>
  <c r="DB491" i="6"/>
  <c r="DB492" i="6"/>
  <c r="DB493" i="6"/>
  <c r="DB494" i="6"/>
  <c r="DB495" i="6"/>
  <c r="DB496" i="6"/>
  <c r="DB654" i="6"/>
  <c r="DB656" i="6"/>
  <c r="DB589" i="6"/>
  <c r="DB590" i="6"/>
  <c r="DB591" i="6"/>
  <c r="DB501" i="6"/>
  <c r="DB502" i="6"/>
  <c r="DB503" i="6"/>
  <c r="DB504" i="6"/>
  <c r="DB505" i="6"/>
  <c r="DB506" i="6"/>
  <c r="DB507" i="6"/>
  <c r="DB508" i="6"/>
  <c r="DB509" i="6"/>
  <c r="DB510" i="6"/>
  <c r="DB511" i="6"/>
  <c r="DB512" i="6"/>
  <c r="DB513" i="6"/>
  <c r="DB514" i="6"/>
  <c r="DB515" i="6"/>
  <c r="DB516" i="6"/>
  <c r="DB517" i="6"/>
  <c r="DB518" i="6"/>
  <c r="DB519" i="6"/>
  <c r="DB520" i="6"/>
  <c r="DB521" i="6"/>
  <c r="DB522" i="6"/>
  <c r="DB523" i="6"/>
  <c r="DB524" i="6"/>
  <c r="DB525" i="6"/>
  <c r="DB526" i="6"/>
  <c r="DB527" i="6"/>
  <c r="DB528" i="6"/>
  <c r="DB529" i="6"/>
  <c r="DB530" i="6"/>
  <c r="DB531" i="6"/>
  <c r="DB532" i="6"/>
  <c r="DB533" i="6"/>
  <c r="DB534" i="6"/>
  <c r="DB535" i="6"/>
  <c r="DB536" i="6"/>
  <c r="DB537" i="6"/>
  <c r="DB538" i="6"/>
  <c r="DB475" i="6"/>
  <c r="DB480" i="6"/>
  <c r="DB481" i="6"/>
  <c r="DB482" i="6"/>
  <c r="DB426" i="6"/>
  <c r="DB427" i="6"/>
  <c r="DB428" i="6"/>
  <c r="DB429" i="6"/>
  <c r="DB430" i="6"/>
  <c r="DB431" i="6"/>
  <c r="DB432" i="6"/>
  <c r="DB433" i="6"/>
  <c r="DB434" i="6"/>
  <c r="DB435" i="6"/>
  <c r="DB436" i="6"/>
  <c r="DB437" i="6"/>
  <c r="DB438" i="6"/>
  <c r="DB439" i="6"/>
  <c r="DB440" i="6"/>
  <c r="DB441" i="6"/>
  <c r="DB442" i="6"/>
  <c r="DB443" i="6"/>
  <c r="DB444" i="6"/>
  <c r="DB413" i="6"/>
  <c r="DB414" i="6"/>
  <c r="DB415" i="6"/>
  <c r="DB416" i="6"/>
  <c r="DB417" i="6"/>
  <c r="DB418" i="6"/>
  <c r="DB419" i="6"/>
  <c r="DB420" i="6"/>
  <c r="DB421" i="6"/>
  <c r="DB368" i="6"/>
  <c r="DB375" i="6"/>
  <c r="DB377" i="6"/>
  <c r="DB378" i="6"/>
  <c r="DB379" i="6"/>
  <c r="DB380" i="6"/>
  <c r="DB381" i="6"/>
  <c r="DB382" i="6"/>
  <c r="DB383" i="6"/>
  <c r="DB384" i="6"/>
  <c r="DB385" i="6"/>
  <c r="DB386" i="6"/>
  <c r="DB387" i="6"/>
  <c r="DB388" i="6"/>
  <c r="DB389" i="6"/>
  <c r="DB390" i="6"/>
  <c r="DB391" i="6"/>
  <c r="DB392" i="6"/>
  <c r="DB393" i="6"/>
  <c r="DB394" i="6"/>
  <c r="DB395" i="6"/>
  <c r="DB396" i="6"/>
  <c r="DB397" i="6"/>
  <c r="DB398" i="6"/>
  <c r="DB399" i="6"/>
  <c r="DB400" i="6"/>
  <c r="DB401" i="6"/>
  <c r="DB402" i="6"/>
  <c r="DB403" i="6"/>
  <c r="DB404" i="6"/>
  <c r="DB405" i="6"/>
  <c r="DB406" i="6"/>
  <c r="DB407" i="6"/>
  <c r="DB408" i="6"/>
  <c r="DB307" i="6"/>
  <c r="DB308" i="6"/>
  <c r="DB309" i="6"/>
  <c r="DB310" i="6"/>
  <c r="DB376" i="6"/>
  <c r="DB655" i="6"/>
  <c r="DB567" i="6"/>
  <c r="DB569" i="6"/>
  <c r="DB571" i="6"/>
  <c r="DB573" i="6"/>
  <c r="DB575" i="6"/>
  <c r="DB577" i="6"/>
  <c r="DB579" i="6"/>
  <c r="DB581" i="6"/>
  <c r="DB583" i="6"/>
  <c r="DB585" i="6"/>
  <c r="DB587" i="6"/>
  <c r="DB474" i="6"/>
  <c r="DB360" i="6"/>
  <c r="DB361" i="6"/>
  <c r="DB362" i="6"/>
  <c r="DB265" i="6"/>
  <c r="DB657" i="6"/>
  <c r="DB612" i="6"/>
  <c r="DB614" i="6"/>
  <c r="DB616" i="6"/>
  <c r="DB618" i="6"/>
  <c r="DB620" i="6"/>
  <c r="DB622" i="6"/>
  <c r="DB624" i="6"/>
  <c r="DB626" i="6"/>
  <c r="DB628" i="6"/>
  <c r="DB630" i="6"/>
  <c r="DB632" i="6"/>
  <c r="DB634" i="6"/>
  <c r="DB636" i="6"/>
  <c r="DB638" i="6"/>
  <c r="DB640" i="6"/>
  <c r="DB642" i="6"/>
  <c r="DB644" i="6"/>
  <c r="DB566" i="6"/>
  <c r="DB570" i="6"/>
  <c r="DB574" i="6"/>
  <c r="DB578" i="6"/>
  <c r="DB582" i="6"/>
  <c r="DB586" i="6"/>
  <c r="DB363" i="6"/>
  <c r="DB365" i="6"/>
  <c r="DB370" i="6"/>
  <c r="DB311" i="6"/>
  <c r="DB312" i="6"/>
  <c r="DB313" i="6"/>
  <c r="DB314" i="6"/>
  <c r="DB315" i="6"/>
  <c r="DB316" i="6"/>
  <c r="DB317" i="6"/>
  <c r="DB318" i="6"/>
  <c r="DB319" i="6"/>
  <c r="DB320" i="6"/>
  <c r="DB321" i="6"/>
  <c r="DB322" i="6"/>
  <c r="DB323" i="6"/>
  <c r="DB324" i="6"/>
  <c r="DB325" i="6"/>
  <c r="DB326" i="6"/>
  <c r="DB327" i="6"/>
  <c r="DB328" i="6"/>
  <c r="DB329" i="6"/>
  <c r="DB330" i="6"/>
  <c r="DB331" i="6"/>
  <c r="DB332" i="6"/>
  <c r="DB333" i="6"/>
  <c r="DB334" i="6"/>
  <c r="DB335" i="6"/>
  <c r="DB336" i="6"/>
  <c r="DB337" i="6"/>
  <c r="DB338" i="6"/>
  <c r="DB339" i="6"/>
  <c r="DB340" i="6"/>
  <c r="DB341" i="6"/>
  <c r="DB342" i="6"/>
  <c r="DB343" i="6"/>
  <c r="DB344" i="6"/>
  <c r="DB345" i="6"/>
  <c r="DB346" i="6"/>
  <c r="DB347" i="6"/>
  <c r="DB348" i="6"/>
  <c r="DB349" i="6"/>
  <c r="DB350" i="6"/>
  <c r="DB351" i="6"/>
  <c r="DB352" i="6"/>
  <c r="DB353" i="6"/>
  <c r="DB354" i="6"/>
  <c r="DB355" i="6"/>
  <c r="DB286" i="6"/>
  <c r="DB290" i="6"/>
  <c r="DB291" i="6"/>
  <c r="DB292" i="6"/>
  <c r="DB293" i="6"/>
  <c r="DB294" i="6"/>
  <c r="DB295" i="6"/>
  <c r="DB296" i="6"/>
  <c r="DB300" i="6"/>
  <c r="DB301" i="6"/>
  <c r="DB302" i="6"/>
  <c r="DB254" i="6"/>
  <c r="DB255" i="6"/>
  <c r="DB256" i="6"/>
  <c r="DB257" i="6"/>
  <c r="DB258" i="6"/>
  <c r="DB260" i="6"/>
  <c r="DB611" i="6"/>
  <c r="DB613" i="6"/>
  <c r="DB615" i="6"/>
  <c r="DB617" i="6"/>
  <c r="DB619" i="6"/>
  <c r="DB621" i="6"/>
  <c r="DB623" i="6"/>
  <c r="DB625" i="6"/>
  <c r="DB627" i="6"/>
  <c r="DB629" i="6"/>
  <c r="DB631" i="6"/>
  <c r="DB633" i="6"/>
  <c r="DB635" i="6"/>
  <c r="DB637" i="6"/>
  <c r="DB639" i="6"/>
  <c r="DB641" i="6"/>
  <c r="DB643" i="6"/>
  <c r="DB588" i="6"/>
  <c r="DB364" i="6"/>
  <c r="DB369" i="6"/>
  <c r="DB653" i="6"/>
  <c r="DB372" i="6"/>
  <c r="DB374" i="6"/>
  <c r="DB449" i="6"/>
  <c r="DB450" i="6"/>
  <c r="DB451" i="6"/>
  <c r="DB452" i="6"/>
  <c r="DB453" i="6"/>
  <c r="DB454" i="6"/>
  <c r="DB455" i="6"/>
  <c r="DB456" i="6"/>
  <c r="DB457" i="6"/>
  <c r="DB458" i="6"/>
  <c r="DB459" i="6"/>
  <c r="DB460" i="6"/>
  <c r="DB461" i="6"/>
  <c r="DB466" i="6"/>
  <c r="DB467" i="6"/>
  <c r="DB468" i="6"/>
  <c r="DB366" i="6"/>
  <c r="DB371" i="6"/>
  <c r="DB373" i="6"/>
  <c r="DB267" i="6"/>
  <c r="DB268" i="6"/>
  <c r="DB269" i="6"/>
  <c r="DB270" i="6"/>
  <c r="DB271" i="6"/>
  <c r="DB272" i="6"/>
  <c r="DB273" i="6"/>
  <c r="DB274" i="6"/>
  <c r="DB275" i="6"/>
  <c r="DB276" i="6"/>
  <c r="DB277" i="6"/>
  <c r="DB278" i="6"/>
  <c r="DB279" i="6"/>
  <c r="DB280" i="6"/>
  <c r="DB281" i="6"/>
  <c r="DB282" i="6"/>
  <c r="DB283" i="6"/>
  <c r="DB284" i="6"/>
  <c r="DB285" i="6"/>
  <c r="DB287" i="6"/>
  <c r="DB288" i="6"/>
  <c r="DB289" i="6"/>
  <c r="DB297" i="6"/>
  <c r="DB298" i="6"/>
  <c r="DB299" i="6"/>
  <c r="DB253" i="6"/>
  <c r="DB259" i="6"/>
  <c r="DB568" i="6"/>
  <c r="DB572" i="6"/>
  <c r="DB576" i="6"/>
  <c r="DB580" i="6"/>
  <c r="DB584" i="6"/>
  <c r="DB469" i="6"/>
  <c r="DB266" i="6"/>
  <c r="DB367" i="6"/>
  <c r="CX1201" i="6"/>
  <c r="CX1202" i="6"/>
  <c r="CX1203" i="6"/>
  <c r="CX1204" i="6"/>
  <c r="CX1205" i="6"/>
  <c r="CX1206" i="6"/>
  <c r="CX1208" i="6"/>
  <c r="CX1209" i="6"/>
  <c r="CX1200" i="6"/>
  <c r="CX921" i="6"/>
  <c r="CX922" i="6"/>
  <c r="CX923" i="6"/>
  <c r="CX924" i="6"/>
  <c r="CX925" i="6"/>
  <c r="CX926" i="6"/>
  <c r="CX927" i="6"/>
  <c r="CX928" i="6"/>
  <c r="CX929" i="6"/>
  <c r="CX930" i="6"/>
  <c r="CX931" i="6"/>
  <c r="CX932" i="6"/>
  <c r="CX933" i="6"/>
  <c r="CX938" i="6"/>
  <c r="CX939" i="6"/>
  <c r="CX940" i="6"/>
  <c r="CX1207" i="6"/>
  <c r="CX941" i="6"/>
  <c r="CX946" i="6"/>
  <c r="CX947" i="6"/>
  <c r="CX952" i="6"/>
  <c r="CX953" i="6"/>
  <c r="CX903" i="6"/>
  <c r="CX904" i="6"/>
  <c r="CX905" i="6"/>
  <c r="CX906" i="6"/>
  <c r="CX907" i="6"/>
  <c r="CX908" i="6"/>
  <c r="CX909" i="6"/>
  <c r="CX910" i="6"/>
  <c r="CX911" i="6"/>
  <c r="CX912" i="6"/>
  <c r="CX913" i="6"/>
  <c r="CX914" i="6"/>
  <c r="CX915" i="6"/>
  <c r="CX900" i="6"/>
  <c r="CX954" i="6"/>
  <c r="CX901" i="6"/>
  <c r="CX916" i="6"/>
  <c r="CX885" i="6"/>
  <c r="CX886" i="6"/>
  <c r="CX887" i="6"/>
  <c r="CX888" i="6"/>
  <c r="CX889" i="6"/>
  <c r="CX890" i="6"/>
  <c r="CX891" i="6"/>
  <c r="CX892" i="6"/>
  <c r="CX893" i="6"/>
  <c r="CX832" i="6"/>
  <c r="CX833" i="6"/>
  <c r="CX834" i="6"/>
  <c r="CX835" i="6"/>
  <c r="CX836" i="6"/>
  <c r="CX837" i="6"/>
  <c r="CX838" i="6"/>
  <c r="CX839" i="6"/>
  <c r="CX840" i="6"/>
  <c r="CX898" i="6"/>
  <c r="CX902" i="6"/>
  <c r="CX899" i="6"/>
  <c r="CX841" i="6"/>
  <c r="CX842" i="6"/>
  <c r="CX843" i="6"/>
  <c r="CX844" i="6"/>
  <c r="CX845" i="6"/>
  <c r="CX846" i="6"/>
  <c r="CX847" i="6"/>
  <c r="CX848" i="6"/>
  <c r="CX849" i="6"/>
  <c r="CX850" i="6"/>
  <c r="CX851" i="6"/>
  <c r="CX852" i="6"/>
  <c r="CX853" i="6"/>
  <c r="CX854" i="6"/>
  <c r="CX855" i="6"/>
  <c r="CX856" i="6"/>
  <c r="CX857" i="6"/>
  <c r="CX858" i="6"/>
  <c r="CX859" i="6"/>
  <c r="CX860" i="6"/>
  <c r="CX794" i="6"/>
  <c r="CX795" i="6"/>
  <c r="CX796" i="6"/>
  <c r="CX797" i="6"/>
  <c r="CX798" i="6"/>
  <c r="CX861" i="6"/>
  <c r="CX862" i="6"/>
  <c r="CX863" i="6"/>
  <c r="CX864" i="6"/>
  <c r="CX865" i="6"/>
  <c r="CX866" i="6"/>
  <c r="CX867" i="6"/>
  <c r="CX868" i="6"/>
  <c r="CX869" i="6"/>
  <c r="CX870" i="6"/>
  <c r="CX871" i="6"/>
  <c r="CX872" i="6"/>
  <c r="CX873" i="6"/>
  <c r="CX874" i="6"/>
  <c r="CX875" i="6"/>
  <c r="CX876" i="6"/>
  <c r="CX877" i="6"/>
  <c r="CX878" i="6"/>
  <c r="CX879" i="6"/>
  <c r="CX880" i="6"/>
  <c r="CX779" i="6"/>
  <c r="CX780" i="6"/>
  <c r="CX781" i="6"/>
  <c r="CX782" i="6"/>
  <c r="CX783" i="6"/>
  <c r="CX784" i="6"/>
  <c r="CX785" i="6"/>
  <c r="CX786" i="6"/>
  <c r="CX787" i="6"/>
  <c r="CX788" i="6"/>
  <c r="CX789" i="6"/>
  <c r="CX790" i="6"/>
  <c r="CX791" i="6"/>
  <c r="CX792" i="6"/>
  <c r="CX793" i="6"/>
  <c r="CX799" i="6"/>
  <c r="CX800" i="6"/>
  <c r="CX748" i="6"/>
  <c r="CX749" i="6"/>
  <c r="CX725" i="6"/>
  <c r="CX726" i="6"/>
  <c r="CX727" i="6"/>
  <c r="CX728" i="6"/>
  <c r="CX729" i="6"/>
  <c r="CX730" i="6"/>
  <c r="CX731" i="6"/>
  <c r="CX732" i="6"/>
  <c r="CX801" i="6"/>
  <c r="CX802" i="6"/>
  <c r="CX803" i="6"/>
  <c r="CX804" i="6"/>
  <c r="CX805" i="6"/>
  <c r="CX806" i="6"/>
  <c r="CX807" i="6"/>
  <c r="CX808" i="6"/>
  <c r="CX809" i="6"/>
  <c r="CX810" i="6"/>
  <c r="CX811" i="6"/>
  <c r="CX812" i="6"/>
  <c r="CX813" i="6"/>
  <c r="CX814" i="6"/>
  <c r="CX815" i="6"/>
  <c r="CX816" i="6"/>
  <c r="CX817" i="6"/>
  <c r="CX818" i="6"/>
  <c r="CX819" i="6"/>
  <c r="CX820" i="6"/>
  <c r="CX821" i="6"/>
  <c r="CX822" i="6"/>
  <c r="CX823" i="6"/>
  <c r="CX824" i="6"/>
  <c r="CX825" i="6"/>
  <c r="CX826" i="6"/>
  <c r="CX827" i="6"/>
  <c r="CX737" i="6"/>
  <c r="CX738" i="6"/>
  <c r="CX739" i="6"/>
  <c r="CX740" i="6"/>
  <c r="CX741" i="6"/>
  <c r="CX742" i="6"/>
  <c r="CX743" i="6"/>
  <c r="CX744" i="6"/>
  <c r="CX745" i="6"/>
  <c r="CX746" i="6"/>
  <c r="CX747" i="6"/>
  <c r="CX752" i="6"/>
  <c r="CX753" i="6"/>
  <c r="CX754" i="6"/>
  <c r="CX755" i="6"/>
  <c r="CX756" i="6"/>
  <c r="CX757" i="6"/>
  <c r="CX758" i="6"/>
  <c r="CX759" i="6"/>
  <c r="CX760" i="6"/>
  <c r="CX761" i="6"/>
  <c r="CX762" i="6"/>
  <c r="CX763" i="6"/>
  <c r="CX764" i="6"/>
  <c r="CX765" i="6"/>
  <c r="CX766" i="6"/>
  <c r="CX767" i="6"/>
  <c r="CX768" i="6"/>
  <c r="CX769" i="6"/>
  <c r="CX770" i="6"/>
  <c r="CX771" i="6"/>
  <c r="CX772" i="6"/>
  <c r="CX773" i="6"/>
  <c r="CX774" i="6"/>
  <c r="CX685" i="6"/>
  <c r="CX686" i="6"/>
  <c r="CX687" i="6"/>
  <c r="CX688" i="6"/>
  <c r="CX689" i="6"/>
  <c r="CX690" i="6"/>
  <c r="CX691" i="6"/>
  <c r="CX692" i="6"/>
  <c r="CX693" i="6"/>
  <c r="CX694" i="6"/>
  <c r="CX695" i="6"/>
  <c r="CX696" i="6"/>
  <c r="CX697" i="6"/>
  <c r="CX702" i="6"/>
  <c r="CX703" i="6"/>
  <c r="CX704" i="6"/>
  <c r="CX705" i="6"/>
  <c r="CX710" i="6"/>
  <c r="CX711" i="6"/>
  <c r="CX716" i="6"/>
  <c r="CX717" i="6"/>
  <c r="CX718" i="6"/>
  <c r="CX662" i="6"/>
  <c r="CX663" i="6"/>
  <c r="CX664" i="6"/>
  <c r="CX665" i="6"/>
  <c r="CX666" i="6"/>
  <c r="CX667" i="6"/>
  <c r="CX668" i="6"/>
  <c r="CX669" i="6"/>
  <c r="CX670" i="6"/>
  <c r="CX671" i="6"/>
  <c r="CX672" i="6"/>
  <c r="CX673" i="6"/>
  <c r="CX674" i="6"/>
  <c r="CX675" i="6"/>
  <c r="CX676" i="6"/>
  <c r="CX677" i="6"/>
  <c r="CX678" i="6"/>
  <c r="CX679" i="6"/>
  <c r="CX680" i="6"/>
  <c r="CX750" i="6"/>
  <c r="CX751" i="6"/>
  <c r="CX543" i="6"/>
  <c r="CX544" i="6"/>
  <c r="CX545" i="6"/>
  <c r="CX546" i="6"/>
  <c r="CX547" i="6"/>
  <c r="CX548" i="6"/>
  <c r="CX549" i="6"/>
  <c r="CX550" i="6"/>
  <c r="CX551" i="6"/>
  <c r="CX552" i="6"/>
  <c r="CX553" i="6"/>
  <c r="CX554" i="6"/>
  <c r="CX555" i="6"/>
  <c r="CX556" i="6"/>
  <c r="CX557" i="6"/>
  <c r="CX558" i="6"/>
  <c r="CX559" i="6"/>
  <c r="CX560" i="6"/>
  <c r="CX561" i="6"/>
  <c r="CX562" i="6"/>
  <c r="CX563" i="6"/>
  <c r="CX564" i="6"/>
  <c r="CX565" i="6"/>
  <c r="CX654" i="6"/>
  <c r="CX656" i="6"/>
  <c r="CX566" i="6"/>
  <c r="CX567" i="6"/>
  <c r="CX568" i="6"/>
  <c r="CX569" i="6"/>
  <c r="CX570" i="6"/>
  <c r="CX571" i="6"/>
  <c r="CX572" i="6"/>
  <c r="CX573" i="6"/>
  <c r="CX574" i="6"/>
  <c r="CX575" i="6"/>
  <c r="CX576" i="6"/>
  <c r="CX577" i="6"/>
  <c r="CX578" i="6"/>
  <c r="CX579" i="6"/>
  <c r="CX580" i="6"/>
  <c r="CX581" i="6"/>
  <c r="CX582" i="6"/>
  <c r="CX583" i="6"/>
  <c r="CX584" i="6"/>
  <c r="CX585" i="6"/>
  <c r="CX586" i="6"/>
  <c r="CX587" i="6"/>
  <c r="CX588" i="6"/>
  <c r="CX489" i="6"/>
  <c r="CX490" i="6"/>
  <c r="CX491" i="6"/>
  <c r="CX492" i="6"/>
  <c r="CX493" i="6"/>
  <c r="CX494" i="6"/>
  <c r="CX495" i="6"/>
  <c r="CX496" i="6"/>
  <c r="CX649" i="6"/>
  <c r="CX650" i="6"/>
  <c r="CX651" i="6"/>
  <c r="CX652" i="6"/>
  <c r="CX596" i="6"/>
  <c r="CX598" i="6"/>
  <c r="CX600" i="6"/>
  <c r="CX602" i="6"/>
  <c r="CX604" i="6"/>
  <c r="CX606" i="6"/>
  <c r="CX608" i="6"/>
  <c r="CX610" i="6"/>
  <c r="CX611" i="6"/>
  <c r="CX612" i="6"/>
  <c r="CX613" i="6"/>
  <c r="CX614" i="6"/>
  <c r="CX615" i="6"/>
  <c r="CX616" i="6"/>
  <c r="CX617" i="6"/>
  <c r="CX618" i="6"/>
  <c r="CX619" i="6"/>
  <c r="CX620" i="6"/>
  <c r="CX621" i="6"/>
  <c r="CX622" i="6"/>
  <c r="CX623" i="6"/>
  <c r="CX624" i="6"/>
  <c r="CX625" i="6"/>
  <c r="CX626" i="6"/>
  <c r="CX627" i="6"/>
  <c r="CX628" i="6"/>
  <c r="CX629" i="6"/>
  <c r="CX630" i="6"/>
  <c r="CX631" i="6"/>
  <c r="CX632" i="6"/>
  <c r="CX633" i="6"/>
  <c r="CX634" i="6"/>
  <c r="CX635" i="6"/>
  <c r="CX636" i="6"/>
  <c r="CX637" i="6"/>
  <c r="CX638" i="6"/>
  <c r="CX639" i="6"/>
  <c r="CX640" i="6"/>
  <c r="CX641" i="6"/>
  <c r="CX642" i="6"/>
  <c r="CX643" i="6"/>
  <c r="CX644" i="6"/>
  <c r="CX589" i="6"/>
  <c r="CX590" i="6"/>
  <c r="CX591" i="6"/>
  <c r="CX501" i="6"/>
  <c r="CX502" i="6"/>
  <c r="CX503" i="6"/>
  <c r="CX504" i="6"/>
  <c r="CX505" i="6"/>
  <c r="CX506" i="6"/>
  <c r="CX507" i="6"/>
  <c r="CX508" i="6"/>
  <c r="CX509" i="6"/>
  <c r="CX510" i="6"/>
  <c r="CX511" i="6"/>
  <c r="CX512" i="6"/>
  <c r="CX513" i="6"/>
  <c r="CX514" i="6"/>
  <c r="CX515" i="6"/>
  <c r="CX516" i="6"/>
  <c r="CX517" i="6"/>
  <c r="CX518" i="6"/>
  <c r="CX519" i="6"/>
  <c r="CX520" i="6"/>
  <c r="CX521" i="6"/>
  <c r="CX522" i="6"/>
  <c r="CX523" i="6"/>
  <c r="CX524" i="6"/>
  <c r="CX525" i="6"/>
  <c r="CX526" i="6"/>
  <c r="CX527" i="6"/>
  <c r="CX528" i="6"/>
  <c r="CX529" i="6"/>
  <c r="CX530" i="6"/>
  <c r="CX531" i="6"/>
  <c r="CX532" i="6"/>
  <c r="CX533" i="6"/>
  <c r="CX534" i="6"/>
  <c r="CX535" i="6"/>
  <c r="CX536" i="6"/>
  <c r="CX537" i="6"/>
  <c r="CX538" i="6"/>
  <c r="CX475" i="6"/>
  <c r="CX480" i="6"/>
  <c r="CX481" i="6"/>
  <c r="CX482" i="6"/>
  <c r="CX426" i="6"/>
  <c r="CX427" i="6"/>
  <c r="CX428" i="6"/>
  <c r="CX429" i="6"/>
  <c r="CX430" i="6"/>
  <c r="CX431" i="6"/>
  <c r="CX432" i="6"/>
  <c r="CX433" i="6"/>
  <c r="CX434" i="6"/>
  <c r="CX435" i="6"/>
  <c r="CX436" i="6"/>
  <c r="CX437" i="6"/>
  <c r="CX438" i="6"/>
  <c r="CX439" i="6"/>
  <c r="CX440" i="6"/>
  <c r="CX441" i="6"/>
  <c r="CX442" i="6"/>
  <c r="CX443" i="6"/>
  <c r="CX444" i="6"/>
  <c r="CX413" i="6"/>
  <c r="CX414" i="6"/>
  <c r="CX415" i="6"/>
  <c r="CX416" i="6"/>
  <c r="CX417" i="6"/>
  <c r="CX418" i="6"/>
  <c r="CX419" i="6"/>
  <c r="CX420" i="6"/>
  <c r="CX421" i="6"/>
  <c r="CX368" i="6"/>
  <c r="CX375" i="6"/>
  <c r="CX377" i="6"/>
  <c r="CX378" i="6"/>
  <c r="CX379" i="6"/>
  <c r="CX380" i="6"/>
  <c r="CX381" i="6"/>
  <c r="CX382" i="6"/>
  <c r="CX383" i="6"/>
  <c r="CX384" i="6"/>
  <c r="CX385" i="6"/>
  <c r="CX386" i="6"/>
  <c r="CX387" i="6"/>
  <c r="CX388" i="6"/>
  <c r="CX389" i="6"/>
  <c r="CX390" i="6"/>
  <c r="CX391" i="6"/>
  <c r="CX392" i="6"/>
  <c r="CX393" i="6"/>
  <c r="CX394" i="6"/>
  <c r="CX395" i="6"/>
  <c r="CX396" i="6"/>
  <c r="CX397" i="6"/>
  <c r="CX398" i="6"/>
  <c r="CX399" i="6"/>
  <c r="CX400" i="6"/>
  <c r="CX401" i="6"/>
  <c r="CX402" i="6"/>
  <c r="CX403" i="6"/>
  <c r="CX404" i="6"/>
  <c r="CX405" i="6"/>
  <c r="CX406" i="6"/>
  <c r="CX407" i="6"/>
  <c r="CX408" i="6"/>
  <c r="CX307" i="6"/>
  <c r="CX308" i="6"/>
  <c r="CX309" i="6"/>
  <c r="CX310" i="6"/>
  <c r="CX311" i="6"/>
  <c r="CX655" i="6"/>
  <c r="CX449" i="6"/>
  <c r="CX450" i="6"/>
  <c r="CX451" i="6"/>
  <c r="CX452" i="6"/>
  <c r="CX453" i="6"/>
  <c r="CX454" i="6"/>
  <c r="CX455" i="6"/>
  <c r="CX456" i="6"/>
  <c r="CX457" i="6"/>
  <c r="CX458" i="6"/>
  <c r="CX459" i="6"/>
  <c r="CX460" i="6"/>
  <c r="CX461" i="6"/>
  <c r="CX466" i="6"/>
  <c r="CX467" i="6"/>
  <c r="CX468" i="6"/>
  <c r="CX469" i="6"/>
  <c r="CX363" i="6"/>
  <c r="CX364" i="6"/>
  <c r="CX365" i="6"/>
  <c r="CX369" i="6"/>
  <c r="CX370" i="6"/>
  <c r="CX657" i="6"/>
  <c r="CX599" i="6"/>
  <c r="CX603" i="6"/>
  <c r="CX607" i="6"/>
  <c r="CX376" i="6"/>
  <c r="CX265" i="6"/>
  <c r="CX653" i="6"/>
  <c r="CX609" i="6"/>
  <c r="CX366" i="6"/>
  <c r="CX371" i="6"/>
  <c r="CX373" i="6"/>
  <c r="CX266" i="6"/>
  <c r="CX601" i="6"/>
  <c r="CX372" i="6"/>
  <c r="CX374" i="6"/>
  <c r="CX323" i="6"/>
  <c r="CX324" i="6"/>
  <c r="CX327" i="6"/>
  <c r="CX328" i="6"/>
  <c r="CX329" i="6"/>
  <c r="CX334" i="6"/>
  <c r="CX335" i="6"/>
  <c r="CX336" i="6"/>
  <c r="CX337" i="6"/>
  <c r="CX342" i="6"/>
  <c r="CX345" i="6"/>
  <c r="CX346" i="6"/>
  <c r="CX347" i="6"/>
  <c r="CX348" i="6"/>
  <c r="CX351" i="6"/>
  <c r="CX353" i="6"/>
  <c r="CX354" i="6"/>
  <c r="CX355" i="6"/>
  <c r="CX270" i="6"/>
  <c r="CX272" i="6"/>
  <c r="CX275" i="6"/>
  <c r="CX276" i="6"/>
  <c r="CX279" i="6"/>
  <c r="CX281" i="6"/>
  <c r="CX283" i="6"/>
  <c r="CX285" i="6"/>
  <c r="CX287" i="6"/>
  <c r="CX292" i="6"/>
  <c r="CX296" i="6"/>
  <c r="CX299" i="6"/>
  <c r="CX301" i="6"/>
  <c r="CX302" i="6"/>
  <c r="CX254" i="6"/>
  <c r="CX256" i="6"/>
  <c r="CX597" i="6"/>
  <c r="CX474" i="6"/>
  <c r="CX360" i="6"/>
  <c r="CX362" i="6"/>
  <c r="CX367" i="6"/>
  <c r="CX312" i="6"/>
  <c r="CX313" i="6"/>
  <c r="CX314" i="6"/>
  <c r="CX315" i="6"/>
  <c r="CX316" i="6"/>
  <c r="CX317" i="6"/>
  <c r="CX318" i="6"/>
  <c r="CX319" i="6"/>
  <c r="CX320" i="6"/>
  <c r="CX321" i="6"/>
  <c r="CX322" i="6"/>
  <c r="CX325" i="6"/>
  <c r="CX326" i="6"/>
  <c r="CX330" i="6"/>
  <c r="CX331" i="6"/>
  <c r="CX332" i="6"/>
  <c r="CX333" i="6"/>
  <c r="CX338" i="6"/>
  <c r="CX339" i="6"/>
  <c r="CX340" i="6"/>
  <c r="CX341" i="6"/>
  <c r="CX343" i="6"/>
  <c r="CX344" i="6"/>
  <c r="CX349" i="6"/>
  <c r="CX350" i="6"/>
  <c r="CX352" i="6"/>
  <c r="CX605" i="6"/>
  <c r="CX361" i="6"/>
  <c r="CX267" i="6"/>
  <c r="CX268" i="6"/>
  <c r="CX269" i="6"/>
  <c r="CX271" i="6"/>
  <c r="CX273" i="6"/>
  <c r="CX274" i="6"/>
  <c r="CX277" i="6"/>
  <c r="CX278" i="6"/>
  <c r="CX280" i="6"/>
  <c r="CX282" i="6"/>
  <c r="CX284" i="6"/>
  <c r="CX286" i="6"/>
  <c r="CX288" i="6"/>
  <c r="CX289" i="6"/>
  <c r="CX290" i="6"/>
  <c r="CX291" i="6"/>
  <c r="CX293" i="6"/>
  <c r="CX294" i="6"/>
  <c r="CX295" i="6"/>
  <c r="CX297" i="6"/>
  <c r="CX298" i="6"/>
  <c r="CX300" i="6"/>
  <c r="CX253" i="6"/>
  <c r="CX255" i="6"/>
  <c r="CX257" i="6"/>
  <c r="CX258" i="6"/>
  <c r="CX259" i="6"/>
  <c r="CX260" i="6"/>
  <c r="CT1201" i="6"/>
  <c r="CT1202" i="6"/>
  <c r="CT1203" i="6"/>
  <c r="CT1204" i="6"/>
  <c r="CT1205" i="6"/>
  <c r="CT1206" i="6"/>
  <c r="CT1207" i="6"/>
  <c r="CT1208" i="6"/>
  <c r="CT1209" i="6"/>
  <c r="CT1200" i="6"/>
  <c r="CT921" i="6"/>
  <c r="CT922" i="6"/>
  <c r="CT923" i="6"/>
  <c r="CT924" i="6"/>
  <c r="CT925" i="6"/>
  <c r="CT926" i="6"/>
  <c r="CT927" i="6"/>
  <c r="CT928" i="6"/>
  <c r="CT929" i="6"/>
  <c r="CT930" i="6"/>
  <c r="CT931" i="6"/>
  <c r="CT932" i="6"/>
  <c r="CT933" i="6"/>
  <c r="CT938" i="6"/>
  <c r="CT939" i="6"/>
  <c r="CT940" i="6"/>
  <c r="CT941" i="6"/>
  <c r="CT946" i="6"/>
  <c r="CT947" i="6"/>
  <c r="CT952" i="6"/>
  <c r="CT953" i="6"/>
  <c r="CT954" i="6"/>
  <c r="CT898" i="6"/>
  <c r="CT899" i="6"/>
  <c r="CT900" i="6"/>
  <c r="CT901" i="6"/>
  <c r="CT902" i="6"/>
  <c r="CT903" i="6"/>
  <c r="CT904" i="6"/>
  <c r="CT905" i="6"/>
  <c r="CT906" i="6"/>
  <c r="CT907" i="6"/>
  <c r="CT908" i="6"/>
  <c r="CT909" i="6"/>
  <c r="CT910" i="6"/>
  <c r="CT911" i="6"/>
  <c r="CT912" i="6"/>
  <c r="CT913" i="6"/>
  <c r="CT914" i="6"/>
  <c r="CT915" i="6"/>
  <c r="CT916" i="6"/>
  <c r="CT885" i="6"/>
  <c r="CT886" i="6"/>
  <c r="CT887" i="6"/>
  <c r="CT888" i="6"/>
  <c r="CT889" i="6"/>
  <c r="CT890" i="6"/>
  <c r="CT891" i="6"/>
  <c r="CT892" i="6"/>
  <c r="CT893" i="6"/>
  <c r="CT832" i="6"/>
  <c r="CT833" i="6"/>
  <c r="CT834" i="6"/>
  <c r="CT835" i="6"/>
  <c r="CT836" i="6"/>
  <c r="CT837" i="6"/>
  <c r="CT838" i="6"/>
  <c r="CT839" i="6"/>
  <c r="CT840" i="6"/>
  <c r="CT841" i="6"/>
  <c r="CT842" i="6"/>
  <c r="CT843" i="6"/>
  <c r="CT844" i="6"/>
  <c r="CT845" i="6"/>
  <c r="CT846" i="6"/>
  <c r="CT847" i="6"/>
  <c r="CT848" i="6"/>
  <c r="CT849" i="6"/>
  <c r="CT850" i="6"/>
  <c r="CT851" i="6"/>
  <c r="CT852" i="6"/>
  <c r="CT853" i="6"/>
  <c r="CT854" i="6"/>
  <c r="CT855" i="6"/>
  <c r="CT856" i="6"/>
  <c r="CT857" i="6"/>
  <c r="CT858" i="6"/>
  <c r="CT859" i="6"/>
  <c r="CT860" i="6"/>
  <c r="CT794" i="6"/>
  <c r="CT795" i="6"/>
  <c r="CT796" i="6"/>
  <c r="CT797" i="6"/>
  <c r="CT799" i="6"/>
  <c r="CT800" i="6"/>
  <c r="CT798" i="6"/>
  <c r="CT861" i="6"/>
  <c r="CT865" i="6"/>
  <c r="CT869" i="6"/>
  <c r="CT873" i="6"/>
  <c r="CT877" i="6"/>
  <c r="CT782" i="6"/>
  <c r="CT786" i="6"/>
  <c r="CT790" i="6"/>
  <c r="CT801" i="6"/>
  <c r="CT802" i="6"/>
  <c r="CT803" i="6"/>
  <c r="CT804" i="6"/>
  <c r="CT805" i="6"/>
  <c r="CT806" i="6"/>
  <c r="CT807" i="6"/>
  <c r="CT808" i="6"/>
  <c r="CT809" i="6"/>
  <c r="CT810" i="6"/>
  <c r="CT811" i="6"/>
  <c r="CT812" i="6"/>
  <c r="CT813" i="6"/>
  <c r="CT814" i="6"/>
  <c r="CT815" i="6"/>
  <c r="CT816" i="6"/>
  <c r="CT817" i="6"/>
  <c r="CT818" i="6"/>
  <c r="CT819" i="6"/>
  <c r="CT820" i="6"/>
  <c r="CT821" i="6"/>
  <c r="CT822" i="6"/>
  <c r="CT823" i="6"/>
  <c r="CT824" i="6"/>
  <c r="CT825" i="6"/>
  <c r="CT826" i="6"/>
  <c r="CT827" i="6"/>
  <c r="CT737" i="6"/>
  <c r="CT738" i="6"/>
  <c r="CT739" i="6"/>
  <c r="CT740" i="6"/>
  <c r="CT741" i="6"/>
  <c r="CT742" i="6"/>
  <c r="CT743" i="6"/>
  <c r="CT744" i="6"/>
  <c r="CT745" i="6"/>
  <c r="CT746" i="6"/>
  <c r="CT747" i="6"/>
  <c r="CT725" i="6"/>
  <c r="CT726" i="6"/>
  <c r="CT727" i="6"/>
  <c r="CT728" i="6"/>
  <c r="CT729" i="6"/>
  <c r="CT730" i="6"/>
  <c r="CT731" i="6"/>
  <c r="CT732" i="6"/>
  <c r="CT864" i="6"/>
  <c r="CT868" i="6"/>
  <c r="CT872" i="6"/>
  <c r="CT876" i="6"/>
  <c r="CT880" i="6"/>
  <c r="CT781" i="6"/>
  <c r="CT785" i="6"/>
  <c r="CT789" i="6"/>
  <c r="CT793" i="6"/>
  <c r="CT752" i="6"/>
  <c r="CT753" i="6"/>
  <c r="CT754" i="6"/>
  <c r="CT755" i="6"/>
  <c r="CT756" i="6"/>
  <c r="CT757" i="6"/>
  <c r="CT758" i="6"/>
  <c r="CT759" i="6"/>
  <c r="CT760" i="6"/>
  <c r="CT761" i="6"/>
  <c r="CT762" i="6"/>
  <c r="CT763" i="6"/>
  <c r="CT764" i="6"/>
  <c r="CT765" i="6"/>
  <c r="CT766" i="6"/>
  <c r="CT767" i="6"/>
  <c r="CT768" i="6"/>
  <c r="CT769" i="6"/>
  <c r="CT770" i="6"/>
  <c r="CT771" i="6"/>
  <c r="CT772" i="6"/>
  <c r="CT773" i="6"/>
  <c r="CT774" i="6"/>
  <c r="CT685" i="6"/>
  <c r="CT686" i="6"/>
  <c r="CT687" i="6"/>
  <c r="CT688" i="6"/>
  <c r="CT689" i="6"/>
  <c r="CT690" i="6"/>
  <c r="CT691" i="6"/>
  <c r="CT692" i="6"/>
  <c r="CT693" i="6"/>
  <c r="CT694" i="6"/>
  <c r="CT695" i="6"/>
  <c r="CT696" i="6"/>
  <c r="CT697" i="6"/>
  <c r="CT702" i="6"/>
  <c r="CT703" i="6"/>
  <c r="CT704" i="6"/>
  <c r="CT705" i="6"/>
  <c r="CT710" i="6"/>
  <c r="CT711" i="6"/>
  <c r="CT716" i="6"/>
  <c r="CT717" i="6"/>
  <c r="CT718" i="6"/>
  <c r="CT662" i="6"/>
  <c r="CT663" i="6"/>
  <c r="CT664" i="6"/>
  <c r="CT665" i="6"/>
  <c r="CT666" i="6"/>
  <c r="CT667" i="6"/>
  <c r="CT668" i="6"/>
  <c r="CT669" i="6"/>
  <c r="CT670" i="6"/>
  <c r="CT671" i="6"/>
  <c r="CT672" i="6"/>
  <c r="CT673" i="6"/>
  <c r="CT674" i="6"/>
  <c r="CT675" i="6"/>
  <c r="CT676" i="6"/>
  <c r="CT677" i="6"/>
  <c r="CT678" i="6"/>
  <c r="CT679" i="6"/>
  <c r="CT680" i="6"/>
  <c r="CT863" i="6"/>
  <c r="CT867" i="6"/>
  <c r="CT871" i="6"/>
  <c r="CT875" i="6"/>
  <c r="CT879" i="6"/>
  <c r="CT780" i="6"/>
  <c r="CT784" i="6"/>
  <c r="CT788" i="6"/>
  <c r="CT792" i="6"/>
  <c r="CT748" i="6"/>
  <c r="CT749" i="6"/>
  <c r="CT874" i="6"/>
  <c r="CT787" i="6"/>
  <c r="CT649" i="6"/>
  <c r="CT650" i="6"/>
  <c r="CT651" i="6"/>
  <c r="CT652" i="6"/>
  <c r="CT653" i="6"/>
  <c r="CT654" i="6"/>
  <c r="CT655" i="6"/>
  <c r="CT656" i="6"/>
  <c r="CT657" i="6"/>
  <c r="CT870" i="6"/>
  <c r="CT783" i="6"/>
  <c r="CT750" i="6"/>
  <c r="CT543" i="6"/>
  <c r="CT544" i="6"/>
  <c r="CT545" i="6"/>
  <c r="CT546" i="6"/>
  <c r="CT547" i="6"/>
  <c r="CT548" i="6"/>
  <c r="CT549" i="6"/>
  <c r="CT550" i="6"/>
  <c r="CT551" i="6"/>
  <c r="CT552" i="6"/>
  <c r="CT553" i="6"/>
  <c r="CT554" i="6"/>
  <c r="CT555" i="6"/>
  <c r="CT556" i="6"/>
  <c r="CT557" i="6"/>
  <c r="CT558" i="6"/>
  <c r="CT559" i="6"/>
  <c r="CT560" i="6"/>
  <c r="CT561" i="6"/>
  <c r="CT562" i="6"/>
  <c r="CT563" i="6"/>
  <c r="CT564" i="6"/>
  <c r="CT565" i="6"/>
  <c r="CT878" i="6"/>
  <c r="CT596" i="6"/>
  <c r="CT598" i="6"/>
  <c r="CT600" i="6"/>
  <c r="CT602" i="6"/>
  <c r="CT604" i="6"/>
  <c r="CT606" i="6"/>
  <c r="CT608" i="6"/>
  <c r="CT610" i="6"/>
  <c r="CT489" i="6"/>
  <c r="CT490" i="6"/>
  <c r="CT491" i="6"/>
  <c r="CT492" i="6"/>
  <c r="CT493" i="6"/>
  <c r="CT494" i="6"/>
  <c r="CT495" i="6"/>
  <c r="CT496" i="6"/>
  <c r="CT779" i="6"/>
  <c r="CT566" i="6"/>
  <c r="CT567" i="6"/>
  <c r="CT568" i="6"/>
  <c r="CT569" i="6"/>
  <c r="CT570" i="6"/>
  <c r="CT571" i="6"/>
  <c r="CT572" i="6"/>
  <c r="CT573" i="6"/>
  <c r="CT574" i="6"/>
  <c r="CT575" i="6"/>
  <c r="CT576" i="6"/>
  <c r="CT577" i="6"/>
  <c r="CT578" i="6"/>
  <c r="CT579" i="6"/>
  <c r="CT580" i="6"/>
  <c r="CT581" i="6"/>
  <c r="CT582" i="6"/>
  <c r="CT583" i="6"/>
  <c r="CT584" i="6"/>
  <c r="CT585" i="6"/>
  <c r="CT586" i="6"/>
  <c r="CT587" i="6"/>
  <c r="CT588" i="6"/>
  <c r="CT589" i="6"/>
  <c r="CT590" i="6"/>
  <c r="CT591" i="6"/>
  <c r="CT501" i="6"/>
  <c r="CT502" i="6"/>
  <c r="CT503" i="6"/>
  <c r="CT504" i="6"/>
  <c r="CT505" i="6"/>
  <c r="CT506" i="6"/>
  <c r="CT507" i="6"/>
  <c r="CT508" i="6"/>
  <c r="CT509" i="6"/>
  <c r="CT510" i="6"/>
  <c r="CT511" i="6"/>
  <c r="CT512" i="6"/>
  <c r="CT513" i="6"/>
  <c r="CT514" i="6"/>
  <c r="CT515" i="6"/>
  <c r="CT516" i="6"/>
  <c r="CT517" i="6"/>
  <c r="CT518" i="6"/>
  <c r="CT519" i="6"/>
  <c r="CT520" i="6"/>
  <c r="CT521" i="6"/>
  <c r="CT522" i="6"/>
  <c r="CT523" i="6"/>
  <c r="CT524" i="6"/>
  <c r="CT525" i="6"/>
  <c r="CT526" i="6"/>
  <c r="CT527" i="6"/>
  <c r="CT528" i="6"/>
  <c r="CT529" i="6"/>
  <c r="CT530" i="6"/>
  <c r="CT531" i="6"/>
  <c r="CT532" i="6"/>
  <c r="CT533" i="6"/>
  <c r="CT534" i="6"/>
  <c r="CT535" i="6"/>
  <c r="CT536" i="6"/>
  <c r="CT537" i="6"/>
  <c r="CT538" i="6"/>
  <c r="CT475" i="6"/>
  <c r="CT480" i="6"/>
  <c r="CT481" i="6"/>
  <c r="CT482" i="6"/>
  <c r="CT426" i="6"/>
  <c r="CT427" i="6"/>
  <c r="CT428" i="6"/>
  <c r="CT429" i="6"/>
  <c r="CT430" i="6"/>
  <c r="CT431" i="6"/>
  <c r="CT432" i="6"/>
  <c r="CT433" i="6"/>
  <c r="CT434" i="6"/>
  <c r="CT435" i="6"/>
  <c r="CT436" i="6"/>
  <c r="CT437" i="6"/>
  <c r="CT438" i="6"/>
  <c r="CT439" i="6"/>
  <c r="CT440" i="6"/>
  <c r="CT441" i="6"/>
  <c r="CT442" i="6"/>
  <c r="CT443" i="6"/>
  <c r="CT444" i="6"/>
  <c r="CT413" i="6"/>
  <c r="CT414" i="6"/>
  <c r="CT415" i="6"/>
  <c r="CT416" i="6"/>
  <c r="CT417" i="6"/>
  <c r="CT418" i="6"/>
  <c r="CT419" i="6"/>
  <c r="CT420" i="6"/>
  <c r="CT421" i="6"/>
  <c r="CT368" i="6"/>
  <c r="CT375" i="6"/>
  <c r="CT377" i="6"/>
  <c r="CT378" i="6"/>
  <c r="CT379" i="6"/>
  <c r="CT380" i="6"/>
  <c r="CT381" i="6"/>
  <c r="CT382" i="6"/>
  <c r="CT383" i="6"/>
  <c r="CT384" i="6"/>
  <c r="CT385" i="6"/>
  <c r="CT386" i="6"/>
  <c r="CT387" i="6"/>
  <c r="CT388" i="6"/>
  <c r="CT389" i="6"/>
  <c r="CT390" i="6"/>
  <c r="CT391" i="6"/>
  <c r="CT392" i="6"/>
  <c r="CT393" i="6"/>
  <c r="CT394" i="6"/>
  <c r="CT395" i="6"/>
  <c r="CT396" i="6"/>
  <c r="CT397" i="6"/>
  <c r="CT398" i="6"/>
  <c r="CT399" i="6"/>
  <c r="CT400" i="6"/>
  <c r="CT401" i="6"/>
  <c r="CT402" i="6"/>
  <c r="CT403" i="6"/>
  <c r="CT404" i="6"/>
  <c r="CT405" i="6"/>
  <c r="CT406" i="6"/>
  <c r="CT407" i="6"/>
  <c r="CT408" i="6"/>
  <c r="CT307" i="6"/>
  <c r="CT308" i="6"/>
  <c r="CT309" i="6"/>
  <c r="CT310" i="6"/>
  <c r="CT311" i="6"/>
  <c r="CT866" i="6"/>
  <c r="CT751" i="6"/>
  <c r="CT599" i="6"/>
  <c r="CT603" i="6"/>
  <c r="CT607" i="6"/>
  <c r="CT366" i="6"/>
  <c r="CT367" i="6"/>
  <c r="CT371" i="6"/>
  <c r="CT372" i="6"/>
  <c r="CT373" i="6"/>
  <c r="CT374" i="6"/>
  <c r="CT605" i="6"/>
  <c r="CT791" i="6"/>
  <c r="CT611" i="6"/>
  <c r="CT612" i="6"/>
  <c r="CT613" i="6"/>
  <c r="CT614" i="6"/>
  <c r="CT615" i="6"/>
  <c r="CT616" i="6"/>
  <c r="CT617" i="6"/>
  <c r="CT618" i="6"/>
  <c r="CT619" i="6"/>
  <c r="CT620" i="6"/>
  <c r="CT621" i="6"/>
  <c r="CT622" i="6"/>
  <c r="CT623" i="6"/>
  <c r="CT624" i="6"/>
  <c r="CT625" i="6"/>
  <c r="CT626" i="6"/>
  <c r="CT627" i="6"/>
  <c r="CT628" i="6"/>
  <c r="CT629" i="6"/>
  <c r="CT630" i="6"/>
  <c r="CT631" i="6"/>
  <c r="CT632" i="6"/>
  <c r="CT633" i="6"/>
  <c r="CT634" i="6"/>
  <c r="CT635" i="6"/>
  <c r="CT636" i="6"/>
  <c r="CT637" i="6"/>
  <c r="CT638" i="6"/>
  <c r="CT639" i="6"/>
  <c r="CT640" i="6"/>
  <c r="CT641" i="6"/>
  <c r="CT642" i="6"/>
  <c r="CT643" i="6"/>
  <c r="CT644" i="6"/>
  <c r="CT469" i="6"/>
  <c r="CT363" i="6"/>
  <c r="CT364" i="6"/>
  <c r="CT365" i="6"/>
  <c r="CT369" i="6"/>
  <c r="CT370" i="6"/>
  <c r="CT265" i="6"/>
  <c r="CT597" i="6"/>
  <c r="CT601" i="6"/>
  <c r="CT474" i="6"/>
  <c r="CT360" i="6"/>
  <c r="CT362" i="6"/>
  <c r="CT312" i="6"/>
  <c r="CT313" i="6"/>
  <c r="CT314" i="6"/>
  <c r="CT315" i="6"/>
  <c r="CT316" i="6"/>
  <c r="CT317" i="6"/>
  <c r="CT318" i="6"/>
  <c r="CT319" i="6"/>
  <c r="CT320" i="6"/>
  <c r="CT321" i="6"/>
  <c r="CT322" i="6"/>
  <c r="CT323" i="6"/>
  <c r="CT324" i="6"/>
  <c r="CT325" i="6"/>
  <c r="CT326" i="6"/>
  <c r="CT327" i="6"/>
  <c r="CT328" i="6"/>
  <c r="CT329" i="6"/>
  <c r="CT330" i="6"/>
  <c r="CT331" i="6"/>
  <c r="CT332" i="6"/>
  <c r="CT333" i="6"/>
  <c r="CT334" i="6"/>
  <c r="CT335" i="6"/>
  <c r="CT336" i="6"/>
  <c r="CT337" i="6"/>
  <c r="CT338" i="6"/>
  <c r="CT339" i="6"/>
  <c r="CT340" i="6"/>
  <c r="CT341" i="6"/>
  <c r="CT342" i="6"/>
  <c r="CT343" i="6"/>
  <c r="CT344" i="6"/>
  <c r="CT345" i="6"/>
  <c r="CT346" i="6"/>
  <c r="CT347" i="6"/>
  <c r="CT348" i="6"/>
  <c r="CT349" i="6"/>
  <c r="CT350" i="6"/>
  <c r="CT351" i="6"/>
  <c r="CT352" i="6"/>
  <c r="CT353" i="6"/>
  <c r="CT354" i="6"/>
  <c r="CT355" i="6"/>
  <c r="CT267" i="6"/>
  <c r="CT268" i="6"/>
  <c r="CT269" i="6"/>
  <c r="CT270" i="6"/>
  <c r="CT271" i="6"/>
  <c r="CT272" i="6"/>
  <c r="CT273" i="6"/>
  <c r="CT274" i="6"/>
  <c r="CT275" i="6"/>
  <c r="CT276" i="6"/>
  <c r="CT277" i="6"/>
  <c r="CT278" i="6"/>
  <c r="CT279" i="6"/>
  <c r="CT280" i="6"/>
  <c r="CT281" i="6"/>
  <c r="CT282" i="6"/>
  <c r="CT283" i="6"/>
  <c r="CT284" i="6"/>
  <c r="CT285" i="6"/>
  <c r="CT288" i="6"/>
  <c r="CT289" i="6"/>
  <c r="CT297" i="6"/>
  <c r="CT298" i="6"/>
  <c r="CT299" i="6"/>
  <c r="CT253" i="6"/>
  <c r="CT255" i="6"/>
  <c r="CT256" i="6"/>
  <c r="CT257" i="6"/>
  <c r="CT258" i="6"/>
  <c r="CT259" i="6"/>
  <c r="CT266" i="6"/>
  <c r="CT609" i="6"/>
  <c r="CT449" i="6"/>
  <c r="CT450" i="6"/>
  <c r="CT452" i="6"/>
  <c r="CT454" i="6"/>
  <c r="CT456" i="6"/>
  <c r="CT458" i="6"/>
  <c r="CT460" i="6"/>
  <c r="CT466" i="6"/>
  <c r="CT468" i="6"/>
  <c r="CT862" i="6"/>
  <c r="CT286" i="6"/>
  <c r="CT287" i="6"/>
  <c r="CT290" i="6"/>
  <c r="CT291" i="6"/>
  <c r="CT292" i="6"/>
  <c r="CT293" i="6"/>
  <c r="CT294" i="6"/>
  <c r="CT295" i="6"/>
  <c r="CT296" i="6"/>
  <c r="CT300" i="6"/>
  <c r="CT301" i="6"/>
  <c r="CT302" i="6"/>
  <c r="CT254" i="6"/>
  <c r="CT260" i="6"/>
  <c r="CT361" i="6"/>
  <c r="CT451" i="6"/>
  <c r="CT453" i="6"/>
  <c r="CT455" i="6"/>
  <c r="CT457" i="6"/>
  <c r="CT459" i="6"/>
  <c r="CT461" i="6"/>
  <c r="CT467" i="6"/>
  <c r="CT376" i="6"/>
  <c r="CP1207" i="6"/>
  <c r="CP1208" i="6"/>
  <c r="CP1209" i="6"/>
  <c r="CP1200" i="6"/>
  <c r="CP921" i="6"/>
  <c r="CP1203" i="6"/>
  <c r="CP922" i="6"/>
  <c r="CP923" i="6"/>
  <c r="CP924" i="6"/>
  <c r="CP1202" i="6"/>
  <c r="CP1206" i="6"/>
  <c r="CP1201" i="6"/>
  <c r="CP1205" i="6"/>
  <c r="CP925" i="6"/>
  <c r="CP926" i="6"/>
  <c r="CP927" i="6"/>
  <c r="CP928" i="6"/>
  <c r="CP929" i="6"/>
  <c r="CP930" i="6"/>
  <c r="CP931" i="6"/>
  <c r="CP932" i="6"/>
  <c r="CP933" i="6"/>
  <c r="CP938" i="6"/>
  <c r="CP939" i="6"/>
  <c r="CP940" i="6"/>
  <c r="CP1204" i="6"/>
  <c r="CP954" i="6"/>
  <c r="CP898" i="6"/>
  <c r="CP899" i="6"/>
  <c r="CP900" i="6"/>
  <c r="CP901" i="6"/>
  <c r="CP902" i="6"/>
  <c r="CP903" i="6"/>
  <c r="CP904" i="6"/>
  <c r="CP905" i="6"/>
  <c r="CP906" i="6"/>
  <c r="CP907" i="6"/>
  <c r="CP908" i="6"/>
  <c r="CP909" i="6"/>
  <c r="CP910" i="6"/>
  <c r="CP911" i="6"/>
  <c r="CP912" i="6"/>
  <c r="CP913" i="6"/>
  <c r="CP914" i="6"/>
  <c r="CP915" i="6"/>
  <c r="CP941" i="6"/>
  <c r="CP953" i="6"/>
  <c r="CP952" i="6"/>
  <c r="CP916" i="6"/>
  <c r="CP885" i="6"/>
  <c r="CP886" i="6"/>
  <c r="CP887" i="6"/>
  <c r="CP888" i="6"/>
  <c r="CP889" i="6"/>
  <c r="CP890" i="6"/>
  <c r="CP891" i="6"/>
  <c r="CP892" i="6"/>
  <c r="CP893" i="6"/>
  <c r="CP832" i="6"/>
  <c r="CP833" i="6"/>
  <c r="CP834" i="6"/>
  <c r="CP835" i="6"/>
  <c r="CP836" i="6"/>
  <c r="CP837" i="6"/>
  <c r="CP838" i="6"/>
  <c r="CP839" i="6"/>
  <c r="CP840" i="6"/>
  <c r="CP841" i="6"/>
  <c r="CP947" i="6"/>
  <c r="CP946" i="6"/>
  <c r="CP842" i="6"/>
  <c r="CP843" i="6"/>
  <c r="CP844" i="6"/>
  <c r="CP845" i="6"/>
  <c r="CP846" i="6"/>
  <c r="CP847" i="6"/>
  <c r="CP848" i="6"/>
  <c r="CP849" i="6"/>
  <c r="CP850" i="6"/>
  <c r="CP851" i="6"/>
  <c r="CP852" i="6"/>
  <c r="CP853" i="6"/>
  <c r="CP854" i="6"/>
  <c r="CP855" i="6"/>
  <c r="CP856" i="6"/>
  <c r="CP857" i="6"/>
  <c r="CP858" i="6"/>
  <c r="CP859" i="6"/>
  <c r="CP860" i="6"/>
  <c r="CP861" i="6"/>
  <c r="CP862" i="6"/>
  <c r="CP863" i="6"/>
  <c r="CP864" i="6"/>
  <c r="CP865" i="6"/>
  <c r="CP866" i="6"/>
  <c r="CP867" i="6"/>
  <c r="CP868" i="6"/>
  <c r="CP869" i="6"/>
  <c r="CP870" i="6"/>
  <c r="CP871" i="6"/>
  <c r="CP872" i="6"/>
  <c r="CP873" i="6"/>
  <c r="CP874" i="6"/>
  <c r="CP875" i="6"/>
  <c r="CP876" i="6"/>
  <c r="CP877" i="6"/>
  <c r="CP878" i="6"/>
  <c r="CP879" i="6"/>
  <c r="CP880" i="6"/>
  <c r="CP779" i="6"/>
  <c r="CP780" i="6"/>
  <c r="CP781" i="6"/>
  <c r="CP782" i="6"/>
  <c r="CP783" i="6"/>
  <c r="CP784" i="6"/>
  <c r="CP785" i="6"/>
  <c r="CP786" i="6"/>
  <c r="CP787" i="6"/>
  <c r="CP788" i="6"/>
  <c r="CP789" i="6"/>
  <c r="CP790" i="6"/>
  <c r="CP791" i="6"/>
  <c r="CP792" i="6"/>
  <c r="CP793" i="6"/>
  <c r="CP794" i="6"/>
  <c r="CP796" i="6"/>
  <c r="CP798" i="6"/>
  <c r="CP795" i="6"/>
  <c r="CP797" i="6"/>
  <c r="CP799" i="6"/>
  <c r="CP800" i="6"/>
  <c r="CP748" i="6"/>
  <c r="CP749" i="6"/>
  <c r="CP750" i="6"/>
  <c r="CP751" i="6"/>
  <c r="CP725" i="6"/>
  <c r="CP726" i="6"/>
  <c r="CP727" i="6"/>
  <c r="CP728" i="6"/>
  <c r="CP729" i="6"/>
  <c r="CP730" i="6"/>
  <c r="CP731" i="6"/>
  <c r="CP732" i="6"/>
  <c r="CP752" i="6"/>
  <c r="CP753" i="6"/>
  <c r="CP754" i="6"/>
  <c r="CP755" i="6"/>
  <c r="CP756" i="6"/>
  <c r="CP757" i="6"/>
  <c r="CP758" i="6"/>
  <c r="CP759" i="6"/>
  <c r="CP760" i="6"/>
  <c r="CP761" i="6"/>
  <c r="CP762" i="6"/>
  <c r="CP763" i="6"/>
  <c r="CP764" i="6"/>
  <c r="CP765" i="6"/>
  <c r="CP766" i="6"/>
  <c r="CP767" i="6"/>
  <c r="CP768" i="6"/>
  <c r="CP769" i="6"/>
  <c r="CP770" i="6"/>
  <c r="CP771" i="6"/>
  <c r="CP772" i="6"/>
  <c r="CP773" i="6"/>
  <c r="CP774" i="6"/>
  <c r="CP685" i="6"/>
  <c r="CP686" i="6"/>
  <c r="CP687" i="6"/>
  <c r="CP688" i="6"/>
  <c r="CP689" i="6"/>
  <c r="CP690" i="6"/>
  <c r="CP691" i="6"/>
  <c r="CP692" i="6"/>
  <c r="CP693" i="6"/>
  <c r="CP694" i="6"/>
  <c r="CP695" i="6"/>
  <c r="CP696" i="6"/>
  <c r="CP697" i="6"/>
  <c r="CP702" i="6"/>
  <c r="CP703" i="6"/>
  <c r="CP704" i="6"/>
  <c r="CP705" i="6"/>
  <c r="CP710" i="6"/>
  <c r="CP711" i="6"/>
  <c r="CP716" i="6"/>
  <c r="CP717" i="6"/>
  <c r="CP718" i="6"/>
  <c r="CP662" i="6"/>
  <c r="CP663" i="6"/>
  <c r="CP664" i="6"/>
  <c r="CP665" i="6"/>
  <c r="CP666" i="6"/>
  <c r="CP667" i="6"/>
  <c r="CP668" i="6"/>
  <c r="CP669" i="6"/>
  <c r="CP670" i="6"/>
  <c r="CP671" i="6"/>
  <c r="CP672" i="6"/>
  <c r="CP673" i="6"/>
  <c r="CP674" i="6"/>
  <c r="CP675" i="6"/>
  <c r="CP676" i="6"/>
  <c r="CP677" i="6"/>
  <c r="CP678" i="6"/>
  <c r="CP679" i="6"/>
  <c r="CP680" i="6"/>
  <c r="CP802" i="6"/>
  <c r="CP806" i="6"/>
  <c r="CP810" i="6"/>
  <c r="CP814" i="6"/>
  <c r="CP818" i="6"/>
  <c r="CP822" i="6"/>
  <c r="CP826" i="6"/>
  <c r="CP738" i="6"/>
  <c r="CP742" i="6"/>
  <c r="CP746" i="6"/>
  <c r="CP596" i="6"/>
  <c r="CP597" i="6"/>
  <c r="CP598" i="6"/>
  <c r="CP599" i="6"/>
  <c r="CP600" i="6"/>
  <c r="CP601" i="6"/>
  <c r="CP602" i="6"/>
  <c r="CP603" i="6"/>
  <c r="CP604" i="6"/>
  <c r="CP605" i="6"/>
  <c r="CP606" i="6"/>
  <c r="CP607" i="6"/>
  <c r="CP608" i="6"/>
  <c r="CP609" i="6"/>
  <c r="CP610" i="6"/>
  <c r="CP801" i="6"/>
  <c r="CP805" i="6"/>
  <c r="CP809" i="6"/>
  <c r="CP813" i="6"/>
  <c r="CP817" i="6"/>
  <c r="CP821" i="6"/>
  <c r="CP825" i="6"/>
  <c r="CP737" i="6"/>
  <c r="CP741" i="6"/>
  <c r="CP745" i="6"/>
  <c r="CP654" i="6"/>
  <c r="CP655" i="6"/>
  <c r="CP656" i="6"/>
  <c r="CP657" i="6"/>
  <c r="CP543" i="6"/>
  <c r="CP544" i="6"/>
  <c r="CP545" i="6"/>
  <c r="CP546" i="6"/>
  <c r="CP547" i="6"/>
  <c r="CP548" i="6"/>
  <c r="CP549" i="6"/>
  <c r="CP550" i="6"/>
  <c r="CP551" i="6"/>
  <c r="CP552" i="6"/>
  <c r="CP553" i="6"/>
  <c r="CP554" i="6"/>
  <c r="CP555" i="6"/>
  <c r="CP556" i="6"/>
  <c r="CP557" i="6"/>
  <c r="CP558" i="6"/>
  <c r="CP559" i="6"/>
  <c r="CP560" i="6"/>
  <c r="CP561" i="6"/>
  <c r="CP562" i="6"/>
  <c r="CP563" i="6"/>
  <c r="CP564" i="6"/>
  <c r="CP565" i="6"/>
  <c r="CP803" i="6"/>
  <c r="CP811" i="6"/>
  <c r="CP819" i="6"/>
  <c r="CP827" i="6"/>
  <c r="CP743" i="6"/>
  <c r="CP489" i="6"/>
  <c r="CP490" i="6"/>
  <c r="CP491" i="6"/>
  <c r="CP492" i="6"/>
  <c r="CP493" i="6"/>
  <c r="CP494" i="6"/>
  <c r="CP495" i="6"/>
  <c r="CP496" i="6"/>
  <c r="CP804" i="6"/>
  <c r="CP812" i="6"/>
  <c r="CP820" i="6"/>
  <c r="CP744" i="6"/>
  <c r="CP611" i="6"/>
  <c r="CP612" i="6"/>
  <c r="CP613" i="6"/>
  <c r="CP614" i="6"/>
  <c r="CP615" i="6"/>
  <c r="CP616" i="6"/>
  <c r="CP617" i="6"/>
  <c r="CP618" i="6"/>
  <c r="CP619" i="6"/>
  <c r="CP620" i="6"/>
  <c r="CP621" i="6"/>
  <c r="CP622" i="6"/>
  <c r="CP623" i="6"/>
  <c r="CP624" i="6"/>
  <c r="CP625" i="6"/>
  <c r="CP626" i="6"/>
  <c r="CP627" i="6"/>
  <c r="CP628" i="6"/>
  <c r="CP629" i="6"/>
  <c r="CP630" i="6"/>
  <c r="CP631" i="6"/>
  <c r="CP632" i="6"/>
  <c r="CP633" i="6"/>
  <c r="CP634" i="6"/>
  <c r="CP635" i="6"/>
  <c r="CP636" i="6"/>
  <c r="CP637" i="6"/>
  <c r="CP638" i="6"/>
  <c r="CP639" i="6"/>
  <c r="CP640" i="6"/>
  <c r="CP641" i="6"/>
  <c r="CP642" i="6"/>
  <c r="CP643" i="6"/>
  <c r="CP644" i="6"/>
  <c r="CP589" i="6"/>
  <c r="CP590" i="6"/>
  <c r="CP591" i="6"/>
  <c r="CP501" i="6"/>
  <c r="CP502" i="6"/>
  <c r="CP503" i="6"/>
  <c r="CP504" i="6"/>
  <c r="CP505" i="6"/>
  <c r="CP506" i="6"/>
  <c r="CP507" i="6"/>
  <c r="CP508" i="6"/>
  <c r="CP509" i="6"/>
  <c r="CP510" i="6"/>
  <c r="CP511" i="6"/>
  <c r="CP512" i="6"/>
  <c r="CP513" i="6"/>
  <c r="CP514" i="6"/>
  <c r="CP515" i="6"/>
  <c r="CP516" i="6"/>
  <c r="CP517" i="6"/>
  <c r="CP518" i="6"/>
  <c r="CP519" i="6"/>
  <c r="CP520" i="6"/>
  <c r="CP521" i="6"/>
  <c r="CP522" i="6"/>
  <c r="CP523" i="6"/>
  <c r="CP524" i="6"/>
  <c r="CP525" i="6"/>
  <c r="CP526" i="6"/>
  <c r="CP527" i="6"/>
  <c r="CP528" i="6"/>
  <c r="CP529" i="6"/>
  <c r="CP530" i="6"/>
  <c r="CP531" i="6"/>
  <c r="CP532" i="6"/>
  <c r="CP533" i="6"/>
  <c r="CP534" i="6"/>
  <c r="CP535" i="6"/>
  <c r="CP536" i="6"/>
  <c r="CP537" i="6"/>
  <c r="CP538" i="6"/>
  <c r="CP475" i="6"/>
  <c r="CP480" i="6"/>
  <c r="CP481" i="6"/>
  <c r="CP482" i="6"/>
  <c r="CP426" i="6"/>
  <c r="CP427" i="6"/>
  <c r="CP428" i="6"/>
  <c r="CP429" i="6"/>
  <c r="CP430" i="6"/>
  <c r="CP431" i="6"/>
  <c r="CP432" i="6"/>
  <c r="CP433" i="6"/>
  <c r="CP434" i="6"/>
  <c r="CP435" i="6"/>
  <c r="CP436" i="6"/>
  <c r="CP437" i="6"/>
  <c r="CP438" i="6"/>
  <c r="CP439" i="6"/>
  <c r="CP440" i="6"/>
  <c r="CP441" i="6"/>
  <c r="CP442" i="6"/>
  <c r="CP443" i="6"/>
  <c r="CP444" i="6"/>
  <c r="CP413" i="6"/>
  <c r="CP414" i="6"/>
  <c r="CP415" i="6"/>
  <c r="CP416" i="6"/>
  <c r="CP417" i="6"/>
  <c r="CP418" i="6"/>
  <c r="CP419" i="6"/>
  <c r="CP420" i="6"/>
  <c r="CP421" i="6"/>
  <c r="CP368" i="6"/>
  <c r="CP375" i="6"/>
  <c r="CP377" i="6"/>
  <c r="CP378" i="6"/>
  <c r="CP379" i="6"/>
  <c r="CP380" i="6"/>
  <c r="CP381" i="6"/>
  <c r="CP382" i="6"/>
  <c r="CP383" i="6"/>
  <c r="CP384" i="6"/>
  <c r="CP385" i="6"/>
  <c r="CP386" i="6"/>
  <c r="CP387" i="6"/>
  <c r="CP388" i="6"/>
  <c r="CP389" i="6"/>
  <c r="CP390" i="6"/>
  <c r="CP391" i="6"/>
  <c r="CP392" i="6"/>
  <c r="CP393" i="6"/>
  <c r="CP394" i="6"/>
  <c r="CP395" i="6"/>
  <c r="CP396" i="6"/>
  <c r="CP397" i="6"/>
  <c r="CP398" i="6"/>
  <c r="CP399" i="6"/>
  <c r="CP400" i="6"/>
  <c r="CP401" i="6"/>
  <c r="CP402" i="6"/>
  <c r="CP403" i="6"/>
  <c r="CP404" i="6"/>
  <c r="CP405" i="6"/>
  <c r="CP406" i="6"/>
  <c r="CP407" i="6"/>
  <c r="CP408" i="6"/>
  <c r="CP307" i="6"/>
  <c r="CP308" i="6"/>
  <c r="CP309" i="6"/>
  <c r="CP310" i="6"/>
  <c r="CP311" i="6"/>
  <c r="CP816" i="6"/>
  <c r="CP740" i="6"/>
  <c r="CP567" i="6"/>
  <c r="CP569" i="6"/>
  <c r="CP571" i="6"/>
  <c r="CP573" i="6"/>
  <c r="CP575" i="6"/>
  <c r="CP577" i="6"/>
  <c r="CP579" i="6"/>
  <c r="CP581" i="6"/>
  <c r="CP583" i="6"/>
  <c r="CP585" i="6"/>
  <c r="CP587" i="6"/>
  <c r="CP449" i="6"/>
  <c r="CP450" i="6"/>
  <c r="CP451" i="6"/>
  <c r="CP452" i="6"/>
  <c r="CP453" i="6"/>
  <c r="CP454" i="6"/>
  <c r="CP455" i="6"/>
  <c r="CP456" i="6"/>
  <c r="CP457" i="6"/>
  <c r="CP458" i="6"/>
  <c r="CP459" i="6"/>
  <c r="CP460" i="6"/>
  <c r="CP461" i="6"/>
  <c r="CP466" i="6"/>
  <c r="CP467" i="6"/>
  <c r="CP468" i="6"/>
  <c r="CP474" i="6"/>
  <c r="CP360" i="6"/>
  <c r="CP361" i="6"/>
  <c r="CP362" i="6"/>
  <c r="CP807" i="6"/>
  <c r="CP823" i="6"/>
  <c r="CP747" i="6"/>
  <c r="CP649" i="6"/>
  <c r="CP651" i="6"/>
  <c r="CP653" i="6"/>
  <c r="CP366" i="6"/>
  <c r="CP367" i="6"/>
  <c r="CP371" i="6"/>
  <c r="CP372" i="6"/>
  <c r="CP373" i="6"/>
  <c r="CP374" i="6"/>
  <c r="CP265" i="6"/>
  <c r="CP808" i="6"/>
  <c r="CP824" i="6"/>
  <c r="CP266" i="6"/>
  <c r="CP815" i="6"/>
  <c r="CP650" i="6"/>
  <c r="CP321" i="6"/>
  <c r="CP322" i="6"/>
  <c r="CP326" i="6"/>
  <c r="CP331" i="6"/>
  <c r="CP332" i="6"/>
  <c r="CP333" i="6"/>
  <c r="CP338" i="6"/>
  <c r="CP339" i="6"/>
  <c r="CP341" i="6"/>
  <c r="CP344" i="6"/>
  <c r="CP349" i="6"/>
  <c r="CP350" i="6"/>
  <c r="CP352" i="6"/>
  <c r="CP568" i="6"/>
  <c r="CP572" i="6"/>
  <c r="CP576" i="6"/>
  <c r="CP580" i="6"/>
  <c r="CP584" i="6"/>
  <c r="CP363" i="6"/>
  <c r="CP365" i="6"/>
  <c r="CP267" i="6"/>
  <c r="CP269" i="6"/>
  <c r="CP271" i="6"/>
  <c r="CP274" i="6"/>
  <c r="CP277" i="6"/>
  <c r="CP278" i="6"/>
  <c r="CP280" i="6"/>
  <c r="CP282" i="6"/>
  <c r="CP286" i="6"/>
  <c r="CP288" i="6"/>
  <c r="CP289" i="6"/>
  <c r="CP291" i="6"/>
  <c r="CP293" i="6"/>
  <c r="CP295" i="6"/>
  <c r="CP298" i="6"/>
  <c r="CP300" i="6"/>
  <c r="CP253" i="6"/>
  <c r="CP255" i="6"/>
  <c r="CP258" i="6"/>
  <c r="CP260" i="6"/>
  <c r="CP739" i="6"/>
  <c r="CP652" i="6"/>
  <c r="CP566" i="6"/>
  <c r="CP570" i="6"/>
  <c r="CP574" i="6"/>
  <c r="CP578" i="6"/>
  <c r="CP582" i="6"/>
  <c r="CP586" i="6"/>
  <c r="CP469" i="6"/>
  <c r="CP364" i="6"/>
  <c r="CP369" i="6"/>
  <c r="CP376" i="6"/>
  <c r="CP312" i="6"/>
  <c r="CP313" i="6"/>
  <c r="CP314" i="6"/>
  <c r="CP315" i="6"/>
  <c r="CP316" i="6"/>
  <c r="CP317" i="6"/>
  <c r="CP318" i="6"/>
  <c r="CP319" i="6"/>
  <c r="CP320" i="6"/>
  <c r="CP323" i="6"/>
  <c r="CP324" i="6"/>
  <c r="CP325" i="6"/>
  <c r="CP327" i="6"/>
  <c r="CP328" i="6"/>
  <c r="CP329" i="6"/>
  <c r="CP330" i="6"/>
  <c r="CP334" i="6"/>
  <c r="CP335" i="6"/>
  <c r="CP336" i="6"/>
  <c r="CP337" i="6"/>
  <c r="CP340" i="6"/>
  <c r="CP342" i="6"/>
  <c r="CP343" i="6"/>
  <c r="CP345" i="6"/>
  <c r="CP346" i="6"/>
  <c r="CP347" i="6"/>
  <c r="CP348" i="6"/>
  <c r="CP351" i="6"/>
  <c r="CP353" i="6"/>
  <c r="CP354" i="6"/>
  <c r="CP355" i="6"/>
  <c r="CP588" i="6"/>
  <c r="CP370" i="6"/>
  <c r="CP268" i="6"/>
  <c r="CP270" i="6"/>
  <c r="CP272" i="6"/>
  <c r="CP273" i="6"/>
  <c r="CP275" i="6"/>
  <c r="CP276" i="6"/>
  <c r="CP279" i="6"/>
  <c r="CP281" i="6"/>
  <c r="CP283" i="6"/>
  <c r="CP284" i="6"/>
  <c r="CP285" i="6"/>
  <c r="CP287" i="6"/>
  <c r="CP290" i="6"/>
  <c r="CP292" i="6"/>
  <c r="CP294" i="6"/>
  <c r="CP296" i="6"/>
  <c r="CP297" i="6"/>
  <c r="CP299" i="6"/>
  <c r="CP301" i="6"/>
  <c r="CP302" i="6"/>
  <c r="CP254" i="6"/>
  <c r="CP256" i="6"/>
  <c r="CP257" i="6"/>
  <c r="CP259" i="6"/>
  <c r="CL1201" i="6"/>
  <c r="CL1202" i="6"/>
  <c r="CL1203" i="6"/>
  <c r="CL1204" i="6"/>
  <c r="CL1205" i="6"/>
  <c r="CL1206" i="6"/>
  <c r="CL1207" i="6"/>
  <c r="CL1208" i="6"/>
  <c r="CL1209" i="6"/>
  <c r="CL1200" i="6"/>
  <c r="CL921" i="6"/>
  <c r="CL922" i="6"/>
  <c r="CL923" i="6"/>
  <c r="CL924" i="6"/>
  <c r="CL925" i="6"/>
  <c r="CL926" i="6"/>
  <c r="CL927" i="6"/>
  <c r="CL928" i="6"/>
  <c r="CL929" i="6"/>
  <c r="CL930" i="6"/>
  <c r="CL931" i="6"/>
  <c r="CL932" i="6"/>
  <c r="CL933" i="6"/>
  <c r="CL938" i="6"/>
  <c r="CL939" i="6"/>
  <c r="CL940" i="6"/>
  <c r="CL941" i="6"/>
  <c r="CL946" i="6"/>
  <c r="CL947" i="6"/>
  <c r="CL952" i="6"/>
  <c r="CL953" i="6"/>
  <c r="CL954" i="6"/>
  <c r="CL898" i="6"/>
  <c r="CL899" i="6"/>
  <c r="CL900" i="6"/>
  <c r="CL901" i="6"/>
  <c r="CL902" i="6"/>
  <c r="CL903" i="6"/>
  <c r="CL904" i="6"/>
  <c r="CL905" i="6"/>
  <c r="CL906" i="6"/>
  <c r="CL907" i="6"/>
  <c r="CL908" i="6"/>
  <c r="CL909" i="6"/>
  <c r="CL910" i="6"/>
  <c r="CL911" i="6"/>
  <c r="CL912" i="6"/>
  <c r="CL913" i="6"/>
  <c r="CL914" i="6"/>
  <c r="CL915" i="6"/>
  <c r="CL916" i="6"/>
  <c r="CL885" i="6"/>
  <c r="CL886" i="6"/>
  <c r="CL887" i="6"/>
  <c r="CL888" i="6"/>
  <c r="CL889" i="6"/>
  <c r="CL890" i="6"/>
  <c r="CL891" i="6"/>
  <c r="CL892" i="6"/>
  <c r="CL893" i="6"/>
  <c r="CL832" i="6"/>
  <c r="CL833" i="6"/>
  <c r="CL834" i="6"/>
  <c r="CL835" i="6"/>
  <c r="CL836" i="6"/>
  <c r="CL837" i="6"/>
  <c r="CL838" i="6"/>
  <c r="CL839" i="6"/>
  <c r="CL840" i="6"/>
  <c r="CL841" i="6"/>
  <c r="CL842" i="6"/>
  <c r="CL843" i="6"/>
  <c r="CL844" i="6"/>
  <c r="CL845" i="6"/>
  <c r="CL846" i="6"/>
  <c r="CL847" i="6"/>
  <c r="CL848" i="6"/>
  <c r="CL849" i="6"/>
  <c r="CL850" i="6"/>
  <c r="CL851" i="6"/>
  <c r="CL852" i="6"/>
  <c r="CL853" i="6"/>
  <c r="CL854" i="6"/>
  <c r="CL855" i="6"/>
  <c r="CL856" i="6"/>
  <c r="CL857" i="6"/>
  <c r="CL858" i="6"/>
  <c r="CL859" i="6"/>
  <c r="CL860" i="6"/>
  <c r="CL861" i="6"/>
  <c r="CL862" i="6"/>
  <c r="CL863" i="6"/>
  <c r="CL864" i="6"/>
  <c r="CL865" i="6"/>
  <c r="CL866" i="6"/>
  <c r="CL867" i="6"/>
  <c r="CL868" i="6"/>
  <c r="CL869" i="6"/>
  <c r="CL870" i="6"/>
  <c r="CL871" i="6"/>
  <c r="CL872" i="6"/>
  <c r="CL873" i="6"/>
  <c r="CL874" i="6"/>
  <c r="CL875" i="6"/>
  <c r="CL876" i="6"/>
  <c r="CL877" i="6"/>
  <c r="CL878" i="6"/>
  <c r="CL879" i="6"/>
  <c r="CL880" i="6"/>
  <c r="CL779" i="6"/>
  <c r="CL780" i="6"/>
  <c r="CL781" i="6"/>
  <c r="CL782" i="6"/>
  <c r="CL783" i="6"/>
  <c r="CL784" i="6"/>
  <c r="CL785" i="6"/>
  <c r="CL786" i="6"/>
  <c r="CL787" i="6"/>
  <c r="CL788" i="6"/>
  <c r="CL789" i="6"/>
  <c r="CL790" i="6"/>
  <c r="CL791" i="6"/>
  <c r="CL792" i="6"/>
  <c r="CL793" i="6"/>
  <c r="CL795" i="6"/>
  <c r="CL797" i="6"/>
  <c r="CL794" i="6"/>
  <c r="CL725" i="6"/>
  <c r="CL726" i="6"/>
  <c r="CL727" i="6"/>
  <c r="CL728" i="6"/>
  <c r="CL729" i="6"/>
  <c r="CL730" i="6"/>
  <c r="CL731" i="6"/>
  <c r="CL732" i="6"/>
  <c r="CL796" i="6"/>
  <c r="CL750" i="6"/>
  <c r="CL751" i="6"/>
  <c r="CL752" i="6"/>
  <c r="CL753" i="6"/>
  <c r="CL754" i="6"/>
  <c r="CL755" i="6"/>
  <c r="CL756" i="6"/>
  <c r="CL757" i="6"/>
  <c r="CL758" i="6"/>
  <c r="CL759" i="6"/>
  <c r="CL760" i="6"/>
  <c r="CL761" i="6"/>
  <c r="CL762" i="6"/>
  <c r="CL763" i="6"/>
  <c r="CL764" i="6"/>
  <c r="CL765" i="6"/>
  <c r="CL766" i="6"/>
  <c r="CL767" i="6"/>
  <c r="CL768" i="6"/>
  <c r="CL769" i="6"/>
  <c r="CL770" i="6"/>
  <c r="CL771" i="6"/>
  <c r="CL772" i="6"/>
  <c r="CL773" i="6"/>
  <c r="CL774" i="6"/>
  <c r="CL685" i="6"/>
  <c r="CL686" i="6"/>
  <c r="CL687" i="6"/>
  <c r="CL688" i="6"/>
  <c r="CL689" i="6"/>
  <c r="CL690" i="6"/>
  <c r="CL691" i="6"/>
  <c r="CL692" i="6"/>
  <c r="CL693" i="6"/>
  <c r="CL694" i="6"/>
  <c r="CL695" i="6"/>
  <c r="CL696" i="6"/>
  <c r="CL697" i="6"/>
  <c r="CL702" i="6"/>
  <c r="CL703" i="6"/>
  <c r="CL704" i="6"/>
  <c r="CL705" i="6"/>
  <c r="CL710" i="6"/>
  <c r="CL711" i="6"/>
  <c r="CL716" i="6"/>
  <c r="CL717" i="6"/>
  <c r="CL718" i="6"/>
  <c r="CL662" i="6"/>
  <c r="CL663" i="6"/>
  <c r="CL664" i="6"/>
  <c r="CL665" i="6"/>
  <c r="CL666" i="6"/>
  <c r="CL667" i="6"/>
  <c r="CL668" i="6"/>
  <c r="CL669" i="6"/>
  <c r="CL670" i="6"/>
  <c r="CL671" i="6"/>
  <c r="CL672" i="6"/>
  <c r="CL673" i="6"/>
  <c r="CL674" i="6"/>
  <c r="CL675" i="6"/>
  <c r="CL676" i="6"/>
  <c r="CL677" i="6"/>
  <c r="CL678" i="6"/>
  <c r="CL679" i="6"/>
  <c r="CL680" i="6"/>
  <c r="CL798" i="6"/>
  <c r="CL799" i="6"/>
  <c r="CL801" i="6"/>
  <c r="CL802" i="6"/>
  <c r="CL803" i="6"/>
  <c r="CL804" i="6"/>
  <c r="CL805" i="6"/>
  <c r="CL806" i="6"/>
  <c r="CL807" i="6"/>
  <c r="CL808" i="6"/>
  <c r="CL809" i="6"/>
  <c r="CL810" i="6"/>
  <c r="CL811" i="6"/>
  <c r="CL812" i="6"/>
  <c r="CL813" i="6"/>
  <c r="CL814" i="6"/>
  <c r="CL815" i="6"/>
  <c r="CL816" i="6"/>
  <c r="CL817" i="6"/>
  <c r="CL818" i="6"/>
  <c r="CL819" i="6"/>
  <c r="CL820" i="6"/>
  <c r="CL821" i="6"/>
  <c r="CL822" i="6"/>
  <c r="CL823" i="6"/>
  <c r="CL824" i="6"/>
  <c r="CL825" i="6"/>
  <c r="CL826" i="6"/>
  <c r="CL827" i="6"/>
  <c r="CL737" i="6"/>
  <c r="CL738" i="6"/>
  <c r="CL739" i="6"/>
  <c r="CL740" i="6"/>
  <c r="CL741" i="6"/>
  <c r="CL742" i="6"/>
  <c r="CL743" i="6"/>
  <c r="CL744" i="6"/>
  <c r="CL745" i="6"/>
  <c r="CL746" i="6"/>
  <c r="CL747" i="6"/>
  <c r="CL748" i="6"/>
  <c r="CL749" i="6"/>
  <c r="CL649" i="6"/>
  <c r="CL650" i="6"/>
  <c r="CL651" i="6"/>
  <c r="CL652" i="6"/>
  <c r="CL653" i="6"/>
  <c r="CL596" i="6"/>
  <c r="CL597" i="6"/>
  <c r="CL598" i="6"/>
  <c r="CL599" i="6"/>
  <c r="CL600" i="6"/>
  <c r="CL601" i="6"/>
  <c r="CL602" i="6"/>
  <c r="CL603" i="6"/>
  <c r="CL604" i="6"/>
  <c r="CL605" i="6"/>
  <c r="CL606" i="6"/>
  <c r="CL607" i="6"/>
  <c r="CL608" i="6"/>
  <c r="CL609" i="6"/>
  <c r="CL610" i="6"/>
  <c r="CL543" i="6"/>
  <c r="CL544" i="6"/>
  <c r="CL545" i="6"/>
  <c r="CL546" i="6"/>
  <c r="CL547" i="6"/>
  <c r="CL548" i="6"/>
  <c r="CL549" i="6"/>
  <c r="CL550" i="6"/>
  <c r="CL551" i="6"/>
  <c r="CL552" i="6"/>
  <c r="CL553" i="6"/>
  <c r="CL554" i="6"/>
  <c r="CL555" i="6"/>
  <c r="CL556" i="6"/>
  <c r="CL557" i="6"/>
  <c r="CL558" i="6"/>
  <c r="CL559" i="6"/>
  <c r="CL560" i="6"/>
  <c r="CL561" i="6"/>
  <c r="CL562" i="6"/>
  <c r="CL563" i="6"/>
  <c r="CL564" i="6"/>
  <c r="CL565" i="6"/>
  <c r="CL489" i="6"/>
  <c r="CL490" i="6"/>
  <c r="CL491" i="6"/>
  <c r="CL492" i="6"/>
  <c r="CL493" i="6"/>
  <c r="CL494" i="6"/>
  <c r="CL495" i="6"/>
  <c r="CL496" i="6"/>
  <c r="CL655" i="6"/>
  <c r="CL657" i="6"/>
  <c r="CL589" i="6"/>
  <c r="CL590" i="6"/>
  <c r="CL591" i="6"/>
  <c r="CL501" i="6"/>
  <c r="CL502" i="6"/>
  <c r="CL503" i="6"/>
  <c r="CL504" i="6"/>
  <c r="CL505" i="6"/>
  <c r="CL506" i="6"/>
  <c r="CL507" i="6"/>
  <c r="CL508" i="6"/>
  <c r="CL509" i="6"/>
  <c r="CL510" i="6"/>
  <c r="CL511" i="6"/>
  <c r="CL512" i="6"/>
  <c r="CL513" i="6"/>
  <c r="CL514" i="6"/>
  <c r="CL515" i="6"/>
  <c r="CL516" i="6"/>
  <c r="CL517" i="6"/>
  <c r="CL518" i="6"/>
  <c r="CL519" i="6"/>
  <c r="CL520" i="6"/>
  <c r="CL521" i="6"/>
  <c r="CL522" i="6"/>
  <c r="CL523" i="6"/>
  <c r="CL524" i="6"/>
  <c r="CL525" i="6"/>
  <c r="CL526" i="6"/>
  <c r="CL527" i="6"/>
  <c r="CL528" i="6"/>
  <c r="CL529" i="6"/>
  <c r="CL530" i="6"/>
  <c r="CL531" i="6"/>
  <c r="CL532" i="6"/>
  <c r="CL533" i="6"/>
  <c r="CL534" i="6"/>
  <c r="CL535" i="6"/>
  <c r="CL536" i="6"/>
  <c r="CL537" i="6"/>
  <c r="CL538" i="6"/>
  <c r="CL475" i="6"/>
  <c r="CL480" i="6"/>
  <c r="CL481" i="6"/>
  <c r="CL482" i="6"/>
  <c r="CL426" i="6"/>
  <c r="CL427" i="6"/>
  <c r="CL428" i="6"/>
  <c r="CL429" i="6"/>
  <c r="CL430" i="6"/>
  <c r="CL431" i="6"/>
  <c r="CL432" i="6"/>
  <c r="CL433" i="6"/>
  <c r="CL434" i="6"/>
  <c r="CL435" i="6"/>
  <c r="CL436" i="6"/>
  <c r="CL437" i="6"/>
  <c r="CL438" i="6"/>
  <c r="CL439" i="6"/>
  <c r="CL440" i="6"/>
  <c r="CL441" i="6"/>
  <c r="CL442" i="6"/>
  <c r="CL443" i="6"/>
  <c r="CL444" i="6"/>
  <c r="CL413" i="6"/>
  <c r="CL414" i="6"/>
  <c r="CL415" i="6"/>
  <c r="CL416" i="6"/>
  <c r="CL417" i="6"/>
  <c r="CL418" i="6"/>
  <c r="CL419" i="6"/>
  <c r="CL420" i="6"/>
  <c r="CL421" i="6"/>
  <c r="CL368" i="6"/>
  <c r="CL375" i="6"/>
  <c r="CL377" i="6"/>
  <c r="CL378" i="6"/>
  <c r="CL379" i="6"/>
  <c r="CL380" i="6"/>
  <c r="CL381" i="6"/>
  <c r="CL382" i="6"/>
  <c r="CL383" i="6"/>
  <c r="CL384" i="6"/>
  <c r="CL385" i="6"/>
  <c r="CL386" i="6"/>
  <c r="CL387" i="6"/>
  <c r="CL388" i="6"/>
  <c r="CL389" i="6"/>
  <c r="CL390" i="6"/>
  <c r="CL391" i="6"/>
  <c r="CL392" i="6"/>
  <c r="CL393" i="6"/>
  <c r="CL394" i="6"/>
  <c r="CL395" i="6"/>
  <c r="CL396" i="6"/>
  <c r="CL397" i="6"/>
  <c r="CL398" i="6"/>
  <c r="CL399" i="6"/>
  <c r="CL400" i="6"/>
  <c r="CL401" i="6"/>
  <c r="CL402" i="6"/>
  <c r="CL403" i="6"/>
  <c r="CL404" i="6"/>
  <c r="CL405" i="6"/>
  <c r="CL406" i="6"/>
  <c r="CL407" i="6"/>
  <c r="CL408" i="6"/>
  <c r="CL307" i="6"/>
  <c r="CL308" i="6"/>
  <c r="CL309" i="6"/>
  <c r="CL310" i="6"/>
  <c r="CL311" i="6"/>
  <c r="CL800" i="6"/>
  <c r="CL376" i="6"/>
  <c r="CL654" i="6"/>
  <c r="CL566" i="6"/>
  <c r="CL568" i="6"/>
  <c r="CL570" i="6"/>
  <c r="CL572" i="6"/>
  <c r="CL574" i="6"/>
  <c r="CL576" i="6"/>
  <c r="CL578" i="6"/>
  <c r="CL580" i="6"/>
  <c r="CL582" i="6"/>
  <c r="CL584" i="6"/>
  <c r="CL586" i="6"/>
  <c r="CL588" i="6"/>
  <c r="CL474" i="6"/>
  <c r="CL360" i="6"/>
  <c r="CL361" i="6"/>
  <c r="CL362" i="6"/>
  <c r="CL265" i="6"/>
  <c r="CL611" i="6"/>
  <c r="CL613" i="6"/>
  <c r="CL615" i="6"/>
  <c r="CL617" i="6"/>
  <c r="CL619" i="6"/>
  <c r="CL621" i="6"/>
  <c r="CL623" i="6"/>
  <c r="CL625" i="6"/>
  <c r="CL627" i="6"/>
  <c r="CL629" i="6"/>
  <c r="CL631" i="6"/>
  <c r="CL633" i="6"/>
  <c r="CL635" i="6"/>
  <c r="CL637" i="6"/>
  <c r="CL639" i="6"/>
  <c r="CL641" i="6"/>
  <c r="CL643" i="6"/>
  <c r="CL569" i="6"/>
  <c r="CL573" i="6"/>
  <c r="CL577" i="6"/>
  <c r="CL581" i="6"/>
  <c r="CL585" i="6"/>
  <c r="CL469" i="6"/>
  <c r="CL364" i="6"/>
  <c r="CL369" i="6"/>
  <c r="CL312" i="6"/>
  <c r="CL313" i="6"/>
  <c r="CL314" i="6"/>
  <c r="CL315" i="6"/>
  <c r="CL316" i="6"/>
  <c r="CL317" i="6"/>
  <c r="CL318" i="6"/>
  <c r="CL319" i="6"/>
  <c r="CL320" i="6"/>
  <c r="CL321" i="6"/>
  <c r="CL322" i="6"/>
  <c r="CL323" i="6"/>
  <c r="CL324" i="6"/>
  <c r="CL325" i="6"/>
  <c r="CL326" i="6"/>
  <c r="CL327" i="6"/>
  <c r="CL328" i="6"/>
  <c r="CL329" i="6"/>
  <c r="CL330" i="6"/>
  <c r="CL331" i="6"/>
  <c r="CL332" i="6"/>
  <c r="CL333" i="6"/>
  <c r="CL334" i="6"/>
  <c r="CL335" i="6"/>
  <c r="CL336" i="6"/>
  <c r="CL337" i="6"/>
  <c r="CL338" i="6"/>
  <c r="CL339" i="6"/>
  <c r="CL340" i="6"/>
  <c r="CL341" i="6"/>
  <c r="CL342" i="6"/>
  <c r="CL343" i="6"/>
  <c r="CL344" i="6"/>
  <c r="CL345" i="6"/>
  <c r="CL346" i="6"/>
  <c r="CL347" i="6"/>
  <c r="CL348" i="6"/>
  <c r="CL349" i="6"/>
  <c r="CL350" i="6"/>
  <c r="CL351" i="6"/>
  <c r="CL352" i="6"/>
  <c r="CL353" i="6"/>
  <c r="CL354" i="6"/>
  <c r="CL355" i="6"/>
  <c r="CL286" i="6"/>
  <c r="CL287" i="6"/>
  <c r="CL290" i="6"/>
  <c r="CL291" i="6"/>
  <c r="CL292" i="6"/>
  <c r="CL293" i="6"/>
  <c r="CL294" i="6"/>
  <c r="CL295" i="6"/>
  <c r="CL296" i="6"/>
  <c r="CL298" i="6"/>
  <c r="CL300" i="6"/>
  <c r="CL301" i="6"/>
  <c r="CL302" i="6"/>
  <c r="CL255" i="6"/>
  <c r="CL256" i="6"/>
  <c r="CL257" i="6"/>
  <c r="CL258" i="6"/>
  <c r="CL259" i="6"/>
  <c r="CL612" i="6"/>
  <c r="CL614" i="6"/>
  <c r="CL616" i="6"/>
  <c r="CL618" i="6"/>
  <c r="CL620" i="6"/>
  <c r="CL622" i="6"/>
  <c r="CL624" i="6"/>
  <c r="CL626" i="6"/>
  <c r="CL628" i="6"/>
  <c r="CL630" i="6"/>
  <c r="CL632" i="6"/>
  <c r="CL634" i="6"/>
  <c r="CL636" i="6"/>
  <c r="CL638" i="6"/>
  <c r="CL640" i="6"/>
  <c r="CL642" i="6"/>
  <c r="CL644" i="6"/>
  <c r="CL567" i="6"/>
  <c r="CL571" i="6"/>
  <c r="CL575" i="6"/>
  <c r="CL583" i="6"/>
  <c r="CL587" i="6"/>
  <c r="CL370" i="6"/>
  <c r="CL366" i="6"/>
  <c r="CL656" i="6"/>
  <c r="CL449" i="6"/>
  <c r="CL450" i="6"/>
  <c r="CL451" i="6"/>
  <c r="CL452" i="6"/>
  <c r="CL453" i="6"/>
  <c r="CL454" i="6"/>
  <c r="CL455" i="6"/>
  <c r="CL456" i="6"/>
  <c r="CL457" i="6"/>
  <c r="CL458" i="6"/>
  <c r="CL459" i="6"/>
  <c r="CL460" i="6"/>
  <c r="CL461" i="6"/>
  <c r="CL466" i="6"/>
  <c r="CL467" i="6"/>
  <c r="CL468" i="6"/>
  <c r="CL367" i="6"/>
  <c r="CL372" i="6"/>
  <c r="CL374" i="6"/>
  <c r="CL267" i="6"/>
  <c r="CL268" i="6"/>
  <c r="CL269" i="6"/>
  <c r="CL270" i="6"/>
  <c r="CL271" i="6"/>
  <c r="CL272" i="6"/>
  <c r="CL273" i="6"/>
  <c r="CL274" i="6"/>
  <c r="CL275" i="6"/>
  <c r="CL276" i="6"/>
  <c r="CL277" i="6"/>
  <c r="CL278" i="6"/>
  <c r="CL279" i="6"/>
  <c r="CL280" i="6"/>
  <c r="CL281" i="6"/>
  <c r="CL282" i="6"/>
  <c r="CL283" i="6"/>
  <c r="CL284" i="6"/>
  <c r="CL285" i="6"/>
  <c r="CL288" i="6"/>
  <c r="CL289" i="6"/>
  <c r="CL297" i="6"/>
  <c r="CL299" i="6"/>
  <c r="CL253" i="6"/>
  <c r="CL254" i="6"/>
  <c r="CL260" i="6"/>
  <c r="CL579" i="6"/>
  <c r="CL363" i="6"/>
  <c r="CL365" i="6"/>
  <c r="CL266" i="6"/>
  <c r="CL371" i="6"/>
  <c r="CL373" i="6"/>
  <c r="CH1201" i="6"/>
  <c r="CH1202" i="6"/>
  <c r="CH1203" i="6"/>
  <c r="CH1204" i="6"/>
  <c r="CH1205" i="6"/>
  <c r="CH1206" i="6"/>
  <c r="CH1208" i="6"/>
  <c r="CH1209" i="6"/>
  <c r="CH1200" i="6"/>
  <c r="CH921" i="6"/>
  <c r="CH1207" i="6"/>
  <c r="CH922" i="6"/>
  <c r="CH923" i="6"/>
  <c r="CH924" i="6"/>
  <c r="CH925" i="6"/>
  <c r="CH926" i="6"/>
  <c r="CH927" i="6"/>
  <c r="CH928" i="6"/>
  <c r="CH929" i="6"/>
  <c r="CH930" i="6"/>
  <c r="CH931" i="6"/>
  <c r="CH932" i="6"/>
  <c r="CH933" i="6"/>
  <c r="CH938" i="6"/>
  <c r="CH939" i="6"/>
  <c r="CH940" i="6"/>
  <c r="CH941" i="6"/>
  <c r="CH946" i="6"/>
  <c r="CH947" i="6"/>
  <c r="CH952" i="6"/>
  <c r="CH953" i="6"/>
  <c r="CH903" i="6"/>
  <c r="CH904" i="6"/>
  <c r="CH905" i="6"/>
  <c r="CH906" i="6"/>
  <c r="CH907" i="6"/>
  <c r="CH908" i="6"/>
  <c r="CH909" i="6"/>
  <c r="CH910" i="6"/>
  <c r="CH911" i="6"/>
  <c r="CH912" i="6"/>
  <c r="CH913" i="6"/>
  <c r="CH914" i="6"/>
  <c r="CH915" i="6"/>
  <c r="CH899" i="6"/>
  <c r="CH900" i="6"/>
  <c r="CH916" i="6"/>
  <c r="CH885" i="6"/>
  <c r="CH886" i="6"/>
  <c r="CH887" i="6"/>
  <c r="CH888" i="6"/>
  <c r="CH889" i="6"/>
  <c r="CH890" i="6"/>
  <c r="CH891" i="6"/>
  <c r="CH892" i="6"/>
  <c r="CH893" i="6"/>
  <c r="CH832" i="6"/>
  <c r="CH833" i="6"/>
  <c r="CH834" i="6"/>
  <c r="CH835" i="6"/>
  <c r="CH836" i="6"/>
  <c r="CH837" i="6"/>
  <c r="CH838" i="6"/>
  <c r="CH839" i="6"/>
  <c r="CH840" i="6"/>
  <c r="CH841" i="6"/>
  <c r="CH954" i="6"/>
  <c r="CH901" i="6"/>
  <c r="CH842" i="6"/>
  <c r="CH843" i="6"/>
  <c r="CH844" i="6"/>
  <c r="CH845" i="6"/>
  <c r="CH846" i="6"/>
  <c r="CH847" i="6"/>
  <c r="CH848" i="6"/>
  <c r="CH849" i="6"/>
  <c r="CH850" i="6"/>
  <c r="CH851" i="6"/>
  <c r="CH852" i="6"/>
  <c r="CH853" i="6"/>
  <c r="CH854" i="6"/>
  <c r="CH855" i="6"/>
  <c r="CH856" i="6"/>
  <c r="CH857" i="6"/>
  <c r="CH858" i="6"/>
  <c r="CH859" i="6"/>
  <c r="CH860" i="6"/>
  <c r="CH898" i="6"/>
  <c r="CH902" i="6"/>
  <c r="CH794" i="6"/>
  <c r="CH795" i="6"/>
  <c r="CH796" i="6"/>
  <c r="CH797" i="6"/>
  <c r="CH798" i="6"/>
  <c r="CH861" i="6"/>
  <c r="CH862" i="6"/>
  <c r="CH863" i="6"/>
  <c r="CH864" i="6"/>
  <c r="CH865" i="6"/>
  <c r="CH866" i="6"/>
  <c r="CH867" i="6"/>
  <c r="CH868" i="6"/>
  <c r="CH869" i="6"/>
  <c r="CH870" i="6"/>
  <c r="CH871" i="6"/>
  <c r="CH872" i="6"/>
  <c r="CH873" i="6"/>
  <c r="CH874" i="6"/>
  <c r="CH875" i="6"/>
  <c r="CH876" i="6"/>
  <c r="CH877" i="6"/>
  <c r="CH878" i="6"/>
  <c r="CH879" i="6"/>
  <c r="CH880" i="6"/>
  <c r="CH779" i="6"/>
  <c r="CH780" i="6"/>
  <c r="CH781" i="6"/>
  <c r="CH782" i="6"/>
  <c r="CH783" i="6"/>
  <c r="CH784" i="6"/>
  <c r="CH785" i="6"/>
  <c r="CH786" i="6"/>
  <c r="CH787" i="6"/>
  <c r="CH788" i="6"/>
  <c r="CH789" i="6"/>
  <c r="CH790" i="6"/>
  <c r="CH791" i="6"/>
  <c r="CH792" i="6"/>
  <c r="CH793" i="6"/>
  <c r="CH799" i="6"/>
  <c r="CH800" i="6"/>
  <c r="CH748" i="6"/>
  <c r="CH749" i="6"/>
  <c r="CH725" i="6"/>
  <c r="CH726" i="6"/>
  <c r="CH727" i="6"/>
  <c r="CH728" i="6"/>
  <c r="CH729" i="6"/>
  <c r="CH730" i="6"/>
  <c r="CH731" i="6"/>
  <c r="CH732" i="6"/>
  <c r="CH801" i="6"/>
  <c r="CH802" i="6"/>
  <c r="CH803" i="6"/>
  <c r="CH804" i="6"/>
  <c r="CH805" i="6"/>
  <c r="CH806" i="6"/>
  <c r="CH807" i="6"/>
  <c r="CH808" i="6"/>
  <c r="CH809" i="6"/>
  <c r="CH810" i="6"/>
  <c r="CH811" i="6"/>
  <c r="CH812" i="6"/>
  <c r="CH813" i="6"/>
  <c r="CH814" i="6"/>
  <c r="CH815" i="6"/>
  <c r="CH816" i="6"/>
  <c r="CH817" i="6"/>
  <c r="CH818" i="6"/>
  <c r="CH819" i="6"/>
  <c r="CH820" i="6"/>
  <c r="CH821" i="6"/>
  <c r="CH822" i="6"/>
  <c r="CH823" i="6"/>
  <c r="CH824" i="6"/>
  <c r="CH825" i="6"/>
  <c r="CH826" i="6"/>
  <c r="CH827" i="6"/>
  <c r="CH737" i="6"/>
  <c r="CH738" i="6"/>
  <c r="CH739" i="6"/>
  <c r="CH740" i="6"/>
  <c r="CH741" i="6"/>
  <c r="CH742" i="6"/>
  <c r="CH743" i="6"/>
  <c r="CH744" i="6"/>
  <c r="CH745" i="6"/>
  <c r="CH746" i="6"/>
  <c r="CH747" i="6"/>
  <c r="CH752" i="6"/>
  <c r="CH753" i="6"/>
  <c r="CH754" i="6"/>
  <c r="CH755" i="6"/>
  <c r="CH756" i="6"/>
  <c r="CH757" i="6"/>
  <c r="CH758" i="6"/>
  <c r="CH759" i="6"/>
  <c r="CH760" i="6"/>
  <c r="CH761" i="6"/>
  <c r="CH762" i="6"/>
  <c r="CH763" i="6"/>
  <c r="CH764" i="6"/>
  <c r="CH765" i="6"/>
  <c r="CH766" i="6"/>
  <c r="CH767" i="6"/>
  <c r="CH768" i="6"/>
  <c r="CH769" i="6"/>
  <c r="CH770" i="6"/>
  <c r="CH771" i="6"/>
  <c r="CH772" i="6"/>
  <c r="CH773" i="6"/>
  <c r="CH774" i="6"/>
  <c r="CH685" i="6"/>
  <c r="CH686" i="6"/>
  <c r="CH687" i="6"/>
  <c r="CH688" i="6"/>
  <c r="CH689" i="6"/>
  <c r="CH690" i="6"/>
  <c r="CH691" i="6"/>
  <c r="CH692" i="6"/>
  <c r="CH693" i="6"/>
  <c r="CH694" i="6"/>
  <c r="CH695" i="6"/>
  <c r="CH696" i="6"/>
  <c r="CH697" i="6"/>
  <c r="CH702" i="6"/>
  <c r="CH703" i="6"/>
  <c r="CH704" i="6"/>
  <c r="CH705" i="6"/>
  <c r="CH710" i="6"/>
  <c r="CH711" i="6"/>
  <c r="CH716" i="6"/>
  <c r="CH717" i="6"/>
  <c r="CH718" i="6"/>
  <c r="CH662" i="6"/>
  <c r="CH663" i="6"/>
  <c r="CH664" i="6"/>
  <c r="CH665" i="6"/>
  <c r="CH666" i="6"/>
  <c r="CH667" i="6"/>
  <c r="CH668" i="6"/>
  <c r="CH669" i="6"/>
  <c r="CH670" i="6"/>
  <c r="CH671" i="6"/>
  <c r="CH672" i="6"/>
  <c r="CH673" i="6"/>
  <c r="CH674" i="6"/>
  <c r="CH675" i="6"/>
  <c r="CH676" i="6"/>
  <c r="CH677" i="6"/>
  <c r="CH678" i="6"/>
  <c r="CH679" i="6"/>
  <c r="CH680" i="6"/>
  <c r="CH750" i="6"/>
  <c r="CH751" i="6"/>
  <c r="CH543" i="6"/>
  <c r="CH544" i="6"/>
  <c r="CH545" i="6"/>
  <c r="CH546" i="6"/>
  <c r="CH547" i="6"/>
  <c r="CH548" i="6"/>
  <c r="CH549" i="6"/>
  <c r="CH550" i="6"/>
  <c r="CH551" i="6"/>
  <c r="CH552" i="6"/>
  <c r="CH553" i="6"/>
  <c r="CH554" i="6"/>
  <c r="CH555" i="6"/>
  <c r="CH556" i="6"/>
  <c r="CH557" i="6"/>
  <c r="CH558" i="6"/>
  <c r="CH559" i="6"/>
  <c r="CH560" i="6"/>
  <c r="CH561" i="6"/>
  <c r="CH562" i="6"/>
  <c r="CH563" i="6"/>
  <c r="CH564" i="6"/>
  <c r="CH565" i="6"/>
  <c r="CH655" i="6"/>
  <c r="CH657" i="6"/>
  <c r="CH566" i="6"/>
  <c r="CH567" i="6"/>
  <c r="CH568" i="6"/>
  <c r="CH569" i="6"/>
  <c r="CH570" i="6"/>
  <c r="CH571" i="6"/>
  <c r="CH572" i="6"/>
  <c r="CH573" i="6"/>
  <c r="CH574" i="6"/>
  <c r="CH575" i="6"/>
  <c r="CH576" i="6"/>
  <c r="CH577" i="6"/>
  <c r="CH578" i="6"/>
  <c r="CH579" i="6"/>
  <c r="CH580" i="6"/>
  <c r="CH581" i="6"/>
  <c r="CH582" i="6"/>
  <c r="CH583" i="6"/>
  <c r="CH584" i="6"/>
  <c r="CH585" i="6"/>
  <c r="CH586" i="6"/>
  <c r="CH587" i="6"/>
  <c r="CH588" i="6"/>
  <c r="CH489" i="6"/>
  <c r="CH490" i="6"/>
  <c r="CH491" i="6"/>
  <c r="CH492" i="6"/>
  <c r="CH493" i="6"/>
  <c r="CH494" i="6"/>
  <c r="CH495" i="6"/>
  <c r="CH496" i="6"/>
  <c r="CH649" i="6"/>
  <c r="CH650" i="6"/>
  <c r="CH651" i="6"/>
  <c r="CH652" i="6"/>
  <c r="CH653" i="6"/>
  <c r="CH597" i="6"/>
  <c r="CH599" i="6"/>
  <c r="CH601" i="6"/>
  <c r="CH603" i="6"/>
  <c r="CH605" i="6"/>
  <c r="CH607" i="6"/>
  <c r="CH609" i="6"/>
  <c r="CH611" i="6"/>
  <c r="CH612" i="6"/>
  <c r="CH613" i="6"/>
  <c r="CH614" i="6"/>
  <c r="CH615" i="6"/>
  <c r="CH616" i="6"/>
  <c r="CH617" i="6"/>
  <c r="CH618" i="6"/>
  <c r="CH619" i="6"/>
  <c r="CH620" i="6"/>
  <c r="CH621" i="6"/>
  <c r="CH622" i="6"/>
  <c r="CH623" i="6"/>
  <c r="CH624" i="6"/>
  <c r="CH625" i="6"/>
  <c r="CH626" i="6"/>
  <c r="CH627" i="6"/>
  <c r="CH628" i="6"/>
  <c r="CH629" i="6"/>
  <c r="CH630" i="6"/>
  <c r="CH631" i="6"/>
  <c r="CH632" i="6"/>
  <c r="CH633" i="6"/>
  <c r="CH634" i="6"/>
  <c r="CH635" i="6"/>
  <c r="CH636" i="6"/>
  <c r="CH637" i="6"/>
  <c r="CH638" i="6"/>
  <c r="CH639" i="6"/>
  <c r="CH640" i="6"/>
  <c r="CH641" i="6"/>
  <c r="CH642" i="6"/>
  <c r="CH643" i="6"/>
  <c r="CH644" i="6"/>
  <c r="CH589" i="6"/>
  <c r="CH590" i="6"/>
  <c r="CH591" i="6"/>
  <c r="CH501" i="6"/>
  <c r="CH502" i="6"/>
  <c r="CH503" i="6"/>
  <c r="CH504" i="6"/>
  <c r="CH505" i="6"/>
  <c r="CH506" i="6"/>
  <c r="CH507" i="6"/>
  <c r="CH508" i="6"/>
  <c r="CH509" i="6"/>
  <c r="CH510" i="6"/>
  <c r="CH511" i="6"/>
  <c r="CH512" i="6"/>
  <c r="CH513" i="6"/>
  <c r="CH514" i="6"/>
  <c r="CH515" i="6"/>
  <c r="CH516" i="6"/>
  <c r="CH517" i="6"/>
  <c r="CH518" i="6"/>
  <c r="CH519" i="6"/>
  <c r="CH520" i="6"/>
  <c r="CH521" i="6"/>
  <c r="CH522" i="6"/>
  <c r="CH523" i="6"/>
  <c r="CH524" i="6"/>
  <c r="CH525" i="6"/>
  <c r="CH526" i="6"/>
  <c r="CH527" i="6"/>
  <c r="CH528" i="6"/>
  <c r="CH529" i="6"/>
  <c r="CH530" i="6"/>
  <c r="CH531" i="6"/>
  <c r="CH532" i="6"/>
  <c r="CH533" i="6"/>
  <c r="CH534" i="6"/>
  <c r="CH535" i="6"/>
  <c r="CH536" i="6"/>
  <c r="CH537" i="6"/>
  <c r="CH538" i="6"/>
  <c r="CH475" i="6"/>
  <c r="CH480" i="6"/>
  <c r="CH481" i="6"/>
  <c r="CH482" i="6"/>
  <c r="CH426" i="6"/>
  <c r="CH427" i="6"/>
  <c r="CH428" i="6"/>
  <c r="CH429" i="6"/>
  <c r="CH430" i="6"/>
  <c r="CH431" i="6"/>
  <c r="CH432" i="6"/>
  <c r="CH433" i="6"/>
  <c r="CH434" i="6"/>
  <c r="CH435" i="6"/>
  <c r="CH436" i="6"/>
  <c r="CH437" i="6"/>
  <c r="CH438" i="6"/>
  <c r="CH439" i="6"/>
  <c r="CH440" i="6"/>
  <c r="CH441" i="6"/>
  <c r="CH442" i="6"/>
  <c r="CH443" i="6"/>
  <c r="CH444" i="6"/>
  <c r="CH413" i="6"/>
  <c r="CH414" i="6"/>
  <c r="CH415" i="6"/>
  <c r="CH416" i="6"/>
  <c r="CH417" i="6"/>
  <c r="CH418" i="6"/>
  <c r="CH419" i="6"/>
  <c r="CH420" i="6"/>
  <c r="CH421" i="6"/>
  <c r="CH368" i="6"/>
  <c r="CH375" i="6"/>
  <c r="CH377" i="6"/>
  <c r="CH378" i="6"/>
  <c r="CH379" i="6"/>
  <c r="CH380" i="6"/>
  <c r="CH381" i="6"/>
  <c r="CH382" i="6"/>
  <c r="CH383" i="6"/>
  <c r="CH384" i="6"/>
  <c r="CH385" i="6"/>
  <c r="CH386" i="6"/>
  <c r="CH387" i="6"/>
  <c r="CH388" i="6"/>
  <c r="CH389" i="6"/>
  <c r="CH390" i="6"/>
  <c r="CH391" i="6"/>
  <c r="CH392" i="6"/>
  <c r="CH393" i="6"/>
  <c r="CH394" i="6"/>
  <c r="CH395" i="6"/>
  <c r="CH396" i="6"/>
  <c r="CH397" i="6"/>
  <c r="CH398" i="6"/>
  <c r="CH399" i="6"/>
  <c r="CH400" i="6"/>
  <c r="CH401" i="6"/>
  <c r="CH402" i="6"/>
  <c r="CH403" i="6"/>
  <c r="CH404" i="6"/>
  <c r="CH405" i="6"/>
  <c r="CH406" i="6"/>
  <c r="CH407" i="6"/>
  <c r="CH408" i="6"/>
  <c r="CH307" i="6"/>
  <c r="CH308" i="6"/>
  <c r="CH309" i="6"/>
  <c r="CH310" i="6"/>
  <c r="CH311" i="6"/>
  <c r="CH654" i="6"/>
  <c r="CH449" i="6"/>
  <c r="CH450" i="6"/>
  <c r="CH451" i="6"/>
  <c r="CH452" i="6"/>
  <c r="CH453" i="6"/>
  <c r="CH454" i="6"/>
  <c r="CH455" i="6"/>
  <c r="CH456" i="6"/>
  <c r="CH457" i="6"/>
  <c r="CH458" i="6"/>
  <c r="CH459" i="6"/>
  <c r="CH460" i="6"/>
  <c r="CH461" i="6"/>
  <c r="CH466" i="6"/>
  <c r="CH467" i="6"/>
  <c r="CH468" i="6"/>
  <c r="CH469" i="6"/>
  <c r="CH363" i="6"/>
  <c r="CH364" i="6"/>
  <c r="CH365" i="6"/>
  <c r="CH369" i="6"/>
  <c r="CH370" i="6"/>
  <c r="CH656" i="6"/>
  <c r="CH598" i="6"/>
  <c r="CH602" i="6"/>
  <c r="CH606" i="6"/>
  <c r="CH610" i="6"/>
  <c r="CH376" i="6"/>
  <c r="CH265" i="6"/>
  <c r="CH604" i="6"/>
  <c r="CH367" i="6"/>
  <c r="CH372" i="6"/>
  <c r="CH374" i="6"/>
  <c r="CH266" i="6"/>
  <c r="CH596" i="6"/>
  <c r="CH608" i="6"/>
  <c r="CH371" i="6"/>
  <c r="CH324" i="6"/>
  <c r="CH325" i="6"/>
  <c r="CH327" i="6"/>
  <c r="CH328" i="6"/>
  <c r="CH329" i="6"/>
  <c r="CH330" i="6"/>
  <c r="CH335" i="6"/>
  <c r="CH336" i="6"/>
  <c r="CH337" i="6"/>
  <c r="CH340" i="6"/>
  <c r="CH342" i="6"/>
  <c r="CH343" i="6"/>
  <c r="CH345" i="6"/>
  <c r="CH346" i="6"/>
  <c r="CH347" i="6"/>
  <c r="CH348" i="6"/>
  <c r="CH354" i="6"/>
  <c r="CH355" i="6"/>
  <c r="CH600" i="6"/>
  <c r="CH268" i="6"/>
  <c r="CH270" i="6"/>
  <c r="CH272" i="6"/>
  <c r="CH273" i="6"/>
  <c r="CH276" i="6"/>
  <c r="CH279" i="6"/>
  <c r="CH281" i="6"/>
  <c r="CH284" i="6"/>
  <c r="CH287" i="6"/>
  <c r="CH290" i="6"/>
  <c r="CH292" i="6"/>
  <c r="CH294" i="6"/>
  <c r="CH297" i="6"/>
  <c r="CH299" i="6"/>
  <c r="CH302" i="6"/>
  <c r="CH257" i="6"/>
  <c r="CH259" i="6"/>
  <c r="CH361" i="6"/>
  <c r="CH366" i="6"/>
  <c r="CH373" i="6"/>
  <c r="CH312" i="6"/>
  <c r="CH313" i="6"/>
  <c r="CH314" i="6"/>
  <c r="CH315" i="6"/>
  <c r="CH316" i="6"/>
  <c r="CH317" i="6"/>
  <c r="CH318" i="6"/>
  <c r="CH319" i="6"/>
  <c r="CH320" i="6"/>
  <c r="CH321" i="6"/>
  <c r="CH322" i="6"/>
  <c r="CH323" i="6"/>
  <c r="CH326" i="6"/>
  <c r="CH331" i="6"/>
  <c r="CH332" i="6"/>
  <c r="CH333" i="6"/>
  <c r="CH334" i="6"/>
  <c r="CH338" i="6"/>
  <c r="CH339" i="6"/>
  <c r="CH341" i="6"/>
  <c r="CH344" i="6"/>
  <c r="CH349" i="6"/>
  <c r="CH350" i="6"/>
  <c r="CH351" i="6"/>
  <c r="CH352" i="6"/>
  <c r="CH353" i="6"/>
  <c r="CH474" i="6"/>
  <c r="CH360" i="6"/>
  <c r="CH362" i="6"/>
  <c r="CH267" i="6"/>
  <c r="CH269" i="6"/>
  <c r="CH271" i="6"/>
  <c r="CH274" i="6"/>
  <c r="CH275" i="6"/>
  <c r="CH277" i="6"/>
  <c r="CH278" i="6"/>
  <c r="CH280" i="6"/>
  <c r="CH282" i="6"/>
  <c r="CH283" i="6"/>
  <c r="CH285" i="6"/>
  <c r="CH286" i="6"/>
  <c r="CH288" i="6"/>
  <c r="CH289" i="6"/>
  <c r="CH291" i="6"/>
  <c r="CH293" i="6"/>
  <c r="CH295" i="6"/>
  <c r="CH296" i="6"/>
  <c r="CH298" i="6"/>
  <c r="CH300" i="6"/>
  <c r="CH301" i="6"/>
  <c r="CH253" i="6"/>
  <c r="CH254" i="6"/>
  <c r="CH255" i="6"/>
  <c r="CH256" i="6"/>
  <c r="CH258" i="6"/>
  <c r="CH260" i="6"/>
  <c r="CD1201" i="6"/>
  <c r="CD1202" i="6"/>
  <c r="CD1203" i="6"/>
  <c r="CD1204" i="6"/>
  <c r="CD1205" i="6"/>
  <c r="CD1206" i="6"/>
  <c r="CD1207" i="6"/>
  <c r="CD1208" i="6"/>
  <c r="CD1209" i="6"/>
  <c r="CD1200" i="6"/>
  <c r="CD921" i="6"/>
  <c r="CD922" i="6"/>
  <c r="CD923" i="6"/>
  <c r="CD924" i="6"/>
  <c r="CD925" i="6"/>
  <c r="CD926" i="6"/>
  <c r="CD927" i="6"/>
  <c r="CD928" i="6"/>
  <c r="CD929" i="6"/>
  <c r="CD930" i="6"/>
  <c r="CD931" i="6"/>
  <c r="CD932" i="6"/>
  <c r="CD933" i="6"/>
  <c r="CD938" i="6"/>
  <c r="CD939" i="6"/>
  <c r="CD940" i="6"/>
  <c r="CD941" i="6"/>
  <c r="CD946" i="6"/>
  <c r="CD947" i="6"/>
  <c r="CD952" i="6"/>
  <c r="CD953" i="6"/>
  <c r="CD954" i="6"/>
  <c r="CD898" i="6"/>
  <c r="CD899" i="6"/>
  <c r="CD900" i="6"/>
  <c r="CD901" i="6"/>
  <c r="CD902" i="6"/>
  <c r="CD903" i="6"/>
  <c r="CD904" i="6"/>
  <c r="CD905" i="6"/>
  <c r="CD906" i="6"/>
  <c r="CD907" i="6"/>
  <c r="CD908" i="6"/>
  <c r="CD909" i="6"/>
  <c r="CD910" i="6"/>
  <c r="CD911" i="6"/>
  <c r="CD912" i="6"/>
  <c r="CD913" i="6"/>
  <c r="CD914" i="6"/>
  <c r="CD915" i="6"/>
  <c r="CD916" i="6"/>
  <c r="CD885" i="6"/>
  <c r="CD886" i="6"/>
  <c r="CD887" i="6"/>
  <c r="CD888" i="6"/>
  <c r="CD889" i="6"/>
  <c r="CD890" i="6"/>
  <c r="CD891" i="6"/>
  <c r="CD892" i="6"/>
  <c r="CD893" i="6"/>
  <c r="CD832" i="6"/>
  <c r="CD833" i="6"/>
  <c r="CD834" i="6"/>
  <c r="CD835" i="6"/>
  <c r="CD836" i="6"/>
  <c r="CD837" i="6"/>
  <c r="CD838" i="6"/>
  <c r="CD839" i="6"/>
  <c r="CD840" i="6"/>
  <c r="CD841" i="6"/>
  <c r="CD842" i="6"/>
  <c r="CD843" i="6"/>
  <c r="CD844" i="6"/>
  <c r="CD845" i="6"/>
  <c r="CD846" i="6"/>
  <c r="CD847" i="6"/>
  <c r="CD848" i="6"/>
  <c r="CD849" i="6"/>
  <c r="CD850" i="6"/>
  <c r="CD851" i="6"/>
  <c r="CD852" i="6"/>
  <c r="CD853" i="6"/>
  <c r="CD854" i="6"/>
  <c r="CD855" i="6"/>
  <c r="CD856" i="6"/>
  <c r="CD857" i="6"/>
  <c r="CD858" i="6"/>
  <c r="CD859" i="6"/>
  <c r="CD860" i="6"/>
  <c r="CD794" i="6"/>
  <c r="CD795" i="6"/>
  <c r="CD796" i="6"/>
  <c r="CD797" i="6"/>
  <c r="CD798" i="6"/>
  <c r="CD799" i="6"/>
  <c r="CD800" i="6"/>
  <c r="CD864" i="6"/>
  <c r="CD868" i="6"/>
  <c r="CD872" i="6"/>
  <c r="CD876" i="6"/>
  <c r="CD880" i="6"/>
  <c r="CD781" i="6"/>
  <c r="CD785" i="6"/>
  <c r="CD789" i="6"/>
  <c r="CD793" i="6"/>
  <c r="CD801" i="6"/>
  <c r="CD802" i="6"/>
  <c r="CD803" i="6"/>
  <c r="CD804" i="6"/>
  <c r="CD805" i="6"/>
  <c r="CD806" i="6"/>
  <c r="CD807" i="6"/>
  <c r="CD808" i="6"/>
  <c r="CD809" i="6"/>
  <c r="CD810" i="6"/>
  <c r="CD811" i="6"/>
  <c r="CD812" i="6"/>
  <c r="CD813" i="6"/>
  <c r="CD814" i="6"/>
  <c r="CD815" i="6"/>
  <c r="CD816" i="6"/>
  <c r="CD817" i="6"/>
  <c r="CD818" i="6"/>
  <c r="CD819" i="6"/>
  <c r="CD820" i="6"/>
  <c r="CD821" i="6"/>
  <c r="CD822" i="6"/>
  <c r="CD823" i="6"/>
  <c r="CD824" i="6"/>
  <c r="CD825" i="6"/>
  <c r="CD826" i="6"/>
  <c r="CD827" i="6"/>
  <c r="CD737" i="6"/>
  <c r="CD738" i="6"/>
  <c r="CD739" i="6"/>
  <c r="CD740" i="6"/>
  <c r="CD741" i="6"/>
  <c r="CD742" i="6"/>
  <c r="CD743" i="6"/>
  <c r="CD744" i="6"/>
  <c r="CD745" i="6"/>
  <c r="CD746" i="6"/>
  <c r="CD747" i="6"/>
  <c r="CD725" i="6"/>
  <c r="CD726" i="6"/>
  <c r="CD727" i="6"/>
  <c r="CD728" i="6"/>
  <c r="CD729" i="6"/>
  <c r="CD730" i="6"/>
  <c r="CD731" i="6"/>
  <c r="CD732" i="6"/>
  <c r="CD863" i="6"/>
  <c r="CD867" i="6"/>
  <c r="CD871" i="6"/>
  <c r="CD875" i="6"/>
  <c r="CD879" i="6"/>
  <c r="CD780" i="6"/>
  <c r="CD784" i="6"/>
  <c r="CD788" i="6"/>
  <c r="CD792" i="6"/>
  <c r="CD752" i="6"/>
  <c r="CD753" i="6"/>
  <c r="CD754" i="6"/>
  <c r="CD755" i="6"/>
  <c r="CD756" i="6"/>
  <c r="CD757" i="6"/>
  <c r="CD758" i="6"/>
  <c r="CD759" i="6"/>
  <c r="CD760" i="6"/>
  <c r="CD761" i="6"/>
  <c r="CD762" i="6"/>
  <c r="CD763" i="6"/>
  <c r="CD764" i="6"/>
  <c r="CD765" i="6"/>
  <c r="CD766" i="6"/>
  <c r="CD767" i="6"/>
  <c r="CD768" i="6"/>
  <c r="CD769" i="6"/>
  <c r="CD770" i="6"/>
  <c r="CD771" i="6"/>
  <c r="CD772" i="6"/>
  <c r="CD773" i="6"/>
  <c r="CD774" i="6"/>
  <c r="CD685" i="6"/>
  <c r="CD686" i="6"/>
  <c r="CD687" i="6"/>
  <c r="CD688" i="6"/>
  <c r="CD689" i="6"/>
  <c r="CD690" i="6"/>
  <c r="CD691" i="6"/>
  <c r="CD692" i="6"/>
  <c r="CD693" i="6"/>
  <c r="CD694" i="6"/>
  <c r="CD695" i="6"/>
  <c r="CD696" i="6"/>
  <c r="CD697" i="6"/>
  <c r="CD702" i="6"/>
  <c r="CD703" i="6"/>
  <c r="CD704" i="6"/>
  <c r="CD705" i="6"/>
  <c r="CD710" i="6"/>
  <c r="CD711" i="6"/>
  <c r="CD716" i="6"/>
  <c r="CD717" i="6"/>
  <c r="CD718" i="6"/>
  <c r="CD662" i="6"/>
  <c r="CD663" i="6"/>
  <c r="CD664" i="6"/>
  <c r="CD665" i="6"/>
  <c r="CD666" i="6"/>
  <c r="CD667" i="6"/>
  <c r="CD668" i="6"/>
  <c r="CD669" i="6"/>
  <c r="CD670" i="6"/>
  <c r="CD671" i="6"/>
  <c r="CD672" i="6"/>
  <c r="CD673" i="6"/>
  <c r="CD674" i="6"/>
  <c r="CD675" i="6"/>
  <c r="CD676" i="6"/>
  <c r="CD677" i="6"/>
  <c r="CD678" i="6"/>
  <c r="CD679" i="6"/>
  <c r="CD680" i="6"/>
  <c r="CD862" i="6"/>
  <c r="CD866" i="6"/>
  <c r="CD870" i="6"/>
  <c r="CD874" i="6"/>
  <c r="CD878" i="6"/>
  <c r="CD779" i="6"/>
  <c r="CD783" i="6"/>
  <c r="CD787" i="6"/>
  <c r="CD791" i="6"/>
  <c r="CD748" i="6"/>
  <c r="CD749" i="6"/>
  <c r="CD869" i="6"/>
  <c r="CD782" i="6"/>
  <c r="CD649" i="6"/>
  <c r="CD650" i="6"/>
  <c r="CD651" i="6"/>
  <c r="CD652" i="6"/>
  <c r="CD653" i="6"/>
  <c r="CD654" i="6"/>
  <c r="CD655" i="6"/>
  <c r="CD656" i="6"/>
  <c r="CD657" i="6"/>
  <c r="CD865" i="6"/>
  <c r="CD543" i="6"/>
  <c r="CD544" i="6"/>
  <c r="CD545" i="6"/>
  <c r="CD546" i="6"/>
  <c r="CD547" i="6"/>
  <c r="CD548" i="6"/>
  <c r="CD549" i="6"/>
  <c r="CD550" i="6"/>
  <c r="CD551" i="6"/>
  <c r="CD552" i="6"/>
  <c r="CD553" i="6"/>
  <c r="CD554" i="6"/>
  <c r="CD555" i="6"/>
  <c r="CD556" i="6"/>
  <c r="CD557" i="6"/>
  <c r="CD558" i="6"/>
  <c r="CD559" i="6"/>
  <c r="CD560" i="6"/>
  <c r="CD561" i="6"/>
  <c r="CD562" i="6"/>
  <c r="CD563" i="6"/>
  <c r="CD564" i="6"/>
  <c r="CD565" i="6"/>
  <c r="CD786" i="6"/>
  <c r="CD597" i="6"/>
  <c r="CD599" i="6"/>
  <c r="CD601" i="6"/>
  <c r="CD603" i="6"/>
  <c r="CD605" i="6"/>
  <c r="CD607" i="6"/>
  <c r="CD609" i="6"/>
  <c r="CD611" i="6"/>
  <c r="CD489" i="6"/>
  <c r="CD490" i="6"/>
  <c r="CD491" i="6"/>
  <c r="CD492" i="6"/>
  <c r="CD493" i="6"/>
  <c r="CD494" i="6"/>
  <c r="CD495" i="6"/>
  <c r="CD496" i="6"/>
  <c r="CD861" i="6"/>
  <c r="CD790" i="6"/>
  <c r="CD750" i="6"/>
  <c r="CD566" i="6"/>
  <c r="CD567" i="6"/>
  <c r="CD568" i="6"/>
  <c r="CD569" i="6"/>
  <c r="CD570" i="6"/>
  <c r="CD571" i="6"/>
  <c r="CD572" i="6"/>
  <c r="CD573" i="6"/>
  <c r="CD574" i="6"/>
  <c r="CD575" i="6"/>
  <c r="CD576" i="6"/>
  <c r="CD577" i="6"/>
  <c r="CD578" i="6"/>
  <c r="CD579" i="6"/>
  <c r="CD580" i="6"/>
  <c r="CD581" i="6"/>
  <c r="CD582" i="6"/>
  <c r="CD583" i="6"/>
  <c r="CD584" i="6"/>
  <c r="CD585" i="6"/>
  <c r="CD586" i="6"/>
  <c r="CD587" i="6"/>
  <c r="CD588" i="6"/>
  <c r="CD589" i="6"/>
  <c r="CD590" i="6"/>
  <c r="CD591" i="6"/>
  <c r="CD501" i="6"/>
  <c r="CD502" i="6"/>
  <c r="CD503" i="6"/>
  <c r="CD504" i="6"/>
  <c r="CD505" i="6"/>
  <c r="CD506" i="6"/>
  <c r="CD507" i="6"/>
  <c r="CD508" i="6"/>
  <c r="CD509" i="6"/>
  <c r="CD510" i="6"/>
  <c r="CD511" i="6"/>
  <c r="CD512" i="6"/>
  <c r="CD513" i="6"/>
  <c r="CD514" i="6"/>
  <c r="CD515" i="6"/>
  <c r="CD516" i="6"/>
  <c r="CD517" i="6"/>
  <c r="CD518" i="6"/>
  <c r="CD519" i="6"/>
  <c r="CD520" i="6"/>
  <c r="CD521" i="6"/>
  <c r="CD522" i="6"/>
  <c r="CD523" i="6"/>
  <c r="CD524" i="6"/>
  <c r="CD525" i="6"/>
  <c r="CD526" i="6"/>
  <c r="CD527" i="6"/>
  <c r="CD528" i="6"/>
  <c r="CD529" i="6"/>
  <c r="CD530" i="6"/>
  <c r="CD531" i="6"/>
  <c r="CD532" i="6"/>
  <c r="CD533" i="6"/>
  <c r="CD534" i="6"/>
  <c r="CD535" i="6"/>
  <c r="CD536" i="6"/>
  <c r="CD537" i="6"/>
  <c r="CD538" i="6"/>
  <c r="CD475" i="6"/>
  <c r="CD480" i="6"/>
  <c r="CD481" i="6"/>
  <c r="CD482" i="6"/>
  <c r="CD426" i="6"/>
  <c r="CD427" i="6"/>
  <c r="CD428" i="6"/>
  <c r="CD429" i="6"/>
  <c r="CD430" i="6"/>
  <c r="CD431" i="6"/>
  <c r="CD432" i="6"/>
  <c r="CD433" i="6"/>
  <c r="CD434" i="6"/>
  <c r="CD435" i="6"/>
  <c r="CD436" i="6"/>
  <c r="CD437" i="6"/>
  <c r="CD438" i="6"/>
  <c r="CD439" i="6"/>
  <c r="CD440" i="6"/>
  <c r="CD441" i="6"/>
  <c r="CD442" i="6"/>
  <c r="CD443" i="6"/>
  <c r="CD444" i="6"/>
  <c r="CD413" i="6"/>
  <c r="CD414" i="6"/>
  <c r="CD415" i="6"/>
  <c r="CD416" i="6"/>
  <c r="CD417" i="6"/>
  <c r="CD418" i="6"/>
  <c r="CD419" i="6"/>
  <c r="CD420" i="6"/>
  <c r="CD421" i="6"/>
  <c r="CD368" i="6"/>
  <c r="CD375" i="6"/>
  <c r="CD377" i="6"/>
  <c r="CD378" i="6"/>
  <c r="CD379" i="6"/>
  <c r="CD380" i="6"/>
  <c r="CD381" i="6"/>
  <c r="CD382" i="6"/>
  <c r="CD383" i="6"/>
  <c r="CD384" i="6"/>
  <c r="CD385" i="6"/>
  <c r="CD386" i="6"/>
  <c r="CD387" i="6"/>
  <c r="CD388" i="6"/>
  <c r="CD389" i="6"/>
  <c r="CD390" i="6"/>
  <c r="CD391" i="6"/>
  <c r="CD392" i="6"/>
  <c r="CD393" i="6"/>
  <c r="CD394" i="6"/>
  <c r="CD395" i="6"/>
  <c r="CD396" i="6"/>
  <c r="CD397" i="6"/>
  <c r="CD398" i="6"/>
  <c r="CD399" i="6"/>
  <c r="CD400" i="6"/>
  <c r="CD401" i="6"/>
  <c r="CD402" i="6"/>
  <c r="CD403" i="6"/>
  <c r="CD404" i="6"/>
  <c r="CD405" i="6"/>
  <c r="CD406" i="6"/>
  <c r="CD407" i="6"/>
  <c r="CD408" i="6"/>
  <c r="CD307" i="6"/>
  <c r="CD308" i="6"/>
  <c r="CD309" i="6"/>
  <c r="CD310" i="6"/>
  <c r="CD311" i="6"/>
  <c r="CD598" i="6"/>
  <c r="CD602" i="6"/>
  <c r="CD606" i="6"/>
  <c r="CD610" i="6"/>
  <c r="CD366" i="6"/>
  <c r="CD367" i="6"/>
  <c r="CD371" i="6"/>
  <c r="CD372" i="6"/>
  <c r="CD373" i="6"/>
  <c r="CD374" i="6"/>
  <c r="CD596" i="6"/>
  <c r="CD600" i="6"/>
  <c r="CD873" i="6"/>
  <c r="CD612" i="6"/>
  <c r="CD613" i="6"/>
  <c r="CD614" i="6"/>
  <c r="CD615" i="6"/>
  <c r="CD616" i="6"/>
  <c r="CD617" i="6"/>
  <c r="CD618" i="6"/>
  <c r="CD619" i="6"/>
  <c r="CD620" i="6"/>
  <c r="CD621" i="6"/>
  <c r="CD622" i="6"/>
  <c r="CD623" i="6"/>
  <c r="CD624" i="6"/>
  <c r="CD625" i="6"/>
  <c r="CD626" i="6"/>
  <c r="CD627" i="6"/>
  <c r="CD628" i="6"/>
  <c r="CD629" i="6"/>
  <c r="CD630" i="6"/>
  <c r="CD631" i="6"/>
  <c r="CD632" i="6"/>
  <c r="CD633" i="6"/>
  <c r="CD634" i="6"/>
  <c r="CD635" i="6"/>
  <c r="CD636" i="6"/>
  <c r="CD637" i="6"/>
  <c r="CD638" i="6"/>
  <c r="CD639" i="6"/>
  <c r="CD640" i="6"/>
  <c r="CD641" i="6"/>
  <c r="CD642" i="6"/>
  <c r="CD643" i="6"/>
  <c r="CD644" i="6"/>
  <c r="CD469" i="6"/>
  <c r="CD363" i="6"/>
  <c r="CD364" i="6"/>
  <c r="CD365" i="6"/>
  <c r="CD369" i="6"/>
  <c r="CD370" i="6"/>
  <c r="CD265" i="6"/>
  <c r="CD877" i="6"/>
  <c r="CD604" i="6"/>
  <c r="CD751" i="6"/>
  <c r="CD361" i="6"/>
  <c r="CD312" i="6"/>
  <c r="CD313" i="6"/>
  <c r="CD314" i="6"/>
  <c r="CD315" i="6"/>
  <c r="CD316" i="6"/>
  <c r="CD317" i="6"/>
  <c r="CD318" i="6"/>
  <c r="CD319" i="6"/>
  <c r="CD320" i="6"/>
  <c r="CD321" i="6"/>
  <c r="CD322" i="6"/>
  <c r="CD323" i="6"/>
  <c r="CD324" i="6"/>
  <c r="CD325" i="6"/>
  <c r="CD326" i="6"/>
  <c r="CD327" i="6"/>
  <c r="CD328" i="6"/>
  <c r="CD329" i="6"/>
  <c r="CD330" i="6"/>
  <c r="CD331" i="6"/>
  <c r="CD332" i="6"/>
  <c r="CD333" i="6"/>
  <c r="CD334" i="6"/>
  <c r="CD335" i="6"/>
  <c r="CD336" i="6"/>
  <c r="CD337" i="6"/>
  <c r="CD338" i="6"/>
  <c r="CD339" i="6"/>
  <c r="CD340" i="6"/>
  <c r="CD341" i="6"/>
  <c r="CD342" i="6"/>
  <c r="CD343" i="6"/>
  <c r="CD344" i="6"/>
  <c r="CD345" i="6"/>
  <c r="CD346" i="6"/>
  <c r="CD347" i="6"/>
  <c r="CD348" i="6"/>
  <c r="CD349" i="6"/>
  <c r="CD350" i="6"/>
  <c r="CD351" i="6"/>
  <c r="CD352" i="6"/>
  <c r="CD353" i="6"/>
  <c r="CD354" i="6"/>
  <c r="CD355" i="6"/>
  <c r="CD267" i="6"/>
  <c r="CD268" i="6"/>
  <c r="CD269" i="6"/>
  <c r="CD270" i="6"/>
  <c r="CD271" i="6"/>
  <c r="CD272" i="6"/>
  <c r="CD273" i="6"/>
  <c r="CD274" i="6"/>
  <c r="CD275" i="6"/>
  <c r="CD276" i="6"/>
  <c r="CD277" i="6"/>
  <c r="CD278" i="6"/>
  <c r="CD279" i="6"/>
  <c r="CD280" i="6"/>
  <c r="CD281" i="6"/>
  <c r="CD282" i="6"/>
  <c r="CD283" i="6"/>
  <c r="CD284" i="6"/>
  <c r="CD285" i="6"/>
  <c r="CD288" i="6"/>
  <c r="CD289" i="6"/>
  <c r="CD297" i="6"/>
  <c r="CD299" i="6"/>
  <c r="CD253" i="6"/>
  <c r="CD254" i="6"/>
  <c r="CD255" i="6"/>
  <c r="CD256" i="6"/>
  <c r="CD257" i="6"/>
  <c r="CD258" i="6"/>
  <c r="CD260" i="6"/>
  <c r="CD362" i="6"/>
  <c r="CD266" i="6"/>
  <c r="CD450" i="6"/>
  <c r="CD451" i="6"/>
  <c r="CD453" i="6"/>
  <c r="CD455" i="6"/>
  <c r="CD457" i="6"/>
  <c r="CD459" i="6"/>
  <c r="CD461" i="6"/>
  <c r="CD467" i="6"/>
  <c r="CD608" i="6"/>
  <c r="CD376" i="6"/>
  <c r="CD286" i="6"/>
  <c r="CD287" i="6"/>
  <c r="CD290" i="6"/>
  <c r="CD291" i="6"/>
  <c r="CD292" i="6"/>
  <c r="CD293" i="6"/>
  <c r="CD294" i="6"/>
  <c r="CD295" i="6"/>
  <c r="CD296" i="6"/>
  <c r="CD298" i="6"/>
  <c r="CD300" i="6"/>
  <c r="CD301" i="6"/>
  <c r="CD302" i="6"/>
  <c r="CD259" i="6"/>
  <c r="CD474" i="6"/>
  <c r="CD360" i="6"/>
  <c r="CD449" i="6"/>
  <c r="CD452" i="6"/>
  <c r="CD454" i="6"/>
  <c r="CD456" i="6"/>
  <c r="CD458" i="6"/>
  <c r="CD460" i="6"/>
  <c r="CD466" i="6"/>
  <c r="CD468" i="6"/>
  <c r="BZ1208" i="6"/>
  <c r="BZ1209" i="6"/>
  <c r="BZ1200" i="6"/>
  <c r="BZ921" i="6"/>
  <c r="BZ1202" i="6"/>
  <c r="BZ1206" i="6"/>
  <c r="BZ922" i="6"/>
  <c r="BZ923" i="6"/>
  <c r="BZ924" i="6"/>
  <c r="BZ1201" i="6"/>
  <c r="BZ1205" i="6"/>
  <c r="BZ1204" i="6"/>
  <c r="BZ1207" i="6"/>
  <c r="BZ925" i="6"/>
  <c r="BZ926" i="6"/>
  <c r="BZ927" i="6"/>
  <c r="BZ928" i="6"/>
  <c r="BZ929" i="6"/>
  <c r="BZ930" i="6"/>
  <c r="BZ931" i="6"/>
  <c r="BZ932" i="6"/>
  <c r="BZ933" i="6"/>
  <c r="BZ938" i="6"/>
  <c r="BZ939" i="6"/>
  <c r="BZ940" i="6"/>
  <c r="BZ941" i="6"/>
  <c r="BZ1203" i="6"/>
  <c r="BZ954" i="6"/>
  <c r="BZ898" i="6"/>
  <c r="BZ899" i="6"/>
  <c r="BZ900" i="6"/>
  <c r="BZ901" i="6"/>
  <c r="BZ902" i="6"/>
  <c r="BZ903" i="6"/>
  <c r="BZ904" i="6"/>
  <c r="BZ905" i="6"/>
  <c r="BZ906" i="6"/>
  <c r="BZ907" i="6"/>
  <c r="BZ908" i="6"/>
  <c r="BZ909" i="6"/>
  <c r="BZ910" i="6"/>
  <c r="BZ911" i="6"/>
  <c r="BZ912" i="6"/>
  <c r="BZ913" i="6"/>
  <c r="BZ914" i="6"/>
  <c r="BZ915" i="6"/>
  <c r="BZ952" i="6"/>
  <c r="BZ947" i="6"/>
  <c r="BZ916" i="6"/>
  <c r="BZ885" i="6"/>
  <c r="BZ886" i="6"/>
  <c r="BZ887" i="6"/>
  <c r="BZ888" i="6"/>
  <c r="BZ889" i="6"/>
  <c r="BZ890" i="6"/>
  <c r="BZ891" i="6"/>
  <c r="BZ892" i="6"/>
  <c r="BZ893" i="6"/>
  <c r="BZ832" i="6"/>
  <c r="BZ833" i="6"/>
  <c r="BZ834" i="6"/>
  <c r="BZ835" i="6"/>
  <c r="BZ836" i="6"/>
  <c r="BZ837" i="6"/>
  <c r="BZ838" i="6"/>
  <c r="BZ839" i="6"/>
  <c r="BZ840" i="6"/>
  <c r="BZ841" i="6"/>
  <c r="BZ946" i="6"/>
  <c r="BZ842" i="6"/>
  <c r="BZ843" i="6"/>
  <c r="BZ844" i="6"/>
  <c r="BZ845" i="6"/>
  <c r="BZ846" i="6"/>
  <c r="BZ847" i="6"/>
  <c r="BZ848" i="6"/>
  <c r="BZ849" i="6"/>
  <c r="BZ850" i="6"/>
  <c r="BZ851" i="6"/>
  <c r="BZ852" i="6"/>
  <c r="BZ853" i="6"/>
  <c r="BZ854" i="6"/>
  <c r="BZ855" i="6"/>
  <c r="BZ856" i="6"/>
  <c r="BZ857" i="6"/>
  <c r="BZ858" i="6"/>
  <c r="BZ859" i="6"/>
  <c r="BZ860" i="6"/>
  <c r="BZ861" i="6"/>
  <c r="BZ953" i="6"/>
  <c r="BZ862" i="6"/>
  <c r="BZ863" i="6"/>
  <c r="BZ864" i="6"/>
  <c r="BZ865" i="6"/>
  <c r="BZ866" i="6"/>
  <c r="BZ867" i="6"/>
  <c r="BZ868" i="6"/>
  <c r="BZ869" i="6"/>
  <c r="BZ870" i="6"/>
  <c r="BZ871" i="6"/>
  <c r="BZ872" i="6"/>
  <c r="BZ873" i="6"/>
  <c r="BZ874" i="6"/>
  <c r="BZ875" i="6"/>
  <c r="BZ876" i="6"/>
  <c r="BZ877" i="6"/>
  <c r="BZ878" i="6"/>
  <c r="BZ879" i="6"/>
  <c r="BZ880" i="6"/>
  <c r="BZ779" i="6"/>
  <c r="BZ780" i="6"/>
  <c r="BZ781" i="6"/>
  <c r="BZ782" i="6"/>
  <c r="BZ783" i="6"/>
  <c r="BZ784" i="6"/>
  <c r="BZ785" i="6"/>
  <c r="BZ786" i="6"/>
  <c r="BZ787" i="6"/>
  <c r="BZ788" i="6"/>
  <c r="BZ789" i="6"/>
  <c r="BZ790" i="6"/>
  <c r="BZ791" i="6"/>
  <c r="BZ792" i="6"/>
  <c r="BZ793" i="6"/>
  <c r="BZ795" i="6"/>
  <c r="BZ797" i="6"/>
  <c r="BZ794" i="6"/>
  <c r="BZ796" i="6"/>
  <c r="BZ798" i="6"/>
  <c r="BZ799" i="6"/>
  <c r="BZ800" i="6"/>
  <c r="BZ748" i="6"/>
  <c r="BZ749" i="6"/>
  <c r="BZ750" i="6"/>
  <c r="BZ751" i="6"/>
  <c r="BZ725" i="6"/>
  <c r="BZ726" i="6"/>
  <c r="BZ727" i="6"/>
  <c r="BZ728" i="6"/>
  <c r="BZ729" i="6"/>
  <c r="BZ730" i="6"/>
  <c r="BZ731" i="6"/>
  <c r="BZ732" i="6"/>
  <c r="BZ752" i="6"/>
  <c r="BZ753" i="6"/>
  <c r="BZ754" i="6"/>
  <c r="BZ755" i="6"/>
  <c r="BZ756" i="6"/>
  <c r="BZ757" i="6"/>
  <c r="BZ758" i="6"/>
  <c r="BZ759" i="6"/>
  <c r="BZ760" i="6"/>
  <c r="BZ761" i="6"/>
  <c r="BZ762" i="6"/>
  <c r="BZ763" i="6"/>
  <c r="BZ764" i="6"/>
  <c r="BZ765" i="6"/>
  <c r="BZ766" i="6"/>
  <c r="BZ767" i="6"/>
  <c r="BZ768" i="6"/>
  <c r="BZ769" i="6"/>
  <c r="BZ770" i="6"/>
  <c r="BZ771" i="6"/>
  <c r="BZ772" i="6"/>
  <c r="BZ773" i="6"/>
  <c r="BZ774" i="6"/>
  <c r="BZ685" i="6"/>
  <c r="BZ686" i="6"/>
  <c r="BZ687" i="6"/>
  <c r="BZ688" i="6"/>
  <c r="BZ689" i="6"/>
  <c r="BZ690" i="6"/>
  <c r="BZ691" i="6"/>
  <c r="BZ692" i="6"/>
  <c r="BZ693" i="6"/>
  <c r="BZ694" i="6"/>
  <c r="BZ695" i="6"/>
  <c r="BZ696" i="6"/>
  <c r="BZ697" i="6"/>
  <c r="BZ702" i="6"/>
  <c r="BZ703" i="6"/>
  <c r="BZ704" i="6"/>
  <c r="BZ705" i="6"/>
  <c r="BZ710" i="6"/>
  <c r="BZ711" i="6"/>
  <c r="BZ716" i="6"/>
  <c r="BZ717" i="6"/>
  <c r="BZ718" i="6"/>
  <c r="BZ662" i="6"/>
  <c r="BZ663" i="6"/>
  <c r="BZ664" i="6"/>
  <c r="BZ665" i="6"/>
  <c r="BZ666" i="6"/>
  <c r="BZ667" i="6"/>
  <c r="BZ668" i="6"/>
  <c r="BZ669" i="6"/>
  <c r="BZ670" i="6"/>
  <c r="BZ671" i="6"/>
  <c r="BZ672" i="6"/>
  <c r="BZ673" i="6"/>
  <c r="BZ674" i="6"/>
  <c r="BZ675" i="6"/>
  <c r="BZ676" i="6"/>
  <c r="BZ677" i="6"/>
  <c r="BZ678" i="6"/>
  <c r="BZ679" i="6"/>
  <c r="BZ680" i="6"/>
  <c r="BZ801" i="6"/>
  <c r="BZ805" i="6"/>
  <c r="BZ809" i="6"/>
  <c r="BZ813" i="6"/>
  <c r="BZ817" i="6"/>
  <c r="BZ821" i="6"/>
  <c r="BZ825" i="6"/>
  <c r="BZ737" i="6"/>
  <c r="BZ741" i="6"/>
  <c r="BZ745" i="6"/>
  <c r="BZ596" i="6"/>
  <c r="BZ597" i="6"/>
  <c r="BZ598" i="6"/>
  <c r="BZ599" i="6"/>
  <c r="BZ600" i="6"/>
  <c r="BZ601" i="6"/>
  <c r="BZ602" i="6"/>
  <c r="BZ603" i="6"/>
  <c r="BZ604" i="6"/>
  <c r="BZ605" i="6"/>
  <c r="BZ606" i="6"/>
  <c r="BZ607" i="6"/>
  <c r="BZ608" i="6"/>
  <c r="BZ609" i="6"/>
  <c r="BZ610" i="6"/>
  <c r="BZ611" i="6"/>
  <c r="BZ804" i="6"/>
  <c r="BZ808" i="6"/>
  <c r="BZ812" i="6"/>
  <c r="BZ816" i="6"/>
  <c r="BZ820" i="6"/>
  <c r="BZ824" i="6"/>
  <c r="BZ740" i="6"/>
  <c r="BZ744" i="6"/>
  <c r="BZ654" i="6"/>
  <c r="BZ655" i="6"/>
  <c r="BZ656" i="6"/>
  <c r="BZ657" i="6"/>
  <c r="BZ543" i="6"/>
  <c r="BZ544" i="6"/>
  <c r="BZ545" i="6"/>
  <c r="BZ546" i="6"/>
  <c r="BZ547" i="6"/>
  <c r="BZ548" i="6"/>
  <c r="BZ549" i="6"/>
  <c r="BZ550" i="6"/>
  <c r="BZ551" i="6"/>
  <c r="BZ552" i="6"/>
  <c r="BZ553" i="6"/>
  <c r="BZ554" i="6"/>
  <c r="BZ555" i="6"/>
  <c r="BZ556" i="6"/>
  <c r="BZ557" i="6"/>
  <c r="BZ558" i="6"/>
  <c r="BZ559" i="6"/>
  <c r="BZ560" i="6"/>
  <c r="BZ561" i="6"/>
  <c r="BZ562" i="6"/>
  <c r="BZ563" i="6"/>
  <c r="BZ564" i="6"/>
  <c r="BZ565" i="6"/>
  <c r="BZ806" i="6"/>
  <c r="BZ814" i="6"/>
  <c r="BZ822" i="6"/>
  <c r="BZ738" i="6"/>
  <c r="BZ746" i="6"/>
  <c r="BZ489" i="6"/>
  <c r="BZ490" i="6"/>
  <c r="BZ491" i="6"/>
  <c r="BZ492" i="6"/>
  <c r="BZ493" i="6"/>
  <c r="BZ494" i="6"/>
  <c r="BZ495" i="6"/>
  <c r="BZ496" i="6"/>
  <c r="BZ807" i="6"/>
  <c r="BZ815" i="6"/>
  <c r="BZ823" i="6"/>
  <c r="BZ739" i="6"/>
  <c r="BZ747" i="6"/>
  <c r="BZ612" i="6"/>
  <c r="BZ613" i="6"/>
  <c r="BZ614" i="6"/>
  <c r="BZ615" i="6"/>
  <c r="BZ616" i="6"/>
  <c r="BZ617" i="6"/>
  <c r="BZ618" i="6"/>
  <c r="BZ619" i="6"/>
  <c r="BZ620" i="6"/>
  <c r="BZ621" i="6"/>
  <c r="BZ622" i="6"/>
  <c r="BZ623" i="6"/>
  <c r="BZ624" i="6"/>
  <c r="BZ625" i="6"/>
  <c r="BZ626" i="6"/>
  <c r="BZ627" i="6"/>
  <c r="BZ628" i="6"/>
  <c r="BZ629" i="6"/>
  <c r="BZ630" i="6"/>
  <c r="BZ631" i="6"/>
  <c r="BZ632" i="6"/>
  <c r="BZ633" i="6"/>
  <c r="BZ634" i="6"/>
  <c r="BZ635" i="6"/>
  <c r="BZ636" i="6"/>
  <c r="BZ637" i="6"/>
  <c r="BZ638" i="6"/>
  <c r="BZ639" i="6"/>
  <c r="BZ640" i="6"/>
  <c r="BZ641" i="6"/>
  <c r="BZ642" i="6"/>
  <c r="BZ643" i="6"/>
  <c r="BZ644" i="6"/>
  <c r="BZ589" i="6"/>
  <c r="BZ590" i="6"/>
  <c r="BZ591" i="6"/>
  <c r="BZ501" i="6"/>
  <c r="BZ502" i="6"/>
  <c r="BZ503" i="6"/>
  <c r="BZ504" i="6"/>
  <c r="BZ505" i="6"/>
  <c r="BZ506" i="6"/>
  <c r="BZ507" i="6"/>
  <c r="BZ508" i="6"/>
  <c r="BZ509" i="6"/>
  <c r="BZ510" i="6"/>
  <c r="BZ511" i="6"/>
  <c r="BZ512" i="6"/>
  <c r="BZ513" i="6"/>
  <c r="BZ514" i="6"/>
  <c r="BZ515" i="6"/>
  <c r="BZ516" i="6"/>
  <c r="BZ517" i="6"/>
  <c r="BZ518" i="6"/>
  <c r="BZ519" i="6"/>
  <c r="BZ520" i="6"/>
  <c r="BZ521" i="6"/>
  <c r="BZ522" i="6"/>
  <c r="BZ523" i="6"/>
  <c r="BZ524" i="6"/>
  <c r="BZ525" i="6"/>
  <c r="BZ526" i="6"/>
  <c r="BZ527" i="6"/>
  <c r="BZ528" i="6"/>
  <c r="BZ529" i="6"/>
  <c r="BZ530" i="6"/>
  <c r="BZ531" i="6"/>
  <c r="BZ532" i="6"/>
  <c r="BZ533" i="6"/>
  <c r="BZ534" i="6"/>
  <c r="BZ535" i="6"/>
  <c r="BZ536" i="6"/>
  <c r="BZ537" i="6"/>
  <c r="BZ538" i="6"/>
  <c r="BZ475" i="6"/>
  <c r="BZ480" i="6"/>
  <c r="BZ481" i="6"/>
  <c r="BZ482" i="6"/>
  <c r="BZ426" i="6"/>
  <c r="BZ427" i="6"/>
  <c r="BZ428" i="6"/>
  <c r="BZ429" i="6"/>
  <c r="BZ430" i="6"/>
  <c r="BZ431" i="6"/>
  <c r="BZ432" i="6"/>
  <c r="BZ433" i="6"/>
  <c r="BZ434" i="6"/>
  <c r="BZ435" i="6"/>
  <c r="BZ436" i="6"/>
  <c r="BZ437" i="6"/>
  <c r="BZ438" i="6"/>
  <c r="BZ439" i="6"/>
  <c r="BZ440" i="6"/>
  <c r="BZ441" i="6"/>
  <c r="BZ442" i="6"/>
  <c r="BZ443" i="6"/>
  <c r="BZ444" i="6"/>
  <c r="BZ413" i="6"/>
  <c r="BZ414" i="6"/>
  <c r="BZ415" i="6"/>
  <c r="BZ416" i="6"/>
  <c r="BZ417" i="6"/>
  <c r="BZ418" i="6"/>
  <c r="BZ419" i="6"/>
  <c r="BZ420" i="6"/>
  <c r="BZ421" i="6"/>
  <c r="BZ368" i="6"/>
  <c r="BZ375" i="6"/>
  <c r="BZ377" i="6"/>
  <c r="BZ378" i="6"/>
  <c r="BZ379" i="6"/>
  <c r="BZ380" i="6"/>
  <c r="BZ381" i="6"/>
  <c r="BZ382" i="6"/>
  <c r="BZ383" i="6"/>
  <c r="BZ384" i="6"/>
  <c r="BZ385" i="6"/>
  <c r="BZ386" i="6"/>
  <c r="BZ387" i="6"/>
  <c r="BZ388" i="6"/>
  <c r="BZ389" i="6"/>
  <c r="BZ390" i="6"/>
  <c r="BZ391" i="6"/>
  <c r="BZ392" i="6"/>
  <c r="BZ393" i="6"/>
  <c r="BZ394" i="6"/>
  <c r="BZ395" i="6"/>
  <c r="BZ396" i="6"/>
  <c r="BZ397" i="6"/>
  <c r="BZ398" i="6"/>
  <c r="BZ399" i="6"/>
  <c r="BZ400" i="6"/>
  <c r="BZ401" i="6"/>
  <c r="BZ402" i="6"/>
  <c r="BZ403" i="6"/>
  <c r="BZ404" i="6"/>
  <c r="BZ405" i="6"/>
  <c r="BZ406" i="6"/>
  <c r="BZ407" i="6"/>
  <c r="BZ408" i="6"/>
  <c r="BZ307" i="6"/>
  <c r="BZ308" i="6"/>
  <c r="BZ309" i="6"/>
  <c r="BZ310" i="6"/>
  <c r="BZ311" i="6"/>
  <c r="BZ811" i="6"/>
  <c r="BZ827" i="6"/>
  <c r="BZ566" i="6"/>
  <c r="BZ568" i="6"/>
  <c r="BZ570" i="6"/>
  <c r="BZ572" i="6"/>
  <c r="BZ574" i="6"/>
  <c r="BZ576" i="6"/>
  <c r="BZ578" i="6"/>
  <c r="BZ580" i="6"/>
  <c r="BZ582" i="6"/>
  <c r="BZ584" i="6"/>
  <c r="BZ586" i="6"/>
  <c r="BZ588" i="6"/>
  <c r="BZ449" i="6"/>
  <c r="BZ450" i="6"/>
  <c r="BZ451" i="6"/>
  <c r="BZ452" i="6"/>
  <c r="BZ453" i="6"/>
  <c r="BZ454" i="6"/>
  <c r="BZ455" i="6"/>
  <c r="BZ456" i="6"/>
  <c r="BZ457" i="6"/>
  <c r="BZ458" i="6"/>
  <c r="BZ459" i="6"/>
  <c r="BZ460" i="6"/>
  <c r="BZ461" i="6"/>
  <c r="BZ466" i="6"/>
  <c r="BZ467" i="6"/>
  <c r="BZ468" i="6"/>
  <c r="BZ474" i="6"/>
  <c r="BZ360" i="6"/>
  <c r="BZ361" i="6"/>
  <c r="BZ362" i="6"/>
  <c r="BZ802" i="6"/>
  <c r="BZ818" i="6"/>
  <c r="BZ742" i="6"/>
  <c r="BZ650" i="6"/>
  <c r="BZ652" i="6"/>
  <c r="BZ366" i="6"/>
  <c r="BZ367" i="6"/>
  <c r="BZ371" i="6"/>
  <c r="BZ372" i="6"/>
  <c r="BZ373" i="6"/>
  <c r="BZ374" i="6"/>
  <c r="BZ265" i="6"/>
  <c r="BZ803" i="6"/>
  <c r="BZ819" i="6"/>
  <c r="BZ743" i="6"/>
  <c r="BZ826" i="6"/>
  <c r="BZ649" i="6"/>
  <c r="BZ376" i="6"/>
  <c r="BZ266" i="6"/>
  <c r="BZ653" i="6"/>
  <c r="BZ322" i="6"/>
  <c r="BZ323" i="6"/>
  <c r="BZ326" i="6"/>
  <c r="BZ331" i="6"/>
  <c r="BZ332" i="6"/>
  <c r="BZ333" i="6"/>
  <c r="BZ334" i="6"/>
  <c r="BZ339" i="6"/>
  <c r="BZ341" i="6"/>
  <c r="BZ344" i="6"/>
  <c r="BZ350" i="6"/>
  <c r="BZ351" i="6"/>
  <c r="BZ352" i="6"/>
  <c r="BZ353" i="6"/>
  <c r="BZ583" i="6"/>
  <c r="BZ587" i="6"/>
  <c r="BZ469" i="6"/>
  <c r="BZ267" i="6"/>
  <c r="BZ269" i="6"/>
  <c r="BZ271" i="6"/>
  <c r="BZ274" i="6"/>
  <c r="BZ275" i="6"/>
  <c r="BZ278" i="6"/>
  <c r="BZ283" i="6"/>
  <c r="BZ285" i="6"/>
  <c r="BZ289" i="6"/>
  <c r="BZ291" i="6"/>
  <c r="BZ293" i="6"/>
  <c r="BZ295" i="6"/>
  <c r="BZ296" i="6"/>
  <c r="BZ298" i="6"/>
  <c r="BZ300" i="6"/>
  <c r="BZ301" i="6"/>
  <c r="BZ253" i="6"/>
  <c r="BZ254" i="6"/>
  <c r="BZ256" i="6"/>
  <c r="BZ258" i="6"/>
  <c r="BZ260" i="6"/>
  <c r="BZ810" i="6"/>
  <c r="BZ569" i="6"/>
  <c r="BZ573" i="6"/>
  <c r="BZ577" i="6"/>
  <c r="BZ581" i="6"/>
  <c r="BZ585" i="6"/>
  <c r="BZ363" i="6"/>
  <c r="BZ365" i="6"/>
  <c r="BZ370" i="6"/>
  <c r="BZ312" i="6"/>
  <c r="BZ313" i="6"/>
  <c r="BZ314" i="6"/>
  <c r="BZ315" i="6"/>
  <c r="BZ316" i="6"/>
  <c r="BZ317" i="6"/>
  <c r="BZ318" i="6"/>
  <c r="BZ319" i="6"/>
  <c r="BZ320" i="6"/>
  <c r="BZ321" i="6"/>
  <c r="BZ324" i="6"/>
  <c r="BZ325" i="6"/>
  <c r="BZ327" i="6"/>
  <c r="BZ328" i="6"/>
  <c r="BZ329" i="6"/>
  <c r="BZ330" i="6"/>
  <c r="BZ335" i="6"/>
  <c r="BZ336" i="6"/>
  <c r="BZ337" i="6"/>
  <c r="BZ338" i="6"/>
  <c r="BZ340" i="6"/>
  <c r="BZ342" i="6"/>
  <c r="BZ343" i="6"/>
  <c r="BZ345" i="6"/>
  <c r="BZ346" i="6"/>
  <c r="BZ347" i="6"/>
  <c r="BZ348" i="6"/>
  <c r="BZ349" i="6"/>
  <c r="BZ354" i="6"/>
  <c r="BZ355" i="6"/>
  <c r="BZ651" i="6"/>
  <c r="BZ567" i="6"/>
  <c r="BZ571" i="6"/>
  <c r="BZ575" i="6"/>
  <c r="BZ579" i="6"/>
  <c r="BZ364" i="6"/>
  <c r="BZ369" i="6"/>
  <c r="BZ268" i="6"/>
  <c r="BZ270" i="6"/>
  <c r="BZ272" i="6"/>
  <c r="BZ273" i="6"/>
  <c r="BZ276" i="6"/>
  <c r="BZ277" i="6"/>
  <c r="BZ279" i="6"/>
  <c r="BZ280" i="6"/>
  <c r="BZ281" i="6"/>
  <c r="BZ282" i="6"/>
  <c r="BZ284" i="6"/>
  <c r="BZ286" i="6"/>
  <c r="BZ287" i="6"/>
  <c r="BZ288" i="6"/>
  <c r="BZ290" i="6"/>
  <c r="BZ292" i="6"/>
  <c r="BZ294" i="6"/>
  <c r="BZ297" i="6"/>
  <c r="BZ299" i="6"/>
  <c r="BZ302" i="6"/>
  <c r="BZ255" i="6"/>
  <c r="BZ257" i="6"/>
  <c r="BZ259" i="6"/>
  <c r="BV1201" i="6"/>
  <c r="BV1202" i="6"/>
  <c r="BV1203" i="6"/>
  <c r="BV1204" i="6"/>
  <c r="BV1205" i="6"/>
  <c r="BV1206" i="6"/>
  <c r="BV1207" i="6"/>
  <c r="BV1208" i="6"/>
  <c r="BV1209" i="6"/>
  <c r="BV1200" i="6"/>
  <c r="BV921" i="6"/>
  <c r="BV922" i="6"/>
  <c r="BV923" i="6"/>
  <c r="BV924" i="6"/>
  <c r="BV925" i="6"/>
  <c r="BV926" i="6"/>
  <c r="BV927" i="6"/>
  <c r="BV928" i="6"/>
  <c r="BV929" i="6"/>
  <c r="BV930" i="6"/>
  <c r="BV931" i="6"/>
  <c r="BV932" i="6"/>
  <c r="BV933" i="6"/>
  <c r="BV938" i="6"/>
  <c r="BV939" i="6"/>
  <c r="BV940" i="6"/>
  <c r="BV941" i="6"/>
  <c r="BV946" i="6"/>
  <c r="BV947" i="6"/>
  <c r="BV952" i="6"/>
  <c r="BV953" i="6"/>
  <c r="BV954" i="6"/>
  <c r="BV898" i="6"/>
  <c r="BV899" i="6"/>
  <c r="BV900" i="6"/>
  <c r="BV901" i="6"/>
  <c r="BV902" i="6"/>
  <c r="BV903" i="6"/>
  <c r="BV904" i="6"/>
  <c r="BV905" i="6"/>
  <c r="BV906" i="6"/>
  <c r="BV907" i="6"/>
  <c r="BV908" i="6"/>
  <c r="BV909" i="6"/>
  <c r="BV910" i="6"/>
  <c r="BV911" i="6"/>
  <c r="BV912" i="6"/>
  <c r="BV913" i="6"/>
  <c r="BV914" i="6"/>
  <c r="BV915" i="6"/>
  <c r="BV916" i="6"/>
  <c r="BV885" i="6"/>
  <c r="BV886" i="6"/>
  <c r="BV887" i="6"/>
  <c r="BV888" i="6"/>
  <c r="BV889" i="6"/>
  <c r="BV890" i="6"/>
  <c r="BV891" i="6"/>
  <c r="BV892" i="6"/>
  <c r="BV893" i="6"/>
  <c r="BV832" i="6"/>
  <c r="BV833" i="6"/>
  <c r="BV834" i="6"/>
  <c r="BV835" i="6"/>
  <c r="BV836" i="6"/>
  <c r="BV837" i="6"/>
  <c r="BV838" i="6"/>
  <c r="BV839" i="6"/>
  <c r="BV840" i="6"/>
  <c r="BV841" i="6"/>
  <c r="BV842" i="6"/>
  <c r="BV843" i="6"/>
  <c r="BV844" i="6"/>
  <c r="BV845" i="6"/>
  <c r="BV846" i="6"/>
  <c r="BV847" i="6"/>
  <c r="BV848" i="6"/>
  <c r="BV849" i="6"/>
  <c r="BV850" i="6"/>
  <c r="BV851" i="6"/>
  <c r="BV852" i="6"/>
  <c r="BV853" i="6"/>
  <c r="BV854" i="6"/>
  <c r="BV855" i="6"/>
  <c r="BV856" i="6"/>
  <c r="BV857" i="6"/>
  <c r="BV858" i="6"/>
  <c r="BV859" i="6"/>
  <c r="BV860" i="6"/>
  <c r="BV861" i="6"/>
  <c r="BV862" i="6"/>
  <c r="BV863" i="6"/>
  <c r="BV864" i="6"/>
  <c r="BV865" i="6"/>
  <c r="BV866" i="6"/>
  <c r="BV867" i="6"/>
  <c r="BV868" i="6"/>
  <c r="BV869" i="6"/>
  <c r="BV870" i="6"/>
  <c r="BV871" i="6"/>
  <c r="BV872" i="6"/>
  <c r="BV873" i="6"/>
  <c r="BV874" i="6"/>
  <c r="BV875" i="6"/>
  <c r="BV876" i="6"/>
  <c r="BV877" i="6"/>
  <c r="BV878" i="6"/>
  <c r="BV879" i="6"/>
  <c r="BV880" i="6"/>
  <c r="BV779" i="6"/>
  <c r="BV780" i="6"/>
  <c r="BV781" i="6"/>
  <c r="BV782" i="6"/>
  <c r="BV783" i="6"/>
  <c r="BV784" i="6"/>
  <c r="BV785" i="6"/>
  <c r="BV786" i="6"/>
  <c r="BV787" i="6"/>
  <c r="BV788" i="6"/>
  <c r="BV789" i="6"/>
  <c r="BV790" i="6"/>
  <c r="BV791" i="6"/>
  <c r="BV792" i="6"/>
  <c r="BV793" i="6"/>
  <c r="BV794" i="6"/>
  <c r="BV796" i="6"/>
  <c r="BV798" i="6"/>
  <c r="BV797" i="6"/>
  <c r="BV800" i="6"/>
  <c r="BV725" i="6"/>
  <c r="BV726" i="6"/>
  <c r="BV727" i="6"/>
  <c r="BV728" i="6"/>
  <c r="BV729" i="6"/>
  <c r="BV730" i="6"/>
  <c r="BV731" i="6"/>
  <c r="BV732" i="6"/>
  <c r="BV751" i="6"/>
  <c r="BV752" i="6"/>
  <c r="BV753" i="6"/>
  <c r="BV754" i="6"/>
  <c r="BV755" i="6"/>
  <c r="BV756" i="6"/>
  <c r="BV757" i="6"/>
  <c r="BV758" i="6"/>
  <c r="BV759" i="6"/>
  <c r="BV760" i="6"/>
  <c r="BV761" i="6"/>
  <c r="BV762" i="6"/>
  <c r="BV763" i="6"/>
  <c r="BV764" i="6"/>
  <c r="BV765" i="6"/>
  <c r="BV766" i="6"/>
  <c r="BV767" i="6"/>
  <c r="BV768" i="6"/>
  <c r="BV769" i="6"/>
  <c r="BV770" i="6"/>
  <c r="BV771" i="6"/>
  <c r="BV772" i="6"/>
  <c r="BV773" i="6"/>
  <c r="BV774" i="6"/>
  <c r="BV685" i="6"/>
  <c r="BV686" i="6"/>
  <c r="BV687" i="6"/>
  <c r="BV688" i="6"/>
  <c r="BV689" i="6"/>
  <c r="BV690" i="6"/>
  <c r="BV691" i="6"/>
  <c r="BV692" i="6"/>
  <c r="BV693" i="6"/>
  <c r="BV694" i="6"/>
  <c r="BV695" i="6"/>
  <c r="BV696" i="6"/>
  <c r="BV697" i="6"/>
  <c r="BV702" i="6"/>
  <c r="BV703" i="6"/>
  <c r="BV704" i="6"/>
  <c r="BV705" i="6"/>
  <c r="BV710" i="6"/>
  <c r="BV711" i="6"/>
  <c r="BV716" i="6"/>
  <c r="BV717" i="6"/>
  <c r="BV718" i="6"/>
  <c r="BV662" i="6"/>
  <c r="BV663" i="6"/>
  <c r="BV664" i="6"/>
  <c r="BV665" i="6"/>
  <c r="BV666" i="6"/>
  <c r="BV667" i="6"/>
  <c r="BV668" i="6"/>
  <c r="BV669" i="6"/>
  <c r="BV670" i="6"/>
  <c r="BV671" i="6"/>
  <c r="BV672" i="6"/>
  <c r="BV673" i="6"/>
  <c r="BV674" i="6"/>
  <c r="BV675" i="6"/>
  <c r="BV676" i="6"/>
  <c r="BV677" i="6"/>
  <c r="BV678" i="6"/>
  <c r="BV679" i="6"/>
  <c r="BV680" i="6"/>
  <c r="BV801" i="6"/>
  <c r="BV802" i="6"/>
  <c r="BV803" i="6"/>
  <c r="BV804" i="6"/>
  <c r="BV805" i="6"/>
  <c r="BV806" i="6"/>
  <c r="BV807" i="6"/>
  <c r="BV808" i="6"/>
  <c r="BV809" i="6"/>
  <c r="BV810" i="6"/>
  <c r="BV811" i="6"/>
  <c r="BV812" i="6"/>
  <c r="BV813" i="6"/>
  <c r="BV814" i="6"/>
  <c r="BV815" i="6"/>
  <c r="BV816" i="6"/>
  <c r="BV817" i="6"/>
  <c r="BV818" i="6"/>
  <c r="BV819" i="6"/>
  <c r="BV820" i="6"/>
  <c r="BV821" i="6"/>
  <c r="BV822" i="6"/>
  <c r="BV823" i="6"/>
  <c r="BV824" i="6"/>
  <c r="BV825" i="6"/>
  <c r="BV826" i="6"/>
  <c r="BV827" i="6"/>
  <c r="BV737" i="6"/>
  <c r="BV738" i="6"/>
  <c r="BV739" i="6"/>
  <c r="BV740" i="6"/>
  <c r="BV741" i="6"/>
  <c r="BV742" i="6"/>
  <c r="BV743" i="6"/>
  <c r="BV744" i="6"/>
  <c r="BV745" i="6"/>
  <c r="BV746" i="6"/>
  <c r="BV747" i="6"/>
  <c r="BV748" i="6"/>
  <c r="BV749" i="6"/>
  <c r="BV750" i="6"/>
  <c r="BV649" i="6"/>
  <c r="BV650" i="6"/>
  <c r="BV651" i="6"/>
  <c r="BV652" i="6"/>
  <c r="BV653" i="6"/>
  <c r="BV596" i="6"/>
  <c r="BV597" i="6"/>
  <c r="BV598" i="6"/>
  <c r="BV599" i="6"/>
  <c r="BV600" i="6"/>
  <c r="BV601" i="6"/>
  <c r="BV602" i="6"/>
  <c r="BV603" i="6"/>
  <c r="BV604" i="6"/>
  <c r="BV605" i="6"/>
  <c r="BV606" i="6"/>
  <c r="BV607" i="6"/>
  <c r="BV608" i="6"/>
  <c r="BV609" i="6"/>
  <c r="BV610" i="6"/>
  <c r="BV611" i="6"/>
  <c r="BV543" i="6"/>
  <c r="BV544" i="6"/>
  <c r="BV545" i="6"/>
  <c r="BV546" i="6"/>
  <c r="BV547" i="6"/>
  <c r="BV548" i="6"/>
  <c r="BV549" i="6"/>
  <c r="BV550" i="6"/>
  <c r="BV551" i="6"/>
  <c r="BV552" i="6"/>
  <c r="BV553" i="6"/>
  <c r="BV554" i="6"/>
  <c r="BV555" i="6"/>
  <c r="BV556" i="6"/>
  <c r="BV557" i="6"/>
  <c r="BV558" i="6"/>
  <c r="BV559" i="6"/>
  <c r="BV560" i="6"/>
  <c r="BV561" i="6"/>
  <c r="BV562" i="6"/>
  <c r="BV563" i="6"/>
  <c r="BV564" i="6"/>
  <c r="BV565" i="6"/>
  <c r="BV489" i="6"/>
  <c r="BV490" i="6"/>
  <c r="BV491" i="6"/>
  <c r="BV492" i="6"/>
  <c r="BV493" i="6"/>
  <c r="BV494" i="6"/>
  <c r="BV495" i="6"/>
  <c r="BV496" i="6"/>
  <c r="BV654" i="6"/>
  <c r="BV656" i="6"/>
  <c r="BV589" i="6"/>
  <c r="BV590" i="6"/>
  <c r="BV591" i="6"/>
  <c r="BV501" i="6"/>
  <c r="BV502" i="6"/>
  <c r="BV503" i="6"/>
  <c r="BV504" i="6"/>
  <c r="BV505" i="6"/>
  <c r="BV506" i="6"/>
  <c r="BV507" i="6"/>
  <c r="BV508" i="6"/>
  <c r="BV509" i="6"/>
  <c r="BV510" i="6"/>
  <c r="BV511" i="6"/>
  <c r="BV512" i="6"/>
  <c r="BV513" i="6"/>
  <c r="BV514" i="6"/>
  <c r="BV515" i="6"/>
  <c r="BV516" i="6"/>
  <c r="BV517" i="6"/>
  <c r="BV518" i="6"/>
  <c r="BV519" i="6"/>
  <c r="BV520" i="6"/>
  <c r="BV521" i="6"/>
  <c r="BV522" i="6"/>
  <c r="BV523" i="6"/>
  <c r="BV524" i="6"/>
  <c r="BV525" i="6"/>
  <c r="BV526" i="6"/>
  <c r="BV527" i="6"/>
  <c r="BV528" i="6"/>
  <c r="BV529" i="6"/>
  <c r="BV530" i="6"/>
  <c r="BV531" i="6"/>
  <c r="BV532" i="6"/>
  <c r="BV533" i="6"/>
  <c r="BV534" i="6"/>
  <c r="BV535" i="6"/>
  <c r="BV536" i="6"/>
  <c r="BV537" i="6"/>
  <c r="BV538" i="6"/>
  <c r="BV475" i="6"/>
  <c r="BV480" i="6"/>
  <c r="BV481" i="6"/>
  <c r="BV482" i="6"/>
  <c r="BV426" i="6"/>
  <c r="BV427" i="6"/>
  <c r="BV428" i="6"/>
  <c r="BV429" i="6"/>
  <c r="BV430" i="6"/>
  <c r="BV431" i="6"/>
  <c r="BV432" i="6"/>
  <c r="BV433" i="6"/>
  <c r="BV434" i="6"/>
  <c r="BV435" i="6"/>
  <c r="BV436" i="6"/>
  <c r="BV437" i="6"/>
  <c r="BV438" i="6"/>
  <c r="BV439" i="6"/>
  <c r="BV440" i="6"/>
  <c r="BV441" i="6"/>
  <c r="BV442" i="6"/>
  <c r="BV443" i="6"/>
  <c r="BV444" i="6"/>
  <c r="BV413" i="6"/>
  <c r="BV414" i="6"/>
  <c r="BV415" i="6"/>
  <c r="BV416" i="6"/>
  <c r="BV417" i="6"/>
  <c r="BV418" i="6"/>
  <c r="BV419" i="6"/>
  <c r="BV420" i="6"/>
  <c r="BV421" i="6"/>
  <c r="BV368" i="6"/>
  <c r="BV375" i="6"/>
  <c r="BV377" i="6"/>
  <c r="BV378" i="6"/>
  <c r="BV379" i="6"/>
  <c r="BV380" i="6"/>
  <c r="BV381" i="6"/>
  <c r="BV382" i="6"/>
  <c r="BV383" i="6"/>
  <c r="BV384" i="6"/>
  <c r="BV385" i="6"/>
  <c r="BV386" i="6"/>
  <c r="BV387" i="6"/>
  <c r="BV388" i="6"/>
  <c r="BV389" i="6"/>
  <c r="BV390" i="6"/>
  <c r="BV391" i="6"/>
  <c r="BV392" i="6"/>
  <c r="BV393" i="6"/>
  <c r="BV394" i="6"/>
  <c r="BV395" i="6"/>
  <c r="BV396" i="6"/>
  <c r="BV397" i="6"/>
  <c r="BV398" i="6"/>
  <c r="BV399" i="6"/>
  <c r="BV400" i="6"/>
  <c r="BV401" i="6"/>
  <c r="BV402" i="6"/>
  <c r="BV403" i="6"/>
  <c r="BV404" i="6"/>
  <c r="BV405" i="6"/>
  <c r="BV406" i="6"/>
  <c r="BV407" i="6"/>
  <c r="BV408" i="6"/>
  <c r="BV307" i="6"/>
  <c r="BV308" i="6"/>
  <c r="BV309" i="6"/>
  <c r="BV310" i="6"/>
  <c r="BV311" i="6"/>
  <c r="BV376" i="6"/>
  <c r="BV657" i="6"/>
  <c r="BV567" i="6"/>
  <c r="BV569" i="6"/>
  <c r="BV571" i="6"/>
  <c r="BV573" i="6"/>
  <c r="BV575" i="6"/>
  <c r="BV577" i="6"/>
  <c r="BV579" i="6"/>
  <c r="BV581" i="6"/>
  <c r="BV583" i="6"/>
  <c r="BV585" i="6"/>
  <c r="BV587" i="6"/>
  <c r="BV474" i="6"/>
  <c r="BV360" i="6"/>
  <c r="BV361" i="6"/>
  <c r="BV362" i="6"/>
  <c r="BV265" i="6"/>
  <c r="BV795" i="6"/>
  <c r="BV612" i="6"/>
  <c r="BV614" i="6"/>
  <c r="BV616" i="6"/>
  <c r="BV618" i="6"/>
  <c r="BV620" i="6"/>
  <c r="BV622" i="6"/>
  <c r="BV624" i="6"/>
  <c r="BV626" i="6"/>
  <c r="BV628" i="6"/>
  <c r="BV630" i="6"/>
  <c r="BV632" i="6"/>
  <c r="BV634" i="6"/>
  <c r="BV636" i="6"/>
  <c r="BV638" i="6"/>
  <c r="BV640" i="6"/>
  <c r="BV642" i="6"/>
  <c r="BV644" i="6"/>
  <c r="BV568" i="6"/>
  <c r="BV572" i="6"/>
  <c r="BV576" i="6"/>
  <c r="BV580" i="6"/>
  <c r="BV584" i="6"/>
  <c r="BV588" i="6"/>
  <c r="BV363" i="6"/>
  <c r="BV365" i="6"/>
  <c r="BV370" i="6"/>
  <c r="BV312" i="6"/>
  <c r="BV313" i="6"/>
  <c r="BV314" i="6"/>
  <c r="BV315" i="6"/>
  <c r="BV316" i="6"/>
  <c r="BV317" i="6"/>
  <c r="BV318" i="6"/>
  <c r="BV319" i="6"/>
  <c r="BV320" i="6"/>
  <c r="BV321" i="6"/>
  <c r="BV322" i="6"/>
  <c r="BV323" i="6"/>
  <c r="BV324" i="6"/>
  <c r="BV325" i="6"/>
  <c r="BV326" i="6"/>
  <c r="BV327" i="6"/>
  <c r="BV328" i="6"/>
  <c r="BV329" i="6"/>
  <c r="BV330" i="6"/>
  <c r="BV331" i="6"/>
  <c r="BV332" i="6"/>
  <c r="BV333" i="6"/>
  <c r="BV334" i="6"/>
  <c r="BV335" i="6"/>
  <c r="BV336" i="6"/>
  <c r="BV337" i="6"/>
  <c r="BV338" i="6"/>
  <c r="BV339" i="6"/>
  <c r="BV340" i="6"/>
  <c r="BV341" i="6"/>
  <c r="BV342" i="6"/>
  <c r="BV343" i="6"/>
  <c r="BV344" i="6"/>
  <c r="BV345" i="6"/>
  <c r="BV346" i="6"/>
  <c r="BV347" i="6"/>
  <c r="BV348" i="6"/>
  <c r="BV349" i="6"/>
  <c r="BV350" i="6"/>
  <c r="BV351" i="6"/>
  <c r="BV352" i="6"/>
  <c r="BV353" i="6"/>
  <c r="BV354" i="6"/>
  <c r="BV355" i="6"/>
  <c r="BV286" i="6"/>
  <c r="BV287" i="6"/>
  <c r="BV291" i="6"/>
  <c r="BV292" i="6"/>
  <c r="BV293" i="6"/>
  <c r="BV294" i="6"/>
  <c r="BV295" i="6"/>
  <c r="BV296" i="6"/>
  <c r="BV297" i="6"/>
  <c r="BV301" i="6"/>
  <c r="BV302" i="6"/>
  <c r="BV255" i="6"/>
  <c r="BV256" i="6"/>
  <c r="BV257" i="6"/>
  <c r="BV258" i="6"/>
  <c r="BV259" i="6"/>
  <c r="BV655" i="6"/>
  <c r="BV613" i="6"/>
  <c r="BV615" i="6"/>
  <c r="BV617" i="6"/>
  <c r="BV619" i="6"/>
  <c r="BV621" i="6"/>
  <c r="BV623" i="6"/>
  <c r="BV625" i="6"/>
  <c r="BV627" i="6"/>
  <c r="BV629" i="6"/>
  <c r="BV631" i="6"/>
  <c r="BV633" i="6"/>
  <c r="BV635" i="6"/>
  <c r="BV637" i="6"/>
  <c r="BV639" i="6"/>
  <c r="BV641" i="6"/>
  <c r="BV643" i="6"/>
  <c r="BV578" i="6"/>
  <c r="BV586" i="6"/>
  <c r="BV469" i="6"/>
  <c r="BV364" i="6"/>
  <c r="BV369" i="6"/>
  <c r="BV799" i="6"/>
  <c r="BV449" i="6"/>
  <c r="BV450" i="6"/>
  <c r="BV451" i="6"/>
  <c r="BV452" i="6"/>
  <c r="BV453" i="6"/>
  <c r="BV454" i="6"/>
  <c r="BV455" i="6"/>
  <c r="BV456" i="6"/>
  <c r="BV457" i="6"/>
  <c r="BV458" i="6"/>
  <c r="BV459" i="6"/>
  <c r="BV460" i="6"/>
  <c r="BV461" i="6"/>
  <c r="BV466" i="6"/>
  <c r="BV467" i="6"/>
  <c r="BV468" i="6"/>
  <c r="BV366" i="6"/>
  <c r="BV371" i="6"/>
  <c r="BV373" i="6"/>
  <c r="BV267" i="6"/>
  <c r="BV268" i="6"/>
  <c r="BV269" i="6"/>
  <c r="BV270" i="6"/>
  <c r="BV271" i="6"/>
  <c r="BV272" i="6"/>
  <c r="BV273" i="6"/>
  <c r="BV274" i="6"/>
  <c r="BV275" i="6"/>
  <c r="BV276" i="6"/>
  <c r="BV277" i="6"/>
  <c r="BV278" i="6"/>
  <c r="BV279" i="6"/>
  <c r="BV280" i="6"/>
  <c r="BV281" i="6"/>
  <c r="BV282" i="6"/>
  <c r="BV283" i="6"/>
  <c r="BV284" i="6"/>
  <c r="BV285" i="6"/>
  <c r="BV288" i="6"/>
  <c r="BV289" i="6"/>
  <c r="BV290" i="6"/>
  <c r="BV298" i="6"/>
  <c r="BV299" i="6"/>
  <c r="BV300" i="6"/>
  <c r="BV253" i="6"/>
  <c r="BV254" i="6"/>
  <c r="BV260" i="6"/>
  <c r="BV566" i="6"/>
  <c r="BV570" i="6"/>
  <c r="BV574" i="6"/>
  <c r="BV582" i="6"/>
  <c r="BV266" i="6"/>
  <c r="BV367" i="6"/>
  <c r="BV372" i="6"/>
  <c r="BV374" i="6"/>
  <c r="BR1202" i="6"/>
  <c r="BR1203" i="6"/>
  <c r="BR1204" i="6"/>
  <c r="BR1205" i="6"/>
  <c r="BR1206" i="6"/>
  <c r="BR1207" i="6"/>
  <c r="BR1209" i="6"/>
  <c r="BR1200" i="6"/>
  <c r="BR921" i="6"/>
  <c r="BR922" i="6"/>
  <c r="BR923" i="6"/>
  <c r="BR924" i="6"/>
  <c r="BR925" i="6"/>
  <c r="BR1208" i="6"/>
  <c r="BR926" i="6"/>
  <c r="BR927" i="6"/>
  <c r="BR928" i="6"/>
  <c r="BR929" i="6"/>
  <c r="BR930" i="6"/>
  <c r="BR931" i="6"/>
  <c r="BR932" i="6"/>
  <c r="BR933" i="6"/>
  <c r="BR938" i="6"/>
  <c r="BR939" i="6"/>
  <c r="BR940" i="6"/>
  <c r="BR941" i="6"/>
  <c r="BR946" i="6"/>
  <c r="BR947" i="6"/>
  <c r="BR952" i="6"/>
  <c r="BR953" i="6"/>
  <c r="BR903" i="6"/>
  <c r="BR904" i="6"/>
  <c r="BR905" i="6"/>
  <c r="BR906" i="6"/>
  <c r="BR907" i="6"/>
  <c r="BR908" i="6"/>
  <c r="BR909" i="6"/>
  <c r="BR910" i="6"/>
  <c r="BR911" i="6"/>
  <c r="BR912" i="6"/>
  <c r="BR913" i="6"/>
  <c r="BR914" i="6"/>
  <c r="BR915" i="6"/>
  <c r="BR898" i="6"/>
  <c r="BR902" i="6"/>
  <c r="BR899" i="6"/>
  <c r="BR916" i="6"/>
  <c r="BR885" i="6"/>
  <c r="BR886" i="6"/>
  <c r="BR887" i="6"/>
  <c r="BR888" i="6"/>
  <c r="BR889" i="6"/>
  <c r="BR890" i="6"/>
  <c r="BR891" i="6"/>
  <c r="BR892" i="6"/>
  <c r="BR893" i="6"/>
  <c r="BR832" i="6"/>
  <c r="BR833" i="6"/>
  <c r="BR834" i="6"/>
  <c r="BR835" i="6"/>
  <c r="BR836" i="6"/>
  <c r="BR837" i="6"/>
  <c r="BR838" i="6"/>
  <c r="BR839" i="6"/>
  <c r="BR840" i="6"/>
  <c r="BR841" i="6"/>
  <c r="BR900" i="6"/>
  <c r="BR901" i="6"/>
  <c r="BR842" i="6"/>
  <c r="BR843" i="6"/>
  <c r="BR844" i="6"/>
  <c r="BR845" i="6"/>
  <c r="BR846" i="6"/>
  <c r="BR847" i="6"/>
  <c r="BR848" i="6"/>
  <c r="BR849" i="6"/>
  <c r="BR850" i="6"/>
  <c r="BR851" i="6"/>
  <c r="BR852" i="6"/>
  <c r="BR853" i="6"/>
  <c r="BR854" i="6"/>
  <c r="BR855" i="6"/>
  <c r="BR856" i="6"/>
  <c r="BR857" i="6"/>
  <c r="BR858" i="6"/>
  <c r="BR859" i="6"/>
  <c r="BR860" i="6"/>
  <c r="BR954" i="6"/>
  <c r="BR795" i="6"/>
  <c r="BR796" i="6"/>
  <c r="BR797" i="6"/>
  <c r="BR798" i="6"/>
  <c r="BR862" i="6"/>
  <c r="BR863" i="6"/>
  <c r="BR864" i="6"/>
  <c r="BR865" i="6"/>
  <c r="BR866" i="6"/>
  <c r="BR867" i="6"/>
  <c r="BR868" i="6"/>
  <c r="BR869" i="6"/>
  <c r="BR870" i="6"/>
  <c r="BR871" i="6"/>
  <c r="BR872" i="6"/>
  <c r="BR873" i="6"/>
  <c r="BR874" i="6"/>
  <c r="BR875" i="6"/>
  <c r="BR876" i="6"/>
  <c r="BR877" i="6"/>
  <c r="BR878" i="6"/>
  <c r="BR879" i="6"/>
  <c r="BR880" i="6"/>
  <c r="BR779" i="6"/>
  <c r="BR780" i="6"/>
  <c r="BR781" i="6"/>
  <c r="BR782" i="6"/>
  <c r="BR783" i="6"/>
  <c r="BR784" i="6"/>
  <c r="BR785" i="6"/>
  <c r="BR786" i="6"/>
  <c r="BR787" i="6"/>
  <c r="BR788" i="6"/>
  <c r="BR789" i="6"/>
  <c r="BR790" i="6"/>
  <c r="BR791" i="6"/>
  <c r="BR792" i="6"/>
  <c r="BR793" i="6"/>
  <c r="BR794" i="6"/>
  <c r="BR861" i="6"/>
  <c r="BR799" i="6"/>
  <c r="BR800" i="6"/>
  <c r="BR749" i="6"/>
  <c r="BR750" i="6"/>
  <c r="BR725" i="6"/>
  <c r="BR726" i="6"/>
  <c r="BR727" i="6"/>
  <c r="BR728" i="6"/>
  <c r="BR729" i="6"/>
  <c r="BR730" i="6"/>
  <c r="BR731" i="6"/>
  <c r="BR732" i="6"/>
  <c r="BR801" i="6"/>
  <c r="BR802" i="6"/>
  <c r="BR803" i="6"/>
  <c r="BR804" i="6"/>
  <c r="BR805" i="6"/>
  <c r="BR806" i="6"/>
  <c r="BR807" i="6"/>
  <c r="BR808" i="6"/>
  <c r="BR809" i="6"/>
  <c r="BR810" i="6"/>
  <c r="BR811" i="6"/>
  <c r="BR812" i="6"/>
  <c r="BR813" i="6"/>
  <c r="BR814" i="6"/>
  <c r="BR815" i="6"/>
  <c r="BR816" i="6"/>
  <c r="BR817" i="6"/>
  <c r="BR818" i="6"/>
  <c r="BR819" i="6"/>
  <c r="BR820" i="6"/>
  <c r="BR821" i="6"/>
  <c r="BR822" i="6"/>
  <c r="BR823" i="6"/>
  <c r="BR824" i="6"/>
  <c r="BR825" i="6"/>
  <c r="BR826" i="6"/>
  <c r="BR827" i="6"/>
  <c r="BR737" i="6"/>
  <c r="BR738" i="6"/>
  <c r="BR739" i="6"/>
  <c r="BR740" i="6"/>
  <c r="BR741" i="6"/>
  <c r="BR742" i="6"/>
  <c r="BR743" i="6"/>
  <c r="BR744" i="6"/>
  <c r="BR745" i="6"/>
  <c r="BR746" i="6"/>
  <c r="BR747" i="6"/>
  <c r="BR748" i="6"/>
  <c r="BR753" i="6"/>
  <c r="BR754" i="6"/>
  <c r="BR755" i="6"/>
  <c r="BR756" i="6"/>
  <c r="BR757" i="6"/>
  <c r="BR758" i="6"/>
  <c r="BR759" i="6"/>
  <c r="BR760" i="6"/>
  <c r="BR761" i="6"/>
  <c r="BR762" i="6"/>
  <c r="BR763" i="6"/>
  <c r="BR764" i="6"/>
  <c r="BR765" i="6"/>
  <c r="BR766" i="6"/>
  <c r="BR767" i="6"/>
  <c r="BR768" i="6"/>
  <c r="BR769" i="6"/>
  <c r="BR770" i="6"/>
  <c r="BR771" i="6"/>
  <c r="BR772" i="6"/>
  <c r="BR773" i="6"/>
  <c r="BR774" i="6"/>
  <c r="BR685" i="6"/>
  <c r="BR686" i="6"/>
  <c r="BR687" i="6"/>
  <c r="BR688" i="6"/>
  <c r="BR689" i="6"/>
  <c r="BR690" i="6"/>
  <c r="BR691" i="6"/>
  <c r="BR692" i="6"/>
  <c r="BR693" i="6"/>
  <c r="BR694" i="6"/>
  <c r="BR695" i="6"/>
  <c r="BR696" i="6"/>
  <c r="BR697" i="6"/>
  <c r="BR702" i="6"/>
  <c r="BR703" i="6"/>
  <c r="BR704" i="6"/>
  <c r="BR705" i="6"/>
  <c r="BR710" i="6"/>
  <c r="BR711" i="6"/>
  <c r="BR716" i="6"/>
  <c r="BR717" i="6"/>
  <c r="BR718" i="6"/>
  <c r="BR662" i="6"/>
  <c r="BR663" i="6"/>
  <c r="BR664" i="6"/>
  <c r="BR665" i="6"/>
  <c r="BR666" i="6"/>
  <c r="BR667" i="6"/>
  <c r="BR668" i="6"/>
  <c r="BR669" i="6"/>
  <c r="BR670" i="6"/>
  <c r="BR671" i="6"/>
  <c r="BR672" i="6"/>
  <c r="BR673" i="6"/>
  <c r="BR674" i="6"/>
  <c r="BR675" i="6"/>
  <c r="BR676" i="6"/>
  <c r="BR677" i="6"/>
  <c r="BR678" i="6"/>
  <c r="BR679" i="6"/>
  <c r="BR680" i="6"/>
  <c r="BR751" i="6"/>
  <c r="BR752" i="6"/>
  <c r="BR543" i="6"/>
  <c r="BR544" i="6"/>
  <c r="BR545" i="6"/>
  <c r="BR546" i="6"/>
  <c r="BR547" i="6"/>
  <c r="BR548" i="6"/>
  <c r="BR549" i="6"/>
  <c r="BR550" i="6"/>
  <c r="BR551" i="6"/>
  <c r="BR552" i="6"/>
  <c r="BR553" i="6"/>
  <c r="BR554" i="6"/>
  <c r="BR555" i="6"/>
  <c r="BR556" i="6"/>
  <c r="BR557" i="6"/>
  <c r="BR558" i="6"/>
  <c r="BR559" i="6"/>
  <c r="BR560" i="6"/>
  <c r="BR561" i="6"/>
  <c r="BR562" i="6"/>
  <c r="BR563" i="6"/>
  <c r="BR564" i="6"/>
  <c r="BR565" i="6"/>
  <c r="BR566" i="6"/>
  <c r="BR654" i="6"/>
  <c r="BR656" i="6"/>
  <c r="BR567" i="6"/>
  <c r="BR568" i="6"/>
  <c r="BR569" i="6"/>
  <c r="BR570" i="6"/>
  <c r="BR571" i="6"/>
  <c r="BR572" i="6"/>
  <c r="BR573" i="6"/>
  <c r="BR574" i="6"/>
  <c r="BR575" i="6"/>
  <c r="BR576" i="6"/>
  <c r="BR577" i="6"/>
  <c r="BR578" i="6"/>
  <c r="BR579" i="6"/>
  <c r="BR580" i="6"/>
  <c r="BR581" i="6"/>
  <c r="BR582" i="6"/>
  <c r="BR583" i="6"/>
  <c r="BR584" i="6"/>
  <c r="BR585" i="6"/>
  <c r="BR586" i="6"/>
  <c r="BR587" i="6"/>
  <c r="BR588" i="6"/>
  <c r="BR489" i="6"/>
  <c r="BR490" i="6"/>
  <c r="BR491" i="6"/>
  <c r="BR492" i="6"/>
  <c r="BR493" i="6"/>
  <c r="BR494" i="6"/>
  <c r="BR495" i="6"/>
  <c r="BR496" i="6"/>
  <c r="BR649" i="6"/>
  <c r="BR650" i="6"/>
  <c r="BR651" i="6"/>
  <c r="BR652" i="6"/>
  <c r="BR653" i="6"/>
  <c r="BR596" i="6"/>
  <c r="BR598" i="6"/>
  <c r="BR600" i="6"/>
  <c r="BR602" i="6"/>
  <c r="BR604" i="6"/>
  <c r="BR606" i="6"/>
  <c r="BR608" i="6"/>
  <c r="BR610" i="6"/>
  <c r="BR612" i="6"/>
  <c r="BR613" i="6"/>
  <c r="BR614" i="6"/>
  <c r="BR615" i="6"/>
  <c r="BR616" i="6"/>
  <c r="BR617" i="6"/>
  <c r="BR618" i="6"/>
  <c r="BR619" i="6"/>
  <c r="BR620" i="6"/>
  <c r="BR621" i="6"/>
  <c r="BR622" i="6"/>
  <c r="BR623" i="6"/>
  <c r="BR624" i="6"/>
  <c r="BR625" i="6"/>
  <c r="BR626" i="6"/>
  <c r="BR627" i="6"/>
  <c r="BR628" i="6"/>
  <c r="BR629" i="6"/>
  <c r="BR630" i="6"/>
  <c r="BR631" i="6"/>
  <c r="BR632" i="6"/>
  <c r="BR633" i="6"/>
  <c r="BR634" i="6"/>
  <c r="BR635" i="6"/>
  <c r="BR636" i="6"/>
  <c r="BR637" i="6"/>
  <c r="BR638" i="6"/>
  <c r="BR639" i="6"/>
  <c r="BR640" i="6"/>
  <c r="BR641" i="6"/>
  <c r="BR642" i="6"/>
  <c r="BR643" i="6"/>
  <c r="BR644" i="6"/>
  <c r="BR589" i="6"/>
  <c r="BR590" i="6"/>
  <c r="BR591" i="6"/>
  <c r="BR501" i="6"/>
  <c r="BR502" i="6"/>
  <c r="BR503" i="6"/>
  <c r="BR504" i="6"/>
  <c r="BR505" i="6"/>
  <c r="BR506" i="6"/>
  <c r="BR507" i="6"/>
  <c r="BR508" i="6"/>
  <c r="BR509" i="6"/>
  <c r="BR510" i="6"/>
  <c r="BR511" i="6"/>
  <c r="BR512" i="6"/>
  <c r="BR513" i="6"/>
  <c r="BR514" i="6"/>
  <c r="BR515" i="6"/>
  <c r="BR516" i="6"/>
  <c r="BR517" i="6"/>
  <c r="BR518" i="6"/>
  <c r="BR519" i="6"/>
  <c r="BR520" i="6"/>
  <c r="BR521" i="6"/>
  <c r="BR522" i="6"/>
  <c r="BR523" i="6"/>
  <c r="BR524" i="6"/>
  <c r="BR525" i="6"/>
  <c r="BR526" i="6"/>
  <c r="BR527" i="6"/>
  <c r="BR528" i="6"/>
  <c r="BR529" i="6"/>
  <c r="BR530" i="6"/>
  <c r="BR531" i="6"/>
  <c r="BR532" i="6"/>
  <c r="BR533" i="6"/>
  <c r="BR534" i="6"/>
  <c r="BR535" i="6"/>
  <c r="BR536" i="6"/>
  <c r="BR537" i="6"/>
  <c r="BR538" i="6"/>
  <c r="BR475" i="6"/>
  <c r="BR480" i="6"/>
  <c r="BR481" i="6"/>
  <c r="BR482" i="6"/>
  <c r="BR426" i="6"/>
  <c r="BR427" i="6"/>
  <c r="BR428" i="6"/>
  <c r="BR429" i="6"/>
  <c r="BR430" i="6"/>
  <c r="BR431" i="6"/>
  <c r="BR432" i="6"/>
  <c r="BR433" i="6"/>
  <c r="BR434" i="6"/>
  <c r="BR435" i="6"/>
  <c r="BR436" i="6"/>
  <c r="BR437" i="6"/>
  <c r="BR438" i="6"/>
  <c r="BR439" i="6"/>
  <c r="BR440" i="6"/>
  <c r="BR441" i="6"/>
  <c r="BR442" i="6"/>
  <c r="BR443" i="6"/>
  <c r="BR444" i="6"/>
  <c r="BR413" i="6"/>
  <c r="BR414" i="6"/>
  <c r="BR415" i="6"/>
  <c r="BR416" i="6"/>
  <c r="BR417" i="6"/>
  <c r="BR418" i="6"/>
  <c r="BR419" i="6"/>
  <c r="BR420" i="6"/>
  <c r="BR421" i="6"/>
  <c r="BR368" i="6"/>
  <c r="BR375" i="6"/>
  <c r="BR377" i="6"/>
  <c r="BR378" i="6"/>
  <c r="BR379" i="6"/>
  <c r="BR380" i="6"/>
  <c r="BR381" i="6"/>
  <c r="BR382" i="6"/>
  <c r="BR383" i="6"/>
  <c r="BR384" i="6"/>
  <c r="BR385" i="6"/>
  <c r="BR386" i="6"/>
  <c r="BR387" i="6"/>
  <c r="BR388" i="6"/>
  <c r="BR389" i="6"/>
  <c r="BR390" i="6"/>
  <c r="BR391" i="6"/>
  <c r="BR392" i="6"/>
  <c r="BR393" i="6"/>
  <c r="BR394" i="6"/>
  <c r="BR395" i="6"/>
  <c r="BR396" i="6"/>
  <c r="BR397" i="6"/>
  <c r="BR398" i="6"/>
  <c r="BR399" i="6"/>
  <c r="BR400" i="6"/>
  <c r="BR401" i="6"/>
  <c r="BR402" i="6"/>
  <c r="BR403" i="6"/>
  <c r="BR404" i="6"/>
  <c r="BR405" i="6"/>
  <c r="BR406" i="6"/>
  <c r="BR407" i="6"/>
  <c r="BR408" i="6"/>
  <c r="BR307" i="6"/>
  <c r="BR308" i="6"/>
  <c r="BR309" i="6"/>
  <c r="BR310" i="6"/>
  <c r="BR311" i="6"/>
  <c r="BR657" i="6"/>
  <c r="BR449" i="6"/>
  <c r="BR450" i="6"/>
  <c r="BR451" i="6"/>
  <c r="BR452" i="6"/>
  <c r="BR453" i="6"/>
  <c r="BR454" i="6"/>
  <c r="BR455" i="6"/>
  <c r="BR456" i="6"/>
  <c r="BR457" i="6"/>
  <c r="BR458" i="6"/>
  <c r="BR459" i="6"/>
  <c r="BR460" i="6"/>
  <c r="BR461" i="6"/>
  <c r="BR466" i="6"/>
  <c r="BR467" i="6"/>
  <c r="BR468" i="6"/>
  <c r="BR469" i="6"/>
  <c r="BR363" i="6"/>
  <c r="BR364" i="6"/>
  <c r="BR365" i="6"/>
  <c r="BR369" i="6"/>
  <c r="BR370" i="6"/>
  <c r="BR597" i="6"/>
  <c r="BR601" i="6"/>
  <c r="BR605" i="6"/>
  <c r="BR609" i="6"/>
  <c r="BR376" i="6"/>
  <c r="BR265" i="6"/>
  <c r="BR655" i="6"/>
  <c r="BR599" i="6"/>
  <c r="BR366" i="6"/>
  <c r="BR371" i="6"/>
  <c r="BR373" i="6"/>
  <c r="BR266" i="6"/>
  <c r="BR607" i="6"/>
  <c r="BR611" i="6"/>
  <c r="BR367" i="6"/>
  <c r="BR372" i="6"/>
  <c r="BR321" i="6"/>
  <c r="BR324" i="6"/>
  <c r="BR325" i="6"/>
  <c r="BR328" i="6"/>
  <c r="BR329" i="6"/>
  <c r="BR330" i="6"/>
  <c r="BR335" i="6"/>
  <c r="BR336" i="6"/>
  <c r="BR337" i="6"/>
  <c r="BR338" i="6"/>
  <c r="BR340" i="6"/>
  <c r="BR343" i="6"/>
  <c r="BR346" i="6"/>
  <c r="BR347" i="6"/>
  <c r="BR348" i="6"/>
  <c r="BR349" i="6"/>
  <c r="BR354" i="6"/>
  <c r="BR355" i="6"/>
  <c r="BR361" i="6"/>
  <c r="BR268" i="6"/>
  <c r="BR270" i="6"/>
  <c r="BR272" i="6"/>
  <c r="BR273" i="6"/>
  <c r="BR276" i="6"/>
  <c r="BR277" i="6"/>
  <c r="BR280" i="6"/>
  <c r="BR282" i="6"/>
  <c r="BR284" i="6"/>
  <c r="BR286" i="6"/>
  <c r="BR288" i="6"/>
  <c r="BR290" i="6"/>
  <c r="BR292" i="6"/>
  <c r="BR294" i="6"/>
  <c r="BR296" i="6"/>
  <c r="BR297" i="6"/>
  <c r="BR299" i="6"/>
  <c r="BR302" i="6"/>
  <c r="BR255" i="6"/>
  <c r="BR257" i="6"/>
  <c r="BR259" i="6"/>
  <c r="BR603" i="6"/>
  <c r="BR474" i="6"/>
  <c r="BR360" i="6"/>
  <c r="BR362" i="6"/>
  <c r="BR374" i="6"/>
  <c r="BR312" i="6"/>
  <c r="BR313" i="6"/>
  <c r="BR314" i="6"/>
  <c r="BR315" i="6"/>
  <c r="BR316" i="6"/>
  <c r="BR317" i="6"/>
  <c r="BR318" i="6"/>
  <c r="BR319" i="6"/>
  <c r="BR320" i="6"/>
  <c r="BR322" i="6"/>
  <c r="BR323" i="6"/>
  <c r="BR326" i="6"/>
  <c r="BR327" i="6"/>
  <c r="BR331" i="6"/>
  <c r="BR332" i="6"/>
  <c r="BR333" i="6"/>
  <c r="BR334" i="6"/>
  <c r="BR339" i="6"/>
  <c r="BR341" i="6"/>
  <c r="BR342" i="6"/>
  <c r="BR344" i="6"/>
  <c r="BR345" i="6"/>
  <c r="BR350" i="6"/>
  <c r="BR351" i="6"/>
  <c r="BR352" i="6"/>
  <c r="BR353" i="6"/>
  <c r="BR267" i="6"/>
  <c r="BR269" i="6"/>
  <c r="BR271" i="6"/>
  <c r="BR274" i="6"/>
  <c r="BR275" i="6"/>
  <c r="BR278" i="6"/>
  <c r="BR279" i="6"/>
  <c r="BR281" i="6"/>
  <c r="BR283" i="6"/>
  <c r="BR285" i="6"/>
  <c r="BR287" i="6"/>
  <c r="BR289" i="6"/>
  <c r="BR291" i="6"/>
  <c r="BR293" i="6"/>
  <c r="BR295" i="6"/>
  <c r="BR298" i="6"/>
  <c r="BR300" i="6"/>
  <c r="BR301" i="6"/>
  <c r="BR253" i="6"/>
  <c r="BR254" i="6"/>
  <c r="BR256" i="6"/>
  <c r="BR258" i="6"/>
  <c r="BR260" i="6"/>
  <c r="BN1201" i="6"/>
  <c r="BN1202" i="6"/>
  <c r="BN1203" i="6"/>
  <c r="BN1204" i="6"/>
  <c r="BN1205" i="6"/>
  <c r="BN1206" i="6"/>
  <c r="BN1207" i="6"/>
  <c r="BN1208" i="6"/>
  <c r="BN1209" i="6"/>
  <c r="BN1200" i="6"/>
  <c r="BN921" i="6"/>
  <c r="BN922" i="6"/>
  <c r="BN923" i="6"/>
  <c r="BN924" i="6"/>
  <c r="BN925" i="6"/>
  <c r="BN926" i="6"/>
  <c r="BN927" i="6"/>
  <c r="BN928" i="6"/>
  <c r="BN929" i="6"/>
  <c r="BN930" i="6"/>
  <c r="BN931" i="6"/>
  <c r="BN932" i="6"/>
  <c r="BN933" i="6"/>
  <c r="BN938" i="6"/>
  <c r="BN939" i="6"/>
  <c r="BN940" i="6"/>
  <c r="BN941" i="6"/>
  <c r="BN946" i="6"/>
  <c r="BN947" i="6"/>
  <c r="BN952" i="6"/>
  <c r="BN953" i="6"/>
  <c r="BN954" i="6"/>
  <c r="BN898" i="6"/>
  <c r="BN899" i="6"/>
  <c r="BN900" i="6"/>
  <c r="BN901" i="6"/>
  <c r="BN902" i="6"/>
  <c r="BN903" i="6"/>
  <c r="BN904" i="6"/>
  <c r="BN905" i="6"/>
  <c r="BN906" i="6"/>
  <c r="BN907" i="6"/>
  <c r="BN908" i="6"/>
  <c r="BN909" i="6"/>
  <c r="BN910" i="6"/>
  <c r="BN911" i="6"/>
  <c r="BN912" i="6"/>
  <c r="BN913" i="6"/>
  <c r="BN914" i="6"/>
  <c r="BN915" i="6"/>
  <c r="BN916" i="6"/>
  <c r="BN885" i="6"/>
  <c r="BN886" i="6"/>
  <c r="BN887" i="6"/>
  <c r="BN888" i="6"/>
  <c r="BN889" i="6"/>
  <c r="BN890" i="6"/>
  <c r="BN891" i="6"/>
  <c r="BN892" i="6"/>
  <c r="BN893" i="6"/>
  <c r="BN832" i="6"/>
  <c r="BN833" i="6"/>
  <c r="BN834" i="6"/>
  <c r="BN835" i="6"/>
  <c r="BN836" i="6"/>
  <c r="BN837" i="6"/>
  <c r="BN838" i="6"/>
  <c r="BN839" i="6"/>
  <c r="BN840" i="6"/>
  <c r="BN841" i="6"/>
  <c r="BN842" i="6"/>
  <c r="BN843" i="6"/>
  <c r="BN844" i="6"/>
  <c r="BN845" i="6"/>
  <c r="BN846" i="6"/>
  <c r="BN847" i="6"/>
  <c r="BN848" i="6"/>
  <c r="BN849" i="6"/>
  <c r="BN850" i="6"/>
  <c r="BN851" i="6"/>
  <c r="BN852" i="6"/>
  <c r="BN853" i="6"/>
  <c r="BN854" i="6"/>
  <c r="BN855" i="6"/>
  <c r="BN856" i="6"/>
  <c r="BN857" i="6"/>
  <c r="BN858" i="6"/>
  <c r="BN859" i="6"/>
  <c r="BN860" i="6"/>
  <c r="BN861" i="6"/>
  <c r="BN795" i="6"/>
  <c r="BN796" i="6"/>
  <c r="BN797" i="6"/>
  <c r="BN798" i="6"/>
  <c r="BN799" i="6"/>
  <c r="BN800" i="6"/>
  <c r="BN863" i="6"/>
  <c r="BN867" i="6"/>
  <c r="BN871" i="6"/>
  <c r="BN875" i="6"/>
  <c r="BN879" i="6"/>
  <c r="BN780" i="6"/>
  <c r="BN784" i="6"/>
  <c r="BN788" i="6"/>
  <c r="BN792" i="6"/>
  <c r="BN801" i="6"/>
  <c r="BN802" i="6"/>
  <c r="BN803" i="6"/>
  <c r="BN804" i="6"/>
  <c r="BN805" i="6"/>
  <c r="BN806" i="6"/>
  <c r="BN807" i="6"/>
  <c r="BN808" i="6"/>
  <c r="BN809" i="6"/>
  <c r="BN810" i="6"/>
  <c r="BN811" i="6"/>
  <c r="BN812" i="6"/>
  <c r="BN813" i="6"/>
  <c r="BN814" i="6"/>
  <c r="BN815" i="6"/>
  <c r="BN816" i="6"/>
  <c r="BN817" i="6"/>
  <c r="BN818" i="6"/>
  <c r="BN819" i="6"/>
  <c r="BN820" i="6"/>
  <c r="BN821" i="6"/>
  <c r="BN822" i="6"/>
  <c r="BN823" i="6"/>
  <c r="BN824" i="6"/>
  <c r="BN825" i="6"/>
  <c r="BN826" i="6"/>
  <c r="BN827" i="6"/>
  <c r="BN737" i="6"/>
  <c r="BN738" i="6"/>
  <c r="BN739" i="6"/>
  <c r="BN740" i="6"/>
  <c r="BN741" i="6"/>
  <c r="BN742" i="6"/>
  <c r="BN743" i="6"/>
  <c r="BN744" i="6"/>
  <c r="BN745" i="6"/>
  <c r="BN746" i="6"/>
  <c r="BN747" i="6"/>
  <c r="BN748" i="6"/>
  <c r="BN725" i="6"/>
  <c r="BN726" i="6"/>
  <c r="BN727" i="6"/>
  <c r="BN728" i="6"/>
  <c r="BN729" i="6"/>
  <c r="BN730" i="6"/>
  <c r="BN731" i="6"/>
  <c r="BN732" i="6"/>
  <c r="BN862" i="6"/>
  <c r="BN866" i="6"/>
  <c r="BN870" i="6"/>
  <c r="BN874" i="6"/>
  <c r="BN878" i="6"/>
  <c r="BN779" i="6"/>
  <c r="BN783" i="6"/>
  <c r="BN787" i="6"/>
  <c r="BN791" i="6"/>
  <c r="BN753" i="6"/>
  <c r="BN754" i="6"/>
  <c r="BN755" i="6"/>
  <c r="BN756" i="6"/>
  <c r="BN757" i="6"/>
  <c r="BN758" i="6"/>
  <c r="BN759" i="6"/>
  <c r="BN760" i="6"/>
  <c r="BN761" i="6"/>
  <c r="BN762" i="6"/>
  <c r="BN763" i="6"/>
  <c r="BN764" i="6"/>
  <c r="BN765" i="6"/>
  <c r="BN766" i="6"/>
  <c r="BN767" i="6"/>
  <c r="BN768" i="6"/>
  <c r="BN769" i="6"/>
  <c r="BN770" i="6"/>
  <c r="BN771" i="6"/>
  <c r="BN772" i="6"/>
  <c r="BN773" i="6"/>
  <c r="BN774" i="6"/>
  <c r="BN685" i="6"/>
  <c r="BN686" i="6"/>
  <c r="BN687" i="6"/>
  <c r="BN688" i="6"/>
  <c r="BN689" i="6"/>
  <c r="BN690" i="6"/>
  <c r="BN691" i="6"/>
  <c r="BN692" i="6"/>
  <c r="BN693" i="6"/>
  <c r="BN694" i="6"/>
  <c r="BN695" i="6"/>
  <c r="BN696" i="6"/>
  <c r="BN697" i="6"/>
  <c r="BN702" i="6"/>
  <c r="BN703" i="6"/>
  <c r="BN704" i="6"/>
  <c r="BN705" i="6"/>
  <c r="BN710" i="6"/>
  <c r="BN711" i="6"/>
  <c r="BN716" i="6"/>
  <c r="BN717" i="6"/>
  <c r="BN718" i="6"/>
  <c r="BN662" i="6"/>
  <c r="BN663" i="6"/>
  <c r="BN664" i="6"/>
  <c r="BN665" i="6"/>
  <c r="BN666" i="6"/>
  <c r="BN667" i="6"/>
  <c r="BN668" i="6"/>
  <c r="BN669" i="6"/>
  <c r="BN670" i="6"/>
  <c r="BN671" i="6"/>
  <c r="BN672" i="6"/>
  <c r="BN673" i="6"/>
  <c r="BN674" i="6"/>
  <c r="BN675" i="6"/>
  <c r="BN676" i="6"/>
  <c r="BN677" i="6"/>
  <c r="BN678" i="6"/>
  <c r="BN679" i="6"/>
  <c r="BN680" i="6"/>
  <c r="BN865" i="6"/>
  <c r="BN869" i="6"/>
  <c r="BN873" i="6"/>
  <c r="BN877" i="6"/>
  <c r="BN782" i="6"/>
  <c r="BN786" i="6"/>
  <c r="BN790" i="6"/>
  <c r="BN794" i="6"/>
  <c r="BN749" i="6"/>
  <c r="BN750" i="6"/>
  <c r="BN864" i="6"/>
  <c r="BN880" i="6"/>
  <c r="BN793" i="6"/>
  <c r="BN751" i="6"/>
  <c r="BN649" i="6"/>
  <c r="BN650" i="6"/>
  <c r="BN651" i="6"/>
  <c r="BN652" i="6"/>
  <c r="BN653" i="6"/>
  <c r="BN654" i="6"/>
  <c r="BN655" i="6"/>
  <c r="BN656" i="6"/>
  <c r="BN657" i="6"/>
  <c r="BN876" i="6"/>
  <c r="BN789" i="6"/>
  <c r="BN752" i="6"/>
  <c r="BN543" i="6"/>
  <c r="BN544" i="6"/>
  <c r="BN545" i="6"/>
  <c r="BN546" i="6"/>
  <c r="BN547" i="6"/>
  <c r="BN548" i="6"/>
  <c r="BN549" i="6"/>
  <c r="BN550" i="6"/>
  <c r="BN551" i="6"/>
  <c r="BN552" i="6"/>
  <c r="BN553" i="6"/>
  <c r="BN554" i="6"/>
  <c r="BN555" i="6"/>
  <c r="BN556" i="6"/>
  <c r="BN557" i="6"/>
  <c r="BN558" i="6"/>
  <c r="BN559" i="6"/>
  <c r="BN560" i="6"/>
  <c r="BN561" i="6"/>
  <c r="BN562" i="6"/>
  <c r="BN563" i="6"/>
  <c r="BN564" i="6"/>
  <c r="BN565" i="6"/>
  <c r="BN566" i="6"/>
  <c r="BN868" i="6"/>
  <c r="BN596" i="6"/>
  <c r="BN598" i="6"/>
  <c r="BN600" i="6"/>
  <c r="BN602" i="6"/>
  <c r="BN604" i="6"/>
  <c r="BN606" i="6"/>
  <c r="BN608" i="6"/>
  <c r="BN610" i="6"/>
  <c r="BN489" i="6"/>
  <c r="BN490" i="6"/>
  <c r="BN491" i="6"/>
  <c r="BN492" i="6"/>
  <c r="BN493" i="6"/>
  <c r="BN494" i="6"/>
  <c r="BN495" i="6"/>
  <c r="BN496" i="6"/>
  <c r="BN872" i="6"/>
  <c r="BN567" i="6"/>
  <c r="BN568" i="6"/>
  <c r="BN569" i="6"/>
  <c r="BN570" i="6"/>
  <c r="BN571" i="6"/>
  <c r="BN572" i="6"/>
  <c r="BN573" i="6"/>
  <c r="BN574" i="6"/>
  <c r="BN575" i="6"/>
  <c r="BN576" i="6"/>
  <c r="BN577" i="6"/>
  <c r="BN578" i="6"/>
  <c r="BN579" i="6"/>
  <c r="BN580" i="6"/>
  <c r="BN581" i="6"/>
  <c r="BN582" i="6"/>
  <c r="BN583" i="6"/>
  <c r="BN584" i="6"/>
  <c r="BN585" i="6"/>
  <c r="BN586" i="6"/>
  <c r="BN587" i="6"/>
  <c r="BN588" i="6"/>
  <c r="BN589" i="6"/>
  <c r="BN590" i="6"/>
  <c r="BN591" i="6"/>
  <c r="BN501" i="6"/>
  <c r="BN502" i="6"/>
  <c r="BN503" i="6"/>
  <c r="BN504" i="6"/>
  <c r="BN505" i="6"/>
  <c r="BN506" i="6"/>
  <c r="BN507" i="6"/>
  <c r="BN508" i="6"/>
  <c r="BN509" i="6"/>
  <c r="BN510" i="6"/>
  <c r="BN511" i="6"/>
  <c r="BN512" i="6"/>
  <c r="BN513" i="6"/>
  <c r="BN514" i="6"/>
  <c r="BN515" i="6"/>
  <c r="BN516" i="6"/>
  <c r="BN517" i="6"/>
  <c r="BN518" i="6"/>
  <c r="BN519" i="6"/>
  <c r="BN520" i="6"/>
  <c r="BN521" i="6"/>
  <c r="BN522" i="6"/>
  <c r="BN523" i="6"/>
  <c r="BN524" i="6"/>
  <c r="BN525" i="6"/>
  <c r="BN526" i="6"/>
  <c r="BN527" i="6"/>
  <c r="BN528" i="6"/>
  <c r="BN529" i="6"/>
  <c r="BN530" i="6"/>
  <c r="BN531" i="6"/>
  <c r="BN532" i="6"/>
  <c r="BN533" i="6"/>
  <c r="BN534" i="6"/>
  <c r="BN535" i="6"/>
  <c r="BN536" i="6"/>
  <c r="BN537" i="6"/>
  <c r="BN538" i="6"/>
  <c r="BN480" i="6"/>
  <c r="BN481" i="6"/>
  <c r="BN482" i="6"/>
  <c r="BN426" i="6"/>
  <c r="BN427" i="6"/>
  <c r="BN428" i="6"/>
  <c r="BN429" i="6"/>
  <c r="BN430" i="6"/>
  <c r="BN431" i="6"/>
  <c r="BN432" i="6"/>
  <c r="BN433" i="6"/>
  <c r="BN434" i="6"/>
  <c r="BN435" i="6"/>
  <c r="BN436" i="6"/>
  <c r="BN437" i="6"/>
  <c r="BN438" i="6"/>
  <c r="BN439" i="6"/>
  <c r="BN440" i="6"/>
  <c r="BN441" i="6"/>
  <c r="BN442" i="6"/>
  <c r="BN443" i="6"/>
  <c r="BN444" i="6"/>
  <c r="BN413" i="6"/>
  <c r="BN414" i="6"/>
  <c r="BN415" i="6"/>
  <c r="BN416" i="6"/>
  <c r="BN417" i="6"/>
  <c r="BN418" i="6"/>
  <c r="BN419" i="6"/>
  <c r="BN420" i="6"/>
  <c r="BN421" i="6"/>
  <c r="BN378" i="6"/>
  <c r="BN379" i="6"/>
  <c r="BN380" i="6"/>
  <c r="BN381" i="6"/>
  <c r="BN382" i="6"/>
  <c r="BN383" i="6"/>
  <c r="BN384" i="6"/>
  <c r="BN385" i="6"/>
  <c r="BN386" i="6"/>
  <c r="BN387" i="6"/>
  <c r="BN388" i="6"/>
  <c r="BN389" i="6"/>
  <c r="BN390" i="6"/>
  <c r="BN391" i="6"/>
  <c r="BN392" i="6"/>
  <c r="BN393" i="6"/>
  <c r="BN394" i="6"/>
  <c r="BN395" i="6"/>
  <c r="BN396" i="6"/>
  <c r="BN397" i="6"/>
  <c r="BN398" i="6"/>
  <c r="BN399" i="6"/>
  <c r="BN400" i="6"/>
  <c r="BN401" i="6"/>
  <c r="BN402" i="6"/>
  <c r="BN403" i="6"/>
  <c r="BN404" i="6"/>
  <c r="BN405" i="6"/>
  <c r="BN406" i="6"/>
  <c r="BN407" i="6"/>
  <c r="BN408" i="6"/>
  <c r="BN307" i="6"/>
  <c r="BN308" i="6"/>
  <c r="BN309" i="6"/>
  <c r="BN310" i="6"/>
  <c r="BN311" i="6"/>
  <c r="BN785" i="6"/>
  <c r="BN597" i="6"/>
  <c r="BN601" i="6"/>
  <c r="BN605" i="6"/>
  <c r="BN609" i="6"/>
  <c r="BN367" i="6"/>
  <c r="BN372" i="6"/>
  <c r="BN373" i="6"/>
  <c r="BN374" i="6"/>
  <c r="BN375" i="6"/>
  <c r="BN603" i="6"/>
  <c r="BN612" i="6"/>
  <c r="BN613" i="6"/>
  <c r="BN614" i="6"/>
  <c r="BN615" i="6"/>
  <c r="BN616" i="6"/>
  <c r="BN617" i="6"/>
  <c r="BN618" i="6"/>
  <c r="BN619" i="6"/>
  <c r="BN620" i="6"/>
  <c r="BN621" i="6"/>
  <c r="BN622" i="6"/>
  <c r="BN623" i="6"/>
  <c r="BN624" i="6"/>
  <c r="BN625" i="6"/>
  <c r="BN626" i="6"/>
  <c r="BN627" i="6"/>
  <c r="BN628" i="6"/>
  <c r="BN629" i="6"/>
  <c r="BN630" i="6"/>
  <c r="BN631" i="6"/>
  <c r="BN632" i="6"/>
  <c r="BN633" i="6"/>
  <c r="BN634" i="6"/>
  <c r="BN635" i="6"/>
  <c r="BN636" i="6"/>
  <c r="BN637" i="6"/>
  <c r="BN638" i="6"/>
  <c r="BN639" i="6"/>
  <c r="BN640" i="6"/>
  <c r="BN641" i="6"/>
  <c r="BN642" i="6"/>
  <c r="BN643" i="6"/>
  <c r="BN644" i="6"/>
  <c r="BN364" i="6"/>
  <c r="BN365" i="6"/>
  <c r="BN366" i="6"/>
  <c r="BN370" i="6"/>
  <c r="BN371" i="6"/>
  <c r="BN266" i="6"/>
  <c r="BN599" i="6"/>
  <c r="BN607" i="6"/>
  <c r="BN360" i="6"/>
  <c r="BN362" i="6"/>
  <c r="BN312" i="6"/>
  <c r="BN313" i="6"/>
  <c r="BN314" i="6"/>
  <c r="BN315" i="6"/>
  <c r="BN316" i="6"/>
  <c r="BN317" i="6"/>
  <c r="BN318" i="6"/>
  <c r="BN319" i="6"/>
  <c r="BN320" i="6"/>
  <c r="BN321" i="6"/>
  <c r="BN322" i="6"/>
  <c r="BN323" i="6"/>
  <c r="BN324" i="6"/>
  <c r="BN325" i="6"/>
  <c r="BN326" i="6"/>
  <c r="BN327" i="6"/>
  <c r="BN328" i="6"/>
  <c r="BN329" i="6"/>
  <c r="BN330" i="6"/>
  <c r="BN331" i="6"/>
  <c r="BN332" i="6"/>
  <c r="BN333" i="6"/>
  <c r="BN334" i="6"/>
  <c r="BN335" i="6"/>
  <c r="BN336" i="6"/>
  <c r="BN337" i="6"/>
  <c r="BN338" i="6"/>
  <c r="BN339" i="6"/>
  <c r="BN340" i="6"/>
  <c r="BN341" i="6"/>
  <c r="BN342" i="6"/>
  <c r="BN343" i="6"/>
  <c r="BN344" i="6"/>
  <c r="BN345" i="6"/>
  <c r="BN346" i="6"/>
  <c r="BN347" i="6"/>
  <c r="BN348" i="6"/>
  <c r="BN349" i="6"/>
  <c r="BN350" i="6"/>
  <c r="BN351" i="6"/>
  <c r="BN352" i="6"/>
  <c r="BN353" i="6"/>
  <c r="BN354" i="6"/>
  <c r="BN355" i="6"/>
  <c r="BN265" i="6"/>
  <c r="BN268" i="6"/>
  <c r="BN269" i="6"/>
  <c r="BN270" i="6"/>
  <c r="BN271" i="6"/>
  <c r="BN272" i="6"/>
  <c r="BN273" i="6"/>
  <c r="BN274" i="6"/>
  <c r="BN275" i="6"/>
  <c r="BN276" i="6"/>
  <c r="BN277" i="6"/>
  <c r="BN278" i="6"/>
  <c r="BN279" i="6"/>
  <c r="BN280" i="6"/>
  <c r="BN281" i="6"/>
  <c r="BN282" i="6"/>
  <c r="BN283" i="6"/>
  <c r="BN284" i="6"/>
  <c r="BN285" i="6"/>
  <c r="BN286" i="6"/>
  <c r="BN288" i="6"/>
  <c r="BN289" i="6"/>
  <c r="BN290" i="6"/>
  <c r="BN298" i="6"/>
  <c r="BN299" i="6"/>
  <c r="BN300" i="6"/>
  <c r="BN253" i="6"/>
  <c r="BN254" i="6"/>
  <c r="BN256" i="6"/>
  <c r="BN257" i="6"/>
  <c r="BN258" i="6"/>
  <c r="BN259" i="6"/>
  <c r="BN260" i="6"/>
  <c r="BN781" i="6"/>
  <c r="BN361" i="6"/>
  <c r="BN267" i="6"/>
  <c r="BN449" i="6"/>
  <c r="BN452" i="6"/>
  <c r="BN454" i="6"/>
  <c r="BN456" i="6"/>
  <c r="BN458" i="6"/>
  <c r="BN460" i="6"/>
  <c r="BN466" i="6"/>
  <c r="BN468" i="6"/>
  <c r="BN611" i="6"/>
  <c r="BN287" i="6"/>
  <c r="BN291" i="6"/>
  <c r="BN292" i="6"/>
  <c r="BN293" i="6"/>
  <c r="BN294" i="6"/>
  <c r="BN295" i="6"/>
  <c r="BN296" i="6"/>
  <c r="BN297" i="6"/>
  <c r="BN301" i="6"/>
  <c r="BN302" i="6"/>
  <c r="BN255" i="6"/>
  <c r="BN475" i="6"/>
  <c r="BN450" i="6"/>
  <c r="BN451" i="6"/>
  <c r="BN453" i="6"/>
  <c r="BN455" i="6"/>
  <c r="BN457" i="6"/>
  <c r="BN459" i="6"/>
  <c r="BN461" i="6"/>
  <c r="BN467" i="6"/>
  <c r="BN469" i="6"/>
  <c r="BN376" i="6"/>
  <c r="BN363" i="6"/>
  <c r="BN474" i="6"/>
  <c r="BN377" i="6"/>
  <c r="BP474" i="6"/>
  <c r="BR1201" i="6"/>
  <c r="BN369" i="6"/>
  <c r="BO377" i="6"/>
  <c r="BM52" i="5"/>
  <c r="BO61" i="5"/>
  <c r="BI60" i="5"/>
  <c r="BN52" i="5"/>
  <c r="BP52" i="5"/>
  <c r="BZ52" i="5"/>
  <c r="BZ9" i="5" s="1"/>
  <c r="BX52" i="5"/>
  <c r="BI54" i="5"/>
  <c r="BI67" i="5"/>
  <c r="BI77" i="5"/>
  <c r="L772" i="1"/>
  <c r="J592" i="1"/>
  <c r="J177" i="9"/>
  <c r="I181" i="9"/>
  <c r="DG246" i="6"/>
  <c r="DG245" i="6"/>
  <c r="DG244" i="6"/>
  <c r="DG239" i="6"/>
  <c r="DG238" i="6"/>
  <c r="DG233" i="6"/>
  <c r="DG232" i="6"/>
  <c r="DG231" i="6"/>
  <c r="DG230" i="6"/>
  <c r="DG225" i="6"/>
  <c r="DG224" i="6"/>
  <c r="DG223" i="6"/>
  <c r="DG221" i="6"/>
  <c r="DG220" i="6"/>
  <c r="DG219" i="6"/>
  <c r="DG218" i="6"/>
  <c r="DG217" i="6"/>
  <c r="DG216" i="6"/>
  <c r="DG222" i="6"/>
  <c r="DG215" i="6"/>
  <c r="DG214" i="6"/>
  <c r="DG213" i="6"/>
  <c r="DG208" i="6"/>
  <c r="DG207" i="6"/>
  <c r="DG206" i="6"/>
  <c r="DG205" i="6"/>
  <c r="DG204" i="6"/>
  <c r="DG203" i="6"/>
  <c r="DG202" i="6"/>
  <c r="DG201" i="6"/>
  <c r="DG200" i="6"/>
  <c r="DG199" i="6"/>
  <c r="DG198" i="6"/>
  <c r="DG197" i="6"/>
  <c r="DG196" i="6"/>
  <c r="DG195" i="6"/>
  <c r="DG194" i="6"/>
  <c r="DG193" i="6"/>
  <c r="DG192" i="6"/>
  <c r="DG191" i="6"/>
  <c r="DG190" i="6"/>
  <c r="DG185" i="6"/>
  <c r="DG184" i="6"/>
  <c r="DG183" i="6"/>
  <c r="DG182" i="6"/>
  <c r="DG181" i="6"/>
  <c r="DG180" i="6"/>
  <c r="DG179" i="6"/>
  <c r="DG178" i="6"/>
  <c r="DG177" i="6"/>
  <c r="DG172" i="6"/>
  <c r="DG171" i="6"/>
  <c r="DG170" i="6"/>
  <c r="DG169" i="6"/>
  <c r="DG168" i="6"/>
  <c r="DG167" i="6"/>
  <c r="DG166" i="6"/>
  <c r="DG165" i="6"/>
  <c r="DG164" i="6"/>
  <c r="DG163" i="6"/>
  <c r="DG162" i="6"/>
  <c r="DG161" i="6"/>
  <c r="DG160" i="6"/>
  <c r="DG159" i="6"/>
  <c r="DG158" i="6"/>
  <c r="DG157" i="6"/>
  <c r="DG156" i="6"/>
  <c r="DG155" i="6"/>
  <c r="DG154" i="6"/>
  <c r="DG153" i="6"/>
  <c r="DG152" i="6"/>
  <c r="DG151" i="6"/>
  <c r="DG150" i="6"/>
  <c r="DG149" i="6"/>
  <c r="DG148" i="6"/>
  <c r="DG147" i="6"/>
  <c r="DG146" i="6"/>
  <c r="DG145" i="6"/>
  <c r="DG144" i="6"/>
  <c r="DG143" i="6"/>
  <c r="DG142" i="6"/>
  <c r="DG141" i="6"/>
  <c r="DG140" i="6"/>
  <c r="DG139" i="6"/>
  <c r="DG138" i="6"/>
  <c r="DG137" i="6"/>
  <c r="DG136" i="6"/>
  <c r="DG135" i="6"/>
  <c r="DG134" i="6"/>
  <c r="DG133" i="6"/>
  <c r="DG132" i="6"/>
  <c r="DG131" i="6"/>
  <c r="DG130" i="6"/>
  <c r="DG129" i="6"/>
  <c r="DG128" i="6"/>
  <c r="DG127" i="6"/>
  <c r="DG126" i="6"/>
  <c r="DG125" i="6"/>
  <c r="DG124" i="6"/>
  <c r="DG119" i="6"/>
  <c r="DG118" i="6"/>
  <c r="DG117" i="6"/>
  <c r="DG116" i="6"/>
  <c r="DG115" i="6"/>
  <c r="DG114" i="6"/>
  <c r="DG113" i="6"/>
  <c r="DG112" i="6"/>
  <c r="DG111" i="6"/>
  <c r="DG110" i="6"/>
  <c r="DG109" i="6"/>
  <c r="DG108" i="6"/>
  <c r="DG107" i="6"/>
  <c r="DG106" i="6"/>
  <c r="DG105" i="6"/>
  <c r="DG104" i="6"/>
  <c r="DG103" i="6"/>
  <c r="DG102" i="6"/>
  <c r="DG101" i="6"/>
  <c r="DG100" i="6"/>
  <c r="DG99" i="6"/>
  <c r="DG98" i="6"/>
  <c r="DG97" i="6"/>
  <c r="DG96" i="6"/>
  <c r="DG95" i="6"/>
  <c r="DG94" i="6"/>
  <c r="DG93" i="6"/>
  <c r="DG92" i="6"/>
  <c r="DG91" i="6"/>
  <c r="DG90" i="6"/>
  <c r="DG89" i="6"/>
  <c r="DG88" i="6"/>
  <c r="DG87" i="6"/>
  <c r="DG86" i="6"/>
  <c r="DG85" i="6"/>
  <c r="DG84" i="6"/>
  <c r="DG83" i="6"/>
  <c r="DG82" i="6"/>
  <c r="DG81" i="6"/>
  <c r="DG80" i="6"/>
  <c r="DG79" i="6"/>
  <c r="DG78" i="6"/>
  <c r="DG77" i="6"/>
  <c r="DG76" i="6"/>
  <c r="DG75" i="6"/>
  <c r="DG74" i="6"/>
  <c r="DG73" i="6"/>
  <c r="DG72" i="6"/>
  <c r="DG71" i="6"/>
  <c r="DG66" i="6"/>
  <c r="DG65" i="6"/>
  <c r="DG64" i="6"/>
  <c r="DG63" i="6"/>
  <c r="DG62" i="6"/>
  <c r="DG61" i="6"/>
  <c r="DG59" i="6"/>
  <c r="DG58" i="6"/>
  <c r="DG57" i="6"/>
  <c r="DG56" i="6"/>
  <c r="DG55" i="6"/>
  <c r="DG54" i="6"/>
  <c r="DG53" i="6"/>
  <c r="DG52" i="6"/>
  <c r="DG51" i="6"/>
  <c r="DG50" i="6"/>
  <c r="DG49" i="6"/>
  <c r="DG48" i="6"/>
  <c r="DG47" i="6"/>
  <c r="DG46" i="6"/>
  <c r="DG45" i="6"/>
  <c r="DG44" i="6"/>
  <c r="DG43" i="6"/>
  <c r="DG42" i="6"/>
  <c r="DG41" i="6"/>
  <c r="DG40" i="6"/>
  <c r="DG39" i="6"/>
  <c r="DG38" i="6"/>
  <c r="DG37" i="6"/>
  <c r="DG36" i="6"/>
  <c r="DG35" i="6"/>
  <c r="DG34" i="6"/>
  <c r="DG33" i="6"/>
  <c r="DG60" i="6"/>
  <c r="DG22" i="6"/>
  <c r="DG21" i="6"/>
  <c r="DG30" i="6"/>
  <c r="DG29" i="6"/>
  <c r="DG20" i="6"/>
  <c r="DG19" i="6"/>
  <c r="DG32" i="6"/>
  <c r="DG18" i="6"/>
  <c r="DG17" i="6"/>
  <c r="DG31" i="6"/>
  <c r="DG23" i="6"/>
  <c r="DG24" i="6"/>
  <c r="CY246" i="6"/>
  <c r="CY245" i="6"/>
  <c r="CY244" i="6"/>
  <c r="CY239" i="6"/>
  <c r="CY238" i="6"/>
  <c r="CY233" i="6"/>
  <c r="CY232" i="6"/>
  <c r="CY231" i="6"/>
  <c r="CY230" i="6"/>
  <c r="CY225" i="6"/>
  <c r="CY224" i="6"/>
  <c r="CY223" i="6"/>
  <c r="CY219" i="6"/>
  <c r="CY218" i="6"/>
  <c r="CY217" i="6"/>
  <c r="CY216" i="6"/>
  <c r="CY222" i="6"/>
  <c r="CY221" i="6"/>
  <c r="CY220" i="6"/>
  <c r="CY215" i="6"/>
  <c r="CY214" i="6"/>
  <c r="CY213" i="6"/>
  <c r="CY208" i="6"/>
  <c r="CY207" i="6"/>
  <c r="CY206" i="6"/>
  <c r="CY205" i="6"/>
  <c r="CY204" i="6"/>
  <c r="CY203" i="6"/>
  <c r="CY202" i="6"/>
  <c r="CY201" i="6"/>
  <c r="CY200" i="6"/>
  <c r="CY199" i="6"/>
  <c r="CY198" i="6"/>
  <c r="CY197" i="6"/>
  <c r="CY196" i="6"/>
  <c r="CY195" i="6"/>
  <c r="CY194" i="6"/>
  <c r="CY193" i="6"/>
  <c r="CY192" i="6"/>
  <c r="CY191" i="6"/>
  <c r="CY190" i="6"/>
  <c r="CY185" i="6"/>
  <c r="CY184" i="6"/>
  <c r="CY183" i="6"/>
  <c r="CY182" i="6"/>
  <c r="CY181" i="6"/>
  <c r="CY180" i="6"/>
  <c r="CY179" i="6"/>
  <c r="CY178" i="6"/>
  <c r="CY177" i="6"/>
  <c r="CY172" i="6"/>
  <c r="CY171" i="6"/>
  <c r="CY170" i="6"/>
  <c r="CY169" i="6"/>
  <c r="CY168" i="6"/>
  <c r="CY167" i="6"/>
  <c r="CY166" i="6"/>
  <c r="CY165" i="6"/>
  <c r="CY164" i="6"/>
  <c r="CY163" i="6"/>
  <c r="CY162" i="6"/>
  <c r="CY161" i="6"/>
  <c r="CY160" i="6"/>
  <c r="CY159" i="6"/>
  <c r="CY158" i="6"/>
  <c r="CY157" i="6"/>
  <c r="CY156" i="6"/>
  <c r="CY155" i="6"/>
  <c r="CY154" i="6"/>
  <c r="CY153" i="6"/>
  <c r="CY152" i="6"/>
  <c r="CY151" i="6"/>
  <c r="CY150" i="6"/>
  <c r="CY149" i="6"/>
  <c r="CY148" i="6"/>
  <c r="CY147" i="6"/>
  <c r="CY146" i="6"/>
  <c r="CY145" i="6"/>
  <c r="CY144" i="6"/>
  <c r="CY143" i="6"/>
  <c r="CY142" i="6"/>
  <c r="CY141" i="6"/>
  <c r="CY140" i="6"/>
  <c r="CY139" i="6"/>
  <c r="CY138" i="6"/>
  <c r="CY137" i="6"/>
  <c r="CY136" i="6"/>
  <c r="CY135" i="6"/>
  <c r="CY134" i="6"/>
  <c r="CY133" i="6"/>
  <c r="CY132" i="6"/>
  <c r="CY131" i="6"/>
  <c r="CY130" i="6"/>
  <c r="CY129" i="6"/>
  <c r="CY128" i="6"/>
  <c r="CY127" i="6"/>
  <c r="CY126" i="6"/>
  <c r="CY125" i="6"/>
  <c r="CY119" i="6"/>
  <c r="CY124" i="6"/>
  <c r="CY118" i="6"/>
  <c r="CY117" i="6"/>
  <c r="CY116" i="6"/>
  <c r="CY115" i="6"/>
  <c r="CY114" i="6"/>
  <c r="CY113" i="6"/>
  <c r="CY112" i="6"/>
  <c r="CY111" i="6"/>
  <c r="CY110" i="6"/>
  <c r="CY109" i="6"/>
  <c r="CY108" i="6"/>
  <c r="CY107" i="6"/>
  <c r="CY106" i="6"/>
  <c r="CY105" i="6"/>
  <c r="CY104" i="6"/>
  <c r="CY103" i="6"/>
  <c r="CY102" i="6"/>
  <c r="CY101" i="6"/>
  <c r="CY100" i="6"/>
  <c r="CY99" i="6"/>
  <c r="CY98" i="6"/>
  <c r="CY97" i="6"/>
  <c r="CY96" i="6"/>
  <c r="CY95" i="6"/>
  <c r="CY94" i="6"/>
  <c r="CY93" i="6"/>
  <c r="CY92" i="6"/>
  <c r="CY91" i="6"/>
  <c r="CY90" i="6"/>
  <c r="CY89" i="6"/>
  <c r="CY88" i="6"/>
  <c r="CY87" i="6"/>
  <c r="CY86" i="6"/>
  <c r="CY85" i="6"/>
  <c r="CY84" i="6"/>
  <c r="CY83" i="6"/>
  <c r="CY82" i="6"/>
  <c r="CY81" i="6"/>
  <c r="CY80" i="6"/>
  <c r="CY79" i="6"/>
  <c r="CY78" i="6"/>
  <c r="CY77" i="6"/>
  <c r="CY76" i="6"/>
  <c r="CY75" i="6"/>
  <c r="CY74" i="6"/>
  <c r="CY73" i="6"/>
  <c r="CY72" i="6"/>
  <c r="CY71" i="6"/>
  <c r="CY66" i="6"/>
  <c r="CY65" i="6"/>
  <c r="CY64" i="6"/>
  <c r="CY63" i="6"/>
  <c r="CY62" i="6"/>
  <c r="CY61" i="6"/>
  <c r="CY59" i="6"/>
  <c r="CY58" i="6"/>
  <c r="CY57" i="6"/>
  <c r="CY56" i="6"/>
  <c r="CY55" i="6"/>
  <c r="CY54" i="6"/>
  <c r="CY53" i="6"/>
  <c r="CY52" i="6"/>
  <c r="CY51" i="6"/>
  <c r="CY50" i="6"/>
  <c r="CY49" i="6"/>
  <c r="CY48" i="6"/>
  <c r="CY47" i="6"/>
  <c r="CY46" i="6"/>
  <c r="CY45" i="6"/>
  <c r="CY44" i="6"/>
  <c r="CY43" i="6"/>
  <c r="CY42" i="6"/>
  <c r="CY41" i="6"/>
  <c r="CY40" i="6"/>
  <c r="CY39" i="6"/>
  <c r="CY38" i="6"/>
  <c r="CY37" i="6"/>
  <c r="CY36" i="6"/>
  <c r="CY35" i="6"/>
  <c r="CY34" i="6"/>
  <c r="CY33" i="6"/>
  <c r="CY60" i="6"/>
  <c r="CY32" i="6"/>
  <c r="CY22" i="6"/>
  <c r="CY24" i="6"/>
  <c r="CY30" i="6"/>
  <c r="CY29" i="6"/>
  <c r="CY20" i="6"/>
  <c r="CY31" i="6"/>
  <c r="CY19" i="6"/>
  <c r="CY18" i="6"/>
  <c r="CY17" i="6"/>
  <c r="CY23" i="6"/>
  <c r="CY21" i="6"/>
  <c r="CI246" i="6"/>
  <c r="CI245" i="6"/>
  <c r="CI244" i="6"/>
  <c r="CI239" i="6"/>
  <c r="CI238" i="6"/>
  <c r="CI233" i="6"/>
  <c r="CI232" i="6"/>
  <c r="CI231" i="6"/>
  <c r="CI230" i="6"/>
  <c r="CI225" i="6"/>
  <c r="CI224" i="6"/>
  <c r="CI223" i="6"/>
  <c r="CI219" i="6"/>
  <c r="CI218" i="6"/>
  <c r="CI217" i="6"/>
  <c r="CI221" i="6"/>
  <c r="CI216" i="6"/>
  <c r="CI220" i="6"/>
  <c r="CI222" i="6"/>
  <c r="CI215" i="6"/>
  <c r="CI214" i="6"/>
  <c r="CI213" i="6"/>
  <c r="CI208" i="6"/>
  <c r="CI207" i="6"/>
  <c r="CI206" i="6"/>
  <c r="CI205" i="6"/>
  <c r="CI204" i="6"/>
  <c r="CI203" i="6"/>
  <c r="CI202" i="6"/>
  <c r="CI201" i="6"/>
  <c r="CI200" i="6"/>
  <c r="CI199" i="6"/>
  <c r="CI198" i="6"/>
  <c r="CI197" i="6"/>
  <c r="CI196" i="6"/>
  <c r="CI195" i="6"/>
  <c r="CI194" i="6"/>
  <c r="CI193" i="6"/>
  <c r="CI192" i="6"/>
  <c r="CI191" i="6"/>
  <c r="CI190" i="6"/>
  <c r="CI185" i="6"/>
  <c r="CI184" i="6"/>
  <c r="CI183" i="6"/>
  <c r="CI182" i="6"/>
  <c r="CI181" i="6"/>
  <c r="CI180" i="6"/>
  <c r="CI179" i="6"/>
  <c r="CI178" i="6"/>
  <c r="CI177" i="6"/>
  <c r="CI172" i="6"/>
  <c r="CI171" i="6"/>
  <c r="CI170" i="6"/>
  <c r="CI169" i="6"/>
  <c r="CI168" i="6"/>
  <c r="CI167" i="6"/>
  <c r="CI166" i="6"/>
  <c r="CI165" i="6"/>
  <c r="CI164" i="6"/>
  <c r="CI163" i="6"/>
  <c r="CI162" i="6"/>
  <c r="CI161" i="6"/>
  <c r="CI160" i="6"/>
  <c r="CI159" i="6"/>
  <c r="CI158" i="6"/>
  <c r="CI157" i="6"/>
  <c r="CI156" i="6"/>
  <c r="CI155" i="6"/>
  <c r="CI154" i="6"/>
  <c r="CI153" i="6"/>
  <c r="CI152" i="6"/>
  <c r="CI151" i="6"/>
  <c r="CI150" i="6"/>
  <c r="CI149" i="6"/>
  <c r="CI148" i="6"/>
  <c r="CI147" i="6"/>
  <c r="CI146" i="6"/>
  <c r="CI145" i="6"/>
  <c r="CI144" i="6"/>
  <c r="CI143" i="6"/>
  <c r="CI142" i="6"/>
  <c r="CI141" i="6"/>
  <c r="CI140" i="6"/>
  <c r="CI139" i="6"/>
  <c r="CI138" i="6"/>
  <c r="CI137" i="6"/>
  <c r="CI136" i="6"/>
  <c r="CI135" i="6"/>
  <c r="CI134" i="6"/>
  <c r="CI133" i="6"/>
  <c r="CI132" i="6"/>
  <c r="CI131" i="6"/>
  <c r="CI130" i="6"/>
  <c r="CI129" i="6"/>
  <c r="CI128" i="6"/>
  <c r="CI127" i="6"/>
  <c r="CI126" i="6"/>
  <c r="CI125" i="6"/>
  <c r="CI124" i="6"/>
  <c r="CI119" i="6"/>
  <c r="CI118" i="6"/>
  <c r="CI117" i="6"/>
  <c r="CI116" i="6"/>
  <c r="CI115" i="6"/>
  <c r="CI114" i="6"/>
  <c r="CI113" i="6"/>
  <c r="CI112" i="6"/>
  <c r="CI111" i="6"/>
  <c r="CI110" i="6"/>
  <c r="CI109" i="6"/>
  <c r="CI108" i="6"/>
  <c r="CI107" i="6"/>
  <c r="CI106" i="6"/>
  <c r="CI105" i="6"/>
  <c r="CI104" i="6"/>
  <c r="CI103" i="6"/>
  <c r="CI102" i="6"/>
  <c r="CI101" i="6"/>
  <c r="CI100" i="6"/>
  <c r="CI99" i="6"/>
  <c r="CI98" i="6"/>
  <c r="CI97" i="6"/>
  <c r="CI96" i="6"/>
  <c r="CI95" i="6"/>
  <c r="CI94" i="6"/>
  <c r="CI93" i="6"/>
  <c r="CI91" i="6"/>
  <c r="CI90" i="6"/>
  <c r="CI89" i="6"/>
  <c r="CI88" i="6"/>
  <c r="CI87" i="6"/>
  <c r="CI86" i="6"/>
  <c r="CI85" i="6"/>
  <c r="CI84" i="6"/>
  <c r="CI83" i="6"/>
  <c r="CI82" i="6"/>
  <c r="CI81" i="6"/>
  <c r="CI80" i="6"/>
  <c r="CI79" i="6"/>
  <c r="CI78" i="6"/>
  <c r="CI77" i="6"/>
  <c r="CI76" i="6"/>
  <c r="CI75" i="6"/>
  <c r="CI74" i="6"/>
  <c r="CI73" i="6"/>
  <c r="CI72" i="6"/>
  <c r="CI71" i="6"/>
  <c r="CI66" i="6"/>
  <c r="CI65" i="6"/>
  <c r="CI64" i="6"/>
  <c r="CI63" i="6"/>
  <c r="CI62" i="6"/>
  <c r="CI92" i="6"/>
  <c r="CI61" i="6"/>
  <c r="CI59" i="6"/>
  <c r="CI58" i="6"/>
  <c r="CI57" i="6"/>
  <c r="CI56" i="6"/>
  <c r="CI55" i="6"/>
  <c r="CI54" i="6"/>
  <c r="CI53" i="6"/>
  <c r="CI52" i="6"/>
  <c r="CI51" i="6"/>
  <c r="CI50" i="6"/>
  <c r="CI49" i="6"/>
  <c r="CI48" i="6"/>
  <c r="CI47" i="6"/>
  <c r="CI46" i="6"/>
  <c r="CI45" i="6"/>
  <c r="CI44" i="6"/>
  <c r="CI43" i="6"/>
  <c r="CI42" i="6"/>
  <c r="CI41" i="6"/>
  <c r="CI40" i="6"/>
  <c r="CI39" i="6"/>
  <c r="CI38" i="6"/>
  <c r="CI37" i="6"/>
  <c r="CI36" i="6"/>
  <c r="CI35" i="6"/>
  <c r="CI34" i="6"/>
  <c r="CI33" i="6"/>
  <c r="CI60" i="6"/>
  <c r="CI22" i="6"/>
  <c r="CI31" i="6"/>
  <c r="CI30" i="6"/>
  <c r="CI29" i="6"/>
  <c r="CI20" i="6"/>
  <c r="CI24" i="6"/>
  <c r="CI32" i="6"/>
  <c r="CI19" i="6"/>
  <c r="CI18" i="6"/>
  <c r="CI17" i="6"/>
  <c r="CI23" i="6"/>
  <c r="CI21" i="6"/>
  <c r="CA246" i="6"/>
  <c r="CA245" i="6"/>
  <c r="CA244" i="6"/>
  <c r="CA239" i="6"/>
  <c r="CA238" i="6"/>
  <c r="CA233" i="6"/>
  <c r="CA232" i="6"/>
  <c r="CA231" i="6"/>
  <c r="CA230" i="6"/>
  <c r="CA225" i="6"/>
  <c r="CA224" i="6"/>
  <c r="CA223" i="6"/>
  <c r="CA216" i="6"/>
  <c r="CA222" i="6"/>
  <c r="CA221" i="6"/>
  <c r="CA219" i="6"/>
  <c r="CA218" i="6"/>
  <c r="CA217" i="6"/>
  <c r="CA220" i="6"/>
  <c r="CA215" i="6"/>
  <c r="CA214" i="6"/>
  <c r="CA213" i="6"/>
  <c r="CA208" i="6"/>
  <c r="CA207" i="6"/>
  <c r="CA206" i="6"/>
  <c r="CA205" i="6"/>
  <c r="CA204" i="6"/>
  <c r="CA203" i="6"/>
  <c r="CA202" i="6"/>
  <c r="CA201" i="6"/>
  <c r="CA200" i="6"/>
  <c r="CA199" i="6"/>
  <c r="CA198" i="6"/>
  <c r="CA197" i="6"/>
  <c r="CA196" i="6"/>
  <c r="CA195" i="6"/>
  <c r="CA194" i="6"/>
  <c r="CA193" i="6"/>
  <c r="CA192" i="6"/>
  <c r="CA191" i="6"/>
  <c r="CA190" i="6"/>
  <c r="CA185" i="6"/>
  <c r="CA184" i="6"/>
  <c r="CA183" i="6"/>
  <c r="CA182" i="6"/>
  <c r="CA181" i="6"/>
  <c r="CA180" i="6"/>
  <c r="CA179" i="6"/>
  <c r="CA178" i="6"/>
  <c r="CA177" i="6"/>
  <c r="CA172" i="6"/>
  <c r="CA171" i="6"/>
  <c r="CA170" i="6"/>
  <c r="CA169" i="6"/>
  <c r="CA168" i="6"/>
  <c r="CA167" i="6"/>
  <c r="CA166" i="6"/>
  <c r="CA165" i="6"/>
  <c r="CA164" i="6"/>
  <c r="CA163" i="6"/>
  <c r="CA162" i="6"/>
  <c r="CA161" i="6"/>
  <c r="CA160" i="6"/>
  <c r="CA159" i="6"/>
  <c r="CA158" i="6"/>
  <c r="CA157" i="6"/>
  <c r="CA156" i="6"/>
  <c r="CA155" i="6"/>
  <c r="CA154" i="6"/>
  <c r="CA153" i="6"/>
  <c r="CA152" i="6"/>
  <c r="CA151" i="6"/>
  <c r="CA150" i="6"/>
  <c r="CA149" i="6"/>
  <c r="CA148" i="6"/>
  <c r="CA147" i="6"/>
  <c r="CA146" i="6"/>
  <c r="CA145" i="6"/>
  <c r="CA144" i="6"/>
  <c r="CA143" i="6"/>
  <c r="CA142" i="6"/>
  <c r="CA141" i="6"/>
  <c r="CA140" i="6"/>
  <c r="CA138" i="6"/>
  <c r="CA137" i="6"/>
  <c r="CA136" i="6"/>
  <c r="CA135" i="6"/>
  <c r="CA134" i="6"/>
  <c r="CA133" i="6"/>
  <c r="CA132" i="6"/>
  <c r="CA131" i="6"/>
  <c r="CA130" i="6"/>
  <c r="CA129" i="6"/>
  <c r="CA128" i="6"/>
  <c r="CA127" i="6"/>
  <c r="CA126" i="6"/>
  <c r="CA125" i="6"/>
  <c r="CA124" i="6"/>
  <c r="CA119" i="6"/>
  <c r="CA118" i="6"/>
  <c r="CA117" i="6"/>
  <c r="CA116" i="6"/>
  <c r="CA115" i="6"/>
  <c r="CA114" i="6"/>
  <c r="CA113" i="6"/>
  <c r="CA112" i="6"/>
  <c r="CA111" i="6"/>
  <c r="CA110" i="6"/>
  <c r="CA109" i="6"/>
  <c r="CA108" i="6"/>
  <c r="CA107" i="6"/>
  <c r="CA106" i="6"/>
  <c r="CA105" i="6"/>
  <c r="CA104" i="6"/>
  <c r="CA103" i="6"/>
  <c r="CA102" i="6"/>
  <c r="CA101" i="6"/>
  <c r="CA100" i="6"/>
  <c r="CA99" i="6"/>
  <c r="CA98" i="6"/>
  <c r="CA97" i="6"/>
  <c r="CA96" i="6"/>
  <c r="CA95" i="6"/>
  <c r="CA94" i="6"/>
  <c r="CA93" i="6"/>
  <c r="CA92" i="6"/>
  <c r="CA91" i="6"/>
  <c r="CA90" i="6"/>
  <c r="CA89" i="6"/>
  <c r="CA88" i="6"/>
  <c r="CA87" i="6"/>
  <c r="CA86" i="6"/>
  <c r="CA85" i="6"/>
  <c r="CA84" i="6"/>
  <c r="CA83" i="6"/>
  <c r="CA82" i="6"/>
  <c r="CA81" i="6"/>
  <c r="CA80" i="6"/>
  <c r="CA79" i="6"/>
  <c r="CA78" i="6"/>
  <c r="CA77" i="6"/>
  <c r="CA76" i="6"/>
  <c r="CA75" i="6"/>
  <c r="CA74" i="6"/>
  <c r="CA73" i="6"/>
  <c r="CA72" i="6"/>
  <c r="CA71" i="6"/>
  <c r="CA66" i="6"/>
  <c r="CA65" i="6"/>
  <c r="CA64" i="6"/>
  <c r="CA63" i="6"/>
  <c r="CA62" i="6"/>
  <c r="CA60" i="6"/>
  <c r="CA59" i="6"/>
  <c r="CA58" i="6"/>
  <c r="CA57" i="6"/>
  <c r="CA56" i="6"/>
  <c r="CA55" i="6"/>
  <c r="CA54" i="6"/>
  <c r="CA53" i="6"/>
  <c r="CA52" i="6"/>
  <c r="CA51" i="6"/>
  <c r="CA50" i="6"/>
  <c r="CA49" i="6"/>
  <c r="CA48" i="6"/>
  <c r="CA47" i="6"/>
  <c r="CA46" i="6"/>
  <c r="CA45" i="6"/>
  <c r="CA44" i="6"/>
  <c r="CA43" i="6"/>
  <c r="CA42" i="6"/>
  <c r="CA41" i="6"/>
  <c r="CA40" i="6"/>
  <c r="CA39" i="6"/>
  <c r="CA38" i="6"/>
  <c r="CA37" i="6"/>
  <c r="CA36" i="6"/>
  <c r="CA35" i="6"/>
  <c r="CA34" i="6"/>
  <c r="CA61" i="6"/>
  <c r="CA33" i="6"/>
  <c r="CA22" i="6"/>
  <c r="CA21" i="6"/>
  <c r="CA32" i="6"/>
  <c r="CA31" i="6"/>
  <c r="CA30" i="6"/>
  <c r="CA29" i="6"/>
  <c r="CA20" i="6"/>
  <c r="CA19" i="6"/>
  <c r="CA18" i="6"/>
  <c r="CA17" i="6"/>
  <c r="CA23" i="6"/>
  <c r="CA24" i="6"/>
  <c r="BS246" i="6"/>
  <c r="BS245" i="6"/>
  <c r="BS244" i="6"/>
  <c r="BS239" i="6"/>
  <c r="BS238" i="6"/>
  <c r="BS233" i="6"/>
  <c r="BS232" i="6"/>
  <c r="BS231" i="6"/>
  <c r="BS230" i="6"/>
  <c r="BS225" i="6"/>
  <c r="BS224" i="6"/>
  <c r="BS219" i="6"/>
  <c r="BS218" i="6"/>
  <c r="BS217" i="6"/>
  <c r="BS220" i="6"/>
  <c r="BS223" i="6"/>
  <c r="BS222" i="6"/>
  <c r="BS221" i="6"/>
  <c r="BS216" i="6"/>
  <c r="BS215" i="6"/>
  <c r="BS214" i="6"/>
  <c r="BS213" i="6"/>
  <c r="BS208" i="6"/>
  <c r="BS207" i="6"/>
  <c r="BS206" i="6"/>
  <c r="BS205" i="6"/>
  <c r="BS204" i="6"/>
  <c r="BS203" i="6"/>
  <c r="BS202" i="6"/>
  <c r="BS201" i="6"/>
  <c r="BS200" i="6"/>
  <c r="BS199" i="6"/>
  <c r="BS198" i="6"/>
  <c r="BS197" i="6"/>
  <c r="BS196" i="6"/>
  <c r="BS195" i="6"/>
  <c r="BS194" i="6"/>
  <c r="BS193" i="6"/>
  <c r="BS192" i="6"/>
  <c r="BS191" i="6"/>
  <c r="BS190" i="6"/>
  <c r="BS185" i="6"/>
  <c r="BS184" i="6"/>
  <c r="BS183" i="6"/>
  <c r="BS182" i="6"/>
  <c r="BS181" i="6"/>
  <c r="BS180" i="6"/>
  <c r="BS179" i="6"/>
  <c r="BS178" i="6"/>
  <c r="BS177" i="6"/>
  <c r="BS172" i="6"/>
  <c r="BS171" i="6"/>
  <c r="BS170" i="6"/>
  <c r="BS169" i="6"/>
  <c r="BS168" i="6"/>
  <c r="BS167" i="6"/>
  <c r="BS166" i="6"/>
  <c r="BS165" i="6"/>
  <c r="BS164" i="6"/>
  <c r="BS163" i="6"/>
  <c r="BS162" i="6"/>
  <c r="BS161" i="6"/>
  <c r="BS160" i="6"/>
  <c r="BS159" i="6"/>
  <c r="BS158" i="6"/>
  <c r="BS157" i="6"/>
  <c r="BS156" i="6"/>
  <c r="BS155" i="6"/>
  <c r="BS154" i="6"/>
  <c r="BS153" i="6"/>
  <c r="BS152" i="6"/>
  <c r="BS151" i="6"/>
  <c r="BS150" i="6"/>
  <c r="BS149" i="6"/>
  <c r="BS148" i="6"/>
  <c r="BS147" i="6"/>
  <c r="BS146" i="6"/>
  <c r="BS145" i="6"/>
  <c r="BS144" i="6"/>
  <c r="BS143" i="6"/>
  <c r="BS142" i="6"/>
  <c r="BS141" i="6"/>
  <c r="BS140" i="6"/>
  <c r="BS139" i="6"/>
  <c r="BS138" i="6"/>
  <c r="BS137" i="6"/>
  <c r="BS136" i="6"/>
  <c r="BS135" i="6"/>
  <c r="BS134" i="6"/>
  <c r="BS133" i="6"/>
  <c r="BS132" i="6"/>
  <c r="BS131" i="6"/>
  <c r="BS130" i="6"/>
  <c r="BS129" i="6"/>
  <c r="BS128" i="6"/>
  <c r="BS127" i="6"/>
  <c r="BS126" i="6"/>
  <c r="BS125" i="6"/>
  <c r="BS124" i="6"/>
  <c r="BS119" i="6"/>
  <c r="BS118" i="6"/>
  <c r="BS117" i="6"/>
  <c r="BS116" i="6"/>
  <c r="BS115" i="6"/>
  <c r="BS114" i="6"/>
  <c r="BS113" i="6"/>
  <c r="BS112" i="6"/>
  <c r="BS111" i="6"/>
  <c r="BS110" i="6"/>
  <c r="BS109" i="6"/>
  <c r="BS108" i="6"/>
  <c r="BS107" i="6"/>
  <c r="BS106" i="6"/>
  <c r="BS105" i="6"/>
  <c r="BS104" i="6"/>
  <c r="BS103" i="6"/>
  <c r="BS102" i="6"/>
  <c r="BS101" i="6"/>
  <c r="BS100" i="6"/>
  <c r="BS99" i="6"/>
  <c r="BS98" i="6"/>
  <c r="BS97" i="6"/>
  <c r="BS96" i="6"/>
  <c r="BS95" i="6"/>
  <c r="BS94" i="6"/>
  <c r="BS93" i="6"/>
  <c r="BS92" i="6"/>
  <c r="BS91" i="6"/>
  <c r="BS90" i="6"/>
  <c r="BS89" i="6"/>
  <c r="BS88" i="6"/>
  <c r="BS87" i="6"/>
  <c r="BS86" i="6"/>
  <c r="BS85" i="6"/>
  <c r="BS84" i="6"/>
  <c r="BS83" i="6"/>
  <c r="BS82" i="6"/>
  <c r="BS81" i="6"/>
  <c r="BS80" i="6"/>
  <c r="BS79" i="6"/>
  <c r="BS78" i="6"/>
  <c r="BS77" i="6"/>
  <c r="BS76" i="6"/>
  <c r="BS75" i="6"/>
  <c r="BS74" i="6"/>
  <c r="BS73" i="6"/>
  <c r="BS72" i="6"/>
  <c r="BS71" i="6"/>
  <c r="BS66" i="6"/>
  <c r="BS65" i="6"/>
  <c r="BS64" i="6"/>
  <c r="BS63" i="6"/>
  <c r="BS62" i="6"/>
  <c r="BS61" i="6"/>
  <c r="BS60" i="6"/>
  <c r="BS59" i="6"/>
  <c r="BS58" i="6"/>
  <c r="BS57" i="6"/>
  <c r="BS56" i="6"/>
  <c r="BS55" i="6"/>
  <c r="BS54" i="6"/>
  <c r="BS53" i="6"/>
  <c r="BS52" i="6"/>
  <c r="BS51" i="6"/>
  <c r="BS50" i="6"/>
  <c r="BS49" i="6"/>
  <c r="BS48" i="6"/>
  <c r="BS47" i="6"/>
  <c r="BS46" i="6"/>
  <c r="BS45" i="6"/>
  <c r="BS44" i="6"/>
  <c r="BS43" i="6"/>
  <c r="BS42" i="6"/>
  <c r="BS41" i="6"/>
  <c r="BS40" i="6"/>
  <c r="BS39" i="6"/>
  <c r="BS38" i="6"/>
  <c r="BS37" i="6"/>
  <c r="BS36" i="6"/>
  <c r="BS35" i="6"/>
  <c r="BS34" i="6"/>
  <c r="BS22" i="6"/>
  <c r="BS24" i="6"/>
  <c r="BS31" i="6"/>
  <c r="BS30" i="6"/>
  <c r="BS29" i="6"/>
  <c r="BS33" i="6"/>
  <c r="BS20" i="6"/>
  <c r="BS19" i="6"/>
  <c r="BS18" i="6"/>
  <c r="BS17" i="6"/>
  <c r="BS32" i="6"/>
  <c r="BS23" i="6"/>
  <c r="BS21" i="6"/>
  <c r="DF246" i="6"/>
  <c r="DF245" i="6"/>
  <c r="DF244" i="6"/>
  <c r="DF239" i="6"/>
  <c r="DF238" i="6"/>
  <c r="DF233" i="6"/>
  <c r="DF232" i="6"/>
  <c r="DF231" i="6"/>
  <c r="DF230" i="6"/>
  <c r="DF225" i="6"/>
  <c r="DF224" i="6"/>
  <c r="DF223" i="6"/>
  <c r="DF215" i="6"/>
  <c r="DF214" i="6"/>
  <c r="DF213" i="6"/>
  <c r="DF208" i="6"/>
  <c r="DF207" i="6"/>
  <c r="DF206" i="6"/>
  <c r="DF205" i="6"/>
  <c r="DF204" i="6"/>
  <c r="DF203" i="6"/>
  <c r="DF202" i="6"/>
  <c r="DF201" i="6"/>
  <c r="DF200" i="6"/>
  <c r="DF199" i="6"/>
  <c r="DF198" i="6"/>
  <c r="DF197" i="6"/>
  <c r="DF196" i="6"/>
  <c r="DF195" i="6"/>
  <c r="DF194" i="6"/>
  <c r="DF193" i="6"/>
  <c r="DF192" i="6"/>
  <c r="DF191" i="6"/>
  <c r="DF190" i="6"/>
  <c r="DF185" i="6"/>
  <c r="DF184" i="6"/>
  <c r="DF183" i="6"/>
  <c r="DF221" i="6"/>
  <c r="DF220" i="6"/>
  <c r="DF219" i="6"/>
  <c r="DF218" i="6"/>
  <c r="DF217" i="6"/>
  <c r="DF216" i="6"/>
  <c r="DF222" i="6"/>
  <c r="DF182" i="6"/>
  <c r="DF181" i="6"/>
  <c r="DF180" i="6"/>
  <c r="DF179" i="6"/>
  <c r="DF178" i="6"/>
  <c r="DF177" i="6"/>
  <c r="DF172" i="6"/>
  <c r="DF171" i="6"/>
  <c r="DF170" i="6"/>
  <c r="DF169" i="6"/>
  <c r="DF168" i="6"/>
  <c r="DF167" i="6"/>
  <c r="DF166" i="6"/>
  <c r="DF165" i="6"/>
  <c r="DF164" i="6"/>
  <c r="DF163" i="6"/>
  <c r="DF162" i="6"/>
  <c r="DF161" i="6"/>
  <c r="DF160" i="6"/>
  <c r="DF159" i="6"/>
  <c r="DF158" i="6"/>
  <c r="DF157" i="6"/>
  <c r="DF156" i="6"/>
  <c r="DF155" i="6"/>
  <c r="DF154" i="6"/>
  <c r="DF153" i="6"/>
  <c r="DF152" i="6"/>
  <c r="DF151" i="6"/>
  <c r="DF150" i="6"/>
  <c r="DF149" i="6"/>
  <c r="DF148" i="6"/>
  <c r="DF147" i="6"/>
  <c r="DF146" i="6"/>
  <c r="DF145" i="6"/>
  <c r="DF144" i="6"/>
  <c r="DF143" i="6"/>
  <c r="DF142" i="6"/>
  <c r="DF141" i="6"/>
  <c r="DF140" i="6"/>
  <c r="DF139" i="6"/>
  <c r="DF138" i="6"/>
  <c r="DF137" i="6"/>
  <c r="DF136" i="6"/>
  <c r="DF135" i="6"/>
  <c r="DF134" i="6"/>
  <c r="DF133" i="6"/>
  <c r="DF132" i="6"/>
  <c r="DF131" i="6"/>
  <c r="DF130" i="6"/>
  <c r="DF129" i="6"/>
  <c r="DF128" i="6"/>
  <c r="DF127" i="6"/>
  <c r="DF126" i="6"/>
  <c r="DF125" i="6"/>
  <c r="DF124" i="6"/>
  <c r="DF119" i="6"/>
  <c r="DF118" i="6"/>
  <c r="DF117" i="6"/>
  <c r="DF116" i="6"/>
  <c r="DF115" i="6"/>
  <c r="DF114" i="6"/>
  <c r="DF113" i="6"/>
  <c r="DF112" i="6"/>
  <c r="DF111" i="6"/>
  <c r="DF110" i="6"/>
  <c r="DF109" i="6"/>
  <c r="DF108" i="6"/>
  <c r="DF107" i="6"/>
  <c r="DF106" i="6"/>
  <c r="DF105" i="6"/>
  <c r="DF104" i="6"/>
  <c r="DF103" i="6"/>
  <c r="DF102" i="6"/>
  <c r="DF101" i="6"/>
  <c r="DF100" i="6"/>
  <c r="DF99" i="6"/>
  <c r="DF98" i="6"/>
  <c r="DF97" i="6"/>
  <c r="DF96" i="6"/>
  <c r="DF95" i="6"/>
  <c r="DF94" i="6"/>
  <c r="DF93" i="6"/>
  <c r="DF92" i="6"/>
  <c r="DF91" i="6"/>
  <c r="DF90" i="6"/>
  <c r="DF89" i="6"/>
  <c r="DF88" i="6"/>
  <c r="DF87" i="6"/>
  <c r="DF86" i="6"/>
  <c r="DF85" i="6"/>
  <c r="DF84" i="6"/>
  <c r="DF83" i="6"/>
  <c r="DF82" i="6"/>
  <c r="DF81" i="6"/>
  <c r="DF80" i="6"/>
  <c r="DF79" i="6"/>
  <c r="DF78" i="6"/>
  <c r="DF77" i="6"/>
  <c r="DF76" i="6"/>
  <c r="DF75" i="6"/>
  <c r="DF74" i="6"/>
  <c r="DF73" i="6"/>
  <c r="DF72" i="6"/>
  <c r="DF71" i="6"/>
  <c r="DF66" i="6"/>
  <c r="DF65" i="6"/>
  <c r="DF64" i="6"/>
  <c r="DF63" i="6"/>
  <c r="DF62" i="6"/>
  <c r="DF61" i="6"/>
  <c r="DF59" i="6"/>
  <c r="DF58" i="6"/>
  <c r="DF57" i="6"/>
  <c r="DF56" i="6"/>
  <c r="DF55" i="6"/>
  <c r="DF54" i="6"/>
  <c r="DF53" i="6"/>
  <c r="DF52" i="6"/>
  <c r="DF51" i="6"/>
  <c r="DF50" i="6"/>
  <c r="DF49" i="6"/>
  <c r="DF48" i="6"/>
  <c r="DF47" i="6"/>
  <c r="DF46" i="6"/>
  <c r="DF45" i="6"/>
  <c r="DF44" i="6"/>
  <c r="DF43" i="6"/>
  <c r="DF42" i="6"/>
  <c r="DF41" i="6"/>
  <c r="DF40" i="6"/>
  <c r="DF39" i="6"/>
  <c r="DF38" i="6"/>
  <c r="DF37" i="6"/>
  <c r="DF36" i="6"/>
  <c r="DF35" i="6"/>
  <c r="DF34" i="6"/>
  <c r="DF33" i="6"/>
  <c r="DF60" i="6"/>
  <c r="DF21" i="6"/>
  <c r="DF20" i="6"/>
  <c r="DF30" i="6"/>
  <c r="DF29" i="6"/>
  <c r="DF19" i="6"/>
  <c r="DF18" i="6"/>
  <c r="DF17" i="6"/>
  <c r="DF24" i="6"/>
  <c r="DF23" i="6"/>
  <c r="DF32" i="6"/>
  <c r="DF31" i="6"/>
  <c r="DF22" i="6"/>
  <c r="CX246" i="6"/>
  <c r="CX245" i="6"/>
  <c r="CX244" i="6"/>
  <c r="CX239" i="6"/>
  <c r="CX238" i="6"/>
  <c r="CX233" i="6"/>
  <c r="CX232" i="6"/>
  <c r="CX231" i="6"/>
  <c r="CX230" i="6"/>
  <c r="CX225" i="6"/>
  <c r="CX224" i="6"/>
  <c r="CX223" i="6"/>
  <c r="CX215" i="6"/>
  <c r="CX214" i="6"/>
  <c r="CX213" i="6"/>
  <c r="CX208" i="6"/>
  <c r="CX207" i="6"/>
  <c r="CX206" i="6"/>
  <c r="CX205" i="6"/>
  <c r="CX204" i="6"/>
  <c r="CX203" i="6"/>
  <c r="CX202" i="6"/>
  <c r="CX201" i="6"/>
  <c r="CX200" i="6"/>
  <c r="CX199" i="6"/>
  <c r="CX198" i="6"/>
  <c r="CX197" i="6"/>
  <c r="CX196" i="6"/>
  <c r="CX195" i="6"/>
  <c r="CX194" i="6"/>
  <c r="CX193" i="6"/>
  <c r="CX192" i="6"/>
  <c r="CX191" i="6"/>
  <c r="CX190" i="6"/>
  <c r="CX185" i="6"/>
  <c r="CX184" i="6"/>
  <c r="CX219" i="6"/>
  <c r="CX218" i="6"/>
  <c r="CX217" i="6"/>
  <c r="CX216" i="6"/>
  <c r="CX222" i="6"/>
  <c r="CX221" i="6"/>
  <c r="CX220" i="6"/>
  <c r="CX182" i="6"/>
  <c r="CX181" i="6"/>
  <c r="CX180" i="6"/>
  <c r="CX179" i="6"/>
  <c r="CX178" i="6"/>
  <c r="CX177" i="6"/>
  <c r="CX172" i="6"/>
  <c r="CX171" i="6"/>
  <c r="CX170" i="6"/>
  <c r="CX169" i="6"/>
  <c r="CX168" i="6"/>
  <c r="CX167" i="6"/>
  <c r="CX166" i="6"/>
  <c r="CX165" i="6"/>
  <c r="CX164" i="6"/>
  <c r="CX163" i="6"/>
  <c r="CX162" i="6"/>
  <c r="CX161" i="6"/>
  <c r="CX160" i="6"/>
  <c r="CX159" i="6"/>
  <c r="CX158" i="6"/>
  <c r="CX157" i="6"/>
  <c r="CX156" i="6"/>
  <c r="CX155" i="6"/>
  <c r="CX154" i="6"/>
  <c r="CX153" i="6"/>
  <c r="CX152" i="6"/>
  <c r="CX151" i="6"/>
  <c r="CX183" i="6"/>
  <c r="CX150" i="6"/>
  <c r="CX149" i="6"/>
  <c r="CX148" i="6"/>
  <c r="CX147" i="6"/>
  <c r="CX146" i="6"/>
  <c r="CX145" i="6"/>
  <c r="CX144" i="6"/>
  <c r="CX143" i="6"/>
  <c r="CX142" i="6"/>
  <c r="CX141" i="6"/>
  <c r="CX140" i="6"/>
  <c r="CX139" i="6"/>
  <c r="CX138" i="6"/>
  <c r="CX137" i="6"/>
  <c r="CX136" i="6"/>
  <c r="CX135" i="6"/>
  <c r="CX134" i="6"/>
  <c r="CX133" i="6"/>
  <c r="CX132" i="6"/>
  <c r="CX131" i="6"/>
  <c r="CX130" i="6"/>
  <c r="CX129" i="6"/>
  <c r="CX128" i="6"/>
  <c r="CX127" i="6"/>
  <c r="CX126" i="6"/>
  <c r="CX125" i="6"/>
  <c r="CX124" i="6"/>
  <c r="CX119" i="6"/>
  <c r="CX118" i="6"/>
  <c r="CX117" i="6"/>
  <c r="CX116" i="6"/>
  <c r="CX115" i="6"/>
  <c r="CX114" i="6"/>
  <c r="CX113" i="6"/>
  <c r="CX112" i="6"/>
  <c r="CX111" i="6"/>
  <c r="CX110" i="6"/>
  <c r="CX109" i="6"/>
  <c r="CX108" i="6"/>
  <c r="CX107" i="6"/>
  <c r="CX106" i="6"/>
  <c r="CX105" i="6"/>
  <c r="CX104" i="6"/>
  <c r="CX103" i="6"/>
  <c r="CX102" i="6"/>
  <c r="CX101" i="6"/>
  <c r="CX100" i="6"/>
  <c r="CX99" i="6"/>
  <c r="CX98" i="6"/>
  <c r="CX97" i="6"/>
  <c r="CX96" i="6"/>
  <c r="CX95" i="6"/>
  <c r="CX94" i="6"/>
  <c r="CX93" i="6"/>
  <c r="CX92" i="6"/>
  <c r="CX91" i="6"/>
  <c r="CX90" i="6"/>
  <c r="CX89" i="6"/>
  <c r="CX88" i="6"/>
  <c r="CX87" i="6"/>
  <c r="CX86" i="6"/>
  <c r="CX85" i="6"/>
  <c r="CX84" i="6"/>
  <c r="CX83" i="6"/>
  <c r="CX82" i="6"/>
  <c r="CX81" i="6"/>
  <c r="CX80" i="6"/>
  <c r="CX79" i="6"/>
  <c r="CX78" i="6"/>
  <c r="CX77" i="6"/>
  <c r="CX76" i="6"/>
  <c r="CX75" i="6"/>
  <c r="CX74" i="6"/>
  <c r="CX73" i="6"/>
  <c r="CX72" i="6"/>
  <c r="CX71" i="6"/>
  <c r="CX66" i="6"/>
  <c r="CX65" i="6"/>
  <c r="CX64" i="6"/>
  <c r="CX63" i="6"/>
  <c r="CX62" i="6"/>
  <c r="CX61" i="6"/>
  <c r="CX59" i="6"/>
  <c r="CX58" i="6"/>
  <c r="CX57" i="6"/>
  <c r="CX56" i="6"/>
  <c r="CX55" i="6"/>
  <c r="CX54" i="6"/>
  <c r="CX53" i="6"/>
  <c r="CX52" i="6"/>
  <c r="CX51" i="6"/>
  <c r="CX50" i="6"/>
  <c r="CX49" i="6"/>
  <c r="CX48" i="6"/>
  <c r="CX47" i="6"/>
  <c r="CX46" i="6"/>
  <c r="CX45" i="6"/>
  <c r="CX44" i="6"/>
  <c r="CX43" i="6"/>
  <c r="CX42" i="6"/>
  <c r="CX41" i="6"/>
  <c r="CX40" i="6"/>
  <c r="CX39" i="6"/>
  <c r="CX38" i="6"/>
  <c r="CX37" i="6"/>
  <c r="CX36" i="6"/>
  <c r="CX35" i="6"/>
  <c r="CX34" i="6"/>
  <c r="CX33" i="6"/>
  <c r="CX60" i="6"/>
  <c r="CX21" i="6"/>
  <c r="CX24" i="6"/>
  <c r="CX32" i="6"/>
  <c r="CX30" i="6"/>
  <c r="CX29" i="6"/>
  <c r="CX19" i="6"/>
  <c r="CX23" i="6"/>
  <c r="CX18" i="6"/>
  <c r="CX31" i="6"/>
  <c r="CX17" i="6"/>
  <c r="CX22" i="6"/>
  <c r="CX20" i="6"/>
  <c r="CP246" i="6"/>
  <c r="CP245" i="6"/>
  <c r="CP244" i="6"/>
  <c r="CP239" i="6"/>
  <c r="CP238" i="6"/>
  <c r="CP233" i="6"/>
  <c r="CP232" i="6"/>
  <c r="CP231" i="6"/>
  <c r="CP230" i="6"/>
  <c r="CP225" i="6"/>
  <c r="CP224" i="6"/>
  <c r="CP223" i="6"/>
  <c r="CP215" i="6"/>
  <c r="CP214" i="6"/>
  <c r="CP213" i="6"/>
  <c r="CP208" i="6"/>
  <c r="CP207" i="6"/>
  <c r="CP206" i="6"/>
  <c r="CP205" i="6"/>
  <c r="CP204" i="6"/>
  <c r="CP203" i="6"/>
  <c r="CP202" i="6"/>
  <c r="CP201" i="6"/>
  <c r="CP200" i="6"/>
  <c r="CP199" i="6"/>
  <c r="CP198" i="6"/>
  <c r="CP197" i="6"/>
  <c r="CP196" i="6"/>
  <c r="CP195" i="6"/>
  <c r="CP194" i="6"/>
  <c r="CP193" i="6"/>
  <c r="CP192" i="6"/>
  <c r="CP191" i="6"/>
  <c r="CP190" i="6"/>
  <c r="CP185" i="6"/>
  <c r="CP184" i="6"/>
  <c r="CP220" i="6"/>
  <c r="CP222" i="6"/>
  <c r="CP219" i="6"/>
  <c r="CP218" i="6"/>
  <c r="CP217" i="6"/>
  <c r="CP216" i="6"/>
  <c r="CP221" i="6"/>
  <c r="CP182" i="6"/>
  <c r="CP181" i="6"/>
  <c r="CP180" i="6"/>
  <c r="CP179" i="6"/>
  <c r="CP178" i="6"/>
  <c r="CP177" i="6"/>
  <c r="CP172" i="6"/>
  <c r="CP171" i="6"/>
  <c r="CP170" i="6"/>
  <c r="CP169" i="6"/>
  <c r="CP168" i="6"/>
  <c r="CP167" i="6"/>
  <c r="CP166" i="6"/>
  <c r="CP165" i="6"/>
  <c r="CP164" i="6"/>
  <c r="CP163" i="6"/>
  <c r="CP162" i="6"/>
  <c r="CP161" i="6"/>
  <c r="CP160" i="6"/>
  <c r="CP159" i="6"/>
  <c r="CP158" i="6"/>
  <c r="CP157" i="6"/>
  <c r="CP156" i="6"/>
  <c r="CP155" i="6"/>
  <c r="CP154" i="6"/>
  <c r="CP153" i="6"/>
  <c r="CP152" i="6"/>
  <c r="CP151" i="6"/>
  <c r="CP183" i="6"/>
  <c r="CP150" i="6"/>
  <c r="CP149" i="6"/>
  <c r="CP148" i="6"/>
  <c r="CP147" i="6"/>
  <c r="CP146" i="6"/>
  <c r="CP145" i="6"/>
  <c r="CP144" i="6"/>
  <c r="CP143" i="6"/>
  <c r="CP142" i="6"/>
  <c r="CP141" i="6"/>
  <c r="CP140" i="6"/>
  <c r="CP139" i="6"/>
  <c r="CP138" i="6"/>
  <c r="CP137" i="6"/>
  <c r="CP136" i="6"/>
  <c r="CP135" i="6"/>
  <c r="CP134" i="6"/>
  <c r="CP133" i="6"/>
  <c r="CP132" i="6"/>
  <c r="CP131" i="6"/>
  <c r="CP130" i="6"/>
  <c r="CP129" i="6"/>
  <c r="CP128" i="6"/>
  <c r="CP127" i="6"/>
  <c r="CP126" i="6"/>
  <c r="CP125" i="6"/>
  <c r="CP124" i="6"/>
  <c r="CP119" i="6"/>
  <c r="CP118" i="6"/>
  <c r="CP117" i="6"/>
  <c r="CP116" i="6"/>
  <c r="CP115" i="6"/>
  <c r="CP114" i="6"/>
  <c r="CP113" i="6"/>
  <c r="CP112" i="6"/>
  <c r="CP111" i="6"/>
  <c r="CP110" i="6"/>
  <c r="CP109" i="6"/>
  <c r="CP108" i="6"/>
  <c r="CP107" i="6"/>
  <c r="CP106" i="6"/>
  <c r="CP105" i="6"/>
  <c r="CP104" i="6"/>
  <c r="CP103" i="6"/>
  <c r="CP102" i="6"/>
  <c r="CP101" i="6"/>
  <c r="CP100" i="6"/>
  <c r="CP99" i="6"/>
  <c r="CP98" i="6"/>
  <c r="CP97" i="6"/>
  <c r="CP96" i="6"/>
  <c r="CP95" i="6"/>
  <c r="CP94" i="6"/>
  <c r="CP93" i="6"/>
  <c r="CP92" i="6"/>
  <c r="CP91" i="6"/>
  <c r="CP90" i="6"/>
  <c r="CP89" i="6"/>
  <c r="CP88" i="6"/>
  <c r="CP87" i="6"/>
  <c r="CP86" i="6"/>
  <c r="CP85" i="6"/>
  <c r="CP84" i="6"/>
  <c r="CP83" i="6"/>
  <c r="CP82" i="6"/>
  <c r="CP81" i="6"/>
  <c r="CP80" i="6"/>
  <c r="CP79" i="6"/>
  <c r="CP78" i="6"/>
  <c r="CP77" i="6"/>
  <c r="CP76" i="6"/>
  <c r="CP75" i="6"/>
  <c r="CP74" i="6"/>
  <c r="CP73" i="6"/>
  <c r="CP72" i="6"/>
  <c r="CP71" i="6"/>
  <c r="CP66" i="6"/>
  <c r="CP65" i="6"/>
  <c r="CP64" i="6"/>
  <c r="CP63" i="6"/>
  <c r="CP62" i="6"/>
  <c r="CP61" i="6"/>
  <c r="CP59" i="6"/>
  <c r="CP58" i="6"/>
  <c r="CP57" i="6"/>
  <c r="CP56" i="6"/>
  <c r="CP55" i="6"/>
  <c r="CP54" i="6"/>
  <c r="CP53" i="6"/>
  <c r="CP52" i="6"/>
  <c r="CP51" i="6"/>
  <c r="CP50" i="6"/>
  <c r="CP49" i="6"/>
  <c r="CP48" i="6"/>
  <c r="CP47" i="6"/>
  <c r="CP46" i="6"/>
  <c r="CP45" i="6"/>
  <c r="CP44" i="6"/>
  <c r="CP43" i="6"/>
  <c r="CP42" i="6"/>
  <c r="CP41" i="6"/>
  <c r="CP40" i="6"/>
  <c r="CP39" i="6"/>
  <c r="CP38" i="6"/>
  <c r="CP37" i="6"/>
  <c r="CP36" i="6"/>
  <c r="CP35" i="6"/>
  <c r="CP34" i="6"/>
  <c r="CP33" i="6"/>
  <c r="CP60" i="6"/>
  <c r="CP21" i="6"/>
  <c r="CP20" i="6"/>
  <c r="CP30" i="6"/>
  <c r="CP29" i="6"/>
  <c r="CP19" i="6"/>
  <c r="CP24" i="6"/>
  <c r="CP31" i="6"/>
  <c r="CP18" i="6"/>
  <c r="CP17" i="6"/>
  <c r="CP32" i="6"/>
  <c r="CP22" i="6"/>
  <c r="CP23" i="6"/>
  <c r="CH246" i="6"/>
  <c r="CH245" i="6"/>
  <c r="CH244" i="6"/>
  <c r="CH239" i="6"/>
  <c r="CH238" i="6"/>
  <c r="CH233" i="6"/>
  <c r="CH232" i="6"/>
  <c r="CH231" i="6"/>
  <c r="CH230" i="6"/>
  <c r="CH225" i="6"/>
  <c r="CH224" i="6"/>
  <c r="CH223" i="6"/>
  <c r="CH222" i="6"/>
  <c r="CH215" i="6"/>
  <c r="CH214" i="6"/>
  <c r="CH213" i="6"/>
  <c r="CH208" i="6"/>
  <c r="CH207" i="6"/>
  <c r="CH206" i="6"/>
  <c r="CH205" i="6"/>
  <c r="CH204" i="6"/>
  <c r="CH203" i="6"/>
  <c r="CH202" i="6"/>
  <c r="CH201" i="6"/>
  <c r="CH200" i="6"/>
  <c r="CH199" i="6"/>
  <c r="CH198" i="6"/>
  <c r="CH197" i="6"/>
  <c r="CH196" i="6"/>
  <c r="CH195" i="6"/>
  <c r="CH194" i="6"/>
  <c r="CH193" i="6"/>
  <c r="CH192" i="6"/>
  <c r="CH191" i="6"/>
  <c r="CH190" i="6"/>
  <c r="CH185" i="6"/>
  <c r="CH184" i="6"/>
  <c r="CH219" i="6"/>
  <c r="CH218" i="6"/>
  <c r="CH217" i="6"/>
  <c r="CH221" i="6"/>
  <c r="CH216" i="6"/>
  <c r="CH220" i="6"/>
  <c r="CH182" i="6"/>
  <c r="CH181" i="6"/>
  <c r="CH180" i="6"/>
  <c r="CH179" i="6"/>
  <c r="CH178" i="6"/>
  <c r="CH177" i="6"/>
  <c r="CH172" i="6"/>
  <c r="CH171" i="6"/>
  <c r="CH170" i="6"/>
  <c r="CH169" i="6"/>
  <c r="CH168" i="6"/>
  <c r="CH167" i="6"/>
  <c r="CH166" i="6"/>
  <c r="CH165" i="6"/>
  <c r="CH164" i="6"/>
  <c r="CH163" i="6"/>
  <c r="CH162" i="6"/>
  <c r="CH161" i="6"/>
  <c r="CH160" i="6"/>
  <c r="CH159" i="6"/>
  <c r="CH158" i="6"/>
  <c r="CH157" i="6"/>
  <c r="CH156" i="6"/>
  <c r="CH155" i="6"/>
  <c r="CH154" i="6"/>
  <c r="CH153" i="6"/>
  <c r="CH152" i="6"/>
  <c r="CH183" i="6"/>
  <c r="CH150" i="6"/>
  <c r="CH149" i="6"/>
  <c r="CH148" i="6"/>
  <c r="CH147" i="6"/>
  <c r="CH146" i="6"/>
  <c r="CH145" i="6"/>
  <c r="CH144" i="6"/>
  <c r="CH143" i="6"/>
  <c r="CH142" i="6"/>
  <c r="CH141" i="6"/>
  <c r="CH140" i="6"/>
  <c r="CH139" i="6"/>
  <c r="CH138" i="6"/>
  <c r="CH137" i="6"/>
  <c r="CH136" i="6"/>
  <c r="CH135" i="6"/>
  <c r="CH134" i="6"/>
  <c r="CH133" i="6"/>
  <c r="CH132" i="6"/>
  <c r="CH131" i="6"/>
  <c r="CH130" i="6"/>
  <c r="CH129" i="6"/>
  <c r="CH128" i="6"/>
  <c r="CH127" i="6"/>
  <c r="CH126" i="6"/>
  <c r="CH125" i="6"/>
  <c r="CH124" i="6"/>
  <c r="CH151" i="6"/>
  <c r="CH119" i="6"/>
  <c r="CH118" i="6"/>
  <c r="CH117" i="6"/>
  <c r="CH116" i="6"/>
  <c r="CH115" i="6"/>
  <c r="CH114" i="6"/>
  <c r="CH113" i="6"/>
  <c r="CH112" i="6"/>
  <c r="CH111" i="6"/>
  <c r="CH110" i="6"/>
  <c r="CH109" i="6"/>
  <c r="CH108" i="6"/>
  <c r="CH107" i="6"/>
  <c r="CH106" i="6"/>
  <c r="CH105" i="6"/>
  <c r="CH104" i="6"/>
  <c r="CH103" i="6"/>
  <c r="CH102" i="6"/>
  <c r="CH101" i="6"/>
  <c r="CH100" i="6"/>
  <c r="CH99" i="6"/>
  <c r="CH98" i="6"/>
  <c r="CH97" i="6"/>
  <c r="CH96" i="6"/>
  <c r="CH95" i="6"/>
  <c r="CH94" i="6"/>
  <c r="CH93" i="6"/>
  <c r="CH91" i="6"/>
  <c r="CH90" i="6"/>
  <c r="CH89" i="6"/>
  <c r="CH88" i="6"/>
  <c r="CH87" i="6"/>
  <c r="CH86" i="6"/>
  <c r="CH85" i="6"/>
  <c r="CH84" i="6"/>
  <c r="CH83" i="6"/>
  <c r="CH82" i="6"/>
  <c r="CH81" i="6"/>
  <c r="CH80" i="6"/>
  <c r="CH79" i="6"/>
  <c r="CH78" i="6"/>
  <c r="CH77" i="6"/>
  <c r="CH76" i="6"/>
  <c r="CH75" i="6"/>
  <c r="CH74" i="6"/>
  <c r="CH73" i="6"/>
  <c r="CH72" i="6"/>
  <c r="CH71" i="6"/>
  <c r="CH66" i="6"/>
  <c r="CH65" i="6"/>
  <c r="CH64" i="6"/>
  <c r="CH63" i="6"/>
  <c r="CH62" i="6"/>
  <c r="CH61" i="6"/>
  <c r="CH92" i="6"/>
  <c r="CH59" i="6"/>
  <c r="CH58" i="6"/>
  <c r="CH57" i="6"/>
  <c r="CH56" i="6"/>
  <c r="CH55" i="6"/>
  <c r="CH54" i="6"/>
  <c r="CH53" i="6"/>
  <c r="CH52" i="6"/>
  <c r="CH51" i="6"/>
  <c r="CH50" i="6"/>
  <c r="CH49" i="6"/>
  <c r="CH48" i="6"/>
  <c r="CH47" i="6"/>
  <c r="CH46" i="6"/>
  <c r="CH45" i="6"/>
  <c r="CH44" i="6"/>
  <c r="CH43" i="6"/>
  <c r="CH42" i="6"/>
  <c r="CH41" i="6"/>
  <c r="CH40" i="6"/>
  <c r="CH39" i="6"/>
  <c r="CH38" i="6"/>
  <c r="CH37" i="6"/>
  <c r="CH36" i="6"/>
  <c r="CH35" i="6"/>
  <c r="CH34" i="6"/>
  <c r="CH33" i="6"/>
  <c r="CH60" i="6"/>
  <c r="CH21" i="6"/>
  <c r="CH23" i="6"/>
  <c r="CH31" i="6"/>
  <c r="CH30" i="6"/>
  <c r="CH29" i="6"/>
  <c r="CH19" i="6"/>
  <c r="CH18" i="6"/>
  <c r="CH32" i="6"/>
  <c r="CH17" i="6"/>
  <c r="CH22" i="6"/>
  <c r="CH20" i="6"/>
  <c r="CH24" i="6"/>
  <c r="BZ246" i="6"/>
  <c r="BZ245" i="6"/>
  <c r="BZ244" i="6"/>
  <c r="BZ239" i="6"/>
  <c r="BZ238" i="6"/>
  <c r="BZ233" i="6"/>
  <c r="BZ232" i="6"/>
  <c r="BZ231" i="6"/>
  <c r="BZ230" i="6"/>
  <c r="BZ225" i="6"/>
  <c r="BZ224" i="6"/>
  <c r="BZ215" i="6"/>
  <c r="BZ214" i="6"/>
  <c r="BZ213" i="6"/>
  <c r="BZ208" i="6"/>
  <c r="BZ207" i="6"/>
  <c r="BZ206" i="6"/>
  <c r="BZ205" i="6"/>
  <c r="BZ204" i="6"/>
  <c r="BZ203" i="6"/>
  <c r="BZ202" i="6"/>
  <c r="BZ201" i="6"/>
  <c r="BZ200" i="6"/>
  <c r="BZ199" i="6"/>
  <c r="BZ198" i="6"/>
  <c r="BZ197" i="6"/>
  <c r="BZ196" i="6"/>
  <c r="BZ195" i="6"/>
  <c r="BZ194" i="6"/>
  <c r="BZ193" i="6"/>
  <c r="BZ192" i="6"/>
  <c r="BZ191" i="6"/>
  <c r="BZ190" i="6"/>
  <c r="BZ185" i="6"/>
  <c r="BZ184" i="6"/>
  <c r="BZ223" i="6"/>
  <c r="BZ216" i="6"/>
  <c r="BZ222" i="6"/>
  <c r="BZ221" i="6"/>
  <c r="BZ219" i="6"/>
  <c r="BZ218" i="6"/>
  <c r="BZ217" i="6"/>
  <c r="BZ220" i="6"/>
  <c r="BZ182" i="6"/>
  <c r="BZ181" i="6"/>
  <c r="BZ180" i="6"/>
  <c r="BZ179" i="6"/>
  <c r="BZ178" i="6"/>
  <c r="BZ177" i="6"/>
  <c r="BZ172" i="6"/>
  <c r="BZ171" i="6"/>
  <c r="BZ170" i="6"/>
  <c r="BZ169" i="6"/>
  <c r="BZ168" i="6"/>
  <c r="BZ167" i="6"/>
  <c r="BZ166" i="6"/>
  <c r="BZ165" i="6"/>
  <c r="BZ164" i="6"/>
  <c r="BZ163" i="6"/>
  <c r="BZ162" i="6"/>
  <c r="BZ161" i="6"/>
  <c r="BZ160" i="6"/>
  <c r="BZ159" i="6"/>
  <c r="BZ158" i="6"/>
  <c r="BZ157" i="6"/>
  <c r="BZ156" i="6"/>
  <c r="BZ155" i="6"/>
  <c r="BZ154" i="6"/>
  <c r="BZ153" i="6"/>
  <c r="BZ152" i="6"/>
  <c r="BZ183" i="6"/>
  <c r="BZ151" i="6"/>
  <c r="BZ150" i="6"/>
  <c r="BZ149" i="6"/>
  <c r="BZ148" i="6"/>
  <c r="BZ147" i="6"/>
  <c r="BZ146" i="6"/>
  <c r="BZ145" i="6"/>
  <c r="BZ144" i="6"/>
  <c r="BZ143" i="6"/>
  <c r="BZ142" i="6"/>
  <c r="BZ141" i="6"/>
  <c r="BZ140" i="6"/>
  <c r="BZ139" i="6"/>
  <c r="BZ138" i="6"/>
  <c r="BZ137" i="6"/>
  <c r="BZ136" i="6"/>
  <c r="BZ135" i="6"/>
  <c r="BZ134" i="6"/>
  <c r="BZ133" i="6"/>
  <c r="BZ132" i="6"/>
  <c r="BZ131" i="6"/>
  <c r="BZ130" i="6"/>
  <c r="BZ129" i="6"/>
  <c r="BZ128" i="6"/>
  <c r="BZ127" i="6"/>
  <c r="BZ126" i="6"/>
  <c r="BZ125" i="6"/>
  <c r="BZ124" i="6"/>
  <c r="BZ119" i="6"/>
  <c r="BZ118" i="6"/>
  <c r="BZ117" i="6"/>
  <c r="BZ116" i="6"/>
  <c r="BZ115" i="6"/>
  <c r="BZ114" i="6"/>
  <c r="BZ113" i="6"/>
  <c r="BZ112" i="6"/>
  <c r="BZ111" i="6"/>
  <c r="BZ110" i="6"/>
  <c r="BZ109" i="6"/>
  <c r="BZ108" i="6"/>
  <c r="BZ107" i="6"/>
  <c r="BZ106" i="6"/>
  <c r="BZ105" i="6"/>
  <c r="BZ104" i="6"/>
  <c r="BZ103" i="6"/>
  <c r="BZ102" i="6"/>
  <c r="BZ101" i="6"/>
  <c r="BZ100" i="6"/>
  <c r="BZ99" i="6"/>
  <c r="BZ98" i="6"/>
  <c r="BZ97" i="6"/>
  <c r="BZ96" i="6"/>
  <c r="BZ95" i="6"/>
  <c r="BZ94" i="6"/>
  <c r="BZ93" i="6"/>
  <c r="BZ92" i="6"/>
  <c r="BZ91" i="6"/>
  <c r="BZ90" i="6"/>
  <c r="BZ89" i="6"/>
  <c r="BZ88" i="6"/>
  <c r="BZ87" i="6"/>
  <c r="BZ86" i="6"/>
  <c r="BZ85" i="6"/>
  <c r="BZ84" i="6"/>
  <c r="BZ83" i="6"/>
  <c r="BZ82" i="6"/>
  <c r="BZ81" i="6"/>
  <c r="BZ80" i="6"/>
  <c r="BZ79" i="6"/>
  <c r="BZ78" i="6"/>
  <c r="BZ77" i="6"/>
  <c r="BZ76" i="6"/>
  <c r="BZ75" i="6"/>
  <c r="BZ74" i="6"/>
  <c r="BZ73" i="6"/>
  <c r="BZ72" i="6"/>
  <c r="BZ71" i="6"/>
  <c r="BZ66" i="6"/>
  <c r="BZ65" i="6"/>
  <c r="BZ64" i="6"/>
  <c r="BZ63" i="6"/>
  <c r="BZ62" i="6"/>
  <c r="BZ60" i="6"/>
  <c r="BZ59" i="6"/>
  <c r="BZ58" i="6"/>
  <c r="BZ57" i="6"/>
  <c r="BZ56" i="6"/>
  <c r="BZ55" i="6"/>
  <c r="BZ54" i="6"/>
  <c r="BZ53" i="6"/>
  <c r="BZ52" i="6"/>
  <c r="BZ51" i="6"/>
  <c r="BZ50" i="6"/>
  <c r="BZ49" i="6"/>
  <c r="BZ48" i="6"/>
  <c r="BZ47" i="6"/>
  <c r="BZ46" i="6"/>
  <c r="BZ45" i="6"/>
  <c r="BZ44" i="6"/>
  <c r="BZ43" i="6"/>
  <c r="BZ42" i="6"/>
  <c r="BZ41" i="6"/>
  <c r="BZ40" i="6"/>
  <c r="BZ39" i="6"/>
  <c r="BZ38" i="6"/>
  <c r="BZ37" i="6"/>
  <c r="BZ36" i="6"/>
  <c r="BZ35" i="6"/>
  <c r="BZ34" i="6"/>
  <c r="BZ33" i="6"/>
  <c r="BZ61" i="6"/>
  <c r="BZ21" i="6"/>
  <c r="BZ20" i="6"/>
  <c r="BZ24" i="6"/>
  <c r="BZ32" i="6"/>
  <c r="BZ31" i="6"/>
  <c r="BZ30" i="6"/>
  <c r="BZ29" i="6"/>
  <c r="BZ19" i="6"/>
  <c r="BZ18" i="6"/>
  <c r="BZ17" i="6"/>
  <c r="BZ23" i="6"/>
  <c r="BZ22" i="6"/>
  <c r="BR246" i="6"/>
  <c r="BR245" i="6"/>
  <c r="BR244" i="6"/>
  <c r="BR239" i="6"/>
  <c r="BR238" i="6"/>
  <c r="BR233" i="6"/>
  <c r="BR232" i="6"/>
  <c r="BR231" i="6"/>
  <c r="BR230" i="6"/>
  <c r="BR225" i="6"/>
  <c r="BR224" i="6"/>
  <c r="BR221" i="6"/>
  <c r="BR216" i="6"/>
  <c r="BR215" i="6"/>
  <c r="BR214" i="6"/>
  <c r="BR213" i="6"/>
  <c r="BR208" i="6"/>
  <c r="BR207" i="6"/>
  <c r="BR206" i="6"/>
  <c r="BR205" i="6"/>
  <c r="BR204" i="6"/>
  <c r="BR203" i="6"/>
  <c r="BR202" i="6"/>
  <c r="BR201" i="6"/>
  <c r="BR200" i="6"/>
  <c r="BR199" i="6"/>
  <c r="BR198" i="6"/>
  <c r="BR197" i="6"/>
  <c r="BR196" i="6"/>
  <c r="BR195" i="6"/>
  <c r="BR194" i="6"/>
  <c r="BR193" i="6"/>
  <c r="BR192" i="6"/>
  <c r="BR191" i="6"/>
  <c r="BR190" i="6"/>
  <c r="BR185" i="6"/>
  <c r="BR184" i="6"/>
  <c r="BR219" i="6"/>
  <c r="BR218" i="6"/>
  <c r="BR217" i="6"/>
  <c r="BR220" i="6"/>
  <c r="BR223" i="6"/>
  <c r="BR222" i="6"/>
  <c r="BR183" i="6"/>
  <c r="BR182" i="6"/>
  <c r="BR181" i="6"/>
  <c r="BR180" i="6"/>
  <c r="BR179" i="6"/>
  <c r="BR178" i="6"/>
  <c r="BR177" i="6"/>
  <c r="BR172" i="6"/>
  <c r="BR171" i="6"/>
  <c r="BR170" i="6"/>
  <c r="BR169" i="6"/>
  <c r="BR168" i="6"/>
  <c r="BR167" i="6"/>
  <c r="BR166" i="6"/>
  <c r="BR165" i="6"/>
  <c r="BR164" i="6"/>
  <c r="BR163" i="6"/>
  <c r="BR162" i="6"/>
  <c r="BR161" i="6"/>
  <c r="BR160" i="6"/>
  <c r="BR159" i="6"/>
  <c r="BR158" i="6"/>
  <c r="BR157" i="6"/>
  <c r="BR156" i="6"/>
  <c r="BR155" i="6"/>
  <c r="BR154" i="6"/>
  <c r="BR153" i="6"/>
  <c r="BR152" i="6"/>
  <c r="BR151" i="6"/>
  <c r="BR150" i="6"/>
  <c r="BR149" i="6"/>
  <c r="BR148" i="6"/>
  <c r="BR147" i="6"/>
  <c r="BR146" i="6"/>
  <c r="BR145" i="6"/>
  <c r="BR144" i="6"/>
  <c r="BR143" i="6"/>
  <c r="BR142" i="6"/>
  <c r="BR141" i="6"/>
  <c r="BR140" i="6"/>
  <c r="BR139" i="6"/>
  <c r="BR138" i="6"/>
  <c r="BR137" i="6"/>
  <c r="BR136" i="6"/>
  <c r="BR135" i="6"/>
  <c r="BR134" i="6"/>
  <c r="BR133" i="6"/>
  <c r="BR132" i="6"/>
  <c r="BR131" i="6"/>
  <c r="BR130" i="6"/>
  <c r="BR129" i="6"/>
  <c r="BR128" i="6"/>
  <c r="BR127" i="6"/>
  <c r="BR126" i="6"/>
  <c r="BR125" i="6"/>
  <c r="BR124" i="6"/>
  <c r="BR119" i="6"/>
  <c r="BR118" i="6"/>
  <c r="BR117" i="6"/>
  <c r="BR116" i="6"/>
  <c r="BR115" i="6"/>
  <c r="BR114" i="6"/>
  <c r="BR113" i="6"/>
  <c r="BR112" i="6"/>
  <c r="BR111" i="6"/>
  <c r="BR110" i="6"/>
  <c r="BR109" i="6"/>
  <c r="BR108" i="6"/>
  <c r="BR107" i="6"/>
  <c r="BR106" i="6"/>
  <c r="BR105" i="6"/>
  <c r="BR104" i="6"/>
  <c r="BR103" i="6"/>
  <c r="BR102" i="6"/>
  <c r="BR101" i="6"/>
  <c r="BR100" i="6"/>
  <c r="BR99" i="6"/>
  <c r="BR98" i="6"/>
  <c r="BR97" i="6"/>
  <c r="BR96" i="6"/>
  <c r="BR95" i="6"/>
  <c r="BR94" i="6"/>
  <c r="BR93" i="6"/>
  <c r="BR92" i="6"/>
  <c r="BR91" i="6"/>
  <c r="BR90" i="6"/>
  <c r="BR89" i="6"/>
  <c r="BR88" i="6"/>
  <c r="BR87" i="6"/>
  <c r="BR86" i="6"/>
  <c r="BR85" i="6"/>
  <c r="BR84" i="6"/>
  <c r="BR83" i="6"/>
  <c r="BR82" i="6"/>
  <c r="BR81" i="6"/>
  <c r="BR80" i="6"/>
  <c r="BR79" i="6"/>
  <c r="BR78" i="6"/>
  <c r="BR77" i="6"/>
  <c r="BR76" i="6"/>
  <c r="BR75" i="6"/>
  <c r="BR74" i="6"/>
  <c r="BR73" i="6"/>
  <c r="BR72" i="6"/>
  <c r="BR71" i="6"/>
  <c r="BR66" i="6"/>
  <c r="BR65" i="6"/>
  <c r="BR64" i="6"/>
  <c r="BR63" i="6"/>
  <c r="BR62" i="6"/>
  <c r="BR61" i="6"/>
  <c r="BR60" i="6"/>
  <c r="BR59" i="6"/>
  <c r="BR58" i="6"/>
  <c r="BR57" i="6"/>
  <c r="BR56" i="6"/>
  <c r="BR55" i="6"/>
  <c r="BR54" i="6"/>
  <c r="BR53" i="6"/>
  <c r="BR52" i="6"/>
  <c r="BR51" i="6"/>
  <c r="BR50" i="6"/>
  <c r="BR49" i="6"/>
  <c r="BR48" i="6"/>
  <c r="BR47" i="6"/>
  <c r="BR46" i="6"/>
  <c r="BR45" i="6"/>
  <c r="BR44" i="6"/>
  <c r="BR43" i="6"/>
  <c r="BR42" i="6"/>
  <c r="BR41" i="6"/>
  <c r="BR40" i="6"/>
  <c r="BR39" i="6"/>
  <c r="BR38" i="6"/>
  <c r="BR37" i="6"/>
  <c r="BR36" i="6"/>
  <c r="BR35" i="6"/>
  <c r="BR34" i="6"/>
  <c r="BR33" i="6"/>
  <c r="BR32" i="6"/>
  <c r="BR21" i="6"/>
  <c r="BR31" i="6"/>
  <c r="BR30" i="6"/>
  <c r="BR29" i="6"/>
  <c r="BR19" i="6"/>
  <c r="BR23" i="6"/>
  <c r="BR18" i="6"/>
  <c r="BR17" i="6"/>
  <c r="BR24" i="6"/>
  <c r="BR22" i="6"/>
  <c r="BR20" i="6"/>
  <c r="CZ246" i="6"/>
  <c r="CZ245" i="6"/>
  <c r="CZ244" i="6"/>
  <c r="CZ239" i="6"/>
  <c r="CZ238" i="6"/>
  <c r="CZ233" i="6"/>
  <c r="CZ232" i="6"/>
  <c r="CZ231" i="6"/>
  <c r="CZ230" i="6"/>
  <c r="CZ225" i="6"/>
  <c r="CZ224" i="6"/>
  <c r="CZ223" i="6"/>
  <c r="CZ222" i="6"/>
  <c r="CZ221" i="6"/>
  <c r="CZ220" i="6"/>
  <c r="CZ219" i="6"/>
  <c r="CZ218" i="6"/>
  <c r="CZ217" i="6"/>
  <c r="CZ216" i="6"/>
  <c r="CZ215" i="6"/>
  <c r="CZ214" i="6"/>
  <c r="CZ213" i="6"/>
  <c r="CZ208" i="6"/>
  <c r="CZ207" i="6"/>
  <c r="CZ206" i="6"/>
  <c r="CZ205" i="6"/>
  <c r="CZ204" i="6"/>
  <c r="CZ203" i="6"/>
  <c r="CZ202" i="6"/>
  <c r="CZ201" i="6"/>
  <c r="CZ200" i="6"/>
  <c r="CZ199" i="6"/>
  <c r="CZ198" i="6"/>
  <c r="CZ197" i="6"/>
  <c r="CZ196" i="6"/>
  <c r="CZ195" i="6"/>
  <c r="CZ194" i="6"/>
  <c r="CZ193" i="6"/>
  <c r="CZ192" i="6"/>
  <c r="CZ191" i="6"/>
  <c r="CZ190" i="6"/>
  <c r="CZ185" i="6"/>
  <c r="CZ184" i="6"/>
  <c r="CZ183" i="6"/>
  <c r="CZ182" i="6"/>
  <c r="CZ181" i="6"/>
  <c r="CZ180" i="6"/>
  <c r="CZ179" i="6"/>
  <c r="CZ178" i="6"/>
  <c r="CZ177" i="6"/>
  <c r="CZ172" i="6"/>
  <c r="CZ171" i="6"/>
  <c r="CZ170" i="6"/>
  <c r="CZ169" i="6"/>
  <c r="CZ168" i="6"/>
  <c r="CZ167" i="6"/>
  <c r="CZ166" i="6"/>
  <c r="CZ165" i="6"/>
  <c r="CZ164" i="6"/>
  <c r="CZ163" i="6"/>
  <c r="CZ162" i="6"/>
  <c r="CZ161" i="6"/>
  <c r="CZ160" i="6"/>
  <c r="CZ159" i="6"/>
  <c r="CZ158" i="6"/>
  <c r="CZ157" i="6"/>
  <c r="CZ156" i="6"/>
  <c r="CZ155" i="6"/>
  <c r="CZ154" i="6"/>
  <c r="CZ153" i="6"/>
  <c r="CZ152" i="6"/>
  <c r="CZ151" i="6"/>
  <c r="CZ150" i="6"/>
  <c r="CZ149" i="6"/>
  <c r="CZ148" i="6"/>
  <c r="CZ147" i="6"/>
  <c r="CZ146" i="6"/>
  <c r="CZ145" i="6"/>
  <c r="CZ144" i="6"/>
  <c r="CZ143" i="6"/>
  <c r="CZ142" i="6"/>
  <c r="CZ141" i="6"/>
  <c r="CZ140" i="6"/>
  <c r="CZ139" i="6"/>
  <c r="CZ138" i="6"/>
  <c r="CZ137" i="6"/>
  <c r="CZ136" i="6"/>
  <c r="CZ135" i="6"/>
  <c r="CZ134" i="6"/>
  <c r="CZ133" i="6"/>
  <c r="CZ132" i="6"/>
  <c r="CZ131" i="6"/>
  <c r="CZ130" i="6"/>
  <c r="CZ129" i="6"/>
  <c r="CZ128" i="6"/>
  <c r="CZ127" i="6"/>
  <c r="CZ126" i="6"/>
  <c r="CZ125" i="6"/>
  <c r="CZ124" i="6"/>
  <c r="CZ119" i="6"/>
  <c r="CZ118" i="6"/>
  <c r="CZ117" i="6"/>
  <c r="CZ116" i="6"/>
  <c r="CZ115" i="6"/>
  <c r="CZ114" i="6"/>
  <c r="CZ113" i="6"/>
  <c r="CZ112" i="6"/>
  <c r="CZ111" i="6"/>
  <c r="CZ110" i="6"/>
  <c r="CZ109" i="6"/>
  <c r="CZ108" i="6"/>
  <c r="CZ107" i="6"/>
  <c r="CZ106" i="6"/>
  <c r="CZ105" i="6"/>
  <c r="CZ104" i="6"/>
  <c r="CZ103" i="6"/>
  <c r="CZ102" i="6"/>
  <c r="CZ101" i="6"/>
  <c r="CZ100" i="6"/>
  <c r="CZ99" i="6"/>
  <c r="CZ98" i="6"/>
  <c r="CZ97" i="6"/>
  <c r="CZ96" i="6"/>
  <c r="CZ95" i="6"/>
  <c r="CZ94" i="6"/>
  <c r="CZ93" i="6"/>
  <c r="CZ91" i="6"/>
  <c r="CZ90" i="6"/>
  <c r="CZ89" i="6"/>
  <c r="CZ88" i="6"/>
  <c r="CZ87" i="6"/>
  <c r="CZ86" i="6"/>
  <c r="CZ85" i="6"/>
  <c r="CZ84" i="6"/>
  <c r="CZ83" i="6"/>
  <c r="CZ82" i="6"/>
  <c r="CZ81" i="6"/>
  <c r="CZ80" i="6"/>
  <c r="CZ79" i="6"/>
  <c r="CZ78" i="6"/>
  <c r="CZ77" i="6"/>
  <c r="CZ76" i="6"/>
  <c r="CZ75" i="6"/>
  <c r="CZ74" i="6"/>
  <c r="CZ73" i="6"/>
  <c r="CZ72" i="6"/>
  <c r="CZ71" i="6"/>
  <c r="CZ66" i="6"/>
  <c r="CZ65" i="6"/>
  <c r="CZ64" i="6"/>
  <c r="CZ63" i="6"/>
  <c r="CZ62" i="6"/>
  <c r="CZ61" i="6"/>
  <c r="CZ92" i="6"/>
  <c r="CZ59" i="6"/>
  <c r="CZ58" i="6"/>
  <c r="CZ57" i="6"/>
  <c r="CZ56" i="6"/>
  <c r="CZ55" i="6"/>
  <c r="CZ54" i="6"/>
  <c r="CZ53" i="6"/>
  <c r="CZ52" i="6"/>
  <c r="CZ51" i="6"/>
  <c r="CZ50" i="6"/>
  <c r="CZ49" i="6"/>
  <c r="CZ48" i="6"/>
  <c r="CZ47" i="6"/>
  <c r="CZ46" i="6"/>
  <c r="CZ45" i="6"/>
  <c r="CZ44" i="6"/>
  <c r="CZ43" i="6"/>
  <c r="CZ42" i="6"/>
  <c r="CZ41" i="6"/>
  <c r="CZ40" i="6"/>
  <c r="CZ39" i="6"/>
  <c r="CZ38" i="6"/>
  <c r="CZ37" i="6"/>
  <c r="CZ36" i="6"/>
  <c r="CZ35" i="6"/>
  <c r="CZ34" i="6"/>
  <c r="CZ33" i="6"/>
  <c r="CZ32" i="6"/>
  <c r="CZ60" i="6"/>
  <c r="CZ30" i="6"/>
  <c r="CZ29" i="6"/>
  <c r="CZ23" i="6"/>
  <c r="CZ31" i="6"/>
  <c r="CZ21" i="6"/>
  <c r="CZ20" i="6"/>
  <c r="CZ19" i="6"/>
  <c r="CZ18" i="6"/>
  <c r="CZ17" i="6"/>
  <c r="CZ24" i="6"/>
  <c r="CZ22" i="6"/>
  <c r="CR246" i="6"/>
  <c r="CR245" i="6"/>
  <c r="CR244" i="6"/>
  <c r="CR239" i="6"/>
  <c r="CR238" i="6"/>
  <c r="CR233" i="6"/>
  <c r="CR232" i="6"/>
  <c r="CR231" i="6"/>
  <c r="CR230" i="6"/>
  <c r="CR225" i="6"/>
  <c r="CR224" i="6"/>
  <c r="CR223" i="6"/>
  <c r="CR222" i="6"/>
  <c r="CR221" i="6"/>
  <c r="CR220" i="6"/>
  <c r="CR219" i="6"/>
  <c r="CR218" i="6"/>
  <c r="CR217" i="6"/>
  <c r="CR216" i="6"/>
  <c r="CR215" i="6"/>
  <c r="CR214" i="6"/>
  <c r="CR213" i="6"/>
  <c r="CR208" i="6"/>
  <c r="CR207" i="6"/>
  <c r="CR206" i="6"/>
  <c r="CR205" i="6"/>
  <c r="CR204" i="6"/>
  <c r="CR203" i="6"/>
  <c r="CR202" i="6"/>
  <c r="CR201" i="6"/>
  <c r="CR200" i="6"/>
  <c r="CR199" i="6"/>
  <c r="CR198" i="6"/>
  <c r="CR197" i="6"/>
  <c r="CR196" i="6"/>
  <c r="CR195" i="6"/>
  <c r="CR194" i="6"/>
  <c r="CR193" i="6"/>
  <c r="CR192" i="6"/>
  <c r="CR191" i="6"/>
  <c r="CR190" i="6"/>
  <c r="CR185" i="6"/>
  <c r="CR184" i="6"/>
  <c r="CR183" i="6"/>
  <c r="CR182" i="6"/>
  <c r="CR181" i="6"/>
  <c r="CR180" i="6"/>
  <c r="CR179" i="6"/>
  <c r="CR178" i="6"/>
  <c r="CR177" i="6"/>
  <c r="CR172" i="6"/>
  <c r="CR171" i="6"/>
  <c r="CR170" i="6"/>
  <c r="CR169" i="6"/>
  <c r="CR168" i="6"/>
  <c r="CR167" i="6"/>
  <c r="CR166" i="6"/>
  <c r="CR165" i="6"/>
  <c r="CR164" i="6"/>
  <c r="CR163" i="6"/>
  <c r="CR162" i="6"/>
  <c r="CR161" i="6"/>
  <c r="CR160" i="6"/>
  <c r="CR159" i="6"/>
  <c r="CR158" i="6"/>
  <c r="CR157" i="6"/>
  <c r="CR156" i="6"/>
  <c r="CR155" i="6"/>
  <c r="CR154" i="6"/>
  <c r="CR153" i="6"/>
  <c r="CR152" i="6"/>
  <c r="CR151" i="6"/>
  <c r="CR150" i="6"/>
  <c r="CR149" i="6"/>
  <c r="CR148" i="6"/>
  <c r="CR147" i="6"/>
  <c r="CR146" i="6"/>
  <c r="CR145" i="6"/>
  <c r="CR144" i="6"/>
  <c r="CR143" i="6"/>
  <c r="CR142" i="6"/>
  <c r="CR141" i="6"/>
  <c r="CR140" i="6"/>
  <c r="CR139" i="6"/>
  <c r="CR138" i="6"/>
  <c r="CR137" i="6"/>
  <c r="CR136" i="6"/>
  <c r="CR135" i="6"/>
  <c r="CR134" i="6"/>
  <c r="CR133" i="6"/>
  <c r="CR132" i="6"/>
  <c r="CR131" i="6"/>
  <c r="CR130" i="6"/>
  <c r="CR129" i="6"/>
  <c r="CR128" i="6"/>
  <c r="CR127" i="6"/>
  <c r="CR126" i="6"/>
  <c r="CR125" i="6"/>
  <c r="CR124" i="6"/>
  <c r="CR118" i="6"/>
  <c r="CR117" i="6"/>
  <c r="CR116" i="6"/>
  <c r="CR115" i="6"/>
  <c r="CR114" i="6"/>
  <c r="CR113" i="6"/>
  <c r="CR112" i="6"/>
  <c r="CR111" i="6"/>
  <c r="CR110" i="6"/>
  <c r="CR109" i="6"/>
  <c r="CR108" i="6"/>
  <c r="CR107" i="6"/>
  <c r="CR106" i="6"/>
  <c r="CR105" i="6"/>
  <c r="CR104" i="6"/>
  <c r="CR103" i="6"/>
  <c r="CR102" i="6"/>
  <c r="CR101" i="6"/>
  <c r="CR100" i="6"/>
  <c r="CR99" i="6"/>
  <c r="CR98" i="6"/>
  <c r="CR97" i="6"/>
  <c r="CR96" i="6"/>
  <c r="CR95" i="6"/>
  <c r="CR94" i="6"/>
  <c r="CR93" i="6"/>
  <c r="CR119" i="6"/>
  <c r="CR91" i="6"/>
  <c r="CR90" i="6"/>
  <c r="CR89" i="6"/>
  <c r="CR88" i="6"/>
  <c r="CR87" i="6"/>
  <c r="CR86" i="6"/>
  <c r="CR85" i="6"/>
  <c r="CR84" i="6"/>
  <c r="CR83" i="6"/>
  <c r="CR82" i="6"/>
  <c r="CR81" i="6"/>
  <c r="CR80" i="6"/>
  <c r="CR79" i="6"/>
  <c r="CR78" i="6"/>
  <c r="CR77" i="6"/>
  <c r="CR76" i="6"/>
  <c r="CR75" i="6"/>
  <c r="CR74" i="6"/>
  <c r="CR73" i="6"/>
  <c r="CR72" i="6"/>
  <c r="CR71" i="6"/>
  <c r="CR66" i="6"/>
  <c r="CR65" i="6"/>
  <c r="CR64" i="6"/>
  <c r="CR63" i="6"/>
  <c r="CR62" i="6"/>
  <c r="CR61" i="6"/>
  <c r="CR92" i="6"/>
  <c r="CR59" i="6"/>
  <c r="CR58" i="6"/>
  <c r="CR57" i="6"/>
  <c r="CR56" i="6"/>
  <c r="CR55" i="6"/>
  <c r="CR54" i="6"/>
  <c r="CR53" i="6"/>
  <c r="CR52" i="6"/>
  <c r="CR51" i="6"/>
  <c r="CR50" i="6"/>
  <c r="CR49" i="6"/>
  <c r="CR48" i="6"/>
  <c r="CR47" i="6"/>
  <c r="CR46" i="6"/>
  <c r="CR45" i="6"/>
  <c r="CR44" i="6"/>
  <c r="CR43" i="6"/>
  <c r="CR42" i="6"/>
  <c r="CR41" i="6"/>
  <c r="CR40" i="6"/>
  <c r="CR39" i="6"/>
  <c r="CR38" i="6"/>
  <c r="CR37" i="6"/>
  <c r="CR36" i="6"/>
  <c r="CR35" i="6"/>
  <c r="CR34" i="6"/>
  <c r="CR33" i="6"/>
  <c r="CR32" i="6"/>
  <c r="CR60" i="6"/>
  <c r="CR30" i="6"/>
  <c r="CR29" i="6"/>
  <c r="CR23" i="6"/>
  <c r="CR22" i="6"/>
  <c r="CR31" i="6"/>
  <c r="CR21" i="6"/>
  <c r="CR20" i="6"/>
  <c r="CR19" i="6"/>
  <c r="CR18" i="6"/>
  <c r="CR17" i="6"/>
  <c r="CR24" i="6"/>
  <c r="CJ246" i="6"/>
  <c r="CJ245" i="6"/>
  <c r="CJ244" i="6"/>
  <c r="CJ239" i="6"/>
  <c r="CJ238" i="6"/>
  <c r="CJ233" i="6"/>
  <c r="CJ232" i="6"/>
  <c r="CJ231" i="6"/>
  <c r="CJ230" i="6"/>
  <c r="CJ225" i="6"/>
  <c r="CJ224" i="6"/>
  <c r="CJ223" i="6"/>
  <c r="CJ222" i="6"/>
  <c r="CJ221" i="6"/>
  <c r="CJ220" i="6"/>
  <c r="CJ219" i="6"/>
  <c r="CJ218" i="6"/>
  <c r="CJ217" i="6"/>
  <c r="CJ216" i="6"/>
  <c r="CJ215" i="6"/>
  <c r="CJ214" i="6"/>
  <c r="CJ213" i="6"/>
  <c r="CJ208" i="6"/>
  <c r="CJ207" i="6"/>
  <c r="CJ206" i="6"/>
  <c r="CJ205" i="6"/>
  <c r="CJ204" i="6"/>
  <c r="CJ203" i="6"/>
  <c r="CJ202" i="6"/>
  <c r="CJ201" i="6"/>
  <c r="CJ200" i="6"/>
  <c r="CJ199" i="6"/>
  <c r="CJ198" i="6"/>
  <c r="CJ197" i="6"/>
  <c r="CJ196" i="6"/>
  <c r="CJ195" i="6"/>
  <c r="CJ194" i="6"/>
  <c r="CJ193" i="6"/>
  <c r="CJ192" i="6"/>
  <c r="CJ191" i="6"/>
  <c r="CJ190" i="6"/>
  <c r="CJ185" i="6"/>
  <c r="CJ184" i="6"/>
  <c r="CJ183" i="6"/>
  <c r="CJ182" i="6"/>
  <c r="CJ181" i="6"/>
  <c r="CJ180" i="6"/>
  <c r="CJ179" i="6"/>
  <c r="CJ178" i="6"/>
  <c r="CJ177" i="6"/>
  <c r="CJ172" i="6"/>
  <c r="CJ171" i="6"/>
  <c r="CJ170" i="6"/>
  <c r="CJ169" i="6"/>
  <c r="CJ168" i="6"/>
  <c r="CJ167" i="6"/>
  <c r="CJ166" i="6"/>
  <c r="CJ165" i="6"/>
  <c r="CJ164" i="6"/>
  <c r="CJ163" i="6"/>
  <c r="CJ162" i="6"/>
  <c r="CJ161" i="6"/>
  <c r="CJ160" i="6"/>
  <c r="CJ159" i="6"/>
  <c r="CJ158" i="6"/>
  <c r="CJ157" i="6"/>
  <c r="CJ156" i="6"/>
  <c r="CJ155" i="6"/>
  <c r="CJ154" i="6"/>
  <c r="CJ153" i="6"/>
  <c r="CJ152" i="6"/>
  <c r="CJ150" i="6"/>
  <c r="CJ149" i="6"/>
  <c r="CJ148" i="6"/>
  <c r="CJ147" i="6"/>
  <c r="CJ146" i="6"/>
  <c r="CJ145" i="6"/>
  <c r="CJ144" i="6"/>
  <c r="CJ143" i="6"/>
  <c r="CJ142" i="6"/>
  <c r="CJ141" i="6"/>
  <c r="CJ140" i="6"/>
  <c r="CJ139" i="6"/>
  <c r="CJ138" i="6"/>
  <c r="CJ137" i="6"/>
  <c r="CJ136" i="6"/>
  <c r="CJ135" i="6"/>
  <c r="CJ134" i="6"/>
  <c r="CJ133" i="6"/>
  <c r="CJ132" i="6"/>
  <c r="CJ131" i="6"/>
  <c r="CJ130" i="6"/>
  <c r="CJ129" i="6"/>
  <c r="CJ128" i="6"/>
  <c r="CJ127" i="6"/>
  <c r="CJ126" i="6"/>
  <c r="CJ125" i="6"/>
  <c r="CJ124" i="6"/>
  <c r="CJ151" i="6"/>
  <c r="CJ119" i="6"/>
  <c r="CJ118" i="6"/>
  <c r="CJ117" i="6"/>
  <c r="CJ116" i="6"/>
  <c r="CJ115" i="6"/>
  <c r="CJ114" i="6"/>
  <c r="CJ113" i="6"/>
  <c r="CJ112" i="6"/>
  <c r="CJ111" i="6"/>
  <c r="CJ110" i="6"/>
  <c r="CJ109" i="6"/>
  <c r="CJ108" i="6"/>
  <c r="CJ107" i="6"/>
  <c r="CJ106" i="6"/>
  <c r="CJ105" i="6"/>
  <c r="CJ104" i="6"/>
  <c r="CJ103" i="6"/>
  <c r="CJ102" i="6"/>
  <c r="CJ101" i="6"/>
  <c r="CJ100" i="6"/>
  <c r="CJ99" i="6"/>
  <c r="CJ98" i="6"/>
  <c r="CJ97" i="6"/>
  <c r="CJ96" i="6"/>
  <c r="CJ95" i="6"/>
  <c r="CJ94" i="6"/>
  <c r="CJ93" i="6"/>
  <c r="CJ91" i="6"/>
  <c r="CJ90" i="6"/>
  <c r="CJ89" i="6"/>
  <c r="CJ88" i="6"/>
  <c r="CJ87" i="6"/>
  <c r="CJ86" i="6"/>
  <c r="CJ85" i="6"/>
  <c r="CJ84" i="6"/>
  <c r="CJ83" i="6"/>
  <c r="CJ82" i="6"/>
  <c r="CJ81" i="6"/>
  <c r="CJ80" i="6"/>
  <c r="CJ79" i="6"/>
  <c r="CJ78" i="6"/>
  <c r="CJ77" i="6"/>
  <c r="CJ76" i="6"/>
  <c r="CJ75" i="6"/>
  <c r="CJ74" i="6"/>
  <c r="CJ73" i="6"/>
  <c r="CJ72" i="6"/>
  <c r="CJ71" i="6"/>
  <c r="CJ66" i="6"/>
  <c r="CJ65" i="6"/>
  <c r="CJ64" i="6"/>
  <c r="CJ63" i="6"/>
  <c r="CJ62" i="6"/>
  <c r="CJ61" i="6"/>
  <c r="CJ92" i="6"/>
  <c r="CJ59" i="6"/>
  <c r="CJ58" i="6"/>
  <c r="CJ57" i="6"/>
  <c r="CJ56" i="6"/>
  <c r="CJ55" i="6"/>
  <c r="CJ54" i="6"/>
  <c r="CJ53" i="6"/>
  <c r="CJ52" i="6"/>
  <c r="CJ51" i="6"/>
  <c r="CJ50" i="6"/>
  <c r="CJ49" i="6"/>
  <c r="CJ48" i="6"/>
  <c r="CJ47" i="6"/>
  <c r="CJ46" i="6"/>
  <c r="CJ45" i="6"/>
  <c r="CJ44" i="6"/>
  <c r="CJ43" i="6"/>
  <c r="CJ42" i="6"/>
  <c r="CJ41" i="6"/>
  <c r="CJ40" i="6"/>
  <c r="CJ39" i="6"/>
  <c r="CJ38" i="6"/>
  <c r="CJ37" i="6"/>
  <c r="CJ36" i="6"/>
  <c r="CJ35" i="6"/>
  <c r="CJ34" i="6"/>
  <c r="CJ33" i="6"/>
  <c r="CJ60" i="6"/>
  <c r="CJ31" i="6"/>
  <c r="CJ30" i="6"/>
  <c r="CJ29" i="6"/>
  <c r="CJ23" i="6"/>
  <c r="CJ32" i="6"/>
  <c r="CJ21" i="6"/>
  <c r="CJ20" i="6"/>
  <c r="CJ19" i="6"/>
  <c r="CJ18" i="6"/>
  <c r="CJ17" i="6"/>
  <c r="CJ24" i="6"/>
  <c r="CJ22" i="6"/>
  <c r="CB246" i="6"/>
  <c r="CB245" i="6"/>
  <c r="CB244" i="6"/>
  <c r="CB239" i="6"/>
  <c r="CB238" i="6"/>
  <c r="CB233" i="6"/>
  <c r="CB232" i="6"/>
  <c r="CB231" i="6"/>
  <c r="CB230" i="6"/>
  <c r="CB225" i="6"/>
  <c r="CB224" i="6"/>
  <c r="CB223" i="6"/>
  <c r="CB222" i="6"/>
  <c r="CB221" i="6"/>
  <c r="CB220" i="6"/>
  <c r="CB219" i="6"/>
  <c r="CB218" i="6"/>
  <c r="CB217" i="6"/>
  <c r="CB216" i="6"/>
  <c r="CB215" i="6"/>
  <c r="CB214" i="6"/>
  <c r="CB213" i="6"/>
  <c r="CB208" i="6"/>
  <c r="CB207" i="6"/>
  <c r="CB206" i="6"/>
  <c r="CB205" i="6"/>
  <c r="CB204" i="6"/>
  <c r="CB203" i="6"/>
  <c r="CB202" i="6"/>
  <c r="CB201" i="6"/>
  <c r="CB200" i="6"/>
  <c r="CB199" i="6"/>
  <c r="CB198" i="6"/>
  <c r="CB197" i="6"/>
  <c r="CB196" i="6"/>
  <c r="CB195" i="6"/>
  <c r="CB194" i="6"/>
  <c r="CB193" i="6"/>
  <c r="CB192" i="6"/>
  <c r="CB191" i="6"/>
  <c r="CB190" i="6"/>
  <c r="CB185" i="6"/>
  <c r="CB184" i="6"/>
  <c r="CB182" i="6"/>
  <c r="CB181" i="6"/>
  <c r="CB180" i="6"/>
  <c r="CB179" i="6"/>
  <c r="CB178" i="6"/>
  <c r="CB177" i="6"/>
  <c r="CB172" i="6"/>
  <c r="CB171" i="6"/>
  <c r="CB170" i="6"/>
  <c r="CB169" i="6"/>
  <c r="CB168" i="6"/>
  <c r="CB167" i="6"/>
  <c r="CB166" i="6"/>
  <c r="CB165" i="6"/>
  <c r="CB164" i="6"/>
  <c r="CB163" i="6"/>
  <c r="CB162" i="6"/>
  <c r="CB161" i="6"/>
  <c r="CB160" i="6"/>
  <c r="CB159" i="6"/>
  <c r="CB158" i="6"/>
  <c r="CB157" i="6"/>
  <c r="CB156" i="6"/>
  <c r="CB155" i="6"/>
  <c r="CB154" i="6"/>
  <c r="CB153" i="6"/>
  <c r="CB183" i="6"/>
  <c r="CB152" i="6"/>
  <c r="CB151" i="6"/>
  <c r="CB150" i="6"/>
  <c r="CB149" i="6"/>
  <c r="CB148" i="6"/>
  <c r="CB147" i="6"/>
  <c r="CB146" i="6"/>
  <c r="CB145" i="6"/>
  <c r="CB144" i="6"/>
  <c r="CB143" i="6"/>
  <c r="CB142" i="6"/>
  <c r="CB141" i="6"/>
  <c r="CB140" i="6"/>
  <c r="CB139" i="6"/>
  <c r="CB138" i="6"/>
  <c r="CB137" i="6"/>
  <c r="CB136" i="6"/>
  <c r="CB135" i="6"/>
  <c r="CB134" i="6"/>
  <c r="CB133" i="6"/>
  <c r="CB132" i="6"/>
  <c r="CB131" i="6"/>
  <c r="CB130" i="6"/>
  <c r="CB129" i="6"/>
  <c r="CB128" i="6"/>
  <c r="CB127" i="6"/>
  <c r="CB126" i="6"/>
  <c r="CB125" i="6"/>
  <c r="CB124" i="6"/>
  <c r="CB119" i="6"/>
  <c r="CB118" i="6"/>
  <c r="CB117" i="6"/>
  <c r="CB116" i="6"/>
  <c r="CB115" i="6"/>
  <c r="CB114" i="6"/>
  <c r="CB113" i="6"/>
  <c r="CB112" i="6"/>
  <c r="CB111" i="6"/>
  <c r="CB110" i="6"/>
  <c r="CB109" i="6"/>
  <c r="CB108" i="6"/>
  <c r="CB107" i="6"/>
  <c r="CB106" i="6"/>
  <c r="CB105" i="6"/>
  <c r="CB104" i="6"/>
  <c r="CB103" i="6"/>
  <c r="CB102" i="6"/>
  <c r="CB101" i="6"/>
  <c r="CB100" i="6"/>
  <c r="CB99" i="6"/>
  <c r="CB98" i="6"/>
  <c r="CB97" i="6"/>
  <c r="CB96" i="6"/>
  <c r="CB95" i="6"/>
  <c r="CB94" i="6"/>
  <c r="CB93" i="6"/>
  <c r="CB92" i="6"/>
  <c r="CB91" i="6"/>
  <c r="CB90" i="6"/>
  <c r="CB89" i="6"/>
  <c r="CB88" i="6"/>
  <c r="CB87" i="6"/>
  <c r="CB86" i="6"/>
  <c r="CB85" i="6"/>
  <c r="CB84" i="6"/>
  <c r="CB83" i="6"/>
  <c r="CB82" i="6"/>
  <c r="CB81" i="6"/>
  <c r="CB80" i="6"/>
  <c r="CB79" i="6"/>
  <c r="CB78" i="6"/>
  <c r="CB77" i="6"/>
  <c r="CB76" i="6"/>
  <c r="CB75" i="6"/>
  <c r="CB74" i="6"/>
  <c r="CB73" i="6"/>
  <c r="CB72" i="6"/>
  <c r="CB71" i="6"/>
  <c r="CB66" i="6"/>
  <c r="CB65" i="6"/>
  <c r="CB64" i="6"/>
  <c r="CB63" i="6"/>
  <c r="CB62" i="6"/>
  <c r="CB60" i="6"/>
  <c r="CB59" i="6"/>
  <c r="CB58" i="6"/>
  <c r="CB57" i="6"/>
  <c r="CB56" i="6"/>
  <c r="CB55" i="6"/>
  <c r="CB54" i="6"/>
  <c r="CB53" i="6"/>
  <c r="CB52" i="6"/>
  <c r="CB51" i="6"/>
  <c r="CB50" i="6"/>
  <c r="CB49" i="6"/>
  <c r="CB48" i="6"/>
  <c r="CB47" i="6"/>
  <c r="CB46" i="6"/>
  <c r="CB45" i="6"/>
  <c r="CB44" i="6"/>
  <c r="CB43" i="6"/>
  <c r="CB42" i="6"/>
  <c r="CB41" i="6"/>
  <c r="CB40" i="6"/>
  <c r="CB39" i="6"/>
  <c r="CB38" i="6"/>
  <c r="CB37" i="6"/>
  <c r="CB36" i="6"/>
  <c r="CB35" i="6"/>
  <c r="CB34" i="6"/>
  <c r="CB33" i="6"/>
  <c r="CB61" i="6"/>
  <c r="CB32" i="6"/>
  <c r="CB31" i="6"/>
  <c r="CB30" i="6"/>
  <c r="CB29" i="6"/>
  <c r="CB23" i="6"/>
  <c r="CB22" i="6"/>
  <c r="CB21" i="6"/>
  <c r="CB20" i="6"/>
  <c r="CB19" i="6"/>
  <c r="CB18" i="6"/>
  <c r="CB17" i="6"/>
  <c r="CB24" i="6"/>
  <c r="BT246" i="6"/>
  <c r="BT245" i="6"/>
  <c r="BT244" i="6"/>
  <c r="BT239" i="6"/>
  <c r="BT238" i="6"/>
  <c r="BT233" i="6"/>
  <c r="BT232" i="6"/>
  <c r="BT231" i="6"/>
  <c r="BT230" i="6"/>
  <c r="BT225" i="6"/>
  <c r="BT224" i="6"/>
  <c r="BT223" i="6"/>
  <c r="BT222" i="6"/>
  <c r="BT221" i="6"/>
  <c r="BT220" i="6"/>
  <c r="BT219" i="6"/>
  <c r="BT218" i="6"/>
  <c r="BT217" i="6"/>
  <c r="BT216" i="6"/>
  <c r="BT215" i="6"/>
  <c r="BT214" i="6"/>
  <c r="BT213" i="6"/>
  <c r="BT208" i="6"/>
  <c r="BT207" i="6"/>
  <c r="BT206" i="6"/>
  <c r="BT205" i="6"/>
  <c r="BT204" i="6"/>
  <c r="BT203" i="6"/>
  <c r="BT202" i="6"/>
  <c r="BT201" i="6"/>
  <c r="BT200" i="6"/>
  <c r="BT199" i="6"/>
  <c r="BT198" i="6"/>
  <c r="BT197" i="6"/>
  <c r="BT196" i="6"/>
  <c r="BT195" i="6"/>
  <c r="BT194" i="6"/>
  <c r="BT193" i="6"/>
  <c r="BT192" i="6"/>
  <c r="BT191" i="6"/>
  <c r="BT190" i="6"/>
  <c r="BT185" i="6"/>
  <c r="BT184" i="6"/>
  <c r="BT183" i="6"/>
  <c r="BT182" i="6"/>
  <c r="BT181" i="6"/>
  <c r="BT180" i="6"/>
  <c r="BT179" i="6"/>
  <c r="BT178" i="6"/>
  <c r="BT177" i="6"/>
  <c r="BT172" i="6"/>
  <c r="BT171" i="6"/>
  <c r="BT170" i="6"/>
  <c r="BT169" i="6"/>
  <c r="BT168" i="6"/>
  <c r="BT167" i="6"/>
  <c r="BT166" i="6"/>
  <c r="BT165" i="6"/>
  <c r="BT164" i="6"/>
  <c r="BT163" i="6"/>
  <c r="BT162" i="6"/>
  <c r="BT161" i="6"/>
  <c r="BT160" i="6"/>
  <c r="BT159" i="6"/>
  <c r="BT158" i="6"/>
  <c r="BT157" i="6"/>
  <c r="BT156" i="6"/>
  <c r="BT155" i="6"/>
  <c r="BT154" i="6"/>
  <c r="BT153" i="6"/>
  <c r="BT151" i="6"/>
  <c r="BT150" i="6"/>
  <c r="BT149" i="6"/>
  <c r="BT148" i="6"/>
  <c r="BT147" i="6"/>
  <c r="BT146" i="6"/>
  <c r="BT145" i="6"/>
  <c r="BT144" i="6"/>
  <c r="BT143" i="6"/>
  <c r="BT142" i="6"/>
  <c r="BT141" i="6"/>
  <c r="BT140" i="6"/>
  <c r="BT139" i="6"/>
  <c r="BT138" i="6"/>
  <c r="BT137" i="6"/>
  <c r="BT136" i="6"/>
  <c r="BT135" i="6"/>
  <c r="BT134" i="6"/>
  <c r="BT133" i="6"/>
  <c r="BT132" i="6"/>
  <c r="BT131" i="6"/>
  <c r="BT130" i="6"/>
  <c r="BT129" i="6"/>
  <c r="BT128" i="6"/>
  <c r="BT127" i="6"/>
  <c r="BT126" i="6"/>
  <c r="BT125" i="6"/>
  <c r="BT124" i="6"/>
  <c r="BT152" i="6"/>
  <c r="BT119" i="6"/>
  <c r="BT118" i="6"/>
  <c r="BT117" i="6"/>
  <c r="BT116" i="6"/>
  <c r="BT115" i="6"/>
  <c r="BT114" i="6"/>
  <c r="BT113" i="6"/>
  <c r="BT112" i="6"/>
  <c r="BT111" i="6"/>
  <c r="BT110" i="6"/>
  <c r="BT109" i="6"/>
  <c r="BT108" i="6"/>
  <c r="BT107" i="6"/>
  <c r="BT106" i="6"/>
  <c r="BT105" i="6"/>
  <c r="BT104" i="6"/>
  <c r="BT103" i="6"/>
  <c r="BT102" i="6"/>
  <c r="BT101" i="6"/>
  <c r="BT100" i="6"/>
  <c r="BT99" i="6"/>
  <c r="BT98" i="6"/>
  <c r="BT97" i="6"/>
  <c r="BT96" i="6"/>
  <c r="BT95" i="6"/>
  <c r="BT94" i="6"/>
  <c r="BT93" i="6"/>
  <c r="BT92" i="6"/>
  <c r="BT91" i="6"/>
  <c r="BT90" i="6"/>
  <c r="BT89" i="6"/>
  <c r="BT88" i="6"/>
  <c r="BT87" i="6"/>
  <c r="BT86" i="6"/>
  <c r="BT85" i="6"/>
  <c r="BT84" i="6"/>
  <c r="BT83" i="6"/>
  <c r="BT82" i="6"/>
  <c r="BT81" i="6"/>
  <c r="BT80" i="6"/>
  <c r="BT79" i="6"/>
  <c r="BT78" i="6"/>
  <c r="BT77" i="6"/>
  <c r="BT76" i="6"/>
  <c r="BT75" i="6"/>
  <c r="BT74" i="6"/>
  <c r="BT73" i="6"/>
  <c r="BT72" i="6"/>
  <c r="BT71" i="6"/>
  <c r="BT66" i="6"/>
  <c r="BT65" i="6"/>
  <c r="BT64" i="6"/>
  <c r="BT63" i="6"/>
  <c r="BT62" i="6"/>
  <c r="BT61" i="6"/>
  <c r="BT60" i="6"/>
  <c r="BT59" i="6"/>
  <c r="BT58" i="6"/>
  <c r="BT57" i="6"/>
  <c r="BT56" i="6"/>
  <c r="BT55" i="6"/>
  <c r="BT54" i="6"/>
  <c r="BT53" i="6"/>
  <c r="BT52" i="6"/>
  <c r="BT51" i="6"/>
  <c r="BT50" i="6"/>
  <c r="BT49" i="6"/>
  <c r="BT48" i="6"/>
  <c r="BT47" i="6"/>
  <c r="BT46" i="6"/>
  <c r="BT45" i="6"/>
  <c r="BT44" i="6"/>
  <c r="BT43" i="6"/>
  <c r="BT42" i="6"/>
  <c r="BT41" i="6"/>
  <c r="BT40" i="6"/>
  <c r="BT39" i="6"/>
  <c r="BT38" i="6"/>
  <c r="BT37" i="6"/>
  <c r="BT36" i="6"/>
  <c r="BT35" i="6"/>
  <c r="BT34" i="6"/>
  <c r="BT33" i="6"/>
  <c r="BT31" i="6"/>
  <c r="BT30" i="6"/>
  <c r="BT29" i="6"/>
  <c r="BT23" i="6"/>
  <c r="BT21" i="6"/>
  <c r="BT20" i="6"/>
  <c r="BT19" i="6"/>
  <c r="BT18" i="6"/>
  <c r="BT32" i="6"/>
  <c r="BT17" i="6"/>
  <c r="BT24" i="6"/>
  <c r="BT22" i="6"/>
  <c r="DE246" i="6"/>
  <c r="DE245" i="6"/>
  <c r="DE244" i="6"/>
  <c r="DE239" i="6"/>
  <c r="DE238" i="6"/>
  <c r="DE233" i="6"/>
  <c r="DE232" i="6"/>
  <c r="DE231" i="6"/>
  <c r="DE230" i="6"/>
  <c r="DE225" i="6"/>
  <c r="DE224" i="6"/>
  <c r="DE223" i="6"/>
  <c r="DE222" i="6"/>
  <c r="DE221" i="6"/>
  <c r="DE220" i="6"/>
  <c r="DE219" i="6"/>
  <c r="DE218" i="6"/>
  <c r="DE217" i="6"/>
  <c r="DE216" i="6"/>
  <c r="DE215" i="6"/>
  <c r="DE214" i="6"/>
  <c r="DE213" i="6"/>
  <c r="DE208" i="6"/>
  <c r="DE207" i="6"/>
  <c r="DE206" i="6"/>
  <c r="DE205" i="6"/>
  <c r="DE204" i="6"/>
  <c r="DE203" i="6"/>
  <c r="DE202" i="6"/>
  <c r="DE201" i="6"/>
  <c r="DE200" i="6"/>
  <c r="DE199" i="6"/>
  <c r="DE198" i="6"/>
  <c r="DE197" i="6"/>
  <c r="DE196" i="6"/>
  <c r="DE195" i="6"/>
  <c r="DE194" i="6"/>
  <c r="DE193" i="6"/>
  <c r="DE192" i="6"/>
  <c r="DE191" i="6"/>
  <c r="DE190" i="6"/>
  <c r="DE185" i="6"/>
  <c r="DE184" i="6"/>
  <c r="DE183" i="6"/>
  <c r="DE182" i="6"/>
  <c r="DE181" i="6"/>
  <c r="DE180" i="6"/>
  <c r="DE179" i="6"/>
  <c r="DE178" i="6"/>
  <c r="DE177" i="6"/>
  <c r="DE172" i="6"/>
  <c r="DE171" i="6"/>
  <c r="DE170" i="6"/>
  <c r="DE169" i="6"/>
  <c r="DE168" i="6"/>
  <c r="DE167" i="6"/>
  <c r="DE166" i="6"/>
  <c r="DE165" i="6"/>
  <c r="DE164" i="6"/>
  <c r="DE163" i="6"/>
  <c r="DE162" i="6"/>
  <c r="DE161" i="6"/>
  <c r="DE160" i="6"/>
  <c r="DE159" i="6"/>
  <c r="DE158" i="6"/>
  <c r="DE157" i="6"/>
  <c r="DE156" i="6"/>
  <c r="DE155" i="6"/>
  <c r="DE154" i="6"/>
  <c r="DE153" i="6"/>
  <c r="DE152" i="6"/>
  <c r="DE150" i="6"/>
  <c r="DE149" i="6"/>
  <c r="DE148" i="6"/>
  <c r="DE147" i="6"/>
  <c r="DE146" i="6"/>
  <c r="DE145" i="6"/>
  <c r="DE144" i="6"/>
  <c r="DE143" i="6"/>
  <c r="DE142" i="6"/>
  <c r="DE141" i="6"/>
  <c r="DE140" i="6"/>
  <c r="DE139" i="6"/>
  <c r="DE138" i="6"/>
  <c r="DE137" i="6"/>
  <c r="DE136" i="6"/>
  <c r="DE135" i="6"/>
  <c r="DE134" i="6"/>
  <c r="DE133" i="6"/>
  <c r="DE132" i="6"/>
  <c r="DE131" i="6"/>
  <c r="DE130" i="6"/>
  <c r="DE129" i="6"/>
  <c r="DE128" i="6"/>
  <c r="DE127" i="6"/>
  <c r="DE126" i="6"/>
  <c r="DE125" i="6"/>
  <c r="DE124" i="6"/>
  <c r="DE119" i="6"/>
  <c r="DE151" i="6"/>
  <c r="DE118" i="6"/>
  <c r="DE117" i="6"/>
  <c r="DE116" i="6"/>
  <c r="DE115" i="6"/>
  <c r="DE114" i="6"/>
  <c r="DE113" i="6"/>
  <c r="DE112" i="6"/>
  <c r="DE111" i="6"/>
  <c r="DE110" i="6"/>
  <c r="DE109" i="6"/>
  <c r="DE108" i="6"/>
  <c r="DE107" i="6"/>
  <c r="DE106" i="6"/>
  <c r="DE105" i="6"/>
  <c r="DE104" i="6"/>
  <c r="DE103" i="6"/>
  <c r="DE102" i="6"/>
  <c r="DE101" i="6"/>
  <c r="DE100" i="6"/>
  <c r="DE99" i="6"/>
  <c r="DE98" i="6"/>
  <c r="DE97" i="6"/>
  <c r="DE96" i="6"/>
  <c r="DE95" i="6"/>
  <c r="DE94" i="6"/>
  <c r="DE93" i="6"/>
  <c r="DE92" i="6"/>
  <c r="DE91" i="6"/>
  <c r="DE90" i="6"/>
  <c r="DE89" i="6"/>
  <c r="DE88" i="6"/>
  <c r="DE87" i="6"/>
  <c r="DE86" i="6"/>
  <c r="DE85" i="6"/>
  <c r="DE84" i="6"/>
  <c r="DE83" i="6"/>
  <c r="DE82" i="6"/>
  <c r="DE81" i="6"/>
  <c r="DE80" i="6"/>
  <c r="DE79" i="6"/>
  <c r="DE78" i="6"/>
  <c r="DE77" i="6"/>
  <c r="DE76" i="6"/>
  <c r="DE75" i="6"/>
  <c r="DE74" i="6"/>
  <c r="DE73" i="6"/>
  <c r="DE72" i="6"/>
  <c r="DE71" i="6"/>
  <c r="DE66" i="6"/>
  <c r="DE65" i="6"/>
  <c r="DE64" i="6"/>
  <c r="DE63" i="6"/>
  <c r="DE62" i="6"/>
  <c r="DE61" i="6"/>
  <c r="DE60" i="6"/>
  <c r="DE59" i="6"/>
  <c r="DE58" i="6"/>
  <c r="DE57" i="6"/>
  <c r="DE56" i="6"/>
  <c r="DE55" i="6"/>
  <c r="DE54" i="6"/>
  <c r="DE53" i="6"/>
  <c r="DE52" i="6"/>
  <c r="DE51" i="6"/>
  <c r="DE50" i="6"/>
  <c r="DE49" i="6"/>
  <c r="DE48" i="6"/>
  <c r="DE47" i="6"/>
  <c r="DE46" i="6"/>
  <c r="DE45" i="6"/>
  <c r="DE44" i="6"/>
  <c r="DE43" i="6"/>
  <c r="DE42" i="6"/>
  <c r="DE41" i="6"/>
  <c r="DE40" i="6"/>
  <c r="DE39" i="6"/>
  <c r="DE38" i="6"/>
  <c r="DE37" i="6"/>
  <c r="DE36" i="6"/>
  <c r="DE35" i="6"/>
  <c r="DE34" i="6"/>
  <c r="DE33" i="6"/>
  <c r="DE32" i="6"/>
  <c r="DE20" i="6"/>
  <c r="DE19" i="6"/>
  <c r="DE18" i="6"/>
  <c r="DE30" i="6"/>
  <c r="DE29" i="6"/>
  <c r="DE17" i="6"/>
  <c r="DE24" i="6"/>
  <c r="DE31" i="6"/>
  <c r="DE21" i="6"/>
  <c r="DE23" i="6"/>
  <c r="DE22" i="6"/>
  <c r="CW246" i="6"/>
  <c r="CW245" i="6"/>
  <c r="CW244" i="6"/>
  <c r="CW239" i="6"/>
  <c r="CW238" i="6"/>
  <c r="CW233" i="6"/>
  <c r="CW232" i="6"/>
  <c r="CW231" i="6"/>
  <c r="CW230" i="6"/>
  <c r="CW225" i="6"/>
  <c r="CW224" i="6"/>
  <c r="CW223" i="6"/>
  <c r="CW222" i="6"/>
  <c r="CW221" i="6"/>
  <c r="CW220" i="6"/>
  <c r="CW219" i="6"/>
  <c r="CW218" i="6"/>
  <c r="CW217" i="6"/>
  <c r="CW216" i="6"/>
  <c r="CW215" i="6"/>
  <c r="CW214" i="6"/>
  <c r="CW213" i="6"/>
  <c r="CW208" i="6"/>
  <c r="CW207" i="6"/>
  <c r="CW206" i="6"/>
  <c r="CW205" i="6"/>
  <c r="CW204" i="6"/>
  <c r="CW203" i="6"/>
  <c r="CW202" i="6"/>
  <c r="CW201" i="6"/>
  <c r="CW200" i="6"/>
  <c r="CW199" i="6"/>
  <c r="CW198" i="6"/>
  <c r="CW197" i="6"/>
  <c r="CW196" i="6"/>
  <c r="CW195" i="6"/>
  <c r="CW194" i="6"/>
  <c r="CW193" i="6"/>
  <c r="CW192" i="6"/>
  <c r="CW191" i="6"/>
  <c r="CW190" i="6"/>
  <c r="CW185" i="6"/>
  <c r="CW184" i="6"/>
  <c r="CW182" i="6"/>
  <c r="CW181" i="6"/>
  <c r="CW180" i="6"/>
  <c r="CW179" i="6"/>
  <c r="CW178" i="6"/>
  <c r="CW177" i="6"/>
  <c r="CW172" i="6"/>
  <c r="CW171" i="6"/>
  <c r="CW170" i="6"/>
  <c r="CW169" i="6"/>
  <c r="CW168" i="6"/>
  <c r="CW167" i="6"/>
  <c r="CW166" i="6"/>
  <c r="CW165" i="6"/>
  <c r="CW164" i="6"/>
  <c r="CW163" i="6"/>
  <c r="CW162" i="6"/>
  <c r="CW161" i="6"/>
  <c r="CW160" i="6"/>
  <c r="CW159" i="6"/>
  <c r="CW158" i="6"/>
  <c r="CW157" i="6"/>
  <c r="CW156" i="6"/>
  <c r="CW155" i="6"/>
  <c r="CW154" i="6"/>
  <c r="CW153" i="6"/>
  <c r="CW152" i="6"/>
  <c r="CW183" i="6"/>
  <c r="CW150" i="6"/>
  <c r="CW149" i="6"/>
  <c r="CW148" i="6"/>
  <c r="CW147" i="6"/>
  <c r="CW146" i="6"/>
  <c r="CW145" i="6"/>
  <c r="CW144" i="6"/>
  <c r="CW143" i="6"/>
  <c r="CW142" i="6"/>
  <c r="CW141" i="6"/>
  <c r="CW140" i="6"/>
  <c r="CW139" i="6"/>
  <c r="CW138" i="6"/>
  <c r="CW137" i="6"/>
  <c r="CW136" i="6"/>
  <c r="CW135" i="6"/>
  <c r="CW134" i="6"/>
  <c r="CW133" i="6"/>
  <c r="CW132" i="6"/>
  <c r="CW131" i="6"/>
  <c r="CW130" i="6"/>
  <c r="CW129" i="6"/>
  <c r="CW128" i="6"/>
  <c r="CW127" i="6"/>
  <c r="CW126" i="6"/>
  <c r="CW125" i="6"/>
  <c r="CW124" i="6"/>
  <c r="CW151" i="6"/>
  <c r="CW118" i="6"/>
  <c r="CW117" i="6"/>
  <c r="CW116" i="6"/>
  <c r="CW115" i="6"/>
  <c r="CW114" i="6"/>
  <c r="CW113" i="6"/>
  <c r="CW112" i="6"/>
  <c r="CW111" i="6"/>
  <c r="CW110" i="6"/>
  <c r="CW109" i="6"/>
  <c r="CW108" i="6"/>
  <c r="CW107" i="6"/>
  <c r="CW106" i="6"/>
  <c r="CW105" i="6"/>
  <c r="CW104" i="6"/>
  <c r="CW103" i="6"/>
  <c r="CW102" i="6"/>
  <c r="CW101" i="6"/>
  <c r="CW100" i="6"/>
  <c r="CW99" i="6"/>
  <c r="CW98" i="6"/>
  <c r="CW97" i="6"/>
  <c r="CW96" i="6"/>
  <c r="CW95" i="6"/>
  <c r="CW94" i="6"/>
  <c r="CW93" i="6"/>
  <c r="CW92" i="6"/>
  <c r="CW119" i="6"/>
  <c r="CW91" i="6"/>
  <c r="CW90" i="6"/>
  <c r="CW89" i="6"/>
  <c r="CW88" i="6"/>
  <c r="CW87" i="6"/>
  <c r="CW86" i="6"/>
  <c r="CW85" i="6"/>
  <c r="CW84" i="6"/>
  <c r="CW83" i="6"/>
  <c r="CW82" i="6"/>
  <c r="CW81" i="6"/>
  <c r="CW80" i="6"/>
  <c r="CW79" i="6"/>
  <c r="CW78" i="6"/>
  <c r="CW77" i="6"/>
  <c r="CW76" i="6"/>
  <c r="CW75" i="6"/>
  <c r="CW74" i="6"/>
  <c r="CW73" i="6"/>
  <c r="CW72" i="6"/>
  <c r="CW71" i="6"/>
  <c r="CW66" i="6"/>
  <c r="CW65" i="6"/>
  <c r="CW64" i="6"/>
  <c r="CW63" i="6"/>
  <c r="CW62" i="6"/>
  <c r="CW61" i="6"/>
  <c r="CW60" i="6"/>
  <c r="CW59" i="6"/>
  <c r="CW58" i="6"/>
  <c r="CW57" i="6"/>
  <c r="CW56" i="6"/>
  <c r="CW55" i="6"/>
  <c r="CW54" i="6"/>
  <c r="CW53" i="6"/>
  <c r="CW52" i="6"/>
  <c r="CW51" i="6"/>
  <c r="CW50" i="6"/>
  <c r="CW49" i="6"/>
  <c r="CW48" i="6"/>
  <c r="CW47" i="6"/>
  <c r="CW46" i="6"/>
  <c r="CW45" i="6"/>
  <c r="CW44" i="6"/>
  <c r="CW43" i="6"/>
  <c r="CW42" i="6"/>
  <c r="CW41" i="6"/>
  <c r="CW40" i="6"/>
  <c r="CW39" i="6"/>
  <c r="CW38" i="6"/>
  <c r="CW37" i="6"/>
  <c r="CW36" i="6"/>
  <c r="CW35" i="6"/>
  <c r="CW34" i="6"/>
  <c r="CW33" i="6"/>
  <c r="CW20" i="6"/>
  <c r="CW22" i="6"/>
  <c r="CW32" i="6"/>
  <c r="CW18" i="6"/>
  <c r="CW23" i="6"/>
  <c r="CW30" i="6"/>
  <c r="CW29" i="6"/>
  <c r="CW17" i="6"/>
  <c r="CW24" i="6"/>
  <c r="CW31" i="6"/>
  <c r="CW21" i="6"/>
  <c r="CW19" i="6"/>
  <c r="CO246" i="6"/>
  <c r="CO245" i="6"/>
  <c r="CO244" i="6"/>
  <c r="CO239" i="6"/>
  <c r="CO238" i="6"/>
  <c r="CO233" i="6"/>
  <c r="CO232" i="6"/>
  <c r="CO231" i="6"/>
  <c r="CO230" i="6"/>
  <c r="CO225" i="6"/>
  <c r="CO224" i="6"/>
  <c r="CO223" i="6"/>
  <c r="CO222" i="6"/>
  <c r="CO221" i="6"/>
  <c r="CO220" i="6"/>
  <c r="CO219" i="6"/>
  <c r="CO218" i="6"/>
  <c r="CO217" i="6"/>
  <c r="CO216" i="6"/>
  <c r="CO215" i="6"/>
  <c r="CO214" i="6"/>
  <c r="CO213" i="6"/>
  <c r="CO208" i="6"/>
  <c r="CO207" i="6"/>
  <c r="CO206" i="6"/>
  <c r="CO205" i="6"/>
  <c r="CO204" i="6"/>
  <c r="CO203" i="6"/>
  <c r="CO202" i="6"/>
  <c r="CO201" i="6"/>
  <c r="CO200" i="6"/>
  <c r="CO199" i="6"/>
  <c r="CO198" i="6"/>
  <c r="CO197" i="6"/>
  <c r="CO196" i="6"/>
  <c r="CO195" i="6"/>
  <c r="CO194" i="6"/>
  <c r="CO193" i="6"/>
  <c r="CO192" i="6"/>
  <c r="CO191" i="6"/>
  <c r="CO190" i="6"/>
  <c r="CO185" i="6"/>
  <c r="CO184" i="6"/>
  <c r="CO182" i="6"/>
  <c r="CO181" i="6"/>
  <c r="CO180" i="6"/>
  <c r="CO179" i="6"/>
  <c r="CO178" i="6"/>
  <c r="CO177" i="6"/>
  <c r="CO172" i="6"/>
  <c r="CO171" i="6"/>
  <c r="CO170" i="6"/>
  <c r="CO169" i="6"/>
  <c r="CO168" i="6"/>
  <c r="CO167" i="6"/>
  <c r="CO166" i="6"/>
  <c r="CO165" i="6"/>
  <c r="CO164" i="6"/>
  <c r="CO163" i="6"/>
  <c r="CO162" i="6"/>
  <c r="CO161" i="6"/>
  <c r="CO160" i="6"/>
  <c r="CO159" i="6"/>
  <c r="CO158" i="6"/>
  <c r="CO157" i="6"/>
  <c r="CO156" i="6"/>
  <c r="CO155" i="6"/>
  <c r="CO154" i="6"/>
  <c r="CO153" i="6"/>
  <c r="CO152" i="6"/>
  <c r="CO183" i="6"/>
  <c r="CO150" i="6"/>
  <c r="CO149" i="6"/>
  <c r="CO148" i="6"/>
  <c r="CO147" i="6"/>
  <c r="CO146" i="6"/>
  <c r="CO145" i="6"/>
  <c r="CO144" i="6"/>
  <c r="CO143" i="6"/>
  <c r="CO142" i="6"/>
  <c r="CO141" i="6"/>
  <c r="CO140" i="6"/>
  <c r="CO139" i="6"/>
  <c r="CO138" i="6"/>
  <c r="CO137" i="6"/>
  <c r="CO136" i="6"/>
  <c r="CO135" i="6"/>
  <c r="CO134" i="6"/>
  <c r="CO133" i="6"/>
  <c r="CO132" i="6"/>
  <c r="CO131" i="6"/>
  <c r="CO130" i="6"/>
  <c r="CO129" i="6"/>
  <c r="CO128" i="6"/>
  <c r="CO127" i="6"/>
  <c r="CO126" i="6"/>
  <c r="CO125" i="6"/>
  <c r="CO124" i="6"/>
  <c r="CO151" i="6"/>
  <c r="CO119" i="6"/>
  <c r="CO118" i="6"/>
  <c r="CO117" i="6"/>
  <c r="CO116" i="6"/>
  <c r="CO115" i="6"/>
  <c r="CO114" i="6"/>
  <c r="CO113" i="6"/>
  <c r="CO112" i="6"/>
  <c r="CO111" i="6"/>
  <c r="CO110" i="6"/>
  <c r="CO109" i="6"/>
  <c r="CO108" i="6"/>
  <c r="CO107" i="6"/>
  <c r="CO106" i="6"/>
  <c r="CO105" i="6"/>
  <c r="CO104" i="6"/>
  <c r="CO103" i="6"/>
  <c r="CO102" i="6"/>
  <c r="CO101" i="6"/>
  <c r="CO100" i="6"/>
  <c r="CO99" i="6"/>
  <c r="CO98" i="6"/>
  <c r="CO97" i="6"/>
  <c r="CO96" i="6"/>
  <c r="CO95" i="6"/>
  <c r="CO94" i="6"/>
  <c r="CO93" i="6"/>
  <c r="CO92" i="6"/>
  <c r="CO91" i="6"/>
  <c r="CO90" i="6"/>
  <c r="CO89" i="6"/>
  <c r="CO88" i="6"/>
  <c r="CO87" i="6"/>
  <c r="CO86" i="6"/>
  <c r="CO85" i="6"/>
  <c r="CO84" i="6"/>
  <c r="CO83" i="6"/>
  <c r="CO82" i="6"/>
  <c r="CO81" i="6"/>
  <c r="CO80" i="6"/>
  <c r="CO79" i="6"/>
  <c r="CO78" i="6"/>
  <c r="CO77" i="6"/>
  <c r="CO76" i="6"/>
  <c r="CO75" i="6"/>
  <c r="CO74" i="6"/>
  <c r="CO73" i="6"/>
  <c r="CO72" i="6"/>
  <c r="CO71" i="6"/>
  <c r="CO66" i="6"/>
  <c r="CO65" i="6"/>
  <c r="CO64" i="6"/>
  <c r="CO63" i="6"/>
  <c r="CO62" i="6"/>
  <c r="CO61" i="6"/>
  <c r="CO60" i="6"/>
  <c r="CO59" i="6"/>
  <c r="CO58" i="6"/>
  <c r="CO57" i="6"/>
  <c r="CO56" i="6"/>
  <c r="CO55" i="6"/>
  <c r="CO54" i="6"/>
  <c r="CO53" i="6"/>
  <c r="CO52" i="6"/>
  <c r="CO51" i="6"/>
  <c r="CO50" i="6"/>
  <c r="CO49" i="6"/>
  <c r="CO48" i="6"/>
  <c r="CO47" i="6"/>
  <c r="CO46" i="6"/>
  <c r="CO45" i="6"/>
  <c r="CO44" i="6"/>
  <c r="CO43" i="6"/>
  <c r="CO42" i="6"/>
  <c r="CO41" i="6"/>
  <c r="CO40" i="6"/>
  <c r="CO39" i="6"/>
  <c r="CO38" i="6"/>
  <c r="CO37" i="6"/>
  <c r="CO36" i="6"/>
  <c r="CO35" i="6"/>
  <c r="CO34" i="6"/>
  <c r="CO33" i="6"/>
  <c r="CO20" i="6"/>
  <c r="CO19" i="6"/>
  <c r="CO23" i="6"/>
  <c r="CO18" i="6"/>
  <c r="CO30" i="6"/>
  <c r="CO29" i="6"/>
  <c r="CO17" i="6"/>
  <c r="CO31" i="6"/>
  <c r="CO24" i="6"/>
  <c r="CO22" i="6"/>
  <c r="CO32" i="6"/>
  <c r="CO21" i="6"/>
  <c r="CG246" i="6"/>
  <c r="CG245" i="6"/>
  <c r="CG244" i="6"/>
  <c r="CG239" i="6"/>
  <c r="CG238" i="6"/>
  <c r="CG233" i="6"/>
  <c r="CG232" i="6"/>
  <c r="CG231" i="6"/>
  <c r="CG230" i="6"/>
  <c r="CG225" i="6"/>
  <c r="CG224" i="6"/>
  <c r="CG223" i="6"/>
  <c r="CG222" i="6"/>
  <c r="CG221" i="6"/>
  <c r="CG220" i="6"/>
  <c r="CG219" i="6"/>
  <c r="CG218" i="6"/>
  <c r="CG217" i="6"/>
  <c r="CG215" i="6"/>
  <c r="CG214" i="6"/>
  <c r="CG213" i="6"/>
  <c r="CG208" i="6"/>
  <c r="CG207" i="6"/>
  <c r="CG206" i="6"/>
  <c r="CG205" i="6"/>
  <c r="CG204" i="6"/>
  <c r="CG203" i="6"/>
  <c r="CG202" i="6"/>
  <c r="CG201" i="6"/>
  <c r="CG200" i="6"/>
  <c r="CG199" i="6"/>
  <c r="CG198" i="6"/>
  <c r="CG197" i="6"/>
  <c r="CG196" i="6"/>
  <c r="CG195" i="6"/>
  <c r="CG194" i="6"/>
  <c r="CG193" i="6"/>
  <c r="CG192" i="6"/>
  <c r="CG191" i="6"/>
  <c r="CG190" i="6"/>
  <c r="CG185" i="6"/>
  <c r="CG184" i="6"/>
  <c r="CG216" i="6"/>
  <c r="CG182" i="6"/>
  <c r="CG181" i="6"/>
  <c r="CG180" i="6"/>
  <c r="CG179" i="6"/>
  <c r="CG178" i="6"/>
  <c r="CG177" i="6"/>
  <c r="CG172" i="6"/>
  <c r="CG171" i="6"/>
  <c r="CG170" i="6"/>
  <c r="CG169" i="6"/>
  <c r="CG168" i="6"/>
  <c r="CG167" i="6"/>
  <c r="CG166" i="6"/>
  <c r="CG165" i="6"/>
  <c r="CG164" i="6"/>
  <c r="CG163" i="6"/>
  <c r="CG162" i="6"/>
  <c r="CG161" i="6"/>
  <c r="CG160" i="6"/>
  <c r="CG159" i="6"/>
  <c r="CG158" i="6"/>
  <c r="CG157" i="6"/>
  <c r="CG156" i="6"/>
  <c r="CG155" i="6"/>
  <c r="CG154" i="6"/>
  <c r="CG153" i="6"/>
  <c r="CG152" i="6"/>
  <c r="CG183" i="6"/>
  <c r="CG150" i="6"/>
  <c r="CG149" i="6"/>
  <c r="CG148" i="6"/>
  <c r="CG147" i="6"/>
  <c r="CG146" i="6"/>
  <c r="CG145" i="6"/>
  <c r="CG144" i="6"/>
  <c r="CG143" i="6"/>
  <c r="CG142" i="6"/>
  <c r="CG141" i="6"/>
  <c r="CG140" i="6"/>
  <c r="CG139" i="6"/>
  <c r="CG138" i="6"/>
  <c r="CG137" i="6"/>
  <c r="CG136" i="6"/>
  <c r="CG135" i="6"/>
  <c r="CG134" i="6"/>
  <c r="CG133" i="6"/>
  <c r="CG132" i="6"/>
  <c r="CG131" i="6"/>
  <c r="CG130" i="6"/>
  <c r="CG129" i="6"/>
  <c r="CG128" i="6"/>
  <c r="CG127" i="6"/>
  <c r="CG126" i="6"/>
  <c r="CG125" i="6"/>
  <c r="CG124" i="6"/>
  <c r="CG151" i="6"/>
  <c r="CG119" i="6"/>
  <c r="CG118" i="6"/>
  <c r="CG117" i="6"/>
  <c r="CG116" i="6"/>
  <c r="CG115" i="6"/>
  <c r="CG114" i="6"/>
  <c r="CG113" i="6"/>
  <c r="CG112" i="6"/>
  <c r="CG111" i="6"/>
  <c r="CG110" i="6"/>
  <c r="CG109" i="6"/>
  <c r="CG108" i="6"/>
  <c r="CG107" i="6"/>
  <c r="CG106" i="6"/>
  <c r="CG105" i="6"/>
  <c r="CG104" i="6"/>
  <c r="CG103" i="6"/>
  <c r="CG102" i="6"/>
  <c r="CG101" i="6"/>
  <c r="CG100" i="6"/>
  <c r="CG99" i="6"/>
  <c r="CG98" i="6"/>
  <c r="CG97" i="6"/>
  <c r="CG96" i="6"/>
  <c r="CG95" i="6"/>
  <c r="CG94" i="6"/>
  <c r="CG93" i="6"/>
  <c r="CG92" i="6"/>
  <c r="CG91" i="6"/>
  <c r="CG90" i="6"/>
  <c r="CG89" i="6"/>
  <c r="CG88" i="6"/>
  <c r="CG87" i="6"/>
  <c r="CG86" i="6"/>
  <c r="CG85" i="6"/>
  <c r="CG84" i="6"/>
  <c r="CG83" i="6"/>
  <c r="CG82" i="6"/>
  <c r="CG81" i="6"/>
  <c r="CG80" i="6"/>
  <c r="CG79" i="6"/>
  <c r="CG78" i="6"/>
  <c r="CG77" i="6"/>
  <c r="CG76" i="6"/>
  <c r="CG75" i="6"/>
  <c r="CG74" i="6"/>
  <c r="CG73" i="6"/>
  <c r="CG72" i="6"/>
  <c r="CG71" i="6"/>
  <c r="CG66" i="6"/>
  <c r="CG65" i="6"/>
  <c r="CG64" i="6"/>
  <c r="CG63" i="6"/>
  <c r="CG62" i="6"/>
  <c r="CG61" i="6"/>
  <c r="CG60" i="6"/>
  <c r="CG59" i="6"/>
  <c r="CG58" i="6"/>
  <c r="CG57" i="6"/>
  <c r="CG56" i="6"/>
  <c r="CG55" i="6"/>
  <c r="CG54" i="6"/>
  <c r="CG53" i="6"/>
  <c r="CG52" i="6"/>
  <c r="CG51" i="6"/>
  <c r="CG50" i="6"/>
  <c r="CG49" i="6"/>
  <c r="CG48" i="6"/>
  <c r="CG47" i="6"/>
  <c r="CG46" i="6"/>
  <c r="CG45" i="6"/>
  <c r="CG44" i="6"/>
  <c r="CG43" i="6"/>
  <c r="CG42" i="6"/>
  <c r="CG41" i="6"/>
  <c r="CG40" i="6"/>
  <c r="CG39" i="6"/>
  <c r="CG38" i="6"/>
  <c r="CG37" i="6"/>
  <c r="CG36" i="6"/>
  <c r="CG35" i="6"/>
  <c r="CG34" i="6"/>
  <c r="CG33" i="6"/>
  <c r="CG20" i="6"/>
  <c r="CG18" i="6"/>
  <c r="CG22" i="6"/>
  <c r="CG31" i="6"/>
  <c r="CG30" i="6"/>
  <c r="CG29" i="6"/>
  <c r="CG17" i="6"/>
  <c r="CG24" i="6"/>
  <c r="CG23" i="6"/>
  <c r="CG32" i="6"/>
  <c r="CG21" i="6"/>
  <c r="CG19" i="6"/>
  <c r="BY246" i="6"/>
  <c r="BY245" i="6"/>
  <c r="BY244" i="6"/>
  <c r="BY239" i="6"/>
  <c r="BY238" i="6"/>
  <c r="BY233" i="6"/>
  <c r="BY232" i="6"/>
  <c r="BY231" i="6"/>
  <c r="BY230" i="6"/>
  <c r="BY225" i="6"/>
  <c r="BY224" i="6"/>
  <c r="BY223" i="6"/>
  <c r="BY222" i="6"/>
  <c r="BY221" i="6"/>
  <c r="BY220" i="6"/>
  <c r="BY219" i="6"/>
  <c r="BY218" i="6"/>
  <c r="BY217" i="6"/>
  <c r="BY215" i="6"/>
  <c r="BY214" i="6"/>
  <c r="BY213" i="6"/>
  <c r="BY208" i="6"/>
  <c r="BY207" i="6"/>
  <c r="BY206" i="6"/>
  <c r="BY205" i="6"/>
  <c r="BY204" i="6"/>
  <c r="BY203" i="6"/>
  <c r="BY202" i="6"/>
  <c r="BY201" i="6"/>
  <c r="BY200" i="6"/>
  <c r="BY199" i="6"/>
  <c r="BY198" i="6"/>
  <c r="BY197" i="6"/>
  <c r="BY196" i="6"/>
  <c r="BY195" i="6"/>
  <c r="BY194" i="6"/>
  <c r="BY193" i="6"/>
  <c r="BY192" i="6"/>
  <c r="BY191" i="6"/>
  <c r="BY190" i="6"/>
  <c r="BY185" i="6"/>
  <c r="BY184" i="6"/>
  <c r="BY216" i="6"/>
  <c r="BY182" i="6"/>
  <c r="BY181" i="6"/>
  <c r="BY180" i="6"/>
  <c r="BY179" i="6"/>
  <c r="BY178" i="6"/>
  <c r="BY177" i="6"/>
  <c r="BY172" i="6"/>
  <c r="BY171" i="6"/>
  <c r="BY170" i="6"/>
  <c r="BY169" i="6"/>
  <c r="BY168" i="6"/>
  <c r="BY167" i="6"/>
  <c r="BY166" i="6"/>
  <c r="BY165" i="6"/>
  <c r="BY164" i="6"/>
  <c r="BY163" i="6"/>
  <c r="BY162" i="6"/>
  <c r="BY161" i="6"/>
  <c r="BY160" i="6"/>
  <c r="BY159" i="6"/>
  <c r="BY158" i="6"/>
  <c r="BY157" i="6"/>
  <c r="BY156" i="6"/>
  <c r="BY155" i="6"/>
  <c r="BY154" i="6"/>
  <c r="BY153" i="6"/>
  <c r="BY183" i="6"/>
  <c r="BY151" i="6"/>
  <c r="BY150" i="6"/>
  <c r="BY149" i="6"/>
  <c r="BY148" i="6"/>
  <c r="BY147" i="6"/>
  <c r="BY146" i="6"/>
  <c r="BY145" i="6"/>
  <c r="BY144" i="6"/>
  <c r="BY143" i="6"/>
  <c r="BY142" i="6"/>
  <c r="BY141" i="6"/>
  <c r="BY140" i="6"/>
  <c r="BY139" i="6"/>
  <c r="BY138" i="6"/>
  <c r="BY137" i="6"/>
  <c r="BY136" i="6"/>
  <c r="BY135" i="6"/>
  <c r="BY134" i="6"/>
  <c r="BY133" i="6"/>
  <c r="BY132" i="6"/>
  <c r="BY131" i="6"/>
  <c r="BY130" i="6"/>
  <c r="BY129" i="6"/>
  <c r="BY128" i="6"/>
  <c r="BY127" i="6"/>
  <c r="BY126" i="6"/>
  <c r="BY125" i="6"/>
  <c r="BY124" i="6"/>
  <c r="BY152" i="6"/>
  <c r="BY119" i="6"/>
  <c r="BY118" i="6"/>
  <c r="BY117" i="6"/>
  <c r="BY116" i="6"/>
  <c r="BY115" i="6"/>
  <c r="BY114" i="6"/>
  <c r="BY113" i="6"/>
  <c r="BY112" i="6"/>
  <c r="BY111" i="6"/>
  <c r="BY110" i="6"/>
  <c r="BY109" i="6"/>
  <c r="BY108" i="6"/>
  <c r="BY107" i="6"/>
  <c r="BY106" i="6"/>
  <c r="BY105" i="6"/>
  <c r="BY104" i="6"/>
  <c r="BY103" i="6"/>
  <c r="BY102" i="6"/>
  <c r="BY101" i="6"/>
  <c r="BY100" i="6"/>
  <c r="BY99" i="6"/>
  <c r="BY98" i="6"/>
  <c r="BY97" i="6"/>
  <c r="BY96" i="6"/>
  <c r="BY95" i="6"/>
  <c r="BY94" i="6"/>
  <c r="BY93" i="6"/>
  <c r="BY92" i="6"/>
  <c r="BY91" i="6"/>
  <c r="BY90" i="6"/>
  <c r="BY89" i="6"/>
  <c r="BY88" i="6"/>
  <c r="BY87" i="6"/>
  <c r="BY86" i="6"/>
  <c r="BY85" i="6"/>
  <c r="BY84" i="6"/>
  <c r="BY83" i="6"/>
  <c r="BY82" i="6"/>
  <c r="BY81" i="6"/>
  <c r="BY80" i="6"/>
  <c r="BY79" i="6"/>
  <c r="BY78" i="6"/>
  <c r="BY77" i="6"/>
  <c r="BY76" i="6"/>
  <c r="BY75" i="6"/>
  <c r="BY74" i="6"/>
  <c r="BY73" i="6"/>
  <c r="BY72" i="6"/>
  <c r="BY71" i="6"/>
  <c r="BY66" i="6"/>
  <c r="BY65" i="6"/>
  <c r="BY64" i="6"/>
  <c r="BY63" i="6"/>
  <c r="BY62" i="6"/>
  <c r="BY61" i="6"/>
  <c r="BY60" i="6"/>
  <c r="BY59" i="6"/>
  <c r="BY58" i="6"/>
  <c r="BY57" i="6"/>
  <c r="BY56" i="6"/>
  <c r="BY55" i="6"/>
  <c r="BY54" i="6"/>
  <c r="BY53" i="6"/>
  <c r="BY52" i="6"/>
  <c r="BY51" i="6"/>
  <c r="BY50" i="6"/>
  <c r="BY49" i="6"/>
  <c r="BY48" i="6"/>
  <c r="BY47" i="6"/>
  <c r="BY46" i="6"/>
  <c r="BY45" i="6"/>
  <c r="BY44" i="6"/>
  <c r="BY43" i="6"/>
  <c r="BY42" i="6"/>
  <c r="BY41" i="6"/>
  <c r="BY40" i="6"/>
  <c r="BY39" i="6"/>
  <c r="BY38" i="6"/>
  <c r="BY37" i="6"/>
  <c r="BY36" i="6"/>
  <c r="BY35" i="6"/>
  <c r="BY34" i="6"/>
  <c r="BY33" i="6"/>
  <c r="BY20" i="6"/>
  <c r="BY19" i="6"/>
  <c r="BY18" i="6"/>
  <c r="BY32" i="6"/>
  <c r="BY31" i="6"/>
  <c r="BY30" i="6"/>
  <c r="BY29" i="6"/>
  <c r="BY17" i="6"/>
  <c r="BY24" i="6"/>
  <c r="BY21" i="6"/>
  <c r="BY23" i="6"/>
  <c r="BY22" i="6"/>
  <c r="BQ246" i="6"/>
  <c r="BQ245" i="6"/>
  <c r="BQ244" i="6"/>
  <c r="BQ239" i="6"/>
  <c r="BQ238" i="6"/>
  <c r="BQ233" i="6"/>
  <c r="BQ232" i="6"/>
  <c r="BQ231" i="6"/>
  <c r="BQ230" i="6"/>
  <c r="BQ225" i="6"/>
  <c r="BQ224" i="6"/>
  <c r="BQ223" i="6"/>
  <c r="BQ222" i="6"/>
  <c r="BQ221" i="6"/>
  <c r="BQ220" i="6"/>
  <c r="BQ219" i="6"/>
  <c r="BQ218" i="6"/>
  <c r="BQ217" i="6"/>
  <c r="BQ216" i="6"/>
  <c r="BQ215" i="6"/>
  <c r="BQ214" i="6"/>
  <c r="BQ213" i="6"/>
  <c r="BQ208" i="6"/>
  <c r="BQ207" i="6"/>
  <c r="BQ206" i="6"/>
  <c r="BQ205" i="6"/>
  <c r="BQ204" i="6"/>
  <c r="BQ203" i="6"/>
  <c r="BQ202" i="6"/>
  <c r="BQ201" i="6"/>
  <c r="BQ200" i="6"/>
  <c r="BQ199" i="6"/>
  <c r="BQ198" i="6"/>
  <c r="BQ197" i="6"/>
  <c r="BQ196" i="6"/>
  <c r="BQ195" i="6"/>
  <c r="BQ194" i="6"/>
  <c r="BQ193" i="6"/>
  <c r="BQ192" i="6"/>
  <c r="BQ191" i="6"/>
  <c r="BQ190" i="6"/>
  <c r="BQ185" i="6"/>
  <c r="BQ184" i="6"/>
  <c r="BQ183" i="6"/>
  <c r="BQ182" i="6"/>
  <c r="BQ181" i="6"/>
  <c r="BQ180" i="6"/>
  <c r="BQ179" i="6"/>
  <c r="BQ178" i="6"/>
  <c r="BQ177" i="6"/>
  <c r="BQ172" i="6"/>
  <c r="BQ171" i="6"/>
  <c r="BQ170" i="6"/>
  <c r="BQ169" i="6"/>
  <c r="BQ168" i="6"/>
  <c r="BQ167" i="6"/>
  <c r="BQ166" i="6"/>
  <c r="BQ165" i="6"/>
  <c r="BQ164" i="6"/>
  <c r="BQ163" i="6"/>
  <c r="BQ162" i="6"/>
  <c r="BQ161" i="6"/>
  <c r="BQ160" i="6"/>
  <c r="BQ159" i="6"/>
  <c r="BQ158" i="6"/>
  <c r="BQ157" i="6"/>
  <c r="BQ156" i="6"/>
  <c r="BQ155" i="6"/>
  <c r="BQ154" i="6"/>
  <c r="BQ153" i="6"/>
  <c r="BQ152" i="6"/>
  <c r="BQ151" i="6"/>
  <c r="BQ150" i="6"/>
  <c r="BQ149" i="6"/>
  <c r="BQ148" i="6"/>
  <c r="BQ147" i="6"/>
  <c r="BQ146" i="6"/>
  <c r="BQ145" i="6"/>
  <c r="BQ144" i="6"/>
  <c r="BQ143" i="6"/>
  <c r="BQ142" i="6"/>
  <c r="BQ141" i="6"/>
  <c r="BQ140" i="6"/>
  <c r="BQ137" i="6"/>
  <c r="BQ136" i="6"/>
  <c r="BQ135" i="6"/>
  <c r="BQ134" i="6"/>
  <c r="BQ133" i="6"/>
  <c r="BQ132" i="6"/>
  <c r="BQ131" i="6"/>
  <c r="BQ130" i="6"/>
  <c r="BQ129" i="6"/>
  <c r="BQ128" i="6"/>
  <c r="BQ127" i="6"/>
  <c r="BQ126" i="6"/>
  <c r="BQ125" i="6"/>
  <c r="BQ124" i="6"/>
  <c r="BQ119" i="6"/>
  <c r="BQ118" i="6"/>
  <c r="BQ117" i="6"/>
  <c r="BQ116" i="6"/>
  <c r="BQ115" i="6"/>
  <c r="BQ114" i="6"/>
  <c r="BQ113" i="6"/>
  <c r="BQ112" i="6"/>
  <c r="BQ111" i="6"/>
  <c r="BQ110" i="6"/>
  <c r="BQ109" i="6"/>
  <c r="BQ108" i="6"/>
  <c r="BQ107" i="6"/>
  <c r="BQ106" i="6"/>
  <c r="BQ105" i="6"/>
  <c r="BQ104" i="6"/>
  <c r="BQ103" i="6"/>
  <c r="BQ102" i="6"/>
  <c r="BQ101" i="6"/>
  <c r="BQ100" i="6"/>
  <c r="BQ99" i="6"/>
  <c r="BQ98" i="6"/>
  <c r="BQ97" i="6"/>
  <c r="BQ96" i="6"/>
  <c r="BQ95" i="6"/>
  <c r="BQ94" i="6"/>
  <c r="BQ93" i="6"/>
  <c r="BQ92" i="6"/>
  <c r="BQ91" i="6"/>
  <c r="BQ90" i="6"/>
  <c r="BQ89" i="6"/>
  <c r="BQ88" i="6"/>
  <c r="BQ87" i="6"/>
  <c r="BQ86" i="6"/>
  <c r="BQ85" i="6"/>
  <c r="BQ84" i="6"/>
  <c r="BQ83" i="6"/>
  <c r="BQ82" i="6"/>
  <c r="BQ81" i="6"/>
  <c r="BQ80" i="6"/>
  <c r="BQ79" i="6"/>
  <c r="BQ78" i="6"/>
  <c r="BQ77" i="6"/>
  <c r="BQ76" i="6"/>
  <c r="BQ75" i="6"/>
  <c r="BQ74" i="6"/>
  <c r="BQ73" i="6"/>
  <c r="BQ72" i="6"/>
  <c r="BQ71" i="6"/>
  <c r="BQ66" i="6"/>
  <c r="BQ65" i="6"/>
  <c r="BQ64" i="6"/>
  <c r="BQ63" i="6"/>
  <c r="BQ62" i="6"/>
  <c r="BQ61" i="6"/>
  <c r="BQ60" i="6"/>
  <c r="BQ59" i="6"/>
  <c r="BQ58" i="6"/>
  <c r="BQ57" i="6"/>
  <c r="BQ56" i="6"/>
  <c r="BQ55" i="6"/>
  <c r="BQ54" i="6"/>
  <c r="BQ53" i="6"/>
  <c r="BQ52" i="6"/>
  <c r="BQ51" i="6"/>
  <c r="BQ50" i="6"/>
  <c r="BQ49" i="6"/>
  <c r="BQ48" i="6"/>
  <c r="BQ47" i="6"/>
  <c r="BQ46" i="6"/>
  <c r="BQ45" i="6"/>
  <c r="BQ44" i="6"/>
  <c r="BQ43" i="6"/>
  <c r="BQ42" i="6"/>
  <c r="BQ41" i="6"/>
  <c r="BQ40" i="6"/>
  <c r="BQ39" i="6"/>
  <c r="BQ38" i="6"/>
  <c r="BQ37" i="6"/>
  <c r="BQ36" i="6"/>
  <c r="BQ35" i="6"/>
  <c r="BQ34" i="6"/>
  <c r="BQ33" i="6"/>
  <c r="BQ20" i="6"/>
  <c r="BQ22" i="6"/>
  <c r="BQ32" i="6"/>
  <c r="BQ18" i="6"/>
  <c r="BQ23" i="6"/>
  <c r="BQ31" i="6"/>
  <c r="BQ30" i="6"/>
  <c r="BQ29" i="6"/>
  <c r="BQ17" i="6"/>
  <c r="BQ24" i="6"/>
  <c r="BQ21" i="6"/>
  <c r="BQ19" i="6"/>
  <c r="DH246" i="6"/>
  <c r="DH245" i="6"/>
  <c r="DH244" i="6"/>
  <c r="DH239" i="6"/>
  <c r="DH238" i="6"/>
  <c r="DH233" i="6"/>
  <c r="DH232" i="6"/>
  <c r="DH231" i="6"/>
  <c r="DH230" i="6"/>
  <c r="DH225" i="6"/>
  <c r="DH224" i="6"/>
  <c r="DH223" i="6"/>
  <c r="DH222" i="6"/>
  <c r="DH221" i="6"/>
  <c r="DH220" i="6"/>
  <c r="DH219" i="6"/>
  <c r="DH218" i="6"/>
  <c r="DH217" i="6"/>
  <c r="DH216" i="6"/>
  <c r="DH215" i="6"/>
  <c r="DH214" i="6"/>
  <c r="DH213" i="6"/>
  <c r="DH208" i="6"/>
  <c r="DH207" i="6"/>
  <c r="DH206" i="6"/>
  <c r="DH205" i="6"/>
  <c r="DH204" i="6"/>
  <c r="DH203" i="6"/>
  <c r="DH202" i="6"/>
  <c r="DH201" i="6"/>
  <c r="DH200" i="6"/>
  <c r="DH199" i="6"/>
  <c r="DH198" i="6"/>
  <c r="DH197" i="6"/>
  <c r="DH196" i="6"/>
  <c r="DH195" i="6"/>
  <c r="DH194" i="6"/>
  <c r="DH193" i="6"/>
  <c r="DH192" i="6"/>
  <c r="DH191" i="6"/>
  <c r="DH190" i="6"/>
  <c r="DH185" i="6"/>
  <c r="DH184" i="6"/>
  <c r="DH183" i="6"/>
  <c r="DH182" i="6"/>
  <c r="DH181" i="6"/>
  <c r="DH180" i="6"/>
  <c r="DH179" i="6"/>
  <c r="DH178" i="6"/>
  <c r="DH177" i="6"/>
  <c r="DH172" i="6"/>
  <c r="DH171" i="6"/>
  <c r="DH170" i="6"/>
  <c r="DH169" i="6"/>
  <c r="DH168" i="6"/>
  <c r="DH167" i="6"/>
  <c r="DH166" i="6"/>
  <c r="DH165" i="6"/>
  <c r="DH164" i="6"/>
  <c r="DH163" i="6"/>
  <c r="DH162" i="6"/>
  <c r="DH161" i="6"/>
  <c r="DH160" i="6"/>
  <c r="DH159" i="6"/>
  <c r="DH158" i="6"/>
  <c r="DH157" i="6"/>
  <c r="DH156" i="6"/>
  <c r="DH155" i="6"/>
  <c r="DH154" i="6"/>
  <c r="DH153" i="6"/>
  <c r="DH152" i="6"/>
  <c r="DH151" i="6"/>
  <c r="DH150" i="6"/>
  <c r="DH149" i="6"/>
  <c r="DH148" i="6"/>
  <c r="DH147" i="6"/>
  <c r="DH146" i="6"/>
  <c r="DH145" i="6"/>
  <c r="DH144" i="6"/>
  <c r="DH143" i="6"/>
  <c r="DH142" i="6"/>
  <c r="DH141" i="6"/>
  <c r="DH140" i="6"/>
  <c r="DH139" i="6"/>
  <c r="DH138" i="6"/>
  <c r="DH137" i="6"/>
  <c r="DH136" i="6"/>
  <c r="DH135" i="6"/>
  <c r="DH134" i="6"/>
  <c r="DH133" i="6"/>
  <c r="DH132" i="6"/>
  <c r="DH131" i="6"/>
  <c r="DH130" i="6"/>
  <c r="DH129" i="6"/>
  <c r="DH128" i="6"/>
  <c r="DH127" i="6"/>
  <c r="DH126" i="6"/>
  <c r="DH125" i="6"/>
  <c r="DH124" i="6"/>
  <c r="DH119" i="6"/>
  <c r="DH118" i="6"/>
  <c r="DH117" i="6"/>
  <c r="DH116" i="6"/>
  <c r="DH115" i="6"/>
  <c r="DH114" i="6"/>
  <c r="DH113" i="6"/>
  <c r="DH112" i="6"/>
  <c r="DH111" i="6"/>
  <c r="DH110" i="6"/>
  <c r="DH109" i="6"/>
  <c r="DH108" i="6"/>
  <c r="DH107" i="6"/>
  <c r="DH106" i="6"/>
  <c r="DH105" i="6"/>
  <c r="DH104" i="6"/>
  <c r="DH103" i="6"/>
  <c r="DH102" i="6"/>
  <c r="DH101" i="6"/>
  <c r="DH100" i="6"/>
  <c r="DH99" i="6"/>
  <c r="DH98" i="6"/>
  <c r="DH97" i="6"/>
  <c r="DH96" i="6"/>
  <c r="DH95" i="6"/>
  <c r="DH94" i="6"/>
  <c r="DH93" i="6"/>
  <c r="DH91" i="6"/>
  <c r="DH90" i="6"/>
  <c r="DH89" i="6"/>
  <c r="DH88" i="6"/>
  <c r="DH87" i="6"/>
  <c r="DH86" i="6"/>
  <c r="DH85" i="6"/>
  <c r="DH84" i="6"/>
  <c r="DH83" i="6"/>
  <c r="DH82" i="6"/>
  <c r="DH81" i="6"/>
  <c r="DH80" i="6"/>
  <c r="DH79" i="6"/>
  <c r="DH78" i="6"/>
  <c r="DH77" i="6"/>
  <c r="DH76" i="6"/>
  <c r="DH75" i="6"/>
  <c r="DH74" i="6"/>
  <c r="DH73" i="6"/>
  <c r="DH72" i="6"/>
  <c r="DH71" i="6"/>
  <c r="DH66" i="6"/>
  <c r="DH65" i="6"/>
  <c r="DH64" i="6"/>
  <c r="DH63" i="6"/>
  <c r="DH62" i="6"/>
  <c r="DH61" i="6"/>
  <c r="DH92" i="6"/>
  <c r="DH59" i="6"/>
  <c r="DH58" i="6"/>
  <c r="DH57" i="6"/>
  <c r="DH56" i="6"/>
  <c r="DH55" i="6"/>
  <c r="DH54" i="6"/>
  <c r="DH53" i="6"/>
  <c r="DH52" i="6"/>
  <c r="DH51" i="6"/>
  <c r="DH50" i="6"/>
  <c r="DH49" i="6"/>
  <c r="DH48" i="6"/>
  <c r="DH47" i="6"/>
  <c r="DH46" i="6"/>
  <c r="DH45" i="6"/>
  <c r="DH44" i="6"/>
  <c r="DH43" i="6"/>
  <c r="DH42" i="6"/>
  <c r="DH41" i="6"/>
  <c r="DH40" i="6"/>
  <c r="DH39" i="6"/>
  <c r="DH38" i="6"/>
  <c r="DH37" i="6"/>
  <c r="DH36" i="6"/>
  <c r="DH35" i="6"/>
  <c r="DH34" i="6"/>
  <c r="DH33" i="6"/>
  <c r="DH32" i="6"/>
  <c r="DH60" i="6"/>
  <c r="DH30" i="6"/>
  <c r="DH29" i="6"/>
  <c r="DH23" i="6"/>
  <c r="DH22" i="6"/>
  <c r="DH21" i="6"/>
  <c r="DH20" i="6"/>
  <c r="DH31" i="6"/>
  <c r="DH19" i="6"/>
  <c r="DH18" i="6"/>
  <c r="DH17" i="6"/>
  <c r="DH24" i="6"/>
  <c r="CQ246" i="6"/>
  <c r="CQ245" i="6"/>
  <c r="CQ244" i="6"/>
  <c r="CQ239" i="6"/>
  <c r="CQ238" i="6"/>
  <c r="CQ233" i="6"/>
  <c r="CQ232" i="6"/>
  <c r="CQ231" i="6"/>
  <c r="CQ230" i="6"/>
  <c r="CQ225" i="6"/>
  <c r="CQ224" i="6"/>
  <c r="CQ223" i="6"/>
  <c r="CQ220" i="6"/>
  <c r="CQ222" i="6"/>
  <c r="CQ219" i="6"/>
  <c r="CQ218" i="6"/>
  <c r="CQ217" i="6"/>
  <c r="CQ216" i="6"/>
  <c r="CQ221" i="6"/>
  <c r="CQ215" i="6"/>
  <c r="CQ214" i="6"/>
  <c r="CQ213" i="6"/>
  <c r="CQ208" i="6"/>
  <c r="CQ207" i="6"/>
  <c r="CQ206" i="6"/>
  <c r="CQ205" i="6"/>
  <c r="CQ204" i="6"/>
  <c r="CQ203" i="6"/>
  <c r="CQ202" i="6"/>
  <c r="CQ201" i="6"/>
  <c r="CQ200" i="6"/>
  <c r="CQ199" i="6"/>
  <c r="CQ198" i="6"/>
  <c r="CQ197" i="6"/>
  <c r="CQ196" i="6"/>
  <c r="CQ195" i="6"/>
  <c r="CQ194" i="6"/>
  <c r="CQ193" i="6"/>
  <c r="CQ192" i="6"/>
  <c r="CQ191" i="6"/>
  <c r="CQ190" i="6"/>
  <c r="CQ185" i="6"/>
  <c r="CQ184" i="6"/>
  <c r="CQ183" i="6"/>
  <c r="CQ182" i="6"/>
  <c r="CQ181" i="6"/>
  <c r="CQ180" i="6"/>
  <c r="CQ179" i="6"/>
  <c r="CQ178" i="6"/>
  <c r="CQ177" i="6"/>
  <c r="CQ172" i="6"/>
  <c r="CQ171" i="6"/>
  <c r="CQ170" i="6"/>
  <c r="CQ169" i="6"/>
  <c r="CQ168" i="6"/>
  <c r="CQ167" i="6"/>
  <c r="CQ166" i="6"/>
  <c r="CQ165" i="6"/>
  <c r="CQ164" i="6"/>
  <c r="CQ163" i="6"/>
  <c r="CQ162" i="6"/>
  <c r="CQ161" i="6"/>
  <c r="CQ160" i="6"/>
  <c r="CQ159" i="6"/>
  <c r="CQ158" i="6"/>
  <c r="CQ157" i="6"/>
  <c r="CQ156" i="6"/>
  <c r="CQ155" i="6"/>
  <c r="CQ154" i="6"/>
  <c r="CQ153" i="6"/>
  <c r="CQ152" i="6"/>
  <c r="CQ151" i="6"/>
  <c r="CQ150" i="6"/>
  <c r="CQ149" i="6"/>
  <c r="CQ148" i="6"/>
  <c r="CQ147" i="6"/>
  <c r="CQ146" i="6"/>
  <c r="CQ145" i="6"/>
  <c r="CQ144" i="6"/>
  <c r="CQ143" i="6"/>
  <c r="CQ142" i="6"/>
  <c r="CQ141" i="6"/>
  <c r="CQ140" i="6"/>
  <c r="CQ139" i="6"/>
  <c r="CQ138" i="6"/>
  <c r="CQ137" i="6"/>
  <c r="CQ136" i="6"/>
  <c r="CQ135" i="6"/>
  <c r="CQ134" i="6"/>
  <c r="CQ133" i="6"/>
  <c r="CQ132" i="6"/>
  <c r="CQ131" i="6"/>
  <c r="CQ130" i="6"/>
  <c r="CQ129" i="6"/>
  <c r="CQ128" i="6"/>
  <c r="CQ127" i="6"/>
  <c r="CQ126" i="6"/>
  <c r="CQ125" i="6"/>
  <c r="CQ124" i="6"/>
  <c r="CQ119" i="6"/>
  <c r="CQ118" i="6"/>
  <c r="CQ117" i="6"/>
  <c r="CQ116" i="6"/>
  <c r="CQ115" i="6"/>
  <c r="CQ114" i="6"/>
  <c r="CQ113" i="6"/>
  <c r="CQ112" i="6"/>
  <c r="CQ111" i="6"/>
  <c r="CQ110" i="6"/>
  <c r="CQ109" i="6"/>
  <c r="CQ108" i="6"/>
  <c r="CQ107" i="6"/>
  <c r="CQ106" i="6"/>
  <c r="CQ105" i="6"/>
  <c r="CQ104" i="6"/>
  <c r="CQ103" i="6"/>
  <c r="CQ102" i="6"/>
  <c r="CQ101" i="6"/>
  <c r="CQ100" i="6"/>
  <c r="CQ99" i="6"/>
  <c r="CQ98" i="6"/>
  <c r="CQ97" i="6"/>
  <c r="CQ96" i="6"/>
  <c r="CQ95" i="6"/>
  <c r="CQ94" i="6"/>
  <c r="CQ93" i="6"/>
  <c r="CQ92" i="6"/>
  <c r="CQ91" i="6"/>
  <c r="CQ90" i="6"/>
  <c r="CQ89" i="6"/>
  <c r="CQ88" i="6"/>
  <c r="CQ87" i="6"/>
  <c r="CQ86" i="6"/>
  <c r="CQ85" i="6"/>
  <c r="CQ84" i="6"/>
  <c r="CQ83" i="6"/>
  <c r="CQ82" i="6"/>
  <c r="CQ81" i="6"/>
  <c r="CQ80" i="6"/>
  <c r="CQ79" i="6"/>
  <c r="CQ78" i="6"/>
  <c r="CQ77" i="6"/>
  <c r="CQ76" i="6"/>
  <c r="CQ75" i="6"/>
  <c r="CQ74" i="6"/>
  <c r="CQ73" i="6"/>
  <c r="CQ72" i="6"/>
  <c r="CQ71" i="6"/>
  <c r="CQ66" i="6"/>
  <c r="CQ65" i="6"/>
  <c r="CQ64" i="6"/>
  <c r="CQ63" i="6"/>
  <c r="CQ62" i="6"/>
  <c r="CQ61" i="6"/>
  <c r="CQ59" i="6"/>
  <c r="CQ58" i="6"/>
  <c r="CQ57" i="6"/>
  <c r="CQ56" i="6"/>
  <c r="CQ55" i="6"/>
  <c r="CQ54" i="6"/>
  <c r="CQ53" i="6"/>
  <c r="CQ52" i="6"/>
  <c r="CQ51" i="6"/>
  <c r="CQ50" i="6"/>
  <c r="CQ49" i="6"/>
  <c r="CQ48" i="6"/>
  <c r="CQ47" i="6"/>
  <c r="CQ46" i="6"/>
  <c r="CQ45" i="6"/>
  <c r="CQ44" i="6"/>
  <c r="CQ43" i="6"/>
  <c r="CQ42" i="6"/>
  <c r="CQ41" i="6"/>
  <c r="CQ40" i="6"/>
  <c r="CQ39" i="6"/>
  <c r="CQ38" i="6"/>
  <c r="CQ37" i="6"/>
  <c r="CQ36" i="6"/>
  <c r="CQ35" i="6"/>
  <c r="CQ34" i="6"/>
  <c r="CQ33" i="6"/>
  <c r="CQ60" i="6"/>
  <c r="CQ22" i="6"/>
  <c r="CQ21" i="6"/>
  <c r="CQ30" i="6"/>
  <c r="CQ29" i="6"/>
  <c r="CQ31" i="6"/>
  <c r="CQ20" i="6"/>
  <c r="CQ19" i="6"/>
  <c r="CQ18" i="6"/>
  <c r="CQ17" i="6"/>
  <c r="CQ24" i="6"/>
  <c r="CQ32" i="6"/>
  <c r="CQ23" i="6"/>
  <c r="DD246" i="6"/>
  <c r="DD245" i="6"/>
  <c r="DD244" i="6"/>
  <c r="DD239" i="6"/>
  <c r="DD238" i="6"/>
  <c r="DD233" i="6"/>
  <c r="DD232" i="6"/>
  <c r="DD231" i="6"/>
  <c r="DD230" i="6"/>
  <c r="DD225" i="6"/>
  <c r="DD224" i="6"/>
  <c r="DD223" i="6"/>
  <c r="DD222" i="6"/>
  <c r="DD221" i="6"/>
  <c r="DD220" i="6"/>
  <c r="DD219" i="6"/>
  <c r="DD218" i="6"/>
  <c r="DD217" i="6"/>
  <c r="DD216" i="6"/>
  <c r="DD215" i="6"/>
  <c r="DD214" i="6"/>
  <c r="DD213" i="6"/>
  <c r="DD208" i="6"/>
  <c r="DD207" i="6"/>
  <c r="DD206" i="6"/>
  <c r="DD205" i="6"/>
  <c r="DD204" i="6"/>
  <c r="DD203" i="6"/>
  <c r="DD202" i="6"/>
  <c r="DD201" i="6"/>
  <c r="DD200" i="6"/>
  <c r="DD199" i="6"/>
  <c r="DD198" i="6"/>
  <c r="DD197" i="6"/>
  <c r="DD196" i="6"/>
  <c r="DD195" i="6"/>
  <c r="DD194" i="6"/>
  <c r="DD193" i="6"/>
  <c r="DD192" i="6"/>
  <c r="DD191" i="6"/>
  <c r="DD190" i="6"/>
  <c r="DD185" i="6"/>
  <c r="DD184" i="6"/>
  <c r="DD182" i="6"/>
  <c r="DD181" i="6"/>
  <c r="DD180" i="6"/>
  <c r="DD179" i="6"/>
  <c r="DD178" i="6"/>
  <c r="DD177" i="6"/>
  <c r="DD172" i="6"/>
  <c r="DD171" i="6"/>
  <c r="DD170" i="6"/>
  <c r="DD169" i="6"/>
  <c r="DD168" i="6"/>
  <c r="DD167" i="6"/>
  <c r="DD166" i="6"/>
  <c r="DD165" i="6"/>
  <c r="DD164" i="6"/>
  <c r="DD163" i="6"/>
  <c r="DD162" i="6"/>
  <c r="DD161" i="6"/>
  <c r="DD160" i="6"/>
  <c r="DD159" i="6"/>
  <c r="DD158" i="6"/>
  <c r="DD157" i="6"/>
  <c r="DD156" i="6"/>
  <c r="DD155" i="6"/>
  <c r="DD154" i="6"/>
  <c r="DD153" i="6"/>
  <c r="DD152" i="6"/>
  <c r="DD183" i="6"/>
  <c r="DD151" i="6"/>
  <c r="DD150" i="6"/>
  <c r="DD149" i="6"/>
  <c r="DD148" i="6"/>
  <c r="DD147" i="6"/>
  <c r="DD146" i="6"/>
  <c r="DD145" i="6"/>
  <c r="DD144" i="6"/>
  <c r="DD143" i="6"/>
  <c r="DD142" i="6"/>
  <c r="DD141" i="6"/>
  <c r="DD140" i="6"/>
  <c r="DD139" i="6"/>
  <c r="DD138" i="6"/>
  <c r="DD137" i="6"/>
  <c r="DD136" i="6"/>
  <c r="DD135" i="6"/>
  <c r="DD134" i="6"/>
  <c r="DD133" i="6"/>
  <c r="DD132" i="6"/>
  <c r="DD131" i="6"/>
  <c r="DD130" i="6"/>
  <c r="DD129" i="6"/>
  <c r="DD128" i="6"/>
  <c r="DD127" i="6"/>
  <c r="DD126" i="6"/>
  <c r="DD125" i="6"/>
  <c r="DD124" i="6"/>
  <c r="DD118" i="6"/>
  <c r="DD117" i="6"/>
  <c r="DD116" i="6"/>
  <c r="DD115" i="6"/>
  <c r="DD114" i="6"/>
  <c r="DD113" i="6"/>
  <c r="DD112" i="6"/>
  <c r="DD111" i="6"/>
  <c r="DD110" i="6"/>
  <c r="DD109" i="6"/>
  <c r="DD108" i="6"/>
  <c r="DD107" i="6"/>
  <c r="DD106" i="6"/>
  <c r="DD105" i="6"/>
  <c r="DD104" i="6"/>
  <c r="DD103" i="6"/>
  <c r="DD102" i="6"/>
  <c r="DD101" i="6"/>
  <c r="DD100" i="6"/>
  <c r="DD99" i="6"/>
  <c r="DD98" i="6"/>
  <c r="DD97" i="6"/>
  <c r="DD96" i="6"/>
  <c r="DD95" i="6"/>
  <c r="DD94" i="6"/>
  <c r="DD93" i="6"/>
  <c r="DD92" i="6"/>
  <c r="DD119" i="6"/>
  <c r="DD91" i="6"/>
  <c r="DD90" i="6"/>
  <c r="DD89" i="6"/>
  <c r="DD88" i="6"/>
  <c r="DD87" i="6"/>
  <c r="DD86" i="6"/>
  <c r="DD85" i="6"/>
  <c r="DD84" i="6"/>
  <c r="DD83" i="6"/>
  <c r="DD82" i="6"/>
  <c r="DD81" i="6"/>
  <c r="DD80" i="6"/>
  <c r="DD79" i="6"/>
  <c r="DD78" i="6"/>
  <c r="DD77" i="6"/>
  <c r="DD76" i="6"/>
  <c r="DD75" i="6"/>
  <c r="DD74" i="6"/>
  <c r="DD73" i="6"/>
  <c r="DD72" i="6"/>
  <c r="DD71" i="6"/>
  <c r="DD66" i="6"/>
  <c r="DD65" i="6"/>
  <c r="DD64" i="6"/>
  <c r="DD63" i="6"/>
  <c r="DD62" i="6"/>
  <c r="DD61" i="6"/>
  <c r="DD60" i="6"/>
  <c r="DD59" i="6"/>
  <c r="DD58" i="6"/>
  <c r="DD57" i="6"/>
  <c r="DD56" i="6"/>
  <c r="DD55" i="6"/>
  <c r="DD54" i="6"/>
  <c r="DD53" i="6"/>
  <c r="DD52" i="6"/>
  <c r="DD51" i="6"/>
  <c r="DD50" i="6"/>
  <c r="DD49" i="6"/>
  <c r="DD48" i="6"/>
  <c r="DD47" i="6"/>
  <c r="DD46" i="6"/>
  <c r="DD45" i="6"/>
  <c r="DD44" i="6"/>
  <c r="DD43" i="6"/>
  <c r="DD42" i="6"/>
  <c r="DD41" i="6"/>
  <c r="DD40" i="6"/>
  <c r="DD39" i="6"/>
  <c r="DD38" i="6"/>
  <c r="DD37" i="6"/>
  <c r="DD36" i="6"/>
  <c r="DD35" i="6"/>
  <c r="DD34" i="6"/>
  <c r="DD33" i="6"/>
  <c r="DD32" i="6"/>
  <c r="DD31" i="6"/>
  <c r="DD19" i="6"/>
  <c r="DD18" i="6"/>
  <c r="DD22" i="6"/>
  <c r="DD17" i="6"/>
  <c r="DD24" i="6"/>
  <c r="DD30" i="6"/>
  <c r="DD29" i="6"/>
  <c r="DD23" i="6"/>
  <c r="DD21" i="6"/>
  <c r="DD20" i="6"/>
  <c r="CV246" i="6"/>
  <c r="CV245" i="6"/>
  <c r="CV244" i="6"/>
  <c r="CV239" i="6"/>
  <c r="CV238" i="6"/>
  <c r="CV233" i="6"/>
  <c r="CV232" i="6"/>
  <c r="CV231" i="6"/>
  <c r="CV230" i="6"/>
  <c r="CV225" i="6"/>
  <c r="CV224" i="6"/>
  <c r="CV223" i="6"/>
  <c r="CV222" i="6"/>
  <c r="CV221" i="6"/>
  <c r="CV220" i="6"/>
  <c r="CV219" i="6"/>
  <c r="CV218" i="6"/>
  <c r="CV217" i="6"/>
  <c r="CV216" i="6"/>
  <c r="CV215" i="6"/>
  <c r="CV214" i="6"/>
  <c r="CV213" i="6"/>
  <c r="CV208" i="6"/>
  <c r="CV207" i="6"/>
  <c r="CV206" i="6"/>
  <c r="CV205" i="6"/>
  <c r="CV204" i="6"/>
  <c r="CV203" i="6"/>
  <c r="CV202" i="6"/>
  <c r="CV201" i="6"/>
  <c r="CV200" i="6"/>
  <c r="CV199" i="6"/>
  <c r="CV198" i="6"/>
  <c r="CV197" i="6"/>
  <c r="CV196" i="6"/>
  <c r="CV195" i="6"/>
  <c r="CV194" i="6"/>
  <c r="CV193" i="6"/>
  <c r="CV192" i="6"/>
  <c r="CV191" i="6"/>
  <c r="CV190" i="6"/>
  <c r="CV185" i="6"/>
  <c r="CV184" i="6"/>
  <c r="CV182" i="6"/>
  <c r="CV181" i="6"/>
  <c r="CV180" i="6"/>
  <c r="CV179" i="6"/>
  <c r="CV178" i="6"/>
  <c r="CV177" i="6"/>
  <c r="CV172" i="6"/>
  <c r="CV171" i="6"/>
  <c r="CV170" i="6"/>
  <c r="CV169" i="6"/>
  <c r="CV168" i="6"/>
  <c r="CV167" i="6"/>
  <c r="CV166" i="6"/>
  <c r="CV165" i="6"/>
  <c r="CV164" i="6"/>
  <c r="CV163" i="6"/>
  <c r="CV162" i="6"/>
  <c r="CV161" i="6"/>
  <c r="CV160" i="6"/>
  <c r="CV159" i="6"/>
  <c r="CV158" i="6"/>
  <c r="CV157" i="6"/>
  <c r="CV156" i="6"/>
  <c r="CV155" i="6"/>
  <c r="CV154" i="6"/>
  <c r="CV153" i="6"/>
  <c r="CV152" i="6"/>
  <c r="CV183" i="6"/>
  <c r="CV150" i="6"/>
  <c r="CV149" i="6"/>
  <c r="CV148" i="6"/>
  <c r="CV147" i="6"/>
  <c r="CV146" i="6"/>
  <c r="CV145" i="6"/>
  <c r="CV144" i="6"/>
  <c r="CV143" i="6"/>
  <c r="CV142" i="6"/>
  <c r="CV141" i="6"/>
  <c r="CV140" i="6"/>
  <c r="CV139" i="6"/>
  <c r="CV138" i="6"/>
  <c r="CV137" i="6"/>
  <c r="CV136" i="6"/>
  <c r="CV135" i="6"/>
  <c r="CV134" i="6"/>
  <c r="CV133" i="6"/>
  <c r="CV132" i="6"/>
  <c r="CV131" i="6"/>
  <c r="CV130" i="6"/>
  <c r="CV129" i="6"/>
  <c r="CV128" i="6"/>
  <c r="CV127" i="6"/>
  <c r="CV126" i="6"/>
  <c r="CV125" i="6"/>
  <c r="CV124" i="6"/>
  <c r="CV151" i="6"/>
  <c r="CV118" i="6"/>
  <c r="CV117" i="6"/>
  <c r="CV116" i="6"/>
  <c r="CV115" i="6"/>
  <c r="CV114" i="6"/>
  <c r="CV113" i="6"/>
  <c r="CV112" i="6"/>
  <c r="CV111" i="6"/>
  <c r="CV110" i="6"/>
  <c r="CV109" i="6"/>
  <c r="CV108" i="6"/>
  <c r="CV107" i="6"/>
  <c r="CV106" i="6"/>
  <c r="CV105" i="6"/>
  <c r="CV104" i="6"/>
  <c r="CV103" i="6"/>
  <c r="CV102" i="6"/>
  <c r="CV101" i="6"/>
  <c r="CV100" i="6"/>
  <c r="CV99" i="6"/>
  <c r="CV98" i="6"/>
  <c r="CV97" i="6"/>
  <c r="CV96" i="6"/>
  <c r="CV95" i="6"/>
  <c r="CV94" i="6"/>
  <c r="CV93" i="6"/>
  <c r="CV92" i="6"/>
  <c r="CV119" i="6"/>
  <c r="CV91" i="6"/>
  <c r="CV90" i="6"/>
  <c r="CV89" i="6"/>
  <c r="CV88" i="6"/>
  <c r="CV87" i="6"/>
  <c r="CV86" i="6"/>
  <c r="CV85" i="6"/>
  <c r="CV84" i="6"/>
  <c r="CV83" i="6"/>
  <c r="CV82" i="6"/>
  <c r="CV81" i="6"/>
  <c r="CV80" i="6"/>
  <c r="CV79" i="6"/>
  <c r="CV78" i="6"/>
  <c r="CV77" i="6"/>
  <c r="CV76" i="6"/>
  <c r="CV75" i="6"/>
  <c r="CV74" i="6"/>
  <c r="CV73" i="6"/>
  <c r="CV72" i="6"/>
  <c r="CV71" i="6"/>
  <c r="CV66" i="6"/>
  <c r="CV65" i="6"/>
  <c r="CV64" i="6"/>
  <c r="CV63" i="6"/>
  <c r="CV62" i="6"/>
  <c r="CV61" i="6"/>
  <c r="CV59" i="6"/>
  <c r="CV58" i="6"/>
  <c r="CV57" i="6"/>
  <c r="CV56" i="6"/>
  <c r="CV55" i="6"/>
  <c r="CV54" i="6"/>
  <c r="CV53" i="6"/>
  <c r="CV52" i="6"/>
  <c r="CV51" i="6"/>
  <c r="CV50" i="6"/>
  <c r="CV49" i="6"/>
  <c r="CV48" i="6"/>
  <c r="CV47" i="6"/>
  <c r="CV46" i="6"/>
  <c r="CV45" i="6"/>
  <c r="CV44" i="6"/>
  <c r="CV43" i="6"/>
  <c r="CV42" i="6"/>
  <c r="CV41" i="6"/>
  <c r="CV40" i="6"/>
  <c r="CV39" i="6"/>
  <c r="CV38" i="6"/>
  <c r="CV37" i="6"/>
  <c r="CV36" i="6"/>
  <c r="CV35" i="6"/>
  <c r="CV34" i="6"/>
  <c r="CV33" i="6"/>
  <c r="CV32" i="6"/>
  <c r="CV60" i="6"/>
  <c r="CV19" i="6"/>
  <c r="CV17" i="6"/>
  <c r="CV24" i="6"/>
  <c r="CV21" i="6"/>
  <c r="CV30" i="6"/>
  <c r="CV29" i="6"/>
  <c r="CV23" i="6"/>
  <c r="CV31" i="6"/>
  <c r="CV20" i="6"/>
  <c r="CV18" i="6"/>
  <c r="CV22" i="6"/>
  <c r="CN246" i="6"/>
  <c r="CN245" i="6"/>
  <c r="CN244" i="6"/>
  <c r="CN239" i="6"/>
  <c r="CN238" i="6"/>
  <c r="CN233" i="6"/>
  <c r="CN232" i="6"/>
  <c r="CN231" i="6"/>
  <c r="CN230" i="6"/>
  <c r="CN225" i="6"/>
  <c r="CN224" i="6"/>
  <c r="CN223" i="6"/>
  <c r="CN222" i="6"/>
  <c r="CN221" i="6"/>
  <c r="CN220" i="6"/>
  <c r="CN219" i="6"/>
  <c r="CN218" i="6"/>
  <c r="CN217" i="6"/>
  <c r="CN215" i="6"/>
  <c r="CN214" i="6"/>
  <c r="CN213" i="6"/>
  <c r="CN208" i="6"/>
  <c r="CN207" i="6"/>
  <c r="CN206" i="6"/>
  <c r="CN205" i="6"/>
  <c r="CN204" i="6"/>
  <c r="CN203" i="6"/>
  <c r="CN202" i="6"/>
  <c r="CN201" i="6"/>
  <c r="CN200" i="6"/>
  <c r="CN199" i="6"/>
  <c r="CN198" i="6"/>
  <c r="CN197" i="6"/>
  <c r="CN196" i="6"/>
  <c r="CN195" i="6"/>
  <c r="CN194" i="6"/>
  <c r="CN193" i="6"/>
  <c r="CN192" i="6"/>
  <c r="CN191" i="6"/>
  <c r="CN190" i="6"/>
  <c r="CN185" i="6"/>
  <c r="CN184" i="6"/>
  <c r="CN216" i="6"/>
  <c r="CN182" i="6"/>
  <c r="CN181" i="6"/>
  <c r="CN180" i="6"/>
  <c r="CN179" i="6"/>
  <c r="CN178" i="6"/>
  <c r="CN177" i="6"/>
  <c r="CN172" i="6"/>
  <c r="CN171" i="6"/>
  <c r="CN170" i="6"/>
  <c r="CN169" i="6"/>
  <c r="CN168" i="6"/>
  <c r="CN167" i="6"/>
  <c r="CN166" i="6"/>
  <c r="CN165" i="6"/>
  <c r="CN164" i="6"/>
  <c r="CN163" i="6"/>
  <c r="CN162" i="6"/>
  <c r="CN161" i="6"/>
  <c r="CN160" i="6"/>
  <c r="CN159" i="6"/>
  <c r="CN158" i="6"/>
  <c r="CN157" i="6"/>
  <c r="CN156" i="6"/>
  <c r="CN155" i="6"/>
  <c r="CN154" i="6"/>
  <c r="CN153" i="6"/>
  <c r="CN152" i="6"/>
  <c r="CN183" i="6"/>
  <c r="CN150" i="6"/>
  <c r="CN149" i="6"/>
  <c r="CN148" i="6"/>
  <c r="CN147" i="6"/>
  <c r="CN146" i="6"/>
  <c r="CN145" i="6"/>
  <c r="CN144" i="6"/>
  <c r="CN143" i="6"/>
  <c r="CN142" i="6"/>
  <c r="CN141" i="6"/>
  <c r="CN140" i="6"/>
  <c r="CN139" i="6"/>
  <c r="CN138" i="6"/>
  <c r="CN137" i="6"/>
  <c r="CN136" i="6"/>
  <c r="CN135" i="6"/>
  <c r="CN134" i="6"/>
  <c r="CN133" i="6"/>
  <c r="CN132" i="6"/>
  <c r="CN131" i="6"/>
  <c r="CN130" i="6"/>
  <c r="CN129" i="6"/>
  <c r="CN128" i="6"/>
  <c r="CN127" i="6"/>
  <c r="CN126" i="6"/>
  <c r="CN125" i="6"/>
  <c r="CN151" i="6"/>
  <c r="CN124" i="6"/>
  <c r="CN119" i="6"/>
  <c r="CN118" i="6"/>
  <c r="CN117" i="6"/>
  <c r="CN116" i="6"/>
  <c r="CN115" i="6"/>
  <c r="CN114" i="6"/>
  <c r="CN113" i="6"/>
  <c r="CN112" i="6"/>
  <c r="CN111" i="6"/>
  <c r="CN110" i="6"/>
  <c r="CN109" i="6"/>
  <c r="CN108" i="6"/>
  <c r="CN107" i="6"/>
  <c r="CN106" i="6"/>
  <c r="CN105" i="6"/>
  <c r="CN104" i="6"/>
  <c r="CN103" i="6"/>
  <c r="CN102" i="6"/>
  <c r="CN101" i="6"/>
  <c r="CN100" i="6"/>
  <c r="CN99" i="6"/>
  <c r="CN98" i="6"/>
  <c r="CN97" i="6"/>
  <c r="CN96" i="6"/>
  <c r="CN95" i="6"/>
  <c r="CN94" i="6"/>
  <c r="CN93" i="6"/>
  <c r="CN92" i="6"/>
  <c r="CN91" i="6"/>
  <c r="CN90" i="6"/>
  <c r="CN89" i="6"/>
  <c r="CN88" i="6"/>
  <c r="CN87" i="6"/>
  <c r="CN86" i="6"/>
  <c r="CN85" i="6"/>
  <c r="CN84" i="6"/>
  <c r="CN83" i="6"/>
  <c r="CN82" i="6"/>
  <c r="CN81" i="6"/>
  <c r="CN80" i="6"/>
  <c r="CN79" i="6"/>
  <c r="CN78" i="6"/>
  <c r="CN77" i="6"/>
  <c r="CN76" i="6"/>
  <c r="CN75" i="6"/>
  <c r="CN74" i="6"/>
  <c r="CN73" i="6"/>
  <c r="CN72" i="6"/>
  <c r="CN71" i="6"/>
  <c r="CN66" i="6"/>
  <c r="CN65" i="6"/>
  <c r="CN64" i="6"/>
  <c r="CN63" i="6"/>
  <c r="CN62" i="6"/>
  <c r="CN61" i="6"/>
  <c r="CN59" i="6"/>
  <c r="CN58" i="6"/>
  <c r="CN57" i="6"/>
  <c r="CN56" i="6"/>
  <c r="CN55" i="6"/>
  <c r="CN54" i="6"/>
  <c r="CN53" i="6"/>
  <c r="CN52" i="6"/>
  <c r="CN51" i="6"/>
  <c r="CN50" i="6"/>
  <c r="CN49" i="6"/>
  <c r="CN48" i="6"/>
  <c r="CN47" i="6"/>
  <c r="CN46" i="6"/>
  <c r="CN45" i="6"/>
  <c r="CN44" i="6"/>
  <c r="CN43" i="6"/>
  <c r="CN42" i="6"/>
  <c r="CN41" i="6"/>
  <c r="CN40" i="6"/>
  <c r="CN39" i="6"/>
  <c r="CN38" i="6"/>
  <c r="CN37" i="6"/>
  <c r="CN36" i="6"/>
  <c r="CN35" i="6"/>
  <c r="CN34" i="6"/>
  <c r="CN33" i="6"/>
  <c r="CN32" i="6"/>
  <c r="CN60" i="6"/>
  <c r="CN19" i="6"/>
  <c r="CN18" i="6"/>
  <c r="CN17" i="6"/>
  <c r="CN24" i="6"/>
  <c r="CN30" i="6"/>
  <c r="CN29" i="6"/>
  <c r="CN23" i="6"/>
  <c r="CN22" i="6"/>
  <c r="CN31" i="6"/>
  <c r="CN20" i="6"/>
  <c r="CN21" i="6"/>
  <c r="CF246" i="6"/>
  <c r="CF245" i="6"/>
  <c r="CF244" i="6"/>
  <c r="CF239" i="6"/>
  <c r="CF238" i="6"/>
  <c r="CF233" i="6"/>
  <c r="CF232" i="6"/>
  <c r="CF231" i="6"/>
  <c r="CF230" i="6"/>
  <c r="CF225" i="6"/>
  <c r="CF224" i="6"/>
  <c r="CF223" i="6"/>
  <c r="CF222" i="6"/>
  <c r="CF221" i="6"/>
  <c r="CF220" i="6"/>
  <c r="CF219" i="6"/>
  <c r="CF218" i="6"/>
  <c r="CF217" i="6"/>
  <c r="CF215" i="6"/>
  <c r="CF214" i="6"/>
  <c r="CF213" i="6"/>
  <c r="CF208" i="6"/>
  <c r="CF207" i="6"/>
  <c r="CF206" i="6"/>
  <c r="CF205" i="6"/>
  <c r="CF204" i="6"/>
  <c r="CF203" i="6"/>
  <c r="CF202" i="6"/>
  <c r="CF201" i="6"/>
  <c r="CF200" i="6"/>
  <c r="CF199" i="6"/>
  <c r="CF198" i="6"/>
  <c r="CF197" i="6"/>
  <c r="CF196" i="6"/>
  <c r="CF195" i="6"/>
  <c r="CF194" i="6"/>
  <c r="CF193" i="6"/>
  <c r="CF192" i="6"/>
  <c r="CF191" i="6"/>
  <c r="CF190" i="6"/>
  <c r="CF185" i="6"/>
  <c r="CF184" i="6"/>
  <c r="CF216" i="6"/>
  <c r="CF182" i="6"/>
  <c r="CF181" i="6"/>
  <c r="CF180" i="6"/>
  <c r="CF179" i="6"/>
  <c r="CF178" i="6"/>
  <c r="CF177" i="6"/>
  <c r="CF172" i="6"/>
  <c r="CF171" i="6"/>
  <c r="CF170" i="6"/>
  <c r="CF169" i="6"/>
  <c r="CF168" i="6"/>
  <c r="CF167" i="6"/>
  <c r="CF166" i="6"/>
  <c r="CF165" i="6"/>
  <c r="CF164" i="6"/>
  <c r="CF163" i="6"/>
  <c r="CF162" i="6"/>
  <c r="CF161" i="6"/>
  <c r="CF160" i="6"/>
  <c r="CF159" i="6"/>
  <c r="CF158" i="6"/>
  <c r="CF157" i="6"/>
  <c r="CF156" i="6"/>
  <c r="CF155" i="6"/>
  <c r="CF154" i="6"/>
  <c r="CF153" i="6"/>
  <c r="CF183" i="6"/>
  <c r="CF150" i="6"/>
  <c r="CF149" i="6"/>
  <c r="CF148" i="6"/>
  <c r="CF147" i="6"/>
  <c r="CF146" i="6"/>
  <c r="CF145" i="6"/>
  <c r="CF144" i="6"/>
  <c r="CF143" i="6"/>
  <c r="CF142" i="6"/>
  <c r="CF141" i="6"/>
  <c r="CF140" i="6"/>
  <c r="CF139" i="6"/>
  <c r="CF138" i="6"/>
  <c r="CF137" i="6"/>
  <c r="CF136" i="6"/>
  <c r="CF135" i="6"/>
  <c r="CF134" i="6"/>
  <c r="CF133" i="6"/>
  <c r="CF132" i="6"/>
  <c r="CF131" i="6"/>
  <c r="CF130" i="6"/>
  <c r="CF129" i="6"/>
  <c r="CF128" i="6"/>
  <c r="CF127" i="6"/>
  <c r="CF126" i="6"/>
  <c r="CF125" i="6"/>
  <c r="CF151" i="6"/>
  <c r="CF152" i="6"/>
  <c r="CF119" i="6"/>
  <c r="CF118" i="6"/>
  <c r="CF117" i="6"/>
  <c r="CF116" i="6"/>
  <c r="CF115" i="6"/>
  <c r="CF114" i="6"/>
  <c r="CF113" i="6"/>
  <c r="CF112" i="6"/>
  <c r="CF111" i="6"/>
  <c r="CF110" i="6"/>
  <c r="CF109" i="6"/>
  <c r="CF108" i="6"/>
  <c r="CF107" i="6"/>
  <c r="CF106" i="6"/>
  <c r="CF105" i="6"/>
  <c r="CF104" i="6"/>
  <c r="CF103" i="6"/>
  <c r="CF102" i="6"/>
  <c r="CF101" i="6"/>
  <c r="CF100" i="6"/>
  <c r="CF99" i="6"/>
  <c r="CF98" i="6"/>
  <c r="CF97" i="6"/>
  <c r="CF96" i="6"/>
  <c r="CF95" i="6"/>
  <c r="CF94" i="6"/>
  <c r="CF93" i="6"/>
  <c r="CF92" i="6"/>
  <c r="CF124" i="6"/>
  <c r="CF91" i="6"/>
  <c r="CF90" i="6"/>
  <c r="CF89" i="6"/>
  <c r="CF88" i="6"/>
  <c r="CF87" i="6"/>
  <c r="CF86" i="6"/>
  <c r="CF85" i="6"/>
  <c r="CF84" i="6"/>
  <c r="CF83" i="6"/>
  <c r="CF82" i="6"/>
  <c r="CF81" i="6"/>
  <c r="CF80" i="6"/>
  <c r="CF79" i="6"/>
  <c r="CF78" i="6"/>
  <c r="CF77" i="6"/>
  <c r="CF76" i="6"/>
  <c r="CF75" i="6"/>
  <c r="CF74" i="6"/>
  <c r="CF73" i="6"/>
  <c r="CF72" i="6"/>
  <c r="CF71" i="6"/>
  <c r="CF66" i="6"/>
  <c r="CF65" i="6"/>
  <c r="CF64" i="6"/>
  <c r="CF63" i="6"/>
  <c r="CF62" i="6"/>
  <c r="CF61" i="6"/>
  <c r="CF60" i="6"/>
  <c r="CF59" i="6"/>
  <c r="CF58" i="6"/>
  <c r="CF57" i="6"/>
  <c r="CF56" i="6"/>
  <c r="CF55" i="6"/>
  <c r="CF54" i="6"/>
  <c r="CF53" i="6"/>
  <c r="CF52" i="6"/>
  <c r="CF51" i="6"/>
  <c r="CF50" i="6"/>
  <c r="CF49" i="6"/>
  <c r="CF48" i="6"/>
  <c r="CF47" i="6"/>
  <c r="CF46" i="6"/>
  <c r="CF45" i="6"/>
  <c r="CF44" i="6"/>
  <c r="CF43" i="6"/>
  <c r="CF42" i="6"/>
  <c r="CF41" i="6"/>
  <c r="CF40" i="6"/>
  <c r="CF39" i="6"/>
  <c r="CF38" i="6"/>
  <c r="CF37" i="6"/>
  <c r="CF36" i="6"/>
  <c r="CF35" i="6"/>
  <c r="CF34" i="6"/>
  <c r="CF33" i="6"/>
  <c r="CF32" i="6"/>
  <c r="CF19" i="6"/>
  <c r="CF17" i="6"/>
  <c r="CF24" i="6"/>
  <c r="CF22" i="6"/>
  <c r="CF31" i="6"/>
  <c r="CF30" i="6"/>
  <c r="CF29" i="6"/>
  <c r="CF23" i="6"/>
  <c r="CF21" i="6"/>
  <c r="CF20" i="6"/>
  <c r="CF18" i="6"/>
  <c r="BX246" i="6"/>
  <c r="BX245" i="6"/>
  <c r="BX244" i="6"/>
  <c r="BX239" i="6"/>
  <c r="BX238" i="6"/>
  <c r="BX233" i="6"/>
  <c r="BX232" i="6"/>
  <c r="BX231" i="6"/>
  <c r="BX230" i="6"/>
  <c r="BX225" i="6"/>
  <c r="BX224" i="6"/>
  <c r="BX223" i="6"/>
  <c r="BX222" i="6"/>
  <c r="BX221" i="6"/>
  <c r="BX220" i="6"/>
  <c r="BX219" i="6"/>
  <c r="BX218" i="6"/>
  <c r="BX217" i="6"/>
  <c r="BX215" i="6"/>
  <c r="BX214" i="6"/>
  <c r="BX213" i="6"/>
  <c r="BX208" i="6"/>
  <c r="BX207" i="6"/>
  <c r="BX206" i="6"/>
  <c r="BX205" i="6"/>
  <c r="BX204" i="6"/>
  <c r="BX203" i="6"/>
  <c r="BX202" i="6"/>
  <c r="BX201" i="6"/>
  <c r="BX200" i="6"/>
  <c r="BX199" i="6"/>
  <c r="BX198" i="6"/>
  <c r="BX197" i="6"/>
  <c r="BX196" i="6"/>
  <c r="BX195" i="6"/>
  <c r="BX194" i="6"/>
  <c r="BX193" i="6"/>
  <c r="BX192" i="6"/>
  <c r="BX191" i="6"/>
  <c r="BX190" i="6"/>
  <c r="BX185" i="6"/>
  <c r="BX184" i="6"/>
  <c r="BX216" i="6"/>
  <c r="BX182" i="6"/>
  <c r="BX181" i="6"/>
  <c r="BX180" i="6"/>
  <c r="BX179" i="6"/>
  <c r="BX178" i="6"/>
  <c r="BX177" i="6"/>
  <c r="BX172" i="6"/>
  <c r="BX171" i="6"/>
  <c r="BX170" i="6"/>
  <c r="BX169" i="6"/>
  <c r="BX168" i="6"/>
  <c r="BX167" i="6"/>
  <c r="BX166" i="6"/>
  <c r="BX165" i="6"/>
  <c r="BX164" i="6"/>
  <c r="BX163" i="6"/>
  <c r="BX162" i="6"/>
  <c r="BX161" i="6"/>
  <c r="BX160" i="6"/>
  <c r="BX159" i="6"/>
  <c r="BX158" i="6"/>
  <c r="BX157" i="6"/>
  <c r="BX156" i="6"/>
  <c r="BX155" i="6"/>
  <c r="BX154" i="6"/>
  <c r="BX153" i="6"/>
  <c r="BX183" i="6"/>
  <c r="BX151" i="6"/>
  <c r="BX150" i="6"/>
  <c r="BX149" i="6"/>
  <c r="BX148" i="6"/>
  <c r="BX147" i="6"/>
  <c r="BX146" i="6"/>
  <c r="BX145" i="6"/>
  <c r="BX144" i="6"/>
  <c r="BX143" i="6"/>
  <c r="BX142" i="6"/>
  <c r="BX141" i="6"/>
  <c r="BX140" i="6"/>
  <c r="BX139" i="6"/>
  <c r="BX138" i="6"/>
  <c r="BX137" i="6"/>
  <c r="BX136" i="6"/>
  <c r="BX135" i="6"/>
  <c r="BX134" i="6"/>
  <c r="BX133" i="6"/>
  <c r="BX132" i="6"/>
  <c r="BX131" i="6"/>
  <c r="BX130" i="6"/>
  <c r="BX129" i="6"/>
  <c r="BX128" i="6"/>
  <c r="BX127" i="6"/>
  <c r="BX126" i="6"/>
  <c r="BX125" i="6"/>
  <c r="BX152" i="6"/>
  <c r="BX119" i="6"/>
  <c r="BX118" i="6"/>
  <c r="BX117" i="6"/>
  <c r="BX116" i="6"/>
  <c r="BX115" i="6"/>
  <c r="BX114" i="6"/>
  <c r="BX113" i="6"/>
  <c r="BX112" i="6"/>
  <c r="BX111" i="6"/>
  <c r="BX110" i="6"/>
  <c r="BX109" i="6"/>
  <c r="BX108" i="6"/>
  <c r="BX107" i="6"/>
  <c r="BX106" i="6"/>
  <c r="BX105" i="6"/>
  <c r="BX104" i="6"/>
  <c r="BX103" i="6"/>
  <c r="BX102" i="6"/>
  <c r="BX101" i="6"/>
  <c r="BX100" i="6"/>
  <c r="BX99" i="6"/>
  <c r="BX98" i="6"/>
  <c r="BX97" i="6"/>
  <c r="BX96" i="6"/>
  <c r="BX95" i="6"/>
  <c r="BX94" i="6"/>
  <c r="BX93" i="6"/>
  <c r="BX124" i="6"/>
  <c r="BX92" i="6"/>
  <c r="BX91" i="6"/>
  <c r="BX90" i="6"/>
  <c r="BX89" i="6"/>
  <c r="BX88" i="6"/>
  <c r="BX87" i="6"/>
  <c r="BX86" i="6"/>
  <c r="BX85" i="6"/>
  <c r="BX84" i="6"/>
  <c r="BX83" i="6"/>
  <c r="BX82" i="6"/>
  <c r="BX81" i="6"/>
  <c r="BX80" i="6"/>
  <c r="BX79" i="6"/>
  <c r="BX78" i="6"/>
  <c r="BX77" i="6"/>
  <c r="BX76" i="6"/>
  <c r="BX75" i="6"/>
  <c r="BX74" i="6"/>
  <c r="BX73" i="6"/>
  <c r="BX72" i="6"/>
  <c r="BX71" i="6"/>
  <c r="BX66" i="6"/>
  <c r="BX65" i="6"/>
  <c r="BX64" i="6"/>
  <c r="BX63" i="6"/>
  <c r="BX62" i="6"/>
  <c r="BX60" i="6"/>
  <c r="BX59" i="6"/>
  <c r="BX58" i="6"/>
  <c r="BX57" i="6"/>
  <c r="BX56" i="6"/>
  <c r="BX55" i="6"/>
  <c r="BX54" i="6"/>
  <c r="BX53" i="6"/>
  <c r="BX52" i="6"/>
  <c r="BX51" i="6"/>
  <c r="BX50" i="6"/>
  <c r="BX49" i="6"/>
  <c r="BX48" i="6"/>
  <c r="BX47" i="6"/>
  <c r="BX46" i="6"/>
  <c r="BX45" i="6"/>
  <c r="BX44" i="6"/>
  <c r="BX43" i="6"/>
  <c r="BX42" i="6"/>
  <c r="BX41" i="6"/>
  <c r="BX40" i="6"/>
  <c r="BX39" i="6"/>
  <c r="BX38" i="6"/>
  <c r="BX37" i="6"/>
  <c r="BX36" i="6"/>
  <c r="BX35" i="6"/>
  <c r="BX34" i="6"/>
  <c r="BX33" i="6"/>
  <c r="BX32" i="6"/>
  <c r="BX61" i="6"/>
  <c r="BX19" i="6"/>
  <c r="BX18" i="6"/>
  <c r="BX21" i="6"/>
  <c r="BX17" i="6"/>
  <c r="BX24" i="6"/>
  <c r="BX31" i="6"/>
  <c r="BX30" i="6"/>
  <c r="BX29" i="6"/>
  <c r="BX23" i="6"/>
  <c r="BX22" i="6"/>
  <c r="BX20" i="6"/>
  <c r="BP246" i="6"/>
  <c r="BP245" i="6"/>
  <c r="BP244" i="6"/>
  <c r="BP239" i="6"/>
  <c r="BP238" i="6"/>
  <c r="BP233" i="6"/>
  <c r="BP232" i="6"/>
  <c r="BP231" i="6"/>
  <c r="BP230" i="6"/>
  <c r="BP225" i="6"/>
  <c r="BP224" i="6"/>
  <c r="BP223" i="6"/>
  <c r="BP222" i="6"/>
  <c r="BP221" i="6"/>
  <c r="BP220" i="6"/>
  <c r="BP219" i="6"/>
  <c r="BP218" i="6"/>
  <c r="BP217" i="6"/>
  <c r="BP216" i="6"/>
  <c r="BP215" i="6"/>
  <c r="BP214" i="6"/>
  <c r="BP213" i="6"/>
  <c r="BP208" i="6"/>
  <c r="BP207" i="6"/>
  <c r="BP206" i="6"/>
  <c r="BP205" i="6"/>
  <c r="BP204" i="6"/>
  <c r="BP203" i="6"/>
  <c r="BP202" i="6"/>
  <c r="BP201" i="6"/>
  <c r="BP200" i="6"/>
  <c r="BP199" i="6"/>
  <c r="BP198" i="6"/>
  <c r="BP197" i="6"/>
  <c r="BP196" i="6"/>
  <c r="BP195" i="6"/>
  <c r="BP194" i="6"/>
  <c r="BP193" i="6"/>
  <c r="BP192" i="6"/>
  <c r="BP191" i="6"/>
  <c r="BP190" i="6"/>
  <c r="BP185" i="6"/>
  <c r="BP184" i="6"/>
  <c r="BP183" i="6"/>
  <c r="BP182" i="6"/>
  <c r="BP181" i="6"/>
  <c r="BP180" i="6"/>
  <c r="BP179" i="6"/>
  <c r="BP178" i="6"/>
  <c r="BP177" i="6"/>
  <c r="BP172" i="6"/>
  <c r="BP171" i="6"/>
  <c r="BP170" i="6"/>
  <c r="BP169" i="6"/>
  <c r="BP168" i="6"/>
  <c r="BP167" i="6"/>
  <c r="BP166" i="6"/>
  <c r="BP165" i="6"/>
  <c r="BP164" i="6"/>
  <c r="BP163" i="6"/>
  <c r="BP162" i="6"/>
  <c r="BP161" i="6"/>
  <c r="BP160" i="6"/>
  <c r="BP159" i="6"/>
  <c r="BP158" i="6"/>
  <c r="BP157" i="6"/>
  <c r="BP156" i="6"/>
  <c r="BP155" i="6"/>
  <c r="BP154" i="6"/>
  <c r="BP153" i="6"/>
  <c r="BP152" i="6"/>
  <c r="BP151" i="6"/>
  <c r="BP150" i="6"/>
  <c r="BP149" i="6"/>
  <c r="BP148" i="6"/>
  <c r="BP147" i="6"/>
  <c r="BP146" i="6"/>
  <c r="BP145" i="6"/>
  <c r="BP144" i="6"/>
  <c r="BP143" i="6"/>
  <c r="BP142" i="6"/>
  <c r="BP141" i="6"/>
  <c r="BP140" i="6"/>
  <c r="BP139" i="6"/>
  <c r="BP138" i="6"/>
  <c r="BP137" i="6"/>
  <c r="BP136" i="6"/>
  <c r="BP135" i="6"/>
  <c r="BP134" i="6"/>
  <c r="BP133" i="6"/>
  <c r="BP132" i="6"/>
  <c r="BP131" i="6"/>
  <c r="BP130" i="6"/>
  <c r="BP129" i="6"/>
  <c r="BP128" i="6"/>
  <c r="BP127" i="6"/>
  <c r="BP126" i="6"/>
  <c r="BP125" i="6"/>
  <c r="BP124" i="6"/>
  <c r="BP119" i="6"/>
  <c r="BP118" i="6"/>
  <c r="BP117" i="6"/>
  <c r="BP116" i="6"/>
  <c r="BP115" i="6"/>
  <c r="BP114" i="6"/>
  <c r="BP113" i="6"/>
  <c r="BP112" i="6"/>
  <c r="BP111" i="6"/>
  <c r="BP110" i="6"/>
  <c r="BP109" i="6"/>
  <c r="BP108" i="6"/>
  <c r="BP107" i="6"/>
  <c r="BP106" i="6"/>
  <c r="BP105" i="6"/>
  <c r="BP104" i="6"/>
  <c r="BP103" i="6"/>
  <c r="BP102" i="6"/>
  <c r="BP101" i="6"/>
  <c r="BP100" i="6"/>
  <c r="BP99" i="6"/>
  <c r="BP98" i="6"/>
  <c r="BP97" i="6"/>
  <c r="BP96" i="6"/>
  <c r="BP95" i="6"/>
  <c r="BP94" i="6"/>
  <c r="BP93" i="6"/>
  <c r="BP92" i="6"/>
  <c r="BP91" i="6"/>
  <c r="BP90" i="6"/>
  <c r="BP89" i="6"/>
  <c r="BP88" i="6"/>
  <c r="BP87" i="6"/>
  <c r="BP86" i="6"/>
  <c r="BP85" i="6"/>
  <c r="BP84" i="6"/>
  <c r="BP83" i="6"/>
  <c r="BP82" i="6"/>
  <c r="BP81" i="6"/>
  <c r="BP80" i="6"/>
  <c r="BP79" i="6"/>
  <c r="BP78" i="6"/>
  <c r="BP77" i="6"/>
  <c r="BP76" i="6"/>
  <c r="BP75" i="6"/>
  <c r="BP74" i="6"/>
  <c r="BP73" i="6"/>
  <c r="BP72" i="6"/>
  <c r="BP71" i="6"/>
  <c r="BP66" i="6"/>
  <c r="BP65" i="6"/>
  <c r="BP64" i="6"/>
  <c r="BP63" i="6"/>
  <c r="BP62" i="6"/>
  <c r="BP61" i="6"/>
  <c r="BP60" i="6"/>
  <c r="BP59" i="6"/>
  <c r="BP58" i="6"/>
  <c r="BP57" i="6"/>
  <c r="BP56" i="6"/>
  <c r="BP55" i="6"/>
  <c r="BP54" i="6"/>
  <c r="BP53" i="6"/>
  <c r="BP52" i="6"/>
  <c r="BP51" i="6"/>
  <c r="BP50" i="6"/>
  <c r="BP49" i="6"/>
  <c r="BP48" i="6"/>
  <c r="BP47" i="6"/>
  <c r="BP46" i="6"/>
  <c r="BP45" i="6"/>
  <c r="BP44" i="6"/>
  <c r="BP43" i="6"/>
  <c r="BP42" i="6"/>
  <c r="BP41" i="6"/>
  <c r="BP40" i="6"/>
  <c r="BP39" i="6"/>
  <c r="BP38" i="6"/>
  <c r="BP37" i="6"/>
  <c r="BP36" i="6"/>
  <c r="BP35" i="6"/>
  <c r="BP34" i="6"/>
  <c r="BP33" i="6"/>
  <c r="BP32" i="6"/>
  <c r="BP19" i="6"/>
  <c r="BP17" i="6"/>
  <c r="BP24" i="6"/>
  <c r="BP21" i="6"/>
  <c r="BP31" i="6"/>
  <c r="BP30" i="6"/>
  <c r="BP29" i="6"/>
  <c r="BP23" i="6"/>
  <c r="BP20" i="6"/>
  <c r="BP18" i="6"/>
  <c r="BP22" i="6"/>
  <c r="AO175" i="9"/>
  <c r="AO11" i="9"/>
  <c r="AO179" i="9" s="1"/>
  <c r="AG175" i="9"/>
  <c r="AG11" i="9"/>
  <c r="AG179" i="9" s="1"/>
  <c r="DC246" i="6"/>
  <c r="DC245" i="6"/>
  <c r="DC244" i="6"/>
  <c r="DC239" i="6"/>
  <c r="DC238" i="6"/>
  <c r="DC233" i="6"/>
  <c r="DC232" i="6"/>
  <c r="DC231" i="6"/>
  <c r="DC230" i="6"/>
  <c r="DC225" i="6"/>
  <c r="DC224" i="6"/>
  <c r="DC223" i="6"/>
  <c r="DC222" i="6"/>
  <c r="DC221" i="6"/>
  <c r="DC220" i="6"/>
  <c r="DC219" i="6"/>
  <c r="DC218" i="6"/>
  <c r="DC217" i="6"/>
  <c r="DC216" i="6"/>
  <c r="DC215" i="6"/>
  <c r="DC214" i="6"/>
  <c r="DC213" i="6"/>
  <c r="DC208" i="6"/>
  <c r="DC207" i="6"/>
  <c r="DC206" i="6"/>
  <c r="DC205" i="6"/>
  <c r="DC204" i="6"/>
  <c r="DC203" i="6"/>
  <c r="DC202" i="6"/>
  <c r="DC201" i="6"/>
  <c r="DC200" i="6"/>
  <c r="DC199" i="6"/>
  <c r="DC198" i="6"/>
  <c r="DC197" i="6"/>
  <c r="DC196" i="6"/>
  <c r="DC195" i="6"/>
  <c r="DC194" i="6"/>
  <c r="DC193" i="6"/>
  <c r="DC192" i="6"/>
  <c r="DC191" i="6"/>
  <c r="DC190" i="6"/>
  <c r="DC185" i="6"/>
  <c r="DC184" i="6"/>
  <c r="DC183" i="6"/>
  <c r="DC182" i="6"/>
  <c r="DC181" i="6"/>
  <c r="DC180" i="6"/>
  <c r="DC179" i="6"/>
  <c r="DC178" i="6"/>
  <c r="DC177" i="6"/>
  <c r="DC172" i="6"/>
  <c r="DC171" i="6"/>
  <c r="DC170" i="6"/>
  <c r="DC169" i="6"/>
  <c r="DC168" i="6"/>
  <c r="DC167" i="6"/>
  <c r="DC166" i="6"/>
  <c r="DC165" i="6"/>
  <c r="DC164" i="6"/>
  <c r="DC163" i="6"/>
  <c r="DC162" i="6"/>
  <c r="DC161" i="6"/>
  <c r="DC160" i="6"/>
  <c r="DC159" i="6"/>
  <c r="DC158" i="6"/>
  <c r="DC157" i="6"/>
  <c r="DC156" i="6"/>
  <c r="DC155" i="6"/>
  <c r="DC154" i="6"/>
  <c r="DC153" i="6"/>
  <c r="DC152" i="6"/>
  <c r="DC151" i="6"/>
  <c r="DC150" i="6"/>
  <c r="DC149" i="6"/>
  <c r="DC148" i="6"/>
  <c r="DC147" i="6"/>
  <c r="DC146" i="6"/>
  <c r="DC145" i="6"/>
  <c r="DC144" i="6"/>
  <c r="DC143" i="6"/>
  <c r="DC142" i="6"/>
  <c r="DC141" i="6"/>
  <c r="DC140" i="6"/>
  <c r="DC139" i="6"/>
  <c r="DC138" i="6"/>
  <c r="DC137" i="6"/>
  <c r="DC136" i="6"/>
  <c r="DC135" i="6"/>
  <c r="DC134" i="6"/>
  <c r="DC133" i="6"/>
  <c r="DC132" i="6"/>
  <c r="DC131" i="6"/>
  <c r="DC130" i="6"/>
  <c r="DC129" i="6"/>
  <c r="DC128" i="6"/>
  <c r="DC127" i="6"/>
  <c r="DC126" i="6"/>
  <c r="DC125" i="6"/>
  <c r="DC124" i="6"/>
  <c r="DC118" i="6"/>
  <c r="DC117" i="6"/>
  <c r="DC116" i="6"/>
  <c r="DC115" i="6"/>
  <c r="DC114" i="6"/>
  <c r="DC113" i="6"/>
  <c r="DC112" i="6"/>
  <c r="DC111" i="6"/>
  <c r="DC110" i="6"/>
  <c r="DC109" i="6"/>
  <c r="DC108" i="6"/>
  <c r="DC107" i="6"/>
  <c r="DC106" i="6"/>
  <c r="DC105" i="6"/>
  <c r="DC104" i="6"/>
  <c r="DC103" i="6"/>
  <c r="DC102" i="6"/>
  <c r="DC101" i="6"/>
  <c r="DC100" i="6"/>
  <c r="DC99" i="6"/>
  <c r="DC98" i="6"/>
  <c r="DC97" i="6"/>
  <c r="DC96" i="6"/>
  <c r="DC95" i="6"/>
  <c r="DC94" i="6"/>
  <c r="DC93" i="6"/>
  <c r="DC92" i="6"/>
  <c r="DC119" i="6"/>
  <c r="DC91" i="6"/>
  <c r="DC90" i="6"/>
  <c r="DC89" i="6"/>
  <c r="DC88" i="6"/>
  <c r="DC87" i="6"/>
  <c r="DC86" i="6"/>
  <c r="DC85" i="6"/>
  <c r="DC84" i="6"/>
  <c r="DC83" i="6"/>
  <c r="DC82" i="6"/>
  <c r="DC81" i="6"/>
  <c r="DC80" i="6"/>
  <c r="DC79" i="6"/>
  <c r="DC78" i="6"/>
  <c r="DC77" i="6"/>
  <c r="DC76" i="6"/>
  <c r="DC75" i="6"/>
  <c r="DC74" i="6"/>
  <c r="DC73" i="6"/>
  <c r="DC72" i="6"/>
  <c r="DC71" i="6"/>
  <c r="DC66" i="6"/>
  <c r="DC65" i="6"/>
  <c r="DC64" i="6"/>
  <c r="DC63" i="6"/>
  <c r="DC62" i="6"/>
  <c r="DC61" i="6"/>
  <c r="DC60" i="6"/>
  <c r="DC59" i="6"/>
  <c r="DC58" i="6"/>
  <c r="DC57" i="6"/>
  <c r="DC56" i="6"/>
  <c r="DC55" i="6"/>
  <c r="DC54" i="6"/>
  <c r="DC53" i="6"/>
  <c r="DC52" i="6"/>
  <c r="DC51" i="6"/>
  <c r="DC50" i="6"/>
  <c r="DC49" i="6"/>
  <c r="DC48" i="6"/>
  <c r="DC47" i="6"/>
  <c r="DC46" i="6"/>
  <c r="DC45" i="6"/>
  <c r="DC44" i="6"/>
  <c r="DC43" i="6"/>
  <c r="DC42" i="6"/>
  <c r="DC41" i="6"/>
  <c r="DC40" i="6"/>
  <c r="DC39" i="6"/>
  <c r="DC38" i="6"/>
  <c r="DC37" i="6"/>
  <c r="DC36" i="6"/>
  <c r="DC35" i="6"/>
  <c r="DC34" i="6"/>
  <c r="DC33" i="6"/>
  <c r="DC31" i="6"/>
  <c r="DC18" i="6"/>
  <c r="DC17" i="6"/>
  <c r="DC24" i="6"/>
  <c r="DC23" i="6"/>
  <c r="DC22" i="6"/>
  <c r="DC21" i="6"/>
  <c r="DC30" i="6"/>
  <c r="DC29" i="6"/>
  <c r="DC32" i="6"/>
  <c r="DC19" i="6"/>
  <c r="DC20" i="6"/>
  <c r="CU246" i="6"/>
  <c r="CU245" i="6"/>
  <c r="CU244" i="6"/>
  <c r="CU239" i="6"/>
  <c r="CU238" i="6"/>
  <c r="CU233" i="6"/>
  <c r="CU232" i="6"/>
  <c r="CU231" i="6"/>
  <c r="CU230" i="6"/>
  <c r="CU225" i="6"/>
  <c r="CU224" i="6"/>
  <c r="CU223" i="6"/>
  <c r="CU222" i="6"/>
  <c r="CU221" i="6"/>
  <c r="CU220" i="6"/>
  <c r="CU219" i="6"/>
  <c r="CU218" i="6"/>
  <c r="CU217" i="6"/>
  <c r="CU216" i="6"/>
  <c r="CU215" i="6"/>
  <c r="CU214" i="6"/>
  <c r="CU213" i="6"/>
  <c r="CU208" i="6"/>
  <c r="CU207" i="6"/>
  <c r="CU206" i="6"/>
  <c r="CU205" i="6"/>
  <c r="CU204" i="6"/>
  <c r="CU203" i="6"/>
  <c r="CU202" i="6"/>
  <c r="CU201" i="6"/>
  <c r="CU200" i="6"/>
  <c r="CU199" i="6"/>
  <c r="CU198" i="6"/>
  <c r="CU197" i="6"/>
  <c r="CU196" i="6"/>
  <c r="CU195" i="6"/>
  <c r="CU194" i="6"/>
  <c r="CU193" i="6"/>
  <c r="CU192" i="6"/>
  <c r="CU191" i="6"/>
  <c r="CU190" i="6"/>
  <c r="CU185" i="6"/>
  <c r="CU184" i="6"/>
  <c r="CU182" i="6"/>
  <c r="CU181" i="6"/>
  <c r="CU180" i="6"/>
  <c r="CU179" i="6"/>
  <c r="CU178" i="6"/>
  <c r="CU177" i="6"/>
  <c r="CU172" i="6"/>
  <c r="CU171" i="6"/>
  <c r="CU170" i="6"/>
  <c r="CU169" i="6"/>
  <c r="CU168" i="6"/>
  <c r="CU167" i="6"/>
  <c r="CU166" i="6"/>
  <c r="CU165" i="6"/>
  <c r="CU164" i="6"/>
  <c r="CU163" i="6"/>
  <c r="CU162" i="6"/>
  <c r="CU161" i="6"/>
  <c r="CU160" i="6"/>
  <c r="CU159" i="6"/>
  <c r="CU158" i="6"/>
  <c r="CU157" i="6"/>
  <c r="CU156" i="6"/>
  <c r="CU155" i="6"/>
  <c r="CU154" i="6"/>
  <c r="CU153" i="6"/>
  <c r="CU152" i="6"/>
  <c r="CU183" i="6"/>
  <c r="CU150" i="6"/>
  <c r="CU149" i="6"/>
  <c r="CU148" i="6"/>
  <c r="CU147" i="6"/>
  <c r="CU146" i="6"/>
  <c r="CU145" i="6"/>
  <c r="CU144" i="6"/>
  <c r="CU143" i="6"/>
  <c r="CU142" i="6"/>
  <c r="CU141" i="6"/>
  <c r="CU140" i="6"/>
  <c r="CU139" i="6"/>
  <c r="CU138" i="6"/>
  <c r="CU137" i="6"/>
  <c r="CU136" i="6"/>
  <c r="CU135" i="6"/>
  <c r="CU134" i="6"/>
  <c r="CU133" i="6"/>
  <c r="CU132" i="6"/>
  <c r="CU131" i="6"/>
  <c r="CU130" i="6"/>
  <c r="CU129" i="6"/>
  <c r="CU128" i="6"/>
  <c r="CU127" i="6"/>
  <c r="CU126" i="6"/>
  <c r="CU125" i="6"/>
  <c r="CU151" i="6"/>
  <c r="CU118" i="6"/>
  <c r="CU117" i="6"/>
  <c r="CU116" i="6"/>
  <c r="CU115" i="6"/>
  <c r="CU114" i="6"/>
  <c r="CU113" i="6"/>
  <c r="CU112" i="6"/>
  <c r="CU111" i="6"/>
  <c r="CU110" i="6"/>
  <c r="CU109" i="6"/>
  <c r="CU108" i="6"/>
  <c r="CU107" i="6"/>
  <c r="CU106" i="6"/>
  <c r="CU105" i="6"/>
  <c r="CU104" i="6"/>
  <c r="CU103" i="6"/>
  <c r="CU102" i="6"/>
  <c r="CU101" i="6"/>
  <c r="CU100" i="6"/>
  <c r="CU99" i="6"/>
  <c r="CU98" i="6"/>
  <c r="CU97" i="6"/>
  <c r="CU96" i="6"/>
  <c r="CU95" i="6"/>
  <c r="CU94" i="6"/>
  <c r="CU93" i="6"/>
  <c r="CU92" i="6"/>
  <c r="CU119" i="6"/>
  <c r="CU124" i="6"/>
  <c r="CU91" i="6"/>
  <c r="CU90" i="6"/>
  <c r="CU89" i="6"/>
  <c r="CU88" i="6"/>
  <c r="CU87" i="6"/>
  <c r="CU86" i="6"/>
  <c r="CU85" i="6"/>
  <c r="CU84" i="6"/>
  <c r="CU83" i="6"/>
  <c r="CU82" i="6"/>
  <c r="CU81" i="6"/>
  <c r="CU80" i="6"/>
  <c r="CU79" i="6"/>
  <c r="CU78" i="6"/>
  <c r="CU77" i="6"/>
  <c r="CU76" i="6"/>
  <c r="CU75" i="6"/>
  <c r="CU74" i="6"/>
  <c r="CU73" i="6"/>
  <c r="CU72" i="6"/>
  <c r="CU71" i="6"/>
  <c r="CU66" i="6"/>
  <c r="CU65" i="6"/>
  <c r="CU64" i="6"/>
  <c r="CU63" i="6"/>
  <c r="CU62" i="6"/>
  <c r="CU61" i="6"/>
  <c r="CU59" i="6"/>
  <c r="CU58" i="6"/>
  <c r="CU57" i="6"/>
  <c r="CU56" i="6"/>
  <c r="CU55" i="6"/>
  <c r="CU54" i="6"/>
  <c r="CU53" i="6"/>
  <c r="CU52" i="6"/>
  <c r="CU51" i="6"/>
  <c r="CU50" i="6"/>
  <c r="CU49" i="6"/>
  <c r="CU48" i="6"/>
  <c r="CU47" i="6"/>
  <c r="CU46" i="6"/>
  <c r="CU45" i="6"/>
  <c r="CU44" i="6"/>
  <c r="CU43" i="6"/>
  <c r="CU42" i="6"/>
  <c r="CU41" i="6"/>
  <c r="CU40" i="6"/>
  <c r="CU39" i="6"/>
  <c r="CU38" i="6"/>
  <c r="CU37" i="6"/>
  <c r="CU36" i="6"/>
  <c r="CU35" i="6"/>
  <c r="CU34" i="6"/>
  <c r="CU33" i="6"/>
  <c r="CU60" i="6"/>
  <c r="CU18" i="6"/>
  <c r="CU21" i="6"/>
  <c r="CU24" i="6"/>
  <c r="CU23" i="6"/>
  <c r="CU32" i="6"/>
  <c r="CU22" i="6"/>
  <c r="CU20" i="6"/>
  <c r="CU30" i="6"/>
  <c r="CU29" i="6"/>
  <c r="CU31" i="6"/>
  <c r="CU19" i="6"/>
  <c r="CU17" i="6"/>
  <c r="CM246" i="6"/>
  <c r="CM245" i="6"/>
  <c r="CM244" i="6"/>
  <c r="CM239" i="6"/>
  <c r="CM238" i="6"/>
  <c r="CM233" i="6"/>
  <c r="CM232" i="6"/>
  <c r="CM231" i="6"/>
  <c r="CM230" i="6"/>
  <c r="CM225" i="6"/>
  <c r="CM224" i="6"/>
  <c r="CM223" i="6"/>
  <c r="CM222" i="6"/>
  <c r="CM221" i="6"/>
  <c r="CM220" i="6"/>
  <c r="CM219" i="6"/>
  <c r="CM218" i="6"/>
  <c r="CM217" i="6"/>
  <c r="CM216" i="6"/>
  <c r="CM215" i="6"/>
  <c r="CM214" i="6"/>
  <c r="CM213" i="6"/>
  <c r="CM208" i="6"/>
  <c r="CM207" i="6"/>
  <c r="CM206" i="6"/>
  <c r="CM205" i="6"/>
  <c r="CM204" i="6"/>
  <c r="CM203" i="6"/>
  <c r="CM202" i="6"/>
  <c r="CM201" i="6"/>
  <c r="CM200" i="6"/>
  <c r="CM199" i="6"/>
  <c r="CM198" i="6"/>
  <c r="CM197" i="6"/>
  <c r="CM196" i="6"/>
  <c r="CM195" i="6"/>
  <c r="CM194" i="6"/>
  <c r="CM193" i="6"/>
  <c r="CM192" i="6"/>
  <c r="CM191" i="6"/>
  <c r="CM190" i="6"/>
  <c r="CM185" i="6"/>
  <c r="CM184" i="6"/>
  <c r="CM182" i="6"/>
  <c r="CM181" i="6"/>
  <c r="CM180" i="6"/>
  <c r="CM179" i="6"/>
  <c r="CM178" i="6"/>
  <c r="CM177" i="6"/>
  <c r="CM172" i="6"/>
  <c r="CM171" i="6"/>
  <c r="CM170" i="6"/>
  <c r="CM169" i="6"/>
  <c r="CM168" i="6"/>
  <c r="CM167" i="6"/>
  <c r="CM166" i="6"/>
  <c r="CM165" i="6"/>
  <c r="CM164" i="6"/>
  <c r="CM163" i="6"/>
  <c r="CM162" i="6"/>
  <c r="CM161" i="6"/>
  <c r="CM160" i="6"/>
  <c r="CM159" i="6"/>
  <c r="CM158" i="6"/>
  <c r="CM157" i="6"/>
  <c r="CM156" i="6"/>
  <c r="CM155" i="6"/>
  <c r="CM154" i="6"/>
  <c r="CM153" i="6"/>
  <c r="CM152" i="6"/>
  <c r="CM183" i="6"/>
  <c r="CM150" i="6"/>
  <c r="CM149" i="6"/>
  <c r="CM148" i="6"/>
  <c r="CM147" i="6"/>
  <c r="CM146" i="6"/>
  <c r="CM145" i="6"/>
  <c r="CM144" i="6"/>
  <c r="CM143" i="6"/>
  <c r="CM142" i="6"/>
  <c r="CM141" i="6"/>
  <c r="CM140" i="6"/>
  <c r="CM139" i="6"/>
  <c r="CM138" i="6"/>
  <c r="CM137" i="6"/>
  <c r="CM136" i="6"/>
  <c r="CM135" i="6"/>
  <c r="CM134" i="6"/>
  <c r="CM133" i="6"/>
  <c r="CM132" i="6"/>
  <c r="CM131" i="6"/>
  <c r="CM130" i="6"/>
  <c r="CM129" i="6"/>
  <c r="CM128" i="6"/>
  <c r="CM127" i="6"/>
  <c r="CM126" i="6"/>
  <c r="CM125" i="6"/>
  <c r="CM151" i="6"/>
  <c r="CM124" i="6"/>
  <c r="CM119" i="6"/>
  <c r="CM118" i="6"/>
  <c r="CM117" i="6"/>
  <c r="CM116" i="6"/>
  <c r="CM115" i="6"/>
  <c r="CM114" i="6"/>
  <c r="CM113" i="6"/>
  <c r="CM112" i="6"/>
  <c r="CM111" i="6"/>
  <c r="CM110" i="6"/>
  <c r="CM109" i="6"/>
  <c r="CM108" i="6"/>
  <c r="CM107" i="6"/>
  <c r="CM106" i="6"/>
  <c r="CM105" i="6"/>
  <c r="CM104" i="6"/>
  <c r="CM103" i="6"/>
  <c r="CM102" i="6"/>
  <c r="CM101" i="6"/>
  <c r="CM100" i="6"/>
  <c r="CM99" i="6"/>
  <c r="CM98" i="6"/>
  <c r="CM97" i="6"/>
  <c r="CM96" i="6"/>
  <c r="CM95" i="6"/>
  <c r="CM94" i="6"/>
  <c r="CM93" i="6"/>
  <c r="CM92" i="6"/>
  <c r="CM91" i="6"/>
  <c r="CM90" i="6"/>
  <c r="CM89" i="6"/>
  <c r="CM88" i="6"/>
  <c r="CM87" i="6"/>
  <c r="CM86" i="6"/>
  <c r="CM85" i="6"/>
  <c r="CM84" i="6"/>
  <c r="CM83" i="6"/>
  <c r="CM82" i="6"/>
  <c r="CM81" i="6"/>
  <c r="CM80" i="6"/>
  <c r="CM79" i="6"/>
  <c r="CM78" i="6"/>
  <c r="CM77" i="6"/>
  <c r="CM76" i="6"/>
  <c r="CM75" i="6"/>
  <c r="CM74" i="6"/>
  <c r="CM73" i="6"/>
  <c r="CM72" i="6"/>
  <c r="CM71" i="6"/>
  <c r="CM66" i="6"/>
  <c r="CM65" i="6"/>
  <c r="CM64" i="6"/>
  <c r="CM63" i="6"/>
  <c r="CM62" i="6"/>
  <c r="CM59" i="6"/>
  <c r="CM58" i="6"/>
  <c r="CM57" i="6"/>
  <c r="CM56" i="6"/>
  <c r="CM55" i="6"/>
  <c r="CM54" i="6"/>
  <c r="CM53" i="6"/>
  <c r="CM52" i="6"/>
  <c r="CM51" i="6"/>
  <c r="CM50" i="6"/>
  <c r="CM49" i="6"/>
  <c r="CM48" i="6"/>
  <c r="CM47" i="6"/>
  <c r="CM46" i="6"/>
  <c r="CM45" i="6"/>
  <c r="CM44" i="6"/>
  <c r="CM43" i="6"/>
  <c r="CM42" i="6"/>
  <c r="CM41" i="6"/>
  <c r="CM40" i="6"/>
  <c r="CM39" i="6"/>
  <c r="CM38" i="6"/>
  <c r="CM37" i="6"/>
  <c r="CM36" i="6"/>
  <c r="CM35" i="6"/>
  <c r="CM34" i="6"/>
  <c r="CM33" i="6"/>
  <c r="CM60" i="6"/>
  <c r="CM61" i="6"/>
  <c r="CM32" i="6"/>
  <c r="CM18" i="6"/>
  <c r="CM17" i="6"/>
  <c r="CM20" i="6"/>
  <c r="CM24" i="6"/>
  <c r="CM23" i="6"/>
  <c r="CM21" i="6"/>
  <c r="CM22" i="6"/>
  <c r="CM30" i="6"/>
  <c r="CM29" i="6"/>
  <c r="CM31" i="6"/>
  <c r="CM19" i="6"/>
  <c r="CE246" i="6"/>
  <c r="CE245" i="6"/>
  <c r="CE244" i="6"/>
  <c r="CE239" i="6"/>
  <c r="CE238" i="6"/>
  <c r="CE233" i="6"/>
  <c r="CE232" i="6"/>
  <c r="CE231" i="6"/>
  <c r="CE230" i="6"/>
  <c r="CE225" i="6"/>
  <c r="CE224" i="6"/>
  <c r="CE223" i="6"/>
  <c r="CE222" i="6"/>
  <c r="CE221" i="6"/>
  <c r="CE220" i="6"/>
  <c r="CE219" i="6"/>
  <c r="CE218" i="6"/>
  <c r="CE217" i="6"/>
  <c r="CE216" i="6"/>
  <c r="CE215" i="6"/>
  <c r="CE214" i="6"/>
  <c r="CE213" i="6"/>
  <c r="CE208" i="6"/>
  <c r="CE207" i="6"/>
  <c r="CE206" i="6"/>
  <c r="CE205" i="6"/>
  <c r="CE204" i="6"/>
  <c r="CE203" i="6"/>
  <c r="CE202" i="6"/>
  <c r="CE201" i="6"/>
  <c r="CE200" i="6"/>
  <c r="CE199" i="6"/>
  <c r="CE198" i="6"/>
  <c r="CE197" i="6"/>
  <c r="CE196" i="6"/>
  <c r="CE195" i="6"/>
  <c r="CE194" i="6"/>
  <c r="CE193" i="6"/>
  <c r="CE192" i="6"/>
  <c r="CE191" i="6"/>
  <c r="CE190" i="6"/>
  <c r="CE185" i="6"/>
  <c r="CE184" i="6"/>
  <c r="CE182" i="6"/>
  <c r="CE181" i="6"/>
  <c r="CE180" i="6"/>
  <c r="CE179" i="6"/>
  <c r="CE178" i="6"/>
  <c r="CE177" i="6"/>
  <c r="CE172" i="6"/>
  <c r="CE171" i="6"/>
  <c r="CE170" i="6"/>
  <c r="CE169" i="6"/>
  <c r="CE168" i="6"/>
  <c r="CE167" i="6"/>
  <c r="CE166" i="6"/>
  <c r="CE165" i="6"/>
  <c r="CE164" i="6"/>
  <c r="CE163" i="6"/>
  <c r="CE162" i="6"/>
  <c r="CE161" i="6"/>
  <c r="CE160" i="6"/>
  <c r="CE159" i="6"/>
  <c r="CE158" i="6"/>
  <c r="CE157" i="6"/>
  <c r="CE156" i="6"/>
  <c r="CE155" i="6"/>
  <c r="CE154" i="6"/>
  <c r="CE153" i="6"/>
  <c r="CE183" i="6"/>
  <c r="CE152" i="6"/>
  <c r="CE150" i="6"/>
  <c r="CE149" i="6"/>
  <c r="CE148" i="6"/>
  <c r="CE147" i="6"/>
  <c r="CE146" i="6"/>
  <c r="CE145" i="6"/>
  <c r="CE144" i="6"/>
  <c r="CE143" i="6"/>
  <c r="CE142" i="6"/>
  <c r="CE141" i="6"/>
  <c r="CE140" i="6"/>
  <c r="CE139" i="6"/>
  <c r="CE138" i="6"/>
  <c r="CE137" i="6"/>
  <c r="CE136" i="6"/>
  <c r="CE135" i="6"/>
  <c r="CE134" i="6"/>
  <c r="CE133" i="6"/>
  <c r="CE132" i="6"/>
  <c r="CE131" i="6"/>
  <c r="CE130" i="6"/>
  <c r="CE129" i="6"/>
  <c r="CE128" i="6"/>
  <c r="CE127" i="6"/>
  <c r="CE126" i="6"/>
  <c r="CE125" i="6"/>
  <c r="CE151" i="6"/>
  <c r="CE119" i="6"/>
  <c r="CE118" i="6"/>
  <c r="CE117" i="6"/>
  <c r="CE116" i="6"/>
  <c r="CE115" i="6"/>
  <c r="CE114" i="6"/>
  <c r="CE113" i="6"/>
  <c r="CE112" i="6"/>
  <c r="CE111" i="6"/>
  <c r="CE110" i="6"/>
  <c r="CE109" i="6"/>
  <c r="CE108" i="6"/>
  <c r="CE107" i="6"/>
  <c r="CE106" i="6"/>
  <c r="CE105" i="6"/>
  <c r="CE104" i="6"/>
  <c r="CE103" i="6"/>
  <c r="CE102" i="6"/>
  <c r="CE101" i="6"/>
  <c r="CE100" i="6"/>
  <c r="CE99" i="6"/>
  <c r="CE98" i="6"/>
  <c r="CE97" i="6"/>
  <c r="CE96" i="6"/>
  <c r="CE95" i="6"/>
  <c r="CE94" i="6"/>
  <c r="CE93" i="6"/>
  <c r="CE124" i="6"/>
  <c r="CE92" i="6"/>
  <c r="CE91" i="6"/>
  <c r="CE90" i="6"/>
  <c r="CE89" i="6"/>
  <c r="CE88" i="6"/>
  <c r="CE87" i="6"/>
  <c r="CE86" i="6"/>
  <c r="CE85" i="6"/>
  <c r="CE84" i="6"/>
  <c r="CE83" i="6"/>
  <c r="CE82" i="6"/>
  <c r="CE81" i="6"/>
  <c r="CE80" i="6"/>
  <c r="CE79" i="6"/>
  <c r="CE78" i="6"/>
  <c r="CE77" i="6"/>
  <c r="CE76" i="6"/>
  <c r="CE75" i="6"/>
  <c r="CE74" i="6"/>
  <c r="CE73" i="6"/>
  <c r="CE72" i="6"/>
  <c r="CE71" i="6"/>
  <c r="CE66" i="6"/>
  <c r="CE65" i="6"/>
  <c r="CE64" i="6"/>
  <c r="CE63" i="6"/>
  <c r="CE62" i="6"/>
  <c r="CE61" i="6"/>
  <c r="CE60" i="6"/>
  <c r="CE59" i="6"/>
  <c r="CE58" i="6"/>
  <c r="CE57" i="6"/>
  <c r="CE56" i="6"/>
  <c r="CE55" i="6"/>
  <c r="CE54" i="6"/>
  <c r="CE53" i="6"/>
  <c r="CE52" i="6"/>
  <c r="CE51" i="6"/>
  <c r="CE50" i="6"/>
  <c r="CE49" i="6"/>
  <c r="CE48" i="6"/>
  <c r="CE47" i="6"/>
  <c r="CE46" i="6"/>
  <c r="CE45" i="6"/>
  <c r="CE44" i="6"/>
  <c r="CE43" i="6"/>
  <c r="CE42" i="6"/>
  <c r="CE41" i="6"/>
  <c r="CE40" i="6"/>
  <c r="CE39" i="6"/>
  <c r="CE38" i="6"/>
  <c r="CE37" i="6"/>
  <c r="CE36" i="6"/>
  <c r="CE35" i="6"/>
  <c r="CE34" i="6"/>
  <c r="CE33" i="6"/>
  <c r="CE18" i="6"/>
  <c r="CE24" i="6"/>
  <c r="CE23" i="6"/>
  <c r="CE20" i="6"/>
  <c r="CE22" i="6"/>
  <c r="CE21" i="6"/>
  <c r="CE31" i="6"/>
  <c r="CE30" i="6"/>
  <c r="CE29" i="6"/>
  <c r="CE32" i="6"/>
  <c r="CE19" i="6"/>
  <c r="CE17" i="6"/>
  <c r="BW246" i="6"/>
  <c r="BW245" i="6"/>
  <c r="BW244" i="6"/>
  <c r="BW239" i="6"/>
  <c r="BW238" i="6"/>
  <c r="BW233" i="6"/>
  <c r="BW232" i="6"/>
  <c r="BW231" i="6"/>
  <c r="BW230" i="6"/>
  <c r="BW225" i="6"/>
  <c r="BW224" i="6"/>
  <c r="BW223" i="6"/>
  <c r="BW222" i="6"/>
  <c r="BW221" i="6"/>
  <c r="BW220" i="6"/>
  <c r="BW219" i="6"/>
  <c r="BW218" i="6"/>
  <c r="BW217" i="6"/>
  <c r="BW215" i="6"/>
  <c r="BW214" i="6"/>
  <c r="BW213" i="6"/>
  <c r="BW208" i="6"/>
  <c r="BW207" i="6"/>
  <c r="BW206" i="6"/>
  <c r="BW205" i="6"/>
  <c r="BW204" i="6"/>
  <c r="BW203" i="6"/>
  <c r="BW202" i="6"/>
  <c r="BW201" i="6"/>
  <c r="BW200" i="6"/>
  <c r="BW199" i="6"/>
  <c r="BW198" i="6"/>
  <c r="BW197" i="6"/>
  <c r="BW196" i="6"/>
  <c r="BW195" i="6"/>
  <c r="BW194" i="6"/>
  <c r="BW193" i="6"/>
  <c r="BW192" i="6"/>
  <c r="BW191" i="6"/>
  <c r="BW190" i="6"/>
  <c r="BW185" i="6"/>
  <c r="BW184" i="6"/>
  <c r="BW216" i="6"/>
  <c r="BW182" i="6"/>
  <c r="BW181" i="6"/>
  <c r="BW180" i="6"/>
  <c r="BW179" i="6"/>
  <c r="BW178" i="6"/>
  <c r="BW177" i="6"/>
  <c r="BW172" i="6"/>
  <c r="BW171" i="6"/>
  <c r="BW170" i="6"/>
  <c r="BW169" i="6"/>
  <c r="BW168" i="6"/>
  <c r="BW167" i="6"/>
  <c r="BW166" i="6"/>
  <c r="BW165" i="6"/>
  <c r="BW164" i="6"/>
  <c r="BW163" i="6"/>
  <c r="BW162" i="6"/>
  <c r="BW161" i="6"/>
  <c r="BW160" i="6"/>
  <c r="BW159" i="6"/>
  <c r="BW158" i="6"/>
  <c r="BW157" i="6"/>
  <c r="BW156" i="6"/>
  <c r="BW155" i="6"/>
  <c r="BW154" i="6"/>
  <c r="BW153" i="6"/>
  <c r="BW183" i="6"/>
  <c r="BW151" i="6"/>
  <c r="BW150" i="6"/>
  <c r="BW149" i="6"/>
  <c r="BW148" i="6"/>
  <c r="BW147" i="6"/>
  <c r="BW146" i="6"/>
  <c r="BW145" i="6"/>
  <c r="BW144" i="6"/>
  <c r="BW143" i="6"/>
  <c r="BW142" i="6"/>
  <c r="BW141" i="6"/>
  <c r="BW140" i="6"/>
  <c r="BW139" i="6"/>
  <c r="BW138" i="6"/>
  <c r="BW137" i="6"/>
  <c r="BW136" i="6"/>
  <c r="BW135" i="6"/>
  <c r="BW134" i="6"/>
  <c r="BW133" i="6"/>
  <c r="BW132" i="6"/>
  <c r="BW131" i="6"/>
  <c r="BW130" i="6"/>
  <c r="BW129" i="6"/>
  <c r="BW128" i="6"/>
  <c r="BW127" i="6"/>
  <c r="BW126" i="6"/>
  <c r="BW152" i="6"/>
  <c r="BW125" i="6"/>
  <c r="BW119" i="6"/>
  <c r="BW118" i="6"/>
  <c r="BW117" i="6"/>
  <c r="BW116" i="6"/>
  <c r="BW115" i="6"/>
  <c r="BW114" i="6"/>
  <c r="BW113" i="6"/>
  <c r="BW112" i="6"/>
  <c r="BW111" i="6"/>
  <c r="BW110" i="6"/>
  <c r="BW109" i="6"/>
  <c r="BW108" i="6"/>
  <c r="BW107" i="6"/>
  <c r="BW106" i="6"/>
  <c r="BW105" i="6"/>
  <c r="BW104" i="6"/>
  <c r="BW103" i="6"/>
  <c r="BW102" i="6"/>
  <c r="BW101" i="6"/>
  <c r="BW100" i="6"/>
  <c r="BW99" i="6"/>
  <c r="BW98" i="6"/>
  <c r="BW97" i="6"/>
  <c r="BW96" i="6"/>
  <c r="BW95" i="6"/>
  <c r="BW94" i="6"/>
  <c r="BW93" i="6"/>
  <c r="BW124" i="6"/>
  <c r="BW92" i="6"/>
  <c r="BW91" i="6"/>
  <c r="BW90" i="6"/>
  <c r="BW89" i="6"/>
  <c r="BW88" i="6"/>
  <c r="BW87" i="6"/>
  <c r="BW86" i="6"/>
  <c r="BW85" i="6"/>
  <c r="BW84" i="6"/>
  <c r="BW83" i="6"/>
  <c r="BW82" i="6"/>
  <c r="BW81" i="6"/>
  <c r="BW80" i="6"/>
  <c r="BW79" i="6"/>
  <c r="BW78" i="6"/>
  <c r="BW77" i="6"/>
  <c r="BW76" i="6"/>
  <c r="BW75" i="6"/>
  <c r="BW74" i="6"/>
  <c r="BW73" i="6"/>
  <c r="BW72" i="6"/>
  <c r="BW71" i="6"/>
  <c r="BW66" i="6"/>
  <c r="BW65" i="6"/>
  <c r="BW64" i="6"/>
  <c r="BW63" i="6"/>
  <c r="BW62" i="6"/>
  <c r="BW60" i="6"/>
  <c r="BW59" i="6"/>
  <c r="BW58" i="6"/>
  <c r="BW57" i="6"/>
  <c r="BW56" i="6"/>
  <c r="BW55" i="6"/>
  <c r="BW54" i="6"/>
  <c r="BW53" i="6"/>
  <c r="BW52" i="6"/>
  <c r="BW51" i="6"/>
  <c r="BW50" i="6"/>
  <c r="BW49" i="6"/>
  <c r="BW48" i="6"/>
  <c r="BW47" i="6"/>
  <c r="BW46" i="6"/>
  <c r="BW45" i="6"/>
  <c r="BW44" i="6"/>
  <c r="BW43" i="6"/>
  <c r="BW42" i="6"/>
  <c r="BW41" i="6"/>
  <c r="BW40" i="6"/>
  <c r="BW39" i="6"/>
  <c r="BW38" i="6"/>
  <c r="BW37" i="6"/>
  <c r="BW36" i="6"/>
  <c r="BW35" i="6"/>
  <c r="BW34" i="6"/>
  <c r="BW33" i="6"/>
  <c r="BW61" i="6"/>
  <c r="BW18" i="6"/>
  <c r="BW17" i="6"/>
  <c r="BW24" i="6"/>
  <c r="BW23" i="6"/>
  <c r="BW32" i="6"/>
  <c r="BW22" i="6"/>
  <c r="BW21" i="6"/>
  <c r="BW31" i="6"/>
  <c r="BW30" i="6"/>
  <c r="BW29" i="6"/>
  <c r="BW20" i="6"/>
  <c r="BW19" i="6"/>
  <c r="BO246" i="6"/>
  <c r="BO245" i="6"/>
  <c r="BO244" i="6"/>
  <c r="BO239" i="6"/>
  <c r="BO238" i="6"/>
  <c r="BO233" i="6"/>
  <c r="BO232" i="6"/>
  <c r="BO231" i="6"/>
  <c r="BO230" i="6"/>
  <c r="BO225" i="6"/>
  <c r="BO224" i="6"/>
  <c r="BO223" i="6"/>
  <c r="BO222" i="6"/>
  <c r="BO221" i="6"/>
  <c r="BO220" i="6"/>
  <c r="BO219" i="6"/>
  <c r="BO218" i="6"/>
  <c r="BO217" i="6"/>
  <c r="BO216" i="6"/>
  <c r="BO215" i="6"/>
  <c r="BO214" i="6"/>
  <c r="BO213" i="6"/>
  <c r="BO208" i="6"/>
  <c r="BO207" i="6"/>
  <c r="BO206" i="6"/>
  <c r="BO205" i="6"/>
  <c r="BO204" i="6"/>
  <c r="BO203" i="6"/>
  <c r="BO202" i="6"/>
  <c r="BO201" i="6"/>
  <c r="BO200" i="6"/>
  <c r="BO199" i="6"/>
  <c r="BO198" i="6"/>
  <c r="BO197" i="6"/>
  <c r="BO196" i="6"/>
  <c r="BO195" i="6"/>
  <c r="BO194" i="6"/>
  <c r="BO193" i="6"/>
  <c r="BO192" i="6"/>
  <c r="BO191" i="6"/>
  <c r="BO190" i="6"/>
  <c r="BO185" i="6"/>
  <c r="BO184" i="6"/>
  <c r="BO183" i="6"/>
  <c r="BO182" i="6"/>
  <c r="BO181" i="6"/>
  <c r="BO180" i="6"/>
  <c r="BO179" i="6"/>
  <c r="BO178" i="6"/>
  <c r="BO177" i="6"/>
  <c r="BO172" i="6"/>
  <c r="BO171" i="6"/>
  <c r="BO170" i="6"/>
  <c r="BO169" i="6"/>
  <c r="BO168" i="6"/>
  <c r="BO167" i="6"/>
  <c r="BO166" i="6"/>
  <c r="BO165" i="6"/>
  <c r="BO164" i="6"/>
  <c r="BO163" i="6"/>
  <c r="BO162" i="6"/>
  <c r="BO161" i="6"/>
  <c r="BO160" i="6"/>
  <c r="BO159" i="6"/>
  <c r="BO158" i="6"/>
  <c r="BO157" i="6"/>
  <c r="BO156" i="6"/>
  <c r="BO155" i="6"/>
  <c r="BO154" i="6"/>
  <c r="BO153" i="6"/>
  <c r="BO152" i="6"/>
  <c r="BO151" i="6"/>
  <c r="BO150" i="6"/>
  <c r="BO149" i="6"/>
  <c r="BO148" i="6"/>
  <c r="BO147" i="6"/>
  <c r="BO146" i="6"/>
  <c r="BO145" i="6"/>
  <c r="BO144" i="6"/>
  <c r="BO143" i="6"/>
  <c r="BO142" i="6"/>
  <c r="BO141" i="6"/>
  <c r="BO140" i="6"/>
  <c r="BO139" i="6"/>
  <c r="BO138" i="6"/>
  <c r="BO137" i="6"/>
  <c r="BO136" i="6"/>
  <c r="BO135" i="6"/>
  <c r="BO134" i="6"/>
  <c r="BO133" i="6"/>
  <c r="BO132" i="6"/>
  <c r="BO131" i="6"/>
  <c r="BO130" i="6"/>
  <c r="BO129" i="6"/>
  <c r="BO128" i="6"/>
  <c r="BO127" i="6"/>
  <c r="BO126" i="6"/>
  <c r="BO124" i="6"/>
  <c r="BO119" i="6"/>
  <c r="BO118" i="6"/>
  <c r="BO117" i="6"/>
  <c r="BO116" i="6"/>
  <c r="BO115" i="6"/>
  <c r="BO114" i="6"/>
  <c r="BO113" i="6"/>
  <c r="BO112" i="6"/>
  <c r="BO111" i="6"/>
  <c r="BO110" i="6"/>
  <c r="BO109" i="6"/>
  <c r="BO108" i="6"/>
  <c r="BO107" i="6"/>
  <c r="BO106" i="6"/>
  <c r="BO105" i="6"/>
  <c r="BO104" i="6"/>
  <c r="BO103" i="6"/>
  <c r="BO102" i="6"/>
  <c r="BO101" i="6"/>
  <c r="BO100" i="6"/>
  <c r="BO99" i="6"/>
  <c r="BO98" i="6"/>
  <c r="BO97" i="6"/>
  <c r="BO96" i="6"/>
  <c r="BO95" i="6"/>
  <c r="BO94" i="6"/>
  <c r="BO93" i="6"/>
  <c r="BO125" i="6"/>
  <c r="BO92" i="6"/>
  <c r="BO91" i="6"/>
  <c r="BO90" i="6"/>
  <c r="BO89" i="6"/>
  <c r="BO88" i="6"/>
  <c r="BO87" i="6"/>
  <c r="BO86" i="6"/>
  <c r="BO85" i="6"/>
  <c r="BO84" i="6"/>
  <c r="BO83" i="6"/>
  <c r="BO82" i="6"/>
  <c r="BO81" i="6"/>
  <c r="BO80" i="6"/>
  <c r="BO79" i="6"/>
  <c r="BO78" i="6"/>
  <c r="BO77" i="6"/>
  <c r="BO76" i="6"/>
  <c r="BO75" i="6"/>
  <c r="BO74" i="6"/>
  <c r="BO73" i="6"/>
  <c r="BO72" i="6"/>
  <c r="BO71" i="6"/>
  <c r="BO66" i="6"/>
  <c r="BO65" i="6"/>
  <c r="BO64" i="6"/>
  <c r="BO63" i="6"/>
  <c r="BO62" i="6"/>
  <c r="BO61" i="6"/>
  <c r="BO60" i="6"/>
  <c r="BO59" i="6"/>
  <c r="BO58" i="6"/>
  <c r="BO57" i="6"/>
  <c r="BO56" i="6"/>
  <c r="BO55" i="6"/>
  <c r="BO54" i="6"/>
  <c r="BO53" i="6"/>
  <c r="BO52" i="6"/>
  <c r="BO51" i="6"/>
  <c r="BO50" i="6"/>
  <c r="BO49" i="6"/>
  <c r="BO48" i="6"/>
  <c r="BO47" i="6"/>
  <c r="BO46" i="6"/>
  <c r="BO45" i="6"/>
  <c r="BO44" i="6"/>
  <c r="BO43" i="6"/>
  <c r="BO42" i="6"/>
  <c r="BO41" i="6"/>
  <c r="BO40" i="6"/>
  <c r="BO39" i="6"/>
  <c r="BO38" i="6"/>
  <c r="BO37" i="6"/>
  <c r="BO36" i="6"/>
  <c r="BO35" i="6"/>
  <c r="BO34" i="6"/>
  <c r="BO33" i="6"/>
  <c r="BO18" i="6"/>
  <c r="BO17" i="6"/>
  <c r="BO32" i="6"/>
  <c r="BO24" i="6"/>
  <c r="BO23" i="6"/>
  <c r="BO22" i="6"/>
  <c r="BO21" i="6"/>
  <c r="BO31" i="6"/>
  <c r="BO30" i="6"/>
  <c r="BO29" i="6"/>
  <c r="BO20" i="6"/>
  <c r="BO19" i="6"/>
  <c r="DB246" i="6"/>
  <c r="DB245" i="6"/>
  <c r="DB244" i="6"/>
  <c r="DB238" i="6"/>
  <c r="DB239" i="6"/>
  <c r="DB233" i="6"/>
  <c r="DB232" i="6"/>
  <c r="DB231" i="6"/>
  <c r="DB230" i="6"/>
  <c r="DB225" i="6"/>
  <c r="DB224" i="6"/>
  <c r="DB223" i="6"/>
  <c r="DB222" i="6"/>
  <c r="DB221" i="6"/>
  <c r="DB220" i="6"/>
  <c r="DB215" i="6"/>
  <c r="DB214" i="6"/>
  <c r="DB213" i="6"/>
  <c r="DB208" i="6"/>
  <c r="DB207" i="6"/>
  <c r="DB206" i="6"/>
  <c r="DB205" i="6"/>
  <c r="DB204" i="6"/>
  <c r="DB203" i="6"/>
  <c r="DB202" i="6"/>
  <c r="DB201" i="6"/>
  <c r="DB200" i="6"/>
  <c r="DB199" i="6"/>
  <c r="DB198" i="6"/>
  <c r="DB197" i="6"/>
  <c r="DB196" i="6"/>
  <c r="DB195" i="6"/>
  <c r="DB194" i="6"/>
  <c r="DB193" i="6"/>
  <c r="DB192" i="6"/>
  <c r="DB191" i="6"/>
  <c r="DB190" i="6"/>
  <c r="DB185" i="6"/>
  <c r="DB184" i="6"/>
  <c r="DB219" i="6"/>
  <c r="DB218" i="6"/>
  <c r="DB217" i="6"/>
  <c r="DB216" i="6"/>
  <c r="DB183" i="6"/>
  <c r="DB182" i="6"/>
  <c r="DB181" i="6"/>
  <c r="DB180" i="6"/>
  <c r="DB179" i="6"/>
  <c r="DB178" i="6"/>
  <c r="DB177" i="6"/>
  <c r="DB172" i="6"/>
  <c r="DB171" i="6"/>
  <c r="DB170" i="6"/>
  <c r="DB169" i="6"/>
  <c r="DB168" i="6"/>
  <c r="DB167" i="6"/>
  <c r="DB166" i="6"/>
  <c r="DB165" i="6"/>
  <c r="DB164" i="6"/>
  <c r="DB163" i="6"/>
  <c r="DB162" i="6"/>
  <c r="DB161" i="6"/>
  <c r="DB160" i="6"/>
  <c r="DB159" i="6"/>
  <c r="DB158" i="6"/>
  <c r="DB157" i="6"/>
  <c r="DB156" i="6"/>
  <c r="DB155" i="6"/>
  <c r="DB154" i="6"/>
  <c r="DB153" i="6"/>
  <c r="DB152" i="6"/>
  <c r="DB151" i="6"/>
  <c r="DB150" i="6"/>
  <c r="DB149" i="6"/>
  <c r="DB148" i="6"/>
  <c r="DB147" i="6"/>
  <c r="DB146" i="6"/>
  <c r="DB145" i="6"/>
  <c r="DB144" i="6"/>
  <c r="DB143" i="6"/>
  <c r="DB142" i="6"/>
  <c r="DB141" i="6"/>
  <c r="DB140" i="6"/>
  <c r="DB139" i="6"/>
  <c r="DB138" i="6"/>
  <c r="DB137" i="6"/>
  <c r="DB136" i="6"/>
  <c r="DB135" i="6"/>
  <c r="DB134" i="6"/>
  <c r="DB133" i="6"/>
  <c r="DB132" i="6"/>
  <c r="DB131" i="6"/>
  <c r="DB130" i="6"/>
  <c r="DB129" i="6"/>
  <c r="DB128" i="6"/>
  <c r="DB127" i="6"/>
  <c r="DB126" i="6"/>
  <c r="DB125" i="6"/>
  <c r="DB124" i="6"/>
  <c r="DB118" i="6"/>
  <c r="DB117" i="6"/>
  <c r="DB116" i="6"/>
  <c r="DB115" i="6"/>
  <c r="DB114" i="6"/>
  <c r="DB113" i="6"/>
  <c r="DB112" i="6"/>
  <c r="DB111" i="6"/>
  <c r="DB110" i="6"/>
  <c r="DB109" i="6"/>
  <c r="DB108" i="6"/>
  <c r="DB107" i="6"/>
  <c r="DB106" i="6"/>
  <c r="DB105" i="6"/>
  <c r="DB104" i="6"/>
  <c r="DB103" i="6"/>
  <c r="DB102" i="6"/>
  <c r="DB101" i="6"/>
  <c r="DB100" i="6"/>
  <c r="DB99" i="6"/>
  <c r="DB98" i="6"/>
  <c r="DB97" i="6"/>
  <c r="DB96" i="6"/>
  <c r="DB95" i="6"/>
  <c r="DB94" i="6"/>
  <c r="DB93" i="6"/>
  <c r="DB92" i="6"/>
  <c r="DB119" i="6"/>
  <c r="DB91" i="6"/>
  <c r="DB90" i="6"/>
  <c r="DB89" i="6"/>
  <c r="DB88" i="6"/>
  <c r="DB87" i="6"/>
  <c r="DB86" i="6"/>
  <c r="DB85" i="6"/>
  <c r="DB84" i="6"/>
  <c r="DB83" i="6"/>
  <c r="DB82" i="6"/>
  <c r="DB81" i="6"/>
  <c r="DB80" i="6"/>
  <c r="DB79" i="6"/>
  <c r="DB78" i="6"/>
  <c r="DB77" i="6"/>
  <c r="DB76" i="6"/>
  <c r="DB75" i="6"/>
  <c r="DB74" i="6"/>
  <c r="DB73" i="6"/>
  <c r="DB72" i="6"/>
  <c r="DB71" i="6"/>
  <c r="DB66" i="6"/>
  <c r="DB65" i="6"/>
  <c r="DB64" i="6"/>
  <c r="DB63" i="6"/>
  <c r="DB62" i="6"/>
  <c r="DB61" i="6"/>
  <c r="DB60" i="6"/>
  <c r="DB59" i="6"/>
  <c r="DB58" i="6"/>
  <c r="DB57" i="6"/>
  <c r="DB56" i="6"/>
  <c r="DB55" i="6"/>
  <c r="DB54" i="6"/>
  <c r="DB53" i="6"/>
  <c r="DB52" i="6"/>
  <c r="DB51" i="6"/>
  <c r="DB50" i="6"/>
  <c r="DB49" i="6"/>
  <c r="DB48" i="6"/>
  <c r="DB47" i="6"/>
  <c r="DB46" i="6"/>
  <c r="DB45" i="6"/>
  <c r="DB44" i="6"/>
  <c r="DB43" i="6"/>
  <c r="DB42" i="6"/>
  <c r="DB41" i="6"/>
  <c r="DB40" i="6"/>
  <c r="DB39" i="6"/>
  <c r="DB38" i="6"/>
  <c r="DB37" i="6"/>
  <c r="DB36" i="6"/>
  <c r="DB35" i="6"/>
  <c r="DB34" i="6"/>
  <c r="DB33" i="6"/>
  <c r="DB32" i="6"/>
  <c r="DB31" i="6"/>
  <c r="DB17" i="6"/>
  <c r="DB23" i="6"/>
  <c r="DB22" i="6"/>
  <c r="DB21" i="6"/>
  <c r="DB20" i="6"/>
  <c r="DB30" i="6"/>
  <c r="DB29" i="6"/>
  <c r="DB19" i="6"/>
  <c r="DB18" i="6"/>
  <c r="DB24" i="6"/>
  <c r="CT246" i="6"/>
  <c r="CT245" i="6"/>
  <c r="CT244" i="6"/>
  <c r="CT239" i="6"/>
  <c r="CT238" i="6"/>
  <c r="CT233" i="6"/>
  <c r="CT232" i="6"/>
  <c r="CT231" i="6"/>
  <c r="CT230" i="6"/>
  <c r="CT225" i="6"/>
  <c r="CT224" i="6"/>
  <c r="CT223" i="6"/>
  <c r="CT219" i="6"/>
  <c r="CT218" i="6"/>
  <c r="CT217" i="6"/>
  <c r="CT222" i="6"/>
  <c r="CT216" i="6"/>
  <c r="CT215" i="6"/>
  <c r="CT214" i="6"/>
  <c r="CT213" i="6"/>
  <c r="CT208" i="6"/>
  <c r="CT207" i="6"/>
  <c r="CT206" i="6"/>
  <c r="CT205" i="6"/>
  <c r="CT204" i="6"/>
  <c r="CT203" i="6"/>
  <c r="CT202" i="6"/>
  <c r="CT201" i="6"/>
  <c r="CT200" i="6"/>
  <c r="CT199" i="6"/>
  <c r="CT198" i="6"/>
  <c r="CT197" i="6"/>
  <c r="CT196" i="6"/>
  <c r="CT195" i="6"/>
  <c r="CT194" i="6"/>
  <c r="CT193" i="6"/>
  <c r="CT192" i="6"/>
  <c r="CT191" i="6"/>
  <c r="CT190" i="6"/>
  <c r="CT185" i="6"/>
  <c r="CT184" i="6"/>
  <c r="CT221" i="6"/>
  <c r="CT220" i="6"/>
  <c r="CT183" i="6"/>
  <c r="CT182" i="6"/>
  <c r="CT181" i="6"/>
  <c r="CT180" i="6"/>
  <c r="CT179" i="6"/>
  <c r="CT178" i="6"/>
  <c r="CT177" i="6"/>
  <c r="CT172" i="6"/>
  <c r="CT171" i="6"/>
  <c r="CT170" i="6"/>
  <c r="CT169" i="6"/>
  <c r="CT168" i="6"/>
  <c r="CT167" i="6"/>
  <c r="CT166" i="6"/>
  <c r="CT165" i="6"/>
  <c r="CT164" i="6"/>
  <c r="CT163" i="6"/>
  <c r="CT162" i="6"/>
  <c r="CT161" i="6"/>
  <c r="CT160" i="6"/>
  <c r="CT159" i="6"/>
  <c r="CT158" i="6"/>
  <c r="CT157" i="6"/>
  <c r="CT156" i="6"/>
  <c r="CT155" i="6"/>
  <c r="CT154" i="6"/>
  <c r="CT153" i="6"/>
  <c r="CT152" i="6"/>
  <c r="CT151" i="6"/>
  <c r="CT150" i="6"/>
  <c r="CT149" i="6"/>
  <c r="CT148" i="6"/>
  <c r="CT147" i="6"/>
  <c r="CT146" i="6"/>
  <c r="CT145" i="6"/>
  <c r="CT144" i="6"/>
  <c r="CT143" i="6"/>
  <c r="CT142" i="6"/>
  <c r="CT141" i="6"/>
  <c r="CT140" i="6"/>
  <c r="CT139" i="6"/>
  <c r="CT138" i="6"/>
  <c r="CT137" i="6"/>
  <c r="CT136" i="6"/>
  <c r="CT135" i="6"/>
  <c r="CT134" i="6"/>
  <c r="CT133" i="6"/>
  <c r="CT132" i="6"/>
  <c r="CT131" i="6"/>
  <c r="CT130" i="6"/>
  <c r="CT129" i="6"/>
  <c r="CT128" i="6"/>
  <c r="CT127" i="6"/>
  <c r="CT126" i="6"/>
  <c r="CT125" i="6"/>
  <c r="CT118" i="6"/>
  <c r="CT117" i="6"/>
  <c r="CT116" i="6"/>
  <c r="CT115" i="6"/>
  <c r="CT114" i="6"/>
  <c r="CT113" i="6"/>
  <c r="CT112" i="6"/>
  <c r="CT111" i="6"/>
  <c r="CT110" i="6"/>
  <c r="CT109" i="6"/>
  <c r="CT108" i="6"/>
  <c r="CT107" i="6"/>
  <c r="CT106" i="6"/>
  <c r="CT105" i="6"/>
  <c r="CT104" i="6"/>
  <c r="CT103" i="6"/>
  <c r="CT102" i="6"/>
  <c r="CT101" i="6"/>
  <c r="CT100" i="6"/>
  <c r="CT99" i="6"/>
  <c r="CT98" i="6"/>
  <c r="CT97" i="6"/>
  <c r="CT96" i="6"/>
  <c r="CT95" i="6"/>
  <c r="CT94" i="6"/>
  <c r="CT93" i="6"/>
  <c r="CT92" i="6"/>
  <c r="CT119" i="6"/>
  <c r="CT124" i="6"/>
  <c r="CT91" i="6"/>
  <c r="CT90" i="6"/>
  <c r="CT89" i="6"/>
  <c r="CT88" i="6"/>
  <c r="CT87" i="6"/>
  <c r="CT86" i="6"/>
  <c r="CT85" i="6"/>
  <c r="CT84" i="6"/>
  <c r="CT83" i="6"/>
  <c r="CT82" i="6"/>
  <c r="CT81" i="6"/>
  <c r="CT80" i="6"/>
  <c r="CT79" i="6"/>
  <c r="CT78" i="6"/>
  <c r="CT77" i="6"/>
  <c r="CT76" i="6"/>
  <c r="CT75" i="6"/>
  <c r="CT74" i="6"/>
  <c r="CT73" i="6"/>
  <c r="CT72" i="6"/>
  <c r="CT71" i="6"/>
  <c r="CT66" i="6"/>
  <c r="CT65" i="6"/>
  <c r="CT64" i="6"/>
  <c r="CT63" i="6"/>
  <c r="CT62" i="6"/>
  <c r="CT61" i="6"/>
  <c r="CT60" i="6"/>
  <c r="CT59" i="6"/>
  <c r="CT58" i="6"/>
  <c r="CT57" i="6"/>
  <c r="CT56" i="6"/>
  <c r="CT55" i="6"/>
  <c r="CT54" i="6"/>
  <c r="CT53" i="6"/>
  <c r="CT52" i="6"/>
  <c r="CT51" i="6"/>
  <c r="CT50" i="6"/>
  <c r="CT49" i="6"/>
  <c r="CT48" i="6"/>
  <c r="CT47" i="6"/>
  <c r="CT46" i="6"/>
  <c r="CT45" i="6"/>
  <c r="CT44" i="6"/>
  <c r="CT43" i="6"/>
  <c r="CT42" i="6"/>
  <c r="CT41" i="6"/>
  <c r="CT40" i="6"/>
  <c r="CT39" i="6"/>
  <c r="CT38" i="6"/>
  <c r="CT37" i="6"/>
  <c r="CT36" i="6"/>
  <c r="CT35" i="6"/>
  <c r="CT34" i="6"/>
  <c r="CT33" i="6"/>
  <c r="CT32" i="6"/>
  <c r="CT31" i="6"/>
  <c r="CT17" i="6"/>
  <c r="CT24" i="6"/>
  <c r="CT23" i="6"/>
  <c r="CT22" i="6"/>
  <c r="CT21" i="6"/>
  <c r="CT20" i="6"/>
  <c r="CT30" i="6"/>
  <c r="CT29" i="6"/>
  <c r="CT19" i="6"/>
  <c r="CT18" i="6"/>
  <c r="CL246" i="6"/>
  <c r="CL245" i="6"/>
  <c r="CL244" i="6"/>
  <c r="CL239" i="6"/>
  <c r="CL238" i="6"/>
  <c r="CL233" i="6"/>
  <c r="CL232" i="6"/>
  <c r="CL231" i="6"/>
  <c r="CL230" i="6"/>
  <c r="CL225" i="6"/>
  <c r="CL224" i="6"/>
  <c r="CL223" i="6"/>
  <c r="CL221" i="6"/>
  <c r="CL216" i="6"/>
  <c r="CL220" i="6"/>
  <c r="CL215" i="6"/>
  <c r="CL214" i="6"/>
  <c r="CL213" i="6"/>
  <c r="CL208" i="6"/>
  <c r="CL207" i="6"/>
  <c r="CL206" i="6"/>
  <c r="CL205" i="6"/>
  <c r="CL204" i="6"/>
  <c r="CL203" i="6"/>
  <c r="CL202" i="6"/>
  <c r="CL201" i="6"/>
  <c r="CL200" i="6"/>
  <c r="CL199" i="6"/>
  <c r="CL198" i="6"/>
  <c r="CL197" i="6"/>
  <c r="CL196" i="6"/>
  <c r="CL195" i="6"/>
  <c r="CL194" i="6"/>
  <c r="CL193" i="6"/>
  <c r="CL192" i="6"/>
  <c r="CL191" i="6"/>
  <c r="CL190" i="6"/>
  <c r="CL185" i="6"/>
  <c r="CL184" i="6"/>
  <c r="CL222" i="6"/>
  <c r="CL219" i="6"/>
  <c r="CL218" i="6"/>
  <c r="CL217" i="6"/>
  <c r="CL182" i="6"/>
  <c r="CL181" i="6"/>
  <c r="CL180" i="6"/>
  <c r="CL179" i="6"/>
  <c r="CL178" i="6"/>
  <c r="CL177" i="6"/>
  <c r="CL172" i="6"/>
  <c r="CL171" i="6"/>
  <c r="CL170" i="6"/>
  <c r="CL169" i="6"/>
  <c r="CL168" i="6"/>
  <c r="CL167" i="6"/>
  <c r="CL166" i="6"/>
  <c r="CL165" i="6"/>
  <c r="CL164" i="6"/>
  <c r="CL163" i="6"/>
  <c r="CL162" i="6"/>
  <c r="CL161" i="6"/>
  <c r="CL160" i="6"/>
  <c r="CL159" i="6"/>
  <c r="CL158" i="6"/>
  <c r="CL157" i="6"/>
  <c r="CL156" i="6"/>
  <c r="CL155" i="6"/>
  <c r="CL154" i="6"/>
  <c r="CL153" i="6"/>
  <c r="CL152" i="6"/>
  <c r="CL183" i="6"/>
  <c r="CL150" i="6"/>
  <c r="CL149" i="6"/>
  <c r="CL148" i="6"/>
  <c r="CL147" i="6"/>
  <c r="CL146" i="6"/>
  <c r="CL145" i="6"/>
  <c r="CL144" i="6"/>
  <c r="CL143" i="6"/>
  <c r="CL142" i="6"/>
  <c r="CL141" i="6"/>
  <c r="CL140" i="6"/>
  <c r="CL139" i="6"/>
  <c r="CL138" i="6"/>
  <c r="CL137" i="6"/>
  <c r="CL136" i="6"/>
  <c r="CL135" i="6"/>
  <c r="CL134" i="6"/>
  <c r="CL133" i="6"/>
  <c r="CL132" i="6"/>
  <c r="CL131" i="6"/>
  <c r="CL130" i="6"/>
  <c r="CL129" i="6"/>
  <c r="CL128" i="6"/>
  <c r="CL127" i="6"/>
  <c r="CL126" i="6"/>
  <c r="CL125" i="6"/>
  <c r="CL151" i="6"/>
  <c r="CL124" i="6"/>
  <c r="CL119" i="6"/>
  <c r="CL118" i="6"/>
  <c r="CL117" i="6"/>
  <c r="CL116" i="6"/>
  <c r="CL115" i="6"/>
  <c r="CL114" i="6"/>
  <c r="CL113" i="6"/>
  <c r="CL112" i="6"/>
  <c r="CL111" i="6"/>
  <c r="CL110" i="6"/>
  <c r="CL109" i="6"/>
  <c r="CL108" i="6"/>
  <c r="CL107" i="6"/>
  <c r="CL106" i="6"/>
  <c r="CL105" i="6"/>
  <c r="CL104" i="6"/>
  <c r="CL103" i="6"/>
  <c r="CL102" i="6"/>
  <c r="CL101" i="6"/>
  <c r="CL100" i="6"/>
  <c r="CL99" i="6"/>
  <c r="CL98" i="6"/>
  <c r="CL97" i="6"/>
  <c r="CL96" i="6"/>
  <c r="CL95" i="6"/>
  <c r="CL94" i="6"/>
  <c r="CL93" i="6"/>
  <c r="CL92" i="6"/>
  <c r="CL91" i="6"/>
  <c r="CL90" i="6"/>
  <c r="CL89" i="6"/>
  <c r="CL88" i="6"/>
  <c r="CL87" i="6"/>
  <c r="CL86" i="6"/>
  <c r="CL85" i="6"/>
  <c r="CL84" i="6"/>
  <c r="CL83" i="6"/>
  <c r="CL82" i="6"/>
  <c r="CL81" i="6"/>
  <c r="CL80" i="6"/>
  <c r="CL79" i="6"/>
  <c r="CL78" i="6"/>
  <c r="CL77" i="6"/>
  <c r="CL76" i="6"/>
  <c r="CL75" i="6"/>
  <c r="CL74" i="6"/>
  <c r="CL73" i="6"/>
  <c r="CL72" i="6"/>
  <c r="CL71" i="6"/>
  <c r="CL66" i="6"/>
  <c r="CL65" i="6"/>
  <c r="CL64" i="6"/>
  <c r="CL63" i="6"/>
  <c r="CL62" i="6"/>
  <c r="CL61" i="6"/>
  <c r="CL59" i="6"/>
  <c r="CL58" i="6"/>
  <c r="CL57" i="6"/>
  <c r="CL56" i="6"/>
  <c r="CL55" i="6"/>
  <c r="CL54" i="6"/>
  <c r="CL53" i="6"/>
  <c r="CL52" i="6"/>
  <c r="CL51" i="6"/>
  <c r="CL50" i="6"/>
  <c r="CL49" i="6"/>
  <c r="CL48" i="6"/>
  <c r="CL47" i="6"/>
  <c r="CL46" i="6"/>
  <c r="CL45" i="6"/>
  <c r="CL44" i="6"/>
  <c r="CL43" i="6"/>
  <c r="CL42" i="6"/>
  <c r="CL41" i="6"/>
  <c r="CL40" i="6"/>
  <c r="CL39" i="6"/>
  <c r="CL38" i="6"/>
  <c r="CL37" i="6"/>
  <c r="CL36" i="6"/>
  <c r="CL35" i="6"/>
  <c r="CL34" i="6"/>
  <c r="CL33" i="6"/>
  <c r="CL32" i="6"/>
  <c r="CL31" i="6"/>
  <c r="CL60" i="6"/>
  <c r="CL17" i="6"/>
  <c r="CL23" i="6"/>
  <c r="CL22" i="6"/>
  <c r="CL21" i="6"/>
  <c r="CL20" i="6"/>
  <c r="CL30" i="6"/>
  <c r="CL29" i="6"/>
  <c r="CL19" i="6"/>
  <c r="CL18" i="6"/>
  <c r="CL24" i="6"/>
  <c r="CD246" i="6"/>
  <c r="CD245" i="6"/>
  <c r="CD239" i="6"/>
  <c r="CD238" i="6"/>
  <c r="CD233" i="6"/>
  <c r="CD232" i="6"/>
  <c r="CD231" i="6"/>
  <c r="CD230" i="6"/>
  <c r="CD225" i="6"/>
  <c r="CD224" i="6"/>
  <c r="CD244" i="6"/>
  <c r="CD222" i="6"/>
  <c r="CD219" i="6"/>
  <c r="CD218" i="6"/>
  <c r="CD217" i="6"/>
  <c r="CD221" i="6"/>
  <c r="CD215" i="6"/>
  <c r="CD214" i="6"/>
  <c r="CD213" i="6"/>
  <c r="CD208" i="6"/>
  <c r="CD207" i="6"/>
  <c r="CD206" i="6"/>
  <c r="CD205" i="6"/>
  <c r="CD204" i="6"/>
  <c r="CD203" i="6"/>
  <c r="CD202" i="6"/>
  <c r="CD201" i="6"/>
  <c r="CD200" i="6"/>
  <c r="CD199" i="6"/>
  <c r="CD198" i="6"/>
  <c r="CD197" i="6"/>
  <c r="CD196" i="6"/>
  <c r="CD195" i="6"/>
  <c r="CD194" i="6"/>
  <c r="CD193" i="6"/>
  <c r="CD192" i="6"/>
  <c r="CD191" i="6"/>
  <c r="CD190" i="6"/>
  <c r="CD185" i="6"/>
  <c r="CD184" i="6"/>
  <c r="CD220" i="6"/>
  <c r="CD216" i="6"/>
  <c r="CD223" i="6"/>
  <c r="CD182" i="6"/>
  <c r="CD181" i="6"/>
  <c r="CD180" i="6"/>
  <c r="CD179" i="6"/>
  <c r="CD178" i="6"/>
  <c r="CD177" i="6"/>
  <c r="CD172" i="6"/>
  <c r="CD171" i="6"/>
  <c r="CD170" i="6"/>
  <c r="CD169" i="6"/>
  <c r="CD168" i="6"/>
  <c r="CD167" i="6"/>
  <c r="CD166" i="6"/>
  <c r="CD165" i="6"/>
  <c r="CD164" i="6"/>
  <c r="CD163" i="6"/>
  <c r="CD162" i="6"/>
  <c r="CD161" i="6"/>
  <c r="CD160" i="6"/>
  <c r="CD159" i="6"/>
  <c r="CD158" i="6"/>
  <c r="CD157" i="6"/>
  <c r="CD156" i="6"/>
  <c r="CD155" i="6"/>
  <c r="CD154" i="6"/>
  <c r="CD153" i="6"/>
  <c r="CD183" i="6"/>
  <c r="CD152" i="6"/>
  <c r="CD150" i="6"/>
  <c r="CD149" i="6"/>
  <c r="CD148" i="6"/>
  <c r="CD147" i="6"/>
  <c r="CD146" i="6"/>
  <c r="CD145" i="6"/>
  <c r="CD144" i="6"/>
  <c r="CD143" i="6"/>
  <c r="CD142" i="6"/>
  <c r="CD141" i="6"/>
  <c r="CD140" i="6"/>
  <c r="CD139" i="6"/>
  <c r="CD138" i="6"/>
  <c r="CD137" i="6"/>
  <c r="CD136" i="6"/>
  <c r="CD135" i="6"/>
  <c r="CD134" i="6"/>
  <c r="CD133" i="6"/>
  <c r="CD132" i="6"/>
  <c r="CD131" i="6"/>
  <c r="CD130" i="6"/>
  <c r="CD129" i="6"/>
  <c r="CD128" i="6"/>
  <c r="CD127" i="6"/>
  <c r="CD126" i="6"/>
  <c r="CD125" i="6"/>
  <c r="CD151" i="6"/>
  <c r="CD124" i="6"/>
  <c r="CD119" i="6"/>
  <c r="CD118" i="6"/>
  <c r="CD117" i="6"/>
  <c r="CD116" i="6"/>
  <c r="CD115" i="6"/>
  <c r="CD114" i="6"/>
  <c r="CD113" i="6"/>
  <c r="CD112" i="6"/>
  <c r="CD111" i="6"/>
  <c r="CD110" i="6"/>
  <c r="CD109" i="6"/>
  <c r="CD108" i="6"/>
  <c r="CD107" i="6"/>
  <c r="CD106" i="6"/>
  <c r="CD105" i="6"/>
  <c r="CD104" i="6"/>
  <c r="CD103" i="6"/>
  <c r="CD102" i="6"/>
  <c r="CD101" i="6"/>
  <c r="CD100" i="6"/>
  <c r="CD99" i="6"/>
  <c r="CD98" i="6"/>
  <c r="CD97" i="6"/>
  <c r="CD96" i="6"/>
  <c r="CD95" i="6"/>
  <c r="CD94" i="6"/>
  <c r="CD93" i="6"/>
  <c r="CD92" i="6"/>
  <c r="CD91" i="6"/>
  <c r="CD90" i="6"/>
  <c r="CD89" i="6"/>
  <c r="CD88" i="6"/>
  <c r="CD87" i="6"/>
  <c r="CD86" i="6"/>
  <c r="CD85" i="6"/>
  <c r="CD84" i="6"/>
  <c r="CD83" i="6"/>
  <c r="CD82" i="6"/>
  <c r="CD81" i="6"/>
  <c r="CD80" i="6"/>
  <c r="CD79" i="6"/>
  <c r="CD78" i="6"/>
  <c r="CD77" i="6"/>
  <c r="CD76" i="6"/>
  <c r="CD75" i="6"/>
  <c r="CD74" i="6"/>
  <c r="CD73" i="6"/>
  <c r="CD72" i="6"/>
  <c r="CD71" i="6"/>
  <c r="CD66" i="6"/>
  <c r="CD65" i="6"/>
  <c r="CD64" i="6"/>
  <c r="CD63" i="6"/>
  <c r="CD62" i="6"/>
  <c r="CD61" i="6"/>
  <c r="CD60" i="6"/>
  <c r="CD59" i="6"/>
  <c r="CD58" i="6"/>
  <c r="CD57" i="6"/>
  <c r="CD56" i="6"/>
  <c r="CD55" i="6"/>
  <c r="CD54" i="6"/>
  <c r="CD53" i="6"/>
  <c r="CD52" i="6"/>
  <c r="CD51" i="6"/>
  <c r="CD50" i="6"/>
  <c r="CD49" i="6"/>
  <c r="CD48" i="6"/>
  <c r="CD47" i="6"/>
  <c r="CD46" i="6"/>
  <c r="CD45" i="6"/>
  <c r="CD44" i="6"/>
  <c r="CD43" i="6"/>
  <c r="CD42" i="6"/>
  <c r="CD41" i="6"/>
  <c r="CD40" i="6"/>
  <c r="CD39" i="6"/>
  <c r="CD38" i="6"/>
  <c r="CD37" i="6"/>
  <c r="CD36" i="6"/>
  <c r="CD35" i="6"/>
  <c r="CD34" i="6"/>
  <c r="CD33" i="6"/>
  <c r="CD32" i="6"/>
  <c r="CD17" i="6"/>
  <c r="CD24" i="6"/>
  <c r="CD23" i="6"/>
  <c r="CD22" i="6"/>
  <c r="CD21" i="6"/>
  <c r="CD20" i="6"/>
  <c r="CD31" i="6"/>
  <c r="CD30" i="6"/>
  <c r="CD29" i="6"/>
  <c r="CD19" i="6"/>
  <c r="CD18" i="6"/>
  <c r="BV246" i="6"/>
  <c r="BV245" i="6"/>
  <c r="BV244" i="6"/>
  <c r="BV239" i="6"/>
  <c r="BV238" i="6"/>
  <c r="BV233" i="6"/>
  <c r="BV232" i="6"/>
  <c r="BV231" i="6"/>
  <c r="BV230" i="6"/>
  <c r="BV225" i="6"/>
  <c r="BV224" i="6"/>
  <c r="BV220" i="6"/>
  <c r="BV223" i="6"/>
  <c r="BV222" i="6"/>
  <c r="BV215" i="6"/>
  <c r="BV214" i="6"/>
  <c r="BV213" i="6"/>
  <c r="BV208" i="6"/>
  <c r="BV207" i="6"/>
  <c r="BV206" i="6"/>
  <c r="BV205" i="6"/>
  <c r="BV204" i="6"/>
  <c r="BV203" i="6"/>
  <c r="BV202" i="6"/>
  <c r="BV201" i="6"/>
  <c r="BV200" i="6"/>
  <c r="BV199" i="6"/>
  <c r="BV198" i="6"/>
  <c r="BV197" i="6"/>
  <c r="BV196" i="6"/>
  <c r="BV195" i="6"/>
  <c r="BV194" i="6"/>
  <c r="BV193" i="6"/>
  <c r="BV192" i="6"/>
  <c r="BV191" i="6"/>
  <c r="BV190" i="6"/>
  <c r="BV185" i="6"/>
  <c r="BV184" i="6"/>
  <c r="BV216" i="6"/>
  <c r="BV221" i="6"/>
  <c r="BV219" i="6"/>
  <c r="BV218" i="6"/>
  <c r="BV217" i="6"/>
  <c r="BV182" i="6"/>
  <c r="BV181" i="6"/>
  <c r="BV180" i="6"/>
  <c r="BV179" i="6"/>
  <c r="BV178" i="6"/>
  <c r="BV177" i="6"/>
  <c r="BV172" i="6"/>
  <c r="BV171" i="6"/>
  <c r="BV170" i="6"/>
  <c r="BV169" i="6"/>
  <c r="BV168" i="6"/>
  <c r="BV167" i="6"/>
  <c r="BV166" i="6"/>
  <c r="BV165" i="6"/>
  <c r="BV164" i="6"/>
  <c r="BV163" i="6"/>
  <c r="BV162" i="6"/>
  <c r="BV161" i="6"/>
  <c r="BV160" i="6"/>
  <c r="BV159" i="6"/>
  <c r="BV158" i="6"/>
  <c r="BV157" i="6"/>
  <c r="BV156" i="6"/>
  <c r="BV155" i="6"/>
  <c r="BV154" i="6"/>
  <c r="BV153" i="6"/>
  <c r="BV183" i="6"/>
  <c r="BV151" i="6"/>
  <c r="BV150" i="6"/>
  <c r="BV149" i="6"/>
  <c r="BV148" i="6"/>
  <c r="BV147" i="6"/>
  <c r="BV146" i="6"/>
  <c r="BV145" i="6"/>
  <c r="BV144" i="6"/>
  <c r="BV143" i="6"/>
  <c r="BV142" i="6"/>
  <c r="BV141" i="6"/>
  <c r="BV140" i="6"/>
  <c r="BV139" i="6"/>
  <c r="BV138" i="6"/>
  <c r="BV137" i="6"/>
  <c r="BV136" i="6"/>
  <c r="BV135" i="6"/>
  <c r="BV134" i="6"/>
  <c r="BV133" i="6"/>
  <c r="BV132" i="6"/>
  <c r="BV131" i="6"/>
  <c r="BV130" i="6"/>
  <c r="BV129" i="6"/>
  <c r="BV128" i="6"/>
  <c r="BV127" i="6"/>
  <c r="BV126" i="6"/>
  <c r="BV152" i="6"/>
  <c r="BV125" i="6"/>
  <c r="BV119" i="6"/>
  <c r="BV118" i="6"/>
  <c r="BV117" i="6"/>
  <c r="BV116" i="6"/>
  <c r="BV115" i="6"/>
  <c r="BV114" i="6"/>
  <c r="BV113" i="6"/>
  <c r="BV112" i="6"/>
  <c r="BV111" i="6"/>
  <c r="BV110" i="6"/>
  <c r="BV109" i="6"/>
  <c r="BV108" i="6"/>
  <c r="BV107" i="6"/>
  <c r="BV106" i="6"/>
  <c r="BV105" i="6"/>
  <c r="BV104" i="6"/>
  <c r="BV103" i="6"/>
  <c r="BV102" i="6"/>
  <c r="BV101" i="6"/>
  <c r="BV100" i="6"/>
  <c r="BV99" i="6"/>
  <c r="BV98" i="6"/>
  <c r="BV97" i="6"/>
  <c r="BV96" i="6"/>
  <c r="BV95" i="6"/>
  <c r="BV94" i="6"/>
  <c r="BV93" i="6"/>
  <c r="BV124" i="6"/>
  <c r="BV92" i="6"/>
  <c r="BV91" i="6"/>
  <c r="BV90" i="6"/>
  <c r="BV89" i="6"/>
  <c r="BV88" i="6"/>
  <c r="BV87" i="6"/>
  <c r="BV86" i="6"/>
  <c r="BV85" i="6"/>
  <c r="BV84" i="6"/>
  <c r="BV83" i="6"/>
  <c r="BV82" i="6"/>
  <c r="BV81" i="6"/>
  <c r="BV80" i="6"/>
  <c r="BV79" i="6"/>
  <c r="BV78" i="6"/>
  <c r="BV77" i="6"/>
  <c r="BV76" i="6"/>
  <c r="BV75" i="6"/>
  <c r="BV74" i="6"/>
  <c r="BV73" i="6"/>
  <c r="BV72" i="6"/>
  <c r="BV71" i="6"/>
  <c r="BV66" i="6"/>
  <c r="BV65" i="6"/>
  <c r="BV64" i="6"/>
  <c r="BV63" i="6"/>
  <c r="BV62" i="6"/>
  <c r="BV61" i="6"/>
  <c r="BV60" i="6"/>
  <c r="BV59" i="6"/>
  <c r="BV58" i="6"/>
  <c r="BV57" i="6"/>
  <c r="BV56" i="6"/>
  <c r="BV55" i="6"/>
  <c r="BV54" i="6"/>
  <c r="BV53" i="6"/>
  <c r="BV52" i="6"/>
  <c r="BV51" i="6"/>
  <c r="BV50" i="6"/>
  <c r="BV49" i="6"/>
  <c r="BV48" i="6"/>
  <c r="BV47" i="6"/>
  <c r="BV46" i="6"/>
  <c r="BV45" i="6"/>
  <c r="BV44" i="6"/>
  <c r="BV43" i="6"/>
  <c r="BV42" i="6"/>
  <c r="BV41" i="6"/>
  <c r="BV40" i="6"/>
  <c r="BV39" i="6"/>
  <c r="BV38" i="6"/>
  <c r="BV37" i="6"/>
  <c r="BV36" i="6"/>
  <c r="BV35" i="6"/>
  <c r="BV34" i="6"/>
  <c r="BV33" i="6"/>
  <c r="BV32" i="6"/>
  <c r="BV17" i="6"/>
  <c r="BV23" i="6"/>
  <c r="BV22" i="6"/>
  <c r="BV21" i="6"/>
  <c r="BV20" i="6"/>
  <c r="BV31" i="6"/>
  <c r="BV30" i="6"/>
  <c r="BV29" i="6"/>
  <c r="BV19" i="6"/>
  <c r="BV18" i="6"/>
  <c r="BV24" i="6"/>
  <c r="BN246" i="6"/>
  <c r="BN245" i="6"/>
  <c r="BN244" i="6"/>
  <c r="BN238" i="6"/>
  <c r="BN233" i="6"/>
  <c r="BN232" i="6"/>
  <c r="BN231" i="6"/>
  <c r="BN230" i="6"/>
  <c r="BN225" i="6"/>
  <c r="BN224" i="6"/>
  <c r="BN239" i="6"/>
  <c r="BN221" i="6"/>
  <c r="BN219" i="6"/>
  <c r="BN218" i="6"/>
  <c r="BN217" i="6"/>
  <c r="BN220" i="6"/>
  <c r="BN216" i="6"/>
  <c r="BN215" i="6"/>
  <c r="BN214" i="6"/>
  <c r="BN213" i="6"/>
  <c r="BN208" i="6"/>
  <c r="BN207" i="6"/>
  <c r="BN206" i="6"/>
  <c r="BN205" i="6"/>
  <c r="BN204" i="6"/>
  <c r="BN203" i="6"/>
  <c r="BN202" i="6"/>
  <c r="BN201" i="6"/>
  <c r="BN200" i="6"/>
  <c r="BN199" i="6"/>
  <c r="BN198" i="6"/>
  <c r="BN197" i="6"/>
  <c r="BN196" i="6"/>
  <c r="BN195" i="6"/>
  <c r="BN194" i="6"/>
  <c r="BN193" i="6"/>
  <c r="BN192" i="6"/>
  <c r="BN191" i="6"/>
  <c r="BN190" i="6"/>
  <c r="BN185" i="6"/>
  <c r="BN184" i="6"/>
  <c r="BN223" i="6"/>
  <c r="BN222" i="6"/>
  <c r="BN183" i="6"/>
  <c r="BN182" i="6"/>
  <c r="BN181" i="6"/>
  <c r="BN180" i="6"/>
  <c r="BN179" i="6"/>
  <c r="BN178" i="6"/>
  <c r="BN177" i="6"/>
  <c r="BN172" i="6"/>
  <c r="BN171" i="6"/>
  <c r="BN170" i="6"/>
  <c r="BN169" i="6"/>
  <c r="BN168" i="6"/>
  <c r="BN167" i="6"/>
  <c r="BN166" i="6"/>
  <c r="BN165" i="6"/>
  <c r="BN164" i="6"/>
  <c r="BN163" i="6"/>
  <c r="BN162" i="6"/>
  <c r="BN161" i="6"/>
  <c r="BN160" i="6"/>
  <c r="BN159" i="6"/>
  <c r="BN158" i="6"/>
  <c r="BN157" i="6"/>
  <c r="BN156" i="6"/>
  <c r="BN155" i="6"/>
  <c r="BN154" i="6"/>
  <c r="BN153" i="6"/>
  <c r="BN152" i="6"/>
  <c r="BN151" i="6"/>
  <c r="BN150" i="6"/>
  <c r="BN149" i="6"/>
  <c r="BN148" i="6"/>
  <c r="BN147" i="6"/>
  <c r="BN146" i="6"/>
  <c r="BN145" i="6"/>
  <c r="BN144" i="6"/>
  <c r="BN143" i="6"/>
  <c r="BN142" i="6"/>
  <c r="BN141" i="6"/>
  <c r="BN140" i="6"/>
  <c r="BN139" i="6"/>
  <c r="BN138" i="6"/>
  <c r="BN137" i="6"/>
  <c r="BN136" i="6"/>
  <c r="BN135" i="6"/>
  <c r="BN134" i="6"/>
  <c r="BN133" i="6"/>
  <c r="BN132" i="6"/>
  <c r="BN131" i="6"/>
  <c r="BN130" i="6"/>
  <c r="BN129" i="6"/>
  <c r="BN128" i="6"/>
  <c r="BN127" i="6"/>
  <c r="BN126" i="6"/>
  <c r="BN124" i="6"/>
  <c r="BN119" i="6"/>
  <c r="BN118" i="6"/>
  <c r="BN117" i="6"/>
  <c r="BN116" i="6"/>
  <c r="BN115" i="6"/>
  <c r="BN114" i="6"/>
  <c r="BN113" i="6"/>
  <c r="BN112" i="6"/>
  <c r="BN111" i="6"/>
  <c r="BN110" i="6"/>
  <c r="BN109" i="6"/>
  <c r="BN108" i="6"/>
  <c r="BN107" i="6"/>
  <c r="BN106" i="6"/>
  <c r="BN105" i="6"/>
  <c r="BN104" i="6"/>
  <c r="BN103" i="6"/>
  <c r="BN102" i="6"/>
  <c r="BN101" i="6"/>
  <c r="BN100" i="6"/>
  <c r="BN99" i="6"/>
  <c r="BN98" i="6"/>
  <c r="BN97" i="6"/>
  <c r="BN96" i="6"/>
  <c r="BN95" i="6"/>
  <c r="BN94" i="6"/>
  <c r="BN93" i="6"/>
  <c r="BN125" i="6"/>
  <c r="BN92" i="6"/>
  <c r="BN91" i="6"/>
  <c r="BN90" i="6"/>
  <c r="BN89" i="6"/>
  <c r="BN88" i="6"/>
  <c r="BN87" i="6"/>
  <c r="BN86" i="6"/>
  <c r="BN85" i="6"/>
  <c r="BN84" i="6"/>
  <c r="BN83" i="6"/>
  <c r="BN82" i="6"/>
  <c r="BN81" i="6"/>
  <c r="BN80" i="6"/>
  <c r="BN79" i="6"/>
  <c r="BN78" i="6"/>
  <c r="BN77" i="6"/>
  <c r="BN76" i="6"/>
  <c r="BN75" i="6"/>
  <c r="BN74" i="6"/>
  <c r="BN73" i="6"/>
  <c r="BN72" i="6"/>
  <c r="BN71" i="6"/>
  <c r="BN66" i="6"/>
  <c r="BN65" i="6"/>
  <c r="BN64" i="6"/>
  <c r="BN63" i="6"/>
  <c r="BN62" i="6"/>
  <c r="BN61" i="6"/>
  <c r="BN60" i="6"/>
  <c r="BN59" i="6"/>
  <c r="BN58" i="6"/>
  <c r="BN57" i="6"/>
  <c r="BN56" i="6"/>
  <c r="BN55" i="6"/>
  <c r="BN54" i="6"/>
  <c r="BN53" i="6"/>
  <c r="BN52" i="6"/>
  <c r="BN51" i="6"/>
  <c r="BN50" i="6"/>
  <c r="BN49" i="6"/>
  <c r="BN48" i="6"/>
  <c r="BN47" i="6"/>
  <c r="BN46" i="6"/>
  <c r="BN45" i="6"/>
  <c r="BN44" i="6"/>
  <c r="BN43" i="6"/>
  <c r="BN42" i="6"/>
  <c r="BN41" i="6"/>
  <c r="BN40" i="6"/>
  <c r="BN39" i="6"/>
  <c r="BN38" i="6"/>
  <c r="BN37" i="6"/>
  <c r="BN36" i="6"/>
  <c r="BN35" i="6"/>
  <c r="BN34" i="6"/>
  <c r="BN33" i="6"/>
  <c r="BN32" i="6"/>
  <c r="BN17" i="6"/>
  <c r="BN24" i="6"/>
  <c r="BN23" i="6"/>
  <c r="BN22" i="6"/>
  <c r="BN21" i="6"/>
  <c r="BN20" i="6"/>
  <c r="BN31" i="6"/>
  <c r="BN30" i="6"/>
  <c r="BN29" i="6"/>
  <c r="BN19" i="6"/>
  <c r="BN18" i="6"/>
  <c r="BM246" i="6"/>
  <c r="BM245" i="6"/>
  <c r="BM244" i="6"/>
  <c r="BM239" i="6"/>
  <c r="BM238" i="6"/>
  <c r="BM233" i="6"/>
  <c r="BM232" i="6"/>
  <c r="BM231" i="6"/>
  <c r="BM230" i="6"/>
  <c r="BM225" i="6"/>
  <c r="BM224" i="6"/>
  <c r="BM223" i="6"/>
  <c r="BM222" i="6"/>
  <c r="BM221" i="6"/>
  <c r="BM220" i="6"/>
  <c r="BM219" i="6"/>
  <c r="BM218" i="6"/>
  <c r="BM217" i="6"/>
  <c r="BM216" i="6"/>
  <c r="BM215" i="6"/>
  <c r="BM214" i="6"/>
  <c r="BM213" i="6"/>
  <c r="BM208" i="6"/>
  <c r="BM207" i="6"/>
  <c r="BM206" i="6"/>
  <c r="BM205" i="6"/>
  <c r="BM204" i="6"/>
  <c r="BM203" i="6"/>
  <c r="BM202" i="6"/>
  <c r="BM201" i="6"/>
  <c r="BM200" i="6"/>
  <c r="BM199" i="6"/>
  <c r="BM198" i="6"/>
  <c r="BM197" i="6"/>
  <c r="BM196" i="6"/>
  <c r="BM195" i="6"/>
  <c r="BM194" i="6"/>
  <c r="BM193" i="6"/>
  <c r="BM192" i="6"/>
  <c r="BM191" i="6"/>
  <c r="BM190" i="6"/>
  <c r="BM185" i="6"/>
  <c r="BM184" i="6"/>
  <c r="BM183" i="6"/>
  <c r="BM182" i="6"/>
  <c r="BM181" i="6"/>
  <c r="BM180" i="6"/>
  <c r="BM179" i="6"/>
  <c r="BM178" i="6"/>
  <c r="BM177" i="6"/>
  <c r="BM172" i="6"/>
  <c r="BM171" i="6"/>
  <c r="BM170" i="6"/>
  <c r="BM169" i="6"/>
  <c r="BM168" i="6"/>
  <c r="BM167" i="6"/>
  <c r="BM166" i="6"/>
  <c r="BM165" i="6"/>
  <c r="BM164" i="6"/>
  <c r="BM163" i="6"/>
  <c r="BM162" i="6"/>
  <c r="BM161" i="6"/>
  <c r="BM160" i="6"/>
  <c r="BM159" i="6"/>
  <c r="BM158" i="6"/>
  <c r="BM157" i="6"/>
  <c r="BM156" i="6"/>
  <c r="BM155" i="6"/>
  <c r="BM154" i="6"/>
  <c r="BM153" i="6"/>
  <c r="BM152" i="6"/>
  <c r="BM151" i="6"/>
  <c r="BM150" i="6"/>
  <c r="BM149" i="6"/>
  <c r="BM148" i="6"/>
  <c r="BM147" i="6"/>
  <c r="BM146" i="6"/>
  <c r="BM145" i="6"/>
  <c r="BM144" i="6"/>
  <c r="BM143" i="6"/>
  <c r="BM142" i="6"/>
  <c r="BM141" i="6"/>
  <c r="BM140" i="6"/>
  <c r="BM139" i="6"/>
  <c r="BM138" i="6"/>
  <c r="BM137" i="6"/>
  <c r="BM136" i="6"/>
  <c r="BM135" i="6"/>
  <c r="BM134" i="6"/>
  <c r="BM133" i="6"/>
  <c r="BM132" i="6"/>
  <c r="BM131" i="6"/>
  <c r="BM130" i="6"/>
  <c r="BM129" i="6"/>
  <c r="BM128" i="6"/>
  <c r="BM127" i="6"/>
  <c r="BM126" i="6"/>
  <c r="BM124" i="6"/>
  <c r="BM119" i="6"/>
  <c r="BM118" i="6"/>
  <c r="BM117" i="6"/>
  <c r="BM116" i="6"/>
  <c r="BM115" i="6"/>
  <c r="BM114" i="6"/>
  <c r="BM113" i="6"/>
  <c r="BM112" i="6"/>
  <c r="BM111" i="6"/>
  <c r="BM110" i="6"/>
  <c r="BM109" i="6"/>
  <c r="BM108" i="6"/>
  <c r="BM107" i="6"/>
  <c r="BM106" i="6"/>
  <c r="BM105" i="6"/>
  <c r="BM104" i="6"/>
  <c r="BM103" i="6"/>
  <c r="BM102" i="6"/>
  <c r="BM101" i="6"/>
  <c r="BM100" i="6"/>
  <c r="BM99" i="6"/>
  <c r="BM98" i="6"/>
  <c r="BM97" i="6"/>
  <c r="BM96" i="6"/>
  <c r="BM95" i="6"/>
  <c r="BM94" i="6"/>
  <c r="BM125" i="6"/>
  <c r="BM92" i="6"/>
  <c r="BM91" i="6"/>
  <c r="BM90" i="6"/>
  <c r="BM89" i="6"/>
  <c r="BM88" i="6"/>
  <c r="BM87" i="6"/>
  <c r="BM86" i="6"/>
  <c r="BM85" i="6"/>
  <c r="BM84" i="6"/>
  <c r="BM83" i="6"/>
  <c r="BM82" i="6"/>
  <c r="BM81" i="6"/>
  <c r="BM80" i="6"/>
  <c r="BM79" i="6"/>
  <c r="BM78" i="6"/>
  <c r="BM77" i="6"/>
  <c r="BM76" i="6"/>
  <c r="BM75" i="6"/>
  <c r="BM74" i="6"/>
  <c r="BM73" i="6"/>
  <c r="BM72" i="6"/>
  <c r="BM71" i="6"/>
  <c r="BM66" i="6"/>
  <c r="BM65" i="6"/>
  <c r="BM64" i="6"/>
  <c r="BM63" i="6"/>
  <c r="BM62" i="6"/>
  <c r="BM61" i="6"/>
  <c r="BM93" i="6"/>
  <c r="BM60" i="6"/>
  <c r="BM59" i="6"/>
  <c r="BM58" i="6"/>
  <c r="BM57" i="6"/>
  <c r="BM56" i="6"/>
  <c r="BM55" i="6"/>
  <c r="BM54" i="6"/>
  <c r="BM53" i="6"/>
  <c r="BM52" i="6"/>
  <c r="BM51" i="6"/>
  <c r="BM50" i="6"/>
  <c r="BM49" i="6"/>
  <c r="BM48" i="6"/>
  <c r="BM47" i="6"/>
  <c r="BM46" i="6"/>
  <c r="BM45" i="6"/>
  <c r="BM44" i="6"/>
  <c r="BM43" i="6"/>
  <c r="BM42" i="6"/>
  <c r="BM41" i="6"/>
  <c r="BM40" i="6"/>
  <c r="BM39" i="6"/>
  <c r="BM38" i="6"/>
  <c r="BM37" i="6"/>
  <c r="BM36" i="6"/>
  <c r="BM35" i="6"/>
  <c r="BM34" i="6"/>
  <c r="BM18" i="6"/>
  <c r="BM19" i="6"/>
  <c r="BM20" i="6"/>
  <c r="BM21" i="6"/>
  <c r="BM24" i="6"/>
  <c r="BM33" i="6"/>
  <c r="BM32" i="6"/>
  <c r="BM22" i="6"/>
  <c r="BM31" i="6"/>
  <c r="BM30" i="6"/>
  <c r="BM29" i="6"/>
  <c r="BM17" i="6"/>
  <c r="BM23" i="6"/>
  <c r="DA246" i="6"/>
  <c r="DA245" i="6"/>
  <c r="DA244" i="6"/>
  <c r="DA239" i="6"/>
  <c r="DA238" i="6"/>
  <c r="DA233" i="6"/>
  <c r="DA232" i="6"/>
  <c r="DA231" i="6"/>
  <c r="DA230" i="6"/>
  <c r="DA225" i="6"/>
  <c r="DA224" i="6"/>
  <c r="DA223" i="6"/>
  <c r="DA222" i="6"/>
  <c r="DA221" i="6"/>
  <c r="DA220" i="6"/>
  <c r="DA215" i="6"/>
  <c r="DA214" i="6"/>
  <c r="DA213" i="6"/>
  <c r="DA208" i="6"/>
  <c r="DA207" i="6"/>
  <c r="DA206" i="6"/>
  <c r="DA205" i="6"/>
  <c r="DA204" i="6"/>
  <c r="DA203" i="6"/>
  <c r="DA202" i="6"/>
  <c r="DA201" i="6"/>
  <c r="DA200" i="6"/>
  <c r="DA199" i="6"/>
  <c r="DA198" i="6"/>
  <c r="DA197" i="6"/>
  <c r="DA196" i="6"/>
  <c r="DA195" i="6"/>
  <c r="DA194" i="6"/>
  <c r="DA193" i="6"/>
  <c r="DA192" i="6"/>
  <c r="DA191" i="6"/>
  <c r="DA190" i="6"/>
  <c r="DA185" i="6"/>
  <c r="DA184" i="6"/>
  <c r="DA183" i="6"/>
  <c r="DA219" i="6"/>
  <c r="DA218" i="6"/>
  <c r="DA217" i="6"/>
  <c r="DA216" i="6"/>
  <c r="DA182" i="6"/>
  <c r="DA181" i="6"/>
  <c r="DA180" i="6"/>
  <c r="DA179" i="6"/>
  <c r="DA178" i="6"/>
  <c r="DA177" i="6"/>
  <c r="DA172" i="6"/>
  <c r="DA171" i="6"/>
  <c r="DA170" i="6"/>
  <c r="DA169" i="6"/>
  <c r="DA168" i="6"/>
  <c r="DA167" i="6"/>
  <c r="DA166" i="6"/>
  <c r="DA165" i="6"/>
  <c r="DA164" i="6"/>
  <c r="DA163" i="6"/>
  <c r="DA162" i="6"/>
  <c r="DA161" i="6"/>
  <c r="DA160" i="6"/>
  <c r="DA159" i="6"/>
  <c r="DA158" i="6"/>
  <c r="DA157" i="6"/>
  <c r="DA156" i="6"/>
  <c r="DA155" i="6"/>
  <c r="DA154" i="6"/>
  <c r="DA153" i="6"/>
  <c r="DA152" i="6"/>
  <c r="DA151" i="6"/>
  <c r="DA150" i="6"/>
  <c r="DA149" i="6"/>
  <c r="DA148" i="6"/>
  <c r="DA147" i="6"/>
  <c r="DA146" i="6"/>
  <c r="DA145" i="6"/>
  <c r="DA144" i="6"/>
  <c r="DA143" i="6"/>
  <c r="DA142" i="6"/>
  <c r="DA141" i="6"/>
  <c r="DA140" i="6"/>
  <c r="DA139" i="6"/>
  <c r="DA138" i="6"/>
  <c r="DA137" i="6"/>
  <c r="DA136" i="6"/>
  <c r="DA135" i="6"/>
  <c r="DA134" i="6"/>
  <c r="DA133" i="6"/>
  <c r="DA132" i="6"/>
  <c r="DA131" i="6"/>
  <c r="DA130" i="6"/>
  <c r="DA129" i="6"/>
  <c r="DA128" i="6"/>
  <c r="DA127" i="6"/>
  <c r="DA126" i="6"/>
  <c r="DA125" i="6"/>
  <c r="DA119" i="6"/>
  <c r="DA124" i="6"/>
  <c r="DA118" i="6"/>
  <c r="DA117" i="6"/>
  <c r="DA116" i="6"/>
  <c r="DA115" i="6"/>
  <c r="DA114" i="6"/>
  <c r="DA113" i="6"/>
  <c r="DA112" i="6"/>
  <c r="DA111" i="6"/>
  <c r="DA110" i="6"/>
  <c r="DA109" i="6"/>
  <c r="DA108" i="6"/>
  <c r="DA107" i="6"/>
  <c r="DA106" i="6"/>
  <c r="DA105" i="6"/>
  <c r="DA104" i="6"/>
  <c r="DA103" i="6"/>
  <c r="DA102" i="6"/>
  <c r="DA101" i="6"/>
  <c r="DA100" i="6"/>
  <c r="DA99" i="6"/>
  <c r="DA98" i="6"/>
  <c r="DA97" i="6"/>
  <c r="DA96" i="6"/>
  <c r="DA95" i="6"/>
  <c r="DA94" i="6"/>
  <c r="DA93" i="6"/>
  <c r="DA91" i="6"/>
  <c r="DA90" i="6"/>
  <c r="DA89" i="6"/>
  <c r="DA88" i="6"/>
  <c r="DA87" i="6"/>
  <c r="DA86" i="6"/>
  <c r="DA85" i="6"/>
  <c r="DA84" i="6"/>
  <c r="DA83" i="6"/>
  <c r="DA82" i="6"/>
  <c r="DA81" i="6"/>
  <c r="DA80" i="6"/>
  <c r="DA79" i="6"/>
  <c r="DA78" i="6"/>
  <c r="DA77" i="6"/>
  <c r="DA76" i="6"/>
  <c r="DA75" i="6"/>
  <c r="DA74" i="6"/>
  <c r="DA73" i="6"/>
  <c r="DA72" i="6"/>
  <c r="DA71" i="6"/>
  <c r="DA66" i="6"/>
  <c r="DA65" i="6"/>
  <c r="DA64" i="6"/>
  <c r="DA63" i="6"/>
  <c r="DA62" i="6"/>
  <c r="DA61" i="6"/>
  <c r="DA92" i="6"/>
  <c r="DA60" i="6"/>
  <c r="DA59" i="6"/>
  <c r="DA58" i="6"/>
  <c r="DA57" i="6"/>
  <c r="DA56" i="6"/>
  <c r="DA55" i="6"/>
  <c r="DA54" i="6"/>
  <c r="DA53" i="6"/>
  <c r="DA52" i="6"/>
  <c r="DA51" i="6"/>
  <c r="DA50" i="6"/>
  <c r="DA49" i="6"/>
  <c r="DA48" i="6"/>
  <c r="DA47" i="6"/>
  <c r="DA46" i="6"/>
  <c r="DA45" i="6"/>
  <c r="DA44" i="6"/>
  <c r="DA43" i="6"/>
  <c r="DA42" i="6"/>
  <c r="DA41" i="6"/>
  <c r="DA40" i="6"/>
  <c r="DA39" i="6"/>
  <c r="DA38" i="6"/>
  <c r="DA37" i="6"/>
  <c r="DA36" i="6"/>
  <c r="DA35" i="6"/>
  <c r="DA34" i="6"/>
  <c r="DA33" i="6"/>
  <c r="DA24" i="6"/>
  <c r="DA31" i="6"/>
  <c r="DA22" i="6"/>
  <c r="DA21" i="6"/>
  <c r="DA20" i="6"/>
  <c r="DA19" i="6"/>
  <c r="DA18" i="6"/>
  <c r="DA32" i="6"/>
  <c r="DA30" i="6"/>
  <c r="DA29" i="6"/>
  <c r="DA17" i="6"/>
  <c r="DA23" i="6"/>
  <c r="CS246" i="6"/>
  <c r="CS245" i="6"/>
  <c r="CS244" i="6"/>
  <c r="CS239" i="6"/>
  <c r="CS238" i="6"/>
  <c r="CS233" i="6"/>
  <c r="CS232" i="6"/>
  <c r="CS231" i="6"/>
  <c r="CS230" i="6"/>
  <c r="CS225" i="6"/>
  <c r="CS224" i="6"/>
  <c r="CS223" i="6"/>
  <c r="CS222" i="6"/>
  <c r="CS221" i="6"/>
  <c r="CS220" i="6"/>
  <c r="CS219" i="6"/>
  <c r="CS218" i="6"/>
  <c r="CS217" i="6"/>
  <c r="CS216" i="6"/>
  <c r="CS215" i="6"/>
  <c r="CS214" i="6"/>
  <c r="CS213" i="6"/>
  <c r="CS208" i="6"/>
  <c r="CS207" i="6"/>
  <c r="CS206" i="6"/>
  <c r="CS205" i="6"/>
  <c r="CS204" i="6"/>
  <c r="CS203" i="6"/>
  <c r="CS202" i="6"/>
  <c r="CS201" i="6"/>
  <c r="CS200" i="6"/>
  <c r="CS199" i="6"/>
  <c r="CS198" i="6"/>
  <c r="CS197" i="6"/>
  <c r="CS196" i="6"/>
  <c r="CS195" i="6"/>
  <c r="CS194" i="6"/>
  <c r="CS193" i="6"/>
  <c r="CS192" i="6"/>
  <c r="CS191" i="6"/>
  <c r="CS190" i="6"/>
  <c r="CS185" i="6"/>
  <c r="CS184" i="6"/>
  <c r="CS183" i="6"/>
  <c r="CS182" i="6"/>
  <c r="CS181" i="6"/>
  <c r="CS180" i="6"/>
  <c r="CS179" i="6"/>
  <c r="CS178" i="6"/>
  <c r="CS177" i="6"/>
  <c r="CS172" i="6"/>
  <c r="CS171" i="6"/>
  <c r="CS170" i="6"/>
  <c r="CS169" i="6"/>
  <c r="CS168" i="6"/>
  <c r="CS167" i="6"/>
  <c r="CS166" i="6"/>
  <c r="CS165" i="6"/>
  <c r="CS164" i="6"/>
  <c r="CS163" i="6"/>
  <c r="CS162" i="6"/>
  <c r="CS161" i="6"/>
  <c r="CS160" i="6"/>
  <c r="CS159" i="6"/>
  <c r="CS158" i="6"/>
  <c r="CS157" i="6"/>
  <c r="CS156" i="6"/>
  <c r="CS155" i="6"/>
  <c r="CS154" i="6"/>
  <c r="CS153" i="6"/>
  <c r="CS152" i="6"/>
  <c r="CS151" i="6"/>
  <c r="CS150" i="6"/>
  <c r="CS149" i="6"/>
  <c r="CS148" i="6"/>
  <c r="CS147" i="6"/>
  <c r="CS146" i="6"/>
  <c r="CS145" i="6"/>
  <c r="CS144" i="6"/>
  <c r="CS143" i="6"/>
  <c r="CS142" i="6"/>
  <c r="CS141" i="6"/>
  <c r="CS140" i="6"/>
  <c r="CS139" i="6"/>
  <c r="CS138" i="6"/>
  <c r="CS137" i="6"/>
  <c r="CS136" i="6"/>
  <c r="CS135" i="6"/>
  <c r="CS134" i="6"/>
  <c r="CS133" i="6"/>
  <c r="CS132" i="6"/>
  <c r="CS131" i="6"/>
  <c r="CS130" i="6"/>
  <c r="CS129" i="6"/>
  <c r="CS128" i="6"/>
  <c r="CS127" i="6"/>
  <c r="CS126" i="6"/>
  <c r="CS125" i="6"/>
  <c r="CS118" i="6"/>
  <c r="CS117" i="6"/>
  <c r="CS116" i="6"/>
  <c r="CS115" i="6"/>
  <c r="CS114" i="6"/>
  <c r="CS113" i="6"/>
  <c r="CS112" i="6"/>
  <c r="CS111" i="6"/>
  <c r="CS110" i="6"/>
  <c r="CS109" i="6"/>
  <c r="CS108" i="6"/>
  <c r="CS107" i="6"/>
  <c r="CS106" i="6"/>
  <c r="CS105" i="6"/>
  <c r="CS104" i="6"/>
  <c r="CS103" i="6"/>
  <c r="CS102" i="6"/>
  <c r="CS101" i="6"/>
  <c r="CS100" i="6"/>
  <c r="CS99" i="6"/>
  <c r="CS98" i="6"/>
  <c r="CS97" i="6"/>
  <c r="CS96" i="6"/>
  <c r="CS95" i="6"/>
  <c r="CS94" i="6"/>
  <c r="CS93" i="6"/>
  <c r="CS119" i="6"/>
  <c r="CS124" i="6"/>
  <c r="CS91" i="6"/>
  <c r="CS90" i="6"/>
  <c r="CS89" i="6"/>
  <c r="CS88" i="6"/>
  <c r="CS87" i="6"/>
  <c r="CS86" i="6"/>
  <c r="CS85" i="6"/>
  <c r="CS84" i="6"/>
  <c r="CS83" i="6"/>
  <c r="CS82" i="6"/>
  <c r="CS81" i="6"/>
  <c r="CS80" i="6"/>
  <c r="CS79" i="6"/>
  <c r="CS78" i="6"/>
  <c r="CS77" i="6"/>
  <c r="CS76" i="6"/>
  <c r="CS75" i="6"/>
  <c r="CS74" i="6"/>
  <c r="CS73" i="6"/>
  <c r="CS72" i="6"/>
  <c r="CS71" i="6"/>
  <c r="CS66" i="6"/>
  <c r="CS65" i="6"/>
  <c r="CS64" i="6"/>
  <c r="CS63" i="6"/>
  <c r="CS62" i="6"/>
  <c r="CS61" i="6"/>
  <c r="CS92" i="6"/>
  <c r="CS60" i="6"/>
  <c r="CS59" i="6"/>
  <c r="CS58" i="6"/>
  <c r="CS57" i="6"/>
  <c r="CS56" i="6"/>
  <c r="CS55" i="6"/>
  <c r="CS54" i="6"/>
  <c r="CS53" i="6"/>
  <c r="CS52" i="6"/>
  <c r="CS51" i="6"/>
  <c r="CS50" i="6"/>
  <c r="CS49" i="6"/>
  <c r="CS48" i="6"/>
  <c r="CS47" i="6"/>
  <c r="CS46" i="6"/>
  <c r="CS45" i="6"/>
  <c r="CS44" i="6"/>
  <c r="CS43" i="6"/>
  <c r="CS42" i="6"/>
  <c r="CS41" i="6"/>
  <c r="CS40" i="6"/>
  <c r="CS39" i="6"/>
  <c r="CS38" i="6"/>
  <c r="CS37" i="6"/>
  <c r="CS36" i="6"/>
  <c r="CS35" i="6"/>
  <c r="CS34" i="6"/>
  <c r="CS33" i="6"/>
  <c r="CS31" i="6"/>
  <c r="CS24" i="6"/>
  <c r="CS23" i="6"/>
  <c r="CS22" i="6"/>
  <c r="CS21" i="6"/>
  <c r="CS32" i="6"/>
  <c r="CS20" i="6"/>
  <c r="CS19" i="6"/>
  <c r="CS18" i="6"/>
  <c r="CS30" i="6"/>
  <c r="CS29" i="6"/>
  <c r="CS17" i="6"/>
  <c r="CK246" i="6"/>
  <c r="CK245" i="6"/>
  <c r="CK244" i="6"/>
  <c r="CK239" i="6"/>
  <c r="CK238" i="6"/>
  <c r="CK233" i="6"/>
  <c r="CK232" i="6"/>
  <c r="CK231" i="6"/>
  <c r="CK230" i="6"/>
  <c r="CK225" i="6"/>
  <c r="CK224" i="6"/>
  <c r="CK223" i="6"/>
  <c r="CK222" i="6"/>
  <c r="CK221" i="6"/>
  <c r="CK220" i="6"/>
  <c r="CK216" i="6"/>
  <c r="CK215" i="6"/>
  <c r="CK214" i="6"/>
  <c r="CK213" i="6"/>
  <c r="CK208" i="6"/>
  <c r="CK207" i="6"/>
  <c r="CK206" i="6"/>
  <c r="CK205" i="6"/>
  <c r="CK204" i="6"/>
  <c r="CK203" i="6"/>
  <c r="CK202" i="6"/>
  <c r="CK201" i="6"/>
  <c r="CK200" i="6"/>
  <c r="CK199" i="6"/>
  <c r="CK198" i="6"/>
  <c r="CK197" i="6"/>
  <c r="CK196" i="6"/>
  <c r="CK195" i="6"/>
  <c r="CK194" i="6"/>
  <c r="CK193" i="6"/>
  <c r="CK192" i="6"/>
  <c r="CK191" i="6"/>
  <c r="CK190" i="6"/>
  <c r="CK185" i="6"/>
  <c r="CK184" i="6"/>
  <c r="CK183" i="6"/>
  <c r="CK219" i="6"/>
  <c r="CK218" i="6"/>
  <c r="CK217" i="6"/>
  <c r="CK182" i="6"/>
  <c r="CK181" i="6"/>
  <c r="CK180" i="6"/>
  <c r="CK179" i="6"/>
  <c r="CK178" i="6"/>
  <c r="CK177" i="6"/>
  <c r="CK172" i="6"/>
  <c r="CK171" i="6"/>
  <c r="CK170" i="6"/>
  <c r="CK169" i="6"/>
  <c r="CK168" i="6"/>
  <c r="CK167" i="6"/>
  <c r="CK166" i="6"/>
  <c r="CK165" i="6"/>
  <c r="CK164" i="6"/>
  <c r="CK163" i="6"/>
  <c r="CK162" i="6"/>
  <c r="CK161" i="6"/>
  <c r="CK160" i="6"/>
  <c r="CK159" i="6"/>
  <c r="CK158" i="6"/>
  <c r="CK157" i="6"/>
  <c r="CK156" i="6"/>
  <c r="CK155" i="6"/>
  <c r="CK154" i="6"/>
  <c r="CK153" i="6"/>
  <c r="CK152" i="6"/>
  <c r="CK151" i="6"/>
  <c r="CK150" i="6"/>
  <c r="CK149" i="6"/>
  <c r="CK148" i="6"/>
  <c r="CK147" i="6"/>
  <c r="CK146" i="6"/>
  <c r="CK145" i="6"/>
  <c r="CK144" i="6"/>
  <c r="CK143" i="6"/>
  <c r="CK142" i="6"/>
  <c r="CK141" i="6"/>
  <c r="CK140" i="6"/>
  <c r="CK139" i="6"/>
  <c r="CK138" i="6"/>
  <c r="CK137" i="6"/>
  <c r="CK136" i="6"/>
  <c r="CK135" i="6"/>
  <c r="CK134" i="6"/>
  <c r="CK133" i="6"/>
  <c r="CK132" i="6"/>
  <c r="CK131" i="6"/>
  <c r="CK130" i="6"/>
  <c r="CK129" i="6"/>
  <c r="CK128" i="6"/>
  <c r="CK127" i="6"/>
  <c r="CK126" i="6"/>
  <c r="CK125" i="6"/>
  <c r="CK124" i="6"/>
  <c r="CK119" i="6"/>
  <c r="CK118" i="6"/>
  <c r="CK117" i="6"/>
  <c r="CK116" i="6"/>
  <c r="CK115" i="6"/>
  <c r="CK114" i="6"/>
  <c r="CK113" i="6"/>
  <c r="CK112" i="6"/>
  <c r="CK111" i="6"/>
  <c r="CK110" i="6"/>
  <c r="CK109" i="6"/>
  <c r="CK108" i="6"/>
  <c r="CK107" i="6"/>
  <c r="CK106" i="6"/>
  <c r="CK105" i="6"/>
  <c r="CK104" i="6"/>
  <c r="CK103" i="6"/>
  <c r="CK102" i="6"/>
  <c r="CK101" i="6"/>
  <c r="CK100" i="6"/>
  <c r="CK99" i="6"/>
  <c r="CK98" i="6"/>
  <c r="CK97" i="6"/>
  <c r="CK96" i="6"/>
  <c r="CK95" i="6"/>
  <c r="CK94" i="6"/>
  <c r="CK93" i="6"/>
  <c r="CK91" i="6"/>
  <c r="CK90" i="6"/>
  <c r="CK89" i="6"/>
  <c r="CK88" i="6"/>
  <c r="CK87" i="6"/>
  <c r="CK86" i="6"/>
  <c r="CK85" i="6"/>
  <c r="CK84" i="6"/>
  <c r="CK83" i="6"/>
  <c r="CK82" i="6"/>
  <c r="CK81" i="6"/>
  <c r="CK80" i="6"/>
  <c r="CK79" i="6"/>
  <c r="CK78" i="6"/>
  <c r="CK77" i="6"/>
  <c r="CK76" i="6"/>
  <c r="CK75" i="6"/>
  <c r="CK74" i="6"/>
  <c r="CK73" i="6"/>
  <c r="CK72" i="6"/>
  <c r="CK71" i="6"/>
  <c r="CK66" i="6"/>
  <c r="CK65" i="6"/>
  <c r="CK64" i="6"/>
  <c r="CK63" i="6"/>
  <c r="CK62" i="6"/>
  <c r="CK61" i="6"/>
  <c r="CK92" i="6"/>
  <c r="CK60" i="6"/>
  <c r="CK59" i="6"/>
  <c r="CK58" i="6"/>
  <c r="CK57" i="6"/>
  <c r="CK56" i="6"/>
  <c r="CK55" i="6"/>
  <c r="CK54" i="6"/>
  <c r="CK53" i="6"/>
  <c r="CK52" i="6"/>
  <c r="CK51" i="6"/>
  <c r="CK50" i="6"/>
  <c r="CK49" i="6"/>
  <c r="CK48" i="6"/>
  <c r="CK47" i="6"/>
  <c r="CK46" i="6"/>
  <c r="CK45" i="6"/>
  <c r="CK44" i="6"/>
  <c r="CK43" i="6"/>
  <c r="CK42" i="6"/>
  <c r="CK41" i="6"/>
  <c r="CK40" i="6"/>
  <c r="CK39" i="6"/>
  <c r="CK38" i="6"/>
  <c r="CK37" i="6"/>
  <c r="CK36" i="6"/>
  <c r="CK35" i="6"/>
  <c r="CK34" i="6"/>
  <c r="CK33" i="6"/>
  <c r="CK24" i="6"/>
  <c r="CK32" i="6"/>
  <c r="CK22" i="6"/>
  <c r="CK21" i="6"/>
  <c r="CK20" i="6"/>
  <c r="CK19" i="6"/>
  <c r="CK18" i="6"/>
  <c r="CK31" i="6"/>
  <c r="CK30" i="6"/>
  <c r="CK29" i="6"/>
  <c r="CK17" i="6"/>
  <c r="CK23" i="6"/>
  <c r="CC246" i="6"/>
  <c r="CC245" i="6"/>
  <c r="CC244" i="6"/>
  <c r="CC239" i="6"/>
  <c r="CC238" i="6"/>
  <c r="CC233" i="6"/>
  <c r="CC232" i="6"/>
  <c r="CC231" i="6"/>
  <c r="CC230" i="6"/>
  <c r="CC225" i="6"/>
  <c r="CC224" i="6"/>
  <c r="CC223" i="6"/>
  <c r="CC222" i="6"/>
  <c r="CC221" i="6"/>
  <c r="CC220" i="6"/>
  <c r="CC219" i="6"/>
  <c r="CC218" i="6"/>
  <c r="CC217" i="6"/>
  <c r="CC215" i="6"/>
  <c r="CC214" i="6"/>
  <c r="CC213" i="6"/>
  <c r="CC208" i="6"/>
  <c r="CC207" i="6"/>
  <c r="CC206" i="6"/>
  <c r="CC205" i="6"/>
  <c r="CC204" i="6"/>
  <c r="CC203" i="6"/>
  <c r="CC202" i="6"/>
  <c r="CC201" i="6"/>
  <c r="CC200" i="6"/>
  <c r="CC199" i="6"/>
  <c r="CC198" i="6"/>
  <c r="CC197" i="6"/>
  <c r="CC196" i="6"/>
  <c r="CC195" i="6"/>
  <c r="CC194" i="6"/>
  <c r="CC193" i="6"/>
  <c r="CC192" i="6"/>
  <c r="CC191" i="6"/>
  <c r="CC190" i="6"/>
  <c r="CC185" i="6"/>
  <c r="CC184" i="6"/>
  <c r="CC183" i="6"/>
  <c r="CC216" i="6"/>
  <c r="CC182" i="6"/>
  <c r="CC181" i="6"/>
  <c r="CC180" i="6"/>
  <c r="CC179" i="6"/>
  <c r="CC178" i="6"/>
  <c r="CC177" i="6"/>
  <c r="CC172" i="6"/>
  <c r="CC171" i="6"/>
  <c r="CC170" i="6"/>
  <c r="CC169" i="6"/>
  <c r="CC168" i="6"/>
  <c r="CC167" i="6"/>
  <c r="CC166" i="6"/>
  <c r="CC165" i="6"/>
  <c r="CC164" i="6"/>
  <c r="CC163" i="6"/>
  <c r="CC162" i="6"/>
  <c r="CC161" i="6"/>
  <c r="CC160" i="6"/>
  <c r="CC159" i="6"/>
  <c r="CC158" i="6"/>
  <c r="CC157" i="6"/>
  <c r="CC156" i="6"/>
  <c r="CC155" i="6"/>
  <c r="CC154" i="6"/>
  <c r="CC153" i="6"/>
  <c r="CC152" i="6"/>
  <c r="CC151" i="6"/>
  <c r="CC150" i="6"/>
  <c r="CC149" i="6"/>
  <c r="CC148" i="6"/>
  <c r="CC147" i="6"/>
  <c r="CC146" i="6"/>
  <c r="CC145" i="6"/>
  <c r="CC144" i="6"/>
  <c r="CC143" i="6"/>
  <c r="CC142" i="6"/>
  <c r="CC141" i="6"/>
  <c r="CC140" i="6"/>
  <c r="CC139" i="6"/>
  <c r="CC138" i="6"/>
  <c r="CC137" i="6"/>
  <c r="CC136" i="6"/>
  <c r="CC135" i="6"/>
  <c r="CC134" i="6"/>
  <c r="CC133" i="6"/>
  <c r="CC132" i="6"/>
  <c r="CC131" i="6"/>
  <c r="CC130" i="6"/>
  <c r="CC129" i="6"/>
  <c r="CC128" i="6"/>
  <c r="CC127" i="6"/>
  <c r="CC126" i="6"/>
  <c r="CC124" i="6"/>
  <c r="CC119" i="6"/>
  <c r="CC118" i="6"/>
  <c r="CC117" i="6"/>
  <c r="CC116" i="6"/>
  <c r="CC115" i="6"/>
  <c r="CC114" i="6"/>
  <c r="CC113" i="6"/>
  <c r="CC112" i="6"/>
  <c r="CC111" i="6"/>
  <c r="CC110" i="6"/>
  <c r="CC109" i="6"/>
  <c r="CC108" i="6"/>
  <c r="CC107" i="6"/>
  <c r="CC106" i="6"/>
  <c r="CC105" i="6"/>
  <c r="CC104" i="6"/>
  <c r="CC103" i="6"/>
  <c r="CC102" i="6"/>
  <c r="CC101" i="6"/>
  <c r="CC100" i="6"/>
  <c r="CC99" i="6"/>
  <c r="CC98" i="6"/>
  <c r="CC97" i="6"/>
  <c r="CC96" i="6"/>
  <c r="CC95" i="6"/>
  <c r="CC94" i="6"/>
  <c r="CC125" i="6"/>
  <c r="CC92" i="6"/>
  <c r="CC91" i="6"/>
  <c r="CC90" i="6"/>
  <c r="CC89" i="6"/>
  <c r="CC88" i="6"/>
  <c r="CC87" i="6"/>
  <c r="CC86" i="6"/>
  <c r="CC85" i="6"/>
  <c r="CC84" i="6"/>
  <c r="CC83" i="6"/>
  <c r="CC82" i="6"/>
  <c r="CC81" i="6"/>
  <c r="CC80" i="6"/>
  <c r="CC79" i="6"/>
  <c r="CC78" i="6"/>
  <c r="CC77" i="6"/>
  <c r="CC76" i="6"/>
  <c r="CC75" i="6"/>
  <c r="CC74" i="6"/>
  <c r="CC73" i="6"/>
  <c r="CC72" i="6"/>
  <c r="CC71" i="6"/>
  <c r="CC66" i="6"/>
  <c r="CC65" i="6"/>
  <c r="CC64" i="6"/>
  <c r="CC63" i="6"/>
  <c r="CC62" i="6"/>
  <c r="CC61" i="6"/>
  <c r="CC93" i="6"/>
  <c r="CC60" i="6"/>
  <c r="CC59" i="6"/>
  <c r="CC58" i="6"/>
  <c r="CC57" i="6"/>
  <c r="CC56" i="6"/>
  <c r="CC55" i="6"/>
  <c r="CC54" i="6"/>
  <c r="CC53" i="6"/>
  <c r="CC52" i="6"/>
  <c r="CC51" i="6"/>
  <c r="CC50" i="6"/>
  <c r="CC49" i="6"/>
  <c r="CC48" i="6"/>
  <c r="CC47" i="6"/>
  <c r="CC46" i="6"/>
  <c r="CC45" i="6"/>
  <c r="CC44" i="6"/>
  <c r="CC43" i="6"/>
  <c r="CC42" i="6"/>
  <c r="CC41" i="6"/>
  <c r="CC40" i="6"/>
  <c r="CC39" i="6"/>
  <c r="CC38" i="6"/>
  <c r="CC37" i="6"/>
  <c r="CC36" i="6"/>
  <c r="CC35" i="6"/>
  <c r="CC34" i="6"/>
  <c r="CC24" i="6"/>
  <c r="CC23" i="6"/>
  <c r="CC22" i="6"/>
  <c r="CC21" i="6"/>
  <c r="CC20" i="6"/>
  <c r="CC19" i="6"/>
  <c r="CC18" i="6"/>
  <c r="CC33" i="6"/>
  <c r="CC32" i="6"/>
  <c r="CC31" i="6"/>
  <c r="CC30" i="6"/>
  <c r="CC29" i="6"/>
  <c r="CC17" i="6"/>
  <c r="BU246" i="6"/>
  <c r="BU245" i="6"/>
  <c r="BU244" i="6"/>
  <c r="BU239" i="6"/>
  <c r="BU238" i="6"/>
  <c r="BU233" i="6"/>
  <c r="BU232" i="6"/>
  <c r="BU231" i="6"/>
  <c r="BU230" i="6"/>
  <c r="BU225" i="6"/>
  <c r="BU224" i="6"/>
  <c r="BU223" i="6"/>
  <c r="BU222" i="6"/>
  <c r="BU221" i="6"/>
  <c r="BU220" i="6"/>
  <c r="BU215" i="6"/>
  <c r="BU214" i="6"/>
  <c r="BU213" i="6"/>
  <c r="BU208" i="6"/>
  <c r="BU207" i="6"/>
  <c r="BU206" i="6"/>
  <c r="BU205" i="6"/>
  <c r="BU204" i="6"/>
  <c r="BU203" i="6"/>
  <c r="BU202" i="6"/>
  <c r="BU201" i="6"/>
  <c r="BU200" i="6"/>
  <c r="BU199" i="6"/>
  <c r="BU198" i="6"/>
  <c r="BU197" i="6"/>
  <c r="BU196" i="6"/>
  <c r="BU195" i="6"/>
  <c r="BU194" i="6"/>
  <c r="BU193" i="6"/>
  <c r="BU192" i="6"/>
  <c r="BU191" i="6"/>
  <c r="BU190" i="6"/>
  <c r="BU185" i="6"/>
  <c r="BU184" i="6"/>
  <c r="BU183" i="6"/>
  <c r="BU216" i="6"/>
  <c r="BU219" i="6"/>
  <c r="BU218" i="6"/>
  <c r="BU217" i="6"/>
  <c r="BU182" i="6"/>
  <c r="BU181" i="6"/>
  <c r="BU180" i="6"/>
  <c r="BU179" i="6"/>
  <c r="BU178" i="6"/>
  <c r="BU177" i="6"/>
  <c r="BU172" i="6"/>
  <c r="BU171" i="6"/>
  <c r="BU170" i="6"/>
  <c r="BU169" i="6"/>
  <c r="BU168" i="6"/>
  <c r="BU167" i="6"/>
  <c r="BU166" i="6"/>
  <c r="BU165" i="6"/>
  <c r="BU164" i="6"/>
  <c r="BU163" i="6"/>
  <c r="BU162" i="6"/>
  <c r="BU161" i="6"/>
  <c r="BU160" i="6"/>
  <c r="BU159" i="6"/>
  <c r="BU158" i="6"/>
  <c r="BU157" i="6"/>
  <c r="BU156" i="6"/>
  <c r="BU155" i="6"/>
  <c r="BU154" i="6"/>
  <c r="BU153" i="6"/>
  <c r="BU152" i="6"/>
  <c r="BU151" i="6"/>
  <c r="BU150" i="6"/>
  <c r="BU149" i="6"/>
  <c r="BU148" i="6"/>
  <c r="BU147" i="6"/>
  <c r="BU146" i="6"/>
  <c r="BU145" i="6"/>
  <c r="BU144" i="6"/>
  <c r="BU143" i="6"/>
  <c r="BU142" i="6"/>
  <c r="BU141" i="6"/>
  <c r="BU140" i="6"/>
  <c r="BU139" i="6"/>
  <c r="BU138" i="6"/>
  <c r="BU137" i="6"/>
  <c r="BU136" i="6"/>
  <c r="BU135" i="6"/>
  <c r="BU134" i="6"/>
  <c r="BU133" i="6"/>
  <c r="BU132" i="6"/>
  <c r="BU131" i="6"/>
  <c r="BU130" i="6"/>
  <c r="BU129" i="6"/>
  <c r="BU128" i="6"/>
  <c r="BU127" i="6"/>
  <c r="BU126" i="6"/>
  <c r="BU125" i="6"/>
  <c r="BU119" i="6"/>
  <c r="BU118" i="6"/>
  <c r="BU117" i="6"/>
  <c r="BU116" i="6"/>
  <c r="BU115" i="6"/>
  <c r="BU114" i="6"/>
  <c r="BU113" i="6"/>
  <c r="BU112" i="6"/>
  <c r="BU111" i="6"/>
  <c r="BU110" i="6"/>
  <c r="BU109" i="6"/>
  <c r="BU108" i="6"/>
  <c r="BU107" i="6"/>
  <c r="BU106" i="6"/>
  <c r="BU105" i="6"/>
  <c r="BU104" i="6"/>
  <c r="BU103" i="6"/>
  <c r="BU102" i="6"/>
  <c r="BU101" i="6"/>
  <c r="BU100" i="6"/>
  <c r="BU99" i="6"/>
  <c r="BU98" i="6"/>
  <c r="BU97" i="6"/>
  <c r="BU96" i="6"/>
  <c r="BU95" i="6"/>
  <c r="BU94" i="6"/>
  <c r="BU124" i="6"/>
  <c r="BU93" i="6"/>
  <c r="BU92" i="6"/>
  <c r="BU91" i="6"/>
  <c r="BU90" i="6"/>
  <c r="BU89" i="6"/>
  <c r="BU88" i="6"/>
  <c r="BU87" i="6"/>
  <c r="BU86" i="6"/>
  <c r="BU85" i="6"/>
  <c r="BU84" i="6"/>
  <c r="BU83" i="6"/>
  <c r="BU82" i="6"/>
  <c r="BU81" i="6"/>
  <c r="BU80" i="6"/>
  <c r="BU79" i="6"/>
  <c r="BU78" i="6"/>
  <c r="BU77" i="6"/>
  <c r="BU76" i="6"/>
  <c r="BU75" i="6"/>
  <c r="BU74" i="6"/>
  <c r="BU73" i="6"/>
  <c r="BU72" i="6"/>
  <c r="BU71" i="6"/>
  <c r="BU66" i="6"/>
  <c r="BU65" i="6"/>
  <c r="BU64" i="6"/>
  <c r="BU63" i="6"/>
  <c r="BU62" i="6"/>
  <c r="BU61" i="6"/>
  <c r="BU60" i="6"/>
  <c r="BU59" i="6"/>
  <c r="BU58" i="6"/>
  <c r="BU57" i="6"/>
  <c r="BU56" i="6"/>
  <c r="BU55" i="6"/>
  <c r="BU54" i="6"/>
  <c r="BU53" i="6"/>
  <c r="BU52" i="6"/>
  <c r="BU51" i="6"/>
  <c r="BU50" i="6"/>
  <c r="BU49" i="6"/>
  <c r="BU48" i="6"/>
  <c r="BU47" i="6"/>
  <c r="BU46" i="6"/>
  <c r="BU45" i="6"/>
  <c r="BU44" i="6"/>
  <c r="BU43" i="6"/>
  <c r="BU42" i="6"/>
  <c r="BU41" i="6"/>
  <c r="BU40" i="6"/>
  <c r="BU39" i="6"/>
  <c r="BU38" i="6"/>
  <c r="BU37" i="6"/>
  <c r="BU36" i="6"/>
  <c r="BU35" i="6"/>
  <c r="BU34" i="6"/>
  <c r="BU24" i="6"/>
  <c r="BU33" i="6"/>
  <c r="BU22" i="6"/>
  <c r="BU21" i="6"/>
  <c r="BU20" i="6"/>
  <c r="BU19" i="6"/>
  <c r="BU32" i="6"/>
  <c r="BU18" i="6"/>
  <c r="BU31" i="6"/>
  <c r="BU30" i="6"/>
  <c r="BU29" i="6"/>
  <c r="BU17" i="6"/>
  <c r="BU23" i="6"/>
  <c r="AF20" i="9"/>
  <c r="AN16" i="9"/>
  <c r="AV21" i="9"/>
  <c r="AF21" i="9"/>
  <c r="AH17" i="9"/>
  <c r="AF17" i="9"/>
  <c r="AE17" i="9"/>
  <c r="AV18" i="9"/>
  <c r="AE18" i="9"/>
  <c r="AW19" i="9"/>
  <c r="AV19" i="9"/>
  <c r="AG22" i="9"/>
  <c r="AF22" i="9"/>
  <c r="AV16" i="9"/>
  <c r="AF19" i="9"/>
  <c r="AF18" i="9"/>
  <c r="AV22" i="9"/>
  <c r="AF16" i="9"/>
  <c r="AY20" i="9"/>
  <c r="AV17" i="9"/>
  <c r="AV20" i="9"/>
  <c r="AP16" i="9"/>
  <c r="AX20" i="9"/>
  <c r="AX18" i="9"/>
  <c r="AX21" i="9"/>
  <c r="AP19" i="9"/>
  <c r="AH18" i="9"/>
  <c r="AQ17" i="9"/>
  <c r="AH20" i="9"/>
  <c r="AP17" i="9"/>
  <c r="AX19" i="9"/>
  <c r="AX22" i="9"/>
  <c r="AH23" i="9"/>
  <c r="AH16" i="9"/>
  <c r="AP18" i="9"/>
  <c r="AY21" i="9"/>
  <c r="AX16" i="9"/>
  <c r="AY17" i="9"/>
  <c r="AP21" i="9"/>
  <c r="AJ22" i="9"/>
  <c r="AY16" i="9"/>
  <c r="AX17" i="9"/>
  <c r="AH19" i="9"/>
  <c r="AP20" i="9"/>
  <c r="AH22" i="9"/>
  <c r="AQ16" i="9"/>
  <c r="AH21" i="9"/>
  <c r="AX23" i="9"/>
  <c r="AP23" i="9"/>
  <c r="AS22" i="9"/>
  <c r="BA19" i="9"/>
  <c r="BA23" i="9"/>
  <c r="BA16" i="9"/>
  <c r="AK16" i="9"/>
  <c r="AS17" i="9"/>
  <c r="AK18" i="9"/>
  <c r="AS20" i="9"/>
  <c r="AK21" i="9"/>
  <c r="BA21" i="9"/>
  <c r="AK22" i="9"/>
  <c r="AS23" i="9"/>
  <c r="BA18" i="9"/>
  <c r="AS19" i="9"/>
  <c r="AK20" i="9"/>
  <c r="BA22" i="9"/>
  <c r="AI22" i="9"/>
  <c r="AK23" i="9"/>
  <c r="AS16" i="9"/>
  <c r="BA17" i="9"/>
  <c r="BA20" i="9"/>
  <c r="AK17" i="9"/>
  <c r="AS18" i="9"/>
  <c r="AK19" i="9"/>
  <c r="AS21" i="9"/>
  <c r="AR18" i="9"/>
  <c r="AR23" i="9"/>
  <c r="AJ20" i="9"/>
  <c r="AI16" i="9"/>
  <c r="AJ17" i="9"/>
  <c r="AY18" i="9"/>
  <c r="AQ19" i="9"/>
  <c r="AI20" i="9"/>
  <c r="AI21" i="9"/>
  <c r="AJ16" i="9"/>
  <c r="AR19" i="9"/>
  <c r="AJ21" i="9"/>
  <c r="AJ18" i="9"/>
  <c r="AZ19" i="9"/>
  <c r="AR22" i="9"/>
  <c r="AJ23" i="9"/>
  <c r="AZ18" i="9"/>
  <c r="AI17" i="9"/>
  <c r="AR16" i="9"/>
  <c r="AR17" i="9"/>
  <c r="AI18" i="9"/>
  <c r="AY19" i="9"/>
  <c r="AR20" i="9"/>
  <c r="AR21" i="9"/>
  <c r="AQ22" i="9"/>
  <c r="AZ23" i="9"/>
  <c r="AI23" i="9"/>
  <c r="AQ20" i="9"/>
  <c r="AQ21" i="9"/>
  <c r="AY23" i="9"/>
  <c r="AJ19" i="9"/>
  <c r="AZ22" i="9"/>
  <c r="AZ16" i="9"/>
  <c r="AZ17" i="9"/>
  <c r="AQ18" i="9"/>
  <c r="AI19" i="9"/>
  <c r="AZ20" i="9"/>
  <c r="AZ21" i="9"/>
  <c r="AY22" i="9"/>
  <c r="AQ23" i="9"/>
  <c r="AO20" i="9"/>
  <c r="AO19" i="9"/>
  <c r="BB18" i="9"/>
  <c r="AT20" i="9"/>
  <c r="AO21" i="9"/>
  <c r="AO22" i="9"/>
  <c r="AL23" i="9"/>
  <c r="AO16" i="9"/>
  <c r="AD16" i="9"/>
  <c r="AG19" i="9"/>
  <c r="AG20" i="9"/>
  <c r="AW21" i="9"/>
  <c r="AG16" i="9"/>
  <c r="AW16" i="9"/>
  <c r="AU17" i="9"/>
  <c r="AL18" i="9"/>
  <c r="AL22" i="9"/>
  <c r="AT19" i="9"/>
  <c r="AT22" i="9"/>
  <c r="AL19" i="9"/>
  <c r="AT18" i="9"/>
  <c r="BB19" i="9"/>
  <c r="AD20" i="9"/>
  <c r="BB23" i="9"/>
  <c r="AL20" i="9"/>
  <c r="BB22" i="9"/>
  <c r="AL16" i="9"/>
  <c r="AT16" i="9"/>
  <c r="AT17" i="9"/>
  <c r="BB20" i="9"/>
  <c r="AT21" i="9"/>
  <c r="AL21" i="9"/>
  <c r="BB16" i="9"/>
  <c r="BB17" i="9"/>
  <c r="AD19" i="9"/>
  <c r="BB21" i="9"/>
  <c r="AD22" i="9"/>
  <c r="AT23" i="9"/>
  <c r="AU18" i="9"/>
  <c r="AG23" i="9"/>
  <c r="AM17" i="9"/>
  <c r="AM18" i="9"/>
  <c r="AW18" i="9"/>
  <c r="AO18" i="9"/>
  <c r="AG18" i="9"/>
  <c r="AW20" i="9"/>
  <c r="AW22" i="9"/>
  <c r="AG21" i="9"/>
  <c r="AW17" i="9"/>
  <c r="AO17" i="9"/>
  <c r="AG17" i="9"/>
  <c r="AU19" i="9"/>
  <c r="AM19" i="9"/>
  <c r="AE19" i="9"/>
  <c r="AU21" i="9"/>
  <c r="AM21" i="9"/>
  <c r="AE21" i="9"/>
  <c r="AU16" i="9"/>
  <c r="AM16" i="9"/>
  <c r="AE16" i="9"/>
  <c r="AU20" i="9"/>
  <c r="AM20" i="9"/>
  <c r="AE20" i="9"/>
  <c r="AO23" i="9"/>
  <c r="AF23" i="9"/>
  <c r="AW23" i="9"/>
  <c r="AN23" i="9"/>
  <c r="AV23" i="9"/>
  <c r="AY175" i="9"/>
  <c r="AQ175" i="9"/>
  <c r="AI175" i="9"/>
  <c r="AX175" i="9"/>
  <c r="AP175" i="9"/>
  <c r="AH175" i="9"/>
  <c r="AV175" i="9"/>
  <c r="AN175" i="9"/>
  <c r="AF175" i="9"/>
  <c r="AU23" i="9"/>
  <c r="AU7" i="9"/>
  <c r="AU11" i="9" s="1"/>
  <c r="AU179" i="9" s="1"/>
  <c r="AM23" i="9"/>
  <c r="AM7" i="9"/>
  <c r="AM11" i="9" s="1"/>
  <c r="AM179" i="9" s="1"/>
  <c r="AE23" i="9"/>
  <c r="AE7" i="9"/>
  <c r="AE11" i="9" s="1"/>
  <c r="AE179" i="9" s="1"/>
  <c r="W7" i="9"/>
  <c r="W11" i="9" s="1"/>
  <c r="W179" i="9" s="1"/>
  <c r="BB175" i="9"/>
  <c r="AT175" i="9"/>
  <c r="AL175" i="9"/>
  <c r="AD175" i="9"/>
  <c r="AW175" i="9"/>
  <c r="BA175" i="9"/>
  <c r="AS175" i="9"/>
  <c r="AK175" i="9"/>
  <c r="AZ175" i="9"/>
  <c r="AR175" i="9"/>
  <c r="AJ175" i="9"/>
  <c r="BI61" i="5" l="1"/>
  <c r="BX9" i="5"/>
  <c r="BM9" i="5"/>
  <c r="BI71" i="5"/>
  <c r="CX471" i="6"/>
  <c r="BO471" i="6"/>
  <c r="BL9" i="5"/>
  <c r="BI63" i="5"/>
  <c r="BK967" i="6"/>
  <c r="BJ967" i="6" s="1"/>
  <c r="BK966" i="6"/>
  <c r="BJ966" i="6" s="1"/>
  <c r="BQ1181" i="6"/>
  <c r="CP1181" i="6"/>
  <c r="BQ9" i="5"/>
  <c r="BU1181" i="6"/>
  <c r="CI1181" i="6"/>
  <c r="CL1181" i="6"/>
  <c r="BU1173" i="6"/>
  <c r="BO1181" i="6"/>
  <c r="CU1181" i="6"/>
  <c r="DG1181" i="6"/>
  <c r="BU1187" i="6"/>
  <c r="DA1187" i="6"/>
  <c r="CG1173" i="6"/>
  <c r="CO1187" i="6"/>
  <c r="CS1187" i="6"/>
  <c r="CW1187" i="6"/>
  <c r="CF1187" i="6"/>
  <c r="DB1181" i="6"/>
  <c r="DH1181" i="6"/>
  <c r="DA1181" i="6"/>
  <c r="BX1181" i="6"/>
  <c r="CV1181" i="6"/>
  <c r="BY1181" i="6"/>
  <c r="CC1173" i="6"/>
  <c r="BV1173" i="6"/>
  <c r="CC1181" i="6"/>
  <c r="CK1173" i="6"/>
  <c r="CF1181" i="6"/>
  <c r="BN958" i="6"/>
  <c r="CA1187" i="6"/>
  <c r="BP1181" i="6"/>
  <c r="DF1181" i="6"/>
  <c r="CY1187" i="6"/>
  <c r="CB1156" i="6"/>
  <c r="CR1014" i="6"/>
  <c r="BU972" i="6"/>
  <c r="CC1133" i="6"/>
  <c r="CK958" i="6"/>
  <c r="CK1067" i="6"/>
  <c r="CS958" i="6"/>
  <c r="CS1181" i="6"/>
  <c r="BK1093" i="6"/>
  <c r="BJ1093" i="6" s="1"/>
  <c r="BK1108" i="6"/>
  <c r="BJ1108" i="6" s="1"/>
  <c r="BK989" i="6"/>
  <c r="BJ989" i="6" s="1"/>
  <c r="BK1128" i="6"/>
  <c r="BJ1128" i="6" s="1"/>
  <c r="BK1055" i="6"/>
  <c r="BJ1055" i="6" s="1"/>
  <c r="CF1067" i="6"/>
  <c r="CN1156" i="6"/>
  <c r="CV1120" i="6"/>
  <c r="BR958" i="6"/>
  <c r="CX1173" i="6"/>
  <c r="CL1120" i="6"/>
  <c r="CL1173" i="6"/>
  <c r="DB1156" i="6"/>
  <c r="CA1120" i="6"/>
  <c r="BY1173" i="6"/>
  <c r="BZ958" i="6"/>
  <c r="CH972" i="6"/>
  <c r="CH1173" i="6"/>
  <c r="DF958" i="6"/>
  <c r="CI1187" i="6"/>
  <c r="CY1120" i="6"/>
  <c r="BO958" i="6"/>
  <c r="BO1156" i="6"/>
  <c r="BT1187" i="6"/>
  <c r="CB958" i="6"/>
  <c r="DH1173" i="6"/>
  <c r="BU958" i="6"/>
  <c r="BX1120" i="6"/>
  <c r="CN1181" i="6"/>
  <c r="CD1133" i="6"/>
  <c r="CA1181" i="6"/>
  <c r="DD1173" i="6"/>
  <c r="CH958" i="6"/>
  <c r="DE1187" i="6"/>
  <c r="CE1187" i="6"/>
  <c r="BW1120" i="6"/>
  <c r="BW1156" i="6"/>
  <c r="CQ1133" i="6"/>
  <c r="DC1187" i="6"/>
  <c r="BU1067" i="6"/>
  <c r="BU1133" i="6"/>
  <c r="CC1156" i="6"/>
  <c r="CS1156" i="6"/>
  <c r="DA958" i="6"/>
  <c r="DA1014" i="6"/>
  <c r="BK991" i="6"/>
  <c r="BJ991" i="6" s="1"/>
  <c r="BK1050" i="6"/>
  <c r="BJ1050" i="6" s="1"/>
  <c r="BK1054" i="6"/>
  <c r="BJ1054" i="6" s="1"/>
  <c r="BK1129" i="6"/>
  <c r="BJ1129" i="6" s="1"/>
  <c r="BK1008" i="6"/>
  <c r="BJ1008" i="6" s="1"/>
  <c r="BK1153" i="6"/>
  <c r="BJ1153" i="6" s="1"/>
  <c r="BK1078" i="6"/>
  <c r="BJ1078" i="6" s="1"/>
  <c r="BK1126" i="6"/>
  <c r="BJ1126" i="6" s="1"/>
  <c r="BK986" i="6"/>
  <c r="BJ986" i="6" s="1"/>
  <c r="BK1043" i="6"/>
  <c r="BJ1043" i="6" s="1"/>
  <c r="BK983" i="6"/>
  <c r="BJ983" i="6" s="1"/>
  <c r="BK1061" i="6"/>
  <c r="BJ1061" i="6" s="1"/>
  <c r="BK1074" i="6"/>
  <c r="BJ1074" i="6" s="1"/>
  <c r="BK1161" i="6"/>
  <c r="BJ1161" i="6" s="1"/>
  <c r="BK1087" i="6"/>
  <c r="BJ1087" i="6" s="1"/>
  <c r="BK1047" i="6"/>
  <c r="BJ1047" i="6" s="1"/>
  <c r="BK1028" i="6"/>
  <c r="BJ1028" i="6" s="1"/>
  <c r="BK1084" i="6"/>
  <c r="BJ1084" i="6" s="1"/>
  <c r="BK1115" i="6"/>
  <c r="BJ1115" i="6" s="1"/>
  <c r="BK1127" i="6"/>
  <c r="BJ1127" i="6" s="1"/>
  <c r="BK1147" i="6"/>
  <c r="BJ1147" i="6" s="1"/>
  <c r="BK1136" i="6"/>
  <c r="BM1133" i="6"/>
  <c r="BK1154" i="6"/>
  <c r="BJ1154" i="6" s="1"/>
  <c r="BK1170" i="6"/>
  <c r="BJ1170" i="6" s="1"/>
  <c r="CT1133" i="6"/>
  <c r="CT972" i="6"/>
  <c r="BX958" i="6"/>
  <c r="CF972" i="6"/>
  <c r="BT1014" i="6"/>
  <c r="CB1014" i="6"/>
  <c r="CZ1067" i="6"/>
  <c r="DH972" i="6"/>
  <c r="DH1067" i="6"/>
  <c r="CC1067" i="6"/>
  <c r="CC1014" i="6"/>
  <c r="CS972" i="6"/>
  <c r="BK981" i="6"/>
  <c r="BJ981" i="6" s="1"/>
  <c r="BK1064" i="6"/>
  <c r="BJ1064" i="6" s="1"/>
  <c r="BK1131" i="6"/>
  <c r="BJ1131" i="6" s="1"/>
  <c r="BK961" i="6"/>
  <c r="BM958" i="6"/>
  <c r="BK995" i="6"/>
  <c r="BJ995" i="6" s="1"/>
  <c r="BK1005" i="6"/>
  <c r="BJ1005" i="6" s="1"/>
  <c r="BK1048" i="6"/>
  <c r="BJ1048" i="6" s="1"/>
  <c r="BK988" i="6"/>
  <c r="BJ988" i="6" s="1"/>
  <c r="BK1088" i="6"/>
  <c r="BJ1088" i="6" s="1"/>
  <c r="BK993" i="6"/>
  <c r="BJ993" i="6" s="1"/>
  <c r="BK1092" i="6"/>
  <c r="BJ1092" i="6" s="1"/>
  <c r="BK1036" i="6"/>
  <c r="BJ1036" i="6" s="1"/>
  <c r="BK1085" i="6"/>
  <c r="BJ1085" i="6" s="1"/>
  <c r="BK1124" i="6"/>
  <c r="BJ1124" i="6" s="1"/>
  <c r="BK1097" i="6"/>
  <c r="BJ1097" i="6" s="1"/>
  <c r="BK1102" i="6"/>
  <c r="BJ1102" i="6" s="1"/>
  <c r="BK1144" i="6"/>
  <c r="BJ1144" i="6" s="1"/>
  <c r="BK1166" i="6"/>
  <c r="BJ1166" i="6" s="1"/>
  <c r="BK1178" i="6"/>
  <c r="BJ1178" i="6" s="1"/>
  <c r="CV972" i="6"/>
  <c r="BV958" i="6"/>
  <c r="CD1187" i="6"/>
  <c r="CA1156" i="6"/>
  <c r="BP1067" i="6"/>
  <c r="BZ972" i="6"/>
  <c r="CJ1133" i="6"/>
  <c r="CR1133" i="6"/>
  <c r="CZ958" i="6"/>
  <c r="CZ1156" i="6"/>
  <c r="CK972" i="6"/>
  <c r="CK1014" i="6"/>
  <c r="CK1133" i="6"/>
  <c r="CS1133" i="6"/>
  <c r="BK1098" i="6"/>
  <c r="BJ1098" i="6" s="1"/>
  <c r="BK969" i="6"/>
  <c r="BJ969" i="6" s="1"/>
  <c r="BK1107" i="6"/>
  <c r="BJ1107" i="6" s="1"/>
  <c r="BK1101" i="6"/>
  <c r="BJ1101" i="6" s="1"/>
  <c r="BK962" i="6"/>
  <c r="BJ962" i="6" s="1"/>
  <c r="BK999" i="6"/>
  <c r="BJ999" i="6" s="1"/>
  <c r="BK997" i="6"/>
  <c r="BJ997" i="6" s="1"/>
  <c r="BK1051" i="6"/>
  <c r="BJ1051" i="6" s="1"/>
  <c r="BK1000" i="6"/>
  <c r="BJ1000" i="6" s="1"/>
  <c r="BK1053" i="6"/>
  <c r="BJ1053" i="6" s="1"/>
  <c r="BK994" i="6"/>
  <c r="BJ994" i="6" s="1"/>
  <c r="BK1163" i="6"/>
  <c r="BJ1163" i="6" s="1"/>
  <c r="BK1089" i="6"/>
  <c r="BJ1089" i="6" s="1"/>
  <c r="BK1001" i="6"/>
  <c r="BJ1001" i="6" s="1"/>
  <c r="BK1103" i="6"/>
  <c r="BJ1103" i="6" s="1"/>
  <c r="BK1063" i="6"/>
  <c r="BJ1063" i="6" s="1"/>
  <c r="BK1044" i="6"/>
  <c r="BJ1044" i="6" s="1"/>
  <c r="BK1137" i="6"/>
  <c r="BJ1137" i="6" s="1"/>
  <c r="BK1192" i="6"/>
  <c r="BJ1192" i="6" s="1"/>
  <c r="BK1105" i="6"/>
  <c r="BJ1105" i="6" s="1"/>
  <c r="BK1110" i="6"/>
  <c r="BJ1110" i="6" s="1"/>
  <c r="BK1148" i="6"/>
  <c r="BJ1148" i="6" s="1"/>
  <c r="BK1151" i="6"/>
  <c r="BJ1151" i="6" s="1"/>
  <c r="BM1181" i="6"/>
  <c r="BK1184" i="6"/>
  <c r="CN958" i="6"/>
  <c r="BR1014" i="6"/>
  <c r="BV972" i="6"/>
  <c r="CD1120" i="6"/>
  <c r="CD972" i="6"/>
  <c r="BT1067" i="6"/>
  <c r="BT1133" i="6"/>
  <c r="CB1181" i="6"/>
  <c r="CJ1156" i="6"/>
  <c r="CR1067" i="6"/>
  <c r="CR1181" i="6"/>
  <c r="CR1187" i="6"/>
  <c r="CZ1014" i="6"/>
  <c r="BT1181" i="6"/>
  <c r="BT1156" i="6"/>
  <c r="CB1067" i="6"/>
  <c r="CB1133" i="6"/>
  <c r="CJ1067" i="6"/>
  <c r="CJ958" i="6"/>
  <c r="BT1120" i="6"/>
  <c r="BT1173" i="6"/>
  <c r="CB972" i="6"/>
  <c r="CJ1014" i="6"/>
  <c r="CZ972" i="6"/>
  <c r="BT972" i="6"/>
  <c r="BT958" i="6"/>
  <c r="CB1187" i="6"/>
  <c r="CB1173" i="6"/>
  <c r="CJ972" i="6"/>
  <c r="CJ1120" i="6"/>
  <c r="CJ1181" i="6"/>
  <c r="CR1173" i="6"/>
  <c r="CZ1173" i="6"/>
  <c r="DH1156" i="6"/>
  <c r="BU1014" i="6"/>
  <c r="CC1120" i="6"/>
  <c r="DA1067" i="6"/>
  <c r="BK1011" i="6"/>
  <c r="BJ1011" i="6" s="1"/>
  <c r="BK1112" i="6"/>
  <c r="BJ1112" i="6" s="1"/>
  <c r="BK1012" i="6"/>
  <c r="BJ1012" i="6" s="1"/>
  <c r="BK996" i="6"/>
  <c r="BJ996" i="6" s="1"/>
  <c r="CB1120" i="6"/>
  <c r="CR958" i="6"/>
  <c r="CR1120" i="6"/>
  <c r="DH1014" i="6"/>
  <c r="DH958" i="6"/>
  <c r="BU1156" i="6"/>
  <c r="CN1014" i="6"/>
  <c r="CN1133" i="6"/>
  <c r="CV1067" i="6"/>
  <c r="BN972" i="6"/>
  <c r="BV1014" i="6"/>
  <c r="CD1156" i="6"/>
  <c r="CD1173" i="6"/>
  <c r="CA1173" i="6"/>
  <c r="BP972" i="6"/>
  <c r="BP1014" i="6"/>
  <c r="BQ972" i="6"/>
  <c r="BQ1133" i="6"/>
  <c r="BY1133" i="6"/>
  <c r="CO1173" i="6"/>
  <c r="CO1181" i="6"/>
  <c r="CW972" i="6"/>
  <c r="CW958" i="6"/>
  <c r="CW1133" i="6"/>
  <c r="BZ1133" i="6"/>
  <c r="BZ1014" i="6"/>
  <c r="CH1067" i="6"/>
  <c r="CH1133" i="6"/>
  <c r="CH1181" i="6"/>
  <c r="CP1014" i="6"/>
  <c r="CP972" i="6"/>
  <c r="DF1187" i="6"/>
  <c r="BS972" i="6"/>
  <c r="BS1181" i="6"/>
  <c r="CI1133" i="6"/>
  <c r="CI972" i="6"/>
  <c r="DG1120" i="6"/>
  <c r="DG1067" i="6"/>
  <c r="BO1173" i="6"/>
  <c r="CM1133" i="6"/>
  <c r="CU1156" i="6"/>
  <c r="DC972" i="6"/>
  <c r="DC1067" i="6"/>
  <c r="CG972" i="6"/>
  <c r="CG1120" i="6"/>
  <c r="CG1067" i="6"/>
  <c r="CQ972" i="6"/>
  <c r="CQ1156" i="6"/>
  <c r="DF1133" i="6"/>
  <c r="DF1014" i="6"/>
  <c r="BW1067" i="6"/>
  <c r="CU1014" i="6"/>
  <c r="CU1067" i="6"/>
  <c r="CU1120" i="6"/>
  <c r="CG1187" i="6"/>
  <c r="DB1067" i="6"/>
  <c r="DB1014" i="6"/>
  <c r="DB1173" i="6"/>
  <c r="BP958" i="6"/>
  <c r="DD958" i="6"/>
  <c r="BQ958" i="6"/>
  <c r="BQ1014" i="6"/>
  <c r="BY958" i="6"/>
  <c r="BY1014" i="6"/>
  <c r="CO958" i="6"/>
  <c r="DE1014" i="6"/>
  <c r="CP1067" i="6"/>
  <c r="CP1156" i="6"/>
  <c r="CI958" i="6"/>
  <c r="CY1181" i="6"/>
  <c r="DG1014" i="6"/>
  <c r="CU972" i="6"/>
  <c r="DC1133" i="6"/>
  <c r="CQ1067" i="6"/>
  <c r="CZ1133" i="6"/>
  <c r="CZ1187" i="6"/>
  <c r="CC1187" i="6"/>
  <c r="CS1173" i="6"/>
  <c r="DA1120" i="6"/>
  <c r="BK965" i="6"/>
  <c r="BJ965" i="6" s="1"/>
  <c r="BK1075" i="6"/>
  <c r="BJ1075" i="6" s="1"/>
  <c r="BK990" i="6"/>
  <c r="BJ990" i="6" s="1"/>
  <c r="BK976" i="6"/>
  <c r="BJ976" i="6" s="1"/>
  <c r="BK963" i="6"/>
  <c r="BJ963" i="6" s="1"/>
  <c r="BK979" i="6"/>
  <c r="BJ979" i="6" s="1"/>
  <c r="BK1018" i="6"/>
  <c r="BJ1018" i="6" s="1"/>
  <c r="BK1010" i="6"/>
  <c r="BJ1010" i="6" s="1"/>
  <c r="BK1076" i="6"/>
  <c r="BJ1076" i="6" s="1"/>
  <c r="BK1003" i="6"/>
  <c r="BJ1003" i="6" s="1"/>
  <c r="BK1057" i="6"/>
  <c r="BJ1057" i="6" s="1"/>
  <c r="BK1002" i="6"/>
  <c r="BJ1002" i="6" s="1"/>
  <c r="BK1004" i="6"/>
  <c r="BJ1004" i="6" s="1"/>
  <c r="BK1090" i="6"/>
  <c r="BJ1090" i="6" s="1"/>
  <c r="BK1009" i="6"/>
  <c r="BJ1009" i="6" s="1"/>
  <c r="BK1141" i="6"/>
  <c r="BJ1141" i="6" s="1"/>
  <c r="BK1109" i="6"/>
  <c r="BJ1109" i="6" s="1"/>
  <c r="BK1052" i="6"/>
  <c r="BJ1052" i="6" s="1"/>
  <c r="BK1150" i="6"/>
  <c r="BJ1150" i="6" s="1"/>
  <c r="BK1091" i="6"/>
  <c r="BJ1091" i="6" s="1"/>
  <c r="BK1113" i="6"/>
  <c r="BJ1113" i="6" s="1"/>
  <c r="BK1118" i="6"/>
  <c r="BJ1118" i="6" s="1"/>
  <c r="BK1164" i="6"/>
  <c r="BJ1164" i="6" s="1"/>
  <c r="BM1187" i="6"/>
  <c r="BK1190" i="6"/>
  <c r="BK1176" i="6"/>
  <c r="BM1173" i="6"/>
  <c r="CT1120" i="6"/>
  <c r="CT1014" i="6"/>
  <c r="BX1014" i="6"/>
  <c r="CN972" i="6"/>
  <c r="CN1187" i="6"/>
  <c r="CN1173" i="6"/>
  <c r="CV1133" i="6"/>
  <c r="BR1133" i="6"/>
  <c r="BR1187" i="6"/>
  <c r="CX1067" i="6"/>
  <c r="CX1120" i="6"/>
  <c r="BN1181" i="6"/>
  <c r="BV1067" i="6"/>
  <c r="BV1120" i="6"/>
  <c r="CL1067" i="6"/>
  <c r="CL1014" i="6"/>
  <c r="CL1133" i="6"/>
  <c r="CL1187" i="6"/>
  <c r="CA958" i="6"/>
  <c r="CA1133" i="6"/>
  <c r="BP1120" i="6"/>
  <c r="BP1173" i="6"/>
  <c r="DD1067" i="6"/>
  <c r="DD1014" i="6"/>
  <c r="BQ1067" i="6"/>
  <c r="BY1120" i="6"/>
  <c r="CO1014" i="6"/>
  <c r="CW1173" i="6"/>
  <c r="DE1156" i="6"/>
  <c r="BZ1120" i="6"/>
  <c r="CH1120" i="6"/>
  <c r="CP958" i="6"/>
  <c r="CP1133" i="6"/>
  <c r="CP1173" i="6"/>
  <c r="DF1067" i="6"/>
  <c r="BS1120" i="6"/>
  <c r="BS1173" i="6"/>
  <c r="BS1187" i="6"/>
  <c r="CI1156" i="6"/>
  <c r="CY1067" i="6"/>
  <c r="CY1173" i="6"/>
  <c r="BO1120" i="6"/>
  <c r="BW1014" i="6"/>
  <c r="BW972" i="6"/>
  <c r="BW1173" i="6"/>
  <c r="BW1181" i="6"/>
  <c r="CE1014" i="6"/>
  <c r="CE1120" i="6"/>
  <c r="CM1014" i="6"/>
  <c r="CM1120" i="6"/>
  <c r="CU1187" i="6"/>
  <c r="DC1156" i="6"/>
  <c r="DC1181" i="6"/>
  <c r="CG958" i="6"/>
  <c r="CG1181" i="6"/>
  <c r="CQ1014" i="6"/>
  <c r="CJ1173" i="6"/>
  <c r="CJ1187" i="6"/>
  <c r="CR972" i="6"/>
  <c r="CR1156" i="6"/>
  <c r="CZ1120" i="6"/>
  <c r="DH1120" i="6"/>
  <c r="DH1187" i="6"/>
  <c r="CK1120" i="6"/>
  <c r="CK1187" i="6"/>
  <c r="DA972" i="6"/>
  <c r="DA1156" i="6"/>
  <c r="BK1100" i="6"/>
  <c r="BJ1100" i="6" s="1"/>
  <c r="BK968" i="6"/>
  <c r="BJ968" i="6" s="1"/>
  <c r="BK1007" i="6"/>
  <c r="BJ1007" i="6" s="1"/>
  <c r="BK977" i="6"/>
  <c r="BJ977" i="6" s="1"/>
  <c r="BM972" i="6"/>
  <c r="BK975" i="6"/>
  <c r="BK985" i="6"/>
  <c r="BJ985" i="6" s="1"/>
  <c r="BK1025" i="6"/>
  <c r="BJ1025" i="6" s="1"/>
  <c r="BK1019" i="6"/>
  <c r="BJ1019" i="6" s="1"/>
  <c r="BK1046" i="6"/>
  <c r="BJ1046" i="6" s="1"/>
  <c r="BK1022" i="6"/>
  <c r="BJ1022" i="6" s="1"/>
  <c r="BK1071" i="6"/>
  <c r="BJ1071" i="6" s="1"/>
  <c r="BK1006" i="6"/>
  <c r="BJ1006" i="6" s="1"/>
  <c r="BK1032" i="6"/>
  <c r="BJ1032" i="6" s="1"/>
  <c r="BK1095" i="6"/>
  <c r="BJ1095" i="6" s="1"/>
  <c r="BK1035" i="6"/>
  <c r="BJ1035" i="6" s="1"/>
  <c r="BM1014" i="6"/>
  <c r="BK1017" i="6"/>
  <c r="BK1138" i="6"/>
  <c r="BJ1138" i="6" s="1"/>
  <c r="BK1060" i="6"/>
  <c r="BJ1060" i="6" s="1"/>
  <c r="BM1156" i="6"/>
  <c r="BK1159" i="6"/>
  <c r="BK1114" i="6"/>
  <c r="BJ1114" i="6" s="1"/>
  <c r="BK1125" i="6"/>
  <c r="BJ1125" i="6" s="1"/>
  <c r="BK1130" i="6"/>
  <c r="BJ1130" i="6" s="1"/>
  <c r="BK1171" i="6"/>
  <c r="BJ1171" i="6" s="1"/>
  <c r="BK1160" i="6"/>
  <c r="BJ1160" i="6" s="1"/>
  <c r="BK1177" i="6"/>
  <c r="BJ1177" i="6" s="1"/>
  <c r="CT1067" i="6"/>
  <c r="CT1173" i="6"/>
  <c r="CT1181" i="6"/>
  <c r="BX1067" i="6"/>
  <c r="BX1187" i="6"/>
  <c r="CV1156" i="6"/>
  <c r="BR972" i="6"/>
  <c r="BR1181" i="6"/>
  <c r="BN1014" i="6"/>
  <c r="BN1120" i="6"/>
  <c r="BN1187" i="6"/>
  <c r="CD1067" i="6"/>
  <c r="CL1156" i="6"/>
  <c r="DB972" i="6"/>
  <c r="CA1014" i="6"/>
  <c r="CA1067" i="6"/>
  <c r="DD1133" i="6"/>
  <c r="DD1187" i="6"/>
  <c r="BY972" i="6"/>
  <c r="CO1067" i="6"/>
  <c r="CO1120" i="6"/>
  <c r="CW1014" i="6"/>
  <c r="DE1173" i="6"/>
  <c r="CH1014" i="6"/>
  <c r="DF1120" i="6"/>
  <c r="BS1014" i="6"/>
  <c r="BS1133" i="6"/>
  <c r="BS1156" i="6"/>
  <c r="CY958" i="6"/>
  <c r="CY1133" i="6"/>
  <c r="CY1156" i="6"/>
  <c r="DG958" i="6"/>
  <c r="DG1187" i="6"/>
  <c r="DG1173" i="6"/>
  <c r="BO1067" i="6"/>
  <c r="BO1187" i="6"/>
  <c r="CE958" i="6"/>
  <c r="CE1067" i="6"/>
  <c r="CE1173" i="6"/>
  <c r="CM1156" i="6"/>
  <c r="CG1156" i="6"/>
  <c r="CQ1187" i="6"/>
  <c r="CZ1181" i="6"/>
  <c r="DH1133" i="6"/>
  <c r="BU1120" i="6"/>
  <c r="CC958" i="6"/>
  <c r="CK1181" i="6"/>
  <c r="CS1014" i="6"/>
  <c r="DA1173" i="6"/>
  <c r="BK1030" i="6"/>
  <c r="BJ1030" i="6" s="1"/>
  <c r="BK1083" i="6"/>
  <c r="BJ1083" i="6" s="1"/>
  <c r="BK1152" i="6"/>
  <c r="BJ1152" i="6" s="1"/>
  <c r="BK984" i="6"/>
  <c r="BJ984" i="6" s="1"/>
  <c r="BK987" i="6"/>
  <c r="BJ987" i="6" s="1"/>
  <c r="BK1033" i="6"/>
  <c r="BJ1033" i="6" s="1"/>
  <c r="BK1029" i="6"/>
  <c r="BJ1029" i="6" s="1"/>
  <c r="BK1037" i="6"/>
  <c r="BJ1037" i="6" s="1"/>
  <c r="BK1072" i="6"/>
  <c r="BJ1072" i="6" s="1"/>
  <c r="BK1026" i="6"/>
  <c r="BJ1026" i="6" s="1"/>
  <c r="BK1096" i="6"/>
  <c r="BJ1096" i="6" s="1"/>
  <c r="BK1021" i="6"/>
  <c r="BJ1021" i="6" s="1"/>
  <c r="BK1034" i="6"/>
  <c r="BJ1034" i="6" s="1"/>
  <c r="BK1104" i="6"/>
  <c r="BJ1104" i="6" s="1"/>
  <c r="BK1038" i="6"/>
  <c r="BJ1038" i="6" s="1"/>
  <c r="BK1023" i="6"/>
  <c r="BJ1023" i="6" s="1"/>
  <c r="BK1162" i="6"/>
  <c r="BJ1162" i="6" s="1"/>
  <c r="BK1073" i="6"/>
  <c r="BJ1073" i="6" s="1"/>
  <c r="BK1086" i="6"/>
  <c r="BJ1086" i="6" s="1"/>
  <c r="BK1116" i="6"/>
  <c r="BJ1116" i="6" s="1"/>
  <c r="BK1140" i="6"/>
  <c r="BJ1140" i="6" s="1"/>
  <c r="BK1139" i="6"/>
  <c r="BJ1139" i="6" s="1"/>
  <c r="BK1185" i="6"/>
  <c r="BJ1185" i="6" s="1"/>
  <c r="BK1168" i="6"/>
  <c r="BJ1168" i="6" s="1"/>
  <c r="CT958" i="6"/>
  <c r="BX1133" i="6"/>
  <c r="CF1014" i="6"/>
  <c r="CF1156" i="6"/>
  <c r="CN1067" i="6"/>
  <c r="CN1120" i="6"/>
  <c r="CV1173" i="6"/>
  <c r="BR1067" i="6"/>
  <c r="CX972" i="6"/>
  <c r="CX1187" i="6"/>
  <c r="BN1133" i="6"/>
  <c r="BN1173" i="6"/>
  <c r="BV1156" i="6"/>
  <c r="BV1181" i="6"/>
  <c r="DB1133" i="6"/>
  <c r="DB1187" i="6"/>
  <c r="CA972" i="6"/>
  <c r="BP1133" i="6"/>
  <c r="DD972" i="6"/>
  <c r="DD1181" i="6"/>
  <c r="BQ1120" i="6"/>
  <c r="BQ1187" i="6"/>
  <c r="BY1156" i="6"/>
  <c r="BY1187" i="6"/>
  <c r="CO1133" i="6"/>
  <c r="CW1181" i="6"/>
  <c r="DE972" i="6"/>
  <c r="DE1067" i="6"/>
  <c r="BZ1067" i="6"/>
  <c r="DF1156" i="6"/>
  <c r="DF1173" i="6"/>
  <c r="CI1014" i="6"/>
  <c r="CY972" i="6"/>
  <c r="CY1014" i="6"/>
  <c r="BO1014" i="6"/>
  <c r="BO1133" i="6"/>
  <c r="CE1133" i="6"/>
  <c r="CE1156" i="6"/>
  <c r="CE1181" i="6"/>
  <c r="CM972" i="6"/>
  <c r="CM1067" i="6"/>
  <c r="CM1187" i="6"/>
  <c r="CU958" i="6"/>
  <c r="DC1173" i="6"/>
  <c r="CQ958" i="6"/>
  <c r="BK980" i="6"/>
  <c r="BJ980" i="6" s="1"/>
  <c r="BK1065" i="6"/>
  <c r="BJ1065" i="6" s="1"/>
  <c r="BK1040" i="6"/>
  <c r="BJ1040" i="6" s="1"/>
  <c r="BK1070" i="6"/>
  <c r="BM1067" i="6"/>
  <c r="BK1079" i="6"/>
  <c r="BJ1079" i="6" s="1"/>
  <c r="BK1027" i="6"/>
  <c r="BJ1027" i="6" s="1"/>
  <c r="BK1099" i="6"/>
  <c r="BJ1099" i="6" s="1"/>
  <c r="BK1024" i="6"/>
  <c r="BJ1024" i="6" s="1"/>
  <c r="BK1056" i="6"/>
  <c r="BJ1056" i="6" s="1"/>
  <c r="BK1106" i="6"/>
  <c r="BJ1106" i="6" s="1"/>
  <c r="BK1059" i="6"/>
  <c r="BJ1059" i="6" s="1"/>
  <c r="BK1031" i="6"/>
  <c r="BJ1031" i="6" s="1"/>
  <c r="BK1169" i="6"/>
  <c r="BJ1169" i="6" s="1"/>
  <c r="BK1077" i="6"/>
  <c r="BJ1077" i="6" s="1"/>
  <c r="BK1094" i="6"/>
  <c r="BJ1094" i="6" s="1"/>
  <c r="BK1117" i="6"/>
  <c r="BJ1117" i="6" s="1"/>
  <c r="BK1142" i="6"/>
  <c r="BJ1142" i="6" s="1"/>
  <c r="BK1145" i="6"/>
  <c r="BJ1145" i="6" s="1"/>
  <c r="BK1191" i="6"/>
  <c r="BJ1191" i="6" s="1"/>
  <c r="BK1165" i="6"/>
  <c r="BJ1165" i="6" s="1"/>
  <c r="CT1187" i="6"/>
  <c r="BX1156" i="6"/>
  <c r="CX958" i="6"/>
  <c r="CX1133" i="6"/>
  <c r="BN1067" i="6"/>
  <c r="BN1156" i="6"/>
  <c r="CL958" i="6"/>
  <c r="DB958" i="6"/>
  <c r="BP1187" i="6"/>
  <c r="DD1120" i="6"/>
  <c r="DD1156" i="6"/>
  <c r="BQ1173" i="6"/>
  <c r="BY1067" i="6"/>
  <c r="CO972" i="6"/>
  <c r="CO1156" i="6"/>
  <c r="DE958" i="6"/>
  <c r="DE1133" i="6"/>
  <c r="BZ1181" i="6"/>
  <c r="BZ1156" i="6"/>
  <c r="BZ1187" i="6"/>
  <c r="CH1156" i="6"/>
  <c r="CH1187" i="6"/>
  <c r="CP1120" i="6"/>
  <c r="DF972" i="6"/>
  <c r="BS958" i="6"/>
  <c r="BS1067" i="6"/>
  <c r="CI1067" i="6"/>
  <c r="CI1173" i="6"/>
  <c r="BW958" i="6"/>
  <c r="CM958" i="6"/>
  <c r="CM1173" i="6"/>
  <c r="DC1014" i="6"/>
  <c r="DC1120" i="6"/>
  <c r="CG1014" i="6"/>
  <c r="CG1133" i="6"/>
  <c r="CQ1181" i="6"/>
  <c r="CC972" i="6"/>
  <c r="CK1156" i="6"/>
  <c r="CS1067" i="6"/>
  <c r="CS1120" i="6"/>
  <c r="DA1133" i="6"/>
  <c r="BK964" i="6"/>
  <c r="BJ964" i="6" s="1"/>
  <c r="BK992" i="6"/>
  <c r="BJ992" i="6" s="1"/>
  <c r="BK1042" i="6"/>
  <c r="BJ1042" i="6" s="1"/>
  <c r="BK998" i="6"/>
  <c r="BJ998" i="6" s="1"/>
  <c r="BK982" i="6"/>
  <c r="BJ982" i="6" s="1"/>
  <c r="BK1082" i="6"/>
  <c r="BJ1082" i="6" s="1"/>
  <c r="BK1049" i="6"/>
  <c r="BJ1049" i="6" s="1"/>
  <c r="BK1080" i="6"/>
  <c r="BJ1080" i="6" s="1"/>
  <c r="BK978" i="6"/>
  <c r="BJ978" i="6" s="1"/>
  <c r="BK1041" i="6"/>
  <c r="BJ1041" i="6" s="1"/>
  <c r="BK970" i="6"/>
  <c r="BJ970" i="6" s="1"/>
  <c r="BK1045" i="6"/>
  <c r="BJ1045" i="6" s="1"/>
  <c r="BK1058" i="6"/>
  <c r="BJ1058" i="6" s="1"/>
  <c r="BK1149" i="6"/>
  <c r="BJ1149" i="6" s="1"/>
  <c r="BK1062" i="6"/>
  <c r="BJ1062" i="6" s="1"/>
  <c r="BK1039" i="6"/>
  <c r="BJ1039" i="6" s="1"/>
  <c r="BK1020" i="6"/>
  <c r="BJ1020" i="6" s="1"/>
  <c r="BK1081" i="6"/>
  <c r="BJ1081" i="6" s="1"/>
  <c r="BK1111" i="6"/>
  <c r="BJ1111" i="6" s="1"/>
  <c r="BK1123" i="6"/>
  <c r="BM1120" i="6"/>
  <c r="BK1143" i="6"/>
  <c r="BJ1143" i="6" s="1"/>
  <c r="BK1167" i="6"/>
  <c r="BJ1167" i="6" s="1"/>
  <c r="BK1146" i="6"/>
  <c r="BJ1146" i="6" s="1"/>
  <c r="BK1179" i="6"/>
  <c r="BJ1179" i="6" s="1"/>
  <c r="CT1156" i="6"/>
  <c r="BX972" i="6"/>
  <c r="BX1173" i="6"/>
  <c r="CF1133" i="6"/>
  <c r="CF958" i="6"/>
  <c r="CF1120" i="6"/>
  <c r="CF1173" i="6"/>
  <c r="CV958" i="6"/>
  <c r="CV1014" i="6"/>
  <c r="CV1187" i="6"/>
  <c r="BR1120" i="6"/>
  <c r="BR1156" i="6"/>
  <c r="BR1173" i="6"/>
  <c r="CX1014" i="6"/>
  <c r="CX1156" i="6"/>
  <c r="CX1181" i="6"/>
  <c r="BV1133" i="6"/>
  <c r="BV1187" i="6"/>
  <c r="CD958" i="6"/>
  <c r="CD1014" i="6"/>
  <c r="CD1181" i="6"/>
  <c r="CL972" i="6"/>
  <c r="DB1120" i="6"/>
  <c r="BP1156" i="6"/>
  <c r="BQ1156" i="6"/>
  <c r="CW1067" i="6"/>
  <c r="CW1120" i="6"/>
  <c r="CW1156" i="6"/>
  <c r="DE1120" i="6"/>
  <c r="DE1181" i="6"/>
  <c r="BZ1173" i="6"/>
  <c r="CP1187" i="6"/>
  <c r="CI1120" i="6"/>
  <c r="DG972" i="6"/>
  <c r="DG1133" i="6"/>
  <c r="DG1156" i="6"/>
  <c r="BO972" i="6"/>
  <c r="BW1133" i="6"/>
  <c r="CE972" i="6"/>
  <c r="CM1181" i="6"/>
  <c r="CU1133" i="6"/>
  <c r="CU1173" i="6"/>
  <c r="DC958" i="6"/>
  <c r="CQ1120" i="6"/>
  <c r="CQ1173" i="6"/>
  <c r="BP9" i="5"/>
  <c r="DA477" i="6"/>
  <c r="DH707" i="6"/>
  <c r="CS471" i="6"/>
  <c r="CP471" i="6"/>
  <c r="BN9" i="5"/>
  <c r="BI11" i="5"/>
  <c r="BN471" i="6"/>
  <c r="BV471" i="6"/>
  <c r="CD471" i="6"/>
  <c r="CB707" i="6"/>
  <c r="DA935" i="6"/>
  <c r="DE1197" i="6"/>
  <c r="CN1197" i="6"/>
  <c r="DD262" i="6"/>
  <c r="DD477" i="6"/>
  <c r="DD707" i="6"/>
  <c r="DD943" i="6"/>
  <c r="DA707" i="6"/>
  <c r="DA699" i="6"/>
  <c r="DA943" i="6"/>
  <c r="DH943" i="6"/>
  <c r="BQ471" i="6"/>
  <c r="BQ713" i="6"/>
  <c r="DD699" i="6"/>
  <c r="DD935" i="6"/>
  <c r="BU471" i="6"/>
  <c r="BY943" i="6"/>
  <c r="CG471" i="6"/>
  <c r="BW949" i="6"/>
  <c r="CB699" i="6"/>
  <c r="CJ477" i="6"/>
  <c r="DE949" i="6"/>
  <c r="CN713" i="6"/>
  <c r="DA463" i="6"/>
  <c r="CM477" i="6"/>
  <c r="CU713" i="6"/>
  <c r="BP713" i="6"/>
  <c r="BT949" i="6"/>
  <c r="CB471" i="6"/>
  <c r="CB935" i="6"/>
  <c r="CF463" i="6"/>
  <c r="CF713" i="6"/>
  <c r="CJ949" i="6"/>
  <c r="CJ935" i="6"/>
  <c r="BY713" i="6"/>
  <c r="CC471" i="6"/>
  <c r="CC713" i="6"/>
  <c r="CO463" i="6"/>
  <c r="CO713" i="6"/>
  <c r="CS713" i="6"/>
  <c r="BM713" i="6"/>
  <c r="CP943" i="6"/>
  <c r="BN477" i="6"/>
  <c r="BN935" i="6"/>
  <c r="BR699" i="6"/>
  <c r="BR935" i="6"/>
  <c r="BV463" i="6"/>
  <c r="BV699" i="6"/>
  <c r="BZ463" i="6"/>
  <c r="BZ949" i="6"/>
  <c r="BZ935" i="6"/>
  <c r="CD463" i="6"/>
  <c r="CD713" i="6"/>
  <c r="CL463" i="6"/>
  <c r="CL699" i="6"/>
  <c r="CP463" i="6"/>
  <c r="CP477" i="6"/>
  <c r="CP935" i="6"/>
  <c r="CT477" i="6"/>
  <c r="CX895" i="6"/>
  <c r="DB699" i="6"/>
  <c r="DF659" i="6"/>
  <c r="DF699" i="6"/>
  <c r="BO699" i="6"/>
  <c r="BS699" i="6"/>
  <c r="BW918" i="6"/>
  <c r="CE699" i="6"/>
  <c r="CI477" i="6"/>
  <c r="CI699" i="6"/>
  <c r="CM463" i="6"/>
  <c r="CM699" i="6"/>
  <c r="CU477" i="6"/>
  <c r="CY463" i="6"/>
  <c r="CY699" i="6"/>
  <c r="DC895" i="6"/>
  <c r="BP463" i="6"/>
  <c r="BT699" i="6"/>
  <c r="CJ410" i="6"/>
  <c r="CJ882" i="6"/>
  <c r="CR949" i="6"/>
  <c r="CZ699" i="6"/>
  <c r="DE699" i="6"/>
  <c r="BX949" i="6"/>
  <c r="CN949" i="6"/>
  <c r="CV949" i="6"/>
  <c r="DH935" i="6"/>
  <c r="BU304" i="6"/>
  <c r="BU410" i="6"/>
  <c r="BU463" i="6"/>
  <c r="BU699" i="6"/>
  <c r="CK463" i="6"/>
  <c r="CK935" i="6"/>
  <c r="DD463" i="6"/>
  <c r="CR682" i="6"/>
  <c r="CR646" i="6"/>
  <c r="CZ410" i="6"/>
  <c r="CH659" i="6"/>
  <c r="CE410" i="6"/>
  <c r="DG646" i="6"/>
  <c r="CU882" i="6"/>
  <c r="BR949" i="6"/>
  <c r="BO477" i="6"/>
  <c r="CA935" i="6"/>
  <c r="CE477" i="6"/>
  <c r="CI935" i="6"/>
  <c r="CM949" i="6"/>
  <c r="CY477" i="6"/>
  <c r="CY935" i="6"/>
  <c r="DC477" i="6"/>
  <c r="CB949" i="6"/>
  <c r="CJ713" i="6"/>
  <c r="CZ477" i="6"/>
  <c r="BX477" i="6"/>
  <c r="BX713" i="6"/>
  <c r="CN477" i="6"/>
  <c r="CV713" i="6"/>
  <c r="DH713" i="6"/>
  <c r="DH477" i="6"/>
  <c r="CG713" i="6"/>
  <c r="CG949" i="6"/>
  <c r="CK477" i="6"/>
  <c r="CK713" i="6"/>
  <c r="CS935" i="6"/>
  <c r="CW713" i="6"/>
  <c r="BK266" i="6"/>
  <c r="BJ266" i="6" s="1"/>
  <c r="DE357" i="6"/>
  <c r="DE707" i="6"/>
  <c r="BU707" i="6"/>
  <c r="BU943" i="6"/>
  <c r="CC943" i="6"/>
  <c r="CL918" i="6"/>
  <c r="CT682" i="6"/>
  <c r="CT918" i="6"/>
  <c r="CX935" i="6"/>
  <c r="CB446" i="6"/>
  <c r="CJ659" i="6"/>
  <c r="BX659" i="6"/>
  <c r="BX646" i="6"/>
  <c r="CN646" i="6"/>
  <c r="CN895" i="6"/>
  <c r="CV446" i="6"/>
  <c r="CV659" i="6"/>
  <c r="CV895" i="6"/>
  <c r="DH423" i="6"/>
  <c r="DH540" i="6"/>
  <c r="DH882" i="6"/>
  <c r="DH918" i="6"/>
  <c r="BQ410" i="6"/>
  <c r="BQ446" i="6"/>
  <c r="BQ646" i="6"/>
  <c r="BU882" i="6"/>
  <c r="BY423" i="6"/>
  <c r="BY304" i="6"/>
  <c r="CC304" i="6"/>
  <c r="CC540" i="6"/>
  <c r="CC646" i="6"/>
  <c r="CG410" i="6"/>
  <c r="CG446" i="6"/>
  <c r="CG895" i="6"/>
  <c r="CK410" i="6"/>
  <c r="CK659" i="6"/>
  <c r="BN682" i="6"/>
  <c r="BV918" i="6"/>
  <c r="BO918" i="6"/>
  <c r="BS410" i="6"/>
  <c r="BW882" i="6"/>
  <c r="CA682" i="6"/>
  <c r="CE463" i="6"/>
  <c r="CE882" i="6"/>
  <c r="CE918" i="6"/>
  <c r="CM935" i="6"/>
  <c r="CQ682" i="6"/>
  <c r="CU446" i="6"/>
  <c r="CY423" i="6"/>
  <c r="DG882" i="6"/>
  <c r="BP918" i="6"/>
  <c r="BT477" i="6"/>
  <c r="CB659" i="6"/>
  <c r="CB646" i="6"/>
  <c r="CZ882" i="6"/>
  <c r="CZ949" i="6"/>
  <c r="BX895" i="6"/>
  <c r="BN463" i="6"/>
  <c r="BN423" i="6"/>
  <c r="BN646" i="6"/>
  <c r="BN713" i="6"/>
  <c r="BN918" i="6"/>
  <c r="BR682" i="6"/>
  <c r="BV446" i="6"/>
  <c r="BV410" i="6"/>
  <c r="BV682" i="6"/>
  <c r="BV949" i="6"/>
  <c r="BZ646" i="6"/>
  <c r="BZ471" i="6"/>
  <c r="BZ446" i="6"/>
  <c r="BZ477" i="6"/>
  <c r="BZ713" i="6"/>
  <c r="BZ882" i="6"/>
  <c r="CD410" i="6"/>
  <c r="CD646" i="6"/>
  <c r="CD776" i="6"/>
  <c r="CD659" i="6"/>
  <c r="CD949" i="6"/>
  <c r="CH463" i="6"/>
  <c r="CH477" i="6"/>
  <c r="CH646" i="6"/>
  <c r="CH713" i="6"/>
  <c r="CH949" i="6"/>
  <c r="CH918" i="6"/>
  <c r="CL446" i="6"/>
  <c r="CL410" i="6"/>
  <c r="CL682" i="6"/>
  <c r="CL949" i="6"/>
  <c r="CP304" i="6"/>
  <c r="CP262" i="6"/>
  <c r="CP446" i="6"/>
  <c r="CP423" i="6"/>
  <c r="CP713" i="6"/>
  <c r="CP882" i="6"/>
  <c r="CT423" i="6"/>
  <c r="CT713" i="6"/>
  <c r="CT949" i="6"/>
  <c r="CX463" i="6"/>
  <c r="CX477" i="6"/>
  <c r="CX646" i="6"/>
  <c r="CX713" i="6"/>
  <c r="CX949" i="6"/>
  <c r="CX918" i="6"/>
  <c r="DB646" i="6"/>
  <c r="DB410" i="6"/>
  <c r="DB682" i="6"/>
  <c r="DB949" i="6"/>
  <c r="DF410" i="6"/>
  <c r="DF682" i="6"/>
  <c r="DF882" i="6"/>
  <c r="BO410" i="6"/>
  <c r="BO423" i="6"/>
  <c r="BO682" i="6"/>
  <c r="BS646" i="6"/>
  <c r="BS682" i="6"/>
  <c r="BW682" i="6"/>
  <c r="BW699" i="6"/>
  <c r="BW477" i="6"/>
  <c r="BW895" i="6"/>
  <c r="BW935" i="6"/>
  <c r="CA410" i="6"/>
  <c r="CA713" i="6"/>
  <c r="CA918" i="6"/>
  <c r="CE446" i="6"/>
  <c r="CE682" i="6"/>
  <c r="CI262" i="6"/>
  <c r="CI423" i="6"/>
  <c r="CI463" i="6"/>
  <c r="CI646" i="6"/>
  <c r="CI682" i="6"/>
  <c r="CI918" i="6"/>
  <c r="CM423" i="6"/>
  <c r="CQ423" i="6"/>
  <c r="CQ713" i="6"/>
  <c r="CQ918" i="6"/>
  <c r="CU659" i="6"/>
  <c r="CY646" i="6"/>
  <c r="CY410" i="6"/>
  <c r="CY446" i="6"/>
  <c r="CY682" i="6"/>
  <c r="CY918" i="6"/>
  <c r="DC463" i="6"/>
  <c r="DC699" i="6"/>
  <c r="DC410" i="6"/>
  <c r="DG477" i="6"/>
  <c r="DG463" i="6"/>
  <c r="CD423" i="6"/>
  <c r="CD918" i="6"/>
  <c r="CH682" i="6"/>
  <c r="CP682" i="6"/>
  <c r="CT463" i="6"/>
  <c r="CX682" i="6"/>
  <c r="DB446" i="6"/>
  <c r="BO446" i="6"/>
  <c r="BS918" i="6"/>
  <c r="BW463" i="6"/>
  <c r="CM446" i="6"/>
  <c r="CM882" i="6"/>
  <c r="CQ446" i="6"/>
  <c r="CU646" i="6"/>
  <c r="DC882" i="6"/>
  <c r="DG682" i="6"/>
  <c r="BT646" i="6"/>
  <c r="CF646" i="6"/>
  <c r="CJ446" i="6"/>
  <c r="CZ463" i="6"/>
  <c r="DE776" i="6"/>
  <c r="BX423" i="6"/>
  <c r="BX734" i="6"/>
  <c r="BN410" i="6"/>
  <c r="BN659" i="6"/>
  <c r="BN949" i="6"/>
  <c r="BR463" i="6"/>
  <c r="BR477" i="6"/>
  <c r="BR646" i="6"/>
  <c r="BR713" i="6"/>
  <c r="BR918" i="6"/>
  <c r="BV713" i="6"/>
  <c r="BV895" i="6"/>
  <c r="BZ423" i="6"/>
  <c r="BZ659" i="6"/>
  <c r="BZ895" i="6"/>
  <c r="CD446" i="6"/>
  <c r="CD699" i="6"/>
  <c r="CD895" i="6"/>
  <c r="CH446" i="6"/>
  <c r="CH423" i="6"/>
  <c r="CL646" i="6"/>
  <c r="CL713" i="6"/>
  <c r="CL895" i="6"/>
  <c r="CP646" i="6"/>
  <c r="CP410" i="6"/>
  <c r="CP659" i="6"/>
  <c r="CP918" i="6"/>
  <c r="CT410" i="6"/>
  <c r="CT646" i="6"/>
  <c r="CT659" i="6"/>
  <c r="CT895" i="6"/>
  <c r="CX446" i="6"/>
  <c r="CX423" i="6"/>
  <c r="CX882" i="6"/>
  <c r="DB423" i="6"/>
  <c r="DB713" i="6"/>
  <c r="DF646" i="6"/>
  <c r="DF463" i="6"/>
  <c r="DF423" i="6"/>
  <c r="DF713" i="6"/>
  <c r="DF895" i="6"/>
  <c r="DF918" i="6"/>
  <c r="BO262" i="6"/>
  <c r="BO713" i="6"/>
  <c r="BO646" i="6"/>
  <c r="BO895" i="6"/>
  <c r="BO949" i="6"/>
  <c r="BS477" i="6"/>
  <c r="BS713" i="6"/>
  <c r="BS895" i="6"/>
  <c r="BS949" i="6"/>
  <c r="BW659" i="6"/>
  <c r="BW713" i="6"/>
  <c r="BW423" i="6"/>
  <c r="BW646" i="6"/>
  <c r="CA423" i="6"/>
  <c r="CA463" i="6"/>
  <c r="CA659" i="6"/>
  <c r="CE423" i="6"/>
  <c r="CE713" i="6"/>
  <c r="CE646" i="6"/>
  <c r="CE895" i="6"/>
  <c r="CI410" i="6"/>
  <c r="CI446" i="6"/>
  <c r="CI713" i="6"/>
  <c r="CM682" i="6"/>
  <c r="CM410" i="6"/>
  <c r="CM918" i="6"/>
  <c r="CQ477" i="6"/>
  <c r="CQ659" i="6"/>
  <c r="CQ895" i="6"/>
  <c r="CQ949" i="6"/>
  <c r="CU699" i="6"/>
  <c r="CU895" i="6"/>
  <c r="CU949" i="6"/>
  <c r="CY713" i="6"/>
  <c r="BN882" i="6"/>
  <c r="BR410" i="6"/>
  <c r="BV423" i="6"/>
  <c r="BZ682" i="6"/>
  <c r="DB918" i="6"/>
  <c r="BO882" i="6"/>
  <c r="BS446" i="6"/>
  <c r="CA477" i="6"/>
  <c r="CQ646" i="6"/>
  <c r="CU423" i="6"/>
  <c r="CU918" i="6"/>
  <c r="DC423" i="6"/>
  <c r="DC646" i="6"/>
  <c r="BP646" i="6"/>
  <c r="BP935" i="6"/>
  <c r="CR410" i="6"/>
  <c r="BN446" i="6"/>
  <c r="BN699" i="6"/>
  <c r="BN895" i="6"/>
  <c r="BR446" i="6"/>
  <c r="BR423" i="6"/>
  <c r="BR659" i="6"/>
  <c r="BR882" i="6"/>
  <c r="BR895" i="6"/>
  <c r="BV477" i="6"/>
  <c r="BV646" i="6"/>
  <c r="BV659" i="6"/>
  <c r="BV882" i="6"/>
  <c r="BV935" i="6"/>
  <c r="BZ410" i="6"/>
  <c r="BZ699" i="6"/>
  <c r="BZ918" i="6"/>
  <c r="CD477" i="6"/>
  <c r="CD682" i="6"/>
  <c r="CD882" i="6"/>
  <c r="CD935" i="6"/>
  <c r="CH410" i="6"/>
  <c r="CH699" i="6"/>
  <c r="CH895" i="6"/>
  <c r="CH882" i="6"/>
  <c r="CH935" i="6"/>
  <c r="CL423" i="6"/>
  <c r="CL477" i="6"/>
  <c r="CL659" i="6"/>
  <c r="CL882" i="6"/>
  <c r="CL935" i="6"/>
  <c r="CP699" i="6"/>
  <c r="CP949" i="6"/>
  <c r="CP895" i="6"/>
  <c r="CT446" i="6"/>
  <c r="CT699" i="6"/>
  <c r="CT882" i="6"/>
  <c r="CT935" i="6"/>
  <c r="CX410" i="6"/>
  <c r="CX659" i="6"/>
  <c r="CX699" i="6"/>
  <c r="DB463" i="6"/>
  <c r="DB477" i="6"/>
  <c r="DB659" i="6"/>
  <c r="DB882" i="6"/>
  <c r="DB895" i="6"/>
  <c r="DB935" i="6"/>
  <c r="DF446" i="6"/>
  <c r="DF477" i="6"/>
  <c r="DF949" i="6"/>
  <c r="DF935" i="6"/>
  <c r="BO463" i="6"/>
  <c r="BO659" i="6"/>
  <c r="BO935" i="6"/>
  <c r="BS423" i="6"/>
  <c r="BS463" i="6"/>
  <c r="BS659" i="6"/>
  <c r="BS882" i="6"/>
  <c r="BS935" i="6"/>
  <c r="BW446" i="6"/>
  <c r="BW410" i="6"/>
  <c r="CA446" i="6"/>
  <c r="CA646" i="6"/>
  <c r="CA699" i="6"/>
  <c r="CA882" i="6"/>
  <c r="CA895" i="6"/>
  <c r="CA949" i="6"/>
  <c r="CE659" i="6"/>
  <c r="CE949" i="6"/>
  <c r="CE935" i="6"/>
  <c r="CI659" i="6"/>
  <c r="CI882" i="6"/>
  <c r="CI895" i="6"/>
  <c r="CI949" i="6"/>
  <c r="CM262" i="6"/>
  <c r="CM713" i="6"/>
  <c r="CM659" i="6"/>
  <c r="CM646" i="6"/>
  <c r="CM895" i="6"/>
  <c r="CQ304" i="6"/>
  <c r="CQ463" i="6"/>
  <c r="CQ699" i="6"/>
  <c r="CQ882" i="6"/>
  <c r="CQ935" i="6"/>
  <c r="CU410" i="6"/>
  <c r="CU463" i="6"/>
  <c r="CU682" i="6"/>
  <c r="CU935" i="6"/>
  <c r="CY262" i="6"/>
  <c r="CY659" i="6"/>
  <c r="CY882" i="6"/>
  <c r="CY895" i="6"/>
  <c r="DC446" i="6"/>
  <c r="DC682" i="6"/>
  <c r="DC935" i="6"/>
  <c r="DG699" i="6"/>
  <c r="DG895" i="6"/>
  <c r="DG935" i="6"/>
  <c r="BP423" i="6"/>
  <c r="BP410" i="6"/>
  <c r="CW446" i="6"/>
  <c r="DD540" i="6"/>
  <c r="DA882" i="6"/>
  <c r="DG713" i="6"/>
  <c r="DG918" i="6"/>
  <c r="BP446" i="6"/>
  <c r="BP659" i="6"/>
  <c r="BP882" i="6"/>
  <c r="BT410" i="6"/>
  <c r="BT682" i="6"/>
  <c r="BT895" i="6"/>
  <c r="BT935" i="6"/>
  <c r="CB713" i="6"/>
  <c r="CB477" i="6"/>
  <c r="CF446" i="6"/>
  <c r="CF659" i="6"/>
  <c r="CF895" i="6"/>
  <c r="CJ699" i="6"/>
  <c r="CJ895" i="6"/>
  <c r="CR659" i="6"/>
  <c r="CR699" i="6"/>
  <c r="CR895" i="6"/>
  <c r="CZ423" i="6"/>
  <c r="CZ682" i="6"/>
  <c r="CZ446" i="6"/>
  <c r="CZ646" i="6"/>
  <c r="CZ935" i="6"/>
  <c r="DE477" i="6"/>
  <c r="DE646" i="6"/>
  <c r="DE682" i="6"/>
  <c r="DE895" i="6"/>
  <c r="DE935" i="6"/>
  <c r="BX410" i="6"/>
  <c r="BX699" i="6"/>
  <c r="BX935" i="6"/>
  <c r="CN463" i="6"/>
  <c r="CN659" i="6"/>
  <c r="CN935" i="6"/>
  <c r="CV699" i="6"/>
  <c r="CV935" i="6"/>
  <c r="DH410" i="6"/>
  <c r="DH682" i="6"/>
  <c r="DH463" i="6"/>
  <c r="DH895" i="6"/>
  <c r="BQ659" i="6"/>
  <c r="BQ949" i="6"/>
  <c r="BU423" i="6"/>
  <c r="BU446" i="6"/>
  <c r="BU682" i="6"/>
  <c r="BU935" i="6"/>
  <c r="BU918" i="6"/>
  <c r="BY477" i="6"/>
  <c r="BY463" i="6"/>
  <c r="BY659" i="6"/>
  <c r="BY882" i="6"/>
  <c r="BY918" i="6"/>
  <c r="CC477" i="6"/>
  <c r="CC659" i="6"/>
  <c r="CC882" i="6"/>
  <c r="CC918" i="6"/>
  <c r="CG646" i="6"/>
  <c r="CG699" i="6"/>
  <c r="CG882" i="6"/>
  <c r="CG918" i="6"/>
  <c r="CG935" i="6"/>
  <c r="CK446" i="6"/>
  <c r="CK699" i="6"/>
  <c r="CK882" i="6"/>
  <c r="CK918" i="6"/>
  <c r="CO423" i="6"/>
  <c r="CO477" i="6"/>
  <c r="CO446" i="6"/>
  <c r="CO918" i="6"/>
  <c r="CS646" i="6"/>
  <c r="CS477" i="6"/>
  <c r="CW477" i="6"/>
  <c r="CW699" i="6"/>
  <c r="CW935" i="6"/>
  <c r="BM659" i="6"/>
  <c r="DD423" i="6"/>
  <c r="DD446" i="6"/>
  <c r="DD682" i="6"/>
  <c r="DD882" i="6"/>
  <c r="DD918" i="6"/>
  <c r="DA423" i="6"/>
  <c r="DA446" i="6"/>
  <c r="DA682" i="6"/>
  <c r="DA918" i="6"/>
  <c r="CY949" i="6"/>
  <c r="DC659" i="6"/>
  <c r="DC713" i="6"/>
  <c r="DC949" i="6"/>
  <c r="DC918" i="6"/>
  <c r="DG423" i="6"/>
  <c r="DG410" i="6"/>
  <c r="DG446" i="6"/>
  <c r="DG659" i="6"/>
  <c r="DG949" i="6"/>
  <c r="BP477" i="6"/>
  <c r="BP699" i="6"/>
  <c r="BP895" i="6"/>
  <c r="BP949" i="6"/>
  <c r="BT713" i="6"/>
  <c r="BT463" i="6"/>
  <c r="CB423" i="6"/>
  <c r="CB918" i="6"/>
  <c r="CF477" i="6"/>
  <c r="CF699" i="6"/>
  <c r="CF949" i="6"/>
  <c r="CF935" i="6"/>
  <c r="CJ423" i="6"/>
  <c r="CJ682" i="6"/>
  <c r="CR477" i="6"/>
  <c r="CR713" i="6"/>
  <c r="CR463" i="6"/>
  <c r="CZ713" i="6"/>
  <c r="DE423" i="6"/>
  <c r="DE410" i="6"/>
  <c r="DE463" i="6"/>
  <c r="DE659" i="6"/>
  <c r="DE713" i="6"/>
  <c r="BX463" i="6"/>
  <c r="BX682" i="6"/>
  <c r="BX918" i="6"/>
  <c r="CN446" i="6"/>
  <c r="CN699" i="6"/>
  <c r="CV423" i="6"/>
  <c r="CV477" i="6"/>
  <c r="CV682" i="6"/>
  <c r="CV918" i="6"/>
  <c r="DH699" i="6"/>
  <c r="DH659" i="6"/>
  <c r="DH446" i="6"/>
  <c r="DH949" i="6"/>
  <c r="BQ477" i="6"/>
  <c r="BQ699" i="6"/>
  <c r="BQ882" i="6"/>
  <c r="BQ895" i="6"/>
  <c r="BQ918" i="6"/>
  <c r="BU646" i="6"/>
  <c r="BU713" i="6"/>
  <c r="BU949" i="6"/>
  <c r="BY446" i="6"/>
  <c r="BY646" i="6"/>
  <c r="BY699" i="6"/>
  <c r="BY949" i="6"/>
  <c r="CC423" i="6"/>
  <c r="CC463" i="6"/>
  <c r="CC699" i="6"/>
  <c r="CC949" i="6"/>
  <c r="CG477" i="6"/>
  <c r="CG682" i="6"/>
  <c r="CK682" i="6"/>
  <c r="CK949" i="6"/>
  <c r="CO659" i="6"/>
  <c r="CO699" i="6"/>
  <c r="CO882" i="6"/>
  <c r="CO949" i="6"/>
  <c r="CS423" i="6"/>
  <c r="CS463" i="6"/>
  <c r="CS659" i="6"/>
  <c r="CS699" i="6"/>
  <c r="CS882" i="6"/>
  <c r="CS949" i="6"/>
  <c r="CS918" i="6"/>
  <c r="CW423" i="6"/>
  <c r="CW646" i="6"/>
  <c r="CW659" i="6"/>
  <c r="CW682" i="6"/>
  <c r="CW882" i="6"/>
  <c r="CW949" i="6"/>
  <c r="BM477" i="6"/>
  <c r="BM463" i="6"/>
  <c r="BM699" i="6"/>
  <c r="BM949" i="6"/>
  <c r="BM918" i="6"/>
  <c r="DD410" i="6"/>
  <c r="DD713" i="6"/>
  <c r="DD646" i="6"/>
  <c r="DD949" i="6"/>
  <c r="DA410" i="6"/>
  <c r="DA713" i="6"/>
  <c r="DA949" i="6"/>
  <c r="BP682" i="6"/>
  <c r="BT423" i="6"/>
  <c r="BT659" i="6"/>
  <c r="BT446" i="6"/>
  <c r="BT882" i="6"/>
  <c r="BT918" i="6"/>
  <c r="CB410" i="6"/>
  <c r="CB682" i="6"/>
  <c r="CB463" i="6"/>
  <c r="CB882" i="6"/>
  <c r="CB895" i="6"/>
  <c r="CF410" i="6"/>
  <c r="CF423" i="6"/>
  <c r="CF682" i="6"/>
  <c r="CF882" i="6"/>
  <c r="CF918" i="6"/>
  <c r="CJ463" i="6"/>
  <c r="CJ918" i="6"/>
  <c r="CR423" i="6"/>
  <c r="CR446" i="6"/>
  <c r="CR882" i="6"/>
  <c r="CR918" i="6"/>
  <c r="CR935" i="6"/>
  <c r="CZ659" i="6"/>
  <c r="CZ895" i="6"/>
  <c r="CZ918" i="6"/>
  <c r="DE446" i="6"/>
  <c r="DE882" i="6"/>
  <c r="DE918" i="6"/>
  <c r="BX446" i="6"/>
  <c r="BX882" i="6"/>
  <c r="CN423" i="6"/>
  <c r="CN682" i="6"/>
  <c r="CN882" i="6"/>
  <c r="CN918" i="6"/>
  <c r="CV410" i="6"/>
  <c r="CV463" i="6"/>
  <c r="CV646" i="6"/>
  <c r="CV882" i="6"/>
  <c r="DH646" i="6"/>
  <c r="BQ423" i="6"/>
  <c r="BQ463" i="6"/>
  <c r="BQ682" i="6"/>
  <c r="BQ935" i="6"/>
  <c r="BU477" i="6"/>
  <c r="BU659" i="6"/>
  <c r="BU895" i="6"/>
  <c r="BY410" i="6"/>
  <c r="BY682" i="6"/>
  <c r="BY895" i="6"/>
  <c r="BY935" i="6"/>
  <c r="CC410" i="6"/>
  <c r="CC446" i="6"/>
  <c r="CC682" i="6"/>
  <c r="CC895" i="6"/>
  <c r="CC935" i="6"/>
  <c r="CG423" i="6"/>
  <c r="CG463" i="6"/>
  <c r="CG659" i="6"/>
  <c r="CK423" i="6"/>
  <c r="CK646" i="6"/>
  <c r="CK895" i="6"/>
  <c r="CO646" i="6"/>
  <c r="CO682" i="6"/>
  <c r="CO895" i="6"/>
  <c r="CO935" i="6"/>
  <c r="CS410" i="6"/>
  <c r="CS446" i="6"/>
  <c r="CS682" i="6"/>
  <c r="CS895" i="6"/>
  <c r="CW410" i="6"/>
  <c r="CW463" i="6"/>
  <c r="CW895" i="6"/>
  <c r="CW918" i="6"/>
  <c r="BM423" i="6"/>
  <c r="BM446" i="6"/>
  <c r="BM682" i="6"/>
  <c r="BM895" i="6"/>
  <c r="BM935" i="6"/>
  <c r="DD659" i="6"/>
  <c r="DD895" i="6"/>
  <c r="DA646" i="6"/>
  <c r="DA659" i="6"/>
  <c r="DA895" i="6"/>
  <c r="DF943" i="6"/>
  <c r="CQ262" i="6"/>
  <c r="CF262" i="6"/>
  <c r="CJ262" i="6"/>
  <c r="BW471" i="6"/>
  <c r="DG707" i="6"/>
  <c r="BT540" i="6"/>
  <c r="CB262" i="6"/>
  <c r="CJ646" i="6"/>
  <c r="BN707" i="6"/>
  <c r="BV943" i="6"/>
  <c r="BZ707" i="6"/>
  <c r="CD943" i="6"/>
  <c r="CH707" i="6"/>
  <c r="CH943" i="6"/>
  <c r="CL943" i="6"/>
  <c r="CP707" i="6"/>
  <c r="CT707" i="6"/>
  <c r="CT943" i="6"/>
  <c r="CX707" i="6"/>
  <c r="CX943" i="6"/>
  <c r="DB943" i="6"/>
  <c r="BW707" i="6"/>
  <c r="CA707" i="6"/>
  <c r="CQ707" i="6"/>
  <c r="BK474" i="6"/>
  <c r="BJ474" i="6" s="1"/>
  <c r="BN540" i="6"/>
  <c r="BR304" i="6"/>
  <c r="BR498" i="6"/>
  <c r="BV250" i="6"/>
  <c r="BV722" i="6"/>
  <c r="BV776" i="6"/>
  <c r="BV1197" i="6"/>
  <c r="BZ486" i="6"/>
  <c r="BZ540" i="6"/>
  <c r="BZ776" i="6"/>
  <c r="CD1197" i="6"/>
  <c r="CH486" i="6"/>
  <c r="CL776" i="6"/>
  <c r="CL1197" i="6"/>
  <c r="CP776" i="6"/>
  <c r="CT357" i="6"/>
  <c r="CT1197" i="6"/>
  <c r="CX304" i="6"/>
  <c r="CX357" i="6"/>
  <c r="DB471" i="6"/>
  <c r="DB776" i="6"/>
  <c r="DB1197" i="6"/>
  <c r="DF776" i="6"/>
  <c r="BO304" i="6"/>
  <c r="BO540" i="6"/>
  <c r="BO357" i="6"/>
  <c r="BO1197" i="6"/>
  <c r="BS540" i="6"/>
  <c r="BS776" i="6"/>
  <c r="BS1197" i="6"/>
  <c r="BW250" i="6"/>
  <c r="BW776" i="6"/>
  <c r="CA304" i="6"/>
  <c r="CA776" i="6"/>
  <c r="CA943" i="6"/>
  <c r="CE471" i="6"/>
  <c r="CE593" i="6"/>
  <c r="CE943" i="6"/>
  <c r="CE1197" i="6"/>
  <c r="CI593" i="6"/>
  <c r="BK475" i="6"/>
  <c r="BJ475" i="6" s="1"/>
  <c r="CI486" i="6"/>
  <c r="CI943" i="6"/>
  <c r="CM357" i="6"/>
  <c r="CM943" i="6"/>
  <c r="CQ776" i="6"/>
  <c r="CU498" i="6"/>
  <c r="CU734" i="6"/>
  <c r="CU1197" i="6"/>
  <c r="CY357" i="6"/>
  <c r="CY304" i="6"/>
  <c r="CY776" i="6"/>
  <c r="DC357" i="6"/>
  <c r="DC498" i="6"/>
  <c r="DC734" i="6"/>
  <c r="DC776" i="6"/>
  <c r="DG593" i="6"/>
  <c r="BP357" i="6"/>
  <c r="BP540" i="6"/>
  <c r="BP776" i="6"/>
  <c r="BP1197" i="6"/>
  <c r="BT776" i="6"/>
  <c r="CB943" i="6"/>
  <c r="CJ471" i="6"/>
  <c r="CJ707" i="6"/>
  <c r="CR1197" i="6"/>
  <c r="CZ776" i="6"/>
  <c r="CW707" i="6"/>
  <c r="DD498" i="6"/>
  <c r="DA304" i="6"/>
  <c r="DA734" i="6"/>
  <c r="CL471" i="6"/>
  <c r="CY471" i="6"/>
  <c r="DE943" i="6"/>
  <c r="BX943" i="6"/>
  <c r="CN498" i="6"/>
  <c r="CN707" i="6"/>
  <c r="CN943" i="6"/>
  <c r="CV943" i="6"/>
  <c r="BQ262" i="6"/>
  <c r="BQ707" i="6"/>
  <c r="BY262" i="6"/>
  <c r="BY707" i="6"/>
  <c r="CC707" i="6"/>
  <c r="CK734" i="6"/>
  <c r="CK1197" i="6"/>
  <c r="CO722" i="6"/>
  <c r="CO707" i="6"/>
  <c r="CO1197" i="6"/>
  <c r="CS707" i="6"/>
  <c r="CW722" i="6"/>
  <c r="CW776" i="6"/>
  <c r="BM471" i="6"/>
  <c r="BN262" i="6"/>
  <c r="BK1201" i="6"/>
  <c r="BJ1201" i="6" s="1"/>
  <c r="CH304" i="6"/>
  <c r="DF471" i="6"/>
  <c r="CE262" i="6"/>
  <c r="DC471" i="6"/>
  <c r="DC707" i="6"/>
  <c r="DE262" i="6"/>
  <c r="CN410" i="6"/>
  <c r="CS262" i="6"/>
  <c r="BR593" i="6"/>
  <c r="BZ593" i="6"/>
  <c r="CD262" i="6"/>
  <c r="CX593" i="6"/>
  <c r="CX486" i="6"/>
  <c r="CX722" i="6"/>
  <c r="CX829" i="6"/>
  <c r="DB262" i="6"/>
  <c r="DB593" i="6"/>
  <c r="CA486" i="6"/>
  <c r="CE722" i="6"/>
  <c r="CI250" i="6"/>
  <c r="CM593" i="6"/>
  <c r="DC304" i="6"/>
  <c r="DC486" i="6"/>
  <c r="DC593" i="6"/>
  <c r="DC722" i="6"/>
  <c r="DG357" i="6"/>
  <c r="BP593" i="6"/>
  <c r="BP722" i="6"/>
  <c r="CF304" i="6"/>
  <c r="CF471" i="6"/>
  <c r="CJ593" i="6"/>
  <c r="CZ722" i="6"/>
  <c r="BX722" i="6"/>
  <c r="CN250" i="6"/>
  <c r="CN486" i="6"/>
  <c r="CN357" i="6"/>
  <c r="CV471" i="6"/>
  <c r="DH250" i="6"/>
  <c r="BQ486" i="6"/>
  <c r="BU593" i="6"/>
  <c r="BY829" i="6"/>
  <c r="CC829" i="6"/>
  <c r="CG486" i="6"/>
  <c r="CG829" i="6"/>
  <c r="BN250" i="6"/>
  <c r="CD250" i="6"/>
  <c r="BK377" i="6"/>
  <c r="BJ377" i="6" s="1"/>
  <c r="BN304" i="6"/>
  <c r="BN498" i="6"/>
  <c r="BN776" i="6"/>
  <c r="BN1197" i="6"/>
  <c r="BR486" i="6"/>
  <c r="BR540" i="6"/>
  <c r="BR722" i="6"/>
  <c r="BR829" i="6"/>
  <c r="BV304" i="6"/>
  <c r="BV498" i="6"/>
  <c r="BV540" i="6"/>
  <c r="BV593" i="6"/>
  <c r="BV829" i="6"/>
  <c r="BZ262" i="6"/>
  <c r="BZ943" i="6"/>
  <c r="CD498" i="6"/>
  <c r="CD707" i="6"/>
  <c r="CD734" i="6"/>
  <c r="CD829" i="6"/>
  <c r="CH262" i="6"/>
  <c r="CH734" i="6"/>
  <c r="CH722" i="6"/>
  <c r="CH829" i="6"/>
  <c r="CH1197" i="6"/>
  <c r="CL262" i="6"/>
  <c r="CL304" i="6"/>
  <c r="CL498" i="6"/>
  <c r="CL722" i="6"/>
  <c r="CL829" i="6"/>
  <c r="CT471" i="6"/>
  <c r="CT776" i="6"/>
  <c r="CT593" i="6"/>
  <c r="CT829" i="6"/>
  <c r="CX540" i="6"/>
  <c r="CX734" i="6"/>
  <c r="CX1197" i="6"/>
  <c r="DB540" i="6"/>
  <c r="DB304" i="6"/>
  <c r="DB498" i="6"/>
  <c r="DB829" i="6"/>
  <c r="DF304" i="6"/>
  <c r="DF262" i="6"/>
  <c r="DF357" i="6"/>
  <c r="BO498" i="6"/>
  <c r="BO776" i="6"/>
  <c r="BS471" i="6"/>
  <c r="BS250" i="6"/>
  <c r="BS593" i="6"/>
  <c r="BS722" i="6"/>
  <c r="BS829" i="6"/>
  <c r="BW357" i="6"/>
  <c r="BW540" i="6"/>
  <c r="BW943" i="6"/>
  <c r="BW1197" i="6"/>
  <c r="CA262" i="6"/>
  <c r="CA357" i="6"/>
  <c r="CA498" i="6"/>
  <c r="CA722" i="6"/>
  <c r="CA829" i="6"/>
  <c r="CA1197" i="6"/>
  <c r="CE304" i="6"/>
  <c r="CI540" i="6"/>
  <c r="CI734" i="6"/>
  <c r="CI829" i="6"/>
  <c r="CI1197" i="6"/>
  <c r="CM304" i="6"/>
  <c r="CM471" i="6"/>
  <c r="CM707" i="6"/>
  <c r="CM486" i="6"/>
  <c r="CM776" i="6"/>
  <c r="CQ410" i="6"/>
  <c r="CQ250" i="6"/>
  <c r="CQ498" i="6"/>
  <c r="CQ486" i="6"/>
  <c r="CQ829" i="6"/>
  <c r="CQ1197" i="6"/>
  <c r="CU250" i="6"/>
  <c r="CU540" i="6"/>
  <c r="CU593" i="6"/>
  <c r="CU707" i="6"/>
  <c r="CU722" i="6"/>
  <c r="CU776" i="6"/>
  <c r="CY593" i="6"/>
  <c r="CY829" i="6"/>
  <c r="CY1197" i="6"/>
  <c r="DG471" i="6"/>
  <c r="DG540" i="6"/>
  <c r="DG498" i="6"/>
  <c r="DG486" i="6"/>
  <c r="DG734" i="6"/>
  <c r="DG776" i="6"/>
  <c r="DG1197" i="6"/>
  <c r="BP262" i="6"/>
  <c r="BP304" i="6"/>
  <c r="BP707" i="6"/>
  <c r="BT486" i="6"/>
  <c r="BT304" i="6"/>
  <c r="BT250" i="6"/>
  <c r="BT829" i="6"/>
  <c r="BT943" i="6"/>
  <c r="CB304" i="6"/>
  <c r="CB486" i="6"/>
  <c r="CB498" i="6"/>
  <c r="CB250" i="6"/>
  <c r="CB540" i="6"/>
  <c r="CB829" i="6"/>
  <c r="CF250" i="6"/>
  <c r="CF707" i="6"/>
  <c r="CF829" i="6"/>
  <c r="CJ540" i="6"/>
  <c r="CJ486" i="6"/>
  <c r="CJ304" i="6"/>
  <c r="CJ250" i="6"/>
  <c r="CJ734" i="6"/>
  <c r="CJ943" i="6"/>
  <c r="CR829" i="6"/>
  <c r="CR943" i="6"/>
  <c r="CZ540" i="6"/>
  <c r="CZ304" i="6"/>
  <c r="CZ250" i="6"/>
  <c r="CZ593" i="6"/>
  <c r="CZ734" i="6"/>
  <c r="CZ943" i="6"/>
  <c r="DE304" i="6"/>
  <c r="DE471" i="6"/>
  <c r="DE250" i="6"/>
  <c r="DE498" i="6"/>
  <c r="DE593" i="6"/>
  <c r="BX498" i="6"/>
  <c r="BX250" i="6"/>
  <c r="BX486" i="6"/>
  <c r="BX357" i="6"/>
  <c r="BX707" i="6"/>
  <c r="CN262" i="6"/>
  <c r="CN471" i="6"/>
  <c r="CN540" i="6"/>
  <c r="CN593" i="6"/>
  <c r="CN776" i="6"/>
  <c r="CV304" i="6"/>
  <c r="CV498" i="6"/>
  <c r="CV250" i="6"/>
  <c r="CV593" i="6"/>
  <c r="CV707" i="6"/>
  <c r="DH722" i="6"/>
  <c r="DH498" i="6"/>
  <c r="DH357" i="6"/>
  <c r="BQ304" i="6"/>
  <c r="BQ498" i="6"/>
  <c r="BQ540" i="6"/>
  <c r="BQ829" i="6"/>
  <c r="BU540" i="6"/>
  <c r="BU722" i="6"/>
  <c r="BU734" i="6"/>
  <c r="BY486" i="6"/>
  <c r="BY498" i="6"/>
  <c r="BY540" i="6"/>
  <c r="BY734" i="6"/>
  <c r="CC486" i="6"/>
  <c r="CC250" i="6"/>
  <c r="CC498" i="6"/>
  <c r="CC722" i="6"/>
  <c r="CC734" i="6"/>
  <c r="CG304" i="6"/>
  <c r="BP471" i="6"/>
  <c r="BN357" i="6"/>
  <c r="CT262" i="6"/>
  <c r="BN722" i="6"/>
  <c r="BN734" i="6"/>
  <c r="BN829" i="6"/>
  <c r="BR357" i="6"/>
  <c r="BR734" i="6"/>
  <c r="BR776" i="6"/>
  <c r="BV357" i="6"/>
  <c r="BV486" i="6"/>
  <c r="BZ722" i="6"/>
  <c r="CD357" i="6"/>
  <c r="CD304" i="6"/>
  <c r="CD593" i="6"/>
  <c r="CD486" i="6"/>
  <c r="CD540" i="6"/>
  <c r="CD722" i="6"/>
  <c r="CH357" i="6"/>
  <c r="CH593" i="6"/>
  <c r="CL250" i="6"/>
  <c r="CL486" i="6"/>
  <c r="CL734" i="6"/>
  <c r="CP250" i="6"/>
  <c r="CP498" i="6"/>
  <c r="CP593" i="6"/>
  <c r="CP734" i="6"/>
  <c r="CP722" i="6"/>
  <c r="CP1197" i="6"/>
  <c r="CT250" i="6"/>
  <c r="CT304" i="6"/>
  <c r="CT498" i="6"/>
  <c r="CT486" i="6"/>
  <c r="CT734" i="6"/>
  <c r="CX262" i="6"/>
  <c r="DB486" i="6"/>
  <c r="DB734" i="6"/>
  <c r="DB722" i="6"/>
  <c r="DF250" i="6"/>
  <c r="DF593" i="6"/>
  <c r="DF1197" i="6"/>
  <c r="BO250" i="6"/>
  <c r="BO486" i="6"/>
  <c r="BO829" i="6"/>
  <c r="BS357" i="6"/>
  <c r="BS304" i="6"/>
  <c r="BS498" i="6"/>
  <c r="BS486" i="6"/>
  <c r="BS734" i="6"/>
  <c r="BW262" i="6"/>
  <c r="BW304" i="6"/>
  <c r="BW593" i="6"/>
  <c r="BW486" i="6"/>
  <c r="BW722" i="6"/>
  <c r="BW829" i="6"/>
  <c r="CA250" i="6"/>
  <c r="CA471" i="6"/>
  <c r="CA593" i="6"/>
  <c r="CA734" i="6"/>
  <c r="CE540" i="6"/>
  <c r="CE486" i="6"/>
  <c r="CE776" i="6"/>
  <c r="CE829" i="6"/>
  <c r="CI357" i="6"/>
  <c r="CI304" i="6"/>
  <c r="CI498" i="6"/>
  <c r="CI722" i="6"/>
  <c r="CM540" i="6"/>
  <c r="CM722" i="6"/>
  <c r="CM734" i="6"/>
  <c r="CM829" i="6"/>
  <c r="CM1197" i="6"/>
  <c r="CQ357" i="6"/>
  <c r="CQ540" i="6"/>
  <c r="CQ593" i="6"/>
  <c r="CQ722" i="6"/>
  <c r="CQ734" i="6"/>
  <c r="CU357" i="6"/>
  <c r="CU486" i="6"/>
  <c r="CU829" i="6"/>
  <c r="CY250" i="6"/>
  <c r="CY540" i="6"/>
  <c r="CY722" i="6"/>
  <c r="CY734" i="6"/>
  <c r="DC262" i="6"/>
  <c r="DC829" i="6"/>
  <c r="DG304" i="6"/>
  <c r="DG722" i="6"/>
  <c r="DG829" i="6"/>
  <c r="BK267" i="6"/>
  <c r="BJ267" i="6" s="1"/>
  <c r="BT498" i="6"/>
  <c r="BT357" i="6"/>
  <c r="BT722" i="6"/>
  <c r="BT734" i="6"/>
  <c r="CB357" i="6"/>
  <c r="CF498" i="6"/>
  <c r="CF486" i="6"/>
  <c r="CF734" i="6"/>
  <c r="CJ498" i="6"/>
  <c r="CJ776" i="6"/>
  <c r="CR593" i="6"/>
  <c r="CR722" i="6"/>
  <c r="CR250" i="6"/>
  <c r="CR540" i="6"/>
  <c r="CR707" i="6"/>
  <c r="CR357" i="6"/>
  <c r="CR734" i="6"/>
  <c r="CR776" i="6"/>
  <c r="CZ262" i="6"/>
  <c r="CZ486" i="6"/>
  <c r="CZ498" i="6"/>
  <c r="CZ357" i="6"/>
  <c r="CZ829" i="6"/>
  <c r="DE486" i="6"/>
  <c r="DE829" i="6"/>
  <c r="BK375" i="6"/>
  <c r="BJ375" i="6" s="1"/>
  <c r="BX262" i="6"/>
  <c r="BX304" i="6"/>
  <c r="BX471" i="6"/>
  <c r="BX540" i="6"/>
  <c r="BX593" i="6"/>
  <c r="CN304" i="6"/>
  <c r="CN829" i="6"/>
  <c r="CV262" i="6"/>
  <c r="CV486" i="6"/>
  <c r="CV722" i="6"/>
  <c r="CV734" i="6"/>
  <c r="CV829" i="6"/>
  <c r="DH486" i="6"/>
  <c r="DH262" i="6"/>
  <c r="DH471" i="6"/>
  <c r="DH593" i="6"/>
  <c r="DH734" i="6"/>
  <c r="DH1197" i="6"/>
  <c r="BQ593" i="6"/>
  <c r="BQ734" i="6"/>
  <c r="BU776" i="6"/>
  <c r="BU1197" i="6"/>
  <c r="BY357" i="6"/>
  <c r="BY722" i="6"/>
  <c r="BY593" i="6"/>
  <c r="BY776" i="6"/>
  <c r="BY1197" i="6"/>
  <c r="CC593" i="6"/>
  <c r="CC1197" i="6"/>
  <c r="CG262" i="6"/>
  <c r="CG540" i="6"/>
  <c r="CG776" i="6"/>
  <c r="CK722" i="6"/>
  <c r="CO250" i="6"/>
  <c r="CO593" i="6"/>
  <c r="CS722" i="6"/>
  <c r="CS593" i="6"/>
  <c r="CW250" i="6"/>
  <c r="CW357" i="6"/>
  <c r="BK353" i="6"/>
  <c r="BJ353" i="6" s="1"/>
  <c r="BK345" i="6"/>
  <c r="BJ345" i="6" s="1"/>
  <c r="BK340" i="6"/>
  <c r="BJ340" i="6" s="1"/>
  <c r="BK334" i="6"/>
  <c r="BJ334" i="6" s="1"/>
  <c r="BK328" i="6"/>
  <c r="BJ328" i="6" s="1"/>
  <c r="BK322" i="6"/>
  <c r="BJ322" i="6" s="1"/>
  <c r="BK315" i="6"/>
  <c r="BJ315" i="6" s="1"/>
  <c r="BK494" i="6"/>
  <c r="BJ494" i="6" s="1"/>
  <c r="BK363" i="6"/>
  <c r="BJ363" i="6" s="1"/>
  <c r="BK352" i="6"/>
  <c r="BJ352" i="6" s="1"/>
  <c r="BK342" i="6"/>
  <c r="BJ342" i="6" s="1"/>
  <c r="BK331" i="6"/>
  <c r="BJ331" i="6" s="1"/>
  <c r="BK319" i="6"/>
  <c r="BJ319" i="6" s="1"/>
  <c r="BK369" i="6"/>
  <c r="BJ369" i="6" s="1"/>
  <c r="BK493" i="6"/>
  <c r="BJ493" i="6" s="1"/>
  <c r="BK367" i="6"/>
  <c r="BJ367" i="6" s="1"/>
  <c r="BK258" i="6"/>
  <c r="BJ258" i="6" s="1"/>
  <c r="BK254" i="6"/>
  <c r="BJ254" i="6" s="1"/>
  <c r="BK300" i="6"/>
  <c r="BJ300" i="6" s="1"/>
  <c r="BK296" i="6"/>
  <c r="BJ296" i="6" s="1"/>
  <c r="BK292" i="6"/>
  <c r="BJ292" i="6" s="1"/>
  <c r="BK288" i="6"/>
  <c r="BJ288" i="6" s="1"/>
  <c r="BK284" i="6"/>
  <c r="BJ284" i="6" s="1"/>
  <c r="BK280" i="6"/>
  <c r="BJ280" i="6" s="1"/>
  <c r="BK276" i="6"/>
  <c r="BJ276" i="6" s="1"/>
  <c r="BK272" i="6"/>
  <c r="BJ272" i="6" s="1"/>
  <c r="BK268" i="6"/>
  <c r="BJ268" i="6" s="1"/>
  <c r="BK419" i="6"/>
  <c r="BJ419" i="6" s="1"/>
  <c r="BK415" i="6"/>
  <c r="BJ415" i="6" s="1"/>
  <c r="BK443" i="6"/>
  <c r="BJ443" i="6" s="1"/>
  <c r="BK439" i="6"/>
  <c r="BJ439" i="6" s="1"/>
  <c r="BK435" i="6"/>
  <c r="BJ435" i="6" s="1"/>
  <c r="BK431" i="6"/>
  <c r="BJ431" i="6" s="1"/>
  <c r="BK427" i="6"/>
  <c r="BJ427" i="6" s="1"/>
  <c r="BK480" i="6"/>
  <c r="BK309" i="6"/>
  <c r="BJ309" i="6" s="1"/>
  <c r="BK407" i="6"/>
  <c r="BJ407" i="6" s="1"/>
  <c r="BK403" i="6"/>
  <c r="BJ403" i="6" s="1"/>
  <c r="BK399" i="6"/>
  <c r="BJ399" i="6" s="1"/>
  <c r="BK395" i="6"/>
  <c r="BJ395" i="6" s="1"/>
  <c r="BK391" i="6"/>
  <c r="BJ391" i="6" s="1"/>
  <c r="BK387" i="6"/>
  <c r="BJ387" i="6" s="1"/>
  <c r="BK383" i="6"/>
  <c r="BJ383" i="6" s="1"/>
  <c r="BK379" i="6"/>
  <c r="BJ379" i="6" s="1"/>
  <c r="BK466" i="6"/>
  <c r="BK458" i="6"/>
  <c r="BJ458" i="6" s="1"/>
  <c r="BK454" i="6"/>
  <c r="BJ454" i="6" s="1"/>
  <c r="BK450" i="6"/>
  <c r="BJ450" i="6" s="1"/>
  <c r="BK536" i="6"/>
  <c r="BJ536" i="6" s="1"/>
  <c r="BK532" i="6"/>
  <c r="BJ532" i="6" s="1"/>
  <c r="BK528" i="6"/>
  <c r="BJ528" i="6" s="1"/>
  <c r="BK524" i="6"/>
  <c r="BJ524" i="6" s="1"/>
  <c r="BK520" i="6"/>
  <c r="BJ520" i="6" s="1"/>
  <c r="BK516" i="6"/>
  <c r="BJ516" i="6" s="1"/>
  <c r="BK512" i="6"/>
  <c r="BJ512" i="6" s="1"/>
  <c r="BK508" i="6"/>
  <c r="BJ508" i="6" s="1"/>
  <c r="BK504" i="6"/>
  <c r="BJ504" i="6" s="1"/>
  <c r="BK591" i="6"/>
  <c r="BJ591" i="6" s="1"/>
  <c r="BK644" i="6"/>
  <c r="BJ644" i="6" s="1"/>
  <c r="CL357" i="6"/>
  <c r="CL593" i="6"/>
  <c r="BR1197" i="6"/>
  <c r="BN486" i="6"/>
  <c r="BN593" i="6"/>
  <c r="BN943" i="6"/>
  <c r="BR250" i="6"/>
  <c r="BR471" i="6"/>
  <c r="BR262" i="6"/>
  <c r="BR707" i="6"/>
  <c r="BR943" i="6"/>
  <c r="BV262" i="6"/>
  <c r="BV734" i="6"/>
  <c r="BV707" i="6"/>
  <c r="BZ250" i="6"/>
  <c r="BZ357" i="6"/>
  <c r="BZ304" i="6"/>
  <c r="BZ498" i="6"/>
  <c r="BZ734" i="6"/>
  <c r="BZ829" i="6"/>
  <c r="BZ1197" i="6"/>
  <c r="CH250" i="6"/>
  <c r="CH471" i="6"/>
  <c r="CH498" i="6"/>
  <c r="CH540" i="6"/>
  <c r="CH776" i="6"/>
  <c r="CL540" i="6"/>
  <c r="CL707" i="6"/>
  <c r="CP357" i="6"/>
  <c r="CP540" i="6"/>
  <c r="CP486" i="6"/>
  <c r="CP829" i="6"/>
  <c r="CT540" i="6"/>
  <c r="CT722" i="6"/>
  <c r="CX250" i="6"/>
  <c r="CX498" i="6"/>
  <c r="CX776" i="6"/>
  <c r="DB250" i="6"/>
  <c r="DB357" i="6"/>
  <c r="DB707" i="6"/>
  <c r="DF734" i="6"/>
  <c r="DF498" i="6"/>
  <c r="DF540" i="6"/>
  <c r="DF486" i="6"/>
  <c r="DF707" i="6"/>
  <c r="DF722" i="6"/>
  <c r="DF829" i="6"/>
  <c r="BO707" i="6"/>
  <c r="BO593" i="6"/>
  <c r="BO722" i="6"/>
  <c r="BO734" i="6"/>
  <c r="BO943" i="6"/>
  <c r="BS262" i="6"/>
  <c r="BS707" i="6"/>
  <c r="BS943" i="6"/>
  <c r="BW498" i="6"/>
  <c r="BW734" i="6"/>
  <c r="CA540" i="6"/>
  <c r="CE498" i="6"/>
  <c r="CE250" i="6"/>
  <c r="CE357" i="6"/>
  <c r="CE707" i="6"/>
  <c r="CE734" i="6"/>
  <c r="CI471" i="6"/>
  <c r="CI707" i="6"/>
  <c r="CI776" i="6"/>
  <c r="CM498" i="6"/>
  <c r="CM250" i="6"/>
  <c r="CQ471" i="6"/>
  <c r="CQ943" i="6"/>
  <c r="CU262" i="6"/>
  <c r="CU304" i="6"/>
  <c r="CU471" i="6"/>
  <c r="CU943" i="6"/>
  <c r="CY498" i="6"/>
  <c r="CY486" i="6"/>
  <c r="CY707" i="6"/>
  <c r="CY943" i="6"/>
  <c r="DC250" i="6"/>
  <c r="DC540" i="6"/>
  <c r="DC943" i="6"/>
  <c r="DC1197" i="6"/>
  <c r="DG262" i="6"/>
  <c r="DG250" i="6"/>
  <c r="DG943" i="6"/>
  <c r="BQ1197" i="6"/>
  <c r="BP498" i="6"/>
  <c r="BP250" i="6"/>
  <c r="BP486" i="6"/>
  <c r="BP734" i="6"/>
  <c r="BP829" i="6"/>
  <c r="BP943" i="6"/>
  <c r="BT262" i="6"/>
  <c r="BT471" i="6"/>
  <c r="BT707" i="6"/>
  <c r="BT593" i="6"/>
  <c r="BT1197" i="6"/>
  <c r="CB722" i="6"/>
  <c r="CB593" i="6"/>
  <c r="CB734" i="6"/>
  <c r="CB776" i="6"/>
  <c r="CB1197" i="6"/>
  <c r="CF357" i="6"/>
  <c r="CF540" i="6"/>
  <c r="CF593" i="6"/>
  <c r="CF722" i="6"/>
  <c r="CF776" i="6"/>
  <c r="CF943" i="6"/>
  <c r="CF1197" i="6"/>
  <c r="CJ357" i="6"/>
  <c r="CJ722" i="6"/>
  <c r="CJ829" i="6"/>
  <c r="CJ1197" i="6"/>
  <c r="CR262" i="6"/>
  <c r="CR486" i="6"/>
  <c r="CR304" i="6"/>
  <c r="CR498" i="6"/>
  <c r="CR471" i="6"/>
  <c r="CZ471" i="6"/>
  <c r="CZ707" i="6"/>
  <c r="CZ1197" i="6"/>
  <c r="DE722" i="6"/>
  <c r="DE540" i="6"/>
  <c r="DE734" i="6"/>
  <c r="BK366" i="6"/>
  <c r="BJ366" i="6" s="1"/>
  <c r="BX829" i="6"/>
  <c r="BX776" i="6"/>
  <c r="BX1197" i="6"/>
  <c r="CN722" i="6"/>
  <c r="CN734" i="6"/>
  <c r="CV357" i="6"/>
  <c r="CV540" i="6"/>
  <c r="CV776" i="6"/>
  <c r="CV1197" i="6"/>
  <c r="DH304" i="6"/>
  <c r="DH776" i="6"/>
  <c r="DH829" i="6"/>
  <c r="BQ722" i="6"/>
  <c r="BQ250" i="6"/>
  <c r="BQ357" i="6"/>
  <c r="BQ776" i="6"/>
  <c r="BQ943" i="6"/>
  <c r="BU486" i="6"/>
  <c r="BU250" i="6"/>
  <c r="BU262" i="6"/>
  <c r="BU357" i="6"/>
  <c r="BU498" i="6"/>
  <c r="BU829" i="6"/>
  <c r="BY471" i="6"/>
  <c r="BY250" i="6"/>
  <c r="CC357" i="6"/>
  <c r="CC262" i="6"/>
  <c r="CC776" i="6"/>
  <c r="CG250" i="6"/>
  <c r="CG357" i="6"/>
  <c r="CG722" i="6"/>
  <c r="CG498" i="6"/>
  <c r="CG1197" i="6"/>
  <c r="CK304" i="6"/>
  <c r="CK486" i="6"/>
  <c r="CK250" i="6"/>
  <c r="CK262" i="6"/>
  <c r="CK357" i="6"/>
  <c r="CK498" i="6"/>
  <c r="CK776" i="6"/>
  <c r="BK640" i="6"/>
  <c r="BJ640" i="6" s="1"/>
  <c r="BK636" i="6"/>
  <c r="BJ636" i="6" s="1"/>
  <c r="BK632" i="6"/>
  <c r="BJ632" i="6" s="1"/>
  <c r="BK628" i="6"/>
  <c r="BJ628" i="6" s="1"/>
  <c r="BK624" i="6"/>
  <c r="BJ624" i="6" s="1"/>
  <c r="BK620" i="6"/>
  <c r="BJ620" i="6" s="1"/>
  <c r="BK616" i="6"/>
  <c r="BJ616" i="6" s="1"/>
  <c r="BK612" i="6"/>
  <c r="BJ612" i="6" s="1"/>
  <c r="BK586" i="6"/>
  <c r="BJ586" i="6" s="1"/>
  <c r="BK582" i="6"/>
  <c r="BJ582" i="6" s="1"/>
  <c r="BK578" i="6"/>
  <c r="BJ578" i="6" s="1"/>
  <c r="BK574" i="6"/>
  <c r="BJ574" i="6" s="1"/>
  <c r="BK570" i="6"/>
  <c r="BJ570" i="6" s="1"/>
  <c r="BK566" i="6"/>
  <c r="BJ566" i="6" s="1"/>
  <c r="BK562" i="6"/>
  <c r="BJ562" i="6" s="1"/>
  <c r="BK558" i="6"/>
  <c r="BJ558" i="6" s="1"/>
  <c r="BK554" i="6"/>
  <c r="BJ554" i="6" s="1"/>
  <c r="BK550" i="6"/>
  <c r="BJ550" i="6" s="1"/>
  <c r="BK546" i="6"/>
  <c r="BJ546" i="6" s="1"/>
  <c r="BK732" i="6"/>
  <c r="BJ732" i="6" s="1"/>
  <c r="BK728" i="6"/>
  <c r="BJ728" i="6" s="1"/>
  <c r="BK752" i="6"/>
  <c r="BJ752" i="6" s="1"/>
  <c r="BK651" i="6"/>
  <c r="BJ651" i="6" s="1"/>
  <c r="BK749" i="6"/>
  <c r="BJ749" i="6" s="1"/>
  <c r="BK608" i="6"/>
  <c r="BJ608" i="6" s="1"/>
  <c r="BK604" i="6"/>
  <c r="BJ604" i="6" s="1"/>
  <c r="BK600" i="6"/>
  <c r="BJ600" i="6" s="1"/>
  <c r="BM593" i="6"/>
  <c r="BK596" i="6"/>
  <c r="BK677" i="6"/>
  <c r="BJ677" i="6" s="1"/>
  <c r="BK673" i="6"/>
  <c r="BJ673" i="6" s="1"/>
  <c r="BK669" i="6"/>
  <c r="BJ669" i="6" s="1"/>
  <c r="BK665" i="6"/>
  <c r="BJ665" i="6" s="1"/>
  <c r="BK718" i="6"/>
  <c r="BJ718" i="6" s="1"/>
  <c r="BM707" i="6"/>
  <c r="BK710" i="6"/>
  <c r="BK702" i="6"/>
  <c r="BK694" i="6"/>
  <c r="BJ694" i="6" s="1"/>
  <c r="BK690" i="6"/>
  <c r="BJ690" i="6" s="1"/>
  <c r="BK686" i="6"/>
  <c r="BJ686" i="6" s="1"/>
  <c r="BK772" i="6"/>
  <c r="BJ772" i="6" s="1"/>
  <c r="BK768" i="6"/>
  <c r="BJ768" i="6" s="1"/>
  <c r="BK764" i="6"/>
  <c r="BJ764" i="6" s="1"/>
  <c r="BK760" i="6"/>
  <c r="BJ760" i="6" s="1"/>
  <c r="BK756" i="6"/>
  <c r="BJ756" i="6" s="1"/>
  <c r="BK748" i="6"/>
  <c r="BJ748" i="6" s="1"/>
  <c r="BK744" i="6"/>
  <c r="BJ744" i="6" s="1"/>
  <c r="BK740" i="6"/>
  <c r="BJ740" i="6" s="1"/>
  <c r="BK827" i="6"/>
  <c r="BJ827" i="6" s="1"/>
  <c r="BK823" i="6"/>
  <c r="BJ823" i="6" s="1"/>
  <c r="BK819" i="6"/>
  <c r="BJ819" i="6" s="1"/>
  <c r="BK815" i="6"/>
  <c r="BJ815" i="6" s="1"/>
  <c r="BK811" i="6"/>
  <c r="BJ811" i="6" s="1"/>
  <c r="BK807" i="6"/>
  <c r="BJ807" i="6" s="1"/>
  <c r="BK803" i="6"/>
  <c r="BJ803" i="6" s="1"/>
  <c r="BK793" i="6"/>
  <c r="BJ793" i="6" s="1"/>
  <c r="BK789" i="6"/>
  <c r="BJ789" i="6" s="1"/>
  <c r="BK785" i="6"/>
  <c r="BJ785" i="6" s="1"/>
  <c r="BK781" i="6"/>
  <c r="BJ781" i="6" s="1"/>
  <c r="BK879" i="6"/>
  <c r="BJ879" i="6" s="1"/>
  <c r="BK875" i="6"/>
  <c r="BJ875" i="6" s="1"/>
  <c r="BK871" i="6"/>
  <c r="BJ871" i="6" s="1"/>
  <c r="BK867" i="6"/>
  <c r="BJ867" i="6" s="1"/>
  <c r="BK863" i="6"/>
  <c r="BJ863" i="6" s="1"/>
  <c r="BK800" i="6"/>
  <c r="BJ800" i="6" s="1"/>
  <c r="BK797" i="6"/>
  <c r="BJ797" i="6" s="1"/>
  <c r="BK839" i="6"/>
  <c r="BJ839" i="6" s="1"/>
  <c r="BK859" i="6"/>
  <c r="BJ859" i="6" s="1"/>
  <c r="BK855" i="6"/>
  <c r="BJ855" i="6" s="1"/>
  <c r="BK851" i="6"/>
  <c r="BJ851" i="6" s="1"/>
  <c r="BK847" i="6"/>
  <c r="BJ847" i="6" s="1"/>
  <c r="BK843" i="6"/>
  <c r="BJ843" i="6" s="1"/>
  <c r="BK913" i="6"/>
  <c r="BJ913" i="6" s="1"/>
  <c r="BK834" i="6"/>
  <c r="BJ834" i="6" s="1"/>
  <c r="BK892" i="6"/>
  <c r="BJ892" i="6" s="1"/>
  <c r="BK888" i="6"/>
  <c r="BJ888" i="6" s="1"/>
  <c r="BK916" i="6"/>
  <c r="BJ916" i="6" s="1"/>
  <c r="BK907" i="6"/>
  <c r="BJ907" i="6" s="1"/>
  <c r="BK903" i="6"/>
  <c r="BJ903" i="6" s="1"/>
  <c r="BK899" i="6"/>
  <c r="BJ899" i="6" s="1"/>
  <c r="BK952" i="6"/>
  <c r="BK924" i="6"/>
  <c r="BJ924" i="6" s="1"/>
  <c r="BK939" i="6"/>
  <c r="BJ939" i="6" s="1"/>
  <c r="BK931" i="6"/>
  <c r="BJ931" i="6" s="1"/>
  <c r="BK927" i="6"/>
  <c r="BJ927" i="6" s="1"/>
  <c r="BK921" i="6"/>
  <c r="BK1206" i="6"/>
  <c r="BJ1206" i="6" s="1"/>
  <c r="BK1202" i="6"/>
  <c r="BJ1202" i="6" s="1"/>
  <c r="CO304" i="6"/>
  <c r="CO498" i="6"/>
  <c r="CO776" i="6"/>
  <c r="CS486" i="6"/>
  <c r="CS540" i="6"/>
  <c r="CS776" i="6"/>
  <c r="CS1197" i="6"/>
  <c r="CW471" i="6"/>
  <c r="CW486" i="6"/>
  <c r="BK350" i="6"/>
  <c r="BJ350" i="6" s="1"/>
  <c r="BK344" i="6"/>
  <c r="BJ344" i="6" s="1"/>
  <c r="BK339" i="6"/>
  <c r="BJ339" i="6" s="1"/>
  <c r="BK332" i="6"/>
  <c r="BJ332" i="6" s="1"/>
  <c r="BK327" i="6"/>
  <c r="BJ327" i="6" s="1"/>
  <c r="BK320" i="6"/>
  <c r="BJ320" i="6" s="1"/>
  <c r="BK314" i="6"/>
  <c r="BJ314" i="6" s="1"/>
  <c r="BK492" i="6"/>
  <c r="BJ492" i="6" s="1"/>
  <c r="BK361" i="6"/>
  <c r="BJ361" i="6" s="1"/>
  <c r="BK351" i="6"/>
  <c r="BJ351" i="6" s="1"/>
  <c r="BK338" i="6"/>
  <c r="BJ338" i="6" s="1"/>
  <c r="BK326" i="6"/>
  <c r="BJ326" i="6" s="1"/>
  <c r="BK317" i="6"/>
  <c r="BJ317" i="6" s="1"/>
  <c r="BK362" i="6"/>
  <c r="BJ362" i="6" s="1"/>
  <c r="BK491" i="6"/>
  <c r="BJ491" i="6" s="1"/>
  <c r="BK656" i="6"/>
  <c r="BJ656" i="6" s="1"/>
  <c r="BK257" i="6"/>
  <c r="BJ257" i="6" s="1"/>
  <c r="BK253" i="6"/>
  <c r="BK299" i="6"/>
  <c r="BJ299" i="6" s="1"/>
  <c r="BK295" i="6"/>
  <c r="BJ295" i="6" s="1"/>
  <c r="BK291" i="6"/>
  <c r="BJ291" i="6" s="1"/>
  <c r="BK287" i="6"/>
  <c r="BJ287" i="6" s="1"/>
  <c r="BK283" i="6"/>
  <c r="BJ283" i="6" s="1"/>
  <c r="BK279" i="6"/>
  <c r="BJ279" i="6" s="1"/>
  <c r="BK275" i="6"/>
  <c r="BJ275" i="6" s="1"/>
  <c r="BK271" i="6"/>
  <c r="BJ271" i="6" s="1"/>
  <c r="BK418" i="6"/>
  <c r="BJ418" i="6" s="1"/>
  <c r="BK414" i="6"/>
  <c r="BJ414" i="6" s="1"/>
  <c r="BK442" i="6"/>
  <c r="BJ442" i="6" s="1"/>
  <c r="BK438" i="6"/>
  <c r="BJ438" i="6" s="1"/>
  <c r="BK434" i="6"/>
  <c r="BJ434" i="6" s="1"/>
  <c r="BK430" i="6"/>
  <c r="BJ430" i="6" s="1"/>
  <c r="BK426" i="6"/>
  <c r="BK308" i="6"/>
  <c r="BJ308" i="6" s="1"/>
  <c r="BK406" i="6"/>
  <c r="BJ406" i="6" s="1"/>
  <c r="BK402" i="6"/>
  <c r="BJ402" i="6" s="1"/>
  <c r="BK398" i="6"/>
  <c r="BJ398" i="6" s="1"/>
  <c r="BK394" i="6"/>
  <c r="BJ394" i="6" s="1"/>
  <c r="BK390" i="6"/>
  <c r="BJ390" i="6" s="1"/>
  <c r="BK386" i="6"/>
  <c r="BJ386" i="6" s="1"/>
  <c r="BK382" i="6"/>
  <c r="BJ382" i="6" s="1"/>
  <c r="BK378" i="6"/>
  <c r="BJ378" i="6" s="1"/>
  <c r="BK365" i="6"/>
  <c r="BJ365" i="6" s="1"/>
  <c r="BK374" i="6"/>
  <c r="BJ374" i="6" s="1"/>
  <c r="BK469" i="6"/>
  <c r="BJ469" i="6" s="1"/>
  <c r="BK461" i="6"/>
  <c r="BJ461" i="6" s="1"/>
  <c r="BK457" i="6"/>
  <c r="BJ457" i="6" s="1"/>
  <c r="BK453" i="6"/>
  <c r="BJ453" i="6" s="1"/>
  <c r="BK449" i="6"/>
  <c r="BK535" i="6"/>
  <c r="BJ535" i="6" s="1"/>
  <c r="BK531" i="6"/>
  <c r="BJ531" i="6" s="1"/>
  <c r="BK527" i="6"/>
  <c r="BJ527" i="6" s="1"/>
  <c r="BK523" i="6"/>
  <c r="BJ523" i="6" s="1"/>
  <c r="BK519" i="6"/>
  <c r="BJ519" i="6" s="1"/>
  <c r="BK515" i="6"/>
  <c r="BJ515" i="6" s="1"/>
  <c r="BK511" i="6"/>
  <c r="BJ511" i="6" s="1"/>
  <c r="BK507" i="6"/>
  <c r="BJ507" i="6" s="1"/>
  <c r="BK503" i="6"/>
  <c r="BJ503" i="6" s="1"/>
  <c r="BK590" i="6"/>
  <c r="BJ590" i="6" s="1"/>
  <c r="BK643" i="6"/>
  <c r="BJ643" i="6" s="1"/>
  <c r="BK639" i="6"/>
  <c r="BJ639" i="6" s="1"/>
  <c r="BK635" i="6"/>
  <c r="BJ635" i="6" s="1"/>
  <c r="BK631" i="6"/>
  <c r="BJ631" i="6" s="1"/>
  <c r="BK627" i="6"/>
  <c r="BJ627" i="6" s="1"/>
  <c r="BK623" i="6"/>
  <c r="BJ623" i="6" s="1"/>
  <c r="BK619" i="6"/>
  <c r="BJ619" i="6" s="1"/>
  <c r="BK615" i="6"/>
  <c r="BJ615" i="6" s="1"/>
  <c r="BK589" i="6"/>
  <c r="BJ589" i="6" s="1"/>
  <c r="BK585" i="6"/>
  <c r="BJ585" i="6" s="1"/>
  <c r="BK581" i="6"/>
  <c r="BJ581" i="6" s="1"/>
  <c r="BK577" i="6"/>
  <c r="BJ577" i="6" s="1"/>
  <c r="BK573" i="6"/>
  <c r="BJ573" i="6" s="1"/>
  <c r="BK569" i="6"/>
  <c r="BJ569" i="6" s="1"/>
  <c r="BK565" i="6"/>
  <c r="BJ565" i="6" s="1"/>
  <c r="BK561" i="6"/>
  <c r="BJ561" i="6" s="1"/>
  <c r="BK557" i="6"/>
  <c r="BJ557" i="6" s="1"/>
  <c r="BK553" i="6"/>
  <c r="BJ553" i="6" s="1"/>
  <c r="BK549" i="6"/>
  <c r="BJ549" i="6" s="1"/>
  <c r="BK545" i="6"/>
  <c r="BJ545" i="6" s="1"/>
  <c r="BK731" i="6"/>
  <c r="BJ731" i="6" s="1"/>
  <c r="BK727" i="6"/>
  <c r="BJ727" i="6" s="1"/>
  <c r="BK751" i="6"/>
  <c r="BJ751" i="6" s="1"/>
  <c r="BK650" i="6"/>
  <c r="BJ650" i="6" s="1"/>
  <c r="BK611" i="6"/>
  <c r="BJ611" i="6" s="1"/>
  <c r="BK607" i="6"/>
  <c r="BJ607" i="6" s="1"/>
  <c r="BK603" i="6"/>
  <c r="BJ603" i="6" s="1"/>
  <c r="BK599" i="6"/>
  <c r="BJ599" i="6" s="1"/>
  <c r="BK680" i="6"/>
  <c r="BJ680" i="6" s="1"/>
  <c r="BK676" i="6"/>
  <c r="BJ676" i="6" s="1"/>
  <c r="BK672" i="6"/>
  <c r="BJ672" i="6" s="1"/>
  <c r="BK668" i="6"/>
  <c r="BJ668" i="6" s="1"/>
  <c r="BK664" i="6"/>
  <c r="BJ664" i="6" s="1"/>
  <c r="BK717" i="6"/>
  <c r="BJ717" i="6" s="1"/>
  <c r="BK705" i="6"/>
  <c r="BJ705" i="6" s="1"/>
  <c r="BK697" i="6"/>
  <c r="BJ697" i="6" s="1"/>
  <c r="BK693" i="6"/>
  <c r="BJ693" i="6" s="1"/>
  <c r="BK689" i="6"/>
  <c r="BJ689" i="6" s="1"/>
  <c r="BK685" i="6"/>
  <c r="BK771" i="6"/>
  <c r="BJ771" i="6" s="1"/>
  <c r="BK767" i="6"/>
  <c r="BJ767" i="6" s="1"/>
  <c r="BK763" i="6"/>
  <c r="BJ763" i="6" s="1"/>
  <c r="BK759" i="6"/>
  <c r="BJ759" i="6" s="1"/>
  <c r="BK755" i="6"/>
  <c r="BJ755" i="6" s="1"/>
  <c r="BK747" i="6"/>
  <c r="BJ747" i="6" s="1"/>
  <c r="BK743" i="6"/>
  <c r="BJ743" i="6" s="1"/>
  <c r="BK739" i="6"/>
  <c r="BJ739" i="6" s="1"/>
  <c r="BK826" i="6"/>
  <c r="BJ826" i="6" s="1"/>
  <c r="BK822" i="6"/>
  <c r="BJ822" i="6" s="1"/>
  <c r="BK818" i="6"/>
  <c r="BJ818" i="6" s="1"/>
  <c r="BK814" i="6"/>
  <c r="BJ814" i="6" s="1"/>
  <c r="BK810" i="6"/>
  <c r="BJ810" i="6" s="1"/>
  <c r="BK806" i="6"/>
  <c r="BJ806" i="6" s="1"/>
  <c r="BK802" i="6"/>
  <c r="BJ802" i="6" s="1"/>
  <c r="BK792" i="6"/>
  <c r="BJ792" i="6" s="1"/>
  <c r="BK788" i="6"/>
  <c r="BJ788" i="6" s="1"/>
  <c r="BK784" i="6"/>
  <c r="BJ784" i="6" s="1"/>
  <c r="BK780" i="6"/>
  <c r="BJ780" i="6" s="1"/>
  <c r="BK878" i="6"/>
  <c r="BJ878" i="6" s="1"/>
  <c r="BK874" i="6"/>
  <c r="BJ874" i="6" s="1"/>
  <c r="BK870" i="6"/>
  <c r="BJ870" i="6" s="1"/>
  <c r="BK866" i="6"/>
  <c r="BJ866" i="6" s="1"/>
  <c r="BK862" i="6"/>
  <c r="BJ862" i="6" s="1"/>
  <c r="BK799" i="6"/>
  <c r="BJ799" i="6" s="1"/>
  <c r="BK796" i="6"/>
  <c r="BJ796" i="6" s="1"/>
  <c r="BK837" i="6"/>
  <c r="BJ837" i="6" s="1"/>
  <c r="BK858" i="6"/>
  <c r="BJ858" i="6" s="1"/>
  <c r="BK854" i="6"/>
  <c r="BJ854" i="6" s="1"/>
  <c r="BK850" i="6"/>
  <c r="BJ850" i="6" s="1"/>
  <c r="BK846" i="6"/>
  <c r="BJ846" i="6" s="1"/>
  <c r="BK842" i="6"/>
  <c r="BJ842" i="6" s="1"/>
  <c r="BK912" i="6"/>
  <c r="BJ912" i="6" s="1"/>
  <c r="BK833" i="6"/>
  <c r="BJ833" i="6" s="1"/>
  <c r="BK891" i="6"/>
  <c r="BJ891" i="6" s="1"/>
  <c r="BK887" i="6"/>
  <c r="BJ887" i="6" s="1"/>
  <c r="BK910" i="6"/>
  <c r="BJ910" i="6" s="1"/>
  <c r="BK906" i="6"/>
  <c r="BJ906" i="6" s="1"/>
  <c r="BK902" i="6"/>
  <c r="BJ902" i="6" s="1"/>
  <c r="BK898" i="6"/>
  <c r="BK947" i="6"/>
  <c r="BJ947" i="6" s="1"/>
  <c r="BK923" i="6"/>
  <c r="BJ923" i="6" s="1"/>
  <c r="BK938" i="6"/>
  <c r="BK930" i="6"/>
  <c r="BJ930" i="6" s="1"/>
  <c r="BK926" i="6"/>
  <c r="BJ926" i="6" s="1"/>
  <c r="BM1197" i="6"/>
  <c r="BK1200" i="6"/>
  <c r="BJ1200" i="6" s="1"/>
  <c r="BK1205" i="6"/>
  <c r="BJ1205" i="6" s="1"/>
  <c r="DD304" i="6"/>
  <c r="DD722" i="6"/>
  <c r="DD776" i="6"/>
  <c r="DD1197" i="6"/>
  <c r="DA722" i="6"/>
  <c r="DA776" i="6"/>
  <c r="DA1197" i="6"/>
  <c r="CK471" i="6"/>
  <c r="CK540" i="6"/>
  <c r="CK829" i="6"/>
  <c r="CK943" i="6"/>
  <c r="CO410" i="6"/>
  <c r="CO357" i="6"/>
  <c r="CO486" i="6"/>
  <c r="CO943" i="6"/>
  <c r="CS304" i="6"/>
  <c r="CS498" i="6"/>
  <c r="CS943" i="6"/>
  <c r="CW498" i="6"/>
  <c r="CW540" i="6"/>
  <c r="CW943" i="6"/>
  <c r="CW1197" i="6"/>
  <c r="BK355" i="6"/>
  <c r="BJ355" i="6" s="1"/>
  <c r="BK348" i="6"/>
  <c r="BJ348" i="6" s="1"/>
  <c r="BK343" i="6"/>
  <c r="BJ343" i="6" s="1"/>
  <c r="BK337" i="6"/>
  <c r="BJ337" i="6" s="1"/>
  <c r="BK330" i="6"/>
  <c r="BJ330" i="6" s="1"/>
  <c r="BK325" i="6"/>
  <c r="BJ325" i="6" s="1"/>
  <c r="BK318" i="6"/>
  <c r="BJ318" i="6" s="1"/>
  <c r="BM357" i="6"/>
  <c r="BK360" i="6"/>
  <c r="BM486" i="6"/>
  <c r="BK489" i="6"/>
  <c r="BK349" i="6"/>
  <c r="BJ349" i="6" s="1"/>
  <c r="BK336" i="6"/>
  <c r="BJ336" i="6" s="1"/>
  <c r="BK323" i="6"/>
  <c r="BJ323" i="6" s="1"/>
  <c r="BK313" i="6"/>
  <c r="BJ313" i="6" s="1"/>
  <c r="BK368" i="6"/>
  <c r="BJ368" i="6" s="1"/>
  <c r="BK490" i="6"/>
  <c r="BJ490" i="6" s="1"/>
  <c r="BK260" i="6"/>
  <c r="BJ260" i="6" s="1"/>
  <c r="BK256" i="6"/>
  <c r="BJ256" i="6" s="1"/>
  <c r="BK302" i="6"/>
  <c r="BJ302" i="6" s="1"/>
  <c r="BK298" i="6"/>
  <c r="BJ298" i="6" s="1"/>
  <c r="BK294" i="6"/>
  <c r="BJ294" i="6" s="1"/>
  <c r="BK290" i="6"/>
  <c r="BJ290" i="6" s="1"/>
  <c r="BK286" i="6"/>
  <c r="BJ286" i="6" s="1"/>
  <c r="BK282" i="6"/>
  <c r="BJ282" i="6" s="1"/>
  <c r="BK278" i="6"/>
  <c r="BJ278" i="6" s="1"/>
  <c r="BK274" i="6"/>
  <c r="BJ274" i="6" s="1"/>
  <c r="BK270" i="6"/>
  <c r="BJ270" i="6" s="1"/>
  <c r="BK421" i="6"/>
  <c r="BJ421" i="6" s="1"/>
  <c r="BK417" i="6"/>
  <c r="BJ417" i="6" s="1"/>
  <c r="BM410" i="6"/>
  <c r="BK413" i="6"/>
  <c r="BK441" i="6"/>
  <c r="BJ441" i="6" s="1"/>
  <c r="BK437" i="6"/>
  <c r="BJ437" i="6" s="1"/>
  <c r="BK433" i="6"/>
  <c r="BJ433" i="6" s="1"/>
  <c r="BK429" i="6"/>
  <c r="BJ429" i="6" s="1"/>
  <c r="BK482" i="6"/>
  <c r="BJ482" i="6" s="1"/>
  <c r="BK311" i="6"/>
  <c r="BJ311" i="6" s="1"/>
  <c r="BM304" i="6"/>
  <c r="BK307" i="6"/>
  <c r="BK405" i="6"/>
  <c r="BJ405" i="6" s="1"/>
  <c r="BK401" i="6"/>
  <c r="BJ401" i="6" s="1"/>
  <c r="BK397" i="6"/>
  <c r="BJ397" i="6" s="1"/>
  <c r="BK393" i="6"/>
  <c r="BJ393" i="6" s="1"/>
  <c r="BK389" i="6"/>
  <c r="BJ389" i="6" s="1"/>
  <c r="BK385" i="6"/>
  <c r="BJ385" i="6" s="1"/>
  <c r="BK381" i="6"/>
  <c r="BJ381" i="6" s="1"/>
  <c r="BK371" i="6"/>
  <c r="BJ371" i="6" s="1"/>
  <c r="BK364" i="6"/>
  <c r="BJ364" i="6" s="1"/>
  <c r="BK373" i="6"/>
  <c r="BJ373" i="6" s="1"/>
  <c r="BK468" i="6"/>
  <c r="BJ468" i="6" s="1"/>
  <c r="BK460" i="6"/>
  <c r="BJ460" i="6" s="1"/>
  <c r="BK456" i="6"/>
  <c r="BJ456" i="6" s="1"/>
  <c r="BK452" i="6"/>
  <c r="BJ452" i="6" s="1"/>
  <c r="BK538" i="6"/>
  <c r="BJ538" i="6" s="1"/>
  <c r="BK534" i="6"/>
  <c r="BJ534" i="6" s="1"/>
  <c r="BK530" i="6"/>
  <c r="BJ530" i="6" s="1"/>
  <c r="BK526" i="6"/>
  <c r="BJ526" i="6" s="1"/>
  <c r="BK522" i="6"/>
  <c r="BJ522" i="6" s="1"/>
  <c r="BK518" i="6"/>
  <c r="BJ518" i="6" s="1"/>
  <c r="BK514" i="6"/>
  <c r="BJ514" i="6" s="1"/>
  <c r="BK510" i="6"/>
  <c r="BJ510" i="6" s="1"/>
  <c r="BK506" i="6"/>
  <c r="BJ506" i="6" s="1"/>
  <c r="BK502" i="6"/>
  <c r="BJ502" i="6" s="1"/>
  <c r="BK657" i="6"/>
  <c r="BJ657" i="6" s="1"/>
  <c r="BK642" i="6"/>
  <c r="BJ642" i="6" s="1"/>
  <c r="BK638" i="6"/>
  <c r="BJ638" i="6" s="1"/>
  <c r="BK634" i="6"/>
  <c r="BJ634" i="6" s="1"/>
  <c r="BK630" i="6"/>
  <c r="BJ630" i="6" s="1"/>
  <c r="BK626" i="6"/>
  <c r="BJ626" i="6" s="1"/>
  <c r="BK622" i="6"/>
  <c r="BJ622" i="6" s="1"/>
  <c r="BK618" i="6"/>
  <c r="BJ618" i="6" s="1"/>
  <c r="BK614" i="6"/>
  <c r="BJ614" i="6" s="1"/>
  <c r="BK588" i="6"/>
  <c r="BJ588" i="6" s="1"/>
  <c r="BK584" i="6"/>
  <c r="BJ584" i="6" s="1"/>
  <c r="BK580" i="6"/>
  <c r="BJ580" i="6" s="1"/>
  <c r="BK576" i="6"/>
  <c r="BJ576" i="6" s="1"/>
  <c r="BK572" i="6"/>
  <c r="BJ572" i="6" s="1"/>
  <c r="BK568" i="6"/>
  <c r="BJ568" i="6" s="1"/>
  <c r="BK564" i="6"/>
  <c r="BJ564" i="6" s="1"/>
  <c r="BK560" i="6"/>
  <c r="BJ560" i="6" s="1"/>
  <c r="BK556" i="6"/>
  <c r="BJ556" i="6" s="1"/>
  <c r="BK552" i="6"/>
  <c r="BJ552" i="6" s="1"/>
  <c r="BK548" i="6"/>
  <c r="BJ548" i="6" s="1"/>
  <c r="BK544" i="6"/>
  <c r="BJ544" i="6" s="1"/>
  <c r="BK730" i="6"/>
  <c r="BJ730" i="6" s="1"/>
  <c r="BK726" i="6"/>
  <c r="BJ726" i="6" s="1"/>
  <c r="BK653" i="6"/>
  <c r="BJ653" i="6" s="1"/>
  <c r="BM646" i="6"/>
  <c r="BK649" i="6"/>
  <c r="BK610" i="6"/>
  <c r="BJ610" i="6" s="1"/>
  <c r="BK606" i="6"/>
  <c r="BJ606" i="6" s="1"/>
  <c r="BK602" i="6"/>
  <c r="BJ602" i="6" s="1"/>
  <c r="BK598" i="6"/>
  <c r="BJ598" i="6" s="1"/>
  <c r="BK679" i="6"/>
  <c r="BJ679" i="6" s="1"/>
  <c r="BK675" i="6"/>
  <c r="BJ675" i="6" s="1"/>
  <c r="BK671" i="6"/>
  <c r="BJ671" i="6" s="1"/>
  <c r="BK667" i="6"/>
  <c r="BJ667" i="6" s="1"/>
  <c r="BK663" i="6"/>
  <c r="BJ663" i="6" s="1"/>
  <c r="BK716" i="6"/>
  <c r="BK704" i="6"/>
  <c r="BJ704" i="6" s="1"/>
  <c r="BK696" i="6"/>
  <c r="BJ696" i="6" s="1"/>
  <c r="BK692" i="6"/>
  <c r="BJ692" i="6" s="1"/>
  <c r="BK688" i="6"/>
  <c r="BJ688" i="6" s="1"/>
  <c r="BK774" i="6"/>
  <c r="BJ774" i="6" s="1"/>
  <c r="BK770" i="6"/>
  <c r="BJ770" i="6" s="1"/>
  <c r="BK766" i="6"/>
  <c r="BJ766" i="6" s="1"/>
  <c r="BK762" i="6"/>
  <c r="BJ762" i="6" s="1"/>
  <c r="BK758" i="6"/>
  <c r="BJ758" i="6" s="1"/>
  <c r="BK754" i="6"/>
  <c r="BJ754" i="6" s="1"/>
  <c r="BK746" i="6"/>
  <c r="BJ746" i="6" s="1"/>
  <c r="BK742" i="6"/>
  <c r="BJ742" i="6" s="1"/>
  <c r="BK738" i="6"/>
  <c r="BJ738" i="6" s="1"/>
  <c r="BK825" i="6"/>
  <c r="BJ825" i="6" s="1"/>
  <c r="BK821" i="6"/>
  <c r="BJ821" i="6" s="1"/>
  <c r="BK817" i="6"/>
  <c r="BJ817" i="6" s="1"/>
  <c r="BK813" i="6"/>
  <c r="BJ813" i="6" s="1"/>
  <c r="BK809" i="6"/>
  <c r="BJ809" i="6" s="1"/>
  <c r="BK805" i="6"/>
  <c r="BJ805" i="6" s="1"/>
  <c r="BK801" i="6"/>
  <c r="BJ801" i="6" s="1"/>
  <c r="BK791" i="6"/>
  <c r="BJ791" i="6" s="1"/>
  <c r="BK787" i="6"/>
  <c r="BJ787" i="6" s="1"/>
  <c r="BK783" i="6"/>
  <c r="BJ783" i="6" s="1"/>
  <c r="BM776" i="6"/>
  <c r="BK779" i="6"/>
  <c r="BK877" i="6"/>
  <c r="BJ877" i="6" s="1"/>
  <c r="BK873" i="6"/>
  <c r="BJ873" i="6" s="1"/>
  <c r="BK869" i="6"/>
  <c r="BJ869" i="6" s="1"/>
  <c r="BK865" i="6"/>
  <c r="BJ865" i="6" s="1"/>
  <c r="BK840" i="6"/>
  <c r="BJ840" i="6" s="1"/>
  <c r="BK838" i="6"/>
  <c r="BJ838" i="6" s="1"/>
  <c r="BK795" i="6"/>
  <c r="BJ795" i="6" s="1"/>
  <c r="BK861" i="6"/>
  <c r="BJ861" i="6" s="1"/>
  <c r="BK857" i="6"/>
  <c r="BJ857" i="6" s="1"/>
  <c r="BK853" i="6"/>
  <c r="BJ853" i="6" s="1"/>
  <c r="BK849" i="6"/>
  <c r="BJ849" i="6" s="1"/>
  <c r="BK845" i="6"/>
  <c r="BJ845" i="6" s="1"/>
  <c r="BK915" i="6"/>
  <c r="BJ915" i="6" s="1"/>
  <c r="BK911" i="6"/>
  <c r="BJ911" i="6" s="1"/>
  <c r="BM829" i="6"/>
  <c r="BK832" i="6"/>
  <c r="BK890" i="6"/>
  <c r="BJ890" i="6" s="1"/>
  <c r="BK886" i="6"/>
  <c r="BJ886" i="6" s="1"/>
  <c r="BK909" i="6"/>
  <c r="BJ909" i="6" s="1"/>
  <c r="BK905" i="6"/>
  <c r="BJ905" i="6" s="1"/>
  <c r="BK901" i="6"/>
  <c r="BJ901" i="6" s="1"/>
  <c r="BK954" i="6"/>
  <c r="BJ954" i="6" s="1"/>
  <c r="BM943" i="6"/>
  <c r="BK946" i="6"/>
  <c r="BK941" i="6"/>
  <c r="BJ941" i="6" s="1"/>
  <c r="BK933" i="6"/>
  <c r="BJ933" i="6" s="1"/>
  <c r="BK929" i="6"/>
  <c r="BJ929" i="6" s="1"/>
  <c r="BK1208" i="6"/>
  <c r="BJ1208" i="6" s="1"/>
  <c r="BK1209" i="6"/>
  <c r="BJ1209" i="6" s="1"/>
  <c r="BK1204" i="6"/>
  <c r="BJ1204" i="6" s="1"/>
  <c r="DD486" i="6"/>
  <c r="DD357" i="6"/>
  <c r="DD593" i="6"/>
  <c r="DD829" i="6"/>
  <c r="DD734" i="6"/>
  <c r="DA250" i="6"/>
  <c r="DA262" i="6"/>
  <c r="DA357" i="6"/>
  <c r="DA498" i="6"/>
  <c r="DA829" i="6"/>
  <c r="CG593" i="6"/>
  <c r="CG707" i="6"/>
  <c r="CG734" i="6"/>
  <c r="CG943" i="6"/>
  <c r="CK593" i="6"/>
  <c r="CK707" i="6"/>
  <c r="CO471" i="6"/>
  <c r="CO262" i="6"/>
  <c r="CO540" i="6"/>
  <c r="CO734" i="6"/>
  <c r="CO829" i="6"/>
  <c r="CS357" i="6"/>
  <c r="CS250" i="6"/>
  <c r="CS734" i="6"/>
  <c r="CS829" i="6"/>
  <c r="CW304" i="6"/>
  <c r="CW262" i="6"/>
  <c r="CW593" i="6"/>
  <c r="CW734" i="6"/>
  <c r="CW829" i="6"/>
  <c r="BK354" i="6"/>
  <c r="BJ354" i="6" s="1"/>
  <c r="BK347" i="6"/>
  <c r="BJ347" i="6" s="1"/>
  <c r="BK341" i="6"/>
  <c r="BJ341" i="6" s="1"/>
  <c r="BK335" i="6"/>
  <c r="BJ335" i="6" s="1"/>
  <c r="BK329" i="6"/>
  <c r="BJ329" i="6" s="1"/>
  <c r="BK324" i="6"/>
  <c r="BJ324" i="6" s="1"/>
  <c r="BK316" i="6"/>
  <c r="BJ316" i="6" s="1"/>
  <c r="BK495" i="6"/>
  <c r="BJ495" i="6" s="1"/>
  <c r="BM262" i="6"/>
  <c r="BK265" i="6"/>
  <c r="BK346" i="6"/>
  <c r="BJ346" i="6" s="1"/>
  <c r="BK333" i="6"/>
  <c r="BJ333" i="6" s="1"/>
  <c r="BK321" i="6"/>
  <c r="BJ321" i="6" s="1"/>
  <c r="BK312" i="6"/>
  <c r="BJ312" i="6" s="1"/>
  <c r="BK496" i="6"/>
  <c r="BJ496" i="6" s="1"/>
  <c r="BK376" i="6"/>
  <c r="BJ376" i="6" s="1"/>
  <c r="BM250" i="6"/>
  <c r="BK259" i="6"/>
  <c r="BJ259" i="6" s="1"/>
  <c r="BK255" i="6"/>
  <c r="BJ255" i="6" s="1"/>
  <c r="BK301" i="6"/>
  <c r="BJ301" i="6" s="1"/>
  <c r="BK297" i="6"/>
  <c r="BJ297" i="6" s="1"/>
  <c r="BK293" i="6"/>
  <c r="BJ293" i="6" s="1"/>
  <c r="BK289" i="6"/>
  <c r="BJ289" i="6" s="1"/>
  <c r="BK285" i="6"/>
  <c r="BJ285" i="6" s="1"/>
  <c r="BK281" i="6"/>
  <c r="BJ281" i="6" s="1"/>
  <c r="BK277" i="6"/>
  <c r="BJ277" i="6" s="1"/>
  <c r="BK273" i="6"/>
  <c r="BJ273" i="6" s="1"/>
  <c r="BK269" i="6"/>
  <c r="BJ269" i="6" s="1"/>
  <c r="BK420" i="6"/>
  <c r="BJ420" i="6" s="1"/>
  <c r="BK416" i="6"/>
  <c r="BJ416" i="6" s="1"/>
  <c r="BK444" i="6"/>
  <c r="BJ444" i="6" s="1"/>
  <c r="BK440" i="6"/>
  <c r="BJ440" i="6" s="1"/>
  <c r="BK436" i="6"/>
  <c r="BJ436" i="6" s="1"/>
  <c r="BK432" i="6"/>
  <c r="BJ432" i="6" s="1"/>
  <c r="BK428" i="6"/>
  <c r="BJ428" i="6" s="1"/>
  <c r="BK481" i="6"/>
  <c r="BJ481" i="6" s="1"/>
  <c r="BK310" i="6"/>
  <c r="BJ310" i="6" s="1"/>
  <c r="BK408" i="6"/>
  <c r="BJ408" i="6" s="1"/>
  <c r="BK404" i="6"/>
  <c r="BJ404" i="6" s="1"/>
  <c r="BK400" i="6"/>
  <c r="BJ400" i="6" s="1"/>
  <c r="BK396" i="6"/>
  <c r="BJ396" i="6" s="1"/>
  <c r="BK392" i="6"/>
  <c r="BJ392" i="6" s="1"/>
  <c r="BK388" i="6"/>
  <c r="BJ388" i="6" s="1"/>
  <c r="BK384" i="6"/>
  <c r="BJ384" i="6" s="1"/>
  <c r="BK380" i="6"/>
  <c r="BJ380" i="6" s="1"/>
  <c r="BK370" i="6"/>
  <c r="BJ370" i="6" s="1"/>
  <c r="BK654" i="6"/>
  <c r="BJ654" i="6" s="1"/>
  <c r="BK372" i="6"/>
  <c r="BJ372" i="6" s="1"/>
  <c r="BK467" i="6"/>
  <c r="BJ467" i="6" s="1"/>
  <c r="BK459" i="6"/>
  <c r="BJ459" i="6" s="1"/>
  <c r="BK455" i="6"/>
  <c r="BJ455" i="6" s="1"/>
  <c r="BK451" i="6"/>
  <c r="BJ451" i="6" s="1"/>
  <c r="BK537" i="6"/>
  <c r="BJ537" i="6" s="1"/>
  <c r="BK533" i="6"/>
  <c r="BJ533" i="6" s="1"/>
  <c r="BK529" i="6"/>
  <c r="BJ529" i="6" s="1"/>
  <c r="BK525" i="6"/>
  <c r="BJ525" i="6" s="1"/>
  <c r="BK521" i="6"/>
  <c r="BJ521" i="6" s="1"/>
  <c r="BK517" i="6"/>
  <c r="BJ517" i="6" s="1"/>
  <c r="BK513" i="6"/>
  <c r="BJ513" i="6" s="1"/>
  <c r="BK509" i="6"/>
  <c r="BJ509" i="6" s="1"/>
  <c r="BK505" i="6"/>
  <c r="BJ505" i="6" s="1"/>
  <c r="BM498" i="6"/>
  <c r="BK501" i="6"/>
  <c r="BK655" i="6"/>
  <c r="BJ655" i="6" s="1"/>
  <c r="BK641" i="6"/>
  <c r="BJ641" i="6" s="1"/>
  <c r="BK637" i="6"/>
  <c r="BJ637" i="6" s="1"/>
  <c r="BK633" i="6"/>
  <c r="BJ633" i="6" s="1"/>
  <c r="BK629" i="6"/>
  <c r="BJ629" i="6" s="1"/>
  <c r="BK625" i="6"/>
  <c r="BJ625" i="6" s="1"/>
  <c r="BK621" i="6"/>
  <c r="BJ621" i="6" s="1"/>
  <c r="BK617" i="6"/>
  <c r="BJ617" i="6" s="1"/>
  <c r="BK613" i="6"/>
  <c r="BJ613" i="6" s="1"/>
  <c r="BK587" i="6"/>
  <c r="BJ587" i="6" s="1"/>
  <c r="BK583" i="6"/>
  <c r="BJ583" i="6" s="1"/>
  <c r="BK579" i="6"/>
  <c r="BJ579" i="6" s="1"/>
  <c r="BK575" i="6"/>
  <c r="BJ575" i="6" s="1"/>
  <c r="BK571" i="6"/>
  <c r="BJ571" i="6" s="1"/>
  <c r="BK567" i="6"/>
  <c r="BJ567" i="6" s="1"/>
  <c r="BK563" i="6"/>
  <c r="BJ563" i="6" s="1"/>
  <c r="BK559" i="6"/>
  <c r="BJ559" i="6" s="1"/>
  <c r="BK555" i="6"/>
  <c r="BJ555" i="6" s="1"/>
  <c r="BK551" i="6"/>
  <c r="BJ551" i="6" s="1"/>
  <c r="BK547" i="6"/>
  <c r="BJ547" i="6" s="1"/>
  <c r="BM540" i="6"/>
  <c r="BK543" i="6"/>
  <c r="BK729" i="6"/>
  <c r="BJ729" i="6" s="1"/>
  <c r="BM722" i="6"/>
  <c r="BK725" i="6"/>
  <c r="BK652" i="6"/>
  <c r="BJ652" i="6" s="1"/>
  <c r="BK750" i="6"/>
  <c r="BJ750" i="6" s="1"/>
  <c r="BK609" i="6"/>
  <c r="BJ609" i="6" s="1"/>
  <c r="BK605" i="6"/>
  <c r="BJ605" i="6" s="1"/>
  <c r="BK601" i="6"/>
  <c r="BJ601" i="6" s="1"/>
  <c r="BK597" i="6"/>
  <c r="BJ597" i="6" s="1"/>
  <c r="BK678" i="6"/>
  <c r="BJ678" i="6" s="1"/>
  <c r="BK674" i="6"/>
  <c r="BJ674" i="6" s="1"/>
  <c r="BK670" i="6"/>
  <c r="BJ670" i="6" s="1"/>
  <c r="BK666" i="6"/>
  <c r="BJ666" i="6" s="1"/>
  <c r="BK662" i="6"/>
  <c r="BK711" i="6"/>
  <c r="BJ711" i="6" s="1"/>
  <c r="BK703" i="6"/>
  <c r="BJ703" i="6" s="1"/>
  <c r="BK695" i="6"/>
  <c r="BJ695" i="6" s="1"/>
  <c r="BK691" i="6"/>
  <c r="BJ691" i="6" s="1"/>
  <c r="BK687" i="6"/>
  <c r="BJ687" i="6" s="1"/>
  <c r="BK773" i="6"/>
  <c r="BJ773" i="6" s="1"/>
  <c r="BK769" i="6"/>
  <c r="BJ769" i="6" s="1"/>
  <c r="BK765" i="6"/>
  <c r="BJ765" i="6" s="1"/>
  <c r="BK761" i="6"/>
  <c r="BJ761" i="6" s="1"/>
  <c r="BK757" i="6"/>
  <c r="BJ757" i="6" s="1"/>
  <c r="BK753" i="6"/>
  <c r="BJ753" i="6" s="1"/>
  <c r="BK745" i="6"/>
  <c r="BJ745" i="6" s="1"/>
  <c r="BK741" i="6"/>
  <c r="BJ741" i="6" s="1"/>
  <c r="BM734" i="6"/>
  <c r="BK737" i="6"/>
  <c r="BK824" i="6"/>
  <c r="BJ824" i="6" s="1"/>
  <c r="BK820" i="6"/>
  <c r="BJ820" i="6" s="1"/>
  <c r="BK816" i="6"/>
  <c r="BJ816" i="6" s="1"/>
  <c r="BK812" i="6"/>
  <c r="BJ812" i="6" s="1"/>
  <c r="BK808" i="6"/>
  <c r="BJ808" i="6" s="1"/>
  <c r="BK804" i="6"/>
  <c r="BJ804" i="6" s="1"/>
  <c r="BK794" i="6"/>
  <c r="BJ794" i="6" s="1"/>
  <c r="BK790" i="6"/>
  <c r="BJ790" i="6" s="1"/>
  <c r="BK786" i="6"/>
  <c r="BJ786" i="6" s="1"/>
  <c r="BK782" i="6"/>
  <c r="BJ782" i="6" s="1"/>
  <c r="BK880" i="6"/>
  <c r="BJ880" i="6" s="1"/>
  <c r="BK876" i="6"/>
  <c r="BJ876" i="6" s="1"/>
  <c r="BK872" i="6"/>
  <c r="BJ872" i="6" s="1"/>
  <c r="BK868" i="6"/>
  <c r="BJ868" i="6" s="1"/>
  <c r="BK864" i="6"/>
  <c r="BJ864" i="6" s="1"/>
  <c r="BK836" i="6"/>
  <c r="BJ836" i="6" s="1"/>
  <c r="BK798" i="6"/>
  <c r="BJ798" i="6" s="1"/>
  <c r="BK841" i="6"/>
  <c r="BJ841" i="6" s="1"/>
  <c r="BK860" i="6"/>
  <c r="BJ860" i="6" s="1"/>
  <c r="BK856" i="6"/>
  <c r="BJ856" i="6" s="1"/>
  <c r="BK852" i="6"/>
  <c r="BJ852" i="6" s="1"/>
  <c r="BK848" i="6"/>
  <c r="BJ848" i="6" s="1"/>
  <c r="BK844" i="6"/>
  <c r="BJ844" i="6" s="1"/>
  <c r="BK914" i="6"/>
  <c r="BJ914" i="6" s="1"/>
  <c r="BK835" i="6"/>
  <c r="BJ835" i="6" s="1"/>
  <c r="BK893" i="6"/>
  <c r="BJ893" i="6" s="1"/>
  <c r="BK889" i="6"/>
  <c r="BJ889" i="6" s="1"/>
  <c r="BM882" i="6"/>
  <c r="BK885" i="6"/>
  <c r="BK908" i="6"/>
  <c r="BJ908" i="6" s="1"/>
  <c r="BK904" i="6"/>
  <c r="BJ904" i="6" s="1"/>
  <c r="BK900" i="6"/>
  <c r="BJ900" i="6" s="1"/>
  <c r="BK953" i="6"/>
  <c r="BJ953" i="6" s="1"/>
  <c r="BK925" i="6"/>
  <c r="BJ925" i="6" s="1"/>
  <c r="BK940" i="6"/>
  <c r="BJ940" i="6" s="1"/>
  <c r="BK932" i="6"/>
  <c r="BJ932" i="6" s="1"/>
  <c r="BK928" i="6"/>
  <c r="BJ928" i="6" s="1"/>
  <c r="BK922" i="6"/>
  <c r="BJ922" i="6" s="1"/>
  <c r="BK1207" i="6"/>
  <c r="BJ1207" i="6" s="1"/>
  <c r="BK1203" i="6"/>
  <c r="BJ1203" i="6" s="1"/>
  <c r="DD250" i="6"/>
  <c r="DD471" i="6"/>
  <c r="DA486" i="6"/>
  <c r="DA471" i="6"/>
  <c r="DA540" i="6"/>
  <c r="DA593" i="6"/>
  <c r="L592" i="1"/>
  <c r="DF235" i="6"/>
  <c r="DC235" i="6"/>
  <c r="DD235" i="6"/>
  <c r="CY235" i="6"/>
  <c r="BT241" i="6"/>
  <c r="CD235" i="6"/>
  <c r="DB241" i="6"/>
  <c r="CS235" i="6"/>
  <c r="CB235" i="6"/>
  <c r="DC227" i="6"/>
  <c r="BU235" i="6"/>
  <c r="CC210" i="6"/>
  <c r="W31" i="9" s="1"/>
  <c r="CL174" i="6"/>
  <c r="CT174" i="6"/>
  <c r="CQ241" i="6"/>
  <c r="DH174" i="6"/>
  <c r="DH235" i="6"/>
  <c r="BY174" i="6"/>
  <c r="CS14" i="6"/>
  <c r="J181" i="9"/>
  <c r="K177" i="9"/>
  <c r="BU174" i="6"/>
  <c r="CC174" i="6"/>
  <c r="DA235" i="6"/>
  <c r="BU68" i="6"/>
  <c r="BK77" i="6"/>
  <c r="BJ77" i="6" s="1"/>
  <c r="BK45" i="6"/>
  <c r="BJ45" i="6" s="1"/>
  <c r="BK190" i="6"/>
  <c r="CI227" i="6"/>
  <c r="BS235" i="6"/>
  <c r="BK20" i="6"/>
  <c r="BJ20" i="6" s="1"/>
  <c r="BK94" i="6"/>
  <c r="BJ94" i="6" s="1"/>
  <c r="BK179" i="6"/>
  <c r="BJ179" i="6" s="1"/>
  <c r="BK202" i="6"/>
  <c r="BJ202" i="6" s="1"/>
  <c r="BK110" i="6"/>
  <c r="BJ110" i="6" s="1"/>
  <c r="BK44" i="6"/>
  <c r="BJ44" i="6" s="1"/>
  <c r="BK153" i="6"/>
  <c r="BJ153" i="6" s="1"/>
  <c r="BK233" i="6"/>
  <c r="BJ233" i="6" s="1"/>
  <c r="BK19" i="6"/>
  <c r="BJ19" i="6" s="1"/>
  <c r="BK72" i="6"/>
  <c r="BJ72" i="6" s="1"/>
  <c r="BK71" i="6"/>
  <c r="BK201" i="6"/>
  <c r="BJ201" i="6" s="1"/>
  <c r="BK117" i="6"/>
  <c r="BJ117" i="6" s="1"/>
  <c r="BK109" i="6"/>
  <c r="BJ109" i="6" s="1"/>
  <c r="BK101" i="6"/>
  <c r="BJ101" i="6" s="1"/>
  <c r="BK93" i="6"/>
  <c r="BJ93" i="6" s="1"/>
  <c r="BK128" i="6"/>
  <c r="BJ128" i="6" s="1"/>
  <c r="BK59" i="6"/>
  <c r="BJ59" i="6" s="1"/>
  <c r="BK51" i="6"/>
  <c r="BJ51" i="6" s="1"/>
  <c r="BK43" i="6"/>
  <c r="BJ43" i="6" s="1"/>
  <c r="BK35" i="6"/>
  <c r="BJ35" i="6" s="1"/>
  <c r="BK168" i="6"/>
  <c r="BJ168" i="6" s="1"/>
  <c r="BK152" i="6"/>
  <c r="BJ152" i="6" s="1"/>
  <c r="BK136" i="6"/>
  <c r="BJ136" i="6" s="1"/>
  <c r="BK167" i="6"/>
  <c r="BJ167" i="6" s="1"/>
  <c r="BK151" i="6"/>
  <c r="BJ151" i="6" s="1"/>
  <c r="BK135" i="6"/>
  <c r="BJ135" i="6" s="1"/>
  <c r="BK216" i="6"/>
  <c r="BJ216" i="6" s="1"/>
  <c r="BK208" i="6"/>
  <c r="BJ208" i="6" s="1"/>
  <c r="BK192" i="6"/>
  <c r="BJ192" i="6" s="1"/>
  <c r="BK215" i="6"/>
  <c r="BJ215" i="6" s="1"/>
  <c r="BK225" i="6"/>
  <c r="BJ225" i="6" s="1"/>
  <c r="BK118" i="6"/>
  <c r="BJ118" i="6" s="1"/>
  <c r="BK60" i="6"/>
  <c r="BJ60" i="6" s="1"/>
  <c r="BK232" i="6"/>
  <c r="BJ232" i="6" s="1"/>
  <c r="BK82" i="6"/>
  <c r="BJ82" i="6" s="1"/>
  <c r="BK108" i="6"/>
  <c r="BJ108" i="6" s="1"/>
  <c r="BK92" i="6"/>
  <c r="BJ92" i="6" s="1"/>
  <c r="BK58" i="6"/>
  <c r="BJ58" i="6" s="1"/>
  <c r="BK42" i="6"/>
  <c r="BJ42" i="6" s="1"/>
  <c r="BK166" i="6"/>
  <c r="BJ166" i="6" s="1"/>
  <c r="BK134" i="6"/>
  <c r="BJ134" i="6" s="1"/>
  <c r="BK149" i="6"/>
  <c r="BJ149" i="6" s="1"/>
  <c r="BK230" i="6"/>
  <c r="BK193" i="6"/>
  <c r="BJ193" i="6" s="1"/>
  <c r="BK224" i="6"/>
  <c r="BJ224" i="6" s="1"/>
  <c r="BK84" i="6"/>
  <c r="BJ84" i="6" s="1"/>
  <c r="BK103" i="6"/>
  <c r="BJ103" i="6" s="1"/>
  <c r="BK53" i="6"/>
  <c r="BJ53" i="6" s="1"/>
  <c r="BK83" i="6"/>
  <c r="BJ83" i="6" s="1"/>
  <c r="BK213" i="6"/>
  <c r="BK130" i="6"/>
  <c r="BJ130" i="6" s="1"/>
  <c r="BK245" i="6"/>
  <c r="BJ245" i="6" s="1"/>
  <c r="BK86" i="6"/>
  <c r="BJ86" i="6" s="1"/>
  <c r="BK21" i="6"/>
  <c r="BJ21" i="6" s="1"/>
  <c r="BK17" i="6"/>
  <c r="BK116" i="6"/>
  <c r="BJ116" i="6" s="1"/>
  <c r="BK100" i="6"/>
  <c r="BJ100" i="6" s="1"/>
  <c r="BK181" i="6"/>
  <c r="BJ181" i="6" s="1"/>
  <c r="BK50" i="6"/>
  <c r="BJ50" i="6" s="1"/>
  <c r="BK34" i="6"/>
  <c r="BJ34" i="6" s="1"/>
  <c r="BK150" i="6"/>
  <c r="BJ150" i="6" s="1"/>
  <c r="BK165" i="6"/>
  <c r="BJ165" i="6" s="1"/>
  <c r="BK133" i="6"/>
  <c r="BJ133" i="6" s="1"/>
  <c r="BK207" i="6"/>
  <c r="BJ207" i="6" s="1"/>
  <c r="BK199" i="6"/>
  <c r="BJ199" i="6" s="1"/>
  <c r="BK23" i="6"/>
  <c r="BJ23" i="6" s="1"/>
  <c r="BK78" i="6"/>
  <c r="BJ78" i="6" s="1"/>
  <c r="BK18" i="6"/>
  <c r="BJ18" i="6" s="1"/>
  <c r="BK79" i="6"/>
  <c r="BJ79" i="6" s="1"/>
  <c r="BK115" i="6"/>
  <c r="BJ115" i="6" s="1"/>
  <c r="BK107" i="6"/>
  <c r="BJ107" i="6" s="1"/>
  <c r="BK99" i="6"/>
  <c r="BJ99" i="6" s="1"/>
  <c r="BK91" i="6"/>
  <c r="BJ91" i="6" s="1"/>
  <c r="BK65" i="6"/>
  <c r="BJ65" i="6" s="1"/>
  <c r="BK57" i="6"/>
  <c r="BJ57" i="6" s="1"/>
  <c r="BK49" i="6"/>
  <c r="BJ49" i="6" s="1"/>
  <c r="BK41" i="6"/>
  <c r="BJ41" i="6" s="1"/>
  <c r="BK33" i="6"/>
  <c r="BJ33" i="6" s="1"/>
  <c r="BK164" i="6"/>
  <c r="BJ164" i="6" s="1"/>
  <c r="BK148" i="6"/>
  <c r="BJ148" i="6" s="1"/>
  <c r="BK132" i="6"/>
  <c r="BJ132" i="6" s="1"/>
  <c r="BK163" i="6"/>
  <c r="BJ163" i="6" s="1"/>
  <c r="BK147" i="6"/>
  <c r="BJ147" i="6" s="1"/>
  <c r="BK131" i="6"/>
  <c r="BJ131" i="6" s="1"/>
  <c r="BK184" i="6"/>
  <c r="BJ184" i="6" s="1"/>
  <c r="BK206" i="6"/>
  <c r="BJ206" i="6" s="1"/>
  <c r="BK194" i="6"/>
  <c r="BJ194" i="6" s="1"/>
  <c r="BK223" i="6"/>
  <c r="BJ223" i="6" s="1"/>
  <c r="BK219" i="6"/>
  <c r="BJ219" i="6" s="1"/>
  <c r="BK22" i="6"/>
  <c r="BJ22" i="6" s="1"/>
  <c r="BK119" i="6"/>
  <c r="BJ119" i="6" s="1"/>
  <c r="BK95" i="6"/>
  <c r="BJ95" i="6" s="1"/>
  <c r="BK156" i="6"/>
  <c r="BJ156" i="6" s="1"/>
  <c r="BK155" i="6"/>
  <c r="BJ155" i="6" s="1"/>
  <c r="BK222" i="6"/>
  <c r="BJ222" i="6" s="1"/>
  <c r="BK185" i="6"/>
  <c r="BJ185" i="6" s="1"/>
  <c r="BK52" i="6"/>
  <c r="BJ52" i="6" s="1"/>
  <c r="BK169" i="6"/>
  <c r="BJ169" i="6" s="1"/>
  <c r="BK191" i="6"/>
  <c r="BJ191" i="6" s="1"/>
  <c r="BK125" i="6"/>
  <c r="BJ125" i="6" s="1"/>
  <c r="BK90" i="6"/>
  <c r="BJ90" i="6" s="1"/>
  <c r="BK81" i="6"/>
  <c r="BJ81" i="6" s="1"/>
  <c r="BK73" i="6"/>
  <c r="BJ73" i="6" s="1"/>
  <c r="BK114" i="6"/>
  <c r="BJ114" i="6" s="1"/>
  <c r="BK106" i="6"/>
  <c r="BJ106" i="6" s="1"/>
  <c r="BK98" i="6"/>
  <c r="BJ98" i="6" s="1"/>
  <c r="BK89" i="6"/>
  <c r="BJ89" i="6" s="1"/>
  <c r="BK64" i="6"/>
  <c r="BJ64" i="6" s="1"/>
  <c r="BK56" i="6"/>
  <c r="BJ56" i="6" s="1"/>
  <c r="BK48" i="6"/>
  <c r="BJ48" i="6" s="1"/>
  <c r="BK40" i="6"/>
  <c r="BJ40" i="6" s="1"/>
  <c r="BK32" i="6"/>
  <c r="BJ32" i="6" s="1"/>
  <c r="BK162" i="6"/>
  <c r="BJ162" i="6" s="1"/>
  <c r="BK146" i="6"/>
  <c r="BJ146" i="6" s="1"/>
  <c r="BK129" i="6"/>
  <c r="BJ129" i="6" s="1"/>
  <c r="BK161" i="6"/>
  <c r="BJ161" i="6" s="1"/>
  <c r="BK145" i="6"/>
  <c r="BJ145" i="6" s="1"/>
  <c r="BK127" i="6"/>
  <c r="BJ127" i="6" s="1"/>
  <c r="BK182" i="6"/>
  <c r="BJ182" i="6" s="1"/>
  <c r="BK205" i="6"/>
  <c r="BJ205" i="6" s="1"/>
  <c r="BK195" i="6"/>
  <c r="BJ195" i="6" s="1"/>
  <c r="BK214" i="6"/>
  <c r="BJ214" i="6" s="1"/>
  <c r="BK238" i="6"/>
  <c r="BK170" i="6"/>
  <c r="BJ170" i="6" s="1"/>
  <c r="BK111" i="6"/>
  <c r="BJ111" i="6" s="1"/>
  <c r="BK61" i="6"/>
  <c r="BJ61" i="6" s="1"/>
  <c r="BK37" i="6"/>
  <c r="BJ37" i="6" s="1"/>
  <c r="BK140" i="6"/>
  <c r="BJ140" i="6" s="1"/>
  <c r="BK218" i="6"/>
  <c r="BJ218" i="6" s="1"/>
  <c r="BK198" i="6"/>
  <c r="BJ198" i="6" s="1"/>
  <c r="BK180" i="6"/>
  <c r="BJ180" i="6" s="1"/>
  <c r="BK76" i="6"/>
  <c r="BJ76" i="6" s="1"/>
  <c r="BK154" i="6"/>
  <c r="BJ154" i="6" s="1"/>
  <c r="BK126" i="6"/>
  <c r="BJ126" i="6" s="1"/>
  <c r="BK30" i="6"/>
  <c r="BJ30" i="6" s="1"/>
  <c r="BK29" i="6"/>
  <c r="BK113" i="6"/>
  <c r="BJ113" i="6" s="1"/>
  <c r="BK97" i="6"/>
  <c r="BJ97" i="6" s="1"/>
  <c r="BK63" i="6"/>
  <c r="BJ63" i="6" s="1"/>
  <c r="BK47" i="6"/>
  <c r="BJ47" i="6" s="1"/>
  <c r="BK31" i="6"/>
  <c r="BJ31" i="6" s="1"/>
  <c r="BK144" i="6"/>
  <c r="BJ144" i="6" s="1"/>
  <c r="BK159" i="6"/>
  <c r="BJ159" i="6" s="1"/>
  <c r="BK220" i="6"/>
  <c r="BJ220" i="6" s="1"/>
  <c r="BK204" i="6"/>
  <c r="BJ204" i="6" s="1"/>
  <c r="BK221" i="6"/>
  <c r="BJ221" i="6" s="1"/>
  <c r="BK80" i="6"/>
  <c r="BJ80" i="6" s="1"/>
  <c r="BK74" i="6"/>
  <c r="BJ74" i="6" s="1"/>
  <c r="BK102" i="6"/>
  <c r="BJ102" i="6" s="1"/>
  <c r="BK36" i="6"/>
  <c r="BJ36" i="6" s="1"/>
  <c r="BK137" i="6"/>
  <c r="BJ137" i="6" s="1"/>
  <c r="BK246" i="6"/>
  <c r="BJ246" i="6" s="1"/>
  <c r="BK88" i="6"/>
  <c r="BJ88" i="6" s="1"/>
  <c r="BK124" i="6"/>
  <c r="BK105" i="6"/>
  <c r="BJ105" i="6" s="1"/>
  <c r="BK85" i="6"/>
  <c r="BJ85" i="6" s="1"/>
  <c r="BK55" i="6"/>
  <c r="BJ55" i="6" s="1"/>
  <c r="BK39" i="6"/>
  <c r="BJ39" i="6" s="1"/>
  <c r="BK160" i="6"/>
  <c r="BJ160" i="6" s="1"/>
  <c r="BK183" i="6"/>
  <c r="BJ183" i="6" s="1"/>
  <c r="BK143" i="6"/>
  <c r="BJ143" i="6" s="1"/>
  <c r="BK203" i="6"/>
  <c r="BJ203" i="6" s="1"/>
  <c r="BK196" i="6"/>
  <c r="BJ196" i="6" s="1"/>
  <c r="BK239" i="6"/>
  <c r="BK24" i="6"/>
  <c r="BJ24" i="6" s="1"/>
  <c r="BK75" i="6"/>
  <c r="BJ75" i="6" s="1"/>
  <c r="BK66" i="6"/>
  <c r="BJ66" i="6" s="1"/>
  <c r="BK172" i="6"/>
  <c r="BJ172" i="6" s="1"/>
  <c r="BK112" i="6"/>
  <c r="BJ112" i="6" s="1"/>
  <c r="BK104" i="6"/>
  <c r="BJ104" i="6" s="1"/>
  <c r="BK96" i="6"/>
  <c r="BJ96" i="6" s="1"/>
  <c r="BK171" i="6"/>
  <c r="BJ171" i="6" s="1"/>
  <c r="BK62" i="6"/>
  <c r="BJ62" i="6" s="1"/>
  <c r="BK54" i="6"/>
  <c r="BJ54" i="6" s="1"/>
  <c r="BK46" i="6"/>
  <c r="BJ46" i="6" s="1"/>
  <c r="BK38" i="6"/>
  <c r="BJ38" i="6" s="1"/>
  <c r="BK87" i="6"/>
  <c r="BJ87" i="6" s="1"/>
  <c r="BK158" i="6"/>
  <c r="BJ158" i="6" s="1"/>
  <c r="BK142" i="6"/>
  <c r="BJ142" i="6" s="1"/>
  <c r="BK177" i="6"/>
  <c r="BK157" i="6"/>
  <c r="BJ157" i="6" s="1"/>
  <c r="BK141" i="6"/>
  <c r="BJ141" i="6" s="1"/>
  <c r="BK178" i="6"/>
  <c r="BJ178" i="6" s="1"/>
  <c r="BK200" i="6"/>
  <c r="BJ200" i="6" s="1"/>
  <c r="BK217" i="6"/>
  <c r="BJ217" i="6" s="1"/>
  <c r="BK197" i="6"/>
  <c r="BJ197" i="6" s="1"/>
  <c r="BK231" i="6"/>
  <c r="BJ231" i="6" s="1"/>
  <c r="BK244" i="6"/>
  <c r="CW235" i="6"/>
  <c r="BP241" i="6"/>
  <c r="CV187" i="6"/>
  <c r="CV235" i="6"/>
  <c r="CH14" i="6"/>
  <c r="CI235" i="6"/>
  <c r="CH235" i="6"/>
  <c r="BX235" i="6"/>
  <c r="BV235" i="6"/>
  <c r="CT241" i="6"/>
  <c r="DB235" i="6"/>
  <c r="CQ235" i="6"/>
  <c r="BS174" i="6"/>
  <c r="BT235" i="6"/>
  <c r="CZ235" i="6"/>
  <c r="CM235" i="6"/>
  <c r="CX235" i="6"/>
  <c r="CB241" i="6"/>
  <c r="CJ235" i="6"/>
  <c r="CR227" i="6"/>
  <c r="BW241" i="6"/>
  <c r="BM227" i="6"/>
  <c r="BU121" i="6"/>
  <c r="CJ210" i="6"/>
  <c r="AD31" i="9" s="1"/>
  <c r="CN235" i="6"/>
  <c r="CR241" i="6"/>
  <c r="CS241" i="6"/>
  <c r="DA14" i="6"/>
  <c r="DA187" i="6"/>
  <c r="BY26" i="6"/>
  <c r="DE210" i="6"/>
  <c r="AY31" i="9" s="1"/>
  <c r="BV14" i="6"/>
  <c r="CL210" i="6"/>
  <c r="AF31" i="9" s="1"/>
  <c r="CT14" i="6"/>
  <c r="CT227" i="6"/>
  <c r="CA241" i="6"/>
  <c r="CY121" i="6"/>
  <c r="BO227" i="6"/>
  <c r="BW14" i="6"/>
  <c r="CE241" i="6"/>
  <c r="DC241" i="6"/>
  <c r="CO68" i="6"/>
  <c r="BP235" i="6"/>
  <c r="BX241" i="6"/>
  <c r="CN227" i="6"/>
  <c r="DD241" i="6"/>
  <c r="CH241" i="6"/>
  <c r="BY241" i="6"/>
  <c r="CY227" i="6"/>
  <c r="BO235" i="6"/>
  <c r="CG235" i="6"/>
  <c r="CG227" i="6"/>
  <c r="BP227" i="6"/>
  <c r="CH227" i="6"/>
  <c r="DH227" i="6"/>
  <c r="BU241" i="6"/>
  <c r="CC235" i="6"/>
  <c r="DA241" i="6"/>
  <c r="BM235" i="6"/>
  <c r="CP235" i="6"/>
  <c r="BZ235" i="6"/>
  <c r="DA210" i="6"/>
  <c r="AU31" i="9" s="1"/>
  <c r="BM210" i="6"/>
  <c r="BM187" i="6"/>
  <c r="BN187" i="6"/>
  <c r="BV187" i="6"/>
  <c r="BV241" i="6"/>
  <c r="CL14" i="6"/>
  <c r="DB14" i="6"/>
  <c r="CA187" i="6"/>
  <c r="CA227" i="6"/>
  <c r="CY241" i="6"/>
  <c r="BO187" i="6"/>
  <c r="BW121" i="6"/>
  <c r="CE26" i="6"/>
  <c r="CU26" i="6"/>
  <c r="DC14" i="6"/>
  <c r="BQ187" i="6"/>
  <c r="BQ241" i="6"/>
  <c r="CG210" i="6"/>
  <c r="AA31" i="9" s="1"/>
  <c r="CO121" i="6"/>
  <c r="CW227" i="6"/>
  <c r="BP14" i="6"/>
  <c r="CF187" i="6"/>
  <c r="CV26" i="6"/>
  <c r="CV174" i="6"/>
  <c r="DD210" i="6"/>
  <c r="AX31" i="9" s="1"/>
  <c r="DG68" i="6"/>
  <c r="BR227" i="6"/>
  <c r="CX68" i="6"/>
  <c r="CX26" i="6"/>
  <c r="CX121" i="6"/>
  <c r="CX227" i="6"/>
  <c r="CI121" i="6"/>
  <c r="CZ68" i="6"/>
  <c r="CZ187" i="6"/>
  <c r="CZ241" i="6"/>
  <c r="BS14" i="6"/>
  <c r="BY227" i="6"/>
  <c r="BT14" i="6"/>
  <c r="BT210" i="6"/>
  <c r="N31" i="9" s="1"/>
  <c r="CJ241" i="6"/>
  <c r="CR26" i="6"/>
  <c r="CR68" i="6"/>
  <c r="CR210" i="6"/>
  <c r="AL31" i="9" s="1"/>
  <c r="CZ227" i="6"/>
  <c r="CC26" i="6"/>
  <c r="CC227" i="6"/>
  <c r="CK227" i="6"/>
  <c r="CK241" i="6"/>
  <c r="DA26" i="6"/>
  <c r="BY187" i="6"/>
  <c r="CL121" i="6"/>
  <c r="CL227" i="6"/>
  <c r="CY26" i="6"/>
  <c r="BO14" i="6"/>
  <c r="CE210" i="6"/>
  <c r="Y31" i="9" s="1"/>
  <c r="CE235" i="6"/>
  <c r="CM14" i="6"/>
  <c r="CM68" i="6"/>
  <c r="CM26" i="6"/>
  <c r="CU241" i="6"/>
  <c r="BQ26" i="6"/>
  <c r="BQ235" i="6"/>
  <c r="CO26" i="6"/>
  <c r="CO210" i="6"/>
  <c r="AI31" i="9" s="1"/>
  <c r="CW26" i="6"/>
  <c r="CW210" i="6"/>
  <c r="AQ31" i="9" s="1"/>
  <c r="BX68" i="6"/>
  <c r="BX210" i="6"/>
  <c r="R31" i="9" s="1"/>
  <c r="CF210" i="6"/>
  <c r="Z31" i="9" s="1"/>
  <c r="CF227" i="6"/>
  <c r="CV241" i="6"/>
  <c r="DG121" i="6"/>
  <c r="BR174" i="6"/>
  <c r="BR187" i="6"/>
  <c r="BZ174" i="6"/>
  <c r="BZ241" i="6"/>
  <c r="CH26" i="6"/>
  <c r="CX174" i="6"/>
  <c r="DF241" i="6"/>
  <c r="DH187" i="6"/>
  <c r="BS26" i="6"/>
  <c r="BS227" i="6"/>
  <c r="BU26" i="6"/>
  <c r="CC187" i="6"/>
  <c r="CK14" i="6"/>
  <c r="CS174" i="6"/>
  <c r="DA68" i="6"/>
  <c r="DA227" i="6"/>
  <c r="BM68" i="6"/>
  <c r="BY210" i="6"/>
  <c r="S31" i="9" s="1"/>
  <c r="DE235" i="6"/>
  <c r="DE227" i="6"/>
  <c r="BN227" i="6"/>
  <c r="CD241" i="6"/>
  <c r="CL26" i="6"/>
  <c r="CL235" i="6"/>
  <c r="CT26" i="6"/>
  <c r="CT187" i="6"/>
  <c r="DB210" i="6"/>
  <c r="AV31" i="9" s="1"/>
  <c r="DB187" i="6"/>
  <c r="CA68" i="6"/>
  <c r="CA210" i="6"/>
  <c r="U31" i="9" s="1"/>
  <c r="CQ14" i="6"/>
  <c r="CQ227" i="6"/>
  <c r="BO210" i="6"/>
  <c r="I31" i="9" s="1"/>
  <c r="BW235" i="6"/>
  <c r="CE68" i="6"/>
  <c r="CE121" i="6"/>
  <c r="CE227" i="6"/>
  <c r="CM121" i="6"/>
  <c r="CU14" i="6"/>
  <c r="DC68" i="6"/>
  <c r="DC26" i="6"/>
  <c r="BQ210" i="6"/>
  <c r="K31" i="9" s="1"/>
  <c r="BQ227" i="6"/>
  <c r="CW187" i="6"/>
  <c r="CW174" i="6"/>
  <c r="BP26" i="6"/>
  <c r="BP210" i="6"/>
  <c r="J31" i="9" s="1"/>
  <c r="BX14" i="6"/>
  <c r="CF68" i="6"/>
  <c r="CF174" i="6"/>
  <c r="CN14" i="6"/>
  <c r="CN26" i="6"/>
  <c r="CN174" i="6"/>
  <c r="DD14" i="6"/>
  <c r="DG235" i="6"/>
  <c r="BR68" i="6"/>
  <c r="BZ210" i="6"/>
  <c r="T31" i="9" s="1"/>
  <c r="BZ227" i="6"/>
  <c r="CH121" i="6"/>
  <c r="CH174" i="6"/>
  <c r="CP187" i="6"/>
  <c r="DF68" i="6"/>
  <c r="DF121" i="6"/>
  <c r="DF227" i="6"/>
  <c r="CI26" i="6"/>
  <c r="CD121" i="6"/>
  <c r="CQ26" i="6"/>
  <c r="CQ174" i="6"/>
  <c r="CY174" i="6"/>
  <c r="BW26" i="6"/>
  <c r="BW227" i="6"/>
  <c r="CM210" i="6"/>
  <c r="AG31" i="9" s="1"/>
  <c r="CG68" i="6"/>
  <c r="BP187" i="6"/>
  <c r="BX187" i="6"/>
  <c r="CF26" i="6"/>
  <c r="CV68" i="6"/>
  <c r="DG187" i="6"/>
  <c r="BR26" i="6"/>
  <c r="BZ187" i="6"/>
  <c r="CX187" i="6"/>
  <c r="CR187" i="6"/>
  <c r="BT26" i="6"/>
  <c r="BT121" i="6"/>
  <c r="CB68" i="6"/>
  <c r="CJ187" i="6"/>
  <c r="CR174" i="6"/>
  <c r="CR235" i="6"/>
  <c r="DH210" i="6"/>
  <c r="BB31" i="9" s="1"/>
  <c r="BS68" i="6"/>
  <c r="BS121" i="6"/>
  <c r="BS241" i="6"/>
  <c r="BU227" i="6"/>
  <c r="CC14" i="6"/>
  <c r="CK121" i="6"/>
  <c r="BM14" i="6"/>
  <c r="BY68" i="6"/>
  <c r="DE26" i="6"/>
  <c r="DE187" i="6"/>
  <c r="BN14" i="6"/>
  <c r="BN26" i="6"/>
  <c r="BN68" i="6"/>
  <c r="BN210" i="6"/>
  <c r="H31" i="9" s="1"/>
  <c r="BN235" i="6"/>
  <c r="BV68" i="6"/>
  <c r="BV227" i="6"/>
  <c r="CD210" i="6"/>
  <c r="X31" i="9" s="1"/>
  <c r="CL241" i="6"/>
  <c r="CT235" i="6"/>
  <c r="CA235" i="6"/>
  <c r="CQ121" i="6"/>
  <c r="CY210" i="6"/>
  <c r="AS31" i="9" s="1"/>
  <c r="BO241" i="6"/>
  <c r="BW187" i="6"/>
  <c r="CM174" i="6"/>
  <c r="CU187" i="6"/>
  <c r="CU174" i="6"/>
  <c r="DC121" i="6"/>
  <c r="DC210" i="6"/>
  <c r="AW31" i="9" s="1"/>
  <c r="CG14" i="6"/>
  <c r="CW68" i="6"/>
  <c r="BX26" i="6"/>
  <c r="CF121" i="6"/>
  <c r="CN68" i="6"/>
  <c r="CN210" i="6"/>
  <c r="AH31" i="9" s="1"/>
  <c r="CN187" i="6"/>
  <c r="CV14" i="6"/>
  <c r="DD68" i="6"/>
  <c r="DD187" i="6"/>
  <c r="DD174" i="6"/>
  <c r="DG14" i="6"/>
  <c r="DG210" i="6"/>
  <c r="BA31" i="9" s="1"/>
  <c r="CH210" i="6"/>
  <c r="AB31" i="9" s="1"/>
  <c r="CP210" i="6"/>
  <c r="AJ31" i="9" s="1"/>
  <c r="DF187" i="6"/>
  <c r="CI174" i="6"/>
  <c r="CB210" i="6"/>
  <c r="V31" i="9" s="1"/>
  <c r="CJ227" i="6"/>
  <c r="BS210" i="6"/>
  <c r="M31" i="9" s="1"/>
  <c r="CK68" i="6"/>
  <c r="CS210" i="6"/>
  <c r="AM31" i="9" s="1"/>
  <c r="BT174" i="6"/>
  <c r="CK174" i="6"/>
  <c r="CS68" i="6"/>
  <c r="CS227" i="6"/>
  <c r="CS187" i="6"/>
  <c r="DA121" i="6"/>
  <c r="DA174" i="6"/>
  <c r="BY121" i="6"/>
  <c r="DE14" i="6"/>
  <c r="DE121" i="6"/>
  <c r="BN121" i="6"/>
  <c r="BV174" i="6"/>
  <c r="CD68" i="6"/>
  <c r="CD174" i="6"/>
  <c r="CL187" i="6"/>
  <c r="CT121" i="6"/>
  <c r="DB227" i="6"/>
  <c r="CQ210" i="6"/>
  <c r="AK31" i="9" s="1"/>
  <c r="CY187" i="6"/>
  <c r="BO26" i="6"/>
  <c r="BW68" i="6"/>
  <c r="BW174" i="6"/>
  <c r="CE14" i="6"/>
  <c r="CU68" i="6"/>
  <c r="CU235" i="6"/>
  <c r="DC174" i="6"/>
  <c r="CG121" i="6"/>
  <c r="CO14" i="6"/>
  <c r="CO174" i="6"/>
  <c r="CO241" i="6"/>
  <c r="CW121" i="6"/>
  <c r="BP68" i="6"/>
  <c r="BP121" i="6"/>
  <c r="CF241" i="6"/>
  <c r="CV121" i="6"/>
  <c r="CV210" i="6"/>
  <c r="AP31" i="9" s="1"/>
  <c r="CV227" i="6"/>
  <c r="DG26" i="6"/>
  <c r="DG241" i="6"/>
  <c r="BR14" i="6"/>
  <c r="BR210" i="6"/>
  <c r="L31" i="9" s="1"/>
  <c r="BZ26" i="6"/>
  <c r="BZ68" i="6"/>
  <c r="CH68" i="6"/>
  <c r="CP68" i="6"/>
  <c r="CP14" i="6"/>
  <c r="CP121" i="6"/>
  <c r="CP241" i="6"/>
  <c r="DF14" i="6"/>
  <c r="DF174" i="6"/>
  <c r="CI241" i="6"/>
  <c r="CZ121" i="6"/>
  <c r="DH121" i="6"/>
  <c r="BT68" i="6"/>
  <c r="CR121" i="6"/>
  <c r="DH26" i="6"/>
  <c r="CZ14" i="6"/>
  <c r="CZ174" i="6"/>
  <c r="DH14" i="6"/>
  <c r="DH241" i="6"/>
  <c r="BS187" i="6"/>
  <c r="BU187" i="6"/>
  <c r="CC68" i="6"/>
  <c r="CK187" i="6"/>
  <c r="CS121" i="6"/>
  <c r="BM26" i="6"/>
  <c r="BM121" i="6"/>
  <c r="DE241" i="6"/>
  <c r="BN174" i="6"/>
  <c r="BN241" i="6"/>
  <c r="BV121" i="6"/>
  <c r="CD14" i="6"/>
  <c r="CD26" i="6"/>
  <c r="CD187" i="6"/>
  <c r="DB26" i="6"/>
  <c r="DB174" i="6"/>
  <c r="CA14" i="6"/>
  <c r="CY68" i="6"/>
  <c r="BO121" i="6"/>
  <c r="BO68" i="6"/>
  <c r="CE187" i="6"/>
  <c r="CM187" i="6"/>
  <c r="CU210" i="6"/>
  <c r="AO31" i="9" s="1"/>
  <c r="CU121" i="6"/>
  <c r="CG187" i="6"/>
  <c r="CO235" i="6"/>
  <c r="CO227" i="6"/>
  <c r="CW14" i="6"/>
  <c r="BX121" i="6"/>
  <c r="CF14" i="6"/>
  <c r="DD26" i="6"/>
  <c r="DG174" i="6"/>
  <c r="DG227" i="6"/>
  <c r="BR121" i="6"/>
  <c r="BR235" i="6"/>
  <c r="CH187" i="6"/>
  <c r="CP26" i="6"/>
  <c r="CP227" i="6"/>
  <c r="DF26" i="6"/>
  <c r="DF210" i="6"/>
  <c r="AZ31" i="9" s="1"/>
  <c r="CI68" i="6"/>
  <c r="CI187" i="6"/>
  <c r="CI210" i="6"/>
  <c r="AC31" i="9" s="1"/>
  <c r="CB26" i="6"/>
  <c r="CJ68" i="6"/>
  <c r="CC121" i="6"/>
  <c r="DB68" i="6"/>
  <c r="CJ174" i="6"/>
  <c r="CZ210" i="6"/>
  <c r="AT31" i="9" s="1"/>
  <c r="BU210" i="6"/>
  <c r="O31" i="9" s="1"/>
  <c r="BT227" i="6"/>
  <c r="CB174" i="6"/>
  <c r="CJ14" i="6"/>
  <c r="BT187" i="6"/>
  <c r="CB121" i="6"/>
  <c r="CB14" i="6"/>
  <c r="CB187" i="6"/>
  <c r="CB227" i="6"/>
  <c r="CJ26" i="6"/>
  <c r="CJ121" i="6"/>
  <c r="CR14" i="6"/>
  <c r="CZ26" i="6"/>
  <c r="DH68" i="6"/>
  <c r="BU14" i="6"/>
  <c r="CC241" i="6"/>
  <c r="CK26" i="6"/>
  <c r="CK210" i="6"/>
  <c r="AE31" i="9" s="1"/>
  <c r="CK235" i="6"/>
  <c r="CS26" i="6"/>
  <c r="BM174" i="6"/>
  <c r="BM241" i="6"/>
  <c r="BY14" i="6"/>
  <c r="BY235" i="6"/>
  <c r="DE68" i="6"/>
  <c r="DE174" i="6"/>
  <c r="BV26" i="6"/>
  <c r="BV210" i="6"/>
  <c r="P31" i="9" s="1"/>
  <c r="CD227" i="6"/>
  <c r="CL68" i="6"/>
  <c r="CT68" i="6"/>
  <c r="CT210" i="6"/>
  <c r="AN31" i="9" s="1"/>
  <c r="DB121" i="6"/>
  <c r="CA26" i="6"/>
  <c r="CA174" i="6"/>
  <c r="CQ68" i="6"/>
  <c r="CQ187" i="6"/>
  <c r="CY14" i="6"/>
  <c r="BO174" i="6"/>
  <c r="BW210" i="6"/>
  <c r="Q31" i="9" s="1"/>
  <c r="CE174" i="6"/>
  <c r="CM227" i="6"/>
  <c r="CM241" i="6"/>
  <c r="CU227" i="6"/>
  <c r="DC187" i="6"/>
  <c r="BQ68" i="6"/>
  <c r="BQ14" i="6"/>
  <c r="BQ174" i="6"/>
  <c r="CG26" i="6"/>
  <c r="CG174" i="6"/>
  <c r="CG241" i="6"/>
  <c r="CO187" i="6"/>
  <c r="CW241" i="6"/>
  <c r="BP174" i="6"/>
  <c r="BX174" i="6"/>
  <c r="BX227" i="6"/>
  <c r="CF235" i="6"/>
  <c r="CN121" i="6"/>
  <c r="CN241" i="6"/>
  <c r="DD121" i="6"/>
  <c r="DD227" i="6"/>
  <c r="BR241" i="6"/>
  <c r="BZ14" i="6"/>
  <c r="BZ121" i="6"/>
  <c r="CP174" i="6"/>
  <c r="CX14" i="6"/>
  <c r="CX210" i="6"/>
  <c r="AR31" i="9" s="1"/>
  <c r="CX241" i="6"/>
  <c r="CI14" i="6"/>
  <c r="AX15" i="9"/>
  <c r="AP15" i="9"/>
  <c r="AS15" i="9"/>
  <c r="BA15" i="9"/>
  <c r="AJ15" i="9"/>
  <c r="AI15" i="9"/>
  <c r="AQ15" i="9"/>
  <c r="AR15" i="9"/>
  <c r="AY15" i="9"/>
  <c r="AZ15" i="9"/>
  <c r="AT15" i="9"/>
  <c r="AF15" i="9"/>
  <c r="AG15" i="9"/>
  <c r="AW15" i="9"/>
  <c r="AV15" i="9"/>
  <c r="AE15" i="9"/>
  <c r="AE175" i="9"/>
  <c r="AM175" i="9"/>
  <c r="AU15" i="9"/>
  <c r="AU175" i="9"/>
  <c r="CM957" i="6" l="1"/>
  <c r="CB957" i="6"/>
  <c r="BS957" i="6"/>
  <c r="CU957" i="6"/>
  <c r="DF957" i="6"/>
  <c r="CS957" i="6"/>
  <c r="BO957" i="6"/>
  <c r="CK957" i="6"/>
  <c r="BN957" i="6"/>
  <c r="BU957" i="6"/>
  <c r="CH957" i="6"/>
  <c r="BT957" i="6"/>
  <c r="BR957" i="6"/>
  <c r="BZ957" i="6"/>
  <c r="CX957" i="6"/>
  <c r="CQ957" i="6"/>
  <c r="CC957" i="6"/>
  <c r="BK1014" i="6"/>
  <c r="BJ1014" i="6" s="1"/>
  <c r="BJ1017" i="6"/>
  <c r="CV957" i="6"/>
  <c r="CE957" i="6"/>
  <c r="CY957" i="6"/>
  <c r="BY957" i="6"/>
  <c r="CR957" i="6"/>
  <c r="CJ957" i="6"/>
  <c r="CA957" i="6"/>
  <c r="CI957" i="6"/>
  <c r="DE957" i="6"/>
  <c r="DB957" i="6"/>
  <c r="BQ957" i="6"/>
  <c r="CW957" i="6"/>
  <c r="CN957" i="6"/>
  <c r="CZ957" i="6"/>
  <c r="DA957" i="6"/>
  <c r="CF957" i="6"/>
  <c r="CL957" i="6"/>
  <c r="BJ1070" i="6"/>
  <c r="BK1067" i="6"/>
  <c r="BJ1067" i="6" s="1"/>
  <c r="CT957" i="6"/>
  <c r="BJ1159" i="6"/>
  <c r="BK1156" i="6"/>
  <c r="BK972" i="6"/>
  <c r="BJ972" i="6" s="1"/>
  <c r="BJ975" i="6"/>
  <c r="DD957" i="6"/>
  <c r="BK1181" i="6"/>
  <c r="BJ1181" i="6" s="1"/>
  <c r="BJ1184" i="6"/>
  <c r="BV957" i="6"/>
  <c r="BK1133" i="6"/>
  <c r="BJ1136" i="6"/>
  <c r="CP957" i="6"/>
  <c r="BP957" i="6"/>
  <c r="DC957" i="6"/>
  <c r="CD957" i="6"/>
  <c r="BJ1123" i="6"/>
  <c r="BK1120" i="6"/>
  <c r="BJ1120" i="6" s="1"/>
  <c r="BW957" i="6"/>
  <c r="DG957" i="6"/>
  <c r="BJ1176" i="6"/>
  <c r="BK1173" i="6"/>
  <c r="DH957" i="6"/>
  <c r="BM957" i="6"/>
  <c r="BX957" i="6"/>
  <c r="CG957" i="6"/>
  <c r="BK1187" i="6"/>
  <c r="BJ1190" i="6"/>
  <c r="CO957" i="6"/>
  <c r="BJ961" i="6"/>
  <c r="BK958" i="6"/>
  <c r="BQ138" i="6"/>
  <c r="BK138" i="6" s="1"/>
  <c r="BJ138" i="6" s="1"/>
  <c r="T28" i="9"/>
  <c r="BA32" i="9"/>
  <c r="AA30" i="9"/>
  <c r="H29" i="9"/>
  <c r="AW28" i="9"/>
  <c r="AL30" i="9"/>
  <c r="T32" i="9"/>
  <c r="Q33" i="9"/>
  <c r="Z32" i="9"/>
  <c r="R34" i="9"/>
  <c r="AW25" i="9"/>
  <c r="AJ25" i="9"/>
  <c r="BA25" i="9"/>
  <c r="AK25" i="9"/>
  <c r="AV25" i="9"/>
  <c r="AB25" i="9"/>
  <c r="AD25" i="9"/>
  <c r="AH25" i="9"/>
  <c r="AC25" i="9"/>
  <c r="AP25" i="9"/>
  <c r="BB33" i="9"/>
  <c r="AF29" i="9"/>
  <c r="S34" i="9"/>
  <c r="AD32" i="9"/>
  <c r="K25" i="9"/>
  <c r="Z25" i="9"/>
  <c r="AO25" i="9"/>
  <c r="AO32" i="9"/>
  <c r="AT25" i="9"/>
  <c r="X34" i="9"/>
  <c r="AJ33" i="9"/>
  <c r="O25" i="9"/>
  <c r="AQ25" i="9"/>
  <c r="X25" i="9"/>
  <c r="L25" i="9"/>
  <c r="AI25" i="9"/>
  <c r="AG25" i="9"/>
  <c r="Q25" i="9"/>
  <c r="AA25" i="9"/>
  <c r="G25" i="9"/>
  <c r="M25" i="9"/>
  <c r="AX25" i="9"/>
  <c r="AF25" i="9"/>
  <c r="BB25" i="9"/>
  <c r="Y25" i="9"/>
  <c r="AN25" i="9"/>
  <c r="AL25" i="9"/>
  <c r="U25" i="9"/>
  <c r="AZ25" i="9"/>
  <c r="AY25" i="9"/>
  <c r="W25" i="9"/>
  <c r="I25" i="9"/>
  <c r="N25" i="9"/>
  <c r="P25" i="9"/>
  <c r="AU25" i="9"/>
  <c r="S25" i="9"/>
  <c r="V25" i="9"/>
  <c r="AE25" i="9"/>
  <c r="J25" i="9"/>
  <c r="AM25" i="9"/>
  <c r="T25" i="9"/>
  <c r="AR25" i="9"/>
  <c r="AS25" i="9"/>
  <c r="H25" i="9"/>
  <c r="R25" i="9"/>
  <c r="H27" i="9"/>
  <c r="AD29" i="9"/>
  <c r="AS29" i="9"/>
  <c r="K29" i="9"/>
  <c r="N29" i="9"/>
  <c r="M27" i="9"/>
  <c r="BA30" i="9"/>
  <c r="S30" i="9"/>
  <c r="Z30" i="9"/>
  <c r="AS34" i="9"/>
  <c r="O34" i="9"/>
  <c r="AA32" i="9"/>
  <c r="Y34" i="9"/>
  <c r="R33" i="9"/>
  <c r="V30" i="9"/>
  <c r="AR34" i="9"/>
  <c r="S33" i="9"/>
  <c r="W34" i="9"/>
  <c r="P32" i="9"/>
  <c r="V33" i="9"/>
  <c r="AG28" i="9"/>
  <c r="AZ33" i="9"/>
  <c r="BA29" i="9"/>
  <c r="AX30" i="9"/>
  <c r="BB32" i="9"/>
  <c r="AP30" i="9"/>
  <c r="BB26" i="9"/>
  <c r="I26" i="9"/>
  <c r="AW26" i="9"/>
  <c r="BB28" i="9"/>
  <c r="AG27" i="9"/>
  <c r="BA27" i="9"/>
  <c r="AP33" i="9"/>
  <c r="J29" i="9"/>
  <c r="AG32" i="9"/>
  <c r="X33" i="9"/>
  <c r="AA34" i="9"/>
  <c r="P29" i="9"/>
  <c r="I34" i="9"/>
  <c r="H32" i="9"/>
  <c r="BB30" i="9"/>
  <c r="AO34" i="9"/>
  <c r="AH34" i="9"/>
  <c r="U29" i="9"/>
  <c r="V32" i="9"/>
  <c r="AJ32" i="9"/>
  <c r="X29" i="9"/>
  <c r="AE29" i="9"/>
  <c r="AY34" i="9"/>
  <c r="J27" i="9"/>
  <c r="AN28" i="9"/>
  <c r="S28" i="9"/>
  <c r="H26" i="9"/>
  <c r="V27" i="9"/>
  <c r="AH29" i="9"/>
  <c r="L29" i="9"/>
  <c r="AM34" i="9"/>
  <c r="W29" i="9"/>
  <c r="BB29" i="9"/>
  <c r="P26" i="9"/>
  <c r="AI32" i="9"/>
  <c r="W27" i="9"/>
  <c r="AJ28" i="9"/>
  <c r="H28" i="9"/>
  <c r="P30" i="9"/>
  <c r="O29" i="9"/>
  <c r="AH28" i="9"/>
  <c r="AS27" i="9"/>
  <c r="AL29" i="9"/>
  <c r="N26" i="9"/>
  <c r="H30" i="9"/>
  <c r="W33" i="9"/>
  <c r="J32" i="9"/>
  <c r="M26" i="9"/>
  <c r="BA33" i="9"/>
  <c r="I33" i="9"/>
  <c r="AC33" i="9"/>
  <c r="AQ33" i="9"/>
  <c r="AW33" i="9"/>
  <c r="K33" i="9"/>
  <c r="AK33" i="9"/>
  <c r="R29" i="9"/>
  <c r="I29" i="9"/>
  <c r="AB30" i="9"/>
  <c r="I27" i="9"/>
  <c r="AV29" i="9"/>
  <c r="AE30" i="9"/>
  <c r="BB34" i="9"/>
  <c r="AT28" i="9"/>
  <c r="AJ34" i="9"/>
  <c r="AB27" i="9"/>
  <c r="AM32" i="9"/>
  <c r="AO29" i="9"/>
  <c r="AN33" i="9"/>
  <c r="P27" i="9"/>
  <c r="S27" i="9"/>
  <c r="O32" i="9"/>
  <c r="AR30" i="9"/>
  <c r="AA27" i="9"/>
  <c r="AC26" i="9"/>
  <c r="AJ30" i="9"/>
  <c r="AQ29" i="9"/>
  <c r="Y32" i="9"/>
  <c r="U27" i="9"/>
  <c r="AN26" i="9"/>
  <c r="K26" i="9"/>
  <c r="AS26" i="9"/>
  <c r="AL26" i="9"/>
  <c r="S32" i="9"/>
  <c r="AT27" i="9"/>
  <c r="K34" i="9"/>
  <c r="U32" i="9"/>
  <c r="P34" i="9"/>
  <c r="AB34" i="9"/>
  <c r="AN32" i="9"/>
  <c r="AD33" i="9"/>
  <c r="AS33" i="9"/>
  <c r="AG34" i="9"/>
  <c r="AD28" i="9"/>
  <c r="V29" i="9"/>
  <c r="AO28" i="9"/>
  <c r="K27" i="9"/>
  <c r="U26" i="9"/>
  <c r="N32" i="9"/>
  <c r="AV27" i="9"/>
  <c r="AZ26" i="9"/>
  <c r="AC34" i="9"/>
  <c r="AS30" i="9"/>
  <c r="H33" i="9"/>
  <c r="M34" i="9"/>
  <c r="N28" i="9"/>
  <c r="Z26" i="9"/>
  <c r="AH26" i="9"/>
  <c r="AQ30" i="9"/>
  <c r="AW27" i="9"/>
  <c r="Y28" i="9"/>
  <c r="AK32" i="9"/>
  <c r="AV30" i="9"/>
  <c r="AU32" i="9"/>
  <c r="T34" i="9"/>
  <c r="AE34" i="9"/>
  <c r="AD34" i="9"/>
  <c r="K30" i="9"/>
  <c r="Q28" i="9"/>
  <c r="AX34" i="9"/>
  <c r="I32" i="9"/>
  <c r="AL34" i="9"/>
  <c r="G32" i="9"/>
  <c r="V34" i="9"/>
  <c r="AK34" i="9"/>
  <c r="O33" i="9"/>
  <c r="BK471" i="6"/>
  <c r="BJ471" i="6" s="1"/>
  <c r="AN27" i="9"/>
  <c r="V26" i="9"/>
  <c r="L34" i="9"/>
  <c r="AJ29" i="9"/>
  <c r="AX32" i="9"/>
  <c r="AW30" i="9"/>
  <c r="Y29" i="9"/>
  <c r="X32" i="9"/>
  <c r="H34" i="9"/>
  <c r="AT29" i="9"/>
  <c r="AZ29" i="9"/>
  <c r="AZ30" i="9"/>
  <c r="AG29" i="9"/>
  <c r="L26" i="9"/>
  <c r="AB28" i="9"/>
  <c r="Y27" i="9"/>
  <c r="AF26" i="9"/>
  <c r="AZ34" i="9"/>
  <c r="AP34" i="9"/>
  <c r="AF28" i="9"/>
  <c r="AT34" i="9"/>
  <c r="AS32" i="9"/>
  <c r="AH32" i="9"/>
  <c r="Q34" i="9"/>
  <c r="M29" i="9"/>
  <c r="P33" i="9"/>
  <c r="AC32" i="9"/>
  <c r="AN29" i="9"/>
  <c r="DC249" i="6"/>
  <c r="CX249" i="6"/>
  <c r="AI29" i="9"/>
  <c r="AY26" i="9"/>
  <c r="Q26" i="9"/>
  <c r="AL27" i="9"/>
  <c r="AE33" i="9"/>
  <c r="AO27" i="9"/>
  <c r="AP27" i="9"/>
  <c r="Z27" i="9"/>
  <c r="AB26" i="9"/>
  <c r="W26" i="9"/>
  <c r="AR26" i="9"/>
  <c r="J33" i="9"/>
  <c r="O28" i="9"/>
  <c r="AV33" i="9"/>
  <c r="AE26" i="9"/>
  <c r="G26" i="9"/>
  <c r="BQ249" i="6"/>
  <c r="CJ721" i="6"/>
  <c r="CY249" i="6"/>
  <c r="AM26" i="9"/>
  <c r="CH721" i="6"/>
  <c r="AQ27" i="9"/>
  <c r="Y26" i="9"/>
  <c r="AA33" i="9"/>
  <c r="AT33" i="9"/>
  <c r="AB33" i="9"/>
  <c r="CR485" i="6"/>
  <c r="AU33" i="9"/>
  <c r="BZ249" i="6"/>
  <c r="BR249" i="6"/>
  <c r="BT721" i="6"/>
  <c r="G27" i="9"/>
  <c r="AQ26" i="9"/>
  <c r="AU26" i="9"/>
  <c r="G33" i="9"/>
  <c r="AM33" i="9"/>
  <c r="AX26" i="9"/>
  <c r="G28" i="9"/>
  <c r="AI27" i="9"/>
  <c r="AA26" i="9"/>
  <c r="AI28" i="9"/>
  <c r="CP485" i="6"/>
  <c r="CM721" i="6"/>
  <c r="BP249" i="6"/>
  <c r="BO249" i="6"/>
  <c r="AY29" i="9"/>
  <c r="V28" i="9"/>
  <c r="L33" i="9"/>
  <c r="I28" i="9"/>
  <c r="AV26" i="9"/>
  <c r="P28" i="9"/>
  <c r="AL28" i="9"/>
  <c r="T27" i="9"/>
  <c r="BA34" i="9"/>
  <c r="AP28" i="9"/>
  <c r="AQ28" i="9"/>
  <c r="AA28" i="9"/>
  <c r="AF30" i="9"/>
  <c r="AU29" i="9"/>
  <c r="AM27" i="9"/>
  <c r="AE27" i="9"/>
  <c r="AC29" i="9"/>
  <c r="AX27" i="9"/>
  <c r="AH27" i="9"/>
  <c r="AO30" i="9"/>
  <c r="AF34" i="9"/>
  <c r="AL33" i="9"/>
  <c r="T30" i="9"/>
  <c r="AK29" i="9"/>
  <c r="AZ32" i="9"/>
  <c r="AB29" i="9"/>
  <c r="L27" i="9"/>
  <c r="AF33" i="9"/>
  <c r="AY32" i="9"/>
  <c r="W30" i="9"/>
  <c r="BA28" i="9"/>
  <c r="Y33" i="9"/>
  <c r="AF32" i="9"/>
  <c r="AT32" i="9"/>
  <c r="AC28" i="9"/>
  <c r="AR27" i="9"/>
  <c r="AP29" i="9"/>
  <c r="AQ32" i="9"/>
  <c r="U30" i="9"/>
  <c r="AU34" i="9"/>
  <c r="AB32" i="9"/>
  <c r="S26" i="9"/>
  <c r="N33" i="9"/>
  <c r="AN34" i="9"/>
  <c r="J34" i="9"/>
  <c r="BJ213" i="6"/>
  <c r="BK210" i="6"/>
  <c r="M33" i="9"/>
  <c r="AV34" i="9"/>
  <c r="AX33" i="9"/>
  <c r="DD249" i="6"/>
  <c r="BJ662" i="6"/>
  <c r="BK659" i="6"/>
  <c r="DD485" i="6"/>
  <c r="BJ716" i="6"/>
  <c r="BK713" i="6"/>
  <c r="BJ952" i="6"/>
  <c r="BK949" i="6"/>
  <c r="BJ702" i="6"/>
  <c r="BK699" i="6"/>
  <c r="BY249" i="6"/>
  <c r="DE721" i="6"/>
  <c r="CB721" i="6"/>
  <c r="CT721" i="6"/>
  <c r="CH249" i="6"/>
  <c r="BZ485" i="6"/>
  <c r="BJ466" i="6"/>
  <c r="BK463" i="6"/>
  <c r="BY721" i="6"/>
  <c r="CA249" i="6"/>
  <c r="BJ449" i="6"/>
  <c r="BK446" i="6"/>
  <c r="BJ426" i="6"/>
  <c r="BK423" i="6"/>
  <c r="G34" i="9"/>
  <c r="AD26" i="9"/>
  <c r="Z33" i="9"/>
  <c r="AQ34" i="9"/>
  <c r="AK30" i="9"/>
  <c r="AV28" i="9"/>
  <c r="AY27" i="9"/>
  <c r="G29" i="9"/>
  <c r="AT26" i="9"/>
  <c r="N30" i="9"/>
  <c r="W28" i="9"/>
  <c r="AC30" i="9"/>
  <c r="L28" i="9"/>
  <c r="AI33" i="9"/>
  <c r="AG30" i="9"/>
  <c r="X30" i="9"/>
  <c r="O30" i="9"/>
  <c r="N27" i="9"/>
  <c r="T26" i="9"/>
  <c r="BA26" i="9"/>
  <c r="Z34" i="9"/>
  <c r="AI34" i="9"/>
  <c r="AW29" i="9"/>
  <c r="Q29" i="9"/>
  <c r="AY28" i="9"/>
  <c r="AU28" i="9"/>
  <c r="Z28" i="9"/>
  <c r="AK28" i="9"/>
  <c r="AY30" i="9"/>
  <c r="AE28" i="9"/>
  <c r="M28" i="9"/>
  <c r="R30" i="9"/>
  <c r="Q32" i="9"/>
  <c r="AK26" i="9"/>
  <c r="AZ28" i="9"/>
  <c r="K32" i="9"/>
  <c r="AY33" i="9"/>
  <c r="AU27" i="9"/>
  <c r="O26" i="9"/>
  <c r="T29" i="9"/>
  <c r="R27" i="9"/>
  <c r="AI26" i="9"/>
  <c r="AG26" i="9"/>
  <c r="AE32" i="9"/>
  <c r="AR32" i="9"/>
  <c r="L32" i="9"/>
  <c r="AP26" i="9"/>
  <c r="I30" i="9"/>
  <c r="T33" i="9"/>
  <c r="AW34" i="9"/>
  <c r="AS28" i="9"/>
  <c r="AU30" i="9"/>
  <c r="AH33" i="9"/>
  <c r="AR33" i="9"/>
  <c r="O27" i="9"/>
  <c r="S29" i="9"/>
  <c r="AW32" i="9"/>
  <c r="BV721" i="6"/>
  <c r="CU485" i="6"/>
  <c r="DF249" i="6"/>
  <c r="BJ230" i="6"/>
  <c r="BK227" i="6"/>
  <c r="AA29" i="9"/>
  <c r="AF27" i="9"/>
  <c r="BB27" i="9"/>
  <c r="AX28" i="9"/>
  <c r="R32" i="9"/>
  <c r="AI30" i="9"/>
  <c r="AK27" i="9"/>
  <c r="AD27" i="9"/>
  <c r="AC27" i="9"/>
  <c r="AJ26" i="9"/>
  <c r="R28" i="9"/>
  <c r="Y30" i="9"/>
  <c r="X26" i="9"/>
  <c r="AM28" i="9"/>
  <c r="M30" i="9"/>
  <c r="AJ27" i="9"/>
  <c r="AP32" i="9"/>
  <c r="J28" i="9"/>
  <c r="AO33" i="9"/>
  <c r="Q27" i="9"/>
  <c r="AV32" i="9"/>
  <c r="X27" i="9"/>
  <c r="AM30" i="9"/>
  <c r="AX29" i="9"/>
  <c r="AH30" i="9"/>
  <c r="R26" i="9"/>
  <c r="Q30" i="9"/>
  <c r="U33" i="9"/>
  <c r="AD30" i="9"/>
  <c r="J30" i="9"/>
  <c r="X28" i="9"/>
  <c r="AZ27" i="9"/>
  <c r="Z29" i="9"/>
  <c r="J26" i="9"/>
  <c r="AN30" i="9"/>
  <c r="AM29" i="9"/>
  <c r="M32" i="9"/>
  <c r="AR29" i="9"/>
  <c r="L30" i="9"/>
  <c r="W32" i="9"/>
  <c r="AT30" i="9"/>
  <c r="AR28" i="9"/>
  <c r="AO26" i="9"/>
  <c r="G30" i="9"/>
  <c r="U34" i="9"/>
  <c r="AL32" i="9"/>
  <c r="AG33" i="9"/>
  <c r="BJ244" i="6"/>
  <c r="BK241" i="6"/>
  <c r="BJ190" i="6"/>
  <c r="BK187" i="6"/>
  <c r="N34" i="9"/>
  <c r="BM249" i="6"/>
  <c r="BJ898" i="6"/>
  <c r="BK895" i="6"/>
  <c r="BJ685" i="6"/>
  <c r="BK682" i="6"/>
  <c r="CM249" i="6"/>
  <c r="CE249" i="6"/>
  <c r="CH485" i="6"/>
  <c r="BV249" i="6"/>
  <c r="BJ480" i="6"/>
  <c r="BK477" i="6"/>
  <c r="CI485" i="6"/>
  <c r="CT249" i="6"/>
  <c r="CD721" i="6"/>
  <c r="DA721" i="6"/>
  <c r="CS485" i="6"/>
  <c r="CK249" i="6"/>
  <c r="CN721" i="6"/>
  <c r="BP485" i="6"/>
  <c r="CR249" i="6"/>
  <c r="CY721" i="6"/>
  <c r="CI721" i="6"/>
  <c r="BO485" i="6"/>
  <c r="CD485" i="6"/>
  <c r="BZ721" i="6"/>
  <c r="BN721" i="6"/>
  <c r="CC249" i="6"/>
  <c r="BX485" i="6"/>
  <c r="CJ485" i="6"/>
  <c r="CF249" i="6"/>
  <c r="BS249" i="6"/>
  <c r="BR721" i="6"/>
  <c r="CD249" i="6"/>
  <c r="DH249" i="6"/>
  <c r="CN249" i="6"/>
  <c r="CE721" i="6"/>
  <c r="DA485" i="6"/>
  <c r="CS249" i="6"/>
  <c r="BM485" i="6"/>
  <c r="CK485" i="6"/>
  <c r="CG721" i="6"/>
  <c r="BU249" i="6"/>
  <c r="BP721" i="6"/>
  <c r="DG249" i="6"/>
  <c r="CY485" i="6"/>
  <c r="DF485" i="6"/>
  <c r="BN485" i="6"/>
  <c r="CW249" i="6"/>
  <c r="CO249" i="6"/>
  <c r="CV721" i="6"/>
  <c r="DE485" i="6"/>
  <c r="CZ485" i="6"/>
  <c r="CR721" i="6"/>
  <c r="BW721" i="6"/>
  <c r="DB721" i="6"/>
  <c r="CL485" i="6"/>
  <c r="BV485" i="6"/>
  <c r="CC485" i="6"/>
  <c r="BY485" i="6"/>
  <c r="BX249" i="6"/>
  <c r="DE249" i="6"/>
  <c r="CB485" i="6"/>
  <c r="BT249" i="6"/>
  <c r="CQ485" i="6"/>
  <c r="CA721" i="6"/>
  <c r="BN249" i="6"/>
  <c r="BX721" i="6"/>
  <c r="DC721" i="6"/>
  <c r="CA485" i="6"/>
  <c r="CX721" i="6"/>
  <c r="DA249" i="6"/>
  <c r="BU485" i="6"/>
  <c r="CK721" i="6"/>
  <c r="DH485" i="6"/>
  <c r="CV485" i="6"/>
  <c r="CF485" i="6"/>
  <c r="CE485" i="6"/>
  <c r="BW485" i="6"/>
  <c r="CT485" i="6"/>
  <c r="CL249" i="6"/>
  <c r="CC721" i="6"/>
  <c r="CV249" i="6"/>
  <c r="CJ249" i="6"/>
  <c r="DG485" i="6"/>
  <c r="CU721" i="6"/>
  <c r="CU249" i="6"/>
  <c r="CM485" i="6"/>
  <c r="BS721" i="6"/>
  <c r="BR485" i="6"/>
  <c r="CZ721" i="6"/>
  <c r="CX485" i="6"/>
  <c r="CO485" i="6"/>
  <c r="DD721" i="6"/>
  <c r="CW485" i="6"/>
  <c r="CG249" i="6"/>
  <c r="BQ721" i="6"/>
  <c r="CF721" i="6"/>
  <c r="DF721" i="6"/>
  <c r="DB249" i="6"/>
  <c r="CS721" i="6"/>
  <c r="DG721" i="6"/>
  <c r="CQ721" i="6"/>
  <c r="BS485" i="6"/>
  <c r="DB485" i="6"/>
  <c r="CP721" i="6"/>
  <c r="CP249" i="6"/>
  <c r="BU721" i="6"/>
  <c r="DH721" i="6"/>
  <c r="CZ249" i="6"/>
  <c r="CB249" i="6"/>
  <c r="BT485" i="6"/>
  <c r="CQ249" i="6"/>
  <c r="CL721" i="6"/>
  <c r="CG485" i="6"/>
  <c r="BQ485" i="6"/>
  <c r="CN485" i="6"/>
  <c r="DC485" i="6"/>
  <c r="CI249" i="6"/>
  <c r="CW721" i="6"/>
  <c r="CO721" i="6"/>
  <c r="BW249" i="6"/>
  <c r="BJ543" i="6"/>
  <c r="BK540" i="6"/>
  <c r="BJ540" i="6" s="1"/>
  <c r="BJ649" i="6"/>
  <c r="BK646" i="6"/>
  <c r="BJ646" i="6" s="1"/>
  <c r="BJ253" i="6"/>
  <c r="BK250" i="6"/>
  <c r="BJ250" i="6" s="1"/>
  <c r="BO721" i="6"/>
  <c r="BJ725" i="6"/>
  <c r="BK722" i="6"/>
  <c r="BK943" i="6"/>
  <c r="BJ943" i="6" s="1"/>
  <c r="BJ946" i="6"/>
  <c r="BJ832" i="6"/>
  <c r="BK829" i="6"/>
  <c r="BJ829" i="6" s="1"/>
  <c r="BJ779" i="6"/>
  <c r="BK776" i="6"/>
  <c r="BJ776" i="6" s="1"/>
  <c r="BJ360" i="6"/>
  <c r="BK357" i="6"/>
  <c r="BJ357" i="6" s="1"/>
  <c r="BK935" i="6"/>
  <c r="BJ938" i="6"/>
  <c r="BK918" i="6"/>
  <c r="BJ921" i="6"/>
  <c r="BJ885" i="6"/>
  <c r="BK882" i="6"/>
  <c r="BJ882" i="6" s="1"/>
  <c r="BJ501" i="6"/>
  <c r="BK498" i="6"/>
  <c r="BJ498" i="6" s="1"/>
  <c r="BM721" i="6"/>
  <c r="BJ307" i="6"/>
  <c r="BK304" i="6"/>
  <c r="BJ304" i="6" s="1"/>
  <c r="BK410" i="6"/>
  <c r="BJ410" i="6" s="1"/>
  <c r="BJ413" i="6"/>
  <c r="BJ596" i="6"/>
  <c r="BK593" i="6"/>
  <c r="BJ593" i="6" s="1"/>
  <c r="BJ737" i="6"/>
  <c r="BK734" i="6"/>
  <c r="BJ734" i="6" s="1"/>
  <c r="BK262" i="6"/>
  <c r="BJ262" i="6" s="1"/>
  <c r="BJ265" i="6"/>
  <c r="BJ489" i="6"/>
  <c r="BK486" i="6"/>
  <c r="BJ710" i="6"/>
  <c r="BK707" i="6"/>
  <c r="BJ707" i="6" s="1"/>
  <c r="BK1197" i="6"/>
  <c r="BJ1197" i="6" s="1"/>
  <c r="CP13" i="6"/>
  <c r="CX13" i="6"/>
  <c r="CR13" i="6"/>
  <c r="BZ13" i="6"/>
  <c r="BY13" i="6"/>
  <c r="CB13" i="6"/>
  <c r="BS13" i="6"/>
  <c r="CT13" i="6"/>
  <c r="BV13" i="6"/>
  <c r="DH13" i="6"/>
  <c r="CG13" i="6"/>
  <c r="BJ124" i="6"/>
  <c r="CO13" i="6"/>
  <c r="CU13" i="6"/>
  <c r="DC13" i="6"/>
  <c r="BJ71" i="6"/>
  <c r="BK68" i="6"/>
  <c r="DE13" i="6"/>
  <c r="DD13" i="6"/>
  <c r="DA13" i="6"/>
  <c r="BJ29" i="6"/>
  <c r="BK26" i="6"/>
  <c r="CW13" i="6"/>
  <c r="CD13" i="6"/>
  <c r="BR13" i="6"/>
  <c r="BJ17" i="6"/>
  <c r="BK14" i="6"/>
  <c r="CE13" i="6"/>
  <c r="BN13" i="6"/>
  <c r="DG13" i="6"/>
  <c r="CN13" i="6"/>
  <c r="BJ177" i="6"/>
  <c r="BK174" i="6"/>
  <c r="BK235" i="6"/>
  <c r="CM13" i="6"/>
  <c r="BW13" i="6"/>
  <c r="BU13" i="6"/>
  <c r="CZ13" i="6"/>
  <c r="CY13" i="6"/>
  <c r="BM13" i="6"/>
  <c r="BX13" i="6"/>
  <c r="CS13" i="6"/>
  <c r="CV13" i="6"/>
  <c r="CQ13" i="6"/>
  <c r="DB13" i="6"/>
  <c r="CH13" i="6"/>
  <c r="CI13" i="6"/>
  <c r="CJ13" i="6"/>
  <c r="DF13" i="6"/>
  <c r="CC13" i="6"/>
  <c r="BO13" i="6"/>
  <c r="BT13" i="6"/>
  <c r="CL13" i="6"/>
  <c r="CF13" i="6"/>
  <c r="CK13" i="6"/>
  <c r="BP13" i="6"/>
  <c r="CA139" i="6"/>
  <c r="CA121" i="6" s="1"/>
  <c r="U28" i="9" s="1"/>
  <c r="BQ139" i="6"/>
  <c r="L177" i="9"/>
  <c r="K181" i="9"/>
  <c r="BM1195" i="6" l="1"/>
  <c r="BN1195" i="6" s="1"/>
  <c r="BO1195" i="6" s="1"/>
  <c r="BP1195" i="6" s="1"/>
  <c r="BQ121" i="6"/>
  <c r="K28" i="9" s="1"/>
  <c r="E28" i="9" s="1"/>
  <c r="CK10" i="6"/>
  <c r="CY10" i="6"/>
  <c r="AS24" i="9" s="1"/>
  <c r="AS13" i="9" s="1"/>
  <c r="AS39" i="9" s="1"/>
  <c r="CV10" i="6"/>
  <c r="AP24" i="9" s="1"/>
  <c r="AP13" i="9" s="1"/>
  <c r="AP39" i="9" s="1"/>
  <c r="DD10" i="6"/>
  <c r="AX24" i="9" s="1"/>
  <c r="AX13" i="9" s="1"/>
  <c r="AX39" i="9" s="1"/>
  <c r="DE10" i="6"/>
  <c r="AY24" i="9" s="1"/>
  <c r="AY13" i="9" s="1"/>
  <c r="AY39" i="9" s="1"/>
  <c r="BT10" i="6"/>
  <c r="BS10" i="6"/>
  <c r="CS10" i="6"/>
  <c r="AM24" i="9" s="1"/>
  <c r="DF10" i="6"/>
  <c r="AZ24" i="9" s="1"/>
  <c r="AZ13" i="9" s="1"/>
  <c r="AZ39" i="9" s="1"/>
  <c r="CX10" i="6"/>
  <c r="AR24" i="9" s="1"/>
  <c r="AR13" i="9" s="1"/>
  <c r="AR39" i="9" s="1"/>
  <c r="BP10" i="6"/>
  <c r="CN10" i="6"/>
  <c r="AH24" i="9" s="1"/>
  <c r="CW10" i="6"/>
  <c r="AQ24" i="9" s="1"/>
  <c r="AQ13" i="9" s="1"/>
  <c r="AQ39" i="9" s="1"/>
  <c r="DC10" i="6"/>
  <c r="AW24" i="9" s="1"/>
  <c r="AW13" i="9" s="1"/>
  <c r="AW39" i="9" s="1"/>
  <c r="CI10" i="6"/>
  <c r="CH10" i="6"/>
  <c r="CZ10" i="6"/>
  <c r="AT24" i="9" s="1"/>
  <c r="AT13" i="9" s="1"/>
  <c r="AT39" i="9" s="1"/>
  <c r="DG10" i="6"/>
  <c r="BA24" i="9" s="1"/>
  <c r="BA13" i="9" s="1"/>
  <c r="BA39" i="9" s="1"/>
  <c r="CB10" i="6"/>
  <c r="CF10" i="6"/>
  <c r="CL10" i="6"/>
  <c r="AF24" i="9" s="1"/>
  <c r="AF13" i="9" s="1"/>
  <c r="AF39" i="9" s="1"/>
  <c r="DB10" i="6"/>
  <c r="AV24" i="9" s="1"/>
  <c r="AV13" i="9" s="1"/>
  <c r="AV39" i="9" s="1"/>
  <c r="BU10" i="6"/>
  <c r="BN10" i="6"/>
  <c r="CO10" i="6"/>
  <c r="AI24" i="9" s="1"/>
  <c r="AI13" i="9" s="1"/>
  <c r="AI39" i="9" s="1"/>
  <c r="BY10" i="6"/>
  <c r="CQ10" i="6"/>
  <c r="AK24" i="9" s="1"/>
  <c r="BW10" i="6"/>
  <c r="CE10" i="6"/>
  <c r="DA10" i="6"/>
  <c r="AU24" i="9" s="1"/>
  <c r="AU13" i="9" s="1"/>
  <c r="AU39" i="9" s="1"/>
  <c r="BZ10" i="6"/>
  <c r="BO10" i="6"/>
  <c r="CM10" i="6"/>
  <c r="AG24" i="9" s="1"/>
  <c r="AG13" i="9" s="1"/>
  <c r="AG39" i="9" s="1"/>
  <c r="CG10" i="6"/>
  <c r="CR10" i="6"/>
  <c r="AL24" i="9" s="1"/>
  <c r="BX10" i="6"/>
  <c r="BR10" i="6"/>
  <c r="BV10" i="6"/>
  <c r="CC10" i="6"/>
  <c r="DH10" i="6"/>
  <c r="BB24" i="9" s="1"/>
  <c r="CJ10" i="6"/>
  <c r="CD10" i="6"/>
  <c r="CT10" i="6"/>
  <c r="AN24" i="9" s="1"/>
  <c r="CU10" i="6"/>
  <c r="AO24" i="9" s="1"/>
  <c r="CP10" i="6"/>
  <c r="AJ24" i="9" s="1"/>
  <c r="AJ13" i="9" s="1"/>
  <c r="AJ39" i="9" s="1"/>
  <c r="BM10" i="6"/>
  <c r="BJ958" i="6"/>
  <c r="BK957" i="6"/>
  <c r="E32" i="9"/>
  <c r="E30" i="9"/>
  <c r="E34" i="9"/>
  <c r="E27" i="9"/>
  <c r="E26" i="9"/>
  <c r="E29" i="9"/>
  <c r="E33" i="9"/>
  <c r="BK249" i="6"/>
  <c r="BJ486" i="6"/>
  <c r="BK485" i="6"/>
  <c r="BK721" i="6"/>
  <c r="BJ722" i="6"/>
  <c r="CA13" i="6"/>
  <c r="CA10" i="6" s="1"/>
  <c r="BK139" i="6"/>
  <c r="L181" i="9"/>
  <c r="M177" i="9"/>
  <c r="AD23" i="9"/>
  <c r="BQ13" i="6" l="1"/>
  <c r="BQ10" i="6" s="1"/>
  <c r="BJ139" i="6"/>
  <c r="BK121" i="6"/>
  <c r="BK13" i="6" s="1"/>
  <c r="N177" i="9"/>
  <c r="M181" i="9"/>
  <c r="AD17" i="9"/>
  <c r="AD18" i="9"/>
  <c r="BQ1195" i="6" l="1"/>
  <c r="BR1195" i="6" s="1"/>
  <c r="BS1195" i="6" s="1"/>
  <c r="BT1195" i="6" s="1"/>
  <c r="BU1195" i="6" s="1"/>
  <c r="BV1195" i="6" s="1"/>
  <c r="BW1195" i="6" s="1"/>
  <c r="BX1195" i="6" s="1"/>
  <c r="BY1195" i="6" s="1"/>
  <c r="BZ1195" i="6" s="1"/>
  <c r="CA1195" i="6" s="1"/>
  <c r="CB1195" i="6" s="1"/>
  <c r="CC1195" i="6" s="1"/>
  <c r="CD1195" i="6" s="1"/>
  <c r="CE1195" i="6" s="1"/>
  <c r="CF1195" i="6" s="1"/>
  <c r="CG1195" i="6" s="1"/>
  <c r="CH1195" i="6" s="1"/>
  <c r="CI1195" i="6" s="1"/>
  <c r="CJ1195" i="6" s="1"/>
  <c r="CK1195" i="6" s="1"/>
  <c r="CL1195" i="6" s="1"/>
  <c r="CM1195" i="6" s="1"/>
  <c r="CN1195" i="6" s="1"/>
  <c r="CO1195" i="6" s="1"/>
  <c r="CP1195" i="6" s="1"/>
  <c r="CQ1195" i="6" s="1"/>
  <c r="CR1195" i="6" s="1"/>
  <c r="CS1195" i="6" s="1"/>
  <c r="CT1195" i="6" s="1"/>
  <c r="CU1195" i="6" s="1"/>
  <c r="CV1195" i="6" s="1"/>
  <c r="CW1195" i="6" s="1"/>
  <c r="CX1195" i="6" s="1"/>
  <c r="CY1195" i="6" s="1"/>
  <c r="CZ1195" i="6" s="1"/>
  <c r="DA1195" i="6" s="1"/>
  <c r="DB1195" i="6" s="1"/>
  <c r="DC1195" i="6" s="1"/>
  <c r="DD1195" i="6" s="1"/>
  <c r="DE1195" i="6" s="1"/>
  <c r="DF1195" i="6" s="1"/>
  <c r="DG1195" i="6" s="1"/>
  <c r="DH1195" i="6" s="1"/>
  <c r="N181" i="9"/>
  <c r="O177" i="9"/>
  <c r="AD21" i="9"/>
  <c r="AD15" i="9"/>
  <c r="AE24" i="9"/>
  <c r="AE13" i="9" s="1"/>
  <c r="AE39" i="9" s="1"/>
  <c r="P177" i="9" l="1"/>
  <c r="O181" i="9"/>
  <c r="AD24" i="9"/>
  <c r="AD13" i="9" s="1"/>
  <c r="P181" i="9" l="1"/>
  <c r="Q177" i="9"/>
  <c r="AD39" i="9"/>
  <c r="R177" i="9" l="1"/>
  <c r="Q181" i="9"/>
  <c r="R181" i="9" l="1"/>
  <c r="S177" i="9"/>
  <c r="T177" i="9" l="1"/>
  <c r="S181" i="9"/>
  <c r="T181" i="9" l="1"/>
  <c r="U177" i="9"/>
  <c r="K39" i="7"/>
  <c r="L39" i="7" s="1"/>
  <c r="L33" i="7" s="1"/>
  <c r="K78" i="7"/>
  <c r="L78" i="7" s="1"/>
  <c r="L55" i="7"/>
  <c r="K18" i="7"/>
  <c r="L18" i="7" s="1"/>
  <c r="V177" i="9" l="1"/>
  <c r="U181" i="9"/>
  <c r="B37" i="12"/>
  <c r="G94" i="12"/>
  <c r="E94" i="12"/>
  <c r="K61" i="12"/>
  <c r="D39" i="12"/>
  <c r="AA24" i="9"/>
  <c r="AB24" i="9"/>
  <c r="AC24" i="9"/>
  <c r="R7" i="9"/>
  <c r="R11" i="9" s="1"/>
  <c r="R179" i="9" s="1"/>
  <c r="I7" i="9"/>
  <c r="I11" i="9" s="1"/>
  <c r="I179" i="9" s="1"/>
  <c r="J7" i="9"/>
  <c r="K7" i="9"/>
  <c r="K11" i="9" s="1"/>
  <c r="K179" i="9" s="1"/>
  <c r="L7" i="9"/>
  <c r="L11" i="9" s="1"/>
  <c r="L179" i="9" s="1"/>
  <c r="M7" i="9"/>
  <c r="M11" i="9" s="1"/>
  <c r="M179" i="9" s="1"/>
  <c r="N7" i="9"/>
  <c r="N11" i="9" s="1"/>
  <c r="N179" i="9" s="1"/>
  <c r="O7" i="9"/>
  <c r="O11" i="9" s="1"/>
  <c r="O179" i="9" s="1"/>
  <c r="P7" i="9"/>
  <c r="P11" i="9" s="1"/>
  <c r="P179" i="9" s="1"/>
  <c r="Q7" i="9"/>
  <c r="Q11" i="9" s="1"/>
  <c r="Q179" i="9" s="1"/>
  <c r="S7" i="9"/>
  <c r="S11" i="9" s="1"/>
  <c r="S179" i="9" s="1"/>
  <c r="T7" i="9"/>
  <c r="U7" i="9"/>
  <c r="U11" i="9" s="1"/>
  <c r="U179" i="9" s="1"/>
  <c r="G7" i="9"/>
  <c r="H7" i="9"/>
  <c r="H11" i="9" s="1"/>
  <c r="H179" i="9" s="1"/>
  <c r="V181" i="9" l="1"/>
  <c r="W177" i="9"/>
  <c r="G11" i="9"/>
  <c r="G179" i="9" s="1"/>
  <c r="J27" i="12"/>
  <c r="X177" i="9" l="1"/>
  <c r="W181" i="9"/>
  <c r="K4" i="12"/>
  <c r="B33" i="12"/>
  <c r="C41" i="12" s="1"/>
  <c r="C33" i="12"/>
  <c r="C37" i="12"/>
  <c r="X181" i="9" l="1"/>
  <c r="Y177" i="9"/>
  <c r="L13" i="11"/>
  <c r="Z177" i="9" l="1"/>
  <c r="Y181" i="9"/>
  <c r="K6" i="11"/>
  <c r="M15" i="11"/>
  <c r="H13" i="11"/>
  <c r="F11" i="12" s="1"/>
  <c r="G11" i="12" s="1"/>
  <c r="V175" i="9"/>
  <c r="W175" i="9"/>
  <c r="X175" i="9"/>
  <c r="Y175" i="9"/>
  <c r="Z175" i="9"/>
  <c r="AA175" i="9"/>
  <c r="AB175" i="9"/>
  <c r="AC175" i="9"/>
  <c r="I23" i="9"/>
  <c r="K23" i="9"/>
  <c r="R23" i="9"/>
  <c r="S23" i="9"/>
  <c r="T23" i="9"/>
  <c r="U23" i="9"/>
  <c r="V23" i="9"/>
  <c r="W23" i="9"/>
  <c r="X23" i="9"/>
  <c r="Y23" i="9"/>
  <c r="Z23" i="9"/>
  <c r="AA23" i="9"/>
  <c r="AB23" i="9"/>
  <c r="AC23" i="9"/>
  <c r="I22" i="9"/>
  <c r="K22" i="9"/>
  <c r="R22" i="9"/>
  <c r="S22" i="9"/>
  <c r="T22" i="9"/>
  <c r="U22" i="9"/>
  <c r="V22" i="9"/>
  <c r="W22" i="9"/>
  <c r="X22" i="9"/>
  <c r="Y22" i="9"/>
  <c r="Z22" i="9"/>
  <c r="AA22" i="9"/>
  <c r="AB22" i="9"/>
  <c r="AC22" i="9"/>
  <c r="T21" i="9"/>
  <c r="W21" i="9"/>
  <c r="X21" i="9"/>
  <c r="Z21" i="9"/>
  <c r="AA21" i="9"/>
  <c r="AB21" i="9"/>
  <c r="AC21" i="9"/>
  <c r="I20" i="9"/>
  <c r="K20" i="9"/>
  <c r="L20" i="9"/>
  <c r="R20" i="9"/>
  <c r="S20" i="9"/>
  <c r="T20" i="9"/>
  <c r="U20" i="9"/>
  <c r="V20" i="9"/>
  <c r="W20" i="9"/>
  <c r="X20" i="9"/>
  <c r="Y20" i="9"/>
  <c r="Z20" i="9"/>
  <c r="AA20" i="9"/>
  <c r="AB20" i="9"/>
  <c r="AC20" i="9"/>
  <c r="I19" i="9"/>
  <c r="R19" i="9"/>
  <c r="S19" i="9"/>
  <c r="U19" i="9"/>
  <c r="V19" i="9"/>
  <c r="W19" i="9"/>
  <c r="X19" i="9"/>
  <c r="Z19" i="9"/>
  <c r="AA19" i="9"/>
  <c r="AB19" i="9"/>
  <c r="AC19" i="9"/>
  <c r="I18" i="9"/>
  <c r="R18" i="9"/>
  <c r="S18" i="9"/>
  <c r="Z18" i="9"/>
  <c r="AA18" i="9"/>
  <c r="AB18" i="9"/>
  <c r="AC18" i="9"/>
  <c r="W17" i="9"/>
  <c r="AA17" i="9"/>
  <c r="AB17" i="9"/>
  <c r="AC17" i="9"/>
  <c r="P13" i="11"/>
  <c r="Z181" i="9" l="1"/>
  <c r="AA177" i="9"/>
  <c r="AV36" i="9"/>
  <c r="AG36" i="9"/>
  <c r="AZ36" i="9"/>
  <c r="AQ36" i="9"/>
  <c r="X16" i="9"/>
  <c r="R16" i="9"/>
  <c r="V16" i="9"/>
  <c r="Z16" i="9"/>
  <c r="S16" i="9"/>
  <c r="BB15" i="9"/>
  <c r="BB13" i="9" s="1"/>
  <c r="AC16" i="9"/>
  <c r="AB16" i="9"/>
  <c r="AB15" i="9"/>
  <c r="AB13" i="9" s="1"/>
  <c r="AA16" i="9"/>
  <c r="AA15" i="9"/>
  <c r="AA13" i="9" s="1"/>
  <c r="N15" i="11"/>
  <c r="O15" i="11" s="1"/>
  <c r="F29" i="12"/>
  <c r="B29" i="12"/>
  <c r="AB177" i="9" l="1"/>
  <c r="AA181" i="9"/>
  <c r="AT36" i="9"/>
  <c r="L121" i="7"/>
  <c r="AS36" i="9"/>
  <c r="AX36" i="9"/>
  <c r="AF36" i="9"/>
  <c r="BA36" i="9"/>
  <c r="AY36" i="9"/>
  <c r="AR36" i="9"/>
  <c r="BB36" i="9"/>
  <c r="AJ36" i="9"/>
  <c r="AU36" i="9"/>
  <c r="BB39" i="9"/>
  <c r="AP36" i="9"/>
  <c r="AC15" i="9"/>
  <c r="AC13" i="9" s="1"/>
  <c r="AW36" i="9"/>
  <c r="AD36" i="9"/>
  <c r="AI36" i="9"/>
  <c r="AB36" i="9"/>
  <c r="AA36" i="9"/>
  <c r="AB181" i="9" l="1"/>
  <c r="AC177" i="9"/>
  <c r="AC36" i="9"/>
  <c r="AC39" i="9"/>
  <c r="AE36" i="9"/>
  <c r="M20" i="9"/>
  <c r="M23" i="9"/>
  <c r="AD177" i="9" l="1"/>
  <c r="AC181" i="9"/>
  <c r="AK15" i="9"/>
  <c r="AK13" i="9" s="1"/>
  <c r="AD181" i="9" l="1"/>
  <c r="AE177" i="9"/>
  <c r="AK36" i="9"/>
  <c r="AK39" i="9"/>
  <c r="AN433" i="7" l="1"/>
  <c r="AF177" i="9"/>
  <c r="AE181" i="9"/>
  <c r="J13" i="11"/>
  <c r="K13" i="11"/>
  <c r="I13" i="11"/>
  <c r="H6" i="11"/>
  <c r="S15" i="11"/>
  <c r="S95" i="11"/>
  <c r="AF181" i="9" l="1"/>
  <c r="AO433" i="7"/>
  <c r="AG177" i="9"/>
  <c r="R8" i="11" a="1"/>
  <c r="R8" i="11" s="1"/>
  <c r="J33" i="12" s="1"/>
  <c r="O6" i="11"/>
  <c r="O8" i="11"/>
  <c r="O4" i="11"/>
  <c r="M95" i="11"/>
  <c r="N95" i="11" s="1"/>
  <c r="O95" i="11" s="1"/>
  <c r="AP433" i="7" l="1"/>
  <c r="AH177" i="9"/>
  <c r="AG181" i="9"/>
  <c r="AA39" i="9"/>
  <c r="G29" i="12"/>
  <c r="I29" i="12" s="1"/>
  <c r="C29" i="12"/>
  <c r="D29" i="12" s="1"/>
  <c r="M13" i="11"/>
  <c r="Q15" i="11"/>
  <c r="J11" i="9" s="1"/>
  <c r="J179" i="9" s="1"/>
  <c r="Q95" i="11"/>
  <c r="G33" i="12" l="1"/>
  <c r="T11" i="9"/>
  <c r="AH181" i="9"/>
  <c r="AQ433" i="7"/>
  <c r="AI177" i="9"/>
  <c r="N13" i="11"/>
  <c r="F37" i="12"/>
  <c r="G37" i="12" s="1"/>
  <c r="F33" i="12"/>
  <c r="AB39" i="9"/>
  <c r="T179" i="9" l="1"/>
  <c r="E11" i="9"/>
  <c r="AR433" i="7"/>
  <c r="AJ177" i="9"/>
  <c r="AI181" i="9"/>
  <c r="R4" i="11"/>
  <c r="O13" i="11"/>
  <c r="Q13" i="11"/>
  <c r="R6" i="11"/>
  <c r="AJ181" i="9" l="1"/>
  <c r="AS433" i="7"/>
  <c r="AK177" i="9"/>
  <c r="AT433" i="7" l="1"/>
  <c r="AL177" i="9"/>
  <c r="AK181" i="9"/>
  <c r="L77" i="7"/>
  <c r="K12" i="7"/>
  <c r="L12" i="7" s="1"/>
  <c r="AL181" i="9" l="1"/>
  <c r="AU433" i="7"/>
  <c r="AM177" i="9"/>
  <c r="K14" i="7"/>
  <c r="L14" i="7" s="1"/>
  <c r="L11" i="7" s="1"/>
  <c r="AV433" i="7" l="1"/>
  <c r="AN177" i="9"/>
  <c r="AM181" i="9"/>
  <c r="AN181" i="9" l="1"/>
  <c r="AW433" i="7"/>
  <c r="AO177" i="9"/>
  <c r="H175" i="9"/>
  <c r="G175" i="9"/>
  <c r="U175" i="9"/>
  <c r="T175" i="9"/>
  <c r="S175" i="9"/>
  <c r="I175" i="9"/>
  <c r="R175" i="9"/>
  <c r="Q175" i="9"/>
  <c r="J175" i="9"/>
  <c r="P175" i="9"/>
  <c r="O175" i="9"/>
  <c r="N175" i="9"/>
  <c r="M175" i="9"/>
  <c r="L175" i="9"/>
  <c r="K175" i="9"/>
  <c r="AX433" i="7" l="1"/>
  <c r="AP177" i="9"/>
  <c r="AO181" i="9"/>
  <c r="B22" i="9"/>
  <c r="B34" i="9"/>
  <c r="B33" i="9"/>
  <c r="B32" i="9"/>
  <c r="B31" i="9"/>
  <c r="B30" i="9"/>
  <c r="B29" i="9"/>
  <c r="B27" i="9"/>
  <c r="B26" i="9"/>
  <c r="B25" i="9"/>
  <c r="B23" i="9"/>
  <c r="B21" i="9"/>
  <c r="B20" i="9"/>
  <c r="B19" i="9"/>
  <c r="B18" i="9"/>
  <c r="B17" i="9"/>
  <c r="B16" i="9"/>
  <c r="AP181" i="9" l="1"/>
  <c r="AY433" i="7"/>
  <c r="AQ177" i="9"/>
  <c r="G31" i="9"/>
  <c r="E31" i="9" s="1"/>
  <c r="G23" i="9"/>
  <c r="H22" i="9"/>
  <c r="G22" i="9"/>
  <c r="H20" i="9"/>
  <c r="G20" i="9"/>
  <c r="G19" i="9"/>
  <c r="G17" i="9"/>
  <c r="G16" i="9"/>
  <c r="AZ433" i="7" l="1"/>
  <c r="AR177" i="9"/>
  <c r="AQ181" i="9"/>
  <c r="AR181" i="9" l="1"/>
  <c r="BA433" i="7"/>
  <c r="AS177" i="9"/>
  <c r="G87" i="12"/>
  <c r="G55" i="12"/>
  <c r="BB433" i="7" l="1"/>
  <c r="AT177" i="9"/>
  <c r="AS181" i="9"/>
  <c r="G85" i="12"/>
  <c r="G47" i="12"/>
  <c r="G86" i="12"/>
  <c r="AT181" i="9" l="1"/>
  <c r="BC433" i="7"/>
  <c r="AU177" i="9"/>
  <c r="G84" i="12"/>
  <c r="BD433" i="7" l="1"/>
  <c r="AV177" i="9"/>
  <c r="AU181" i="9"/>
  <c r="P5" i="1"/>
  <c r="B5" i="3"/>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B60" i="3" s="1"/>
  <c r="B61" i="3" s="1"/>
  <c r="B62" i="3" s="1"/>
  <c r="B63" i="3" s="1"/>
  <c r="B64" i="3" s="1"/>
  <c r="B65" i="3" s="1"/>
  <c r="B66" i="3" s="1"/>
  <c r="B67" i="3" s="1"/>
  <c r="B68" i="3" s="1"/>
  <c r="B69" i="3" s="1"/>
  <c r="B70" i="3" s="1"/>
  <c r="B71" i="3" s="1"/>
  <c r="B72" i="3" s="1"/>
  <c r="B73" i="3" s="1"/>
  <c r="B74" i="3" s="1"/>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B185" i="3" s="1"/>
  <c r="B186" i="3" s="1"/>
  <c r="B187" i="3" s="1"/>
  <c r="B188" i="3" s="1"/>
  <c r="B189" i="3" s="1"/>
  <c r="B190" i="3" s="1"/>
  <c r="B191" i="3" s="1"/>
  <c r="B192" i="3" s="1"/>
  <c r="B193" i="3" s="1"/>
  <c r="B194" i="3" s="1"/>
  <c r="B195" i="3" s="1"/>
  <c r="B196" i="3" s="1"/>
  <c r="B197" i="3" s="1"/>
  <c r="B198" i="3" s="1"/>
  <c r="B199" i="3" s="1"/>
  <c r="B200" i="3" s="1"/>
  <c r="B201" i="3" s="1"/>
  <c r="B202" i="3" s="1"/>
  <c r="B203" i="3" s="1"/>
  <c r="B204" i="3" s="1"/>
  <c r="B205" i="3" s="1"/>
  <c r="B206" i="3" s="1"/>
  <c r="B207" i="3" s="1"/>
  <c r="B208" i="3" s="1"/>
  <c r="B209" i="3" s="1"/>
  <c r="B210" i="3" s="1"/>
  <c r="B211" i="3" s="1"/>
  <c r="B212" i="3" s="1"/>
  <c r="B213" i="3" s="1"/>
  <c r="B214" i="3" s="1"/>
  <c r="B215" i="3" s="1"/>
  <c r="B216" i="3" s="1"/>
  <c r="B217" i="3" s="1"/>
  <c r="B218" i="3" s="1"/>
  <c r="B219" i="3" s="1"/>
  <c r="B220" i="3" s="1"/>
  <c r="B221" i="3" s="1"/>
  <c r="B222" i="3" s="1"/>
  <c r="B223" i="3" s="1"/>
  <c r="B224" i="3" s="1"/>
  <c r="B225" i="3" s="1"/>
  <c r="B226" i="3" s="1"/>
  <c r="B227" i="3" s="1"/>
  <c r="B228" i="3" s="1"/>
  <c r="B229" i="3" s="1"/>
  <c r="B230" i="3" s="1"/>
  <c r="B231" i="3" s="1"/>
  <c r="B232" i="3" s="1"/>
  <c r="B233" i="3" s="1"/>
  <c r="B234" i="3" s="1"/>
  <c r="B235" i="3" s="1"/>
  <c r="B236" i="3" s="1"/>
  <c r="B237" i="3" s="1"/>
  <c r="B238" i="3" s="1"/>
  <c r="B239" i="3" s="1"/>
  <c r="B240" i="3" s="1"/>
  <c r="B241" i="3" s="1"/>
  <c r="B242" i="3" s="1"/>
  <c r="B243" i="3" s="1"/>
  <c r="B244" i="3" s="1"/>
  <c r="B245" i="3" s="1"/>
  <c r="B246" i="3" s="1"/>
  <c r="B247" i="3" s="1"/>
  <c r="B248" i="3" s="1"/>
  <c r="B249" i="3" s="1"/>
  <c r="B250" i="3" s="1"/>
  <c r="B251" i="3" s="1"/>
  <c r="B252" i="3" s="1"/>
  <c r="B253" i="3" s="1"/>
  <c r="B254" i="3" s="1"/>
  <c r="B255" i="3" s="1"/>
  <c r="B256" i="3" s="1"/>
  <c r="B257" i="3" s="1"/>
  <c r="B258" i="3" s="1"/>
  <c r="B259" i="3" s="1"/>
  <c r="B260" i="3" s="1"/>
  <c r="B261" i="3" s="1"/>
  <c r="B262" i="3" s="1"/>
  <c r="B263" i="3" s="1"/>
  <c r="B264" i="3" s="1"/>
  <c r="B265" i="3" s="1"/>
  <c r="B266" i="3" s="1"/>
  <c r="B267" i="3" s="1"/>
  <c r="B268" i="3" s="1"/>
  <c r="B269" i="3" s="1"/>
  <c r="B270" i="3" s="1"/>
  <c r="B271" i="3" s="1"/>
  <c r="B272" i="3" s="1"/>
  <c r="B273" i="3" s="1"/>
  <c r="B274" i="3" s="1"/>
  <c r="B275" i="3" s="1"/>
  <c r="B276" i="3" s="1"/>
  <c r="B277" i="3" s="1"/>
  <c r="B278" i="3" s="1"/>
  <c r="B279" i="3" s="1"/>
  <c r="B280" i="3" s="1"/>
  <c r="B281" i="3" s="1"/>
  <c r="B282" i="3" s="1"/>
  <c r="B283" i="3" s="1"/>
  <c r="B284" i="3" s="1"/>
  <c r="B285" i="3" s="1"/>
  <c r="B286" i="3" s="1"/>
  <c r="B287" i="3" s="1"/>
  <c r="B288" i="3" s="1"/>
  <c r="B289" i="3" s="1"/>
  <c r="B290" i="3" s="1"/>
  <c r="B291" i="3" s="1"/>
  <c r="B292" i="3" s="1"/>
  <c r="B293" i="3" s="1"/>
  <c r="B294" i="3" s="1"/>
  <c r="B295" i="3" s="1"/>
  <c r="B296" i="3" s="1"/>
  <c r="B297" i="3" s="1"/>
  <c r="B298" i="3" s="1"/>
  <c r="B299" i="3" s="1"/>
  <c r="B300" i="3" s="1"/>
  <c r="B301" i="3" s="1"/>
  <c r="B302" i="3" s="1"/>
  <c r="B303" i="3" s="1"/>
  <c r="AV181" i="9" l="1"/>
  <c r="BE433" i="7"/>
  <c r="AW177" i="9"/>
  <c r="AH15" i="9"/>
  <c r="AH13" i="9" s="1"/>
  <c r="J20" i="9"/>
  <c r="BF433" i="7" l="1"/>
  <c r="AX177" i="9"/>
  <c r="AW181" i="9"/>
  <c r="AH36" i="9"/>
  <c r="AH39" i="9"/>
  <c r="AX181" i="9" l="1"/>
  <c r="BG433" i="7"/>
  <c r="AY177" i="9"/>
  <c r="I2" i="5"/>
  <c r="G5" i="2"/>
  <c r="H5" i="2" s="1"/>
  <c r="BH433" i="7" l="1"/>
  <c r="AZ177" i="9"/>
  <c r="AY181" i="9"/>
  <c r="J7" i="6"/>
  <c r="H5" i="6"/>
  <c r="I13" i="5"/>
  <c r="AZ181" i="9" l="1"/>
  <c r="BI433" i="7"/>
  <c r="BB177" i="9" s="1"/>
  <c r="BA177" i="9"/>
  <c r="A12" i="5"/>
  <c r="A13" i="5"/>
  <c r="AJ9" i="5"/>
  <c r="AR9" i="5"/>
  <c r="AZ9" i="5"/>
  <c r="M9" i="5"/>
  <c r="U9" i="5"/>
  <c r="AK9" i="5"/>
  <c r="AS9" i="5"/>
  <c r="BA9" i="5"/>
  <c r="N9" i="5"/>
  <c r="V9" i="5"/>
  <c r="AD9" i="5"/>
  <c r="AL9" i="5"/>
  <c r="AT9" i="5"/>
  <c r="BB9" i="5"/>
  <c r="O9" i="5"/>
  <c r="AE9" i="5"/>
  <c r="AM9" i="5"/>
  <c r="AU9" i="5"/>
  <c r="BC9" i="5"/>
  <c r="AG9" i="5"/>
  <c r="BE9" i="5"/>
  <c r="X9" i="5"/>
  <c r="AF9" i="5"/>
  <c r="AN9" i="5"/>
  <c r="AV9" i="5"/>
  <c r="BD9" i="5"/>
  <c r="Q9" i="5"/>
  <c r="AO9" i="5"/>
  <c r="AW9" i="5"/>
  <c r="R9" i="5"/>
  <c r="Z9" i="5"/>
  <c r="AH9" i="5"/>
  <c r="AP9" i="5"/>
  <c r="AX9" i="5"/>
  <c r="AI9" i="5"/>
  <c r="AQ9" i="5"/>
  <c r="AY9" i="5"/>
  <c r="AC9" i="5"/>
  <c r="AA9" i="5"/>
  <c r="AB9" i="5"/>
  <c r="BF9" i="5"/>
  <c r="T9" i="5"/>
  <c r="S9" i="5"/>
  <c r="Y9" i="5"/>
  <c r="L9" i="5"/>
  <c r="P9" i="5"/>
  <c r="W9" i="5"/>
  <c r="I11" i="5"/>
  <c r="I116" i="5"/>
  <c r="J187" i="6"/>
  <c r="I63" i="5"/>
  <c r="I71" i="5"/>
  <c r="I132" i="5"/>
  <c r="G80" i="12"/>
  <c r="B80" i="12" s="1"/>
  <c r="A188" i="6" l="1"/>
  <c r="A187" i="6"/>
  <c r="A209" i="6"/>
  <c r="BJ187" i="6"/>
  <c r="D68" i="12"/>
  <c r="C68" i="12"/>
  <c r="G68" i="12"/>
  <c r="B68" i="12" s="1"/>
  <c r="A63" i="5"/>
  <c r="C77" i="12"/>
  <c r="D77" i="12"/>
  <c r="A116" i="5"/>
  <c r="C81" i="12"/>
  <c r="D81" i="12"/>
  <c r="A71" i="5"/>
  <c r="D78" i="12"/>
  <c r="C78" i="12"/>
  <c r="A11" i="5"/>
  <c r="C75" i="12"/>
  <c r="D75" i="12"/>
  <c r="A132" i="5"/>
  <c r="D82" i="12"/>
  <c r="C82" i="12"/>
  <c r="BB181" i="9"/>
  <c r="BA181" i="9"/>
  <c r="G82" i="12"/>
  <c r="B82" i="12" s="1"/>
  <c r="G78" i="12"/>
  <c r="B78" i="12" s="1"/>
  <c r="G81" i="12"/>
  <c r="B81" i="12" s="1"/>
  <c r="G77" i="12"/>
  <c r="B77" i="12" s="1"/>
  <c r="G75" i="12"/>
  <c r="B75" i="12" s="1"/>
  <c r="G51" i="12"/>
  <c r="G46" i="12" s="1"/>
  <c r="I52" i="5"/>
  <c r="J28" i="6"/>
  <c r="A28" i="6" s="1"/>
  <c r="J26" i="6"/>
  <c r="J241" i="6"/>
  <c r="A247" i="6" l="1"/>
  <c r="A241" i="6"/>
  <c r="A242" i="6"/>
  <c r="A67" i="6"/>
  <c r="A26" i="6"/>
  <c r="A27" i="6"/>
  <c r="D64" i="12"/>
  <c r="C64" i="12"/>
  <c r="BJ241" i="6"/>
  <c r="D72" i="12"/>
  <c r="C72" i="12"/>
  <c r="A52" i="5"/>
  <c r="C76" i="12"/>
  <c r="D76" i="12"/>
  <c r="G76" i="12"/>
  <c r="B76" i="12" s="1"/>
  <c r="J227" i="6"/>
  <c r="G72" i="12"/>
  <c r="B72" i="12" s="1"/>
  <c r="G64" i="12"/>
  <c r="B64" i="12" s="1"/>
  <c r="J174" i="6"/>
  <c r="I82" i="5"/>
  <c r="A228" i="6" l="1"/>
  <c r="A234" i="6"/>
  <c r="A227" i="6"/>
  <c r="A174" i="6"/>
  <c r="A175" i="6"/>
  <c r="A186" i="6"/>
  <c r="BJ227" i="6"/>
  <c r="G70" i="12"/>
  <c r="B70" i="12" s="1"/>
  <c r="D70" i="12"/>
  <c r="C70" i="12"/>
  <c r="D67" i="12"/>
  <c r="C67" i="12"/>
  <c r="G67" i="12"/>
  <c r="B67" i="12" s="1"/>
  <c r="A82" i="5"/>
  <c r="F112" i="12" s="1"/>
  <c r="C79" i="12"/>
  <c r="D79" i="12"/>
  <c r="G79" i="12"/>
  <c r="B79" i="12" s="1"/>
  <c r="E109" i="12"/>
  <c r="F113" i="12"/>
  <c r="I9" i="5"/>
  <c r="A9" i="5" s="1"/>
  <c r="E112" i="12" l="1"/>
  <c r="G74" i="12"/>
  <c r="F108" i="12"/>
  <c r="F110" i="12"/>
  <c r="E111" i="12"/>
  <c r="F111" i="12"/>
  <c r="E108" i="12"/>
  <c r="F109" i="12"/>
  <c r="E110" i="12"/>
  <c r="E113" i="12"/>
  <c r="G109" i="12"/>
  <c r="K109" i="12" s="1"/>
  <c r="M22" i="9"/>
  <c r="E107" i="12" l="1"/>
  <c r="G108" i="12"/>
  <c r="K108" i="12" s="1"/>
  <c r="G111" i="12"/>
  <c r="K111" i="12" s="1"/>
  <c r="G112" i="12"/>
  <c r="K112" i="12" s="1"/>
  <c r="G110" i="12"/>
  <c r="K110" i="12" s="1"/>
  <c r="G113" i="12"/>
  <c r="K113" i="12" s="1"/>
  <c r="K18" i="9"/>
  <c r="J22" i="9"/>
  <c r="J23" i="9"/>
  <c r="Y17" i="9"/>
  <c r="Y21" i="9"/>
  <c r="K21" i="9"/>
  <c r="S21" i="9"/>
  <c r="J21" i="9"/>
  <c r="M18" i="9"/>
  <c r="G18" i="9"/>
  <c r="I17" i="9"/>
  <c r="X18" i="9"/>
  <c r="O21" i="9"/>
  <c r="Y18" i="9"/>
  <c r="U18" i="9"/>
  <c r="T19" i="9"/>
  <c r="I21" i="9"/>
  <c r="T17" i="9"/>
  <c r="V18" i="9"/>
  <c r="T18" i="9"/>
  <c r="L21" i="9"/>
  <c r="R21" i="9"/>
  <c r="L23" i="9"/>
  <c r="L19" i="9"/>
  <c r="M19" i="9"/>
  <c r="N17" i="9"/>
  <c r="K19" i="9"/>
  <c r="Y19" i="9"/>
  <c r="U21" i="9"/>
  <c r="L17" i="9"/>
  <c r="N18" i="9"/>
  <c r="J19" i="9"/>
  <c r="M21" i="9"/>
  <c r="N21" i="9"/>
  <c r="J18" i="9"/>
  <c r="U16" i="9"/>
  <c r="T16" i="9"/>
  <c r="K16" i="9"/>
  <c r="G189" i="9"/>
  <c r="G24" i="9"/>
  <c r="W18" i="9"/>
  <c r="J17" i="9"/>
  <c r="M17" i="9"/>
  <c r="L22" i="9"/>
  <c r="L18" i="9"/>
  <c r="V24" i="9" l="1"/>
  <c r="R24" i="9"/>
  <c r="P24" i="9"/>
  <c r="W24" i="9"/>
  <c r="U24" i="9"/>
  <c r="S24" i="9"/>
  <c r="T24" i="9"/>
  <c r="Q24" i="9"/>
  <c r="Y24" i="9"/>
  <c r="X24" i="9"/>
  <c r="Z24" i="9"/>
  <c r="N22" i="9"/>
  <c r="O17" i="9"/>
  <c r="N19" i="9"/>
  <c r="O20" i="9"/>
  <c r="O16" i="9"/>
  <c r="P21" i="9"/>
  <c r="P22" i="9"/>
  <c r="P23" i="9"/>
  <c r="P17" i="9"/>
  <c r="P18" i="9"/>
  <c r="P19" i="9"/>
  <c r="P20" i="9"/>
  <c r="O23" i="9"/>
  <c r="O19" i="9"/>
  <c r="Q21" i="9"/>
  <c r="N20" i="9"/>
  <c r="N23" i="9"/>
  <c r="O22" i="9"/>
  <c r="AL15" i="9"/>
  <c r="AL13" i="9" s="1"/>
  <c r="O18" i="9"/>
  <c r="G21" i="9"/>
  <c r="N16" i="9"/>
  <c r="N15" i="9"/>
  <c r="V17" i="9"/>
  <c r="V15" i="9"/>
  <c r="Z17" i="9"/>
  <c r="Z15" i="9"/>
  <c r="P16" i="9"/>
  <c r="L16" i="9"/>
  <c r="L15" i="9"/>
  <c r="W16" i="9"/>
  <c r="W15" i="9"/>
  <c r="T15" i="9"/>
  <c r="M16" i="9"/>
  <c r="M15" i="9"/>
  <c r="Y16" i="9"/>
  <c r="Y15" i="9"/>
  <c r="J16" i="9"/>
  <c r="J15" i="9"/>
  <c r="I16" i="9"/>
  <c r="I15" i="9"/>
  <c r="X17" i="9"/>
  <c r="X15" i="9"/>
  <c r="V21" i="9"/>
  <c r="G107" i="12"/>
  <c r="K107" i="12" s="1"/>
  <c r="J113" i="12"/>
  <c r="J112" i="12"/>
  <c r="J110" i="12"/>
  <c r="J111" i="12"/>
  <c r="J108" i="12"/>
  <c r="J109" i="12"/>
  <c r="H23" i="9"/>
  <c r="G15" i="9"/>
  <c r="G13" i="9" s="1"/>
  <c r="H16" i="9"/>
  <c r="H19" i="9"/>
  <c r="H18" i="9"/>
  <c r="H21" i="9"/>
  <c r="H70" i="12" l="1"/>
  <c r="K70" i="12" s="1"/>
  <c r="H71" i="12"/>
  <c r="Y13" i="9"/>
  <c r="Y39" i="9" s="1"/>
  <c r="W13" i="9"/>
  <c r="W39" i="9" s="1"/>
  <c r="Z13" i="9"/>
  <c r="Z36" i="9" s="1"/>
  <c r="V13" i="9"/>
  <c r="V39" i="9" s="1"/>
  <c r="X13" i="9"/>
  <c r="X39" i="9" s="1"/>
  <c r="J24" i="9"/>
  <c r="J13" i="9" s="1"/>
  <c r="N24" i="9"/>
  <c r="N13" i="9" s="1"/>
  <c r="AL36" i="9"/>
  <c r="AL39" i="9"/>
  <c r="AN15" i="9"/>
  <c r="AN13" i="9" s="1"/>
  <c r="AM15" i="9"/>
  <c r="AM13" i="9" s="1"/>
  <c r="Q17" i="9"/>
  <c r="Q19" i="9"/>
  <c r="E19" i="9" s="1"/>
  <c r="P15" i="9"/>
  <c r="P13" i="9" s="1"/>
  <c r="O15" i="9"/>
  <c r="Q22" i="9"/>
  <c r="E22" i="9" s="1"/>
  <c r="H80" i="12"/>
  <c r="K80" i="12" s="1"/>
  <c r="T13" i="9"/>
  <c r="T39" i="9" s="1"/>
  <c r="J107" i="12"/>
  <c r="BK140" i="5"/>
  <c r="G188" i="9" s="1"/>
  <c r="G191" i="9" s="1"/>
  <c r="G39" i="9"/>
  <c r="G40" i="9" s="1"/>
  <c r="E21" i="9"/>
  <c r="K24" i="9"/>
  <c r="O24" i="9"/>
  <c r="H67" i="12"/>
  <c r="K67" i="12" s="1"/>
  <c r="M24" i="9"/>
  <c r="M13" i="9" s="1"/>
  <c r="H69" i="12"/>
  <c r="L24" i="9"/>
  <c r="L13" i="9" s="1"/>
  <c r="H72" i="12"/>
  <c r="K72" i="12" s="1"/>
  <c r="H68" i="12"/>
  <c r="I24" i="9"/>
  <c r="I13" i="9" s="1"/>
  <c r="H24" i="9"/>
  <c r="H17" i="9"/>
  <c r="H64" i="12" l="1"/>
  <c r="K64" i="12" s="1"/>
  <c r="BJ26" i="6"/>
  <c r="H65" i="12"/>
  <c r="H63" i="12"/>
  <c r="H66" i="12"/>
  <c r="BJ174" i="6"/>
  <c r="J70" i="12"/>
  <c r="Y36" i="9"/>
  <c r="W36" i="9"/>
  <c r="Z39" i="9"/>
  <c r="V36" i="9"/>
  <c r="X36" i="9"/>
  <c r="AN39" i="9"/>
  <c r="AN36" i="9"/>
  <c r="AC189" i="9"/>
  <c r="AM39" i="9"/>
  <c r="AM36" i="9"/>
  <c r="H81" i="12"/>
  <c r="K81" i="12" s="1"/>
  <c r="H78" i="12"/>
  <c r="K78" i="12" s="1"/>
  <c r="Q20" i="9"/>
  <c r="E20" i="9" s="1"/>
  <c r="Q18" i="9"/>
  <c r="E18" i="9" s="1"/>
  <c r="H77" i="12"/>
  <c r="K77" i="12" s="1"/>
  <c r="Q23" i="9"/>
  <c r="E23" i="9" s="1"/>
  <c r="AO15" i="9"/>
  <c r="AO13" i="9" s="1"/>
  <c r="H75" i="12"/>
  <c r="K75" i="12" s="1"/>
  <c r="O13" i="9"/>
  <c r="O39" i="9" s="1"/>
  <c r="Q16" i="9"/>
  <c r="E16" i="9" s="1"/>
  <c r="Q15" i="9"/>
  <c r="Q13" i="9" s="1"/>
  <c r="Q39" i="9" s="1"/>
  <c r="T36" i="9"/>
  <c r="I39" i="9"/>
  <c r="L39" i="9"/>
  <c r="J39" i="9"/>
  <c r="N39" i="9"/>
  <c r="M39" i="9"/>
  <c r="P39" i="9"/>
  <c r="J72" i="12"/>
  <c r="J67" i="12"/>
  <c r="J80" i="12"/>
  <c r="BH91" i="5"/>
  <c r="V189" i="9"/>
  <c r="H189" i="9"/>
  <c r="E25" i="9"/>
  <c r="BK10" i="6"/>
  <c r="J64" i="12" l="1"/>
  <c r="H62" i="12"/>
  <c r="AD189" i="9"/>
  <c r="AO39" i="9"/>
  <c r="AO36" i="9"/>
  <c r="BH71" i="5"/>
  <c r="BH116" i="5"/>
  <c r="J81" i="12"/>
  <c r="BH63" i="5"/>
  <c r="J78" i="12"/>
  <c r="BH11" i="5"/>
  <c r="H82" i="12"/>
  <c r="BH132" i="5"/>
  <c r="J75" i="12"/>
  <c r="J77" i="12"/>
  <c r="H79" i="12"/>
  <c r="BH82" i="5"/>
  <c r="W189" i="9"/>
  <c r="I189" i="9"/>
  <c r="H15" i="9"/>
  <c r="H13" i="9" s="1"/>
  <c r="BL140" i="5"/>
  <c r="BM140" i="5" s="1"/>
  <c r="BN140" i="5" s="1"/>
  <c r="E24" i="9"/>
  <c r="AE189" i="9" l="1"/>
  <c r="K79" i="12"/>
  <c r="J79" i="12"/>
  <c r="K82" i="12"/>
  <c r="J82" i="12"/>
  <c r="X189" i="9"/>
  <c r="H39" i="9"/>
  <c r="H40" i="9" s="1"/>
  <c r="I40" i="9" s="1"/>
  <c r="J40" i="9" s="1"/>
  <c r="H188" i="9"/>
  <c r="H191" i="9" s="1"/>
  <c r="J189" i="9"/>
  <c r="AF189" i="9" l="1"/>
  <c r="Y189" i="9"/>
  <c r="K189" i="9"/>
  <c r="I188" i="9"/>
  <c r="I191" i="9" s="1"/>
  <c r="AG189" i="9" l="1"/>
  <c r="Z189" i="9"/>
  <c r="J188" i="9"/>
  <c r="J191" i="9" s="1"/>
  <c r="L189" i="9"/>
  <c r="AH189" i="9" l="1"/>
  <c r="AA189" i="9"/>
  <c r="M189" i="9"/>
  <c r="AI189" i="9" l="1"/>
  <c r="AB189" i="9"/>
  <c r="N189" i="9"/>
  <c r="AJ189" i="9" l="1"/>
  <c r="O189" i="9"/>
  <c r="AK189" i="9" l="1"/>
  <c r="P189" i="9"/>
  <c r="AL189" i="9" l="1"/>
  <c r="Q189" i="9"/>
  <c r="AM189" i="9" l="1"/>
  <c r="R189" i="9"/>
  <c r="AN189" i="9" l="1"/>
  <c r="S189" i="9"/>
  <c r="AO189" i="9" l="1"/>
  <c r="T189" i="9"/>
  <c r="AP189" i="9" l="1"/>
  <c r="U189" i="9"/>
  <c r="AQ189" i="9" l="1"/>
  <c r="AR189" i="9" l="1"/>
  <c r="AS189" i="9" l="1"/>
  <c r="AT189" i="9" l="1"/>
  <c r="AU189" i="9" l="1"/>
  <c r="AV189" i="9" l="1"/>
  <c r="O36" i="9"/>
  <c r="J36" i="9"/>
  <c r="L36" i="9"/>
  <c r="I36" i="9"/>
  <c r="P36" i="9"/>
  <c r="M36" i="9"/>
  <c r="N36" i="9"/>
  <c r="Q36" i="9"/>
  <c r="G36" i="9"/>
  <c r="G37" i="9" s="1"/>
  <c r="AW189" i="9" l="1"/>
  <c r="E9" i="9"/>
  <c r="H36" i="9"/>
  <c r="H37" i="9" s="1"/>
  <c r="I37" i="9" s="1"/>
  <c r="J37" i="9" s="1"/>
  <c r="AX189" i="9" l="1"/>
  <c r="AY189" i="9" l="1"/>
  <c r="AZ189" i="9" l="1"/>
  <c r="BB189" i="9" l="1"/>
  <c r="BA189" i="9"/>
  <c r="M80" i="12" l="1"/>
  <c r="M64" i="12"/>
  <c r="M67" i="12"/>
  <c r="M81" i="12"/>
  <c r="M75" i="12"/>
  <c r="M78" i="12"/>
  <c r="M70" i="12"/>
  <c r="M77" i="12"/>
  <c r="M79" i="12"/>
  <c r="M82" i="12"/>
  <c r="M72" i="12"/>
  <c r="K4" i="11"/>
  <c r="B11" i="12"/>
  <c r="C11" i="12" s="1"/>
  <c r="L10" i="7" l="1"/>
  <c r="L9" i="7" s="1"/>
  <c r="BK12" i="7"/>
  <c r="BL11" i="7"/>
  <c r="BK11" i="7" s="1"/>
  <c r="H87" i="12"/>
  <c r="H51" i="12"/>
  <c r="BL10" i="7" l="1"/>
  <c r="BL9" i="7" s="1"/>
  <c r="H55" i="12"/>
  <c r="K87" i="12"/>
  <c r="M87" i="12" s="1"/>
  <c r="J87" i="12"/>
  <c r="H86" i="12"/>
  <c r="BK10" i="7" l="1"/>
  <c r="H48" i="12"/>
  <c r="BK9" i="7"/>
  <c r="J86" i="12"/>
  <c r="K86" i="12"/>
  <c r="M86" i="12" s="1"/>
  <c r="H85" i="12" l="1"/>
  <c r="H47" i="12"/>
  <c r="H46" i="12" s="1"/>
  <c r="B41" i="12"/>
  <c r="D41" i="12" s="1"/>
  <c r="K85" i="12" l="1"/>
  <c r="M85" i="12" s="1"/>
  <c r="J85" i="12"/>
  <c r="J84" i="12" s="1"/>
  <c r="H84" i="12"/>
  <c r="AN430" i="7" l="1"/>
  <c r="AO430" i="7" l="1"/>
  <c r="AN416" i="7"/>
  <c r="AN404" i="7" s="1"/>
  <c r="AN392" i="7" l="1"/>
  <c r="AN380" i="7" s="1"/>
  <c r="AN367" i="7" s="1"/>
  <c r="AP430" i="7"/>
  <c r="AO416" i="7"/>
  <c r="AO404" i="7" s="1"/>
  <c r="AO392" i="7" l="1"/>
  <c r="AO380" i="7" s="1"/>
  <c r="AO367" i="7" s="1"/>
  <c r="AQ430" i="7"/>
  <c r="AP416" i="7"/>
  <c r="AP404" i="7" s="1"/>
  <c r="AP392" i="7" l="1"/>
  <c r="AP380" i="7" s="1"/>
  <c r="AP367" i="7" s="1"/>
  <c r="AR430" i="7"/>
  <c r="AQ416" i="7"/>
  <c r="AQ404" i="7" s="1"/>
  <c r="AQ392" i="7" l="1"/>
  <c r="AQ380" i="7" s="1"/>
  <c r="AQ367" i="7" s="1"/>
  <c r="AS430" i="7"/>
  <c r="AR416" i="7"/>
  <c r="AR404" i="7" s="1"/>
  <c r="AR392" i="7" l="1"/>
  <c r="AR380" i="7" s="1"/>
  <c r="AR367" i="7" s="1"/>
  <c r="AT430" i="7"/>
  <c r="AS416" i="7"/>
  <c r="AS404" i="7" s="1"/>
  <c r="AS392" i="7" l="1"/>
  <c r="AS380" i="7" s="1"/>
  <c r="AS367" i="7" s="1"/>
  <c r="AU430" i="7"/>
  <c r="AT416" i="7"/>
  <c r="AT404" i="7" s="1"/>
  <c r="AT392" i="7" l="1"/>
  <c r="AT380" i="7" s="1"/>
  <c r="AT367" i="7" s="1"/>
  <c r="AV430" i="7"/>
  <c r="AU416" i="7"/>
  <c r="AU404" i="7" s="1"/>
  <c r="AU392" i="7" l="1"/>
  <c r="AU380" i="7" s="1"/>
  <c r="AU367" i="7" s="1"/>
  <c r="AW430" i="7"/>
  <c r="AV416" i="7"/>
  <c r="AV404" i="7" s="1"/>
  <c r="AV392" i="7" l="1"/>
  <c r="AV380" i="7" s="1"/>
  <c r="AV367" i="7" s="1"/>
  <c r="AX430" i="7"/>
  <c r="AW416" i="7"/>
  <c r="AW404" i="7" s="1"/>
  <c r="AW392" i="7" l="1"/>
  <c r="AW380" i="7" s="1"/>
  <c r="AW367" i="7" s="1"/>
  <c r="AY430" i="7"/>
  <c r="AX416" i="7"/>
  <c r="AX404" i="7" s="1"/>
  <c r="AX392" i="7" l="1"/>
  <c r="AX380" i="7" s="1"/>
  <c r="AX367" i="7" s="1"/>
  <c r="AZ430" i="7"/>
  <c r="AY416" i="7"/>
  <c r="AY404" i="7" s="1"/>
  <c r="AY392" i="7" l="1"/>
  <c r="AY380" i="7" s="1"/>
  <c r="AY367" i="7" s="1"/>
  <c r="BA430" i="7"/>
  <c r="AZ416" i="7"/>
  <c r="AZ404" i="7" s="1"/>
  <c r="AZ392" i="7" l="1"/>
  <c r="AZ380" i="7" s="1"/>
  <c r="AZ367" i="7" s="1"/>
  <c r="BB430" i="7"/>
  <c r="BA416" i="7"/>
  <c r="BA404" i="7" s="1"/>
  <c r="BA392" i="7" l="1"/>
  <c r="BA380" i="7" s="1"/>
  <c r="BA367" i="7" s="1"/>
  <c r="BC430" i="7"/>
  <c r="BB416" i="7"/>
  <c r="BB404" i="7" s="1"/>
  <c r="BB392" i="7" l="1"/>
  <c r="BB380" i="7" s="1"/>
  <c r="BB367" i="7" s="1"/>
  <c r="BD430" i="7"/>
  <c r="BC416" i="7"/>
  <c r="BC404" i="7" s="1"/>
  <c r="BC392" i="7" l="1"/>
  <c r="BC380" i="7" s="1"/>
  <c r="BC367" i="7" s="1"/>
  <c r="BE430" i="7"/>
  <c r="BD416" i="7"/>
  <c r="BD404" i="7" s="1"/>
  <c r="BD392" i="7" l="1"/>
  <c r="BD380" i="7" s="1"/>
  <c r="BD367" i="7" s="1"/>
  <c r="BF430" i="7"/>
  <c r="BE416" i="7"/>
  <c r="BE404" i="7" s="1"/>
  <c r="BE392" i="7" l="1"/>
  <c r="BE380" i="7" s="1"/>
  <c r="BE367" i="7" s="1"/>
  <c r="BG430" i="7"/>
  <c r="BF416" i="7"/>
  <c r="BF404" i="7" s="1"/>
  <c r="BF392" i="7" l="1"/>
  <c r="BF380" i="7" s="1"/>
  <c r="BF367" i="7" s="1"/>
  <c r="BH430" i="7"/>
  <c r="BG416" i="7"/>
  <c r="BG404" i="7" s="1"/>
  <c r="BG392" i="7" l="1"/>
  <c r="BG380" i="7" s="1"/>
  <c r="BG367" i="7" s="1"/>
  <c r="BI430" i="7"/>
  <c r="BI416" i="7" s="1"/>
  <c r="BI404" i="7" s="1"/>
  <c r="BH416" i="7"/>
  <c r="BH404" i="7" s="1"/>
  <c r="BI392" i="7" l="1"/>
  <c r="BI380" i="7" s="1"/>
  <c r="BI367" i="7" s="1"/>
  <c r="BH392" i="7"/>
  <c r="BH380" i="7" s="1"/>
  <c r="BH367" i="7" s="1"/>
  <c r="J210" i="6"/>
  <c r="A211" i="6" l="1"/>
  <c r="A226" i="6"/>
  <c r="A210" i="6"/>
  <c r="D69" i="12"/>
  <c r="C69" i="12"/>
  <c r="G69" i="12"/>
  <c r="BJ210" i="6"/>
  <c r="B69" i="12" l="1"/>
  <c r="K69" i="12"/>
  <c r="M69" i="12" s="1"/>
  <c r="J69" i="12"/>
  <c r="K68" i="12"/>
  <c r="M68" i="12" s="1"/>
  <c r="J68" i="12"/>
  <c r="J68" i="6" l="1"/>
  <c r="BJ68" i="6" s="1"/>
  <c r="A68" i="6" l="1"/>
  <c r="A120" i="6"/>
  <c r="A69" i="6"/>
  <c r="D65" i="12"/>
  <c r="C65" i="12"/>
  <c r="G65" i="12"/>
  <c r="K65" i="12" l="1"/>
  <c r="M65" i="12" s="1"/>
  <c r="B65" i="12"/>
  <c r="J65" i="12"/>
  <c r="F74" i="12" l="1"/>
  <c r="F84" i="12" l="1"/>
  <c r="J121" i="6" l="1"/>
  <c r="BJ121" i="6" s="1"/>
  <c r="A173" i="6" l="1"/>
  <c r="A122" i="6"/>
  <c r="A121" i="6"/>
  <c r="G66" i="12"/>
  <c r="D66" i="12"/>
  <c r="C66" i="12"/>
  <c r="K66" i="12" l="1"/>
  <c r="M66" i="12" s="1"/>
  <c r="B66" i="12"/>
  <c r="J66" i="12"/>
  <c r="F62" i="12" l="1"/>
  <c r="I764" i="1"/>
  <c r="L764" i="1" l="1"/>
  <c r="M10" i="1" l="1"/>
  <c r="BY59" i="5"/>
  <c r="BY52" i="5" s="1"/>
  <c r="BY9" i="5" s="1"/>
  <c r="BO59" i="5"/>
  <c r="BO52" i="5" s="1"/>
  <c r="BO9" i="5" l="1"/>
  <c r="K17" i="9"/>
  <c r="U17" i="9"/>
  <c r="K15" i="9" l="1"/>
  <c r="K13" i="9" s="1"/>
  <c r="BO140" i="5"/>
  <c r="U15" i="9"/>
  <c r="BP140" i="5" l="1"/>
  <c r="K188" i="9"/>
  <c r="K191" i="9" s="1"/>
  <c r="K39" i="9"/>
  <c r="K40" i="9" s="1"/>
  <c r="L40" i="9" s="1"/>
  <c r="M40" i="9" s="1"/>
  <c r="N40" i="9" s="1"/>
  <c r="O40" i="9" s="1"/>
  <c r="P40" i="9" s="1"/>
  <c r="Q40" i="9" s="1"/>
  <c r="K36" i="9"/>
  <c r="K37" i="9" s="1"/>
  <c r="L37" i="9" s="1"/>
  <c r="M37" i="9" s="1"/>
  <c r="N37" i="9" s="1"/>
  <c r="O37" i="9" s="1"/>
  <c r="P37" i="9" s="1"/>
  <c r="Q37" i="9" s="1"/>
  <c r="U13" i="9"/>
  <c r="BQ140" i="5" l="1"/>
  <c r="L188" i="9"/>
  <c r="L191" i="9" s="1"/>
  <c r="U39" i="9"/>
  <c r="U36" i="9"/>
  <c r="BR140" i="5" l="1"/>
  <c r="M188" i="9"/>
  <c r="M191" i="9" s="1"/>
  <c r="BS140" i="5" l="1"/>
  <c r="N188" i="9"/>
  <c r="N191" i="9" s="1"/>
  <c r="BT140" i="5" l="1"/>
  <c r="O188" i="9"/>
  <c r="O191" i="9" s="1"/>
  <c r="BU140" i="5" l="1"/>
  <c r="P188" i="9"/>
  <c r="P191" i="9" s="1"/>
  <c r="Q188" i="9" l="1"/>
  <c r="Q191" i="9" s="1"/>
  <c r="J14" i="6" l="1"/>
  <c r="A15" i="6" s="1"/>
  <c r="G239" i="6" l="1"/>
  <c r="J239" i="6" s="1"/>
  <c r="A239" i="6" s="1"/>
  <c r="G238" i="6"/>
  <c r="J238" i="6" s="1"/>
  <c r="A25" i="6"/>
  <c r="BJ14" i="6"/>
  <c r="C63" i="12"/>
  <c r="G63" i="12"/>
  <c r="D63" i="12"/>
  <c r="A14" i="6"/>
  <c r="J237" i="6" l="1"/>
  <c r="A238" i="6"/>
  <c r="AQ235" i="6"/>
  <c r="Z235" i="6"/>
  <c r="AI235" i="6"/>
  <c r="AH235" i="6"/>
  <c r="Y235" i="6"/>
  <c r="W235" i="6"/>
  <c r="AO235" i="6"/>
  <c r="BC235" i="6"/>
  <c r="AV235" i="6"/>
  <c r="AJ235" i="6"/>
  <c r="AU235" i="6"/>
  <c r="AD235" i="6"/>
  <c r="M235" i="6"/>
  <c r="AG235" i="6"/>
  <c r="J235" i="6"/>
  <c r="L235" i="6"/>
  <c r="V235" i="6"/>
  <c r="AW235" i="6"/>
  <c r="O235" i="6"/>
  <c r="AZ235" i="6"/>
  <c r="AY235" i="6"/>
  <c r="X235" i="6"/>
  <c r="T235" i="6"/>
  <c r="AR235" i="6"/>
  <c r="AB235" i="6"/>
  <c r="AN235" i="6"/>
  <c r="BB235" i="6"/>
  <c r="U235" i="6"/>
  <c r="AK235" i="6"/>
  <c r="P235" i="6"/>
  <c r="BF235" i="6"/>
  <c r="Q235" i="6"/>
  <c r="AF235" i="6"/>
  <c r="BG235" i="6"/>
  <c r="AP235" i="6"/>
  <c r="AM235" i="6"/>
  <c r="N235" i="6"/>
  <c r="AA235" i="6"/>
  <c r="AT235" i="6"/>
  <c r="AS235" i="6"/>
  <c r="S235" i="6"/>
  <c r="BA235" i="6"/>
  <c r="BD235" i="6"/>
  <c r="R235" i="6"/>
  <c r="AL235" i="6"/>
  <c r="AE235" i="6"/>
  <c r="BE235" i="6"/>
  <c r="AX235" i="6"/>
  <c r="BJ238" i="6"/>
  <c r="AC235" i="6"/>
  <c r="K63" i="12"/>
  <c r="M63" i="12" s="1"/>
  <c r="J63" i="12"/>
  <c r="B63" i="12"/>
  <c r="A237" i="6" l="1"/>
  <c r="A229" i="6" l="1"/>
  <c r="A212" i="6" l="1"/>
  <c r="A176" i="6" l="1"/>
  <c r="A189" i="6"/>
  <c r="K11" i="5" l="1"/>
  <c r="K9" i="5" s="1"/>
  <c r="K140" i="5" s="1"/>
  <c r="L140" i="5" l="1"/>
  <c r="G183" i="9"/>
  <c r="H183" i="9" l="1"/>
  <c r="M140" i="5"/>
  <c r="I183" i="9" l="1"/>
  <c r="N140" i="5"/>
  <c r="O140" i="5" l="1"/>
  <c r="J183" i="9"/>
  <c r="P140" i="5" l="1"/>
  <c r="K183" i="9"/>
  <c r="Q140" i="5" l="1"/>
  <c r="L183" i="9"/>
  <c r="M183" i="9" l="1"/>
  <c r="R140" i="5"/>
  <c r="N183" i="9" l="1"/>
  <c r="S140" i="5"/>
  <c r="T140" i="5" l="1"/>
  <c r="O183" i="9"/>
  <c r="U140" i="5" l="1"/>
  <c r="P183" i="9"/>
  <c r="Q183" i="9" l="1"/>
  <c r="V140" i="5"/>
  <c r="W140" i="5" l="1"/>
  <c r="R183" i="9"/>
  <c r="X140" i="5" l="1"/>
  <c r="S183" i="9"/>
  <c r="T183" i="9" l="1"/>
  <c r="Y140" i="5"/>
  <c r="U183" i="9" l="1"/>
  <c r="Z140" i="5"/>
  <c r="V183" i="9" l="1"/>
  <c r="AA140" i="5"/>
  <c r="AB140" i="5" l="1"/>
  <c r="W183" i="9"/>
  <c r="AC140" i="5" l="1"/>
  <c r="X183" i="9"/>
  <c r="Y183" i="9" l="1"/>
  <c r="AD140" i="5"/>
  <c r="AE140" i="5" l="1"/>
  <c r="Z183" i="9"/>
  <c r="AF140" i="5" l="1"/>
  <c r="AA183" i="9"/>
  <c r="AB183" i="9" l="1"/>
  <c r="AG140" i="5"/>
  <c r="AC183" i="9" l="1"/>
  <c r="AH140" i="5"/>
  <c r="AD183" i="9" l="1"/>
  <c r="AI140" i="5"/>
  <c r="AJ140" i="5" l="1"/>
  <c r="AE183" i="9"/>
  <c r="AF183" i="9" l="1"/>
  <c r="AK140" i="5"/>
  <c r="AG183" i="9" l="1"/>
  <c r="AL140" i="5"/>
  <c r="AM140" i="5" l="1"/>
  <c r="AH183" i="9"/>
  <c r="AN140" i="5" l="1"/>
  <c r="AI183" i="9"/>
  <c r="AJ183" i="9" l="1"/>
  <c r="AO140" i="5"/>
  <c r="AK183" i="9" l="1"/>
  <c r="AP140" i="5"/>
  <c r="AQ140" i="5" l="1"/>
  <c r="AL183" i="9"/>
  <c r="AR140" i="5" l="1"/>
  <c r="AM183" i="9"/>
  <c r="AN183" i="9" l="1"/>
  <c r="AS140" i="5"/>
  <c r="AO183" i="9" l="1"/>
  <c r="AT140" i="5"/>
  <c r="AU140" i="5" l="1"/>
  <c r="AP183" i="9"/>
  <c r="AV140" i="5" l="1"/>
  <c r="AQ183" i="9"/>
  <c r="AR183" i="9" l="1"/>
  <c r="AW140" i="5"/>
  <c r="AS183" i="9" l="1"/>
  <c r="AX140" i="5"/>
  <c r="AY140" i="5" l="1"/>
  <c r="AT183" i="9"/>
  <c r="AZ140" i="5" l="1"/>
  <c r="AU183" i="9"/>
  <c r="AV183" i="9" l="1"/>
  <c r="BA140" i="5"/>
  <c r="AW183" i="9" l="1"/>
  <c r="BB140" i="5"/>
  <c r="BC140" i="5" l="1"/>
  <c r="AX183" i="9"/>
  <c r="BD140" i="5" l="1"/>
  <c r="AY183" i="9"/>
  <c r="BE140" i="5" l="1"/>
  <c r="AZ183" i="9"/>
  <c r="BF140" i="5" l="1"/>
  <c r="BB183" i="9" s="1"/>
  <c r="BA183" i="9"/>
  <c r="BJ239" i="6"/>
  <c r="L13" i="6"/>
  <c r="L1195" i="6" s="1"/>
  <c r="BC13" i="6"/>
  <c r="BC10" i="6" s="1"/>
  <c r="W13" i="6"/>
  <c r="W10" i="6" s="1"/>
  <c r="AC13" i="6"/>
  <c r="AC10" i="6" s="1"/>
  <c r="AS13" i="6"/>
  <c r="AS10" i="6" s="1"/>
  <c r="AJ13" i="6"/>
  <c r="AJ10" i="6" s="1"/>
  <c r="AL13" i="6"/>
  <c r="AL10" i="6" s="1"/>
  <c r="AA13" i="6"/>
  <c r="AA10" i="6" s="1"/>
  <c r="G71" i="12"/>
  <c r="J71" i="12" s="1"/>
  <c r="J62" i="12" s="1"/>
  <c r="P13" i="6"/>
  <c r="BB13" i="6"/>
  <c r="BB10" i="6" s="1"/>
  <c r="Q13" i="6"/>
  <c r="Q10" i="6" s="1"/>
  <c r="R13" i="6"/>
  <c r="AH13" i="6"/>
  <c r="AH10" i="6" s="1"/>
  <c r="AN13" i="6"/>
  <c r="AN10" i="6" s="1"/>
  <c r="AI13" i="6"/>
  <c r="AI10" i="6" s="1"/>
  <c r="O13" i="6"/>
  <c r="O10" i="6" s="1"/>
  <c r="AY13" i="6"/>
  <c r="AY10" i="6" s="1"/>
  <c r="AZ13" i="6"/>
  <c r="AZ10" i="6" s="1"/>
  <c r="BA13" i="6"/>
  <c r="BA10" i="6" s="1"/>
  <c r="AK13" i="6"/>
  <c r="AK10" i="6" s="1"/>
  <c r="AP13" i="6"/>
  <c r="AP10" i="6" s="1"/>
  <c r="AR13" i="6"/>
  <c r="AR10" i="6" s="1"/>
  <c r="Y13" i="6"/>
  <c r="Y10" i="6" s="1"/>
  <c r="AM13" i="6"/>
  <c r="AM10" i="6" s="1"/>
  <c r="AO13" i="6"/>
  <c r="AO10" i="6" s="1"/>
  <c r="AD13" i="6"/>
  <c r="AD10" i="6" s="1"/>
  <c r="C71" i="12"/>
  <c r="A236" i="6"/>
  <c r="A235" i="6"/>
  <c r="BJ235" i="6"/>
  <c r="A240" i="6"/>
  <c r="D71" i="12"/>
  <c r="S13" i="6"/>
  <c r="S10" i="6" s="1"/>
  <c r="AW13" i="6"/>
  <c r="AW10" i="6" s="1"/>
  <c r="U13" i="6"/>
  <c r="U10" i="6" s="1"/>
  <c r="BF13" i="6"/>
  <c r="BF10" i="6" s="1"/>
  <c r="AF13" i="6"/>
  <c r="AF10" i="6" s="1"/>
  <c r="T13" i="6"/>
  <c r="T10" i="6" s="1"/>
  <c r="AE13" i="6"/>
  <c r="AE10" i="6" s="1"/>
  <c r="X13" i="6"/>
  <c r="X10" i="6" s="1"/>
  <c r="AX13" i="6"/>
  <c r="AX10" i="6" s="1"/>
  <c r="AG13" i="6"/>
  <c r="AG10" i="6" s="1"/>
  <c r="AQ13" i="6"/>
  <c r="AQ10" i="6" s="1"/>
  <c r="AV13" i="6"/>
  <c r="AV10" i="6" s="1"/>
  <c r="AU13" i="6"/>
  <c r="AU10" i="6" s="1"/>
  <c r="Z13" i="6"/>
  <c r="Z10" i="6" s="1"/>
  <c r="N13" i="6"/>
  <c r="AB13" i="6"/>
  <c r="AB10" i="6" s="1"/>
  <c r="AT13" i="6"/>
  <c r="AT10" i="6" s="1"/>
  <c r="M13" i="6"/>
  <c r="M10" i="6" s="1"/>
  <c r="V13" i="6"/>
  <c r="V10" i="6" s="1"/>
  <c r="BE13" i="6"/>
  <c r="BE10" i="6" s="1"/>
  <c r="BG13" i="6"/>
  <c r="BG10" i="6" s="1"/>
  <c r="BD13" i="6"/>
  <c r="BD10" i="6" s="1"/>
  <c r="J13" i="6"/>
  <c r="J10" i="6" s="1"/>
  <c r="M1195" i="6" l="1"/>
  <c r="N1195" i="6" s="1"/>
  <c r="O1195" i="6" s="1"/>
  <c r="P1195" i="6" s="1"/>
  <c r="Q1195" i="6" s="1"/>
  <c r="R1195" i="6" s="1"/>
  <c r="S1195" i="6" s="1"/>
  <c r="T1195" i="6" s="1"/>
  <c r="U1195" i="6" s="1"/>
  <c r="V1195" i="6" s="1"/>
  <c r="W1195" i="6" s="1"/>
  <c r="X1195" i="6" s="1"/>
  <c r="Y1195" i="6" s="1"/>
  <c r="Z1195" i="6" s="1"/>
  <c r="AA1195" i="6" s="1"/>
  <c r="AB1195" i="6" s="1"/>
  <c r="AC1195" i="6" s="1"/>
  <c r="AD1195" i="6" s="1"/>
  <c r="AE1195" i="6" s="1"/>
  <c r="AF1195" i="6" s="1"/>
  <c r="AG1195" i="6" s="1"/>
  <c r="AH1195" i="6" s="1"/>
  <c r="AI1195" i="6" s="1"/>
  <c r="AJ1195" i="6" s="1"/>
  <c r="AK1195" i="6" s="1"/>
  <c r="AL1195" i="6" s="1"/>
  <c r="AM1195" i="6" s="1"/>
  <c r="AN1195" i="6" s="1"/>
  <c r="AO1195" i="6" s="1"/>
  <c r="AP1195" i="6" s="1"/>
  <c r="AQ1195" i="6" s="1"/>
  <c r="AR1195" i="6" s="1"/>
  <c r="AS1195" i="6" s="1"/>
  <c r="AT1195" i="6" s="1"/>
  <c r="AU1195" i="6" s="1"/>
  <c r="AV1195" i="6" s="1"/>
  <c r="AW1195" i="6" s="1"/>
  <c r="AX1195" i="6" s="1"/>
  <c r="AY1195" i="6" s="1"/>
  <c r="AZ1195" i="6" s="1"/>
  <c r="BA1195" i="6" s="1"/>
  <c r="BB1195" i="6" s="1"/>
  <c r="BC1195" i="6" s="1"/>
  <c r="BD1195" i="6" s="1"/>
  <c r="BE1195" i="6" s="1"/>
  <c r="BF1195" i="6" s="1"/>
  <c r="BG1195" i="6" s="1"/>
  <c r="R10" i="6"/>
  <c r="R6" i="6" s="1"/>
  <c r="P10" i="6"/>
  <c r="P6" i="6" s="1"/>
  <c r="L10" i="6"/>
  <c r="L6" i="6" s="1"/>
  <c r="N10" i="6"/>
  <c r="N6" i="6" s="1"/>
  <c r="G62" i="12"/>
  <c r="G184" i="9"/>
  <c r="G186" i="9" s="1"/>
  <c r="C10" i="6"/>
  <c r="BJ10" i="6"/>
  <c r="H10" i="6"/>
  <c r="B71" i="12"/>
  <c r="K71" i="12"/>
  <c r="M71" i="12" s="1"/>
  <c r="A13" i="6"/>
  <c r="H184" i="9" l="1"/>
  <c r="H186" i="9" s="1"/>
  <c r="I184" i="9" l="1"/>
  <c r="I186" i="9" s="1"/>
  <c r="J184" i="9" l="1"/>
  <c r="J186" i="9" s="1"/>
  <c r="K184" i="9" l="1"/>
  <c r="K186" i="9" s="1"/>
  <c r="L184" i="9" l="1"/>
  <c r="L186" i="9" s="1"/>
  <c r="M184" i="9" l="1"/>
  <c r="M186" i="9" s="1"/>
  <c r="N184" i="9" l="1"/>
  <c r="N186" i="9" s="1"/>
  <c r="O184" i="9" l="1"/>
  <c r="O186" i="9" s="1"/>
  <c r="P184" i="9" l="1"/>
  <c r="P186" i="9" s="1"/>
  <c r="Q184" i="9" l="1"/>
  <c r="Q186" i="9" s="1"/>
  <c r="R184" i="9" l="1"/>
  <c r="R186" i="9" s="1"/>
  <c r="S184" i="9" l="1"/>
  <c r="S186" i="9" s="1"/>
  <c r="T184" i="9" l="1"/>
  <c r="T186" i="9" s="1"/>
  <c r="U184" i="9" l="1"/>
  <c r="U186" i="9" s="1"/>
  <c r="V184" i="9" l="1"/>
  <c r="V186" i="9" s="1"/>
  <c r="W184" i="9" l="1"/>
  <c r="W186" i="9" s="1"/>
  <c r="X184" i="9" l="1"/>
  <c r="X186" i="9" s="1"/>
  <c r="Y184" i="9" l="1"/>
  <c r="Y186" i="9" s="1"/>
  <c r="Z184" i="9" l="1"/>
  <c r="Z186" i="9" s="1"/>
  <c r="AA184" i="9" l="1"/>
  <c r="AA186" i="9" s="1"/>
  <c r="AB184" i="9" l="1"/>
  <c r="AB186" i="9" s="1"/>
  <c r="AC184" i="9" l="1"/>
  <c r="AC186" i="9" s="1"/>
  <c r="AD184" i="9" l="1"/>
  <c r="AD186" i="9" s="1"/>
  <c r="AE184" i="9" l="1"/>
  <c r="AE186" i="9" s="1"/>
  <c r="AF184" i="9" l="1"/>
  <c r="AF186" i="9" s="1"/>
  <c r="AG184" i="9" l="1"/>
  <c r="AG186" i="9" s="1"/>
  <c r="AH184" i="9" l="1"/>
  <c r="AH186" i="9" s="1"/>
  <c r="AI184" i="9" l="1"/>
  <c r="AI186" i="9" s="1"/>
  <c r="AJ184" i="9" l="1"/>
  <c r="AJ186" i="9" s="1"/>
  <c r="AK184" i="9" l="1"/>
  <c r="AK186" i="9" s="1"/>
  <c r="AL184" i="9" l="1"/>
  <c r="AL186" i="9" s="1"/>
  <c r="AM184" i="9" l="1"/>
  <c r="AM186" i="9" s="1"/>
  <c r="AN184" i="9" l="1"/>
  <c r="AN186" i="9" s="1"/>
  <c r="AO184" i="9" l="1"/>
  <c r="AO186" i="9" s="1"/>
  <c r="AP184" i="9" l="1"/>
  <c r="AP186" i="9" s="1"/>
  <c r="AQ184" i="9" l="1"/>
  <c r="AQ186" i="9" s="1"/>
  <c r="AR184" i="9" l="1"/>
  <c r="AR186" i="9" s="1"/>
  <c r="AS184" i="9" l="1"/>
  <c r="AS186" i="9" s="1"/>
  <c r="AT184" i="9" l="1"/>
  <c r="AT186" i="9" s="1"/>
  <c r="AU184" i="9" l="1"/>
  <c r="AU186" i="9" s="1"/>
  <c r="AV184" i="9" l="1"/>
  <c r="AV186" i="9" s="1"/>
  <c r="AW184" i="9" l="1"/>
  <c r="AW186" i="9" s="1"/>
  <c r="AX184" i="9" l="1"/>
  <c r="AX186" i="9" s="1"/>
  <c r="AY184" i="9" l="1"/>
  <c r="AY186" i="9" s="1"/>
  <c r="AZ184" i="9" l="1"/>
  <c r="AZ186" i="9" s="1"/>
  <c r="BA184" i="9" l="1"/>
  <c r="BA186" i="9" s="1"/>
  <c r="BB184" i="9"/>
  <c r="BB186" i="9" s="1"/>
  <c r="L1409" i="1"/>
  <c r="BV59" i="5" s="1"/>
  <c r="I10" i="1"/>
  <c r="I1412" i="1"/>
  <c r="J1412" i="1" s="1"/>
  <c r="J10" i="1" s="1"/>
  <c r="BV52" i="5" l="1"/>
  <c r="L1412" i="1"/>
  <c r="BW59" i="5" s="1"/>
  <c r="L10" i="1"/>
  <c r="R17" i="9" l="1"/>
  <c r="BV9" i="5"/>
  <c r="BI59" i="5"/>
  <c r="BI52" i="5" s="1"/>
  <c r="BW52" i="5"/>
  <c r="BV140" i="5" l="1"/>
  <c r="R15" i="9"/>
  <c r="H76" i="12"/>
  <c r="BI9" i="5"/>
  <c r="BH9" i="5" s="1"/>
  <c r="BH52" i="5"/>
  <c r="S17" i="9"/>
  <c r="E17" i="9" s="1"/>
  <c r="BW9" i="5"/>
  <c r="S15" i="9" s="1"/>
  <c r="S13" i="9" s="1"/>
  <c r="R188" i="9" l="1"/>
  <c r="R191" i="9" s="1"/>
  <c r="BW140" i="5"/>
  <c r="E15" i="9"/>
  <c r="R13" i="9"/>
  <c r="J76" i="12"/>
  <c r="J74" i="12" s="1"/>
  <c r="K76" i="12"/>
  <c r="M76" i="12" s="1"/>
  <c r="H74" i="12"/>
  <c r="S36" i="9"/>
  <c r="S39" i="9"/>
  <c r="BX140" i="5" l="1"/>
  <c r="S188" i="9"/>
  <c r="S191" i="9" s="1"/>
  <c r="E13" i="9"/>
  <c r="R36" i="9"/>
  <c r="R37" i="9" s="1"/>
  <c r="S37" i="9" s="1"/>
  <c r="T37" i="9" s="1"/>
  <c r="U37" i="9" s="1"/>
  <c r="V37" i="9" s="1"/>
  <c r="W37" i="9" s="1"/>
  <c r="X37" i="9" s="1"/>
  <c r="Y37" i="9" s="1"/>
  <c r="Z37" i="9" s="1"/>
  <c r="AA37" i="9" s="1"/>
  <c r="AB37" i="9" s="1"/>
  <c r="AC37" i="9" s="1"/>
  <c r="AD37" i="9" s="1"/>
  <c r="AE37" i="9" s="1"/>
  <c r="AF37" i="9" s="1"/>
  <c r="AG37" i="9" s="1"/>
  <c r="AH37" i="9" s="1"/>
  <c r="AI37" i="9" s="1"/>
  <c r="AJ37" i="9" s="1"/>
  <c r="AK37" i="9" s="1"/>
  <c r="AL37" i="9" s="1"/>
  <c r="AM37" i="9" s="1"/>
  <c r="AN37" i="9" s="1"/>
  <c r="AO37" i="9" s="1"/>
  <c r="AP37" i="9" s="1"/>
  <c r="AQ37" i="9" s="1"/>
  <c r="AR37" i="9" s="1"/>
  <c r="AS37" i="9" s="1"/>
  <c r="AT37" i="9" s="1"/>
  <c r="AU37" i="9" s="1"/>
  <c r="AV37" i="9" s="1"/>
  <c r="AW37" i="9" s="1"/>
  <c r="AX37" i="9" s="1"/>
  <c r="AY37" i="9" s="1"/>
  <c r="AZ37" i="9" s="1"/>
  <c r="BA37" i="9" s="1"/>
  <c r="BB37" i="9" s="1"/>
  <c r="E37" i="9" s="1"/>
  <c r="R39" i="9"/>
  <c r="R40" i="9" s="1"/>
  <c r="S40" i="9" s="1"/>
  <c r="T40" i="9" s="1"/>
  <c r="U40" i="9" s="1"/>
  <c r="V40" i="9" s="1"/>
  <c r="W40" i="9" s="1"/>
  <c r="X40" i="9" s="1"/>
  <c r="Y40" i="9" s="1"/>
  <c r="Z40" i="9" s="1"/>
  <c r="AA40" i="9" s="1"/>
  <c r="AB40" i="9" s="1"/>
  <c r="AC40" i="9" s="1"/>
  <c r="AD40" i="9" s="1"/>
  <c r="AE40" i="9" s="1"/>
  <c r="AF40" i="9" s="1"/>
  <c r="AG40" i="9" s="1"/>
  <c r="AH40" i="9" s="1"/>
  <c r="AI40" i="9" s="1"/>
  <c r="AJ40" i="9" s="1"/>
  <c r="AK40" i="9" s="1"/>
  <c r="AL40" i="9" s="1"/>
  <c r="AM40" i="9" s="1"/>
  <c r="AN40" i="9" s="1"/>
  <c r="AO40" i="9" s="1"/>
  <c r="AP40" i="9" s="1"/>
  <c r="AQ40" i="9" s="1"/>
  <c r="AR40" i="9" s="1"/>
  <c r="AS40" i="9" s="1"/>
  <c r="AT40" i="9" s="1"/>
  <c r="AU40" i="9" s="1"/>
  <c r="AV40" i="9" s="1"/>
  <c r="AW40" i="9" s="1"/>
  <c r="AX40" i="9" s="1"/>
  <c r="AY40" i="9" s="1"/>
  <c r="AZ40" i="9" s="1"/>
  <c r="BA40" i="9" s="1"/>
  <c r="BB40" i="9" s="1"/>
  <c r="E40" i="9" s="1"/>
  <c r="T188" i="9" l="1"/>
  <c r="T191" i="9" s="1"/>
  <c r="BY140" i="5"/>
  <c r="E36" i="9"/>
  <c r="E39" i="9"/>
  <c r="L5" i="1"/>
  <c r="U188" i="9" l="1"/>
  <c r="U191" i="9" s="1"/>
  <c r="BZ140" i="5"/>
  <c r="CA140" i="5" l="1"/>
  <c r="V188" i="9"/>
  <c r="V191" i="9" s="1"/>
  <c r="W188" i="9" l="1"/>
  <c r="W191" i="9" s="1"/>
  <c r="CB140" i="5"/>
  <c r="X188" i="9" l="1"/>
  <c r="X191" i="9" s="1"/>
  <c r="CC140" i="5"/>
  <c r="Y188" i="9" l="1"/>
  <c r="Y191" i="9" s="1"/>
  <c r="CD140" i="5"/>
  <c r="Z188" i="9" l="1"/>
  <c r="Z191" i="9" s="1"/>
  <c r="CE140" i="5"/>
  <c r="AA188" i="9" l="1"/>
  <c r="AA191" i="9" s="1"/>
  <c r="CF140" i="5"/>
  <c r="AB188" i="9" l="1"/>
  <c r="AB191" i="9" s="1"/>
  <c r="CG140" i="5"/>
  <c r="CH140" i="5" l="1"/>
  <c r="AC188" i="9"/>
  <c r="AC191" i="9" s="1"/>
  <c r="AD188" i="9" l="1"/>
  <c r="AD191" i="9" s="1"/>
  <c r="CI140" i="5"/>
  <c r="CJ140" i="5" l="1"/>
  <c r="AE188" i="9"/>
  <c r="AE191" i="9" s="1"/>
  <c r="CK140" i="5" l="1"/>
  <c r="AF188" i="9"/>
  <c r="AF191" i="9" s="1"/>
  <c r="AG188" i="9" l="1"/>
  <c r="AG191" i="9" s="1"/>
  <c r="CL140" i="5"/>
  <c r="AH188" i="9" l="1"/>
  <c r="AH191" i="9" s="1"/>
  <c r="CM140" i="5"/>
  <c r="CN140" i="5" l="1"/>
  <c r="AI188" i="9"/>
  <c r="AI191" i="9" s="1"/>
  <c r="AJ188" i="9" l="1"/>
  <c r="AJ191" i="9" s="1"/>
  <c r="CO140" i="5"/>
  <c r="AK188" i="9" l="1"/>
  <c r="AK191" i="9" s="1"/>
  <c r="CP140" i="5"/>
  <c r="CQ140" i="5" l="1"/>
  <c r="AL188" i="9"/>
  <c r="AL191" i="9" s="1"/>
  <c r="AM188" i="9" l="1"/>
  <c r="AM191" i="9" s="1"/>
  <c r="CR140" i="5"/>
  <c r="CS140" i="5" l="1"/>
  <c r="AN188" i="9"/>
  <c r="AN191" i="9" s="1"/>
  <c r="CT140" i="5" l="1"/>
  <c r="AO188" i="9"/>
  <c r="AO191" i="9" s="1"/>
  <c r="AP188" i="9" l="1"/>
  <c r="AP191" i="9" s="1"/>
  <c r="CU140" i="5"/>
  <c r="AQ188" i="9" l="1"/>
  <c r="AQ191" i="9" s="1"/>
  <c r="CV140" i="5"/>
  <c r="AR188" i="9" l="1"/>
  <c r="AR191" i="9" s="1"/>
  <c r="CW140" i="5"/>
  <c r="AS188" i="9" l="1"/>
  <c r="AS191" i="9" s="1"/>
  <c r="CX140" i="5"/>
  <c r="AT188" i="9" l="1"/>
  <c r="AT191" i="9" s="1"/>
  <c r="CY140" i="5"/>
  <c r="CZ140" i="5" l="1"/>
  <c r="AU188" i="9"/>
  <c r="AU191" i="9" s="1"/>
  <c r="AV188" i="9" l="1"/>
  <c r="AV191" i="9" s="1"/>
  <c r="DA140" i="5"/>
  <c r="AW188" i="9" l="1"/>
  <c r="AW191" i="9" s="1"/>
  <c r="DB140" i="5"/>
  <c r="AX188" i="9" l="1"/>
  <c r="AX191" i="9" s="1"/>
  <c r="DC140" i="5"/>
  <c r="AY188" i="9" l="1"/>
  <c r="AY191" i="9" s="1"/>
  <c r="DD140" i="5"/>
  <c r="AZ188" i="9" l="1"/>
  <c r="AZ191" i="9" s="1"/>
  <c r="DE140" i="5"/>
  <c r="DF140" i="5" l="1"/>
  <c r="BB188" i="9" s="1"/>
  <c r="BB191" i="9" s="1"/>
  <c r="BA188" i="9"/>
  <c r="BA191"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Adolfo Soengas</author>
  </authors>
  <commentList>
    <comment ref="D83" authorId="0" shapeId="0" xr:uid="{69E09376-1C0A-4647-AD76-ECCC6FA09917}">
      <text>
        <r>
          <rPr>
            <b/>
            <sz val="9"/>
            <color indexed="81"/>
            <rFont val="Tahoma"/>
            <family val="2"/>
          </rPr>
          <t>No prevision of need to prepare ground.
There will be rented two main offices close to the HL and Karlovac stations with all the services already in place and some additional storage and parking space.
The client provides area for storage at the train stations and train stops</t>
        </r>
        <r>
          <rPr>
            <sz val="9"/>
            <color indexed="81"/>
            <rFont val="Tahoma"/>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<sst xmlns="http://schemas.openxmlformats.org/spreadsheetml/2006/main" count="16978" uniqueCount="4799">
  <si>
    <t>CLIENTE:</t>
  </si>
  <si>
    <t>SYM KABAT</t>
  </si>
  <si>
    <t>Fecha</t>
  </si>
  <si>
    <t>RESUMEN EJECUTIVO</t>
  </si>
  <si>
    <t>1. INFORMACIÓN DE PROYECTO</t>
  </si>
  <si>
    <t>Fecha Presentación</t>
  </si>
  <si>
    <t>Fecha Adjudicación</t>
  </si>
  <si>
    <t>Inicio de Obra</t>
  </si>
  <si>
    <t>Público/ Privado</t>
  </si>
  <si>
    <t>07.07.2025</t>
  </si>
  <si>
    <t>Tipo Licitación:</t>
  </si>
  <si>
    <t>PRIVADO</t>
  </si>
  <si>
    <t>Contrato S/ IVA</t>
  </si>
  <si>
    <t>Contrato C/ IVA</t>
  </si>
  <si>
    <t>Anticipo s/ IVA</t>
  </si>
  <si>
    <t>Anticipo c/ IVA</t>
  </si>
  <si>
    <t>Personal Estratégico:</t>
  </si>
  <si>
    <t>N.A.</t>
  </si>
  <si>
    <t>Contacto:</t>
  </si>
  <si>
    <t>Fianza Anticipo</t>
  </si>
  <si>
    <t>Teléfono:</t>
  </si>
  <si>
    <t>Monto Afianzado</t>
  </si>
  <si>
    <t>Costo Poliza</t>
  </si>
  <si>
    <t>Vigencia</t>
  </si>
  <si>
    <t>Fin Contractual</t>
  </si>
  <si>
    <t>Fin Previsto</t>
  </si>
  <si>
    <t>Fianza Cumplimiento</t>
  </si>
  <si>
    <t>Fianza Vicios Ocultos</t>
  </si>
  <si>
    <t>Costo Fianza</t>
  </si>
  <si>
    <t>Importe</t>
  </si>
  <si>
    <t>Seguro CAR (Todo Riesgo de Construcción)</t>
  </si>
  <si>
    <t>Seguro Responsabilidad Civil</t>
  </si>
  <si>
    <t>2. SITUACIÓN ACTUAL DE OBRA</t>
  </si>
  <si>
    <t>Anticipo</t>
  </si>
  <si>
    <t>Anticipo S/Iva</t>
  </si>
  <si>
    <t>Amort. S/Iva acum.</t>
  </si>
  <si>
    <t>Amort. S/Iva pendiente</t>
  </si>
  <si>
    <t>Anticipo Liquido</t>
  </si>
  <si>
    <t>Amort. Líquida acum.</t>
  </si>
  <si>
    <t>Amort. Líquida pendiente</t>
  </si>
  <si>
    <t>Certificación</t>
  </si>
  <si>
    <t>Certificación S/ Iva</t>
  </si>
  <si>
    <t>Adeudo s/ Iva</t>
  </si>
  <si>
    <t>Certificación Líquida</t>
  </si>
  <si>
    <t>Adeudo Líquido de cobro</t>
  </si>
  <si>
    <t>Días Vencimiento fra. más atrasada</t>
  </si>
  <si>
    <t>Retenciones por fondo de garantía</t>
  </si>
  <si>
    <t>Retención acum. S/ Iva</t>
  </si>
  <si>
    <t>Pagos acum. S/ Iva</t>
  </si>
  <si>
    <t>Ret. Acum. Líquida</t>
  </si>
  <si>
    <t>Pago Acum. Líquido</t>
  </si>
  <si>
    <t>Producción</t>
  </si>
  <si>
    <t>Producción acumulada</t>
  </si>
  <si>
    <t>Producción Estimada</t>
  </si>
  <si>
    <t>Obra ejecutada no estimada</t>
  </si>
  <si>
    <t>3. ANÁLISIS TÉCNICO-ECONÓMICO DE LA OBRA</t>
  </si>
  <si>
    <t>Partidas principales por E7</t>
  </si>
  <si>
    <t>Estudio</t>
  </si>
  <si>
    <t>Contrato</t>
  </si>
  <si>
    <t>Acumulado</t>
  </si>
  <si>
    <t>Costo Directo</t>
  </si>
  <si>
    <t>Resultado por familias</t>
  </si>
  <si>
    <t>ACTUAL Contrato</t>
  </si>
  <si>
    <t>Pendiente</t>
  </si>
  <si>
    <t>Desvío</t>
  </si>
  <si>
    <t>Costo Indirecto</t>
  </si>
  <si>
    <t>4. ANÁLISIS DE RIESGOS Y MEJORAS APLICABLES AL PROYECTO, Y SU EFECTO SOBRE EL RESULTADO</t>
  </si>
  <si>
    <t>Descripción de riesgos / mejoras</t>
  </si>
  <si>
    <t>Consecuencias económicas s/ iva</t>
  </si>
  <si>
    <t>Variación Producción</t>
  </si>
  <si>
    <t>Variación Costo</t>
  </si>
  <si>
    <t>Variación Resultado</t>
  </si>
  <si>
    <t>5. INVERSIÓN EN ACTIVOS DE DIMOVERE APLICADA A ESTE PROYECTO</t>
  </si>
  <si>
    <t>Listado de activos</t>
  </si>
  <si>
    <t>Consecuencias económicas s/ iva (Hasta fin previsto)</t>
  </si>
  <si>
    <t>Importe Previsto</t>
  </si>
  <si>
    <t>Costo imputado acumulado</t>
  </si>
  <si>
    <t>Costo pendiente</t>
  </si>
  <si>
    <t>AC1   Equipo de cómputo y oficina</t>
  </si>
  <si>
    <t>AC2   Maquinaria (Equipo Menor)</t>
  </si>
  <si>
    <t>AC3   Maquinaria (Equipo Mayor)</t>
  </si>
  <si>
    <t>AC4   Mobiliario campamentos</t>
  </si>
  <si>
    <t>AC5   Mobiliario y equipamiento obra</t>
  </si>
  <si>
    <t>AC6   Vehículos utilitarios</t>
  </si>
  <si>
    <t>Tipo de Cambio (MXN / USD):</t>
  </si>
  <si>
    <t xml:space="preserve">FECHA: </t>
  </si>
  <si>
    <t>PERIODO
Imp.</t>
  </si>
  <si>
    <t>C. Imp.</t>
  </si>
  <si>
    <t>Datos de Empresa</t>
  </si>
  <si>
    <t>Datos de Compra</t>
  </si>
  <si>
    <t>Datos Facturación</t>
  </si>
  <si>
    <t>CHEK LIST</t>
  </si>
  <si>
    <t>OBSERVACIONES</t>
  </si>
  <si>
    <t>OBSERVACION ADICIONAL</t>
  </si>
  <si>
    <t>Acreedor</t>
  </si>
  <si>
    <t>R.F.C.</t>
  </si>
  <si>
    <t>RAZON SOCIAL</t>
  </si>
  <si>
    <t>Descripcion concepto</t>
  </si>
  <si>
    <t>Cantidad</t>
  </si>
  <si>
    <t>Precio Unitario</t>
  </si>
  <si>
    <t>Sub total</t>
  </si>
  <si>
    <t>IVA</t>
  </si>
  <si>
    <t>Retención / Descuento</t>
  </si>
  <si>
    <t>Importe Neto</t>
  </si>
  <si>
    <t>Doc</t>
  </si>
  <si>
    <t>Tipo de Cambio USD</t>
  </si>
  <si>
    <t>Folio (UUID) o (SUA)</t>
  </si>
  <si>
    <t>Folio</t>
  </si>
  <si>
    <t>Tipo de Pago</t>
  </si>
  <si>
    <t>Estatus de Pago</t>
  </si>
  <si>
    <t>PERIODO Imp.</t>
  </si>
  <si>
    <t>RFC</t>
  </si>
  <si>
    <t>Retención / IEPS / Descuento</t>
  </si>
  <si>
    <t>Documento</t>
  </si>
  <si>
    <t>Folio (UUID)</t>
  </si>
  <si>
    <t>Columna5</t>
  </si>
  <si>
    <t>Columna3</t>
  </si>
  <si>
    <t>Observaciones</t>
  </si>
  <si>
    <t>Columna1</t>
  </si>
  <si>
    <t>Columna2</t>
  </si>
  <si>
    <t>C4</t>
  </si>
  <si>
    <t>ANA050518RL1</t>
  </si>
  <si>
    <t>VUELOS - TARIFA AEREA PNR: PY4P6C</t>
  </si>
  <si>
    <t>Factura</t>
  </si>
  <si>
    <t>858a58f4-390e-4a04-b8bc-7707d88b7d01</t>
  </si>
  <si>
    <t>B 130063376</t>
  </si>
  <si>
    <t>04.- TDC</t>
  </si>
  <si>
    <t>VUELOS - SERVICIOS ADICIONALES</t>
  </si>
  <si>
    <t>VUELOS - CARGOS AEROPORTUARIOS</t>
  </si>
  <si>
    <t>JUN 2025 Q2</t>
  </si>
  <si>
    <t>C2</t>
  </si>
  <si>
    <t>CFC110121742</t>
  </si>
  <si>
    <t>PEAJES - TAG PASE PORTATIL BLIST 8851</t>
  </si>
  <si>
    <t>9F6AA786-45F6-4405-9F1C-E3EF43A818C0</t>
  </si>
  <si>
    <t>CLG130128KA0</t>
  </si>
  <si>
    <t>COMBUSTIBLE - PREMIUM (nota 2493616-0)</t>
  </si>
  <si>
    <t>9291d69b-13bb-4ebc-8011-3a781f4f9635</t>
  </si>
  <si>
    <t>LW 20834</t>
  </si>
  <si>
    <t>DLI931201MI9</t>
  </si>
  <si>
    <t>RESTAURANTE - CONSUMO RESTAURANTE</t>
  </si>
  <si>
    <t>AC3CF806-DF84-5ED4-9EC5-3D0A6934EF17</t>
  </si>
  <si>
    <t xml:space="preserve"> LWIU 455938</t>
  </si>
  <si>
    <t>JUL 2025 Q1</t>
  </si>
  <si>
    <t>FCU220209NQ1</t>
  </si>
  <si>
    <t>MATERIAL CONSUMIBLE - MARCADOR DE VALVULA FIELTRO AMARILLO</t>
  </si>
  <si>
    <t>A4CFACE6‐996F‐40E1‐972E‐46F562367E81</t>
  </si>
  <si>
    <t>A ‐ 6166</t>
  </si>
  <si>
    <t>C6</t>
  </si>
  <si>
    <t>SEGURIDAD - CONO DE SEGURIDAD 45 CM</t>
  </si>
  <si>
    <t>MATERIAL CONSUMIBLE - MARCADOR PARA METAL "TIZA" BASE JABON</t>
  </si>
  <si>
    <t>CAHE700209ATA</t>
  </si>
  <si>
    <t>RESTAURANTE - FAJIITA CON QUESO HARINA</t>
  </si>
  <si>
    <t>273F2A11-F7FE-4321-8DCB-CE6BC96C18A1</t>
  </si>
  <si>
    <t>C3742</t>
  </si>
  <si>
    <t>28.- TDD</t>
  </si>
  <si>
    <t>RESTAURANTE - HORCHATA 1 LITRO</t>
  </si>
  <si>
    <t>RESTAURANTE - COCAS</t>
  </si>
  <si>
    <t>RESTAURANTE - CHULETA CON QUESO HARINA</t>
  </si>
  <si>
    <t>GUCA670908V23</t>
  </si>
  <si>
    <t>RESTAURANTE - CONSUMO DE ALIMENTOS Y BEBIDAS</t>
  </si>
  <si>
    <t>ADC076A2-81A0-4ED6-8F21-2674B7727006</t>
  </si>
  <si>
    <t> C36051</t>
  </si>
  <si>
    <t> 179D7540-D9E6-479B-BC61-1FFC4D745199</t>
  </si>
  <si>
    <t>C36106</t>
  </si>
  <si>
    <t>HDM001017AS1 THD-8730 TAMPICO</t>
  </si>
  <si>
    <t>SEGURIDAD - MALLA DE CONSTRUCCION PERIMETRAL 30</t>
  </si>
  <si>
    <t>507470aa-9f63-4a0a-a207-ca155033901a</t>
  </si>
  <si>
    <t>4HGCJI 424199</t>
  </si>
  <si>
    <t>28da0cdb-7571-4923-b7e7-2ee9a8ef96d6</t>
  </si>
  <si>
    <t>4HGCJI 428444</t>
  </si>
  <si>
    <t>HERRAMIENTA - NIVEL 48 PULG DEWALT</t>
  </si>
  <si>
    <t>HERRAMIENTA - MARRO TRUPER DE 4 LBS MD-4M</t>
  </si>
  <si>
    <t>HERRAMIENTA - EXTENSIÓN USO RUDO 3X16 6m</t>
  </si>
  <si>
    <t>HERRAMIENTA - PALA REDONDA MGO MADERA 45 HOME DEP</t>
  </si>
  <si>
    <t>HERRAMIENTA - NIVEL TRUPER 18 3 GOTA C/TRN NP-18</t>
  </si>
  <si>
    <t>HERRAMIENTA - BROCA BLUE GRANITE 3/8 X 4 X 6</t>
  </si>
  <si>
    <t>MATERIAL CONSUMIBLE - PIOLA NYLON TORCIDO 5/64 #36 (99</t>
  </si>
  <si>
    <t>LOZ170722KGA</t>
  </si>
  <si>
    <t> 34B4401D-17B3-4812-B93C-A9F3F78362E4</t>
  </si>
  <si>
    <t> A25504</t>
  </si>
  <si>
    <t>MAS991101DH9</t>
  </si>
  <si>
    <t>MATERIAL - VARILLA CORRUGADA CON NORMA, AR-42 19MM=3/4"X12M</t>
  </si>
  <si>
    <t>28E77138-2279-47FA-AA83-52165F350500</t>
  </si>
  <si>
    <t>M-0451984</t>
  </si>
  <si>
    <t>MATERIAL - ALAMBRE QUEMADO BOBINA</t>
  </si>
  <si>
    <t>MATERIAL - VARILLA CORRUGADA CON NORMA, AR-42 10MM=3/8"X12M</t>
  </si>
  <si>
    <t>MATERIAL - BONIFICACION EN PRECIO</t>
  </si>
  <si>
    <t>Nota de Crédito</t>
  </si>
  <si>
    <t>CC11F747-27C0-4143-A3B5-9B5C96219A58</t>
  </si>
  <si>
    <t>ME-0022968</t>
  </si>
  <si>
    <t>F0AD6AD8-4964-4ECD-9A4D-3A95F0EBC166</t>
  </si>
  <si>
    <t>M-0452113</t>
  </si>
  <si>
    <t>EPP - ZZ*CASCO DE SEGURIDAD INDUSTRIAL NARANJA 4 PUNTOS WW-2002ANK</t>
  </si>
  <si>
    <t>MASR990207BB1</t>
  </si>
  <si>
    <t>RESTAURANTE - CONSUMO DE ALIMENTOS</t>
  </si>
  <si>
    <t>FC034230-6E26-4268-A931-30F92C1A5B2E</t>
  </si>
  <si>
    <t>FC034230</t>
  </si>
  <si>
    <t>MAS0810247C0</t>
  </si>
  <si>
    <t>09CC0777-4F02-4EDB-92C4-C5C3B4C68612</t>
  </si>
  <si>
    <t>B 12748</t>
  </si>
  <si>
    <t>PFL981207AX5</t>
  </si>
  <si>
    <t>MATERIAL - LAMINA NEGRA 4 X 10 CAL 1/8</t>
  </si>
  <si>
    <t>E3D87202-C393-4F57-9987-B5A94C7077BA</t>
  </si>
  <si>
    <t>PFL 585599</t>
  </si>
  <si>
    <t>POAJ841027D66</t>
  </si>
  <si>
    <t> C9962DA0-0F24-4E39-AB09-A4E4E83DB95D</t>
  </si>
  <si>
    <t> A521</t>
  </si>
  <si>
    <t>ROBL4512274I1</t>
  </si>
  <si>
    <t>COMBUSTIBLE - SUPERIOR (2568444)</t>
  </si>
  <si>
    <t>1D2F8ECD-2A80-4538-A399-1624FA1F055D</t>
  </si>
  <si>
    <t>AL 41,793</t>
  </si>
  <si>
    <t>ROGM701116LV6</t>
  </si>
  <si>
    <t>VENTA E INSTALACION DE AUTOESTEREO</t>
  </si>
  <si>
    <t>8938DE0F-DB7C-43AF-AF01-2203691A7DE2</t>
  </si>
  <si>
    <t>25</t>
  </si>
  <si>
    <t>03.- Transferencia</t>
  </si>
  <si>
    <t>SSA010807N4A</t>
  </si>
  <si>
    <t>COMBUSTIBLE - PREMIUM (2790780)</t>
  </si>
  <si>
    <t>FC80EB46-3066-427F-8BC4-74B93B207014</t>
  </si>
  <si>
    <t>SSAFE - 85053</t>
  </si>
  <si>
    <t>UAGG890111FP7</t>
  </si>
  <si>
    <t>MATERIAL - 11121616 ‐ Madera de pino MADERA 2X4X10</t>
  </si>
  <si>
    <t>E5677537‐B090‐46EB‐BDFA‐92F852D2C812</t>
  </si>
  <si>
    <t>F ‐ 5664</t>
  </si>
  <si>
    <t>MATERIAL - 11121616 ‐ Madera de pino 2X8X8</t>
  </si>
  <si>
    <t>MATERIAL - 11121616 ‐ Madera de pino 4X4X8</t>
  </si>
  <si>
    <t>9A193E9E‐0154‐4F8B‐8161‐1AB0A37AF7F2</t>
  </si>
  <si>
    <t>F ‐ 5692</t>
  </si>
  <si>
    <t>VARR890902TI7</t>
  </si>
  <si>
    <t>HERRAMIENTA - [7501206613030] PALA REDONDA PUÑO Y PRETUL 22502</t>
  </si>
  <si>
    <t>80B8CDD6-60BA-4EB5-8CF1-96104ADC9218</t>
  </si>
  <si>
    <t>233</t>
  </si>
  <si>
    <t>HERRAMIENTA - [7501206684979] ESMALTE EN AEROSOL AZUL ULTRAMAR TRUPER 19041</t>
  </si>
  <si>
    <t>MAPM55011994A</t>
  </si>
  <si>
    <t>774701C9-42E7-4BC4-B69D-FF4BF9BE41CE</t>
  </si>
  <si>
    <t>F 1002</t>
  </si>
  <si>
    <t>GCT9902117L0</t>
  </si>
  <si>
    <t>COMBUSTIBLE - MAGNA</t>
  </si>
  <si>
    <t>b51a8294-bcb8-48a4-890c-bfde0a7290a6</t>
  </si>
  <si>
    <t>CLNC 53981</t>
  </si>
  <si>
    <t>6bd44d61-d9f1-49b3-9e2d-1ca40ed5ee83</t>
  </si>
  <si>
    <t>4HGCJI 428986</t>
  </si>
  <si>
    <t>HERRAMIENTA - BARRETA HEXAGONAL PUNTA 1 X 1.5 MT</t>
  </si>
  <si>
    <t>HERRAMIENTA - BARRA HEX UNA 3/4 X 0.75 MT BU-75</t>
  </si>
  <si>
    <t>CCO8605231N4</t>
  </si>
  <si>
    <t>45fe39c2-603a-498e-a3f7-c74f663cd6ed</t>
  </si>
  <si>
    <t>312120250714173353727</t>
  </si>
  <si>
    <t>736cf7cc-7dba-44f0-9a80-8289621c8ed1</t>
  </si>
  <si>
    <t>3138434250714172810847</t>
  </si>
  <si>
    <t>HERRAMIENTA - SIERRA CIRCULAR BOSCH 7 1/4</t>
  </si>
  <si>
    <t>25a1f408-390d-46dd-add0-69eb95df3a19</t>
  </si>
  <si>
    <t>4HGCJI 430521</t>
  </si>
  <si>
    <t>MATERIAL - POLIN DE PINO PARA CIMBRA</t>
  </si>
  <si>
    <t>HERRAMIENTA - AMARRE MATRACA 8.2M X 1511KG PLANO</t>
  </si>
  <si>
    <t>HERRAMIENTA - DISCO PARA SIERRA P/MADERA 7 1/4 4</t>
  </si>
  <si>
    <t>HERRAMIENTA - AMARRE MATRACA 8.2M X 1511KG JJ</t>
  </si>
  <si>
    <t>RUVL810825597</t>
  </si>
  <si>
    <t>SERVICIO DE ALINEACION DELANTERA</t>
  </si>
  <si>
    <t>CA1ACE20-1B70-507A-8A63-A4D529FBC89C</t>
  </si>
  <si>
    <t>FACTTAP2AARIA-1</t>
  </si>
  <si>
    <t>NEUMATICOS - 425/75/16 |LINK PENTERRA R/T AUTO 111Q</t>
  </si>
  <si>
    <t>SSO151204615</t>
  </si>
  <si>
    <t>8D740ED6-A107-410A-9CB0-79BC8D864C26</t>
  </si>
  <si>
    <t>X9W - 6628</t>
  </si>
  <si>
    <t>MNG8612308V8</t>
  </si>
  <si>
    <t>E4B7F980-39C9-430C-BE58-38826AA1148B</t>
  </si>
  <si>
    <t>S003TPV30120044654</t>
  </si>
  <si>
    <t>HERRAMIENTA - PALA CUADRADA PUÑO Y CORTA</t>
  </si>
  <si>
    <t>HERRAMIENTA - PALA REDONDA MINI PUÑO Y 27</t>
  </si>
  <si>
    <t>2579a1fc-45a2-49b1-8e26-add7bec5c42f</t>
  </si>
  <si>
    <t>3138798250715013325690</t>
  </si>
  <si>
    <t>ECA071015UM5</t>
  </si>
  <si>
    <t>F97AC0BA-16DE-4715-A7A4-2FA2160CDBEC</t>
  </si>
  <si>
    <t>X4W - 105854</t>
  </si>
  <si>
    <t>C3ABAC5F-9F68-4890-9CC5-C6CBD0382056</t>
  </si>
  <si>
    <t>X4W - 105977</t>
  </si>
  <si>
    <t>MFC240118FS6</t>
  </si>
  <si>
    <t>HERRAMIENTA - DISCO DESBASTE T/27 (4-1/2X1/4X7/8)(115X6.4X22.2) 2004 AUSTROMEX (ASA-2004)(011638)</t>
  </si>
  <si>
    <t>FD3FEAE1-EBCB-41EB-A3B4-92929D574AF9</t>
  </si>
  <si>
    <t>C 17487</t>
  </si>
  <si>
    <t>HERRAMIENTA - DISCO DE CORTE 115X1.0X22.2 (8136) A.I.. CINASA</t>
  </si>
  <si>
    <t>MATERIAL CONSUMIBLE - SOLDADURA (7018 - 1/8) 2195 INFRA KILO</t>
  </si>
  <si>
    <t>de0ab89c-416d-4f74-8afd-ef5ee85dc600</t>
  </si>
  <si>
    <t>4HGCJI 431534</t>
  </si>
  <si>
    <t>HERRAMIENTA - TALACHOPICO, MANGO DE MADERA 14, TR</t>
  </si>
  <si>
    <t>HERRAMIENTA - CUBETA NARANJA HOMER BUCKET 7.5 L</t>
  </si>
  <si>
    <t>HERRAMIENTA - BARRA HEX CUNA P/CONCR 3/4X30 CM</t>
  </si>
  <si>
    <t>671CAF2D-099F-4B57-A4E2-F6907179DA38</t>
  </si>
  <si>
    <t>S004TPV40230038271</t>
  </si>
  <si>
    <t>SEGURIDAD - CINTA BARRICADA AMARILLA PRECAUCION 100 MTS</t>
  </si>
  <si>
    <t>JUL 2025 Q2</t>
  </si>
  <si>
    <t>HERRAMIENTA - Cavador mangos de madera 45', Truper</t>
  </si>
  <si>
    <t>943717EC‐0241‐4FA5‐8B0F‐4869F977834D</t>
  </si>
  <si>
    <t>A ‐ 6258</t>
  </si>
  <si>
    <t>01.- Efectivo</t>
  </si>
  <si>
    <t>HERRAMIENTA - BARRETA HEX PUNTA 1 X 1.75 MT</t>
  </si>
  <si>
    <t>16ca306f-b50f-43e7-b3a8-b86777834f5b</t>
  </si>
  <si>
    <t>4HGCJI 431995</t>
  </si>
  <si>
    <t>HERRAMIENTA - PALA CAJUELERA REDONDA MANGO MADE</t>
  </si>
  <si>
    <t>HERRAMIENTA - PAQUETE DE LINTERNAS 150 LUM 2PZS</t>
  </si>
  <si>
    <t>MATERIAL - VARILLA RECTA #6 3/4X12 M AR-42</t>
  </si>
  <si>
    <t>711A0F15-A5A1-4481-84E5-5FB2756E09D8</t>
  </si>
  <si>
    <t>S004TPV40330034794</t>
  </si>
  <si>
    <t>MATERIAL - VARILLA RECTA #3 3/8X12 M AR-42</t>
  </si>
  <si>
    <t>MATERIAL - ALAMBRE AMARRE RECOCIDO CAL 16</t>
  </si>
  <si>
    <t>EC2D7ECB-EECC-4B53-AEB6-EF2FBDCF7AD4</t>
  </si>
  <si>
    <t>S003TPV30320053526</t>
  </si>
  <si>
    <t>VAAL5105014U6</t>
  </si>
  <si>
    <t>516EDA35-E9F1-994A-9646-101956A7F76D</t>
  </si>
  <si>
    <t>E 110201</t>
  </si>
  <si>
    <t>SEGURIDAD - 46161504 30551 SECO71R CONO DE SEG. 70 CMS. NARANJA C/REFLEJ. BASE REF.</t>
  </si>
  <si>
    <t>79629E59-A25F-4D8C-9A56-4606B8051572</t>
  </si>
  <si>
    <t>S003TPV30320054541</t>
  </si>
  <si>
    <t>No.</t>
  </si>
  <si>
    <t>MASYFERR (FERRETERIA)</t>
  </si>
  <si>
    <t>AEROENLACES NACIONALES (VUELOS)</t>
  </si>
  <si>
    <t>COMERCIALIZADORA FARMACEUTICA DE CHIAPAS</t>
  </si>
  <si>
    <t>E12196 COMBUSTIBLES Y LUBRICANTES GHN (COMBUSTIBLES)</t>
  </si>
  <si>
    <t>DISTRIBUIDORA LIVERPOOL</t>
  </si>
  <si>
    <t>FERRETERIA CUERVO SA DE CV</t>
  </si>
  <si>
    <t>ELVIA CABRERA HUERTA "MI PUEBLITO, MMM… QUE SABOR" (RESTAURANTE)</t>
  </si>
  <si>
    <t>AUGUSTO EDUARDO GUERRERO CRUZ (RESTAURANTE)</t>
  </si>
  <si>
    <t>HOME DEPOT MEXICO SUCURSAL THD-8730 TAMPICO</t>
  </si>
  <si>
    <t>EL LINDERO DE OZULUAMA (RESTAURANTE)</t>
  </si>
  <si>
    <t>RICARDO MARTINEZ SALAZAR (RESTAURANTE)</t>
  </si>
  <si>
    <t>POPAT BAZAR SA DE CV "BUFFALITAS, BUFFALO WINGS, BURGUERS Y RIBS" (RESTAURANTE)</t>
  </si>
  <si>
    <t>PERFILES DE FIERRO Y LAMINA ATIYE "ACEROTAM"</t>
  </si>
  <si>
    <t>JONATHAN AZAEL PORTILLO ALEJO "EL MADERENSE MARISQUERIA" (RESTAURANTE)</t>
  </si>
  <si>
    <t>Estacion de servicio No. 6580 JOSE LUIS RODRIGUEZ BERLANGA (COMBUSTIBLES)</t>
  </si>
  <si>
    <t>MIGUEL ANGEL ROCHA GARCIA</t>
  </si>
  <si>
    <t>SERVICIO SAROGAR "NEXUM" (COMBUSTIBLES)</t>
  </si>
  <si>
    <t>GUILLERMO UMAÑA GONZALEZ</t>
  </si>
  <si>
    <t>ROSA FRANCISCA VAZQUEZ RODRIGUEZ</t>
  </si>
  <si>
    <t>GASOLINERA DE COLONIAS DE TAMPICO E05695 (COMBUSTIBLES)</t>
  </si>
  <si>
    <t>CADENA COMERCIAL OXXO</t>
  </si>
  <si>
    <t>LUISA MARIA RUIZ VARGAS "MATRIX PASION POR TU AUTO"</t>
  </si>
  <si>
    <t>SERVICIOS SOLEY "EXELGAS" (COMBUSTIBLES)</t>
  </si>
  <si>
    <t>M.N. DEL GOLFO "HOME CENTER TU ASESOR CONFIABLE"</t>
  </si>
  <si>
    <t>EXELCO CARBURANTES (COMBUSTIBLES)</t>
  </si>
  <si>
    <t>MAGUZA FERRETERA Y CONSTRUCCIONES</t>
  </si>
  <si>
    <t>LUIS ALBERTO VALDEZ DEL ANGEL</t>
  </si>
  <si>
    <t>COMPRENDE</t>
  </si>
  <si>
    <t>Familia</t>
  </si>
  <si>
    <t>Tipo</t>
  </si>
  <si>
    <t>APLICA</t>
  </si>
  <si>
    <t>DESDE</t>
  </si>
  <si>
    <t>HASTA</t>
  </si>
  <si>
    <t>1</t>
  </si>
  <si>
    <t>Atrasado</t>
  </si>
  <si>
    <t>Cancelación</t>
  </si>
  <si>
    <t>AMORT. ANTICIPO</t>
  </si>
  <si>
    <t>2</t>
  </si>
  <si>
    <t>Pagado</t>
  </si>
  <si>
    <t>Comprobante de pago</t>
  </si>
  <si>
    <t>ANTICIPO</t>
  </si>
  <si>
    <t>3</t>
  </si>
  <si>
    <t>DEDUCTIVA</t>
  </si>
  <si>
    <t>4</t>
  </si>
  <si>
    <t>06.- Dinero Electrónico</t>
  </si>
  <si>
    <t>Sobrepagado</t>
  </si>
  <si>
    <t>ESTIMACION</t>
  </si>
  <si>
    <t>5</t>
  </si>
  <si>
    <t>15.- Condonación</t>
  </si>
  <si>
    <t>Provisión</t>
  </si>
  <si>
    <t>RETENCION 5%</t>
  </si>
  <si>
    <t>6</t>
  </si>
  <si>
    <t>Recibo</t>
  </si>
  <si>
    <t>7</t>
  </si>
  <si>
    <t>30.- Aplicación de Anticipos</t>
  </si>
  <si>
    <t>Prefactura</t>
  </si>
  <si>
    <t>8</t>
  </si>
  <si>
    <t>99.- Por Definir</t>
  </si>
  <si>
    <t>Comprobante de Ingresos</t>
  </si>
  <si>
    <t>9</t>
  </si>
  <si>
    <t>P1</t>
  </si>
  <si>
    <t>CAJA CHICA</t>
  </si>
  <si>
    <t>10</t>
  </si>
  <si>
    <t>11</t>
  </si>
  <si>
    <t>JUN 2025 Q1</t>
  </si>
  <si>
    <t>12</t>
  </si>
  <si>
    <t>13</t>
  </si>
  <si>
    <t>14</t>
  </si>
  <si>
    <t>15</t>
  </si>
  <si>
    <t>AGO 2025 Q1</t>
  </si>
  <si>
    <t>16</t>
  </si>
  <si>
    <t>AGO 2025 Q2</t>
  </si>
  <si>
    <t>17</t>
  </si>
  <si>
    <t>SEP 2025 Q1</t>
  </si>
  <si>
    <t>18</t>
  </si>
  <si>
    <t>SEP 2025 Q2</t>
  </si>
  <si>
    <t>P2</t>
  </si>
  <si>
    <t>19</t>
  </si>
  <si>
    <t>OCT 2025 Q1</t>
  </si>
  <si>
    <t>20</t>
  </si>
  <si>
    <t>OCT 2025 Q2</t>
  </si>
  <si>
    <t>21</t>
  </si>
  <si>
    <t>NOV 2025 Q1</t>
  </si>
  <si>
    <t>22</t>
  </si>
  <si>
    <t>NOV 2025 Q2</t>
  </si>
  <si>
    <t>23</t>
  </si>
  <si>
    <t>DIC 2025 Q1</t>
  </si>
  <si>
    <t>24</t>
  </si>
  <si>
    <t>DIC 2025 Q2</t>
  </si>
  <si>
    <t>ENE 2026 Q1</t>
  </si>
  <si>
    <t>26</t>
  </si>
  <si>
    <t>ENE 2026 Q2</t>
  </si>
  <si>
    <t>27</t>
  </si>
  <si>
    <t>FEB 2026 Q1</t>
  </si>
  <si>
    <t>28</t>
  </si>
  <si>
    <t>FEB 2026 Q2</t>
  </si>
  <si>
    <t>29</t>
  </si>
  <si>
    <t>MAR 2026 Q1</t>
  </si>
  <si>
    <t>30</t>
  </si>
  <si>
    <t>MAR 2026 Q2</t>
  </si>
  <si>
    <t>31</t>
  </si>
  <si>
    <t>ABR 2026 Q1</t>
  </si>
  <si>
    <t>32</t>
  </si>
  <si>
    <t>ABR 2026 Q2</t>
  </si>
  <si>
    <t>33</t>
  </si>
  <si>
    <t>MAY 2026 Q1</t>
  </si>
  <si>
    <t>34</t>
  </si>
  <si>
    <t>MAY 2026 Q2</t>
  </si>
  <si>
    <t>35</t>
  </si>
  <si>
    <t>JUN 2026 Q1</t>
  </si>
  <si>
    <t>36</t>
  </si>
  <si>
    <t>JUN 2026 Q2</t>
  </si>
  <si>
    <t>37</t>
  </si>
  <si>
    <t>JUL 2026 Q1</t>
  </si>
  <si>
    <t>38</t>
  </si>
  <si>
    <t>JUL 2026 Q2</t>
  </si>
  <si>
    <t>39</t>
  </si>
  <si>
    <t>AGO 2026 Q1</t>
  </si>
  <si>
    <t>40</t>
  </si>
  <si>
    <t>AGO 2026 Q2</t>
  </si>
  <si>
    <t>41</t>
  </si>
  <si>
    <t>SEP 2026 Q1</t>
  </si>
  <si>
    <t>42</t>
  </si>
  <si>
    <t>SEP 2026 Q2</t>
  </si>
  <si>
    <t>43</t>
  </si>
  <si>
    <t>OCT 2026 Q1</t>
  </si>
  <si>
    <t>44</t>
  </si>
  <si>
    <t>OCT 2026 Q2</t>
  </si>
  <si>
    <t>45</t>
  </si>
  <si>
    <t>NOV 2026 Q1</t>
  </si>
  <si>
    <t>46</t>
  </si>
  <si>
    <t>NOV 2026 Q2</t>
  </si>
  <si>
    <t>47</t>
  </si>
  <si>
    <t>DIC 2026 Q1</t>
  </si>
  <si>
    <t>48</t>
  </si>
  <si>
    <t>DIC 2026 Q2</t>
  </si>
  <si>
    <t>P3</t>
  </si>
  <si>
    <t>P4</t>
  </si>
  <si>
    <t>P5</t>
  </si>
  <si>
    <t>P6</t>
  </si>
  <si>
    <t>P7</t>
  </si>
  <si>
    <t>P8</t>
  </si>
  <si>
    <t>P9</t>
  </si>
  <si>
    <t>P10</t>
  </si>
  <si>
    <t>Costo supuesto</t>
  </si>
  <si>
    <t>Ofertado</t>
  </si>
  <si>
    <t>Long. total (m)</t>
  </si>
  <si>
    <t>Diesel</t>
  </si>
  <si>
    <t>PREVISION</t>
  </si>
  <si>
    <t>Costo Mensual</t>
  </si>
  <si>
    <t>-</t>
  </si>
  <si>
    <t>Costo/ml</t>
  </si>
  <si>
    <t>Costo Total Previsto</t>
  </si>
  <si>
    <t>% Imputado</t>
  </si>
  <si>
    <t>Imputado Acumulado</t>
  </si>
  <si>
    <t>IMPRIMIR</t>
  </si>
  <si>
    <t>Estado</t>
  </si>
  <si>
    <t>SUBCONTRATOS</t>
  </si>
  <si>
    <t>Proveedor</t>
  </si>
  <si>
    <t>Costo Empresa Mensual</t>
  </si>
  <si>
    <t>Meses</t>
  </si>
  <si>
    <t>SUBCONTRATO DE EXCAVACIÓN POR MEDIOS MECÁNICOS</t>
  </si>
  <si>
    <t>FLETES DEL EQUIPO</t>
  </si>
  <si>
    <t>HABILITADO DE ACERO CORRUGADO DE CUALQUIER DIÁMETRO</t>
  </si>
  <si>
    <t>MAQUINARIA</t>
  </si>
  <si>
    <t>CORTADORA DE CONCRETO</t>
  </si>
  <si>
    <t>VIBRADOR DE CONCRETO</t>
  </si>
  <si>
    <t>VIBROCOMPACTADOR MANUAL</t>
  </si>
  <si>
    <t>MANO DE OBRA</t>
  </si>
  <si>
    <t>Lunes a Viernes de 7 a 18. Sábado de 7 a 13. El costo incluye comida y campamento</t>
  </si>
  <si>
    <t>AYUDANTE 01</t>
  </si>
  <si>
    <t>AYUDANTE 02</t>
  </si>
  <si>
    <t>OFICIAL</t>
  </si>
  <si>
    <t>MATERIALES</t>
  </si>
  <si>
    <t>ADITIVO CURADOR</t>
  </si>
  <si>
    <t>ADITIVO DESMOLDANTE SIKA O SIMILAR</t>
  </si>
  <si>
    <t>AGUA</t>
  </si>
  <si>
    <t>ALAMBRE RECOCIDO</t>
  </si>
  <si>
    <t>ARENA</t>
  </si>
  <si>
    <t>CEMENTO</t>
  </si>
  <si>
    <t>CONCRETO F'C=250 KG/CM2</t>
  </si>
  <si>
    <t>GRAVA</t>
  </si>
  <si>
    <t>MADERA PARA CIMBRA DE FRONTERA DE PILA</t>
  </si>
  <si>
    <t>MALLA NARANJA DE PERFORACIÓN</t>
  </si>
  <si>
    <t>MORTERO CEMENTICIO AUTONIVELANTE IMPAC GROUT PRO O SIMILAR</t>
  </si>
  <si>
    <t>POSTE ANARANJADO DE 1.2M PARA CONTROL VIAL</t>
  </si>
  <si>
    <t>SILLETAS INFERIORES (SU 75 Ó SIMILAR)</t>
  </si>
  <si>
    <t>SILLETAS LATERALES (PIL 50 Ó SIMILAR)</t>
  </si>
  <si>
    <t>TUBO DE PVC VERDE DE 1"</t>
  </si>
  <si>
    <t>VARILLA CORRUGADA #03</t>
  </si>
  <si>
    <t>VARILLA CORRUGADA #06</t>
  </si>
  <si>
    <t>ACARREOS</t>
  </si>
  <si>
    <t>ACARREO A BANCO DE TIRO</t>
  </si>
  <si>
    <t>Fletes</t>
  </si>
  <si>
    <t>Costo Único</t>
  </si>
  <si>
    <t>Eventos</t>
  </si>
  <si>
    <t>Combustibles</t>
  </si>
  <si>
    <t>Madera, Ferretería, Herramienta</t>
  </si>
  <si>
    <t>HERRAMIENTA MENOR Y EPP</t>
  </si>
  <si>
    <t>EPP</t>
  </si>
  <si>
    <t>HERRAMIENTA MENOR</t>
  </si>
  <si>
    <t>Mangueras y Reparaciones</t>
  </si>
  <si>
    <t>Imprimir</t>
  </si>
  <si>
    <t>COSTO DIRECTO REAL ACUMULADO</t>
  </si>
  <si>
    <t>MESES DE EJECUCIÓN :</t>
  </si>
  <si>
    <t>COSTO REAL IMPUTADO</t>
  </si>
  <si>
    <t>Area</t>
  </si>
  <si>
    <t>Descripcion</t>
  </si>
  <si>
    <t>Costo mensual</t>
  </si>
  <si>
    <t>Unidades</t>
  </si>
  <si>
    <t>Importe Total</t>
  </si>
  <si>
    <t>C1</t>
  </si>
  <si>
    <t>PERSONAL</t>
  </si>
  <si>
    <t>PERSONAL OFICINA CENTRAL</t>
  </si>
  <si>
    <t>Gerente de Proyecto</t>
  </si>
  <si>
    <t>Gerente Estratégico</t>
  </si>
  <si>
    <t>Gerente Administración</t>
  </si>
  <si>
    <t>Técnico de compras/ control de Costos</t>
  </si>
  <si>
    <t>Aux. Administrativo</t>
  </si>
  <si>
    <t>PRODUCCIÓN (PERSONAL OBRA)</t>
  </si>
  <si>
    <t>Jefe de Producción</t>
  </si>
  <si>
    <t>Supervisor 1</t>
  </si>
  <si>
    <t>Supervisor 2</t>
  </si>
  <si>
    <t>Supervisor 3</t>
  </si>
  <si>
    <t>OFICINA TÉCNICA</t>
  </si>
  <si>
    <t xml:space="preserve">Ingeniero de Diseño (Responsable del Proyecto) </t>
  </si>
  <si>
    <t>Coordinador BIM</t>
  </si>
  <si>
    <t>Especialista de Disciplina BIM</t>
  </si>
  <si>
    <t>Gestor de Información BIM</t>
  </si>
  <si>
    <t>Jefe de Topografía y Oficina Técnica</t>
  </si>
  <si>
    <t>Topógrafo</t>
  </si>
  <si>
    <t>Brigada Topografia (3 personas)</t>
  </si>
  <si>
    <t>Jefe Estimaciones</t>
  </si>
  <si>
    <t>Técnico Estimaciones</t>
  </si>
  <si>
    <t>CALIDAD, M.A. Y SEGURIDAD</t>
  </si>
  <si>
    <t>Jefe Seguridad e Higiene y Vialidad</t>
  </si>
  <si>
    <t>Técnico Seguridad</t>
  </si>
  <si>
    <t>Jefe Calidad y Medioambiente</t>
  </si>
  <si>
    <t>Técnico Calidad y Medioambiente</t>
  </si>
  <si>
    <t>Brigada Prevención (3 personas)</t>
  </si>
  <si>
    <t>OFICINA DE OBRA</t>
  </si>
  <si>
    <t>Jefe Planificación y Costes</t>
  </si>
  <si>
    <t>Técnico Control Costes</t>
  </si>
  <si>
    <t>Técnico Compras</t>
  </si>
  <si>
    <t>Jefe Administración y Personal</t>
  </si>
  <si>
    <t>RRHH</t>
  </si>
  <si>
    <t>Contador</t>
  </si>
  <si>
    <t>Jefe Almacen</t>
  </si>
  <si>
    <t>Brigada Vigilancia armada (3 personas)</t>
  </si>
  <si>
    <t>Brigada Vigilancia (3 personas)</t>
  </si>
  <si>
    <t>Limpieza</t>
  </si>
  <si>
    <t>Chófer transporte personal</t>
  </si>
  <si>
    <t>EQUIPAMIENTO PARA PERSONAL DE OBRA</t>
  </si>
  <si>
    <t>Vehículos Jefe de Obra</t>
  </si>
  <si>
    <t>Equipos de computación</t>
  </si>
  <si>
    <t>Impresoras y equipo auxiliar de oficina</t>
  </si>
  <si>
    <t>Vehículo de transporte para personal</t>
  </si>
  <si>
    <t>Combustible para vehículos de trabajo</t>
  </si>
  <si>
    <t>Casetas de peaje</t>
  </si>
  <si>
    <t>Papelería</t>
  </si>
  <si>
    <t>C3</t>
  </si>
  <si>
    <t>TRASLADOS Y HOSPEDAJES</t>
  </si>
  <si>
    <t>Hoteles</t>
  </si>
  <si>
    <t>Vuelos</t>
  </si>
  <si>
    <t>Taxis</t>
  </si>
  <si>
    <t>GASTOS DE OFICINA CENTRAL</t>
  </si>
  <si>
    <t>Contabilidad</t>
  </si>
  <si>
    <t>Comidas ejecutivas</t>
  </si>
  <si>
    <t>Viáticos oficina central</t>
  </si>
  <si>
    <t>Depósito casa en sitio Directivos</t>
  </si>
  <si>
    <t>Casa en sitio Directivos</t>
  </si>
  <si>
    <t>Gastos fase de licitación</t>
  </si>
  <si>
    <t>C5</t>
  </si>
  <si>
    <t>IMPLANTACION EN SITIO DE OBRA</t>
  </si>
  <si>
    <t>ok</t>
  </si>
  <si>
    <t>Ejecución de terracerías</t>
  </si>
  <si>
    <t>Losas de concreto p/ implantación</t>
  </si>
  <si>
    <t>Pago de permisos para acceso</t>
  </si>
  <si>
    <t>Cercado perimetral</t>
  </si>
  <si>
    <t>Permisos para agua/ luz en sitio</t>
  </si>
  <si>
    <t>Mobilización de oficina/ camper</t>
  </si>
  <si>
    <t>Apertura de caminos a sitio de obra</t>
  </si>
  <si>
    <t>Desmovilización y limpieza de sitio</t>
  </si>
  <si>
    <t>OTROS COSTOS OPERATIVOS</t>
  </si>
  <si>
    <t>Alquiler de oficina de obra</t>
  </si>
  <si>
    <t>Alquiler de camper de obra</t>
  </si>
  <si>
    <t>Arrendamiento de predios de obra</t>
  </si>
  <si>
    <t>Arrendamiento de Containers</t>
  </si>
  <si>
    <t>Renta bodega/ Almacén</t>
  </si>
  <si>
    <t>Adquisición de Drones/ cámaras</t>
  </si>
  <si>
    <t>Antena satelital Starlink</t>
  </si>
  <si>
    <t>Internet</t>
  </si>
  <si>
    <t>Correos ejecutivos</t>
  </si>
  <si>
    <t>Consumo de agua potable</t>
  </si>
  <si>
    <t>Consumo de hielo</t>
  </si>
  <si>
    <t>Publicidad - Vinilos- Pegatinas</t>
  </si>
  <si>
    <t>Señalética seguridad</t>
  </si>
  <si>
    <t>Disposición de basura</t>
  </si>
  <si>
    <t>Limpieza de baños</t>
  </si>
  <si>
    <t>Disposición de residuos peligrosos</t>
  </si>
  <si>
    <t>Renta de baños</t>
  </si>
  <si>
    <t>Caja chica</t>
  </si>
  <si>
    <t>Kit médico de primeros auxilios</t>
  </si>
  <si>
    <t>Generador para camper de obra</t>
  </si>
  <si>
    <t>Torres de iluminación</t>
  </si>
  <si>
    <t>GPS de vehículos</t>
  </si>
  <si>
    <t>C7</t>
  </si>
  <si>
    <t>FIANZAS, SEGUROS Y OTROS PREVIOS</t>
  </si>
  <si>
    <t>Fianza Anticipo (Aprox 1.3% del valor del anticipo c/IVA)</t>
  </si>
  <si>
    <t>Fianza Cumplimiento (Aprox 1.7% del valor afianzado)</t>
  </si>
  <si>
    <t>Fianza Vicios Ocultos (Aprox 1.3% del valor del anticipo)</t>
  </si>
  <si>
    <t>Seg. Resp. Civil (Aprox 0.11% del contrato c/IVA)</t>
  </si>
  <si>
    <t>Seguro GMM para empleados</t>
  </si>
  <si>
    <t>Otros seguros</t>
  </si>
  <si>
    <t>Diseño/ Ingeniería de Proyecto</t>
  </si>
  <si>
    <t>Financiamiento</t>
  </si>
  <si>
    <t>Efecto inflación</t>
  </si>
  <si>
    <t>Usos jurídicos</t>
  </si>
  <si>
    <t>Relaciones públicas y Publicidad</t>
  </si>
  <si>
    <t>Pruebas de laboratorio</t>
  </si>
  <si>
    <t>Barreras de desvío de tráfico</t>
  </si>
  <si>
    <t>Barreras de desvío peatonal</t>
  </si>
  <si>
    <t>Costos fase de Licitación</t>
  </si>
  <si>
    <t>C8</t>
  </si>
  <si>
    <t>PROYECTOS, GESTIONES E IMPUESTOS</t>
  </si>
  <si>
    <t>Gestiones especiales</t>
  </si>
  <si>
    <t>Impuestos (ISR Prov) Aprox 2.84% S/neto</t>
  </si>
  <si>
    <t>Efectos cambiarios</t>
  </si>
  <si>
    <t>Costo Licitación</t>
  </si>
  <si>
    <t>Margen de seguridad</t>
  </si>
  <si>
    <t>Entrega As Built</t>
  </si>
  <si>
    <t>PREVISTO ACUMULADO COSTO INDIRECTO</t>
  </si>
  <si>
    <t>COSTO INDIRECTO REAL ACUMULADO</t>
  </si>
  <si>
    <t>Plan de Obra</t>
  </si>
  <si>
    <t>CONTRATO</t>
  </si>
  <si>
    <t>PROGRAMADO</t>
  </si>
  <si>
    <t>PRODUCCION REAL</t>
  </si>
  <si>
    <t>PARTIDA</t>
  </si>
  <si>
    <t>CODIGO</t>
  </si>
  <si>
    <t>DESCRIPCION COMPLETA</t>
  </si>
  <si>
    <t>UNIDAD</t>
  </si>
  <si>
    <t>CANTIDAD</t>
  </si>
  <si>
    <t>P.U.</t>
  </si>
  <si>
    <t>IMPORTE</t>
  </si>
  <si>
    <t>VOL.</t>
  </si>
  <si>
    <t>A</t>
  </si>
  <si>
    <t>PILAS DE CIMENTACIÓN</t>
  </si>
  <si>
    <t>A1</t>
  </si>
  <si>
    <t>Ubicación de dados de cimentacion con equipo topográfico, estableciendo ejes de referencia, trazo (Para ubicación georreferenciada). Incluye: consumos, mano de obra, herramienta y equipo.</t>
  </si>
  <si>
    <t>PZA</t>
  </si>
  <si>
    <t>A2</t>
  </si>
  <si>
    <t>Suministro y colocacion  de malla naranja perforada de seguridad para delimitacion y confinacion de areas de trabajo, incluye; material, mano de obra, colocacion de puntales para sujecion, herramienta, equipo de seguridad y todo lo necesario para su correcta ejecucion (De inicio a fin de obra )</t>
  </si>
  <si>
    <t>ml</t>
  </si>
  <si>
    <t>A3</t>
  </si>
  <si>
    <t>Excavación por medios mecanicos para formación de pozos   para pila de cimentacion de PMI, medido en banco de  0.75 m de diametro x 2,50 m de profundidad, incluye: maquinaria, extracción, afine de taludes y fondo, herramienta y mano de obra.</t>
  </si>
  <si>
    <t>m3</t>
  </si>
  <si>
    <t>A4</t>
  </si>
  <si>
    <t>Relleno y compactacion con material de banco, compactado al 95% Proctor por medios mecánicos en capas no mayores a 20 cm, Incluye: materiales, pruebas de compactacion por medio de laboratorio, mano de obra, herramienta y equipo. (Para recibir Plantilla)</t>
  </si>
  <si>
    <t>A5</t>
  </si>
  <si>
    <t>Carga y retiro de material sobrante producto de la excavacion en camiones de volteo, Incluye: mano de obra, herramientas , materiales, acarreos, maquinarias  y equipo de seguridad. (Medido compacto),</t>
  </si>
  <si>
    <t>A6</t>
  </si>
  <si>
    <t>Excavacion de zanja de 30cm x 50 cm de profundidad para canalizaciones electricas de pvc, incluye: mano de obra, herramientas y relleno de zanja despues de colocar la canalizacion de pvc.</t>
  </si>
  <si>
    <t>A7</t>
  </si>
  <si>
    <t>Plantilla de 5 cm. de espesor, con concreto simple F´c=100 kg/cm², TMA 19 mm, hecho en obra. Incluye suministro de materiales, desperdicios, acarreos, mano de obra, herramienta, equipo y todo lo necesario para su correcta ejecución.</t>
  </si>
  <si>
    <t>m2</t>
  </si>
  <si>
    <t>A8</t>
  </si>
  <si>
    <t>Pila circular de concreto premezclado para cimentacion de PMI de 0.75 m. de diametro x  2,60 m altura armado con 18 varilla  #6, estribos del #3  @ 20 cm. concreto f'c=250 kg/cm2 incluye: sum. de materiales habilitado y colocado de acero, fabricación y colocación de concreto, cimbra y descimbra, curado del concreto, canalizaciones de tubo pvc verde pared gruesa, en diametros y posicion de acuerdo al detalle en plano, y todo lo necesario para su correcta ejecucion.( Revisar planos estructurales para armado de pila, seguir indicaciones a detalle).</t>
  </si>
  <si>
    <t>Pzas</t>
  </si>
  <si>
    <t>A9</t>
  </si>
  <si>
    <t>Colocacion de anclas de PMI conformado de 6 anclas 1 1/2" de 1.00 m. de alto, tuercas y detalles según diseño (suministradas por el cliente ) Incluye: mano de obra, herramientas, materiales, soldadura, nivelacion,plomeo y equipo de seguridad.</t>
  </si>
  <si>
    <t>A10</t>
  </si>
  <si>
    <t>Colocacion de bridas,  superior e inferior para nivelacion de anclas (suministradas por el cliente) Incluye: mano de obra, herramientas, materiales, nivelacion,plomeo y equipo de seguridad.</t>
  </si>
  <si>
    <t>A11</t>
  </si>
  <si>
    <t>Suministro y colocacion de Grout entre pila de concreto y base de poste metalico, incluye: sum. de materiales, fabricación y colocación de Grout, de acuerdo a detalle en plano. cimbra y descimbra, mano de obra, herramientas y equipo de seguridad.</t>
  </si>
  <si>
    <t>A12</t>
  </si>
  <si>
    <t>A13</t>
  </si>
  <si>
    <t>A14</t>
  </si>
  <si>
    <t>A15</t>
  </si>
  <si>
    <t>A16</t>
  </si>
  <si>
    <t>A17</t>
  </si>
  <si>
    <t>A18</t>
  </si>
  <si>
    <t>A19</t>
  </si>
  <si>
    <t>A20</t>
  </si>
  <si>
    <t>A21</t>
  </si>
  <si>
    <t>A22</t>
  </si>
  <si>
    <t>A23</t>
  </si>
  <si>
    <t>Excavación por medios mecanicos para formación de pozos   para pila de cimentacion de PMI, medido en banco de  0.75 m de diametro x 2,80 m de profundidad, incluye: maquinaria, extracción, afine de taludes y fondo, herramienta y mano de obra.</t>
  </si>
  <si>
    <t>A24</t>
  </si>
  <si>
    <t>Relleno y compactacion con material de banco, compactado al 95% Proctor por medios mecánicos en capa de 10 cm, Incluye: materiales, pruebas de compactacion por medio de laboratorio, mano de obra, herramienta y equipo. (Para recibir Plantilla)</t>
  </si>
  <si>
    <t>A25</t>
  </si>
  <si>
    <t>A26</t>
  </si>
  <si>
    <t>A27</t>
  </si>
  <si>
    <t>A28</t>
  </si>
  <si>
    <t>Pila circular de concreto premezclado para cimentacion de PMI de 0.75 m. de diametro x  2,90 m altura armado con 18 varilla  #6, estribos del #3  @ 20 cm. concreto f'c=250 kg/cm2 incluye: sum. de materiales habilitado y colocado de acero, fabricación y colocación de concreto, cimbra y descimbra, curado del concreto, canalizaciones de tubo pvc verde pared gruesa, en diametros y posicion de acuerdo al detalle en plano, y todo lo necesario para su correcta ejecucion.( Revisar planos estructurales para armado de pila, seguir indicaciones a detalle).</t>
  </si>
  <si>
    <t>A29</t>
  </si>
  <si>
    <t>A30</t>
  </si>
  <si>
    <t>Colocacion de bridas,  superior e inferior para nivelacion de anclas (suministradas por el cliente ) Incluye: mano de obra, herramientas, materiales, nivelacion,plomeo y equipo de seguridad.</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</si>
  <si>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</si>
  <si>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</si>
  <si>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</si>
  <si>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</si>
  <si>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</si>
  <si>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</si>
  <si>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</si>
  <si>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</si>
  <si>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</si>
  <si>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</si>
  <si>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</si>
  <si>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</si>
  <si>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</si>
  <si>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</si>
  <si>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</si>
  <si>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</si>
  <si>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</si>
  <si>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</si>
  <si>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</si>
  <si>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</si>
  <si>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</si>
  <si>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</si>
  <si>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</si>
  <si>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</si>
  <si>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</si>
  <si>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</si>
  <si>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</si>
  <si>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</si>
  <si>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</si>
  <si>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</si>
  <si>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</si>
  <si>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</si>
  <si>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</si>
  <si>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</si>
  <si>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</si>
  <si>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</si>
  <si>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</si>
  <si>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</si>
  <si>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</si>
  <si>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</si>
  <si>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</si>
  <si>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</si>
  <si>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</si>
  <si>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</si>
  <si>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</si>
  <si>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</si>
  <si>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</si>
  <si>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</si>
  <si>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</si>
  <si>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</si>
  <si>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</si>
  <si>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</si>
  <si>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</si>
  <si>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</si>
  <si>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</si>
  <si>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</si>
  <si>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</si>
  <si>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</si>
  <si>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</si>
  <si>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</si>
  <si>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</si>
  <si>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</si>
  <si>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</si>
  <si>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</si>
  <si>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</si>
  <si>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</si>
  <si>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</si>
  <si>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</si>
  <si>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</si>
  <si>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</si>
  <si>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B</t>
  </si>
  <si>
    <t>B1</t>
  </si>
  <si>
    <t>B2</t>
  </si>
  <si>
    <t>B3</t>
  </si>
  <si>
    <t>B4</t>
  </si>
  <si>
    <t>B5</t>
  </si>
  <si>
    <t>B6</t>
  </si>
  <si>
    <t>B7</t>
  </si>
  <si>
    <t>B8</t>
  </si>
  <si>
    <t>B9</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</si>
  <si>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</si>
  <si>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</si>
  <si>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</si>
  <si>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</si>
  <si>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</si>
  <si>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</si>
  <si>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</si>
  <si>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</si>
  <si>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</si>
  <si>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</si>
  <si>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</si>
  <si>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</si>
  <si>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</si>
  <si>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</si>
  <si>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</si>
  <si>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</si>
  <si>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</si>
  <si>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</si>
  <si>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</si>
  <si>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</si>
  <si>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</si>
  <si>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</si>
  <si>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</si>
  <si>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</si>
  <si>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</si>
  <si>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</si>
  <si>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</si>
  <si>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</si>
  <si>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</si>
  <si>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</si>
  <si>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</si>
  <si>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SUBFAMILIA 08</t>
  </si>
  <si>
    <t>B41</t>
  </si>
  <si>
    <t>B42</t>
  </si>
  <si>
    <t>B43</t>
  </si>
  <si>
    <t>B44</t>
  </si>
  <si>
    <t>B45</t>
  </si>
  <si>
    <t>B46</t>
  </si>
  <si>
    <t>B47</t>
  </si>
  <si>
    <t>B48</t>
  </si>
  <si>
    <t>B49</t>
  </si>
  <si>
    <t>B50</t>
  </si>
  <si>
    <t>B51</t>
  </si>
  <si>
    <t>B52</t>
  </si>
  <si>
    <t>B53</t>
  </si>
  <si>
    <t>B54</t>
  </si>
  <si>
    <t>B55</t>
  </si>
  <si>
    <t>B56</t>
  </si>
  <si>
    <t>B57</t>
  </si>
  <si>
    <t>B58</t>
  </si>
  <si>
    <t>B59</t>
  </si>
  <si>
    <t>B60</t>
  </si>
  <si>
    <t>SUBFAMILIA 09</t>
  </si>
  <si>
    <t>B61</t>
  </si>
  <si>
    <t>B62</t>
  </si>
  <si>
    <t>B63</t>
  </si>
  <si>
    <t>B64</t>
  </si>
  <si>
    <t>B65</t>
  </si>
  <si>
    <t>B66</t>
  </si>
  <si>
    <t>B67</t>
  </si>
  <si>
    <t>B68</t>
  </si>
  <si>
    <t>B69</t>
  </si>
  <si>
    <t>B70</t>
  </si>
  <si>
    <t>B71</t>
  </si>
  <si>
    <t>B72</t>
  </si>
  <si>
    <t>B73</t>
  </si>
  <si>
    <t>B74</t>
  </si>
  <si>
    <t>B75</t>
  </si>
  <si>
    <t>B76</t>
  </si>
  <si>
    <t>B77</t>
  </si>
  <si>
    <t>B78</t>
  </si>
  <si>
    <t>B79</t>
  </si>
  <si>
    <t>B80</t>
  </si>
  <si>
    <t>SUBFAMILIA 10</t>
  </si>
  <si>
    <t>B81</t>
  </si>
  <si>
    <t>B82</t>
  </si>
  <si>
    <t>B83</t>
  </si>
  <si>
    <t>B84</t>
  </si>
  <si>
    <t>B85</t>
  </si>
  <si>
    <t>B86</t>
  </si>
  <si>
    <t>B87</t>
  </si>
  <si>
    <t>B88</t>
  </si>
  <si>
    <t>B89</t>
  </si>
  <si>
    <t>B90</t>
  </si>
  <si>
    <t>B91</t>
  </si>
  <si>
    <t>B92</t>
  </si>
  <si>
    <t>B93</t>
  </si>
  <si>
    <t>B94</t>
  </si>
  <si>
    <t>B95</t>
  </si>
  <si>
    <t>B96</t>
  </si>
  <si>
    <t>B97</t>
  </si>
  <si>
    <t>B98</t>
  </si>
  <si>
    <t>B99</t>
  </si>
  <si>
    <t>B100</t>
  </si>
  <si>
    <t>C</t>
  </si>
  <si>
    <t>C9</t>
  </si>
  <si>
    <t>C10</t>
  </si>
  <si>
    <t>C11</t>
  </si>
  <si>
    <t>C12</t>
  </si>
  <si>
    <t>C13</t>
  </si>
  <si>
    <t>C14</t>
  </si>
  <si>
    <t>C15</t>
  </si>
  <si>
    <t>C16</t>
  </si>
  <si>
    <t>C17</t>
  </si>
  <si>
    <t>C18</t>
  </si>
  <si>
    <t>C19</t>
  </si>
  <si>
    <t>C20</t>
  </si>
  <si>
    <t>SUBFAMILIA 12</t>
  </si>
  <si>
    <t>C21</t>
  </si>
  <si>
    <t>C22</t>
  </si>
  <si>
    <t>C23</t>
  </si>
  <si>
    <t>C24</t>
  </si>
  <si>
    <t>C25</t>
  </si>
  <si>
    <t>C26</t>
  </si>
  <si>
    <t>C27</t>
  </si>
  <si>
    <t>C28</t>
  </si>
  <si>
    <t>C29</t>
  </si>
  <si>
    <t>C30</t>
  </si>
  <si>
    <t>C31</t>
  </si>
  <si>
    <t>C32</t>
  </si>
  <si>
    <t>C33</t>
  </si>
  <si>
    <t>C34</t>
  </si>
  <si>
    <t>C35</t>
  </si>
  <si>
    <t>C36</t>
  </si>
  <si>
    <t>C37</t>
  </si>
  <si>
    <t>C38</t>
  </si>
  <si>
    <t>C39</t>
  </si>
  <si>
    <t>C40</t>
  </si>
  <si>
    <t>SUBFAMILIA 13</t>
  </si>
  <si>
    <t>C41</t>
  </si>
  <si>
    <t>C42</t>
  </si>
  <si>
    <t>C43</t>
  </si>
  <si>
    <t>C44</t>
  </si>
  <si>
    <t>C45</t>
  </si>
  <si>
    <t>C46</t>
  </si>
  <si>
    <t>C47</t>
  </si>
  <si>
    <t>C48</t>
  </si>
  <si>
    <t>C49</t>
  </si>
  <si>
    <t>C50</t>
  </si>
  <si>
    <t>C51</t>
  </si>
  <si>
    <t>C52</t>
  </si>
  <si>
    <t>C53</t>
  </si>
  <si>
    <t>C54</t>
  </si>
  <si>
    <t>C55</t>
  </si>
  <si>
    <t>C56</t>
  </si>
  <si>
    <t>C57</t>
  </si>
  <si>
    <t>C58</t>
  </si>
  <si>
    <t>C59</t>
  </si>
  <si>
    <t>C60</t>
  </si>
  <si>
    <t>SUBFAMILIA 14</t>
  </si>
  <si>
    <t>C61</t>
  </si>
  <si>
    <t>C62</t>
  </si>
  <si>
    <t>C63</t>
  </si>
  <si>
    <t>C64</t>
  </si>
  <si>
    <t>C65</t>
  </si>
  <si>
    <t>C66</t>
  </si>
  <si>
    <t>C67</t>
  </si>
  <si>
    <t>C68</t>
  </si>
  <si>
    <t>C69</t>
  </si>
  <si>
    <t>C70</t>
  </si>
  <si>
    <t>C71</t>
  </si>
  <si>
    <t>C72</t>
  </si>
  <si>
    <t>C73</t>
  </si>
  <si>
    <t>C74</t>
  </si>
  <si>
    <t>C75</t>
  </si>
  <si>
    <t>C76</t>
  </si>
  <si>
    <t>C77</t>
  </si>
  <si>
    <t>C78</t>
  </si>
  <si>
    <t>C79</t>
  </si>
  <si>
    <t>C80</t>
  </si>
  <si>
    <t>SUBFAMILIA 15</t>
  </si>
  <si>
    <t>C81</t>
  </si>
  <si>
    <t>C82</t>
  </si>
  <si>
    <t>C83</t>
  </si>
  <si>
    <t>C84</t>
  </si>
  <si>
    <t>C85</t>
  </si>
  <si>
    <t>C86</t>
  </si>
  <si>
    <t>C87</t>
  </si>
  <si>
    <t>C88</t>
  </si>
  <si>
    <t>C89</t>
  </si>
  <si>
    <t>C90</t>
  </si>
  <si>
    <t>C91</t>
  </si>
  <si>
    <t>C92</t>
  </si>
  <si>
    <t>C93</t>
  </si>
  <si>
    <t>C94</t>
  </si>
  <si>
    <t>C95</t>
  </si>
  <si>
    <t>C96</t>
  </si>
  <si>
    <t>C97</t>
  </si>
  <si>
    <t>C98</t>
  </si>
  <si>
    <t>C99</t>
  </si>
  <si>
    <t>C100</t>
  </si>
  <si>
    <t>PRODUCCION PREVISTA ACUMULADA</t>
  </si>
  <si>
    <t>PRODUCCION REAL ACUMULADA</t>
  </si>
  <si>
    <t>Producción PREVISTA + Impuestos</t>
  </si>
  <si>
    <t>Producción PREVISTA + Impuestos (ACUMULADA</t>
  </si>
  <si>
    <t>IPSD-OPU-SUBK-003/2024</t>
  </si>
  <si>
    <t xml:space="preserve"> CONTROL CERTIFICACIÓN</t>
  </si>
  <si>
    <t>Importe Contrato</t>
  </si>
  <si>
    <t>Est. Pagada s/IVA</t>
  </si>
  <si>
    <t>Pagado Líquido</t>
  </si>
  <si>
    <t xml:space="preserve">Fecha: </t>
  </si>
  <si>
    <t>Amort. Anticipo Acum.</t>
  </si>
  <si>
    <t>Adeudo líquido de cobro</t>
  </si>
  <si>
    <t>15 DE ENERO 2024</t>
  </si>
  <si>
    <t>Adeudo Estimación s/IVA</t>
  </si>
  <si>
    <t>Días vencimiento factura más atrasada</t>
  </si>
  <si>
    <t>26 DE ABRIL AL 10 DE MAYO DE 2024</t>
  </si>
  <si>
    <t>FACTURA No.</t>
  </si>
  <si>
    <t>FECHA FACTURA</t>
  </si>
  <si>
    <t>PERIODO DE ESTIMACIÓN</t>
  </si>
  <si>
    <t>IMPORTE ESTIMACIÓN</t>
  </si>
  <si>
    <t>IMPORTE DEDUCCIONES</t>
  </si>
  <si>
    <t>TOTAL
DEDUCCIONES</t>
  </si>
  <si>
    <t>IMPORTE
SIN I.V.A.</t>
  </si>
  <si>
    <t>I.V.A.</t>
  </si>
  <si>
    <t>I.V.A.R.</t>
  </si>
  <si>
    <t>LIQUIDO A PAGAR</t>
  </si>
  <si>
    <t>FECHA DE PAGO</t>
  </si>
  <si>
    <t>ESTATUS</t>
  </si>
  <si>
    <t>AMORTIZACION DE ANTICIPO</t>
  </si>
  <si>
    <t>OTROS</t>
  </si>
  <si>
    <t>MATERIAL</t>
  </si>
  <si>
    <t>OTROS (FONDO GARANTÍA)</t>
  </si>
  <si>
    <t>Resultado</t>
  </si>
  <si>
    <t>RESULTADO</t>
  </si>
  <si>
    <t>TOTALES</t>
  </si>
  <si>
    <t>PRODUCCION</t>
  </si>
  <si>
    <t>CERTIFICACIÓN</t>
  </si>
  <si>
    <t>COSTO (DIRECTO + INDIRECTO)</t>
  </si>
  <si>
    <t>INDIRECTO</t>
  </si>
  <si>
    <t>DIRECTO</t>
  </si>
  <si>
    <t>RESULTADO (PRODUCCION MENOS COSTO)</t>
  </si>
  <si>
    <t>ACUMULADO (PRODUCCION MENOS COSTO)</t>
  </si>
  <si>
    <t>RESULTADO (CERTIFICACION MENOS COSTO)</t>
  </si>
  <si>
    <t>ACUMULADO (CERTIFICACION MENOS COSTO)</t>
  </si>
  <si>
    <t>1.- Gráfico PRODUCCION VS COSTO</t>
  </si>
  <si>
    <t>2.- Gráfico RESULTADO MENSUAL (PRODUCCION MENOS COSTO)</t>
  </si>
  <si>
    <t>3.- Gráfico RESULTADO MENSUAL ACUMULADO (PRODUCCION - COSTO)</t>
  </si>
  <si>
    <t>4.- Gráfico PRODUCCION Y COSTOS (PREVISION vs REAL)</t>
  </si>
  <si>
    <t>CERTIFICACION ACUMULADA</t>
  </si>
  <si>
    <t>PREVISTO ACUMULADO COSTO DIRECTO</t>
  </si>
  <si>
    <t>COSTO PREVISTO ACUMULADO</t>
  </si>
  <si>
    <t>COSTO REAL ACUMULADO</t>
  </si>
  <si>
    <t>5f6565c1-ad5c-4832-b390-ac7ce9599bea</t>
  </si>
  <si>
    <t>00007396 851417</t>
  </si>
  <si>
    <t>AME970109GW0</t>
  </si>
  <si>
    <t>AUTOZONE DE MEXICO</t>
  </si>
  <si>
    <t>19169 Protectante para A</t>
  </si>
  <si>
    <t>069dcc6d-a428-4c29-9985-8271b47ced9a</t>
  </si>
  <si>
    <t>04153 B</t>
  </si>
  <si>
    <t>CARL660325IL5</t>
  </si>
  <si>
    <t xml:space="preserve"> LUIS FELIPE CHAVERO ROBLEDO "SAMBORCITO DE MARGOT" (RESTAURANTE)</t>
  </si>
  <si>
    <t>RESTAURANTE - CONSUMO DE ALIMENTOS 16-07-2025</t>
  </si>
  <si>
    <t>RESTAURANTE - CONSUMO DE ALIMENTOS 17-07-2026</t>
  </si>
  <si>
    <t>dcb66cda-24fe-449b-8a3c-dbffc6d98f1b</t>
  </si>
  <si>
    <t>04158 B</t>
  </si>
  <si>
    <t>06d3dafb-57db-46fa-a963-1bb8bf4dd231</t>
  </si>
  <si>
    <t>3113720250717003559176</t>
  </si>
  <si>
    <t>73ebe499-c6a4-43dd-a348-8e5eb45fdbaa</t>
  </si>
  <si>
    <t>317635250722005127215</t>
  </si>
  <si>
    <t>HMA990709TN3</t>
  </si>
  <si>
    <t>HOTEL RESTAURANTE MANDARIN</t>
  </si>
  <si>
    <t>HOSPEDAJE - 16-07-2025</t>
  </si>
  <si>
    <t>HOSPEDAJE - 17-07-2025</t>
  </si>
  <si>
    <t>CCEAEE43-634F-11F0-967B-DF9C67899DE5</t>
  </si>
  <si>
    <t>MAN3141</t>
  </si>
  <si>
    <t>CSI020226MV4</t>
  </si>
  <si>
    <t>CAFE SIRENA "STARBUCKS"</t>
  </si>
  <si>
    <t>RESTAURANTE - SERVICIOS DE CAFETERIA AL 16%</t>
  </si>
  <si>
    <t>B11D94C0-A17A-4D9B-BCF1-FC691E76383C</t>
  </si>
  <si>
    <t>SNORX34860</t>
  </si>
  <si>
    <t>FCB201117SQ3</t>
  </si>
  <si>
    <t>FRANQUICIA DE COMIDA BUFALO "VIPS" (RESTAURANTE)</t>
  </si>
  <si>
    <t>RESTAURANTE - CONSUMO</t>
  </si>
  <si>
    <t>65f651d9-0637-41e9-8ec0-6cf1cedee2db</t>
  </si>
  <si>
    <t>C-08196</t>
  </si>
  <si>
    <t>FIM0202185B7</t>
  </si>
  <si>
    <t>FERRETERA INDUSTRIAL Y MARINA TAMPICO SA DE CV</t>
  </si>
  <si>
    <t>57D3D622‐8C1B‐4E92‐A854‐184C2652D64D</t>
  </si>
  <si>
    <t>A ‐ 87937</t>
  </si>
  <si>
    <t>555D2A8D‐974D‐4EAE‐91E4‐AE58BEBDB63F</t>
  </si>
  <si>
    <t>A ‐ 87938</t>
  </si>
  <si>
    <t>GJA081016II5</t>
  </si>
  <si>
    <t>GASOLINERA EL JAIBO "NEXUM" (COMBUSTIBLES)</t>
  </si>
  <si>
    <t>FBB81855-3FB1-47D5-8258-4E7401A248D9</t>
  </si>
  <si>
    <t>N72FW - 61527</t>
  </si>
  <si>
    <t>545ff4d3-bd00-4987-ab0a-99f373b22f3d</t>
  </si>
  <si>
    <t>4HGCJI 432798</t>
  </si>
  <si>
    <t>50c43dd0-d968-4b89-9b5a-71f9d322beba</t>
  </si>
  <si>
    <t>4HGCJI 433162</t>
  </si>
  <si>
    <t>14149a3f-a716-4e61-b293-1837d7753df9</t>
  </si>
  <si>
    <t>4HGCJI 433694</t>
  </si>
  <si>
    <t>MARIO MARIN PERALES "FABRICACIONES  METALICAS  ESPECIALES"</t>
  </si>
  <si>
    <t>B52F1A55-B52F-4440-BA55-5CC11EE2BE3F</t>
  </si>
  <si>
    <t>F 1006</t>
  </si>
  <si>
    <t>MBA840712F58</t>
  </si>
  <si>
    <t>MUEBLES PARA BAÑO S.A. DE C.V. "GERSA" SU CASA DE CONFIANZA DESDE 1920</t>
  </si>
  <si>
    <t>2906BF18-EA94-4A30-BF60-7DCB4D23796C</t>
  </si>
  <si>
    <t>AA536004432</t>
  </si>
  <si>
    <t>6AB55ABF-572E-40A3-B75F-54B62F3717F4</t>
  </si>
  <si>
    <t>S003TPV30320054663</t>
  </si>
  <si>
    <t>7EC6FB3F-C875-4139-BAD5-314BE92E5E96</t>
  </si>
  <si>
    <t>S003TPV30320054606</t>
  </si>
  <si>
    <t>64FADC81-707F-48FD-A5A0-CBD4EF05C8C5</t>
  </si>
  <si>
    <t>S003TPV30320054655</t>
  </si>
  <si>
    <t>182FDBF2-CE31-4A08-BEAF-8ED0812FE434</t>
  </si>
  <si>
    <t>S003TPV30320054662</t>
  </si>
  <si>
    <t>C19D9128-EE65-4ACF-91DA-0C66FB232CD5</t>
  </si>
  <si>
    <t>S003TPV30120044978</t>
  </si>
  <si>
    <t>E69A9268-0C76-4B1B-B014-0E8678FF9A50</t>
  </si>
  <si>
    <t>S003TPV30120045029</t>
  </si>
  <si>
    <t>9FC169B3-A481-48AB-BB21-E95A7C1B5640</t>
  </si>
  <si>
    <t>S003TPV30120045030</t>
  </si>
  <si>
    <t>8CF3B792-96CF-4C0B-85E8-6592B7FACF41</t>
  </si>
  <si>
    <t>S003TPV30320054749</t>
  </si>
  <si>
    <t>F5C6F81B-665B-11F0-86BD-3B8CB6B8EACB</t>
  </si>
  <si>
    <t>TUNI 9033039</t>
  </si>
  <si>
    <t>MUL841116182</t>
  </si>
  <si>
    <t>MULTIELECTRICO S.A. DE C.V.</t>
  </si>
  <si>
    <t>0B6CE6AE-5B31-4F9B-8BD6-4575A15EAB98</t>
  </si>
  <si>
    <t>WEB 55365</t>
  </si>
  <si>
    <t>SGS941128A38</t>
  </si>
  <si>
    <t>SERVICIOS GASOLINEROS SANCHEZ JUAREZ "GASOFAC" (COMBUSTIBLES)</t>
  </si>
  <si>
    <t>COMBUSTIBLE - DIESEL</t>
  </si>
  <si>
    <t>D2D0DFD4-3F89-45AC-B417-010D1CC4829B</t>
  </si>
  <si>
    <t>AZ - 166448</t>
  </si>
  <si>
    <t>TCH850701RM1</t>
  </si>
  <si>
    <t>TIENDAS CHEDRAUI</t>
  </si>
  <si>
    <t>C807BB51-E09F-4E88-990B-AB9A28906586</t>
  </si>
  <si>
    <t>AZ - 166449</t>
  </si>
  <si>
    <t>5E9D6EB6-5FA4-49E4-A0B8-4FD8FE0C633B</t>
  </si>
  <si>
    <t>AZ - 166450</t>
  </si>
  <si>
    <t>74F0FFD3-1642-435B-8FFD-952520D10E88</t>
  </si>
  <si>
    <t>248</t>
  </si>
  <si>
    <t>37960093-2C9A-4B1A-ABCB-56E3922E1721</t>
  </si>
  <si>
    <t>249</t>
  </si>
  <si>
    <t>0C871191-9325-48BC-9597-263AAC9C3811</t>
  </si>
  <si>
    <t>251</t>
  </si>
  <si>
    <t>AC1</t>
  </si>
  <si>
    <t>Equipo de cómputo y oficina</t>
  </si>
  <si>
    <t>AC2</t>
  </si>
  <si>
    <t>Maquinaria (Equipo Menor)</t>
  </si>
  <si>
    <t>AC3</t>
  </si>
  <si>
    <t>Maquinaria (Equipo Mayor)</t>
  </si>
  <si>
    <t>AC4</t>
  </si>
  <si>
    <t>Mobiliario campamentos</t>
  </si>
  <si>
    <t>AC5</t>
  </si>
  <si>
    <t>Mobiliario y equipamiento obra</t>
  </si>
  <si>
    <t>AC6</t>
  </si>
  <si>
    <t>Vehículos utilitarios</t>
  </si>
  <si>
    <t>3b4a4c71-834b-4fed-a899-355c1efe73a2</t>
  </si>
  <si>
    <t>CLI51816053</t>
  </si>
  <si>
    <t>SGM950714DC2</t>
  </si>
  <si>
    <t>SERVICIOS GASOLINEROS DE MEXICO (COMBUSTIBLES)</t>
  </si>
  <si>
    <t>COMBUSTIBLE - PREMIUM</t>
  </si>
  <si>
    <t>12D30749-67D5-11F0-B03B-6B850C6C3CE0</t>
  </si>
  <si>
    <t>4.0CONT - 3018819</t>
  </si>
  <si>
    <t>TPA861126356</t>
  </si>
  <si>
    <t>TRITURADOS Y PREMEZCLADOS DE ALTAMIRA</t>
  </si>
  <si>
    <t>53116166-fcce-4c19-8e26-4ceeef7ad044</t>
  </si>
  <si>
    <t>3126234250722210355363</t>
  </si>
  <si>
    <t>20e36ade-7f27-4c70-aa85-152bf1185036</t>
  </si>
  <si>
    <t>3145889250722211101987</t>
  </si>
  <si>
    <t>9AF06315-0B0F-4631-8EB3-5CB2C350C587</t>
  </si>
  <si>
    <t>N26FW - 61160</t>
  </si>
  <si>
    <t>F6A62CAD-D457-4CC1-A452-7EC35613B2E3</t>
  </si>
  <si>
    <t>SR 11523</t>
  </si>
  <si>
    <t>GUAE690920CL2</t>
  </si>
  <si>
    <t>ENRIQUE GUTIERREZ DEL ANGEL "MADERAS Y TABLEROS DEL GOLFO"</t>
  </si>
  <si>
    <t>f07a8463-4159-4444-99c7-d06d3b464eeb</t>
  </si>
  <si>
    <t>4HGCJI 434427</t>
  </si>
  <si>
    <t>335d7138-833e-4fd3-8321-6e7eb6d665d0</t>
  </si>
  <si>
    <t>4HGCJI 434805</t>
  </si>
  <si>
    <t>077C40F0-AEDB-410E-9DB1-036464F291D5</t>
  </si>
  <si>
    <t>OWEB - 1022898</t>
  </si>
  <si>
    <t>OFD1509177N8</t>
  </si>
  <si>
    <t>OPERADORA DE FRANQUICIAS DINEEK "PARADOR EL POTOSINO" (COMBUSTIBLES)</t>
  </si>
  <si>
    <t>975698D6-67B8-4DAD-924C-8EA0A7457647</t>
  </si>
  <si>
    <t>PALTU - 39282</t>
  </si>
  <si>
    <t>SEM970507LV4</t>
  </si>
  <si>
    <t>SERVICIO ESTACION MANUEL "PETRUM" (COMBUSTIBLES)</t>
  </si>
  <si>
    <t>MATERIAL - BOLSA DE VINIL P/ LITROS YA-0095</t>
  </si>
  <si>
    <t>MATERIAL - 7/8" X 4" X 8' # SEGUNDA</t>
  </si>
  <si>
    <t>MATERIAL - CANTEADA 1 LADO</t>
  </si>
  <si>
    <t>MATERIAL - HTCAOBILLA4 X 8 2.5MM</t>
  </si>
  <si>
    <t>MATERIAL - CORTE SERIE</t>
  </si>
  <si>
    <t>HERRAMIENTA - ARCO TRUPER PROFESIONAL TUBULAR</t>
  </si>
  <si>
    <t>HERRAMIENTA - 880332 LLAVE DE AJUSTE T</t>
  </si>
  <si>
    <t>HERRAMIENTA - 880138 DADO DE AJUSTE</t>
  </si>
  <si>
    <t>HERRAMIENTA - 880120 ADAPTADOR PARA DA</t>
  </si>
  <si>
    <t>HERRAMIENTA - 880135 DADO DE AJUSTE</t>
  </si>
  <si>
    <t>HERRAMIENTA - MALPER‐PICHANCHABRONCE‐2 Pichancha de bronce 2"</t>
  </si>
  <si>
    <t>HERRAMIENTA - BARRETA HEXAGONAL 25MM 1X150 PUNTA</t>
  </si>
  <si>
    <t>HERRAMIENTA - PALA CUADRADA MINI PUÑO Y 27</t>
  </si>
  <si>
    <t>HERRAMIENTA - PALA REDONDA PUÑO Y CORTA</t>
  </si>
  <si>
    <t>HERRAMIENTA - FLEXOMETRO 5MT PROMOCIONAL</t>
  </si>
  <si>
    <t>MATERIAL CONSUMIBLE - PEGAMENTO P/PVC CPVC 118 ML</t>
  </si>
  <si>
    <t>HERRAMIENTA - PLOMADATRUPER</t>
  </si>
  <si>
    <t>HERRAMIENTA - PLOMADATRUPERPLOM-12</t>
  </si>
  <si>
    <t>MATERIAL CONSUMIBLE - CEMENTO PVC EXTRA REFORZADO 500 ML</t>
  </si>
  <si>
    <t>HERRAMIENTA - LLANA FILADELFIA 10 X 5 19 10-3</t>
  </si>
  <si>
    <t>HERRAMIENTA - PALA CAVADOR REFORZADO TRUPER CA-38F</t>
  </si>
  <si>
    <t>SEGURIDAD - POSTE ANARANJADO DE 1.20M CON BASE</t>
  </si>
  <si>
    <t>SEGURIDAD - CONO REFORZADO DE 71 CMS</t>
  </si>
  <si>
    <t>HERRAMIENTA - PALA REDONDA MGO MADERA 28 HOME DEP</t>
  </si>
  <si>
    <t>HERRAMIENTA - CAVADOR JARDINERIA FIBRA VIDRIO</t>
  </si>
  <si>
    <t>MATERIAL - ALAMBRE DE AMARRE ROLLO 1KG FIERO 44458</t>
  </si>
  <si>
    <t>MATERIAL CONSUMIBLE - CINTA SELLA ROSCAS 3/4" PRETUL 27011</t>
  </si>
  <si>
    <t>EPP - GUANTE PIEL RES/LONETA USO OPERADOR UNITALLA</t>
  </si>
  <si>
    <t>EPP - 46181507 16390 JY3009 CHALECO DE SEG. MALLA VERDE C/REFLEJ.</t>
  </si>
  <si>
    <t>EPP - 46181600 23909 BOT29I BOTA DE HULE TRUPER IND. NGA. # 29 BOT 29I</t>
  </si>
  <si>
    <t>EPP - 46181600 23907 BOT27I BOTA DE HULE TRUPER IND. NGA. # 27 BOT 27I</t>
  </si>
  <si>
    <t>EPP - BOTA JARDINERA PVC 28</t>
  </si>
  <si>
    <t>EPP - CHALECO SEGURIDAD VERDE CINTAS DOBLES ALTA VISIBILIDAD</t>
  </si>
  <si>
    <t>EPP - CASCO SEGURIDAD NARANJA</t>
  </si>
  <si>
    <t>EPP - Chaleco de seguridad Alta visibilid</t>
  </si>
  <si>
    <t>EPP - CASCO DE SEGURIDAD AJUSTE MATRACA AZUL TRUPER 10371</t>
  </si>
  <si>
    <t>EPP - CASCO DE SEGURIDAD AJUSTE MATRACA ROJO TRUPER 10373</t>
  </si>
  <si>
    <t>EPP - CASCO VERDE TRUPER 10374</t>
  </si>
  <si>
    <t>EPP - CASCO DE SEGURIDAD AJUSTE MATRACA AMARILLO TRUPER 14294</t>
  </si>
  <si>
    <t>EPP - GUANTE REFORZADO DE CARNAZA CHINO D</t>
  </si>
  <si>
    <t>GASTOS ** - AGUA CIEL CRISTAL NANA 600ML PET</t>
  </si>
  <si>
    <t>HERRAMIENTA - CAVADOR JARDINERO TRUPER MGO RNDO</t>
  </si>
  <si>
    <t>GASTOS ** - AGUA MINERAL TOPO CHICO 600 ML BOTELLA NO RETORNABLE</t>
  </si>
  <si>
    <t>GASTOS ** - BOLSA BIOPLASTICA OXXO 1PZ</t>
  </si>
  <si>
    <t>GASTOS ** - COCACOLA ORIGINAL LATA 355 ML NR SLEEK CAN</t>
  </si>
  <si>
    <t>GASTOS ** - ELECTROLIT FRESA 625ML</t>
  </si>
  <si>
    <t>GASTOS ** - ELECTROLIT LIMA LIMON 625ML</t>
  </si>
  <si>
    <t>GASTOS ** - ELECTROLIT FRESA KIWI 625ML</t>
  </si>
  <si>
    <t>GASTOS ** - ELECTROLIT MORA AZUL 625ML</t>
  </si>
  <si>
    <t>GASTOS ** - ELECTROLIT PONCHE DE FRUTAS 625ML</t>
  </si>
  <si>
    <t>GASTOS ** - REFRESCO COCACOLA 1 LT BOTELLA NO RETORNABLE COLA</t>
  </si>
  <si>
    <t>GASTOS ** - POWERADE MORAS 600ML</t>
  </si>
  <si>
    <t>GASTOS ** - PENAFIEL MINERAL 600 ML NR</t>
  </si>
  <si>
    <t>GASTOS ** - AGUA PURIFICADA ELECTROPURA 1.5 LT BOTE</t>
  </si>
  <si>
    <t>GASTOS ** - PISTACHES WONDERFUL PISTACHIOS TOSTADOS CON SAL 100GR BOLSA</t>
  </si>
  <si>
    <t>GASTOS ** - DORITOS NACHO 146GR</t>
  </si>
  <si>
    <t>GASTOS ** - ELECTROLIT UVA 625 ML</t>
  </si>
  <si>
    <t>GASTOS ** - AGUA NATURAL BONAFONT 1 LT BOTELLA</t>
  </si>
  <si>
    <t>GASTOS ** - AGUA PURIFICADA EPURA 101 LTS</t>
  </si>
  <si>
    <t>GASTOS ** - VASO POLIPRO NO 12 50 PIEZAS</t>
  </si>
  <si>
    <t>GASTOS ** - REFRESCO COCACOLA 600 ML BOTELLA NO RETORNABLE COLA</t>
  </si>
  <si>
    <t>GASTOS ** - PISTACHES CON SAL BITZ 32GR</t>
  </si>
  <si>
    <t>GASTOS ** - AGUA ALCALINA VITAWA 1.5 LTS</t>
  </si>
  <si>
    <t>b83bdcd4-ba46-4409-beef-e60c0f47b2e4</t>
  </si>
  <si>
    <t>4HGCJI 435013</t>
  </si>
  <si>
    <t>74C1DB84-EF5D-4614-8DF5-26FF67369E53</t>
  </si>
  <si>
    <t>F6730</t>
  </si>
  <si>
    <t>HGR040217T87</t>
  </si>
  <si>
    <t>HOTEL GRAND ROYAL TAMPICO (HOSPEDAJE)</t>
  </si>
  <si>
    <t>HOSPEDAJE - LODGING</t>
  </si>
  <si>
    <t>565E29C7-9585-436D-831A-617876EEB6B7</t>
  </si>
  <si>
    <t> P622</t>
  </si>
  <si>
    <t>SAFR9211164K0</t>
  </si>
  <si>
    <t>RAQUEL SANCHEZ FABIAN</t>
  </si>
  <si>
    <t>AE65A35F-5E2E-4AC9-978E-0244CCD7F4FA</t>
  </si>
  <si>
    <t>M02FW - 49727</t>
  </si>
  <si>
    <t>SBO9301194A2</t>
  </si>
  <si>
    <t>SERVICIO BOULEVARD "MOBIL"</t>
  </si>
  <si>
    <t>0FF4FA63-5C26-4BAF-B22A-189E509C435F</t>
  </si>
  <si>
    <t>F - 3216</t>
  </si>
  <si>
    <t>SGT041222RA7</t>
  </si>
  <si>
    <t>SERVICIO DE GASOLINERA TAMAULIPAS (COMBUSTIBLES)</t>
  </si>
  <si>
    <t>7495fcbc-5246-4520-8739-717ab85f6b5e</t>
  </si>
  <si>
    <t>TCA 41073</t>
  </si>
  <si>
    <t>574d3ea1-14c7-4f0e-8a29-4b68c076b2fe</t>
  </si>
  <si>
    <t>ARZ 31665</t>
  </si>
  <si>
    <t>TCE980331LKA</t>
  </si>
  <si>
    <t>TRACTO CENTER E12658 PEMEX (COMBUSTIBLES)</t>
  </si>
  <si>
    <t>78E01E80-6DFA-654C-9C88-FADA1029E533</t>
  </si>
  <si>
    <t>E 110467</t>
  </si>
  <si>
    <t>74F68D79-EC70-47FC-9E99-D18B2B2D0291</t>
  </si>
  <si>
    <t>A-20709</t>
  </si>
  <si>
    <t>CAGI9006189H0</t>
  </si>
  <si>
    <t>ISMAEL CALDERON GONZALEZ "MADERERIA LA SELVA"</t>
  </si>
  <si>
    <t>DE118BCA-D6E7-4424-8854-687802A54A05</t>
  </si>
  <si>
    <t>FH74347</t>
  </si>
  <si>
    <t>GOPG710528HC5</t>
  </si>
  <si>
    <t>GUADALUPE GONZALEZ PAREDES "FH" FORMICAS Y HERRAJES</t>
  </si>
  <si>
    <t>E060A17E-89D4-490A-8D54-7A0F750C6D7D</t>
  </si>
  <si>
    <t>FH74348</t>
  </si>
  <si>
    <t>96d28747-aed9-450e-bcc6-a8824f349362</t>
  </si>
  <si>
    <t>00007877 162344</t>
  </si>
  <si>
    <t>ECO 112 2P AZ INFLALLANT</t>
  </si>
  <si>
    <t>6feba90e-a761-4533-9bfc-2d7652127201</t>
  </si>
  <si>
    <t>3114579250725002312465</t>
  </si>
  <si>
    <t>909c337f-8d6b-4cbb-8d15-da30f35a0604</t>
  </si>
  <si>
    <t>311520250724230622406</t>
  </si>
  <si>
    <t>19c9c96a-46f5-47d4-a0a6-34b9c3eef0fb</t>
  </si>
  <si>
    <t>311521250724231038654</t>
  </si>
  <si>
    <t>05682073-a826-4acf-ac36-813c21068b24</t>
  </si>
  <si>
    <t>312120250724225623794</t>
  </si>
  <si>
    <t>8a88fd45-fbac-4597-98c3-9968b8a702bc</t>
  </si>
  <si>
    <t>3110179250728181755536</t>
  </si>
  <si>
    <t>889d637e-d6d2-40f6-8239-b63c62883819</t>
  </si>
  <si>
    <t>3120414250728173626725</t>
  </si>
  <si>
    <t>9e32e703-6f10-46ad-af74-06085a5ace5d</t>
  </si>
  <si>
    <t>318012250728182632419</t>
  </si>
  <si>
    <t>4ddec71f-efdf-45a9-961f-9a89f699d141</t>
  </si>
  <si>
    <t>319812250728175220750</t>
  </si>
  <si>
    <t>&lt;</t>
  </si>
  <si>
    <t>DFCC6990-DD9E-4EFF-9EB7-7E69D329E164</t>
  </si>
  <si>
    <t>FPMXFS 5477129</t>
  </si>
  <si>
    <t>FSI970908ML5</t>
  </si>
  <si>
    <t>FARMACIAS DE SIMILARES</t>
  </si>
  <si>
    <t>6daf1e3f-f96c-47e1-892b-9e93b981ee4e</t>
  </si>
  <si>
    <t>4HGCJI 435941</t>
  </si>
  <si>
    <t>98814f7f-6759-492c-887a-249d93310300</t>
  </si>
  <si>
    <t>4HGCJI 436128</t>
  </si>
  <si>
    <t>ef2936e7-96d8-4757-bf57-b7b9a328207b</t>
  </si>
  <si>
    <t>4HGCJI 436316</t>
  </si>
  <si>
    <t>4d62f0c3-ae31-4867-8ae5-8743f579f3d2</t>
  </si>
  <si>
    <t>4HGCJI 436723</t>
  </si>
  <si>
    <t>62fc4783-a44e-469f-a251-a3c61b7f3c20</t>
  </si>
  <si>
    <t>4HGCJI 436725</t>
  </si>
  <si>
    <t>89b40db9-1f59-4be5-8636-0a1b6be5cc0d</t>
  </si>
  <si>
    <t>4HGCJI 436726</t>
  </si>
  <si>
    <t>90570562-b145-4189-aa5f-b4a21158c146</t>
  </si>
  <si>
    <t>4HGCJI 436930</t>
  </si>
  <si>
    <t>F1A41E94-696A-11F0-B5E0-C36B6A15C887</t>
  </si>
  <si>
    <t>MAN3168</t>
  </si>
  <si>
    <t>56F81039-696B-11F0-BC52-33B86780333B</t>
  </si>
  <si>
    <t>MAN3169</t>
  </si>
  <si>
    <t>HOSPEDAJE - 22 DE JULIO 2025</t>
  </si>
  <si>
    <t>37270141-F3B6-4039-9E15-0B4C46C86490</t>
  </si>
  <si>
    <t>M-0454956</t>
  </si>
  <si>
    <t>BAE2072F-1C73-4BA3-B88C-D2C064A2B9B5</t>
  </si>
  <si>
    <t>S003TPV30120045629</t>
  </si>
  <si>
    <t>1E42C9E4-D58A-4C24-A786-B3958B935DF2</t>
  </si>
  <si>
    <t>CFDI 70259</t>
  </si>
  <si>
    <t>SGL990712DH0</t>
  </si>
  <si>
    <t>SERVICIO DE GASOLINERIA LEPACABA (COMBUSTIBLES)</t>
  </si>
  <si>
    <t>SIZR910113J97</t>
  </si>
  <si>
    <t>FERRETERIA JMC RAFAEL SILVA ZALETA</t>
  </si>
  <si>
    <t>54CC5665-88D6-CF41-A80B-D42B40685B8C</t>
  </si>
  <si>
    <t>A6926</t>
  </si>
  <si>
    <t>F653D631-18E8-E24F-BD5C-EE178B1A7905</t>
  </si>
  <si>
    <t>E 110482</t>
  </si>
  <si>
    <t>89B8903D-6C0F-964B-9757-E712C294C109</t>
  </si>
  <si>
    <t>E 110493</t>
  </si>
  <si>
    <t>5EEE67F2‐1813‐4FDC‐AD1B‐A79A6568ED1B</t>
  </si>
  <si>
    <t>AAA ‐ 5148</t>
  </si>
  <si>
    <t>DIMARSA PLOMERIA Y AZULEJOS</t>
  </si>
  <si>
    <t>DPA971201FG5</t>
  </si>
  <si>
    <t>41D3ED7E‐B873‐4E75‐AB56‐C3BA9C8D1A8B</t>
  </si>
  <si>
    <t>A ‐ 6361</t>
  </si>
  <si>
    <t>6A393B04‐2F40‐4B07‐9ED2‐4A4FD3A8BF57</t>
  </si>
  <si>
    <t>A ‐ 6367</t>
  </si>
  <si>
    <t>E3862EA9-8C0E-41B3-82B6-310810A6DFB7</t>
  </si>
  <si>
    <t>FACT0000000471</t>
  </si>
  <si>
    <t>GAVZ670517P58</t>
  </si>
  <si>
    <t>ZOILA DE LA GARZA VALDEZ "FerreCables y Cordeles"</t>
  </si>
  <si>
    <t>236110B3-DCC2-4E35-A694-4FB4BBF5CC6D</t>
  </si>
  <si>
    <t>FACT0000000472</t>
  </si>
  <si>
    <t>b93a953c-00d2-4f8e-a9a8-d5a395dbca83</t>
  </si>
  <si>
    <t>AW 9035</t>
  </si>
  <si>
    <t>GPA8010254LA</t>
  </si>
  <si>
    <t>GASOLINERA LAS PALMAS (COMBUSTIBLES)</t>
  </si>
  <si>
    <t>9c1ff94f-8f26-40a8-ab95-f8bc7bc5c0d1</t>
  </si>
  <si>
    <t>3143102250728182856360</t>
  </si>
  <si>
    <t>23ba81e8-3900-4987-b1be-db54b959223d</t>
  </si>
  <si>
    <t>3143102250728184222624</t>
  </si>
  <si>
    <t>3aec1dcc-1c22-4ffb-8d90-c68636b06c5b</t>
  </si>
  <si>
    <t>3130719250730031736735</t>
  </si>
  <si>
    <t>b0051beb-933b-4de9-a469-dd3b829a3484</t>
  </si>
  <si>
    <t>4HGCJI 437348</t>
  </si>
  <si>
    <t>7ae7f7f9-5d07-4935-b755-88d355084080</t>
  </si>
  <si>
    <t>4HGCJI 437349</t>
  </si>
  <si>
    <t>cf2e4c95-ca21-4cc6-8840-314e7aa6865c</t>
  </si>
  <si>
    <t>4HGCJI 437355</t>
  </si>
  <si>
    <t>63cfb2db-ff81-40fd-a5ea-f569dd3512b8</t>
  </si>
  <si>
    <t>4HGCJI 438255</t>
  </si>
  <si>
    <t>1FD15BE9-3633-47DE-A9D4-0ACE39528904</t>
  </si>
  <si>
    <t>M 46765</t>
  </si>
  <si>
    <t>HMA420901PL8</t>
  </si>
  <si>
    <t>HOTEL MANTE</t>
  </si>
  <si>
    <t>HOSPEDAJE - 28 DE JULIO 2025</t>
  </si>
  <si>
    <t>84C83407-5B2D-4D24-B770-750520A7588C</t>
  </si>
  <si>
    <t>M 46796</t>
  </si>
  <si>
    <t>HOSPEDAJE - 30 DE JULIO 2025</t>
  </si>
  <si>
    <t>061e5a5f-b138-4235-9a1d-a5d916e6a2cf</t>
  </si>
  <si>
    <t>LCEN004765</t>
  </si>
  <si>
    <t>LLR980402351</t>
  </si>
  <si>
    <t>LISTER LABORATORIO DE REFERENCIA</t>
  </si>
  <si>
    <t>fbeee05e-335c-4cd2-8972-fb152e5ee43b</t>
  </si>
  <si>
    <t>A 29875</t>
  </si>
  <si>
    <t>MMA640403F6A</t>
  </si>
  <si>
    <t>MERCANTIL MANTE E01283 (COMBUSTIBLES)</t>
  </si>
  <si>
    <t>B68229BD-B520-48DF-9705-E301F8D25927</t>
  </si>
  <si>
    <t>S003TPV30120045940</t>
  </si>
  <si>
    <t> C3B56708-BCD0-4F9E-BB68-1CDF7DD51121</t>
  </si>
  <si>
    <t> A4459</t>
  </si>
  <si>
    <t>MUPV770502P24</t>
  </si>
  <si>
    <t>VICENTE MUELA PARGA "PLANCHADITOS" (RESTAURANTE)</t>
  </si>
  <si>
    <t>1CB77950-D83F-462F-8C75-3922A90CDDE9</t>
  </si>
  <si>
    <t> A4460</t>
  </si>
  <si>
    <t> 144DE28A-86DC-483A-BC03-6104AC5A74D1</t>
  </si>
  <si>
    <t> A4467</t>
  </si>
  <si>
    <t>557530E2-002F-464B-8B60-1A9678C354C5</t>
  </si>
  <si>
    <t>557530E2</t>
  </si>
  <si>
    <t>NURA760322316</t>
  </si>
  <si>
    <t>ARTURO FIDEL NUÑEZ RUIZ</t>
  </si>
  <si>
    <t>30e632c0-ad71-4e8a-b90b-0465e92d0bea</t>
  </si>
  <si>
    <t>PEND8911107M6</t>
  </si>
  <si>
    <t>DANIEL PEREZ SAN VICENTE NAVARRO</t>
  </si>
  <si>
    <t>Servicio de consultoría. Correspondiente al mes de agosto</t>
  </si>
  <si>
    <t>4B3087C2‐1037‐4755‐846F‐A27D1EF8DEF2</t>
  </si>
  <si>
    <t>CB ‐ 2696</t>
  </si>
  <si>
    <t>RIVA960226TQ2</t>
  </si>
  <si>
    <t>ABEL RIVERA VALDEZ "LA CASA DEL BUFFET" (RESTAURANTE)</t>
  </si>
  <si>
    <t>1CE065E9-A079-4D2E-8BC2-7E0E117BC822</t>
  </si>
  <si>
    <t>FF 363</t>
  </si>
  <si>
    <t>TERESA RODRIGUEZ ESCOBAR</t>
  </si>
  <si>
    <t>ROET540412FR9</t>
  </si>
  <si>
    <t>8A9C554F-B68A-4827-B889-0F9FDC6C1C05</t>
  </si>
  <si>
    <t>M02FW - 49862</t>
  </si>
  <si>
    <t>84D9B1CB-C084-FF4F-B14B-8F426741C80D</t>
  </si>
  <si>
    <t>A6939</t>
  </si>
  <si>
    <t>58E21568-E1AF-8B4C-9E2D-000C149E6448</t>
  </si>
  <si>
    <t>AD 77767</t>
  </si>
  <si>
    <t>TIENDAS GRAN D</t>
  </si>
  <si>
    <t>TGD850430CJ3</t>
  </si>
  <si>
    <t> 22D7742A-2645-4C4F-B6D6-917EE5B1FED3</t>
  </si>
  <si>
    <t>M3557</t>
  </si>
  <si>
    <t>AEYP930302N36</t>
  </si>
  <si>
    <t>8187281E-7075-4502-8181-54AD8FD11CF7</t>
  </si>
  <si>
    <t> M3558</t>
  </si>
  <si>
    <t>PEDRO ANTONIO ACEVES YAPUR "MIL HORNOS" (RESTAURANTE)</t>
  </si>
  <si>
    <t>99FC302B-EFD7-4D9F-A176-525E616FA187</t>
  </si>
  <si>
    <t> M3565</t>
  </si>
  <si>
    <t>e7eb4972-c37e-4289-942c-0e20ebb245d8</t>
  </si>
  <si>
    <t>00007534 611143</t>
  </si>
  <si>
    <t>601064 H87 1027733 ACEITES Y PREPA</t>
  </si>
  <si>
    <t>935455 H87 53 A LIMPIADOR CARBUKLI</t>
  </si>
  <si>
    <t>117702 H87 APP5144 Bujia Autolite D</t>
  </si>
  <si>
    <t>5c73fbf5-777e-4ed9-9064-be8a6c0d5118</t>
  </si>
  <si>
    <t>3111467250731213100883</t>
  </si>
  <si>
    <t>050115eb-4c69-445a-99df-36e651254986</t>
  </si>
  <si>
    <t>3111467250731235600718</t>
  </si>
  <si>
    <t>6f768bc5-a141-4a30-9264-3236df72e176</t>
  </si>
  <si>
    <t>3113720250731233956821</t>
  </si>
  <si>
    <t>1ff608ce-6774-40ac-93e4-7007c07461d2</t>
  </si>
  <si>
    <t>311517250731231040087</t>
  </si>
  <si>
    <t>2f45f088-c4a9-496c-b0be-07619bb388ee</t>
  </si>
  <si>
    <t>3125762250731230757273</t>
  </si>
  <si>
    <t>1981f606-0de0-479d-93b5-f7d687639967</t>
  </si>
  <si>
    <t>3125762250731231809957</t>
  </si>
  <si>
    <t>03ae3920-a6e2-4ed6-b124-8d781fe459e3</t>
  </si>
  <si>
    <t>3126209250731230156335</t>
  </si>
  <si>
    <t>0f9e7a78-0b8f-40cb-bbb0-88e2d6be1672</t>
  </si>
  <si>
    <t>3131764250801004345627</t>
  </si>
  <si>
    <t>7B4D3F4B-0689-4D16-AAF7-11B568E3A9AB</t>
  </si>
  <si>
    <t>CBU 26430</t>
  </si>
  <si>
    <t>5737E72D-9BFB-49D3-9069-425A6E576745</t>
  </si>
  <si>
    <t>GG3FE - 37698</t>
  </si>
  <si>
    <t>GGT110402L98</t>
  </si>
  <si>
    <t>GRUPO GASOLINERO TAMPICO</t>
  </si>
  <si>
    <t>2ef6ef8a-ff4b-497d-8041-741c49e9822a</t>
  </si>
  <si>
    <t>3134297250801004611972</t>
  </si>
  <si>
    <t>a309b7b7-fd16-44c3-9f46-816f12e9c18f</t>
  </si>
  <si>
    <t>3134725250731225804903</t>
  </si>
  <si>
    <t>852517c5-25d9-4ef3-b62d-33718a61d21e</t>
  </si>
  <si>
    <t>3135223250731235329967</t>
  </si>
  <si>
    <t>544d9089-6b25-4272-bc02-b235af7dfbed</t>
  </si>
  <si>
    <t>3143102250731204144901</t>
  </si>
  <si>
    <t>29901de7-be7c-414d-aaaa-0659c4a8a046</t>
  </si>
  <si>
    <t>3143102250731235006517</t>
  </si>
  <si>
    <t>434b44a6-a7c2-4cdd-82dc-2038c6b697fb</t>
  </si>
  <si>
    <t>3145889250731230421667</t>
  </si>
  <si>
    <t>6d584c1b-0393-46c0-b12c-285ff073d4d3</t>
  </si>
  <si>
    <t>3145915250801004020018</t>
  </si>
  <si>
    <t>063abe20-72cf-47b1-8b99-83d3769bc21f</t>
  </si>
  <si>
    <t>A 255541</t>
  </si>
  <si>
    <t>CJA060905JY5</t>
  </si>
  <si>
    <t>COMBUSTIBLES JASA E10639 (COMBUSTIBLES)</t>
  </si>
  <si>
    <t>CA0BD2E5-C569-442B-A561-56A127D778D7</t>
  </si>
  <si>
    <t>57953 FD40</t>
  </si>
  <si>
    <t>DIS1409122P7</t>
  </si>
  <si>
    <t>DISDEGA "PEMEX" (COMBUSTIBLES)</t>
  </si>
  <si>
    <t>ad0468e4-ac96-4b9e-8113-a1391839c8be</t>
  </si>
  <si>
    <t>B 345581</t>
  </si>
  <si>
    <t>ESC030311NN0</t>
  </si>
  <si>
    <t>ESTACION Y SERVICIOS DEL CORREDOR URBANO E07771 (COMBUSTIBLES)</t>
  </si>
  <si>
    <t>34413e04-9f16-400d-9924-da14fdba24d0</t>
  </si>
  <si>
    <t>4HGCJI 438969</t>
  </si>
  <si>
    <t>83D714E2-3599-4A76-8D4A-BDF573419DB7</t>
  </si>
  <si>
    <t>NWS-F-5831</t>
  </si>
  <si>
    <t>HMA080617QV4</t>
  </si>
  <si>
    <t>HAMBURGUESAS MAFIS (CARL´S JR.)</t>
  </si>
  <si>
    <t>5FB00144-FE8E-49ED-829B-69FC145AB732</t>
  </si>
  <si>
    <t>M 46820</t>
  </si>
  <si>
    <t>HOSPEDAJE - HOSPEDAJE</t>
  </si>
  <si>
    <t>EFBC4CB3-662C-48FA-B560-98DE328D9E5A</t>
  </si>
  <si>
    <t>M 46821</t>
  </si>
  <si>
    <t>fea37b65-a91b-43a5-8026-1c9b69813130</t>
  </si>
  <si>
    <t>I 6863</t>
  </si>
  <si>
    <t>256fc637-6e08-40bf-814c-e9f8cbe53e5d</t>
  </si>
  <si>
    <t>T 94707</t>
  </si>
  <si>
    <t>D5D3CBAE-1B76-457F-A1FC-F29BEE74B011</t>
  </si>
  <si>
    <t>IBADC95240</t>
  </si>
  <si>
    <t>NUEVA WAL MART DE MEXICO</t>
  </si>
  <si>
    <t>NWM9709244W4</t>
  </si>
  <si>
    <t>042c5d51-1064-4c35-8041-9865122d3bb0</t>
  </si>
  <si>
    <t>ARZ 31777</t>
  </si>
  <si>
    <t>08F53A97-0903-A64C-96D0-3A0DDF97043B</t>
  </si>
  <si>
    <t>AD 77797</t>
  </si>
  <si>
    <t>4224FA95-8BBC-440B-B072-9E12FFBFC04E</t>
  </si>
  <si>
    <t>TPAS 1039664</t>
  </si>
  <si>
    <t>TUN930101L63</t>
  </si>
  <si>
    <t>TRANSPAIS UNICO (TRANSPORTE PASAJEROS)</t>
  </si>
  <si>
    <t>F273DA38-F75A-4B4C-937D-8102D38B7AF4</t>
  </si>
  <si>
    <t>TPAS 1039714</t>
  </si>
  <si>
    <t>D6ABD44C-54D2-4F4D-9B86-C73089688D47</t>
  </si>
  <si>
    <t>TPAS 1039725</t>
  </si>
  <si>
    <t>MATERIAL - TRIPLAY CONSTRUCCION CDX 12 MM 122X</t>
  </si>
  <si>
    <t>MATERIAL - TRIPLAY CONSTRUCCION CDX 15 MM 122X</t>
  </si>
  <si>
    <t>MATERIAL CONSUMIBLE - CLAVO P/CONCRETO 2 1/2 GALV 1KG</t>
  </si>
  <si>
    <t>BCD37152-8815-40C9-8F80-886CEB6CC171</t>
  </si>
  <si>
    <t> F10786</t>
  </si>
  <si>
    <t>GRS180605938</t>
  </si>
  <si>
    <t>GRUPO RESTAURANTERO SUPERNOVA "MEZZÈ" (RESTAURANTE)</t>
  </si>
  <si>
    <t> 66DEDD13-D6E8-44FD-B1FC-FB2ADC8FA0B3</t>
  </si>
  <si>
    <t> M3570</t>
  </si>
  <si>
    <t> 23BFD22A-84B4-45E9-BE9D-0D0629748044</t>
  </si>
  <si>
    <t>M3571</t>
  </si>
  <si>
    <t> 3729A62D-447D-44F3-9076-71540F9812E8</t>
  </si>
  <si>
    <t>M3573</t>
  </si>
  <si>
    <t> 479A337F-1B33-45F2-8F89-3234773B5671</t>
  </si>
  <si>
    <t>M3580</t>
  </si>
  <si>
    <t> EDA0E328-4731-4ECA-B44C-89FC36722495</t>
  </si>
  <si>
    <t> M3585</t>
  </si>
  <si>
    <t>6c69d3aa-f76f-4ea4-b7d1-d687ee483a1f</t>
  </si>
  <si>
    <t>319812250811191846476</t>
  </si>
  <si>
    <t>6b42d45a-cff1-4a8a-b050-270a6c3759a1</t>
  </si>
  <si>
    <t>00007753 650065</t>
  </si>
  <si>
    <t>PN11 PINTURA PARA DEFEN</t>
  </si>
  <si>
    <t>ECO 112 2P AZInflallanta</t>
  </si>
  <si>
    <t>E6D46BAC-2BAD-4AF7-8C5F-3CE711DDE22A</t>
  </si>
  <si>
    <t>AP 150160881506</t>
  </si>
  <si>
    <t>APU640930KV9</t>
  </si>
  <si>
    <t>AUTOS PULLMAN</t>
  </si>
  <si>
    <t>SERVICIOS DE BUSES CON HORARIOS PROGRAMADOS-SERVICIOS DE VIAJE ADO GL MEXICO NORTE-TAPACHULA CHIS FOL. 150160881506 ASIENTO. 7 14/08/2025</t>
  </si>
  <si>
    <t>73054120-8470-4D0D-ABA1-5342A0E0D37A</t>
  </si>
  <si>
    <t>CEL 70972</t>
  </si>
  <si>
    <t>BRO120910HC1</t>
  </si>
  <si>
    <t>BAJIO ROLL "SUSHI ROLL" (RESTAURANTE)</t>
  </si>
  <si>
    <t>DC02E4C6-2ED4-42C5-9DE4-D415EA6E62CC</t>
  </si>
  <si>
    <t>28368</t>
  </si>
  <si>
    <t>CATN840223CF5</t>
  </si>
  <si>
    <t>NESTOR CAMPOS TAVITAS "FERRETERIA TAVITAS"</t>
  </si>
  <si>
    <t>087a6089-98b1-4712-aacf-f6f45f172dec</t>
  </si>
  <si>
    <t>3144237250806013556703</t>
  </si>
  <si>
    <t>0b42596b-e0d5-428a-968b-6a2d3c3522a2</t>
  </si>
  <si>
    <t>3110736250811192114452</t>
  </si>
  <si>
    <t>eaac0de6-9a9d-4f8e-9202-e72b2232c358</t>
  </si>
  <si>
    <t>7e5e1b01-5d54-45d8-8214-5c9edf75e9ac</t>
  </si>
  <si>
    <t>3112874250811191527025</t>
  </si>
  <si>
    <t>3112874250811190602658-</t>
  </si>
  <si>
    <t>f622ac4a-76ef-4837-a4fd-195b1e6b6e69</t>
  </si>
  <si>
    <t>3116686250811191210667</t>
  </si>
  <si>
    <t>4ABE412F-0AF5-4AC9-865E-34EE519E85A2</t>
  </si>
  <si>
    <t>CT4FE - 173590</t>
  </si>
  <si>
    <t>CCT140828NF0</t>
  </si>
  <si>
    <t>COMERCIALIZADORA DE COMBUSTIBLES TAMAULIPECA "NEXUM" (COMBUSTIBLES)</t>
  </si>
  <si>
    <t>4121A076-7F60-4EC0-B24B-A45A35D8F679</t>
  </si>
  <si>
    <t>N03FW - 70257</t>
  </si>
  <si>
    <t>621EA0D5-41CA-4027-BC5B-17EAF55F18FF</t>
  </si>
  <si>
    <t>CT4FE - 173730</t>
  </si>
  <si>
    <t>EDA524DD-2D63-48CC-8D84-FB99F451E896</t>
  </si>
  <si>
    <t>CT4FE - 173836</t>
  </si>
  <si>
    <t>87604B0C-68A6-4DD3-8F49-7AB3BDDBB993</t>
  </si>
  <si>
    <t>N80FW - 43299</t>
  </si>
  <si>
    <t>78199451-CEDB-582B-B08B-9409E8495E7A</t>
  </si>
  <si>
    <t>L 1034</t>
  </si>
  <si>
    <t>19C76848-A156-4B3B-8241-DD182EEB863D</t>
  </si>
  <si>
    <t>3273068</t>
  </si>
  <si>
    <t>DISTRIBUIDORA TAMEX S.A.P.I. DE C.V.</t>
  </si>
  <si>
    <t>DTA9601235Z9</t>
  </si>
  <si>
    <t>ABCB80BD-2CC6-4AF8-94BF-20BD63FE3180</t>
  </si>
  <si>
    <t>BID 62925</t>
  </si>
  <si>
    <t>FARMACIA GUADALAJARA</t>
  </si>
  <si>
    <t>FGU830930PD3</t>
  </si>
  <si>
    <t>230ED1B3-EC3A-4A9C-A704-F5A796FFA364</t>
  </si>
  <si>
    <t>FACT0000000486</t>
  </si>
  <si>
    <t>HERRAMIENTA - PALA CUADRADA MANGO MADERA PUÑO PLASTICO DE PCD-P PRETUL</t>
  </si>
  <si>
    <t>GASTOS ** - SCHWEPPES MINERAL 600ML</t>
  </si>
  <si>
    <t>GASTOS ** - CACAHUATE JAPONES JUMBO NATURAL BITZ 150 G</t>
  </si>
  <si>
    <t>GASTOS ** - AMPER BLUEBERRY ENERGY DRINK 473ML</t>
  </si>
  <si>
    <t>GASTOS ** - PENAFIEL MINERAL 1 LT NR</t>
  </si>
  <si>
    <t>GASTOS ** - REFRESCO COCACOLA 3 LT BOTELLA NO RETORNABLE COLA</t>
  </si>
  <si>
    <t>GASTOS ** - GATORADE FIERCE MORAS 1LT</t>
  </si>
  <si>
    <t>GASTOS ** - ELECTROLIT UVA 1L</t>
  </si>
  <si>
    <t>GASTOS ** - AGUA PURIFICADA CIEL 5 LT BOTE</t>
  </si>
  <si>
    <t>GASTOS ** - COCA COLA SIN AZUCAR CHUBBY 355ML PET</t>
  </si>
  <si>
    <t>GASTOS ** - CERVEZA MODELO ESPECIAL LATA 710ML</t>
  </si>
  <si>
    <t>GASTOS ** - 20OZ AMERICANO REGULAR</t>
  </si>
  <si>
    <t>GASTOS ** - AGUA ALCALINA VITAWA 1LT</t>
  </si>
  <si>
    <t>GASTOS ** - CASHITAS NUEZ DE LA INDIA CON SAL 50G</t>
  </si>
  <si>
    <t>GASTOS ** - POWERADE MORAS 1LT</t>
  </si>
  <si>
    <t>GASTOS ** - ELECTROLIT NARANJAMANDARINA 625ML</t>
  </si>
  <si>
    <t>GASTOS ** - ALIMENTO PPERRO POUCH CARNE JUGOSA 100G</t>
  </si>
  <si>
    <t>GASTOS ** - ALIMENTO PPERRO POUCH RES 100 GRS</t>
  </si>
  <si>
    <t>GASTOS ** - AGUA PURIFICADA CIEL 1 LT BOTE</t>
  </si>
  <si>
    <t>GASTOS ** - COCA COLA 250 ML PET NR</t>
  </si>
  <si>
    <t>GASTOS ** - CERVEZA MICHELOB ULTRA NR 355ML</t>
  </si>
  <si>
    <t>GASTOS ** - FLASHLYTE 625ML COCO LIMON</t>
  </si>
  <si>
    <t>GASTOS ** - AGUA PURIFICADA BIOLEVE 6L</t>
  </si>
  <si>
    <t>GASTOS ** - REESES NUT BAR 47GR</t>
  </si>
  <si>
    <t>GASTOS ** - ARITOS DE SANDIA CON TAJIN SC 55G</t>
  </si>
  <si>
    <t>GASTOS ** - PISTACHE SIN CASCARA TOSTADO Y SALADO 70GR</t>
  </si>
  <si>
    <t>GASTOS ** - COCA COLA 2.5L+250ML GRATIS</t>
  </si>
  <si>
    <t>GASTOS ** - FRESCA TORONJA 3 LTS N R PLAST</t>
  </si>
  <si>
    <t>GASTOS ** - VASO JAGUAR FLEXIVASO #8 C/20</t>
  </si>
  <si>
    <t>GASTOS ** - TOSTITOS SWITCH 82GR</t>
  </si>
  <si>
    <t>GASTOS ** - SANDWICH SUPER CREAM JAMON Y QUESO 125G</t>
  </si>
  <si>
    <t>GASTOS ** - CHIPS AHOY REG ARETE 82.8G</t>
  </si>
  <si>
    <t>GASTOS ** - OREO CHOCOLATE 105G</t>
  </si>
  <si>
    <t>GASTOS ** - ESCUIS FRESA 600ML NR</t>
  </si>
  <si>
    <t>GASTOS ** - ELECTROLIT MORA AZUL 1000 ML</t>
  </si>
  <si>
    <t>GASTOS ** - AGUA PURIFICADA ELECTROPURA 1 LT BOTE</t>
  </si>
  <si>
    <t>GASTOS ** - SANDWICH KIRLUNCH TRIPLE BLANCO JAMON PAVO 180G</t>
  </si>
  <si>
    <t>GASTOS ** - VASO GENERICO OXXO</t>
  </si>
  <si>
    <t>GASTOS ** - COCA COLA REGULAR CHUBBY 355ML PET</t>
  </si>
  <si>
    <t>GASTOS ** - CERVEZA STELLA ARTOIS NR 330 ML</t>
  </si>
  <si>
    <t>GASTOS ** - NATURES HEART GO NUTS 70GR</t>
  </si>
  <si>
    <t>GASTOS ** - NH FULL FLAVOR LIMON Y SAL 50 G</t>
  </si>
  <si>
    <t>GASTOS ** - AGUA NATURAL BONAFONT 2 LT</t>
  </si>
  <si>
    <t>GASTOS ** - AGUA BIOLEVE 1L 6PACK</t>
  </si>
  <si>
    <t>GASTOS ** - 12OZ AMERICANO REGULAR</t>
  </si>
  <si>
    <t>GASTOS ** - RUEDITAS DE ARANDANO LA INTEGRAL 160G</t>
  </si>
  <si>
    <t>GASTOS ** - CHEETOS SWITCH 78GR</t>
  </si>
  <si>
    <t>RESTAURANTE - MUSLOCHEST</t>
  </si>
  <si>
    <t>RESTAURANTE - COCA COLA</t>
  </si>
  <si>
    <t>RESTAURANTE - RICATORTA</t>
  </si>
  <si>
    <t>RESTAURANTE - PIERNACHES</t>
  </si>
  <si>
    <t>RESTAURANTE - PAPA GAJO</t>
  </si>
  <si>
    <t>RESTAURANTE - PIZZA IND</t>
  </si>
  <si>
    <t>RESTAURANTE - REB P PEP</t>
  </si>
  <si>
    <t>RESTAURANTE - ALA CHESTER</t>
  </si>
  <si>
    <t>HERRAMIENTA - EXTENSION NARANJA T-USO RUDO CAL. 2X16 15M 1551 1.00 PZ</t>
  </si>
  <si>
    <t>HERRAMIENTA - CT-9P CUCHARA ALBAÑIL SOLD FILADELFIA DE 9" PRETUL</t>
  </si>
  <si>
    <t>MATERIAL - TUBO CONDUIT LIGERO RO ABOC DE 38MM</t>
  </si>
  <si>
    <t>MATERIAL - CURVA CONDUIT 90 R-0 (LIGERA) 38 MM</t>
  </si>
  <si>
    <t>RENTAS - RENTA DE MAQUINARIA PARA CONSTUCCION, CORTADORA DE CONCRETO, ROMPEDORA, VIBRADORES DE CONCRETO, GENERADOR DE GASOLINA, EN EL PERIODO DE 07 DE JULIO AL 18 DE JULIO</t>
  </si>
  <si>
    <t>MATERIAL - TINACO TRICAPA NEGRO 450 LTS CON ACCESORIOS</t>
  </si>
  <si>
    <t>MATERIAL - CURVA CONDUIT PVC VERDE 25 MM X 90 1</t>
  </si>
  <si>
    <t>MATERIAL - TUBO CONDUIT PVC VERDE PESADO 25 MM X 3 M 1</t>
  </si>
  <si>
    <t>MATERIAL - POLIETILENO NEGRO CAL.600 ANCHO DE 6.00 MT</t>
  </si>
  <si>
    <t>HERRAMIENTA - TARJETA EXHIBIDORA DE FLEXOMETRO DE 3 M PRETUL MOD.</t>
  </si>
  <si>
    <t>GASTOS ** - Powerade Moras 1lt</t>
  </si>
  <si>
    <t>GASTOS ** - Agua Natural Epura</t>
  </si>
  <si>
    <t>GASTOS ** - AGUA NATURAL E PURA 5 LT</t>
  </si>
  <si>
    <t>GASTOS ** - Rec Cruji Sal 160g</t>
  </si>
  <si>
    <t>GASTOS ** - Agua Min Topo Ch</t>
  </si>
  <si>
    <t>GASTOS ** - Beb I. Gatorade Mo</t>
  </si>
  <si>
    <t>GASTOS ** - Ref Coca 600 Ml</t>
  </si>
  <si>
    <t>GASTOS ** - Jumex Fresh 2L Cit</t>
  </si>
  <si>
    <t>GASTOS ** - Agua Mineral Penaf</t>
  </si>
  <si>
    <t>GASTOS ** - Ag Purif Ciel 1 L</t>
  </si>
  <si>
    <t>GASTOS ** - Agua Natural Ciel</t>
  </si>
  <si>
    <t>MATERIAL - TUBO CONDUIT PESADO R1 DE 25 MM (1</t>
  </si>
  <si>
    <t>MATERIAL - CURVA CONDUIT 90 R-1 (PESADA) 25 MM</t>
  </si>
  <si>
    <t>HERRAMIENTA - MINIESMERIL 4 1/2 BOSCH 850 W</t>
  </si>
  <si>
    <t>HERRAMIENTA - FLEXOMETRO COMPACTO DE 8M/26</t>
  </si>
  <si>
    <t>HERRAMIENTA - DISCO ABRASIVO 4-1/2X.040X7/8</t>
  </si>
  <si>
    <t>HERRAMIENTA - BARRA HEX CUNA P/CONCR 7/8X36 CM</t>
  </si>
  <si>
    <t>HERRAMIENTA - DISCO ABRASIVO 4-1/2X1/8X7/8</t>
  </si>
  <si>
    <t>HERRAMIENTA - LLANA C/MANGO D/MDRA TRUPER LLMD-11</t>
  </si>
  <si>
    <t>HERRAMIENTA - VOLTEADOR DE ALUMINIO VOLT</t>
  </si>
  <si>
    <t>HERRAMIENTA - LLANA DE 6 REMACHES DENTADA LLM-6D</t>
  </si>
  <si>
    <t>EPP - CASCO CABEL DE PROTECCION AMARILLO</t>
  </si>
  <si>
    <t>HERRAMIENTA - MAZO DE HULE 16 OZ CON MANGO</t>
  </si>
  <si>
    <t>MATERIAL CONSUMIBLE - BBN BOLSA P/BASURA NGA. 90CM. X 1.20CM.</t>
  </si>
  <si>
    <t>MATERIAL - POLIN 4-4-8 PINO ASPERO</t>
  </si>
  <si>
    <t>MATERIAL -  1-10-10 2DA CEPILLADA 2 DE 150CM Y 1 DE 88CM Y 1 DE 55CM</t>
  </si>
  <si>
    <t>MATERIAL - CORTES</t>
  </si>
  <si>
    <t>HERRAMIENTA - FLEXOMETRO COD.14578 5M</t>
  </si>
  <si>
    <t>HERRAMIENTA - FLEXOMETRO 8MTS COD.14579</t>
  </si>
  <si>
    <t>EPP - BOTA COD.17913 INDUSTRIAL PVC #27</t>
  </si>
  <si>
    <t>EPP - CASCO TRUPER 10370 BLANCO</t>
  </si>
  <si>
    <t>EPP - CASCO TRUPER 10371 AZUL</t>
  </si>
  <si>
    <t>EPP - CASCO TRUPER 14294 AMARILLO</t>
  </si>
  <si>
    <t>EPP - CHALECO TRUPER 13473 SEG NARANJA</t>
  </si>
  <si>
    <t>GASTOS ** - AGUA E-PURA 1LT (2)</t>
  </si>
  <si>
    <t>MATERIAL CONSUMIIBLE - SIKA ANCHORFIX-2+ TROPICAL 300 ML</t>
  </si>
  <si>
    <t>EPP - BOTA JARDINERA AJUSTABLE #28 MX1603</t>
  </si>
  <si>
    <t>MATERIAL CONSUMIBLE - CINTA PARA DUCTO ALTA TEMPERATURA 48MMX 30M 8170</t>
  </si>
  <si>
    <t>MATERIAL CONSUMIBLE - PEGAMENTO PARA PVC SANITARIO EL DORADO 118ML 9708/9508</t>
  </si>
  <si>
    <t>MATERIAL - TUBO CONDUIT PVC T/PESADO 25MM=1" X3.0M</t>
  </si>
  <si>
    <t>MATERIAL CONSUMIBLE - ESPONJA MIXTA ALTA ABSORCION 19.5X13X7MM</t>
  </si>
  <si>
    <t>EPP - BOTA JARDINERA PVC 26</t>
  </si>
  <si>
    <t>EPP - OVEROL DESECHABLE TALLA L</t>
  </si>
  <si>
    <t>EPP - IMPERMEABLE GABARDINA LIGERO</t>
  </si>
  <si>
    <t>HERRAMIENTA - VOLTEADOR ALUMINIO</t>
  </si>
  <si>
    <t>HERRAMIENTA - CUCHARA ALBAÑIL 9 FORJADA</t>
  </si>
  <si>
    <t>HERRAMIENTA - LLANA FLOTA ESPONJA LISO</t>
  </si>
  <si>
    <t>EPP - GUANTE NYLON/POLIURETANO USO</t>
  </si>
  <si>
    <t>HERRAMIENTA - AMARRADOR DE VARILLA</t>
  </si>
  <si>
    <t>HERRAMIENTA - FLEXOMETRO 8M CINTA 25 MM DISPLAY</t>
  </si>
  <si>
    <t>HERRAMIENTA - BASTON DE RESPUESTO PARA ESCOBA</t>
  </si>
  <si>
    <t>SEGURIDAD - SECO71R CONO DE SEG. 70 CMS. NARANJA C/REFLEJ. BASE REF.</t>
  </si>
  <si>
    <t>HERRAMIENTA - 27112200 9656 CT6P CUCHARA PRETUL CT 6P</t>
  </si>
  <si>
    <t>HERRAMIENTA - 27111508 22417 SP18 SERRUCHO PRETUL MANGO MAD. 18</t>
  </si>
  <si>
    <t>HERRAMIENTA - 31162800 21202 EA48 ESPONJA P/AFINAR 4" X 8"</t>
  </si>
  <si>
    <t>HERRAMIENTA - 31162800 6550 TR-BY PALA TRUP. CAJUELERA REDONDA TR BY</t>
  </si>
  <si>
    <t>HERRAMIENTA - 27111508 16397 SP20 SERRUCHO PRETUL MANGO MAD. SP 20</t>
  </si>
  <si>
    <t>HERRAMIENTA - 31162800 40459 CLI-A CLAVIJA IND. ATERRIZADA VOLTECK CLI-A</t>
  </si>
  <si>
    <t>HERRAMIENTA - 47131600 32195 ES220C ESCOBA KLINTEK T/CEPILLO DE VINILO 30CM. ES 220C</t>
  </si>
  <si>
    <t>HERRAMIENTA - Extension elect rudo polar 10m</t>
  </si>
  <si>
    <t>EPP - GUANTES DE NYLON RECUBIERTO DE NITRILO, G, PRETUL GU 123P</t>
  </si>
  <si>
    <t>MATERIAL - PELICULA POLIETILENO NATURAL CAL. 300 ANCHO 4 MTS</t>
  </si>
  <si>
    <t>MATERIAL CONSUMIBLE - CINTA EMPAQUE TRANSPARENTE 48mm x 40mts PRETUL</t>
  </si>
  <si>
    <t>MATERIAL - PANEL MDF 3 MM 1.22 X2.44</t>
  </si>
  <si>
    <t>MATERIAL - BARROTE ESTUFADO 1 1/2X3 1/2X8</t>
  </si>
  <si>
    <t>MATERIAL - TABLON IMPORTADO 2X2X8</t>
  </si>
  <si>
    <t>HERRAMIENTA - NIVEL TORPEDO PROFESIONAL 9 NTX-9</t>
  </si>
  <si>
    <t>MATERIAL CONSUMIBLE - BOLSA CON 1 KG DE ELECTRODOS 7018 D</t>
  </si>
  <si>
    <t>HERRAMIENTA - NAVAJA TRUPER MULTIUSOS DE 6 NM-6</t>
  </si>
  <si>
    <t>HERRAMIENTA - REPUESTO NAVAJA RETRACTIL C/5</t>
  </si>
  <si>
    <t>MATERIAL CONSUMIBLE - BOLSA CON 1 KG DE ELECTRODOS 6013 D</t>
  </si>
  <si>
    <t>EPP - CARETA PARA SOLDAR ELECTRONICA ELIT</t>
  </si>
  <si>
    <t>MATERIAL CONSUMIBLE - 3M CINTA REPARACIONES MULTIPROPÓSIT</t>
  </si>
  <si>
    <t>SEGURIDAD - CINTA DE PRECAUCION</t>
  </si>
  <si>
    <t>EPP - GUANTES DE PUNTOS</t>
  </si>
  <si>
    <t>MATERIAL - ALAMBRE RECOCIDO</t>
  </si>
  <si>
    <t>GASTOS ** - AGUA PURIFICADA NATURAL EPURA 10.1 L</t>
  </si>
  <si>
    <t>GASTOS ** - VASO TERMICO 6 REYMA 25.00 PZ</t>
  </si>
  <si>
    <t>GASTOS ** - VASO TERMICO 8 REYMA 25.00 PZ</t>
  </si>
  <si>
    <t>GASTOS ** - AGUA PURIFICADA NATURAL EPURA 2 L</t>
  </si>
  <si>
    <t>GASTOS ** - PLATANO TABASCO 1 KG</t>
  </si>
  <si>
    <t>HERRAMIENTA - NIVEL CLASIC NP-36</t>
  </si>
  <si>
    <t>MATERIAL - POLIESTER TRENZADO DIAMANTE 1/4 (9</t>
  </si>
  <si>
    <t>MATERIAL - TORNILLO P.YESO C.GRUESA 6X2 500PZ</t>
  </si>
  <si>
    <t>MATERIAL - TORNILLO P.YESO C.GRUESA 6X1-5/8 5</t>
  </si>
  <si>
    <t>RESTAURANTE - PECHUGACHE</t>
  </si>
  <si>
    <t>GASTOS ** - AGUA PURIFICADA NATURAL EPURA 5 L</t>
  </si>
  <si>
    <t>MATERIAL CONSUMIBLE - PEGAMENTO AZUL PARA PVC, HASTA 12 , BOTE 250 ML</t>
  </si>
  <si>
    <t>MATERIAL CONSUMIBLE - PEGAMENTO AUTOMOTRIZ 5000</t>
  </si>
  <si>
    <t>MATERIAL - TUBO PVC PESADO DE 1 1/2 PG 38MM</t>
  </si>
  <si>
    <t>MATERIAL - CODO PVC PESADO DE 1 PULG 25MM</t>
  </si>
  <si>
    <t>MATERIAL - CODO PVC PESADO DE 1 1/2 38MM</t>
  </si>
  <si>
    <t>MATERIAL - NIPLE BOTELLA 2" ACERO GALVANIZADO</t>
  </si>
  <si>
    <t>MATERIAL - TUERCA UNION 2" ACERO GALVANIZADO</t>
  </si>
  <si>
    <t>HERRAMIENTA - CINCEL PUNTA BOSCH HEX 520MM</t>
  </si>
  <si>
    <t>RENTAS - 4 DIAS DE RENTA DE GENERADOR CON ROMPEDORA</t>
  </si>
  <si>
    <t>RENTAS - 3 DIAS DE RENTA DE CORTADORA DE CONCRETO</t>
  </si>
  <si>
    <t>MATERIAL - ALAMBRE AMARRE RECOCIDO CAL 16 (KG)</t>
  </si>
  <si>
    <t>MATERIAL - ALAMBRE RECOCIDO DE AMARRE CAL 16</t>
  </si>
  <si>
    <t>C2-1</t>
  </si>
  <si>
    <t>C6-2</t>
  </si>
  <si>
    <t>C2-3</t>
  </si>
  <si>
    <t>C5-4</t>
  </si>
  <si>
    <t>C1-5</t>
  </si>
  <si>
    <t>C4-1</t>
  </si>
  <si>
    <t>C4-2</t>
  </si>
  <si>
    <t>C3-3</t>
  </si>
  <si>
    <t>C3-4</t>
  </si>
  <si>
    <t>C3-5</t>
  </si>
  <si>
    <t>C1-1</t>
  </si>
  <si>
    <t>C7-2</t>
  </si>
  <si>
    <t>C5-3</t>
  </si>
  <si>
    <t>C6-4</t>
  </si>
  <si>
    <t>C8-5</t>
  </si>
  <si>
    <t>C1-6</t>
  </si>
  <si>
    <t>C3-7</t>
  </si>
  <si>
    <t>C1-9</t>
  </si>
  <si>
    <t>C3-1</t>
  </si>
  <si>
    <t>C5-2</t>
  </si>
  <si>
    <t>C6-3</t>
  </si>
  <si>
    <t>C4-4</t>
  </si>
  <si>
    <t>C4-5</t>
  </si>
  <si>
    <t>C6-1</t>
  </si>
  <si>
    <t>C2-2</t>
  </si>
  <si>
    <t>C2-4</t>
  </si>
  <si>
    <t>C2-5</t>
  </si>
  <si>
    <t>C2-6</t>
  </si>
  <si>
    <t>C2-7</t>
  </si>
  <si>
    <t>C2-8</t>
  </si>
  <si>
    <t>C2-9</t>
  </si>
  <si>
    <t>C2-10</t>
  </si>
  <si>
    <t>C1-2</t>
  </si>
  <si>
    <t>C1-3</t>
  </si>
  <si>
    <t>C1-4</t>
  </si>
  <si>
    <t>C1-7</t>
  </si>
  <si>
    <t>C1-8</t>
  </si>
  <si>
    <t>C1-10</t>
  </si>
  <si>
    <t>C1-11</t>
  </si>
  <si>
    <t>C1-12</t>
  </si>
  <si>
    <t>C1-13</t>
  </si>
  <si>
    <t>C1-14</t>
  </si>
  <si>
    <t>C1-15</t>
  </si>
  <si>
    <t>C1-16</t>
  </si>
  <si>
    <t>C1-17</t>
  </si>
  <si>
    <t>C1-18</t>
  </si>
  <si>
    <t>C1-19</t>
  </si>
  <si>
    <t>C1-20</t>
  </si>
  <si>
    <t>C6-20</t>
  </si>
  <si>
    <t>C1-26</t>
  </si>
  <si>
    <t>C1-21</t>
  </si>
  <si>
    <t>C1-22</t>
  </si>
  <si>
    <t>C1-23</t>
  </si>
  <si>
    <t>C1-24</t>
  </si>
  <si>
    <t>C1-25</t>
  </si>
  <si>
    <t>C1-27</t>
  </si>
  <si>
    <t>C1-28</t>
  </si>
  <si>
    <t>C1-29</t>
  </si>
  <si>
    <t>C1-30</t>
  </si>
  <si>
    <t>C1-31</t>
  </si>
  <si>
    <t>C1-32</t>
  </si>
  <si>
    <t>C1-33</t>
  </si>
  <si>
    <t>C1-34</t>
  </si>
  <si>
    <t>C1-35</t>
  </si>
  <si>
    <t>C3-2</t>
  </si>
  <si>
    <t>C3-6</t>
  </si>
  <si>
    <t>C4-3</t>
  </si>
  <si>
    <t>C4-6</t>
  </si>
  <si>
    <t>C4-7</t>
  </si>
  <si>
    <t>C4-8</t>
  </si>
  <si>
    <t>C4-9</t>
  </si>
  <si>
    <t>C4-10</t>
  </si>
  <si>
    <t>C5-1</t>
  </si>
  <si>
    <t>C5-5</t>
  </si>
  <si>
    <t>C5-6</t>
  </si>
  <si>
    <t>C5-7</t>
  </si>
  <si>
    <t>C5-8</t>
  </si>
  <si>
    <t>C6-5</t>
  </si>
  <si>
    <t>C6-6</t>
  </si>
  <si>
    <t>C6-7</t>
  </si>
  <si>
    <t>C6-8</t>
  </si>
  <si>
    <t>C6-9</t>
  </si>
  <si>
    <t>C6-10</t>
  </si>
  <si>
    <t>C6-11</t>
  </si>
  <si>
    <t>C6-12</t>
  </si>
  <si>
    <t>C6-13</t>
  </si>
  <si>
    <t>C6-14</t>
  </si>
  <si>
    <t>C6-15</t>
  </si>
  <si>
    <t>C6-16</t>
  </si>
  <si>
    <t>C6-17</t>
  </si>
  <si>
    <t>C6-18</t>
  </si>
  <si>
    <t>C6-19</t>
  </si>
  <si>
    <t>C6-21</t>
  </si>
  <si>
    <t>C6-22</t>
  </si>
  <si>
    <t>C6-23</t>
  </si>
  <si>
    <t>C6-24</t>
  </si>
  <si>
    <t>C7-1</t>
  </si>
  <si>
    <t>C7-3</t>
  </si>
  <si>
    <t>C7-4</t>
  </si>
  <si>
    <t>C7-5</t>
  </si>
  <si>
    <t>C7-6</t>
  </si>
  <si>
    <t>C7-7</t>
  </si>
  <si>
    <t>C7-8</t>
  </si>
  <si>
    <t>C7-9</t>
  </si>
  <si>
    <t>C7-10</t>
  </si>
  <si>
    <t>C7-11</t>
  </si>
  <si>
    <t>C7-12</t>
  </si>
  <si>
    <t>C7-13</t>
  </si>
  <si>
    <t>C7-14</t>
  </si>
  <si>
    <t>C7-15</t>
  </si>
  <si>
    <t>C8-1</t>
  </si>
  <si>
    <t>C8-2</t>
  </si>
  <si>
    <t>C8-3</t>
  </si>
  <si>
    <t>C8-4</t>
  </si>
  <si>
    <t>C8-6</t>
  </si>
  <si>
    <t>AF12BC7E-108A-4715-B6D0-D0E1CF91EF8B</t>
  </si>
  <si>
    <t>CRON 16505</t>
  </si>
  <si>
    <t>GASTRONOMIA MEMORABLE DEL SUR DE TAMAULIPAS</t>
  </si>
  <si>
    <t>GMS2107174U6</t>
  </si>
  <si>
    <t>294837d9-13b5-4949-bcac-ad07d8c1181c</t>
  </si>
  <si>
    <t>JI 39115</t>
  </si>
  <si>
    <t>f6363fe5-ac74-4622-9915-c71107ca52d6</t>
  </si>
  <si>
    <t>4HGCJI 440003</t>
  </si>
  <si>
    <t>37516dcb-357a-4440-b04b-3e819b2d8ce3</t>
  </si>
  <si>
    <t>4HGCJI 441542</t>
  </si>
  <si>
    <t>87c18e1c-6583-49f4-b41b-11aba7bd50d7</t>
  </si>
  <si>
    <t>4HGCJI 441555</t>
  </si>
  <si>
    <t>e715ac20-6a19-40cd-bfc4-784af39d5c3d</t>
  </si>
  <si>
    <t>4HGCJI 442002</t>
  </si>
  <si>
    <t>3cf67b62-7da8-4c1f-ac29-86af553f10ec</t>
  </si>
  <si>
    <t>4HGCJI 443009</t>
  </si>
  <si>
    <t>7745e425-937f-45b0-926b-c971a8edc55a</t>
  </si>
  <si>
    <t>4HGCJI 443010</t>
  </si>
  <si>
    <t>932f04e8-3952-4c00-989e-960fc85016d1</t>
  </si>
  <si>
    <t>4HGCJI 444043</t>
  </si>
  <si>
    <t>FC81B4F2-B4CE-4060-A4AE-61D4B088B4E3</t>
  </si>
  <si>
    <t>R 40225</t>
  </si>
  <si>
    <t>1EC5EEE0-2FB4-430B-B34D-A76213F05A00</t>
  </si>
  <si>
    <t>R 40257</t>
  </si>
  <si>
    <t>ACTIVO - GENERADOR ELECTRICO 4550 WATTS</t>
  </si>
  <si>
    <t>EPP - GUANTE NAPA L</t>
  </si>
  <si>
    <t>HERRAMIENTA - DISCO CORTE MET/INOX SP T41 4-1/2X3</t>
  </si>
  <si>
    <t>EPP - LENTES DE SOL SPORT</t>
  </si>
  <si>
    <t>EPP - GUANTE RESISTENTE A ALTAS TEMPERATU</t>
  </si>
  <si>
    <t>EPP - LENTE DE SEGURIDAD NEO AMBAR</t>
  </si>
  <si>
    <t>HERRAMIENTA - MARRO DE 8LBS CON CABO MD-8M</t>
  </si>
  <si>
    <t>HERRAMIENTA - EXTENSIÓN USO RUDO 2X16 10m</t>
  </si>
  <si>
    <t>HERRAMIENTA - PALA CUADRADA,MANG MAD 71 ANVIL</t>
  </si>
  <si>
    <t>HERRAMIENTA - PALA CAJUELERA CUADRADA MANGO MADE</t>
  </si>
  <si>
    <t>SEGURIDAD - CINTA DELIMITADORA PROHIBIDO EL PAS</t>
  </si>
  <si>
    <t>HERRAMIENTA - CUBETA NARANJA HOMER BUCKET 19L</t>
  </si>
  <si>
    <t>HERRAMIENTA - DISCO DELGADO CORTE METAL 4.5X0.040</t>
  </si>
  <si>
    <t>MATERIAL - CURVA CONDUIT 90 R-1 (PESADA) 38 MM</t>
  </si>
  <si>
    <t>MATERIAL - TUBO CONDUIT PESADO R1 ABOC DE 50 M</t>
  </si>
  <si>
    <t>HERRAMIENTA - PINZA DE ELECTRICISTA DE 7</t>
  </si>
  <si>
    <t>HERRAMIENTA - FLEXÓMETRO AUTO-LOCK 5M CINTA DE 19</t>
  </si>
  <si>
    <t>MATERIAL CONSUMIBLE - 31162004 ‐ Clavos de mampostería CLAVO PARA MADERA 4"</t>
  </si>
  <si>
    <t>MATERIAL CONSUMIBLE - CLAVO 4 PARA MADERA 10kg</t>
  </si>
  <si>
    <t>MATERIAL CONSUMIBLE - CLAVO 21/2" CON CABEZA DEACERO 245 PZA</t>
  </si>
  <si>
    <t>MATERIAL CONSUMIBLE - CLAVO 2" P/ CONCRETO NEGRO 44133</t>
  </si>
  <si>
    <t>MATERIAL CONSUMIBLE - CLAVO 1" CON CABEZA</t>
  </si>
  <si>
    <t>MATERIAL CONSUMIBLE - CLAVO C/CABEZA STD 2-1/2 1KG</t>
  </si>
  <si>
    <t>MATERIAL CONSUMIBLE - CLAVO C/CABEZA STD 3-1/2 1KG</t>
  </si>
  <si>
    <t>MATERIAL CONSUMIBLE - CLAVO C/CABEZA STD 2 1KGS</t>
  </si>
  <si>
    <t>MATERIAL CONSUMIBLE - CLAVO PARA CONCRETO GALV. DE 3 1/2</t>
  </si>
  <si>
    <t>MATERIAL CONSUMIBLE - CLAVO S/CABEZA STD 1-1/2 500 G</t>
  </si>
  <si>
    <t>HERRAMIENTA - CAVADOR REFORZADO TRUPER CA-38F</t>
  </si>
  <si>
    <t>HERRAMIENTA - BARRA HEX CUNA P/CONCR 1X40 CM CU-1</t>
  </si>
  <si>
    <t>HERRAMIENTA - PALA TRUPER ESPADON MGO CTO Y PEP</t>
  </si>
  <si>
    <t>MATERIAL CONSUMIBLE - SISTA ESPUMA UNIVERSAL 750ML</t>
  </si>
  <si>
    <t>HERRAMIENTA - MINIARCO TRUPER P/SEGUETA MAT-12</t>
  </si>
  <si>
    <t>MATERIAL - IMPAC GROUT PRO 25 KG</t>
  </si>
  <si>
    <t>HERRAMIENTA - PINZAS DECORTE DIAGONAL DE 7</t>
  </si>
  <si>
    <t>3510D16D-9944-45E1-840C-DEAD9F32E268</t>
  </si>
  <si>
    <t>3510D16D</t>
  </si>
  <si>
    <t>RESTAURANTE - PROPINA</t>
  </si>
  <si>
    <t>E4643881-207C-4055-A8C9-4768566037C1</t>
  </si>
  <si>
    <t>E4643881</t>
  </si>
  <si>
    <t>613DF4ED-0568-4546-BFD5-655C1E1D6306</t>
  </si>
  <si>
    <t>613DF4ED</t>
  </si>
  <si>
    <t>D3AFC706-6DA6-4AEB-B64A-912AF36C3737</t>
  </si>
  <si>
    <t>D3AFC706</t>
  </si>
  <si>
    <t>D0FDF07D-E768-4631-B42F-F5AFA306428E</t>
  </si>
  <si>
    <t>D0FDF07D</t>
  </si>
  <si>
    <t>6FA04A39-BD05-4579-916B-27BC96D5254B</t>
  </si>
  <si>
    <t>6FA04A39</t>
  </si>
  <si>
    <t>D07024E1-EFA7-434E-9290-276548886C18</t>
  </si>
  <si>
    <t>M 46794</t>
  </si>
  <si>
    <t>FCA8512D-B6EB-4B17-8404-B36956977E11</t>
  </si>
  <si>
    <t>M 46813</t>
  </si>
  <si>
    <t>C9EDE9DD-5552-4F46-A0D6-ED579E24672F</t>
  </si>
  <si>
    <t>M 46899</t>
  </si>
  <si>
    <t>9A1284B0-58D0-4730-9D2E-F4E7591FA381</t>
  </si>
  <si>
    <t>9A1284B0</t>
  </si>
  <si>
    <t>CFA54C05-3D21-4002-8B3C-F3CC10848B3F</t>
  </si>
  <si>
    <t>M 46941</t>
  </si>
  <si>
    <t>a6b4001d-5381-4be8-ac08-d8fb1e0f700e</t>
  </si>
  <si>
    <t>MCLLI-41966</t>
  </si>
  <si>
    <t>HPL970402EV7</t>
  </si>
  <si>
    <t>HIDROSINA PLUS (COMBUSTIBLE)</t>
  </si>
  <si>
    <t>c9cac5f8-effc-4afd-9391-e4dc9531e5f1</t>
  </si>
  <si>
    <t>MCLLI-41972</t>
  </si>
  <si>
    <t>7946235d-24f5-4d15-8d01-57a3d0f830e7</t>
  </si>
  <si>
    <t>MAABW 23</t>
  </si>
  <si>
    <t>MDI361221UU0</t>
  </si>
  <si>
    <t>MERCANTIL DISTRIBUIDORA E14153 "PEMEX" (COMBUSTIBLES)</t>
  </si>
  <si>
    <t>8B4AEA19-D57C-4A00-84EC-4F9CECCE8DEC</t>
  </si>
  <si>
    <t>S003TPV30120046373</t>
  </si>
  <si>
    <t>E54D5D58-B935-4229-8F9D-346CEFE2962C</t>
  </si>
  <si>
    <t>S004TPV40330038598</t>
  </si>
  <si>
    <t>ACTIVO - VIBRADOR PARA CONCRETO MOTOR A GASOLINA 163CC 5.5HP 6 MT VICO55</t>
  </si>
  <si>
    <t>48CEAA1F-B62E-4547-8F2A-C68F68CB5F97</t>
  </si>
  <si>
    <t>S004TPV40430041764</t>
  </si>
  <si>
    <t>0C24E9F8-7317-4C87-AD87-F7017D3646B4</t>
  </si>
  <si>
    <t>OME561118AA8</t>
  </si>
  <si>
    <t>OMNIBUS DE MEXICO FACTURA</t>
  </si>
  <si>
    <t>SERVICIO PUBLICO FEDERAL DE TRANSPORTACION DE PERSONAS</t>
  </si>
  <si>
    <t>HERRAMIENTA - LLAVE TALADRO 1/2</t>
  </si>
  <si>
    <t>HERRAMIENTA - FLEXOMETRO AUTO LOCK CONTRA</t>
  </si>
  <si>
    <t>HERRAMIENTA - DISCO DIAMANTE 7.0 PULG FORMA COPA MAMPOSTERIA</t>
  </si>
  <si>
    <t>HERRAMIENTA - CINCEL SDSPLANO DELGADO</t>
  </si>
  <si>
    <t>HERRAMIENTA - CINCEL SDSC PUNTA</t>
  </si>
  <si>
    <t>Total C/COD IMPUT</t>
  </si>
  <si>
    <t>451B2C8F-0983-4097-838C-DD3D9AC51248</t>
  </si>
  <si>
    <t>OMB1 406520</t>
  </si>
  <si>
    <t>OMB1 406683</t>
  </si>
  <si>
    <t>E19C88DE-70FD-4DA4-961F-922AEBAB0C28</t>
  </si>
  <si>
    <t>WC1 12991</t>
  </si>
  <si>
    <t>PAB000405BF4</t>
  </si>
  <si>
    <t>14282 - PITS ABASTECIMIENTOS "GASOFAC" (COMBUSTIBLES)</t>
  </si>
  <si>
    <t>50E6A6C3-450E-46EF-A9F3-3EF94CCDFD24</t>
  </si>
  <si>
    <t>B 11239</t>
  </si>
  <si>
    <t>QUMN080724K42</t>
  </si>
  <si>
    <t>NINFA CAROLINA QUIROGA MIRELES</t>
  </si>
  <si>
    <t>ac5da30f-2a4c-443d-8dd4-a88e96c00958</t>
  </si>
  <si>
    <t>A 10251</t>
  </si>
  <si>
    <t>RAPE590606DL9</t>
  </si>
  <si>
    <t>MAELOISA RAMIREZ PEREZ</t>
  </si>
  <si>
    <t>114AD26F-9175-4796-BE1C-7F03FDA1F752</t>
  </si>
  <si>
    <t>N2</t>
  </si>
  <si>
    <t>ROLJ9604175T7</t>
  </si>
  <si>
    <t>JUDITH ANAYANZI ROBLES LAMAS</t>
  </si>
  <si>
    <t>1312D8ED-D760-4E84-97C3-83DF973ED1AF</t>
  </si>
  <si>
    <t>A6003</t>
  </si>
  <si>
    <t>RUDE571226KH9</t>
  </si>
  <si>
    <t>ELIAS RUBALCAVA DOMINGUEZ "RUVALCABA SERVICIOS INDUSTRIALES" (RSI)</t>
  </si>
  <si>
    <t>9e5ec47f-0406-4307-99e0-c5efc20a6c63</t>
  </si>
  <si>
    <t>A6004</t>
  </si>
  <si>
    <t>C5A8CF30-E9EA-4084-9C98-3EA1A4728938</t>
  </si>
  <si>
    <t>M02FE - 37312</t>
  </si>
  <si>
    <t>4295694A-99E1-4B88-AF3A-26E4A5D7AA7B</t>
  </si>
  <si>
    <t>M02FW - 50248</t>
  </si>
  <si>
    <t>6BA8E9F7-E1CB-474F-A066-8CE531D267DA</t>
  </si>
  <si>
    <t>AD 77903</t>
  </si>
  <si>
    <t>7E4C06F2-1305-BD4B-9094-2362D97A8CD6</t>
  </si>
  <si>
    <t>AD 77956</t>
  </si>
  <si>
    <t>7FF2BEEF-4871-4263-BBE9-911F7A03010F</t>
  </si>
  <si>
    <t>TPAS 1040369</t>
  </si>
  <si>
    <t>HERRAMIENTA - DISCO DE CORTE41/2 PARACONCRETO</t>
  </si>
  <si>
    <t>HERRAMIENTA - CUCHARA PARA RESANAR</t>
  </si>
  <si>
    <t>RESTAURANTE - VENTA- CONSUMO DE ALIMENTOS Y BEBIDAS.</t>
  </si>
  <si>
    <t>GASTOS ** - AGUA PURIFICADA CIEL 5 L</t>
  </si>
  <si>
    <t>GASTOS ** - SUERO MORA AZUL ELECTROLIT 625.00 ML</t>
  </si>
  <si>
    <t>GASTOS ** - BEBIDA REHIDRATANTE UVA GATORLYTE 591.00 ML</t>
  </si>
  <si>
    <t>GASTOS ** - BEBIDA REHIDRATANTE MORAS GATORLYTE 591.00 ML</t>
  </si>
  <si>
    <t>EXTRAORDINARIOS</t>
  </si>
  <si>
    <t>TAMPICO</t>
  </si>
  <si>
    <t>MANTE</t>
  </si>
  <si>
    <t>CONSTRUCCIÓN DE 50 PILAS DE CONCRETO ARMADO PARA PMI'S EN EL ESTADO DE TAMAULIPAS (TAMPICO Y MANTE)</t>
  </si>
  <si>
    <t>CONTROL DE COSTOS</t>
  </si>
  <si>
    <t>PROYECTO:</t>
  </si>
  <si>
    <t>COLADO DE CONCRETO CON TUBO TREMIE. TIRO DIRECTO</t>
  </si>
  <si>
    <t>COLOCACIÓN DE ARMADO EN EXCAVACIÓN</t>
  </si>
  <si>
    <t>404ACB22-E394-4D2A-A5C8-FBAC9E9FB328</t>
  </si>
  <si>
    <t>TPAS 1040553</t>
  </si>
  <si>
    <t>AF37B7B7-F70E-4671-B31D-043665F247BD</t>
  </si>
  <si>
    <t>TPAS 1041007</t>
  </si>
  <si>
    <t>7855A3DA-6D53-4E0F-8C2D-5A5B27DEAA5F</t>
  </si>
  <si>
    <t>TPAS 1041010</t>
  </si>
  <si>
    <t>913F6448-CBEC-47BA-A336-1D8A36DA2AA5</t>
  </si>
  <si>
    <t>TPAS 1041421</t>
  </si>
  <si>
    <t>89B3A8CA-CBC5-4109-8DA6-B61C65586011</t>
  </si>
  <si>
    <t>TPAS 1042679</t>
  </si>
  <si>
    <t>F165F217-811E-D14B-BD8D-3AD952F2CD3F</t>
  </si>
  <si>
    <t>E 111019</t>
  </si>
  <si>
    <t>HERRAMIENTA - 31162800 9725 DJ14 DESARMADOR TRU. RED. DJ 1 4</t>
  </si>
  <si>
    <t>HERRAMIENTA - 27113201 21028 P720TS JGO. PUNTAS TORX TRUPER P DES. 7 PZAS P7 20TS</t>
  </si>
  <si>
    <t>265D58DB-3B1B-AB4C-AF3E-A01A4527155A</t>
  </si>
  <si>
    <t>E 111015</t>
  </si>
  <si>
    <t>MATERIAL - 40141700 9130 AGR12 ALAMBRE GALV. # 12</t>
  </si>
  <si>
    <t>HERRAMIENTA - 27111700 10665 TORX8 JGO. LLAVES TRU. TORX 8 MED. T NAVAJA</t>
  </si>
  <si>
    <t>7C405076-69ED-4AA7-86F4-62CB707A364A</t>
  </si>
  <si>
    <t>F1CTFR253535</t>
  </si>
  <si>
    <t>FFX121005C6A</t>
  </si>
  <si>
    <t>ONE COATZACOALCOS "ONE HOTELES"  (HOSPEDAJE)</t>
  </si>
  <si>
    <t>HOSPEDAJE - RENTA DE HABITACION</t>
  </si>
  <si>
    <t>024c6be5-4736-40f5-b7ed-6267d635eb02</t>
  </si>
  <si>
    <t>4HGCJI 447014</t>
  </si>
  <si>
    <t>ff77a39a-2de1-4778-a84d-2acad686edea</t>
  </si>
  <si>
    <t>4HGCJI 447533</t>
  </si>
  <si>
    <t>9D10FD6B-E718-46F6-82CD-9B9D2C51670B</t>
  </si>
  <si>
    <t>00007041 249357</t>
  </si>
  <si>
    <t>E10DDAC7‐0428‐4355‐BE7A‐7F19EAD50BC7</t>
  </si>
  <si>
    <t>‐ 8362</t>
  </si>
  <si>
    <t>ANA EDITH TORRES GAMEZ</t>
  </si>
  <si>
    <t>TOGA790922KL1</t>
  </si>
  <si>
    <t>35b49856-1a82-4fee-815e-01e0f838f394</t>
  </si>
  <si>
    <t>W 1172</t>
  </si>
  <si>
    <t>HEMJ780619HC0</t>
  </si>
  <si>
    <t>JUAN REYES HERNANDEZ MARTINEZ E14140 "PEMEX" (COMBUSTIBLES)</t>
  </si>
  <si>
    <t>D8102327-A2DF-4F03-97BF-32ABA6729573</t>
  </si>
  <si>
    <t>HOVNCF0140344</t>
  </si>
  <si>
    <t>1fbf5573-4a47-4d7b-af21-a7fdb0172692</t>
  </si>
  <si>
    <t>4HGCJI 446475</t>
  </si>
  <si>
    <t>5166E67B-86CB-5845-8AC0-9011DD76D40A</t>
  </si>
  <si>
    <t>FNMP 8817749</t>
  </si>
  <si>
    <t>FNI970829JR9</t>
  </si>
  <si>
    <t>FONDO NACIONAL DE INFRAESTRUCTURA</t>
  </si>
  <si>
    <t>PEAJES - SERVICIO DE PEAJE Y CRUCE CARRETERO SAN MARTIN PUEBLA 2025-08-15 17:40:04</t>
  </si>
  <si>
    <t>EDA511BC-E6FD-5D63-8ED6-6A00E9D83EB4</t>
  </si>
  <si>
    <t>FNPE 68232493</t>
  </si>
  <si>
    <t>3EA5E850-3624-4028-BECB-7D6A3274BB8A</t>
  </si>
  <si>
    <t>VFVF130590</t>
  </si>
  <si>
    <t>746F8440-0D53-4D0D-88FE-D3734B81C80B</t>
  </si>
  <si>
    <t>S004TPV40330038954</t>
  </si>
  <si>
    <t>HERRAMIENTA - 880081 MANGO DE AJUSTE M</t>
  </si>
  <si>
    <t>HERRAMIENTA - 880324 PUNTAS PARA DESTO</t>
  </si>
  <si>
    <t>PEAJES - SERVICIO DE PEAJE Y CRUCE CARRETERO COSAMALOAPAN 2025-08-16 11:58:22</t>
  </si>
  <si>
    <t>PEAJES - SERVICIO DE PEAJE Y CRUCE CARRETERO CUITLAHUAC 2025 08-16 13:09:09</t>
  </si>
  <si>
    <t>PEAJES - SERVICIO DE PEAJE Y CRUCE CARRETERO ACAYUCAN 2025 08-16 10:11:25</t>
  </si>
  <si>
    <t>PEAJES - SERVICIO DE PEAJE Y CRUCE CARRETERO PALMILLAS 2025-08 16 20:33:27</t>
  </si>
  <si>
    <t>PEAJES - SERVICIO DE PEAJE Y CRUCE CARRETERO ESPERANZA 27 2025-08-15 16:08:58</t>
  </si>
  <si>
    <t>HERRAMIENTA - 05034BLK32MI Super Embud</t>
  </si>
  <si>
    <t>MATERIAL - CEMENTO MOCTEZUMA</t>
  </si>
  <si>
    <t>HERRAMIENTA - 83743 Amarres p Cable 8</t>
  </si>
  <si>
    <t>MATERIAL CONSUMIBLE - KLI2500 10B Kola Loka</t>
  </si>
  <si>
    <t>3FA8DD2C-2782-4AA8-ADD3-A122B19FD9AD</t>
  </si>
  <si>
    <t>JU 7558</t>
  </si>
  <si>
    <t>SBO2305313J4</t>
  </si>
  <si>
    <t>SHOP BOLA OCHO "TACOS LA CHULA" (RESTAURANTE)</t>
  </si>
  <si>
    <t>64B3226C-EF2B-4AA3-BFDA-685DE86C4A28</t>
  </si>
  <si>
    <t>MA 028963</t>
  </si>
  <si>
    <t>LRL1005262R0</t>
  </si>
  <si>
    <t>LLANTAS Y RINES LONGORIA</t>
  </si>
  <si>
    <t>LLANTA 205R16C JKTYRE RAD 110/108</t>
  </si>
  <si>
    <t>SERVICIO DE ALINEACION L200 2024</t>
  </si>
  <si>
    <t>8BCDCA52-82A1-4208-A354-F3F82B0DCE72</t>
  </si>
  <si>
    <t>FAC638</t>
  </si>
  <si>
    <t>MADERAS Y MATERIALES GARZA</t>
  </si>
  <si>
    <t>WEN160516386</t>
  </si>
  <si>
    <t>CAMBIO DE BALATAS DELANTERAS CABIO DE BALATAS TRASERAS CAMBIO DE DISCO DELANTERO MANO DE OBRA</t>
  </si>
  <si>
    <t>3727C032-5D95-4C9D-9478-E475B0F1DD21</t>
  </si>
  <si>
    <t>A - 30180</t>
  </si>
  <si>
    <t>MALS860505UJ4</t>
  </si>
  <si>
    <t>SANDRA YANET MARTINEZ LOPEZ "CCOMERCIALIZADORA MM TODO LO QUE NECESITAS Y MAS"</t>
  </si>
  <si>
    <t>AB-392</t>
  </si>
  <si>
    <t>ACTIVO - MARTILLO DEMOLEDOR GSH 27 VC BOSCH</t>
  </si>
  <si>
    <t>ACTIVO - SOLDADOR INVERSOR ELITER ARC 220S</t>
  </si>
  <si>
    <t>ACTIVO - BOMBA GASOLINA 2X2 6.5HP 4 T I</t>
  </si>
  <si>
    <t>CIUDAD VICTORIA</t>
  </si>
  <si>
    <t>MATAMOROS</t>
  </si>
  <si>
    <t>ENE 2027 Q1</t>
  </si>
  <si>
    <t>ENE 2027 Q2</t>
  </si>
  <si>
    <t>FEB 2027 Q1</t>
  </si>
  <si>
    <t>FEB 2027 Q2</t>
  </si>
  <si>
    <t>MAR 2027 Q1</t>
  </si>
  <si>
    <t>MAR 2027 Q2</t>
  </si>
  <si>
    <t>ABR 2027 Q1</t>
  </si>
  <si>
    <t>ABR 2027 Q2</t>
  </si>
  <si>
    <t>MAY 2027 Q1</t>
  </si>
  <si>
    <t>MAY 2027 Q2</t>
  </si>
  <si>
    <t>Superintendente (Vicente Gómez)</t>
  </si>
  <si>
    <t>Superintendente</t>
  </si>
  <si>
    <t>Jefe de Producción (Jaime López)</t>
  </si>
  <si>
    <t>Capataz 1 (Freddy)</t>
  </si>
  <si>
    <t>Ingeniero de armados  (Gerardo)</t>
  </si>
  <si>
    <t>Vehículo Superintendente (Vicente)</t>
  </si>
  <si>
    <t>Vehículos Jefe de Producción</t>
  </si>
  <si>
    <t>Vehículos Capataz</t>
  </si>
  <si>
    <t>Saveiro Robust (Pichirila)</t>
  </si>
  <si>
    <t>Vehículo Plataforma</t>
  </si>
  <si>
    <t>RAM 4000 Plataforma</t>
  </si>
  <si>
    <t>Remolque Cuello de Ganso</t>
  </si>
  <si>
    <t>AC</t>
  </si>
  <si>
    <t>Traslados para personal de obra</t>
  </si>
  <si>
    <t>Casa Ingenieros de Obra</t>
  </si>
  <si>
    <t>Casa Personal de obra</t>
  </si>
  <si>
    <t>Patio de armado</t>
  </si>
  <si>
    <t>Depósito en garantía Renta de Casas</t>
  </si>
  <si>
    <t>Costo Empresa</t>
  </si>
  <si>
    <t>SUBCONTRATO DE GROUT Y BANQUETA (lote 10 pilas)</t>
  </si>
  <si>
    <t>MAN-P1-1</t>
  </si>
  <si>
    <t>MAN-P1-2</t>
  </si>
  <si>
    <t>MAN-P1-3</t>
  </si>
  <si>
    <t>MAN-P1-4</t>
  </si>
  <si>
    <t>MAN-P1-5</t>
  </si>
  <si>
    <t>MAN-P1-6</t>
  </si>
  <si>
    <t>MAN-P1-7</t>
  </si>
  <si>
    <t>MAN-P1-8</t>
  </si>
  <si>
    <t>MAN-P2-1</t>
  </si>
  <si>
    <t>MAN-P2-2</t>
  </si>
  <si>
    <t>MAN-P2-3</t>
  </si>
  <si>
    <t>MAN-P2-4</t>
  </si>
  <si>
    <t>MAN-P2-5</t>
  </si>
  <si>
    <t>MAN-P2-6</t>
  </si>
  <si>
    <t>MAN-P2-7</t>
  </si>
  <si>
    <t>MAN-P2-8</t>
  </si>
  <si>
    <t>MAN-P2-9</t>
  </si>
  <si>
    <t>MAN-P2-10</t>
  </si>
  <si>
    <t>MAN-P2-11</t>
  </si>
  <si>
    <t>MAN-P2-12</t>
  </si>
  <si>
    <t>MAN-P2-13</t>
  </si>
  <si>
    <t>MAN-P2-14</t>
  </si>
  <si>
    <t>MAN-P2-15</t>
  </si>
  <si>
    <t>MAN-P2-16</t>
  </si>
  <si>
    <t>MAN-P2-17</t>
  </si>
  <si>
    <t>MAN-P2-18</t>
  </si>
  <si>
    <t>MAN-P2-19</t>
  </si>
  <si>
    <t>MAN-P2-20</t>
  </si>
  <si>
    <t>MAN-P2-21</t>
  </si>
  <si>
    <t>MAN-P2-22</t>
  </si>
  <si>
    <t>MAN-P2-23</t>
  </si>
  <si>
    <t>MAN-P2-24</t>
  </si>
  <si>
    <t>MAN-P2-25</t>
  </si>
  <si>
    <t>MAN-P2-26</t>
  </si>
  <si>
    <t>MAN-P2-27</t>
  </si>
  <si>
    <t>MAN-P2-28</t>
  </si>
  <si>
    <t>MAN-P2-29</t>
  </si>
  <si>
    <t>MAN-P2-30</t>
  </si>
  <si>
    <t>MAN-P2-31</t>
  </si>
  <si>
    <t>MAN-P2-32</t>
  </si>
  <si>
    <t>MAN-P2-33</t>
  </si>
  <si>
    <t>MAN-P2-34</t>
  </si>
  <si>
    <t>MAN-P2-35</t>
  </si>
  <si>
    <t>MAN-P2-36</t>
  </si>
  <si>
    <t>MAN-P2-37</t>
  </si>
  <si>
    <t>MAN-P2-38</t>
  </si>
  <si>
    <t>TAM-P3-1</t>
  </si>
  <si>
    <t>TAM-P3-2</t>
  </si>
  <si>
    <t>MAN-P3-1</t>
  </si>
  <si>
    <t>MAN-P3-2</t>
  </si>
  <si>
    <t>TAM-P3-3</t>
  </si>
  <si>
    <t>TAM-P3-4</t>
  </si>
  <si>
    <t>TAM-P3-5</t>
  </si>
  <si>
    <t>TAM-P3-6</t>
  </si>
  <si>
    <t>Activos</t>
  </si>
  <si>
    <t>MAN-P3-3</t>
  </si>
  <si>
    <t>MAN-P3-4</t>
  </si>
  <si>
    <t>MAN-P3-5</t>
  </si>
  <si>
    <t>MAN-P3-6</t>
  </si>
  <si>
    <t>MAN-P3-7</t>
  </si>
  <si>
    <t>MAN-P3-8</t>
  </si>
  <si>
    <t>MAN-P3-9</t>
  </si>
  <si>
    <t>MAN-P3-10</t>
  </si>
  <si>
    <t>MAN-P3-11</t>
  </si>
  <si>
    <t>MAN-P3-12</t>
  </si>
  <si>
    <t>MAN-P3-13</t>
  </si>
  <si>
    <t>MAN-P3-14</t>
  </si>
  <si>
    <t>MAN-P3-15</t>
  </si>
  <si>
    <t>MAN-P3-16</t>
  </si>
  <si>
    <t>MAN-P3-17</t>
  </si>
  <si>
    <t>MAN-P3-18</t>
  </si>
  <si>
    <t>MAN-P3-19</t>
  </si>
  <si>
    <t>MAN-P3-20</t>
  </si>
  <si>
    <t>MAN-P3-21</t>
  </si>
  <si>
    <t>MAN-P3-22</t>
  </si>
  <si>
    <t>MAN-P3-23</t>
  </si>
  <si>
    <t>MAN-P3-24</t>
  </si>
  <si>
    <t>MAN-P3-25</t>
  </si>
  <si>
    <t>MAN-P3-26</t>
  </si>
  <si>
    <t>MAN-P3-27</t>
  </si>
  <si>
    <t>MAN-P3-28</t>
  </si>
  <si>
    <t>MAN-P3-29</t>
  </si>
  <si>
    <t>MAN-P3-30</t>
  </si>
  <si>
    <t>MAN-P3-31</t>
  </si>
  <si>
    <t>MAN-P3-32</t>
  </si>
  <si>
    <t>MAN-P3-33</t>
  </si>
  <si>
    <t>MAN-P3-34</t>
  </si>
  <si>
    <t>MAN-P3-35</t>
  </si>
  <si>
    <t>MAN-P3-36</t>
  </si>
  <si>
    <t>MAN-P3-37</t>
  </si>
  <si>
    <t>MAN-P3-38</t>
  </si>
  <si>
    <t>MAN-P3-39</t>
  </si>
  <si>
    <t>MAN-P3-40</t>
  </si>
  <si>
    <t>MAN-P3-41</t>
  </si>
  <si>
    <t>MAN-P3-42</t>
  </si>
  <si>
    <t>MAN-P3-43</t>
  </si>
  <si>
    <t>MAN-P3-44</t>
  </si>
  <si>
    <t>MAN-P3-45</t>
  </si>
  <si>
    <t>MAN-P3-46</t>
  </si>
  <si>
    <t>MAN-P3-47</t>
  </si>
  <si>
    <t>MAN-P3-48</t>
  </si>
  <si>
    <t>MAN-P3-49</t>
  </si>
  <si>
    <t>MAN-P4-1</t>
  </si>
  <si>
    <t>MAN-P4-2</t>
  </si>
  <si>
    <t>MAN-P4-3</t>
  </si>
  <si>
    <t>MAN-P4-4</t>
  </si>
  <si>
    <t>MAN-P4-5</t>
  </si>
  <si>
    <t>MAN-P4-6</t>
  </si>
  <si>
    <t>MAN-P4-7</t>
  </si>
  <si>
    <t>MAN-P4-8</t>
  </si>
  <si>
    <t>MAN-P4-9</t>
  </si>
  <si>
    <t>MAN-P4-10</t>
  </si>
  <si>
    <t>MAN-P4-11</t>
  </si>
  <si>
    <t>MAN-P4-12</t>
  </si>
  <si>
    <t>MAN-P4-13</t>
  </si>
  <si>
    <t>MAN-P4-14</t>
  </si>
  <si>
    <t>MAN-P4-15</t>
  </si>
  <si>
    <t>MAN-P4-16</t>
  </si>
  <si>
    <t>MAN-P4-17</t>
  </si>
  <si>
    <t>MAN-P4-18</t>
  </si>
  <si>
    <t>MAN-P4-19</t>
  </si>
  <si>
    <t>MAN-P4-20</t>
  </si>
  <si>
    <t>MAN-P4-21</t>
  </si>
  <si>
    <t>MAN-P4-22</t>
  </si>
  <si>
    <t>MAN-P4-23</t>
  </si>
  <si>
    <t>MAN-P4-24</t>
  </si>
  <si>
    <t>MAN-P4-25</t>
  </si>
  <si>
    <t>MAN-P4-26</t>
  </si>
  <si>
    <t>MAN-P4-27</t>
  </si>
  <si>
    <t>MAN-P4-28</t>
  </si>
  <si>
    <t>MAN-P4-29</t>
  </si>
  <si>
    <t>MAN-P4-30</t>
  </si>
  <si>
    <t>MAN-P4-31</t>
  </si>
  <si>
    <t>MAN-P4-32</t>
  </si>
  <si>
    <t>MAN-P4-33</t>
  </si>
  <si>
    <t>MAN-P4-34</t>
  </si>
  <si>
    <t>MAN-P4-35</t>
  </si>
  <si>
    <t>MAN-P4-36</t>
  </si>
  <si>
    <t>MAN-P4-37</t>
  </si>
  <si>
    <t>MAN-P4-38</t>
  </si>
  <si>
    <t>MAN-P4-39</t>
  </si>
  <si>
    <t>MAN-P4-40</t>
  </si>
  <si>
    <t>MAN-P4-41</t>
  </si>
  <si>
    <t>MAN-P4-42</t>
  </si>
  <si>
    <t>MAN-P4-43</t>
  </si>
  <si>
    <t>MAN-P4-44</t>
  </si>
  <si>
    <t>MAN-P4-45</t>
  </si>
  <si>
    <t>MAN-P4-46</t>
  </si>
  <si>
    <t>MAN-P4-47</t>
  </si>
  <si>
    <t>MAN-P4-48</t>
  </si>
  <si>
    <t>MAN-P4-49</t>
  </si>
  <si>
    <t>MAN-P5-1</t>
  </si>
  <si>
    <t>MAN-P5-2</t>
  </si>
  <si>
    <t>MAN-P5-3</t>
  </si>
  <si>
    <t>MAN-P5-4</t>
  </si>
  <si>
    <t>MAN-P5-5</t>
  </si>
  <si>
    <t>MAN-P5-6</t>
  </si>
  <si>
    <t>MAN-P5-7</t>
  </si>
  <si>
    <t>MAN-P5-8</t>
  </si>
  <si>
    <t>MAN-P5-9</t>
  </si>
  <si>
    <t>MAN-P6-1</t>
  </si>
  <si>
    <t>MAN-P6-2</t>
  </si>
  <si>
    <t>MAN-P6-3</t>
  </si>
  <si>
    <t>MAN-P6-4</t>
  </si>
  <si>
    <t>MAN-P6-5</t>
  </si>
  <si>
    <t>MAN-P6-6</t>
  </si>
  <si>
    <t>MAN-P6-7</t>
  </si>
  <si>
    <t>MAN-P6-8</t>
  </si>
  <si>
    <t>MAN-P6-9</t>
  </si>
  <si>
    <t>MAN-P6-10</t>
  </si>
  <si>
    <t>MAN-P6-11</t>
  </si>
  <si>
    <t>MAN-P6-12</t>
  </si>
  <si>
    <t>MAN-P6-13</t>
  </si>
  <si>
    <t>MAN-P6-14</t>
  </si>
  <si>
    <t>MAN-P6-15</t>
  </si>
  <si>
    <t>MAN-P6-16</t>
  </si>
  <si>
    <t>MAN-P6-17</t>
  </si>
  <si>
    <t>MAN-P6-18</t>
  </si>
  <si>
    <t>MAN-P6-19</t>
  </si>
  <si>
    <t>MAN-P7-1</t>
  </si>
  <si>
    <t>MAN-P7-2</t>
  </si>
  <si>
    <t>MAN-P7-3</t>
  </si>
  <si>
    <t>MAN-P7-4</t>
  </si>
  <si>
    <t>MAN-P7-5</t>
  </si>
  <si>
    <t>MAN-P7-6</t>
  </si>
  <si>
    <t>MAN-P7-7</t>
  </si>
  <si>
    <t>MAN-P7-8</t>
  </si>
  <si>
    <t>MAN-P7-9</t>
  </si>
  <si>
    <t>MAN-P7-10</t>
  </si>
  <si>
    <t>MAN-P7-11</t>
  </si>
  <si>
    <t>MAN-P7-12</t>
  </si>
  <si>
    <t>MAN-P7-13</t>
  </si>
  <si>
    <t>MAN-P8-1</t>
  </si>
  <si>
    <t>MAN-P8-2</t>
  </si>
  <si>
    <t>MAN-P8-3</t>
  </si>
  <si>
    <t>MAN-P8-4</t>
  </si>
  <si>
    <t>MAN-P9-1</t>
  </si>
  <si>
    <t>MAN-P9-2</t>
  </si>
  <si>
    <t>MAN-P10-1</t>
  </si>
  <si>
    <t>MAN-P10-2</t>
  </si>
  <si>
    <t>MAN-P10-3</t>
  </si>
  <si>
    <t>TAM-P1-1</t>
  </si>
  <si>
    <t>TAM-P1-2</t>
  </si>
  <si>
    <t>TAM-P1-3</t>
  </si>
  <si>
    <t>TAM-P1-4</t>
  </si>
  <si>
    <t>TAM-P1-5</t>
  </si>
  <si>
    <t>TAM-P1-6</t>
  </si>
  <si>
    <t>TAM-P1-7</t>
  </si>
  <si>
    <t>TAM-P1-8</t>
  </si>
  <si>
    <t>TAM-P2-1</t>
  </si>
  <si>
    <t>TAM-P2-2</t>
  </si>
  <si>
    <t>TAM-P2-3</t>
  </si>
  <si>
    <t>TAM-P2-4</t>
  </si>
  <si>
    <t>TAM-P2-5</t>
  </si>
  <si>
    <t>TAM-P2-6</t>
  </si>
  <si>
    <t>TAM-P2-7</t>
  </si>
  <si>
    <t>TAM-P2-8</t>
  </si>
  <si>
    <t>TAM-P2-9</t>
  </si>
  <si>
    <t>TAM-P2-10</t>
  </si>
  <si>
    <t>TAM-P2-11</t>
  </si>
  <si>
    <t>TAM-P2-12</t>
  </si>
  <si>
    <t>TAM-P2-13</t>
  </si>
  <si>
    <t>TAM-P2-14</t>
  </si>
  <si>
    <t>TAM-P2-15</t>
  </si>
  <si>
    <t>TAM-P2-16</t>
  </si>
  <si>
    <t>TAM-P2-17</t>
  </si>
  <si>
    <t>TAM-P2-18</t>
  </si>
  <si>
    <t>TAM-P2-19</t>
  </si>
  <si>
    <t>TAM-P2-20</t>
  </si>
  <si>
    <t>TAM-P2-21</t>
  </si>
  <si>
    <t>TAM-P2-22</t>
  </si>
  <si>
    <t>TAM-P2-23</t>
  </si>
  <si>
    <t>TAM-P2-24</t>
  </si>
  <si>
    <t>TAM-P2-25</t>
  </si>
  <si>
    <t>TAM-P2-26</t>
  </si>
  <si>
    <t>TAM-P2-27</t>
  </si>
  <si>
    <t>TAM-P2-28</t>
  </si>
  <si>
    <t>TAM-P2-29</t>
  </si>
  <si>
    <t>TAM-P2-30</t>
  </si>
  <si>
    <t>TAM-P2-31</t>
  </si>
  <si>
    <t>TAM-P2-32</t>
  </si>
  <si>
    <t>TAM-P2-33</t>
  </si>
  <si>
    <t>TAM-P2-34</t>
  </si>
  <si>
    <t>TAM-P2-35</t>
  </si>
  <si>
    <t>TAM-P2-36</t>
  </si>
  <si>
    <t>TAM-P2-37</t>
  </si>
  <si>
    <t>TAM-P2-38</t>
  </si>
  <si>
    <t>TAM-P3-7</t>
  </si>
  <si>
    <t>TAM-P3-8</t>
  </si>
  <si>
    <t>TAM-P3-9</t>
  </si>
  <si>
    <t>TAM-P3-10</t>
  </si>
  <si>
    <t>TAM-P3-11</t>
  </si>
  <si>
    <t>TAM-P3-12</t>
  </si>
  <si>
    <t>TAM-P3-13</t>
  </si>
  <si>
    <t>TAM-P3-14</t>
  </si>
  <si>
    <t>TAM-P3-15</t>
  </si>
  <si>
    <t>TAM-P3-16</t>
  </si>
  <si>
    <t>TAM-P3-17</t>
  </si>
  <si>
    <t>TAM-P3-18</t>
  </si>
  <si>
    <t>TAM-P3-19</t>
  </si>
  <si>
    <t>TAM-P3-20</t>
  </si>
  <si>
    <t>TAM-P3-21</t>
  </si>
  <si>
    <t>TAM-P3-22</t>
  </si>
  <si>
    <t>TAM-P3-23</t>
  </si>
  <si>
    <t>TAM-P3-24</t>
  </si>
  <si>
    <t>TAM-P3-25</t>
  </si>
  <si>
    <t>TAM-P3-26</t>
  </si>
  <si>
    <t>TAM-P3-27</t>
  </si>
  <si>
    <t>TAM-P3-28</t>
  </si>
  <si>
    <t>TAM-P3-29</t>
  </si>
  <si>
    <t>TAM-P3-30</t>
  </si>
  <si>
    <t>TAM-P3-31</t>
  </si>
  <si>
    <t>TAM-P3-32</t>
  </si>
  <si>
    <t>TAM-P3-33</t>
  </si>
  <si>
    <t>TAM-P3-34</t>
  </si>
  <si>
    <t>TAM-P3-35</t>
  </si>
  <si>
    <t>TAM-P3-36</t>
  </si>
  <si>
    <t>TAM-P3-37</t>
  </si>
  <si>
    <t>TAM-P3-38</t>
  </si>
  <si>
    <t>TAM-P3-39</t>
  </si>
  <si>
    <t>TAM-P3-40</t>
  </si>
  <si>
    <t>TAM-P3-41</t>
  </si>
  <si>
    <t>TAM-P3-42</t>
  </si>
  <si>
    <t>TAM-P3-43</t>
  </si>
  <si>
    <t>TAM-P3-44</t>
  </si>
  <si>
    <t>TAM-P3-45</t>
  </si>
  <si>
    <t>TAM-P3-46</t>
  </si>
  <si>
    <t>TAM-P3-47</t>
  </si>
  <si>
    <t>TAM-P3-48</t>
  </si>
  <si>
    <t>TAM-P3-49</t>
  </si>
  <si>
    <t>TAM-P4-1</t>
  </si>
  <si>
    <t>TAM-P4-2</t>
  </si>
  <si>
    <t>TAM-P4-3</t>
  </si>
  <si>
    <t>TAM-P4-4</t>
  </si>
  <si>
    <t>TAM-P4-5</t>
  </si>
  <si>
    <t>TAM-P4-6</t>
  </si>
  <si>
    <t>TAM-P4-7</t>
  </si>
  <si>
    <t>TAM-P4-8</t>
  </si>
  <si>
    <t>TAM-P4-9</t>
  </si>
  <si>
    <t>TAM-P4-10</t>
  </si>
  <si>
    <t>TAM-P4-11</t>
  </si>
  <si>
    <t>TAM-P4-12</t>
  </si>
  <si>
    <t>TAM-P4-13</t>
  </si>
  <si>
    <t>TAM-P4-14</t>
  </si>
  <si>
    <t>TAM-P4-15</t>
  </si>
  <si>
    <t>TAM-P4-16</t>
  </si>
  <si>
    <t>TAM-P4-17</t>
  </si>
  <si>
    <t>TAM-P4-18</t>
  </si>
  <si>
    <t>TAM-P4-19</t>
  </si>
  <si>
    <t>TAM-P4-20</t>
  </si>
  <si>
    <t>TAM-P4-21</t>
  </si>
  <si>
    <t>TAM-P4-22</t>
  </si>
  <si>
    <t>TAM-P4-23</t>
  </si>
  <si>
    <t>TAM-P4-24</t>
  </si>
  <si>
    <t>TAM-P4-25</t>
  </si>
  <si>
    <t>TAM-P4-26</t>
  </si>
  <si>
    <t>TAM-P4-27</t>
  </si>
  <si>
    <t>TAM-P4-28</t>
  </si>
  <si>
    <t>TAM-P4-29</t>
  </si>
  <si>
    <t>TAM-P4-30</t>
  </si>
  <si>
    <t>TAM-P4-31</t>
  </si>
  <si>
    <t>TAM-P4-32</t>
  </si>
  <si>
    <t>TAM-P4-33</t>
  </si>
  <si>
    <t>TAM-P4-34</t>
  </si>
  <si>
    <t>TAM-P4-35</t>
  </si>
  <si>
    <t>TAM-P4-36</t>
  </si>
  <si>
    <t>TAM-P4-37</t>
  </si>
  <si>
    <t>TAM-P4-38</t>
  </si>
  <si>
    <t>TAM-P4-39</t>
  </si>
  <si>
    <t>TAM-P4-40</t>
  </si>
  <si>
    <t>TAM-P4-41</t>
  </si>
  <si>
    <t>TAM-P4-42</t>
  </si>
  <si>
    <t>TAM-P4-43</t>
  </si>
  <si>
    <t>TAM-P4-44</t>
  </si>
  <si>
    <t>TAM-P4-45</t>
  </si>
  <si>
    <t>TAM-P4-46</t>
  </si>
  <si>
    <t>TAM-P4-47</t>
  </si>
  <si>
    <t>TAM-P4-48</t>
  </si>
  <si>
    <t>TAM-P4-49</t>
  </si>
  <si>
    <t>TAM-P5-1</t>
  </si>
  <si>
    <t>TAM-P5-2</t>
  </si>
  <si>
    <t>TAM-P5-3</t>
  </si>
  <si>
    <t>TAM-P5-4</t>
  </si>
  <si>
    <t>TAM-P5-5</t>
  </si>
  <si>
    <t>TAM-P5-6</t>
  </si>
  <si>
    <t>TAM-P5-7</t>
  </si>
  <si>
    <t>TAM-P5-8</t>
  </si>
  <si>
    <t>TAM-P5-9</t>
  </si>
  <si>
    <t>TAM-P6-1</t>
  </si>
  <si>
    <t>TAM-P6-2</t>
  </si>
  <si>
    <t>TAM-P6-3</t>
  </si>
  <si>
    <t>TAM-P6-4</t>
  </si>
  <si>
    <t>TAM-P6-5</t>
  </si>
  <si>
    <t>TAM-P6-6</t>
  </si>
  <si>
    <t>TAM-P6-7</t>
  </si>
  <si>
    <t>TAM-P6-8</t>
  </si>
  <si>
    <t>TAM-P6-9</t>
  </si>
  <si>
    <t>TAM-P6-10</t>
  </si>
  <si>
    <t>TAM-P6-11</t>
  </si>
  <si>
    <t>TAM-P6-12</t>
  </si>
  <si>
    <t>TAM-P6-13</t>
  </si>
  <si>
    <t>TAM-P6-14</t>
  </si>
  <si>
    <t>TAM-P6-15</t>
  </si>
  <si>
    <t>TAM-P6-16</t>
  </si>
  <si>
    <t>TAM-P6-17</t>
  </si>
  <si>
    <t>TAM-P6-18</t>
  </si>
  <si>
    <t>TAM-P6-19</t>
  </si>
  <si>
    <t>TAM-P7-1</t>
  </si>
  <si>
    <t>TAM-P7-2</t>
  </si>
  <si>
    <t>TAM-P7-3</t>
  </si>
  <si>
    <t>TAM-P7-4</t>
  </si>
  <si>
    <t>TAM-P7-5</t>
  </si>
  <si>
    <t>TAM-P7-6</t>
  </si>
  <si>
    <t>TAM-P7-7</t>
  </si>
  <si>
    <t>TAM-P7-8</t>
  </si>
  <si>
    <t>TAM-P7-9</t>
  </si>
  <si>
    <t>TAM-P7-10</t>
  </si>
  <si>
    <t>TAM-P7-11</t>
  </si>
  <si>
    <t>TAM-P7-12</t>
  </si>
  <si>
    <t>TAM-P7-13</t>
  </si>
  <si>
    <t>TAM-P8-1</t>
  </si>
  <si>
    <t>TAM-P8-2</t>
  </si>
  <si>
    <t>TAM-P8-3</t>
  </si>
  <si>
    <t>TAM-P8-4</t>
  </si>
  <si>
    <t>TAM-P9-1</t>
  </si>
  <si>
    <t>TAM-P9-2</t>
  </si>
  <si>
    <t>TAM-P10-1</t>
  </si>
  <si>
    <t>TAM-P10-2</t>
  </si>
  <si>
    <t>TAM-P10-3</t>
  </si>
  <si>
    <t>VIC-P1-1</t>
  </si>
  <si>
    <t>VIC-P1-2</t>
  </si>
  <si>
    <t>VIC-P1-3</t>
  </si>
  <si>
    <t>VIC-P1-4</t>
  </si>
  <si>
    <t>VIC-P1-5</t>
  </si>
  <si>
    <t>VIC-P1-6</t>
  </si>
  <si>
    <t>VIC-P1-7</t>
  </si>
  <si>
    <t>VIC-P1-8</t>
  </si>
  <si>
    <t>VIC-P2-1</t>
  </si>
  <si>
    <t>VIC-P2-2</t>
  </si>
  <si>
    <t>VIC-P2-3</t>
  </si>
  <si>
    <t>VIC-P2-4</t>
  </si>
  <si>
    <t>VIC-P2-5</t>
  </si>
  <si>
    <t>VIC-P2-6</t>
  </si>
  <si>
    <t>VIC-P2-7</t>
  </si>
  <si>
    <t>VIC-P2-8</t>
  </si>
  <si>
    <t>VIC-P2-9</t>
  </si>
  <si>
    <t>VIC-P2-10</t>
  </si>
  <si>
    <t>VIC-P2-11</t>
  </si>
  <si>
    <t>VIC-P2-12</t>
  </si>
  <si>
    <t>VIC-P2-13</t>
  </si>
  <si>
    <t>VIC-P2-14</t>
  </si>
  <si>
    <t>VIC-P2-15</t>
  </si>
  <si>
    <t>VIC-P2-16</t>
  </si>
  <si>
    <t>VIC-P2-17</t>
  </si>
  <si>
    <t>VIC-P2-18</t>
  </si>
  <si>
    <t>VIC-P2-19</t>
  </si>
  <si>
    <t>VIC-P2-20</t>
  </si>
  <si>
    <t>VIC-P2-21</t>
  </si>
  <si>
    <t>VIC-P2-22</t>
  </si>
  <si>
    <t>VIC-P2-23</t>
  </si>
  <si>
    <t>VIC-P2-24</t>
  </si>
  <si>
    <t>VIC-P2-25</t>
  </si>
  <si>
    <t>VIC-P2-26</t>
  </si>
  <si>
    <t>VIC-P2-27</t>
  </si>
  <si>
    <t>VIC-P2-28</t>
  </si>
  <si>
    <t>VIC-P2-29</t>
  </si>
  <si>
    <t>VIC-P2-30</t>
  </si>
  <si>
    <t>VIC-P2-31</t>
  </si>
  <si>
    <t>VIC-P2-32</t>
  </si>
  <si>
    <t>VIC-P2-33</t>
  </si>
  <si>
    <t>VIC-P2-34</t>
  </si>
  <si>
    <t>VIC-P2-35</t>
  </si>
  <si>
    <t>VIC-P2-36</t>
  </si>
  <si>
    <t>VIC-P2-37</t>
  </si>
  <si>
    <t>VIC-P2-38</t>
  </si>
  <si>
    <t>VIC-P3-1</t>
  </si>
  <si>
    <t>VIC-P3-2</t>
  </si>
  <si>
    <t>VIC-P3-3</t>
  </si>
  <si>
    <t>VIC-P3-4</t>
  </si>
  <si>
    <t>VIC-P3-5</t>
  </si>
  <si>
    <t>VIC-P3-6</t>
  </si>
  <si>
    <t>VIC-P3-7</t>
  </si>
  <si>
    <t>VIC-P3-8</t>
  </si>
  <si>
    <t>VIC-P3-9</t>
  </si>
  <si>
    <t>VIC-P3-10</t>
  </si>
  <si>
    <t>VIC-P3-11</t>
  </si>
  <si>
    <t>VIC-P3-12</t>
  </si>
  <si>
    <t>VIC-P3-13</t>
  </si>
  <si>
    <t>VIC-P3-14</t>
  </si>
  <si>
    <t>VIC-P3-15</t>
  </si>
  <si>
    <t>VIC-P3-16</t>
  </si>
  <si>
    <t>VIC-P3-17</t>
  </si>
  <si>
    <t>VIC-P3-18</t>
  </si>
  <si>
    <t>VIC-P3-19</t>
  </si>
  <si>
    <t>VIC-P3-20</t>
  </si>
  <si>
    <t>VIC-P3-21</t>
  </si>
  <si>
    <t>VIC-P3-22</t>
  </si>
  <si>
    <t>VIC-P3-23</t>
  </si>
  <si>
    <t>VIC-P3-24</t>
  </si>
  <si>
    <t>VIC-P3-25</t>
  </si>
  <si>
    <t>VIC-P3-26</t>
  </si>
  <si>
    <t>VIC-P3-27</t>
  </si>
  <si>
    <t>VIC-P3-28</t>
  </si>
  <si>
    <t>VIC-P3-29</t>
  </si>
  <si>
    <t>VIC-P3-30</t>
  </si>
  <si>
    <t>VIC-P3-31</t>
  </si>
  <si>
    <t>VIC-P3-32</t>
  </si>
  <si>
    <t>VIC-P3-33</t>
  </si>
  <si>
    <t>VIC-P3-34</t>
  </si>
  <si>
    <t>VIC-P3-35</t>
  </si>
  <si>
    <t>VIC-P3-36</t>
  </si>
  <si>
    <t>VIC-P3-37</t>
  </si>
  <si>
    <t>VIC-P3-38</t>
  </si>
  <si>
    <t>VIC-P3-39</t>
  </si>
  <si>
    <t>VIC-P3-40</t>
  </si>
  <si>
    <t>VIC-P3-41</t>
  </si>
  <si>
    <t>VIC-P3-42</t>
  </si>
  <si>
    <t>VIC-P3-43</t>
  </si>
  <si>
    <t>VIC-P3-44</t>
  </si>
  <si>
    <t>VIC-P3-45</t>
  </si>
  <si>
    <t>VIC-P3-46</t>
  </si>
  <si>
    <t>VIC-P3-47</t>
  </si>
  <si>
    <t>VIC-P3-48</t>
  </si>
  <si>
    <t>VIC-P3-49</t>
  </si>
  <si>
    <t>VIC-P4-1</t>
  </si>
  <si>
    <t>VIC-P4-2</t>
  </si>
  <si>
    <t>VIC-P4-3</t>
  </si>
  <si>
    <t>VIC-P4-4</t>
  </si>
  <si>
    <t>VIC-P4-5</t>
  </si>
  <si>
    <t>VIC-P4-6</t>
  </si>
  <si>
    <t>VIC-P4-7</t>
  </si>
  <si>
    <t>VIC-P4-8</t>
  </si>
  <si>
    <t>VIC-P4-9</t>
  </si>
  <si>
    <t>VIC-P4-10</t>
  </si>
  <si>
    <t>VIC-P4-11</t>
  </si>
  <si>
    <t>VIC-P4-12</t>
  </si>
  <si>
    <t>VIC-P4-13</t>
  </si>
  <si>
    <t>VIC-P4-14</t>
  </si>
  <si>
    <t>VIC-P4-15</t>
  </si>
  <si>
    <t>VIC-P4-16</t>
  </si>
  <si>
    <t>VIC-P4-17</t>
  </si>
  <si>
    <t>VIC-P4-18</t>
  </si>
  <si>
    <t>VIC-P4-19</t>
  </si>
  <si>
    <t>VIC-P4-20</t>
  </si>
  <si>
    <t>VIC-P4-21</t>
  </si>
  <si>
    <t>VIC-P4-22</t>
  </si>
  <si>
    <t>VIC-P4-23</t>
  </si>
  <si>
    <t>VIC-P4-24</t>
  </si>
  <si>
    <t>VIC-P4-25</t>
  </si>
  <si>
    <t>VIC-P4-26</t>
  </si>
  <si>
    <t>VIC-P4-27</t>
  </si>
  <si>
    <t>VIC-P4-28</t>
  </si>
  <si>
    <t>VIC-P4-29</t>
  </si>
  <si>
    <t>VIC-P4-30</t>
  </si>
  <si>
    <t>VIC-P4-31</t>
  </si>
  <si>
    <t>VIC-P4-32</t>
  </si>
  <si>
    <t>VIC-P4-33</t>
  </si>
  <si>
    <t>VIC-P4-34</t>
  </si>
  <si>
    <t>VIC-P4-35</t>
  </si>
  <si>
    <t>VIC-P4-36</t>
  </si>
  <si>
    <t>VIC-P4-37</t>
  </si>
  <si>
    <t>VIC-P4-38</t>
  </si>
  <si>
    <t>VIC-P4-39</t>
  </si>
  <si>
    <t>VIC-P4-40</t>
  </si>
  <si>
    <t>VIC-P4-41</t>
  </si>
  <si>
    <t>VIC-P4-42</t>
  </si>
  <si>
    <t>VIC-P4-43</t>
  </si>
  <si>
    <t>VIC-P4-44</t>
  </si>
  <si>
    <t>VIC-P4-45</t>
  </si>
  <si>
    <t>VIC-P4-46</t>
  </si>
  <si>
    <t>VIC-P4-47</t>
  </si>
  <si>
    <t>VIC-P4-48</t>
  </si>
  <si>
    <t>VIC-P4-49</t>
  </si>
  <si>
    <t>VIC-P5-1</t>
  </si>
  <si>
    <t>VIC-P5-2</t>
  </si>
  <si>
    <t>VIC-P5-3</t>
  </si>
  <si>
    <t>VIC-P5-4</t>
  </si>
  <si>
    <t>VIC-P5-5</t>
  </si>
  <si>
    <t>VIC-P5-6</t>
  </si>
  <si>
    <t>VIC-P5-7</t>
  </si>
  <si>
    <t>VIC-P5-8</t>
  </si>
  <si>
    <t>VIC-P5-9</t>
  </si>
  <si>
    <t>VIC-P6-1</t>
  </si>
  <si>
    <t>VIC-P6-2</t>
  </si>
  <si>
    <t>VIC-P6-3</t>
  </si>
  <si>
    <t>VIC-P6-4</t>
  </si>
  <si>
    <t>VIC-P6-5</t>
  </si>
  <si>
    <t>VIC-P6-6</t>
  </si>
  <si>
    <t>VIC-P6-7</t>
  </si>
  <si>
    <t>VIC-P6-8</t>
  </si>
  <si>
    <t>VIC-P6-9</t>
  </si>
  <si>
    <t>VIC-P6-10</t>
  </si>
  <si>
    <t>VIC-P6-11</t>
  </si>
  <si>
    <t>VIC-P6-12</t>
  </si>
  <si>
    <t>VIC-P6-13</t>
  </si>
  <si>
    <t>VIC-P6-14</t>
  </si>
  <si>
    <t>VIC-P6-15</t>
  </si>
  <si>
    <t>VIC-P6-16</t>
  </si>
  <si>
    <t>VIC-P6-17</t>
  </si>
  <si>
    <t>VIC-P6-18</t>
  </si>
  <si>
    <t>VIC-P6-19</t>
  </si>
  <si>
    <t>VIC-P7-1</t>
  </si>
  <si>
    <t>VIC-P7-2</t>
  </si>
  <si>
    <t>VIC-P7-3</t>
  </si>
  <si>
    <t>VIC-P7-4</t>
  </si>
  <si>
    <t>VIC-P7-5</t>
  </si>
  <si>
    <t>VIC-P7-6</t>
  </si>
  <si>
    <t>VIC-P7-7</t>
  </si>
  <si>
    <t>VIC-P7-8</t>
  </si>
  <si>
    <t>VIC-P7-9</t>
  </si>
  <si>
    <t>VIC-P7-10</t>
  </si>
  <si>
    <t>VIC-P7-11</t>
  </si>
  <si>
    <t>VIC-P7-12</t>
  </si>
  <si>
    <t>VIC-P7-13</t>
  </si>
  <si>
    <t>VIC-P8-1</t>
  </si>
  <si>
    <t>VIC-P8-2</t>
  </si>
  <si>
    <t>VIC-P8-3</t>
  </si>
  <si>
    <t>VIC-P8-4</t>
  </si>
  <si>
    <t>VIC-P9-1</t>
  </si>
  <si>
    <t>VIC-P9-2</t>
  </si>
  <si>
    <t>VIC-P10-1</t>
  </si>
  <si>
    <t>VIC-P10-2</t>
  </si>
  <si>
    <t>VIC-P10-3</t>
  </si>
  <si>
    <t>MAT-P1-1</t>
  </si>
  <si>
    <t>MAT-P1-2</t>
  </si>
  <si>
    <t>MAT-P1-3</t>
  </si>
  <si>
    <t>MAT-P1-4</t>
  </si>
  <si>
    <t>MAT-P1-5</t>
  </si>
  <si>
    <t>MAT-P1-6</t>
  </si>
  <si>
    <t>MAT-P1-7</t>
  </si>
  <si>
    <t>MAT-P1-8</t>
  </si>
  <si>
    <t>MAT-P2-1</t>
  </si>
  <si>
    <t>MAT-P2-2</t>
  </si>
  <si>
    <t>MAT-P2-3</t>
  </si>
  <si>
    <t>MAT-P2-4</t>
  </si>
  <si>
    <t>MAT-P2-5</t>
  </si>
  <si>
    <t>MAT-P2-6</t>
  </si>
  <si>
    <t>MAT-P2-7</t>
  </si>
  <si>
    <t>MAT-P2-8</t>
  </si>
  <si>
    <t>MAT-P2-9</t>
  </si>
  <si>
    <t>MAT-P2-10</t>
  </si>
  <si>
    <t>MAT-P2-11</t>
  </si>
  <si>
    <t>MAT-P2-12</t>
  </si>
  <si>
    <t>MAT-P2-13</t>
  </si>
  <si>
    <t>MAT-P2-14</t>
  </si>
  <si>
    <t>MAT-P2-15</t>
  </si>
  <si>
    <t>MAT-P2-16</t>
  </si>
  <si>
    <t>MAT-P2-17</t>
  </si>
  <si>
    <t>MAT-P2-18</t>
  </si>
  <si>
    <t>MAT-P2-19</t>
  </si>
  <si>
    <t>MAT-P2-20</t>
  </si>
  <si>
    <t>MAT-P2-21</t>
  </si>
  <si>
    <t>MAT-P2-22</t>
  </si>
  <si>
    <t>MAT-P2-23</t>
  </si>
  <si>
    <t>MAT-P2-24</t>
  </si>
  <si>
    <t>MAT-P2-25</t>
  </si>
  <si>
    <t>MAT-P2-26</t>
  </si>
  <si>
    <t>MAT-P2-27</t>
  </si>
  <si>
    <t>MAT-P2-28</t>
  </si>
  <si>
    <t>MAT-P2-29</t>
  </si>
  <si>
    <t>MAT-P2-30</t>
  </si>
  <si>
    <t>MAT-P2-31</t>
  </si>
  <si>
    <t>MAT-P2-32</t>
  </si>
  <si>
    <t>MAT-P2-33</t>
  </si>
  <si>
    <t>MAT-P2-34</t>
  </si>
  <si>
    <t>MAT-P2-35</t>
  </si>
  <si>
    <t>MAT-P2-36</t>
  </si>
  <si>
    <t>MAT-P2-37</t>
  </si>
  <si>
    <t>MAT-P2-38</t>
  </si>
  <si>
    <t>MAT-P3-1</t>
  </si>
  <si>
    <t>MAT-P3-2</t>
  </si>
  <si>
    <t>MAT-P3-3</t>
  </si>
  <si>
    <t>MAT-P3-4</t>
  </si>
  <si>
    <t>MAT-P3-5</t>
  </si>
  <si>
    <t>MAT-P3-6</t>
  </si>
  <si>
    <t>MAT-P3-7</t>
  </si>
  <si>
    <t>MAT-P3-8</t>
  </si>
  <si>
    <t>MAT-P3-9</t>
  </si>
  <si>
    <t>MAT-P3-10</t>
  </si>
  <si>
    <t>MAT-P3-11</t>
  </si>
  <si>
    <t>MAT-P3-12</t>
  </si>
  <si>
    <t>MAT-P3-13</t>
  </si>
  <si>
    <t>MAT-P3-14</t>
  </si>
  <si>
    <t>MAT-P3-15</t>
  </si>
  <si>
    <t>MAT-P3-16</t>
  </si>
  <si>
    <t>MAT-P3-17</t>
  </si>
  <si>
    <t>MAT-P3-18</t>
  </si>
  <si>
    <t>MAT-P3-19</t>
  </si>
  <si>
    <t>MAT-P3-20</t>
  </si>
  <si>
    <t>MAT-P3-21</t>
  </si>
  <si>
    <t>MAT-P3-22</t>
  </si>
  <si>
    <t>MAT-P3-23</t>
  </si>
  <si>
    <t>MAT-P3-24</t>
  </si>
  <si>
    <t>MAT-P3-25</t>
  </si>
  <si>
    <t>MAT-P3-26</t>
  </si>
  <si>
    <t>MAT-P3-27</t>
  </si>
  <si>
    <t>MAT-P3-28</t>
  </si>
  <si>
    <t>MAT-P3-29</t>
  </si>
  <si>
    <t>MAT-P3-30</t>
  </si>
  <si>
    <t>MAT-P3-31</t>
  </si>
  <si>
    <t>MAT-P3-32</t>
  </si>
  <si>
    <t>MAT-P3-33</t>
  </si>
  <si>
    <t>MAT-P3-34</t>
  </si>
  <si>
    <t>MAT-P3-35</t>
  </si>
  <si>
    <t>MAT-P3-36</t>
  </si>
  <si>
    <t>MAT-P3-37</t>
  </si>
  <si>
    <t>MAT-P3-38</t>
  </si>
  <si>
    <t>MAT-P3-39</t>
  </si>
  <si>
    <t>MAT-P3-40</t>
  </si>
  <si>
    <t>MAT-P3-41</t>
  </si>
  <si>
    <t>MAT-P3-42</t>
  </si>
  <si>
    <t>MAT-P3-43</t>
  </si>
  <si>
    <t>MAT-P3-44</t>
  </si>
  <si>
    <t>MAT-P3-45</t>
  </si>
  <si>
    <t>MAT-P3-46</t>
  </si>
  <si>
    <t>MAT-P3-47</t>
  </si>
  <si>
    <t>MAT-P3-48</t>
  </si>
  <si>
    <t>MAT-P3-49</t>
  </si>
  <si>
    <t>MAT-P4-1</t>
  </si>
  <si>
    <t>MAT-P4-2</t>
  </si>
  <si>
    <t>MAT-P4-3</t>
  </si>
  <si>
    <t>MAT-P4-4</t>
  </si>
  <si>
    <t>MAT-P4-5</t>
  </si>
  <si>
    <t>MAT-P4-6</t>
  </si>
  <si>
    <t>MAT-P4-7</t>
  </si>
  <si>
    <t>MAT-P4-8</t>
  </si>
  <si>
    <t>MAT-P4-9</t>
  </si>
  <si>
    <t>MAT-P4-10</t>
  </si>
  <si>
    <t>MAT-P4-11</t>
  </si>
  <si>
    <t>MAT-P4-12</t>
  </si>
  <si>
    <t>MAT-P4-13</t>
  </si>
  <si>
    <t>MAT-P4-14</t>
  </si>
  <si>
    <t>MAT-P4-15</t>
  </si>
  <si>
    <t>MAT-P4-16</t>
  </si>
  <si>
    <t>MAT-P4-17</t>
  </si>
  <si>
    <t>MAT-P4-18</t>
  </si>
  <si>
    <t>MAT-P4-19</t>
  </si>
  <si>
    <t>MAT-P4-20</t>
  </si>
  <si>
    <t>MAT-P4-21</t>
  </si>
  <si>
    <t>MAT-P4-22</t>
  </si>
  <si>
    <t>MAT-P4-23</t>
  </si>
  <si>
    <t>MAT-P4-24</t>
  </si>
  <si>
    <t>MAT-P4-25</t>
  </si>
  <si>
    <t>MAT-P4-26</t>
  </si>
  <si>
    <t>MAT-P4-27</t>
  </si>
  <si>
    <t>MAT-P4-28</t>
  </si>
  <si>
    <t>MAT-P4-29</t>
  </si>
  <si>
    <t>MAT-P4-30</t>
  </si>
  <si>
    <t>MAT-P4-31</t>
  </si>
  <si>
    <t>MAT-P4-32</t>
  </si>
  <si>
    <t>MAT-P4-33</t>
  </si>
  <si>
    <t>MAT-P4-34</t>
  </si>
  <si>
    <t>MAT-P4-35</t>
  </si>
  <si>
    <t>MAT-P4-36</t>
  </si>
  <si>
    <t>MAT-P4-37</t>
  </si>
  <si>
    <t>MAT-P4-38</t>
  </si>
  <si>
    <t>MAT-P4-39</t>
  </si>
  <si>
    <t>MAT-P4-40</t>
  </si>
  <si>
    <t>MAT-P4-41</t>
  </si>
  <si>
    <t>MAT-P4-42</t>
  </si>
  <si>
    <t>MAT-P4-43</t>
  </si>
  <si>
    <t>MAT-P4-44</t>
  </si>
  <si>
    <t>MAT-P4-45</t>
  </si>
  <si>
    <t>MAT-P4-46</t>
  </si>
  <si>
    <t>MAT-P4-47</t>
  </si>
  <si>
    <t>MAT-P4-48</t>
  </si>
  <si>
    <t>MAT-P4-49</t>
  </si>
  <si>
    <t>MAT-P5-1</t>
  </si>
  <si>
    <t>MAT-P5-2</t>
  </si>
  <si>
    <t>MAT-P5-3</t>
  </si>
  <si>
    <t>MAT-P5-4</t>
  </si>
  <si>
    <t>MAT-P5-5</t>
  </si>
  <si>
    <t>MAT-P5-6</t>
  </si>
  <si>
    <t>MAT-P5-7</t>
  </si>
  <si>
    <t>MAT-P5-8</t>
  </si>
  <si>
    <t>MAT-P5-9</t>
  </si>
  <si>
    <t>MAT-P6-1</t>
  </si>
  <si>
    <t>MAT-P6-2</t>
  </si>
  <si>
    <t>MAT-P6-3</t>
  </si>
  <si>
    <t>MAT-P6-4</t>
  </si>
  <si>
    <t>MAT-P6-5</t>
  </si>
  <si>
    <t>MAT-P6-6</t>
  </si>
  <si>
    <t>MAT-P6-7</t>
  </si>
  <si>
    <t>MAT-P6-8</t>
  </si>
  <si>
    <t>MAT-P6-9</t>
  </si>
  <si>
    <t>MAT-P6-10</t>
  </si>
  <si>
    <t>MAT-P6-11</t>
  </si>
  <si>
    <t>MAT-P6-12</t>
  </si>
  <si>
    <t>MAT-P6-13</t>
  </si>
  <si>
    <t>MAT-P6-14</t>
  </si>
  <si>
    <t>MAT-P6-15</t>
  </si>
  <si>
    <t>MAT-P6-16</t>
  </si>
  <si>
    <t>MAT-P6-17</t>
  </si>
  <si>
    <t>MAT-P6-18</t>
  </si>
  <si>
    <t>MAT-P6-19</t>
  </si>
  <si>
    <t>MAT-P7-1</t>
  </si>
  <si>
    <t>MAT-P7-2</t>
  </si>
  <si>
    <t>MAT-P7-3</t>
  </si>
  <si>
    <t>MAT-P7-4</t>
  </si>
  <si>
    <t>MAT-P7-5</t>
  </si>
  <si>
    <t>MAT-P7-6</t>
  </si>
  <si>
    <t>MAT-P7-7</t>
  </si>
  <si>
    <t>MAT-P7-8</t>
  </si>
  <si>
    <t>MAT-P7-9</t>
  </si>
  <si>
    <t>MAT-P7-10</t>
  </si>
  <si>
    <t>MAT-P7-11</t>
  </si>
  <si>
    <t>MAT-P7-12</t>
  </si>
  <si>
    <t>MAT-P7-13</t>
  </si>
  <si>
    <t>MAT-P8-1</t>
  </si>
  <si>
    <t>MAT-P8-2</t>
  </si>
  <si>
    <t>MAT-P8-3</t>
  </si>
  <si>
    <t>MAT-P8-4</t>
  </si>
  <si>
    <t>MAT-P9-1</t>
  </si>
  <si>
    <t>MAT-P9-2</t>
  </si>
  <si>
    <t>MAT-P10-1</t>
  </si>
  <si>
    <t>MAT-P10-2</t>
  </si>
  <si>
    <t>MAT-P10-3</t>
  </si>
  <si>
    <t>MATERIAL CONSUMIBLE - ACEITE MOTOR 4 TIEMPOS</t>
  </si>
  <si>
    <t>MATERIAL - 11111700 - COSTAL DE ARENA</t>
  </si>
  <si>
    <t>HERRAMIENTA - CUERDA HUECA POLI AMARILLA 1/2 (77</t>
  </si>
  <si>
    <t>HERRAMIENTA - CUERDA POLI TORCIDA CAFÉ 5/8(99200</t>
  </si>
  <si>
    <t>HERRAMIENTA - CUERDA NYLON TRENZADA BLANCA 5/16</t>
  </si>
  <si>
    <t>HERRAMIENTA - Manguera para succión de agua, PVC, 2", rollo 30m</t>
  </si>
  <si>
    <t>AAAA0007247R0</t>
  </si>
  <si>
    <t>ALEJANDRO ABARCA AMBRIZ</t>
  </si>
  <si>
    <t>A410</t>
  </si>
  <si>
    <t>C1F33553-7790-46CE-AA01-06104C198F56</t>
  </si>
  <si>
    <t>DB572C9B-1397-41BE-99D4-E05641A80D5C</t>
  </si>
  <si>
    <t>CT4FE - 174121</t>
  </si>
  <si>
    <t>711950F1-8389-4F8D-A89B-711F09D8213F</t>
  </si>
  <si>
    <t>CT4FE - 174217</t>
  </si>
  <si>
    <t>AEB350CA-AF74-47A5-9D85-7B8FDFCAEFF6</t>
  </si>
  <si>
    <t>34239</t>
  </si>
  <si>
    <t>GAT130909CL3</t>
  </si>
  <si>
    <t>GASTRONOMICA ATTENTI (RESTAURANTE)</t>
  </si>
  <si>
    <t>7f48c648-76c8-4ffc-a0d7-37aab29be522</t>
  </si>
  <si>
    <t>A2273</t>
  </si>
  <si>
    <t>5d11679d-bfa2-4771-8edd-5f328f4d45e7</t>
  </si>
  <si>
    <t>4HGCJI 450291</t>
  </si>
  <si>
    <t>b20ff719-f7d6-4bb4-bb37-32665243020f</t>
  </si>
  <si>
    <t>4HGCJI 450295</t>
  </si>
  <si>
    <t>HERRAMIENTA - CINCEL BOSCH HEX22 25X400MM</t>
  </si>
  <si>
    <t>PECP790508AQ9</t>
  </si>
  <si>
    <t>ASESORIA TECNICA Y CONTROL DE CALIDAD "ATECC LABORATORIO"</t>
  </si>
  <si>
    <t>Columna6</t>
  </si>
  <si>
    <t>Columna7</t>
  </si>
  <si>
    <t>a05a5a79-9f09-4afc-8ade-2adc36fc9aca</t>
  </si>
  <si>
    <t>49009-BOR</t>
  </si>
  <si>
    <t>RIC1001138B8</t>
  </si>
  <si>
    <t>RICHYCARLS</t>
  </si>
  <si>
    <t>HERRAMIENTA - SIERRA CIRCULAR BOSCH 7 1/4 (EXTRAVIADA)</t>
  </si>
  <si>
    <t>HERRAMIENTA - COMBO ROTO SDS + MINIESMERIL BOSCH (DAÑADO Y DESCONTADO)</t>
  </si>
  <si>
    <t>TERMO THD 5 GALONES (EXTRAVIADO)</t>
  </si>
  <si>
    <t>HERRAMIENTA - MANGUERA PLANA 7.6 M X 2X 25</t>
  </si>
  <si>
    <t>MATERIAL - TRIPLAY BC 15 MM 0.61X1.22M</t>
  </si>
  <si>
    <t>HERRAMIENTA - NAVAJA TRUPER 17023 ABATIBLE 43/4" (EXTRAVIADA)</t>
  </si>
  <si>
    <t>Radiografía de mano AP y Oblicua (Jaime Lopez)</t>
  </si>
  <si>
    <t>Radiografía Hombro Lateral en Y  (Jaime Lopez)</t>
  </si>
  <si>
    <t>Radiografía Rodilla AP y Lateral  (Jaime Lopez)</t>
  </si>
  <si>
    <t>Radiografía de Hombro AP, Oblicua  (Jaime Lopez)</t>
  </si>
  <si>
    <t>FABRICACION DE ANCLAS DOBLE ROSCA ( 6 ) PZAS (EXTRAVIADA)</t>
  </si>
  <si>
    <t>ANTICIPO POR FABRICACION DE ANCLAS DOBLE ROSCA (EXTRAVIADA)</t>
  </si>
  <si>
    <t>HERRAMIENTA - POLI REFLECTIVA PARA MUELLE 3/8 (1</t>
  </si>
  <si>
    <t>HERRAMIENTA - SDS-PLUS 2CT 1 X 16 X 18</t>
  </si>
  <si>
    <t>HERRAMIENTA - TERMO THD 5 GALONES</t>
  </si>
  <si>
    <t>ACTIVO - REVOLVEDORA 1 SACO</t>
  </si>
  <si>
    <t>FTC740101UD7</t>
  </si>
  <si>
    <t>FERRETERIA Y TLAPALERIA CAIN</t>
  </si>
  <si>
    <t>179199</t>
  </si>
  <si>
    <t>CE352329-C3BF-433E-8DAC-363CC659B500</t>
  </si>
  <si>
    <t>EPP - BOTA NEGRA JARDINERA "SURTEK" TALLA 30 HULE SUELA NEGRA (137570) $ X PAR</t>
  </si>
  <si>
    <t>8B3049F4-96B1-4F78-9A63-22A340598668</t>
  </si>
  <si>
    <t>SFHE 401</t>
  </si>
  <si>
    <t>FEDERAL EXPRESS HOLDINGS (MEXICO) Y COMPAÑÍA "FEDEX"</t>
  </si>
  <si>
    <t>FEH940630UG2</t>
  </si>
  <si>
    <t>37c5e0da-df54-4329-83eb-9c0f3a9800db</t>
  </si>
  <si>
    <t>4HGCJI 450453</t>
  </si>
  <si>
    <t>4dd46de7-718b-4b2a-badb-4cc5490f71d9</t>
  </si>
  <si>
    <t>4HGCJI 450657</t>
  </si>
  <si>
    <t>C7D2397E-4BFD-43AA-831D-9784F862277A</t>
  </si>
  <si>
    <t>OVIMJ33749</t>
  </si>
  <si>
    <t>OVI800131GQ6</t>
  </si>
  <si>
    <t>OPERADORA VIPS Sucursal 81315</t>
  </si>
  <si>
    <t>9E29D219-6679-4B0B-AE47-18BBC72D9C18</t>
  </si>
  <si>
    <t>L 69802</t>
  </si>
  <si>
    <t>LRE231212MC8</t>
  </si>
  <si>
    <t>LCDP RESTAURANTES "LA CASA DEL PASTOR" (RESTAURANTE)</t>
  </si>
  <si>
    <t>RESTAURANTE - RESTAURANTES AL 16%</t>
  </si>
  <si>
    <t>68AE53D7-71C9-4D3A-A078-F2131F4C8201</t>
  </si>
  <si>
    <t>A 114</t>
  </si>
  <si>
    <t>CACZ9411034L8</t>
  </si>
  <si>
    <t>ZURY ALEIDA CARDENAS CERVANTES</t>
  </si>
  <si>
    <t>11122001 - Triplex</t>
  </si>
  <si>
    <t>E67E30EE-8241-11F0-B94E-6948C1299313</t>
  </si>
  <si>
    <t>ARP78881</t>
  </si>
  <si>
    <t>SMN890629150</t>
  </si>
  <si>
    <t>SUPER MAYOREO NATURISTA</t>
  </si>
  <si>
    <t>BB15556A-0082-48A4-A78C-9B9D2C5124C6</t>
  </si>
  <si>
    <t>00007041 256587</t>
  </si>
  <si>
    <t>RJ264 Liquido reactiva</t>
  </si>
  <si>
    <t>9732d855-7d85-459a-bbbf-26a565a4794e</t>
  </si>
  <si>
    <t>3112690250827233831748</t>
  </si>
  <si>
    <t>1155e05a-f98f-426c-890f-d18462a374c6</t>
  </si>
  <si>
    <t>3144342250827235118477</t>
  </si>
  <si>
    <t>EFA42943-764B-49C2-86EC-077EECCB1803</t>
  </si>
  <si>
    <t>WERAC - 4418</t>
  </si>
  <si>
    <t>CEX9809213U5</t>
  </si>
  <si>
    <t>COMBU-EXPRESS (COMBUSTIBLES)</t>
  </si>
  <si>
    <t>B208A0DF-8408-11F0-A98E-8F58805452A7</t>
  </si>
  <si>
    <t>MAN3295</t>
  </si>
  <si>
    <t>B9DF9A54-46ED-4945-8B50-706B4907CB99</t>
  </si>
  <si>
    <t>A-4286</t>
  </si>
  <si>
    <t>GUME720914CM3</t>
  </si>
  <si>
    <t>EDGAR GUZMAN MORALES "MATERIALES GUZMAN"</t>
  </si>
  <si>
    <t>8EE11F59-47F2-403F-896E-CB3FADA8A5C6</t>
  </si>
  <si>
    <t>A 261693</t>
  </si>
  <si>
    <t>FER020903CT3</t>
  </si>
  <si>
    <t>FERREDOS SA DE CV</t>
  </si>
  <si>
    <t>HERRAMIENTA - COPA 80X45X15.9MM C36 DESBAST PIEDRA 3 5/32X1 3/4X5/8AU1292</t>
  </si>
  <si>
    <t>D8E11AB0-6F62-4D26-8C70-E8C9C025A079</t>
  </si>
  <si>
    <t>CT4FE - 174314</t>
  </si>
  <si>
    <t>2E1BEB0E-84D4-11F0-90C5-7562F93B4415</t>
  </si>
  <si>
    <t>MAN3299</t>
  </si>
  <si>
    <t>PAQUETERIA - 78102205 - XS FedEx Nacional Ec No Identificación: 883803213645</t>
  </si>
  <si>
    <t>MATERIAL CONSUMIBLE - CINTA PARA DUCTOS 48X50 93-T</t>
  </si>
  <si>
    <t>MATERIAL - CEMENTO CONTACT PVC 16 OZ 474 ML AZ</t>
  </si>
  <si>
    <t>GASTOS ** - NUEZ DE LA INDIA 100 G</t>
  </si>
  <si>
    <t>GASTOS ** - NUEZ 100 G</t>
  </si>
  <si>
    <t>GASTOS ** - AGUA PURIFICADA CIEL 20 LT BOTE</t>
  </si>
  <si>
    <t>GASTOS ** - HIELO HUASTECO 5 KG BOLSA</t>
  </si>
  <si>
    <t>HERRAMIENTA - Espátula flexible, mango de madera, 3</t>
  </si>
  <si>
    <t>MATERIAL - GRAVA POR SACO</t>
  </si>
  <si>
    <t>MATERIAL - ARENA DE RIO SACO</t>
  </si>
  <si>
    <t>MATERIAL - CEMENTO APASCO 25K</t>
  </si>
  <si>
    <t>LEP1408184R1</t>
  </si>
  <si>
    <t>LIBRAMIENTO ELEVADO DE PUEBLA (PEAJES)</t>
  </si>
  <si>
    <t>PEAJES - PEAJE EFECTIVO DEL 16 Ago 2025</t>
  </si>
  <si>
    <t>EB1B26AA-182A-44DD-B04D-B32494519A8D</t>
  </si>
  <si>
    <t>LEP 618036</t>
  </si>
  <si>
    <t>Nom Admon 20250701 al 20250715 Int BRENDA LIGIA GUTIERREZ PEREZ</t>
  </si>
  <si>
    <t>Nom Admon 20250701 al 20250715 Int ALEJANDRA DIAZ FERNANDEZ</t>
  </si>
  <si>
    <t>Nom Admon 20250701 al 20250715 Int ALEJANDRO MURILLO OCHOA</t>
  </si>
  <si>
    <t>Nom Admon 20250701 al 20250715 Int GERARDO AARON TORRES PEREZ</t>
  </si>
  <si>
    <t>Nom Admon 20250701 al 20250715 Int JAIME LOPEZ TORRES</t>
  </si>
  <si>
    <t>Nom Admon 20250701 al 20250715 Int VICENTE GOMEZ RODRIGUEZ</t>
  </si>
  <si>
    <t>Nom Admon 20250701 al 20250715 Ext BRENDA LIGIA GUTIERREZ PEREZ</t>
  </si>
  <si>
    <t>Nom Admon 20250701 al 20250715 Ext ALEJANDRA DIAZ FERNANDEZ</t>
  </si>
  <si>
    <t>Nom Admon 20250701 al 20250715 Ext ALEJANDRO MURILLO OCHOA</t>
  </si>
  <si>
    <t>Nom Admon 20250701 al 20250715 Ext GERARDO AARON TORRES PEREZ</t>
  </si>
  <si>
    <t>Nom Admon 20250701 al 20250715 Ext JAIME LOPEZ TORRES</t>
  </si>
  <si>
    <t>Nom Admon 20250701 al 20250715 Ext VICENTE GOMEZ RODRIGUEZ</t>
  </si>
  <si>
    <t>Nom Admon 20250716 al 20250731 Int BRENDA LIGIA GUTIERREZ PEREZ</t>
  </si>
  <si>
    <t>Nom Admon 20250716 al 20250731 Int ALEJANDRA DIAZ FERNANDEZ</t>
  </si>
  <si>
    <t>Nom Admon 20250716 al 20250731 Int ALEJANDRO MURILLO OCHOA</t>
  </si>
  <si>
    <t>Nom Admon 20250716 al 20250731 Int GERARDO AARON TORRES PEREZ</t>
  </si>
  <si>
    <t>Nom Admon 20250716 al 20250731 Int JAIME LOPEZ TORRES</t>
  </si>
  <si>
    <t>Nom Admon 20250716 al 20250731 Int VICENTE GOMEZ RODRIGUEZ</t>
  </si>
  <si>
    <t>Nom Admon 20250716 al 20250731 Ext BRENDA LIGIA GUTIERREZ PEREZ</t>
  </si>
  <si>
    <t>Nom Admon 20250716 al 20250731 Ext ALEJANDRA DIAZ FERNANDEZ</t>
  </si>
  <si>
    <t>Nom Admon 20250716 al 20250731 Ext ALEJANDRO MURILLO OCHOA</t>
  </si>
  <si>
    <t>Nom Admon 20250716 al 20250731 Ext GERARDO AARON TORRES PEREZ</t>
  </si>
  <si>
    <t>Nom Admon 20250716 al 20250731 Ext JAIME LOPEZ TORRES</t>
  </si>
  <si>
    <t>Nom Admon 20250716 al 20250731 Ext VICENTE GOMEZ RODRIGUEZ</t>
  </si>
  <si>
    <t>Nom Admon 20250801 al 20250815 Int BRENDA LIGIA GUTIERREZ PEREZ</t>
  </si>
  <si>
    <t>Nom Admon 20250801 al 20250815 Int ALEJANDRA DIAZ FERNANDEZ</t>
  </si>
  <si>
    <t>Nom Admon 20250801 al 20250815 Int ALEJANDRO MURILLO OCHOA</t>
  </si>
  <si>
    <t>Nom Admon 20250801 al 20250815 Int GERARDO AARON TORRES PEREZ</t>
  </si>
  <si>
    <t>Nom Admon 20250801 al 20250815 Int JAIME LOPEZ TORRES</t>
  </si>
  <si>
    <t>Nom Admon 20250801 al 20250815 Int VICENTE GOMEZ RODRIGUEZ</t>
  </si>
  <si>
    <t>Nom Admon 20250801 al 20250815 Ext BRENDA LIGIA GUTIERREZ PEREZ</t>
  </si>
  <si>
    <t>Nom Admon 20250801 al 20250815 Ext ALEJANDRA DIAZ FERNANDEZ</t>
  </si>
  <si>
    <t>Nom Admon 20250801 al 20250815 Ext ALEJANDRO MURILLO OCHOA</t>
  </si>
  <si>
    <t>Nom Admon 20250801 al 20250815 Ext GERARDO AARON TORRES PEREZ</t>
  </si>
  <si>
    <t>Nom Admon 20250801 al 20250815 Ext JAIME LOPEZ TORRES</t>
  </si>
  <si>
    <t>Nom Admon 20250801 al 20250815 Ext VICENTE GOMEZ RODRIGUEZ</t>
  </si>
  <si>
    <t>Nom Admon 20250816 al 20250831 Int BRENDA LIGIA GUTIERREZ PEREZ</t>
  </si>
  <si>
    <t>Nom Admon 20250816 al 20250831 Int ALEJANDRA DIAZ FERNANDEZ</t>
  </si>
  <si>
    <t>Nom Admon 20250816 al 20250831 Int ALEJANDRO MURILLO OCHOA</t>
  </si>
  <si>
    <t>Nom Admon 20250816 al 20250831 Int GERARDO AARON TORRES PEREZ</t>
  </si>
  <si>
    <t>Nom Admon 20250816 al 20250831 Int JAIME LOPEZ TORRES</t>
  </si>
  <si>
    <t>Nom Admon 20250816 al 20250831 Int VICENTE GOMEZ RODRIGUEZ</t>
  </si>
  <si>
    <t>Nom Admon 20250816 al 20250831 Ext BRENDA LIGIA GUTIERREZ PEREZ</t>
  </si>
  <si>
    <t>Nom Admon 20250816 al 20250831 Ext ALEJANDRA DIAZ FERNANDEZ</t>
  </si>
  <si>
    <t>Nom Admon 20250816 al 20250831 Ext ALEJANDRO MURILLO OCHOA</t>
  </si>
  <si>
    <t>Nom Admon 20250816 al 20250831 Ext GERARDO AARON TORRES PEREZ</t>
  </si>
  <si>
    <t>Nom Admon 20250816 al 20250831 Ext JAIME LOPEZ TORRES</t>
  </si>
  <si>
    <t>Nom Admon 20250816 al 20250831 Ext VICENTE GOMEZ RODRIGUEZ</t>
  </si>
  <si>
    <t>9F6AA786</t>
  </si>
  <si>
    <t>CHU841123AR6</t>
  </si>
  <si>
    <t>COSM771011IU8</t>
  </si>
  <si>
    <t>CTA9903127C3</t>
  </si>
  <si>
    <t>IMSS/INFONAVIT</t>
  </si>
  <si>
    <t>PBA030930EB6</t>
  </si>
  <si>
    <t>PUN9810229R0</t>
  </si>
  <si>
    <t>SMA121002R46</t>
  </si>
  <si>
    <t>8762</t>
  </si>
  <si>
    <t>8869</t>
  </si>
  <si>
    <t>T51641</t>
  </si>
  <si>
    <t>741239</t>
  </si>
  <si>
    <t>26430</t>
  </si>
  <si>
    <t>4HGCJI 429803</t>
  </si>
  <si>
    <t>5851</t>
  </si>
  <si>
    <t>IMSS 0107</t>
  </si>
  <si>
    <t>IMSS 0207</t>
  </si>
  <si>
    <t>IMSS 0108</t>
  </si>
  <si>
    <t>IMSS 0208</t>
  </si>
  <si>
    <t>111007120880</t>
  </si>
  <si>
    <t>43299</t>
  </si>
  <si>
    <t>89B8903D</t>
  </si>
  <si>
    <t>ARCHIVO BRENDA NO TENGO FACTURA</t>
  </si>
  <si>
    <t>CONCRETOS HUASTECA</t>
  </si>
  <si>
    <t>MARCO ANTONIO CORTES SALAZAR</t>
  </si>
  <si>
    <t>CONCRETOS TANCOL</t>
  </si>
  <si>
    <t>GASTOS ++ - ALIMENTOS</t>
  </si>
  <si>
    <t>NOMINA IMSS/INFONAVIT 1Q JULIO</t>
  </si>
  <si>
    <t>NOMINA IMSS/INFONAVIT 2Q JULIO</t>
  </si>
  <si>
    <t>NOMINA IMSS/INFONAVIT 1Q AGOSTO</t>
  </si>
  <si>
    <t>NOMINA IMSS/INFONAVIT 2Q AGOSTO</t>
  </si>
  <si>
    <t>NOMINA</t>
  </si>
  <si>
    <t xml:space="preserve">POPAT BAZAR </t>
  </si>
  <si>
    <t>SI VALE MEXICO</t>
  </si>
  <si>
    <t>SERVICIO MADITAM</t>
  </si>
  <si>
    <t>COMBUSTIBLE - GASOLINA</t>
  </si>
  <si>
    <t>MAQUINARIA INDUSTRIAL ABBA</t>
  </si>
  <si>
    <t>MARTHA GARCIA CHAVEZ</t>
  </si>
  <si>
    <t>JOSE GUTIERREZ</t>
  </si>
  <si>
    <t>VARIOS</t>
  </si>
  <si>
    <t>24e079f6-2228-4154-ba48-fa703db17c50</t>
  </si>
  <si>
    <t>Nomina-ADMON</t>
  </si>
  <si>
    <t>Nomina-OPERACIÓN</t>
  </si>
  <si>
    <t>EDGAR FRANCISCO FRANCO | PAGO 10%</t>
  </si>
  <si>
    <t>MARIA ISABEL DE ANGEL | PAGO EXCAVACION</t>
  </si>
  <si>
    <t>EDGAR FRANCISCO FRANCO | ABONO ESTIMACION 1</t>
  </si>
  <si>
    <t>YULIANA DEL ANGEL FONG | NOMINA FIERREROS</t>
  </si>
  <si>
    <t xml:space="preserve">YULIANA DEL ANGEL FONG | EXCAVACION </t>
  </si>
  <si>
    <t>MARIA ISABEL DE ANGEL | ABONO 2</t>
  </si>
  <si>
    <t>EDGAR FRANCISCO FRANCO | ABONO 2 ESTIMACION 1</t>
  </si>
  <si>
    <t>MARIA ISABEL DE ANGEL | ABONO 3</t>
  </si>
  <si>
    <t>MARIA ISABEL DE ANGEL | ABONO 4</t>
  </si>
  <si>
    <t>MARIA ISABEL DE ANGEL | ABONO 5</t>
  </si>
  <si>
    <t>MARIA ISABEL DE ANGEL | ABONO 6</t>
  </si>
  <si>
    <t>EDGAR FRANCISCO FRANCO | ABONO 1 ESTIMACION 2</t>
  </si>
  <si>
    <t>MARIA ISABEL DE ANGEL | ABONO 7</t>
  </si>
  <si>
    <t>YULIANA DEL ANGEL FONG | CUADRILLA AARON</t>
  </si>
  <si>
    <t>YULIANA DEL ANGEL FONG | CUADRILLA ROBERTO</t>
  </si>
  <si>
    <t>YULIANA DEL ANGEL FONG | CUADRILLA CARMELO</t>
  </si>
  <si>
    <t>YULIANA DEL ANGEL FONG | CUADRILLA TAXISTAS</t>
  </si>
  <si>
    <t>EDGAR FRANCISCO FRANCO | CUADRILLA PITUFO</t>
  </si>
  <si>
    <t>EDGAR FRANCISCO FRANCO | CUADRILLA ARCOS</t>
  </si>
  <si>
    <t>EDGAR FRANCISCO FRANCO | LIMPIEZA PREDIO</t>
  </si>
  <si>
    <t>MARIA ISABEL DE ANGEL | ABONO 8</t>
  </si>
  <si>
    <t>MARIA ISABEL DE ANGEL | ABONO 9</t>
  </si>
  <si>
    <t>YULIANA DEL ANGEL FONG | EXCAVACION PMIS TAXISTAS</t>
  </si>
  <si>
    <t>MARY KAREN ORTEGA ALVARADO | DESESCOMBRO PMIS COLADO 1ER DIA</t>
  </si>
  <si>
    <t>YULIANA DEL ANGEL FONG | CUADRILLA JESUS Y JOSE</t>
  </si>
  <si>
    <t>MARY KAREN ORTEGA ALVARADO | DESESCOMBRO 1 DÍA 2</t>
  </si>
  <si>
    <t>CELIA BERENICE CRUZ PANTOJA | DESESCOMBRO 2 DIA 1</t>
  </si>
  <si>
    <t>MARIA ISABEL DE ANGEL | ABONO 10</t>
  </si>
  <si>
    <t>MARY KAREN ORTEGA ALVARADO | DESESCOMBRO 1 DIA 3</t>
  </si>
  <si>
    <t>YULIANA DEL ANGEL FONG | DESTAJO EXCAVACION</t>
  </si>
  <si>
    <t>YULIANA DEL ANGEL FONG | FIERREROS Y COLADORES</t>
  </si>
  <si>
    <t>YULIANA DEL ANGEL FONG | CUADRILLA MORROS</t>
  </si>
  <si>
    <t>EDGAR FRANCISCO FRANCO | SUELDO Y REEMBOLSO</t>
  </si>
  <si>
    <t>MARIA ISABEL DE ANGEL | ABONO 11</t>
  </si>
  <si>
    <t>BRANDON JESUS MARTINEZ | PMI NTAM PITUFO</t>
  </si>
  <si>
    <t>ARMANDO VEGA | PAGO GENTE VARIOS</t>
  </si>
  <si>
    <t>BRENDA GUTIERREZ | PAGO GENTE VARIOS</t>
  </si>
  <si>
    <t>MARIA ISABEL DE ANGEL | ABONO 12</t>
  </si>
  <si>
    <t>MARIA ISABEL DE ANGEL | ABONO 13</t>
  </si>
  <si>
    <t>MARTHA GARCIA CHAVEZ | EXTRA DETALLADO</t>
  </si>
  <si>
    <t xml:space="preserve">YULIANA DEL ANGEL FONG | NOMINA </t>
  </si>
  <si>
    <t>EDGAR FRANCISCO FRANCO | NOMINA, REEMBOLSO Y GRATIFICACION</t>
  </si>
  <si>
    <t>MARY KAREN ORTEGA ALVARADO | 25 DE JULIO AL 1 DE AGOSTO</t>
  </si>
  <si>
    <t>CELIA BERENICE CRUZ PANTOJA | DESESCOMBRO</t>
  </si>
  <si>
    <t>MARIA ISABEL DE ANGEL | ABONO 14</t>
  </si>
  <si>
    <t>BRANDON DAMIAN RAMOS | NOMINA BRANDON Y JOSE NORBERTO</t>
  </si>
  <si>
    <t>EDUARDO NIETO | NOMINA</t>
  </si>
  <si>
    <t>SRA MARTHA | DIA TRABAJADO</t>
  </si>
  <si>
    <t>FERMIN IBARRA (GUSTAVO) | NOMINA</t>
  </si>
  <si>
    <t>BRANDON JESUS MARTINEZ | NOMINA</t>
  </si>
  <si>
    <t>MARTHA GARCIA CHAVEZ | VARIOS</t>
  </si>
  <si>
    <t>BRANDON JESUS MARTINEZ | NOMINA PITUFO (JOSE HERBERT)</t>
  </si>
  <si>
    <t>YULIANA DEL ANGEL FONG | NOMINA</t>
  </si>
  <si>
    <t>EDGAR FRANCISCO FRANCO | NOMINA Y REEMBOLSO</t>
  </si>
  <si>
    <t>MARY KAREN ORTEGA ALVARADO | DESESCOMBRO MANTE</t>
  </si>
  <si>
    <t>BRANDON DAMIAN RAMOS | NOMINA</t>
  </si>
  <si>
    <t>AARON ARTURO CASTRO | NOMINA</t>
  </si>
  <si>
    <t>SANTA BERNARDINA TOMAS | NOMINA DIEGO</t>
  </si>
  <si>
    <t>ROBERTO ISMAEL PEREZ | NOMINA</t>
  </si>
  <si>
    <t>ALMA EDITH ESCOBAR | NOMINA AGUSTIN</t>
  </si>
  <si>
    <t>EDUARDO NIETO | NOMINA TAXISTAS</t>
  </si>
  <si>
    <t>LUIS  | PAGO EXCAVADORES</t>
  </si>
  <si>
    <t>JOSE RAMON CASTILLO | DESESCOMBRO MANTE</t>
  </si>
  <si>
    <t>MARY KAREN ORTEGA ALVARADO | DESESCOMBRO</t>
  </si>
  <si>
    <t>JORGE HERBER | NOMINA PITUFOS</t>
  </si>
  <si>
    <t>JORGE HERBER | NOMINA TAXISTAS</t>
  </si>
  <si>
    <t>ALMA EDITH ESCOBAR | NOMINA AGUSTINES</t>
  </si>
  <si>
    <t>AARON ARTURO CASTRO | NOMINA AARONES</t>
  </si>
  <si>
    <t>EDGAR FRANCISCO FRANCO | NOMINA</t>
  </si>
  <si>
    <t>JAIME LOPEZ | RENTA CASA MES 1</t>
  </si>
  <si>
    <t xml:space="preserve">RAFAEL RODRIGUEZ | </t>
  </si>
  <si>
    <t>SANTOS IRAM DEL ANGEL | RENTA ROTOMARTILLO</t>
  </si>
  <si>
    <t>ARMANDO ROBERTO VEGA | VIATICOS</t>
  </si>
  <si>
    <t>EDGAR FRANCISCO FRANCO | REEMBOLSOS</t>
  </si>
  <si>
    <t>EDGAR FRANCISCO FRANCO | CIMBRA METÁLICA</t>
  </si>
  <si>
    <t>PEDRO PERALES | PUEBA LABORATORIO PILA</t>
  </si>
  <si>
    <t>JAIME LOPEZ | REEMBOLSO</t>
  </si>
  <si>
    <t>ELIAS RUBALCAVA DOMIGUEZ | ANTICIPO TORNO</t>
  </si>
  <si>
    <t>ANTOLIN GUZMAN HERNANDEZ | RENTA RETRO 8 HRS</t>
  </si>
  <si>
    <t>BRANDON DAMIAN RAMOS | BONO DEMOLICION</t>
  </si>
  <si>
    <t>JUAN GARCIA | RENTA DEPTOS MANTE</t>
  </si>
  <si>
    <t>ALMA EDITH ESCOBAR | 3 SISTEMAS DE TIERRA</t>
  </si>
  <si>
    <t>ELOY ADRIAN MARTINEZ | RENTA TERRENO MANTE</t>
  </si>
  <si>
    <t>KARIM NACOUD | HOSPEDAJE JAIME Y GERARDO MANTE</t>
  </si>
  <si>
    <t>VICENTE GOMEZ | HOSPEDAJE TAMPICO</t>
  </si>
  <si>
    <t>PEDRO PERALES | PRUEBA 6 MUESTRAS</t>
  </si>
  <si>
    <t>PCI TRAILERS | RENTA REMOLQUE</t>
  </si>
  <si>
    <t>PCI TRAILERS | REMOLQUE 2 DIAS</t>
  </si>
  <si>
    <t>ELIAS RUBALCAVA MALDONADO | TORNO PLACAS</t>
  </si>
  <si>
    <t>RICARDO MEDINA | VIATICOS</t>
  </si>
  <si>
    <t>KARIM NACOUD | HOSPEDAJE JAIME, GERARDO Y VICENTE</t>
  </si>
  <si>
    <t>ELOY ADRIAN MARTINEZ | COMPLEMENTO RENTA TERRENO</t>
  </si>
  <si>
    <t>KARIM NACOUD | HOSPEDAJE 1 NOCHE GERARDO</t>
  </si>
  <si>
    <t>JAIME LOPEZ | HOSPEDAJE GERARDO Y JAIME  Y EXTRAS</t>
  </si>
  <si>
    <t>PEDRO PERALES | LABORATORIO</t>
  </si>
  <si>
    <t>PCI TRAILERS | REMOLQUE</t>
  </si>
  <si>
    <t xml:space="preserve">KARIM NACOUD | HOSPEDAJE GERARDO Y JAIME </t>
  </si>
  <si>
    <t>RICARDO MEDINA | TRASLADO VEHICULOS</t>
  </si>
  <si>
    <t>KARIM NACOUD | HOSPEDAJE GERARDO</t>
  </si>
  <si>
    <t>MARCOS A LARA FLORES | RENTA MAQUINARIA LIGERA</t>
  </si>
  <si>
    <t>MARCOS A LARA FLORES | RENTA MAQUINARIA LIGERA pago 2</t>
  </si>
  <si>
    <t>ALEJANDRO BRETADO MARTINEZ | RENTA TALLER CD VICTORIA</t>
  </si>
  <si>
    <t>MANRIQUE PACHECO LOMELI | CATALOGO PRECIOS</t>
  </si>
  <si>
    <t>CARLOS ANTONIO SUAREZ CRISANTO | TRASLADO PERSONAL</t>
  </si>
  <si>
    <t>REYES DORANTES | TRASLADO CAMIONETA</t>
  </si>
  <si>
    <t>GASTOS SIN FACTURA</t>
  </si>
  <si>
    <t>MARIA ISABEL DE ANGEL | ANTICIPO EXCAVACION</t>
  </si>
  <si>
    <t>COLADO, GROUT, BANQUETAS, RELLENOS, ETC - YULIANA DEL ANGEL FONG | NOMINA</t>
  </si>
  <si>
    <t>MANTE +++COLADO, GROUT, BANQUETAS, RELLENOS, ETC - EDUARDO NIETO | NOMINA TAXISTAS</t>
  </si>
  <si>
    <t>TAMPICO +++ACARREO DE MATERIALES - MARY KAREN ORTEGA ALVARADO | DESESCOBRO</t>
  </si>
  <si>
    <t>PEDRO PERALES | VIATICOS LABORATORIO</t>
  </si>
  <si>
    <t>TAMPICO +++COLADO, GROUT, BANQUETAS, RELLENOS, ETC - EDUARDO NIETO | NOMINA PITUFOS</t>
  </si>
  <si>
    <t>MANTE +++COLADO, GROUT, BANQUETAS, RELLENOS, ETC - EDUARDO NIETO | NOMINA PITUFOS</t>
  </si>
  <si>
    <t>MANTE +++COLADO, GROUT, BANQUETAS, RELLENOS, ETC - AARON ARTURO CASTRO | NOMINA AARONES</t>
  </si>
  <si>
    <t>TAMPICO +++EXCAVACIONES - ROBERTO ISMAEL PEREZ | NOMINA ROBERTOS</t>
  </si>
  <si>
    <t xml:space="preserve">TAMPICO +++COLADO, GROUT, BANQUETAS, RELLENOS, ETC - BRANDON DAMIAN RAMOS | NOMINA </t>
  </si>
  <si>
    <t>HERRAMIENTA - LUMINARIO EMERGENCIA PANIC 1+24 LED</t>
  </si>
  <si>
    <t>MATERIAL CONSUMIBLE - CINCHO PARA CABLE DE 3.5 X 100 MM B</t>
  </si>
  <si>
    <t>MATERIAL CONSUMIBLE - ABRAZADERA SIN FIN AC INOX 72 4 A 5</t>
  </si>
  <si>
    <t>TAMPICO +++YULIANA DEL ANGEL FONG | FIERREROS Y COLADORES</t>
  </si>
  <si>
    <t>TAMPICO +++COLADO, GROUT, BANQUETAS, RELLENOS, ETC - BRANDON DAMIAN RAMOS | NOMINA</t>
  </si>
  <si>
    <t>MANTE +++JORGE HERBER | TAXISTAS</t>
  </si>
  <si>
    <t>CD. VICTORIA +++JORGE HERBER | PITUFOS</t>
  </si>
  <si>
    <t>CD. VICTORIA +++JORGE HERBER | PITUFOS (1 PUNTO DEMOLICION)</t>
  </si>
  <si>
    <t>MANTE +++JORGE HERBER | PITUFOS</t>
  </si>
  <si>
    <t>MANTE +++AARON ARTURO CASTRO | AARONES</t>
  </si>
  <si>
    <t>CD. VICTORIA +++AARON ARTURO CASTRO | AARONES</t>
  </si>
  <si>
    <t>CD. VICTORIA +++JORGE HERBER | TAXISTAS</t>
  </si>
  <si>
    <t>E1CA19F8-BBD0-46DE-8822-9B9D2C51980F</t>
  </si>
  <si>
    <t>00007041 245864</t>
  </si>
  <si>
    <t>SC018BR CUBREASIENTOS US</t>
  </si>
  <si>
    <t>4E40D06D-FD52-49B1-885F-9B9D2C51813C</t>
  </si>
  <si>
    <t>00007041 256972</t>
  </si>
  <si>
    <t>BTW 1A ARANDELA DE MATE</t>
  </si>
  <si>
    <t>48 91 DLG Bateria Dural</t>
  </si>
  <si>
    <t>D1871A1D-83F4-476B-8B40-BBDC13C0EC11</t>
  </si>
  <si>
    <t>CA-6790</t>
  </si>
  <si>
    <t>CCM-100324-7N3</t>
  </si>
  <si>
    <t>E11937 - COMBUSTIBLES DE CIUDAD DEL MAIZ FACTURA (COMBUSTIBLES)</t>
  </si>
  <si>
    <t>3604AD94-1B5C-483F-B858-C3002BA8F3DB</t>
  </si>
  <si>
    <t>N03FW - 70861</t>
  </si>
  <si>
    <t>86935455-1311-5FE5-BBCF-85F9722F75EB</t>
  </si>
  <si>
    <t>CW - 4432</t>
  </si>
  <si>
    <t>GAD100310R99</t>
  </si>
  <si>
    <t>GRUPO ANDALUZ DE DESARROLLO</t>
  </si>
  <si>
    <t>3e7822ae-2bee-4a01-ba67-aec43bea6691</t>
  </si>
  <si>
    <t>4HGEGI 170352</t>
  </si>
  <si>
    <t>7f52f493-b7ce-4234-95e8-0b7a059dd3c6</t>
  </si>
  <si>
    <t>4HGEGI 170393</t>
  </si>
  <si>
    <t>7746e7fc-a53e-497d-af5e-c31c4c55aa31</t>
  </si>
  <si>
    <t>4HGEGI 170394</t>
  </si>
  <si>
    <t>fd81b619-8bf4-4b68-9413-4e65559a24b4</t>
  </si>
  <si>
    <t>4HGEGI 171084</t>
  </si>
  <si>
    <t>9b8da644-244f-44d3-a9ac-0e380fee448c</t>
  </si>
  <si>
    <t>4HGEGI 171143</t>
  </si>
  <si>
    <t>05eca4d9-128b-440c-826d-9f6ac9c447aa</t>
  </si>
  <si>
    <t>4HGEGI 171221</t>
  </si>
  <si>
    <t>66D2F695-9574-4589-9C22-9EAD237309A2</t>
  </si>
  <si>
    <t>CFDIW - 15651</t>
  </si>
  <si>
    <t>HEAL500428IZ0</t>
  </si>
  <si>
    <t>28C9435D-4F84-4AB0-9778-7A4EFD8B64BB</t>
  </si>
  <si>
    <t>CFDIW - 15652</t>
  </si>
  <si>
    <t> E30F0DE2-47AA-4905-B1B3-EC704C0D1ADA</t>
  </si>
  <si>
    <t> FACT1198</t>
  </si>
  <si>
    <t>KOTV880825NR2</t>
  </si>
  <si>
    <t>VALERIA EDITH KORRODI TREJO</t>
  </si>
  <si>
    <t>F9367CDC-A993-450F-A3FE-16A448084D21</t>
  </si>
  <si>
    <t>A-66571</t>
  </si>
  <si>
    <t>MCM7608096V1</t>
  </si>
  <si>
    <t>MATERIALES PARA CONSTRUCCION MONTEMAYOR "AZULEJOS Y SANITARIOS"</t>
  </si>
  <si>
    <t>7B4C73AD-EC11-4744-B7A4-850811D88AC5</t>
  </si>
  <si>
    <t>PPD101129EA3</t>
  </si>
  <si>
    <t>MONTERREY S/N ESFUERZO OBRERO AMPLIACION TAMPICO TAMAULIPAS MEXICOCP 89316</t>
  </si>
  <si>
    <t>7B4C73AD</t>
  </si>
  <si>
    <t>SAVL590801KC8</t>
  </si>
  <si>
    <t>JOSE LUIS SANCHEZ VAZQUEZ "DESPACHO CONTABLE FISCAL"</t>
  </si>
  <si>
    <t>ac68c30d-c0e6-4e9a-8c57-e8e4acdd511d</t>
  </si>
  <si>
    <t>LPA 21259</t>
  </si>
  <si>
    <t>SE AGREGA 8% DE COSTO ADICIONAL, MIENTRAS SE RESUELVE EL VALOR DEL IVA A IMPUTAR</t>
  </si>
  <si>
    <t>OTROS MATERIALES</t>
  </si>
  <si>
    <t>Técnico de compras/ control de Costos (Ale)</t>
  </si>
  <si>
    <t>Aux. Administrativo (Brenda)</t>
  </si>
  <si>
    <t>Gerente Administración (Pp)</t>
  </si>
  <si>
    <t>Gerente de Proyecto (Armando)</t>
  </si>
  <si>
    <t>Jefe Estimaciones (Alex)</t>
  </si>
  <si>
    <t>MECÁNICAS DE SUELOS Y TOPOGRAFÍAS</t>
  </si>
  <si>
    <t>MECÁNICAS DE SUELOS</t>
  </si>
  <si>
    <t>TOPOGRAFÍAS</t>
  </si>
  <si>
    <t>SERVICIO</t>
  </si>
  <si>
    <t>E44F819F-BF31-492F-AFD7-9B9D2C51151D</t>
  </si>
  <si>
    <t>00007213 152737</t>
  </si>
  <si>
    <t>X4G605 1AME AXE CAN BLA</t>
  </si>
  <si>
    <t>AF9033M Anticongelante P</t>
  </si>
  <si>
    <t>635e0174-9db3-4a1a-acc0-a674995bf0d3</t>
  </si>
  <si>
    <t>CELBB-84917</t>
  </si>
  <si>
    <t>PEC1411282LA</t>
  </si>
  <si>
    <t>OPERADORA DE SERVICIOS PAQUETEXPRESS</t>
  </si>
  <si>
    <t>PAQUETERIA - CVJ01WW796177 SEGURO</t>
  </si>
  <si>
    <t>PAQUETERIA - CVJ01WW796177 RECOLECCION A DOMICILIO</t>
  </si>
  <si>
    <t>PAQUETERIA - CVJ01WW796177 FLETE - SERVICIO DE CARGA</t>
  </si>
  <si>
    <t>4bec563b-7ec0-47a1-89f7-6fab8f1567a1</t>
  </si>
  <si>
    <t>4HGEGI 171478</t>
  </si>
  <si>
    <t>CUENTA CONTABLE</t>
  </si>
  <si>
    <t>Columna8</t>
  </si>
  <si>
    <t>VIATICOS</t>
  </si>
  <si>
    <t>SUBCUENTA</t>
  </si>
  <si>
    <t>TRASLADO</t>
  </si>
  <si>
    <t>ALIMENTOS</t>
  </si>
  <si>
    <t>Importe Neto por Factura</t>
  </si>
  <si>
    <t>Fecha de Pago (transferencias)</t>
  </si>
  <si>
    <t>9B24DAFB-C67D-4FAE-8228-B9CF178B5CAB</t>
  </si>
  <si>
    <t>AARON ARTURO CASTRO | AARONES</t>
  </si>
  <si>
    <t>JORGE HERBER | PITUFOS</t>
  </si>
  <si>
    <t>JORGE HERBER | TAXISTAS</t>
  </si>
  <si>
    <t>MARTHA GARCIA CHAVEZ | HOSPEDAJE VICENTE</t>
  </si>
  <si>
    <t>GABRIELA HERNANDEZ | RENTA DEPTO JAIME</t>
  </si>
  <si>
    <t>MARY KAREN ORTEGA ALVARADO | DESESCOBRO</t>
  </si>
  <si>
    <t>NOMINA (FREDI BERMUDEZ) | 2Q AGOSTO</t>
  </si>
  <si>
    <t>MARIA ISABEL DE ANGEL | FINIQUITO</t>
  </si>
  <si>
    <t>DANIELA GARCIA MARTINEZ | ANTICIPO VINILES CHALECOS</t>
  </si>
  <si>
    <t>EDUARDO NIETO | TAXISTAS</t>
  </si>
  <si>
    <t>EDUARDO NIETO | PITUFOS</t>
  </si>
  <si>
    <t>ERIK EXCAVACION | ERIKS</t>
  </si>
  <si>
    <t>NORMA FUENTES | PACOS</t>
  </si>
  <si>
    <t>ALAN FERNANDO | ALANS</t>
  </si>
  <si>
    <t>EDGAR FRANCISCO FRANCO | REEMBOLSO FINAL</t>
  </si>
  <si>
    <t>PEDRO PERALES | TOPOGRAFIA Y MECANICA DE SUELOS</t>
  </si>
  <si>
    <t>REYES DORANTES | NOMINA</t>
  </si>
  <si>
    <t>OSCAR LEON | FIERREROS</t>
  </si>
  <si>
    <t>PEDRO PERALES | VIATICOS</t>
  </si>
  <si>
    <t>SLO-39989</t>
  </si>
  <si>
    <t>OPD250430NS9</t>
  </si>
  <si>
    <t>OPERADORA DE PARADORES DINEEK "SUBWAY"</t>
  </si>
  <si>
    <t>AE55BAE9-6CD7-4A99-AED8-AB26A571C526</t>
  </si>
  <si>
    <t>CFDIW-15723</t>
  </si>
  <si>
    <t>BEA30393-CAD5-42B7-A3E2-E129FB57F3D9</t>
  </si>
  <si>
    <t>CFDIW - 15722</t>
  </si>
  <si>
    <t>886702dc-c816-4099-be01-c4b43dd44965</t>
  </si>
  <si>
    <t>MAT 257610</t>
  </si>
  <si>
    <t>MSE1301113R3</t>
  </si>
  <si>
    <t>MULTIMATERIALES Y SERVICIOS "MULTIMAT"</t>
  </si>
  <si>
    <t>2cd96854-73aa-4866-8272-55653e630273</t>
  </si>
  <si>
    <t>IJ 5946437</t>
  </si>
  <si>
    <t>SSA701202DN7</t>
  </si>
  <si>
    <t>SUPER SERVICIO AZTECA DE VICTORIA E09213 (COMBUSTIBLES)</t>
  </si>
  <si>
    <t>REYNOSA, CENTRO DE SALUD COLONIA CAMPESTRE.</t>
  </si>
  <si>
    <t>MATAMOROS, CENTRO DE SALUD URBANO COLONIA PARAISO.</t>
  </si>
  <si>
    <t>REYNOSA, CENTRO DE SALUD IDEALES DE LA REVOLUCION.</t>
  </si>
  <si>
    <t>NUEVO LAREDO, XXIX REGIMIENTO DE CABALLERIA MOTORIZADA (VENADOS).</t>
  </si>
  <si>
    <t>NUEVO LAREDO, XVI REGIMIENTO DE CABALLERIA MOTORIZADA.</t>
  </si>
  <si>
    <t>SERVICIO DE TOPOGRAFIA, INCLUYE: DOS PUNTOS DE TOPOGRAFIA CON COORDENADAS BAJADOS CON EQUIPO GPS. LEVAMIENTO TOPOGRAFICO EN PERIMETRO DE LA TORRE TRAZO DE PUNTOS DE CIMENTACION.</t>
  </si>
  <si>
    <t>MECÁNICA DE SUELOS</t>
  </si>
  <si>
    <t>TOPOGRAFIA</t>
  </si>
  <si>
    <t>MATERIAL - ALAMBRE RECOCIDO CAL16 KG</t>
  </si>
  <si>
    <t>MATERIAL - CURVA CONDUIT 90 R-0 (LIGERA) 32 MM</t>
  </si>
  <si>
    <t>MATERIAL - TUBO CONDUIT LIGERO RO ABOC 32MM (1</t>
  </si>
  <si>
    <t>MATERIAL - TUBO PVC CONDUIT T. PESADO DE 1'' X 3 MTS</t>
  </si>
  <si>
    <t>MATERIAL - TUBO PVC CONDUIT T. PESADO DE 1 1/2'' X 3 MTS</t>
  </si>
  <si>
    <t>MATERIAL - CODO CONDUIT PVC T. PESADO DE 1 (25 MM)</t>
  </si>
  <si>
    <t>MATERIAL - CODO CONDUIT PVC T. PESADO DE 1 1/2 (38 MM)</t>
  </si>
  <si>
    <t>HERRAMIENTA - DISCO CORTE METAL 14 HUM-NEGRO</t>
  </si>
  <si>
    <t>ACTIVO - MARTILLO PERFORADOR DEMOLEDOR</t>
  </si>
  <si>
    <t>EPP - Guante de Nylon con nitrilo 5443 tr</t>
  </si>
  <si>
    <t>MATERIAL - TABLON IMPORTADO 2X4X8</t>
  </si>
  <si>
    <t>MATERIAL - TRIPLAY BC 18MM 122X244</t>
  </si>
  <si>
    <t>MATERIAL - TRIPLAY CONSTRUCCION CDX 18 MM 122X</t>
  </si>
  <si>
    <t>MATERIAL CONSUMIBLE - SOLDADURA ELECTRICA 6013 1/8</t>
  </si>
  <si>
    <t>MATERIAL - CONCRETO</t>
  </si>
  <si>
    <t>MATERIAL - CEMENTO GRIS MONTERREY 25 KG</t>
  </si>
  <si>
    <t>MATERIAL - ARENA RIO BIG BAG (2M3)</t>
  </si>
  <si>
    <t>MATERIAL - GRAVA BIG BAG (2M3)</t>
  </si>
  <si>
    <t>MATERIAL - AGUA</t>
  </si>
  <si>
    <t>MATERIAL - CONCRETO PREMEZCLADO FC 250 T.M. 3/4 REV. 12+-3.5 28 DIAS /TD</t>
  </si>
  <si>
    <t>HERRAMIENTA - CUCHARA, SERRUCHO, ESPONJA, PALA</t>
  </si>
  <si>
    <t xml:space="preserve">HERRAMIENTA - PASA BOND, ESPONJA </t>
  </si>
  <si>
    <t>MATERIAL - TRIPLAY 1 A CARA OKUME 5,MM.122X244</t>
  </si>
  <si>
    <t>MATERIAL - BARROTE PINO PARA CIMBRA I</t>
  </si>
  <si>
    <t>MATERIAL - TABLA DE PINO #2 1x8x8 CEPILLADO 4L</t>
  </si>
  <si>
    <t>MATERIAL - TABLON DE PINO #2 2x4x8CEPILLADO 4L</t>
  </si>
  <si>
    <t>MATERIAL - TABLA DE PINO #2 1x2x10 CEPILLADO 4</t>
  </si>
  <si>
    <t>MATERIAL - TRIPLAY BC 15MM 122X244</t>
  </si>
  <si>
    <t>MATERIAL - CONCRETO PREMEZCLADO FC= 250 KG/CM2 TIRO DIRECTO TMA 3/4 REV 14 (ZONA CENTRO)</t>
  </si>
  <si>
    <t>MATERIAL - CONCRETO PREMEZCLADO FC= 250 KG/CM2 TIRO DIRECTO TMA 3/4 REV 14 (EJ. EMILIANO ZAPATA)</t>
  </si>
  <si>
    <t>MATERIAL CONSUMIBLE - AEROSOL ACRILICO ROJO</t>
  </si>
  <si>
    <t>EPP - GUANTES DE CARNAZA UNITALLA CORTO PAR    19AH023578</t>
  </si>
  <si>
    <t>MATERIAL CONSUMIBLE - ESPUMA EXPANSIVA 500ML ESEX-500 TRUPER</t>
  </si>
  <si>
    <t>MATERIAL CONSUMIBLE - FH977032 CUERDA ELASTIC</t>
  </si>
  <si>
    <t>OSCAR LEON | FIERREROS VICTORIA ARMADO DE 45 PILAS</t>
  </si>
  <si>
    <t>F161D521-BA3E-5907-AADC-89CAF53FD741</t>
  </si>
  <si>
    <t>F -1392159308434</t>
  </si>
  <si>
    <t>AME880912I89</t>
  </si>
  <si>
    <t>AEROVIAS DE MEXICO (VUELOS)</t>
  </si>
  <si>
    <t>VUELOS - OAL</t>
  </si>
  <si>
    <t>VUELOS - YRI</t>
  </si>
  <si>
    <t>VUELOS - TUA</t>
  </si>
  <si>
    <t>5BF83ED5-2189-49A5-BA10-5DB64AC45CE2</t>
  </si>
  <si>
    <t>287</t>
  </si>
  <si>
    <t>AEPE9509218J4</t>
  </si>
  <si>
    <t>PINTURAS AUTOMOTRIZ EL CUÑADITO (SHERWIN WILLIAMS)</t>
  </si>
  <si>
    <t>b336c55c-d8dc-4e7a-a1cf-d63f794333b5</t>
  </si>
  <si>
    <t>3119273250913011059177</t>
  </si>
  <si>
    <t>E3005748-13F0-4E97-8B8F-9B9D2C5174EA</t>
  </si>
  <si>
    <t>00007013 928867</t>
  </si>
  <si>
    <t>29b2250a-c17c-4b83-a7eb-c2ebd9284850</t>
  </si>
  <si>
    <t>317818250913011343625</t>
  </si>
  <si>
    <t>ENVASE GARRAFON DE AGUA CIEL 20 LT</t>
  </si>
  <si>
    <t>AGUA PURIFICADA CIEL 20 LT BOTE</t>
  </si>
  <si>
    <t>E845DD9B-4E1A-472F-AA34-114BE95FCC4B</t>
  </si>
  <si>
    <t>SNOPW80016</t>
  </si>
  <si>
    <t>cbc53702-b721-45eb-92c1-f93d6116be08</t>
  </si>
  <si>
    <t>FA 2503200</t>
  </si>
  <si>
    <t>FMO930803PB1</t>
  </si>
  <si>
    <t>CHUBB FIANZAS MONTERREY, ASEGURADORA DE CAUCION</t>
  </si>
  <si>
    <t>PRIMA NETA</t>
  </si>
  <si>
    <t>GASTOS</t>
  </si>
  <si>
    <t>DERECHOS</t>
  </si>
  <si>
    <t>A7DF4A59-4EA0-4D03-970C-352EC1FB3AC4</t>
  </si>
  <si>
    <t>WCFDI - 236272</t>
  </si>
  <si>
    <t>GAR920825TA5</t>
  </si>
  <si>
    <t>GASOLINERA ARCE "MOBIL" (COMBUSTIBLES)</t>
  </si>
  <si>
    <t>34EC7D62-9248-5F69-9CE1-A215D8F1F700</t>
  </si>
  <si>
    <t>CFDI - 24823</t>
  </si>
  <si>
    <t>GOB061128FTA</t>
  </si>
  <si>
    <t>GASOLINERA 8 BOULEVARD (COMBUSTIBLES)</t>
  </si>
  <si>
    <t>C06B3960-8140-56F2-AD1B-5AA0E2E70192</t>
  </si>
  <si>
    <t>CFDI - 24824</t>
  </si>
  <si>
    <t>d94d68af-3a70-4cc1-8a2e-c1ab68cdacb2</t>
  </si>
  <si>
    <t>Servicio de consultoría. Correspondiente al mes de septiembre 2025</t>
  </si>
  <si>
    <t>AF23458D-75CB-46C8-9722-D06ECA36C4D2</t>
  </si>
  <si>
    <t>A-3,488</t>
  </si>
  <si>
    <t>GRO191127CD5</t>
  </si>
  <si>
    <t>GASOLINERA ROTARIA "NOVA" (COMBUSTIBLES)</t>
  </si>
  <si>
    <t>ff850b1e-44be-4c48-bfe6-6e7d2d240390</t>
  </si>
  <si>
    <t>4HGEGI 172103</t>
  </si>
  <si>
    <t>PASILLO HULE TACHON 3MM 60CM X 1M</t>
  </si>
  <si>
    <t>GARRAFON ROJO #20</t>
  </si>
  <si>
    <t>VANISH DESMANCHADOR EN POLVO BLANCO</t>
  </si>
  <si>
    <t>125b3de5-028f-40c2-954e-0639b07c28bd</t>
  </si>
  <si>
    <t>4HGEGI 172104</t>
  </si>
  <si>
    <t>PASILLO HULE NEGRO 3.0MM 60CM X 1M</t>
  </si>
  <si>
    <t>4a406602-095c-4b20-89db-1d14ba995443</t>
  </si>
  <si>
    <t>4HGEGI 172251</t>
  </si>
  <si>
    <t>SOMBRILLA DE PLAYA 6</t>
  </si>
  <si>
    <t>TERMO THD 5 GALONES</t>
  </si>
  <si>
    <t>406F5C05-4419-4B56-81CE-91E106DEF6C7</t>
  </si>
  <si>
    <t>POSM11242064</t>
  </si>
  <si>
    <t>ODM950324V2A</t>
  </si>
  <si>
    <t>OFFICE DEPOT DE MEXICO</t>
  </si>
  <si>
    <t>9C607993-72CE-4A5F-A9B6-4A97B4A998E8</t>
  </si>
  <si>
    <t>OMPAQ1 220020</t>
  </si>
  <si>
    <t>CDDC2F7D-BB3D-433A-A1B1-90D59623C459</t>
  </si>
  <si>
    <t>OMB1 459893</t>
  </si>
  <si>
    <t>PASAJES - SERVICIO PUBLICO FEDERAL DE TRANSPORTACION DE PERSONAS</t>
  </si>
  <si>
    <t>PAQUETERIA - SERVICIOS DE ENTREGA LOCAL DE CARTAS O PAQUETES PEQUEÑOS</t>
  </si>
  <si>
    <t>PASAJES - PASAJES NORMALES GRAVADOS Boleto:050000555527/Ruta:TAMPICO - MADERO-CD MANTE/29/07/2025/Diego antonio Aguilar tomas</t>
  </si>
  <si>
    <t>PASAJES - PASAJES NORMALES GRAVADOS Boleto:050000555528/Ruta:TAMPICO - MADERO-CD MANTE/29/07/2025/Josue Juarez tomas</t>
  </si>
  <si>
    <t>PASAJES - PASAJES NORMALES GRAVADOS Boleto:050000555526/Ruta:TAMPICO - MADERO-CD MANTE/29/07/2025/Leonardo yael Del angel garcia</t>
  </si>
  <si>
    <t>PASAJES - PASAJES NORMALES GRAVADOS Boleto:050000554887/Ruta:TAMPICO - MADERO-CD MANTE/29/07/2025/Brandon Damian ramos</t>
  </si>
  <si>
    <t>PASAJES - PASAJES NORMALES GRAVADOS Boleto:050000554888/Ruta:TAMPICO - MADERO-CD MANTE/29/07/2025/Gustavo adolfo Ibarra ramos</t>
  </si>
  <si>
    <t>PASAJES - PASAJES NORMALES GRAVADOS Boleto:050000554890/Ruta:TAMPICO - MADERO-CD MANTE/29/07/2025/Brandon jesus Martinez hernandez</t>
  </si>
  <si>
    <t>PASAJES - PASAJES NORMALES GRAVADOS Boleto:050000554889/Ruta:TAMPICO - MADERO-CD MANTE/29/07/2025/Eduardo Nieto martinez</t>
  </si>
  <si>
    <t>PASAJES - PASAJES NORMALES GRAVADOS Boleto:050000554891/Ruta:TAMPICO - MADERO-CD MANTE/29/07/2025/Jose norberto Herbert fabian</t>
  </si>
  <si>
    <t>PASAJES - PASAJES NORMALES GRAVADOS Boleto:050000554871/Ruta:TAMPICO - MADERO-CD MANTE/29/07/2025/Carlos gilberto Morales rios</t>
  </si>
  <si>
    <t>PASAJES - PASAJES NORMALES GRAVADOS Boleto:050000554867/Ruta:TAMPICO - MADERO-CD MANTE/29/07/2025/Luis enrique Morales cruz</t>
  </si>
  <si>
    <t>PASAJES - PASAJES NORMALES GRAVADOS Boleto:050000554917/Ruta:PUENTE ALTAMIRA LAS PINAS-CD MANTE/29/07/2025/Roberto ismael Perez ortega</t>
  </si>
  <si>
    <t>PASAJES - PASAJES NORMALES GRAVADOS Boleto:050000554918/Ruta:PUENTE ALTAMIRA LAS PINAS-CD MANTE/29/07/2025/Javier Calles castillo</t>
  </si>
  <si>
    <t>PASAJES - PASAJES NORMALES GRAVADOS Boleto:050000560272/Ruta:PUENTE ALTAMIRA LAS PINAS-CD MANTE/29/07/2025/Juan antonio Dominguez c...</t>
  </si>
  <si>
    <t>PASAJES - PASAJES NORMALES GRAVADOS Boleto:050000560271/Ruta:PUENTE ALTAMIRA LAS PINAS-CD MANTE/29/07/2025/Nestor oswaldo Alcala es...</t>
  </si>
  <si>
    <t>PASAJES - PASAJES NORMALES GRAVADOS Boleto:050000560270/Ruta:PUENTE ALTAMIRA LAS PINAS-CD MANTE/29/07/2025/Luis gerardo Alcala espinoza</t>
  </si>
  <si>
    <t>PASAJES - PASAJES NORMALES GRAVADOS Boleto:050000560269/Ruta:PUENTE ALTAMIRA LAS PINAS-CD MANTE/29/07/2025/Aaron arturo Castro escobedo</t>
  </si>
  <si>
    <t>PASAJES - PASAJES NORMALES GRAVADOS Boleto:050000590549/Ruta:CD MANTE-PUENTE ALTAMIRA LAS PINAS/01/08/2025/Eduardo Nieto martinez</t>
  </si>
  <si>
    <t>PASAJES - PASAJES NORMALES GRAVADOS Boleto:050000613333/Ruta:TAMPICO - MADERO-CD MANTE/04/08/2025/Brandon jesus Martinez hernandez</t>
  </si>
  <si>
    <t>PASAJES - PASAJES NORMALES GRAVADOS Boleto:050000633380/Ruta:TAMPICO NORTE-CD MANTE/05/08/2025/Envio jaime lopez/gerardo torres Jos...</t>
  </si>
  <si>
    <t>PASAJES - PASAJES NORMALES GRAVADOS Boleto:050000610943/Ruta:PUENTE ALTAMIRA LAS PINAS-CD MANTE/03/08/2025/Eduardo Nieto martinez</t>
  </si>
  <si>
    <t>PASAJES - PASAJES NORMALES GRAVADOS Boleto:050000610942/Ruta:PUENTE ALTAMIRA LAS PINAS-CD MANTE/03/08/2025/Jose armando Martinez al...</t>
  </si>
  <si>
    <t>PASAJES - PASAJES NORMALES GRAVADOS Boleto:050000654996/Ruta:CD MANTE-TAMPICO MADERO/08/08/2025/Jose norberto Herbert fabian</t>
  </si>
  <si>
    <t>PASAJES - PASAJES NORMALES GRAVADOS Boleto:050000685034/Ruta:TAMPICO - MADERO-CD MANTE/10/08/2025/Jose norberto Herbert fabian</t>
  </si>
  <si>
    <t>D2CC51B8-5DFB-4EC9-82FC-7A4D44A6E8AE</t>
  </si>
  <si>
    <t>OMB1 459890</t>
  </si>
  <si>
    <t>7DEC7E06-18D3-4C14-88D6-0C267482ABDA</t>
  </si>
  <si>
    <t>SSCDVIC33 511300</t>
  </si>
  <si>
    <t>PMO1509286Z9</t>
  </si>
  <si>
    <t xml:space="preserve"> PRETZEL MONTERREY (RESTAURANTE)</t>
  </si>
  <si>
    <t>DDDE888B-32B6-4E0D-B7F5-7591685E2EA6</t>
  </si>
  <si>
    <t>SSCDVIC33 511449</t>
  </si>
  <si>
    <t>17CC30EA-B39A-478E-A734-A8C39DED36C7</t>
  </si>
  <si>
    <t>SSCDVIC33 511598</t>
  </si>
  <si>
    <t>09C9EA33-43B0-4DEA-A9B9-1421DC4FE611</t>
  </si>
  <si>
    <t>A- 9647</t>
  </si>
  <si>
    <t>RISS910920U9A</t>
  </si>
  <si>
    <t>SUSANA CLEMENTINA RIVERA SALAZAR "CAPRICCIOSAS" (RESTAURANTE)</t>
  </si>
  <si>
    <t>RESTAURANTE - JULIANNA 14"</t>
  </si>
  <si>
    <t>RESTAURANTE - ADEREZO BLEU CHEESE</t>
  </si>
  <si>
    <t>B25248DF-3A10-46FA-A0A6-696713FBEF44</t>
  </si>
  <si>
    <t>JMR 4,229</t>
  </si>
  <si>
    <t>SCH190222SE7</t>
  </si>
  <si>
    <t>Estacion de servicio No. 3121  SHAMROCK COMERCIALIZADORA DE HIDROCARBUROS Y PETROLIFEROS (COMBUSTIBLES)</t>
  </si>
  <si>
    <t>65DBD418-DF5B-4351-9AE0-97D591504C2F</t>
  </si>
  <si>
    <t>KO 520744</t>
  </si>
  <si>
    <t>SIH9511279T7</t>
  </si>
  <si>
    <t>SUPERMERCADOS INTERNACIONALES H E B</t>
  </si>
  <si>
    <t>GASTOS ** - SANDWICH ITALIANO</t>
  </si>
  <si>
    <t>GASTOS ** - JUGO TROPICAL 240 ML</t>
  </si>
  <si>
    <t>PAPELERIA - BOLIG KILOMETRICO FINE X3</t>
  </si>
  <si>
    <t>PAPELERIA - CUAD COS FRA RAYA CLASICO 100H</t>
  </si>
  <si>
    <t>DA693F97-2F0D-450E-A077-6DD18340FB2A</t>
  </si>
  <si>
    <t>CFDIW - 26714</t>
  </si>
  <si>
    <t>HEBG6004231AA</t>
  </si>
  <si>
    <t>JOSE GUADALUPE HERRERA BUSTAMANTE "MOBIL" (COMBUSTIBLES)</t>
  </si>
  <si>
    <t>39087737-0FE7-4EC7-A1CE-10F9D8EFF55B</t>
  </si>
  <si>
    <t>NWS-D-9312</t>
  </si>
  <si>
    <t>7370DC0B-D677-5AE0-A605-AC6709EC7FCC</t>
  </si>
  <si>
    <t>ISVICAF-48974</t>
  </si>
  <si>
    <t>OHV0710094GA</t>
  </si>
  <si>
    <t>OPERADORA DE HOTELES VICTORIA</t>
  </si>
  <si>
    <t>HOSPEDAJE - Miscelaneos</t>
  </si>
  <si>
    <t>BB57A0FA-734D-4FAF-A352-17FC17DE1A21</t>
  </si>
  <si>
    <t>OWEB - 1027386</t>
  </si>
  <si>
    <t>94533140-DB6A-4D0E-845C-F70C0D34047F</t>
  </si>
  <si>
    <t>A2153</t>
  </si>
  <si>
    <t>GAE220328CJ9</t>
  </si>
  <si>
    <t>GRUPO ALIMENTICIO EDUCUA</t>
  </si>
  <si>
    <t>D14F7029-02D8-476C-BB96-D7B0BC258583</t>
  </si>
  <si>
    <t>WCFDI - 236579</t>
  </si>
  <si>
    <t>7EEECD79-1BF2-47F6-9C55-97AA3E229FB8</t>
  </si>
  <si>
    <t>CFDIW - 15867</t>
  </si>
  <si>
    <t>MARIA LUISA HERNANDEZ DEL ANGEL "EFECTIFACTURA" (COMBUSTIBLES)</t>
  </si>
  <si>
    <t>PINTURAS FOLIO 21188</t>
  </si>
  <si>
    <t>RESTAURANTE - PRODUCTO AL 0%</t>
  </si>
  <si>
    <t>RESTAURANTE - SERVICIOS DE CAFETERÍA AL 16%</t>
  </si>
  <si>
    <t>GASTOS ** - RANCHERITOS 58GR</t>
  </si>
  <si>
    <t>GASTOS ** - DORITOS NACHO 61GR</t>
  </si>
  <si>
    <t>GASTOS ** - BT 1KASP GRASA PROTECTO</t>
  </si>
  <si>
    <t>GASTOS ** - 24F DLG Bateria Duralas</t>
  </si>
  <si>
    <t>CD. VICTORIA, CENTRO DE SALUD LA MODERNA.</t>
  </si>
  <si>
    <t>MATAMOROS, CEDES MATAMOROS.</t>
  </si>
  <si>
    <t>Telesecundaria Carlos Treviño Rdz</t>
  </si>
  <si>
    <t>Escuela Secundaria Técnica 77</t>
  </si>
  <si>
    <t>Escuela Primaria Andrés</t>
  </si>
  <si>
    <t>bc78decd-c58c-4493-8e3f-50cd2afd8c18</t>
  </si>
  <si>
    <t>I 71090</t>
  </si>
  <si>
    <t>GGR1202213G0</t>
  </si>
  <si>
    <t>GRUPO GASOLINERO REYNAR E12464 "PEMEX" (COMBUSTIBLES)</t>
  </si>
  <si>
    <t>935B5F93-DF7D-418B-B48B-9B9D2C51927B</t>
  </si>
  <si>
    <t>00007753 664721</t>
  </si>
  <si>
    <t>26401509 Anticongelante</t>
  </si>
  <si>
    <t>B255C779-A28B-431C-A582-9B9D2C51587E</t>
  </si>
  <si>
    <t>00007753 676375</t>
  </si>
  <si>
    <t>ECO 112 AZ Inflallantas</t>
  </si>
  <si>
    <t>79827AUI JUEGO DE TAPETE</t>
  </si>
  <si>
    <t>09941 RFRSH GEL 4 5OZ N</t>
  </si>
  <si>
    <t>427814B4-03FD-4D89-86C7-4851F1873B48</t>
  </si>
  <si>
    <t>AA 22105</t>
  </si>
  <si>
    <t>ARE8309084RA</t>
  </si>
  <si>
    <t>ARECON (ACERO)</t>
  </si>
  <si>
    <t>VARILLA HYLSA 3/8" X 12 MTS</t>
  </si>
  <si>
    <t>16b1337a-0b3c-412e-a5a8-ec2933cf67ae</t>
  </si>
  <si>
    <t>3124737250929181500118</t>
  </si>
  <si>
    <t>6159c926-1c97-4950-860e-139933434995</t>
  </si>
  <si>
    <t>3124737250929182256656</t>
  </si>
  <si>
    <t>GASTOS ** - SABRITAS ADOBADA 42GR</t>
  </si>
  <si>
    <t>GASTOS ** - SANGRIA CASERA ORIGINAL 600ML NR</t>
  </si>
  <si>
    <t>GASTOS ** - COCA COLA 2.75LTS</t>
  </si>
  <si>
    <t>1512f3b8-6de7-40ae-a810-eb8a1365fd29</t>
  </si>
  <si>
    <t>3137040250929181919965</t>
  </si>
  <si>
    <t>GASTOS ** - CHEETOS TORCIDITOS 58GR</t>
  </si>
  <si>
    <t>GASTOS ** - REFRESCO COCA COLA 1.75L NR</t>
  </si>
  <si>
    <t>bcfa262e-346c-4bc1-ba97-adc13a66f112</t>
  </si>
  <si>
    <t>317818250929182105515</t>
  </si>
  <si>
    <t>27.- A Satisfaccion del Acreedor</t>
  </si>
  <si>
    <t>676CA4B6-1BDB-4D46-B663-0F2DC2C0B1F1</t>
  </si>
  <si>
    <t>CVXFA14352</t>
  </si>
  <si>
    <t>DEM8801152E9</t>
  </si>
  <si>
    <t>DHL EXPRESS MEXICO (PAQUETERIA)</t>
  </si>
  <si>
    <t>SERVICIO 2025-09-25 CVX 7515983086CVXCR56318</t>
  </si>
  <si>
    <t>4EC7C77A-0058-4948-8BE4-89529AF51DE8</t>
  </si>
  <si>
    <t>CFDI - 49857</t>
  </si>
  <si>
    <t>GAI100325A57</t>
  </si>
  <si>
    <t>GASOLINERA ARCE INTEREJIDAL "MOBIL" (COMBUSTIBLES)</t>
  </si>
  <si>
    <t>38DEDDE5-C2E2-42A5-8D63-5F90BB2DE36C</t>
  </si>
  <si>
    <t>VHK 8,897</t>
  </si>
  <si>
    <t>CAJL820322EAA</t>
  </si>
  <si>
    <t>Estacion de servicio No. 13676 LIDIA ALICIA CHAPA JARAMILLO "PEMEX" (COMBUSTIBLES)</t>
  </si>
  <si>
    <t>d9f9c1ce-07f9-42a0-9aa0-bfaed1fe7332</t>
  </si>
  <si>
    <t>J 4883</t>
  </si>
  <si>
    <t>CARA600709C9A</t>
  </si>
  <si>
    <t>MEGA MATERIALES PARA CONSTRUCCION (JOSE ANGEL CABALLERO DE LOS REYES)</t>
  </si>
  <si>
    <t>CEMENTO MONTERREY 25KG</t>
  </si>
  <si>
    <t>VARILLA 3/8 X 12M</t>
  </si>
  <si>
    <t>ALAMBRE RECOCIDO 0 0</t>
  </si>
  <si>
    <t>EA42421F-8CC7-5F5D-A78F-8C7099E522AD</t>
  </si>
  <si>
    <t>CFDIW - 11108</t>
  </si>
  <si>
    <t>cd8ac623-2839-4fc5-a704-1717797f1cfb</t>
  </si>
  <si>
    <t>4HGEGI 173224</t>
  </si>
  <si>
    <t>TABLON DE PINO #2 2x2x8CEPILLADO 4L</t>
  </si>
  <si>
    <t>CORDON UR 3X10 NE (IND) 90M (LM)</t>
  </si>
  <si>
    <t>CLAVIJA MEDIA VUELTA 3P 4H 30A 250V</t>
  </si>
  <si>
    <t>CONECTOR 2P 3H 30A 250V</t>
  </si>
  <si>
    <t>PANEL MDF 5.5 MM 1.22 X2.44</t>
  </si>
  <si>
    <t>DISCO CORTE METAL SP 4-1/2 X .040E</t>
  </si>
  <si>
    <t>TUBO GALVANIZADO 1/2 X 24</t>
  </si>
  <si>
    <t>SEGUETA BIMETALICA 18 DPP 12</t>
  </si>
  <si>
    <t>5417f37e-c2f7-4796-9510-720b896fd479</t>
  </si>
  <si>
    <t>4KHGEGI29</t>
  </si>
  <si>
    <t>3M CINTA REPARACIONES MULTIPROPÓSIT</t>
  </si>
  <si>
    <t>d30841c4-a372-4a56-9bba-702bcf06ad35</t>
  </si>
  <si>
    <t>4KHGEGI1206</t>
  </si>
  <si>
    <t>CAVADORREFORZADOTRUPERCA-38F</t>
  </si>
  <si>
    <t>3MCINTAREPARACIONESMULTIPROPÓSIT</t>
  </si>
  <si>
    <t>CLAVOP/CONCRETO21/2GALV1KG</t>
  </si>
  <si>
    <t>CLAVOC/CABEZA4"1KG</t>
  </si>
  <si>
    <t>DISCOABRASIVOSTANDARDCORTEMETAL</t>
  </si>
  <si>
    <t>BD79F771-354B-494C-A768-51781955FD8C</t>
  </si>
  <si>
    <t>11160</t>
  </si>
  <si>
    <t>IMR710601LW4</t>
  </si>
  <si>
    <t>INDUSTRIA MADERERA EL ROBLE</t>
  </si>
  <si>
    <t>MADERA DE PINO30 DE 2 X 4 X 10 20 DE 4 X 4 X 10</t>
  </si>
  <si>
    <t>MADERA DE PINO</t>
  </si>
  <si>
    <t>3A49C8F4-CF3B-4B7C-B4F5-D449E5B83EFB</t>
  </si>
  <si>
    <t>BA 12416</t>
  </si>
  <si>
    <t>INT9403143J3</t>
  </si>
  <si>
    <t>INTERNATURAL "SAKS" (RESTAURANTES)</t>
  </si>
  <si>
    <t>CONSUMO DE ALIMENTOS Y BEBIDAS. Orden: 118, Fecha orden: 2025-09-17</t>
  </si>
  <si>
    <t>019EE8C9-414D-4C3E-A650-46003290771B</t>
  </si>
  <si>
    <t>333</t>
  </si>
  <si>
    <t>MCC210820GB4</t>
  </si>
  <si>
    <t>MVG CONSULTING AND CONSTRUCTION</t>
  </si>
  <si>
    <t>Servicio de alquiler de remolques o camiones cisterna Renta de camion tipo plataforma (RAM 4000) Periodo: 01 de Septiembre de 2025 al 30 de Septiembre de 2025</t>
  </si>
  <si>
    <t>102AE7F6-B033-4F3D-99BD-06C843466F59</t>
  </si>
  <si>
    <t>336</t>
  </si>
  <si>
    <t>Servicio de alquiler de remolques o camiones cisterna Renta de camion tipo plataforma (RAM 4000) Periodo: 01 de Octubre de 2025 al 31 de Octubre de 2025</t>
  </si>
  <si>
    <t>a89fda24-c131-44da-87b4-6f42781655c9</t>
  </si>
  <si>
    <t>MS000015076</t>
  </si>
  <si>
    <t>MRE190503P54</t>
  </si>
  <si>
    <t>MITSU REYNOSA, SA DE CV</t>
  </si>
  <si>
    <t>Servicio de Mantenimiento de 90,000 Kms. de L200 D AT 22-24</t>
  </si>
  <si>
    <t>FILTRO ACEITE</t>
  </si>
  <si>
    <t>FILTRO MOTOR</t>
  </si>
  <si>
    <t>FILTRO AIRE A/C</t>
  </si>
  <si>
    <t>ARANDELA P/FILTRO ACEITE</t>
  </si>
  <si>
    <t>PASTILLA LIMPIA PARABRISAS</t>
  </si>
  <si>
    <t>ACEITE 15W40 DIESEL</t>
  </si>
  <si>
    <t>9B3E9B8E-6444-48AD-96EE-D5DF2D04361F</t>
  </si>
  <si>
    <t>C - 126064</t>
  </si>
  <si>
    <t>MVI7909141A8</t>
  </si>
  <si>
    <t>LA MARINA VIEJA (COMBUSTIBLES)</t>
  </si>
  <si>
    <t>8E46D66C-9180-4F59-A84E-0F5B332FF7FA</t>
  </si>
  <si>
    <t>8E46D66C</t>
  </si>
  <si>
    <t>ROSL580919MC9</t>
  </si>
  <si>
    <t>LUIS EUGENIO RODRIGUEZ SALINAS "HOTEL LA SERENA"</t>
  </si>
  <si>
    <t>EF36DDDD-49A5-4D91-8D30-7FCEA0DF1BFB</t>
  </si>
  <si>
    <t xml:space="preserve"> EF36DDDD</t>
  </si>
  <si>
    <t>HOSPEDAJE DEL DIA 17 DE OCTUBRE DEL 2025</t>
  </si>
  <si>
    <t>HOSPEDAJE DEL DIA 18 DE OCTUBRE DEL 2025</t>
  </si>
  <si>
    <t>HOSPEDAJE DEL DIA 19 DE OCTUBRE DEL 2025</t>
  </si>
  <si>
    <t>3B62529F-1351-4314-92F9-2E051F4727AF</t>
  </si>
  <si>
    <t xml:space="preserve"> 3B62529F</t>
  </si>
  <si>
    <t>SAME900203CDA</t>
  </si>
  <si>
    <t>EDWIN HAZAEL SANCHEZ MANSILLA</t>
  </si>
  <si>
    <t>89978CCF-86D7-4984-B252-70C31C644AB0</t>
  </si>
  <si>
    <t>A 454</t>
  </si>
  <si>
    <t>Concreto premezclado FC 250 kg/cm2. Tiro directo</t>
  </si>
  <si>
    <t>DD763493-4C81-5EF9-BC8E-AA1CE37795BA</t>
  </si>
  <si>
    <t>SPGTB - 212</t>
  </si>
  <si>
    <t>SPG031212QN5</t>
  </si>
  <si>
    <t>SERVICIOS PROFESIONALES GGA</t>
  </si>
  <si>
    <t>COMISION POR MANEJO DE CUENTA</t>
  </si>
  <si>
    <t xml:space="preserve"> 96E3947D-7E13-57C2-AD0F-0F24086F1B33</t>
  </si>
  <si>
    <t>SPGFM - 36344</t>
  </si>
  <si>
    <t xml:space="preserve"> EF72BFA3-3606-5905-B1B5-45D28F28B629</t>
  </si>
  <si>
    <t xml:space="preserve"> SPGTB - 231</t>
  </si>
  <si>
    <t>aa2f7e60-29dc-49ed-8419-04a62b2be515</t>
  </si>
  <si>
    <t>A 45</t>
  </si>
  <si>
    <t>SRC961102RK9</t>
  </si>
  <si>
    <t>SERVICIO RC E04965 "PEMEX" (COMBUSTIBLES)</t>
  </si>
  <si>
    <t>2d02c9ed-991d-4283-80cd-a20260c52aca</t>
  </si>
  <si>
    <t>A 48</t>
  </si>
  <si>
    <t>83F78D5A-CE8E-4889-AF52-6BB117FE515F</t>
  </si>
  <si>
    <t>22189</t>
  </si>
  <si>
    <t>TOAJ821101GV3</t>
  </si>
  <si>
    <t>JAIME TORRES ADAME (FERRETERIA ALTAVISTA)</t>
  </si>
  <si>
    <t>CUCHARA PARA ALBAÑIL</t>
  </si>
  <si>
    <t>CUCHARA 9 PRETUL</t>
  </si>
  <si>
    <t>VOLTEADOR ALUMINIO (2PZS)</t>
  </si>
  <si>
    <t>AB-399</t>
  </si>
  <si>
    <t>PILA COMPLETA TIPO COSTA ADICIONAL (NTAM-162 BIS)</t>
  </si>
  <si>
    <t>Relleno y compactacion con material de banco, compactado al 95% Proctor por medios mecánicos en capas no mayores a 20 cm, Incluye: materiales, pruebas de compactacion por medio de laboratorio, mano de obra, herramienta y equipo. (PARA SISTEMA DE TIERRAS)</t>
  </si>
  <si>
    <t>Carga y retiro de material sobrante producto de la excavacion en camiones de volteo, Incluye: mano de obra, herramientas , materiales, acarreos, maquinarias  y equipo de seguridad. (Medido compacto) PARA PMI,</t>
  </si>
  <si>
    <t>Excavación por medios mecanicos para formación de pozos   para pila de cimentacion de ST, medido en banco de  0.65 m de diametro x 1,20 m de profundidad, incluye: maquinaria, extracción, afine de taludes y fondo, herramienta y mano de obra.</t>
  </si>
  <si>
    <t>Carga y retiro de material sobrante producto de la excavacion en camiones de volteo, Incluye: mano de obra, herramientas , materiales, acarreos, maquinarias  y equipo de seguridad. (Medido compacto), PARA SISTEMA DE TIERRAS</t>
  </si>
  <si>
    <t>Reposicion de banqueta de concreto en area de cimentacion de pila, incluye: demolicion, y reposicion de banqueta de concreto,acabado similar al existente,  material, mano de obra, herramienta y todo lo necesario para su correcta ejecusion. (SOLO CUANDO SEA NECESARIO )</t>
  </si>
  <si>
    <t>Excavación en material tipo C mediante rotomartillo manual de 30kg , para formación de pozos para pila de cimentacion de PMI, medido en banco de 0.75 m de diametro x 2,50 m de
profundidad, incluye: maquinaria, extracción, afine de taludes y fondo, herramienta y mano de obra. P.U.O.T. POR M3 BAJO ESTA CONDICIÓN</t>
  </si>
  <si>
    <t>Excavación en material tipo C mediante uso de maquinaria pesada (Retroexcavadora mixta con Martillo hidráulico) , para formación de pozos para pila de cimentacion de PMI, medido en
banco de 0.75 m de diametro x 2,50 m de profundidad, incluye: maquinaria, extracción, afine de taludes y fondo, herramienta y mano de obra. P.U.O.T. POR M3 BAJO ESTA CONDICIÓN</t>
  </si>
  <si>
    <t>pza</t>
  </si>
  <si>
    <t>SHELTER JIQUILPAN</t>
  </si>
  <si>
    <t>MICHOACAN ESTATAL MULTIANUAL 2023-2027</t>
  </si>
  <si>
    <t>Shelter Cerro Pelón.</t>
  </si>
  <si>
    <t>AB-408</t>
  </si>
  <si>
    <t>SEPTIEMBRE. 2025</t>
  </si>
  <si>
    <t>AB-409</t>
  </si>
  <si>
    <t>AB-410</t>
  </si>
  <si>
    <t>AB-416</t>
  </si>
  <si>
    <t>4AC57A15-815E-487D-A4E7-501CDD0C409F</t>
  </si>
  <si>
    <t>A 2045</t>
  </si>
  <si>
    <t>SAAJ750519RXA</t>
  </si>
  <si>
    <t>JOEL SALINAS DE ANDA</t>
  </si>
  <si>
    <t>ARENA VICTORIA</t>
  </si>
  <si>
    <t>GRAVA VICTORIA</t>
  </si>
  <si>
    <t>CEMENTO 25kg CRUZ AZUL</t>
  </si>
  <si>
    <t>353D2506-6E6A-490F-B0B9-CA567448CD77</t>
  </si>
  <si>
    <t>NABNC - 2936</t>
  </si>
  <si>
    <t>GAS000626J26</t>
  </si>
  <si>
    <t xml:space="preserve"> 4886F397‐D6B3‐4258‐B8EE-F3A1640FEB6F</t>
  </si>
  <si>
    <t>‐ 53262</t>
  </si>
  <si>
    <t>GOAF570301UH5</t>
  </si>
  <si>
    <t>MARIA FELIX GONZALEZ ALARCON</t>
  </si>
  <si>
    <t>SERVILLETAS PARA LIMPIEZA.( AZULES.)</t>
  </si>
  <si>
    <t>LLAVE COMBINADA STD 1/2" SANVER</t>
  </si>
  <si>
    <t>LLAVE COMBINADA METRICA 17 MM. TRUPER</t>
  </si>
  <si>
    <t>LLAVE COMBINADA MILIMETRICA 18 MM. TRUPER</t>
  </si>
  <si>
    <t>LLAVE COMBINADA METRICA 19 MM. TRUPER</t>
  </si>
  <si>
    <t>MANGO ARTICULADO 3/8 X 7‐1/2" M‐3865 TRUPER</t>
  </si>
  <si>
    <t>MANGO ARTICULADO DE 1/2" 17"X17MM. M‐1268 TRUPER</t>
  </si>
  <si>
    <t>2B7A3CD3-B7D8-41D6-A074-E31A9CD753E9</t>
  </si>
  <si>
    <t>2B7A3CD3</t>
  </si>
  <si>
    <t>HOSPEDAJE - HOSPEDAJE DEL DIA 20 DE OCTUBRE DEL 2025</t>
  </si>
  <si>
    <t>HOSPEDAJE - HOSPEDAJE DEL DIA 21 DE OCTUBRE DEL 2025</t>
  </si>
  <si>
    <t>HOSPEDAJE - HOSPEDAJE DEL DIA 22 DE OCTUBRE DEL 2025</t>
  </si>
  <si>
    <t>6470B87C-ACAB-4BFF-9A51-8D924C471CF1</t>
  </si>
  <si>
    <t>6470B87C</t>
  </si>
  <si>
    <t>1EA53AB2-8C44-4D41-8D87-A4D515622CFF</t>
  </si>
  <si>
    <t>1EA53AB2</t>
  </si>
  <si>
    <t>REYNOSA. TELESECUNDARIA CARLOS TREVIÑO RDZ</t>
  </si>
  <si>
    <t>MATAMOROS. ESCUELA SECUNDARIA TÉCNICA 77</t>
  </si>
  <si>
    <t>REYNOSA. ESCUELA PRIMARIA ANDRÉS QUINTANA ROO</t>
  </si>
  <si>
    <t>PUERTA DE ACCESO REYNOSA - NUEVO LEÓN</t>
  </si>
  <si>
    <t>PUERTA DE ACCESO NUEVO LAREDO - NUEVO LEÓN</t>
  </si>
  <si>
    <t>PUERTA DE ACCESO VILLAGRÁN - NUEVO LEÓN</t>
  </si>
  <si>
    <t>PUERTA DE ACCESO TULA - SAN LUIS</t>
  </si>
  <si>
    <t>URUAPAN. UNIDAD DEPORTIVA HMNOS. LÓPEZ RAYÓN.</t>
  </si>
  <si>
    <t>3B3BF6E6-2444-488B-AC08-4D0AF05537BF</t>
  </si>
  <si>
    <t>FE 43944</t>
  </si>
  <si>
    <t>ABV030508U19</t>
  </si>
  <si>
    <t>ACEROS BALLESTEROS DE VALLE HERMOSO</t>
  </si>
  <si>
    <t>SOLERA 1/8 X 4"</t>
  </si>
  <si>
    <t>35C9E609-2DA2-410A-AB1C-768818C90EDD</t>
  </si>
  <si>
    <t>FG 0021076</t>
  </si>
  <si>
    <t>GORR760808DH4</t>
  </si>
  <si>
    <t>"INTERGAS" RAMIRO ALFREDO GONZALEZ RAMIREZ</t>
  </si>
  <si>
    <t>DA80039F-58C9-48C7-821D-49F8604C0A84</t>
  </si>
  <si>
    <t>CON 1224</t>
  </si>
  <si>
    <t>MOTJ530615RZ5</t>
  </si>
  <si>
    <t>JUANA MONTALVO TREJO</t>
  </si>
  <si>
    <t>PINTURA ESMALTE PLASTIMEX "19" LITRO (NEGRO)</t>
  </si>
  <si>
    <t>PINTURA ESMALTE PLASTIMEX "4" LITRO</t>
  </si>
  <si>
    <t>CLAVO COMUN PARA MADERA "2"</t>
  </si>
  <si>
    <t>PINTURA ESMALTE DOAL (ANTICORROSIVO) "4" LITRO</t>
  </si>
  <si>
    <t>THINNER ESTANDAR "LITRO CON ENVASE"</t>
  </si>
  <si>
    <t>COMBUSTIBLE - Gasolina regular menor a 91 octanos REGULAR</t>
  </si>
  <si>
    <t>COMBUSTIBLE - Combustible diesel Diesel</t>
  </si>
  <si>
    <t>EA172CBD‐1CDA‐46E2‐905E‐9554669ECDE5</t>
  </si>
  <si>
    <t>FA ‐ 26201</t>
  </si>
  <si>
    <t>PIRD7308053S7</t>
  </si>
  <si>
    <t>DORA ALICIA PIMENTEL ROCHA</t>
  </si>
  <si>
    <t>SOLDADURA KG SOLDADURA 6013 KG SOLDADURA 6013</t>
  </si>
  <si>
    <t>NAVAJAS VARIAS NAVAJA CHIRROQUERA NAVAJA CHIRROQUERA</t>
  </si>
  <si>
    <t>COMBUSTIBLES</t>
  </si>
  <si>
    <t>GASOLINA</t>
  </si>
  <si>
    <t>PEAJES</t>
  </si>
  <si>
    <t>PROVEEDORES</t>
  </si>
  <si>
    <t>LLANTAS</t>
  </si>
  <si>
    <t>EQUIPO</t>
  </si>
  <si>
    <t>ESTEREO</t>
  </si>
  <si>
    <t>EXCAVACIÓN</t>
  </si>
  <si>
    <t>COMBURSTIBLES</t>
  </si>
  <si>
    <t>MATERIAL CONSTRUCCIÓN</t>
  </si>
  <si>
    <t>CAMPAMENTO</t>
  </si>
  <si>
    <t>GESTIÓN OBRA</t>
  </si>
  <si>
    <t>COCINA</t>
  </si>
  <si>
    <t>FIERREROS</t>
  </si>
  <si>
    <t>NOMINA ADMON</t>
  </si>
  <si>
    <t>HOSPEDAJE</t>
  </si>
  <si>
    <t>DIESEL</t>
  </si>
  <si>
    <t>MAQUINARIA PEQUEÑA</t>
  </si>
  <si>
    <t>LABORATORIO</t>
  </si>
  <si>
    <t>CONCRETO</t>
  </si>
  <si>
    <t>DESESCOMBRO</t>
  </si>
  <si>
    <t>INFLALLANTAS</t>
  </si>
  <si>
    <t>TORNO</t>
  </si>
  <si>
    <t>E40A51C4‐458B‐4F78‐BD64‐0E934B18E245</t>
  </si>
  <si>
    <t>FA ‐ 26212</t>
  </si>
  <si>
    <t>MATERIAL DE FERRETERIA Y ACCESORIOS CINTA PRECAUCION CINTA PRECAUCION</t>
  </si>
  <si>
    <t>MARTILLO, MAZO MARRO/MAZO 4LBS MARRO/MAZO 4LBS</t>
  </si>
  <si>
    <t>CLAVO CLAVO COMUN 3" #10 KILO CLAVO COMUN 3" #10 KILO</t>
  </si>
  <si>
    <t>CLAVO CLAVO COMUN 4" #20 KILO CLAVO COMUN 4" #20 KILO</t>
  </si>
  <si>
    <t>MATERIAL DE FERRETERIA Y ACCESORIOS FLEXOMETRO 8M FLEXOMETRO 8M</t>
  </si>
  <si>
    <t>6BC90109-323C-5194-8817-7FCAF6B29A50</t>
  </si>
  <si>
    <t>SPGZF - 13844</t>
  </si>
  <si>
    <t>DFFB563A-9712-59FD-99EB-CB86395EDADD</t>
  </si>
  <si>
    <t>SPGFM - 36729</t>
  </si>
  <si>
    <t>bda12255-345d-4c37-a867-69298547544e</t>
  </si>
  <si>
    <t>4KHFDDI4701</t>
  </si>
  <si>
    <t>MALLA DECONSTRUCCIONPERIMETRAL 30</t>
  </si>
  <si>
    <t>PILAS TIPO CIUDAD (OC. SYM25111356)</t>
  </si>
  <si>
    <t>PILAS TIPO COSTA (OC. SYM25111356)</t>
  </si>
  <si>
    <t>5D332616-0781-407D-941C-9B9D2C51DFAA</t>
  </si>
  <si>
    <t>00007006 660129</t>
  </si>
  <si>
    <t>712 306 TUERCAS</t>
  </si>
  <si>
    <t>13BDAEDD-BF12-11F0-9C1B-3F69292D2F41</t>
  </si>
  <si>
    <t>438386</t>
  </si>
  <si>
    <t>CONCRETO DR FC 250 KG/CM2 TM3/4 R10</t>
  </si>
  <si>
    <t>5b3ce4d1-7db8-4a72-b20b-88710e029c16</t>
  </si>
  <si>
    <t>FA 2519499</t>
  </si>
  <si>
    <t>89f515d8-7ebe-4d0d-b3d3-00fcd9e570b4</t>
  </si>
  <si>
    <t>FA 2519501</t>
  </si>
  <si>
    <t>1FA78DB9-B31B-E34A-8EFA-4CD0F1DF2D01</t>
  </si>
  <si>
    <t>FD99906</t>
  </si>
  <si>
    <t>FRENOS Y SUSPENSIONES RODRIGUEZ, S.A. DE C.V.</t>
  </si>
  <si>
    <t>FSR980609520</t>
  </si>
  <si>
    <t>BIRLO RUEDA 12*1.50 R LONG. 43.48MM</t>
  </si>
  <si>
    <t>TOR HEX G5 NEG STD NC 3/8-16*6</t>
  </si>
  <si>
    <t>TUERCA HEX INSERTONYLON STD NC 3/8-16</t>
  </si>
  <si>
    <t>RONDANA PLANA GALVANIZADA 3/8</t>
  </si>
  <si>
    <t>b4611458-242b-4817-ab37-cd2829e66409</t>
  </si>
  <si>
    <t>4KHFDDI5895</t>
  </si>
  <si>
    <t>HDM001017AS1 8644-MATAMOROS</t>
  </si>
  <si>
    <t>HOME DEPOT MEXICO SUCURSAL 8644-MATAMOROS</t>
  </si>
  <si>
    <t>CURVACONDUIT90R-0(LIGERA)38MM</t>
  </si>
  <si>
    <t>CURVACONDUIT90R-1(PESADA)25MM</t>
  </si>
  <si>
    <t>TUBOCONDUITLIGEROROABOCDE38MM</t>
  </si>
  <si>
    <t>TUBOCONDUITPESADOR1DE25MM(1"</t>
  </si>
  <si>
    <t>GUANTEDEALGODONCONPALMADELATE</t>
  </si>
  <si>
    <t>CEMENTOCONTACTPVC32OZ947MLTR</t>
  </si>
  <si>
    <t>CINTAPARADUCTOS48X5093-T</t>
  </si>
  <si>
    <t>a38fbf81-ace3-4bbd-8d41-8ec04a1021ff</t>
  </si>
  <si>
    <t>4KHFDDI5896</t>
  </si>
  <si>
    <t>230f5fec-da24-4cc0-beaf-7084fae3bd33</t>
  </si>
  <si>
    <t>4KHFDDI6340</t>
  </si>
  <si>
    <t>REPUESTOHOJAESPECIALP/ALFOMBRAS</t>
  </si>
  <si>
    <t>REPUESTOD/CUCHILLASP/NAVAJANM5</t>
  </si>
  <si>
    <t>FLEXOMETROMILWAUKEE8M/26</t>
  </si>
  <si>
    <t>LINTERNARECARGABLECONLUZEMERGEN</t>
  </si>
  <si>
    <t>PANELMDF3MM1.22X2.44</t>
  </si>
  <si>
    <t>6740b606-5870-4bb2-9025-2138f1595e0e</t>
  </si>
  <si>
    <t>4KHFDDI6859</t>
  </si>
  <si>
    <t>TUBOPESADOABOCINADODE38MM(11</t>
  </si>
  <si>
    <t>CEMENTOCONTACTPVC16OZ474MLAZ</t>
  </si>
  <si>
    <t>45104601-1A98-416A-A71E-E59B4B1C8D75</t>
  </si>
  <si>
    <t>538</t>
  </si>
  <si>
    <t>MAJG740409PF7</t>
  </si>
  <si>
    <t>GUADALUPE MALDONADO JUAREZ "GRUPO FERRETERA SANCHEZ"</t>
  </si>
  <si>
    <t>Tuerca Std De 1/4</t>
  </si>
  <si>
    <t>Rondana De Precion 5/32</t>
  </si>
  <si>
    <t>tornillos 3/16' x 1' tipo estufa, Fiero</t>
  </si>
  <si>
    <t>manguera Industrial De 1 Por Mto., Truper</t>
  </si>
  <si>
    <t>abrazaderas sin fin reforzadas # 12, 5/8 - 1-1/4 Pza</t>
  </si>
  <si>
    <t>bomba sumergible para agua sucia 1-1/2hp ,santul</t>
  </si>
  <si>
    <t>DD7E84A3-B90C-4F0D-B690-02FBABF677F3</t>
  </si>
  <si>
    <t>OMB1 559270</t>
  </si>
  <si>
    <t>6F6227EE‐7ADB‐40AF‐84AD‐FC7323139000</t>
  </si>
  <si>
    <t>8272</t>
  </si>
  <si>
    <t>COR130809L55</t>
  </si>
  <si>
    <t>COREFAMEX (CONCRETOS)</t>
  </si>
  <si>
    <t>CONCRETO FC=250 KG/CM2 SERVICIO DE CONCRETO HIDRAULICO TD O‐4526</t>
  </si>
  <si>
    <t>2e1f3f76-f7b2-4684-ad55-3fdf578e124b</t>
  </si>
  <si>
    <t>4KHFDDI7596</t>
  </si>
  <si>
    <t>F3B8FBD2-911D-561B-91FA-21B863FC5050</t>
  </si>
  <si>
    <t>F -1392160845704</t>
  </si>
  <si>
    <t>VUELOS - TRANSPORTACION AEREA</t>
  </si>
  <si>
    <t>B227C09E-C55F-11F0-B7D7-2109DB539718</t>
  </si>
  <si>
    <t>438492</t>
  </si>
  <si>
    <t>CONCRETO DR FC250 TMA 3/4 R14</t>
  </si>
  <si>
    <t>528E3E1C-F9E9-4F78-9171-5EBF291E61BB</t>
  </si>
  <si>
    <t>AXG 2724669</t>
  </si>
  <si>
    <t>CME910715UB9</t>
  </si>
  <si>
    <t>COSTCO DE MEXICO</t>
  </si>
  <si>
    <t>ACTIVO - GENERADOR PREMIUM MODELO GP3600 GENERAC</t>
  </si>
  <si>
    <t>45F13F8D-D275-4ECD-88D4-8BC3405832C9</t>
  </si>
  <si>
    <t>AXG 2724675</t>
  </si>
  <si>
    <t>CABLE DE SUJECIÓN CON MATRACA 8.2M X 5CM EVEREST</t>
  </si>
  <si>
    <t>TOALLITAS DESECHABLES 640 PIEZAS KIRKLAND SIGNATURE</t>
  </si>
  <si>
    <t>PAPEL HIGIÉNICO 30/380 HOJAS KIRKLAND SIGNATURE</t>
  </si>
  <si>
    <t>JABÓN LÍQUIDO PARA MANOS, 2/2 LTS. HOUSE &amp; BEAUTY CARE</t>
  </si>
  <si>
    <t>LIMPIADOR MULTIUSOS 9 L PINOL REPELENTE</t>
  </si>
  <si>
    <t>BOLSAS PARA BASURA 500/37.8 L KIRKLAND SIGNATURE</t>
  </si>
  <si>
    <t>259FFF93-0993-4291-B0B7-64B2CEE7B3DA</t>
  </si>
  <si>
    <t>AXG 2725121</t>
  </si>
  <si>
    <t>AGUA MINERAL 12/192 ML TOPOCHICO</t>
  </si>
  <si>
    <t>HERRAMIENTAS 242 PIEZAS DEWALT SET DE</t>
  </si>
  <si>
    <t>PARA HERRAMIENTAS DE 45 L DEWALT CAJA RODANTE</t>
  </si>
  <si>
    <t xml:space="preserve">CONCRETO </t>
  </si>
  <si>
    <t>SIN FACTURA</t>
  </si>
  <si>
    <t>DATO OBTENIDO DE CORREO ELECTRONICO ENVIADO POR JOSE POZOS 19 de noviembre de 2025 12:50 p. m.</t>
  </si>
  <si>
    <t>5B895C13-7C9A-4058-B151-6DCAE7AB5A2A</t>
  </si>
  <si>
    <t>1215</t>
  </si>
  <si>
    <t>AAVA820219GK4</t>
  </si>
  <si>
    <t>ATENOGENES URIEL ARAUJO VALENZUELA</t>
  </si>
  <si>
    <t>HOSPEDAJE - DIA DE HOSPEDAJE</t>
  </si>
  <si>
    <t>5E6E62AD-9561-45D9-BD8B-015BC38A2B71</t>
  </si>
  <si>
    <t>IBAZ-99</t>
  </si>
  <si>
    <t>AAZI710217438</t>
  </si>
  <si>
    <t>IRMA BEATRIZ ALVAREZ ZAMACONA</t>
  </si>
  <si>
    <t>Tabla 1 X 10 X 8</t>
  </si>
  <si>
    <t>Corte De Madera</t>
  </si>
  <si>
    <t>Polín 4 X 4 X 10</t>
  </si>
  <si>
    <t>Tablón 2 X 2 X 10</t>
  </si>
  <si>
    <t>Tablón 2 X 4 X 10</t>
  </si>
  <si>
    <t>D0ABC5F5-3124-4945-BDB9-1EBB2F051EA5</t>
  </si>
  <si>
    <t>IBAZ-110</t>
  </si>
  <si>
    <t>A67F887A-1C97-4FF7-A8B3-DBE1EE87A163</t>
  </si>
  <si>
    <t>66901114672425</t>
  </si>
  <si>
    <t>AER990218E83</t>
  </si>
  <si>
    <t>AEROCOMIDAS</t>
  </si>
  <si>
    <t>89598944-D32B-5832-B0F2-9004E91F40C5</t>
  </si>
  <si>
    <t>F -1392161439473</t>
  </si>
  <si>
    <t>058b5498-273e-41e3-8557-d9053cd06f73</t>
  </si>
  <si>
    <t>TAAF-383971</t>
  </si>
  <si>
    <t>APM8805092U9</t>
  </si>
  <si>
    <t>APYMSA</t>
  </si>
  <si>
    <t>INTERRUPTOR PALANCA 2TERMINALES METALICO ARROW 82600</t>
  </si>
  <si>
    <t>F8AA0192-554B-4FA9-83F2-7D8566E7CB3E</t>
  </si>
  <si>
    <t>556</t>
  </si>
  <si>
    <t>BAFN871120455</t>
  </si>
  <si>
    <t>NANCY BERENICE BASILIO FIGUEROA</t>
  </si>
  <si>
    <t>DISCO P/CORTE METAL</t>
  </si>
  <si>
    <t>DISCO P/CORTE PIEDRA</t>
  </si>
  <si>
    <t>45117480-FE22-4341-AF28-41E7F2A3ED04</t>
  </si>
  <si>
    <t>F3768</t>
  </si>
  <si>
    <t>CACM9903271E1</t>
  </si>
  <si>
    <t>JOSE MATIAS CASTRO CEPEDA</t>
  </si>
  <si>
    <t>TUBO CONDUIT PVC VERDE 032 MM 1-1/4</t>
  </si>
  <si>
    <t>CODO CONDUIT PVC 032MM 1-1/4" PESADO</t>
  </si>
  <si>
    <t>TUBO CONDUIT PVC VERDE 025mm 1" PESADO</t>
  </si>
  <si>
    <t>ee29d9ea-5be2-449a-83b5-568cd6b051ff</t>
  </si>
  <si>
    <t>J4942</t>
  </si>
  <si>
    <t>12BA24E2-CA52-4AAC-9DBD-80E3888CE3B7</t>
  </si>
  <si>
    <t>F474</t>
  </si>
  <si>
    <t>CCA9401243W1</t>
  </si>
  <si>
    <t>COMERCIAL CASTRO</t>
  </si>
  <si>
    <t>Arena Azul No 5 Metro</t>
  </si>
  <si>
    <t>Grava Azul Triturada Metro</t>
  </si>
  <si>
    <t>Cemento Gris Portland Mty 25Kg.</t>
  </si>
  <si>
    <t>( G )GRAVA 3/4</t>
  </si>
  <si>
    <t>( G )ARENA 4.5</t>
  </si>
  <si>
    <t>( G )CEMENTO MONTERREY 25KG</t>
  </si>
  <si>
    <t>( G )ALAMBRE RECOCIDO 0 0</t>
  </si>
  <si>
    <t>0C60294B-BB8A-4CED-B0FF-A594E06964DC</t>
  </si>
  <si>
    <t>F509</t>
  </si>
  <si>
    <t>c700eb4d-fb60-4fe6-b8f3-753504312b71</t>
  </si>
  <si>
    <t>1543497251215181808800</t>
  </si>
  <si>
    <t>RANCHERITOS 58GR</t>
  </si>
  <si>
    <t>FRITOS CHORIZO 70GR</t>
  </si>
  <si>
    <t>CHOCOLATE HERSHEYS ALMENDRAS 38 GR BARRA</t>
  </si>
  <si>
    <t>REESES NUT BAR 47GR</t>
  </si>
  <si>
    <t>REFRESCO COCACOLA 500 ML BOTELLA VIDRIO NO RETORNABLE COLA</t>
  </si>
  <si>
    <t>D5F2E240-5DE5-4DD5-BB49-98BD5EE29FCE</t>
  </si>
  <si>
    <t xml:space="preserve"> D5F2E240</t>
  </si>
  <si>
    <t>CEVR9508056R2</t>
  </si>
  <si>
    <t>RODRIGOALFONSOCRESPOVILLARREAL</t>
  </si>
  <si>
    <t>HOSPEDAJE -   SERVICIO POR HOSPEDAJE</t>
  </si>
  <si>
    <t>90287fc1-4c99-4db9-8085-934c4b7df38b</t>
  </si>
  <si>
    <t>SL-2848622</t>
  </si>
  <si>
    <t>CIB110415R65</t>
  </si>
  <si>
    <t>CONCESIONARIA DE 
INFRAESTRUCTURA DEL 
BAJIO</t>
  </si>
  <si>
    <t>Ramal - Peaje A Automóvil y Pick-Up 4300008275</t>
  </si>
  <si>
    <t>3566F6D6-7202-528F-ACC8-C169977EFFBE</t>
  </si>
  <si>
    <t>Primario 1219</t>
  </si>
  <si>
    <t>PPD - Pago en parcialidades o diferido</t>
  </si>
  <si>
    <t>CME831230QW3</t>
  </si>
  <si>
    <t>CONSULTORA MEXICANA SA DE CV</t>
  </si>
  <si>
    <t>LEASING DE VEHICULOS SEDAN CUPE O CAMIONETA</t>
  </si>
  <si>
    <t>GASTOS DE ADMINISTRACION</t>
  </si>
  <si>
    <t>ASISTENCIA LEGAL</t>
  </si>
  <si>
    <t>LLANTAS PARA AUTOMOVILES O CAMIONETAS</t>
  </si>
  <si>
    <t>USO DE SISTEMA GPS</t>
  </si>
  <si>
    <t>GASTOS DE COBRANZA</t>
  </si>
  <si>
    <t>SERVICIOS DE AGENDA PARA MANTENIMIENTO Y REPARACION DE VEHICULOS</t>
  </si>
  <si>
    <t>8282FDEC-33B4-4BA3-9D92-369094E30518</t>
  </si>
  <si>
    <t>AXG  2775176</t>
  </si>
  <si>
    <t>TANQUE PARA GASOLINA 20L SCEPTER</t>
  </si>
  <si>
    <t>GENERADOR PREMIUM MODELO GP3600 GENERAC</t>
  </si>
  <si>
    <t>DDB16885-BDC8-41E1-A394-D28A8235C1DD</t>
  </si>
  <si>
    <t>C0000000381</t>
  </si>
  <si>
    <t>COS130412F47</t>
  </si>
  <si>
    <t>COSTALYM</t>
  </si>
  <si>
    <t>Costal de Rafia Blanco de 50x80 cms.</t>
  </si>
  <si>
    <t>Servicio</t>
  </si>
  <si>
    <t>EBA3B86F-E03E-4163-892C-97DC26313C01</t>
  </si>
  <si>
    <t>SSUBBL44663</t>
  </si>
  <si>
    <t>BB76A6C9-BE58-11F0-89C7-EDDC19249DDD</t>
  </si>
  <si>
    <t>438359</t>
  </si>
  <si>
    <t>FB193FAD-C4A1-11F0-87ED-4D5138C1F68C</t>
  </si>
  <si>
    <t>438454</t>
  </si>
  <si>
    <t>63619930-C95C-11F0-9707-47658C260FFA</t>
  </si>
  <si>
    <t>438543</t>
  </si>
  <si>
    <t>31463792-4103-4979-BFD4-B588D0EA988D</t>
  </si>
  <si>
    <t>X4W - 123946</t>
  </si>
  <si>
    <t>DD88A886-5A10-4A49-92D8-CCBC7C6BF5A4</t>
  </si>
  <si>
    <t>X4W - 123942</t>
  </si>
  <si>
    <t>08EC501E-580F-4C9F-B176-354016B94CE9</t>
  </si>
  <si>
    <t>JIMC - 27744</t>
  </si>
  <si>
    <t>8bb06767-0798-49c2-ade7-cacd0d50332d</t>
  </si>
  <si>
    <t>FA2513831</t>
  </si>
  <si>
    <t>SEGUROS - PRIMA NETA</t>
  </si>
  <si>
    <t>SEGUROS - GASTOS</t>
  </si>
  <si>
    <t>SEGUROS - DERECHOS</t>
  </si>
  <si>
    <t>66158359-248e-48e1-98cf-eb62b6d62c64</t>
  </si>
  <si>
    <t>FA2526678</t>
  </si>
  <si>
    <t>134dbd1a-2f3c-47bb-9af9-ad558f25c07b</t>
  </si>
  <si>
    <t>FA2526685</t>
  </si>
  <si>
    <t>1594C0A4-8A75-4E5E-ABF5-731AFEA1E0B8</t>
  </si>
  <si>
    <t>A-2452</t>
  </si>
  <si>
    <t>HIDROCARBUROS ORMA</t>
  </si>
  <si>
    <t>HOR200120PA3</t>
  </si>
  <si>
    <t>56aec3de-e46c-4a73-85fe-6f3441da67ae</t>
  </si>
  <si>
    <t>FA2513830</t>
  </si>
  <si>
    <t>6984a552-a6d7-4432-93bd-e2963ed851d3</t>
  </si>
  <si>
    <t>Z - 2630555</t>
  </si>
  <si>
    <t>GPR911122D69</t>
  </si>
  <si>
    <t>GRUPO PROFREZAC</t>
  </si>
  <si>
    <t>SERVICIOPEAJE AUTOMOVIL</t>
  </si>
  <si>
    <t>42b283b9-9af5-4229-a149-800f75fc688c</t>
  </si>
  <si>
    <t>4KHGCJI23705</t>
  </si>
  <si>
    <t>CLAVO21/2PARAMADERA10KG</t>
  </si>
  <si>
    <t>CLAVO4"PARAMADERA10kg</t>
  </si>
  <si>
    <t>BOLSACON1KGDEELECTRODOS7018D</t>
  </si>
  <si>
    <t>BOLSACON1KGDEELECTRODOS6013D</t>
  </si>
  <si>
    <t>DISCODELGADOCORTEMETAL4.5X0.040</t>
  </si>
  <si>
    <t>DISCOCORTEMETALSP4-1/2X.040E</t>
  </si>
  <si>
    <t>DISCOABRASIVO4-1/2"X.040X7/8"</t>
  </si>
  <si>
    <t>813DISCODIAM4"CERAMICA/PORCELANAT</t>
  </si>
  <si>
    <t>DISCODIAM.ECOFORUNIVERSALSEGME</t>
  </si>
  <si>
    <t>VOLTEADORDEALUMINIOVOLT</t>
  </si>
  <si>
    <t>GUANTENAPAL</t>
  </si>
  <si>
    <t>CINCELCORTEFRIOC-1X12</t>
  </si>
  <si>
    <t>FH-5MFLEXOMETRO</t>
  </si>
  <si>
    <t>LENTESDESEGURIDADAMARILLOCONAN</t>
  </si>
  <si>
    <t>LENTEDESEGURIDADNEOAMBAR</t>
  </si>
  <si>
    <t>MARROTRUPERDE4LBSMD-4M</t>
  </si>
  <si>
    <t>PINZASDEELECTRICISTAPROF9T201</t>
  </si>
  <si>
    <t>MARTILLOTIPOCALIFORNIADE25OZ</t>
  </si>
  <si>
    <t>BARRETAHEXPUNTA1X1.75MT</t>
  </si>
  <si>
    <t>NIVELTORPEDOPROFESIONAL9NTX-9</t>
  </si>
  <si>
    <t>36aba962-6270-42db-9e6a-e6620b9e91da</t>
  </si>
  <si>
    <t>4KHGCJI23707</t>
  </si>
  <si>
    <t>CARETAPARASOLDARELECTRONICAELIT</t>
  </si>
  <si>
    <t>SOLDADORINVERSORELITERARC220S</t>
  </si>
  <si>
    <t>SIERRACIRCULARPROFESIONAL7-1/41</t>
  </si>
  <si>
    <t>33f21663-dfa9-436e-bee9-f24ad52a7857</t>
  </si>
  <si>
    <t>4KHGEFI2516</t>
  </si>
  <si>
    <t>EXT USORUDO3X125MUMBRELLANEGRA</t>
  </si>
  <si>
    <t>699c4c67-41f5-474f-8f04-1a2eea101b0f</t>
  </si>
  <si>
    <t>4KHGEGI10909</t>
  </si>
  <si>
    <t>PLASTICODECONSTRUCCION6MX15M</t>
  </si>
  <si>
    <t>CURVACONDUIT90R-1(PESADA)38MM</t>
  </si>
  <si>
    <t>5c389549-db21-4156-855a-72e7677050a9</t>
  </si>
  <si>
    <t>4KHGCJI26677</t>
  </si>
  <si>
    <t>CAVADORA ART. MANGO MADERA 120 CM</t>
  </si>
  <si>
    <t>CAVADOR JARDINERO TRUPER MGO RNDO</t>
  </si>
  <si>
    <t>16cdd8ee-6a10-473d-bd9e-73e58c034fc3</t>
  </si>
  <si>
    <t>4KHGEFI3387</t>
  </si>
  <si>
    <t>CURVACONDUIT90R-1(PESADA)32MM</t>
  </si>
  <si>
    <t>ARCOTRUPERPROFESIONALTUBULAR</t>
  </si>
  <si>
    <t>CEMENTOCONTACTPVC4OZ125MLTRA</t>
  </si>
  <si>
    <t>713d98ad-b16a-4cf5-a74f-0f8d4d34b86e</t>
  </si>
  <si>
    <t>4KHGEFI3388</t>
  </si>
  <si>
    <t>HOME DEPOT MEXICO SUCURSAL 8756- ALTAMIRA</t>
  </si>
  <si>
    <t>HDM001017AS1 8756- ALTAMIRA</t>
  </si>
  <si>
    <t>HOME DEPOT MEXICO SUCURSAL 8757-CD.VICTORIA</t>
  </si>
  <si>
    <t>HDM001017AS1 SUCURSAL 8757-CD.VICTORIA</t>
  </si>
  <si>
    <t>439a921f-121d-4273-8787-b061f66087de</t>
  </si>
  <si>
    <t>4KHGEFI3654</t>
  </si>
  <si>
    <t>DISCOCORTEMET/INOXSPT414-1/2X3</t>
  </si>
  <si>
    <t>0fd06f23-50f2-4bd3-908f-c78b7057730</t>
  </si>
  <si>
    <t>4KHGCJI26676</t>
  </si>
  <si>
    <t>CUERDAHUECAPOLIAMARILLA1/4"(78</t>
  </si>
  <si>
    <t>CINTADELIMITADORAPRECAUCION3"X30</t>
  </si>
  <si>
    <t>CUBETANARANJA"HOMERBUCKET"7.5L</t>
  </si>
  <si>
    <t>CASCOCABELDEPROTECCIONAMARILLO</t>
  </si>
  <si>
    <t>EXTENSIÓNUSORUDO2X166m</t>
  </si>
  <si>
    <t>NAVAJATRUPERALMAMET6CUT-6X</t>
  </si>
  <si>
    <t>CASCOCABELDEPROTECCIONBLANCO</t>
  </si>
  <si>
    <t>NIVELTRUPER243GOTAC/TRN</t>
  </si>
  <si>
    <t>CONOREFORZADODE45CMS</t>
  </si>
  <si>
    <t>PALAREDONDAMGOMADERA28HOMEDEP</t>
  </si>
  <si>
    <t>PALA CAJUELERA REDONDAMANGOMADE</t>
  </si>
  <si>
    <t>MARRODE8LBSCONCABOMD-8M</t>
  </si>
  <si>
    <t>BARRETA HEXPUNTA1X1.75MT</t>
  </si>
  <si>
    <t>bd8b1bdd-7924-4132-9bb1-744fbfeee663</t>
  </si>
  <si>
    <t>4KHGCJI28055</t>
  </si>
  <si>
    <t>CEMENTOCONTACTPVC32OZ947MLAZ</t>
  </si>
  <si>
    <t>AROMATIZANTECOOLGELNEWCAR</t>
  </si>
  <si>
    <t>FH-8MFLEXOMETRO</t>
  </si>
  <si>
    <t>MALLADECONSTRUCCIONPERIMETRAL30</t>
  </si>
  <si>
    <t>62B0B2AB-F692-11EF-BA91-00155D014009</t>
  </si>
  <si>
    <t>62B0B2AB</t>
  </si>
  <si>
    <t>ISD950921HE5</t>
  </si>
  <si>
    <t>PASE, SERVICIOS ELECTRONICOS</t>
  </si>
  <si>
    <t>2FAB9CBC-9AF3-4E7B-860A-0952C353E4B4</t>
  </si>
  <si>
    <t>2FAB9CBC</t>
  </si>
  <si>
    <t>F7EDD394-F6D5-11EF-99FC-00155D012007</t>
  </si>
  <si>
    <t>F7EDD394</t>
  </si>
  <si>
    <t>DCC9C72C-0FAF-11F0-A4D0-00155D014009</t>
  </si>
  <si>
    <t>DCC9C72C</t>
  </si>
  <si>
    <t>9B73F590-26FB-11F0-8465-00155D014009</t>
  </si>
  <si>
    <t>9B73F590</t>
  </si>
  <si>
    <t>F80D7B26-3F72-11F0-B753-00155D012007</t>
  </si>
  <si>
    <t>F80D7B26</t>
  </si>
  <si>
    <t>D5AB7F96-6BDF-4000-BCD0-9C7BB417FD5F</t>
  </si>
  <si>
    <t>D5AB7F96</t>
  </si>
  <si>
    <t>C8C546BB-F2FB-4C24-A1C8-BE742F9236E2</t>
  </si>
  <si>
    <t>C8C546BB</t>
  </si>
  <si>
    <t>B898302F-697C-4F48-9D39-BD5E1B0B7A5C</t>
  </si>
  <si>
    <t>B898302F</t>
  </si>
  <si>
    <t>9B3036F5-0A43-4B2B-9183-E750599DF16D</t>
  </si>
  <si>
    <t>9B3036F5</t>
  </si>
  <si>
    <t>5E339DE5-0656-45E4-A768-683ED9B15AC5</t>
  </si>
  <si>
    <t>5E339DE5</t>
  </si>
  <si>
    <t>23CDFED6-81CA-4F23-B66C-B5BC3C238F1F</t>
  </si>
  <si>
    <t>23CDFED6</t>
  </si>
  <si>
    <t>CF92DC3B-B820-4D81-ABFB-804986E456B7</t>
  </si>
  <si>
    <t>CF92DC3B</t>
  </si>
  <si>
    <t>A4D2874C-833B-458A-90E3-45FD0B1ED5BD</t>
  </si>
  <si>
    <t>A4D2874C</t>
  </si>
  <si>
    <t>29677677-7CF8-4523-A452-A0BB11FFEBD8</t>
  </si>
  <si>
    <t>29677677</t>
  </si>
  <si>
    <t>PEAJES - FEBRERO 2025</t>
  </si>
  <si>
    <t>PEAJES - AGOSTO 2025</t>
  </si>
  <si>
    <t>PEAJES - MARZO 2025</t>
  </si>
  <si>
    <t>PEAJES - ABRIL 2025</t>
  </si>
  <si>
    <t>PEAJES - MAYO 2025</t>
  </si>
  <si>
    <t>PEAJES - OCTUBRE 2025</t>
  </si>
  <si>
    <t>PEAJES - NOVIEMBRE 2025</t>
  </si>
  <si>
    <t>PEAJES - ENERO 2025</t>
  </si>
  <si>
    <t>PEAJES - SEPTIEMBRE 2025</t>
  </si>
  <si>
    <t>PEAJES - JUNIO 2025</t>
  </si>
  <si>
    <t>PEAJES - JULIO 2025</t>
  </si>
  <si>
    <t>09AF3019-9A7E-43BD-8E45-9B979FD373B1</t>
  </si>
  <si>
    <t>09AF3019</t>
  </si>
  <si>
    <t>E8D4EB2C-1EB9-428E-8ABE-3DC3C50182DA</t>
  </si>
  <si>
    <t>E8D4EB2C</t>
  </si>
  <si>
    <t>C0D91C15-B688-43DD-9EE1-BC33A48B5A63</t>
  </si>
  <si>
    <t>C0D91C15</t>
  </si>
  <si>
    <t>37A7C499-8803-47AF-A86C-80AAD7BA1979</t>
  </si>
  <si>
    <t>928</t>
  </si>
  <si>
    <t>KCE2211099VA</t>
  </si>
  <si>
    <t>KANY COMERCIALIZADORA ECOLOGICA</t>
  </si>
  <si>
    <t>FC=250 KG/CM2 DIRECTO</t>
  </si>
  <si>
    <t>2316671D-D3D5-47B2-A697-381E4A39CA41</t>
  </si>
  <si>
    <t>A3482</t>
  </si>
  <si>
    <t>LISA871015KQ6</t>
  </si>
  <si>
    <t>ALBERTO JORGE LINARES SANCHEZ "GEOTECNIA" LABORATORIO DE MATERIALES"</t>
  </si>
  <si>
    <t>TRABAJOS DE CONTROL DE CALIDAD: MUESTREO DE 1,580.00 7,900.00 CONCRETO HIDRAULICO EN ESTADO FRESCO Y ENDURECIDO EN DIVERSAS OBRAS, UBICADAS EN SAN FERNANDO, MATAMOROS, VALLE HERMOSO Y FRANCISCO VILLA, EN TAMAULIPAS. **MUESTREO PREPARACION Y ENSAYE A LAS MUESTRAS DE CONCRETO. **SAN FERNANDO MUESTRA No. 1 **FRACISCO VILLA MUESTRA No. 1 **VALLE HERMOSO MUESTRA No. 1 **MATAMOROS MUESTRAS No. 1 y 2</t>
  </si>
  <si>
    <t>VISITAS REALIZADAS</t>
  </si>
  <si>
    <t>4D4BC4C7‐0751‐42BB‐90FA‐D48AE141A9D9</t>
  </si>
  <si>
    <t>F-78</t>
  </si>
  <si>
    <t>LOFG760906AJ0</t>
  </si>
  <si>
    <t>GABRIEL LOZADA FELIPE (HOSPEDAJE)</t>
  </si>
  <si>
    <t>HOSPEDAJE - RENTA DE 2
HABITACIONES
CON 4 CAMAS
PARA 4
PERSONAS 2
COCHERAS EN
CALLE
EUCALIPTO 102
COL. ALTAVISTA
TAMPICO,
TAMS., CP
89240 DEL 25
DE NOVIEMBRE
AL 25 DE
DICIEMBRE DE
2025</t>
  </si>
  <si>
    <t>15722071-7CDD-4CA7-9E47-3FCB6E76762D</t>
  </si>
  <si>
    <t>S001TPV10110065690</t>
  </si>
  <si>
    <t>VARILLA DOBLADA #3 3/8X12 M AR-42</t>
  </si>
  <si>
    <t>ALAMBRE AMARRE RECOCIDO CAL 16</t>
  </si>
  <si>
    <t>3F489647-7D94-47C5-B5A6-DD013E8E4952</t>
  </si>
  <si>
    <t>S001TPV10110065777</t>
  </si>
  <si>
    <t>DISCO CORTE METAL 14</t>
  </si>
  <si>
    <t>DC4A5FF9-6DA2-4D3A-9D2E-4A418C9F3A80</t>
  </si>
  <si>
    <t>S001TPV10110065778</t>
  </si>
  <si>
    <t>LENTE SEGURIDAD TRANSPARENTE</t>
  </si>
  <si>
    <t>386C4453-2D0C-49EA-BB40-2DC00E2E41D1</t>
  </si>
  <si>
    <t>S001TPV10310064169</t>
  </si>
  <si>
    <t>VARILLA RECTA #6 3/4X12 M AR-42</t>
  </si>
  <si>
    <t>27E13558-4362-4CFF-9FEB-467BF8080B02</t>
  </si>
  <si>
    <t>S001TPV10110066233</t>
  </si>
  <si>
    <t>59C9BB0C-9883-41ED-8225-2EBE39584A66</t>
  </si>
  <si>
    <t>S001TPV10310064731</t>
  </si>
  <si>
    <t>POLIETILENO NEGRO CAL.600 ANCHO DE 6.00 MT</t>
  </si>
  <si>
    <t>29865F40-8F82-4425-9F9B-0903E7AE4D4D</t>
  </si>
  <si>
    <t>S003TPV30320067975</t>
  </si>
  <si>
    <t>CUCHARA ALBAÑIL 6</t>
  </si>
  <si>
    <t>CUCHARA ALBAÑIL 9 FORJADA</t>
  </si>
  <si>
    <t>ESCOBA CEPILLO 24.5 CM CERDAS PVC</t>
  </si>
  <si>
    <t>87C3BD69-FFAD-4BD1-8E2C-AECB0D308729</t>
  </si>
  <si>
    <t>-27133</t>
  </si>
  <si>
    <t xml:space="preserve">MPS1602172B1  </t>
  </si>
  <si>
    <t>M&amp;V PROYECTOS, SERVICIOS Y LIMPIEZA INDUSTRIAL</t>
  </si>
  <si>
    <t>CASCO</t>
  </si>
  <si>
    <t>BARRETA</t>
  </si>
  <si>
    <t>2C223CC2-BB0A-4BEA-A73D-FA78BF7C2F1B</t>
  </si>
  <si>
    <t>342</t>
  </si>
  <si>
    <t>78101805 - Servicio de alquiler de remolques o camiones cisterna Renta de camion tipo plataforma (RAM 4000) 01 de Noviembre de 2025 al 30 de Noviembre de 2025</t>
  </si>
  <si>
    <t>2F0C46AB-30C7-4ED2-AB1F-F1043BF8A892</t>
  </si>
  <si>
    <t>C - 127721</t>
  </si>
  <si>
    <t>AEDDAF87‐4541‐4B1E‐8098‐4EE34E46D750</t>
  </si>
  <si>
    <t>‐ 42000</t>
  </si>
  <si>
    <t>MVT7301017R2</t>
  </si>
  <si>
    <t>MUNICIPIO DE VICTORIA TAMAULIPAS</t>
  </si>
  <si>
    <t>INFRACCION DE TRANSITO MUNICIPAL FOLIO; 35 CAJA: 84</t>
  </si>
  <si>
    <t>D60985E3‐D81A‐40CB‐97DC‐9194BC29EF4A</t>
  </si>
  <si>
    <t>‐ 42062</t>
  </si>
  <si>
    <t>PERMISO DE CARGA Y DESCARGA EN PRIMER CUADRO FOLIO: 33 CAJA: 7 26/11/25</t>
  </si>
  <si>
    <t>AAE4DE4D-DAE4-4726-B2C9-47579A5B0844</t>
  </si>
  <si>
    <t>WC2 12127</t>
  </si>
  <si>
    <t>fc6e9210-2028-413b-8d63-4ec089ecf147</t>
  </si>
  <si>
    <t>FZ 6730684</t>
  </si>
  <si>
    <t>PRAXAIR MEXICO</t>
  </si>
  <si>
    <t>PME960701GG0</t>
  </si>
  <si>
    <t>ELECTRODO 6013 1/8X14 PRS B10 PROSTAR B10</t>
  </si>
  <si>
    <t>010f527b-b1b2-4e00-bfc0-00a09f927cd9</t>
  </si>
  <si>
    <t>A 2524</t>
  </si>
  <si>
    <t>QUEG670302C95</t>
  </si>
  <si>
    <t>MARIA GUADALUPE QUINTERO ESPINOZA</t>
  </si>
  <si>
    <t>HOSPEDAJE - HOSPEDAJE DE HABITACION DEL DIA 22 DE NOVIEMBRE DEL 2025</t>
  </si>
  <si>
    <t>8e16fe38-2176-4e2e-9cb3-8b3c97b6ca5b</t>
  </si>
  <si>
    <t>A 2527</t>
  </si>
  <si>
    <t>HOSPEDAJE - HOSPEDAJE DE HABITACION DEL DIA 23 DE NOVIEMBRE DEL 2025</t>
  </si>
  <si>
    <t>4a2ba4a2-025d-444e-a52f-58219782e8b2</t>
  </si>
  <si>
    <t>A 2531</t>
  </si>
  <si>
    <t>HOSPEDAJE - HOSPEDAJE DE HABITACION DEL DIA 24 DE NOVIEMBRE DEL 2025</t>
  </si>
  <si>
    <t>18D5611C‐91E4‐45A9‐9989‐C14C46F3461B</t>
  </si>
  <si>
    <t>A ‐ 182</t>
  </si>
  <si>
    <t>RACJ951218L77</t>
  </si>
  <si>
    <t>MATERIALES LOS GENERALES "JESUS ROLANDO RAMIREZ COBOS"</t>
  </si>
  <si>
    <t>CEMENTO GRIS</t>
  </si>
  <si>
    <t>COMISION PAGO CON TARJETA</t>
  </si>
  <si>
    <t>e178c76c-1620-4afa-abf6-37010dab6e49</t>
  </si>
  <si>
    <t>A - 8044</t>
  </si>
  <si>
    <t xml:space="preserve">ROGJ480618R51 </t>
  </si>
  <si>
    <t>JOSE RODRIGUEZ GALVAN (HOSPEDAJE)</t>
  </si>
  <si>
    <t>c7db9cbd-b308-4651-8df9-3123367c66de</t>
  </si>
  <si>
    <t>A - 8046</t>
  </si>
  <si>
    <t>84DCC7B9‐8876‐4995‐9C8C‐A9873AD7F4BA</t>
  </si>
  <si>
    <t>‐ 7712</t>
  </si>
  <si>
    <t>UAMA880327PM9</t>
  </si>
  <si>
    <t>ABEL UMAÑA MERIDA "MADERERIA TAMAULIPAS"</t>
  </si>
  <si>
    <t>POLIN 4×4×8</t>
  </si>
  <si>
    <t>ALFARDA 2×4×8</t>
  </si>
  <si>
    <t>TABLON 2×2×8</t>
  </si>
  <si>
    <t>MADERA 1×10×10</t>
  </si>
  <si>
    <t>DF9D99F8-5A34-5D49-A350-AB5B927EAF4F</t>
  </si>
  <si>
    <t>SPGBF - 10737</t>
  </si>
  <si>
    <t>BDD9CACD-782E-5B2D-B243-5E0DD3FC59D0</t>
  </si>
  <si>
    <t>SPGZF - 14047</t>
  </si>
  <si>
    <t>0AB60A33-E328-5F84-B861-422CD32A2C32</t>
  </si>
  <si>
    <t>SPGTB - 246</t>
  </si>
  <si>
    <t>COMBUSTIBLE - COMISION POR MANEJO DE CUENTA</t>
  </si>
  <si>
    <t>04444E25-1BE2-56B5-B12A-8B3D805F653F</t>
  </si>
  <si>
    <t>SPGTB - 251</t>
  </si>
  <si>
    <t>7DBB8D03-8992-5D7D-B922-18361137FB70</t>
  </si>
  <si>
    <t>SPGTB - 243</t>
  </si>
  <si>
    <t>CC9DC7F0-C4D0-4B56-A0D5-B3696DF584D6</t>
  </si>
  <si>
    <t>TPAS 1069660</t>
  </si>
  <si>
    <t>PASAJES - PASAJES NORMALES GRAVADOS Boleto:050001647061/Ruta:TAMPICO - MADERO-CD VICTORIA/28/11/2025/Jesus Rojas garcia</t>
  </si>
  <si>
    <t>821E4557-1C38-4DD5-83BB-0583638B1264</t>
  </si>
  <si>
    <t>H495</t>
  </si>
  <si>
    <t>TUR230619B11</t>
  </si>
  <si>
    <t>"HOTEL DEL FRESNO" TURIFRESNO</t>
  </si>
  <si>
    <t>a0229683-9833-40ce-aa7e-fead61fa0538</t>
  </si>
  <si>
    <t>A 3557</t>
  </si>
  <si>
    <t>HERE690619IP9</t>
  </si>
  <si>
    <t>ERENDIRA HERNANDEZ RAMOS</t>
  </si>
  <si>
    <t>029f1717-f577-4f44-b170-07b2d094e0ac</t>
  </si>
  <si>
    <t>150913176</t>
  </si>
  <si>
    <t>VUELOS - TARIFA AEREA PNR</t>
  </si>
  <si>
    <t>dcf8e051-625c-4de3-ad4c-b000634487e3</t>
  </si>
  <si>
    <t>4KHGCJI30809</t>
  </si>
  <si>
    <t>PANEL MDF3MM1.22X2.44</t>
  </si>
  <si>
    <t>c9b06c70-48bb-4980-8351-74c9347c1877</t>
  </si>
  <si>
    <t>4KHGCJI31695</t>
  </si>
  <si>
    <t>CEMENTOPORTLANDGRIS25KG</t>
  </si>
  <si>
    <t>IMPACGROUTPRO25KG</t>
  </si>
  <si>
    <t>SOCADOR8X8,MANGOMETALICO130CM</t>
  </si>
  <si>
    <t>31908221-9114-44d7-99c7-393e004de2dd</t>
  </si>
  <si>
    <t>4KHGCJI31848</t>
  </si>
  <si>
    <t>JGO. 9 PZAS LLAVES TORX TIPO L</t>
  </si>
  <si>
    <t>4d4af89a-51c3-4150-948d-9a6a314164a2</t>
  </si>
  <si>
    <t>4KHGCJI31207</t>
  </si>
  <si>
    <t>CEMENTOCONTACTPVC4OZ125MLAZU</t>
  </si>
  <si>
    <t>ACEITES 20W50</t>
  </si>
  <si>
    <t>REGISTRO PATRONAL A52-13210-10-4</t>
  </si>
  <si>
    <t>IMSS A52-13210-10-4</t>
  </si>
  <si>
    <t>759086</t>
  </si>
  <si>
    <t>Para abono en cuenta del IMSS</t>
  </si>
  <si>
    <t>Para abono en cuenta individual</t>
  </si>
  <si>
    <t>Para abono en cuenta del INFONAVIT</t>
  </si>
  <si>
    <t>BF7F0BBD-63D4-4269-88E0-62FDE11BC815</t>
  </si>
  <si>
    <t>2016</t>
  </si>
  <si>
    <t>MATERIALES SAN JUAN MATERIAL PARA CONTRUCCION, FERRETERIA, PLOMERIA Y MATERIAL ELECTRICO</t>
  </si>
  <si>
    <t>ROMR7911201F9</t>
  </si>
  <si>
    <t>ARENA GRUESA X MT</t>
  </si>
  <si>
    <t>POLIDUCTO ELECTRICO 1/2 X MT FLEX.</t>
  </si>
  <si>
    <t>CINCHO CIN-4520 BOLSA BCO</t>
  </si>
  <si>
    <t>GRAVA TRIT. DE ALDAMA X MT</t>
  </si>
  <si>
    <t>6BD231DE-2DE4-47A5-8C12-B6BE276CC4CB</t>
  </si>
  <si>
    <t>PALTU - 43112</t>
  </si>
  <si>
    <t>C4357461-C979-5867-94B8-BBCC29CDE1A9</t>
  </si>
  <si>
    <t>SPGTB - 254</t>
  </si>
  <si>
    <t>PILAS TIPO CIUDAD (MANTE) OC SYM25060748</t>
  </si>
  <si>
    <t>PILAS TIPO COSTA (TAMPICO) OC SYM25060748</t>
  </si>
  <si>
    <t>PILAS TIPO CIUDAD OC SYM25091155</t>
  </si>
  <si>
    <t>OC: SYM25060748 10 DE JULIO AL 1 DE AGOSTO 2025</t>
  </si>
  <si>
    <t>OC: SYM25060748 10 DE JULIO AL 15 DE AGOSTO 2025</t>
  </si>
  <si>
    <t>OC: SYM25081030 SEPTIEMBRE. 2025</t>
  </si>
  <si>
    <t>OC: SYM25091088 SEPTIEMBRE. 2025</t>
  </si>
  <si>
    <t>OC: SYM25091067 SEPTIEMBRE. 2025</t>
  </si>
  <si>
    <t>PILAS TIPO COSTA OC SYM25091155</t>
  </si>
  <si>
    <t>AB-433</t>
  </si>
  <si>
    <t>DICIEMBRE.2025</t>
  </si>
  <si>
    <t>AB-443</t>
  </si>
  <si>
    <t>AB-432</t>
  </si>
  <si>
    <t>NOVIEMBRE. 2025</t>
  </si>
  <si>
    <t>AB-442</t>
  </si>
  <si>
    <t>OC: SYM25091066 MECANICA DE SUELOS</t>
  </si>
  <si>
    <t>AB-438</t>
  </si>
  <si>
    <t>AB-439</t>
  </si>
  <si>
    <t>AB-437</t>
  </si>
  <si>
    <t>AB-436</t>
  </si>
  <si>
    <t>FOLIO CANCELADO</t>
  </si>
  <si>
    <t>AB-448</t>
  </si>
  <si>
    <t>AB-449</t>
  </si>
  <si>
    <t>ODC SYM25111356 DICIEMBRE.2025</t>
  </si>
  <si>
    <t>ODC SYM25091155 DICIEMBRE. 2025</t>
  </si>
  <si>
    <t>AB-446</t>
  </si>
  <si>
    <t>AB-444</t>
  </si>
  <si>
    <t>AB-445</t>
  </si>
  <si>
    <t>AB-447</t>
  </si>
  <si>
    <t>AB-434</t>
  </si>
  <si>
    <t>OC: SYM25091088 LEVANTAMIENTO TOPOGRAFICO</t>
  </si>
  <si>
    <t>OC: SYM25081030 NOVIEMBRE. 2025</t>
  </si>
  <si>
    <t>3bb513c8-e1c0-417d-9f2c-7aec8879051f</t>
  </si>
  <si>
    <t>4KHGEGI17166</t>
  </si>
  <si>
    <t>Poliductonaranjalisobicapasing</t>
  </si>
  <si>
    <t>774C7559-EB91-45B1-A2BE-A6F1CB62596C</t>
  </si>
  <si>
    <t>OMB1 646794</t>
  </si>
  <si>
    <t>TRANSPORTE - SERVICIO PUBLICO FEDERAL DE TRANSPORTACION DE PERSONAS</t>
  </si>
  <si>
    <t>88A5A713-B056-421D-8121-9B9D2C5165FD</t>
  </si>
  <si>
    <t>00007842 451242</t>
  </si>
  <si>
    <t>98227 LLAVE DE MANO CON</t>
  </si>
  <si>
    <t>15E896 Aceite Sintetico</t>
  </si>
  <si>
    <t>845EFDDE-EED5-4DC6-B822-9B9D2C51A7BB</t>
  </si>
  <si>
    <t>00009594 495232</t>
  </si>
  <si>
    <t>125011 aceite mob mult 1</t>
  </si>
  <si>
    <t>30278 ADITIVO PARA ACEIT</t>
  </si>
  <si>
    <t>86613 PROBADOR DE CIRCUI</t>
  </si>
  <si>
    <t>86503 CONECTOR ELECTRICO</t>
  </si>
  <si>
    <t>47185 TOMA DE CORRIENTE</t>
  </si>
  <si>
    <t>51258 CANDADO DEL TIPO U</t>
  </si>
  <si>
    <t>C1B3C008-A680-5DD6-9D48-3595331B4CE9</t>
  </si>
  <si>
    <t>SPGLH - 15190</t>
  </si>
  <si>
    <t>6DF48C28-EBB0-11F0-9E9D-23720CD610A7</t>
  </si>
  <si>
    <t>MAN3891</t>
  </si>
  <si>
    <t>HOSPEDAJE - 06 DE ENERO DE 2026</t>
  </si>
  <si>
    <t>7DB4830C‐43DA‐4B40‐B925‐52AB649D8F51</t>
  </si>
  <si>
    <t>AAA ‐ 5642</t>
  </si>
  <si>
    <t>CONCRETO PREMEZCLADO FC= 250 KG/CM2 TIRO DIRECTO</t>
  </si>
  <si>
    <t>3B8185B4‐F359‐4A46‐8AC8‐D28D1403554D</t>
  </si>
  <si>
    <t>AAA ‐ 5656</t>
  </si>
  <si>
    <t>BF19E10F‐2646‐4270‐94CA‐4B02D7C0AD9D</t>
  </si>
  <si>
    <t>F ‐ 87</t>
  </si>
  <si>
    <t>RENTA DE 2 HABITACIONES CON 4 CAMAS PARA 4 PERSONAS 2 COCHERAS EUCALIPTO 102 COL. ALTAVISTA TAMPICO, TAMS., CP 89240 3 DIAS ADICIONALES DE DICIEMBRE DE 2025 CTA. PREDIAL: 41201318002</t>
  </si>
  <si>
    <t>BBDD3C10-6B8D-54C9-9895-0AB61AF3CB46</t>
  </si>
  <si>
    <t>L 1338</t>
  </si>
  <si>
    <t>ARENA DE RIO M3</t>
  </si>
  <si>
    <t>GRAVA LIMPIA DE 3/4" M3</t>
  </si>
  <si>
    <t>2BB5BCCD-3AF2-506E-8DC4-08313860A5F0</t>
  </si>
  <si>
    <t>L 1346</t>
  </si>
  <si>
    <t>CEMENTO GRIS MONTERREY 25 KG LAB OBRA MANTE / T CP</t>
  </si>
  <si>
    <t>LAPIZ BICOLOR GRUESO (PIEZA)</t>
  </si>
  <si>
    <t>BRP-3 BROCHA DE 3" PRETUL 21528</t>
  </si>
  <si>
    <t>91CBFDF6-DD9F-0A4D-A86A-613E84704588</t>
  </si>
  <si>
    <t>AB16010</t>
  </si>
  <si>
    <t>LESA5104237U3</t>
  </si>
  <si>
    <t>AURORA LEON SANCHEZ (HOSPEDAJE)</t>
  </si>
  <si>
    <t>HOSPEDAJE - HAB. 13</t>
  </si>
  <si>
    <t>601F0BC4-7CC4-40F0-A7A7-2E97B4C759E2</t>
  </si>
  <si>
    <t>2098</t>
  </si>
  <si>
    <t>GRAVA TRIT. X CARRETILLA</t>
  </si>
  <si>
    <t>ARENA GRUESA X CARRETILLA</t>
  </si>
  <si>
    <t>CEMENTO GRIS 25 KG MTY</t>
  </si>
  <si>
    <t>0E021504-20C4-4ECB-AC95-5A887DD7B40C</t>
  </si>
  <si>
    <t>A14904</t>
  </si>
  <si>
    <t>SAND710626S11</t>
  </si>
  <si>
    <t>DAVID SANCHEZ NOLASCO (DST CONNECTIVITY)</t>
  </si>
  <si>
    <t>a965eacd-199c-49f7-92ec-a7822889888e</t>
  </si>
  <si>
    <t>4KHGCJI38462</t>
  </si>
  <si>
    <t>08439da1-6afd-4749-8853-ed290198752a</t>
  </si>
  <si>
    <t>ZC227557</t>
  </si>
  <si>
    <t>MPL020607CX5</t>
  </si>
  <si>
    <t>MULTISERVICIO LA PLATA</t>
  </si>
  <si>
    <t>6298D115-D900-4233-91B0-A9EC5EAD53B6</t>
  </si>
  <si>
    <t>IRCV 67443</t>
  </si>
  <si>
    <t>IRU1406235E6</t>
  </si>
  <si>
    <t>IMPULSORA RUDEL "TSNóminas"</t>
  </si>
  <si>
    <t>ARENA TRITURADA M3</t>
  </si>
  <si>
    <t>GRAVA TRITURADA M3</t>
  </si>
  <si>
    <t>CEMENTO GRIS MONTERREY 25 KG</t>
  </si>
  <si>
    <t>ESCOBA MED. ES-200C KLINTEK</t>
  </si>
  <si>
    <t>6D64BD88-0FE1-4168-9273-0036A7115AC8</t>
  </si>
  <si>
    <t>IBAZ-224</t>
  </si>
  <si>
    <t>953C984B-D07B-4D62-AA75-9B9D2C51D378</t>
  </si>
  <si>
    <t>00007210 919027</t>
  </si>
  <si>
    <t>DL07047 TERMINALES ELECT</t>
  </si>
  <si>
    <t>DL07769 CASQUILLOS</t>
  </si>
  <si>
    <t>bf633e4f-2115-4766-a563-b75eb4a9b325</t>
  </si>
  <si>
    <t>PLK13984 17709</t>
  </si>
  <si>
    <t>JCA160118586</t>
  </si>
  <si>
    <t xml:space="preserve">POPEYES "LOUISIANA KITCHEN" JK CAPITAL </t>
  </si>
  <si>
    <t>CE075808-A394-4950-BAF2-F41AB4CBDC3A</t>
  </si>
  <si>
    <t>E - 141100</t>
  </si>
  <si>
    <t>SSG111207T60</t>
  </si>
  <si>
    <t>SUPER SERVICIO GALAXIA (COMBUSTIBLES)</t>
  </si>
  <si>
    <t>e10537f2-2925-4f10-a342-ab6cb384175c</t>
  </si>
  <si>
    <t>03200 - 152093</t>
  </si>
  <si>
    <t>TCI610717881</t>
  </si>
  <si>
    <t>TRANSPORTES CHIHUAHUENSES</t>
  </si>
  <si>
    <t>TRANSPORTE - SERVICIO TRANSPORTE DE PASAJEROS 07-01-2026 21:15 MXN - FRE VICENTE GOMEZ MXNE1600163551306</t>
  </si>
  <si>
    <t>EF0D39F7-7A1C-4B04-90A0-37A3690E5046</t>
  </si>
  <si>
    <t>INV-DF-MEX-5144356</t>
  </si>
  <si>
    <t>STARLINK SATELLITE SYSTEMS MEXICO</t>
  </si>
  <si>
    <t>EME200630JP1</t>
  </si>
  <si>
    <t>Regulatory Fee</t>
  </si>
  <si>
    <t>Roam - Unlimited</t>
  </si>
  <si>
    <t>FD626A59-6543-4E21-85DF-FFBC4374437F</t>
  </si>
  <si>
    <t>INV-DF-MEX-5446322</t>
  </si>
  <si>
    <t>913E25A1-D44B-44C3-9295-69CED62BDC1A</t>
  </si>
  <si>
    <t>WC2 12528</t>
  </si>
  <si>
    <t>4A4C89B0-35B8-4CAE-9715-CACC7FFF76C9</t>
  </si>
  <si>
    <t>A 6626</t>
  </si>
  <si>
    <t>PREMEZCLADOS LA JOYA</t>
  </si>
  <si>
    <t>PJO010820U16</t>
  </si>
  <si>
    <t>CONCRETO PREMEZCLADO F'C= 250 KG/CM2</t>
  </si>
  <si>
    <t>9007FD22-5A72-4E5F-A394-4DC710134A0F</t>
  </si>
  <si>
    <t>A 6627</t>
  </si>
  <si>
    <t>15F9F688-8534-4706-9B57-64BC9D954D01</t>
  </si>
  <si>
    <t>S001TPV10110070224</t>
  </si>
  <si>
    <t>GERARDO TORRES | REEMBOLSO</t>
  </si>
  <si>
    <t>MARIA ISABEL DE ANGEL | PAGO 2 FINIQUITO</t>
  </si>
  <si>
    <t>PEDRO PERALES | TOPOGRAFIA</t>
  </si>
  <si>
    <t>ALAN YAHIR (ALMA ROSA) | MARIGUAS</t>
  </si>
  <si>
    <t>ALAN FERNANDO | NOMINA ALAN</t>
  </si>
  <si>
    <t>FRANCISCO FUENTES | NOMINA PACO</t>
  </si>
  <si>
    <t>EDWIN VEGA | EVODIOS</t>
  </si>
  <si>
    <t>FRANCISCO FUENTES | NOMINA</t>
  </si>
  <si>
    <t>JOSE NORBERTO HERBERT | NOMINA</t>
  </si>
  <si>
    <t>ALAN YAHIR (ALMA ROSA) | NOMINA ALAN Y RAFAEL</t>
  </si>
  <si>
    <t>CRISTIAN (REYES DORANTES) | NOMINA CRISTIAN</t>
  </si>
  <si>
    <t>ADRIAN (SARAI GUSMAN) | NOMINA ADRIAN</t>
  </si>
  <si>
    <t>DANIELA GARCIA MARTINEZ | FINIQUITO CHALECOS</t>
  </si>
  <si>
    <t>ERIK EXCAVACION | NOMINA</t>
  </si>
  <si>
    <t>REYES DORANTES | GARRAFONES</t>
  </si>
  <si>
    <t>RAFAEL PEREZ MONTELONGO | NOMINA</t>
  </si>
  <si>
    <t>NORMA FUENTES | NOMINA FRANCISCO</t>
  </si>
  <si>
    <t>ALAN YAHIR (ALMA ROSA) | NOMINA ALAN YAHIR</t>
  </si>
  <si>
    <t>SARAI GUSMAN (ADRIAN) | NOMINA ADRIAN</t>
  </si>
  <si>
    <t xml:space="preserve">ALAN FERNANDO | NOMINA </t>
  </si>
  <si>
    <t>CRISTIAN | NOMINA</t>
  </si>
  <si>
    <t>ADRIANA G CRESPO | RENTA CD VICTORIA</t>
  </si>
  <si>
    <t>PEDRO PERALES | ANTICIPO MECANICA 3 SITIOS</t>
  </si>
  <si>
    <t>DENNIA VAZQUEZ | RENTA 15 DÍAS TALLER</t>
  </si>
  <si>
    <t>JOSE DE JESUS RODRIGUEZ ELIAS | 1 DE 4 REMOLQUE</t>
  </si>
  <si>
    <t>ERIK COLCHADO | NOMINA</t>
  </si>
  <si>
    <t>ALAN FERNANDO | NOMINA</t>
  </si>
  <si>
    <t>PEDRO PERALES | MECANICA SUELOS</t>
  </si>
  <si>
    <t>JOSE GUTIERREZ POZOS | REEMBOLSO CAJA CHICA</t>
  </si>
  <si>
    <t>LYDIA ARELLANO LOPEZ | LABORATORIO</t>
  </si>
  <si>
    <t>JAIME LOPEZ TORRES | CUARTOS SAN FERNANDO</t>
  </si>
  <si>
    <t>ODALYS CAZARES | NOMINA ERIK Y ADRIAN</t>
  </si>
  <si>
    <t>DENNIA VAZQUEZ | RENTA TALLER</t>
  </si>
  <si>
    <t>EDGAR FRANCISCO FRANCO | LUZ</t>
  </si>
  <si>
    <t>GERARDO TORRES | TALLER ELECTRICO</t>
  </si>
  <si>
    <t>EDGAR FABIAN FERIA | RENTA CUARTOS MATAMOROS</t>
  </si>
  <si>
    <t>EDGAR FABIAN FERIA | DEPOSITO</t>
  </si>
  <si>
    <t xml:space="preserve">FRANCISCO FUENTES | NOMINA </t>
  </si>
  <si>
    <t>ODALYS CAZARES | NOMINA ADRIAN</t>
  </si>
  <si>
    <t>ODALYS CAZARES | NOMINA MARTIN</t>
  </si>
  <si>
    <t>ODALYS CAZARES | NOMINA EDUARDO</t>
  </si>
  <si>
    <t>ARMANDO VEGA | MULTIFUNCIONAL</t>
  </si>
  <si>
    <t>ISIDRO GUZMAN | NOMINA</t>
  </si>
  <si>
    <t>JOAQUIN ROMERO | NOMINA</t>
  </si>
  <si>
    <t>GUSTAVO ROMERO | NOMINA</t>
  </si>
  <si>
    <t>RODRIGO TORRES | NOMINA</t>
  </si>
  <si>
    <t>DAGOBERTO DAVILA TORRES | REPARACIÓN URVAN</t>
  </si>
  <si>
    <t>DAGOBERTO DAVILA TORRES | REPARACION URVAN</t>
  </si>
  <si>
    <t>EDGAR EDUARDO RIVERA | ANTICIPO RENTA BODEGA</t>
  </si>
  <si>
    <t>EDGAR EDUARDO RIVERA TREVIÑO | ANTICIPO RENTA BODEGA</t>
  </si>
  <si>
    <t>VICENTE GOMEZ RODRIGUEZ | VIATICOS 21-22 NOV</t>
  </si>
  <si>
    <t>OSCAR LEON ALEJOS | TRASLADO FIERREROS</t>
  </si>
  <si>
    <t>VICENTE GOMEZ RODRIGUEZ | VIATICOS 21 NOV</t>
  </si>
  <si>
    <t>OSCAR LEON ALEJOS | ANTICIPO FIERREROS</t>
  </si>
  <si>
    <t>VICENTE GOMEZ RODRIGUEZ | RENTA 6K Y DEPÓSITO 3K LOFT</t>
  </si>
  <si>
    <t xml:space="preserve">VICENTE GOMEZ RODRIGUEZ | PAGOS VARIOS </t>
  </si>
  <si>
    <t>EDGAR EDUARDO RIVERA TREVIÑO | FINIQUITO RENTA BODEGA</t>
  </si>
  <si>
    <t>GABRIEL LOZADA FELIPE | DEPÓSITO FARANTÍA</t>
  </si>
  <si>
    <t>DAGOBERTO DAVILA TORRES | PAGO 2 REPARACIÓN URVAN</t>
  </si>
  <si>
    <t>ALEJANDRO GALLARDO | MULTA</t>
  </si>
  <si>
    <t>JOSE DE JESUS RODRIGUEZ ELIAS | 2 DE 4 REMOLQUE</t>
  </si>
  <si>
    <t>NORA RESENDEZ OCHOA | RENTA MES 1 CASA VICTORIA</t>
  </si>
  <si>
    <t>OSCAR LEON ALEJOS | FIERREROS VICTORIA</t>
  </si>
  <si>
    <t>ISMERAI MONTAÑO | REEMBOLSO IMPUESTOS IMP</t>
  </si>
  <si>
    <t>GERARDO GUADALUPE | NOMINA</t>
  </si>
  <si>
    <t>UZIEL OMAR ESCOBAR | NOMINA VICENTE</t>
  </si>
  <si>
    <t>JUAN DAVID HERNANDEZ LOPEZ | NOMINA VICENTE</t>
  </si>
  <si>
    <t>JOSE ARMANDO NAVARRETE MARTINEZ | NOMINA VICENTE</t>
  </si>
  <si>
    <t>LUIS ENRIQUE MORALES CRUZ | NOMINA VICENTE</t>
  </si>
  <si>
    <t>DIEGO ANTONIO AGUILAR | NOMINA VICENTE</t>
  </si>
  <si>
    <t>ROBERTO</t>
  </si>
  <si>
    <t>PENDIENTE DESCONTAR: $406.42</t>
  </si>
  <si>
    <t>LABORATORIO MATAMOROS</t>
  </si>
  <si>
    <t>EDGAR</t>
  </si>
  <si>
    <t>OBRA: 2910 | OBSERVACIONES: 7540 corralon y gasolina</t>
  </si>
  <si>
    <t>04/10/2025 | JOSE GUTIERREZ POZOS | REEMBOLSO CAJA CHICA | $10000*1.08=$10800</t>
  </si>
  <si>
    <t>Nom Admon 01/09/2025 al 15/09/2025 Int BRENDA LIGIA GUTIERREZ PEREZ</t>
  </si>
  <si>
    <t>Nom Admon 01/09/2025 al 15/09/2025 Int ALEJANDRA DIAZ FERNANDEZ</t>
  </si>
  <si>
    <t>Nom Admon 01/09/2025 al 15/09/2025 Int ALEJANDRO MURILLO OCHOA</t>
  </si>
  <si>
    <t>Nom Admon 01/09/2025 al 15/09/2025 Int GERARDO AARON TORRES PEREZ</t>
  </si>
  <si>
    <t>Nom Admon 01/09/2025 al 15/09/2025 Int JAIME LOPEZ TORRES</t>
  </si>
  <si>
    <t>Nom Admon 01/09/2025 al 15/09/2025 Int VICENTE GOMEZ RODRIGUEZ</t>
  </si>
  <si>
    <t>Nom Admon 01/09/2025 al 15/09/2025 Ext BRENDA LIGIA GUTIERREZ PEREZ</t>
  </si>
  <si>
    <t>Nom Admon 01/09/2025 al 15/09/2025 Ext ALEJANDRA DIAZ FERNANDEZ</t>
  </si>
  <si>
    <t>Nom Admon 01/09/2025 al 15/09/2025 Ext ALEJANDRO MURILLO OCHOA</t>
  </si>
  <si>
    <t>Nom Admon 01/09/2025 al 15/09/2025 Ext GERARDO AARON TORRES PEREZ</t>
  </si>
  <si>
    <t>Nom Admon 01/09/2025 al 15/09/2025 Ext JAIME LOPEZ TORRES</t>
  </si>
  <si>
    <t>Nom Admon 01/09/2025 al 15/09/2025 Ext VICENTE GOMEZ RODRIGUEZ</t>
  </si>
  <si>
    <t>Nom Admon 16/09/2025 al 30/09/2025 Int BRENDA LIGIA GUTIERREZ PEREZ</t>
  </si>
  <si>
    <t>Nom Admon 16/09/2025 al 30/09/2025 Int ALEJANDRA DIAZ FERNANDEZ</t>
  </si>
  <si>
    <t>Nom Admon 16/09/2025 al 30/09/2025 Int ALEJANDRO MURILLO OCHOA</t>
  </si>
  <si>
    <t>Nom Admon 16/09/2025 al 30/09/2025 Int GERARDO AARON TORRES PEREZ</t>
  </si>
  <si>
    <t>Nom Admon 16/09/2025 al 30/09/2025 Int JAIME LOPEZ TORRES</t>
  </si>
  <si>
    <t>Nom Admon 16/09/2025 al 30/09/2025 Int VICENTE GOMEZ RODRIGUEZ</t>
  </si>
  <si>
    <t>Nom Admon 16/09/2025 al 30/09/2025 Ext BRENDA LIGIA GUTIERREZ PEREZ</t>
  </si>
  <si>
    <t>Nom Admon 16/09/2025 al 30/09/2025 Ext ALEJANDRA DIAZ FERNANDEZ</t>
  </si>
  <si>
    <t>Nom Admon 16/09/2025 al 30/09/2025 Ext ALEJANDRO MURILLO OCHOA</t>
  </si>
  <si>
    <t>Nom Admon 16/09/2025 al 30/09/2025 Ext GERARDO AARON TORRES PEREZ</t>
  </si>
  <si>
    <t>Nom Admon 16/09/2025 al 30/09/2025 Ext JAIME LOPEZ TORRES</t>
  </si>
  <si>
    <t>Nom Admon 16/09/2025 al 30/09/2025 Ext VICENTE GOMEZ RODRIGUEZ</t>
  </si>
  <si>
    <t>Nom Admon 01/10/2025 al 15/10/2025 Int ALEJANDRA DIAZ FERNANDEZ</t>
  </si>
  <si>
    <t>Nom Admon 01/10/2025 al 15/10/2025 Int GERARDO AARON TORRES PEREZ</t>
  </si>
  <si>
    <t>Nom Admon 01/10/2025 al 15/10/2025 Int JAIME LOPEZ TORRES</t>
  </si>
  <si>
    <t>Nom Admon 01/10/2025 al 15/10/2025 Int VICENTE GOMEZ RODRIGUEZ</t>
  </si>
  <si>
    <t>Nom Admon 01/10/2025 al 15/10/2025 EXt ALEJANDRA DIAZ FERNANDEZ</t>
  </si>
  <si>
    <t>Nom Admon 01/10/2025 al 15/10/2025 EXt GERARDO AARON TORRES PEREZ</t>
  </si>
  <si>
    <t>Nom Admon 01/10/2025 al 15/10/2025 EXt JAIME LOPEZ TORRES</t>
  </si>
  <si>
    <t>Nom Admon 01/10/2025 al 15/10/2025 EXt VICENTE GOMEZ RODRIGUEZ</t>
  </si>
  <si>
    <t>Nom Admon 16/10/2025 al 31/10/2025 Int ALEJANDRA DIAZ FERNANDEZ</t>
  </si>
  <si>
    <t>Nom Admon 16/10/2025 al 31/10/2025 Int GERARDO AARON TORRES PEREZ</t>
  </si>
  <si>
    <t>Nom Admon 16/10/2025 al 31/10/2025 Int JAIME LOPEZ TORRES</t>
  </si>
  <si>
    <t>Nom Admon 16/10/2025 al 31/10/2025 Int VICENTE GOMEZ RODRIGUEZ</t>
  </si>
  <si>
    <t>Nom Admon 16/10/2025 al 31/10/2025 Ext ALEJANDRA DIAZ FERNANDEZ</t>
  </si>
  <si>
    <t>Nom Admon 16/10/2025 al 31/10/2025 Ext GERARDO AARON TORRES PEREZ</t>
  </si>
  <si>
    <t>Nom Admon 16/10/2025 al 31/10/2025 Ext JAIME LOPEZ TORRES</t>
  </si>
  <si>
    <t>Nom Admon 16/10/2025 al 31/10/2025 Ext VICENTE GOMEZ RODRIGUEZ</t>
  </si>
  <si>
    <t>Nom Admon 01/11/2025 al 15/11/2025 Ext ALEJANDRO GALLARDO</t>
  </si>
  <si>
    <t>Nom Admon 01/11/2025 al 15/11/2025 Ext VICENTE GOMEZ RODRIGUEZ</t>
  </si>
  <si>
    <t>Nom Admon 01/11/2025 al 15/11/2025 Ext JAIME LOPEZ TORRES</t>
  </si>
  <si>
    <t>Nom Admon 01/11/2025 al 15/11/2025 Ext GERARDO AARON TORRES PEREZ</t>
  </si>
  <si>
    <t>Nom Admon 01/11/2025 al 15/11/2025 Ext ALEJANDRO MURILLO OCHOA</t>
  </si>
  <si>
    <t>Nom Admon 01/11/2025 al 15/11/2025 Ext ALEJANDRA DIAZ FERNANDEZ</t>
  </si>
  <si>
    <t>Nom Admon 01/11/2025 al 15/11/2025 Ext BRENDA LIGIA GUTIERREZ PEREZ</t>
  </si>
  <si>
    <t>Nom Admon 01/11/2025 al 15/11/2025 Int ALEJANDRO GALLARDO</t>
  </si>
  <si>
    <t>Nom Admon 01/11/2025 al 15/11/2025 Int VICENTE GOMEZ RODRIGUEZ</t>
  </si>
  <si>
    <t>Nom Admon 01/11/2025 al 15/11/2025 Int JAIME LOPEZ TORRES</t>
  </si>
  <si>
    <t>Nom Admon 01/11/2025 al 15/11/2025 Int GERARDO AARON TORRES PEREZ</t>
  </si>
  <si>
    <t>Nom Admon 01/11/2025 al 15/11/2025 Int ALEJANDRO MURILLO OCHOA</t>
  </si>
  <si>
    <t>Nom Admon 01/11/2025 al 15/11/2025 Int ALEJANDRA DIAZ FERNANDEZ</t>
  </si>
  <si>
    <t>Nom Admon 01/11/2025 al 15/11/2025 Int BRENDA LIGIA GUTIERREZ PEREZ</t>
  </si>
  <si>
    <t>Nom Admon 16/11/2025 al 30/11/2025 Int BRENDA LIGIA GUTIERREZ PEREZ</t>
  </si>
  <si>
    <t>Nom Admon 16/11/2025 al 30/11/2025 Int ALEJANDRA DIAZ FERNANDEZ</t>
  </si>
  <si>
    <t>Nom Admon 16/11/2025 al 30/11/2025 Int ALEJANDRO MURILLO OCHOA</t>
  </si>
  <si>
    <t>Nom Admon 16/11/2025 al 30/11/2025 Int GERARDO AARON TORRES PEREZ</t>
  </si>
  <si>
    <t>Nom Admon 16/11/2025 al 30/11/2025 Int JAIME LOPEZ TORRES</t>
  </si>
  <si>
    <t>Nom Admon 16/11/2025 al 30/11/2025 Int VICENTE GOMEZ RODRIGUEZ</t>
  </si>
  <si>
    <t>Nom Admon 16/11/2025 al 30/11/2025 Int ALEJANDRO GALLARDO</t>
  </si>
  <si>
    <t>Nom Admon 16/11/2025 al 30/11/2025 Ext BRENDA LIGIA GUTIERREZ PEREZ</t>
  </si>
  <si>
    <t>Nom Admon 16/11/2025 al 30/11/2025 Ext ALEJANDRA DIAZ FERNANDEZ</t>
  </si>
  <si>
    <t>Nom Admon 16/11/2025 al 30/11/2025 Ext ALEJANDRO MURILLO OCHOA</t>
  </si>
  <si>
    <t>Nom Admon 16/11/2025 al 30/11/2025 Ext GERARDO AARON TORRES PEREZ</t>
  </si>
  <si>
    <t>Nom Admon 16/11/2025 al 30/11/2025 Ext JAIME LOPEZ TORRES</t>
  </si>
  <si>
    <t>Nom Admon 16/11/2025 al 30/11/2025 Ext VICENTE GOMEZ RODRIGUEZ</t>
  </si>
  <si>
    <t>Nom Admon 16/11/2025 al 30/11/2025 Ext ALEJANDRO GALLARDO</t>
  </si>
  <si>
    <t>Nom Admon 01/12/2025 al 15/12/2025 Int BRENDA LIGIA GUTIERREZ PEREZ</t>
  </si>
  <si>
    <t>Nom Admon 01/12/2025 al 15/12/2025 Int ALEJANDRA DIAZ FERNANDEZ</t>
  </si>
  <si>
    <t>Nom Admon 01/12/2025 al 15/12/2025 Int ALEJANDRO MURILLO OCHOA</t>
  </si>
  <si>
    <t>Nom Admon 01/12/2025 al 15/12/2025 Int GERARDO AARON TORRES PEREZ</t>
  </si>
  <si>
    <t>Nom Admon 01/12/2025 al 15/12/2025 Int JAIME LOPEZ TORRES</t>
  </si>
  <si>
    <t>Nom Admon 01/12/2025 al 15/12/2025 Int VICENTE GOMEZ RODRIGUEZ</t>
  </si>
  <si>
    <t>Nom Admon 01/12/2025 al 15/12/2025 Int ALEJANDRO GALLARDO</t>
  </si>
  <si>
    <t>Nom Admon 01/12/2025 al 15/12/2025 Ext BRENDA LIGIA GUTIERREZ PEREZ</t>
  </si>
  <si>
    <t>Nom Admon 01/12/2025 al 15/12/2025 Ext ALEJANDRA DIAZ FERNANDEZ</t>
  </si>
  <si>
    <t>Nom Admon 01/12/2025 al 15/12/2025 Ext ALEJANDRO MURILLO OCHOA</t>
  </si>
  <si>
    <t>Nom Admon 01/12/2025 al 15/12/2025 Ext GERARDO AARON TORRES PEREZ</t>
  </si>
  <si>
    <t>Nom Admon 01/12/2025 al 15/12/2025 Ext JAIME LOPEZ TORRES</t>
  </si>
  <si>
    <t>Nom Admon 01/12/2025 al 15/12/2025 Ext VICENTE GOMEZ RODRIGUEZ</t>
  </si>
  <si>
    <t>Nom Admon 01/12/2025 al 15/12/2025 Ext ALEJANDRO GALLARDO</t>
  </si>
  <si>
    <t>Nom Admon 16/12/2025 al 31/12/2025 Int BRENDA LIGIA GUTIERREZ PEREZ</t>
  </si>
  <si>
    <t>Nom Admon 16/12/2025 al 31/12/2025 Int ALEJANDRA DIAZ FERNANDEZ</t>
  </si>
  <si>
    <t>Nom Admon 16/12/2025 al 31/12/2025 Int ALEJANDRO MURILLO OCHOA</t>
  </si>
  <si>
    <t>Nom Admon 16/12/2025 al 31/12/2025 Int GERARDO AARON TORRES PEREZ</t>
  </si>
  <si>
    <t>Nom Admon 16/12/2025 al 31/12/2025 Int JAIME LOPEZ TORRES</t>
  </si>
  <si>
    <t>Nom Admon 16/12/2025 al 31/12/2025 Int VICENTE GOMEZ RODRIGUEZ</t>
  </si>
  <si>
    <t>Nom Admon 16/12/2025 al 31/12/2025 Int ALEJANDRO GALLARDO</t>
  </si>
  <si>
    <t>Nom Admon 16/12/2025 al 31/12/2025 Ext BRENDA LIGIA GUTIERREZ PEREZ</t>
  </si>
  <si>
    <t>Nom Admon 16/12/2025 al 31/12/2025 Ext ALEJANDRA DIAZ FERNANDEZ</t>
  </si>
  <si>
    <t>Nom Admon 16/12/2025 al 31/12/2025 Ext ALEJANDRO MURILLO OCHOA</t>
  </si>
  <si>
    <t>Nom Admon 16/12/2025 al 31/12/2025 Ext GERARDO AARON TORRES PEREZ</t>
  </si>
  <si>
    <t>Nom Admon 16/12/2025 al 31/12/2025 Ext JAIME LOPEZ TORRES</t>
  </si>
  <si>
    <t>Nom Admon 16/12/2025 al 31/12/2025 Ext VICENTE GOMEZ RODRIGUEZ</t>
  </si>
  <si>
    <t>Nom Admon 16/12/2025 al 31/12/2025 Ext ALEJANDRO GALLARDO</t>
  </si>
  <si>
    <t>Nom Admon 01/01/2026 al 15/01/2026 Int BRENDA LIGIA GUTIERREZ PEREZ</t>
  </si>
  <si>
    <t>Nom Admon 01/01/2026 al 15/01/2026 Int ALEJANDRA DIAZ FERNANDEZ</t>
  </si>
  <si>
    <t>Nom Admon 01/01/2026 al 15/01/2026 Int ALEJANDRO MURILLO OCHOA</t>
  </si>
  <si>
    <t>Nom Admon 01/01/2026 al 15/01/2026 Int GERARDO AARON TORRES PEREZ</t>
  </si>
  <si>
    <t>Nom Admon 01/01/2026 al 15/01/2026 Int JAIME LOPEZ TORRES</t>
  </si>
  <si>
    <t>Nom Admon 01/01/2026 al 15/01/2026 Int VICENTE GOMEZ RODRIGUEZ</t>
  </si>
  <si>
    <t>Nom Admon 01/01/2026 al 15/01/2026 Int ALEJANDRO GALLARDO</t>
  </si>
  <si>
    <t>Nom Admon 01/01/2026 al 15/01/2026 Ext BRENDA LIGIA GUTIERREZ PEREZ</t>
  </si>
  <si>
    <t>Nom Admon 01/01/2026 al 15/01/2026 Ext ALEJANDRA DIAZ FERNANDEZ</t>
  </si>
  <si>
    <t>Nom Admon 01/01/2026 al 15/01/2026 Ext ALEJANDRO MURILLO OCHOA</t>
  </si>
  <si>
    <t>Nom Admon 01/01/2026 al 15/01/2026 Ext GERARDO AARON TORRES PEREZ</t>
  </si>
  <si>
    <t>Nom Admon 01/01/2026 al 15/01/2026 Ext JAIME LOPEZ TORRES</t>
  </si>
  <si>
    <t>Nom Admon 01/01/2026 al 15/01/2026 Ext VICENTE GOMEZ RODRIGUEZ</t>
  </si>
  <si>
    <t>Nom Admon 01/01/2026 al 15/01/2026 Ext ALEJANDRO GALLARDO</t>
  </si>
  <si>
    <t>3D8DA3F7-CF98-4DE6-84BE-9B9D2C51FAFA</t>
  </si>
  <si>
    <t>00007753 737356</t>
  </si>
  <si>
    <t>PE 2213 CZZI BONE SPON</t>
  </si>
  <si>
    <t>AZSHA500 Shampoo ecol</t>
  </si>
  <si>
    <t>823700 toallas de acaba</t>
  </si>
  <si>
    <t>5664AC25-F423-4417-9EA4-9B9D2C517498</t>
  </si>
  <si>
    <t>00007753 737355</t>
  </si>
  <si>
    <t>PE 5024 Escoba de Goma</t>
  </si>
  <si>
    <t>5D4354E9-2A03-4B8C-A756-ECF17A6897C0</t>
  </si>
  <si>
    <t>M992</t>
  </si>
  <si>
    <t>FOPF780820G45</t>
  </si>
  <si>
    <t>FRANCISCO JAVIER FLORES PEÑA "MAX"</t>
  </si>
  <si>
    <t>PINTURA AREOSOL</t>
  </si>
  <si>
    <t>DF337AB6-6C57-4CDF-99A5-9B9D2C51DE79</t>
  </si>
  <si>
    <t>00007039 373540</t>
  </si>
  <si>
    <t>9718 RADIUS BLADE 18</t>
  </si>
  <si>
    <t>424d3088-3378-4352-82bd-f2261b5f44f2</t>
  </si>
  <si>
    <t>14534</t>
  </si>
  <si>
    <t>GLU000227JL1</t>
  </si>
  <si>
    <t>GRUPO LUMANTUR "VITROCAR"</t>
  </si>
  <si>
    <t>VAURET POLYURETHANE AGR 600ML SAUSAGE</t>
  </si>
  <si>
    <t>bcd9b081-6bb4-4874-bf83-1ece7f72b29f</t>
  </si>
  <si>
    <t>4KHGEDI17538</t>
  </si>
  <si>
    <t>HDM001017AS1 SUCURSAL 8754-TAPACHULA</t>
  </si>
  <si>
    <t>HOME DEPOT MEXICO SUCURSAL 8754-TAPACHULA</t>
  </si>
  <si>
    <t>NAVAJA RETRACTIL CON 3 HOJAS ANVIL</t>
  </si>
  <si>
    <t>MASKING TAPE 2020 1-50M</t>
  </si>
  <si>
    <t>MASKING TAPE 2020 3/4-50M</t>
  </si>
  <si>
    <t>REPUESTO PARA COLADOR DE PINTURA 1</t>
  </si>
  <si>
    <t>A2374EA5-CE9D-4D84-9B91-00F835BE1F15</t>
  </si>
  <si>
    <t>TPRMAFA 180004</t>
  </si>
  <si>
    <t>PLS900309F45</t>
  </si>
  <si>
    <t>PINTURAS Y LACAS DEL SUCHIATE "COMEX"</t>
  </si>
  <si>
    <t>COMEX 100 TOTAL PET MATE NEGRO 4 LTS</t>
  </si>
  <si>
    <t>FLASH COAT NF VIVID B4 4 LTS</t>
  </si>
  <si>
    <t>THINNER ESTANDAR 1 LT S/E</t>
  </si>
  <si>
    <t>18139c59-8b93-482f-800c-ba01a6131421</t>
  </si>
  <si>
    <t xml:space="preserve"> F251002503</t>
  </si>
  <si>
    <t>CVA041027H80</t>
  </si>
  <si>
    <t>CONCESIONARIA VUELA COMPAÑIA DE AVIACION "VOLARIS"</t>
  </si>
  <si>
    <t>SFQGFW - Viajes en aviones comerciales Traslado</t>
  </si>
  <si>
    <t>a332113d-6881-48ff-80cd-906379d5cb4a</t>
  </si>
  <si>
    <t>4KHGCDI34676</t>
  </si>
  <si>
    <t>HOME DEPOT MEXICO SUCURSAL 8734-REYNOSA</t>
  </si>
  <si>
    <t>HDM001017AS1 SUCURSAL 8734-REYNOSA</t>
  </si>
  <si>
    <t>VARILLA CORR R-42 3/8 TN 12 MTS REC</t>
  </si>
  <si>
    <t>VARILLA CORR R-42 3/4 TN 12 MTS REC</t>
  </si>
  <si>
    <t>ALAMBRE RECOCIDO CAL 16 KG</t>
  </si>
  <si>
    <t>a1718e8d-a1ca-4dc0-8f97-c00936e3ac56</t>
  </si>
  <si>
    <t>4KHGCDI34675</t>
  </si>
  <si>
    <t>MALLA DE CONSTRUCCION PERIMETRAL 30</t>
  </si>
  <si>
    <t>9EB0B9B5-289B-4F68-A12C-792977551232</t>
  </si>
  <si>
    <t>FA 058187495</t>
  </si>
  <si>
    <t>CAD850514L17</t>
  </si>
  <si>
    <t>CADECO, S.A. DE C.V.</t>
  </si>
  <si>
    <t>2147568 SELLO/O-RING USO GENERAL</t>
  </si>
  <si>
    <t>E8847D25-90BA-42DA-AE3E-9B9D2C5187FE</t>
  </si>
  <si>
    <t>00007210 951897</t>
  </si>
  <si>
    <t xml:space="preserve"> 82130  LIMPIADOR DE CONTACTOS</t>
  </si>
  <si>
    <t>f101ed25-cb12-428b-9ee9-c179b0b2d7d4</t>
  </si>
  <si>
    <t>ALP - 115</t>
  </si>
  <si>
    <t>31.- Intermediario Pagos</t>
  </si>
  <si>
    <t>PPD.- Pago en parcialidades o diferido</t>
  </si>
  <si>
    <t>ASE170727QL3</t>
  </si>
  <si>
    <t>ALPEASA SERVICIOS</t>
  </si>
  <si>
    <t>PAQUETE 4 WEF0009025488</t>
  </si>
  <si>
    <t>5EB75A01-FF2E-4305-AF84-5BD8BAD96963</t>
  </si>
  <si>
    <t>13269</t>
  </si>
  <si>
    <t>MADERA DE PINO20 DE 2 X 4 X 10 30 DE 4 X 4X 10</t>
  </si>
  <si>
    <t>8fcd3f42-e094-4826-942f-bd9be1ffab7d</t>
  </si>
  <si>
    <t>4KHGEGI23856</t>
  </si>
  <si>
    <t>PAQUETE 9 LAPICES P/CARPINTERO C/S</t>
  </si>
  <si>
    <t>2 SEGUETAS MANUAL BIMETAL 12" X 32</t>
  </si>
  <si>
    <t>CLAVO 4" PARA MADERA 10 kg</t>
  </si>
  <si>
    <t>446F7686-DDB8-4362-BBE2-6270E3CAE95E</t>
  </si>
  <si>
    <t>E - 143979</t>
  </si>
  <si>
    <t>fd0626f0-ce3c-4c90-9431-4ca5f3f31529</t>
  </si>
  <si>
    <t>4KHGEDI17173</t>
  </si>
  <si>
    <t>BLOQUE DE LIJADO 9292</t>
  </si>
  <si>
    <t>PISTOLA ELECTRICA BYP</t>
  </si>
  <si>
    <t>REEMBOLSO 1 AÑO</t>
  </si>
  <si>
    <t>CINTA EMPAQUE TRANSPARENTE 48X50</t>
  </si>
  <si>
    <t>5002D22D-F27E-439C-B4EC-F3C653122F99</t>
  </si>
  <si>
    <t>FA 10253739  | FA 058187382</t>
  </si>
  <si>
    <t xml:space="preserve"> 1566472 GLASS </t>
  </si>
  <si>
    <t>FEE19805-9EA5-4951-AAA1-93F0C39D7EC6</t>
  </si>
  <si>
    <t>NAALC - 20229</t>
  </si>
  <si>
    <t>4f3cffe3-e2c0-439b-b27b-2e056d8fa971</t>
  </si>
  <si>
    <t>4KHGCDI33701</t>
  </si>
  <si>
    <t>DISCO CORTE METALSP4-1/2 X .040E</t>
  </si>
  <si>
    <t>CLAVIJA PYTHON ER 2P 3H15A 125V AM</t>
  </si>
  <si>
    <t>428660c1-0fd5-4d7d-8712-2ebcb9f8f75a</t>
  </si>
  <si>
    <t>4KHGCDI33563</t>
  </si>
  <si>
    <t>ALAMBRERECOCIDOCAL16KG</t>
  </si>
  <si>
    <t>LENTESEGUSUPEMRCO/NGRO/LENTE/CLR</t>
  </si>
  <si>
    <t>PILA2032ENERGIZER2PZS.</t>
  </si>
  <si>
    <t>PLACAP/INTEMPERIELEART</t>
  </si>
  <si>
    <t>CANDADOACERO50MMGANCHOLARGOAA</t>
  </si>
  <si>
    <t>CAJARECTANGULARRR-047021/2</t>
  </si>
  <si>
    <t>CONTDUPPOLARIZADOCAFELEART</t>
  </si>
  <si>
    <t>CORDONUR3X12NE(IND)200M(LM)</t>
  </si>
  <si>
    <t>DISCOABR.14"X7/64"X1"METAL</t>
  </si>
  <si>
    <t>POLINDEPINOPARACIMBRA</t>
  </si>
  <si>
    <t>CONECTORGLANDULANYLON1/2"</t>
  </si>
  <si>
    <t>6d00d959-dcad-419c-8f60-c237e5bfaaa1</t>
  </si>
  <si>
    <t>4KHGEGI23479</t>
  </si>
  <si>
    <t>PLASTICOCONSTRUCCION6MX15M</t>
  </si>
  <si>
    <t>ELECTRODORECUBIERTOE60131/8"X1</t>
  </si>
  <si>
    <t>F7BE9F39-FE13-4419-98EB-84F4AF65CD2D</t>
  </si>
  <si>
    <t>NAARC - 13976</t>
  </si>
  <si>
    <t>TEC100909J48</t>
  </si>
  <si>
    <t>TECNOGASOLINERA "GRUPO BURGOS" (COMBUSTIBLE)</t>
  </si>
  <si>
    <t>GENSA AUTO SERVICIO EXPRESS "GRUPO BURGOS" (COMBUSTIBLES)</t>
  </si>
  <si>
    <t>0D9FC284-4432-4344-9515-BA070038EC3B</t>
  </si>
  <si>
    <t>364</t>
  </si>
  <si>
    <t>78101805 -  Servicio de alquiler de
remolques o camiones cisterna
Renta de camion para suministro de
herramientas y lubricantes (Robust) Periodo: 10 de Febrero de 2026 al 09 de Marzo de 2026</t>
  </si>
  <si>
    <t>406C53BA-AD3F-4CA9-BE4D-00CBD0246519</t>
  </si>
  <si>
    <t>363</t>
  </si>
  <si>
    <t>78101805 - Servicio de alquiler de remolques o camiones cisterna Renta de camion para suministro de lubricante (Hilux) Periodo: 01 de Febrero de 2026 al 28 de Febrero de 2026</t>
  </si>
  <si>
    <t>D43B4805-1AF2-4F09-AF9C-9253BE54AA2E</t>
  </si>
  <si>
    <t>362</t>
  </si>
  <si>
    <t>78101805 - Servicio de alquiler de remolques o camiones cisterna Renta de camion tipo plataforma (RAM 4000) Periodo: 01 de Febrero de 2025 al 28 de Febrero de 2026</t>
  </si>
  <si>
    <t>831374df-4f66-4851-acc3-599fe6b99eb6</t>
  </si>
  <si>
    <t>4KHGCDI33210</t>
  </si>
  <si>
    <t>e1ff1ca9-e7ff-4d32-aa35-93f5bb1fde92</t>
  </si>
  <si>
    <t>4HHFJI424960</t>
  </si>
  <si>
    <t>MULTÍMETRO DIGITAL DE RANGO MANUAL</t>
  </si>
  <si>
    <t>AAD7B471-DED9-4B9C-9B12-25F85FA2CFBB</t>
  </si>
  <si>
    <t>1262</t>
  </si>
  <si>
    <t>HOSPEDAJE - DIA DE HOSPEDAJE PARA 5 PERSONAS HABITACION DE 3 CAMAS</t>
  </si>
  <si>
    <t>418BED80-708E-4391-BEB9-25DFD934D968</t>
  </si>
  <si>
    <t>1263</t>
  </si>
  <si>
    <t>AACE7EFC-3C17-4677-AAA8-08D2608A44BD</t>
  </si>
  <si>
    <t>1264</t>
  </si>
  <si>
    <t>HOSPEDAJE - DIA DE HOSPEDAJE 1 HABITACION PARA 5  3 CAMAS, 1 HABITACION PARA 6 PERSONAS 3 CAMAS Y 1 HABITACION PARA 2 PERSONAS 2 CAMAS</t>
  </si>
  <si>
    <t>HOSPEDAJE - DIA DE HOSPEDAJE 5 PERSONAS HABITACION 3 CAMAS</t>
  </si>
  <si>
    <t>3593E0BF-DBAF-427C-883A-9B9D2C512CAE</t>
  </si>
  <si>
    <t>00007013 058510</t>
  </si>
  <si>
    <t>15W40 Mobil</t>
  </si>
  <si>
    <t>Prestone</t>
  </si>
  <si>
    <t>DB2D9394-C134-490B-8154-9B9D2C51EFA7</t>
  </si>
  <si>
    <t>00007084 689817</t>
  </si>
  <si>
    <t>125015 aceite mob multi</t>
  </si>
  <si>
    <t>11051 ADITIVO PARA ACEI</t>
  </si>
  <si>
    <t>D16DAEE5-53E2-4613-9EAC-9B9D2C51BCF4</t>
  </si>
  <si>
    <t>00007210 925168</t>
  </si>
  <si>
    <t>DL07047 TERMINALES ELEC</t>
  </si>
  <si>
    <t>98336084-6D48-4F06-AEC9-9B9D2C51A324</t>
  </si>
  <si>
    <t>00007210 940236</t>
  </si>
  <si>
    <t>AZM023 AZDEGREASER 2 5</t>
  </si>
  <si>
    <t>15B400 ACEITE MULTI 10W</t>
  </si>
  <si>
    <t>C912AC58-FBE3-4EF0-82F3-9B9D2C5147A2</t>
  </si>
  <si>
    <t>00007753 732478</t>
  </si>
  <si>
    <t>M23890 110 GUANTES DE N</t>
  </si>
  <si>
    <t>11521562-D989-45EB-9F4A-12D94190B1A9</t>
  </si>
  <si>
    <t>085125 T</t>
  </si>
  <si>
    <t>AUSV591108T12</t>
  </si>
  <si>
    <t>TORNILLOS SAN CRISTOBAL (VICTORINO DELFINO AGUILAR SANCHEZ)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</si>
</sst>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8" formatCode="&quot;$&quot;#,##0.00;[Red]\-&quot;$&quot;#,##0.00"/>
    <numFmt numFmtId="44" formatCode="_-&quot;$&quot;* #,##0.00_-;\-&quot;$&quot;* #,##0.00_-;_-&quot;$&quot;* &quot;-&quot;??_-;_-@_-"/>
    <numFmt numFmtId="43" formatCode="_-* #,##0.00_-;\-* #,##0.00_-;_-* &quot;-&quot;??_-;_-@_-"/>
    <numFmt numFmtId="164" formatCode="[$-F800]dddd\,\ mmmm\ dd\,\ yyyy"/>
    <numFmt numFmtId="165" formatCode="#,##0.00&quot; &quot;[$zł-415];[Red]&quot;-&quot;#,##0.00&quot; &quot;[$zł-415]"/>
    <numFmt numFmtId="166" formatCode="[$$-80A]#,##0.00"/>
    <numFmt numFmtId="167" formatCode="#,##0.0;[Red]#,##0.0"/>
    <numFmt numFmtId="168" formatCode="#,##0.000"/>
    <numFmt numFmtId="169" formatCode="_(* #,##0.00_);_(* \(#,##0.00\);_(* &quot;-&quot;??_);_(@_)"/>
    <numFmt numFmtId="170" formatCode="_-* #,##0.00\ _z_ł_-;\-* #,##0.00\ _z_ł_-;_-* &quot;-&quot;??\ _z_ł_-;_-@_-"/>
    <numFmt numFmtId="171" formatCode="_-* #,##0.00\ _€_-;\-* #,##0.00\ _€_-;_-* &quot;-&quot;??\ _€_-;_-@_-"/>
    <numFmt numFmtId="172" formatCode="dd\.mm\.yyyy"/>
    <numFmt numFmtId="173" formatCode="_-* #,##0.00\ &quot;zł&quot;_-;\-* #,##0.00\ &quot;zł&quot;_-;_-* &quot;-&quot;??\ &quot;zł&quot;_-;_-@_-"/>
    <numFmt numFmtId="174" formatCode="_-* #,##0_-;\-* #,##0_-;_-* &quot;-&quot;??_-;_-@_-"/>
  </numFmts>
  <fonts count="114" x14ac:knownFonts="1">
    <font>
      <sz val="11"/>
      <color theme="1"/>
      <name val="Calibri"/>
      <family val="2"/>
      <scheme val="minor"/>
    </font>
    <font>
      <sz val="11"/>
      <color theme="1"/>
      <name val="Calibri"/>
      <family val="2"/>
      <scheme val="minor"/>
    </font>
    <font>
      <sz val="10"/>
      <name val="Arial"/>
      <family val="2"/>
    </font>
    <font>
      <b/>
      <sz val="10"/>
      <name val="Arial Narrow"/>
      <family val="2"/>
    </font>
    <font>
      <sz val="10"/>
      <name val="Arial Narrow"/>
      <family val="2"/>
    </font>
    <font>
      <sz val="11"/>
      <color theme="1"/>
      <name val="Tahoma"/>
      <family val="2"/>
    </font>
    <font>
      <sz val="8"/>
      <name val="Calibri"/>
      <family val="2"/>
      <scheme val="minor"/>
    </font>
    <font>
      <b/>
      <sz val="10"/>
      <color theme="4" tint="-0.249977111117893"/>
      <name val="Arial Narrow"/>
      <family val="2"/>
    </font>
    <font>
      <sz val="11"/>
      <color theme="1"/>
      <name val="Arial Narrow"/>
      <family val="2"/>
    </font>
    <font>
      <sz val="10"/>
      <color theme="1"/>
      <name val="Arial Narrow"/>
      <family val="2"/>
    </font>
    <font>
      <b/>
      <sz val="10"/>
      <color theme="1"/>
      <name val="Arial Narrow"/>
      <family val="2"/>
    </font>
    <font>
      <sz val="10"/>
      <color theme="0"/>
      <name val="Arial Narrow"/>
      <family val="2"/>
    </font>
    <font>
      <b/>
      <sz val="8"/>
      <color rgb="FF000000"/>
      <name val="Arial Narrow"/>
      <family val="2"/>
    </font>
    <font>
      <b/>
      <sz val="11"/>
      <color theme="1"/>
      <name val="Arial Narrow"/>
      <family val="2"/>
    </font>
    <font>
      <sz val="12"/>
      <name val="Arial"/>
      <family val="2"/>
    </font>
    <font>
      <b/>
      <sz val="14"/>
      <name val="Arial Narrow"/>
      <family val="2"/>
    </font>
    <font>
      <b/>
      <i/>
      <sz val="14"/>
      <color theme="1"/>
      <name val="Arial Narrow"/>
      <family val="2"/>
    </font>
    <font>
      <sz val="11"/>
      <color theme="1"/>
      <name val="Calibri"/>
      <family val="2"/>
      <charset val="238"/>
      <scheme val="minor"/>
    </font>
    <font>
      <b/>
      <sz val="12"/>
      <name val="Arial Narrow"/>
      <family val="2"/>
    </font>
    <font>
      <b/>
      <sz val="10"/>
      <color rgb="FFFF0000"/>
      <name val="Arial Narrow"/>
      <family val="2"/>
    </font>
    <font>
      <b/>
      <sz val="10"/>
      <color indexed="10"/>
      <name val="Arial Narrow"/>
      <family val="2"/>
    </font>
    <font>
      <b/>
      <sz val="9"/>
      <name val="Arial Narrow"/>
      <family val="2"/>
    </font>
    <font>
      <b/>
      <u/>
      <sz val="10"/>
      <name val="Arial Narrow"/>
      <family val="2"/>
    </font>
    <font>
      <sz val="10"/>
      <color rgb="FF0070C0"/>
      <name val="Arial Narrow"/>
      <family val="2"/>
    </font>
    <font>
      <sz val="10"/>
      <color rgb="FFFF0000"/>
      <name val="Arial Narrow"/>
      <family val="2"/>
    </font>
    <font>
      <sz val="9"/>
      <name val="Arial Narrow"/>
      <family val="2"/>
    </font>
    <font>
      <sz val="12"/>
      <name val="Arial Narrow"/>
      <family val="2"/>
    </font>
    <font>
      <b/>
      <sz val="9"/>
      <color indexed="81"/>
      <name val="Tahoma"/>
      <family val="2"/>
    </font>
    <font>
      <sz val="9"/>
      <color indexed="81"/>
      <name val="Tahoma"/>
      <family val="2"/>
    </font>
    <font>
      <b/>
      <sz val="14"/>
      <color rgb="FFFF0000"/>
      <name val="Arial Narrow"/>
      <family val="2"/>
    </font>
    <font>
      <b/>
      <sz val="11"/>
      <color rgb="FFFF0000"/>
      <name val="Arial Narrow"/>
      <family val="2"/>
    </font>
    <font>
      <b/>
      <sz val="14"/>
      <color theme="1"/>
      <name val="Arial Narrow"/>
      <family val="2"/>
    </font>
    <font>
      <b/>
      <sz val="11"/>
      <name val="Arial Narrow"/>
      <family val="2"/>
    </font>
    <font>
      <b/>
      <sz val="11"/>
      <color theme="0" tint="-0.499984740745262"/>
      <name val="Arial Narrow"/>
      <family val="2"/>
    </font>
    <font>
      <b/>
      <sz val="8"/>
      <name val="Arial Narrow"/>
      <family val="2"/>
    </font>
    <font>
      <b/>
      <u/>
      <sz val="10"/>
      <color theme="0"/>
      <name val="Arial Narrow"/>
      <family val="2"/>
    </font>
    <font>
      <b/>
      <u/>
      <sz val="10"/>
      <color theme="4" tint="-0.249977111117893"/>
      <name val="Arial Narrow"/>
      <family val="2"/>
    </font>
    <font>
      <b/>
      <u val="singleAccounting"/>
      <sz val="10"/>
      <name val="Arial Narrow"/>
      <family val="2"/>
    </font>
    <font>
      <sz val="10"/>
      <color rgb="FF008000"/>
      <name val="Arial Narrow"/>
      <family val="2"/>
    </font>
    <font>
      <sz val="9"/>
      <color theme="9" tint="-0.499984740745262"/>
      <name val="Arial Narrow"/>
      <family val="2"/>
    </font>
    <font>
      <sz val="9"/>
      <color rgb="FF008000"/>
      <name val="Arial Narrow"/>
      <family val="2"/>
    </font>
    <font>
      <sz val="10"/>
      <color theme="0" tint="-0.249977111117893"/>
      <name val="Arial Narrow"/>
      <family val="2"/>
    </font>
    <font>
      <b/>
      <sz val="10"/>
      <color theme="0"/>
      <name val="Arial Narrow"/>
      <family val="2"/>
    </font>
    <font>
      <b/>
      <i/>
      <sz val="12"/>
      <color theme="1"/>
      <name val="Arial Narrow"/>
      <family val="2"/>
    </font>
    <font>
      <b/>
      <sz val="11"/>
      <name val="Calibri"/>
      <family val="2"/>
      <scheme val="minor"/>
    </font>
    <font>
      <sz val="11"/>
      <name val="Arial Narrow"/>
      <family val="2"/>
    </font>
    <font>
      <b/>
      <i/>
      <sz val="16"/>
      <color theme="1"/>
      <name val="Arial Narrow"/>
      <family val="2"/>
    </font>
    <font>
      <b/>
      <sz val="14"/>
      <color rgb="FF000000"/>
      <name val="Arial Narrow"/>
      <family val="2"/>
    </font>
    <font>
      <b/>
      <sz val="11"/>
      <color theme="0"/>
      <name val="Arial Narrow"/>
      <family val="2"/>
    </font>
    <font>
      <b/>
      <sz val="9"/>
      <color theme="0"/>
      <name val="Arial Narrow"/>
      <family val="2"/>
    </font>
    <font>
      <sz val="10"/>
      <name val="MS Sans Serif"/>
      <family val="2"/>
    </font>
    <font>
      <sz val="11"/>
      <color theme="4" tint="0.59999389629810485"/>
      <name val="Calibri"/>
      <family val="2"/>
      <scheme val="minor"/>
    </font>
    <font>
      <b/>
      <sz val="11"/>
      <color theme="1"/>
      <name val="Calibri"/>
      <family val="2"/>
      <scheme val="minor"/>
    </font>
    <font>
      <sz val="12"/>
      <color indexed="8"/>
      <name val="Calibri"/>
      <family val="2"/>
    </font>
    <font>
      <sz val="14"/>
      <name val="Arial Narrow"/>
      <family val="2"/>
    </font>
    <font>
      <sz val="10"/>
      <color theme="1"/>
      <name val="Calibri"/>
      <family val="2"/>
      <scheme val="minor"/>
    </font>
    <font>
      <b/>
      <sz val="10"/>
      <color theme="1"/>
      <name val="Calibri"/>
      <family val="2"/>
      <scheme val="minor"/>
    </font>
    <font>
      <b/>
      <sz val="10"/>
      <color theme="0"/>
      <name val="Calibri"/>
      <family val="2"/>
      <scheme val="minor"/>
    </font>
    <font>
      <sz val="7"/>
      <name val="Arial Narrow"/>
      <family val="2"/>
    </font>
    <font>
      <sz val="6"/>
      <name val="Arial Narrow"/>
      <family val="2"/>
    </font>
    <font>
      <b/>
      <sz val="8"/>
      <color theme="4" tint="-0.249977111117893"/>
      <name val="Arial Narrow"/>
      <family val="2"/>
    </font>
    <font>
      <sz val="11"/>
      <color theme="4" tint="-0.249977111117893"/>
      <name val="Calibri"/>
      <family val="2"/>
      <scheme val="minor"/>
    </font>
    <font>
      <sz val="8"/>
      <name val="Arial Narrow"/>
      <family val="2"/>
    </font>
    <font>
      <sz val="8"/>
      <color theme="1"/>
      <name val="Calibri"/>
      <family val="2"/>
      <scheme val="minor"/>
    </font>
    <font>
      <i/>
      <sz val="9"/>
      <color theme="1"/>
      <name val="Arial Narrow"/>
      <family val="2"/>
    </font>
    <font>
      <sz val="9"/>
      <color theme="1"/>
      <name val="Calibri"/>
      <family val="2"/>
      <scheme val="minor"/>
    </font>
    <font>
      <sz val="9"/>
      <color theme="4"/>
      <name val="Arial Narrow"/>
      <family val="2"/>
    </font>
    <font>
      <b/>
      <sz val="11"/>
      <color theme="0"/>
      <name val="Calibri"/>
      <family val="2"/>
      <scheme val="minor"/>
    </font>
    <font>
      <sz val="11"/>
      <color rgb="FFFF0000"/>
      <name val="Calibri"/>
      <family val="2"/>
      <scheme val="minor"/>
    </font>
    <font>
      <b/>
      <sz val="12"/>
      <color theme="0"/>
      <name val="Calibri"/>
      <family val="2"/>
      <scheme val="minor"/>
    </font>
    <font>
      <b/>
      <sz val="11"/>
      <color rgb="FFFF0000"/>
      <name val="Calibri"/>
      <family val="2"/>
      <scheme val="minor"/>
    </font>
    <font>
      <b/>
      <sz val="14"/>
      <color theme="1"/>
      <name val="Calibri"/>
      <family val="2"/>
      <scheme val="minor"/>
    </font>
    <font>
      <sz val="11"/>
      <color theme="0"/>
      <name val="Calibri"/>
      <family val="2"/>
      <scheme val="minor"/>
    </font>
    <font>
      <b/>
      <sz val="6"/>
      <name val="Arial Narrow"/>
      <family val="2"/>
    </font>
    <font>
      <sz val="12"/>
      <color indexed="8"/>
      <name val="Calibri"/>
      <family val="2"/>
    </font>
    <font>
      <sz val="9"/>
      <color theme="4" tint="-0.249977111117893"/>
      <name val="Arial Narrow"/>
      <family val="2"/>
    </font>
    <font>
      <b/>
      <sz val="10"/>
      <name val="Arial"/>
      <family val="2"/>
    </font>
    <font>
      <sz val="8"/>
      <name val="Arial"/>
      <family val="2"/>
    </font>
    <font>
      <b/>
      <sz val="12"/>
      <color theme="0"/>
      <name val="Arial"/>
      <family val="2"/>
    </font>
    <font>
      <b/>
      <i/>
      <u/>
      <sz val="12"/>
      <color theme="0"/>
      <name val="Arial"/>
      <family val="2"/>
    </font>
    <font>
      <b/>
      <sz val="12"/>
      <name val="Arial"/>
      <family val="2"/>
    </font>
    <font>
      <sz val="9"/>
      <name val="Arial"/>
      <family val="2"/>
    </font>
    <font>
      <sz val="12"/>
      <name val="Arial"/>
      <family val="2"/>
      <charset val="238"/>
    </font>
    <font>
      <sz val="10"/>
      <name val="Helv"/>
    </font>
    <font>
      <sz val="10"/>
      <name val="Arial Narrow"/>
      <family val="2"/>
    </font>
    <font>
      <b/>
      <sz val="10"/>
      <name val="Arial Narrow"/>
      <family val="2"/>
    </font>
    <font>
      <sz val="10"/>
      <color rgb="FF0070C0"/>
      <name val="Arial Narrow"/>
      <family val="2"/>
    </font>
    <font>
      <b/>
      <u/>
      <sz val="10"/>
      <name val="Arial Narrow"/>
      <family val="2"/>
    </font>
    <font>
      <b/>
      <i/>
      <sz val="9"/>
      <color theme="1"/>
      <name val="Arial Narrow"/>
      <family val="2"/>
    </font>
    <font>
      <sz val="10"/>
      <name val="Arial"/>
      <family val="2"/>
    </font>
    <font>
      <sz val="6"/>
      <name val="Arial Narrow"/>
      <family val="2"/>
    </font>
    <font>
      <sz val="7"/>
      <name val="Arial Narrow"/>
      <family val="2"/>
    </font>
    <font>
      <sz val="11"/>
      <name val="Arial Narrow"/>
      <family val="2"/>
    </font>
    <font>
      <b/>
      <sz val="11"/>
      <name val="Arial Narrow"/>
      <family val="2"/>
    </font>
    <font>
      <b/>
      <sz val="11"/>
      <color theme="0"/>
      <name val="Arial Narrow"/>
      <family val="2"/>
    </font>
    <font>
      <sz val="10"/>
      <color rgb="FF008000"/>
      <name val="Arial Narrow"/>
      <family val="2"/>
    </font>
    <font>
      <sz val="10"/>
      <color theme="1"/>
      <name val="Arial Narrow"/>
      <family val="2"/>
    </font>
    <font>
      <b/>
      <u/>
      <sz val="10"/>
      <color theme="0"/>
      <name val="Arial Narrow"/>
      <family val="2"/>
    </font>
    <font>
      <b/>
      <u/>
      <sz val="10"/>
      <color theme="4" tint="-0.249977111117893"/>
      <name val="Arial Narrow"/>
      <family val="2"/>
    </font>
    <font>
      <b/>
      <sz val="10"/>
      <color theme="0"/>
      <name val="Arial Narrow"/>
      <family val="2"/>
    </font>
    <font>
      <sz val="10"/>
      <color theme="0"/>
      <name val="Arial Narrow"/>
      <family val="2"/>
    </font>
    <font>
      <b/>
      <u val="singleAccounting"/>
      <sz val="10"/>
      <name val="Arial Narrow"/>
      <family val="2"/>
    </font>
    <font>
      <sz val="9"/>
      <name val="Arial Narrow"/>
      <family val="2"/>
    </font>
    <font>
      <b/>
      <sz val="10"/>
      <color theme="1"/>
      <name val="Arial Narrow"/>
      <family val="2"/>
    </font>
    <font>
      <sz val="9"/>
      <color theme="9" tint="-0.499984740745262"/>
      <name val="Arial Narrow"/>
      <family val="2"/>
    </font>
    <font>
      <sz val="9"/>
      <color rgb="FF008000"/>
      <name val="Arial Narrow"/>
      <family val="2"/>
    </font>
    <font>
      <sz val="11"/>
      <name val="Calibri"/>
      <family val="2"/>
      <scheme val="minor"/>
    </font>
    <font>
      <sz val="10"/>
      <name val="Arial Narrow"/>
      <family val="2"/>
    </font>
    <font>
      <b/>
      <sz val="10"/>
      <name val="Arial Narrow"/>
      <family val="2"/>
    </font>
    <font>
      <b/>
      <sz val="20"/>
      <color theme="0"/>
      <name val="Arial Narrow"/>
      <family val="2"/>
    </font>
    <font>
      <sz val="10"/>
      <name val="Arial Narrow"/>
      <family val="2"/>
    </font>
    <font>
      <sz val="8"/>
      <color theme="4"/>
      <name val="Arial"/>
      <family val="2"/>
    </font>
    <font>
      <sz val="9"/>
      <color rgb="FFFF0000"/>
      <name val="Arial Narrow"/>
      <family val="2"/>
    </font>
    <font>
      <sz val="10"/>
      <color rgb="FFFF0000"/>
      <name val="Arial"/>
      <family val="2"/>
    </font>
  </fonts>
  <fills count="30">
    <fill>
      <patternFill patternType="none"/>
    </fill>
    <fill>
      <patternFill patternType="gray125"/>
    </fill>
    <fill>
      <patternFill patternType="solid">
        <fgColor rgb="FFFFFCF3"/>
        <bgColor indexed="64"/>
      </patternFill>
    </fill>
    <fill>
      <patternFill patternType="solid">
        <fgColor theme="4" tint="0.79998168889431442"/>
        <bgColor indexed="64"/>
      </patternFill>
    </fill>
    <fill>
      <patternFill patternType="solid">
        <fgColor rgb="FFFFFBEF"/>
        <bgColor indexed="64"/>
      </patternFill>
    </fill>
    <fill>
      <patternFill patternType="solid">
        <fgColor theme="4" tint="-0.249977111117893"/>
        <bgColor indexed="64"/>
      </patternFill>
    </fill>
    <fill>
      <patternFill patternType="solid">
        <fgColor theme="0"/>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3" tint="-0.249977111117893"/>
        <bgColor indexed="64"/>
      </patternFill>
    </fill>
    <fill>
      <patternFill patternType="solid">
        <fgColor theme="1" tint="0.499984740745262"/>
        <bgColor indexed="64"/>
      </patternFill>
    </fill>
    <fill>
      <patternFill patternType="solid">
        <fgColor rgb="FFE6EBF6"/>
        <bgColor indexed="64"/>
      </patternFill>
    </fill>
    <fill>
      <patternFill patternType="solid">
        <fgColor theme="4" tint="-0.499984740745262"/>
        <bgColor indexed="64"/>
      </patternFill>
    </fill>
    <fill>
      <patternFill patternType="solid">
        <fgColor rgb="FFFFFF00"/>
        <bgColor indexed="64"/>
      </patternFill>
    </fill>
    <fill>
      <patternFill patternType="solid">
        <fgColor rgb="FFEEF5FC"/>
        <bgColor indexed="64"/>
      </patternFill>
    </fill>
    <fill>
      <patternFill patternType="solid">
        <fgColor rgb="FF194775"/>
        <bgColor indexed="64"/>
      </patternFill>
    </fill>
    <fill>
      <patternFill patternType="solid">
        <fgColor rgb="FF2464A4"/>
        <bgColor indexed="64"/>
      </patternFill>
    </fill>
    <fill>
      <patternFill patternType="solid">
        <fgColor rgb="FF215C98"/>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8" tint="0.79998168889431442"/>
        <bgColor indexed="64"/>
      </patternFill>
    </fill>
  </fills>
  <borders count="172">
    <border>
      <left/>
      <right/>
      <top/>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right style="thin">
        <color indexed="64"/>
      </right>
      <top/>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diagonal/>
    </border>
    <border>
      <left style="thin">
        <color indexed="64"/>
      </left>
      <right style="thin">
        <color indexed="64"/>
      </right>
      <top/>
      <bottom style="dotted">
        <color indexed="64"/>
      </bottom>
      <diagonal/>
    </border>
    <border>
      <left style="thin">
        <color indexed="64"/>
      </left>
      <right/>
      <top/>
      <bottom style="dotted">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thick">
        <color theme="3"/>
      </left>
      <right style="thick">
        <color theme="3"/>
      </right>
      <top style="thick">
        <color theme="3"/>
      </top>
      <bottom style="thick">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hair">
        <color indexed="64"/>
      </bottom>
      <diagonal/>
    </border>
    <border>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right/>
      <top/>
      <bottom style="hair">
        <color indexed="64"/>
      </bottom>
      <diagonal/>
    </border>
    <border>
      <left style="thin">
        <color indexed="64"/>
      </left>
      <right/>
      <top/>
      <bottom style="hair">
        <color indexed="64"/>
      </bottom>
      <diagonal/>
    </border>
    <border>
      <left style="medium">
        <color indexed="64"/>
      </left>
      <right style="thin">
        <color indexed="64"/>
      </right>
      <top style="hair">
        <color indexed="64"/>
      </top>
      <bottom style="medium">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style="dotted">
        <color theme="0" tint="-0.24994659260841701"/>
      </bottom>
      <diagonal/>
    </border>
    <border>
      <left/>
      <right/>
      <top style="medium">
        <color indexed="64"/>
      </top>
      <bottom style="dotted">
        <color theme="0" tint="-0.24994659260841701"/>
      </bottom>
      <diagonal/>
    </border>
    <border>
      <left/>
      <right style="medium">
        <color indexed="64"/>
      </right>
      <top style="medium">
        <color indexed="64"/>
      </top>
      <bottom style="dotted">
        <color theme="0" tint="-0.24994659260841701"/>
      </bottom>
      <diagonal/>
    </border>
    <border>
      <left style="medium">
        <color indexed="64"/>
      </left>
      <right style="dotted">
        <color theme="0" tint="-0.24994659260841701"/>
      </right>
      <top style="dotted">
        <color theme="0" tint="-0.24994659260841701"/>
      </top>
      <bottom style="dotted">
        <color theme="0" tint="-0.24994659260841701"/>
      </bottom>
      <diagonal/>
    </border>
    <border>
      <left/>
      <right/>
      <top style="dotted">
        <color theme="0" tint="-0.24994659260841701"/>
      </top>
      <bottom style="dotted">
        <color theme="0" tint="-0.24994659260841701"/>
      </bottom>
      <diagonal/>
    </border>
    <border>
      <left/>
      <right style="medium">
        <color indexed="64"/>
      </right>
      <top style="dotted">
        <color theme="0" tint="-0.24994659260841701"/>
      </top>
      <bottom style="dotted">
        <color theme="0" tint="-0.24994659260841701"/>
      </bottom>
      <diagonal/>
    </border>
    <border>
      <left style="medium">
        <color indexed="64"/>
      </left>
      <right/>
      <top style="dotted">
        <color theme="0" tint="-0.24994659260841701"/>
      </top>
      <bottom style="dotted">
        <color theme="0" tint="-0.24994659260841701"/>
      </bottom>
      <diagonal/>
    </border>
    <border>
      <left/>
      <right/>
      <top/>
      <bottom style="dotted">
        <color theme="0" tint="-0.24994659260841701"/>
      </bottom>
      <diagonal/>
    </border>
    <border>
      <left/>
      <right style="medium">
        <color indexed="64"/>
      </right>
      <top/>
      <bottom style="dotted">
        <color theme="0" tint="-0.24994659260841701"/>
      </bottom>
      <diagonal/>
    </border>
    <border>
      <left style="thin">
        <color indexed="64"/>
      </left>
      <right style="thin">
        <color indexed="64"/>
      </right>
      <top style="dotted">
        <color theme="0" tint="-0.24994659260841701"/>
      </top>
      <bottom style="dotted">
        <color theme="0" tint="-0.24994659260841701"/>
      </bottom>
      <diagonal/>
    </border>
    <border>
      <left/>
      <right/>
      <top style="dotted">
        <color theme="0" tint="-0.24994659260841701"/>
      </top>
      <bottom style="medium">
        <color indexed="64"/>
      </bottom>
      <diagonal/>
    </border>
    <border>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bottom style="dotted">
        <color theme="0" tint="-0.24994659260841701"/>
      </bottom>
      <diagonal/>
    </border>
    <border>
      <left style="medium">
        <color indexed="64"/>
      </left>
      <right style="thin">
        <color indexed="64"/>
      </right>
      <top style="dotted">
        <color theme="0" tint="-0.24994659260841701"/>
      </top>
      <bottom style="dotted">
        <color theme="0" tint="-0.2499465926084170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dotted">
        <color indexed="64"/>
      </right>
      <top/>
      <bottom style="dotted">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dotted">
        <color indexed="64"/>
      </right>
      <top style="medium">
        <color indexed="64"/>
      </top>
      <bottom style="thin">
        <color indexed="64"/>
      </bottom>
      <diagonal/>
    </border>
    <border>
      <left style="dotted">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top style="dotted">
        <color indexed="64"/>
      </top>
      <bottom/>
      <diagonal/>
    </border>
    <border>
      <left style="medium">
        <color indexed="64"/>
      </left>
      <right style="medium">
        <color indexed="64"/>
      </right>
      <top/>
      <bottom style="dotted">
        <color indexed="64"/>
      </bottom>
      <diagonal/>
    </border>
    <border>
      <left style="medium">
        <color indexed="64"/>
      </left>
      <right style="medium">
        <color indexed="64"/>
      </right>
      <top style="dotted">
        <color indexed="64"/>
      </top>
      <bottom/>
      <diagonal/>
    </border>
    <border>
      <left style="medium">
        <color indexed="64"/>
      </left>
      <right style="medium">
        <color indexed="64"/>
      </right>
      <top style="dotted">
        <color indexed="64"/>
      </top>
      <bottom style="medium">
        <color indexed="64"/>
      </bottom>
      <diagonal/>
    </border>
    <border>
      <left style="dotted">
        <color indexed="64"/>
      </left>
      <right style="medium">
        <color indexed="64"/>
      </right>
      <top/>
      <bottom/>
      <diagonal/>
    </border>
    <border>
      <left style="dotted">
        <color indexed="64"/>
      </left>
      <right style="medium">
        <color indexed="64"/>
      </right>
      <top style="dotted">
        <color indexed="64"/>
      </top>
      <bottom/>
      <diagonal/>
    </border>
    <border>
      <left style="medium">
        <color indexed="64"/>
      </left>
      <right/>
      <top style="dotted">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dotted">
        <color indexed="64"/>
      </left>
      <right style="dotted">
        <color indexed="64"/>
      </right>
      <top style="thin">
        <color indexed="64"/>
      </top>
      <bottom style="thin">
        <color indexed="64"/>
      </bottom>
      <diagonal/>
    </border>
    <border>
      <left style="dotted">
        <color indexed="64"/>
      </left>
      <right/>
      <top style="medium">
        <color indexed="64"/>
      </top>
      <bottom style="dotted">
        <color indexed="64"/>
      </bottom>
      <diagonal/>
    </border>
    <border>
      <left/>
      <right style="dotted">
        <color indexed="64"/>
      </right>
      <top style="medium">
        <color indexed="64"/>
      </top>
      <bottom style="dotted">
        <color indexed="64"/>
      </bottom>
      <diagonal/>
    </border>
    <border>
      <left/>
      <right/>
      <top style="thin">
        <color rgb="FF000000"/>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dotted">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dotted">
        <color indexed="64"/>
      </bottom>
      <diagonal/>
    </border>
    <border>
      <left/>
      <right style="thin">
        <color indexed="64"/>
      </right>
      <top style="medium">
        <color indexed="64"/>
      </top>
      <bottom style="dotted">
        <color indexed="64"/>
      </bottom>
      <diagonal/>
    </border>
    <border>
      <left/>
      <right style="thin">
        <color indexed="64"/>
      </right>
      <top/>
      <bottom style="dotted">
        <color indexed="64"/>
      </bottom>
      <diagonal/>
    </border>
    <border>
      <left style="medium">
        <color indexed="64"/>
      </left>
      <right style="thin">
        <color indexed="64"/>
      </right>
      <top style="dotted">
        <color indexed="64"/>
      </top>
      <bottom style="dotted">
        <color indexed="64"/>
      </bottom>
      <diagonal/>
    </border>
    <border>
      <left style="medium">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dotted">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bottom style="double">
        <color indexed="64"/>
      </bottom>
      <diagonal/>
    </border>
    <border>
      <left/>
      <right/>
      <top style="double">
        <color indexed="64"/>
      </top>
      <bottom/>
      <diagonal/>
    </border>
    <border>
      <left style="thin">
        <color indexed="64"/>
      </left>
      <right/>
      <top style="medium">
        <color indexed="64"/>
      </top>
      <bottom style="medium">
        <color indexed="64"/>
      </bottom>
      <diagonal/>
    </border>
    <border>
      <left style="medium">
        <color indexed="64"/>
      </left>
      <right style="dotted">
        <color indexed="64"/>
      </right>
      <top style="medium">
        <color indexed="64"/>
      </top>
      <bottom/>
      <diagonal/>
    </border>
    <border>
      <left style="dotted">
        <color indexed="64"/>
      </left>
      <right style="dotted">
        <color indexed="64"/>
      </right>
      <top style="medium">
        <color indexed="64"/>
      </top>
      <bottom/>
      <diagonal/>
    </border>
    <border>
      <left style="dotted">
        <color indexed="64"/>
      </left>
      <right style="dotted">
        <color indexed="64"/>
      </right>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style="hair">
        <color indexed="64"/>
      </right>
      <top/>
      <bottom style="hair">
        <color indexed="64"/>
      </bottom>
      <diagonal/>
    </border>
    <border>
      <left/>
      <right/>
      <top/>
      <bottom style="thick">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top style="thin">
        <color indexed="64"/>
      </top>
      <bottom/>
      <diagonal/>
    </border>
    <border>
      <left/>
      <right/>
      <top style="hair">
        <color indexed="64"/>
      </top>
      <bottom/>
      <diagonal/>
    </border>
    <border>
      <left style="hair">
        <color indexed="64"/>
      </left>
      <right/>
      <top/>
      <bottom style="hair">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dotted">
        <color theme="0" tint="-0.24994659260841701"/>
      </top>
      <bottom style="medium">
        <color indexed="64"/>
      </bottom>
      <diagonal/>
    </border>
    <border>
      <left style="thin">
        <color rgb="FF000000"/>
      </left>
      <right/>
      <top style="thin">
        <color rgb="FF000000"/>
      </top>
      <bottom style="thin">
        <color rgb="FF000000"/>
      </bottom>
      <diagonal/>
    </border>
    <border>
      <left/>
      <right/>
      <top style="dotted">
        <color indexed="64"/>
      </top>
      <bottom style="dotted">
        <color indexed="64"/>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dotted">
        <color theme="0" tint="-0.24994659260841701"/>
      </top>
      <bottom/>
      <diagonal/>
    </border>
    <border>
      <left style="thin">
        <color indexed="64"/>
      </left>
      <right style="thin">
        <color indexed="64"/>
      </right>
      <top style="dotted">
        <color theme="0" tint="-0.24994659260841701"/>
      </top>
      <bottom/>
      <diagonal/>
    </border>
    <border>
      <left style="thin">
        <color indexed="64"/>
      </left>
      <right style="medium">
        <color indexed="64"/>
      </right>
      <top style="dotted">
        <color theme="0" tint="-0.24994659260841701"/>
      </top>
      <bottom style="dotted">
        <color theme="0" tint="-0.24994659260841701"/>
      </bottom>
      <diagonal/>
    </border>
    <border>
      <left style="medium">
        <color indexed="64"/>
      </left>
      <right/>
      <top style="medium">
        <color indexed="64"/>
      </top>
      <bottom style="dotted">
        <color indexed="64"/>
      </bottom>
      <diagonal/>
    </border>
    <border>
      <left style="medium">
        <color indexed="64"/>
      </left>
      <right/>
      <top style="dotted">
        <color indexed="64"/>
      </top>
      <bottom style="dotted">
        <color indexed="64"/>
      </bottom>
      <diagonal/>
    </border>
    <border>
      <left style="medium">
        <color indexed="64"/>
      </left>
      <right/>
      <top/>
      <bottom style="dotted">
        <color indexed="64"/>
      </bottom>
      <diagonal/>
    </border>
    <border>
      <left style="thin">
        <color indexed="64"/>
      </left>
      <right style="medium">
        <color indexed="64"/>
      </right>
      <top style="dotted">
        <color theme="0" tint="-0.24994659260841701"/>
      </top>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indexed="64"/>
      </left>
      <right style="thin">
        <color indexed="64"/>
      </right>
      <top style="dotted">
        <color indexed="64"/>
      </top>
      <bottom style="thin">
        <color indexed="64"/>
      </bottom>
      <diagonal/>
    </border>
  </borders>
  <cellStyleXfs count="63">
    <xf numFmtId="0" fontId="0" fillId="0" borderId="0"/>
    <xf numFmtId="44" fontId="1" fillId="0" borderId="0" applyFont="0" applyFill="0" applyBorder="0" applyAlignment="0" applyProtection="0"/>
    <xf numFmtId="0" fontId="2" fillId="0" borderId="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0" fontId="5" fillId="0" borderId="0"/>
    <xf numFmtId="0" fontId="1" fillId="0" borderId="0"/>
    <xf numFmtId="0" fontId="2" fillId="0" borderId="0"/>
    <xf numFmtId="0" fontId="1" fillId="0" borderId="0"/>
    <xf numFmtId="44" fontId="5" fillId="0" borderId="0" applyFont="0" applyFill="0" applyBorder="0" applyAlignment="0" applyProtection="0"/>
    <xf numFmtId="0" fontId="14" fillId="0" borderId="0"/>
    <xf numFmtId="44" fontId="2" fillId="0" borderId="0" applyFont="0" applyFill="0" applyBorder="0" applyAlignment="0" applyProtection="0"/>
    <xf numFmtId="43" fontId="2" fillId="0" borderId="0" applyFont="0" applyFill="0" applyBorder="0" applyAlignment="0" applyProtection="0"/>
    <xf numFmtId="165" fontId="17" fillId="0" borderId="0"/>
    <xf numFmtId="169" fontId="1" fillId="0" borderId="0" applyFont="0" applyFill="0" applyBorder="0" applyAlignment="0" applyProtection="0"/>
    <xf numFmtId="165" fontId="17" fillId="0" borderId="0"/>
    <xf numFmtId="165" fontId="1" fillId="0" borderId="0"/>
    <xf numFmtId="10" fontId="14" fillId="0" borderId="0" applyProtection="0"/>
    <xf numFmtId="9" fontId="17" fillId="0" borderId="0" applyFont="0" applyFill="0" applyBorder="0" applyAlignment="0" applyProtection="0"/>
    <xf numFmtId="43" fontId="14" fillId="0" borderId="0" applyFont="0" applyFill="0" applyBorder="0" applyAlignment="0" applyProtection="0"/>
    <xf numFmtId="170"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165" fontId="1" fillId="0" borderId="0"/>
    <xf numFmtId="0" fontId="2" fillId="0" borderId="0"/>
    <xf numFmtId="0" fontId="50" fillId="0" borderId="0"/>
    <xf numFmtId="0" fontId="53" fillId="0" borderId="0" applyNumberFormat="0" applyFill="0" applyBorder="0" applyProtection="0"/>
    <xf numFmtId="0" fontId="2" fillId="0" borderId="0"/>
    <xf numFmtId="0" fontId="74" fillId="0" borderId="0" applyNumberFormat="0" applyFill="0" applyBorder="0" applyProtection="0"/>
    <xf numFmtId="44" fontId="1"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1" fillId="0" borderId="0" applyFont="0" applyFill="0" applyBorder="0" applyAlignment="0" applyProtection="0"/>
    <xf numFmtId="44" fontId="5"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4" fontId="1" fillId="0" borderId="0" applyFont="0" applyFill="0" applyBorder="0" applyAlignment="0" applyProtection="0"/>
    <xf numFmtId="165" fontId="82" fillId="0" borderId="0"/>
    <xf numFmtId="173" fontId="14"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5" fontId="1" fillId="0" borderId="0"/>
    <xf numFmtId="165"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65" fontId="1" fillId="0" borderId="0"/>
    <xf numFmtId="43" fontId="1" fillId="0" borderId="0" applyFont="0" applyFill="0" applyBorder="0" applyAlignment="0" applyProtection="0"/>
    <xf numFmtId="165" fontId="83" fillId="0" borderId="0"/>
    <xf numFmtId="9" fontId="1" fillId="0" borderId="0" applyFont="0" applyFill="0" applyBorder="0" applyAlignment="0" applyProtection="0"/>
    <xf numFmtId="171" fontId="2" fillId="0" borderId="0" applyFont="0" applyFill="0" applyBorder="0" applyAlignment="0" applyProtection="0"/>
    <xf numFmtId="171" fontId="14" fillId="0" borderId="0" applyFont="0" applyFill="0" applyBorder="0" applyAlignment="0" applyProtection="0"/>
    <xf numFmtId="9" fontId="1" fillId="0" borderId="0" applyFont="0" applyFill="0" applyBorder="0" applyAlignment="0" applyProtection="0"/>
    <xf numFmtId="165" fontId="2" fillId="0" borderId="0"/>
    <xf numFmtId="9" fontId="83" fillId="0" borderId="0" applyFont="0" applyFill="0" applyBorder="0" applyAlignment="0" applyProtection="0"/>
    <xf numFmtId="165" fontId="1" fillId="0" borderId="0"/>
    <xf numFmtId="171" fontId="2" fillId="0" borderId="0" applyFont="0" applyFill="0" applyBorder="0" applyAlignment="0" applyProtection="0"/>
    <xf numFmtId="43" fontId="1" fillId="0" borderId="0" applyFont="0" applyFill="0" applyBorder="0" applyAlignment="0" applyProtection="0"/>
    <xf numFmtId="0" fontId="2" fillId="0" borderId="0"/>
  </cellStyleXfs>
  <cellXfs count="1048">
    <xf numFmtId="0" fontId="0" fillId="0" borderId="0" xfId="0"/>
    <xf numFmtId="44" fontId="4" fillId="4" borderId="2" xfId="1" applyFont="1" applyFill="1" applyBorder="1"/>
    <xf numFmtId="49" fontId="0" fillId="0" borderId="0" xfId="0" applyNumberFormat="1"/>
    <xf numFmtId="16" fontId="0" fillId="0" borderId="1" xfId="0" applyNumberFormat="1" applyBorder="1" applyAlignment="1">
      <alignment horizontal="center"/>
    </xf>
    <xf numFmtId="49" fontId="0" fillId="0" borderId="7" xfId="0" applyNumberFormat="1" applyBorder="1"/>
    <xf numFmtId="16" fontId="0" fillId="0" borderId="8" xfId="0" applyNumberFormat="1" applyBorder="1" applyAlignment="1">
      <alignment horizontal="center"/>
    </xf>
    <xf numFmtId="49" fontId="0" fillId="0" borderId="9" xfId="0" applyNumberFormat="1" applyBorder="1"/>
    <xf numFmtId="16" fontId="0" fillId="0" borderId="10" xfId="0" applyNumberFormat="1" applyBorder="1" applyAlignment="1">
      <alignment horizontal="center"/>
    </xf>
    <xf numFmtId="16" fontId="0" fillId="0" borderId="11" xfId="0" applyNumberFormat="1" applyBorder="1" applyAlignment="1">
      <alignment horizontal="center"/>
    </xf>
    <xf numFmtId="1" fontId="0" fillId="0" borderId="0" xfId="0" applyNumberFormat="1"/>
    <xf numFmtId="44" fontId="4" fillId="4" borderId="13" xfId="1" applyFont="1" applyFill="1" applyBorder="1"/>
    <xf numFmtId="44" fontId="4" fillId="4" borderId="17" xfId="1" applyFont="1" applyFill="1" applyBorder="1"/>
    <xf numFmtId="0" fontId="7" fillId="5" borderId="19" xfId="2" applyFont="1" applyFill="1" applyBorder="1"/>
    <xf numFmtId="0" fontId="7" fillId="5" borderId="20" xfId="2" applyFont="1" applyFill="1" applyBorder="1" applyAlignment="1">
      <alignment wrapText="1"/>
    </xf>
    <xf numFmtId="0" fontId="7" fillId="5" borderId="21" xfId="2" applyFont="1" applyFill="1" applyBorder="1"/>
    <xf numFmtId="0" fontId="10" fillId="6" borderId="0" xfId="0" applyFont="1" applyFill="1" applyAlignment="1">
      <alignment horizontal="center" vertical="center"/>
    </xf>
    <xf numFmtId="14" fontId="3" fillId="6" borderId="0" xfId="0" applyNumberFormat="1" applyFont="1" applyFill="1"/>
    <xf numFmtId="0" fontId="16" fillId="6" borderId="0" xfId="7" applyFont="1" applyFill="1" applyAlignment="1">
      <alignment horizontal="left" vertical="center" wrapText="1"/>
    </xf>
    <xf numFmtId="0" fontId="4" fillId="0" borderId="0" xfId="2" applyFont="1"/>
    <xf numFmtId="0" fontId="16" fillId="6" borderId="0" xfId="7" applyFont="1" applyFill="1" applyAlignment="1">
      <alignment vertical="center" wrapText="1"/>
    </xf>
    <xf numFmtId="0" fontId="12" fillId="6" borderId="0" xfId="0" applyFont="1" applyFill="1" applyAlignment="1">
      <alignment vertical="center"/>
    </xf>
    <xf numFmtId="0" fontId="0" fillId="6" borderId="0" xfId="0" applyFill="1"/>
    <xf numFmtId="0" fontId="0" fillId="6" borderId="0" xfId="0" applyFill="1" applyAlignment="1">
      <alignment horizontal="right"/>
    </xf>
    <xf numFmtId="0" fontId="9" fillId="6" borderId="0" xfId="0" applyFont="1" applyFill="1" applyAlignment="1">
      <alignment horizontal="right" vertical="center"/>
    </xf>
    <xf numFmtId="164" fontId="4" fillId="4" borderId="3" xfId="1" applyNumberFormat="1" applyFont="1" applyFill="1" applyBorder="1" applyAlignment="1">
      <alignment horizontal="center" vertical="center"/>
    </xf>
    <xf numFmtId="165" fontId="4" fillId="6" borderId="0" xfId="14" applyFont="1" applyFill="1" applyAlignment="1">
      <alignment vertical="center"/>
    </xf>
    <xf numFmtId="165" fontId="4" fillId="6" borderId="0" xfId="14" applyFont="1" applyFill="1" applyAlignment="1">
      <alignment horizontal="left" vertical="center"/>
    </xf>
    <xf numFmtId="165" fontId="4" fillId="6" borderId="0" xfId="14" applyFont="1" applyFill="1" applyAlignment="1">
      <alignment horizontal="center" vertical="center"/>
    </xf>
    <xf numFmtId="165" fontId="8" fillId="6" borderId="0" xfId="14" applyFont="1" applyFill="1"/>
    <xf numFmtId="165" fontId="18" fillId="6" borderId="0" xfId="14" applyFont="1" applyFill="1" applyAlignment="1">
      <alignment vertical="center"/>
    </xf>
    <xf numFmtId="165" fontId="4" fillId="6" borderId="0" xfId="14" applyFont="1" applyFill="1" applyAlignment="1">
      <alignment vertical="center" wrapText="1"/>
    </xf>
    <xf numFmtId="165" fontId="4" fillId="6" borderId="36" xfId="14" applyFont="1" applyFill="1" applyBorder="1" applyAlignment="1">
      <alignment vertical="center"/>
    </xf>
    <xf numFmtId="165" fontId="3" fillId="6" borderId="37" xfId="14" applyFont="1" applyFill="1" applyBorder="1" applyAlignment="1">
      <alignment horizontal="right" vertical="center"/>
    </xf>
    <xf numFmtId="167" fontId="19" fillId="6" borderId="38" xfId="14" applyNumberFormat="1" applyFont="1" applyFill="1" applyBorder="1" applyAlignment="1">
      <alignment horizontal="center" vertical="center"/>
    </xf>
    <xf numFmtId="165" fontId="3" fillId="6" borderId="0" xfId="14" applyFont="1" applyFill="1" applyAlignment="1">
      <alignment horizontal="left" vertical="center"/>
    </xf>
    <xf numFmtId="4" fontId="4" fillId="6" borderId="0" xfId="14" applyNumberFormat="1" applyFont="1" applyFill="1" applyAlignment="1">
      <alignment horizontal="right" vertical="center"/>
    </xf>
    <xf numFmtId="165" fontId="3" fillId="9" borderId="37" xfId="14" applyFont="1" applyFill="1" applyBorder="1" applyAlignment="1">
      <alignment horizontal="left" vertical="center"/>
    </xf>
    <xf numFmtId="168" fontId="20" fillId="9" borderId="37" xfId="14" applyNumberFormat="1" applyFont="1" applyFill="1" applyBorder="1" applyAlignment="1">
      <alignment horizontal="center" vertical="center"/>
    </xf>
    <xf numFmtId="165" fontId="3" fillId="9" borderId="37" xfId="14" applyFont="1" applyFill="1" applyBorder="1" applyAlignment="1">
      <alignment horizontal="center" vertical="center"/>
    </xf>
    <xf numFmtId="4" fontId="3" fillId="9" borderId="38" xfId="14" applyNumberFormat="1" applyFont="1" applyFill="1" applyBorder="1" applyAlignment="1">
      <alignment horizontal="right" vertical="center"/>
    </xf>
    <xf numFmtId="165" fontId="3" fillId="0" borderId="22" xfId="14" applyFont="1" applyBorder="1" applyAlignment="1">
      <alignment horizontal="center" vertical="center"/>
    </xf>
    <xf numFmtId="165" fontId="3" fillId="0" borderId="39" xfId="14" applyFont="1" applyBorder="1" applyAlignment="1">
      <alignment horizontal="left" vertical="center" wrapText="1"/>
    </xf>
    <xf numFmtId="165" fontId="3" fillId="0" borderId="23" xfId="14" applyFont="1" applyBorder="1" applyAlignment="1">
      <alignment horizontal="left" vertical="center"/>
    </xf>
    <xf numFmtId="4" fontId="3" fillId="0" borderId="23" xfId="14" applyNumberFormat="1" applyFont="1" applyBorder="1" applyAlignment="1">
      <alignment horizontal="center" vertical="center" wrapText="1"/>
    </xf>
    <xf numFmtId="165" fontId="3" fillId="0" borderId="23" xfId="14" applyFont="1" applyBorder="1" applyAlignment="1">
      <alignment horizontal="center" vertical="center" wrapText="1"/>
    </xf>
    <xf numFmtId="165" fontId="8" fillId="6" borderId="0" xfId="14" applyFont="1" applyFill="1" applyAlignment="1">
      <alignment horizontal="left"/>
    </xf>
    <xf numFmtId="169" fontId="4" fillId="8" borderId="0" xfId="15" applyFont="1" applyFill="1" applyBorder="1" applyAlignment="1">
      <alignment vertical="center"/>
    </xf>
    <xf numFmtId="4" fontId="8" fillId="6" borderId="0" xfId="14" applyNumberFormat="1" applyFont="1" applyFill="1" applyAlignment="1">
      <alignment horizontal="left"/>
    </xf>
    <xf numFmtId="169" fontId="4" fillId="0" borderId="43" xfId="15" applyFont="1" applyBorder="1" applyAlignment="1">
      <alignment vertical="center"/>
    </xf>
    <xf numFmtId="2" fontId="4" fillId="0" borderId="42" xfId="14" applyNumberFormat="1" applyFont="1" applyBorder="1" applyAlignment="1">
      <alignment horizontal="center" vertical="center"/>
    </xf>
    <xf numFmtId="1" fontId="4" fillId="0" borderId="45" xfId="14" applyNumberFormat="1" applyFont="1" applyBorder="1" applyAlignment="1">
      <alignment horizontal="center" vertical="center"/>
    </xf>
    <xf numFmtId="1" fontId="4" fillId="0" borderId="42" xfId="14" applyNumberFormat="1" applyFont="1" applyBorder="1" applyAlignment="1">
      <alignment horizontal="center" vertical="center"/>
    </xf>
    <xf numFmtId="169" fontId="4" fillId="8" borderId="43" xfId="15" applyFont="1" applyFill="1" applyBorder="1" applyAlignment="1">
      <alignment vertical="center"/>
    </xf>
    <xf numFmtId="1" fontId="4" fillId="0" borderId="48" xfId="14" applyNumberFormat="1" applyFont="1" applyBorder="1" applyAlignment="1">
      <alignment horizontal="center" vertical="center"/>
    </xf>
    <xf numFmtId="1" fontId="3" fillId="9" borderId="36" xfId="14" applyNumberFormat="1" applyFont="1" applyFill="1" applyBorder="1" applyAlignment="1">
      <alignment horizontal="left" vertical="center"/>
    </xf>
    <xf numFmtId="2" fontId="3" fillId="9" borderId="37" xfId="14" applyNumberFormat="1" applyFont="1" applyFill="1" applyBorder="1" applyAlignment="1">
      <alignment horizontal="center" vertical="center"/>
    </xf>
    <xf numFmtId="165" fontId="4" fillId="0" borderId="50" xfId="14" applyFont="1" applyBorder="1" applyAlignment="1">
      <alignment vertical="center"/>
    </xf>
    <xf numFmtId="165" fontId="4" fillId="0" borderId="42" xfId="14" applyFont="1" applyBorder="1" applyAlignment="1">
      <alignment vertical="center"/>
    </xf>
    <xf numFmtId="4" fontId="4" fillId="0" borderId="42" xfId="14" applyNumberFormat="1" applyFont="1" applyBorder="1" applyAlignment="1">
      <alignment horizontal="center" vertical="center"/>
    </xf>
    <xf numFmtId="165" fontId="4" fillId="0" borderId="51" xfId="14" applyFont="1" applyBorder="1" applyAlignment="1">
      <alignment vertical="center"/>
    </xf>
    <xf numFmtId="165" fontId="4" fillId="0" borderId="52" xfId="14" applyFont="1" applyBorder="1" applyAlignment="1">
      <alignment vertical="center"/>
    </xf>
    <xf numFmtId="165" fontId="3" fillId="0" borderId="23" xfId="14" applyFont="1" applyBorder="1" applyAlignment="1">
      <alignment horizontal="center" vertical="center"/>
    </xf>
    <xf numFmtId="4" fontId="4" fillId="0" borderId="52" xfId="14" applyNumberFormat="1" applyFont="1" applyBorder="1" applyAlignment="1">
      <alignment horizontal="center" vertical="center"/>
    </xf>
    <xf numFmtId="2" fontId="4" fillId="0" borderId="52" xfId="14" applyNumberFormat="1" applyFont="1" applyBorder="1" applyAlignment="1">
      <alignment horizontal="center" vertical="center"/>
    </xf>
    <xf numFmtId="2" fontId="20" fillId="9" borderId="37" xfId="14" applyNumberFormat="1" applyFont="1" applyFill="1" applyBorder="1" applyAlignment="1">
      <alignment horizontal="center" vertical="center"/>
    </xf>
    <xf numFmtId="165" fontId="26" fillId="6" borderId="0" xfId="14" applyFont="1" applyFill="1" applyAlignment="1">
      <alignment vertical="center"/>
    </xf>
    <xf numFmtId="0" fontId="4" fillId="6" borderId="0" xfId="2" applyFont="1" applyFill="1"/>
    <xf numFmtId="0" fontId="11" fillId="6" borderId="0" xfId="2" applyFont="1" applyFill="1"/>
    <xf numFmtId="0" fontId="9" fillId="6" borderId="0" xfId="11" applyFont="1" applyFill="1"/>
    <xf numFmtId="0" fontId="11" fillId="6" borderId="0" xfId="11" applyFont="1" applyFill="1"/>
    <xf numFmtId="0" fontId="4" fillId="6" borderId="0" xfId="11" applyFont="1" applyFill="1"/>
    <xf numFmtId="0" fontId="13" fillId="6" borderId="0" xfId="11" applyFont="1" applyFill="1" applyAlignment="1">
      <alignment vertical="center"/>
    </xf>
    <xf numFmtId="4" fontId="29" fillId="6" borderId="0" xfId="11" applyNumberFormat="1" applyFont="1" applyFill="1"/>
    <xf numFmtId="0" fontId="13" fillId="6" borderId="0" xfId="11" applyFont="1" applyFill="1" applyAlignment="1">
      <alignment horizontal="left" vertical="center"/>
    </xf>
    <xf numFmtId="0" fontId="13" fillId="6" borderId="36" xfId="11" applyFont="1" applyFill="1" applyBorder="1" applyAlignment="1">
      <alignment horizontal="left" vertical="center"/>
    </xf>
    <xf numFmtId="0" fontId="13" fillId="6" borderId="37" xfId="11" applyFont="1" applyFill="1" applyBorder="1" applyAlignment="1">
      <alignment horizontal="left" vertical="center"/>
    </xf>
    <xf numFmtId="170" fontId="30" fillId="6" borderId="38" xfId="21" applyFont="1" applyFill="1" applyBorder="1" applyAlignment="1">
      <alignment horizontal="left" vertical="center"/>
    </xf>
    <xf numFmtId="0" fontId="31" fillId="6" borderId="0" xfId="11" applyFont="1" applyFill="1" applyAlignment="1">
      <alignment horizontal="right" vertical="center" wrapText="1"/>
    </xf>
    <xf numFmtId="0" fontId="31" fillId="6" borderId="0" xfId="11" applyFont="1" applyFill="1" applyAlignment="1">
      <alignment vertical="center" wrapText="1"/>
    </xf>
    <xf numFmtId="170" fontId="13" fillId="6" borderId="38" xfId="21" applyFont="1" applyFill="1" applyBorder="1" applyAlignment="1">
      <alignment horizontal="left" vertical="center"/>
    </xf>
    <xf numFmtId="0" fontId="13" fillId="6" borderId="0" xfId="11" applyFont="1" applyFill="1" applyAlignment="1">
      <alignment horizontal="center" vertical="center"/>
    </xf>
    <xf numFmtId="0" fontId="13" fillId="6" borderId="0" xfId="11" applyFont="1" applyFill="1" applyAlignment="1">
      <alignment horizontal="center" vertical="center" wrapText="1"/>
    </xf>
    <xf numFmtId="43" fontId="13" fillId="6" borderId="0" xfId="4" applyFont="1" applyFill="1" applyBorder="1" applyAlignment="1">
      <alignment horizontal="center" vertical="center" wrapText="1"/>
    </xf>
    <xf numFmtId="0" fontId="32" fillId="12" borderId="27" xfId="11" applyFont="1" applyFill="1" applyBorder="1" applyAlignment="1">
      <alignment vertical="center"/>
    </xf>
    <xf numFmtId="0" fontId="33" fillId="12" borderId="28" xfId="11" applyFont="1" applyFill="1" applyBorder="1" applyAlignment="1">
      <alignment horizontal="right"/>
    </xf>
    <xf numFmtId="0" fontId="32" fillId="12" borderId="28" xfId="11" applyFont="1" applyFill="1" applyBorder="1" applyAlignment="1">
      <alignment vertical="center"/>
    </xf>
    <xf numFmtId="0" fontId="32" fillId="12" borderId="29" xfId="11" applyFont="1" applyFill="1" applyBorder="1" applyAlignment="1">
      <alignment vertical="center"/>
    </xf>
    <xf numFmtId="0" fontId="9" fillId="10" borderId="0" xfId="11" applyFont="1" applyFill="1"/>
    <xf numFmtId="0" fontId="4" fillId="10" borderId="0" xfId="2" applyFont="1" applyFill="1"/>
    <xf numFmtId="8" fontId="10" fillId="6" borderId="56" xfId="11" applyNumberFormat="1" applyFont="1" applyFill="1" applyBorder="1" applyAlignment="1">
      <alignment horizontal="right"/>
    </xf>
    <xf numFmtId="8" fontId="10" fillId="6" borderId="32" xfId="11" applyNumberFormat="1" applyFont="1" applyFill="1" applyBorder="1" applyAlignment="1">
      <alignment horizontal="right"/>
    </xf>
    <xf numFmtId="8" fontId="13" fillId="6" borderId="32" xfId="22" applyNumberFormat="1" applyFont="1" applyFill="1" applyBorder="1" applyAlignment="1"/>
    <xf numFmtId="8" fontId="13" fillId="6" borderId="33" xfId="22" applyNumberFormat="1" applyFont="1" applyFill="1" applyBorder="1" applyAlignment="1"/>
    <xf numFmtId="0" fontId="3" fillId="6" borderId="0" xfId="11" applyFont="1" applyFill="1" applyAlignment="1">
      <alignment horizontal="center" vertical="center"/>
    </xf>
    <xf numFmtId="8" fontId="10" fillId="6" borderId="0" xfId="11" applyNumberFormat="1" applyFont="1" applyFill="1" applyAlignment="1">
      <alignment horizontal="right"/>
    </xf>
    <xf numFmtId="8" fontId="13" fillId="6" borderId="0" xfId="22" applyNumberFormat="1" applyFont="1" applyFill="1" applyBorder="1" applyAlignment="1">
      <alignment horizontal="center"/>
    </xf>
    <xf numFmtId="43" fontId="34" fillId="6" borderId="0" xfId="20" applyFont="1" applyFill="1" applyBorder="1" applyAlignment="1" applyProtection="1">
      <alignment horizontal="center" vertical="center" wrapText="1"/>
    </xf>
    <xf numFmtId="0" fontId="4" fillId="6" borderId="0" xfId="11" applyFont="1" applyFill="1" applyAlignment="1">
      <alignment horizontal="center" vertical="center" wrapText="1"/>
    </xf>
    <xf numFmtId="0" fontId="35" fillId="5" borderId="57" xfId="11" applyFont="1" applyFill="1" applyBorder="1"/>
    <xf numFmtId="0" fontId="35" fillId="5" borderId="58" xfId="11" applyFont="1" applyFill="1" applyBorder="1"/>
    <xf numFmtId="8" fontId="36" fillId="5" borderId="58" xfId="11" applyNumberFormat="1" applyFont="1" applyFill="1" applyBorder="1"/>
    <xf numFmtId="0" fontId="3" fillId="6" borderId="0" xfId="2" applyFont="1" applyFill="1"/>
    <xf numFmtId="0" fontId="3" fillId="7" borderId="60" xfId="11" applyFont="1" applyFill="1" applyBorder="1" applyAlignment="1" applyProtection="1">
      <alignment horizontal="center" vertical="center" wrapText="1"/>
      <protection locked="0"/>
    </xf>
    <xf numFmtId="0" fontId="3" fillId="7" borderId="61" xfId="11" applyFont="1" applyFill="1" applyBorder="1" applyAlignment="1" applyProtection="1">
      <alignment horizontal="center" vertical="center" wrapText="1"/>
      <protection locked="0"/>
    </xf>
    <xf numFmtId="0" fontId="3" fillId="7" borderId="62" xfId="11" applyFont="1" applyFill="1" applyBorder="1" applyAlignment="1" applyProtection="1">
      <alignment horizontal="center" vertical="center" wrapText="1"/>
      <protection locked="0"/>
    </xf>
    <xf numFmtId="0" fontId="3" fillId="0" borderId="0" xfId="2" applyFont="1"/>
    <xf numFmtId="0" fontId="4" fillId="3" borderId="60" xfId="11" applyFont="1" applyFill="1" applyBorder="1" applyAlignment="1" applyProtection="1">
      <alignment horizontal="center" vertical="center"/>
      <protection locked="0"/>
    </xf>
    <xf numFmtId="0" fontId="22" fillId="3" borderId="61" xfId="11" applyFont="1" applyFill="1" applyBorder="1" applyAlignment="1" applyProtection="1">
      <alignment horizontal="center" vertical="center"/>
      <protection locked="0"/>
    </xf>
    <xf numFmtId="8" fontId="37" fillId="3" borderId="64" xfId="22" applyNumberFormat="1" applyFont="1" applyFill="1" applyBorder="1" applyAlignment="1" applyProtection="1">
      <alignment horizontal="center" vertical="center"/>
      <protection locked="0"/>
    </xf>
    <xf numFmtId="0" fontId="37" fillId="3" borderId="64" xfId="22" applyNumberFormat="1" applyFont="1" applyFill="1" applyBorder="1" applyAlignment="1" applyProtection="1">
      <alignment horizontal="center" vertical="center"/>
      <protection locked="0"/>
    </xf>
    <xf numFmtId="0" fontId="4" fillId="3" borderId="64" xfId="11" applyFont="1" applyFill="1" applyBorder="1" applyAlignment="1" applyProtection="1">
      <alignment horizontal="center" vertical="center"/>
      <protection locked="0"/>
    </xf>
    <xf numFmtId="0" fontId="38" fillId="6" borderId="0" xfId="11" applyFont="1" applyFill="1"/>
    <xf numFmtId="0" fontId="4" fillId="11" borderId="56" xfId="11" applyFont="1" applyFill="1" applyBorder="1" applyAlignment="1" applyProtection="1">
      <alignment horizontal="left" vertical="center"/>
      <protection locked="0"/>
    </xf>
    <xf numFmtId="0" fontId="4" fillId="11" borderId="32" xfId="11" applyFont="1" applyFill="1" applyBorder="1" applyAlignment="1" applyProtection="1">
      <alignment horizontal="left" vertical="center"/>
      <protection locked="0"/>
    </xf>
    <xf numFmtId="0" fontId="9" fillId="11" borderId="32" xfId="22" applyNumberFormat="1" applyFont="1" applyFill="1" applyBorder="1" applyAlignment="1">
      <alignment horizontal="center"/>
    </xf>
    <xf numFmtId="43" fontId="9" fillId="11" borderId="32" xfId="20" applyFont="1" applyFill="1" applyBorder="1" applyAlignment="1">
      <alignment horizontal="center"/>
    </xf>
    <xf numFmtId="43" fontId="9" fillId="11" borderId="32" xfId="20" applyFont="1" applyFill="1" applyBorder="1"/>
    <xf numFmtId="0" fontId="9" fillId="11" borderId="33" xfId="22" applyNumberFormat="1" applyFont="1" applyFill="1" applyBorder="1"/>
    <xf numFmtId="0" fontId="3" fillId="6" borderId="0" xfId="11" applyFont="1" applyFill="1"/>
    <xf numFmtId="0" fontId="10" fillId="6" borderId="0" xfId="11" applyFont="1" applyFill="1"/>
    <xf numFmtId="44" fontId="9" fillId="11" borderId="33" xfId="1" applyFont="1" applyFill="1" applyBorder="1"/>
    <xf numFmtId="0" fontId="38" fillId="6" borderId="0" xfId="2" applyFont="1" applyFill="1"/>
    <xf numFmtId="0" fontId="38" fillId="0" borderId="0" xfId="2" applyFont="1"/>
    <xf numFmtId="43" fontId="9" fillId="6" borderId="0" xfId="20" applyFont="1" applyFill="1"/>
    <xf numFmtId="0" fontId="9" fillId="6" borderId="0" xfId="11" applyFont="1" applyFill="1" applyAlignment="1">
      <alignment horizontal="left"/>
    </xf>
    <xf numFmtId="43" fontId="41" fillId="6" borderId="0" xfId="20" applyFont="1" applyFill="1"/>
    <xf numFmtId="0" fontId="41" fillId="6" borderId="0" xfId="11" applyFont="1" applyFill="1"/>
    <xf numFmtId="2" fontId="4" fillId="6" borderId="0" xfId="14" applyNumberFormat="1" applyFont="1" applyFill="1" applyAlignment="1">
      <alignment vertical="center"/>
    </xf>
    <xf numFmtId="4" fontId="3" fillId="0" borderId="24" xfId="14" applyNumberFormat="1" applyFont="1" applyBorder="1" applyAlignment="1">
      <alignment horizontal="center" vertical="center" wrapText="1"/>
    </xf>
    <xf numFmtId="167" fontId="19" fillId="6" borderId="0" xfId="14" applyNumberFormat="1" applyFont="1" applyFill="1" applyAlignment="1">
      <alignment horizontal="center" vertical="center"/>
    </xf>
    <xf numFmtId="165" fontId="3" fillId="6" borderId="0" xfId="14" applyFont="1" applyFill="1" applyAlignment="1">
      <alignment horizontal="right" vertical="center"/>
    </xf>
    <xf numFmtId="10" fontId="4" fillId="6" borderId="0" xfId="14" applyNumberFormat="1" applyFont="1" applyFill="1" applyAlignment="1">
      <alignment vertical="center"/>
    </xf>
    <xf numFmtId="10" fontId="19" fillId="6" borderId="0" xfId="14" applyNumberFormat="1" applyFont="1" applyFill="1" applyAlignment="1">
      <alignment horizontal="center" vertical="center"/>
    </xf>
    <xf numFmtId="10" fontId="3" fillId="6" borderId="0" xfId="14" applyNumberFormat="1" applyFont="1" applyFill="1" applyAlignment="1">
      <alignment horizontal="right" vertical="center"/>
    </xf>
    <xf numFmtId="10" fontId="4" fillId="6" borderId="0" xfId="14" applyNumberFormat="1" applyFont="1" applyFill="1" applyAlignment="1">
      <alignment horizontal="right" vertical="center"/>
    </xf>
    <xf numFmtId="10" fontId="26" fillId="6" borderId="0" xfId="14" applyNumberFormat="1" applyFont="1" applyFill="1" applyAlignment="1">
      <alignment vertical="center"/>
    </xf>
    <xf numFmtId="49" fontId="3" fillId="0" borderId="24" xfId="14" applyNumberFormat="1" applyFont="1" applyBorder="1" applyAlignment="1">
      <alignment horizontal="center" vertical="center" wrapText="1"/>
    </xf>
    <xf numFmtId="43" fontId="3" fillId="9" borderId="36" xfId="1" applyNumberFormat="1" applyFont="1" applyFill="1" applyBorder="1" applyAlignment="1">
      <alignment horizontal="right" vertical="center"/>
    </xf>
    <xf numFmtId="43" fontId="3" fillId="9" borderId="37" xfId="1" applyNumberFormat="1" applyFont="1" applyFill="1" applyBorder="1" applyAlignment="1">
      <alignment horizontal="right" vertical="center"/>
    </xf>
    <xf numFmtId="43" fontId="3" fillId="9" borderId="38" xfId="1" applyNumberFormat="1" applyFont="1" applyFill="1" applyBorder="1" applyAlignment="1">
      <alignment horizontal="right" vertical="center"/>
    </xf>
    <xf numFmtId="169" fontId="4" fillId="8" borderId="30" xfId="15" applyFont="1" applyFill="1" applyBorder="1" applyAlignment="1">
      <alignment vertical="center"/>
    </xf>
    <xf numFmtId="169" fontId="4" fillId="8" borderId="31" xfId="15" applyFont="1" applyFill="1" applyBorder="1" applyAlignment="1">
      <alignment vertical="center"/>
    </xf>
    <xf numFmtId="169" fontId="4" fillId="0" borderId="69" xfId="15" applyFont="1" applyBorder="1" applyAlignment="1">
      <alignment vertical="center"/>
    </xf>
    <xf numFmtId="169" fontId="4" fillId="0" borderId="68" xfId="15" applyFont="1" applyBorder="1" applyAlignment="1">
      <alignment vertical="center"/>
    </xf>
    <xf numFmtId="169" fontId="4" fillId="8" borderId="69" xfId="15" applyFont="1" applyFill="1" applyBorder="1" applyAlignment="1">
      <alignment vertical="center"/>
    </xf>
    <xf numFmtId="169" fontId="4" fillId="8" borderId="68" xfId="15" applyFont="1" applyFill="1" applyBorder="1" applyAlignment="1">
      <alignment vertical="center"/>
    </xf>
    <xf numFmtId="169" fontId="4" fillId="0" borderId="70" xfId="15" applyFont="1" applyBorder="1" applyAlignment="1">
      <alignment vertical="center"/>
    </xf>
    <xf numFmtId="169" fontId="4" fillId="0" borderId="71" xfId="15" applyFont="1" applyBorder="1" applyAlignment="1">
      <alignment vertical="center"/>
    </xf>
    <xf numFmtId="169" fontId="4" fillId="0" borderId="72" xfId="15" applyFont="1" applyBorder="1" applyAlignment="1">
      <alignment vertical="center"/>
    </xf>
    <xf numFmtId="171" fontId="3" fillId="10" borderId="31" xfId="2" applyNumberFormat="1" applyFont="1" applyFill="1" applyBorder="1" applyAlignment="1">
      <alignment vertical="center"/>
    </xf>
    <xf numFmtId="8" fontId="10" fillId="6" borderId="33" xfId="11" applyNumberFormat="1" applyFont="1" applyFill="1" applyBorder="1" applyAlignment="1">
      <alignment horizontal="right"/>
    </xf>
    <xf numFmtId="0" fontId="3" fillId="7" borderId="63" xfId="11" applyFont="1" applyFill="1" applyBorder="1" applyAlignment="1" applyProtection="1">
      <alignment horizontal="center" vertical="center" wrapText="1"/>
      <protection locked="0"/>
    </xf>
    <xf numFmtId="0" fontId="9" fillId="11" borderId="56" xfId="22" applyNumberFormat="1" applyFont="1" applyFill="1" applyBorder="1" applyAlignment="1">
      <alignment horizontal="center"/>
    </xf>
    <xf numFmtId="0" fontId="9" fillId="11" borderId="33" xfId="22" applyNumberFormat="1" applyFont="1" applyFill="1" applyBorder="1" applyAlignment="1">
      <alignment horizontal="center"/>
    </xf>
    <xf numFmtId="0" fontId="4" fillId="6" borderId="0" xfId="2" applyFont="1" applyFill="1" applyAlignment="1">
      <alignment horizontal="center"/>
    </xf>
    <xf numFmtId="0" fontId="9" fillId="6" borderId="0" xfId="11" applyFont="1" applyFill="1" applyAlignment="1">
      <alignment wrapText="1"/>
    </xf>
    <xf numFmtId="0" fontId="3" fillId="12" borderId="27" xfId="11" applyFont="1" applyFill="1" applyBorder="1" applyAlignment="1">
      <alignment vertical="center" wrapText="1"/>
    </xf>
    <xf numFmtId="0" fontId="3" fillId="12" borderId="29" xfId="11" applyFont="1" applyFill="1" applyBorder="1" applyAlignment="1">
      <alignment vertical="center" wrapText="1"/>
    </xf>
    <xf numFmtId="9" fontId="3" fillId="10" borderId="30" xfId="23" applyFont="1" applyFill="1" applyBorder="1" applyAlignment="1">
      <alignment vertical="center"/>
    </xf>
    <xf numFmtId="0" fontId="4" fillId="7" borderId="62" xfId="11" applyFont="1" applyFill="1" applyBorder="1" applyAlignment="1" applyProtection="1">
      <alignment horizontal="center" vertical="center" wrapText="1"/>
      <protection locked="0"/>
    </xf>
    <xf numFmtId="8" fontId="4" fillId="3" borderId="65" xfId="22" applyNumberFormat="1" applyFont="1" applyFill="1" applyBorder="1" applyAlignment="1" applyProtection="1">
      <alignment horizontal="center" vertical="center"/>
      <protection locked="0"/>
    </xf>
    <xf numFmtId="9" fontId="4" fillId="7" borderId="63" xfId="23" applyFont="1" applyFill="1" applyBorder="1" applyAlignment="1" applyProtection="1">
      <alignment horizontal="center" vertical="center" wrapText="1"/>
      <protection locked="0"/>
    </xf>
    <xf numFmtId="9" fontId="4" fillId="3" borderId="73" xfId="23" applyFont="1" applyFill="1" applyBorder="1" applyAlignment="1" applyProtection="1">
      <alignment horizontal="center" vertical="center"/>
      <protection locked="0"/>
    </xf>
    <xf numFmtId="9" fontId="9" fillId="11" borderId="56" xfId="23" applyFont="1" applyFill="1" applyBorder="1" applyAlignment="1">
      <alignment horizontal="center"/>
    </xf>
    <xf numFmtId="49" fontId="3" fillId="0" borderId="22" xfId="14" applyNumberFormat="1" applyFont="1" applyBorder="1" applyAlignment="1">
      <alignment horizontal="center" vertical="center" wrapText="1"/>
    </xf>
    <xf numFmtId="10" fontId="3" fillId="9" borderId="36" xfId="14" applyNumberFormat="1" applyFont="1" applyFill="1" applyBorder="1" applyAlignment="1">
      <alignment horizontal="center" vertical="center"/>
    </xf>
    <xf numFmtId="44" fontId="42" fillId="5" borderId="59" xfId="1" applyFont="1" applyFill="1" applyBorder="1"/>
    <xf numFmtId="2" fontId="4" fillId="4" borderId="3" xfId="1" applyNumberFormat="1" applyFont="1" applyFill="1" applyBorder="1" applyAlignment="1">
      <alignment horizontal="center" vertical="center"/>
    </xf>
    <xf numFmtId="165" fontId="15" fillId="6" borderId="0" xfId="14" applyFont="1" applyFill="1" applyAlignment="1">
      <alignment vertical="center" wrapText="1"/>
    </xf>
    <xf numFmtId="44" fontId="4" fillId="6" borderId="2" xfId="1" applyFont="1" applyFill="1" applyBorder="1"/>
    <xf numFmtId="0" fontId="1" fillId="0" borderId="0" xfId="7"/>
    <xf numFmtId="0" fontId="45" fillId="6" borderId="0" xfId="24" applyFont="1" applyFill="1" applyAlignment="1">
      <alignment horizontal="center" vertical="center" wrapText="1"/>
    </xf>
    <xf numFmtId="0" fontId="45" fillId="6" borderId="0" xfId="24" applyFont="1" applyFill="1" applyAlignment="1">
      <alignment vertical="center" wrapText="1"/>
    </xf>
    <xf numFmtId="0" fontId="10" fillId="6" borderId="0" xfId="7" applyFont="1" applyFill="1" applyAlignment="1">
      <alignment horizontal="center" vertical="center"/>
    </xf>
    <xf numFmtId="0" fontId="47" fillId="6" borderId="0" xfId="7" applyFont="1" applyFill="1" applyAlignment="1">
      <alignment horizontal="left" vertical="center" wrapText="1"/>
    </xf>
    <xf numFmtId="49" fontId="32" fillId="0" borderId="3" xfId="14" applyNumberFormat="1" applyFont="1" applyBorder="1" applyAlignment="1">
      <alignment horizontal="center" vertical="center" wrapText="1"/>
    </xf>
    <xf numFmtId="49" fontId="0" fillId="6" borderId="0" xfId="0" applyNumberFormat="1" applyFill="1"/>
    <xf numFmtId="0" fontId="0" fillId="9" borderId="80" xfId="0" applyFill="1" applyBorder="1" applyAlignment="1">
      <alignment horizontal="center" vertical="center"/>
    </xf>
    <xf numFmtId="0" fontId="0" fillId="9" borderId="84" xfId="0" applyFill="1" applyBorder="1" applyAlignment="1">
      <alignment horizontal="center" vertical="center"/>
    </xf>
    <xf numFmtId="49" fontId="0" fillId="9" borderId="85" xfId="0" applyNumberFormat="1" applyFill="1" applyBorder="1" applyAlignment="1">
      <alignment horizontal="center" vertical="center" wrapText="1"/>
    </xf>
    <xf numFmtId="49" fontId="44" fillId="6" borderId="0" xfId="0" applyNumberFormat="1" applyFont="1" applyFill="1" applyAlignment="1">
      <alignment vertical="center" wrapText="1"/>
    </xf>
    <xf numFmtId="1" fontId="44" fillId="6" borderId="0" xfId="0" applyNumberFormat="1" applyFont="1" applyFill="1" applyAlignment="1">
      <alignment horizontal="center" vertical="center"/>
    </xf>
    <xf numFmtId="1" fontId="0" fillId="2" borderId="89" xfId="0" applyNumberFormat="1" applyFill="1" applyBorder="1" applyAlignment="1">
      <alignment horizontal="center"/>
    </xf>
    <xf numFmtId="1" fontId="0" fillId="6" borderId="0" xfId="0" applyNumberFormat="1" applyFill="1"/>
    <xf numFmtId="1" fontId="0" fillId="2" borderId="90" xfId="0" applyNumberFormat="1" applyFill="1" applyBorder="1" applyAlignment="1">
      <alignment horizontal="center"/>
    </xf>
    <xf numFmtId="0" fontId="44" fillId="9" borderId="30" xfId="0" applyFont="1" applyFill="1" applyBorder="1" applyAlignment="1">
      <alignment horizontal="center" vertical="center"/>
    </xf>
    <xf numFmtId="0" fontId="44" fillId="9" borderId="91" xfId="0" applyFont="1" applyFill="1" applyBorder="1" applyAlignment="1">
      <alignment horizontal="center" vertical="center"/>
    </xf>
    <xf numFmtId="2" fontId="4" fillId="4" borderId="2" xfId="1" applyNumberFormat="1" applyFont="1" applyFill="1" applyBorder="1"/>
    <xf numFmtId="14" fontId="4" fillId="4" borderId="2" xfId="1" applyNumberFormat="1" applyFont="1" applyFill="1" applyBorder="1" applyAlignment="1">
      <alignment horizontal="center"/>
    </xf>
    <xf numFmtId="49" fontId="4" fillId="4" borderId="17" xfId="1" applyNumberFormat="1" applyFont="1" applyFill="1" applyBorder="1" applyAlignment="1">
      <alignment horizontal="center"/>
    </xf>
    <xf numFmtId="49" fontId="4" fillId="4" borderId="2" xfId="1" applyNumberFormat="1" applyFont="1" applyFill="1" applyBorder="1" applyAlignment="1">
      <alignment horizontal="center"/>
    </xf>
    <xf numFmtId="0" fontId="0" fillId="6" borderId="6" xfId="0" applyFill="1" applyBorder="1" applyAlignment="1">
      <alignment horizontal="center" vertical="center" wrapText="1"/>
    </xf>
    <xf numFmtId="14" fontId="4" fillId="4" borderId="18" xfId="1" applyNumberFormat="1" applyFont="1" applyFill="1" applyBorder="1" applyAlignment="1">
      <alignment horizontal="center"/>
    </xf>
    <xf numFmtId="14" fontId="4" fillId="4" borderId="15" xfId="1" applyNumberFormat="1" applyFont="1" applyFill="1" applyBorder="1" applyAlignment="1">
      <alignment horizontal="center"/>
    </xf>
    <xf numFmtId="49" fontId="0" fillId="9" borderId="95" xfId="0" applyNumberFormat="1" applyFill="1" applyBorder="1" applyAlignment="1">
      <alignment horizontal="center" vertical="center" wrapText="1"/>
    </xf>
    <xf numFmtId="49" fontId="0" fillId="0" borderId="88" xfId="0" applyNumberFormat="1" applyBorder="1"/>
    <xf numFmtId="49" fontId="0" fillId="0" borderId="96" xfId="0" applyNumberFormat="1" applyBorder="1"/>
    <xf numFmtId="0" fontId="0" fillId="0" borderId="95" xfId="0" applyBorder="1"/>
    <xf numFmtId="49" fontId="0" fillId="0" borderId="90" xfId="0" applyNumberFormat="1" applyBorder="1"/>
    <xf numFmtId="49" fontId="51" fillId="9" borderId="20" xfId="0" applyNumberFormat="1" applyFont="1" applyFill="1" applyBorder="1" applyAlignment="1">
      <alignment horizontal="center" vertical="center" wrapText="1"/>
    </xf>
    <xf numFmtId="0" fontId="51" fillId="9" borderId="21" xfId="0" applyFont="1" applyFill="1" applyBorder="1" applyAlignment="1">
      <alignment horizontal="center" vertical="center"/>
    </xf>
    <xf numFmtId="0" fontId="0" fillId="6" borderId="101" xfId="0" applyFill="1" applyBorder="1" applyAlignment="1">
      <alignment horizontal="center" vertical="center" wrapText="1"/>
    </xf>
    <xf numFmtId="44" fontId="52" fillId="6" borderId="99" xfId="1" applyFont="1" applyFill="1" applyBorder="1" applyAlignment="1">
      <alignment horizontal="center" vertical="center" wrapText="1"/>
    </xf>
    <xf numFmtId="165" fontId="3" fillId="6" borderId="37" xfId="14" applyFont="1" applyFill="1" applyBorder="1" applyAlignment="1">
      <alignment horizontal="center" vertical="center"/>
    </xf>
    <xf numFmtId="165" fontId="3" fillId="6" borderId="37" xfId="14" applyFont="1" applyFill="1" applyBorder="1" applyAlignment="1">
      <alignment horizontal="left" vertical="center" wrapText="1"/>
    </xf>
    <xf numFmtId="165" fontId="3" fillId="6" borderId="37" xfId="14" applyFont="1" applyFill="1" applyBorder="1" applyAlignment="1">
      <alignment horizontal="left" vertical="center"/>
    </xf>
    <xf numFmtId="4" fontId="3" fillId="6" borderId="37" xfId="14" applyNumberFormat="1" applyFont="1" applyFill="1" applyBorder="1" applyAlignment="1">
      <alignment horizontal="center" vertical="center" wrapText="1"/>
    </xf>
    <xf numFmtId="165" fontId="3" fillId="6" borderId="37" xfId="14" applyFont="1" applyFill="1" applyBorder="1" applyAlignment="1">
      <alignment horizontal="center" vertical="center" wrapText="1"/>
    </xf>
    <xf numFmtId="1" fontId="3" fillId="5" borderId="36" xfId="14" applyNumberFormat="1" applyFont="1" applyFill="1" applyBorder="1" applyAlignment="1">
      <alignment horizontal="left" vertical="center"/>
    </xf>
    <xf numFmtId="43" fontId="42" fillId="5" borderId="36" xfId="1" applyNumberFormat="1" applyFont="1" applyFill="1" applyBorder="1" applyAlignment="1">
      <alignment horizontal="right" vertical="center"/>
    </xf>
    <xf numFmtId="10" fontId="42" fillId="5" borderId="36" xfId="14" applyNumberFormat="1" applyFont="1" applyFill="1" applyBorder="1" applyAlignment="1">
      <alignment horizontal="center" vertical="center"/>
    </xf>
    <xf numFmtId="4" fontId="42" fillId="5" borderId="38" xfId="14" applyNumberFormat="1" applyFont="1" applyFill="1" applyBorder="1" applyAlignment="1">
      <alignment horizontal="right" vertical="center"/>
    </xf>
    <xf numFmtId="165" fontId="42" fillId="5" borderId="37" xfId="14" applyFont="1" applyFill="1" applyBorder="1" applyAlignment="1">
      <alignment horizontal="left" vertical="center"/>
    </xf>
    <xf numFmtId="1" fontId="42" fillId="5" borderId="36" xfId="14" applyNumberFormat="1" applyFont="1" applyFill="1" applyBorder="1" applyAlignment="1">
      <alignment horizontal="left" vertical="center"/>
    </xf>
    <xf numFmtId="168" fontId="42" fillId="5" borderId="37" xfId="14" applyNumberFormat="1" applyFont="1" applyFill="1" applyBorder="1" applyAlignment="1">
      <alignment horizontal="center" vertical="center"/>
    </xf>
    <xf numFmtId="2" fontId="42" fillId="5" borderId="37" xfId="14" applyNumberFormat="1" applyFont="1" applyFill="1" applyBorder="1" applyAlignment="1">
      <alignment horizontal="center" vertical="center"/>
    </xf>
    <xf numFmtId="165" fontId="42" fillId="5" borderId="37" xfId="14" applyFont="1" applyFill="1" applyBorder="1" applyAlignment="1">
      <alignment horizontal="center" vertical="center"/>
    </xf>
    <xf numFmtId="0" fontId="37" fillId="3" borderId="64" xfId="22" applyNumberFormat="1" applyFont="1" applyFill="1" applyBorder="1" applyAlignment="1" applyProtection="1">
      <alignment horizontal="right" vertical="center"/>
      <protection locked="0"/>
    </xf>
    <xf numFmtId="0" fontId="4" fillId="3" borderId="64" xfId="11" applyFont="1" applyFill="1" applyBorder="1" applyAlignment="1" applyProtection="1">
      <alignment horizontal="right" vertical="center"/>
      <protection locked="0"/>
    </xf>
    <xf numFmtId="8" fontId="4" fillId="3" borderId="65" xfId="22" applyNumberFormat="1" applyFont="1" applyFill="1" applyBorder="1" applyAlignment="1" applyProtection="1">
      <alignment horizontal="right" vertical="center"/>
      <protection locked="0"/>
    </xf>
    <xf numFmtId="0" fontId="54" fillId="6" borderId="0" xfId="24" applyFont="1" applyFill="1" applyAlignment="1">
      <alignment vertical="center" wrapText="1"/>
    </xf>
    <xf numFmtId="0" fontId="0" fillId="6" borderId="0" xfId="0" applyFill="1" applyAlignment="1">
      <alignment horizontal="center"/>
    </xf>
    <xf numFmtId="0" fontId="0" fillId="6" borderId="0" xfId="0" applyFill="1" applyAlignment="1">
      <alignment horizontal="left"/>
    </xf>
    <xf numFmtId="49" fontId="0" fillId="6" borderId="0" xfId="0" applyNumberFormat="1" applyFill="1" applyAlignment="1">
      <alignment horizontal="right"/>
    </xf>
    <xf numFmtId="0" fontId="52" fillId="6" borderId="0" xfId="0" applyFont="1" applyFill="1" applyAlignment="1">
      <alignment horizontal="center"/>
    </xf>
    <xf numFmtId="0" fontId="55" fillId="6" borderId="0" xfId="0" applyFont="1" applyFill="1" applyAlignment="1">
      <alignment horizontal="center"/>
    </xf>
    <xf numFmtId="0" fontId="56" fillId="6" borderId="0" xfId="0" applyFont="1" applyFill="1" applyAlignment="1">
      <alignment horizontal="center"/>
    </xf>
    <xf numFmtId="0" fontId="57" fillId="5" borderId="3" xfId="0" applyFont="1" applyFill="1" applyBorder="1" applyAlignment="1">
      <alignment horizontal="center" vertical="center"/>
    </xf>
    <xf numFmtId="49" fontId="57" fillId="5" borderId="108" xfId="0" applyNumberFormat="1" applyFont="1" applyFill="1" applyBorder="1" applyAlignment="1">
      <alignment horizontal="center" vertical="center"/>
    </xf>
    <xf numFmtId="0" fontId="52" fillId="6" borderId="0" xfId="0" applyFont="1" applyFill="1" applyAlignment="1">
      <alignment horizontal="left"/>
    </xf>
    <xf numFmtId="44" fontId="52" fillId="9" borderId="3" xfId="0" applyNumberFormat="1" applyFont="1" applyFill="1" applyBorder="1" applyAlignment="1">
      <alignment horizontal="center"/>
    </xf>
    <xf numFmtId="44" fontId="52" fillId="9" borderId="76" xfId="1" applyFont="1" applyFill="1" applyBorder="1" applyAlignment="1">
      <alignment horizontal="center"/>
    </xf>
    <xf numFmtId="49" fontId="52" fillId="6" borderId="0" xfId="0" applyNumberFormat="1" applyFont="1" applyFill="1" applyAlignment="1">
      <alignment horizontal="right"/>
    </xf>
    <xf numFmtId="44" fontId="52" fillId="15" borderId="80" xfId="1" applyFont="1" applyFill="1" applyBorder="1" applyAlignment="1">
      <alignment horizontal="center"/>
    </xf>
    <xf numFmtId="44" fontId="52" fillId="15" borderId="102" xfId="1" applyFont="1" applyFill="1" applyBorder="1" applyAlignment="1">
      <alignment horizontal="center"/>
    </xf>
    <xf numFmtId="44" fontId="55" fillId="6" borderId="4" xfId="1" applyFont="1" applyFill="1" applyBorder="1" applyAlignment="1">
      <alignment horizontal="center"/>
    </xf>
    <xf numFmtId="44" fontId="55" fillId="6" borderId="75" xfId="1" applyFont="1" applyFill="1" applyBorder="1" applyAlignment="1">
      <alignment horizontal="center"/>
    </xf>
    <xf numFmtId="44" fontId="55" fillId="6" borderId="14" xfId="1" applyFont="1" applyFill="1" applyBorder="1" applyAlignment="1">
      <alignment horizontal="center"/>
    </xf>
    <xf numFmtId="44" fontId="55" fillId="6" borderId="104" xfId="1" applyFont="1" applyFill="1" applyBorder="1" applyAlignment="1">
      <alignment horizontal="center"/>
    </xf>
    <xf numFmtId="49" fontId="0" fillId="6" borderId="0" xfId="0" applyNumberFormat="1" applyFill="1" applyAlignment="1">
      <alignment vertical="center"/>
    </xf>
    <xf numFmtId="44" fontId="52" fillId="6" borderId="107" xfId="0" applyNumberFormat="1" applyFont="1" applyFill="1" applyBorder="1" applyAlignment="1">
      <alignment horizontal="center" vertical="center"/>
    </xf>
    <xf numFmtId="0" fontId="52" fillId="6" borderId="0" xfId="0" applyFont="1" applyFill="1" applyAlignment="1">
      <alignment horizontal="center" vertical="center"/>
    </xf>
    <xf numFmtId="0" fontId="0" fillId="6" borderId="0" xfId="0" applyFill="1" applyAlignment="1">
      <alignment vertical="center"/>
    </xf>
    <xf numFmtId="44" fontId="49" fillId="13" borderId="3" xfId="1" applyFont="1" applyFill="1" applyBorder="1" applyAlignment="1">
      <alignment horizontal="center" vertical="center" wrapText="1"/>
    </xf>
    <xf numFmtId="0" fontId="58" fillId="6" borderId="0" xfId="24" applyFont="1" applyFill="1" applyAlignment="1">
      <alignment horizontal="left" vertical="center" wrapText="1"/>
    </xf>
    <xf numFmtId="10" fontId="58" fillId="6" borderId="0" xfId="18" applyFont="1" applyFill="1" applyAlignment="1">
      <alignment horizontal="left" vertical="center"/>
    </xf>
    <xf numFmtId="0" fontId="43" fillId="6" borderId="0" xfId="7" applyFont="1" applyFill="1" applyAlignment="1">
      <alignment horizontal="left" vertical="center" wrapText="1"/>
    </xf>
    <xf numFmtId="49" fontId="0" fillId="6" borderId="105" xfId="0" applyNumberFormat="1" applyFill="1" applyBorder="1"/>
    <xf numFmtId="0" fontId="0" fillId="6" borderId="105" xfId="0" applyFill="1" applyBorder="1"/>
    <xf numFmtId="43" fontId="42" fillId="16" borderId="36" xfId="1" applyNumberFormat="1" applyFont="1" applyFill="1" applyBorder="1" applyAlignment="1">
      <alignment horizontal="right" vertical="center"/>
    </xf>
    <xf numFmtId="43" fontId="3" fillId="3" borderId="36" xfId="1" applyNumberFormat="1" applyFont="1" applyFill="1" applyBorder="1" applyAlignment="1">
      <alignment horizontal="right" vertical="center"/>
    </xf>
    <xf numFmtId="43" fontId="3" fillId="3" borderId="37" xfId="1" applyNumberFormat="1" applyFont="1" applyFill="1" applyBorder="1" applyAlignment="1">
      <alignment horizontal="right" vertical="center"/>
    </xf>
    <xf numFmtId="44" fontId="4" fillId="6" borderId="0" xfId="1" applyFont="1" applyFill="1" applyAlignment="1">
      <alignment vertical="center"/>
    </xf>
    <xf numFmtId="165" fontId="4" fillId="6" borderId="0" xfId="14" applyFont="1" applyFill="1" applyAlignment="1">
      <alignment horizontal="right" vertical="center"/>
    </xf>
    <xf numFmtId="44" fontId="9" fillId="6" borderId="0" xfId="1" applyFont="1" applyFill="1"/>
    <xf numFmtId="0" fontId="45" fillId="14" borderId="112" xfId="24" applyFont="1" applyFill="1" applyBorder="1" applyAlignment="1">
      <alignment horizontal="center" vertical="center" wrapText="1"/>
    </xf>
    <xf numFmtId="0" fontId="45" fillId="14" borderId="113" xfId="24" applyFont="1" applyFill="1" applyBorder="1" applyAlignment="1">
      <alignment horizontal="center" vertical="center" wrapText="1"/>
    </xf>
    <xf numFmtId="8" fontId="58" fillId="6" borderId="0" xfId="18" applyNumberFormat="1" applyFont="1" applyFill="1" applyAlignment="1">
      <alignment horizontal="left" vertical="center"/>
    </xf>
    <xf numFmtId="0" fontId="59" fillId="6" borderId="0" xfId="24" applyFont="1" applyFill="1" applyAlignment="1">
      <alignment horizontal="left" vertical="center" wrapText="1"/>
    </xf>
    <xf numFmtId="10" fontId="59" fillId="6" borderId="0" xfId="18" applyFont="1" applyFill="1" applyAlignment="1">
      <alignment horizontal="left" vertical="center"/>
    </xf>
    <xf numFmtId="44" fontId="0" fillId="6" borderId="0" xfId="0" applyNumberFormat="1" applyFill="1"/>
    <xf numFmtId="44" fontId="0" fillId="6" borderId="1" xfId="0" applyNumberFormat="1" applyFill="1" applyBorder="1"/>
    <xf numFmtId="44" fontId="0" fillId="3" borderId="114" xfId="0" applyNumberFormat="1" applyFill="1" applyBorder="1"/>
    <xf numFmtId="44" fontId="0" fillId="3" borderId="108" xfId="0" applyNumberFormat="1" applyFill="1" applyBorder="1"/>
    <xf numFmtId="0" fontId="4" fillId="6" borderId="0" xfId="2" applyFont="1" applyFill="1" applyAlignment="1">
      <alignment horizontal="right"/>
    </xf>
    <xf numFmtId="44" fontId="4" fillId="6" borderId="0" xfId="11" applyNumberFormat="1" applyFont="1" applyFill="1"/>
    <xf numFmtId="49" fontId="3" fillId="6" borderId="32" xfId="14" applyNumberFormat="1" applyFont="1" applyFill="1" applyBorder="1" applyAlignment="1">
      <alignment horizontal="center" vertical="center" wrapText="1"/>
    </xf>
    <xf numFmtId="0" fontId="7" fillId="5" borderId="14" xfId="2" applyFont="1" applyFill="1" applyBorder="1"/>
    <xf numFmtId="0" fontId="7" fillId="5" borderId="4" xfId="2" applyFont="1" applyFill="1" applyBorder="1"/>
    <xf numFmtId="0" fontId="16" fillId="6" borderId="0" xfId="7" applyFont="1" applyFill="1" applyAlignment="1">
      <alignment vertical="center"/>
    </xf>
    <xf numFmtId="0" fontId="16" fillId="6" borderId="0" xfId="7" applyFont="1" applyFill="1" applyAlignment="1">
      <alignment horizontal="left" vertical="center"/>
    </xf>
    <xf numFmtId="0" fontId="43" fillId="6" borderId="0" xfId="7" applyFont="1" applyFill="1" applyAlignment="1">
      <alignment vertical="center"/>
    </xf>
    <xf numFmtId="169" fontId="25" fillId="6" borderId="116" xfId="6" applyNumberFormat="1" applyFont="1" applyFill="1" applyBorder="1" applyAlignment="1">
      <alignment horizontal="center" vertical="center" wrapText="1"/>
    </xf>
    <xf numFmtId="0" fontId="60" fillId="5" borderId="36" xfId="2" applyFont="1" applyFill="1" applyBorder="1" applyAlignment="1">
      <alignment horizontal="center" vertical="center"/>
    </xf>
    <xf numFmtId="0" fontId="60" fillId="5" borderId="37" xfId="2" applyFont="1" applyFill="1" applyBorder="1" applyAlignment="1">
      <alignment horizontal="center" vertical="center"/>
    </xf>
    <xf numFmtId="0" fontId="60" fillId="5" borderId="38" xfId="2" applyFont="1" applyFill="1" applyBorder="1" applyAlignment="1">
      <alignment horizontal="center" vertical="center"/>
    </xf>
    <xf numFmtId="0" fontId="61" fillId="6" borderId="0" xfId="0" applyFont="1" applyFill="1"/>
    <xf numFmtId="44" fontId="62" fillId="6" borderId="0" xfId="1" applyFont="1" applyFill="1" applyBorder="1" applyAlignment="1">
      <alignment horizontal="center" wrapText="1"/>
    </xf>
    <xf numFmtId="0" fontId="63" fillId="6" borderId="0" xfId="0" applyFont="1" applyFill="1"/>
    <xf numFmtId="0" fontId="64" fillId="6" borderId="0" xfId="7" applyFont="1" applyFill="1" applyAlignment="1">
      <alignment horizontal="right" vertical="center"/>
    </xf>
    <xf numFmtId="44" fontId="25" fillId="4" borderId="117" xfId="1" applyFont="1" applyFill="1" applyBorder="1"/>
    <xf numFmtId="44" fontId="25" fillId="6" borderId="117" xfId="1" applyFont="1" applyFill="1" applyBorder="1"/>
    <xf numFmtId="44" fontId="25" fillId="6" borderId="117" xfId="1" applyFont="1" applyFill="1" applyBorder="1" applyAlignment="1">
      <alignment horizontal="center"/>
    </xf>
    <xf numFmtId="44" fontId="25" fillId="6" borderId="122" xfId="1" applyFont="1" applyFill="1" applyBorder="1"/>
    <xf numFmtId="44" fontId="25" fillId="4" borderId="2" xfId="1" applyFont="1" applyFill="1" applyBorder="1"/>
    <xf numFmtId="44" fontId="25" fillId="6" borderId="17" xfId="1" applyFont="1" applyFill="1" applyBorder="1"/>
    <xf numFmtId="44" fontId="25" fillId="6" borderId="2" xfId="1" applyFont="1" applyFill="1" applyBorder="1"/>
    <xf numFmtId="44" fontId="25" fillId="6" borderId="17" xfId="1" applyFont="1" applyFill="1" applyBorder="1" applyAlignment="1">
      <alignment horizontal="center"/>
    </xf>
    <xf numFmtId="44" fontId="25" fillId="6" borderId="2" xfId="1" applyFont="1" applyFill="1" applyBorder="1" applyAlignment="1">
      <alignment horizontal="center"/>
    </xf>
    <xf numFmtId="44" fontId="25" fillId="6" borderId="123" xfId="1" applyFont="1" applyFill="1" applyBorder="1"/>
    <xf numFmtId="49" fontId="25" fillId="2" borderId="119" xfId="1" applyNumberFormat="1" applyFont="1" applyFill="1" applyBorder="1" applyAlignment="1">
      <alignment horizontal="center"/>
    </xf>
    <xf numFmtId="49" fontId="25" fillId="4" borderId="119" xfId="1" applyNumberFormat="1" applyFont="1" applyFill="1" applyBorder="1" applyAlignment="1">
      <alignment horizontal="center"/>
    </xf>
    <xf numFmtId="49" fontId="25" fillId="4" borderId="13" xfId="1" applyNumberFormat="1" applyFont="1" applyFill="1" applyBorder="1" applyAlignment="1">
      <alignment horizontal="center"/>
    </xf>
    <xf numFmtId="44" fontId="25" fillId="2" borderId="126" xfId="1" applyFont="1" applyFill="1" applyBorder="1" applyAlignment="1">
      <alignment horizontal="center"/>
    </xf>
    <xf numFmtId="44" fontId="25" fillId="4" borderId="126" xfId="1" applyFont="1" applyFill="1" applyBorder="1" applyAlignment="1">
      <alignment horizontal="center"/>
    </xf>
    <xf numFmtId="44" fontId="25" fillId="4" borderId="120" xfId="1" applyFont="1" applyFill="1" applyBorder="1" applyAlignment="1">
      <alignment horizontal="center"/>
    </xf>
    <xf numFmtId="44" fontId="62" fillId="6" borderId="0" xfId="1" applyFont="1" applyFill="1" applyBorder="1" applyAlignment="1">
      <alignment horizontal="right" vertical="top" wrapText="1"/>
    </xf>
    <xf numFmtId="44" fontId="52" fillId="6" borderId="129" xfId="0" applyNumberFormat="1" applyFont="1" applyFill="1" applyBorder="1" applyAlignment="1">
      <alignment horizontal="center" vertical="center"/>
    </xf>
    <xf numFmtId="0" fontId="0" fillId="6" borderId="130" xfId="0" applyFill="1" applyBorder="1" applyAlignment="1">
      <alignment horizontal="center"/>
    </xf>
    <xf numFmtId="9" fontId="65" fillId="6" borderId="0" xfId="23" applyFont="1" applyFill="1"/>
    <xf numFmtId="0" fontId="48" fillId="13" borderId="3" xfId="24" applyFont="1" applyFill="1" applyBorder="1" applyAlignment="1">
      <alignment horizontal="center" vertical="center" wrapText="1"/>
    </xf>
    <xf numFmtId="0" fontId="60" fillId="5" borderId="37" xfId="2" applyFont="1" applyFill="1" applyBorder="1" applyAlignment="1">
      <alignment horizontal="center" vertical="center" wrapText="1"/>
    </xf>
    <xf numFmtId="44" fontId="25" fillId="2" borderId="117" xfId="1" applyFont="1" applyFill="1" applyBorder="1" applyAlignment="1">
      <alignment horizontal="center"/>
    </xf>
    <xf numFmtId="44" fontId="25" fillId="2" borderId="17" xfId="1" applyFont="1" applyFill="1" applyBorder="1" applyAlignment="1">
      <alignment horizontal="center"/>
    </xf>
    <xf numFmtId="44" fontId="25" fillId="4" borderId="121" xfId="1" applyFont="1" applyFill="1" applyBorder="1" applyAlignment="1">
      <alignment horizontal="center"/>
    </xf>
    <xf numFmtId="9" fontId="4" fillId="3" borderId="30" xfId="23" applyFont="1" applyFill="1" applyBorder="1" applyAlignment="1" applyProtection="1">
      <alignment horizontal="center" vertical="center"/>
      <protection locked="0"/>
    </xf>
    <xf numFmtId="172" fontId="25" fillId="4" borderId="117" xfId="1" applyNumberFormat="1" applyFont="1" applyFill="1" applyBorder="1"/>
    <xf numFmtId="172" fontId="25" fillId="4" borderId="2" xfId="1" applyNumberFormat="1" applyFont="1" applyFill="1" applyBorder="1"/>
    <xf numFmtId="0" fontId="24" fillId="6" borderId="0" xfId="0" applyFont="1" applyFill="1" applyAlignment="1">
      <alignment horizontal="right" vertical="center"/>
    </xf>
    <xf numFmtId="172" fontId="25" fillId="4" borderId="118" xfId="1" applyNumberFormat="1" applyFont="1" applyFill="1" applyBorder="1" applyAlignment="1">
      <alignment horizontal="center"/>
    </xf>
    <xf numFmtId="172" fontId="25" fillId="2" borderId="119" xfId="1" applyNumberFormat="1" applyFont="1" applyFill="1" applyBorder="1" applyAlignment="1">
      <alignment horizontal="center"/>
    </xf>
    <xf numFmtId="172" fontId="25" fillId="2" borderId="13" xfId="1" applyNumberFormat="1" applyFont="1" applyFill="1" applyBorder="1" applyAlignment="1">
      <alignment horizontal="center"/>
    </xf>
    <xf numFmtId="172" fontId="25" fillId="4" borderId="13" xfId="1" applyNumberFormat="1" applyFont="1" applyFill="1" applyBorder="1" applyAlignment="1">
      <alignment horizontal="center"/>
    </xf>
    <xf numFmtId="172" fontId="25" fillId="4" borderId="119" xfId="1" applyNumberFormat="1" applyFont="1" applyFill="1" applyBorder="1" applyAlignment="1">
      <alignment horizontal="center"/>
    </xf>
    <xf numFmtId="44" fontId="66" fillId="4" borderId="120" xfId="1" applyFont="1" applyFill="1" applyBorder="1" applyAlignment="1">
      <alignment horizontal="center"/>
    </xf>
    <xf numFmtId="44" fontId="4" fillId="2" borderId="2" xfId="1" applyFont="1" applyFill="1" applyBorder="1"/>
    <xf numFmtId="44" fontId="13" fillId="10" borderId="30" xfId="11" applyNumberFormat="1" applyFont="1" applyFill="1" applyBorder="1" applyAlignment="1">
      <alignment vertical="center"/>
    </xf>
    <xf numFmtId="44" fontId="13" fillId="10" borderId="0" xfId="11" applyNumberFormat="1" applyFont="1" applyFill="1" applyAlignment="1">
      <alignment vertical="center"/>
    </xf>
    <xf numFmtId="0" fontId="4" fillId="3" borderId="61" xfId="11" applyFont="1" applyFill="1" applyBorder="1" applyAlignment="1" applyProtection="1">
      <alignment horizontal="center" vertical="center"/>
      <protection locked="0"/>
    </xf>
    <xf numFmtId="49" fontId="25" fillId="4" borderId="118" xfId="1" applyNumberFormat="1" applyFont="1" applyFill="1" applyBorder="1" applyAlignment="1">
      <alignment horizontal="center"/>
    </xf>
    <xf numFmtId="0" fontId="45" fillId="6" borderId="0" xfId="24" applyFont="1" applyFill="1" applyAlignment="1">
      <alignment horizontal="left" vertical="top" wrapText="1"/>
    </xf>
    <xf numFmtId="0" fontId="52" fillId="18" borderId="41" xfId="0" applyFont="1" applyFill="1" applyBorder="1"/>
    <xf numFmtId="44" fontId="52" fillId="18" borderId="53" xfId="0" applyNumberFormat="1" applyFont="1" applyFill="1" applyBorder="1"/>
    <xf numFmtId="0" fontId="52" fillId="18" borderId="50" xfId="0" applyFont="1" applyFill="1" applyBorder="1"/>
    <xf numFmtId="44" fontId="52" fillId="18" borderId="44" xfId="0" applyNumberFormat="1" applyFont="1" applyFill="1" applyBorder="1"/>
    <xf numFmtId="0" fontId="52" fillId="18" borderId="49" xfId="0" applyFont="1" applyFill="1" applyBorder="1"/>
    <xf numFmtId="44" fontId="52" fillId="18" borderId="47" xfId="0" applyNumberFormat="1" applyFont="1" applyFill="1" applyBorder="1"/>
    <xf numFmtId="0" fontId="0" fillId="12" borderId="78" xfId="0" applyFill="1" applyBorder="1"/>
    <xf numFmtId="0" fontId="0" fillId="12" borderId="76" xfId="0" applyFill="1" applyBorder="1"/>
    <xf numFmtId="44" fontId="52" fillId="18" borderId="143" xfId="0" applyNumberFormat="1" applyFont="1" applyFill="1" applyBorder="1"/>
    <xf numFmtId="9" fontId="67" fillId="20" borderId="78" xfId="23" applyFont="1" applyFill="1" applyBorder="1" applyAlignment="1">
      <alignment horizontal="center"/>
    </xf>
    <xf numFmtId="44" fontId="67" fillId="20" borderId="76" xfId="1" applyFont="1" applyFill="1" applyBorder="1"/>
    <xf numFmtId="0" fontId="0" fillId="12" borderId="103" xfId="0" applyFill="1" applyBorder="1"/>
    <xf numFmtId="0" fontId="0" fillId="12" borderId="102" xfId="0" applyFill="1" applyBorder="1"/>
    <xf numFmtId="44" fontId="52" fillId="18" borderId="50" xfId="1" applyFont="1" applyFill="1" applyBorder="1" applyAlignment="1"/>
    <xf numFmtId="0" fontId="67" fillId="20" borderId="78" xfId="0" applyFont="1" applyFill="1" applyBorder="1"/>
    <xf numFmtId="9" fontId="52" fillId="18" borderId="50" xfId="23" applyFont="1" applyFill="1" applyBorder="1" applyAlignment="1">
      <alignment horizontal="center"/>
    </xf>
    <xf numFmtId="9" fontId="52" fillId="18" borderId="49" xfId="23" applyFont="1" applyFill="1" applyBorder="1" applyAlignment="1">
      <alignment horizontal="center"/>
    </xf>
    <xf numFmtId="0" fontId="52" fillId="6" borderId="0" xfId="0" applyFont="1" applyFill="1"/>
    <xf numFmtId="44" fontId="52" fillId="18" borderId="41" xfId="1" applyFont="1" applyFill="1" applyBorder="1" applyAlignment="1"/>
    <xf numFmtId="44" fontId="52" fillId="18" borderId="146" xfId="1" applyFont="1" applyFill="1" applyBorder="1"/>
    <xf numFmtId="44" fontId="52" fillId="18" borderId="53" xfId="1" applyFont="1" applyFill="1" applyBorder="1"/>
    <xf numFmtId="44" fontId="0" fillId="6" borderId="3" xfId="0" applyNumberFormat="1" applyFill="1" applyBorder="1"/>
    <xf numFmtId="0" fontId="0" fillId="22" borderId="3" xfId="0" applyFill="1" applyBorder="1"/>
    <xf numFmtId="44" fontId="0" fillId="6" borderId="3" xfId="1" applyFont="1" applyFill="1" applyBorder="1"/>
    <xf numFmtId="1" fontId="70" fillId="6" borderId="3" xfId="0" applyNumberFormat="1" applyFont="1" applyFill="1" applyBorder="1" applyAlignment="1">
      <alignment horizontal="center"/>
    </xf>
    <xf numFmtId="0" fontId="0" fillId="6" borderId="3" xfId="0" applyFill="1" applyBorder="1" applyAlignment="1">
      <alignment horizontal="center"/>
    </xf>
    <xf numFmtId="44" fontId="0" fillId="6" borderId="76" xfId="1" applyFont="1" applyFill="1" applyBorder="1"/>
    <xf numFmtId="0" fontId="52" fillId="8" borderId="80" xfId="0" applyFont="1" applyFill="1" applyBorder="1" applyAlignment="1">
      <alignment horizontal="right" vertical="center"/>
    </xf>
    <xf numFmtId="1" fontId="0" fillId="6" borderId="3" xfId="0" applyNumberFormat="1" applyFill="1" applyBorder="1" applyAlignment="1">
      <alignment horizontal="center"/>
    </xf>
    <xf numFmtId="0" fontId="52" fillId="8" borderId="3" xfId="0" applyFont="1" applyFill="1" applyBorder="1" applyAlignment="1">
      <alignment horizontal="right"/>
    </xf>
    <xf numFmtId="0" fontId="65" fillId="6" borderId="0" xfId="0" applyFont="1" applyFill="1"/>
    <xf numFmtId="172" fontId="0" fillId="6" borderId="0" xfId="0" applyNumberFormat="1" applyFill="1"/>
    <xf numFmtId="0" fontId="16" fillId="6" borderId="0" xfId="7" applyFont="1" applyFill="1" applyAlignment="1">
      <alignment wrapText="1"/>
    </xf>
    <xf numFmtId="0" fontId="52" fillId="8" borderId="3" xfId="0" applyFont="1" applyFill="1" applyBorder="1" applyAlignment="1">
      <alignment horizontal="right" vertical="center"/>
    </xf>
    <xf numFmtId="0" fontId="67" fillId="19" borderId="104" xfId="0" applyFont="1" applyFill="1" applyBorder="1"/>
    <xf numFmtId="44" fontId="52" fillId="18" borderId="139" xfId="1" applyFont="1" applyFill="1" applyBorder="1" applyAlignment="1"/>
    <xf numFmtId="0" fontId="0" fillId="6" borderId="80" xfId="0" applyFill="1" applyBorder="1" applyAlignment="1">
      <alignment vertical="center"/>
    </xf>
    <xf numFmtId="0" fontId="0" fillId="6" borderId="3" xfId="0" applyFill="1" applyBorder="1" applyAlignment="1">
      <alignment vertical="center"/>
    </xf>
    <xf numFmtId="0" fontId="69" fillId="21" borderId="76" xfId="0" applyFont="1" applyFill="1" applyBorder="1"/>
    <xf numFmtId="0" fontId="69" fillId="21" borderId="77" xfId="0" applyFont="1" applyFill="1" applyBorder="1"/>
    <xf numFmtId="0" fontId="69" fillId="21" borderId="78" xfId="0" applyFont="1" applyFill="1" applyBorder="1"/>
    <xf numFmtId="44" fontId="0" fillId="6" borderId="3" xfId="1" applyFont="1" applyFill="1" applyBorder="1" applyAlignment="1"/>
    <xf numFmtId="8" fontId="0" fillId="6" borderId="3" xfId="0" applyNumberFormat="1" applyFill="1" applyBorder="1" applyAlignment="1">
      <alignment horizontal="right"/>
    </xf>
    <xf numFmtId="8" fontId="0" fillId="6" borderId="3" xfId="1" applyNumberFormat="1" applyFont="1" applyFill="1" applyBorder="1" applyAlignment="1">
      <alignment horizontal="right"/>
    </xf>
    <xf numFmtId="8" fontId="0" fillId="6" borderId="76" xfId="0" applyNumberFormat="1" applyFill="1" applyBorder="1"/>
    <xf numFmtId="8" fontId="0" fillId="6" borderId="78" xfId="1" applyNumberFormat="1" applyFont="1" applyFill="1" applyBorder="1" applyAlignment="1">
      <alignment horizontal="right"/>
    </xf>
    <xf numFmtId="8" fontId="0" fillId="6" borderId="4" xfId="0" applyNumberFormat="1" applyFill="1" applyBorder="1"/>
    <xf numFmtId="0" fontId="0" fillId="6" borderId="4" xfId="0" applyFill="1" applyBorder="1"/>
    <xf numFmtId="0" fontId="0" fillId="22" borderId="75" xfId="0" applyFill="1" applyBorder="1"/>
    <xf numFmtId="0" fontId="0" fillId="22" borderId="104" xfId="0" applyFill="1" applyBorder="1"/>
    <xf numFmtId="0" fontId="0" fillId="22" borderId="106" xfId="0" applyFill="1" applyBorder="1" applyAlignment="1">
      <alignment horizontal="left"/>
    </xf>
    <xf numFmtId="44" fontId="0" fillId="6" borderId="0" xfId="1" applyFont="1" applyFill="1" applyBorder="1" applyAlignment="1"/>
    <xf numFmtId="44" fontId="68" fillId="6" borderId="3" xfId="1" applyFont="1" applyFill="1" applyBorder="1"/>
    <xf numFmtId="0" fontId="67" fillId="21" borderId="76" xfId="0" applyFont="1" applyFill="1" applyBorder="1"/>
    <xf numFmtId="0" fontId="67" fillId="21" borderId="78" xfId="0" applyFont="1" applyFill="1" applyBorder="1"/>
    <xf numFmtId="0" fontId="67" fillId="21" borderId="78" xfId="0" applyFont="1" applyFill="1" applyBorder="1" applyAlignment="1">
      <alignment horizontal="right"/>
    </xf>
    <xf numFmtId="0" fontId="69" fillId="6" borderId="0" xfId="0" applyFont="1" applyFill="1"/>
    <xf numFmtId="172" fontId="69" fillId="21" borderId="78" xfId="0" applyNumberFormat="1" applyFont="1" applyFill="1" applyBorder="1"/>
    <xf numFmtId="172" fontId="0" fillId="6" borderId="3" xfId="0" applyNumberFormat="1" applyFill="1" applyBorder="1" applyAlignment="1">
      <alignment horizontal="center"/>
    </xf>
    <xf numFmtId="44" fontId="0" fillId="6" borderId="3" xfId="1" applyFont="1" applyFill="1" applyBorder="1" applyAlignment="1">
      <alignment horizontal="right"/>
    </xf>
    <xf numFmtId="0" fontId="0" fillId="6" borderId="3" xfId="0" applyFill="1" applyBorder="1" applyAlignment="1">
      <alignment horizontal="right"/>
    </xf>
    <xf numFmtId="44" fontId="0" fillId="6" borderId="76" xfId="1" applyFont="1" applyFill="1" applyBorder="1" applyAlignment="1">
      <alignment horizontal="right"/>
    </xf>
    <xf numFmtId="44" fontId="67" fillId="20" borderId="104" xfId="1" applyFont="1" applyFill="1" applyBorder="1"/>
    <xf numFmtId="44" fontId="67" fillId="20" borderId="106" xfId="1" applyFont="1" applyFill="1" applyBorder="1"/>
    <xf numFmtId="0" fontId="67" fillId="19" borderId="102" xfId="0" applyFont="1" applyFill="1" applyBorder="1"/>
    <xf numFmtId="0" fontId="67" fillId="19" borderId="145" xfId="0" applyFont="1" applyFill="1" applyBorder="1"/>
    <xf numFmtId="0" fontId="67" fillId="19" borderId="103" xfId="0" applyFont="1" applyFill="1" applyBorder="1"/>
    <xf numFmtId="0" fontId="67" fillId="19" borderId="105" xfId="0" applyFont="1" applyFill="1" applyBorder="1"/>
    <xf numFmtId="0" fontId="67" fillId="19" borderId="106" xfId="0" applyFont="1" applyFill="1" applyBorder="1"/>
    <xf numFmtId="0" fontId="67" fillId="19" borderId="102" xfId="0" applyFont="1" applyFill="1" applyBorder="1" applyAlignment="1">
      <alignment horizontal="center"/>
    </xf>
    <xf numFmtId="0" fontId="67" fillId="19" borderId="103" xfId="0" applyFont="1" applyFill="1" applyBorder="1" applyAlignment="1">
      <alignment horizontal="center"/>
    </xf>
    <xf numFmtId="44" fontId="67" fillId="19" borderId="104" xfId="0" applyNumberFormat="1" applyFont="1" applyFill="1" applyBorder="1" applyAlignment="1">
      <alignment horizontal="center"/>
    </xf>
    <xf numFmtId="44" fontId="67" fillId="19" borderId="106" xfId="1" applyFont="1" applyFill="1" applyBorder="1" applyAlignment="1">
      <alignment horizontal="center"/>
    </xf>
    <xf numFmtId="0" fontId="67" fillId="20" borderId="106" xfId="0" applyFont="1" applyFill="1" applyBorder="1"/>
    <xf numFmtId="44" fontId="67" fillId="19" borderId="104" xfId="1" applyFont="1" applyFill="1" applyBorder="1" applyAlignment="1">
      <alignment horizontal="center"/>
    </xf>
    <xf numFmtId="9" fontId="67" fillId="19" borderId="106" xfId="23" applyFont="1" applyFill="1" applyBorder="1" applyAlignment="1">
      <alignment horizontal="center"/>
    </xf>
    <xf numFmtId="0" fontId="67" fillId="19" borderId="80" xfId="0" applyFont="1" applyFill="1" applyBorder="1" applyAlignment="1">
      <alignment horizontal="center"/>
    </xf>
    <xf numFmtId="44" fontId="67" fillId="19" borderId="75" xfId="0" applyNumberFormat="1" applyFont="1" applyFill="1" applyBorder="1" applyAlignment="1">
      <alignment horizontal="center"/>
    </xf>
    <xf numFmtId="0" fontId="67" fillId="19" borderId="80" xfId="0" applyFont="1" applyFill="1" applyBorder="1"/>
    <xf numFmtId="9" fontId="67" fillId="19" borderId="75" xfId="23" applyFont="1" applyFill="1" applyBorder="1" applyAlignment="1">
      <alignment horizontal="center"/>
    </xf>
    <xf numFmtId="0" fontId="67" fillId="19" borderId="14" xfId="0" applyFont="1" applyFill="1" applyBorder="1" applyAlignment="1">
      <alignment horizontal="left" vertical="center"/>
    </xf>
    <xf numFmtId="0" fontId="67" fillId="19" borderId="0" xfId="0" applyFont="1" applyFill="1" applyAlignment="1">
      <alignment horizontal="left" vertical="center"/>
    </xf>
    <xf numFmtId="0" fontId="72" fillId="6" borderId="0" xfId="0" applyFont="1" applyFill="1"/>
    <xf numFmtId="9" fontId="72" fillId="6" borderId="0" xfId="0" applyNumberFormat="1" applyFont="1" applyFill="1"/>
    <xf numFmtId="9" fontId="72" fillId="6" borderId="0" xfId="23" applyFont="1" applyFill="1"/>
    <xf numFmtId="0" fontId="68" fillId="6" borderId="0" xfId="0" applyFont="1" applyFill="1"/>
    <xf numFmtId="0" fontId="59" fillId="6" borderId="0" xfId="24" applyFont="1" applyFill="1" applyAlignment="1">
      <alignment horizontal="left" vertical="top" wrapText="1"/>
    </xf>
    <xf numFmtId="0" fontId="59" fillId="6" borderId="0" xfId="24" applyFont="1" applyFill="1" applyAlignment="1">
      <alignment horizontal="center" vertical="center" wrapText="1"/>
    </xf>
    <xf numFmtId="0" fontId="59" fillId="6" borderId="0" xfId="24" applyFont="1" applyFill="1" applyAlignment="1">
      <alignment vertical="center" wrapText="1"/>
    </xf>
    <xf numFmtId="0" fontId="73" fillId="6" borderId="102" xfId="24" applyFont="1" applyFill="1" applyBorder="1" applyAlignment="1">
      <alignment horizontal="center" vertical="center" wrapText="1"/>
    </xf>
    <xf numFmtId="0" fontId="73" fillId="6" borderId="145" xfId="24" applyFont="1" applyFill="1" applyBorder="1" applyAlignment="1">
      <alignment horizontal="center" vertical="center" wrapText="1"/>
    </xf>
    <xf numFmtId="0" fontId="73" fillId="6" borderId="78" xfId="24" applyFont="1" applyFill="1" applyBorder="1" applyAlignment="1">
      <alignment horizontal="center" vertical="center" wrapText="1"/>
    </xf>
    <xf numFmtId="0" fontId="59" fillId="6" borderId="105" xfId="24" applyFont="1" applyFill="1" applyBorder="1" applyAlignment="1">
      <alignment horizontal="center" vertical="center" wrapText="1"/>
    </xf>
    <xf numFmtId="0" fontId="59" fillId="6" borderId="0" xfId="24" applyFont="1" applyFill="1" applyAlignment="1">
      <alignment horizontal="center" wrapText="1"/>
    </xf>
    <xf numFmtId="44" fontId="75" fillId="4" borderId="120" xfId="1" applyFont="1" applyFill="1" applyBorder="1" applyAlignment="1">
      <alignment horizontal="center"/>
    </xf>
    <xf numFmtId="172" fontId="75" fillId="4" borderId="13" xfId="1" applyNumberFormat="1" applyFont="1" applyFill="1" applyBorder="1" applyAlignment="1">
      <alignment horizontal="center"/>
    </xf>
    <xf numFmtId="49" fontId="75" fillId="4" borderId="13" xfId="1" applyNumberFormat="1" applyFont="1" applyFill="1" applyBorder="1" applyAlignment="1">
      <alignment horizontal="center"/>
    </xf>
    <xf numFmtId="44" fontId="75" fillId="4" borderId="2" xfId="1" applyFont="1" applyFill="1" applyBorder="1"/>
    <xf numFmtId="44" fontId="75" fillId="6" borderId="17" xfId="1" applyFont="1" applyFill="1" applyBorder="1"/>
    <xf numFmtId="44" fontId="75" fillId="6" borderId="2" xfId="1" applyFont="1" applyFill="1" applyBorder="1"/>
    <xf numFmtId="44" fontId="75" fillId="6" borderId="17" xfId="1" applyFont="1" applyFill="1" applyBorder="1" applyAlignment="1">
      <alignment horizontal="center"/>
    </xf>
    <xf numFmtId="44" fontId="75" fillId="2" borderId="17" xfId="1" applyFont="1" applyFill="1" applyBorder="1" applyAlignment="1">
      <alignment horizontal="center"/>
    </xf>
    <xf numFmtId="44" fontId="75" fillId="6" borderId="2" xfId="1" applyFont="1" applyFill="1" applyBorder="1" applyAlignment="1">
      <alignment horizontal="center"/>
    </xf>
    <xf numFmtId="172" fontId="75" fillId="4" borderId="2" xfId="1" applyNumberFormat="1" applyFont="1" applyFill="1" applyBorder="1"/>
    <xf numFmtId="44" fontId="75" fillId="6" borderId="123" xfId="1" applyFont="1" applyFill="1" applyBorder="1"/>
    <xf numFmtId="44" fontId="25" fillId="4" borderId="117" xfId="1" applyFont="1" applyFill="1" applyBorder="1" applyAlignment="1">
      <alignment horizontal="left"/>
    </xf>
    <xf numFmtId="44" fontId="25" fillId="4" borderId="2" xfId="1" applyFont="1" applyFill="1" applyBorder="1" applyAlignment="1">
      <alignment horizontal="left"/>
    </xf>
    <xf numFmtId="44" fontId="75" fillId="4" borderId="2" xfId="1" applyFont="1" applyFill="1" applyBorder="1" applyAlignment="1">
      <alignment horizontal="left"/>
    </xf>
    <xf numFmtId="0" fontId="0" fillId="17" borderId="0" xfId="0" applyFill="1"/>
    <xf numFmtId="49" fontId="25" fillId="4" borderId="2" xfId="1" applyNumberFormat="1" applyFont="1" applyFill="1" applyBorder="1" applyAlignment="1">
      <alignment horizontal="center"/>
    </xf>
    <xf numFmtId="14" fontId="25" fillId="4" borderId="2" xfId="1" applyNumberFormat="1" applyFont="1" applyFill="1" applyBorder="1" applyAlignment="1">
      <alignment horizontal="center"/>
    </xf>
    <xf numFmtId="49" fontId="0" fillId="0" borderId="7" xfId="0" applyNumberFormat="1" applyBorder="1" applyAlignment="1">
      <alignment horizontal="center" vertical="center" wrapText="1"/>
    </xf>
    <xf numFmtId="49" fontId="0" fillId="0" borderId="79" xfId="0" applyNumberFormat="1" applyBorder="1" applyAlignment="1">
      <alignment horizontal="center" vertical="center" wrapText="1"/>
    </xf>
    <xf numFmtId="49" fontId="0" fillId="0" borderId="132" xfId="0" applyNumberFormat="1" applyBorder="1" applyAlignment="1">
      <alignment horizontal="center" vertical="center" wrapText="1"/>
    </xf>
    <xf numFmtId="49" fontId="0" fillId="0" borderId="148" xfId="0" applyNumberFormat="1" applyBorder="1" applyAlignment="1">
      <alignment horizontal="center" vertical="center" wrapText="1"/>
    </xf>
    <xf numFmtId="43" fontId="42" fillId="16" borderId="148" xfId="1" applyNumberFormat="1" applyFont="1" applyFill="1" applyBorder="1" applyAlignment="1">
      <alignment horizontal="right" vertical="center"/>
    </xf>
    <xf numFmtId="43" fontId="42" fillId="5" borderId="148" xfId="1" applyNumberFormat="1" applyFont="1" applyFill="1" applyBorder="1" applyAlignment="1">
      <alignment horizontal="right" vertical="center"/>
    </xf>
    <xf numFmtId="171" fontId="3" fillId="10" borderId="27" xfId="2" applyNumberFormat="1" applyFont="1" applyFill="1" applyBorder="1" applyAlignment="1">
      <alignment vertical="center"/>
    </xf>
    <xf numFmtId="171" fontId="3" fillId="10" borderId="28" xfId="2" applyNumberFormat="1" applyFont="1" applyFill="1" applyBorder="1" applyAlignment="1">
      <alignment vertical="center"/>
    </xf>
    <xf numFmtId="171" fontId="3" fillId="10" borderId="29" xfId="2" applyNumberFormat="1" applyFont="1" applyFill="1" applyBorder="1" applyAlignment="1">
      <alignment vertical="center"/>
    </xf>
    <xf numFmtId="49" fontId="3" fillId="12" borderId="36" xfId="11" applyNumberFormat="1" applyFont="1" applyFill="1" applyBorder="1" applyAlignment="1">
      <alignment horizontal="center" vertical="center" wrapText="1"/>
    </xf>
    <xf numFmtId="49" fontId="3" fillId="12" borderId="148" xfId="11" applyNumberFormat="1" applyFont="1" applyFill="1" applyBorder="1" applyAlignment="1">
      <alignment horizontal="center" vertical="center" wrapText="1"/>
    </xf>
    <xf numFmtId="49" fontId="55" fillId="2" borderId="87" xfId="0" applyNumberFormat="1" applyFont="1" applyFill="1" applyBorder="1" applyAlignment="1">
      <alignment horizontal="left"/>
    </xf>
    <xf numFmtId="16" fontId="55" fillId="2" borderId="92" xfId="0" applyNumberFormat="1" applyFont="1" applyFill="1" applyBorder="1" applyAlignment="1">
      <alignment horizontal="left"/>
    </xf>
    <xf numFmtId="16" fontId="55" fillId="2" borderId="92" xfId="0" applyNumberFormat="1" applyFont="1" applyFill="1" applyBorder="1" applyAlignment="1">
      <alignment horizontal="left" wrapText="1"/>
    </xf>
    <xf numFmtId="49" fontId="55" fillId="2" borderId="93" xfId="0" applyNumberFormat="1" applyFont="1" applyFill="1" applyBorder="1" applyAlignment="1">
      <alignment horizontal="left"/>
    </xf>
    <xf numFmtId="16" fontId="55" fillId="2" borderId="11" xfId="0" applyNumberFormat="1" applyFont="1" applyFill="1" applyBorder="1" applyAlignment="1">
      <alignment horizontal="left"/>
    </xf>
    <xf numFmtId="0" fontId="0" fillId="6" borderId="109" xfId="0" applyFill="1" applyBorder="1" applyAlignment="1">
      <alignment horizontal="center" vertical="center" wrapText="1"/>
    </xf>
    <xf numFmtId="0" fontId="45" fillId="6" borderId="12" xfId="24" applyFont="1" applyFill="1" applyBorder="1" applyAlignment="1">
      <alignment horizontal="center" vertical="top" wrapText="1"/>
    </xf>
    <xf numFmtId="0" fontId="48" fillId="13" borderId="80" xfId="24" applyFont="1" applyFill="1" applyBorder="1" applyAlignment="1">
      <alignment horizontal="center" vertical="center" wrapText="1"/>
    </xf>
    <xf numFmtId="0" fontId="49" fillId="13" borderId="80" xfId="24" applyFont="1" applyFill="1" applyBorder="1" applyAlignment="1">
      <alignment horizontal="center" vertical="center" wrapText="1"/>
    </xf>
    <xf numFmtId="43" fontId="11" fillId="5" borderId="59" xfId="1" applyNumberFormat="1" applyFont="1" applyFill="1" applyBorder="1"/>
    <xf numFmtId="44" fontId="11" fillId="5" borderId="27" xfId="1" applyFont="1" applyFill="1" applyBorder="1"/>
    <xf numFmtId="44" fontId="11" fillId="5" borderId="28" xfId="1" applyFont="1" applyFill="1" applyBorder="1"/>
    <xf numFmtId="0" fontId="2" fillId="6" borderId="0" xfId="24" applyFill="1" applyAlignment="1">
      <alignment vertical="center" wrapText="1"/>
    </xf>
    <xf numFmtId="0" fontId="76" fillId="6" borderId="0" xfId="24" applyFont="1" applyFill="1" applyAlignment="1">
      <alignment vertical="center" wrapText="1"/>
    </xf>
    <xf numFmtId="0" fontId="80" fillId="25" borderId="3" xfId="24" applyFont="1" applyFill="1" applyBorder="1" applyAlignment="1">
      <alignment horizontal="center" vertical="center" wrapText="1"/>
    </xf>
    <xf numFmtId="0" fontId="80" fillId="25" borderId="3" xfId="24" applyFont="1" applyFill="1" applyBorder="1" applyAlignment="1">
      <alignment vertical="center" wrapText="1"/>
    </xf>
    <xf numFmtId="0" fontId="76" fillId="26" borderId="3" xfId="24" applyFont="1" applyFill="1" applyBorder="1" applyAlignment="1">
      <alignment horizontal="center" vertical="center" wrapText="1"/>
    </xf>
    <xf numFmtId="0" fontId="76" fillId="26" borderId="3" xfId="24" applyFont="1" applyFill="1" applyBorder="1" applyAlignment="1">
      <alignment vertical="center" wrapText="1"/>
    </xf>
    <xf numFmtId="0" fontId="2" fillId="14" borderId="111" xfId="24" applyFill="1" applyBorder="1" applyAlignment="1">
      <alignment horizontal="center" vertical="center" wrapText="1"/>
    </xf>
    <xf numFmtId="0" fontId="2" fillId="14" borderId="111" xfId="24" applyFill="1" applyBorder="1" applyAlignment="1">
      <alignment vertical="center" wrapText="1"/>
    </xf>
    <xf numFmtId="0" fontId="81" fillId="2" borderId="2" xfId="24" applyFont="1" applyFill="1" applyBorder="1" applyAlignment="1">
      <alignment horizontal="center" vertical="center" wrapText="1"/>
    </xf>
    <xf numFmtId="0" fontId="2" fillId="14" borderId="150" xfId="24" applyFill="1" applyBorder="1" applyAlignment="1">
      <alignment horizontal="center" vertical="center" wrapText="1"/>
    </xf>
    <xf numFmtId="44" fontId="76" fillId="26" borderId="3" xfId="1" applyFont="1" applyFill="1" applyBorder="1" applyAlignment="1">
      <alignment vertical="center" wrapText="1"/>
    </xf>
    <xf numFmtId="44" fontId="2" fillId="6" borderId="2" xfId="1" applyFont="1" applyFill="1" applyBorder="1" applyAlignment="1">
      <alignment horizontal="center" vertical="center" wrapText="1"/>
    </xf>
    <xf numFmtId="44" fontId="80" fillId="25" borderId="3" xfId="1" applyFont="1" applyFill="1" applyBorder="1" applyAlignment="1">
      <alignment vertical="center" wrapText="1"/>
    </xf>
    <xf numFmtId="10" fontId="58" fillId="6" borderId="0" xfId="18" applyFont="1" applyFill="1" applyAlignment="1">
      <alignment horizontal="right" vertical="center"/>
    </xf>
    <xf numFmtId="44" fontId="32" fillId="6" borderId="0" xfId="1" applyFont="1" applyFill="1" applyBorder="1" applyAlignment="1">
      <alignment vertical="center" wrapText="1"/>
    </xf>
    <xf numFmtId="0" fontId="46" fillId="6" borderId="0" xfId="7" applyFont="1" applyFill="1" applyAlignment="1">
      <alignment vertical="center" wrapText="1"/>
    </xf>
    <xf numFmtId="0" fontId="32" fillId="6" borderId="77" xfId="24" applyFont="1" applyFill="1" applyBorder="1" applyAlignment="1">
      <alignment vertical="center" wrapText="1"/>
    </xf>
    <xf numFmtId="49" fontId="25" fillId="6" borderId="0" xfId="24" applyNumberFormat="1" applyFont="1" applyFill="1" applyAlignment="1">
      <alignment horizontal="center" vertical="center" wrapText="1"/>
    </xf>
    <xf numFmtId="49" fontId="65" fillId="6" borderId="3" xfId="0" applyNumberFormat="1" applyFont="1" applyFill="1" applyBorder="1"/>
    <xf numFmtId="0" fontId="59" fillId="6" borderId="105" xfId="24" applyFont="1" applyFill="1" applyBorder="1" applyAlignment="1">
      <alignment horizontal="center" wrapText="1"/>
    </xf>
    <xf numFmtId="9" fontId="76" fillId="26" borderId="3" xfId="23" applyFont="1" applyFill="1" applyBorder="1" applyAlignment="1">
      <alignment horizontal="center" vertical="center" wrapText="1"/>
    </xf>
    <xf numFmtId="9" fontId="80" fillId="25" borderId="3" xfId="23" applyFont="1" applyFill="1" applyBorder="1" applyAlignment="1">
      <alignment horizontal="center" vertical="center" wrapText="1"/>
    </xf>
    <xf numFmtId="9" fontId="2" fillId="6" borderId="2" xfId="23" applyFont="1" applyFill="1" applyBorder="1" applyAlignment="1">
      <alignment horizontal="center" vertical="center" wrapText="1"/>
    </xf>
    <xf numFmtId="2" fontId="2" fillId="6" borderId="2" xfId="1" applyNumberFormat="1" applyFont="1" applyFill="1" applyBorder="1" applyAlignment="1">
      <alignment horizontal="center" vertical="center" wrapText="1"/>
    </xf>
    <xf numFmtId="9" fontId="32" fillId="6" borderId="0" xfId="23" applyFont="1" applyFill="1" applyBorder="1" applyAlignment="1">
      <alignment horizontal="center" vertical="center" wrapText="1"/>
    </xf>
    <xf numFmtId="0" fontId="45" fillId="6" borderId="0" xfId="24" applyFont="1" applyFill="1" applyAlignment="1">
      <alignment vertical="top" wrapText="1"/>
    </xf>
    <xf numFmtId="0" fontId="77" fillId="2" borderId="16" xfId="26" applyFont="1" applyFill="1" applyBorder="1" applyAlignment="1">
      <alignment horizontal="center" vertical="center" wrapText="1"/>
    </xf>
    <xf numFmtId="0" fontId="2" fillId="2" borderId="16" xfId="24" applyFill="1" applyBorder="1" applyAlignment="1">
      <alignment horizontal="justify" vertical="top" wrapText="1"/>
    </xf>
    <xf numFmtId="0" fontId="2" fillId="2" borderId="16" xfId="24" applyFill="1" applyBorder="1" applyAlignment="1">
      <alignment horizontal="center" vertical="center" wrapText="1"/>
    </xf>
    <xf numFmtId="4" fontId="2" fillId="2" borderId="16" xfId="27" applyNumberFormat="1" applyFont="1" applyFill="1" applyBorder="1" applyAlignment="1">
      <alignment horizontal="center" vertical="center" wrapText="1"/>
    </xf>
    <xf numFmtId="44" fontId="2" fillId="2" borderId="16" xfId="1" applyFont="1" applyFill="1" applyBorder="1" applyAlignment="1">
      <alignment horizontal="center" vertical="center" wrapText="1"/>
    </xf>
    <xf numFmtId="0" fontId="67" fillId="19" borderId="145" xfId="0" applyFont="1" applyFill="1" applyBorder="1" applyAlignment="1">
      <alignment horizontal="center"/>
    </xf>
    <xf numFmtId="0" fontId="16" fillId="6" borderId="0" xfId="7" applyFont="1" applyFill="1" applyAlignment="1">
      <alignment horizontal="right" wrapText="1"/>
    </xf>
    <xf numFmtId="0" fontId="0" fillId="12" borderId="77" xfId="0" applyFill="1" applyBorder="1"/>
    <xf numFmtId="44" fontId="67" fillId="20" borderId="105" xfId="1" applyFont="1" applyFill="1" applyBorder="1"/>
    <xf numFmtId="44" fontId="67" fillId="19" borderId="105" xfId="1" applyFont="1" applyFill="1" applyBorder="1" applyAlignment="1">
      <alignment horizontal="center"/>
    </xf>
    <xf numFmtId="44" fontId="52" fillId="18" borderId="44" xfId="1" applyFont="1" applyFill="1" applyBorder="1"/>
    <xf numFmtId="44" fontId="52" fillId="18" borderId="43" xfId="1" applyFont="1" applyFill="1" applyBorder="1"/>
    <xf numFmtId="169" fontId="4" fillId="8" borderId="27" xfId="15" applyFont="1" applyFill="1" applyBorder="1" applyAlignment="1">
      <alignment vertical="center"/>
    </xf>
    <xf numFmtId="1" fontId="23" fillId="8" borderId="86" xfId="14" applyNumberFormat="1" applyFont="1" applyFill="1" applyBorder="1" applyAlignment="1">
      <alignment horizontal="center" vertical="center"/>
    </xf>
    <xf numFmtId="1" fontId="4" fillId="0" borderId="52" xfId="14" applyNumberFormat="1" applyFont="1" applyBorder="1" applyAlignment="1">
      <alignment horizontal="center" vertical="center"/>
    </xf>
    <xf numFmtId="1" fontId="23" fillId="8" borderId="153" xfId="14" applyNumberFormat="1" applyFont="1" applyFill="1" applyBorder="1" applyAlignment="1">
      <alignment horizontal="center" vertical="center"/>
    </xf>
    <xf numFmtId="1" fontId="4" fillId="8" borderId="152" xfId="14" applyNumberFormat="1" applyFont="1" applyFill="1" applyBorder="1" applyAlignment="1">
      <alignment horizontal="center" vertical="center"/>
    </xf>
    <xf numFmtId="165" fontId="22" fillId="8" borderId="154" xfId="14" applyFont="1" applyFill="1" applyBorder="1" applyAlignment="1">
      <alignment horizontal="left"/>
    </xf>
    <xf numFmtId="165" fontId="4" fillId="8" borderId="153" xfId="14" applyFont="1" applyFill="1" applyBorder="1" applyAlignment="1">
      <alignment horizontal="left" vertical="center"/>
    </xf>
    <xf numFmtId="169" fontId="4" fillId="8" borderId="29" xfId="15" applyFont="1" applyFill="1" applyBorder="1" applyAlignment="1">
      <alignment vertical="center"/>
    </xf>
    <xf numFmtId="174" fontId="4" fillId="8" borderId="28" xfId="49" applyNumberFormat="1" applyFont="1" applyFill="1" applyBorder="1" applyAlignment="1">
      <alignment vertical="center"/>
    </xf>
    <xf numFmtId="2" fontId="4" fillId="8" borderId="153" xfId="14" applyNumberFormat="1" applyFont="1" applyFill="1" applyBorder="1" applyAlignment="1">
      <alignment horizontal="center" vertical="center"/>
    </xf>
    <xf numFmtId="169" fontId="4" fillId="8" borderId="28" xfId="15" applyFont="1" applyFill="1" applyBorder="1" applyAlignment="1">
      <alignment vertical="center"/>
    </xf>
    <xf numFmtId="1" fontId="4" fillId="8" borderId="40" xfId="14" applyNumberFormat="1" applyFont="1" applyFill="1" applyBorder="1" applyAlignment="1">
      <alignment horizontal="center" vertical="center"/>
    </xf>
    <xf numFmtId="4" fontId="4" fillId="0" borderId="54" xfId="14" applyNumberFormat="1" applyFont="1" applyBorder="1" applyAlignment="1">
      <alignment horizontal="right" vertical="center"/>
    </xf>
    <xf numFmtId="4" fontId="4" fillId="0" borderId="55" xfId="14" applyNumberFormat="1" applyFont="1" applyBorder="1" applyAlignment="1">
      <alignment horizontal="right" vertical="center"/>
    </xf>
    <xf numFmtId="4" fontId="4" fillId="8" borderId="26" xfId="14" applyNumberFormat="1" applyFont="1" applyFill="1" applyBorder="1" applyAlignment="1">
      <alignment horizontal="right" vertical="center"/>
    </xf>
    <xf numFmtId="10" fontId="23" fillId="8" borderId="25" xfId="14" applyNumberFormat="1" applyFont="1" applyFill="1" applyBorder="1" applyAlignment="1">
      <alignment horizontal="center" vertical="center"/>
    </xf>
    <xf numFmtId="10" fontId="4" fillId="0" borderId="45" xfId="14" applyNumberFormat="1" applyFont="1" applyBorder="1" applyAlignment="1">
      <alignment horizontal="center" vertical="center"/>
    </xf>
    <xf numFmtId="10" fontId="4" fillId="0" borderId="48" xfId="14" applyNumberFormat="1" applyFont="1" applyBorder="1" applyAlignment="1">
      <alignment horizontal="center" vertical="center"/>
    </xf>
    <xf numFmtId="0" fontId="45" fillId="8" borderId="77" xfId="24" applyFont="1" applyFill="1" applyBorder="1" applyAlignment="1">
      <alignment vertical="center" wrapText="1"/>
    </xf>
    <xf numFmtId="44" fontId="4" fillId="3" borderId="73" xfId="1" applyFont="1" applyFill="1" applyBorder="1" applyAlignment="1" applyProtection="1">
      <alignment horizontal="center" vertical="center"/>
      <protection locked="0"/>
    </xf>
    <xf numFmtId="44" fontId="4" fillId="3" borderId="64" xfId="1" applyFont="1" applyFill="1" applyBorder="1" applyAlignment="1" applyProtection="1">
      <alignment horizontal="center" vertical="center"/>
      <protection locked="0"/>
    </xf>
    <xf numFmtId="44" fontId="4" fillId="3" borderId="65" xfId="1" applyFont="1" applyFill="1" applyBorder="1" applyAlignment="1" applyProtection="1">
      <alignment horizontal="center" vertical="center"/>
      <protection locked="0"/>
    </xf>
    <xf numFmtId="44" fontId="25" fillId="6" borderId="74" xfId="22" applyFont="1" applyFill="1" applyBorder="1" applyAlignment="1" applyProtection="1">
      <alignment horizontal="left" vertical="center"/>
      <protection locked="0"/>
    </xf>
    <xf numFmtId="44" fontId="25" fillId="6" borderId="66" xfId="1" applyFont="1" applyFill="1" applyBorder="1" applyAlignment="1" applyProtection="1">
      <alignment horizontal="left" vertical="center"/>
      <protection locked="0"/>
    </xf>
    <xf numFmtId="44" fontId="25" fillId="6" borderId="62" xfId="1" applyFont="1" applyFill="1" applyBorder="1" applyAlignment="1" applyProtection="1">
      <alignment horizontal="left" vertical="center"/>
      <protection locked="0"/>
    </xf>
    <xf numFmtId="9" fontId="25" fillId="6" borderId="63" xfId="23" applyFont="1" applyFill="1" applyBorder="1" applyAlignment="1" applyProtection="1">
      <alignment horizontal="right" vertical="center"/>
      <protection locked="0"/>
    </xf>
    <xf numFmtId="9" fontId="11" fillId="5" borderId="57" xfId="23" applyFont="1" applyFill="1" applyBorder="1"/>
    <xf numFmtId="44" fontId="3" fillId="10" borderId="0" xfId="1" applyFont="1" applyFill="1" applyAlignment="1">
      <alignment vertical="center"/>
    </xf>
    <xf numFmtId="44" fontId="3" fillId="10" borderId="31" xfId="1" applyFont="1" applyFill="1" applyBorder="1" applyAlignment="1">
      <alignment vertical="center"/>
    </xf>
    <xf numFmtId="49" fontId="0" fillId="6" borderId="5" xfId="0" applyNumberFormat="1" applyFill="1" applyBorder="1" applyAlignment="1">
      <alignment horizontal="center" vertical="center" wrapText="1"/>
    </xf>
    <xf numFmtId="49" fontId="0" fillId="6" borderId="7" xfId="0" applyNumberFormat="1" applyFill="1" applyBorder="1" applyAlignment="1">
      <alignment horizontal="center" vertical="center" wrapText="1"/>
    </xf>
    <xf numFmtId="0" fontId="45" fillId="14" borderId="158" xfId="24" applyFont="1" applyFill="1" applyBorder="1" applyAlignment="1">
      <alignment horizontal="center" vertical="center" wrapText="1"/>
    </xf>
    <xf numFmtId="10" fontId="45" fillId="6" borderId="0" xfId="18" applyFont="1" applyFill="1" applyAlignment="1">
      <alignment horizontal="right" vertical="center"/>
    </xf>
    <xf numFmtId="166" fontId="4" fillId="4" borderId="35" xfId="14" applyNumberFormat="1" applyFont="1" applyFill="1" applyBorder="1" applyAlignment="1">
      <alignment horizontal="center" vertical="center"/>
    </xf>
    <xf numFmtId="0" fontId="25" fillId="4" borderId="60" xfId="11" applyFont="1" applyFill="1" applyBorder="1" applyAlignment="1" applyProtection="1">
      <alignment horizontal="left" vertical="center"/>
      <protection locked="0"/>
    </xf>
    <xf numFmtId="0" fontId="25" fillId="4" borderId="61" xfId="11" applyFont="1" applyFill="1" applyBorder="1" applyAlignment="1" applyProtection="1">
      <alignment horizontal="left" vertical="center"/>
      <protection locked="0"/>
    </xf>
    <xf numFmtId="44" fontId="25" fillId="4" borderId="66" xfId="1" applyFont="1" applyFill="1" applyBorder="1" applyAlignment="1" applyProtection="1">
      <alignment horizontal="right" vertical="center"/>
      <protection locked="0"/>
    </xf>
    <xf numFmtId="43" fontId="25" fillId="4" borderId="66" xfId="20" applyFont="1" applyFill="1" applyBorder="1" applyAlignment="1" applyProtection="1">
      <alignment horizontal="left" vertical="center"/>
      <protection locked="0"/>
    </xf>
    <xf numFmtId="43" fontId="25" fillId="4" borderId="66" xfId="20" applyFont="1" applyFill="1" applyBorder="1" applyAlignment="1" applyProtection="1">
      <alignment horizontal="center" vertical="center"/>
      <protection locked="0"/>
    </xf>
    <xf numFmtId="44" fontId="25" fillId="4" borderId="66" xfId="1" applyFont="1" applyFill="1" applyBorder="1" applyAlignment="1" applyProtection="1">
      <alignment horizontal="left" vertical="center"/>
      <protection locked="0"/>
    </xf>
    <xf numFmtId="8" fontId="25" fillId="4" borderId="66" xfId="22" applyNumberFormat="1" applyFont="1" applyFill="1" applyBorder="1" applyAlignment="1" applyProtection="1">
      <alignment horizontal="right" vertical="center"/>
      <protection locked="0"/>
    </xf>
    <xf numFmtId="44" fontId="25" fillId="4" borderId="66" xfId="22" applyFont="1" applyFill="1" applyBorder="1" applyAlignment="1" applyProtection="1">
      <alignment horizontal="left" vertical="center"/>
      <protection locked="0"/>
    </xf>
    <xf numFmtId="44" fontId="25" fillId="4" borderId="66" xfId="22" applyFont="1" applyFill="1" applyBorder="1" applyAlignment="1" applyProtection="1">
      <alignment horizontal="right" vertical="center"/>
      <protection locked="0"/>
    </xf>
    <xf numFmtId="0" fontId="39" fillId="4" borderId="61" xfId="11" applyFont="1" applyFill="1" applyBorder="1" applyAlignment="1" applyProtection="1">
      <alignment horizontal="left" vertical="center"/>
      <protection locked="0"/>
    </xf>
    <xf numFmtId="0" fontId="40" fillId="4" borderId="61" xfId="11" applyFont="1" applyFill="1" applyBorder="1" applyAlignment="1" applyProtection="1">
      <alignment horizontal="left" vertical="center"/>
      <protection locked="0"/>
    </xf>
    <xf numFmtId="43" fontId="40" fillId="4" borderId="66" xfId="20" applyFont="1" applyFill="1" applyBorder="1" applyAlignment="1" applyProtection="1">
      <alignment horizontal="center" vertical="center"/>
      <protection locked="0"/>
    </xf>
    <xf numFmtId="0" fontId="32" fillId="6" borderId="76" xfId="24" applyFont="1" applyFill="1" applyBorder="1" applyAlignment="1">
      <alignment vertical="center"/>
    </xf>
    <xf numFmtId="44" fontId="45" fillId="6" borderId="0" xfId="24" applyNumberFormat="1" applyFont="1" applyFill="1" applyAlignment="1">
      <alignment vertical="center" wrapText="1"/>
    </xf>
    <xf numFmtId="0" fontId="45" fillId="6" borderId="0" xfId="24" applyFont="1" applyFill="1" applyAlignment="1">
      <alignment horizontal="right" vertical="center"/>
    </xf>
    <xf numFmtId="44" fontId="80" fillId="25" borderId="76" xfId="1" applyFont="1" applyFill="1" applyBorder="1" applyAlignment="1">
      <alignment vertical="center" wrapText="1"/>
    </xf>
    <xf numFmtId="44" fontId="76" fillId="26" borderId="76" xfId="1" applyFont="1" applyFill="1" applyBorder="1" applyAlignment="1">
      <alignment vertical="center" wrapText="1"/>
    </xf>
    <xf numFmtId="2" fontId="2" fillId="6" borderId="15" xfId="1" applyNumberFormat="1" applyFont="1" applyFill="1" applyBorder="1" applyAlignment="1">
      <alignment horizontal="center" vertical="center" wrapText="1"/>
    </xf>
    <xf numFmtId="0" fontId="58" fillId="6" borderId="4" xfId="24" applyFont="1" applyFill="1" applyBorder="1" applyAlignment="1">
      <alignment horizontal="left" vertical="center" wrapText="1"/>
    </xf>
    <xf numFmtId="10" fontId="58" fillId="6" borderId="4" xfId="18" applyFont="1" applyFill="1" applyBorder="1" applyAlignment="1">
      <alignment horizontal="left" vertical="center"/>
    </xf>
    <xf numFmtId="49" fontId="25" fillId="6" borderId="3" xfId="24" applyNumberFormat="1" applyFont="1" applyFill="1" applyBorder="1" applyAlignment="1">
      <alignment horizontal="center" vertical="center" wrapText="1"/>
    </xf>
    <xf numFmtId="44" fontId="84" fillId="4" borderId="13" xfId="1" applyFont="1" applyFill="1" applyBorder="1"/>
    <xf numFmtId="44" fontId="84" fillId="2" borderId="2" xfId="1" applyFont="1" applyFill="1" applyBorder="1"/>
    <xf numFmtId="44" fontId="84" fillId="4" borderId="2" xfId="1" applyFont="1" applyFill="1" applyBorder="1"/>
    <xf numFmtId="2" fontId="84" fillId="4" borderId="2" xfId="1" applyNumberFormat="1" applyFont="1" applyFill="1" applyBorder="1"/>
    <xf numFmtId="44" fontId="84" fillId="6" borderId="2" xfId="1" applyFont="1" applyFill="1" applyBorder="1"/>
    <xf numFmtId="44" fontId="84" fillId="4" borderId="17" xfId="1" applyFont="1" applyFill="1" applyBorder="1"/>
    <xf numFmtId="49" fontId="84" fillId="4" borderId="17" xfId="1" applyNumberFormat="1" applyFont="1" applyFill="1" applyBorder="1" applyAlignment="1">
      <alignment horizontal="center"/>
    </xf>
    <xf numFmtId="49" fontId="84" fillId="4" borderId="2" xfId="1" applyNumberFormat="1" applyFont="1" applyFill="1" applyBorder="1" applyAlignment="1">
      <alignment horizontal="center"/>
    </xf>
    <xf numFmtId="14" fontId="84" fillId="4" borderId="2" xfId="1" applyNumberFormat="1" applyFont="1" applyFill="1" applyBorder="1" applyAlignment="1">
      <alignment horizontal="center"/>
    </xf>
    <xf numFmtId="14" fontId="84" fillId="4" borderId="15" xfId="1" applyNumberFormat="1" applyFont="1" applyFill="1" applyBorder="1" applyAlignment="1">
      <alignment horizontal="center"/>
    </xf>
    <xf numFmtId="14" fontId="84" fillId="4" borderId="18" xfId="1" applyNumberFormat="1" applyFont="1" applyFill="1" applyBorder="1" applyAlignment="1">
      <alignment horizontal="center"/>
    </xf>
    <xf numFmtId="165" fontId="84" fillId="8" borderId="4" xfId="14" applyFont="1" applyFill="1" applyBorder="1" applyAlignment="1">
      <alignment horizontal="left" vertical="center"/>
    </xf>
    <xf numFmtId="174" fontId="84" fillId="8" borderId="0" xfId="49" applyNumberFormat="1" applyFont="1" applyFill="1" applyAlignment="1">
      <alignment vertical="center"/>
    </xf>
    <xf numFmtId="2" fontId="84" fillId="8" borderId="4" xfId="14" applyNumberFormat="1" applyFont="1" applyFill="1" applyBorder="1" applyAlignment="1">
      <alignment horizontal="center" vertical="center"/>
    </xf>
    <xf numFmtId="1" fontId="86" fillId="8" borderId="4" xfId="14" applyNumberFormat="1" applyFont="1" applyFill="1" applyBorder="1" applyAlignment="1">
      <alignment horizontal="center" vertical="center"/>
    </xf>
    <xf numFmtId="1" fontId="86" fillId="8" borderId="26" xfId="14" applyNumberFormat="1" applyFont="1" applyFill="1" applyBorder="1" applyAlignment="1">
      <alignment horizontal="center" vertical="center"/>
    </xf>
    <xf numFmtId="165" fontId="87" fillId="8" borderId="41" xfId="14" applyFont="1" applyFill="1" applyBorder="1" applyAlignment="1">
      <alignment horizontal="left"/>
    </xf>
    <xf numFmtId="169" fontId="25" fillId="6" borderId="115" xfId="6" applyNumberFormat="1" applyFont="1" applyFill="1" applyBorder="1" applyAlignment="1">
      <alignment horizontal="center" vertical="center" wrapText="1"/>
    </xf>
    <xf numFmtId="43" fontId="3" fillId="3" borderId="38" xfId="1" applyNumberFormat="1" applyFont="1" applyFill="1" applyBorder="1" applyAlignment="1">
      <alignment horizontal="right" vertical="center"/>
    </xf>
    <xf numFmtId="1" fontId="4" fillId="0" borderId="152" xfId="14" applyNumberFormat="1" applyFont="1" applyBorder="1" applyAlignment="1">
      <alignment horizontal="center" vertical="center"/>
    </xf>
    <xf numFmtId="165" fontId="4" fillId="0" borderId="159" xfId="14" applyFont="1" applyBorder="1" applyAlignment="1">
      <alignment vertical="center"/>
    </xf>
    <xf numFmtId="165" fontId="4" fillId="0" borderId="160" xfId="14" applyFont="1" applyBorder="1" applyAlignment="1">
      <alignment vertical="center"/>
    </xf>
    <xf numFmtId="4" fontId="4" fillId="0" borderId="159" xfId="14" applyNumberFormat="1" applyFont="1" applyBorder="1" applyAlignment="1">
      <alignment horizontal="center" vertical="center"/>
    </xf>
    <xf numFmtId="2" fontId="4" fillId="0" borderId="159" xfId="14" applyNumberFormat="1" applyFont="1" applyBorder="1" applyAlignment="1">
      <alignment horizontal="center" vertical="center"/>
    </xf>
    <xf numFmtId="1" fontId="4" fillId="0" borderId="159" xfId="14" applyNumberFormat="1" applyFont="1" applyBorder="1" applyAlignment="1">
      <alignment horizontal="center" vertical="center"/>
    </xf>
    <xf numFmtId="4" fontId="4" fillId="0" borderId="161" xfId="14" applyNumberFormat="1" applyFont="1" applyBorder="1" applyAlignment="1">
      <alignment horizontal="right" vertical="center"/>
    </xf>
    <xf numFmtId="2" fontId="3" fillId="4" borderId="2" xfId="1" applyNumberFormat="1" applyFont="1" applyFill="1" applyBorder="1"/>
    <xf numFmtId="0" fontId="10" fillId="6" borderId="0" xfId="0" applyFont="1" applyFill="1" applyAlignment="1">
      <alignment horizontal="right" vertical="center"/>
    </xf>
    <xf numFmtId="44" fontId="10" fillId="6" borderId="0" xfId="0" applyNumberFormat="1" applyFont="1" applyFill="1" applyAlignment="1">
      <alignment horizontal="right" vertical="center"/>
    </xf>
    <xf numFmtId="44" fontId="78" fillId="24" borderId="3" xfId="1" applyFont="1" applyFill="1" applyBorder="1" applyAlignment="1">
      <alignment vertical="top" wrapText="1"/>
    </xf>
    <xf numFmtId="0" fontId="78" fillId="24" borderId="3" xfId="24" applyFont="1" applyFill="1" applyBorder="1" applyAlignment="1">
      <alignment horizontal="center" vertical="top" wrapText="1"/>
    </xf>
    <xf numFmtId="1" fontId="79" fillId="24" borderId="3" xfId="24" applyNumberFormat="1" applyFont="1" applyFill="1" applyBorder="1" applyAlignment="1">
      <alignment vertical="top" wrapText="1"/>
    </xf>
    <xf numFmtId="0" fontId="78" fillId="24" borderId="3" xfId="24" applyFont="1" applyFill="1" applyBorder="1" applyAlignment="1">
      <alignment vertical="top" wrapText="1"/>
    </xf>
    <xf numFmtId="10" fontId="59" fillId="6" borderId="0" xfId="18" applyFont="1" applyFill="1" applyAlignment="1">
      <alignment horizontal="left" vertical="top"/>
    </xf>
    <xf numFmtId="10" fontId="58" fillId="6" borderId="0" xfId="18" applyFont="1" applyFill="1" applyAlignment="1">
      <alignment horizontal="left" vertical="top"/>
    </xf>
    <xf numFmtId="44" fontId="78" fillId="24" borderId="76" xfId="1" applyFont="1" applyFill="1" applyBorder="1" applyAlignment="1">
      <alignment vertical="top" wrapText="1"/>
    </xf>
    <xf numFmtId="10" fontId="58" fillId="6" borderId="4" xfId="18" applyFont="1" applyFill="1" applyBorder="1" applyAlignment="1">
      <alignment horizontal="left" vertical="top"/>
    </xf>
    <xf numFmtId="9" fontId="78" fillId="24" borderId="3" xfId="23" applyFont="1" applyFill="1" applyBorder="1" applyAlignment="1">
      <alignment horizontal="center" vertical="top" wrapText="1"/>
    </xf>
    <xf numFmtId="0" fontId="21" fillId="6" borderId="0" xfId="2" applyFont="1" applyFill="1" applyAlignment="1">
      <alignment vertical="center"/>
    </xf>
    <xf numFmtId="165" fontId="18" fillId="6" borderId="0" xfId="14" applyFont="1" applyFill="1" applyAlignment="1">
      <alignment horizontal="right" vertical="top"/>
    </xf>
    <xf numFmtId="165" fontId="18" fillId="6" borderId="0" xfId="14" applyFont="1" applyFill="1" applyAlignment="1">
      <alignment horizontal="right" vertical="center"/>
    </xf>
    <xf numFmtId="0" fontId="88" fillId="6" borderId="0" xfId="7" applyFont="1" applyFill="1" applyAlignment="1">
      <alignment vertical="center"/>
    </xf>
    <xf numFmtId="0" fontId="4" fillId="6" borderId="94" xfId="11" applyFont="1" applyFill="1" applyBorder="1" applyAlignment="1" applyProtection="1">
      <alignment horizontal="center" vertical="center"/>
      <protection locked="0"/>
    </xf>
    <xf numFmtId="43" fontId="4" fillId="6" borderId="56" xfId="20" applyFont="1" applyFill="1" applyBorder="1" applyAlignment="1" applyProtection="1">
      <alignment horizontal="left" vertical="center"/>
      <protection locked="0"/>
    </xf>
    <xf numFmtId="43" fontId="4" fillId="6" borderId="32" xfId="20" applyFont="1" applyFill="1" applyBorder="1" applyAlignment="1" applyProtection="1">
      <alignment horizontal="left" vertical="center"/>
      <protection locked="0"/>
    </xf>
    <xf numFmtId="43" fontId="4" fillId="6" borderId="67" xfId="20" applyFont="1" applyFill="1" applyBorder="1" applyAlignment="1" applyProtection="1">
      <alignment horizontal="left" vertical="center"/>
      <protection locked="0"/>
    </xf>
    <xf numFmtId="43" fontId="4" fillId="6" borderId="149" xfId="20" applyFont="1" applyFill="1" applyBorder="1" applyAlignment="1" applyProtection="1">
      <alignment horizontal="left" vertical="center"/>
      <protection locked="0"/>
    </xf>
    <xf numFmtId="0" fontId="3" fillId="6" borderId="94" xfId="11" applyFont="1" applyFill="1" applyBorder="1" applyAlignment="1" applyProtection="1">
      <alignment horizontal="center" vertical="center"/>
      <protection locked="0"/>
    </xf>
    <xf numFmtId="43" fontId="34" fillId="6" borderId="56" xfId="20" applyFont="1" applyFill="1" applyBorder="1" applyAlignment="1" applyProtection="1">
      <alignment horizontal="center" vertical="center" wrapText="1"/>
    </xf>
    <xf numFmtId="43" fontId="34" fillId="6" borderId="32" xfId="20" applyFont="1" applyFill="1" applyBorder="1" applyAlignment="1" applyProtection="1">
      <alignment horizontal="center" vertical="center" wrapText="1"/>
    </xf>
    <xf numFmtId="0" fontId="4" fillId="6" borderId="95" xfId="11" applyFont="1" applyFill="1" applyBorder="1" applyAlignment="1">
      <alignment horizontal="center" vertical="center" wrapText="1"/>
    </xf>
    <xf numFmtId="0" fontId="3" fillId="6" borderId="34" xfId="11" applyFont="1" applyFill="1" applyBorder="1" applyAlignment="1">
      <alignment horizontal="center" vertical="center" wrapText="1"/>
    </xf>
    <xf numFmtId="43" fontId="3" fillId="6" borderId="36" xfId="20" applyFont="1" applyFill="1" applyBorder="1" applyAlignment="1" applyProtection="1">
      <alignment horizontal="center" vertical="center" wrapText="1"/>
    </xf>
    <xf numFmtId="43" fontId="4" fillId="6" borderId="36" xfId="20" applyFont="1" applyFill="1" applyBorder="1" applyAlignment="1" applyProtection="1">
      <alignment horizontal="center" vertical="center" wrapText="1"/>
    </xf>
    <xf numFmtId="0" fontId="3" fillId="6" borderId="94" xfId="11" applyFont="1" applyFill="1" applyBorder="1" applyAlignment="1">
      <alignment horizontal="center" vertical="center" wrapText="1"/>
    </xf>
    <xf numFmtId="170" fontId="10" fillId="6" borderId="38" xfId="21" applyFont="1" applyFill="1" applyBorder="1"/>
    <xf numFmtId="0" fontId="26" fillId="6" borderId="156" xfId="11" applyFont="1" applyFill="1" applyBorder="1" applyAlignment="1">
      <alignment wrapText="1"/>
    </xf>
    <xf numFmtId="44" fontId="9" fillId="11" borderId="32" xfId="1" applyFont="1" applyFill="1" applyBorder="1" applyAlignment="1">
      <alignment horizontal="center"/>
    </xf>
    <xf numFmtId="44" fontId="35" fillId="5" borderId="58" xfId="1" applyFont="1" applyFill="1" applyBorder="1"/>
    <xf numFmtId="44" fontId="3" fillId="7" borderId="61" xfId="1" applyFont="1" applyFill="1" applyBorder="1" applyAlignment="1" applyProtection="1">
      <alignment horizontal="center" vertical="center" wrapText="1"/>
      <protection locked="0"/>
    </xf>
    <xf numFmtId="44" fontId="4" fillId="3" borderId="64" xfId="1" applyFont="1" applyFill="1" applyBorder="1" applyAlignment="1" applyProtection="1">
      <alignment horizontal="right" vertical="center"/>
      <protection locked="0"/>
    </xf>
    <xf numFmtId="44" fontId="37" fillId="3" borderId="64" xfId="1" applyFont="1" applyFill="1" applyBorder="1" applyAlignment="1" applyProtection="1">
      <alignment horizontal="center" vertical="center"/>
      <protection locked="0"/>
    </xf>
    <xf numFmtId="44" fontId="25" fillId="6" borderId="162" xfId="22" applyFont="1" applyFill="1" applyBorder="1" applyAlignment="1" applyProtection="1">
      <alignment horizontal="left" vertical="center"/>
      <protection locked="0"/>
    </xf>
    <xf numFmtId="44" fontId="25" fillId="6" borderId="163" xfId="1" applyFont="1" applyFill="1" applyBorder="1" applyAlignment="1" applyProtection="1">
      <alignment horizontal="left" vertical="center"/>
      <protection locked="0"/>
    </xf>
    <xf numFmtId="0" fontId="9" fillId="11" borderId="30" xfId="22" applyNumberFormat="1" applyFont="1" applyFill="1" applyBorder="1" applyAlignment="1">
      <alignment horizontal="center"/>
    </xf>
    <xf numFmtId="0" fontId="9" fillId="11" borderId="0" xfId="22" applyNumberFormat="1" applyFont="1" applyFill="1" applyBorder="1" applyAlignment="1">
      <alignment horizontal="center"/>
    </xf>
    <xf numFmtId="0" fontId="9" fillId="11" borderId="31" xfId="22" applyNumberFormat="1" applyFont="1" applyFill="1" applyBorder="1" applyAlignment="1">
      <alignment horizontal="center"/>
    </xf>
    <xf numFmtId="44" fontId="11" fillId="5" borderId="29" xfId="1" applyFont="1" applyFill="1" applyBorder="1"/>
    <xf numFmtId="44" fontId="25" fillId="6" borderId="164" xfId="1" applyFont="1" applyFill="1" applyBorder="1" applyAlignment="1" applyProtection="1">
      <alignment horizontal="left" vertical="center"/>
      <protection locked="0"/>
    </xf>
    <xf numFmtId="0" fontId="32" fillId="6" borderId="78" xfId="24" applyFont="1" applyFill="1" applyBorder="1" applyAlignment="1">
      <alignment vertical="center" wrapText="1"/>
    </xf>
    <xf numFmtId="49" fontId="0" fillId="9" borderId="25" xfId="0" applyNumberFormat="1" applyFill="1" applyBorder="1" applyAlignment="1">
      <alignment horizontal="center" vertical="center" wrapText="1"/>
    </xf>
    <xf numFmtId="0" fontId="0" fillId="9" borderId="26" xfId="0" applyFill="1" applyBorder="1" applyAlignment="1">
      <alignment horizontal="center" vertical="center"/>
    </xf>
    <xf numFmtId="1" fontId="55" fillId="6" borderId="14" xfId="0" applyNumberFormat="1" applyFont="1" applyFill="1" applyBorder="1" applyAlignment="1">
      <alignment horizontal="left"/>
    </xf>
    <xf numFmtId="1" fontId="55" fillId="6" borderId="12" xfId="0" applyNumberFormat="1" applyFont="1" applyFill="1" applyBorder="1" applyAlignment="1">
      <alignment horizontal="left"/>
    </xf>
    <xf numFmtId="0" fontId="0" fillId="6" borderId="133" xfId="0" applyFill="1" applyBorder="1" applyAlignment="1">
      <alignment horizontal="center" vertical="center" wrapText="1"/>
    </xf>
    <xf numFmtId="0" fontId="0" fillId="6" borderId="134" xfId="0" applyFill="1" applyBorder="1" applyAlignment="1">
      <alignment horizontal="center" vertical="center" wrapText="1"/>
    </xf>
    <xf numFmtId="0" fontId="0" fillId="6" borderId="99" xfId="0" applyFill="1" applyBorder="1" applyAlignment="1">
      <alignment horizontal="center" vertical="center" wrapText="1"/>
    </xf>
    <xf numFmtId="0" fontId="89" fillId="6" borderId="0" xfId="24" applyFont="1" applyFill="1" applyAlignment="1">
      <alignment vertical="center" wrapText="1"/>
    </xf>
    <xf numFmtId="10" fontId="90" fillId="6" borderId="0" xfId="18" applyFont="1" applyFill="1" applyAlignment="1">
      <alignment horizontal="left" vertical="center"/>
    </xf>
    <xf numFmtId="8" fontId="91" fillId="6" borderId="0" xfId="18" applyNumberFormat="1" applyFont="1" applyFill="1" applyAlignment="1">
      <alignment horizontal="left" vertical="center"/>
    </xf>
    <xf numFmtId="10" fontId="91" fillId="6" borderId="0" xfId="18" applyFont="1" applyFill="1" applyAlignment="1">
      <alignment horizontal="left" vertical="center"/>
    </xf>
    <xf numFmtId="0" fontId="89" fillId="14" borderId="150" xfId="24" applyFont="1" applyFill="1" applyBorder="1" applyAlignment="1">
      <alignment horizontal="center" vertical="center" wrapText="1"/>
    </xf>
    <xf numFmtId="0" fontId="89" fillId="14" borderId="111" xfId="24" applyFont="1" applyFill="1" applyBorder="1" applyAlignment="1">
      <alignment horizontal="center" vertical="center" wrapText="1"/>
    </xf>
    <xf numFmtId="0" fontId="89" fillId="14" borderId="111" xfId="24" applyFont="1" applyFill="1" applyBorder="1" applyAlignment="1">
      <alignment vertical="center" wrapText="1"/>
    </xf>
    <xf numFmtId="0" fontId="92" fillId="14" borderId="112" xfId="24" applyFont="1" applyFill="1" applyBorder="1" applyAlignment="1">
      <alignment horizontal="center" vertical="center" wrapText="1"/>
    </xf>
    <xf numFmtId="0" fontId="92" fillId="14" borderId="113" xfId="24" applyFont="1" applyFill="1" applyBorder="1" applyAlignment="1">
      <alignment horizontal="center" vertical="center" wrapText="1"/>
    </xf>
    <xf numFmtId="0" fontId="92" fillId="14" borderId="158" xfId="24" applyFont="1" applyFill="1" applyBorder="1" applyAlignment="1">
      <alignment horizontal="center" vertical="center" wrapText="1"/>
    </xf>
    <xf numFmtId="9" fontId="93" fillId="6" borderId="0" xfId="23" applyFont="1" applyFill="1" applyAlignment="1">
      <alignment horizontal="center" vertical="center" wrapText="1"/>
    </xf>
    <xf numFmtId="49" fontId="0" fillId="0" borderId="165" xfId="0" applyNumberFormat="1" applyBorder="1"/>
    <xf numFmtId="49" fontId="0" fillId="0" borderId="166" xfId="0" applyNumberFormat="1" applyBorder="1"/>
    <xf numFmtId="49" fontId="0" fillId="0" borderId="167" xfId="0" applyNumberFormat="1" applyBorder="1"/>
    <xf numFmtId="49" fontId="0" fillId="0" borderId="56" xfId="0" applyNumberFormat="1" applyBorder="1"/>
    <xf numFmtId="0" fontId="0" fillId="9" borderId="4" xfId="0" applyFill="1" applyBorder="1" applyAlignment="1">
      <alignment horizontal="center" vertical="center"/>
    </xf>
    <xf numFmtId="49" fontId="0" fillId="0" borderId="5" xfId="0" applyNumberFormat="1" applyBorder="1"/>
    <xf numFmtId="16" fontId="0" fillId="0" borderId="6" xfId="0" applyNumberFormat="1" applyBorder="1" applyAlignment="1">
      <alignment horizontal="center"/>
    </xf>
    <xf numFmtId="16" fontId="0" fillId="0" borderId="100" xfId="0" applyNumberFormat="1" applyBorder="1" applyAlignment="1">
      <alignment horizontal="center"/>
    </xf>
    <xf numFmtId="0" fontId="35" fillId="5" borderId="73" xfId="11" applyFont="1" applyFill="1" applyBorder="1"/>
    <xf numFmtId="0" fontId="35" fillId="5" borderId="64" xfId="11" applyFont="1" applyFill="1" applyBorder="1"/>
    <xf numFmtId="8" fontId="36" fillId="5" borderId="64" xfId="11" applyNumberFormat="1" applyFont="1" applyFill="1" applyBorder="1"/>
    <xf numFmtId="44" fontId="42" fillId="5" borderId="65" xfId="1" applyFont="1" applyFill="1" applyBorder="1"/>
    <xf numFmtId="0" fontId="94" fillId="13" borderId="37" xfId="24" applyFont="1" applyFill="1" applyBorder="1" applyAlignment="1">
      <alignment horizontal="center" vertical="center" wrapText="1"/>
    </xf>
    <xf numFmtId="0" fontId="84" fillId="0" borderId="0" xfId="2" applyFont="1"/>
    <xf numFmtId="0" fontId="85" fillId="0" borderId="0" xfId="2" applyFont="1"/>
    <xf numFmtId="0" fontId="95" fillId="0" borderId="0" xfId="2" applyFont="1"/>
    <xf numFmtId="0" fontId="84" fillId="6" borderId="0" xfId="2" applyFont="1" applyFill="1"/>
    <xf numFmtId="0" fontId="85" fillId="6" borderId="0" xfId="11" applyFont="1" applyFill="1" applyAlignment="1">
      <alignment horizontal="center" vertical="center"/>
    </xf>
    <xf numFmtId="0" fontId="96" fillId="6" borderId="0" xfId="11" applyFont="1" applyFill="1"/>
    <xf numFmtId="0" fontId="97" fillId="5" borderId="73" xfId="11" applyFont="1" applyFill="1" applyBorder="1"/>
    <xf numFmtId="0" fontId="97" fillId="5" borderId="64" xfId="11" applyFont="1" applyFill="1" applyBorder="1"/>
    <xf numFmtId="8" fontId="98" fillId="5" borderId="64" xfId="11" applyNumberFormat="1" applyFont="1" applyFill="1" applyBorder="1"/>
    <xf numFmtId="44" fontId="84" fillId="6" borderId="0" xfId="11" applyNumberFormat="1" applyFont="1" applyFill="1"/>
    <xf numFmtId="9" fontId="100" fillId="5" borderId="57" xfId="23" applyFont="1" applyFill="1" applyBorder="1"/>
    <xf numFmtId="43" fontId="100" fillId="5" borderId="59" xfId="1" applyNumberFormat="1" applyFont="1" applyFill="1" applyBorder="1"/>
    <xf numFmtId="44" fontId="100" fillId="5" borderId="27" xfId="1" applyFont="1" applyFill="1" applyBorder="1"/>
    <xf numFmtId="44" fontId="100" fillId="5" borderId="28" xfId="1" applyFont="1" applyFill="1" applyBorder="1"/>
    <xf numFmtId="44" fontId="100" fillId="5" borderId="29" xfId="1" applyFont="1" applyFill="1" applyBorder="1"/>
    <xf numFmtId="0" fontId="85" fillId="7" borderId="60" xfId="11" applyFont="1" applyFill="1" applyBorder="1" applyAlignment="1" applyProtection="1">
      <alignment horizontal="center" vertical="center" wrapText="1"/>
      <protection locked="0"/>
    </xf>
    <xf numFmtId="0" fontId="85" fillId="7" borderId="61" xfId="11" applyFont="1" applyFill="1" applyBorder="1" applyAlignment="1" applyProtection="1">
      <alignment horizontal="center" vertical="center" wrapText="1"/>
      <protection locked="0"/>
    </xf>
    <xf numFmtId="0" fontId="85" fillId="7" borderId="62" xfId="11" applyFont="1" applyFill="1" applyBorder="1" applyAlignment="1" applyProtection="1">
      <alignment horizontal="center" vertical="center" wrapText="1"/>
      <protection locked="0"/>
    </xf>
    <xf numFmtId="0" fontId="84" fillId="6" borderId="0" xfId="11" applyFont="1" applyFill="1"/>
    <xf numFmtId="0" fontId="84" fillId="6" borderId="94" xfId="11" applyFont="1" applyFill="1" applyBorder="1" applyAlignment="1" applyProtection="1">
      <alignment horizontal="center" vertical="center"/>
      <protection locked="0"/>
    </xf>
    <xf numFmtId="9" fontId="84" fillId="7" borderId="63" xfId="23" applyFont="1" applyFill="1" applyBorder="1" applyAlignment="1" applyProtection="1">
      <alignment horizontal="center" vertical="center" wrapText="1"/>
      <protection locked="0"/>
    </xf>
    <xf numFmtId="0" fontId="84" fillId="7" borderId="62" xfId="11" applyFont="1" applyFill="1" applyBorder="1" applyAlignment="1" applyProtection="1">
      <alignment horizontal="center" vertical="center" wrapText="1"/>
      <protection locked="0"/>
    </xf>
    <xf numFmtId="0" fontId="85" fillId="7" borderId="63" xfId="11" applyFont="1" applyFill="1" applyBorder="1" applyAlignment="1" applyProtection="1">
      <alignment horizontal="center" vertical="center" wrapText="1"/>
      <protection locked="0"/>
    </xf>
    <xf numFmtId="0" fontId="84" fillId="3" borderId="60" xfId="11" applyFont="1" applyFill="1" applyBorder="1" applyAlignment="1" applyProtection="1">
      <alignment horizontal="center" vertical="center"/>
      <protection locked="0"/>
    </xf>
    <xf numFmtId="0" fontId="84" fillId="3" borderId="61" xfId="11" applyFont="1" applyFill="1" applyBorder="1" applyAlignment="1" applyProtection="1">
      <alignment horizontal="center" vertical="center"/>
      <protection locked="0"/>
    </xf>
    <xf numFmtId="0" fontId="87" fillId="3" borderId="61" xfId="11" applyFont="1" applyFill="1" applyBorder="1" applyAlignment="1" applyProtection="1">
      <alignment horizontal="center" vertical="center"/>
      <protection locked="0"/>
    </xf>
    <xf numFmtId="8" fontId="101" fillId="3" borderId="64" xfId="22" applyNumberFormat="1" applyFont="1" applyFill="1" applyBorder="1" applyAlignment="1" applyProtection="1">
      <alignment horizontal="center" vertical="center"/>
      <protection locked="0"/>
    </xf>
    <xf numFmtId="0" fontId="101" fillId="3" borderId="64" xfId="22" applyNumberFormat="1" applyFont="1" applyFill="1" applyBorder="1" applyAlignment="1" applyProtection="1">
      <alignment horizontal="center" vertical="center"/>
      <protection locked="0"/>
    </xf>
    <xf numFmtId="0" fontId="84" fillId="3" borderId="64" xfId="11" applyFont="1" applyFill="1" applyBorder="1" applyAlignment="1" applyProtection="1">
      <alignment horizontal="center" vertical="center"/>
      <protection locked="0"/>
    </xf>
    <xf numFmtId="0" fontId="95" fillId="6" borderId="0" xfId="11" applyFont="1" applyFill="1"/>
    <xf numFmtId="0" fontId="85" fillId="6" borderId="94" xfId="11" applyFont="1" applyFill="1" applyBorder="1" applyAlignment="1" applyProtection="1">
      <alignment horizontal="center" vertical="center" wrapText="1"/>
      <protection locked="0"/>
    </xf>
    <xf numFmtId="9" fontId="84" fillId="3" borderId="30" xfId="23" applyFont="1" applyFill="1" applyBorder="1" applyAlignment="1" applyProtection="1">
      <alignment horizontal="center" vertical="center"/>
      <protection locked="0"/>
    </xf>
    <xf numFmtId="8" fontId="84" fillId="3" borderId="65" xfId="22" applyNumberFormat="1" applyFont="1" applyFill="1" applyBorder="1" applyAlignment="1" applyProtection="1">
      <alignment horizontal="center" vertical="center"/>
      <protection locked="0"/>
    </xf>
    <xf numFmtId="44" fontId="84" fillId="3" borderId="73" xfId="1" applyFont="1" applyFill="1" applyBorder="1" applyAlignment="1" applyProtection="1">
      <alignment horizontal="center" vertical="center"/>
      <protection locked="0"/>
    </xf>
    <xf numFmtId="44" fontId="84" fillId="3" borderId="64" xfId="1" applyFont="1" applyFill="1" applyBorder="1" applyAlignment="1" applyProtection="1">
      <alignment horizontal="center" vertical="center"/>
      <protection locked="0"/>
    </xf>
    <xf numFmtId="44" fontId="84" fillId="3" borderId="65" xfId="1" applyFont="1" applyFill="1" applyBorder="1" applyAlignment="1" applyProtection="1">
      <alignment horizontal="center" vertical="center"/>
      <protection locked="0"/>
    </xf>
    <xf numFmtId="0" fontId="102" fillId="4" borderId="60" xfId="11" applyFont="1" applyFill="1" applyBorder="1" applyAlignment="1" applyProtection="1">
      <alignment horizontal="left" vertical="center"/>
      <protection locked="0"/>
    </xf>
    <xf numFmtId="0" fontId="102" fillId="4" borderId="61" xfId="11" applyFont="1" applyFill="1" applyBorder="1" applyAlignment="1" applyProtection="1">
      <alignment horizontal="left" vertical="center"/>
      <protection locked="0"/>
    </xf>
    <xf numFmtId="44" fontId="102" fillId="4" borderId="66" xfId="1" applyFont="1" applyFill="1" applyBorder="1" applyAlignment="1" applyProtection="1">
      <alignment horizontal="left" vertical="center"/>
      <protection locked="0"/>
    </xf>
    <xf numFmtId="44" fontId="102" fillId="4" borderId="66" xfId="1" applyFont="1" applyFill="1" applyBorder="1" applyAlignment="1" applyProtection="1">
      <alignment horizontal="right" vertical="center"/>
      <protection locked="0"/>
    </xf>
    <xf numFmtId="43" fontId="102" fillId="4" borderId="66" xfId="20" applyFont="1" applyFill="1" applyBorder="1" applyAlignment="1" applyProtection="1">
      <alignment horizontal="center" vertical="center"/>
      <protection locked="0"/>
    </xf>
    <xf numFmtId="9" fontId="102" fillId="6" borderId="63" xfId="23" applyFont="1" applyFill="1" applyBorder="1" applyAlignment="1" applyProtection="1">
      <alignment horizontal="right" vertical="center"/>
      <protection locked="0"/>
    </xf>
    <xf numFmtId="44" fontId="102" fillId="6" borderId="62" xfId="1" applyFont="1" applyFill="1" applyBorder="1" applyAlignment="1" applyProtection="1">
      <alignment horizontal="left" vertical="center"/>
      <protection locked="0"/>
    </xf>
    <xf numFmtId="44" fontId="102" fillId="6" borderId="74" xfId="22" applyFont="1" applyFill="1" applyBorder="1" applyAlignment="1" applyProtection="1">
      <alignment horizontal="left" vertical="center"/>
      <protection locked="0"/>
    </xf>
    <xf numFmtId="44" fontId="102" fillId="6" borderId="66" xfId="1" applyFont="1" applyFill="1" applyBorder="1" applyAlignment="1" applyProtection="1">
      <alignment horizontal="left" vertical="center"/>
      <protection locked="0"/>
    </xf>
    <xf numFmtId="44" fontId="102" fillId="6" borderId="164" xfId="1" applyFont="1" applyFill="1" applyBorder="1" applyAlignment="1" applyProtection="1">
      <alignment horizontal="left" vertical="center"/>
      <protection locked="0"/>
    </xf>
    <xf numFmtId="8" fontId="102" fillId="4" borderId="66" xfId="22" applyNumberFormat="1" applyFont="1" applyFill="1" applyBorder="1" applyAlignment="1" applyProtection="1">
      <alignment horizontal="right" vertical="center"/>
      <protection locked="0"/>
    </xf>
    <xf numFmtId="43" fontId="102" fillId="4" borderId="66" xfId="20" applyFont="1" applyFill="1" applyBorder="1" applyAlignment="1" applyProtection="1">
      <alignment horizontal="left" vertical="center"/>
      <protection locked="0"/>
    </xf>
    <xf numFmtId="44" fontId="102" fillId="6" borderId="162" xfId="22" applyFont="1" applyFill="1" applyBorder="1" applyAlignment="1" applyProtection="1">
      <alignment horizontal="left" vertical="center"/>
      <protection locked="0"/>
    </xf>
    <xf numFmtId="44" fontId="102" fillId="6" borderId="163" xfId="1" applyFont="1" applyFill="1" applyBorder="1" applyAlignment="1" applyProtection="1">
      <alignment horizontal="left" vertical="center"/>
      <protection locked="0"/>
    </xf>
    <xf numFmtId="0" fontId="84" fillId="11" borderId="56" xfId="11" applyFont="1" applyFill="1" applyBorder="1" applyAlignment="1" applyProtection="1">
      <alignment horizontal="left" vertical="center"/>
      <protection locked="0"/>
    </xf>
    <xf numFmtId="0" fontId="84" fillId="11" borderId="32" xfId="11" applyFont="1" applyFill="1" applyBorder="1" applyAlignment="1" applyProtection="1">
      <alignment horizontal="left" vertical="center"/>
      <protection locked="0"/>
    </xf>
    <xf numFmtId="0" fontId="96" fillId="11" borderId="32" xfId="22" applyNumberFormat="1" applyFont="1" applyFill="1" applyBorder="1" applyAlignment="1">
      <alignment horizontal="center"/>
    </xf>
    <xf numFmtId="44" fontId="96" fillId="11" borderId="32" xfId="1" applyFont="1" applyFill="1" applyBorder="1" applyAlignment="1">
      <alignment horizontal="center"/>
    </xf>
    <xf numFmtId="43" fontId="96" fillId="11" borderId="32" xfId="20" applyFont="1" applyFill="1" applyBorder="1" applyAlignment="1">
      <alignment horizontal="center"/>
    </xf>
    <xf numFmtId="43" fontId="96" fillId="11" borderId="32" xfId="20" applyFont="1" applyFill="1" applyBorder="1"/>
    <xf numFmtId="0" fontId="96" fillId="11" borderId="33" xfId="22" applyNumberFormat="1" applyFont="1" applyFill="1" applyBorder="1"/>
    <xf numFmtId="43" fontId="84" fillId="6" borderId="56" xfId="20" applyFont="1" applyFill="1" applyBorder="1" applyAlignment="1" applyProtection="1">
      <alignment horizontal="left" vertical="center"/>
      <protection locked="0"/>
    </xf>
    <xf numFmtId="43" fontId="84" fillId="6" borderId="32" xfId="20" applyFont="1" applyFill="1" applyBorder="1" applyAlignment="1" applyProtection="1">
      <alignment horizontal="left" vertical="center"/>
      <protection locked="0"/>
    </xf>
    <xf numFmtId="43" fontId="84" fillId="6" borderId="67" xfId="20" applyFont="1" applyFill="1" applyBorder="1" applyAlignment="1" applyProtection="1">
      <alignment horizontal="left" vertical="center"/>
      <protection locked="0"/>
    </xf>
    <xf numFmtId="9" fontId="96" fillId="11" borderId="56" xfId="23" applyFont="1" applyFill="1" applyBorder="1" applyAlignment="1">
      <alignment horizontal="center"/>
    </xf>
    <xf numFmtId="0" fontId="96" fillId="11" borderId="33" xfId="22" applyNumberFormat="1" applyFont="1" applyFill="1" applyBorder="1" applyAlignment="1">
      <alignment horizontal="center"/>
    </xf>
    <xf numFmtId="0" fontId="97" fillId="5" borderId="57" xfId="11" applyFont="1" applyFill="1" applyBorder="1"/>
    <xf numFmtId="0" fontId="97" fillId="5" borderId="58" xfId="11" applyFont="1" applyFill="1" applyBorder="1"/>
    <xf numFmtId="44" fontId="97" fillId="5" borderId="58" xfId="1" applyFont="1" applyFill="1" applyBorder="1"/>
    <xf numFmtId="8" fontId="98" fillId="5" borderId="58" xfId="11" applyNumberFormat="1" applyFont="1" applyFill="1" applyBorder="1"/>
    <xf numFmtId="44" fontId="99" fillId="5" borderId="59" xfId="1" applyFont="1" applyFill="1" applyBorder="1"/>
    <xf numFmtId="44" fontId="85" fillId="7" borderId="61" xfId="1" applyFont="1" applyFill="1" applyBorder="1" applyAlignment="1" applyProtection="1">
      <alignment horizontal="center" vertical="center" wrapText="1"/>
      <protection locked="0"/>
    </xf>
    <xf numFmtId="44" fontId="84" fillId="3" borderId="64" xfId="1" applyFont="1" applyFill="1" applyBorder="1" applyAlignment="1" applyProtection="1">
      <alignment horizontal="right" vertical="center"/>
      <protection locked="0"/>
    </xf>
    <xf numFmtId="0" fontId="101" fillId="3" borderId="64" xfId="22" applyNumberFormat="1" applyFont="1" applyFill="1" applyBorder="1" applyAlignment="1" applyProtection="1">
      <alignment horizontal="right" vertical="center"/>
      <protection locked="0"/>
    </xf>
    <xf numFmtId="0" fontId="84" fillId="3" borderId="64" xfId="11" applyFont="1" applyFill="1" applyBorder="1" applyAlignment="1" applyProtection="1">
      <alignment horizontal="right" vertical="center"/>
      <protection locked="0"/>
    </xf>
    <xf numFmtId="44" fontId="102" fillId="4" borderId="66" xfId="22" applyFont="1" applyFill="1" applyBorder="1" applyAlignment="1" applyProtection="1">
      <alignment horizontal="left" vertical="center"/>
      <protection locked="0"/>
    </xf>
    <xf numFmtId="43" fontId="84" fillId="6" borderId="149" xfId="20" applyFont="1" applyFill="1" applyBorder="1" applyAlignment="1" applyProtection="1">
      <alignment horizontal="left" vertical="center"/>
      <protection locked="0"/>
    </xf>
    <xf numFmtId="0" fontId="85" fillId="6" borderId="0" xfId="2" applyFont="1" applyFill="1"/>
    <xf numFmtId="0" fontId="85" fillId="6" borderId="0" xfId="11" applyFont="1" applyFill="1"/>
    <xf numFmtId="0" fontId="85" fillId="6" borderId="94" xfId="11" applyFont="1" applyFill="1" applyBorder="1" applyAlignment="1" applyProtection="1">
      <alignment horizontal="center" vertical="center"/>
      <protection locked="0"/>
    </xf>
    <xf numFmtId="0" fontId="103" fillId="6" borderId="0" xfId="11" applyFont="1" applyFill="1"/>
    <xf numFmtId="44" fontId="101" fillId="3" borderId="64" xfId="1" applyFont="1" applyFill="1" applyBorder="1" applyAlignment="1" applyProtection="1">
      <alignment horizontal="center" vertical="center"/>
      <protection locked="0"/>
    </xf>
    <xf numFmtId="8" fontId="85" fillId="3" borderId="65" xfId="22" applyNumberFormat="1" applyFont="1" applyFill="1" applyBorder="1" applyAlignment="1" applyProtection="1">
      <alignment horizontal="center" vertical="center"/>
      <protection locked="0"/>
    </xf>
    <xf numFmtId="0" fontId="104" fillId="4" borderId="61" xfId="11" applyFont="1" applyFill="1" applyBorder="1" applyAlignment="1" applyProtection="1">
      <alignment horizontal="left" vertical="center"/>
      <protection locked="0"/>
    </xf>
    <xf numFmtId="9" fontId="84" fillId="3" borderId="73" xfId="23" applyFont="1" applyFill="1" applyBorder="1" applyAlignment="1" applyProtection="1">
      <alignment horizontal="center" vertical="center"/>
      <protection locked="0"/>
    </xf>
    <xf numFmtId="44" fontId="96" fillId="11" borderId="33" xfId="1" applyFont="1" applyFill="1" applyBorder="1"/>
    <xf numFmtId="0" fontId="96" fillId="11" borderId="56" xfId="22" applyNumberFormat="1" applyFont="1" applyFill="1" applyBorder="1" applyAlignment="1">
      <alignment horizontal="center"/>
    </xf>
    <xf numFmtId="0" fontId="95" fillId="6" borderId="0" xfId="2" applyFont="1" applyFill="1"/>
    <xf numFmtId="0" fontId="105" fillId="4" borderId="61" xfId="11" applyFont="1" applyFill="1" applyBorder="1" applyAlignment="1" applyProtection="1">
      <alignment horizontal="left" vertical="center"/>
      <protection locked="0"/>
    </xf>
    <xf numFmtId="43" fontId="105" fillId="4" borderId="66" xfId="20" applyFont="1" applyFill="1" applyBorder="1" applyAlignment="1" applyProtection="1">
      <alignment horizontal="center" vertical="center"/>
      <protection locked="0"/>
    </xf>
    <xf numFmtId="0" fontId="96" fillId="11" borderId="30" xfId="22" applyNumberFormat="1" applyFont="1" applyFill="1" applyBorder="1" applyAlignment="1">
      <alignment horizontal="center"/>
    </xf>
    <xf numFmtId="0" fontId="96" fillId="11" borderId="31" xfId="22" applyNumberFormat="1" applyFont="1" applyFill="1" applyBorder="1" applyAlignment="1">
      <alignment horizontal="center"/>
    </xf>
    <xf numFmtId="44" fontId="102" fillId="4" borderId="66" xfId="22" applyFont="1" applyFill="1" applyBorder="1" applyAlignment="1" applyProtection="1">
      <alignment horizontal="right" vertical="center"/>
      <protection locked="0"/>
    </xf>
    <xf numFmtId="43" fontId="96" fillId="6" borderId="0" xfId="20" applyFont="1" applyFill="1"/>
    <xf numFmtId="0" fontId="94" fillId="13" borderId="37" xfId="24" applyFont="1" applyFill="1" applyBorder="1" applyAlignment="1">
      <alignment horizontal="left" vertical="center" wrapText="1"/>
    </xf>
    <xf numFmtId="0" fontId="94" fillId="13" borderId="36" xfId="24" applyFont="1" applyFill="1" applyBorder="1" applyAlignment="1">
      <alignment horizontal="left" vertical="center" indent="3"/>
    </xf>
    <xf numFmtId="43" fontId="85" fillId="10" borderId="61" xfId="20" applyFont="1" applyFill="1" applyBorder="1" applyAlignment="1" applyProtection="1">
      <alignment horizontal="center" vertical="center" wrapText="1"/>
      <protection locked="0"/>
    </xf>
    <xf numFmtId="44" fontId="84" fillId="27" borderId="61" xfId="1" applyFont="1" applyFill="1" applyBorder="1" applyAlignment="1" applyProtection="1">
      <alignment horizontal="center" vertical="center"/>
      <protection locked="0"/>
    </xf>
    <xf numFmtId="0" fontId="4" fillId="6" borderId="31" xfId="11" applyFont="1" applyFill="1" applyBorder="1" applyAlignment="1" applyProtection="1">
      <alignment horizontal="center" vertical="center"/>
      <protection locked="0"/>
    </xf>
    <xf numFmtId="0" fontId="3" fillId="6" borderId="31" xfId="11" applyFont="1" applyFill="1" applyBorder="1" applyAlignment="1" applyProtection="1">
      <alignment horizontal="center" vertical="center" wrapText="1"/>
      <protection locked="0"/>
    </xf>
    <xf numFmtId="43" fontId="85" fillId="10" borderId="63" xfId="20" applyFont="1" applyFill="1" applyBorder="1" applyAlignment="1" applyProtection="1">
      <alignment horizontal="center" vertical="center" wrapText="1"/>
      <protection locked="0"/>
    </xf>
    <xf numFmtId="43" fontId="85" fillId="10" borderId="62" xfId="20" applyFont="1" applyFill="1" applyBorder="1" applyAlignment="1" applyProtection="1">
      <alignment horizontal="center" vertical="center" wrapText="1"/>
      <protection locked="0"/>
    </xf>
    <xf numFmtId="44" fontId="84" fillId="27" borderId="63" xfId="1" applyFont="1" applyFill="1" applyBorder="1" applyAlignment="1" applyProtection="1">
      <alignment horizontal="center" vertical="center"/>
      <protection locked="0"/>
    </xf>
    <xf numFmtId="44" fontId="84" fillId="27" borderId="62" xfId="1" applyFont="1" applyFill="1" applyBorder="1" applyAlignment="1" applyProtection="1">
      <alignment horizontal="center" vertical="center"/>
      <protection locked="0"/>
    </xf>
    <xf numFmtId="44" fontId="94" fillId="13" borderId="38" xfId="1" applyFont="1" applyFill="1" applyBorder="1" applyAlignment="1">
      <alignment horizontal="center" vertical="center" wrapText="1"/>
    </xf>
    <xf numFmtId="43" fontId="4" fillId="6" borderId="0" xfId="20" applyFont="1" applyFill="1" applyBorder="1" applyAlignment="1">
      <alignment horizontal="center" vertical="center" wrapText="1"/>
    </xf>
    <xf numFmtId="0" fontId="4" fillId="6" borderId="0" xfId="11" applyFont="1" applyFill="1" applyAlignment="1">
      <alignment horizontal="center" vertical="center"/>
    </xf>
    <xf numFmtId="43" fontId="3" fillId="6" borderId="0" xfId="20" applyFont="1" applyFill="1" applyBorder="1" applyAlignment="1">
      <alignment horizontal="center" vertical="center"/>
    </xf>
    <xf numFmtId="0" fontId="4" fillId="6" borderId="0" xfId="11" applyFont="1" applyFill="1" applyAlignment="1">
      <alignment vertical="center"/>
    </xf>
    <xf numFmtId="171" fontId="4" fillId="6" borderId="0" xfId="11" applyNumberFormat="1" applyFont="1" applyFill="1" applyAlignment="1">
      <alignment horizontal="center" vertical="center" wrapText="1"/>
    </xf>
    <xf numFmtId="0" fontId="4" fillId="6" borderId="155" xfId="11" applyFont="1" applyFill="1" applyBorder="1"/>
    <xf numFmtId="0" fontId="4" fillId="6" borderId="156" xfId="11" applyFont="1" applyFill="1" applyBorder="1"/>
    <xf numFmtId="0" fontId="4" fillId="6" borderId="156" xfId="11" applyFont="1" applyFill="1" applyBorder="1" applyAlignment="1">
      <alignment horizontal="center" vertical="center" wrapText="1"/>
    </xf>
    <xf numFmtId="0" fontId="4" fillId="6" borderId="156" xfId="11" applyFont="1" applyFill="1" applyBorder="1" applyAlignment="1">
      <alignment horizontal="center" vertical="center"/>
    </xf>
    <xf numFmtId="43" fontId="4" fillId="6" borderId="156" xfId="20" applyFont="1" applyFill="1" applyBorder="1" applyAlignment="1">
      <alignment horizontal="center" vertical="center"/>
    </xf>
    <xf numFmtId="0" fontId="4" fillId="6" borderId="157" xfId="11" applyFont="1" applyFill="1" applyBorder="1"/>
    <xf numFmtId="49" fontId="106" fillId="0" borderId="5" xfId="0" applyNumberFormat="1" applyFont="1" applyBorder="1"/>
    <xf numFmtId="49" fontId="106" fillId="0" borderId="7" xfId="0" applyNumberFormat="1" applyFont="1" applyBorder="1"/>
    <xf numFmtId="49" fontId="106" fillId="0" borderId="9" xfId="0" applyNumberFormat="1" applyFont="1" applyBorder="1"/>
    <xf numFmtId="44" fontId="84" fillId="11" borderId="0" xfId="1" applyFont="1" applyFill="1" applyBorder="1"/>
    <xf numFmtId="44" fontId="84" fillId="11" borderId="31" xfId="1" applyFont="1" applyFill="1" applyBorder="1"/>
    <xf numFmtId="0" fontId="22" fillId="6" borderId="31" xfId="11" applyFont="1" applyFill="1" applyBorder="1" applyAlignment="1">
      <alignment horizontal="left"/>
    </xf>
    <xf numFmtId="43" fontId="4" fillId="6" borderId="32" xfId="20" applyFont="1" applyFill="1" applyBorder="1" applyAlignment="1">
      <alignment horizontal="center"/>
    </xf>
    <xf numFmtId="43" fontId="4" fillId="6" borderId="67" xfId="20" applyFont="1" applyFill="1" applyBorder="1"/>
    <xf numFmtId="43" fontId="4" fillId="6" borderId="67" xfId="20" applyFont="1" applyFill="1" applyBorder="1" applyAlignment="1">
      <alignment horizontal="center"/>
    </xf>
    <xf numFmtId="44" fontId="84" fillId="11" borderId="30" xfId="1" applyFont="1" applyFill="1" applyBorder="1"/>
    <xf numFmtId="44" fontId="84" fillId="11" borderId="0" xfId="1" applyFont="1" applyFill="1"/>
    <xf numFmtId="0" fontId="22" fillId="6" borderId="94" xfId="11" applyFont="1" applyFill="1" applyBorder="1" applyAlignment="1">
      <alignment horizontal="left"/>
    </xf>
    <xf numFmtId="0" fontId="4" fillId="6" borderId="94" xfId="22" applyNumberFormat="1" applyFont="1" applyFill="1" applyBorder="1"/>
    <xf numFmtId="0" fontId="4" fillId="6" borderId="95" xfId="22" applyNumberFormat="1" applyFont="1" applyFill="1" applyBorder="1"/>
    <xf numFmtId="43" fontId="4" fillId="6" borderId="0" xfId="20" applyFont="1" applyFill="1"/>
    <xf numFmtId="0" fontId="87" fillId="6" borderId="94" xfId="11" applyFont="1" applyFill="1" applyBorder="1" applyAlignment="1">
      <alignment horizontal="left"/>
    </xf>
    <xf numFmtId="43" fontId="84" fillId="6" borderId="32" xfId="20" applyFont="1" applyFill="1" applyBorder="1" applyAlignment="1">
      <alignment horizontal="center"/>
    </xf>
    <xf numFmtId="43" fontId="84" fillId="6" borderId="67" xfId="20" applyFont="1" applyFill="1" applyBorder="1"/>
    <xf numFmtId="43" fontId="84" fillId="6" borderId="67" xfId="20" applyFont="1" applyFill="1" applyBorder="1" applyAlignment="1">
      <alignment horizontal="center"/>
    </xf>
    <xf numFmtId="0" fontId="84" fillId="6" borderId="94" xfId="22" applyNumberFormat="1" applyFont="1" applyFill="1" applyBorder="1"/>
    <xf numFmtId="0" fontId="84" fillId="6" borderId="95" xfId="22" applyNumberFormat="1" applyFont="1" applyFill="1" applyBorder="1"/>
    <xf numFmtId="43" fontId="84" fillId="6" borderId="0" xfId="20" applyFont="1" applyFill="1"/>
    <xf numFmtId="44" fontId="4" fillId="6" borderId="0" xfId="1" applyFont="1" applyFill="1"/>
    <xf numFmtId="44" fontId="32" fillId="12" borderId="27" xfId="1" applyFont="1" applyFill="1" applyBorder="1" applyAlignment="1">
      <alignment vertical="center" wrapText="1"/>
    </xf>
    <xf numFmtId="44" fontId="32" fillId="12" borderId="28" xfId="1" applyFont="1" applyFill="1" applyBorder="1" applyAlignment="1">
      <alignment vertical="center" wrapText="1"/>
    </xf>
    <xf numFmtId="44" fontId="32" fillId="12" borderId="29" xfId="1" applyFont="1" applyFill="1" applyBorder="1" applyAlignment="1">
      <alignment vertical="center" wrapText="1"/>
    </xf>
    <xf numFmtId="44" fontId="4" fillId="11" borderId="30" xfId="1" applyFont="1" applyFill="1" applyBorder="1" applyAlignment="1"/>
    <xf numFmtId="44" fontId="84" fillId="11" borderId="0" xfId="1" applyFont="1" applyFill="1" applyBorder="1" applyAlignment="1"/>
    <xf numFmtId="44" fontId="84" fillId="11" borderId="31" xfId="1" applyFont="1" applyFill="1" applyBorder="1" applyAlignment="1"/>
    <xf numFmtId="44" fontId="93" fillId="12" borderId="27" xfId="1" applyFont="1" applyFill="1" applyBorder="1" applyAlignment="1">
      <alignment vertical="center" wrapText="1"/>
    </xf>
    <xf numFmtId="44" fontId="93" fillId="12" borderId="28" xfId="1" applyFont="1" applyFill="1" applyBorder="1" applyAlignment="1">
      <alignment vertical="center" wrapText="1"/>
    </xf>
    <xf numFmtId="0" fontId="87" fillId="6" borderId="31" xfId="11" applyFont="1" applyFill="1" applyBorder="1" applyAlignment="1">
      <alignment horizontal="left"/>
    </xf>
    <xf numFmtId="44" fontId="94" fillId="13" borderId="37" xfId="1" applyFont="1" applyFill="1" applyBorder="1" applyAlignment="1">
      <alignment horizontal="center" vertical="center" wrapText="1"/>
    </xf>
    <xf numFmtId="44" fontId="94" fillId="13" borderId="36" xfId="1" applyFont="1" applyFill="1" applyBorder="1" applyAlignment="1">
      <alignment horizontal="center" vertical="center"/>
    </xf>
    <xf numFmtId="44" fontId="102" fillId="6" borderId="168" xfId="1" applyFont="1" applyFill="1" applyBorder="1" applyAlignment="1" applyProtection="1">
      <alignment horizontal="left" vertical="center"/>
      <protection locked="0"/>
    </xf>
    <xf numFmtId="0" fontId="96" fillId="11" borderId="0" xfId="22" applyNumberFormat="1" applyFont="1" applyFill="1" applyBorder="1" applyAlignment="1">
      <alignment horizontal="center"/>
    </xf>
    <xf numFmtId="44" fontId="25" fillId="6" borderId="168" xfId="1" applyFont="1" applyFill="1" applyBorder="1" applyAlignment="1" applyProtection="1">
      <alignment horizontal="left" vertical="center"/>
      <protection locked="0"/>
    </xf>
    <xf numFmtId="0" fontId="84" fillId="6" borderId="34" xfId="11" applyFont="1" applyFill="1" applyBorder="1" applyAlignment="1">
      <alignment horizontal="center" vertical="center" wrapText="1"/>
    </xf>
    <xf numFmtId="16" fontId="0" fillId="0" borderId="100" xfId="0" applyNumberFormat="1" applyBorder="1" applyAlignment="1">
      <alignment horizontal="left" shrinkToFit="1"/>
    </xf>
    <xf numFmtId="16" fontId="0" fillId="0" borderId="8" xfId="0" applyNumberFormat="1" applyBorder="1" applyAlignment="1">
      <alignment horizontal="left" shrinkToFit="1"/>
    </xf>
    <xf numFmtId="49" fontId="0" fillId="0" borderId="8" xfId="0" applyNumberFormat="1" applyBorder="1" applyAlignment="1">
      <alignment horizontal="left" shrinkToFit="1"/>
    </xf>
    <xf numFmtId="0" fontId="0" fillId="0" borderId="7" xfId="0" applyBorder="1"/>
    <xf numFmtId="0" fontId="0" fillId="0" borderId="169" xfId="0" applyBorder="1"/>
    <xf numFmtId="0" fontId="0" fillId="0" borderId="9" xfId="0" applyBorder="1"/>
    <xf numFmtId="0" fontId="0" fillId="0" borderId="170" xfId="0" applyBorder="1"/>
    <xf numFmtId="44" fontId="24" fillId="4" borderId="13" xfId="1" applyFont="1" applyFill="1" applyBorder="1"/>
    <xf numFmtId="44" fontId="24" fillId="2" borderId="2" xfId="1" applyFont="1" applyFill="1" applyBorder="1"/>
    <xf numFmtId="44" fontId="24" fillId="4" borderId="2" xfId="1" applyFont="1" applyFill="1" applyBorder="1"/>
    <xf numFmtId="2" fontId="24" fillId="4" borderId="2" xfId="1" applyNumberFormat="1" applyFont="1" applyFill="1" applyBorder="1"/>
    <xf numFmtId="44" fontId="24" fillId="6" borderId="2" xfId="1" applyFont="1" applyFill="1" applyBorder="1"/>
    <xf numFmtId="44" fontId="24" fillId="4" borderId="17" xfId="1" applyFont="1" applyFill="1" applyBorder="1"/>
    <xf numFmtId="49" fontId="24" fillId="4" borderId="17" xfId="1" applyNumberFormat="1" applyFont="1" applyFill="1" applyBorder="1" applyAlignment="1">
      <alignment horizontal="center"/>
    </xf>
    <xf numFmtId="49" fontId="24" fillId="4" borderId="2" xfId="1" applyNumberFormat="1" applyFont="1" applyFill="1" applyBorder="1" applyAlignment="1">
      <alignment horizontal="center"/>
    </xf>
    <xf numFmtId="14" fontId="24" fillId="4" borderId="2" xfId="1" applyNumberFormat="1" applyFont="1" applyFill="1" applyBorder="1" applyAlignment="1">
      <alignment horizontal="center"/>
    </xf>
    <xf numFmtId="14" fontId="24" fillId="4" borderId="15" xfId="1" applyNumberFormat="1" applyFont="1" applyFill="1" applyBorder="1" applyAlignment="1">
      <alignment horizontal="center"/>
    </xf>
    <xf numFmtId="14" fontId="24" fillId="4" borderId="18" xfId="1" applyNumberFormat="1" applyFont="1" applyFill="1" applyBorder="1" applyAlignment="1">
      <alignment horizontal="center"/>
    </xf>
    <xf numFmtId="44" fontId="107" fillId="4" borderId="13" xfId="1" applyFont="1" applyFill="1" applyBorder="1"/>
    <xf numFmtId="44" fontId="107" fillId="2" borderId="2" xfId="1" applyFont="1" applyFill="1" applyBorder="1"/>
    <xf numFmtId="44" fontId="107" fillId="4" borderId="2" xfId="1" applyFont="1" applyFill="1" applyBorder="1"/>
    <xf numFmtId="2" fontId="107" fillId="4" borderId="2" xfId="1" applyNumberFormat="1" applyFont="1" applyFill="1" applyBorder="1"/>
    <xf numFmtId="44" fontId="107" fillId="6" borderId="2" xfId="1" applyFont="1" applyFill="1" applyBorder="1"/>
    <xf numFmtId="44" fontId="107" fillId="4" borderId="17" xfId="1" applyFont="1" applyFill="1" applyBorder="1"/>
    <xf numFmtId="49" fontId="107" fillId="4" borderId="17" xfId="1" applyNumberFormat="1" applyFont="1" applyFill="1" applyBorder="1" applyAlignment="1">
      <alignment horizontal="center"/>
    </xf>
    <xf numFmtId="49" fontId="107" fillId="4" borderId="2" xfId="1" applyNumberFormat="1" applyFont="1" applyFill="1" applyBorder="1" applyAlignment="1">
      <alignment horizontal="center"/>
    </xf>
    <xf numFmtId="14" fontId="107" fillId="4" borderId="2" xfId="1" applyNumberFormat="1" applyFont="1" applyFill="1" applyBorder="1" applyAlignment="1">
      <alignment horizontal="center"/>
    </xf>
    <xf numFmtId="14" fontId="107" fillId="4" borderId="15" xfId="1" applyNumberFormat="1" applyFont="1" applyFill="1" applyBorder="1" applyAlignment="1">
      <alignment horizontal="center"/>
    </xf>
    <xf numFmtId="14" fontId="107" fillId="4" borderId="18" xfId="1" applyNumberFormat="1" applyFont="1" applyFill="1" applyBorder="1" applyAlignment="1">
      <alignment horizontal="center"/>
    </xf>
    <xf numFmtId="44" fontId="19" fillId="23" borderId="17" xfId="1" applyFont="1" applyFill="1" applyBorder="1" applyAlignment="1">
      <alignment horizontal="center"/>
    </xf>
    <xf numFmtId="44" fontId="3" fillId="23" borderId="17" xfId="1" applyFont="1" applyFill="1" applyBorder="1" applyAlignment="1">
      <alignment horizontal="center"/>
    </xf>
    <xf numFmtId="44" fontId="85" fillId="23" borderId="17" xfId="1" applyFont="1" applyFill="1" applyBorder="1" applyAlignment="1">
      <alignment horizontal="center"/>
    </xf>
    <xf numFmtId="44" fontId="108" fillId="23" borderId="17" xfId="1" applyFont="1" applyFill="1" applyBorder="1" applyAlignment="1">
      <alignment horizontal="center"/>
    </xf>
    <xf numFmtId="49" fontId="4" fillId="4" borderId="2" xfId="1" applyNumberFormat="1" applyFont="1" applyFill="1" applyBorder="1" applyAlignment="1">
      <alignment horizontal="left" indent="1"/>
    </xf>
    <xf numFmtId="49" fontId="84" fillId="4" borderId="2" xfId="1" applyNumberFormat="1" applyFont="1" applyFill="1" applyBorder="1" applyAlignment="1">
      <alignment horizontal="left" indent="1"/>
    </xf>
    <xf numFmtId="49" fontId="24" fillId="4" borderId="2" xfId="1" applyNumberFormat="1" applyFont="1" applyFill="1" applyBorder="1" applyAlignment="1">
      <alignment horizontal="left" indent="1"/>
    </xf>
    <xf numFmtId="49" fontId="107" fillId="4" borderId="2" xfId="1" applyNumberFormat="1" applyFont="1" applyFill="1" applyBorder="1" applyAlignment="1">
      <alignment horizontal="left" indent="1"/>
    </xf>
    <xf numFmtId="0" fontId="4" fillId="4" borderId="2" xfId="1" applyNumberFormat="1" applyFont="1" applyFill="1" applyBorder="1" applyAlignment="1">
      <alignment horizontal="left" indent="1"/>
    </xf>
    <xf numFmtId="0" fontId="4" fillId="6" borderId="2" xfId="1" applyNumberFormat="1" applyFont="1" applyFill="1" applyBorder="1" applyAlignment="1">
      <alignment horizontal="left" indent="1"/>
    </xf>
    <xf numFmtId="0" fontId="84" fillId="6" borderId="2" xfId="1" applyNumberFormat="1" applyFont="1" applyFill="1" applyBorder="1" applyAlignment="1">
      <alignment horizontal="left" indent="1"/>
    </xf>
    <xf numFmtId="0" fontId="24" fillId="6" borderId="2" xfId="1" applyNumberFormat="1" applyFont="1" applyFill="1" applyBorder="1" applyAlignment="1">
      <alignment horizontal="left" indent="1"/>
    </xf>
    <xf numFmtId="0" fontId="107" fillId="6" borderId="2" xfId="1" applyNumberFormat="1" applyFont="1" applyFill="1" applyBorder="1" applyAlignment="1">
      <alignment horizontal="left" indent="1"/>
    </xf>
    <xf numFmtId="0" fontId="109" fillId="13" borderId="36" xfId="24" applyFont="1" applyFill="1" applyBorder="1" applyAlignment="1">
      <alignment horizontal="left" vertical="center" indent="3"/>
    </xf>
    <xf numFmtId="4" fontId="2" fillId="17" borderId="16" xfId="27" applyNumberFormat="1" applyFont="1" applyFill="1" applyBorder="1" applyAlignment="1">
      <alignment horizontal="center" vertical="center" wrapText="1"/>
    </xf>
    <xf numFmtId="0" fontId="0" fillId="6" borderId="110" xfId="0" applyFill="1" applyBorder="1" applyAlignment="1">
      <alignment horizontal="center" vertical="center" wrapText="1"/>
    </xf>
    <xf numFmtId="44" fontId="4" fillId="28" borderId="17" xfId="1" applyFont="1" applyFill="1" applyBorder="1"/>
    <xf numFmtId="9" fontId="102" fillId="4" borderId="66" xfId="23" applyFont="1" applyFill="1" applyBorder="1" applyAlignment="1" applyProtection="1">
      <alignment horizontal="center" vertical="center"/>
      <protection locked="0"/>
    </xf>
    <xf numFmtId="9" fontId="25" fillId="4" borderId="66" xfId="23" applyFont="1" applyFill="1" applyBorder="1" applyAlignment="1" applyProtection="1">
      <alignment horizontal="center" vertical="center"/>
      <protection locked="0"/>
    </xf>
    <xf numFmtId="44" fontId="4" fillId="11" borderId="30" xfId="1" applyFont="1" applyFill="1" applyBorder="1"/>
    <xf numFmtId="44" fontId="4" fillId="11" borderId="0" xfId="1" applyFont="1" applyFill="1"/>
    <xf numFmtId="43" fontId="25" fillId="6" borderId="66" xfId="20" applyFont="1" applyFill="1" applyBorder="1" applyAlignment="1" applyProtection="1">
      <alignment horizontal="center" vertical="center"/>
      <protection locked="0"/>
    </xf>
    <xf numFmtId="44" fontId="25" fillId="6" borderId="62" xfId="1" applyFont="1" applyFill="1" applyBorder="1" applyAlignment="1" applyProtection="1">
      <alignment horizontal="right" vertical="center"/>
      <protection locked="0"/>
    </xf>
    <xf numFmtId="43" fontId="102" fillId="6" borderId="66" xfId="20" applyFont="1" applyFill="1" applyBorder="1" applyAlignment="1" applyProtection="1">
      <alignment horizontal="center" vertical="center"/>
      <protection locked="0"/>
    </xf>
    <xf numFmtId="44" fontId="102" fillId="6" borderId="62" xfId="1" applyFont="1" applyFill="1" applyBorder="1" applyAlignment="1" applyProtection="1">
      <alignment horizontal="right" vertical="center"/>
      <protection locked="0"/>
    </xf>
    <xf numFmtId="43" fontId="4" fillId="4" borderId="63" xfId="20" applyFont="1" applyFill="1" applyBorder="1" applyAlignment="1" applyProtection="1">
      <alignment horizontal="center" vertical="center"/>
      <protection locked="0"/>
    </xf>
    <xf numFmtId="43" fontId="4" fillId="4" borderId="73" xfId="20" applyFont="1" applyFill="1" applyBorder="1" applyAlignment="1" applyProtection="1">
      <alignment horizontal="center" vertical="center"/>
      <protection locked="0"/>
    </xf>
    <xf numFmtId="43" fontId="4" fillId="4" borderId="61" xfId="20" applyFont="1" applyFill="1" applyBorder="1" applyAlignment="1" applyProtection="1">
      <alignment horizontal="center" vertical="center"/>
      <protection locked="0"/>
    </xf>
    <xf numFmtId="0" fontId="4" fillId="4" borderId="61" xfId="11" applyFont="1" applyFill="1" applyBorder="1" applyAlignment="1" applyProtection="1">
      <alignment horizontal="center" vertical="center"/>
      <protection locked="0"/>
    </xf>
    <xf numFmtId="0" fontId="4" fillId="4" borderId="62" xfId="11" applyFont="1" applyFill="1" applyBorder="1" applyAlignment="1" applyProtection="1">
      <alignment horizontal="center" vertical="center"/>
      <protection locked="0"/>
    </xf>
    <xf numFmtId="43" fontId="84" fillId="4" borderId="63" xfId="20" applyFont="1" applyFill="1" applyBorder="1" applyAlignment="1" applyProtection="1">
      <alignment horizontal="center" vertical="center"/>
      <protection locked="0"/>
    </xf>
    <xf numFmtId="43" fontId="84" fillId="4" borderId="61" xfId="20" applyFont="1" applyFill="1" applyBorder="1" applyAlignment="1" applyProtection="1">
      <alignment horizontal="center" vertical="center"/>
      <protection locked="0"/>
    </xf>
    <xf numFmtId="0" fontId="84" fillId="4" borderId="61" xfId="11" applyFont="1" applyFill="1" applyBorder="1" applyAlignment="1" applyProtection="1">
      <alignment horizontal="center" vertical="center"/>
      <protection locked="0"/>
    </xf>
    <xf numFmtId="0" fontId="84" fillId="4" borderId="62" xfId="11" applyFont="1" applyFill="1" applyBorder="1" applyAlignment="1" applyProtection="1">
      <alignment horizontal="center" vertical="center"/>
      <protection locked="0"/>
    </xf>
    <xf numFmtId="43" fontId="84" fillId="4" borderId="73" xfId="20" applyFont="1" applyFill="1" applyBorder="1" applyAlignment="1" applyProtection="1">
      <alignment horizontal="center" vertical="center"/>
      <protection locked="0"/>
    </xf>
    <xf numFmtId="44" fontId="102" fillId="17" borderId="66" xfId="1" applyFont="1" applyFill="1" applyBorder="1" applyAlignment="1" applyProtection="1">
      <alignment horizontal="right" vertical="center"/>
      <protection locked="0"/>
    </xf>
    <xf numFmtId="43" fontId="102" fillId="17" borderId="66" xfId="20" applyFont="1" applyFill="1" applyBorder="1" applyAlignment="1" applyProtection="1">
      <alignment horizontal="center" vertical="center"/>
      <protection locked="0"/>
    </xf>
    <xf numFmtId="8" fontId="4" fillId="4" borderId="2" xfId="1" applyNumberFormat="1" applyFont="1" applyFill="1" applyBorder="1"/>
    <xf numFmtId="44" fontId="110" fillId="4" borderId="13" xfId="1" applyFont="1" applyFill="1" applyBorder="1"/>
    <xf numFmtId="44" fontId="3" fillId="29" borderId="17" xfId="1" applyFont="1" applyFill="1" applyBorder="1" applyAlignment="1">
      <alignment horizontal="center"/>
    </xf>
    <xf numFmtId="44" fontId="4" fillId="4" borderId="2" xfId="1" applyFont="1" applyFill="1" applyBorder="1" applyAlignment="1"/>
    <xf numFmtId="44" fontId="24" fillId="4" borderId="2" xfId="1" applyFont="1" applyFill="1" applyBorder="1" applyAlignment="1"/>
    <xf numFmtId="44" fontId="107" fillId="4" borderId="2" xfId="1" applyFont="1" applyFill="1" applyBorder="1" applyAlignment="1"/>
    <xf numFmtId="0" fontId="111" fillId="2" borderId="16" xfId="26" applyFont="1" applyFill="1" applyBorder="1" applyAlignment="1">
      <alignment horizontal="center" vertical="center" wrapText="1"/>
    </xf>
    <xf numFmtId="49" fontId="55" fillId="2" borderId="87" xfId="0" applyNumberFormat="1" applyFont="1" applyFill="1" applyBorder="1" applyAlignment="1">
      <alignment horizontal="left" wrapText="1"/>
    </xf>
    <xf numFmtId="44" fontId="112" fillId="4" borderId="120" xfId="1" applyFont="1" applyFill="1" applyBorder="1" applyAlignment="1">
      <alignment horizontal="center"/>
    </xf>
    <xf numFmtId="172" fontId="112" fillId="2" borderId="13" xfId="1" applyNumberFormat="1" applyFont="1" applyFill="1" applyBorder="1" applyAlignment="1">
      <alignment horizontal="center"/>
    </xf>
    <xf numFmtId="172" fontId="112" fillId="2" borderId="119" xfId="1" applyNumberFormat="1" applyFont="1" applyFill="1" applyBorder="1" applyAlignment="1">
      <alignment horizontal="center"/>
    </xf>
    <xf numFmtId="49" fontId="112" fillId="2" borderId="119" xfId="1" applyNumberFormat="1" applyFont="1" applyFill="1" applyBorder="1" applyAlignment="1">
      <alignment horizontal="center"/>
    </xf>
    <xf numFmtId="44" fontId="112" fillId="4" borderId="2" xfId="1" applyFont="1" applyFill="1" applyBorder="1" applyAlignment="1">
      <alignment horizontal="left"/>
    </xf>
    <xf numFmtId="44" fontId="112" fillId="4" borderId="2" xfId="1" applyFont="1" applyFill="1" applyBorder="1"/>
    <xf numFmtId="44" fontId="112" fillId="6" borderId="17" xfId="1" applyFont="1" applyFill="1" applyBorder="1"/>
    <xf numFmtId="44" fontId="112" fillId="6" borderId="2" xfId="1" applyFont="1" applyFill="1" applyBorder="1"/>
    <xf numFmtId="44" fontId="112" fillId="6" borderId="17" xfId="1" applyFont="1" applyFill="1" applyBorder="1" applyAlignment="1">
      <alignment horizontal="center"/>
    </xf>
    <xf numFmtId="44" fontId="112" fillId="2" borderId="17" xfId="1" applyFont="1" applyFill="1" applyBorder="1" applyAlignment="1">
      <alignment horizontal="center"/>
    </xf>
    <xf numFmtId="44" fontId="112" fillId="6" borderId="2" xfId="1" applyFont="1" applyFill="1" applyBorder="1" applyAlignment="1">
      <alignment horizontal="center"/>
    </xf>
    <xf numFmtId="172" fontId="112" fillId="4" borderId="2" xfId="1" applyNumberFormat="1" applyFont="1" applyFill="1" applyBorder="1"/>
    <xf numFmtId="44" fontId="112" fillId="6" borderId="123" xfId="1" applyFont="1" applyFill="1" applyBorder="1"/>
    <xf numFmtId="172" fontId="112" fillId="4" borderId="13" xfId="1" applyNumberFormat="1" applyFont="1" applyFill="1" applyBorder="1" applyAlignment="1">
      <alignment horizontal="center"/>
    </xf>
    <xf numFmtId="0" fontId="113" fillId="2" borderId="16" xfId="24" applyFont="1" applyFill="1" applyBorder="1" applyAlignment="1">
      <alignment horizontal="justify" vertical="top" wrapText="1"/>
    </xf>
    <xf numFmtId="0" fontId="0" fillId="17" borderId="0" xfId="0" applyFill="1" applyAlignment="1">
      <alignment horizontal="right"/>
    </xf>
    <xf numFmtId="44" fontId="4" fillId="17" borderId="13" xfId="1" applyFont="1" applyFill="1" applyBorder="1"/>
    <xf numFmtId="44" fontId="4" fillId="17" borderId="2" xfId="1" applyFont="1" applyFill="1" applyBorder="1"/>
    <xf numFmtId="44" fontId="4" fillId="17" borderId="2" xfId="1" applyFont="1" applyFill="1" applyBorder="1" applyAlignment="1"/>
    <xf numFmtId="0" fontId="4" fillId="17" borderId="2" xfId="1" applyNumberFormat="1" applyFont="1" applyFill="1" applyBorder="1" applyAlignment="1">
      <alignment horizontal="left" indent="1"/>
    </xf>
    <xf numFmtId="2" fontId="4" fillId="17" borderId="2" xfId="1" applyNumberFormat="1" applyFont="1" applyFill="1" applyBorder="1"/>
    <xf numFmtId="44" fontId="4" fillId="17" borderId="17" xfId="1" applyFont="1" applyFill="1" applyBorder="1"/>
    <xf numFmtId="49" fontId="4" fillId="17" borderId="17" xfId="1" applyNumberFormat="1" applyFont="1" applyFill="1" applyBorder="1" applyAlignment="1">
      <alignment horizontal="center"/>
    </xf>
    <xf numFmtId="49" fontId="4" fillId="17" borderId="2" xfId="1" applyNumberFormat="1" applyFont="1" applyFill="1" applyBorder="1" applyAlignment="1">
      <alignment horizontal="center"/>
    </xf>
    <xf numFmtId="14" fontId="4" fillId="17" borderId="2" xfId="1" applyNumberFormat="1" applyFont="1" applyFill="1" applyBorder="1" applyAlignment="1">
      <alignment horizontal="center"/>
    </xf>
    <xf numFmtId="14" fontId="4" fillId="17" borderId="15" xfId="1" applyNumberFormat="1" applyFont="1" applyFill="1" applyBorder="1" applyAlignment="1">
      <alignment horizontal="center"/>
    </xf>
    <xf numFmtId="14" fontId="4" fillId="17" borderId="18" xfId="1" applyNumberFormat="1" applyFont="1" applyFill="1" applyBorder="1" applyAlignment="1">
      <alignment horizontal="center"/>
    </xf>
    <xf numFmtId="44" fontId="3" fillId="17" borderId="17" xfId="1" applyFont="1" applyFill="1" applyBorder="1" applyAlignment="1">
      <alignment horizontal="center"/>
    </xf>
    <xf numFmtId="44" fontId="0" fillId="17" borderId="0" xfId="0" applyNumberFormat="1" applyFill="1"/>
    <xf numFmtId="12" fontId="4" fillId="4" borderId="13" xfId="1" applyNumberFormat="1" applyFont="1" applyFill="1" applyBorder="1"/>
    <xf numFmtId="2" fontId="4" fillId="4" borderId="171" xfId="1" applyNumberFormat="1" applyFont="1" applyFill="1" applyBorder="1"/>
    <xf numFmtId="0" fontId="52" fillId="18" borderId="44" xfId="0" applyFont="1" applyFill="1" applyBorder="1" applyAlignment="1">
      <alignment horizontal="left"/>
    </xf>
    <xf numFmtId="0" fontId="52" fillId="18" borderId="43" xfId="0" applyFont="1" applyFill="1" applyBorder="1" applyAlignment="1">
      <alignment horizontal="left"/>
    </xf>
    <xf numFmtId="0" fontId="52" fillId="18" borderId="50" xfId="0" applyFont="1" applyFill="1" applyBorder="1" applyAlignment="1">
      <alignment horizontal="left"/>
    </xf>
    <xf numFmtId="44" fontId="52" fillId="18" borderId="136" xfId="1" applyFont="1" applyFill="1" applyBorder="1" applyAlignment="1">
      <alignment horizontal="center"/>
    </xf>
    <xf numFmtId="0" fontId="67" fillId="19" borderId="102" xfId="0" applyFont="1" applyFill="1" applyBorder="1" applyAlignment="1">
      <alignment horizontal="center"/>
    </xf>
    <xf numFmtId="0" fontId="67" fillId="19" borderId="103" xfId="0" applyFont="1" applyFill="1" applyBorder="1" applyAlignment="1">
      <alignment horizontal="center"/>
    </xf>
    <xf numFmtId="0" fontId="67" fillId="19" borderId="145" xfId="0" applyFont="1" applyFill="1" applyBorder="1" applyAlignment="1">
      <alignment horizontal="center"/>
    </xf>
    <xf numFmtId="44" fontId="67" fillId="19" borderId="104" xfId="0" applyNumberFormat="1" applyFont="1" applyFill="1" applyBorder="1" applyAlignment="1">
      <alignment horizontal="center"/>
    </xf>
    <xf numFmtId="0" fontId="67" fillId="19" borderId="106" xfId="0" applyFont="1" applyFill="1" applyBorder="1" applyAlignment="1">
      <alignment horizontal="center"/>
    </xf>
    <xf numFmtId="0" fontId="52" fillId="18" borderId="137" xfId="0" applyFont="1" applyFill="1" applyBorder="1" applyAlignment="1">
      <alignment horizontal="left"/>
    </xf>
    <xf numFmtId="0" fontId="67" fillId="19" borderId="105" xfId="0" applyFont="1" applyFill="1" applyBorder="1" applyAlignment="1">
      <alignment horizontal="center"/>
    </xf>
    <xf numFmtId="0" fontId="69" fillId="21" borderId="76" xfId="0" applyFont="1" applyFill="1" applyBorder="1" applyAlignment="1">
      <alignment horizontal="left"/>
    </xf>
    <xf numFmtId="0" fontId="69" fillId="21" borderId="77" xfId="0" applyFont="1" applyFill="1" applyBorder="1" applyAlignment="1">
      <alignment horizontal="left"/>
    </xf>
    <xf numFmtId="0" fontId="69" fillId="21" borderId="78" xfId="0" applyFont="1" applyFill="1" applyBorder="1" applyAlignment="1">
      <alignment horizontal="left"/>
    </xf>
    <xf numFmtId="172" fontId="0" fillId="6" borderId="76" xfId="0" applyNumberFormat="1" applyFill="1" applyBorder="1" applyAlignment="1">
      <alignment horizontal="center"/>
    </xf>
    <xf numFmtId="172" fontId="0" fillId="6" borderId="78" xfId="0" applyNumberFormat="1" applyFill="1" applyBorder="1" applyAlignment="1">
      <alignment horizontal="center"/>
    </xf>
    <xf numFmtId="0" fontId="67" fillId="21" borderId="75" xfId="0" applyFont="1" applyFill="1" applyBorder="1" applyAlignment="1">
      <alignment horizontal="left"/>
    </xf>
    <xf numFmtId="0" fontId="0" fillId="12" borderId="3" xfId="0" applyFill="1" applyBorder="1" applyAlignment="1">
      <alignment horizontal="left"/>
    </xf>
    <xf numFmtId="0" fontId="52" fillId="18" borderId="53" xfId="0" applyFont="1" applyFill="1" applyBorder="1" applyAlignment="1">
      <alignment horizontal="left"/>
    </xf>
    <xf numFmtId="0" fontId="52" fillId="18" borderId="146" xfId="0" applyFont="1" applyFill="1" applyBorder="1" applyAlignment="1">
      <alignment horizontal="left"/>
    </xf>
    <xf numFmtId="0" fontId="52" fillId="18" borderId="41" xfId="0" applyFont="1" applyFill="1" applyBorder="1" applyAlignment="1">
      <alignment horizontal="left"/>
    </xf>
    <xf numFmtId="44" fontId="68" fillId="6" borderId="3" xfId="1" applyFont="1" applyFill="1" applyBorder="1" applyAlignment="1">
      <alignment horizontal="left"/>
    </xf>
    <xf numFmtId="0" fontId="0" fillId="12" borderId="76" xfId="0" applyFill="1" applyBorder="1" applyAlignment="1">
      <alignment horizontal="center"/>
    </xf>
    <xf numFmtId="0" fontId="0" fillId="12" borderId="77" xfId="0" applyFill="1" applyBorder="1" applyAlignment="1">
      <alignment horizontal="center"/>
    </xf>
    <xf numFmtId="0" fontId="0" fillId="12" borderId="78" xfId="0" applyFill="1" applyBorder="1" applyAlignment="1">
      <alignment horizontal="center"/>
    </xf>
    <xf numFmtId="44" fontId="52" fillId="18" borderId="138" xfId="1" applyFont="1" applyFill="1" applyBorder="1" applyAlignment="1">
      <alignment horizontal="left"/>
    </xf>
    <xf numFmtId="44" fontId="52" fillId="18" borderId="137" xfId="1" applyFont="1" applyFill="1" applyBorder="1" applyAlignment="1">
      <alignment horizontal="left"/>
    </xf>
    <xf numFmtId="0" fontId="52" fillId="18" borderId="47" xfId="0" applyFont="1" applyFill="1" applyBorder="1" applyAlignment="1">
      <alignment horizontal="left"/>
    </xf>
    <xf numFmtId="0" fontId="52" fillId="18" borderId="46" xfId="0" applyFont="1" applyFill="1" applyBorder="1" applyAlignment="1">
      <alignment horizontal="left"/>
    </xf>
    <xf numFmtId="0" fontId="52" fillId="18" borderId="140" xfId="0" applyFont="1" applyFill="1" applyBorder="1" applyAlignment="1">
      <alignment horizontal="left"/>
    </xf>
    <xf numFmtId="0" fontId="0" fillId="12" borderId="102" xfId="0" applyFill="1" applyBorder="1" applyAlignment="1">
      <alignment horizontal="left"/>
    </xf>
    <xf numFmtId="0" fontId="0" fillId="12" borderId="145" xfId="0" applyFill="1" applyBorder="1" applyAlignment="1">
      <alignment horizontal="left"/>
    </xf>
    <xf numFmtId="0" fontId="0" fillId="12" borderId="103" xfId="0" applyFill="1" applyBorder="1" applyAlignment="1">
      <alignment horizontal="left"/>
    </xf>
    <xf numFmtId="0" fontId="52" fillId="18" borderId="135" xfId="0" applyFont="1" applyFill="1" applyBorder="1" applyAlignment="1">
      <alignment horizontal="left"/>
    </xf>
    <xf numFmtId="0" fontId="52" fillId="18" borderId="147" xfId="0" applyFont="1" applyFill="1" applyBorder="1" applyAlignment="1">
      <alignment horizontal="left"/>
    </xf>
    <xf numFmtId="0" fontId="52" fillId="18" borderId="138" xfId="0" applyFont="1" applyFill="1" applyBorder="1" applyAlignment="1">
      <alignment horizontal="left"/>
    </xf>
    <xf numFmtId="0" fontId="67" fillId="19" borderId="3" xfId="0" applyFont="1" applyFill="1" applyBorder="1" applyAlignment="1">
      <alignment horizontal="left" vertical="center"/>
    </xf>
    <xf numFmtId="0" fontId="67" fillId="19" borderId="76" xfId="0" applyFont="1" applyFill="1" applyBorder="1" applyAlignment="1">
      <alignment horizontal="left" vertical="center"/>
    </xf>
    <xf numFmtId="0" fontId="67" fillId="19" borderId="80" xfId="0" applyFont="1" applyFill="1" applyBorder="1" applyAlignment="1">
      <alignment horizontal="center"/>
    </xf>
    <xf numFmtId="0" fontId="52" fillId="6" borderId="141" xfId="0" applyFont="1" applyFill="1" applyBorder="1" applyAlignment="1">
      <alignment horizontal="left"/>
    </xf>
    <xf numFmtId="0" fontId="52" fillId="18" borderId="136" xfId="0" applyFont="1" applyFill="1" applyBorder="1" applyAlignment="1">
      <alignment horizontal="center"/>
    </xf>
    <xf numFmtId="44" fontId="52" fillId="18" borderId="139" xfId="1" applyFont="1" applyFill="1" applyBorder="1" applyAlignment="1">
      <alignment horizontal="center"/>
    </xf>
    <xf numFmtId="44" fontId="52" fillId="18" borderId="147" xfId="1" applyFont="1" applyFill="1" applyBorder="1" applyAlignment="1">
      <alignment horizontal="left"/>
    </xf>
    <xf numFmtId="44" fontId="52" fillId="18" borderId="140" xfId="1" applyFont="1" applyFill="1" applyBorder="1" applyAlignment="1">
      <alignment horizontal="left"/>
    </xf>
    <xf numFmtId="0" fontId="0" fillId="12" borderId="76" xfId="0" applyFill="1" applyBorder="1" applyAlignment="1">
      <alignment horizontal="left"/>
    </xf>
    <xf numFmtId="0" fontId="0" fillId="12" borderId="77" xfId="0" applyFill="1" applyBorder="1" applyAlignment="1">
      <alignment horizontal="left"/>
    </xf>
    <xf numFmtId="0" fontId="0" fillId="12" borderId="78" xfId="0" applyFill="1" applyBorder="1" applyAlignment="1">
      <alignment horizontal="left"/>
    </xf>
    <xf numFmtId="0" fontId="52" fillId="18" borderId="143" xfId="0" applyFont="1" applyFill="1" applyBorder="1" applyAlignment="1">
      <alignment horizontal="left"/>
    </xf>
    <xf numFmtId="0" fontId="52" fillId="18" borderId="144" xfId="0" applyFont="1" applyFill="1" applyBorder="1" applyAlignment="1">
      <alignment horizontal="left"/>
    </xf>
    <xf numFmtId="0" fontId="52" fillId="18" borderId="142" xfId="0" applyFont="1" applyFill="1" applyBorder="1" applyAlignment="1">
      <alignment horizontal="left"/>
    </xf>
    <xf numFmtId="0" fontId="52" fillId="18" borderId="49" xfId="0" applyFont="1" applyFill="1" applyBorder="1" applyAlignment="1">
      <alignment horizontal="left"/>
    </xf>
    <xf numFmtId="0" fontId="67" fillId="20" borderId="76" xfId="0" applyFont="1" applyFill="1" applyBorder="1" applyAlignment="1">
      <alignment horizontal="left"/>
    </xf>
    <xf numFmtId="0" fontId="67" fillId="20" borderId="77" xfId="0" applyFont="1" applyFill="1" applyBorder="1" applyAlignment="1">
      <alignment horizontal="left"/>
    </xf>
    <xf numFmtId="0" fontId="67" fillId="20" borderId="78" xfId="0" applyFont="1" applyFill="1" applyBorder="1" applyAlignment="1">
      <alignment horizontal="left"/>
    </xf>
    <xf numFmtId="0" fontId="52" fillId="18" borderId="139" xfId="0" applyFont="1" applyFill="1" applyBorder="1" applyAlignment="1">
      <alignment horizontal="center"/>
    </xf>
    <xf numFmtId="8" fontId="0" fillId="6" borderId="3" xfId="0" applyNumberFormat="1" applyFill="1" applyBorder="1" applyAlignment="1">
      <alignment horizontal="right"/>
    </xf>
    <xf numFmtId="0" fontId="0" fillId="22" borderId="75" xfId="0" applyFill="1" applyBorder="1" applyAlignment="1">
      <alignment horizontal="left"/>
    </xf>
    <xf numFmtId="0" fontId="67" fillId="20" borderId="104" xfId="0" applyFont="1" applyFill="1" applyBorder="1" applyAlignment="1">
      <alignment horizontal="left"/>
    </xf>
    <xf numFmtId="0" fontId="67" fillId="20" borderId="105" xfId="0" applyFont="1" applyFill="1" applyBorder="1" applyAlignment="1">
      <alignment horizontal="left"/>
    </xf>
    <xf numFmtId="0" fontId="67" fillId="20" borderId="106" xfId="0" applyFont="1" applyFill="1" applyBorder="1" applyAlignment="1">
      <alignment horizontal="left"/>
    </xf>
    <xf numFmtId="0" fontId="0" fillId="22" borderId="76" xfId="0" applyFill="1" applyBorder="1" applyAlignment="1">
      <alignment horizontal="left"/>
    </xf>
    <xf numFmtId="0" fontId="0" fillId="22" borderId="78" xfId="0" applyFill="1" applyBorder="1" applyAlignment="1">
      <alignment horizontal="left"/>
    </xf>
    <xf numFmtId="0" fontId="16" fillId="6" borderId="98" xfId="7" applyFont="1" applyFill="1" applyBorder="1" applyAlignment="1">
      <alignment horizontal="center" wrapText="1"/>
    </xf>
    <xf numFmtId="0" fontId="16" fillId="6" borderId="151" xfId="7" applyFont="1" applyFill="1" applyBorder="1" applyAlignment="1">
      <alignment horizontal="center" wrapText="1"/>
    </xf>
    <xf numFmtId="0" fontId="16" fillId="6" borderId="97" xfId="7" applyFont="1" applyFill="1" applyBorder="1" applyAlignment="1">
      <alignment horizontal="center" wrapText="1"/>
    </xf>
    <xf numFmtId="0" fontId="71" fillId="6" borderId="0" xfId="0" applyFont="1" applyFill="1" applyAlignment="1">
      <alignment horizontal="center"/>
    </xf>
    <xf numFmtId="44" fontId="0" fillId="6" borderId="3" xfId="1" applyFont="1" applyFill="1" applyBorder="1" applyAlignment="1">
      <alignment horizontal="left"/>
    </xf>
    <xf numFmtId="0" fontId="0" fillId="6" borderId="3" xfId="0" applyFill="1" applyBorder="1" applyAlignment="1">
      <alignment horizontal="right"/>
    </xf>
    <xf numFmtId="0" fontId="0" fillId="6" borderId="3" xfId="0" applyFill="1" applyBorder="1" applyAlignment="1">
      <alignment horizontal="center"/>
    </xf>
    <xf numFmtId="0" fontId="0" fillId="6" borderId="5" xfId="0" applyFill="1" applyBorder="1" applyAlignment="1">
      <alignment horizontal="center" vertical="center" wrapText="1"/>
    </xf>
    <xf numFmtId="0" fontId="0" fillId="6" borderId="100" xfId="0" applyFill="1" applyBorder="1" applyAlignment="1">
      <alignment horizontal="center" vertical="center" wrapText="1"/>
    </xf>
    <xf numFmtId="0" fontId="0" fillId="6" borderId="6"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33" xfId="0" applyFill="1" applyBorder="1" applyAlignment="1">
      <alignment horizontal="center" vertical="center" wrapText="1"/>
    </xf>
    <xf numFmtId="0" fontId="43" fillId="6" borderId="0" xfId="7" applyFont="1" applyFill="1" applyAlignment="1">
      <alignment horizontal="left" vertical="center" wrapText="1"/>
    </xf>
    <xf numFmtId="0" fontId="43" fillId="6" borderId="0" xfId="7" applyFont="1" applyFill="1" applyAlignment="1">
      <alignment horizontal="left" vertical="center"/>
    </xf>
    <xf numFmtId="0" fontId="0" fillId="6" borderId="109" xfId="0" applyFill="1" applyBorder="1" applyAlignment="1">
      <alignment horizontal="center" vertical="center" wrapText="1"/>
    </xf>
    <xf numFmtId="0" fontId="0" fillId="6" borderId="97" xfId="0" applyFill="1" applyBorder="1" applyAlignment="1">
      <alignment horizontal="center" vertical="center" wrapText="1"/>
    </xf>
    <xf numFmtId="1" fontId="44" fillId="9" borderId="34" xfId="0" applyNumberFormat="1" applyFont="1" applyFill="1" applyBorder="1" applyAlignment="1">
      <alignment horizontal="center" vertical="center"/>
    </xf>
    <xf numFmtId="1" fontId="44" fillId="9" borderId="88" xfId="0" applyNumberFormat="1" applyFont="1" applyFill="1" applyBorder="1" applyAlignment="1">
      <alignment horizontal="center" vertical="center"/>
    </xf>
    <xf numFmtId="49" fontId="44" fillId="9" borderId="27" xfId="0" applyNumberFormat="1" applyFont="1" applyFill="1" applyBorder="1" applyAlignment="1">
      <alignment horizontal="center" vertical="center" wrapText="1"/>
    </xf>
    <xf numFmtId="49" fontId="44" fillId="9" borderId="29" xfId="0" applyNumberFormat="1" applyFont="1" applyFill="1" applyBorder="1" applyAlignment="1">
      <alignment horizontal="center" vertical="center" wrapText="1"/>
    </xf>
    <xf numFmtId="49" fontId="0" fillId="9" borderId="81" xfId="0" applyNumberFormat="1" applyFill="1" applyBorder="1" applyAlignment="1">
      <alignment horizontal="center" vertical="center" wrapText="1"/>
    </xf>
    <xf numFmtId="49" fontId="0" fillId="9" borderId="25" xfId="0" applyNumberFormat="1" applyFill="1" applyBorder="1" applyAlignment="1">
      <alignment horizontal="center" vertical="center" wrapText="1"/>
    </xf>
    <xf numFmtId="49" fontId="0" fillId="9" borderId="34" xfId="0" applyNumberFormat="1" applyFill="1" applyBorder="1" applyAlignment="1">
      <alignment horizontal="center" vertical="center" wrapText="1"/>
    </xf>
    <xf numFmtId="49" fontId="0" fillId="9" borderId="94" xfId="0" applyNumberFormat="1" applyFill="1" applyBorder="1" applyAlignment="1">
      <alignment horizontal="center" vertical="center" wrapText="1"/>
    </xf>
    <xf numFmtId="0" fontId="0" fillId="9" borderId="82" xfId="0" applyFill="1" applyBorder="1" applyAlignment="1">
      <alignment horizontal="center" vertical="center"/>
    </xf>
    <xf numFmtId="0" fontId="0" fillId="9" borderId="83" xfId="0" applyFill="1" applyBorder="1" applyAlignment="1">
      <alignment horizontal="center" vertical="center"/>
    </xf>
    <xf numFmtId="0" fontId="0" fillId="9" borderId="86" xfId="0" applyFill="1" applyBorder="1" applyAlignment="1">
      <alignment horizontal="center" vertical="center"/>
    </xf>
    <xf numFmtId="0" fontId="0" fillId="9" borderId="26" xfId="0" applyFill="1" applyBorder="1" applyAlignment="1">
      <alignment horizontal="center" vertical="center"/>
    </xf>
    <xf numFmtId="0" fontId="4" fillId="6" borderId="156" xfId="11" applyFont="1" applyFill="1" applyBorder="1" applyAlignment="1">
      <alignment horizontal="center" vertical="center" wrapText="1"/>
    </xf>
    <xf numFmtId="0" fontId="26" fillId="6" borderId="156" xfId="11" applyFont="1" applyFill="1" applyBorder="1" applyAlignment="1">
      <alignment wrapText="1"/>
    </xf>
    <xf numFmtId="0" fontId="3" fillId="6" borderId="0" xfId="2" applyFont="1" applyFill="1" applyAlignment="1">
      <alignment horizontal="justify" vertical="center" wrapText="1"/>
    </xf>
    <xf numFmtId="0" fontId="3" fillId="6" borderId="0" xfId="2" applyFont="1" applyFill="1" applyAlignment="1">
      <alignment horizontal="left" vertical="center"/>
    </xf>
    <xf numFmtId="0" fontId="46" fillId="6" borderId="0" xfId="7" applyFont="1" applyFill="1" applyAlignment="1">
      <alignment horizontal="left" vertical="center" wrapText="1"/>
    </xf>
    <xf numFmtId="0" fontId="45" fillId="8" borderId="76" xfId="24" applyFont="1" applyFill="1" applyBorder="1" applyAlignment="1">
      <alignment horizontal="center" vertical="center" wrapText="1"/>
    </xf>
    <xf numFmtId="0" fontId="45" fillId="8" borderId="77" xfId="24" applyFont="1" applyFill="1" applyBorder="1" applyAlignment="1">
      <alignment horizontal="center" vertical="center" wrapText="1"/>
    </xf>
    <xf numFmtId="0" fontId="32" fillId="6" borderId="76" xfId="24" applyFont="1" applyFill="1" applyBorder="1" applyAlignment="1">
      <alignment horizontal="center" vertical="center" wrapText="1"/>
    </xf>
    <xf numFmtId="0" fontId="32" fillId="6" borderId="77" xfId="24" applyFont="1" applyFill="1" applyBorder="1" applyAlignment="1">
      <alignment horizontal="center" vertical="center" wrapText="1"/>
    </xf>
    <xf numFmtId="0" fontId="32" fillId="6" borderId="78" xfId="24" applyFont="1" applyFill="1" applyBorder="1" applyAlignment="1">
      <alignment horizontal="center" vertical="center" wrapText="1"/>
    </xf>
    <xf numFmtId="165" fontId="15" fillId="6" borderId="0" xfId="14" applyFont="1" applyFill="1" applyAlignment="1">
      <alignment horizontal="center" vertical="top" wrapText="1"/>
    </xf>
    <xf numFmtId="165" fontId="3" fillId="6" borderId="36" xfId="14" applyFont="1" applyFill="1" applyBorder="1" applyAlignment="1">
      <alignment horizontal="center" vertical="center"/>
    </xf>
    <xf numFmtId="165" fontId="3" fillId="6" borderId="37" xfId="14" applyFont="1" applyFill="1" applyBorder="1" applyAlignment="1">
      <alignment horizontal="center" vertical="center"/>
    </xf>
    <xf numFmtId="2" fontId="45" fillId="8" borderId="22" xfId="14" applyNumberFormat="1" applyFont="1" applyFill="1" applyBorder="1" applyAlignment="1">
      <alignment horizontal="left" vertical="center"/>
    </xf>
    <xf numFmtId="2" fontId="45" fillId="8" borderId="23" xfId="14" applyNumberFormat="1" applyFont="1" applyFill="1" applyBorder="1" applyAlignment="1">
      <alignment horizontal="left" vertical="center"/>
    </xf>
    <xf numFmtId="2" fontId="45" fillId="8" borderId="131" xfId="14" applyNumberFormat="1" applyFont="1" applyFill="1" applyBorder="1" applyAlignment="1">
      <alignment horizontal="left" vertical="center"/>
    </xf>
    <xf numFmtId="2" fontId="45" fillId="8" borderId="24" xfId="14" applyNumberFormat="1" applyFont="1" applyFill="1" applyBorder="1" applyAlignment="1">
      <alignment horizontal="left" vertical="center"/>
    </xf>
    <xf numFmtId="10" fontId="4" fillId="6" borderId="22" xfId="14" applyNumberFormat="1" applyFont="1" applyFill="1" applyBorder="1" applyAlignment="1">
      <alignment horizontal="center" vertical="center"/>
    </xf>
    <xf numFmtId="10" fontId="4" fillId="6" borderId="23" xfId="14" applyNumberFormat="1" applyFont="1" applyFill="1" applyBorder="1" applyAlignment="1">
      <alignment horizontal="center" vertical="center"/>
    </xf>
    <xf numFmtId="10" fontId="4" fillId="6" borderId="131" xfId="14" applyNumberFormat="1" applyFont="1" applyFill="1" applyBorder="1" applyAlignment="1">
      <alignment horizontal="center" vertical="center"/>
    </xf>
    <xf numFmtId="10" fontId="4" fillId="6" borderId="24" xfId="14" applyNumberFormat="1" applyFont="1" applyFill="1" applyBorder="1" applyAlignment="1">
      <alignment horizontal="center" vertical="center"/>
    </xf>
    <xf numFmtId="0" fontId="88" fillId="6" borderId="0" xfId="7" applyFont="1" applyFill="1" applyAlignment="1">
      <alignment horizontal="left" vertical="center"/>
    </xf>
    <xf numFmtId="169" fontId="25" fillId="6" borderId="127" xfId="6" applyNumberFormat="1" applyFont="1" applyFill="1" applyBorder="1" applyAlignment="1">
      <alignment horizontal="center" vertical="center" wrapText="1"/>
    </xf>
    <xf numFmtId="169" fontId="25" fillId="6" borderId="128" xfId="6" applyNumberFormat="1" applyFont="1" applyFill="1" applyBorder="1" applyAlignment="1">
      <alignment horizontal="center" vertical="center" wrapText="1"/>
    </xf>
    <xf numFmtId="8" fontId="4" fillId="4" borderId="36" xfId="1" applyNumberFormat="1" applyFont="1" applyFill="1" applyBorder="1" applyAlignment="1">
      <alignment horizontal="center" vertical="center"/>
    </xf>
    <xf numFmtId="44" fontId="4" fillId="4" borderId="38" xfId="1" applyFont="1" applyFill="1" applyBorder="1" applyAlignment="1">
      <alignment horizontal="center" vertical="center"/>
    </xf>
    <xf numFmtId="8" fontId="19" fillId="4" borderId="36" xfId="1" applyNumberFormat="1" applyFont="1" applyFill="1" applyBorder="1" applyAlignment="1">
      <alignment horizontal="center" vertical="center"/>
    </xf>
    <xf numFmtId="44" fontId="19" fillId="4" borderId="38" xfId="1" applyFont="1" applyFill="1" applyBorder="1" applyAlignment="1">
      <alignment horizontal="center" vertical="center"/>
    </xf>
    <xf numFmtId="1" fontId="19" fillId="4" borderId="36" xfId="1" applyNumberFormat="1" applyFont="1" applyFill="1" applyBorder="1" applyAlignment="1">
      <alignment horizontal="center" vertical="center"/>
    </xf>
    <xf numFmtId="1" fontId="19" fillId="4" borderId="38" xfId="1" applyNumberFormat="1" applyFont="1" applyFill="1" applyBorder="1" applyAlignment="1">
      <alignment horizontal="center" vertical="center"/>
    </xf>
    <xf numFmtId="8" fontId="4" fillId="4" borderId="38" xfId="1" applyNumberFormat="1" applyFont="1" applyFill="1" applyBorder="1" applyAlignment="1">
      <alignment horizontal="center" vertical="center"/>
    </xf>
    <xf numFmtId="2" fontId="4" fillId="4" borderId="36" xfId="1" applyNumberFormat="1" applyFont="1" applyFill="1" applyBorder="1" applyAlignment="1">
      <alignment horizontal="center" vertical="center"/>
    </xf>
    <xf numFmtId="2" fontId="4" fillId="4" borderId="38" xfId="1" applyNumberFormat="1" applyFont="1" applyFill="1" applyBorder="1" applyAlignment="1">
      <alignment horizontal="center" vertical="center"/>
    </xf>
    <xf numFmtId="164" fontId="4" fillId="4" borderId="36" xfId="1" applyNumberFormat="1" applyFont="1" applyFill="1" applyBorder="1" applyAlignment="1">
      <alignment horizontal="center" vertical="center"/>
    </xf>
    <xf numFmtId="164" fontId="4" fillId="4" borderId="38" xfId="1" applyNumberFormat="1" applyFont="1" applyFill="1" applyBorder="1" applyAlignment="1">
      <alignment horizontal="center" vertical="center"/>
    </xf>
    <xf numFmtId="169" fontId="25" fillId="6" borderId="115" xfId="6" applyNumberFormat="1" applyFont="1" applyFill="1" applyBorder="1" applyAlignment="1">
      <alignment horizontal="center" vertical="center" wrapText="1"/>
    </xf>
    <xf numFmtId="169" fontId="25" fillId="6" borderId="116" xfId="6" applyNumberFormat="1" applyFont="1" applyFill="1" applyBorder="1" applyAlignment="1">
      <alignment horizontal="center" vertical="center" wrapText="1"/>
    </xf>
    <xf numFmtId="0" fontId="88" fillId="6" borderId="0" xfId="7" applyFont="1" applyFill="1" applyAlignment="1">
      <alignment horizontal="left" vertical="top" wrapText="1"/>
    </xf>
    <xf numFmtId="169" fontId="25" fillId="6" borderId="124" xfId="6" applyNumberFormat="1" applyFont="1" applyFill="1" applyBorder="1" applyAlignment="1">
      <alignment horizontal="center" wrapText="1"/>
    </xf>
    <xf numFmtId="169" fontId="25" fillId="6" borderId="125" xfId="6" applyNumberFormat="1" applyFont="1" applyFill="1" applyBorder="1" applyAlignment="1">
      <alignment horizontal="center" wrapText="1"/>
    </xf>
    <xf numFmtId="169" fontId="21" fillId="6" borderId="115" xfId="6" applyNumberFormat="1" applyFont="1" applyFill="1" applyBorder="1" applyAlignment="1">
      <alignment horizontal="center" vertical="center" wrapText="1"/>
    </xf>
    <xf numFmtId="169" fontId="21" fillId="6" borderId="116" xfId="6" applyNumberFormat="1" applyFont="1" applyFill="1" applyBorder="1" applyAlignment="1">
      <alignment horizontal="center" vertical="center" wrapText="1"/>
    </xf>
    <xf numFmtId="0" fontId="0" fillId="3" borderId="3" xfId="0" applyFill="1" applyBorder="1" applyAlignment="1">
      <alignment horizontal="center"/>
    </xf>
    <xf numFmtId="44" fontId="0" fillId="6" borderId="1" xfId="0" applyNumberFormat="1" applyFill="1" applyBorder="1" applyAlignment="1">
      <alignment horizontal="center"/>
    </xf>
    <xf numFmtId="1" fontId="55" fillId="6" borderId="14" xfId="0" applyNumberFormat="1" applyFont="1" applyFill="1" applyBorder="1" applyAlignment="1">
      <alignment horizontal="left"/>
    </xf>
    <xf numFmtId="1" fontId="55" fillId="6" borderId="12" xfId="0" applyNumberFormat="1" applyFont="1" applyFill="1" applyBorder="1" applyAlignment="1">
      <alignment horizontal="left"/>
    </xf>
    <xf numFmtId="49" fontId="52" fillId="15" borderId="102" xfId="0" applyNumberFormat="1" applyFont="1" applyFill="1" applyBorder="1" applyAlignment="1">
      <alignment horizontal="left"/>
    </xf>
    <xf numFmtId="49" fontId="52" fillId="15" borderId="103" xfId="0" applyNumberFormat="1" applyFont="1" applyFill="1" applyBorder="1" applyAlignment="1">
      <alignment horizontal="left"/>
    </xf>
    <xf numFmtId="0" fontId="52" fillId="9" borderId="76" xfId="0" applyFont="1" applyFill="1" applyBorder="1" applyAlignment="1">
      <alignment horizontal="left"/>
    </xf>
    <xf numFmtId="0" fontId="52" fillId="9" borderId="78" xfId="0" applyFont="1" applyFill="1" applyBorder="1" applyAlignment="1">
      <alignment horizontal="left"/>
    </xf>
    <xf numFmtId="0" fontId="15" fillId="6" borderId="0" xfId="24" applyFont="1" applyFill="1" applyAlignment="1">
      <alignment horizontal="center" vertical="center" wrapText="1"/>
    </xf>
    <xf numFmtId="1" fontId="55" fillId="6" borderId="104" xfId="0" applyNumberFormat="1" applyFont="1" applyFill="1" applyBorder="1" applyAlignment="1">
      <alignment horizontal="left"/>
    </xf>
    <xf numFmtId="1" fontId="55" fillId="6" borderId="106" xfId="0" applyNumberFormat="1" applyFont="1" applyFill="1" applyBorder="1" applyAlignment="1">
      <alignment horizontal="left"/>
    </xf>
    <xf numFmtId="49" fontId="52" fillId="6" borderId="0" xfId="0" applyNumberFormat="1" applyFont="1" applyFill="1" applyAlignment="1">
      <alignment horizontal="right" vertical="center"/>
    </xf>
  </cellXfs>
  <cellStyles count="63">
    <cellStyle name="Comma 3 9" xfId="15" xr:uid="{21C52373-10B7-4785-8DC6-9723EA7DDF38}"/>
    <cellStyle name="Comma 3 9 2" xfId="38" xr:uid="{D0D4550A-5724-44C0-93C6-FFC3B906CE19}"/>
    <cellStyle name="Comma 41" xfId="55" xr:uid="{8257E25A-358D-4063-B5FE-64BAEABFCE12}"/>
    <cellStyle name="Currency 14" xfId="42" xr:uid="{D4E41C32-7DA5-4C01-B279-40998D0A83F1}"/>
    <cellStyle name="Millares 10 2 2 4" xfId="4" xr:uid="{F5C51E2D-5845-4F15-993D-3F4567D23930}"/>
    <cellStyle name="Millares 10 2 2 4 2" xfId="13" xr:uid="{668F3CD9-848F-49D7-AD2A-A40006CAFC85}"/>
    <cellStyle name="Millares 10 2 2 4 2 2" xfId="37" xr:uid="{1BBEFEE0-B3E4-44EF-8EDB-9BB9AAA72D55}"/>
    <cellStyle name="Millares 10 2 2 4 3" xfId="33" xr:uid="{956D8AA9-824E-4F21-9667-98F8A7E00158}"/>
    <cellStyle name="Millares 116 2" xfId="51" xr:uid="{0D423B84-CF18-4B89-A0E4-9032A20DDD65}"/>
    <cellStyle name="Millares 118" xfId="20" xr:uid="{F70AD9FD-8630-4BFE-A99B-5681E2CA8CB2}"/>
    <cellStyle name="Millares 118 2" xfId="39" xr:uid="{40D6CC13-5AF4-42C3-A993-AF1E8181CCFD}"/>
    <cellStyle name="Millares 128 3" xfId="61" xr:uid="{3B566EDD-AA2C-4B10-A494-C3F89F710318}"/>
    <cellStyle name="Millares 16 2" xfId="54" xr:uid="{628FA1BD-C1F6-48F9-83D9-6981D0EC1E8B}"/>
    <cellStyle name="Millares 2" xfId="21" xr:uid="{99836D02-4855-4E5B-A7B0-CAA8D2202153}"/>
    <cellStyle name="Millares 2 47" xfId="60" xr:uid="{976B6DB8-0EC9-41EA-97B6-FA4EC1D9232C}"/>
    <cellStyle name="Millares 3" xfId="49" xr:uid="{79E9F254-6110-4B3D-AADB-DBE2384D6FED}"/>
    <cellStyle name="Millares 80" xfId="48" xr:uid="{EC6ED23E-44DA-4619-88EF-13E46959B41C}"/>
    <cellStyle name="Moneda" xfId="1" builtinId="4"/>
    <cellStyle name="Moneda 10 3" xfId="3" xr:uid="{C74FE847-D433-4CB0-86B9-8319DA1C9E28}"/>
    <cellStyle name="Moneda 10 3 2" xfId="12" xr:uid="{99571F4F-812C-4FD0-9617-9E8A60F154D7}"/>
    <cellStyle name="Moneda 10 3 2 2" xfId="36" xr:uid="{5E5CB7D5-4A03-4125-A1F5-C96B76E2FBCE}"/>
    <cellStyle name="Moneda 10 3 3" xfId="32" xr:uid="{C2962BDA-93F3-4F4E-9D53-AA289DB3FA02}"/>
    <cellStyle name="Moneda 12 4" xfId="22" xr:uid="{DA69A71C-0405-4056-9B7F-FD94D954A848}"/>
    <cellStyle name="Moneda 12 4 2" xfId="40" xr:uid="{5BB15BFF-189B-41C1-94EF-5D437FA69E5E}"/>
    <cellStyle name="Moneda 2" xfId="5" xr:uid="{61925DFA-4056-4DD3-9A48-DCB213D8F1F5}"/>
    <cellStyle name="Moneda 2 2" xfId="34" xr:uid="{0324DB8C-C0AD-4E32-A59A-2411CDFECF3F}"/>
    <cellStyle name="Moneda 3" xfId="10" xr:uid="{6C3D4D54-DFEE-4380-B828-2C5EE22A92FB}"/>
    <cellStyle name="Moneda 3 2" xfId="35" xr:uid="{A85682B9-E6D4-403B-99DC-13626E5F126D}"/>
    <cellStyle name="Moneda 4" xfId="31" xr:uid="{7AA53C2C-F08D-479F-9CC8-07891A0E5F19}"/>
    <cellStyle name="Normal" xfId="0" builtinId="0"/>
    <cellStyle name="Normal - Modelo1" xfId="52" xr:uid="{2058A03A-063F-43ED-8560-8F602CBD09CB}"/>
    <cellStyle name="Normal 10 2 3" xfId="2" xr:uid="{BB5CD714-12DD-4E3F-9651-5CE3615D3F5D}"/>
    <cellStyle name="Normal 11 2" xfId="16" xr:uid="{95ED9A02-7A32-4C8C-9A3B-F03E958B7FC5}"/>
    <cellStyle name="Normal 116" xfId="41" xr:uid="{7EEAD449-BFB7-4AF8-B5B0-D6F2CCF03313}"/>
    <cellStyle name="Normal 121 2" xfId="14" xr:uid="{CD4FA0B5-02DB-4285-BF71-8C8126D65E3F}"/>
    <cellStyle name="Normal 122" xfId="47" xr:uid="{80BE7423-B721-4891-B1F0-43534AB0D485}"/>
    <cellStyle name="Normal 123 3" xfId="50" xr:uid="{0A84C7B1-CBCE-48BE-9C53-70F30E50F5AA}"/>
    <cellStyle name="Normal 2" xfId="7" xr:uid="{0408A130-CB7D-4A43-93E9-CF782CE97FAF}"/>
    <cellStyle name="Normal 2 2" xfId="8" xr:uid="{00FE39C7-82FE-4359-97E8-F08370D70D48}"/>
    <cellStyle name="Normal 2 2 6" xfId="57" xr:uid="{91558D3B-C000-4358-B0CC-2BE73C0325EA}"/>
    <cellStyle name="Normal 2 4 6" xfId="26" xr:uid="{33165BD6-E6C2-4AA1-A409-463044616E22}"/>
    <cellStyle name="Normal 2 97" xfId="24" xr:uid="{A72D6B5B-E438-459F-876E-CC28D6075561}"/>
    <cellStyle name="Normal 2_FORMATO PARA ESTIMACION 2011(OHL)(1) 2" xfId="29" xr:uid="{40C66A89-48D5-41DD-B3F2-019E58B834A6}"/>
    <cellStyle name="Normal 3" xfId="6" xr:uid="{B75D87F6-BD84-430D-98E9-545F17CF81BC}"/>
    <cellStyle name="Normal 3 100" xfId="11" xr:uid="{9BA555FC-DC8A-4015-A9B1-D9FB1A02BC35}"/>
    <cellStyle name="Normal 3 2" xfId="25" xr:uid="{A3F70173-6D19-4EE2-8C97-FF58EFBA7D49}"/>
    <cellStyle name="Normal 4" xfId="9" xr:uid="{92607495-185C-4C8B-9EF1-1255D94612E7}"/>
    <cellStyle name="Normal 5" xfId="17" xr:uid="{91D15A8F-1810-4CD6-B4DC-235718092E93}"/>
    <cellStyle name="Normal 6" xfId="28" xr:uid="{54E8A94A-B84F-B342-8E79-DB505256A6C7}"/>
    <cellStyle name="Normal 7" xfId="30" xr:uid="{F3DB27F0-C8FD-415B-9786-7FA5246B4627}"/>
    <cellStyle name="Normal 7 2" xfId="45" xr:uid="{923C2850-95A7-4500-960F-474C27AE877F}"/>
    <cellStyle name="Normal 75 2" xfId="62" xr:uid="{EF53A27E-95CD-4FA3-9E63-9519EE6C6956}"/>
    <cellStyle name="Normal 75 2 8" xfId="59" xr:uid="{6F447739-B722-43AC-B903-5B6F271141A2}"/>
    <cellStyle name="Normal 8" xfId="46" xr:uid="{50F6044F-1552-4A98-BEAC-1FADDF477A3A}"/>
    <cellStyle name="Normal_VW" xfId="27" xr:uid="{500888AF-55AC-43C5-8DC6-F5A32B016092}"/>
    <cellStyle name="Percent 13 2 2" xfId="53" xr:uid="{245CC7A7-AC5C-4D77-AF86-BE18162D068B}"/>
    <cellStyle name="Percent 2" xfId="43" xr:uid="{D88D5F5B-6383-458C-9F14-95AD710E6860}"/>
    <cellStyle name="Percent 24 2" xfId="19" xr:uid="{22346E22-676E-4980-8BD2-11DD3688AB77}"/>
    <cellStyle name="Porcentaje" xfId="23" builtinId="5"/>
    <cellStyle name="Porcentaje 10 3" xfId="44" xr:uid="{D2E5C2DB-F6AB-499E-BCFE-D6C19C8BDB3E}"/>
    <cellStyle name="Porcentaje 11" xfId="56" xr:uid="{52502EF2-D627-414E-B2E6-4008E944CDC5}"/>
    <cellStyle name="Porcentaje 18" xfId="58" xr:uid="{B7E7A955-FFFB-4C01-902E-E63DE7438900}"/>
    <cellStyle name="Porcentaje 2" xfId="18" xr:uid="{54D943D8-380F-4CAF-88B8-0662EC2D39B0}"/>
  </cellStyles>
  <dxfs count="89">
    <dxf>
      <font>
        <b/>
        <i val="0"/>
        <color rgb="FFFF0000"/>
      </font>
    </dxf>
    <dxf>
      <font>
        <b/>
        <i val="0"/>
        <color rgb="FFFF0000"/>
      </font>
    </dxf>
    <dxf>
      <font>
        <color rgb="FF9C0006"/>
      </font>
      <fill>
        <patternFill>
          <bgColor rgb="FFFFC7CE"/>
        </patternFill>
      </fill>
    </dxf>
    <dxf>
      <font>
        <b/>
        <i val="0"/>
        <color auto="1"/>
      </font>
      <fill>
        <patternFill>
          <bgColor theme="7" tint="0.79998168889431442"/>
        </patternFill>
      </fill>
    </dxf>
    <dxf>
      <font>
        <color theme="0"/>
      </font>
    </dxf>
    <dxf>
      <font>
        <color theme="0"/>
      </font>
    </dxf>
    <dxf>
      <font>
        <color theme="0"/>
      </font>
    </dxf>
    <dxf>
      <font>
        <color theme="0"/>
      </font>
    </dxf>
    <dxf>
      <font>
        <color theme="0"/>
      </font>
    </dxf>
    <dxf>
      <font>
        <color theme="0"/>
      </font>
    </dxf>
    <dxf>
      <font>
        <b/>
        <i val="0"/>
        <color auto="1"/>
      </font>
      <fill>
        <patternFill>
          <bgColor theme="7" tint="0.79998168889431442"/>
        </patternFill>
      </fill>
    </dxf>
    <dxf>
      <font>
        <b/>
        <i val="0"/>
        <color auto="1"/>
      </font>
      <fill>
        <patternFill>
          <bgColor theme="7" tint="0.79998168889431442"/>
        </patternFill>
      </fill>
    </dxf>
    <dxf>
      <font>
        <b/>
        <i val="0"/>
        <color auto="1"/>
      </font>
      <fill>
        <patternFill>
          <bgColor theme="7" tint="0.79998168889431442"/>
        </patternFill>
      </fill>
    </dxf>
    <dxf>
      <font>
        <b/>
        <i val="0"/>
        <color auto="1"/>
      </font>
      <fill>
        <patternFill>
          <bgColor theme="7" tint="0.79998168889431442"/>
        </patternFill>
      </fill>
    </dxf>
    <dxf>
      <font>
        <b/>
        <i val="0"/>
        <color auto="1"/>
      </font>
      <fill>
        <patternFill>
          <bgColor theme="7" tint="0.79998168889431442"/>
        </patternFill>
      </fill>
    </dxf>
    <dxf>
      <font>
        <b/>
        <i val="0"/>
        <color auto="1"/>
      </font>
      <fill>
        <patternFill>
          <bgColor theme="7"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9" tint="-0.499984740745262"/>
      </font>
      <fill>
        <patternFill>
          <bgColor theme="9" tint="0.79998168889431442"/>
        </patternFill>
      </fill>
    </dxf>
    <dxf>
      <font>
        <color rgb="FFFF0000"/>
      </font>
    </dxf>
    <dxf>
      <font>
        <color rgb="FFFF0000"/>
      </font>
    </dxf>
    <dxf>
      <font>
        <color rgb="FFFF0000"/>
      </font>
    </dxf>
    <dxf>
      <font>
        <b val="0"/>
        <i val="0"/>
        <strike val="0"/>
        <condense val="0"/>
        <extend val="0"/>
        <outline val="0"/>
        <shadow val="0"/>
        <u val="none"/>
        <vertAlign val="baseline"/>
        <sz val="9"/>
        <color auto="1"/>
        <name val="Arial Narrow"/>
        <family val="2"/>
        <scheme val="none"/>
      </font>
      <numFmt numFmtId="34" formatCode="_-&quot;$&quot;* #,##0.00_-;\-&quot;$&quot;* #,##0.00_-;_-&quot;$&quot;* &quot;-&quot;??_-;_-@_-"/>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numFmt numFmtId="19" formatCode="dd/mm/yyyy"/>
      <fill>
        <patternFill patternType="solid">
          <fgColor indexed="64"/>
          <bgColor rgb="FFFFFBEF"/>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numFmt numFmtId="34" formatCode="_-&quot;$&quot;* #,##0.00_-;\-&quot;$&quot;* #,##0.00_-;_-&quot;$&quot;* &quot;-&quot;??_-;_-@_-"/>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CF3"/>
        </patternFill>
      </fill>
      <alignment horizontal="center" vertical="bottom" textRotation="0" wrapText="0" indent="0" justifyLastLine="0" shrinkToFit="0" readingOrder="0"/>
      <border diagonalUp="0" diagonalDown="0" outline="0">
        <left style="thin">
          <color indexed="64"/>
        </left>
        <right style="thin">
          <color indexed="64"/>
        </right>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style="dotted">
          <color indexed="64"/>
        </bottom>
      </border>
    </dxf>
    <dxf>
      <font>
        <b val="0"/>
        <i val="0"/>
        <strike val="0"/>
        <condense val="0"/>
        <extend val="0"/>
        <outline val="0"/>
        <shadow val="0"/>
        <u val="none"/>
        <vertAlign val="baseline"/>
        <sz val="9"/>
        <color auto="1"/>
        <name val="Arial Narrow"/>
        <family val="2"/>
        <scheme val="none"/>
      </font>
      <numFmt numFmtId="34" formatCode="_-&quot;$&quot;* #,##0.00_-;\-&quot;$&quot;* #,##0.00_-;_-&quot;$&quot;* &quot;-&quot;??_-;_-@_-"/>
      <fill>
        <patternFill patternType="solid">
          <fgColor indexed="64"/>
          <bgColor theme="0"/>
        </patternFill>
      </fill>
      <border diagonalUp="0" diagonalDown="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theme="0"/>
        </patternFill>
      </fill>
      <border diagonalUp="0" diagonalDown="0" outline="0">
        <left style="thin">
          <color indexed="64"/>
        </left>
        <right style="thin">
          <color indexed="64"/>
        </right>
        <top/>
        <bottom style="dotted">
          <color indexed="64"/>
        </bottom>
      </border>
    </dxf>
    <dxf>
      <font>
        <b val="0"/>
        <i val="0"/>
        <strike val="0"/>
        <condense val="0"/>
        <extend val="0"/>
        <outline val="0"/>
        <shadow val="0"/>
        <u val="none"/>
        <vertAlign val="baseline"/>
        <sz val="9"/>
        <color auto="1"/>
        <name val="Arial Narrow"/>
        <family val="2"/>
        <scheme val="none"/>
      </font>
      <numFmt numFmtId="34" formatCode="_-&quot;$&quot;* #,##0.00_-;\-&quot;$&quot;* #,##0.00_-;_-&quot;$&quot;* &quot;-&quot;??_-;_-@_-"/>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alignment horizontal="left"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numFmt numFmtId="30" formatCode="@"/>
      <fill>
        <patternFill patternType="solid">
          <fgColor indexed="64"/>
          <bgColor rgb="FFFFFBEF"/>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numFmt numFmtId="172" formatCode="dd\.mm\.yyyy"/>
      <fill>
        <patternFill patternType="solid">
          <fgColor indexed="64"/>
          <bgColor rgb="FFFFFBEF"/>
        </patternFill>
      </fill>
      <alignment horizontal="center" vertical="bottom" textRotation="0" wrapText="0" indent="0" justifyLastLine="0" shrinkToFit="0" readingOrder="0"/>
      <border diagonalUp="0" diagonalDown="0">
        <left/>
        <right style="thin">
          <color indexed="64"/>
        </right>
        <top style="dotted">
          <color indexed="64"/>
        </top>
        <bottom style="dotted">
          <color indexed="64"/>
        </bottom>
        <vertical/>
        <horizontal/>
      </border>
    </dxf>
    <dxf>
      <font>
        <b val="0"/>
        <i val="0"/>
        <strike val="0"/>
        <condense val="0"/>
        <extend val="0"/>
        <outline val="0"/>
        <shadow val="0"/>
        <u val="none"/>
        <vertAlign val="baseline"/>
        <sz val="9"/>
        <color auto="1"/>
        <name val="Arial Narrow"/>
        <family val="2"/>
        <scheme val="none"/>
      </font>
      <numFmt numFmtId="172" formatCode="dd\.mm\.yyyy"/>
      <fill>
        <patternFill patternType="solid">
          <fgColor indexed="64"/>
          <bgColor rgb="FFFFFBEF"/>
        </patternFill>
      </fill>
      <alignment horizontal="center" vertical="bottom" textRotation="0" wrapText="0" indent="0" justifyLastLine="0" shrinkToFit="0" readingOrder="0"/>
      <border diagonalUp="0" diagonalDown="0">
        <left style="thin">
          <color indexed="64"/>
        </left>
        <right/>
        <top style="dotted">
          <color indexed="64"/>
        </top>
        <bottom style="dotted">
          <color indexed="64"/>
        </bottom>
      </border>
    </dxf>
    <dxf>
      <font>
        <b val="0"/>
        <i val="0"/>
        <strike val="0"/>
        <condense val="0"/>
        <extend val="0"/>
        <outline val="0"/>
        <shadow val="0"/>
        <u val="none"/>
        <vertAlign val="baseline"/>
        <sz val="9"/>
        <color auto="1"/>
        <name val="Arial Narrow"/>
        <family val="2"/>
        <scheme val="none"/>
      </font>
      <fill>
        <patternFill patternType="solid">
          <fgColor indexed="64"/>
          <bgColor rgb="FFFFFBEF"/>
        </patternFill>
      </fill>
      <alignment horizontal="center" vertical="bottom" textRotation="0" wrapText="0" indent="0" justifyLastLine="0" shrinkToFit="0" readingOrder="0"/>
      <border diagonalUp="0" diagonalDown="0" outline="0">
        <left/>
        <right/>
        <top style="dotted">
          <color indexed="64"/>
        </top>
        <bottom style="dotted">
          <color indexed="64"/>
        </bottom>
      </border>
    </dxf>
    <dxf>
      <border outline="0">
        <left style="medium">
          <color indexed="64"/>
        </left>
        <right style="medium">
          <color indexed="64"/>
        </right>
        <top style="medium">
          <color indexed="64"/>
        </top>
        <bottom style="medium">
          <color indexed="64"/>
        </bottom>
      </border>
    </dxf>
    <dxf>
      <font>
        <strike val="0"/>
        <outline val="0"/>
        <shadow val="0"/>
        <u val="none"/>
        <vertAlign val="baseline"/>
        <sz val="9"/>
        <color auto="1"/>
        <name val="Arial Narrow"/>
        <family val="2"/>
        <scheme val="none"/>
      </font>
    </dxf>
    <dxf>
      <border>
        <bottom style="medium">
          <color indexed="64"/>
        </bottom>
      </border>
    </dxf>
    <dxf>
      <font>
        <b/>
        <i val="0"/>
        <strike val="0"/>
        <condense val="0"/>
        <extend val="0"/>
        <outline val="0"/>
        <shadow val="0"/>
        <u val="none"/>
        <vertAlign val="baseline"/>
        <sz val="8"/>
        <color theme="4" tint="-0.249977111117893"/>
        <name val="Arial Narrow"/>
        <family val="2"/>
        <scheme val="none"/>
      </font>
      <fill>
        <patternFill patternType="solid">
          <fgColor indexed="64"/>
          <bgColor theme="4" tint="-0.249977111117893"/>
        </patternFill>
      </fill>
      <alignment horizontal="center" vertical="center" textRotation="0" wrapText="0" indent="0" justifyLastLine="0" shrinkToFit="0" readingOrder="0"/>
      <border diagonalUp="0" diagonalDown="0">
        <left/>
        <right/>
        <top/>
        <bottom/>
        <vertical/>
        <horizontal/>
      </border>
    </dxf>
    <dxf>
      <font>
        <b val="0"/>
        <i val="0"/>
        <strike val="0"/>
        <outline val="0"/>
        <shadow val="0"/>
        <u val="none"/>
        <vertAlign val="baseline"/>
        <sz val="11"/>
        <color theme="1"/>
        <name val="Calibri"/>
        <family val="2"/>
        <scheme val="minor"/>
      </font>
      <numFmt numFmtId="21" formatCode="dd\-mmm"/>
      <alignment horizontal="left" vertical="bottom" textRotation="0" wrapText="0" indent="0" justifyLastLine="0" shrinkToFit="1" readingOrder="0"/>
      <border diagonalUp="0" diagonalDown="0">
        <left style="dotted">
          <color indexed="64"/>
        </left>
        <right/>
        <top style="dotted">
          <color indexed="64"/>
        </top>
        <bottom style="dotted">
          <color indexed="64"/>
        </bottom>
        <horizontal style="dotted">
          <color indexed="64"/>
        </horizontal>
      </border>
    </dxf>
    <dxf>
      <numFmt numFmtId="30" formatCode="@"/>
      <border diagonalUp="0" diagonalDown="0">
        <left/>
        <right style="dotted">
          <color indexed="64"/>
        </right>
        <top style="dotted">
          <color indexed="64"/>
        </top>
        <bottom style="dotted">
          <color indexed="64"/>
        </bottom>
        <horizontal style="dotted">
          <color indexed="64"/>
        </horizontal>
      </border>
    </dxf>
    <dxf>
      <border outline="0">
        <left style="medium">
          <color indexed="64"/>
        </left>
        <right style="medium">
          <color indexed="64"/>
        </right>
        <bottom style="medium">
          <color indexed="64"/>
        </bottom>
      </border>
    </dxf>
    <dxf>
      <border outline="0">
        <bottom style="medium">
          <color indexed="64"/>
        </bottom>
      </border>
    </dxf>
    <dxf>
      <font>
        <strike val="0"/>
        <outline val="0"/>
        <shadow val="0"/>
        <u val="none"/>
        <vertAlign val="baseline"/>
        <sz val="11"/>
        <color theme="4" tint="0.59999389629810485"/>
        <name val="Calibri"/>
        <family val="2"/>
        <scheme val="minor"/>
      </font>
    </dxf>
    <dxf>
      <font>
        <b val="0"/>
        <i val="0"/>
        <strike val="0"/>
        <condense val="0"/>
        <extend val="0"/>
        <outline val="0"/>
        <shadow val="0"/>
        <u val="none"/>
        <vertAlign val="baseline"/>
        <sz val="10"/>
        <color theme="1"/>
        <name val="Calibri"/>
        <family val="2"/>
        <scheme val="minor"/>
      </font>
      <numFmt numFmtId="21" formatCode="dd\-mmm"/>
      <fill>
        <patternFill patternType="solid">
          <fgColor indexed="64"/>
          <bgColor rgb="FFFFFCF3"/>
        </patternFill>
      </fill>
      <alignment horizontal="left" vertical="bottom" textRotation="0" wrapText="0" indent="0" justifyLastLine="0" shrinkToFit="0" readingOrder="0"/>
      <border diagonalUp="0" diagonalDown="0" outline="0">
        <left style="dotted">
          <color indexed="64"/>
        </left>
        <right/>
        <top style="dotted">
          <color indexed="64"/>
        </top>
        <bottom/>
      </border>
    </dxf>
    <dxf>
      <font>
        <b val="0"/>
        <i val="0"/>
        <strike val="0"/>
        <condense val="0"/>
        <extend val="0"/>
        <outline val="0"/>
        <shadow val="0"/>
        <u val="none"/>
        <vertAlign val="baseline"/>
        <sz val="10"/>
        <color theme="1"/>
        <name val="Calibri"/>
        <family val="2"/>
        <scheme val="minor"/>
      </font>
      <numFmt numFmtId="30" formatCode="@"/>
      <fill>
        <patternFill patternType="solid">
          <fgColor indexed="64"/>
          <bgColor rgb="FFFFFCF3"/>
        </patternFill>
      </fill>
      <alignment horizontal="left" vertical="bottom" textRotation="0" wrapText="0" indent="0" justifyLastLine="0" shrinkToFit="0" readingOrder="0"/>
      <border diagonalUp="0" diagonalDown="0" outline="0">
        <left/>
        <right/>
        <top style="dotted">
          <color indexed="64"/>
        </top>
        <bottom/>
      </border>
    </dxf>
    <dxf>
      <border outline="0">
        <top style="dotted">
          <color indexed="64"/>
        </top>
      </border>
    </dxf>
    <dxf>
      <font>
        <strike val="0"/>
        <outline val="0"/>
        <shadow val="0"/>
        <u val="none"/>
        <vertAlign val="baseline"/>
        <sz val="10"/>
        <color theme="1"/>
        <name val="Calibri"/>
        <family val="2"/>
        <scheme val="minor"/>
      </font>
    </dxf>
    <dxf>
      <font>
        <b/>
        <i val="0"/>
        <strike val="0"/>
        <condense val="0"/>
        <extend val="0"/>
        <outline val="0"/>
        <shadow val="0"/>
        <u val="none"/>
        <vertAlign val="baseline"/>
        <sz val="11"/>
        <color auto="1"/>
        <name val="Calibri"/>
        <family val="2"/>
        <scheme val="minor"/>
      </font>
      <fill>
        <patternFill patternType="solid">
          <fgColor indexed="64"/>
          <bgColor theme="4" tint="0.5999938962981048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style="thin">
          <color indexed="64"/>
        </left>
        <right style="thin">
          <color indexed="64"/>
        </right>
        <vertical/>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style="thin">
          <color indexed="64"/>
        </left>
        <right style="thin">
          <color indexed="64"/>
        </right>
        <vertical/>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outline="0">
        <left/>
        <right style="thin">
          <color indexed="64"/>
        </right>
        <top style="dotted">
          <color indexed="64"/>
        </top>
        <bottom style="dotted">
          <color indexed="64"/>
        </bottom>
      </border>
    </dxf>
    <dxf>
      <font>
        <b/>
        <i val="0"/>
        <strike val="0"/>
        <condense val="0"/>
        <extend val="0"/>
        <outline val="0"/>
        <shadow val="0"/>
        <u val="none"/>
        <vertAlign val="baseline"/>
        <sz val="10"/>
        <color auto="1"/>
        <name val="Arial Narrow"/>
        <family val="2"/>
        <scheme val="none"/>
      </font>
      <numFmt numFmtId="19" formatCode="dd/mm/yyyy"/>
      <fill>
        <patternFill patternType="solid">
          <fgColor indexed="64"/>
          <bgColor rgb="FFFFFBEF"/>
        </patternFill>
      </fill>
      <alignment horizontal="center" vertical="bottom" textRotation="0" wrapText="0" indent="0" justifyLastLine="0" shrinkToFit="0" readingOrder="0"/>
      <border diagonalUp="0" diagonalDown="0" outline="0">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right style="thin">
          <color indexed="64"/>
        </right>
        <top style="dotted">
          <color indexed="64"/>
        </top>
        <bottom style="dotted">
          <color indexed="64"/>
        </bottom>
        <vertical/>
        <horizontal/>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right style="thin">
          <color indexed="64"/>
        </right>
        <top style="dotted">
          <color indexed="64"/>
        </top>
        <bottom style="dotted">
          <color indexed="64"/>
        </bottom>
        <vertical/>
        <horizontal/>
      </border>
    </dxf>
    <dxf>
      <font>
        <b val="0"/>
        <i val="0"/>
        <strike val="0"/>
        <condense val="0"/>
        <extend val="0"/>
        <outline val="0"/>
        <shadow val="0"/>
        <u val="none"/>
        <vertAlign val="baseline"/>
        <sz val="10"/>
        <color auto="1"/>
        <name val="Arial Narrow"/>
        <family val="2"/>
        <scheme val="none"/>
      </font>
      <numFmt numFmtId="19" formatCode="dd/mm/yyyy"/>
      <fill>
        <patternFill patternType="solid">
          <fgColor indexed="64"/>
          <bgColor rgb="FFFFFBEF"/>
        </patternFill>
      </fill>
      <alignment horizontal="center" vertical="bottom" textRotation="0" wrapText="0" indent="0" justifyLastLine="0" shrinkToFit="0" readingOrder="0"/>
      <border diagonalUp="0" diagonalDown="0" outline="0">
        <left/>
        <right style="thin">
          <color indexed="64"/>
        </right>
        <top style="dotted">
          <color indexed="64"/>
        </top>
        <bottom style="dotted">
          <color indexed="64"/>
        </bottom>
      </border>
    </dxf>
    <dxf>
      <font>
        <b/>
        <i val="0"/>
        <strike val="0"/>
        <condense val="0"/>
        <extend val="0"/>
        <outline val="0"/>
        <shadow val="0"/>
        <u val="none"/>
        <vertAlign val="baseline"/>
        <sz val="10"/>
        <color auto="1"/>
        <name val="Arial Narrow"/>
        <family val="2"/>
        <scheme val="none"/>
      </font>
      <numFmt numFmtId="34" formatCode="_-&quot;$&quot;* #,##0.00_-;\-&quot;$&quot;* #,##0.00_-;_-&quot;$&quot;* &quot;-&quot;??_-;_-@_-"/>
      <fill>
        <patternFill patternType="solid">
          <fgColor indexed="64"/>
          <bgColor theme="5" tint="0.59999389629810485"/>
        </patternFill>
      </fill>
      <alignment horizontal="center" vertical="bottom" textRotation="0" wrapText="0" indent="0" justifyLastLine="0" shrinkToFit="0" readingOrder="0"/>
      <border diagonalUp="0" diagonalDown="0" outline="0">
        <left/>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19" formatCode="dd/mm/yyyy"/>
      <fill>
        <patternFill patternType="solid">
          <fgColor indexed="64"/>
          <bgColor rgb="FFFFFBEF"/>
        </patternFill>
      </fill>
      <alignment horizontal="center" vertical="bottom" textRotation="0" wrapText="0" indent="0" justifyLastLine="0" shrinkToFit="0" readingOrder="0"/>
      <border diagonalUp="0" diagonalDown="0" outline="0">
        <left style="thin">
          <color indexed="64"/>
        </left>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19" formatCode="dd/mm/yyyy"/>
      <fill>
        <patternFill patternType="solid">
          <fgColor indexed="64"/>
          <bgColor rgb="FFFFFBEF"/>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19" formatCode="dd/mm/yyyy"/>
      <fill>
        <patternFill patternType="solid">
          <fgColor indexed="64"/>
          <bgColor rgb="FFFFFBEF"/>
        </patternFill>
      </fill>
      <alignment horizontal="center" vertical="bottom" textRotation="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30" formatCode="@"/>
      <fill>
        <patternFill patternType="solid">
          <fgColor indexed="64"/>
          <bgColor rgb="FFFFFBEF"/>
        </patternFill>
      </fill>
      <alignment horizontal="center" vertical="bottom" textRotation="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30" formatCode="@"/>
      <fill>
        <patternFill patternType="solid">
          <fgColor indexed="64"/>
          <bgColor rgb="FFFFFBEF"/>
        </patternFill>
      </fill>
      <alignment horizontal="center" vertical="bottom" textRotation="0" wrapText="0"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0"/>
        <color auto="1"/>
        <name val="Arial Narrow"/>
        <family val="2"/>
        <scheme val="none"/>
      </font>
      <numFmt numFmtId="30" formatCode="@"/>
      <fill>
        <patternFill patternType="solid">
          <fgColor indexed="64"/>
          <bgColor rgb="FFFFFBEF"/>
        </patternFill>
      </fill>
      <alignment horizontal="center" vertical="bottom" textRotation="0" wrapText="0" indent="0" justifyLastLine="0" shrinkToFit="0" readingOrder="0"/>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0"/>
        <color auto="1"/>
        <name val="Arial Narrow"/>
        <family val="2"/>
        <scheme val="none"/>
      </font>
      <numFmt numFmtId="30" formatCode="@"/>
      <fill>
        <patternFill patternType="solid">
          <fgColor indexed="64"/>
          <bgColor rgb="FFFFFBEF"/>
        </patternFill>
      </fill>
      <alignment horizontal="center" vertical="bottom" textRotation="0" wrapText="0" indent="0" justifyLastLine="0" shrinkToFit="0" readingOrder="0"/>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34" formatCode="_-&quot;$&quot;* #,##0.00_-;\-&quot;$&quot;* #,##0.00_-;_-&quot;$&quot;* &quot;-&quot;??_-;_-@_-"/>
      <fill>
        <patternFill patternType="solid">
          <fgColor indexed="64"/>
          <bgColor theme="5" tint="0.79998168889431442"/>
        </patternFill>
      </fill>
      <border diagonalUp="0" diagonalDown="0" outline="0">
        <left style="thin">
          <color indexed="64"/>
        </left>
        <right style="thin">
          <color indexed="64"/>
        </right>
        <top/>
        <bottom style="dotted">
          <color indexed="64"/>
        </bottom>
      </border>
    </dxf>
    <dxf>
      <font>
        <b val="0"/>
        <i val="0"/>
        <strike val="0"/>
        <condense val="0"/>
        <extend val="0"/>
        <outline val="0"/>
        <shadow val="0"/>
        <u val="none"/>
        <vertAlign val="baseline"/>
        <sz val="10"/>
        <color auto="1"/>
        <name val="Arial Narrow"/>
        <family val="2"/>
        <scheme val="none"/>
      </font>
      <numFmt numFmtId="34" formatCode="_-&quot;$&quot;* #,##0.00_-;\-&quot;$&quot;* #,##0.00_-;_-&quot;$&quot;* &quot;-&quot;??_-;_-@_-"/>
      <fill>
        <patternFill patternType="solid">
          <fgColor indexed="64"/>
          <bgColor theme="0"/>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34" formatCode="_-&quot;$&quot;* #,##0.00_-;\-&quot;$&quot;* #,##0.00_-;_-&quot;$&quot;* &quot;-&quot;??_-;_-@_-"/>
      <fill>
        <patternFill patternType="solid">
          <fgColor indexed="64"/>
          <bgColor rgb="FFFFFBEF"/>
        </patternFill>
      </fill>
      <border diagonalUp="0" diagonalDown="0">
        <left style="thin">
          <color indexed="64"/>
        </left>
        <right style="thin">
          <color indexed="64"/>
        </right>
        <top style="dotted">
          <color indexed="64"/>
        </top>
        <bottom style="dotted">
          <color indexed="64"/>
        </bottom>
        <vertical/>
        <horizontal/>
      </border>
    </dxf>
    <dxf>
      <font>
        <b val="0"/>
        <i val="0"/>
        <strike val="0"/>
        <condense val="0"/>
        <extend val="0"/>
        <outline val="0"/>
        <shadow val="0"/>
        <u val="none"/>
        <vertAlign val="baseline"/>
        <sz val="10"/>
        <color auto="1"/>
        <name val="Arial Narrow"/>
        <family val="2"/>
        <scheme val="none"/>
      </font>
      <numFmt numFmtId="34" formatCode="_-&quot;$&quot;* #,##0.00_-;\-&quot;$&quot;* #,##0.00_-;_-&quot;$&quot;* &quot;-&quot;??_-;_-@_-"/>
      <fill>
        <patternFill patternType="solid">
          <fgColor indexed="64"/>
          <bgColor theme="0"/>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2" formatCode="0.00"/>
      <fill>
        <patternFill patternType="solid">
          <fgColor indexed="64"/>
          <bgColor rgb="FFFFFBEF"/>
        </patternFill>
      </fill>
      <border diagonalUp="0" diagonalDown="0" outline="0">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30" formatCode="@"/>
      <fill>
        <patternFill patternType="solid">
          <fgColor indexed="64"/>
          <bgColor rgb="FFFFFBEF"/>
        </patternFill>
      </fill>
      <alignment horizontal="left" vertical="bottom" textRotation="0" wrapText="0" relativeIndent="1" justifyLastLine="0" shrinkToFit="0" readingOrder="0"/>
      <border diagonalUp="0" diagonalDown="0" outline="0">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patternFill>
      </fill>
      <alignment horizontal="left" vertical="bottom" textRotation="0" wrapText="0" relativeIndent="1" justifyLastLine="0" shrinkToFit="0" readingOrder="0"/>
      <border diagonalUp="0" diagonalDown="0" outline="0">
        <left style="thin">
          <color indexed="64"/>
        </left>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alignment horizontal="general" vertical="bottom" textRotation="0" wrapText="0" indent="0" justifyLastLine="0" shrinkToFit="0" readingOrder="0"/>
      <border diagonalUp="0" diagonalDown="0" outline="0">
        <left style="thin">
          <color indexed="64"/>
        </left>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outline="0">
        <left style="thin">
          <color indexed="64"/>
        </left>
        <right style="thin">
          <color indexed="64"/>
        </right>
        <top style="dotted">
          <color indexed="64"/>
        </top>
        <bottom style="dotted">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border diagonalUp="0" diagonalDown="0">
        <left/>
        <right style="thin">
          <color indexed="64"/>
        </right>
        <top style="dotted">
          <color indexed="64"/>
        </top>
        <bottom style="dotted">
          <color indexed="64"/>
        </bottom>
        <vertical/>
        <horizontal/>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0"/>
        <color auto="1"/>
        <name val="Arial Narrow"/>
        <family val="2"/>
        <scheme val="none"/>
      </font>
      <fill>
        <patternFill patternType="solid">
          <fgColor indexed="64"/>
          <bgColor rgb="FFFFFBEF"/>
        </patternFill>
      </fill>
    </dxf>
    <dxf>
      <border outline="0">
        <bottom style="medium">
          <color indexed="64"/>
        </bottom>
      </border>
    </dxf>
    <dxf>
      <font>
        <b/>
        <i val="0"/>
        <strike val="0"/>
        <condense val="0"/>
        <extend val="0"/>
        <outline val="0"/>
        <shadow val="0"/>
        <u val="none"/>
        <vertAlign val="baseline"/>
        <sz val="10"/>
        <color theme="4" tint="-0.249977111117893"/>
        <name val="Arial Narrow"/>
        <family val="2"/>
        <scheme val="none"/>
      </font>
      <fill>
        <patternFill patternType="solid">
          <fgColor indexed="64"/>
          <bgColor theme="4" tint="-0.249977111117893"/>
        </patternFill>
      </fill>
      <border diagonalUp="0" diagonalDown="0" outline="0">
        <left style="thin">
          <color indexed="64"/>
        </left>
        <right style="thin">
          <color indexed="64"/>
        </right>
        <top/>
        <bottom/>
      </border>
    </dxf>
  </dxfs>
  <tableStyles count="0" defaultTableStyle="TableStyleMedium2" defaultPivotStyle="PivotStyleLight16"/>
  <colors>
    <mruColors>
      <color rgb="FFFFFBEF"/>
      <color rgb="FFFFFCF3"/>
      <color rgb="FFE6EB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PRODUCCION</a:t>
            </a:r>
            <a:r>
              <a:rPr lang="es-MX" baseline="0"/>
              <a:t> VS COSTO</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3820894344730612E-2"/>
          <c:y val="7.8159190371991261E-2"/>
          <c:w val="0.90715145955534582"/>
          <c:h val="0.71741249800373708"/>
        </c:manualLayout>
      </c:layout>
      <c:barChart>
        <c:barDir val="col"/>
        <c:grouping val="clustered"/>
        <c:varyColors val="0"/>
        <c:ser>
          <c:idx val="0"/>
          <c:order val="0"/>
          <c:tx>
            <c:strRef>
              <c:f>Resultado!$B$9</c:f>
              <c:strCache>
                <c:ptCount val="1"/>
                <c:pt idx="0">
                  <c:v>PRODUCCION</c:v>
                </c:pt>
              </c:strCache>
            </c:strRef>
          </c:tx>
          <c:spPr>
            <a:solidFill>
              <a:schemeClr val="accent1"/>
            </a:solidFill>
            <a:ln>
              <a:noFill/>
            </a:ln>
            <a:effectLst/>
          </c:spPr>
          <c:invertIfNegative val="0"/>
          <c:trendline>
            <c:spPr>
              <a:ln w="31750" cap="rnd">
                <a:solidFill>
                  <a:schemeClr val="accent1"/>
                </a:solidFill>
                <a:prstDash val="sysDot"/>
              </a:ln>
              <a:effectLst/>
            </c:spPr>
            <c:trendlineType val="linear"/>
            <c:intercept val="0"/>
            <c:dispRSqr val="0"/>
            <c:dispEq val="0"/>
          </c:trendline>
          <c:cat>
            <c:strRef>
              <c:extLst>
                <c:ext xmlns:c15="http://schemas.microsoft.com/office/drawing/2012/chart" uri="{02D57815-91ED-43cb-92C2-25804820EDAC}">
                  <c15:fullRef>
                    <c15:sqref>Resultado!$G$7:$BB$7</c15:sqref>
                  </c15:fullRef>
                </c:ext>
              </c:extLst>
              <c:f>(Resultado!$H$7:$T$7,Resultado!$V$7:$BA$7)</c:f>
              <c:strCache>
                <c:ptCount val="45"/>
                <c:pt idx="0">
                  <c:v>JUN 2025 Q2</c:v>
                </c:pt>
                <c:pt idx="1">
                  <c:v>JUL 2025 Q1</c:v>
                </c:pt>
                <c:pt idx="2">
                  <c:v>JUL 2025 Q2</c:v>
                </c:pt>
                <c:pt idx="3">
                  <c:v>AGO 2025 Q1</c:v>
                </c:pt>
                <c:pt idx="4">
                  <c:v>AGO 2025 Q2</c:v>
                </c:pt>
                <c:pt idx="5">
                  <c:v>SEP 2025 Q1</c:v>
                </c:pt>
                <c:pt idx="6">
                  <c:v>SEP 2025 Q2</c:v>
                </c:pt>
                <c:pt idx="7">
                  <c:v>OCT 2025 Q1</c:v>
                </c:pt>
                <c:pt idx="8">
                  <c:v>OCT 2025 Q2</c:v>
                </c:pt>
                <c:pt idx="9">
                  <c:v>NOV 2025 Q1</c:v>
                </c:pt>
                <c:pt idx="10">
                  <c:v>NOV 2025 Q2</c:v>
                </c:pt>
                <c:pt idx="11">
                  <c:v>DIC 2025 Q1</c:v>
                </c:pt>
                <c:pt idx="12">
                  <c:v>DIC 2025 Q2</c:v>
                </c:pt>
                <c:pt idx="13">
                  <c:v>ENE 2026 Q2</c:v>
                </c:pt>
                <c:pt idx="14">
                  <c:v>FEB 2026 Q1</c:v>
                </c:pt>
                <c:pt idx="15">
                  <c:v>FEB 2026 Q2</c:v>
                </c:pt>
                <c:pt idx="16">
                  <c:v>MAR 2026 Q1</c:v>
                </c:pt>
                <c:pt idx="17">
                  <c:v>MAR 2026 Q2</c:v>
                </c:pt>
                <c:pt idx="18">
                  <c:v>ABR 2026 Q1</c:v>
                </c:pt>
                <c:pt idx="19">
                  <c:v>ABR 2026 Q2</c:v>
                </c:pt>
                <c:pt idx="20">
                  <c:v>MAY 2026 Q1</c:v>
                </c:pt>
                <c:pt idx="21">
                  <c:v>MAY 2026 Q2</c:v>
                </c:pt>
                <c:pt idx="22">
                  <c:v>JUN 2026 Q1</c:v>
                </c:pt>
                <c:pt idx="23">
                  <c:v>JUN 2026 Q2</c:v>
                </c:pt>
                <c:pt idx="24">
                  <c:v>JUL 2026 Q1</c:v>
                </c:pt>
                <c:pt idx="25">
                  <c:v>JUL 2026 Q2</c:v>
                </c:pt>
                <c:pt idx="26">
                  <c:v>AGO 2026 Q1</c:v>
                </c:pt>
                <c:pt idx="27">
                  <c:v>AGO 2026 Q2</c:v>
                </c:pt>
                <c:pt idx="28">
                  <c:v>SEP 2026 Q1</c:v>
                </c:pt>
                <c:pt idx="29">
                  <c:v>SEP 2026 Q2</c:v>
                </c:pt>
                <c:pt idx="30">
                  <c:v>OCT 2026 Q1</c:v>
                </c:pt>
                <c:pt idx="31">
                  <c:v>OCT 2026 Q2</c:v>
                </c:pt>
                <c:pt idx="32">
                  <c:v>NOV 2026 Q1</c:v>
                </c:pt>
                <c:pt idx="33">
                  <c:v>NOV 2026 Q2</c:v>
                </c:pt>
                <c:pt idx="34">
                  <c:v>DIC 2026 Q1</c:v>
                </c:pt>
                <c:pt idx="35">
                  <c:v>DIC 2026 Q2</c:v>
                </c:pt>
                <c:pt idx="36">
                  <c:v>ENE 2027 Q1</c:v>
                </c:pt>
                <c:pt idx="37">
                  <c:v>ENE 2027 Q2</c:v>
                </c:pt>
                <c:pt idx="38">
                  <c:v>FEB 2027 Q1</c:v>
                </c:pt>
                <c:pt idx="39">
                  <c:v>FEB 2027 Q2</c:v>
                </c:pt>
                <c:pt idx="40">
                  <c:v>MAR 2027 Q1</c:v>
                </c:pt>
                <c:pt idx="41">
                  <c:v>MAR 2027 Q2</c:v>
                </c:pt>
                <c:pt idx="42">
                  <c:v>ABR 2027 Q1</c:v>
                </c:pt>
                <c:pt idx="43">
                  <c:v>ABR 2027 Q2</c:v>
                </c:pt>
                <c:pt idx="44">
                  <c:v>MAY 2027 Q1</c:v>
                </c:pt>
              </c:strCache>
            </c:strRef>
          </c:cat>
          <c:val>
            <c:numRef>
              <c:extLst>
                <c:ext xmlns:c15="http://schemas.microsoft.com/office/drawing/2012/chart" uri="{02D57815-91ED-43cb-92C2-25804820EDAC}">
                  <c15:fullRef>
                    <c15:sqref>Resultado!$G$9:$BB$9</c15:sqref>
                  </c15:fullRef>
                </c:ext>
              </c:extLst>
              <c:f>(Resultado!$H$9:$T$9,Resultado!$V$9:$BA$9)</c:f>
              <c:numCache>
                <c:formatCode>_("$"* #,##0.00_);_("$"* \(#,##0.00\);_("$"* "-"??_);_(@_)</c:formatCode>
                <c:ptCount val="45"/>
                <c:pt idx="0">
                  <c:v>0</c:v>
                </c:pt>
                <c:pt idx="1">
                  <c:v>0</c:v>
                </c:pt>
                <c:pt idx="2">
                  <c:v>0</c:v>
                </c:pt>
                <c:pt idx="3">
                  <c:v>1608016.3354079998</c:v>
                </c:pt>
                <c:pt idx="4">
                  <c:v>444444.32119199994</c:v>
                </c:pt>
                <c:pt idx="5">
                  <c:v>0</c:v>
                </c:pt>
                <c:pt idx="6">
                  <c:v>419380.26360000001</c:v>
                </c:pt>
                <c:pt idx="7">
                  <c:v>1055412.0516960002</c:v>
                </c:pt>
                <c:pt idx="8">
                  <c:v>373024.1116</c:v>
                </c:pt>
                <c:pt idx="9">
                  <c:v>1663720.4838239998</c:v>
                </c:pt>
                <c:pt idx="10">
                  <c:v>0</c:v>
                </c:pt>
                <c:pt idx="11">
                  <c:v>822725.86343999987</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00-7CAA-4738-B7FF-3A80719EF6E7}"/>
            </c:ext>
          </c:extLst>
        </c:ser>
        <c:ser>
          <c:idx val="1"/>
          <c:order val="1"/>
          <c:tx>
            <c:strRef>
              <c:f>Resultado!$B$13</c:f>
              <c:strCache>
                <c:ptCount val="1"/>
                <c:pt idx="0">
                  <c:v>COSTO (DIRECTO + INDIRECTO)</c:v>
                </c:pt>
              </c:strCache>
            </c:strRef>
          </c:tx>
          <c:spPr>
            <a:solidFill>
              <a:schemeClr val="accent2"/>
            </a:solidFill>
            <a:ln>
              <a:noFill/>
            </a:ln>
            <a:effectLst/>
          </c:spPr>
          <c:invertIfNegative val="0"/>
          <c:trendline>
            <c:spPr>
              <a:ln w="31750" cap="rnd">
                <a:solidFill>
                  <a:schemeClr val="accent2"/>
                </a:solidFill>
                <a:prstDash val="sysDot"/>
              </a:ln>
              <a:effectLst/>
            </c:spPr>
            <c:trendlineType val="linear"/>
            <c:dispRSqr val="0"/>
            <c:dispEq val="0"/>
          </c:trendline>
          <c:cat>
            <c:strRef>
              <c:extLst>
                <c:ext xmlns:c15="http://schemas.microsoft.com/office/drawing/2012/chart" uri="{02D57815-91ED-43cb-92C2-25804820EDAC}">
                  <c15:fullRef>
                    <c15:sqref>Resultado!$G$7:$BB$7</c15:sqref>
                  </c15:fullRef>
                </c:ext>
              </c:extLst>
              <c:f>(Resultado!$H$7:$T$7,Resultado!$V$7:$BA$7)</c:f>
              <c:strCache>
                <c:ptCount val="45"/>
                <c:pt idx="0">
                  <c:v>JUN 2025 Q2</c:v>
                </c:pt>
                <c:pt idx="1">
                  <c:v>JUL 2025 Q1</c:v>
                </c:pt>
                <c:pt idx="2">
                  <c:v>JUL 2025 Q2</c:v>
                </c:pt>
                <c:pt idx="3">
                  <c:v>AGO 2025 Q1</c:v>
                </c:pt>
                <c:pt idx="4">
                  <c:v>AGO 2025 Q2</c:v>
                </c:pt>
                <c:pt idx="5">
                  <c:v>SEP 2025 Q1</c:v>
                </c:pt>
                <c:pt idx="6">
                  <c:v>SEP 2025 Q2</c:v>
                </c:pt>
                <c:pt idx="7">
                  <c:v>OCT 2025 Q1</c:v>
                </c:pt>
                <c:pt idx="8">
                  <c:v>OCT 2025 Q2</c:v>
                </c:pt>
                <c:pt idx="9">
                  <c:v>NOV 2025 Q1</c:v>
                </c:pt>
                <c:pt idx="10">
                  <c:v>NOV 2025 Q2</c:v>
                </c:pt>
                <c:pt idx="11">
                  <c:v>DIC 2025 Q1</c:v>
                </c:pt>
                <c:pt idx="12">
                  <c:v>DIC 2025 Q2</c:v>
                </c:pt>
                <c:pt idx="13">
                  <c:v>ENE 2026 Q2</c:v>
                </c:pt>
                <c:pt idx="14">
                  <c:v>FEB 2026 Q1</c:v>
                </c:pt>
                <c:pt idx="15">
                  <c:v>FEB 2026 Q2</c:v>
                </c:pt>
                <c:pt idx="16">
                  <c:v>MAR 2026 Q1</c:v>
                </c:pt>
                <c:pt idx="17">
                  <c:v>MAR 2026 Q2</c:v>
                </c:pt>
                <c:pt idx="18">
                  <c:v>ABR 2026 Q1</c:v>
                </c:pt>
                <c:pt idx="19">
                  <c:v>ABR 2026 Q2</c:v>
                </c:pt>
                <c:pt idx="20">
                  <c:v>MAY 2026 Q1</c:v>
                </c:pt>
                <c:pt idx="21">
                  <c:v>MAY 2026 Q2</c:v>
                </c:pt>
                <c:pt idx="22">
                  <c:v>JUN 2026 Q1</c:v>
                </c:pt>
                <c:pt idx="23">
                  <c:v>JUN 2026 Q2</c:v>
                </c:pt>
                <c:pt idx="24">
                  <c:v>JUL 2026 Q1</c:v>
                </c:pt>
                <c:pt idx="25">
                  <c:v>JUL 2026 Q2</c:v>
                </c:pt>
                <c:pt idx="26">
                  <c:v>AGO 2026 Q1</c:v>
                </c:pt>
                <c:pt idx="27">
                  <c:v>AGO 2026 Q2</c:v>
                </c:pt>
                <c:pt idx="28">
                  <c:v>SEP 2026 Q1</c:v>
                </c:pt>
                <c:pt idx="29">
                  <c:v>SEP 2026 Q2</c:v>
                </c:pt>
                <c:pt idx="30">
                  <c:v>OCT 2026 Q1</c:v>
                </c:pt>
                <c:pt idx="31">
                  <c:v>OCT 2026 Q2</c:v>
                </c:pt>
                <c:pt idx="32">
                  <c:v>NOV 2026 Q1</c:v>
                </c:pt>
                <c:pt idx="33">
                  <c:v>NOV 2026 Q2</c:v>
                </c:pt>
                <c:pt idx="34">
                  <c:v>DIC 2026 Q1</c:v>
                </c:pt>
                <c:pt idx="35">
                  <c:v>DIC 2026 Q2</c:v>
                </c:pt>
                <c:pt idx="36">
                  <c:v>ENE 2027 Q1</c:v>
                </c:pt>
                <c:pt idx="37">
                  <c:v>ENE 2027 Q2</c:v>
                </c:pt>
                <c:pt idx="38">
                  <c:v>FEB 2027 Q1</c:v>
                </c:pt>
                <c:pt idx="39">
                  <c:v>FEB 2027 Q2</c:v>
                </c:pt>
                <c:pt idx="40">
                  <c:v>MAR 2027 Q1</c:v>
                </c:pt>
                <c:pt idx="41">
                  <c:v>MAR 2027 Q2</c:v>
                </c:pt>
                <c:pt idx="42">
                  <c:v>ABR 2027 Q1</c:v>
                </c:pt>
                <c:pt idx="43">
                  <c:v>ABR 2027 Q2</c:v>
                </c:pt>
                <c:pt idx="44">
                  <c:v>MAY 2027 Q1</c:v>
                </c:pt>
              </c:strCache>
            </c:strRef>
          </c:cat>
          <c:val>
            <c:numRef>
              <c:extLst>
                <c:ext xmlns:c15="http://schemas.microsoft.com/office/drawing/2012/chart" uri="{02D57815-91ED-43cb-92C2-25804820EDAC}">
                  <c15:fullRef>
                    <c15:sqref>Resultado!$G$13:$BB$13</c15:sqref>
                  </c15:fullRef>
                </c:ext>
              </c:extLst>
              <c:f>(Resultado!$H$13:$T$13,Resultado!$V$13:$BA$13)</c:f>
              <c:numCache>
                <c:formatCode>_("$"* #,##0.00_);_("$"* \(#,##0.00\);_("$"* "-"??_);_(@_)</c:formatCode>
                <c:ptCount val="45"/>
                <c:pt idx="0">
                  <c:v>138564.34639448795</c:v>
                </c:pt>
                <c:pt idx="1">
                  <c:v>379928.18843396101</c:v>
                </c:pt>
                <c:pt idx="2">
                  <c:v>914707.58448546333</c:v>
                </c:pt>
                <c:pt idx="3">
                  <c:v>643327.05754495086</c:v>
                </c:pt>
                <c:pt idx="4">
                  <c:v>426663.69856208237</c:v>
                </c:pt>
                <c:pt idx="5">
                  <c:v>199929.68832788902</c:v>
                </c:pt>
                <c:pt idx="6">
                  <c:v>92328.027920706605</c:v>
                </c:pt>
                <c:pt idx="7">
                  <c:v>53636.654730376002</c:v>
                </c:pt>
                <c:pt idx="8">
                  <c:v>81252.226145837994</c:v>
                </c:pt>
                <c:pt idx="9">
                  <c:v>99700.925287585036</c:v>
                </c:pt>
                <c:pt idx="10">
                  <c:v>144723.82007595384</c:v>
                </c:pt>
                <c:pt idx="11">
                  <c:v>85987.654486234809</c:v>
                </c:pt>
                <c:pt idx="12">
                  <c:v>79341.468170720022</c:v>
                </c:pt>
                <c:pt idx="13">
                  <c:v>4300.8513234161319</c:v>
                </c:pt>
                <c:pt idx="14">
                  <c:v>26441.197114850132</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numCache>
            </c:numRef>
          </c:val>
          <c:extLst>
            <c:ext xmlns:c16="http://schemas.microsoft.com/office/drawing/2014/chart" uri="{C3380CC4-5D6E-409C-BE32-E72D297353CC}">
              <c16:uniqueId val="{00000001-7CAA-4738-B7FF-3A80719EF6E7}"/>
            </c:ext>
          </c:extLst>
        </c:ser>
        <c:dLbls>
          <c:showLegendKey val="0"/>
          <c:showVal val="0"/>
          <c:showCatName val="0"/>
          <c:showSerName val="0"/>
          <c:showPercent val="0"/>
          <c:showBubbleSize val="0"/>
        </c:dLbls>
        <c:gapWidth val="219"/>
        <c:axId val="827970096"/>
        <c:axId val="1273133408"/>
      </c:barChart>
      <c:catAx>
        <c:axId val="8279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73133408"/>
        <c:crosses val="autoZero"/>
        <c:auto val="1"/>
        <c:lblAlgn val="ctr"/>
        <c:lblOffset val="100"/>
        <c:noMultiLvlLbl val="0"/>
      </c:catAx>
      <c:valAx>
        <c:axId val="1273133408"/>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279700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080" b="0" i="0" u="none" strike="noStrike" kern="1200" baseline="0">
                <a:solidFill>
                  <a:schemeClr val="tx1">
                    <a:lumMod val="65000"/>
                    <a:lumOff val="35000"/>
                  </a:schemeClr>
                </a:solidFill>
                <a:latin typeface="+mn-lt"/>
                <a:ea typeface="+mn-ea"/>
                <a:cs typeface="+mn-cs"/>
              </a:defRPr>
            </a:pPr>
            <a:r>
              <a:rPr lang="es-MX"/>
              <a:t>RESULTADO MENSUAL (PRODUCCION MENOS COSTO)</a:t>
            </a:r>
          </a:p>
        </c:rich>
      </c:tx>
      <c:overlay val="0"/>
      <c:spPr>
        <a:noFill/>
        <a:ln>
          <a:noFill/>
        </a:ln>
        <a:effectLst/>
      </c:spPr>
      <c:txPr>
        <a:bodyPr rot="0" spcFirstLastPara="1" vertOverflow="ellipsis" vert="horz" wrap="square" anchor="ctr" anchorCtr="1"/>
        <a:lstStyle/>
        <a:p>
          <a:pPr>
            <a:defRPr lang="en-US" sz="1080" b="0" i="0" u="none" strike="noStrike" kern="120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5.9031838262921965E-2"/>
          <c:y val="0.26747655508804846"/>
          <c:w val="0.8896598320860678"/>
          <c:h val="0.56169937452803531"/>
        </c:manualLayout>
      </c:layout>
      <c:scatterChart>
        <c:scatterStyle val="smoothMarker"/>
        <c:varyColors val="0"/>
        <c:ser>
          <c:idx val="0"/>
          <c:order val="0"/>
          <c:tx>
            <c:strRef>
              <c:f>Resultado!$B$36</c:f>
              <c:strCache>
                <c:ptCount val="1"/>
                <c:pt idx="0">
                  <c:v>RESULTADO (PRODUCCION MENOS COSTO)</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trendline>
            <c:spPr>
              <a:ln w="38100" cap="rnd">
                <a:solidFill>
                  <a:schemeClr val="accent1"/>
                </a:solidFill>
                <a:prstDash val="sysDot"/>
              </a:ln>
              <a:effectLst/>
            </c:spPr>
            <c:trendlineType val="linear"/>
            <c:dispRSqr val="0"/>
            <c:dispEq val="0"/>
          </c:trendline>
          <c:xVal>
            <c:strRef>
              <c:f>Resultado!$G$7:$BB$7</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xVal>
          <c:yVal>
            <c:numRef>
              <c:f>Resultado!$G$36:$BB$36</c:f>
              <c:numCache>
                <c:formatCode>_("$"* #,##0.00_);_("$"* \(#,##0.00\);_("$"* "-"??_);_(@_)</c:formatCode>
                <c:ptCount val="48"/>
                <c:pt idx="0">
                  <c:v>0</c:v>
                </c:pt>
                <c:pt idx="1">
                  <c:v>-138564.34639448795</c:v>
                </c:pt>
                <c:pt idx="2">
                  <c:v>-379928.18843396101</c:v>
                </c:pt>
                <c:pt idx="3">
                  <c:v>-914707.58448546333</c:v>
                </c:pt>
                <c:pt idx="4">
                  <c:v>964689.27786304895</c:v>
                </c:pt>
                <c:pt idx="5">
                  <c:v>17780.622629917576</c:v>
                </c:pt>
                <c:pt idx="6">
                  <c:v>-199929.68832788902</c:v>
                </c:pt>
                <c:pt idx="7">
                  <c:v>327052.2356792934</c:v>
                </c:pt>
                <c:pt idx="8">
                  <c:v>1001775.3969656242</c:v>
                </c:pt>
                <c:pt idx="9">
                  <c:v>291771.88545416202</c:v>
                </c:pt>
                <c:pt idx="10">
                  <c:v>1564019.5585364148</c:v>
                </c:pt>
                <c:pt idx="11">
                  <c:v>-144723.82007595384</c:v>
                </c:pt>
                <c:pt idx="12">
                  <c:v>736738.2089537651</c:v>
                </c:pt>
                <c:pt idx="13">
                  <c:v>-79341.468170720022</c:v>
                </c:pt>
                <c:pt idx="14">
                  <c:v>-163091.66931658384</c:v>
                </c:pt>
                <c:pt idx="15">
                  <c:v>-4300.8513234161319</c:v>
                </c:pt>
                <c:pt idx="16">
                  <c:v>-26441.197114850132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yVal>
          <c:smooth val="1"/>
          <c:extLst>
            <c:ext xmlns:c16="http://schemas.microsoft.com/office/drawing/2014/chart" uri="{C3380CC4-5D6E-409C-BE32-E72D297353CC}">
              <c16:uniqueId val="{00000000-90D7-46F5-AFA9-0F6D5D43221B}"/>
            </c:ext>
          </c:extLst>
        </c:ser>
        <c:ser>
          <c:idx val="1"/>
          <c:order val="1"/>
          <c:tx>
            <c:strRef>
              <c:f>Resultado!$B$39</c:f>
              <c:strCache>
                <c:ptCount val="1"/>
                <c:pt idx="0">
                  <c:v>RESULTADO (CERTIFICACION MENOS COSTO)</c:v>
                </c:pt>
              </c:strCache>
            </c:strRef>
          </c:tx>
          <c:spPr>
            <a:ln w="28575" cap="rnd">
              <a:solidFill>
                <a:schemeClr val="accent2"/>
              </a:solidFill>
              <a:round/>
            </a:ln>
            <a:effectLst/>
          </c:spPr>
          <c:marker>
            <c:symbol val="none"/>
          </c:marker>
          <c:dLbls>
            <c:spPr>
              <a:noFill/>
              <a:ln>
                <a:noFill/>
              </a:ln>
              <a:effectLst/>
            </c:spPr>
            <c:txPr>
              <a:bodyPr rot="-5400000" spcFirstLastPara="1" vertOverflow="ellipsis"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dLblPos val="b"/>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strRef>
              <c:f>Resultado!$G$7:$BB$7</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xVal>
          <c:yVal>
            <c:numRef>
              <c:f>Resultado!$G$39:$BB$39</c:f>
              <c:numCache>
                <c:formatCode>_("$"* #,##0.00_);_("$"* \(#,##0.00\);_("$"* "-"??_);_(@_)</c:formatCode>
                <c:ptCount val="48"/>
                <c:pt idx="0">
                  <c:v>0</c:v>
                </c:pt>
                <c:pt idx="1">
                  <c:v>-138564.34639448795</c:v>
                </c:pt>
                <c:pt idx="2">
                  <c:v>-379928.18843396101</c:v>
                </c:pt>
                <c:pt idx="3">
                  <c:v>693308.39271453652</c:v>
                </c:pt>
                <c:pt idx="4">
                  <c:v>-198882.81314495084</c:v>
                </c:pt>
                <c:pt idx="5">
                  <c:v>-426663.69856208237</c:v>
                </c:pt>
                <c:pt idx="6">
                  <c:v>718163.9116721109</c:v>
                </c:pt>
                <c:pt idx="7">
                  <c:v>228225.45346233237</c:v>
                </c:pt>
                <c:pt idx="8">
                  <c:v>-53636.654730376002</c:v>
                </c:pt>
                <c:pt idx="9">
                  <c:v>-81252.226145837994</c:v>
                </c:pt>
                <c:pt idx="10">
                  <c:v>375194.53711241495</c:v>
                </c:pt>
                <c:pt idx="11">
                  <c:v>808030.57992404618</c:v>
                </c:pt>
                <c:pt idx="12">
                  <c:v>2040392.5347137651</c:v>
                </c:pt>
                <c:pt idx="13">
                  <c:v>-79341.468170720022</c:v>
                </c:pt>
                <c:pt idx="14">
                  <c:v>-163091.66931658384</c:v>
                </c:pt>
                <c:pt idx="15">
                  <c:v>-4300.8513234161319</c:v>
                </c:pt>
                <c:pt idx="16">
                  <c:v>-26441.197114850132</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yVal>
          <c:smooth val="1"/>
          <c:extLst>
            <c:ext xmlns:c16="http://schemas.microsoft.com/office/drawing/2014/chart" uri="{C3380CC4-5D6E-409C-BE32-E72D297353CC}">
              <c16:uniqueId val="{00000002-1C9B-4179-8043-B85CC75F1BED}"/>
            </c:ext>
          </c:extLst>
        </c:ser>
        <c:dLbls>
          <c:dLblPos val="r"/>
          <c:showLegendKey val="0"/>
          <c:showVal val="1"/>
          <c:showCatName val="1"/>
          <c:showSerName val="0"/>
          <c:showPercent val="0"/>
          <c:showBubbleSize val="0"/>
        </c:dLbls>
        <c:axId val="1650813904"/>
        <c:axId val="1650814384"/>
      </c:scatterChart>
      <c:valAx>
        <c:axId val="1650813904"/>
        <c:scaling>
          <c:orientation val="minMax"/>
          <c:max val="48"/>
        </c:scaling>
        <c:delete val="0"/>
        <c:axPos val="b"/>
        <c:title>
          <c:tx>
            <c:rich>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lang="en-US"/>
                  <a:t>TIEMPO (QUINCENAS)</a:t>
                </a:r>
              </a:p>
            </c:rich>
          </c:tx>
          <c:layout>
            <c:manualLayout>
              <c:xMode val="edge"/>
              <c:yMode val="edge"/>
              <c:x val="0.44756311575239544"/>
              <c:y val="0.949112853388133"/>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title>
        <c:numFmt formatCode="General" sourceLinked="1"/>
        <c:majorTickMark val="out"/>
        <c:minorTickMark val="none"/>
        <c:tickLblPos val="low"/>
        <c:spPr>
          <a:noFill/>
          <a:ln w="31750" cap="flat" cmpd="sng" algn="ctr">
            <a:solidFill>
              <a:schemeClr val="bg1">
                <a:lumMod val="50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crossAx val="1650814384"/>
        <c:crosses val="autoZero"/>
        <c:crossBetween val="midCat"/>
      </c:valAx>
      <c:valAx>
        <c:axId val="16508143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r>
                  <a:rPr lang="es-MX"/>
                  <a:t>IMPORTE (PRODUCCION MENOS COSTO)</a:t>
                </a:r>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title>
        <c:numFmt formatCode="_(&quot;$&quot;* #,##0.00_);_(&quot;$&quot;* \(#,##0.00\);_(&quot;$&quot;* &quot;-&quot;??_);_(@_)" sourceLinked="1"/>
        <c:majorTickMark val="out"/>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crossAx val="1650813904"/>
        <c:crosses val="autoZero"/>
        <c:crossBetween val="midCat"/>
      </c:valAx>
      <c:spPr>
        <a:noFill/>
        <a:ln>
          <a:noFill/>
        </a:ln>
        <a:effectLst/>
      </c:spPr>
    </c:plotArea>
    <c:legend>
      <c:legendPos val="r"/>
      <c:layout>
        <c:manualLayout>
          <c:xMode val="edge"/>
          <c:yMode val="edge"/>
          <c:x val="0.86200793130358833"/>
          <c:y val="0.12336785853089778"/>
          <c:w val="0.13799204840585158"/>
          <c:h val="0.12597650394833831"/>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s-MX"/>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lgn="ctr">
        <a:defRPr lang="en-US" sz="900" b="0" i="0" u="none" strike="noStrike" kern="1200" baseline="0">
          <a:solidFill>
            <a:schemeClr val="tx1">
              <a:lumMod val="65000"/>
              <a:lumOff val="35000"/>
            </a:schemeClr>
          </a:solidFill>
          <a:latin typeface="+mn-lt"/>
          <a:ea typeface="+mn-ea"/>
          <a:cs typeface="+mn-cs"/>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MX"/>
              <a:t>RESULTADO</a:t>
            </a:r>
            <a:r>
              <a:rPr lang="es-MX" baseline="0"/>
              <a:t> MENSUAL ACUMULADO (PRODUCCION - COSTO)</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manualLayout>
          <c:layoutTarget val="inner"/>
          <c:xMode val="edge"/>
          <c:yMode val="edge"/>
          <c:x val="7.6031415281320569E-2"/>
          <c:y val="0.29130481032345151"/>
          <c:w val="0.88665990672987982"/>
          <c:h val="0.48113119997652426"/>
        </c:manualLayout>
      </c:layout>
      <c:scatterChart>
        <c:scatterStyle val="smoothMarker"/>
        <c:varyColors val="0"/>
        <c:ser>
          <c:idx val="0"/>
          <c:order val="0"/>
          <c:tx>
            <c:strRef>
              <c:f>Resultado!$B$37</c:f>
              <c:strCache>
                <c:ptCount val="1"/>
                <c:pt idx="0">
                  <c:v>ACUMULADO (PRODUCCION MENOS COSTO)</c:v>
                </c:pt>
              </c:strCache>
            </c:strRef>
          </c:tx>
          <c:spPr>
            <a:ln w="28575" cap="rnd">
              <a:solidFill>
                <a:schemeClr val="accent1"/>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t"/>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trendline>
            <c:spPr>
              <a:ln w="38100" cap="rnd">
                <a:solidFill>
                  <a:schemeClr val="accent1"/>
                </a:solidFill>
                <a:prstDash val="sysDot"/>
              </a:ln>
              <a:effectLst/>
            </c:spPr>
            <c:trendlineType val="linear"/>
            <c:dispRSqr val="0"/>
            <c:dispEq val="0"/>
          </c:trendline>
          <c:xVal>
            <c:strRef>
              <c:f>Resultado!$G$7:$BB$7</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xVal>
          <c:yVal>
            <c:numRef>
              <c:f>Resultado!$G$37:$BB$37</c:f>
              <c:numCache>
                <c:formatCode>_("$"* #,##0.00_);_("$"* \(#,##0.00\);_("$"* "-"??_);_(@_)</c:formatCode>
                <c:ptCount val="48"/>
                <c:pt idx="0">
                  <c:v>0</c:v>
                </c:pt>
                <c:pt idx="1">
                  <c:v>-138564.34639448795</c:v>
                </c:pt>
                <c:pt idx="2">
                  <c:v>-518492.53482844896</c:v>
                </c:pt>
                <c:pt idx="3">
                  <c:v>-1433200.1193139122</c:v>
                </c:pt>
                <c:pt idx="4">
                  <c:v>-468510.84145086328</c:v>
                </c:pt>
                <c:pt idx="5">
                  <c:v>-450730.21882094571</c:v>
                </c:pt>
                <c:pt idx="6">
                  <c:v>-650659.90714883478</c:v>
                </c:pt>
                <c:pt idx="7">
                  <c:v>-323607.67146954138</c:v>
                </c:pt>
                <c:pt idx="8">
                  <c:v>678167.7254960828</c:v>
                </c:pt>
                <c:pt idx="9">
                  <c:v>969939.61095024482</c:v>
                </c:pt>
                <c:pt idx="10">
                  <c:v>2533959.1694866596</c:v>
                </c:pt>
                <c:pt idx="11">
                  <c:v>2389235.3494107057</c:v>
                </c:pt>
                <c:pt idx="12">
                  <c:v>3125973.558364471</c:v>
                </c:pt>
                <c:pt idx="13">
                  <c:v>3046632.0901937508</c:v>
                </c:pt>
                <c:pt idx="14">
                  <c:v>2883540.420877167</c:v>
                </c:pt>
                <c:pt idx="15">
                  <c:v>2879239.569553751</c:v>
                </c:pt>
                <c:pt idx="16">
                  <c:v>2852798.3724389011</c:v>
                </c:pt>
                <c:pt idx="17">
                  <c:v>2852798.3724389011</c:v>
                </c:pt>
                <c:pt idx="18">
                  <c:v>2852798.3724389011</c:v>
                </c:pt>
                <c:pt idx="19">
                  <c:v>2852798.3724389011</c:v>
                </c:pt>
                <c:pt idx="20">
                  <c:v>2852798.3724389011</c:v>
                </c:pt>
                <c:pt idx="21">
                  <c:v>2852798.3724389011</c:v>
                </c:pt>
                <c:pt idx="22">
                  <c:v>2852798.3724389011</c:v>
                </c:pt>
                <c:pt idx="23">
                  <c:v>2852798.3724389011</c:v>
                </c:pt>
                <c:pt idx="24">
                  <c:v>2852798.3724389011</c:v>
                </c:pt>
                <c:pt idx="25">
                  <c:v>2852798.3724389011</c:v>
                </c:pt>
                <c:pt idx="26">
                  <c:v>2852798.3724389011</c:v>
                </c:pt>
                <c:pt idx="27">
                  <c:v>2852798.3724389011</c:v>
                </c:pt>
                <c:pt idx="28">
                  <c:v>2852798.3724389011</c:v>
                </c:pt>
                <c:pt idx="29">
                  <c:v>2852798.3724389011</c:v>
                </c:pt>
                <c:pt idx="30">
                  <c:v>2852798.3724389011</c:v>
                </c:pt>
                <c:pt idx="31">
                  <c:v>2852798.3724389011</c:v>
                </c:pt>
                <c:pt idx="32">
                  <c:v>2852798.3724389011</c:v>
                </c:pt>
                <c:pt idx="33">
                  <c:v>2852798.3724389011</c:v>
                </c:pt>
                <c:pt idx="34">
                  <c:v>2852798.3724389011</c:v>
                </c:pt>
                <c:pt idx="35">
                  <c:v>2852798.3724389011</c:v>
                </c:pt>
                <c:pt idx="36">
                  <c:v>2852798.3724389011</c:v>
                </c:pt>
                <c:pt idx="37">
                  <c:v>2852798.3724389011</c:v>
                </c:pt>
                <c:pt idx="38">
                  <c:v>2852798.3724389011</c:v>
                </c:pt>
                <c:pt idx="39">
                  <c:v>2852798.3724389011</c:v>
                </c:pt>
                <c:pt idx="40">
                  <c:v>2852798.3724389011</c:v>
                </c:pt>
                <c:pt idx="41">
                  <c:v>2852798.3724389011</c:v>
                </c:pt>
                <c:pt idx="42">
                  <c:v>2852798.3724389011</c:v>
                </c:pt>
                <c:pt idx="43">
                  <c:v>2852798.3724389011</c:v>
                </c:pt>
                <c:pt idx="44">
                  <c:v>2852798.3724389011</c:v>
                </c:pt>
                <c:pt idx="45">
                  <c:v>2852798.3724389011</c:v>
                </c:pt>
                <c:pt idx="46">
                  <c:v>2852798.3724389011</c:v>
                </c:pt>
                <c:pt idx="47">
                  <c:v>2852798.3724389011</c:v>
                </c:pt>
              </c:numCache>
            </c:numRef>
          </c:yVal>
          <c:smooth val="1"/>
          <c:extLst>
            <c:ext xmlns:c16="http://schemas.microsoft.com/office/drawing/2014/chart" uri="{C3380CC4-5D6E-409C-BE32-E72D297353CC}">
              <c16:uniqueId val="{00000001-BA25-40DD-9CD9-26B1D43BB2A7}"/>
            </c:ext>
          </c:extLst>
        </c:ser>
        <c:ser>
          <c:idx val="1"/>
          <c:order val="1"/>
          <c:tx>
            <c:strRef>
              <c:f>Resultado!$B$40</c:f>
              <c:strCache>
                <c:ptCount val="1"/>
                <c:pt idx="0">
                  <c:v>ACUMULADO (CERTIFICACION MENOS COSTO)</c:v>
                </c:pt>
              </c:strCache>
            </c:strRef>
          </c:tx>
          <c:spPr>
            <a:ln w="28575" cap="rnd">
              <a:solidFill>
                <a:schemeClr val="accent2"/>
              </a:solidFill>
              <a:round/>
            </a:ln>
            <a:effectLst/>
          </c:spPr>
          <c:marker>
            <c:symbol val="none"/>
          </c:marker>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b"/>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xVal>
            <c:strRef>
              <c:f>Resultado!$G$7:$BB$7</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xVal>
          <c:yVal>
            <c:numRef>
              <c:f>Resultado!$G$40:$BB$40</c:f>
              <c:numCache>
                <c:formatCode>_("$"* #,##0.00_);_("$"* \(#,##0.00\);_("$"* "-"??_);_(@_)</c:formatCode>
                <c:ptCount val="48"/>
                <c:pt idx="0">
                  <c:v>0</c:v>
                </c:pt>
                <c:pt idx="1">
                  <c:v>-138564.34639448795</c:v>
                </c:pt>
                <c:pt idx="2">
                  <c:v>-518492.53482844896</c:v>
                </c:pt>
                <c:pt idx="3">
                  <c:v>174815.85788608756</c:v>
                </c:pt>
                <c:pt idx="4">
                  <c:v>-24066.95525886328</c:v>
                </c:pt>
                <c:pt idx="5">
                  <c:v>-450730.65382094565</c:v>
                </c:pt>
                <c:pt idx="6">
                  <c:v>267433.25785116525</c:v>
                </c:pt>
                <c:pt idx="7">
                  <c:v>495658.71131349762</c:v>
                </c:pt>
                <c:pt idx="8">
                  <c:v>442022.05658312165</c:v>
                </c:pt>
                <c:pt idx="9">
                  <c:v>360769.83043728367</c:v>
                </c:pt>
                <c:pt idx="10">
                  <c:v>735964.36754969857</c:v>
                </c:pt>
                <c:pt idx="11">
                  <c:v>1543994.9474737449</c:v>
                </c:pt>
                <c:pt idx="12">
                  <c:v>3584387.48218751</c:v>
                </c:pt>
                <c:pt idx="13">
                  <c:v>3505046.0140167898</c:v>
                </c:pt>
                <c:pt idx="14">
                  <c:v>3341954.3447002061</c:v>
                </c:pt>
                <c:pt idx="15">
                  <c:v>3337653.4933767901</c:v>
                </c:pt>
                <c:pt idx="16">
                  <c:v>3311212.2962619402</c:v>
                </c:pt>
                <c:pt idx="17">
                  <c:v>3311212.2962619402</c:v>
                </c:pt>
                <c:pt idx="18">
                  <c:v>3311212.2962619402</c:v>
                </c:pt>
                <c:pt idx="19">
                  <c:v>3311212.2962619402</c:v>
                </c:pt>
                <c:pt idx="20">
                  <c:v>3311212.2962619402</c:v>
                </c:pt>
                <c:pt idx="21">
                  <c:v>3311212.2962619402</c:v>
                </c:pt>
                <c:pt idx="22">
                  <c:v>3311212.2962619402</c:v>
                </c:pt>
                <c:pt idx="23">
                  <c:v>3311212.2962619402</c:v>
                </c:pt>
                <c:pt idx="24">
                  <c:v>3311212.2962619402</c:v>
                </c:pt>
                <c:pt idx="25">
                  <c:v>3311212.2962619402</c:v>
                </c:pt>
                <c:pt idx="26">
                  <c:v>3311212.2962619402</c:v>
                </c:pt>
                <c:pt idx="27">
                  <c:v>3311212.2962619402</c:v>
                </c:pt>
                <c:pt idx="28">
                  <c:v>3311212.2962619402</c:v>
                </c:pt>
                <c:pt idx="29">
                  <c:v>3311212.2962619402</c:v>
                </c:pt>
                <c:pt idx="30">
                  <c:v>3311212.2962619402</c:v>
                </c:pt>
                <c:pt idx="31">
                  <c:v>3311212.2962619402</c:v>
                </c:pt>
                <c:pt idx="32">
                  <c:v>3311212.2962619402</c:v>
                </c:pt>
                <c:pt idx="33">
                  <c:v>3311212.2962619402</c:v>
                </c:pt>
                <c:pt idx="34">
                  <c:v>3311212.2962619402</c:v>
                </c:pt>
                <c:pt idx="35">
                  <c:v>3311212.2962619402</c:v>
                </c:pt>
                <c:pt idx="36">
                  <c:v>3311212.2962619402</c:v>
                </c:pt>
                <c:pt idx="37">
                  <c:v>3311212.2962619402</c:v>
                </c:pt>
                <c:pt idx="38">
                  <c:v>3311212.2962619402</c:v>
                </c:pt>
                <c:pt idx="39">
                  <c:v>3311212.2962619402</c:v>
                </c:pt>
                <c:pt idx="40">
                  <c:v>3311212.2962619402</c:v>
                </c:pt>
                <c:pt idx="41">
                  <c:v>3311212.2962619402</c:v>
                </c:pt>
                <c:pt idx="42">
                  <c:v>3311212.2962619402</c:v>
                </c:pt>
                <c:pt idx="43">
                  <c:v>3311212.2962619402</c:v>
                </c:pt>
                <c:pt idx="44">
                  <c:v>3311212.2962619402</c:v>
                </c:pt>
                <c:pt idx="45">
                  <c:v>3311212.2962619402</c:v>
                </c:pt>
                <c:pt idx="46">
                  <c:v>3311212.2962619402</c:v>
                </c:pt>
                <c:pt idx="47">
                  <c:v>3311212.2962619402</c:v>
                </c:pt>
              </c:numCache>
            </c:numRef>
          </c:yVal>
          <c:smooth val="1"/>
          <c:extLst>
            <c:ext xmlns:c16="http://schemas.microsoft.com/office/drawing/2014/chart" uri="{C3380CC4-5D6E-409C-BE32-E72D297353CC}">
              <c16:uniqueId val="{00000001-F048-46CD-B50C-93E4A6AC330D}"/>
            </c:ext>
          </c:extLst>
        </c:ser>
        <c:dLbls>
          <c:dLblPos val="r"/>
          <c:showLegendKey val="0"/>
          <c:showVal val="1"/>
          <c:showCatName val="1"/>
          <c:showSerName val="0"/>
          <c:showPercent val="0"/>
          <c:showBubbleSize val="0"/>
        </c:dLbls>
        <c:axId val="1650813904"/>
        <c:axId val="1650814384"/>
      </c:scatterChart>
      <c:valAx>
        <c:axId val="1650813904"/>
        <c:scaling>
          <c:orientation val="minMax"/>
          <c:max val="48"/>
        </c:scaling>
        <c:delete val="0"/>
        <c:axPos val="b"/>
        <c:title>
          <c:tx>
            <c:rich>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r>
                  <a:rPr lang="en-US" sz="1050"/>
                  <a:t>TIEMPO (QUINCENAS)</a:t>
                </a:r>
              </a:p>
            </c:rich>
          </c:tx>
          <c:layout>
            <c:manualLayout>
              <c:xMode val="edge"/>
              <c:yMode val="edge"/>
              <c:x val="0.44756311575239544"/>
              <c:y val="0.94526102075401108"/>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mn-lt"/>
                  <a:ea typeface="+mn-ea"/>
                  <a:cs typeface="+mn-cs"/>
                </a:defRPr>
              </a:pPr>
              <a:endParaRPr lang="es-MX"/>
            </a:p>
          </c:txPr>
        </c:title>
        <c:numFmt formatCode="General" sourceLinked="1"/>
        <c:majorTickMark val="out"/>
        <c:minorTickMark val="none"/>
        <c:tickLblPos val="low"/>
        <c:spPr>
          <a:noFill/>
          <a:ln w="31750" cap="flat" cmpd="sng" algn="ctr">
            <a:solidFill>
              <a:schemeClr val="bg1">
                <a:lumMod val="50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1650814384"/>
        <c:crosses val="autoZero"/>
        <c:crossBetween val="midCat"/>
      </c:valAx>
      <c:valAx>
        <c:axId val="165081438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MX"/>
                  <a:t>IMPORTE (PRODUCCION MENOS COSTO)</a:t>
                </a:r>
              </a:p>
            </c:rich>
          </c:tx>
          <c:layout>
            <c:manualLayout>
              <c:xMode val="edge"/>
              <c:yMode val="edge"/>
              <c:x val="2.2576839820363525E-2"/>
              <c:y val="0.360240919661656"/>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MX"/>
            </a:p>
          </c:txPr>
        </c:title>
        <c:numFmt formatCode="_(&quot;$&quot;* #,##0.00_);_(&quot;$&quot;* \(#,##0.00\);_(&quot;$&quot;* &quot;-&quot;??_);_(@_)" sourceLinked="1"/>
        <c:majorTickMark val="out"/>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1650813904"/>
        <c:crosses val="autoZero"/>
        <c:crossBetween val="midCat"/>
      </c:valAx>
      <c:spPr>
        <a:noFill/>
        <a:ln>
          <a:noFill/>
        </a:ln>
        <a:effectLst/>
      </c:spPr>
    </c:plotArea>
    <c:legend>
      <c:legendPos val="tr"/>
      <c:layout>
        <c:manualLayout>
          <c:xMode val="edge"/>
          <c:yMode val="edge"/>
          <c:x val="7.6039052886558095E-3"/>
          <c:y val="8.2221904321734852E-3"/>
          <c:w val="0.23141502935832461"/>
          <c:h val="8.29797301758478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PRODUCCION</a:t>
            </a:r>
            <a:r>
              <a:rPr lang="es-MX" baseline="0"/>
              <a:t> Y COSTOS</a:t>
            </a:r>
          </a:p>
          <a:p>
            <a:pPr>
              <a:defRPr/>
            </a:pPr>
            <a:r>
              <a:rPr lang="es-MX" baseline="0"/>
              <a:t>(</a:t>
            </a:r>
            <a:r>
              <a:rPr lang="es-MX"/>
              <a:t>PREVISION vs REAL)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7.642874999999999E-2"/>
          <c:y val="0.10348148148148148"/>
          <c:w val="0.90095671635256946"/>
          <c:h val="0.7039341916183387"/>
        </c:manualLayout>
      </c:layout>
      <c:lineChart>
        <c:grouping val="standard"/>
        <c:varyColors val="0"/>
        <c:ser>
          <c:idx val="0"/>
          <c:order val="0"/>
          <c:tx>
            <c:strRef>
              <c:f>Resultado!$B$177</c:f>
              <c:strCache>
                <c:ptCount val="1"/>
                <c:pt idx="0">
                  <c:v>PRODUCCION PREVISTA ACUMULADA</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cat>
            <c:strRef>
              <c:f>Resultado!$G$175:$BB$175</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cat>
          <c:val>
            <c:numRef>
              <c:f>Resultado!$G$177:$BB$177</c:f>
              <c:numCache>
                <c:formatCode>_("$"* #,##0.00_);_("$"* \(#,##0.00\);_("$"* "-"??_);_(@_)</c:formatCode>
                <c:ptCount val="48"/>
                <c:pt idx="0">
                  <c:v>49092.44816</c:v>
                </c:pt>
                <c:pt idx="1">
                  <c:v>215921.76895999999</c:v>
                </c:pt>
                <c:pt idx="2">
                  <c:v>400278.51993599994</c:v>
                </c:pt>
                <c:pt idx="3">
                  <c:v>574439.04073599994</c:v>
                </c:pt>
                <c:pt idx="4">
                  <c:v>748599.56153599988</c:v>
                </c:pt>
                <c:pt idx="5">
                  <c:v>760957.84193599992</c:v>
                </c:pt>
                <c:pt idx="6">
                  <c:v>760957.84193599992</c:v>
                </c:pt>
                <c:pt idx="7">
                  <c:v>1373309.3139359998</c:v>
                </c:pt>
                <c:pt idx="8">
                  <c:v>1547469.8347359998</c:v>
                </c:pt>
                <c:pt idx="9">
                  <c:v>1717510.9287359999</c:v>
                </c:pt>
                <c:pt idx="10">
                  <c:v>1875151.6552159998</c:v>
                </c:pt>
                <c:pt idx="11">
                  <c:v>1909982.9798559998</c:v>
                </c:pt>
                <c:pt idx="12">
                  <c:v>1909982.9798559998</c:v>
                </c:pt>
                <c:pt idx="13">
                  <c:v>1915235.5832799999</c:v>
                </c:pt>
                <c:pt idx="14">
                  <c:v>2048640.33928</c:v>
                </c:pt>
                <c:pt idx="15">
                  <c:v>2189376.2952800002</c:v>
                </c:pt>
                <c:pt idx="16">
                  <c:v>2330112.2512800004</c:v>
                </c:pt>
                <c:pt idx="17">
                  <c:v>2453814.3659200002</c:v>
                </c:pt>
                <c:pt idx="18">
                  <c:v>2490651.6078000003</c:v>
                </c:pt>
                <c:pt idx="19">
                  <c:v>2490651.6078000003</c:v>
                </c:pt>
                <c:pt idx="20">
                  <c:v>2490651.6078000003</c:v>
                </c:pt>
                <c:pt idx="21">
                  <c:v>2490651.6078000003</c:v>
                </c:pt>
                <c:pt idx="22">
                  <c:v>2490651.6078000003</c:v>
                </c:pt>
                <c:pt idx="23">
                  <c:v>2490651.6078000003</c:v>
                </c:pt>
                <c:pt idx="24">
                  <c:v>2490651.6078000003</c:v>
                </c:pt>
                <c:pt idx="25">
                  <c:v>2490651.6078000003</c:v>
                </c:pt>
                <c:pt idx="26">
                  <c:v>2490651.6078000003</c:v>
                </c:pt>
                <c:pt idx="27">
                  <c:v>2490651.6078000003</c:v>
                </c:pt>
                <c:pt idx="28">
                  <c:v>2490651.6078000003</c:v>
                </c:pt>
                <c:pt idx="29">
                  <c:v>2490651.6078000003</c:v>
                </c:pt>
                <c:pt idx="30">
                  <c:v>2490651.6078000003</c:v>
                </c:pt>
                <c:pt idx="31">
                  <c:v>2490651.6078000003</c:v>
                </c:pt>
                <c:pt idx="32">
                  <c:v>2490651.6078000003</c:v>
                </c:pt>
                <c:pt idx="33">
                  <c:v>2490651.6078000003</c:v>
                </c:pt>
                <c:pt idx="34">
                  <c:v>2490651.6078000003</c:v>
                </c:pt>
                <c:pt idx="35">
                  <c:v>2490651.6078000003</c:v>
                </c:pt>
                <c:pt idx="36">
                  <c:v>2490651.6078000003</c:v>
                </c:pt>
                <c:pt idx="37">
                  <c:v>2490651.6078000003</c:v>
                </c:pt>
                <c:pt idx="38">
                  <c:v>2490651.6078000003</c:v>
                </c:pt>
                <c:pt idx="39">
                  <c:v>2490651.6078000003</c:v>
                </c:pt>
                <c:pt idx="40">
                  <c:v>2490651.6078000003</c:v>
                </c:pt>
                <c:pt idx="41">
                  <c:v>2490651.6078000003</c:v>
                </c:pt>
                <c:pt idx="42">
                  <c:v>2490651.6078000003</c:v>
                </c:pt>
                <c:pt idx="43">
                  <c:v>2490651.6078000003</c:v>
                </c:pt>
                <c:pt idx="44">
                  <c:v>2490651.6078000003</c:v>
                </c:pt>
                <c:pt idx="45">
                  <c:v>2490651.6078000003</c:v>
                </c:pt>
                <c:pt idx="46">
                  <c:v>2490651.6078000003</c:v>
                </c:pt>
                <c:pt idx="47">
                  <c:v>2490651.6078000003</c:v>
                </c:pt>
              </c:numCache>
            </c:numRef>
          </c:val>
          <c:smooth val="1"/>
          <c:extLst>
            <c:ext xmlns:c16="http://schemas.microsoft.com/office/drawing/2014/chart" uri="{C3380CC4-5D6E-409C-BE32-E72D297353CC}">
              <c16:uniqueId val="{00000000-4A48-4AC8-8850-9D2592923B7A}"/>
            </c:ext>
          </c:extLst>
        </c:ser>
        <c:ser>
          <c:idx val="1"/>
          <c:order val="1"/>
          <c:tx>
            <c:strRef>
              <c:f>Resultado!$B$181</c:f>
              <c:strCache>
                <c:ptCount val="1"/>
                <c:pt idx="0">
                  <c:v>PRODUCCION REAL ACUMULADA</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cat>
            <c:strRef>
              <c:f>Resultado!$G$175:$BB$175</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cat>
          <c:val>
            <c:numRef>
              <c:f>Resultado!$G$181:$BB$181</c:f>
              <c:numCache>
                <c:formatCode>_("$"* #,##0.00_);_("$"* \(#,##0.00\);_("$"* "-"??_);_(@_)</c:formatCode>
                <c:ptCount val="48"/>
                <c:pt idx="0">
                  <c:v>0</c:v>
                </c:pt>
                <c:pt idx="1">
                  <c:v>0</c:v>
                </c:pt>
                <c:pt idx="2">
                  <c:v>0</c:v>
                </c:pt>
                <c:pt idx="3">
                  <c:v>0</c:v>
                </c:pt>
                <c:pt idx="4">
                  <c:v>1608016.3354079998</c:v>
                </c:pt>
                <c:pt idx="5">
                  <c:v>2052460.6565999999</c:v>
                </c:pt>
                <c:pt idx="6">
                  <c:v>2052460.6565999999</c:v>
                </c:pt>
                <c:pt idx="7">
                  <c:v>2471840.9202000001</c:v>
                </c:pt>
                <c:pt idx="8">
                  <c:v>3527252.9718960002</c:v>
                </c:pt>
                <c:pt idx="9">
                  <c:v>3900277.0834960002</c:v>
                </c:pt>
                <c:pt idx="10">
                  <c:v>5563997.5673200004</c:v>
                </c:pt>
                <c:pt idx="11">
                  <c:v>5563997.5673200004</c:v>
                </c:pt>
                <c:pt idx="12">
                  <c:v>6386723.4307599999</c:v>
                </c:pt>
                <c:pt idx="13">
                  <c:v>6386723.4307599999</c:v>
                </c:pt>
                <c:pt idx="14">
                  <c:v>6386723.4307599999</c:v>
                </c:pt>
                <c:pt idx="15">
                  <c:v>6386723.4307599999</c:v>
                </c:pt>
                <c:pt idx="16">
                  <c:v>6386723.4307599999</c:v>
                </c:pt>
                <c:pt idx="17">
                  <c:v>6386723.4307599999</c:v>
                </c:pt>
                <c:pt idx="18">
                  <c:v>6386723.4307599999</c:v>
                </c:pt>
                <c:pt idx="19">
                  <c:v>6386723.4307599999</c:v>
                </c:pt>
                <c:pt idx="20">
                  <c:v>6386723.4307599999</c:v>
                </c:pt>
                <c:pt idx="21">
                  <c:v>6386723.4307599999</c:v>
                </c:pt>
                <c:pt idx="22">
                  <c:v>6386723.4307599999</c:v>
                </c:pt>
                <c:pt idx="23">
                  <c:v>6386723.4307599999</c:v>
                </c:pt>
                <c:pt idx="24">
                  <c:v>6386723.4307599999</c:v>
                </c:pt>
                <c:pt idx="25">
                  <c:v>6386723.4307599999</c:v>
                </c:pt>
                <c:pt idx="26">
                  <c:v>6386723.4307599999</c:v>
                </c:pt>
                <c:pt idx="27">
                  <c:v>6386723.4307599999</c:v>
                </c:pt>
                <c:pt idx="28">
                  <c:v>6386723.4307599999</c:v>
                </c:pt>
                <c:pt idx="29">
                  <c:v>6386723.4307599999</c:v>
                </c:pt>
                <c:pt idx="30">
                  <c:v>6386723.4307599999</c:v>
                </c:pt>
                <c:pt idx="31">
                  <c:v>6386723.4307599999</c:v>
                </c:pt>
                <c:pt idx="32">
                  <c:v>6386723.4307599999</c:v>
                </c:pt>
                <c:pt idx="33">
                  <c:v>6386723.4307599999</c:v>
                </c:pt>
                <c:pt idx="34">
                  <c:v>6386723.4307599999</c:v>
                </c:pt>
                <c:pt idx="35">
                  <c:v>6386723.4307599999</c:v>
                </c:pt>
                <c:pt idx="36">
                  <c:v>6386723.4307599999</c:v>
                </c:pt>
                <c:pt idx="37">
                  <c:v>6386723.4307599999</c:v>
                </c:pt>
                <c:pt idx="38">
                  <c:v>6386723.4307599999</c:v>
                </c:pt>
                <c:pt idx="39">
                  <c:v>6386723.4307599999</c:v>
                </c:pt>
                <c:pt idx="40">
                  <c:v>6386723.4307599999</c:v>
                </c:pt>
                <c:pt idx="41">
                  <c:v>6386723.4307599999</c:v>
                </c:pt>
                <c:pt idx="42">
                  <c:v>6386723.4307599999</c:v>
                </c:pt>
                <c:pt idx="43">
                  <c:v>6386723.4307599999</c:v>
                </c:pt>
                <c:pt idx="44">
                  <c:v>6386723.4307599999</c:v>
                </c:pt>
                <c:pt idx="45">
                  <c:v>6386723.4307599999</c:v>
                </c:pt>
                <c:pt idx="46">
                  <c:v>6386723.4307599999</c:v>
                </c:pt>
                <c:pt idx="47">
                  <c:v>6386723.4307599999</c:v>
                </c:pt>
              </c:numCache>
            </c:numRef>
          </c:val>
          <c:smooth val="1"/>
          <c:extLst>
            <c:ext xmlns:c16="http://schemas.microsoft.com/office/drawing/2014/chart" uri="{C3380CC4-5D6E-409C-BE32-E72D297353CC}">
              <c16:uniqueId val="{00000001-4A48-4AC8-8850-9D2592923B7A}"/>
            </c:ext>
          </c:extLst>
        </c:ser>
        <c:ser>
          <c:idx val="2"/>
          <c:order val="2"/>
          <c:tx>
            <c:strRef>
              <c:f>Resultado!$B$186</c:f>
              <c:strCache>
                <c:ptCount val="1"/>
                <c:pt idx="0">
                  <c:v>COSTO PREVISTO ACUMULADO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cat>
            <c:strRef>
              <c:f>Resultado!$G$175:$BB$175</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cat>
          <c:val>
            <c:numRef>
              <c:f>Resultado!$G$186:$BB$186</c:f>
              <c:numCache>
                <c:formatCode>_("$"* #,##0.00_);_("$"* \(#,##0.00\);_("$"* "-"??_);_(@_)</c:formatCode>
                <c:ptCount val="48"/>
                <c:pt idx="0">
                  <c:v>1249872.4103721129</c:v>
                </c:pt>
                <c:pt idx="1">
                  <c:v>1338793.8210268747</c:v>
                </c:pt>
                <c:pt idx="2">
                  <c:v>1457136.1945387796</c:v>
                </c:pt>
                <c:pt idx="3">
                  <c:v>1582233.5051935413</c:v>
                </c:pt>
                <c:pt idx="4">
                  <c:v>1758282.7961454459</c:v>
                </c:pt>
                <c:pt idx="5">
                  <c:v>1847204.206800208</c:v>
                </c:pt>
                <c:pt idx="6">
                  <c:v>2055738.3541216366</c:v>
                </c:pt>
                <c:pt idx="7">
                  <c:v>2483844.6094430648</c:v>
                </c:pt>
                <c:pt idx="8">
                  <c:v>2554728.7567644939</c:v>
                </c:pt>
                <c:pt idx="9">
                  <c:v>2652816.8340859222</c:v>
                </c:pt>
                <c:pt idx="10">
                  <c:v>2723700.9814073509</c:v>
                </c:pt>
                <c:pt idx="11">
                  <c:v>2801182.0457047792</c:v>
                </c:pt>
                <c:pt idx="12">
                  <c:v>2872066.1930262083</c:v>
                </c:pt>
                <c:pt idx="13">
                  <c:v>2895662.1703476366</c:v>
                </c:pt>
                <c:pt idx="14">
                  <c:v>3005851.0873079877</c:v>
                </c:pt>
                <c:pt idx="15">
                  <c:v>3026020.9530222733</c:v>
                </c:pt>
                <c:pt idx="16">
                  <c:v>3082451.9887365592</c:v>
                </c:pt>
                <c:pt idx="17">
                  <c:v>3091594.8544508452</c:v>
                </c:pt>
                <c:pt idx="18">
                  <c:v>3148025.8901651306</c:v>
                </c:pt>
                <c:pt idx="19">
                  <c:v>3198922.1558794165</c:v>
                </c:pt>
                <c:pt idx="20">
                  <c:v>3255353.191593702</c:v>
                </c:pt>
                <c:pt idx="21">
                  <c:v>3264496.0573079875</c:v>
                </c:pt>
                <c:pt idx="22">
                  <c:v>3302551.9858794166</c:v>
                </c:pt>
                <c:pt idx="23">
                  <c:v>3336335.8515937021</c:v>
                </c:pt>
                <c:pt idx="24">
                  <c:v>3469983.9201651299</c:v>
                </c:pt>
                <c:pt idx="25">
                  <c:v>3469983.9201651299</c:v>
                </c:pt>
                <c:pt idx="26">
                  <c:v>3469983.9201651299</c:v>
                </c:pt>
                <c:pt idx="27">
                  <c:v>3469983.9201651299</c:v>
                </c:pt>
                <c:pt idx="28">
                  <c:v>3469983.9201651299</c:v>
                </c:pt>
                <c:pt idx="29">
                  <c:v>3469983.9201651299</c:v>
                </c:pt>
                <c:pt idx="30">
                  <c:v>3469983.9201651299</c:v>
                </c:pt>
                <c:pt idx="31">
                  <c:v>3469983.9201651299</c:v>
                </c:pt>
                <c:pt idx="32">
                  <c:v>3469983.9201651299</c:v>
                </c:pt>
                <c:pt idx="33">
                  <c:v>3469983.9201651299</c:v>
                </c:pt>
                <c:pt idx="34">
                  <c:v>3469983.9201651299</c:v>
                </c:pt>
                <c:pt idx="35">
                  <c:v>3469983.9201651299</c:v>
                </c:pt>
                <c:pt idx="36">
                  <c:v>3469983.9201651299</c:v>
                </c:pt>
                <c:pt idx="37">
                  <c:v>3469983.9201651299</c:v>
                </c:pt>
                <c:pt idx="38">
                  <c:v>3469983.9201651299</c:v>
                </c:pt>
                <c:pt idx="39">
                  <c:v>3469983.9201651299</c:v>
                </c:pt>
                <c:pt idx="40">
                  <c:v>3469983.9201651299</c:v>
                </c:pt>
                <c:pt idx="41">
                  <c:v>3469983.9201651299</c:v>
                </c:pt>
                <c:pt idx="42">
                  <c:v>3469983.9201651299</c:v>
                </c:pt>
                <c:pt idx="43">
                  <c:v>3469983.9201651299</c:v>
                </c:pt>
                <c:pt idx="44">
                  <c:v>3469983.9201651299</c:v>
                </c:pt>
                <c:pt idx="45">
                  <c:v>3469983.9201651299</c:v>
                </c:pt>
                <c:pt idx="46">
                  <c:v>3469983.9201651299</c:v>
                </c:pt>
                <c:pt idx="47">
                  <c:v>3469983.9201651299</c:v>
                </c:pt>
              </c:numCache>
            </c:numRef>
          </c:val>
          <c:smooth val="1"/>
          <c:extLst>
            <c:ext xmlns:c16="http://schemas.microsoft.com/office/drawing/2014/chart" uri="{C3380CC4-5D6E-409C-BE32-E72D297353CC}">
              <c16:uniqueId val="{00000002-4A48-4AC8-8850-9D2592923B7A}"/>
            </c:ext>
          </c:extLst>
        </c:ser>
        <c:ser>
          <c:idx val="3"/>
          <c:order val="3"/>
          <c:tx>
            <c:strRef>
              <c:f>Resultado!$B$191</c:f>
              <c:strCache>
                <c:ptCount val="1"/>
                <c:pt idx="0">
                  <c:v>COSTO REAL ACUMULADO</c:v>
                </c:pt>
              </c:strCache>
            </c:strRef>
          </c:tx>
          <c:spPr>
            <a:ln w="19050" cap="rnd">
              <a:solidFill>
                <a:schemeClr val="accent4"/>
              </a:solidFill>
              <a:round/>
            </a:ln>
            <a:effectLst/>
          </c:spPr>
          <c:marker>
            <c:symbol val="circle"/>
            <c:size val="5"/>
            <c:spPr>
              <a:solidFill>
                <a:schemeClr val="accent2">
                  <a:lumMod val="50000"/>
                </a:schemeClr>
              </a:solidFill>
              <a:ln w="9525">
                <a:solidFill>
                  <a:schemeClr val="accent4"/>
                </a:solidFill>
              </a:ln>
              <a:effectLst/>
            </c:spPr>
          </c:marker>
          <c:cat>
            <c:strRef>
              <c:f>Resultado!$G$175:$BB$175</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cat>
          <c:val>
            <c:numRef>
              <c:f>Resultado!$G$191:$BB$191</c:f>
              <c:numCache>
                <c:formatCode>_("$"* #,##0.00_);_("$"* \(#,##0.00\);_("$"* "-"??_);_(@_)</c:formatCode>
                <c:ptCount val="48"/>
                <c:pt idx="0">
                  <c:v>0</c:v>
                </c:pt>
                <c:pt idx="1">
                  <c:v>138564.34639448795</c:v>
                </c:pt>
                <c:pt idx="2">
                  <c:v>518492.5348284489</c:v>
                </c:pt>
                <c:pt idx="3">
                  <c:v>1433200.1193139125</c:v>
                </c:pt>
                <c:pt idx="4">
                  <c:v>2076527.1768588633</c:v>
                </c:pt>
                <c:pt idx="5">
                  <c:v>2503190.8754209457</c:v>
                </c:pt>
                <c:pt idx="6">
                  <c:v>2703120.5637488347</c:v>
                </c:pt>
                <c:pt idx="7">
                  <c:v>2795448.5916695418</c:v>
                </c:pt>
                <c:pt idx="8">
                  <c:v>2849085.2463999176</c:v>
                </c:pt>
                <c:pt idx="9">
                  <c:v>2930337.4725457556</c:v>
                </c:pt>
                <c:pt idx="10">
                  <c:v>3030038.3978333408</c:v>
                </c:pt>
                <c:pt idx="11">
                  <c:v>3174762.2179092942</c:v>
                </c:pt>
                <c:pt idx="12">
                  <c:v>3260749.8723955294</c:v>
                </c:pt>
                <c:pt idx="13">
                  <c:v>3340091.3405662491</c:v>
                </c:pt>
                <c:pt idx="14">
                  <c:v>3503183.0098828329</c:v>
                </c:pt>
                <c:pt idx="15">
                  <c:v>3507483.8612062493</c:v>
                </c:pt>
                <c:pt idx="16">
                  <c:v>3533925.0583210993</c:v>
                </c:pt>
                <c:pt idx="17">
                  <c:v>3533925.0583210993</c:v>
                </c:pt>
                <c:pt idx="18">
                  <c:v>3533925.0583210993</c:v>
                </c:pt>
                <c:pt idx="19">
                  <c:v>3533925.0583210993</c:v>
                </c:pt>
                <c:pt idx="20">
                  <c:v>3533925.0583210993</c:v>
                </c:pt>
                <c:pt idx="21">
                  <c:v>3533925.0583210993</c:v>
                </c:pt>
                <c:pt idx="22">
                  <c:v>3533925.0583210993</c:v>
                </c:pt>
                <c:pt idx="23">
                  <c:v>3533925.0583210993</c:v>
                </c:pt>
                <c:pt idx="24">
                  <c:v>3533925.0583210993</c:v>
                </c:pt>
                <c:pt idx="25">
                  <c:v>3533925.0583210993</c:v>
                </c:pt>
                <c:pt idx="26">
                  <c:v>3533925.0583210993</c:v>
                </c:pt>
                <c:pt idx="27">
                  <c:v>3533925.0583210993</c:v>
                </c:pt>
                <c:pt idx="28">
                  <c:v>3533925.0583210993</c:v>
                </c:pt>
                <c:pt idx="29">
                  <c:v>3533925.0583210993</c:v>
                </c:pt>
                <c:pt idx="30">
                  <c:v>3533925.0583210993</c:v>
                </c:pt>
                <c:pt idx="31">
                  <c:v>3533925.0583210993</c:v>
                </c:pt>
                <c:pt idx="32">
                  <c:v>3533925.0583210993</c:v>
                </c:pt>
                <c:pt idx="33">
                  <c:v>3533925.0583210993</c:v>
                </c:pt>
                <c:pt idx="34">
                  <c:v>3533925.0583210993</c:v>
                </c:pt>
                <c:pt idx="35">
                  <c:v>3533925.0583210993</c:v>
                </c:pt>
                <c:pt idx="36">
                  <c:v>3533925.0583210993</c:v>
                </c:pt>
                <c:pt idx="37">
                  <c:v>3533925.0583210993</c:v>
                </c:pt>
                <c:pt idx="38">
                  <c:v>3533925.0583210993</c:v>
                </c:pt>
                <c:pt idx="39">
                  <c:v>3533925.0583210993</c:v>
                </c:pt>
                <c:pt idx="40">
                  <c:v>3533925.0583210993</c:v>
                </c:pt>
                <c:pt idx="41">
                  <c:v>3533925.0583210993</c:v>
                </c:pt>
                <c:pt idx="42">
                  <c:v>3533925.0583210993</c:v>
                </c:pt>
                <c:pt idx="43">
                  <c:v>3533925.0583210993</c:v>
                </c:pt>
                <c:pt idx="44">
                  <c:v>3533925.0583210993</c:v>
                </c:pt>
                <c:pt idx="45">
                  <c:v>3533925.0583210993</c:v>
                </c:pt>
                <c:pt idx="46">
                  <c:v>3533925.0583210993</c:v>
                </c:pt>
                <c:pt idx="47">
                  <c:v>3533925.0583210993</c:v>
                </c:pt>
              </c:numCache>
            </c:numRef>
          </c:val>
          <c:smooth val="1"/>
          <c:extLst>
            <c:ext xmlns:c16="http://schemas.microsoft.com/office/drawing/2014/chart" uri="{C3380CC4-5D6E-409C-BE32-E72D297353CC}">
              <c16:uniqueId val="{00000003-4A48-4AC8-8850-9D2592923B7A}"/>
            </c:ext>
          </c:extLst>
        </c:ser>
        <c:ser>
          <c:idx val="4"/>
          <c:order val="4"/>
          <c:tx>
            <c:strRef>
              <c:f>Resultado!$B$179</c:f>
              <c:strCache>
                <c:ptCount val="1"/>
                <c:pt idx="0">
                  <c:v>CERTIFICACION ACUMULADA</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cat>
            <c:strRef>
              <c:f>Resultado!$G$175:$BB$175</c:f>
              <c:strCache>
                <c:ptCount val="48"/>
                <c:pt idx="0">
                  <c:v>JUN 2025 Q1</c:v>
                </c:pt>
                <c:pt idx="1">
                  <c:v>JUN 2025 Q2</c:v>
                </c:pt>
                <c:pt idx="2">
                  <c:v>JUL 2025 Q1</c:v>
                </c:pt>
                <c:pt idx="3">
                  <c:v>JUL 2025 Q2</c:v>
                </c:pt>
                <c:pt idx="4">
                  <c:v>AGO 2025 Q1</c:v>
                </c:pt>
                <c:pt idx="5">
                  <c:v>AGO 2025 Q2</c:v>
                </c:pt>
                <c:pt idx="6">
                  <c:v>SEP 2025 Q1</c:v>
                </c:pt>
                <c:pt idx="7">
                  <c:v>SEP 2025 Q2</c:v>
                </c:pt>
                <c:pt idx="8">
                  <c:v>OCT 2025 Q1</c:v>
                </c:pt>
                <c:pt idx="9">
                  <c:v>OCT 2025 Q2</c:v>
                </c:pt>
                <c:pt idx="10">
                  <c:v>NOV 2025 Q1</c:v>
                </c:pt>
                <c:pt idx="11">
                  <c:v>NOV 2025 Q2</c:v>
                </c:pt>
                <c:pt idx="12">
                  <c:v>DIC 2025 Q1</c:v>
                </c:pt>
                <c:pt idx="13">
                  <c:v>DIC 2025 Q2</c:v>
                </c:pt>
                <c:pt idx="14">
                  <c:v>ENE 2026 Q1</c:v>
                </c:pt>
                <c:pt idx="15">
                  <c:v>ENE 2026 Q2</c:v>
                </c:pt>
                <c:pt idx="16">
                  <c:v>FEB 2026 Q1</c:v>
                </c:pt>
                <c:pt idx="17">
                  <c:v>FEB 2026 Q2</c:v>
                </c:pt>
                <c:pt idx="18">
                  <c:v>MAR 2026 Q1</c:v>
                </c:pt>
                <c:pt idx="19">
                  <c:v>MAR 2026 Q2</c:v>
                </c:pt>
                <c:pt idx="20">
                  <c:v>ABR 2026 Q1</c:v>
                </c:pt>
                <c:pt idx="21">
                  <c:v>ABR 2026 Q2</c:v>
                </c:pt>
                <c:pt idx="22">
                  <c:v>MAY 2026 Q1</c:v>
                </c:pt>
                <c:pt idx="23">
                  <c:v>MAY 2026 Q2</c:v>
                </c:pt>
                <c:pt idx="24">
                  <c:v>JUN 2026 Q1</c:v>
                </c:pt>
                <c:pt idx="25">
                  <c:v>JUN 2026 Q2</c:v>
                </c:pt>
                <c:pt idx="26">
                  <c:v>JUL 2026 Q1</c:v>
                </c:pt>
                <c:pt idx="27">
                  <c:v>JUL 2026 Q2</c:v>
                </c:pt>
                <c:pt idx="28">
                  <c:v>AGO 2026 Q1</c:v>
                </c:pt>
                <c:pt idx="29">
                  <c:v>AGO 2026 Q2</c:v>
                </c:pt>
                <c:pt idx="30">
                  <c:v>SEP 2026 Q1</c:v>
                </c:pt>
                <c:pt idx="31">
                  <c:v>SEP 2026 Q2</c:v>
                </c:pt>
                <c:pt idx="32">
                  <c:v>OCT 2026 Q1</c:v>
                </c:pt>
                <c:pt idx="33">
                  <c:v>OCT 2026 Q2</c:v>
                </c:pt>
                <c:pt idx="34">
                  <c:v>NOV 2026 Q1</c:v>
                </c:pt>
                <c:pt idx="35">
                  <c:v>NOV 2026 Q2</c:v>
                </c:pt>
                <c:pt idx="36">
                  <c:v>DIC 2026 Q1</c:v>
                </c:pt>
                <c:pt idx="37">
                  <c:v>DIC 2026 Q2</c:v>
                </c:pt>
                <c:pt idx="38">
                  <c:v>ENE 2027 Q1</c:v>
                </c:pt>
                <c:pt idx="39">
                  <c:v>ENE 2027 Q2</c:v>
                </c:pt>
                <c:pt idx="40">
                  <c:v>FEB 2027 Q1</c:v>
                </c:pt>
                <c:pt idx="41">
                  <c:v>FEB 2027 Q2</c:v>
                </c:pt>
                <c:pt idx="42">
                  <c:v>MAR 2027 Q1</c:v>
                </c:pt>
                <c:pt idx="43">
                  <c:v>MAR 2027 Q2</c:v>
                </c:pt>
                <c:pt idx="44">
                  <c:v>ABR 2027 Q1</c:v>
                </c:pt>
                <c:pt idx="45">
                  <c:v>ABR 2027 Q2</c:v>
                </c:pt>
                <c:pt idx="46">
                  <c:v>MAY 2027 Q1</c:v>
                </c:pt>
                <c:pt idx="47">
                  <c:v>MAY 2027 Q2</c:v>
                </c:pt>
              </c:strCache>
            </c:strRef>
          </c:cat>
          <c:val>
            <c:numRef>
              <c:f>Resultado!$G$179:$BB$179</c:f>
              <c:numCache>
                <c:formatCode>_("$"* #,##0.00_);_("$"* \(#,##0.00\);_("$"* "-"??_);_(@_)</c:formatCode>
                <c:ptCount val="48"/>
                <c:pt idx="0">
                  <c:v>0</c:v>
                </c:pt>
                <c:pt idx="1">
                  <c:v>0</c:v>
                </c:pt>
                <c:pt idx="2">
                  <c:v>0</c:v>
                </c:pt>
                <c:pt idx="3">
                  <c:v>1608015.9771999998</c:v>
                </c:pt>
                <c:pt idx="4">
                  <c:v>444444.24440000003</c:v>
                </c:pt>
                <c:pt idx="5">
                  <c:v>0</c:v>
                </c:pt>
                <c:pt idx="6">
                  <c:v>918093.6</c:v>
                </c:pt>
                <c:pt idx="7">
                  <c:v>320553.48138303898</c:v>
                </c:pt>
                <c:pt idx="8">
                  <c:v>0</c:v>
                </c:pt>
                <c:pt idx="9">
                  <c:v>0</c:v>
                </c:pt>
                <c:pt idx="10">
                  <c:v>474895.46240000002</c:v>
                </c:pt>
                <c:pt idx="11">
                  <c:v>952754.4</c:v>
                </c:pt>
                <c:pt idx="12">
                  <c:v>2126380.1891999999</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0-4A6A-4281-9FD1-9ABBDA413756}"/>
            </c:ext>
          </c:extLst>
        </c:ser>
        <c:dLbls>
          <c:showLegendKey val="0"/>
          <c:showVal val="0"/>
          <c:showCatName val="0"/>
          <c:showSerName val="0"/>
          <c:showPercent val="0"/>
          <c:showBubbleSize val="0"/>
        </c:dLbls>
        <c:marker val="1"/>
        <c:smooth val="0"/>
        <c:axId val="93426112"/>
        <c:axId val="93428992"/>
      </c:lineChart>
      <c:catAx>
        <c:axId val="93426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3428992"/>
        <c:crosses val="autoZero"/>
        <c:auto val="1"/>
        <c:lblAlgn val="ctr"/>
        <c:lblOffset val="100"/>
        <c:noMultiLvlLbl val="0"/>
      </c:catAx>
      <c:valAx>
        <c:axId val="934289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3426112"/>
        <c:crossesAt val="1"/>
        <c:crossBetween val="between"/>
      </c:valAx>
      <c:spPr>
        <a:noFill/>
        <a:ln>
          <a:noFill/>
        </a:ln>
        <a:effectLst/>
      </c:spPr>
    </c:plotArea>
    <c:legend>
      <c:legendPos val="b"/>
      <c:layout>
        <c:manualLayout>
          <c:xMode val="edge"/>
          <c:yMode val="edge"/>
          <c:x val="0.10429630254869249"/>
          <c:y val="0.95303101731186957"/>
          <c:w val="0.83940612186342445"/>
          <c:h val="4.199216798277943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783209</xdr:colOff>
      <xdr:row>0</xdr:row>
      <xdr:rowOff>52917</xdr:rowOff>
    </xdr:from>
    <xdr:ext cx="607590" cy="825501"/>
    <xdr:pic>
      <xdr:nvPicPr>
        <xdr:cNvPr id="2" name="Imagen 1">
          <a:extLst>
            <a:ext uri="{FF2B5EF4-FFF2-40B4-BE49-F238E27FC236}">
              <a16:creationId xmlns:a16="http://schemas.microsoft.com/office/drawing/2014/main" id="{92FFF237-0033-4620-ADE3-F352B20E4E2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89659" y="52917"/>
          <a:ext cx="607590" cy="82550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1</xdr:col>
      <xdr:colOff>179556</xdr:colOff>
      <xdr:row>1</xdr:row>
      <xdr:rowOff>4078</xdr:rowOff>
    </xdr:from>
    <xdr:to>
      <xdr:col>1</xdr:col>
      <xdr:colOff>684210</xdr:colOff>
      <xdr:row>4</xdr:row>
      <xdr:rowOff>131725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6556" y="91391"/>
          <a:ext cx="504654" cy="662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132715</xdr:colOff>
      <xdr:row>1</xdr:row>
      <xdr:rowOff>146050</xdr:rowOff>
    </xdr:from>
    <xdr:to>
      <xdr:col>3</xdr:col>
      <xdr:colOff>564</xdr:colOff>
      <xdr:row>4</xdr:row>
      <xdr:rowOff>130086</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6595" y="328930"/>
          <a:ext cx="749937" cy="9670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64901</xdr:colOff>
      <xdr:row>0</xdr:row>
      <xdr:rowOff>162882</xdr:rowOff>
    </xdr:from>
    <xdr:to>
      <xdr:col>3</xdr:col>
      <xdr:colOff>32275</xdr:colOff>
      <xdr:row>5</xdr:row>
      <xdr:rowOff>54750</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2901" y="162882"/>
          <a:ext cx="785465" cy="10628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215015</xdr:colOff>
      <xdr:row>0</xdr:row>
      <xdr:rowOff>119361</xdr:rowOff>
    </xdr:from>
    <xdr:to>
      <xdr:col>1</xdr:col>
      <xdr:colOff>897607</xdr:colOff>
      <xdr:row>3</xdr:row>
      <xdr:rowOff>116207</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9865" y="119361"/>
          <a:ext cx="682592" cy="91124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90656</xdr:colOff>
      <xdr:row>1</xdr:row>
      <xdr:rowOff>112028</xdr:rowOff>
    </xdr:from>
    <xdr:to>
      <xdr:col>1</xdr:col>
      <xdr:colOff>514464</xdr:colOff>
      <xdr:row>8</xdr:row>
      <xdr:rowOff>17781</xdr:rowOff>
    </xdr:to>
    <xdr:pic>
      <xdr:nvPicPr>
        <xdr:cNvPr id="2" name="Imagen 1">
          <a:extLst>
            <a:ext uri="{FF2B5EF4-FFF2-40B4-BE49-F238E27FC236}">
              <a16:creationId xmlns:a16="http://schemas.microsoft.com/office/drawing/2014/main" id="{38C6D786-78F6-4443-86FB-6AF46B1D8A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9556" y="150128"/>
          <a:ext cx="440953" cy="6499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309562</xdr:colOff>
      <xdr:row>0</xdr:row>
      <xdr:rowOff>174278</xdr:rowOff>
    </xdr:from>
    <xdr:to>
      <xdr:col>1</xdr:col>
      <xdr:colOff>1046903</xdr:colOff>
      <xdr:row>5</xdr:row>
      <xdr:rowOff>171558</xdr:rowOff>
    </xdr:to>
    <xdr:pic>
      <xdr:nvPicPr>
        <xdr:cNvPr id="2" name="Imagen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8156" y="174278"/>
          <a:ext cx="737341" cy="1033938"/>
        </a:xfrm>
        <a:prstGeom prst="rect">
          <a:avLst/>
        </a:prstGeom>
      </xdr:spPr>
    </xdr:pic>
    <xdr:clientData/>
  </xdr:twoCellAnchor>
  <xdr:twoCellAnchor>
    <xdr:from>
      <xdr:col>1</xdr:col>
      <xdr:colOff>617113</xdr:colOff>
      <xdr:row>44</xdr:row>
      <xdr:rowOff>79375</xdr:rowOff>
    </xdr:from>
    <xdr:to>
      <xdr:col>14</xdr:col>
      <xdr:colOff>437513</xdr:colOff>
      <xdr:row>74</xdr:row>
      <xdr:rowOff>10582</xdr:rowOff>
    </xdr:to>
    <xdr:graphicFrame macro="">
      <xdr:nvGraphicFramePr>
        <xdr:cNvPr id="4" name="Gráfico 3">
          <a:extLst>
            <a:ext uri="{FF2B5EF4-FFF2-40B4-BE49-F238E27FC236}">
              <a16:creationId xmlns:a16="http://schemas.microsoft.com/office/drawing/2014/main" id="{69965FE2-74AF-EC2C-1988-1424FEFAA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617588</xdr:colOff>
      <xdr:row>77</xdr:row>
      <xdr:rowOff>59843</xdr:rowOff>
    </xdr:from>
    <xdr:to>
      <xdr:col>14</xdr:col>
      <xdr:colOff>437988</xdr:colOff>
      <xdr:row>105</xdr:row>
      <xdr:rowOff>125843</xdr:rowOff>
    </xdr:to>
    <xdr:graphicFrame macro="">
      <xdr:nvGraphicFramePr>
        <xdr:cNvPr id="6" name="Gráfico 4">
          <a:extLst>
            <a:ext uri="{FF2B5EF4-FFF2-40B4-BE49-F238E27FC236}">
              <a16:creationId xmlns:a16="http://schemas.microsoft.com/office/drawing/2014/main" id="{21A7ED51-6555-C835-8817-165A83D510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617113</xdr:colOff>
      <xdr:row>110</xdr:row>
      <xdr:rowOff>40310</xdr:rowOff>
    </xdr:from>
    <xdr:to>
      <xdr:col>14</xdr:col>
      <xdr:colOff>437513</xdr:colOff>
      <xdr:row>140</xdr:row>
      <xdr:rowOff>95250</xdr:rowOff>
    </xdr:to>
    <xdr:graphicFrame macro="">
      <xdr:nvGraphicFramePr>
        <xdr:cNvPr id="8" name="Gráfico 5">
          <a:extLst>
            <a:ext uri="{FF2B5EF4-FFF2-40B4-BE49-F238E27FC236}">
              <a16:creationId xmlns:a16="http://schemas.microsoft.com/office/drawing/2014/main" id="{C9C988C0-139F-4F30-B7EF-601078D8FA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617588</xdr:colOff>
      <xdr:row>143</xdr:row>
      <xdr:rowOff>19050</xdr:rowOff>
    </xdr:from>
    <xdr:to>
      <xdr:col>14</xdr:col>
      <xdr:colOff>437988</xdr:colOff>
      <xdr:row>171</xdr:row>
      <xdr:rowOff>85050</xdr:rowOff>
    </xdr:to>
    <xdr:graphicFrame macro="">
      <xdr:nvGraphicFramePr>
        <xdr:cNvPr id="5" name="Gráfico 6">
          <a:extLst>
            <a:ext uri="{FF2B5EF4-FFF2-40B4-BE49-F238E27FC236}">
              <a16:creationId xmlns:a16="http://schemas.microsoft.com/office/drawing/2014/main" id="{3C254234-F176-0BC2-ADAC-3EF8DEED16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68E01EA-2DED-45B5-906E-BED18D05F7BF}">
    <nsvFilter filterId="{A0EE5FBE-B959-4A24-94AB-1FF819B1ABD4}" ref="B11:AB3751" tableId="1">
      <sortRules>
        <sortRule colId="16" id="{101C339A-61AC-4054-8610-8E61C5CB4A78}">
          <sortCondition ref="R11:R3751"/>
        </sortRule>
      </sortRules>
    </nsvFilter>
  </namedSheetView>
  <namedSheetView name="Vista 2" id="{C7199ED4-B5F4-48E5-9D9E-5305655D5B6E}">
    <nsvFilter filterId="{A0EE5FBE-B959-4A24-94AB-1FF819B1ABD4}" ref="B11:AB3751" tableId="1"/>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sta 1" id="{C0C5D2E9-56A1-46CD-A117-A2BCCB9899EE}">
    <nsvFilter filterId="{7EFA5E3E-E341-4561-B788-FF98419109F5}" ref="D3:E303" tableId="3"/>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EE5FBE-B959-4A24-94AB-1FF819B1ABD4}" name="Imput" displayName="Imput" ref="B11:AB3751" totalsRowShown="0" headerRowDxfId="88" dataDxfId="86" headerRowBorderDxfId="87" tableBorderDxfId="85" headerRowCellStyle="Normal 10 2 3" dataCellStyle="Moneda">
  <autoFilter ref="B11:AB3751" xr:uid="{A0EE5FBE-B959-4A24-94AB-1FF819B1ABD4}"/>
  <tableColumns count="27">
    <tableColumn id="1" xr3:uid="{8CDD5CDF-FCAE-40A6-89B0-EF0D08EC21A6}" name="PERIODO Imp." dataDxfId="84" dataCellStyle="Moneda"/>
    <tableColumn id="2" xr3:uid="{F66426AE-2593-4778-9363-9D9BC7F73998}" name="C. Imp." dataDxfId="83" dataCellStyle="Moneda"/>
    <tableColumn id="3" xr3:uid="{6F3FA7C8-1058-47FB-A4A5-7C9ADF248D62}" name="RFC" dataDxfId="82" dataCellStyle="Moneda"/>
    <tableColumn id="4" xr3:uid="{C66DCC15-D31F-4EBD-A3A2-1DA76BBFA581}" name="RAZON SOCIAL" dataDxfId="81" dataCellStyle="Moneda">
      <calculatedColumnFormula>IFERROR(IF(_xlfn.XLOOKUP(Imput[[#This Row],[RFC]],'Alta Proveedor'!D:D,'Alta Proveedor'!E:E)=0,"",_xlfn.XLOOKUP(Imput[[#This Row],[RFC]],'Alta Proveedor'!D:D,'Alta Proveedor'!E:E)),"")</calculatedColumnFormula>
    </tableColumn>
    <tableColumn id="5" xr3:uid="{813D84C8-34FA-4FD1-B820-BE8BE6E9794D}" name="Descripcion concepto" dataDxfId="80" dataCellStyle="Moneda"/>
    <tableColumn id="6" xr3:uid="{8B8A3258-7D61-4CEE-8577-833351C578E2}" name="Cantidad" dataDxfId="79" dataCellStyle="Moneda"/>
    <tableColumn id="7" xr3:uid="{D4EABF54-64DD-4D2D-BF49-51771E241CD9}" name="Precio Unitario" dataDxfId="78" dataCellStyle="Moneda"/>
    <tableColumn id="8" xr3:uid="{16C908CB-CAC1-4EBD-A464-413F395B8737}" name="Sub total" dataDxfId="77" dataCellStyle="Moneda">
      <calculatedColumnFormula>Imput[[#This Row],[Cantidad]]*Imput[[#This Row],[Precio Unitario]]</calculatedColumnFormula>
    </tableColumn>
    <tableColumn id="17" xr3:uid="{82EFFCA0-0E34-4BCD-BB82-E5202036B135}" name="IVA" dataDxfId="76" dataCellStyle="Moneda">
      <calculatedColumnFormula>Imput[[#This Row],[Sub total]]*0.16</calculatedColumnFormula>
    </tableColumn>
    <tableColumn id="18" xr3:uid="{C3E77D51-E97F-4149-804D-CDA8773902E9}" name="Retención / IEPS / Descuento" dataDxfId="75" dataCellStyle="Moneda"/>
    <tableColumn id="12" xr3:uid="{5DDF0D13-F57E-4FF2-A171-50ACA71A29AC}" name="Importe Neto" dataDxfId="74" dataCellStyle="Moneda">
      <calculatedColumnFormula>Imput[[#This Row],[Sub total]]+Imput[[#This Row],[IVA]]-Imput[[#This Row],[Retención / IEPS / Descuento]]</calculatedColumnFormula>
    </tableColumn>
    <tableColumn id="28" xr3:uid="{4C3385E1-3036-4804-BC18-3E0E59CD5045}" name="Columna8" dataDxfId="73" dataCellStyle="Moneda"/>
    <tableColumn id="19" xr3:uid="{E606D9F8-FFC6-49DE-860C-7A51C1F23BD8}" name="Documento" dataDxfId="72" dataCellStyle="Moneda"/>
    <tableColumn id="25" xr3:uid="{CB76B1AC-1F24-4DCC-ADD3-DD42271B47F9}" name="Tipo de Cambio USD" dataDxfId="71" dataCellStyle="Moneda"/>
    <tableColumn id="14" xr3:uid="{77978D2C-87D2-4DD0-A3B6-C0CE847CD0F9}" name="Folio (UUID)" dataDxfId="70" dataCellStyle="Moneda"/>
    <tableColumn id="11" xr3:uid="{DDBC4101-2020-4369-A4D5-1EF2641EAF1E}" name="Folio" dataDxfId="69" dataCellStyle="Moneda"/>
    <tableColumn id="9" xr3:uid="{101C339A-61AC-4054-8610-8E61C5CB4A78}" name="Fecha" dataDxfId="68" dataCellStyle="Moneda"/>
    <tableColumn id="13" xr3:uid="{260ECC81-BA8C-4437-9342-640A49747628}" name="Tipo de Pago" dataDxfId="67" dataCellStyle="Moneda"/>
    <tableColumn id="16" xr3:uid="{C9C809B3-275C-43D7-97D5-9482CF03D98F}" name="Estatus de Pago" dataDxfId="66" dataCellStyle="Moneda"/>
    <tableColumn id="22" xr3:uid="{45EBC519-4EA0-4AFF-B77B-7BA27762C1D2}" name="CHEK LIST" dataDxfId="65" dataCellStyle="Moneda"/>
    <tableColumn id="24" xr3:uid="{C9E29275-87A4-4E21-A279-AC44F7AF0384}" name="Columna5" dataDxfId="64" dataCellStyle="Moneda"/>
    <tableColumn id="26" xr3:uid="{2D73148A-782A-4883-B77E-CBECB87CF0C4}" name="Columna6" dataDxfId="63" dataCellStyle="Moneda"/>
    <tableColumn id="27" xr3:uid="{44C2A23E-EDC7-48DB-AAC8-627E0EFF2193}" name="Columna7" dataDxfId="62" dataCellStyle="Moneda"/>
    <tableColumn id="23" xr3:uid="{A0745F01-9B60-4742-AB5F-B89BEAF867FA}" name="Columna3" dataDxfId="61" dataCellStyle="Moneda"/>
    <tableColumn id="10" xr3:uid="{8B985C7F-D34E-4900-BDAC-BACE86336EC7}" name="Observaciones" dataDxfId="60" dataCellStyle="Moneda"/>
    <tableColumn id="20" xr3:uid="{B6C564BE-2F0A-4718-8DD4-31A002384A58}" name="Columna1" dataDxfId="59" dataCellStyle="Moneda"/>
    <tableColumn id="15" xr3:uid="{CA8F275A-E5F3-4E36-ADAF-0D071EF8ABF0}" name="Columna2" dataDxfId="58" dataCellStyle="Moned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FA5E3E-E341-4561-B788-FF98419109F5}" name="Alta_Proveedores" displayName="Alta_Proveedores" ref="D3:E303" totalsRowShown="0" headerRowDxfId="57" dataDxfId="56" tableBorderDxfId="55">
  <autoFilter ref="D3:E303" xr:uid="{7EFA5E3E-E341-4561-B788-FF98419109F5}"/>
  <sortState xmlns:xlrd2="http://schemas.microsoft.com/office/spreadsheetml/2017/richdata2" ref="D4:E303">
    <sortCondition ref="E3:E303"/>
  </sortState>
  <tableColumns count="2">
    <tableColumn id="1" xr3:uid="{A6D53C9A-F860-4298-A391-E670588AF991}" name="RFC" dataDxfId="54"/>
    <tableColumn id="2" xr3:uid="{52996087-F823-49F8-81B0-04BE97C26CFE}" name="RAZON SOCIAL"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61C1F77-E4C6-4D7A-9402-15E00FFDE6A6}" name="Tabla3" displayName="Tabla3" ref="G4:H950" totalsRowShown="0" headerRowDxfId="52" headerRowBorderDxfId="51" tableBorderDxfId="50">
  <autoFilter ref="G4:H950" xr:uid="{461C1F77-E4C6-4D7A-9402-15E00FFDE6A6}"/>
  <tableColumns count="2">
    <tableColumn id="1" xr3:uid="{564E5887-EFC2-4F09-B520-CB8631B8ED1E}" name="C. Imp." dataDxfId="49"/>
    <tableColumn id="2" xr3:uid="{ABFCAA2A-248E-46FA-9EB5-5AC264E3DC67}" name="Familia" dataDxfId="4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63437F-6B3E-4AAB-9B5B-666E697C4218}" name="Certificacion" displayName="Certificacion" ref="B14:S95" totalsRowShown="0" headerRowDxfId="47" dataDxfId="45" headerRowBorderDxfId="46" tableBorderDxfId="44" headerRowCellStyle="Normal 10 2 3">
  <autoFilter ref="B14:S95" xr:uid="{8B63437F-6B3E-4AAB-9B5B-666E697C4218}"/>
  <sortState xmlns:xlrd2="http://schemas.microsoft.com/office/spreadsheetml/2017/richdata2" ref="B15:S95">
    <sortCondition ref="B14:B95"/>
  </sortState>
  <tableColumns count="18">
    <tableColumn id="1" xr3:uid="{5AE5AF4E-82F8-42CB-9E3A-70CF301B34D3}" name="FACTURA No." dataDxfId="43" dataCellStyle="Moneda"/>
    <tableColumn id="14" xr3:uid="{1936BBDE-2392-45FE-8DD3-336A3D462DBB}" name="FECHA FACTURA" dataDxfId="42" dataCellStyle="Moneda"/>
    <tableColumn id="18" xr3:uid="{B5ADD0C2-69BF-4ECF-BFD1-8FCE7136D83B}" name="PERIODO_x000a_Imp." dataDxfId="41" dataCellStyle="Moneda"/>
    <tableColumn id="13" xr3:uid="{87CD5382-FFE3-4760-99D0-E215462E2530}" name="APLICA" dataDxfId="40" dataCellStyle="Moneda"/>
    <tableColumn id="2" xr3:uid="{5A36948B-6E72-440F-9C7F-08DD2B77CC82}" name="PERIODO DE ESTIMACIÓN" dataDxfId="39" dataCellStyle="Moneda"/>
    <tableColumn id="3" xr3:uid="{4E2F961A-02DC-40FC-9E91-0935C928300E}" name="IMPORTE" dataDxfId="38" dataCellStyle="Moneda"/>
    <tableColumn id="17" xr3:uid="{20AB53A2-3BBC-45A1-8DC6-E7DA87829F7E}" name="ANTICIPO" dataDxfId="37" dataCellStyle="Moneda"/>
    <tableColumn id="4" xr3:uid="{072C76F0-2018-4366-B586-7AE98A82315F}" name="AMORTIZACION DE ANTICIPO" dataDxfId="36" dataCellStyle="Moneda"/>
    <tableColumn id="5" xr3:uid="{52519646-29C7-4E2B-8A32-7B7375950A20}" name="OTROS" dataDxfId="35" dataCellStyle="Moneda"/>
    <tableColumn id="6" xr3:uid="{3F543060-4A8E-4B24-8DB3-A31BCAC49B73}" name="MATERIAL" dataDxfId="34" dataCellStyle="Moneda"/>
    <tableColumn id="7" xr3:uid="{067B1767-2FDE-4F9D-9327-160E9FC0B9F2}" name="OTROS (FONDO GARANTÍA)" dataDxfId="33" dataCellStyle="Moneda"/>
    <tableColumn id="8" xr3:uid="{23F45FBA-41BA-4A69-A80A-6FC3DF05D5CC}" name="TOTAL_x000a_DEDUCCIONES" dataDxfId="32" dataCellStyle="Moneda">
      <calculatedColumnFormula>SUM(Certificacion[[#This Row],[AMORTIZACION DE ANTICIPO]:[OTROS (FONDO GARANTÍA)]])</calculatedColumnFormula>
    </tableColumn>
    <tableColumn id="9" xr3:uid="{5F04CEDD-D2F9-4708-9E8D-324B399794F6}" name="IMPORTE_x000a_SIN I.V.A." dataDxfId="31" dataCellStyle="Moneda">
      <calculatedColumnFormula>Certificacion[[#This Row],[IMPORTE]]+Certificacion[[#This Row],[ANTICIPO]]-Certificacion[[#This Row],[TOTAL
DEDUCCIONES]]</calculatedColumnFormula>
    </tableColumn>
    <tableColumn id="10" xr3:uid="{954D22CD-CF78-49A9-A0B2-5F383D85BD23}" name="I.V.A." dataDxfId="30" dataCellStyle="Moneda">
      <calculatedColumnFormula>Certificacion[[#This Row],[IMPORTE
SIN I.V.A.]]*0.16</calculatedColumnFormula>
    </tableColumn>
    <tableColumn id="16" xr3:uid="{A08962BD-8AE3-405A-ACAF-471A40504812}" name="I.V.A.R." dataDxfId="29" dataCellStyle="Moneda"/>
    <tableColumn id="11" xr3:uid="{FD331707-C9E0-42F1-8916-FAA729DA85D0}" name="LIQUIDO A PAGAR" dataDxfId="28" dataCellStyle="Moneda">
      <calculatedColumnFormula>Certificacion[[#This Row],[IMPORTE
SIN I.V.A.]]+Certificacion[[#This Row],[I.V.A.]]-Certificacion[[#This Row],[I.V.A.R.]]</calculatedColumnFormula>
    </tableColumn>
    <tableColumn id="15" xr3:uid="{D6AE760D-F3D9-433E-9381-5FF9003B8F5E}" name="FECHA DE PAGO" dataDxfId="27" dataCellStyle="Moneda"/>
    <tableColumn id="12" xr3:uid="{A538AC3E-22A0-49C4-87DB-B6730ABF08BF}" name="ESTATUS" dataDxfId="26" dataCellStyle="Moneda">
      <calculatedColumnFormula>IF(Certificacion[[#This Row],[FACTURA No.]]="","",IF(Certificacion[[#This Row],[FECHA DE PAGO]]="","Pendiente",IF(Certificacion[[#This Row],[FECHA DE PAGO]]&gt;0,"Pagado")))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8385-A895-4093-980A-4A1CFB0B4184}">
  <sheetPr codeName="Hoja7">
    <pageSetUpPr fitToPage="1"/>
  </sheetPr>
  <dimension ref="B1:P119"/>
  <sheetViews>
    <sheetView topLeftCell="A36" zoomScale="88" zoomScaleNormal="50" zoomScaleSheetLayoutView="40" workbookViewId="0">
      <selection activeCell="J60" sqref="J60:J72"/>
    </sheetView>
  </sheetViews>
  <sheetFormatPr baseColWidth="10" defaultColWidth="11.44140625" defaultRowHeight="14.4" x14ac:dyDescent="0.3"/>
  <cols>
    <col min="1" max="1" width="4.77734375" style="21" customWidth="1"/>
    <col min="2" max="4" width="33.21875" style="21" customWidth="1"/>
    <col min="5" max="5" width="2.5546875" style="21" customWidth="1"/>
    <col min="6" max="6" width="33.21875" style="21" customWidth="1"/>
    <col min="7" max="7" width="31.77734375" style="21" customWidth="1"/>
    <col min="8" max="8" width="33.21875" style="21" customWidth="1"/>
    <col min="9" max="9" width="2.5546875" style="21" customWidth="1"/>
    <col min="10" max="10" width="36.5546875" style="21" customWidth="1"/>
    <col min="11" max="11" width="33.21875" style="21" customWidth="1"/>
    <col min="12" max="12" width="4.77734375" style="21" customWidth="1"/>
    <col min="13" max="13" width="11.44140625" style="21"/>
    <col min="14" max="14" width="21.44140625" style="21" bestFit="1" customWidth="1"/>
    <col min="15" max="16384" width="11.44140625" style="21"/>
  </cols>
  <sheetData>
    <row r="1" spans="2:16" ht="19.05" customHeight="1" x14ac:dyDescent="0.35">
      <c r="K1" s="353"/>
    </row>
    <row r="2" spans="2:16" ht="20.100000000000001" customHeight="1" x14ac:dyDescent="0.35">
      <c r="C2" s="487" t="s">
        <v>2009</v>
      </c>
      <c r="D2" s="966" t="s">
        <v>2007</v>
      </c>
      <c r="E2" s="967"/>
      <c r="F2" s="967"/>
      <c r="G2" s="967"/>
      <c r="H2" s="967"/>
      <c r="I2" s="968"/>
      <c r="K2" s="353"/>
    </row>
    <row r="3" spans="2:16" ht="20.100000000000001" customHeight="1" x14ac:dyDescent="0.35">
      <c r="C3" s="487" t="s">
        <v>0</v>
      </c>
      <c r="D3" s="966" t="s">
        <v>1</v>
      </c>
      <c r="E3" s="967"/>
      <c r="F3" s="967"/>
      <c r="G3" s="967"/>
      <c r="H3" s="967"/>
      <c r="I3" s="968"/>
      <c r="J3" s="353"/>
      <c r="K3" s="22" t="s">
        <v>2</v>
      </c>
      <c r="P3" s="16"/>
    </row>
    <row r="4" spans="2:16" ht="20.100000000000001" customHeight="1" x14ac:dyDescent="0.35">
      <c r="C4" s="969" t="s">
        <v>3</v>
      </c>
      <c r="D4" s="969"/>
      <c r="E4" s="969"/>
      <c r="F4" s="969"/>
      <c r="G4" s="969"/>
      <c r="H4" s="969"/>
      <c r="I4" s="969"/>
      <c r="J4" s="969"/>
      <c r="K4" s="352">
        <f ca="1">TODAY()</f>
        <v>46076</v>
      </c>
    </row>
    <row r="5" spans="2:16" ht="15" thickBot="1" x14ac:dyDescent="0.35">
      <c r="B5" s="943" t="s">
        <v>4</v>
      </c>
      <c r="C5" s="943"/>
      <c r="D5" s="943"/>
      <c r="E5" s="943"/>
      <c r="F5" s="943"/>
      <c r="G5" s="943"/>
      <c r="H5" s="943"/>
      <c r="I5" s="943"/>
      <c r="J5" s="943"/>
      <c r="K5" s="943"/>
    </row>
    <row r="6" spans="2:16" ht="6" customHeight="1" thickTop="1" x14ac:dyDescent="0.3"/>
    <row r="7" spans="2:16" x14ac:dyDescent="0.3">
      <c r="B7" s="343" t="s">
        <v>5</v>
      </c>
      <c r="C7" s="343" t="s">
        <v>6</v>
      </c>
      <c r="F7" s="343" t="s">
        <v>7</v>
      </c>
      <c r="K7" s="351" t="s">
        <v>8</v>
      </c>
    </row>
    <row r="8" spans="2:16" x14ac:dyDescent="0.3">
      <c r="B8" s="379">
        <v>45809</v>
      </c>
      <c r="C8" s="379">
        <v>45817</v>
      </c>
      <c r="F8" s="379" t="s">
        <v>9</v>
      </c>
      <c r="J8" s="350" t="s">
        <v>10</v>
      </c>
      <c r="K8" s="349" t="s">
        <v>11</v>
      </c>
    </row>
    <row r="9" spans="2:16" ht="5.0999999999999996" customHeight="1" x14ac:dyDescent="0.3"/>
    <row r="10" spans="2:16" x14ac:dyDescent="0.3">
      <c r="B10" s="343" t="s">
        <v>12</v>
      </c>
      <c r="C10" s="343" t="s">
        <v>13</v>
      </c>
      <c r="F10" s="343" t="s">
        <v>14</v>
      </c>
      <c r="G10" s="964" t="s">
        <v>15</v>
      </c>
      <c r="H10" s="965"/>
      <c r="J10" s="348" t="s">
        <v>16</v>
      </c>
      <c r="K10" s="357" t="s">
        <v>17</v>
      </c>
    </row>
    <row r="11" spans="2:16" x14ac:dyDescent="0.3">
      <c r="B11" s="344">
        <f>Producción!$I$9</f>
        <v>7818391.4547497248</v>
      </c>
      <c r="C11" s="344">
        <f>B11*1.16</f>
        <v>9069334.0875096805</v>
      </c>
      <c r="F11" s="347">
        <f>'Control Certificación'!$H$13</f>
        <v>929236.37</v>
      </c>
      <c r="G11" s="970">
        <f>F11*1.16</f>
        <v>1077914.1891999999</v>
      </c>
      <c r="H11" s="970"/>
      <c r="J11" s="350" t="s">
        <v>18</v>
      </c>
      <c r="K11" s="349"/>
    </row>
    <row r="12" spans="2:16" ht="5.0999999999999996" customHeight="1" x14ac:dyDescent="0.3"/>
    <row r="13" spans="2:16" ht="15.6" x14ac:dyDescent="0.3">
      <c r="B13" s="359" t="s">
        <v>19</v>
      </c>
      <c r="C13" s="360"/>
      <c r="D13" s="378">
        <v>45689</v>
      </c>
      <c r="J13" s="354" t="s">
        <v>20</v>
      </c>
      <c r="K13" s="358"/>
    </row>
    <row r="14" spans="2:16" x14ac:dyDescent="0.3">
      <c r="B14" s="343" t="s">
        <v>21</v>
      </c>
      <c r="C14" s="343" t="s">
        <v>22</v>
      </c>
      <c r="D14" s="343" t="s">
        <v>23</v>
      </c>
      <c r="F14" s="343" t="s">
        <v>24</v>
      </c>
      <c r="G14" s="964" t="s">
        <v>25</v>
      </c>
      <c r="H14" s="965"/>
    </row>
    <row r="15" spans="2:16" x14ac:dyDescent="0.3">
      <c r="B15" s="344"/>
      <c r="C15" s="344"/>
      <c r="D15" s="346"/>
      <c r="F15" s="379"/>
      <c r="G15" s="918"/>
      <c r="H15" s="919"/>
    </row>
    <row r="16" spans="2:16" ht="5.0999999999999996" customHeight="1" x14ac:dyDescent="0.3"/>
    <row r="17" spans="2:11" ht="15.6" x14ac:dyDescent="0.3">
      <c r="B17" s="359" t="s">
        <v>26</v>
      </c>
      <c r="C17" s="360"/>
      <c r="D17" s="378">
        <v>45799</v>
      </c>
      <c r="F17" s="915" t="s">
        <v>27</v>
      </c>
      <c r="G17" s="916"/>
      <c r="H17" s="917"/>
    </row>
    <row r="18" spans="2:11" x14ac:dyDescent="0.3">
      <c r="B18" s="343" t="s">
        <v>21</v>
      </c>
      <c r="C18" s="343" t="s">
        <v>28</v>
      </c>
      <c r="D18" s="343" t="s">
        <v>23</v>
      </c>
      <c r="F18" s="343" t="s">
        <v>29</v>
      </c>
      <c r="G18" s="964" t="s">
        <v>23</v>
      </c>
      <c r="H18" s="965"/>
    </row>
    <row r="19" spans="2:11" x14ac:dyDescent="0.3">
      <c r="B19" s="344"/>
      <c r="C19" s="344"/>
      <c r="D19" s="346"/>
      <c r="F19" s="382"/>
      <c r="G19" s="971"/>
      <c r="H19" s="971"/>
    </row>
    <row r="20" spans="2:11" ht="5.0999999999999996" customHeight="1" x14ac:dyDescent="0.3"/>
    <row r="21" spans="2:11" ht="15.6" x14ac:dyDescent="0.3">
      <c r="B21" s="359" t="s">
        <v>30</v>
      </c>
      <c r="C21" s="360"/>
      <c r="D21" s="361"/>
      <c r="F21" s="915" t="s">
        <v>31</v>
      </c>
      <c r="G21" s="916"/>
      <c r="H21" s="917"/>
    </row>
    <row r="22" spans="2:11" x14ac:dyDescent="0.3">
      <c r="B22" s="343" t="s">
        <v>21</v>
      </c>
      <c r="C22" s="343" t="s">
        <v>28</v>
      </c>
      <c r="D22" s="343" t="s">
        <v>23</v>
      </c>
      <c r="F22" s="343" t="s">
        <v>29</v>
      </c>
      <c r="G22" s="964" t="s">
        <v>23</v>
      </c>
      <c r="H22" s="965"/>
    </row>
    <row r="23" spans="2:11" x14ac:dyDescent="0.3">
      <c r="B23" s="380"/>
      <c r="C23" s="380"/>
      <c r="D23" s="381"/>
      <c r="F23" s="347"/>
      <c r="G23" s="972"/>
      <c r="H23" s="972"/>
    </row>
    <row r="24" spans="2:11" ht="15" customHeight="1" x14ac:dyDescent="0.3"/>
    <row r="25" spans="2:11" ht="15" thickBot="1" x14ac:dyDescent="0.35">
      <c r="B25" s="943" t="s">
        <v>32</v>
      </c>
      <c r="C25" s="943"/>
      <c r="D25" s="943"/>
      <c r="E25" s="943"/>
      <c r="F25" s="943"/>
      <c r="G25" s="943"/>
      <c r="H25" s="943"/>
      <c r="I25" s="943"/>
      <c r="J25" s="943"/>
      <c r="K25" s="943"/>
    </row>
    <row r="26" spans="2:11" ht="6" customHeight="1" thickTop="1" x14ac:dyDescent="0.3"/>
    <row r="27" spans="2:11" ht="15.6" x14ac:dyDescent="0.3">
      <c r="B27" s="359" t="s">
        <v>33</v>
      </c>
      <c r="C27" s="360"/>
      <c r="D27" s="361"/>
      <c r="E27" s="377"/>
      <c r="F27" s="359"/>
      <c r="G27" s="360"/>
      <c r="H27" s="360"/>
      <c r="I27" s="360"/>
      <c r="J27" s="376" t="str">
        <f>CONCATENATE("Actualizado hasta ",VLOOKUP(MAX(Certificacion[FECHA FACTURA]),Certificacion[[FECHA FACTURA]:[PERIODO
Imp.]],2))</f>
        <v>Actualizado hasta DIC 2025 Q1</v>
      </c>
    </row>
    <row r="28" spans="2:11" x14ac:dyDescent="0.3">
      <c r="B28" s="369" t="s">
        <v>34</v>
      </c>
      <c r="C28" s="369" t="s">
        <v>35</v>
      </c>
      <c r="D28" s="370" t="s">
        <v>36</v>
      </c>
      <c r="E28" s="368"/>
      <c r="F28" s="371" t="s">
        <v>37</v>
      </c>
      <c r="G28" s="960" t="s">
        <v>38</v>
      </c>
      <c r="H28" s="960"/>
      <c r="I28" s="960" t="s">
        <v>39</v>
      </c>
      <c r="J28" s="960"/>
    </row>
    <row r="29" spans="2:11" x14ac:dyDescent="0.3">
      <c r="B29" s="363">
        <f>'Control Certificación'!$K$6</f>
        <v>929236.37</v>
      </c>
      <c r="C29" s="364">
        <f>'Control Certificación'!$O$6</f>
        <v>0</v>
      </c>
      <c r="D29" s="365">
        <f>B29-C29</f>
        <v>929236.37</v>
      </c>
      <c r="E29" s="367"/>
      <c r="F29" s="366">
        <f>'Control Certificación'!$K$6*1.16</f>
        <v>1077914.1891999999</v>
      </c>
      <c r="G29" s="959">
        <f>'Control Certificación'!$O$6*1.16</f>
        <v>0</v>
      </c>
      <c r="H29" s="959"/>
      <c r="I29" s="959">
        <f>F29-G29</f>
        <v>1077914.1891999999</v>
      </c>
      <c r="J29" s="959"/>
    </row>
    <row r="30" spans="2:11" ht="5.0999999999999996" customHeight="1" x14ac:dyDescent="0.3"/>
    <row r="31" spans="2:11" ht="15.6" x14ac:dyDescent="0.3">
      <c r="B31" s="359" t="s">
        <v>40</v>
      </c>
      <c r="C31" s="361"/>
      <c r="E31" s="372"/>
      <c r="F31" s="360"/>
      <c r="G31" s="360"/>
      <c r="H31" s="376" t="str">
        <f>IFERROR(CONCATENATE("Actualizado hasta ",VLOOKUP(MAX(Certificacion[FECHA FACTURA]),Certificacion[[FECHA FACTURA]:[PERIODO
Imp.]],2)),"$")</f>
        <v>Actualizado hasta DIC 2025 Q1</v>
      </c>
    </row>
    <row r="32" spans="2:11" x14ac:dyDescent="0.3">
      <c r="B32" s="343" t="s">
        <v>41</v>
      </c>
      <c r="C32" s="343" t="s">
        <v>42</v>
      </c>
      <c r="F32" s="343" t="s">
        <v>43</v>
      </c>
      <c r="G32" s="960" t="s">
        <v>44</v>
      </c>
      <c r="H32" s="960"/>
      <c r="J32" s="343" t="s">
        <v>45</v>
      </c>
    </row>
    <row r="33" spans="2:11" x14ac:dyDescent="0.3">
      <c r="B33" s="344">
        <f>SUMIF(Certificacion[APLICA],"ESTIMACION",Certificacion[IMPORTE])</f>
        <v>5685234.120000001</v>
      </c>
      <c r="C33" s="373">
        <f>SUMIFS(Certificacion[IMPORTE],Certificacion[APLICA],"ESTIMACION",Certificacion[FECHA DE PAGO],"")</f>
        <v>5685234.120000001</v>
      </c>
      <c r="E33" s="372"/>
      <c r="F33" s="362">
        <f>SUMIF(Certificacion[APLICA],"ESTIMACION",Certificacion[LIQUIDO A PAGAR])</f>
        <v>6594871.5653830376</v>
      </c>
      <c r="G33" s="925">
        <f>SUMIFS(Certificacion[LIQUIDO A PAGAR],Certificacion[APLICA],"ESTIMACION",Certificacion[FECHA DE PAGO],"")</f>
        <v>6594871.5653830376</v>
      </c>
      <c r="H33" s="925"/>
      <c r="J33" s="345" t="str">
        <f ca="1">'Control Certificación'!$R$8</f>
        <v>192  días</v>
      </c>
    </row>
    <row r="34" spans="2:11" ht="5.0999999999999996" customHeight="1" x14ac:dyDescent="0.3"/>
    <row r="35" spans="2:11" ht="15.6" x14ac:dyDescent="0.3">
      <c r="B35" s="359" t="s">
        <v>46</v>
      </c>
      <c r="C35" s="361"/>
      <c r="E35" s="372"/>
      <c r="F35" s="359"/>
      <c r="G35" s="360"/>
      <c r="H35" s="376" t="str">
        <f>IFERROR(CONCATENATE("Actualizado hasta ",VLOOKUP(MAX(Certificacion[FECHA FACTURA]),Certificacion[[FECHA FACTURA]:[PERIODO
Imp.]],2)),"$")</f>
        <v>Actualizado hasta DIC 2025 Q1</v>
      </c>
    </row>
    <row r="36" spans="2:11" x14ac:dyDescent="0.3">
      <c r="B36" s="343" t="s">
        <v>47</v>
      </c>
      <c r="C36" s="343" t="s">
        <v>48</v>
      </c>
      <c r="F36" s="343" t="s">
        <v>49</v>
      </c>
      <c r="G36" s="960" t="s">
        <v>50</v>
      </c>
      <c r="H36" s="960"/>
    </row>
    <row r="37" spans="2:11" x14ac:dyDescent="0.3">
      <c r="B37" s="344">
        <f>SUMIF(Certificacion[APLICA],"RETENCION 5%",Certificacion[OTROS (FONDO GARANTÍA)])</f>
        <v>0</v>
      </c>
      <c r="C37" s="373">
        <f>'Resumen Ejecutivo'!B37-(SUMIFS(Certificacion[OTROS (FONDO GARANTÍA)],Certificacion[APLICA],"RETENCION 5%",Certificacion[FECHA DE PAGO],""))</f>
        <v>0</v>
      </c>
      <c r="E37" s="372"/>
      <c r="F37" s="362">
        <f>SUMIF(Certificacion[APLICA],"RETENCION 5%",'Control Certificación'!$Q$15:$Q$95)*-1</f>
        <v>0</v>
      </c>
      <c r="G37" s="925">
        <f>F37-(SUMIFS('Control Certificación'!$Q$15:$Q$95,Certificacion[APLICA],"RETENCION 5%",Certificacion[FECHA DE PAGO],""))*-1</f>
        <v>0</v>
      </c>
      <c r="H37" s="925"/>
    </row>
    <row r="38" spans="2:11" ht="5.0999999999999996" customHeight="1" x14ac:dyDescent="0.3"/>
    <row r="39" spans="2:11" x14ac:dyDescent="0.3">
      <c r="B39" s="374" t="s">
        <v>51</v>
      </c>
      <c r="C39" s="375"/>
      <c r="D39" s="376" t="e">
        <f>CONCATENATE("Actualizado hasta ",(HLOOKUP(MAX(Producción!#REF!),Producción!BN6:DI8,2)))</f>
        <v>#REF!</v>
      </c>
      <c r="E39" s="372"/>
    </row>
    <row r="40" spans="2:11" x14ac:dyDescent="0.3">
      <c r="B40" s="343" t="s">
        <v>52</v>
      </c>
      <c r="C40" s="343" t="s">
        <v>53</v>
      </c>
      <c r="D40" s="343" t="s">
        <v>54</v>
      </c>
    </row>
    <row r="41" spans="2:11" x14ac:dyDescent="0.3">
      <c r="B41" s="342">
        <f>Producción!BL9</f>
        <v>5676539.1320000002</v>
      </c>
      <c r="C41" s="342">
        <f>B33</f>
        <v>5685234.120000001</v>
      </c>
      <c r="D41" s="342">
        <f>B41-C41</f>
        <v>-8694.988000000827</v>
      </c>
      <c r="E41" s="372"/>
    </row>
    <row r="42" spans="2:11" ht="15" customHeight="1" x14ac:dyDescent="0.3"/>
    <row r="43" spans="2:11" ht="15" thickBot="1" x14ac:dyDescent="0.35">
      <c r="B43" s="943" t="s">
        <v>55</v>
      </c>
      <c r="C43" s="943"/>
      <c r="D43" s="943"/>
      <c r="E43" s="943"/>
      <c r="F43" s="943"/>
      <c r="G43" s="943"/>
      <c r="H43" s="943"/>
      <c r="I43" s="943"/>
      <c r="J43" s="943"/>
      <c r="K43" s="943"/>
    </row>
    <row r="44" spans="2:11" ht="6" customHeight="1" thickTop="1" x14ac:dyDescent="0.3"/>
    <row r="45" spans="2:11" ht="12.6" customHeight="1" x14ac:dyDescent="0.3">
      <c r="B45" s="385" t="s">
        <v>56</v>
      </c>
      <c r="C45" s="386"/>
      <c r="D45" s="387"/>
      <c r="F45" s="390" t="s">
        <v>57</v>
      </c>
      <c r="G45" s="486" t="s">
        <v>58</v>
      </c>
      <c r="H45" s="391" t="s">
        <v>59</v>
      </c>
    </row>
    <row r="46" spans="2:11" ht="12.6" customHeight="1" x14ac:dyDescent="0.3">
      <c r="B46" s="355"/>
      <c r="C46" s="388"/>
      <c r="D46" s="389"/>
      <c r="F46" s="490">
        <f>F47+F51+F55</f>
        <v>0</v>
      </c>
      <c r="G46" s="490">
        <f>G47+G51+G55</f>
        <v>7740567.5477999998</v>
      </c>
      <c r="H46" s="393">
        <f>H47+H51+H55</f>
        <v>5676539.1320000002</v>
      </c>
    </row>
    <row r="47" spans="2:11" ht="15.6" customHeight="1" x14ac:dyDescent="0.3">
      <c r="B47" s="920" t="str">
        <f>Producción!E10</f>
        <v>PILAS DE CIMENTACIÓN</v>
      </c>
      <c r="C47" s="920"/>
      <c r="D47" s="920"/>
      <c r="F47" s="489">
        <f>F48-F49</f>
        <v>0</v>
      </c>
      <c r="G47" s="489">
        <f>G48-G49</f>
        <v>6371392.1377999997</v>
      </c>
      <c r="H47" s="384">
        <f>H48-H49</f>
        <v>4698268.9920000006</v>
      </c>
    </row>
    <row r="48" spans="2:11" ht="15.6" customHeight="1" x14ac:dyDescent="0.3">
      <c r="B48" s="904" t="s">
        <v>51</v>
      </c>
      <c r="C48" s="905"/>
      <c r="D48" s="906"/>
      <c r="F48" s="491"/>
      <c r="G48" s="492">
        <f>Producción!I10</f>
        <v>6371392.1377999997</v>
      </c>
      <c r="H48" s="334">
        <f>Producción!BL10</f>
        <v>4698268.9920000006</v>
      </c>
      <c r="J48" s="260"/>
      <c r="K48" s="221"/>
    </row>
    <row r="49" spans="2:13" ht="15.6" customHeight="1" x14ac:dyDescent="0.3">
      <c r="B49" s="922" t="s">
        <v>60</v>
      </c>
      <c r="C49" s="923"/>
      <c r="D49" s="924"/>
      <c r="F49" s="341"/>
      <c r="G49" s="340"/>
      <c r="H49" s="339"/>
    </row>
    <row r="50" spans="2:13" ht="5.0999999999999996" customHeight="1" x14ac:dyDescent="0.3">
      <c r="B50" s="921"/>
      <c r="C50" s="921"/>
      <c r="D50" s="921"/>
      <c r="F50" s="328"/>
      <c r="G50" s="488"/>
      <c r="H50" s="327"/>
    </row>
    <row r="51" spans="2:13" ht="15.6" customHeight="1" x14ac:dyDescent="0.3">
      <c r="B51" s="920" t="str">
        <f>Producción!E143</f>
        <v>MECÁNICAS DE SUELOS Y TOPOGRAFÍAS</v>
      </c>
      <c r="C51" s="920"/>
      <c r="D51" s="920"/>
      <c r="F51" s="489">
        <f>F52-F53</f>
        <v>0</v>
      </c>
      <c r="G51" s="489">
        <f>G52-G53</f>
        <v>991424.59000000008</v>
      </c>
      <c r="H51" s="384">
        <f>H52-H53</f>
        <v>616735.43000000005</v>
      </c>
    </row>
    <row r="52" spans="2:13" ht="15.6" customHeight="1" x14ac:dyDescent="0.3">
      <c r="B52" s="904" t="s">
        <v>51</v>
      </c>
      <c r="C52" s="905"/>
      <c r="D52" s="906"/>
      <c r="F52" s="491"/>
      <c r="G52" s="492">
        <f>Producción!I143</f>
        <v>991424.59000000008</v>
      </c>
      <c r="H52" s="334">
        <f>Producción!BL143</f>
        <v>616735.43000000005</v>
      </c>
      <c r="J52" s="260"/>
      <c r="K52" s="221"/>
    </row>
    <row r="53" spans="2:13" ht="15.6" customHeight="1" x14ac:dyDescent="0.3">
      <c r="B53" s="922" t="s">
        <v>60</v>
      </c>
      <c r="C53" s="923"/>
      <c r="D53" s="924"/>
      <c r="F53" s="341"/>
      <c r="G53" s="340"/>
      <c r="H53" s="339"/>
    </row>
    <row r="54" spans="2:13" ht="5.0999999999999996" customHeight="1" x14ac:dyDescent="0.3">
      <c r="B54" s="921"/>
      <c r="C54" s="921"/>
      <c r="D54" s="921"/>
      <c r="F54" s="328"/>
      <c r="G54" s="488"/>
      <c r="H54" s="327"/>
    </row>
    <row r="55" spans="2:13" ht="15.6" customHeight="1" x14ac:dyDescent="0.3">
      <c r="B55" s="920" t="str">
        <f>Producción!E254</f>
        <v>SHELTER JIQUILPAN</v>
      </c>
      <c r="C55" s="920"/>
      <c r="D55" s="920"/>
      <c r="F55" s="489">
        <f>F56-F57</f>
        <v>0</v>
      </c>
      <c r="G55" s="489">
        <f>G56-G57</f>
        <v>377750.82</v>
      </c>
      <c r="H55" s="384">
        <f>H56-H57</f>
        <v>361534.71</v>
      </c>
    </row>
    <row r="56" spans="2:13" ht="15.6" customHeight="1" x14ac:dyDescent="0.3">
      <c r="B56" s="904" t="s">
        <v>51</v>
      </c>
      <c r="C56" s="905"/>
      <c r="D56" s="906"/>
      <c r="F56" s="491"/>
      <c r="G56" s="492">
        <f>Producción!I254</f>
        <v>377750.82</v>
      </c>
      <c r="H56" s="334">
        <f>Producción!BL254</f>
        <v>361534.71</v>
      </c>
      <c r="J56" s="260"/>
      <c r="K56" s="221"/>
    </row>
    <row r="57" spans="2:13" ht="15.6" customHeight="1" x14ac:dyDescent="0.3">
      <c r="B57" s="922" t="s">
        <v>60</v>
      </c>
      <c r="C57" s="923"/>
      <c r="D57" s="924"/>
      <c r="F57" s="341"/>
      <c r="G57" s="340"/>
      <c r="H57" s="339"/>
    </row>
    <row r="58" spans="2:13" ht="5.0999999999999996" customHeight="1" x14ac:dyDescent="0.3">
      <c r="B58" s="921"/>
      <c r="C58" s="921"/>
      <c r="D58" s="921"/>
      <c r="F58" s="328"/>
      <c r="G58" s="488"/>
      <c r="H58" s="327"/>
    </row>
    <row r="59" spans="2:13" x14ac:dyDescent="0.3">
      <c r="B59" s="338"/>
      <c r="C59" s="338"/>
    </row>
    <row r="60" spans="2:13" s="338" customFormat="1" x14ac:dyDescent="0.3">
      <c r="B60" s="385" t="s">
        <v>61</v>
      </c>
      <c r="C60" s="386"/>
      <c r="D60" s="387"/>
      <c r="F60" s="390" t="s">
        <v>57</v>
      </c>
      <c r="G60" s="486" t="s">
        <v>62</v>
      </c>
      <c r="H60" s="391" t="s">
        <v>59</v>
      </c>
      <c r="J60" s="390" t="s">
        <v>63</v>
      </c>
      <c r="K60" s="391" t="s">
        <v>64</v>
      </c>
    </row>
    <row r="61" spans="2:13" s="338" customFormat="1" x14ac:dyDescent="0.3">
      <c r="B61" s="355"/>
      <c r="C61" s="388"/>
      <c r="D61" s="389"/>
      <c r="F61" s="395"/>
      <c r="G61" s="490"/>
      <c r="H61" s="393"/>
      <c r="J61" s="395"/>
      <c r="K61" s="396" t="str">
        <f>IFERROR(H61/G61,"")</f>
        <v/>
      </c>
    </row>
    <row r="62" spans="2:13" x14ac:dyDescent="0.3">
      <c r="B62" s="961" t="s">
        <v>60</v>
      </c>
      <c r="C62" s="962"/>
      <c r="D62" s="963"/>
      <c r="F62" s="489">
        <f>SUBTOTAL(9,F63:F73)</f>
        <v>7468590.2164924806</v>
      </c>
      <c r="G62" s="489">
        <f>SUBTOTAL(9,G63:G73)</f>
        <v>302381.54338748276</v>
      </c>
      <c r="H62" s="384">
        <f>SUBTOTAL(9,H63:H73)</f>
        <v>268646.04382040916</v>
      </c>
      <c r="J62" s="383">
        <f>SUBTOTAL(9,J63:J73)</f>
        <v>33735.499567073522</v>
      </c>
      <c r="K62" s="394"/>
      <c r="M62" s="403"/>
    </row>
    <row r="63" spans="2:13" x14ac:dyDescent="0.3">
      <c r="B63" s="931" t="str">
        <f>IF(G63=0,"",'Costo Directo'!$E$14)</f>
        <v>SUBCONTRATOS</v>
      </c>
      <c r="C63" s="932">
        <f>'Costo Directo'!$J$14</f>
        <v>114219.6</v>
      </c>
      <c r="D63" s="954">
        <f>'Costo Directo'!$J$14</f>
        <v>114219.6</v>
      </c>
      <c r="F63" s="491">
        <v>2787737.5999999996</v>
      </c>
      <c r="G63" s="492">
        <f>'Costo Directo'!$J$14</f>
        <v>114219.6</v>
      </c>
      <c r="H63" s="334">
        <f>'Costo Directo'!$BK$14</f>
        <v>118847.27293333334</v>
      </c>
      <c r="J63" s="326">
        <f t="shared" ref="J63:J72" si="0">G63-H63</f>
        <v>-4627.6729333333351</v>
      </c>
      <c r="K63" s="336">
        <f t="shared" ref="K63:K72" si="1">IFERROR(H63/G63,"")</f>
        <v>1.0405155764276302</v>
      </c>
      <c r="M63" s="404" t="str">
        <f>IFERROR(K63/Producción!#REF!,"")</f>
        <v/>
      </c>
    </row>
    <row r="64" spans="2:13" x14ac:dyDescent="0.3">
      <c r="B64" s="904" t="str">
        <f>IF(G64=0,"",'Costo Directo'!$E$26)</f>
        <v>MAQUINARIA</v>
      </c>
      <c r="C64" s="905">
        <f>'Costo Directo'!$J$26</f>
        <v>4513.5</v>
      </c>
      <c r="D64" s="906">
        <f>'Costo Directo'!$J$26</f>
        <v>4513.5</v>
      </c>
      <c r="F64" s="491">
        <v>107443</v>
      </c>
      <c r="G64" s="492">
        <f>'Costo Directo'!$J$26</f>
        <v>4513.5</v>
      </c>
      <c r="H64" s="334">
        <f>'Costo Directo'!$BK$26</f>
        <v>7425</v>
      </c>
      <c r="J64" s="324">
        <f t="shared" si="0"/>
        <v>-2911.5</v>
      </c>
      <c r="K64" s="336">
        <f t="shared" si="1"/>
        <v>1.6450648055832502</v>
      </c>
      <c r="M64" s="405" t="str">
        <f>IFERROR(K64/Producción!#REF!,"")</f>
        <v/>
      </c>
    </row>
    <row r="65" spans="2:13" x14ac:dyDescent="0.3">
      <c r="B65" s="904" t="str">
        <f>IF(G65=0,"",'Costo Directo'!$E$68)</f>
        <v>MANO DE OBRA</v>
      </c>
      <c r="C65" s="905">
        <f>'Costo Directo'!$J$68</f>
        <v>29063.928571428569</v>
      </c>
      <c r="D65" s="906">
        <f>'Costo Directo'!$J$68</f>
        <v>29063.928571428569</v>
      </c>
      <c r="F65" s="491">
        <v>682595.85714285704</v>
      </c>
      <c r="G65" s="492">
        <f>'Costo Directo'!$J$68</f>
        <v>29063.928571428569</v>
      </c>
      <c r="H65" s="334">
        <f>'Costo Directo'!$BK$68</f>
        <v>36205.812000000005</v>
      </c>
      <c r="J65" s="324">
        <f t="shared" si="0"/>
        <v>-7141.8834285714365</v>
      </c>
      <c r="K65" s="336">
        <f t="shared" si="1"/>
        <v>1.2457301465980171</v>
      </c>
      <c r="M65" s="405" t="str">
        <f>IFERROR(K65/Producción!#REF!,"")</f>
        <v/>
      </c>
    </row>
    <row r="66" spans="2:13" x14ac:dyDescent="0.3">
      <c r="B66" s="904" t="str">
        <f>IF(G66=0,"",'Costo Directo'!$E$121)</f>
        <v>MATERIALES</v>
      </c>
      <c r="C66" s="905">
        <f>'Costo Directo'!$J$121</f>
        <v>124378.57839789474</v>
      </c>
      <c r="D66" s="906">
        <f>'Costo Directo'!$J$121</f>
        <v>124378.57839789474</v>
      </c>
      <c r="F66" s="491">
        <v>3149143.3697368423</v>
      </c>
      <c r="G66" s="492">
        <f>'Costo Directo'!$J$121</f>
        <v>124378.57839789474</v>
      </c>
      <c r="H66" s="334">
        <f>'Costo Directo'!$BK$174</f>
        <v>85320</v>
      </c>
      <c r="J66" s="324">
        <f t="shared" si="0"/>
        <v>39058.578397894744</v>
      </c>
      <c r="K66" s="336">
        <f t="shared" si="1"/>
        <v>0.68597021367341937</v>
      </c>
      <c r="M66" s="405" t="str">
        <f>IFERROR(K66/Producción!#REF!,"")</f>
        <v/>
      </c>
    </row>
    <row r="67" spans="2:13" x14ac:dyDescent="0.3">
      <c r="B67" s="904" t="str">
        <f>IF(G67=0,"",'Costo Directo'!$E$174)</f>
        <v>ACARREOS</v>
      </c>
      <c r="C67" s="905">
        <f>'Costo Directo'!$J$174</f>
        <v>13090.000000000002</v>
      </c>
      <c r="D67" s="906">
        <f>'Costo Directo'!$J$174</f>
        <v>13090.000000000002</v>
      </c>
      <c r="F67" s="491">
        <v>318920</v>
      </c>
      <c r="G67" s="492">
        <f>'Costo Directo'!$J$174</f>
        <v>13090.000000000002</v>
      </c>
      <c r="H67" s="334">
        <f>'Costo Directo'!$BK$187</f>
        <v>0</v>
      </c>
      <c r="J67" s="324">
        <f t="shared" si="0"/>
        <v>13090.000000000002</v>
      </c>
      <c r="K67" s="336">
        <f t="shared" si="1"/>
        <v>0</v>
      </c>
      <c r="M67" s="405" t="str">
        <f>IFERROR(K67/Producción!#REF!,"")</f>
        <v/>
      </c>
    </row>
    <row r="68" spans="2:13" x14ac:dyDescent="0.3">
      <c r="B68" s="904" t="str">
        <f>IF(G68=0,"",'Costo Directo'!$E$187)</f>
        <v/>
      </c>
      <c r="C68" s="905">
        <f>'Costo Directo'!$J$187</f>
        <v>0</v>
      </c>
      <c r="D68" s="906">
        <f>'Costo Directo'!$J$187</f>
        <v>0</v>
      </c>
      <c r="F68" s="491"/>
      <c r="G68" s="492">
        <f>'Costo Directo'!$J$187</f>
        <v>0</v>
      </c>
      <c r="H68" s="334">
        <f>'Costo Directo'!$BK$210</f>
        <v>0</v>
      </c>
      <c r="J68" s="324">
        <f t="shared" si="0"/>
        <v>0</v>
      </c>
      <c r="K68" s="336" t="str">
        <f t="shared" si="1"/>
        <v/>
      </c>
      <c r="M68" s="405" t="str">
        <f>IFERROR(K68/Producción!#REF!,"")</f>
        <v/>
      </c>
    </row>
    <row r="69" spans="2:13" x14ac:dyDescent="0.3">
      <c r="B69" s="904" t="str">
        <f>IF(G69=0,"",'Costo Directo'!$E$210)</f>
        <v/>
      </c>
      <c r="C69" s="905">
        <f>'Costo Directo'!$J$210</f>
        <v>0</v>
      </c>
      <c r="D69" s="906">
        <f>'Costo Directo'!$J$210</f>
        <v>0</v>
      </c>
      <c r="F69" s="491"/>
      <c r="G69" s="492">
        <f>'Costo Directo'!$J$210</f>
        <v>0</v>
      </c>
      <c r="H69" s="334">
        <f>'Costo Directo'!$BK$227</f>
        <v>0</v>
      </c>
      <c r="J69" s="324">
        <f t="shared" si="0"/>
        <v>0</v>
      </c>
      <c r="K69" s="336" t="str">
        <f t="shared" si="1"/>
        <v/>
      </c>
      <c r="M69" s="405" t="str">
        <f>IFERROR(K69/Producción!#REF!,"")</f>
        <v/>
      </c>
    </row>
    <row r="70" spans="2:13" x14ac:dyDescent="0.3">
      <c r="B70" s="904" t="str">
        <f>IF(G70=0,"",'Costo Directo'!$E$227)</f>
        <v/>
      </c>
      <c r="C70" s="905">
        <f>'Costo Directo'!$J$227</f>
        <v>0</v>
      </c>
      <c r="D70" s="906">
        <f>'Costo Directo'!$J$227</f>
        <v>0</v>
      </c>
      <c r="F70" s="491"/>
      <c r="G70" s="492">
        <f>'Costo Directo'!$J$227</f>
        <v>0</v>
      </c>
      <c r="H70" s="334">
        <f>'Costo Directo'!$BK$235</f>
        <v>10423.979443537926</v>
      </c>
      <c r="J70" s="324">
        <f t="shared" si="0"/>
        <v>-10423.979443537926</v>
      </c>
      <c r="K70" s="336" t="str">
        <f t="shared" si="1"/>
        <v/>
      </c>
      <c r="M70" s="405" t="str">
        <f>IFERROR(K70/Producción!#REF!,"")</f>
        <v/>
      </c>
    </row>
    <row r="71" spans="2:13" x14ac:dyDescent="0.3">
      <c r="B71" s="904" t="str">
        <f>IF(G71=0,"",'Costo Directo'!$E$235)</f>
        <v>HERRAMIENTA MENOR Y EPP</v>
      </c>
      <c r="C71" s="905">
        <f>'Costo Directo'!$J$235</f>
        <v>17115.936418159399</v>
      </c>
      <c r="D71" s="906">
        <f>'Costo Directo'!$J$235</f>
        <v>17115.936418159399</v>
      </c>
      <c r="F71" s="491">
        <v>422750.38961278193</v>
      </c>
      <c r="G71" s="492">
        <f>'Costo Directo'!$J$235</f>
        <v>17115.936418159399</v>
      </c>
      <c r="H71" s="334">
        <f>'Costo Directo'!$BK$235</f>
        <v>10423.979443537926</v>
      </c>
      <c r="J71" s="324">
        <f t="shared" ref="J71" si="2">G71-H71</f>
        <v>6691.9569746214729</v>
      </c>
      <c r="K71" s="336">
        <f t="shared" ref="K71" si="3">IFERROR(H71/G71,"")</f>
        <v>0.60902186061397467</v>
      </c>
      <c r="M71" s="405" t="str">
        <f>IFERROR(K71/Producción!#REF!,"")</f>
        <v/>
      </c>
    </row>
    <row r="72" spans="2:13" x14ac:dyDescent="0.3">
      <c r="B72" s="904" t="str">
        <f>IF(G72=0,"",'Costo Directo'!$E$241)</f>
        <v/>
      </c>
      <c r="C72" s="905">
        <f>'Costo Directo'!$J$241</f>
        <v>0</v>
      </c>
      <c r="D72" s="906">
        <f>'Costo Directo'!$J$241</f>
        <v>0</v>
      </c>
      <c r="F72" s="491"/>
      <c r="G72" s="492">
        <f>'Costo Directo'!$J$241</f>
        <v>0</v>
      </c>
      <c r="H72" s="334">
        <f>'Costo Directo'!$BK$241</f>
        <v>0</v>
      </c>
      <c r="J72" s="324">
        <f t="shared" si="0"/>
        <v>0</v>
      </c>
      <c r="K72" s="336" t="str">
        <f t="shared" si="1"/>
        <v/>
      </c>
      <c r="M72" s="405" t="str">
        <f>IFERROR(K72/Producción!#REF!,"")</f>
        <v/>
      </c>
    </row>
    <row r="73" spans="2:13" ht="5.0999999999999996" customHeight="1" x14ac:dyDescent="0.3">
      <c r="B73" s="934"/>
      <c r="C73" s="935"/>
      <c r="D73" s="936"/>
      <c r="F73" s="328"/>
      <c r="G73" s="488"/>
      <c r="H73" s="327"/>
      <c r="J73" s="333"/>
      <c r="K73" s="332"/>
      <c r="M73" s="403"/>
    </row>
    <row r="74" spans="2:13" x14ac:dyDescent="0.3">
      <c r="B74" s="955" t="s">
        <v>65</v>
      </c>
      <c r="C74" s="956"/>
      <c r="D74" s="957"/>
      <c r="F74" s="489">
        <f>SUBTOTAL(9,F75:F83)</f>
        <v>2953481.1415999997</v>
      </c>
      <c r="G74" s="489">
        <f>SUBTOTAL(9,G75:G83)</f>
        <v>779074.19200000004</v>
      </c>
      <c r="H74" s="384">
        <f>SUBTOTAL(9,H75:H83)</f>
        <v>1774928.2265751932</v>
      </c>
      <c r="J74" s="331">
        <f>SUBTOTAL(9,J75:J83)</f>
        <v>-995854.03457519331</v>
      </c>
      <c r="K74" s="335"/>
      <c r="M74" s="403"/>
    </row>
    <row r="75" spans="2:13" x14ac:dyDescent="0.3">
      <c r="B75" s="931" t="str">
        <f>IF(G75=0,"",'Indirect Costs'!$D$11)</f>
        <v>PERSONAL</v>
      </c>
      <c r="C75" s="932">
        <f>'Indirect Costs'!$I$11</f>
        <v>231000</v>
      </c>
      <c r="D75" s="954">
        <f>'Indirect Costs'!$I$11</f>
        <v>231000</v>
      </c>
      <c r="F75" s="491">
        <v>945600</v>
      </c>
      <c r="G75" s="492">
        <f>'Indirect Costs'!$I$11</f>
        <v>231000</v>
      </c>
      <c r="H75" s="334">
        <f>'Indirect Costs'!$BI$11</f>
        <v>1005958.2394000001</v>
      </c>
      <c r="J75" s="324">
        <f t="shared" ref="J75:J82" si="4">G75-H75</f>
        <v>-774958.23940000008</v>
      </c>
      <c r="K75" s="336">
        <f t="shared" ref="K75:K82" si="5">IFERROR(H75/G75,"")</f>
        <v>4.3547975731601731</v>
      </c>
      <c r="M75" s="405" t="str">
        <f>IFERROR(K75/Producción!#REF!,"")</f>
        <v/>
      </c>
    </row>
    <row r="76" spans="2:13" x14ac:dyDescent="0.3">
      <c r="B76" s="904" t="str">
        <f>IF(G76=0,"",'Indirect Costs'!$D$52)</f>
        <v>EQUIPAMIENTO PARA PERSONAL DE OBRA</v>
      </c>
      <c r="C76" s="905">
        <f>'Indirect Costs'!$I$52</f>
        <v>185750</v>
      </c>
      <c r="D76" s="906">
        <f>'Indirect Costs'!$I$52</f>
        <v>185750</v>
      </c>
      <c r="F76" s="491">
        <v>414000</v>
      </c>
      <c r="G76" s="492">
        <f>'Indirect Costs'!$I$52</f>
        <v>185750</v>
      </c>
      <c r="H76" s="334">
        <f>'Indirect Costs'!$BI$52</f>
        <v>396620.49290966307</v>
      </c>
      <c r="J76" s="324">
        <f t="shared" si="4"/>
        <v>-210870.49290966307</v>
      </c>
      <c r="K76" s="336">
        <f t="shared" si="5"/>
        <v>2.1352381852471765</v>
      </c>
      <c r="M76" s="405" t="str">
        <f>IFERROR(K76/Producción!#REF!,"")</f>
        <v/>
      </c>
    </row>
    <row r="77" spans="2:13" x14ac:dyDescent="0.3">
      <c r="B77" s="904" t="str">
        <f>IF(G77=0,"",'Indirect Costs'!$D$63)</f>
        <v>TRASLADOS Y HOSPEDAJES</v>
      </c>
      <c r="C77" s="905">
        <f>'Indirect Costs'!$I$63</f>
        <v>40000</v>
      </c>
      <c r="D77" s="906">
        <f>'Indirect Costs'!$I$63</f>
        <v>40000</v>
      </c>
      <c r="F77" s="491">
        <v>120000</v>
      </c>
      <c r="G77" s="492">
        <f>'Indirect Costs'!$I$63</f>
        <v>40000</v>
      </c>
      <c r="H77" s="334">
        <f>'Indirect Costs'!$BI$63</f>
        <v>171311.51834464</v>
      </c>
      <c r="J77" s="324">
        <f t="shared" si="4"/>
        <v>-131311.51834464</v>
      </c>
      <c r="K77" s="336">
        <f t="shared" si="5"/>
        <v>4.2827879586159998</v>
      </c>
      <c r="M77" s="405" t="str">
        <f>IFERROR(K77/Producción!#REF!,"")</f>
        <v/>
      </c>
    </row>
    <row r="78" spans="2:13" x14ac:dyDescent="0.3">
      <c r="B78" s="904" t="str">
        <f>IF(G78=0,"",'Indirect Costs'!$D$71)</f>
        <v>GASTOS DE OFICINA CENTRAL</v>
      </c>
      <c r="C78" s="905">
        <f>'Indirect Costs'!$I$71</f>
        <v>18500</v>
      </c>
      <c r="D78" s="906">
        <f>'Indirect Costs'!$I$71</f>
        <v>18500</v>
      </c>
      <c r="F78" s="491">
        <v>60000</v>
      </c>
      <c r="G78" s="492">
        <f>'Indirect Costs'!$I$71</f>
        <v>18500</v>
      </c>
      <c r="H78" s="334">
        <f>'Indirect Costs'!$BI$71</f>
        <v>58081.832952850003</v>
      </c>
      <c r="J78" s="324">
        <f t="shared" si="4"/>
        <v>-39581.832952850003</v>
      </c>
      <c r="K78" s="336">
        <f t="shared" si="5"/>
        <v>3.139558537991892</v>
      </c>
      <c r="M78" s="405" t="str">
        <f>IFERROR(K78/Producción!#REF!,"")</f>
        <v/>
      </c>
    </row>
    <row r="79" spans="2:13" x14ac:dyDescent="0.3">
      <c r="B79" s="904" t="str">
        <f>IF(G79=0,"",'Indirect Costs'!$D$82)</f>
        <v/>
      </c>
      <c r="C79" s="905">
        <f>'Indirect Costs'!$I$82</f>
        <v>0</v>
      </c>
      <c r="D79" s="906">
        <f>'Indirect Costs'!$I$82</f>
        <v>0</v>
      </c>
      <c r="F79" s="491">
        <v>0</v>
      </c>
      <c r="G79" s="492">
        <f>'Indirect Costs'!$I$82</f>
        <v>0</v>
      </c>
      <c r="H79" s="334">
        <f>'Indirect Costs'!$BI$82</f>
        <v>0</v>
      </c>
      <c r="J79" s="324">
        <f t="shared" si="4"/>
        <v>0</v>
      </c>
      <c r="K79" s="336" t="str">
        <f t="shared" si="5"/>
        <v/>
      </c>
      <c r="M79" s="405" t="str">
        <f>IFERROR(K79/Producción!#REF!,"")</f>
        <v/>
      </c>
    </row>
    <row r="80" spans="2:13" x14ac:dyDescent="0.3">
      <c r="B80" s="904" t="str">
        <f>IF(G80=0,"",'Indirect Costs'!$D$91)</f>
        <v>OTROS COSTOS OPERATIVOS</v>
      </c>
      <c r="C80" s="905">
        <f>'Indirect Costs'!$I$91</f>
        <v>99500</v>
      </c>
      <c r="D80" s="906">
        <f>'Indirect Costs'!$I$91</f>
        <v>99500</v>
      </c>
      <c r="F80" s="491">
        <v>462000</v>
      </c>
      <c r="G80" s="492">
        <f>'Indirect Costs'!$I$91</f>
        <v>99500</v>
      </c>
      <c r="H80" s="334">
        <f>'Indirect Costs'!$BI$91</f>
        <v>19297.50296804</v>
      </c>
      <c r="J80" s="324">
        <f t="shared" si="4"/>
        <v>80202.497031959996</v>
      </c>
      <c r="K80" s="336">
        <f t="shared" si="5"/>
        <v>0.1939447534476382</v>
      </c>
      <c r="M80" s="405" t="str">
        <f>IFERROR(K80/Producción!#REF!,"")</f>
        <v/>
      </c>
    </row>
    <row r="81" spans="2:13" x14ac:dyDescent="0.3">
      <c r="B81" s="904" t="str">
        <f>IF(G81=0,"",'Indirect Costs'!$D$116)</f>
        <v>FIANZAS, SEGUROS Y OTROS PREVIOS</v>
      </c>
      <c r="C81" s="905">
        <f>'Indirect Costs'!$I$116</f>
        <v>129324.19200000001</v>
      </c>
      <c r="D81" s="906">
        <f>'Indirect Costs'!$I$116</f>
        <v>129324.19200000001</v>
      </c>
      <c r="F81" s="491">
        <v>491246</v>
      </c>
      <c r="G81" s="492">
        <f>'Indirect Costs'!$I$116</f>
        <v>129324.19200000001</v>
      </c>
      <c r="H81" s="334">
        <f>'Indirect Costs'!$BI$116</f>
        <v>36612</v>
      </c>
      <c r="J81" s="324">
        <f t="shared" si="4"/>
        <v>92712.19200000001</v>
      </c>
      <c r="K81" s="336">
        <f t="shared" si="5"/>
        <v>0.28310248402711841</v>
      </c>
      <c r="M81" s="405" t="str">
        <f>IFERROR(K81/Producción!#REF!,"")</f>
        <v/>
      </c>
    </row>
    <row r="82" spans="2:13" x14ac:dyDescent="0.3">
      <c r="B82" s="904" t="str">
        <f>IF(G82=0,"",'Indirect Costs'!$D$132)</f>
        <v>PROYECTOS, GESTIONES E IMPUESTOS</v>
      </c>
      <c r="C82" s="905">
        <f>'Indirect Costs'!$I$132</f>
        <v>75000</v>
      </c>
      <c r="D82" s="906">
        <f>'Indirect Costs'!$I$132</f>
        <v>75000</v>
      </c>
      <c r="F82" s="491">
        <v>460635.14159999992</v>
      </c>
      <c r="G82" s="492">
        <f>'Indirect Costs'!$I$132</f>
        <v>75000</v>
      </c>
      <c r="H82" s="334">
        <f>'Indirect Costs'!$BI$132</f>
        <v>87046.64</v>
      </c>
      <c r="J82" s="324">
        <f t="shared" si="4"/>
        <v>-12046.64</v>
      </c>
      <c r="K82" s="336">
        <f t="shared" si="5"/>
        <v>1.1606218666666666</v>
      </c>
      <c r="M82" s="405" t="str">
        <f>IFERROR(K82/Producción!#REF!,"")</f>
        <v/>
      </c>
    </row>
    <row r="83" spans="2:13" ht="5.0999999999999996" customHeight="1" x14ac:dyDescent="0.3">
      <c r="B83" s="934"/>
      <c r="C83" s="935"/>
      <c r="D83" s="936"/>
      <c r="F83" s="328"/>
      <c r="G83" s="488"/>
      <c r="H83" s="327"/>
      <c r="J83" s="333"/>
      <c r="K83" s="332"/>
      <c r="M83" s="403"/>
    </row>
    <row r="84" spans="2:13" x14ac:dyDescent="0.3">
      <c r="B84" s="955" t="s">
        <v>51</v>
      </c>
      <c r="C84" s="956"/>
      <c r="D84" s="957"/>
      <c r="F84" s="489">
        <f>SUBTOTAL(9,F85:F88)</f>
        <v>13977121.416533332</v>
      </c>
      <c r="G84" s="489">
        <f>SUBTOTAL(9,G85:G88)</f>
        <v>7740567.5477999998</v>
      </c>
      <c r="H84" s="384">
        <f>SUBTOTAL(9,H85:H88)</f>
        <v>5676539.1320000002</v>
      </c>
      <c r="J84" s="331">
        <f>SUBTOTAL(9,J85:J88)</f>
        <v>2064028.4157999991</v>
      </c>
      <c r="K84" s="330"/>
      <c r="M84" s="403"/>
    </row>
    <row r="85" spans="2:13" x14ac:dyDescent="0.3">
      <c r="B85" s="931" t="str">
        <f>B47</f>
        <v>PILAS DE CIMENTACIÓN</v>
      </c>
      <c r="C85" s="932"/>
      <c r="D85" s="954"/>
      <c r="F85" s="491">
        <v>12586231.307999998</v>
      </c>
      <c r="G85" s="492">
        <f>G48</f>
        <v>6371392.1377999997</v>
      </c>
      <c r="H85" s="334">
        <f>H48</f>
        <v>4698268.9920000006</v>
      </c>
      <c r="J85" s="326">
        <f>G85-H85</f>
        <v>1673123.1457999991</v>
      </c>
      <c r="K85" s="336">
        <f>IFERROR(H85/G85,"")</f>
        <v>0.73740069523052187</v>
      </c>
      <c r="M85" s="405" t="str">
        <f>IFERROR(K85/Producción!#REF!,"")</f>
        <v/>
      </c>
    </row>
    <row r="86" spans="2:13" x14ac:dyDescent="0.3">
      <c r="B86" s="904" t="str">
        <f>B51</f>
        <v>MECÁNICAS DE SUELOS Y TOPOGRAFÍAS</v>
      </c>
      <c r="C86" s="905"/>
      <c r="D86" s="906"/>
      <c r="F86" s="491">
        <v>1390890.1085333333</v>
      </c>
      <c r="G86" s="492">
        <f>G52</f>
        <v>991424.59000000008</v>
      </c>
      <c r="H86" s="334">
        <f>H52</f>
        <v>616735.43000000005</v>
      </c>
      <c r="J86" s="324">
        <f>G86-H86</f>
        <v>374689.16000000003</v>
      </c>
      <c r="K86" s="336">
        <f>IFERROR(H86/G86,"")</f>
        <v>0.62206993473906069</v>
      </c>
      <c r="M86" s="405" t="str">
        <f>IFERROR(K86/Producción!#REF!,"")</f>
        <v/>
      </c>
    </row>
    <row r="87" spans="2:13" x14ac:dyDescent="0.3">
      <c r="B87" s="951" t="str">
        <f>B55</f>
        <v>SHELTER JIQUILPAN</v>
      </c>
      <c r="C87" s="952"/>
      <c r="D87" s="953"/>
      <c r="F87" s="491"/>
      <c r="G87" s="492">
        <f>G56</f>
        <v>377750.82</v>
      </c>
      <c r="H87" s="334">
        <f>H56</f>
        <v>361534.71</v>
      </c>
      <c r="J87" s="329">
        <f>G87-H87</f>
        <v>16216.109999999986</v>
      </c>
      <c r="K87" s="336">
        <f>IFERROR(H87/G87,"")</f>
        <v>0.95707193964529325</v>
      </c>
      <c r="M87" s="405" t="str">
        <f>IFERROR(K87/Producción!#REF!,"")</f>
        <v/>
      </c>
    </row>
    <row r="88" spans="2:13" ht="5.0999999999999996" customHeight="1" x14ac:dyDescent="0.3">
      <c r="B88" s="948"/>
      <c r="C88" s="949"/>
      <c r="D88" s="950"/>
      <c r="F88" s="328"/>
      <c r="G88" s="488"/>
      <c r="H88" s="327"/>
      <c r="J88" s="328"/>
      <c r="K88" s="327"/>
    </row>
    <row r="89" spans="2:13" ht="15" customHeight="1" x14ac:dyDescent="0.3"/>
    <row r="90" spans="2:13" ht="15" thickBot="1" x14ac:dyDescent="0.35">
      <c r="B90" s="943" t="s">
        <v>66</v>
      </c>
      <c r="C90" s="943"/>
      <c r="D90" s="943"/>
      <c r="E90" s="943"/>
      <c r="F90" s="943"/>
      <c r="G90" s="943"/>
      <c r="H90" s="943"/>
      <c r="I90" s="943"/>
      <c r="J90" s="943"/>
      <c r="K90" s="943"/>
    </row>
    <row r="91" spans="2:13" ht="6" customHeight="1" thickTop="1" x14ac:dyDescent="0.3"/>
    <row r="92" spans="2:13" x14ac:dyDescent="0.3">
      <c r="B92" s="940" t="s">
        <v>67</v>
      </c>
      <c r="C92" s="940"/>
      <c r="D92" s="940"/>
      <c r="E92" s="942" t="s">
        <v>68</v>
      </c>
      <c r="F92" s="942"/>
      <c r="G92" s="942"/>
      <c r="H92" s="942"/>
      <c r="I92" s="942"/>
      <c r="J92" s="942"/>
      <c r="K92" s="942"/>
    </row>
    <row r="93" spans="2:13" x14ac:dyDescent="0.3">
      <c r="B93" s="940"/>
      <c r="C93" s="940"/>
      <c r="D93" s="941"/>
      <c r="E93" s="908" t="s">
        <v>69</v>
      </c>
      <c r="F93" s="909"/>
      <c r="G93" s="908" t="s">
        <v>70</v>
      </c>
      <c r="H93" s="910"/>
      <c r="I93" s="909"/>
      <c r="J93" s="908" t="s">
        <v>71</v>
      </c>
      <c r="K93" s="909"/>
    </row>
    <row r="94" spans="2:13" x14ac:dyDescent="0.3">
      <c r="B94" s="401"/>
      <c r="C94" s="402"/>
      <c r="D94" s="402"/>
      <c r="E94" s="911">
        <f>SUM(E95:E101)</f>
        <v>0</v>
      </c>
      <c r="F94" s="912"/>
      <c r="G94" s="911">
        <f>SUM(G95:G101)</f>
        <v>0</v>
      </c>
      <c r="H94" s="914"/>
      <c r="I94" s="912"/>
      <c r="J94" s="392"/>
      <c r="K94" s="396"/>
    </row>
    <row r="95" spans="2:13" x14ac:dyDescent="0.3">
      <c r="B95" s="904"/>
      <c r="C95" s="905"/>
      <c r="D95" s="913"/>
      <c r="E95" s="938"/>
      <c r="F95" s="933"/>
      <c r="G95" s="958"/>
      <c r="H95" s="958"/>
      <c r="I95" s="958"/>
      <c r="J95" s="326"/>
      <c r="K95" s="325"/>
    </row>
    <row r="96" spans="2:13" x14ac:dyDescent="0.3">
      <c r="B96" s="904"/>
      <c r="C96" s="905"/>
      <c r="D96" s="913"/>
      <c r="E96" s="939"/>
      <c r="F96" s="913"/>
      <c r="G96" s="944"/>
      <c r="H96" s="944"/>
      <c r="I96" s="944"/>
      <c r="J96" s="324"/>
      <c r="K96" s="323"/>
    </row>
    <row r="97" spans="2:11" x14ac:dyDescent="0.3">
      <c r="B97" s="904"/>
      <c r="C97" s="905"/>
      <c r="D97" s="913"/>
      <c r="E97" s="939"/>
      <c r="F97" s="913"/>
      <c r="G97" s="944"/>
      <c r="H97" s="944"/>
      <c r="I97" s="944"/>
      <c r="J97" s="324"/>
      <c r="K97" s="323"/>
    </row>
    <row r="98" spans="2:11" x14ac:dyDescent="0.3">
      <c r="B98" s="904"/>
      <c r="C98" s="905"/>
      <c r="D98" s="913"/>
      <c r="E98" s="939"/>
      <c r="F98" s="913"/>
      <c r="G98" s="944"/>
      <c r="H98" s="944"/>
      <c r="I98" s="944"/>
      <c r="J98" s="324"/>
      <c r="K98" s="323"/>
    </row>
    <row r="99" spans="2:11" x14ac:dyDescent="0.3">
      <c r="B99" s="904"/>
      <c r="C99" s="905"/>
      <c r="D99" s="913"/>
      <c r="E99" s="939"/>
      <c r="F99" s="913"/>
      <c r="G99" s="944"/>
      <c r="H99" s="944"/>
      <c r="I99" s="944"/>
      <c r="J99" s="324"/>
      <c r="K99" s="323"/>
    </row>
    <row r="100" spans="2:11" x14ac:dyDescent="0.3">
      <c r="B100" s="904"/>
      <c r="C100" s="905"/>
      <c r="D100" s="913"/>
      <c r="E100" s="939"/>
      <c r="F100" s="913"/>
      <c r="G100" s="944"/>
      <c r="H100" s="944"/>
      <c r="I100" s="944"/>
      <c r="J100" s="322"/>
      <c r="K100" s="321"/>
    </row>
    <row r="101" spans="2:11" ht="5.0999999999999996" customHeight="1" x14ac:dyDescent="0.3">
      <c r="B101" s="926"/>
      <c r="C101" s="927"/>
      <c r="D101" s="927"/>
      <c r="E101" s="927"/>
      <c r="F101" s="927"/>
      <c r="G101" s="927"/>
      <c r="H101" s="927"/>
      <c r="I101" s="927"/>
      <c r="J101" s="927"/>
      <c r="K101" s="928"/>
    </row>
    <row r="102" spans="2:11" ht="15" customHeight="1" x14ac:dyDescent="0.3"/>
    <row r="103" spans="2:11" ht="15" thickBot="1" x14ac:dyDescent="0.35">
      <c r="B103" s="943" t="s">
        <v>72</v>
      </c>
      <c r="C103" s="943"/>
      <c r="D103" s="943"/>
      <c r="E103" s="943"/>
      <c r="F103" s="943"/>
      <c r="G103" s="943"/>
      <c r="H103" s="943"/>
      <c r="I103" s="943"/>
      <c r="J103" s="943"/>
      <c r="K103" s="943"/>
    </row>
    <row r="104" spans="2:11" ht="6" customHeight="1" thickTop="1" x14ac:dyDescent="0.3"/>
    <row r="105" spans="2:11" x14ac:dyDescent="0.3">
      <c r="B105" s="940" t="s">
        <v>73</v>
      </c>
      <c r="C105" s="940"/>
      <c r="D105" s="940"/>
      <c r="E105" s="942" t="s">
        <v>74</v>
      </c>
      <c r="F105" s="942"/>
      <c r="G105" s="942"/>
      <c r="H105" s="942"/>
      <c r="I105" s="942"/>
      <c r="J105" s="942"/>
      <c r="K105" s="942"/>
    </row>
    <row r="106" spans="2:11" x14ac:dyDescent="0.3">
      <c r="B106" s="940"/>
      <c r="C106" s="940"/>
      <c r="D106" s="941"/>
      <c r="E106" s="908" t="s">
        <v>75</v>
      </c>
      <c r="F106" s="909"/>
      <c r="G106" s="908" t="s">
        <v>76</v>
      </c>
      <c r="H106" s="910"/>
      <c r="I106" s="909"/>
      <c r="J106" s="397" t="s">
        <v>77</v>
      </c>
      <c r="K106" s="399" t="s">
        <v>71</v>
      </c>
    </row>
    <row r="107" spans="2:11" x14ac:dyDescent="0.3">
      <c r="B107" s="940"/>
      <c r="C107" s="940"/>
      <c r="D107" s="941"/>
      <c r="E107" s="911">
        <f>SUM(E108:E119)</f>
        <v>0</v>
      </c>
      <c r="F107" s="912"/>
      <c r="G107" s="911">
        <f>SUM(G108:G119)</f>
        <v>197778.87896551719</v>
      </c>
      <c r="H107" s="914"/>
      <c r="I107" s="912"/>
      <c r="J107" s="398">
        <f>SUM(J108:J119)</f>
        <v>-197778.87896551719</v>
      </c>
      <c r="K107" s="400" t="str">
        <f>IFERROR(G107/E107,"")</f>
        <v/>
      </c>
    </row>
    <row r="108" spans="2:11" x14ac:dyDescent="0.3">
      <c r="B108" s="931" t="s">
        <v>78</v>
      </c>
      <c r="C108" s="932"/>
      <c r="D108" s="933"/>
      <c r="E108" s="946">
        <f>SUMIF('Indirect Costs'!$A$11:$A$138,"AC1",'Indirect Costs'!$I$11:$I$138)+SUMIF('Costo Directo'!$B$14:$B$247,"AC1",'Costo Directo'!$J$14:$J$247)</f>
        <v>0</v>
      </c>
      <c r="F108" s="947" t="e">
        <f>SUMIF('Indirect Costs'!$A$11:$A$138,"AC1",'Indirect Costs'!$I$11:$I$138)+SUMIF('Costo Directo'!$B$14:$B$247,"AC1",'Costo Directo'!$J$14:$J$247)-B108</f>
        <v>#VALUE!</v>
      </c>
      <c r="G108" s="945">
        <f>SUMIFS(Imput!$I$12:$I$3751,Imput!$C$12:$C$3751,"AC1")</f>
        <v>0</v>
      </c>
      <c r="H108" s="945"/>
      <c r="I108" s="945"/>
      <c r="J108" s="356">
        <f>E108-G108</f>
        <v>0</v>
      </c>
      <c r="K108" s="337" t="str">
        <f>IFERROR(G108/E108,"%")</f>
        <v>%</v>
      </c>
    </row>
    <row r="109" spans="2:11" x14ac:dyDescent="0.3">
      <c r="B109" s="904" t="s">
        <v>79</v>
      </c>
      <c r="C109" s="905"/>
      <c r="D109" s="913"/>
      <c r="E109" s="929">
        <f>SUMIF('Indirect Costs'!$A$11:$A$138,"AC2",'Indirect Costs'!$I$11:$I$138)+SUMIF('Costo Directo'!$B$14:$B$247,"AC2",'Costo Directo'!$J$14:$J$247)</f>
        <v>0</v>
      </c>
      <c r="F109" s="930" t="e">
        <f>SUMIF('Indirect Costs'!$A$11:$A$138,"AC2",'Indirect Costs'!$I$11:$I$138)+SUMIF('Costo Directo'!$B$14:$B$247,"AC2",'Costo Directo'!$J$14:$J$247)-B109</f>
        <v>#VALUE!</v>
      </c>
      <c r="G109" s="907">
        <f>SUMIFS(Imput!$I$12:$I$3751,Imput!$C$12:$C$3751,"AC2")</f>
        <v>171278.87896551719</v>
      </c>
      <c r="H109" s="907"/>
      <c r="I109" s="907"/>
      <c r="J109" s="356">
        <f t="shared" ref="J109:J112" si="6">E109-G109</f>
        <v>-171278.87896551719</v>
      </c>
      <c r="K109" s="337" t="str">
        <f t="shared" ref="K109:K113" si="7">IFERROR(G109/E109,"%")</f>
        <v>%</v>
      </c>
    </row>
    <row r="110" spans="2:11" x14ac:dyDescent="0.3">
      <c r="B110" s="904" t="s">
        <v>80</v>
      </c>
      <c r="C110" s="905"/>
      <c r="D110" s="913"/>
      <c r="E110" s="929">
        <f>SUMIF('Indirect Costs'!$A$11:$A$138,"AC3",'Indirect Costs'!$I$11:$I$138)+SUMIF('Costo Directo'!$B$14:$B$247,"AC3",'Costo Directo'!$J$14:$J$247)</f>
        <v>0</v>
      </c>
      <c r="F110" s="930" t="e">
        <f>SUMIF('Indirect Costs'!$A$11:$A$138,"AC3",'Indirect Costs'!$I$11:$I$138)+SUMIF('Costo Directo'!$B$14:$B$247,"AC3",'Costo Directo'!$J$14:$J$247)-B110</f>
        <v>#VALUE!</v>
      </c>
      <c r="G110" s="907">
        <f>SUMIFS(Imput!$I$12:$I$3751,Imput!$C$12:$C$3751,"AC3")</f>
        <v>26500</v>
      </c>
      <c r="H110" s="907"/>
      <c r="I110" s="907"/>
      <c r="J110" s="356">
        <f t="shared" si="6"/>
        <v>-26500</v>
      </c>
      <c r="K110" s="337" t="str">
        <f t="shared" si="7"/>
        <v>%</v>
      </c>
    </row>
    <row r="111" spans="2:11" x14ac:dyDescent="0.3">
      <c r="B111" s="904" t="s">
        <v>81</v>
      </c>
      <c r="C111" s="905"/>
      <c r="D111" s="913"/>
      <c r="E111" s="929">
        <f>SUMIF('Indirect Costs'!$A$11:$A$138,"AC4",'Indirect Costs'!$I$11:$I$138)+SUMIF('Costo Directo'!$B$14:$B$247,"AC4",'Costo Directo'!$J$14:$J$247)</f>
        <v>0</v>
      </c>
      <c r="F111" s="930" t="e">
        <f>SUMIF('Indirect Costs'!$A$11:$A$138,"AC4",'Indirect Costs'!$I$11:$I$138)+SUMIF('Costo Directo'!$B$14:$B$247,"AC4",'Costo Directo'!$J$14:$J$247)-B111</f>
        <v>#VALUE!</v>
      </c>
      <c r="G111" s="907">
        <f>SUMIFS(Imput!$I$12:$I$3751,Imput!$C$12:$C$3751,"AC4")</f>
        <v>0</v>
      </c>
      <c r="H111" s="907"/>
      <c r="I111" s="907"/>
      <c r="J111" s="356">
        <f t="shared" si="6"/>
        <v>0</v>
      </c>
      <c r="K111" s="337" t="str">
        <f t="shared" si="7"/>
        <v>%</v>
      </c>
    </row>
    <row r="112" spans="2:11" x14ac:dyDescent="0.3">
      <c r="B112" s="904" t="s">
        <v>82</v>
      </c>
      <c r="C112" s="905"/>
      <c r="D112" s="913"/>
      <c r="E112" s="929">
        <f>SUMIF('Indirect Costs'!$A$11:$A$138,"AC5",'Indirect Costs'!$I$11:$I$138)+SUMIF('Costo Directo'!$B$14:$B$247,"AC5",'Costo Directo'!$J$14:$J$247)</f>
        <v>0</v>
      </c>
      <c r="F112" s="930" t="e">
        <f>SUMIF('Indirect Costs'!$A$11:$A$138,"AC5",'Indirect Costs'!$I$11:$I$138)+SUMIF('Costo Directo'!$B$14:$B$247,"AC5",'Costo Directo'!$J$14:$J$247)-B112</f>
        <v>#VALUE!</v>
      </c>
      <c r="G112" s="907">
        <f>SUMIFS(Imput!$I$12:$I$3751,Imput!$C$12:$C$3751,"AC5")</f>
        <v>0</v>
      </c>
      <c r="H112" s="907"/>
      <c r="I112" s="907"/>
      <c r="J112" s="356">
        <f t="shared" si="6"/>
        <v>0</v>
      </c>
      <c r="K112" s="337" t="str">
        <f t="shared" si="7"/>
        <v>%</v>
      </c>
    </row>
    <row r="113" spans="2:11" x14ac:dyDescent="0.3">
      <c r="B113" s="904" t="s">
        <v>83</v>
      </c>
      <c r="C113" s="905"/>
      <c r="D113" s="913"/>
      <c r="E113" s="929">
        <f>SUMIF('Indirect Costs'!$A$11:$A$138,"AC6",'Indirect Costs'!$I$11:$I$138)+SUMIF('Costo Directo'!$B$14:$B$247,"AC6",'Costo Directo'!$J$14:$J$247)</f>
        <v>0</v>
      </c>
      <c r="F113" s="930" t="e">
        <f>SUMIF('Indirect Costs'!$A$11:$A$138,"AC6",'Indirect Costs'!$I$11:$I$138)+SUMIF('Costo Directo'!$B$14:$B$247,"AC6",'Costo Directo'!$J$14:$J$247)-B113</f>
        <v>#VALUE!</v>
      </c>
      <c r="G113" s="907">
        <f>SUMIFS(Imput!$I$12:$I$3751,Imput!$C$12:$C$3751,"AC6")</f>
        <v>0</v>
      </c>
      <c r="H113" s="907"/>
      <c r="I113" s="907"/>
      <c r="J113" s="356">
        <f>E113-G113</f>
        <v>0</v>
      </c>
      <c r="K113" s="337" t="str">
        <f t="shared" si="7"/>
        <v>%</v>
      </c>
    </row>
    <row r="114" spans="2:11" x14ac:dyDescent="0.3">
      <c r="B114" s="904"/>
      <c r="C114" s="905"/>
      <c r="D114" s="913"/>
      <c r="E114" s="929"/>
      <c r="F114" s="930"/>
      <c r="G114" s="907"/>
      <c r="H114" s="907"/>
      <c r="I114" s="907"/>
      <c r="J114" s="356"/>
      <c r="K114" s="337"/>
    </row>
    <row r="115" spans="2:11" x14ac:dyDescent="0.3">
      <c r="B115" s="904"/>
      <c r="C115" s="905"/>
      <c r="D115" s="913"/>
      <c r="E115" s="929"/>
      <c r="F115" s="930"/>
      <c r="G115" s="907"/>
      <c r="H115" s="907"/>
      <c r="I115" s="907"/>
      <c r="J115" s="356"/>
      <c r="K115" s="337"/>
    </row>
    <row r="116" spans="2:11" x14ac:dyDescent="0.3">
      <c r="B116" s="904"/>
      <c r="C116" s="905"/>
      <c r="D116" s="913"/>
      <c r="E116" s="929"/>
      <c r="F116" s="930"/>
      <c r="G116" s="907"/>
      <c r="H116" s="907"/>
      <c r="I116" s="907"/>
      <c r="J116" s="356"/>
      <c r="K116" s="337"/>
    </row>
    <row r="117" spans="2:11" x14ac:dyDescent="0.3">
      <c r="B117" s="904"/>
      <c r="C117" s="905"/>
      <c r="D117" s="913"/>
      <c r="E117" s="929"/>
      <c r="F117" s="930"/>
      <c r="G117" s="907"/>
      <c r="H117" s="907"/>
      <c r="I117" s="907"/>
      <c r="J117" s="356"/>
      <c r="K117" s="337"/>
    </row>
    <row r="118" spans="2:11" x14ac:dyDescent="0.3">
      <c r="B118" s="922"/>
      <c r="C118" s="923"/>
      <c r="D118" s="937"/>
      <c r="E118" s="929"/>
      <c r="F118" s="930"/>
      <c r="G118" s="907"/>
      <c r="H118" s="907"/>
      <c r="I118" s="907"/>
      <c r="J118" s="356"/>
      <c r="K118" s="337"/>
    </row>
    <row r="119" spans="2:11" ht="5.0999999999999996" customHeight="1" x14ac:dyDescent="0.3">
      <c r="B119" s="926"/>
      <c r="C119" s="927"/>
      <c r="D119" s="927"/>
      <c r="E119" s="927"/>
      <c r="F119" s="927"/>
      <c r="G119" s="927"/>
      <c r="H119" s="927"/>
      <c r="I119" s="927"/>
      <c r="J119" s="927"/>
      <c r="K119" s="928"/>
    </row>
  </sheetData>
  <mergeCells count="131">
    <mergeCell ref="G14:H14"/>
    <mergeCell ref="G18:H18"/>
    <mergeCell ref="G22:H22"/>
    <mergeCell ref="G32:H32"/>
    <mergeCell ref="G36:H36"/>
    <mergeCell ref="D2:I2"/>
    <mergeCell ref="D3:I3"/>
    <mergeCell ref="C4:J4"/>
    <mergeCell ref="I28:J28"/>
    <mergeCell ref="G11:H11"/>
    <mergeCell ref="G19:H19"/>
    <mergeCell ref="G23:H23"/>
    <mergeCell ref="B43:K43"/>
    <mergeCell ref="B25:K25"/>
    <mergeCell ref="B5:K5"/>
    <mergeCell ref="E93:F93"/>
    <mergeCell ref="B66:D66"/>
    <mergeCell ref="B67:D67"/>
    <mergeCell ref="B68:D68"/>
    <mergeCell ref="B69:D69"/>
    <mergeCell ref="G29:H29"/>
    <mergeCell ref="G28:H28"/>
    <mergeCell ref="I29:J29"/>
    <mergeCell ref="B74:D74"/>
    <mergeCell ref="B62:D62"/>
    <mergeCell ref="B63:D63"/>
    <mergeCell ref="B72:D72"/>
    <mergeCell ref="B75:D75"/>
    <mergeCell ref="B56:D56"/>
    <mergeCell ref="B55:D55"/>
    <mergeCell ref="B54:D54"/>
    <mergeCell ref="J93:K93"/>
    <mergeCell ref="B76:D76"/>
    <mergeCell ref="B77:D77"/>
    <mergeCell ref="B78:D78"/>
    <mergeCell ref="G10:H10"/>
    <mergeCell ref="B79:D79"/>
    <mergeCell ref="E92:K92"/>
    <mergeCell ref="B92:D93"/>
    <mergeCell ref="B85:D85"/>
    <mergeCell ref="B84:D84"/>
    <mergeCell ref="B83:D83"/>
    <mergeCell ref="G93:I93"/>
    <mergeCell ref="G95:I95"/>
    <mergeCell ref="G96:I96"/>
    <mergeCell ref="B90:K90"/>
    <mergeCell ref="G108:I108"/>
    <mergeCell ref="B98:D98"/>
    <mergeCell ref="E99:F99"/>
    <mergeCell ref="B100:D100"/>
    <mergeCell ref="E100:F100"/>
    <mergeCell ref="G98:I98"/>
    <mergeCell ref="E108:F108"/>
    <mergeCell ref="B88:D88"/>
    <mergeCell ref="B82:D82"/>
    <mergeCell ref="B86:D86"/>
    <mergeCell ref="B87:D87"/>
    <mergeCell ref="E98:F98"/>
    <mergeCell ref="G97:I97"/>
    <mergeCell ref="B73:D73"/>
    <mergeCell ref="B118:D118"/>
    <mergeCell ref="E118:F118"/>
    <mergeCell ref="B95:D95"/>
    <mergeCell ref="E95:F95"/>
    <mergeCell ref="B96:D96"/>
    <mergeCell ref="E96:F96"/>
    <mergeCell ref="B97:D97"/>
    <mergeCell ref="E97:F97"/>
    <mergeCell ref="B117:D117"/>
    <mergeCell ref="E117:F117"/>
    <mergeCell ref="B115:D115"/>
    <mergeCell ref="E115:F115"/>
    <mergeCell ref="B105:D107"/>
    <mergeCell ref="E109:F109"/>
    <mergeCell ref="E107:F107"/>
    <mergeCell ref="E105:K105"/>
    <mergeCell ref="B103:K103"/>
    <mergeCell ref="E110:F110"/>
    <mergeCell ref="G99:I99"/>
    <mergeCell ref="G100:I100"/>
    <mergeCell ref="B116:D116"/>
    <mergeCell ref="E116:F116"/>
    <mergeCell ref="G110:I110"/>
    <mergeCell ref="B57:D57"/>
    <mergeCell ref="B119:K119"/>
    <mergeCell ref="B101:K101"/>
    <mergeCell ref="F21:H21"/>
    <mergeCell ref="G118:I118"/>
    <mergeCell ref="B111:D111"/>
    <mergeCell ref="E111:F111"/>
    <mergeCell ref="B112:D112"/>
    <mergeCell ref="E112:F112"/>
    <mergeCell ref="B113:D113"/>
    <mergeCell ref="E113:F113"/>
    <mergeCell ref="B114:D114"/>
    <mergeCell ref="G111:I111"/>
    <mergeCell ref="G112:I112"/>
    <mergeCell ref="G113:I113"/>
    <mergeCell ref="G114:I114"/>
    <mergeCell ref="G115:I115"/>
    <mergeCell ref="G116:I116"/>
    <mergeCell ref="G109:I109"/>
    <mergeCell ref="E114:F114"/>
    <mergeCell ref="B108:D108"/>
    <mergeCell ref="B109:D109"/>
    <mergeCell ref="B110:D110"/>
    <mergeCell ref="B49:D49"/>
    <mergeCell ref="B71:D71"/>
    <mergeCell ref="G117:I117"/>
    <mergeCell ref="E106:F106"/>
    <mergeCell ref="G106:I106"/>
    <mergeCell ref="E94:F94"/>
    <mergeCell ref="B99:D99"/>
    <mergeCell ref="G107:I107"/>
    <mergeCell ref="F17:H17"/>
    <mergeCell ref="G15:H15"/>
    <mergeCell ref="B52:D52"/>
    <mergeCell ref="B51:D51"/>
    <mergeCell ref="B50:D50"/>
    <mergeCell ref="B53:D53"/>
    <mergeCell ref="G37:H37"/>
    <mergeCell ref="G33:H33"/>
    <mergeCell ref="B48:D48"/>
    <mergeCell ref="B47:D47"/>
    <mergeCell ref="G94:I94"/>
    <mergeCell ref="B58:D58"/>
    <mergeCell ref="B70:D70"/>
    <mergeCell ref="B80:D80"/>
    <mergeCell ref="B81:D81"/>
    <mergeCell ref="B64:D64"/>
    <mergeCell ref="B65:D65"/>
  </mergeCells>
  <conditionalFormatting sqref="G108:J118">
    <cfRule type="cellIs" dxfId="25" priority="3" operator="lessThan">
      <formula>0</formula>
    </cfRule>
  </conditionalFormatting>
  <conditionalFormatting sqref="K63:K72 K75:K82 K85:K87">
    <cfRule type="cellIs" dxfId="24" priority="1" operator="greaterThan">
      <formula>1</formula>
    </cfRule>
  </conditionalFormatting>
  <conditionalFormatting sqref="K108:K118">
    <cfRule type="cellIs" dxfId="23" priority="2" operator="greaterThan">
      <formula>1</formula>
    </cfRule>
  </conditionalFormatting>
  <dataValidations count="2">
    <dataValidation allowBlank="1" showInputMessage="1" showErrorMessage="1" prompt="(Nombre del Proyecto)" sqref="D2:I2" xr:uid="{DD4E0034-C45F-45E5-92CF-2717E48C98A8}"/>
    <dataValidation allowBlank="1" showInputMessage="1" showErrorMessage="1" prompt="(Nombre del Cliente)" sqref="D3:I3" xr:uid="{41566F54-4EFF-4CC2-8778-81C96607B9E2}"/>
  </dataValidations>
  <pageMargins left="0.25" right="0.25" top="0.65" bottom="0.75" header="0.3" footer="0.3"/>
  <pageSetup scale="36" fitToHeight="0" orientation="portrait" horizontalDpi="360" verticalDpi="360" r:id="rId1"/>
  <rowBreaks count="1" manualBreakCount="1">
    <brk id="120" max="1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2265-E07D-48DF-B783-53FC99280C35}">
  <sheetPr codeName="Hoja1"/>
  <dimension ref="A3:AD3751"/>
  <sheetViews>
    <sheetView tabSelected="1" zoomScale="80" zoomScaleNormal="80" workbookViewId="0">
      <pane xSplit="6" ySplit="11" topLeftCell="G1746" activePane="bottomRight" state="frozen"/>
      <selection pane="topRight" activeCell="H1" sqref="H1"/>
      <selection pane="bottomLeft" activeCell="A12" sqref="A12"/>
      <selection pane="bottomRight" activeCell="E1833" sqref="E1833"/>
    </sheetView>
  </sheetViews>
  <sheetFormatPr baseColWidth="10" defaultColWidth="11.44140625" defaultRowHeight="14.4" x14ac:dyDescent="0.3"/>
  <cols>
    <col min="1" max="1" width="1.44140625" style="22" customWidth="1"/>
    <col min="2" max="2" width="15.109375" style="21" customWidth="1"/>
    <col min="3" max="3" width="12.44140625" style="21" customWidth="1"/>
    <col min="4" max="4" width="17.88671875" style="21" customWidth="1"/>
    <col min="5" max="5" width="28" style="21" customWidth="1"/>
    <col min="6" max="6" width="48.6640625" style="21" customWidth="1"/>
    <col min="7" max="7" width="10.21875" style="21" customWidth="1"/>
    <col min="8" max="8" width="15.88671875" style="21" customWidth="1"/>
    <col min="9" max="9" width="19.33203125" style="21" customWidth="1"/>
    <col min="10" max="10" width="15.88671875" style="21" bestFit="1" customWidth="1"/>
    <col min="11" max="11" width="16.109375" style="21" customWidth="1"/>
    <col min="12" max="12" width="19.33203125" style="21" customWidth="1"/>
    <col min="13" max="13" width="19.33203125" style="21" hidden="1" customWidth="1"/>
    <col min="14" max="14" width="14.77734375" style="21" customWidth="1"/>
    <col min="15" max="15" width="12.109375" style="21" customWidth="1"/>
    <col min="16" max="16" width="43.21875" style="21" customWidth="1"/>
    <col min="17" max="17" width="24.77734375" style="21" customWidth="1"/>
    <col min="18" max="18" width="12.44140625" style="21" customWidth="1"/>
    <col min="19" max="19" width="29" style="21" customWidth="1"/>
    <col min="20" max="20" width="22.6640625" style="21" customWidth="1"/>
    <col min="21" max="21" width="41.21875" style="21" customWidth="1"/>
    <col min="22" max="22" width="22.21875" style="21" customWidth="1"/>
    <col min="23" max="23" width="27.21875" style="21" bestFit="1" customWidth="1"/>
    <col min="24" max="24" width="21" style="21" customWidth="1"/>
    <col min="25" max="28" width="44.5546875" style="21" customWidth="1"/>
    <col min="29" max="16384" width="11.44140625" style="21"/>
  </cols>
  <sheetData>
    <row r="3" spans="2:30" ht="14.1" customHeight="1" x14ac:dyDescent="0.3">
      <c r="C3" s="978" t="s">
        <v>2008</v>
      </c>
      <c r="D3" s="978"/>
      <c r="E3" s="978"/>
      <c r="F3" s="978"/>
      <c r="J3" s="23"/>
      <c r="K3" s="23"/>
      <c r="L3" s="23"/>
      <c r="M3" s="23"/>
      <c r="N3" s="23" t="s">
        <v>84</v>
      </c>
      <c r="O3" s="23"/>
      <c r="P3" s="167">
        <v>20</v>
      </c>
    </row>
    <row r="4" spans="2:30" ht="14.1" customHeight="1" x14ac:dyDescent="0.3">
      <c r="C4" s="979" t="str">
        <f>CONCATENATE('Resumen Ejecutivo'!C2," ",'Resumen Ejecutivo'!D2)</f>
        <v>PROYECTO: CONSTRUCCIÓN DE 50 PILAS DE CONCRETO ARMADO PARA PMI'S EN EL ESTADO DE TAMAULIPAS (TAMPICO Y MANTE)</v>
      </c>
      <c r="D4" s="979"/>
      <c r="E4" s="979"/>
      <c r="F4" s="979"/>
      <c r="I4" s="19"/>
      <c r="J4" s="19"/>
      <c r="K4" s="19"/>
      <c r="L4" s="19"/>
      <c r="M4" s="19"/>
      <c r="N4" s="19"/>
      <c r="O4" s="19"/>
      <c r="P4" s="19"/>
      <c r="R4" s="19"/>
      <c r="S4" s="19"/>
      <c r="T4" s="19"/>
      <c r="U4" s="19"/>
      <c r="V4" s="19"/>
      <c r="W4" s="19"/>
      <c r="X4" s="19"/>
      <c r="Y4" s="19"/>
      <c r="Z4" s="19"/>
      <c r="AA4" s="19"/>
      <c r="AB4" s="19"/>
    </row>
    <row r="5" spans="2:30" ht="14.1" customHeight="1" x14ac:dyDescent="0.3">
      <c r="C5" s="978" t="str">
        <f>CONCATENATE('Resumen Ejecutivo'!C3," ",'Resumen Ejecutivo'!D3)</f>
        <v>CLIENTE: SYM KABAT</v>
      </c>
      <c r="D5" s="978"/>
      <c r="E5" s="978"/>
      <c r="F5" s="978"/>
      <c r="J5" s="23"/>
      <c r="K5" s="575" t="s">
        <v>1961</v>
      </c>
      <c r="L5" s="576">
        <f>Resultado!E13</f>
        <v>3533925.0583210988</v>
      </c>
      <c r="M5" s="576"/>
      <c r="N5" s="23" t="s">
        <v>85</v>
      </c>
      <c r="O5" s="23"/>
      <c r="P5" s="24">
        <f ca="1">TODAY()</f>
        <v>46076</v>
      </c>
      <c r="R5" s="19"/>
      <c r="S5" s="19"/>
      <c r="T5" s="19"/>
      <c r="U5" s="576"/>
      <c r="V5" s="19"/>
      <c r="W5" s="19"/>
      <c r="X5" s="19"/>
      <c r="Y5" s="19"/>
      <c r="Z5" s="19"/>
      <c r="AA5" s="19"/>
      <c r="AB5" s="19"/>
    </row>
    <row r="6" spans="2:30" ht="7.35" customHeight="1" x14ac:dyDescent="0.3">
      <c r="E6" s="19"/>
      <c r="F6" s="19"/>
      <c r="G6" s="19"/>
      <c r="H6" s="17"/>
      <c r="L6" s="260"/>
      <c r="M6" s="260"/>
      <c r="R6" s="17"/>
      <c r="S6" s="17"/>
      <c r="T6" s="17"/>
      <c r="U6" s="17"/>
      <c r="V6" s="17"/>
      <c r="W6" s="17"/>
      <c r="X6" s="17"/>
      <c r="Y6" s="17"/>
      <c r="Z6" s="17"/>
      <c r="AA6" s="17"/>
      <c r="AB6" s="17"/>
    </row>
    <row r="7" spans="2:30" ht="7.35" customHeight="1" thickBot="1" x14ac:dyDescent="0.35">
      <c r="C7" s="15"/>
      <c r="D7" s="20"/>
      <c r="E7" s="20"/>
      <c r="F7" s="20"/>
    </row>
    <row r="8" spans="2:30" ht="13.2" customHeight="1" thickBot="1" x14ac:dyDescent="0.35">
      <c r="B8" s="973" t="s">
        <v>86</v>
      </c>
      <c r="C8" s="975" t="s">
        <v>87</v>
      </c>
      <c r="D8" s="975" t="s">
        <v>88</v>
      </c>
      <c r="E8" s="975"/>
      <c r="F8" s="980" t="s">
        <v>89</v>
      </c>
      <c r="G8" s="980"/>
      <c r="H8" s="980"/>
      <c r="I8" s="980"/>
      <c r="J8" s="980"/>
      <c r="K8" s="980"/>
      <c r="L8" s="980"/>
      <c r="M8" s="843"/>
      <c r="N8" s="191"/>
      <c r="O8" s="448"/>
      <c r="P8" s="980" t="s">
        <v>90</v>
      </c>
      <c r="Q8" s="980"/>
      <c r="R8" s="980"/>
      <c r="S8" s="980"/>
      <c r="T8" s="980"/>
      <c r="U8" s="975" t="s">
        <v>91</v>
      </c>
      <c r="V8" s="977" t="s">
        <v>3322</v>
      </c>
      <c r="W8" s="622"/>
      <c r="X8" s="622"/>
      <c r="Y8" s="977" t="s">
        <v>92</v>
      </c>
      <c r="Z8" s="975" t="s">
        <v>93</v>
      </c>
      <c r="AA8" s="975"/>
      <c r="AB8" s="974" t="s">
        <v>94</v>
      </c>
    </row>
    <row r="9" spans="2:30" ht="29.4" thickBot="1" x14ac:dyDescent="0.35">
      <c r="B9" s="973"/>
      <c r="C9" s="975"/>
      <c r="D9" s="976" t="s">
        <v>95</v>
      </c>
      <c r="E9" s="976" t="s">
        <v>96</v>
      </c>
      <c r="F9" s="976" t="s">
        <v>97</v>
      </c>
      <c r="G9" s="976" t="s">
        <v>98</v>
      </c>
      <c r="H9" s="976" t="s">
        <v>99</v>
      </c>
      <c r="I9" s="201" t="s">
        <v>100</v>
      </c>
      <c r="J9" s="201" t="s">
        <v>101</v>
      </c>
      <c r="K9" s="201" t="s">
        <v>102</v>
      </c>
      <c r="L9" s="201" t="s">
        <v>103</v>
      </c>
      <c r="M9" s="201" t="s">
        <v>3328</v>
      </c>
      <c r="N9" s="981" t="s">
        <v>104</v>
      </c>
      <c r="O9" s="981" t="s">
        <v>105</v>
      </c>
      <c r="P9" s="981" t="s">
        <v>106</v>
      </c>
      <c r="Q9" s="976" t="s">
        <v>107</v>
      </c>
      <c r="R9" s="976" t="s">
        <v>2</v>
      </c>
      <c r="S9" s="976" t="s">
        <v>108</v>
      </c>
      <c r="T9" s="976" t="s">
        <v>3329</v>
      </c>
      <c r="U9" s="975"/>
      <c r="V9" s="977"/>
      <c r="W9" s="623" t="s">
        <v>3325</v>
      </c>
      <c r="X9" s="623"/>
      <c r="Y9" s="977"/>
      <c r="Z9" s="975"/>
      <c r="AA9" s="975"/>
      <c r="AB9" s="974"/>
    </row>
    <row r="10" spans="2:30" ht="15.6" customHeight="1" thickBot="1" x14ac:dyDescent="0.35">
      <c r="B10" s="973"/>
      <c r="C10" s="975"/>
      <c r="D10" s="976"/>
      <c r="E10" s="976"/>
      <c r="F10" s="976"/>
      <c r="G10" s="976"/>
      <c r="H10" s="976"/>
      <c r="I10" s="202">
        <f>SUBTOTAL(9,Imput[Sub total])</f>
        <v>6463521.0817846423</v>
      </c>
      <c r="J10" s="202">
        <f>SUBTOTAL(9,Imput[IVA])</f>
        <v>611525.37165177567</v>
      </c>
      <c r="K10" s="202">
        <f>SUBTOTAL(9,Imput[Retención / IEPS / Descuento])</f>
        <v>17700.802037427173</v>
      </c>
      <c r="L10" s="202">
        <f>SUBTOTAL(9,Imput[Importe Neto])</f>
        <v>7057345.6513989922</v>
      </c>
      <c r="M10" s="202">
        <f>SUBTOTAL(9,Imput[Columna8])</f>
        <v>7057345.6513989968</v>
      </c>
      <c r="N10" s="981"/>
      <c r="O10" s="981"/>
      <c r="P10" s="981"/>
      <c r="Q10" s="976"/>
      <c r="R10" s="976"/>
      <c r="S10" s="976"/>
      <c r="T10" s="976"/>
      <c r="U10" s="975"/>
      <c r="V10" s="977"/>
      <c r="W10" s="624"/>
      <c r="X10" s="624"/>
      <c r="Y10" s="977"/>
      <c r="Z10" s="975"/>
      <c r="AA10" s="975"/>
      <c r="AB10" s="974"/>
    </row>
    <row r="11" spans="2:30" ht="11.4" customHeight="1" thickBot="1" x14ac:dyDescent="0.35">
      <c r="B11" s="13" t="s">
        <v>110</v>
      </c>
      <c r="C11" s="12" t="s">
        <v>87</v>
      </c>
      <c r="D11" s="12" t="s">
        <v>111</v>
      </c>
      <c r="E11" s="12" t="s">
        <v>96</v>
      </c>
      <c r="F11" s="12" t="s">
        <v>97</v>
      </c>
      <c r="G11" s="12" t="s">
        <v>98</v>
      </c>
      <c r="H11" s="12" t="s">
        <v>99</v>
      </c>
      <c r="I11" s="12" t="s">
        <v>100</v>
      </c>
      <c r="J11" s="12" t="s">
        <v>101</v>
      </c>
      <c r="K11" s="12" t="s">
        <v>112</v>
      </c>
      <c r="L11" s="12" t="s">
        <v>103</v>
      </c>
      <c r="M11" s="12" t="s">
        <v>3323</v>
      </c>
      <c r="N11" s="12" t="s">
        <v>113</v>
      </c>
      <c r="O11" s="12" t="s">
        <v>105</v>
      </c>
      <c r="P11" s="12" t="s">
        <v>114</v>
      </c>
      <c r="Q11" s="12" t="s">
        <v>107</v>
      </c>
      <c r="R11" s="12" t="s">
        <v>2</v>
      </c>
      <c r="S11" s="14" t="s">
        <v>108</v>
      </c>
      <c r="T11" s="14" t="s">
        <v>109</v>
      </c>
      <c r="U11" s="267" t="s">
        <v>91</v>
      </c>
      <c r="V11" s="267" t="s">
        <v>115</v>
      </c>
      <c r="W11" s="267" t="s">
        <v>2934</v>
      </c>
      <c r="X11" s="267" t="s">
        <v>2935</v>
      </c>
      <c r="Y11" s="267" t="s">
        <v>116</v>
      </c>
      <c r="Z11" s="267" t="s">
        <v>117</v>
      </c>
      <c r="AA11" s="268" t="s">
        <v>118</v>
      </c>
      <c r="AB11" s="268" t="s">
        <v>119</v>
      </c>
    </row>
    <row r="12" spans="2:30" x14ac:dyDescent="0.3">
      <c r="B12" s="10" t="s">
        <v>129</v>
      </c>
      <c r="C12" s="315" t="s">
        <v>1748</v>
      </c>
      <c r="D12" s="868" t="s">
        <v>121</v>
      </c>
      <c r="E12" s="837" t="str">
        <f>IFERROR(IF(_xlfn.XLOOKUP(Imput[[#This Row],[RFC]],'Alta Proveedor'!D:D,'Alta Proveedor'!E:E)=0,"",_xlfn.XLOOKUP(Imput[[#This Row],[RFC]],'Alta Proveedor'!D:D,'Alta Proveedor'!E:E)),"")</f>
        <v>AEROENLACES NACIONALES (VUELOS)</v>
      </c>
      <c r="F12" s="832" t="s">
        <v>122</v>
      </c>
      <c r="G12" s="187">
        <v>1</v>
      </c>
      <c r="H12" s="1">
        <v>2577.02</v>
      </c>
      <c r="I12" s="169">
        <f>Imput[[#This Row],[Cantidad]]*Imput[[#This Row],[Precio Unitario]]</f>
        <v>2577.02</v>
      </c>
      <c r="J12" s="11">
        <f>Imput[[#This Row],[Sub total]]*0.159999</f>
        <v>412.32062298</v>
      </c>
      <c r="K12" s="11">
        <v>0</v>
      </c>
      <c r="L12" s="169">
        <f>Imput[[#This Row],[Sub total]]+Imput[[#This Row],[IVA]]-Imput[[#This Row],[Retención / IEPS / Descuento]]</f>
        <v>2989.3406229799998</v>
      </c>
      <c r="M12" s="844">
        <v>4262.3446088299997</v>
      </c>
      <c r="N12" s="189" t="s">
        <v>123</v>
      </c>
      <c r="O12" s="1"/>
      <c r="P12" s="189" t="s">
        <v>124</v>
      </c>
      <c r="Q12" s="190" t="s">
        <v>125</v>
      </c>
      <c r="R12" s="188">
        <v>45686</v>
      </c>
      <c r="S12" s="193" t="s">
        <v>126</v>
      </c>
      <c r="T12" s="192"/>
      <c r="U12" s="829"/>
      <c r="V12" s="10" t="s">
        <v>3324</v>
      </c>
      <c r="W12" s="10" t="s">
        <v>3326</v>
      </c>
      <c r="X12" s="10"/>
      <c r="Y12" s="10"/>
      <c r="Z12" s="10"/>
      <c r="AA12" s="11"/>
      <c r="AB12" s="11"/>
      <c r="AD12" s="260"/>
    </row>
    <row r="13" spans="2:30" x14ac:dyDescent="0.3">
      <c r="B13" s="10" t="s">
        <v>129</v>
      </c>
      <c r="C13" s="315" t="s">
        <v>1748</v>
      </c>
      <c r="D13" s="868" t="s">
        <v>121</v>
      </c>
      <c r="E13" s="837" t="str">
        <f>IFERROR(IF(_xlfn.XLOOKUP(Imput[[#This Row],[RFC]],'Alta Proveedor'!D:D,'Alta Proveedor'!E:E)=0,"",_xlfn.XLOOKUP(Imput[[#This Row],[RFC]],'Alta Proveedor'!D:D,'Alta Proveedor'!E:E)),"")</f>
        <v>AEROENLACES NACIONALES (VUELOS)</v>
      </c>
      <c r="F13" s="832" t="s">
        <v>127</v>
      </c>
      <c r="G13" s="187">
        <v>1</v>
      </c>
      <c r="H13" s="1">
        <v>14.15</v>
      </c>
      <c r="I13" s="169">
        <f>Imput[[#This Row],[Cantidad]]*Imput[[#This Row],[Precio Unitario]]</f>
        <v>14.15</v>
      </c>
      <c r="J13" s="11">
        <f>Imput[[#This Row],[Sub total]]*0.159999</f>
        <v>2.2639858500000001</v>
      </c>
      <c r="K13" s="11">
        <v>0</v>
      </c>
      <c r="L13" s="169">
        <f>Imput[[#This Row],[Sub total]]+Imput[[#This Row],[IVA]]-Imput[[#This Row],[Retención / IEPS / Descuento]]</f>
        <v>16.41398585</v>
      </c>
      <c r="M13" s="844">
        <v>0</v>
      </c>
      <c r="N13" s="189" t="s">
        <v>123</v>
      </c>
      <c r="O13" s="1"/>
      <c r="P13" s="189" t="s">
        <v>124</v>
      </c>
      <c r="Q13" s="190" t="s">
        <v>125</v>
      </c>
      <c r="R13" s="188">
        <v>45686</v>
      </c>
      <c r="S13" s="193" t="s">
        <v>126</v>
      </c>
      <c r="T13" s="192"/>
      <c r="U13" s="829"/>
      <c r="V13" s="10" t="s">
        <v>3324</v>
      </c>
      <c r="W13" s="10" t="s">
        <v>3326</v>
      </c>
      <c r="X13" s="10"/>
      <c r="Y13" s="10"/>
      <c r="Z13" s="10"/>
      <c r="AA13" s="11"/>
      <c r="AB13" s="11"/>
      <c r="AD13" s="260"/>
    </row>
    <row r="14" spans="2:30" x14ac:dyDescent="0.3">
      <c r="B14" s="10" t="s">
        <v>129</v>
      </c>
      <c r="C14" s="315" t="s">
        <v>1748</v>
      </c>
      <c r="D14" s="868" t="s">
        <v>121</v>
      </c>
      <c r="E14" s="837" t="str">
        <f>IFERROR(IF(_xlfn.XLOOKUP(Imput[[#This Row],[RFC]],'Alta Proveedor'!D:D,'Alta Proveedor'!E:E)=0,"",_xlfn.XLOOKUP(Imput[[#This Row],[RFC]],'Alta Proveedor'!D:D,'Alta Proveedor'!E:E)),"")</f>
        <v>AEROENLACES NACIONALES (VUELOS)</v>
      </c>
      <c r="F14" s="832" t="s">
        <v>128</v>
      </c>
      <c r="G14" s="187">
        <v>1</v>
      </c>
      <c r="H14" s="1">
        <v>1256.5899999999999</v>
      </c>
      <c r="I14" s="169">
        <f>Imput[[#This Row],[Cantidad]]*Imput[[#This Row],[Precio Unitario]]</f>
        <v>1256.5899999999999</v>
      </c>
      <c r="J14" s="11">
        <v>0</v>
      </c>
      <c r="K14" s="11">
        <v>0</v>
      </c>
      <c r="L14" s="169">
        <f>Imput[[#This Row],[Sub total]]+Imput[[#This Row],[IVA]]-Imput[[#This Row],[Retención / IEPS / Descuento]]</f>
        <v>1256.5899999999999</v>
      </c>
      <c r="M14" s="844">
        <v>0</v>
      </c>
      <c r="N14" s="189" t="s">
        <v>123</v>
      </c>
      <c r="O14" s="1"/>
      <c r="P14" s="189" t="s">
        <v>124</v>
      </c>
      <c r="Q14" s="190" t="s">
        <v>125</v>
      </c>
      <c r="R14" s="188">
        <v>45686</v>
      </c>
      <c r="S14" s="193" t="s">
        <v>126</v>
      </c>
      <c r="T14" s="192"/>
      <c r="U14" s="829"/>
      <c r="V14" s="10" t="s">
        <v>3324</v>
      </c>
      <c r="W14" s="10" t="s">
        <v>3326</v>
      </c>
      <c r="X14" s="10"/>
      <c r="Y14" s="10"/>
      <c r="Z14" s="10"/>
      <c r="AA14" s="11"/>
      <c r="AB14" s="11"/>
      <c r="AD14" s="260"/>
    </row>
    <row r="15" spans="2:30" x14ac:dyDescent="0.3">
      <c r="B15" s="10" t="s">
        <v>129</v>
      </c>
      <c r="C15" s="315" t="s">
        <v>1806</v>
      </c>
      <c r="D15" s="868" t="s">
        <v>150</v>
      </c>
      <c r="E15" s="837" t="str">
        <f>IFERROR(IF(_xlfn.XLOOKUP(Imput[[#This Row],[RFC]],'Alta Proveedor'!D:D,'Alta Proveedor'!E:E)=0,"",_xlfn.XLOOKUP(Imput[[#This Row],[RFC]],'Alta Proveedor'!D:D,'Alta Proveedor'!E:E)),"")</f>
        <v>ELVIA CABRERA HUERTA "MI PUEBLITO, MMM… QUE SABOR" (RESTAURANTE)</v>
      </c>
      <c r="F15" s="832" t="s">
        <v>151</v>
      </c>
      <c r="G15" s="187">
        <v>1</v>
      </c>
      <c r="H15" s="1">
        <v>38.79</v>
      </c>
      <c r="I15" s="169">
        <f>Imput[[#This Row],[Cantidad]]*Imput[[#This Row],[Precio Unitario]]</f>
        <v>38.79</v>
      </c>
      <c r="J15" s="11">
        <f>Imput[[#This Row],[Sub total]]*0.16</f>
        <v>6.2064000000000004</v>
      </c>
      <c r="K15" s="11">
        <v>0</v>
      </c>
      <c r="L15" s="169">
        <f>Imput[[#This Row],[Sub total]]+Imput[[#This Row],[IVA]]-Imput[[#This Row],[Retención / IEPS / Descuento]]</f>
        <v>44.996400000000001</v>
      </c>
      <c r="M15" s="844">
        <v>246.00584000000001</v>
      </c>
      <c r="N15" s="189" t="s">
        <v>123</v>
      </c>
      <c r="O15" s="1"/>
      <c r="P15" s="189" t="s">
        <v>152</v>
      </c>
      <c r="Q15" s="190" t="s">
        <v>153</v>
      </c>
      <c r="R15" s="188">
        <v>45831</v>
      </c>
      <c r="S15" s="193" t="s">
        <v>154</v>
      </c>
      <c r="T15" s="192"/>
      <c r="U15" s="829"/>
      <c r="V15" s="10" t="s">
        <v>3324</v>
      </c>
      <c r="W15" s="10" t="s">
        <v>3327</v>
      </c>
      <c r="X15" s="10"/>
      <c r="Y15" s="10"/>
      <c r="Z15" s="10"/>
      <c r="AA15" s="11"/>
      <c r="AB15" s="11"/>
      <c r="AD15" s="260"/>
    </row>
    <row r="16" spans="2:30" x14ac:dyDescent="0.3">
      <c r="B16" s="548" t="s">
        <v>129</v>
      </c>
      <c r="C16" s="315" t="s">
        <v>1806</v>
      </c>
      <c r="D16" s="868" t="s">
        <v>150</v>
      </c>
      <c r="E16" s="838" t="str">
        <f>IFERROR(IF(_xlfn.XLOOKUP(Imput[[#This Row],[RFC]],'Alta Proveedor'!D:D,'Alta Proveedor'!E:E)=0,"",_xlfn.XLOOKUP(Imput[[#This Row],[RFC]],'Alta Proveedor'!D:D,'Alta Proveedor'!E:E)),"")</f>
        <v>ELVIA CABRERA HUERTA "MI PUEBLITO, MMM… QUE SABOR" (RESTAURANTE)</v>
      </c>
      <c r="F16" s="833" t="s">
        <v>155</v>
      </c>
      <c r="G16" s="551">
        <v>1</v>
      </c>
      <c r="H16" s="550">
        <v>38.79</v>
      </c>
      <c r="I16" s="552">
        <f>Imput[[#This Row],[Cantidad]]*Imput[[#This Row],[Precio Unitario]]</f>
        <v>38.79</v>
      </c>
      <c r="J16" s="553">
        <f>Imput[[#This Row],[Sub total]]*0.16</f>
        <v>6.2064000000000004</v>
      </c>
      <c r="K16" s="553">
        <v>0</v>
      </c>
      <c r="L16" s="552">
        <f>Imput[[#This Row],[Sub total]]+Imput[[#This Row],[IVA]]-Imput[[#This Row],[Retención / IEPS / Descuento]]</f>
        <v>44.996400000000001</v>
      </c>
      <c r="M16" s="844">
        <v>0</v>
      </c>
      <c r="N16" s="554" t="s">
        <v>123</v>
      </c>
      <c r="O16" s="550"/>
      <c r="P16" s="554" t="s">
        <v>152</v>
      </c>
      <c r="Q16" s="555" t="s">
        <v>153</v>
      </c>
      <c r="R16" s="556">
        <v>45831</v>
      </c>
      <c r="S16" s="557" t="s">
        <v>154</v>
      </c>
      <c r="T16" s="558"/>
      <c r="U16" s="829"/>
      <c r="V16" s="548" t="s">
        <v>3324</v>
      </c>
      <c r="W16" s="548" t="s">
        <v>3327</v>
      </c>
      <c r="X16" s="548"/>
      <c r="Y16" s="548"/>
      <c r="Z16" s="548"/>
      <c r="AA16" s="553"/>
      <c r="AB16" s="553"/>
      <c r="AD16" s="260"/>
    </row>
    <row r="17" spans="2:30" x14ac:dyDescent="0.3">
      <c r="B17" s="548" t="s">
        <v>129</v>
      </c>
      <c r="C17" s="315" t="s">
        <v>1806</v>
      </c>
      <c r="D17" s="868" t="s">
        <v>150</v>
      </c>
      <c r="E17" s="838" t="str">
        <f>IFERROR(IF(_xlfn.XLOOKUP(Imput[[#This Row],[RFC]],'Alta Proveedor'!D:D,'Alta Proveedor'!E:E)=0,"",_xlfn.XLOOKUP(Imput[[#This Row],[RFC]],'Alta Proveedor'!D:D,'Alta Proveedor'!E:E)),"")</f>
        <v>ELVIA CABRERA HUERTA "MI PUEBLITO, MMM… QUE SABOR" (RESTAURANTE)</v>
      </c>
      <c r="F17" s="833" t="s">
        <v>156</v>
      </c>
      <c r="G17" s="551">
        <v>1</v>
      </c>
      <c r="H17" s="550">
        <v>25.86</v>
      </c>
      <c r="I17" s="552">
        <f>Imput[[#This Row],[Cantidad]]*Imput[[#This Row],[Precio Unitario]]</f>
        <v>25.86</v>
      </c>
      <c r="J17" s="553">
        <f>Imput[[#This Row],[Sub total]]*0.16</f>
        <v>4.1375999999999999</v>
      </c>
      <c r="K17" s="553">
        <v>0</v>
      </c>
      <c r="L17" s="552">
        <f>Imput[[#This Row],[Sub total]]+Imput[[#This Row],[IVA]]-Imput[[#This Row],[Retención / IEPS / Descuento]]</f>
        <v>29.997599999999998</v>
      </c>
      <c r="M17" s="844">
        <v>0</v>
      </c>
      <c r="N17" s="554" t="s">
        <v>123</v>
      </c>
      <c r="O17" s="550"/>
      <c r="P17" s="554" t="s">
        <v>152</v>
      </c>
      <c r="Q17" s="555" t="s">
        <v>153</v>
      </c>
      <c r="R17" s="556">
        <v>45831</v>
      </c>
      <c r="S17" s="557" t="s">
        <v>154</v>
      </c>
      <c r="T17" s="558"/>
      <c r="U17" s="829"/>
      <c r="V17" s="548" t="s">
        <v>3324</v>
      </c>
      <c r="W17" s="548" t="s">
        <v>3327</v>
      </c>
      <c r="X17" s="548"/>
      <c r="Y17" s="548"/>
      <c r="Z17" s="548"/>
      <c r="AA17" s="553"/>
      <c r="AB17" s="553"/>
      <c r="AD17" s="260"/>
    </row>
    <row r="18" spans="2:30" x14ac:dyDescent="0.3">
      <c r="B18" s="548" t="s">
        <v>129</v>
      </c>
      <c r="C18" s="315" t="s">
        <v>1806</v>
      </c>
      <c r="D18" s="868" t="s">
        <v>150</v>
      </c>
      <c r="E18" s="838" t="str">
        <f>IFERROR(IF(_xlfn.XLOOKUP(Imput[[#This Row],[RFC]],'Alta Proveedor'!D:D,'Alta Proveedor'!E:E)=0,"",_xlfn.XLOOKUP(Imput[[#This Row],[RFC]],'Alta Proveedor'!D:D,'Alta Proveedor'!E:E)),"")</f>
        <v>ELVIA CABRERA HUERTA "MI PUEBLITO, MMM… QUE SABOR" (RESTAURANTE)</v>
      </c>
      <c r="F18" s="833" t="s">
        <v>157</v>
      </c>
      <c r="G18" s="551">
        <v>1</v>
      </c>
      <c r="H18" s="550">
        <v>36.21</v>
      </c>
      <c r="I18" s="552">
        <f>Imput[[#This Row],[Cantidad]]*Imput[[#This Row],[Precio Unitario]]</f>
        <v>36.21</v>
      </c>
      <c r="J18" s="553">
        <f>Imput[[#This Row],[Sub total]]*0.16</f>
        <v>5.7936000000000005</v>
      </c>
      <c r="K18" s="553">
        <v>0</v>
      </c>
      <c r="L18" s="552">
        <f>Imput[[#This Row],[Sub total]]+Imput[[#This Row],[IVA]]-Imput[[#This Row],[Retención / IEPS / Descuento]]</f>
        <v>42.003599999999999</v>
      </c>
      <c r="M18" s="844">
        <v>0</v>
      </c>
      <c r="N18" s="554" t="s">
        <v>123</v>
      </c>
      <c r="O18" s="550"/>
      <c r="P18" s="554" t="s">
        <v>152</v>
      </c>
      <c r="Q18" s="555" t="s">
        <v>153</v>
      </c>
      <c r="R18" s="556">
        <v>45831</v>
      </c>
      <c r="S18" s="557" t="s">
        <v>154</v>
      </c>
      <c r="T18" s="558"/>
      <c r="U18" s="829"/>
      <c r="V18" s="548" t="s">
        <v>3324</v>
      </c>
      <c r="W18" s="548" t="s">
        <v>3327</v>
      </c>
      <c r="X18" s="548"/>
      <c r="Y18" s="548"/>
      <c r="Z18" s="548"/>
      <c r="AA18" s="553"/>
      <c r="AB18" s="553"/>
      <c r="AD18" s="260"/>
    </row>
    <row r="19" spans="2:30" x14ac:dyDescent="0.3">
      <c r="B19" s="548" t="s">
        <v>129</v>
      </c>
      <c r="C19" s="315" t="s">
        <v>1806</v>
      </c>
      <c r="D19" s="868" t="s">
        <v>150</v>
      </c>
      <c r="E19" s="838" t="str">
        <f>IFERROR(IF(_xlfn.XLOOKUP(Imput[[#This Row],[RFC]],'Alta Proveedor'!D:D,'Alta Proveedor'!E:E)=0,"",_xlfn.XLOOKUP(Imput[[#This Row],[RFC]],'Alta Proveedor'!D:D,'Alta Proveedor'!E:E)),"")</f>
        <v>ELVIA CABRERA HUERTA "MI PUEBLITO, MMM… QUE SABOR" (RESTAURANTE)</v>
      </c>
      <c r="F19" s="833" t="s">
        <v>157</v>
      </c>
      <c r="G19" s="551">
        <v>2</v>
      </c>
      <c r="H19" s="550">
        <v>36.212000000000003</v>
      </c>
      <c r="I19" s="552">
        <f>Imput[[#This Row],[Cantidad]]*Imput[[#This Row],[Precio Unitario]]</f>
        <v>72.424000000000007</v>
      </c>
      <c r="J19" s="553">
        <f>Imput[[#This Row],[Sub total]]*0.16</f>
        <v>11.587840000000002</v>
      </c>
      <c r="K19" s="553">
        <v>0</v>
      </c>
      <c r="L19" s="552">
        <f>Imput[[#This Row],[Sub total]]+Imput[[#This Row],[IVA]]-Imput[[#This Row],[Retención / IEPS / Descuento]]</f>
        <v>84.011840000000007</v>
      </c>
      <c r="M19" s="844">
        <v>0</v>
      </c>
      <c r="N19" s="554" t="s">
        <v>123</v>
      </c>
      <c r="O19" s="550"/>
      <c r="P19" s="554" t="s">
        <v>152</v>
      </c>
      <c r="Q19" s="555" t="s">
        <v>153</v>
      </c>
      <c r="R19" s="556">
        <v>45831</v>
      </c>
      <c r="S19" s="557" t="s">
        <v>154</v>
      </c>
      <c r="T19" s="558"/>
      <c r="U19" s="829"/>
      <c r="V19" s="548" t="s">
        <v>3324</v>
      </c>
      <c r="W19" s="548" t="s">
        <v>3327</v>
      </c>
      <c r="X19" s="548"/>
      <c r="Y19" s="548"/>
      <c r="Z19" s="548"/>
      <c r="AA19" s="553"/>
      <c r="AB19" s="553"/>
      <c r="AD19" s="260"/>
    </row>
    <row r="20" spans="2:30" x14ac:dyDescent="0.3">
      <c r="B20" s="10" t="s">
        <v>129</v>
      </c>
      <c r="C20" s="315" t="s">
        <v>1767</v>
      </c>
      <c r="D20" s="868" t="s">
        <v>216</v>
      </c>
      <c r="E20" s="837" t="str">
        <f>IFERROR(IF(_xlfn.XLOOKUP(Imput[[#This Row],[RFC]],'Alta Proveedor'!D:D,'Alta Proveedor'!E:E)=0,"",_xlfn.XLOOKUP(Imput[[#This Row],[RFC]],'Alta Proveedor'!D:D,'Alta Proveedor'!E:E)),"")</f>
        <v>SERVICIO SAROGAR "NEXUM" (COMBUSTIBLES)</v>
      </c>
      <c r="F20" s="832" t="s">
        <v>217</v>
      </c>
      <c r="G20" s="187">
        <v>53.329912999999998</v>
      </c>
      <c r="H20" s="1">
        <v>21.940725</v>
      </c>
      <c r="I20" s="169">
        <f>Imput[[#This Row],[Cantidad]]*Imput[[#This Row],[Precio Unitario]]</f>
        <v>1170.096955406925</v>
      </c>
      <c r="J20" s="11">
        <v>181.28</v>
      </c>
      <c r="K20" s="11">
        <v>0</v>
      </c>
      <c r="L20" s="169">
        <f>Imput[[#This Row],[Sub total]]+Imput[[#This Row],[IVA]]-Imput[[#This Row],[Retención / IEPS / Descuento]]</f>
        <v>1351.3769554069249</v>
      </c>
      <c r="M20" s="844">
        <v>1351.3769554069249</v>
      </c>
      <c r="N20" s="189" t="s">
        <v>123</v>
      </c>
      <c r="O20" s="1"/>
      <c r="P20" s="189" t="s">
        <v>218</v>
      </c>
      <c r="Q20" s="190" t="s">
        <v>219</v>
      </c>
      <c r="R20" s="188">
        <v>45831</v>
      </c>
      <c r="S20" s="193" t="s">
        <v>126</v>
      </c>
      <c r="T20" s="192"/>
      <c r="U20" s="829"/>
      <c r="V20" s="10" t="s">
        <v>3786</v>
      </c>
      <c r="W20" s="10" t="s">
        <v>3787</v>
      </c>
      <c r="X20" s="10"/>
      <c r="Y20" s="10"/>
      <c r="Z20" s="10"/>
      <c r="AA20" s="11"/>
      <c r="AB20" s="11"/>
      <c r="AD20" s="260"/>
    </row>
    <row r="21" spans="2:30" x14ac:dyDescent="0.3">
      <c r="B21" s="10" t="s">
        <v>129</v>
      </c>
      <c r="C21" s="315" t="s">
        <v>1806</v>
      </c>
      <c r="D21" s="868" t="s">
        <v>204</v>
      </c>
      <c r="E21" s="837" t="str">
        <f>IFERROR(IF(_xlfn.XLOOKUP(Imput[[#This Row],[RFC]],'Alta Proveedor'!D:D,'Alta Proveedor'!E:E)=0,"",_xlfn.XLOOKUP(Imput[[#This Row],[RFC]],'Alta Proveedor'!D:D,'Alta Proveedor'!E:E)),"")</f>
        <v>JONATHAN AZAEL PORTILLO ALEJO "EL MADERENSE MARISQUERIA" (RESTAURANTE)</v>
      </c>
      <c r="F21" s="832" t="s">
        <v>159</v>
      </c>
      <c r="G21" s="187">
        <v>1</v>
      </c>
      <c r="H21" s="1">
        <f>496.73+57</f>
        <v>553.73</v>
      </c>
      <c r="I21" s="169">
        <f>Imput[[#This Row],[Cantidad]]*Imput[[#This Row],[Precio Unitario]]</f>
        <v>553.73</v>
      </c>
      <c r="J21" s="11">
        <f>(Imput[[#This Row],[Sub total]]-57)*0.16</f>
        <v>79.476800000000011</v>
      </c>
      <c r="K21" s="11">
        <v>6.21</v>
      </c>
      <c r="L21" s="169">
        <f>Imput[[#This Row],[Sub total]]+Imput[[#This Row],[IVA]]-Imput[[#This Row],[Retención / IEPS / Descuento]]</f>
        <v>626.99680000000001</v>
      </c>
      <c r="M21" s="844">
        <v>626.99680000000001</v>
      </c>
      <c r="N21" s="189" t="s">
        <v>123</v>
      </c>
      <c r="O21" s="1"/>
      <c r="P21" s="189" t="s">
        <v>205</v>
      </c>
      <c r="Q21" s="190" t="s">
        <v>206</v>
      </c>
      <c r="R21" s="188">
        <v>45832</v>
      </c>
      <c r="S21" s="193" t="s">
        <v>126</v>
      </c>
      <c r="T21" s="192"/>
      <c r="U21" s="829"/>
      <c r="V21" s="10" t="s">
        <v>3324</v>
      </c>
      <c r="W21" s="10" t="s">
        <v>3327</v>
      </c>
      <c r="X21" s="10"/>
      <c r="Y21" s="10"/>
      <c r="Z21" s="10"/>
      <c r="AA21" s="11"/>
      <c r="AB21" s="11"/>
      <c r="AD21" s="260"/>
    </row>
    <row r="22" spans="2:30" x14ac:dyDescent="0.3">
      <c r="B22" s="10" t="s">
        <v>129</v>
      </c>
      <c r="C22" s="315" t="s">
        <v>1768</v>
      </c>
      <c r="D22" s="868" t="s">
        <v>131</v>
      </c>
      <c r="E22" s="837" t="str">
        <f>IFERROR(IF(_xlfn.XLOOKUP(Imput[[#This Row],[RFC]],'Alta Proveedor'!D:D,'Alta Proveedor'!E:E)=0,"",_xlfn.XLOOKUP(Imput[[#This Row],[RFC]],'Alta Proveedor'!D:D,'Alta Proveedor'!E:E)),"")</f>
        <v>COMERCIALIZADORA FARMACEUTICA DE CHIAPAS</v>
      </c>
      <c r="F22" s="832" t="s">
        <v>132</v>
      </c>
      <c r="G22" s="187">
        <v>1</v>
      </c>
      <c r="H22" s="1">
        <v>129.31</v>
      </c>
      <c r="I22" s="169">
        <f>Imput[[#This Row],[Cantidad]]*Imput[[#This Row],[Precio Unitario]]</f>
        <v>129.31</v>
      </c>
      <c r="J22" s="11">
        <f>Imput[[#This Row],[Sub total]]*0.16</f>
        <v>20.689600000000002</v>
      </c>
      <c r="K22" s="11">
        <v>0</v>
      </c>
      <c r="L22" s="169">
        <f>Imput[[#This Row],[Sub total]]+Imput[[#This Row],[IVA]]-Imput[[#This Row],[Retención / IEPS / Descuento]]</f>
        <v>149.99960000000002</v>
      </c>
      <c r="M22" s="844">
        <v>149.99960000000002</v>
      </c>
      <c r="N22" s="189" t="s">
        <v>123</v>
      </c>
      <c r="O22" s="1"/>
      <c r="P22" s="189" t="s">
        <v>133</v>
      </c>
      <c r="Q22" s="190" t="s">
        <v>3077</v>
      </c>
      <c r="R22" s="188">
        <v>45832</v>
      </c>
      <c r="S22" s="193" t="s">
        <v>126</v>
      </c>
      <c r="T22" s="192"/>
      <c r="U22" s="829"/>
      <c r="V22" s="10" t="s">
        <v>3324</v>
      </c>
      <c r="W22" s="10" t="s">
        <v>3788</v>
      </c>
      <c r="X22" s="10"/>
      <c r="Y22" s="10"/>
      <c r="Z22" s="10"/>
      <c r="AA22" s="11"/>
      <c r="AB22" s="11"/>
      <c r="AD22" s="260"/>
    </row>
    <row r="23" spans="2:30" x14ac:dyDescent="0.3">
      <c r="B23" s="10" t="s">
        <v>129</v>
      </c>
      <c r="C23" s="315" t="s">
        <v>1763</v>
      </c>
      <c r="D23" s="868" t="s">
        <v>256</v>
      </c>
      <c r="E23" s="837" t="str">
        <f>IFERROR(IF(_xlfn.XLOOKUP(Imput[[#This Row],[RFC]],'Alta Proveedor'!D:D,'Alta Proveedor'!E:E)=0,"",_xlfn.XLOOKUP(Imput[[#This Row],[RFC]],'Alta Proveedor'!D:D,'Alta Proveedor'!E:E)),"")</f>
        <v>LUISA MARIA RUIZ VARGAS "MATRIX PASION POR TU AUTO"</v>
      </c>
      <c r="F23" s="832" t="s">
        <v>257</v>
      </c>
      <c r="G23" s="187">
        <v>1</v>
      </c>
      <c r="H23" s="1">
        <v>172.41489999999999</v>
      </c>
      <c r="I23" s="169">
        <f>Imput[[#This Row],[Cantidad]]*Imput[[#This Row],[Precio Unitario]]</f>
        <v>172.41489999999999</v>
      </c>
      <c r="J23" s="11">
        <f>Imput[[#This Row],[Sub total]]*0.16</f>
        <v>27.586383999999999</v>
      </c>
      <c r="K23" s="11">
        <v>0</v>
      </c>
      <c r="L23" s="169">
        <f>Imput[[#This Row],[Sub total]]+Imput[[#This Row],[IVA]]-Imput[[#This Row],[Retención / IEPS / Descuento]]</f>
        <v>200.001284</v>
      </c>
      <c r="M23" s="844">
        <v>12000.001524000001</v>
      </c>
      <c r="N23" s="189" t="s">
        <v>123</v>
      </c>
      <c r="O23" s="1"/>
      <c r="P23" s="189" t="s">
        <v>258</v>
      </c>
      <c r="Q23" s="190" t="s">
        <v>259</v>
      </c>
      <c r="R23" s="188">
        <v>45832</v>
      </c>
      <c r="S23" s="193" t="s">
        <v>154</v>
      </c>
      <c r="T23" s="192"/>
      <c r="U23" s="829"/>
      <c r="V23" s="10" t="s">
        <v>3791</v>
      </c>
      <c r="W23" s="10" t="s">
        <v>3790</v>
      </c>
      <c r="X23" s="10"/>
      <c r="Y23" s="10"/>
      <c r="Z23" s="10"/>
      <c r="AA23" s="11"/>
      <c r="AB23" s="11"/>
      <c r="AD23" s="260"/>
    </row>
    <row r="24" spans="2:30" x14ac:dyDescent="0.3">
      <c r="B24" s="10" t="s">
        <v>129</v>
      </c>
      <c r="C24" s="315" t="s">
        <v>1763</v>
      </c>
      <c r="D24" s="868" t="s">
        <v>256</v>
      </c>
      <c r="E24" s="837" t="str">
        <f>IFERROR(IF(_xlfn.XLOOKUP(Imput[[#This Row],[RFC]],'Alta Proveedor'!D:D,'Alta Proveedor'!E:E)=0,"",_xlfn.XLOOKUP(Imput[[#This Row],[RFC]],'Alta Proveedor'!D:D,'Alta Proveedor'!E:E)),"")</f>
        <v>LUISA MARIA RUIZ VARGAS "MATRIX PASION POR TU AUTO"</v>
      </c>
      <c r="F24" s="832" t="s">
        <v>260</v>
      </c>
      <c r="G24" s="187">
        <v>4</v>
      </c>
      <c r="H24" s="1">
        <f>10172.414/4</f>
        <v>2543.1035000000002</v>
      </c>
      <c r="I24" s="169">
        <f>Imput[[#This Row],[Cantidad]]*Imput[[#This Row],[Precio Unitario]]</f>
        <v>10172.414000000001</v>
      </c>
      <c r="J24" s="11">
        <f>Imput[[#This Row],[Sub total]]*0.16</f>
        <v>1627.5862400000001</v>
      </c>
      <c r="K24" s="11">
        <v>0</v>
      </c>
      <c r="L24" s="169">
        <f>Imput[[#This Row],[Sub total]]+Imput[[#This Row],[IVA]]-Imput[[#This Row],[Retención / IEPS / Descuento]]</f>
        <v>11800.000240000001</v>
      </c>
      <c r="M24" s="844">
        <v>0</v>
      </c>
      <c r="N24" s="189" t="s">
        <v>123</v>
      </c>
      <c r="O24" s="1"/>
      <c r="P24" s="189" t="s">
        <v>258</v>
      </c>
      <c r="Q24" s="190" t="s">
        <v>259</v>
      </c>
      <c r="R24" s="188">
        <v>45832</v>
      </c>
      <c r="S24" s="193" t="s">
        <v>154</v>
      </c>
      <c r="T24" s="192"/>
      <c r="U24" s="829"/>
      <c r="V24" s="10" t="s">
        <v>3791</v>
      </c>
      <c r="W24" s="10" t="s">
        <v>3790</v>
      </c>
      <c r="X24" s="10"/>
      <c r="Y24" s="10"/>
      <c r="Z24" s="10"/>
      <c r="AA24" s="11"/>
      <c r="AB24" s="11"/>
      <c r="AD24" s="260"/>
    </row>
    <row r="25" spans="2:30" x14ac:dyDescent="0.3">
      <c r="B25" s="10" t="s">
        <v>129</v>
      </c>
      <c r="C25" s="315" t="s">
        <v>1763</v>
      </c>
      <c r="D25" s="868" t="s">
        <v>211</v>
      </c>
      <c r="E25" s="837" t="str">
        <f>IFERROR(IF(_xlfn.XLOOKUP(Imput[[#This Row],[RFC]],'Alta Proveedor'!D:D,'Alta Proveedor'!E:E)=0,"",_xlfn.XLOOKUP(Imput[[#This Row],[RFC]],'Alta Proveedor'!D:D,'Alta Proveedor'!E:E)),"")</f>
        <v>MIGUEL ANGEL ROCHA GARCIA</v>
      </c>
      <c r="F25" s="832" t="s">
        <v>212</v>
      </c>
      <c r="G25" s="187">
        <v>1</v>
      </c>
      <c r="H25" s="1">
        <v>2000</v>
      </c>
      <c r="I25" s="169">
        <f>Imput[[#This Row],[Cantidad]]*Imput[[#This Row],[Precio Unitario]]</f>
        <v>2000</v>
      </c>
      <c r="J25" s="11">
        <f>Imput[[#This Row],[Sub total]]*0.16</f>
        <v>320</v>
      </c>
      <c r="K25" s="11">
        <v>25</v>
      </c>
      <c r="L25" s="169">
        <f>Imput[[#This Row],[Sub total]]+Imput[[#This Row],[IVA]]-Imput[[#This Row],[Retención / IEPS / Descuento]]</f>
        <v>2295</v>
      </c>
      <c r="M25" s="844">
        <v>2295</v>
      </c>
      <c r="N25" s="189" t="s">
        <v>123</v>
      </c>
      <c r="O25" s="1"/>
      <c r="P25" s="189" t="s">
        <v>213</v>
      </c>
      <c r="Q25" s="190" t="s">
        <v>214</v>
      </c>
      <c r="R25" s="188">
        <v>45833</v>
      </c>
      <c r="S25" s="193" t="s">
        <v>215</v>
      </c>
      <c r="T25" s="192"/>
      <c r="U25" s="829"/>
      <c r="V25" s="10" t="s">
        <v>3791</v>
      </c>
      <c r="W25" s="10" t="s">
        <v>3792</v>
      </c>
      <c r="X25" s="10"/>
      <c r="Y25" s="10"/>
      <c r="Z25" s="10"/>
      <c r="AA25" s="11"/>
      <c r="AB25" s="11"/>
      <c r="AD25" s="260"/>
    </row>
    <row r="26" spans="2:30" x14ac:dyDescent="0.3">
      <c r="B26" s="548" t="s">
        <v>129</v>
      </c>
      <c r="C26" s="315" t="s">
        <v>1806</v>
      </c>
      <c r="D26" s="868" t="s">
        <v>177</v>
      </c>
      <c r="E26" s="838" t="str">
        <f>IFERROR(IF(_xlfn.XLOOKUP(Imput[[#This Row],[RFC]],'Alta Proveedor'!D:D,'Alta Proveedor'!E:E)=0,"",_xlfn.XLOOKUP(Imput[[#This Row],[RFC]],'Alta Proveedor'!D:D,'Alta Proveedor'!E:E)),"")</f>
        <v>EL LINDERO DE OZULUAMA (RESTAURANTE)</v>
      </c>
      <c r="F26" s="833" t="s">
        <v>159</v>
      </c>
      <c r="G26" s="551">
        <v>1</v>
      </c>
      <c r="H26" s="550">
        <v>780.17</v>
      </c>
      <c r="I26" s="552">
        <f>Imput[[#This Row],[Cantidad]]*Imput[[#This Row],[Precio Unitario]]</f>
        <v>780.17</v>
      </c>
      <c r="J26" s="553">
        <f>Imput[[#This Row],[Sub total]]*0.16</f>
        <v>124.82719999999999</v>
      </c>
      <c r="K26" s="553">
        <v>-91</v>
      </c>
      <c r="L26" s="552">
        <f>Imput[[#This Row],[Sub total]]+Imput[[#This Row],[IVA]]-Imput[[#This Row],[Retención / IEPS / Descuento]]</f>
        <v>995.99719999999991</v>
      </c>
      <c r="M26" s="844">
        <v>995.99719999999991</v>
      </c>
      <c r="N26" s="554" t="s">
        <v>123</v>
      </c>
      <c r="O26" s="550"/>
      <c r="P26" s="554" t="s">
        <v>178</v>
      </c>
      <c r="Q26" s="555" t="s">
        <v>179</v>
      </c>
      <c r="R26" s="556">
        <v>45834</v>
      </c>
      <c r="S26" s="557" t="s">
        <v>126</v>
      </c>
      <c r="T26" s="558"/>
      <c r="U26" s="829"/>
      <c r="V26" s="548" t="s">
        <v>3324</v>
      </c>
      <c r="W26" s="548" t="s">
        <v>3327</v>
      </c>
      <c r="X26" s="548"/>
      <c r="Y26" s="548"/>
      <c r="Z26" s="548"/>
      <c r="AA26" s="553"/>
      <c r="AB26" s="553"/>
      <c r="AD26" s="260"/>
    </row>
    <row r="27" spans="2:30" x14ac:dyDescent="0.3">
      <c r="B27" s="548" t="s">
        <v>129</v>
      </c>
      <c r="C27" s="315" t="s">
        <v>1767</v>
      </c>
      <c r="D27" s="868" t="s">
        <v>207</v>
      </c>
      <c r="E27" s="838" t="str">
        <f>IFERROR(IF(_xlfn.XLOOKUP(Imput[[#This Row],[RFC]],'Alta Proveedor'!D:D,'Alta Proveedor'!E:E)=0,"",_xlfn.XLOOKUP(Imput[[#This Row],[RFC]],'Alta Proveedor'!D:D,'Alta Proveedor'!E:E)),"")</f>
        <v>Estacion de servicio No. 6580 JOSE LUIS RODRIGUEZ BERLANGA (COMBUSTIBLES)</v>
      </c>
      <c r="F27" s="833" t="s">
        <v>208</v>
      </c>
      <c r="G27" s="551">
        <v>40</v>
      </c>
      <c r="H27" s="550">
        <v>21.05725</v>
      </c>
      <c r="I27" s="552">
        <f>Imput[[#This Row],[Cantidad]]*Imput[[#This Row],[Precio Unitario]]</f>
        <v>842.29</v>
      </c>
      <c r="J27" s="553">
        <v>130.51</v>
      </c>
      <c r="K27" s="553">
        <v>0</v>
      </c>
      <c r="L27" s="552">
        <f>Imput[[#This Row],[Sub total]]+Imput[[#This Row],[IVA]]-Imput[[#This Row],[Retención / IEPS / Descuento]]</f>
        <v>972.8</v>
      </c>
      <c r="M27" s="844">
        <v>972.8</v>
      </c>
      <c r="N27" s="554" t="s">
        <v>123</v>
      </c>
      <c r="O27" s="550"/>
      <c r="P27" s="554" t="s">
        <v>209</v>
      </c>
      <c r="Q27" s="555" t="s">
        <v>210</v>
      </c>
      <c r="R27" s="556">
        <v>45834</v>
      </c>
      <c r="S27" s="557" t="s">
        <v>126</v>
      </c>
      <c r="T27" s="558"/>
      <c r="U27" s="829"/>
      <c r="V27" s="548" t="s">
        <v>3786</v>
      </c>
      <c r="W27" s="548" t="s">
        <v>3787</v>
      </c>
      <c r="X27" s="548"/>
      <c r="Y27" s="548"/>
      <c r="Z27" s="548"/>
      <c r="AA27" s="553"/>
      <c r="AB27" s="553"/>
      <c r="AD27" s="260"/>
    </row>
    <row r="28" spans="2:30" x14ac:dyDescent="0.3">
      <c r="B28" s="10" t="s">
        <v>129</v>
      </c>
      <c r="C28" s="315" t="s">
        <v>1806</v>
      </c>
      <c r="D28" s="868" t="s">
        <v>193</v>
      </c>
      <c r="E28" s="837" t="str">
        <f>IFERROR(IF(_xlfn.XLOOKUP(Imput[[#This Row],[RFC]],'Alta Proveedor'!D:D,'Alta Proveedor'!E:E)=0,"",_xlfn.XLOOKUP(Imput[[#This Row],[RFC]],'Alta Proveedor'!D:D,'Alta Proveedor'!E:E)),"")</f>
        <v>RICARDO MARTINEZ SALAZAR (RESTAURANTE)</v>
      </c>
      <c r="F28" s="832" t="s">
        <v>194</v>
      </c>
      <c r="G28" s="187">
        <v>1</v>
      </c>
      <c r="H28" s="1">
        <v>222.21</v>
      </c>
      <c r="I28" s="169">
        <f>Imput[[#This Row],[Cantidad]]*Imput[[#This Row],[Precio Unitario]]</f>
        <v>222.21</v>
      </c>
      <c r="J28" s="11">
        <f>Imput[[#This Row],[Sub total]]*0.16</f>
        <v>35.553600000000003</v>
      </c>
      <c r="K28" s="11">
        <v>2.76</v>
      </c>
      <c r="L28" s="169">
        <f>Imput[[#This Row],[Sub total]]+Imput[[#This Row],[IVA]]-Imput[[#This Row],[Retención / IEPS / Descuento]]</f>
        <v>255.00360000000001</v>
      </c>
      <c r="M28" s="844">
        <v>255.00360000000001</v>
      </c>
      <c r="N28" s="189" t="s">
        <v>123</v>
      </c>
      <c r="O28" s="1"/>
      <c r="P28" s="189" t="s">
        <v>195</v>
      </c>
      <c r="Q28" s="190" t="s">
        <v>196</v>
      </c>
      <c r="R28" s="188">
        <v>45834</v>
      </c>
      <c r="S28" s="193" t="s">
        <v>126</v>
      </c>
      <c r="T28" s="192"/>
      <c r="U28" s="829"/>
      <c r="V28" s="10" t="s">
        <v>3324</v>
      </c>
      <c r="W28" s="10" t="s">
        <v>3327</v>
      </c>
      <c r="X28" s="10"/>
      <c r="Y28" s="10"/>
      <c r="Z28" s="10"/>
      <c r="AA28" s="11"/>
      <c r="AB28" s="11"/>
      <c r="AD28" s="260"/>
    </row>
    <row r="29" spans="2:30" x14ac:dyDescent="0.3">
      <c r="B29" s="10" t="s">
        <v>129</v>
      </c>
      <c r="C29" s="315" t="s">
        <v>1806</v>
      </c>
      <c r="D29" s="868" t="s">
        <v>158</v>
      </c>
      <c r="E29" s="837" t="str">
        <f>IFERROR(IF(_xlfn.XLOOKUP(Imput[[#This Row],[RFC]],'Alta Proveedor'!D:D,'Alta Proveedor'!E:E)=0,"",_xlfn.XLOOKUP(Imput[[#This Row],[RFC]],'Alta Proveedor'!D:D,'Alta Proveedor'!E:E)),"")</f>
        <v>AUGUSTO EDUARDO GUERRERO CRUZ (RESTAURANTE)</v>
      </c>
      <c r="F29" s="832" t="s">
        <v>159</v>
      </c>
      <c r="G29" s="187">
        <v>1</v>
      </c>
      <c r="H29" s="1">
        <v>275.86</v>
      </c>
      <c r="I29" s="169">
        <f>Imput[[#This Row],[Cantidad]]*Imput[[#This Row],[Precio Unitario]]</f>
        <v>275.86</v>
      </c>
      <c r="J29" s="11">
        <f>Imput[[#This Row],[Sub total]]*0.16</f>
        <v>44.137600000000006</v>
      </c>
      <c r="K29" s="11">
        <v>0</v>
      </c>
      <c r="L29" s="169">
        <f>Imput[[#This Row],[Sub total]]+Imput[[#This Row],[IVA]]-Imput[[#This Row],[Retención / IEPS / Descuento]]</f>
        <v>319.99760000000003</v>
      </c>
      <c r="M29" s="844">
        <v>319.99760000000003</v>
      </c>
      <c r="N29" s="189" t="s">
        <v>123</v>
      </c>
      <c r="O29" s="1"/>
      <c r="P29" s="189" t="s">
        <v>160</v>
      </c>
      <c r="Q29" s="190" t="s">
        <v>161</v>
      </c>
      <c r="R29" s="188">
        <v>45835</v>
      </c>
      <c r="S29" s="193" t="s">
        <v>154</v>
      </c>
      <c r="T29" s="192"/>
      <c r="U29" s="829"/>
      <c r="V29" s="10" t="s">
        <v>3324</v>
      </c>
      <c r="W29" s="10" t="s">
        <v>3327</v>
      </c>
      <c r="X29" s="10"/>
      <c r="Y29" s="10"/>
      <c r="Z29" s="10"/>
      <c r="AA29" s="11"/>
      <c r="AB29" s="11"/>
      <c r="AD29" s="260"/>
    </row>
    <row r="30" spans="2:30" x14ac:dyDescent="0.3">
      <c r="B30" s="10" t="s">
        <v>129</v>
      </c>
      <c r="C30" s="315" t="s">
        <v>1806</v>
      </c>
      <c r="D30" s="868" t="s">
        <v>197</v>
      </c>
      <c r="E30" s="837" t="str">
        <f>IFERROR(IF(_xlfn.XLOOKUP(Imput[[#This Row],[RFC]],'Alta Proveedor'!D:D,'Alta Proveedor'!E:E)=0,"",_xlfn.XLOOKUP(Imput[[#This Row],[RFC]],'Alta Proveedor'!D:D,'Alta Proveedor'!E:E)),"")</f>
        <v>POPAT BAZAR SA DE CV "BUFFALITAS, BUFFALO WINGS, BURGUERS Y RIBS" (RESTAURANTE)</v>
      </c>
      <c r="F30" s="832" t="s">
        <v>194</v>
      </c>
      <c r="G30" s="187">
        <v>1</v>
      </c>
      <c r="H30" s="1">
        <v>468.1</v>
      </c>
      <c r="I30" s="169">
        <f>Imput[[#This Row],[Cantidad]]*Imput[[#This Row],[Precio Unitario]]</f>
        <v>468.1</v>
      </c>
      <c r="J30" s="11">
        <f>Imput[[#This Row],[Sub total]]*0.16</f>
        <v>74.896000000000001</v>
      </c>
      <c r="K30" s="11">
        <v>0</v>
      </c>
      <c r="L30" s="169">
        <f>Imput[[#This Row],[Sub total]]+Imput[[#This Row],[IVA]]-Imput[[#This Row],[Retención / IEPS / Descuento]]</f>
        <v>542.99599999999998</v>
      </c>
      <c r="M30" s="844">
        <v>542.99599999999998</v>
      </c>
      <c r="N30" s="189" t="s">
        <v>123</v>
      </c>
      <c r="O30" s="1"/>
      <c r="P30" s="189" t="s">
        <v>198</v>
      </c>
      <c r="Q30" s="190" t="s">
        <v>199</v>
      </c>
      <c r="R30" s="188">
        <v>45835</v>
      </c>
      <c r="S30" s="193"/>
      <c r="T30" s="192"/>
      <c r="U30" s="829"/>
      <c r="V30" s="10" t="s">
        <v>3324</v>
      </c>
      <c r="W30" s="10" t="s">
        <v>3327</v>
      </c>
      <c r="X30" s="10"/>
      <c r="Y30" s="10"/>
      <c r="Z30" s="10"/>
      <c r="AA30" s="11"/>
      <c r="AB30" s="11"/>
      <c r="AD30" s="260"/>
    </row>
    <row r="31" spans="2:30" x14ac:dyDescent="0.3">
      <c r="B31" s="10" t="s">
        <v>129</v>
      </c>
      <c r="C31" s="315" t="s">
        <v>2335</v>
      </c>
      <c r="D31" s="868" t="s">
        <v>3119</v>
      </c>
      <c r="E31" s="837" t="str">
        <f>IFERROR(IF(_xlfn.XLOOKUP(Imput[[#This Row],[RFC]],'Alta Proveedor'!D:D,'Alta Proveedor'!E:E)=0,"",_xlfn.XLOOKUP(Imput[[#This Row],[RFC]],'Alta Proveedor'!D:D,'Alta Proveedor'!E:E)),"")</f>
        <v>Nomina-OPERACIÓN</v>
      </c>
      <c r="F31" s="836" t="s">
        <v>3226</v>
      </c>
      <c r="G31" s="187">
        <v>1</v>
      </c>
      <c r="H31" s="1">
        <v>40000</v>
      </c>
      <c r="I31" s="169">
        <f>Imput[[#This Row],[Cantidad]]*Imput[[#This Row],[Precio Unitario]]</f>
        <v>40000</v>
      </c>
      <c r="J31" s="11">
        <f>Imput[[#This Row],[Sub total]]*0.08</f>
        <v>3200</v>
      </c>
      <c r="K31" s="11">
        <v>0</v>
      </c>
      <c r="L31" s="169">
        <f>Imput[[#This Row],[Sub total]]+Imput[[#This Row],[IVA]]-Imput[[#This Row],[Retención / IEPS / Descuento]]</f>
        <v>43200</v>
      </c>
      <c r="M31" s="844">
        <v>43200</v>
      </c>
      <c r="N31" s="189"/>
      <c r="O31" s="1"/>
      <c r="P31" s="189"/>
      <c r="Q31" s="190"/>
      <c r="R31" s="188">
        <v>45835</v>
      </c>
      <c r="S31" s="193" t="s">
        <v>215</v>
      </c>
      <c r="T31" s="192"/>
      <c r="U31" s="867" t="s">
        <v>3225</v>
      </c>
      <c r="V31" s="10" t="s">
        <v>3108</v>
      </c>
      <c r="W31" s="10" t="s">
        <v>3793</v>
      </c>
      <c r="X31" s="10"/>
      <c r="Y31" s="10"/>
      <c r="Z31" s="10"/>
      <c r="AA31" s="11"/>
      <c r="AB31" s="11"/>
      <c r="AD31" s="260"/>
    </row>
    <row r="32" spans="2:30" x14ac:dyDescent="0.3">
      <c r="B32" s="10" t="s">
        <v>129</v>
      </c>
      <c r="C32" s="315" t="s">
        <v>2429</v>
      </c>
      <c r="D32" s="868" t="s">
        <v>164</v>
      </c>
      <c r="E32" s="837" t="str">
        <f>IFERROR(IF(_xlfn.XLOOKUP(Imput[[#This Row],[RFC]],'Alta Proveedor'!D:D,'Alta Proveedor'!E:E)=0,"",_xlfn.XLOOKUP(Imput[[#This Row],[RFC]],'Alta Proveedor'!D:D,'Alta Proveedor'!E:E)),"")</f>
        <v>HOME DEPOT MEXICO SUCURSAL THD-8730 TAMPICO</v>
      </c>
      <c r="F32" s="832" t="s">
        <v>165</v>
      </c>
      <c r="G32" s="187">
        <v>1</v>
      </c>
      <c r="H32" s="1">
        <v>244.14</v>
      </c>
      <c r="I32" s="169">
        <f>Imput[[#This Row],[Cantidad]]*Imput[[#This Row],[Precio Unitario]]</f>
        <v>244.14</v>
      </c>
      <c r="J32" s="11">
        <f>Imput[[#This Row],[Sub total]]*0.16</f>
        <v>39.062399999999997</v>
      </c>
      <c r="K32" s="11">
        <v>0</v>
      </c>
      <c r="L32" s="169">
        <f>Imput[[#This Row],[Sub total]]+Imput[[#This Row],[IVA]]-Imput[[#This Row],[Retención / IEPS / Descuento]]</f>
        <v>283.20240000000001</v>
      </c>
      <c r="M32" s="844">
        <v>283.20240000000001</v>
      </c>
      <c r="N32" s="189" t="s">
        <v>123</v>
      </c>
      <c r="O32" s="1"/>
      <c r="P32" s="189" t="s">
        <v>166</v>
      </c>
      <c r="Q32" s="190" t="s">
        <v>167</v>
      </c>
      <c r="R32" s="188">
        <v>45836</v>
      </c>
      <c r="S32" s="193" t="s">
        <v>126</v>
      </c>
      <c r="T32" s="192"/>
      <c r="U32" s="829"/>
      <c r="V32" s="10" t="s">
        <v>1012</v>
      </c>
      <c r="W32" s="10" t="s">
        <v>3795</v>
      </c>
      <c r="X32" s="10"/>
      <c r="Y32" s="10"/>
      <c r="Z32" s="10"/>
      <c r="AA32" s="11"/>
      <c r="AB32" s="11"/>
      <c r="AD32" s="260"/>
    </row>
    <row r="33" spans="2:30" x14ac:dyDescent="0.3">
      <c r="B33" s="10" t="s">
        <v>129</v>
      </c>
      <c r="C33" s="315" t="s">
        <v>1767</v>
      </c>
      <c r="D33" s="868" t="s">
        <v>134</v>
      </c>
      <c r="E33" s="837" t="str">
        <f>IFERROR(IF(_xlfn.XLOOKUP(Imput[[#This Row],[RFC]],'Alta Proveedor'!D:D,'Alta Proveedor'!E:E)=0,"",_xlfn.XLOOKUP(Imput[[#This Row],[RFC]],'Alta Proveedor'!D:D,'Alta Proveedor'!E:E)),"")</f>
        <v>E12196 COMBUSTIBLES Y LUBRICANTES GHN (COMBUSTIBLES)</v>
      </c>
      <c r="F33" s="832" t="s">
        <v>135</v>
      </c>
      <c r="G33" s="187">
        <v>30.896999999999998</v>
      </c>
      <c r="H33" s="1">
        <v>22.423483000000001</v>
      </c>
      <c r="I33" s="169">
        <f>Imput[[#This Row],[Cantidad]]*Imput[[#This Row],[Precio Unitario]]</f>
        <v>692.81835425099996</v>
      </c>
      <c r="J33" s="11">
        <v>107.41</v>
      </c>
      <c r="K33" s="11">
        <v>0</v>
      </c>
      <c r="L33" s="169">
        <f>Imput[[#This Row],[Sub total]]+Imput[[#This Row],[IVA]]-Imput[[#This Row],[Retención / IEPS / Descuento]]</f>
        <v>800.22835425099993</v>
      </c>
      <c r="M33" s="844">
        <v>800.22835425099993</v>
      </c>
      <c r="N33" s="189" t="s">
        <v>123</v>
      </c>
      <c r="O33" s="1"/>
      <c r="P33" s="189" t="s">
        <v>136</v>
      </c>
      <c r="Q33" s="190" t="s">
        <v>137</v>
      </c>
      <c r="R33" s="188">
        <v>45836</v>
      </c>
      <c r="S33" s="193" t="s">
        <v>126</v>
      </c>
      <c r="T33" s="192"/>
      <c r="U33" s="829"/>
      <c r="V33" s="10" t="s">
        <v>3794</v>
      </c>
      <c r="W33" s="10" t="s">
        <v>3787</v>
      </c>
      <c r="X33" s="10"/>
      <c r="Y33" s="10"/>
      <c r="Z33" s="10"/>
      <c r="AA33" s="11"/>
      <c r="AB33" s="11"/>
      <c r="AD33" s="260"/>
    </row>
    <row r="34" spans="2:30" x14ac:dyDescent="0.3">
      <c r="B34" s="10" t="s">
        <v>129</v>
      </c>
      <c r="C34" s="315" t="s">
        <v>2436</v>
      </c>
      <c r="D34" s="868" t="s">
        <v>180</v>
      </c>
      <c r="E34" s="837" t="str">
        <f>IFERROR(IF(_xlfn.XLOOKUP(Imput[[#This Row],[RFC]],'Alta Proveedor'!D:D,'Alta Proveedor'!E:E)=0,"",_xlfn.XLOOKUP(Imput[[#This Row],[RFC]],'Alta Proveedor'!D:D,'Alta Proveedor'!E:E)),"")</f>
        <v>MASYFERR (FERRETERIA)</v>
      </c>
      <c r="F34" s="832" t="s">
        <v>181</v>
      </c>
      <c r="G34" s="187">
        <v>65</v>
      </c>
      <c r="H34" s="1">
        <v>443.96550000000002</v>
      </c>
      <c r="I34" s="169">
        <f>Imput[[#This Row],[Cantidad]]*Imput[[#This Row],[Precio Unitario]]</f>
        <v>28857.7575</v>
      </c>
      <c r="J34" s="11">
        <f>Imput[[#This Row],[Sub total]]*0.16</f>
        <v>4617.2412000000004</v>
      </c>
      <c r="K34" s="11">
        <v>0</v>
      </c>
      <c r="L34" s="169">
        <f>Imput[[#This Row],[Sub total]]+Imput[[#This Row],[IVA]]-Imput[[#This Row],[Retención / IEPS / Descuento]]</f>
        <v>33474.998699999996</v>
      </c>
      <c r="M34" s="844">
        <v>40280.395292000001</v>
      </c>
      <c r="N34" s="189" t="s">
        <v>123</v>
      </c>
      <c r="O34" s="1"/>
      <c r="P34" s="189" t="s">
        <v>182</v>
      </c>
      <c r="Q34" s="190" t="s">
        <v>183</v>
      </c>
      <c r="R34" s="188">
        <v>45836</v>
      </c>
      <c r="S34" s="193" t="s">
        <v>126</v>
      </c>
      <c r="T34" s="192"/>
      <c r="U34" s="829"/>
      <c r="V34" s="10" t="s">
        <v>1012</v>
      </c>
      <c r="W34" s="10" t="s">
        <v>3795</v>
      </c>
      <c r="X34" s="10"/>
      <c r="Y34" s="10"/>
      <c r="Z34" s="10"/>
      <c r="AA34" s="11"/>
      <c r="AB34" s="11"/>
      <c r="AD34" s="260"/>
    </row>
    <row r="35" spans="2:30" x14ac:dyDescent="0.3">
      <c r="B35" s="548" t="s">
        <v>129</v>
      </c>
      <c r="C35" s="549" t="s">
        <v>2423</v>
      </c>
      <c r="D35" s="868" t="s">
        <v>180</v>
      </c>
      <c r="E35" s="838" t="str">
        <f>IFERROR(IF(_xlfn.XLOOKUP(Imput[[#This Row],[RFC]],'Alta Proveedor'!D:D,'Alta Proveedor'!E:E)=0,"",_xlfn.XLOOKUP(Imput[[#This Row],[RFC]],'Alta Proveedor'!D:D,'Alta Proveedor'!E:E)),"")</f>
        <v>MASYFERR (FERRETERIA)</v>
      </c>
      <c r="F35" s="833" t="s">
        <v>184</v>
      </c>
      <c r="G35" s="551">
        <v>50</v>
      </c>
      <c r="H35" s="550">
        <v>20.258600000000001</v>
      </c>
      <c r="I35" s="552">
        <f>Imput[[#This Row],[Cantidad]]*Imput[[#This Row],[Precio Unitario]]</f>
        <v>1012.9300000000001</v>
      </c>
      <c r="J35" s="553">
        <f>Imput[[#This Row],[Sub total]]*0.16</f>
        <v>162.06880000000001</v>
      </c>
      <c r="K35" s="553">
        <v>0</v>
      </c>
      <c r="L35" s="552">
        <f>Imput[[#This Row],[Sub total]]+Imput[[#This Row],[IVA]]-Imput[[#This Row],[Retención / IEPS / Descuento]]</f>
        <v>1174.9988000000001</v>
      </c>
      <c r="M35" s="844">
        <v>0</v>
      </c>
      <c r="N35" s="554" t="s">
        <v>123</v>
      </c>
      <c r="O35" s="550"/>
      <c r="P35" s="554" t="s">
        <v>182</v>
      </c>
      <c r="Q35" s="555" t="s">
        <v>183</v>
      </c>
      <c r="R35" s="556">
        <v>45836</v>
      </c>
      <c r="S35" s="557" t="s">
        <v>126</v>
      </c>
      <c r="T35" s="558"/>
      <c r="U35" s="829"/>
      <c r="V35" s="548" t="s">
        <v>1012</v>
      </c>
      <c r="W35" s="866" t="s">
        <v>3795</v>
      </c>
      <c r="X35" s="548"/>
      <c r="Y35" s="548"/>
      <c r="Z35" s="548"/>
      <c r="AA35" s="553"/>
      <c r="AB35" s="553"/>
      <c r="AD35" s="260"/>
    </row>
    <row r="36" spans="2:30" x14ac:dyDescent="0.3">
      <c r="B36" s="548" t="s">
        <v>129</v>
      </c>
      <c r="C36" s="549" t="s">
        <v>2435</v>
      </c>
      <c r="D36" s="868" t="s">
        <v>180</v>
      </c>
      <c r="E36" s="838" t="str">
        <f>IFERROR(IF(_xlfn.XLOOKUP(Imput[[#This Row],[RFC]],'Alta Proveedor'!D:D,'Alta Proveedor'!E:E)=0,"",_xlfn.XLOOKUP(Imput[[#This Row],[RFC]],'Alta Proveedor'!D:D,'Alta Proveedor'!E:E)),"")</f>
        <v>MASYFERR (FERRETERIA)</v>
      </c>
      <c r="F36" s="833" t="s">
        <v>185</v>
      </c>
      <c r="G36" s="551">
        <v>46</v>
      </c>
      <c r="H36" s="550">
        <v>105.5172</v>
      </c>
      <c r="I36" s="552">
        <f>Imput[[#This Row],[Cantidad]]*Imput[[#This Row],[Precio Unitario]]</f>
        <v>4853.7911999999997</v>
      </c>
      <c r="J36" s="553">
        <f>Imput[[#This Row],[Sub total]]*0.16</f>
        <v>776.60659199999998</v>
      </c>
      <c r="K36" s="553">
        <v>0</v>
      </c>
      <c r="L36" s="552">
        <f>Imput[[#This Row],[Sub total]]+Imput[[#This Row],[IVA]]-Imput[[#This Row],[Retención / IEPS / Descuento]]</f>
        <v>5630.3977919999998</v>
      </c>
      <c r="M36" s="844">
        <v>0</v>
      </c>
      <c r="N36" s="554" t="s">
        <v>123</v>
      </c>
      <c r="O36" s="550"/>
      <c r="P36" s="554" t="s">
        <v>182</v>
      </c>
      <c r="Q36" s="555" t="s">
        <v>183</v>
      </c>
      <c r="R36" s="556">
        <v>45836</v>
      </c>
      <c r="S36" s="557" t="s">
        <v>126</v>
      </c>
      <c r="T36" s="558"/>
      <c r="U36" s="829"/>
      <c r="V36" s="548" t="s">
        <v>1012</v>
      </c>
      <c r="W36" s="866" t="s">
        <v>3795</v>
      </c>
      <c r="X36" s="548"/>
      <c r="Y36" s="548"/>
      <c r="Z36" s="548"/>
      <c r="AA36" s="553"/>
      <c r="AB36" s="553"/>
      <c r="AD36" s="260"/>
    </row>
    <row r="37" spans="2:30" x14ac:dyDescent="0.3">
      <c r="B37" s="10" t="s">
        <v>129</v>
      </c>
      <c r="C37" s="315" t="s">
        <v>2436</v>
      </c>
      <c r="D37" s="868" t="s">
        <v>180</v>
      </c>
      <c r="E37" s="837" t="str">
        <f>IFERROR(IF(_xlfn.XLOOKUP(Imput[[#This Row],[RFC]],'Alta Proveedor'!D:D,'Alta Proveedor'!E:E)=0,"",_xlfn.XLOOKUP(Imput[[#This Row],[RFC]],'Alta Proveedor'!D:D,'Alta Proveedor'!E:E)),"")</f>
        <v>MASYFERR (FERRETERIA)</v>
      </c>
      <c r="F37" s="832" t="s">
        <v>186</v>
      </c>
      <c r="G37" s="187">
        <f>-1/3</f>
        <v>-0.33333333333333331</v>
      </c>
      <c r="H37" s="1">
        <v>253.79</v>
      </c>
      <c r="I37" s="169">
        <f>Imput[[#This Row],[Cantidad]]*Imput[[#This Row],[Precio Unitario]]</f>
        <v>-84.596666666666664</v>
      </c>
      <c r="J37" s="11">
        <f>Imput[[#This Row],[Sub total]]*0.16</f>
        <v>-13.535466666666666</v>
      </c>
      <c r="K37" s="11">
        <v>0</v>
      </c>
      <c r="L37" s="169">
        <f>Imput[[#This Row],[Sub total]]+Imput[[#This Row],[IVA]]-Imput[[#This Row],[Retención / IEPS / Descuento]]</f>
        <v>-98.132133333333329</v>
      </c>
      <c r="M37" s="844">
        <v>-294.39639999999997</v>
      </c>
      <c r="N37" s="189" t="s">
        <v>187</v>
      </c>
      <c r="O37" s="1"/>
      <c r="P37" s="189" t="s">
        <v>188</v>
      </c>
      <c r="Q37" s="190" t="s">
        <v>189</v>
      </c>
      <c r="R37" s="188">
        <v>45836</v>
      </c>
      <c r="S37" s="193" t="s">
        <v>126</v>
      </c>
      <c r="T37" s="192"/>
      <c r="U37" s="829"/>
      <c r="V37" s="10" t="s">
        <v>1012</v>
      </c>
      <c r="W37" s="10" t="s">
        <v>3795</v>
      </c>
      <c r="X37" s="10"/>
      <c r="Y37" s="10"/>
      <c r="Z37" s="10"/>
      <c r="AA37" s="11"/>
      <c r="AB37" s="11"/>
      <c r="AD37" s="260"/>
    </row>
    <row r="38" spans="2:30" x14ac:dyDescent="0.3">
      <c r="B38" s="548" t="s">
        <v>129</v>
      </c>
      <c r="C38" s="549" t="s">
        <v>2423</v>
      </c>
      <c r="D38" s="868" t="s">
        <v>180</v>
      </c>
      <c r="E38" s="838" t="str">
        <f>IFERROR(IF(_xlfn.XLOOKUP(Imput[[#This Row],[RFC]],'Alta Proveedor'!D:D,'Alta Proveedor'!E:E)=0,"",_xlfn.XLOOKUP(Imput[[#This Row],[RFC]],'Alta Proveedor'!D:D,'Alta Proveedor'!E:E)),"")</f>
        <v>MASYFERR (FERRETERIA)</v>
      </c>
      <c r="F38" s="833" t="s">
        <v>186</v>
      </c>
      <c r="G38" s="551">
        <f>-1/3</f>
        <v>-0.33333333333333331</v>
      </c>
      <c r="H38" s="550">
        <v>253.79</v>
      </c>
      <c r="I38" s="552">
        <f>Imput[[#This Row],[Cantidad]]*Imput[[#This Row],[Precio Unitario]]</f>
        <v>-84.596666666666664</v>
      </c>
      <c r="J38" s="553">
        <f>Imput[[#This Row],[Sub total]]*0.16</f>
        <v>-13.535466666666666</v>
      </c>
      <c r="K38" s="553">
        <v>0</v>
      </c>
      <c r="L38" s="552">
        <f>Imput[[#This Row],[Sub total]]+Imput[[#This Row],[IVA]]-Imput[[#This Row],[Retención / IEPS / Descuento]]</f>
        <v>-98.132133333333329</v>
      </c>
      <c r="M38" s="844">
        <v>0</v>
      </c>
      <c r="N38" s="554" t="s">
        <v>187</v>
      </c>
      <c r="O38" s="550"/>
      <c r="P38" s="554" t="s">
        <v>188</v>
      </c>
      <c r="Q38" s="555" t="s">
        <v>189</v>
      </c>
      <c r="R38" s="556">
        <v>45836</v>
      </c>
      <c r="S38" s="557" t="s">
        <v>126</v>
      </c>
      <c r="T38" s="558"/>
      <c r="U38" s="829"/>
      <c r="V38" s="548" t="s">
        <v>1012</v>
      </c>
      <c r="W38" s="866" t="s">
        <v>3795</v>
      </c>
      <c r="X38" s="548"/>
      <c r="Y38" s="548"/>
      <c r="Z38" s="548"/>
      <c r="AA38" s="553"/>
      <c r="AB38" s="553"/>
      <c r="AD38" s="260"/>
    </row>
    <row r="39" spans="2:30" x14ac:dyDescent="0.3">
      <c r="B39" s="548" t="s">
        <v>129</v>
      </c>
      <c r="C39" s="549" t="s">
        <v>2435</v>
      </c>
      <c r="D39" s="868" t="s">
        <v>180</v>
      </c>
      <c r="E39" s="838" t="str">
        <f>IFERROR(IF(_xlfn.XLOOKUP(Imput[[#This Row],[RFC]],'Alta Proveedor'!D:D,'Alta Proveedor'!E:E)=0,"",_xlfn.XLOOKUP(Imput[[#This Row],[RFC]],'Alta Proveedor'!D:D,'Alta Proveedor'!E:E)),"")</f>
        <v>MASYFERR (FERRETERIA)</v>
      </c>
      <c r="F39" s="833" t="s">
        <v>186</v>
      </c>
      <c r="G39" s="551">
        <f>-1/3</f>
        <v>-0.33333333333333331</v>
      </c>
      <c r="H39" s="550">
        <v>253.79</v>
      </c>
      <c r="I39" s="552">
        <f>Imput[[#This Row],[Cantidad]]*Imput[[#This Row],[Precio Unitario]]</f>
        <v>-84.596666666666664</v>
      </c>
      <c r="J39" s="553">
        <f>Imput[[#This Row],[Sub total]]*0.16</f>
        <v>-13.535466666666666</v>
      </c>
      <c r="K39" s="553">
        <v>0</v>
      </c>
      <c r="L39" s="552">
        <f>Imput[[#This Row],[Sub total]]+Imput[[#This Row],[IVA]]-Imput[[#This Row],[Retención / IEPS / Descuento]]</f>
        <v>-98.132133333333329</v>
      </c>
      <c r="M39" s="844">
        <v>0</v>
      </c>
      <c r="N39" s="554" t="s">
        <v>187</v>
      </c>
      <c r="O39" s="550"/>
      <c r="P39" s="554" t="s">
        <v>188</v>
      </c>
      <c r="Q39" s="555" t="s">
        <v>189</v>
      </c>
      <c r="R39" s="556">
        <v>45836</v>
      </c>
      <c r="S39" s="557" t="s">
        <v>126</v>
      </c>
      <c r="T39" s="558"/>
      <c r="U39" s="829"/>
      <c r="V39" s="548" t="s">
        <v>1012</v>
      </c>
      <c r="W39" s="866" t="s">
        <v>3795</v>
      </c>
      <c r="X39" s="548"/>
      <c r="Y39" s="548"/>
      <c r="Z39" s="548"/>
      <c r="AA39" s="553"/>
      <c r="AB39" s="553"/>
      <c r="AD39" s="260"/>
    </row>
    <row r="40" spans="2:30" x14ac:dyDescent="0.3">
      <c r="B40" s="10" t="s">
        <v>129</v>
      </c>
      <c r="C40" s="315" t="s">
        <v>1806</v>
      </c>
      <c r="D40" s="868" t="s">
        <v>158</v>
      </c>
      <c r="E40" s="837" t="str">
        <f>IFERROR(IF(_xlfn.XLOOKUP(Imput[[#This Row],[RFC]],'Alta Proveedor'!D:D,'Alta Proveedor'!E:E)=0,"",_xlfn.XLOOKUP(Imput[[#This Row],[RFC]],'Alta Proveedor'!D:D,'Alta Proveedor'!E:E)),"")</f>
        <v>AUGUSTO EDUARDO GUERRERO CRUZ (RESTAURANTE)</v>
      </c>
      <c r="F40" s="832" t="s">
        <v>159</v>
      </c>
      <c r="G40" s="187">
        <v>1</v>
      </c>
      <c r="H40" s="1">
        <v>185.34399999999999</v>
      </c>
      <c r="I40" s="169">
        <f>Imput[[#This Row],[Cantidad]]*Imput[[#This Row],[Precio Unitario]]</f>
        <v>185.34399999999999</v>
      </c>
      <c r="J40" s="11">
        <f>Imput[[#This Row],[Sub total]]*0.16</f>
        <v>29.65504</v>
      </c>
      <c r="K40" s="11">
        <v>0</v>
      </c>
      <c r="L40" s="169">
        <f>Imput[[#This Row],[Sub total]]+Imput[[#This Row],[IVA]]-Imput[[#This Row],[Retención / IEPS / Descuento]]</f>
        <v>214.99903999999998</v>
      </c>
      <c r="M40" s="844">
        <v>214.99903999999998</v>
      </c>
      <c r="N40" s="189" t="s">
        <v>123</v>
      </c>
      <c r="O40" s="1"/>
      <c r="P40" s="189" t="s">
        <v>162</v>
      </c>
      <c r="Q40" s="190" t="s">
        <v>163</v>
      </c>
      <c r="R40" s="188">
        <v>45837</v>
      </c>
      <c r="S40" s="193" t="s">
        <v>126</v>
      </c>
      <c r="T40" s="192"/>
      <c r="U40" s="829"/>
      <c r="V40" s="10" t="s">
        <v>3324</v>
      </c>
      <c r="W40" s="10" t="s">
        <v>3327</v>
      </c>
      <c r="X40" s="10"/>
      <c r="Y40" s="10"/>
      <c r="Z40" s="10"/>
      <c r="AA40" s="11"/>
      <c r="AB40" s="11"/>
      <c r="AD40" s="260"/>
    </row>
    <row r="41" spans="2:30" x14ac:dyDescent="0.3">
      <c r="B41" s="10" t="s">
        <v>129</v>
      </c>
      <c r="C41" s="315" t="s">
        <v>2335</v>
      </c>
      <c r="D41" s="868" t="s">
        <v>3119</v>
      </c>
      <c r="E41" s="837" t="str">
        <f>IFERROR(IF(_xlfn.XLOOKUP(Imput[[#This Row],[RFC]],'Alta Proveedor'!D:D,'Alta Proveedor'!E:E)=0,"",_xlfn.XLOOKUP(Imput[[#This Row],[RFC]],'Alta Proveedor'!D:D,'Alta Proveedor'!E:E)),"")</f>
        <v>Nomina-OPERACIÓN</v>
      </c>
      <c r="F41" s="836" t="s">
        <v>3120</v>
      </c>
      <c r="G41" s="187">
        <v>1</v>
      </c>
      <c r="H41" s="1">
        <v>15000</v>
      </c>
      <c r="I41" s="169">
        <f>Imput[[#This Row],[Cantidad]]*Imput[[#This Row],[Precio Unitario]]</f>
        <v>15000</v>
      </c>
      <c r="J41" s="11">
        <f>Imput[[#This Row],[Sub total]]*0.08</f>
        <v>1200</v>
      </c>
      <c r="K41" s="11">
        <v>0</v>
      </c>
      <c r="L41" s="169">
        <f>Imput[[#This Row],[Sub total]]+Imput[[#This Row],[IVA]]-Imput[[#This Row],[Retención / IEPS / Descuento]]</f>
        <v>16200</v>
      </c>
      <c r="M41" s="844">
        <v>16200</v>
      </c>
      <c r="N41" s="189"/>
      <c r="O41" s="1"/>
      <c r="P41" s="189"/>
      <c r="Q41" s="190"/>
      <c r="R41" s="188">
        <v>45837</v>
      </c>
      <c r="S41" s="193" t="s">
        <v>215</v>
      </c>
      <c r="T41" s="192"/>
      <c r="U41" s="867" t="s">
        <v>3225</v>
      </c>
      <c r="V41" s="10" t="s">
        <v>3108</v>
      </c>
      <c r="W41" s="10" t="s">
        <v>3793</v>
      </c>
      <c r="X41" s="10"/>
      <c r="Y41" s="10"/>
      <c r="Z41" s="10"/>
      <c r="AA41" s="11"/>
      <c r="AB41" s="11"/>
      <c r="AD41" s="260"/>
    </row>
    <row r="42" spans="2:30" x14ac:dyDescent="0.3">
      <c r="B42" s="10" t="s">
        <v>129</v>
      </c>
      <c r="C42" s="315" t="s">
        <v>1806</v>
      </c>
      <c r="D42" s="868" t="s">
        <v>138</v>
      </c>
      <c r="E42" s="837" t="str">
        <f>IFERROR(IF(_xlfn.XLOOKUP(Imput[[#This Row],[RFC]],'Alta Proveedor'!D:D,'Alta Proveedor'!E:E)=0,"",_xlfn.XLOOKUP(Imput[[#This Row],[RFC]],'Alta Proveedor'!D:D,'Alta Proveedor'!E:E)),"")</f>
        <v>DISTRIBUIDORA LIVERPOOL</v>
      </c>
      <c r="F42" s="832" t="s">
        <v>139</v>
      </c>
      <c r="G42" s="187">
        <v>1</v>
      </c>
      <c r="H42" s="1">
        <v>275</v>
      </c>
      <c r="I42" s="169">
        <f>Imput[[#This Row],[Cantidad]]*Imput[[#This Row],[Precio Unitario]]</f>
        <v>275</v>
      </c>
      <c r="J42" s="11">
        <f>Imput[[#This Row],[Sub total]]*0.16</f>
        <v>44</v>
      </c>
      <c r="K42" s="11">
        <v>0</v>
      </c>
      <c r="L42" s="169">
        <f>Imput[[#This Row],[Sub total]]+Imput[[#This Row],[IVA]]-Imput[[#This Row],[Retención / IEPS / Descuento]]</f>
        <v>319</v>
      </c>
      <c r="M42" s="844">
        <v>319</v>
      </c>
      <c r="N42" s="189" t="s">
        <v>123</v>
      </c>
      <c r="O42" s="1"/>
      <c r="P42" s="189" t="s">
        <v>140</v>
      </c>
      <c r="Q42" s="190" t="s">
        <v>141</v>
      </c>
      <c r="R42" s="188">
        <v>45838</v>
      </c>
      <c r="S42" s="193" t="s">
        <v>126</v>
      </c>
      <c r="T42" s="192"/>
      <c r="U42" s="829"/>
      <c r="V42" s="10" t="s">
        <v>3324</v>
      </c>
      <c r="W42" s="10" t="s">
        <v>3327</v>
      </c>
      <c r="X42" s="10"/>
      <c r="Y42" s="10"/>
      <c r="Z42" s="10"/>
      <c r="AA42" s="11"/>
      <c r="AB42" s="11"/>
      <c r="AD42" s="260"/>
    </row>
    <row r="43" spans="2:30" x14ac:dyDescent="0.3">
      <c r="B43" s="10" t="s">
        <v>129</v>
      </c>
      <c r="C43" s="315" t="s">
        <v>2428</v>
      </c>
      <c r="D43" s="868" t="s">
        <v>220</v>
      </c>
      <c r="E43" s="837" t="str">
        <f>IFERROR(IF(_xlfn.XLOOKUP(Imput[[#This Row],[RFC]],'Alta Proveedor'!D:D,'Alta Proveedor'!E:E)=0,"",_xlfn.XLOOKUP(Imput[[#This Row],[RFC]],'Alta Proveedor'!D:D,'Alta Proveedor'!E:E)),"")</f>
        <v>GUILLERMO UMAÑA GONZALEZ</v>
      </c>
      <c r="F43" s="832" t="s">
        <v>221</v>
      </c>
      <c r="G43" s="187">
        <v>4</v>
      </c>
      <c r="H43" s="1">
        <v>129.31</v>
      </c>
      <c r="I43" s="169">
        <f>Imput[[#This Row],[Cantidad]]*Imput[[#This Row],[Precio Unitario]]</f>
        <v>517.24</v>
      </c>
      <c r="J43" s="11">
        <f>Imput[[#This Row],[Sub total]]*0.16</f>
        <v>82.758400000000009</v>
      </c>
      <c r="K43" s="11">
        <v>0</v>
      </c>
      <c r="L43" s="169">
        <f>Imput[[#This Row],[Sub total]]+Imput[[#This Row],[IVA]]-Imput[[#This Row],[Retención / IEPS / Descuento]]</f>
        <v>599.99840000000006</v>
      </c>
      <c r="M43" s="844">
        <v>1680.0048000000002</v>
      </c>
      <c r="N43" s="189" t="s">
        <v>123</v>
      </c>
      <c r="O43" s="1"/>
      <c r="P43" s="189" t="s">
        <v>222</v>
      </c>
      <c r="Q43" s="190" t="s">
        <v>223</v>
      </c>
      <c r="R43" s="188">
        <v>45838</v>
      </c>
      <c r="S43" s="193" t="s">
        <v>126</v>
      </c>
      <c r="T43" s="192"/>
      <c r="U43" s="829"/>
      <c r="V43" s="10" t="s">
        <v>1012</v>
      </c>
      <c r="W43" s="10" t="s">
        <v>3795</v>
      </c>
      <c r="X43" s="10"/>
      <c r="Y43" s="10"/>
      <c r="Z43" s="10"/>
      <c r="AA43" s="11"/>
      <c r="AB43" s="11"/>
      <c r="AD43" s="260"/>
    </row>
    <row r="44" spans="2:30" x14ac:dyDescent="0.3">
      <c r="B44" s="548" t="s">
        <v>129</v>
      </c>
      <c r="C44" s="549" t="s">
        <v>2428</v>
      </c>
      <c r="D44" s="868" t="s">
        <v>220</v>
      </c>
      <c r="E44" s="838" t="str">
        <f>IFERROR(IF(_xlfn.XLOOKUP(Imput[[#This Row],[RFC]],'Alta Proveedor'!D:D,'Alta Proveedor'!E:E)=0,"",_xlfn.XLOOKUP(Imput[[#This Row],[RFC]],'Alta Proveedor'!D:D,'Alta Proveedor'!E:E)),"")</f>
        <v>GUILLERMO UMAÑA GONZALEZ</v>
      </c>
      <c r="F44" s="833" t="s">
        <v>224</v>
      </c>
      <c r="G44" s="551">
        <v>2</v>
      </c>
      <c r="H44" s="550">
        <v>224.14</v>
      </c>
      <c r="I44" s="552">
        <f>Imput[[#This Row],[Cantidad]]*Imput[[#This Row],[Precio Unitario]]</f>
        <v>448.28</v>
      </c>
      <c r="J44" s="553">
        <f>Imput[[#This Row],[Sub total]]*0.16</f>
        <v>71.724800000000002</v>
      </c>
      <c r="K44" s="553">
        <v>0</v>
      </c>
      <c r="L44" s="552">
        <f>Imput[[#This Row],[Sub total]]+Imput[[#This Row],[IVA]]-Imput[[#This Row],[Retención / IEPS / Descuento]]</f>
        <v>520.00479999999993</v>
      </c>
      <c r="M44" s="844">
        <v>0</v>
      </c>
      <c r="N44" s="554" t="s">
        <v>123</v>
      </c>
      <c r="O44" s="550"/>
      <c r="P44" s="554" t="s">
        <v>222</v>
      </c>
      <c r="Q44" s="555" t="s">
        <v>223</v>
      </c>
      <c r="R44" s="556">
        <v>45838</v>
      </c>
      <c r="S44" s="557" t="s">
        <v>126</v>
      </c>
      <c r="T44" s="558"/>
      <c r="U44" s="830"/>
      <c r="V44" s="866" t="s">
        <v>1012</v>
      </c>
      <c r="W44" s="866" t="s">
        <v>3795</v>
      </c>
      <c r="X44" s="548"/>
      <c r="Y44" s="548"/>
      <c r="Z44" s="548"/>
      <c r="AA44" s="553"/>
      <c r="AB44" s="553"/>
      <c r="AD44" s="260"/>
    </row>
    <row r="45" spans="2:30" x14ac:dyDescent="0.3">
      <c r="B45" s="548" t="s">
        <v>129</v>
      </c>
      <c r="C45" s="549" t="s">
        <v>2428</v>
      </c>
      <c r="D45" s="868" t="s">
        <v>220</v>
      </c>
      <c r="E45" s="838" t="str">
        <f>IFERROR(IF(_xlfn.XLOOKUP(Imput[[#This Row],[RFC]],'Alta Proveedor'!D:D,'Alta Proveedor'!E:E)=0,"",_xlfn.XLOOKUP(Imput[[#This Row],[RFC]],'Alta Proveedor'!D:D,'Alta Proveedor'!E:E)),"")</f>
        <v>GUILLERMO UMAÑA GONZALEZ</v>
      </c>
      <c r="F45" s="833" t="s">
        <v>225</v>
      </c>
      <c r="G45" s="551">
        <v>2</v>
      </c>
      <c r="H45" s="550">
        <v>215.52</v>
      </c>
      <c r="I45" s="552">
        <f>Imput[[#This Row],[Cantidad]]*Imput[[#This Row],[Precio Unitario]]</f>
        <v>431.04</v>
      </c>
      <c r="J45" s="553">
        <f>Imput[[#This Row],[Sub total]]*0.16</f>
        <v>68.966400000000007</v>
      </c>
      <c r="K45" s="553">
        <v>0</v>
      </c>
      <c r="L45" s="552">
        <f>Imput[[#This Row],[Sub total]]+Imput[[#This Row],[IVA]]-Imput[[#This Row],[Retención / IEPS / Descuento]]</f>
        <v>500.00640000000004</v>
      </c>
      <c r="M45" s="844">
        <v>0</v>
      </c>
      <c r="N45" s="554" t="s">
        <v>123</v>
      </c>
      <c r="O45" s="550"/>
      <c r="P45" s="554" t="s">
        <v>222</v>
      </c>
      <c r="Q45" s="555" t="s">
        <v>223</v>
      </c>
      <c r="R45" s="556">
        <v>45838</v>
      </c>
      <c r="S45" s="557" t="s">
        <v>126</v>
      </c>
      <c r="T45" s="558"/>
      <c r="U45" s="830"/>
      <c r="V45" s="866" t="s">
        <v>1012</v>
      </c>
      <c r="W45" s="866" t="s">
        <v>3795</v>
      </c>
      <c r="X45" s="548"/>
      <c r="Y45" s="548"/>
      <c r="Z45" s="548"/>
      <c r="AA45" s="553"/>
      <c r="AB45" s="553"/>
      <c r="AD45" s="260"/>
    </row>
    <row r="46" spans="2:30" x14ac:dyDescent="0.3">
      <c r="B46" s="548" t="s">
        <v>129</v>
      </c>
      <c r="C46" s="549" t="s">
        <v>2437</v>
      </c>
      <c r="D46" s="868" t="s">
        <v>220</v>
      </c>
      <c r="E46" s="838" t="str">
        <f>IFERROR(IF(_xlfn.XLOOKUP(Imput[[#This Row],[RFC]],'Alta Proveedor'!D:D,'Alta Proveedor'!E:E)=0,"",_xlfn.XLOOKUP(Imput[[#This Row],[RFC]],'Alta Proveedor'!D:D,'Alta Proveedor'!E:E)),"")</f>
        <v>GUILLERMO UMAÑA GONZALEZ</v>
      </c>
      <c r="F46" s="832" t="s">
        <v>1895</v>
      </c>
      <c r="G46" s="551">
        <v>1</v>
      </c>
      <c r="H46" s="550">
        <v>51.72</v>
      </c>
      <c r="I46" s="552">
        <f>Imput[[#This Row],[Cantidad]]*Imput[[#This Row],[Precio Unitario]]</f>
        <v>51.72</v>
      </c>
      <c r="J46" s="553">
        <f>Imput[[#This Row],[Sub total]]*0.16</f>
        <v>8.2751999999999999</v>
      </c>
      <c r="K46" s="553">
        <v>0</v>
      </c>
      <c r="L46" s="552">
        <f>Imput[[#This Row],[Sub total]]+Imput[[#This Row],[IVA]]-Imput[[#This Row],[Retención / IEPS / Descuento]]</f>
        <v>59.995199999999997</v>
      </c>
      <c r="M46" s="844">
        <v>0</v>
      </c>
      <c r="N46" s="554" t="s">
        <v>123</v>
      </c>
      <c r="O46" s="550"/>
      <c r="P46" s="554" t="s">
        <v>222</v>
      </c>
      <c r="Q46" s="555" t="s">
        <v>223</v>
      </c>
      <c r="R46" s="556">
        <v>45838</v>
      </c>
      <c r="S46" s="557" t="s">
        <v>126</v>
      </c>
      <c r="T46" s="558"/>
      <c r="U46" s="830"/>
      <c r="V46" s="866" t="s">
        <v>1012</v>
      </c>
      <c r="W46" s="866" t="s">
        <v>3795</v>
      </c>
      <c r="X46" s="548"/>
      <c r="Y46" s="548"/>
      <c r="Z46" s="548"/>
      <c r="AA46" s="553"/>
      <c r="AB46" s="553"/>
      <c r="AD46" s="260"/>
    </row>
    <row r="47" spans="2:30" x14ac:dyDescent="0.3">
      <c r="B47" s="10" t="s">
        <v>129</v>
      </c>
      <c r="C47" s="315" t="s">
        <v>2514</v>
      </c>
      <c r="D47" s="868" t="s">
        <v>180</v>
      </c>
      <c r="E47" s="837" t="str">
        <f>IFERROR(IF(_xlfn.XLOOKUP(Imput[[#This Row],[RFC]],'Alta Proveedor'!D:D,'Alta Proveedor'!E:E)=0,"",_xlfn.XLOOKUP(Imput[[#This Row],[RFC]],'Alta Proveedor'!D:D,'Alta Proveedor'!E:E)),"")</f>
        <v>MASYFERR (FERRETERIA)</v>
      </c>
      <c r="F47" s="832" t="s">
        <v>3404</v>
      </c>
      <c r="G47" s="187">
        <v>1</v>
      </c>
      <c r="H47" s="1">
        <v>73.189700000000002</v>
      </c>
      <c r="I47" s="169">
        <f>Imput[[#This Row],[Cantidad]]*Imput[[#This Row],[Precio Unitario]]</f>
        <v>73.189700000000002</v>
      </c>
      <c r="J47" s="11">
        <f>Imput[[#This Row],[Sub total]]*0.16</f>
        <v>11.710352</v>
      </c>
      <c r="K47" s="11">
        <v>0</v>
      </c>
      <c r="L47" s="169">
        <f>Imput[[#This Row],[Sub total]]+Imput[[#This Row],[IVA]]-Imput[[#This Row],[Retención / IEPS / Descuento]]</f>
        <v>84.900052000000002</v>
      </c>
      <c r="M47" s="844">
        <v>633.89997999999991</v>
      </c>
      <c r="N47" s="189" t="s">
        <v>123</v>
      </c>
      <c r="O47" s="1"/>
      <c r="P47" s="189" t="s">
        <v>190</v>
      </c>
      <c r="Q47" s="190" t="s">
        <v>191</v>
      </c>
      <c r="R47" s="188">
        <v>45838</v>
      </c>
      <c r="S47" s="193" t="s">
        <v>126</v>
      </c>
      <c r="T47" s="192"/>
      <c r="U47" s="829"/>
      <c r="V47" s="10" t="s">
        <v>1012</v>
      </c>
      <c r="W47" s="10" t="s">
        <v>513</v>
      </c>
      <c r="X47" s="10"/>
      <c r="Y47" s="10"/>
      <c r="Z47" s="10"/>
      <c r="AA47" s="11"/>
      <c r="AB47" s="11"/>
      <c r="AD47" s="260"/>
    </row>
    <row r="48" spans="2:30" x14ac:dyDescent="0.3">
      <c r="B48" s="548" t="s">
        <v>129</v>
      </c>
      <c r="C48" s="549" t="s">
        <v>2514</v>
      </c>
      <c r="D48" s="868" t="s">
        <v>180</v>
      </c>
      <c r="E48" s="838" t="str">
        <f>IFERROR(IF(_xlfn.XLOOKUP(Imput[[#This Row],[RFC]],'Alta Proveedor'!D:D,'Alta Proveedor'!E:E)=0,"",_xlfn.XLOOKUP(Imput[[#This Row],[RFC]],'Alta Proveedor'!D:D,'Alta Proveedor'!E:E)),"")</f>
        <v>MASYFERR (FERRETERIA)</v>
      </c>
      <c r="F48" s="832" t="s">
        <v>192</v>
      </c>
      <c r="G48" s="551">
        <v>6</v>
      </c>
      <c r="H48" s="550">
        <v>78.879300000000001</v>
      </c>
      <c r="I48" s="552">
        <f>Imput[[#This Row],[Cantidad]]*Imput[[#This Row],[Precio Unitario]]</f>
        <v>473.2758</v>
      </c>
      <c r="J48" s="553">
        <f>Imput[[#This Row],[Sub total]]*0.16</f>
        <v>75.724128000000007</v>
      </c>
      <c r="K48" s="553">
        <v>0</v>
      </c>
      <c r="L48" s="552">
        <f>Imput[[#This Row],[Sub total]]+Imput[[#This Row],[IVA]]-Imput[[#This Row],[Retención / IEPS / Descuento]]</f>
        <v>548.99992799999995</v>
      </c>
      <c r="M48" s="844">
        <v>0</v>
      </c>
      <c r="N48" s="554" t="s">
        <v>123</v>
      </c>
      <c r="O48" s="550"/>
      <c r="P48" s="554" t="s">
        <v>190</v>
      </c>
      <c r="Q48" s="555" t="s">
        <v>191</v>
      </c>
      <c r="R48" s="556">
        <v>45838</v>
      </c>
      <c r="S48" s="557" t="s">
        <v>126</v>
      </c>
      <c r="T48" s="558"/>
      <c r="U48" s="830"/>
      <c r="V48" s="548" t="s">
        <v>1012</v>
      </c>
      <c r="W48" s="548" t="s">
        <v>513</v>
      </c>
      <c r="X48" s="548"/>
      <c r="Y48" s="548"/>
      <c r="Z48" s="548"/>
      <c r="AA48" s="553"/>
      <c r="AB48" s="553"/>
      <c r="AD48" s="260"/>
    </row>
    <row r="49" spans="2:30" x14ac:dyDescent="0.3">
      <c r="B49" s="10" t="s">
        <v>129</v>
      </c>
      <c r="C49" s="315" t="s">
        <v>2428</v>
      </c>
      <c r="D49" s="868" t="s">
        <v>200</v>
      </c>
      <c r="E49" s="837" t="str">
        <f>IFERROR(IF(_xlfn.XLOOKUP(Imput[[#This Row],[RFC]],'Alta Proveedor'!D:D,'Alta Proveedor'!E:E)=0,"",_xlfn.XLOOKUP(Imput[[#This Row],[RFC]],'Alta Proveedor'!D:D,'Alta Proveedor'!E:E)),"")</f>
        <v>PERFILES DE FIERRO Y LAMINA ATIYE "ACEROTAM"</v>
      </c>
      <c r="F49" s="832" t="s">
        <v>201</v>
      </c>
      <c r="G49" s="187">
        <v>91</v>
      </c>
      <c r="H49" s="1">
        <v>20.76</v>
      </c>
      <c r="I49" s="169">
        <f>Imput[[#This Row],[Cantidad]]*Imput[[#This Row],[Precio Unitario]]</f>
        <v>1889.16</v>
      </c>
      <c r="J49" s="11">
        <f>Imput[[#This Row],[Sub total]]*0.16</f>
        <v>302.26560000000001</v>
      </c>
      <c r="K49" s="11">
        <v>0</v>
      </c>
      <c r="L49" s="169">
        <f>Imput[[#This Row],[Sub total]]+Imput[[#This Row],[IVA]]-Imput[[#This Row],[Retención / IEPS / Descuento]]</f>
        <v>2191.4256</v>
      </c>
      <c r="M49" s="844">
        <v>2191.4256</v>
      </c>
      <c r="N49" s="189" t="s">
        <v>123</v>
      </c>
      <c r="O49" s="1"/>
      <c r="P49" s="189" t="s">
        <v>202</v>
      </c>
      <c r="Q49" s="190" t="s">
        <v>203</v>
      </c>
      <c r="R49" s="188">
        <v>45838</v>
      </c>
      <c r="S49" s="193" t="s">
        <v>126</v>
      </c>
      <c r="T49" s="192"/>
      <c r="U49" s="829"/>
      <c r="V49" s="866" t="s">
        <v>1012</v>
      </c>
      <c r="W49" s="10" t="s">
        <v>3795</v>
      </c>
      <c r="X49" s="10"/>
      <c r="Y49" s="10"/>
      <c r="Z49" s="10"/>
      <c r="AA49" s="11"/>
      <c r="AB49" s="11"/>
      <c r="AD49" s="260"/>
    </row>
    <row r="50" spans="2:30" x14ac:dyDescent="0.3">
      <c r="B50" s="10" t="s">
        <v>129</v>
      </c>
      <c r="C50" s="315" t="s">
        <v>1757</v>
      </c>
      <c r="D50" s="868" t="s">
        <v>3225</v>
      </c>
      <c r="E50" s="837" t="str">
        <f>IFERROR(IF(_xlfn.XLOOKUP(Imput[[#This Row],[RFC]],'Alta Proveedor'!D:D,'Alta Proveedor'!E:E)=0,"",_xlfn.XLOOKUP(Imput[[#This Row],[RFC]],'Alta Proveedor'!D:D,'Alta Proveedor'!E:E)),"")</f>
        <v>GASTOS SIN FACTURA</v>
      </c>
      <c r="F50" s="836" t="s">
        <v>3189</v>
      </c>
      <c r="G50" s="903">
        <v>1</v>
      </c>
      <c r="H50" s="1">
        <v>7700</v>
      </c>
      <c r="I50" s="169">
        <f>Imput[[#This Row],[Cantidad]]*Imput[[#This Row],[Precio Unitario]]</f>
        <v>7700</v>
      </c>
      <c r="J50" s="11">
        <f>Imput[[#This Row],[Sub total]]*0.08</f>
        <v>616</v>
      </c>
      <c r="K50" s="11">
        <v>0</v>
      </c>
      <c r="L50" s="169">
        <f>Imput[[#This Row],[Sub total]]+Imput[[#This Row],[IVA]]-Imput[[#This Row],[Retención / IEPS / Descuento]]</f>
        <v>8316</v>
      </c>
      <c r="M50" s="844">
        <v>8316</v>
      </c>
      <c r="N50" s="189"/>
      <c r="O50" s="1"/>
      <c r="P50" s="189"/>
      <c r="Q50" s="190"/>
      <c r="R50" s="188">
        <v>45838</v>
      </c>
      <c r="S50" s="193" t="s">
        <v>215</v>
      </c>
      <c r="T50" s="192"/>
      <c r="U50" s="867" t="s">
        <v>3225</v>
      </c>
      <c r="V50" s="10" t="s">
        <v>3324</v>
      </c>
      <c r="W50" s="10" t="s">
        <v>3796</v>
      </c>
      <c r="X50" s="10"/>
      <c r="Y50" s="10"/>
      <c r="Z50" s="10"/>
      <c r="AA50" s="11"/>
      <c r="AB50" s="11"/>
      <c r="AD50" s="260"/>
    </row>
    <row r="51" spans="2:30" x14ac:dyDescent="0.3">
      <c r="B51" s="10" t="s">
        <v>142</v>
      </c>
      <c r="C51" s="315" t="s">
        <v>2248</v>
      </c>
      <c r="D51" s="868" t="s">
        <v>264</v>
      </c>
      <c r="E51" s="837" t="str">
        <f>IFERROR(IF(_xlfn.XLOOKUP(Imput[[#This Row],[RFC]],'Alta Proveedor'!D:D,'Alta Proveedor'!E:E)=0,"",_xlfn.XLOOKUP(Imput[[#This Row],[RFC]],'Alta Proveedor'!D:D,'Alta Proveedor'!E:E)),"")</f>
        <v>M.N. DEL GOLFO "HOME CENTER TU ASESOR CONFIABLE"</v>
      </c>
      <c r="F51" s="832" t="s">
        <v>300</v>
      </c>
      <c r="G51" s="187">
        <v>77</v>
      </c>
      <c r="H51" s="1">
        <f>63551.2/152</f>
        <v>418.09999999999997</v>
      </c>
      <c r="I51" s="169">
        <f>Imput[[#This Row],[Cantidad]]*Imput[[#This Row],[Precio Unitario]]</f>
        <v>32193.699999999997</v>
      </c>
      <c r="J51" s="11">
        <f>((Imput[[#This Row],[Sub total]])*0.16)</f>
        <v>5150.9919999999993</v>
      </c>
      <c r="K51" s="11">
        <v>0</v>
      </c>
      <c r="L51" s="169">
        <f>Imput[[#This Row],[Sub total]]+Imput[[#This Row],[IVA]]-Imput[[#This Row],[Retención / IEPS / Descuento]]</f>
        <v>37344.691999999995</v>
      </c>
      <c r="M51" s="844">
        <v>86595.391999999993</v>
      </c>
      <c r="N51" s="189" t="s">
        <v>123</v>
      </c>
      <c r="O51" s="1"/>
      <c r="P51" s="189" t="s">
        <v>301</v>
      </c>
      <c r="Q51" s="190" t="s">
        <v>302</v>
      </c>
      <c r="R51" s="188">
        <v>45841</v>
      </c>
      <c r="S51" s="193" t="s">
        <v>126</v>
      </c>
      <c r="T51" s="192"/>
      <c r="U51" s="829"/>
      <c r="V51" s="866" t="s">
        <v>1012</v>
      </c>
      <c r="W51" s="10" t="s">
        <v>3795</v>
      </c>
      <c r="X51" s="10"/>
      <c r="Y51" s="10"/>
      <c r="Z51" s="10"/>
      <c r="AA51" s="11"/>
      <c r="AB51" s="11"/>
      <c r="AD51" s="260"/>
    </row>
    <row r="52" spans="2:30" x14ac:dyDescent="0.3">
      <c r="B52" s="10" t="s">
        <v>142</v>
      </c>
      <c r="C52" s="315" t="s">
        <v>2436</v>
      </c>
      <c r="D52" s="868" t="s">
        <v>264</v>
      </c>
      <c r="E52" s="837" t="str">
        <f>IFERROR(IF(_xlfn.XLOOKUP(Imput[[#This Row],[RFC]],'Alta Proveedor'!D:D,'Alta Proveedor'!E:E)=0,"",_xlfn.XLOOKUP(Imput[[#This Row],[RFC]],'Alta Proveedor'!D:D,'Alta Proveedor'!E:E)),"")</f>
        <v>M.N. DEL GOLFO "HOME CENTER TU ASESOR CONFIABLE"</v>
      </c>
      <c r="F52" s="832" t="s">
        <v>300</v>
      </c>
      <c r="G52" s="187">
        <f>152-77</f>
        <v>75</v>
      </c>
      <c r="H52" s="1">
        <f>63551.2/152</f>
        <v>418.09999999999997</v>
      </c>
      <c r="I52" s="169">
        <f>Imput[[#This Row],[Cantidad]]*Imput[[#This Row],[Precio Unitario]]</f>
        <v>31357.499999999996</v>
      </c>
      <c r="J52" s="11">
        <f>((Imput[[#This Row],[Sub total]])*0.16)</f>
        <v>5017.2</v>
      </c>
      <c r="K52" s="11">
        <v>0</v>
      </c>
      <c r="L52" s="169">
        <f>Imput[[#This Row],[Sub total]]+Imput[[#This Row],[IVA]]-Imput[[#This Row],[Retención / IEPS / Descuento]]</f>
        <v>36374.699999999997</v>
      </c>
      <c r="M52" s="844">
        <v>0</v>
      </c>
      <c r="N52" s="189" t="s">
        <v>123</v>
      </c>
      <c r="O52" s="1"/>
      <c r="P52" s="189" t="s">
        <v>301</v>
      </c>
      <c r="Q52" s="190" t="s">
        <v>302</v>
      </c>
      <c r="R52" s="188">
        <v>45841</v>
      </c>
      <c r="S52" s="193" t="s">
        <v>126</v>
      </c>
      <c r="T52" s="192"/>
      <c r="U52" s="829"/>
      <c r="V52" s="10" t="s">
        <v>1012</v>
      </c>
      <c r="W52" s="10" t="s">
        <v>3795</v>
      </c>
      <c r="X52" s="10"/>
      <c r="Y52" s="10"/>
      <c r="Z52" s="10"/>
      <c r="AA52" s="11"/>
      <c r="AB52" s="11"/>
      <c r="AD52" s="260"/>
    </row>
    <row r="53" spans="2:30" x14ac:dyDescent="0.3">
      <c r="B53" s="10" t="s">
        <v>142</v>
      </c>
      <c r="C53" s="315" t="s">
        <v>2247</v>
      </c>
      <c r="D53" s="868" t="s">
        <v>264</v>
      </c>
      <c r="E53" s="837" t="str">
        <f>IFERROR(IF(_xlfn.XLOOKUP(Imput[[#This Row],[RFC]],'Alta Proveedor'!D:D,'Alta Proveedor'!E:E)=0,"",_xlfn.XLOOKUP(Imput[[#This Row],[RFC]],'Alta Proveedor'!D:D,'Alta Proveedor'!E:E)),"")</f>
        <v>M.N. DEL GOLFO "HOME CENTER TU ASESOR CONFIABLE"</v>
      </c>
      <c r="F53" s="832" t="s">
        <v>303</v>
      </c>
      <c r="G53" s="187">
        <v>42</v>
      </c>
      <c r="H53" s="1">
        <f>11100/111</f>
        <v>100</v>
      </c>
      <c r="I53" s="169">
        <f>Imput[[#This Row],[Cantidad]]*Imput[[#This Row],[Precio Unitario]]</f>
        <v>4200</v>
      </c>
      <c r="J53" s="11">
        <f>((Imput[[#This Row],[Sub total]])*0.16)</f>
        <v>672</v>
      </c>
      <c r="K53" s="11">
        <v>0</v>
      </c>
      <c r="L53" s="169">
        <f>Imput[[#This Row],[Sub total]]+Imput[[#This Row],[IVA]]-Imput[[#This Row],[Retención / IEPS / Descuento]]</f>
        <v>4872</v>
      </c>
      <c r="M53" s="844">
        <v>0</v>
      </c>
      <c r="N53" s="189" t="s">
        <v>123</v>
      </c>
      <c r="O53" s="1"/>
      <c r="P53" s="189" t="s">
        <v>301</v>
      </c>
      <c r="Q53" s="190" t="s">
        <v>302</v>
      </c>
      <c r="R53" s="188">
        <v>45841</v>
      </c>
      <c r="S53" s="193" t="s">
        <v>126</v>
      </c>
      <c r="T53" s="192"/>
      <c r="U53" s="829"/>
      <c r="V53" s="10" t="s">
        <v>1012</v>
      </c>
      <c r="W53" s="10" t="s">
        <v>3795</v>
      </c>
      <c r="X53" s="10"/>
      <c r="Y53" s="10"/>
      <c r="Z53" s="10"/>
      <c r="AA53" s="11"/>
      <c r="AB53" s="11"/>
      <c r="AD53" s="260"/>
    </row>
    <row r="54" spans="2:30" s="406" customFormat="1" x14ac:dyDescent="0.3">
      <c r="B54" s="10" t="s">
        <v>142</v>
      </c>
      <c r="C54" s="315" t="s">
        <v>2435</v>
      </c>
      <c r="D54" s="868" t="s">
        <v>264</v>
      </c>
      <c r="E54" s="837" t="str">
        <f>IFERROR(IF(_xlfn.XLOOKUP(Imput[[#This Row],[RFC]],'Alta Proveedor'!D:D,'Alta Proveedor'!E:E)=0,"",_xlfn.XLOOKUP(Imput[[#This Row],[RFC]],'Alta Proveedor'!D:D,'Alta Proveedor'!E:E)),"")</f>
        <v>M.N. DEL GOLFO "HOME CENTER TU ASESOR CONFIABLE"</v>
      </c>
      <c r="F54" s="832" t="s">
        <v>303</v>
      </c>
      <c r="G54" s="187">
        <f>111-42</f>
        <v>69</v>
      </c>
      <c r="H54" s="1">
        <f>11100/111</f>
        <v>100</v>
      </c>
      <c r="I54" s="169">
        <f>Imput[[#This Row],[Cantidad]]*Imput[[#This Row],[Precio Unitario]]</f>
        <v>6900</v>
      </c>
      <c r="J54" s="11">
        <f>((Imput[[#This Row],[Sub total]])*0.16)</f>
        <v>1104</v>
      </c>
      <c r="K54" s="11">
        <v>0</v>
      </c>
      <c r="L54" s="169">
        <f>Imput[[#This Row],[Sub total]]+Imput[[#This Row],[IVA]]-Imput[[#This Row],[Retención / IEPS / Descuento]]</f>
        <v>8004</v>
      </c>
      <c r="M54" s="844">
        <v>0</v>
      </c>
      <c r="N54" s="189" t="s">
        <v>123</v>
      </c>
      <c r="O54" s="1"/>
      <c r="P54" s="189" t="s">
        <v>301</v>
      </c>
      <c r="Q54" s="190" t="s">
        <v>302</v>
      </c>
      <c r="R54" s="188">
        <v>45841</v>
      </c>
      <c r="S54" s="193" t="s">
        <v>126</v>
      </c>
      <c r="T54" s="192"/>
      <c r="U54" s="829"/>
      <c r="V54" s="10" t="s">
        <v>1012</v>
      </c>
      <c r="W54" s="10" t="s">
        <v>3795</v>
      </c>
      <c r="X54" s="10"/>
      <c r="Y54" s="10"/>
      <c r="Z54" s="10"/>
      <c r="AA54" s="11"/>
      <c r="AB54" s="11"/>
      <c r="AD54" s="260"/>
    </row>
    <row r="55" spans="2:30" s="406" customFormat="1" x14ac:dyDescent="0.3">
      <c r="B55" s="10" t="s">
        <v>142</v>
      </c>
      <c r="C55" s="315" t="s">
        <v>2428</v>
      </c>
      <c r="D55" s="868" t="s">
        <v>220</v>
      </c>
      <c r="E55" s="837" t="str">
        <f>IFERROR(IF(_xlfn.XLOOKUP(Imput[[#This Row],[RFC]],'Alta Proveedor'!D:D,'Alta Proveedor'!E:E)=0,"",_xlfn.XLOOKUP(Imput[[#This Row],[RFC]],'Alta Proveedor'!D:D,'Alta Proveedor'!E:E)),"")</f>
        <v>GUILLERMO UMAÑA GONZALEZ</v>
      </c>
      <c r="F55" s="832" t="s">
        <v>225</v>
      </c>
      <c r="G55" s="187">
        <v>2</v>
      </c>
      <c r="H55" s="1">
        <v>206.89500000000001</v>
      </c>
      <c r="I55" s="169">
        <f>Imput[[#This Row],[Cantidad]]*Imput[[#This Row],[Precio Unitario]]</f>
        <v>413.79</v>
      </c>
      <c r="J55" s="11">
        <f>Imput[[#This Row],[Sub total]]*0.16</f>
        <v>66.206400000000002</v>
      </c>
      <c r="K55" s="11">
        <v>0</v>
      </c>
      <c r="L55" s="169">
        <f>Imput[[#This Row],[Sub total]]+Imput[[#This Row],[IVA]]-Imput[[#This Row],[Retención / IEPS / Descuento]]</f>
        <v>479.99639999999999</v>
      </c>
      <c r="M55" s="844">
        <v>479.99639999999999</v>
      </c>
      <c r="N55" s="189" t="s">
        <v>123</v>
      </c>
      <c r="O55" s="1"/>
      <c r="P55" s="189" t="s">
        <v>226</v>
      </c>
      <c r="Q55" s="190" t="s">
        <v>227</v>
      </c>
      <c r="R55" s="188">
        <v>45842</v>
      </c>
      <c r="S55" s="193" t="s">
        <v>126</v>
      </c>
      <c r="T55" s="192"/>
      <c r="U55" s="829"/>
      <c r="V55" s="10" t="s">
        <v>1012</v>
      </c>
      <c r="W55" s="10" t="s">
        <v>3795</v>
      </c>
      <c r="X55" s="10"/>
      <c r="Y55" s="10"/>
      <c r="Z55" s="10"/>
      <c r="AA55" s="11"/>
      <c r="AB55" s="11"/>
      <c r="AD55" s="260"/>
    </row>
    <row r="56" spans="2:30" x14ac:dyDescent="0.3">
      <c r="B56" s="10" t="s">
        <v>142</v>
      </c>
      <c r="C56" s="315" t="s">
        <v>2335</v>
      </c>
      <c r="D56" s="868" t="s">
        <v>3119</v>
      </c>
      <c r="E56" s="837" t="str">
        <f>IFERROR(IF(_xlfn.XLOOKUP(Imput[[#This Row],[RFC]],'Alta Proveedor'!D:D,'Alta Proveedor'!E:E)=0,"",_xlfn.XLOOKUP(Imput[[#This Row],[RFC]],'Alta Proveedor'!D:D,'Alta Proveedor'!E:E)),"")</f>
        <v>Nomina-OPERACIÓN</v>
      </c>
      <c r="F56" s="836" t="s">
        <v>3121</v>
      </c>
      <c r="G56" s="187">
        <v>1</v>
      </c>
      <c r="H56" s="1">
        <v>15000</v>
      </c>
      <c r="I56" s="169">
        <f>Imput[[#This Row],[Cantidad]]*Imput[[#This Row],[Precio Unitario]]</f>
        <v>15000</v>
      </c>
      <c r="J56" s="11">
        <f>Imput[[#This Row],[Sub total]]*0.08</f>
        <v>1200</v>
      </c>
      <c r="K56" s="11">
        <v>0</v>
      </c>
      <c r="L56" s="169">
        <f>Imput[[#This Row],[Sub total]]+Imput[[#This Row],[IVA]]-Imput[[#This Row],[Retención / IEPS / Descuento]]</f>
        <v>16200</v>
      </c>
      <c r="M56" s="844">
        <v>16200</v>
      </c>
      <c r="N56" s="189"/>
      <c r="O56" s="1"/>
      <c r="P56" s="189"/>
      <c r="Q56" s="190"/>
      <c r="R56" s="188">
        <v>45842</v>
      </c>
      <c r="S56" s="193"/>
      <c r="T56" s="192"/>
      <c r="U56" s="867" t="s">
        <v>3225</v>
      </c>
      <c r="V56" s="10" t="s">
        <v>3108</v>
      </c>
      <c r="W56" s="10" t="s">
        <v>3793</v>
      </c>
      <c r="X56" s="10"/>
      <c r="Y56" s="10"/>
      <c r="Z56" s="10"/>
      <c r="AA56" s="11"/>
      <c r="AB56" s="11"/>
      <c r="AD56" s="260"/>
    </row>
    <row r="57" spans="2:30" x14ac:dyDescent="0.3">
      <c r="B57" s="10" t="s">
        <v>142</v>
      </c>
      <c r="C57" s="315" t="s">
        <v>1771</v>
      </c>
      <c r="D57" s="868" t="s">
        <v>3225</v>
      </c>
      <c r="E57" s="837" t="str">
        <f>IFERROR(IF(_xlfn.XLOOKUP(Imput[[#This Row],[RFC]],'Alta Proveedor'!D:D,'Alta Proveedor'!E:E)=0,"",_xlfn.XLOOKUP(Imput[[#This Row],[RFC]],'Alta Proveedor'!D:D,'Alta Proveedor'!E:E)),"")</f>
        <v>GASTOS SIN FACTURA</v>
      </c>
      <c r="F57" s="836" t="s">
        <v>3190</v>
      </c>
      <c r="G57" s="187">
        <v>1</v>
      </c>
      <c r="H57" s="1">
        <v>25000</v>
      </c>
      <c r="I57" s="169">
        <f>Imput[[#This Row],[Cantidad]]*Imput[[#This Row],[Precio Unitario]]</f>
        <v>25000</v>
      </c>
      <c r="J57" s="11">
        <f>Imput[[#This Row],[Sub total]]*0.08</f>
        <v>2000</v>
      </c>
      <c r="K57" s="11">
        <v>0</v>
      </c>
      <c r="L57" s="169">
        <f>Imput[[#This Row],[Sub total]]+Imput[[#This Row],[IVA]]-Imput[[#This Row],[Retención / IEPS / Descuento]]</f>
        <v>27000</v>
      </c>
      <c r="M57" s="844">
        <v>27000</v>
      </c>
      <c r="N57" s="189"/>
      <c r="O57" s="1"/>
      <c r="P57" s="189"/>
      <c r="Q57" s="190"/>
      <c r="R57" s="188">
        <v>45842</v>
      </c>
      <c r="S57" s="193"/>
      <c r="T57" s="192"/>
      <c r="U57" s="867" t="s">
        <v>3225</v>
      </c>
      <c r="V57" s="10" t="s">
        <v>3789</v>
      </c>
      <c r="W57" s="10" t="s">
        <v>3797</v>
      </c>
      <c r="X57" s="10"/>
      <c r="Y57" s="10"/>
      <c r="Z57" s="10"/>
      <c r="AA57" s="11"/>
      <c r="AB57" s="11"/>
      <c r="AD57" s="260"/>
    </row>
    <row r="58" spans="2:30" x14ac:dyDescent="0.3">
      <c r="B58" s="10" t="s">
        <v>142</v>
      </c>
      <c r="C58" s="315" t="s">
        <v>2515</v>
      </c>
      <c r="D58" s="868" t="s">
        <v>228</v>
      </c>
      <c r="E58" s="837" t="str">
        <f>IFERROR(IF(_xlfn.XLOOKUP(Imput[[#This Row],[RFC]],'Alta Proveedor'!D:D,'Alta Proveedor'!E:E)=0,"",_xlfn.XLOOKUP(Imput[[#This Row],[RFC]],'Alta Proveedor'!D:D,'Alta Proveedor'!E:E)),"")</f>
        <v>ROSA FRANCISCA VAZQUEZ RODRIGUEZ</v>
      </c>
      <c r="F58" s="832" t="s">
        <v>229</v>
      </c>
      <c r="G58" s="187">
        <v>1</v>
      </c>
      <c r="H58" s="1">
        <v>188.79</v>
      </c>
      <c r="I58" s="169">
        <f>Imput[[#This Row],[Cantidad]]*Imput[[#This Row],[Precio Unitario]]</f>
        <v>188.79</v>
      </c>
      <c r="J58" s="11">
        <f>Imput[[#This Row],[Sub total]]*0.16</f>
        <v>30.206399999999999</v>
      </c>
      <c r="K58" s="11">
        <v>0</v>
      </c>
      <c r="L58" s="169">
        <f>Imput[[#This Row],[Sub total]]+Imput[[#This Row],[IVA]]-Imput[[#This Row],[Retención / IEPS / Descuento]]</f>
        <v>218.99639999999999</v>
      </c>
      <c r="M58" s="844">
        <v>294.99959999999999</v>
      </c>
      <c r="N58" s="189" t="s">
        <v>123</v>
      </c>
      <c r="O58" s="1"/>
      <c r="P58" s="189" t="s">
        <v>230</v>
      </c>
      <c r="Q58" s="190" t="s">
        <v>231</v>
      </c>
      <c r="R58" s="188">
        <v>45845</v>
      </c>
      <c r="S58" s="193" t="s">
        <v>126</v>
      </c>
      <c r="T58" s="192"/>
      <c r="U58" s="829"/>
      <c r="V58" s="10" t="s">
        <v>1012</v>
      </c>
      <c r="W58" s="10" t="s">
        <v>3795</v>
      </c>
      <c r="X58" s="10"/>
      <c r="Y58" s="10"/>
      <c r="Z58" s="10"/>
      <c r="AA58" s="11"/>
      <c r="AB58" s="11"/>
      <c r="AD58" s="260"/>
    </row>
    <row r="59" spans="2:30" x14ac:dyDescent="0.3">
      <c r="B59" s="548" t="s">
        <v>142</v>
      </c>
      <c r="C59" s="315" t="s">
        <v>2515</v>
      </c>
      <c r="D59" s="868" t="s">
        <v>228</v>
      </c>
      <c r="E59" s="838" t="str">
        <f>IFERROR(IF(_xlfn.XLOOKUP(Imput[[#This Row],[RFC]],'Alta Proveedor'!D:D,'Alta Proveedor'!E:E)=0,"",_xlfn.XLOOKUP(Imput[[#This Row],[RFC]],'Alta Proveedor'!D:D,'Alta Proveedor'!E:E)),"")</f>
        <v>ROSA FRANCISCA VAZQUEZ RODRIGUEZ</v>
      </c>
      <c r="F59" s="833" t="s">
        <v>232</v>
      </c>
      <c r="G59" s="551">
        <v>1</v>
      </c>
      <c r="H59" s="550">
        <v>65.52</v>
      </c>
      <c r="I59" s="552">
        <f>Imput[[#This Row],[Cantidad]]*Imput[[#This Row],[Precio Unitario]]</f>
        <v>65.52</v>
      </c>
      <c r="J59" s="553">
        <f>Imput[[#This Row],[Sub total]]*0.16</f>
        <v>10.4832</v>
      </c>
      <c r="K59" s="553">
        <v>0</v>
      </c>
      <c r="L59" s="552">
        <f>Imput[[#This Row],[Sub total]]+Imput[[#This Row],[IVA]]-Imput[[#This Row],[Retención / IEPS / Descuento]]</f>
        <v>76.003199999999993</v>
      </c>
      <c r="M59" s="844">
        <v>0</v>
      </c>
      <c r="N59" s="554" t="s">
        <v>123</v>
      </c>
      <c r="O59" s="550"/>
      <c r="P59" s="554" t="s">
        <v>230</v>
      </c>
      <c r="Q59" s="555" t="s">
        <v>231</v>
      </c>
      <c r="R59" s="556">
        <v>45845</v>
      </c>
      <c r="S59" s="557" t="s">
        <v>126</v>
      </c>
      <c r="T59" s="558"/>
      <c r="U59" s="830"/>
      <c r="V59" s="866" t="s">
        <v>1012</v>
      </c>
      <c r="W59" s="866" t="s">
        <v>3795</v>
      </c>
      <c r="X59" s="548"/>
      <c r="Y59" s="548"/>
      <c r="Z59" s="548"/>
      <c r="AA59" s="553"/>
      <c r="AB59" s="553"/>
      <c r="AD59" s="260"/>
    </row>
    <row r="60" spans="2:30" x14ac:dyDescent="0.3">
      <c r="B60" s="806" t="s">
        <v>142</v>
      </c>
      <c r="C60" s="315" t="s">
        <v>2515</v>
      </c>
      <c r="D60" s="869" t="s">
        <v>164</v>
      </c>
      <c r="E60" s="839" t="str">
        <f>IFERROR(IF(_xlfn.XLOOKUP(Imput[[#This Row],[RFC]],'Alta Proveedor'!D:D,'Alta Proveedor'!E:E)=0,"",_xlfn.XLOOKUP(Imput[[#This Row],[RFC]],'Alta Proveedor'!D:D,'Alta Proveedor'!E:E)),"")</f>
        <v>HOME DEPOT MEXICO SUCURSAL THD-8730 TAMPICO</v>
      </c>
      <c r="F60" s="834" t="s">
        <v>2941</v>
      </c>
      <c r="G60" s="809">
        <v>1</v>
      </c>
      <c r="H60" s="808">
        <v>3885.36</v>
      </c>
      <c r="I60" s="810">
        <f>Imput[[#This Row],[Cantidad]]*Imput[[#This Row],[Precio Unitario]]</f>
        <v>3885.36</v>
      </c>
      <c r="J60" s="811">
        <f>Imput[[#This Row],[Sub total]]*0.16</f>
        <v>621.6576</v>
      </c>
      <c r="K60" s="811">
        <v>0</v>
      </c>
      <c r="L60" s="810">
        <f>Imput[[#This Row],[Sub total]]+Imput[[#This Row],[IVA]]-Imput[[#This Row],[Retención / IEPS / Descuento]]</f>
        <v>4507.0176000000001</v>
      </c>
      <c r="M60" s="844">
        <v>8543.9336000000003</v>
      </c>
      <c r="N60" s="812" t="s">
        <v>123</v>
      </c>
      <c r="O60" s="808"/>
      <c r="P60" s="812" t="s">
        <v>168</v>
      </c>
      <c r="Q60" s="813" t="s">
        <v>169</v>
      </c>
      <c r="R60" s="814">
        <v>45845</v>
      </c>
      <c r="S60" s="815" t="s">
        <v>126</v>
      </c>
      <c r="T60" s="816"/>
      <c r="U60" s="828"/>
      <c r="V60" s="866" t="s">
        <v>1012</v>
      </c>
      <c r="W60" s="866" t="s">
        <v>3795</v>
      </c>
      <c r="X60" s="806"/>
      <c r="Y60" s="806"/>
      <c r="Z60" s="806"/>
      <c r="AA60" s="811"/>
      <c r="AB60" s="811"/>
      <c r="AD60" s="260"/>
    </row>
    <row r="61" spans="2:30" x14ac:dyDescent="0.3">
      <c r="B61" s="806" t="s">
        <v>142</v>
      </c>
      <c r="C61" s="807" t="s">
        <v>2515</v>
      </c>
      <c r="D61" s="869" t="s">
        <v>164</v>
      </c>
      <c r="E61" s="839" t="str">
        <f>IFERROR(IF(_xlfn.XLOOKUP(Imput[[#This Row],[RFC]],'Alta Proveedor'!D:D,'Alta Proveedor'!E:E)=0,"",_xlfn.XLOOKUP(Imput[[#This Row],[RFC]],'Alta Proveedor'!D:D,'Alta Proveedor'!E:E)),"")</f>
        <v>HOME DEPOT MEXICO SUCURSAL THD-8730 TAMPICO</v>
      </c>
      <c r="F61" s="834" t="s">
        <v>2942</v>
      </c>
      <c r="G61" s="809">
        <v>1</v>
      </c>
      <c r="H61" s="808">
        <v>717.26</v>
      </c>
      <c r="I61" s="810">
        <f>Imput[[#This Row],[Cantidad]]*Imput[[#This Row],[Precio Unitario]]</f>
        <v>717.26</v>
      </c>
      <c r="J61" s="811">
        <f>Imput[[#This Row],[Sub total]]*0.16</f>
        <v>114.7616</v>
      </c>
      <c r="K61" s="811">
        <v>0</v>
      </c>
      <c r="L61" s="810">
        <f>Imput[[#This Row],[Sub total]]+Imput[[#This Row],[IVA]]-Imput[[#This Row],[Retención / IEPS / Descuento]]</f>
        <v>832.02160000000003</v>
      </c>
      <c r="M61" s="844">
        <v>0</v>
      </c>
      <c r="N61" s="812" t="s">
        <v>123</v>
      </c>
      <c r="O61" s="808"/>
      <c r="P61" s="812" t="s">
        <v>168</v>
      </c>
      <c r="Q61" s="813" t="s">
        <v>169</v>
      </c>
      <c r="R61" s="814">
        <v>45845</v>
      </c>
      <c r="S61" s="815" t="s">
        <v>126</v>
      </c>
      <c r="T61" s="816"/>
      <c r="U61" s="828"/>
      <c r="V61" s="866" t="s">
        <v>1012</v>
      </c>
      <c r="W61" s="806" t="s">
        <v>3798</v>
      </c>
      <c r="X61" s="806"/>
      <c r="Y61" s="806"/>
      <c r="Z61" s="806"/>
      <c r="AA61" s="811"/>
      <c r="AB61" s="811"/>
      <c r="AD61" s="260"/>
    </row>
    <row r="62" spans="2:30" x14ac:dyDescent="0.3">
      <c r="B62" s="548" t="s">
        <v>142</v>
      </c>
      <c r="C62" s="315" t="s">
        <v>2327</v>
      </c>
      <c r="D62" s="868" t="s">
        <v>164</v>
      </c>
      <c r="E62" s="838" t="str">
        <f>IFERROR(IF(_xlfn.XLOOKUP(Imput[[#This Row],[RFC]],'Alta Proveedor'!D:D,'Alta Proveedor'!E:E)=0,"",_xlfn.XLOOKUP(Imput[[#This Row],[RFC]],'Alta Proveedor'!D:D,'Alta Proveedor'!E:E)),"")</f>
        <v>HOME DEPOT MEXICO SUCURSAL THD-8730 TAMPICO</v>
      </c>
      <c r="F62" s="832" t="s">
        <v>2954</v>
      </c>
      <c r="G62" s="551">
        <v>1</v>
      </c>
      <c r="H62" s="550">
        <v>717.26</v>
      </c>
      <c r="I62" s="552">
        <f>Imput[[#This Row],[Cantidad]]*Imput[[#This Row],[Precio Unitario]]</f>
        <v>717.26</v>
      </c>
      <c r="J62" s="553">
        <f>Imput[[#This Row],[Sub total]]*0.16</f>
        <v>114.7616</v>
      </c>
      <c r="K62" s="553">
        <v>0</v>
      </c>
      <c r="L62" s="552">
        <f>Imput[[#This Row],[Sub total]]+Imput[[#This Row],[IVA]]-Imput[[#This Row],[Retención / IEPS / Descuento]]</f>
        <v>832.02160000000003</v>
      </c>
      <c r="M62" s="844">
        <v>0</v>
      </c>
      <c r="N62" s="554" t="s">
        <v>123</v>
      </c>
      <c r="O62" s="550"/>
      <c r="P62" s="554" t="s">
        <v>168</v>
      </c>
      <c r="Q62" s="555" t="s">
        <v>169</v>
      </c>
      <c r="R62" s="556">
        <v>45845</v>
      </c>
      <c r="S62" s="557" t="s">
        <v>126</v>
      </c>
      <c r="T62" s="558"/>
      <c r="U62" s="830"/>
      <c r="V62" s="866" t="s">
        <v>1012</v>
      </c>
      <c r="W62" s="548" t="s">
        <v>3798</v>
      </c>
      <c r="X62" s="548"/>
      <c r="Y62" s="548"/>
      <c r="Z62" s="548"/>
      <c r="AA62" s="553"/>
      <c r="AB62" s="553"/>
      <c r="AD62" s="260"/>
    </row>
    <row r="63" spans="2:30" x14ac:dyDescent="0.3">
      <c r="B63" s="548" t="s">
        <v>142</v>
      </c>
      <c r="C63" s="315" t="s">
        <v>2515</v>
      </c>
      <c r="D63" s="868" t="s">
        <v>164</v>
      </c>
      <c r="E63" s="838" t="str">
        <f>IFERROR(IF(_xlfn.XLOOKUP(Imput[[#This Row],[RFC]],'Alta Proveedor'!D:D,'Alta Proveedor'!E:E)=0,"",_xlfn.XLOOKUP(Imput[[#This Row],[RFC]],'Alta Proveedor'!D:D,'Alta Proveedor'!E:E)),"")</f>
        <v>HOME DEPOT MEXICO SUCURSAL THD-8730 TAMPICO</v>
      </c>
      <c r="F63" s="833" t="s">
        <v>170</v>
      </c>
      <c r="G63" s="551">
        <v>1</v>
      </c>
      <c r="H63" s="550">
        <v>1144.74</v>
      </c>
      <c r="I63" s="552">
        <f>Imput[[#This Row],[Cantidad]]*Imput[[#This Row],[Precio Unitario]]</f>
        <v>1144.74</v>
      </c>
      <c r="J63" s="553">
        <f>Imput[[#This Row],[Sub total]]*0.16</f>
        <v>183.1584</v>
      </c>
      <c r="K63" s="553">
        <v>0</v>
      </c>
      <c r="L63" s="552">
        <f>Imput[[#This Row],[Sub total]]+Imput[[#This Row],[IVA]]-Imput[[#This Row],[Retención / IEPS / Descuento]]</f>
        <v>1327.8984</v>
      </c>
      <c r="M63" s="844">
        <v>0</v>
      </c>
      <c r="N63" s="554" t="s">
        <v>123</v>
      </c>
      <c r="O63" s="550"/>
      <c r="P63" s="554" t="s">
        <v>168</v>
      </c>
      <c r="Q63" s="555" t="s">
        <v>169</v>
      </c>
      <c r="R63" s="556">
        <v>45845</v>
      </c>
      <c r="S63" s="557" t="s">
        <v>126</v>
      </c>
      <c r="T63" s="558"/>
      <c r="U63" s="830"/>
      <c r="V63" s="866" t="s">
        <v>1012</v>
      </c>
      <c r="W63" s="866" t="s">
        <v>3795</v>
      </c>
      <c r="X63" s="548"/>
      <c r="Y63" s="548"/>
      <c r="Z63" s="548"/>
      <c r="AA63" s="553"/>
      <c r="AB63" s="553"/>
      <c r="AD63" s="260"/>
    </row>
    <row r="64" spans="2:30" x14ac:dyDescent="0.3">
      <c r="B64" s="548" t="s">
        <v>142</v>
      </c>
      <c r="C64" s="315" t="s">
        <v>2515</v>
      </c>
      <c r="D64" s="868" t="s">
        <v>164</v>
      </c>
      <c r="E64" s="838" t="str">
        <f>IFERROR(IF(_xlfn.XLOOKUP(Imput[[#This Row],[RFC]],'Alta Proveedor'!D:D,'Alta Proveedor'!E:E)=0,"",_xlfn.XLOOKUP(Imput[[#This Row],[RFC]],'Alta Proveedor'!D:D,'Alta Proveedor'!E:E)),"")</f>
        <v>HOME DEPOT MEXICO SUCURSAL THD-8730 TAMPICO</v>
      </c>
      <c r="F64" s="833" t="s">
        <v>171</v>
      </c>
      <c r="G64" s="551">
        <v>1</v>
      </c>
      <c r="H64" s="550">
        <v>258.75</v>
      </c>
      <c r="I64" s="552">
        <f>Imput[[#This Row],[Cantidad]]*Imput[[#This Row],[Precio Unitario]]</f>
        <v>258.75</v>
      </c>
      <c r="J64" s="553">
        <f>Imput[[#This Row],[Sub total]]*0.16</f>
        <v>41.4</v>
      </c>
      <c r="K64" s="553">
        <v>0</v>
      </c>
      <c r="L64" s="552">
        <f>Imput[[#This Row],[Sub total]]+Imput[[#This Row],[IVA]]-Imput[[#This Row],[Retención / IEPS / Descuento]]</f>
        <v>300.14999999999998</v>
      </c>
      <c r="M64" s="844">
        <v>0</v>
      </c>
      <c r="N64" s="554" t="s">
        <v>123</v>
      </c>
      <c r="O64" s="550"/>
      <c r="P64" s="554" t="s">
        <v>168</v>
      </c>
      <c r="Q64" s="555" t="s">
        <v>169</v>
      </c>
      <c r="R64" s="556">
        <v>45845</v>
      </c>
      <c r="S64" s="557" t="s">
        <v>126</v>
      </c>
      <c r="T64" s="558"/>
      <c r="U64" s="830"/>
      <c r="V64" s="866" t="s">
        <v>1012</v>
      </c>
      <c r="W64" s="866" t="s">
        <v>3795</v>
      </c>
      <c r="X64" s="548"/>
      <c r="Y64" s="548"/>
      <c r="Z64" s="548"/>
      <c r="AA64" s="553"/>
      <c r="AB64" s="553"/>
      <c r="AD64" s="260"/>
    </row>
    <row r="65" spans="2:30" x14ac:dyDescent="0.3">
      <c r="B65" s="548" t="s">
        <v>142</v>
      </c>
      <c r="C65" s="315" t="s">
        <v>2515</v>
      </c>
      <c r="D65" s="868" t="s">
        <v>164</v>
      </c>
      <c r="E65" s="838" t="str">
        <f>IFERROR(IF(_xlfn.XLOOKUP(Imput[[#This Row],[RFC]],'Alta Proveedor'!D:D,'Alta Proveedor'!E:E)=0,"",_xlfn.XLOOKUP(Imput[[#This Row],[RFC]],'Alta Proveedor'!D:D,'Alta Proveedor'!E:E)),"")</f>
        <v>HOME DEPOT MEXICO SUCURSAL THD-8730 TAMPICO</v>
      </c>
      <c r="F65" s="833" t="s">
        <v>172</v>
      </c>
      <c r="G65" s="551">
        <v>1</v>
      </c>
      <c r="H65" s="550">
        <v>210.36</v>
      </c>
      <c r="I65" s="552">
        <f>Imput[[#This Row],[Cantidad]]*Imput[[#This Row],[Precio Unitario]]</f>
        <v>210.36</v>
      </c>
      <c r="J65" s="553">
        <f>Imput[[#This Row],[Sub total]]*0.16</f>
        <v>33.657600000000002</v>
      </c>
      <c r="K65" s="553">
        <v>0</v>
      </c>
      <c r="L65" s="552">
        <f>Imput[[#This Row],[Sub total]]+Imput[[#This Row],[IVA]]-Imput[[#This Row],[Retención / IEPS / Descuento]]</f>
        <v>244.01760000000002</v>
      </c>
      <c r="M65" s="844">
        <v>0</v>
      </c>
      <c r="N65" s="554" t="s">
        <v>123</v>
      </c>
      <c r="O65" s="550"/>
      <c r="P65" s="554" t="s">
        <v>168</v>
      </c>
      <c r="Q65" s="555" t="s">
        <v>169</v>
      </c>
      <c r="R65" s="556">
        <v>45845</v>
      </c>
      <c r="S65" s="557" t="s">
        <v>126</v>
      </c>
      <c r="T65" s="558"/>
      <c r="U65" s="830"/>
      <c r="V65" s="866" t="s">
        <v>1012</v>
      </c>
      <c r="W65" s="866" t="s">
        <v>3795</v>
      </c>
      <c r="X65" s="548"/>
      <c r="Y65" s="548"/>
      <c r="Z65" s="548"/>
      <c r="AA65" s="553"/>
      <c r="AB65" s="553"/>
      <c r="AD65" s="260"/>
    </row>
    <row r="66" spans="2:30" x14ac:dyDescent="0.3">
      <c r="B66" s="548" t="s">
        <v>142</v>
      </c>
      <c r="C66" s="315" t="s">
        <v>2515</v>
      </c>
      <c r="D66" s="868" t="s">
        <v>164</v>
      </c>
      <c r="E66" s="838" t="str">
        <f>IFERROR(IF(_xlfn.XLOOKUP(Imput[[#This Row],[RFC]],'Alta Proveedor'!D:D,'Alta Proveedor'!E:E)=0,"",_xlfn.XLOOKUP(Imput[[#This Row],[RFC]],'Alta Proveedor'!D:D,'Alta Proveedor'!E:E)),"")</f>
        <v>HOME DEPOT MEXICO SUCURSAL THD-8730 TAMPICO</v>
      </c>
      <c r="F66" s="833" t="s">
        <v>173</v>
      </c>
      <c r="G66" s="551">
        <v>1</v>
      </c>
      <c r="H66" s="550">
        <v>162.93</v>
      </c>
      <c r="I66" s="552">
        <f>Imput[[#This Row],[Cantidad]]*Imput[[#This Row],[Precio Unitario]]</f>
        <v>162.93</v>
      </c>
      <c r="J66" s="553">
        <f>(Imput[[#This Row],[Sub total]]-17.24)*0.16</f>
        <v>23.310400000000001</v>
      </c>
      <c r="K66" s="553">
        <v>17.239999999999998</v>
      </c>
      <c r="L66" s="552">
        <f>Imput[[#This Row],[Sub total]]+Imput[[#This Row],[IVA]]-Imput[[#This Row],[Retención / IEPS / Descuento]]</f>
        <v>169.00040000000001</v>
      </c>
      <c r="M66" s="844">
        <v>0</v>
      </c>
      <c r="N66" s="554" t="s">
        <v>123</v>
      </c>
      <c r="O66" s="550"/>
      <c r="P66" s="554" t="s">
        <v>168</v>
      </c>
      <c r="Q66" s="555" t="s">
        <v>169</v>
      </c>
      <c r="R66" s="556">
        <v>45845</v>
      </c>
      <c r="S66" s="557" t="s">
        <v>126</v>
      </c>
      <c r="T66" s="558"/>
      <c r="U66" s="830"/>
      <c r="V66" s="866" t="s">
        <v>1012</v>
      </c>
      <c r="W66" s="866" t="s">
        <v>3795</v>
      </c>
      <c r="X66" s="548"/>
      <c r="Y66" s="548"/>
      <c r="Z66" s="548"/>
      <c r="AA66" s="553"/>
      <c r="AB66" s="553"/>
      <c r="AD66" s="260"/>
    </row>
    <row r="67" spans="2:30" x14ac:dyDescent="0.3">
      <c r="B67" s="548" t="s">
        <v>142</v>
      </c>
      <c r="C67" s="315" t="s">
        <v>2515</v>
      </c>
      <c r="D67" s="868" t="s">
        <v>164</v>
      </c>
      <c r="E67" s="838" t="str">
        <f>IFERROR(IF(_xlfn.XLOOKUP(Imput[[#This Row],[RFC]],'Alta Proveedor'!D:D,'Alta Proveedor'!E:E)=0,"",_xlfn.XLOOKUP(Imput[[#This Row],[RFC]],'Alta Proveedor'!D:D,'Alta Proveedor'!E:E)),"")</f>
        <v>HOME DEPOT MEXICO SUCURSAL THD-8730 TAMPICO</v>
      </c>
      <c r="F67" s="833" t="s">
        <v>174</v>
      </c>
      <c r="G67" s="551">
        <v>1</v>
      </c>
      <c r="H67" s="550">
        <v>108.62</v>
      </c>
      <c r="I67" s="552">
        <f>Imput[[#This Row],[Cantidad]]*Imput[[#This Row],[Precio Unitario]]</f>
        <v>108.62</v>
      </c>
      <c r="J67" s="553">
        <f>Imput[[#This Row],[Sub total]]*0.16</f>
        <v>17.379200000000001</v>
      </c>
      <c r="K67" s="553">
        <v>0</v>
      </c>
      <c r="L67" s="552">
        <f>Imput[[#This Row],[Sub total]]+Imput[[#This Row],[IVA]]-Imput[[#This Row],[Retención / IEPS / Descuento]]</f>
        <v>125.9992</v>
      </c>
      <c r="M67" s="844">
        <v>0</v>
      </c>
      <c r="N67" s="554" t="s">
        <v>123</v>
      </c>
      <c r="O67" s="550"/>
      <c r="P67" s="554" t="s">
        <v>168</v>
      </c>
      <c r="Q67" s="555" t="s">
        <v>169</v>
      </c>
      <c r="R67" s="556">
        <v>45845</v>
      </c>
      <c r="S67" s="557" t="s">
        <v>126</v>
      </c>
      <c r="T67" s="558"/>
      <c r="U67" s="830"/>
      <c r="V67" s="866" t="s">
        <v>1012</v>
      </c>
      <c r="W67" s="866" t="s">
        <v>3795</v>
      </c>
      <c r="X67" s="548"/>
      <c r="Y67" s="548"/>
      <c r="Z67" s="548"/>
      <c r="AA67" s="553"/>
      <c r="AB67" s="553"/>
      <c r="AD67" s="260"/>
    </row>
    <row r="68" spans="2:30" x14ac:dyDescent="0.3">
      <c r="B68" s="548" t="s">
        <v>142</v>
      </c>
      <c r="C68" s="315" t="s">
        <v>2515</v>
      </c>
      <c r="D68" s="868" t="s">
        <v>164</v>
      </c>
      <c r="E68" s="838" t="str">
        <f>IFERROR(IF(_xlfn.XLOOKUP(Imput[[#This Row],[RFC]],'Alta Proveedor'!D:D,'Alta Proveedor'!E:E)=0,"",_xlfn.XLOOKUP(Imput[[#This Row],[RFC]],'Alta Proveedor'!D:D,'Alta Proveedor'!E:E)),"")</f>
        <v>HOME DEPOT MEXICO SUCURSAL THD-8730 TAMPICO</v>
      </c>
      <c r="F68" s="833" t="s">
        <v>175</v>
      </c>
      <c r="G68" s="551">
        <v>1</v>
      </c>
      <c r="H68" s="550">
        <v>97.16</v>
      </c>
      <c r="I68" s="552">
        <f>Imput[[#This Row],[Cantidad]]*Imput[[#This Row],[Precio Unitario]]</f>
        <v>97.16</v>
      </c>
      <c r="J68" s="553">
        <f>Imput[[#This Row],[Sub total]]*0.16</f>
        <v>15.5456</v>
      </c>
      <c r="K68" s="553">
        <v>0</v>
      </c>
      <c r="L68" s="552">
        <f>Imput[[#This Row],[Sub total]]+Imput[[#This Row],[IVA]]-Imput[[#This Row],[Retención / IEPS / Descuento]]</f>
        <v>112.7056</v>
      </c>
      <c r="M68" s="844">
        <v>0</v>
      </c>
      <c r="N68" s="554" t="s">
        <v>123</v>
      </c>
      <c r="O68" s="550"/>
      <c r="P68" s="554" t="s">
        <v>168</v>
      </c>
      <c r="Q68" s="555" t="s">
        <v>169</v>
      </c>
      <c r="R68" s="556">
        <v>45845</v>
      </c>
      <c r="S68" s="557" t="s">
        <v>126</v>
      </c>
      <c r="T68" s="558"/>
      <c r="U68" s="830"/>
      <c r="V68" s="866" t="s">
        <v>1012</v>
      </c>
      <c r="W68" s="866" t="s">
        <v>3795</v>
      </c>
      <c r="X68" s="548"/>
      <c r="Y68" s="548"/>
      <c r="Z68" s="548"/>
      <c r="AA68" s="553"/>
      <c r="AB68" s="553"/>
      <c r="AD68" s="260"/>
    </row>
    <row r="69" spans="2:30" x14ac:dyDescent="0.3">
      <c r="B69" s="548" t="s">
        <v>142</v>
      </c>
      <c r="C69" s="549" t="s">
        <v>2437</v>
      </c>
      <c r="D69" s="868" t="s">
        <v>164</v>
      </c>
      <c r="E69" s="838" t="str">
        <f>IFERROR(IF(_xlfn.XLOOKUP(Imput[[#This Row],[RFC]],'Alta Proveedor'!D:D,'Alta Proveedor'!E:E)=0,"",_xlfn.XLOOKUP(Imput[[#This Row],[RFC]],'Alta Proveedor'!D:D,'Alta Proveedor'!E:E)),"")</f>
        <v>HOME DEPOT MEXICO SUCURSAL THD-8730 TAMPICO</v>
      </c>
      <c r="F69" s="833" t="s">
        <v>176</v>
      </c>
      <c r="G69" s="551">
        <v>1</v>
      </c>
      <c r="H69" s="550">
        <v>80.260000000000005</v>
      </c>
      <c r="I69" s="552">
        <f>Imput[[#This Row],[Cantidad]]*Imput[[#This Row],[Precio Unitario]]</f>
        <v>80.260000000000005</v>
      </c>
      <c r="J69" s="553">
        <f>Imput[[#This Row],[Sub total]]*0.16</f>
        <v>12.841600000000001</v>
      </c>
      <c r="K69" s="553">
        <v>0</v>
      </c>
      <c r="L69" s="552">
        <f>Imput[[#This Row],[Sub total]]+Imput[[#This Row],[IVA]]-Imput[[#This Row],[Retención / IEPS / Descuento]]</f>
        <v>93.101600000000005</v>
      </c>
      <c r="M69" s="844">
        <v>0</v>
      </c>
      <c r="N69" s="554" t="s">
        <v>123</v>
      </c>
      <c r="O69" s="550"/>
      <c r="P69" s="554" t="s">
        <v>168</v>
      </c>
      <c r="Q69" s="555" t="s">
        <v>169</v>
      </c>
      <c r="R69" s="556">
        <v>45845</v>
      </c>
      <c r="S69" s="557" t="s">
        <v>126</v>
      </c>
      <c r="T69" s="558"/>
      <c r="U69" s="830"/>
      <c r="V69" s="866" t="s">
        <v>1012</v>
      </c>
      <c r="W69" s="866" t="s">
        <v>3795</v>
      </c>
      <c r="X69" s="548"/>
      <c r="Y69" s="548"/>
      <c r="Z69" s="548"/>
      <c r="AA69" s="553"/>
      <c r="AB69" s="553"/>
      <c r="AD69" s="260"/>
    </row>
    <row r="70" spans="2:30" x14ac:dyDescent="0.3">
      <c r="B70" s="10" t="s">
        <v>142</v>
      </c>
      <c r="C70" s="315" t="s">
        <v>2423</v>
      </c>
      <c r="D70" s="868" t="s">
        <v>264</v>
      </c>
      <c r="E70" s="837" t="str">
        <f>IFERROR(IF(_xlfn.XLOOKUP(Imput[[#This Row],[RFC]],'Alta Proveedor'!D:D,'Alta Proveedor'!E:E)=0,"",_xlfn.XLOOKUP(Imput[[#This Row],[RFC]],'Alta Proveedor'!D:D,'Alta Proveedor'!E:E)),"")</f>
        <v>M.N. DEL GOLFO "HOME CENTER TU ASESOR CONFIABLE"</v>
      </c>
      <c r="F70" s="832" t="s">
        <v>304</v>
      </c>
      <c r="G70" s="187">
        <v>50</v>
      </c>
      <c r="H70" s="1">
        <v>21.55</v>
      </c>
      <c r="I70" s="169">
        <f>Imput[[#This Row],[Cantidad]]*Imput[[#This Row],[Precio Unitario]]</f>
        <v>1077.5</v>
      </c>
      <c r="J70" s="11">
        <f>((Imput[[#This Row],[Sub total]])*0.16)</f>
        <v>172.4</v>
      </c>
      <c r="K70" s="11">
        <v>0</v>
      </c>
      <c r="L70" s="169">
        <f>Imput[[#This Row],[Sub total]]+Imput[[#This Row],[IVA]]-Imput[[#This Row],[Retención / IEPS / Descuento]]</f>
        <v>1249.9000000000001</v>
      </c>
      <c r="M70" s="844">
        <v>1249.9000000000001</v>
      </c>
      <c r="N70" s="189" t="s">
        <v>123</v>
      </c>
      <c r="O70" s="1"/>
      <c r="P70" s="189" t="s">
        <v>305</v>
      </c>
      <c r="Q70" s="190" t="s">
        <v>306</v>
      </c>
      <c r="R70" s="188">
        <v>45845</v>
      </c>
      <c r="S70" s="193" t="s">
        <v>126</v>
      </c>
      <c r="T70" s="192"/>
      <c r="U70" s="829"/>
      <c r="V70" s="10" t="s">
        <v>1012</v>
      </c>
      <c r="W70" s="10" t="s">
        <v>3795</v>
      </c>
      <c r="X70" s="10"/>
      <c r="Y70" s="10"/>
      <c r="Z70" s="10"/>
      <c r="AA70" s="11"/>
      <c r="AB70" s="11"/>
      <c r="AD70" s="260"/>
    </row>
    <row r="71" spans="2:30" x14ac:dyDescent="0.3">
      <c r="B71" s="548" t="s">
        <v>142</v>
      </c>
      <c r="C71" s="549" t="s">
        <v>1824</v>
      </c>
      <c r="D71" s="868" t="s">
        <v>143</v>
      </c>
      <c r="E71" s="838" t="str">
        <f>IFERROR(IF(_xlfn.XLOOKUP(Imput[[#This Row],[RFC]],'Alta Proveedor'!D:D,'Alta Proveedor'!E:E)=0,"",_xlfn.XLOOKUP(Imput[[#This Row],[RFC]],'Alta Proveedor'!D:D,'Alta Proveedor'!E:E)),"")</f>
        <v>FERRETERIA CUERVO SA DE CV</v>
      </c>
      <c r="F71" s="833" t="s">
        <v>148</v>
      </c>
      <c r="G71" s="551">
        <v>4</v>
      </c>
      <c r="H71" s="550">
        <v>150.97</v>
      </c>
      <c r="I71" s="552">
        <f>Imput[[#This Row],[Cantidad]]*Imput[[#This Row],[Precio Unitario]]</f>
        <v>603.88</v>
      </c>
      <c r="J71" s="553">
        <f>Imput[[#This Row],[Sub total]]*0.16</f>
        <v>96.620800000000003</v>
      </c>
      <c r="K71" s="553">
        <v>0</v>
      </c>
      <c r="L71" s="552">
        <f>Imput[[#This Row],[Sub total]]+Imput[[#This Row],[IVA]]-Imput[[#This Row],[Retención / IEPS / Descuento]]</f>
        <v>700.50080000000003</v>
      </c>
      <c r="M71" s="844">
        <v>1062.4903999999999</v>
      </c>
      <c r="N71" s="554" t="s">
        <v>123</v>
      </c>
      <c r="O71" s="550"/>
      <c r="P71" s="554" t="s">
        <v>145</v>
      </c>
      <c r="Q71" s="555" t="s">
        <v>146</v>
      </c>
      <c r="R71" s="556">
        <v>45846</v>
      </c>
      <c r="S71" s="557" t="s">
        <v>126</v>
      </c>
      <c r="T71" s="558"/>
      <c r="U71" s="830"/>
      <c r="V71" s="866" t="s">
        <v>1012</v>
      </c>
      <c r="W71" s="548" t="s">
        <v>513</v>
      </c>
      <c r="X71" s="548"/>
      <c r="Y71" s="548"/>
      <c r="Z71" s="548"/>
      <c r="AA71" s="553"/>
      <c r="AB71" s="553"/>
      <c r="AD71" s="260"/>
    </row>
    <row r="72" spans="2:30" x14ac:dyDescent="0.3">
      <c r="B72" s="10" t="s">
        <v>142</v>
      </c>
      <c r="C72" s="549" t="s">
        <v>2437</v>
      </c>
      <c r="D72" s="868" t="s">
        <v>143</v>
      </c>
      <c r="E72" s="837" t="str">
        <f>IFERROR(IF(_xlfn.XLOOKUP(Imput[[#This Row],[RFC]],'Alta Proveedor'!D:D,'Alta Proveedor'!E:E)=0,"",_xlfn.XLOOKUP(Imput[[#This Row],[RFC]],'Alta Proveedor'!D:D,'Alta Proveedor'!E:E)),"")</f>
        <v>FERRETERIA CUERVO SA DE CV</v>
      </c>
      <c r="F72" s="832" t="s">
        <v>144</v>
      </c>
      <c r="G72" s="187">
        <v>4</v>
      </c>
      <c r="H72" s="1">
        <v>66.59</v>
      </c>
      <c r="I72" s="169">
        <f>Imput[[#This Row],[Cantidad]]*Imput[[#This Row],[Precio Unitario]]</f>
        <v>266.36</v>
      </c>
      <c r="J72" s="11">
        <f>Imput[[#This Row],[Sub total]]*0.16</f>
        <v>42.617600000000003</v>
      </c>
      <c r="K72" s="11">
        <v>0</v>
      </c>
      <c r="L72" s="169">
        <f>Imput[[#This Row],[Sub total]]+Imput[[#This Row],[IVA]]-Imput[[#This Row],[Retención / IEPS / Descuento]]</f>
        <v>308.9776</v>
      </c>
      <c r="M72" s="844">
        <v>0</v>
      </c>
      <c r="N72" s="189" t="s">
        <v>123</v>
      </c>
      <c r="O72" s="1"/>
      <c r="P72" s="189" t="s">
        <v>145</v>
      </c>
      <c r="Q72" s="190" t="s">
        <v>146</v>
      </c>
      <c r="R72" s="188">
        <v>45846</v>
      </c>
      <c r="S72" s="193" t="s">
        <v>126</v>
      </c>
      <c r="T72" s="192"/>
      <c r="U72" s="829"/>
      <c r="V72" s="10" t="s">
        <v>1012</v>
      </c>
      <c r="W72" s="10" t="s">
        <v>3795</v>
      </c>
      <c r="X72" s="10"/>
      <c r="Y72" s="10"/>
      <c r="Z72" s="10"/>
      <c r="AA72" s="11"/>
      <c r="AB72" s="11"/>
      <c r="AD72" s="260"/>
    </row>
    <row r="73" spans="2:30" x14ac:dyDescent="0.3">
      <c r="B73" s="548" t="s">
        <v>142</v>
      </c>
      <c r="C73" s="549" t="s">
        <v>2437</v>
      </c>
      <c r="D73" s="868" t="s">
        <v>143</v>
      </c>
      <c r="E73" s="838" t="str">
        <f>IFERROR(IF(_xlfn.XLOOKUP(Imput[[#This Row],[RFC]],'Alta Proveedor'!D:D,'Alta Proveedor'!E:E)=0,"",_xlfn.XLOOKUP(Imput[[#This Row],[RFC]],'Alta Proveedor'!D:D,'Alta Proveedor'!E:E)),"")</f>
        <v>FERRETERIA CUERVO SA DE CV</v>
      </c>
      <c r="F73" s="833" t="s">
        <v>149</v>
      </c>
      <c r="G73" s="551">
        <v>5</v>
      </c>
      <c r="H73" s="550">
        <v>9.14</v>
      </c>
      <c r="I73" s="552">
        <f>Imput[[#This Row],[Cantidad]]*Imput[[#This Row],[Precio Unitario]]</f>
        <v>45.7</v>
      </c>
      <c r="J73" s="553">
        <f>Imput[[#This Row],[Sub total]]*0.16</f>
        <v>7.3120000000000003</v>
      </c>
      <c r="K73" s="553">
        <v>0</v>
      </c>
      <c r="L73" s="552">
        <f>Imput[[#This Row],[Sub total]]+Imput[[#This Row],[IVA]]-Imput[[#This Row],[Retención / IEPS / Descuento]]</f>
        <v>53.012</v>
      </c>
      <c r="M73" s="844">
        <v>0</v>
      </c>
      <c r="N73" s="554" t="s">
        <v>123</v>
      </c>
      <c r="O73" s="550"/>
      <c r="P73" s="554" t="s">
        <v>145</v>
      </c>
      <c r="Q73" s="555" t="s">
        <v>146</v>
      </c>
      <c r="R73" s="556">
        <v>45846</v>
      </c>
      <c r="S73" s="557" t="s">
        <v>126</v>
      </c>
      <c r="T73" s="558"/>
      <c r="U73" s="830"/>
      <c r="V73" s="866" t="s">
        <v>1012</v>
      </c>
      <c r="W73" s="866" t="s">
        <v>3795</v>
      </c>
      <c r="X73" s="548"/>
      <c r="Y73" s="548"/>
      <c r="Z73" s="548"/>
      <c r="AA73" s="553"/>
      <c r="AB73" s="553"/>
      <c r="AD73" s="260"/>
    </row>
    <row r="74" spans="2:30" x14ac:dyDescent="0.3">
      <c r="B74" s="10" t="s">
        <v>142</v>
      </c>
      <c r="C74" s="315" t="s">
        <v>2429</v>
      </c>
      <c r="D74" s="868" t="s">
        <v>164</v>
      </c>
      <c r="E74" s="837" t="str">
        <f>IFERROR(IF(_xlfn.XLOOKUP(Imput[[#This Row],[RFC]],'Alta Proveedor'!D:D,'Alta Proveedor'!E:E)=0,"",_xlfn.XLOOKUP(Imput[[#This Row],[RFC]],'Alta Proveedor'!D:D,'Alta Proveedor'!E:E)),"")</f>
        <v>HOME DEPOT MEXICO SUCURSAL THD-8730 TAMPICO</v>
      </c>
      <c r="F74" s="832" t="s">
        <v>165</v>
      </c>
      <c r="G74" s="187">
        <v>7</v>
      </c>
      <c r="H74" s="1">
        <v>244.13800000000001</v>
      </c>
      <c r="I74" s="169">
        <f>Imput[[#This Row],[Cantidad]]*Imput[[#This Row],[Precio Unitario]]</f>
        <v>1708.9660000000001</v>
      </c>
      <c r="J74" s="11">
        <f>Imput[[#This Row],[Sub total]]*0.16</f>
        <v>273.43456000000003</v>
      </c>
      <c r="K74" s="11">
        <v>0</v>
      </c>
      <c r="L74" s="169">
        <f>Imput[[#This Row],[Sub total]]+Imput[[#This Row],[IVA]]-Imput[[#This Row],[Retención / IEPS / Descuento]]</f>
        <v>1982.40056</v>
      </c>
      <c r="M74" s="844">
        <v>2705.39608</v>
      </c>
      <c r="N74" s="189" t="s">
        <v>123</v>
      </c>
      <c r="O74" s="1"/>
      <c r="P74" s="189" t="s">
        <v>240</v>
      </c>
      <c r="Q74" s="190" t="s">
        <v>241</v>
      </c>
      <c r="R74" s="188">
        <v>45847</v>
      </c>
      <c r="S74" s="193" t="s">
        <v>126</v>
      </c>
      <c r="T74" s="192"/>
      <c r="U74" s="829"/>
      <c r="V74" s="10" t="s">
        <v>1012</v>
      </c>
      <c r="W74" s="10" t="s">
        <v>3795</v>
      </c>
      <c r="X74" s="10"/>
      <c r="Y74" s="10"/>
      <c r="Z74" s="10"/>
      <c r="AA74" s="11"/>
      <c r="AB74" s="11"/>
      <c r="AD74" s="260"/>
    </row>
    <row r="75" spans="2:30" s="406" customFormat="1" x14ac:dyDescent="0.3">
      <c r="B75" s="10" t="s">
        <v>142</v>
      </c>
      <c r="C75" s="315" t="s">
        <v>2515</v>
      </c>
      <c r="D75" s="868" t="s">
        <v>164</v>
      </c>
      <c r="E75" s="837" t="str">
        <f>IFERROR(IF(_xlfn.XLOOKUP(Imput[[#This Row],[RFC]],'Alta Proveedor'!D:D,'Alta Proveedor'!E:E)=0,"",_xlfn.XLOOKUP(Imput[[#This Row],[RFC]],'Alta Proveedor'!D:D,'Alta Proveedor'!E:E)),"")</f>
        <v>HOME DEPOT MEXICO SUCURSAL THD-8730 TAMPICO</v>
      </c>
      <c r="F75" s="832" t="s">
        <v>242</v>
      </c>
      <c r="G75" s="187">
        <v>1</v>
      </c>
      <c r="H75" s="1">
        <v>445.47199999999998</v>
      </c>
      <c r="I75" s="169">
        <f>Imput[[#This Row],[Cantidad]]*Imput[[#This Row],[Precio Unitario]]</f>
        <v>445.47199999999998</v>
      </c>
      <c r="J75" s="11">
        <f>Imput[[#This Row],[Sub total]]*0.16</f>
        <v>71.27552</v>
      </c>
      <c r="K75" s="11">
        <v>0</v>
      </c>
      <c r="L75" s="169">
        <f>Imput[[#This Row],[Sub total]]+Imput[[#This Row],[IVA]]-Imput[[#This Row],[Retención / IEPS / Descuento]]</f>
        <v>516.74752000000001</v>
      </c>
      <c r="M75" s="844">
        <v>0</v>
      </c>
      <c r="N75" s="189" t="s">
        <v>123</v>
      </c>
      <c r="O75" s="1"/>
      <c r="P75" s="189" t="s">
        <v>240</v>
      </c>
      <c r="Q75" s="190" t="s">
        <v>241</v>
      </c>
      <c r="R75" s="188">
        <v>45847</v>
      </c>
      <c r="S75" s="193" t="s">
        <v>126</v>
      </c>
      <c r="T75" s="192"/>
      <c r="U75" s="829"/>
      <c r="V75" s="10" t="s">
        <v>1012</v>
      </c>
      <c r="W75" s="10" t="s">
        <v>3795</v>
      </c>
      <c r="X75" s="10"/>
      <c r="Y75" s="10"/>
      <c r="Z75" s="10"/>
      <c r="AA75" s="11"/>
      <c r="AB75" s="11"/>
      <c r="AD75" s="260"/>
    </row>
    <row r="76" spans="2:30" x14ac:dyDescent="0.3">
      <c r="B76" s="10" t="s">
        <v>142</v>
      </c>
      <c r="C76" s="315" t="s">
        <v>2515</v>
      </c>
      <c r="D76" s="868" t="s">
        <v>164</v>
      </c>
      <c r="E76" s="837" t="str">
        <f>IFERROR(IF(_xlfn.XLOOKUP(Imput[[#This Row],[RFC]],'Alta Proveedor'!D:D,'Alta Proveedor'!E:E)=0,"",_xlfn.XLOOKUP(Imput[[#This Row],[RFC]],'Alta Proveedor'!D:D,'Alta Proveedor'!E:E)),"")</f>
        <v>HOME DEPOT MEXICO SUCURSAL THD-8730 TAMPICO</v>
      </c>
      <c r="F76" s="832" t="s">
        <v>243</v>
      </c>
      <c r="G76" s="187">
        <v>1</v>
      </c>
      <c r="H76" s="1">
        <v>177.8</v>
      </c>
      <c r="I76" s="169">
        <f>Imput[[#This Row],[Cantidad]]*Imput[[#This Row],[Precio Unitario]]</f>
        <v>177.8</v>
      </c>
      <c r="J76" s="11">
        <f>Imput[[#This Row],[Sub total]]*0.16</f>
        <v>28.448000000000004</v>
      </c>
      <c r="K76" s="11">
        <v>0</v>
      </c>
      <c r="L76" s="169">
        <f>Imput[[#This Row],[Sub total]]+Imput[[#This Row],[IVA]]-Imput[[#This Row],[Retención / IEPS / Descuento]]</f>
        <v>206.24800000000002</v>
      </c>
      <c r="M76" s="844">
        <v>0</v>
      </c>
      <c r="N76" s="189" t="s">
        <v>123</v>
      </c>
      <c r="O76" s="1"/>
      <c r="P76" s="189" t="s">
        <v>240</v>
      </c>
      <c r="Q76" s="190" t="s">
        <v>241</v>
      </c>
      <c r="R76" s="188">
        <v>45847</v>
      </c>
      <c r="S76" s="193" t="s">
        <v>126</v>
      </c>
      <c r="T76" s="192"/>
      <c r="U76" s="829"/>
      <c r="V76" s="10" t="s">
        <v>1012</v>
      </c>
      <c r="W76" s="10" t="s">
        <v>3795</v>
      </c>
      <c r="X76" s="10"/>
      <c r="Y76" s="10"/>
      <c r="Z76" s="10"/>
      <c r="AA76" s="11"/>
      <c r="AB76" s="11"/>
      <c r="AD76" s="260"/>
    </row>
    <row r="77" spans="2:30" x14ac:dyDescent="0.3">
      <c r="B77" s="10" t="s">
        <v>142</v>
      </c>
      <c r="C77" s="315" t="s">
        <v>1767</v>
      </c>
      <c r="D77" s="868" t="s">
        <v>236</v>
      </c>
      <c r="E77" s="837" t="str">
        <f>IFERROR(IF(_xlfn.XLOOKUP(Imput[[#This Row],[RFC]],'Alta Proveedor'!D:D,'Alta Proveedor'!E:E)=0,"",_xlfn.XLOOKUP(Imput[[#This Row],[RFC]],'Alta Proveedor'!D:D,'Alta Proveedor'!E:E)),"")</f>
        <v>GASOLINERA DE COLONIAS DE TAMPICO E05695 (COMBUSTIBLES)</v>
      </c>
      <c r="F77" s="832" t="s">
        <v>237</v>
      </c>
      <c r="G77" s="187">
        <v>21.834</v>
      </c>
      <c r="H77" s="1">
        <v>19.820005496015391</v>
      </c>
      <c r="I77" s="169">
        <f>Imput[[#This Row],[Cantidad]]*Imput[[#This Row],[Precio Unitario]]</f>
        <v>432.75000000000006</v>
      </c>
      <c r="J77" s="11">
        <v>67.25</v>
      </c>
      <c r="K77" s="11">
        <v>0</v>
      </c>
      <c r="L77" s="169">
        <f>Imput[[#This Row],[Sub total]]+Imput[[#This Row],[IVA]]-Imput[[#This Row],[Retención / IEPS / Descuento]]</f>
        <v>500.00000000000006</v>
      </c>
      <c r="M77" s="844">
        <v>500.00000000000006</v>
      </c>
      <c r="N77" s="189" t="s">
        <v>123</v>
      </c>
      <c r="O77" s="1"/>
      <c r="P77" s="189" t="s">
        <v>238</v>
      </c>
      <c r="Q77" s="190" t="s">
        <v>239</v>
      </c>
      <c r="R77" s="188">
        <v>45847</v>
      </c>
      <c r="S77" s="193" t="s">
        <v>126</v>
      </c>
      <c r="T77" s="192"/>
      <c r="U77" s="829"/>
      <c r="V77" s="10" t="s">
        <v>3786</v>
      </c>
      <c r="W77" s="10" t="s">
        <v>3787</v>
      </c>
      <c r="X77" s="10"/>
      <c r="Y77" s="10"/>
      <c r="Z77" s="10"/>
      <c r="AA77" s="11"/>
      <c r="AB77" s="11"/>
      <c r="AD77" s="260"/>
    </row>
    <row r="78" spans="2:30" x14ac:dyDescent="0.3">
      <c r="B78" s="10" t="s">
        <v>142</v>
      </c>
      <c r="C78" s="315" t="s">
        <v>2340</v>
      </c>
      <c r="D78" s="868" t="s">
        <v>233</v>
      </c>
      <c r="E78" s="837" t="str">
        <f>IFERROR(IF(_xlfn.XLOOKUP(Imput[[#This Row],[RFC]],'Alta Proveedor'!D:D,'Alta Proveedor'!E:E)=0,"",_xlfn.XLOOKUP(Imput[[#This Row],[RFC]],'Alta Proveedor'!D:D,'Alta Proveedor'!E:E)),"")</f>
        <v>MARIO MARIN PERALES "FABRICACIONES  METALICAS  ESPECIALES"</v>
      </c>
      <c r="F78" s="832" t="s">
        <v>1735</v>
      </c>
      <c r="G78" s="187">
        <v>1</v>
      </c>
      <c r="H78" s="1">
        <v>3200</v>
      </c>
      <c r="I78" s="169">
        <f>Imput[[#This Row],[Cantidad]]*Imput[[#This Row],[Precio Unitario]]</f>
        <v>3200</v>
      </c>
      <c r="J78" s="11">
        <f>Imput[[#This Row],[Sub total]]*0.16</f>
        <v>512</v>
      </c>
      <c r="K78" s="11">
        <v>0</v>
      </c>
      <c r="L78" s="169">
        <f>Imput[[#This Row],[Sub total]]+Imput[[#This Row],[IVA]]-Imput[[#This Row],[Retención / IEPS / Descuento]]</f>
        <v>3712</v>
      </c>
      <c r="M78" s="844">
        <v>6670</v>
      </c>
      <c r="N78" s="189" t="s">
        <v>123</v>
      </c>
      <c r="O78" s="1"/>
      <c r="P78" s="189" t="s">
        <v>234</v>
      </c>
      <c r="Q78" s="190" t="s">
        <v>235</v>
      </c>
      <c r="R78" s="188">
        <v>45847</v>
      </c>
      <c r="S78" s="193" t="s">
        <v>215</v>
      </c>
      <c r="T78" s="192"/>
      <c r="U78" s="829"/>
      <c r="V78" s="10" t="s">
        <v>3789</v>
      </c>
      <c r="W78" s="10" t="s">
        <v>478</v>
      </c>
      <c r="X78" s="10"/>
      <c r="Y78" s="10"/>
      <c r="Z78" s="10"/>
      <c r="AA78" s="11"/>
      <c r="AB78" s="11"/>
      <c r="AD78" s="260"/>
    </row>
    <row r="79" spans="2:30" x14ac:dyDescent="0.3">
      <c r="B79" s="10" t="s">
        <v>142</v>
      </c>
      <c r="C79" s="315" t="s">
        <v>2339</v>
      </c>
      <c r="D79" s="868" t="s">
        <v>233</v>
      </c>
      <c r="E79" s="837" t="str">
        <f>IFERROR(IF(_xlfn.XLOOKUP(Imput[[#This Row],[RFC]],'Alta Proveedor'!D:D,'Alta Proveedor'!E:E)=0,"",_xlfn.XLOOKUP(Imput[[#This Row],[RFC]],'Alta Proveedor'!D:D,'Alta Proveedor'!E:E)),"")</f>
        <v>MARIO MARIN PERALES "FABRICACIONES  METALICAS  ESPECIALES"</v>
      </c>
      <c r="F79" s="832" t="s">
        <v>1736</v>
      </c>
      <c r="G79" s="187">
        <v>1</v>
      </c>
      <c r="H79" s="1">
        <v>2550</v>
      </c>
      <c r="I79" s="169">
        <f>Imput[[#This Row],[Cantidad]]*Imput[[#This Row],[Precio Unitario]]</f>
        <v>2550</v>
      </c>
      <c r="J79" s="11">
        <f>Imput[[#This Row],[Sub total]]*0.16</f>
        <v>408</v>
      </c>
      <c r="K79" s="11">
        <v>0</v>
      </c>
      <c r="L79" s="169">
        <f>Imput[[#This Row],[Sub total]]+Imput[[#This Row],[IVA]]-Imput[[#This Row],[Retención / IEPS / Descuento]]</f>
        <v>2958</v>
      </c>
      <c r="M79" s="844">
        <v>0</v>
      </c>
      <c r="N79" s="189" t="s">
        <v>123</v>
      </c>
      <c r="O79" s="1"/>
      <c r="P79" s="189" t="s">
        <v>234</v>
      </c>
      <c r="Q79" s="190" t="s">
        <v>235</v>
      </c>
      <c r="R79" s="188">
        <v>45847</v>
      </c>
      <c r="S79" s="193" t="s">
        <v>215</v>
      </c>
      <c r="T79" s="192"/>
      <c r="U79" s="829"/>
      <c r="V79" s="10" t="s">
        <v>3789</v>
      </c>
      <c r="W79" s="10" t="s">
        <v>478</v>
      </c>
      <c r="X79" s="10"/>
      <c r="Y79" s="10"/>
      <c r="Z79" s="10"/>
      <c r="AA79" s="11"/>
      <c r="AB79" s="11"/>
      <c r="AD79" s="260"/>
    </row>
    <row r="80" spans="2:30" x14ac:dyDescent="0.3">
      <c r="B80" s="10" t="s">
        <v>142</v>
      </c>
      <c r="C80" s="315" t="s">
        <v>2431</v>
      </c>
      <c r="D80" s="868" t="s">
        <v>164</v>
      </c>
      <c r="E80" s="837" t="str">
        <f>IFERROR(IF(_xlfn.XLOOKUP(Imput[[#This Row],[RFC]],'Alta Proveedor'!D:D,'Alta Proveedor'!E:E)=0,"",_xlfn.XLOOKUP(Imput[[#This Row],[RFC]],'Alta Proveedor'!D:D,'Alta Proveedor'!E:E)),"")</f>
        <v>HOME DEPOT MEXICO SUCURSAL THD-8730 TAMPICO</v>
      </c>
      <c r="F80" s="832" t="s">
        <v>1194</v>
      </c>
      <c r="G80" s="187">
        <v>6</v>
      </c>
      <c r="H80" s="1">
        <f>1701.72/6</f>
        <v>283.62</v>
      </c>
      <c r="I80" s="169">
        <f>Imput[[#This Row],[Cantidad]]*Imput[[#This Row],[Precio Unitario]]</f>
        <v>1701.72</v>
      </c>
      <c r="J80" s="11">
        <f>((Imput[[#This Row],[Sub total]])*(0.16))</f>
        <v>272.27519999999998</v>
      </c>
      <c r="K80" s="11">
        <v>0</v>
      </c>
      <c r="L80" s="169">
        <f>Imput[[#This Row],[Sub total]]+Imput[[#This Row],[IVA]]-Imput[[#This Row],[Retención / IEPS / Descuento]]</f>
        <v>1973.9952000000001</v>
      </c>
      <c r="M80" s="844">
        <v>5398.0020000000004</v>
      </c>
      <c r="N80" s="189" t="s">
        <v>123</v>
      </c>
      <c r="O80" s="1"/>
      <c r="P80" s="189" t="s">
        <v>3117</v>
      </c>
      <c r="Q80" s="190" t="s">
        <v>3090</v>
      </c>
      <c r="R80" s="188">
        <v>45848</v>
      </c>
      <c r="S80" s="193" t="s">
        <v>126</v>
      </c>
      <c r="T80" s="192"/>
      <c r="U80" s="829"/>
      <c r="V80" s="10" t="s">
        <v>1012</v>
      </c>
      <c r="W80" s="10" t="s">
        <v>513</v>
      </c>
      <c r="X80" s="10"/>
      <c r="Y80" s="10"/>
      <c r="Z80" s="10"/>
      <c r="AA80" s="11"/>
      <c r="AB80" s="11"/>
      <c r="AD80" s="260"/>
    </row>
    <row r="81" spans="2:30" x14ac:dyDescent="0.3">
      <c r="B81" s="10" t="s">
        <v>142</v>
      </c>
      <c r="C81" s="315" t="s">
        <v>2515</v>
      </c>
      <c r="D81" s="868" t="s">
        <v>164</v>
      </c>
      <c r="E81" s="837" t="str">
        <f>IFERROR(IF(_xlfn.XLOOKUP(Imput[[#This Row],[RFC]],'Alta Proveedor'!D:D,'Alta Proveedor'!E:E)=0,"",_xlfn.XLOOKUP(Imput[[#This Row],[RFC]],'Alta Proveedor'!D:D,'Alta Proveedor'!E:E)),"")</f>
        <v>HOME DEPOT MEXICO SUCURSAL THD-8730 TAMPICO</v>
      </c>
      <c r="F81" s="832" t="s">
        <v>1905</v>
      </c>
      <c r="G81" s="187">
        <v>2</v>
      </c>
      <c r="H81" s="1">
        <f>1474.14/2</f>
        <v>737.07</v>
      </c>
      <c r="I81" s="169">
        <f>Imput[[#This Row],[Cantidad]]*Imput[[#This Row],[Precio Unitario]]</f>
        <v>1474.14</v>
      </c>
      <c r="J81" s="11">
        <f>((Imput[[#This Row],[Sub total]])*(0.16))</f>
        <v>235.86240000000001</v>
      </c>
      <c r="K81" s="11">
        <v>0</v>
      </c>
      <c r="L81" s="169">
        <f>Imput[[#This Row],[Sub total]]+Imput[[#This Row],[IVA]]-Imput[[#This Row],[Retención / IEPS / Descuento]]</f>
        <v>1710.0024000000001</v>
      </c>
      <c r="M81" s="844">
        <v>0</v>
      </c>
      <c r="N81" s="189" t="s">
        <v>123</v>
      </c>
      <c r="O81" s="1"/>
      <c r="P81" s="189" t="s">
        <v>3117</v>
      </c>
      <c r="Q81" s="190" t="s">
        <v>3090</v>
      </c>
      <c r="R81" s="188">
        <v>45848</v>
      </c>
      <c r="S81" s="193" t="s">
        <v>126</v>
      </c>
      <c r="T81" s="192"/>
      <c r="U81" s="829"/>
      <c r="V81" s="10" t="s">
        <v>1012</v>
      </c>
      <c r="W81" s="10" t="s">
        <v>3795</v>
      </c>
      <c r="X81" s="10"/>
      <c r="Y81" s="10"/>
      <c r="Z81" s="10"/>
      <c r="AA81" s="11"/>
      <c r="AB81" s="11"/>
      <c r="AD81" s="260"/>
    </row>
    <row r="82" spans="2:30" x14ac:dyDescent="0.3">
      <c r="B82" s="10" t="s">
        <v>142</v>
      </c>
      <c r="C82" s="315" t="s">
        <v>2515</v>
      </c>
      <c r="D82" s="868" t="s">
        <v>164</v>
      </c>
      <c r="E82" s="837" t="str">
        <f>IFERROR(IF(_xlfn.XLOOKUP(Imput[[#This Row],[RFC]],'Alta Proveedor'!D:D,'Alta Proveedor'!E:E)=0,"",_xlfn.XLOOKUP(Imput[[#This Row],[RFC]],'Alta Proveedor'!D:D,'Alta Proveedor'!E:E)),"")</f>
        <v>HOME DEPOT MEXICO SUCURSAL THD-8730 TAMPICO</v>
      </c>
      <c r="F82" s="832" t="s">
        <v>3236</v>
      </c>
      <c r="G82" s="187">
        <v>2</v>
      </c>
      <c r="H82" s="1">
        <f>1377.59/2</f>
        <v>688.79499999999996</v>
      </c>
      <c r="I82" s="169">
        <f>Imput[[#This Row],[Cantidad]]*Imput[[#This Row],[Precio Unitario]]</f>
        <v>1377.59</v>
      </c>
      <c r="J82" s="11">
        <f>((Imput[[#This Row],[Sub total]])*(0.16))</f>
        <v>220.4144</v>
      </c>
      <c r="K82" s="11">
        <v>0</v>
      </c>
      <c r="L82" s="169">
        <f>Imput[[#This Row],[Sub total]]+Imput[[#This Row],[IVA]]-Imput[[#This Row],[Retención / IEPS / Descuento]]</f>
        <v>1598.0043999999998</v>
      </c>
      <c r="M82" s="844">
        <v>0</v>
      </c>
      <c r="N82" s="189" t="s">
        <v>123</v>
      </c>
      <c r="O82" s="1"/>
      <c r="P82" s="189" t="s">
        <v>3117</v>
      </c>
      <c r="Q82" s="190" t="s">
        <v>3090</v>
      </c>
      <c r="R82" s="188">
        <v>45848</v>
      </c>
      <c r="S82" s="193" t="s">
        <v>126</v>
      </c>
      <c r="T82" s="192"/>
      <c r="U82" s="829"/>
      <c r="V82" s="10" t="s">
        <v>1012</v>
      </c>
      <c r="W82" s="10" t="s">
        <v>513</v>
      </c>
      <c r="X82" s="10"/>
      <c r="Y82" s="10"/>
      <c r="Z82" s="10"/>
      <c r="AA82" s="11"/>
      <c r="AB82" s="11"/>
      <c r="AD82" s="260"/>
    </row>
    <row r="83" spans="2:30" x14ac:dyDescent="0.3">
      <c r="B83" s="10" t="s">
        <v>142</v>
      </c>
      <c r="C83" s="549" t="s">
        <v>2437</v>
      </c>
      <c r="D83" s="868" t="s">
        <v>164</v>
      </c>
      <c r="E83" s="837" t="str">
        <f>IFERROR(IF(_xlfn.XLOOKUP(Imput[[#This Row],[RFC]],'Alta Proveedor'!D:D,'Alta Proveedor'!E:E)=0,"",_xlfn.XLOOKUP(Imput[[#This Row],[RFC]],'Alta Proveedor'!D:D,'Alta Proveedor'!E:E)),"")</f>
        <v>HOME DEPOT MEXICO SUCURSAL THD-8730 TAMPICO</v>
      </c>
      <c r="F83" s="832" t="s">
        <v>3237</v>
      </c>
      <c r="G83" s="187">
        <v>4</v>
      </c>
      <c r="H83" s="1">
        <f>100/4</f>
        <v>25</v>
      </c>
      <c r="I83" s="169">
        <f>Imput[[#This Row],[Cantidad]]*Imput[[#This Row],[Precio Unitario]]</f>
        <v>100</v>
      </c>
      <c r="J83" s="11">
        <f>((Imput[[#This Row],[Sub total]])*(0.16))</f>
        <v>16</v>
      </c>
      <c r="K83" s="11">
        <v>0</v>
      </c>
      <c r="L83" s="169">
        <f>Imput[[#This Row],[Sub total]]+Imput[[#This Row],[IVA]]-Imput[[#This Row],[Retención / IEPS / Descuento]]</f>
        <v>116</v>
      </c>
      <c r="M83" s="844">
        <v>0</v>
      </c>
      <c r="N83" s="189" t="s">
        <v>123</v>
      </c>
      <c r="O83" s="1"/>
      <c r="P83" s="189" t="s">
        <v>3117</v>
      </c>
      <c r="Q83" s="190" t="s">
        <v>3090</v>
      </c>
      <c r="R83" s="188">
        <v>45848</v>
      </c>
      <c r="S83" s="193" t="s">
        <v>126</v>
      </c>
      <c r="T83" s="192"/>
      <c r="U83" s="829"/>
      <c r="V83" s="10" t="s">
        <v>1012</v>
      </c>
      <c r="W83" s="10" t="s">
        <v>3795</v>
      </c>
      <c r="X83" s="10"/>
      <c r="Y83" s="10"/>
      <c r="Z83" s="10"/>
      <c r="AA83" s="11"/>
      <c r="AB83" s="11"/>
      <c r="AD83" s="260"/>
    </row>
    <row r="84" spans="2:30" x14ac:dyDescent="0.3">
      <c r="B84" s="10" t="s">
        <v>142</v>
      </c>
      <c r="C84" s="315" t="s">
        <v>2426</v>
      </c>
      <c r="D84" s="868" t="s">
        <v>3078</v>
      </c>
      <c r="E84" s="837" t="str">
        <f>IFERROR(IF(_xlfn.XLOOKUP(Imput[[#This Row],[RFC]],'Alta Proveedor'!D:D,'Alta Proveedor'!E:E)=0,"",_xlfn.XLOOKUP(Imput[[#This Row],[RFC]],'Alta Proveedor'!D:D,'Alta Proveedor'!E:E)),"")</f>
        <v>CONCRETOS HUASTECA</v>
      </c>
      <c r="F84" s="832" t="s">
        <v>3387</v>
      </c>
      <c r="G84" s="187">
        <v>1</v>
      </c>
      <c r="H84" s="1">
        <v>15138</v>
      </c>
      <c r="I84" s="169">
        <f>Imput[[#This Row],[Cantidad]]*Imput[[#This Row],[Precio Unitario]]</f>
        <v>15138</v>
      </c>
      <c r="J84" s="11">
        <v>0</v>
      </c>
      <c r="K84" s="11">
        <v>0</v>
      </c>
      <c r="L84" s="169">
        <f>Imput[[#This Row],[Sub total]]+Imput[[#This Row],[IVA]]-Imput[[#This Row],[Retención / IEPS / Descuento]]</f>
        <v>15138</v>
      </c>
      <c r="M84" s="844">
        <v>15138</v>
      </c>
      <c r="N84" s="189"/>
      <c r="O84" s="1"/>
      <c r="P84" s="189" t="str">
        <f>Imput[[#This Row],[Folio]]</f>
        <v>8762</v>
      </c>
      <c r="Q84" s="190" t="s">
        <v>3085</v>
      </c>
      <c r="R84" s="188">
        <v>45849</v>
      </c>
      <c r="S84" s="193"/>
      <c r="T84" s="192"/>
      <c r="U84" s="829" t="s">
        <v>3099</v>
      </c>
      <c r="V84" s="10" t="s">
        <v>1012</v>
      </c>
      <c r="W84" s="10" t="s">
        <v>3795</v>
      </c>
      <c r="X84" s="10"/>
      <c r="Y84" s="10"/>
      <c r="Z84" s="10"/>
      <c r="AA84" s="11"/>
      <c r="AB84" s="11"/>
      <c r="AD84" s="260"/>
    </row>
    <row r="85" spans="2:30" x14ac:dyDescent="0.3">
      <c r="B85" s="10" t="s">
        <v>142</v>
      </c>
      <c r="C85" s="315" t="s">
        <v>1767</v>
      </c>
      <c r="D85" s="868" t="s">
        <v>261</v>
      </c>
      <c r="E85" s="837" t="str">
        <f>IFERROR(IF(_xlfn.XLOOKUP(Imput[[#This Row],[RFC]],'Alta Proveedor'!D:D,'Alta Proveedor'!E:E)=0,"",_xlfn.XLOOKUP(Imput[[#This Row],[RFC]],'Alta Proveedor'!D:D,'Alta Proveedor'!E:E)),"")</f>
        <v>SERVICIOS SOLEY "EXELGAS" (COMBUSTIBLES)</v>
      </c>
      <c r="F85" s="832" t="s">
        <v>237</v>
      </c>
      <c r="G85" s="187">
        <v>22.855</v>
      </c>
      <c r="H85" s="1">
        <v>20.337344126011814</v>
      </c>
      <c r="I85" s="169">
        <f>Imput[[#This Row],[Cantidad]]*Imput[[#This Row],[Precio Unitario]]</f>
        <v>464.81</v>
      </c>
      <c r="J85" s="11">
        <v>72.28</v>
      </c>
      <c r="K85" s="11">
        <v>0</v>
      </c>
      <c r="L85" s="169">
        <f>Imput[[#This Row],[Sub total]]+Imput[[#This Row],[IVA]]-Imput[[#This Row],[Retención / IEPS / Descuento]]</f>
        <v>537.09</v>
      </c>
      <c r="M85" s="844">
        <v>537.09</v>
      </c>
      <c r="N85" s="189" t="s">
        <v>123</v>
      </c>
      <c r="O85" s="1"/>
      <c r="P85" s="189" t="s">
        <v>262</v>
      </c>
      <c r="Q85" s="190" t="s">
        <v>263</v>
      </c>
      <c r="R85" s="188">
        <v>45849</v>
      </c>
      <c r="S85" s="193" t="s">
        <v>126</v>
      </c>
      <c r="T85" s="192"/>
      <c r="U85" s="829"/>
      <c r="V85" s="10" t="s">
        <v>3786</v>
      </c>
      <c r="W85" s="10" t="s">
        <v>3787</v>
      </c>
      <c r="X85" s="10"/>
      <c r="Y85" s="10"/>
      <c r="Z85" s="10"/>
      <c r="AA85" s="11"/>
      <c r="AB85" s="11"/>
      <c r="AD85" s="260"/>
    </row>
    <row r="86" spans="2:30" x14ac:dyDescent="0.3">
      <c r="B86" s="10" t="s">
        <v>142</v>
      </c>
      <c r="C86" s="315" t="s">
        <v>2335</v>
      </c>
      <c r="D86" s="868" t="s">
        <v>3119</v>
      </c>
      <c r="E86" s="837" t="str">
        <f>IFERROR(IF(_xlfn.XLOOKUP(Imput[[#This Row],[RFC]],'Alta Proveedor'!D:D,'Alta Proveedor'!E:E)=0,"",_xlfn.XLOOKUP(Imput[[#This Row],[RFC]],'Alta Proveedor'!D:D,'Alta Proveedor'!E:E)),"")</f>
        <v>Nomina-OPERACIÓN</v>
      </c>
      <c r="F86" s="836" t="s">
        <v>3122</v>
      </c>
      <c r="G86" s="187">
        <v>1</v>
      </c>
      <c r="H86" s="1">
        <v>3000</v>
      </c>
      <c r="I86" s="169">
        <f>Imput[[#This Row],[Cantidad]]*Imput[[#This Row],[Precio Unitario]]</f>
        <v>3000</v>
      </c>
      <c r="J86" s="11">
        <f>Imput[[#This Row],[Sub total]]*0.08</f>
        <v>240</v>
      </c>
      <c r="K86" s="11">
        <v>0</v>
      </c>
      <c r="L86" s="169">
        <f>Imput[[#This Row],[Sub total]]+Imput[[#This Row],[IVA]]-Imput[[#This Row],[Retención / IEPS / Descuento]]</f>
        <v>3240</v>
      </c>
      <c r="M86" s="844">
        <v>3240</v>
      </c>
      <c r="N86" s="189"/>
      <c r="O86" s="1"/>
      <c r="P86" s="189"/>
      <c r="Q86" s="190"/>
      <c r="R86" s="188">
        <v>45849</v>
      </c>
      <c r="S86" s="193"/>
      <c r="T86" s="192"/>
      <c r="U86" s="867" t="s">
        <v>3225</v>
      </c>
      <c r="V86" s="10" t="s">
        <v>3108</v>
      </c>
      <c r="W86" s="10" t="s">
        <v>3793</v>
      </c>
      <c r="X86" s="10"/>
      <c r="Y86" s="10"/>
      <c r="Z86" s="10"/>
      <c r="AA86" s="11"/>
      <c r="AB86" s="11"/>
      <c r="AD86" s="260"/>
    </row>
    <row r="87" spans="2:30" x14ac:dyDescent="0.3">
      <c r="B87" s="806" t="s">
        <v>142</v>
      </c>
      <c r="C87" s="315" t="s">
        <v>2515</v>
      </c>
      <c r="D87" s="869" t="s">
        <v>164</v>
      </c>
      <c r="E87" s="839" t="str">
        <f>IFERROR(IF(_xlfn.XLOOKUP(Imput[[#This Row],[RFC]],'Alta Proveedor'!D:D,'Alta Proveedor'!E:E)=0,"",_xlfn.XLOOKUP(Imput[[#This Row],[RFC]],'Alta Proveedor'!D:D,'Alta Proveedor'!E:E)),"")</f>
        <v>HOME DEPOT MEXICO SUCURSAL THD-8730 TAMPICO</v>
      </c>
      <c r="F87" s="834" t="s">
        <v>2940</v>
      </c>
      <c r="G87" s="809">
        <v>1</v>
      </c>
      <c r="H87" s="808">
        <v>2307.09</v>
      </c>
      <c r="I87" s="810">
        <f>Imput[[#This Row],[Cantidad]]*Imput[[#This Row],[Precio Unitario]]</f>
        <v>2307.09</v>
      </c>
      <c r="J87" s="811">
        <f>Imput[[#This Row],[Sub total]]*0.16</f>
        <v>369.13440000000003</v>
      </c>
      <c r="K87" s="811">
        <v>0</v>
      </c>
      <c r="L87" s="810">
        <f>Imput[[#This Row],[Sub total]]+Imput[[#This Row],[IVA]]-Imput[[#This Row],[Retención / IEPS / Descuento]]</f>
        <v>2676.2244000000001</v>
      </c>
      <c r="M87" s="844">
        <v>5790.4879999999994</v>
      </c>
      <c r="N87" s="812" t="s">
        <v>123</v>
      </c>
      <c r="O87" s="808"/>
      <c r="P87" s="812" t="s">
        <v>250</v>
      </c>
      <c r="Q87" s="813" t="s">
        <v>251</v>
      </c>
      <c r="R87" s="814">
        <v>45850</v>
      </c>
      <c r="S87" s="815" t="s">
        <v>126</v>
      </c>
      <c r="T87" s="816"/>
      <c r="U87" s="828"/>
      <c r="V87" s="806" t="s">
        <v>1012</v>
      </c>
      <c r="W87" s="866" t="s">
        <v>3795</v>
      </c>
      <c r="X87" s="806"/>
      <c r="Y87" s="806"/>
      <c r="Z87" s="806"/>
      <c r="AA87" s="811"/>
      <c r="AB87" s="811"/>
      <c r="AD87" s="260"/>
    </row>
    <row r="88" spans="2:30" x14ac:dyDescent="0.3">
      <c r="B88" s="10" t="s">
        <v>142</v>
      </c>
      <c r="C88" s="315" t="s">
        <v>2428</v>
      </c>
      <c r="D88" s="868" t="s">
        <v>164</v>
      </c>
      <c r="E88" s="837" t="str">
        <f>IFERROR(IF(_xlfn.XLOOKUP(Imput[[#This Row],[RFC]],'Alta Proveedor'!D:D,'Alta Proveedor'!E:E)=0,"",_xlfn.XLOOKUP(Imput[[#This Row],[RFC]],'Alta Proveedor'!D:D,'Alta Proveedor'!E:E)),"")</f>
        <v>HOME DEPOT MEXICO SUCURSAL THD-8730 TAMPICO</v>
      </c>
      <c r="F88" s="832" t="s">
        <v>252</v>
      </c>
      <c r="G88" s="187">
        <v>12</v>
      </c>
      <c r="H88" s="1">
        <f>1294.24/12</f>
        <v>107.85333333333334</v>
      </c>
      <c r="I88" s="169">
        <f>Imput[[#This Row],[Cantidad]]*Imput[[#This Row],[Precio Unitario]]</f>
        <v>1294.24</v>
      </c>
      <c r="J88" s="11">
        <f>Imput[[#This Row],[Sub total]]*0.16</f>
        <v>207.07840000000002</v>
      </c>
      <c r="K88" s="11">
        <v>0</v>
      </c>
      <c r="L88" s="169">
        <f>Imput[[#This Row],[Sub total]]+Imput[[#This Row],[IVA]]-Imput[[#This Row],[Retención / IEPS / Descuento]]</f>
        <v>1501.3184000000001</v>
      </c>
      <c r="M88" s="844">
        <v>0</v>
      </c>
      <c r="N88" s="189" t="s">
        <v>123</v>
      </c>
      <c r="O88" s="1"/>
      <c r="P88" s="189" t="s">
        <v>250</v>
      </c>
      <c r="Q88" s="190" t="s">
        <v>251</v>
      </c>
      <c r="R88" s="188">
        <v>45850</v>
      </c>
      <c r="S88" s="193" t="s">
        <v>126</v>
      </c>
      <c r="T88" s="192"/>
      <c r="U88" s="829"/>
      <c r="V88" s="10" t="s">
        <v>1012</v>
      </c>
      <c r="W88" s="10" t="s">
        <v>3795</v>
      </c>
      <c r="X88" s="10"/>
      <c r="Y88" s="10"/>
      <c r="Z88" s="10"/>
      <c r="AA88" s="11"/>
      <c r="AB88" s="11"/>
      <c r="AD88" s="260"/>
    </row>
    <row r="89" spans="2:30" x14ac:dyDescent="0.3">
      <c r="B89" s="10" t="s">
        <v>142</v>
      </c>
      <c r="C89" s="315" t="s">
        <v>2515</v>
      </c>
      <c r="D89" s="868" t="s">
        <v>164</v>
      </c>
      <c r="E89" s="837" t="str">
        <f>IFERROR(IF(_xlfn.XLOOKUP(Imput[[#This Row],[RFC]],'Alta Proveedor'!D:D,'Alta Proveedor'!E:E)=0,"",_xlfn.XLOOKUP(Imput[[#This Row],[RFC]],'Alta Proveedor'!D:D,'Alta Proveedor'!E:E)),"")</f>
        <v>HOME DEPOT MEXICO SUCURSAL THD-8730 TAMPICO</v>
      </c>
      <c r="F89" s="832" t="s">
        <v>253</v>
      </c>
      <c r="G89" s="187">
        <v>3</v>
      </c>
      <c r="H89" s="1">
        <f>799.14/3</f>
        <v>266.38</v>
      </c>
      <c r="I89" s="169">
        <f>Imput[[#This Row],[Cantidad]]*Imput[[#This Row],[Precio Unitario]]</f>
        <v>799.14</v>
      </c>
      <c r="J89" s="11">
        <f>((Imput[[#This Row],[Sub total]]-243.11)*0.16)</f>
        <v>88.964799999999997</v>
      </c>
      <c r="K89" s="11">
        <v>243.11</v>
      </c>
      <c r="L89" s="169">
        <f>Imput[[#This Row],[Sub total]]+Imput[[#This Row],[IVA]]-Imput[[#This Row],[Retención / IEPS / Descuento]]</f>
        <v>644.99479999999994</v>
      </c>
      <c r="M89" s="844">
        <v>0</v>
      </c>
      <c r="N89" s="189" t="s">
        <v>123</v>
      </c>
      <c r="O89" s="1"/>
      <c r="P89" s="189" t="s">
        <v>250</v>
      </c>
      <c r="Q89" s="190" t="s">
        <v>251</v>
      </c>
      <c r="R89" s="188">
        <v>45850</v>
      </c>
      <c r="S89" s="193" t="s">
        <v>126</v>
      </c>
      <c r="T89" s="192"/>
      <c r="U89" s="829"/>
      <c r="V89" s="10" t="s">
        <v>1012</v>
      </c>
      <c r="W89" s="10" t="s">
        <v>3795</v>
      </c>
      <c r="X89" s="10"/>
      <c r="Y89" s="10"/>
      <c r="Z89" s="10"/>
      <c r="AA89" s="11"/>
      <c r="AB89" s="11"/>
      <c r="AD89" s="260"/>
    </row>
    <row r="90" spans="2:30" x14ac:dyDescent="0.3">
      <c r="B90" s="10" t="s">
        <v>142</v>
      </c>
      <c r="C90" s="315" t="s">
        <v>2515</v>
      </c>
      <c r="D90" s="868" t="s">
        <v>164</v>
      </c>
      <c r="E90" s="837" t="str">
        <f>IFERROR(IF(_xlfn.XLOOKUP(Imput[[#This Row],[RFC]],'Alta Proveedor'!D:D,'Alta Proveedor'!E:E)=0,"",_xlfn.XLOOKUP(Imput[[#This Row],[RFC]],'Alta Proveedor'!D:D,'Alta Proveedor'!E:E)),"")</f>
        <v>HOME DEPOT MEXICO SUCURSAL THD-8730 TAMPICO</v>
      </c>
      <c r="F90" s="832" t="s">
        <v>254</v>
      </c>
      <c r="G90" s="187">
        <v>1</v>
      </c>
      <c r="H90" s="1">
        <v>367.5</v>
      </c>
      <c r="I90" s="169">
        <f>Imput[[#This Row],[Cantidad]]*Imput[[#This Row],[Precio Unitario]]</f>
        <v>367.5</v>
      </c>
      <c r="J90" s="11">
        <f>Imput[[#This Row],[Sub total]]*0.16</f>
        <v>58.800000000000004</v>
      </c>
      <c r="K90" s="11">
        <v>0</v>
      </c>
      <c r="L90" s="169">
        <f>Imput[[#This Row],[Sub total]]+Imput[[#This Row],[IVA]]-Imput[[#This Row],[Retención / IEPS / Descuento]]</f>
        <v>426.3</v>
      </c>
      <c r="M90" s="844">
        <v>0</v>
      </c>
      <c r="N90" s="189" t="s">
        <v>123</v>
      </c>
      <c r="O90" s="1"/>
      <c r="P90" s="189" t="s">
        <v>250</v>
      </c>
      <c r="Q90" s="190" t="s">
        <v>251</v>
      </c>
      <c r="R90" s="188">
        <v>45850</v>
      </c>
      <c r="S90" s="193" t="s">
        <v>126</v>
      </c>
      <c r="T90" s="192"/>
      <c r="U90" s="829"/>
      <c r="V90" s="10" t="s">
        <v>1012</v>
      </c>
      <c r="W90" s="10" t="s">
        <v>3795</v>
      </c>
      <c r="X90" s="10"/>
      <c r="Y90" s="10"/>
      <c r="Z90" s="10"/>
      <c r="AA90" s="11"/>
      <c r="AB90" s="11"/>
      <c r="AD90" s="260"/>
    </row>
    <row r="91" spans="2:30" x14ac:dyDescent="0.3">
      <c r="B91" s="10" t="s">
        <v>142</v>
      </c>
      <c r="C91" s="315" t="s">
        <v>2515</v>
      </c>
      <c r="D91" s="868" t="s">
        <v>164</v>
      </c>
      <c r="E91" s="837" t="str">
        <f>IFERROR(IF(_xlfn.XLOOKUP(Imput[[#This Row],[RFC]],'Alta Proveedor'!D:D,'Alta Proveedor'!E:E)=0,"",_xlfn.XLOOKUP(Imput[[#This Row],[RFC]],'Alta Proveedor'!D:D,'Alta Proveedor'!E:E)),"")</f>
        <v>HOME DEPOT MEXICO SUCURSAL THD-8730 TAMPICO</v>
      </c>
      <c r="F91" s="832" t="s">
        <v>255</v>
      </c>
      <c r="G91" s="187">
        <v>1</v>
      </c>
      <c r="H91" s="1">
        <v>300.86</v>
      </c>
      <c r="I91" s="169">
        <f>Imput[[#This Row],[Cantidad]]*Imput[[#This Row],[Precio Unitario]]</f>
        <v>300.86</v>
      </c>
      <c r="J91" s="11">
        <f>((Imput[[#This Row],[Sub total]]-89.65)*0.16)</f>
        <v>33.793600000000005</v>
      </c>
      <c r="K91" s="11">
        <v>89.65</v>
      </c>
      <c r="L91" s="169">
        <f>Imput[[#This Row],[Sub total]]+Imput[[#This Row],[IVA]]-Imput[[#This Row],[Retención / IEPS / Descuento]]</f>
        <v>245.00360000000003</v>
      </c>
      <c r="M91" s="844">
        <v>0</v>
      </c>
      <c r="N91" s="189" t="s">
        <v>123</v>
      </c>
      <c r="O91" s="1"/>
      <c r="P91" s="189" t="s">
        <v>250</v>
      </c>
      <c r="Q91" s="190" t="s">
        <v>251</v>
      </c>
      <c r="R91" s="188">
        <v>45850</v>
      </c>
      <c r="S91" s="193" t="s">
        <v>126</v>
      </c>
      <c r="T91" s="192"/>
      <c r="U91" s="829"/>
      <c r="V91" s="10" t="s">
        <v>1012</v>
      </c>
      <c r="W91" s="10" t="s">
        <v>3795</v>
      </c>
      <c r="X91" s="10"/>
      <c r="Y91" s="10"/>
      <c r="Z91" s="10"/>
      <c r="AA91" s="11"/>
      <c r="AB91" s="11"/>
      <c r="AD91" s="260"/>
    </row>
    <row r="92" spans="2:30" x14ac:dyDescent="0.3">
      <c r="B92" s="10" t="s">
        <v>142</v>
      </c>
      <c r="C92" s="549" t="s">
        <v>2437</v>
      </c>
      <c r="D92" s="868" t="s">
        <v>164</v>
      </c>
      <c r="E92" s="837" t="str">
        <f>IFERROR(IF(_xlfn.XLOOKUP(Imput[[#This Row],[RFC]],'Alta Proveedor'!D:D,'Alta Proveedor'!E:E)=0,"",_xlfn.XLOOKUP(Imput[[#This Row],[RFC]],'Alta Proveedor'!D:D,'Alta Proveedor'!E:E)),"")</f>
        <v>HOME DEPOT MEXICO SUCURSAL THD-8730 TAMPICO</v>
      </c>
      <c r="F92" s="832" t="s">
        <v>1896</v>
      </c>
      <c r="G92" s="187">
        <v>1</v>
      </c>
      <c r="H92" s="1">
        <v>255.73</v>
      </c>
      <c r="I92" s="169">
        <f>Imput[[#This Row],[Cantidad]]*Imput[[#This Row],[Precio Unitario]]</f>
        <v>255.73</v>
      </c>
      <c r="J92" s="11">
        <f>Imput[[#This Row],[Sub total]]*0.16</f>
        <v>40.916800000000002</v>
      </c>
      <c r="K92" s="11">
        <v>0</v>
      </c>
      <c r="L92" s="169">
        <f>Imput[[#This Row],[Sub total]]+Imput[[#This Row],[IVA]]-Imput[[#This Row],[Retención / IEPS / Descuento]]</f>
        <v>296.64679999999998</v>
      </c>
      <c r="M92" s="844">
        <v>0</v>
      </c>
      <c r="N92" s="189" t="s">
        <v>123</v>
      </c>
      <c r="O92" s="1"/>
      <c r="P92" s="189" t="s">
        <v>250</v>
      </c>
      <c r="Q92" s="190" t="s">
        <v>251</v>
      </c>
      <c r="R92" s="188">
        <v>45850</v>
      </c>
      <c r="S92" s="193" t="s">
        <v>126</v>
      </c>
      <c r="T92" s="192"/>
      <c r="U92" s="829"/>
      <c r="V92" s="10" t="s">
        <v>1012</v>
      </c>
      <c r="W92" s="10" t="s">
        <v>3795</v>
      </c>
      <c r="X92" s="10"/>
      <c r="Y92" s="10"/>
      <c r="Z92" s="10"/>
      <c r="AA92" s="11"/>
      <c r="AB92" s="11"/>
      <c r="AD92" s="260"/>
    </row>
    <row r="93" spans="2:30" x14ac:dyDescent="0.3">
      <c r="B93" s="10" t="s">
        <v>142</v>
      </c>
      <c r="C93" s="315" t="s">
        <v>2334</v>
      </c>
      <c r="D93" s="868" t="s">
        <v>3119</v>
      </c>
      <c r="E93" s="837" t="str">
        <f>IFERROR(IF(_xlfn.XLOOKUP(Imput[[#This Row],[RFC]],'Alta Proveedor'!D:D,'Alta Proveedor'!E:E)=0,"",_xlfn.XLOOKUP(Imput[[#This Row],[RFC]],'Alta Proveedor'!D:D,'Alta Proveedor'!E:E)),"")</f>
        <v>Nomina-OPERACIÓN</v>
      </c>
      <c r="F93" s="836" t="s">
        <v>3123</v>
      </c>
      <c r="G93" s="187">
        <v>1</v>
      </c>
      <c r="H93" s="1">
        <v>24500</v>
      </c>
      <c r="I93" s="169">
        <f>Imput[[#This Row],[Cantidad]]*Imput[[#This Row],[Precio Unitario]]</f>
        <v>24500</v>
      </c>
      <c r="J93" s="11">
        <f>Imput[[#This Row],[Sub total]]*0.08</f>
        <v>1960</v>
      </c>
      <c r="K93" s="11">
        <v>0</v>
      </c>
      <c r="L93" s="169">
        <f>Imput[[#This Row],[Sub total]]+Imput[[#This Row],[IVA]]-Imput[[#This Row],[Retención / IEPS / Descuento]]</f>
        <v>26460</v>
      </c>
      <c r="M93" s="844">
        <v>26460</v>
      </c>
      <c r="N93" s="189"/>
      <c r="O93" s="1"/>
      <c r="P93" s="189"/>
      <c r="Q93" s="190"/>
      <c r="R93" s="188">
        <v>45850</v>
      </c>
      <c r="S93" s="193"/>
      <c r="T93" s="192"/>
      <c r="U93" s="867" t="s">
        <v>3225</v>
      </c>
      <c r="V93" s="10" t="s">
        <v>3108</v>
      </c>
      <c r="W93" s="10" t="s">
        <v>3799</v>
      </c>
      <c r="X93" s="10"/>
      <c r="Y93" s="10"/>
      <c r="Z93" s="10"/>
      <c r="AA93" s="11"/>
      <c r="AB93" s="11"/>
      <c r="AD93" s="260"/>
    </row>
    <row r="94" spans="2:30" x14ac:dyDescent="0.3">
      <c r="B94" s="10" t="s">
        <v>142</v>
      </c>
      <c r="C94" s="315" t="s">
        <v>2335</v>
      </c>
      <c r="D94" s="868" t="s">
        <v>3119</v>
      </c>
      <c r="E94" s="837" t="str">
        <f>IFERROR(IF(_xlfn.XLOOKUP(Imput[[#This Row],[RFC]],'Alta Proveedor'!D:D,'Alta Proveedor'!E:E)=0,"",_xlfn.XLOOKUP(Imput[[#This Row],[RFC]],'Alta Proveedor'!D:D,'Alta Proveedor'!E:E)),"")</f>
        <v>Nomina-OPERACIÓN</v>
      </c>
      <c r="F94" s="836" t="s">
        <v>3124</v>
      </c>
      <c r="G94" s="187">
        <v>1</v>
      </c>
      <c r="H94" s="1">
        <v>2400</v>
      </c>
      <c r="I94" s="169">
        <f>Imput[[#This Row],[Cantidad]]*Imput[[#This Row],[Precio Unitario]]</f>
        <v>2400</v>
      </c>
      <c r="J94" s="11">
        <f>Imput[[#This Row],[Sub total]]*0.08</f>
        <v>192</v>
      </c>
      <c r="K94" s="11">
        <v>0</v>
      </c>
      <c r="L94" s="169">
        <f>Imput[[#This Row],[Sub total]]+Imput[[#This Row],[IVA]]-Imput[[#This Row],[Retención / IEPS / Descuento]]</f>
        <v>2592</v>
      </c>
      <c r="M94" s="844">
        <v>2592</v>
      </c>
      <c r="N94" s="189"/>
      <c r="O94" s="1"/>
      <c r="P94" s="189"/>
      <c r="Q94" s="190"/>
      <c r="R94" s="188">
        <v>45850</v>
      </c>
      <c r="S94" s="193"/>
      <c r="T94" s="192"/>
      <c r="U94" s="867" t="s">
        <v>3225</v>
      </c>
      <c r="V94" s="10" t="s">
        <v>3108</v>
      </c>
      <c r="W94" s="10" t="s">
        <v>3793</v>
      </c>
      <c r="X94" s="10"/>
      <c r="Y94" s="10"/>
      <c r="Z94" s="10"/>
      <c r="AA94" s="11"/>
      <c r="AB94" s="11"/>
      <c r="AD94" s="260"/>
    </row>
    <row r="95" spans="2:30" x14ac:dyDescent="0.3">
      <c r="B95" s="10" t="s">
        <v>142</v>
      </c>
      <c r="C95" s="315" t="s">
        <v>2335</v>
      </c>
      <c r="D95" s="868" t="s">
        <v>3119</v>
      </c>
      <c r="E95" s="837" t="str">
        <f>IFERROR(IF(_xlfn.XLOOKUP(Imput[[#This Row],[RFC]],'Alta Proveedor'!D:D,'Alta Proveedor'!E:E)=0,"",_xlfn.XLOOKUP(Imput[[#This Row],[RFC]],'Alta Proveedor'!D:D,'Alta Proveedor'!E:E)),"")</f>
        <v>Nomina-OPERACIÓN</v>
      </c>
      <c r="F95" s="836" t="s">
        <v>3125</v>
      </c>
      <c r="G95" s="187">
        <v>1</v>
      </c>
      <c r="H95" s="1">
        <v>5000</v>
      </c>
      <c r="I95" s="169">
        <f>Imput[[#This Row],[Cantidad]]*Imput[[#This Row],[Precio Unitario]]</f>
        <v>5000</v>
      </c>
      <c r="J95" s="11">
        <f>Imput[[#This Row],[Sub total]]*0.08</f>
        <v>400</v>
      </c>
      <c r="K95" s="11">
        <v>0</v>
      </c>
      <c r="L95" s="169">
        <f>Imput[[#This Row],[Sub total]]+Imput[[#This Row],[IVA]]-Imput[[#This Row],[Retención / IEPS / Descuento]]</f>
        <v>5400</v>
      </c>
      <c r="M95" s="844">
        <v>5400</v>
      </c>
      <c r="N95" s="189"/>
      <c r="O95" s="1"/>
      <c r="P95" s="189"/>
      <c r="Q95" s="190"/>
      <c r="R95" s="188">
        <v>45850</v>
      </c>
      <c r="S95" s="193"/>
      <c r="T95" s="192"/>
      <c r="U95" s="867" t="s">
        <v>3225</v>
      </c>
      <c r="V95" s="10" t="s">
        <v>3108</v>
      </c>
      <c r="W95" s="10" t="s">
        <v>3793</v>
      </c>
      <c r="X95" s="10"/>
      <c r="Y95" s="10"/>
      <c r="Z95" s="10"/>
      <c r="AA95" s="11"/>
      <c r="AB95" s="11"/>
      <c r="AD95" s="260"/>
    </row>
    <row r="96" spans="2:30" x14ac:dyDescent="0.3">
      <c r="B96" s="10" t="s">
        <v>142</v>
      </c>
      <c r="C96" s="315" t="s">
        <v>2335</v>
      </c>
      <c r="D96" s="868" t="s">
        <v>3119</v>
      </c>
      <c r="E96" s="837" t="str">
        <f>IFERROR(IF(_xlfn.XLOOKUP(Imput[[#This Row],[RFC]],'Alta Proveedor'!D:D,'Alta Proveedor'!E:E)=0,"",_xlfn.XLOOKUP(Imput[[#This Row],[RFC]],'Alta Proveedor'!D:D,'Alta Proveedor'!E:E)),"")</f>
        <v>Nomina-OPERACIÓN</v>
      </c>
      <c r="F96" s="836" t="s">
        <v>3126</v>
      </c>
      <c r="G96" s="187">
        <v>1</v>
      </c>
      <c r="H96" s="1">
        <v>1600</v>
      </c>
      <c r="I96" s="169">
        <f>Imput[[#This Row],[Cantidad]]*Imput[[#This Row],[Precio Unitario]]</f>
        <v>1600</v>
      </c>
      <c r="J96" s="11">
        <f>Imput[[#This Row],[Sub total]]*0.08</f>
        <v>128</v>
      </c>
      <c r="K96" s="11">
        <v>0</v>
      </c>
      <c r="L96" s="169">
        <f>Imput[[#This Row],[Sub total]]+Imput[[#This Row],[IVA]]-Imput[[#This Row],[Retención / IEPS / Descuento]]</f>
        <v>1728</v>
      </c>
      <c r="M96" s="844">
        <v>1728</v>
      </c>
      <c r="N96" s="189"/>
      <c r="O96" s="1"/>
      <c r="P96" s="189"/>
      <c r="Q96" s="190"/>
      <c r="R96" s="188">
        <v>45850</v>
      </c>
      <c r="S96" s="193"/>
      <c r="T96" s="192"/>
      <c r="U96" s="867" t="s">
        <v>3225</v>
      </c>
      <c r="V96" s="10" t="s">
        <v>3108</v>
      </c>
      <c r="W96" s="10" t="s">
        <v>3793</v>
      </c>
      <c r="X96" s="10"/>
      <c r="Y96" s="10"/>
      <c r="Z96" s="10"/>
      <c r="AA96" s="11"/>
      <c r="AB96" s="11"/>
      <c r="AD96" s="260"/>
    </row>
    <row r="97" spans="2:30" x14ac:dyDescent="0.3">
      <c r="B97" s="10" t="s">
        <v>142</v>
      </c>
      <c r="C97" s="315" t="s">
        <v>2335</v>
      </c>
      <c r="D97" s="868" t="s">
        <v>3119</v>
      </c>
      <c r="E97" s="837" t="str">
        <f>IFERROR(IF(_xlfn.XLOOKUP(Imput[[#This Row],[RFC]],'Alta Proveedor'!D:D,'Alta Proveedor'!E:E)=0,"",_xlfn.XLOOKUP(Imput[[#This Row],[RFC]],'Alta Proveedor'!D:D,'Alta Proveedor'!E:E)),"")</f>
        <v>Nomina-OPERACIÓN</v>
      </c>
      <c r="F97" s="836" t="s">
        <v>3127</v>
      </c>
      <c r="G97" s="187">
        <v>1</v>
      </c>
      <c r="H97" s="1">
        <v>20000</v>
      </c>
      <c r="I97" s="169">
        <f>Imput[[#This Row],[Cantidad]]*Imput[[#This Row],[Precio Unitario]]</f>
        <v>20000</v>
      </c>
      <c r="J97" s="11">
        <f>Imput[[#This Row],[Sub total]]*0.08</f>
        <v>1600</v>
      </c>
      <c r="K97" s="11">
        <v>0</v>
      </c>
      <c r="L97" s="169">
        <f>Imput[[#This Row],[Sub total]]+Imput[[#This Row],[IVA]]-Imput[[#This Row],[Retención / IEPS / Descuento]]</f>
        <v>21600</v>
      </c>
      <c r="M97" s="844">
        <v>21600</v>
      </c>
      <c r="N97" s="189"/>
      <c r="O97" s="1"/>
      <c r="P97" s="189"/>
      <c r="Q97" s="190"/>
      <c r="R97" s="188">
        <v>45851</v>
      </c>
      <c r="S97" s="193"/>
      <c r="T97" s="192"/>
      <c r="U97" s="867" t="s">
        <v>3225</v>
      </c>
      <c r="V97" s="10" t="s">
        <v>3108</v>
      </c>
      <c r="W97" s="10" t="s">
        <v>3793</v>
      </c>
      <c r="X97" s="10"/>
      <c r="Y97" s="10"/>
      <c r="Z97" s="10"/>
      <c r="AA97" s="11"/>
      <c r="AB97" s="11"/>
      <c r="AD97" s="260"/>
    </row>
    <row r="98" spans="2:30" x14ac:dyDescent="0.3">
      <c r="B98" s="10" t="s">
        <v>142</v>
      </c>
      <c r="C98" s="315" t="s">
        <v>1769</v>
      </c>
      <c r="D98" s="868" t="s">
        <v>244</v>
      </c>
      <c r="E98" s="837" t="str">
        <f>IFERROR(IF(_xlfn.XLOOKUP(Imput[[#This Row],[RFC]],'Alta Proveedor'!D:D,'Alta Proveedor'!E:E)=0,"",_xlfn.XLOOKUP(Imput[[#This Row],[RFC]],'Alta Proveedor'!D:D,'Alta Proveedor'!E:E)),"")</f>
        <v>CADENA COMERCIAL OXXO</v>
      </c>
      <c r="F98" s="832" t="s">
        <v>1214</v>
      </c>
      <c r="G98" s="187">
        <v>2</v>
      </c>
      <c r="H98" s="1">
        <v>15.95</v>
      </c>
      <c r="I98" s="169">
        <f>Imput[[#This Row],[Cantidad]]*Imput[[#This Row],[Precio Unitario]]</f>
        <v>31.9</v>
      </c>
      <c r="J98" s="11">
        <f>Imput[[#This Row],[Sub total]]*0.16</f>
        <v>5.1040000000000001</v>
      </c>
      <c r="K98" s="11">
        <v>0</v>
      </c>
      <c r="L98" s="169">
        <f>Imput[[#This Row],[Sub total]]+Imput[[#This Row],[IVA]]-Imput[[#This Row],[Retención / IEPS / Descuento]]</f>
        <v>37.003999999999998</v>
      </c>
      <c r="M98" s="844">
        <v>228.000168</v>
      </c>
      <c r="N98" s="189" t="s">
        <v>123</v>
      </c>
      <c r="O98" s="1"/>
      <c r="P98" s="189" t="s">
        <v>245</v>
      </c>
      <c r="Q98" s="190" t="s">
        <v>246</v>
      </c>
      <c r="R98" s="188">
        <v>45852</v>
      </c>
      <c r="S98" s="193" t="s">
        <v>126</v>
      </c>
      <c r="T98" s="192"/>
      <c r="U98" s="829"/>
      <c r="V98" s="10" t="s">
        <v>3324</v>
      </c>
      <c r="W98" s="10" t="s">
        <v>3327</v>
      </c>
      <c r="X98" s="10"/>
      <c r="Y98" s="10"/>
      <c r="Z98" s="10"/>
      <c r="AA98" s="11"/>
      <c r="AB98" s="11"/>
      <c r="AD98" s="260"/>
    </row>
    <row r="99" spans="2:30" x14ac:dyDescent="0.3">
      <c r="B99" s="10" t="s">
        <v>142</v>
      </c>
      <c r="C99" s="315" t="s">
        <v>1769</v>
      </c>
      <c r="D99" s="868" t="s">
        <v>244</v>
      </c>
      <c r="E99" s="837" t="str">
        <f>IFERROR(IF(_xlfn.XLOOKUP(Imput[[#This Row],[RFC]],'Alta Proveedor'!D:D,'Alta Proveedor'!E:E)=0,"",_xlfn.XLOOKUP(Imput[[#This Row],[RFC]],'Alta Proveedor'!D:D,'Alta Proveedor'!E:E)),"")</f>
        <v>CADENA COMERCIAL OXXO</v>
      </c>
      <c r="F99" s="832" t="s">
        <v>1215</v>
      </c>
      <c r="G99" s="187">
        <v>1</v>
      </c>
      <c r="H99" s="1">
        <v>1.72</v>
      </c>
      <c r="I99" s="169">
        <f>Imput[[#This Row],[Cantidad]]*Imput[[#This Row],[Precio Unitario]]</f>
        <v>1.72</v>
      </c>
      <c r="J99" s="11">
        <f>Imput[[#This Row],[Sub total]]*0.16</f>
        <v>0.2752</v>
      </c>
      <c r="K99" s="11">
        <v>0</v>
      </c>
      <c r="L99" s="169">
        <f>Imput[[#This Row],[Sub total]]+Imput[[#This Row],[IVA]]-Imput[[#This Row],[Retención / IEPS / Descuento]]</f>
        <v>1.9952000000000001</v>
      </c>
      <c r="M99" s="844">
        <v>0</v>
      </c>
      <c r="N99" s="189" t="s">
        <v>123</v>
      </c>
      <c r="O99" s="1"/>
      <c r="P99" s="189" t="s">
        <v>245</v>
      </c>
      <c r="Q99" s="190" t="s">
        <v>246</v>
      </c>
      <c r="R99" s="188">
        <v>45852</v>
      </c>
      <c r="S99" s="193" t="s">
        <v>126</v>
      </c>
      <c r="T99" s="192"/>
      <c r="U99" s="829"/>
      <c r="V99" s="10" t="s">
        <v>3324</v>
      </c>
      <c r="W99" s="10" t="s">
        <v>3327</v>
      </c>
      <c r="X99" s="10"/>
      <c r="Y99" s="10"/>
      <c r="Z99" s="10"/>
      <c r="AA99" s="11"/>
      <c r="AB99" s="11"/>
      <c r="AD99" s="260"/>
    </row>
    <row r="100" spans="2:30" x14ac:dyDescent="0.3">
      <c r="B100" s="10" t="s">
        <v>142</v>
      </c>
      <c r="C100" s="315" t="s">
        <v>1769</v>
      </c>
      <c r="D100" s="868" t="s">
        <v>244</v>
      </c>
      <c r="E100" s="837" t="str">
        <f>IFERROR(IF(_xlfn.XLOOKUP(Imput[[#This Row],[RFC]],'Alta Proveedor'!D:D,'Alta Proveedor'!E:E)=0,"",_xlfn.XLOOKUP(Imput[[#This Row],[RFC]],'Alta Proveedor'!D:D,'Alta Proveedor'!E:E)),"")</f>
        <v>CADENA COMERCIAL OXXO</v>
      </c>
      <c r="F100" s="832" t="s">
        <v>1216</v>
      </c>
      <c r="G100" s="187">
        <v>2</v>
      </c>
      <c r="H100" s="1">
        <v>18.5349</v>
      </c>
      <c r="I100" s="169">
        <f>Imput[[#This Row],[Cantidad]]*Imput[[#This Row],[Precio Unitario]]</f>
        <v>37.069800000000001</v>
      </c>
      <c r="J100" s="11">
        <f>Imput[[#This Row],[Sub total]]*0.16</f>
        <v>5.9311680000000004</v>
      </c>
      <c r="K100" s="11">
        <v>0</v>
      </c>
      <c r="L100" s="169">
        <f>Imput[[#This Row],[Sub total]]+Imput[[#This Row],[IVA]]-Imput[[#This Row],[Retención / IEPS / Descuento]]</f>
        <v>43.000968</v>
      </c>
      <c r="M100" s="844">
        <v>0</v>
      </c>
      <c r="N100" s="189" t="s">
        <v>123</v>
      </c>
      <c r="O100" s="1"/>
      <c r="P100" s="189" t="s">
        <v>245</v>
      </c>
      <c r="Q100" s="190" t="s">
        <v>246</v>
      </c>
      <c r="R100" s="188">
        <v>45852</v>
      </c>
      <c r="S100" s="193" t="s">
        <v>126</v>
      </c>
      <c r="T100" s="192"/>
      <c r="U100" s="829"/>
      <c r="V100" s="10" t="s">
        <v>3324</v>
      </c>
      <c r="W100" s="10" t="s">
        <v>3327</v>
      </c>
      <c r="X100" s="10"/>
      <c r="Y100" s="10"/>
      <c r="Z100" s="10"/>
      <c r="AA100" s="11"/>
      <c r="AB100" s="11"/>
      <c r="AD100" s="260"/>
    </row>
    <row r="101" spans="2:30" x14ac:dyDescent="0.3">
      <c r="B101" s="10" t="s">
        <v>142</v>
      </c>
      <c r="C101" s="315" t="s">
        <v>1769</v>
      </c>
      <c r="D101" s="868" t="s">
        <v>244</v>
      </c>
      <c r="E101" s="837" t="str">
        <f>IFERROR(IF(_xlfn.XLOOKUP(Imput[[#This Row],[RFC]],'Alta Proveedor'!D:D,'Alta Proveedor'!E:E)=0,"",_xlfn.XLOOKUP(Imput[[#This Row],[RFC]],'Alta Proveedor'!D:D,'Alta Proveedor'!E:E)),"")</f>
        <v>CADENA COMERCIAL OXXO</v>
      </c>
      <c r="F101" s="832" t="s">
        <v>1217</v>
      </c>
      <c r="G101" s="187">
        <v>1</v>
      </c>
      <c r="H101" s="1">
        <v>27.25</v>
      </c>
      <c r="I101" s="169">
        <f>Imput[[#This Row],[Cantidad]]*Imput[[#This Row],[Precio Unitario]]</f>
        <v>27.25</v>
      </c>
      <c r="J101" s="11">
        <v>0</v>
      </c>
      <c r="K101" s="11">
        <v>0</v>
      </c>
      <c r="L101" s="169">
        <f>Imput[[#This Row],[Sub total]]+Imput[[#This Row],[IVA]]-Imput[[#This Row],[Retención / IEPS / Descuento]]</f>
        <v>27.25</v>
      </c>
      <c r="M101" s="844">
        <v>0</v>
      </c>
      <c r="N101" s="189" t="s">
        <v>123</v>
      </c>
      <c r="O101" s="1"/>
      <c r="P101" s="189" t="s">
        <v>245</v>
      </c>
      <c r="Q101" s="190" t="s">
        <v>246</v>
      </c>
      <c r="R101" s="188">
        <v>45852</v>
      </c>
      <c r="S101" s="193" t="s">
        <v>126</v>
      </c>
      <c r="T101" s="192"/>
      <c r="U101" s="829"/>
      <c r="V101" s="10" t="s">
        <v>3324</v>
      </c>
      <c r="W101" s="10" t="s">
        <v>3327</v>
      </c>
      <c r="X101" s="10"/>
      <c r="Y101" s="10"/>
      <c r="Z101" s="10"/>
      <c r="AA101" s="11"/>
      <c r="AB101" s="11"/>
      <c r="AD101" s="260"/>
    </row>
    <row r="102" spans="2:30" x14ac:dyDescent="0.3">
      <c r="B102" s="10" t="s">
        <v>142</v>
      </c>
      <c r="C102" s="315" t="s">
        <v>1769</v>
      </c>
      <c r="D102" s="868" t="s">
        <v>244</v>
      </c>
      <c r="E102" s="837" t="str">
        <f>IFERROR(IF(_xlfn.XLOOKUP(Imput[[#This Row],[RFC]],'Alta Proveedor'!D:D,'Alta Proveedor'!E:E)=0,"",_xlfn.XLOOKUP(Imput[[#This Row],[RFC]],'Alta Proveedor'!D:D,'Alta Proveedor'!E:E)),"")</f>
        <v>CADENA COMERCIAL OXXO</v>
      </c>
      <c r="F102" s="832" t="s">
        <v>1218</v>
      </c>
      <c r="G102" s="187">
        <v>1</v>
      </c>
      <c r="H102" s="1">
        <v>27.25</v>
      </c>
      <c r="I102" s="169">
        <f>Imput[[#This Row],[Cantidad]]*Imput[[#This Row],[Precio Unitario]]</f>
        <v>27.25</v>
      </c>
      <c r="J102" s="11">
        <v>0</v>
      </c>
      <c r="K102" s="11">
        <v>0</v>
      </c>
      <c r="L102" s="169">
        <f>Imput[[#This Row],[Sub total]]+Imput[[#This Row],[IVA]]-Imput[[#This Row],[Retención / IEPS / Descuento]]</f>
        <v>27.25</v>
      </c>
      <c r="M102" s="844">
        <v>0</v>
      </c>
      <c r="N102" s="189" t="s">
        <v>123</v>
      </c>
      <c r="O102" s="1"/>
      <c r="P102" s="189" t="s">
        <v>245</v>
      </c>
      <c r="Q102" s="190" t="s">
        <v>246</v>
      </c>
      <c r="R102" s="188">
        <v>45852</v>
      </c>
      <c r="S102" s="193" t="s">
        <v>126</v>
      </c>
      <c r="T102" s="192"/>
      <c r="U102" s="829"/>
      <c r="V102" s="10" t="s">
        <v>3324</v>
      </c>
      <c r="W102" s="10" t="s">
        <v>3327</v>
      </c>
      <c r="X102" s="10"/>
      <c r="Y102" s="10"/>
      <c r="Z102" s="10"/>
      <c r="AA102" s="11"/>
      <c r="AB102" s="11"/>
      <c r="AD102" s="260"/>
    </row>
    <row r="103" spans="2:30" x14ac:dyDescent="0.3">
      <c r="B103" s="10" t="s">
        <v>142</v>
      </c>
      <c r="C103" s="315" t="s">
        <v>1769</v>
      </c>
      <c r="D103" s="868" t="s">
        <v>244</v>
      </c>
      <c r="E103" s="837" t="str">
        <f>IFERROR(IF(_xlfn.XLOOKUP(Imput[[#This Row],[RFC]],'Alta Proveedor'!D:D,'Alta Proveedor'!E:E)=0,"",_xlfn.XLOOKUP(Imput[[#This Row],[RFC]],'Alta Proveedor'!D:D,'Alta Proveedor'!E:E)),"")</f>
        <v>CADENA COMERCIAL OXXO</v>
      </c>
      <c r="F103" s="832" t="s">
        <v>1219</v>
      </c>
      <c r="G103" s="187">
        <v>1</v>
      </c>
      <c r="H103" s="1">
        <v>37</v>
      </c>
      <c r="I103" s="169">
        <f>Imput[[#This Row],[Cantidad]]*Imput[[#This Row],[Precio Unitario]]</f>
        <v>37</v>
      </c>
      <c r="J103" s="11">
        <v>0</v>
      </c>
      <c r="K103" s="11">
        <v>0</v>
      </c>
      <c r="L103" s="169">
        <f>Imput[[#This Row],[Sub total]]+Imput[[#This Row],[IVA]]-Imput[[#This Row],[Retención / IEPS / Descuento]]</f>
        <v>37</v>
      </c>
      <c r="M103" s="844">
        <v>0</v>
      </c>
      <c r="N103" s="189" t="s">
        <v>123</v>
      </c>
      <c r="O103" s="1"/>
      <c r="P103" s="189" t="s">
        <v>245</v>
      </c>
      <c r="Q103" s="190" t="s">
        <v>246</v>
      </c>
      <c r="R103" s="188">
        <v>45852</v>
      </c>
      <c r="S103" s="193" t="s">
        <v>126</v>
      </c>
      <c r="T103" s="192"/>
      <c r="U103" s="829"/>
      <c r="V103" s="10" t="s">
        <v>3324</v>
      </c>
      <c r="W103" s="10" t="s">
        <v>3327</v>
      </c>
      <c r="X103" s="10"/>
      <c r="Y103" s="10"/>
      <c r="Z103" s="10"/>
      <c r="AA103" s="11"/>
      <c r="AB103" s="11"/>
      <c r="AD103" s="260"/>
    </row>
    <row r="104" spans="2:30" x14ac:dyDescent="0.3">
      <c r="B104" s="10" t="s">
        <v>142</v>
      </c>
      <c r="C104" s="315" t="s">
        <v>1769</v>
      </c>
      <c r="D104" s="868" t="s">
        <v>244</v>
      </c>
      <c r="E104" s="837" t="str">
        <f>IFERROR(IF(_xlfn.XLOOKUP(Imput[[#This Row],[RFC]],'Alta Proveedor'!D:D,'Alta Proveedor'!E:E)=0,"",_xlfn.XLOOKUP(Imput[[#This Row],[RFC]],'Alta Proveedor'!D:D,'Alta Proveedor'!E:E)),"")</f>
        <v>CADENA COMERCIAL OXXO</v>
      </c>
      <c r="F104" s="832" t="s">
        <v>1220</v>
      </c>
      <c r="G104" s="187">
        <v>1</v>
      </c>
      <c r="H104" s="1">
        <v>27.25</v>
      </c>
      <c r="I104" s="169">
        <f>Imput[[#This Row],[Cantidad]]*Imput[[#This Row],[Precio Unitario]]</f>
        <v>27.25</v>
      </c>
      <c r="J104" s="11">
        <v>0</v>
      </c>
      <c r="K104" s="11">
        <v>0</v>
      </c>
      <c r="L104" s="169">
        <f>Imput[[#This Row],[Sub total]]+Imput[[#This Row],[IVA]]-Imput[[#This Row],[Retención / IEPS / Descuento]]</f>
        <v>27.25</v>
      </c>
      <c r="M104" s="844">
        <v>0</v>
      </c>
      <c r="N104" s="189" t="s">
        <v>123</v>
      </c>
      <c r="O104" s="1"/>
      <c r="P104" s="189" t="s">
        <v>245</v>
      </c>
      <c r="Q104" s="190" t="s">
        <v>246</v>
      </c>
      <c r="R104" s="188">
        <v>45852</v>
      </c>
      <c r="S104" s="193" t="s">
        <v>126</v>
      </c>
      <c r="T104" s="192"/>
      <c r="U104" s="829"/>
      <c r="V104" s="10" t="s">
        <v>3324</v>
      </c>
      <c r="W104" s="10" t="s">
        <v>3327</v>
      </c>
      <c r="X104" s="10"/>
      <c r="Y104" s="10"/>
      <c r="Z104" s="10"/>
      <c r="AA104" s="11"/>
      <c r="AB104" s="11"/>
      <c r="AD104" s="260"/>
    </row>
    <row r="105" spans="2:30" x14ac:dyDescent="0.3">
      <c r="B105" s="10" t="s">
        <v>142</v>
      </c>
      <c r="C105" s="315" t="s">
        <v>1769</v>
      </c>
      <c r="D105" s="868" t="s">
        <v>244</v>
      </c>
      <c r="E105" s="837" t="str">
        <f>IFERROR(IF(_xlfn.XLOOKUP(Imput[[#This Row],[RFC]],'Alta Proveedor'!D:D,'Alta Proveedor'!E:E)=0,"",_xlfn.XLOOKUP(Imput[[#This Row],[RFC]],'Alta Proveedor'!D:D,'Alta Proveedor'!E:E)),"")</f>
        <v>CADENA COMERCIAL OXXO</v>
      </c>
      <c r="F105" s="832" t="s">
        <v>1221</v>
      </c>
      <c r="G105" s="187">
        <v>1</v>
      </c>
      <c r="H105" s="1">
        <v>27.25</v>
      </c>
      <c r="I105" s="169">
        <f>Imput[[#This Row],[Cantidad]]*Imput[[#This Row],[Precio Unitario]]</f>
        <v>27.25</v>
      </c>
      <c r="J105" s="11">
        <v>0</v>
      </c>
      <c r="K105" s="11">
        <v>0</v>
      </c>
      <c r="L105" s="169">
        <f>Imput[[#This Row],[Sub total]]+Imput[[#This Row],[IVA]]-Imput[[#This Row],[Retención / IEPS / Descuento]]</f>
        <v>27.25</v>
      </c>
      <c r="M105" s="844">
        <v>0</v>
      </c>
      <c r="N105" s="189" t="s">
        <v>123</v>
      </c>
      <c r="O105" s="1"/>
      <c r="P105" s="189" t="s">
        <v>245</v>
      </c>
      <c r="Q105" s="190" t="s">
        <v>246</v>
      </c>
      <c r="R105" s="188">
        <v>45852</v>
      </c>
      <c r="S105" s="193" t="s">
        <v>126</v>
      </c>
      <c r="T105" s="192"/>
      <c r="U105" s="829"/>
      <c r="V105" s="10" t="s">
        <v>3324</v>
      </c>
      <c r="W105" s="10" t="s">
        <v>3327</v>
      </c>
      <c r="X105" s="10"/>
      <c r="Y105" s="10"/>
      <c r="Z105" s="10"/>
      <c r="AA105" s="11"/>
      <c r="AB105" s="11"/>
      <c r="AD105" s="260"/>
    </row>
    <row r="106" spans="2:30" x14ac:dyDescent="0.3">
      <c r="B106" s="10" t="s">
        <v>142</v>
      </c>
      <c r="C106" s="315" t="s">
        <v>1769</v>
      </c>
      <c r="D106" s="868" t="s">
        <v>244</v>
      </c>
      <c r="E106" s="837" t="str">
        <f>IFERROR(IF(_xlfn.XLOOKUP(Imput[[#This Row],[RFC]],'Alta Proveedor'!D:D,'Alta Proveedor'!E:E)=0,"",_xlfn.XLOOKUP(Imput[[#This Row],[RFC]],'Alta Proveedor'!D:D,'Alta Proveedor'!E:E)),"")</f>
        <v>CADENA COMERCIAL OXXO</v>
      </c>
      <c r="F106" s="832" t="s">
        <v>1222</v>
      </c>
      <c r="G106" s="187">
        <v>1</v>
      </c>
      <c r="H106" s="1">
        <v>24.14</v>
      </c>
      <c r="I106" s="169">
        <f>Imput[[#This Row],[Cantidad]]*Imput[[#This Row],[Precio Unitario]]</f>
        <v>24.14</v>
      </c>
      <c r="J106" s="11">
        <f>Imput[[#This Row],[Sub total]]*0.16</f>
        <v>3.8624000000000001</v>
      </c>
      <c r="K106" s="11">
        <v>0</v>
      </c>
      <c r="L106" s="169">
        <f>Imput[[#This Row],[Sub total]]+Imput[[#This Row],[IVA]]-Imput[[#This Row],[Retención / IEPS / Descuento]]</f>
        <v>28.002400000000002</v>
      </c>
      <c r="M106" s="844">
        <v>99.003199999999993</v>
      </c>
      <c r="N106" s="189" t="s">
        <v>123</v>
      </c>
      <c r="O106" s="1"/>
      <c r="P106" s="189" t="s">
        <v>247</v>
      </c>
      <c r="Q106" s="190" t="s">
        <v>248</v>
      </c>
      <c r="R106" s="188">
        <v>45852</v>
      </c>
      <c r="S106" s="193" t="s">
        <v>126</v>
      </c>
      <c r="T106" s="192"/>
      <c r="U106" s="829"/>
      <c r="V106" s="10" t="s">
        <v>3324</v>
      </c>
      <c r="W106" s="10" t="s">
        <v>3327</v>
      </c>
      <c r="X106" s="10"/>
      <c r="Y106" s="10"/>
      <c r="Z106" s="10"/>
      <c r="AA106" s="11"/>
      <c r="AB106" s="11"/>
      <c r="AD106" s="260"/>
    </row>
    <row r="107" spans="2:30" x14ac:dyDescent="0.3">
      <c r="B107" s="10" t="s">
        <v>142</v>
      </c>
      <c r="C107" s="315" t="s">
        <v>1769</v>
      </c>
      <c r="D107" s="868" t="s">
        <v>244</v>
      </c>
      <c r="E107" s="837" t="str">
        <f>IFERROR(IF(_xlfn.XLOOKUP(Imput[[#This Row],[RFC]],'Alta Proveedor'!D:D,'Alta Proveedor'!E:E)=0,"",_xlfn.XLOOKUP(Imput[[#This Row],[RFC]],'Alta Proveedor'!D:D,'Alta Proveedor'!E:E)),"")</f>
        <v>CADENA COMERCIAL OXXO</v>
      </c>
      <c r="F107" s="832" t="s">
        <v>1223</v>
      </c>
      <c r="G107" s="187">
        <v>1</v>
      </c>
      <c r="H107" s="1">
        <v>24.14</v>
      </c>
      <c r="I107" s="169">
        <f>Imput[[#This Row],[Cantidad]]*Imput[[#This Row],[Precio Unitario]]</f>
        <v>24.14</v>
      </c>
      <c r="J107" s="11">
        <f>Imput[[#This Row],[Sub total]]*0.16</f>
        <v>3.8624000000000001</v>
      </c>
      <c r="K107" s="11">
        <v>0</v>
      </c>
      <c r="L107" s="169">
        <f>Imput[[#This Row],[Sub total]]+Imput[[#This Row],[IVA]]-Imput[[#This Row],[Retención / IEPS / Descuento]]</f>
        <v>28.002400000000002</v>
      </c>
      <c r="M107" s="844">
        <v>0</v>
      </c>
      <c r="N107" s="189" t="s">
        <v>123</v>
      </c>
      <c r="O107" s="1"/>
      <c r="P107" s="189" t="s">
        <v>247</v>
      </c>
      <c r="Q107" s="190" t="s">
        <v>248</v>
      </c>
      <c r="R107" s="188">
        <v>45852</v>
      </c>
      <c r="S107" s="193" t="s">
        <v>126</v>
      </c>
      <c r="T107" s="192"/>
      <c r="U107" s="829"/>
      <c r="V107" s="10" t="s">
        <v>3324</v>
      </c>
      <c r="W107" s="10" t="s">
        <v>3327</v>
      </c>
      <c r="X107" s="10"/>
      <c r="Y107" s="10"/>
      <c r="Z107" s="10"/>
      <c r="AA107" s="11"/>
      <c r="AB107" s="11"/>
      <c r="AD107" s="260"/>
    </row>
    <row r="108" spans="2:30" x14ac:dyDescent="0.3">
      <c r="B108" s="10" t="s">
        <v>142</v>
      </c>
      <c r="C108" s="315" t="s">
        <v>1769</v>
      </c>
      <c r="D108" s="868" t="s">
        <v>244</v>
      </c>
      <c r="E108" s="837" t="str">
        <f>IFERROR(IF(_xlfn.XLOOKUP(Imput[[#This Row],[RFC]],'Alta Proveedor'!D:D,'Alta Proveedor'!E:E)=0,"",_xlfn.XLOOKUP(Imput[[#This Row],[RFC]],'Alta Proveedor'!D:D,'Alta Proveedor'!E:E)),"")</f>
        <v>CADENA COMERCIAL OXXO</v>
      </c>
      <c r="F108" s="832" t="s">
        <v>1224</v>
      </c>
      <c r="G108" s="187">
        <v>1</v>
      </c>
      <c r="H108" s="1">
        <v>17.239999999999998</v>
      </c>
      <c r="I108" s="169">
        <f>Imput[[#This Row],[Cantidad]]*Imput[[#This Row],[Precio Unitario]]</f>
        <v>17.239999999999998</v>
      </c>
      <c r="J108" s="11">
        <f>Imput[[#This Row],[Sub total]]*0.16</f>
        <v>2.7584</v>
      </c>
      <c r="K108" s="11">
        <v>0</v>
      </c>
      <c r="L108" s="169">
        <f>Imput[[#This Row],[Sub total]]+Imput[[#This Row],[IVA]]-Imput[[#This Row],[Retención / IEPS / Descuento]]</f>
        <v>19.998399999999997</v>
      </c>
      <c r="M108" s="844">
        <v>0</v>
      </c>
      <c r="N108" s="189" t="s">
        <v>123</v>
      </c>
      <c r="O108" s="1"/>
      <c r="P108" s="189" t="s">
        <v>247</v>
      </c>
      <c r="Q108" s="190" t="s">
        <v>248</v>
      </c>
      <c r="R108" s="188">
        <v>45852</v>
      </c>
      <c r="S108" s="193" t="s">
        <v>126</v>
      </c>
      <c r="T108" s="192"/>
      <c r="U108" s="829"/>
      <c r="V108" s="10" t="s">
        <v>3324</v>
      </c>
      <c r="W108" s="10" t="s">
        <v>3327</v>
      </c>
      <c r="X108" s="10"/>
      <c r="Y108" s="10"/>
      <c r="Z108" s="10"/>
      <c r="AA108" s="11"/>
      <c r="AB108" s="11"/>
      <c r="AD108" s="260"/>
    </row>
    <row r="109" spans="2:30" x14ac:dyDescent="0.3">
      <c r="B109" s="10" t="s">
        <v>142</v>
      </c>
      <c r="C109" s="315" t="s">
        <v>1769</v>
      </c>
      <c r="D109" s="868" t="s">
        <v>244</v>
      </c>
      <c r="E109" s="837" t="str">
        <f>IFERROR(IF(_xlfn.XLOOKUP(Imput[[#This Row],[RFC]],'Alta Proveedor'!D:D,'Alta Proveedor'!E:E)=0,"",_xlfn.XLOOKUP(Imput[[#This Row],[RFC]],'Alta Proveedor'!D:D,'Alta Proveedor'!E:E)),"")</f>
        <v>CADENA COMERCIAL OXXO</v>
      </c>
      <c r="F109" s="832" t="s">
        <v>1225</v>
      </c>
      <c r="G109" s="187">
        <v>1</v>
      </c>
      <c r="H109" s="1">
        <v>23</v>
      </c>
      <c r="I109" s="169">
        <f>Imput[[#This Row],[Cantidad]]*Imput[[#This Row],[Precio Unitario]]</f>
        <v>23</v>
      </c>
      <c r="J109" s="11">
        <v>0</v>
      </c>
      <c r="K109" s="11">
        <v>0</v>
      </c>
      <c r="L109" s="169">
        <f>Imput[[#This Row],[Sub total]]+Imput[[#This Row],[IVA]]-Imput[[#This Row],[Retención / IEPS / Descuento]]</f>
        <v>23</v>
      </c>
      <c r="M109" s="844">
        <v>0</v>
      </c>
      <c r="N109" s="189" t="s">
        <v>123</v>
      </c>
      <c r="O109" s="1"/>
      <c r="P109" s="189" t="s">
        <v>247</v>
      </c>
      <c r="Q109" s="190" t="s">
        <v>248</v>
      </c>
      <c r="R109" s="188">
        <v>45852</v>
      </c>
      <c r="S109" s="193" t="s">
        <v>126</v>
      </c>
      <c r="T109" s="192"/>
      <c r="U109" s="829"/>
      <c r="V109" s="10" t="s">
        <v>3324</v>
      </c>
      <c r="W109" s="10" t="s">
        <v>3327</v>
      </c>
      <c r="X109" s="10"/>
      <c r="Y109" s="10"/>
      <c r="Z109" s="10"/>
      <c r="AA109" s="11"/>
      <c r="AB109" s="11"/>
      <c r="AD109" s="260"/>
    </row>
    <row r="110" spans="2:30" x14ac:dyDescent="0.3">
      <c r="B110" s="10" t="s">
        <v>142</v>
      </c>
      <c r="C110" s="315" t="s">
        <v>1769</v>
      </c>
      <c r="D110" s="868" t="s">
        <v>244</v>
      </c>
      <c r="E110" s="837" t="str">
        <f>IFERROR(IF(_xlfn.XLOOKUP(Imput[[#This Row],[RFC]],'Alta Proveedor'!D:D,'Alta Proveedor'!E:E)=0,"",_xlfn.XLOOKUP(Imput[[#This Row],[RFC]],'Alta Proveedor'!D:D,'Alta Proveedor'!E:E)),"")</f>
        <v>CADENA COMERCIAL OXXO</v>
      </c>
      <c r="F110" s="832" t="s">
        <v>1226</v>
      </c>
      <c r="G110" s="187">
        <v>1</v>
      </c>
      <c r="H110" s="1">
        <v>68.522999999999996</v>
      </c>
      <c r="I110" s="169">
        <f>Imput[[#This Row],[Cantidad]]*Imput[[#This Row],[Precio Unitario]]</f>
        <v>68.522999999999996</v>
      </c>
      <c r="J110" s="11">
        <f>Imput[[#This Row],[Sub total]]*0.08</f>
        <v>5.48184</v>
      </c>
      <c r="K110" s="11">
        <v>0</v>
      </c>
      <c r="L110" s="169">
        <f>Imput[[#This Row],[Sub total]]+Imput[[#This Row],[IVA]]-Imput[[#This Row],[Retención / IEPS / Descuento]]</f>
        <v>74.004840000000002</v>
      </c>
      <c r="M110" s="844">
        <v>262.51576</v>
      </c>
      <c r="N110" s="189" t="s">
        <v>123</v>
      </c>
      <c r="O110" s="1"/>
      <c r="P110" s="189" t="s">
        <v>269</v>
      </c>
      <c r="Q110" s="190" t="s">
        <v>270</v>
      </c>
      <c r="R110" s="188">
        <v>45852</v>
      </c>
      <c r="S110" s="193" t="s">
        <v>126</v>
      </c>
      <c r="T110" s="192"/>
      <c r="U110" s="829"/>
      <c r="V110" s="10" t="s">
        <v>3324</v>
      </c>
      <c r="W110" s="10" t="s">
        <v>3327</v>
      </c>
      <c r="X110" s="10"/>
      <c r="Y110" s="10"/>
      <c r="Z110" s="10"/>
      <c r="AA110" s="11"/>
      <c r="AB110" s="11"/>
      <c r="AD110" s="260"/>
    </row>
    <row r="111" spans="2:30" x14ac:dyDescent="0.3">
      <c r="B111" s="10" t="s">
        <v>142</v>
      </c>
      <c r="C111" s="315" t="s">
        <v>1769</v>
      </c>
      <c r="D111" s="868" t="s">
        <v>244</v>
      </c>
      <c r="E111" s="837" t="str">
        <f>IFERROR(IF(_xlfn.XLOOKUP(Imput[[#This Row],[RFC]],'Alta Proveedor'!D:D,'Alta Proveedor'!E:E)=0,"",_xlfn.XLOOKUP(Imput[[#This Row],[RFC]],'Alta Proveedor'!D:D,'Alta Proveedor'!E:E)),"")</f>
        <v>CADENA COMERCIAL OXXO</v>
      </c>
      <c r="F111" s="832" t="s">
        <v>1214</v>
      </c>
      <c r="G111" s="187">
        <v>1</v>
      </c>
      <c r="H111" s="1">
        <v>18.103000000000002</v>
      </c>
      <c r="I111" s="169">
        <f>Imput[[#This Row],[Cantidad]]*Imput[[#This Row],[Precio Unitario]]</f>
        <v>18.103000000000002</v>
      </c>
      <c r="J111" s="11">
        <f>Imput[[#This Row],[Sub total]]*0.16</f>
        <v>2.8964800000000004</v>
      </c>
      <c r="K111" s="11">
        <v>0</v>
      </c>
      <c r="L111" s="169">
        <f>Imput[[#This Row],[Sub total]]+Imput[[#This Row],[IVA]]-Imput[[#This Row],[Retención / IEPS / Descuento]]</f>
        <v>20.999480000000002</v>
      </c>
      <c r="M111" s="844">
        <v>0</v>
      </c>
      <c r="N111" s="189" t="s">
        <v>123</v>
      </c>
      <c r="O111" s="1"/>
      <c r="P111" s="189" t="s">
        <v>269</v>
      </c>
      <c r="Q111" s="190" t="s">
        <v>270</v>
      </c>
      <c r="R111" s="188">
        <v>45852</v>
      </c>
      <c r="S111" s="193" t="s">
        <v>126</v>
      </c>
      <c r="T111" s="192"/>
      <c r="U111" s="829"/>
      <c r="V111" s="10" t="s">
        <v>3324</v>
      </c>
      <c r="W111" s="10" t="s">
        <v>3327</v>
      </c>
      <c r="X111" s="10"/>
      <c r="Y111" s="10"/>
      <c r="Z111" s="10"/>
      <c r="AA111" s="11"/>
      <c r="AB111" s="11"/>
      <c r="AD111" s="260"/>
    </row>
    <row r="112" spans="2:30" x14ac:dyDescent="0.3">
      <c r="B112" s="10" t="s">
        <v>142</v>
      </c>
      <c r="C112" s="315" t="s">
        <v>1769</v>
      </c>
      <c r="D112" s="868" t="s">
        <v>244</v>
      </c>
      <c r="E112" s="837" t="str">
        <f>IFERROR(IF(_xlfn.XLOOKUP(Imput[[#This Row],[RFC]],'Alta Proveedor'!D:D,'Alta Proveedor'!E:E)=0,"",_xlfn.XLOOKUP(Imput[[#This Row],[RFC]],'Alta Proveedor'!D:D,'Alta Proveedor'!E:E)),"")</f>
        <v>CADENA COMERCIAL OXXO</v>
      </c>
      <c r="F112" s="832" t="s">
        <v>1227</v>
      </c>
      <c r="G112" s="187">
        <v>1</v>
      </c>
      <c r="H112" s="1">
        <v>44.442999999999998</v>
      </c>
      <c r="I112" s="169">
        <f>Imput[[#This Row],[Cantidad]]*Imput[[#This Row],[Precio Unitario]]</f>
        <v>44.442999999999998</v>
      </c>
      <c r="J112" s="11">
        <f>Imput[[#This Row],[Sub total]]*0.08</f>
        <v>3.5554399999999999</v>
      </c>
      <c r="K112" s="11">
        <v>0</v>
      </c>
      <c r="L112" s="169">
        <f>Imput[[#This Row],[Sub total]]+Imput[[#This Row],[IVA]]-Imput[[#This Row],[Retención / IEPS / Descuento]]</f>
        <v>47.998439999999995</v>
      </c>
      <c r="M112" s="844">
        <v>0</v>
      </c>
      <c r="N112" s="189" t="s">
        <v>123</v>
      </c>
      <c r="O112" s="1"/>
      <c r="P112" s="189" t="s">
        <v>269</v>
      </c>
      <c r="Q112" s="190" t="s">
        <v>270</v>
      </c>
      <c r="R112" s="188">
        <v>45852</v>
      </c>
      <c r="S112" s="193" t="s">
        <v>126</v>
      </c>
      <c r="T112" s="192"/>
      <c r="U112" s="829"/>
      <c r="V112" s="10" t="s">
        <v>3324</v>
      </c>
      <c r="W112" s="10" t="s">
        <v>3327</v>
      </c>
      <c r="X112" s="10"/>
      <c r="Y112" s="10"/>
      <c r="Z112" s="10"/>
      <c r="AA112" s="11"/>
      <c r="AB112" s="11"/>
      <c r="AD112" s="260"/>
    </row>
    <row r="113" spans="2:30" x14ac:dyDescent="0.3">
      <c r="B113" s="10" t="s">
        <v>142</v>
      </c>
      <c r="C113" s="315" t="s">
        <v>1769</v>
      </c>
      <c r="D113" s="868" t="s">
        <v>244</v>
      </c>
      <c r="E113" s="837" t="str">
        <f>IFERROR(IF(_xlfn.XLOOKUP(Imput[[#This Row],[RFC]],'Alta Proveedor'!D:D,'Alta Proveedor'!E:E)=0,"",_xlfn.XLOOKUP(Imput[[#This Row],[RFC]],'Alta Proveedor'!D:D,'Alta Proveedor'!E:E)),"")</f>
        <v>CADENA COMERCIAL OXXO</v>
      </c>
      <c r="F113" s="832" t="s">
        <v>1228</v>
      </c>
      <c r="G113" s="187">
        <v>3</v>
      </c>
      <c r="H113" s="1">
        <v>25.670999999999999</v>
      </c>
      <c r="I113" s="169">
        <f>Imput[[#This Row],[Cantidad]]*Imput[[#This Row],[Precio Unitario]]</f>
        <v>77.013000000000005</v>
      </c>
      <c r="J113" s="11">
        <v>0</v>
      </c>
      <c r="K113" s="11">
        <v>0</v>
      </c>
      <c r="L113" s="169">
        <f>Imput[[#This Row],[Sub total]]+Imput[[#This Row],[IVA]]-Imput[[#This Row],[Retención / IEPS / Descuento]]</f>
        <v>77.013000000000005</v>
      </c>
      <c r="M113" s="844">
        <v>0</v>
      </c>
      <c r="N113" s="189" t="s">
        <v>123</v>
      </c>
      <c r="O113" s="1"/>
      <c r="P113" s="189" t="s">
        <v>269</v>
      </c>
      <c r="Q113" s="190" t="s">
        <v>270</v>
      </c>
      <c r="R113" s="188">
        <v>45852</v>
      </c>
      <c r="S113" s="193" t="s">
        <v>126</v>
      </c>
      <c r="T113" s="192"/>
      <c r="U113" s="829"/>
      <c r="V113" s="10" t="s">
        <v>3324</v>
      </c>
      <c r="W113" s="10" t="s">
        <v>3327</v>
      </c>
      <c r="X113" s="10"/>
      <c r="Y113" s="10"/>
      <c r="Z113" s="10"/>
      <c r="AA113" s="11"/>
      <c r="AB113" s="11"/>
      <c r="AD113" s="260"/>
    </row>
    <row r="114" spans="2:30" x14ac:dyDescent="0.3">
      <c r="B114" s="10" t="s">
        <v>142</v>
      </c>
      <c r="C114" s="315" t="s">
        <v>1769</v>
      </c>
      <c r="D114" s="868" t="s">
        <v>244</v>
      </c>
      <c r="E114" s="837" t="str">
        <f>IFERROR(IF(_xlfn.XLOOKUP(Imput[[#This Row],[RFC]],'Alta Proveedor'!D:D,'Alta Proveedor'!E:E)=0,"",_xlfn.XLOOKUP(Imput[[#This Row],[RFC]],'Alta Proveedor'!D:D,'Alta Proveedor'!E:E)),"")</f>
        <v>CADENA COMERCIAL OXXO</v>
      </c>
      <c r="F114" s="832" t="s">
        <v>1229</v>
      </c>
      <c r="G114" s="187">
        <v>3</v>
      </c>
      <c r="H114" s="1">
        <v>14.166666666666666</v>
      </c>
      <c r="I114" s="169">
        <f>Imput[[#This Row],[Cantidad]]*Imput[[#This Row],[Precio Unitario]]</f>
        <v>42.5</v>
      </c>
      <c r="J114" s="11">
        <v>0</v>
      </c>
      <c r="K114" s="11">
        <v>0</v>
      </c>
      <c r="L114" s="169">
        <f>Imput[[#This Row],[Sub total]]+Imput[[#This Row],[IVA]]-Imput[[#This Row],[Retención / IEPS / Descuento]]</f>
        <v>42.5</v>
      </c>
      <c r="M114" s="844">
        <v>0</v>
      </c>
      <c r="N114" s="189" t="s">
        <v>123</v>
      </c>
      <c r="O114" s="1"/>
      <c r="P114" s="189" t="s">
        <v>269</v>
      </c>
      <c r="Q114" s="190" t="s">
        <v>270</v>
      </c>
      <c r="R114" s="188">
        <v>45852</v>
      </c>
      <c r="S114" s="193" t="s">
        <v>126</v>
      </c>
      <c r="T114" s="192"/>
      <c r="U114" s="829"/>
      <c r="V114" s="10" t="s">
        <v>3324</v>
      </c>
      <c r="W114" s="10" t="s">
        <v>3327</v>
      </c>
      <c r="X114" s="10"/>
      <c r="Y114" s="10"/>
      <c r="Z114" s="10"/>
      <c r="AA114" s="11"/>
      <c r="AB114" s="11"/>
      <c r="AD114" s="260"/>
    </row>
    <row r="115" spans="2:30" x14ac:dyDescent="0.3">
      <c r="B115" s="10" t="s">
        <v>142</v>
      </c>
      <c r="C115" s="315" t="s">
        <v>2515</v>
      </c>
      <c r="D115" s="868" t="s">
        <v>276</v>
      </c>
      <c r="E115" s="837" t="str">
        <f>IFERROR(IF(_xlfn.XLOOKUP(Imput[[#This Row],[RFC]],'Alta Proveedor'!D:D,'Alta Proveedor'!E:E)=0,"",_xlfn.XLOOKUP(Imput[[#This Row],[RFC]],'Alta Proveedor'!D:D,'Alta Proveedor'!E:E)),"")</f>
        <v>MAGUZA FERRETERA Y CONSTRUCCIONES</v>
      </c>
      <c r="F115" s="832" t="s">
        <v>277</v>
      </c>
      <c r="G115" s="187">
        <v>6</v>
      </c>
      <c r="H115" s="1">
        <f>309/6</f>
        <v>51.5</v>
      </c>
      <c r="I115" s="169">
        <f>Imput[[#This Row],[Cantidad]]*Imput[[#This Row],[Precio Unitario]]</f>
        <v>309</v>
      </c>
      <c r="J115" s="11">
        <f>Imput[[#This Row],[Sub total]]*0.16</f>
        <v>49.44</v>
      </c>
      <c r="K115" s="11">
        <v>0</v>
      </c>
      <c r="L115" s="169">
        <f>Imput[[#This Row],[Sub total]]+Imput[[#This Row],[IVA]]-Imput[[#This Row],[Retención / IEPS / Descuento]]</f>
        <v>358.44</v>
      </c>
      <c r="M115" s="844">
        <v>1001.544</v>
      </c>
      <c r="N115" s="189" t="s">
        <v>123</v>
      </c>
      <c r="O115" s="1"/>
      <c r="P115" s="189" t="s">
        <v>278</v>
      </c>
      <c r="Q115" s="190" t="s">
        <v>279</v>
      </c>
      <c r="R115" s="188">
        <v>45852</v>
      </c>
      <c r="S115" s="193" t="s">
        <v>126</v>
      </c>
      <c r="T115" s="192"/>
      <c r="U115" s="829"/>
      <c r="V115" s="10" t="s">
        <v>1012</v>
      </c>
      <c r="W115" s="10" t="s">
        <v>3795</v>
      </c>
      <c r="X115" s="10"/>
      <c r="Y115" s="10"/>
      <c r="Z115" s="10"/>
      <c r="AA115" s="11"/>
      <c r="AB115" s="11"/>
      <c r="AD115" s="260"/>
    </row>
    <row r="116" spans="2:30" x14ac:dyDescent="0.3">
      <c r="B116" s="10" t="s">
        <v>142</v>
      </c>
      <c r="C116" s="315" t="s">
        <v>2515</v>
      </c>
      <c r="D116" s="868" t="s">
        <v>276</v>
      </c>
      <c r="E116" s="837" t="str">
        <f>IFERROR(IF(_xlfn.XLOOKUP(Imput[[#This Row],[RFC]],'Alta Proveedor'!D:D,'Alta Proveedor'!E:E)=0,"",_xlfn.XLOOKUP(Imput[[#This Row],[RFC]],'Alta Proveedor'!D:D,'Alta Proveedor'!E:E)),"")</f>
        <v>MAGUZA FERRETERA Y CONSTRUCCIONES</v>
      </c>
      <c r="F116" s="832" t="s">
        <v>280</v>
      </c>
      <c r="G116" s="187">
        <v>20</v>
      </c>
      <c r="H116" s="1">
        <f>215.4/20</f>
        <v>10.77</v>
      </c>
      <c r="I116" s="169">
        <f>Imput[[#This Row],[Cantidad]]*Imput[[#This Row],[Precio Unitario]]</f>
        <v>215.39999999999998</v>
      </c>
      <c r="J116" s="11">
        <f>Imput[[#This Row],[Sub total]]*0.16</f>
        <v>34.463999999999999</v>
      </c>
      <c r="K116" s="11">
        <v>0</v>
      </c>
      <c r="L116" s="169">
        <f>Imput[[#This Row],[Sub total]]+Imput[[#This Row],[IVA]]-Imput[[#This Row],[Retención / IEPS / Descuento]]</f>
        <v>249.86399999999998</v>
      </c>
      <c r="M116" s="844">
        <v>0</v>
      </c>
      <c r="N116" s="189" t="s">
        <v>123</v>
      </c>
      <c r="O116" s="1"/>
      <c r="P116" s="189" t="s">
        <v>278</v>
      </c>
      <c r="Q116" s="190" t="s">
        <v>279</v>
      </c>
      <c r="R116" s="188">
        <v>45852</v>
      </c>
      <c r="S116" s="193" t="s">
        <v>126</v>
      </c>
      <c r="T116" s="192"/>
      <c r="U116" s="829"/>
      <c r="V116" s="10" t="s">
        <v>1012</v>
      </c>
      <c r="W116" s="10" t="s">
        <v>3795</v>
      </c>
      <c r="X116" s="10"/>
      <c r="Y116" s="10"/>
      <c r="Z116" s="10"/>
      <c r="AA116" s="11"/>
      <c r="AB116" s="11"/>
      <c r="AD116" s="260"/>
    </row>
    <row r="117" spans="2:30" x14ac:dyDescent="0.3">
      <c r="B117" s="10" t="s">
        <v>142</v>
      </c>
      <c r="C117" s="549" t="s">
        <v>2437</v>
      </c>
      <c r="D117" s="868" t="s">
        <v>276</v>
      </c>
      <c r="E117" s="837" t="str">
        <f>IFERROR(IF(_xlfn.XLOOKUP(Imput[[#This Row],[RFC]],'Alta Proveedor'!D:D,'Alta Proveedor'!E:E)=0,"",_xlfn.XLOOKUP(Imput[[#This Row],[RFC]],'Alta Proveedor'!D:D,'Alta Proveedor'!E:E)),"")</f>
        <v>MAGUZA FERRETERA Y CONSTRUCCIONES</v>
      </c>
      <c r="F117" s="832" t="s">
        <v>281</v>
      </c>
      <c r="G117" s="187">
        <v>5</v>
      </c>
      <c r="H117" s="1">
        <f>339/5</f>
        <v>67.8</v>
      </c>
      <c r="I117" s="169">
        <f>Imput[[#This Row],[Cantidad]]*Imput[[#This Row],[Precio Unitario]]</f>
        <v>339</v>
      </c>
      <c r="J117" s="11">
        <f>Imput[[#This Row],[Sub total]]*0.16</f>
        <v>54.24</v>
      </c>
      <c r="K117" s="11">
        <v>0</v>
      </c>
      <c r="L117" s="169">
        <f>Imput[[#This Row],[Sub total]]+Imput[[#This Row],[IVA]]-Imput[[#This Row],[Retención / IEPS / Descuento]]</f>
        <v>393.24</v>
      </c>
      <c r="M117" s="844">
        <v>0</v>
      </c>
      <c r="N117" s="189" t="s">
        <v>123</v>
      </c>
      <c r="O117" s="1"/>
      <c r="P117" s="189" t="s">
        <v>278</v>
      </c>
      <c r="Q117" s="190" t="s">
        <v>279</v>
      </c>
      <c r="R117" s="188">
        <v>45852</v>
      </c>
      <c r="S117" s="193" t="s">
        <v>126</v>
      </c>
      <c r="T117" s="192"/>
      <c r="U117" s="829"/>
      <c r="V117" s="10" t="s">
        <v>1012</v>
      </c>
      <c r="W117" s="10" t="s">
        <v>3795</v>
      </c>
      <c r="X117" s="10"/>
      <c r="Y117" s="10"/>
      <c r="Z117" s="10"/>
      <c r="AA117" s="11"/>
      <c r="AB117" s="11"/>
      <c r="AD117" s="260"/>
    </row>
    <row r="118" spans="2:30" x14ac:dyDescent="0.3">
      <c r="B118" s="10" t="s">
        <v>142</v>
      </c>
      <c r="C118" s="315" t="s">
        <v>1767</v>
      </c>
      <c r="D118" s="868" t="s">
        <v>271</v>
      </c>
      <c r="E118" s="837" t="str">
        <f>IFERROR(IF(_xlfn.XLOOKUP(Imput[[#This Row],[RFC]],'Alta Proveedor'!D:D,'Alta Proveedor'!E:E)=0,"",_xlfn.XLOOKUP(Imput[[#This Row],[RFC]],'Alta Proveedor'!D:D,'Alta Proveedor'!E:E)),"")</f>
        <v>EXELCO CARBURANTES (COMBUSTIBLES)</v>
      </c>
      <c r="F118" s="832" t="s">
        <v>237</v>
      </c>
      <c r="G118" s="187">
        <v>71.093999999999994</v>
      </c>
      <c r="H118" s="1">
        <v>20.182041000000002</v>
      </c>
      <c r="I118" s="169">
        <f>Imput[[#This Row],[Cantidad]]*Imput[[#This Row],[Precio Unitario]]</f>
        <v>1434.8220228539999</v>
      </c>
      <c r="J118" s="11">
        <v>223.09</v>
      </c>
      <c r="K118" s="11">
        <v>0</v>
      </c>
      <c r="L118" s="169">
        <f>Imput[[#This Row],[Sub total]]+Imput[[#This Row],[IVA]]-Imput[[#This Row],[Retención / IEPS / Descuento]]</f>
        <v>1657.9120228539998</v>
      </c>
      <c r="M118" s="844">
        <v>1657.9120228539998</v>
      </c>
      <c r="N118" s="189" t="s">
        <v>123</v>
      </c>
      <c r="O118" s="1"/>
      <c r="P118" s="189" t="s">
        <v>272</v>
      </c>
      <c r="Q118" s="190" t="s">
        <v>273</v>
      </c>
      <c r="R118" s="188">
        <v>45852</v>
      </c>
      <c r="S118" s="193" t="s">
        <v>126</v>
      </c>
      <c r="T118" s="192"/>
      <c r="U118" s="829"/>
      <c r="V118" s="10" t="s">
        <v>3786</v>
      </c>
      <c r="W118" s="10" t="s">
        <v>3787</v>
      </c>
      <c r="X118" s="10"/>
      <c r="Y118" s="10"/>
      <c r="Z118" s="10"/>
      <c r="AA118" s="11"/>
      <c r="AB118" s="11"/>
      <c r="AD118" s="260"/>
    </row>
    <row r="119" spans="2:30" x14ac:dyDescent="0.3">
      <c r="B119" s="10" t="s">
        <v>142</v>
      </c>
      <c r="C119" s="315" t="s">
        <v>2335</v>
      </c>
      <c r="D119" s="868" t="s">
        <v>3119</v>
      </c>
      <c r="E119" s="837" t="str">
        <f>IFERROR(IF(_xlfn.XLOOKUP(Imput[[#This Row],[RFC]],'Alta Proveedor'!D:D,'Alta Proveedor'!E:E)=0,"",_xlfn.XLOOKUP(Imput[[#This Row],[RFC]],'Alta Proveedor'!D:D,'Alta Proveedor'!E:E)),"")</f>
        <v>Nomina-OPERACIÓN</v>
      </c>
      <c r="F119" s="836" t="s">
        <v>3128</v>
      </c>
      <c r="G119" s="187">
        <v>1</v>
      </c>
      <c r="H119" s="1">
        <v>10000</v>
      </c>
      <c r="I119" s="169">
        <f>Imput[[#This Row],[Cantidad]]*Imput[[#This Row],[Precio Unitario]]</f>
        <v>10000</v>
      </c>
      <c r="J119" s="11">
        <f>Imput[[#This Row],[Sub total]]*0.08</f>
        <v>800</v>
      </c>
      <c r="K119" s="11">
        <v>0</v>
      </c>
      <c r="L119" s="169">
        <f>Imput[[#This Row],[Sub total]]+Imput[[#This Row],[IVA]]-Imput[[#This Row],[Retención / IEPS / Descuento]]</f>
        <v>10800</v>
      </c>
      <c r="M119" s="844">
        <v>10800</v>
      </c>
      <c r="N119" s="189"/>
      <c r="O119" s="1"/>
      <c r="P119" s="189"/>
      <c r="Q119" s="190"/>
      <c r="R119" s="188">
        <v>45852</v>
      </c>
      <c r="S119" s="193"/>
      <c r="T119" s="192"/>
      <c r="U119" s="867" t="s">
        <v>3225</v>
      </c>
      <c r="V119" s="10" t="s">
        <v>3108</v>
      </c>
      <c r="W119" s="10" t="s">
        <v>3793</v>
      </c>
      <c r="X119" s="10"/>
      <c r="Y119" s="10"/>
      <c r="Z119" s="10"/>
      <c r="AA119" s="11"/>
      <c r="AB119" s="11"/>
      <c r="AD119" s="260"/>
    </row>
    <row r="120" spans="2:30" x14ac:dyDescent="0.3">
      <c r="B120" s="10" t="s">
        <v>142</v>
      </c>
      <c r="C120" s="315" t="s">
        <v>2341</v>
      </c>
      <c r="D120" s="868" t="s">
        <v>3225</v>
      </c>
      <c r="E120" s="837" t="str">
        <f>IFERROR(IF(_xlfn.XLOOKUP(Imput[[#This Row],[RFC]],'Alta Proveedor'!D:D,'Alta Proveedor'!E:E)=0,"",_xlfn.XLOOKUP(Imput[[#This Row],[RFC]],'Alta Proveedor'!D:D,'Alta Proveedor'!E:E)),"")</f>
        <v>GASTOS SIN FACTURA</v>
      </c>
      <c r="F120" s="836" t="s">
        <v>3191</v>
      </c>
      <c r="G120" s="187">
        <v>1</v>
      </c>
      <c r="H120" s="1">
        <v>2250</v>
      </c>
      <c r="I120" s="169">
        <f>Imput[[#This Row],[Cantidad]]*Imput[[#This Row],[Precio Unitario]]</f>
        <v>2250</v>
      </c>
      <c r="J120" s="11">
        <f>Imput[[#This Row],[Sub total]]*0.08</f>
        <v>180</v>
      </c>
      <c r="K120" s="11">
        <v>0</v>
      </c>
      <c r="L120" s="169">
        <f>Imput[[#This Row],[Sub total]]+Imput[[#This Row],[IVA]]-Imput[[#This Row],[Retención / IEPS / Descuento]]</f>
        <v>2430</v>
      </c>
      <c r="M120" s="844">
        <v>2430</v>
      </c>
      <c r="N120" s="189"/>
      <c r="O120" s="1"/>
      <c r="P120" s="189"/>
      <c r="Q120" s="190"/>
      <c r="R120" s="188">
        <v>45852</v>
      </c>
      <c r="S120" s="193"/>
      <c r="T120" s="192"/>
      <c r="U120" s="867" t="s">
        <v>3225</v>
      </c>
      <c r="V120" s="10" t="s">
        <v>3789</v>
      </c>
      <c r="W120" s="10" t="s">
        <v>478</v>
      </c>
      <c r="X120" s="10"/>
      <c r="Y120" s="10"/>
      <c r="Z120" s="10"/>
      <c r="AA120" s="11"/>
      <c r="AB120" s="11"/>
      <c r="AD120" s="260"/>
    </row>
    <row r="121" spans="2:30" x14ac:dyDescent="0.3">
      <c r="B121" s="10" t="s">
        <v>142</v>
      </c>
      <c r="C121" s="315" t="s">
        <v>2515</v>
      </c>
      <c r="D121" s="868" t="s">
        <v>164</v>
      </c>
      <c r="E121" s="837" t="str">
        <f>IFERROR(IF(_xlfn.XLOOKUP(Imput[[#This Row],[RFC]],'Alta Proveedor'!D:D,'Alta Proveedor'!E:E)=0,"",_xlfn.XLOOKUP(Imput[[#This Row],[RFC]],'Alta Proveedor'!D:D,'Alta Proveedor'!E:E)),"")</f>
        <v>HOME DEPOT MEXICO SUCURSAL THD-8730 TAMPICO</v>
      </c>
      <c r="F121" s="832" t="s">
        <v>171</v>
      </c>
      <c r="G121" s="187">
        <v>1</v>
      </c>
      <c r="H121" s="1">
        <v>258.75</v>
      </c>
      <c r="I121" s="169">
        <f>Imput[[#This Row],[Cantidad]]*Imput[[#This Row],[Precio Unitario]]</f>
        <v>258.75</v>
      </c>
      <c r="J121" s="11">
        <f>Imput[[#This Row],[Sub total]]*0.16</f>
        <v>41.4</v>
      </c>
      <c r="K121" s="11">
        <v>0</v>
      </c>
      <c r="L121" s="169">
        <f>Imput[[#This Row],[Sub total]]+Imput[[#This Row],[IVA]]-Imput[[#This Row],[Retención / IEPS / Descuento]]</f>
        <v>300.14999999999998</v>
      </c>
      <c r="M121" s="844">
        <v>663.50840000000005</v>
      </c>
      <c r="N121" s="189" t="s">
        <v>123</v>
      </c>
      <c r="O121" s="1"/>
      <c r="P121" s="189" t="s">
        <v>282</v>
      </c>
      <c r="Q121" s="190" t="s">
        <v>283</v>
      </c>
      <c r="R121" s="188">
        <v>45853</v>
      </c>
      <c r="S121" s="193" t="s">
        <v>126</v>
      </c>
      <c r="T121" s="192"/>
      <c r="U121" s="829"/>
      <c r="V121" s="10" t="s">
        <v>1012</v>
      </c>
      <c r="W121" s="10" t="s">
        <v>3795</v>
      </c>
      <c r="X121" s="10"/>
      <c r="Y121" s="10"/>
      <c r="Z121" s="10"/>
      <c r="AA121" s="11"/>
      <c r="AB121" s="11"/>
      <c r="AD121" s="260"/>
    </row>
    <row r="122" spans="2:30" x14ac:dyDescent="0.3">
      <c r="B122" s="10" t="s">
        <v>142</v>
      </c>
      <c r="C122" s="315" t="s">
        <v>2515</v>
      </c>
      <c r="D122" s="868" t="s">
        <v>164</v>
      </c>
      <c r="E122" s="837" t="str">
        <f>IFERROR(IF(_xlfn.XLOOKUP(Imput[[#This Row],[RFC]],'Alta Proveedor'!D:D,'Alta Proveedor'!E:E)=0,"",_xlfn.XLOOKUP(Imput[[#This Row],[RFC]],'Alta Proveedor'!D:D,'Alta Proveedor'!E:E)),"")</f>
        <v>HOME DEPOT MEXICO SUCURSAL THD-8730 TAMPICO</v>
      </c>
      <c r="F122" s="832" t="s">
        <v>284</v>
      </c>
      <c r="G122" s="187">
        <v>1</v>
      </c>
      <c r="H122" s="1">
        <v>147.84</v>
      </c>
      <c r="I122" s="169">
        <f>Imput[[#This Row],[Cantidad]]*Imput[[#This Row],[Precio Unitario]]</f>
        <v>147.84</v>
      </c>
      <c r="J122" s="11">
        <f>Imput[[#This Row],[Sub total]]*0.16</f>
        <v>23.654400000000003</v>
      </c>
      <c r="K122" s="11">
        <v>0</v>
      </c>
      <c r="L122" s="169">
        <f>Imput[[#This Row],[Sub total]]+Imput[[#This Row],[IVA]]-Imput[[#This Row],[Retención / IEPS / Descuento]]</f>
        <v>171.49440000000001</v>
      </c>
      <c r="M122" s="844">
        <v>0</v>
      </c>
      <c r="N122" s="189" t="s">
        <v>123</v>
      </c>
      <c r="O122" s="1"/>
      <c r="P122" s="189" t="s">
        <v>282</v>
      </c>
      <c r="Q122" s="190" t="s">
        <v>283</v>
      </c>
      <c r="R122" s="188">
        <v>45853</v>
      </c>
      <c r="S122" s="193" t="s">
        <v>126</v>
      </c>
      <c r="T122" s="192"/>
      <c r="U122" s="829"/>
      <c r="V122" s="10" t="s">
        <v>1012</v>
      </c>
      <c r="W122" s="10" t="s">
        <v>3795</v>
      </c>
      <c r="X122" s="10"/>
      <c r="Y122" s="10"/>
      <c r="Z122" s="10"/>
      <c r="AA122" s="11"/>
      <c r="AB122" s="11"/>
      <c r="AD122" s="260"/>
    </row>
    <row r="123" spans="2:30" x14ac:dyDescent="0.3">
      <c r="B123" s="10" t="s">
        <v>142</v>
      </c>
      <c r="C123" s="315" t="s">
        <v>2515</v>
      </c>
      <c r="D123" s="868" t="s">
        <v>164</v>
      </c>
      <c r="E123" s="837" t="str">
        <f>IFERROR(IF(_xlfn.XLOOKUP(Imput[[#This Row],[RFC]],'Alta Proveedor'!D:D,'Alta Proveedor'!E:E)=0,"",_xlfn.XLOOKUP(Imput[[#This Row],[RFC]],'Alta Proveedor'!D:D,'Alta Proveedor'!E:E)),"")</f>
        <v>HOME DEPOT MEXICO SUCURSAL THD-8730 TAMPICO</v>
      </c>
      <c r="F123" s="832" t="s">
        <v>285</v>
      </c>
      <c r="G123" s="187">
        <v>2</v>
      </c>
      <c r="H123" s="1">
        <f>116.59/2</f>
        <v>58.295000000000002</v>
      </c>
      <c r="I123" s="169">
        <f>Imput[[#This Row],[Cantidad]]*Imput[[#This Row],[Precio Unitario]]</f>
        <v>116.59</v>
      </c>
      <c r="J123" s="11">
        <f>Imput[[#This Row],[Sub total]]*0.16</f>
        <v>18.654400000000003</v>
      </c>
      <c r="K123" s="11">
        <v>0</v>
      </c>
      <c r="L123" s="169">
        <f>Imput[[#This Row],[Sub total]]+Imput[[#This Row],[IVA]]-Imput[[#This Row],[Retención / IEPS / Descuento]]</f>
        <v>135.24440000000001</v>
      </c>
      <c r="M123" s="844">
        <v>0</v>
      </c>
      <c r="N123" s="189" t="s">
        <v>123</v>
      </c>
      <c r="O123" s="1"/>
      <c r="P123" s="189" t="s">
        <v>282</v>
      </c>
      <c r="Q123" s="190" t="s">
        <v>283</v>
      </c>
      <c r="R123" s="188">
        <v>45853</v>
      </c>
      <c r="S123" s="193" t="s">
        <v>126</v>
      </c>
      <c r="T123" s="192"/>
      <c r="U123" s="829"/>
      <c r="V123" s="10" t="s">
        <v>1012</v>
      </c>
      <c r="W123" s="10" t="s">
        <v>3795</v>
      </c>
      <c r="X123" s="10"/>
      <c r="Y123" s="10"/>
      <c r="Z123" s="10"/>
      <c r="AA123" s="11"/>
      <c r="AB123" s="11"/>
      <c r="AD123" s="260"/>
    </row>
    <row r="124" spans="2:30" x14ac:dyDescent="0.3">
      <c r="B124" s="10" t="s">
        <v>142</v>
      </c>
      <c r="C124" s="315" t="s">
        <v>2515</v>
      </c>
      <c r="D124" s="868" t="s">
        <v>164</v>
      </c>
      <c r="E124" s="837" t="str">
        <f>IFERROR(IF(_xlfn.XLOOKUP(Imput[[#This Row],[RFC]],'Alta Proveedor'!D:D,'Alta Proveedor'!E:E)=0,"",_xlfn.XLOOKUP(Imput[[#This Row],[RFC]],'Alta Proveedor'!D:D,'Alta Proveedor'!E:E)),"")</f>
        <v>HOME DEPOT MEXICO SUCURSAL THD-8730 TAMPICO</v>
      </c>
      <c r="F124" s="832" t="s">
        <v>286</v>
      </c>
      <c r="G124" s="187">
        <v>1</v>
      </c>
      <c r="H124" s="1">
        <v>48.81</v>
      </c>
      <c r="I124" s="169">
        <f>Imput[[#This Row],[Cantidad]]*Imput[[#This Row],[Precio Unitario]]</f>
        <v>48.81</v>
      </c>
      <c r="J124" s="11">
        <f>Imput[[#This Row],[Sub total]]*0.16</f>
        <v>7.8096000000000005</v>
      </c>
      <c r="K124" s="11">
        <v>0</v>
      </c>
      <c r="L124" s="169">
        <f>Imput[[#This Row],[Sub total]]+Imput[[#This Row],[IVA]]-Imput[[#This Row],[Retención / IEPS / Descuento]]</f>
        <v>56.619600000000005</v>
      </c>
      <c r="M124" s="844">
        <v>0</v>
      </c>
      <c r="N124" s="189" t="s">
        <v>123</v>
      </c>
      <c r="O124" s="1"/>
      <c r="P124" s="189" t="s">
        <v>282</v>
      </c>
      <c r="Q124" s="190" t="s">
        <v>283</v>
      </c>
      <c r="R124" s="188">
        <v>45853</v>
      </c>
      <c r="S124" s="193" t="s">
        <v>126</v>
      </c>
      <c r="T124" s="192"/>
      <c r="U124" s="829"/>
      <c r="V124" s="10" t="s">
        <v>1012</v>
      </c>
      <c r="W124" s="10" t="s">
        <v>3795</v>
      </c>
      <c r="X124" s="10"/>
      <c r="Y124" s="10"/>
      <c r="Z124" s="10"/>
      <c r="AA124" s="11"/>
      <c r="AB124" s="11"/>
      <c r="AD124" s="260"/>
    </row>
    <row r="125" spans="2:30" x14ac:dyDescent="0.3">
      <c r="B125" s="10" t="s">
        <v>142</v>
      </c>
      <c r="C125" s="315" t="s">
        <v>1754</v>
      </c>
      <c r="D125" s="868" t="s">
        <v>3081</v>
      </c>
      <c r="E125" s="837" t="str">
        <f>IFERROR(IF(_xlfn.XLOOKUP(Imput[[#This Row],[RFC]],'Alta Proveedor'!D:D,'Alta Proveedor'!E:E)=0,"",_xlfn.XLOOKUP(Imput[[#This Row],[RFC]],'Alta Proveedor'!D:D,'Alta Proveedor'!E:E)),"")</f>
        <v>NOMINA</v>
      </c>
      <c r="F125" s="832" t="s">
        <v>3104</v>
      </c>
      <c r="G125" s="187">
        <v>1</v>
      </c>
      <c r="H125" s="1">
        <v>22635.075000000001</v>
      </c>
      <c r="I125" s="169">
        <f>Imput[[#This Row],[Cantidad]]*Imput[[#This Row],[Precio Unitario]]</f>
        <v>22635.075000000001</v>
      </c>
      <c r="J125" s="11">
        <v>0</v>
      </c>
      <c r="K125" s="11">
        <v>0</v>
      </c>
      <c r="L125" s="169">
        <f>Imput[[#This Row],[Sub total]]+Imput[[#This Row],[IVA]]-Imput[[#This Row],[Retención / IEPS / Descuento]]</f>
        <v>22635.075000000001</v>
      </c>
      <c r="M125" s="844">
        <v>22635.075000000001</v>
      </c>
      <c r="N125" s="189"/>
      <c r="O125" s="1"/>
      <c r="P125" s="189" t="str">
        <f>Imput[[#This Row],[Folio]]</f>
        <v>IMSS 0107</v>
      </c>
      <c r="Q125" s="190" t="s">
        <v>3092</v>
      </c>
      <c r="R125" s="188">
        <v>45853</v>
      </c>
      <c r="S125" s="193"/>
      <c r="T125" s="192"/>
      <c r="U125" s="829" t="s">
        <v>3099</v>
      </c>
      <c r="V125" s="10" t="s">
        <v>3108</v>
      </c>
      <c r="W125" s="10"/>
      <c r="X125" s="10"/>
      <c r="Y125" s="10"/>
      <c r="Z125" s="10"/>
      <c r="AA125" s="11"/>
      <c r="AB125" s="11"/>
      <c r="AD125" s="260"/>
    </row>
    <row r="126" spans="2:30" x14ac:dyDescent="0.3">
      <c r="B126" s="10" t="s">
        <v>142</v>
      </c>
      <c r="C126" s="315" t="s">
        <v>2235</v>
      </c>
      <c r="D126" s="868" t="s">
        <v>264</v>
      </c>
      <c r="E126" s="837" t="str">
        <f>IFERROR(IF(_xlfn.XLOOKUP(Imput[[#This Row],[RFC]],'Alta Proveedor'!D:D,'Alta Proveedor'!E:E)=0,"",_xlfn.XLOOKUP(Imput[[#This Row],[RFC]],'Alta Proveedor'!D:D,'Alta Proveedor'!E:E)),"")</f>
        <v>M.N. DEL GOLFO "HOME CENTER TU ASESOR CONFIABLE"</v>
      </c>
      <c r="F126" s="832" t="s">
        <v>1737</v>
      </c>
      <c r="G126" s="187">
        <v>50</v>
      </c>
      <c r="H126" s="1">
        <f>1375.86/50</f>
        <v>27.517199999999999</v>
      </c>
      <c r="I126" s="169">
        <f>Imput[[#This Row],[Cantidad]]*Imput[[#This Row],[Precio Unitario]]</f>
        <v>1375.86</v>
      </c>
      <c r="J126" s="11">
        <f>Imput[[#This Row],[Sub total]]*0.16</f>
        <v>220.13759999999999</v>
      </c>
      <c r="K126" s="11">
        <v>0</v>
      </c>
      <c r="L126" s="169">
        <f>Imput[[#This Row],[Sub total]]+Imput[[#This Row],[IVA]]-Imput[[#This Row],[Retención / IEPS / Descuento]]</f>
        <v>1595.9975999999999</v>
      </c>
      <c r="M126" s="844">
        <v>2185.1151999999997</v>
      </c>
      <c r="N126" s="189" t="s">
        <v>123</v>
      </c>
      <c r="O126" s="1"/>
      <c r="P126" s="189" t="s">
        <v>265</v>
      </c>
      <c r="Q126" s="190" t="s">
        <v>266</v>
      </c>
      <c r="R126" s="188">
        <v>45853</v>
      </c>
      <c r="S126" s="193" t="s">
        <v>126</v>
      </c>
      <c r="T126" s="192"/>
      <c r="U126" s="829"/>
      <c r="V126" s="10" t="s">
        <v>1012</v>
      </c>
      <c r="W126" s="10" t="s">
        <v>3795</v>
      </c>
      <c r="X126" s="10"/>
      <c r="Y126" s="10"/>
      <c r="Z126" s="10"/>
      <c r="AA126" s="11"/>
      <c r="AB126" s="11"/>
      <c r="AD126" s="260"/>
    </row>
    <row r="127" spans="2:30" x14ac:dyDescent="0.3">
      <c r="B127" s="10" t="s">
        <v>142</v>
      </c>
      <c r="C127" s="315" t="s">
        <v>2515</v>
      </c>
      <c r="D127" s="868" t="s">
        <v>264</v>
      </c>
      <c r="E127" s="837" t="str">
        <f>IFERROR(IF(_xlfn.XLOOKUP(Imput[[#This Row],[RFC]],'Alta Proveedor'!D:D,'Alta Proveedor'!E:E)=0,"",_xlfn.XLOOKUP(Imput[[#This Row],[RFC]],'Alta Proveedor'!D:D,'Alta Proveedor'!E:E)),"")</f>
        <v>M.N. DEL GOLFO "HOME CENTER TU ASESOR CONFIABLE"</v>
      </c>
      <c r="F127" s="832" t="s">
        <v>267</v>
      </c>
      <c r="G127" s="187">
        <v>2</v>
      </c>
      <c r="H127" s="1">
        <f>392.51/2</f>
        <v>196.255</v>
      </c>
      <c r="I127" s="169">
        <f>Imput[[#This Row],[Cantidad]]*Imput[[#This Row],[Precio Unitario]]</f>
        <v>392.51</v>
      </c>
      <c r="J127" s="11">
        <f>Imput[[#This Row],[Sub total]]*0.16</f>
        <v>62.801600000000001</v>
      </c>
      <c r="K127" s="11">
        <v>0</v>
      </c>
      <c r="L127" s="169">
        <f>Imput[[#This Row],[Sub total]]+Imput[[#This Row],[IVA]]-Imput[[#This Row],[Retención / IEPS / Descuento]]</f>
        <v>455.3116</v>
      </c>
      <c r="M127" s="844">
        <v>0</v>
      </c>
      <c r="N127" s="189" t="s">
        <v>123</v>
      </c>
      <c r="O127" s="1"/>
      <c r="P127" s="189" t="s">
        <v>265</v>
      </c>
      <c r="Q127" s="190" t="s">
        <v>266</v>
      </c>
      <c r="R127" s="188">
        <v>45853</v>
      </c>
      <c r="S127" s="193" t="s">
        <v>126</v>
      </c>
      <c r="T127" s="192"/>
      <c r="U127" s="829"/>
      <c r="V127" s="10" t="s">
        <v>1012</v>
      </c>
      <c r="W127" s="10" t="s">
        <v>3795</v>
      </c>
      <c r="X127" s="10"/>
      <c r="Y127" s="10"/>
      <c r="Z127" s="10"/>
      <c r="AA127" s="11"/>
      <c r="AB127" s="11"/>
      <c r="AD127" s="260"/>
    </row>
    <row r="128" spans="2:30" x14ac:dyDescent="0.3">
      <c r="B128" s="10" t="s">
        <v>142</v>
      </c>
      <c r="C128" s="315" t="s">
        <v>2515</v>
      </c>
      <c r="D128" s="868" t="s">
        <v>264</v>
      </c>
      <c r="E128" s="837" t="str">
        <f>IFERROR(IF(_xlfn.XLOOKUP(Imput[[#This Row],[RFC]],'Alta Proveedor'!D:D,'Alta Proveedor'!E:E)=0,"",_xlfn.XLOOKUP(Imput[[#This Row],[RFC]],'Alta Proveedor'!D:D,'Alta Proveedor'!E:E)),"")</f>
        <v>M.N. DEL GOLFO "HOME CENTER TU ASESOR CONFIABLE"</v>
      </c>
      <c r="F128" s="832" t="s">
        <v>268</v>
      </c>
      <c r="G128" s="187">
        <v>1</v>
      </c>
      <c r="H128" s="1">
        <f>115.35/1</f>
        <v>115.35</v>
      </c>
      <c r="I128" s="169">
        <f>Imput[[#This Row],[Cantidad]]*Imput[[#This Row],[Precio Unitario]]</f>
        <v>115.35</v>
      </c>
      <c r="J128" s="11">
        <f>Imput[[#This Row],[Sub total]]*0.16</f>
        <v>18.456</v>
      </c>
      <c r="K128" s="11">
        <v>0</v>
      </c>
      <c r="L128" s="169">
        <f>Imput[[#This Row],[Sub total]]+Imput[[#This Row],[IVA]]-Imput[[#This Row],[Retención / IEPS / Descuento]]</f>
        <v>133.80599999999998</v>
      </c>
      <c r="M128" s="844">
        <v>0</v>
      </c>
      <c r="N128" s="189" t="s">
        <v>123</v>
      </c>
      <c r="O128" s="1"/>
      <c r="P128" s="189" t="s">
        <v>265</v>
      </c>
      <c r="Q128" s="190" t="s">
        <v>266</v>
      </c>
      <c r="R128" s="188">
        <v>45853</v>
      </c>
      <c r="S128" s="193" t="s">
        <v>126</v>
      </c>
      <c r="T128" s="192"/>
      <c r="U128" s="829"/>
      <c r="V128" s="10" t="s">
        <v>1012</v>
      </c>
      <c r="W128" s="10" t="s">
        <v>3795</v>
      </c>
      <c r="X128" s="10"/>
      <c r="Y128" s="10"/>
      <c r="Z128" s="10"/>
      <c r="AA128" s="11"/>
      <c r="AB128" s="11"/>
      <c r="AD128" s="260"/>
    </row>
    <row r="129" spans="2:30" x14ac:dyDescent="0.3">
      <c r="B129" s="10" t="s">
        <v>142</v>
      </c>
      <c r="C129" s="549" t="s">
        <v>2514</v>
      </c>
      <c r="D129" s="868" t="s">
        <v>264</v>
      </c>
      <c r="E129" s="837" t="str">
        <f>IFERROR(IF(_xlfn.XLOOKUP(Imput[[#This Row],[RFC]],'Alta Proveedor'!D:D,'Alta Proveedor'!E:E)=0,"",_xlfn.XLOOKUP(Imput[[#This Row],[RFC]],'Alta Proveedor'!D:D,'Alta Proveedor'!E:E)),"")</f>
        <v>M.N. DEL GOLFO "HOME CENTER TU ASESOR CONFIABLE"</v>
      </c>
      <c r="F129" s="832" t="s">
        <v>1199</v>
      </c>
      <c r="G129" s="187">
        <v>2</v>
      </c>
      <c r="H129" s="1">
        <v>128.92500000000001</v>
      </c>
      <c r="I129" s="169">
        <f>Imput[[#This Row],[Cantidad]]*Imput[[#This Row],[Precio Unitario]]</f>
        <v>257.85000000000002</v>
      </c>
      <c r="J129" s="11">
        <f>Imput[[#This Row],[Sub total]]*0.16001</f>
        <v>41.258578500000006</v>
      </c>
      <c r="K129" s="11">
        <v>0</v>
      </c>
      <c r="L129" s="169">
        <f>Imput[[#This Row],[Sub total]]+Imput[[#This Row],[IVA]]-Imput[[#This Row],[Retención / IEPS / Descuento]]</f>
        <v>299.10857850000002</v>
      </c>
      <c r="M129" s="844">
        <v>360.50199174900001</v>
      </c>
      <c r="N129" s="189" t="s">
        <v>123</v>
      </c>
      <c r="O129" s="1"/>
      <c r="P129" s="189" t="s">
        <v>287</v>
      </c>
      <c r="Q129" s="190" t="s">
        <v>288</v>
      </c>
      <c r="R129" s="188">
        <v>45853</v>
      </c>
      <c r="S129" s="193" t="s">
        <v>126</v>
      </c>
      <c r="T129" s="192"/>
      <c r="U129" s="829"/>
      <c r="V129" s="10" t="s">
        <v>1012</v>
      </c>
      <c r="W129" s="10" t="s">
        <v>513</v>
      </c>
      <c r="X129" s="10"/>
      <c r="Y129" s="10"/>
      <c r="Z129" s="10"/>
      <c r="AA129" s="11"/>
      <c r="AB129" s="11"/>
      <c r="AD129" s="260"/>
    </row>
    <row r="130" spans="2:30" x14ac:dyDescent="0.3">
      <c r="B130" s="10" t="s">
        <v>142</v>
      </c>
      <c r="C130" s="549" t="s">
        <v>2429</v>
      </c>
      <c r="D130" s="868" t="s">
        <v>264</v>
      </c>
      <c r="E130" s="837" t="str">
        <f>IFERROR(IF(_xlfn.XLOOKUP(Imput[[#This Row],[RFC]],'Alta Proveedor'!D:D,'Alta Proveedor'!E:E)=0,"",_xlfn.XLOOKUP(Imput[[#This Row],[RFC]],'Alta Proveedor'!D:D,'Alta Proveedor'!E:E)),"")</f>
        <v>M.N. DEL GOLFO "HOME CENTER TU ASESOR CONFIABLE"</v>
      </c>
      <c r="F130" s="832" t="s">
        <v>289</v>
      </c>
      <c r="G130" s="187">
        <v>1</v>
      </c>
      <c r="H130" s="1">
        <v>52.924900000000001</v>
      </c>
      <c r="I130" s="169">
        <f>Imput[[#This Row],[Cantidad]]*Imput[[#This Row],[Precio Unitario]]</f>
        <v>52.924900000000001</v>
      </c>
      <c r="J130" s="11">
        <f>Imput[[#This Row],[Sub total]]*0.16001</f>
        <v>8.4685132490000008</v>
      </c>
      <c r="K130" s="11">
        <v>0</v>
      </c>
      <c r="L130" s="169">
        <f>Imput[[#This Row],[Sub total]]+Imput[[#This Row],[IVA]]-Imput[[#This Row],[Retención / IEPS / Descuento]]</f>
        <v>61.393413249000005</v>
      </c>
      <c r="M130" s="844">
        <v>0</v>
      </c>
      <c r="N130" s="189" t="s">
        <v>123</v>
      </c>
      <c r="O130" s="1"/>
      <c r="P130" s="189" t="s">
        <v>287</v>
      </c>
      <c r="Q130" s="190" t="s">
        <v>288</v>
      </c>
      <c r="R130" s="188">
        <v>45853</v>
      </c>
      <c r="S130" s="193" t="s">
        <v>126</v>
      </c>
      <c r="T130" s="192"/>
      <c r="U130" s="829"/>
      <c r="V130" s="10" t="s">
        <v>1012</v>
      </c>
      <c r="W130" s="10" t="s">
        <v>513</v>
      </c>
      <c r="X130" s="10"/>
      <c r="Y130" s="10"/>
      <c r="Z130" s="10"/>
      <c r="AA130" s="11"/>
      <c r="AB130" s="11"/>
      <c r="AD130" s="260"/>
    </row>
    <row r="131" spans="2:30" x14ac:dyDescent="0.3">
      <c r="B131" s="10" t="s">
        <v>142</v>
      </c>
      <c r="C131" s="315" t="s">
        <v>1767</v>
      </c>
      <c r="D131" s="868" t="s">
        <v>271</v>
      </c>
      <c r="E131" s="837" t="str">
        <f>IFERROR(IF(_xlfn.XLOOKUP(Imput[[#This Row],[RFC]],'Alta Proveedor'!D:D,'Alta Proveedor'!E:E)=0,"",_xlfn.XLOOKUP(Imput[[#This Row],[RFC]],'Alta Proveedor'!D:D,'Alta Proveedor'!E:E)),"")</f>
        <v>EXELCO CARBURANTES (COMBUSTIBLES)</v>
      </c>
      <c r="F131" s="832" t="s">
        <v>237</v>
      </c>
      <c r="G131" s="187">
        <v>21.838000000000001</v>
      </c>
      <c r="H131" s="1">
        <v>20.182041000000002</v>
      </c>
      <c r="I131" s="169">
        <f>Imput[[#This Row],[Cantidad]]*Imput[[#This Row],[Precio Unitario]]</f>
        <v>440.73541135800008</v>
      </c>
      <c r="J131" s="11">
        <v>68.52</v>
      </c>
      <c r="K131" s="11">
        <v>0</v>
      </c>
      <c r="L131" s="169">
        <f>Imput[[#This Row],[Sub total]]+Imput[[#This Row],[IVA]]-Imput[[#This Row],[Retención / IEPS / Descuento]]</f>
        <v>509.25541135800006</v>
      </c>
      <c r="M131" s="844">
        <v>509.25541135800006</v>
      </c>
      <c r="N131" s="189" t="s">
        <v>123</v>
      </c>
      <c r="O131" s="1"/>
      <c r="P131" s="189" t="s">
        <v>274</v>
      </c>
      <c r="Q131" s="190" t="s">
        <v>275</v>
      </c>
      <c r="R131" s="188">
        <v>45853</v>
      </c>
      <c r="S131" s="193" t="s">
        <v>126</v>
      </c>
      <c r="T131" s="192"/>
      <c r="U131" s="829"/>
      <c r="V131" s="10" t="s">
        <v>3786</v>
      </c>
      <c r="W131" s="10" t="s">
        <v>3787</v>
      </c>
      <c r="X131" s="10"/>
      <c r="Y131" s="10"/>
      <c r="Z131" s="10"/>
      <c r="AA131" s="11"/>
      <c r="AB131" s="11"/>
      <c r="AD131" s="260"/>
    </row>
    <row r="132" spans="2:30" x14ac:dyDescent="0.3">
      <c r="B132" s="10" t="s">
        <v>142</v>
      </c>
      <c r="C132" s="315" t="s">
        <v>1743</v>
      </c>
      <c r="D132" s="868" t="s">
        <v>3118</v>
      </c>
      <c r="E132" s="837" t="str">
        <f>IFERROR(IF(_xlfn.XLOOKUP(Imput[[#This Row],[RFC]],'Alta Proveedor'!D:D,'Alta Proveedor'!E:E)=0,"",_xlfn.XLOOKUP(Imput[[#This Row],[RFC]],'Alta Proveedor'!D:D,'Alta Proveedor'!E:E)),"")</f>
        <v>Nomina-ADMON</v>
      </c>
      <c r="F132" s="832" t="s">
        <v>3029</v>
      </c>
      <c r="G132" s="187">
        <v>1</v>
      </c>
      <c r="H132" s="1">
        <v>0</v>
      </c>
      <c r="I132" s="169">
        <f>Imput[[#This Row],[Cantidad]]*Imput[[#This Row],[Precio Unitario]]</f>
        <v>0</v>
      </c>
      <c r="J132" s="11">
        <v>0</v>
      </c>
      <c r="K132" s="11">
        <v>0</v>
      </c>
      <c r="L132" s="169">
        <f>Imput[[#This Row],[Sub total]]+Imput[[#This Row],[IVA]]-Imput[[#This Row],[Retención / IEPS / Descuento]]</f>
        <v>0</v>
      </c>
      <c r="M132" s="844">
        <v>0</v>
      </c>
      <c r="N132" s="189" t="s">
        <v>363</v>
      </c>
      <c r="O132" s="1"/>
      <c r="P132" s="189"/>
      <c r="Q132" s="190"/>
      <c r="R132" s="188">
        <v>45853</v>
      </c>
      <c r="S132" s="193"/>
      <c r="T132" s="192"/>
      <c r="U132" s="829" t="s">
        <v>3099</v>
      </c>
      <c r="V132" s="10" t="s">
        <v>3108</v>
      </c>
      <c r="W132" s="10" t="s">
        <v>3800</v>
      </c>
      <c r="X132" s="10"/>
      <c r="Y132" s="10"/>
      <c r="Z132" s="10"/>
      <c r="AA132" s="11"/>
      <c r="AB132" s="11"/>
      <c r="AD132" s="260"/>
    </row>
    <row r="133" spans="2:30" x14ac:dyDescent="0.3">
      <c r="B133" s="10" t="s">
        <v>142</v>
      </c>
      <c r="C133" s="315" t="s">
        <v>1773</v>
      </c>
      <c r="D133" s="868" t="s">
        <v>3118</v>
      </c>
      <c r="E133" s="837" t="str">
        <f>IFERROR(IF(_xlfn.XLOOKUP(Imput[[#This Row],[RFC]],'Alta Proveedor'!D:D,'Alta Proveedor'!E:E)=0,"",_xlfn.XLOOKUP(Imput[[#This Row],[RFC]],'Alta Proveedor'!D:D,'Alta Proveedor'!E:E)),"")</f>
        <v>Nomina-ADMON</v>
      </c>
      <c r="F133" s="832" t="s">
        <v>3030</v>
      </c>
      <c r="G133" s="187">
        <v>1</v>
      </c>
      <c r="H133" s="1">
        <v>4182</v>
      </c>
      <c r="I133" s="169">
        <f>Imput[[#This Row],[Cantidad]]*Imput[[#This Row],[Precio Unitario]]</f>
        <v>4182</v>
      </c>
      <c r="J133" s="11">
        <v>0</v>
      </c>
      <c r="K133" s="11">
        <v>0</v>
      </c>
      <c r="L133" s="169">
        <f>Imput[[#This Row],[Sub total]]+Imput[[#This Row],[IVA]]-Imput[[#This Row],[Retención / IEPS / Descuento]]</f>
        <v>4182</v>
      </c>
      <c r="M133" s="844">
        <v>4182</v>
      </c>
      <c r="N133" s="189" t="s">
        <v>363</v>
      </c>
      <c r="O133" s="1"/>
      <c r="P133" s="189"/>
      <c r="Q133" s="190"/>
      <c r="R133" s="188">
        <v>45853</v>
      </c>
      <c r="S133" s="193"/>
      <c r="T133" s="192"/>
      <c r="U133" s="829" t="s">
        <v>3099</v>
      </c>
      <c r="V133" s="10" t="s">
        <v>3108</v>
      </c>
      <c r="W133" s="10" t="s">
        <v>3800</v>
      </c>
      <c r="X133" s="10"/>
      <c r="Y133" s="10"/>
      <c r="Z133" s="10"/>
      <c r="AA133" s="11"/>
      <c r="AB133" s="11"/>
      <c r="AD133" s="260"/>
    </row>
    <row r="134" spans="2:30" x14ac:dyDescent="0.3">
      <c r="B134" s="10" t="s">
        <v>142</v>
      </c>
      <c r="C134" s="315" t="s">
        <v>1784</v>
      </c>
      <c r="D134" s="868" t="s">
        <v>3118</v>
      </c>
      <c r="E134" s="837" t="str">
        <f>IFERROR(IF(_xlfn.XLOOKUP(Imput[[#This Row],[RFC]],'Alta Proveedor'!D:D,'Alta Proveedor'!E:E)=0,"",_xlfn.XLOOKUP(Imput[[#This Row],[RFC]],'Alta Proveedor'!D:D,'Alta Proveedor'!E:E)),"")</f>
        <v>Nomina-ADMON</v>
      </c>
      <c r="F134" s="832" t="s">
        <v>3031</v>
      </c>
      <c r="G134" s="187">
        <v>1</v>
      </c>
      <c r="H134" s="1">
        <v>0</v>
      </c>
      <c r="I134" s="169">
        <f>Imput[[#This Row],[Cantidad]]*Imput[[#This Row],[Precio Unitario]]</f>
        <v>0</v>
      </c>
      <c r="J134" s="11">
        <v>0</v>
      </c>
      <c r="K134" s="11">
        <v>0</v>
      </c>
      <c r="L134" s="169">
        <f>Imput[[#This Row],[Sub total]]+Imput[[#This Row],[IVA]]-Imput[[#This Row],[Retención / IEPS / Descuento]]</f>
        <v>0</v>
      </c>
      <c r="M134" s="844">
        <v>0</v>
      </c>
      <c r="N134" s="189" t="s">
        <v>363</v>
      </c>
      <c r="O134" s="1"/>
      <c r="P134" s="189"/>
      <c r="Q134" s="190"/>
      <c r="R134" s="188">
        <v>45853</v>
      </c>
      <c r="S134" s="193"/>
      <c r="T134" s="192"/>
      <c r="U134" s="829" t="s">
        <v>3099</v>
      </c>
      <c r="V134" s="10" t="s">
        <v>3108</v>
      </c>
      <c r="W134" s="10" t="s">
        <v>3800</v>
      </c>
      <c r="X134" s="10"/>
      <c r="Y134" s="10"/>
      <c r="Z134" s="10"/>
      <c r="AA134" s="11"/>
      <c r="AB134" s="11"/>
      <c r="AD134" s="260"/>
    </row>
    <row r="135" spans="2:30" x14ac:dyDescent="0.3">
      <c r="B135" s="10" t="s">
        <v>142</v>
      </c>
      <c r="C135" s="315" t="s">
        <v>1756</v>
      </c>
      <c r="D135" s="868" t="s">
        <v>3118</v>
      </c>
      <c r="E135" s="837" t="str">
        <f>IFERROR(IF(_xlfn.XLOOKUP(Imput[[#This Row],[RFC]],'Alta Proveedor'!D:D,'Alta Proveedor'!E:E)=0,"",_xlfn.XLOOKUP(Imput[[#This Row],[RFC]],'Alta Proveedor'!D:D,'Alta Proveedor'!E:E)),"")</f>
        <v>Nomina-ADMON</v>
      </c>
      <c r="F135" s="832" t="s">
        <v>3032</v>
      </c>
      <c r="G135" s="187">
        <v>1</v>
      </c>
      <c r="H135" s="1">
        <v>4182</v>
      </c>
      <c r="I135" s="169">
        <f>Imput[[#This Row],[Cantidad]]*Imput[[#This Row],[Precio Unitario]]</f>
        <v>4182</v>
      </c>
      <c r="J135" s="11">
        <v>0</v>
      </c>
      <c r="K135" s="11">
        <v>0</v>
      </c>
      <c r="L135" s="169">
        <f>Imput[[#This Row],[Sub total]]+Imput[[#This Row],[IVA]]-Imput[[#This Row],[Retención / IEPS / Descuento]]</f>
        <v>4182</v>
      </c>
      <c r="M135" s="844">
        <v>4182</v>
      </c>
      <c r="N135" s="189" t="s">
        <v>363</v>
      </c>
      <c r="O135" s="1"/>
      <c r="P135" s="189"/>
      <c r="Q135" s="190"/>
      <c r="R135" s="188">
        <v>45853</v>
      </c>
      <c r="S135" s="193"/>
      <c r="T135" s="192"/>
      <c r="U135" s="829" t="s">
        <v>3099</v>
      </c>
      <c r="V135" s="10" t="s">
        <v>3108</v>
      </c>
      <c r="W135" s="10" t="s">
        <v>3800</v>
      </c>
      <c r="X135" s="10"/>
      <c r="Y135" s="10"/>
      <c r="Z135" s="10"/>
      <c r="AA135" s="11"/>
      <c r="AB135" s="11"/>
      <c r="AD135" s="260"/>
    </row>
    <row r="136" spans="2:30" x14ac:dyDescent="0.3">
      <c r="B136" s="10" t="s">
        <v>142</v>
      </c>
      <c r="C136" s="315" t="s">
        <v>1774</v>
      </c>
      <c r="D136" s="868" t="s">
        <v>3118</v>
      </c>
      <c r="E136" s="837" t="str">
        <f>IFERROR(IF(_xlfn.XLOOKUP(Imput[[#This Row],[RFC]],'Alta Proveedor'!D:D,'Alta Proveedor'!E:E)=0,"",_xlfn.XLOOKUP(Imput[[#This Row],[RFC]],'Alta Proveedor'!D:D,'Alta Proveedor'!E:E)),"")</f>
        <v>Nomina-ADMON</v>
      </c>
      <c r="F136" s="832" t="s">
        <v>3033</v>
      </c>
      <c r="G136" s="187">
        <v>1</v>
      </c>
      <c r="H136" s="1">
        <v>4182</v>
      </c>
      <c r="I136" s="169">
        <f>Imput[[#This Row],[Cantidad]]*Imput[[#This Row],[Precio Unitario]]</f>
        <v>4182</v>
      </c>
      <c r="J136" s="11">
        <v>0</v>
      </c>
      <c r="K136" s="11">
        <v>0</v>
      </c>
      <c r="L136" s="169">
        <f>Imput[[#This Row],[Sub total]]+Imput[[#This Row],[IVA]]-Imput[[#This Row],[Retención / IEPS / Descuento]]</f>
        <v>4182</v>
      </c>
      <c r="M136" s="844">
        <v>4182</v>
      </c>
      <c r="N136" s="189" t="s">
        <v>363</v>
      </c>
      <c r="O136" s="1"/>
      <c r="P136" s="189"/>
      <c r="Q136" s="190"/>
      <c r="R136" s="188">
        <v>45853</v>
      </c>
      <c r="S136" s="193"/>
      <c r="T136" s="192"/>
      <c r="U136" s="829" t="s">
        <v>3099</v>
      </c>
      <c r="V136" s="10" t="s">
        <v>3108</v>
      </c>
      <c r="W136" s="10" t="s">
        <v>3800</v>
      </c>
      <c r="X136" s="10"/>
      <c r="Y136" s="10"/>
      <c r="Z136" s="10"/>
      <c r="AA136" s="11"/>
      <c r="AB136" s="11"/>
      <c r="AD136" s="260"/>
    </row>
    <row r="137" spans="2:30" x14ac:dyDescent="0.3">
      <c r="B137" s="10" t="s">
        <v>142</v>
      </c>
      <c r="C137" s="315" t="s">
        <v>1754</v>
      </c>
      <c r="D137" s="868" t="s">
        <v>3118</v>
      </c>
      <c r="E137" s="837" t="str">
        <f>IFERROR(IF(_xlfn.XLOOKUP(Imput[[#This Row],[RFC]],'Alta Proveedor'!D:D,'Alta Proveedor'!E:E)=0,"",_xlfn.XLOOKUP(Imput[[#This Row],[RFC]],'Alta Proveedor'!D:D,'Alta Proveedor'!E:E)),"")</f>
        <v>Nomina-ADMON</v>
      </c>
      <c r="F137" s="832" t="s">
        <v>3034</v>
      </c>
      <c r="G137" s="187">
        <v>1</v>
      </c>
      <c r="H137" s="1">
        <v>4182</v>
      </c>
      <c r="I137" s="169">
        <f>Imput[[#This Row],[Cantidad]]*Imput[[#This Row],[Precio Unitario]]</f>
        <v>4182</v>
      </c>
      <c r="J137" s="11">
        <v>0</v>
      </c>
      <c r="K137" s="11">
        <v>0</v>
      </c>
      <c r="L137" s="169">
        <f>Imput[[#This Row],[Sub total]]+Imput[[#This Row],[IVA]]-Imput[[#This Row],[Retención / IEPS / Descuento]]</f>
        <v>4182</v>
      </c>
      <c r="M137" s="844">
        <v>4182</v>
      </c>
      <c r="N137" s="189" t="s">
        <v>363</v>
      </c>
      <c r="O137" s="1"/>
      <c r="P137" s="189"/>
      <c r="Q137" s="190"/>
      <c r="R137" s="188">
        <v>45853</v>
      </c>
      <c r="S137" s="193"/>
      <c r="T137" s="192"/>
      <c r="U137" s="829" t="s">
        <v>3099</v>
      </c>
      <c r="V137" s="10" t="s">
        <v>3108</v>
      </c>
      <c r="W137" s="10" t="s">
        <v>3800</v>
      </c>
      <c r="X137" s="10"/>
      <c r="Y137" s="10"/>
      <c r="Z137" s="10"/>
      <c r="AA137" s="11"/>
      <c r="AB137" s="11"/>
      <c r="AD137" s="260"/>
    </row>
    <row r="138" spans="2:30" x14ac:dyDescent="0.3">
      <c r="B138" s="10" t="s">
        <v>142</v>
      </c>
      <c r="C138" s="315" t="s">
        <v>1743</v>
      </c>
      <c r="D138" s="868" t="s">
        <v>3118</v>
      </c>
      <c r="E138" s="837" t="str">
        <f>IFERROR(IF(_xlfn.XLOOKUP(Imput[[#This Row],[RFC]],'Alta Proveedor'!D:D,'Alta Proveedor'!E:E)=0,"",_xlfn.XLOOKUP(Imput[[#This Row],[RFC]],'Alta Proveedor'!D:D,'Alta Proveedor'!E:E)),"")</f>
        <v>Nomina-ADMON</v>
      </c>
      <c r="F138" s="832" t="s">
        <v>3035</v>
      </c>
      <c r="G138" s="187">
        <v>1</v>
      </c>
      <c r="H138" s="1">
        <v>10000</v>
      </c>
      <c r="I138" s="169">
        <f>Imput[[#This Row],[Cantidad]]*Imput[[#This Row],[Precio Unitario]]</f>
        <v>10000</v>
      </c>
      <c r="J138" s="11">
        <f>((Imput[[#This Row],[Sub total]])*(0.08))</f>
        <v>800</v>
      </c>
      <c r="K138" s="11">
        <v>0</v>
      </c>
      <c r="L138" s="169">
        <f>Imput[[#This Row],[Sub total]]+Imput[[#This Row],[IVA]]-Imput[[#This Row],[Retención / IEPS / Descuento]]</f>
        <v>10800</v>
      </c>
      <c r="M138" s="844">
        <v>10800</v>
      </c>
      <c r="N138" s="189" t="s">
        <v>363</v>
      </c>
      <c r="O138" s="1"/>
      <c r="P138" s="189"/>
      <c r="Q138" s="190"/>
      <c r="R138" s="188">
        <v>45853</v>
      </c>
      <c r="S138" s="193"/>
      <c r="T138" s="192"/>
      <c r="U138" s="829" t="s">
        <v>3099</v>
      </c>
      <c r="V138" s="10" t="s">
        <v>3108</v>
      </c>
      <c r="W138" s="10" t="s">
        <v>3800</v>
      </c>
      <c r="X138" s="10"/>
      <c r="Y138" s="10"/>
      <c r="Z138" s="10"/>
      <c r="AA138" s="11"/>
      <c r="AB138" s="11"/>
      <c r="AD138" s="260"/>
    </row>
    <row r="139" spans="2:30" x14ac:dyDescent="0.3">
      <c r="B139" s="10" t="s">
        <v>142</v>
      </c>
      <c r="C139" s="315" t="s">
        <v>1773</v>
      </c>
      <c r="D139" s="868" t="s">
        <v>3118</v>
      </c>
      <c r="E139" s="837" t="str">
        <f>IFERROR(IF(_xlfn.XLOOKUP(Imput[[#This Row],[RFC]],'Alta Proveedor'!D:D,'Alta Proveedor'!E:E)=0,"",_xlfn.XLOOKUP(Imput[[#This Row],[RFC]],'Alta Proveedor'!D:D,'Alta Proveedor'!E:E)),"")</f>
        <v>Nomina-ADMON</v>
      </c>
      <c r="F139" s="832" t="s">
        <v>3036</v>
      </c>
      <c r="G139" s="187">
        <v>1</v>
      </c>
      <c r="H139" s="1">
        <v>2318</v>
      </c>
      <c r="I139" s="169">
        <f>Imput[[#This Row],[Cantidad]]*Imput[[#This Row],[Precio Unitario]]</f>
        <v>2318</v>
      </c>
      <c r="J139" s="11">
        <f>((Imput[[#This Row],[Sub total]])*(0.08))</f>
        <v>185.44</v>
      </c>
      <c r="K139" s="11">
        <v>0</v>
      </c>
      <c r="L139" s="169">
        <f>Imput[[#This Row],[Sub total]]+Imput[[#This Row],[IVA]]-Imput[[#This Row],[Retención / IEPS / Descuento]]</f>
        <v>2503.44</v>
      </c>
      <c r="M139" s="844">
        <v>2503.44</v>
      </c>
      <c r="N139" s="189" t="s">
        <v>363</v>
      </c>
      <c r="O139" s="1"/>
      <c r="P139" s="189"/>
      <c r="Q139" s="190"/>
      <c r="R139" s="188">
        <v>45853</v>
      </c>
      <c r="S139" s="193"/>
      <c r="T139" s="192"/>
      <c r="U139" s="829" t="s">
        <v>3099</v>
      </c>
      <c r="V139" s="10" t="s">
        <v>3108</v>
      </c>
      <c r="W139" s="10" t="s">
        <v>3800</v>
      </c>
      <c r="X139" s="10"/>
      <c r="Y139" s="10"/>
      <c r="Z139" s="10"/>
      <c r="AA139" s="11"/>
      <c r="AB139" s="11"/>
      <c r="AD139" s="260"/>
    </row>
    <row r="140" spans="2:30" x14ac:dyDescent="0.3">
      <c r="B140" s="10" t="s">
        <v>142</v>
      </c>
      <c r="C140" s="315" t="s">
        <v>1784</v>
      </c>
      <c r="D140" s="868" t="s">
        <v>3118</v>
      </c>
      <c r="E140" s="837" t="str">
        <f>IFERROR(IF(_xlfn.XLOOKUP(Imput[[#This Row],[RFC]],'Alta Proveedor'!D:D,'Alta Proveedor'!E:E)=0,"",_xlfn.XLOOKUP(Imput[[#This Row],[RFC]],'Alta Proveedor'!D:D,'Alta Proveedor'!E:E)),"")</f>
        <v>Nomina-ADMON</v>
      </c>
      <c r="F140" s="832" t="s">
        <v>3037</v>
      </c>
      <c r="G140" s="187">
        <v>1</v>
      </c>
      <c r="H140" s="1">
        <v>6000</v>
      </c>
      <c r="I140" s="169">
        <f>Imput[[#This Row],[Cantidad]]*Imput[[#This Row],[Precio Unitario]]</f>
        <v>6000</v>
      </c>
      <c r="J140" s="11">
        <f>((Imput[[#This Row],[Sub total]])*(0.08))</f>
        <v>480</v>
      </c>
      <c r="K140" s="11">
        <v>0</v>
      </c>
      <c r="L140" s="169">
        <f>Imput[[#This Row],[Sub total]]+Imput[[#This Row],[IVA]]-Imput[[#This Row],[Retención / IEPS / Descuento]]</f>
        <v>6480</v>
      </c>
      <c r="M140" s="844">
        <v>6480</v>
      </c>
      <c r="N140" s="189" t="s">
        <v>363</v>
      </c>
      <c r="O140" s="1"/>
      <c r="P140" s="189"/>
      <c r="Q140" s="190"/>
      <c r="R140" s="188">
        <v>45853</v>
      </c>
      <c r="S140" s="193"/>
      <c r="T140" s="192"/>
      <c r="U140" s="829" t="s">
        <v>3099</v>
      </c>
      <c r="V140" s="10" t="s">
        <v>3108</v>
      </c>
      <c r="W140" s="10" t="s">
        <v>3800</v>
      </c>
      <c r="X140" s="10"/>
      <c r="Y140" s="10"/>
      <c r="Z140" s="10"/>
      <c r="AA140" s="11"/>
      <c r="AB140" s="11"/>
      <c r="AD140" s="260"/>
    </row>
    <row r="141" spans="2:30" x14ac:dyDescent="0.3">
      <c r="B141" s="10" t="s">
        <v>142</v>
      </c>
      <c r="C141" s="315" t="s">
        <v>1756</v>
      </c>
      <c r="D141" s="868" t="s">
        <v>3118</v>
      </c>
      <c r="E141" s="837" t="str">
        <f>IFERROR(IF(_xlfn.XLOOKUP(Imput[[#This Row],[RFC]],'Alta Proveedor'!D:D,'Alta Proveedor'!E:E)=0,"",_xlfn.XLOOKUP(Imput[[#This Row],[RFC]],'Alta Proveedor'!D:D,'Alta Proveedor'!E:E)),"")</f>
        <v>Nomina-ADMON</v>
      </c>
      <c r="F141" s="832" t="s">
        <v>3038</v>
      </c>
      <c r="G141" s="187">
        <v>1</v>
      </c>
      <c r="H141" s="1">
        <v>6533</v>
      </c>
      <c r="I141" s="169">
        <f>Imput[[#This Row],[Cantidad]]*Imput[[#This Row],[Precio Unitario]]</f>
        <v>6533</v>
      </c>
      <c r="J141" s="11">
        <f>((Imput[[#This Row],[Sub total]])*(0.08))</f>
        <v>522.64</v>
      </c>
      <c r="K141" s="11">
        <v>0</v>
      </c>
      <c r="L141" s="169">
        <f>Imput[[#This Row],[Sub total]]+Imput[[#This Row],[IVA]]-Imput[[#This Row],[Retención / IEPS / Descuento]]</f>
        <v>7055.64</v>
      </c>
      <c r="M141" s="844">
        <v>7055.64</v>
      </c>
      <c r="N141" s="189" t="s">
        <v>363</v>
      </c>
      <c r="O141" s="1"/>
      <c r="P141" s="189"/>
      <c r="Q141" s="190"/>
      <c r="R141" s="188">
        <v>45853</v>
      </c>
      <c r="S141" s="193"/>
      <c r="T141" s="192"/>
      <c r="U141" s="829" t="s">
        <v>3099</v>
      </c>
      <c r="V141" s="10" t="s">
        <v>3108</v>
      </c>
      <c r="W141" s="10" t="s">
        <v>3800</v>
      </c>
      <c r="X141" s="10"/>
      <c r="Y141" s="10"/>
      <c r="Z141" s="10"/>
      <c r="AA141" s="11"/>
      <c r="AB141" s="11"/>
      <c r="AD141" s="260"/>
    </row>
    <row r="142" spans="2:30" x14ac:dyDescent="0.3">
      <c r="B142" s="10" t="s">
        <v>142</v>
      </c>
      <c r="C142" s="315" t="s">
        <v>1774</v>
      </c>
      <c r="D142" s="868" t="s">
        <v>3118</v>
      </c>
      <c r="E142" s="837" t="str">
        <f>IFERROR(IF(_xlfn.XLOOKUP(Imput[[#This Row],[RFC]],'Alta Proveedor'!D:D,'Alta Proveedor'!E:E)=0,"",_xlfn.XLOOKUP(Imput[[#This Row],[RFC]],'Alta Proveedor'!D:D,'Alta Proveedor'!E:E)),"")</f>
        <v>Nomina-ADMON</v>
      </c>
      <c r="F142" s="832" t="s">
        <v>3039</v>
      </c>
      <c r="G142" s="187">
        <v>1</v>
      </c>
      <c r="H142" s="1">
        <v>11313.6</v>
      </c>
      <c r="I142" s="169">
        <f>Imput[[#This Row],[Cantidad]]*Imput[[#This Row],[Precio Unitario]]</f>
        <v>11313.6</v>
      </c>
      <c r="J142" s="11">
        <f>((Imput[[#This Row],[Sub total]])*(0.08))</f>
        <v>905.08800000000008</v>
      </c>
      <c r="K142" s="11">
        <v>0</v>
      </c>
      <c r="L142" s="169">
        <f>Imput[[#This Row],[Sub total]]+Imput[[#This Row],[IVA]]-Imput[[#This Row],[Retención / IEPS / Descuento]]</f>
        <v>12218.688</v>
      </c>
      <c r="M142" s="844">
        <v>12218.688</v>
      </c>
      <c r="N142" s="189" t="s">
        <v>363</v>
      </c>
      <c r="O142" s="1"/>
      <c r="P142" s="189"/>
      <c r="Q142" s="190"/>
      <c r="R142" s="188">
        <v>45853</v>
      </c>
      <c r="S142" s="193"/>
      <c r="T142" s="192"/>
      <c r="U142" s="829" t="s">
        <v>3099</v>
      </c>
      <c r="V142" s="10" t="s">
        <v>3108</v>
      </c>
      <c r="W142" s="10" t="s">
        <v>3800</v>
      </c>
      <c r="X142" s="10"/>
      <c r="Y142" s="10"/>
      <c r="Z142" s="10"/>
      <c r="AA142" s="11"/>
      <c r="AB142" s="11"/>
      <c r="AD142" s="260"/>
    </row>
    <row r="143" spans="2:30" x14ac:dyDescent="0.3">
      <c r="B143" s="10" t="s">
        <v>142</v>
      </c>
      <c r="C143" s="315" t="s">
        <v>1754</v>
      </c>
      <c r="D143" s="868" t="s">
        <v>3118</v>
      </c>
      <c r="E143" s="837" t="str">
        <f>IFERROR(IF(_xlfn.XLOOKUP(Imput[[#This Row],[RFC]],'Alta Proveedor'!D:D,'Alta Proveedor'!E:E)=0,"",_xlfn.XLOOKUP(Imput[[#This Row],[RFC]],'Alta Proveedor'!D:D,'Alta Proveedor'!E:E)),"")</f>
        <v>Nomina-ADMON</v>
      </c>
      <c r="F143" s="832" t="s">
        <v>3040</v>
      </c>
      <c r="G143" s="187">
        <v>1</v>
      </c>
      <c r="H143" s="1">
        <v>9818</v>
      </c>
      <c r="I143" s="169">
        <f>Imput[[#This Row],[Cantidad]]*Imput[[#This Row],[Precio Unitario]]</f>
        <v>9818</v>
      </c>
      <c r="J143" s="11">
        <f>((Imput[[#This Row],[Sub total]])*(0.08))</f>
        <v>785.44</v>
      </c>
      <c r="K143" s="11">
        <v>0</v>
      </c>
      <c r="L143" s="169">
        <f>Imput[[#This Row],[Sub total]]+Imput[[#This Row],[IVA]]-Imput[[#This Row],[Retención / IEPS / Descuento]]</f>
        <v>10603.44</v>
      </c>
      <c r="M143" s="844">
        <v>10603.44</v>
      </c>
      <c r="N143" s="189" t="s">
        <v>363</v>
      </c>
      <c r="O143" s="1"/>
      <c r="P143" s="189"/>
      <c r="Q143" s="190"/>
      <c r="R143" s="188">
        <v>45853</v>
      </c>
      <c r="S143" s="193"/>
      <c r="T143" s="192"/>
      <c r="U143" s="829" t="s">
        <v>3099</v>
      </c>
      <c r="V143" s="10" t="s">
        <v>3108</v>
      </c>
      <c r="W143" s="10" t="s">
        <v>3800</v>
      </c>
      <c r="X143" s="10"/>
      <c r="Y143" s="10"/>
      <c r="Z143" s="10"/>
      <c r="AA143" s="11"/>
      <c r="AB143" s="11"/>
      <c r="AD143" s="260"/>
    </row>
    <row r="144" spans="2:30" x14ac:dyDescent="0.3">
      <c r="B144" s="10" t="s">
        <v>142</v>
      </c>
      <c r="C144" s="315" t="s">
        <v>2335</v>
      </c>
      <c r="D144" s="868" t="s">
        <v>3119</v>
      </c>
      <c r="E144" s="837" t="str">
        <f>IFERROR(IF(_xlfn.XLOOKUP(Imput[[#This Row],[RFC]],'Alta Proveedor'!D:D,'Alta Proveedor'!E:E)=0,"",_xlfn.XLOOKUP(Imput[[#This Row],[RFC]],'Alta Proveedor'!D:D,'Alta Proveedor'!E:E)),"")</f>
        <v>Nomina-OPERACIÓN</v>
      </c>
      <c r="F144" s="836" t="s">
        <v>3129</v>
      </c>
      <c r="G144" s="187">
        <v>1</v>
      </c>
      <c r="H144" s="1">
        <v>22530</v>
      </c>
      <c r="I144" s="169">
        <f>Imput[[#This Row],[Cantidad]]*Imput[[#This Row],[Precio Unitario]]</f>
        <v>22530</v>
      </c>
      <c r="J144" s="11">
        <f>Imput[[#This Row],[Sub total]]*0.08</f>
        <v>1802.4</v>
      </c>
      <c r="K144" s="11">
        <v>0</v>
      </c>
      <c r="L144" s="169">
        <f>Imput[[#This Row],[Sub total]]+Imput[[#This Row],[IVA]]-Imput[[#This Row],[Retención / IEPS / Descuento]]</f>
        <v>24332.400000000001</v>
      </c>
      <c r="M144" s="844">
        <v>24332.400000000001</v>
      </c>
      <c r="N144" s="189"/>
      <c r="O144" s="1"/>
      <c r="P144" s="189"/>
      <c r="Q144" s="190"/>
      <c r="R144" s="188">
        <v>45853</v>
      </c>
      <c r="S144" s="193"/>
      <c r="T144" s="192"/>
      <c r="U144" s="867" t="s">
        <v>3225</v>
      </c>
      <c r="V144" s="10" t="s">
        <v>3108</v>
      </c>
      <c r="W144" s="10" t="s">
        <v>3793</v>
      </c>
      <c r="X144" s="10"/>
      <c r="Y144" s="10"/>
      <c r="Z144" s="10"/>
      <c r="AA144" s="11"/>
      <c r="AB144" s="11"/>
      <c r="AD144" s="260"/>
    </row>
    <row r="145" spans="2:30" x14ac:dyDescent="0.3">
      <c r="B145" s="10" t="s">
        <v>142</v>
      </c>
      <c r="C145" s="315" t="s">
        <v>1807</v>
      </c>
      <c r="D145" s="868" t="s">
        <v>3225</v>
      </c>
      <c r="E145" s="837" t="str">
        <f>IFERROR(IF(_xlfn.XLOOKUP(Imput[[#This Row],[RFC]],'Alta Proveedor'!D:D,'Alta Proveedor'!E:E)=0,"",_xlfn.XLOOKUP(Imput[[#This Row],[RFC]],'Alta Proveedor'!D:D,'Alta Proveedor'!E:E)),"")</f>
        <v>GASTOS SIN FACTURA</v>
      </c>
      <c r="F145" s="836" t="s">
        <v>3192</v>
      </c>
      <c r="G145" s="187">
        <v>1</v>
      </c>
      <c r="H145" s="1">
        <v>5000</v>
      </c>
      <c r="I145" s="169">
        <f>Imput[[#This Row],[Cantidad]]*Imput[[#This Row],[Precio Unitario]]</f>
        <v>5000</v>
      </c>
      <c r="J145" s="11">
        <f>Imput[[#This Row],[Sub total]]*0.08</f>
        <v>400</v>
      </c>
      <c r="K145" s="11">
        <v>0</v>
      </c>
      <c r="L145" s="169">
        <f>Imput[[#This Row],[Sub total]]+Imput[[#This Row],[IVA]]-Imput[[#This Row],[Retención / IEPS / Descuento]]</f>
        <v>5400</v>
      </c>
      <c r="M145" s="844">
        <v>5400</v>
      </c>
      <c r="N145" s="189"/>
      <c r="O145" s="1"/>
      <c r="P145" s="189"/>
      <c r="Q145" s="190"/>
      <c r="R145" s="188">
        <v>45853</v>
      </c>
      <c r="S145" s="193"/>
      <c r="T145" s="192"/>
      <c r="U145" s="867" t="s">
        <v>3225</v>
      </c>
      <c r="V145" s="10" t="s">
        <v>3324</v>
      </c>
      <c r="W145" s="10" t="s">
        <v>3327</v>
      </c>
      <c r="X145" s="10"/>
      <c r="Y145" s="10"/>
      <c r="Z145" s="10"/>
      <c r="AA145" s="11"/>
      <c r="AB145" s="11"/>
      <c r="AD145" s="260"/>
    </row>
    <row r="146" spans="2:30" x14ac:dyDescent="0.3">
      <c r="B146" s="10" t="s">
        <v>142</v>
      </c>
      <c r="C146" s="315" t="s">
        <v>1769</v>
      </c>
      <c r="D146" s="868" t="s">
        <v>244</v>
      </c>
      <c r="E146" s="837" t="str">
        <f>IFERROR(IF(_xlfn.XLOOKUP(Imput[[#This Row],[RFC]],'Alta Proveedor'!D:D,'Alta Proveedor'!E:E)=0,"",_xlfn.XLOOKUP(Imput[[#This Row],[RFC]],'Alta Proveedor'!D:D,'Alta Proveedor'!E:E)),"")</f>
        <v>CADENA COMERCIAL OXXO</v>
      </c>
      <c r="F146" s="832" t="s">
        <v>1230</v>
      </c>
      <c r="G146" s="187">
        <v>1</v>
      </c>
      <c r="H146" s="1">
        <v>52.5</v>
      </c>
      <c r="I146" s="169">
        <f>Imput[[#This Row],[Cantidad]]*Imput[[#This Row],[Precio Unitario]]</f>
        <v>52.5</v>
      </c>
      <c r="J146" s="11">
        <v>0</v>
      </c>
      <c r="K146" s="11">
        <v>0</v>
      </c>
      <c r="L146" s="169">
        <f>Imput[[#This Row],[Sub total]]+Imput[[#This Row],[IVA]]-Imput[[#This Row],[Retención / IEPS / Descuento]]</f>
        <v>52.5</v>
      </c>
      <c r="M146" s="844">
        <v>141.49520000000001</v>
      </c>
      <c r="N146" s="189" t="s">
        <v>123</v>
      </c>
      <c r="O146" s="1"/>
      <c r="P146" s="189" t="s">
        <v>1047</v>
      </c>
      <c r="Q146" s="190" t="s">
        <v>1048</v>
      </c>
      <c r="R146" s="188">
        <v>45854</v>
      </c>
      <c r="S146" s="193" t="s">
        <v>126</v>
      </c>
      <c r="T146" s="192"/>
      <c r="U146" s="829"/>
      <c r="V146" s="10" t="s">
        <v>3324</v>
      </c>
      <c r="W146" s="10" t="s">
        <v>3327</v>
      </c>
      <c r="X146" s="10"/>
      <c r="Y146" s="10"/>
      <c r="Z146" s="10"/>
      <c r="AA146" s="11"/>
      <c r="AB146" s="11"/>
      <c r="AD146" s="260"/>
    </row>
    <row r="147" spans="2:30" x14ac:dyDescent="0.3">
      <c r="B147" s="10" t="s">
        <v>142</v>
      </c>
      <c r="C147" s="315" t="s">
        <v>1769</v>
      </c>
      <c r="D147" s="868" t="s">
        <v>244</v>
      </c>
      <c r="E147" s="837" t="str">
        <f>IFERROR(IF(_xlfn.XLOOKUP(Imput[[#This Row],[RFC]],'Alta Proveedor'!D:D,'Alta Proveedor'!E:E)=0,"",_xlfn.XLOOKUP(Imput[[#This Row],[RFC]],'Alta Proveedor'!D:D,'Alta Proveedor'!E:E)),"")</f>
        <v>CADENA COMERCIAL OXXO</v>
      </c>
      <c r="F147" s="832" t="s">
        <v>1231</v>
      </c>
      <c r="G147" s="187">
        <v>1</v>
      </c>
      <c r="H147" s="1">
        <v>76.72</v>
      </c>
      <c r="I147" s="169">
        <f>Imput[[#This Row],[Cantidad]]*Imput[[#This Row],[Precio Unitario]]</f>
        <v>76.72</v>
      </c>
      <c r="J147" s="11">
        <f>((Imput[[#This Row],[Sub total]])*0.16)</f>
        <v>12.2752</v>
      </c>
      <c r="K147" s="11">
        <v>0</v>
      </c>
      <c r="L147" s="169">
        <f>Imput[[#This Row],[Sub total]]+Imput[[#This Row],[IVA]]-Imput[[#This Row],[Retención / IEPS / Descuento]]</f>
        <v>88.995199999999997</v>
      </c>
      <c r="M147" s="844">
        <v>0</v>
      </c>
      <c r="N147" s="189" t="s">
        <v>123</v>
      </c>
      <c r="O147" s="1"/>
      <c r="P147" s="189" t="s">
        <v>1047</v>
      </c>
      <c r="Q147" s="190" t="s">
        <v>1048</v>
      </c>
      <c r="R147" s="188">
        <v>45854</v>
      </c>
      <c r="S147" s="193" t="s">
        <v>126</v>
      </c>
      <c r="T147" s="192"/>
      <c r="U147" s="829"/>
      <c r="V147" s="10" t="s">
        <v>3324</v>
      </c>
      <c r="W147" s="10" t="s">
        <v>3327</v>
      </c>
      <c r="X147" s="10"/>
      <c r="Y147" s="10"/>
      <c r="Z147" s="10"/>
      <c r="AA147" s="11"/>
      <c r="AB147" s="11"/>
      <c r="AD147" s="260"/>
    </row>
    <row r="148" spans="2:30" x14ac:dyDescent="0.3">
      <c r="B148" s="10" t="s">
        <v>290</v>
      </c>
      <c r="C148" s="315" t="s">
        <v>2515</v>
      </c>
      <c r="D148" s="868" t="s">
        <v>164</v>
      </c>
      <c r="E148" s="837" t="str">
        <f>IFERROR(IF(_xlfn.XLOOKUP(Imput[[#This Row],[RFC]],'Alta Proveedor'!D:D,'Alta Proveedor'!E:E)=0,"",_xlfn.XLOOKUP(Imput[[#This Row],[RFC]],'Alta Proveedor'!D:D,'Alta Proveedor'!E:E)),"")</f>
        <v>HOME DEPOT MEXICO SUCURSAL THD-8730 TAMPICO</v>
      </c>
      <c r="F148" s="832" t="s">
        <v>295</v>
      </c>
      <c r="G148" s="187">
        <v>3</v>
      </c>
      <c r="H148" s="1">
        <f>1658.41/Imput[[#This Row],[Cantidad]]</f>
        <v>552.8033333333334</v>
      </c>
      <c r="I148" s="169">
        <f>Imput[[#This Row],[Cantidad]]*Imput[[#This Row],[Precio Unitario]]</f>
        <v>1658.4100000000003</v>
      </c>
      <c r="J148" s="11">
        <f>((Imput[[#This Row],[Sub total]])*0.16)</f>
        <v>265.34560000000005</v>
      </c>
      <c r="K148" s="11">
        <v>0</v>
      </c>
      <c r="L148" s="169">
        <f>Imput[[#This Row],[Sub total]]+Imput[[#This Row],[IVA]]-Imput[[#This Row],[Retención / IEPS / Descuento]]</f>
        <v>1923.7556000000004</v>
      </c>
      <c r="M148" s="844">
        <v>4172.2184000000007</v>
      </c>
      <c r="N148" s="189" t="s">
        <v>123</v>
      </c>
      <c r="O148" s="1"/>
      <c r="P148" s="189" t="s">
        <v>296</v>
      </c>
      <c r="Q148" s="190" t="s">
        <v>297</v>
      </c>
      <c r="R148" s="188">
        <v>45854</v>
      </c>
      <c r="S148" s="193" t="s">
        <v>126</v>
      </c>
      <c r="T148" s="192"/>
      <c r="U148" s="829"/>
      <c r="V148" s="10" t="s">
        <v>1012</v>
      </c>
      <c r="W148" s="10" t="s">
        <v>3795</v>
      </c>
      <c r="X148" s="10"/>
      <c r="Y148" s="10"/>
      <c r="Z148" s="10"/>
      <c r="AA148" s="11"/>
      <c r="AB148" s="11"/>
      <c r="AD148" s="260"/>
    </row>
    <row r="149" spans="2:30" x14ac:dyDescent="0.3">
      <c r="B149" s="10" t="s">
        <v>290</v>
      </c>
      <c r="C149" s="315" t="s">
        <v>2515</v>
      </c>
      <c r="D149" s="868" t="s">
        <v>164</v>
      </c>
      <c r="E149" s="837" t="str">
        <f>IFERROR(IF(_xlfn.XLOOKUP(Imput[[#This Row],[RFC]],'Alta Proveedor'!D:D,'Alta Proveedor'!E:E)=0,"",_xlfn.XLOOKUP(Imput[[#This Row],[RFC]],'Alta Proveedor'!D:D,'Alta Proveedor'!E:E)),"")</f>
        <v>HOME DEPOT MEXICO SUCURSAL THD-8730 TAMPICO</v>
      </c>
      <c r="F149" s="832" t="s">
        <v>173</v>
      </c>
      <c r="G149" s="187">
        <v>3</v>
      </c>
      <c r="H149" s="1">
        <f>488.79/Imput[[#This Row],[Cantidad]]</f>
        <v>162.93</v>
      </c>
      <c r="I149" s="169">
        <f>Imput[[#This Row],[Cantidad]]*Imput[[#This Row],[Precio Unitario]]</f>
        <v>488.79</v>
      </c>
      <c r="J149" s="11">
        <f>((437.07)*0.16)</f>
        <v>69.931200000000004</v>
      </c>
      <c r="K149" s="11">
        <v>51.72</v>
      </c>
      <c r="L149" s="169">
        <f>Imput[[#This Row],[Sub total]]+Imput[[#This Row],[IVA]]-Imput[[#This Row],[Retención / IEPS / Descuento]]</f>
        <v>507.00120000000004</v>
      </c>
      <c r="M149" s="844">
        <v>0</v>
      </c>
      <c r="N149" s="189" t="s">
        <v>123</v>
      </c>
      <c r="O149" s="1"/>
      <c r="P149" s="189" t="s">
        <v>296</v>
      </c>
      <c r="Q149" s="190" t="s">
        <v>297</v>
      </c>
      <c r="R149" s="188">
        <v>45854</v>
      </c>
      <c r="S149" s="193" t="s">
        <v>126</v>
      </c>
      <c r="T149" s="192"/>
      <c r="U149" s="829"/>
      <c r="V149" s="10" t="s">
        <v>1012</v>
      </c>
      <c r="W149" s="10" t="s">
        <v>3795</v>
      </c>
      <c r="X149" s="10"/>
      <c r="Y149" s="10"/>
      <c r="Z149" s="10"/>
      <c r="AA149" s="11"/>
      <c r="AB149" s="11"/>
      <c r="AD149" s="260"/>
    </row>
    <row r="150" spans="2:30" x14ac:dyDescent="0.3">
      <c r="B150" s="10" t="s">
        <v>290</v>
      </c>
      <c r="C150" s="315" t="s">
        <v>2515</v>
      </c>
      <c r="D150" s="868" t="s">
        <v>164</v>
      </c>
      <c r="E150" s="837" t="str">
        <f>IFERROR(IF(_xlfn.XLOOKUP(Imput[[#This Row],[RFC]],'Alta Proveedor'!D:D,'Alta Proveedor'!E:E)=0,"",_xlfn.XLOOKUP(Imput[[#This Row],[RFC]],'Alta Proveedor'!D:D,'Alta Proveedor'!E:E)),"")</f>
        <v>HOME DEPOT MEXICO SUCURSAL THD-8730 TAMPICO</v>
      </c>
      <c r="F150" s="832" t="s">
        <v>298</v>
      </c>
      <c r="G150" s="187">
        <v>3</v>
      </c>
      <c r="H150" s="1">
        <f>458.74/Imput[[#This Row],[Cantidad]]</f>
        <v>152.91333333333333</v>
      </c>
      <c r="I150" s="169">
        <f>Imput[[#This Row],[Cantidad]]*Imput[[#This Row],[Precio Unitario]]</f>
        <v>458.74</v>
      </c>
      <c r="J150" s="11">
        <f>((Imput[[#This Row],[Sub total]])*0.16)</f>
        <v>73.398400000000009</v>
      </c>
      <c r="K150" s="11">
        <v>0</v>
      </c>
      <c r="L150" s="169">
        <f>Imput[[#This Row],[Sub total]]+Imput[[#This Row],[IVA]]-Imput[[#This Row],[Retención / IEPS / Descuento]]</f>
        <v>532.13840000000005</v>
      </c>
      <c r="M150" s="844">
        <v>0</v>
      </c>
      <c r="N150" s="189" t="s">
        <v>123</v>
      </c>
      <c r="O150" s="1"/>
      <c r="P150" s="189" t="s">
        <v>296</v>
      </c>
      <c r="Q150" s="190" t="s">
        <v>297</v>
      </c>
      <c r="R150" s="188">
        <v>45854</v>
      </c>
      <c r="S150" s="193" t="s">
        <v>126</v>
      </c>
      <c r="T150" s="192"/>
      <c r="U150" s="829"/>
      <c r="V150" s="10" t="s">
        <v>1012</v>
      </c>
      <c r="W150" s="10" t="s">
        <v>3795</v>
      </c>
      <c r="X150" s="10"/>
      <c r="Y150" s="10"/>
      <c r="Z150" s="10"/>
      <c r="AA150" s="11"/>
      <c r="AB150" s="11"/>
      <c r="AD150" s="260"/>
    </row>
    <row r="151" spans="2:30" x14ac:dyDescent="0.3">
      <c r="B151" s="10" t="s">
        <v>290</v>
      </c>
      <c r="C151" s="549" t="s">
        <v>2514</v>
      </c>
      <c r="D151" s="868" t="s">
        <v>164</v>
      </c>
      <c r="E151" s="837" t="str">
        <f>IFERROR(IF(_xlfn.XLOOKUP(Imput[[#This Row],[RFC]],'Alta Proveedor'!D:D,'Alta Proveedor'!E:E)=0,"",_xlfn.XLOOKUP(Imput[[#This Row],[RFC]],'Alta Proveedor'!D:D,'Alta Proveedor'!E:E)),"")</f>
        <v>HOME DEPOT MEXICO SUCURSAL THD-8730 TAMPICO</v>
      </c>
      <c r="F151" s="832" t="s">
        <v>1211</v>
      </c>
      <c r="G151" s="187">
        <v>6</v>
      </c>
      <c r="H151" s="1">
        <f>349.76/Imput[[#This Row],[Cantidad]]</f>
        <v>58.293333333333329</v>
      </c>
      <c r="I151" s="169">
        <f>Imput[[#This Row],[Cantidad]]*Imput[[#This Row],[Precio Unitario]]</f>
        <v>349.76</v>
      </c>
      <c r="J151" s="11">
        <f>((Imput[[#This Row],[Sub total]])*0.16)</f>
        <v>55.961599999999997</v>
      </c>
      <c r="K151" s="11">
        <v>0</v>
      </c>
      <c r="L151" s="169">
        <f>Imput[[#This Row],[Sub total]]+Imput[[#This Row],[IVA]]-Imput[[#This Row],[Retención / IEPS / Descuento]]</f>
        <v>405.72159999999997</v>
      </c>
      <c r="M151" s="844">
        <v>0</v>
      </c>
      <c r="N151" s="189" t="s">
        <v>123</v>
      </c>
      <c r="O151" s="1"/>
      <c r="P151" s="189" t="s">
        <v>296</v>
      </c>
      <c r="Q151" s="190" t="s">
        <v>297</v>
      </c>
      <c r="R151" s="188">
        <v>45854</v>
      </c>
      <c r="S151" s="193" t="s">
        <v>126</v>
      </c>
      <c r="T151" s="192"/>
      <c r="U151" s="829"/>
      <c r="V151" s="10" t="s">
        <v>1012</v>
      </c>
      <c r="W151" s="10" t="s">
        <v>513</v>
      </c>
      <c r="X151" s="10"/>
      <c r="Y151" s="10"/>
      <c r="Z151" s="10"/>
      <c r="AA151" s="11"/>
      <c r="AB151" s="11"/>
      <c r="AD151" s="260"/>
    </row>
    <row r="152" spans="2:30" x14ac:dyDescent="0.3">
      <c r="B152" s="10" t="s">
        <v>290</v>
      </c>
      <c r="C152" s="315" t="s">
        <v>2515</v>
      </c>
      <c r="D152" s="868" t="s">
        <v>164</v>
      </c>
      <c r="E152" s="837" t="str">
        <f>IFERROR(IF(_xlfn.XLOOKUP(Imput[[#This Row],[RFC]],'Alta Proveedor'!D:D,'Alta Proveedor'!E:E)=0,"",_xlfn.XLOOKUP(Imput[[#This Row],[RFC]],'Alta Proveedor'!D:D,'Alta Proveedor'!E:E)),"")</f>
        <v>HOME DEPOT MEXICO SUCURSAL THD-8730 TAMPICO</v>
      </c>
      <c r="F152" s="832" t="s">
        <v>299</v>
      </c>
      <c r="G152" s="187">
        <v>1</v>
      </c>
      <c r="H152" s="1">
        <f>325.26/Imput[[#This Row],[Cantidad]]</f>
        <v>325.26</v>
      </c>
      <c r="I152" s="169">
        <f>Imput[[#This Row],[Cantidad]]*Imput[[#This Row],[Precio Unitario]]</f>
        <v>325.26</v>
      </c>
      <c r="J152" s="11">
        <f>((Imput[[#This Row],[Sub total]])*0.16)</f>
        <v>52.041600000000003</v>
      </c>
      <c r="K152" s="11">
        <v>0</v>
      </c>
      <c r="L152" s="169">
        <f>Imput[[#This Row],[Sub total]]+Imput[[#This Row],[IVA]]-Imput[[#This Row],[Retención / IEPS / Descuento]]</f>
        <v>377.30160000000001</v>
      </c>
      <c r="M152" s="844">
        <v>0</v>
      </c>
      <c r="N152" s="189" t="s">
        <v>123</v>
      </c>
      <c r="O152" s="1"/>
      <c r="P152" s="189" t="s">
        <v>296</v>
      </c>
      <c r="Q152" s="190" t="s">
        <v>297</v>
      </c>
      <c r="R152" s="188">
        <v>45854</v>
      </c>
      <c r="S152" s="193" t="s">
        <v>126</v>
      </c>
      <c r="T152" s="192"/>
      <c r="U152" s="829"/>
      <c r="V152" s="10" t="s">
        <v>1012</v>
      </c>
      <c r="W152" s="10" t="s">
        <v>513</v>
      </c>
      <c r="X152" s="10"/>
      <c r="Y152" s="10"/>
      <c r="Z152" s="10"/>
      <c r="AA152" s="11"/>
      <c r="AB152" s="11"/>
      <c r="AD152" s="260"/>
    </row>
    <row r="153" spans="2:30" x14ac:dyDescent="0.3">
      <c r="B153" s="10" t="s">
        <v>290</v>
      </c>
      <c r="C153" s="315" t="s">
        <v>2515</v>
      </c>
      <c r="D153" s="868" t="s">
        <v>164</v>
      </c>
      <c r="E153" s="837" t="str">
        <f>IFERROR(IF(_xlfn.XLOOKUP(Imput[[#This Row],[RFC]],'Alta Proveedor'!D:D,'Alta Proveedor'!E:E)=0,"",_xlfn.XLOOKUP(Imput[[#This Row],[RFC]],'Alta Proveedor'!D:D,'Alta Proveedor'!E:E)),"")</f>
        <v>HOME DEPOT MEXICO SUCURSAL THD-8730 TAMPICO</v>
      </c>
      <c r="F153" s="832" t="s">
        <v>2909</v>
      </c>
      <c r="G153" s="187">
        <v>12</v>
      </c>
      <c r="H153" s="1">
        <f>192.62/Imput[[#This Row],[Cantidad]]</f>
        <v>16.051666666666666</v>
      </c>
      <c r="I153" s="169">
        <f>Imput[[#This Row],[Cantidad]]*Imput[[#This Row],[Precio Unitario]]</f>
        <v>192.62</v>
      </c>
      <c r="J153" s="11">
        <f>((Imput[[#This Row],[Sub total]])*0.16)</f>
        <v>30.819200000000002</v>
      </c>
      <c r="K153" s="11">
        <v>0</v>
      </c>
      <c r="L153" s="169">
        <f>Imput[[#This Row],[Sub total]]+Imput[[#This Row],[IVA]]-Imput[[#This Row],[Retención / IEPS / Descuento]]</f>
        <v>223.4392</v>
      </c>
      <c r="M153" s="844">
        <v>0</v>
      </c>
      <c r="N153" s="189" t="s">
        <v>123</v>
      </c>
      <c r="O153" s="1"/>
      <c r="P153" s="189" t="s">
        <v>296</v>
      </c>
      <c r="Q153" s="190" t="s">
        <v>297</v>
      </c>
      <c r="R153" s="188">
        <v>45854</v>
      </c>
      <c r="S153" s="193" t="s">
        <v>126</v>
      </c>
      <c r="T153" s="192"/>
      <c r="U153" s="829"/>
      <c r="V153" s="10" t="s">
        <v>1012</v>
      </c>
      <c r="W153" s="10" t="s">
        <v>3795</v>
      </c>
      <c r="X153" s="10"/>
      <c r="Y153" s="10"/>
      <c r="Z153" s="10"/>
      <c r="AA153" s="11"/>
      <c r="AB153" s="11"/>
      <c r="AD153" s="260"/>
    </row>
    <row r="154" spans="2:30" x14ac:dyDescent="0.3">
      <c r="B154" s="10" t="s">
        <v>290</v>
      </c>
      <c r="C154" s="315" t="s">
        <v>2515</v>
      </c>
      <c r="D154" s="868" t="s">
        <v>164</v>
      </c>
      <c r="E154" s="837" t="str">
        <f>IFERROR(IF(_xlfn.XLOOKUP(Imput[[#This Row],[RFC]],'Alta Proveedor'!D:D,'Alta Proveedor'!E:E)=0,"",_xlfn.XLOOKUP(Imput[[#This Row],[RFC]],'Alta Proveedor'!D:D,'Alta Proveedor'!E:E)),"")</f>
        <v>HOME DEPOT MEXICO SUCURSAL THD-8730 TAMPICO</v>
      </c>
      <c r="F154" s="832" t="s">
        <v>285</v>
      </c>
      <c r="G154" s="187">
        <v>3</v>
      </c>
      <c r="H154" s="1">
        <f>174.88/Imput[[#This Row],[Cantidad]]</f>
        <v>58.293333333333329</v>
      </c>
      <c r="I154" s="169">
        <f>Imput[[#This Row],[Cantidad]]*Imput[[#This Row],[Precio Unitario]]</f>
        <v>174.88</v>
      </c>
      <c r="J154" s="11">
        <f>((Imput[[#This Row],[Sub total]])*0.16)</f>
        <v>27.980799999999999</v>
      </c>
      <c r="K154" s="11">
        <v>0</v>
      </c>
      <c r="L154" s="169">
        <f>Imput[[#This Row],[Sub total]]+Imput[[#This Row],[IVA]]-Imput[[#This Row],[Retención / IEPS / Descuento]]</f>
        <v>202.86079999999998</v>
      </c>
      <c r="M154" s="844">
        <v>0</v>
      </c>
      <c r="N154" s="189" t="s">
        <v>123</v>
      </c>
      <c r="O154" s="1"/>
      <c r="P154" s="189" t="s">
        <v>296</v>
      </c>
      <c r="Q154" s="190" t="s">
        <v>297</v>
      </c>
      <c r="R154" s="188">
        <v>45854</v>
      </c>
      <c r="S154" s="193" t="s">
        <v>126</v>
      </c>
      <c r="T154" s="192"/>
      <c r="U154" s="829"/>
      <c r="V154" s="10" t="s">
        <v>1012</v>
      </c>
      <c r="W154" s="10" t="s">
        <v>3795</v>
      </c>
      <c r="X154" s="10"/>
      <c r="Y154" s="10"/>
      <c r="Z154" s="10"/>
      <c r="AA154" s="11"/>
      <c r="AB154" s="11"/>
      <c r="AD154" s="260"/>
    </row>
    <row r="155" spans="2:30" x14ac:dyDescent="0.3">
      <c r="B155" s="10" t="s">
        <v>290</v>
      </c>
      <c r="C155" s="315" t="s">
        <v>2515</v>
      </c>
      <c r="D155" s="868" t="s">
        <v>143</v>
      </c>
      <c r="E155" s="837" t="str">
        <f>IFERROR(IF(_xlfn.XLOOKUP(Imput[[#This Row],[RFC]],'Alta Proveedor'!D:D,'Alta Proveedor'!E:E)=0,"",_xlfn.XLOOKUP(Imput[[#This Row],[RFC]],'Alta Proveedor'!D:D,'Alta Proveedor'!E:E)),"")</f>
        <v>FERRETERIA CUERVO SA DE CV</v>
      </c>
      <c r="F155" s="832" t="s">
        <v>291</v>
      </c>
      <c r="G155" s="187">
        <v>1</v>
      </c>
      <c r="H155" s="1">
        <v>405.17</v>
      </c>
      <c r="I155" s="169">
        <f>Imput[[#This Row],[Cantidad]]*Imput[[#This Row],[Precio Unitario]]</f>
        <v>405.17</v>
      </c>
      <c r="J155" s="11">
        <f>Imput[[#This Row],[Sub total]]*0.16</f>
        <v>64.827200000000005</v>
      </c>
      <c r="K155" s="11">
        <v>0</v>
      </c>
      <c r="L155" s="169">
        <f>Imput[[#This Row],[Sub total]]+Imput[[#This Row],[IVA]]-Imput[[#This Row],[Retención / IEPS / Descuento]]</f>
        <v>469.99720000000002</v>
      </c>
      <c r="M155" s="844">
        <v>469.99720000000002</v>
      </c>
      <c r="N155" s="189" t="s">
        <v>123</v>
      </c>
      <c r="O155" s="1"/>
      <c r="P155" s="189" t="s">
        <v>292</v>
      </c>
      <c r="Q155" s="190" t="s">
        <v>293</v>
      </c>
      <c r="R155" s="188">
        <v>45854</v>
      </c>
      <c r="S155" s="193" t="s">
        <v>294</v>
      </c>
      <c r="T155" s="192"/>
      <c r="U155" s="829"/>
      <c r="V155" s="10" t="s">
        <v>1012</v>
      </c>
      <c r="W155" s="10" t="s">
        <v>3795</v>
      </c>
      <c r="X155" s="10"/>
      <c r="Y155" s="10"/>
      <c r="Z155" s="10"/>
      <c r="AA155" s="11"/>
      <c r="AB155" s="11"/>
      <c r="AD155" s="260"/>
    </row>
    <row r="156" spans="2:30" x14ac:dyDescent="0.3">
      <c r="B156" s="10" t="s">
        <v>290</v>
      </c>
      <c r="C156" s="549" t="s">
        <v>2514</v>
      </c>
      <c r="D156" s="868" t="s">
        <v>307</v>
      </c>
      <c r="E156" s="837" t="str">
        <f>IFERROR(IF(_xlfn.XLOOKUP(Imput[[#This Row],[RFC]],'Alta Proveedor'!D:D,'Alta Proveedor'!E:E)=0,"",_xlfn.XLOOKUP(Imput[[#This Row],[RFC]],'Alta Proveedor'!D:D,'Alta Proveedor'!E:E)),"")</f>
        <v>LUIS ALBERTO VALDEZ DEL ANGEL</v>
      </c>
      <c r="F156" s="832" t="s">
        <v>1200</v>
      </c>
      <c r="G156" s="187">
        <v>2</v>
      </c>
      <c r="H156" s="1">
        <v>100.85899999999999</v>
      </c>
      <c r="I156" s="169">
        <f>Imput[[#This Row],[Cantidad]]*Imput[[#This Row],[Precio Unitario]]</f>
        <v>201.71799999999999</v>
      </c>
      <c r="J156" s="11">
        <f>((Imput[[#This Row],[Sub total]])*0.159999)</f>
        <v>32.274678281999996</v>
      </c>
      <c r="K156" s="11">
        <v>0</v>
      </c>
      <c r="L156" s="169">
        <f>Imput[[#This Row],[Sub total]]+Imput[[#This Row],[IVA]]-Imput[[#This Row],[Retención / IEPS / Descuento]]</f>
        <v>233.99267828199999</v>
      </c>
      <c r="M156" s="844">
        <v>2099.9983896550002</v>
      </c>
      <c r="N156" s="189" t="s">
        <v>123</v>
      </c>
      <c r="O156" s="1"/>
      <c r="P156" s="189" t="s">
        <v>308</v>
      </c>
      <c r="Q156" s="190" t="s">
        <v>309</v>
      </c>
      <c r="R156" s="188">
        <v>45854</v>
      </c>
      <c r="S156" s="193" t="s">
        <v>126</v>
      </c>
      <c r="T156" s="192"/>
      <c r="U156" s="829"/>
      <c r="V156" s="10" t="s">
        <v>1012</v>
      </c>
      <c r="W156" s="10" t="s">
        <v>513</v>
      </c>
      <c r="X156" s="10"/>
      <c r="Y156" s="10"/>
      <c r="Z156" s="10"/>
      <c r="AA156" s="11"/>
      <c r="AB156" s="11"/>
      <c r="AD156" s="260"/>
    </row>
    <row r="157" spans="2:30" x14ac:dyDescent="0.3">
      <c r="B157" s="10" t="s">
        <v>290</v>
      </c>
      <c r="C157" s="315" t="s">
        <v>2431</v>
      </c>
      <c r="D157" s="868" t="s">
        <v>307</v>
      </c>
      <c r="E157" s="837" t="str">
        <f>IFERROR(IF(_xlfn.XLOOKUP(Imput[[#This Row],[RFC]],'Alta Proveedor'!D:D,'Alta Proveedor'!E:E)=0,"",_xlfn.XLOOKUP(Imput[[#This Row],[RFC]],'Alta Proveedor'!D:D,'Alta Proveedor'!E:E)),"")</f>
        <v>LUIS ALBERTO VALDEZ DEL ANGEL</v>
      </c>
      <c r="F157" s="832" t="s">
        <v>310</v>
      </c>
      <c r="G157" s="187">
        <v>3</v>
      </c>
      <c r="H157" s="1">
        <v>362.06900000000002</v>
      </c>
      <c r="I157" s="169">
        <f>Imput[[#This Row],[Cantidad]]*Imput[[#This Row],[Precio Unitario]]</f>
        <v>1086.2070000000001</v>
      </c>
      <c r="J157" s="11">
        <f>((Imput[[#This Row],[Sub total]])*0.159999)</f>
        <v>173.79203379300003</v>
      </c>
      <c r="K157" s="11">
        <v>0</v>
      </c>
      <c r="L157" s="169">
        <f>Imput[[#This Row],[Sub total]]+Imput[[#This Row],[IVA]]-Imput[[#This Row],[Retención / IEPS / Descuento]]</f>
        <v>1259.9990337930001</v>
      </c>
      <c r="M157" s="844">
        <v>0</v>
      </c>
      <c r="N157" s="189" t="s">
        <v>123</v>
      </c>
      <c r="O157" s="1"/>
      <c r="P157" s="189" t="s">
        <v>308</v>
      </c>
      <c r="Q157" s="190" t="s">
        <v>309</v>
      </c>
      <c r="R157" s="188">
        <v>45854</v>
      </c>
      <c r="S157" s="193" t="s">
        <v>126</v>
      </c>
      <c r="T157" s="192"/>
      <c r="U157" s="829"/>
      <c r="V157" s="10" t="s">
        <v>1012</v>
      </c>
      <c r="W157" s="10" t="s">
        <v>513</v>
      </c>
      <c r="X157" s="10"/>
      <c r="Y157" s="10"/>
      <c r="Z157" s="10"/>
      <c r="AA157" s="11"/>
      <c r="AB157" s="11"/>
      <c r="AD157" s="260"/>
    </row>
    <row r="158" spans="2:30" x14ac:dyDescent="0.3">
      <c r="B158" s="10" t="s">
        <v>290</v>
      </c>
      <c r="C158" s="549" t="s">
        <v>2514</v>
      </c>
      <c r="D158" s="868" t="s">
        <v>307</v>
      </c>
      <c r="E158" s="837" t="str">
        <f>IFERROR(IF(_xlfn.XLOOKUP(Imput[[#This Row],[RFC]],'Alta Proveedor'!D:D,'Alta Proveedor'!E:E)=0,"",_xlfn.XLOOKUP(Imput[[#This Row],[RFC]],'Alta Proveedor'!D:D,'Alta Proveedor'!E:E)),"")</f>
        <v>LUIS ALBERTO VALDEZ DEL ANGEL</v>
      </c>
      <c r="F158" s="832" t="s">
        <v>1201</v>
      </c>
      <c r="G158" s="187">
        <v>1</v>
      </c>
      <c r="H158" s="1">
        <v>261.20999999999998</v>
      </c>
      <c r="I158" s="169">
        <f>Imput[[#This Row],[Cantidad]]*Imput[[#This Row],[Precio Unitario]]</f>
        <v>261.20999999999998</v>
      </c>
      <c r="J158" s="11">
        <f>((Imput[[#This Row],[Sub total]])*0.159999)</f>
        <v>41.79333879</v>
      </c>
      <c r="K158" s="11">
        <v>0</v>
      </c>
      <c r="L158" s="169">
        <f>Imput[[#This Row],[Sub total]]+Imput[[#This Row],[IVA]]-Imput[[#This Row],[Retención / IEPS / Descuento]]</f>
        <v>303.00333878999999</v>
      </c>
      <c r="M158" s="844">
        <v>0</v>
      </c>
      <c r="N158" s="189" t="s">
        <v>123</v>
      </c>
      <c r="O158" s="1"/>
      <c r="P158" s="189" t="s">
        <v>308</v>
      </c>
      <c r="Q158" s="190" t="s">
        <v>309</v>
      </c>
      <c r="R158" s="188">
        <v>45854</v>
      </c>
      <c r="S158" s="193" t="s">
        <v>126</v>
      </c>
      <c r="T158" s="192"/>
      <c r="U158" s="829"/>
      <c r="V158" s="10" t="s">
        <v>1012</v>
      </c>
      <c r="W158" s="10" t="s">
        <v>513</v>
      </c>
      <c r="X158" s="10"/>
      <c r="Y158" s="10"/>
      <c r="Z158" s="10"/>
      <c r="AA158" s="11"/>
      <c r="AB158" s="11"/>
      <c r="AD158" s="260"/>
    </row>
    <row r="159" spans="2:30" x14ac:dyDescent="0.3">
      <c r="B159" s="10" t="s">
        <v>290</v>
      </c>
      <c r="C159" s="549" t="s">
        <v>2514</v>
      </c>
      <c r="D159" s="868" t="s">
        <v>307</v>
      </c>
      <c r="E159" s="837" t="str">
        <f>IFERROR(IF(_xlfn.XLOOKUP(Imput[[#This Row],[RFC]],'Alta Proveedor'!D:D,'Alta Proveedor'!E:E)=0,"",_xlfn.XLOOKUP(Imput[[#This Row],[RFC]],'Alta Proveedor'!D:D,'Alta Proveedor'!E:E)),"")</f>
        <v>LUIS ALBERTO VALDEZ DEL ANGEL</v>
      </c>
      <c r="F159" s="832" t="s">
        <v>1202</v>
      </c>
      <c r="G159" s="187">
        <v>1</v>
      </c>
      <c r="H159" s="1">
        <f>H158</f>
        <v>261.20999999999998</v>
      </c>
      <c r="I159" s="169">
        <f>Imput[[#This Row],[Cantidad]]*Imput[[#This Row],[Precio Unitario]]</f>
        <v>261.20999999999998</v>
      </c>
      <c r="J159" s="11">
        <f>((Imput[[#This Row],[Sub total]])*0.159999)</f>
        <v>41.79333879</v>
      </c>
      <c r="K159" s="11">
        <v>0</v>
      </c>
      <c r="L159" s="169">
        <f>Imput[[#This Row],[Sub total]]+Imput[[#This Row],[IVA]]-Imput[[#This Row],[Retención / IEPS / Descuento]]</f>
        <v>303.00333878999999</v>
      </c>
      <c r="M159" s="844">
        <v>0</v>
      </c>
      <c r="N159" s="189" t="s">
        <v>123</v>
      </c>
      <c r="O159" s="1"/>
      <c r="P159" s="189" t="s">
        <v>308</v>
      </c>
      <c r="Q159" s="190" t="s">
        <v>309</v>
      </c>
      <c r="R159" s="188">
        <v>45854</v>
      </c>
      <c r="S159" s="193" t="s">
        <v>126</v>
      </c>
      <c r="T159" s="192"/>
      <c r="U159" s="829"/>
      <c r="V159" s="10" t="s">
        <v>1012</v>
      </c>
      <c r="W159" s="10" t="s">
        <v>513</v>
      </c>
      <c r="X159" s="10"/>
      <c r="Y159" s="10"/>
      <c r="Z159" s="10"/>
      <c r="AA159" s="11"/>
      <c r="AB159" s="11"/>
      <c r="AD159" s="260"/>
    </row>
    <row r="160" spans="2:30" x14ac:dyDescent="0.3">
      <c r="B160" s="10" t="s">
        <v>129</v>
      </c>
      <c r="C160" s="549" t="s">
        <v>2514</v>
      </c>
      <c r="D160" s="868" t="s">
        <v>264</v>
      </c>
      <c r="E160" s="837" t="str">
        <f>IFERROR(IF(_xlfn.XLOOKUP(Imput[[#This Row],[RFC]],'Alta Proveedor'!D:D,'Alta Proveedor'!E:E)=0,"",_xlfn.XLOOKUP(Imput[[#This Row],[RFC]],'Alta Proveedor'!D:D,'Alta Proveedor'!E:E)),"")</f>
        <v>M.N. DEL GOLFO "HOME CENTER TU ASESOR CONFIABLE"</v>
      </c>
      <c r="F160" s="832" t="s">
        <v>1203</v>
      </c>
      <c r="G160" s="187">
        <v>1</v>
      </c>
      <c r="H160" s="1">
        <f>192.82</f>
        <v>192.82</v>
      </c>
      <c r="I160" s="169">
        <f>Imput[[#This Row],[Cantidad]]*Imput[[#This Row],[Precio Unitario]]</f>
        <v>192.82</v>
      </c>
      <c r="J160" s="11">
        <f>((Imput[[#This Row],[Sub total]])*0.16)</f>
        <v>30.851199999999999</v>
      </c>
      <c r="K160" s="11">
        <v>0</v>
      </c>
      <c r="L160" s="169">
        <f>Imput[[#This Row],[Sub total]]+Imput[[#This Row],[IVA]]-Imput[[#This Row],[Retención / IEPS / Descuento]]</f>
        <v>223.6712</v>
      </c>
      <c r="M160" s="844">
        <v>721.06759999999997</v>
      </c>
      <c r="N160" s="189" t="s">
        <v>123</v>
      </c>
      <c r="O160" s="1"/>
      <c r="P160" s="189" t="s">
        <v>311</v>
      </c>
      <c r="Q160" s="190" t="s">
        <v>312</v>
      </c>
      <c r="R160" s="188">
        <v>45854</v>
      </c>
      <c r="S160" s="193" t="s">
        <v>126</v>
      </c>
      <c r="T160" s="192"/>
      <c r="U160" s="829"/>
      <c r="V160" s="10" t="s">
        <v>1012</v>
      </c>
      <c r="W160" s="10" t="s">
        <v>513</v>
      </c>
      <c r="X160" s="10"/>
      <c r="Y160" s="10"/>
      <c r="Z160" s="10"/>
      <c r="AA160" s="11"/>
      <c r="AB160" s="11"/>
      <c r="AD160" s="260"/>
    </row>
    <row r="161" spans="2:30" x14ac:dyDescent="0.3">
      <c r="B161" s="10" t="s">
        <v>129</v>
      </c>
      <c r="C161" s="549" t="s">
        <v>2514</v>
      </c>
      <c r="D161" s="868" t="s">
        <v>264</v>
      </c>
      <c r="E161" s="837" t="str">
        <f>IFERROR(IF(_xlfn.XLOOKUP(Imput[[#This Row],[RFC]],'Alta Proveedor'!D:D,'Alta Proveedor'!E:E)=0,"",_xlfn.XLOOKUP(Imput[[#This Row],[RFC]],'Alta Proveedor'!D:D,'Alta Proveedor'!E:E)),"")</f>
        <v>M.N. DEL GOLFO "HOME CENTER TU ASESOR CONFIABLE"</v>
      </c>
      <c r="F161" s="832" t="s">
        <v>1204</v>
      </c>
      <c r="G161" s="187">
        <v>2</v>
      </c>
      <c r="H161" s="1">
        <f>160.12/2</f>
        <v>80.06</v>
      </c>
      <c r="I161" s="169">
        <f>Imput[[#This Row],[Cantidad]]*Imput[[#This Row],[Precio Unitario]]</f>
        <v>160.12</v>
      </c>
      <c r="J161" s="11">
        <f>((Imput[[#This Row],[Sub total]])*0.16)</f>
        <v>25.619200000000003</v>
      </c>
      <c r="K161" s="11">
        <v>0</v>
      </c>
      <c r="L161" s="169">
        <f>Imput[[#This Row],[Sub total]]+Imput[[#This Row],[IVA]]-Imput[[#This Row],[Retención / IEPS / Descuento]]</f>
        <v>185.73920000000001</v>
      </c>
      <c r="M161" s="844">
        <v>0</v>
      </c>
      <c r="N161" s="189" t="s">
        <v>123</v>
      </c>
      <c r="O161" s="1"/>
      <c r="P161" s="189" t="s">
        <v>311</v>
      </c>
      <c r="Q161" s="190" t="s">
        <v>312</v>
      </c>
      <c r="R161" s="188">
        <v>45854</v>
      </c>
      <c r="S161" s="193" t="s">
        <v>126</v>
      </c>
      <c r="T161" s="192"/>
      <c r="U161" s="829"/>
      <c r="V161" s="10" t="s">
        <v>1012</v>
      </c>
      <c r="W161" s="10" t="s">
        <v>513</v>
      </c>
      <c r="X161" s="10"/>
      <c r="Y161" s="10"/>
      <c r="Z161" s="10"/>
      <c r="AA161" s="11"/>
      <c r="AB161" s="11"/>
      <c r="AD161" s="260"/>
    </row>
    <row r="162" spans="2:30" x14ac:dyDescent="0.3">
      <c r="B162" s="10" t="s">
        <v>129</v>
      </c>
      <c r="C162" s="549" t="s">
        <v>2514</v>
      </c>
      <c r="D162" s="868" t="s">
        <v>264</v>
      </c>
      <c r="E162" s="837" t="str">
        <f>IFERROR(IF(_xlfn.XLOOKUP(Imput[[#This Row],[RFC]],'Alta Proveedor'!D:D,'Alta Proveedor'!E:E)=0,"",_xlfn.XLOOKUP(Imput[[#This Row],[RFC]],'Alta Proveedor'!D:D,'Alta Proveedor'!E:E)),"")</f>
        <v>M.N. DEL GOLFO "HOME CENTER TU ASESOR CONFIABLE"</v>
      </c>
      <c r="F162" s="832" t="s">
        <v>1205</v>
      </c>
      <c r="G162" s="187">
        <v>2</v>
      </c>
      <c r="H162" s="1">
        <f>268.67/2</f>
        <v>134.33500000000001</v>
      </c>
      <c r="I162" s="169">
        <f>Imput[[#This Row],[Cantidad]]*Imput[[#This Row],[Precio Unitario]]</f>
        <v>268.67</v>
      </c>
      <c r="J162" s="11">
        <f>((Imput[[#This Row],[Sub total]])*0.16)</f>
        <v>42.987200000000001</v>
      </c>
      <c r="K162" s="11">
        <v>0</v>
      </c>
      <c r="L162" s="169">
        <f>Imput[[#This Row],[Sub total]]+Imput[[#This Row],[IVA]]-Imput[[#This Row],[Retención / IEPS / Descuento]]</f>
        <v>311.65719999999999</v>
      </c>
      <c r="M162" s="844">
        <v>0</v>
      </c>
      <c r="N162" s="189" t="s">
        <v>123</v>
      </c>
      <c r="O162" s="1"/>
      <c r="P162" s="189" t="s">
        <v>311</v>
      </c>
      <c r="Q162" s="190" t="s">
        <v>312</v>
      </c>
      <c r="R162" s="188">
        <v>45854</v>
      </c>
      <c r="S162" s="193" t="s">
        <v>126</v>
      </c>
      <c r="T162" s="192"/>
      <c r="U162" s="829"/>
      <c r="V162" s="10" t="s">
        <v>1012</v>
      </c>
      <c r="W162" s="10" t="s">
        <v>513</v>
      </c>
      <c r="X162" s="10"/>
      <c r="Y162" s="10"/>
      <c r="Z162" s="10"/>
      <c r="AA162" s="11"/>
      <c r="AB162" s="11"/>
      <c r="AD162" s="260"/>
    </row>
    <row r="163" spans="2:30" x14ac:dyDescent="0.3">
      <c r="B163" s="10" t="s">
        <v>290</v>
      </c>
      <c r="C163" s="315" t="s">
        <v>2335</v>
      </c>
      <c r="D163" s="868" t="s">
        <v>3119</v>
      </c>
      <c r="E163" s="837" t="str">
        <f>IFERROR(IF(_xlfn.XLOOKUP(Imput[[#This Row],[RFC]],'Alta Proveedor'!D:D,'Alta Proveedor'!E:E)=0,"",_xlfn.XLOOKUP(Imput[[#This Row],[RFC]],'Alta Proveedor'!D:D,'Alta Proveedor'!E:E)),"")</f>
        <v>Nomina-OPERACIÓN</v>
      </c>
      <c r="F163" s="836" t="s">
        <v>3130</v>
      </c>
      <c r="G163" s="187">
        <v>1</v>
      </c>
      <c r="H163" s="1">
        <v>7000</v>
      </c>
      <c r="I163" s="169">
        <f>Imput[[#This Row],[Cantidad]]*Imput[[#This Row],[Precio Unitario]]</f>
        <v>7000</v>
      </c>
      <c r="J163" s="11">
        <f>Imput[[#This Row],[Sub total]]*0.08</f>
        <v>560</v>
      </c>
      <c r="K163" s="11">
        <v>0</v>
      </c>
      <c r="L163" s="169">
        <f>Imput[[#This Row],[Sub total]]+Imput[[#This Row],[IVA]]-Imput[[#This Row],[Retención / IEPS / Descuento]]</f>
        <v>7560</v>
      </c>
      <c r="M163" s="844">
        <v>7560</v>
      </c>
      <c r="N163" s="189"/>
      <c r="O163" s="1"/>
      <c r="P163" s="189"/>
      <c r="Q163" s="190"/>
      <c r="R163" s="188">
        <v>45854</v>
      </c>
      <c r="S163" s="193"/>
      <c r="T163" s="192"/>
      <c r="U163" s="867" t="s">
        <v>3225</v>
      </c>
      <c r="V163" s="10" t="s">
        <v>3108</v>
      </c>
      <c r="W163" s="10" t="s">
        <v>3793</v>
      </c>
      <c r="X163" s="10"/>
      <c r="Y163" s="10"/>
      <c r="Z163" s="10"/>
      <c r="AA163" s="11"/>
      <c r="AB163" s="11"/>
      <c r="AD163" s="260"/>
    </row>
    <row r="164" spans="2:30" x14ac:dyDescent="0.3">
      <c r="B164" s="10" t="s">
        <v>290</v>
      </c>
      <c r="C164" s="315" t="s">
        <v>1806</v>
      </c>
      <c r="D164" s="868" t="s">
        <v>1041</v>
      </c>
      <c r="E164" s="837" t="str">
        <f>IFERROR(IF(_xlfn.XLOOKUP(Imput[[#This Row],[RFC]],'Alta Proveedor'!D:D,'Alta Proveedor'!E:E)=0,"",_xlfn.XLOOKUP(Imput[[#This Row],[RFC]],'Alta Proveedor'!D:D,'Alta Proveedor'!E:E)),"")</f>
        <v xml:space="preserve"> LUIS FELIPE CHAVERO ROBLEDO "SAMBORCITO DE MARGOT" (RESTAURANTE)</v>
      </c>
      <c r="F164" s="832" t="s">
        <v>1043</v>
      </c>
      <c r="G164" s="187">
        <v>1</v>
      </c>
      <c r="H164" s="1">
        <v>142.25</v>
      </c>
      <c r="I164" s="169">
        <f>Imput[[#This Row],[Cantidad]]*Imput[[#This Row],[Precio Unitario]]</f>
        <v>142.25</v>
      </c>
      <c r="J164" s="11">
        <f>((Imput[[#This Row],[Sub total]])*0.16)</f>
        <v>22.76</v>
      </c>
      <c r="K164" s="11">
        <v>0</v>
      </c>
      <c r="L164" s="169">
        <f>Imput[[#This Row],[Sub total]]+Imput[[#This Row],[IVA]]-Imput[[#This Row],[Retención / IEPS / Descuento]]</f>
        <v>165.01</v>
      </c>
      <c r="M164" s="844">
        <v>165.01</v>
      </c>
      <c r="N164" s="189" t="s">
        <v>123</v>
      </c>
      <c r="O164" s="1"/>
      <c r="P164" s="189" t="s">
        <v>1039</v>
      </c>
      <c r="Q164" s="190" t="s">
        <v>1040</v>
      </c>
      <c r="R164" s="188">
        <v>45855</v>
      </c>
      <c r="S164" s="193" t="s">
        <v>126</v>
      </c>
      <c r="T164" s="192"/>
      <c r="U164" s="829"/>
      <c r="V164" s="10" t="s">
        <v>3324</v>
      </c>
      <c r="W164" s="10" t="s">
        <v>3327</v>
      </c>
      <c r="X164" s="10"/>
      <c r="Y164" s="10"/>
      <c r="Z164" s="10"/>
      <c r="AA164" s="11"/>
      <c r="AB164" s="11"/>
      <c r="AD164" s="260"/>
    </row>
    <row r="165" spans="2:30" x14ac:dyDescent="0.3">
      <c r="B165" s="10" t="s">
        <v>290</v>
      </c>
      <c r="C165" s="315" t="s">
        <v>1806</v>
      </c>
      <c r="D165" s="868" t="s">
        <v>1041</v>
      </c>
      <c r="E165" s="837" t="str">
        <f>IFERROR(IF(_xlfn.XLOOKUP(Imput[[#This Row],[RFC]],'Alta Proveedor'!D:D,'Alta Proveedor'!E:E)=0,"",_xlfn.XLOOKUP(Imput[[#This Row],[RFC]],'Alta Proveedor'!D:D,'Alta Proveedor'!E:E)),"")</f>
        <v xml:space="preserve"> LUIS FELIPE CHAVERO ROBLEDO "SAMBORCITO DE MARGOT" (RESTAURANTE)</v>
      </c>
      <c r="F165" s="832" t="s">
        <v>1044</v>
      </c>
      <c r="G165" s="187">
        <v>1</v>
      </c>
      <c r="H165" s="1">
        <v>226.73</v>
      </c>
      <c r="I165" s="169">
        <f>Imput[[#This Row],[Cantidad]]*Imput[[#This Row],[Precio Unitario]]</f>
        <v>226.73</v>
      </c>
      <c r="J165" s="11">
        <f>((Imput[[#This Row],[Sub total]])*0.16)</f>
        <v>36.276800000000001</v>
      </c>
      <c r="K165" s="11">
        <v>0</v>
      </c>
      <c r="L165" s="169">
        <f>Imput[[#This Row],[Sub total]]+Imput[[#This Row],[IVA]]-Imput[[#This Row],[Retención / IEPS / Descuento]]</f>
        <v>263.0068</v>
      </c>
      <c r="M165" s="844">
        <v>263.0068</v>
      </c>
      <c r="N165" s="189" t="s">
        <v>123</v>
      </c>
      <c r="O165" s="1"/>
      <c r="P165" s="189" t="s">
        <v>1045</v>
      </c>
      <c r="Q165" s="190" t="s">
        <v>1046</v>
      </c>
      <c r="R165" s="188">
        <v>45855</v>
      </c>
      <c r="S165" s="193" t="s">
        <v>126</v>
      </c>
      <c r="T165" s="192"/>
      <c r="U165" s="829"/>
      <c r="V165" s="10" t="s">
        <v>3324</v>
      </c>
      <c r="W165" s="10" t="s">
        <v>3327</v>
      </c>
      <c r="X165" s="10"/>
      <c r="Y165" s="10"/>
      <c r="Z165" s="10"/>
      <c r="AA165" s="11"/>
      <c r="AB165" s="11"/>
      <c r="AD165" s="260"/>
    </row>
    <row r="166" spans="2:30" x14ac:dyDescent="0.3">
      <c r="B166" s="10" t="s">
        <v>290</v>
      </c>
      <c r="C166" s="315" t="s">
        <v>1747</v>
      </c>
      <c r="D166" s="868" t="s">
        <v>1051</v>
      </c>
      <c r="E166" s="837" t="str">
        <f>IFERROR(IF(_xlfn.XLOOKUP(Imput[[#This Row],[RFC]],'Alta Proveedor'!D:D,'Alta Proveedor'!E:E)=0,"",_xlfn.XLOOKUP(Imput[[#This Row],[RFC]],'Alta Proveedor'!D:D,'Alta Proveedor'!E:E)),"")</f>
        <v>HOTEL RESTAURANTE MANDARIN</v>
      </c>
      <c r="F166" s="832" t="s">
        <v>1053</v>
      </c>
      <c r="G166" s="187">
        <v>1</v>
      </c>
      <c r="H166" s="1">
        <v>655.46</v>
      </c>
      <c r="I166" s="169">
        <f>Imput[[#This Row],[Cantidad]]*Imput[[#This Row],[Precio Unitario]]</f>
        <v>655.46</v>
      </c>
      <c r="J166" s="11">
        <f>((Imput[[#This Row],[Sub total]])*(0.16+0.029995))</f>
        <v>124.53412270000001</v>
      </c>
      <c r="K166" s="11">
        <v>0</v>
      </c>
      <c r="L166" s="169">
        <f>Imput[[#This Row],[Sub total]]+Imput[[#This Row],[IVA]]-Imput[[#This Row],[Retención / IEPS / Descuento]]</f>
        <v>779.99412270000005</v>
      </c>
      <c r="M166" s="844">
        <v>1560.0001453499999</v>
      </c>
      <c r="N166" s="189" t="s">
        <v>123</v>
      </c>
      <c r="O166" s="1"/>
      <c r="P166" s="189" t="s">
        <v>1055</v>
      </c>
      <c r="Q166" s="190" t="s">
        <v>1056</v>
      </c>
      <c r="R166" s="188">
        <v>45855</v>
      </c>
      <c r="S166" s="193" t="s">
        <v>154</v>
      </c>
      <c r="T166" s="192"/>
      <c r="U166" s="829"/>
      <c r="V166" s="10" t="s">
        <v>3324</v>
      </c>
      <c r="W166" s="10" t="s">
        <v>3801</v>
      </c>
      <c r="X166" s="10"/>
      <c r="Y166" s="10"/>
      <c r="Z166" s="10"/>
      <c r="AA166" s="11"/>
      <c r="AB166" s="11"/>
      <c r="AD166" s="260"/>
    </row>
    <row r="167" spans="2:30" x14ac:dyDescent="0.3">
      <c r="B167" s="10" t="s">
        <v>290</v>
      </c>
      <c r="C167" s="315" t="s">
        <v>1747</v>
      </c>
      <c r="D167" s="868" t="s">
        <v>1051</v>
      </c>
      <c r="E167" s="837" t="str">
        <f>IFERROR(IF(_xlfn.XLOOKUP(Imput[[#This Row],[RFC]],'Alta Proveedor'!D:D,'Alta Proveedor'!E:E)=0,"",_xlfn.XLOOKUP(Imput[[#This Row],[RFC]],'Alta Proveedor'!D:D,'Alta Proveedor'!E:E)),"")</f>
        <v>HOTEL RESTAURANTE MANDARIN</v>
      </c>
      <c r="F167" s="832" t="s">
        <v>1054</v>
      </c>
      <c r="G167" s="187">
        <v>1</v>
      </c>
      <c r="H167" s="1">
        <v>655.47</v>
      </c>
      <c r="I167" s="169">
        <f>Imput[[#This Row],[Cantidad]]*Imput[[#This Row],[Precio Unitario]]</f>
        <v>655.47</v>
      </c>
      <c r="J167" s="11">
        <f>((Imput[[#This Row],[Sub total]])*(0.16+0.029995))</f>
        <v>124.53602265000001</v>
      </c>
      <c r="K167" s="11">
        <v>0</v>
      </c>
      <c r="L167" s="169">
        <f>Imput[[#This Row],[Sub total]]+Imput[[#This Row],[IVA]]-Imput[[#This Row],[Retención / IEPS / Descuento]]</f>
        <v>780.00602264999998</v>
      </c>
      <c r="M167" s="844">
        <v>0</v>
      </c>
      <c r="N167" s="189" t="s">
        <v>123</v>
      </c>
      <c r="O167" s="1"/>
      <c r="P167" s="189" t="s">
        <v>1055</v>
      </c>
      <c r="Q167" s="190" t="s">
        <v>1056</v>
      </c>
      <c r="R167" s="188">
        <v>45855</v>
      </c>
      <c r="S167" s="193" t="s">
        <v>154</v>
      </c>
      <c r="T167" s="192"/>
      <c r="U167" s="829"/>
      <c r="V167" s="10" t="s">
        <v>3324</v>
      </c>
      <c r="W167" s="10" t="s">
        <v>3801</v>
      </c>
      <c r="X167" s="10"/>
      <c r="Y167" s="10"/>
      <c r="Z167" s="10"/>
      <c r="AA167" s="11"/>
      <c r="AB167" s="11"/>
      <c r="AD167" s="260"/>
    </row>
    <row r="168" spans="2:30" x14ac:dyDescent="0.3">
      <c r="B168" s="10" t="s">
        <v>290</v>
      </c>
      <c r="C168" s="315" t="s">
        <v>2327</v>
      </c>
      <c r="D168" s="868" t="s">
        <v>264</v>
      </c>
      <c r="E168" s="837" t="str">
        <f>IFERROR(IF(_xlfn.XLOOKUP(Imput[[#This Row],[RFC]],'Alta Proveedor'!D:D,'Alta Proveedor'!E:E)=0,"",_xlfn.XLOOKUP(Imput[[#This Row],[RFC]],'Alta Proveedor'!D:D,'Alta Proveedor'!E:E)),"")</f>
        <v>M.N. DEL GOLFO "HOME CENTER TU ASESOR CONFIABLE"</v>
      </c>
      <c r="F168" s="832" t="s">
        <v>1196</v>
      </c>
      <c r="G168" s="187">
        <v>2</v>
      </c>
      <c r="H168" s="1">
        <v>395.33499999999998</v>
      </c>
      <c r="I168" s="169">
        <f>Imput[[#This Row],[Cantidad]]*Imput[[#This Row],[Precio Unitario]]</f>
        <v>790.67</v>
      </c>
      <c r="J168" s="11">
        <f>((Imput[[#This Row],[Sub total]])*0.16)</f>
        <v>126.5072</v>
      </c>
      <c r="K168" s="11">
        <v>0</v>
      </c>
      <c r="L168" s="169">
        <f>Imput[[#This Row],[Sub total]]+Imput[[#This Row],[IVA]]-Imput[[#This Row],[Retención / IEPS / Descuento]]</f>
        <v>917.17719999999997</v>
      </c>
      <c r="M168" s="844">
        <v>1364.5196000000001</v>
      </c>
      <c r="N168" s="189" t="s">
        <v>123</v>
      </c>
      <c r="O168" s="1"/>
      <c r="P168" s="189" t="s">
        <v>1092</v>
      </c>
      <c r="Q168" s="190" t="s">
        <v>1093</v>
      </c>
      <c r="R168" s="188">
        <v>45855</v>
      </c>
      <c r="S168" s="193" t="s">
        <v>126</v>
      </c>
      <c r="T168" s="192"/>
      <c r="U168" s="829"/>
      <c r="V168" s="10" t="s">
        <v>1012</v>
      </c>
      <c r="W168" s="10" t="s">
        <v>3795</v>
      </c>
      <c r="X168" s="10"/>
      <c r="Y168" s="10"/>
      <c r="Z168" s="10"/>
      <c r="AA168" s="11"/>
      <c r="AB168" s="11"/>
      <c r="AD168" s="260"/>
    </row>
    <row r="169" spans="2:30" x14ac:dyDescent="0.3">
      <c r="B169" s="10" t="s">
        <v>290</v>
      </c>
      <c r="C169" s="549" t="s">
        <v>2514</v>
      </c>
      <c r="D169" s="868" t="s">
        <v>264</v>
      </c>
      <c r="E169" s="837" t="str">
        <f>IFERROR(IF(_xlfn.XLOOKUP(Imput[[#This Row],[RFC]],'Alta Proveedor'!D:D,'Alta Proveedor'!E:E)=0,"",_xlfn.XLOOKUP(Imput[[#This Row],[RFC]],'Alta Proveedor'!D:D,'Alta Proveedor'!E:E)),"")</f>
        <v>M.N. DEL GOLFO "HOME CENTER TU ASESOR CONFIABLE"</v>
      </c>
      <c r="F169" s="832" t="s">
        <v>1203</v>
      </c>
      <c r="G169" s="187">
        <v>2</v>
      </c>
      <c r="H169" s="1">
        <v>192.82</v>
      </c>
      <c r="I169" s="169">
        <f>Imput[[#This Row],[Cantidad]]*Imput[[#This Row],[Precio Unitario]]</f>
        <v>385.64</v>
      </c>
      <c r="J169" s="11">
        <f>((Imput[[#This Row],[Sub total]])*0.16)</f>
        <v>61.702399999999997</v>
      </c>
      <c r="K169" s="11">
        <v>0</v>
      </c>
      <c r="L169" s="169">
        <f>Imput[[#This Row],[Sub total]]+Imput[[#This Row],[IVA]]-Imput[[#This Row],[Retención / IEPS / Descuento]]</f>
        <v>447.3424</v>
      </c>
      <c r="M169" s="844">
        <v>0</v>
      </c>
      <c r="N169" s="189" t="s">
        <v>123</v>
      </c>
      <c r="O169" s="1"/>
      <c r="P169" s="189" t="s">
        <v>1092</v>
      </c>
      <c r="Q169" s="190" t="s">
        <v>1093</v>
      </c>
      <c r="R169" s="188">
        <v>45855</v>
      </c>
      <c r="S169" s="193" t="s">
        <v>126</v>
      </c>
      <c r="T169" s="192"/>
      <c r="U169" s="829"/>
      <c r="V169" s="10" t="s">
        <v>1012</v>
      </c>
      <c r="W169" s="10" t="s">
        <v>513</v>
      </c>
      <c r="X169" s="10"/>
      <c r="Y169" s="10"/>
      <c r="Z169" s="10"/>
      <c r="AA169" s="11"/>
      <c r="AB169" s="11"/>
      <c r="AD169" s="260"/>
    </row>
    <row r="170" spans="2:30" x14ac:dyDescent="0.3">
      <c r="B170" s="10" t="s">
        <v>290</v>
      </c>
      <c r="C170" s="315" t="s">
        <v>2426</v>
      </c>
      <c r="D170" s="868" t="s">
        <v>264</v>
      </c>
      <c r="E170" s="837" t="str">
        <f>IFERROR(IF(_xlfn.XLOOKUP(Imput[[#This Row],[RFC]],'Alta Proveedor'!D:D,'Alta Proveedor'!E:E)=0,"",_xlfn.XLOOKUP(Imput[[#This Row],[RFC]],'Alta Proveedor'!D:D,'Alta Proveedor'!E:E)),"")</f>
        <v>M.N. DEL GOLFO "HOME CENTER TU ASESOR CONFIABLE"</v>
      </c>
      <c r="F170" s="832" t="s">
        <v>3388</v>
      </c>
      <c r="G170" s="187">
        <v>72</v>
      </c>
      <c r="H170" s="1">
        <v>108.62</v>
      </c>
      <c r="I170" s="169">
        <f>Imput[[#This Row],[Cantidad]]*Imput[[#This Row],[Precio Unitario]]</f>
        <v>7820.64</v>
      </c>
      <c r="J170" s="11">
        <f>((Imput[[#This Row],[Sub total]])*0.16)</f>
        <v>1251.3024</v>
      </c>
      <c r="K170" s="11">
        <v>0</v>
      </c>
      <c r="L170" s="169">
        <f>Imput[[#This Row],[Sub total]]+Imput[[#This Row],[IVA]]-Imput[[#This Row],[Retención / IEPS / Descuento]]</f>
        <v>9071.9423999999999</v>
      </c>
      <c r="M170" s="844">
        <v>9071.9423999999999</v>
      </c>
      <c r="N170" s="189" t="s">
        <v>123</v>
      </c>
      <c r="O170" s="1"/>
      <c r="P170" s="189" t="s">
        <v>1094</v>
      </c>
      <c r="Q170" s="190" t="s">
        <v>1095</v>
      </c>
      <c r="R170" s="188">
        <v>45855</v>
      </c>
      <c r="S170" s="193" t="s">
        <v>126</v>
      </c>
      <c r="T170" s="192"/>
      <c r="U170" s="829"/>
      <c r="V170" s="10" t="s">
        <v>1012</v>
      </c>
      <c r="W170" s="10" t="s">
        <v>3795</v>
      </c>
      <c r="X170" s="10"/>
      <c r="Y170" s="10"/>
      <c r="Z170" s="10"/>
      <c r="AA170" s="11"/>
      <c r="AB170" s="11"/>
      <c r="AD170" s="260"/>
    </row>
    <row r="171" spans="2:30" x14ac:dyDescent="0.3">
      <c r="B171" s="10" t="s">
        <v>290</v>
      </c>
      <c r="C171" s="315" t="s">
        <v>2426</v>
      </c>
      <c r="D171" s="868" t="s">
        <v>264</v>
      </c>
      <c r="E171" s="837" t="str">
        <f>IFERROR(IF(_xlfn.XLOOKUP(Imput[[#This Row],[RFC]],'Alta Proveedor'!D:D,'Alta Proveedor'!E:E)=0,"",_xlfn.XLOOKUP(Imput[[#This Row],[RFC]],'Alta Proveedor'!D:D,'Alta Proveedor'!E:E)),"")</f>
        <v>M.N. DEL GOLFO "HOME CENTER TU ASESOR CONFIABLE"</v>
      </c>
      <c r="F171" s="832" t="s">
        <v>3388</v>
      </c>
      <c r="G171" s="187">
        <v>198</v>
      </c>
      <c r="H171" s="1">
        <v>108.61994949494949</v>
      </c>
      <c r="I171" s="169">
        <f>Imput[[#This Row],[Cantidad]]*Imput[[#This Row],[Precio Unitario]]</f>
        <v>21506.75</v>
      </c>
      <c r="J171" s="11">
        <f>((Imput[[#This Row],[Sub total]])*0.1599999)</f>
        <v>3441.077849325</v>
      </c>
      <c r="K171" s="11">
        <v>0</v>
      </c>
      <c r="L171" s="169">
        <f>Imput[[#This Row],[Sub total]]+Imput[[#This Row],[IVA]]-Imput[[#This Row],[Retención / IEPS / Descuento]]</f>
        <v>24947.827849325</v>
      </c>
      <c r="M171" s="844">
        <v>32952.824759238996</v>
      </c>
      <c r="N171" s="189" t="s">
        <v>123</v>
      </c>
      <c r="O171" s="1"/>
      <c r="P171" s="189" t="s">
        <v>1096</v>
      </c>
      <c r="Q171" s="190" t="s">
        <v>1097</v>
      </c>
      <c r="R171" s="188">
        <v>45855</v>
      </c>
      <c r="S171" s="193" t="s">
        <v>126</v>
      </c>
      <c r="T171" s="192"/>
      <c r="U171" s="829"/>
      <c r="V171" s="10" t="s">
        <v>1012</v>
      </c>
      <c r="W171" s="10" t="s">
        <v>3795</v>
      </c>
      <c r="X171" s="10"/>
      <c r="Y171" s="10"/>
      <c r="Z171" s="10"/>
      <c r="AA171" s="11"/>
      <c r="AB171" s="11"/>
      <c r="AD171" s="260"/>
    </row>
    <row r="172" spans="2:30" x14ac:dyDescent="0.3">
      <c r="B172" s="10" t="s">
        <v>290</v>
      </c>
      <c r="C172" s="315" t="s">
        <v>2426</v>
      </c>
      <c r="D172" s="868" t="s">
        <v>264</v>
      </c>
      <c r="E172" s="837" t="str">
        <f>IFERROR(IF(_xlfn.XLOOKUP(Imput[[#This Row],[RFC]],'Alta Proveedor'!D:D,'Alta Proveedor'!E:E)=0,"",_xlfn.XLOOKUP(Imput[[#This Row],[RFC]],'Alta Proveedor'!D:D,'Alta Proveedor'!E:E)),"")</f>
        <v>M.N. DEL GOLFO "HOME CENTER TU ASESOR CONFIABLE"</v>
      </c>
      <c r="F172" s="832" t="s">
        <v>3389</v>
      </c>
      <c r="G172" s="187">
        <v>2</v>
      </c>
      <c r="H172" s="1">
        <v>1349.14</v>
      </c>
      <c r="I172" s="169">
        <f>Imput[[#This Row],[Cantidad]]*Imput[[#This Row],[Precio Unitario]]</f>
        <v>2698.28</v>
      </c>
      <c r="J172" s="11">
        <f>((Imput[[#This Row],[Sub total]])*0.1599999)</f>
        <v>431.72453017200002</v>
      </c>
      <c r="K172" s="11">
        <v>0</v>
      </c>
      <c r="L172" s="169">
        <f>Imput[[#This Row],[Sub total]]+Imput[[#This Row],[IVA]]-Imput[[#This Row],[Retención / IEPS / Descuento]]</f>
        <v>3130.0045301720002</v>
      </c>
      <c r="M172" s="844">
        <v>0</v>
      </c>
      <c r="N172" s="189" t="s">
        <v>123</v>
      </c>
      <c r="O172" s="1"/>
      <c r="P172" s="189" t="s">
        <v>1096</v>
      </c>
      <c r="Q172" s="190" t="s">
        <v>1097</v>
      </c>
      <c r="R172" s="188">
        <v>45855</v>
      </c>
      <c r="S172" s="193" t="s">
        <v>126</v>
      </c>
      <c r="T172" s="192"/>
      <c r="U172" s="829"/>
      <c r="V172" s="10" t="s">
        <v>1012</v>
      </c>
      <c r="W172" s="10" t="s">
        <v>3795</v>
      </c>
      <c r="X172" s="10"/>
      <c r="Y172" s="10"/>
      <c r="Z172" s="10"/>
      <c r="AA172" s="11"/>
      <c r="AB172" s="11"/>
      <c r="AD172" s="260"/>
    </row>
    <row r="173" spans="2:30" x14ac:dyDescent="0.3">
      <c r="B173" s="10" t="s">
        <v>290</v>
      </c>
      <c r="C173" s="315" t="s">
        <v>2426</v>
      </c>
      <c r="D173" s="868" t="s">
        <v>264</v>
      </c>
      <c r="E173" s="837" t="str">
        <f>IFERROR(IF(_xlfn.XLOOKUP(Imput[[#This Row],[RFC]],'Alta Proveedor'!D:D,'Alta Proveedor'!E:E)=0,"",_xlfn.XLOOKUP(Imput[[#This Row],[RFC]],'Alta Proveedor'!D:D,'Alta Proveedor'!E:E)),"")</f>
        <v>M.N. DEL GOLFO "HOME CENTER TU ASESOR CONFIABLE"</v>
      </c>
      <c r="F173" s="832" t="s">
        <v>3390</v>
      </c>
      <c r="G173" s="187">
        <v>3</v>
      </c>
      <c r="H173" s="1">
        <v>1400.86</v>
      </c>
      <c r="I173" s="169">
        <f>Imput[[#This Row],[Cantidad]]*Imput[[#This Row],[Precio Unitario]]</f>
        <v>4202.58</v>
      </c>
      <c r="J173" s="11">
        <f>((Imput[[#This Row],[Sub total]])*0.1599999)</f>
        <v>672.41237974199998</v>
      </c>
      <c r="K173" s="11">
        <v>0</v>
      </c>
      <c r="L173" s="169">
        <f>Imput[[#This Row],[Sub total]]+Imput[[#This Row],[IVA]]-Imput[[#This Row],[Retención / IEPS / Descuento]]</f>
        <v>4874.9923797419997</v>
      </c>
      <c r="M173" s="844">
        <v>0</v>
      </c>
      <c r="N173" s="189" t="s">
        <v>123</v>
      </c>
      <c r="O173" s="1"/>
      <c r="P173" s="189" t="s">
        <v>1096</v>
      </c>
      <c r="Q173" s="190" t="s">
        <v>1097</v>
      </c>
      <c r="R173" s="188">
        <v>45855</v>
      </c>
      <c r="S173" s="193" t="s">
        <v>126</v>
      </c>
      <c r="T173" s="192"/>
      <c r="U173" s="829"/>
      <c r="V173" s="10" t="s">
        <v>1012</v>
      </c>
      <c r="W173" s="10" t="s">
        <v>3795</v>
      </c>
      <c r="X173" s="10"/>
      <c r="Y173" s="10"/>
      <c r="Z173" s="10"/>
      <c r="AA173" s="11"/>
      <c r="AB173" s="11"/>
      <c r="AD173" s="260"/>
    </row>
    <row r="174" spans="2:30" x14ac:dyDescent="0.3">
      <c r="B174" s="10" t="s">
        <v>290</v>
      </c>
      <c r="C174" s="315" t="s">
        <v>2426</v>
      </c>
      <c r="D174" s="868" t="s">
        <v>264</v>
      </c>
      <c r="E174" s="837" t="str">
        <f>IFERROR(IF(_xlfn.XLOOKUP(Imput[[#This Row],[RFC]],'Alta Proveedor'!D:D,'Alta Proveedor'!E:E)=0,"",_xlfn.XLOOKUP(Imput[[#This Row],[RFC]],'Alta Proveedor'!D:D,'Alta Proveedor'!E:E)),"")</f>
        <v>M.N. DEL GOLFO "HOME CENTER TU ASESOR CONFIABLE"</v>
      </c>
      <c r="F174" s="832" t="s">
        <v>3390</v>
      </c>
      <c r="G174" s="187">
        <v>1</v>
      </c>
      <c r="H174" s="1">
        <v>1400.86</v>
      </c>
      <c r="I174" s="169">
        <f>Imput[[#This Row],[Cantidad]]*Imput[[#This Row],[Precio Unitario]]</f>
        <v>1400.86</v>
      </c>
      <c r="J174" s="11">
        <f>((Imput[[#This Row],[Sub total]])*0.16)</f>
        <v>224.13759999999999</v>
      </c>
      <c r="K174" s="11">
        <v>0</v>
      </c>
      <c r="L174" s="169">
        <f>Imput[[#This Row],[Sub total]]+Imput[[#This Row],[IVA]]-Imput[[#This Row],[Retención / IEPS / Descuento]]</f>
        <v>1624.9975999999999</v>
      </c>
      <c r="M174" s="844">
        <v>3190</v>
      </c>
      <c r="N174" s="189" t="s">
        <v>123</v>
      </c>
      <c r="O174" s="1"/>
      <c r="P174" s="189" t="s">
        <v>1090</v>
      </c>
      <c r="Q174" s="190" t="s">
        <v>1091</v>
      </c>
      <c r="R174" s="188">
        <v>45855</v>
      </c>
      <c r="S174" s="193" t="s">
        <v>126</v>
      </c>
      <c r="T174" s="192"/>
      <c r="U174" s="829"/>
      <c r="V174" s="10" t="s">
        <v>1012</v>
      </c>
      <c r="W174" s="10" t="s">
        <v>3795</v>
      </c>
      <c r="X174" s="10"/>
      <c r="Y174" s="10"/>
      <c r="Z174" s="10"/>
      <c r="AA174" s="11"/>
      <c r="AB174" s="11"/>
      <c r="AD174" s="260"/>
    </row>
    <row r="175" spans="2:30" x14ac:dyDescent="0.3">
      <c r="B175" s="10" t="s">
        <v>290</v>
      </c>
      <c r="C175" s="315" t="s">
        <v>2426</v>
      </c>
      <c r="D175" s="868" t="s">
        <v>264</v>
      </c>
      <c r="E175" s="837" t="str">
        <f>IFERROR(IF(_xlfn.XLOOKUP(Imput[[#This Row],[RFC]],'Alta Proveedor'!D:D,'Alta Proveedor'!E:E)=0,"",_xlfn.XLOOKUP(Imput[[#This Row],[RFC]],'Alta Proveedor'!D:D,'Alta Proveedor'!E:E)),"")</f>
        <v>M.N. DEL GOLFO "HOME CENTER TU ASESOR CONFIABLE"</v>
      </c>
      <c r="F175" s="832" t="s">
        <v>3389</v>
      </c>
      <c r="G175" s="187">
        <v>1</v>
      </c>
      <c r="H175" s="1">
        <v>1349.14</v>
      </c>
      <c r="I175" s="169">
        <f>Imput[[#This Row],[Cantidad]]*Imput[[#This Row],[Precio Unitario]]</f>
        <v>1349.14</v>
      </c>
      <c r="J175" s="11">
        <f>((Imput[[#This Row],[Sub total]])*0.16)</f>
        <v>215.86240000000001</v>
      </c>
      <c r="K175" s="11">
        <v>0</v>
      </c>
      <c r="L175" s="169">
        <f>Imput[[#This Row],[Sub total]]+Imput[[#This Row],[IVA]]-Imput[[#This Row],[Retención / IEPS / Descuento]]</f>
        <v>1565.0024000000001</v>
      </c>
      <c r="M175" s="844">
        <v>0</v>
      </c>
      <c r="N175" s="189" t="s">
        <v>123</v>
      </c>
      <c r="O175" s="1"/>
      <c r="P175" s="189" t="s">
        <v>1090</v>
      </c>
      <c r="Q175" s="190" t="s">
        <v>1091</v>
      </c>
      <c r="R175" s="188">
        <v>45855</v>
      </c>
      <c r="S175" s="193" t="s">
        <v>126</v>
      </c>
      <c r="T175" s="192"/>
      <c r="U175" s="829"/>
      <c r="V175" s="10" t="s">
        <v>1012</v>
      </c>
      <c r="W175" s="10" t="s">
        <v>3795</v>
      </c>
      <c r="X175" s="10"/>
      <c r="Y175" s="10"/>
      <c r="Z175" s="10"/>
      <c r="AA175" s="11"/>
      <c r="AB175" s="11"/>
      <c r="AD175" s="260"/>
    </row>
    <row r="176" spans="2:30" x14ac:dyDescent="0.3">
      <c r="B176" s="10" t="s">
        <v>290</v>
      </c>
      <c r="C176" s="315" t="s">
        <v>1767</v>
      </c>
      <c r="D176" s="868" t="s">
        <v>1112</v>
      </c>
      <c r="E176" s="837" t="str">
        <f>IFERROR(IF(_xlfn.XLOOKUP(Imput[[#This Row],[RFC]],'Alta Proveedor'!D:D,'Alta Proveedor'!E:E)=0,"",_xlfn.XLOOKUP(Imput[[#This Row],[RFC]],'Alta Proveedor'!D:D,'Alta Proveedor'!E:E)),"")</f>
        <v>SERVICIOS GASOLINEROS SANCHEZ JUAREZ "GASOFAC" (COMBUSTIBLES)</v>
      </c>
      <c r="F176" s="832" t="s">
        <v>1114</v>
      </c>
      <c r="G176" s="187">
        <v>70.259010000000004</v>
      </c>
      <c r="H176" s="1">
        <f>1533.93/Imput[[#This Row],[Cantidad]]</f>
        <v>21.832502336710977</v>
      </c>
      <c r="I176" s="169">
        <f>Imput[[#This Row],[Cantidad]]*Imput[[#This Row],[Precio Unitario]]</f>
        <v>1533.93</v>
      </c>
      <c r="J176" s="11">
        <v>240.11</v>
      </c>
      <c r="K176" s="11">
        <v>0</v>
      </c>
      <c r="L176" s="169">
        <f>Imput[[#This Row],[Sub total]]+Imput[[#This Row],[IVA]]-Imput[[#This Row],[Retención / IEPS / Descuento]]</f>
        <v>1774.04</v>
      </c>
      <c r="M176" s="844">
        <v>1774.04</v>
      </c>
      <c r="N176" s="189" t="s">
        <v>123</v>
      </c>
      <c r="O176" s="1"/>
      <c r="P176" s="189" t="s">
        <v>1110</v>
      </c>
      <c r="Q176" s="190" t="s">
        <v>1111</v>
      </c>
      <c r="R176" s="188">
        <v>45855</v>
      </c>
      <c r="S176" s="193" t="s">
        <v>126</v>
      </c>
      <c r="T176" s="192"/>
      <c r="U176" s="829"/>
      <c r="V176" s="10" t="s">
        <v>3786</v>
      </c>
      <c r="W176" s="10" t="s">
        <v>3802</v>
      </c>
      <c r="X176" s="10"/>
      <c r="Y176" s="10"/>
      <c r="Z176" s="10"/>
      <c r="AA176" s="11"/>
      <c r="AB176" s="11"/>
      <c r="AD176" s="260"/>
    </row>
    <row r="177" spans="2:30" x14ac:dyDescent="0.3">
      <c r="B177" s="10" t="s">
        <v>290</v>
      </c>
      <c r="C177" s="315" t="s">
        <v>2327</v>
      </c>
      <c r="D177" s="868" t="s">
        <v>164</v>
      </c>
      <c r="E177" s="837" t="str">
        <f>IFERROR(IF(_xlfn.XLOOKUP(Imput[[#This Row],[RFC]],'Alta Proveedor'!D:D,'Alta Proveedor'!E:E)=0,"",_xlfn.XLOOKUP(Imput[[#This Row],[RFC]],'Alta Proveedor'!D:D,'Alta Proveedor'!E:E)),"")</f>
        <v>HOME DEPOT MEXICO SUCURSAL THD-8730 TAMPICO</v>
      </c>
      <c r="F177" s="832" t="s">
        <v>2909</v>
      </c>
      <c r="G177" s="187">
        <v>4</v>
      </c>
      <c r="H177" s="1">
        <v>16.052</v>
      </c>
      <c r="I177" s="169">
        <f>Imput[[#This Row],[Cantidad]]*Imput[[#This Row],[Precio Unitario]]</f>
        <v>64.207999999999998</v>
      </c>
      <c r="J177" s="11">
        <f>((Imput[[#This Row],[Sub total]])*0.16)</f>
        <v>10.27328</v>
      </c>
      <c r="K177" s="11">
        <v>0</v>
      </c>
      <c r="L177" s="169">
        <f>Imput[[#This Row],[Sub total]]+Imput[[#This Row],[IVA]]-Imput[[#This Row],[Retención / IEPS / Descuento]]</f>
        <v>74.481279999999998</v>
      </c>
      <c r="M177" s="844">
        <v>980.00048000000004</v>
      </c>
      <c r="N177" s="189" t="s">
        <v>123</v>
      </c>
      <c r="O177" s="1"/>
      <c r="P177" s="189" t="s">
        <v>1077</v>
      </c>
      <c r="Q177" s="190" t="s">
        <v>1078</v>
      </c>
      <c r="R177" s="188">
        <v>45856</v>
      </c>
      <c r="S177" s="193" t="s">
        <v>126</v>
      </c>
      <c r="T177" s="192"/>
      <c r="U177" s="829"/>
      <c r="V177" s="10" t="s">
        <v>1012</v>
      </c>
      <c r="W177" s="10" t="s">
        <v>3795</v>
      </c>
      <c r="X177" s="10"/>
      <c r="Y177" s="10"/>
      <c r="Z177" s="10"/>
      <c r="AA177" s="11"/>
      <c r="AB177" s="11"/>
      <c r="AD177" s="260"/>
    </row>
    <row r="178" spans="2:30" x14ac:dyDescent="0.3">
      <c r="B178" s="10" t="s">
        <v>290</v>
      </c>
      <c r="C178" s="315" t="s">
        <v>2327</v>
      </c>
      <c r="D178" s="868" t="s">
        <v>164</v>
      </c>
      <c r="E178" s="837" t="str">
        <f>IFERROR(IF(_xlfn.XLOOKUP(Imput[[#This Row],[RFC]],'Alta Proveedor'!D:D,'Alta Proveedor'!E:E)=0,"",_xlfn.XLOOKUP(Imput[[#This Row],[RFC]],'Alta Proveedor'!D:D,'Alta Proveedor'!E:E)),"")</f>
        <v>HOME DEPOT MEXICO SUCURSAL THD-8730 TAMPICO</v>
      </c>
      <c r="F178" s="832" t="s">
        <v>1192</v>
      </c>
      <c r="G178" s="187">
        <v>1</v>
      </c>
      <c r="H178" s="1">
        <v>722.33</v>
      </c>
      <c r="I178" s="169">
        <f>Imput[[#This Row],[Cantidad]]*Imput[[#This Row],[Precio Unitario]]</f>
        <v>722.33</v>
      </c>
      <c r="J178" s="11">
        <f>((Imput[[#This Row],[Sub total]])*0.16)</f>
        <v>115.57280000000002</v>
      </c>
      <c r="K178" s="11">
        <v>0</v>
      </c>
      <c r="L178" s="169">
        <f>Imput[[#This Row],[Sub total]]+Imput[[#This Row],[IVA]]-Imput[[#This Row],[Retención / IEPS / Descuento]]</f>
        <v>837.90280000000007</v>
      </c>
      <c r="M178" s="844">
        <v>0</v>
      </c>
      <c r="N178" s="189" t="s">
        <v>123</v>
      </c>
      <c r="O178" s="1"/>
      <c r="P178" s="189" t="s">
        <v>1077</v>
      </c>
      <c r="Q178" s="190" t="s">
        <v>1078</v>
      </c>
      <c r="R178" s="188">
        <v>45856</v>
      </c>
      <c r="S178" s="193" t="s">
        <v>126</v>
      </c>
      <c r="T178" s="192"/>
      <c r="U178" s="829"/>
      <c r="V178" s="10" t="s">
        <v>1012</v>
      </c>
      <c r="W178" s="10" t="s">
        <v>3795</v>
      </c>
      <c r="X178" s="10"/>
      <c r="Y178" s="10"/>
      <c r="Z178" s="10"/>
      <c r="AA178" s="11"/>
      <c r="AB178" s="11"/>
      <c r="AD178" s="260"/>
    </row>
    <row r="179" spans="2:30" x14ac:dyDescent="0.3">
      <c r="B179" s="10" t="s">
        <v>290</v>
      </c>
      <c r="C179" s="315" t="s">
        <v>2515</v>
      </c>
      <c r="D179" s="868" t="s">
        <v>164</v>
      </c>
      <c r="E179" s="837" t="str">
        <f>IFERROR(IF(_xlfn.XLOOKUP(Imput[[#This Row],[RFC]],'Alta Proveedor'!D:D,'Alta Proveedor'!E:E)=0,"",_xlfn.XLOOKUP(Imput[[#This Row],[RFC]],'Alta Proveedor'!D:D,'Alta Proveedor'!E:E)),"")</f>
        <v>HOME DEPOT MEXICO SUCURSAL THD-8730 TAMPICO</v>
      </c>
      <c r="F179" s="832" t="s">
        <v>285</v>
      </c>
      <c r="G179" s="187">
        <v>1</v>
      </c>
      <c r="H179" s="1">
        <v>58.29</v>
      </c>
      <c r="I179" s="169">
        <f>Imput[[#This Row],[Cantidad]]*Imput[[#This Row],[Precio Unitario]]</f>
        <v>58.29</v>
      </c>
      <c r="J179" s="11">
        <f>((Imput[[#This Row],[Sub total]])*0.16)</f>
        <v>9.3263999999999996</v>
      </c>
      <c r="K179" s="11">
        <v>0</v>
      </c>
      <c r="L179" s="169">
        <f>Imput[[#This Row],[Sub total]]+Imput[[#This Row],[IVA]]-Imput[[#This Row],[Retención / IEPS / Descuento]]</f>
        <v>67.616399999999999</v>
      </c>
      <c r="M179" s="844">
        <v>0</v>
      </c>
      <c r="N179" s="189" t="s">
        <v>123</v>
      </c>
      <c r="O179" s="1"/>
      <c r="P179" s="189" t="s">
        <v>1077</v>
      </c>
      <c r="Q179" s="190" t="s">
        <v>1078</v>
      </c>
      <c r="R179" s="188">
        <v>45856</v>
      </c>
      <c r="S179" s="193" t="s">
        <v>126</v>
      </c>
      <c r="T179" s="192"/>
      <c r="U179" s="829"/>
      <c r="V179" s="10" t="s">
        <v>1012</v>
      </c>
      <c r="W179" s="10" t="s">
        <v>3795</v>
      </c>
      <c r="X179" s="10"/>
      <c r="Y179" s="10"/>
      <c r="Z179" s="10"/>
      <c r="AA179" s="11"/>
      <c r="AB179" s="11"/>
      <c r="AD179" s="260"/>
    </row>
    <row r="180" spans="2:30" x14ac:dyDescent="0.3">
      <c r="B180" s="10" t="s">
        <v>290</v>
      </c>
      <c r="C180" s="315" t="s">
        <v>2431</v>
      </c>
      <c r="D180" s="868" t="s">
        <v>164</v>
      </c>
      <c r="E180" s="837" t="str">
        <f>IFERROR(IF(_xlfn.XLOOKUP(Imput[[#This Row],[RFC]],'Alta Proveedor'!D:D,'Alta Proveedor'!E:E)=0,"",_xlfn.XLOOKUP(Imput[[#This Row],[RFC]],'Alta Proveedor'!D:D,'Alta Proveedor'!E:E)),"")</f>
        <v>HOME DEPOT MEXICO SUCURSAL THD-8730 TAMPICO</v>
      </c>
      <c r="F180" s="832" t="s">
        <v>1193</v>
      </c>
      <c r="G180" s="187">
        <v>2</v>
      </c>
      <c r="H180" s="1">
        <f>1463.79/2</f>
        <v>731.89499999999998</v>
      </c>
      <c r="I180" s="169">
        <f>Imput[[#This Row],[Cantidad]]*Imput[[#This Row],[Precio Unitario]]</f>
        <v>1463.79</v>
      </c>
      <c r="J180" s="11">
        <f>((1318.97)*0.16)</f>
        <v>211.0352</v>
      </c>
      <c r="K180" s="11">
        <v>144.82</v>
      </c>
      <c r="L180" s="169">
        <f>Imput[[#This Row],[Sub total]]+Imput[[#This Row],[IVA]]-Imput[[#This Row],[Retención / IEPS / Descuento]]</f>
        <v>1530.0052000000001</v>
      </c>
      <c r="M180" s="844">
        <v>1971.7756000000002</v>
      </c>
      <c r="N180" s="189" t="s">
        <v>123</v>
      </c>
      <c r="O180" s="1"/>
      <c r="P180" s="189" t="s">
        <v>1079</v>
      </c>
      <c r="Q180" s="190" t="s">
        <v>1080</v>
      </c>
      <c r="R180" s="188">
        <v>45856</v>
      </c>
      <c r="S180" s="193" t="s">
        <v>126</v>
      </c>
      <c r="T180" s="192"/>
      <c r="U180" s="829"/>
      <c r="V180" s="10" t="s">
        <v>1012</v>
      </c>
      <c r="W180" s="10" t="s">
        <v>513</v>
      </c>
      <c r="X180" s="10"/>
      <c r="Y180" s="10"/>
      <c r="Z180" s="10"/>
      <c r="AA180" s="11"/>
      <c r="AB180" s="11"/>
      <c r="AD180" s="260"/>
    </row>
    <row r="181" spans="2:30" x14ac:dyDescent="0.3">
      <c r="B181" s="10" t="s">
        <v>290</v>
      </c>
      <c r="C181" s="315" t="s">
        <v>2431</v>
      </c>
      <c r="D181" s="868" t="s">
        <v>164</v>
      </c>
      <c r="E181" s="837" t="str">
        <f>IFERROR(IF(_xlfn.XLOOKUP(Imput[[#This Row],[RFC]],'Alta Proveedor'!D:D,'Alta Proveedor'!E:E)=0,"",_xlfn.XLOOKUP(Imput[[#This Row],[RFC]],'Alta Proveedor'!D:D,'Alta Proveedor'!E:E)),"")</f>
        <v>HOME DEPOT MEXICO SUCURSAL THD-8730 TAMPICO</v>
      </c>
      <c r="F181" s="832" t="s">
        <v>1194</v>
      </c>
      <c r="G181" s="187">
        <v>1</v>
      </c>
      <c r="H181" s="1">
        <v>277.95</v>
      </c>
      <c r="I181" s="169">
        <f>Imput[[#This Row],[Cantidad]]*Imput[[#This Row],[Precio Unitario]]</f>
        <v>277.95</v>
      </c>
      <c r="J181" s="11">
        <f>((Imput[[#This Row],[Sub total]])*0.16)</f>
        <v>44.472000000000001</v>
      </c>
      <c r="K181" s="11">
        <v>0</v>
      </c>
      <c r="L181" s="169">
        <f>Imput[[#This Row],[Sub total]]+Imput[[#This Row],[IVA]]-Imput[[#This Row],[Retención / IEPS / Descuento]]</f>
        <v>322.42199999999997</v>
      </c>
      <c r="M181" s="844">
        <v>0</v>
      </c>
      <c r="N181" s="189" t="s">
        <v>123</v>
      </c>
      <c r="O181" s="1"/>
      <c r="P181" s="189" t="s">
        <v>1079</v>
      </c>
      <c r="Q181" s="190" t="s">
        <v>1080</v>
      </c>
      <c r="R181" s="188">
        <v>45856</v>
      </c>
      <c r="S181" s="193" t="s">
        <v>126</v>
      </c>
      <c r="T181" s="192"/>
      <c r="U181" s="829"/>
      <c r="V181" s="10" t="s">
        <v>1012</v>
      </c>
      <c r="W181" s="10" t="s">
        <v>3795</v>
      </c>
      <c r="X181" s="10"/>
      <c r="Y181" s="10"/>
      <c r="Z181" s="10"/>
      <c r="AA181" s="11"/>
      <c r="AB181" s="11"/>
      <c r="AD181" s="260"/>
    </row>
    <row r="182" spans="2:30" x14ac:dyDescent="0.3">
      <c r="B182" s="10" t="s">
        <v>290</v>
      </c>
      <c r="C182" s="315" t="s">
        <v>2434</v>
      </c>
      <c r="D182" s="868" t="s">
        <v>164</v>
      </c>
      <c r="E182" s="837" t="str">
        <f>IFERROR(IF(_xlfn.XLOOKUP(Imput[[#This Row],[RFC]],'Alta Proveedor'!D:D,'Alta Proveedor'!E:E)=0,"",_xlfn.XLOOKUP(Imput[[#This Row],[RFC]],'Alta Proveedor'!D:D,'Alta Proveedor'!E:E)),"")</f>
        <v>HOME DEPOT MEXICO SUCURSAL THD-8730 TAMPICO</v>
      </c>
      <c r="F182" s="832" t="s">
        <v>1632</v>
      </c>
      <c r="G182" s="187">
        <v>1</v>
      </c>
      <c r="H182" s="1">
        <v>59.78</v>
      </c>
      <c r="I182" s="169">
        <f>Imput[[#This Row],[Cantidad]]*Imput[[#This Row],[Precio Unitario]]</f>
        <v>59.78</v>
      </c>
      <c r="J182" s="11">
        <f>((Imput[[#This Row],[Sub total]])*0.16)</f>
        <v>9.5648</v>
      </c>
      <c r="K182" s="11">
        <v>0</v>
      </c>
      <c r="L182" s="169">
        <f>Imput[[#This Row],[Sub total]]+Imput[[#This Row],[IVA]]-Imput[[#This Row],[Retención / IEPS / Descuento]]</f>
        <v>69.344800000000006</v>
      </c>
      <c r="M182" s="844">
        <v>0</v>
      </c>
      <c r="N182" s="189" t="s">
        <v>123</v>
      </c>
      <c r="O182" s="1"/>
      <c r="P182" s="189" t="s">
        <v>1079</v>
      </c>
      <c r="Q182" s="190" t="s">
        <v>1080</v>
      </c>
      <c r="R182" s="188">
        <v>45856</v>
      </c>
      <c r="S182" s="193" t="s">
        <v>126</v>
      </c>
      <c r="T182" s="192"/>
      <c r="U182" s="829"/>
      <c r="V182" s="10" t="s">
        <v>1012</v>
      </c>
      <c r="W182" s="10" t="s">
        <v>3795</v>
      </c>
      <c r="X182" s="10"/>
      <c r="Y182" s="10"/>
      <c r="Z182" s="10"/>
      <c r="AA182" s="11"/>
      <c r="AB182" s="11"/>
      <c r="AD182" s="260"/>
    </row>
    <row r="183" spans="2:30" x14ac:dyDescent="0.3">
      <c r="B183" s="10" t="s">
        <v>290</v>
      </c>
      <c r="C183" s="315" t="s">
        <v>2434</v>
      </c>
      <c r="D183" s="868" t="s">
        <v>164</v>
      </c>
      <c r="E183" s="837" t="str">
        <f>IFERROR(IF(_xlfn.XLOOKUP(Imput[[#This Row],[RFC]],'Alta Proveedor'!D:D,'Alta Proveedor'!E:E)=0,"",_xlfn.XLOOKUP(Imput[[#This Row],[RFC]],'Alta Proveedor'!D:D,'Alta Proveedor'!E:E)),"")</f>
        <v>HOME DEPOT MEXICO SUCURSAL THD-8730 TAMPICO</v>
      </c>
      <c r="F183" s="832" t="s">
        <v>1633</v>
      </c>
      <c r="G183" s="187">
        <v>1</v>
      </c>
      <c r="H183" s="1">
        <v>26.21</v>
      </c>
      <c r="I183" s="169">
        <f>Imput[[#This Row],[Cantidad]]*Imput[[#This Row],[Precio Unitario]]</f>
        <v>26.21</v>
      </c>
      <c r="J183" s="11">
        <f>((Imput[[#This Row],[Sub total]])*0.16)</f>
        <v>4.1936</v>
      </c>
      <c r="K183" s="11">
        <v>0</v>
      </c>
      <c r="L183" s="169">
        <f>Imput[[#This Row],[Sub total]]+Imput[[#This Row],[IVA]]-Imput[[#This Row],[Retención / IEPS / Descuento]]</f>
        <v>30.403600000000001</v>
      </c>
      <c r="M183" s="844">
        <v>0</v>
      </c>
      <c r="N183" s="189" t="s">
        <v>123</v>
      </c>
      <c r="O183" s="1"/>
      <c r="P183" s="189" t="s">
        <v>1079</v>
      </c>
      <c r="Q183" s="190" t="s">
        <v>1080</v>
      </c>
      <c r="R183" s="188">
        <v>45856</v>
      </c>
      <c r="S183" s="193" t="s">
        <v>126</v>
      </c>
      <c r="T183" s="192"/>
      <c r="U183" s="829"/>
      <c r="V183" s="10" t="s">
        <v>1012</v>
      </c>
      <c r="W183" s="10" t="s">
        <v>3795</v>
      </c>
      <c r="X183" s="10"/>
      <c r="Y183" s="10"/>
      <c r="Z183" s="10"/>
      <c r="AA183" s="11"/>
      <c r="AB183" s="11"/>
      <c r="AD183" s="260"/>
    </row>
    <row r="184" spans="2:30" x14ac:dyDescent="0.3">
      <c r="B184" s="10" t="s">
        <v>290</v>
      </c>
      <c r="C184" s="315" t="s">
        <v>1769</v>
      </c>
      <c r="D184" s="868" t="s">
        <v>164</v>
      </c>
      <c r="E184" s="837" t="str">
        <f>IFERROR(IF(_xlfn.XLOOKUP(Imput[[#This Row],[RFC]],'Alta Proveedor'!D:D,'Alta Proveedor'!E:E)=0,"",_xlfn.XLOOKUP(Imput[[#This Row],[RFC]],'Alta Proveedor'!D:D,'Alta Proveedor'!E:E)),"")</f>
        <v>HOME DEPOT MEXICO SUCURSAL THD-8730 TAMPICO</v>
      </c>
      <c r="F184" s="832" t="s">
        <v>1212</v>
      </c>
      <c r="G184" s="187">
        <v>1</v>
      </c>
      <c r="H184" s="1">
        <v>19.600000000000001</v>
      </c>
      <c r="I184" s="169">
        <f>Imput[[#This Row],[Cantidad]]*Imput[[#This Row],[Precio Unitario]]</f>
        <v>19.600000000000001</v>
      </c>
      <c r="J184" s="11">
        <v>0</v>
      </c>
      <c r="K184" s="11">
        <v>0</v>
      </c>
      <c r="L184" s="169">
        <f>Imput[[#This Row],[Sub total]]+Imput[[#This Row],[IVA]]-Imput[[#This Row],[Retención / IEPS / Descuento]]</f>
        <v>19.600000000000001</v>
      </c>
      <c r="M184" s="844">
        <v>0</v>
      </c>
      <c r="N184" s="189" t="s">
        <v>123</v>
      </c>
      <c r="O184" s="1"/>
      <c r="P184" s="189" t="s">
        <v>1079</v>
      </c>
      <c r="Q184" s="190" t="s">
        <v>1080</v>
      </c>
      <c r="R184" s="188">
        <v>45856</v>
      </c>
      <c r="S184" s="193" t="s">
        <v>126</v>
      </c>
      <c r="T184" s="192"/>
      <c r="U184" s="829"/>
      <c r="V184" s="10" t="s">
        <v>3324</v>
      </c>
      <c r="W184" s="10" t="s">
        <v>3327</v>
      </c>
      <c r="X184" s="10"/>
      <c r="Y184" s="10"/>
      <c r="Z184" s="10"/>
      <c r="AA184" s="11"/>
      <c r="AB184" s="11"/>
      <c r="AD184" s="260"/>
    </row>
    <row r="185" spans="2:30" x14ac:dyDescent="0.3">
      <c r="B185" s="10" t="s">
        <v>290</v>
      </c>
      <c r="C185" s="315" t="s">
        <v>1131</v>
      </c>
      <c r="D185" s="868" t="s">
        <v>164</v>
      </c>
      <c r="E185" s="837" t="str">
        <f>IFERROR(IF(_xlfn.XLOOKUP(Imput[[#This Row],[RFC]],'Alta Proveedor'!D:D,'Alta Proveedor'!E:E)=0,"",_xlfn.XLOOKUP(Imput[[#This Row],[RFC]],'Alta Proveedor'!D:D,'Alta Proveedor'!E:E)),"")</f>
        <v>HOME DEPOT MEXICO SUCURSAL THD-8730 TAMPICO</v>
      </c>
      <c r="F185" s="832" t="s">
        <v>2955</v>
      </c>
      <c r="G185" s="187">
        <v>1</v>
      </c>
      <c r="H185" s="1">
        <f>24921.5689655172</f>
        <v>24921.568965517199</v>
      </c>
      <c r="I185" s="169">
        <f>Imput[[#This Row],[Cantidad]]*Imput[[#This Row],[Precio Unitario]]</f>
        <v>24921.568965517199</v>
      </c>
      <c r="J185" s="11">
        <f>((Imput[[#This Row],[Sub total]])*(0.16))</f>
        <v>3987.4510344827518</v>
      </c>
      <c r="K185" s="11">
        <v>0</v>
      </c>
      <c r="L185" s="169">
        <f>Imput[[#This Row],[Sub total]]+Imput[[#This Row],[IVA]]-Imput[[#This Row],[Retención / IEPS / Descuento]]</f>
        <v>28909.01999999995</v>
      </c>
      <c r="M185" s="844">
        <v>28909.01999999995</v>
      </c>
      <c r="N185" s="189" t="s">
        <v>123</v>
      </c>
      <c r="O185" s="1"/>
      <c r="P185" s="189" t="s">
        <v>2967</v>
      </c>
      <c r="Q185" s="190" t="s">
        <v>2968</v>
      </c>
      <c r="R185" s="188">
        <v>45856</v>
      </c>
      <c r="S185" s="193" t="s">
        <v>126</v>
      </c>
      <c r="T185" s="192"/>
      <c r="U185" s="829"/>
      <c r="V185" s="10" t="s">
        <v>3791</v>
      </c>
      <c r="W185" s="10" t="s">
        <v>3803</v>
      </c>
      <c r="X185" s="10"/>
      <c r="Y185" s="10"/>
      <c r="Z185" s="10"/>
      <c r="AA185" s="11"/>
      <c r="AB185" s="11"/>
      <c r="AD185" s="260"/>
    </row>
    <row r="186" spans="2:30" x14ac:dyDescent="0.3">
      <c r="B186" s="10" t="s">
        <v>290</v>
      </c>
      <c r="C186" s="315" t="s">
        <v>2339</v>
      </c>
      <c r="D186" s="868" t="s">
        <v>233</v>
      </c>
      <c r="E186" s="837" t="str">
        <f>IFERROR(IF(_xlfn.XLOOKUP(Imput[[#This Row],[RFC]],'Alta Proveedor'!D:D,'Alta Proveedor'!E:E)=0,"",_xlfn.XLOOKUP(Imput[[#This Row],[RFC]],'Alta Proveedor'!D:D,'Alta Proveedor'!E:E)),"")</f>
        <v>MARIO MARIN PERALES "FABRICACIONES  METALICAS  ESPECIALES"</v>
      </c>
      <c r="F186" s="832" t="s">
        <v>1634</v>
      </c>
      <c r="G186" s="187">
        <f>(1/3)</f>
        <v>0.33333333333333331</v>
      </c>
      <c r="H186" s="1">
        <v>11450</v>
      </c>
      <c r="I186" s="169">
        <f>Imput[[#This Row],[Cantidad]]*Imput[[#This Row],[Precio Unitario]]</f>
        <v>3816.6666666666665</v>
      </c>
      <c r="J186" s="11">
        <f>((Imput[[#This Row],[Sub total]])*0.16)</f>
        <v>610.66666666666663</v>
      </c>
      <c r="K186" s="11">
        <v>0</v>
      </c>
      <c r="L186" s="169">
        <f>Imput[[#This Row],[Sub total]]+Imput[[#This Row],[IVA]]-Imput[[#This Row],[Retención / IEPS / Descuento]]</f>
        <v>4427.333333333333</v>
      </c>
      <c r="M186" s="844">
        <v>13282</v>
      </c>
      <c r="N186" s="189" t="s">
        <v>123</v>
      </c>
      <c r="O186" s="1"/>
      <c r="P186" s="189" t="s">
        <v>1084</v>
      </c>
      <c r="Q186" s="190" t="s">
        <v>1085</v>
      </c>
      <c r="R186" s="188">
        <v>45856</v>
      </c>
      <c r="S186" s="193" t="s">
        <v>215</v>
      </c>
      <c r="T186" s="192"/>
      <c r="U186" s="829"/>
      <c r="V186" s="10" t="s">
        <v>3789</v>
      </c>
      <c r="W186" s="10" t="s">
        <v>478</v>
      </c>
      <c r="X186" s="10"/>
      <c r="Y186" s="10"/>
      <c r="Z186" s="10"/>
      <c r="AA186" s="11"/>
      <c r="AB186" s="11"/>
      <c r="AD186" s="260"/>
    </row>
    <row r="187" spans="2:30" x14ac:dyDescent="0.3">
      <c r="B187" s="10" t="s">
        <v>290</v>
      </c>
      <c r="C187" s="315" t="s">
        <v>2340</v>
      </c>
      <c r="D187" s="868" t="s">
        <v>233</v>
      </c>
      <c r="E187" s="837" t="str">
        <f>IFERROR(IF(_xlfn.XLOOKUP(Imput[[#This Row],[RFC]],'Alta Proveedor'!D:D,'Alta Proveedor'!E:E)=0,"",_xlfn.XLOOKUP(Imput[[#This Row],[RFC]],'Alta Proveedor'!D:D,'Alta Proveedor'!E:E)),"")</f>
        <v>MARIO MARIN PERALES "FABRICACIONES  METALICAS  ESPECIALES"</v>
      </c>
      <c r="F187" s="832" t="s">
        <v>1634</v>
      </c>
      <c r="G187" s="187">
        <f>(1/3)</f>
        <v>0.33333333333333331</v>
      </c>
      <c r="H187" s="1">
        <v>11450</v>
      </c>
      <c r="I187" s="169">
        <f>Imput[[#This Row],[Cantidad]]*Imput[[#This Row],[Precio Unitario]]</f>
        <v>3816.6666666666665</v>
      </c>
      <c r="J187" s="11">
        <f>((Imput[[#This Row],[Sub total]])*0.16)</f>
        <v>610.66666666666663</v>
      </c>
      <c r="K187" s="11">
        <v>0</v>
      </c>
      <c r="L187" s="169">
        <f>Imput[[#This Row],[Sub total]]+Imput[[#This Row],[IVA]]-Imput[[#This Row],[Retención / IEPS / Descuento]]</f>
        <v>4427.333333333333</v>
      </c>
      <c r="M187" s="844">
        <v>0</v>
      </c>
      <c r="N187" s="189" t="s">
        <v>123</v>
      </c>
      <c r="O187" s="1"/>
      <c r="P187" s="189" t="s">
        <v>1084</v>
      </c>
      <c r="Q187" s="190" t="s">
        <v>1085</v>
      </c>
      <c r="R187" s="188">
        <v>45856</v>
      </c>
      <c r="S187" s="193" t="s">
        <v>215</v>
      </c>
      <c r="T187" s="192"/>
      <c r="U187" s="829"/>
      <c r="V187" s="10" t="s">
        <v>3789</v>
      </c>
      <c r="W187" s="10" t="s">
        <v>478</v>
      </c>
      <c r="X187" s="10"/>
      <c r="Y187" s="10"/>
      <c r="Z187" s="10"/>
      <c r="AA187" s="11"/>
      <c r="AB187" s="11"/>
      <c r="AD187" s="260"/>
    </row>
    <row r="188" spans="2:30" x14ac:dyDescent="0.3">
      <c r="B188" s="10" t="s">
        <v>290</v>
      </c>
      <c r="C188" s="315" t="s">
        <v>2341</v>
      </c>
      <c r="D188" s="868" t="s">
        <v>233</v>
      </c>
      <c r="E188" s="837" t="str">
        <f>IFERROR(IF(_xlfn.XLOOKUP(Imput[[#This Row],[RFC]],'Alta Proveedor'!D:D,'Alta Proveedor'!E:E)=0,"",_xlfn.XLOOKUP(Imput[[#This Row],[RFC]],'Alta Proveedor'!D:D,'Alta Proveedor'!E:E)),"")</f>
        <v>MARIO MARIN PERALES "FABRICACIONES  METALICAS  ESPECIALES"</v>
      </c>
      <c r="F188" s="832" t="s">
        <v>1634</v>
      </c>
      <c r="G188" s="187">
        <f>(1/3)</f>
        <v>0.33333333333333331</v>
      </c>
      <c r="H188" s="1">
        <v>11450</v>
      </c>
      <c r="I188" s="169">
        <f>Imput[[#This Row],[Cantidad]]*Imput[[#This Row],[Precio Unitario]]</f>
        <v>3816.6666666666665</v>
      </c>
      <c r="J188" s="11">
        <f>((Imput[[#This Row],[Sub total]])*0.16)</f>
        <v>610.66666666666663</v>
      </c>
      <c r="K188" s="11">
        <v>0</v>
      </c>
      <c r="L188" s="169">
        <f>Imput[[#This Row],[Sub total]]+Imput[[#This Row],[IVA]]-Imput[[#This Row],[Retención / IEPS / Descuento]]</f>
        <v>4427.333333333333</v>
      </c>
      <c r="M188" s="844">
        <v>0</v>
      </c>
      <c r="N188" s="189" t="s">
        <v>123</v>
      </c>
      <c r="O188" s="1"/>
      <c r="P188" s="189" t="s">
        <v>1084</v>
      </c>
      <c r="Q188" s="190" t="s">
        <v>1085</v>
      </c>
      <c r="R188" s="188">
        <v>45856</v>
      </c>
      <c r="S188" s="193" t="s">
        <v>215</v>
      </c>
      <c r="T188" s="192"/>
      <c r="U188" s="829"/>
      <c r="V188" s="10" t="s">
        <v>3789</v>
      </c>
      <c r="W188" s="10" t="s">
        <v>478</v>
      </c>
      <c r="X188" s="10"/>
      <c r="Y188" s="10"/>
      <c r="Z188" s="10"/>
      <c r="AA188" s="11"/>
      <c r="AB188" s="11"/>
      <c r="AD188" s="260"/>
    </row>
    <row r="189" spans="2:30" x14ac:dyDescent="0.3">
      <c r="B189" s="10" t="s">
        <v>290</v>
      </c>
      <c r="C189" s="549" t="s">
        <v>2514</v>
      </c>
      <c r="D189" s="868" t="s">
        <v>264</v>
      </c>
      <c r="E189" s="837" t="str">
        <f>IFERROR(IF(_xlfn.XLOOKUP(Imput[[#This Row],[RFC]],'Alta Proveedor'!D:D,'Alta Proveedor'!E:E)=0,"",_xlfn.XLOOKUP(Imput[[#This Row],[RFC]],'Alta Proveedor'!D:D,'Alta Proveedor'!E:E)),"")</f>
        <v>M.N. DEL GOLFO "HOME CENTER TU ASESOR CONFIABLE"</v>
      </c>
      <c r="F189" s="832" t="s">
        <v>1204</v>
      </c>
      <c r="G189" s="187">
        <v>1</v>
      </c>
      <c r="H189" s="1">
        <v>68.06</v>
      </c>
      <c r="I189" s="169">
        <f>Imput[[#This Row],[Cantidad]]*Imput[[#This Row],[Precio Unitario]]</f>
        <v>68.06</v>
      </c>
      <c r="J189" s="11">
        <f>((Imput[[#This Row],[Sub total]])*0.16)</f>
        <v>10.8896</v>
      </c>
      <c r="K189" s="11">
        <v>0</v>
      </c>
      <c r="L189" s="169">
        <f>Imput[[#This Row],[Sub total]]+Imput[[#This Row],[IVA]]-Imput[[#This Row],[Retención / IEPS / Descuento]]</f>
        <v>78.949600000000004</v>
      </c>
      <c r="M189" s="844">
        <v>1053.048</v>
      </c>
      <c r="N189" s="189" t="s">
        <v>123</v>
      </c>
      <c r="O189" s="1"/>
      <c r="P189" s="189" t="s">
        <v>1098</v>
      </c>
      <c r="Q189" s="190" t="s">
        <v>1099</v>
      </c>
      <c r="R189" s="188">
        <v>45856</v>
      </c>
      <c r="S189" s="193" t="s">
        <v>126</v>
      </c>
      <c r="T189" s="192"/>
      <c r="U189" s="829"/>
      <c r="V189" s="10" t="s">
        <v>1012</v>
      </c>
      <c r="W189" s="10" t="s">
        <v>513</v>
      </c>
      <c r="X189" s="10"/>
      <c r="Y189" s="10"/>
      <c r="Z189" s="10"/>
      <c r="AA189" s="11"/>
      <c r="AB189" s="11"/>
      <c r="AD189" s="260"/>
    </row>
    <row r="190" spans="2:30" x14ac:dyDescent="0.3">
      <c r="B190" s="10" t="s">
        <v>290</v>
      </c>
      <c r="C190" s="315" t="s">
        <v>2327</v>
      </c>
      <c r="D190" s="868" t="s">
        <v>264</v>
      </c>
      <c r="E190" s="837" t="str">
        <f>IFERROR(IF(_xlfn.XLOOKUP(Imput[[#This Row],[RFC]],'Alta Proveedor'!D:D,'Alta Proveedor'!E:E)=0,"",_xlfn.XLOOKUP(Imput[[#This Row],[RFC]],'Alta Proveedor'!D:D,'Alta Proveedor'!E:E)),"")</f>
        <v>M.N. DEL GOLFO "HOME CENTER TU ASESOR CONFIABLE"</v>
      </c>
      <c r="F190" s="832" t="s">
        <v>1183</v>
      </c>
      <c r="G190" s="187">
        <v>1</v>
      </c>
      <c r="H190" s="1">
        <v>495.97</v>
      </c>
      <c r="I190" s="169">
        <f>Imput[[#This Row],[Cantidad]]*Imput[[#This Row],[Precio Unitario]]</f>
        <v>495.97</v>
      </c>
      <c r="J190" s="11">
        <f>((Imput[[#This Row],[Sub total]])*0.16)</f>
        <v>79.355200000000011</v>
      </c>
      <c r="K190" s="11">
        <v>0</v>
      </c>
      <c r="L190" s="169">
        <f>Imput[[#This Row],[Sub total]]+Imput[[#This Row],[IVA]]-Imput[[#This Row],[Retención / IEPS / Descuento]]</f>
        <v>575.3252</v>
      </c>
      <c r="M190" s="844">
        <v>0</v>
      </c>
      <c r="N190" s="189" t="s">
        <v>123</v>
      </c>
      <c r="O190" s="1"/>
      <c r="P190" s="189" t="s">
        <v>1098</v>
      </c>
      <c r="Q190" s="190" t="s">
        <v>1099</v>
      </c>
      <c r="R190" s="188">
        <v>45856</v>
      </c>
      <c r="S190" s="193" t="s">
        <v>126</v>
      </c>
      <c r="T190" s="192"/>
      <c r="U190" s="829"/>
      <c r="V190" s="10" t="s">
        <v>1012</v>
      </c>
      <c r="W190" s="10" t="s">
        <v>3795</v>
      </c>
      <c r="X190" s="10"/>
      <c r="Y190" s="10"/>
      <c r="Z190" s="10"/>
      <c r="AA190" s="11"/>
      <c r="AB190" s="11"/>
      <c r="AD190" s="260"/>
    </row>
    <row r="191" spans="2:30" x14ac:dyDescent="0.3">
      <c r="B191" s="10" t="s">
        <v>290</v>
      </c>
      <c r="C191" s="315" t="s">
        <v>2327</v>
      </c>
      <c r="D191" s="868" t="s">
        <v>264</v>
      </c>
      <c r="E191" s="837" t="str">
        <f>IFERROR(IF(_xlfn.XLOOKUP(Imput[[#This Row],[RFC]],'Alta Proveedor'!D:D,'Alta Proveedor'!E:E)=0,"",_xlfn.XLOOKUP(Imput[[#This Row],[RFC]],'Alta Proveedor'!D:D,'Alta Proveedor'!E:E)),"")</f>
        <v>M.N. DEL GOLFO "HOME CENTER TU ASESOR CONFIABLE"</v>
      </c>
      <c r="F191" s="832" t="s">
        <v>1184</v>
      </c>
      <c r="G191" s="187">
        <v>1</v>
      </c>
      <c r="H191" s="1">
        <v>100.35</v>
      </c>
      <c r="I191" s="169">
        <f>Imput[[#This Row],[Cantidad]]*Imput[[#This Row],[Precio Unitario]]</f>
        <v>100.35</v>
      </c>
      <c r="J191" s="11">
        <f>((Imput[[#This Row],[Sub total]])*0.16)</f>
        <v>16.056000000000001</v>
      </c>
      <c r="K191" s="11">
        <v>0</v>
      </c>
      <c r="L191" s="169">
        <f>Imput[[#This Row],[Sub total]]+Imput[[#This Row],[IVA]]-Imput[[#This Row],[Retención / IEPS / Descuento]]</f>
        <v>116.40599999999999</v>
      </c>
      <c r="M191" s="844">
        <v>0</v>
      </c>
      <c r="N191" s="189" t="s">
        <v>123</v>
      </c>
      <c r="O191" s="1"/>
      <c r="P191" s="189" t="s">
        <v>1098</v>
      </c>
      <c r="Q191" s="190" t="s">
        <v>1099</v>
      </c>
      <c r="R191" s="188">
        <v>45856</v>
      </c>
      <c r="S191" s="193" t="s">
        <v>126</v>
      </c>
      <c r="T191" s="192"/>
      <c r="U191" s="829"/>
      <c r="V191" s="10" t="s">
        <v>1012</v>
      </c>
      <c r="W191" s="10" t="s">
        <v>3795</v>
      </c>
      <c r="X191" s="10"/>
      <c r="Y191" s="10"/>
      <c r="Z191" s="10"/>
      <c r="AA191" s="11"/>
      <c r="AB191" s="11"/>
      <c r="AD191" s="260"/>
    </row>
    <row r="192" spans="2:30" x14ac:dyDescent="0.3">
      <c r="B192" s="10" t="s">
        <v>290</v>
      </c>
      <c r="C192" s="315" t="s">
        <v>2327</v>
      </c>
      <c r="D192" s="868" t="s">
        <v>264</v>
      </c>
      <c r="E192" s="837" t="str">
        <f>IFERROR(IF(_xlfn.XLOOKUP(Imput[[#This Row],[RFC]],'Alta Proveedor'!D:D,'Alta Proveedor'!E:E)=0,"",_xlfn.XLOOKUP(Imput[[#This Row],[RFC]],'Alta Proveedor'!D:D,'Alta Proveedor'!E:E)),"")</f>
        <v>M.N. DEL GOLFO "HOME CENTER TU ASESOR CONFIABLE"</v>
      </c>
      <c r="F192" s="832" t="s">
        <v>1185</v>
      </c>
      <c r="G192" s="187">
        <v>1</v>
      </c>
      <c r="H192" s="1">
        <v>196.33</v>
      </c>
      <c r="I192" s="169">
        <f>Imput[[#This Row],[Cantidad]]*Imput[[#This Row],[Precio Unitario]]</f>
        <v>196.33</v>
      </c>
      <c r="J192" s="11">
        <f>((Imput[[#This Row],[Sub total]])*0.16)</f>
        <v>31.412800000000004</v>
      </c>
      <c r="K192" s="11">
        <v>0</v>
      </c>
      <c r="L192" s="169">
        <f>Imput[[#This Row],[Sub total]]+Imput[[#This Row],[IVA]]-Imput[[#This Row],[Retención / IEPS / Descuento]]</f>
        <v>227.74280000000002</v>
      </c>
      <c r="M192" s="844">
        <v>0</v>
      </c>
      <c r="N192" s="189" t="s">
        <v>123</v>
      </c>
      <c r="O192" s="1"/>
      <c r="P192" s="189" t="s">
        <v>1098</v>
      </c>
      <c r="Q192" s="190" t="s">
        <v>1099</v>
      </c>
      <c r="R192" s="188">
        <v>45856</v>
      </c>
      <c r="S192" s="193" t="s">
        <v>126</v>
      </c>
      <c r="T192" s="192"/>
      <c r="U192" s="829"/>
      <c r="V192" s="10" t="s">
        <v>1012</v>
      </c>
      <c r="W192" s="10" t="s">
        <v>3795</v>
      </c>
      <c r="X192" s="10"/>
      <c r="Y192" s="10"/>
      <c r="Z192" s="10"/>
      <c r="AA192" s="11"/>
      <c r="AB192" s="11"/>
      <c r="AD192" s="260"/>
    </row>
    <row r="193" spans="2:30" x14ac:dyDescent="0.3">
      <c r="B193" s="10" t="s">
        <v>290</v>
      </c>
      <c r="C193" s="315" t="s">
        <v>2515</v>
      </c>
      <c r="D193" s="868" t="s">
        <v>264</v>
      </c>
      <c r="E193" s="837" t="str">
        <f>IFERROR(IF(_xlfn.XLOOKUP(Imput[[#This Row],[RFC]],'Alta Proveedor'!D:D,'Alta Proveedor'!E:E)=0,"",_xlfn.XLOOKUP(Imput[[#This Row],[RFC]],'Alta Proveedor'!D:D,'Alta Proveedor'!E:E)),"")</f>
        <v>M.N. DEL GOLFO "HOME CENTER TU ASESOR CONFIABLE"</v>
      </c>
      <c r="F193" s="832" t="s">
        <v>1186</v>
      </c>
      <c r="G193" s="187">
        <v>1</v>
      </c>
      <c r="H193" s="1">
        <v>47.09</v>
      </c>
      <c r="I193" s="169">
        <f>Imput[[#This Row],[Cantidad]]*Imput[[#This Row],[Precio Unitario]]</f>
        <v>47.09</v>
      </c>
      <c r="J193" s="11">
        <f>((Imput[[#This Row],[Sub total]])*0.16)</f>
        <v>7.5344000000000007</v>
      </c>
      <c r="K193" s="11">
        <v>0</v>
      </c>
      <c r="L193" s="169">
        <f>Imput[[#This Row],[Sub total]]+Imput[[#This Row],[IVA]]-Imput[[#This Row],[Retención / IEPS / Descuento]]</f>
        <v>54.624400000000001</v>
      </c>
      <c r="M193" s="844">
        <v>0</v>
      </c>
      <c r="N193" s="189" t="s">
        <v>123</v>
      </c>
      <c r="O193" s="1"/>
      <c r="P193" s="189" t="s">
        <v>1098</v>
      </c>
      <c r="Q193" s="190" t="s">
        <v>1099</v>
      </c>
      <c r="R193" s="188">
        <v>45856</v>
      </c>
      <c r="S193" s="193" t="s">
        <v>126</v>
      </c>
      <c r="T193" s="192"/>
      <c r="U193" s="829"/>
      <c r="V193" s="10" t="s">
        <v>1012</v>
      </c>
      <c r="W193" s="10" t="s">
        <v>3795</v>
      </c>
      <c r="X193" s="10"/>
      <c r="Y193" s="10"/>
      <c r="Z193" s="10"/>
      <c r="AA193" s="11"/>
      <c r="AB193" s="11"/>
      <c r="AD193" s="260"/>
    </row>
    <row r="194" spans="2:30" x14ac:dyDescent="0.3">
      <c r="B194" s="10" t="s">
        <v>290</v>
      </c>
      <c r="C194" s="549" t="s">
        <v>2437</v>
      </c>
      <c r="D194" s="868" t="s">
        <v>264</v>
      </c>
      <c r="E194" s="837" t="str">
        <f>IFERROR(IF(_xlfn.XLOOKUP(Imput[[#This Row],[RFC]],'Alta Proveedor'!D:D,'Alta Proveedor'!E:E)=0,"",_xlfn.XLOOKUP(Imput[[#This Row],[RFC]],'Alta Proveedor'!D:D,'Alta Proveedor'!E:E)),"")</f>
        <v>M.N. DEL GOLFO "HOME CENTER TU ASESOR CONFIABLE"</v>
      </c>
      <c r="F194" s="832" t="s">
        <v>1187</v>
      </c>
      <c r="G194" s="187">
        <v>1</v>
      </c>
      <c r="H194" s="1">
        <v>60.75</v>
      </c>
      <c r="I194" s="169">
        <f>Imput[[#This Row],[Cantidad]]*Imput[[#This Row],[Precio Unitario]]</f>
        <v>60.75</v>
      </c>
      <c r="J194" s="11">
        <f>((Imput[[#This Row],[Sub total]])*0.16)</f>
        <v>9.7200000000000006</v>
      </c>
      <c r="K194" s="11">
        <v>0</v>
      </c>
      <c r="L194" s="169">
        <f>Imput[[#This Row],[Sub total]]+Imput[[#This Row],[IVA]]-Imput[[#This Row],[Retención / IEPS / Descuento]]</f>
        <v>70.47</v>
      </c>
      <c r="M194" s="844">
        <v>70.47</v>
      </c>
      <c r="N194" s="189" t="s">
        <v>123</v>
      </c>
      <c r="O194" s="1"/>
      <c r="P194" s="189" t="s">
        <v>1100</v>
      </c>
      <c r="Q194" s="190" t="s">
        <v>1101</v>
      </c>
      <c r="R194" s="188">
        <v>45856</v>
      </c>
      <c r="S194" s="193" t="s">
        <v>126</v>
      </c>
      <c r="T194" s="192"/>
      <c r="U194" s="829"/>
      <c r="V194" s="10" t="s">
        <v>1012</v>
      </c>
      <c r="W194" s="10" t="s">
        <v>3795</v>
      </c>
      <c r="X194" s="10"/>
      <c r="Y194" s="10"/>
      <c r="Z194" s="10"/>
      <c r="AA194" s="11"/>
      <c r="AB194" s="11"/>
      <c r="AD194" s="260"/>
    </row>
    <row r="195" spans="2:30" x14ac:dyDescent="0.3">
      <c r="B195" s="10" t="s">
        <v>290</v>
      </c>
      <c r="C195" s="315" t="s">
        <v>2426</v>
      </c>
      <c r="D195" s="868" t="s">
        <v>264</v>
      </c>
      <c r="E195" s="837" t="str">
        <f>IFERROR(IF(_xlfn.XLOOKUP(Imput[[#This Row],[RFC]],'Alta Proveedor'!D:D,'Alta Proveedor'!E:E)=0,"",_xlfn.XLOOKUP(Imput[[#This Row],[RFC]],'Alta Proveedor'!D:D,'Alta Proveedor'!E:E)),"")</f>
        <v>M.N. DEL GOLFO "HOME CENTER TU ASESOR CONFIABLE"</v>
      </c>
      <c r="F195" s="832" t="s">
        <v>1638</v>
      </c>
      <c r="G195" s="187">
        <v>30</v>
      </c>
      <c r="H195" s="1">
        <f>1805.09/30</f>
        <v>60.169666666666664</v>
      </c>
      <c r="I195" s="169">
        <f>Imput[[#This Row],[Cantidad]]*Imput[[#This Row],[Precio Unitario]]</f>
        <v>1805.09</v>
      </c>
      <c r="J195" s="11">
        <f>((Imput[[#This Row],[Sub total]])*0.16)</f>
        <v>288.81439999999998</v>
      </c>
      <c r="K195" s="11">
        <v>0</v>
      </c>
      <c r="L195" s="169">
        <f>Imput[[#This Row],[Sub total]]+Imput[[#This Row],[IVA]]-Imput[[#This Row],[Retención / IEPS / Descuento]]</f>
        <v>2093.9043999999999</v>
      </c>
      <c r="M195" s="844">
        <v>2437.1484</v>
      </c>
      <c r="N195" s="189" t="s">
        <v>123</v>
      </c>
      <c r="O195" s="1"/>
      <c r="P195" s="189" t="s">
        <v>1102</v>
      </c>
      <c r="Q195" s="190" t="s">
        <v>1103</v>
      </c>
      <c r="R195" s="188">
        <v>45856</v>
      </c>
      <c r="S195" s="193" t="s">
        <v>126</v>
      </c>
      <c r="T195" s="192"/>
      <c r="U195" s="829"/>
      <c r="V195" s="10" t="s">
        <v>1012</v>
      </c>
      <c r="W195" s="10" t="s">
        <v>3795</v>
      </c>
      <c r="X195" s="10"/>
      <c r="Y195" s="10"/>
      <c r="Z195" s="10"/>
      <c r="AA195" s="11"/>
      <c r="AB195" s="11"/>
      <c r="AD195" s="260"/>
    </row>
    <row r="196" spans="2:30" x14ac:dyDescent="0.3">
      <c r="B196" s="10" t="s">
        <v>290</v>
      </c>
      <c r="C196" s="315" t="s">
        <v>2434</v>
      </c>
      <c r="D196" s="868" t="s">
        <v>264</v>
      </c>
      <c r="E196" s="837" t="str">
        <f>IFERROR(IF(_xlfn.XLOOKUP(Imput[[#This Row],[RFC]],'Alta Proveedor'!D:D,'Alta Proveedor'!E:E)=0,"",_xlfn.XLOOKUP(Imput[[#This Row],[RFC]],'Alta Proveedor'!D:D,'Alta Proveedor'!E:E)),"")</f>
        <v>M.N. DEL GOLFO "HOME CENTER TU ASESOR CONFIABLE"</v>
      </c>
      <c r="F196" s="832" t="s">
        <v>1636</v>
      </c>
      <c r="G196" s="187">
        <v>10</v>
      </c>
      <c r="H196" s="1">
        <f>116.99/10</f>
        <v>11.699</v>
      </c>
      <c r="I196" s="169">
        <f>Imput[[#This Row],[Cantidad]]*Imput[[#This Row],[Precio Unitario]]</f>
        <v>116.99</v>
      </c>
      <c r="J196" s="11">
        <f>((Imput[[#This Row],[Sub total]])*0.16)</f>
        <v>18.718399999999999</v>
      </c>
      <c r="K196" s="11">
        <v>0</v>
      </c>
      <c r="L196" s="169">
        <f>Imput[[#This Row],[Sub total]]+Imput[[#This Row],[IVA]]-Imput[[#This Row],[Retención / IEPS / Descuento]]</f>
        <v>135.70839999999998</v>
      </c>
      <c r="M196" s="844">
        <v>0</v>
      </c>
      <c r="N196" s="189" t="s">
        <v>123</v>
      </c>
      <c r="O196" s="1"/>
      <c r="P196" s="189" t="s">
        <v>1102</v>
      </c>
      <c r="Q196" s="190" t="s">
        <v>1103</v>
      </c>
      <c r="R196" s="188">
        <v>45856</v>
      </c>
      <c r="S196" s="193" t="s">
        <v>126</v>
      </c>
      <c r="T196" s="192"/>
      <c r="U196" s="829"/>
      <c r="V196" s="10" t="s">
        <v>1012</v>
      </c>
      <c r="W196" s="10" t="s">
        <v>3795</v>
      </c>
      <c r="X196" s="10"/>
      <c r="Y196" s="10"/>
      <c r="Z196" s="10"/>
      <c r="AA196" s="11"/>
      <c r="AB196" s="11"/>
      <c r="AD196" s="260"/>
    </row>
    <row r="197" spans="2:30" x14ac:dyDescent="0.3">
      <c r="B197" s="10" t="s">
        <v>290</v>
      </c>
      <c r="C197" s="315" t="s">
        <v>2434</v>
      </c>
      <c r="D197" s="868" t="s">
        <v>264</v>
      </c>
      <c r="E197" s="837" t="str">
        <f>IFERROR(IF(_xlfn.XLOOKUP(Imput[[#This Row],[RFC]],'Alta Proveedor'!D:D,'Alta Proveedor'!E:E)=0,"",_xlfn.XLOOKUP(Imput[[#This Row],[RFC]],'Alta Proveedor'!D:D,'Alta Proveedor'!E:E)),"")</f>
        <v>M.N. DEL GOLFO "HOME CENTER TU ASESOR CONFIABLE"</v>
      </c>
      <c r="F197" s="832" t="s">
        <v>1637</v>
      </c>
      <c r="G197" s="187">
        <v>5</v>
      </c>
      <c r="H197" s="1">
        <f>178.91/5</f>
        <v>35.781999999999996</v>
      </c>
      <c r="I197" s="169">
        <f>Imput[[#This Row],[Cantidad]]*Imput[[#This Row],[Precio Unitario]]</f>
        <v>178.90999999999997</v>
      </c>
      <c r="J197" s="11">
        <f>((Imput[[#This Row],[Sub total]])*0.16)</f>
        <v>28.625599999999995</v>
      </c>
      <c r="K197" s="11">
        <v>0</v>
      </c>
      <c r="L197" s="169">
        <f>Imput[[#This Row],[Sub total]]+Imput[[#This Row],[IVA]]-Imput[[#This Row],[Retención / IEPS / Descuento]]</f>
        <v>207.53559999999996</v>
      </c>
      <c r="M197" s="844">
        <v>0</v>
      </c>
      <c r="N197" s="189" t="s">
        <v>123</v>
      </c>
      <c r="O197" s="1"/>
      <c r="P197" s="189" t="s">
        <v>1102</v>
      </c>
      <c r="Q197" s="190" t="s">
        <v>1103</v>
      </c>
      <c r="R197" s="188">
        <v>45856</v>
      </c>
      <c r="S197" s="193" t="s">
        <v>126</v>
      </c>
      <c r="T197" s="192"/>
      <c r="U197" s="829"/>
      <c r="V197" s="10" t="s">
        <v>1012</v>
      </c>
      <c r="W197" s="10" t="s">
        <v>3795</v>
      </c>
      <c r="X197" s="10"/>
      <c r="Y197" s="10"/>
      <c r="Z197" s="10"/>
      <c r="AA197" s="11"/>
      <c r="AB197" s="11"/>
      <c r="AD197" s="260"/>
    </row>
    <row r="198" spans="2:30" x14ac:dyDescent="0.3">
      <c r="B198" s="10" t="s">
        <v>290</v>
      </c>
      <c r="C198" s="315" t="s">
        <v>1131</v>
      </c>
      <c r="D198" s="868" t="s">
        <v>264</v>
      </c>
      <c r="E198" s="837" t="str">
        <f>IFERROR(IF(_xlfn.XLOOKUP(Imput[[#This Row],[RFC]],'Alta Proveedor'!D:D,'Alta Proveedor'!E:E)=0,"",_xlfn.XLOOKUP(Imput[[#This Row],[RFC]],'Alta Proveedor'!D:D,'Alta Proveedor'!E:E)),"")</f>
        <v>M.N. DEL GOLFO "HOME CENTER TU ASESOR CONFIABLE"</v>
      </c>
      <c r="F198" s="832" t="s">
        <v>1949</v>
      </c>
      <c r="G198" s="187">
        <v>1</v>
      </c>
      <c r="H198" s="1">
        <v>12490.52</v>
      </c>
      <c r="I198" s="169">
        <f>Imput[[#This Row],[Cantidad]]*Imput[[#This Row],[Precio Unitario]]</f>
        <v>12490.52</v>
      </c>
      <c r="J198" s="11">
        <f>((Imput[[#This Row],[Sub total]])*0.16)</f>
        <v>1998.4832000000001</v>
      </c>
      <c r="K198" s="11">
        <v>0</v>
      </c>
      <c r="L198" s="169">
        <f>Imput[[#This Row],[Sub total]]+Imput[[#This Row],[IVA]]-Imput[[#This Row],[Retención / IEPS / Descuento]]</f>
        <v>14489.003200000001</v>
      </c>
      <c r="M198" s="844">
        <v>14489.003200000001</v>
      </c>
      <c r="N198" s="189" t="s">
        <v>123</v>
      </c>
      <c r="O198" s="1"/>
      <c r="P198" s="189" t="s">
        <v>1104</v>
      </c>
      <c r="Q198" s="190" t="s">
        <v>1105</v>
      </c>
      <c r="R198" s="188">
        <v>45856</v>
      </c>
      <c r="S198" s="193" t="s">
        <v>126</v>
      </c>
      <c r="T198" s="192"/>
      <c r="U198" s="829"/>
      <c r="V198" s="10" t="s">
        <v>3791</v>
      </c>
      <c r="W198" s="10" t="s">
        <v>3803</v>
      </c>
      <c r="X198" s="10"/>
      <c r="Y198" s="10"/>
      <c r="Z198" s="10"/>
      <c r="AA198" s="11"/>
      <c r="AB198" s="11"/>
      <c r="AD198" s="260"/>
    </row>
    <row r="199" spans="2:30" x14ac:dyDescent="0.3">
      <c r="B199" s="10" t="s">
        <v>290</v>
      </c>
      <c r="C199" s="315" t="s">
        <v>2426</v>
      </c>
      <c r="D199" s="868" t="s">
        <v>3113</v>
      </c>
      <c r="E199" s="837" t="str">
        <f>IFERROR(IF(_xlfn.XLOOKUP(Imput[[#This Row],[RFC]],'Alta Proveedor'!D:D,'Alta Proveedor'!E:E)=0,"",_xlfn.XLOOKUP(Imput[[#This Row],[RFC]],'Alta Proveedor'!D:D,'Alta Proveedor'!E:E)),"")</f>
        <v>MAQUINARIA INDUSTRIAL ABBA</v>
      </c>
      <c r="F199" s="832" t="s">
        <v>3391</v>
      </c>
      <c r="G199" s="187">
        <v>1</v>
      </c>
      <c r="H199" s="1">
        <v>1016.81</v>
      </c>
      <c r="I199" s="169">
        <f>Imput[[#This Row],[Cantidad]]*Imput[[#This Row],[Precio Unitario]]</f>
        <v>1016.81</v>
      </c>
      <c r="J199" s="11">
        <v>0</v>
      </c>
      <c r="K199" s="11">
        <v>0</v>
      </c>
      <c r="L199" s="169">
        <f>Imput[[#This Row],[Sub total]]+Imput[[#This Row],[IVA]]-Imput[[#This Row],[Retención / IEPS / Descuento]]</f>
        <v>1016.81</v>
      </c>
      <c r="M199" s="844">
        <v>1016.81</v>
      </c>
      <c r="N199" s="189"/>
      <c r="O199" s="1"/>
      <c r="P199" s="189"/>
      <c r="Q199" s="190"/>
      <c r="R199" s="188">
        <v>45856</v>
      </c>
      <c r="S199" s="193"/>
      <c r="T199" s="192"/>
      <c r="U199" s="829" t="s">
        <v>3099</v>
      </c>
      <c r="V199" s="10" t="s">
        <v>1012</v>
      </c>
      <c r="W199" s="10" t="s">
        <v>490</v>
      </c>
      <c r="X199" s="10"/>
      <c r="Y199" s="10"/>
      <c r="Z199" s="10"/>
      <c r="AA199" s="11"/>
      <c r="AB199" s="11"/>
      <c r="AD199" s="260"/>
    </row>
    <row r="200" spans="2:30" x14ac:dyDescent="0.3">
      <c r="B200" s="10" t="s">
        <v>290</v>
      </c>
      <c r="C200" s="315" t="s">
        <v>2335</v>
      </c>
      <c r="D200" s="868" t="s">
        <v>3119</v>
      </c>
      <c r="E200" s="837" t="str">
        <f>IFERROR(IF(_xlfn.XLOOKUP(Imput[[#This Row],[RFC]],'Alta Proveedor'!D:D,'Alta Proveedor'!E:E)=0,"",_xlfn.XLOOKUP(Imput[[#This Row],[RFC]],'Alta Proveedor'!D:D,'Alta Proveedor'!E:E)),"")</f>
        <v>Nomina-OPERACIÓN</v>
      </c>
      <c r="F200" s="836" t="s">
        <v>3131</v>
      </c>
      <c r="G200" s="187">
        <v>1</v>
      </c>
      <c r="H200" s="1">
        <v>10000</v>
      </c>
      <c r="I200" s="169">
        <f>Imput[[#This Row],[Cantidad]]*Imput[[#This Row],[Precio Unitario]]</f>
        <v>10000</v>
      </c>
      <c r="J200" s="11">
        <f>Imput[[#This Row],[Sub total]]*0.08</f>
        <v>800</v>
      </c>
      <c r="K200" s="11">
        <v>0</v>
      </c>
      <c r="L200" s="169">
        <f>Imput[[#This Row],[Sub total]]+Imput[[#This Row],[IVA]]-Imput[[#This Row],[Retención / IEPS / Descuento]]</f>
        <v>10800</v>
      </c>
      <c r="M200" s="844">
        <v>10800</v>
      </c>
      <c r="N200" s="189"/>
      <c r="O200" s="1"/>
      <c r="P200" s="189"/>
      <c r="Q200" s="190"/>
      <c r="R200" s="188">
        <v>45856</v>
      </c>
      <c r="S200" s="193"/>
      <c r="T200" s="192"/>
      <c r="U200" s="867" t="s">
        <v>3225</v>
      </c>
      <c r="V200" s="10" t="s">
        <v>3108</v>
      </c>
      <c r="W200" s="10" t="s">
        <v>3793</v>
      </c>
      <c r="X200" s="10"/>
      <c r="Y200" s="10"/>
      <c r="Z200" s="10"/>
      <c r="AA200" s="11"/>
      <c r="AB200" s="11"/>
      <c r="AD200" s="260"/>
    </row>
    <row r="201" spans="2:30" x14ac:dyDescent="0.3">
      <c r="B201" s="10" t="s">
        <v>290</v>
      </c>
      <c r="C201" s="315" t="s">
        <v>2335</v>
      </c>
      <c r="D201" s="868" t="s">
        <v>3119</v>
      </c>
      <c r="E201" s="837" t="str">
        <f>IFERROR(IF(_xlfn.XLOOKUP(Imput[[#This Row],[RFC]],'Alta Proveedor'!D:D,'Alta Proveedor'!E:E)=0,"",_xlfn.XLOOKUP(Imput[[#This Row],[RFC]],'Alta Proveedor'!D:D,'Alta Proveedor'!E:E)),"")</f>
        <v>Nomina-OPERACIÓN</v>
      </c>
      <c r="F201" s="836" t="s">
        <v>3132</v>
      </c>
      <c r="G201" s="187">
        <v>1</v>
      </c>
      <c r="H201" s="1">
        <v>6000</v>
      </c>
      <c r="I201" s="169">
        <f>Imput[[#This Row],[Cantidad]]*Imput[[#This Row],[Precio Unitario]]</f>
        <v>6000</v>
      </c>
      <c r="J201" s="11">
        <f>Imput[[#This Row],[Sub total]]*0.08</f>
        <v>480</v>
      </c>
      <c r="K201" s="11">
        <v>0</v>
      </c>
      <c r="L201" s="169">
        <f>Imput[[#This Row],[Sub total]]+Imput[[#This Row],[IVA]]-Imput[[#This Row],[Retención / IEPS / Descuento]]</f>
        <v>6480</v>
      </c>
      <c r="M201" s="844">
        <v>6480</v>
      </c>
      <c r="N201" s="189"/>
      <c r="O201" s="1"/>
      <c r="P201" s="189"/>
      <c r="Q201" s="190"/>
      <c r="R201" s="188">
        <v>45856</v>
      </c>
      <c r="S201" s="193"/>
      <c r="T201" s="192"/>
      <c r="U201" s="867" t="s">
        <v>3225</v>
      </c>
      <c r="V201" s="10" t="s">
        <v>3108</v>
      </c>
      <c r="W201" s="10" t="s">
        <v>3793</v>
      </c>
      <c r="X201" s="10"/>
      <c r="Y201" s="10"/>
      <c r="Z201" s="10"/>
      <c r="AA201" s="11"/>
      <c r="AB201" s="11"/>
      <c r="AD201" s="260"/>
    </row>
    <row r="202" spans="2:30" x14ac:dyDescent="0.3">
      <c r="B202" s="10" t="s">
        <v>290</v>
      </c>
      <c r="C202" s="315" t="s">
        <v>2334</v>
      </c>
      <c r="D202" s="868" t="s">
        <v>3119</v>
      </c>
      <c r="E202" s="837" t="str">
        <f>IFERROR(IF(_xlfn.XLOOKUP(Imput[[#This Row],[RFC]],'Alta Proveedor'!D:D,'Alta Proveedor'!E:E)=0,"",_xlfn.XLOOKUP(Imput[[#This Row],[RFC]],'Alta Proveedor'!D:D,'Alta Proveedor'!E:E)),"")</f>
        <v>Nomina-OPERACIÓN</v>
      </c>
      <c r="F202" s="836" t="s">
        <v>3123</v>
      </c>
      <c r="G202" s="187">
        <v>1</v>
      </c>
      <c r="H202" s="1">
        <v>33700</v>
      </c>
      <c r="I202" s="169">
        <f>Imput[[#This Row],[Cantidad]]*Imput[[#This Row],[Precio Unitario]]</f>
        <v>33700</v>
      </c>
      <c r="J202" s="11">
        <f>Imput[[#This Row],[Sub total]]*0.08</f>
        <v>2696</v>
      </c>
      <c r="K202" s="11">
        <v>0</v>
      </c>
      <c r="L202" s="169">
        <f>Imput[[#This Row],[Sub total]]+Imput[[#This Row],[IVA]]-Imput[[#This Row],[Retención / IEPS / Descuento]]</f>
        <v>36396</v>
      </c>
      <c r="M202" s="844">
        <v>36396</v>
      </c>
      <c r="N202" s="189"/>
      <c r="O202" s="1"/>
      <c r="P202" s="189"/>
      <c r="Q202" s="190"/>
      <c r="R202" s="188">
        <v>45856</v>
      </c>
      <c r="S202" s="193"/>
      <c r="T202" s="192"/>
      <c r="U202" s="867" t="s">
        <v>3225</v>
      </c>
      <c r="V202" s="10" t="s">
        <v>3108</v>
      </c>
      <c r="W202" s="10" t="s">
        <v>3799</v>
      </c>
      <c r="X202" s="10"/>
      <c r="Y202" s="10"/>
      <c r="Z202" s="10"/>
      <c r="AA202" s="11"/>
      <c r="AB202" s="11"/>
      <c r="AD202" s="260"/>
    </row>
    <row r="203" spans="2:30" x14ac:dyDescent="0.3">
      <c r="B203" s="10" t="s">
        <v>290</v>
      </c>
      <c r="C203" s="315" t="s">
        <v>2327</v>
      </c>
      <c r="D203" s="868" t="s">
        <v>228</v>
      </c>
      <c r="E203" s="837" t="str">
        <f>IFERROR(IF(_xlfn.XLOOKUP(Imput[[#This Row],[RFC]],'Alta Proveedor'!D:D,'Alta Proveedor'!E:E)=0,"",_xlfn.XLOOKUP(Imput[[#This Row],[RFC]],'Alta Proveedor'!D:D,'Alta Proveedor'!E:E)),"")</f>
        <v>ROSA FRANCISCA VAZQUEZ RODRIGUEZ</v>
      </c>
      <c r="F203" s="832" t="s">
        <v>1188</v>
      </c>
      <c r="G203" s="187">
        <v>1</v>
      </c>
      <c r="H203" s="1">
        <v>375</v>
      </c>
      <c r="I203" s="169">
        <f>Imput[[#This Row],[Cantidad]]*Imput[[#This Row],[Precio Unitario]]</f>
        <v>375</v>
      </c>
      <c r="J203" s="11">
        <f>((Imput[[#This Row],[Sub total]])*0.16)</f>
        <v>60</v>
      </c>
      <c r="K203" s="11">
        <v>0</v>
      </c>
      <c r="L203" s="169">
        <f>Imput[[#This Row],[Sub total]]+Imput[[#This Row],[IVA]]-Imput[[#This Row],[Retención / IEPS / Descuento]]</f>
        <v>435</v>
      </c>
      <c r="M203" s="844">
        <v>1155.00272</v>
      </c>
      <c r="N203" s="189" t="s">
        <v>123</v>
      </c>
      <c r="O203" s="1"/>
      <c r="P203" s="189" t="s">
        <v>1123</v>
      </c>
      <c r="Q203" s="190" t="s">
        <v>1124</v>
      </c>
      <c r="R203" s="188">
        <v>45857</v>
      </c>
      <c r="S203" s="193" t="s">
        <v>126</v>
      </c>
      <c r="T203" s="192"/>
      <c r="U203" s="829"/>
      <c r="V203" s="10" t="s">
        <v>1012</v>
      </c>
      <c r="W203" s="10" t="s">
        <v>3795</v>
      </c>
      <c r="X203" s="10"/>
      <c r="Y203" s="10"/>
      <c r="Z203" s="10"/>
      <c r="AA203" s="11"/>
      <c r="AB203" s="11"/>
      <c r="AD203" s="260"/>
    </row>
    <row r="204" spans="2:30" x14ac:dyDescent="0.3">
      <c r="B204" s="10" t="s">
        <v>290</v>
      </c>
      <c r="C204" s="315" t="s">
        <v>2327</v>
      </c>
      <c r="D204" s="868" t="s">
        <v>228</v>
      </c>
      <c r="E204" s="837" t="str">
        <f>IFERROR(IF(_xlfn.XLOOKUP(Imput[[#This Row],[RFC]],'Alta Proveedor'!D:D,'Alta Proveedor'!E:E)=0,"",_xlfn.XLOOKUP(Imput[[#This Row],[RFC]],'Alta Proveedor'!D:D,'Alta Proveedor'!E:E)),"")</f>
        <v>ROSA FRANCISCA VAZQUEZ RODRIGUEZ</v>
      </c>
      <c r="F204" s="832" t="s">
        <v>1189</v>
      </c>
      <c r="G204" s="187">
        <v>1</v>
      </c>
      <c r="H204" s="1">
        <v>340.52</v>
      </c>
      <c r="I204" s="169">
        <f>Imput[[#This Row],[Cantidad]]*Imput[[#This Row],[Precio Unitario]]</f>
        <v>340.52</v>
      </c>
      <c r="J204" s="11">
        <f>((Imput[[#This Row],[Sub total]])*0.16)</f>
        <v>54.483199999999997</v>
      </c>
      <c r="K204" s="11">
        <v>0</v>
      </c>
      <c r="L204" s="169">
        <f>Imput[[#This Row],[Sub total]]+Imput[[#This Row],[IVA]]-Imput[[#This Row],[Retención / IEPS / Descuento]]</f>
        <v>395.00319999999999</v>
      </c>
      <c r="M204" s="844">
        <v>0</v>
      </c>
      <c r="N204" s="189" t="s">
        <v>123</v>
      </c>
      <c r="O204" s="1"/>
      <c r="P204" s="189" t="s">
        <v>1123</v>
      </c>
      <c r="Q204" s="190" t="s">
        <v>1124</v>
      </c>
      <c r="R204" s="188">
        <v>45857</v>
      </c>
      <c r="S204" s="193" t="s">
        <v>126</v>
      </c>
      <c r="T204" s="192"/>
      <c r="U204" s="829"/>
      <c r="V204" s="10" t="s">
        <v>1012</v>
      </c>
      <c r="W204" s="10" t="s">
        <v>3795</v>
      </c>
      <c r="X204" s="10"/>
      <c r="Y204" s="10"/>
      <c r="Z204" s="10"/>
      <c r="AA204" s="11"/>
      <c r="AB204" s="11"/>
      <c r="AD204" s="260"/>
    </row>
    <row r="205" spans="2:30" x14ac:dyDescent="0.3">
      <c r="B205" s="10" t="s">
        <v>290</v>
      </c>
      <c r="C205" s="549" t="s">
        <v>2437</v>
      </c>
      <c r="D205" s="868" t="s">
        <v>228</v>
      </c>
      <c r="E205" s="837" t="str">
        <f>IFERROR(IF(_xlfn.XLOOKUP(Imput[[#This Row],[RFC]],'Alta Proveedor'!D:D,'Alta Proveedor'!E:E)=0,"",_xlfn.XLOOKUP(Imput[[#This Row],[RFC]],'Alta Proveedor'!D:D,'Alta Proveedor'!E:E)),"")</f>
        <v>ROSA FRANCISCA VAZQUEZ RODRIGUEZ</v>
      </c>
      <c r="F205" s="832" t="s">
        <v>1190</v>
      </c>
      <c r="G205" s="187">
        <v>1</v>
      </c>
      <c r="H205" s="1">
        <v>280.17200000000003</v>
      </c>
      <c r="I205" s="169">
        <f>Imput[[#This Row],[Cantidad]]*Imput[[#This Row],[Precio Unitario]]</f>
        <v>280.17200000000003</v>
      </c>
      <c r="J205" s="11">
        <f>((Imput[[#This Row],[Sub total]])*0.16)</f>
        <v>44.827520000000007</v>
      </c>
      <c r="K205" s="11">
        <v>0</v>
      </c>
      <c r="L205" s="169">
        <f>Imput[[#This Row],[Sub total]]+Imput[[#This Row],[IVA]]-Imput[[#This Row],[Retención / IEPS / Descuento]]</f>
        <v>324.99952000000002</v>
      </c>
      <c r="M205" s="844">
        <v>0</v>
      </c>
      <c r="N205" s="189" t="s">
        <v>123</v>
      </c>
      <c r="O205" s="1"/>
      <c r="P205" s="189" t="s">
        <v>1123</v>
      </c>
      <c r="Q205" s="190" t="s">
        <v>1124</v>
      </c>
      <c r="R205" s="188">
        <v>45857</v>
      </c>
      <c r="S205" s="193" t="s">
        <v>126</v>
      </c>
      <c r="T205" s="192"/>
      <c r="U205" s="829"/>
      <c r="V205" s="10" t="s">
        <v>1012</v>
      </c>
      <c r="W205" s="10" t="s">
        <v>3795</v>
      </c>
      <c r="X205" s="10"/>
      <c r="Y205" s="10"/>
      <c r="Z205" s="10"/>
      <c r="AA205" s="11"/>
      <c r="AB205" s="11"/>
      <c r="AD205" s="260"/>
    </row>
    <row r="206" spans="2:30" x14ac:dyDescent="0.3">
      <c r="B206" s="10" t="s">
        <v>290</v>
      </c>
      <c r="C206" s="549" t="s">
        <v>2514</v>
      </c>
      <c r="D206" s="868" t="s">
        <v>228</v>
      </c>
      <c r="E206" s="837" t="str">
        <f>IFERROR(IF(_xlfn.XLOOKUP(Imput[[#This Row],[RFC]],'Alta Proveedor'!D:D,'Alta Proveedor'!E:E)=0,"",_xlfn.XLOOKUP(Imput[[#This Row],[RFC]],'Alta Proveedor'!D:D,'Alta Proveedor'!E:E)),"")</f>
        <v>ROSA FRANCISCA VAZQUEZ RODRIGUEZ</v>
      </c>
      <c r="F206" s="832" t="s">
        <v>1207</v>
      </c>
      <c r="G206" s="187">
        <v>1</v>
      </c>
      <c r="H206" s="1">
        <v>170.69</v>
      </c>
      <c r="I206" s="169">
        <f>Imput[[#This Row],[Cantidad]]*Imput[[#This Row],[Precio Unitario]]</f>
        <v>170.69</v>
      </c>
      <c r="J206" s="11">
        <f>((Imput[[#This Row],[Sub total]])*0.16)</f>
        <v>27.310400000000001</v>
      </c>
      <c r="K206" s="11">
        <v>0</v>
      </c>
      <c r="L206" s="169">
        <f>Imput[[#This Row],[Sub total]]+Imput[[#This Row],[IVA]]-Imput[[#This Row],[Retención / IEPS / Descuento]]</f>
        <v>198.00040000000001</v>
      </c>
      <c r="M206" s="844">
        <v>1059.0022800000002</v>
      </c>
      <c r="N206" s="189" t="s">
        <v>123</v>
      </c>
      <c r="O206" s="1"/>
      <c r="P206" s="189" t="s">
        <v>1125</v>
      </c>
      <c r="Q206" s="190" t="s">
        <v>1126</v>
      </c>
      <c r="R206" s="188">
        <v>45857</v>
      </c>
      <c r="S206" s="193" t="s">
        <v>215</v>
      </c>
      <c r="T206" s="192"/>
      <c r="U206" s="829"/>
      <c r="V206" s="10" t="s">
        <v>1012</v>
      </c>
      <c r="W206" s="10" t="s">
        <v>513</v>
      </c>
      <c r="X206" s="10"/>
      <c r="Y206" s="10"/>
      <c r="Z206" s="10"/>
      <c r="AA206" s="11"/>
      <c r="AB206" s="11"/>
      <c r="AD206" s="260"/>
    </row>
    <row r="207" spans="2:30" x14ac:dyDescent="0.3">
      <c r="B207" s="10" t="s">
        <v>290</v>
      </c>
      <c r="C207" s="549" t="s">
        <v>2514</v>
      </c>
      <c r="D207" s="868" t="s">
        <v>228</v>
      </c>
      <c r="E207" s="837" t="str">
        <f>IFERROR(IF(_xlfn.XLOOKUP(Imput[[#This Row],[RFC]],'Alta Proveedor'!D:D,'Alta Proveedor'!E:E)=0,"",_xlfn.XLOOKUP(Imput[[#This Row],[RFC]],'Alta Proveedor'!D:D,'Alta Proveedor'!E:E)),"")</f>
        <v>ROSA FRANCISCA VAZQUEZ RODRIGUEZ</v>
      </c>
      <c r="F207" s="832" t="s">
        <v>1208</v>
      </c>
      <c r="G207" s="187">
        <v>1</v>
      </c>
      <c r="H207" s="1">
        <v>170.69</v>
      </c>
      <c r="I207" s="169">
        <f>Imput[[#This Row],[Cantidad]]*Imput[[#This Row],[Precio Unitario]]</f>
        <v>170.69</v>
      </c>
      <c r="J207" s="11">
        <f>((Imput[[#This Row],[Sub total]])*0.16)</f>
        <v>27.310400000000001</v>
      </c>
      <c r="K207" s="11">
        <v>0</v>
      </c>
      <c r="L207" s="169">
        <f>Imput[[#This Row],[Sub total]]+Imput[[#This Row],[IVA]]-Imput[[#This Row],[Retención / IEPS / Descuento]]</f>
        <v>198.00040000000001</v>
      </c>
      <c r="M207" s="844">
        <v>0</v>
      </c>
      <c r="N207" s="189" t="s">
        <v>123</v>
      </c>
      <c r="O207" s="1"/>
      <c r="P207" s="189" t="s">
        <v>1125</v>
      </c>
      <c r="Q207" s="190" t="s">
        <v>1126</v>
      </c>
      <c r="R207" s="188">
        <v>45857</v>
      </c>
      <c r="S207" s="193" t="s">
        <v>215</v>
      </c>
      <c r="T207" s="192"/>
      <c r="U207" s="829"/>
      <c r="V207" s="10" t="s">
        <v>1012</v>
      </c>
      <c r="W207" s="10" t="s">
        <v>513</v>
      </c>
      <c r="X207" s="10"/>
      <c r="Y207" s="10"/>
      <c r="Z207" s="10"/>
      <c r="AA207" s="11"/>
      <c r="AB207" s="11"/>
      <c r="AD207" s="260"/>
    </row>
    <row r="208" spans="2:30" x14ac:dyDescent="0.3">
      <c r="B208" s="10" t="s">
        <v>290</v>
      </c>
      <c r="C208" s="549" t="s">
        <v>2514</v>
      </c>
      <c r="D208" s="868" t="s">
        <v>228</v>
      </c>
      <c r="E208" s="837" t="str">
        <f>IFERROR(IF(_xlfn.XLOOKUP(Imput[[#This Row],[RFC]],'Alta Proveedor'!D:D,'Alta Proveedor'!E:E)=0,"",_xlfn.XLOOKUP(Imput[[#This Row],[RFC]],'Alta Proveedor'!D:D,'Alta Proveedor'!E:E)),"")</f>
        <v>ROSA FRANCISCA VAZQUEZ RODRIGUEZ</v>
      </c>
      <c r="F208" s="832" t="s">
        <v>1209</v>
      </c>
      <c r="G208" s="187">
        <v>1</v>
      </c>
      <c r="H208" s="1">
        <v>170.69</v>
      </c>
      <c r="I208" s="169">
        <f>Imput[[#This Row],[Cantidad]]*Imput[[#This Row],[Precio Unitario]]</f>
        <v>170.69</v>
      </c>
      <c r="J208" s="11">
        <f>((Imput[[#This Row],[Sub total]])*0.16)</f>
        <v>27.310400000000001</v>
      </c>
      <c r="K208" s="11">
        <v>0</v>
      </c>
      <c r="L208" s="169">
        <f>Imput[[#This Row],[Sub total]]+Imput[[#This Row],[IVA]]-Imput[[#This Row],[Retención / IEPS / Descuento]]</f>
        <v>198.00040000000001</v>
      </c>
      <c r="M208" s="844">
        <v>0</v>
      </c>
      <c r="N208" s="189" t="s">
        <v>123</v>
      </c>
      <c r="O208" s="1"/>
      <c r="P208" s="189" t="s">
        <v>1125</v>
      </c>
      <c r="Q208" s="190" t="s">
        <v>1126</v>
      </c>
      <c r="R208" s="188">
        <v>45857</v>
      </c>
      <c r="S208" s="193" t="s">
        <v>215</v>
      </c>
      <c r="T208" s="192"/>
      <c r="U208" s="829"/>
      <c r="V208" s="10" t="s">
        <v>1012</v>
      </c>
      <c r="W208" s="10" t="s">
        <v>513</v>
      </c>
      <c r="X208" s="10"/>
      <c r="Y208" s="10"/>
      <c r="Z208" s="10"/>
      <c r="AA208" s="11"/>
      <c r="AB208" s="11"/>
      <c r="AD208" s="260"/>
    </row>
    <row r="209" spans="2:30" x14ac:dyDescent="0.3">
      <c r="B209" s="10" t="s">
        <v>290</v>
      </c>
      <c r="C209" s="549" t="s">
        <v>2514</v>
      </c>
      <c r="D209" s="868" t="s">
        <v>228</v>
      </c>
      <c r="E209" s="837" t="str">
        <f>IFERROR(IF(_xlfn.XLOOKUP(Imput[[#This Row],[RFC]],'Alta Proveedor'!D:D,'Alta Proveedor'!E:E)=0,"",_xlfn.XLOOKUP(Imput[[#This Row],[RFC]],'Alta Proveedor'!D:D,'Alta Proveedor'!E:E)),"")</f>
        <v>ROSA FRANCISCA VAZQUEZ RODRIGUEZ</v>
      </c>
      <c r="F209" s="832" t="s">
        <v>1210</v>
      </c>
      <c r="G209" s="187">
        <v>2</v>
      </c>
      <c r="H209" s="1">
        <v>170.69</v>
      </c>
      <c r="I209" s="169">
        <f>Imput[[#This Row],[Cantidad]]*Imput[[#This Row],[Precio Unitario]]</f>
        <v>341.38</v>
      </c>
      <c r="J209" s="11">
        <f>((Imput[[#This Row],[Sub total]])*0.16)</f>
        <v>54.620800000000003</v>
      </c>
      <c r="K209" s="11">
        <v>0</v>
      </c>
      <c r="L209" s="169">
        <f>Imput[[#This Row],[Sub total]]+Imput[[#This Row],[IVA]]-Imput[[#This Row],[Retención / IEPS / Descuento]]</f>
        <v>396.00080000000003</v>
      </c>
      <c r="M209" s="844">
        <v>0</v>
      </c>
      <c r="N209" s="189" t="s">
        <v>123</v>
      </c>
      <c r="O209" s="1"/>
      <c r="P209" s="189" t="s">
        <v>1125</v>
      </c>
      <c r="Q209" s="190" t="s">
        <v>1126</v>
      </c>
      <c r="R209" s="188">
        <v>45857</v>
      </c>
      <c r="S209" s="193" t="s">
        <v>215</v>
      </c>
      <c r="T209" s="192"/>
      <c r="U209" s="829"/>
      <c r="V209" s="10" t="s">
        <v>1012</v>
      </c>
      <c r="W209" s="10" t="s">
        <v>513</v>
      </c>
      <c r="X209" s="10"/>
      <c r="Y209" s="10"/>
      <c r="Z209" s="10"/>
      <c r="AA209" s="11"/>
      <c r="AB209" s="11"/>
      <c r="AD209" s="260"/>
    </row>
    <row r="210" spans="2:30" x14ac:dyDescent="0.3">
      <c r="B210" s="10" t="s">
        <v>290</v>
      </c>
      <c r="C210" s="315" t="s">
        <v>2235</v>
      </c>
      <c r="D210" s="868" t="s">
        <v>228</v>
      </c>
      <c r="E210" s="837" t="str">
        <f>IFERROR(IF(_xlfn.XLOOKUP(Imput[[#This Row],[RFC]],'Alta Proveedor'!D:D,'Alta Proveedor'!E:E)=0,"",_xlfn.XLOOKUP(Imput[[#This Row],[RFC]],'Alta Proveedor'!D:D,'Alta Proveedor'!E:E)),"")</f>
        <v>ROSA FRANCISCA VAZQUEZ RODRIGUEZ</v>
      </c>
      <c r="F210" s="832" t="s">
        <v>1197</v>
      </c>
      <c r="G210" s="187">
        <v>1</v>
      </c>
      <c r="H210" s="1">
        <v>59.482999999999997</v>
      </c>
      <c r="I210" s="169">
        <f>Imput[[#This Row],[Cantidad]]*Imput[[#This Row],[Precio Unitario]]</f>
        <v>59.482999999999997</v>
      </c>
      <c r="J210" s="11">
        <f>((Imput[[#This Row],[Sub total]])*0.16)</f>
        <v>9.5172799999999995</v>
      </c>
      <c r="K210" s="11">
        <v>0</v>
      </c>
      <c r="L210" s="169">
        <f>Imput[[#This Row],[Sub total]]+Imput[[#This Row],[IVA]]-Imput[[#This Row],[Retención / IEPS / Descuento]]</f>
        <v>69.000280000000004</v>
      </c>
      <c r="M210" s="844">
        <v>0</v>
      </c>
      <c r="N210" s="189" t="s">
        <v>123</v>
      </c>
      <c r="O210" s="1"/>
      <c r="P210" s="189" t="s">
        <v>1125</v>
      </c>
      <c r="Q210" s="190" t="s">
        <v>1126</v>
      </c>
      <c r="R210" s="188">
        <v>45857</v>
      </c>
      <c r="S210" s="193" t="s">
        <v>215</v>
      </c>
      <c r="T210" s="192"/>
      <c r="U210" s="829"/>
      <c r="V210" s="10" t="s">
        <v>1012</v>
      </c>
      <c r="W210" s="10" t="s">
        <v>3795</v>
      </c>
      <c r="X210" s="10"/>
      <c r="Y210" s="10"/>
      <c r="Z210" s="10"/>
      <c r="AA210" s="11"/>
      <c r="AB210" s="11"/>
      <c r="AD210" s="260"/>
    </row>
    <row r="211" spans="2:30" x14ac:dyDescent="0.3">
      <c r="B211" s="10" t="s">
        <v>290</v>
      </c>
      <c r="C211" s="315" t="s">
        <v>2335</v>
      </c>
      <c r="D211" s="868" t="s">
        <v>3119</v>
      </c>
      <c r="E211" s="837" t="str">
        <f>IFERROR(IF(_xlfn.XLOOKUP(Imput[[#This Row],[RFC]],'Alta Proveedor'!D:D,'Alta Proveedor'!E:E)=0,"",_xlfn.XLOOKUP(Imput[[#This Row],[RFC]],'Alta Proveedor'!D:D,'Alta Proveedor'!E:E)),"")</f>
        <v>Nomina-OPERACIÓN</v>
      </c>
      <c r="F211" s="836" t="s">
        <v>3133</v>
      </c>
      <c r="G211" s="187">
        <v>1</v>
      </c>
      <c r="H211" s="1">
        <v>3482.14</v>
      </c>
      <c r="I211" s="169">
        <f>Imput[[#This Row],[Cantidad]]*Imput[[#This Row],[Precio Unitario]]</f>
        <v>3482.14</v>
      </c>
      <c r="J211" s="11">
        <f>Imput[[#This Row],[Sub total]]*0.08</f>
        <v>278.57119999999998</v>
      </c>
      <c r="K211" s="11">
        <v>0</v>
      </c>
      <c r="L211" s="169">
        <f>Imput[[#This Row],[Sub total]]+Imput[[#This Row],[IVA]]-Imput[[#This Row],[Retención / IEPS / Descuento]]</f>
        <v>3760.7111999999997</v>
      </c>
      <c r="M211" s="844">
        <v>3760.7111999999997</v>
      </c>
      <c r="N211" s="189"/>
      <c r="O211" s="1"/>
      <c r="P211" s="189"/>
      <c r="Q211" s="190"/>
      <c r="R211" s="188">
        <v>45857</v>
      </c>
      <c r="S211" s="193"/>
      <c r="T211" s="192"/>
      <c r="U211" s="867" t="s">
        <v>3225</v>
      </c>
      <c r="V211" s="10" t="s">
        <v>3108</v>
      </c>
      <c r="W211" s="10" t="s">
        <v>3793</v>
      </c>
      <c r="X211" s="10"/>
      <c r="Y211" s="10"/>
      <c r="Z211" s="10"/>
      <c r="AA211" s="11"/>
      <c r="AB211" s="11"/>
      <c r="AD211" s="260"/>
    </row>
    <row r="212" spans="2:30" x14ac:dyDescent="0.3">
      <c r="B212" s="10" t="s">
        <v>290</v>
      </c>
      <c r="C212" s="315" t="s">
        <v>2335</v>
      </c>
      <c r="D212" s="868" t="s">
        <v>3119</v>
      </c>
      <c r="E212" s="837" t="str">
        <f>IFERROR(IF(_xlfn.XLOOKUP(Imput[[#This Row],[RFC]],'Alta Proveedor'!D:D,'Alta Proveedor'!E:E)=0,"",_xlfn.XLOOKUP(Imput[[#This Row],[RFC]],'Alta Proveedor'!D:D,'Alta Proveedor'!E:E)),"")</f>
        <v>Nomina-OPERACIÓN</v>
      </c>
      <c r="F212" s="836" t="s">
        <v>3134</v>
      </c>
      <c r="G212" s="187">
        <v>1</v>
      </c>
      <c r="H212" s="1">
        <v>6250</v>
      </c>
      <c r="I212" s="169">
        <f>Imput[[#This Row],[Cantidad]]*Imput[[#This Row],[Precio Unitario]]</f>
        <v>6250</v>
      </c>
      <c r="J212" s="11">
        <f>Imput[[#This Row],[Sub total]]*0.08</f>
        <v>500</v>
      </c>
      <c r="K212" s="11">
        <v>0</v>
      </c>
      <c r="L212" s="169">
        <f>Imput[[#This Row],[Sub total]]+Imput[[#This Row],[IVA]]-Imput[[#This Row],[Retención / IEPS / Descuento]]</f>
        <v>6750</v>
      </c>
      <c r="M212" s="844">
        <v>6750</v>
      </c>
      <c r="N212" s="189"/>
      <c r="O212" s="1"/>
      <c r="P212" s="189"/>
      <c r="Q212" s="190"/>
      <c r="R212" s="188">
        <v>45857</v>
      </c>
      <c r="S212" s="193"/>
      <c r="T212" s="192"/>
      <c r="U212" s="867" t="s">
        <v>3225</v>
      </c>
      <c r="V212" s="10" t="s">
        <v>3108</v>
      </c>
      <c r="W212" s="10" t="s">
        <v>3793</v>
      </c>
      <c r="X212" s="10"/>
      <c r="Y212" s="10"/>
      <c r="Z212" s="10"/>
      <c r="AA212" s="11"/>
      <c r="AB212" s="11"/>
      <c r="AD212" s="260"/>
    </row>
    <row r="213" spans="2:30" x14ac:dyDescent="0.3">
      <c r="B213" s="10" t="s">
        <v>290</v>
      </c>
      <c r="C213" s="315" t="s">
        <v>2335</v>
      </c>
      <c r="D213" s="868" t="s">
        <v>3119</v>
      </c>
      <c r="E213" s="837" t="str">
        <f>IFERROR(IF(_xlfn.XLOOKUP(Imput[[#This Row],[RFC]],'Alta Proveedor'!D:D,'Alta Proveedor'!E:E)=0,"",_xlfn.XLOOKUP(Imput[[#This Row],[RFC]],'Alta Proveedor'!D:D,'Alta Proveedor'!E:E)),"")</f>
        <v>Nomina-OPERACIÓN</v>
      </c>
      <c r="F213" s="836" t="s">
        <v>3135</v>
      </c>
      <c r="G213" s="187">
        <v>1</v>
      </c>
      <c r="H213" s="1">
        <v>1607.14</v>
      </c>
      <c r="I213" s="169">
        <f>Imput[[#This Row],[Cantidad]]*Imput[[#This Row],[Precio Unitario]]</f>
        <v>1607.14</v>
      </c>
      <c r="J213" s="11">
        <f>Imput[[#This Row],[Sub total]]*0.08</f>
        <v>128.5712</v>
      </c>
      <c r="K213" s="11">
        <v>0</v>
      </c>
      <c r="L213" s="169">
        <f>Imput[[#This Row],[Sub total]]+Imput[[#This Row],[IVA]]-Imput[[#This Row],[Retención / IEPS / Descuento]]</f>
        <v>1735.7112000000002</v>
      </c>
      <c r="M213" s="844">
        <v>1735.7112000000002</v>
      </c>
      <c r="N213" s="189"/>
      <c r="O213" s="1"/>
      <c r="P213" s="189"/>
      <c r="Q213" s="190"/>
      <c r="R213" s="188">
        <v>45857</v>
      </c>
      <c r="S213" s="193"/>
      <c r="T213" s="192"/>
      <c r="U213" s="867" t="s">
        <v>3225</v>
      </c>
      <c r="V213" s="10" t="s">
        <v>3108</v>
      </c>
      <c r="W213" s="10" t="s">
        <v>3793</v>
      </c>
      <c r="X213" s="10"/>
      <c r="Y213" s="10"/>
      <c r="Z213" s="10"/>
      <c r="AA213" s="11"/>
      <c r="AB213" s="11"/>
      <c r="AD213" s="260"/>
    </row>
    <row r="214" spans="2:30" x14ac:dyDescent="0.3">
      <c r="B214" s="10" t="s">
        <v>290</v>
      </c>
      <c r="C214" s="315" t="s">
        <v>2335</v>
      </c>
      <c r="D214" s="868" t="s">
        <v>3119</v>
      </c>
      <c r="E214" s="837" t="str">
        <f>IFERROR(IF(_xlfn.XLOOKUP(Imput[[#This Row],[RFC]],'Alta Proveedor'!D:D,'Alta Proveedor'!E:E)=0,"",_xlfn.XLOOKUP(Imput[[#This Row],[RFC]],'Alta Proveedor'!D:D,'Alta Proveedor'!E:E)),"")</f>
        <v>Nomina-OPERACIÓN</v>
      </c>
      <c r="F214" s="836" t="s">
        <v>3136</v>
      </c>
      <c r="G214" s="187">
        <v>1</v>
      </c>
      <c r="H214" s="1">
        <v>4864.28</v>
      </c>
      <c r="I214" s="169">
        <f>Imput[[#This Row],[Cantidad]]*Imput[[#This Row],[Precio Unitario]]</f>
        <v>4864.28</v>
      </c>
      <c r="J214" s="11">
        <f>Imput[[#This Row],[Sub total]]*0.08</f>
        <v>389.14240000000001</v>
      </c>
      <c r="K214" s="11">
        <v>0</v>
      </c>
      <c r="L214" s="169">
        <f>Imput[[#This Row],[Sub total]]+Imput[[#This Row],[IVA]]-Imput[[#This Row],[Retención / IEPS / Descuento]]</f>
        <v>5253.4223999999995</v>
      </c>
      <c r="M214" s="844">
        <v>5253.4223999999995</v>
      </c>
      <c r="N214" s="189"/>
      <c r="O214" s="1"/>
      <c r="P214" s="189"/>
      <c r="Q214" s="190"/>
      <c r="R214" s="188">
        <v>45857</v>
      </c>
      <c r="S214" s="193"/>
      <c r="T214" s="192"/>
      <c r="U214" s="867" t="s">
        <v>3225</v>
      </c>
      <c r="V214" s="10" t="s">
        <v>3108</v>
      </c>
      <c r="W214" s="10" t="s">
        <v>3793</v>
      </c>
      <c r="X214" s="10"/>
      <c r="Y214" s="10"/>
      <c r="Z214" s="10"/>
      <c r="AA214" s="11"/>
      <c r="AB214" s="11"/>
      <c r="AD214" s="260"/>
    </row>
    <row r="215" spans="2:30" x14ac:dyDescent="0.3">
      <c r="B215" s="10" t="s">
        <v>290</v>
      </c>
      <c r="C215" s="315" t="s">
        <v>2335</v>
      </c>
      <c r="D215" s="868" t="s">
        <v>3119</v>
      </c>
      <c r="E215" s="837" t="str">
        <f>IFERROR(IF(_xlfn.XLOOKUP(Imput[[#This Row],[RFC]],'Alta Proveedor'!D:D,'Alta Proveedor'!E:E)=0,"",_xlfn.XLOOKUP(Imput[[#This Row],[RFC]],'Alta Proveedor'!D:D,'Alta Proveedor'!E:E)),"")</f>
        <v>Nomina-OPERACIÓN</v>
      </c>
      <c r="F215" s="836" t="s">
        <v>3137</v>
      </c>
      <c r="G215" s="187">
        <v>1</v>
      </c>
      <c r="H215" s="1">
        <v>6000</v>
      </c>
      <c r="I215" s="169">
        <f>Imput[[#This Row],[Cantidad]]*Imput[[#This Row],[Precio Unitario]]</f>
        <v>6000</v>
      </c>
      <c r="J215" s="11">
        <f>Imput[[#This Row],[Sub total]]*0.08</f>
        <v>480</v>
      </c>
      <c r="K215" s="11">
        <v>0</v>
      </c>
      <c r="L215" s="169">
        <f>Imput[[#This Row],[Sub total]]+Imput[[#This Row],[IVA]]-Imput[[#This Row],[Retención / IEPS / Descuento]]</f>
        <v>6480</v>
      </c>
      <c r="M215" s="844">
        <v>6480</v>
      </c>
      <c r="N215" s="189"/>
      <c r="O215" s="1"/>
      <c r="P215" s="189"/>
      <c r="Q215" s="190"/>
      <c r="R215" s="188">
        <v>45857</v>
      </c>
      <c r="S215" s="193"/>
      <c r="T215" s="192"/>
      <c r="U215" s="867" t="s">
        <v>3225</v>
      </c>
      <c r="V215" s="10" t="s">
        <v>3108</v>
      </c>
      <c r="W215" s="10" t="s">
        <v>3793</v>
      </c>
      <c r="X215" s="10"/>
      <c r="Y215" s="10"/>
      <c r="Z215" s="10"/>
      <c r="AA215" s="11"/>
      <c r="AB215" s="11"/>
      <c r="AD215" s="260"/>
    </row>
    <row r="216" spans="2:30" x14ac:dyDescent="0.3">
      <c r="B216" s="10" t="s">
        <v>290</v>
      </c>
      <c r="C216" s="315" t="s">
        <v>2335</v>
      </c>
      <c r="D216" s="868" t="s">
        <v>3119</v>
      </c>
      <c r="E216" s="837" t="str">
        <f>IFERROR(IF(_xlfn.XLOOKUP(Imput[[#This Row],[RFC]],'Alta Proveedor'!D:D,'Alta Proveedor'!E:E)=0,"",_xlfn.XLOOKUP(Imput[[#This Row],[RFC]],'Alta Proveedor'!D:D,'Alta Proveedor'!E:E)),"")</f>
        <v>Nomina-OPERACIÓN</v>
      </c>
      <c r="F216" s="836" t="s">
        <v>3138</v>
      </c>
      <c r="G216" s="187">
        <v>1</v>
      </c>
      <c r="H216" s="1">
        <v>5250</v>
      </c>
      <c r="I216" s="169">
        <f>Imput[[#This Row],[Cantidad]]*Imput[[#This Row],[Precio Unitario]]</f>
        <v>5250</v>
      </c>
      <c r="J216" s="11">
        <f>Imput[[#This Row],[Sub total]]*0.08</f>
        <v>420</v>
      </c>
      <c r="K216" s="11">
        <v>0</v>
      </c>
      <c r="L216" s="169">
        <f>Imput[[#This Row],[Sub total]]+Imput[[#This Row],[IVA]]-Imput[[#This Row],[Retención / IEPS / Descuento]]</f>
        <v>5670</v>
      </c>
      <c r="M216" s="844">
        <v>5670</v>
      </c>
      <c r="N216" s="189"/>
      <c r="O216" s="1"/>
      <c r="P216" s="189"/>
      <c r="Q216" s="190"/>
      <c r="R216" s="188">
        <v>45857</v>
      </c>
      <c r="S216" s="193"/>
      <c r="T216" s="192"/>
      <c r="U216" s="867" t="s">
        <v>3225</v>
      </c>
      <c r="V216" s="10" t="s">
        <v>3108</v>
      </c>
      <c r="W216" s="10" t="s">
        <v>3793</v>
      </c>
      <c r="X216" s="10"/>
      <c r="Y216" s="10"/>
      <c r="Z216" s="10"/>
      <c r="AA216" s="11"/>
      <c r="AB216" s="11"/>
      <c r="AD216" s="260"/>
    </row>
    <row r="217" spans="2:30" x14ac:dyDescent="0.3">
      <c r="B217" s="10" t="s">
        <v>290</v>
      </c>
      <c r="C217" s="315" t="s">
        <v>2335</v>
      </c>
      <c r="D217" s="868" t="s">
        <v>3119</v>
      </c>
      <c r="E217" s="837" t="str">
        <f>IFERROR(IF(_xlfn.XLOOKUP(Imput[[#This Row],[RFC]],'Alta Proveedor'!D:D,'Alta Proveedor'!E:E)=0,"",_xlfn.XLOOKUP(Imput[[#This Row],[RFC]],'Alta Proveedor'!D:D,'Alta Proveedor'!E:E)),"")</f>
        <v>Nomina-OPERACIÓN</v>
      </c>
      <c r="F217" s="836" t="s">
        <v>3139</v>
      </c>
      <c r="G217" s="187">
        <v>1</v>
      </c>
      <c r="H217" s="1">
        <v>3000</v>
      </c>
      <c r="I217" s="169">
        <f>Imput[[#This Row],[Cantidad]]*Imput[[#This Row],[Precio Unitario]]</f>
        <v>3000</v>
      </c>
      <c r="J217" s="11">
        <f>Imput[[#This Row],[Sub total]]*0.08</f>
        <v>240</v>
      </c>
      <c r="K217" s="11">
        <v>0</v>
      </c>
      <c r="L217" s="169">
        <f>Imput[[#This Row],[Sub total]]+Imput[[#This Row],[IVA]]-Imput[[#This Row],[Retención / IEPS / Descuento]]</f>
        <v>3240</v>
      </c>
      <c r="M217" s="844">
        <v>3240</v>
      </c>
      <c r="N217" s="189"/>
      <c r="O217" s="1"/>
      <c r="P217" s="189"/>
      <c r="Q217" s="190"/>
      <c r="R217" s="188">
        <v>45857</v>
      </c>
      <c r="S217" s="193"/>
      <c r="T217" s="192"/>
      <c r="U217" s="867" t="s">
        <v>3225</v>
      </c>
      <c r="V217" s="10" t="s">
        <v>3108</v>
      </c>
      <c r="W217" s="10" t="s">
        <v>3793</v>
      </c>
      <c r="X217" s="10"/>
      <c r="Y217" s="10"/>
      <c r="Z217" s="10"/>
      <c r="AA217" s="11"/>
      <c r="AB217" s="11"/>
      <c r="AD217" s="260"/>
    </row>
    <row r="218" spans="2:30" x14ac:dyDescent="0.3">
      <c r="B218" s="10" t="s">
        <v>290</v>
      </c>
      <c r="C218" s="315" t="s">
        <v>2335</v>
      </c>
      <c r="D218" s="868" t="s">
        <v>3225</v>
      </c>
      <c r="E218" s="837" t="str">
        <f>IFERROR(IF(_xlfn.XLOOKUP(Imput[[#This Row],[RFC]],'Alta Proveedor'!D:D,'Alta Proveedor'!E:E)=0,"",_xlfn.XLOOKUP(Imput[[#This Row],[RFC]],'Alta Proveedor'!D:D,'Alta Proveedor'!E:E)),"")</f>
        <v>GASTOS SIN FACTURA</v>
      </c>
      <c r="F218" s="836" t="s">
        <v>3193</v>
      </c>
      <c r="G218" s="187">
        <v>1</v>
      </c>
      <c r="H218" s="1">
        <v>8465.0300000000007</v>
      </c>
      <c r="I218" s="169">
        <f>Imput[[#This Row],[Cantidad]]*Imput[[#This Row],[Precio Unitario]]</f>
        <v>8465.0300000000007</v>
      </c>
      <c r="J218" s="11">
        <f>Imput[[#This Row],[Sub total]]*0.08</f>
        <v>677.20240000000001</v>
      </c>
      <c r="K218" s="11">
        <v>0</v>
      </c>
      <c r="L218" s="169">
        <f>Imput[[#This Row],[Sub total]]+Imput[[#This Row],[IVA]]-Imput[[#This Row],[Retención / IEPS / Descuento]]</f>
        <v>9142.2324000000008</v>
      </c>
      <c r="M218" s="844">
        <v>9142.2324000000008</v>
      </c>
      <c r="N218" s="189"/>
      <c r="O218" s="1"/>
      <c r="P218" s="189"/>
      <c r="Q218" s="190"/>
      <c r="R218" s="188">
        <v>45857</v>
      </c>
      <c r="S218" s="193"/>
      <c r="T218" s="192"/>
      <c r="U218" s="867" t="s">
        <v>3225</v>
      </c>
      <c r="V218" s="10" t="s">
        <v>3108</v>
      </c>
      <c r="W218" s="10" t="s">
        <v>3793</v>
      </c>
      <c r="X218" s="10"/>
      <c r="Y218" s="10"/>
      <c r="Z218" s="10"/>
      <c r="AA218" s="11"/>
      <c r="AB218" s="11"/>
      <c r="AD218" s="260"/>
    </row>
    <row r="219" spans="2:30" x14ac:dyDescent="0.3">
      <c r="B219" s="10" t="s">
        <v>290</v>
      </c>
      <c r="C219" s="315" t="s">
        <v>2335</v>
      </c>
      <c r="D219" s="868" t="s">
        <v>3225</v>
      </c>
      <c r="E219" s="837" t="str">
        <f>IFERROR(IF(_xlfn.XLOOKUP(Imput[[#This Row],[RFC]],'Alta Proveedor'!D:D,'Alta Proveedor'!E:E)=0,"",_xlfn.XLOOKUP(Imput[[#This Row],[RFC]],'Alta Proveedor'!D:D,'Alta Proveedor'!E:E)),"")</f>
        <v>GASTOS SIN FACTURA</v>
      </c>
      <c r="F219" s="836" t="s">
        <v>3194</v>
      </c>
      <c r="G219" s="187">
        <v>1</v>
      </c>
      <c r="H219" s="1">
        <v>1563</v>
      </c>
      <c r="I219" s="169">
        <f>Imput[[#This Row],[Cantidad]]*Imput[[#This Row],[Precio Unitario]]</f>
        <v>1563</v>
      </c>
      <c r="J219" s="11">
        <f>Imput[[#This Row],[Sub total]]*0.08</f>
        <v>125.04</v>
      </c>
      <c r="K219" s="11">
        <v>0</v>
      </c>
      <c r="L219" s="169">
        <f>Imput[[#This Row],[Sub total]]+Imput[[#This Row],[IVA]]-Imput[[#This Row],[Retención / IEPS / Descuento]]</f>
        <v>1688.04</v>
      </c>
      <c r="M219" s="844">
        <v>1688.04</v>
      </c>
      <c r="N219" s="189"/>
      <c r="O219" s="1"/>
      <c r="P219" s="189"/>
      <c r="Q219" s="190"/>
      <c r="R219" s="188">
        <v>45857</v>
      </c>
      <c r="S219" s="193"/>
      <c r="T219" s="192"/>
      <c r="U219" s="867" t="s">
        <v>3225</v>
      </c>
      <c r="V219" s="10" t="s">
        <v>3108</v>
      </c>
      <c r="W219" s="10" t="s">
        <v>3793</v>
      </c>
      <c r="X219" s="10"/>
      <c r="Y219" s="10"/>
      <c r="Z219" s="10"/>
      <c r="AA219" s="11"/>
      <c r="AB219" s="11"/>
      <c r="AD219" s="260"/>
    </row>
    <row r="220" spans="2:30" x14ac:dyDescent="0.3">
      <c r="B220" s="10" t="s">
        <v>290</v>
      </c>
      <c r="C220" s="315" t="s">
        <v>1845</v>
      </c>
      <c r="D220" s="868" t="s">
        <v>3225</v>
      </c>
      <c r="E220" s="837" t="str">
        <f>IFERROR(IF(_xlfn.XLOOKUP(Imput[[#This Row],[RFC]],'Alta Proveedor'!D:D,'Alta Proveedor'!E:E)=0,"",_xlfn.XLOOKUP(Imput[[#This Row],[RFC]],'Alta Proveedor'!D:D,'Alta Proveedor'!E:E)),"")</f>
        <v>GASTOS SIN FACTURA</v>
      </c>
      <c r="F220" s="836" t="s">
        <v>3195</v>
      </c>
      <c r="G220" s="187">
        <v>1</v>
      </c>
      <c r="H220" s="1">
        <v>900</v>
      </c>
      <c r="I220" s="169">
        <f>Imput[[#This Row],[Cantidad]]*Imput[[#This Row],[Precio Unitario]]</f>
        <v>900</v>
      </c>
      <c r="J220" s="11">
        <f>Imput[[#This Row],[Sub total]]*0.08</f>
        <v>72</v>
      </c>
      <c r="K220" s="11">
        <v>0</v>
      </c>
      <c r="L220" s="169">
        <f>Imput[[#This Row],[Sub total]]+Imput[[#This Row],[IVA]]-Imput[[#This Row],[Retención / IEPS / Descuento]]</f>
        <v>972</v>
      </c>
      <c r="M220" s="844">
        <v>972</v>
      </c>
      <c r="N220" s="189"/>
      <c r="O220" s="1"/>
      <c r="P220" s="189"/>
      <c r="Q220" s="190"/>
      <c r="R220" s="188">
        <v>45857</v>
      </c>
      <c r="S220" s="193"/>
      <c r="T220" s="192"/>
      <c r="U220" s="867" t="s">
        <v>3225</v>
      </c>
      <c r="V220" s="10" t="s">
        <v>3789</v>
      </c>
      <c r="W220" s="10" t="s">
        <v>3804</v>
      </c>
      <c r="X220" s="10"/>
      <c r="Y220" s="10"/>
      <c r="Z220" s="10"/>
      <c r="AA220" s="11"/>
      <c r="AB220" s="11"/>
      <c r="AD220" s="260"/>
    </row>
    <row r="221" spans="2:30" x14ac:dyDescent="0.3">
      <c r="B221" s="10" t="s">
        <v>290</v>
      </c>
      <c r="C221" s="315" t="s">
        <v>2334</v>
      </c>
      <c r="D221" s="868" t="s">
        <v>3225</v>
      </c>
      <c r="E221" s="837" t="str">
        <f>IFERROR(IF(_xlfn.XLOOKUP(Imput[[#This Row],[RFC]],'Alta Proveedor'!D:D,'Alta Proveedor'!E:E)=0,"",_xlfn.XLOOKUP(Imput[[#This Row],[RFC]],'Alta Proveedor'!D:D,'Alta Proveedor'!E:E)),"")</f>
        <v>GASTOS SIN FACTURA</v>
      </c>
      <c r="F221" s="836" t="s">
        <v>3196</v>
      </c>
      <c r="G221" s="187">
        <v>1</v>
      </c>
      <c r="H221" s="1">
        <v>3554.02</v>
      </c>
      <c r="I221" s="169">
        <f>Imput[[#This Row],[Cantidad]]*Imput[[#This Row],[Precio Unitario]]</f>
        <v>3554.02</v>
      </c>
      <c r="J221" s="11">
        <f>Imput[[#This Row],[Sub total]]*0.08</f>
        <v>284.32159999999999</v>
      </c>
      <c r="K221" s="11">
        <v>0</v>
      </c>
      <c r="L221" s="169">
        <f>Imput[[#This Row],[Sub total]]+Imput[[#This Row],[IVA]]-Imput[[#This Row],[Retención / IEPS / Descuento]]</f>
        <v>3838.3415999999997</v>
      </c>
      <c r="M221" s="844">
        <v>3838.3415999999997</v>
      </c>
      <c r="N221" s="189"/>
      <c r="O221" s="1"/>
      <c r="P221" s="189"/>
      <c r="Q221" s="190"/>
      <c r="R221" s="188">
        <v>45857</v>
      </c>
      <c r="S221" s="193"/>
      <c r="T221" s="192"/>
      <c r="U221" s="867" t="s">
        <v>3225</v>
      </c>
      <c r="V221" s="10" t="s">
        <v>3324</v>
      </c>
      <c r="W221" s="10" t="s">
        <v>3327</v>
      </c>
      <c r="X221" s="10"/>
      <c r="Y221" s="10"/>
      <c r="Z221" s="10"/>
      <c r="AA221" s="11"/>
      <c r="AB221" s="11"/>
      <c r="AD221" s="260"/>
    </row>
    <row r="222" spans="2:30" x14ac:dyDescent="0.3">
      <c r="B222" s="10" t="s">
        <v>290</v>
      </c>
      <c r="C222" s="315" t="s">
        <v>1763</v>
      </c>
      <c r="D222" s="868" t="s">
        <v>1036</v>
      </c>
      <c r="E222" s="837" t="str">
        <f>IFERROR(IF(_xlfn.XLOOKUP(Imput[[#This Row],[RFC]],'Alta Proveedor'!D:D,'Alta Proveedor'!E:E)=0,"",_xlfn.XLOOKUP(Imput[[#This Row],[RFC]],'Alta Proveedor'!D:D,'Alta Proveedor'!E:E)),"")</f>
        <v>AUTOZONE DE MEXICO</v>
      </c>
      <c r="F222" s="832" t="s">
        <v>1038</v>
      </c>
      <c r="G222" s="187">
        <v>1</v>
      </c>
      <c r="H222" s="1">
        <f>99.03</f>
        <v>99.03</v>
      </c>
      <c r="I222" s="169">
        <f>Imput[[#This Row],[Cantidad]]*Imput[[#This Row],[Precio Unitario]]</f>
        <v>99.03</v>
      </c>
      <c r="J222" s="11">
        <f>((Imput[[#This Row],[Sub total]]-30.5)*0.16014)</f>
        <v>10.974394200000001</v>
      </c>
      <c r="K222" s="11">
        <v>30.5</v>
      </c>
      <c r="L222" s="169">
        <f>Imput[[#This Row],[Sub total]]+Imput[[#This Row],[IVA]]-Imput[[#This Row],[Retención / IEPS / Descuento]]</f>
        <v>79.504394200000007</v>
      </c>
      <c r="M222" s="844">
        <v>1114.9995884</v>
      </c>
      <c r="N222" s="189" t="s">
        <v>123</v>
      </c>
      <c r="O222" s="1"/>
      <c r="P222" s="189" t="s">
        <v>1034</v>
      </c>
      <c r="Q222" s="190" t="s">
        <v>1035</v>
      </c>
      <c r="R222" s="188">
        <v>45858</v>
      </c>
      <c r="S222" s="193" t="s">
        <v>126</v>
      </c>
      <c r="T222" s="192"/>
      <c r="U222" s="829"/>
      <c r="V222" s="10" t="s">
        <v>1012</v>
      </c>
      <c r="W222" s="10" t="s">
        <v>3795</v>
      </c>
      <c r="X222" s="10"/>
      <c r="Y222" s="10"/>
      <c r="Z222" s="10"/>
      <c r="AA222" s="11"/>
      <c r="AB222" s="11"/>
      <c r="AD222" s="260"/>
    </row>
    <row r="223" spans="2:30" x14ac:dyDescent="0.3">
      <c r="B223" s="10" t="s">
        <v>290</v>
      </c>
      <c r="C223" s="315" t="s">
        <v>1763</v>
      </c>
      <c r="D223" s="868" t="s">
        <v>1036</v>
      </c>
      <c r="E223" s="837" t="str">
        <f>IFERROR(IF(_xlfn.XLOOKUP(Imput[[#This Row],[RFC]],'Alta Proveedor'!D:D,'Alta Proveedor'!E:E)=0,"",_xlfn.XLOOKUP(Imput[[#This Row],[RFC]],'Alta Proveedor'!D:D,'Alta Proveedor'!E:E)),"")</f>
        <v>AUTOZONE DE MEXICO</v>
      </c>
      <c r="F223" s="832" t="s">
        <v>1038</v>
      </c>
      <c r="G223" s="187">
        <v>1</v>
      </c>
      <c r="H223" s="1">
        <v>99.03</v>
      </c>
      <c r="I223" s="169">
        <f>Imput[[#This Row],[Cantidad]]*Imput[[#This Row],[Precio Unitario]]</f>
        <v>99.03</v>
      </c>
      <c r="J223" s="11">
        <f>((Imput[[#This Row],[Sub total]]-30.5)*0.16014)</f>
        <v>10.974394200000001</v>
      </c>
      <c r="K223" s="11">
        <v>30.5</v>
      </c>
      <c r="L223" s="169">
        <f>Imput[[#This Row],[Sub total]]+Imput[[#This Row],[IVA]]-Imput[[#This Row],[Retención / IEPS / Descuento]]</f>
        <v>79.504394200000007</v>
      </c>
      <c r="M223" s="844">
        <v>0</v>
      </c>
      <c r="N223" s="189" t="s">
        <v>123</v>
      </c>
      <c r="O223" s="1"/>
      <c r="P223" s="189" t="s">
        <v>1034</v>
      </c>
      <c r="Q223" s="190" t="s">
        <v>1035</v>
      </c>
      <c r="R223" s="188">
        <v>45858</v>
      </c>
      <c r="S223" s="193" t="s">
        <v>126</v>
      </c>
      <c r="T223" s="192"/>
      <c r="U223" s="829"/>
      <c r="V223" s="10" t="s">
        <v>1012</v>
      </c>
      <c r="W223" s="10" t="s">
        <v>3795</v>
      </c>
      <c r="X223" s="10"/>
      <c r="Y223" s="10"/>
      <c r="Z223" s="10"/>
      <c r="AA223" s="11"/>
      <c r="AB223" s="11"/>
      <c r="AD223" s="260"/>
    </row>
    <row r="224" spans="2:30" x14ac:dyDescent="0.3">
      <c r="B224" s="10" t="s">
        <v>290</v>
      </c>
      <c r="C224" s="315" t="s">
        <v>2327</v>
      </c>
      <c r="D224" s="868" t="s">
        <v>1036</v>
      </c>
      <c r="E224" s="837" t="str">
        <f>IFERROR(IF(_xlfn.XLOOKUP(Imput[[#This Row],[RFC]],'Alta Proveedor'!D:D,'Alta Proveedor'!E:E)=0,"",_xlfn.XLOOKUP(Imput[[#This Row],[RFC]],'Alta Proveedor'!D:D,'Alta Proveedor'!E:E)),"")</f>
        <v>AUTOZONE DE MEXICO</v>
      </c>
      <c r="F224" s="832" t="s">
        <v>1179</v>
      </c>
      <c r="G224" s="187">
        <v>1</v>
      </c>
      <c r="H224" s="1">
        <v>197.41</v>
      </c>
      <c r="I224" s="169">
        <f>Imput[[#This Row],[Cantidad]]*Imput[[#This Row],[Precio Unitario]]</f>
        <v>197.41</v>
      </c>
      <c r="J224" s="11">
        <f>((Imput[[#This Row],[Sub total]])*0.16)</f>
        <v>31.585599999999999</v>
      </c>
      <c r="K224" s="11">
        <v>0</v>
      </c>
      <c r="L224" s="169">
        <f>Imput[[#This Row],[Sub total]]+Imput[[#This Row],[IVA]]-Imput[[#This Row],[Retención / IEPS / Descuento]]</f>
        <v>228.9956</v>
      </c>
      <c r="M224" s="844">
        <v>0</v>
      </c>
      <c r="N224" s="189" t="s">
        <v>123</v>
      </c>
      <c r="O224" s="1"/>
      <c r="P224" s="189" t="s">
        <v>1034</v>
      </c>
      <c r="Q224" s="190" t="s">
        <v>1035</v>
      </c>
      <c r="R224" s="188">
        <v>45858</v>
      </c>
      <c r="S224" s="193" t="s">
        <v>126</v>
      </c>
      <c r="T224" s="192"/>
      <c r="U224" s="829"/>
      <c r="V224" s="10" t="s">
        <v>1012</v>
      </c>
      <c r="W224" s="10" t="s">
        <v>3795</v>
      </c>
      <c r="X224" s="10"/>
      <c r="Y224" s="10"/>
      <c r="Z224" s="10"/>
      <c r="AA224" s="11"/>
      <c r="AB224" s="11"/>
      <c r="AD224" s="260"/>
    </row>
    <row r="225" spans="2:30" x14ac:dyDescent="0.3">
      <c r="B225" s="10" t="s">
        <v>290</v>
      </c>
      <c r="C225" s="315" t="s">
        <v>2327</v>
      </c>
      <c r="D225" s="868" t="s">
        <v>1036</v>
      </c>
      <c r="E225" s="837" t="str">
        <f>IFERROR(IF(_xlfn.XLOOKUP(Imput[[#This Row],[RFC]],'Alta Proveedor'!D:D,'Alta Proveedor'!E:E)=0,"",_xlfn.XLOOKUP(Imput[[#This Row],[RFC]],'Alta Proveedor'!D:D,'Alta Proveedor'!E:E)),"")</f>
        <v>AUTOZONE DE MEXICO</v>
      </c>
      <c r="F225" s="832" t="s">
        <v>1180</v>
      </c>
      <c r="G225" s="187">
        <v>1</v>
      </c>
      <c r="H225" s="1">
        <v>76.72</v>
      </c>
      <c r="I225" s="169">
        <f>Imput[[#This Row],[Cantidad]]*Imput[[#This Row],[Precio Unitario]]</f>
        <v>76.72</v>
      </c>
      <c r="J225" s="11">
        <f>((Imput[[#This Row],[Sub total]])*0.16)</f>
        <v>12.2752</v>
      </c>
      <c r="K225" s="11">
        <v>0</v>
      </c>
      <c r="L225" s="169">
        <f>Imput[[#This Row],[Sub total]]+Imput[[#This Row],[IVA]]-Imput[[#This Row],[Retención / IEPS / Descuento]]</f>
        <v>88.995199999999997</v>
      </c>
      <c r="M225" s="844">
        <v>0</v>
      </c>
      <c r="N225" s="189" t="s">
        <v>123</v>
      </c>
      <c r="O225" s="1"/>
      <c r="P225" s="189" t="s">
        <v>1034</v>
      </c>
      <c r="Q225" s="190" t="s">
        <v>1035</v>
      </c>
      <c r="R225" s="188">
        <v>45858</v>
      </c>
      <c r="S225" s="193" t="s">
        <v>126</v>
      </c>
      <c r="T225" s="192"/>
      <c r="U225" s="829"/>
      <c r="V225" s="10" t="s">
        <v>1012</v>
      </c>
      <c r="W225" s="10" t="s">
        <v>3795</v>
      </c>
      <c r="X225" s="10"/>
      <c r="Y225" s="10"/>
      <c r="Z225" s="10"/>
      <c r="AA225" s="11"/>
      <c r="AB225" s="11"/>
      <c r="AD225" s="260"/>
    </row>
    <row r="226" spans="2:30" x14ac:dyDescent="0.3">
      <c r="B226" s="10" t="s">
        <v>290</v>
      </c>
      <c r="C226" s="315" t="s">
        <v>2327</v>
      </c>
      <c r="D226" s="868" t="s">
        <v>1036</v>
      </c>
      <c r="E226" s="837" t="str">
        <f>IFERROR(IF(_xlfn.XLOOKUP(Imput[[#This Row],[RFC]],'Alta Proveedor'!D:D,'Alta Proveedor'!E:E)=0,"",_xlfn.XLOOKUP(Imput[[#This Row],[RFC]],'Alta Proveedor'!D:D,'Alta Proveedor'!E:E)),"")</f>
        <v>AUTOZONE DE MEXICO</v>
      </c>
      <c r="F226" s="832" t="s">
        <v>1181</v>
      </c>
      <c r="G226" s="187">
        <v>1</v>
      </c>
      <c r="H226" s="1">
        <v>154.31</v>
      </c>
      <c r="I226" s="169">
        <f>Imput[[#This Row],[Cantidad]]*Imput[[#This Row],[Precio Unitario]]</f>
        <v>154.31</v>
      </c>
      <c r="J226" s="11">
        <f>((Imput[[#This Row],[Sub total]])*0.16)</f>
        <v>24.689600000000002</v>
      </c>
      <c r="K226" s="11">
        <v>0</v>
      </c>
      <c r="L226" s="169">
        <f>Imput[[#This Row],[Sub total]]+Imput[[#This Row],[IVA]]-Imput[[#This Row],[Retención / IEPS / Descuento]]</f>
        <v>178.99960000000002</v>
      </c>
      <c r="M226" s="844">
        <v>0</v>
      </c>
      <c r="N226" s="189" t="s">
        <v>123</v>
      </c>
      <c r="O226" s="1"/>
      <c r="P226" s="189" t="s">
        <v>1034</v>
      </c>
      <c r="Q226" s="190" t="s">
        <v>1035</v>
      </c>
      <c r="R226" s="188">
        <v>45858</v>
      </c>
      <c r="S226" s="193" t="s">
        <v>126</v>
      </c>
      <c r="T226" s="192"/>
      <c r="U226" s="829"/>
      <c r="V226" s="10" t="s">
        <v>1012</v>
      </c>
      <c r="W226" s="10" t="s">
        <v>3795</v>
      </c>
      <c r="X226" s="10"/>
      <c r="Y226" s="10"/>
      <c r="Z226" s="10"/>
      <c r="AA226" s="11"/>
      <c r="AB226" s="11"/>
      <c r="AD226" s="260"/>
    </row>
    <row r="227" spans="2:30" x14ac:dyDescent="0.3">
      <c r="B227" s="10" t="s">
        <v>290</v>
      </c>
      <c r="C227" s="315" t="s">
        <v>2327</v>
      </c>
      <c r="D227" s="868" t="s">
        <v>1036</v>
      </c>
      <c r="E227" s="837" t="str">
        <f>IFERROR(IF(_xlfn.XLOOKUP(Imput[[#This Row],[RFC]],'Alta Proveedor'!D:D,'Alta Proveedor'!E:E)=0,"",_xlfn.XLOOKUP(Imput[[#This Row],[RFC]],'Alta Proveedor'!D:D,'Alta Proveedor'!E:E)),"")</f>
        <v>AUTOZONE DE MEXICO</v>
      </c>
      <c r="F227" s="832" t="s">
        <v>1178</v>
      </c>
      <c r="G227" s="187">
        <v>1</v>
      </c>
      <c r="H227" s="1">
        <v>395.69</v>
      </c>
      <c r="I227" s="169">
        <f>Imput[[#This Row],[Cantidad]]*Imput[[#This Row],[Precio Unitario]]</f>
        <v>395.69</v>
      </c>
      <c r="J227" s="11">
        <f>((Imput[[#This Row],[Sub total]])*0.16)</f>
        <v>63.310400000000001</v>
      </c>
      <c r="K227" s="11">
        <v>0</v>
      </c>
      <c r="L227" s="169">
        <f>Imput[[#This Row],[Sub total]]+Imput[[#This Row],[IVA]]-Imput[[#This Row],[Retención / IEPS / Descuento]]</f>
        <v>459.00040000000001</v>
      </c>
      <c r="M227" s="844">
        <v>0</v>
      </c>
      <c r="N227" s="189" t="s">
        <v>123</v>
      </c>
      <c r="O227" s="1"/>
      <c r="P227" s="189" t="s">
        <v>1034</v>
      </c>
      <c r="Q227" s="190" t="s">
        <v>1035</v>
      </c>
      <c r="R227" s="188">
        <v>45858</v>
      </c>
      <c r="S227" s="193" t="s">
        <v>126</v>
      </c>
      <c r="T227" s="192"/>
      <c r="U227" s="829"/>
      <c r="V227" s="10" t="s">
        <v>1012</v>
      </c>
      <c r="W227" s="10" t="s">
        <v>3795</v>
      </c>
      <c r="X227" s="10"/>
      <c r="Y227" s="10"/>
      <c r="Z227" s="10"/>
      <c r="AA227" s="11"/>
      <c r="AB227" s="11"/>
      <c r="AD227" s="260"/>
    </row>
    <row r="228" spans="2:30" x14ac:dyDescent="0.3">
      <c r="B228" s="10" t="s">
        <v>290</v>
      </c>
      <c r="C228" s="315" t="s">
        <v>1131</v>
      </c>
      <c r="D228" s="868" t="s">
        <v>164</v>
      </c>
      <c r="E228" s="837" t="str">
        <f>IFERROR(IF(_xlfn.XLOOKUP(Imput[[#This Row],[RFC]],'Alta Proveedor'!D:D,'Alta Proveedor'!E:E)=0,"",_xlfn.XLOOKUP(Imput[[#This Row],[RFC]],'Alta Proveedor'!D:D,'Alta Proveedor'!E:E)),"")</f>
        <v>HOME DEPOT MEXICO SUCURSAL THD-8730 TAMPICO</v>
      </c>
      <c r="F228" s="832" t="s">
        <v>2095</v>
      </c>
      <c r="G228" s="187">
        <v>1</v>
      </c>
      <c r="H228" s="1">
        <f>30947.41/Imput[[#This Row],[Cantidad]]</f>
        <v>30947.41</v>
      </c>
      <c r="I228" s="169">
        <f>Imput[[#This Row],[Cantidad]]*Imput[[#This Row],[Precio Unitario]]</f>
        <v>30947.41</v>
      </c>
      <c r="J228" s="11">
        <f>((27843.97)*0.16)</f>
        <v>4455.0352000000003</v>
      </c>
      <c r="K228" s="11">
        <v>3103.44</v>
      </c>
      <c r="L228" s="169">
        <f>Imput[[#This Row],[Sub total]]+Imput[[#This Row],[IVA]]-Imput[[#This Row],[Retención / IEPS / Descuento]]</f>
        <v>32299.005200000003</v>
      </c>
      <c r="M228" s="844">
        <v>44191.800800000005</v>
      </c>
      <c r="N228" s="189" t="s">
        <v>123</v>
      </c>
      <c r="O228" s="1"/>
      <c r="P228" s="189" t="s">
        <v>1081</v>
      </c>
      <c r="Q228" s="190" t="s">
        <v>1082</v>
      </c>
      <c r="R228" s="188">
        <v>45858</v>
      </c>
      <c r="S228" s="193" t="s">
        <v>126</v>
      </c>
      <c r="T228" s="192"/>
      <c r="U228" s="829"/>
      <c r="V228" s="10" t="s">
        <v>3791</v>
      </c>
      <c r="W228" s="10" t="s">
        <v>3803</v>
      </c>
      <c r="X228" s="10"/>
      <c r="Y228" s="10"/>
      <c r="Z228" s="10"/>
      <c r="AA228" s="11"/>
      <c r="AB228" s="11"/>
      <c r="AD228" s="260"/>
    </row>
    <row r="229" spans="2:30" x14ac:dyDescent="0.3">
      <c r="B229" s="10" t="s">
        <v>290</v>
      </c>
      <c r="C229" s="315" t="s">
        <v>1131</v>
      </c>
      <c r="D229" s="868" t="s">
        <v>164</v>
      </c>
      <c r="E229" s="837" t="str">
        <f>IFERROR(IF(_xlfn.XLOOKUP(Imput[[#This Row],[RFC]],'Alta Proveedor'!D:D,'Alta Proveedor'!E:E)=0,"",_xlfn.XLOOKUP(Imput[[#This Row],[RFC]],'Alta Proveedor'!D:D,'Alta Proveedor'!E:E)),"")</f>
        <v>HOME DEPOT MEXICO SUCURSAL THD-8730 TAMPICO</v>
      </c>
      <c r="F229" s="832" t="s">
        <v>2097</v>
      </c>
      <c r="G229" s="187">
        <v>1</v>
      </c>
      <c r="H229" s="1">
        <f>4223.28/Imput[[#This Row],[Cantidad]]</f>
        <v>4223.28</v>
      </c>
      <c r="I229" s="169">
        <f>Imput[[#This Row],[Cantidad]]*Imput[[#This Row],[Precio Unitario]]</f>
        <v>4223.28</v>
      </c>
      <c r="J229" s="11">
        <f>((3619.83)*0.16)</f>
        <v>579.17280000000005</v>
      </c>
      <c r="K229" s="11">
        <v>603.45000000000005</v>
      </c>
      <c r="L229" s="169">
        <f>Imput[[#This Row],[Sub total]]+Imput[[#This Row],[IVA]]-Imput[[#This Row],[Retención / IEPS / Descuento]]</f>
        <v>4199.0028000000002</v>
      </c>
      <c r="M229" s="844">
        <v>0</v>
      </c>
      <c r="N229" s="189" t="s">
        <v>123</v>
      </c>
      <c r="O229" s="1"/>
      <c r="P229" s="189" t="s">
        <v>1081</v>
      </c>
      <c r="Q229" s="190" t="s">
        <v>1082</v>
      </c>
      <c r="R229" s="188">
        <v>45858</v>
      </c>
      <c r="S229" s="193" t="s">
        <v>126</v>
      </c>
      <c r="T229" s="192"/>
      <c r="U229" s="829"/>
      <c r="V229" s="10" t="s">
        <v>3791</v>
      </c>
      <c r="W229" s="10" t="s">
        <v>3803</v>
      </c>
      <c r="X229" s="10"/>
      <c r="Y229" s="10"/>
      <c r="Z229" s="10"/>
      <c r="AA229" s="11"/>
      <c r="AB229" s="11"/>
      <c r="AD229" s="260"/>
    </row>
    <row r="230" spans="2:30" x14ac:dyDescent="0.3">
      <c r="B230" s="10" t="s">
        <v>290</v>
      </c>
      <c r="C230" s="315" t="s">
        <v>2327</v>
      </c>
      <c r="D230" s="868" t="s">
        <v>164</v>
      </c>
      <c r="E230" s="837" t="str">
        <f>IFERROR(IF(_xlfn.XLOOKUP(Imput[[#This Row],[RFC]],'Alta Proveedor'!D:D,'Alta Proveedor'!E:E)=0,"",_xlfn.XLOOKUP(Imput[[#This Row],[RFC]],'Alta Proveedor'!D:D,'Alta Proveedor'!E:E)),"")</f>
        <v>HOME DEPOT MEXICO SUCURSAL THD-8730 TAMPICO</v>
      </c>
      <c r="F230" s="832" t="s">
        <v>1213</v>
      </c>
      <c r="G230" s="187">
        <v>3</v>
      </c>
      <c r="H230" s="1">
        <f>1457.33/Imput[[#This Row],[Cantidad]]</f>
        <v>485.77666666666664</v>
      </c>
      <c r="I230" s="169">
        <f>Imput[[#This Row],[Cantidad]]*Imput[[#This Row],[Precio Unitario]]</f>
        <v>1457.33</v>
      </c>
      <c r="J230" s="11">
        <f>((Imput[[#This Row],[Sub total]])*0.16)</f>
        <v>233.1728</v>
      </c>
      <c r="K230" s="11">
        <v>0</v>
      </c>
      <c r="L230" s="169">
        <f>Imput[[#This Row],[Sub total]]+Imput[[#This Row],[IVA]]-Imput[[#This Row],[Retención / IEPS / Descuento]]</f>
        <v>1690.5028</v>
      </c>
      <c r="M230" s="844">
        <v>0</v>
      </c>
      <c r="N230" s="189" t="s">
        <v>123</v>
      </c>
      <c r="O230" s="1"/>
      <c r="P230" s="189" t="s">
        <v>1081</v>
      </c>
      <c r="Q230" s="190" t="s">
        <v>1082</v>
      </c>
      <c r="R230" s="188">
        <v>45858</v>
      </c>
      <c r="S230" s="193" t="s">
        <v>126</v>
      </c>
      <c r="T230" s="192"/>
      <c r="U230" s="829"/>
      <c r="V230" s="10" t="s">
        <v>1012</v>
      </c>
      <c r="W230" s="10" t="s">
        <v>3795</v>
      </c>
      <c r="X230" s="10"/>
      <c r="Y230" s="10"/>
      <c r="Z230" s="10"/>
      <c r="AA230" s="11"/>
      <c r="AB230" s="11"/>
      <c r="AD230" s="260"/>
    </row>
    <row r="231" spans="2:30" x14ac:dyDescent="0.3">
      <c r="B231" s="10" t="s">
        <v>290</v>
      </c>
      <c r="C231" s="315" t="s">
        <v>2327</v>
      </c>
      <c r="D231" s="868" t="s">
        <v>164</v>
      </c>
      <c r="E231" s="837" t="str">
        <f>IFERROR(IF(_xlfn.XLOOKUP(Imput[[#This Row],[RFC]],'Alta Proveedor'!D:D,'Alta Proveedor'!E:E)=0,"",_xlfn.XLOOKUP(Imput[[#This Row],[RFC]],'Alta Proveedor'!D:D,'Alta Proveedor'!E:E)),"")</f>
        <v>HOME DEPOT MEXICO SUCURSAL THD-8730 TAMPICO</v>
      </c>
      <c r="F231" s="832" t="s">
        <v>295</v>
      </c>
      <c r="G231" s="187">
        <v>2</v>
      </c>
      <c r="H231" s="1">
        <f>1105.6/Imput[[#This Row],[Cantidad]]</f>
        <v>552.79999999999995</v>
      </c>
      <c r="I231" s="169">
        <f>Imput[[#This Row],[Cantidad]]*Imput[[#This Row],[Precio Unitario]]</f>
        <v>1105.5999999999999</v>
      </c>
      <c r="J231" s="11">
        <f>((Imput[[#This Row],[Sub total]])*0.16)</f>
        <v>176.89599999999999</v>
      </c>
      <c r="K231" s="11">
        <v>0</v>
      </c>
      <c r="L231" s="169">
        <f>Imput[[#This Row],[Sub total]]+Imput[[#This Row],[IVA]]-Imput[[#This Row],[Retención / IEPS / Descuento]]</f>
        <v>1282.4959999999999</v>
      </c>
      <c r="M231" s="844">
        <v>0</v>
      </c>
      <c r="N231" s="189" t="s">
        <v>123</v>
      </c>
      <c r="O231" s="1"/>
      <c r="P231" s="189" t="s">
        <v>1081</v>
      </c>
      <c r="Q231" s="190" t="s">
        <v>1082</v>
      </c>
      <c r="R231" s="188">
        <v>45858</v>
      </c>
      <c r="S231" s="193" t="s">
        <v>126</v>
      </c>
      <c r="T231" s="192"/>
      <c r="U231" s="829"/>
      <c r="V231" s="10" t="s">
        <v>1012</v>
      </c>
      <c r="W231" s="10" t="s">
        <v>3795</v>
      </c>
      <c r="X231" s="10"/>
      <c r="Y231" s="10"/>
      <c r="Z231" s="10"/>
      <c r="AA231" s="11"/>
      <c r="AB231" s="11"/>
      <c r="AD231" s="260"/>
    </row>
    <row r="232" spans="2:30" s="406" customFormat="1" x14ac:dyDescent="0.3">
      <c r="B232" s="10" t="s">
        <v>290</v>
      </c>
      <c r="C232" s="315" t="s">
        <v>2709</v>
      </c>
      <c r="D232" s="868" t="s">
        <v>164</v>
      </c>
      <c r="E232" s="837" t="str">
        <f>IFERROR(IF(_xlfn.XLOOKUP(Imput[[#This Row],[RFC]],'Alta Proveedor'!D:D,'Alta Proveedor'!E:E)=0,"",_xlfn.XLOOKUP(Imput[[#This Row],[RFC]],'Alta Proveedor'!D:D,'Alta Proveedor'!E:E)),"")</f>
        <v>HOME DEPOT MEXICO SUCURSAL THD-8730 TAMPICO</v>
      </c>
      <c r="F232" s="832" t="s">
        <v>2943</v>
      </c>
      <c r="G232" s="187">
        <v>1</v>
      </c>
      <c r="H232" s="1">
        <f>1033.62/Imput[[#This Row],[Cantidad]]</f>
        <v>1033.6199999999999</v>
      </c>
      <c r="I232" s="169">
        <f>Imput[[#This Row],[Cantidad]]*Imput[[#This Row],[Precio Unitario]]</f>
        <v>1033.6199999999999</v>
      </c>
      <c r="J232" s="11">
        <f>((878.45)*0.16)</f>
        <v>140.55200000000002</v>
      </c>
      <c r="K232" s="11">
        <v>155.16999999999999</v>
      </c>
      <c r="L232" s="169">
        <f>Imput[[#This Row],[Sub total]]+Imput[[#This Row],[IVA]]-Imput[[#This Row],[Retención / IEPS / Descuento]]</f>
        <v>1019.0020000000001</v>
      </c>
      <c r="M232" s="844">
        <v>0</v>
      </c>
      <c r="N232" s="189" t="s">
        <v>123</v>
      </c>
      <c r="O232" s="1"/>
      <c r="P232" s="189" t="s">
        <v>1081</v>
      </c>
      <c r="Q232" s="190" t="s">
        <v>1082</v>
      </c>
      <c r="R232" s="188">
        <v>45858</v>
      </c>
      <c r="S232" s="193" t="s">
        <v>126</v>
      </c>
      <c r="T232" s="192"/>
      <c r="U232" s="829"/>
      <c r="V232" s="10" t="s">
        <v>1012</v>
      </c>
      <c r="W232" s="10" t="s">
        <v>3795</v>
      </c>
      <c r="X232" s="10"/>
      <c r="Y232" s="10"/>
      <c r="Z232" s="10"/>
      <c r="AA232" s="11"/>
      <c r="AB232" s="11"/>
      <c r="AD232" s="260"/>
    </row>
    <row r="233" spans="2:30" x14ac:dyDescent="0.3">
      <c r="B233" s="10" t="s">
        <v>290</v>
      </c>
      <c r="C233" s="549" t="s">
        <v>2514</v>
      </c>
      <c r="D233" s="868" t="s">
        <v>164</v>
      </c>
      <c r="E233" s="837" t="str">
        <f>IFERROR(IF(_xlfn.XLOOKUP(Imput[[#This Row],[RFC]],'Alta Proveedor'!D:D,'Alta Proveedor'!E:E)=0,"",_xlfn.XLOOKUP(Imput[[#This Row],[RFC]],'Alta Proveedor'!D:D,'Alta Proveedor'!E:E)),"")</f>
        <v>HOME DEPOT MEXICO SUCURSAL THD-8730 TAMPICO</v>
      </c>
      <c r="F233" s="832" t="s">
        <v>1206</v>
      </c>
      <c r="G233" s="187">
        <v>6</v>
      </c>
      <c r="H233" s="1">
        <f>836.38/Imput[[#This Row],[Cantidad]]</f>
        <v>139.39666666666668</v>
      </c>
      <c r="I233" s="169">
        <f>Imput[[#This Row],[Cantidad]]*Imput[[#This Row],[Precio Unitario]]</f>
        <v>836.38000000000011</v>
      </c>
      <c r="J233" s="11">
        <f>((Imput[[#This Row],[Sub total]])*0.16)</f>
        <v>133.82080000000002</v>
      </c>
      <c r="K233" s="11">
        <v>0</v>
      </c>
      <c r="L233" s="169">
        <f>Imput[[#This Row],[Sub total]]+Imput[[#This Row],[IVA]]-Imput[[#This Row],[Retención / IEPS / Descuento]]</f>
        <v>970.20080000000007</v>
      </c>
      <c r="M233" s="844">
        <v>0</v>
      </c>
      <c r="N233" s="189" t="s">
        <v>123</v>
      </c>
      <c r="O233" s="1"/>
      <c r="P233" s="189" t="s">
        <v>1081</v>
      </c>
      <c r="Q233" s="190" t="s">
        <v>1082</v>
      </c>
      <c r="R233" s="188">
        <v>45858</v>
      </c>
      <c r="S233" s="193" t="s">
        <v>126</v>
      </c>
      <c r="T233" s="192"/>
      <c r="U233" s="829"/>
      <c r="V233" s="10" t="s">
        <v>1012</v>
      </c>
      <c r="W233" s="10" t="s">
        <v>513</v>
      </c>
      <c r="X233" s="10"/>
      <c r="Y233" s="10"/>
      <c r="Z233" s="10"/>
      <c r="AA233" s="11"/>
      <c r="AB233" s="11"/>
      <c r="AD233" s="260"/>
    </row>
    <row r="234" spans="2:30" x14ac:dyDescent="0.3">
      <c r="B234" s="10" t="s">
        <v>290</v>
      </c>
      <c r="C234" s="315" t="s">
        <v>2431</v>
      </c>
      <c r="D234" s="868" t="s">
        <v>164</v>
      </c>
      <c r="E234" s="837" t="str">
        <f>IFERROR(IF(_xlfn.XLOOKUP(Imput[[#This Row],[RFC]],'Alta Proveedor'!D:D,'Alta Proveedor'!E:E)=0,"",_xlfn.XLOOKUP(Imput[[#This Row],[RFC]],'Alta Proveedor'!D:D,'Alta Proveedor'!E:E)),"")</f>
        <v>HOME DEPOT MEXICO SUCURSAL THD-8730 TAMPICO</v>
      </c>
      <c r="F234" s="832" t="s">
        <v>1194</v>
      </c>
      <c r="G234" s="187">
        <v>3</v>
      </c>
      <c r="H234" s="1">
        <f>833.84/Imput[[#This Row],[Cantidad]]</f>
        <v>277.94666666666666</v>
      </c>
      <c r="I234" s="169">
        <f>Imput[[#This Row],[Cantidad]]*Imput[[#This Row],[Precio Unitario]]</f>
        <v>833.83999999999992</v>
      </c>
      <c r="J234" s="11">
        <f>((Imput[[#This Row],[Sub total]])*0.16)</f>
        <v>133.4144</v>
      </c>
      <c r="K234" s="11">
        <v>0</v>
      </c>
      <c r="L234" s="169">
        <f>Imput[[#This Row],[Sub total]]+Imput[[#This Row],[IVA]]-Imput[[#This Row],[Retención / IEPS / Descuento]]</f>
        <v>967.25439999999992</v>
      </c>
      <c r="M234" s="844">
        <v>0</v>
      </c>
      <c r="N234" s="189" t="s">
        <v>123</v>
      </c>
      <c r="O234" s="1"/>
      <c r="P234" s="189" t="s">
        <v>1081</v>
      </c>
      <c r="Q234" s="190" t="s">
        <v>1082</v>
      </c>
      <c r="R234" s="188">
        <v>45858</v>
      </c>
      <c r="S234" s="193" t="s">
        <v>126</v>
      </c>
      <c r="T234" s="192"/>
      <c r="U234" s="829"/>
      <c r="V234" s="10" t="s">
        <v>1012</v>
      </c>
      <c r="W234" s="10" t="s">
        <v>3795</v>
      </c>
      <c r="X234" s="10"/>
      <c r="Y234" s="10"/>
      <c r="Z234" s="10"/>
      <c r="AA234" s="11"/>
      <c r="AB234" s="11"/>
      <c r="AD234" s="260"/>
    </row>
    <row r="235" spans="2:30" x14ac:dyDescent="0.3">
      <c r="B235" s="10" t="s">
        <v>290</v>
      </c>
      <c r="C235" s="315" t="s">
        <v>2709</v>
      </c>
      <c r="D235" s="868" t="s">
        <v>164</v>
      </c>
      <c r="E235" s="837" t="str">
        <f>IFERROR(IF(_xlfn.XLOOKUP(Imput[[#This Row],[RFC]],'Alta Proveedor'!D:D,'Alta Proveedor'!E:E)=0,"",_xlfn.XLOOKUP(Imput[[#This Row],[RFC]],'Alta Proveedor'!D:D,'Alta Proveedor'!E:E)),"")</f>
        <v>HOME DEPOT MEXICO SUCURSAL THD-8730 TAMPICO</v>
      </c>
      <c r="F235" s="832" t="s">
        <v>1195</v>
      </c>
      <c r="G235" s="187">
        <v>3</v>
      </c>
      <c r="H235" s="1">
        <f>488.79/Imput[[#This Row],[Cantidad]]</f>
        <v>162.93</v>
      </c>
      <c r="I235" s="169">
        <f>Imput[[#This Row],[Cantidad]]*Imput[[#This Row],[Precio Unitario]]</f>
        <v>488.79</v>
      </c>
      <c r="J235" s="11">
        <f>((437.07)*0.16)</f>
        <v>69.931200000000004</v>
      </c>
      <c r="K235" s="11">
        <v>51.72</v>
      </c>
      <c r="L235" s="169">
        <f>Imput[[#This Row],[Sub total]]+Imput[[#This Row],[IVA]]-Imput[[#This Row],[Retención / IEPS / Descuento]]</f>
        <v>507.00120000000004</v>
      </c>
      <c r="M235" s="844">
        <v>0</v>
      </c>
      <c r="N235" s="189" t="s">
        <v>123</v>
      </c>
      <c r="O235" s="1"/>
      <c r="P235" s="189" t="s">
        <v>1081</v>
      </c>
      <c r="Q235" s="190" t="s">
        <v>1082</v>
      </c>
      <c r="R235" s="188">
        <v>45858</v>
      </c>
      <c r="S235" s="193" t="s">
        <v>126</v>
      </c>
      <c r="T235" s="192"/>
      <c r="U235" s="829"/>
      <c r="V235" s="10" t="s">
        <v>1012</v>
      </c>
      <c r="W235" s="10" t="s">
        <v>3795</v>
      </c>
      <c r="X235" s="10"/>
      <c r="Y235" s="10"/>
      <c r="Z235" s="10"/>
      <c r="AA235" s="11"/>
      <c r="AB235" s="11"/>
      <c r="AD235" s="260"/>
    </row>
    <row r="236" spans="2:30" x14ac:dyDescent="0.3">
      <c r="B236" s="10" t="s">
        <v>290</v>
      </c>
      <c r="C236" s="315" t="s">
        <v>2709</v>
      </c>
      <c r="D236" s="868" t="s">
        <v>164</v>
      </c>
      <c r="E236" s="837" t="str">
        <f>IFERROR(IF(_xlfn.XLOOKUP(Imput[[#This Row],[RFC]],'Alta Proveedor'!D:D,'Alta Proveedor'!E:E)=0,"",_xlfn.XLOOKUP(Imput[[#This Row],[RFC]],'Alta Proveedor'!D:D,'Alta Proveedor'!E:E)),"")</f>
        <v>HOME DEPOT MEXICO SUCURSAL THD-8730 TAMPICO</v>
      </c>
      <c r="F236" s="832" t="s">
        <v>298</v>
      </c>
      <c r="G236" s="187">
        <v>3</v>
      </c>
      <c r="H236" s="1">
        <f>458.74/Imput[[#This Row],[Cantidad]]</f>
        <v>152.91333333333333</v>
      </c>
      <c r="I236" s="169">
        <f>Imput[[#This Row],[Cantidad]]*Imput[[#This Row],[Precio Unitario]]</f>
        <v>458.74</v>
      </c>
      <c r="J236" s="11">
        <f>((Imput[[#This Row],[Sub total]])*0.16)</f>
        <v>73.398400000000009</v>
      </c>
      <c r="K236" s="11">
        <v>0</v>
      </c>
      <c r="L236" s="169">
        <f>Imput[[#This Row],[Sub total]]+Imput[[#This Row],[IVA]]-Imput[[#This Row],[Retención / IEPS / Descuento]]</f>
        <v>532.13840000000005</v>
      </c>
      <c r="M236" s="844">
        <v>0</v>
      </c>
      <c r="N236" s="189" t="s">
        <v>123</v>
      </c>
      <c r="O236" s="1"/>
      <c r="P236" s="189" t="s">
        <v>1081</v>
      </c>
      <c r="Q236" s="190" t="s">
        <v>1082</v>
      </c>
      <c r="R236" s="188">
        <v>45858</v>
      </c>
      <c r="S236" s="193" t="s">
        <v>126</v>
      </c>
      <c r="T236" s="192"/>
      <c r="U236" s="829"/>
      <c r="V236" s="10" t="s">
        <v>1012</v>
      </c>
      <c r="W236" s="10" t="s">
        <v>3795</v>
      </c>
      <c r="X236" s="10"/>
      <c r="Y236" s="10"/>
      <c r="Z236" s="10"/>
      <c r="AA236" s="11"/>
      <c r="AB236" s="11"/>
      <c r="AD236" s="260"/>
    </row>
    <row r="237" spans="2:30" x14ac:dyDescent="0.3">
      <c r="B237" s="10" t="s">
        <v>290</v>
      </c>
      <c r="C237" s="315" t="s">
        <v>2335</v>
      </c>
      <c r="D237" s="868" t="s">
        <v>164</v>
      </c>
      <c r="E237" s="837" t="str">
        <f>IFERROR(IF(_xlfn.XLOOKUP(Imput[[#This Row],[RFC]],'Alta Proveedor'!D:D,'Alta Proveedor'!E:E)=0,"",_xlfn.XLOOKUP(Imput[[#This Row],[RFC]],'Alta Proveedor'!D:D,'Alta Proveedor'!E:E)),"")</f>
        <v>HOME DEPOT MEXICO SUCURSAL THD-8730 TAMPICO</v>
      </c>
      <c r="F237" s="832" t="s">
        <v>2944</v>
      </c>
      <c r="G237" s="187">
        <v>1</v>
      </c>
      <c r="H237" s="1">
        <f>257.67/Imput[[#This Row],[Cantidad]]</f>
        <v>257.67</v>
      </c>
      <c r="I237" s="169">
        <f>Imput[[#This Row],[Cantidad]]*Imput[[#This Row],[Precio Unitario]]</f>
        <v>257.67</v>
      </c>
      <c r="J237" s="11">
        <f>((Imput[[#This Row],[Sub total]])*0.16)</f>
        <v>41.227200000000003</v>
      </c>
      <c r="K237" s="11">
        <v>0</v>
      </c>
      <c r="L237" s="169">
        <f>Imput[[#This Row],[Sub total]]+Imput[[#This Row],[IVA]]-Imput[[#This Row],[Retención / IEPS / Descuento]]</f>
        <v>298.8972</v>
      </c>
      <c r="M237" s="844">
        <v>0</v>
      </c>
      <c r="N237" s="189" t="s">
        <v>123</v>
      </c>
      <c r="O237" s="1"/>
      <c r="P237" s="189" t="s">
        <v>1081</v>
      </c>
      <c r="Q237" s="190" t="s">
        <v>1082</v>
      </c>
      <c r="R237" s="188">
        <v>45858</v>
      </c>
      <c r="S237" s="193" t="s">
        <v>126</v>
      </c>
      <c r="T237" s="192"/>
      <c r="U237" s="829"/>
      <c r="V237" s="10" t="s">
        <v>1012</v>
      </c>
      <c r="W237" s="10" t="s">
        <v>3795</v>
      </c>
      <c r="X237" s="10"/>
      <c r="Y237" s="10"/>
      <c r="Z237" s="10"/>
      <c r="AA237" s="11"/>
      <c r="AB237" s="11"/>
      <c r="AD237" s="260"/>
    </row>
    <row r="238" spans="2:30" x14ac:dyDescent="0.3">
      <c r="B238" s="10" t="s">
        <v>290</v>
      </c>
      <c r="C238" s="315" t="s">
        <v>2709</v>
      </c>
      <c r="D238" s="868" t="s">
        <v>164</v>
      </c>
      <c r="E238" s="837" t="str">
        <f>IFERROR(IF(_xlfn.XLOOKUP(Imput[[#This Row],[RFC]],'Alta Proveedor'!D:D,'Alta Proveedor'!E:E)=0,"",_xlfn.XLOOKUP(Imput[[#This Row],[RFC]],'Alta Proveedor'!D:D,'Alta Proveedor'!E:E)),"")</f>
        <v>HOME DEPOT MEXICO SUCURSAL THD-8730 TAMPICO</v>
      </c>
      <c r="F238" s="832" t="s">
        <v>2909</v>
      </c>
      <c r="G238" s="187">
        <v>12</v>
      </c>
      <c r="H238" s="1">
        <f>192.62/Imput[[#This Row],[Cantidad]]</f>
        <v>16.051666666666666</v>
      </c>
      <c r="I238" s="169">
        <f>Imput[[#This Row],[Cantidad]]*Imput[[#This Row],[Precio Unitario]]</f>
        <v>192.62</v>
      </c>
      <c r="J238" s="11">
        <f>((Imput[[#This Row],[Sub total]])*0.16)</f>
        <v>30.819200000000002</v>
      </c>
      <c r="K238" s="11">
        <v>0</v>
      </c>
      <c r="L238" s="169">
        <f>Imput[[#This Row],[Sub total]]+Imput[[#This Row],[IVA]]-Imput[[#This Row],[Retención / IEPS / Descuento]]</f>
        <v>223.4392</v>
      </c>
      <c r="M238" s="844">
        <v>0</v>
      </c>
      <c r="N238" s="189" t="s">
        <v>123</v>
      </c>
      <c r="O238" s="1"/>
      <c r="P238" s="189" t="s">
        <v>1081</v>
      </c>
      <c r="Q238" s="190" t="s">
        <v>1082</v>
      </c>
      <c r="R238" s="188">
        <v>45858</v>
      </c>
      <c r="S238" s="193" t="s">
        <v>126</v>
      </c>
      <c r="T238" s="192"/>
      <c r="U238" s="829"/>
      <c r="V238" s="10" t="s">
        <v>1012</v>
      </c>
      <c r="W238" s="10" t="s">
        <v>3795</v>
      </c>
      <c r="X238" s="10"/>
      <c r="Y238" s="10"/>
      <c r="Z238" s="10"/>
      <c r="AA238" s="11"/>
      <c r="AB238" s="11"/>
      <c r="AD238" s="260"/>
    </row>
    <row r="239" spans="2:30" x14ac:dyDescent="0.3">
      <c r="B239" s="10" t="s">
        <v>290</v>
      </c>
      <c r="C239" s="315" t="s">
        <v>2709</v>
      </c>
      <c r="D239" s="868" t="s">
        <v>164</v>
      </c>
      <c r="E239" s="837" t="str">
        <f>IFERROR(IF(_xlfn.XLOOKUP(Imput[[#This Row],[RFC]],'Alta Proveedor'!D:D,'Alta Proveedor'!E:E)=0,"",_xlfn.XLOOKUP(Imput[[#This Row],[RFC]],'Alta Proveedor'!D:D,'Alta Proveedor'!E:E)),"")</f>
        <v>HOME DEPOT MEXICO SUCURSAL THD-8730 TAMPICO</v>
      </c>
      <c r="F239" s="832" t="s">
        <v>285</v>
      </c>
      <c r="G239" s="187">
        <v>3</v>
      </c>
      <c r="H239" s="1">
        <f>174.88/Imput[[#This Row],[Cantidad]]</f>
        <v>58.293333333333329</v>
      </c>
      <c r="I239" s="169">
        <f>Imput[[#This Row],[Cantidad]]*Imput[[#This Row],[Precio Unitario]]</f>
        <v>174.88</v>
      </c>
      <c r="J239" s="11">
        <f>((Imput[[#This Row],[Sub total]])*0.16)</f>
        <v>27.980799999999999</v>
      </c>
      <c r="K239" s="11">
        <v>0</v>
      </c>
      <c r="L239" s="169">
        <f>Imput[[#This Row],[Sub total]]+Imput[[#This Row],[IVA]]-Imput[[#This Row],[Retención / IEPS / Descuento]]</f>
        <v>202.86079999999998</v>
      </c>
      <c r="M239" s="844">
        <v>0</v>
      </c>
      <c r="N239" s="189" t="s">
        <v>123</v>
      </c>
      <c r="O239" s="1"/>
      <c r="P239" s="189" t="s">
        <v>1081</v>
      </c>
      <c r="Q239" s="190" t="s">
        <v>1082</v>
      </c>
      <c r="R239" s="188">
        <v>45858</v>
      </c>
      <c r="S239" s="193" t="s">
        <v>126</v>
      </c>
      <c r="T239" s="192"/>
      <c r="U239" s="829"/>
      <c r="V239" s="10" t="s">
        <v>1012</v>
      </c>
      <c r="W239" s="10" t="s">
        <v>3795</v>
      </c>
      <c r="X239" s="10"/>
      <c r="Y239" s="10"/>
      <c r="Z239" s="10"/>
      <c r="AA239" s="11"/>
      <c r="AB239" s="11"/>
      <c r="AD239" s="260"/>
    </row>
    <row r="240" spans="2:30" x14ac:dyDescent="0.3">
      <c r="B240" s="10" t="s">
        <v>290</v>
      </c>
      <c r="C240" s="315" t="s">
        <v>2426</v>
      </c>
      <c r="D240" s="868" t="s">
        <v>1086</v>
      </c>
      <c r="E240" s="837" t="str">
        <f>IFERROR(IF(_xlfn.XLOOKUP(Imput[[#This Row],[RFC]],'Alta Proveedor'!D:D,'Alta Proveedor'!E:E)=0,"",_xlfn.XLOOKUP(Imput[[#This Row],[RFC]],'Alta Proveedor'!D:D,'Alta Proveedor'!E:E)),"")</f>
        <v>MUEBLES PARA BAÑO S.A. DE C.V. "GERSA" SU CASA DE CONFIANZA DESDE 1920</v>
      </c>
      <c r="F240" s="832" t="s">
        <v>1635</v>
      </c>
      <c r="G240" s="187">
        <v>1</v>
      </c>
      <c r="H240" s="1">
        <v>1311.84</v>
      </c>
      <c r="I240" s="169">
        <f>Imput[[#This Row],[Cantidad]]*Imput[[#This Row],[Precio Unitario]]</f>
        <v>1311.84</v>
      </c>
      <c r="J240" s="11">
        <f>((1246.25)*0.16)</f>
        <v>199.4</v>
      </c>
      <c r="K240" s="11">
        <f>Imput[[#This Row],[Sub total]]*0.05</f>
        <v>65.591999999999999</v>
      </c>
      <c r="L240" s="169">
        <f>Imput[[#This Row],[Sub total]]+Imput[[#This Row],[IVA]]-Imput[[#This Row],[Retención / IEPS / Descuento]]</f>
        <v>1445.6479999999999</v>
      </c>
      <c r="M240" s="844">
        <v>1445.6479999999999</v>
      </c>
      <c r="N240" s="189" t="s">
        <v>123</v>
      </c>
      <c r="O240" s="1"/>
      <c r="P240" s="189" t="s">
        <v>1088</v>
      </c>
      <c r="Q240" s="190" t="s">
        <v>1089</v>
      </c>
      <c r="R240" s="188">
        <v>45858</v>
      </c>
      <c r="S240" s="193" t="s">
        <v>126</v>
      </c>
      <c r="T240" s="192"/>
      <c r="U240" s="829"/>
      <c r="V240" s="10" t="s">
        <v>1012</v>
      </c>
      <c r="W240" s="10" t="s">
        <v>3795</v>
      </c>
      <c r="X240" s="10"/>
      <c r="Y240" s="10"/>
      <c r="Z240" s="10"/>
      <c r="AA240" s="11"/>
      <c r="AB240" s="11"/>
      <c r="AD240" s="260"/>
    </row>
    <row r="241" spans="2:30" x14ac:dyDescent="0.3">
      <c r="B241" s="10" t="s">
        <v>290</v>
      </c>
      <c r="C241" s="315" t="s">
        <v>2335</v>
      </c>
      <c r="D241" s="868" t="s">
        <v>3119</v>
      </c>
      <c r="E241" s="837" t="str">
        <f>IFERROR(IF(_xlfn.XLOOKUP(Imput[[#This Row],[RFC]],'Alta Proveedor'!D:D,'Alta Proveedor'!E:E)=0,"",_xlfn.XLOOKUP(Imput[[#This Row],[RFC]],'Alta Proveedor'!D:D,'Alta Proveedor'!E:E)),"")</f>
        <v>Nomina-OPERACIÓN</v>
      </c>
      <c r="F241" s="836" t="s">
        <v>3140</v>
      </c>
      <c r="G241" s="187">
        <v>1</v>
      </c>
      <c r="H241" s="1">
        <v>10000</v>
      </c>
      <c r="I241" s="169">
        <f>Imput[[#This Row],[Cantidad]]*Imput[[#This Row],[Precio Unitario]]</f>
        <v>10000</v>
      </c>
      <c r="J241" s="11">
        <f>Imput[[#This Row],[Sub total]]*0.08</f>
        <v>800</v>
      </c>
      <c r="K241" s="11">
        <v>0</v>
      </c>
      <c r="L241" s="169">
        <f>Imput[[#This Row],[Sub total]]+Imput[[#This Row],[IVA]]-Imput[[#This Row],[Retención / IEPS / Descuento]]</f>
        <v>10800</v>
      </c>
      <c r="M241" s="844">
        <v>10800</v>
      </c>
      <c r="N241" s="189"/>
      <c r="O241" s="1"/>
      <c r="P241" s="189"/>
      <c r="Q241" s="190"/>
      <c r="R241" s="188">
        <v>45858</v>
      </c>
      <c r="S241" s="193"/>
      <c r="T241" s="192"/>
      <c r="U241" s="867" t="s">
        <v>3225</v>
      </c>
      <c r="V241" s="10" t="s">
        <v>3108</v>
      </c>
      <c r="W241" s="10" t="s">
        <v>3793</v>
      </c>
      <c r="X241" s="10"/>
      <c r="Y241" s="10"/>
      <c r="Z241" s="10"/>
      <c r="AA241" s="11"/>
      <c r="AB241" s="11"/>
      <c r="AD241" s="260"/>
    </row>
    <row r="242" spans="2:30" x14ac:dyDescent="0.3">
      <c r="B242" s="10" t="s">
        <v>290</v>
      </c>
      <c r="C242" s="315" t="s">
        <v>2426</v>
      </c>
      <c r="D242" s="868" t="s">
        <v>228</v>
      </c>
      <c r="E242" s="837" t="str">
        <f>IFERROR(IF(_xlfn.XLOOKUP(Imput[[#This Row],[RFC]],'Alta Proveedor'!D:D,'Alta Proveedor'!E:E)=0,"",_xlfn.XLOOKUP(Imput[[#This Row],[RFC]],'Alta Proveedor'!D:D,'Alta Proveedor'!E:E)),"")</f>
        <v>ROSA FRANCISCA VAZQUEZ RODRIGUEZ</v>
      </c>
      <c r="F242" s="832" t="s">
        <v>1732</v>
      </c>
      <c r="G242" s="187">
        <v>1</v>
      </c>
      <c r="H242" s="1">
        <v>103.45</v>
      </c>
      <c r="I242" s="169">
        <f>Imput[[#This Row],[Cantidad]]*Imput[[#This Row],[Precio Unitario]]</f>
        <v>103.45</v>
      </c>
      <c r="J242" s="11">
        <f>((Imput[[#This Row],[Sub total]])*0.16)</f>
        <v>16.552</v>
      </c>
      <c r="K242" s="11">
        <v>0</v>
      </c>
      <c r="L242" s="169">
        <f>Imput[[#This Row],[Sub total]]+Imput[[#This Row],[IVA]]-Imput[[#This Row],[Retención / IEPS / Descuento]]</f>
        <v>120.00200000000001</v>
      </c>
      <c r="M242" s="844">
        <v>517.00271999999995</v>
      </c>
      <c r="N242" s="189" t="s">
        <v>123</v>
      </c>
      <c r="O242" s="1"/>
      <c r="P242" s="189" t="s">
        <v>1127</v>
      </c>
      <c r="Q242" s="190" t="s">
        <v>1128</v>
      </c>
      <c r="R242" s="188">
        <v>45859</v>
      </c>
      <c r="S242" s="193" t="s">
        <v>126</v>
      </c>
      <c r="T242" s="192"/>
      <c r="U242" s="829"/>
      <c r="V242" s="10" t="s">
        <v>1012</v>
      </c>
      <c r="W242" s="10" t="s">
        <v>3795</v>
      </c>
      <c r="X242" s="10"/>
      <c r="Y242" s="10"/>
      <c r="Z242" s="10"/>
      <c r="AA242" s="11"/>
      <c r="AB242" s="11"/>
      <c r="AD242" s="260"/>
    </row>
    <row r="243" spans="2:30" x14ac:dyDescent="0.3">
      <c r="B243" s="10" t="s">
        <v>290</v>
      </c>
      <c r="C243" s="315" t="s">
        <v>2426</v>
      </c>
      <c r="D243" s="868" t="s">
        <v>228</v>
      </c>
      <c r="E243" s="837" t="str">
        <f>IFERROR(IF(_xlfn.XLOOKUP(Imput[[#This Row],[RFC]],'Alta Proveedor'!D:D,'Alta Proveedor'!E:E)=0,"",_xlfn.XLOOKUP(Imput[[#This Row],[RFC]],'Alta Proveedor'!D:D,'Alta Proveedor'!E:E)),"")</f>
        <v>ROSA FRANCISCA VAZQUEZ RODRIGUEZ</v>
      </c>
      <c r="F243" s="832" t="s">
        <v>1733</v>
      </c>
      <c r="G243" s="187">
        <v>1</v>
      </c>
      <c r="H243" s="1">
        <v>333.62099999999998</v>
      </c>
      <c r="I243" s="169">
        <f>Imput[[#This Row],[Cantidad]]*Imput[[#This Row],[Precio Unitario]]</f>
        <v>333.62099999999998</v>
      </c>
      <c r="J243" s="11">
        <f>((Imput[[#This Row],[Sub total]])*0.16)</f>
        <v>53.379359999999998</v>
      </c>
      <c r="K243" s="11">
        <v>0</v>
      </c>
      <c r="L243" s="169">
        <f>Imput[[#This Row],[Sub total]]+Imput[[#This Row],[IVA]]-Imput[[#This Row],[Retención / IEPS / Descuento]]</f>
        <v>387.00036</v>
      </c>
      <c r="M243" s="844">
        <v>0</v>
      </c>
      <c r="N243" s="189" t="s">
        <v>123</v>
      </c>
      <c r="O243" s="1"/>
      <c r="P243" s="189" t="s">
        <v>1127</v>
      </c>
      <c r="Q243" s="190" t="s">
        <v>1128</v>
      </c>
      <c r="R243" s="188">
        <v>45859</v>
      </c>
      <c r="S243" s="193" t="s">
        <v>126</v>
      </c>
      <c r="T243" s="192"/>
      <c r="U243" s="829"/>
      <c r="V243" s="10" t="s">
        <v>1012</v>
      </c>
      <c r="W243" s="10" t="s">
        <v>3795</v>
      </c>
      <c r="X243" s="10"/>
      <c r="Y243" s="10"/>
      <c r="Z243" s="10"/>
      <c r="AA243" s="11"/>
      <c r="AB243" s="11"/>
      <c r="AD243" s="260"/>
    </row>
    <row r="244" spans="2:30" x14ac:dyDescent="0.3">
      <c r="B244" s="10" t="s">
        <v>290</v>
      </c>
      <c r="C244" s="549" t="s">
        <v>2437</v>
      </c>
      <c r="D244" s="868" t="s">
        <v>228</v>
      </c>
      <c r="E244" s="837" t="str">
        <f>IFERROR(IF(_xlfn.XLOOKUP(Imput[[#This Row],[RFC]],'Alta Proveedor'!D:D,'Alta Proveedor'!E:E)=0,"",_xlfn.XLOOKUP(Imput[[#This Row],[RFC]],'Alta Proveedor'!D:D,'Alta Proveedor'!E:E)),"")</f>
        <v>ROSA FRANCISCA VAZQUEZ RODRIGUEZ</v>
      </c>
      <c r="F244" s="832" t="s">
        <v>1198</v>
      </c>
      <c r="G244" s="187">
        <v>1</v>
      </c>
      <c r="H244" s="1">
        <v>8.6210000000000004</v>
      </c>
      <c r="I244" s="169">
        <f>Imput[[#This Row],[Cantidad]]*Imput[[#This Row],[Precio Unitario]]</f>
        <v>8.6210000000000004</v>
      </c>
      <c r="J244" s="11">
        <f>((Imput[[#This Row],[Sub total]])*0.16)</f>
        <v>1.3793600000000001</v>
      </c>
      <c r="K244" s="11">
        <v>0</v>
      </c>
      <c r="L244" s="169">
        <f>Imput[[#This Row],[Sub total]]+Imput[[#This Row],[IVA]]-Imput[[#This Row],[Retención / IEPS / Descuento]]</f>
        <v>10.000360000000001</v>
      </c>
      <c r="M244" s="844">
        <v>0</v>
      </c>
      <c r="N244" s="189" t="s">
        <v>123</v>
      </c>
      <c r="O244" s="1"/>
      <c r="P244" s="189" t="s">
        <v>1127</v>
      </c>
      <c r="Q244" s="190" t="s">
        <v>1128</v>
      </c>
      <c r="R244" s="188">
        <v>45859</v>
      </c>
      <c r="S244" s="193" t="s">
        <v>126</v>
      </c>
      <c r="T244" s="192"/>
      <c r="U244" s="829"/>
      <c r="V244" s="10" t="s">
        <v>1012</v>
      </c>
      <c r="W244" s="10" t="s">
        <v>3795</v>
      </c>
      <c r="X244" s="10"/>
      <c r="Y244" s="10"/>
      <c r="Z244" s="10"/>
      <c r="AA244" s="11"/>
      <c r="AB244" s="11"/>
      <c r="AD244" s="260"/>
    </row>
    <row r="245" spans="2:30" x14ac:dyDescent="0.3">
      <c r="B245" s="10" t="s">
        <v>290</v>
      </c>
      <c r="C245" s="315" t="s">
        <v>1769</v>
      </c>
      <c r="D245" s="868" t="s">
        <v>244</v>
      </c>
      <c r="E245" s="837" t="str">
        <f>IFERROR(IF(_xlfn.XLOOKUP(Imput[[#This Row],[RFC]],'Alta Proveedor'!D:D,'Alta Proveedor'!E:E)=0,"",_xlfn.XLOOKUP(Imput[[#This Row],[RFC]],'Alta Proveedor'!D:D,'Alta Proveedor'!E:E)),"")</f>
        <v>CADENA COMERCIAL OXXO</v>
      </c>
      <c r="F245" s="832" t="s">
        <v>1230</v>
      </c>
      <c r="G245" s="187">
        <v>1</v>
      </c>
      <c r="H245" s="1">
        <v>52</v>
      </c>
      <c r="I245" s="169">
        <f>Imput[[#This Row],[Cantidad]]*Imput[[#This Row],[Precio Unitario]]</f>
        <v>52</v>
      </c>
      <c r="J245" s="11">
        <v>0</v>
      </c>
      <c r="K245" s="11">
        <v>0</v>
      </c>
      <c r="L245" s="169">
        <f>Imput[[#This Row],[Sub total]]+Imput[[#This Row],[IVA]]-Imput[[#This Row],[Retención / IEPS / Descuento]]</f>
        <v>52</v>
      </c>
      <c r="M245" s="844">
        <v>52</v>
      </c>
      <c r="N245" s="189" t="s">
        <v>123</v>
      </c>
      <c r="O245" s="1"/>
      <c r="P245" s="189" t="s">
        <v>1049</v>
      </c>
      <c r="Q245" s="190" t="s">
        <v>1050</v>
      </c>
      <c r="R245" s="188">
        <v>45859</v>
      </c>
      <c r="S245" s="193" t="s">
        <v>126</v>
      </c>
      <c r="T245" s="192"/>
      <c r="U245" s="829"/>
      <c r="V245" s="10" t="s">
        <v>3324</v>
      </c>
      <c r="W245" s="10" t="s">
        <v>3327</v>
      </c>
      <c r="X245" s="10"/>
      <c r="Y245" s="10"/>
      <c r="Z245" s="10"/>
      <c r="AA245" s="11"/>
      <c r="AB245" s="11"/>
      <c r="AD245" s="260"/>
    </row>
    <row r="246" spans="2:30" x14ac:dyDescent="0.3">
      <c r="B246" s="10" t="s">
        <v>142</v>
      </c>
      <c r="C246" s="315" t="s">
        <v>2709</v>
      </c>
      <c r="D246" s="868" t="s">
        <v>1067</v>
      </c>
      <c r="E246" s="837" t="str">
        <f>IFERROR(IF(_xlfn.XLOOKUP(Imput[[#This Row],[RFC]],'Alta Proveedor'!D:D,'Alta Proveedor'!E:E)=0,"",_xlfn.XLOOKUP(Imput[[#This Row],[RFC]],'Alta Proveedor'!D:D,'Alta Proveedor'!E:E)),"")</f>
        <v>FERRETERA INDUSTRIAL Y MARINA TAMPICO SA DE CV</v>
      </c>
      <c r="F246" s="832" t="s">
        <v>2912</v>
      </c>
      <c r="G246" s="187">
        <v>7</v>
      </c>
      <c r="H246" s="1">
        <v>168.1</v>
      </c>
      <c r="I246" s="169">
        <f>Imput[[#This Row],[Cantidad]]*Imput[[#This Row],[Precio Unitario]]</f>
        <v>1176.7</v>
      </c>
      <c r="J246" s="11">
        <f>((Imput[[#This Row],[Sub total]])*0.16)</f>
        <v>188.27200000000002</v>
      </c>
      <c r="K246" s="11">
        <v>0</v>
      </c>
      <c r="L246" s="169">
        <f>Imput[[#This Row],[Sub total]]+Imput[[#This Row],[IVA]]-Imput[[#This Row],[Retención / IEPS / Descuento]]</f>
        <v>1364.972</v>
      </c>
      <c r="M246" s="844">
        <v>1364.972</v>
      </c>
      <c r="N246" s="189" t="s">
        <v>123</v>
      </c>
      <c r="O246" s="1"/>
      <c r="P246" s="189" t="s">
        <v>1069</v>
      </c>
      <c r="Q246" s="190" t="s">
        <v>1070</v>
      </c>
      <c r="R246" s="188">
        <v>45859</v>
      </c>
      <c r="S246" s="193" t="s">
        <v>126</v>
      </c>
      <c r="T246" s="192"/>
      <c r="U246" s="829"/>
      <c r="V246" s="10" t="s">
        <v>1012</v>
      </c>
      <c r="W246" s="10" t="s">
        <v>3795</v>
      </c>
      <c r="X246" s="10"/>
      <c r="Y246" s="10"/>
      <c r="Z246" s="10"/>
      <c r="AA246" s="11"/>
      <c r="AB246" s="11"/>
      <c r="AD246" s="260"/>
    </row>
    <row r="247" spans="2:30" x14ac:dyDescent="0.3">
      <c r="B247" s="10" t="s">
        <v>290</v>
      </c>
      <c r="C247" s="315" t="s">
        <v>2709</v>
      </c>
      <c r="D247" s="868" t="s">
        <v>1067</v>
      </c>
      <c r="E247" s="837" t="str">
        <f>IFERROR(IF(_xlfn.XLOOKUP(Imput[[#This Row],[RFC]],'Alta Proveedor'!D:D,'Alta Proveedor'!E:E)=0,"",_xlfn.XLOOKUP(Imput[[#This Row],[RFC]],'Alta Proveedor'!D:D,'Alta Proveedor'!E:E)),"")</f>
        <v>FERRETERA INDUSTRIAL Y MARINA TAMPICO SA DE CV</v>
      </c>
      <c r="F247" s="832" t="s">
        <v>1182</v>
      </c>
      <c r="G247" s="187">
        <v>1</v>
      </c>
      <c r="H247" s="1">
        <v>664.66</v>
      </c>
      <c r="I247" s="169">
        <f>Imput[[#This Row],[Cantidad]]*Imput[[#This Row],[Precio Unitario]]</f>
        <v>664.66</v>
      </c>
      <c r="J247" s="11">
        <f>((Imput[[#This Row],[Sub total]])*0.16)</f>
        <v>106.34559999999999</v>
      </c>
      <c r="K247" s="11">
        <v>0</v>
      </c>
      <c r="L247" s="169">
        <f>Imput[[#This Row],[Sub total]]+Imput[[#This Row],[IVA]]-Imput[[#This Row],[Retención / IEPS / Descuento]]</f>
        <v>771.00559999999996</v>
      </c>
      <c r="M247" s="844">
        <v>771.00559999999996</v>
      </c>
      <c r="N247" s="189" t="s">
        <v>123</v>
      </c>
      <c r="O247" s="1"/>
      <c r="P247" s="189" t="s">
        <v>1071</v>
      </c>
      <c r="Q247" s="190" t="s">
        <v>1072</v>
      </c>
      <c r="R247" s="188">
        <v>45859</v>
      </c>
      <c r="S247" s="193" t="s">
        <v>126</v>
      </c>
      <c r="T247" s="192"/>
      <c r="U247" s="829"/>
      <c r="V247" s="10" t="s">
        <v>1012</v>
      </c>
      <c r="W247" s="10" t="s">
        <v>3795</v>
      </c>
      <c r="X247" s="10"/>
      <c r="Y247" s="10"/>
      <c r="Z247" s="10"/>
      <c r="AA247" s="11"/>
      <c r="AB247" s="11"/>
      <c r="AD247" s="260"/>
    </row>
    <row r="248" spans="2:30" x14ac:dyDescent="0.3">
      <c r="B248" s="10" t="s">
        <v>290</v>
      </c>
      <c r="C248" s="315" t="s">
        <v>1769</v>
      </c>
      <c r="D248" s="868" t="s">
        <v>1117</v>
      </c>
      <c r="E248" s="837" t="str">
        <f>IFERROR(IF(_xlfn.XLOOKUP(Imput[[#This Row],[RFC]],'Alta Proveedor'!D:D,'Alta Proveedor'!E:E)=0,"",_xlfn.XLOOKUP(Imput[[#This Row],[RFC]],'Alta Proveedor'!D:D,'Alta Proveedor'!E:E)),"")</f>
        <v>TIENDAS CHEDRAUI</v>
      </c>
      <c r="F248" s="832" t="s">
        <v>1640</v>
      </c>
      <c r="G248" s="187">
        <v>2</v>
      </c>
      <c r="H248" s="1">
        <v>28.45</v>
      </c>
      <c r="I248" s="169">
        <f>Imput[[#This Row],[Cantidad]]*Imput[[#This Row],[Precio Unitario]]</f>
        <v>56.9</v>
      </c>
      <c r="J248" s="11">
        <f>((Imput[[#This Row],[Sub total]])*0.16)</f>
        <v>9.1039999999999992</v>
      </c>
      <c r="K248" s="11">
        <v>0</v>
      </c>
      <c r="L248" s="169">
        <f>Imput[[#This Row],[Sub total]]+Imput[[#This Row],[IVA]]-Imput[[#This Row],[Retención / IEPS / Descuento]]</f>
        <v>66.003999999999991</v>
      </c>
      <c r="M248" s="844">
        <v>601.49856</v>
      </c>
      <c r="N248" s="189" t="s">
        <v>123</v>
      </c>
      <c r="O248" s="1"/>
      <c r="P248" s="189" t="s">
        <v>1115</v>
      </c>
      <c r="Q248" s="190" t="s">
        <v>1116</v>
      </c>
      <c r="R248" s="188">
        <v>45859</v>
      </c>
      <c r="S248" s="193" t="s">
        <v>126</v>
      </c>
      <c r="T248" s="192"/>
      <c r="U248" s="829"/>
      <c r="V248" s="10" t="s">
        <v>3324</v>
      </c>
      <c r="W248" s="10" t="s">
        <v>3327</v>
      </c>
      <c r="X248" s="10"/>
      <c r="Y248" s="10"/>
      <c r="Z248" s="10"/>
      <c r="AA248" s="11"/>
      <c r="AB248" s="11"/>
      <c r="AD248" s="260"/>
    </row>
    <row r="249" spans="2:30" x14ac:dyDescent="0.3">
      <c r="B249" s="10" t="s">
        <v>290</v>
      </c>
      <c r="C249" s="315" t="s">
        <v>1769</v>
      </c>
      <c r="D249" s="868" t="s">
        <v>1117</v>
      </c>
      <c r="E249" s="837" t="str">
        <f>IFERROR(IF(_xlfn.XLOOKUP(Imput[[#This Row],[RFC]],'Alta Proveedor'!D:D,'Alta Proveedor'!E:E)=0,"",_xlfn.XLOOKUP(Imput[[#This Row],[RFC]],'Alta Proveedor'!D:D,'Alta Proveedor'!E:E)),"")</f>
        <v>TIENDAS CHEDRAUI</v>
      </c>
      <c r="F249" s="832" t="s">
        <v>1641</v>
      </c>
      <c r="G249" s="187">
        <v>2</v>
      </c>
      <c r="H249" s="1">
        <v>16.5</v>
      </c>
      <c r="I249" s="169">
        <f>Imput[[#This Row],[Cantidad]]*Imput[[#This Row],[Precio Unitario]]</f>
        <v>33</v>
      </c>
      <c r="J249" s="11">
        <v>0</v>
      </c>
      <c r="K249" s="11">
        <v>0</v>
      </c>
      <c r="L249" s="169">
        <f>Imput[[#This Row],[Sub total]]+Imput[[#This Row],[IVA]]-Imput[[#This Row],[Retención / IEPS / Descuento]]</f>
        <v>33</v>
      </c>
      <c r="M249" s="844">
        <v>0</v>
      </c>
      <c r="N249" s="189" t="s">
        <v>123</v>
      </c>
      <c r="O249" s="1"/>
      <c r="P249" s="189" t="s">
        <v>1115</v>
      </c>
      <c r="Q249" s="190" t="s">
        <v>1116</v>
      </c>
      <c r="R249" s="188">
        <v>45859</v>
      </c>
      <c r="S249" s="193" t="s">
        <v>126</v>
      </c>
      <c r="T249" s="192"/>
      <c r="U249" s="829"/>
      <c r="V249" s="10" t="s">
        <v>3324</v>
      </c>
      <c r="W249" s="10" t="s">
        <v>3327</v>
      </c>
      <c r="X249" s="10"/>
      <c r="Y249" s="10"/>
      <c r="Z249" s="10"/>
      <c r="AA249" s="11"/>
      <c r="AB249" s="11"/>
      <c r="AD249" s="260"/>
    </row>
    <row r="250" spans="2:30" x14ac:dyDescent="0.3">
      <c r="B250" s="10" t="s">
        <v>290</v>
      </c>
      <c r="C250" s="315" t="s">
        <v>1769</v>
      </c>
      <c r="D250" s="868" t="s">
        <v>1117</v>
      </c>
      <c r="E250" s="837" t="str">
        <f>IFERROR(IF(_xlfn.XLOOKUP(Imput[[#This Row],[RFC]],'Alta Proveedor'!D:D,'Alta Proveedor'!E:E)=0,"",_xlfn.XLOOKUP(Imput[[#This Row],[RFC]],'Alta Proveedor'!D:D,'Alta Proveedor'!E:E)),"")</f>
        <v>TIENDAS CHEDRAUI</v>
      </c>
      <c r="F250" s="832" t="s">
        <v>1643</v>
      </c>
      <c r="G250" s="187">
        <v>7</v>
      </c>
      <c r="H250" s="1">
        <v>54.628999999999998</v>
      </c>
      <c r="I250" s="169">
        <f>Imput[[#This Row],[Cantidad]]*Imput[[#This Row],[Precio Unitario]]</f>
        <v>382.40299999999996</v>
      </c>
      <c r="J250" s="11">
        <f>((Imput[[#This Row],[Sub total]]-54.62)*0.08)</f>
        <v>26.222639999999998</v>
      </c>
      <c r="K250" s="11">
        <v>54.62</v>
      </c>
      <c r="L250" s="169">
        <f>Imput[[#This Row],[Sub total]]+Imput[[#This Row],[IVA]]-Imput[[#This Row],[Retención / IEPS / Descuento]]</f>
        <v>354.00563999999997</v>
      </c>
      <c r="M250" s="844">
        <v>0</v>
      </c>
      <c r="N250" s="189" t="s">
        <v>123</v>
      </c>
      <c r="O250" s="1"/>
      <c r="P250" s="189" t="s">
        <v>1115</v>
      </c>
      <c r="Q250" s="190" t="s">
        <v>1116</v>
      </c>
      <c r="R250" s="188">
        <v>45859</v>
      </c>
      <c r="S250" s="193" t="s">
        <v>126</v>
      </c>
      <c r="T250" s="192"/>
      <c r="U250" s="829"/>
      <c r="V250" s="10" t="s">
        <v>3324</v>
      </c>
      <c r="W250" s="10" t="s">
        <v>3327</v>
      </c>
      <c r="X250" s="10"/>
      <c r="Y250" s="10"/>
      <c r="Z250" s="10"/>
      <c r="AA250" s="11"/>
      <c r="AB250" s="11"/>
      <c r="AD250" s="260"/>
    </row>
    <row r="251" spans="2:30" x14ac:dyDescent="0.3">
      <c r="B251" s="10" t="s">
        <v>290</v>
      </c>
      <c r="C251" s="315" t="s">
        <v>1769</v>
      </c>
      <c r="D251" s="868" t="s">
        <v>1117</v>
      </c>
      <c r="E251" s="837" t="str">
        <f>IFERROR(IF(_xlfn.XLOOKUP(Imput[[#This Row],[RFC]],'Alta Proveedor'!D:D,'Alta Proveedor'!E:E)=0,"",_xlfn.XLOOKUP(Imput[[#This Row],[RFC]],'Alta Proveedor'!D:D,'Alta Proveedor'!E:E)),"")</f>
        <v>TIENDAS CHEDRAUI</v>
      </c>
      <c r="F251" s="832" t="s">
        <v>1644</v>
      </c>
      <c r="G251" s="187">
        <v>1</v>
      </c>
      <c r="H251" s="1">
        <v>17.234999999999999</v>
      </c>
      <c r="I251" s="169">
        <f>Imput[[#This Row],[Cantidad]]*Imput[[#This Row],[Precio Unitario]]</f>
        <v>17.234999999999999</v>
      </c>
      <c r="J251" s="11">
        <f>((Imput[[#This Row],[Sub total]])*0.16)</f>
        <v>2.7576000000000001</v>
      </c>
      <c r="K251" s="11">
        <v>0</v>
      </c>
      <c r="L251" s="169">
        <f>Imput[[#This Row],[Sub total]]+Imput[[#This Row],[IVA]]-Imput[[#This Row],[Retención / IEPS / Descuento]]</f>
        <v>19.992599999999999</v>
      </c>
      <c r="M251" s="844">
        <v>0</v>
      </c>
      <c r="N251" s="189" t="s">
        <v>123</v>
      </c>
      <c r="O251" s="1"/>
      <c r="P251" s="189" t="s">
        <v>1115</v>
      </c>
      <c r="Q251" s="190" t="s">
        <v>1116</v>
      </c>
      <c r="R251" s="188">
        <v>45859</v>
      </c>
      <c r="S251" s="193" t="s">
        <v>126</v>
      </c>
      <c r="T251" s="192"/>
      <c r="U251" s="829"/>
      <c r="V251" s="10" t="s">
        <v>3324</v>
      </c>
      <c r="W251" s="10" t="s">
        <v>3327</v>
      </c>
      <c r="X251" s="10"/>
      <c r="Y251" s="10"/>
      <c r="Z251" s="10"/>
      <c r="AA251" s="11"/>
      <c r="AB251" s="11"/>
      <c r="AD251" s="260"/>
    </row>
    <row r="252" spans="2:30" x14ac:dyDescent="0.3">
      <c r="B252" s="10" t="s">
        <v>290</v>
      </c>
      <c r="C252" s="315" t="s">
        <v>1769</v>
      </c>
      <c r="D252" s="868" t="s">
        <v>1117</v>
      </c>
      <c r="E252" s="837" t="str">
        <f>IFERROR(IF(_xlfn.XLOOKUP(Imput[[#This Row],[RFC]],'Alta Proveedor'!D:D,'Alta Proveedor'!E:E)=0,"",_xlfn.XLOOKUP(Imput[[#This Row],[RFC]],'Alta Proveedor'!D:D,'Alta Proveedor'!E:E)),"")</f>
        <v>TIENDAS CHEDRAUI</v>
      </c>
      <c r="F252" s="832" t="s">
        <v>1645</v>
      </c>
      <c r="G252" s="187">
        <v>1</v>
      </c>
      <c r="H252" s="1">
        <v>25.86</v>
      </c>
      <c r="I252" s="169">
        <f>Imput[[#This Row],[Cantidad]]*Imput[[#This Row],[Precio Unitario]]</f>
        <v>25.86</v>
      </c>
      <c r="J252" s="11">
        <f>((Imput[[#This Row],[Sub total]])*0.16)</f>
        <v>4.1375999999999999</v>
      </c>
      <c r="K252" s="11">
        <v>0</v>
      </c>
      <c r="L252" s="169">
        <f>Imput[[#This Row],[Sub total]]+Imput[[#This Row],[IVA]]-Imput[[#This Row],[Retención / IEPS / Descuento]]</f>
        <v>29.997599999999998</v>
      </c>
      <c r="M252" s="844">
        <v>0</v>
      </c>
      <c r="N252" s="189" t="s">
        <v>123</v>
      </c>
      <c r="O252" s="1"/>
      <c r="P252" s="189" t="s">
        <v>1115</v>
      </c>
      <c r="Q252" s="190" t="s">
        <v>1116</v>
      </c>
      <c r="R252" s="188">
        <v>45859</v>
      </c>
      <c r="S252" s="193" t="s">
        <v>126</v>
      </c>
      <c r="T252" s="192"/>
      <c r="U252" s="829"/>
      <c r="V252" s="10" t="s">
        <v>3324</v>
      </c>
      <c r="W252" s="10" t="s">
        <v>3327</v>
      </c>
      <c r="X252" s="10"/>
      <c r="Y252" s="10"/>
      <c r="Z252" s="10"/>
      <c r="AA252" s="11"/>
      <c r="AB252" s="11"/>
      <c r="AD252" s="260"/>
    </row>
    <row r="253" spans="2:30" x14ac:dyDescent="0.3">
      <c r="B253" s="10" t="s">
        <v>290</v>
      </c>
      <c r="C253" s="315" t="s">
        <v>1769</v>
      </c>
      <c r="D253" s="868" t="s">
        <v>1117</v>
      </c>
      <c r="E253" s="837" t="str">
        <f>IFERROR(IF(_xlfn.XLOOKUP(Imput[[#This Row],[RFC]],'Alta Proveedor'!D:D,'Alta Proveedor'!E:E)=0,"",_xlfn.XLOOKUP(Imput[[#This Row],[RFC]],'Alta Proveedor'!D:D,'Alta Proveedor'!E:E)),"")</f>
        <v>TIENDAS CHEDRAUI</v>
      </c>
      <c r="F253" s="832" t="s">
        <v>1646</v>
      </c>
      <c r="G253" s="187">
        <v>4</v>
      </c>
      <c r="H253" s="1">
        <v>17.667999999999999</v>
      </c>
      <c r="I253" s="169">
        <f>Imput[[#This Row],[Cantidad]]*Imput[[#This Row],[Precio Unitario]]</f>
        <v>70.671999999999997</v>
      </c>
      <c r="J253" s="11">
        <f>((Imput[[#This Row],[Sub total]]-6.88)*0.16)</f>
        <v>10.206719999999999</v>
      </c>
      <c r="K253" s="11">
        <v>6.88</v>
      </c>
      <c r="L253" s="169">
        <f>Imput[[#This Row],[Sub total]]+Imput[[#This Row],[IVA]]-Imput[[#This Row],[Retención / IEPS / Descuento]]</f>
        <v>73.998720000000006</v>
      </c>
      <c r="M253" s="844">
        <v>0</v>
      </c>
      <c r="N253" s="189" t="s">
        <v>123</v>
      </c>
      <c r="O253" s="1"/>
      <c r="P253" s="189" t="s">
        <v>1115</v>
      </c>
      <c r="Q253" s="190" t="s">
        <v>1116</v>
      </c>
      <c r="R253" s="188">
        <v>45859</v>
      </c>
      <c r="S253" s="193" t="s">
        <v>126</v>
      </c>
      <c r="T253" s="192"/>
      <c r="U253" s="829"/>
      <c r="V253" s="10" t="s">
        <v>3324</v>
      </c>
      <c r="W253" s="10" t="s">
        <v>3327</v>
      </c>
      <c r="X253" s="10"/>
      <c r="Y253" s="10"/>
      <c r="Z253" s="10"/>
      <c r="AA253" s="11"/>
      <c r="AB253" s="11"/>
      <c r="AD253" s="260"/>
    </row>
    <row r="254" spans="2:30" x14ac:dyDescent="0.3">
      <c r="B254" s="10" t="s">
        <v>290</v>
      </c>
      <c r="C254" s="315" t="s">
        <v>1769</v>
      </c>
      <c r="D254" s="868" t="s">
        <v>1117</v>
      </c>
      <c r="E254" s="837" t="str">
        <f>IFERROR(IF(_xlfn.XLOOKUP(Imput[[#This Row],[RFC]],'Alta Proveedor'!D:D,'Alta Proveedor'!E:E)=0,"",_xlfn.XLOOKUP(Imput[[#This Row],[RFC]],'Alta Proveedor'!D:D,'Alta Proveedor'!E:E)),"")</f>
        <v>TIENDAS CHEDRAUI</v>
      </c>
      <c r="F254" s="832" t="s">
        <v>1647</v>
      </c>
      <c r="G254" s="187">
        <v>1</v>
      </c>
      <c r="H254" s="1">
        <v>24.5</v>
      </c>
      <c r="I254" s="169">
        <f>Imput[[#This Row],[Cantidad]]*Imput[[#This Row],[Precio Unitario]]</f>
        <v>24.5</v>
      </c>
      <c r="J254" s="11">
        <v>0</v>
      </c>
      <c r="K254" s="11">
        <v>0</v>
      </c>
      <c r="L254" s="169">
        <f>Imput[[#This Row],[Sub total]]+Imput[[#This Row],[IVA]]-Imput[[#This Row],[Retención / IEPS / Descuento]]</f>
        <v>24.5</v>
      </c>
      <c r="M254" s="844">
        <v>0</v>
      </c>
      <c r="N254" s="189" t="s">
        <v>123</v>
      </c>
      <c r="O254" s="1"/>
      <c r="P254" s="189" t="s">
        <v>1115</v>
      </c>
      <c r="Q254" s="190" t="s">
        <v>1116</v>
      </c>
      <c r="R254" s="188">
        <v>45859</v>
      </c>
      <c r="S254" s="193" t="s">
        <v>126</v>
      </c>
      <c r="T254" s="192"/>
      <c r="U254" s="829"/>
      <c r="V254" s="10" t="s">
        <v>3324</v>
      </c>
      <c r="W254" s="10" t="s">
        <v>3327</v>
      </c>
      <c r="X254" s="10"/>
      <c r="Y254" s="10"/>
      <c r="Z254" s="10"/>
      <c r="AA254" s="11"/>
      <c r="AB254" s="11"/>
      <c r="AD254" s="260"/>
    </row>
    <row r="255" spans="2:30" x14ac:dyDescent="0.3">
      <c r="B255" s="10" t="s">
        <v>290</v>
      </c>
      <c r="C255" s="315" t="s">
        <v>1769</v>
      </c>
      <c r="D255" s="868" t="s">
        <v>1117</v>
      </c>
      <c r="E255" s="837" t="str">
        <f>IFERROR(IF(_xlfn.XLOOKUP(Imput[[#This Row],[RFC]],'Alta Proveedor'!D:D,'Alta Proveedor'!E:E)=0,"",_xlfn.XLOOKUP(Imput[[#This Row],[RFC]],'Alta Proveedor'!D:D,'Alta Proveedor'!E:E)),"")</f>
        <v>TIENDAS CHEDRAUI</v>
      </c>
      <c r="F255" s="832" t="s">
        <v>1648</v>
      </c>
      <c r="G255" s="187">
        <v>2</v>
      </c>
      <c r="H255" s="1">
        <v>17.239999999999998</v>
      </c>
      <c r="I255" s="169">
        <f>Imput[[#This Row],[Cantidad]]*Imput[[#This Row],[Precio Unitario]]</f>
        <v>34.479999999999997</v>
      </c>
      <c r="J255" s="11">
        <f>((Imput[[#This Row],[Sub total]])*0.16)</f>
        <v>5.5167999999999999</v>
      </c>
      <c r="K255" s="11">
        <v>0</v>
      </c>
      <c r="L255" s="169">
        <f>Imput[[#This Row],[Sub total]]+Imput[[#This Row],[IVA]]-Imput[[#This Row],[Retención / IEPS / Descuento]]</f>
        <v>39.996799999999993</v>
      </c>
      <c r="M255" s="844">
        <v>48.996799999999993</v>
      </c>
      <c r="N255" s="189" t="s">
        <v>123</v>
      </c>
      <c r="O255" s="1"/>
      <c r="P255" s="189" t="s">
        <v>1119</v>
      </c>
      <c r="Q255" s="190" t="s">
        <v>1120</v>
      </c>
      <c r="R255" s="188">
        <v>45859</v>
      </c>
      <c r="S255" s="193" t="s">
        <v>126</v>
      </c>
      <c r="T255" s="192"/>
      <c r="U255" s="829"/>
      <c r="V255" s="10" t="s">
        <v>3324</v>
      </c>
      <c r="W255" s="10" t="s">
        <v>3327</v>
      </c>
      <c r="X255" s="10"/>
      <c r="Y255" s="10"/>
      <c r="Z255" s="10"/>
      <c r="AA255" s="11"/>
      <c r="AB255" s="11"/>
      <c r="AD255" s="260"/>
    </row>
    <row r="256" spans="2:30" x14ac:dyDescent="0.3">
      <c r="B256" s="10" t="s">
        <v>290</v>
      </c>
      <c r="C256" s="315" t="s">
        <v>1769</v>
      </c>
      <c r="D256" s="868" t="s">
        <v>1117</v>
      </c>
      <c r="E256" s="837" t="str">
        <f>IFERROR(IF(_xlfn.XLOOKUP(Imput[[#This Row],[RFC]],'Alta Proveedor'!D:D,'Alta Proveedor'!E:E)=0,"",_xlfn.XLOOKUP(Imput[[#This Row],[RFC]],'Alta Proveedor'!D:D,'Alta Proveedor'!E:E)),"")</f>
        <v>TIENDAS CHEDRAUI</v>
      </c>
      <c r="F256" s="832" t="s">
        <v>1649</v>
      </c>
      <c r="G256" s="187">
        <v>1</v>
      </c>
      <c r="H256" s="1">
        <v>9</v>
      </c>
      <c r="I256" s="169">
        <f>Imput[[#This Row],[Cantidad]]*Imput[[#This Row],[Precio Unitario]]</f>
        <v>9</v>
      </c>
      <c r="J256" s="11">
        <v>0</v>
      </c>
      <c r="K256" s="11">
        <v>0</v>
      </c>
      <c r="L256" s="169">
        <f>Imput[[#This Row],[Sub total]]+Imput[[#This Row],[IVA]]-Imput[[#This Row],[Retención / IEPS / Descuento]]</f>
        <v>9</v>
      </c>
      <c r="M256" s="844">
        <v>0</v>
      </c>
      <c r="N256" s="189" t="s">
        <v>123</v>
      </c>
      <c r="O256" s="1"/>
      <c r="P256" s="189" t="s">
        <v>1119</v>
      </c>
      <c r="Q256" s="190" t="s">
        <v>1120</v>
      </c>
      <c r="R256" s="188">
        <v>45859</v>
      </c>
      <c r="S256" s="193" t="s">
        <v>126</v>
      </c>
      <c r="T256" s="192"/>
      <c r="U256" s="829"/>
      <c r="V256" s="10" t="s">
        <v>3324</v>
      </c>
      <c r="W256" s="10" t="s">
        <v>3327</v>
      </c>
      <c r="X256" s="10"/>
      <c r="Y256" s="10"/>
      <c r="Z256" s="10"/>
      <c r="AA256" s="11"/>
      <c r="AB256" s="11"/>
      <c r="AD256" s="260"/>
    </row>
    <row r="257" spans="2:30" x14ac:dyDescent="0.3">
      <c r="B257" s="10" t="s">
        <v>290</v>
      </c>
      <c r="C257" s="315" t="s">
        <v>1769</v>
      </c>
      <c r="D257" s="868" t="s">
        <v>1117</v>
      </c>
      <c r="E257" s="837" t="str">
        <f>IFERROR(IF(_xlfn.XLOOKUP(Imput[[#This Row],[RFC]],'Alta Proveedor'!D:D,'Alta Proveedor'!E:E)=0,"",_xlfn.XLOOKUP(Imput[[#This Row],[RFC]],'Alta Proveedor'!D:D,'Alta Proveedor'!E:E)),"")</f>
        <v>TIENDAS CHEDRAUI</v>
      </c>
      <c r="F257" s="832" t="s">
        <v>1650</v>
      </c>
      <c r="G257" s="187">
        <v>1</v>
      </c>
      <c r="H257" s="1">
        <v>14.5</v>
      </c>
      <c r="I257" s="169">
        <f>Imput[[#This Row],[Cantidad]]*Imput[[#This Row],[Precio Unitario]]</f>
        <v>14.5</v>
      </c>
      <c r="J257" s="11">
        <v>0</v>
      </c>
      <c r="K257" s="11">
        <v>0</v>
      </c>
      <c r="L257" s="169">
        <f>Imput[[#This Row],[Sub total]]+Imput[[#This Row],[IVA]]-Imput[[#This Row],[Retención / IEPS / Descuento]]</f>
        <v>14.5</v>
      </c>
      <c r="M257" s="844">
        <v>54.995600000000003</v>
      </c>
      <c r="N257" s="189" t="s">
        <v>123</v>
      </c>
      <c r="O257" s="1"/>
      <c r="P257" s="189" t="s">
        <v>1121</v>
      </c>
      <c r="Q257" s="190" t="s">
        <v>1122</v>
      </c>
      <c r="R257" s="188">
        <v>45859</v>
      </c>
      <c r="S257" s="193" t="s">
        <v>126</v>
      </c>
      <c r="T257" s="192"/>
      <c r="U257" s="829"/>
      <c r="V257" s="10" t="s">
        <v>3324</v>
      </c>
      <c r="W257" s="10" t="s">
        <v>3327</v>
      </c>
      <c r="X257" s="10"/>
      <c r="Y257" s="10"/>
      <c r="Z257" s="10"/>
      <c r="AA257" s="11"/>
      <c r="AB257" s="11"/>
      <c r="AD257" s="260"/>
    </row>
    <row r="258" spans="2:30" x14ac:dyDescent="0.3">
      <c r="B258" s="10" t="s">
        <v>290</v>
      </c>
      <c r="C258" s="315" t="s">
        <v>1769</v>
      </c>
      <c r="D258" s="868" t="s">
        <v>1117</v>
      </c>
      <c r="E258" s="837" t="str">
        <f>IFERROR(IF(_xlfn.XLOOKUP(Imput[[#This Row],[RFC]],'Alta Proveedor'!D:D,'Alta Proveedor'!E:E)=0,"",_xlfn.XLOOKUP(Imput[[#This Row],[RFC]],'Alta Proveedor'!D:D,'Alta Proveedor'!E:E)),"")</f>
        <v>TIENDAS CHEDRAUI</v>
      </c>
      <c r="F258" s="832" t="s">
        <v>1646</v>
      </c>
      <c r="G258" s="187">
        <v>1</v>
      </c>
      <c r="H258" s="1">
        <v>17.670000000000002</v>
      </c>
      <c r="I258" s="169">
        <f>Imput[[#This Row],[Cantidad]]*Imput[[#This Row],[Precio Unitario]]</f>
        <v>17.670000000000002</v>
      </c>
      <c r="J258" s="11">
        <f>((Imput[[#This Row],[Sub total]])*0.16)</f>
        <v>2.8272000000000004</v>
      </c>
      <c r="K258" s="11">
        <v>0</v>
      </c>
      <c r="L258" s="169">
        <f>Imput[[#This Row],[Sub total]]+Imput[[#This Row],[IVA]]-Imput[[#This Row],[Retención / IEPS / Descuento]]</f>
        <v>20.497200000000003</v>
      </c>
      <c r="M258" s="844">
        <v>0</v>
      </c>
      <c r="N258" s="189" t="s">
        <v>123</v>
      </c>
      <c r="O258" s="1"/>
      <c r="P258" s="189" t="s">
        <v>1121</v>
      </c>
      <c r="Q258" s="190" t="s">
        <v>1122</v>
      </c>
      <c r="R258" s="188">
        <v>45859</v>
      </c>
      <c r="S258" s="193" t="s">
        <v>126</v>
      </c>
      <c r="T258" s="192"/>
      <c r="U258" s="829"/>
      <c r="V258" s="10" t="s">
        <v>3324</v>
      </c>
      <c r="W258" s="10" t="s">
        <v>3327</v>
      </c>
      <c r="X258" s="10"/>
      <c r="Y258" s="10"/>
      <c r="Z258" s="10"/>
      <c r="AA258" s="11"/>
      <c r="AB258" s="11"/>
      <c r="AD258" s="260"/>
    </row>
    <row r="259" spans="2:30" x14ac:dyDescent="0.3">
      <c r="B259" s="10" t="s">
        <v>290</v>
      </c>
      <c r="C259" s="315" t="s">
        <v>1769</v>
      </c>
      <c r="D259" s="868" t="s">
        <v>1117</v>
      </c>
      <c r="E259" s="837" t="str">
        <f>IFERROR(IF(_xlfn.XLOOKUP(Imput[[#This Row],[RFC]],'Alta Proveedor'!D:D,'Alta Proveedor'!E:E)=0,"",_xlfn.XLOOKUP(Imput[[#This Row],[RFC]],'Alta Proveedor'!D:D,'Alta Proveedor'!E:E)),"")</f>
        <v>TIENDAS CHEDRAUI</v>
      </c>
      <c r="F259" s="832" t="s">
        <v>1648</v>
      </c>
      <c r="G259" s="187">
        <v>1</v>
      </c>
      <c r="H259" s="1">
        <v>17.239999999999998</v>
      </c>
      <c r="I259" s="169">
        <f>Imput[[#This Row],[Cantidad]]*Imput[[#This Row],[Precio Unitario]]</f>
        <v>17.239999999999998</v>
      </c>
      <c r="J259" s="11">
        <f>((Imput[[#This Row],[Sub total]])*0.16)</f>
        <v>2.7584</v>
      </c>
      <c r="K259" s="11">
        <v>0</v>
      </c>
      <c r="L259" s="169">
        <f>Imput[[#This Row],[Sub total]]+Imput[[#This Row],[IVA]]-Imput[[#This Row],[Retención / IEPS / Descuento]]</f>
        <v>19.998399999999997</v>
      </c>
      <c r="M259" s="844">
        <v>0</v>
      </c>
      <c r="N259" s="189" t="s">
        <v>123</v>
      </c>
      <c r="O259" s="1"/>
      <c r="P259" s="189" t="s">
        <v>1121</v>
      </c>
      <c r="Q259" s="190" t="s">
        <v>1122</v>
      </c>
      <c r="R259" s="188">
        <v>45859</v>
      </c>
      <c r="S259" s="193" t="s">
        <v>126</v>
      </c>
      <c r="T259" s="192"/>
      <c r="U259" s="829"/>
      <c r="V259" s="10" t="s">
        <v>3324</v>
      </c>
      <c r="W259" s="10" t="s">
        <v>3327</v>
      </c>
      <c r="X259" s="10"/>
      <c r="Y259" s="10"/>
      <c r="Z259" s="10"/>
      <c r="AA259" s="11"/>
      <c r="AB259" s="11"/>
      <c r="AD259" s="260"/>
    </row>
    <row r="260" spans="2:30" x14ac:dyDescent="0.3">
      <c r="B260" s="10" t="s">
        <v>142</v>
      </c>
      <c r="C260" s="315" t="s">
        <v>1806</v>
      </c>
      <c r="D260" s="868" t="s">
        <v>1062</v>
      </c>
      <c r="E260" s="837" t="str">
        <f>IFERROR(IF(_xlfn.XLOOKUP(Imput[[#This Row],[RFC]],'Alta Proveedor'!D:D,'Alta Proveedor'!E:E)=0,"",_xlfn.XLOOKUP(Imput[[#This Row],[RFC]],'Alta Proveedor'!D:D,'Alta Proveedor'!E:E)),"")</f>
        <v>FRANQUICIA DE COMIDA BUFALO "VIPS" (RESTAURANTE)</v>
      </c>
      <c r="F260" s="832" t="s">
        <v>1064</v>
      </c>
      <c r="G260" s="187">
        <v>1</v>
      </c>
      <c r="H260" s="1">
        <v>167.24</v>
      </c>
      <c r="I260" s="169">
        <f>Imput[[#This Row],[Cantidad]]*Imput[[#This Row],[Precio Unitario]]</f>
        <v>167.24</v>
      </c>
      <c r="J260" s="11">
        <f>((Imput[[#This Row],[Sub total]])*0.16)</f>
        <v>26.758400000000002</v>
      </c>
      <c r="K260" s="11">
        <v>0</v>
      </c>
      <c r="L260" s="169">
        <f>Imput[[#This Row],[Sub total]]+Imput[[#This Row],[IVA]]-Imput[[#This Row],[Retención / IEPS / Descuento]]</f>
        <v>193.9984</v>
      </c>
      <c r="M260" s="844">
        <v>193.9984</v>
      </c>
      <c r="N260" s="189" t="s">
        <v>123</v>
      </c>
      <c r="O260" s="1"/>
      <c r="P260" s="189" t="s">
        <v>1065</v>
      </c>
      <c r="Q260" s="190" t="s">
        <v>1066</v>
      </c>
      <c r="R260" s="188">
        <v>45859</v>
      </c>
      <c r="S260" s="193" t="s">
        <v>126</v>
      </c>
      <c r="T260" s="192"/>
      <c r="U260" s="829"/>
      <c r="V260" s="10" t="s">
        <v>3324</v>
      </c>
      <c r="W260" s="10" t="s">
        <v>3327</v>
      </c>
      <c r="X260" s="10"/>
      <c r="Y260" s="10"/>
      <c r="Z260" s="10"/>
      <c r="AA260" s="11"/>
      <c r="AB260" s="11"/>
      <c r="AD260" s="260"/>
    </row>
    <row r="261" spans="2:30" x14ac:dyDescent="0.3">
      <c r="B261" s="10" t="s">
        <v>290</v>
      </c>
      <c r="C261" s="315" t="s">
        <v>1767</v>
      </c>
      <c r="D261" s="868" t="s">
        <v>1143</v>
      </c>
      <c r="E261" s="837" t="str">
        <f>IFERROR(IF(_xlfn.XLOOKUP(Imput[[#This Row],[RFC]],'Alta Proveedor'!D:D,'Alta Proveedor'!E:E)=0,"",_xlfn.XLOOKUP(Imput[[#This Row],[RFC]],'Alta Proveedor'!D:D,'Alta Proveedor'!E:E)),"")</f>
        <v>SERVICIOS GASOLINEROS DE MEXICO (COMBUSTIBLES)</v>
      </c>
      <c r="F261" s="832" t="s">
        <v>1145</v>
      </c>
      <c r="G261" s="187">
        <v>40</v>
      </c>
      <c r="H261" s="1">
        <f>941.42/40</f>
        <v>23.535499999999999</v>
      </c>
      <c r="I261" s="169">
        <f>Imput[[#This Row],[Cantidad]]*Imput[[#This Row],[Precio Unitario]]</f>
        <v>941.42</v>
      </c>
      <c r="J261" s="11">
        <f>((913.61)*0.16)</f>
        <v>146.17760000000001</v>
      </c>
      <c r="K261" s="11">
        <v>0</v>
      </c>
      <c r="L261" s="169">
        <f>Imput[[#This Row],[Sub total]]+Imput[[#This Row],[IVA]]-Imput[[#This Row],[Retención / IEPS / Descuento]]</f>
        <v>1087.5976000000001</v>
      </c>
      <c r="M261" s="844">
        <v>1087.5976000000001</v>
      </c>
      <c r="N261" s="189" t="s">
        <v>123</v>
      </c>
      <c r="O261" s="1"/>
      <c r="P261" s="189" t="s">
        <v>1141</v>
      </c>
      <c r="Q261" s="190" t="s">
        <v>1142</v>
      </c>
      <c r="R261" s="188">
        <v>45859</v>
      </c>
      <c r="S261" s="193" t="s">
        <v>126</v>
      </c>
      <c r="T261" s="192"/>
      <c r="U261" s="829"/>
      <c r="V261" s="10" t="s">
        <v>3786</v>
      </c>
      <c r="W261" s="10" t="s">
        <v>3787</v>
      </c>
      <c r="X261" s="10"/>
      <c r="Y261" s="10"/>
      <c r="Z261" s="10"/>
      <c r="AA261" s="11"/>
      <c r="AB261" s="11"/>
      <c r="AD261" s="260"/>
    </row>
    <row r="262" spans="2:30" x14ac:dyDescent="0.3">
      <c r="B262" s="10" t="s">
        <v>290</v>
      </c>
      <c r="C262" s="315" t="s">
        <v>1747</v>
      </c>
      <c r="D262" s="868" t="s">
        <v>2032</v>
      </c>
      <c r="E262" s="837" t="str">
        <f>IFERROR(IF(_xlfn.XLOOKUP(Imput[[#This Row],[RFC]],'Alta Proveedor'!D:D,'Alta Proveedor'!E:E)=0,"",_xlfn.XLOOKUP(Imput[[#This Row],[RFC]],'Alta Proveedor'!D:D,'Alta Proveedor'!E:E)),"")</f>
        <v>ONE COATZACOALCOS "ONE HOTELES"  (HOSPEDAJE)</v>
      </c>
      <c r="F262" s="832" t="s">
        <v>2034</v>
      </c>
      <c r="G262" s="187">
        <v>1</v>
      </c>
      <c r="H262" s="1">
        <v>1186.44</v>
      </c>
      <c r="I262" s="169">
        <f>Imput[[#This Row],[Cantidad]]*Imput[[#This Row],[Precio Unitario]]</f>
        <v>1186.44</v>
      </c>
      <c r="J262" s="11">
        <f>((Imput[[#This Row],[Sub total]])*(0.16))+23.73</f>
        <v>213.56040000000002</v>
      </c>
      <c r="K262" s="11">
        <v>0</v>
      </c>
      <c r="L262" s="169">
        <f>Imput[[#This Row],[Sub total]]+Imput[[#This Row],[IVA]]-Imput[[#This Row],[Retención / IEPS / Descuento]]</f>
        <v>1400.0004000000001</v>
      </c>
      <c r="M262" s="844">
        <v>1400.0004000000001</v>
      </c>
      <c r="N262" s="189" t="s">
        <v>123</v>
      </c>
      <c r="O262" s="1"/>
      <c r="P262" s="189" t="s">
        <v>2030</v>
      </c>
      <c r="Q262" s="190" t="s">
        <v>2031</v>
      </c>
      <c r="R262" s="188">
        <v>45859</v>
      </c>
      <c r="S262" s="193" t="s">
        <v>126</v>
      </c>
      <c r="T262" s="192"/>
      <c r="U262" s="829"/>
      <c r="V262" s="10" t="s">
        <v>3324</v>
      </c>
      <c r="W262" s="10" t="s">
        <v>3801</v>
      </c>
      <c r="X262" s="10"/>
      <c r="Y262" s="10"/>
      <c r="Z262" s="10"/>
      <c r="AA262" s="11"/>
      <c r="AB262" s="11"/>
      <c r="AD262" s="260"/>
    </row>
    <row r="263" spans="2:30" x14ac:dyDescent="0.3">
      <c r="B263" s="10" t="s">
        <v>290</v>
      </c>
      <c r="C263" s="315" t="s">
        <v>1767</v>
      </c>
      <c r="D263" s="868" t="s">
        <v>1073</v>
      </c>
      <c r="E263" s="837" t="str">
        <f>IFERROR(IF(_xlfn.XLOOKUP(Imput[[#This Row],[RFC]],'Alta Proveedor'!D:D,'Alta Proveedor'!E:E)=0,"",_xlfn.XLOOKUP(Imput[[#This Row],[RFC]],'Alta Proveedor'!D:D,'Alta Proveedor'!E:E)),"")</f>
        <v>GASOLINERA EL JAIBO "NEXUM" (COMBUSTIBLES)</v>
      </c>
      <c r="F263" s="832" t="s">
        <v>237</v>
      </c>
      <c r="G263" s="187">
        <v>68.03</v>
      </c>
      <c r="H263" s="1">
        <f>1383.54/Imput[[#This Row],[Cantidad]]</f>
        <v>20.337204174628841</v>
      </c>
      <c r="I263" s="169">
        <f>Imput[[#This Row],[Cantidad]]*Imput[[#This Row],[Precio Unitario]]</f>
        <v>1383.54</v>
      </c>
      <c r="J263" s="11">
        <v>215.16</v>
      </c>
      <c r="K263" s="11">
        <v>0</v>
      </c>
      <c r="L263" s="169">
        <f>Imput[[#This Row],[Sub total]]+Imput[[#This Row],[IVA]]-Imput[[#This Row],[Retención / IEPS / Descuento]]</f>
        <v>1598.7</v>
      </c>
      <c r="M263" s="844">
        <v>1598.7</v>
      </c>
      <c r="N263" s="189" t="s">
        <v>123</v>
      </c>
      <c r="O263" s="1"/>
      <c r="P263" s="189" t="s">
        <v>1075</v>
      </c>
      <c r="Q263" s="190" t="s">
        <v>1076</v>
      </c>
      <c r="R263" s="188">
        <v>45859</v>
      </c>
      <c r="S263" s="193" t="s">
        <v>126</v>
      </c>
      <c r="T263" s="192"/>
      <c r="U263" s="829"/>
      <c r="V263" s="10" t="s">
        <v>3786</v>
      </c>
      <c r="W263" s="10" t="s">
        <v>3787</v>
      </c>
      <c r="X263" s="10"/>
      <c r="Y263" s="10"/>
      <c r="Z263" s="10"/>
      <c r="AA263" s="11"/>
      <c r="AB263" s="11"/>
      <c r="AD263" s="260"/>
    </row>
    <row r="264" spans="2:30" x14ac:dyDescent="0.3">
      <c r="B264" s="10" t="s">
        <v>290</v>
      </c>
      <c r="C264" s="315" t="s">
        <v>1806</v>
      </c>
      <c r="D264" s="868" t="s">
        <v>1057</v>
      </c>
      <c r="E264" s="837" t="str">
        <f>IFERROR(IF(_xlfn.XLOOKUP(Imput[[#This Row],[RFC]],'Alta Proveedor'!D:D,'Alta Proveedor'!E:E)=0,"",_xlfn.XLOOKUP(Imput[[#This Row],[RFC]],'Alta Proveedor'!D:D,'Alta Proveedor'!E:E)),"")</f>
        <v>CAFE SIRENA "STARBUCKS"</v>
      </c>
      <c r="F264" s="832" t="s">
        <v>1059</v>
      </c>
      <c r="G264" s="187">
        <v>1</v>
      </c>
      <c r="H264" s="1">
        <v>84.48</v>
      </c>
      <c r="I264" s="169">
        <f>Imput[[#This Row],[Cantidad]]*Imput[[#This Row],[Precio Unitario]]</f>
        <v>84.48</v>
      </c>
      <c r="J264" s="11">
        <f>((Imput[[#This Row],[Sub total]])*0.16)</f>
        <v>13.516800000000002</v>
      </c>
      <c r="K264" s="11">
        <v>0</v>
      </c>
      <c r="L264" s="169">
        <f>Imput[[#This Row],[Sub total]]+Imput[[#This Row],[IVA]]-Imput[[#This Row],[Retención / IEPS / Descuento]]</f>
        <v>97.996800000000007</v>
      </c>
      <c r="M264" s="844">
        <v>97.996800000000007</v>
      </c>
      <c r="N264" s="189" t="s">
        <v>123</v>
      </c>
      <c r="O264" s="1"/>
      <c r="P264" s="189" t="s">
        <v>1060</v>
      </c>
      <c r="Q264" s="190" t="s">
        <v>1061</v>
      </c>
      <c r="R264" s="188">
        <v>45859</v>
      </c>
      <c r="S264" s="193" t="s">
        <v>126</v>
      </c>
      <c r="T264" s="192"/>
      <c r="U264" s="829"/>
      <c r="V264" s="10" t="s">
        <v>3324</v>
      </c>
      <c r="W264" s="10" t="s">
        <v>3327</v>
      </c>
      <c r="X264" s="10"/>
      <c r="Y264" s="10"/>
      <c r="Z264" s="10"/>
      <c r="AA264" s="11"/>
      <c r="AB264" s="11"/>
      <c r="AD264" s="260"/>
    </row>
    <row r="265" spans="2:30" x14ac:dyDescent="0.3">
      <c r="B265" s="10" t="s">
        <v>290</v>
      </c>
      <c r="C265" s="315" t="s">
        <v>2709</v>
      </c>
      <c r="D265" s="868" t="s">
        <v>1108</v>
      </c>
      <c r="E265" s="837" t="str">
        <f>IFERROR(IF(_xlfn.XLOOKUP(Imput[[#This Row],[RFC]],'Alta Proveedor'!D:D,'Alta Proveedor'!E:E)=0,"",_xlfn.XLOOKUP(Imput[[#This Row],[RFC]],'Alta Proveedor'!D:D,'Alta Proveedor'!E:E)),"")</f>
        <v>MULTIELECTRICO S.A. DE C.V.</v>
      </c>
      <c r="F265" s="832" t="s">
        <v>1639</v>
      </c>
      <c r="G265" s="187">
        <v>1</v>
      </c>
      <c r="H265" s="1">
        <v>32.729999999999997</v>
      </c>
      <c r="I265" s="169">
        <f>Imput[[#This Row],[Cantidad]]*Imput[[#This Row],[Precio Unitario]]</f>
        <v>32.729999999999997</v>
      </c>
      <c r="J265" s="11">
        <f>((Imput[[#This Row],[Sub total]])*0.16)</f>
        <v>5.2367999999999997</v>
      </c>
      <c r="K265" s="11">
        <v>0</v>
      </c>
      <c r="L265" s="169">
        <f>Imput[[#This Row],[Sub total]]+Imput[[#This Row],[IVA]]-Imput[[#This Row],[Retención / IEPS / Descuento]]</f>
        <v>37.966799999999999</v>
      </c>
      <c r="M265" s="844">
        <v>37.966799999999999</v>
      </c>
      <c r="N265" s="189" t="s">
        <v>123</v>
      </c>
      <c r="O265" s="1"/>
      <c r="P265" s="189" t="s">
        <v>1106</v>
      </c>
      <c r="Q265" s="190" t="s">
        <v>1107</v>
      </c>
      <c r="R265" s="188">
        <v>45859</v>
      </c>
      <c r="S265" s="193" t="s">
        <v>126</v>
      </c>
      <c r="T265" s="192"/>
      <c r="U265" s="829"/>
      <c r="V265" s="10" t="s">
        <v>1012</v>
      </c>
      <c r="W265" s="10" t="s">
        <v>3795</v>
      </c>
      <c r="X265" s="10"/>
      <c r="Y265" s="10"/>
      <c r="Z265" s="10"/>
      <c r="AA265" s="11"/>
      <c r="AB265" s="11"/>
      <c r="AD265" s="260"/>
    </row>
    <row r="266" spans="2:30" x14ac:dyDescent="0.3">
      <c r="B266" s="10" t="s">
        <v>290</v>
      </c>
      <c r="C266" s="315" t="s">
        <v>2335</v>
      </c>
      <c r="D266" s="868" t="s">
        <v>3119</v>
      </c>
      <c r="E266" s="837" t="str">
        <f>IFERROR(IF(_xlfn.XLOOKUP(Imput[[#This Row],[RFC]],'Alta Proveedor'!D:D,'Alta Proveedor'!E:E)=0,"",_xlfn.XLOOKUP(Imput[[#This Row],[RFC]],'Alta Proveedor'!D:D,'Alta Proveedor'!E:E)),"")</f>
        <v>Nomina-OPERACIÓN</v>
      </c>
      <c r="F266" s="836" t="s">
        <v>3141</v>
      </c>
      <c r="G266" s="187">
        <v>1</v>
      </c>
      <c r="H266" s="1">
        <v>29820</v>
      </c>
      <c r="I266" s="169">
        <f>Imput[[#This Row],[Cantidad]]*Imput[[#This Row],[Precio Unitario]]</f>
        <v>29820</v>
      </c>
      <c r="J266" s="11">
        <f>Imput[[#This Row],[Sub total]]*0.08</f>
        <v>2385.6</v>
      </c>
      <c r="K266" s="11">
        <v>0</v>
      </c>
      <c r="L266" s="169">
        <f>Imput[[#This Row],[Sub total]]+Imput[[#This Row],[IVA]]-Imput[[#This Row],[Retención / IEPS / Descuento]]</f>
        <v>32205.599999999999</v>
      </c>
      <c r="M266" s="844">
        <v>32205.599999999999</v>
      </c>
      <c r="N266" s="189"/>
      <c r="O266" s="1"/>
      <c r="P266" s="189"/>
      <c r="Q266" s="190"/>
      <c r="R266" s="188">
        <v>45859</v>
      </c>
      <c r="S266" s="193"/>
      <c r="T266" s="192"/>
      <c r="U266" s="867" t="s">
        <v>3225</v>
      </c>
      <c r="V266" s="10" t="s">
        <v>3108</v>
      </c>
      <c r="W266" s="10" t="s">
        <v>3793</v>
      </c>
      <c r="X266" s="10"/>
      <c r="Y266" s="10"/>
      <c r="Z266" s="10"/>
      <c r="AA266" s="11"/>
      <c r="AB266" s="11"/>
      <c r="AD266" s="260"/>
    </row>
    <row r="267" spans="2:30" x14ac:dyDescent="0.3">
      <c r="B267" s="10" t="s">
        <v>290</v>
      </c>
      <c r="C267" s="315" t="s">
        <v>2426</v>
      </c>
      <c r="D267" s="868" t="s">
        <v>3078</v>
      </c>
      <c r="E267" s="837" t="str">
        <f>IFERROR(IF(_xlfn.XLOOKUP(Imput[[#This Row],[RFC]],'Alta Proveedor'!D:D,'Alta Proveedor'!E:E)=0,"",_xlfn.XLOOKUP(Imput[[#This Row],[RFC]],'Alta Proveedor'!D:D,'Alta Proveedor'!E:E)),"")</f>
        <v>CONCRETOS HUASTECA</v>
      </c>
      <c r="F267" s="832" t="s">
        <v>3387</v>
      </c>
      <c r="G267" s="187">
        <v>1</v>
      </c>
      <c r="H267" s="1">
        <v>6375.5919999999996</v>
      </c>
      <c r="I267" s="169">
        <f>Imput[[#This Row],[Cantidad]]*Imput[[#This Row],[Precio Unitario]]</f>
        <v>6375.5919999999996</v>
      </c>
      <c r="J267" s="11">
        <v>0</v>
      </c>
      <c r="K267" s="11">
        <v>0</v>
      </c>
      <c r="L267" s="169">
        <f>Imput[[#This Row],[Sub total]]+Imput[[#This Row],[IVA]]-Imput[[#This Row],[Retención / IEPS / Descuento]]</f>
        <v>6375.5919999999996</v>
      </c>
      <c r="M267" s="844">
        <v>6375.5919999999996</v>
      </c>
      <c r="N267" s="189"/>
      <c r="O267" s="1"/>
      <c r="P267" s="189">
        <f>Imput[[#This Row],[Folio]]</f>
        <v>8870</v>
      </c>
      <c r="Q267" s="190">
        <v>8870</v>
      </c>
      <c r="R267" s="188">
        <v>45860</v>
      </c>
      <c r="S267" s="193"/>
      <c r="T267" s="192"/>
      <c r="U267" s="829" t="s">
        <v>3099</v>
      </c>
      <c r="V267" s="10" t="s">
        <v>1012</v>
      </c>
      <c r="W267" s="10" t="s">
        <v>3805</v>
      </c>
      <c r="X267" s="10"/>
      <c r="Y267" s="10"/>
      <c r="Z267" s="10"/>
      <c r="AA267" s="11"/>
      <c r="AB267" s="11"/>
      <c r="AD267" s="260"/>
    </row>
    <row r="268" spans="2:30" x14ac:dyDescent="0.3">
      <c r="B268" s="10" t="s">
        <v>290</v>
      </c>
      <c r="C268" s="315" t="s">
        <v>1769</v>
      </c>
      <c r="D268" s="868" t="s">
        <v>244</v>
      </c>
      <c r="E268" s="837" t="str">
        <f>IFERROR(IF(_xlfn.XLOOKUP(Imput[[#This Row],[RFC]],'Alta Proveedor'!D:D,'Alta Proveedor'!E:E)=0,"",_xlfn.XLOOKUP(Imput[[#This Row],[RFC]],'Alta Proveedor'!D:D,'Alta Proveedor'!E:E)),"")</f>
        <v>CADENA COMERCIAL OXXO</v>
      </c>
      <c r="F268" s="832" t="s">
        <v>1214</v>
      </c>
      <c r="G268" s="187">
        <v>1</v>
      </c>
      <c r="H268" s="1">
        <v>18.100000000000001</v>
      </c>
      <c r="I268" s="169">
        <f>Imput[[#This Row],[Cantidad]]*Imput[[#This Row],[Precio Unitario]]</f>
        <v>18.100000000000001</v>
      </c>
      <c r="J268" s="11">
        <f>((Imput[[#This Row],[Sub total]])*0.16)</f>
        <v>2.8960000000000004</v>
      </c>
      <c r="K268" s="11">
        <v>0</v>
      </c>
      <c r="L268" s="169">
        <f>Imput[[#This Row],[Sub total]]+Imput[[#This Row],[IVA]]-Imput[[#This Row],[Retención / IEPS / Descuento]]</f>
        <v>20.996000000000002</v>
      </c>
      <c r="M268" s="844">
        <v>182.99760000000001</v>
      </c>
      <c r="N268" s="189" t="s">
        <v>123</v>
      </c>
      <c r="O268" s="1"/>
      <c r="P268" s="189" t="s">
        <v>1150</v>
      </c>
      <c r="Q268" s="190" t="s">
        <v>1151</v>
      </c>
      <c r="R268" s="188">
        <v>45860</v>
      </c>
      <c r="S268" s="193" t="s">
        <v>126</v>
      </c>
      <c r="T268" s="192"/>
      <c r="U268" s="829"/>
      <c r="V268" s="10" t="s">
        <v>3324</v>
      </c>
      <c r="W268" s="10" t="s">
        <v>3327</v>
      </c>
      <c r="X268" s="10"/>
      <c r="Y268" s="10"/>
      <c r="Z268" s="10"/>
      <c r="AA268" s="11"/>
      <c r="AB268" s="11"/>
      <c r="AD268" s="260"/>
    </row>
    <row r="269" spans="2:30" x14ac:dyDescent="0.3">
      <c r="B269" s="10" t="s">
        <v>290</v>
      </c>
      <c r="C269" s="315" t="s">
        <v>1769</v>
      </c>
      <c r="D269" s="868" t="s">
        <v>244</v>
      </c>
      <c r="E269" s="837" t="str">
        <f>IFERROR(IF(_xlfn.XLOOKUP(Imput[[#This Row],[RFC]],'Alta Proveedor'!D:D,'Alta Proveedor'!E:E)=0,"",_xlfn.XLOOKUP(Imput[[#This Row],[RFC]],'Alta Proveedor'!D:D,'Alta Proveedor'!E:E)),"")</f>
        <v>CADENA COMERCIAL OXXO</v>
      </c>
      <c r="F269" s="832" t="s">
        <v>1232</v>
      </c>
      <c r="G269" s="187">
        <v>2</v>
      </c>
      <c r="H269" s="1">
        <v>15.95</v>
      </c>
      <c r="I269" s="169">
        <f>Imput[[#This Row],[Cantidad]]*Imput[[#This Row],[Precio Unitario]]</f>
        <v>31.9</v>
      </c>
      <c r="J269" s="11">
        <f>((Imput[[#This Row],[Sub total]])*0.16)</f>
        <v>5.1040000000000001</v>
      </c>
      <c r="K269" s="11">
        <v>0</v>
      </c>
      <c r="L269" s="169">
        <f>Imput[[#This Row],[Sub total]]+Imput[[#This Row],[IVA]]-Imput[[#This Row],[Retención / IEPS / Descuento]]</f>
        <v>37.003999999999998</v>
      </c>
      <c r="M269" s="844">
        <v>0</v>
      </c>
      <c r="N269" s="189" t="s">
        <v>123</v>
      </c>
      <c r="O269" s="1"/>
      <c r="P269" s="189" t="s">
        <v>1150</v>
      </c>
      <c r="Q269" s="190" t="s">
        <v>1151</v>
      </c>
      <c r="R269" s="188">
        <v>45860</v>
      </c>
      <c r="S269" s="193" t="s">
        <v>126</v>
      </c>
      <c r="T269" s="192"/>
      <c r="U269" s="829"/>
      <c r="V269" s="10" t="s">
        <v>3324</v>
      </c>
      <c r="W269" s="10" t="s">
        <v>3327</v>
      </c>
      <c r="X269" s="10"/>
      <c r="Y269" s="10"/>
      <c r="Z269" s="10"/>
      <c r="AA269" s="11"/>
      <c r="AB269" s="11"/>
      <c r="AD269" s="260"/>
    </row>
    <row r="270" spans="2:30" x14ac:dyDescent="0.3">
      <c r="B270" s="10" t="s">
        <v>290</v>
      </c>
      <c r="C270" s="315" t="s">
        <v>1769</v>
      </c>
      <c r="D270" s="868" t="s">
        <v>244</v>
      </c>
      <c r="E270" s="837" t="str">
        <f>IFERROR(IF(_xlfn.XLOOKUP(Imput[[#This Row],[RFC]],'Alta Proveedor'!D:D,'Alta Proveedor'!E:E)=0,"",_xlfn.XLOOKUP(Imput[[#This Row],[RFC]],'Alta Proveedor'!D:D,'Alta Proveedor'!E:E)),"")</f>
        <v>CADENA COMERCIAL OXXO</v>
      </c>
      <c r="F270" s="832" t="s">
        <v>1228</v>
      </c>
      <c r="G270" s="187">
        <v>2</v>
      </c>
      <c r="H270" s="1">
        <v>37</v>
      </c>
      <c r="I270" s="169">
        <f>Imput[[#This Row],[Cantidad]]*Imput[[#This Row],[Precio Unitario]]</f>
        <v>74</v>
      </c>
      <c r="J270" s="11">
        <v>0</v>
      </c>
      <c r="K270" s="11">
        <v>0</v>
      </c>
      <c r="L270" s="169">
        <f>Imput[[#This Row],[Sub total]]+Imput[[#This Row],[IVA]]-Imput[[#This Row],[Retención / IEPS / Descuento]]</f>
        <v>74</v>
      </c>
      <c r="M270" s="844">
        <v>0</v>
      </c>
      <c r="N270" s="189" t="s">
        <v>123</v>
      </c>
      <c r="O270" s="1"/>
      <c r="P270" s="189" t="s">
        <v>1150</v>
      </c>
      <c r="Q270" s="190" t="s">
        <v>1151</v>
      </c>
      <c r="R270" s="188">
        <v>45860</v>
      </c>
      <c r="S270" s="193" t="s">
        <v>126</v>
      </c>
      <c r="T270" s="192"/>
      <c r="U270" s="829"/>
      <c r="V270" s="10" t="s">
        <v>3324</v>
      </c>
      <c r="W270" s="10" t="s">
        <v>3327</v>
      </c>
      <c r="X270" s="10"/>
      <c r="Y270" s="10"/>
      <c r="Z270" s="10"/>
      <c r="AA270" s="11"/>
      <c r="AB270" s="11"/>
      <c r="AD270" s="260"/>
    </row>
    <row r="271" spans="2:30" x14ac:dyDescent="0.3">
      <c r="B271" s="10" t="s">
        <v>290</v>
      </c>
      <c r="C271" s="315" t="s">
        <v>1769</v>
      </c>
      <c r="D271" s="868" t="s">
        <v>244</v>
      </c>
      <c r="E271" s="837" t="str">
        <f>IFERROR(IF(_xlfn.XLOOKUP(Imput[[#This Row],[RFC]],'Alta Proveedor'!D:D,'Alta Proveedor'!E:E)=0,"",_xlfn.XLOOKUP(Imput[[#This Row],[RFC]],'Alta Proveedor'!D:D,'Alta Proveedor'!E:E)),"")</f>
        <v>CADENA COMERCIAL OXXO</v>
      </c>
      <c r="F271" s="832" t="s">
        <v>1233</v>
      </c>
      <c r="G271" s="187">
        <v>1</v>
      </c>
      <c r="H271" s="1">
        <v>22.22</v>
      </c>
      <c r="I271" s="169">
        <f>Imput[[#This Row],[Cantidad]]*Imput[[#This Row],[Precio Unitario]]</f>
        <v>22.22</v>
      </c>
      <c r="J271" s="11">
        <f>((Imput[[#This Row],[Sub total]])*0.08)</f>
        <v>1.7775999999999998</v>
      </c>
      <c r="K271" s="11">
        <v>0</v>
      </c>
      <c r="L271" s="169">
        <f>Imput[[#This Row],[Sub total]]+Imput[[#This Row],[IVA]]-Imput[[#This Row],[Retención / IEPS / Descuento]]</f>
        <v>23.997599999999998</v>
      </c>
      <c r="M271" s="844">
        <v>0</v>
      </c>
      <c r="N271" s="189" t="s">
        <v>123</v>
      </c>
      <c r="O271" s="1"/>
      <c r="P271" s="189" t="s">
        <v>1150</v>
      </c>
      <c r="Q271" s="190" t="s">
        <v>1151</v>
      </c>
      <c r="R271" s="188">
        <v>45860</v>
      </c>
      <c r="S271" s="193" t="s">
        <v>126</v>
      </c>
      <c r="T271" s="192"/>
      <c r="U271" s="829"/>
      <c r="V271" s="10" t="s">
        <v>3324</v>
      </c>
      <c r="W271" s="10" t="s">
        <v>3327</v>
      </c>
      <c r="X271" s="10"/>
      <c r="Y271" s="10"/>
      <c r="Z271" s="10"/>
      <c r="AA271" s="11"/>
      <c r="AB271" s="11"/>
      <c r="AD271" s="260"/>
    </row>
    <row r="272" spans="2:30" x14ac:dyDescent="0.3">
      <c r="B272" s="10" t="s">
        <v>290</v>
      </c>
      <c r="C272" s="315" t="s">
        <v>1769</v>
      </c>
      <c r="D272" s="868" t="s">
        <v>244</v>
      </c>
      <c r="E272" s="837" t="str">
        <f>IFERROR(IF(_xlfn.XLOOKUP(Imput[[#This Row],[RFC]],'Alta Proveedor'!D:D,'Alta Proveedor'!E:E)=0,"",_xlfn.XLOOKUP(Imput[[#This Row],[RFC]],'Alta Proveedor'!D:D,'Alta Proveedor'!E:E)),"")</f>
        <v>CADENA COMERCIAL OXXO</v>
      </c>
      <c r="F272" s="832" t="s">
        <v>1234</v>
      </c>
      <c r="G272" s="187">
        <v>1</v>
      </c>
      <c r="H272" s="1">
        <v>27</v>
      </c>
      <c r="I272" s="169">
        <f>Imput[[#This Row],[Cantidad]]*Imput[[#This Row],[Precio Unitario]]</f>
        <v>27</v>
      </c>
      <c r="J272" s="11">
        <v>0</v>
      </c>
      <c r="K272" s="11">
        <v>0</v>
      </c>
      <c r="L272" s="169">
        <f>Imput[[#This Row],[Sub total]]+Imput[[#This Row],[IVA]]-Imput[[#This Row],[Retención / IEPS / Descuento]]</f>
        <v>27</v>
      </c>
      <c r="M272" s="844">
        <v>0</v>
      </c>
      <c r="N272" s="189" t="s">
        <v>123</v>
      </c>
      <c r="O272" s="1"/>
      <c r="P272" s="189" t="s">
        <v>1150</v>
      </c>
      <c r="Q272" s="190" t="s">
        <v>1151</v>
      </c>
      <c r="R272" s="188">
        <v>45860</v>
      </c>
      <c r="S272" s="193" t="s">
        <v>126</v>
      </c>
      <c r="T272" s="192"/>
      <c r="U272" s="829"/>
      <c r="V272" s="10" t="s">
        <v>3324</v>
      </c>
      <c r="W272" s="10" t="s">
        <v>3327</v>
      </c>
      <c r="X272" s="10"/>
      <c r="Y272" s="10"/>
      <c r="Z272" s="10"/>
      <c r="AA272" s="11"/>
      <c r="AB272" s="11"/>
      <c r="AD272" s="260"/>
    </row>
    <row r="273" spans="2:30" x14ac:dyDescent="0.3">
      <c r="B273" s="10" t="s">
        <v>290</v>
      </c>
      <c r="C273" s="315" t="s">
        <v>1769</v>
      </c>
      <c r="D273" s="868" t="s">
        <v>244</v>
      </c>
      <c r="E273" s="837" t="str">
        <f>IFERROR(IF(_xlfn.XLOOKUP(Imput[[#This Row],[RFC]],'Alta Proveedor'!D:D,'Alta Proveedor'!E:E)=0,"",_xlfn.XLOOKUP(Imput[[#This Row],[RFC]],'Alta Proveedor'!D:D,'Alta Proveedor'!E:E)),"")</f>
        <v>CADENA COMERCIAL OXXO</v>
      </c>
      <c r="F273" s="832" t="s">
        <v>1224</v>
      </c>
      <c r="G273" s="187">
        <v>1</v>
      </c>
      <c r="H273" s="1">
        <v>16.809999999999999</v>
      </c>
      <c r="I273" s="169">
        <f>Imput[[#This Row],[Cantidad]]*Imput[[#This Row],[Precio Unitario]]</f>
        <v>16.809999999999999</v>
      </c>
      <c r="J273" s="11">
        <f>((Imput[[#This Row],[Sub total]])*0.16)</f>
        <v>2.6896</v>
      </c>
      <c r="K273" s="11">
        <v>0</v>
      </c>
      <c r="L273" s="169">
        <f>Imput[[#This Row],[Sub total]]+Imput[[#This Row],[IVA]]-Imput[[#This Row],[Retención / IEPS / Descuento]]</f>
        <v>19.499599999999997</v>
      </c>
      <c r="M273" s="844">
        <v>19.499599999999997</v>
      </c>
      <c r="N273" s="189" t="s">
        <v>123</v>
      </c>
      <c r="O273" s="1"/>
      <c r="P273" s="189" t="s">
        <v>1152</v>
      </c>
      <c r="Q273" s="190" t="s">
        <v>1153</v>
      </c>
      <c r="R273" s="188">
        <v>45860</v>
      </c>
      <c r="S273" s="193" t="s">
        <v>126</v>
      </c>
      <c r="T273" s="192"/>
      <c r="U273" s="829"/>
      <c r="V273" s="10" t="s">
        <v>3324</v>
      </c>
      <c r="W273" s="10" t="s">
        <v>3327</v>
      </c>
      <c r="X273" s="10"/>
      <c r="Y273" s="10"/>
      <c r="Z273" s="10"/>
      <c r="AA273" s="11"/>
      <c r="AB273" s="11"/>
      <c r="AD273" s="260"/>
    </row>
    <row r="274" spans="2:30" x14ac:dyDescent="0.3">
      <c r="B274" s="10" t="s">
        <v>290</v>
      </c>
      <c r="C274" s="315" t="s">
        <v>2434</v>
      </c>
      <c r="D274" s="868" t="s">
        <v>164</v>
      </c>
      <c r="E274" s="837" t="str">
        <f>IFERROR(IF(_xlfn.XLOOKUP(Imput[[#This Row],[RFC]],'Alta Proveedor'!D:D,'Alta Proveedor'!E:E)=0,"",_xlfn.XLOOKUP(Imput[[#This Row],[RFC]],'Alta Proveedor'!D:D,'Alta Proveedor'!E:E)),"")</f>
        <v>HOME DEPOT MEXICO SUCURSAL THD-8730 TAMPICO</v>
      </c>
      <c r="F274" s="832" t="s">
        <v>1633</v>
      </c>
      <c r="G274" s="187">
        <v>27</v>
      </c>
      <c r="H274" s="1">
        <f>707.59/Imput[[#This Row],[Cantidad]]</f>
        <v>26.20703703703704</v>
      </c>
      <c r="I274" s="169">
        <f>Imput[[#This Row],[Cantidad]]*Imput[[#This Row],[Precio Unitario]]</f>
        <v>707.59</v>
      </c>
      <c r="J274" s="11">
        <f>((Imput[[#This Row],[Sub total]])*0.16)</f>
        <v>113.21440000000001</v>
      </c>
      <c r="K274" s="11">
        <v>0</v>
      </c>
      <c r="L274" s="169">
        <f>Imput[[#This Row],[Sub total]]+Imput[[#This Row],[IVA]]-Imput[[#This Row],[Retención / IEPS / Descuento]]</f>
        <v>820.80439999999999</v>
      </c>
      <c r="M274" s="844">
        <v>2047.1795999999999</v>
      </c>
      <c r="N274" s="189" t="s">
        <v>123</v>
      </c>
      <c r="O274" s="1"/>
      <c r="P274" s="189" t="s">
        <v>1160</v>
      </c>
      <c r="Q274" s="190" t="s">
        <v>1161</v>
      </c>
      <c r="R274" s="188">
        <v>45860</v>
      </c>
      <c r="S274" s="193" t="s">
        <v>126</v>
      </c>
      <c r="T274" s="192"/>
      <c r="U274" s="829"/>
      <c r="V274" s="10" t="s">
        <v>1012</v>
      </c>
      <c r="W274" s="10" t="s">
        <v>3795</v>
      </c>
      <c r="X274" s="10"/>
      <c r="Y274" s="10"/>
      <c r="Z274" s="10"/>
      <c r="AA274" s="11"/>
      <c r="AB274" s="11"/>
      <c r="AD274" s="260"/>
    </row>
    <row r="275" spans="2:30" x14ac:dyDescent="0.3">
      <c r="B275" s="10" t="s">
        <v>290</v>
      </c>
      <c r="C275" s="315" t="s">
        <v>2709</v>
      </c>
      <c r="D275" s="868" t="s">
        <v>164</v>
      </c>
      <c r="E275" s="837" t="str">
        <f>IFERROR(IF(_xlfn.XLOOKUP(Imput[[#This Row],[RFC]],'Alta Proveedor'!D:D,'Alta Proveedor'!E:E)=0,"",_xlfn.XLOOKUP(Imput[[#This Row],[RFC]],'Alta Proveedor'!D:D,'Alta Proveedor'!E:E)),"")</f>
        <v>HOME DEPOT MEXICO SUCURSAL THD-8730 TAMPICO</v>
      </c>
      <c r="F275" s="832" t="s">
        <v>1191</v>
      </c>
      <c r="G275" s="187">
        <v>3</v>
      </c>
      <c r="H275" s="1">
        <f>367.5/Imput[[#This Row],[Cantidad]]</f>
        <v>122.5</v>
      </c>
      <c r="I275" s="169">
        <f>Imput[[#This Row],[Cantidad]]*Imput[[#This Row],[Precio Unitario]]</f>
        <v>367.5</v>
      </c>
      <c r="J275" s="11">
        <f>((Imput[[#This Row],[Sub total]])*0.16)</f>
        <v>58.800000000000004</v>
      </c>
      <c r="K275" s="11">
        <v>0</v>
      </c>
      <c r="L275" s="169">
        <f>Imput[[#This Row],[Sub total]]+Imput[[#This Row],[IVA]]-Imput[[#This Row],[Retención / IEPS / Descuento]]</f>
        <v>426.3</v>
      </c>
      <c r="M275" s="844">
        <v>0</v>
      </c>
      <c r="N275" s="189" t="s">
        <v>123</v>
      </c>
      <c r="O275" s="1"/>
      <c r="P275" s="189" t="s">
        <v>1160</v>
      </c>
      <c r="Q275" s="190" t="s">
        <v>1161</v>
      </c>
      <c r="R275" s="188">
        <v>45860</v>
      </c>
      <c r="S275" s="193" t="s">
        <v>126</v>
      </c>
      <c r="T275" s="192"/>
      <c r="U275" s="829"/>
      <c r="V275" s="866" t="s">
        <v>1012</v>
      </c>
      <c r="W275" s="10" t="s">
        <v>3795</v>
      </c>
      <c r="X275" s="10"/>
      <c r="Y275" s="10"/>
      <c r="Z275" s="10"/>
      <c r="AA275" s="11"/>
      <c r="AB275" s="11"/>
      <c r="AD275" s="260"/>
    </row>
    <row r="276" spans="2:30" x14ac:dyDescent="0.3">
      <c r="B276" s="10" t="s">
        <v>290</v>
      </c>
      <c r="C276" s="315" t="s">
        <v>2709</v>
      </c>
      <c r="D276" s="868" t="s">
        <v>164</v>
      </c>
      <c r="E276" s="837" t="str">
        <f>IFERROR(IF(_xlfn.XLOOKUP(Imput[[#This Row],[RFC]],'Alta Proveedor'!D:D,'Alta Proveedor'!E:E)=0,"",_xlfn.XLOOKUP(Imput[[#This Row],[RFC]],'Alta Proveedor'!D:D,'Alta Proveedor'!E:E)),"")</f>
        <v>HOME DEPOT MEXICO SUCURSAL THD-8730 TAMPICO</v>
      </c>
      <c r="F276" s="832" t="s">
        <v>2909</v>
      </c>
      <c r="G276" s="187">
        <v>12</v>
      </c>
      <c r="H276" s="1">
        <f>192.62/Imput[[#This Row],[Cantidad]]</f>
        <v>16.051666666666666</v>
      </c>
      <c r="I276" s="169">
        <f>Imput[[#This Row],[Cantidad]]*Imput[[#This Row],[Precio Unitario]]</f>
        <v>192.62</v>
      </c>
      <c r="J276" s="11">
        <f>((Imput[[#This Row],[Sub total]])*0.16)</f>
        <v>30.819200000000002</v>
      </c>
      <c r="K276" s="11">
        <v>0</v>
      </c>
      <c r="L276" s="169">
        <f>Imput[[#This Row],[Sub total]]+Imput[[#This Row],[IVA]]-Imput[[#This Row],[Retención / IEPS / Descuento]]</f>
        <v>223.4392</v>
      </c>
      <c r="M276" s="844">
        <v>0</v>
      </c>
      <c r="N276" s="189" t="s">
        <v>123</v>
      </c>
      <c r="O276" s="1"/>
      <c r="P276" s="189" t="s">
        <v>1160</v>
      </c>
      <c r="Q276" s="190" t="s">
        <v>1161</v>
      </c>
      <c r="R276" s="188">
        <v>45860</v>
      </c>
      <c r="S276" s="193" t="s">
        <v>126</v>
      </c>
      <c r="T276" s="192"/>
      <c r="U276" s="829"/>
      <c r="V276" s="10" t="s">
        <v>1012</v>
      </c>
      <c r="W276" s="10" t="s">
        <v>3795</v>
      </c>
      <c r="X276" s="10"/>
      <c r="Y276" s="10"/>
      <c r="Z276" s="10"/>
      <c r="AA276" s="11"/>
      <c r="AB276" s="11"/>
      <c r="AD276" s="260"/>
    </row>
    <row r="277" spans="2:30" x14ac:dyDescent="0.3">
      <c r="B277" s="10" t="s">
        <v>290</v>
      </c>
      <c r="C277" s="315" t="s">
        <v>2434</v>
      </c>
      <c r="D277" s="868" t="s">
        <v>164</v>
      </c>
      <c r="E277" s="837" t="str">
        <f>IFERROR(IF(_xlfn.XLOOKUP(Imput[[#This Row],[RFC]],'Alta Proveedor'!D:D,'Alta Proveedor'!E:E)=0,"",_xlfn.XLOOKUP(Imput[[#This Row],[RFC]],'Alta Proveedor'!D:D,'Alta Proveedor'!E:E)),"")</f>
        <v>HOME DEPOT MEXICO SUCURSAL THD-8730 TAMPICO</v>
      </c>
      <c r="F277" s="832" t="s">
        <v>1632</v>
      </c>
      <c r="G277" s="187">
        <v>3</v>
      </c>
      <c r="H277" s="1">
        <f>179.33/Imput[[#This Row],[Cantidad]]</f>
        <v>59.776666666666671</v>
      </c>
      <c r="I277" s="169">
        <f>Imput[[#This Row],[Cantidad]]*Imput[[#This Row],[Precio Unitario]]</f>
        <v>179.33</v>
      </c>
      <c r="J277" s="11">
        <f>((Imput[[#This Row],[Sub total]])*0.16)</f>
        <v>28.692800000000002</v>
      </c>
      <c r="K277" s="11">
        <v>0</v>
      </c>
      <c r="L277" s="169">
        <f>Imput[[#This Row],[Sub total]]+Imput[[#This Row],[IVA]]-Imput[[#This Row],[Retención / IEPS / Descuento]]</f>
        <v>208.02280000000002</v>
      </c>
      <c r="M277" s="844">
        <v>0</v>
      </c>
      <c r="N277" s="189" t="s">
        <v>123</v>
      </c>
      <c r="O277" s="1"/>
      <c r="P277" s="189" t="s">
        <v>1160</v>
      </c>
      <c r="Q277" s="190" t="s">
        <v>1161</v>
      </c>
      <c r="R277" s="188">
        <v>45860</v>
      </c>
      <c r="S277" s="193" t="s">
        <v>126</v>
      </c>
      <c r="T277" s="192"/>
      <c r="U277" s="829"/>
      <c r="V277" s="10" t="s">
        <v>1012</v>
      </c>
      <c r="W277" s="10" t="s">
        <v>3795</v>
      </c>
      <c r="X277" s="10"/>
      <c r="Y277" s="10"/>
      <c r="Z277" s="10"/>
      <c r="AA277" s="11"/>
      <c r="AB277" s="11"/>
      <c r="AD277" s="260"/>
    </row>
    <row r="278" spans="2:30" x14ac:dyDescent="0.3">
      <c r="B278" s="10" t="s">
        <v>290</v>
      </c>
      <c r="C278" s="315" t="s">
        <v>2709</v>
      </c>
      <c r="D278" s="868" t="s">
        <v>164</v>
      </c>
      <c r="E278" s="837" t="str">
        <f>IFERROR(IF(_xlfn.XLOOKUP(Imput[[#This Row],[RFC]],'Alta Proveedor'!D:D,'Alta Proveedor'!E:E)=0,"",_xlfn.XLOOKUP(Imput[[#This Row],[RFC]],'Alta Proveedor'!D:D,'Alta Proveedor'!E:E)),"")</f>
        <v>HOME DEPOT MEXICO SUCURSAL THD-8730 TAMPICO</v>
      </c>
      <c r="F278" s="832" t="s">
        <v>285</v>
      </c>
      <c r="G278" s="187">
        <v>3</v>
      </c>
      <c r="H278" s="1">
        <f>174.88/Imput[[#This Row],[Cantidad]]</f>
        <v>58.293333333333329</v>
      </c>
      <c r="I278" s="169">
        <f>Imput[[#This Row],[Cantidad]]*Imput[[#This Row],[Precio Unitario]]</f>
        <v>174.88</v>
      </c>
      <c r="J278" s="11">
        <f>((Imput[[#This Row],[Sub total]])*0.16)</f>
        <v>27.980799999999999</v>
      </c>
      <c r="K278" s="11">
        <v>0</v>
      </c>
      <c r="L278" s="169">
        <f>Imput[[#This Row],[Sub total]]+Imput[[#This Row],[IVA]]-Imput[[#This Row],[Retención / IEPS / Descuento]]</f>
        <v>202.86079999999998</v>
      </c>
      <c r="M278" s="844">
        <v>0</v>
      </c>
      <c r="N278" s="189" t="s">
        <v>123</v>
      </c>
      <c r="O278" s="1"/>
      <c r="P278" s="189" t="s">
        <v>1160</v>
      </c>
      <c r="Q278" s="190" t="s">
        <v>1161</v>
      </c>
      <c r="R278" s="188">
        <v>45860</v>
      </c>
      <c r="S278" s="193" t="s">
        <v>126</v>
      </c>
      <c r="T278" s="192"/>
      <c r="U278" s="829"/>
      <c r="V278" s="10" t="s">
        <v>1012</v>
      </c>
      <c r="W278" s="10" t="s">
        <v>3795</v>
      </c>
      <c r="X278" s="10"/>
      <c r="Y278" s="10"/>
      <c r="Z278" s="10"/>
      <c r="AA278" s="11"/>
      <c r="AB278" s="11"/>
      <c r="AD278" s="260"/>
    </row>
    <row r="279" spans="2:30" x14ac:dyDescent="0.3">
      <c r="B279" s="10" t="s">
        <v>290</v>
      </c>
      <c r="C279" s="315" t="s">
        <v>2709</v>
      </c>
      <c r="D279" s="868" t="s">
        <v>164</v>
      </c>
      <c r="E279" s="837" t="str">
        <f>IFERROR(IF(_xlfn.XLOOKUP(Imput[[#This Row],[RFC]],'Alta Proveedor'!D:D,'Alta Proveedor'!E:E)=0,"",_xlfn.XLOOKUP(Imput[[#This Row],[RFC]],'Alta Proveedor'!D:D,'Alta Proveedor'!E:E)),"")</f>
        <v>HOME DEPOT MEXICO SUCURSAL THD-8730 TAMPICO</v>
      </c>
      <c r="F279" s="832" t="s">
        <v>1177</v>
      </c>
      <c r="G279" s="187">
        <v>1</v>
      </c>
      <c r="H279" s="1">
        <f>142.89/Imput[[#This Row],[Cantidad]]</f>
        <v>142.88999999999999</v>
      </c>
      <c r="I279" s="169">
        <f>Imput[[#This Row],[Cantidad]]*Imput[[#This Row],[Precio Unitario]]</f>
        <v>142.88999999999999</v>
      </c>
      <c r="J279" s="11">
        <f>((Imput[[#This Row],[Sub total]])*0.16)</f>
        <v>22.862399999999997</v>
      </c>
      <c r="K279" s="11">
        <v>0</v>
      </c>
      <c r="L279" s="169">
        <f>Imput[[#This Row],[Sub total]]+Imput[[#This Row],[IVA]]-Imput[[#This Row],[Retención / IEPS / Descuento]]</f>
        <v>165.75239999999999</v>
      </c>
      <c r="M279" s="844">
        <v>0</v>
      </c>
      <c r="N279" s="189" t="s">
        <v>123</v>
      </c>
      <c r="O279" s="1"/>
      <c r="P279" s="189" t="s">
        <v>1160</v>
      </c>
      <c r="Q279" s="190" t="s">
        <v>1161</v>
      </c>
      <c r="R279" s="188">
        <v>45860</v>
      </c>
      <c r="S279" s="193" t="s">
        <v>126</v>
      </c>
      <c r="T279" s="192"/>
      <c r="U279" s="829"/>
      <c r="V279" s="10" t="s">
        <v>1012</v>
      </c>
      <c r="W279" s="10" t="s">
        <v>3795</v>
      </c>
      <c r="X279" s="10"/>
      <c r="Y279" s="10"/>
      <c r="Z279" s="10"/>
      <c r="AA279" s="11"/>
      <c r="AB279" s="11"/>
      <c r="AD279" s="260"/>
    </row>
    <row r="280" spans="2:30" x14ac:dyDescent="0.3">
      <c r="B280" s="10" t="s">
        <v>290</v>
      </c>
      <c r="C280" s="315" t="s">
        <v>2434</v>
      </c>
      <c r="D280" s="868" t="s">
        <v>164</v>
      </c>
      <c r="E280" s="837" t="str">
        <f>IFERROR(IF(_xlfn.XLOOKUP(Imput[[#This Row],[RFC]],'Alta Proveedor'!D:D,'Alta Proveedor'!E:E)=0,"",_xlfn.XLOOKUP(Imput[[#This Row],[RFC]],'Alta Proveedor'!D:D,'Alta Proveedor'!E:E)),"")</f>
        <v>HOME DEPOT MEXICO SUCURSAL THD-8730 TAMPICO</v>
      </c>
      <c r="F280" s="832" t="s">
        <v>1632</v>
      </c>
      <c r="G280" s="187">
        <v>10</v>
      </c>
      <c r="H280" s="1">
        <f>629.31/Imput[[#This Row],[Cantidad]]</f>
        <v>62.930999999999997</v>
      </c>
      <c r="I280" s="169">
        <f>Imput[[#This Row],[Cantidad]]*Imput[[#This Row],[Precio Unitario]]</f>
        <v>629.30999999999995</v>
      </c>
      <c r="J280" s="11">
        <f>((Imput[[#This Row],[Sub total]])*0.16)</f>
        <v>100.6896</v>
      </c>
      <c r="K280" s="11">
        <v>0</v>
      </c>
      <c r="L280" s="169">
        <f>Imput[[#This Row],[Sub total]]+Imput[[#This Row],[IVA]]-Imput[[#This Row],[Retención / IEPS / Descuento]]</f>
        <v>729.99959999999999</v>
      </c>
      <c r="M280" s="844">
        <v>1076.9903999999999</v>
      </c>
      <c r="N280" s="189" t="s">
        <v>123</v>
      </c>
      <c r="O280" s="1"/>
      <c r="P280" s="189" t="s">
        <v>1162</v>
      </c>
      <c r="Q280" s="190" t="s">
        <v>1163</v>
      </c>
      <c r="R280" s="188">
        <v>45860</v>
      </c>
      <c r="S280" s="193" t="s">
        <v>126</v>
      </c>
      <c r="T280" s="192"/>
      <c r="U280" s="829"/>
      <c r="V280" s="10" t="s">
        <v>1012</v>
      </c>
      <c r="W280" s="10" t="s">
        <v>3795</v>
      </c>
      <c r="X280" s="10"/>
      <c r="Y280" s="10"/>
      <c r="Z280" s="10"/>
      <c r="AA280" s="11"/>
      <c r="AB280" s="11"/>
      <c r="AD280" s="260"/>
    </row>
    <row r="281" spans="2:30" x14ac:dyDescent="0.3">
      <c r="B281" s="10" t="s">
        <v>290</v>
      </c>
      <c r="C281" s="315" t="s">
        <v>2434</v>
      </c>
      <c r="D281" s="868" t="s">
        <v>164</v>
      </c>
      <c r="E281" s="837" t="str">
        <f>IFERROR(IF(_xlfn.XLOOKUP(Imput[[#This Row],[RFC]],'Alta Proveedor'!D:D,'Alta Proveedor'!E:E)=0,"",_xlfn.XLOOKUP(Imput[[#This Row],[RFC]],'Alta Proveedor'!D:D,'Alta Proveedor'!E:E)),"")</f>
        <v>HOME DEPOT MEXICO SUCURSAL THD-8730 TAMPICO</v>
      </c>
      <c r="F281" s="832" t="s">
        <v>1651</v>
      </c>
      <c r="G281" s="187">
        <v>5</v>
      </c>
      <c r="H281" s="1">
        <f>168.1/Imput[[#This Row],[Cantidad]]</f>
        <v>33.619999999999997</v>
      </c>
      <c r="I281" s="169">
        <f>Imput[[#This Row],[Cantidad]]*Imput[[#This Row],[Precio Unitario]]</f>
        <v>168.1</v>
      </c>
      <c r="J281" s="11">
        <f>((Imput[[#This Row],[Sub total]])*0.16)</f>
        <v>26.896000000000001</v>
      </c>
      <c r="K281" s="11">
        <v>0</v>
      </c>
      <c r="L281" s="169">
        <f>Imput[[#This Row],[Sub total]]+Imput[[#This Row],[IVA]]-Imput[[#This Row],[Retención / IEPS / Descuento]]</f>
        <v>194.99599999999998</v>
      </c>
      <c r="M281" s="844">
        <v>0</v>
      </c>
      <c r="N281" s="189" t="s">
        <v>123</v>
      </c>
      <c r="O281" s="1"/>
      <c r="P281" s="189" t="s">
        <v>1162</v>
      </c>
      <c r="Q281" s="190" t="s">
        <v>1163</v>
      </c>
      <c r="R281" s="188">
        <v>45860</v>
      </c>
      <c r="S281" s="193" t="s">
        <v>126</v>
      </c>
      <c r="T281" s="192"/>
      <c r="U281" s="829"/>
      <c r="V281" s="10" t="s">
        <v>1012</v>
      </c>
      <c r="W281" s="10" t="s">
        <v>3795</v>
      </c>
      <c r="X281" s="10"/>
      <c r="Y281" s="10"/>
      <c r="Z281" s="10"/>
      <c r="AA281" s="11"/>
      <c r="AB281" s="11"/>
      <c r="AD281" s="260"/>
    </row>
    <row r="282" spans="2:30" x14ac:dyDescent="0.3">
      <c r="B282" s="10" t="s">
        <v>290</v>
      </c>
      <c r="C282" s="315" t="s">
        <v>2434</v>
      </c>
      <c r="D282" s="868" t="s">
        <v>164</v>
      </c>
      <c r="E282" s="837" t="str">
        <f>IFERROR(IF(_xlfn.XLOOKUP(Imput[[#This Row],[RFC]],'Alta Proveedor'!D:D,'Alta Proveedor'!E:E)=0,"",_xlfn.XLOOKUP(Imput[[#This Row],[RFC]],'Alta Proveedor'!D:D,'Alta Proveedor'!E:E)),"")</f>
        <v>HOME DEPOT MEXICO SUCURSAL THD-8730 TAMPICO</v>
      </c>
      <c r="F282" s="832" t="s">
        <v>1652</v>
      </c>
      <c r="G282" s="187">
        <v>10</v>
      </c>
      <c r="H282" s="1">
        <f>131.03/Imput[[#This Row],[Cantidad]]</f>
        <v>13.103</v>
      </c>
      <c r="I282" s="169">
        <f>Imput[[#This Row],[Cantidad]]*Imput[[#This Row],[Precio Unitario]]</f>
        <v>131.03</v>
      </c>
      <c r="J282" s="11">
        <f>((Imput[[#This Row],[Sub total]])*0.16)</f>
        <v>20.9648</v>
      </c>
      <c r="K282" s="11">
        <v>0</v>
      </c>
      <c r="L282" s="169">
        <f>Imput[[#This Row],[Sub total]]+Imput[[#This Row],[IVA]]-Imput[[#This Row],[Retención / IEPS / Descuento]]</f>
        <v>151.9948</v>
      </c>
      <c r="M282" s="844">
        <v>0</v>
      </c>
      <c r="N282" s="189" t="s">
        <v>123</v>
      </c>
      <c r="O282" s="1"/>
      <c r="P282" s="189" t="s">
        <v>1162</v>
      </c>
      <c r="Q282" s="190" t="s">
        <v>1163</v>
      </c>
      <c r="R282" s="188">
        <v>45860</v>
      </c>
      <c r="S282" s="193" t="s">
        <v>126</v>
      </c>
      <c r="T282" s="192"/>
      <c r="U282" s="829"/>
      <c r="V282" s="10" t="s">
        <v>1012</v>
      </c>
      <c r="W282" s="10" t="s">
        <v>3795</v>
      </c>
      <c r="X282" s="10"/>
      <c r="Y282" s="10"/>
      <c r="Z282" s="10"/>
      <c r="AA282" s="11"/>
      <c r="AB282" s="11"/>
      <c r="AD282" s="260"/>
    </row>
    <row r="283" spans="2:30" x14ac:dyDescent="0.3">
      <c r="B283" s="10" t="s">
        <v>290</v>
      </c>
      <c r="C283" s="315" t="s">
        <v>2426</v>
      </c>
      <c r="D283" s="868" t="s">
        <v>3078</v>
      </c>
      <c r="E283" s="837" t="str">
        <f>IFERROR(IF(_xlfn.XLOOKUP(Imput[[#This Row],[RFC]],'Alta Proveedor'!D:D,'Alta Proveedor'!E:E)=0,"",_xlfn.XLOOKUP(Imput[[#This Row],[RFC]],'Alta Proveedor'!D:D,'Alta Proveedor'!E:E)),"")</f>
        <v>CONCRETOS HUASTECA</v>
      </c>
      <c r="F283" s="832" t="s">
        <v>3387</v>
      </c>
      <c r="G283" s="187">
        <v>1</v>
      </c>
      <c r="H283" s="1">
        <v>9413.4</v>
      </c>
      <c r="I283" s="169">
        <f>Imput[[#This Row],[Cantidad]]*Imput[[#This Row],[Precio Unitario]]</f>
        <v>9413.4</v>
      </c>
      <c r="J283" s="11">
        <v>0</v>
      </c>
      <c r="K283" s="11">
        <v>0</v>
      </c>
      <c r="L283" s="169">
        <f>Imput[[#This Row],[Sub total]]+Imput[[#This Row],[IVA]]-Imput[[#This Row],[Retención / IEPS / Descuento]]</f>
        <v>9413.4</v>
      </c>
      <c r="M283" s="844">
        <v>9413.4</v>
      </c>
      <c r="N283" s="189"/>
      <c r="O283" s="1"/>
      <c r="P283" s="189" t="str">
        <f>Imput[[#This Row],[Folio]]</f>
        <v>8869</v>
      </c>
      <c r="Q283" s="190" t="s">
        <v>3086</v>
      </c>
      <c r="R283" s="188">
        <v>45860</v>
      </c>
      <c r="S283" s="193"/>
      <c r="T283" s="192"/>
      <c r="U283" s="829" t="s">
        <v>3099</v>
      </c>
      <c r="V283" s="10" t="s">
        <v>1012</v>
      </c>
      <c r="W283" s="10" t="s">
        <v>3795</v>
      </c>
      <c r="X283" s="10"/>
      <c r="Y283" s="10"/>
      <c r="Z283" s="10"/>
      <c r="AA283" s="11"/>
      <c r="AB283" s="11"/>
      <c r="AD283" s="260"/>
    </row>
    <row r="284" spans="2:30" x14ac:dyDescent="0.3">
      <c r="B284" s="10" t="s">
        <v>290</v>
      </c>
      <c r="C284" s="315" t="s">
        <v>2514</v>
      </c>
      <c r="D284" s="868" t="s">
        <v>1268</v>
      </c>
      <c r="E284" s="837" t="str">
        <f>IFERROR(IF(_xlfn.XLOOKUP(Imput[[#This Row],[RFC]],'Alta Proveedor'!D:D,'Alta Proveedor'!E:E)=0,"",_xlfn.XLOOKUP(Imput[[#This Row],[RFC]],'Alta Proveedor'!D:D,'Alta Proveedor'!E:E)),"")</f>
        <v>GUADALUPE GONZALEZ PAREDES "FH" FORMICAS Y HERRAJES</v>
      </c>
      <c r="F284" s="832" t="s">
        <v>1670</v>
      </c>
      <c r="G284" s="187">
        <v>4</v>
      </c>
      <c r="H284" s="1">
        <v>133.6207</v>
      </c>
      <c r="I284" s="169">
        <f>Imput[[#This Row],[Cantidad]]*Imput[[#This Row],[Precio Unitario]]</f>
        <v>534.4828</v>
      </c>
      <c r="J284" s="11">
        <f>((Imput[[#This Row],[Sub total]])*(0.16))</f>
        <v>85.517247999999995</v>
      </c>
      <c r="K284" s="11">
        <v>0</v>
      </c>
      <c r="L284" s="169">
        <f>Imput[[#This Row],[Sub total]]+Imput[[#This Row],[IVA]]-Imput[[#This Row],[Retención / IEPS / Descuento]]</f>
        <v>620.00004799999999</v>
      </c>
      <c r="M284" s="844">
        <v>2465.0061480000004</v>
      </c>
      <c r="N284" s="189" t="s">
        <v>123</v>
      </c>
      <c r="O284" s="1"/>
      <c r="P284" s="189" t="s">
        <v>1266</v>
      </c>
      <c r="Q284" s="190" t="s">
        <v>1267</v>
      </c>
      <c r="R284" s="188">
        <v>45860</v>
      </c>
      <c r="S284" s="193" t="s">
        <v>126</v>
      </c>
      <c r="T284" s="192"/>
      <c r="U284" s="829"/>
      <c r="V284" s="10" t="s">
        <v>1012</v>
      </c>
      <c r="W284" s="10" t="s">
        <v>513</v>
      </c>
      <c r="X284" s="10"/>
      <c r="Y284" s="10"/>
      <c r="Z284" s="10"/>
      <c r="AA284" s="11"/>
      <c r="AB284" s="11"/>
      <c r="AD284" s="260"/>
    </row>
    <row r="285" spans="2:30" x14ac:dyDescent="0.3">
      <c r="B285" s="10" t="s">
        <v>290</v>
      </c>
      <c r="C285" s="315" t="s">
        <v>2514</v>
      </c>
      <c r="D285" s="868" t="s">
        <v>1268</v>
      </c>
      <c r="E285" s="837" t="str">
        <f>IFERROR(IF(_xlfn.XLOOKUP(Imput[[#This Row],[RFC]],'Alta Proveedor'!D:D,'Alta Proveedor'!E:E)=0,"",_xlfn.XLOOKUP(Imput[[#This Row],[RFC]],'Alta Proveedor'!D:D,'Alta Proveedor'!E:E)),"")</f>
        <v>GUADALUPE GONZALEZ PAREDES "FH" FORMICAS Y HERRAJES</v>
      </c>
      <c r="F285" s="832" t="s">
        <v>1671</v>
      </c>
      <c r="G285" s="187">
        <v>5</v>
      </c>
      <c r="H285" s="1">
        <v>128.44829999999999</v>
      </c>
      <c r="I285" s="169">
        <f>Imput[[#This Row],[Cantidad]]*Imput[[#This Row],[Precio Unitario]]</f>
        <v>642.24149999999997</v>
      </c>
      <c r="J285" s="11">
        <f>((Imput[[#This Row],[Sub total]])*(0.16))</f>
        <v>102.75864</v>
      </c>
      <c r="K285" s="11">
        <v>0</v>
      </c>
      <c r="L285" s="169">
        <f>Imput[[#This Row],[Sub total]]+Imput[[#This Row],[IVA]]-Imput[[#This Row],[Retención / IEPS / Descuento]]</f>
        <v>745.00013999999999</v>
      </c>
      <c r="M285" s="844">
        <v>0</v>
      </c>
      <c r="N285" s="189" t="s">
        <v>123</v>
      </c>
      <c r="O285" s="1"/>
      <c r="P285" s="189" t="s">
        <v>1266</v>
      </c>
      <c r="Q285" s="190" t="s">
        <v>1267</v>
      </c>
      <c r="R285" s="188">
        <v>45860</v>
      </c>
      <c r="S285" s="193" t="s">
        <v>126</v>
      </c>
      <c r="T285" s="192"/>
      <c r="U285" s="829"/>
      <c r="V285" s="10" t="s">
        <v>1012</v>
      </c>
      <c r="W285" s="10" t="s">
        <v>513</v>
      </c>
      <c r="X285" s="10"/>
      <c r="Y285" s="10"/>
      <c r="Z285" s="10"/>
      <c r="AA285" s="11"/>
      <c r="AB285" s="11"/>
      <c r="AD285" s="260"/>
    </row>
    <row r="286" spans="2:30" x14ac:dyDescent="0.3">
      <c r="B286" s="10" t="s">
        <v>290</v>
      </c>
      <c r="C286" s="315" t="s">
        <v>2514</v>
      </c>
      <c r="D286" s="868" t="s">
        <v>1268</v>
      </c>
      <c r="E286" s="837" t="str">
        <f>IFERROR(IF(_xlfn.XLOOKUP(Imput[[#This Row],[RFC]],'Alta Proveedor'!D:D,'Alta Proveedor'!E:E)=0,"",_xlfn.XLOOKUP(Imput[[#This Row],[RFC]],'Alta Proveedor'!D:D,'Alta Proveedor'!E:E)),"")</f>
        <v>GUADALUPE GONZALEZ PAREDES "FH" FORMICAS Y HERRAJES</v>
      </c>
      <c r="F286" s="832" t="s">
        <v>1672</v>
      </c>
      <c r="G286" s="187">
        <v>5</v>
      </c>
      <c r="H286" s="1">
        <v>128.44820000000001</v>
      </c>
      <c r="I286" s="169">
        <f>Imput[[#This Row],[Cantidad]]*Imput[[#This Row],[Precio Unitario]]</f>
        <v>642.2410000000001</v>
      </c>
      <c r="J286" s="11">
        <f>((Imput[[#This Row],[Sub total]])*(0.16))</f>
        <v>102.75856000000002</v>
      </c>
      <c r="K286" s="11">
        <v>0</v>
      </c>
      <c r="L286" s="169">
        <f>Imput[[#This Row],[Sub total]]+Imput[[#This Row],[IVA]]-Imput[[#This Row],[Retención / IEPS / Descuento]]</f>
        <v>744.99956000000009</v>
      </c>
      <c r="M286" s="844">
        <v>0</v>
      </c>
      <c r="N286" s="189" t="s">
        <v>123</v>
      </c>
      <c r="O286" s="1"/>
      <c r="P286" s="189" t="s">
        <v>1266</v>
      </c>
      <c r="Q286" s="190" t="s">
        <v>1267</v>
      </c>
      <c r="R286" s="188">
        <v>45860</v>
      </c>
      <c r="S286" s="193" t="s">
        <v>126</v>
      </c>
      <c r="T286" s="192"/>
      <c r="U286" s="829"/>
      <c r="V286" s="10" t="s">
        <v>1012</v>
      </c>
      <c r="W286" s="10" t="s">
        <v>513</v>
      </c>
      <c r="X286" s="10"/>
      <c r="Y286" s="10"/>
      <c r="Z286" s="10"/>
      <c r="AA286" s="11"/>
      <c r="AB286" s="11"/>
      <c r="AD286" s="260"/>
    </row>
    <row r="287" spans="2:30" x14ac:dyDescent="0.3">
      <c r="B287" s="806" t="s">
        <v>290</v>
      </c>
      <c r="C287" s="315" t="s">
        <v>2709</v>
      </c>
      <c r="D287" s="869" t="s">
        <v>1268</v>
      </c>
      <c r="E287" s="839" t="str">
        <f>IFERROR(IF(_xlfn.XLOOKUP(Imput[[#This Row],[RFC]],'Alta Proveedor'!D:D,'Alta Proveedor'!E:E)=0,"",_xlfn.XLOOKUP(Imput[[#This Row],[RFC]],'Alta Proveedor'!D:D,'Alta Proveedor'!E:E)),"")</f>
        <v>GUADALUPE GONZALEZ PAREDES "FH" FORMICAS Y HERRAJES</v>
      </c>
      <c r="F287" s="834" t="s">
        <v>2945</v>
      </c>
      <c r="G287" s="809">
        <v>1</v>
      </c>
      <c r="H287" s="808">
        <v>306.04000000000002</v>
      </c>
      <c r="I287" s="810">
        <f>Imput[[#This Row],[Cantidad]]*Imput[[#This Row],[Precio Unitario]]</f>
        <v>306.04000000000002</v>
      </c>
      <c r="J287" s="811">
        <f>((Imput[[#This Row],[Sub total]])*(0.16))</f>
        <v>48.966400000000007</v>
      </c>
      <c r="K287" s="811">
        <v>0</v>
      </c>
      <c r="L287" s="810">
        <f>Imput[[#This Row],[Sub total]]+Imput[[#This Row],[IVA]]-Imput[[#This Row],[Retención / IEPS / Descuento]]</f>
        <v>355.00640000000004</v>
      </c>
      <c r="M287" s="844">
        <v>0</v>
      </c>
      <c r="N287" s="812" t="s">
        <v>123</v>
      </c>
      <c r="O287" s="808"/>
      <c r="P287" s="812" t="s">
        <v>1266</v>
      </c>
      <c r="Q287" s="813" t="s">
        <v>1267</v>
      </c>
      <c r="R287" s="814">
        <v>45860</v>
      </c>
      <c r="S287" s="815" t="s">
        <v>126</v>
      </c>
      <c r="T287" s="816"/>
      <c r="U287" s="828"/>
      <c r="V287" s="866" t="s">
        <v>1012</v>
      </c>
      <c r="W287" s="866" t="s">
        <v>3795</v>
      </c>
      <c r="X287" s="806"/>
      <c r="Y287" s="806"/>
      <c r="Z287" s="806"/>
      <c r="AA287" s="811"/>
      <c r="AB287" s="811"/>
      <c r="AD287" s="260"/>
    </row>
    <row r="288" spans="2:30" x14ac:dyDescent="0.3">
      <c r="B288" s="10" t="s">
        <v>290</v>
      </c>
      <c r="C288" s="315" t="s">
        <v>2514</v>
      </c>
      <c r="D288" s="868" t="s">
        <v>1268</v>
      </c>
      <c r="E288" s="837" t="str">
        <f>IFERROR(IF(_xlfn.XLOOKUP(Imput[[#This Row],[RFC]],'Alta Proveedor'!D:D,'Alta Proveedor'!E:E)=0,"",_xlfn.XLOOKUP(Imput[[#This Row],[RFC]],'Alta Proveedor'!D:D,'Alta Proveedor'!E:E)),"")</f>
        <v>GUADALUPE GONZALEZ PAREDES "FH" FORMICAS Y HERRAJES</v>
      </c>
      <c r="F288" s="832" t="s">
        <v>1673</v>
      </c>
      <c r="G288" s="187">
        <v>3</v>
      </c>
      <c r="H288" s="1">
        <v>79.310299999999998</v>
      </c>
      <c r="I288" s="169">
        <f>Imput[[#This Row],[Cantidad]]*Imput[[#This Row],[Precio Unitario]]</f>
        <v>237.93090000000001</v>
      </c>
      <c r="J288" s="11">
        <f>((Imput[[#This Row],[Sub total]])*(0.16))</f>
        <v>38.068944000000002</v>
      </c>
      <c r="K288" s="11">
        <v>0</v>
      </c>
      <c r="L288" s="169">
        <f>Imput[[#This Row],[Sub total]]+Imput[[#This Row],[IVA]]-Imput[[#This Row],[Retención / IEPS / Descuento]]</f>
        <v>275.999844</v>
      </c>
      <c r="M288" s="844">
        <v>275.999844</v>
      </c>
      <c r="N288" s="189" t="s">
        <v>123</v>
      </c>
      <c r="O288" s="1"/>
      <c r="P288" s="189" t="s">
        <v>1270</v>
      </c>
      <c r="Q288" s="190" t="s">
        <v>1271</v>
      </c>
      <c r="R288" s="188">
        <v>45860</v>
      </c>
      <c r="S288" s="193" t="s">
        <v>126</v>
      </c>
      <c r="T288" s="192"/>
      <c r="U288" s="829"/>
      <c r="V288" s="10" t="s">
        <v>1012</v>
      </c>
      <c r="W288" s="10" t="s">
        <v>513</v>
      </c>
      <c r="X288" s="10"/>
      <c r="Y288" s="10"/>
      <c r="Z288" s="10"/>
      <c r="AA288" s="11"/>
      <c r="AB288" s="11"/>
      <c r="AD288" s="260"/>
    </row>
    <row r="289" spans="2:30" x14ac:dyDescent="0.3">
      <c r="B289" s="10" t="s">
        <v>290</v>
      </c>
      <c r="C289" s="315" t="s">
        <v>1767</v>
      </c>
      <c r="D289" s="868" t="s">
        <v>1073</v>
      </c>
      <c r="E289" s="837" t="str">
        <f>IFERROR(IF(_xlfn.XLOOKUP(Imput[[#This Row],[RFC]],'Alta Proveedor'!D:D,'Alta Proveedor'!E:E)=0,"",_xlfn.XLOOKUP(Imput[[#This Row],[RFC]],'Alta Proveedor'!D:D,'Alta Proveedor'!E:E)),"")</f>
        <v>GASOLINERA EL JAIBO "NEXUM" (COMBUSTIBLES)</v>
      </c>
      <c r="F289" s="832" t="s">
        <v>237</v>
      </c>
      <c r="G289" s="187">
        <v>65.260000000000005</v>
      </c>
      <c r="H289" s="1">
        <f>1337.89/Imput[[#This Row],[Cantidad]]</f>
        <v>20.500919399325774</v>
      </c>
      <c r="I289" s="169">
        <f>Imput[[#This Row],[Cantidad]]*Imput[[#This Row],[Precio Unitario]]</f>
        <v>1337.89</v>
      </c>
      <c r="J289" s="11">
        <f>((1300.7)*0.16)</f>
        <v>208.11200000000002</v>
      </c>
      <c r="K289" s="11">
        <v>0</v>
      </c>
      <c r="L289" s="169">
        <f>Imput[[#This Row],[Sub total]]+Imput[[#This Row],[IVA]]-Imput[[#This Row],[Retención / IEPS / Descuento]]</f>
        <v>1546.0020000000002</v>
      </c>
      <c r="M289" s="844">
        <v>1546.0020000000002</v>
      </c>
      <c r="N289" s="189" t="s">
        <v>123</v>
      </c>
      <c r="O289" s="1"/>
      <c r="P289" s="189" t="s">
        <v>1154</v>
      </c>
      <c r="Q289" s="190" t="s">
        <v>1155</v>
      </c>
      <c r="R289" s="188">
        <v>45860</v>
      </c>
      <c r="S289" s="193" t="s">
        <v>126</v>
      </c>
      <c r="T289" s="192"/>
      <c r="U289" s="829"/>
      <c r="V289" s="10" t="s">
        <v>3786</v>
      </c>
      <c r="W289" s="10" t="s">
        <v>3787</v>
      </c>
      <c r="X289" s="10"/>
      <c r="Y289" s="10"/>
      <c r="Z289" s="10"/>
      <c r="AA289" s="11"/>
      <c r="AB289" s="11"/>
      <c r="AD289" s="260"/>
    </row>
    <row r="290" spans="2:30" x14ac:dyDescent="0.3">
      <c r="B290" s="10" t="s">
        <v>290</v>
      </c>
      <c r="C290" s="315" t="s">
        <v>1767</v>
      </c>
      <c r="D290" s="868" t="s">
        <v>1166</v>
      </c>
      <c r="E290" s="837" t="str">
        <f>IFERROR(IF(_xlfn.XLOOKUP(Imput[[#This Row],[RFC]],'Alta Proveedor'!D:D,'Alta Proveedor'!E:E)=0,"",_xlfn.XLOOKUP(Imput[[#This Row],[RFC]],'Alta Proveedor'!D:D,'Alta Proveedor'!E:E)),"")</f>
        <v>OPERADORA DE FRANQUICIAS DINEEK "PARADOR EL POTOSINO" (COMBUSTIBLES)</v>
      </c>
      <c r="F290" s="832" t="s">
        <v>237</v>
      </c>
      <c r="G290" s="187">
        <v>25.827000000000002</v>
      </c>
      <c r="H290" s="1">
        <f>536.16/Imput[[#This Row],[Cantidad]]</f>
        <v>20.759670112672783</v>
      </c>
      <c r="I290" s="169">
        <f>Imput[[#This Row],[Cantidad]]*Imput[[#This Row],[Precio Unitario]]</f>
        <v>536.16</v>
      </c>
      <c r="J290" s="11">
        <v>83.43</v>
      </c>
      <c r="K290" s="11">
        <v>0</v>
      </c>
      <c r="L290" s="169">
        <f>Imput[[#This Row],[Sub total]]+Imput[[#This Row],[IVA]]-Imput[[#This Row],[Retención / IEPS / Descuento]]</f>
        <v>619.58999999999992</v>
      </c>
      <c r="M290" s="844">
        <v>619.58999999999992</v>
      </c>
      <c r="N290" s="189" t="s">
        <v>123</v>
      </c>
      <c r="O290" s="1"/>
      <c r="P290" s="189" t="s">
        <v>1164</v>
      </c>
      <c r="Q290" s="190" t="s">
        <v>1165</v>
      </c>
      <c r="R290" s="188">
        <v>45860</v>
      </c>
      <c r="S290" s="193" t="s">
        <v>126</v>
      </c>
      <c r="T290" s="192"/>
      <c r="U290" s="829"/>
      <c r="V290" s="10" t="s">
        <v>3786</v>
      </c>
      <c r="W290" s="10" t="s">
        <v>3787</v>
      </c>
      <c r="X290" s="10"/>
      <c r="Y290" s="10"/>
      <c r="Z290" s="10"/>
      <c r="AA290" s="11"/>
      <c r="AB290" s="11"/>
      <c r="AD290" s="260"/>
    </row>
    <row r="291" spans="2:30" x14ac:dyDescent="0.3">
      <c r="B291" s="10" t="s">
        <v>290</v>
      </c>
      <c r="C291" s="315" t="s">
        <v>1767</v>
      </c>
      <c r="D291" s="868" t="s">
        <v>1170</v>
      </c>
      <c r="E291" s="837" t="str">
        <f>IFERROR(IF(_xlfn.XLOOKUP(Imput[[#This Row],[RFC]],'Alta Proveedor'!D:D,'Alta Proveedor'!E:E)=0,"",_xlfn.XLOOKUP(Imput[[#This Row],[RFC]],'Alta Proveedor'!D:D,'Alta Proveedor'!E:E)),"")</f>
        <v>SERVICIO ESTACION MANUEL "PETRUM" (COMBUSTIBLES)</v>
      </c>
      <c r="F291" s="832" t="s">
        <v>237</v>
      </c>
      <c r="G291" s="187">
        <v>20</v>
      </c>
      <c r="H291" s="1">
        <f>404.85/Imput[[#This Row],[Cantidad]]</f>
        <v>20.2425</v>
      </c>
      <c r="I291" s="169">
        <f>Imput[[#This Row],[Cantidad]]*Imput[[#This Row],[Precio Unitario]]</f>
        <v>404.85</v>
      </c>
      <c r="J291" s="11">
        <v>62.95</v>
      </c>
      <c r="K291" s="11">
        <v>0</v>
      </c>
      <c r="L291" s="169">
        <f>Imput[[#This Row],[Sub total]]+Imput[[#This Row],[IVA]]-Imput[[#This Row],[Retención / IEPS / Descuento]]</f>
        <v>467.8</v>
      </c>
      <c r="M291" s="844">
        <v>467.8</v>
      </c>
      <c r="N291" s="189" t="s">
        <v>123</v>
      </c>
      <c r="O291" s="1"/>
      <c r="P291" s="189" t="s">
        <v>1168</v>
      </c>
      <c r="Q291" s="190" t="s">
        <v>1169</v>
      </c>
      <c r="R291" s="188">
        <v>45860</v>
      </c>
      <c r="S291" s="193" t="s">
        <v>126</v>
      </c>
      <c r="T291" s="192"/>
      <c r="U291" s="829"/>
      <c r="V291" s="10" t="s">
        <v>3786</v>
      </c>
      <c r="W291" s="10" t="s">
        <v>3787</v>
      </c>
      <c r="X291" s="10"/>
      <c r="Y291" s="10"/>
      <c r="Z291" s="10"/>
      <c r="AA291" s="11"/>
      <c r="AB291" s="11"/>
      <c r="AD291" s="260"/>
    </row>
    <row r="292" spans="2:30" x14ac:dyDescent="0.3">
      <c r="B292" s="10" t="s">
        <v>290</v>
      </c>
      <c r="C292" s="549" t="s">
        <v>2437</v>
      </c>
      <c r="D292" s="868" t="s">
        <v>1158</v>
      </c>
      <c r="E292" s="837" t="str">
        <f>IFERROR(IF(_xlfn.XLOOKUP(Imput[[#This Row],[RFC]],'Alta Proveedor'!D:D,'Alta Proveedor'!E:E)=0,"",_xlfn.XLOOKUP(Imput[[#This Row],[RFC]],'Alta Proveedor'!D:D,'Alta Proveedor'!E:E)),"")</f>
        <v>ENRIQUE GUTIERREZ DEL ANGEL "MADERAS Y TABLEROS DEL GOLFO"</v>
      </c>
      <c r="F292" s="832" t="s">
        <v>1897</v>
      </c>
      <c r="G292" s="187">
        <v>1</v>
      </c>
      <c r="H292" s="1">
        <v>37.93</v>
      </c>
      <c r="I292" s="169">
        <f>Imput[[#This Row],[Cantidad]]*Imput[[#This Row],[Precio Unitario]]</f>
        <v>37.93</v>
      </c>
      <c r="J292" s="11">
        <f>((Imput[[#This Row],[Sub total]])*0.16)</f>
        <v>6.0688000000000004</v>
      </c>
      <c r="K292" s="11">
        <v>0</v>
      </c>
      <c r="L292" s="169">
        <f>Imput[[#This Row],[Sub total]]+Imput[[#This Row],[IVA]]-Imput[[#This Row],[Retención / IEPS / Descuento]]</f>
        <v>43.998800000000003</v>
      </c>
      <c r="M292" s="844">
        <v>731.76859999999999</v>
      </c>
      <c r="N292" s="189" t="s">
        <v>123</v>
      </c>
      <c r="O292" s="1"/>
      <c r="P292" s="189" t="s">
        <v>1156</v>
      </c>
      <c r="Q292" s="190" t="s">
        <v>1157</v>
      </c>
      <c r="R292" s="188">
        <v>45860</v>
      </c>
      <c r="S292" s="193" t="s">
        <v>126</v>
      </c>
      <c r="T292" s="192"/>
      <c r="U292" s="829"/>
      <c r="V292" s="10" t="s">
        <v>1012</v>
      </c>
      <c r="W292" s="10" t="s">
        <v>3795</v>
      </c>
      <c r="X292" s="10"/>
      <c r="Y292" s="10"/>
      <c r="Z292" s="10"/>
      <c r="AA292" s="11"/>
      <c r="AB292" s="11"/>
      <c r="AD292" s="260"/>
    </row>
    <row r="293" spans="2:30" x14ac:dyDescent="0.3">
      <c r="B293" s="10" t="s">
        <v>290</v>
      </c>
      <c r="C293" s="549" t="s">
        <v>2437</v>
      </c>
      <c r="D293" s="868" t="s">
        <v>1158</v>
      </c>
      <c r="E293" s="837" t="str">
        <f>IFERROR(IF(_xlfn.XLOOKUP(Imput[[#This Row],[RFC]],'Alta Proveedor'!D:D,'Alta Proveedor'!E:E)=0,"",_xlfn.XLOOKUP(Imput[[#This Row],[RFC]],'Alta Proveedor'!D:D,'Alta Proveedor'!E:E)),"")</f>
        <v>ENRIQUE GUTIERREZ DEL ANGEL "MADERAS Y TABLEROS DEL GOLFO"</v>
      </c>
      <c r="F293" s="832" t="s">
        <v>1898</v>
      </c>
      <c r="G293" s="187">
        <v>0.25</v>
      </c>
      <c r="H293" s="1">
        <v>75.86</v>
      </c>
      <c r="I293" s="169">
        <f>Imput[[#This Row],[Cantidad]]*Imput[[#This Row],[Precio Unitario]]</f>
        <v>18.965</v>
      </c>
      <c r="J293" s="11">
        <f>((Imput[[#This Row],[Sub total]])*0.16)</f>
        <v>3.0344000000000002</v>
      </c>
      <c r="K293" s="11">
        <v>0</v>
      </c>
      <c r="L293" s="169">
        <f>Imput[[#This Row],[Sub total]]+Imput[[#This Row],[IVA]]-Imput[[#This Row],[Retención / IEPS / Descuento]]</f>
        <v>21.999400000000001</v>
      </c>
      <c r="M293" s="844">
        <v>0</v>
      </c>
      <c r="N293" s="189" t="s">
        <v>123</v>
      </c>
      <c r="O293" s="1"/>
      <c r="P293" s="189" t="s">
        <v>1156</v>
      </c>
      <c r="Q293" s="190" t="s">
        <v>1157</v>
      </c>
      <c r="R293" s="188">
        <v>45860</v>
      </c>
      <c r="S293" s="193" t="s">
        <v>126</v>
      </c>
      <c r="T293" s="192"/>
      <c r="U293" s="829"/>
      <c r="V293" s="10" t="s">
        <v>1012</v>
      </c>
      <c r="W293" s="10" t="s">
        <v>3795</v>
      </c>
      <c r="X293" s="10"/>
      <c r="Y293" s="10"/>
      <c r="Z293" s="10"/>
      <c r="AA293" s="11"/>
      <c r="AB293" s="11"/>
      <c r="AD293" s="260"/>
    </row>
    <row r="294" spans="2:30" x14ac:dyDescent="0.3">
      <c r="B294" s="10" t="s">
        <v>290</v>
      </c>
      <c r="C294" s="549" t="s">
        <v>2437</v>
      </c>
      <c r="D294" s="868" t="s">
        <v>1158</v>
      </c>
      <c r="E294" s="837" t="str">
        <f>IFERROR(IF(_xlfn.XLOOKUP(Imput[[#This Row],[RFC]],'Alta Proveedor'!D:D,'Alta Proveedor'!E:E)=0,"",_xlfn.XLOOKUP(Imput[[#This Row],[RFC]],'Alta Proveedor'!D:D,'Alta Proveedor'!E:E)),"")</f>
        <v>ENRIQUE GUTIERREZ DEL ANGEL "MADERAS Y TABLEROS DEL GOLFO"</v>
      </c>
      <c r="F294" s="832" t="s">
        <v>1899</v>
      </c>
      <c r="G294" s="187">
        <v>0.25</v>
      </c>
      <c r="H294" s="1">
        <v>68.959999999999994</v>
      </c>
      <c r="I294" s="169">
        <f>Imput[[#This Row],[Cantidad]]*Imput[[#This Row],[Precio Unitario]]</f>
        <v>17.239999999999998</v>
      </c>
      <c r="J294" s="11">
        <f>((Imput[[#This Row],[Sub total]])*0.16)</f>
        <v>2.7584</v>
      </c>
      <c r="K294" s="11">
        <v>0</v>
      </c>
      <c r="L294" s="169">
        <f>Imput[[#This Row],[Sub total]]+Imput[[#This Row],[IVA]]-Imput[[#This Row],[Retención / IEPS / Descuento]]</f>
        <v>19.998399999999997</v>
      </c>
      <c r="M294" s="844">
        <v>0</v>
      </c>
      <c r="N294" s="189" t="s">
        <v>123</v>
      </c>
      <c r="O294" s="1"/>
      <c r="P294" s="189" t="s">
        <v>1156</v>
      </c>
      <c r="Q294" s="190" t="s">
        <v>1157</v>
      </c>
      <c r="R294" s="188">
        <v>45860</v>
      </c>
      <c r="S294" s="193" t="s">
        <v>126</v>
      </c>
      <c r="T294" s="192"/>
      <c r="U294" s="829"/>
      <c r="V294" s="10" t="s">
        <v>1012</v>
      </c>
      <c r="W294" s="10" t="s">
        <v>3795</v>
      </c>
      <c r="X294" s="10"/>
      <c r="Y294" s="10"/>
      <c r="Z294" s="10"/>
      <c r="AA294" s="11"/>
      <c r="AB294" s="11"/>
      <c r="AD294" s="260"/>
    </row>
    <row r="295" spans="2:30" x14ac:dyDescent="0.3">
      <c r="B295" s="10" t="s">
        <v>290</v>
      </c>
      <c r="C295" s="315" t="s">
        <v>2426</v>
      </c>
      <c r="D295" s="868" t="s">
        <v>1158</v>
      </c>
      <c r="E295" s="837" t="str">
        <f>IFERROR(IF(_xlfn.XLOOKUP(Imput[[#This Row],[RFC]],'Alta Proveedor'!D:D,'Alta Proveedor'!E:E)=0,"",_xlfn.XLOOKUP(Imput[[#This Row],[RFC]],'Alta Proveedor'!D:D,'Alta Proveedor'!E:E)),"")</f>
        <v>ENRIQUE GUTIERREZ DEL ANGEL "MADERAS Y TABLEROS DEL GOLFO"</v>
      </c>
      <c r="F295" s="832" t="s">
        <v>1172</v>
      </c>
      <c r="G295" s="187">
        <v>1</v>
      </c>
      <c r="H295" s="1">
        <v>1.29</v>
      </c>
      <c r="I295" s="169">
        <f>Imput[[#This Row],[Cantidad]]*Imput[[#This Row],[Precio Unitario]]</f>
        <v>1.29</v>
      </c>
      <c r="J295" s="11">
        <f>((Imput[[#This Row],[Sub total]])*0.16)</f>
        <v>0.2064</v>
      </c>
      <c r="K295" s="11">
        <v>0</v>
      </c>
      <c r="L295" s="169">
        <f>Imput[[#This Row],[Sub total]]+Imput[[#This Row],[IVA]]-Imput[[#This Row],[Retención / IEPS / Descuento]]</f>
        <v>1.4964</v>
      </c>
      <c r="M295" s="844">
        <v>0</v>
      </c>
      <c r="N295" s="189" t="s">
        <v>123</v>
      </c>
      <c r="O295" s="1"/>
      <c r="P295" s="189" t="s">
        <v>1156</v>
      </c>
      <c r="Q295" s="190" t="s">
        <v>1157</v>
      </c>
      <c r="R295" s="188">
        <v>45860</v>
      </c>
      <c r="S295" s="193" t="s">
        <v>126</v>
      </c>
      <c r="T295" s="192"/>
      <c r="U295" s="829"/>
      <c r="V295" s="10" t="s">
        <v>1012</v>
      </c>
      <c r="W295" s="10" t="s">
        <v>3795</v>
      </c>
      <c r="X295" s="10"/>
      <c r="Y295" s="10"/>
      <c r="Z295" s="10"/>
      <c r="AA295" s="11"/>
      <c r="AB295" s="11"/>
      <c r="AD295" s="260"/>
    </row>
    <row r="296" spans="2:30" x14ac:dyDescent="0.3">
      <c r="B296" s="10" t="s">
        <v>290</v>
      </c>
      <c r="C296" s="315" t="s">
        <v>2426</v>
      </c>
      <c r="D296" s="868" t="s">
        <v>1158</v>
      </c>
      <c r="E296" s="837" t="str">
        <f>IFERROR(IF(_xlfn.XLOOKUP(Imput[[#This Row],[RFC]],'Alta Proveedor'!D:D,'Alta Proveedor'!E:E)=0,"",_xlfn.XLOOKUP(Imput[[#This Row],[RFC]],'Alta Proveedor'!D:D,'Alta Proveedor'!E:E)),"")</f>
        <v>ENRIQUE GUTIERREZ DEL ANGEL "MADERAS Y TABLEROS DEL GOLFO"</v>
      </c>
      <c r="F296" s="832" t="s">
        <v>1173</v>
      </c>
      <c r="G296" s="187">
        <v>7</v>
      </c>
      <c r="H296" s="1">
        <v>49.78</v>
      </c>
      <c r="I296" s="169">
        <f>Imput[[#This Row],[Cantidad]]*Imput[[#This Row],[Precio Unitario]]</f>
        <v>348.46000000000004</v>
      </c>
      <c r="J296" s="11">
        <f>((Imput[[#This Row],[Sub total]])*0.16)</f>
        <v>55.753600000000006</v>
      </c>
      <c r="K296" s="11">
        <v>0</v>
      </c>
      <c r="L296" s="169">
        <f>Imput[[#This Row],[Sub total]]+Imput[[#This Row],[IVA]]-Imput[[#This Row],[Retención / IEPS / Descuento]]</f>
        <v>404.21360000000004</v>
      </c>
      <c r="M296" s="844">
        <v>0</v>
      </c>
      <c r="N296" s="189" t="s">
        <v>123</v>
      </c>
      <c r="O296" s="1"/>
      <c r="P296" s="189" t="s">
        <v>1156</v>
      </c>
      <c r="Q296" s="190" t="s">
        <v>1157</v>
      </c>
      <c r="R296" s="188">
        <v>45860</v>
      </c>
      <c r="S296" s="193" t="s">
        <v>126</v>
      </c>
      <c r="T296" s="192"/>
      <c r="U296" s="829"/>
      <c r="V296" s="10" t="s">
        <v>1012</v>
      </c>
      <c r="W296" s="10" t="s">
        <v>3795</v>
      </c>
      <c r="X296" s="10"/>
      <c r="Y296" s="10"/>
      <c r="Z296" s="10"/>
      <c r="AA296" s="11"/>
      <c r="AB296" s="11"/>
      <c r="AD296" s="260"/>
    </row>
    <row r="297" spans="2:30" x14ac:dyDescent="0.3">
      <c r="B297" s="10" t="s">
        <v>290</v>
      </c>
      <c r="C297" s="315" t="s">
        <v>2426</v>
      </c>
      <c r="D297" s="868" t="s">
        <v>1158</v>
      </c>
      <c r="E297" s="837" t="str">
        <f>IFERROR(IF(_xlfn.XLOOKUP(Imput[[#This Row],[RFC]],'Alta Proveedor'!D:D,'Alta Proveedor'!E:E)=0,"",_xlfn.XLOOKUP(Imput[[#This Row],[RFC]],'Alta Proveedor'!D:D,'Alta Proveedor'!E:E)),"")</f>
        <v>ENRIQUE GUTIERREZ DEL ANGEL "MADERAS Y TABLEROS DEL GOLFO"</v>
      </c>
      <c r="F297" s="832" t="s">
        <v>1174</v>
      </c>
      <c r="G297" s="187">
        <v>7</v>
      </c>
      <c r="H297" s="1">
        <v>4.3099999999999996</v>
      </c>
      <c r="I297" s="169">
        <f>Imput[[#This Row],[Cantidad]]*Imput[[#This Row],[Precio Unitario]]</f>
        <v>30.169999999999998</v>
      </c>
      <c r="J297" s="11">
        <f>((Imput[[#This Row],[Sub total]])*0.16)</f>
        <v>4.8271999999999995</v>
      </c>
      <c r="K297" s="11">
        <v>0</v>
      </c>
      <c r="L297" s="169">
        <f>Imput[[#This Row],[Sub total]]+Imput[[#This Row],[IVA]]-Imput[[#This Row],[Retención / IEPS / Descuento]]</f>
        <v>34.997199999999999</v>
      </c>
      <c r="M297" s="844">
        <v>0</v>
      </c>
      <c r="N297" s="189" t="s">
        <v>123</v>
      </c>
      <c r="O297" s="1"/>
      <c r="P297" s="189" t="s">
        <v>1156</v>
      </c>
      <c r="Q297" s="190" t="s">
        <v>1157</v>
      </c>
      <c r="R297" s="188">
        <v>45860</v>
      </c>
      <c r="S297" s="193" t="s">
        <v>126</v>
      </c>
      <c r="T297" s="192"/>
      <c r="U297" s="829"/>
      <c r="V297" s="10" t="s">
        <v>1012</v>
      </c>
      <c r="W297" s="10" t="s">
        <v>3795</v>
      </c>
      <c r="X297" s="10"/>
      <c r="Y297" s="10"/>
      <c r="Z297" s="10"/>
      <c r="AA297" s="11"/>
      <c r="AB297" s="11"/>
      <c r="AD297" s="260"/>
    </row>
    <row r="298" spans="2:30" x14ac:dyDescent="0.3">
      <c r="B298" s="10" t="s">
        <v>290</v>
      </c>
      <c r="C298" s="315" t="s">
        <v>2426</v>
      </c>
      <c r="D298" s="868" t="s">
        <v>1158</v>
      </c>
      <c r="E298" s="837" t="str">
        <f>IFERROR(IF(_xlfn.XLOOKUP(Imput[[#This Row],[RFC]],'Alta Proveedor'!D:D,'Alta Proveedor'!E:E)=0,"",_xlfn.XLOOKUP(Imput[[#This Row],[RFC]],'Alta Proveedor'!D:D,'Alta Proveedor'!E:E)),"")</f>
        <v>ENRIQUE GUTIERREZ DEL ANGEL "MADERAS Y TABLEROS DEL GOLFO"</v>
      </c>
      <c r="F298" s="832" t="s">
        <v>1175</v>
      </c>
      <c r="G298" s="187">
        <v>1</v>
      </c>
      <c r="H298" s="1">
        <v>150.86000000000001</v>
      </c>
      <c r="I298" s="169">
        <f>Imput[[#This Row],[Cantidad]]*Imput[[#This Row],[Precio Unitario]]</f>
        <v>150.86000000000001</v>
      </c>
      <c r="J298" s="11">
        <f>((Imput[[#This Row],[Sub total]])*0.16)</f>
        <v>24.137600000000003</v>
      </c>
      <c r="K298" s="11">
        <v>0</v>
      </c>
      <c r="L298" s="169">
        <f>Imput[[#This Row],[Sub total]]+Imput[[#This Row],[IVA]]-Imput[[#This Row],[Retención / IEPS / Descuento]]</f>
        <v>174.99760000000001</v>
      </c>
      <c r="M298" s="844">
        <v>0</v>
      </c>
      <c r="N298" s="189" t="s">
        <v>123</v>
      </c>
      <c r="O298" s="1"/>
      <c r="P298" s="189" t="s">
        <v>1156</v>
      </c>
      <c r="Q298" s="190" t="s">
        <v>1157</v>
      </c>
      <c r="R298" s="188">
        <v>45860</v>
      </c>
      <c r="S298" s="193" t="s">
        <v>126</v>
      </c>
      <c r="T298" s="192"/>
      <c r="U298" s="829"/>
      <c r="V298" s="10" t="s">
        <v>1012</v>
      </c>
      <c r="W298" s="10" t="s">
        <v>3795</v>
      </c>
      <c r="X298" s="10"/>
      <c r="Y298" s="10"/>
      <c r="Z298" s="10"/>
      <c r="AA298" s="11"/>
      <c r="AB298" s="11"/>
      <c r="AD298" s="260"/>
    </row>
    <row r="299" spans="2:30" x14ac:dyDescent="0.3">
      <c r="B299" s="10" t="s">
        <v>290</v>
      </c>
      <c r="C299" s="315" t="s">
        <v>2426</v>
      </c>
      <c r="D299" s="868" t="s">
        <v>1158</v>
      </c>
      <c r="E299" s="837" t="str">
        <f>IFERROR(IF(_xlfn.XLOOKUP(Imput[[#This Row],[RFC]],'Alta Proveedor'!D:D,'Alta Proveedor'!E:E)=0,"",_xlfn.XLOOKUP(Imput[[#This Row],[RFC]],'Alta Proveedor'!D:D,'Alta Proveedor'!E:E)),"")</f>
        <v>ENRIQUE GUTIERREZ DEL ANGEL "MADERAS Y TABLEROS DEL GOLFO"</v>
      </c>
      <c r="F299" s="832" t="s">
        <v>1176</v>
      </c>
      <c r="G299" s="187">
        <v>12</v>
      </c>
      <c r="H299" s="1">
        <v>2.16</v>
      </c>
      <c r="I299" s="169">
        <f>Imput[[#This Row],[Cantidad]]*Imput[[#This Row],[Precio Unitario]]</f>
        <v>25.92</v>
      </c>
      <c r="J299" s="11">
        <f>((Imput[[#This Row],[Sub total]])*0.16)</f>
        <v>4.1472000000000007</v>
      </c>
      <c r="K299" s="11">
        <v>0</v>
      </c>
      <c r="L299" s="169">
        <f>Imput[[#This Row],[Sub total]]+Imput[[#This Row],[IVA]]-Imput[[#This Row],[Retención / IEPS / Descuento]]</f>
        <v>30.067200000000003</v>
      </c>
      <c r="M299" s="844">
        <v>0</v>
      </c>
      <c r="N299" s="189" t="s">
        <v>123</v>
      </c>
      <c r="O299" s="1"/>
      <c r="P299" s="189" t="s">
        <v>1156</v>
      </c>
      <c r="Q299" s="190" t="s">
        <v>1157</v>
      </c>
      <c r="R299" s="188">
        <v>45860</v>
      </c>
      <c r="S299" s="193" t="s">
        <v>126</v>
      </c>
      <c r="T299" s="192"/>
      <c r="U299" s="829"/>
      <c r="V299" s="10" t="s">
        <v>1012</v>
      </c>
      <c r="W299" s="10" t="s">
        <v>3795</v>
      </c>
      <c r="X299" s="10"/>
      <c r="Y299" s="10"/>
      <c r="Z299" s="10"/>
      <c r="AA299" s="11"/>
      <c r="AB299" s="11"/>
      <c r="AD299" s="260"/>
    </row>
    <row r="300" spans="2:30" x14ac:dyDescent="0.3">
      <c r="B300" s="10" t="s">
        <v>290</v>
      </c>
      <c r="C300" s="315" t="s">
        <v>1806</v>
      </c>
      <c r="D300" s="868" t="s">
        <v>1244</v>
      </c>
      <c r="E300" s="837" t="str">
        <f>IFERROR(IF(_xlfn.XLOOKUP(Imput[[#This Row],[RFC]],'Alta Proveedor'!D:D,'Alta Proveedor'!E:E)=0,"",_xlfn.XLOOKUP(Imput[[#This Row],[RFC]],'Alta Proveedor'!D:D,'Alta Proveedor'!E:E)),"")</f>
        <v>RAQUEL SANCHEZ FABIAN</v>
      </c>
      <c r="F300" s="832" t="s">
        <v>159</v>
      </c>
      <c r="G300" s="187">
        <v>1</v>
      </c>
      <c r="H300" s="1">
        <v>1125.96</v>
      </c>
      <c r="I300" s="169">
        <f>Imput[[#This Row],[Cantidad]]*Imput[[#This Row],[Precio Unitario]]</f>
        <v>1125.96</v>
      </c>
      <c r="J300" s="11">
        <f>((Imput[[#This Row],[Sub total]])*(0.16))</f>
        <v>180.15360000000001</v>
      </c>
      <c r="K300" s="11">
        <v>14.07</v>
      </c>
      <c r="L300" s="169">
        <f>Imput[[#This Row],[Sub total]]+Imput[[#This Row],[IVA]]-Imput[[#This Row],[Retención / IEPS / Descuento]]</f>
        <v>1292.0436000000002</v>
      </c>
      <c r="M300" s="844">
        <v>1292.0436000000002</v>
      </c>
      <c r="N300" s="189" t="s">
        <v>123</v>
      </c>
      <c r="O300" s="1"/>
      <c r="P300" s="189" t="s">
        <v>1242</v>
      </c>
      <c r="Q300" s="190" t="s">
        <v>1243</v>
      </c>
      <c r="R300" s="188">
        <v>45861</v>
      </c>
      <c r="S300" s="193" t="s">
        <v>126</v>
      </c>
      <c r="T300" s="192"/>
      <c r="U300" s="829"/>
      <c r="V300" s="10" t="s">
        <v>1012</v>
      </c>
      <c r="W300" s="10" t="s">
        <v>3795</v>
      </c>
      <c r="X300" s="10"/>
      <c r="Y300" s="10"/>
      <c r="Z300" s="10"/>
      <c r="AA300" s="11"/>
      <c r="AB300" s="11"/>
      <c r="AD300" s="260"/>
    </row>
    <row r="301" spans="2:30" x14ac:dyDescent="0.3">
      <c r="B301" s="10" t="s">
        <v>290</v>
      </c>
      <c r="C301" s="315" t="s">
        <v>2514</v>
      </c>
      <c r="D301" s="868" t="s">
        <v>2956</v>
      </c>
      <c r="E301" s="837" t="str">
        <f>IFERROR(IF(_xlfn.XLOOKUP(Imput[[#This Row],[RFC]],'Alta Proveedor'!D:D,'Alta Proveedor'!E:E)=0,"",_xlfn.XLOOKUP(Imput[[#This Row],[RFC]],'Alta Proveedor'!D:D,'Alta Proveedor'!E:E)),"")</f>
        <v>FERRETERIA Y TLAPALERIA CAIN</v>
      </c>
      <c r="F301" s="832" t="s">
        <v>2960</v>
      </c>
      <c r="G301" s="187">
        <v>1</v>
      </c>
      <c r="H301" s="1">
        <v>179.02</v>
      </c>
      <c r="I301" s="169">
        <f>Imput[[#This Row],[Cantidad]]*Imput[[#This Row],[Precio Unitario]]</f>
        <v>179.02</v>
      </c>
      <c r="J301" s="11">
        <f>((Imput[[#This Row],[Sub total]])*(0.16))</f>
        <v>28.643200000000004</v>
      </c>
      <c r="K301" s="11">
        <v>0</v>
      </c>
      <c r="L301" s="169">
        <f>Imput[[#This Row],[Sub total]]+Imput[[#This Row],[IVA]]-Imput[[#This Row],[Retención / IEPS / Descuento]]</f>
        <v>207.66320000000002</v>
      </c>
      <c r="M301" s="844">
        <v>207.66320000000002</v>
      </c>
      <c r="N301" s="189" t="s">
        <v>123</v>
      </c>
      <c r="O301" s="1"/>
      <c r="P301" s="189" t="s">
        <v>2959</v>
      </c>
      <c r="Q301" s="190" t="s">
        <v>2958</v>
      </c>
      <c r="R301" s="188">
        <v>45861</v>
      </c>
      <c r="S301" s="193" t="s">
        <v>126</v>
      </c>
      <c r="T301" s="192"/>
      <c r="U301" s="829"/>
      <c r="V301" s="10" t="s">
        <v>1012</v>
      </c>
      <c r="W301" s="10" t="s">
        <v>513</v>
      </c>
      <c r="X301" s="10"/>
      <c r="Y301" s="10"/>
      <c r="Z301" s="10"/>
      <c r="AA301" s="11"/>
      <c r="AB301" s="11"/>
      <c r="AD301" s="260"/>
    </row>
    <row r="302" spans="2:30" x14ac:dyDescent="0.3">
      <c r="B302" s="10" t="s">
        <v>290</v>
      </c>
      <c r="C302" s="315" t="s">
        <v>2426</v>
      </c>
      <c r="D302" s="868" t="s">
        <v>1148</v>
      </c>
      <c r="E302" s="837" t="str">
        <f>IFERROR(IF(_xlfn.XLOOKUP(Imput[[#This Row],[RFC]],'Alta Proveedor'!D:D,'Alta Proveedor'!E:E)=0,"",_xlfn.XLOOKUP(Imput[[#This Row],[RFC]],'Alta Proveedor'!D:D,'Alta Proveedor'!E:E)),"")</f>
        <v>TRITURADOS Y PREMEZCLADOS DE ALTAMIRA</v>
      </c>
      <c r="F302" s="832" t="s">
        <v>3392</v>
      </c>
      <c r="G302" s="187">
        <v>10</v>
      </c>
      <c r="H302" s="1">
        <f>22679.31/10</f>
        <v>2267.931</v>
      </c>
      <c r="I302" s="169">
        <f>Imput[[#This Row],[Cantidad]]*Imput[[#This Row],[Precio Unitario]]</f>
        <v>22679.31</v>
      </c>
      <c r="J302" s="11">
        <f>((Imput[[#This Row],[Sub total]])*0.16)</f>
        <v>3628.6896000000002</v>
      </c>
      <c r="K302" s="11">
        <v>0</v>
      </c>
      <c r="L302" s="169">
        <f>Imput[[#This Row],[Sub total]]+Imput[[#This Row],[IVA]]-Imput[[#This Row],[Retención / IEPS / Descuento]]</f>
        <v>26307.999600000003</v>
      </c>
      <c r="M302" s="844">
        <v>26307.999600000003</v>
      </c>
      <c r="N302" s="189" t="s">
        <v>123</v>
      </c>
      <c r="O302" s="1"/>
      <c r="P302" s="189" t="s">
        <v>1146</v>
      </c>
      <c r="Q302" s="190" t="s">
        <v>1147</v>
      </c>
      <c r="R302" s="188">
        <v>45861</v>
      </c>
      <c r="S302" s="193" t="s">
        <v>215</v>
      </c>
      <c r="T302" s="192"/>
      <c r="U302" s="829"/>
      <c r="V302" s="10" t="s">
        <v>1012</v>
      </c>
      <c r="W302" s="10" t="s">
        <v>3795</v>
      </c>
      <c r="X302" s="10"/>
      <c r="Y302" s="10"/>
      <c r="Z302" s="10"/>
      <c r="AA302" s="11"/>
      <c r="AB302" s="11"/>
      <c r="AD302" s="260"/>
    </row>
    <row r="303" spans="2:30" x14ac:dyDescent="0.3">
      <c r="B303" s="10" t="s">
        <v>290</v>
      </c>
      <c r="C303" s="315" t="s">
        <v>2709</v>
      </c>
      <c r="D303" s="868" t="s">
        <v>164</v>
      </c>
      <c r="E303" s="837" t="str">
        <f>IFERROR(IF(_xlfn.XLOOKUP(Imput[[#This Row],[RFC]],'Alta Proveedor'!D:D,'Alta Proveedor'!E:E)=0,"",_xlfn.XLOOKUP(Imput[[#This Row],[RFC]],'Alta Proveedor'!D:D,'Alta Proveedor'!E:E)),"")</f>
        <v>HOME DEPOT MEXICO SUCURSAL THD-8730 TAMPICO</v>
      </c>
      <c r="F303" s="832" t="s">
        <v>1734</v>
      </c>
      <c r="G303" s="187">
        <v>2</v>
      </c>
      <c r="H303" s="1">
        <f>1586.59/2</f>
        <v>793.29499999999996</v>
      </c>
      <c r="I303" s="169">
        <f>Imput[[#This Row],[Cantidad]]*Imput[[#This Row],[Precio Unitario]]</f>
        <v>1586.59</v>
      </c>
      <c r="J303" s="11">
        <f>((Imput[[#This Row],[Sub total]])*0.16)</f>
        <v>253.8544</v>
      </c>
      <c r="K303" s="11">
        <v>0</v>
      </c>
      <c r="L303" s="169">
        <f>Imput[[#This Row],[Sub total]]+Imput[[#This Row],[IVA]]-Imput[[#This Row],[Retención / IEPS / Descuento]]</f>
        <v>1840.4443999999999</v>
      </c>
      <c r="M303" s="844">
        <v>5007.3140000000003</v>
      </c>
      <c r="N303" s="189" t="s">
        <v>123</v>
      </c>
      <c r="O303" s="1"/>
      <c r="P303" s="189" t="s">
        <v>1235</v>
      </c>
      <c r="Q303" s="190" t="s">
        <v>1236</v>
      </c>
      <c r="R303" s="188">
        <v>45861</v>
      </c>
      <c r="S303" s="193" t="s">
        <v>126</v>
      </c>
      <c r="T303" s="192"/>
      <c r="U303" s="829"/>
      <c r="V303" s="10" t="s">
        <v>1012</v>
      </c>
      <c r="W303" s="10" t="s">
        <v>3795</v>
      </c>
      <c r="X303" s="10"/>
      <c r="Y303" s="10"/>
      <c r="Z303" s="10"/>
      <c r="AA303" s="11"/>
      <c r="AB303" s="11"/>
      <c r="AD303" s="260"/>
    </row>
    <row r="304" spans="2:30" x14ac:dyDescent="0.3">
      <c r="B304" s="10" t="s">
        <v>290</v>
      </c>
      <c r="C304" s="315" t="s">
        <v>2709</v>
      </c>
      <c r="D304" s="868" t="s">
        <v>164</v>
      </c>
      <c r="E304" s="837" t="str">
        <f>IFERROR(IF(_xlfn.XLOOKUP(Imput[[#This Row],[RFC]],'Alta Proveedor'!D:D,'Alta Proveedor'!E:E)=0,"",_xlfn.XLOOKUP(Imput[[#This Row],[RFC]],'Alta Proveedor'!D:D,'Alta Proveedor'!E:E)),"")</f>
        <v>HOME DEPOT MEXICO SUCURSAL THD-8730 TAMPICO</v>
      </c>
      <c r="F304" s="832" t="s">
        <v>1653</v>
      </c>
      <c r="G304" s="187">
        <v>1</v>
      </c>
      <c r="H304" s="1">
        <f>1183.23</f>
        <v>1183.23</v>
      </c>
      <c r="I304" s="169">
        <f>Imput[[#This Row],[Cantidad]]*Imput[[#This Row],[Precio Unitario]]</f>
        <v>1183.23</v>
      </c>
      <c r="J304" s="11">
        <f>((Imput[[#This Row],[Sub total]])*0.16)</f>
        <v>189.3168</v>
      </c>
      <c r="K304" s="11">
        <v>0</v>
      </c>
      <c r="L304" s="169">
        <f>Imput[[#This Row],[Sub total]]+Imput[[#This Row],[IVA]]-Imput[[#This Row],[Retención / IEPS / Descuento]]</f>
        <v>1372.5468000000001</v>
      </c>
      <c r="M304" s="844">
        <v>0</v>
      </c>
      <c r="N304" s="189" t="s">
        <v>123</v>
      </c>
      <c r="O304" s="1"/>
      <c r="P304" s="189" t="s">
        <v>1235</v>
      </c>
      <c r="Q304" s="190" t="s">
        <v>1236</v>
      </c>
      <c r="R304" s="188">
        <v>45861</v>
      </c>
      <c r="S304" s="193" t="s">
        <v>126</v>
      </c>
      <c r="T304" s="192"/>
      <c r="U304" s="829"/>
      <c r="V304" s="10" t="s">
        <v>1012</v>
      </c>
      <c r="W304" s="10" t="s">
        <v>3795</v>
      </c>
      <c r="X304" s="10"/>
      <c r="Y304" s="10"/>
      <c r="Z304" s="10"/>
      <c r="AA304" s="11"/>
      <c r="AB304" s="11"/>
      <c r="AD304" s="260"/>
    </row>
    <row r="305" spans="2:30" x14ac:dyDescent="0.3">
      <c r="B305" s="10" t="s">
        <v>290</v>
      </c>
      <c r="C305" s="315" t="s">
        <v>2709</v>
      </c>
      <c r="D305" s="868" t="s">
        <v>164</v>
      </c>
      <c r="E305" s="837" t="str">
        <f>IFERROR(IF(_xlfn.XLOOKUP(Imput[[#This Row],[RFC]],'Alta Proveedor'!D:D,'Alta Proveedor'!E:E)=0,"",_xlfn.XLOOKUP(Imput[[#This Row],[RFC]],'Alta Proveedor'!D:D,'Alta Proveedor'!E:E)),"")</f>
        <v>HOME DEPOT MEXICO SUCURSAL THD-8730 TAMPICO</v>
      </c>
      <c r="F305" s="832" t="s">
        <v>1654</v>
      </c>
      <c r="G305" s="187">
        <v>1</v>
      </c>
      <c r="H305" s="1">
        <f>379.33</f>
        <v>379.33</v>
      </c>
      <c r="I305" s="169">
        <f>Imput[[#This Row],[Cantidad]]*Imput[[#This Row],[Precio Unitario]]</f>
        <v>379.33</v>
      </c>
      <c r="J305" s="11">
        <f>((Imput[[#This Row],[Sub total]])*0.16)</f>
        <v>60.692799999999998</v>
      </c>
      <c r="K305" s="11">
        <v>0</v>
      </c>
      <c r="L305" s="169">
        <f>Imput[[#This Row],[Sub total]]+Imput[[#This Row],[IVA]]-Imput[[#This Row],[Retención / IEPS / Descuento]]</f>
        <v>440.02279999999996</v>
      </c>
      <c r="M305" s="844">
        <v>0</v>
      </c>
      <c r="N305" s="189" t="s">
        <v>123</v>
      </c>
      <c r="O305" s="1"/>
      <c r="P305" s="189" t="s">
        <v>1235</v>
      </c>
      <c r="Q305" s="190" t="s">
        <v>1236</v>
      </c>
      <c r="R305" s="188">
        <v>45861</v>
      </c>
      <c r="S305" s="193" t="s">
        <v>126</v>
      </c>
      <c r="T305" s="192"/>
      <c r="U305" s="829"/>
      <c r="V305" s="10" t="s">
        <v>1012</v>
      </c>
      <c r="W305" s="10" t="s">
        <v>3795</v>
      </c>
      <c r="X305" s="10"/>
      <c r="Y305" s="10"/>
      <c r="Z305" s="10"/>
      <c r="AA305" s="11"/>
      <c r="AB305" s="11"/>
      <c r="AD305" s="260"/>
    </row>
    <row r="306" spans="2:30" x14ac:dyDescent="0.3">
      <c r="B306" s="10" t="s">
        <v>290</v>
      </c>
      <c r="C306" s="315" t="s">
        <v>2709</v>
      </c>
      <c r="D306" s="868" t="s">
        <v>164</v>
      </c>
      <c r="E306" s="837" t="str">
        <f>IFERROR(IF(_xlfn.XLOOKUP(Imput[[#This Row],[RFC]],'Alta Proveedor'!D:D,'Alta Proveedor'!E:E)=0,"",_xlfn.XLOOKUP(Imput[[#This Row],[RFC]],'Alta Proveedor'!D:D,'Alta Proveedor'!E:E)),"")</f>
        <v>HOME DEPOT MEXICO SUCURSAL THD-8730 TAMPICO</v>
      </c>
      <c r="F306" s="832" t="s">
        <v>1655</v>
      </c>
      <c r="G306" s="187">
        <v>4</v>
      </c>
      <c r="H306" s="1">
        <f>189.24/4</f>
        <v>47.31</v>
      </c>
      <c r="I306" s="169">
        <f>Imput[[#This Row],[Cantidad]]*Imput[[#This Row],[Precio Unitario]]</f>
        <v>189.24</v>
      </c>
      <c r="J306" s="11">
        <f>((Imput[[#This Row],[Sub total]])*0.16)</f>
        <v>30.278400000000001</v>
      </c>
      <c r="K306" s="11">
        <v>0</v>
      </c>
      <c r="L306" s="169">
        <f>Imput[[#This Row],[Sub total]]+Imput[[#This Row],[IVA]]-Imput[[#This Row],[Retención / IEPS / Descuento]]</f>
        <v>219.51840000000001</v>
      </c>
      <c r="M306" s="844">
        <v>0</v>
      </c>
      <c r="N306" s="189" t="s">
        <v>123</v>
      </c>
      <c r="O306" s="1"/>
      <c r="P306" s="189" t="s">
        <v>1235</v>
      </c>
      <c r="Q306" s="190" t="s">
        <v>1236</v>
      </c>
      <c r="R306" s="188">
        <v>45861</v>
      </c>
      <c r="S306" s="193" t="s">
        <v>126</v>
      </c>
      <c r="T306" s="192"/>
      <c r="U306" s="829"/>
      <c r="V306" s="10" t="s">
        <v>1012</v>
      </c>
      <c r="W306" s="10" t="s">
        <v>3795</v>
      </c>
      <c r="X306" s="10"/>
      <c r="Y306" s="10"/>
      <c r="Z306" s="10"/>
      <c r="AA306" s="11"/>
      <c r="AB306" s="11"/>
      <c r="AD306" s="260"/>
    </row>
    <row r="307" spans="2:30" x14ac:dyDescent="0.3">
      <c r="B307" s="10" t="s">
        <v>290</v>
      </c>
      <c r="C307" s="315" t="s">
        <v>2709</v>
      </c>
      <c r="D307" s="868" t="s">
        <v>164</v>
      </c>
      <c r="E307" s="837" t="str">
        <f>IFERROR(IF(_xlfn.XLOOKUP(Imput[[#This Row],[RFC]],'Alta Proveedor'!D:D,'Alta Proveedor'!E:E)=0,"",_xlfn.XLOOKUP(Imput[[#This Row],[RFC]],'Alta Proveedor'!D:D,'Alta Proveedor'!E:E)),"")</f>
        <v>HOME DEPOT MEXICO SUCURSAL THD-8730 TAMPICO</v>
      </c>
      <c r="F307" s="832" t="s">
        <v>298</v>
      </c>
      <c r="G307" s="187">
        <v>1</v>
      </c>
      <c r="H307" s="1">
        <f>152.91/1</f>
        <v>152.91</v>
      </c>
      <c r="I307" s="169">
        <f>Imput[[#This Row],[Cantidad]]*Imput[[#This Row],[Precio Unitario]]</f>
        <v>152.91</v>
      </c>
      <c r="J307" s="11">
        <f>((Imput[[#This Row],[Sub total]])*0.16)</f>
        <v>24.465599999999998</v>
      </c>
      <c r="K307" s="11">
        <v>0</v>
      </c>
      <c r="L307" s="169">
        <f>Imput[[#This Row],[Sub total]]+Imput[[#This Row],[IVA]]-Imput[[#This Row],[Retención / IEPS / Descuento]]</f>
        <v>177.37559999999999</v>
      </c>
      <c r="M307" s="844">
        <v>0</v>
      </c>
      <c r="N307" s="189" t="s">
        <v>123</v>
      </c>
      <c r="O307" s="1"/>
      <c r="P307" s="189" t="s">
        <v>1235</v>
      </c>
      <c r="Q307" s="190" t="s">
        <v>1236</v>
      </c>
      <c r="R307" s="188">
        <v>45861</v>
      </c>
      <c r="S307" s="193" t="s">
        <v>126</v>
      </c>
      <c r="T307" s="192"/>
      <c r="U307" s="829"/>
      <c r="V307" s="10" t="s">
        <v>1012</v>
      </c>
      <c r="W307" s="10" t="s">
        <v>3795</v>
      </c>
      <c r="X307" s="10"/>
      <c r="Y307" s="10"/>
      <c r="Z307" s="10"/>
      <c r="AA307" s="11"/>
      <c r="AB307" s="11"/>
      <c r="AD307" s="260"/>
    </row>
    <row r="308" spans="2:30" x14ac:dyDescent="0.3">
      <c r="B308" s="10" t="s">
        <v>290</v>
      </c>
      <c r="C308" s="315" t="s">
        <v>2709</v>
      </c>
      <c r="D308" s="868" t="s">
        <v>164</v>
      </c>
      <c r="E308" s="837" t="str">
        <f>IFERROR(IF(_xlfn.XLOOKUP(Imput[[#This Row],[RFC]],'Alta Proveedor'!D:D,'Alta Proveedor'!E:E)=0,"",_xlfn.XLOOKUP(Imput[[#This Row],[RFC]],'Alta Proveedor'!D:D,'Alta Proveedor'!E:E)),"")</f>
        <v>HOME DEPOT MEXICO SUCURSAL THD-8730 TAMPICO</v>
      </c>
      <c r="F308" s="832" t="s">
        <v>1656</v>
      </c>
      <c r="G308" s="187">
        <v>2</v>
      </c>
      <c r="H308" s="1">
        <f>140.95/2</f>
        <v>70.474999999999994</v>
      </c>
      <c r="I308" s="169">
        <f>Imput[[#This Row],[Cantidad]]*Imput[[#This Row],[Precio Unitario]]</f>
        <v>140.94999999999999</v>
      </c>
      <c r="J308" s="11">
        <f>((Imput[[#This Row],[Sub total]])*0.16)</f>
        <v>22.552</v>
      </c>
      <c r="K308" s="11">
        <v>0</v>
      </c>
      <c r="L308" s="169">
        <f>Imput[[#This Row],[Sub total]]+Imput[[#This Row],[IVA]]-Imput[[#This Row],[Retención / IEPS / Descuento]]</f>
        <v>163.50199999999998</v>
      </c>
      <c r="M308" s="844">
        <v>0</v>
      </c>
      <c r="N308" s="189" t="s">
        <v>123</v>
      </c>
      <c r="O308" s="1"/>
      <c r="P308" s="189" t="s">
        <v>1235</v>
      </c>
      <c r="Q308" s="190" t="s">
        <v>1236</v>
      </c>
      <c r="R308" s="188">
        <v>45861</v>
      </c>
      <c r="S308" s="193" t="s">
        <v>126</v>
      </c>
      <c r="T308" s="192"/>
      <c r="U308" s="829"/>
      <c r="V308" s="10" t="s">
        <v>1012</v>
      </c>
      <c r="W308" s="10" t="s">
        <v>3795</v>
      </c>
      <c r="X308" s="10"/>
      <c r="Y308" s="10"/>
      <c r="Z308" s="10"/>
      <c r="AA308" s="11"/>
      <c r="AB308" s="11"/>
      <c r="AD308" s="260"/>
    </row>
    <row r="309" spans="2:30" x14ac:dyDescent="0.3">
      <c r="B309" s="10" t="s">
        <v>290</v>
      </c>
      <c r="C309" s="315" t="s">
        <v>2709</v>
      </c>
      <c r="D309" s="868" t="s">
        <v>164</v>
      </c>
      <c r="E309" s="837" t="str">
        <f>IFERROR(IF(_xlfn.XLOOKUP(Imput[[#This Row],[RFC]],'Alta Proveedor'!D:D,'Alta Proveedor'!E:E)=0,"",_xlfn.XLOOKUP(Imput[[#This Row],[RFC]],'Alta Proveedor'!D:D,'Alta Proveedor'!E:E)),"")</f>
        <v>HOME DEPOT MEXICO SUCURSAL THD-8730 TAMPICO</v>
      </c>
      <c r="F309" s="832" t="s">
        <v>1657</v>
      </c>
      <c r="G309" s="187">
        <v>3</v>
      </c>
      <c r="H309" s="1">
        <f>139.37/3</f>
        <v>46.456666666666671</v>
      </c>
      <c r="I309" s="169">
        <f>Imput[[#This Row],[Cantidad]]*Imput[[#This Row],[Precio Unitario]]</f>
        <v>139.37</v>
      </c>
      <c r="J309" s="11">
        <f>((Imput[[#This Row],[Sub total]])*0.16)</f>
        <v>22.299200000000003</v>
      </c>
      <c r="K309" s="11">
        <v>0</v>
      </c>
      <c r="L309" s="169">
        <f>Imput[[#This Row],[Sub total]]+Imput[[#This Row],[IVA]]-Imput[[#This Row],[Retención / IEPS / Descuento]]</f>
        <v>161.66920000000002</v>
      </c>
      <c r="M309" s="844">
        <v>0</v>
      </c>
      <c r="N309" s="189" t="s">
        <v>123</v>
      </c>
      <c r="O309" s="1"/>
      <c r="P309" s="189" t="s">
        <v>1235</v>
      </c>
      <c r="Q309" s="190" t="s">
        <v>1236</v>
      </c>
      <c r="R309" s="188">
        <v>45861</v>
      </c>
      <c r="S309" s="193" t="s">
        <v>126</v>
      </c>
      <c r="T309" s="192"/>
      <c r="U309" s="829"/>
      <c r="V309" s="10" t="s">
        <v>1012</v>
      </c>
      <c r="W309" s="10" t="s">
        <v>3795</v>
      </c>
      <c r="X309" s="10"/>
      <c r="Y309" s="10"/>
      <c r="Z309" s="10"/>
      <c r="AA309" s="11"/>
      <c r="AB309" s="11"/>
      <c r="AD309" s="260"/>
    </row>
    <row r="310" spans="2:30" x14ac:dyDescent="0.3">
      <c r="B310" s="10" t="s">
        <v>290</v>
      </c>
      <c r="C310" s="315" t="s">
        <v>2709</v>
      </c>
      <c r="D310" s="868" t="s">
        <v>164</v>
      </c>
      <c r="E310" s="837" t="str">
        <f>IFERROR(IF(_xlfn.XLOOKUP(Imput[[#This Row],[RFC]],'Alta Proveedor'!D:D,'Alta Proveedor'!E:E)=0,"",_xlfn.XLOOKUP(Imput[[#This Row],[RFC]],'Alta Proveedor'!D:D,'Alta Proveedor'!E:E)),"")</f>
        <v>HOME DEPOT MEXICO SUCURSAL THD-8730 TAMPICO</v>
      </c>
      <c r="F310" s="832" t="s">
        <v>1658</v>
      </c>
      <c r="G310" s="187">
        <v>1</v>
      </c>
      <c r="H310" s="1">
        <f>122.2</f>
        <v>122.2</v>
      </c>
      <c r="I310" s="169">
        <f>Imput[[#This Row],[Cantidad]]*Imput[[#This Row],[Precio Unitario]]</f>
        <v>122.2</v>
      </c>
      <c r="J310" s="11">
        <f>((Imput[[#This Row],[Sub total]])*0.16)</f>
        <v>19.552</v>
      </c>
      <c r="K310" s="11">
        <v>0</v>
      </c>
      <c r="L310" s="169">
        <f>Imput[[#This Row],[Sub total]]+Imput[[#This Row],[IVA]]-Imput[[#This Row],[Retención / IEPS / Descuento]]</f>
        <v>141.75200000000001</v>
      </c>
      <c r="M310" s="844">
        <v>0</v>
      </c>
      <c r="N310" s="189" t="s">
        <v>123</v>
      </c>
      <c r="O310" s="1"/>
      <c r="P310" s="189" t="s">
        <v>1235</v>
      </c>
      <c r="Q310" s="190" t="s">
        <v>1236</v>
      </c>
      <c r="R310" s="188">
        <v>45861</v>
      </c>
      <c r="S310" s="193" t="s">
        <v>126</v>
      </c>
      <c r="T310" s="192"/>
      <c r="U310" s="829"/>
      <c r="V310" s="10" t="s">
        <v>1012</v>
      </c>
      <c r="W310" s="10" t="s">
        <v>3795</v>
      </c>
      <c r="X310" s="10"/>
      <c r="Y310" s="10"/>
      <c r="Z310" s="10"/>
      <c r="AA310" s="11"/>
      <c r="AB310" s="11"/>
      <c r="AD310" s="260"/>
    </row>
    <row r="311" spans="2:30" x14ac:dyDescent="0.3">
      <c r="B311" s="10" t="s">
        <v>290</v>
      </c>
      <c r="C311" s="315" t="s">
        <v>2709</v>
      </c>
      <c r="D311" s="868" t="s">
        <v>164</v>
      </c>
      <c r="E311" s="837" t="str">
        <f>IFERROR(IF(_xlfn.XLOOKUP(Imput[[#This Row],[RFC]],'Alta Proveedor'!D:D,'Alta Proveedor'!E:E)=0,"",_xlfn.XLOOKUP(Imput[[#This Row],[RFC]],'Alta Proveedor'!D:D,'Alta Proveedor'!E:E)),"")</f>
        <v>HOME DEPOT MEXICO SUCURSAL THD-8730 TAMPICO</v>
      </c>
      <c r="F311" s="832" t="s">
        <v>1659</v>
      </c>
      <c r="G311" s="187">
        <v>2</v>
      </c>
      <c r="H311" s="1">
        <f>120.26/2</f>
        <v>60.13</v>
      </c>
      <c r="I311" s="169">
        <f>Imput[[#This Row],[Cantidad]]*Imput[[#This Row],[Precio Unitario]]</f>
        <v>120.26</v>
      </c>
      <c r="J311" s="11">
        <f>((Imput[[#This Row],[Sub total]])*0.16)</f>
        <v>19.241600000000002</v>
      </c>
      <c r="K311" s="11">
        <v>0</v>
      </c>
      <c r="L311" s="169">
        <f>Imput[[#This Row],[Sub total]]+Imput[[#This Row],[IVA]]-Imput[[#This Row],[Retención / IEPS / Descuento]]</f>
        <v>139.5016</v>
      </c>
      <c r="M311" s="844">
        <v>0</v>
      </c>
      <c r="N311" s="189" t="s">
        <v>123</v>
      </c>
      <c r="O311" s="1"/>
      <c r="P311" s="189" t="s">
        <v>1235</v>
      </c>
      <c r="Q311" s="190" t="s">
        <v>1236</v>
      </c>
      <c r="R311" s="188">
        <v>45861</v>
      </c>
      <c r="S311" s="193" t="s">
        <v>126</v>
      </c>
      <c r="T311" s="192"/>
      <c r="U311" s="829"/>
      <c r="V311" s="10" t="s">
        <v>1012</v>
      </c>
      <c r="W311" s="10" t="s">
        <v>3795</v>
      </c>
      <c r="X311" s="10"/>
      <c r="Y311" s="10"/>
      <c r="Z311" s="10"/>
      <c r="AA311" s="11"/>
      <c r="AB311" s="11"/>
      <c r="AD311" s="260"/>
    </row>
    <row r="312" spans="2:30" x14ac:dyDescent="0.3">
      <c r="B312" s="10" t="s">
        <v>290</v>
      </c>
      <c r="C312" s="315" t="s">
        <v>2709</v>
      </c>
      <c r="D312" s="868" t="s">
        <v>164</v>
      </c>
      <c r="E312" s="837" t="str">
        <f>IFERROR(IF(_xlfn.XLOOKUP(Imput[[#This Row],[RFC]],'Alta Proveedor'!D:D,'Alta Proveedor'!E:E)=0,"",_xlfn.XLOOKUP(Imput[[#This Row],[RFC]],'Alta Proveedor'!D:D,'Alta Proveedor'!E:E)),"")</f>
        <v>HOME DEPOT MEXICO SUCURSAL THD-8730 TAMPICO</v>
      </c>
      <c r="F312" s="832" t="s">
        <v>1660</v>
      </c>
      <c r="G312" s="187">
        <v>1</v>
      </c>
      <c r="H312" s="1">
        <f>109.27</f>
        <v>109.27</v>
      </c>
      <c r="I312" s="169">
        <f>Imput[[#This Row],[Cantidad]]*Imput[[#This Row],[Precio Unitario]]</f>
        <v>109.27</v>
      </c>
      <c r="J312" s="11">
        <f>((Imput[[#This Row],[Sub total]])*0.16)</f>
        <v>17.4832</v>
      </c>
      <c r="K312" s="11">
        <v>0</v>
      </c>
      <c r="L312" s="169">
        <f>Imput[[#This Row],[Sub total]]+Imput[[#This Row],[IVA]]-Imput[[#This Row],[Retención / IEPS / Descuento]]</f>
        <v>126.75319999999999</v>
      </c>
      <c r="M312" s="844">
        <v>0</v>
      </c>
      <c r="N312" s="189" t="s">
        <v>123</v>
      </c>
      <c r="O312" s="1"/>
      <c r="P312" s="189" t="s">
        <v>1235</v>
      </c>
      <c r="Q312" s="190" t="s">
        <v>1236</v>
      </c>
      <c r="R312" s="188">
        <v>45861</v>
      </c>
      <c r="S312" s="193" t="s">
        <v>126</v>
      </c>
      <c r="T312" s="192"/>
      <c r="U312" s="829"/>
      <c r="V312" s="10" t="s">
        <v>1012</v>
      </c>
      <c r="W312" s="10" t="s">
        <v>3795</v>
      </c>
      <c r="X312" s="10"/>
      <c r="Y312" s="10"/>
      <c r="Z312" s="10"/>
      <c r="AA312" s="11"/>
      <c r="AB312" s="11"/>
      <c r="AD312" s="260"/>
    </row>
    <row r="313" spans="2:30" x14ac:dyDescent="0.3">
      <c r="B313" s="10" t="s">
        <v>290</v>
      </c>
      <c r="C313" s="315" t="s">
        <v>2514</v>
      </c>
      <c r="D313" s="868" t="s">
        <v>164</v>
      </c>
      <c r="E313" s="837" t="str">
        <f>IFERROR(IF(_xlfn.XLOOKUP(Imput[[#This Row],[RFC]],'Alta Proveedor'!D:D,'Alta Proveedor'!E:E)=0,"",_xlfn.XLOOKUP(Imput[[#This Row],[RFC]],'Alta Proveedor'!D:D,'Alta Proveedor'!E:E)),"")</f>
        <v>HOME DEPOT MEXICO SUCURSAL THD-8730 TAMPICO</v>
      </c>
      <c r="F313" s="832" t="s">
        <v>1661</v>
      </c>
      <c r="G313" s="187">
        <v>2</v>
      </c>
      <c r="H313" s="1">
        <f>107.09/2</f>
        <v>53.545000000000002</v>
      </c>
      <c r="I313" s="169">
        <f>Imput[[#This Row],[Cantidad]]*Imput[[#This Row],[Precio Unitario]]</f>
        <v>107.09</v>
      </c>
      <c r="J313" s="11">
        <f>((Imput[[#This Row],[Sub total]])*0.16)</f>
        <v>17.134399999999999</v>
      </c>
      <c r="K313" s="11">
        <v>0</v>
      </c>
      <c r="L313" s="169">
        <f>Imput[[#This Row],[Sub total]]+Imput[[#This Row],[IVA]]-Imput[[#This Row],[Retención / IEPS / Descuento]]</f>
        <v>124.2244</v>
      </c>
      <c r="M313" s="844">
        <v>0</v>
      </c>
      <c r="N313" s="189" t="s">
        <v>123</v>
      </c>
      <c r="O313" s="1"/>
      <c r="P313" s="189" t="s">
        <v>1235</v>
      </c>
      <c r="Q313" s="190" t="s">
        <v>1236</v>
      </c>
      <c r="R313" s="188">
        <v>45861</v>
      </c>
      <c r="S313" s="193" t="s">
        <v>126</v>
      </c>
      <c r="T313" s="192"/>
      <c r="U313" s="829"/>
      <c r="V313" s="10" t="s">
        <v>1012</v>
      </c>
      <c r="W313" s="10" t="s">
        <v>513</v>
      </c>
      <c r="X313" s="10"/>
      <c r="Y313" s="10"/>
      <c r="Z313" s="10"/>
      <c r="AA313" s="11"/>
      <c r="AB313" s="11"/>
      <c r="AD313" s="260"/>
    </row>
    <row r="314" spans="2:30" x14ac:dyDescent="0.3">
      <c r="B314" s="10" t="s">
        <v>290</v>
      </c>
      <c r="C314" s="315" t="s">
        <v>2709</v>
      </c>
      <c r="D314" s="868" t="s">
        <v>164</v>
      </c>
      <c r="E314" s="837" t="str">
        <f>IFERROR(IF(_xlfn.XLOOKUP(Imput[[#This Row],[RFC]],'Alta Proveedor'!D:D,'Alta Proveedor'!E:E)=0,"",_xlfn.XLOOKUP(Imput[[#This Row],[RFC]],'Alta Proveedor'!D:D,'Alta Proveedor'!E:E)),"")</f>
        <v>HOME DEPOT MEXICO SUCURSAL THD-8730 TAMPICO</v>
      </c>
      <c r="F314" s="832" t="s">
        <v>1662</v>
      </c>
      <c r="G314" s="187">
        <v>1</v>
      </c>
      <c r="H314" s="1">
        <f>86.21</f>
        <v>86.21</v>
      </c>
      <c r="I314" s="169">
        <f>Imput[[#This Row],[Cantidad]]*Imput[[#This Row],[Precio Unitario]]</f>
        <v>86.21</v>
      </c>
      <c r="J314" s="11">
        <f>((Imput[[#This Row],[Sub total]])*0.16)</f>
        <v>13.7936</v>
      </c>
      <c r="K314" s="11">
        <v>0</v>
      </c>
      <c r="L314" s="169">
        <f>Imput[[#This Row],[Sub total]]+Imput[[#This Row],[IVA]]-Imput[[#This Row],[Retención / IEPS / Descuento]]</f>
        <v>100.00359999999999</v>
      </c>
      <c r="M314" s="844">
        <v>0</v>
      </c>
      <c r="N314" s="189" t="s">
        <v>123</v>
      </c>
      <c r="O314" s="1"/>
      <c r="P314" s="189" t="s">
        <v>1235</v>
      </c>
      <c r="Q314" s="190" t="s">
        <v>1236</v>
      </c>
      <c r="R314" s="188">
        <v>45861</v>
      </c>
      <c r="S314" s="193" t="s">
        <v>126</v>
      </c>
      <c r="T314" s="192"/>
      <c r="U314" s="829"/>
      <c r="V314" s="10" t="s">
        <v>1012</v>
      </c>
      <c r="W314" s="10" t="s">
        <v>3795</v>
      </c>
      <c r="X314" s="10"/>
      <c r="Y314" s="10"/>
      <c r="Z314" s="10"/>
      <c r="AA314" s="11"/>
      <c r="AB314" s="11"/>
      <c r="AD314" s="260"/>
    </row>
    <row r="315" spans="2:30" x14ac:dyDescent="0.3">
      <c r="B315" s="10" t="s">
        <v>290</v>
      </c>
      <c r="C315" s="315" t="s">
        <v>2428</v>
      </c>
      <c r="D315" s="868" t="s">
        <v>1264</v>
      </c>
      <c r="E315" s="837" t="str">
        <f>IFERROR(IF(_xlfn.XLOOKUP(Imput[[#This Row],[RFC]],'Alta Proveedor'!D:D,'Alta Proveedor'!E:E)=0,"",_xlfn.XLOOKUP(Imput[[#This Row],[RFC]],'Alta Proveedor'!D:D,'Alta Proveedor'!E:E)),"")</f>
        <v>ISMAEL CALDERON GONZALEZ "MADERERIA LA SELVA"</v>
      </c>
      <c r="F315" s="832" t="s">
        <v>1664</v>
      </c>
      <c r="G315" s="187">
        <v>15</v>
      </c>
      <c r="H315" s="1">
        <v>198.28</v>
      </c>
      <c r="I315" s="169">
        <f>Imput[[#This Row],[Cantidad]]*Imput[[#This Row],[Precio Unitario]]</f>
        <v>2974.2</v>
      </c>
      <c r="J315" s="11">
        <f>((Imput[[#This Row],[Sub total]])*(0.16))</f>
        <v>475.87199999999996</v>
      </c>
      <c r="K315" s="11">
        <v>0</v>
      </c>
      <c r="L315" s="169">
        <f>Imput[[#This Row],[Sub total]]+Imput[[#This Row],[IVA]]-Imput[[#This Row],[Retención / IEPS / Descuento]]</f>
        <v>3450.0719999999997</v>
      </c>
      <c r="M315" s="844">
        <v>4600.3750727999995</v>
      </c>
      <c r="N315" s="189" t="s">
        <v>123</v>
      </c>
      <c r="O315" s="1"/>
      <c r="P315" s="189" t="s">
        <v>1262</v>
      </c>
      <c r="Q315" s="190" t="s">
        <v>1263</v>
      </c>
      <c r="R315" s="188">
        <v>45861</v>
      </c>
      <c r="S315" s="193" t="s">
        <v>126</v>
      </c>
      <c r="T315" s="192"/>
      <c r="U315" s="829"/>
      <c r="V315" s="10" t="s">
        <v>1012</v>
      </c>
      <c r="W315" s="10" t="s">
        <v>3795</v>
      </c>
      <c r="X315" s="10"/>
      <c r="Y315" s="10"/>
      <c r="Z315" s="10"/>
      <c r="AA315" s="11"/>
      <c r="AB315" s="11"/>
      <c r="AD315" s="260"/>
    </row>
    <row r="316" spans="2:30" x14ac:dyDescent="0.3">
      <c r="B316" s="10" t="s">
        <v>290</v>
      </c>
      <c r="C316" s="315" t="s">
        <v>2428</v>
      </c>
      <c r="D316" s="868" t="s">
        <v>1264</v>
      </c>
      <c r="E316" s="837" t="str">
        <f>IFERROR(IF(_xlfn.XLOOKUP(Imput[[#This Row],[RFC]],'Alta Proveedor'!D:D,'Alta Proveedor'!E:E)=0,"",_xlfn.XLOOKUP(Imput[[#This Row],[RFC]],'Alta Proveedor'!D:D,'Alta Proveedor'!E:E)),"")</f>
        <v>ISMAEL CALDERON GONZALEZ "MADERERIA LA SELVA"</v>
      </c>
      <c r="F316" s="832" t="s">
        <v>1665</v>
      </c>
      <c r="G316" s="187">
        <v>2</v>
      </c>
      <c r="H316" s="1">
        <v>147.96529000000001</v>
      </c>
      <c r="I316" s="169">
        <f>Imput[[#This Row],[Cantidad]]*Imput[[#This Row],[Precio Unitario]]</f>
        <v>295.93058000000002</v>
      </c>
      <c r="J316" s="11">
        <f>((Imput[[#This Row],[Sub total]])*(0.16))</f>
        <v>47.348892800000002</v>
      </c>
      <c r="K316" s="11">
        <v>0</v>
      </c>
      <c r="L316" s="169">
        <f>Imput[[#This Row],[Sub total]]+Imput[[#This Row],[IVA]]-Imput[[#This Row],[Retención / IEPS / Descuento]]</f>
        <v>343.27947280000001</v>
      </c>
      <c r="M316" s="844">
        <v>0</v>
      </c>
      <c r="N316" s="189" t="s">
        <v>123</v>
      </c>
      <c r="O316" s="1"/>
      <c r="P316" s="189" t="s">
        <v>1262</v>
      </c>
      <c r="Q316" s="190" t="s">
        <v>1263</v>
      </c>
      <c r="R316" s="188">
        <v>45861</v>
      </c>
      <c r="S316" s="193" t="s">
        <v>126</v>
      </c>
      <c r="T316" s="192"/>
      <c r="U316" s="829"/>
      <c r="V316" s="10" t="s">
        <v>1012</v>
      </c>
      <c r="W316" s="10" t="s">
        <v>3795</v>
      </c>
      <c r="X316" s="10"/>
      <c r="Y316" s="10"/>
      <c r="Z316" s="10"/>
      <c r="AA316" s="11"/>
      <c r="AB316" s="11"/>
      <c r="AD316" s="260"/>
    </row>
    <row r="317" spans="2:30" x14ac:dyDescent="0.3">
      <c r="B317" s="10" t="s">
        <v>290</v>
      </c>
      <c r="C317" s="315" t="s">
        <v>2428</v>
      </c>
      <c r="D317" s="868" t="s">
        <v>1264</v>
      </c>
      <c r="E317" s="837" t="str">
        <f>IFERROR(IF(_xlfn.XLOOKUP(Imput[[#This Row],[RFC]],'Alta Proveedor'!D:D,'Alta Proveedor'!E:E)=0,"",_xlfn.XLOOKUP(Imput[[#This Row],[RFC]],'Alta Proveedor'!D:D,'Alta Proveedor'!E:E)),"")</f>
        <v>ISMAEL CALDERON GONZALEZ "MADERERIA LA SELVA"</v>
      </c>
      <c r="F317" s="832" t="s">
        <v>1666</v>
      </c>
      <c r="G317" s="187">
        <v>1</v>
      </c>
      <c r="H317" s="1">
        <v>172.42</v>
      </c>
      <c r="I317" s="169">
        <f>Imput[[#This Row],[Cantidad]]*Imput[[#This Row],[Precio Unitario]]</f>
        <v>172.42</v>
      </c>
      <c r="J317" s="11">
        <f>((Imput[[#This Row],[Sub total]])*(0.16))</f>
        <v>27.587199999999999</v>
      </c>
      <c r="K317" s="11">
        <v>0</v>
      </c>
      <c r="L317" s="169">
        <f>Imput[[#This Row],[Sub total]]+Imput[[#This Row],[IVA]]-Imput[[#This Row],[Retención / IEPS / Descuento]]</f>
        <v>200.00719999999998</v>
      </c>
      <c r="M317" s="844">
        <v>0</v>
      </c>
      <c r="N317" s="189" t="s">
        <v>123</v>
      </c>
      <c r="O317" s="1"/>
      <c r="P317" s="189" t="s">
        <v>1262</v>
      </c>
      <c r="Q317" s="190" t="s">
        <v>1263</v>
      </c>
      <c r="R317" s="188">
        <v>45861</v>
      </c>
      <c r="S317" s="193" t="s">
        <v>126</v>
      </c>
      <c r="T317" s="192"/>
      <c r="U317" s="829"/>
      <c r="V317" s="10" t="s">
        <v>1012</v>
      </c>
      <c r="W317" s="10" t="s">
        <v>3795</v>
      </c>
      <c r="X317" s="10"/>
      <c r="Y317" s="10"/>
      <c r="Z317" s="10"/>
      <c r="AA317" s="11"/>
      <c r="AB317" s="11"/>
      <c r="AD317" s="260"/>
    </row>
    <row r="318" spans="2:30" x14ac:dyDescent="0.3">
      <c r="B318" s="10" t="s">
        <v>290</v>
      </c>
      <c r="C318" s="315" t="s">
        <v>2709</v>
      </c>
      <c r="D318" s="868" t="s">
        <v>1264</v>
      </c>
      <c r="E318" s="837" t="str">
        <f>IFERROR(IF(_xlfn.XLOOKUP(Imput[[#This Row],[RFC]],'Alta Proveedor'!D:D,'Alta Proveedor'!E:E)=0,"",_xlfn.XLOOKUP(Imput[[#This Row],[RFC]],'Alta Proveedor'!D:D,'Alta Proveedor'!E:E)),"")</f>
        <v>ISMAEL CALDERON GONZALEZ "MADERERIA LA SELVA"</v>
      </c>
      <c r="F318" s="832" t="s">
        <v>1667</v>
      </c>
      <c r="G318" s="187">
        <v>1</v>
      </c>
      <c r="H318" s="1">
        <v>100.87</v>
      </c>
      <c r="I318" s="169">
        <f>Imput[[#This Row],[Cantidad]]*Imput[[#This Row],[Precio Unitario]]</f>
        <v>100.87</v>
      </c>
      <c r="J318" s="11">
        <f>((Imput[[#This Row],[Sub total]])*(0.16))</f>
        <v>16.139200000000002</v>
      </c>
      <c r="K318" s="11">
        <v>0</v>
      </c>
      <c r="L318" s="169">
        <f>Imput[[#This Row],[Sub total]]+Imput[[#This Row],[IVA]]-Imput[[#This Row],[Retención / IEPS / Descuento]]</f>
        <v>117.00920000000001</v>
      </c>
      <c r="M318" s="844">
        <v>0</v>
      </c>
      <c r="N318" s="189" t="s">
        <v>123</v>
      </c>
      <c r="O318" s="1"/>
      <c r="P318" s="189" t="s">
        <v>1262</v>
      </c>
      <c r="Q318" s="190" t="s">
        <v>1263</v>
      </c>
      <c r="R318" s="188">
        <v>45861</v>
      </c>
      <c r="S318" s="193" t="s">
        <v>126</v>
      </c>
      <c r="T318" s="192"/>
      <c r="U318" s="829"/>
      <c r="V318" s="10" t="s">
        <v>1012</v>
      </c>
      <c r="W318" s="10" t="s">
        <v>3795</v>
      </c>
      <c r="X318" s="10"/>
      <c r="Y318" s="10"/>
      <c r="Z318" s="10"/>
      <c r="AA318" s="11"/>
      <c r="AB318" s="11"/>
      <c r="AD318" s="260"/>
    </row>
    <row r="319" spans="2:30" x14ac:dyDescent="0.3">
      <c r="B319" s="10" t="s">
        <v>290</v>
      </c>
      <c r="C319" s="315" t="s">
        <v>2709</v>
      </c>
      <c r="D319" s="868" t="s">
        <v>1264</v>
      </c>
      <c r="E319" s="837" t="str">
        <f>IFERROR(IF(_xlfn.XLOOKUP(Imput[[#This Row],[RFC]],'Alta Proveedor'!D:D,'Alta Proveedor'!E:E)=0,"",_xlfn.XLOOKUP(Imput[[#This Row],[RFC]],'Alta Proveedor'!D:D,'Alta Proveedor'!E:E)),"")</f>
        <v>ISMAEL CALDERON GONZALEZ "MADERERIA LA SELVA"</v>
      </c>
      <c r="F319" s="832" t="s">
        <v>1668</v>
      </c>
      <c r="G319" s="187">
        <v>1</v>
      </c>
      <c r="H319" s="1">
        <v>185.35</v>
      </c>
      <c r="I319" s="169">
        <f>Imput[[#This Row],[Cantidad]]*Imput[[#This Row],[Precio Unitario]]</f>
        <v>185.35</v>
      </c>
      <c r="J319" s="11">
        <f>((Imput[[#This Row],[Sub total]])*(0.16))</f>
        <v>29.655999999999999</v>
      </c>
      <c r="K319" s="11">
        <v>0</v>
      </c>
      <c r="L319" s="169">
        <f>Imput[[#This Row],[Sub total]]+Imput[[#This Row],[IVA]]-Imput[[#This Row],[Retención / IEPS / Descuento]]</f>
        <v>215.006</v>
      </c>
      <c r="M319" s="844">
        <v>0</v>
      </c>
      <c r="N319" s="189" t="s">
        <v>123</v>
      </c>
      <c r="O319" s="1"/>
      <c r="P319" s="189" t="s">
        <v>1262</v>
      </c>
      <c r="Q319" s="190" t="s">
        <v>1263</v>
      </c>
      <c r="R319" s="188">
        <v>45861</v>
      </c>
      <c r="S319" s="193" t="s">
        <v>126</v>
      </c>
      <c r="T319" s="192"/>
      <c r="U319" s="829"/>
      <c r="V319" s="10" t="s">
        <v>1012</v>
      </c>
      <c r="W319" s="10" t="s">
        <v>3795</v>
      </c>
      <c r="X319" s="10"/>
      <c r="Y319" s="10"/>
      <c r="Z319" s="10"/>
      <c r="AA319" s="11"/>
      <c r="AB319" s="11"/>
      <c r="AD319" s="260"/>
    </row>
    <row r="320" spans="2:30" x14ac:dyDescent="0.3">
      <c r="B320" s="10" t="s">
        <v>290</v>
      </c>
      <c r="C320" s="315" t="s">
        <v>2514</v>
      </c>
      <c r="D320" s="868" t="s">
        <v>1264</v>
      </c>
      <c r="E320" s="837" t="str">
        <f>IFERROR(IF(_xlfn.XLOOKUP(Imput[[#This Row],[RFC]],'Alta Proveedor'!D:D,'Alta Proveedor'!E:E)=0,"",_xlfn.XLOOKUP(Imput[[#This Row],[RFC]],'Alta Proveedor'!D:D,'Alta Proveedor'!E:E)),"")</f>
        <v>ISMAEL CALDERON GONZALEZ "MADERERIA LA SELVA"</v>
      </c>
      <c r="F320" s="832" t="s">
        <v>1669</v>
      </c>
      <c r="G320" s="187">
        <v>1</v>
      </c>
      <c r="H320" s="1">
        <v>237.07</v>
      </c>
      <c r="I320" s="169">
        <f>Imput[[#This Row],[Cantidad]]*Imput[[#This Row],[Precio Unitario]]</f>
        <v>237.07</v>
      </c>
      <c r="J320" s="11">
        <f>((Imput[[#This Row],[Sub total]])*(0.16))</f>
        <v>37.931199999999997</v>
      </c>
      <c r="K320" s="11">
        <v>0</v>
      </c>
      <c r="L320" s="169">
        <f>Imput[[#This Row],[Sub total]]+Imput[[#This Row],[IVA]]-Imput[[#This Row],[Retención / IEPS / Descuento]]</f>
        <v>275.00119999999998</v>
      </c>
      <c r="M320" s="844">
        <v>0</v>
      </c>
      <c r="N320" s="189" t="s">
        <v>123</v>
      </c>
      <c r="O320" s="1"/>
      <c r="P320" s="189" t="s">
        <v>1262</v>
      </c>
      <c r="Q320" s="190" t="s">
        <v>1263</v>
      </c>
      <c r="R320" s="188">
        <v>45861</v>
      </c>
      <c r="S320" s="193" t="s">
        <v>126</v>
      </c>
      <c r="T320" s="192"/>
      <c r="U320" s="829"/>
      <c r="V320" s="10" t="s">
        <v>1012</v>
      </c>
      <c r="W320" s="10" t="s">
        <v>513</v>
      </c>
      <c r="X320" s="10"/>
      <c r="Y320" s="10"/>
      <c r="Z320" s="10"/>
      <c r="AA320" s="11"/>
      <c r="AB320" s="11"/>
      <c r="AD320" s="260"/>
    </row>
    <row r="321" spans="2:30" x14ac:dyDescent="0.3">
      <c r="B321" s="10" t="s">
        <v>290</v>
      </c>
      <c r="C321" s="315" t="s">
        <v>1767</v>
      </c>
      <c r="D321" s="868" t="s">
        <v>1258</v>
      </c>
      <c r="E321" s="837" t="str">
        <f>IFERROR(IF(_xlfn.XLOOKUP(Imput[[#This Row],[RFC]],'Alta Proveedor'!D:D,'Alta Proveedor'!E:E)=0,"",_xlfn.XLOOKUP(Imput[[#This Row],[RFC]],'Alta Proveedor'!D:D,'Alta Proveedor'!E:E)),"")</f>
        <v>TRACTO CENTER E12658 PEMEX (COMBUSTIBLES)</v>
      </c>
      <c r="F321" s="832" t="s">
        <v>1145</v>
      </c>
      <c r="G321" s="187">
        <v>45.726999999999997</v>
      </c>
      <c r="H321" s="1">
        <f>963.87/Imput[[#This Row],[Cantidad]]</f>
        <v>21.078793710499269</v>
      </c>
      <c r="I321" s="169">
        <f>Imput[[#This Row],[Cantidad]]*Imput[[#This Row],[Precio Unitario]]</f>
        <v>963.87</v>
      </c>
      <c r="J321" s="11">
        <v>149.13</v>
      </c>
      <c r="K321" s="11">
        <v>0</v>
      </c>
      <c r="L321" s="169">
        <f>Imput[[#This Row],[Sub total]]+Imput[[#This Row],[IVA]]-Imput[[#This Row],[Retención / IEPS / Descuento]]</f>
        <v>1113</v>
      </c>
      <c r="M321" s="844">
        <v>1113</v>
      </c>
      <c r="N321" s="189" t="s">
        <v>123</v>
      </c>
      <c r="O321" s="1"/>
      <c r="P321" s="189" t="s">
        <v>1256</v>
      </c>
      <c r="Q321" s="190" t="s">
        <v>1257</v>
      </c>
      <c r="R321" s="188">
        <v>45861</v>
      </c>
      <c r="S321" s="193" t="s">
        <v>126</v>
      </c>
      <c r="T321" s="192"/>
      <c r="U321" s="829"/>
      <c r="V321" s="10" t="s">
        <v>3786</v>
      </c>
      <c r="W321" s="10" t="s">
        <v>3787</v>
      </c>
      <c r="X321" s="10"/>
      <c r="Y321" s="10"/>
      <c r="Z321" s="10"/>
      <c r="AA321" s="11"/>
      <c r="AB321" s="11"/>
      <c r="AD321" s="260"/>
    </row>
    <row r="322" spans="2:30" x14ac:dyDescent="0.3">
      <c r="B322" s="10" t="s">
        <v>290</v>
      </c>
      <c r="C322" s="315" t="s">
        <v>1767</v>
      </c>
      <c r="D322" s="868" t="s">
        <v>1252</v>
      </c>
      <c r="E322" s="837" t="str">
        <f>IFERROR(IF(_xlfn.XLOOKUP(Imput[[#This Row],[RFC]],'Alta Proveedor'!D:D,'Alta Proveedor'!E:E)=0,"",_xlfn.XLOOKUP(Imput[[#This Row],[RFC]],'Alta Proveedor'!D:D,'Alta Proveedor'!E:E)),"")</f>
        <v>SERVICIO DE GASOLINERA TAMAULIPAS (COMBUSTIBLES)</v>
      </c>
      <c r="F322" s="832" t="s">
        <v>237</v>
      </c>
      <c r="G322" s="187">
        <v>63.771000000000001</v>
      </c>
      <c r="H322" s="1">
        <f>1296.37/Imput[[#This Row],[Cantidad]]</f>
        <v>20.328519232880147</v>
      </c>
      <c r="I322" s="169">
        <f>Imput[[#This Row],[Cantidad]]*Imput[[#This Row],[Precio Unitario]]</f>
        <v>1296.3699999999999</v>
      </c>
      <c r="J322" s="11">
        <v>201.61</v>
      </c>
      <c r="K322" s="11">
        <v>0</v>
      </c>
      <c r="L322" s="169">
        <f>Imput[[#This Row],[Sub total]]+Imput[[#This Row],[IVA]]-Imput[[#This Row],[Retención / IEPS / Descuento]]</f>
        <v>1497.98</v>
      </c>
      <c r="M322" s="844">
        <v>1497.98</v>
      </c>
      <c r="N322" s="189" t="s">
        <v>123</v>
      </c>
      <c r="O322" s="1"/>
      <c r="P322" s="189" t="s">
        <v>1250</v>
      </c>
      <c r="Q322" s="190" t="s">
        <v>1251</v>
      </c>
      <c r="R322" s="188">
        <v>45861</v>
      </c>
      <c r="S322" s="193" t="s">
        <v>126</v>
      </c>
      <c r="T322" s="192"/>
      <c r="U322" s="829"/>
      <c r="V322" s="10" t="s">
        <v>3786</v>
      </c>
      <c r="W322" s="10" t="s">
        <v>3787</v>
      </c>
      <c r="X322" s="10"/>
      <c r="Y322" s="10"/>
      <c r="Z322" s="10"/>
      <c r="AA322" s="11"/>
      <c r="AB322" s="11"/>
      <c r="AD322" s="260"/>
    </row>
    <row r="323" spans="2:30" x14ac:dyDescent="0.3">
      <c r="B323" s="10" t="s">
        <v>290</v>
      </c>
      <c r="C323" s="315" t="s">
        <v>1767</v>
      </c>
      <c r="D323" s="868" t="s">
        <v>1248</v>
      </c>
      <c r="E323" s="837" t="str">
        <f>IFERROR(IF(_xlfn.XLOOKUP(Imput[[#This Row],[RFC]],'Alta Proveedor'!D:D,'Alta Proveedor'!E:E)=0,"",_xlfn.XLOOKUP(Imput[[#This Row],[RFC]],'Alta Proveedor'!D:D,'Alta Proveedor'!E:E)),"")</f>
        <v>SERVICIO BOULEVARD "MOBIL"</v>
      </c>
      <c r="F323" s="832" t="s">
        <v>237</v>
      </c>
      <c r="G323" s="187">
        <v>10</v>
      </c>
      <c r="H323" s="1">
        <f>206.73/Imput[[#This Row],[Cantidad]]</f>
        <v>20.672999999999998</v>
      </c>
      <c r="I323" s="169">
        <f>Imput[[#This Row],[Cantidad]]*Imput[[#This Row],[Precio Unitario]]</f>
        <v>206.73</v>
      </c>
      <c r="J323" s="11">
        <f>((201.04)*(0.16))</f>
        <v>32.166399999999996</v>
      </c>
      <c r="K323" s="11">
        <v>0</v>
      </c>
      <c r="L323" s="169">
        <f>Imput[[#This Row],[Sub total]]+Imput[[#This Row],[IVA]]-Imput[[#This Row],[Retención / IEPS / Descuento]]</f>
        <v>238.89639999999997</v>
      </c>
      <c r="M323" s="844">
        <v>238.89639999999997</v>
      </c>
      <c r="N323" s="189" t="s">
        <v>123</v>
      </c>
      <c r="O323" s="1"/>
      <c r="P323" s="189" t="s">
        <v>1246</v>
      </c>
      <c r="Q323" s="190" t="s">
        <v>1247</v>
      </c>
      <c r="R323" s="188">
        <v>45861</v>
      </c>
      <c r="S323" s="193" t="s">
        <v>126</v>
      </c>
      <c r="T323" s="192"/>
      <c r="U323" s="829"/>
      <c r="V323" s="10" t="s">
        <v>3786</v>
      </c>
      <c r="W323" s="10" t="s">
        <v>3787</v>
      </c>
      <c r="X323" s="10"/>
      <c r="Y323" s="10"/>
      <c r="Z323" s="10"/>
      <c r="AA323" s="11"/>
      <c r="AB323" s="11"/>
      <c r="AD323" s="260"/>
    </row>
    <row r="324" spans="2:30" x14ac:dyDescent="0.3">
      <c r="B324" s="10" t="s">
        <v>290</v>
      </c>
      <c r="C324" s="315" t="s">
        <v>2335</v>
      </c>
      <c r="D324" s="868" t="s">
        <v>3119</v>
      </c>
      <c r="E324" s="837" t="str">
        <f>IFERROR(IF(_xlfn.XLOOKUP(Imput[[#This Row],[RFC]],'Alta Proveedor'!D:D,'Alta Proveedor'!E:E)=0,"",_xlfn.XLOOKUP(Imput[[#This Row],[RFC]],'Alta Proveedor'!D:D,'Alta Proveedor'!E:E)),"")</f>
        <v>Nomina-OPERACIÓN</v>
      </c>
      <c r="F324" s="836" t="s">
        <v>3142</v>
      </c>
      <c r="G324" s="187">
        <v>1</v>
      </c>
      <c r="H324" s="1">
        <v>4300</v>
      </c>
      <c r="I324" s="169">
        <f>Imput[[#This Row],[Cantidad]]*Imput[[#This Row],[Precio Unitario]]</f>
        <v>4300</v>
      </c>
      <c r="J324" s="11">
        <f>Imput[[#This Row],[Sub total]]*0.08</f>
        <v>344</v>
      </c>
      <c r="K324" s="11">
        <v>0</v>
      </c>
      <c r="L324" s="169">
        <f>Imput[[#This Row],[Sub total]]+Imput[[#This Row],[IVA]]-Imput[[#This Row],[Retención / IEPS / Descuento]]</f>
        <v>4644</v>
      </c>
      <c r="M324" s="844">
        <v>4644</v>
      </c>
      <c r="N324" s="189"/>
      <c r="O324" s="1"/>
      <c r="P324" s="189"/>
      <c r="Q324" s="190"/>
      <c r="R324" s="188">
        <v>45861</v>
      </c>
      <c r="S324" s="193"/>
      <c r="T324" s="192"/>
      <c r="U324" s="867" t="s">
        <v>3225</v>
      </c>
      <c r="V324" s="10" t="s">
        <v>3108</v>
      </c>
      <c r="W324" s="10" t="s">
        <v>3793</v>
      </c>
      <c r="X324" s="10"/>
      <c r="Y324" s="10"/>
      <c r="Z324" s="10"/>
      <c r="AA324" s="11"/>
      <c r="AB324" s="11"/>
      <c r="AD324" s="260"/>
    </row>
    <row r="325" spans="2:30" x14ac:dyDescent="0.3">
      <c r="B325" s="10" t="s">
        <v>290</v>
      </c>
      <c r="C325" s="315" t="s">
        <v>2469</v>
      </c>
      <c r="D325" s="868" t="s">
        <v>3119</v>
      </c>
      <c r="E325" s="837" t="str">
        <f>IFERROR(IF(_xlfn.XLOOKUP(Imput[[#This Row],[RFC]],'Alta Proveedor'!D:D,'Alta Proveedor'!E:E)=0,"",_xlfn.XLOOKUP(Imput[[#This Row],[RFC]],'Alta Proveedor'!D:D,'Alta Proveedor'!E:E)),"")</f>
        <v>Nomina-OPERACIÓN</v>
      </c>
      <c r="F325" s="836" t="s">
        <v>3143</v>
      </c>
      <c r="G325" s="187">
        <v>1</v>
      </c>
      <c r="H325" s="1">
        <v>13050</v>
      </c>
      <c r="I325" s="169">
        <f>Imput[[#This Row],[Cantidad]]*Imput[[#This Row],[Precio Unitario]]</f>
        <v>13050</v>
      </c>
      <c r="J325" s="11">
        <f>Imput[[#This Row],[Sub total]]*0.08</f>
        <v>1044</v>
      </c>
      <c r="K325" s="11">
        <v>0</v>
      </c>
      <c r="L325" s="169">
        <f>Imput[[#This Row],[Sub total]]+Imput[[#This Row],[IVA]]-Imput[[#This Row],[Retención / IEPS / Descuento]]</f>
        <v>14094</v>
      </c>
      <c r="M325" s="844">
        <v>14094</v>
      </c>
      <c r="N325" s="189"/>
      <c r="O325" s="1"/>
      <c r="P325" s="189"/>
      <c r="Q325" s="190"/>
      <c r="R325" s="188">
        <v>45861</v>
      </c>
      <c r="S325" s="193"/>
      <c r="T325" s="192"/>
      <c r="U325" s="867" t="s">
        <v>3225</v>
      </c>
      <c r="V325" s="10" t="s">
        <v>3789</v>
      </c>
      <c r="W325" s="10" t="s">
        <v>3806</v>
      </c>
      <c r="X325" s="10"/>
      <c r="Y325" s="10"/>
      <c r="Z325" s="10"/>
      <c r="AA325" s="11"/>
      <c r="AB325" s="11"/>
      <c r="AD325" s="260"/>
    </row>
    <row r="326" spans="2:30" x14ac:dyDescent="0.3">
      <c r="B326" s="10" t="s">
        <v>290</v>
      </c>
      <c r="C326" s="315" t="s">
        <v>1769</v>
      </c>
      <c r="D326" s="868" t="s">
        <v>244</v>
      </c>
      <c r="E326" s="837" t="str">
        <f>IFERROR(IF(_xlfn.XLOOKUP(Imput[[#This Row],[RFC]],'Alta Proveedor'!D:D,'Alta Proveedor'!E:E)=0,"",_xlfn.XLOOKUP(Imput[[#This Row],[RFC]],'Alta Proveedor'!D:D,'Alta Proveedor'!E:E)),"")</f>
        <v>CADENA COMERCIAL OXXO</v>
      </c>
      <c r="F326" s="832" t="s">
        <v>1230</v>
      </c>
      <c r="G326" s="187">
        <v>1</v>
      </c>
      <c r="H326" s="1">
        <v>52</v>
      </c>
      <c r="I326" s="169">
        <f>Imput[[#This Row],[Cantidad]]*Imput[[#This Row],[Precio Unitario]]</f>
        <v>52</v>
      </c>
      <c r="J326" s="11">
        <v>0</v>
      </c>
      <c r="K326" s="11">
        <v>0</v>
      </c>
      <c r="L326" s="169">
        <f>Imput[[#This Row],[Sub total]]+Imput[[#This Row],[IVA]]-Imput[[#This Row],[Retención / IEPS / Descuento]]</f>
        <v>52</v>
      </c>
      <c r="M326" s="844">
        <v>52</v>
      </c>
      <c r="N326" s="189" t="s">
        <v>123</v>
      </c>
      <c r="O326" s="1"/>
      <c r="P326" s="189" t="s">
        <v>1275</v>
      </c>
      <c r="Q326" s="190" t="s">
        <v>1276</v>
      </c>
      <c r="R326" s="188">
        <v>45862</v>
      </c>
      <c r="S326" s="193" t="s">
        <v>126</v>
      </c>
      <c r="T326" s="192"/>
      <c r="U326" s="829"/>
      <c r="V326" s="10" t="s">
        <v>3324</v>
      </c>
      <c r="W326" s="10" t="s">
        <v>3327</v>
      </c>
      <c r="X326" s="10"/>
      <c r="Y326" s="10"/>
      <c r="Z326" s="10"/>
      <c r="AA326" s="11"/>
      <c r="AB326" s="11"/>
      <c r="AD326" s="260"/>
    </row>
    <row r="327" spans="2:30" x14ac:dyDescent="0.3">
      <c r="B327" s="10" t="s">
        <v>290</v>
      </c>
      <c r="C327" s="315" t="s">
        <v>1769</v>
      </c>
      <c r="D327" s="868" t="s">
        <v>244</v>
      </c>
      <c r="E327" s="837" t="str">
        <f>IFERROR(IF(_xlfn.XLOOKUP(Imput[[#This Row],[RFC]],'Alta Proveedor'!D:D,'Alta Proveedor'!E:E)=0,"",_xlfn.XLOOKUP(Imput[[#This Row],[RFC]],'Alta Proveedor'!D:D,'Alta Proveedor'!E:E)),"")</f>
        <v>CADENA COMERCIAL OXXO</v>
      </c>
      <c r="F327" s="832" t="s">
        <v>1576</v>
      </c>
      <c r="G327" s="187">
        <v>1</v>
      </c>
      <c r="H327" s="1">
        <v>18.103999999999999</v>
      </c>
      <c r="I327" s="169">
        <f>Imput[[#This Row],[Cantidad]]*Imput[[#This Row],[Precio Unitario]]</f>
        <v>18.103999999999999</v>
      </c>
      <c r="J327" s="11">
        <f>((Imput[[#This Row],[Sub total]])*(0.16))</f>
        <v>2.8966400000000001</v>
      </c>
      <c r="K327" s="11">
        <v>0</v>
      </c>
      <c r="L327" s="169">
        <f>Imput[[#This Row],[Sub total]]+Imput[[#This Row],[IVA]]-Imput[[#This Row],[Retención / IEPS / Descuento]]</f>
        <v>21.000640000000001</v>
      </c>
      <c r="M327" s="844">
        <v>61.998080000000002</v>
      </c>
      <c r="N327" s="189" t="s">
        <v>123</v>
      </c>
      <c r="O327" s="1"/>
      <c r="P327" s="189" t="s">
        <v>1277</v>
      </c>
      <c r="Q327" s="190" t="s">
        <v>1278</v>
      </c>
      <c r="R327" s="188">
        <v>45862</v>
      </c>
      <c r="S327" s="193" t="s">
        <v>126</v>
      </c>
      <c r="T327" s="192"/>
      <c r="U327" s="829"/>
      <c r="V327" s="10" t="s">
        <v>3324</v>
      </c>
      <c r="W327" s="10" t="s">
        <v>3327</v>
      </c>
      <c r="X327" s="10"/>
      <c r="Y327" s="10"/>
      <c r="Z327" s="10"/>
      <c r="AA327" s="11"/>
      <c r="AB327" s="11"/>
      <c r="AD327" s="260"/>
    </row>
    <row r="328" spans="2:30" x14ac:dyDescent="0.3">
      <c r="B328" s="10" t="s">
        <v>290</v>
      </c>
      <c r="C328" s="315" t="s">
        <v>1769</v>
      </c>
      <c r="D328" s="868" t="s">
        <v>244</v>
      </c>
      <c r="E328" s="837" t="str">
        <f>IFERROR(IF(_xlfn.XLOOKUP(Imput[[#This Row],[RFC]],'Alta Proveedor'!D:D,'Alta Proveedor'!E:E)=0,"",_xlfn.XLOOKUP(Imput[[#This Row],[RFC]],'Alta Proveedor'!D:D,'Alta Proveedor'!E:E)),"")</f>
        <v>CADENA COMERCIAL OXXO</v>
      </c>
      <c r="F328" s="832" t="s">
        <v>1577</v>
      </c>
      <c r="G328" s="187">
        <v>1</v>
      </c>
      <c r="H328" s="1">
        <v>14.81</v>
      </c>
      <c r="I328" s="169">
        <f>Imput[[#This Row],[Cantidad]]*Imput[[#This Row],[Precio Unitario]]</f>
        <v>14.81</v>
      </c>
      <c r="J328" s="11">
        <f>((Imput[[#This Row],[Sub total]])*(0.08))</f>
        <v>1.1848000000000001</v>
      </c>
      <c r="K328" s="11">
        <v>0</v>
      </c>
      <c r="L328" s="169">
        <f>Imput[[#This Row],[Sub total]]+Imput[[#This Row],[IVA]]-Imput[[#This Row],[Retención / IEPS / Descuento]]</f>
        <v>15.994800000000001</v>
      </c>
      <c r="M328" s="844">
        <v>0</v>
      </c>
      <c r="N328" s="189" t="s">
        <v>123</v>
      </c>
      <c r="O328" s="1"/>
      <c r="P328" s="189" t="s">
        <v>1277</v>
      </c>
      <c r="Q328" s="190" t="s">
        <v>1278</v>
      </c>
      <c r="R328" s="188">
        <v>45862</v>
      </c>
      <c r="S328" s="193" t="s">
        <v>126</v>
      </c>
      <c r="T328" s="192"/>
      <c r="U328" s="829"/>
      <c r="V328" s="10" t="s">
        <v>3324</v>
      </c>
      <c r="W328" s="10" t="s">
        <v>3327</v>
      </c>
      <c r="X328" s="10"/>
      <c r="Y328" s="10"/>
      <c r="Z328" s="10"/>
      <c r="AA328" s="11"/>
      <c r="AB328" s="11"/>
      <c r="AD328" s="260"/>
    </row>
    <row r="329" spans="2:30" x14ac:dyDescent="0.3">
      <c r="B329" s="10" t="s">
        <v>290</v>
      </c>
      <c r="C329" s="315" t="s">
        <v>1769</v>
      </c>
      <c r="D329" s="868" t="s">
        <v>244</v>
      </c>
      <c r="E329" s="837" t="str">
        <f>IFERROR(IF(_xlfn.XLOOKUP(Imput[[#This Row],[RFC]],'Alta Proveedor'!D:D,'Alta Proveedor'!E:E)=0,"",_xlfn.XLOOKUP(Imput[[#This Row],[RFC]],'Alta Proveedor'!D:D,'Alta Proveedor'!E:E)),"")</f>
        <v>CADENA COMERCIAL OXXO</v>
      </c>
      <c r="F329" s="832" t="s">
        <v>1578</v>
      </c>
      <c r="G329" s="187">
        <v>1</v>
      </c>
      <c r="H329" s="1">
        <v>21.553999999999998</v>
      </c>
      <c r="I329" s="169">
        <f>Imput[[#This Row],[Cantidad]]*Imput[[#This Row],[Precio Unitario]]</f>
        <v>21.553999999999998</v>
      </c>
      <c r="J329" s="11">
        <f>((Imput[[#This Row],[Sub total]])*(0.16))</f>
        <v>3.4486399999999997</v>
      </c>
      <c r="K329" s="11">
        <v>0</v>
      </c>
      <c r="L329" s="169">
        <f>Imput[[#This Row],[Sub total]]+Imput[[#This Row],[IVA]]-Imput[[#This Row],[Retención / IEPS / Descuento]]</f>
        <v>25.00264</v>
      </c>
      <c r="M329" s="844">
        <v>0</v>
      </c>
      <c r="N329" s="189" t="s">
        <v>123</v>
      </c>
      <c r="O329" s="1"/>
      <c r="P329" s="189" t="s">
        <v>1277</v>
      </c>
      <c r="Q329" s="190" t="s">
        <v>1278</v>
      </c>
      <c r="R329" s="188">
        <v>45862</v>
      </c>
      <c r="S329" s="193" t="s">
        <v>126</v>
      </c>
      <c r="T329" s="192"/>
      <c r="U329" s="829"/>
      <c r="V329" s="10" t="s">
        <v>3324</v>
      </c>
      <c r="W329" s="10" t="s">
        <v>3327</v>
      </c>
      <c r="X329" s="10"/>
      <c r="Y329" s="10"/>
      <c r="Z329" s="10"/>
      <c r="AA329" s="11"/>
      <c r="AB329" s="11"/>
      <c r="AD329" s="260"/>
    </row>
    <row r="330" spans="2:30" x14ac:dyDescent="0.3">
      <c r="B330" s="10" t="s">
        <v>290</v>
      </c>
      <c r="C330" s="315" t="s">
        <v>1769</v>
      </c>
      <c r="D330" s="868" t="s">
        <v>244</v>
      </c>
      <c r="E330" s="837" t="str">
        <f>IFERROR(IF(_xlfn.XLOOKUP(Imput[[#This Row],[RFC]],'Alta Proveedor'!D:D,'Alta Proveedor'!E:E)=0,"",_xlfn.XLOOKUP(Imput[[#This Row],[RFC]],'Alta Proveedor'!D:D,'Alta Proveedor'!E:E)),"")</f>
        <v>CADENA COMERCIAL OXXO</v>
      </c>
      <c r="F330" s="832" t="s">
        <v>1579</v>
      </c>
      <c r="G330" s="187">
        <v>3</v>
      </c>
      <c r="H330" s="1">
        <v>22.843</v>
      </c>
      <c r="I330" s="169">
        <f>Imput[[#This Row],[Cantidad]]*Imput[[#This Row],[Precio Unitario]]</f>
        <v>68.528999999999996</v>
      </c>
      <c r="J330" s="11">
        <f>((Imput[[#This Row],[Sub total]])*(0.16))</f>
        <v>10.964639999999999</v>
      </c>
      <c r="K330" s="11">
        <v>0</v>
      </c>
      <c r="L330" s="169">
        <f>Imput[[#This Row],[Sub total]]+Imput[[#This Row],[IVA]]-Imput[[#This Row],[Retención / IEPS / Descuento]]</f>
        <v>79.493639999999999</v>
      </c>
      <c r="M330" s="844">
        <v>79.493639999999999</v>
      </c>
      <c r="N330" s="189" t="s">
        <v>123</v>
      </c>
      <c r="O330" s="1"/>
      <c r="P330" s="189" t="s">
        <v>1279</v>
      </c>
      <c r="Q330" s="190" t="s">
        <v>1280</v>
      </c>
      <c r="R330" s="188">
        <v>45862</v>
      </c>
      <c r="S330" s="193" t="s">
        <v>126</v>
      </c>
      <c r="T330" s="192"/>
      <c r="U330" s="829"/>
      <c r="V330" s="10" t="s">
        <v>3324</v>
      </c>
      <c r="W330" s="10" t="s">
        <v>3327</v>
      </c>
      <c r="X330" s="10"/>
      <c r="Y330" s="10"/>
      <c r="Z330" s="10"/>
      <c r="AA330" s="11"/>
      <c r="AB330" s="11"/>
      <c r="AD330" s="260"/>
    </row>
    <row r="331" spans="2:30" x14ac:dyDescent="0.3">
      <c r="B331" s="10" t="s">
        <v>290</v>
      </c>
      <c r="C331" s="315" t="s">
        <v>1769</v>
      </c>
      <c r="D331" s="868" t="s">
        <v>244</v>
      </c>
      <c r="E331" s="837" t="str">
        <f>IFERROR(IF(_xlfn.XLOOKUP(Imput[[#This Row],[RFC]],'Alta Proveedor'!D:D,'Alta Proveedor'!E:E)=0,"",_xlfn.XLOOKUP(Imput[[#This Row],[RFC]],'Alta Proveedor'!D:D,'Alta Proveedor'!E:E)),"")</f>
        <v>CADENA COMERCIAL OXXO</v>
      </c>
      <c r="F331" s="832" t="s">
        <v>1580</v>
      </c>
      <c r="G331" s="187">
        <v>3</v>
      </c>
      <c r="H331" s="1">
        <f>118.97/3</f>
        <v>39.656666666666666</v>
      </c>
      <c r="I331" s="169">
        <f>Imput[[#This Row],[Cantidad]]*Imput[[#This Row],[Precio Unitario]]</f>
        <v>118.97</v>
      </c>
      <c r="J331" s="11">
        <f>((Imput[[#This Row],[Sub total]])*(0.16))</f>
        <v>19.0352</v>
      </c>
      <c r="K331" s="11">
        <v>0</v>
      </c>
      <c r="L331" s="169">
        <f>Imput[[#This Row],[Sub total]]+Imput[[#This Row],[IVA]]-Imput[[#This Row],[Retención / IEPS / Descuento]]</f>
        <v>138.0052</v>
      </c>
      <c r="M331" s="844">
        <v>186.5052</v>
      </c>
      <c r="N331" s="189" t="s">
        <v>123</v>
      </c>
      <c r="O331" s="1"/>
      <c r="P331" s="189" t="s">
        <v>1281</v>
      </c>
      <c r="Q331" s="190" t="s">
        <v>1282</v>
      </c>
      <c r="R331" s="188">
        <v>45862</v>
      </c>
      <c r="S331" s="193" t="s">
        <v>126</v>
      </c>
      <c r="T331" s="192"/>
      <c r="U331" s="829"/>
      <c r="V331" s="10" t="s">
        <v>3324</v>
      </c>
      <c r="W331" s="10" t="s">
        <v>3327</v>
      </c>
      <c r="X331" s="10"/>
      <c r="Y331" s="10"/>
      <c r="Z331" s="10"/>
      <c r="AA331" s="11"/>
      <c r="AB331" s="11"/>
      <c r="AD331" s="260"/>
    </row>
    <row r="332" spans="2:30" x14ac:dyDescent="0.3">
      <c r="B332" s="10" t="s">
        <v>290</v>
      </c>
      <c r="C332" s="315" t="s">
        <v>1769</v>
      </c>
      <c r="D332" s="868" t="s">
        <v>244</v>
      </c>
      <c r="E332" s="837" t="str">
        <f>IFERROR(IF(_xlfn.XLOOKUP(Imput[[#This Row],[RFC]],'Alta Proveedor'!D:D,'Alta Proveedor'!E:E)=0,"",_xlfn.XLOOKUP(Imput[[#This Row],[RFC]],'Alta Proveedor'!D:D,'Alta Proveedor'!E:E)),"")</f>
        <v>CADENA COMERCIAL OXXO</v>
      </c>
      <c r="F332" s="832" t="s">
        <v>1230</v>
      </c>
      <c r="G332" s="187">
        <v>1</v>
      </c>
      <c r="H332" s="1">
        <f>48.5</f>
        <v>48.5</v>
      </c>
      <c r="I332" s="169">
        <f>Imput[[#This Row],[Cantidad]]*Imput[[#This Row],[Precio Unitario]]</f>
        <v>48.5</v>
      </c>
      <c r="J332" s="11">
        <v>0</v>
      </c>
      <c r="K332" s="11">
        <v>0</v>
      </c>
      <c r="L332" s="169">
        <f>Imput[[#This Row],[Sub total]]+Imput[[#This Row],[IVA]]-Imput[[#This Row],[Retención / IEPS / Descuento]]</f>
        <v>48.5</v>
      </c>
      <c r="M332" s="844">
        <v>0</v>
      </c>
      <c r="N332" s="189" t="s">
        <v>123</v>
      </c>
      <c r="O332" s="1"/>
      <c r="P332" s="189" t="s">
        <v>1281</v>
      </c>
      <c r="Q332" s="190" t="s">
        <v>1282</v>
      </c>
      <c r="R332" s="188">
        <v>45862</v>
      </c>
      <c r="S332" s="193" t="s">
        <v>126</v>
      </c>
      <c r="T332" s="192"/>
      <c r="U332" s="829"/>
      <c r="V332" s="10" t="s">
        <v>3324</v>
      </c>
      <c r="W332" s="10" t="s">
        <v>3327</v>
      </c>
      <c r="X332" s="10"/>
      <c r="Y332" s="10"/>
      <c r="Z332" s="10"/>
      <c r="AA332" s="11"/>
      <c r="AB332" s="11"/>
      <c r="AD332" s="260"/>
    </row>
    <row r="333" spans="2:30" x14ac:dyDescent="0.3">
      <c r="B333" s="10" t="s">
        <v>290</v>
      </c>
      <c r="C333" s="315" t="s">
        <v>2426</v>
      </c>
      <c r="D333" s="868" t="s">
        <v>164</v>
      </c>
      <c r="E333" s="837" t="str">
        <f>IFERROR(IF(_xlfn.XLOOKUP(Imput[[#This Row],[RFC]],'Alta Proveedor'!D:D,'Alta Proveedor'!E:E)=0,"",_xlfn.XLOOKUP(Imput[[#This Row],[RFC]],'Alta Proveedor'!D:D,'Alta Proveedor'!E:E)),"")</f>
        <v>HOME DEPOT MEXICO SUCURSAL THD-8730 TAMPICO</v>
      </c>
      <c r="F333" s="832" t="s">
        <v>1675</v>
      </c>
      <c r="G333" s="187">
        <v>1</v>
      </c>
      <c r="H333" s="1">
        <v>859.09</v>
      </c>
      <c r="I333" s="169">
        <f>Imput[[#This Row],[Cantidad]]*Imput[[#This Row],[Precio Unitario]]</f>
        <v>859.09</v>
      </c>
      <c r="J333" s="11">
        <f>((Imput[[#This Row],[Sub total]])*(0.16))</f>
        <v>137.45440000000002</v>
      </c>
      <c r="K333" s="11">
        <v>0</v>
      </c>
      <c r="L333" s="169">
        <f>Imput[[#This Row],[Sub total]]+Imput[[#This Row],[IVA]]-Imput[[#This Row],[Retención / IEPS / Descuento]]</f>
        <v>996.5444</v>
      </c>
      <c r="M333" s="844">
        <v>4511.6575999999995</v>
      </c>
      <c r="N333" s="189" t="s">
        <v>123</v>
      </c>
      <c r="O333" s="1"/>
      <c r="P333" s="189" t="s">
        <v>1296</v>
      </c>
      <c r="Q333" s="190" t="s">
        <v>1297</v>
      </c>
      <c r="R333" s="188">
        <v>45862</v>
      </c>
      <c r="S333" s="193" t="s">
        <v>126</v>
      </c>
      <c r="T333" s="192"/>
      <c r="U333" s="829"/>
      <c r="V333" s="10" t="s">
        <v>1012</v>
      </c>
      <c r="W333" s="10" t="s">
        <v>3795</v>
      </c>
      <c r="X333" s="10"/>
      <c r="Y333" s="10"/>
      <c r="Z333" s="10"/>
      <c r="AA333" s="11"/>
      <c r="AB333" s="11"/>
      <c r="AD333" s="260"/>
    </row>
    <row r="334" spans="2:30" x14ac:dyDescent="0.3">
      <c r="B334" s="10" t="s">
        <v>290</v>
      </c>
      <c r="C334" s="315" t="s">
        <v>2709</v>
      </c>
      <c r="D334" s="868" t="s">
        <v>164</v>
      </c>
      <c r="E334" s="837" t="str">
        <f>IFERROR(IF(_xlfn.XLOOKUP(Imput[[#This Row],[RFC]],'Alta Proveedor'!D:D,'Alta Proveedor'!E:E)=0,"",_xlfn.XLOOKUP(Imput[[#This Row],[RFC]],'Alta Proveedor'!D:D,'Alta Proveedor'!E:E)),"")</f>
        <v>HOME DEPOT MEXICO SUCURSAL THD-8730 TAMPICO</v>
      </c>
      <c r="F334" s="832" t="s">
        <v>249</v>
      </c>
      <c r="G334" s="187">
        <v>1</v>
      </c>
      <c r="H334" s="1">
        <v>2307.09</v>
      </c>
      <c r="I334" s="169">
        <f>Imput[[#This Row],[Cantidad]]*Imput[[#This Row],[Precio Unitario]]</f>
        <v>2307.09</v>
      </c>
      <c r="J334" s="11">
        <f>((Imput[[#This Row],[Sub total]])*(0.16))</f>
        <v>369.13440000000003</v>
      </c>
      <c r="K334" s="11">
        <v>0</v>
      </c>
      <c r="L334" s="169">
        <f>Imput[[#This Row],[Sub total]]+Imput[[#This Row],[IVA]]-Imput[[#This Row],[Retención / IEPS / Descuento]]</f>
        <v>2676.2244000000001</v>
      </c>
      <c r="M334" s="844">
        <v>0</v>
      </c>
      <c r="N334" s="189" t="s">
        <v>123</v>
      </c>
      <c r="O334" s="1"/>
      <c r="P334" s="189" t="s">
        <v>1296</v>
      </c>
      <c r="Q334" s="190" t="s">
        <v>1297</v>
      </c>
      <c r="R334" s="188">
        <v>45862</v>
      </c>
      <c r="S334" s="193" t="s">
        <v>126</v>
      </c>
      <c r="T334" s="192"/>
      <c r="U334" s="829"/>
      <c r="V334" s="10" t="s">
        <v>1012</v>
      </c>
      <c r="W334" s="10" t="s">
        <v>3795</v>
      </c>
      <c r="X334" s="10"/>
      <c r="Y334" s="10"/>
      <c r="Z334" s="10"/>
      <c r="AA334" s="11"/>
      <c r="AB334" s="11"/>
      <c r="AD334" s="260"/>
    </row>
    <row r="335" spans="2:30" x14ac:dyDescent="0.3">
      <c r="B335" s="10" t="s">
        <v>290</v>
      </c>
      <c r="C335" s="315" t="s">
        <v>2709</v>
      </c>
      <c r="D335" s="868" t="s">
        <v>164</v>
      </c>
      <c r="E335" s="837" t="str">
        <f>IFERROR(IF(_xlfn.XLOOKUP(Imput[[#This Row],[RFC]],'Alta Proveedor'!D:D,'Alta Proveedor'!E:E)=0,"",_xlfn.XLOOKUP(Imput[[#This Row],[RFC]],'Alta Proveedor'!D:D,'Alta Proveedor'!E:E)),"")</f>
        <v>HOME DEPOT MEXICO SUCURSAL THD-8730 TAMPICO</v>
      </c>
      <c r="F335" s="832" t="s">
        <v>2910</v>
      </c>
      <c r="G335" s="187">
        <v>8</v>
      </c>
      <c r="H335" s="1">
        <f>168.97/8</f>
        <v>21.12125</v>
      </c>
      <c r="I335" s="169">
        <f>Imput[[#This Row],[Cantidad]]*Imput[[#This Row],[Precio Unitario]]</f>
        <v>168.97</v>
      </c>
      <c r="J335" s="11">
        <f>((Imput[[#This Row],[Sub total]])*(0.16))</f>
        <v>27.0352</v>
      </c>
      <c r="K335" s="11">
        <v>0</v>
      </c>
      <c r="L335" s="169">
        <f>Imput[[#This Row],[Sub total]]+Imput[[#This Row],[IVA]]-Imput[[#This Row],[Retención / IEPS / Descuento]]</f>
        <v>196.0052</v>
      </c>
      <c r="M335" s="844">
        <v>0</v>
      </c>
      <c r="N335" s="189" t="s">
        <v>123</v>
      </c>
      <c r="O335" s="1"/>
      <c r="P335" s="189" t="s">
        <v>1296</v>
      </c>
      <c r="Q335" s="190" t="s">
        <v>1297</v>
      </c>
      <c r="R335" s="188">
        <v>45862</v>
      </c>
      <c r="S335" s="193" t="s">
        <v>126</v>
      </c>
      <c r="T335" s="192"/>
      <c r="U335" s="829"/>
      <c r="V335" s="10" t="s">
        <v>1012</v>
      </c>
      <c r="W335" s="10" t="s">
        <v>3795</v>
      </c>
      <c r="X335" s="10"/>
      <c r="Y335" s="10"/>
      <c r="Z335" s="10"/>
      <c r="AA335" s="11"/>
      <c r="AB335" s="11"/>
      <c r="AD335" s="260"/>
    </row>
    <row r="336" spans="2:30" x14ac:dyDescent="0.3">
      <c r="B336" s="10" t="s">
        <v>290</v>
      </c>
      <c r="C336" s="315" t="s">
        <v>2514</v>
      </c>
      <c r="D336" s="868" t="s">
        <v>164</v>
      </c>
      <c r="E336" s="837" t="str">
        <f>IFERROR(IF(_xlfn.XLOOKUP(Imput[[#This Row],[RFC]],'Alta Proveedor'!D:D,'Alta Proveedor'!E:E)=0,"",_xlfn.XLOOKUP(Imput[[#This Row],[RFC]],'Alta Proveedor'!D:D,'Alta Proveedor'!E:E)),"")</f>
        <v>HOME DEPOT MEXICO SUCURSAL THD-8730 TAMPICO</v>
      </c>
      <c r="F336" s="832" t="s">
        <v>1676</v>
      </c>
      <c r="G336" s="187">
        <v>2</v>
      </c>
      <c r="H336" s="1">
        <f>437.62/2</f>
        <v>218.81</v>
      </c>
      <c r="I336" s="169">
        <f>Imput[[#This Row],[Cantidad]]*Imput[[#This Row],[Precio Unitario]]</f>
        <v>437.62</v>
      </c>
      <c r="J336" s="11">
        <f>((Imput[[#This Row],[Sub total]])*(0.16))</f>
        <v>70.019199999999998</v>
      </c>
      <c r="K336" s="11">
        <v>0</v>
      </c>
      <c r="L336" s="169">
        <f>Imput[[#This Row],[Sub total]]+Imput[[#This Row],[IVA]]-Imput[[#This Row],[Retención / IEPS / Descuento]]</f>
        <v>507.63920000000002</v>
      </c>
      <c r="M336" s="844">
        <v>0</v>
      </c>
      <c r="N336" s="189" t="s">
        <v>123</v>
      </c>
      <c r="O336" s="1"/>
      <c r="P336" s="189" t="s">
        <v>1296</v>
      </c>
      <c r="Q336" s="190" t="s">
        <v>1297</v>
      </c>
      <c r="R336" s="188">
        <v>45862</v>
      </c>
      <c r="S336" s="193" t="s">
        <v>126</v>
      </c>
      <c r="T336" s="192"/>
      <c r="U336" s="829"/>
      <c r="V336" s="10" t="s">
        <v>1012</v>
      </c>
      <c r="W336" s="10" t="s">
        <v>3795</v>
      </c>
      <c r="X336" s="10"/>
      <c r="Y336" s="10"/>
      <c r="Z336" s="10"/>
      <c r="AA336" s="11"/>
      <c r="AB336" s="11"/>
      <c r="AD336" s="260"/>
    </row>
    <row r="337" spans="2:30" x14ac:dyDescent="0.3">
      <c r="B337" s="10" t="s">
        <v>290</v>
      </c>
      <c r="C337" s="315" t="s">
        <v>2709</v>
      </c>
      <c r="D337" s="868" t="s">
        <v>164</v>
      </c>
      <c r="E337" s="837" t="str">
        <f>IFERROR(IF(_xlfn.XLOOKUP(Imput[[#This Row],[RFC]],'Alta Proveedor'!D:D,'Alta Proveedor'!E:E)=0,"",_xlfn.XLOOKUP(Imput[[#This Row],[RFC]],'Alta Proveedor'!D:D,'Alta Proveedor'!E:E)),"")</f>
        <v>HOME DEPOT MEXICO SUCURSAL THD-8730 TAMPICO</v>
      </c>
      <c r="F337" s="832" t="s">
        <v>285</v>
      </c>
      <c r="G337" s="187">
        <v>2</v>
      </c>
      <c r="H337" s="1">
        <f>116.59/2</f>
        <v>58.295000000000002</v>
      </c>
      <c r="I337" s="169">
        <f>Imput[[#This Row],[Cantidad]]*Imput[[#This Row],[Precio Unitario]]</f>
        <v>116.59</v>
      </c>
      <c r="J337" s="11">
        <f>((Imput[[#This Row],[Sub total]])*(0.16))</f>
        <v>18.654400000000003</v>
      </c>
      <c r="K337" s="11">
        <v>0</v>
      </c>
      <c r="L337" s="169">
        <f>Imput[[#This Row],[Sub total]]+Imput[[#This Row],[IVA]]-Imput[[#This Row],[Retención / IEPS / Descuento]]</f>
        <v>135.24440000000001</v>
      </c>
      <c r="M337" s="844">
        <v>0</v>
      </c>
      <c r="N337" s="189" t="s">
        <v>123</v>
      </c>
      <c r="O337" s="1"/>
      <c r="P337" s="189" t="s">
        <v>1296</v>
      </c>
      <c r="Q337" s="190" t="s">
        <v>1297</v>
      </c>
      <c r="R337" s="188">
        <v>45862</v>
      </c>
      <c r="S337" s="193" t="s">
        <v>126</v>
      </c>
      <c r="T337" s="192"/>
      <c r="U337" s="829"/>
      <c r="V337" s="10" t="s">
        <v>1012</v>
      </c>
      <c r="W337" s="10" t="s">
        <v>3795</v>
      </c>
      <c r="X337" s="10"/>
      <c r="Y337" s="10"/>
      <c r="Z337" s="10"/>
      <c r="AA337" s="11"/>
      <c r="AB337" s="11"/>
      <c r="AD337" s="260"/>
    </row>
    <row r="338" spans="2:30" x14ac:dyDescent="0.3">
      <c r="B338" s="10" t="s">
        <v>290</v>
      </c>
      <c r="C338" s="315" t="s">
        <v>1767</v>
      </c>
      <c r="D338" s="868" t="s">
        <v>1321</v>
      </c>
      <c r="E338" s="837" t="str">
        <f>IFERROR(IF(_xlfn.XLOOKUP(Imput[[#This Row],[RFC]],'Alta Proveedor'!D:D,'Alta Proveedor'!E:E)=0,"",_xlfn.XLOOKUP(Imput[[#This Row],[RFC]],'Alta Proveedor'!D:D,'Alta Proveedor'!E:E)),"")</f>
        <v>SERVICIO DE GASOLINERIA LEPACABA (COMBUSTIBLES)</v>
      </c>
      <c r="F338" s="832" t="s">
        <v>1114</v>
      </c>
      <c r="G338" s="187">
        <v>67.087999999999994</v>
      </c>
      <c r="H338" s="1">
        <f>1490.14/Imput[[#This Row],[Cantidad]]</f>
        <v>22.211721917481519</v>
      </c>
      <c r="I338" s="169">
        <f>Imput[[#This Row],[Cantidad]]*Imput[[#This Row],[Precio Unitario]]</f>
        <v>1490.14</v>
      </c>
      <c r="J338" s="11">
        <v>233.35</v>
      </c>
      <c r="K338" s="11">
        <v>0</v>
      </c>
      <c r="L338" s="169">
        <f>Imput[[#This Row],[Sub total]]+Imput[[#This Row],[IVA]]-Imput[[#This Row],[Retención / IEPS / Descuento]]</f>
        <v>1723.49</v>
      </c>
      <c r="M338" s="844">
        <v>1723.49</v>
      </c>
      <c r="N338" s="189" t="s">
        <v>123</v>
      </c>
      <c r="O338" s="1"/>
      <c r="P338" s="189" t="s">
        <v>1319</v>
      </c>
      <c r="Q338" s="190" t="s">
        <v>1320</v>
      </c>
      <c r="R338" s="188">
        <v>45862</v>
      </c>
      <c r="S338" s="193" t="s">
        <v>126</v>
      </c>
      <c r="T338" s="192"/>
      <c r="U338" s="829"/>
      <c r="V338" s="10" t="s">
        <v>3786</v>
      </c>
      <c r="W338" s="10" t="s">
        <v>3787</v>
      </c>
      <c r="X338" s="10"/>
      <c r="Y338" s="10"/>
      <c r="Z338" s="10"/>
      <c r="AA338" s="11"/>
      <c r="AB338" s="11"/>
      <c r="AD338" s="260"/>
    </row>
    <row r="339" spans="2:30" x14ac:dyDescent="0.3">
      <c r="B339" s="10" t="s">
        <v>290</v>
      </c>
      <c r="C339" s="549" t="s">
        <v>2437</v>
      </c>
      <c r="D339" s="868" t="s">
        <v>307</v>
      </c>
      <c r="E339" s="837" t="str">
        <f>IFERROR(IF(_xlfn.XLOOKUP(Imput[[#This Row],[RFC]],'Alta Proveedor'!D:D,'Alta Proveedor'!E:E)=0,"",_xlfn.XLOOKUP(Imput[[#This Row],[RFC]],'Alta Proveedor'!D:D,'Alta Proveedor'!E:E)),"")</f>
        <v>LUIS ALBERTO VALDEZ DEL ANGEL</v>
      </c>
      <c r="F339" s="832" t="s">
        <v>1663</v>
      </c>
      <c r="G339" s="187">
        <v>400</v>
      </c>
      <c r="H339" s="1">
        <f>4137.93/Imput[[#This Row],[Cantidad]]</f>
        <v>10.344825</v>
      </c>
      <c r="I339" s="169">
        <f>Imput[[#This Row],[Cantidad]]*Imput[[#This Row],[Precio Unitario]]</f>
        <v>4137.93</v>
      </c>
      <c r="J339" s="11">
        <f>((Imput[[#This Row],[Sub total]])*(0.16))</f>
        <v>662.06880000000001</v>
      </c>
      <c r="K339" s="11">
        <v>0</v>
      </c>
      <c r="L339" s="169">
        <f>Imput[[#This Row],[Sub total]]+Imput[[#This Row],[IVA]]-Imput[[#This Row],[Retención / IEPS / Descuento]]</f>
        <v>4799.9988000000003</v>
      </c>
      <c r="M339" s="844">
        <v>4799.9988000000003</v>
      </c>
      <c r="N339" s="189" t="s">
        <v>123</v>
      </c>
      <c r="O339" s="1"/>
      <c r="P339" s="189" t="s">
        <v>1260</v>
      </c>
      <c r="Q339" s="190" t="s">
        <v>1261</v>
      </c>
      <c r="R339" s="188">
        <v>45862</v>
      </c>
      <c r="S339" s="193" t="s">
        <v>126</v>
      </c>
      <c r="T339" s="192"/>
      <c r="U339" s="829"/>
      <c r="V339" s="10" t="s">
        <v>1012</v>
      </c>
      <c r="W339" s="10" t="s">
        <v>3795</v>
      </c>
      <c r="X339" s="10"/>
      <c r="Y339" s="10"/>
      <c r="Z339" s="10"/>
      <c r="AA339" s="11"/>
      <c r="AB339" s="11"/>
      <c r="AD339" s="260"/>
    </row>
    <row r="340" spans="2:30" x14ac:dyDescent="0.3">
      <c r="B340" s="10" t="s">
        <v>290</v>
      </c>
      <c r="C340" s="315" t="s">
        <v>2431</v>
      </c>
      <c r="D340" s="868" t="s">
        <v>307</v>
      </c>
      <c r="E340" s="837" t="str">
        <f>IFERROR(IF(_xlfn.XLOOKUP(Imput[[#This Row],[RFC]],'Alta Proveedor'!D:D,'Alta Proveedor'!E:E)=0,"",_xlfn.XLOOKUP(Imput[[#This Row],[RFC]],'Alta Proveedor'!D:D,'Alta Proveedor'!E:E)),"")</f>
        <v>LUIS ALBERTO VALDEZ DEL ANGEL</v>
      </c>
      <c r="F340" s="832" t="s">
        <v>1691</v>
      </c>
      <c r="G340" s="187">
        <v>6</v>
      </c>
      <c r="H340" s="1">
        <v>362.06830000000002</v>
      </c>
      <c r="I340" s="169">
        <f>Imput[[#This Row],[Cantidad]]*Imput[[#This Row],[Precio Unitario]]</f>
        <v>2172.4098000000004</v>
      </c>
      <c r="J340" s="11">
        <f>((Imput[[#This Row],[Sub total]])*(0.16))</f>
        <v>347.58556800000008</v>
      </c>
      <c r="K340" s="11">
        <v>0</v>
      </c>
      <c r="L340" s="169">
        <f>Imput[[#This Row],[Sub total]]+Imput[[#This Row],[IVA]]-Imput[[#This Row],[Retención / IEPS / Descuento]]</f>
        <v>2519.9953680000003</v>
      </c>
      <c r="M340" s="844">
        <v>2519.9953680000003</v>
      </c>
      <c r="N340" s="189" t="s">
        <v>123</v>
      </c>
      <c r="O340" s="1"/>
      <c r="P340" s="189" t="s">
        <v>1327</v>
      </c>
      <c r="Q340" s="190" t="s">
        <v>1328</v>
      </c>
      <c r="R340" s="188">
        <v>45862</v>
      </c>
      <c r="S340" s="193" t="s">
        <v>126</v>
      </c>
      <c r="T340" s="192"/>
      <c r="U340" s="829"/>
      <c r="V340" s="10" t="s">
        <v>1012</v>
      </c>
      <c r="W340" s="10" t="s">
        <v>513</v>
      </c>
      <c r="X340" s="10"/>
      <c r="Y340" s="10"/>
      <c r="Z340" s="10"/>
      <c r="AA340" s="11"/>
      <c r="AB340" s="11"/>
      <c r="AD340" s="260"/>
    </row>
    <row r="341" spans="2:30" x14ac:dyDescent="0.3">
      <c r="B341" s="10" t="s">
        <v>290</v>
      </c>
      <c r="C341" s="315" t="s">
        <v>1747</v>
      </c>
      <c r="D341" s="868" t="s">
        <v>1239</v>
      </c>
      <c r="E341" s="837" t="str">
        <f>IFERROR(IF(_xlfn.XLOOKUP(Imput[[#This Row],[RFC]],'Alta Proveedor'!D:D,'Alta Proveedor'!E:E)=0,"",_xlfn.XLOOKUP(Imput[[#This Row],[RFC]],'Alta Proveedor'!D:D,'Alta Proveedor'!E:E)),"")</f>
        <v>HOTEL GRAND ROYAL TAMPICO (HOSPEDAJE)</v>
      </c>
      <c r="F341" s="832" t="s">
        <v>1241</v>
      </c>
      <c r="G341" s="187">
        <v>1</v>
      </c>
      <c r="H341" s="1">
        <v>6120.7</v>
      </c>
      <c r="I341" s="169">
        <f>Imput[[#This Row],[Cantidad]]*Imput[[#This Row],[Precio Unitario]]</f>
        <v>6120.7</v>
      </c>
      <c r="J341" s="11">
        <f>((Imput[[#This Row],[Sub total]])*(0.16+0.03))</f>
        <v>1162.933</v>
      </c>
      <c r="K341" s="11">
        <v>0</v>
      </c>
      <c r="L341" s="169">
        <f>Imput[[#This Row],[Sub total]]+Imput[[#This Row],[IVA]]-Imput[[#This Row],[Retención / IEPS / Descuento]]</f>
        <v>7283.6329999999998</v>
      </c>
      <c r="M341" s="844">
        <v>7283.6329999999998</v>
      </c>
      <c r="N341" s="189" t="s">
        <v>123</v>
      </c>
      <c r="O341" s="1"/>
      <c r="P341" s="189" t="s">
        <v>1237</v>
      </c>
      <c r="Q341" s="190" t="s">
        <v>1238</v>
      </c>
      <c r="R341" s="188">
        <v>45862</v>
      </c>
      <c r="S341" s="193" t="s">
        <v>126</v>
      </c>
      <c r="T341" s="192"/>
      <c r="U341" s="829"/>
      <c r="V341" s="10" t="s">
        <v>3324</v>
      </c>
      <c r="W341" s="10" t="s">
        <v>3801</v>
      </c>
      <c r="X341" s="10"/>
      <c r="Y341" s="10"/>
      <c r="Z341" s="10"/>
      <c r="AA341" s="11"/>
      <c r="AB341" s="11"/>
      <c r="AD341" s="260"/>
    </row>
    <row r="342" spans="2:30" x14ac:dyDescent="0.3">
      <c r="B342" s="10" t="s">
        <v>290</v>
      </c>
      <c r="C342" s="315" t="s">
        <v>1767</v>
      </c>
      <c r="D342" s="868" t="s">
        <v>1252</v>
      </c>
      <c r="E342" s="837" t="str">
        <f>IFERROR(IF(_xlfn.XLOOKUP(Imput[[#This Row],[RFC]],'Alta Proveedor'!D:D,'Alta Proveedor'!E:E)=0,"",_xlfn.XLOOKUP(Imput[[#This Row],[RFC]],'Alta Proveedor'!D:D,'Alta Proveedor'!E:E)),"")</f>
        <v>SERVICIO DE GASOLINERA TAMAULIPAS (COMBUSTIBLES)</v>
      </c>
      <c r="F342" s="832" t="s">
        <v>1114</v>
      </c>
      <c r="G342" s="187">
        <v>65.094999999999999</v>
      </c>
      <c r="H342" s="1">
        <f>1434.65/Imput[[#This Row],[Cantidad]]</f>
        <v>22.03932713726093</v>
      </c>
      <c r="I342" s="169">
        <f>Imput[[#This Row],[Cantidad]]*Imput[[#This Row],[Precio Unitario]]</f>
        <v>1434.65</v>
      </c>
      <c r="J342" s="11">
        <v>224.62</v>
      </c>
      <c r="K342" s="11">
        <v>0</v>
      </c>
      <c r="L342" s="169">
        <f>Imput[[#This Row],[Sub total]]+Imput[[#This Row],[IVA]]-Imput[[#This Row],[Retención / IEPS / Descuento]]</f>
        <v>1659.27</v>
      </c>
      <c r="M342" s="844">
        <v>1659.27</v>
      </c>
      <c r="N342" s="189" t="s">
        <v>123</v>
      </c>
      <c r="O342" s="1"/>
      <c r="P342" s="189" t="s">
        <v>1254</v>
      </c>
      <c r="Q342" s="190" t="s">
        <v>1255</v>
      </c>
      <c r="R342" s="188">
        <v>45862</v>
      </c>
      <c r="S342" s="193" t="s">
        <v>126</v>
      </c>
      <c r="T342" s="192"/>
      <c r="U342" s="829"/>
      <c r="V342" s="10" t="s">
        <v>3786</v>
      </c>
      <c r="W342" s="10" t="s">
        <v>3802</v>
      </c>
      <c r="X342" s="10"/>
      <c r="Y342" s="10"/>
      <c r="Z342" s="10"/>
      <c r="AA342" s="11"/>
      <c r="AB342" s="11"/>
      <c r="AD342" s="260"/>
    </row>
    <row r="343" spans="2:30" x14ac:dyDescent="0.3">
      <c r="B343" s="10" t="s">
        <v>290</v>
      </c>
      <c r="C343" s="315" t="s">
        <v>2335</v>
      </c>
      <c r="D343" s="868" t="s">
        <v>3119</v>
      </c>
      <c r="E343" s="837" t="str">
        <f>IFERROR(IF(_xlfn.XLOOKUP(Imput[[#This Row],[RFC]],'Alta Proveedor'!D:D,'Alta Proveedor'!E:E)=0,"",_xlfn.XLOOKUP(Imput[[#This Row],[RFC]],'Alta Proveedor'!D:D,'Alta Proveedor'!E:E)),"")</f>
        <v>Nomina-OPERACIÓN</v>
      </c>
      <c r="F343" s="836" t="s">
        <v>3144</v>
      </c>
      <c r="G343" s="187">
        <v>1</v>
      </c>
      <c r="H343" s="1">
        <v>5900</v>
      </c>
      <c r="I343" s="169">
        <f>Imput[[#This Row],[Cantidad]]*Imput[[#This Row],[Precio Unitario]]</f>
        <v>5900</v>
      </c>
      <c r="J343" s="11">
        <f>Imput[[#This Row],[Sub total]]*0.08</f>
        <v>472</v>
      </c>
      <c r="K343" s="11">
        <v>0</v>
      </c>
      <c r="L343" s="169">
        <f>Imput[[#This Row],[Sub total]]+Imput[[#This Row],[IVA]]-Imput[[#This Row],[Retención / IEPS / Descuento]]</f>
        <v>6372</v>
      </c>
      <c r="M343" s="844">
        <v>6372</v>
      </c>
      <c r="N343" s="189"/>
      <c r="O343" s="1"/>
      <c r="P343" s="189"/>
      <c r="Q343" s="190"/>
      <c r="R343" s="188">
        <v>45862</v>
      </c>
      <c r="S343" s="193"/>
      <c r="T343" s="192"/>
      <c r="U343" s="867" t="s">
        <v>3225</v>
      </c>
      <c r="V343" s="10" t="s">
        <v>3108</v>
      </c>
      <c r="W343" s="10" t="s">
        <v>3793</v>
      </c>
      <c r="X343" s="10"/>
      <c r="Y343" s="10"/>
      <c r="Z343" s="10"/>
      <c r="AA343" s="11"/>
      <c r="AB343" s="11"/>
      <c r="AD343" s="260"/>
    </row>
    <row r="344" spans="2:30" x14ac:dyDescent="0.3">
      <c r="B344" s="10" t="s">
        <v>290</v>
      </c>
      <c r="C344" s="315" t="s">
        <v>2469</v>
      </c>
      <c r="D344" s="868" t="s">
        <v>3119</v>
      </c>
      <c r="E344" s="837" t="str">
        <f>IFERROR(IF(_xlfn.XLOOKUP(Imput[[#This Row],[RFC]],'Alta Proveedor'!D:D,'Alta Proveedor'!E:E)=0,"",_xlfn.XLOOKUP(Imput[[#This Row],[RFC]],'Alta Proveedor'!D:D,'Alta Proveedor'!E:E)),"")</f>
        <v>Nomina-OPERACIÓN</v>
      </c>
      <c r="F344" s="836" t="s">
        <v>3145</v>
      </c>
      <c r="G344" s="187">
        <v>1</v>
      </c>
      <c r="H344" s="1">
        <v>10000</v>
      </c>
      <c r="I344" s="169">
        <f>Imput[[#This Row],[Cantidad]]*Imput[[#This Row],[Precio Unitario]]</f>
        <v>10000</v>
      </c>
      <c r="J344" s="11">
        <f>Imput[[#This Row],[Sub total]]*0.08</f>
        <v>800</v>
      </c>
      <c r="K344" s="11">
        <v>0</v>
      </c>
      <c r="L344" s="169">
        <f>Imput[[#This Row],[Sub total]]+Imput[[#This Row],[IVA]]-Imput[[#This Row],[Retención / IEPS / Descuento]]</f>
        <v>10800</v>
      </c>
      <c r="M344" s="844">
        <v>10800</v>
      </c>
      <c r="N344" s="189"/>
      <c r="O344" s="1"/>
      <c r="P344" s="189"/>
      <c r="Q344" s="190"/>
      <c r="R344" s="188">
        <v>45862</v>
      </c>
      <c r="S344" s="193"/>
      <c r="T344" s="192"/>
      <c r="U344" s="867" t="s">
        <v>3225</v>
      </c>
      <c r="V344" s="10" t="s">
        <v>3789</v>
      </c>
      <c r="W344" s="10" t="s">
        <v>3806</v>
      </c>
      <c r="X344" s="10"/>
      <c r="Y344" s="10"/>
      <c r="Z344" s="10"/>
      <c r="AA344" s="11"/>
      <c r="AB344" s="11"/>
      <c r="AD344" s="260"/>
    </row>
    <row r="345" spans="2:30" x14ac:dyDescent="0.3">
      <c r="B345" s="10" t="s">
        <v>290</v>
      </c>
      <c r="C345" s="315" t="s">
        <v>2469</v>
      </c>
      <c r="D345" s="868" t="s">
        <v>3119</v>
      </c>
      <c r="E345" s="837" t="str">
        <f>IFERROR(IF(_xlfn.XLOOKUP(Imput[[#This Row],[RFC]],'Alta Proveedor'!D:D,'Alta Proveedor'!E:E)=0,"",_xlfn.XLOOKUP(Imput[[#This Row],[RFC]],'Alta Proveedor'!D:D,'Alta Proveedor'!E:E)),"")</f>
        <v>Nomina-OPERACIÓN</v>
      </c>
      <c r="F345" s="836" t="s">
        <v>3146</v>
      </c>
      <c r="G345" s="187">
        <v>1</v>
      </c>
      <c r="H345" s="1">
        <v>4300</v>
      </c>
      <c r="I345" s="169">
        <f>Imput[[#This Row],[Cantidad]]*Imput[[#This Row],[Precio Unitario]]</f>
        <v>4300</v>
      </c>
      <c r="J345" s="11">
        <f>Imput[[#This Row],[Sub total]]*0.08</f>
        <v>344</v>
      </c>
      <c r="K345" s="11">
        <v>0</v>
      </c>
      <c r="L345" s="169">
        <f>Imput[[#This Row],[Sub total]]+Imput[[#This Row],[IVA]]-Imput[[#This Row],[Retención / IEPS / Descuento]]</f>
        <v>4644</v>
      </c>
      <c r="M345" s="844">
        <v>4644</v>
      </c>
      <c r="N345" s="189"/>
      <c r="O345" s="1"/>
      <c r="P345" s="189"/>
      <c r="Q345" s="190"/>
      <c r="R345" s="188">
        <v>45862</v>
      </c>
      <c r="S345" s="193"/>
      <c r="T345" s="192"/>
      <c r="U345" s="867" t="s">
        <v>3225</v>
      </c>
      <c r="V345" s="10" t="s">
        <v>3789</v>
      </c>
      <c r="W345" s="10" t="s">
        <v>3806</v>
      </c>
      <c r="X345" s="10"/>
      <c r="Y345" s="10"/>
      <c r="Z345" s="10"/>
      <c r="AA345" s="11"/>
      <c r="AB345" s="11"/>
      <c r="AD345" s="260"/>
    </row>
    <row r="346" spans="2:30" x14ac:dyDescent="0.3">
      <c r="B346" s="10" t="s">
        <v>290</v>
      </c>
      <c r="C346" s="315" t="s">
        <v>2335</v>
      </c>
      <c r="D346" s="868" t="s">
        <v>3119</v>
      </c>
      <c r="E346" s="837" t="str">
        <f>IFERROR(IF(_xlfn.XLOOKUP(Imput[[#This Row],[RFC]],'Alta Proveedor'!D:D,'Alta Proveedor'!E:E)=0,"",_xlfn.XLOOKUP(Imput[[#This Row],[RFC]],'Alta Proveedor'!D:D,'Alta Proveedor'!E:E)),"")</f>
        <v>Nomina-OPERACIÓN</v>
      </c>
      <c r="F346" s="836" t="s">
        <v>3147</v>
      </c>
      <c r="G346" s="187">
        <v>1</v>
      </c>
      <c r="H346" s="1">
        <v>12000</v>
      </c>
      <c r="I346" s="169">
        <f>Imput[[#This Row],[Cantidad]]*Imput[[#This Row],[Precio Unitario]]</f>
        <v>12000</v>
      </c>
      <c r="J346" s="11">
        <f>Imput[[#This Row],[Sub total]]*0.08</f>
        <v>960</v>
      </c>
      <c r="K346" s="11">
        <v>0</v>
      </c>
      <c r="L346" s="169">
        <f>Imput[[#This Row],[Sub total]]+Imput[[#This Row],[IVA]]-Imput[[#This Row],[Retención / IEPS / Descuento]]</f>
        <v>12960</v>
      </c>
      <c r="M346" s="844">
        <v>12960</v>
      </c>
      <c r="N346" s="189"/>
      <c r="O346" s="1"/>
      <c r="P346" s="189"/>
      <c r="Q346" s="190"/>
      <c r="R346" s="188">
        <v>45862</v>
      </c>
      <c r="S346" s="193"/>
      <c r="T346" s="192"/>
      <c r="U346" s="867" t="s">
        <v>3225</v>
      </c>
      <c r="V346" s="10" t="s">
        <v>3108</v>
      </c>
      <c r="W346" s="10" t="s">
        <v>3793</v>
      </c>
      <c r="X346" s="10"/>
      <c r="Y346" s="10"/>
      <c r="Z346" s="10"/>
      <c r="AA346" s="11"/>
      <c r="AB346" s="11"/>
      <c r="AD346" s="260"/>
    </row>
    <row r="347" spans="2:30" x14ac:dyDescent="0.3">
      <c r="B347" s="10" t="s">
        <v>290</v>
      </c>
      <c r="C347" s="315" t="s">
        <v>2429</v>
      </c>
      <c r="D347" s="868" t="s">
        <v>164</v>
      </c>
      <c r="E347" s="837" t="str">
        <f>IFERROR(IF(_xlfn.XLOOKUP(Imput[[#This Row],[RFC]],'Alta Proveedor'!D:D,'Alta Proveedor'!E:E)=0,"",_xlfn.XLOOKUP(Imput[[#This Row],[RFC]],'Alta Proveedor'!D:D,'Alta Proveedor'!E:E)),"")</f>
        <v>HOME DEPOT MEXICO SUCURSAL THD-8730 TAMPICO</v>
      </c>
      <c r="F347" s="832" t="s">
        <v>165</v>
      </c>
      <c r="G347" s="187">
        <v>2</v>
      </c>
      <c r="H347" s="1">
        <f>488.28/2</f>
        <v>244.14</v>
      </c>
      <c r="I347" s="169">
        <f>Imput[[#This Row],[Cantidad]]*Imput[[#This Row],[Precio Unitario]]</f>
        <v>488.28</v>
      </c>
      <c r="J347" s="11">
        <f>((Imput[[#This Row],[Sub total]])*(0.16))</f>
        <v>78.124799999999993</v>
      </c>
      <c r="K347" s="11">
        <v>0</v>
      </c>
      <c r="L347" s="169">
        <f>Imput[[#This Row],[Sub total]]+Imput[[#This Row],[IVA]]-Imput[[#This Row],[Retención / IEPS / Descuento]]</f>
        <v>566.40480000000002</v>
      </c>
      <c r="M347" s="844">
        <v>566.40480000000002</v>
      </c>
      <c r="N347" s="189" t="s">
        <v>123</v>
      </c>
      <c r="O347" s="1"/>
      <c r="P347" s="189" t="s">
        <v>1298</v>
      </c>
      <c r="Q347" s="190" t="s">
        <v>1299</v>
      </c>
      <c r="R347" s="188">
        <v>45863</v>
      </c>
      <c r="S347" s="193" t="s">
        <v>126</v>
      </c>
      <c r="T347" s="192"/>
      <c r="U347" s="829"/>
      <c r="V347" s="10" t="s">
        <v>1012</v>
      </c>
      <c r="W347" s="10" t="s">
        <v>513</v>
      </c>
      <c r="X347" s="10"/>
      <c r="Y347" s="10"/>
      <c r="Z347" s="10"/>
      <c r="AA347" s="11"/>
      <c r="AB347" s="11"/>
      <c r="AD347" s="260"/>
    </row>
    <row r="348" spans="2:30" x14ac:dyDescent="0.3">
      <c r="B348" s="10" t="s">
        <v>290</v>
      </c>
      <c r="C348" s="315" t="s">
        <v>2514</v>
      </c>
      <c r="D348" s="868" t="s">
        <v>164</v>
      </c>
      <c r="E348" s="837" t="str">
        <f>IFERROR(IF(_xlfn.XLOOKUP(Imput[[#This Row],[RFC]],'Alta Proveedor'!D:D,'Alta Proveedor'!E:E)=0,"",_xlfn.XLOOKUP(Imput[[#This Row],[RFC]],'Alta Proveedor'!D:D,'Alta Proveedor'!E:E)),"")</f>
        <v>HOME DEPOT MEXICO SUCURSAL THD-8730 TAMPICO</v>
      </c>
      <c r="F348" s="832" t="s">
        <v>1676</v>
      </c>
      <c r="G348" s="187">
        <v>2</v>
      </c>
      <c r="H348" s="1">
        <f>437.62/2</f>
        <v>218.81</v>
      </c>
      <c r="I348" s="169">
        <f>Imput[[#This Row],[Cantidad]]*Imput[[#This Row],[Precio Unitario]]</f>
        <v>437.62</v>
      </c>
      <c r="J348" s="11">
        <f>((Imput[[#This Row],[Sub total]])*(0.16))</f>
        <v>70.019199999999998</v>
      </c>
      <c r="K348" s="11">
        <v>0</v>
      </c>
      <c r="L348" s="169">
        <f>Imput[[#This Row],[Sub total]]+Imput[[#This Row],[IVA]]-Imput[[#This Row],[Retención / IEPS / Descuento]]</f>
        <v>507.63920000000002</v>
      </c>
      <c r="M348" s="844">
        <v>507.63920000000002</v>
      </c>
      <c r="N348" s="189" t="s">
        <v>123</v>
      </c>
      <c r="O348" s="1"/>
      <c r="P348" s="189" t="s">
        <v>1300</v>
      </c>
      <c r="Q348" s="190" t="s">
        <v>1301</v>
      </c>
      <c r="R348" s="188">
        <v>45863</v>
      </c>
      <c r="S348" s="193" t="s">
        <v>126</v>
      </c>
      <c r="T348" s="192"/>
      <c r="U348" s="829"/>
      <c r="V348" s="10" t="s">
        <v>1012</v>
      </c>
      <c r="W348" s="10" t="s">
        <v>513</v>
      </c>
      <c r="X348" s="10"/>
      <c r="Y348" s="10"/>
      <c r="Z348" s="10"/>
      <c r="AA348" s="11"/>
      <c r="AB348" s="11"/>
      <c r="AD348" s="260"/>
    </row>
    <row r="349" spans="2:30" x14ac:dyDescent="0.3">
      <c r="B349" s="10" t="s">
        <v>290</v>
      </c>
      <c r="C349" s="315" t="s">
        <v>2426</v>
      </c>
      <c r="D349" s="868" t="s">
        <v>3080</v>
      </c>
      <c r="E349" s="837" t="str">
        <f>IFERROR(IF(_xlfn.XLOOKUP(Imput[[#This Row],[RFC]],'Alta Proveedor'!D:D,'Alta Proveedor'!E:E)=0,"",_xlfn.XLOOKUP(Imput[[#This Row],[RFC]],'Alta Proveedor'!D:D,'Alta Proveedor'!E:E)),"")</f>
        <v>CONCRETOS TANCOL</v>
      </c>
      <c r="F349" s="832" t="s">
        <v>3387</v>
      </c>
      <c r="G349" s="187">
        <v>1</v>
      </c>
      <c r="H349" s="1">
        <v>27499.992399999999</v>
      </c>
      <c r="I349" s="169">
        <f>Imput[[#This Row],[Cantidad]]*Imput[[#This Row],[Precio Unitario]]</f>
        <v>27499.992399999999</v>
      </c>
      <c r="J349" s="11">
        <v>0</v>
      </c>
      <c r="K349" s="11">
        <v>0</v>
      </c>
      <c r="L349" s="169">
        <f>Imput[[#This Row],[Sub total]]+Imput[[#This Row],[IVA]]-Imput[[#This Row],[Retención / IEPS / Descuento]]</f>
        <v>27499.992399999999</v>
      </c>
      <c r="M349" s="844">
        <v>27499.992399999999</v>
      </c>
      <c r="N349" s="189"/>
      <c r="O349" s="1"/>
      <c r="P349" s="189" t="str">
        <f>Imput[[#This Row],[Folio]]</f>
        <v>741239</v>
      </c>
      <c r="Q349" s="190" t="s">
        <v>3088</v>
      </c>
      <c r="R349" s="188">
        <v>45863</v>
      </c>
      <c r="S349" s="193"/>
      <c r="T349" s="192"/>
      <c r="U349" s="829" t="s">
        <v>3099</v>
      </c>
      <c r="V349" s="10" t="s">
        <v>1012</v>
      </c>
      <c r="W349" s="10" t="s">
        <v>3795</v>
      </c>
      <c r="X349" s="10"/>
      <c r="Y349" s="10"/>
      <c r="Z349" s="10"/>
      <c r="AA349" s="11"/>
      <c r="AB349" s="11"/>
      <c r="AD349" s="260"/>
    </row>
    <row r="350" spans="2:30" x14ac:dyDescent="0.3">
      <c r="B350" s="10" t="s">
        <v>290</v>
      </c>
      <c r="C350" s="315" t="s">
        <v>2515</v>
      </c>
      <c r="D350" s="868" t="s">
        <v>307</v>
      </c>
      <c r="E350" s="837" t="str">
        <f>IFERROR(IF(_xlfn.XLOOKUP(Imput[[#This Row],[RFC]],'Alta Proveedor'!D:D,'Alta Proveedor'!E:E)=0,"",_xlfn.XLOOKUP(Imput[[#This Row],[RFC]],'Alta Proveedor'!D:D,'Alta Proveedor'!E:E)),"")</f>
        <v>LUIS ALBERTO VALDEZ DEL ANGEL</v>
      </c>
      <c r="F350" s="832" t="s">
        <v>3393</v>
      </c>
      <c r="G350" s="187">
        <v>1</v>
      </c>
      <c r="H350" s="1">
        <v>551.98599999999999</v>
      </c>
      <c r="I350" s="169">
        <f>Imput[[#This Row],[Cantidad]]*Imput[[#This Row],[Precio Unitario]]</f>
        <v>551.98599999999999</v>
      </c>
      <c r="J350" s="11">
        <v>0</v>
      </c>
      <c r="K350" s="11">
        <v>0</v>
      </c>
      <c r="L350" s="169">
        <f>Imput[[#This Row],[Sub total]]+Imput[[#This Row],[IVA]]-Imput[[#This Row],[Retención / IEPS / Descuento]]</f>
        <v>551.98599999999999</v>
      </c>
      <c r="M350" s="844">
        <v>551.98599999999999</v>
      </c>
      <c r="N350" s="189"/>
      <c r="O350" s="1"/>
      <c r="P350" s="189" t="str">
        <f>Imput[[#This Row],[Folio]]</f>
        <v>89B8903D</v>
      </c>
      <c r="Q350" s="190" t="s">
        <v>3098</v>
      </c>
      <c r="R350" s="188">
        <v>45863</v>
      </c>
      <c r="S350" s="193"/>
      <c r="T350" s="192"/>
      <c r="U350" s="829" t="s">
        <v>3099</v>
      </c>
      <c r="V350" s="10" t="s">
        <v>1012</v>
      </c>
      <c r="W350" s="10" t="s">
        <v>3795</v>
      </c>
      <c r="X350" s="10"/>
      <c r="Y350" s="10"/>
      <c r="Z350" s="10"/>
      <c r="AA350" s="11"/>
      <c r="AB350" s="11"/>
      <c r="AD350" s="260"/>
    </row>
    <row r="351" spans="2:30" x14ac:dyDescent="0.3">
      <c r="B351" s="10" t="s">
        <v>290</v>
      </c>
      <c r="C351" s="315" t="s">
        <v>2709</v>
      </c>
      <c r="D351" s="868" t="s">
        <v>307</v>
      </c>
      <c r="E351" s="837" t="str">
        <f>IFERROR(IF(_xlfn.XLOOKUP(Imput[[#This Row],[RFC]],'Alta Proveedor'!D:D,'Alta Proveedor'!E:E)=0,"",_xlfn.XLOOKUP(Imput[[#This Row],[RFC]],'Alta Proveedor'!D:D,'Alta Proveedor'!E:E)),"")</f>
        <v>LUIS ALBERTO VALDEZ DEL ANGEL</v>
      </c>
      <c r="F351" s="832" t="s">
        <v>1692</v>
      </c>
      <c r="G351" s="187">
        <v>1</v>
      </c>
      <c r="H351" s="1">
        <v>62.93</v>
      </c>
      <c r="I351" s="169">
        <f>Imput[[#This Row],[Cantidad]]*Imput[[#This Row],[Precio Unitario]]</f>
        <v>62.93</v>
      </c>
      <c r="J351" s="11">
        <f>((Imput[[#This Row],[Sub total]])*(0.16003))</f>
        <v>10.070687900000001</v>
      </c>
      <c r="K351" s="11">
        <v>0</v>
      </c>
      <c r="L351" s="169">
        <f>Imput[[#This Row],[Sub total]]+Imput[[#This Row],[IVA]]-Imput[[#This Row],[Retención / IEPS / Descuento]]</f>
        <v>73.000687900000003</v>
      </c>
      <c r="M351" s="844">
        <v>552.00027550000004</v>
      </c>
      <c r="N351" s="189" t="s">
        <v>123</v>
      </c>
      <c r="O351" s="1"/>
      <c r="P351" s="189" t="s">
        <v>1329</v>
      </c>
      <c r="Q351" s="190" t="s">
        <v>1330</v>
      </c>
      <c r="R351" s="188">
        <v>45863</v>
      </c>
      <c r="S351" s="193" t="s">
        <v>126</v>
      </c>
      <c r="T351" s="192"/>
      <c r="U351" s="829"/>
      <c r="V351" s="10" t="s">
        <v>1012</v>
      </c>
      <c r="W351" s="10" t="s">
        <v>3795</v>
      </c>
      <c r="X351" s="10"/>
      <c r="Y351" s="10"/>
      <c r="Z351" s="10"/>
      <c r="AA351" s="11"/>
      <c r="AB351" s="11"/>
      <c r="AD351" s="260"/>
    </row>
    <row r="352" spans="2:30" x14ac:dyDescent="0.3">
      <c r="B352" s="10" t="s">
        <v>290</v>
      </c>
      <c r="C352" s="315" t="s">
        <v>2709</v>
      </c>
      <c r="D352" s="868" t="s">
        <v>307</v>
      </c>
      <c r="E352" s="837" t="str">
        <f>IFERROR(IF(_xlfn.XLOOKUP(Imput[[#This Row],[RFC]],'Alta Proveedor'!D:D,'Alta Proveedor'!E:E)=0,"",_xlfn.XLOOKUP(Imput[[#This Row],[RFC]],'Alta Proveedor'!D:D,'Alta Proveedor'!E:E)),"")</f>
        <v>LUIS ALBERTO VALDEZ DEL ANGEL</v>
      </c>
      <c r="F352" s="832" t="s">
        <v>1693</v>
      </c>
      <c r="G352" s="187">
        <v>1</v>
      </c>
      <c r="H352" s="1">
        <v>76.72</v>
      </c>
      <c r="I352" s="169">
        <f>Imput[[#This Row],[Cantidad]]*Imput[[#This Row],[Precio Unitario]]</f>
        <v>76.72</v>
      </c>
      <c r="J352" s="11">
        <f>((Imput[[#This Row],[Sub total]])*(0.16003))</f>
        <v>12.277501600000001</v>
      </c>
      <c r="K352" s="11">
        <v>0</v>
      </c>
      <c r="L352" s="169">
        <f>Imput[[#This Row],[Sub total]]+Imput[[#This Row],[IVA]]-Imput[[#This Row],[Retención / IEPS / Descuento]]</f>
        <v>88.997501599999993</v>
      </c>
      <c r="M352" s="844">
        <v>0</v>
      </c>
      <c r="N352" s="189" t="s">
        <v>123</v>
      </c>
      <c r="O352" s="1"/>
      <c r="P352" s="189" t="s">
        <v>1329</v>
      </c>
      <c r="Q352" s="190" t="s">
        <v>1330</v>
      </c>
      <c r="R352" s="188">
        <v>45863</v>
      </c>
      <c r="S352" s="193" t="s">
        <v>126</v>
      </c>
      <c r="T352" s="192"/>
      <c r="U352" s="829"/>
      <c r="V352" s="10" t="s">
        <v>1012</v>
      </c>
      <c r="W352" s="10" t="s">
        <v>3795</v>
      </c>
      <c r="X352" s="10"/>
      <c r="Y352" s="10"/>
      <c r="Z352" s="10"/>
      <c r="AA352" s="11"/>
      <c r="AB352" s="11"/>
      <c r="AD352" s="260"/>
    </row>
    <row r="353" spans="2:30" x14ac:dyDescent="0.3">
      <c r="B353" s="10" t="s">
        <v>290</v>
      </c>
      <c r="C353" s="315" t="s">
        <v>2709</v>
      </c>
      <c r="D353" s="868" t="s">
        <v>307</v>
      </c>
      <c r="E353" s="837" t="str">
        <f>IFERROR(IF(_xlfn.XLOOKUP(Imput[[#This Row],[RFC]],'Alta Proveedor'!D:D,'Alta Proveedor'!E:E)=0,"",_xlfn.XLOOKUP(Imput[[#This Row],[RFC]],'Alta Proveedor'!D:D,'Alta Proveedor'!E:E)),"")</f>
        <v>LUIS ALBERTO VALDEZ DEL ANGEL</v>
      </c>
      <c r="F353" s="832" t="s">
        <v>1694</v>
      </c>
      <c r="G353" s="187">
        <v>1</v>
      </c>
      <c r="H353" s="1">
        <v>26.72</v>
      </c>
      <c r="I353" s="169">
        <f>Imput[[#This Row],[Cantidad]]*Imput[[#This Row],[Precio Unitario]]</f>
        <v>26.72</v>
      </c>
      <c r="J353" s="11">
        <f>((Imput[[#This Row],[Sub total]])*(0.16003))</f>
        <v>4.2760015999999998</v>
      </c>
      <c r="K353" s="11">
        <v>0</v>
      </c>
      <c r="L353" s="169">
        <f>Imput[[#This Row],[Sub total]]+Imput[[#This Row],[IVA]]-Imput[[#This Row],[Retención / IEPS / Descuento]]</f>
        <v>30.9960016</v>
      </c>
      <c r="M353" s="844">
        <v>0</v>
      </c>
      <c r="N353" s="189" t="s">
        <v>123</v>
      </c>
      <c r="O353" s="1"/>
      <c r="P353" s="189" t="s">
        <v>1329</v>
      </c>
      <c r="Q353" s="190" t="s">
        <v>1330</v>
      </c>
      <c r="R353" s="188">
        <v>45863</v>
      </c>
      <c r="S353" s="193" t="s">
        <v>126</v>
      </c>
      <c r="T353" s="192"/>
      <c r="U353" s="829"/>
      <c r="V353" s="10" t="s">
        <v>1012</v>
      </c>
      <c r="W353" s="10" t="s">
        <v>3795</v>
      </c>
      <c r="X353" s="10"/>
      <c r="Y353" s="10"/>
      <c r="Z353" s="10"/>
      <c r="AA353" s="11"/>
      <c r="AB353" s="11"/>
      <c r="AD353" s="260"/>
    </row>
    <row r="354" spans="2:30" x14ac:dyDescent="0.3">
      <c r="B354" s="10" t="s">
        <v>290</v>
      </c>
      <c r="C354" s="315" t="s">
        <v>2709</v>
      </c>
      <c r="D354" s="868" t="s">
        <v>307</v>
      </c>
      <c r="E354" s="837" t="str">
        <f>IFERROR(IF(_xlfn.XLOOKUP(Imput[[#This Row],[RFC]],'Alta Proveedor'!D:D,'Alta Proveedor'!E:E)=0,"",_xlfn.XLOOKUP(Imput[[#This Row],[RFC]],'Alta Proveedor'!D:D,'Alta Proveedor'!E:E)),"")</f>
        <v>LUIS ALBERTO VALDEZ DEL ANGEL</v>
      </c>
      <c r="F354" s="832" t="s">
        <v>1695</v>
      </c>
      <c r="G354" s="187">
        <v>1</v>
      </c>
      <c r="H354" s="1">
        <v>116.38</v>
      </c>
      <c r="I354" s="169">
        <f>Imput[[#This Row],[Cantidad]]*Imput[[#This Row],[Precio Unitario]]</f>
        <v>116.38</v>
      </c>
      <c r="J354" s="11">
        <f>((Imput[[#This Row],[Sub total]])*(0.16003))</f>
        <v>18.624291400000001</v>
      </c>
      <c r="K354" s="11">
        <v>0</v>
      </c>
      <c r="L354" s="169">
        <f>Imput[[#This Row],[Sub total]]+Imput[[#This Row],[IVA]]-Imput[[#This Row],[Retención / IEPS / Descuento]]</f>
        <v>135.0042914</v>
      </c>
      <c r="M354" s="844">
        <v>0</v>
      </c>
      <c r="N354" s="189" t="s">
        <v>123</v>
      </c>
      <c r="O354" s="1"/>
      <c r="P354" s="189" t="s">
        <v>1329</v>
      </c>
      <c r="Q354" s="190" t="s">
        <v>1330</v>
      </c>
      <c r="R354" s="188">
        <v>45863</v>
      </c>
      <c r="S354" s="193" t="s">
        <v>126</v>
      </c>
      <c r="T354" s="192"/>
      <c r="U354" s="829"/>
      <c r="V354" s="10" t="s">
        <v>1012</v>
      </c>
      <c r="W354" s="10" t="s">
        <v>3795</v>
      </c>
      <c r="X354" s="10"/>
      <c r="Y354" s="10"/>
      <c r="Z354" s="10"/>
      <c r="AA354" s="11"/>
      <c r="AB354" s="11"/>
      <c r="AD354" s="260"/>
    </row>
    <row r="355" spans="2:30" x14ac:dyDescent="0.3">
      <c r="B355" s="10" t="s">
        <v>290</v>
      </c>
      <c r="C355" s="315" t="s">
        <v>2709</v>
      </c>
      <c r="D355" s="868" t="s">
        <v>307</v>
      </c>
      <c r="E355" s="837" t="str">
        <f>IFERROR(IF(_xlfn.XLOOKUP(Imput[[#This Row],[RFC]],'Alta Proveedor'!D:D,'Alta Proveedor'!E:E)=0,"",_xlfn.XLOOKUP(Imput[[#This Row],[RFC]],'Alta Proveedor'!D:D,'Alta Proveedor'!E:E)),"")</f>
        <v>LUIS ALBERTO VALDEZ DEL ANGEL</v>
      </c>
      <c r="F355" s="832" t="s">
        <v>1696</v>
      </c>
      <c r="G355" s="187">
        <v>1</v>
      </c>
      <c r="H355" s="1">
        <v>100</v>
      </c>
      <c r="I355" s="169">
        <f>Imput[[#This Row],[Cantidad]]*Imput[[#This Row],[Precio Unitario]]</f>
        <v>100</v>
      </c>
      <c r="J355" s="11">
        <f>((Imput[[#This Row],[Sub total]])*(0.16003))</f>
        <v>16.003</v>
      </c>
      <c r="K355" s="11">
        <v>0</v>
      </c>
      <c r="L355" s="169">
        <f>Imput[[#This Row],[Sub total]]+Imput[[#This Row],[IVA]]-Imput[[#This Row],[Retención / IEPS / Descuento]]</f>
        <v>116.003</v>
      </c>
      <c r="M355" s="844">
        <v>0</v>
      </c>
      <c r="N355" s="189" t="s">
        <v>123</v>
      </c>
      <c r="O355" s="1"/>
      <c r="P355" s="189" t="s">
        <v>1329</v>
      </c>
      <c r="Q355" s="190" t="s">
        <v>1330</v>
      </c>
      <c r="R355" s="188">
        <v>45863</v>
      </c>
      <c r="S355" s="193" t="s">
        <v>126</v>
      </c>
      <c r="T355" s="192"/>
      <c r="U355" s="829"/>
      <c r="V355" s="10" t="s">
        <v>1012</v>
      </c>
      <c r="W355" s="10" t="s">
        <v>3795</v>
      </c>
      <c r="X355" s="10"/>
      <c r="Y355" s="10"/>
      <c r="Z355" s="10"/>
      <c r="AA355" s="11"/>
      <c r="AB355" s="11"/>
      <c r="AD355" s="260"/>
    </row>
    <row r="356" spans="2:30" x14ac:dyDescent="0.3">
      <c r="B356" s="10" t="s">
        <v>290</v>
      </c>
      <c r="C356" s="315" t="s">
        <v>2709</v>
      </c>
      <c r="D356" s="868" t="s">
        <v>307</v>
      </c>
      <c r="E356" s="837" t="str">
        <f>IFERROR(IF(_xlfn.XLOOKUP(Imput[[#This Row],[RFC]],'Alta Proveedor'!D:D,'Alta Proveedor'!E:E)=0,"",_xlfn.XLOOKUP(Imput[[#This Row],[RFC]],'Alta Proveedor'!D:D,'Alta Proveedor'!E:E)),"")</f>
        <v>LUIS ALBERTO VALDEZ DEL ANGEL</v>
      </c>
      <c r="F356" s="832" t="s">
        <v>1697</v>
      </c>
      <c r="G356" s="187">
        <v>1</v>
      </c>
      <c r="H356" s="1">
        <v>18.100000000000001</v>
      </c>
      <c r="I356" s="169">
        <f>Imput[[#This Row],[Cantidad]]*Imput[[#This Row],[Precio Unitario]]</f>
        <v>18.100000000000001</v>
      </c>
      <c r="J356" s="11">
        <f>((Imput[[#This Row],[Sub total]])*(0.16003))</f>
        <v>2.8965430000000003</v>
      </c>
      <c r="K356" s="11">
        <v>0</v>
      </c>
      <c r="L356" s="169">
        <f>Imput[[#This Row],[Sub total]]+Imput[[#This Row],[IVA]]-Imput[[#This Row],[Retención / IEPS / Descuento]]</f>
        <v>20.996543000000003</v>
      </c>
      <c r="M356" s="844">
        <v>0</v>
      </c>
      <c r="N356" s="189" t="s">
        <v>123</v>
      </c>
      <c r="O356" s="1"/>
      <c r="P356" s="189" t="s">
        <v>1329</v>
      </c>
      <c r="Q356" s="190" t="s">
        <v>1330</v>
      </c>
      <c r="R356" s="188">
        <v>45863</v>
      </c>
      <c r="S356" s="193" t="s">
        <v>126</v>
      </c>
      <c r="T356" s="192"/>
      <c r="U356" s="829"/>
      <c r="V356" s="10" t="s">
        <v>1012</v>
      </c>
      <c r="W356" s="10" t="s">
        <v>3795</v>
      </c>
      <c r="X356" s="10"/>
      <c r="Y356" s="10"/>
      <c r="Z356" s="10"/>
      <c r="AA356" s="11"/>
      <c r="AB356" s="11"/>
      <c r="AD356" s="260"/>
    </row>
    <row r="357" spans="2:30" x14ac:dyDescent="0.3">
      <c r="B357" s="10" t="s">
        <v>290</v>
      </c>
      <c r="C357" s="315" t="s">
        <v>2709</v>
      </c>
      <c r="D357" s="868" t="s">
        <v>307</v>
      </c>
      <c r="E357" s="837" t="str">
        <f>IFERROR(IF(_xlfn.XLOOKUP(Imput[[#This Row],[RFC]],'Alta Proveedor'!D:D,'Alta Proveedor'!E:E)=0,"",_xlfn.XLOOKUP(Imput[[#This Row],[RFC]],'Alta Proveedor'!D:D,'Alta Proveedor'!E:E)),"")</f>
        <v>LUIS ALBERTO VALDEZ DEL ANGEL</v>
      </c>
      <c r="F357" s="832" t="s">
        <v>1698</v>
      </c>
      <c r="G357" s="187">
        <v>1</v>
      </c>
      <c r="H357" s="1">
        <v>75</v>
      </c>
      <c r="I357" s="169">
        <f>Imput[[#This Row],[Cantidad]]*Imput[[#This Row],[Precio Unitario]]</f>
        <v>75</v>
      </c>
      <c r="J357" s="11">
        <f>((Imput[[#This Row],[Sub total]])*(0.16003))</f>
        <v>12.00225</v>
      </c>
      <c r="K357" s="11">
        <v>0</v>
      </c>
      <c r="L357" s="169">
        <f>Imput[[#This Row],[Sub total]]+Imput[[#This Row],[IVA]]-Imput[[#This Row],[Retención / IEPS / Descuento]]</f>
        <v>87.002250000000004</v>
      </c>
      <c r="M357" s="844">
        <v>0</v>
      </c>
      <c r="N357" s="189" t="s">
        <v>123</v>
      </c>
      <c r="O357" s="1"/>
      <c r="P357" s="189" t="s">
        <v>1329</v>
      </c>
      <c r="Q357" s="190" t="s">
        <v>1330</v>
      </c>
      <c r="R357" s="188">
        <v>45863</v>
      </c>
      <c r="S357" s="193" t="s">
        <v>126</v>
      </c>
      <c r="T357" s="192"/>
      <c r="U357" s="829"/>
      <c r="V357" s="10" t="s">
        <v>1012</v>
      </c>
      <c r="W357" s="10" t="s">
        <v>3795</v>
      </c>
      <c r="X357" s="10"/>
      <c r="Y357" s="10"/>
      <c r="Z357" s="10"/>
      <c r="AA357" s="11"/>
      <c r="AB357" s="11"/>
      <c r="AD357" s="260"/>
    </row>
    <row r="358" spans="2:30" x14ac:dyDescent="0.3">
      <c r="B358" s="10" t="s">
        <v>290</v>
      </c>
      <c r="C358" s="315" t="s">
        <v>1806</v>
      </c>
      <c r="D358" s="868" t="s">
        <v>1051</v>
      </c>
      <c r="E358" s="837" t="str">
        <f>IFERROR(IF(_xlfn.XLOOKUP(Imput[[#This Row],[RFC]],'Alta Proveedor'!D:D,'Alta Proveedor'!E:E)=0,"",_xlfn.XLOOKUP(Imput[[#This Row],[RFC]],'Alta Proveedor'!D:D,'Alta Proveedor'!E:E)),"")</f>
        <v>HOTEL RESTAURANTE MANDARIN</v>
      </c>
      <c r="F358" s="832" t="s">
        <v>194</v>
      </c>
      <c r="G358" s="187">
        <v>1</v>
      </c>
      <c r="H358" s="1">
        <v>206.9</v>
      </c>
      <c r="I358" s="169">
        <f>Imput[[#This Row],[Cantidad]]*Imput[[#This Row],[Precio Unitario]]</f>
        <v>206.9</v>
      </c>
      <c r="J358" s="11">
        <f>((Imput[[#This Row],[Sub total]])*(0.15999))</f>
        <v>33.101931</v>
      </c>
      <c r="K358" s="11">
        <v>0</v>
      </c>
      <c r="L358" s="169">
        <f>Imput[[#This Row],[Sub total]]+Imput[[#This Row],[IVA]]-Imput[[#This Row],[Retención / IEPS / Descuento]]</f>
        <v>240.00193100000001</v>
      </c>
      <c r="M358" s="844">
        <v>480.00386200000003</v>
      </c>
      <c r="N358" s="189" t="s">
        <v>123</v>
      </c>
      <c r="O358" s="1"/>
      <c r="P358" s="189" t="s">
        <v>1310</v>
      </c>
      <c r="Q358" s="190" t="s">
        <v>1311</v>
      </c>
      <c r="R358" s="188">
        <v>45863</v>
      </c>
      <c r="S358" s="193" t="s">
        <v>126</v>
      </c>
      <c r="T358" s="192"/>
      <c r="U358" s="829"/>
      <c r="V358" s="10" t="s">
        <v>3324</v>
      </c>
      <c r="W358" s="10" t="s">
        <v>3327</v>
      </c>
      <c r="X358" s="10"/>
      <c r="Y358" s="10"/>
      <c r="Z358" s="10"/>
      <c r="AA358" s="11"/>
      <c r="AB358" s="11"/>
      <c r="AD358" s="260"/>
    </row>
    <row r="359" spans="2:30" x14ac:dyDescent="0.3">
      <c r="B359" s="10" t="s">
        <v>290</v>
      </c>
      <c r="C359" s="315" t="s">
        <v>1806</v>
      </c>
      <c r="D359" s="868" t="s">
        <v>1051</v>
      </c>
      <c r="E359" s="837" t="str">
        <f>IFERROR(IF(_xlfn.XLOOKUP(Imput[[#This Row],[RFC]],'Alta Proveedor'!D:D,'Alta Proveedor'!E:E)=0,"",_xlfn.XLOOKUP(Imput[[#This Row],[RFC]],'Alta Proveedor'!D:D,'Alta Proveedor'!E:E)),"")</f>
        <v>HOTEL RESTAURANTE MANDARIN</v>
      </c>
      <c r="F359" s="832" t="s">
        <v>194</v>
      </c>
      <c r="G359" s="187">
        <v>1</v>
      </c>
      <c r="H359" s="1">
        <v>206.9</v>
      </c>
      <c r="I359" s="169">
        <f>Imput[[#This Row],[Cantidad]]*Imput[[#This Row],[Precio Unitario]]</f>
        <v>206.9</v>
      </c>
      <c r="J359" s="11">
        <f>((Imput[[#This Row],[Sub total]])*(0.15999))</f>
        <v>33.101931</v>
      </c>
      <c r="K359" s="11">
        <v>0</v>
      </c>
      <c r="L359" s="169">
        <f>Imput[[#This Row],[Sub total]]+Imput[[#This Row],[IVA]]-Imput[[#This Row],[Retención / IEPS / Descuento]]</f>
        <v>240.00193100000001</v>
      </c>
      <c r="M359" s="844">
        <v>0</v>
      </c>
      <c r="N359" s="189" t="s">
        <v>123</v>
      </c>
      <c r="O359" s="1"/>
      <c r="P359" s="189" t="s">
        <v>1310</v>
      </c>
      <c r="Q359" s="190" t="s">
        <v>1311</v>
      </c>
      <c r="R359" s="188">
        <v>45863</v>
      </c>
      <c r="S359" s="193" t="s">
        <v>126</v>
      </c>
      <c r="T359" s="192"/>
      <c r="U359" s="829"/>
      <c r="V359" s="10" t="s">
        <v>3324</v>
      </c>
      <c r="W359" s="10" t="s">
        <v>3327</v>
      </c>
      <c r="X359" s="10"/>
      <c r="Y359" s="10"/>
      <c r="Z359" s="10"/>
      <c r="AA359" s="11"/>
      <c r="AB359" s="11"/>
      <c r="AD359" s="260"/>
    </row>
    <row r="360" spans="2:30" x14ac:dyDescent="0.3">
      <c r="B360" s="10" t="s">
        <v>290</v>
      </c>
      <c r="C360" s="315" t="s">
        <v>1747</v>
      </c>
      <c r="D360" s="868" t="s">
        <v>1051</v>
      </c>
      <c r="E360" s="837" t="str">
        <f>IFERROR(IF(_xlfn.XLOOKUP(Imput[[#This Row],[RFC]],'Alta Proveedor'!D:D,'Alta Proveedor'!E:E)=0,"",_xlfn.XLOOKUP(Imput[[#This Row],[RFC]],'Alta Proveedor'!D:D,'Alta Proveedor'!E:E)),"")</f>
        <v>HOTEL RESTAURANTE MANDARIN</v>
      </c>
      <c r="F360" s="832" t="s">
        <v>1314</v>
      </c>
      <c r="G360" s="187">
        <v>1</v>
      </c>
      <c r="H360" s="1">
        <v>823.53</v>
      </c>
      <c r="I360" s="169">
        <f>Imput[[#This Row],[Cantidad]]*Imput[[#This Row],[Precio Unitario]]</f>
        <v>823.53</v>
      </c>
      <c r="J360" s="11">
        <f>((Imput[[#This Row],[Sub total]])*(0.159997+0.03))</f>
        <v>156.46822940999999</v>
      </c>
      <c r="K360" s="11">
        <v>0</v>
      </c>
      <c r="L360" s="169">
        <f>Imput[[#This Row],[Sub total]]+Imput[[#This Row],[IVA]]-Imput[[#This Row],[Retención / IEPS / Descuento]]</f>
        <v>979.99822941000002</v>
      </c>
      <c r="M360" s="844">
        <v>1959.99645882</v>
      </c>
      <c r="N360" s="189" t="s">
        <v>123</v>
      </c>
      <c r="O360" s="1"/>
      <c r="P360" s="189" t="s">
        <v>1312</v>
      </c>
      <c r="Q360" s="190" t="s">
        <v>1313</v>
      </c>
      <c r="R360" s="188">
        <v>45863</v>
      </c>
      <c r="S360" s="193" t="s">
        <v>126</v>
      </c>
      <c r="T360" s="192"/>
      <c r="U360" s="829"/>
      <c r="V360" s="10" t="s">
        <v>3324</v>
      </c>
      <c r="W360" s="10" t="s">
        <v>3801</v>
      </c>
      <c r="X360" s="10"/>
      <c r="Y360" s="10"/>
      <c r="Z360" s="10"/>
      <c r="AA360" s="11"/>
      <c r="AB360" s="11"/>
      <c r="AD360" s="260"/>
    </row>
    <row r="361" spans="2:30" x14ac:dyDescent="0.3">
      <c r="B361" s="10" t="s">
        <v>290</v>
      </c>
      <c r="C361" s="315" t="s">
        <v>1747</v>
      </c>
      <c r="D361" s="868" t="s">
        <v>1051</v>
      </c>
      <c r="E361" s="837" t="str">
        <f>IFERROR(IF(_xlfn.XLOOKUP(Imput[[#This Row],[RFC]],'Alta Proveedor'!D:D,'Alta Proveedor'!E:E)=0,"",_xlfn.XLOOKUP(Imput[[#This Row],[RFC]],'Alta Proveedor'!D:D,'Alta Proveedor'!E:E)),"")</f>
        <v>HOTEL RESTAURANTE MANDARIN</v>
      </c>
      <c r="F361" s="832" t="s">
        <v>1314</v>
      </c>
      <c r="G361" s="187">
        <v>1</v>
      </c>
      <c r="H361" s="1">
        <v>823.53</v>
      </c>
      <c r="I361" s="169">
        <f>Imput[[#This Row],[Cantidad]]*Imput[[#This Row],[Precio Unitario]]</f>
        <v>823.53</v>
      </c>
      <c r="J361" s="11">
        <f>((Imput[[#This Row],[Sub total]])*(0.159997+0.03))</f>
        <v>156.46822940999999</v>
      </c>
      <c r="K361" s="11">
        <v>0</v>
      </c>
      <c r="L361" s="169">
        <f>Imput[[#This Row],[Sub total]]+Imput[[#This Row],[IVA]]-Imput[[#This Row],[Retención / IEPS / Descuento]]</f>
        <v>979.99822941000002</v>
      </c>
      <c r="M361" s="844">
        <v>0</v>
      </c>
      <c r="N361" s="189" t="s">
        <v>123</v>
      </c>
      <c r="O361" s="1"/>
      <c r="P361" s="189" t="s">
        <v>1312</v>
      </c>
      <c r="Q361" s="190" t="s">
        <v>1313</v>
      </c>
      <c r="R361" s="188">
        <v>45863</v>
      </c>
      <c r="S361" s="193" t="s">
        <v>126</v>
      </c>
      <c r="T361" s="192"/>
      <c r="U361" s="829"/>
      <c r="V361" s="10" t="s">
        <v>3324</v>
      </c>
      <c r="W361" s="10" t="s">
        <v>3801</v>
      </c>
      <c r="X361" s="10"/>
      <c r="Y361" s="10"/>
      <c r="Z361" s="10"/>
      <c r="AA361" s="11"/>
      <c r="AB361" s="11"/>
      <c r="AD361" s="260"/>
    </row>
    <row r="362" spans="2:30" x14ac:dyDescent="0.3">
      <c r="B362" s="10" t="s">
        <v>290</v>
      </c>
      <c r="C362" s="549" t="s">
        <v>2437</v>
      </c>
      <c r="D362" s="868" t="s">
        <v>264</v>
      </c>
      <c r="E362" s="837" t="str">
        <f>IFERROR(IF(_xlfn.XLOOKUP(Imput[[#This Row],[RFC]],'Alta Proveedor'!D:D,'Alta Proveedor'!E:E)=0,"",_xlfn.XLOOKUP(Imput[[#This Row],[RFC]],'Alta Proveedor'!D:D,'Alta Proveedor'!E:E)),"")</f>
        <v>M.N. DEL GOLFO "HOME CENTER TU ASESOR CONFIABLE"</v>
      </c>
      <c r="F362" s="832" t="s">
        <v>1680</v>
      </c>
      <c r="G362" s="187">
        <v>1</v>
      </c>
      <c r="H362" s="1">
        <v>60.02</v>
      </c>
      <c r="I362" s="169">
        <f>Imput[[#This Row],[Cantidad]]*Imput[[#This Row],[Precio Unitario]]</f>
        <v>60.02</v>
      </c>
      <c r="J362" s="11">
        <f>((Imput[[#This Row],[Sub total]])*(0.159995))</f>
        <v>9.6028999000000006</v>
      </c>
      <c r="K362" s="11">
        <v>0</v>
      </c>
      <c r="L362" s="169">
        <f>Imput[[#This Row],[Sub total]]+Imput[[#This Row],[IVA]]-Imput[[#This Row],[Retención / IEPS / Descuento]]</f>
        <v>69.622899900000007</v>
      </c>
      <c r="M362" s="844">
        <v>1739.760501</v>
      </c>
      <c r="N362" s="189" t="s">
        <v>123</v>
      </c>
      <c r="O362" s="1"/>
      <c r="P362" s="189" t="s">
        <v>1317</v>
      </c>
      <c r="Q362" s="190" t="s">
        <v>1318</v>
      </c>
      <c r="R362" s="188">
        <v>45863</v>
      </c>
      <c r="S362" s="193" t="s">
        <v>126</v>
      </c>
      <c r="T362" s="192"/>
      <c r="U362" s="829"/>
      <c r="V362" s="10" t="s">
        <v>1012</v>
      </c>
      <c r="W362" s="10" t="s">
        <v>3795</v>
      </c>
      <c r="X362" s="10"/>
      <c r="Y362" s="10"/>
      <c r="Z362" s="10"/>
      <c r="AA362" s="11"/>
      <c r="AB362" s="11"/>
      <c r="AD362" s="260"/>
    </row>
    <row r="363" spans="2:30" x14ac:dyDescent="0.3">
      <c r="B363" s="10" t="s">
        <v>290</v>
      </c>
      <c r="C363" s="549" t="s">
        <v>2437</v>
      </c>
      <c r="D363" s="868" t="s">
        <v>264</v>
      </c>
      <c r="E363" s="837" t="str">
        <f>IFERROR(IF(_xlfn.XLOOKUP(Imput[[#This Row],[RFC]],'Alta Proveedor'!D:D,'Alta Proveedor'!E:E)=0,"",_xlfn.XLOOKUP(Imput[[#This Row],[RFC]],'Alta Proveedor'!D:D,'Alta Proveedor'!E:E)),"")</f>
        <v>M.N. DEL GOLFO "HOME CENTER TU ASESOR CONFIABLE"</v>
      </c>
      <c r="F363" s="832" t="s">
        <v>3238</v>
      </c>
      <c r="G363" s="187">
        <v>1</v>
      </c>
      <c r="H363" s="1">
        <v>19.79</v>
      </c>
      <c r="I363" s="169">
        <f>Imput[[#This Row],[Cantidad]]*Imput[[#This Row],[Precio Unitario]]</f>
        <v>19.79</v>
      </c>
      <c r="J363" s="11">
        <f>((Imput[[#This Row],[Sub total]])*(0.159995))</f>
        <v>3.16630105</v>
      </c>
      <c r="K363" s="11">
        <v>0</v>
      </c>
      <c r="L363" s="169">
        <f>Imput[[#This Row],[Sub total]]+Imput[[#This Row],[IVA]]-Imput[[#This Row],[Retención / IEPS / Descuento]]</f>
        <v>22.95630105</v>
      </c>
      <c r="M363" s="844">
        <v>0</v>
      </c>
      <c r="N363" s="189" t="s">
        <v>123</v>
      </c>
      <c r="O363" s="1"/>
      <c r="P363" s="189" t="s">
        <v>1317</v>
      </c>
      <c r="Q363" s="190" t="s">
        <v>1318</v>
      </c>
      <c r="R363" s="188">
        <v>45863</v>
      </c>
      <c r="S363" s="193" t="s">
        <v>126</v>
      </c>
      <c r="T363" s="192"/>
      <c r="U363" s="829"/>
      <c r="V363" s="10" t="s">
        <v>1012</v>
      </c>
      <c r="W363" s="10" t="s">
        <v>3795</v>
      </c>
      <c r="X363" s="10"/>
      <c r="Y363" s="10"/>
      <c r="Z363" s="10"/>
      <c r="AA363" s="11"/>
      <c r="AB363" s="11"/>
      <c r="AD363" s="260"/>
    </row>
    <row r="364" spans="2:30" x14ac:dyDescent="0.3">
      <c r="B364" s="10" t="s">
        <v>290</v>
      </c>
      <c r="C364" s="315" t="s">
        <v>2514</v>
      </c>
      <c r="D364" s="868" t="s">
        <v>264</v>
      </c>
      <c r="E364" s="837" t="str">
        <f>IFERROR(IF(_xlfn.XLOOKUP(Imput[[#This Row],[RFC]],'Alta Proveedor'!D:D,'Alta Proveedor'!E:E)=0,"",_xlfn.XLOOKUP(Imput[[#This Row],[RFC]],'Alta Proveedor'!D:D,'Alta Proveedor'!E:E)),"")</f>
        <v>M.N. DEL GOLFO "HOME CENTER TU ASESOR CONFIABLE"</v>
      </c>
      <c r="F364" s="832" t="s">
        <v>1203</v>
      </c>
      <c r="G364" s="187">
        <v>1</v>
      </c>
      <c r="H364" s="1">
        <v>167.76</v>
      </c>
      <c r="I364" s="169">
        <f>Imput[[#This Row],[Cantidad]]*Imput[[#This Row],[Precio Unitario]]</f>
        <v>167.76</v>
      </c>
      <c r="J364" s="11">
        <f>((Imput[[#This Row],[Sub total]])*(0.159995))</f>
        <v>26.840761199999999</v>
      </c>
      <c r="K364" s="11">
        <v>0</v>
      </c>
      <c r="L364" s="169">
        <f>Imput[[#This Row],[Sub total]]+Imput[[#This Row],[IVA]]-Imput[[#This Row],[Retención / IEPS / Descuento]]</f>
        <v>194.60076119999999</v>
      </c>
      <c r="M364" s="844">
        <v>0</v>
      </c>
      <c r="N364" s="189" t="s">
        <v>123</v>
      </c>
      <c r="O364" s="1"/>
      <c r="P364" s="189" t="s">
        <v>1317</v>
      </c>
      <c r="Q364" s="190" t="s">
        <v>1318</v>
      </c>
      <c r="R364" s="188">
        <v>45863</v>
      </c>
      <c r="S364" s="193" t="s">
        <v>126</v>
      </c>
      <c r="T364" s="192"/>
      <c r="U364" s="829"/>
      <c r="V364" s="10" t="s">
        <v>1012</v>
      </c>
      <c r="W364" s="10" t="s">
        <v>513</v>
      </c>
      <c r="X364" s="10"/>
      <c r="Y364" s="10"/>
      <c r="Z364" s="10"/>
      <c r="AA364" s="11"/>
      <c r="AB364" s="11"/>
      <c r="AD364" s="260"/>
    </row>
    <row r="365" spans="2:30" x14ac:dyDescent="0.3">
      <c r="B365" s="10" t="s">
        <v>290</v>
      </c>
      <c r="C365" s="315" t="s">
        <v>2514</v>
      </c>
      <c r="D365" s="868" t="s">
        <v>264</v>
      </c>
      <c r="E365" s="837" t="str">
        <f>IFERROR(IF(_xlfn.XLOOKUP(Imput[[#This Row],[RFC]],'Alta Proveedor'!D:D,'Alta Proveedor'!E:E)=0,"",_xlfn.XLOOKUP(Imput[[#This Row],[RFC]],'Alta Proveedor'!D:D,'Alta Proveedor'!E:E)),"")</f>
        <v>M.N. DEL GOLFO "HOME CENTER TU ASESOR CONFIABLE"</v>
      </c>
      <c r="F365" s="832" t="s">
        <v>1681</v>
      </c>
      <c r="G365" s="187">
        <v>1</v>
      </c>
      <c r="H365" s="1">
        <v>167.75</v>
      </c>
      <c r="I365" s="169">
        <f>Imput[[#This Row],[Cantidad]]*Imput[[#This Row],[Precio Unitario]]</f>
        <v>167.75</v>
      </c>
      <c r="J365" s="11">
        <f>((Imput[[#This Row],[Sub total]])*(0.159995))</f>
        <v>26.83916125</v>
      </c>
      <c r="K365" s="11">
        <v>0</v>
      </c>
      <c r="L365" s="169">
        <f>Imput[[#This Row],[Sub total]]+Imput[[#This Row],[IVA]]-Imput[[#This Row],[Retención / IEPS / Descuento]]</f>
        <v>194.58916124999999</v>
      </c>
      <c r="M365" s="844">
        <v>0</v>
      </c>
      <c r="N365" s="189" t="s">
        <v>123</v>
      </c>
      <c r="O365" s="1"/>
      <c r="P365" s="189" t="s">
        <v>1317</v>
      </c>
      <c r="Q365" s="190" t="s">
        <v>1318</v>
      </c>
      <c r="R365" s="188">
        <v>45863</v>
      </c>
      <c r="S365" s="193" t="s">
        <v>126</v>
      </c>
      <c r="T365" s="192"/>
      <c r="U365" s="829"/>
      <c r="V365" s="10" t="s">
        <v>1012</v>
      </c>
      <c r="W365" s="10" t="s">
        <v>513</v>
      </c>
      <c r="X365" s="10"/>
      <c r="Y365" s="10"/>
      <c r="Z365" s="10"/>
      <c r="AA365" s="11"/>
      <c r="AB365" s="11"/>
      <c r="AD365" s="260"/>
    </row>
    <row r="366" spans="2:30" x14ac:dyDescent="0.3">
      <c r="B366" s="10" t="s">
        <v>290</v>
      </c>
      <c r="C366" s="315" t="s">
        <v>2514</v>
      </c>
      <c r="D366" s="868" t="s">
        <v>264</v>
      </c>
      <c r="E366" s="837" t="str">
        <f>IFERROR(IF(_xlfn.XLOOKUP(Imput[[#This Row],[RFC]],'Alta Proveedor'!D:D,'Alta Proveedor'!E:E)=0,"",_xlfn.XLOOKUP(Imput[[#This Row],[RFC]],'Alta Proveedor'!D:D,'Alta Proveedor'!E:E)),"")</f>
        <v>M.N. DEL GOLFO "HOME CENTER TU ASESOR CONFIABLE"</v>
      </c>
      <c r="F366" s="832" t="s">
        <v>1683</v>
      </c>
      <c r="G366" s="187">
        <v>1</v>
      </c>
      <c r="H366" s="1">
        <v>89.57</v>
      </c>
      <c r="I366" s="169">
        <f>Imput[[#This Row],[Cantidad]]*Imput[[#This Row],[Precio Unitario]]</f>
        <v>89.57</v>
      </c>
      <c r="J366" s="11">
        <f>((Imput[[#This Row],[Sub total]])*(0.159995))</f>
        <v>14.330752149999999</v>
      </c>
      <c r="K366" s="11">
        <v>0</v>
      </c>
      <c r="L366" s="169">
        <f>Imput[[#This Row],[Sub total]]+Imput[[#This Row],[IVA]]-Imput[[#This Row],[Retención / IEPS / Descuento]]</f>
        <v>103.90075214999999</v>
      </c>
      <c r="M366" s="844">
        <v>0</v>
      </c>
      <c r="N366" s="189" t="s">
        <v>123</v>
      </c>
      <c r="O366" s="1"/>
      <c r="P366" s="189" t="s">
        <v>1317</v>
      </c>
      <c r="Q366" s="190" t="s">
        <v>1318</v>
      </c>
      <c r="R366" s="188">
        <v>45863</v>
      </c>
      <c r="S366" s="193" t="s">
        <v>126</v>
      </c>
      <c r="T366" s="192"/>
      <c r="U366" s="829"/>
      <c r="V366" s="10" t="s">
        <v>1012</v>
      </c>
      <c r="W366" s="10" t="s">
        <v>513</v>
      </c>
      <c r="X366" s="10"/>
      <c r="Y366" s="10"/>
      <c r="Z366" s="10"/>
      <c r="AA366" s="11"/>
      <c r="AB366" s="11"/>
      <c r="AD366" s="260"/>
    </row>
    <row r="367" spans="2:30" x14ac:dyDescent="0.3">
      <c r="B367" s="10" t="s">
        <v>290</v>
      </c>
      <c r="C367" s="315" t="s">
        <v>2514</v>
      </c>
      <c r="D367" s="868" t="s">
        <v>264</v>
      </c>
      <c r="E367" s="837" t="str">
        <f>IFERROR(IF(_xlfn.XLOOKUP(Imput[[#This Row],[RFC]],'Alta Proveedor'!D:D,'Alta Proveedor'!E:E)=0,"",_xlfn.XLOOKUP(Imput[[#This Row],[RFC]],'Alta Proveedor'!D:D,'Alta Proveedor'!E:E)),"")</f>
        <v>M.N. DEL GOLFO "HOME CENTER TU ASESOR CONFIABLE"</v>
      </c>
      <c r="F367" s="832" t="s">
        <v>1682</v>
      </c>
      <c r="G367" s="187">
        <v>1</v>
      </c>
      <c r="H367" s="1">
        <v>156.04</v>
      </c>
      <c r="I367" s="169">
        <f>Imput[[#This Row],[Cantidad]]*Imput[[#This Row],[Precio Unitario]]</f>
        <v>156.04</v>
      </c>
      <c r="J367" s="11">
        <f>((Imput[[#This Row],[Sub total]])*(0.159995))</f>
        <v>24.965619799999999</v>
      </c>
      <c r="K367" s="11">
        <v>0</v>
      </c>
      <c r="L367" s="169">
        <f>Imput[[#This Row],[Sub total]]+Imput[[#This Row],[IVA]]-Imput[[#This Row],[Retención / IEPS / Descuento]]</f>
        <v>181.00561979999998</v>
      </c>
      <c r="M367" s="844">
        <v>0</v>
      </c>
      <c r="N367" s="189" t="s">
        <v>123</v>
      </c>
      <c r="O367" s="1"/>
      <c r="P367" s="189" t="s">
        <v>1317</v>
      </c>
      <c r="Q367" s="190" t="s">
        <v>1318</v>
      </c>
      <c r="R367" s="188">
        <v>45863</v>
      </c>
      <c r="S367" s="193" t="s">
        <v>126</v>
      </c>
      <c r="T367" s="192"/>
      <c r="U367" s="829"/>
      <c r="V367" s="10" t="s">
        <v>1012</v>
      </c>
      <c r="W367" s="10" t="s">
        <v>513</v>
      </c>
      <c r="X367" s="10"/>
      <c r="Y367" s="10"/>
      <c r="Z367" s="10"/>
      <c r="AA367" s="11"/>
      <c r="AB367" s="11"/>
      <c r="AD367" s="260"/>
    </row>
    <row r="368" spans="2:30" x14ac:dyDescent="0.3">
      <c r="B368" s="10" t="s">
        <v>290</v>
      </c>
      <c r="C368" s="315" t="s">
        <v>2709</v>
      </c>
      <c r="D368" s="868" t="s">
        <v>264</v>
      </c>
      <c r="E368" s="837" t="str">
        <f>IFERROR(IF(_xlfn.XLOOKUP(Imput[[#This Row],[RFC]],'Alta Proveedor'!D:D,'Alta Proveedor'!E:E)=0,"",_xlfn.XLOOKUP(Imput[[#This Row],[RFC]],'Alta Proveedor'!D:D,'Alta Proveedor'!E:E)),"")</f>
        <v>M.N. DEL GOLFO "HOME CENTER TU ASESOR CONFIABLE"</v>
      </c>
      <c r="F368" s="832" t="s">
        <v>1684</v>
      </c>
      <c r="G368" s="187">
        <v>2</v>
      </c>
      <c r="H368" s="1">
        <v>70.45</v>
      </c>
      <c r="I368" s="169">
        <f>Imput[[#This Row],[Cantidad]]*Imput[[#This Row],[Precio Unitario]]</f>
        <v>140.9</v>
      </c>
      <c r="J368" s="11">
        <f>((Imput[[#This Row],[Sub total]])*(0.159995))</f>
        <v>22.543295499999999</v>
      </c>
      <c r="K368" s="11">
        <v>0</v>
      </c>
      <c r="L368" s="169">
        <f>Imput[[#This Row],[Sub total]]+Imput[[#This Row],[IVA]]-Imput[[#This Row],[Retención / IEPS / Descuento]]</f>
        <v>163.4432955</v>
      </c>
      <c r="M368" s="844">
        <v>0</v>
      </c>
      <c r="N368" s="189" t="s">
        <v>123</v>
      </c>
      <c r="O368" s="1"/>
      <c r="P368" s="189" t="s">
        <v>1317</v>
      </c>
      <c r="Q368" s="190" t="s">
        <v>1318</v>
      </c>
      <c r="R368" s="188">
        <v>45863</v>
      </c>
      <c r="S368" s="193" t="s">
        <v>126</v>
      </c>
      <c r="T368" s="192"/>
      <c r="U368" s="829"/>
      <c r="V368" s="10" t="s">
        <v>1012</v>
      </c>
      <c r="W368" s="10" t="s">
        <v>3795</v>
      </c>
      <c r="X368" s="10"/>
      <c r="Y368" s="10"/>
      <c r="Z368" s="10"/>
      <c r="AA368" s="11"/>
      <c r="AB368" s="11"/>
      <c r="AD368" s="260"/>
    </row>
    <row r="369" spans="2:30" x14ac:dyDescent="0.3">
      <c r="B369" s="10" t="s">
        <v>290</v>
      </c>
      <c r="C369" s="315" t="s">
        <v>2709</v>
      </c>
      <c r="D369" s="868" t="s">
        <v>264</v>
      </c>
      <c r="E369" s="837" t="str">
        <f>IFERROR(IF(_xlfn.XLOOKUP(Imput[[#This Row],[RFC]],'Alta Proveedor'!D:D,'Alta Proveedor'!E:E)=0,"",_xlfn.XLOOKUP(Imput[[#This Row],[RFC]],'Alta Proveedor'!D:D,'Alta Proveedor'!E:E)),"")</f>
        <v>M.N. DEL GOLFO "HOME CENTER TU ASESOR CONFIABLE"</v>
      </c>
      <c r="F369" s="832" t="s">
        <v>1685</v>
      </c>
      <c r="G369" s="187">
        <v>1</v>
      </c>
      <c r="H369" s="1">
        <v>171.18</v>
      </c>
      <c r="I369" s="169">
        <f>Imput[[#This Row],[Cantidad]]*Imput[[#This Row],[Precio Unitario]]</f>
        <v>171.18</v>
      </c>
      <c r="J369" s="11">
        <f>((Imput[[#This Row],[Sub total]])*(0.159995))</f>
        <v>27.387944100000002</v>
      </c>
      <c r="K369" s="11">
        <v>0</v>
      </c>
      <c r="L369" s="169">
        <f>Imput[[#This Row],[Sub total]]+Imput[[#This Row],[IVA]]-Imput[[#This Row],[Retención / IEPS / Descuento]]</f>
        <v>198.56794410000001</v>
      </c>
      <c r="M369" s="844">
        <v>0</v>
      </c>
      <c r="N369" s="189" t="s">
        <v>123</v>
      </c>
      <c r="O369" s="1"/>
      <c r="P369" s="189" t="s">
        <v>1317</v>
      </c>
      <c r="Q369" s="190" t="s">
        <v>1318</v>
      </c>
      <c r="R369" s="188">
        <v>45863</v>
      </c>
      <c r="S369" s="193" t="s">
        <v>126</v>
      </c>
      <c r="T369" s="192"/>
      <c r="U369" s="829"/>
      <c r="V369" s="10" t="s">
        <v>1012</v>
      </c>
      <c r="W369" s="10" t="s">
        <v>3795</v>
      </c>
      <c r="X369" s="10"/>
      <c r="Y369" s="10"/>
      <c r="Z369" s="10"/>
      <c r="AA369" s="11"/>
      <c r="AB369" s="11"/>
      <c r="AD369" s="260"/>
    </row>
    <row r="370" spans="2:30" x14ac:dyDescent="0.3">
      <c r="B370" s="10" t="s">
        <v>290</v>
      </c>
      <c r="C370" s="315" t="s">
        <v>2709</v>
      </c>
      <c r="D370" s="868" t="s">
        <v>264</v>
      </c>
      <c r="E370" s="837" t="str">
        <f>IFERROR(IF(_xlfn.XLOOKUP(Imput[[#This Row],[RFC]],'Alta Proveedor'!D:D,'Alta Proveedor'!E:E)=0,"",_xlfn.XLOOKUP(Imput[[#This Row],[RFC]],'Alta Proveedor'!D:D,'Alta Proveedor'!E:E)),"")</f>
        <v>M.N. DEL GOLFO "HOME CENTER TU ASESOR CONFIABLE"</v>
      </c>
      <c r="F370" s="832" t="s">
        <v>1686</v>
      </c>
      <c r="G370" s="187">
        <v>2</v>
      </c>
      <c r="H370" s="1">
        <v>110.87</v>
      </c>
      <c r="I370" s="169">
        <f>Imput[[#This Row],[Cantidad]]*Imput[[#This Row],[Precio Unitario]]</f>
        <v>221.74</v>
      </c>
      <c r="J370" s="11">
        <f>((Imput[[#This Row],[Sub total]])*(0.159995))</f>
        <v>35.477291300000005</v>
      </c>
      <c r="K370" s="11">
        <v>0</v>
      </c>
      <c r="L370" s="169">
        <f>Imput[[#This Row],[Sub total]]+Imput[[#This Row],[IVA]]-Imput[[#This Row],[Retención / IEPS / Descuento]]</f>
        <v>257.2172913</v>
      </c>
      <c r="M370" s="844">
        <v>0</v>
      </c>
      <c r="N370" s="189" t="s">
        <v>123</v>
      </c>
      <c r="O370" s="1"/>
      <c r="P370" s="189" t="s">
        <v>1317</v>
      </c>
      <c r="Q370" s="190" t="s">
        <v>1318</v>
      </c>
      <c r="R370" s="188">
        <v>45863</v>
      </c>
      <c r="S370" s="193" t="s">
        <v>126</v>
      </c>
      <c r="T370" s="192"/>
      <c r="U370" s="829"/>
      <c r="V370" s="10" t="s">
        <v>1012</v>
      </c>
      <c r="W370" s="10" t="s">
        <v>3795</v>
      </c>
      <c r="X370" s="10"/>
      <c r="Y370" s="10"/>
      <c r="Z370" s="10"/>
      <c r="AA370" s="11"/>
      <c r="AB370" s="11"/>
      <c r="AD370" s="260"/>
    </row>
    <row r="371" spans="2:30" x14ac:dyDescent="0.3">
      <c r="B371" s="10" t="s">
        <v>290</v>
      </c>
      <c r="C371" s="315" t="s">
        <v>2514</v>
      </c>
      <c r="D371" s="868" t="s">
        <v>264</v>
      </c>
      <c r="E371" s="837" t="str">
        <f>IFERROR(IF(_xlfn.XLOOKUP(Imput[[#This Row],[RFC]],'Alta Proveedor'!D:D,'Alta Proveedor'!E:E)=0,"",_xlfn.XLOOKUP(Imput[[#This Row],[RFC]],'Alta Proveedor'!D:D,'Alta Proveedor'!E:E)),"")</f>
        <v>M.N. DEL GOLFO "HOME CENTER TU ASESOR CONFIABLE"</v>
      </c>
      <c r="F371" s="832" t="s">
        <v>1687</v>
      </c>
      <c r="G371" s="187">
        <v>2</v>
      </c>
      <c r="H371" s="1">
        <v>26.855</v>
      </c>
      <c r="I371" s="169">
        <f>Imput[[#This Row],[Cantidad]]*Imput[[#This Row],[Precio Unitario]]</f>
        <v>53.71</v>
      </c>
      <c r="J371" s="11">
        <f>((Imput[[#This Row],[Sub total]])*(0.159995))</f>
        <v>8.5933314500000009</v>
      </c>
      <c r="K371" s="11">
        <v>0</v>
      </c>
      <c r="L371" s="169">
        <f>Imput[[#This Row],[Sub total]]+Imput[[#This Row],[IVA]]-Imput[[#This Row],[Retención / IEPS / Descuento]]</f>
        <v>62.303331450000002</v>
      </c>
      <c r="M371" s="844">
        <v>0</v>
      </c>
      <c r="N371" s="189" t="s">
        <v>123</v>
      </c>
      <c r="O371" s="1"/>
      <c r="P371" s="189" t="s">
        <v>1317</v>
      </c>
      <c r="Q371" s="190" t="s">
        <v>1318</v>
      </c>
      <c r="R371" s="188">
        <v>45863</v>
      </c>
      <c r="S371" s="193" t="s">
        <v>126</v>
      </c>
      <c r="T371" s="192"/>
      <c r="U371" s="829"/>
      <c r="V371" s="10" t="s">
        <v>1012</v>
      </c>
      <c r="W371" s="10" t="s">
        <v>513</v>
      </c>
      <c r="X371" s="10"/>
      <c r="Y371" s="10"/>
      <c r="Z371" s="10"/>
      <c r="AA371" s="11"/>
      <c r="AB371" s="11"/>
      <c r="AD371" s="260"/>
    </row>
    <row r="372" spans="2:30" x14ac:dyDescent="0.3">
      <c r="B372" s="10" t="s">
        <v>290</v>
      </c>
      <c r="C372" s="315" t="s">
        <v>2709</v>
      </c>
      <c r="D372" s="868" t="s">
        <v>264</v>
      </c>
      <c r="E372" s="837" t="str">
        <f>IFERROR(IF(_xlfn.XLOOKUP(Imput[[#This Row],[RFC]],'Alta Proveedor'!D:D,'Alta Proveedor'!E:E)=0,"",_xlfn.XLOOKUP(Imput[[#This Row],[RFC]],'Alta Proveedor'!D:D,'Alta Proveedor'!E:E)),"")</f>
        <v>M.N. DEL GOLFO "HOME CENTER TU ASESOR CONFIABLE"</v>
      </c>
      <c r="F372" s="832" t="s">
        <v>1688</v>
      </c>
      <c r="G372" s="187">
        <v>1</v>
      </c>
      <c r="H372" s="1">
        <v>113.33</v>
      </c>
      <c r="I372" s="169">
        <f>Imput[[#This Row],[Cantidad]]*Imput[[#This Row],[Precio Unitario]]</f>
        <v>113.33</v>
      </c>
      <c r="J372" s="11">
        <f>((Imput[[#This Row],[Sub total]])*(0.159995))</f>
        <v>18.13223335</v>
      </c>
      <c r="K372" s="11">
        <v>0</v>
      </c>
      <c r="L372" s="169">
        <f>Imput[[#This Row],[Sub total]]+Imput[[#This Row],[IVA]]-Imput[[#This Row],[Retención / IEPS / Descuento]]</f>
        <v>131.46223334999999</v>
      </c>
      <c r="M372" s="844">
        <v>0</v>
      </c>
      <c r="N372" s="189" t="s">
        <v>123</v>
      </c>
      <c r="O372" s="1"/>
      <c r="P372" s="189" t="s">
        <v>1317</v>
      </c>
      <c r="Q372" s="190" t="s">
        <v>1318</v>
      </c>
      <c r="R372" s="188">
        <v>45863</v>
      </c>
      <c r="S372" s="193" t="s">
        <v>126</v>
      </c>
      <c r="T372" s="192"/>
      <c r="U372" s="829"/>
      <c r="V372" s="10" t="s">
        <v>1012</v>
      </c>
      <c r="W372" s="10" t="s">
        <v>3795</v>
      </c>
      <c r="X372" s="10"/>
      <c r="Y372" s="10"/>
      <c r="Z372" s="10"/>
      <c r="AA372" s="11"/>
      <c r="AB372" s="11"/>
      <c r="AD372" s="260"/>
    </row>
    <row r="373" spans="2:30" x14ac:dyDescent="0.3">
      <c r="B373" s="10" t="s">
        <v>290</v>
      </c>
      <c r="C373" s="315" t="s">
        <v>2709</v>
      </c>
      <c r="D373" s="868" t="s">
        <v>264</v>
      </c>
      <c r="E373" s="837" t="str">
        <f>IFERROR(IF(_xlfn.XLOOKUP(Imput[[#This Row],[RFC]],'Alta Proveedor'!D:D,'Alta Proveedor'!E:E)=0,"",_xlfn.XLOOKUP(Imput[[#This Row],[RFC]],'Alta Proveedor'!D:D,'Alta Proveedor'!E:E)),"")</f>
        <v>M.N. DEL GOLFO "HOME CENTER TU ASESOR CONFIABLE"</v>
      </c>
      <c r="F373" s="832" t="s">
        <v>1689</v>
      </c>
      <c r="G373" s="187">
        <v>1</v>
      </c>
      <c r="H373" s="1">
        <v>90.92</v>
      </c>
      <c r="I373" s="169">
        <f>Imput[[#This Row],[Cantidad]]*Imput[[#This Row],[Precio Unitario]]</f>
        <v>90.92</v>
      </c>
      <c r="J373" s="11">
        <f>((Imput[[#This Row],[Sub total]])*(0.159995))</f>
        <v>14.546745400000001</v>
      </c>
      <c r="K373" s="11">
        <v>0</v>
      </c>
      <c r="L373" s="169">
        <f>Imput[[#This Row],[Sub total]]+Imput[[#This Row],[IVA]]-Imput[[#This Row],[Retención / IEPS / Descuento]]</f>
        <v>105.46674540000001</v>
      </c>
      <c r="M373" s="844">
        <v>0</v>
      </c>
      <c r="N373" s="189" t="s">
        <v>123</v>
      </c>
      <c r="O373" s="1"/>
      <c r="P373" s="189" t="s">
        <v>1317</v>
      </c>
      <c r="Q373" s="190" t="s">
        <v>1318</v>
      </c>
      <c r="R373" s="188">
        <v>45863</v>
      </c>
      <c r="S373" s="193" t="s">
        <v>126</v>
      </c>
      <c r="T373" s="192"/>
      <c r="U373" s="829"/>
      <c r="V373" s="10" t="s">
        <v>1012</v>
      </c>
      <c r="W373" s="10" t="s">
        <v>3795</v>
      </c>
      <c r="X373" s="10"/>
      <c r="Y373" s="10"/>
      <c r="Z373" s="10"/>
      <c r="AA373" s="11"/>
      <c r="AB373" s="11"/>
      <c r="AD373" s="260"/>
    </row>
    <row r="374" spans="2:30" x14ac:dyDescent="0.3">
      <c r="B374" s="10" t="s">
        <v>290</v>
      </c>
      <c r="C374" s="315" t="s">
        <v>2709</v>
      </c>
      <c r="D374" s="868" t="s">
        <v>264</v>
      </c>
      <c r="E374" s="837" t="str">
        <f>IFERROR(IF(_xlfn.XLOOKUP(Imput[[#This Row],[RFC]],'Alta Proveedor'!D:D,'Alta Proveedor'!E:E)=0,"",_xlfn.XLOOKUP(Imput[[#This Row],[RFC]],'Alta Proveedor'!D:D,'Alta Proveedor'!E:E)),"")</f>
        <v>M.N. DEL GOLFO "HOME CENTER TU ASESOR CONFIABLE"</v>
      </c>
      <c r="F374" s="832" t="s">
        <v>1186</v>
      </c>
      <c r="G374" s="187">
        <v>1</v>
      </c>
      <c r="H374" s="1">
        <v>47.09</v>
      </c>
      <c r="I374" s="169">
        <f>Imput[[#This Row],[Cantidad]]*Imput[[#This Row],[Precio Unitario]]</f>
        <v>47.09</v>
      </c>
      <c r="J374" s="11">
        <f>((Imput[[#This Row],[Sub total]])*(0.159995))</f>
        <v>7.5341645500000007</v>
      </c>
      <c r="K374" s="11">
        <v>0</v>
      </c>
      <c r="L374" s="169">
        <f>Imput[[#This Row],[Sub total]]+Imput[[#This Row],[IVA]]-Imput[[#This Row],[Retención / IEPS / Descuento]]</f>
        <v>54.624164550000003</v>
      </c>
      <c r="M374" s="844">
        <v>0</v>
      </c>
      <c r="N374" s="189" t="s">
        <v>123</v>
      </c>
      <c r="O374" s="1"/>
      <c r="P374" s="189" t="s">
        <v>1317</v>
      </c>
      <c r="Q374" s="190" t="s">
        <v>1318</v>
      </c>
      <c r="R374" s="188">
        <v>45863</v>
      </c>
      <c r="S374" s="193" t="s">
        <v>126</v>
      </c>
      <c r="T374" s="192"/>
      <c r="U374" s="829"/>
      <c r="V374" s="10" t="s">
        <v>1012</v>
      </c>
      <c r="W374" s="10" t="s">
        <v>3795</v>
      </c>
      <c r="X374" s="10"/>
      <c r="Y374" s="10"/>
      <c r="Z374" s="10"/>
      <c r="AA374" s="11"/>
      <c r="AB374" s="11"/>
      <c r="AD374" s="260"/>
    </row>
    <row r="375" spans="2:30" x14ac:dyDescent="0.3">
      <c r="B375" s="10" t="s">
        <v>290</v>
      </c>
      <c r="C375" s="315" t="s">
        <v>2515</v>
      </c>
      <c r="D375" s="868" t="s">
        <v>3079</v>
      </c>
      <c r="E375" s="837" t="str">
        <f>IFERROR(IF(_xlfn.XLOOKUP(Imput[[#This Row],[RFC]],'Alta Proveedor'!D:D,'Alta Proveedor'!E:E)=0,"",_xlfn.XLOOKUP(Imput[[#This Row],[RFC]],'Alta Proveedor'!D:D,'Alta Proveedor'!E:E)),"")</f>
        <v>MARCO ANTONIO CORTES SALAZAR</v>
      </c>
      <c r="F375" s="832" t="s">
        <v>3394</v>
      </c>
      <c r="G375" s="187">
        <v>1</v>
      </c>
      <c r="H375" s="1">
        <v>748.00280000000009</v>
      </c>
      <c r="I375" s="169">
        <f>Imput[[#This Row],[Cantidad]]*Imput[[#This Row],[Precio Unitario]]</f>
        <v>748.00280000000009</v>
      </c>
      <c r="J375" s="11">
        <v>0</v>
      </c>
      <c r="K375" s="11">
        <v>0</v>
      </c>
      <c r="L375" s="169">
        <f>Imput[[#This Row],[Sub total]]+Imput[[#This Row],[IVA]]-Imput[[#This Row],[Retención / IEPS / Descuento]]</f>
        <v>748.00280000000009</v>
      </c>
      <c r="M375" s="844">
        <v>748.00280000000009</v>
      </c>
      <c r="N375" s="189"/>
      <c r="O375" s="1"/>
      <c r="P375" s="189" t="str">
        <f>Imput[[#This Row],[Folio]]</f>
        <v>T51641</v>
      </c>
      <c r="Q375" s="190" t="s">
        <v>3087</v>
      </c>
      <c r="R375" s="188">
        <v>45863</v>
      </c>
      <c r="S375" s="193"/>
      <c r="T375" s="192"/>
      <c r="U375" s="829" t="s">
        <v>3099</v>
      </c>
      <c r="V375" s="10" t="s">
        <v>1012</v>
      </c>
      <c r="W375" s="10" t="s">
        <v>3795</v>
      </c>
      <c r="X375" s="10"/>
      <c r="Y375" s="10"/>
      <c r="Z375" s="10"/>
      <c r="AA375" s="11"/>
      <c r="AB375" s="11"/>
      <c r="AD375" s="260"/>
    </row>
    <row r="376" spans="2:30" x14ac:dyDescent="0.3">
      <c r="B376" s="10" t="s">
        <v>290</v>
      </c>
      <c r="C376" s="315" t="s">
        <v>1747</v>
      </c>
      <c r="D376" s="868" t="s">
        <v>3114</v>
      </c>
      <c r="E376" s="837" t="str">
        <f>IFERROR(IF(_xlfn.XLOOKUP(Imput[[#This Row],[RFC]],'Alta Proveedor'!D:D,'Alta Proveedor'!E:E)=0,"",_xlfn.XLOOKUP(Imput[[#This Row],[RFC]],'Alta Proveedor'!D:D,'Alta Proveedor'!E:E)),"")</f>
        <v>MARTHA GARCIA CHAVEZ</v>
      </c>
      <c r="F376" s="832" t="s">
        <v>1482</v>
      </c>
      <c r="G376" s="187">
        <v>1</v>
      </c>
      <c r="H376" s="1">
        <v>9800</v>
      </c>
      <c r="I376" s="169">
        <f>Imput[[#This Row],[Cantidad]]*Imput[[#This Row],[Precio Unitario]]</f>
        <v>9800</v>
      </c>
      <c r="J376" s="11">
        <v>0</v>
      </c>
      <c r="K376" s="11">
        <v>0</v>
      </c>
      <c r="L376" s="169">
        <f>Imput[[#This Row],[Sub total]]+Imput[[#This Row],[IVA]]-Imput[[#This Row],[Retención / IEPS / Descuento]]</f>
        <v>9800</v>
      </c>
      <c r="M376" s="844">
        <v>9800</v>
      </c>
      <c r="N376" s="189"/>
      <c r="O376" s="1"/>
      <c r="P376" s="189"/>
      <c r="Q376" s="190"/>
      <c r="R376" s="188">
        <v>45863</v>
      </c>
      <c r="S376" s="193"/>
      <c r="T376" s="192"/>
      <c r="U376" s="829" t="s">
        <v>3099</v>
      </c>
      <c r="V376" s="10" t="s">
        <v>3324</v>
      </c>
      <c r="W376" s="10" t="s">
        <v>3801</v>
      </c>
      <c r="X376" s="10"/>
      <c r="Y376" s="10"/>
      <c r="Z376" s="10"/>
      <c r="AA376" s="11"/>
      <c r="AB376" s="11"/>
      <c r="AD376" s="260"/>
    </row>
    <row r="377" spans="2:30" x14ac:dyDescent="0.3">
      <c r="B377" s="10" t="s">
        <v>290</v>
      </c>
      <c r="C377" s="315" t="s">
        <v>2469</v>
      </c>
      <c r="D377" s="868" t="s">
        <v>3119</v>
      </c>
      <c r="E377" s="837" t="str">
        <f>IFERROR(IF(_xlfn.XLOOKUP(Imput[[#This Row],[RFC]],'Alta Proveedor'!D:D,'Alta Proveedor'!E:E)=0,"",_xlfn.XLOOKUP(Imput[[#This Row],[RFC]],'Alta Proveedor'!D:D,'Alta Proveedor'!E:E)),"")</f>
        <v>Nomina-OPERACIÓN</v>
      </c>
      <c r="F377" s="836" t="s">
        <v>3148</v>
      </c>
      <c r="G377" s="187">
        <v>1</v>
      </c>
      <c r="H377" s="1">
        <v>7200</v>
      </c>
      <c r="I377" s="169">
        <f>Imput[[#This Row],[Cantidad]]*Imput[[#This Row],[Precio Unitario]]</f>
        <v>7200</v>
      </c>
      <c r="J377" s="11">
        <f>Imput[[#This Row],[Sub total]]*0.08</f>
        <v>576</v>
      </c>
      <c r="K377" s="11">
        <v>0</v>
      </c>
      <c r="L377" s="169">
        <f>Imput[[#This Row],[Sub total]]+Imput[[#This Row],[IVA]]-Imput[[#This Row],[Retención / IEPS / Descuento]]</f>
        <v>7776</v>
      </c>
      <c r="M377" s="844">
        <v>7776</v>
      </c>
      <c r="N377" s="189"/>
      <c r="O377" s="1"/>
      <c r="P377" s="189"/>
      <c r="Q377" s="190"/>
      <c r="R377" s="188">
        <v>45863</v>
      </c>
      <c r="S377" s="193"/>
      <c r="T377" s="192"/>
      <c r="U377" s="867" t="s">
        <v>3225</v>
      </c>
      <c r="V377" s="10" t="s">
        <v>3789</v>
      </c>
      <c r="W377" s="10" t="s">
        <v>3806</v>
      </c>
      <c r="X377" s="10"/>
      <c r="Y377" s="10"/>
      <c r="Z377" s="10"/>
      <c r="AA377" s="11"/>
      <c r="AB377" s="11"/>
      <c r="AD377" s="260"/>
    </row>
    <row r="378" spans="2:30" x14ac:dyDescent="0.3">
      <c r="B378" s="10" t="s">
        <v>290</v>
      </c>
      <c r="C378" s="315" t="s">
        <v>1763</v>
      </c>
      <c r="D378" s="868" t="s">
        <v>1036</v>
      </c>
      <c r="E378" s="837" t="str">
        <f>IFERROR(IF(_xlfn.XLOOKUP(Imput[[#This Row],[RFC]],'Alta Proveedor'!D:D,'Alta Proveedor'!E:E)=0,"",_xlfn.XLOOKUP(Imput[[#This Row],[RFC]],'Alta Proveedor'!D:D,'Alta Proveedor'!E:E)),"")</f>
        <v>AUTOZONE DE MEXICO</v>
      </c>
      <c r="F378" s="832" t="s">
        <v>1274</v>
      </c>
      <c r="G378" s="187">
        <v>1</v>
      </c>
      <c r="H378" s="1">
        <v>171.69</v>
      </c>
      <c r="I378" s="169">
        <f>Imput[[#This Row],[Cantidad]]*Imput[[#This Row],[Precio Unitario]]</f>
        <v>171.69</v>
      </c>
      <c r="J378" s="11">
        <f>((145.69)*(0.16))</f>
        <v>23.310400000000001</v>
      </c>
      <c r="K378" s="11">
        <v>26</v>
      </c>
      <c r="L378" s="169">
        <f>Imput[[#This Row],[Sub total]]+Imput[[#This Row],[IVA]]-Imput[[#This Row],[Retención / IEPS / Descuento]]</f>
        <v>169.00040000000001</v>
      </c>
      <c r="M378" s="844">
        <v>169.00040000000001</v>
      </c>
      <c r="N378" s="189" t="s">
        <v>123</v>
      </c>
      <c r="O378" s="1"/>
      <c r="P378" s="189" t="s">
        <v>1272</v>
      </c>
      <c r="Q378" s="190" t="s">
        <v>1273</v>
      </c>
      <c r="R378" s="188">
        <v>45864</v>
      </c>
      <c r="S378" s="193" t="s">
        <v>154</v>
      </c>
      <c r="T378" s="192"/>
      <c r="U378" s="829"/>
      <c r="V378" s="10" t="s">
        <v>3791</v>
      </c>
      <c r="W378" s="10" t="s">
        <v>3807</v>
      </c>
      <c r="X378" s="10"/>
      <c r="Y378" s="10"/>
      <c r="Z378" s="10"/>
      <c r="AA378" s="11"/>
      <c r="AB378" s="11"/>
      <c r="AD378" s="260"/>
    </row>
    <row r="379" spans="2:30" x14ac:dyDescent="0.3">
      <c r="B379" s="10" t="s">
        <v>290</v>
      </c>
      <c r="C379" s="315" t="s">
        <v>1131</v>
      </c>
      <c r="D379" s="868" t="s">
        <v>164</v>
      </c>
      <c r="E379" s="837" t="str">
        <f>IFERROR(IF(_xlfn.XLOOKUP(Imput[[#This Row],[RFC]],'Alta Proveedor'!D:D,'Alta Proveedor'!E:E)=0,"",_xlfn.XLOOKUP(Imput[[#This Row],[RFC]],'Alta Proveedor'!D:D,'Alta Proveedor'!E:E)),"")</f>
        <v>HOME DEPOT MEXICO SUCURSAL THD-8730 TAMPICO</v>
      </c>
      <c r="F379" s="832" t="s">
        <v>1878</v>
      </c>
      <c r="G379" s="187">
        <v>1</v>
      </c>
      <c r="H379" s="1">
        <v>13854.33</v>
      </c>
      <c r="I379" s="169">
        <f>Imput[[#This Row],[Cantidad]]*Imput[[#This Row],[Precio Unitario]]</f>
        <v>13854.33</v>
      </c>
      <c r="J379" s="11">
        <f>((Imput[[#This Row],[Sub total]])*(0.16))</f>
        <v>2216.6928000000003</v>
      </c>
      <c r="K379" s="11">
        <v>0</v>
      </c>
      <c r="L379" s="169">
        <f>Imput[[#This Row],[Sub total]]+Imput[[#This Row],[IVA]]-Imput[[#This Row],[Retención / IEPS / Descuento]]</f>
        <v>16071.022800000001</v>
      </c>
      <c r="M379" s="844">
        <v>16071.022800000001</v>
      </c>
      <c r="N379" s="189" t="s">
        <v>123</v>
      </c>
      <c r="O379" s="1"/>
      <c r="P379" s="189" t="s">
        <v>1302</v>
      </c>
      <c r="Q379" s="190" t="s">
        <v>1303</v>
      </c>
      <c r="R379" s="188">
        <v>45864</v>
      </c>
      <c r="S379" s="193" t="s">
        <v>126</v>
      </c>
      <c r="T379" s="192"/>
      <c r="U379" s="829"/>
      <c r="V379" s="10" t="s">
        <v>3791</v>
      </c>
      <c r="W379" s="10" t="s">
        <v>3803</v>
      </c>
      <c r="X379" s="10"/>
      <c r="Y379" s="10"/>
      <c r="Z379" s="10"/>
      <c r="AA379" s="11"/>
      <c r="AB379" s="11"/>
      <c r="AD379" s="260"/>
    </row>
    <row r="380" spans="2:30" x14ac:dyDescent="0.3">
      <c r="B380" s="10" t="s">
        <v>290</v>
      </c>
      <c r="C380" s="315" t="s">
        <v>2241</v>
      </c>
      <c r="D380" s="868" t="s">
        <v>164</v>
      </c>
      <c r="E380" s="837" t="str">
        <f>IFERROR(IF(_xlfn.XLOOKUP(Imput[[#This Row],[RFC]],'Alta Proveedor'!D:D,'Alta Proveedor'!E:E)=0,"",_xlfn.XLOOKUP(Imput[[#This Row],[RFC]],'Alta Proveedor'!D:D,'Alta Proveedor'!E:E)),"")</f>
        <v>HOME DEPOT MEXICO SUCURSAL THD-8730 TAMPICO</v>
      </c>
      <c r="F380" s="832" t="s">
        <v>165</v>
      </c>
      <c r="G380" s="187">
        <v>5</v>
      </c>
      <c r="H380" s="1">
        <f>1220.69/5</f>
        <v>244.13800000000001</v>
      </c>
      <c r="I380" s="169">
        <f>Imput[[#This Row],[Cantidad]]*Imput[[#This Row],[Precio Unitario]]</f>
        <v>1220.69</v>
      </c>
      <c r="J380" s="11">
        <f>((Imput[[#This Row],[Sub total]])*(0.16))</f>
        <v>195.31040000000002</v>
      </c>
      <c r="K380" s="11">
        <v>0</v>
      </c>
      <c r="L380" s="169">
        <f>Imput[[#This Row],[Sub total]]+Imput[[#This Row],[IVA]]-Imput[[#This Row],[Retención / IEPS / Descuento]]</f>
        <v>1416.0004000000001</v>
      </c>
      <c r="M380" s="844">
        <v>1416.0004000000001</v>
      </c>
      <c r="N380" s="189" t="s">
        <v>123</v>
      </c>
      <c r="O380" s="1"/>
      <c r="P380" s="189" t="s">
        <v>1304</v>
      </c>
      <c r="Q380" s="190" t="s">
        <v>1305</v>
      </c>
      <c r="R380" s="188">
        <v>45864</v>
      </c>
      <c r="S380" s="193" t="s">
        <v>126</v>
      </c>
      <c r="T380" s="192"/>
      <c r="U380" s="829"/>
      <c r="V380" s="10" t="s">
        <v>1012</v>
      </c>
      <c r="W380" s="10" t="s">
        <v>3795</v>
      </c>
      <c r="X380" s="10"/>
      <c r="Y380" s="10"/>
      <c r="Z380" s="10"/>
      <c r="AA380" s="11"/>
      <c r="AB380" s="11"/>
      <c r="AD380" s="260"/>
    </row>
    <row r="381" spans="2:30" x14ac:dyDescent="0.3">
      <c r="B381" s="10" t="s">
        <v>290</v>
      </c>
      <c r="C381" s="315" t="s">
        <v>2335</v>
      </c>
      <c r="D381" s="868" t="s">
        <v>164</v>
      </c>
      <c r="E381" s="837" t="str">
        <f>IFERROR(IF(_xlfn.XLOOKUP(Imput[[#This Row],[RFC]],'Alta Proveedor'!D:D,'Alta Proveedor'!E:E)=0,"",_xlfn.XLOOKUP(Imput[[#This Row],[RFC]],'Alta Proveedor'!D:D,'Alta Proveedor'!E:E)),"")</f>
        <v>HOME DEPOT MEXICO SUCURSAL THD-8730 TAMPICO</v>
      </c>
      <c r="F381" s="832" t="s">
        <v>1505</v>
      </c>
      <c r="G381" s="187">
        <v>2</v>
      </c>
      <c r="H381" s="1">
        <f>814.66/2</f>
        <v>407.33</v>
      </c>
      <c r="I381" s="169">
        <f>Imput[[#This Row],[Cantidad]]*Imput[[#This Row],[Precio Unitario]]</f>
        <v>814.66</v>
      </c>
      <c r="J381" s="11">
        <f>((Imput[[#This Row],[Sub total]])*(0.16))</f>
        <v>130.34559999999999</v>
      </c>
      <c r="K381" s="11">
        <v>0</v>
      </c>
      <c r="L381" s="169">
        <f>Imput[[#This Row],[Sub total]]+Imput[[#This Row],[IVA]]-Imput[[#This Row],[Retención / IEPS / Descuento]]</f>
        <v>945.00559999999996</v>
      </c>
      <c r="M381" s="844">
        <v>1651.5035999999998</v>
      </c>
      <c r="N381" s="189" t="s">
        <v>123</v>
      </c>
      <c r="O381" s="1"/>
      <c r="P381" s="189" t="s">
        <v>1306</v>
      </c>
      <c r="Q381" s="190" t="s">
        <v>1307</v>
      </c>
      <c r="R381" s="188">
        <v>45864</v>
      </c>
      <c r="S381" s="193" t="s">
        <v>126</v>
      </c>
      <c r="T381" s="192"/>
      <c r="U381" s="829"/>
      <c r="V381" s="10" t="s">
        <v>1012</v>
      </c>
      <c r="W381" s="10" t="s">
        <v>3795</v>
      </c>
      <c r="X381" s="10"/>
      <c r="Y381" s="10"/>
      <c r="Z381" s="10"/>
      <c r="AA381" s="11"/>
      <c r="AB381" s="11"/>
      <c r="AD381" s="260"/>
    </row>
    <row r="382" spans="2:30" x14ac:dyDescent="0.3">
      <c r="B382" s="10" t="s">
        <v>290</v>
      </c>
      <c r="C382" s="315" t="s">
        <v>2335</v>
      </c>
      <c r="D382" s="868" t="s">
        <v>164</v>
      </c>
      <c r="E382" s="837" t="str">
        <f>IFERROR(IF(_xlfn.XLOOKUP(Imput[[#This Row],[RFC]],'Alta Proveedor'!D:D,'Alta Proveedor'!E:E)=0,"",_xlfn.XLOOKUP(Imput[[#This Row],[RFC]],'Alta Proveedor'!D:D,'Alta Proveedor'!E:E)),"")</f>
        <v>HOME DEPOT MEXICO SUCURSAL THD-8730 TAMPICO</v>
      </c>
      <c r="F382" s="832" t="s">
        <v>1506</v>
      </c>
      <c r="G382" s="187">
        <v>1</v>
      </c>
      <c r="H382" s="1">
        <f>500.43</f>
        <v>500.43</v>
      </c>
      <c r="I382" s="169">
        <f>Imput[[#This Row],[Cantidad]]*Imput[[#This Row],[Precio Unitario]]</f>
        <v>500.43</v>
      </c>
      <c r="J382" s="11">
        <f>((Imput[[#This Row],[Sub total]])*(0.16))</f>
        <v>80.068799999999996</v>
      </c>
      <c r="K382" s="11">
        <v>0</v>
      </c>
      <c r="L382" s="169">
        <f>Imput[[#This Row],[Sub total]]+Imput[[#This Row],[IVA]]-Imput[[#This Row],[Retención / IEPS / Descuento]]</f>
        <v>580.49879999999996</v>
      </c>
      <c r="M382" s="844">
        <v>0</v>
      </c>
      <c r="N382" s="189" t="s">
        <v>123</v>
      </c>
      <c r="O382" s="1"/>
      <c r="P382" s="189" t="s">
        <v>1306</v>
      </c>
      <c r="Q382" s="190" t="s">
        <v>1307</v>
      </c>
      <c r="R382" s="188">
        <v>45864</v>
      </c>
      <c r="S382" s="193" t="s">
        <v>126</v>
      </c>
      <c r="T382" s="192"/>
      <c r="U382" s="829"/>
      <c r="V382" s="10" t="s">
        <v>1012</v>
      </c>
      <c r="W382" s="10" t="s">
        <v>3795</v>
      </c>
      <c r="X382" s="10"/>
      <c r="Y382" s="10"/>
      <c r="Z382" s="10"/>
      <c r="AA382" s="11"/>
      <c r="AB382" s="11"/>
      <c r="AD382" s="260"/>
    </row>
    <row r="383" spans="2:30" x14ac:dyDescent="0.3">
      <c r="B383" s="10" t="s">
        <v>290</v>
      </c>
      <c r="C383" s="549" t="s">
        <v>2437</v>
      </c>
      <c r="D383" s="868" t="s">
        <v>164</v>
      </c>
      <c r="E383" s="837" t="str">
        <f>IFERROR(IF(_xlfn.XLOOKUP(Imput[[#This Row],[RFC]],'Alta Proveedor'!D:D,'Alta Proveedor'!E:E)=0,"",_xlfn.XLOOKUP(Imput[[#This Row],[RFC]],'Alta Proveedor'!D:D,'Alta Proveedor'!E:E)),"")</f>
        <v>HOME DEPOT MEXICO SUCURSAL THD-8730 TAMPICO</v>
      </c>
      <c r="F383" s="832" t="s">
        <v>1507</v>
      </c>
      <c r="G383" s="187">
        <v>2</v>
      </c>
      <c r="H383" s="1">
        <f>108.62/2</f>
        <v>54.31</v>
      </c>
      <c r="I383" s="169">
        <f>Imput[[#This Row],[Cantidad]]*Imput[[#This Row],[Precio Unitario]]</f>
        <v>108.62</v>
      </c>
      <c r="J383" s="11">
        <f>((Imput[[#This Row],[Sub total]])*(0.16))</f>
        <v>17.379200000000001</v>
      </c>
      <c r="K383" s="11">
        <v>0</v>
      </c>
      <c r="L383" s="169">
        <f>Imput[[#This Row],[Sub total]]+Imput[[#This Row],[IVA]]-Imput[[#This Row],[Retención / IEPS / Descuento]]</f>
        <v>125.9992</v>
      </c>
      <c r="M383" s="844">
        <v>0</v>
      </c>
      <c r="N383" s="189" t="s">
        <v>123</v>
      </c>
      <c r="O383" s="1"/>
      <c r="P383" s="189" t="s">
        <v>1306</v>
      </c>
      <c r="Q383" s="190" t="s">
        <v>1307</v>
      </c>
      <c r="R383" s="188">
        <v>45864</v>
      </c>
      <c r="S383" s="193" t="s">
        <v>126</v>
      </c>
      <c r="T383" s="192"/>
      <c r="U383" s="829"/>
      <c r="V383" s="10" t="s">
        <v>1012</v>
      </c>
      <c r="W383" s="10" t="s">
        <v>3795</v>
      </c>
      <c r="X383" s="10"/>
      <c r="Y383" s="10"/>
      <c r="Z383" s="10"/>
      <c r="AA383" s="11"/>
      <c r="AB383" s="11"/>
      <c r="AD383" s="260"/>
    </row>
    <row r="384" spans="2:30" x14ac:dyDescent="0.3">
      <c r="B384" s="10" t="s">
        <v>290</v>
      </c>
      <c r="C384" s="315" t="s">
        <v>2437</v>
      </c>
      <c r="D384" s="868" t="s">
        <v>3115</v>
      </c>
      <c r="E384" s="837" t="str">
        <f>IFERROR(IF(_xlfn.XLOOKUP(Imput[[#This Row],[RFC]],'Alta Proveedor'!D:D,'Alta Proveedor'!E:E)=0,"",_xlfn.XLOOKUP(Imput[[#This Row],[RFC]],'Alta Proveedor'!D:D,'Alta Proveedor'!E:E)),"")</f>
        <v>JOSE GUTIERREZ</v>
      </c>
      <c r="F384" s="832" t="s">
        <v>3116</v>
      </c>
      <c r="G384" s="187">
        <v>1</v>
      </c>
      <c r="H384" s="1">
        <v>15030</v>
      </c>
      <c r="I384" s="169">
        <f>Imput[[#This Row],[Cantidad]]*Imput[[#This Row],[Precio Unitario]]</f>
        <v>15030</v>
      </c>
      <c r="J384" s="11">
        <v>0</v>
      </c>
      <c r="K384" s="11">
        <v>0</v>
      </c>
      <c r="L384" s="169">
        <f>Imput[[#This Row],[Sub total]]+Imput[[#This Row],[IVA]]-Imput[[#This Row],[Retención / IEPS / Descuento]]</f>
        <v>15030</v>
      </c>
      <c r="M384" s="844">
        <v>15030</v>
      </c>
      <c r="N384" s="189"/>
      <c r="O384" s="1"/>
      <c r="P384" s="189"/>
      <c r="Q384" s="190"/>
      <c r="R384" s="188">
        <v>45864</v>
      </c>
      <c r="S384" s="193"/>
      <c r="T384" s="192"/>
      <c r="U384" s="829" t="s">
        <v>3099</v>
      </c>
      <c r="V384" s="10" t="s">
        <v>3324</v>
      </c>
      <c r="W384" s="10" t="s">
        <v>3327</v>
      </c>
      <c r="X384" s="10"/>
      <c r="Y384" s="10"/>
      <c r="Z384" s="10"/>
      <c r="AA384" s="11"/>
      <c r="AB384" s="11"/>
      <c r="AD384" s="260"/>
    </row>
    <row r="385" spans="2:30" x14ac:dyDescent="0.3">
      <c r="B385" s="10" t="s">
        <v>290</v>
      </c>
      <c r="C385" s="315" t="s">
        <v>2335</v>
      </c>
      <c r="D385" s="868" t="s">
        <v>3119</v>
      </c>
      <c r="E385" s="837" t="str">
        <f>IFERROR(IF(_xlfn.XLOOKUP(Imput[[#This Row],[RFC]],'Alta Proveedor'!D:D,'Alta Proveedor'!E:E)=0,"",_xlfn.XLOOKUP(Imput[[#This Row],[RFC]],'Alta Proveedor'!D:D,'Alta Proveedor'!E:E)),"")</f>
        <v>Nomina-OPERACIÓN</v>
      </c>
      <c r="F385" s="836" t="s">
        <v>3149</v>
      </c>
      <c r="G385" s="187">
        <v>1</v>
      </c>
      <c r="H385" s="1">
        <v>50303.57</v>
      </c>
      <c r="I385" s="169">
        <f>Imput[[#This Row],[Cantidad]]*Imput[[#This Row],[Precio Unitario]]</f>
        <v>50303.57</v>
      </c>
      <c r="J385" s="11">
        <f>Imput[[#This Row],[Sub total]]*0.08</f>
        <v>4024.2856000000002</v>
      </c>
      <c r="K385" s="11">
        <v>0</v>
      </c>
      <c r="L385" s="169">
        <f>Imput[[#This Row],[Sub total]]+Imput[[#This Row],[IVA]]-Imput[[#This Row],[Retención / IEPS / Descuento]]</f>
        <v>54327.855600000003</v>
      </c>
      <c r="M385" s="844">
        <v>54327.855600000003</v>
      </c>
      <c r="N385" s="189"/>
      <c r="O385" s="1"/>
      <c r="P385" s="189"/>
      <c r="Q385" s="190"/>
      <c r="R385" s="188">
        <v>45864</v>
      </c>
      <c r="S385" s="193"/>
      <c r="T385" s="192"/>
      <c r="U385" s="867" t="s">
        <v>3225</v>
      </c>
      <c r="V385" s="10" t="s">
        <v>3108</v>
      </c>
      <c r="W385" s="10" t="s">
        <v>3793</v>
      </c>
      <c r="X385" s="10"/>
      <c r="Y385" s="10"/>
      <c r="Z385" s="10"/>
      <c r="AA385" s="11"/>
      <c r="AB385" s="11"/>
      <c r="AD385" s="260"/>
    </row>
    <row r="386" spans="2:30" x14ac:dyDescent="0.3">
      <c r="B386" s="10" t="s">
        <v>290</v>
      </c>
      <c r="C386" s="315" t="s">
        <v>2334</v>
      </c>
      <c r="D386" s="868" t="s">
        <v>3119</v>
      </c>
      <c r="E386" s="837" t="str">
        <f>IFERROR(IF(_xlfn.XLOOKUP(Imput[[#This Row],[RFC]],'Alta Proveedor'!D:D,'Alta Proveedor'!E:E)=0,"",_xlfn.XLOOKUP(Imput[[#This Row],[RFC]],'Alta Proveedor'!D:D,'Alta Proveedor'!E:E)),"")</f>
        <v>Nomina-OPERACIÓN</v>
      </c>
      <c r="F386" s="836" t="s">
        <v>3150</v>
      </c>
      <c r="G386" s="187">
        <v>1</v>
      </c>
      <c r="H386" s="1">
        <v>60660</v>
      </c>
      <c r="I386" s="169">
        <f>Imput[[#This Row],[Cantidad]]*Imput[[#This Row],[Precio Unitario]]</f>
        <v>60660</v>
      </c>
      <c r="J386" s="11">
        <f>Imput[[#This Row],[Sub total]]*0.08</f>
        <v>4852.8</v>
      </c>
      <c r="K386" s="11">
        <v>0</v>
      </c>
      <c r="L386" s="169">
        <f>Imput[[#This Row],[Sub total]]+Imput[[#This Row],[IVA]]-Imput[[#This Row],[Retención / IEPS / Descuento]]</f>
        <v>65512.800000000003</v>
      </c>
      <c r="M386" s="844">
        <v>65512.800000000003</v>
      </c>
      <c r="N386" s="189"/>
      <c r="O386" s="1"/>
      <c r="P386" s="189"/>
      <c r="Q386" s="190"/>
      <c r="R386" s="188">
        <v>45864</v>
      </c>
      <c r="S386" s="193"/>
      <c r="T386" s="192"/>
      <c r="U386" s="867" t="s">
        <v>3225</v>
      </c>
      <c r="V386" s="10" t="s">
        <v>3108</v>
      </c>
      <c r="W386" s="10" t="s">
        <v>3799</v>
      </c>
      <c r="X386" s="10"/>
      <c r="Y386" s="10"/>
      <c r="Z386" s="10"/>
      <c r="AA386" s="11"/>
      <c r="AB386" s="11"/>
      <c r="AD386" s="260"/>
    </row>
    <row r="387" spans="2:30" x14ac:dyDescent="0.3">
      <c r="B387" s="10" t="s">
        <v>290</v>
      </c>
      <c r="C387" s="315" t="s">
        <v>2335</v>
      </c>
      <c r="D387" s="868" t="s">
        <v>3119</v>
      </c>
      <c r="E387" s="837" t="str">
        <f>IFERROR(IF(_xlfn.XLOOKUP(Imput[[#This Row],[RFC]],'Alta Proveedor'!D:D,'Alta Proveedor'!E:E)=0,"",_xlfn.XLOOKUP(Imput[[#This Row],[RFC]],'Alta Proveedor'!D:D,'Alta Proveedor'!E:E)),"")</f>
        <v>Nomina-OPERACIÓN</v>
      </c>
      <c r="F387" s="836" t="s">
        <v>3151</v>
      </c>
      <c r="G387" s="187">
        <v>1</v>
      </c>
      <c r="H387" s="1">
        <v>4017.86</v>
      </c>
      <c r="I387" s="169">
        <f>Imput[[#This Row],[Cantidad]]*Imput[[#This Row],[Precio Unitario]]</f>
        <v>4017.86</v>
      </c>
      <c r="J387" s="11">
        <f>Imput[[#This Row],[Sub total]]*0.08</f>
        <v>321.42880000000002</v>
      </c>
      <c r="K387" s="11">
        <v>0</v>
      </c>
      <c r="L387" s="169">
        <f>Imput[[#This Row],[Sub total]]+Imput[[#This Row],[IVA]]-Imput[[#This Row],[Retención / IEPS / Descuento]]</f>
        <v>4339.2888000000003</v>
      </c>
      <c r="M387" s="844">
        <v>4339.2888000000003</v>
      </c>
      <c r="N387" s="189"/>
      <c r="O387" s="1"/>
      <c r="P387" s="189"/>
      <c r="Q387" s="190"/>
      <c r="R387" s="188">
        <v>45864</v>
      </c>
      <c r="S387" s="193"/>
      <c r="T387" s="192"/>
      <c r="U387" s="867" t="s">
        <v>3225</v>
      </c>
      <c r="V387" s="10" t="s">
        <v>3108</v>
      </c>
      <c r="W387" s="10" t="s">
        <v>3793</v>
      </c>
      <c r="X387" s="10"/>
      <c r="Y387" s="10"/>
      <c r="Z387" s="10"/>
      <c r="AA387" s="11"/>
      <c r="AB387" s="11"/>
      <c r="AD387" s="260"/>
    </row>
    <row r="388" spans="2:30" x14ac:dyDescent="0.3">
      <c r="B388" s="10" t="s">
        <v>290</v>
      </c>
      <c r="C388" s="315" t="s">
        <v>2335</v>
      </c>
      <c r="D388" s="868" t="s">
        <v>3119</v>
      </c>
      <c r="E388" s="837" t="str">
        <f>IFERROR(IF(_xlfn.XLOOKUP(Imput[[#This Row],[RFC]],'Alta Proveedor'!D:D,'Alta Proveedor'!E:E)=0,"",_xlfn.XLOOKUP(Imput[[#This Row],[RFC]],'Alta Proveedor'!D:D,'Alta Proveedor'!E:E)),"")</f>
        <v>Nomina-OPERACIÓN</v>
      </c>
      <c r="F388" s="836" t="s">
        <v>3152</v>
      </c>
      <c r="G388" s="187">
        <v>1</v>
      </c>
      <c r="H388" s="1">
        <v>38291.29</v>
      </c>
      <c r="I388" s="169">
        <f>Imput[[#This Row],[Cantidad]]*Imput[[#This Row],[Precio Unitario]]</f>
        <v>38291.29</v>
      </c>
      <c r="J388" s="11">
        <f>Imput[[#This Row],[Sub total]]*0.08</f>
        <v>3063.3032000000003</v>
      </c>
      <c r="K388" s="11">
        <v>0</v>
      </c>
      <c r="L388" s="169">
        <f>Imput[[#This Row],[Sub total]]+Imput[[#This Row],[IVA]]-Imput[[#This Row],[Retención / IEPS / Descuento]]</f>
        <v>41354.593200000003</v>
      </c>
      <c r="M388" s="844">
        <v>41354.593200000003</v>
      </c>
      <c r="N388" s="189"/>
      <c r="O388" s="1"/>
      <c r="P388" s="189"/>
      <c r="Q388" s="190"/>
      <c r="R388" s="188">
        <v>45864</v>
      </c>
      <c r="S388" s="193"/>
      <c r="T388" s="192"/>
      <c r="U388" s="867" t="s">
        <v>3225</v>
      </c>
      <c r="V388" s="10" t="s">
        <v>3108</v>
      </c>
      <c r="W388" s="10" t="s">
        <v>3793</v>
      </c>
      <c r="X388" s="10"/>
      <c r="Y388" s="10"/>
      <c r="Z388" s="10"/>
      <c r="AA388" s="11"/>
      <c r="AB388" s="11"/>
      <c r="AD388" s="260"/>
    </row>
    <row r="389" spans="2:30" x14ac:dyDescent="0.3">
      <c r="B389" s="10" t="s">
        <v>290</v>
      </c>
      <c r="C389" s="315" t="s">
        <v>1845</v>
      </c>
      <c r="D389" s="868" t="s">
        <v>3225</v>
      </c>
      <c r="E389" s="837" t="str">
        <f>IFERROR(IF(_xlfn.XLOOKUP(Imput[[#This Row],[RFC]],'Alta Proveedor'!D:D,'Alta Proveedor'!E:E)=0,"",_xlfn.XLOOKUP(Imput[[#This Row],[RFC]],'Alta Proveedor'!D:D,'Alta Proveedor'!E:E)),"")</f>
        <v>GASTOS SIN FACTURA</v>
      </c>
      <c r="F389" s="836" t="s">
        <v>3195</v>
      </c>
      <c r="G389" s="187">
        <v>1</v>
      </c>
      <c r="H389" s="1">
        <v>4500</v>
      </c>
      <c r="I389" s="169">
        <f>Imput[[#This Row],[Cantidad]]*Imput[[#This Row],[Precio Unitario]]</f>
        <v>4500</v>
      </c>
      <c r="J389" s="11">
        <f>Imput[[#This Row],[Sub total]]*0.08</f>
        <v>360</v>
      </c>
      <c r="K389" s="11">
        <v>0</v>
      </c>
      <c r="L389" s="169">
        <f>Imput[[#This Row],[Sub total]]+Imput[[#This Row],[IVA]]-Imput[[#This Row],[Retención / IEPS / Descuento]]</f>
        <v>4860</v>
      </c>
      <c r="M389" s="844">
        <v>4860</v>
      </c>
      <c r="N389" s="189"/>
      <c r="O389" s="1"/>
      <c r="P389" s="189"/>
      <c r="Q389" s="190"/>
      <c r="R389" s="188">
        <v>45864</v>
      </c>
      <c r="S389" s="193"/>
      <c r="T389" s="192"/>
      <c r="U389" s="867" t="s">
        <v>3225</v>
      </c>
      <c r="V389" s="10" t="s">
        <v>3789</v>
      </c>
      <c r="W389" s="10" t="s">
        <v>3804</v>
      </c>
      <c r="X389" s="10"/>
      <c r="Y389" s="10"/>
      <c r="Z389" s="10"/>
      <c r="AA389" s="11"/>
      <c r="AB389" s="11"/>
      <c r="AD389" s="260"/>
    </row>
    <row r="390" spans="2:30" x14ac:dyDescent="0.3">
      <c r="B390" s="10" t="s">
        <v>290</v>
      </c>
      <c r="C390" s="315" t="s">
        <v>2437</v>
      </c>
      <c r="D390" s="868" t="s">
        <v>3225</v>
      </c>
      <c r="E390" s="837" t="str">
        <f>IFERROR(IF(_xlfn.XLOOKUP(Imput[[#This Row],[RFC]],'Alta Proveedor'!D:D,'Alta Proveedor'!E:E)=0,"",_xlfn.XLOOKUP(Imput[[#This Row],[RFC]],'Alta Proveedor'!D:D,'Alta Proveedor'!E:E)),"")</f>
        <v>GASTOS SIN FACTURA</v>
      </c>
      <c r="F390" s="836" t="s">
        <v>3197</v>
      </c>
      <c r="G390" s="187">
        <v>1</v>
      </c>
      <c r="H390" s="1">
        <v>7200</v>
      </c>
      <c r="I390" s="169">
        <f>Imput[[#This Row],[Cantidad]]*Imput[[#This Row],[Precio Unitario]]</f>
        <v>7200</v>
      </c>
      <c r="J390" s="11">
        <f>Imput[[#This Row],[Sub total]]*0.08</f>
        <v>576</v>
      </c>
      <c r="K390" s="11">
        <v>0</v>
      </c>
      <c r="L390" s="169">
        <f>Imput[[#This Row],[Sub total]]+Imput[[#This Row],[IVA]]-Imput[[#This Row],[Retención / IEPS / Descuento]]</f>
        <v>7776</v>
      </c>
      <c r="M390" s="844">
        <v>7776</v>
      </c>
      <c r="N390" s="189"/>
      <c r="O390" s="1"/>
      <c r="P390" s="189"/>
      <c r="Q390" s="190"/>
      <c r="R390" s="188">
        <v>45864</v>
      </c>
      <c r="S390" s="193"/>
      <c r="T390" s="192"/>
      <c r="U390" s="867" t="s">
        <v>3225</v>
      </c>
      <c r="V390" s="10" t="s">
        <v>3789</v>
      </c>
      <c r="W390" s="10" t="s">
        <v>3808</v>
      </c>
      <c r="X390" s="10"/>
      <c r="Y390" s="10"/>
      <c r="Z390" s="10"/>
      <c r="AA390" s="11"/>
      <c r="AB390" s="11"/>
      <c r="AD390" s="260"/>
    </row>
    <row r="391" spans="2:30" x14ac:dyDescent="0.3">
      <c r="B391" s="10" t="s">
        <v>290</v>
      </c>
      <c r="C391" s="315" t="s">
        <v>2335</v>
      </c>
      <c r="D391" s="868" t="s">
        <v>3225</v>
      </c>
      <c r="E391" s="837" t="str">
        <f>IFERROR(IF(_xlfn.XLOOKUP(Imput[[#This Row],[RFC]],'Alta Proveedor'!D:D,'Alta Proveedor'!E:E)=0,"",_xlfn.XLOOKUP(Imput[[#This Row],[RFC]],'Alta Proveedor'!D:D,'Alta Proveedor'!E:E)),"")</f>
        <v>GASTOS SIN FACTURA</v>
      </c>
      <c r="F391" s="836" t="s">
        <v>3198</v>
      </c>
      <c r="G391" s="187">
        <v>1</v>
      </c>
      <c r="H391" s="1">
        <v>12000</v>
      </c>
      <c r="I391" s="169">
        <f>Imput[[#This Row],[Cantidad]]*Imput[[#This Row],[Precio Unitario]]</f>
        <v>12000</v>
      </c>
      <c r="J391" s="11">
        <f>Imput[[#This Row],[Sub total]]*0.08</f>
        <v>960</v>
      </c>
      <c r="K391" s="11">
        <v>0</v>
      </c>
      <c r="L391" s="169">
        <f>Imput[[#This Row],[Sub total]]+Imput[[#This Row],[IVA]]-Imput[[#This Row],[Retención / IEPS / Descuento]]</f>
        <v>12960</v>
      </c>
      <c r="M391" s="844">
        <v>12960</v>
      </c>
      <c r="N391" s="189"/>
      <c r="O391" s="1"/>
      <c r="P391" s="189"/>
      <c r="Q391" s="190"/>
      <c r="R391" s="188">
        <v>45864</v>
      </c>
      <c r="S391" s="193"/>
      <c r="T391" s="192"/>
      <c r="U391" s="867" t="s">
        <v>3225</v>
      </c>
      <c r="V391" s="10" t="s">
        <v>3789</v>
      </c>
      <c r="W391" s="10" t="s">
        <v>478</v>
      </c>
      <c r="X391" s="10"/>
      <c r="Y391" s="10"/>
      <c r="Z391" s="10"/>
      <c r="AA391" s="11"/>
      <c r="AB391" s="11"/>
      <c r="AD391" s="260"/>
    </row>
    <row r="392" spans="2:30" x14ac:dyDescent="0.3">
      <c r="B392" s="10" t="s">
        <v>290</v>
      </c>
      <c r="C392" s="315" t="s">
        <v>2335</v>
      </c>
      <c r="D392" s="868" t="s">
        <v>3225</v>
      </c>
      <c r="E392" s="837" t="str">
        <f>IFERROR(IF(_xlfn.XLOOKUP(Imput[[#This Row],[RFC]],'Alta Proveedor'!D:D,'Alta Proveedor'!E:E)=0,"",_xlfn.XLOOKUP(Imput[[#This Row],[RFC]],'Alta Proveedor'!D:D,'Alta Proveedor'!E:E)),"")</f>
        <v>GASTOS SIN FACTURA</v>
      </c>
      <c r="F392" s="836" t="s">
        <v>3199</v>
      </c>
      <c r="G392" s="187">
        <v>1</v>
      </c>
      <c r="H392" s="1">
        <v>600</v>
      </c>
      <c r="I392" s="169">
        <f>Imput[[#This Row],[Cantidad]]*Imput[[#This Row],[Precio Unitario]]</f>
        <v>600</v>
      </c>
      <c r="J392" s="11">
        <f>Imput[[#This Row],[Sub total]]*0.08</f>
        <v>48</v>
      </c>
      <c r="K392" s="11">
        <v>0</v>
      </c>
      <c r="L392" s="169">
        <f>Imput[[#This Row],[Sub total]]+Imput[[#This Row],[IVA]]-Imput[[#This Row],[Retención / IEPS / Descuento]]</f>
        <v>648</v>
      </c>
      <c r="M392" s="844">
        <v>648</v>
      </c>
      <c r="N392" s="189"/>
      <c r="O392" s="1"/>
      <c r="P392" s="189"/>
      <c r="Q392" s="190"/>
      <c r="R392" s="188">
        <v>45864</v>
      </c>
      <c r="S392" s="193"/>
      <c r="T392" s="192"/>
      <c r="U392" s="867" t="s">
        <v>3225</v>
      </c>
      <c r="V392" s="10" t="s">
        <v>3108</v>
      </c>
      <c r="W392" s="10" t="s">
        <v>3793</v>
      </c>
      <c r="X392" s="10"/>
      <c r="Y392" s="10"/>
      <c r="Z392" s="10"/>
      <c r="AA392" s="11"/>
      <c r="AB392" s="11"/>
      <c r="AD392" s="260"/>
    </row>
    <row r="393" spans="2:30" x14ac:dyDescent="0.3">
      <c r="B393" s="10" t="s">
        <v>290</v>
      </c>
      <c r="C393" s="315" t="s">
        <v>2428</v>
      </c>
      <c r="D393" s="868" t="s">
        <v>164</v>
      </c>
      <c r="E393" s="837" t="str">
        <f>IFERROR(IF(_xlfn.XLOOKUP(Imput[[#This Row],[RFC]],'Alta Proveedor'!D:D,'Alta Proveedor'!E:E)=0,"",_xlfn.XLOOKUP(Imput[[#This Row],[RFC]],'Alta Proveedor'!D:D,'Alta Proveedor'!E:E)),"")</f>
        <v>HOME DEPOT MEXICO SUCURSAL THD-8730 TAMPICO</v>
      </c>
      <c r="F393" s="832" t="s">
        <v>3395</v>
      </c>
      <c r="G393" s="187">
        <v>4</v>
      </c>
      <c r="H393" s="1">
        <f>1078/4</f>
        <v>269.5</v>
      </c>
      <c r="I393" s="169">
        <f>Imput[[#This Row],[Cantidad]]*Imput[[#This Row],[Precio Unitario]]</f>
        <v>1078</v>
      </c>
      <c r="J393" s="11">
        <f>((Imput[[#This Row],[Sub total]])*(0.16))</f>
        <v>172.48</v>
      </c>
      <c r="K393" s="11">
        <v>0</v>
      </c>
      <c r="L393" s="169">
        <f>Imput[[#This Row],[Sub total]]+Imput[[#This Row],[IVA]]-Imput[[#This Row],[Retención / IEPS / Descuento]]</f>
        <v>1250.48</v>
      </c>
      <c r="M393" s="844">
        <v>1541.1759999999999</v>
      </c>
      <c r="N393" s="189" t="s">
        <v>123</v>
      </c>
      <c r="O393" s="1"/>
      <c r="P393" s="189" t="s">
        <v>1308</v>
      </c>
      <c r="Q393" s="190" t="s">
        <v>1309</v>
      </c>
      <c r="R393" s="188">
        <v>45865</v>
      </c>
      <c r="S393" s="193" t="s">
        <v>126</v>
      </c>
      <c r="T393" s="192"/>
      <c r="U393" s="829"/>
      <c r="V393" s="10" t="s">
        <v>1012</v>
      </c>
      <c r="W393" s="10" t="s">
        <v>3795</v>
      </c>
      <c r="X393" s="10"/>
      <c r="Y393" s="10"/>
      <c r="Z393" s="10"/>
      <c r="AA393" s="11"/>
      <c r="AB393" s="11"/>
      <c r="AD393" s="260"/>
    </row>
    <row r="394" spans="2:30" x14ac:dyDescent="0.3">
      <c r="B394" s="10" t="s">
        <v>290</v>
      </c>
      <c r="C394" s="315" t="s">
        <v>2428</v>
      </c>
      <c r="D394" s="868" t="s">
        <v>164</v>
      </c>
      <c r="E394" s="837" t="str">
        <f>IFERROR(IF(_xlfn.XLOOKUP(Imput[[#This Row],[RFC]],'Alta Proveedor'!D:D,'Alta Proveedor'!E:E)=0,"",_xlfn.XLOOKUP(Imput[[#This Row],[RFC]],'Alta Proveedor'!D:D,'Alta Proveedor'!E:E)),"")</f>
        <v>HOME DEPOT MEXICO SUCURSAL THD-8730 TAMPICO</v>
      </c>
      <c r="F394" s="832" t="s">
        <v>3396</v>
      </c>
      <c r="G394" s="187">
        <v>4</v>
      </c>
      <c r="H394" s="1">
        <f>220.34/4</f>
        <v>55.085000000000001</v>
      </c>
      <c r="I394" s="169">
        <f>Imput[[#This Row],[Cantidad]]*Imput[[#This Row],[Precio Unitario]]</f>
        <v>220.34</v>
      </c>
      <c r="J394" s="11">
        <f>((Imput[[#This Row],[Sub total]])*(0.16))</f>
        <v>35.254400000000004</v>
      </c>
      <c r="K394" s="11">
        <v>0</v>
      </c>
      <c r="L394" s="169">
        <f>Imput[[#This Row],[Sub total]]+Imput[[#This Row],[IVA]]-Imput[[#This Row],[Retención / IEPS / Descuento]]</f>
        <v>255.59440000000001</v>
      </c>
      <c r="M394" s="844">
        <v>0</v>
      </c>
      <c r="N394" s="189" t="s">
        <v>123</v>
      </c>
      <c r="O394" s="1"/>
      <c r="P394" s="189" t="s">
        <v>1308</v>
      </c>
      <c r="Q394" s="190" t="s">
        <v>1309</v>
      </c>
      <c r="R394" s="188">
        <v>45865</v>
      </c>
      <c r="S394" s="193" t="s">
        <v>126</v>
      </c>
      <c r="T394" s="192"/>
      <c r="U394" s="829"/>
      <c r="V394" s="10" t="s">
        <v>1012</v>
      </c>
      <c r="W394" s="10" t="s">
        <v>3795</v>
      </c>
      <c r="X394" s="10"/>
      <c r="Y394" s="10"/>
      <c r="Z394" s="10"/>
      <c r="AA394" s="11"/>
      <c r="AB394" s="11"/>
      <c r="AD394" s="260"/>
    </row>
    <row r="395" spans="2:30" x14ac:dyDescent="0.3">
      <c r="B395" s="10" t="s">
        <v>290</v>
      </c>
      <c r="C395" s="549" t="s">
        <v>2437</v>
      </c>
      <c r="D395" s="868" t="s">
        <v>164</v>
      </c>
      <c r="E395" s="837" t="str">
        <f>IFERROR(IF(_xlfn.XLOOKUP(Imput[[#This Row],[RFC]],'Alta Proveedor'!D:D,'Alta Proveedor'!E:E)=0,"",_xlfn.XLOOKUP(Imput[[#This Row],[RFC]],'Alta Proveedor'!D:D,'Alta Proveedor'!E:E)),"")</f>
        <v>HOME DEPOT MEXICO SUCURSAL THD-8730 TAMPICO</v>
      </c>
      <c r="F395" s="832" t="s">
        <v>1900</v>
      </c>
      <c r="G395" s="187">
        <v>1</v>
      </c>
      <c r="H395" s="1">
        <f>30.26</f>
        <v>30.26</v>
      </c>
      <c r="I395" s="169">
        <f>Imput[[#This Row],[Cantidad]]*Imput[[#This Row],[Precio Unitario]]</f>
        <v>30.26</v>
      </c>
      <c r="J395" s="11">
        <f>((Imput[[#This Row],[Sub total]])*(0.16))</f>
        <v>4.8416000000000006</v>
      </c>
      <c r="K395" s="11">
        <v>0</v>
      </c>
      <c r="L395" s="169">
        <f>Imput[[#This Row],[Sub total]]+Imput[[#This Row],[IVA]]-Imput[[#This Row],[Retención / IEPS / Descuento]]</f>
        <v>35.101600000000005</v>
      </c>
      <c r="M395" s="844">
        <v>0</v>
      </c>
      <c r="N395" s="189" t="s">
        <v>123</v>
      </c>
      <c r="O395" s="1"/>
      <c r="P395" s="189" t="s">
        <v>1308</v>
      </c>
      <c r="Q395" s="190" t="s">
        <v>1309</v>
      </c>
      <c r="R395" s="188">
        <v>45865</v>
      </c>
      <c r="S395" s="193" t="s">
        <v>126</v>
      </c>
      <c r="T395" s="192"/>
      <c r="U395" s="829"/>
      <c r="V395" s="10" t="s">
        <v>1012</v>
      </c>
      <c r="W395" s="10" t="s">
        <v>3795</v>
      </c>
      <c r="X395" s="10"/>
      <c r="Y395" s="10"/>
      <c r="Z395" s="10"/>
      <c r="AA395" s="11"/>
      <c r="AB395" s="11"/>
      <c r="AD395" s="260"/>
    </row>
    <row r="396" spans="2:30" x14ac:dyDescent="0.3">
      <c r="B396" s="10" t="s">
        <v>290</v>
      </c>
      <c r="C396" s="315" t="s">
        <v>2335</v>
      </c>
      <c r="D396" s="868" t="s">
        <v>3119</v>
      </c>
      <c r="E396" s="837" t="str">
        <f>IFERROR(IF(_xlfn.XLOOKUP(Imput[[#This Row],[RFC]],'Alta Proveedor'!D:D,'Alta Proveedor'!E:E)=0,"",_xlfn.XLOOKUP(Imput[[#This Row],[RFC]],'Alta Proveedor'!D:D,'Alta Proveedor'!E:E)),"")</f>
        <v>Nomina-OPERACIÓN</v>
      </c>
      <c r="F396" s="836" t="s">
        <v>3153</v>
      </c>
      <c r="G396" s="187">
        <v>1</v>
      </c>
      <c r="H396" s="1">
        <v>16000</v>
      </c>
      <c r="I396" s="169">
        <f>Imput[[#This Row],[Cantidad]]*Imput[[#This Row],[Precio Unitario]]</f>
        <v>16000</v>
      </c>
      <c r="J396" s="11">
        <f>Imput[[#This Row],[Sub total]]*0.08</f>
        <v>1280</v>
      </c>
      <c r="K396" s="11">
        <v>0</v>
      </c>
      <c r="L396" s="169">
        <f>Imput[[#This Row],[Sub total]]+Imput[[#This Row],[IVA]]-Imput[[#This Row],[Retención / IEPS / Descuento]]</f>
        <v>17280</v>
      </c>
      <c r="M396" s="844">
        <v>17280</v>
      </c>
      <c r="N396" s="189"/>
      <c r="O396" s="1"/>
      <c r="P396" s="189"/>
      <c r="Q396" s="190"/>
      <c r="R396" s="188">
        <v>45865</v>
      </c>
      <c r="S396" s="193"/>
      <c r="T396" s="192"/>
      <c r="U396" s="867" t="s">
        <v>3225</v>
      </c>
      <c r="V396" s="10" t="s">
        <v>3108</v>
      </c>
      <c r="W396" s="10" t="s">
        <v>3793</v>
      </c>
      <c r="X396" s="10"/>
      <c r="Y396" s="10"/>
      <c r="Z396" s="10"/>
      <c r="AA396" s="11"/>
      <c r="AB396" s="11"/>
      <c r="AD396" s="260"/>
    </row>
    <row r="397" spans="2:30" x14ac:dyDescent="0.3">
      <c r="B397" s="10" t="s">
        <v>290</v>
      </c>
      <c r="C397" s="315" t="s">
        <v>1806</v>
      </c>
      <c r="D397" s="868" t="s">
        <v>1383</v>
      </c>
      <c r="E397" s="837" t="str">
        <f>IFERROR(IF(_xlfn.XLOOKUP(Imput[[#This Row],[RFC]],'Alta Proveedor'!D:D,'Alta Proveedor'!E:E)=0,"",_xlfn.XLOOKUP(Imput[[#This Row],[RFC]],'Alta Proveedor'!D:D,'Alta Proveedor'!E:E)),"")</f>
        <v>VICENTE MUELA PARGA "PLANCHADITOS" (RESTAURANTE)</v>
      </c>
      <c r="F397" s="832" t="s">
        <v>159</v>
      </c>
      <c r="G397" s="187">
        <v>1</v>
      </c>
      <c r="H397" s="1">
        <v>116.37</v>
      </c>
      <c r="I397" s="169">
        <f>Imput[[#This Row],[Cantidad]]*Imput[[#This Row],[Precio Unitario]]</f>
        <v>116.37</v>
      </c>
      <c r="J397" s="11">
        <f>((Imput[[#This Row],[Sub total]])*(0.16))</f>
        <v>18.619200000000003</v>
      </c>
      <c r="K397" s="11">
        <v>0</v>
      </c>
      <c r="L397" s="169">
        <f>Imput[[#This Row],[Sub total]]+Imput[[#This Row],[IVA]]-Imput[[#This Row],[Retención / IEPS / Descuento]]</f>
        <v>134.98920000000001</v>
      </c>
      <c r="M397" s="844">
        <v>134.98920000000001</v>
      </c>
      <c r="N397" s="189" t="s">
        <v>123</v>
      </c>
      <c r="O397" s="1"/>
      <c r="P397" s="189" t="s">
        <v>1381</v>
      </c>
      <c r="Q397" s="190" t="s">
        <v>1382</v>
      </c>
      <c r="R397" s="188">
        <v>45866</v>
      </c>
      <c r="S397" s="193" t="s">
        <v>126</v>
      </c>
      <c r="T397" s="192"/>
      <c r="U397" s="829"/>
      <c r="V397" s="10" t="s">
        <v>3324</v>
      </c>
      <c r="W397" s="10" t="s">
        <v>3327</v>
      </c>
      <c r="X397" s="10"/>
      <c r="Y397" s="10"/>
      <c r="Z397" s="10"/>
      <c r="AA397" s="11"/>
      <c r="AB397" s="11"/>
      <c r="AD397" s="260"/>
    </row>
    <row r="398" spans="2:30" x14ac:dyDescent="0.3">
      <c r="B398" s="10" t="s">
        <v>290</v>
      </c>
      <c r="C398" s="315" t="s">
        <v>1806</v>
      </c>
      <c r="D398" s="868" t="s">
        <v>1383</v>
      </c>
      <c r="E398" s="837" t="str">
        <f>IFERROR(IF(_xlfn.XLOOKUP(Imput[[#This Row],[RFC]],'Alta Proveedor'!D:D,'Alta Proveedor'!E:E)=0,"",_xlfn.XLOOKUP(Imput[[#This Row],[RFC]],'Alta Proveedor'!D:D,'Alta Proveedor'!E:E)),"")</f>
        <v>VICENTE MUELA PARGA "PLANCHADITOS" (RESTAURANTE)</v>
      </c>
      <c r="F398" s="832" t="s">
        <v>159</v>
      </c>
      <c r="G398" s="187">
        <v>1</v>
      </c>
      <c r="H398" s="1">
        <v>51.72</v>
      </c>
      <c r="I398" s="169">
        <f>Imput[[#This Row],[Cantidad]]*Imput[[#This Row],[Precio Unitario]]</f>
        <v>51.72</v>
      </c>
      <c r="J398" s="11">
        <f>((Imput[[#This Row],[Sub total]])*(0.16))</f>
        <v>8.2751999999999999</v>
      </c>
      <c r="K398" s="11">
        <v>0</v>
      </c>
      <c r="L398" s="169">
        <f>Imput[[#This Row],[Sub total]]+Imput[[#This Row],[IVA]]-Imput[[#This Row],[Retención / IEPS / Descuento]]</f>
        <v>59.995199999999997</v>
      </c>
      <c r="M398" s="844">
        <v>59.995199999999997</v>
      </c>
      <c r="N398" s="189" t="s">
        <v>123</v>
      </c>
      <c r="O398" s="1"/>
      <c r="P398" s="189" t="s">
        <v>1385</v>
      </c>
      <c r="Q398" s="190" t="s">
        <v>1386</v>
      </c>
      <c r="R398" s="188">
        <v>45866</v>
      </c>
      <c r="S398" s="193" t="s">
        <v>126</v>
      </c>
      <c r="T398" s="192"/>
      <c r="U398" s="829"/>
      <c r="V398" s="10" t="s">
        <v>3324</v>
      </c>
      <c r="W398" s="10" t="s">
        <v>3327</v>
      </c>
      <c r="X398" s="10"/>
      <c r="Y398" s="10"/>
      <c r="Z398" s="10"/>
      <c r="AA398" s="11"/>
      <c r="AB398" s="11"/>
      <c r="AD398" s="260"/>
    </row>
    <row r="399" spans="2:30" x14ac:dyDescent="0.3">
      <c r="B399" s="10" t="s">
        <v>290</v>
      </c>
      <c r="C399" s="315" t="s">
        <v>1769</v>
      </c>
      <c r="D399" s="868" t="s">
        <v>244</v>
      </c>
      <c r="E399" s="837" t="str">
        <f>IFERROR(IF(_xlfn.XLOOKUP(Imput[[#This Row],[RFC]],'Alta Proveedor'!D:D,'Alta Proveedor'!E:E)=0,"",_xlfn.XLOOKUP(Imput[[#This Row],[RFC]],'Alta Proveedor'!D:D,'Alta Proveedor'!E:E)),"")</f>
        <v>CADENA COMERCIAL OXXO</v>
      </c>
      <c r="F399" s="832" t="s">
        <v>1214</v>
      </c>
      <c r="G399" s="187">
        <v>1</v>
      </c>
      <c r="H399" s="1">
        <v>18.100000000000001</v>
      </c>
      <c r="I399" s="169">
        <f>Imput[[#This Row],[Cantidad]]*Imput[[#This Row],[Precio Unitario]]</f>
        <v>18.100000000000001</v>
      </c>
      <c r="J399" s="11">
        <f>((Imput[[#This Row],[Sub total]])*(0.16))</f>
        <v>2.8960000000000004</v>
      </c>
      <c r="K399" s="11">
        <v>0</v>
      </c>
      <c r="L399" s="169">
        <f>Imput[[#This Row],[Sub total]]+Imput[[#This Row],[IVA]]-Imput[[#This Row],[Retención / IEPS / Descuento]]</f>
        <v>20.996000000000002</v>
      </c>
      <c r="M399" s="844">
        <v>69.496000000000009</v>
      </c>
      <c r="N399" s="189" t="s">
        <v>123</v>
      </c>
      <c r="O399" s="1"/>
      <c r="P399" s="189" t="s">
        <v>1283</v>
      </c>
      <c r="Q399" s="190" t="s">
        <v>1284</v>
      </c>
      <c r="R399" s="188">
        <v>45866</v>
      </c>
      <c r="S399" s="193" t="s">
        <v>126</v>
      </c>
      <c r="T399" s="192"/>
      <c r="U399" s="829"/>
      <c r="V399" s="10" t="s">
        <v>3324</v>
      </c>
      <c r="W399" s="10" t="s">
        <v>3327</v>
      </c>
      <c r="X399" s="10"/>
      <c r="Y399" s="10"/>
      <c r="Z399" s="10"/>
      <c r="AA399" s="11"/>
      <c r="AB399" s="11"/>
      <c r="AD399" s="260"/>
    </row>
    <row r="400" spans="2:30" x14ac:dyDescent="0.3">
      <c r="B400" s="10" t="s">
        <v>290</v>
      </c>
      <c r="C400" s="315" t="s">
        <v>1769</v>
      </c>
      <c r="D400" s="868" t="s">
        <v>244</v>
      </c>
      <c r="E400" s="837" t="str">
        <f>IFERROR(IF(_xlfn.XLOOKUP(Imput[[#This Row],[RFC]],'Alta Proveedor'!D:D,'Alta Proveedor'!E:E)=0,"",_xlfn.XLOOKUP(Imput[[#This Row],[RFC]],'Alta Proveedor'!D:D,'Alta Proveedor'!E:E)),"")</f>
        <v>CADENA COMERCIAL OXXO</v>
      </c>
      <c r="F400" s="832" t="s">
        <v>1230</v>
      </c>
      <c r="G400" s="187">
        <v>1</v>
      </c>
      <c r="H400" s="1">
        <v>48.5</v>
      </c>
      <c r="I400" s="169">
        <f>Imput[[#This Row],[Cantidad]]*Imput[[#This Row],[Precio Unitario]]</f>
        <v>48.5</v>
      </c>
      <c r="J400" s="11">
        <v>0</v>
      </c>
      <c r="K400" s="11">
        <v>0</v>
      </c>
      <c r="L400" s="169">
        <f>Imput[[#This Row],[Sub total]]+Imput[[#This Row],[IVA]]-Imput[[#This Row],[Retención / IEPS / Descuento]]</f>
        <v>48.5</v>
      </c>
      <c r="M400" s="844">
        <v>0</v>
      </c>
      <c r="N400" s="189" t="s">
        <v>123</v>
      </c>
      <c r="O400" s="1"/>
      <c r="P400" s="189" t="s">
        <v>1283</v>
      </c>
      <c r="Q400" s="190" t="s">
        <v>1284</v>
      </c>
      <c r="R400" s="188">
        <v>45866</v>
      </c>
      <c r="S400" s="193" t="s">
        <v>126</v>
      </c>
      <c r="T400" s="192"/>
      <c r="U400" s="829"/>
      <c r="V400" s="10" t="s">
        <v>3324</v>
      </c>
      <c r="W400" s="10" t="s">
        <v>3327</v>
      </c>
      <c r="X400" s="10"/>
      <c r="Y400" s="10"/>
      <c r="Z400" s="10"/>
      <c r="AA400" s="11"/>
      <c r="AB400" s="11"/>
      <c r="AD400" s="260"/>
    </row>
    <row r="401" spans="2:30" x14ac:dyDescent="0.3">
      <c r="B401" s="10" t="s">
        <v>290</v>
      </c>
      <c r="C401" s="315" t="s">
        <v>1769</v>
      </c>
      <c r="D401" s="868" t="s">
        <v>244</v>
      </c>
      <c r="E401" s="837" t="str">
        <f>IFERROR(IF(_xlfn.XLOOKUP(Imput[[#This Row],[RFC]],'Alta Proveedor'!D:D,'Alta Proveedor'!E:E)=0,"",_xlfn.XLOOKUP(Imput[[#This Row],[RFC]],'Alta Proveedor'!D:D,'Alta Proveedor'!E:E)),"")</f>
        <v>CADENA COMERCIAL OXXO</v>
      </c>
      <c r="F401" s="832" t="s">
        <v>1230</v>
      </c>
      <c r="G401" s="187">
        <v>2</v>
      </c>
      <c r="H401" s="1">
        <v>48.5</v>
      </c>
      <c r="I401" s="169">
        <f>Imput[[#This Row],[Cantidad]]*Imput[[#This Row],[Precio Unitario]]</f>
        <v>97</v>
      </c>
      <c r="J401" s="11">
        <v>0</v>
      </c>
      <c r="K401" s="11">
        <v>0</v>
      </c>
      <c r="L401" s="169">
        <f>Imput[[#This Row],[Sub total]]+Imput[[#This Row],[IVA]]-Imput[[#This Row],[Retención / IEPS / Descuento]]</f>
        <v>97</v>
      </c>
      <c r="M401" s="844">
        <v>97</v>
      </c>
      <c r="N401" s="189" t="s">
        <v>123</v>
      </c>
      <c r="O401" s="1"/>
      <c r="P401" s="189" t="s">
        <v>1285</v>
      </c>
      <c r="Q401" s="190" t="s">
        <v>1286</v>
      </c>
      <c r="R401" s="188">
        <v>45866</v>
      </c>
      <c r="S401" s="193" t="s">
        <v>126</v>
      </c>
      <c r="T401" s="192"/>
      <c r="U401" s="829"/>
      <c r="V401" s="10" t="s">
        <v>3324</v>
      </c>
      <c r="W401" s="10" t="s">
        <v>3327</v>
      </c>
      <c r="X401" s="10"/>
      <c r="Y401" s="10"/>
      <c r="Z401" s="10"/>
      <c r="AA401" s="11"/>
      <c r="AB401" s="11"/>
      <c r="AD401" s="260"/>
    </row>
    <row r="402" spans="2:30" x14ac:dyDescent="0.3">
      <c r="B402" s="10" t="s">
        <v>290</v>
      </c>
      <c r="C402" s="315" t="s">
        <v>1769</v>
      </c>
      <c r="D402" s="868" t="s">
        <v>244</v>
      </c>
      <c r="E402" s="837" t="str">
        <f>IFERROR(IF(_xlfn.XLOOKUP(Imput[[#This Row],[RFC]],'Alta Proveedor'!D:D,'Alta Proveedor'!E:E)=0,"",_xlfn.XLOOKUP(Imput[[#This Row],[RFC]],'Alta Proveedor'!D:D,'Alta Proveedor'!E:E)),"")</f>
        <v>CADENA COMERCIAL OXXO</v>
      </c>
      <c r="F402" s="832" t="s">
        <v>1230</v>
      </c>
      <c r="G402" s="187">
        <v>1</v>
      </c>
      <c r="H402" s="1">
        <v>48.5</v>
      </c>
      <c r="I402" s="169">
        <f>Imput[[#This Row],[Cantidad]]*Imput[[#This Row],[Precio Unitario]]</f>
        <v>48.5</v>
      </c>
      <c r="J402" s="11">
        <v>0</v>
      </c>
      <c r="K402" s="11">
        <v>0</v>
      </c>
      <c r="L402" s="169">
        <f>Imput[[#This Row],[Sub total]]+Imput[[#This Row],[IVA]]-Imput[[#This Row],[Retención / IEPS / Descuento]]</f>
        <v>48.5</v>
      </c>
      <c r="M402" s="844">
        <v>48.5</v>
      </c>
      <c r="N402" s="189" t="s">
        <v>123</v>
      </c>
      <c r="O402" s="1"/>
      <c r="P402" s="189" t="s">
        <v>1349</v>
      </c>
      <c r="Q402" s="190" t="s">
        <v>1350</v>
      </c>
      <c r="R402" s="188">
        <v>45866</v>
      </c>
      <c r="S402" s="193" t="s">
        <v>126</v>
      </c>
      <c r="T402" s="192"/>
      <c r="U402" s="829"/>
      <c r="V402" s="10" t="s">
        <v>3324</v>
      </c>
      <c r="W402" s="10" t="s">
        <v>3327</v>
      </c>
      <c r="X402" s="10"/>
      <c r="Y402" s="10"/>
      <c r="Z402" s="10"/>
      <c r="AA402" s="11"/>
      <c r="AB402" s="11"/>
      <c r="AD402" s="260"/>
    </row>
    <row r="403" spans="2:30" x14ac:dyDescent="0.3">
      <c r="B403" s="10" t="s">
        <v>290</v>
      </c>
      <c r="C403" s="315" t="s">
        <v>1769</v>
      </c>
      <c r="D403" s="868" t="s">
        <v>244</v>
      </c>
      <c r="E403" s="837" t="str">
        <f>IFERROR(IF(_xlfn.XLOOKUP(Imput[[#This Row],[RFC]],'Alta Proveedor'!D:D,'Alta Proveedor'!E:E)=0,"",_xlfn.XLOOKUP(Imput[[#This Row],[RFC]],'Alta Proveedor'!D:D,'Alta Proveedor'!E:E)),"")</f>
        <v>CADENA COMERCIAL OXXO</v>
      </c>
      <c r="F403" s="832" t="s">
        <v>1230</v>
      </c>
      <c r="G403" s="187">
        <v>1</v>
      </c>
      <c r="H403" s="1">
        <v>48.5</v>
      </c>
      <c r="I403" s="169">
        <f>Imput[[#This Row],[Cantidad]]*Imput[[#This Row],[Precio Unitario]]</f>
        <v>48.5</v>
      </c>
      <c r="J403" s="11">
        <v>0</v>
      </c>
      <c r="K403" s="11">
        <v>0</v>
      </c>
      <c r="L403" s="169">
        <f>Imput[[#This Row],[Sub total]]+Imput[[#This Row],[IVA]]-Imput[[#This Row],[Retención / IEPS / Descuento]]</f>
        <v>48.5</v>
      </c>
      <c r="M403" s="844">
        <v>48.5</v>
      </c>
      <c r="N403" s="189" t="s">
        <v>123</v>
      </c>
      <c r="O403" s="1"/>
      <c r="P403" s="189" t="s">
        <v>1351</v>
      </c>
      <c r="Q403" s="190" t="s">
        <v>1352</v>
      </c>
      <c r="R403" s="188">
        <v>45866</v>
      </c>
      <c r="S403" s="193" t="s">
        <v>126</v>
      </c>
      <c r="T403" s="192"/>
      <c r="U403" s="829"/>
      <c r="V403" s="10" t="s">
        <v>3324</v>
      </c>
      <c r="W403" s="10" t="s">
        <v>3327</v>
      </c>
      <c r="X403" s="10"/>
      <c r="Y403" s="10"/>
      <c r="Z403" s="10"/>
      <c r="AA403" s="11"/>
      <c r="AB403" s="11"/>
      <c r="AD403" s="260"/>
    </row>
    <row r="404" spans="2:30" x14ac:dyDescent="0.3">
      <c r="B404" s="10" t="s">
        <v>290</v>
      </c>
      <c r="C404" s="315" t="s">
        <v>1769</v>
      </c>
      <c r="D404" s="868" t="s">
        <v>244</v>
      </c>
      <c r="E404" s="837" t="str">
        <f>IFERROR(IF(_xlfn.XLOOKUP(Imput[[#This Row],[RFC]],'Alta Proveedor'!D:D,'Alta Proveedor'!E:E)=0,"",_xlfn.XLOOKUP(Imput[[#This Row],[RFC]],'Alta Proveedor'!D:D,'Alta Proveedor'!E:E)),"")</f>
        <v>CADENA COMERCIAL OXXO</v>
      </c>
      <c r="F404" s="832" t="s">
        <v>1581</v>
      </c>
      <c r="G404" s="187">
        <v>1</v>
      </c>
      <c r="H404" s="1">
        <f>34.913</f>
        <v>34.912999999999997</v>
      </c>
      <c r="I404" s="169">
        <f>Imput[[#This Row],[Cantidad]]*Imput[[#This Row],[Precio Unitario]]</f>
        <v>34.912999999999997</v>
      </c>
      <c r="J404" s="11">
        <f>((Imput[[#This Row],[Sub total]])*(0.16))</f>
        <v>5.5860799999999999</v>
      </c>
      <c r="K404" s="11">
        <v>0</v>
      </c>
      <c r="L404" s="169">
        <f>Imput[[#This Row],[Sub total]]+Imput[[#This Row],[IVA]]-Imput[[#This Row],[Retención / IEPS / Descuento]]</f>
        <v>40.499079999999999</v>
      </c>
      <c r="M404" s="844">
        <v>195.99696</v>
      </c>
      <c r="N404" s="189" t="s">
        <v>123</v>
      </c>
      <c r="O404" s="1"/>
      <c r="P404" s="189" t="s">
        <v>1287</v>
      </c>
      <c r="Q404" s="190" t="s">
        <v>1288</v>
      </c>
      <c r="R404" s="188">
        <v>45866</v>
      </c>
      <c r="S404" s="193" t="s">
        <v>126</v>
      </c>
      <c r="T404" s="192"/>
      <c r="U404" s="829"/>
      <c r="V404" s="10" t="s">
        <v>3324</v>
      </c>
      <c r="W404" s="10" t="s">
        <v>3327</v>
      </c>
      <c r="X404" s="10"/>
      <c r="Y404" s="10"/>
      <c r="Z404" s="10"/>
      <c r="AA404" s="11"/>
      <c r="AB404" s="11"/>
      <c r="AD404" s="260"/>
    </row>
    <row r="405" spans="2:30" x14ac:dyDescent="0.3">
      <c r="B405" s="10" t="s">
        <v>290</v>
      </c>
      <c r="C405" s="315" t="s">
        <v>1769</v>
      </c>
      <c r="D405" s="868" t="s">
        <v>244</v>
      </c>
      <c r="E405" s="837" t="str">
        <f>IFERROR(IF(_xlfn.XLOOKUP(Imput[[#This Row],[RFC]],'Alta Proveedor'!D:D,'Alta Proveedor'!E:E)=0,"",_xlfn.XLOOKUP(Imput[[#This Row],[RFC]],'Alta Proveedor'!D:D,'Alta Proveedor'!E:E)),"")</f>
        <v>CADENA COMERCIAL OXXO</v>
      </c>
      <c r="F405" s="832" t="s">
        <v>1579</v>
      </c>
      <c r="G405" s="187">
        <v>1</v>
      </c>
      <c r="H405" s="1">
        <f>22.843</f>
        <v>22.843</v>
      </c>
      <c r="I405" s="169">
        <f>Imput[[#This Row],[Cantidad]]*Imput[[#This Row],[Precio Unitario]]</f>
        <v>22.843</v>
      </c>
      <c r="J405" s="11">
        <f>((Imput[[#This Row],[Sub total]])*(0.16))</f>
        <v>3.6548799999999999</v>
      </c>
      <c r="K405" s="11">
        <v>0</v>
      </c>
      <c r="L405" s="169">
        <f>Imput[[#This Row],[Sub total]]+Imput[[#This Row],[IVA]]-Imput[[#This Row],[Retención / IEPS / Descuento]]</f>
        <v>26.497879999999999</v>
      </c>
      <c r="M405" s="844">
        <v>0</v>
      </c>
      <c r="N405" s="189" t="s">
        <v>123</v>
      </c>
      <c r="O405" s="1"/>
      <c r="P405" s="189" t="s">
        <v>1287</v>
      </c>
      <c r="Q405" s="190" t="s">
        <v>1288</v>
      </c>
      <c r="R405" s="188">
        <v>45866</v>
      </c>
      <c r="S405" s="193" t="s">
        <v>126</v>
      </c>
      <c r="T405" s="192"/>
      <c r="U405" s="829"/>
      <c r="V405" s="10" t="s">
        <v>3324</v>
      </c>
      <c r="W405" s="10" t="s">
        <v>3327</v>
      </c>
      <c r="X405" s="10"/>
      <c r="Y405" s="10"/>
      <c r="Z405" s="10"/>
      <c r="AA405" s="11"/>
      <c r="AB405" s="11"/>
      <c r="AD405" s="260"/>
    </row>
    <row r="406" spans="2:30" x14ac:dyDescent="0.3">
      <c r="B406" s="10" t="s">
        <v>290</v>
      </c>
      <c r="C406" s="315" t="s">
        <v>1769</v>
      </c>
      <c r="D406" s="868" t="s">
        <v>244</v>
      </c>
      <c r="E406" s="837" t="str">
        <f>IFERROR(IF(_xlfn.XLOOKUP(Imput[[#This Row],[RFC]],'Alta Proveedor'!D:D,'Alta Proveedor'!E:E)=0,"",_xlfn.XLOOKUP(Imput[[#This Row],[RFC]],'Alta Proveedor'!D:D,'Alta Proveedor'!E:E)),"")</f>
        <v>CADENA COMERCIAL OXXO</v>
      </c>
      <c r="F406" s="832" t="s">
        <v>1582</v>
      </c>
      <c r="G406" s="187">
        <v>3</v>
      </c>
      <c r="H406" s="1">
        <f>129/3</f>
        <v>43</v>
      </c>
      <c r="I406" s="169">
        <f>Imput[[#This Row],[Cantidad]]*Imput[[#This Row],[Precio Unitario]]</f>
        <v>129</v>
      </c>
      <c r="J406" s="11">
        <v>0</v>
      </c>
      <c r="K406" s="11">
        <v>0</v>
      </c>
      <c r="L406" s="169">
        <f>Imput[[#This Row],[Sub total]]+Imput[[#This Row],[IVA]]-Imput[[#This Row],[Retención / IEPS / Descuento]]</f>
        <v>129</v>
      </c>
      <c r="M406" s="844">
        <v>0</v>
      </c>
      <c r="N406" s="189" t="s">
        <v>123</v>
      </c>
      <c r="O406" s="1"/>
      <c r="P406" s="189" t="s">
        <v>1287</v>
      </c>
      <c r="Q406" s="190" t="s">
        <v>1288</v>
      </c>
      <c r="R406" s="188">
        <v>45866</v>
      </c>
      <c r="S406" s="193" t="s">
        <v>126</v>
      </c>
      <c r="T406" s="192"/>
      <c r="U406" s="829"/>
      <c r="V406" s="10" t="s">
        <v>3324</v>
      </c>
      <c r="W406" s="10" t="s">
        <v>3327</v>
      </c>
      <c r="X406" s="10"/>
      <c r="Y406" s="10"/>
      <c r="Z406" s="10"/>
      <c r="AA406" s="11"/>
      <c r="AB406" s="11"/>
      <c r="AD406" s="260"/>
    </row>
    <row r="407" spans="2:30" x14ac:dyDescent="0.3">
      <c r="B407" s="10" t="s">
        <v>290</v>
      </c>
      <c r="C407" s="315" t="s">
        <v>1769</v>
      </c>
      <c r="D407" s="868" t="s">
        <v>244</v>
      </c>
      <c r="E407" s="837" t="str">
        <f>IFERROR(IF(_xlfn.XLOOKUP(Imput[[#This Row],[RFC]],'Alta Proveedor'!D:D,'Alta Proveedor'!E:E)=0,"",_xlfn.XLOOKUP(Imput[[#This Row],[RFC]],'Alta Proveedor'!D:D,'Alta Proveedor'!E:E)),"")</f>
        <v>CADENA COMERCIAL OXXO</v>
      </c>
      <c r="F407" s="832" t="s">
        <v>1232</v>
      </c>
      <c r="G407" s="187">
        <v>1</v>
      </c>
      <c r="H407" s="1">
        <v>17.673999999999999</v>
      </c>
      <c r="I407" s="169">
        <f>Imput[[#This Row],[Cantidad]]*Imput[[#This Row],[Precio Unitario]]</f>
        <v>17.673999999999999</v>
      </c>
      <c r="J407" s="11">
        <f>((Imput[[#This Row],[Sub total]])*(0.16))</f>
        <v>2.8278400000000001</v>
      </c>
      <c r="K407" s="11">
        <v>0</v>
      </c>
      <c r="L407" s="169">
        <f>Imput[[#This Row],[Sub total]]+Imput[[#This Row],[IVA]]-Imput[[#This Row],[Retención / IEPS / Descuento]]</f>
        <v>20.501840000000001</v>
      </c>
      <c r="M407" s="844">
        <v>120.505808</v>
      </c>
      <c r="N407" s="189" t="s">
        <v>123</v>
      </c>
      <c r="O407" s="1"/>
      <c r="P407" s="189" t="s">
        <v>1289</v>
      </c>
      <c r="Q407" s="190" t="s">
        <v>1290</v>
      </c>
      <c r="R407" s="188">
        <v>45866</v>
      </c>
      <c r="S407" s="193" t="s">
        <v>126</v>
      </c>
      <c r="T407" s="192"/>
      <c r="U407" s="829"/>
      <c r="V407" s="10" t="s">
        <v>3324</v>
      </c>
      <c r="W407" s="10" t="s">
        <v>3327</v>
      </c>
      <c r="X407" s="10"/>
      <c r="Y407" s="10"/>
      <c r="Z407" s="10"/>
      <c r="AA407" s="11"/>
      <c r="AB407" s="11"/>
      <c r="AD407" s="260"/>
    </row>
    <row r="408" spans="2:30" x14ac:dyDescent="0.3">
      <c r="B408" s="10" t="s">
        <v>290</v>
      </c>
      <c r="C408" s="315" t="s">
        <v>1769</v>
      </c>
      <c r="D408" s="868" t="s">
        <v>244</v>
      </c>
      <c r="E408" s="837" t="str">
        <f>IFERROR(IF(_xlfn.XLOOKUP(Imput[[#This Row],[RFC]],'Alta Proveedor'!D:D,'Alta Proveedor'!E:E)=0,"",_xlfn.XLOOKUP(Imput[[#This Row],[RFC]],'Alta Proveedor'!D:D,'Alta Proveedor'!E:E)),"")</f>
        <v>CADENA COMERCIAL OXXO</v>
      </c>
      <c r="F408" s="832" t="s">
        <v>1583</v>
      </c>
      <c r="G408" s="187">
        <v>1</v>
      </c>
      <c r="H408" s="1">
        <v>40.502000000000002</v>
      </c>
      <c r="I408" s="169">
        <f>Imput[[#This Row],[Cantidad]]*Imput[[#This Row],[Precio Unitario]]</f>
        <v>40.502000000000002</v>
      </c>
      <c r="J408" s="11">
        <v>0</v>
      </c>
      <c r="K408" s="11">
        <v>0</v>
      </c>
      <c r="L408" s="169">
        <f>Imput[[#This Row],[Sub total]]+Imput[[#This Row],[IVA]]-Imput[[#This Row],[Retención / IEPS / Descuento]]</f>
        <v>40.502000000000002</v>
      </c>
      <c r="M408" s="844">
        <v>0</v>
      </c>
      <c r="N408" s="189" t="s">
        <v>123</v>
      </c>
      <c r="O408" s="1"/>
      <c r="P408" s="189" t="s">
        <v>1289</v>
      </c>
      <c r="Q408" s="190" t="s">
        <v>1290</v>
      </c>
      <c r="R408" s="188">
        <v>45866</v>
      </c>
      <c r="S408" s="193" t="s">
        <v>126</v>
      </c>
      <c r="T408" s="192"/>
      <c r="U408" s="829"/>
      <c r="V408" s="10" t="s">
        <v>3324</v>
      </c>
      <c r="W408" s="10" t="s">
        <v>3327</v>
      </c>
      <c r="X408" s="10"/>
      <c r="Y408" s="10"/>
      <c r="Z408" s="10"/>
      <c r="AA408" s="11"/>
      <c r="AB408" s="11"/>
      <c r="AD408" s="260"/>
    </row>
    <row r="409" spans="2:30" x14ac:dyDescent="0.3">
      <c r="B409" s="10" t="s">
        <v>290</v>
      </c>
      <c r="C409" s="315" t="s">
        <v>1769</v>
      </c>
      <c r="D409" s="868" t="s">
        <v>244</v>
      </c>
      <c r="E409" s="837" t="str">
        <f>IFERROR(IF(_xlfn.XLOOKUP(Imput[[#This Row],[RFC]],'Alta Proveedor'!D:D,'Alta Proveedor'!E:E)=0,"",_xlfn.XLOOKUP(Imput[[#This Row],[RFC]],'Alta Proveedor'!D:D,'Alta Proveedor'!E:E)),"")</f>
        <v>CADENA COMERCIAL OXXO</v>
      </c>
      <c r="F409" s="832" t="s">
        <v>1584</v>
      </c>
      <c r="G409" s="187">
        <v>2</v>
      </c>
      <c r="H409" s="1">
        <f>6.0354</f>
        <v>6.0354000000000001</v>
      </c>
      <c r="I409" s="169">
        <f>Imput[[#This Row],[Cantidad]]*Imput[[#This Row],[Precio Unitario]]</f>
        <v>12.0708</v>
      </c>
      <c r="J409" s="11">
        <f>((Imput[[#This Row],[Sub total]])*(0.16))</f>
        <v>1.9313280000000002</v>
      </c>
      <c r="K409" s="11">
        <v>0</v>
      </c>
      <c r="L409" s="169">
        <f>Imput[[#This Row],[Sub total]]+Imput[[#This Row],[IVA]]-Imput[[#This Row],[Retención / IEPS / Descuento]]</f>
        <v>14.002128000000001</v>
      </c>
      <c r="M409" s="844">
        <v>0</v>
      </c>
      <c r="N409" s="189" t="s">
        <v>123</v>
      </c>
      <c r="O409" s="1"/>
      <c r="P409" s="189" t="s">
        <v>1289</v>
      </c>
      <c r="Q409" s="190" t="s">
        <v>1290</v>
      </c>
      <c r="R409" s="188">
        <v>45866</v>
      </c>
      <c r="S409" s="193" t="s">
        <v>126</v>
      </c>
      <c r="T409" s="192"/>
      <c r="U409" s="829"/>
      <c r="V409" s="10" t="s">
        <v>3324</v>
      </c>
      <c r="W409" s="10" t="s">
        <v>3327</v>
      </c>
      <c r="X409" s="10"/>
      <c r="Y409" s="10"/>
      <c r="Z409" s="10"/>
      <c r="AA409" s="11"/>
      <c r="AB409" s="11"/>
      <c r="AD409" s="260"/>
    </row>
    <row r="410" spans="2:30" x14ac:dyDescent="0.3">
      <c r="B410" s="10" t="s">
        <v>290</v>
      </c>
      <c r="C410" s="315" t="s">
        <v>1769</v>
      </c>
      <c r="D410" s="868" t="s">
        <v>244</v>
      </c>
      <c r="E410" s="837" t="str">
        <f>IFERROR(IF(_xlfn.XLOOKUP(Imput[[#This Row],[RFC]],'Alta Proveedor'!D:D,'Alta Proveedor'!E:E)=0,"",_xlfn.XLOOKUP(Imput[[#This Row],[RFC]],'Alta Proveedor'!D:D,'Alta Proveedor'!E:E)),"")</f>
        <v>CADENA COMERCIAL OXXO</v>
      </c>
      <c r="F410" s="832" t="s">
        <v>1585</v>
      </c>
      <c r="G410" s="187">
        <v>1</v>
      </c>
      <c r="H410" s="1">
        <v>39.223999999999997</v>
      </c>
      <c r="I410" s="169">
        <f>Imput[[#This Row],[Cantidad]]*Imput[[#This Row],[Precio Unitario]]</f>
        <v>39.223999999999997</v>
      </c>
      <c r="J410" s="11">
        <f>((Imput[[#This Row],[Sub total]])*(0.16))</f>
        <v>6.2758399999999996</v>
      </c>
      <c r="K410" s="11">
        <v>0</v>
      </c>
      <c r="L410" s="169">
        <f>Imput[[#This Row],[Sub total]]+Imput[[#This Row],[IVA]]-Imput[[#This Row],[Retención / IEPS / Descuento]]</f>
        <v>45.499839999999999</v>
      </c>
      <c r="M410" s="844">
        <v>0</v>
      </c>
      <c r="N410" s="189" t="s">
        <v>123</v>
      </c>
      <c r="O410" s="1"/>
      <c r="P410" s="189" t="s">
        <v>1289</v>
      </c>
      <c r="Q410" s="190" t="s">
        <v>1290</v>
      </c>
      <c r="R410" s="188">
        <v>45866</v>
      </c>
      <c r="S410" s="193" t="s">
        <v>126</v>
      </c>
      <c r="T410" s="192"/>
      <c r="U410" s="829"/>
      <c r="V410" s="10" t="s">
        <v>3324</v>
      </c>
      <c r="W410" s="10" t="s">
        <v>3327</v>
      </c>
      <c r="X410" s="10"/>
      <c r="Y410" s="10"/>
      <c r="Z410" s="10"/>
      <c r="AA410" s="11"/>
      <c r="AB410" s="11"/>
      <c r="AD410" s="260"/>
    </row>
    <row r="411" spans="2:30" x14ac:dyDescent="0.3">
      <c r="B411" s="10" t="s">
        <v>290</v>
      </c>
      <c r="C411" s="315" t="s">
        <v>2249</v>
      </c>
      <c r="D411" s="868" t="s">
        <v>164</v>
      </c>
      <c r="E411" s="837" t="str">
        <f>IFERROR(IF(_xlfn.XLOOKUP(Imput[[#This Row],[RFC]],'Alta Proveedor'!D:D,'Alta Proveedor'!E:E)=0,"",_xlfn.XLOOKUP(Imput[[#This Row],[RFC]],'Alta Proveedor'!D:D,'Alta Proveedor'!E:E)),"")</f>
        <v>HOME DEPOT MEXICO SUCURSAL THD-8730 TAMPICO</v>
      </c>
      <c r="F411" s="832" t="s">
        <v>1707</v>
      </c>
      <c r="G411" s="187">
        <v>2</v>
      </c>
      <c r="H411" s="1">
        <f>153.45/Imput[[#This Row],[Cantidad]]</f>
        <v>76.724999999999994</v>
      </c>
      <c r="I411" s="169">
        <f>Imput[[#This Row],[Cantidad]]*Imput[[#This Row],[Precio Unitario]]</f>
        <v>153.44999999999999</v>
      </c>
      <c r="J411" s="11">
        <f>((Imput[[#This Row],[Sub total]])*(0.16))</f>
        <v>24.552</v>
      </c>
      <c r="K411" s="11">
        <v>0</v>
      </c>
      <c r="L411" s="169">
        <f>Imput[[#This Row],[Sub total]]+Imput[[#This Row],[IVA]]-Imput[[#This Row],[Retención / IEPS / Descuento]]</f>
        <v>178.00199999999998</v>
      </c>
      <c r="M411" s="844">
        <v>5074.6404000000002</v>
      </c>
      <c r="N411" s="189" t="s">
        <v>123</v>
      </c>
      <c r="O411" s="1"/>
      <c r="P411" s="189" t="s">
        <v>1355</v>
      </c>
      <c r="Q411" s="190" t="s">
        <v>1356</v>
      </c>
      <c r="R411" s="188">
        <v>45866</v>
      </c>
      <c r="S411" s="193" t="s">
        <v>126</v>
      </c>
      <c r="T411" s="192"/>
      <c r="U411" s="829"/>
      <c r="V411" s="10"/>
      <c r="W411" s="10"/>
      <c r="X411" s="10"/>
      <c r="Y411" s="10"/>
      <c r="Z411" s="10"/>
      <c r="AA411" s="11"/>
      <c r="AB411" s="11"/>
      <c r="AD411" s="260"/>
    </row>
    <row r="412" spans="2:30" x14ac:dyDescent="0.3">
      <c r="B412" s="10" t="s">
        <v>290</v>
      </c>
      <c r="C412" s="315" t="s">
        <v>2249</v>
      </c>
      <c r="D412" s="868" t="s">
        <v>164</v>
      </c>
      <c r="E412" s="837" t="str">
        <f>IFERROR(IF(_xlfn.XLOOKUP(Imput[[#This Row],[RFC]],'Alta Proveedor'!D:D,'Alta Proveedor'!E:E)=0,"",_xlfn.XLOOKUP(Imput[[#This Row],[RFC]],'Alta Proveedor'!D:D,'Alta Proveedor'!E:E)),"")</f>
        <v>HOME DEPOT MEXICO SUCURSAL THD-8730 TAMPICO</v>
      </c>
      <c r="F412" s="832" t="s">
        <v>1710</v>
      </c>
      <c r="G412" s="187">
        <v>1</v>
      </c>
      <c r="H412" s="1">
        <f>76.72/Imput[[#This Row],[Cantidad]]</f>
        <v>76.72</v>
      </c>
      <c r="I412" s="169">
        <f>Imput[[#This Row],[Cantidad]]*Imput[[#This Row],[Precio Unitario]]</f>
        <v>76.72</v>
      </c>
      <c r="J412" s="11">
        <f>((Imput[[#This Row],[Sub total]])*(0.16))</f>
        <v>12.2752</v>
      </c>
      <c r="K412" s="11">
        <v>0</v>
      </c>
      <c r="L412" s="169">
        <f>Imput[[#This Row],[Sub total]]+Imput[[#This Row],[IVA]]-Imput[[#This Row],[Retención / IEPS / Descuento]]</f>
        <v>88.995199999999997</v>
      </c>
      <c r="M412" s="844">
        <v>0</v>
      </c>
      <c r="N412" s="189" t="s">
        <v>123</v>
      </c>
      <c r="O412" s="1"/>
      <c r="P412" s="189" t="s">
        <v>1355</v>
      </c>
      <c r="Q412" s="190" t="s">
        <v>1356</v>
      </c>
      <c r="R412" s="188">
        <v>45866</v>
      </c>
      <c r="S412" s="193" t="s">
        <v>126</v>
      </c>
      <c r="T412" s="192"/>
      <c r="U412" s="829"/>
      <c r="V412" s="10"/>
      <c r="W412" s="10"/>
      <c r="X412" s="10"/>
      <c r="Y412" s="10"/>
      <c r="Z412" s="10"/>
      <c r="AA412" s="11"/>
      <c r="AB412" s="11"/>
      <c r="AD412" s="260"/>
    </row>
    <row r="413" spans="2:30" x14ac:dyDescent="0.3">
      <c r="B413" s="10" t="s">
        <v>290</v>
      </c>
      <c r="C413" s="315" t="s">
        <v>2249</v>
      </c>
      <c r="D413" s="868" t="s">
        <v>164</v>
      </c>
      <c r="E413" s="837" t="str">
        <f>IFERROR(IF(_xlfn.XLOOKUP(Imput[[#This Row],[RFC]],'Alta Proveedor'!D:D,'Alta Proveedor'!E:E)=0,"",_xlfn.XLOOKUP(Imput[[#This Row],[RFC]],'Alta Proveedor'!D:D,'Alta Proveedor'!E:E)),"")</f>
        <v>HOME DEPOT MEXICO SUCURSAL THD-8730 TAMPICO</v>
      </c>
      <c r="F413" s="832" t="s">
        <v>1710</v>
      </c>
      <c r="G413" s="187">
        <v>1</v>
      </c>
      <c r="H413" s="1">
        <f>76.72/Imput[[#This Row],[Cantidad]]</f>
        <v>76.72</v>
      </c>
      <c r="I413" s="169">
        <f>Imput[[#This Row],[Cantidad]]*Imput[[#This Row],[Precio Unitario]]</f>
        <v>76.72</v>
      </c>
      <c r="J413" s="11">
        <f>((Imput[[#This Row],[Sub total]])*(0.16))</f>
        <v>12.2752</v>
      </c>
      <c r="K413" s="11">
        <v>0</v>
      </c>
      <c r="L413" s="169">
        <f>Imput[[#This Row],[Sub total]]+Imput[[#This Row],[IVA]]-Imput[[#This Row],[Retención / IEPS / Descuento]]</f>
        <v>88.995199999999997</v>
      </c>
      <c r="M413" s="844">
        <v>0</v>
      </c>
      <c r="N413" s="189" t="s">
        <v>123</v>
      </c>
      <c r="O413" s="1"/>
      <c r="P413" s="189" t="s">
        <v>1355</v>
      </c>
      <c r="Q413" s="190" t="s">
        <v>1356</v>
      </c>
      <c r="R413" s="188">
        <v>45866</v>
      </c>
      <c r="S413" s="193" t="s">
        <v>126</v>
      </c>
      <c r="T413" s="192"/>
      <c r="U413" s="829"/>
      <c r="V413" s="10"/>
      <c r="W413" s="10"/>
      <c r="X413" s="10"/>
      <c r="Y413" s="10"/>
      <c r="Z413" s="10"/>
      <c r="AA413" s="11"/>
      <c r="AB413" s="11"/>
      <c r="AD413" s="260"/>
    </row>
    <row r="414" spans="2:30" x14ac:dyDescent="0.3">
      <c r="B414" s="10" t="s">
        <v>290</v>
      </c>
      <c r="C414" s="315" t="s">
        <v>2428</v>
      </c>
      <c r="D414" s="868" t="s">
        <v>164</v>
      </c>
      <c r="E414" s="837" t="str">
        <f>IFERROR(IF(_xlfn.XLOOKUP(Imput[[#This Row],[RFC]],'Alta Proveedor'!D:D,'Alta Proveedor'!E:E)=0,"",_xlfn.XLOOKUP(Imput[[#This Row],[RFC]],'Alta Proveedor'!D:D,'Alta Proveedor'!E:E)),"")</f>
        <v>HOME DEPOT MEXICO SUCURSAL THD-8730 TAMPICO</v>
      </c>
      <c r="F414" s="832" t="s">
        <v>252</v>
      </c>
      <c r="G414" s="187">
        <v>10</v>
      </c>
      <c r="H414" s="1">
        <f>1112.07/Imput[[#This Row],[Cantidad]]</f>
        <v>111.20699999999999</v>
      </c>
      <c r="I414" s="169">
        <f>Imput[[#This Row],[Cantidad]]*Imput[[#This Row],[Precio Unitario]]</f>
        <v>1112.07</v>
      </c>
      <c r="J414" s="11">
        <f>((Imput[[#This Row],[Sub total]])*(0.16))</f>
        <v>177.93119999999999</v>
      </c>
      <c r="K414" s="11">
        <v>0</v>
      </c>
      <c r="L414" s="169">
        <f>Imput[[#This Row],[Sub total]]+Imput[[#This Row],[IVA]]-Imput[[#This Row],[Retención / IEPS / Descuento]]</f>
        <v>1290.0011999999999</v>
      </c>
      <c r="M414" s="844">
        <v>0</v>
      </c>
      <c r="N414" s="189" t="s">
        <v>123</v>
      </c>
      <c r="O414" s="1"/>
      <c r="P414" s="189" t="s">
        <v>1355</v>
      </c>
      <c r="Q414" s="190" t="s">
        <v>1356</v>
      </c>
      <c r="R414" s="188">
        <v>45866</v>
      </c>
      <c r="S414" s="193" t="s">
        <v>126</v>
      </c>
      <c r="T414" s="192"/>
      <c r="U414" s="829"/>
      <c r="V414" s="10"/>
      <c r="W414" s="10"/>
      <c r="X414" s="10"/>
      <c r="Y414" s="10"/>
      <c r="Z414" s="10"/>
      <c r="AA414" s="11"/>
      <c r="AB414" s="11"/>
      <c r="AD414" s="260"/>
    </row>
    <row r="415" spans="2:30" x14ac:dyDescent="0.3">
      <c r="B415" s="10" t="s">
        <v>290</v>
      </c>
      <c r="C415" s="315" t="s">
        <v>2135</v>
      </c>
      <c r="D415" s="868" t="s">
        <v>164</v>
      </c>
      <c r="E415" s="837" t="str">
        <f>IFERROR(IF(_xlfn.XLOOKUP(Imput[[#This Row],[RFC]],'Alta Proveedor'!D:D,'Alta Proveedor'!E:E)=0,"",_xlfn.XLOOKUP(Imput[[#This Row],[RFC]],'Alta Proveedor'!D:D,'Alta Proveedor'!E:E)),"")</f>
        <v>HOME DEPOT MEXICO SUCURSAL THD-8730 TAMPICO</v>
      </c>
      <c r="F415" s="832" t="s">
        <v>1703</v>
      </c>
      <c r="G415" s="187">
        <v>2</v>
      </c>
      <c r="H415" s="1">
        <v>168.10333333333332</v>
      </c>
      <c r="I415" s="169">
        <f>Imput[[#This Row],[Cantidad]]*Imput[[#This Row],[Precio Unitario]]</f>
        <v>336.20666666666665</v>
      </c>
      <c r="J415" s="11">
        <f>((Imput[[#This Row],[Sub total]])*(0.16))</f>
        <v>53.793066666666668</v>
      </c>
      <c r="K415" s="11">
        <v>0</v>
      </c>
      <c r="L415" s="169">
        <f>Imput[[#This Row],[Sub total]]+Imput[[#This Row],[IVA]]-Imput[[#This Row],[Retención / IEPS / Descuento]]</f>
        <v>389.99973333333332</v>
      </c>
      <c r="M415" s="844">
        <v>0</v>
      </c>
      <c r="N415" s="189" t="s">
        <v>123</v>
      </c>
      <c r="O415" s="1"/>
      <c r="P415" s="189" t="s">
        <v>1355</v>
      </c>
      <c r="Q415" s="190" t="s">
        <v>1356</v>
      </c>
      <c r="R415" s="188">
        <v>45866</v>
      </c>
      <c r="S415" s="193" t="s">
        <v>126</v>
      </c>
      <c r="T415" s="192"/>
      <c r="U415" s="829"/>
      <c r="V415" s="10"/>
      <c r="W415" s="10"/>
      <c r="X415" s="10"/>
      <c r="Y415" s="10"/>
      <c r="Z415" s="10"/>
      <c r="AA415" s="11"/>
      <c r="AB415" s="11"/>
      <c r="AD415" s="260"/>
    </row>
    <row r="416" spans="2:30" x14ac:dyDescent="0.3">
      <c r="B416" s="10" t="s">
        <v>290</v>
      </c>
      <c r="C416" s="315" t="s">
        <v>2336</v>
      </c>
      <c r="D416" s="868" t="s">
        <v>164</v>
      </c>
      <c r="E416" s="837" t="str">
        <f>IFERROR(IF(_xlfn.XLOOKUP(Imput[[#This Row],[RFC]],'Alta Proveedor'!D:D,'Alta Proveedor'!E:E)=0,"",_xlfn.XLOOKUP(Imput[[#This Row],[RFC]],'Alta Proveedor'!D:D,'Alta Proveedor'!E:E)),"")</f>
        <v>HOME DEPOT MEXICO SUCURSAL THD-8730 TAMPICO</v>
      </c>
      <c r="F416" s="832" t="s">
        <v>1703</v>
      </c>
      <c r="G416" s="187">
        <v>4</v>
      </c>
      <c r="H416" s="1">
        <v>168.10333333333332</v>
      </c>
      <c r="I416" s="169">
        <f>Imput[[#This Row],[Cantidad]]*Imput[[#This Row],[Precio Unitario]]</f>
        <v>672.4133333333333</v>
      </c>
      <c r="J416" s="11">
        <f>((Imput[[#This Row],[Sub total]])*(0.16))</f>
        <v>107.58613333333334</v>
      </c>
      <c r="K416" s="11">
        <v>0</v>
      </c>
      <c r="L416" s="169">
        <f>Imput[[#This Row],[Sub total]]+Imput[[#This Row],[IVA]]-Imput[[#This Row],[Retención / IEPS / Descuento]]</f>
        <v>779.99946666666665</v>
      </c>
      <c r="M416" s="844">
        <v>0</v>
      </c>
      <c r="N416" s="189" t="s">
        <v>123</v>
      </c>
      <c r="O416" s="1"/>
      <c r="P416" s="189" t="s">
        <v>1355</v>
      </c>
      <c r="Q416" s="190" t="s">
        <v>1356</v>
      </c>
      <c r="R416" s="188">
        <v>45866</v>
      </c>
      <c r="S416" s="193" t="s">
        <v>126</v>
      </c>
      <c r="T416" s="192"/>
      <c r="U416" s="829"/>
      <c r="V416" s="10"/>
      <c r="W416" s="10"/>
      <c r="X416" s="10"/>
      <c r="Y416" s="10"/>
      <c r="Z416" s="10"/>
      <c r="AA416" s="11"/>
      <c r="AB416" s="11"/>
      <c r="AD416" s="260"/>
    </row>
    <row r="417" spans="2:30" x14ac:dyDescent="0.3">
      <c r="B417" s="10" t="s">
        <v>290</v>
      </c>
      <c r="C417" s="315" t="s">
        <v>2428</v>
      </c>
      <c r="D417" s="868" t="s">
        <v>164</v>
      </c>
      <c r="E417" s="837" t="str">
        <f>IFERROR(IF(_xlfn.XLOOKUP(Imput[[#This Row],[RFC]],'Alta Proveedor'!D:D,'Alta Proveedor'!E:E)=0,"",_xlfn.XLOOKUP(Imput[[#This Row],[RFC]],'Alta Proveedor'!D:D,'Alta Proveedor'!E:E)),"")</f>
        <v>HOME DEPOT MEXICO SUCURSAL THD-8730 TAMPICO</v>
      </c>
      <c r="F417" s="832" t="s">
        <v>1704</v>
      </c>
      <c r="G417" s="187">
        <v>10</v>
      </c>
      <c r="H417" s="1">
        <f>991.38/Imput[[#This Row],[Cantidad]]</f>
        <v>99.138000000000005</v>
      </c>
      <c r="I417" s="169">
        <f>Imput[[#This Row],[Cantidad]]*Imput[[#This Row],[Precio Unitario]]</f>
        <v>991.38000000000011</v>
      </c>
      <c r="J417" s="11">
        <f>((Imput[[#This Row],[Sub total]])*(0.16))</f>
        <v>158.62080000000003</v>
      </c>
      <c r="K417" s="11">
        <v>0</v>
      </c>
      <c r="L417" s="169">
        <f>Imput[[#This Row],[Sub total]]+Imput[[#This Row],[IVA]]-Imput[[#This Row],[Retención / IEPS / Descuento]]</f>
        <v>1150.0008000000003</v>
      </c>
      <c r="M417" s="844">
        <v>0</v>
      </c>
      <c r="N417" s="189" t="s">
        <v>123</v>
      </c>
      <c r="O417" s="1"/>
      <c r="P417" s="189" t="s">
        <v>1355</v>
      </c>
      <c r="Q417" s="190" t="s">
        <v>1356</v>
      </c>
      <c r="R417" s="188">
        <v>45866</v>
      </c>
      <c r="S417" s="193" t="s">
        <v>126</v>
      </c>
      <c r="T417" s="192"/>
      <c r="U417" s="829"/>
      <c r="V417" s="10"/>
      <c r="W417" s="10"/>
      <c r="X417" s="10"/>
      <c r="Y417" s="10"/>
      <c r="Z417" s="10"/>
      <c r="AA417" s="11"/>
      <c r="AB417" s="11"/>
      <c r="AD417" s="260"/>
    </row>
    <row r="418" spans="2:30" x14ac:dyDescent="0.3">
      <c r="B418" s="10" t="s">
        <v>290</v>
      </c>
      <c r="C418" s="315" t="s">
        <v>2428</v>
      </c>
      <c r="D418" s="868" t="s">
        <v>164</v>
      </c>
      <c r="E418" s="837" t="str">
        <f>IFERROR(IF(_xlfn.XLOOKUP(Imput[[#This Row],[RFC]],'Alta Proveedor'!D:D,'Alta Proveedor'!E:E)=0,"",_xlfn.XLOOKUP(Imput[[#This Row],[RFC]],'Alta Proveedor'!D:D,'Alta Proveedor'!E:E)),"")</f>
        <v>HOME DEPOT MEXICO SUCURSAL THD-8730 TAMPICO</v>
      </c>
      <c r="F418" s="832" t="s">
        <v>1705</v>
      </c>
      <c r="G418" s="187">
        <v>10</v>
      </c>
      <c r="H418" s="1">
        <f>628.45/Imput[[#This Row],[Cantidad]]</f>
        <v>62.845000000000006</v>
      </c>
      <c r="I418" s="169">
        <f>Imput[[#This Row],[Cantidad]]*Imput[[#This Row],[Precio Unitario]]</f>
        <v>628.45000000000005</v>
      </c>
      <c r="J418" s="11">
        <f>((Imput[[#This Row],[Sub total]]-94.27)*(0.16))</f>
        <v>85.468800000000016</v>
      </c>
      <c r="K418" s="11">
        <v>94.27</v>
      </c>
      <c r="L418" s="169">
        <f>Imput[[#This Row],[Sub total]]+Imput[[#This Row],[IVA]]-Imput[[#This Row],[Retención / IEPS / Descuento]]</f>
        <v>619.64880000000005</v>
      </c>
      <c r="M418" s="844">
        <v>0</v>
      </c>
      <c r="N418" s="189" t="s">
        <v>123</v>
      </c>
      <c r="O418" s="1"/>
      <c r="P418" s="189" t="s">
        <v>1355</v>
      </c>
      <c r="Q418" s="190" t="s">
        <v>1356</v>
      </c>
      <c r="R418" s="188">
        <v>45866</v>
      </c>
      <c r="S418" s="193" t="s">
        <v>126</v>
      </c>
      <c r="T418" s="192"/>
      <c r="U418" s="829"/>
      <c r="V418" s="10"/>
      <c r="W418" s="10"/>
      <c r="X418" s="10"/>
      <c r="Y418" s="10"/>
      <c r="Z418" s="10"/>
      <c r="AA418" s="11"/>
      <c r="AB418" s="11"/>
      <c r="AD418" s="260"/>
    </row>
    <row r="419" spans="2:30" x14ac:dyDescent="0.3">
      <c r="B419" s="10" t="s">
        <v>290</v>
      </c>
      <c r="C419" s="315" t="s">
        <v>2709</v>
      </c>
      <c r="D419" s="868" t="s">
        <v>164</v>
      </c>
      <c r="E419" s="837" t="str">
        <f>IFERROR(IF(_xlfn.XLOOKUP(Imput[[#This Row],[RFC]],'Alta Proveedor'!D:D,'Alta Proveedor'!E:E)=0,"",_xlfn.XLOOKUP(Imput[[#This Row],[RFC]],'Alta Proveedor'!D:D,'Alta Proveedor'!E:E)),"")</f>
        <v>HOME DEPOT MEXICO SUCURSAL THD-8730 TAMPICO</v>
      </c>
      <c r="F419" s="832" t="s">
        <v>1706</v>
      </c>
      <c r="G419" s="187">
        <v>1</v>
      </c>
      <c r="H419" s="1">
        <f>168.1/Imput[[#This Row],[Cantidad]]</f>
        <v>168.1</v>
      </c>
      <c r="I419" s="169">
        <f>Imput[[#This Row],[Cantidad]]*Imput[[#This Row],[Precio Unitario]]</f>
        <v>168.1</v>
      </c>
      <c r="J419" s="11">
        <f>((Imput[[#This Row],[Sub total]])*(0.16))</f>
        <v>26.896000000000001</v>
      </c>
      <c r="K419" s="11">
        <v>0</v>
      </c>
      <c r="L419" s="169">
        <f>Imput[[#This Row],[Sub total]]+Imput[[#This Row],[IVA]]-Imput[[#This Row],[Retención / IEPS / Descuento]]</f>
        <v>194.99599999999998</v>
      </c>
      <c r="M419" s="844">
        <v>0</v>
      </c>
      <c r="N419" s="189" t="s">
        <v>123</v>
      </c>
      <c r="O419" s="1"/>
      <c r="P419" s="189" t="s">
        <v>1355</v>
      </c>
      <c r="Q419" s="190" t="s">
        <v>1356</v>
      </c>
      <c r="R419" s="188">
        <v>45866</v>
      </c>
      <c r="S419" s="193" t="s">
        <v>126</v>
      </c>
      <c r="T419" s="192"/>
      <c r="U419" s="829"/>
      <c r="V419" s="10"/>
      <c r="W419" s="10"/>
      <c r="X419" s="10"/>
      <c r="Y419" s="10"/>
      <c r="Z419" s="10"/>
      <c r="AA419" s="11"/>
      <c r="AB419" s="11"/>
      <c r="AD419" s="260"/>
    </row>
    <row r="420" spans="2:30" x14ac:dyDescent="0.3">
      <c r="B420" s="10" t="s">
        <v>290</v>
      </c>
      <c r="C420" s="315" t="s">
        <v>2709</v>
      </c>
      <c r="D420" s="868" t="s">
        <v>164</v>
      </c>
      <c r="E420" s="837" t="str">
        <f>IFERROR(IF(_xlfn.XLOOKUP(Imput[[#This Row],[RFC]],'Alta Proveedor'!D:D,'Alta Proveedor'!E:E)=0,"",_xlfn.XLOOKUP(Imput[[#This Row],[RFC]],'Alta Proveedor'!D:D,'Alta Proveedor'!E:E)),"")</f>
        <v>HOME DEPOT MEXICO SUCURSAL THD-8730 TAMPICO</v>
      </c>
      <c r="F420" s="832" t="s">
        <v>1708</v>
      </c>
      <c r="G420" s="187">
        <v>1</v>
      </c>
      <c r="H420" s="1">
        <f>145.69/Imput[[#This Row],[Cantidad]]</f>
        <v>145.69</v>
      </c>
      <c r="I420" s="169">
        <f>Imput[[#This Row],[Cantidad]]*Imput[[#This Row],[Precio Unitario]]</f>
        <v>145.69</v>
      </c>
      <c r="J420" s="11">
        <f>((Imput[[#This Row],[Sub total]])*(0.16))</f>
        <v>23.310400000000001</v>
      </c>
      <c r="K420" s="11">
        <v>0</v>
      </c>
      <c r="L420" s="169">
        <f>Imput[[#This Row],[Sub total]]+Imput[[#This Row],[IVA]]-Imput[[#This Row],[Retención / IEPS / Descuento]]</f>
        <v>169.00040000000001</v>
      </c>
      <c r="M420" s="844">
        <v>0</v>
      </c>
      <c r="N420" s="189" t="s">
        <v>123</v>
      </c>
      <c r="O420" s="1"/>
      <c r="P420" s="189" t="s">
        <v>1355</v>
      </c>
      <c r="Q420" s="190" t="s">
        <v>1356</v>
      </c>
      <c r="R420" s="188">
        <v>45866</v>
      </c>
      <c r="S420" s="193" t="s">
        <v>126</v>
      </c>
      <c r="T420" s="192"/>
      <c r="U420" s="829"/>
      <c r="V420" s="10"/>
      <c r="W420" s="10"/>
      <c r="X420" s="10"/>
      <c r="Y420" s="10"/>
      <c r="Z420" s="10"/>
      <c r="AA420" s="11"/>
      <c r="AB420" s="11"/>
      <c r="AD420" s="260"/>
    </row>
    <row r="421" spans="2:30" x14ac:dyDescent="0.3">
      <c r="B421" s="10" t="s">
        <v>290</v>
      </c>
      <c r="C421" s="315" t="s">
        <v>2709</v>
      </c>
      <c r="D421" s="868" t="s">
        <v>164</v>
      </c>
      <c r="E421" s="837" t="str">
        <f>IFERROR(IF(_xlfn.XLOOKUP(Imput[[#This Row],[RFC]],'Alta Proveedor'!D:D,'Alta Proveedor'!E:E)=0,"",_xlfn.XLOOKUP(Imput[[#This Row],[RFC]],'Alta Proveedor'!D:D,'Alta Proveedor'!E:E)),"")</f>
        <v>HOME DEPOT MEXICO SUCURSAL THD-8730 TAMPICO</v>
      </c>
      <c r="F421" s="832" t="s">
        <v>1709</v>
      </c>
      <c r="G421" s="187">
        <v>1</v>
      </c>
      <c r="H421" s="1">
        <f>107.76/Imput[[#This Row],[Cantidad]]</f>
        <v>107.76</v>
      </c>
      <c r="I421" s="169">
        <f>Imput[[#This Row],[Cantidad]]*Imput[[#This Row],[Precio Unitario]]</f>
        <v>107.76</v>
      </c>
      <c r="J421" s="11">
        <f>((Imput[[#This Row],[Sub total]])*(0.16))</f>
        <v>17.241600000000002</v>
      </c>
      <c r="K421" s="11">
        <v>0</v>
      </c>
      <c r="L421" s="169">
        <f>Imput[[#This Row],[Sub total]]+Imput[[#This Row],[IVA]]-Imput[[#This Row],[Retención / IEPS / Descuento]]</f>
        <v>125.00160000000001</v>
      </c>
      <c r="M421" s="844">
        <v>0</v>
      </c>
      <c r="N421" s="189" t="s">
        <v>123</v>
      </c>
      <c r="O421" s="1"/>
      <c r="P421" s="189" t="s">
        <v>1355</v>
      </c>
      <c r="Q421" s="190" t="s">
        <v>1356</v>
      </c>
      <c r="R421" s="188">
        <v>45866</v>
      </c>
      <c r="S421" s="193" t="s">
        <v>126</v>
      </c>
      <c r="T421" s="192"/>
      <c r="U421" s="829"/>
      <c r="V421" s="10"/>
      <c r="W421" s="10"/>
      <c r="X421" s="10"/>
      <c r="Y421" s="10"/>
      <c r="Z421" s="10"/>
      <c r="AA421" s="11"/>
      <c r="AB421" s="11"/>
      <c r="AD421" s="260"/>
    </row>
    <row r="422" spans="2:30" x14ac:dyDescent="0.3">
      <c r="B422" s="10" t="s">
        <v>290</v>
      </c>
      <c r="C422" s="315" t="s">
        <v>1131</v>
      </c>
      <c r="D422" s="868" t="s">
        <v>164</v>
      </c>
      <c r="E422" s="837" t="str">
        <f>IFERROR(IF(_xlfn.XLOOKUP(Imput[[#This Row],[RFC]],'Alta Proveedor'!D:D,'Alta Proveedor'!E:E)=0,"",_xlfn.XLOOKUP(Imput[[#This Row],[RFC]],'Alta Proveedor'!D:D,'Alta Proveedor'!E:E)),"")</f>
        <v>HOME DEPOT MEXICO SUCURSAL THD-8730 TAMPICO</v>
      </c>
      <c r="F422" s="832" t="s">
        <v>2096</v>
      </c>
      <c r="G422" s="187">
        <v>1</v>
      </c>
      <c r="H422" s="1">
        <v>7452.59</v>
      </c>
      <c r="I422" s="169">
        <f>Imput[[#This Row],[Cantidad]]*Imput[[#This Row],[Precio Unitario]]</f>
        <v>7452.59</v>
      </c>
      <c r="J422" s="11">
        <f>((Imput[[#This Row],[Sub total]]-746.56)*(0.16))</f>
        <v>1072.9648000000002</v>
      </c>
      <c r="K422" s="11">
        <v>746.56</v>
      </c>
      <c r="L422" s="169">
        <f>Imput[[#This Row],[Sub total]]+Imput[[#This Row],[IVA]]-Imput[[#This Row],[Retención / IEPS / Descuento]]</f>
        <v>7778.9948000000004</v>
      </c>
      <c r="M422" s="844">
        <v>8677.9948000000004</v>
      </c>
      <c r="N422" s="189" t="s">
        <v>123</v>
      </c>
      <c r="O422" s="1"/>
      <c r="P422" s="189" t="s">
        <v>1357</v>
      </c>
      <c r="Q422" s="190" t="s">
        <v>1358</v>
      </c>
      <c r="R422" s="188">
        <v>45866</v>
      </c>
      <c r="S422" s="193" t="s">
        <v>126</v>
      </c>
      <c r="T422" s="192"/>
      <c r="U422" s="829"/>
      <c r="V422" s="10"/>
      <c r="W422" s="10"/>
      <c r="X422" s="10"/>
      <c r="Y422" s="10"/>
      <c r="Z422" s="10"/>
      <c r="AA422" s="11"/>
      <c r="AB422" s="11"/>
      <c r="AD422" s="260"/>
    </row>
    <row r="423" spans="2:30" x14ac:dyDescent="0.3">
      <c r="B423" s="10" t="s">
        <v>290</v>
      </c>
      <c r="C423" s="315" t="s">
        <v>2326</v>
      </c>
      <c r="D423" s="868" t="s">
        <v>164</v>
      </c>
      <c r="E423" s="837" t="str">
        <f>IFERROR(IF(_xlfn.XLOOKUP(Imput[[#This Row],[RFC]],'Alta Proveedor'!D:D,'Alta Proveedor'!E:E)=0,"",_xlfn.XLOOKUP(Imput[[#This Row],[RFC]],'Alta Proveedor'!D:D,'Alta Proveedor'!E:E)),"")</f>
        <v>HOME DEPOT MEXICO SUCURSAL THD-8730 TAMPICO</v>
      </c>
      <c r="F423" s="832" t="s">
        <v>1711</v>
      </c>
      <c r="G423" s="187">
        <v>1</v>
      </c>
      <c r="H423" s="1">
        <v>775</v>
      </c>
      <c r="I423" s="169">
        <f>Imput[[#This Row],[Cantidad]]*Imput[[#This Row],[Precio Unitario]]</f>
        <v>775</v>
      </c>
      <c r="J423" s="11">
        <f>((Imput[[#This Row],[Sub total]])*(0.16))</f>
        <v>124</v>
      </c>
      <c r="K423" s="11">
        <v>0</v>
      </c>
      <c r="L423" s="169">
        <f>Imput[[#This Row],[Sub total]]+Imput[[#This Row],[IVA]]-Imput[[#This Row],[Retención / IEPS / Descuento]]</f>
        <v>899</v>
      </c>
      <c r="M423" s="844">
        <v>0</v>
      </c>
      <c r="N423" s="189" t="s">
        <v>123</v>
      </c>
      <c r="O423" s="1"/>
      <c r="P423" s="189" t="s">
        <v>1357</v>
      </c>
      <c r="Q423" s="190" t="s">
        <v>1358</v>
      </c>
      <c r="R423" s="188">
        <v>45866</v>
      </c>
      <c r="S423" s="193" t="s">
        <v>126</v>
      </c>
      <c r="T423" s="192"/>
      <c r="U423" s="829"/>
      <c r="V423" s="10"/>
      <c r="W423" s="10"/>
      <c r="X423" s="10"/>
      <c r="Y423" s="10"/>
      <c r="Z423" s="10"/>
      <c r="AA423" s="11"/>
      <c r="AB423" s="11"/>
      <c r="AD423" s="260"/>
    </row>
    <row r="424" spans="2:30" x14ac:dyDescent="0.3">
      <c r="B424" s="10" t="s">
        <v>290</v>
      </c>
      <c r="C424" s="549" t="s">
        <v>2437</v>
      </c>
      <c r="D424" s="868" t="s">
        <v>164</v>
      </c>
      <c r="E424" s="837" t="str">
        <f>IFERROR(IF(_xlfn.XLOOKUP(Imput[[#This Row],[RFC]],'Alta Proveedor'!D:D,'Alta Proveedor'!E:E)=0,"",_xlfn.XLOOKUP(Imput[[#This Row],[RFC]],'Alta Proveedor'!D:D,'Alta Proveedor'!E:E)),"")</f>
        <v>HOME DEPOT MEXICO SUCURSAL THD-8730 TAMPICO</v>
      </c>
      <c r="F424" s="832" t="s">
        <v>1712</v>
      </c>
      <c r="G424" s="187">
        <v>6</v>
      </c>
      <c r="H424" s="1">
        <f>874.14/6</f>
        <v>145.69</v>
      </c>
      <c r="I424" s="169">
        <f>Imput[[#This Row],[Cantidad]]*Imput[[#This Row],[Precio Unitario]]</f>
        <v>874.14</v>
      </c>
      <c r="J424" s="11">
        <f>((Imput[[#This Row],[Sub total]]-72.42)*(0.16))</f>
        <v>128.27520000000001</v>
      </c>
      <c r="K424" s="11">
        <v>72.42</v>
      </c>
      <c r="L424" s="169">
        <f>Imput[[#This Row],[Sub total]]+Imput[[#This Row],[IVA]]-Imput[[#This Row],[Retención / IEPS / Descuento]]</f>
        <v>929.99520000000007</v>
      </c>
      <c r="M424" s="844">
        <v>929.99520000000007</v>
      </c>
      <c r="N424" s="189" t="s">
        <v>123</v>
      </c>
      <c r="O424" s="1"/>
      <c r="P424" s="189" t="s">
        <v>1359</v>
      </c>
      <c r="Q424" s="190" t="s">
        <v>1360</v>
      </c>
      <c r="R424" s="188">
        <v>45866</v>
      </c>
      <c r="S424" s="193" t="s">
        <v>126</v>
      </c>
      <c r="T424" s="192"/>
      <c r="U424" s="829"/>
      <c r="V424" s="10"/>
      <c r="W424" s="10"/>
      <c r="X424" s="10"/>
      <c r="Y424" s="10"/>
      <c r="Z424" s="10"/>
      <c r="AA424" s="11"/>
      <c r="AB424" s="11"/>
      <c r="AD424" s="260"/>
    </row>
    <row r="425" spans="2:30" x14ac:dyDescent="0.3">
      <c r="B425" s="10" t="s">
        <v>290</v>
      </c>
      <c r="C425" s="315" t="s">
        <v>1806</v>
      </c>
      <c r="D425" s="868" t="s">
        <v>1391</v>
      </c>
      <c r="E425" s="837" t="str">
        <f>IFERROR(IF(_xlfn.XLOOKUP(Imput[[#This Row],[RFC]],'Alta Proveedor'!D:D,'Alta Proveedor'!E:E)=0,"",_xlfn.XLOOKUP(Imput[[#This Row],[RFC]],'Alta Proveedor'!D:D,'Alta Proveedor'!E:E)),"")</f>
        <v>ARTURO FIDEL NUÑEZ RUIZ</v>
      </c>
      <c r="F425" s="832" t="s">
        <v>1064</v>
      </c>
      <c r="G425" s="187">
        <v>1</v>
      </c>
      <c r="H425" s="1">
        <v>506.04</v>
      </c>
      <c r="I425" s="169">
        <f>Imput[[#This Row],[Cantidad]]*Imput[[#This Row],[Precio Unitario]]</f>
        <v>506.04</v>
      </c>
      <c r="J425" s="11">
        <f>((Imput[[#This Row],[Sub total]])*(0.16))</f>
        <v>80.966400000000007</v>
      </c>
      <c r="K425" s="11">
        <v>0</v>
      </c>
      <c r="L425" s="169">
        <f>Imput[[#This Row],[Sub total]]+Imput[[#This Row],[IVA]]-Imput[[#This Row],[Retención / IEPS / Descuento]]</f>
        <v>587.00639999999999</v>
      </c>
      <c r="M425" s="844">
        <v>587.00639999999999</v>
      </c>
      <c r="N425" s="189" t="s">
        <v>123</v>
      </c>
      <c r="O425" s="1"/>
      <c r="P425" s="189" t="s">
        <v>1389</v>
      </c>
      <c r="Q425" s="190" t="s">
        <v>1390</v>
      </c>
      <c r="R425" s="188">
        <v>45866</v>
      </c>
      <c r="S425" s="193" t="s">
        <v>126</v>
      </c>
      <c r="T425" s="192"/>
      <c r="U425" s="829"/>
      <c r="V425" s="10"/>
      <c r="W425" s="10"/>
      <c r="X425" s="10"/>
      <c r="Y425" s="10"/>
      <c r="Z425" s="10"/>
      <c r="AA425" s="11"/>
      <c r="AB425" s="11"/>
      <c r="AD425" s="260"/>
    </row>
    <row r="426" spans="2:30" x14ac:dyDescent="0.3">
      <c r="B426" s="10" t="s">
        <v>290</v>
      </c>
      <c r="C426" s="315" t="s">
        <v>2709</v>
      </c>
      <c r="D426" s="868" t="s">
        <v>1323</v>
      </c>
      <c r="E426" s="837" t="str">
        <f>IFERROR(IF(_xlfn.XLOOKUP(Imput[[#This Row],[RFC]],'Alta Proveedor'!D:D,'Alta Proveedor'!E:E)=0,"",_xlfn.XLOOKUP(Imput[[#This Row],[RFC]],'Alta Proveedor'!D:D,'Alta Proveedor'!E:E)),"")</f>
        <v>FERRETERIA JMC RAFAEL SILVA ZALETA</v>
      </c>
      <c r="F426" s="832" t="s">
        <v>1690</v>
      </c>
      <c r="G426" s="187">
        <v>3</v>
      </c>
      <c r="H426" s="1">
        <f>68.96/4</f>
        <v>17.239999999999998</v>
      </c>
      <c r="I426" s="169">
        <f>Imput[[#This Row],[Cantidad]]*Imput[[#This Row],[Precio Unitario]]</f>
        <v>51.72</v>
      </c>
      <c r="J426" s="11">
        <f>((Imput[[#This Row],[Sub total]])*(0.1601))</f>
        <v>8.2803719999999998</v>
      </c>
      <c r="K426" s="11">
        <v>0</v>
      </c>
      <c r="L426" s="169">
        <f>Imput[[#This Row],[Sub total]]+Imput[[#This Row],[IVA]]-Imput[[#This Row],[Retención / IEPS / Descuento]]</f>
        <v>60.000371999999999</v>
      </c>
      <c r="M426" s="844">
        <v>80.000495999999998</v>
      </c>
      <c r="N426" s="189" t="s">
        <v>123</v>
      </c>
      <c r="O426" s="1"/>
      <c r="P426" s="189" t="s">
        <v>1325</v>
      </c>
      <c r="Q426" s="190" t="s">
        <v>1326</v>
      </c>
      <c r="R426" s="188">
        <v>45866</v>
      </c>
      <c r="S426" s="193" t="s">
        <v>154</v>
      </c>
      <c r="T426" s="192"/>
      <c r="U426" s="829"/>
      <c r="V426" s="10"/>
      <c r="W426" s="10"/>
      <c r="X426" s="10"/>
      <c r="Y426" s="10"/>
      <c r="Z426" s="10"/>
      <c r="AA426" s="11"/>
      <c r="AB426" s="11"/>
      <c r="AD426" s="260"/>
    </row>
    <row r="427" spans="2:30" x14ac:dyDescent="0.3">
      <c r="B427" s="10" t="s">
        <v>290</v>
      </c>
      <c r="C427" s="315" t="s">
        <v>2709</v>
      </c>
      <c r="D427" s="868" t="s">
        <v>1323</v>
      </c>
      <c r="E427" s="837" t="str">
        <f>IFERROR(IF(_xlfn.XLOOKUP(Imput[[#This Row],[RFC]],'Alta Proveedor'!D:D,'Alta Proveedor'!E:E)=0,"",_xlfn.XLOOKUP(Imput[[#This Row],[RFC]],'Alta Proveedor'!D:D,'Alta Proveedor'!E:E)),"")</f>
        <v>FERRETERIA JMC RAFAEL SILVA ZALETA</v>
      </c>
      <c r="F427" s="832" t="s">
        <v>1690</v>
      </c>
      <c r="G427" s="187">
        <v>1</v>
      </c>
      <c r="H427" s="1">
        <f>H426</f>
        <v>17.239999999999998</v>
      </c>
      <c r="I427" s="169">
        <f>Imput[[#This Row],[Cantidad]]*Imput[[#This Row],[Precio Unitario]]</f>
        <v>17.239999999999998</v>
      </c>
      <c r="J427" s="11">
        <f>((Imput[[#This Row],[Sub total]])*(0.1601))</f>
        <v>2.7601239999999998</v>
      </c>
      <c r="K427" s="11">
        <v>0</v>
      </c>
      <c r="L427" s="169">
        <f>Imput[[#This Row],[Sub total]]+Imput[[#This Row],[IVA]]-Imput[[#This Row],[Retención / IEPS / Descuento]]</f>
        <v>20.000124</v>
      </c>
      <c r="M427" s="844">
        <v>0</v>
      </c>
      <c r="N427" s="189" t="s">
        <v>123</v>
      </c>
      <c r="O427" s="1"/>
      <c r="P427" s="189" t="s">
        <v>1325</v>
      </c>
      <c r="Q427" s="190" t="s">
        <v>1326</v>
      </c>
      <c r="R427" s="188">
        <v>45866</v>
      </c>
      <c r="S427" s="193" t="s">
        <v>154</v>
      </c>
      <c r="T427" s="192"/>
      <c r="U427" s="829"/>
      <c r="V427" s="10"/>
      <c r="W427" s="10"/>
      <c r="X427" s="10"/>
      <c r="Y427" s="10"/>
      <c r="Z427" s="10"/>
      <c r="AA427" s="11"/>
      <c r="AB427" s="11"/>
      <c r="AD427" s="260"/>
    </row>
    <row r="428" spans="2:30" x14ac:dyDescent="0.3">
      <c r="B428" s="10" t="s">
        <v>290</v>
      </c>
      <c r="C428" s="315" t="s">
        <v>2235</v>
      </c>
      <c r="D428" s="868" t="s">
        <v>1323</v>
      </c>
      <c r="E428" s="837" t="str">
        <f>IFERROR(IF(_xlfn.XLOOKUP(Imput[[#This Row],[RFC]],'Alta Proveedor'!D:D,'Alta Proveedor'!E:E)=0,"",_xlfn.XLOOKUP(Imput[[#This Row],[RFC]],'Alta Proveedor'!D:D,'Alta Proveedor'!E:E)),"")</f>
        <v>FERRETERIA JMC RAFAEL SILVA ZALETA</v>
      </c>
      <c r="F428" s="832" t="s">
        <v>1715</v>
      </c>
      <c r="G428" s="187">
        <v>8</v>
      </c>
      <c r="H428" s="1">
        <v>37.71</v>
      </c>
      <c r="I428" s="169">
        <f>Imput[[#This Row],[Cantidad]]*Imput[[#This Row],[Precio Unitario]]</f>
        <v>301.68</v>
      </c>
      <c r="J428" s="11">
        <f>((Imput[[#This Row],[Sub total]])*(0.16))</f>
        <v>48.268799999999999</v>
      </c>
      <c r="K428" s="11">
        <v>0</v>
      </c>
      <c r="L428" s="169">
        <f>Imput[[#This Row],[Sub total]]+Imput[[#This Row],[IVA]]-Imput[[#This Row],[Retención / IEPS / Descuento]]</f>
        <v>349.94880000000001</v>
      </c>
      <c r="M428" s="844">
        <v>349.94880000000001</v>
      </c>
      <c r="N428" s="189" t="s">
        <v>123</v>
      </c>
      <c r="O428" s="1"/>
      <c r="P428" s="189" t="s">
        <v>1407</v>
      </c>
      <c r="Q428" s="190" t="s">
        <v>1408</v>
      </c>
      <c r="R428" s="188">
        <v>45866</v>
      </c>
      <c r="S428" s="193" t="s">
        <v>126</v>
      </c>
      <c r="T428" s="192"/>
      <c r="U428" s="829"/>
      <c r="V428" s="10"/>
      <c r="W428" s="10"/>
      <c r="X428" s="10"/>
      <c r="Y428" s="10"/>
      <c r="Z428" s="10"/>
      <c r="AA428" s="11"/>
      <c r="AB428" s="11"/>
      <c r="AD428" s="260"/>
    </row>
    <row r="429" spans="2:30" x14ac:dyDescent="0.3">
      <c r="B429" s="10" t="s">
        <v>290</v>
      </c>
      <c r="C429" s="315" t="s">
        <v>1806</v>
      </c>
      <c r="D429" s="868" t="s">
        <v>1399</v>
      </c>
      <c r="E429" s="837" t="str">
        <f>IFERROR(IF(_xlfn.XLOOKUP(Imput[[#This Row],[RFC]],'Alta Proveedor'!D:D,'Alta Proveedor'!E:E)=0,"",_xlfn.XLOOKUP(Imput[[#This Row],[RFC]],'Alta Proveedor'!D:D,'Alta Proveedor'!E:E)),"")</f>
        <v>ABEL RIVERA VALDEZ "LA CASA DEL BUFFET" (RESTAURANTE)</v>
      </c>
      <c r="F429" s="832" t="s">
        <v>159</v>
      </c>
      <c r="G429" s="187">
        <v>1</v>
      </c>
      <c r="H429" s="1">
        <v>156.035</v>
      </c>
      <c r="I429" s="169">
        <f>Imput[[#This Row],[Cantidad]]*Imput[[#This Row],[Precio Unitario]]</f>
        <v>156.035</v>
      </c>
      <c r="J429" s="11">
        <f>((Imput[[#This Row],[Sub total]])*(0.15999))</f>
        <v>24.96403965</v>
      </c>
      <c r="K429" s="11">
        <v>0</v>
      </c>
      <c r="L429" s="169">
        <f>Imput[[#This Row],[Sub total]]+Imput[[#This Row],[IVA]]-Imput[[#This Row],[Retención / IEPS / Descuento]]</f>
        <v>180.99903964999999</v>
      </c>
      <c r="M429" s="844">
        <v>180.99903964999999</v>
      </c>
      <c r="N429" s="189" t="s">
        <v>123</v>
      </c>
      <c r="O429" s="1"/>
      <c r="P429" s="189" t="s">
        <v>1397</v>
      </c>
      <c r="Q429" s="190" t="s">
        <v>1398</v>
      </c>
      <c r="R429" s="188">
        <v>45866</v>
      </c>
      <c r="S429" s="193" t="s">
        <v>294</v>
      </c>
      <c r="T429" s="192"/>
      <c r="U429" s="829"/>
      <c r="V429" s="10"/>
      <c r="W429" s="10"/>
      <c r="X429" s="10"/>
      <c r="Y429" s="10"/>
      <c r="Z429" s="10"/>
      <c r="AA429" s="11"/>
      <c r="AB429" s="11"/>
      <c r="AD429" s="260"/>
    </row>
    <row r="430" spans="2:30" x14ac:dyDescent="0.3">
      <c r="B430" s="10" t="s">
        <v>290</v>
      </c>
      <c r="C430" s="315" t="s">
        <v>1769</v>
      </c>
      <c r="D430" s="868" t="s">
        <v>1294</v>
      </c>
      <c r="E430" s="837" t="str">
        <f>IFERROR(IF(_xlfn.XLOOKUP(Imput[[#This Row],[RFC]],'Alta Proveedor'!D:D,'Alta Proveedor'!E:E)=0,"",_xlfn.XLOOKUP(Imput[[#This Row],[RFC]],'Alta Proveedor'!D:D,'Alta Proveedor'!E:E)),"")</f>
        <v>FARMACIAS DE SIMILARES</v>
      </c>
      <c r="F430" s="832" t="s">
        <v>1674</v>
      </c>
      <c r="G430" s="187">
        <v>2</v>
      </c>
      <c r="H430" s="1">
        <v>25</v>
      </c>
      <c r="I430" s="169">
        <f>Imput[[#This Row],[Cantidad]]*Imput[[#This Row],[Precio Unitario]]</f>
        <v>50</v>
      </c>
      <c r="J430" s="11">
        <v>0</v>
      </c>
      <c r="K430" s="11">
        <v>0</v>
      </c>
      <c r="L430" s="169">
        <f>Imput[[#This Row],[Sub total]]+Imput[[#This Row],[IVA]]-Imput[[#This Row],[Retención / IEPS / Descuento]]</f>
        <v>50</v>
      </c>
      <c r="M430" s="844">
        <v>50</v>
      </c>
      <c r="N430" s="189" t="s">
        <v>123</v>
      </c>
      <c r="O430" s="1" t="s">
        <v>1291</v>
      </c>
      <c r="P430" s="189" t="s">
        <v>1292</v>
      </c>
      <c r="Q430" s="190" t="s">
        <v>1293</v>
      </c>
      <c r="R430" s="188">
        <v>45866</v>
      </c>
      <c r="S430" s="193" t="s">
        <v>126</v>
      </c>
      <c r="T430" s="192"/>
      <c r="U430" s="829"/>
      <c r="V430" s="10"/>
      <c r="W430" s="10"/>
      <c r="X430" s="10"/>
      <c r="Y430" s="10"/>
      <c r="Z430" s="10"/>
      <c r="AA430" s="11"/>
      <c r="AB430" s="11"/>
      <c r="AD430" s="260"/>
    </row>
    <row r="431" spans="2:30" x14ac:dyDescent="0.3">
      <c r="B431" s="10" t="s">
        <v>290</v>
      </c>
      <c r="C431" s="315" t="s">
        <v>1747</v>
      </c>
      <c r="D431" s="868" t="s">
        <v>1365</v>
      </c>
      <c r="E431" s="837" t="str">
        <f>IFERROR(IF(_xlfn.XLOOKUP(Imput[[#This Row],[RFC]],'Alta Proveedor'!D:D,'Alta Proveedor'!E:E)=0,"",_xlfn.XLOOKUP(Imput[[#This Row],[RFC]],'Alta Proveedor'!D:D,'Alta Proveedor'!E:E)),"")</f>
        <v>HOTEL MANTE</v>
      </c>
      <c r="F431" s="832" t="s">
        <v>1367</v>
      </c>
      <c r="G431" s="187">
        <v>2</v>
      </c>
      <c r="H431" s="1">
        <v>882.35294099999999</v>
      </c>
      <c r="I431" s="169">
        <f>Imput[[#This Row],[Cantidad]]*Imput[[#This Row],[Precio Unitario]]</f>
        <v>1764.705882</v>
      </c>
      <c r="J431" s="11">
        <f>((Imput[[#This Row],[Sub total]])*(0.16))+52.94</f>
        <v>335.29294112000002</v>
      </c>
      <c r="K431" s="11">
        <v>0</v>
      </c>
      <c r="L431" s="169">
        <f>Imput[[#This Row],[Sub total]]+Imput[[#This Row],[IVA]]-Imput[[#This Row],[Retención / IEPS / Descuento]]</f>
        <v>2099.99882312</v>
      </c>
      <c r="M431" s="844">
        <v>2099.99882312</v>
      </c>
      <c r="N431" s="189" t="s">
        <v>123</v>
      </c>
      <c r="O431" s="1"/>
      <c r="P431" s="189" t="s">
        <v>1363</v>
      </c>
      <c r="Q431" s="190" t="s">
        <v>1364</v>
      </c>
      <c r="R431" s="188">
        <v>45866</v>
      </c>
      <c r="S431" s="193" t="s">
        <v>126</v>
      </c>
      <c r="T431" s="192"/>
      <c r="U431" s="829"/>
      <c r="V431" s="10"/>
      <c r="W431" s="10"/>
      <c r="X431" s="10"/>
      <c r="Y431" s="10"/>
      <c r="Z431" s="10"/>
      <c r="AA431" s="11"/>
      <c r="AB431" s="11"/>
      <c r="AD431" s="260"/>
    </row>
    <row r="432" spans="2:30" x14ac:dyDescent="0.3">
      <c r="B432" s="10" t="s">
        <v>290</v>
      </c>
      <c r="C432" s="315" t="s">
        <v>1767</v>
      </c>
      <c r="D432" s="868" t="s">
        <v>1248</v>
      </c>
      <c r="E432" s="837" t="str">
        <f>IFERROR(IF(_xlfn.XLOOKUP(Imput[[#This Row],[RFC]],'Alta Proveedor'!D:D,'Alta Proveedor'!E:E)=0,"",_xlfn.XLOOKUP(Imput[[#This Row],[RFC]],'Alta Proveedor'!D:D,'Alta Proveedor'!E:E)),"")</f>
        <v>SERVICIO BOULEVARD "MOBIL"</v>
      </c>
      <c r="F432" s="832" t="s">
        <v>237</v>
      </c>
      <c r="G432" s="187">
        <v>70</v>
      </c>
      <c r="H432" s="1">
        <f>1450.16/Imput[[#This Row],[Cantidad]]</f>
        <v>20.716571428571431</v>
      </c>
      <c r="I432" s="169">
        <f>Imput[[#This Row],[Cantidad]]*Imput[[#This Row],[Precio Unitario]]</f>
        <v>1450.16</v>
      </c>
      <c r="J432" s="11">
        <v>225.64</v>
      </c>
      <c r="K432" s="11">
        <v>0</v>
      </c>
      <c r="L432" s="169">
        <f>Imput[[#This Row],[Sub total]]+Imput[[#This Row],[IVA]]-Imput[[#This Row],[Retención / IEPS / Descuento]]</f>
        <v>1675.8000000000002</v>
      </c>
      <c r="M432" s="844">
        <v>1675.8000000000002</v>
      </c>
      <c r="N432" s="189" t="s">
        <v>123</v>
      </c>
      <c r="O432" s="1"/>
      <c r="P432" s="189" t="s">
        <v>1405</v>
      </c>
      <c r="Q432" s="190" t="s">
        <v>1406</v>
      </c>
      <c r="R432" s="188">
        <v>45866</v>
      </c>
      <c r="S432" s="193" t="s">
        <v>126</v>
      </c>
      <c r="T432" s="192"/>
      <c r="U432" s="829"/>
      <c r="V432" s="10"/>
      <c r="W432" s="10"/>
      <c r="X432" s="10"/>
      <c r="Y432" s="10"/>
      <c r="Z432" s="10"/>
      <c r="AA432" s="11"/>
      <c r="AB432" s="11"/>
      <c r="AD432" s="260"/>
    </row>
    <row r="433" spans="2:30" x14ac:dyDescent="0.3">
      <c r="B433" s="10" t="s">
        <v>290</v>
      </c>
      <c r="C433" s="549" t="s">
        <v>2437</v>
      </c>
      <c r="D433" s="868" t="s">
        <v>180</v>
      </c>
      <c r="E433" s="837" t="str">
        <f>IFERROR(IF(_xlfn.XLOOKUP(Imput[[#This Row],[RFC]],'Alta Proveedor'!D:D,'Alta Proveedor'!E:E)=0,"",_xlfn.XLOOKUP(Imput[[#This Row],[RFC]],'Alta Proveedor'!D:D,'Alta Proveedor'!E:E)),"")</f>
        <v>MASYFERR (FERRETERIA)</v>
      </c>
      <c r="F433" s="832" t="s">
        <v>1678</v>
      </c>
      <c r="G433" s="187">
        <v>4</v>
      </c>
      <c r="H433" s="1">
        <f>160.34/Imput[[#This Row],[Cantidad]]</f>
        <v>40.085000000000001</v>
      </c>
      <c r="I433" s="169">
        <f>Imput[[#This Row],[Cantidad]]*Imput[[#This Row],[Precio Unitario]]</f>
        <v>160.34</v>
      </c>
      <c r="J433" s="11">
        <f>((Imput[[#This Row],[Sub total]])*(0.16))</f>
        <v>25.654400000000003</v>
      </c>
      <c r="K433" s="11">
        <v>0</v>
      </c>
      <c r="L433" s="169">
        <f>Imput[[#This Row],[Sub total]]+Imput[[#This Row],[IVA]]-Imput[[#This Row],[Retención / IEPS / Descuento]]</f>
        <v>185.99440000000001</v>
      </c>
      <c r="M433" s="844">
        <v>717.49479999999994</v>
      </c>
      <c r="N433" s="189" t="s">
        <v>123</v>
      </c>
      <c r="O433" s="1"/>
      <c r="P433" s="189" t="s">
        <v>1315</v>
      </c>
      <c r="Q433" s="190" t="s">
        <v>1316</v>
      </c>
      <c r="R433" s="188">
        <v>45866</v>
      </c>
      <c r="S433" s="193" t="s">
        <v>126</v>
      </c>
      <c r="T433" s="192"/>
      <c r="U433" s="829"/>
      <c r="V433" s="10"/>
      <c r="W433" s="10"/>
      <c r="X433" s="10"/>
      <c r="Y433" s="10"/>
      <c r="Z433" s="10"/>
      <c r="AA433" s="11"/>
      <c r="AB433" s="11"/>
      <c r="AD433" s="260"/>
    </row>
    <row r="434" spans="2:30" x14ac:dyDescent="0.3">
      <c r="B434" s="10" t="s">
        <v>290</v>
      </c>
      <c r="C434" s="315" t="s">
        <v>2434</v>
      </c>
      <c r="D434" s="868" t="s">
        <v>180</v>
      </c>
      <c r="E434" s="837" t="str">
        <f>IFERROR(IF(_xlfn.XLOOKUP(Imput[[#This Row],[RFC]],'Alta Proveedor'!D:D,'Alta Proveedor'!E:E)=0,"",_xlfn.XLOOKUP(Imput[[#This Row],[RFC]],'Alta Proveedor'!D:D,'Alta Proveedor'!E:E)),"")</f>
        <v>MASYFERR (FERRETERIA)</v>
      </c>
      <c r="F434" s="832" t="s">
        <v>1679</v>
      </c>
      <c r="G434" s="187">
        <v>3</v>
      </c>
      <c r="H434" s="1">
        <f>84.05/Imput[[#This Row],[Cantidad]]</f>
        <v>28.016666666666666</v>
      </c>
      <c r="I434" s="169">
        <f>Imput[[#This Row],[Cantidad]]*Imput[[#This Row],[Precio Unitario]]</f>
        <v>84.05</v>
      </c>
      <c r="J434" s="11">
        <f>((Imput[[#This Row],[Sub total]])*(0.16))</f>
        <v>13.448</v>
      </c>
      <c r="K434" s="11">
        <v>0</v>
      </c>
      <c r="L434" s="169">
        <f>Imput[[#This Row],[Sub total]]+Imput[[#This Row],[IVA]]-Imput[[#This Row],[Retención / IEPS / Descuento]]</f>
        <v>97.49799999999999</v>
      </c>
      <c r="M434" s="844">
        <v>0</v>
      </c>
      <c r="N434" s="189" t="s">
        <v>123</v>
      </c>
      <c r="O434" s="1"/>
      <c r="P434" s="189" t="s">
        <v>1315</v>
      </c>
      <c r="Q434" s="190" t="s">
        <v>1316</v>
      </c>
      <c r="R434" s="188">
        <v>45866</v>
      </c>
      <c r="S434" s="193" t="s">
        <v>126</v>
      </c>
      <c r="T434" s="192"/>
      <c r="U434" s="829"/>
      <c r="V434" s="10"/>
      <c r="W434" s="10"/>
      <c r="X434" s="10"/>
      <c r="Y434" s="10"/>
      <c r="Z434" s="10"/>
      <c r="AA434" s="11"/>
      <c r="AB434" s="11"/>
      <c r="AD434" s="260"/>
    </row>
    <row r="435" spans="2:30" x14ac:dyDescent="0.3">
      <c r="B435" s="10" t="s">
        <v>290</v>
      </c>
      <c r="C435" s="549" t="s">
        <v>2437</v>
      </c>
      <c r="D435" s="868" t="s">
        <v>180</v>
      </c>
      <c r="E435" s="837" t="str">
        <f>IFERROR(IF(_xlfn.XLOOKUP(Imput[[#This Row],[RFC]],'Alta Proveedor'!D:D,'Alta Proveedor'!E:E)=0,"",_xlfn.XLOOKUP(Imput[[#This Row],[RFC]],'Alta Proveedor'!D:D,'Alta Proveedor'!E:E)),"")</f>
        <v>MASYFERR (FERRETERIA)</v>
      </c>
      <c r="F435" s="832" t="s">
        <v>1677</v>
      </c>
      <c r="G435" s="187">
        <v>4</v>
      </c>
      <c r="H435" s="1">
        <f>374.14/Imput[[#This Row],[Cantidad]]</f>
        <v>93.534999999999997</v>
      </c>
      <c r="I435" s="169">
        <f>Imput[[#This Row],[Cantidad]]*Imput[[#This Row],[Precio Unitario]]</f>
        <v>374.14</v>
      </c>
      <c r="J435" s="11">
        <f>((Imput[[#This Row],[Sub total]])*(0.16))</f>
        <v>59.862400000000001</v>
      </c>
      <c r="K435" s="11">
        <v>0</v>
      </c>
      <c r="L435" s="169">
        <f>Imput[[#This Row],[Sub total]]+Imput[[#This Row],[IVA]]-Imput[[#This Row],[Retención / IEPS / Descuento]]</f>
        <v>434.00239999999997</v>
      </c>
      <c r="M435" s="844">
        <v>0</v>
      </c>
      <c r="N435" s="189" t="s">
        <v>123</v>
      </c>
      <c r="O435" s="1"/>
      <c r="P435" s="189" t="s">
        <v>1315</v>
      </c>
      <c r="Q435" s="190" t="s">
        <v>1316</v>
      </c>
      <c r="R435" s="188">
        <v>45866</v>
      </c>
      <c r="S435" s="193" t="s">
        <v>126</v>
      </c>
      <c r="T435" s="192"/>
      <c r="U435" s="829"/>
      <c r="V435" s="10"/>
      <c r="W435" s="10"/>
      <c r="X435" s="10"/>
      <c r="Y435" s="10"/>
      <c r="Z435" s="10"/>
      <c r="AA435" s="11"/>
      <c r="AB435" s="11"/>
      <c r="AD435" s="260"/>
    </row>
    <row r="436" spans="2:30" x14ac:dyDescent="0.3">
      <c r="B436" s="10" t="s">
        <v>290</v>
      </c>
      <c r="C436" s="315" t="s">
        <v>1806</v>
      </c>
      <c r="D436" s="868" t="s">
        <v>1383</v>
      </c>
      <c r="E436" s="837" t="str">
        <f>IFERROR(IF(_xlfn.XLOOKUP(Imput[[#This Row],[RFC]],'Alta Proveedor'!D:D,'Alta Proveedor'!E:E)=0,"",_xlfn.XLOOKUP(Imput[[#This Row],[RFC]],'Alta Proveedor'!D:D,'Alta Proveedor'!E:E)),"")</f>
        <v>VICENTE MUELA PARGA "PLANCHADITOS" (RESTAURANTE)</v>
      </c>
      <c r="F436" s="832" t="s">
        <v>159</v>
      </c>
      <c r="G436" s="187">
        <v>1</v>
      </c>
      <c r="H436" s="1">
        <v>412.05</v>
      </c>
      <c r="I436" s="169">
        <f>Imput[[#This Row],[Cantidad]]*Imput[[#This Row],[Precio Unitario]]</f>
        <v>412.05</v>
      </c>
      <c r="J436" s="11">
        <f>((Imput[[#This Row],[Sub total]])*(0.16))</f>
        <v>65.927999999999997</v>
      </c>
      <c r="K436" s="11">
        <v>0</v>
      </c>
      <c r="L436" s="169">
        <f>Imput[[#This Row],[Sub total]]+Imput[[#This Row],[IVA]]-Imput[[#This Row],[Retención / IEPS / Descuento]]</f>
        <v>477.97800000000001</v>
      </c>
      <c r="M436" s="844">
        <v>477.97800000000001</v>
      </c>
      <c r="N436" s="189" t="s">
        <v>123</v>
      </c>
      <c r="O436" s="1"/>
      <c r="P436" s="189" t="s">
        <v>1387</v>
      </c>
      <c r="Q436" s="190" t="s">
        <v>1388</v>
      </c>
      <c r="R436" s="188">
        <v>45867</v>
      </c>
      <c r="S436" s="193" t="s">
        <v>126</v>
      </c>
      <c r="T436" s="192"/>
      <c r="U436" s="829"/>
      <c r="V436" s="10"/>
      <c r="W436" s="10"/>
      <c r="X436" s="10"/>
      <c r="Y436" s="10"/>
      <c r="Z436" s="10"/>
      <c r="AA436" s="11"/>
      <c r="AB436" s="11"/>
      <c r="AD436" s="260"/>
    </row>
    <row r="437" spans="2:30" x14ac:dyDescent="0.3">
      <c r="B437" s="10" t="s">
        <v>383</v>
      </c>
      <c r="C437" s="315" t="s">
        <v>1849</v>
      </c>
      <c r="D437" s="868" t="s">
        <v>1394</v>
      </c>
      <c r="E437" s="837" t="str">
        <f>IFERROR(IF(_xlfn.XLOOKUP(Imput[[#This Row],[RFC]],'Alta Proveedor'!D:D,'Alta Proveedor'!E:E)=0,"",_xlfn.XLOOKUP(Imput[[#This Row],[RFC]],'Alta Proveedor'!D:D,'Alta Proveedor'!E:E)),"")</f>
        <v>DANIEL PEREZ SAN VICENTE NAVARRO</v>
      </c>
      <c r="F437" s="835" t="s">
        <v>1396</v>
      </c>
      <c r="G437" s="187">
        <v>0.5</v>
      </c>
      <c r="H437" s="1">
        <v>40000</v>
      </c>
      <c r="I437" s="169">
        <f>Imput[[#This Row],[Cantidad]]*Imput[[#This Row],[Precio Unitario]]</f>
        <v>20000</v>
      </c>
      <c r="J437" s="11">
        <f>((Imput[[#This Row],[Sub total]])*(0.16-0.106667))</f>
        <v>1066.6600000000001</v>
      </c>
      <c r="K437" s="11">
        <f>Imput[[#This Row],[Sub total]]*0.0125</f>
        <v>250</v>
      </c>
      <c r="L437" s="169">
        <f>Imput[[#This Row],[Sub total]]+Imput[[#This Row],[IVA]]-Imput[[#This Row],[Retención / IEPS / Descuento]]</f>
        <v>20816.66</v>
      </c>
      <c r="M437" s="844">
        <v>41633.32</v>
      </c>
      <c r="N437" s="189" t="s">
        <v>123</v>
      </c>
      <c r="O437" s="1"/>
      <c r="P437" s="189" t="s">
        <v>1393</v>
      </c>
      <c r="Q437" s="190" t="s">
        <v>214</v>
      </c>
      <c r="R437" s="188">
        <v>45867</v>
      </c>
      <c r="S437" s="193" t="s">
        <v>215</v>
      </c>
      <c r="T437" s="192"/>
      <c r="U437" s="829"/>
      <c r="V437" s="10"/>
      <c r="W437" s="10"/>
      <c r="X437" s="10"/>
      <c r="Y437" s="10"/>
      <c r="Z437" s="10"/>
      <c r="AA437" s="11"/>
      <c r="AB437" s="11"/>
      <c r="AD437" s="260"/>
    </row>
    <row r="438" spans="2:30" x14ac:dyDescent="0.3">
      <c r="B438" s="10" t="s">
        <v>385</v>
      </c>
      <c r="C438" s="315" t="s">
        <v>1849</v>
      </c>
      <c r="D438" s="868" t="s">
        <v>1394</v>
      </c>
      <c r="E438" s="837" t="str">
        <f>IFERROR(IF(_xlfn.XLOOKUP(Imput[[#This Row],[RFC]],'Alta Proveedor'!D:D,'Alta Proveedor'!E:E)=0,"",_xlfn.XLOOKUP(Imput[[#This Row],[RFC]],'Alta Proveedor'!D:D,'Alta Proveedor'!E:E)),"")</f>
        <v>DANIEL PEREZ SAN VICENTE NAVARRO</v>
      </c>
      <c r="F438" s="835" t="s">
        <v>1396</v>
      </c>
      <c r="G438" s="187">
        <v>0.5</v>
      </c>
      <c r="H438" s="1">
        <v>40000</v>
      </c>
      <c r="I438" s="169">
        <f>Imput[[#This Row],[Cantidad]]*Imput[[#This Row],[Precio Unitario]]</f>
        <v>20000</v>
      </c>
      <c r="J438" s="11">
        <f>((Imput[[#This Row],[Sub total]])*(0.16-0.106667))</f>
        <v>1066.6600000000001</v>
      </c>
      <c r="K438" s="11">
        <f>Imput[[#This Row],[Sub total]]*0.0125</f>
        <v>250</v>
      </c>
      <c r="L438" s="169">
        <f>Imput[[#This Row],[Sub total]]+Imput[[#This Row],[IVA]]-Imput[[#This Row],[Retención / IEPS / Descuento]]</f>
        <v>20816.66</v>
      </c>
      <c r="M438" s="844">
        <v>0</v>
      </c>
      <c r="N438" s="189" t="s">
        <v>123</v>
      </c>
      <c r="O438" s="1"/>
      <c r="P438" s="189" t="s">
        <v>1393</v>
      </c>
      <c r="Q438" s="190" t="s">
        <v>214</v>
      </c>
      <c r="R438" s="188">
        <v>45867</v>
      </c>
      <c r="S438" s="193" t="s">
        <v>215</v>
      </c>
      <c r="T438" s="192"/>
      <c r="U438" s="829"/>
      <c r="V438" s="10"/>
      <c r="W438" s="10"/>
      <c r="X438" s="10"/>
      <c r="Y438" s="10"/>
      <c r="Z438" s="10"/>
      <c r="AA438" s="11"/>
      <c r="AB438" s="11"/>
      <c r="AD438" s="260"/>
    </row>
    <row r="439" spans="2:30" x14ac:dyDescent="0.3">
      <c r="B439" s="10" t="s">
        <v>290</v>
      </c>
      <c r="C439" s="315" t="s">
        <v>1769</v>
      </c>
      <c r="D439" s="868" t="s">
        <v>244</v>
      </c>
      <c r="E439" s="837" t="str">
        <f>IFERROR(IF(_xlfn.XLOOKUP(Imput[[#This Row],[RFC]],'Alta Proveedor'!D:D,'Alta Proveedor'!E:E)=0,"",_xlfn.XLOOKUP(Imput[[#This Row],[RFC]],'Alta Proveedor'!D:D,'Alta Proveedor'!E:E)),"")</f>
        <v>CADENA COMERCIAL OXXO</v>
      </c>
      <c r="F439" s="832" t="s">
        <v>1586</v>
      </c>
      <c r="G439" s="187">
        <v>1</v>
      </c>
      <c r="H439" s="1">
        <v>28.45</v>
      </c>
      <c r="I439" s="169">
        <f>Imput[[#This Row],[Cantidad]]*Imput[[#This Row],[Precio Unitario]]</f>
        <v>28.45</v>
      </c>
      <c r="J439" s="11">
        <f>((Imput[[#This Row],[Sub total]])*(0.16))</f>
        <v>4.5519999999999996</v>
      </c>
      <c r="K439" s="11">
        <v>0</v>
      </c>
      <c r="L439" s="169">
        <f>Imput[[#This Row],[Sub total]]+Imput[[#This Row],[IVA]]-Imput[[#This Row],[Retención / IEPS / Descuento]]</f>
        <v>33.001999999999995</v>
      </c>
      <c r="M439" s="844">
        <v>115.49719999999999</v>
      </c>
      <c r="N439" s="189" t="s">
        <v>123</v>
      </c>
      <c r="O439" s="1"/>
      <c r="P439" s="189" t="s">
        <v>1353</v>
      </c>
      <c r="Q439" s="190" t="s">
        <v>1354</v>
      </c>
      <c r="R439" s="188">
        <v>45867</v>
      </c>
      <c r="S439" s="193" t="s">
        <v>126</v>
      </c>
      <c r="T439" s="192"/>
      <c r="U439" s="829"/>
      <c r="V439" s="10"/>
      <c r="W439" s="10"/>
      <c r="X439" s="10"/>
      <c r="Y439" s="10"/>
      <c r="Z439" s="10"/>
      <c r="AA439" s="11"/>
      <c r="AB439" s="11"/>
      <c r="AD439" s="260"/>
    </row>
    <row r="440" spans="2:30" x14ac:dyDescent="0.3">
      <c r="B440" s="10" t="s">
        <v>290</v>
      </c>
      <c r="C440" s="315" t="s">
        <v>1769</v>
      </c>
      <c r="D440" s="868" t="s">
        <v>244</v>
      </c>
      <c r="E440" s="837" t="str">
        <f>IFERROR(IF(_xlfn.XLOOKUP(Imput[[#This Row],[RFC]],'Alta Proveedor'!D:D,'Alta Proveedor'!E:E)=0,"",_xlfn.XLOOKUP(Imput[[#This Row],[RFC]],'Alta Proveedor'!D:D,'Alta Proveedor'!E:E)),"")</f>
        <v>CADENA COMERCIAL OXXO</v>
      </c>
      <c r="F440" s="832" t="s">
        <v>1587</v>
      </c>
      <c r="G440" s="187">
        <v>1</v>
      </c>
      <c r="H440" s="1">
        <v>21</v>
      </c>
      <c r="I440" s="169">
        <f>Imput[[#This Row],[Cantidad]]*Imput[[#This Row],[Precio Unitario]]</f>
        <v>21</v>
      </c>
      <c r="J440" s="11">
        <v>0</v>
      </c>
      <c r="K440" s="11">
        <v>0</v>
      </c>
      <c r="L440" s="169">
        <f>Imput[[#This Row],[Sub total]]+Imput[[#This Row],[IVA]]-Imput[[#This Row],[Retención / IEPS / Descuento]]</f>
        <v>21</v>
      </c>
      <c r="M440" s="844">
        <v>0</v>
      </c>
      <c r="N440" s="189" t="s">
        <v>123</v>
      </c>
      <c r="O440" s="1"/>
      <c r="P440" s="189" t="s">
        <v>1353</v>
      </c>
      <c r="Q440" s="190" t="s">
        <v>1354</v>
      </c>
      <c r="R440" s="188">
        <v>45867</v>
      </c>
      <c r="S440" s="193" t="s">
        <v>126</v>
      </c>
      <c r="T440" s="192"/>
      <c r="U440" s="829"/>
      <c r="V440" s="10"/>
      <c r="W440" s="10"/>
      <c r="X440" s="10"/>
      <c r="Y440" s="10"/>
      <c r="Z440" s="10"/>
      <c r="AA440" s="11"/>
      <c r="AB440" s="11"/>
      <c r="AD440" s="260"/>
    </row>
    <row r="441" spans="2:30" x14ac:dyDescent="0.3">
      <c r="B441" s="10" t="s">
        <v>290</v>
      </c>
      <c r="C441" s="315" t="s">
        <v>1769</v>
      </c>
      <c r="D441" s="868" t="s">
        <v>244</v>
      </c>
      <c r="E441" s="837" t="str">
        <f>IFERROR(IF(_xlfn.XLOOKUP(Imput[[#This Row],[RFC]],'Alta Proveedor'!D:D,'Alta Proveedor'!E:E)=0,"",_xlfn.XLOOKUP(Imput[[#This Row],[RFC]],'Alta Proveedor'!D:D,'Alta Proveedor'!E:E)),"")</f>
        <v>CADENA COMERCIAL OXXO</v>
      </c>
      <c r="F441" s="832" t="s">
        <v>1588</v>
      </c>
      <c r="G441" s="187">
        <v>1</v>
      </c>
      <c r="H441" s="1">
        <v>56.94</v>
      </c>
      <c r="I441" s="169">
        <f>Imput[[#This Row],[Cantidad]]*Imput[[#This Row],[Precio Unitario]]</f>
        <v>56.94</v>
      </c>
      <c r="J441" s="11">
        <f>((Imput[[#This Row],[Sub total]])*(0.08))</f>
        <v>4.5552000000000001</v>
      </c>
      <c r="K441" s="11">
        <v>0</v>
      </c>
      <c r="L441" s="169">
        <f>Imput[[#This Row],[Sub total]]+Imput[[#This Row],[IVA]]-Imput[[#This Row],[Retención / IEPS / Descuento]]</f>
        <v>61.495199999999997</v>
      </c>
      <c r="M441" s="844">
        <v>0</v>
      </c>
      <c r="N441" s="189" t="s">
        <v>123</v>
      </c>
      <c r="O441" s="1"/>
      <c r="P441" s="189" t="s">
        <v>1353</v>
      </c>
      <c r="Q441" s="190" t="s">
        <v>1354</v>
      </c>
      <c r="R441" s="188">
        <v>45867</v>
      </c>
      <c r="S441" s="193" t="s">
        <v>126</v>
      </c>
      <c r="T441" s="192"/>
      <c r="U441" s="829"/>
      <c r="V441" s="10"/>
      <c r="W441" s="10"/>
      <c r="X441" s="10"/>
      <c r="Y441" s="10"/>
      <c r="Z441" s="10"/>
      <c r="AA441" s="11"/>
      <c r="AB441" s="11"/>
      <c r="AD441" s="260"/>
    </row>
    <row r="442" spans="2:30" x14ac:dyDescent="0.3">
      <c r="B442" s="10" t="s">
        <v>290</v>
      </c>
      <c r="C442" s="315" t="s">
        <v>2428</v>
      </c>
      <c r="D442" s="868" t="s">
        <v>164</v>
      </c>
      <c r="E442" s="837" t="str">
        <f>IFERROR(IF(_xlfn.XLOOKUP(Imput[[#This Row],[RFC]],'Alta Proveedor'!D:D,'Alta Proveedor'!E:E)=0,"",_xlfn.XLOOKUP(Imput[[#This Row],[RFC]],'Alta Proveedor'!D:D,'Alta Proveedor'!E:E)),"")</f>
        <v>HOME DEPOT MEXICO SUCURSAL THD-8730 TAMPICO</v>
      </c>
      <c r="F442" s="832" t="s">
        <v>3397</v>
      </c>
      <c r="G442" s="187">
        <v>3</v>
      </c>
      <c r="H442" s="1">
        <f>535.86/Imput[[#This Row],[Cantidad]]</f>
        <v>178.62</v>
      </c>
      <c r="I442" s="169">
        <f>Imput[[#This Row],[Cantidad]]*Imput[[#This Row],[Precio Unitario]]</f>
        <v>535.86</v>
      </c>
      <c r="J442" s="11">
        <f>((Imput[[#This Row],[Sub total]])*(0.16))</f>
        <v>85.7376</v>
      </c>
      <c r="K442" s="11">
        <v>0</v>
      </c>
      <c r="L442" s="169">
        <f>Imput[[#This Row],[Sub total]]+Imput[[#This Row],[IVA]]-Imput[[#This Row],[Retención / IEPS / Descuento]]</f>
        <v>621.59760000000006</v>
      </c>
      <c r="M442" s="844">
        <v>1807.5003999999999</v>
      </c>
      <c r="N442" s="189" t="s">
        <v>123</v>
      </c>
      <c r="O442" s="1"/>
      <c r="P442" s="189" t="s">
        <v>1361</v>
      </c>
      <c r="Q442" s="190" t="s">
        <v>1362</v>
      </c>
      <c r="R442" s="188">
        <v>45867</v>
      </c>
      <c r="S442" s="193" t="s">
        <v>126</v>
      </c>
      <c r="T442" s="192"/>
      <c r="U442" s="829"/>
      <c r="V442" s="10"/>
      <c r="W442" s="10"/>
      <c r="X442" s="10"/>
      <c r="Y442" s="10"/>
      <c r="Z442" s="10"/>
      <c r="AA442" s="11"/>
      <c r="AB442" s="11"/>
      <c r="AD442" s="260"/>
    </row>
    <row r="443" spans="2:30" x14ac:dyDescent="0.3">
      <c r="B443" s="10" t="s">
        <v>290</v>
      </c>
      <c r="C443" s="315" t="s">
        <v>2428</v>
      </c>
      <c r="D443" s="868" t="s">
        <v>164</v>
      </c>
      <c r="E443" s="837" t="str">
        <f>IFERROR(IF(_xlfn.XLOOKUP(Imput[[#This Row],[RFC]],'Alta Proveedor'!D:D,'Alta Proveedor'!E:E)=0,"",_xlfn.XLOOKUP(Imput[[#This Row],[RFC]],'Alta Proveedor'!D:D,'Alta Proveedor'!E:E)),"")</f>
        <v>HOME DEPOT MEXICO SUCURSAL THD-8730 TAMPICO</v>
      </c>
      <c r="F443" s="832" t="s">
        <v>3398</v>
      </c>
      <c r="G443" s="187">
        <v>3</v>
      </c>
      <c r="H443" s="1">
        <f>488.79/Imput[[#This Row],[Cantidad]]</f>
        <v>162.93</v>
      </c>
      <c r="I443" s="169">
        <f>Imput[[#This Row],[Cantidad]]*Imput[[#This Row],[Precio Unitario]]</f>
        <v>488.79</v>
      </c>
      <c r="J443" s="11">
        <f>((Imput[[#This Row],[Sub total]])*(0.16))</f>
        <v>78.206400000000002</v>
      </c>
      <c r="K443" s="11">
        <v>0</v>
      </c>
      <c r="L443" s="169">
        <f>Imput[[#This Row],[Sub total]]+Imput[[#This Row],[IVA]]-Imput[[#This Row],[Retención / IEPS / Descuento]]</f>
        <v>566.99639999999999</v>
      </c>
      <c r="M443" s="844">
        <v>0</v>
      </c>
      <c r="N443" s="189" t="s">
        <v>123</v>
      </c>
      <c r="O443" s="1"/>
      <c r="P443" s="189" t="s">
        <v>1361</v>
      </c>
      <c r="Q443" s="190" t="s">
        <v>1362</v>
      </c>
      <c r="R443" s="188">
        <v>45867</v>
      </c>
      <c r="S443" s="193" t="s">
        <v>126</v>
      </c>
      <c r="T443" s="192"/>
      <c r="U443" s="829"/>
      <c r="V443" s="10"/>
      <c r="W443" s="10"/>
      <c r="X443" s="10"/>
      <c r="Y443" s="10"/>
      <c r="Z443" s="10"/>
      <c r="AA443" s="11"/>
      <c r="AB443" s="11"/>
      <c r="AD443" s="260"/>
    </row>
    <row r="444" spans="2:30" x14ac:dyDescent="0.3">
      <c r="B444" s="10" t="s">
        <v>290</v>
      </c>
      <c r="C444" s="315" t="s">
        <v>2434</v>
      </c>
      <c r="D444" s="868" t="s">
        <v>164</v>
      </c>
      <c r="E444" s="837" t="str">
        <f>IFERROR(IF(_xlfn.XLOOKUP(Imput[[#This Row],[RFC]],'Alta Proveedor'!D:D,'Alta Proveedor'!E:E)=0,"",_xlfn.XLOOKUP(Imput[[#This Row],[RFC]],'Alta Proveedor'!D:D,'Alta Proveedor'!E:E)),"")</f>
        <v>HOME DEPOT MEXICO SUCURSAL THD-8730 TAMPICO</v>
      </c>
      <c r="F444" s="832" t="s">
        <v>1633</v>
      </c>
      <c r="G444" s="187">
        <v>9</v>
      </c>
      <c r="H444" s="1">
        <f>248.28/Imput[[#This Row],[Cantidad]]</f>
        <v>27.586666666666666</v>
      </c>
      <c r="I444" s="169">
        <f>Imput[[#This Row],[Cantidad]]*Imput[[#This Row],[Precio Unitario]]</f>
        <v>248.28</v>
      </c>
      <c r="J444" s="11">
        <f>((Imput[[#This Row],[Sub total]])*(0.16))</f>
        <v>39.724800000000002</v>
      </c>
      <c r="K444" s="11">
        <v>0</v>
      </c>
      <c r="L444" s="169">
        <f>Imput[[#This Row],[Sub total]]+Imput[[#This Row],[IVA]]-Imput[[#This Row],[Retención / IEPS / Descuento]]</f>
        <v>288.00479999999999</v>
      </c>
      <c r="M444" s="844">
        <v>0</v>
      </c>
      <c r="N444" s="189" t="s">
        <v>123</v>
      </c>
      <c r="O444" s="1"/>
      <c r="P444" s="189" t="s">
        <v>1361</v>
      </c>
      <c r="Q444" s="190" t="s">
        <v>1362</v>
      </c>
      <c r="R444" s="188">
        <v>45867</v>
      </c>
      <c r="S444" s="193" t="s">
        <v>126</v>
      </c>
      <c r="T444" s="192"/>
      <c r="U444" s="829"/>
      <c r="V444" s="10"/>
      <c r="W444" s="10"/>
      <c r="X444" s="10"/>
      <c r="Y444" s="10"/>
      <c r="Z444" s="10"/>
      <c r="AA444" s="11"/>
      <c r="AB444" s="11"/>
      <c r="AD444" s="260"/>
    </row>
    <row r="445" spans="2:30" x14ac:dyDescent="0.3">
      <c r="B445" s="10" t="s">
        <v>290</v>
      </c>
      <c r="C445" s="315" t="s">
        <v>2428</v>
      </c>
      <c r="D445" s="868" t="s">
        <v>164</v>
      </c>
      <c r="E445" s="837" t="str">
        <f>IFERROR(IF(_xlfn.XLOOKUP(Imput[[#This Row],[RFC]],'Alta Proveedor'!D:D,'Alta Proveedor'!E:E)=0,"",_xlfn.XLOOKUP(Imput[[#This Row],[RFC]],'Alta Proveedor'!D:D,'Alta Proveedor'!E:E)),"")</f>
        <v>HOME DEPOT MEXICO SUCURSAL THD-8730 TAMPICO</v>
      </c>
      <c r="F445" s="832" t="s">
        <v>3399</v>
      </c>
      <c r="G445" s="187">
        <v>3</v>
      </c>
      <c r="H445" s="1">
        <f>167.33/Imput[[#This Row],[Cantidad]]</f>
        <v>55.776666666666671</v>
      </c>
      <c r="I445" s="169">
        <f>Imput[[#This Row],[Cantidad]]*Imput[[#This Row],[Precio Unitario]]</f>
        <v>167.33</v>
      </c>
      <c r="J445" s="11">
        <f>((Imput[[#This Row],[Sub total]])*(0.16))</f>
        <v>26.772800000000004</v>
      </c>
      <c r="K445" s="11">
        <v>0</v>
      </c>
      <c r="L445" s="169">
        <f>Imput[[#This Row],[Sub total]]+Imput[[#This Row],[IVA]]-Imput[[#This Row],[Retención / IEPS / Descuento]]</f>
        <v>194.1028</v>
      </c>
      <c r="M445" s="844">
        <v>0</v>
      </c>
      <c r="N445" s="189" t="s">
        <v>123</v>
      </c>
      <c r="O445" s="1"/>
      <c r="P445" s="189" t="s">
        <v>1361</v>
      </c>
      <c r="Q445" s="190" t="s">
        <v>1362</v>
      </c>
      <c r="R445" s="188">
        <v>45867</v>
      </c>
      <c r="S445" s="193" t="s">
        <v>126</v>
      </c>
      <c r="T445" s="192"/>
      <c r="U445" s="829"/>
      <c r="V445" s="10"/>
      <c r="W445" s="10"/>
      <c r="X445" s="10"/>
      <c r="Y445" s="10"/>
      <c r="Z445" s="10"/>
      <c r="AA445" s="11"/>
      <c r="AB445" s="11"/>
      <c r="AD445" s="260"/>
    </row>
    <row r="446" spans="2:30" x14ac:dyDescent="0.3">
      <c r="B446" s="10" t="s">
        <v>290</v>
      </c>
      <c r="C446" s="315" t="s">
        <v>2434</v>
      </c>
      <c r="D446" s="868" t="s">
        <v>164</v>
      </c>
      <c r="E446" s="837" t="str">
        <f>IFERROR(IF(_xlfn.XLOOKUP(Imput[[#This Row],[RFC]],'Alta Proveedor'!D:D,'Alta Proveedor'!E:E)=0,"",_xlfn.XLOOKUP(Imput[[#This Row],[RFC]],'Alta Proveedor'!D:D,'Alta Proveedor'!E:E)),"")</f>
        <v>HOME DEPOT MEXICO SUCURSAL THD-8730 TAMPICO</v>
      </c>
      <c r="F446" s="832" t="s">
        <v>1652</v>
      </c>
      <c r="G446" s="187">
        <v>9</v>
      </c>
      <c r="H446" s="1">
        <f>117.93/Imput[[#This Row],[Cantidad]]</f>
        <v>13.103333333333333</v>
      </c>
      <c r="I446" s="169">
        <f>Imput[[#This Row],[Cantidad]]*Imput[[#This Row],[Precio Unitario]]</f>
        <v>117.93</v>
      </c>
      <c r="J446" s="11">
        <f>((Imput[[#This Row],[Sub total]])*(0.16))</f>
        <v>18.8688</v>
      </c>
      <c r="K446" s="11">
        <v>0</v>
      </c>
      <c r="L446" s="169">
        <f>Imput[[#This Row],[Sub total]]+Imput[[#This Row],[IVA]]-Imput[[#This Row],[Retención / IEPS / Descuento]]</f>
        <v>136.7988</v>
      </c>
      <c r="M446" s="844">
        <v>0</v>
      </c>
      <c r="N446" s="189" t="s">
        <v>123</v>
      </c>
      <c r="O446" s="1"/>
      <c r="P446" s="189" t="s">
        <v>1361</v>
      </c>
      <c r="Q446" s="190" t="s">
        <v>1362</v>
      </c>
      <c r="R446" s="188">
        <v>45867</v>
      </c>
      <c r="S446" s="193" t="s">
        <v>126</v>
      </c>
      <c r="T446" s="192"/>
      <c r="U446" s="829"/>
      <c r="V446" s="10"/>
      <c r="W446" s="10"/>
      <c r="X446" s="10"/>
      <c r="Y446" s="10"/>
      <c r="Z446" s="10"/>
      <c r="AA446" s="11"/>
      <c r="AB446" s="11"/>
      <c r="AD446" s="260"/>
    </row>
    <row r="447" spans="2:30" x14ac:dyDescent="0.3">
      <c r="B447" s="10" t="s">
        <v>290</v>
      </c>
      <c r="C447" s="315" t="s">
        <v>1767</v>
      </c>
      <c r="D447" s="868" t="s">
        <v>1468</v>
      </c>
      <c r="E447" s="837" t="str">
        <f>IFERROR(IF(_xlfn.XLOOKUP(Imput[[#This Row],[RFC]],'Alta Proveedor'!D:D,'Alta Proveedor'!E:E)=0,"",_xlfn.XLOOKUP(Imput[[#This Row],[RFC]],'Alta Proveedor'!D:D,'Alta Proveedor'!E:E)),"")</f>
        <v>DISDEGA "PEMEX" (COMBUSTIBLES)</v>
      </c>
      <c r="F447" s="832" t="s">
        <v>1114</v>
      </c>
      <c r="G447" s="187">
        <v>59.439</v>
      </c>
      <c r="H447" s="1">
        <v>21.9876</v>
      </c>
      <c r="I447" s="169">
        <f>Imput[[#This Row],[Cantidad]]*Imput[[#This Row],[Precio Unitario]]</f>
        <v>1306.9209564</v>
      </c>
      <c r="J447" s="11">
        <v>204.61</v>
      </c>
      <c r="K447" s="11">
        <v>0</v>
      </c>
      <c r="L447" s="169">
        <f>Imput[[#This Row],[Sub total]]+Imput[[#This Row],[IVA]]-Imput[[#This Row],[Retención / IEPS / Descuento]]</f>
        <v>1511.5309563999999</v>
      </c>
      <c r="M447" s="844">
        <v>1511.5309563999999</v>
      </c>
      <c r="N447" s="189" t="s">
        <v>123</v>
      </c>
      <c r="O447" s="1"/>
      <c r="P447" s="189" t="s">
        <v>1466</v>
      </c>
      <c r="Q447" s="190" t="s">
        <v>1467</v>
      </c>
      <c r="R447" s="188">
        <v>45867</v>
      </c>
      <c r="S447" s="193" t="s">
        <v>294</v>
      </c>
      <c r="T447" s="192"/>
      <c r="U447" s="829"/>
      <c r="V447" s="10"/>
      <c r="W447" s="10"/>
      <c r="X447" s="10"/>
      <c r="Y447" s="10"/>
      <c r="Z447" s="10"/>
      <c r="AA447" s="11"/>
      <c r="AB447" s="11"/>
      <c r="AD447" s="260"/>
    </row>
    <row r="448" spans="2:30" x14ac:dyDescent="0.3">
      <c r="B448" s="10" t="s">
        <v>290</v>
      </c>
      <c r="C448" s="315" t="s">
        <v>2709</v>
      </c>
      <c r="D448" s="868" t="s">
        <v>143</v>
      </c>
      <c r="E448" s="837" t="str">
        <f>IFERROR(IF(_xlfn.XLOOKUP(Imput[[#This Row],[RFC]],'Alta Proveedor'!D:D,'Alta Proveedor'!E:E)=0,"",_xlfn.XLOOKUP(Imput[[#This Row],[RFC]],'Alta Proveedor'!D:D,'Alta Proveedor'!E:E)),"")</f>
        <v>FERRETERIA CUERVO SA DE CV</v>
      </c>
      <c r="F448" s="832" t="s">
        <v>1699</v>
      </c>
      <c r="G448" s="187">
        <v>1</v>
      </c>
      <c r="H448" s="1">
        <v>148.97</v>
      </c>
      <c r="I448" s="169">
        <f>Imput[[#This Row],[Cantidad]]*Imput[[#This Row],[Precio Unitario]]</f>
        <v>148.97</v>
      </c>
      <c r="J448" s="11">
        <f>((Imput[[#This Row],[Sub total]])*(0.16))</f>
        <v>23.8352</v>
      </c>
      <c r="K448" s="11">
        <v>0</v>
      </c>
      <c r="L448" s="169">
        <f>Imput[[#This Row],[Sub total]]+Imput[[#This Row],[IVA]]-Imput[[#This Row],[Retención / IEPS / Descuento]]</f>
        <v>172.80520000000001</v>
      </c>
      <c r="M448" s="844">
        <v>172.80520000000001</v>
      </c>
      <c r="N448" s="189" t="s">
        <v>123</v>
      </c>
      <c r="O448" s="1"/>
      <c r="P448" s="189" t="s">
        <v>1335</v>
      </c>
      <c r="Q448" s="190" t="s">
        <v>1336</v>
      </c>
      <c r="R448" s="188">
        <v>45867</v>
      </c>
      <c r="S448" s="193" t="s">
        <v>126</v>
      </c>
      <c r="T448" s="192"/>
      <c r="U448" s="829"/>
      <c r="V448" s="10"/>
      <c r="W448" s="10"/>
      <c r="X448" s="10"/>
      <c r="Y448" s="10"/>
      <c r="Z448" s="10"/>
      <c r="AA448" s="11"/>
      <c r="AB448" s="11"/>
      <c r="AD448" s="260"/>
    </row>
    <row r="449" spans="2:30" x14ac:dyDescent="0.3">
      <c r="B449" s="10" t="s">
        <v>290</v>
      </c>
      <c r="C449" s="315" t="s">
        <v>2423</v>
      </c>
      <c r="D449" s="868" t="s">
        <v>143</v>
      </c>
      <c r="E449" s="837" t="str">
        <f>IFERROR(IF(_xlfn.XLOOKUP(Imput[[#This Row],[RFC]],'Alta Proveedor'!D:D,'Alta Proveedor'!E:E)=0,"",_xlfn.XLOOKUP(Imput[[#This Row],[RFC]],'Alta Proveedor'!D:D,'Alta Proveedor'!E:E)),"")</f>
        <v>FERRETERIA CUERVO SA DE CV</v>
      </c>
      <c r="F449" s="832" t="s">
        <v>1738</v>
      </c>
      <c r="G449" s="187">
        <v>8</v>
      </c>
      <c r="H449" s="1">
        <v>37.630000000000003</v>
      </c>
      <c r="I449" s="169">
        <f>Imput[[#This Row],[Cantidad]]*Imput[[#This Row],[Precio Unitario]]</f>
        <v>301.04000000000002</v>
      </c>
      <c r="J449" s="11">
        <f>((Imput[[#This Row],[Sub total]])*(0.16))</f>
        <v>48.166400000000003</v>
      </c>
      <c r="K449" s="11">
        <v>0</v>
      </c>
      <c r="L449" s="169">
        <f>Imput[[#This Row],[Sub total]]+Imput[[#This Row],[IVA]]-Imput[[#This Row],[Retención / IEPS / Descuento]]</f>
        <v>349.20640000000003</v>
      </c>
      <c r="M449" s="844">
        <v>349.20640000000003</v>
      </c>
      <c r="N449" s="189" t="s">
        <v>123</v>
      </c>
      <c r="O449" s="1"/>
      <c r="P449" s="189" t="s">
        <v>1337</v>
      </c>
      <c r="Q449" s="190" t="s">
        <v>1338</v>
      </c>
      <c r="R449" s="188">
        <v>45867</v>
      </c>
      <c r="S449" s="193" t="s">
        <v>126</v>
      </c>
      <c r="T449" s="192"/>
      <c r="U449" s="829"/>
      <c r="V449" s="10"/>
      <c r="W449" s="10"/>
      <c r="X449" s="10"/>
      <c r="Y449" s="10"/>
      <c r="Z449" s="10"/>
      <c r="AA449" s="11"/>
      <c r="AB449" s="11"/>
      <c r="AD449" s="260"/>
    </row>
    <row r="450" spans="2:30" x14ac:dyDescent="0.3">
      <c r="B450" s="10" t="s">
        <v>290</v>
      </c>
      <c r="C450" s="315" t="s">
        <v>1767</v>
      </c>
      <c r="D450" s="868" t="s">
        <v>1377</v>
      </c>
      <c r="E450" s="837" t="str">
        <f>IFERROR(IF(_xlfn.XLOOKUP(Imput[[#This Row],[RFC]],'Alta Proveedor'!D:D,'Alta Proveedor'!E:E)=0,"",_xlfn.XLOOKUP(Imput[[#This Row],[RFC]],'Alta Proveedor'!D:D,'Alta Proveedor'!E:E)),"")</f>
        <v>MERCANTIL MANTE E01283 (COMBUSTIBLES)</v>
      </c>
      <c r="F450" s="832" t="s">
        <v>237</v>
      </c>
      <c r="G450" s="187">
        <v>45.18</v>
      </c>
      <c r="H450" s="1">
        <f>934.41/Imput[[#This Row],[Cantidad]]</f>
        <v>20.681938911022577</v>
      </c>
      <c r="I450" s="169">
        <f>Imput[[#This Row],[Cantidad]]*Imput[[#This Row],[Precio Unitario]]</f>
        <v>934.41000000000008</v>
      </c>
      <c r="J450" s="11">
        <v>145.38999999999999</v>
      </c>
      <c r="K450" s="11">
        <v>0</v>
      </c>
      <c r="L450" s="169">
        <f>Imput[[#This Row],[Sub total]]+Imput[[#This Row],[IVA]]-Imput[[#This Row],[Retención / IEPS / Descuento]]</f>
        <v>1079.8000000000002</v>
      </c>
      <c r="M450" s="844">
        <v>1079.8000000000002</v>
      </c>
      <c r="N450" s="189" t="s">
        <v>123</v>
      </c>
      <c r="O450" s="1"/>
      <c r="P450" s="189" t="s">
        <v>1375</v>
      </c>
      <c r="Q450" s="190" t="s">
        <v>1376</v>
      </c>
      <c r="R450" s="188">
        <v>45867</v>
      </c>
      <c r="S450" s="193" t="s">
        <v>126</v>
      </c>
      <c r="T450" s="192"/>
      <c r="U450" s="829"/>
      <c r="V450" s="10"/>
      <c r="W450" s="10"/>
      <c r="X450" s="10"/>
      <c r="Y450" s="10"/>
      <c r="Z450" s="10"/>
      <c r="AA450" s="11"/>
      <c r="AB450" s="11"/>
      <c r="AD450" s="260"/>
    </row>
    <row r="451" spans="2:30" x14ac:dyDescent="0.3">
      <c r="B451" s="10" t="s">
        <v>290</v>
      </c>
      <c r="C451" s="315" t="s">
        <v>1769</v>
      </c>
      <c r="D451" s="868" t="s">
        <v>1412</v>
      </c>
      <c r="E451" s="837" t="str">
        <f>IFERROR(IF(_xlfn.XLOOKUP(Imput[[#This Row],[RFC]],'Alta Proveedor'!D:D,'Alta Proveedor'!E:E)=0,"",_xlfn.XLOOKUP(Imput[[#This Row],[RFC]],'Alta Proveedor'!D:D,'Alta Proveedor'!E:E)),"")</f>
        <v>TIENDAS GRAN D</v>
      </c>
      <c r="F451" s="832" t="s">
        <v>1716</v>
      </c>
      <c r="G451" s="187">
        <v>6</v>
      </c>
      <c r="H451" s="1">
        <v>45.5</v>
      </c>
      <c r="I451" s="169">
        <f>Imput[[#This Row],[Cantidad]]*Imput[[#This Row],[Precio Unitario]]</f>
        <v>273</v>
      </c>
      <c r="J451" s="11">
        <v>0</v>
      </c>
      <c r="K451" s="11">
        <v>0</v>
      </c>
      <c r="L451" s="169">
        <f>Imput[[#This Row],[Sub total]]+Imput[[#This Row],[IVA]]-Imput[[#This Row],[Retención / IEPS / Descuento]]</f>
        <v>273</v>
      </c>
      <c r="M451" s="844">
        <v>343.34859999999998</v>
      </c>
      <c r="N451" s="189" t="s">
        <v>123</v>
      </c>
      <c r="O451" s="1"/>
      <c r="P451" s="189" t="s">
        <v>1409</v>
      </c>
      <c r="Q451" s="190" t="s">
        <v>1410</v>
      </c>
      <c r="R451" s="188">
        <v>45867</v>
      </c>
      <c r="S451" s="193" t="s">
        <v>126</v>
      </c>
      <c r="T451" s="192"/>
      <c r="U451" s="829"/>
      <c r="V451" s="10"/>
      <c r="W451" s="10"/>
      <c r="X451" s="10"/>
      <c r="Y451" s="10"/>
      <c r="Z451" s="10"/>
      <c r="AA451" s="11"/>
      <c r="AB451" s="11"/>
      <c r="AD451" s="260"/>
    </row>
    <row r="452" spans="2:30" x14ac:dyDescent="0.3">
      <c r="B452" s="10" t="s">
        <v>290</v>
      </c>
      <c r="C452" s="315" t="s">
        <v>1769</v>
      </c>
      <c r="D452" s="868" t="s">
        <v>1412</v>
      </c>
      <c r="E452" s="837" t="str">
        <f>IFERROR(IF(_xlfn.XLOOKUP(Imput[[#This Row],[RFC]],'Alta Proveedor'!D:D,'Alta Proveedor'!E:E)=0,"",_xlfn.XLOOKUP(Imput[[#This Row],[RFC]],'Alta Proveedor'!D:D,'Alta Proveedor'!E:E)),"")</f>
        <v>TIENDAS GRAN D</v>
      </c>
      <c r="F452" s="832" t="s">
        <v>1717</v>
      </c>
      <c r="G452" s="187">
        <v>1</v>
      </c>
      <c r="H452" s="1">
        <v>11.64</v>
      </c>
      <c r="I452" s="169">
        <f>Imput[[#This Row],[Cantidad]]*Imput[[#This Row],[Precio Unitario]]</f>
        <v>11.64</v>
      </c>
      <c r="J452" s="11">
        <f>((Imput[[#This Row],[Sub total]])*(0.16))</f>
        <v>1.8624000000000001</v>
      </c>
      <c r="K452" s="11">
        <v>0</v>
      </c>
      <c r="L452" s="169">
        <f>Imput[[#This Row],[Sub total]]+Imput[[#This Row],[IVA]]-Imput[[#This Row],[Retención / IEPS / Descuento]]</f>
        <v>13.502400000000002</v>
      </c>
      <c r="M452" s="844">
        <v>0</v>
      </c>
      <c r="N452" s="189" t="s">
        <v>123</v>
      </c>
      <c r="O452" s="1"/>
      <c r="P452" s="189" t="s">
        <v>1409</v>
      </c>
      <c r="Q452" s="190" t="s">
        <v>1410</v>
      </c>
      <c r="R452" s="188">
        <v>45867</v>
      </c>
      <c r="S452" s="193" t="s">
        <v>126</v>
      </c>
      <c r="T452" s="192"/>
      <c r="U452" s="829"/>
      <c r="V452" s="10"/>
      <c r="W452" s="10"/>
      <c r="X452" s="10"/>
      <c r="Y452" s="10"/>
      <c r="Z452" s="10"/>
      <c r="AA452" s="11"/>
      <c r="AB452" s="11"/>
      <c r="AD452" s="260"/>
    </row>
    <row r="453" spans="2:30" x14ac:dyDescent="0.3">
      <c r="B453" s="10" t="s">
        <v>290</v>
      </c>
      <c r="C453" s="315" t="s">
        <v>1769</v>
      </c>
      <c r="D453" s="868" t="s">
        <v>1412</v>
      </c>
      <c r="E453" s="837" t="str">
        <f>IFERROR(IF(_xlfn.XLOOKUP(Imput[[#This Row],[RFC]],'Alta Proveedor'!D:D,'Alta Proveedor'!E:E)=0,"",_xlfn.XLOOKUP(Imput[[#This Row],[RFC]],'Alta Proveedor'!D:D,'Alta Proveedor'!E:E)),"")</f>
        <v>TIENDAS GRAN D</v>
      </c>
      <c r="F453" s="832" t="s">
        <v>1718</v>
      </c>
      <c r="G453" s="187">
        <v>1</v>
      </c>
      <c r="H453" s="1">
        <v>15.52</v>
      </c>
      <c r="I453" s="169">
        <f>Imput[[#This Row],[Cantidad]]*Imput[[#This Row],[Precio Unitario]]</f>
        <v>15.52</v>
      </c>
      <c r="J453" s="11">
        <f>((Imput[[#This Row],[Sub total]])*(0.16))</f>
        <v>2.4832000000000001</v>
      </c>
      <c r="K453" s="11">
        <v>0</v>
      </c>
      <c r="L453" s="169">
        <f>Imput[[#This Row],[Sub total]]+Imput[[#This Row],[IVA]]-Imput[[#This Row],[Retención / IEPS / Descuento]]</f>
        <v>18.0032</v>
      </c>
      <c r="M453" s="844">
        <v>0</v>
      </c>
      <c r="N453" s="189" t="s">
        <v>123</v>
      </c>
      <c r="O453" s="1"/>
      <c r="P453" s="189" t="s">
        <v>1409</v>
      </c>
      <c r="Q453" s="190" t="s">
        <v>1410</v>
      </c>
      <c r="R453" s="188">
        <v>45867</v>
      </c>
      <c r="S453" s="193" t="s">
        <v>126</v>
      </c>
      <c r="T453" s="192"/>
      <c r="U453" s="829"/>
      <c r="V453" s="10"/>
      <c r="W453" s="10"/>
      <c r="X453" s="10"/>
      <c r="Y453" s="10"/>
      <c r="Z453" s="10"/>
      <c r="AA453" s="11"/>
      <c r="AB453" s="11"/>
      <c r="AD453" s="260"/>
    </row>
    <row r="454" spans="2:30" x14ac:dyDescent="0.3">
      <c r="B454" s="10" t="s">
        <v>290</v>
      </c>
      <c r="C454" s="315" t="s">
        <v>1769</v>
      </c>
      <c r="D454" s="868" t="s">
        <v>1412</v>
      </c>
      <c r="E454" s="837" t="str">
        <f>IFERROR(IF(_xlfn.XLOOKUP(Imput[[#This Row],[RFC]],'Alta Proveedor'!D:D,'Alta Proveedor'!E:E)=0,"",_xlfn.XLOOKUP(Imput[[#This Row],[RFC]],'Alta Proveedor'!D:D,'Alta Proveedor'!E:E)),"")</f>
        <v>TIENDAS GRAN D</v>
      </c>
      <c r="F454" s="832" t="s">
        <v>1719</v>
      </c>
      <c r="G454" s="187">
        <v>1</v>
      </c>
      <c r="H454" s="1">
        <v>18.899999999999999</v>
      </c>
      <c r="I454" s="169">
        <f>Imput[[#This Row],[Cantidad]]*Imput[[#This Row],[Precio Unitario]]</f>
        <v>18.899999999999999</v>
      </c>
      <c r="J454" s="11">
        <v>0</v>
      </c>
      <c r="K454" s="11">
        <v>0</v>
      </c>
      <c r="L454" s="169">
        <f>Imput[[#This Row],[Sub total]]+Imput[[#This Row],[IVA]]-Imput[[#This Row],[Retención / IEPS / Descuento]]</f>
        <v>18.899999999999999</v>
      </c>
      <c r="M454" s="844">
        <v>0</v>
      </c>
      <c r="N454" s="189" t="s">
        <v>123</v>
      </c>
      <c r="O454" s="1"/>
      <c r="P454" s="189" t="s">
        <v>1409</v>
      </c>
      <c r="Q454" s="190" t="s">
        <v>1410</v>
      </c>
      <c r="R454" s="188">
        <v>45867</v>
      </c>
      <c r="S454" s="193" t="s">
        <v>126</v>
      </c>
      <c r="T454" s="192"/>
      <c r="U454" s="829"/>
      <c r="V454" s="10"/>
      <c r="W454" s="10"/>
      <c r="X454" s="10"/>
      <c r="Y454" s="10"/>
      <c r="Z454" s="10"/>
      <c r="AA454" s="11"/>
      <c r="AB454" s="11"/>
      <c r="AD454" s="260"/>
    </row>
    <row r="455" spans="2:30" x14ac:dyDescent="0.3">
      <c r="B455" s="10" t="s">
        <v>290</v>
      </c>
      <c r="C455" s="315" t="s">
        <v>1769</v>
      </c>
      <c r="D455" s="868" t="s">
        <v>1412</v>
      </c>
      <c r="E455" s="837" t="str">
        <f>IFERROR(IF(_xlfn.XLOOKUP(Imput[[#This Row],[RFC]],'Alta Proveedor'!D:D,'Alta Proveedor'!E:E)=0,"",_xlfn.XLOOKUP(Imput[[#This Row],[RFC]],'Alta Proveedor'!D:D,'Alta Proveedor'!E:E)),"")</f>
        <v>TIENDAS GRAN D</v>
      </c>
      <c r="F455" s="832" t="s">
        <v>1720</v>
      </c>
      <c r="G455" s="187">
        <v>0.77</v>
      </c>
      <c r="H455" s="1">
        <v>25.9</v>
      </c>
      <c r="I455" s="169">
        <f>Imput[[#This Row],[Cantidad]]*Imput[[#This Row],[Precio Unitario]]</f>
        <v>19.942999999999998</v>
      </c>
      <c r="J455" s="11">
        <v>0</v>
      </c>
      <c r="K455" s="11">
        <v>0</v>
      </c>
      <c r="L455" s="169">
        <f>Imput[[#This Row],[Sub total]]+Imput[[#This Row],[IVA]]-Imput[[#This Row],[Retención / IEPS / Descuento]]</f>
        <v>19.942999999999998</v>
      </c>
      <c r="M455" s="844">
        <v>0</v>
      </c>
      <c r="N455" s="189" t="s">
        <v>123</v>
      </c>
      <c r="O455" s="1"/>
      <c r="P455" s="189" t="s">
        <v>1409</v>
      </c>
      <c r="Q455" s="190" t="s">
        <v>1410</v>
      </c>
      <c r="R455" s="188">
        <v>45867</v>
      </c>
      <c r="S455" s="193" t="s">
        <v>126</v>
      </c>
      <c r="T455" s="192"/>
      <c r="U455" s="829"/>
      <c r="V455" s="10"/>
      <c r="W455" s="10"/>
      <c r="X455" s="10"/>
      <c r="Y455" s="10"/>
      <c r="Z455" s="10"/>
      <c r="AA455" s="11"/>
      <c r="AB455" s="11"/>
      <c r="AD455" s="260"/>
    </row>
    <row r="456" spans="2:30" x14ac:dyDescent="0.3">
      <c r="B456" s="10" t="s">
        <v>290</v>
      </c>
      <c r="C456" s="315" t="s">
        <v>1767</v>
      </c>
      <c r="D456" s="868" t="s">
        <v>1347</v>
      </c>
      <c r="E456" s="837" t="str">
        <f>IFERROR(IF(_xlfn.XLOOKUP(Imput[[#This Row],[RFC]],'Alta Proveedor'!D:D,'Alta Proveedor'!E:E)=0,"",_xlfn.XLOOKUP(Imput[[#This Row],[RFC]],'Alta Proveedor'!D:D,'Alta Proveedor'!E:E)),"")</f>
        <v>GASOLINERA LAS PALMAS (COMBUSTIBLES)</v>
      </c>
      <c r="F456" s="832" t="s">
        <v>237</v>
      </c>
      <c r="G456" s="187">
        <v>55.9</v>
      </c>
      <c r="H456" s="1">
        <f>1133.88/Imput[[#This Row],[Cantidad]]</f>
        <v>20.284078711985693</v>
      </c>
      <c r="I456" s="169">
        <f>Imput[[#This Row],[Cantidad]]*Imput[[#This Row],[Precio Unitario]]</f>
        <v>1133.8800000000001</v>
      </c>
      <c r="J456" s="11">
        <v>176.32</v>
      </c>
      <c r="K456" s="11">
        <v>0</v>
      </c>
      <c r="L456" s="169">
        <f>Imput[[#This Row],[Sub total]]+Imput[[#This Row],[IVA]]-Imput[[#This Row],[Retención / IEPS / Descuento]]</f>
        <v>1310.2</v>
      </c>
      <c r="M456" s="844">
        <v>1310.2</v>
      </c>
      <c r="N456" s="189" t="s">
        <v>123</v>
      </c>
      <c r="O456" s="1"/>
      <c r="P456" s="189" t="s">
        <v>1345</v>
      </c>
      <c r="Q456" s="190" t="s">
        <v>1346</v>
      </c>
      <c r="R456" s="188">
        <v>45867</v>
      </c>
      <c r="S456" s="193" t="s">
        <v>126</v>
      </c>
      <c r="T456" s="192"/>
      <c r="U456" s="829"/>
      <c r="V456" s="10"/>
      <c r="W456" s="10"/>
      <c r="X456" s="10"/>
      <c r="Y456" s="10"/>
      <c r="Z456" s="10"/>
      <c r="AA456" s="11"/>
      <c r="AB456" s="11"/>
      <c r="AD456" s="260"/>
    </row>
    <row r="457" spans="2:30" x14ac:dyDescent="0.3">
      <c r="B457" s="10" t="s">
        <v>290</v>
      </c>
      <c r="C457" s="315" t="s">
        <v>2326</v>
      </c>
      <c r="D457" s="868" t="s">
        <v>1341</v>
      </c>
      <c r="E457" s="837" t="str">
        <f>IFERROR(IF(_xlfn.XLOOKUP(Imput[[#This Row],[RFC]],'Alta Proveedor'!D:D,'Alta Proveedor'!E:E)=0,"",_xlfn.XLOOKUP(Imput[[#This Row],[RFC]],'Alta Proveedor'!D:D,'Alta Proveedor'!E:E)),"")</f>
        <v>ZOILA DE LA GARZA VALDEZ "FerreCables y Cordeles"</v>
      </c>
      <c r="F457" s="832" t="s">
        <v>1700</v>
      </c>
      <c r="G457" s="187">
        <v>1</v>
      </c>
      <c r="H457" s="1">
        <v>31.969000000000001</v>
      </c>
      <c r="I457" s="169">
        <f>Imput[[#This Row],[Cantidad]]*Imput[[#This Row],[Precio Unitario]]</f>
        <v>31.969000000000001</v>
      </c>
      <c r="J457" s="11">
        <f>((Imput[[#This Row],[Sub total]])*(0.16))</f>
        <v>5.1150400000000005</v>
      </c>
      <c r="K457" s="11">
        <f>I457*0.0124757252986524</f>
        <v>0.39883646207261858</v>
      </c>
      <c r="L457" s="169">
        <f>Imput[[#This Row],[Sub total]]+Imput[[#This Row],[IVA]]-Imput[[#This Row],[Retención / IEPS / Descuento]]</f>
        <v>36.685203537927386</v>
      </c>
      <c r="M457" s="844">
        <v>195.00224257282409</v>
      </c>
      <c r="N457" s="189" t="s">
        <v>123</v>
      </c>
      <c r="O457" s="1"/>
      <c r="P457" s="189" t="s">
        <v>1339</v>
      </c>
      <c r="Q457" s="190" t="s">
        <v>1340</v>
      </c>
      <c r="R457" s="188">
        <v>45867</v>
      </c>
      <c r="S457" s="193" t="s">
        <v>126</v>
      </c>
      <c r="T457" s="192"/>
      <c r="U457" s="829"/>
      <c r="V457" s="10"/>
      <c r="W457" s="10"/>
      <c r="X457" s="10"/>
      <c r="Y457" s="10"/>
      <c r="Z457" s="10"/>
      <c r="AA457" s="11"/>
      <c r="AB457" s="11"/>
      <c r="AD457" s="260"/>
    </row>
    <row r="458" spans="2:30" x14ac:dyDescent="0.3">
      <c r="B458" s="10" t="s">
        <v>290</v>
      </c>
      <c r="C458" s="315" t="s">
        <v>2426</v>
      </c>
      <c r="D458" s="868" t="s">
        <v>1341</v>
      </c>
      <c r="E458" s="837" t="str">
        <f>IFERROR(IF(_xlfn.XLOOKUP(Imput[[#This Row],[RFC]],'Alta Proveedor'!D:D,'Alta Proveedor'!E:E)=0,"",_xlfn.XLOOKUP(Imput[[#This Row],[RFC]],'Alta Proveedor'!D:D,'Alta Proveedor'!E:E)),"")</f>
        <v>ZOILA DE LA GARZA VALDEZ "FerreCables y Cordeles"</v>
      </c>
      <c r="F458" s="832" t="s">
        <v>1701</v>
      </c>
      <c r="G458" s="187">
        <v>1.2</v>
      </c>
      <c r="H458" s="1">
        <v>114.97</v>
      </c>
      <c r="I458" s="169">
        <f>Imput[[#This Row],[Cantidad]]*Imput[[#This Row],[Precio Unitario]]</f>
        <v>137.964</v>
      </c>
      <c r="J458" s="11">
        <f>((Imput[[#This Row],[Sub total]])*(0.16))</f>
        <v>22.07424</v>
      </c>
      <c r="K458" s="11">
        <f>I458*0.0124757252986524</f>
        <v>1.7212009651032796</v>
      </c>
      <c r="L458" s="169">
        <f>Imput[[#This Row],[Sub total]]+Imput[[#This Row],[IVA]]-Imput[[#This Row],[Retención / IEPS / Descuento]]</f>
        <v>158.31703903489671</v>
      </c>
      <c r="M458" s="844">
        <v>0</v>
      </c>
      <c r="N458" s="189" t="s">
        <v>123</v>
      </c>
      <c r="O458" s="1"/>
      <c r="P458" s="189" t="s">
        <v>1339</v>
      </c>
      <c r="Q458" s="190" t="s">
        <v>1340</v>
      </c>
      <c r="R458" s="188">
        <v>45867</v>
      </c>
      <c r="S458" s="193" t="s">
        <v>126</v>
      </c>
      <c r="T458" s="192"/>
      <c r="U458" s="829"/>
      <c r="V458" s="10"/>
      <c r="W458" s="10"/>
      <c r="X458" s="10"/>
      <c r="Y458" s="10"/>
      <c r="Z458" s="10"/>
      <c r="AA458" s="11"/>
      <c r="AB458" s="11"/>
      <c r="AD458" s="260"/>
    </row>
    <row r="459" spans="2:30" x14ac:dyDescent="0.3">
      <c r="B459" s="10" t="s">
        <v>290</v>
      </c>
      <c r="C459" s="315" t="s">
        <v>2249</v>
      </c>
      <c r="D459" s="868" t="s">
        <v>1341</v>
      </c>
      <c r="E459" s="837" t="str">
        <f>IFERROR(IF(_xlfn.XLOOKUP(Imput[[#This Row],[RFC]],'Alta Proveedor'!D:D,'Alta Proveedor'!E:E)=0,"",_xlfn.XLOOKUP(Imput[[#This Row],[RFC]],'Alta Proveedor'!D:D,'Alta Proveedor'!E:E)),"")</f>
        <v>ZOILA DE LA GARZA VALDEZ "FerreCables y Cordeles"</v>
      </c>
      <c r="F459" s="832" t="s">
        <v>1702</v>
      </c>
      <c r="G459" s="187">
        <v>3</v>
      </c>
      <c r="H459" s="1">
        <v>18.3017</v>
      </c>
      <c r="I459" s="169">
        <f>Imput[[#This Row],[Cantidad]]*Imput[[#This Row],[Precio Unitario]]</f>
        <v>54.905100000000004</v>
      </c>
      <c r="J459" s="11">
        <f>((Imput[[#This Row],[Sub total]])*(0.16))</f>
        <v>8.7848160000000011</v>
      </c>
      <c r="K459" s="11">
        <v>0.69</v>
      </c>
      <c r="L459" s="169">
        <f>Imput[[#This Row],[Sub total]]+Imput[[#This Row],[IVA]]-Imput[[#This Row],[Retención / IEPS / Descuento]]</f>
        <v>62.999916000000006</v>
      </c>
      <c r="M459" s="844">
        <v>62.999916000000006</v>
      </c>
      <c r="N459" s="189" t="s">
        <v>123</v>
      </c>
      <c r="O459" s="1"/>
      <c r="P459" s="189" t="s">
        <v>1343</v>
      </c>
      <c r="Q459" s="190" t="s">
        <v>1344</v>
      </c>
      <c r="R459" s="188">
        <v>45867</v>
      </c>
      <c r="S459" s="193" t="s">
        <v>126</v>
      </c>
      <c r="T459" s="192"/>
      <c r="U459" s="829"/>
      <c r="V459" s="10"/>
      <c r="W459" s="10"/>
      <c r="X459" s="10"/>
      <c r="Y459" s="10"/>
      <c r="Z459" s="10"/>
      <c r="AA459" s="11"/>
      <c r="AB459" s="11"/>
      <c r="AD459" s="260"/>
    </row>
    <row r="460" spans="2:30" x14ac:dyDescent="0.3">
      <c r="B460" s="10" t="s">
        <v>290</v>
      </c>
      <c r="C460" s="549" t="s">
        <v>2429</v>
      </c>
      <c r="D460" s="868" t="s">
        <v>1404</v>
      </c>
      <c r="E460" s="837" t="str">
        <f>IFERROR(IF(_xlfn.XLOOKUP(Imput[[#This Row],[RFC]],'Alta Proveedor'!D:D,'Alta Proveedor'!E:E)=0,"",_xlfn.XLOOKUP(Imput[[#This Row],[RFC]],'Alta Proveedor'!D:D,'Alta Proveedor'!E:E)),"")</f>
        <v>TERESA RODRIGUEZ ESCOBAR</v>
      </c>
      <c r="F460" s="832" t="s">
        <v>1713</v>
      </c>
      <c r="G460" s="187">
        <v>1</v>
      </c>
      <c r="H460" s="1">
        <v>128.4435</v>
      </c>
      <c r="I460" s="169">
        <f>Imput[[#This Row],[Cantidad]]*Imput[[#This Row],[Precio Unitario]]</f>
        <v>128.4435</v>
      </c>
      <c r="J460" s="11">
        <f>((Imput[[#This Row],[Sub total]])*(0.16))</f>
        <v>20.55096</v>
      </c>
      <c r="K460" s="11">
        <v>0</v>
      </c>
      <c r="L460" s="169">
        <f>Imput[[#This Row],[Sub total]]+Imput[[#This Row],[IVA]]-Imput[[#This Row],[Retención / IEPS / Descuento]]</f>
        <v>148.99446</v>
      </c>
      <c r="M460" s="844">
        <v>170.99502000000001</v>
      </c>
      <c r="N460" s="189" t="s">
        <v>123</v>
      </c>
      <c r="O460" s="1"/>
      <c r="P460" s="189" t="s">
        <v>1401</v>
      </c>
      <c r="Q460" s="190" t="s">
        <v>1402</v>
      </c>
      <c r="R460" s="188">
        <v>45867</v>
      </c>
      <c r="S460" s="193" t="s">
        <v>126</v>
      </c>
      <c r="T460" s="192"/>
      <c r="U460" s="829"/>
      <c r="V460" s="10"/>
      <c r="W460" s="10"/>
      <c r="X460" s="10"/>
      <c r="Y460" s="10"/>
      <c r="Z460" s="10"/>
      <c r="AA460" s="11"/>
      <c r="AB460" s="11"/>
      <c r="AD460" s="260"/>
    </row>
    <row r="461" spans="2:30" x14ac:dyDescent="0.3">
      <c r="B461" s="10" t="s">
        <v>290</v>
      </c>
      <c r="C461" s="315" t="s">
        <v>2326</v>
      </c>
      <c r="D461" s="868" t="s">
        <v>1404</v>
      </c>
      <c r="E461" s="837" t="str">
        <f>IFERROR(IF(_xlfn.XLOOKUP(Imput[[#This Row],[RFC]],'Alta Proveedor'!D:D,'Alta Proveedor'!E:E)=0,"",_xlfn.XLOOKUP(Imput[[#This Row],[RFC]],'Alta Proveedor'!D:D,'Alta Proveedor'!E:E)),"")</f>
        <v>TERESA RODRIGUEZ ESCOBAR</v>
      </c>
      <c r="F461" s="832" t="s">
        <v>1714</v>
      </c>
      <c r="G461" s="187">
        <v>1</v>
      </c>
      <c r="H461" s="1">
        <v>18.966000000000001</v>
      </c>
      <c r="I461" s="169">
        <f>Imput[[#This Row],[Cantidad]]*Imput[[#This Row],[Precio Unitario]]</f>
        <v>18.966000000000001</v>
      </c>
      <c r="J461" s="11">
        <f>((Imput[[#This Row],[Sub total]])*(0.16))</f>
        <v>3.0345600000000004</v>
      </c>
      <c r="K461" s="11">
        <v>0</v>
      </c>
      <c r="L461" s="169">
        <f>Imput[[#This Row],[Sub total]]+Imput[[#This Row],[IVA]]-Imput[[#This Row],[Retención / IEPS / Descuento]]</f>
        <v>22.00056</v>
      </c>
      <c r="M461" s="844">
        <v>0</v>
      </c>
      <c r="N461" s="189" t="s">
        <v>123</v>
      </c>
      <c r="O461" s="1"/>
      <c r="P461" s="189" t="s">
        <v>1401</v>
      </c>
      <c r="Q461" s="190" t="s">
        <v>1402</v>
      </c>
      <c r="R461" s="188">
        <v>45867</v>
      </c>
      <c r="S461" s="193" t="s">
        <v>126</v>
      </c>
      <c r="T461" s="192"/>
      <c r="U461" s="829"/>
      <c r="V461" s="10"/>
      <c r="W461" s="10"/>
      <c r="X461" s="10"/>
      <c r="Y461" s="10"/>
      <c r="Z461" s="10"/>
      <c r="AA461" s="11"/>
      <c r="AB461" s="11"/>
      <c r="AD461" s="260"/>
    </row>
    <row r="462" spans="2:30" x14ac:dyDescent="0.3">
      <c r="B462" s="10" t="s">
        <v>290</v>
      </c>
      <c r="C462" s="315" t="s">
        <v>1830</v>
      </c>
      <c r="D462" s="868" t="s">
        <v>1373</v>
      </c>
      <c r="E462" s="837" t="str">
        <f>IFERROR(IF(_xlfn.XLOOKUP(Imput[[#This Row],[RFC]],'Alta Proveedor'!D:D,'Alta Proveedor'!E:E)=0,"",_xlfn.XLOOKUP(Imput[[#This Row],[RFC]],'Alta Proveedor'!D:D,'Alta Proveedor'!E:E)),"")</f>
        <v>LISTER LABORATORIO DE REFERENCIA</v>
      </c>
      <c r="F462" s="832" t="s">
        <v>2946</v>
      </c>
      <c r="G462" s="187">
        <v>1</v>
      </c>
      <c r="H462" s="1">
        <v>490.52</v>
      </c>
      <c r="I462" s="169">
        <f>Imput[[#This Row],[Cantidad]]*Imput[[#This Row],[Precio Unitario]]</f>
        <v>490.52</v>
      </c>
      <c r="J462" s="11">
        <f>((Imput[[#This Row],[Sub total]])*(0.16))</f>
        <v>78.483199999999997</v>
      </c>
      <c r="K462" s="11">
        <v>0</v>
      </c>
      <c r="L462" s="169">
        <f>Imput[[#This Row],[Sub total]]+Imput[[#This Row],[IVA]]-Imput[[#This Row],[Retención / IEPS / Descuento]]</f>
        <v>569.00319999999999</v>
      </c>
      <c r="M462" s="844">
        <v>2328.0039999999999</v>
      </c>
      <c r="N462" s="189" t="s">
        <v>123</v>
      </c>
      <c r="O462" s="1"/>
      <c r="P462" s="189" t="s">
        <v>1371</v>
      </c>
      <c r="Q462" s="190" t="s">
        <v>1372</v>
      </c>
      <c r="R462" s="188">
        <v>45867</v>
      </c>
      <c r="S462" s="193" t="s">
        <v>126</v>
      </c>
      <c r="T462" s="192"/>
      <c r="U462" s="829"/>
      <c r="V462" s="10"/>
      <c r="W462" s="10"/>
      <c r="X462" s="10"/>
      <c r="Y462" s="10"/>
      <c r="Z462" s="10"/>
      <c r="AA462" s="11"/>
      <c r="AB462" s="11"/>
      <c r="AD462" s="260"/>
    </row>
    <row r="463" spans="2:30" x14ac:dyDescent="0.3">
      <c r="B463" s="10" t="s">
        <v>290</v>
      </c>
      <c r="C463" s="315" t="s">
        <v>1830</v>
      </c>
      <c r="D463" s="868" t="s">
        <v>1373</v>
      </c>
      <c r="E463" s="837" t="str">
        <f>IFERROR(IF(_xlfn.XLOOKUP(Imput[[#This Row],[RFC]],'Alta Proveedor'!D:D,'Alta Proveedor'!E:E)=0,"",_xlfn.XLOOKUP(Imput[[#This Row],[RFC]],'Alta Proveedor'!D:D,'Alta Proveedor'!E:E)),"")</f>
        <v>LISTER LABORATORIO DE REFERENCIA</v>
      </c>
      <c r="F463" s="832" t="s">
        <v>2947</v>
      </c>
      <c r="G463" s="187">
        <v>1</v>
      </c>
      <c r="H463" s="1">
        <v>337.07</v>
      </c>
      <c r="I463" s="169">
        <f>Imput[[#This Row],[Cantidad]]*Imput[[#This Row],[Precio Unitario]]</f>
        <v>337.07</v>
      </c>
      <c r="J463" s="11">
        <f>((Imput[[#This Row],[Sub total]])*(0.16))</f>
        <v>53.931199999999997</v>
      </c>
      <c r="K463" s="11">
        <v>0</v>
      </c>
      <c r="L463" s="169">
        <f>Imput[[#This Row],[Sub total]]+Imput[[#This Row],[IVA]]-Imput[[#This Row],[Retención / IEPS / Descuento]]</f>
        <v>391.00119999999998</v>
      </c>
      <c r="M463" s="844">
        <v>0</v>
      </c>
      <c r="N463" s="189" t="s">
        <v>123</v>
      </c>
      <c r="O463" s="1"/>
      <c r="P463" s="189" t="s">
        <v>1371</v>
      </c>
      <c r="Q463" s="190" t="s">
        <v>1372</v>
      </c>
      <c r="R463" s="188">
        <v>45867</v>
      </c>
      <c r="S463" s="193" t="s">
        <v>126</v>
      </c>
      <c r="T463" s="192"/>
      <c r="U463" s="829"/>
      <c r="V463" s="10"/>
      <c r="W463" s="10"/>
      <c r="X463" s="10"/>
      <c r="Y463" s="10"/>
      <c r="Z463" s="10"/>
      <c r="AA463" s="11"/>
      <c r="AB463" s="11"/>
      <c r="AD463" s="260"/>
    </row>
    <row r="464" spans="2:30" x14ac:dyDescent="0.3">
      <c r="B464" s="10" t="s">
        <v>290</v>
      </c>
      <c r="C464" s="315" t="s">
        <v>1830</v>
      </c>
      <c r="D464" s="868" t="s">
        <v>1373</v>
      </c>
      <c r="E464" s="837" t="str">
        <f>IFERROR(IF(_xlfn.XLOOKUP(Imput[[#This Row],[RFC]],'Alta Proveedor'!D:D,'Alta Proveedor'!E:E)=0,"",_xlfn.XLOOKUP(Imput[[#This Row],[RFC]],'Alta Proveedor'!D:D,'Alta Proveedor'!E:E)),"")</f>
        <v>LISTER LABORATORIO DE REFERENCIA</v>
      </c>
      <c r="F464" s="832" t="s">
        <v>2948</v>
      </c>
      <c r="G464" s="187">
        <v>1</v>
      </c>
      <c r="H464" s="1">
        <v>507.76</v>
      </c>
      <c r="I464" s="169">
        <f>Imput[[#This Row],[Cantidad]]*Imput[[#This Row],[Precio Unitario]]</f>
        <v>507.76</v>
      </c>
      <c r="J464" s="11">
        <f>((Imput[[#This Row],[Sub total]])*(0.16))</f>
        <v>81.241600000000005</v>
      </c>
      <c r="K464" s="11">
        <v>0</v>
      </c>
      <c r="L464" s="169">
        <f>Imput[[#This Row],[Sub total]]+Imput[[#This Row],[IVA]]-Imput[[#This Row],[Retención / IEPS / Descuento]]</f>
        <v>589.00160000000005</v>
      </c>
      <c r="M464" s="844">
        <v>0</v>
      </c>
      <c r="N464" s="189" t="s">
        <v>123</v>
      </c>
      <c r="O464" s="1"/>
      <c r="P464" s="189" t="s">
        <v>1371</v>
      </c>
      <c r="Q464" s="190" t="s">
        <v>1372</v>
      </c>
      <c r="R464" s="188">
        <v>45867</v>
      </c>
      <c r="S464" s="193" t="s">
        <v>126</v>
      </c>
      <c r="T464" s="192"/>
      <c r="U464" s="829"/>
      <c r="V464" s="10"/>
      <c r="W464" s="10"/>
      <c r="X464" s="10"/>
      <c r="Y464" s="10"/>
      <c r="Z464" s="10"/>
      <c r="AA464" s="11"/>
      <c r="AB464" s="11"/>
      <c r="AD464" s="260"/>
    </row>
    <row r="465" spans="2:30" x14ac:dyDescent="0.3">
      <c r="B465" s="10" t="s">
        <v>290</v>
      </c>
      <c r="C465" s="315" t="s">
        <v>1830</v>
      </c>
      <c r="D465" s="868" t="s">
        <v>1373</v>
      </c>
      <c r="E465" s="837" t="str">
        <f>IFERROR(IF(_xlfn.XLOOKUP(Imput[[#This Row],[RFC]],'Alta Proveedor'!D:D,'Alta Proveedor'!E:E)=0,"",_xlfn.XLOOKUP(Imput[[#This Row],[RFC]],'Alta Proveedor'!D:D,'Alta Proveedor'!E:E)),"")</f>
        <v>LISTER LABORATORIO DE REFERENCIA</v>
      </c>
      <c r="F465" s="832" t="s">
        <v>2949</v>
      </c>
      <c r="G465" s="187">
        <v>1</v>
      </c>
      <c r="H465" s="1">
        <v>671.55</v>
      </c>
      <c r="I465" s="169">
        <f>Imput[[#This Row],[Cantidad]]*Imput[[#This Row],[Precio Unitario]]</f>
        <v>671.55</v>
      </c>
      <c r="J465" s="11">
        <f>((Imput[[#This Row],[Sub total]])*(0.16))</f>
        <v>107.44799999999999</v>
      </c>
      <c r="K465" s="11">
        <v>0</v>
      </c>
      <c r="L465" s="169">
        <f>Imput[[#This Row],[Sub total]]+Imput[[#This Row],[IVA]]-Imput[[#This Row],[Retención / IEPS / Descuento]]</f>
        <v>778.99799999999993</v>
      </c>
      <c r="M465" s="844">
        <v>0</v>
      </c>
      <c r="N465" s="189" t="s">
        <v>123</v>
      </c>
      <c r="O465" s="1"/>
      <c r="P465" s="189" t="s">
        <v>1371</v>
      </c>
      <c r="Q465" s="190" t="s">
        <v>1372</v>
      </c>
      <c r="R465" s="188">
        <v>45867</v>
      </c>
      <c r="S465" s="193" t="s">
        <v>126</v>
      </c>
      <c r="T465" s="192"/>
      <c r="U465" s="829"/>
      <c r="V465" s="10"/>
      <c r="W465" s="10"/>
      <c r="X465" s="10"/>
      <c r="Y465" s="10"/>
      <c r="Z465" s="10"/>
      <c r="AA465" s="11"/>
      <c r="AB465" s="11"/>
      <c r="AD465" s="260"/>
    </row>
    <row r="466" spans="2:30" x14ac:dyDescent="0.3">
      <c r="B466" s="10" t="s">
        <v>290</v>
      </c>
      <c r="C466" s="315" t="s">
        <v>2238</v>
      </c>
      <c r="D466" s="868" t="s">
        <v>264</v>
      </c>
      <c r="E466" s="837" t="str">
        <f>IFERROR(IF(_xlfn.XLOOKUP(Imput[[#This Row],[RFC]],'Alta Proveedor'!D:D,'Alta Proveedor'!E:E)=0,"",_xlfn.XLOOKUP(Imput[[#This Row],[RFC]],'Alta Proveedor'!D:D,'Alta Proveedor'!E:E)),"")</f>
        <v>M.N. DEL GOLFO "HOME CENTER TU ASESOR CONFIABLE"</v>
      </c>
      <c r="F466" s="832" t="s">
        <v>1638</v>
      </c>
      <c r="G466" s="187">
        <v>20</v>
      </c>
      <c r="H466" s="1">
        <v>60.170312500000001</v>
      </c>
      <c r="I466" s="169">
        <f>Imput[[#This Row],[Cantidad]]*Imput[[#This Row],[Precio Unitario]]</f>
        <v>1203.40625</v>
      </c>
      <c r="J466" s="11">
        <f>((Imput[[#This Row],[Sub total]])*(0.16))</f>
        <v>192.54500000000002</v>
      </c>
      <c r="K466" s="11">
        <v>0</v>
      </c>
      <c r="L466" s="169">
        <f>Imput[[#This Row],[Sub total]]+Imput[[#This Row],[IVA]]-Imput[[#This Row],[Retención / IEPS / Descuento]]</f>
        <v>1395.9512500000001</v>
      </c>
      <c r="M466" s="844">
        <v>4467.0439999999999</v>
      </c>
      <c r="N466" s="189" t="s">
        <v>123</v>
      </c>
      <c r="O466" s="1"/>
      <c r="P466" s="189" t="s">
        <v>1379</v>
      </c>
      <c r="Q466" s="190" t="s">
        <v>1380</v>
      </c>
      <c r="R466" s="188">
        <v>45867</v>
      </c>
      <c r="S466" s="193" t="s">
        <v>126</v>
      </c>
      <c r="T466" s="192"/>
      <c r="U466" s="829"/>
      <c r="V466" s="10"/>
      <c r="W466" s="10"/>
      <c r="X466" s="10"/>
      <c r="Y466" s="10"/>
      <c r="Z466" s="10"/>
      <c r="AA466" s="11"/>
      <c r="AB466" s="11"/>
      <c r="AD466" s="260"/>
    </row>
    <row r="467" spans="2:30" x14ac:dyDescent="0.3">
      <c r="B467" s="10" t="s">
        <v>290</v>
      </c>
      <c r="C467" s="315" t="s">
        <v>2620</v>
      </c>
      <c r="D467" s="868" t="s">
        <v>264</v>
      </c>
      <c r="E467" s="837" t="str">
        <f>IFERROR(IF(_xlfn.XLOOKUP(Imput[[#This Row],[RFC]],'Alta Proveedor'!D:D,'Alta Proveedor'!E:E)=0,"",_xlfn.XLOOKUP(Imput[[#This Row],[RFC]],'Alta Proveedor'!D:D,'Alta Proveedor'!E:E)),"")</f>
        <v>M.N. DEL GOLFO "HOME CENTER TU ASESOR CONFIABLE"</v>
      </c>
      <c r="F467" s="832" t="s">
        <v>1638</v>
      </c>
      <c r="G467" s="187">
        <v>44</v>
      </c>
      <c r="H467" s="1">
        <v>60.170312500000001</v>
      </c>
      <c r="I467" s="169">
        <f>Imput[[#This Row],[Cantidad]]*Imput[[#This Row],[Precio Unitario]]</f>
        <v>2647.4937500000001</v>
      </c>
      <c r="J467" s="11">
        <f>((Imput[[#This Row],[Sub total]])*(0.16))</f>
        <v>423.59900000000005</v>
      </c>
      <c r="K467" s="11">
        <v>0</v>
      </c>
      <c r="L467" s="169">
        <f>Imput[[#This Row],[Sub total]]+Imput[[#This Row],[IVA]]-Imput[[#This Row],[Retención / IEPS / Descuento]]</f>
        <v>3071.0927500000003</v>
      </c>
      <c r="M467" s="844">
        <v>0</v>
      </c>
      <c r="N467" s="189" t="s">
        <v>123</v>
      </c>
      <c r="O467" s="1"/>
      <c r="P467" s="189" t="s">
        <v>1379</v>
      </c>
      <c r="Q467" s="190" t="s">
        <v>1380</v>
      </c>
      <c r="R467" s="188">
        <v>45867</v>
      </c>
      <c r="S467" s="193" t="s">
        <v>126</v>
      </c>
      <c r="T467" s="192"/>
      <c r="U467" s="829"/>
      <c r="V467" s="10"/>
      <c r="W467" s="10"/>
      <c r="X467" s="10"/>
      <c r="Y467" s="10"/>
      <c r="Z467" s="10"/>
      <c r="AA467" s="11"/>
      <c r="AB467" s="11"/>
      <c r="AD467" s="260"/>
    </row>
    <row r="468" spans="2:30" x14ac:dyDescent="0.3">
      <c r="B468" s="10" t="s">
        <v>290</v>
      </c>
      <c r="C468" s="315" t="s">
        <v>2335</v>
      </c>
      <c r="D468" s="868" t="s">
        <v>3119</v>
      </c>
      <c r="E468" s="837" t="str">
        <f>IFERROR(IF(_xlfn.XLOOKUP(Imput[[#This Row],[RFC]],'Alta Proveedor'!D:D,'Alta Proveedor'!E:E)=0,"",_xlfn.XLOOKUP(Imput[[#This Row],[RFC]],'Alta Proveedor'!D:D,'Alta Proveedor'!E:E)),"")</f>
        <v>Nomina-OPERACIÓN</v>
      </c>
      <c r="F468" s="836" t="s">
        <v>3154</v>
      </c>
      <c r="G468" s="187">
        <v>1</v>
      </c>
      <c r="H468" s="1">
        <v>2000</v>
      </c>
      <c r="I468" s="169">
        <f>Imput[[#This Row],[Cantidad]]*Imput[[#This Row],[Precio Unitario]]</f>
        <v>2000</v>
      </c>
      <c r="J468" s="11">
        <f>Imput[[#This Row],[Sub total]]*0.08</f>
        <v>160</v>
      </c>
      <c r="K468" s="11">
        <v>0</v>
      </c>
      <c r="L468" s="169">
        <f>Imput[[#This Row],[Sub total]]+Imput[[#This Row],[IVA]]-Imput[[#This Row],[Retención / IEPS / Descuento]]</f>
        <v>2160</v>
      </c>
      <c r="M468" s="844">
        <v>2160</v>
      </c>
      <c r="N468" s="189"/>
      <c r="O468" s="1"/>
      <c r="P468" s="189"/>
      <c r="Q468" s="190"/>
      <c r="R468" s="188">
        <v>45867</v>
      </c>
      <c r="S468" s="193"/>
      <c r="T468" s="192"/>
      <c r="U468" s="867" t="s">
        <v>3225</v>
      </c>
      <c r="V468" s="10"/>
      <c r="W468" s="10"/>
      <c r="X468" s="10"/>
      <c r="Y468" s="10"/>
      <c r="Z468" s="10"/>
      <c r="AA468" s="11"/>
      <c r="AB468" s="11"/>
      <c r="AD468" s="260"/>
    </row>
    <row r="469" spans="2:30" x14ac:dyDescent="0.3">
      <c r="B469" s="10" t="s">
        <v>290</v>
      </c>
      <c r="C469" s="315" t="s">
        <v>2335</v>
      </c>
      <c r="D469" s="868" t="s">
        <v>3119</v>
      </c>
      <c r="E469" s="837" t="str">
        <f>IFERROR(IF(_xlfn.XLOOKUP(Imput[[#This Row],[RFC]],'Alta Proveedor'!D:D,'Alta Proveedor'!E:E)=0,"",_xlfn.XLOOKUP(Imput[[#This Row],[RFC]],'Alta Proveedor'!D:D,'Alta Proveedor'!E:E)),"")</f>
        <v>Nomina-OPERACIÓN</v>
      </c>
      <c r="F469" s="836" t="s">
        <v>3155</v>
      </c>
      <c r="G469" s="187">
        <v>1</v>
      </c>
      <c r="H469" s="1">
        <v>10000</v>
      </c>
      <c r="I469" s="169">
        <f>Imput[[#This Row],[Cantidad]]*Imput[[#This Row],[Precio Unitario]]</f>
        <v>10000</v>
      </c>
      <c r="J469" s="11">
        <f>Imput[[#This Row],[Sub total]]*0.08</f>
        <v>800</v>
      </c>
      <c r="K469" s="11">
        <v>0</v>
      </c>
      <c r="L469" s="169">
        <f>Imput[[#This Row],[Sub total]]+Imput[[#This Row],[IVA]]-Imput[[#This Row],[Retención / IEPS / Descuento]]</f>
        <v>10800</v>
      </c>
      <c r="M469" s="844">
        <v>10800</v>
      </c>
      <c r="N469" s="189"/>
      <c r="O469" s="1"/>
      <c r="P469" s="189"/>
      <c r="Q469" s="190"/>
      <c r="R469" s="188">
        <v>45867</v>
      </c>
      <c r="S469" s="193"/>
      <c r="T469" s="192"/>
      <c r="U469" s="867" t="s">
        <v>3225</v>
      </c>
      <c r="V469" s="10"/>
      <c r="W469" s="10"/>
      <c r="X469" s="10"/>
      <c r="Y469" s="10"/>
      <c r="Z469" s="10"/>
      <c r="AA469" s="11"/>
      <c r="AB469" s="11"/>
      <c r="AD469" s="260"/>
    </row>
    <row r="470" spans="2:30" x14ac:dyDescent="0.3">
      <c r="B470" s="10" t="s">
        <v>290</v>
      </c>
      <c r="C470" s="315" t="s">
        <v>1757</v>
      </c>
      <c r="D470" s="868" t="s">
        <v>3225</v>
      </c>
      <c r="E470" s="837" t="str">
        <f>IFERROR(IF(_xlfn.XLOOKUP(Imput[[#This Row],[RFC]],'Alta Proveedor'!D:D,'Alta Proveedor'!E:E)=0,"",_xlfn.XLOOKUP(Imput[[#This Row],[RFC]],'Alta Proveedor'!D:D,'Alta Proveedor'!E:E)),"")</f>
        <v>GASTOS SIN FACTURA</v>
      </c>
      <c r="F470" s="836" t="s">
        <v>3200</v>
      </c>
      <c r="G470" s="187">
        <v>1</v>
      </c>
      <c r="H470" s="1">
        <v>7500</v>
      </c>
      <c r="I470" s="169">
        <f>Imput[[#This Row],[Cantidad]]*Imput[[#This Row],[Precio Unitario]]</f>
        <v>7500</v>
      </c>
      <c r="J470" s="11">
        <f>Imput[[#This Row],[Sub total]]*0.08</f>
        <v>600</v>
      </c>
      <c r="K470" s="11">
        <v>0</v>
      </c>
      <c r="L470" s="169">
        <f>Imput[[#This Row],[Sub total]]+Imput[[#This Row],[IVA]]-Imput[[#This Row],[Retención / IEPS / Descuento]]</f>
        <v>8100</v>
      </c>
      <c r="M470" s="844">
        <v>8100</v>
      </c>
      <c r="N470" s="189"/>
      <c r="O470" s="1"/>
      <c r="P470" s="189"/>
      <c r="Q470" s="190"/>
      <c r="R470" s="188">
        <v>45867</v>
      </c>
      <c r="S470" s="193"/>
      <c r="T470" s="192"/>
      <c r="U470" s="867" t="s">
        <v>3225</v>
      </c>
      <c r="V470" s="10"/>
      <c r="W470" s="10"/>
      <c r="X470" s="10"/>
      <c r="Y470" s="10"/>
      <c r="Z470" s="10"/>
      <c r="AA470" s="11"/>
      <c r="AB470" s="11"/>
      <c r="AD470" s="260"/>
    </row>
    <row r="471" spans="2:30" x14ac:dyDescent="0.3">
      <c r="B471" s="10" t="s">
        <v>290</v>
      </c>
      <c r="C471" s="315" t="s">
        <v>1763</v>
      </c>
      <c r="D471" s="868" t="s">
        <v>1036</v>
      </c>
      <c r="E471" s="837" t="str">
        <f>IFERROR(IF(_xlfn.XLOOKUP(Imput[[#This Row],[RFC]],'Alta Proveedor'!D:D,'Alta Proveedor'!E:E)=0,"",_xlfn.XLOOKUP(Imput[[#This Row],[RFC]],'Alta Proveedor'!D:D,'Alta Proveedor'!E:E)),"")</f>
        <v>AUTOZONE DE MEXICO</v>
      </c>
      <c r="F471" s="832" t="s">
        <v>1423</v>
      </c>
      <c r="G471" s="187">
        <v>2</v>
      </c>
      <c r="H471" s="1">
        <f>181.0316/Imput[[#This Row],[Cantidad]]</f>
        <v>90.515799999999999</v>
      </c>
      <c r="I471" s="169">
        <f>Imput[[#This Row],[Cantidad]]*Imput[[#This Row],[Precio Unitario]]</f>
        <v>181.0316</v>
      </c>
      <c r="J471" s="11">
        <f>((Imput[[#This Row],[Sub total]])*(0.16001))</f>
        <v>28.966866316000001</v>
      </c>
      <c r="K471" s="11">
        <v>0</v>
      </c>
      <c r="L471" s="169">
        <f>Imput[[#This Row],[Sub total]]+Imput[[#This Row],[IVA]]-Imput[[#This Row],[Retención / IEPS / Descuento]]</f>
        <v>209.99846631599999</v>
      </c>
      <c r="M471" s="844">
        <v>1102.003467948</v>
      </c>
      <c r="N471" s="189" t="s">
        <v>123</v>
      </c>
      <c r="O471" s="1"/>
      <c r="P471" s="189" t="s">
        <v>1421</v>
      </c>
      <c r="Q471" s="190" t="s">
        <v>1422</v>
      </c>
      <c r="R471" s="188">
        <v>45868</v>
      </c>
      <c r="S471" s="193" t="s">
        <v>126</v>
      </c>
      <c r="T471" s="192"/>
      <c r="U471" s="829"/>
      <c r="V471" s="10"/>
      <c r="W471" s="10"/>
      <c r="X471" s="10"/>
      <c r="Y471" s="10"/>
      <c r="Z471" s="10"/>
      <c r="AA471" s="11"/>
      <c r="AB471" s="11"/>
      <c r="AD471" s="260"/>
    </row>
    <row r="472" spans="2:30" x14ac:dyDescent="0.3">
      <c r="B472" s="10" t="s">
        <v>290</v>
      </c>
      <c r="C472" s="315" t="s">
        <v>1739</v>
      </c>
      <c r="D472" s="868" t="s">
        <v>1036</v>
      </c>
      <c r="E472" s="837" t="str">
        <f>IFERROR(IF(_xlfn.XLOOKUP(Imput[[#This Row],[RFC]],'Alta Proveedor'!D:D,'Alta Proveedor'!E:E)=0,"",_xlfn.XLOOKUP(Imput[[#This Row],[RFC]],'Alta Proveedor'!D:D,'Alta Proveedor'!E:E)),"")</f>
        <v>AUTOZONE DE MEXICO</v>
      </c>
      <c r="F472" s="832" t="s">
        <v>1424</v>
      </c>
      <c r="G472" s="187">
        <v>2</v>
      </c>
      <c r="H472" s="1">
        <f>205.1716/Imput[[#This Row],[Cantidad]]</f>
        <v>102.58580000000001</v>
      </c>
      <c r="I472" s="169">
        <f>Imput[[#This Row],[Cantidad]]*Imput[[#This Row],[Precio Unitario]]</f>
        <v>205.17160000000001</v>
      </c>
      <c r="J472" s="11">
        <f>((Imput[[#This Row],[Sub total]])*(0.16001))</f>
        <v>32.829507716000002</v>
      </c>
      <c r="K472" s="11">
        <v>0</v>
      </c>
      <c r="L472" s="169">
        <f>Imput[[#This Row],[Sub total]]+Imput[[#This Row],[IVA]]-Imput[[#This Row],[Retención / IEPS / Descuento]]</f>
        <v>238.00110771600001</v>
      </c>
      <c r="M472" s="844">
        <v>0</v>
      </c>
      <c r="N472" s="189" t="s">
        <v>123</v>
      </c>
      <c r="O472" s="1"/>
      <c r="P472" s="189" t="s">
        <v>1421</v>
      </c>
      <c r="Q472" s="190" t="s">
        <v>1422</v>
      </c>
      <c r="R472" s="188">
        <v>45868</v>
      </c>
      <c r="S472" s="193" t="s">
        <v>126</v>
      </c>
      <c r="T472" s="192"/>
      <c r="U472" s="829"/>
      <c r="V472" s="10"/>
      <c r="W472" s="10"/>
      <c r="X472" s="10"/>
      <c r="Y472" s="10"/>
      <c r="Z472" s="10"/>
      <c r="AA472" s="11"/>
      <c r="AB472" s="11"/>
      <c r="AD472" s="260"/>
    </row>
    <row r="473" spans="2:30" x14ac:dyDescent="0.3">
      <c r="B473" s="10" t="s">
        <v>290</v>
      </c>
      <c r="C473" s="315" t="s">
        <v>1741</v>
      </c>
      <c r="D473" s="868" t="s">
        <v>1036</v>
      </c>
      <c r="E473" s="837" t="str">
        <f>IFERROR(IF(_xlfn.XLOOKUP(Imput[[#This Row],[RFC]],'Alta Proveedor'!D:D,'Alta Proveedor'!E:E)=0,"",_xlfn.XLOOKUP(Imput[[#This Row],[RFC]],'Alta Proveedor'!D:D,'Alta Proveedor'!E:E)),"")</f>
        <v>AUTOZONE DE MEXICO</v>
      </c>
      <c r="F473" s="832" t="s">
        <v>1425</v>
      </c>
      <c r="G473" s="187">
        <v>6</v>
      </c>
      <c r="H473" s="1">
        <f>563.7916/Imput[[#This Row],[Cantidad]]</f>
        <v>93.965266666666665</v>
      </c>
      <c r="I473" s="169">
        <f>Imput[[#This Row],[Cantidad]]*Imput[[#This Row],[Precio Unitario]]</f>
        <v>563.79160000000002</v>
      </c>
      <c r="J473" s="11">
        <f>((Imput[[#This Row],[Sub total]])*(0.16001))</f>
        <v>90.212293916000007</v>
      </c>
      <c r="K473" s="11">
        <v>0</v>
      </c>
      <c r="L473" s="169">
        <f>Imput[[#This Row],[Sub total]]+Imput[[#This Row],[IVA]]-Imput[[#This Row],[Retención / IEPS / Descuento]]</f>
        <v>654.00389391600004</v>
      </c>
      <c r="M473" s="844">
        <v>0</v>
      </c>
      <c r="N473" s="189" t="s">
        <v>123</v>
      </c>
      <c r="O473" s="1"/>
      <c r="P473" s="189" t="s">
        <v>1421</v>
      </c>
      <c r="Q473" s="190" t="s">
        <v>1422</v>
      </c>
      <c r="R473" s="188">
        <v>45868</v>
      </c>
      <c r="S473" s="193" t="s">
        <v>126</v>
      </c>
      <c r="T473" s="192"/>
      <c r="U473" s="829"/>
      <c r="V473" s="10"/>
      <c r="W473" s="10"/>
      <c r="X473" s="10"/>
      <c r="Y473" s="10"/>
      <c r="Z473" s="10"/>
      <c r="AA473" s="11"/>
      <c r="AB473" s="11"/>
      <c r="AD473" s="260"/>
    </row>
    <row r="474" spans="2:30" x14ac:dyDescent="0.3">
      <c r="B474" s="10" t="s">
        <v>290</v>
      </c>
      <c r="C474" s="818" t="s">
        <v>1769</v>
      </c>
      <c r="D474" s="868" t="s">
        <v>1572</v>
      </c>
      <c r="E474" s="837" t="str">
        <f>IFERROR(IF(_xlfn.XLOOKUP(Imput[[#This Row],[RFC]],'Alta Proveedor'!D:D,'Alta Proveedor'!E:E)=0,"",_xlfn.XLOOKUP(Imput[[#This Row],[RFC]],'Alta Proveedor'!D:D,'Alta Proveedor'!E:E)),"")</f>
        <v>FARMACIA GUADALAJARA</v>
      </c>
      <c r="F474" s="832" t="s">
        <v>3103</v>
      </c>
      <c r="G474" s="187">
        <v>1</v>
      </c>
      <c r="H474" s="1">
        <v>91.999600000000001</v>
      </c>
      <c r="I474" s="169">
        <f>Imput[[#This Row],[Cantidad]]*Imput[[#This Row],[Precio Unitario]]</f>
        <v>91.999600000000001</v>
      </c>
      <c r="J474" s="11">
        <v>0</v>
      </c>
      <c r="K474" s="11">
        <v>0</v>
      </c>
      <c r="L474" s="169">
        <f>Imput[[#This Row],[Sub total]]+Imput[[#This Row],[IVA]]-Imput[[#This Row],[Retención / IEPS / Descuento]]</f>
        <v>91.999600000000001</v>
      </c>
      <c r="M474" s="844">
        <v>91.999600000000001</v>
      </c>
      <c r="N474" s="189"/>
      <c r="O474" s="1"/>
      <c r="P474" s="189" t="str">
        <f>Imput[[#This Row],[Folio]]</f>
        <v>26430</v>
      </c>
      <c r="Q474" s="190" t="s">
        <v>3089</v>
      </c>
      <c r="R474" s="188">
        <v>45868</v>
      </c>
      <c r="S474" s="193"/>
      <c r="T474" s="192"/>
      <c r="U474" s="829" t="s">
        <v>3099</v>
      </c>
      <c r="V474" s="10"/>
      <c r="W474" s="10"/>
      <c r="X474" s="10"/>
      <c r="Y474" s="10"/>
      <c r="Z474" s="10"/>
      <c r="AA474" s="11"/>
      <c r="AB474" s="11"/>
      <c r="AD474" s="260"/>
    </row>
    <row r="475" spans="2:30" x14ac:dyDescent="0.3">
      <c r="B475" s="10" t="s">
        <v>290</v>
      </c>
      <c r="C475" s="315" t="s">
        <v>2134</v>
      </c>
      <c r="D475" s="868" t="s">
        <v>164</v>
      </c>
      <c r="E475" s="837" t="str">
        <f>IFERROR(IF(_xlfn.XLOOKUP(Imput[[#This Row],[RFC]],'Alta Proveedor'!D:D,'Alta Proveedor'!E:E)=0,"",_xlfn.XLOOKUP(Imput[[#This Row],[RFC]],'Alta Proveedor'!D:D,'Alta Proveedor'!E:E)),"")</f>
        <v>HOME DEPOT MEXICO SUCURSAL THD-8730 TAMPICO</v>
      </c>
      <c r="F475" s="832" t="s">
        <v>3400</v>
      </c>
      <c r="G475" s="187">
        <v>3</v>
      </c>
      <c r="H475" s="1">
        <f>2107.76/Imput[[#This Row],[Cantidad]]</f>
        <v>702.5866666666667</v>
      </c>
      <c r="I475" s="169">
        <f>Imput[[#This Row],[Cantidad]]*Imput[[#This Row],[Precio Unitario]]</f>
        <v>2107.7600000000002</v>
      </c>
      <c r="J475" s="11">
        <f>((Imput[[#This Row],[Sub total]])*(0.16))</f>
        <v>337.24160000000006</v>
      </c>
      <c r="K475" s="11">
        <v>0</v>
      </c>
      <c r="L475" s="169">
        <f>Imput[[#This Row],[Sub total]]+Imput[[#This Row],[IVA]]-Imput[[#This Row],[Retención / IEPS / Descuento]]</f>
        <v>2445.0016000000005</v>
      </c>
      <c r="M475" s="844">
        <v>4470.9996000000001</v>
      </c>
      <c r="N475" s="189" t="s">
        <v>123</v>
      </c>
      <c r="O475" s="1"/>
      <c r="P475" s="189" t="s">
        <v>1474</v>
      </c>
      <c r="Q475" s="190" t="s">
        <v>1475</v>
      </c>
      <c r="R475" s="188">
        <v>45868</v>
      </c>
      <c r="S475" s="193" t="s">
        <v>126</v>
      </c>
      <c r="T475" s="192"/>
      <c r="U475" s="829"/>
      <c r="V475" s="10"/>
      <c r="W475" s="10"/>
      <c r="X475" s="10"/>
      <c r="Y475" s="10"/>
      <c r="Z475" s="10"/>
      <c r="AA475" s="11"/>
      <c r="AB475" s="11"/>
      <c r="AD475" s="260"/>
    </row>
    <row r="476" spans="2:30" x14ac:dyDescent="0.3">
      <c r="B476" s="10" t="s">
        <v>290</v>
      </c>
      <c r="C476" s="315" t="s">
        <v>2335</v>
      </c>
      <c r="D476" s="868" t="s">
        <v>164</v>
      </c>
      <c r="E476" s="837" t="str">
        <f>IFERROR(IF(_xlfn.XLOOKUP(Imput[[#This Row],[RFC]],'Alta Proveedor'!D:D,'Alta Proveedor'!E:E)=0,"",_xlfn.XLOOKUP(Imput[[#This Row],[RFC]],'Alta Proveedor'!D:D,'Alta Proveedor'!E:E)),"")</f>
        <v>HOME DEPOT MEXICO SUCURSAL THD-8730 TAMPICO</v>
      </c>
      <c r="F476" s="832" t="s">
        <v>3398</v>
      </c>
      <c r="G476" s="187">
        <v>6</v>
      </c>
      <c r="H476" s="1">
        <f>977.59/Imput[[#This Row],[Cantidad]]</f>
        <v>162.93166666666667</v>
      </c>
      <c r="I476" s="169">
        <f>Imput[[#This Row],[Cantidad]]*Imput[[#This Row],[Precio Unitario]]</f>
        <v>977.59</v>
      </c>
      <c r="J476" s="11">
        <f>((Imput[[#This Row],[Sub total]])*(0.16))</f>
        <v>156.4144</v>
      </c>
      <c r="K476" s="11">
        <v>0</v>
      </c>
      <c r="L476" s="169">
        <f>Imput[[#This Row],[Sub total]]+Imput[[#This Row],[IVA]]-Imput[[#This Row],[Retención / IEPS / Descuento]]</f>
        <v>1134.0044</v>
      </c>
      <c r="M476" s="844">
        <v>0</v>
      </c>
      <c r="N476" s="189" t="s">
        <v>123</v>
      </c>
      <c r="O476" s="1"/>
      <c r="P476" s="189" t="s">
        <v>1474</v>
      </c>
      <c r="Q476" s="190" t="s">
        <v>1475</v>
      </c>
      <c r="R476" s="188">
        <v>45868</v>
      </c>
      <c r="S476" s="193" t="s">
        <v>126</v>
      </c>
      <c r="T476" s="192"/>
      <c r="U476" s="829"/>
      <c r="V476" s="10"/>
      <c r="W476" s="10"/>
      <c r="X476" s="10"/>
      <c r="Y476" s="10"/>
      <c r="Z476" s="10"/>
      <c r="AA476" s="11"/>
      <c r="AB476" s="11"/>
      <c r="AD476" s="260"/>
    </row>
    <row r="477" spans="2:30" x14ac:dyDescent="0.3">
      <c r="B477" s="10" t="s">
        <v>290</v>
      </c>
      <c r="C477" s="315" t="s">
        <v>2709</v>
      </c>
      <c r="D477" s="868" t="s">
        <v>164</v>
      </c>
      <c r="E477" s="837" t="str">
        <f>IFERROR(IF(_xlfn.XLOOKUP(Imput[[#This Row],[RFC]],'Alta Proveedor'!D:D,'Alta Proveedor'!E:E)=0,"",_xlfn.XLOOKUP(Imput[[#This Row],[RFC]],'Alta Proveedor'!D:D,'Alta Proveedor'!E:E)),"")</f>
        <v>HOME DEPOT MEXICO SUCURSAL THD-8730 TAMPICO</v>
      </c>
      <c r="F477" s="832" t="s">
        <v>1721</v>
      </c>
      <c r="G477" s="187">
        <v>1</v>
      </c>
      <c r="H477" s="1">
        <f>318.1/Imput[[#This Row],[Cantidad]]</f>
        <v>318.10000000000002</v>
      </c>
      <c r="I477" s="169">
        <f>Imput[[#This Row],[Cantidad]]*Imput[[#This Row],[Precio Unitario]]</f>
        <v>318.10000000000002</v>
      </c>
      <c r="J477" s="11">
        <f>((Imput[[#This Row],[Sub total]])*(0.16))</f>
        <v>50.896000000000008</v>
      </c>
      <c r="K477" s="11">
        <v>0</v>
      </c>
      <c r="L477" s="169">
        <f>Imput[[#This Row],[Sub total]]+Imput[[#This Row],[IVA]]-Imput[[#This Row],[Retención / IEPS / Descuento]]</f>
        <v>368.99600000000004</v>
      </c>
      <c r="M477" s="844">
        <v>0</v>
      </c>
      <c r="N477" s="189" t="s">
        <v>123</v>
      </c>
      <c r="O477" s="1"/>
      <c r="P477" s="189" t="s">
        <v>1474</v>
      </c>
      <c r="Q477" s="190" t="s">
        <v>1475</v>
      </c>
      <c r="R477" s="188">
        <v>45868</v>
      </c>
      <c r="S477" s="193" t="s">
        <v>126</v>
      </c>
      <c r="T477" s="192"/>
      <c r="U477" s="829"/>
      <c r="V477" s="10"/>
      <c r="W477" s="10"/>
      <c r="X477" s="10"/>
      <c r="Y477" s="10"/>
      <c r="Z477" s="10"/>
      <c r="AA477" s="11"/>
      <c r="AB477" s="11"/>
      <c r="AD477" s="260"/>
    </row>
    <row r="478" spans="2:30" x14ac:dyDescent="0.3">
      <c r="B478" s="10" t="s">
        <v>290</v>
      </c>
      <c r="C478" s="315" t="s">
        <v>2335</v>
      </c>
      <c r="D478" s="868" t="s">
        <v>164</v>
      </c>
      <c r="E478" s="837" t="str">
        <f>IFERROR(IF(_xlfn.XLOOKUP(Imput[[#This Row],[RFC]],'Alta Proveedor'!D:D,'Alta Proveedor'!E:E)=0,"",_xlfn.XLOOKUP(Imput[[#This Row],[RFC]],'Alta Proveedor'!D:D,'Alta Proveedor'!E:E)),"")</f>
        <v>HOME DEPOT MEXICO SUCURSAL THD-8730 TAMPICO</v>
      </c>
      <c r="F478" s="832" t="s">
        <v>1722</v>
      </c>
      <c r="G478" s="187">
        <v>1</v>
      </c>
      <c r="H478" s="1">
        <f>171.55/Imput[[#This Row],[Cantidad]]</f>
        <v>171.55</v>
      </c>
      <c r="I478" s="169">
        <f>Imput[[#This Row],[Cantidad]]*Imput[[#This Row],[Precio Unitario]]</f>
        <v>171.55</v>
      </c>
      <c r="J478" s="11">
        <f>((Imput[[#This Row],[Sub total]])*(0.16))</f>
        <v>27.448000000000004</v>
      </c>
      <c r="K478" s="11">
        <v>0</v>
      </c>
      <c r="L478" s="169">
        <f>Imput[[#This Row],[Sub total]]+Imput[[#This Row],[IVA]]-Imput[[#This Row],[Retención / IEPS / Descuento]]</f>
        <v>198.99800000000002</v>
      </c>
      <c r="M478" s="844">
        <v>0</v>
      </c>
      <c r="N478" s="189" t="s">
        <v>123</v>
      </c>
      <c r="O478" s="1"/>
      <c r="P478" s="189" t="s">
        <v>1474</v>
      </c>
      <c r="Q478" s="190" t="s">
        <v>1475</v>
      </c>
      <c r="R478" s="188">
        <v>45868</v>
      </c>
      <c r="S478" s="193" t="s">
        <v>126</v>
      </c>
      <c r="T478" s="192"/>
      <c r="U478" s="829"/>
      <c r="V478" s="10"/>
      <c r="W478" s="10"/>
      <c r="X478" s="10"/>
      <c r="Y478" s="10"/>
      <c r="Z478" s="10"/>
      <c r="AA478" s="11"/>
      <c r="AB478" s="11"/>
      <c r="AD478" s="260"/>
    </row>
    <row r="479" spans="2:30" x14ac:dyDescent="0.3">
      <c r="B479" s="10" t="s">
        <v>290</v>
      </c>
      <c r="C479" s="315" t="s">
        <v>2335</v>
      </c>
      <c r="D479" s="868" t="s">
        <v>164</v>
      </c>
      <c r="E479" s="837" t="str">
        <f>IFERROR(IF(_xlfn.XLOOKUP(Imput[[#This Row],[RFC]],'Alta Proveedor'!D:D,'Alta Proveedor'!E:E)=0,"",_xlfn.XLOOKUP(Imput[[#This Row],[RFC]],'Alta Proveedor'!D:D,'Alta Proveedor'!E:E)),"")</f>
        <v>HOME DEPOT MEXICO SUCURSAL THD-8730 TAMPICO</v>
      </c>
      <c r="F479" s="832" t="s">
        <v>1723</v>
      </c>
      <c r="G479" s="187">
        <v>1</v>
      </c>
      <c r="H479" s="1">
        <f>159.48/Imput[[#This Row],[Cantidad]]</f>
        <v>159.47999999999999</v>
      </c>
      <c r="I479" s="169">
        <f>Imput[[#This Row],[Cantidad]]*Imput[[#This Row],[Precio Unitario]]</f>
        <v>159.47999999999999</v>
      </c>
      <c r="J479" s="11">
        <f>((Imput[[#This Row],[Sub total]])*(0.16))</f>
        <v>25.5168</v>
      </c>
      <c r="K479" s="11">
        <v>0</v>
      </c>
      <c r="L479" s="169">
        <f>Imput[[#This Row],[Sub total]]+Imput[[#This Row],[IVA]]-Imput[[#This Row],[Retención / IEPS / Descuento]]</f>
        <v>184.99679999999998</v>
      </c>
      <c r="M479" s="844">
        <v>0</v>
      </c>
      <c r="N479" s="189" t="s">
        <v>123</v>
      </c>
      <c r="O479" s="1"/>
      <c r="P479" s="189" t="s">
        <v>1474</v>
      </c>
      <c r="Q479" s="190" t="s">
        <v>1475</v>
      </c>
      <c r="R479" s="188">
        <v>45868</v>
      </c>
      <c r="S479" s="193" t="s">
        <v>126</v>
      </c>
      <c r="T479" s="192"/>
      <c r="U479" s="829"/>
      <c r="V479" s="10"/>
      <c r="W479" s="10"/>
      <c r="X479" s="10"/>
      <c r="Y479" s="10"/>
      <c r="Z479" s="10"/>
      <c r="AA479" s="11"/>
      <c r="AB479" s="11"/>
      <c r="AD479" s="260"/>
    </row>
    <row r="480" spans="2:30" x14ac:dyDescent="0.3">
      <c r="B480" s="10" t="s">
        <v>290</v>
      </c>
      <c r="C480" s="315" t="s">
        <v>2335</v>
      </c>
      <c r="D480" s="868" t="s">
        <v>164</v>
      </c>
      <c r="E480" s="837" t="str">
        <f>IFERROR(IF(_xlfn.XLOOKUP(Imput[[#This Row],[RFC]],'Alta Proveedor'!D:D,'Alta Proveedor'!E:E)=0,"",_xlfn.XLOOKUP(Imput[[#This Row],[RFC]],'Alta Proveedor'!D:D,'Alta Proveedor'!E:E)),"")</f>
        <v>HOME DEPOT MEXICO SUCURSAL THD-8730 TAMPICO</v>
      </c>
      <c r="F480" s="832" t="s">
        <v>1724</v>
      </c>
      <c r="G480" s="187">
        <v>1</v>
      </c>
      <c r="H480" s="1">
        <f>119.83/Imput[[#This Row],[Cantidad]]</f>
        <v>119.83</v>
      </c>
      <c r="I480" s="169">
        <f>Imput[[#This Row],[Cantidad]]*Imput[[#This Row],[Precio Unitario]]</f>
        <v>119.83</v>
      </c>
      <c r="J480" s="11">
        <f>((Imput[[#This Row],[Sub total]])*(0.16))</f>
        <v>19.172799999999999</v>
      </c>
      <c r="K480" s="11">
        <v>0</v>
      </c>
      <c r="L480" s="169">
        <f>Imput[[#This Row],[Sub total]]+Imput[[#This Row],[IVA]]-Imput[[#This Row],[Retención / IEPS / Descuento]]</f>
        <v>139.00280000000001</v>
      </c>
      <c r="M480" s="844">
        <v>0</v>
      </c>
      <c r="N480" s="189" t="s">
        <v>123</v>
      </c>
      <c r="O480" s="1"/>
      <c r="P480" s="189" t="s">
        <v>1474</v>
      </c>
      <c r="Q480" s="190" t="s">
        <v>1475</v>
      </c>
      <c r="R480" s="188">
        <v>45868</v>
      </c>
      <c r="S480" s="193" t="s">
        <v>126</v>
      </c>
      <c r="T480" s="192"/>
      <c r="U480" s="829"/>
      <c r="V480" s="10"/>
      <c r="W480" s="10"/>
      <c r="X480" s="10"/>
      <c r="Y480" s="10"/>
      <c r="Z480" s="10"/>
      <c r="AA480" s="11"/>
      <c r="AB480" s="11"/>
      <c r="AD480" s="260"/>
    </row>
    <row r="481" spans="2:30" x14ac:dyDescent="0.3">
      <c r="B481" s="10" t="s">
        <v>290</v>
      </c>
      <c r="C481" s="315" t="s">
        <v>1767</v>
      </c>
      <c r="D481" s="868" t="s">
        <v>1464</v>
      </c>
      <c r="E481" s="837" t="str">
        <f>IFERROR(IF(_xlfn.XLOOKUP(Imput[[#This Row],[RFC]],'Alta Proveedor'!D:D,'Alta Proveedor'!E:E)=0,"",_xlfn.XLOOKUP(Imput[[#This Row],[RFC]],'Alta Proveedor'!D:D,'Alta Proveedor'!E:E)),"")</f>
        <v>COMBUSTIBLES JASA E10639 (COMBUSTIBLES)</v>
      </c>
      <c r="F481" s="832" t="s">
        <v>237</v>
      </c>
      <c r="G481" s="187">
        <v>44.875</v>
      </c>
      <c r="H481" s="1">
        <f>927.74/Imput[[#This Row],[Cantidad]]</f>
        <v>20.673871866295265</v>
      </c>
      <c r="I481" s="169">
        <f>Imput[[#This Row],[Cantidad]]*Imput[[#This Row],[Precio Unitario]]</f>
        <v>927.74</v>
      </c>
      <c r="J481" s="11">
        <v>144.35</v>
      </c>
      <c r="K481" s="11">
        <v>0</v>
      </c>
      <c r="L481" s="169">
        <f>Imput[[#This Row],[Sub total]]+Imput[[#This Row],[IVA]]-Imput[[#This Row],[Retención / IEPS / Descuento]]</f>
        <v>1072.0899999999999</v>
      </c>
      <c r="M481" s="844">
        <v>1072.0899999999999</v>
      </c>
      <c r="N481" s="189" t="s">
        <v>123</v>
      </c>
      <c r="O481" s="1"/>
      <c r="P481" s="189" t="s">
        <v>1462</v>
      </c>
      <c r="Q481" s="190" t="s">
        <v>1463</v>
      </c>
      <c r="R481" s="188">
        <v>45868</v>
      </c>
      <c r="S481" s="193" t="s">
        <v>126</v>
      </c>
      <c r="T481" s="192"/>
      <c r="U481" s="829"/>
      <c r="V481" s="10"/>
      <c r="W481" s="10"/>
      <c r="X481" s="10"/>
      <c r="Y481" s="10"/>
      <c r="Z481" s="10"/>
      <c r="AA481" s="11"/>
      <c r="AB481" s="11"/>
      <c r="AD481" s="260"/>
    </row>
    <row r="482" spans="2:30" x14ac:dyDescent="0.3">
      <c r="B482" s="10" t="s">
        <v>290</v>
      </c>
      <c r="C482" s="315" t="s">
        <v>2238</v>
      </c>
      <c r="D482" s="868" t="s">
        <v>1334</v>
      </c>
      <c r="E482" s="837" t="str">
        <f>IFERROR(IF(_xlfn.XLOOKUP(Imput[[#This Row],[RFC]],'Alta Proveedor'!D:D,'Alta Proveedor'!E:E)=0,"",_xlfn.XLOOKUP(Imput[[#This Row],[RFC]],'Alta Proveedor'!D:D,'Alta Proveedor'!E:E)),"")</f>
        <v>DIMARSA PLOMERIA Y AZULEJOS</v>
      </c>
      <c r="F482" s="832" t="s">
        <v>3401</v>
      </c>
      <c r="G482" s="187">
        <v>16</v>
      </c>
      <c r="H482" s="1">
        <v>2629.3103000000001</v>
      </c>
      <c r="I482" s="169">
        <f>Imput[[#This Row],[Cantidad]]*Imput[[#This Row],[Precio Unitario]]</f>
        <v>42068.964800000002</v>
      </c>
      <c r="J482" s="11">
        <f>((Imput[[#This Row],[Sub total]])*(0.16))</f>
        <v>6731.0343680000005</v>
      </c>
      <c r="K482" s="11">
        <v>0</v>
      </c>
      <c r="L482" s="169">
        <f>Imput[[#This Row],[Sub total]]+Imput[[#This Row],[IVA]]-Imput[[#This Row],[Retención / IEPS / Descuento]]</f>
        <v>48799.999168000002</v>
      </c>
      <c r="M482" s="844">
        <v>55100</v>
      </c>
      <c r="N482" s="189" t="s">
        <v>123</v>
      </c>
      <c r="O482" s="1"/>
      <c r="P482" s="189" t="s">
        <v>1331</v>
      </c>
      <c r="Q482" s="190" t="s">
        <v>1332</v>
      </c>
      <c r="R482" s="188">
        <v>45868</v>
      </c>
      <c r="S482" s="193" t="s">
        <v>126</v>
      </c>
      <c r="T482" s="192"/>
      <c r="U482" s="829"/>
      <c r="V482" s="10"/>
      <c r="W482" s="10"/>
      <c r="X482" s="10"/>
      <c r="Y482" s="10"/>
      <c r="Z482" s="10"/>
      <c r="AA482" s="11"/>
      <c r="AB482" s="11"/>
      <c r="AD482" s="260"/>
    </row>
    <row r="483" spans="2:30" x14ac:dyDescent="0.3">
      <c r="B483" s="10" t="s">
        <v>290</v>
      </c>
      <c r="C483" s="315" t="s">
        <v>2238</v>
      </c>
      <c r="D483" s="868" t="s">
        <v>1334</v>
      </c>
      <c r="E483" s="837" t="str">
        <f>IFERROR(IF(_xlfn.XLOOKUP(Imput[[#This Row],[RFC]],'Alta Proveedor'!D:D,'Alta Proveedor'!E:E)=0,"",_xlfn.XLOOKUP(Imput[[#This Row],[RFC]],'Alta Proveedor'!D:D,'Alta Proveedor'!E:E)),"")</f>
        <v>DIMARSA PLOMERIA Y AZULEJOS</v>
      </c>
      <c r="F483" s="832" t="s">
        <v>3402</v>
      </c>
      <c r="G483" s="187">
        <v>2</v>
      </c>
      <c r="H483" s="1">
        <v>2715.5176000000001</v>
      </c>
      <c r="I483" s="169">
        <f>Imput[[#This Row],[Cantidad]]*Imput[[#This Row],[Precio Unitario]]</f>
        <v>5431.0352000000003</v>
      </c>
      <c r="J483" s="11">
        <f>((Imput[[#This Row],[Sub total]])*(0.16))</f>
        <v>868.96563200000003</v>
      </c>
      <c r="K483" s="11">
        <v>0</v>
      </c>
      <c r="L483" s="169">
        <f>Imput[[#This Row],[Sub total]]+Imput[[#This Row],[IVA]]-Imput[[#This Row],[Retención / IEPS / Descuento]]</f>
        <v>6300.0008320000006</v>
      </c>
      <c r="M483" s="844">
        <v>0</v>
      </c>
      <c r="N483" s="189" t="s">
        <v>123</v>
      </c>
      <c r="O483" s="1"/>
      <c r="P483" s="189" t="s">
        <v>1331</v>
      </c>
      <c r="Q483" s="190" t="s">
        <v>1332</v>
      </c>
      <c r="R483" s="188">
        <v>45868</v>
      </c>
      <c r="S483" s="193" t="s">
        <v>126</v>
      </c>
      <c r="T483" s="192"/>
      <c r="U483" s="829"/>
      <c r="V483" s="10"/>
      <c r="W483" s="10"/>
      <c r="X483" s="10"/>
      <c r="Y483" s="10"/>
      <c r="Z483" s="10"/>
      <c r="AA483" s="11"/>
      <c r="AB483" s="11"/>
      <c r="AD483" s="260"/>
    </row>
    <row r="484" spans="2:30" x14ac:dyDescent="0.3">
      <c r="B484" s="10" t="s">
        <v>290</v>
      </c>
      <c r="C484" s="315" t="s">
        <v>1769</v>
      </c>
      <c r="D484" s="868" t="s">
        <v>1412</v>
      </c>
      <c r="E484" s="837" t="str">
        <f>IFERROR(IF(_xlfn.XLOOKUP(Imput[[#This Row],[RFC]],'Alta Proveedor'!D:D,'Alta Proveedor'!E:E)=0,"",_xlfn.XLOOKUP(Imput[[#This Row],[RFC]],'Alta Proveedor'!D:D,'Alta Proveedor'!E:E)),"")</f>
        <v>TIENDAS GRAN D</v>
      </c>
      <c r="F484" s="832" t="s">
        <v>1726</v>
      </c>
      <c r="G484" s="187">
        <v>10</v>
      </c>
      <c r="H484" s="1">
        <v>28.9</v>
      </c>
      <c r="I484" s="169">
        <f>Imput[[#This Row],[Cantidad]]*Imput[[#This Row],[Precio Unitario]]</f>
        <v>289</v>
      </c>
      <c r="J484" s="11">
        <v>0</v>
      </c>
      <c r="K484" s="11">
        <v>0</v>
      </c>
      <c r="L484" s="169">
        <f>Imput[[#This Row],[Sub total]]+Imput[[#This Row],[IVA]]-Imput[[#This Row],[Retención / IEPS / Descuento]]</f>
        <v>289</v>
      </c>
      <c r="M484" s="844">
        <v>667.99520000000007</v>
      </c>
      <c r="N484" s="189" t="s">
        <v>123</v>
      </c>
      <c r="O484" s="1"/>
      <c r="P484" s="189" t="s">
        <v>1495</v>
      </c>
      <c r="Q484" s="190" t="s">
        <v>1496</v>
      </c>
      <c r="R484" s="188">
        <v>45868</v>
      </c>
      <c r="S484" s="193" t="s">
        <v>126</v>
      </c>
      <c r="T484" s="192"/>
      <c r="U484" s="829"/>
      <c r="V484" s="10"/>
      <c r="W484" s="10"/>
      <c r="X484" s="10"/>
      <c r="Y484" s="10"/>
      <c r="Z484" s="10"/>
      <c r="AA484" s="11"/>
      <c r="AB484" s="11"/>
      <c r="AD484" s="260"/>
    </row>
    <row r="485" spans="2:30" x14ac:dyDescent="0.3">
      <c r="B485" s="10" t="s">
        <v>290</v>
      </c>
      <c r="C485" s="315" t="s">
        <v>2709</v>
      </c>
      <c r="D485" s="868" t="s">
        <v>1412</v>
      </c>
      <c r="E485" s="837" t="str">
        <f>IFERROR(IF(_xlfn.XLOOKUP(Imput[[#This Row],[RFC]],'Alta Proveedor'!D:D,'Alta Proveedor'!E:E)=0,"",_xlfn.XLOOKUP(Imput[[#This Row],[RFC]],'Alta Proveedor'!D:D,'Alta Proveedor'!E:E)),"")</f>
        <v>TIENDAS GRAN D</v>
      </c>
      <c r="F485" s="832" t="s">
        <v>1630</v>
      </c>
      <c r="G485" s="187">
        <v>1</v>
      </c>
      <c r="H485" s="1">
        <v>326.72000000000003</v>
      </c>
      <c r="I485" s="169">
        <f>Imput[[#This Row],[Cantidad]]*Imput[[#This Row],[Precio Unitario]]</f>
        <v>326.72000000000003</v>
      </c>
      <c r="J485" s="11">
        <f>((Imput[[#This Row],[Sub total]])*(0.16))</f>
        <v>52.275200000000005</v>
      </c>
      <c r="K485" s="11">
        <v>0</v>
      </c>
      <c r="L485" s="169">
        <f>Imput[[#This Row],[Sub total]]+Imput[[#This Row],[IVA]]-Imput[[#This Row],[Retención / IEPS / Descuento]]</f>
        <v>378.99520000000001</v>
      </c>
      <c r="M485" s="844">
        <v>0</v>
      </c>
      <c r="N485" s="189" t="s">
        <v>123</v>
      </c>
      <c r="O485" s="1"/>
      <c r="P485" s="189" t="s">
        <v>1495</v>
      </c>
      <c r="Q485" s="190" t="s">
        <v>1496</v>
      </c>
      <c r="R485" s="188">
        <v>45868</v>
      </c>
      <c r="S485" s="193" t="s">
        <v>126</v>
      </c>
      <c r="T485" s="192"/>
      <c r="U485" s="829"/>
      <c r="V485" s="10"/>
      <c r="W485" s="10"/>
      <c r="X485" s="10"/>
      <c r="Y485" s="10"/>
      <c r="Z485" s="10"/>
      <c r="AA485" s="11"/>
      <c r="AB485" s="11"/>
      <c r="AD485" s="260"/>
    </row>
    <row r="486" spans="2:30" x14ac:dyDescent="0.3">
      <c r="B486" s="10" t="s">
        <v>290</v>
      </c>
      <c r="C486" s="315" t="s">
        <v>1767</v>
      </c>
      <c r="D486" s="868" t="s">
        <v>1258</v>
      </c>
      <c r="E486" s="837" t="str">
        <f>IFERROR(IF(_xlfn.XLOOKUP(Imput[[#This Row],[RFC]],'Alta Proveedor'!D:D,'Alta Proveedor'!E:E)=0,"",_xlfn.XLOOKUP(Imput[[#This Row],[RFC]],'Alta Proveedor'!D:D,'Alta Proveedor'!E:E)),"")</f>
        <v>TRACTO CENTER E12658 PEMEX (COMBUSTIBLES)</v>
      </c>
      <c r="F486" s="832" t="s">
        <v>237</v>
      </c>
      <c r="G486" s="187">
        <v>79.649000000000001</v>
      </c>
      <c r="H486" s="1">
        <f>1612.29/Imput[[#This Row],[Cantidad]]</f>
        <v>20.24243869979535</v>
      </c>
      <c r="I486" s="169">
        <f>Imput[[#This Row],[Cantidad]]*Imput[[#This Row],[Precio Unitario]]</f>
        <v>1612.29</v>
      </c>
      <c r="J486" s="11">
        <v>250.7</v>
      </c>
      <c r="K486" s="11">
        <v>0</v>
      </c>
      <c r="L486" s="169">
        <f>Imput[[#This Row],[Sub total]]+Imput[[#This Row],[IVA]]-Imput[[#This Row],[Retención / IEPS / Descuento]]</f>
        <v>1862.99</v>
      </c>
      <c r="M486" s="844">
        <v>1862.99</v>
      </c>
      <c r="N486" s="189" t="s">
        <v>123</v>
      </c>
      <c r="O486" s="1"/>
      <c r="P486" s="189" t="s">
        <v>1493</v>
      </c>
      <c r="Q486" s="190" t="s">
        <v>1494</v>
      </c>
      <c r="R486" s="188">
        <v>45868</v>
      </c>
      <c r="S486" s="193" t="s">
        <v>126</v>
      </c>
      <c r="T486" s="192"/>
      <c r="U486" s="829"/>
      <c r="V486" s="10"/>
      <c r="W486" s="10"/>
      <c r="X486" s="10"/>
      <c r="Y486" s="10"/>
      <c r="Z486" s="10"/>
      <c r="AA486" s="11"/>
      <c r="AB486" s="11"/>
      <c r="AD486" s="260"/>
    </row>
    <row r="487" spans="2:30" x14ac:dyDescent="0.3">
      <c r="B487" s="10" t="s">
        <v>290</v>
      </c>
      <c r="C487" s="315" t="s">
        <v>1747</v>
      </c>
      <c r="D487" s="868" t="s">
        <v>1365</v>
      </c>
      <c r="E487" s="837" t="str">
        <f>IFERROR(IF(_xlfn.XLOOKUP(Imput[[#This Row],[RFC]],'Alta Proveedor'!D:D,'Alta Proveedor'!E:E)=0,"",_xlfn.XLOOKUP(Imput[[#This Row],[RFC]],'Alta Proveedor'!D:D,'Alta Proveedor'!E:E)),"")</f>
        <v>HOTEL MANTE</v>
      </c>
      <c r="F487" s="832" t="s">
        <v>1482</v>
      </c>
      <c r="G487" s="187">
        <v>1</v>
      </c>
      <c r="H487" s="1">
        <v>882.35294099999999</v>
      </c>
      <c r="I487" s="169">
        <f>Imput[[#This Row],[Cantidad]]*Imput[[#This Row],[Precio Unitario]]</f>
        <v>882.35294099999999</v>
      </c>
      <c r="J487" s="11">
        <f>((Imput[[#This Row],[Sub total]])*(0.16))+26.47</f>
        <v>167.64647056000001</v>
      </c>
      <c r="K487" s="11">
        <v>0</v>
      </c>
      <c r="L487" s="169">
        <f>Imput[[#This Row],[Sub total]]+Imput[[#This Row],[IVA]]-Imput[[#This Row],[Retención / IEPS / Descuento]]</f>
        <v>1049.99941156</v>
      </c>
      <c r="M487" s="844">
        <v>1049.99941156</v>
      </c>
      <c r="N487" s="189" t="s">
        <v>123</v>
      </c>
      <c r="O487" s="1"/>
      <c r="P487" s="189" t="s">
        <v>1925</v>
      </c>
      <c r="Q487" s="190" t="s">
        <v>1926</v>
      </c>
      <c r="R487" s="188">
        <v>45868</v>
      </c>
      <c r="S487" s="193" t="s">
        <v>126</v>
      </c>
      <c r="T487" s="192"/>
      <c r="U487" s="829"/>
      <c r="V487" s="10"/>
      <c r="W487" s="10"/>
      <c r="X487" s="10"/>
      <c r="Y487" s="10"/>
      <c r="Z487" s="10"/>
      <c r="AA487" s="11"/>
      <c r="AB487" s="11"/>
      <c r="AD487" s="260"/>
    </row>
    <row r="488" spans="2:30" x14ac:dyDescent="0.3">
      <c r="B488" s="10" t="s">
        <v>290</v>
      </c>
      <c r="C488" s="315" t="s">
        <v>1747</v>
      </c>
      <c r="D488" s="868" t="s">
        <v>1365</v>
      </c>
      <c r="E488" s="837" t="str">
        <f>IFERROR(IF(_xlfn.XLOOKUP(Imput[[#This Row],[RFC]],'Alta Proveedor'!D:D,'Alta Proveedor'!E:E)=0,"",_xlfn.XLOOKUP(Imput[[#This Row],[RFC]],'Alta Proveedor'!D:D,'Alta Proveedor'!E:E)),"")</f>
        <v>HOTEL MANTE</v>
      </c>
      <c r="F488" s="832" t="s">
        <v>1370</v>
      </c>
      <c r="G488" s="187">
        <v>3</v>
      </c>
      <c r="H488" s="1">
        <v>882.35294099999999</v>
      </c>
      <c r="I488" s="169">
        <f>Imput[[#This Row],[Cantidad]]*Imput[[#This Row],[Precio Unitario]]</f>
        <v>2647.0588229999998</v>
      </c>
      <c r="J488" s="11">
        <f>((Imput[[#This Row],[Sub total]])*(0.16))+79.41</f>
        <v>502.93941168000003</v>
      </c>
      <c r="K488" s="11">
        <v>0</v>
      </c>
      <c r="L488" s="169">
        <f>Imput[[#This Row],[Sub total]]+Imput[[#This Row],[IVA]]-Imput[[#This Row],[Retención / IEPS / Descuento]]</f>
        <v>3149.9982346799998</v>
      </c>
      <c r="M488" s="844">
        <v>3149.9982346799998</v>
      </c>
      <c r="N488" s="189" t="s">
        <v>123</v>
      </c>
      <c r="O488" s="1"/>
      <c r="P488" s="189" t="s">
        <v>1368</v>
      </c>
      <c r="Q488" s="190" t="s">
        <v>1369</v>
      </c>
      <c r="R488" s="188">
        <v>45868</v>
      </c>
      <c r="S488" s="193" t="s">
        <v>126</v>
      </c>
      <c r="T488" s="192"/>
      <c r="U488" s="829"/>
      <c r="V488" s="10"/>
      <c r="W488" s="10"/>
      <c r="X488" s="10"/>
      <c r="Y488" s="10"/>
      <c r="Z488" s="10"/>
      <c r="AA488" s="11"/>
      <c r="AB488" s="11"/>
      <c r="AD488" s="260"/>
    </row>
    <row r="489" spans="2:30" x14ac:dyDescent="0.3">
      <c r="B489" s="10" t="s">
        <v>290</v>
      </c>
      <c r="C489" s="315" t="s">
        <v>1806</v>
      </c>
      <c r="D489" s="868" t="s">
        <v>1365</v>
      </c>
      <c r="E489" s="837" t="str">
        <f>IFERROR(IF(_xlfn.XLOOKUP(Imput[[#This Row],[RFC]],'Alta Proveedor'!D:D,'Alta Proveedor'!E:E)=0,"",_xlfn.XLOOKUP(Imput[[#This Row],[RFC]],'Alta Proveedor'!D:D,'Alta Proveedor'!E:E)),"")</f>
        <v>HOTEL MANTE</v>
      </c>
      <c r="F489" s="832" t="s">
        <v>159</v>
      </c>
      <c r="G489" s="187">
        <v>1</v>
      </c>
      <c r="H489" s="1">
        <v>56.9</v>
      </c>
      <c r="I489" s="169">
        <f>Imput[[#This Row],[Cantidad]]*Imput[[#This Row],[Precio Unitario]]</f>
        <v>56.9</v>
      </c>
      <c r="J489" s="11">
        <f>((Imput[[#This Row],[Sub total]])*(0.16))</f>
        <v>9.1039999999999992</v>
      </c>
      <c r="K489" s="11">
        <v>0</v>
      </c>
      <c r="L489" s="169">
        <f>Imput[[#This Row],[Sub total]]+Imput[[#This Row],[IVA]]-Imput[[#This Row],[Retención / IEPS / Descuento]]</f>
        <v>66.003999999999991</v>
      </c>
      <c r="M489" s="844">
        <v>66.003999999999991</v>
      </c>
      <c r="N489" s="189" t="s">
        <v>123</v>
      </c>
      <c r="O489" s="1"/>
      <c r="P489" s="189" t="s">
        <v>1874</v>
      </c>
      <c r="Q489" s="190" t="s">
        <v>1875</v>
      </c>
      <c r="R489" s="188">
        <v>45868</v>
      </c>
      <c r="S489" s="193" t="s">
        <v>126</v>
      </c>
      <c r="T489" s="192"/>
      <c r="U489" s="829"/>
      <c r="V489" s="10"/>
      <c r="W489" s="10"/>
      <c r="X489" s="10"/>
      <c r="Y489" s="10"/>
      <c r="Z489" s="10"/>
      <c r="AA489" s="11"/>
      <c r="AB489" s="11"/>
      <c r="AD489" s="260"/>
    </row>
    <row r="490" spans="2:30" x14ac:dyDescent="0.3">
      <c r="B490" s="10" t="s">
        <v>290</v>
      </c>
      <c r="C490" s="315" t="s">
        <v>1769</v>
      </c>
      <c r="D490" s="868" t="s">
        <v>1499</v>
      </c>
      <c r="E490" s="837" t="str">
        <f>IFERROR(IF(_xlfn.XLOOKUP(Imput[[#This Row],[RFC]],'Alta Proveedor'!D:D,'Alta Proveedor'!E:E)=0,"",_xlfn.XLOOKUP(Imput[[#This Row],[RFC]],'Alta Proveedor'!D:D,'Alta Proveedor'!E:E)),"")</f>
        <v>TRANSPAIS UNICO (TRANSPORTE PASAJEROS)</v>
      </c>
      <c r="F490" s="832" t="s">
        <v>3474</v>
      </c>
      <c r="G490" s="187">
        <v>1</v>
      </c>
      <c r="H490" s="1">
        <v>395.69</v>
      </c>
      <c r="I490" s="169">
        <f>Imput[[#This Row],[Cantidad]]*Imput[[#This Row],[Precio Unitario]]</f>
        <v>395.69</v>
      </c>
      <c r="J490" s="11">
        <f>((Imput[[#This Row],[Sub total]])*(0.16))</f>
        <v>63.310400000000001</v>
      </c>
      <c r="K490" s="11">
        <v>0</v>
      </c>
      <c r="L490" s="169">
        <f>Imput[[#This Row],[Sub total]]+Imput[[#This Row],[IVA]]-Imput[[#This Row],[Retención / IEPS / Descuento]]</f>
        <v>459.00040000000001</v>
      </c>
      <c r="M490" s="844">
        <v>1377.0012000000002</v>
      </c>
      <c r="N490" s="189" t="s">
        <v>123</v>
      </c>
      <c r="O490" s="1"/>
      <c r="P490" s="189" t="s">
        <v>1497</v>
      </c>
      <c r="Q490" s="190" t="s">
        <v>1498</v>
      </c>
      <c r="R490" s="188">
        <v>45868</v>
      </c>
      <c r="S490" s="193" t="s">
        <v>126</v>
      </c>
      <c r="T490" s="192"/>
      <c r="U490" s="829"/>
      <c r="V490" s="10"/>
      <c r="W490" s="10"/>
      <c r="X490" s="10"/>
      <c r="Y490" s="10"/>
      <c r="Z490" s="10"/>
      <c r="AA490" s="11"/>
      <c r="AB490" s="11"/>
      <c r="AD490" s="260"/>
    </row>
    <row r="491" spans="2:30" x14ac:dyDescent="0.3">
      <c r="B491" s="10" t="s">
        <v>290</v>
      </c>
      <c r="C491" s="315" t="s">
        <v>1769</v>
      </c>
      <c r="D491" s="868" t="s">
        <v>1499</v>
      </c>
      <c r="E491" s="837" t="str">
        <f>IFERROR(IF(_xlfn.XLOOKUP(Imput[[#This Row],[RFC]],'Alta Proveedor'!D:D,'Alta Proveedor'!E:E)=0,"",_xlfn.XLOOKUP(Imput[[#This Row],[RFC]],'Alta Proveedor'!D:D,'Alta Proveedor'!E:E)),"")</f>
        <v>TRANSPAIS UNICO (TRANSPORTE PASAJEROS)</v>
      </c>
      <c r="F491" s="832" t="s">
        <v>3475</v>
      </c>
      <c r="G491" s="187">
        <v>1</v>
      </c>
      <c r="H491" s="1">
        <v>395.69</v>
      </c>
      <c r="I491" s="169">
        <f>Imput[[#This Row],[Cantidad]]*Imput[[#This Row],[Precio Unitario]]</f>
        <v>395.69</v>
      </c>
      <c r="J491" s="11">
        <f>((Imput[[#This Row],[Sub total]])*(0.16))</f>
        <v>63.310400000000001</v>
      </c>
      <c r="K491" s="11">
        <v>0</v>
      </c>
      <c r="L491" s="169">
        <f>Imput[[#This Row],[Sub total]]+Imput[[#This Row],[IVA]]-Imput[[#This Row],[Retención / IEPS / Descuento]]</f>
        <v>459.00040000000001</v>
      </c>
      <c r="M491" s="844">
        <v>0</v>
      </c>
      <c r="N491" s="189" t="s">
        <v>123</v>
      </c>
      <c r="O491" s="1"/>
      <c r="P491" s="189" t="s">
        <v>1497</v>
      </c>
      <c r="Q491" s="190" t="s">
        <v>1498</v>
      </c>
      <c r="R491" s="188">
        <v>45868</v>
      </c>
      <c r="S491" s="193" t="s">
        <v>126</v>
      </c>
      <c r="T491" s="192"/>
      <c r="U491" s="829"/>
      <c r="V491" s="10"/>
      <c r="W491" s="10"/>
      <c r="X491" s="10"/>
      <c r="Y491" s="10"/>
      <c r="Z491" s="10"/>
      <c r="AA491" s="11"/>
      <c r="AB491" s="11"/>
      <c r="AD491" s="260"/>
    </row>
    <row r="492" spans="2:30" x14ac:dyDescent="0.3">
      <c r="B492" s="10" t="s">
        <v>290</v>
      </c>
      <c r="C492" s="315" t="s">
        <v>1769</v>
      </c>
      <c r="D492" s="868" t="s">
        <v>1499</v>
      </c>
      <c r="E492" s="837" t="str">
        <f>IFERROR(IF(_xlfn.XLOOKUP(Imput[[#This Row],[RFC]],'Alta Proveedor'!D:D,'Alta Proveedor'!E:E)=0,"",_xlfn.XLOOKUP(Imput[[#This Row],[RFC]],'Alta Proveedor'!D:D,'Alta Proveedor'!E:E)),"")</f>
        <v>TRANSPAIS UNICO (TRANSPORTE PASAJEROS)</v>
      </c>
      <c r="F492" s="832" t="s">
        <v>3476</v>
      </c>
      <c r="G492" s="187">
        <v>1</v>
      </c>
      <c r="H492" s="1">
        <v>395.69</v>
      </c>
      <c r="I492" s="169">
        <f>Imput[[#This Row],[Cantidad]]*Imput[[#This Row],[Precio Unitario]]</f>
        <v>395.69</v>
      </c>
      <c r="J492" s="11">
        <f>((Imput[[#This Row],[Sub total]])*(0.16))</f>
        <v>63.310400000000001</v>
      </c>
      <c r="K492" s="11">
        <v>0</v>
      </c>
      <c r="L492" s="169">
        <f>Imput[[#This Row],[Sub total]]+Imput[[#This Row],[IVA]]-Imput[[#This Row],[Retención / IEPS / Descuento]]</f>
        <v>459.00040000000001</v>
      </c>
      <c r="M492" s="844">
        <v>0</v>
      </c>
      <c r="N492" s="189" t="s">
        <v>123</v>
      </c>
      <c r="O492" s="1"/>
      <c r="P492" s="189" t="s">
        <v>1497</v>
      </c>
      <c r="Q492" s="190" t="s">
        <v>1498</v>
      </c>
      <c r="R492" s="188">
        <v>45868</v>
      </c>
      <c r="S492" s="193" t="s">
        <v>126</v>
      </c>
      <c r="T492" s="192"/>
      <c r="U492" s="829"/>
      <c r="V492" s="10"/>
      <c r="W492" s="10"/>
      <c r="X492" s="10"/>
      <c r="Y492" s="10"/>
      <c r="Z492" s="10"/>
      <c r="AA492" s="11"/>
      <c r="AB492" s="11"/>
      <c r="AD492" s="260"/>
    </row>
    <row r="493" spans="2:30" x14ac:dyDescent="0.3">
      <c r="B493" s="10" t="s">
        <v>290</v>
      </c>
      <c r="C493" s="315" t="s">
        <v>1769</v>
      </c>
      <c r="D493" s="868" t="s">
        <v>1499</v>
      </c>
      <c r="E493" s="837" t="str">
        <f>IFERROR(IF(_xlfn.XLOOKUP(Imput[[#This Row],[RFC]],'Alta Proveedor'!D:D,'Alta Proveedor'!E:E)=0,"",_xlfn.XLOOKUP(Imput[[#This Row],[RFC]],'Alta Proveedor'!D:D,'Alta Proveedor'!E:E)),"")</f>
        <v>TRANSPAIS UNICO (TRANSPORTE PASAJEROS)</v>
      </c>
      <c r="F493" s="832" t="s">
        <v>3477</v>
      </c>
      <c r="G493" s="187">
        <v>1</v>
      </c>
      <c r="H493" s="1">
        <v>276.72300000000001</v>
      </c>
      <c r="I493" s="169">
        <f>Imput[[#This Row],[Cantidad]]*Imput[[#This Row],[Precio Unitario]]</f>
        <v>276.72300000000001</v>
      </c>
      <c r="J493" s="11">
        <f>((Imput[[#This Row],[Sub total]])*(0.16))</f>
        <v>44.275680000000001</v>
      </c>
      <c r="K493" s="11">
        <v>0</v>
      </c>
      <c r="L493" s="169">
        <f>Imput[[#This Row],[Sub total]]+Imput[[#This Row],[IVA]]-Imput[[#This Row],[Retención / IEPS / Descuento]]</f>
        <v>320.99868000000004</v>
      </c>
      <c r="M493" s="844">
        <v>2874.9962000000005</v>
      </c>
      <c r="N493" s="189" t="s">
        <v>123</v>
      </c>
      <c r="O493" s="1"/>
      <c r="P493" s="189" t="s">
        <v>1501</v>
      </c>
      <c r="Q493" s="190" t="s">
        <v>1502</v>
      </c>
      <c r="R493" s="188">
        <v>45868</v>
      </c>
      <c r="S493" s="193" t="s">
        <v>126</v>
      </c>
      <c r="T493" s="192"/>
      <c r="U493" s="829"/>
      <c r="V493" s="10"/>
      <c r="W493" s="10"/>
      <c r="X493" s="10"/>
      <c r="Y493" s="10"/>
      <c r="Z493" s="10"/>
      <c r="AA493" s="11"/>
      <c r="AB493" s="11"/>
      <c r="AD493" s="260"/>
    </row>
    <row r="494" spans="2:30" x14ac:dyDescent="0.3">
      <c r="B494" s="10" t="s">
        <v>290</v>
      </c>
      <c r="C494" s="315" t="s">
        <v>1769</v>
      </c>
      <c r="D494" s="868" t="s">
        <v>1499</v>
      </c>
      <c r="E494" s="837" t="str">
        <f>IFERROR(IF(_xlfn.XLOOKUP(Imput[[#This Row],[RFC]],'Alta Proveedor'!D:D,'Alta Proveedor'!E:E)=0,"",_xlfn.XLOOKUP(Imput[[#This Row],[RFC]],'Alta Proveedor'!D:D,'Alta Proveedor'!E:E)),"")</f>
        <v>TRANSPAIS UNICO (TRANSPORTE PASAJEROS)</v>
      </c>
      <c r="F494" s="832" t="s">
        <v>3478</v>
      </c>
      <c r="G494" s="187">
        <v>1</v>
      </c>
      <c r="H494" s="1">
        <v>276.72300000000001</v>
      </c>
      <c r="I494" s="169">
        <f>Imput[[#This Row],[Cantidad]]*Imput[[#This Row],[Precio Unitario]]</f>
        <v>276.72300000000001</v>
      </c>
      <c r="J494" s="11">
        <f>((Imput[[#This Row],[Sub total]])*(0.16))</f>
        <v>44.275680000000001</v>
      </c>
      <c r="K494" s="11">
        <v>0</v>
      </c>
      <c r="L494" s="169">
        <f>Imput[[#This Row],[Sub total]]+Imput[[#This Row],[IVA]]-Imput[[#This Row],[Retención / IEPS / Descuento]]</f>
        <v>320.99868000000004</v>
      </c>
      <c r="M494" s="844">
        <v>0</v>
      </c>
      <c r="N494" s="189" t="s">
        <v>123</v>
      </c>
      <c r="O494" s="1"/>
      <c r="P494" s="189" t="s">
        <v>1501</v>
      </c>
      <c r="Q494" s="190" t="s">
        <v>1502</v>
      </c>
      <c r="R494" s="188">
        <v>45868</v>
      </c>
      <c r="S494" s="193" t="s">
        <v>126</v>
      </c>
      <c r="T494" s="192"/>
      <c r="U494" s="829"/>
      <c r="V494" s="10"/>
      <c r="W494" s="10"/>
      <c r="X494" s="10"/>
      <c r="Y494" s="10"/>
      <c r="Z494" s="10"/>
      <c r="AA494" s="11"/>
      <c r="AB494" s="11"/>
      <c r="AD494" s="260"/>
    </row>
    <row r="495" spans="2:30" x14ac:dyDescent="0.3">
      <c r="B495" s="10" t="s">
        <v>290</v>
      </c>
      <c r="C495" s="315" t="s">
        <v>1769</v>
      </c>
      <c r="D495" s="868" t="s">
        <v>1499</v>
      </c>
      <c r="E495" s="837" t="str">
        <f>IFERROR(IF(_xlfn.XLOOKUP(Imput[[#This Row],[RFC]],'Alta Proveedor'!D:D,'Alta Proveedor'!E:E)=0,"",_xlfn.XLOOKUP(Imput[[#This Row],[RFC]],'Alta Proveedor'!D:D,'Alta Proveedor'!E:E)),"")</f>
        <v>TRANSPAIS UNICO (TRANSPORTE PASAJEROS)</v>
      </c>
      <c r="F495" s="832" t="s">
        <v>3479</v>
      </c>
      <c r="G495" s="187">
        <v>1</v>
      </c>
      <c r="H495" s="1">
        <v>276.72300000000001</v>
      </c>
      <c r="I495" s="169">
        <f>Imput[[#This Row],[Cantidad]]*Imput[[#This Row],[Precio Unitario]]</f>
        <v>276.72300000000001</v>
      </c>
      <c r="J495" s="11">
        <f>((Imput[[#This Row],[Sub total]])*(0.16))</f>
        <v>44.275680000000001</v>
      </c>
      <c r="K495" s="11">
        <v>0</v>
      </c>
      <c r="L495" s="169">
        <f>Imput[[#This Row],[Sub total]]+Imput[[#This Row],[IVA]]-Imput[[#This Row],[Retención / IEPS / Descuento]]</f>
        <v>320.99868000000004</v>
      </c>
      <c r="M495" s="844">
        <v>0</v>
      </c>
      <c r="N495" s="189" t="s">
        <v>123</v>
      </c>
      <c r="O495" s="1"/>
      <c r="P495" s="189" t="s">
        <v>1501</v>
      </c>
      <c r="Q495" s="190" t="s">
        <v>1502</v>
      </c>
      <c r="R495" s="188">
        <v>45868</v>
      </c>
      <c r="S495" s="193" t="s">
        <v>126</v>
      </c>
      <c r="T495" s="192"/>
      <c r="U495" s="829"/>
      <c r="V495" s="10"/>
      <c r="W495" s="10"/>
      <c r="X495" s="10"/>
      <c r="Y495" s="10"/>
      <c r="Z495" s="10"/>
      <c r="AA495" s="11"/>
      <c r="AB495" s="11"/>
      <c r="AD495" s="260"/>
    </row>
    <row r="496" spans="2:30" x14ac:dyDescent="0.3">
      <c r="B496" s="10" t="s">
        <v>290</v>
      </c>
      <c r="C496" s="315" t="s">
        <v>1769</v>
      </c>
      <c r="D496" s="868" t="s">
        <v>1499</v>
      </c>
      <c r="E496" s="837" t="str">
        <f>IFERROR(IF(_xlfn.XLOOKUP(Imput[[#This Row],[RFC]],'Alta Proveedor'!D:D,'Alta Proveedor'!E:E)=0,"",_xlfn.XLOOKUP(Imput[[#This Row],[RFC]],'Alta Proveedor'!D:D,'Alta Proveedor'!E:E)),"")</f>
        <v>TRANSPAIS UNICO (TRANSPORTE PASAJEROS)</v>
      </c>
      <c r="F496" s="832" t="s">
        <v>3480</v>
      </c>
      <c r="G496" s="187">
        <v>1</v>
      </c>
      <c r="H496" s="1">
        <v>276.72300000000001</v>
      </c>
      <c r="I496" s="169">
        <f>Imput[[#This Row],[Cantidad]]*Imput[[#This Row],[Precio Unitario]]</f>
        <v>276.72300000000001</v>
      </c>
      <c r="J496" s="11">
        <f>((Imput[[#This Row],[Sub total]])*(0.16))</f>
        <v>44.275680000000001</v>
      </c>
      <c r="K496" s="11">
        <v>0</v>
      </c>
      <c r="L496" s="169">
        <f>Imput[[#This Row],[Sub total]]+Imput[[#This Row],[IVA]]-Imput[[#This Row],[Retención / IEPS / Descuento]]</f>
        <v>320.99868000000004</v>
      </c>
      <c r="M496" s="844">
        <v>0</v>
      </c>
      <c r="N496" s="189" t="s">
        <v>123</v>
      </c>
      <c r="O496" s="1"/>
      <c r="P496" s="189" t="s">
        <v>1501</v>
      </c>
      <c r="Q496" s="190" t="s">
        <v>1502</v>
      </c>
      <c r="R496" s="188">
        <v>45868</v>
      </c>
      <c r="S496" s="193" t="s">
        <v>126</v>
      </c>
      <c r="T496" s="192"/>
      <c r="U496" s="829"/>
      <c r="V496" s="10"/>
      <c r="W496" s="10"/>
      <c r="X496" s="10"/>
      <c r="Y496" s="10"/>
      <c r="Z496" s="10"/>
      <c r="AA496" s="11"/>
      <c r="AB496" s="11"/>
      <c r="AD496" s="260"/>
    </row>
    <row r="497" spans="2:30" x14ac:dyDescent="0.3">
      <c r="B497" s="10" t="s">
        <v>290</v>
      </c>
      <c r="C497" s="315" t="s">
        <v>1769</v>
      </c>
      <c r="D497" s="868" t="s">
        <v>1499</v>
      </c>
      <c r="E497" s="837" t="str">
        <f>IFERROR(IF(_xlfn.XLOOKUP(Imput[[#This Row],[RFC]],'Alta Proveedor'!D:D,'Alta Proveedor'!E:E)=0,"",_xlfn.XLOOKUP(Imput[[#This Row],[RFC]],'Alta Proveedor'!D:D,'Alta Proveedor'!E:E)),"")</f>
        <v>TRANSPAIS UNICO (TRANSPORTE PASAJEROS)</v>
      </c>
      <c r="F497" s="832" t="s">
        <v>3481</v>
      </c>
      <c r="G497" s="187">
        <v>1</v>
      </c>
      <c r="H497" s="1">
        <v>276.72300000000001</v>
      </c>
      <c r="I497" s="169">
        <f>Imput[[#This Row],[Cantidad]]*Imput[[#This Row],[Precio Unitario]]</f>
        <v>276.72300000000001</v>
      </c>
      <c r="J497" s="11">
        <f>((Imput[[#This Row],[Sub total]])*(0.16))</f>
        <v>44.275680000000001</v>
      </c>
      <c r="K497" s="11">
        <v>0</v>
      </c>
      <c r="L497" s="169">
        <f>Imput[[#This Row],[Sub total]]+Imput[[#This Row],[IVA]]-Imput[[#This Row],[Retención / IEPS / Descuento]]</f>
        <v>320.99868000000004</v>
      </c>
      <c r="M497" s="844">
        <v>0</v>
      </c>
      <c r="N497" s="189" t="s">
        <v>123</v>
      </c>
      <c r="O497" s="1"/>
      <c r="P497" s="189" t="s">
        <v>1501</v>
      </c>
      <c r="Q497" s="190" t="s">
        <v>1502</v>
      </c>
      <c r="R497" s="188">
        <v>45868</v>
      </c>
      <c r="S497" s="193" t="s">
        <v>126</v>
      </c>
      <c r="T497" s="192"/>
      <c r="U497" s="829"/>
      <c r="V497" s="10"/>
      <c r="W497" s="10"/>
      <c r="X497" s="10"/>
      <c r="Y497" s="10"/>
      <c r="Z497" s="10"/>
      <c r="AA497" s="11"/>
      <c r="AB497" s="11"/>
      <c r="AD497" s="260"/>
    </row>
    <row r="498" spans="2:30" x14ac:dyDescent="0.3">
      <c r="B498" s="10" t="s">
        <v>290</v>
      </c>
      <c r="C498" s="315" t="s">
        <v>1769</v>
      </c>
      <c r="D498" s="868" t="s">
        <v>1499</v>
      </c>
      <c r="E498" s="837" t="str">
        <f>IFERROR(IF(_xlfn.XLOOKUP(Imput[[#This Row],[RFC]],'Alta Proveedor'!D:D,'Alta Proveedor'!E:E)=0,"",_xlfn.XLOOKUP(Imput[[#This Row],[RFC]],'Alta Proveedor'!D:D,'Alta Proveedor'!E:E)),"")</f>
        <v>TRANSPAIS UNICO (TRANSPORTE PASAJEROS)</v>
      </c>
      <c r="F498" s="832" t="s">
        <v>3482</v>
      </c>
      <c r="G498" s="187">
        <v>1</v>
      </c>
      <c r="H498" s="1">
        <v>276.72300000000001</v>
      </c>
      <c r="I498" s="169">
        <f>Imput[[#This Row],[Cantidad]]*Imput[[#This Row],[Precio Unitario]]</f>
        <v>276.72300000000001</v>
      </c>
      <c r="J498" s="11">
        <f>((Imput[[#This Row],[Sub total]])*(0.16))</f>
        <v>44.275680000000001</v>
      </c>
      <c r="K498" s="11">
        <v>0</v>
      </c>
      <c r="L498" s="169">
        <f>Imput[[#This Row],[Sub total]]+Imput[[#This Row],[IVA]]-Imput[[#This Row],[Retención / IEPS / Descuento]]</f>
        <v>320.99868000000004</v>
      </c>
      <c r="M498" s="844">
        <v>0</v>
      </c>
      <c r="N498" s="189" t="s">
        <v>123</v>
      </c>
      <c r="O498" s="1"/>
      <c r="P498" s="189" t="s">
        <v>1501</v>
      </c>
      <c r="Q498" s="190" t="s">
        <v>1502</v>
      </c>
      <c r="R498" s="188">
        <v>45868</v>
      </c>
      <c r="S498" s="193" t="s">
        <v>126</v>
      </c>
      <c r="T498" s="192"/>
      <c r="U498" s="829"/>
      <c r="V498" s="10"/>
      <c r="W498" s="10"/>
      <c r="X498" s="10"/>
      <c r="Y498" s="10"/>
      <c r="Z498" s="10"/>
      <c r="AA498" s="11"/>
      <c r="AB498" s="11"/>
      <c r="AD498" s="260"/>
    </row>
    <row r="499" spans="2:30" x14ac:dyDescent="0.3">
      <c r="B499" s="10" t="s">
        <v>290</v>
      </c>
      <c r="C499" s="315" t="s">
        <v>1769</v>
      </c>
      <c r="D499" s="868" t="s">
        <v>1499</v>
      </c>
      <c r="E499" s="837" t="str">
        <f>IFERROR(IF(_xlfn.XLOOKUP(Imput[[#This Row],[RFC]],'Alta Proveedor'!D:D,'Alta Proveedor'!E:E)=0,"",_xlfn.XLOOKUP(Imput[[#This Row],[RFC]],'Alta Proveedor'!D:D,'Alta Proveedor'!E:E)),"")</f>
        <v>TRANSPAIS UNICO (TRANSPORTE PASAJEROS)</v>
      </c>
      <c r="F499" s="832" t="s">
        <v>3483</v>
      </c>
      <c r="G499" s="187">
        <v>1</v>
      </c>
      <c r="H499" s="1">
        <v>276.72300000000001</v>
      </c>
      <c r="I499" s="169">
        <f>Imput[[#This Row],[Cantidad]]*Imput[[#This Row],[Precio Unitario]]</f>
        <v>276.72300000000001</v>
      </c>
      <c r="J499" s="11">
        <f>((Imput[[#This Row],[Sub total]])*(0.16))</f>
        <v>44.275680000000001</v>
      </c>
      <c r="K499" s="11">
        <v>0</v>
      </c>
      <c r="L499" s="169">
        <f>Imput[[#This Row],[Sub total]]+Imput[[#This Row],[IVA]]-Imput[[#This Row],[Retención / IEPS / Descuento]]</f>
        <v>320.99868000000004</v>
      </c>
      <c r="M499" s="844">
        <v>0</v>
      </c>
      <c r="N499" s="189" t="s">
        <v>123</v>
      </c>
      <c r="O499" s="1"/>
      <c r="P499" s="189" t="s">
        <v>1501</v>
      </c>
      <c r="Q499" s="190" t="s">
        <v>1502</v>
      </c>
      <c r="R499" s="188">
        <v>45868</v>
      </c>
      <c r="S499" s="193" t="s">
        <v>126</v>
      </c>
      <c r="T499" s="192"/>
      <c r="U499" s="829"/>
      <c r="V499" s="10"/>
      <c r="W499" s="10"/>
      <c r="X499" s="10"/>
      <c r="Y499" s="10"/>
      <c r="Z499" s="10"/>
      <c r="AA499" s="11"/>
      <c r="AB499" s="11"/>
      <c r="AD499" s="260"/>
    </row>
    <row r="500" spans="2:30" x14ac:dyDescent="0.3">
      <c r="B500" s="10" t="s">
        <v>290</v>
      </c>
      <c r="C500" s="315" t="s">
        <v>1769</v>
      </c>
      <c r="D500" s="868" t="s">
        <v>1499</v>
      </c>
      <c r="E500" s="837" t="str">
        <f>IFERROR(IF(_xlfn.XLOOKUP(Imput[[#This Row],[RFC]],'Alta Proveedor'!D:D,'Alta Proveedor'!E:E)=0,"",_xlfn.XLOOKUP(Imput[[#This Row],[RFC]],'Alta Proveedor'!D:D,'Alta Proveedor'!E:E)),"")</f>
        <v>TRANSPAIS UNICO (TRANSPORTE PASAJEROS)</v>
      </c>
      <c r="F500" s="832" t="s">
        <v>3484</v>
      </c>
      <c r="G500" s="187">
        <v>1</v>
      </c>
      <c r="H500" s="1">
        <v>270.69200000000001</v>
      </c>
      <c r="I500" s="169">
        <f>Imput[[#This Row],[Cantidad]]*Imput[[#This Row],[Precio Unitario]]</f>
        <v>270.69200000000001</v>
      </c>
      <c r="J500" s="11">
        <f>((Imput[[#This Row],[Sub total]])*(0.16))</f>
        <v>43.310720000000003</v>
      </c>
      <c r="K500" s="11">
        <v>0</v>
      </c>
      <c r="L500" s="169">
        <f>Imput[[#This Row],[Sub total]]+Imput[[#This Row],[IVA]]-Imput[[#This Row],[Retención / IEPS / Descuento]]</f>
        <v>314.00272000000001</v>
      </c>
      <c r="M500" s="844">
        <v>0</v>
      </c>
      <c r="N500" s="189" t="s">
        <v>123</v>
      </c>
      <c r="O500" s="1"/>
      <c r="P500" s="189" t="s">
        <v>1501</v>
      </c>
      <c r="Q500" s="190" t="s">
        <v>1502</v>
      </c>
      <c r="R500" s="188">
        <v>45868</v>
      </c>
      <c r="S500" s="193" t="s">
        <v>126</v>
      </c>
      <c r="T500" s="192"/>
      <c r="U500" s="829"/>
      <c r="V500" s="10"/>
      <c r="W500" s="10"/>
      <c r="X500" s="10"/>
      <c r="Y500" s="10"/>
      <c r="Z500" s="10"/>
      <c r="AA500" s="11"/>
      <c r="AB500" s="11"/>
      <c r="AD500" s="260"/>
    </row>
    <row r="501" spans="2:30" x14ac:dyDescent="0.3">
      <c r="B501" s="10" t="s">
        <v>290</v>
      </c>
      <c r="C501" s="315" t="s">
        <v>1769</v>
      </c>
      <c r="D501" s="868" t="s">
        <v>1499</v>
      </c>
      <c r="E501" s="837" t="str">
        <f>IFERROR(IF(_xlfn.XLOOKUP(Imput[[#This Row],[RFC]],'Alta Proveedor'!D:D,'Alta Proveedor'!E:E)=0,"",_xlfn.XLOOKUP(Imput[[#This Row],[RFC]],'Alta Proveedor'!D:D,'Alta Proveedor'!E:E)),"")</f>
        <v>TRANSPAIS UNICO (TRANSPORTE PASAJEROS)</v>
      </c>
      <c r="F501" s="832" t="s">
        <v>3485</v>
      </c>
      <c r="G501" s="187">
        <v>1</v>
      </c>
      <c r="H501" s="1">
        <v>270.69200000000001</v>
      </c>
      <c r="I501" s="169">
        <f>Imput[[#This Row],[Cantidad]]*Imput[[#This Row],[Precio Unitario]]</f>
        <v>270.69200000000001</v>
      </c>
      <c r="J501" s="11">
        <f>((Imput[[#This Row],[Sub total]])*(0.16))</f>
        <v>43.310720000000003</v>
      </c>
      <c r="K501" s="11">
        <v>0</v>
      </c>
      <c r="L501" s="169">
        <f>Imput[[#This Row],[Sub total]]+Imput[[#This Row],[IVA]]-Imput[[#This Row],[Retención / IEPS / Descuento]]</f>
        <v>314.00272000000001</v>
      </c>
      <c r="M501" s="844">
        <v>0</v>
      </c>
      <c r="N501" s="189" t="s">
        <v>123</v>
      </c>
      <c r="O501" s="1"/>
      <c r="P501" s="189" t="s">
        <v>1501</v>
      </c>
      <c r="Q501" s="190" t="s">
        <v>1502</v>
      </c>
      <c r="R501" s="188">
        <v>45868</v>
      </c>
      <c r="S501" s="193" t="s">
        <v>126</v>
      </c>
      <c r="T501" s="192"/>
      <c r="U501" s="829"/>
      <c r="V501" s="10"/>
      <c r="W501" s="10"/>
      <c r="X501" s="10"/>
      <c r="Y501" s="10"/>
      <c r="Z501" s="10"/>
      <c r="AA501" s="11"/>
      <c r="AB501" s="11"/>
      <c r="AD501" s="260"/>
    </row>
    <row r="502" spans="2:30" s="406" customFormat="1" x14ac:dyDescent="0.3">
      <c r="B502" s="10" t="s">
        <v>290</v>
      </c>
      <c r="C502" s="315" t="s">
        <v>1769</v>
      </c>
      <c r="D502" s="868" t="s">
        <v>1499</v>
      </c>
      <c r="E502" s="837" t="str">
        <f>IFERROR(IF(_xlfn.XLOOKUP(Imput[[#This Row],[RFC]],'Alta Proveedor'!D:D,'Alta Proveedor'!E:E)=0,"",_xlfn.XLOOKUP(Imput[[#This Row],[RFC]],'Alta Proveedor'!D:D,'Alta Proveedor'!E:E)),"")</f>
        <v>TRANSPAIS UNICO (TRANSPORTE PASAJEROS)</v>
      </c>
      <c r="F502" s="832" t="s">
        <v>3486</v>
      </c>
      <c r="G502" s="187">
        <v>1</v>
      </c>
      <c r="H502" s="1">
        <v>270.69</v>
      </c>
      <c r="I502" s="169">
        <f>Imput[[#This Row],[Cantidad]]*Imput[[#This Row],[Precio Unitario]]</f>
        <v>270.69</v>
      </c>
      <c r="J502" s="11">
        <f>((Imput[[#This Row],[Sub total]])*(0.16))</f>
        <v>43.310400000000001</v>
      </c>
      <c r="K502" s="11">
        <v>0</v>
      </c>
      <c r="L502" s="169">
        <f>Imput[[#This Row],[Sub total]]+Imput[[#This Row],[IVA]]-Imput[[#This Row],[Retención / IEPS / Descuento]]</f>
        <v>314.00040000000001</v>
      </c>
      <c r="M502" s="844">
        <v>1256.0016000000001</v>
      </c>
      <c r="N502" s="189" t="s">
        <v>123</v>
      </c>
      <c r="O502" s="1"/>
      <c r="P502" s="189" t="s">
        <v>1503</v>
      </c>
      <c r="Q502" s="190" t="s">
        <v>1504</v>
      </c>
      <c r="R502" s="188">
        <v>45868</v>
      </c>
      <c r="S502" s="193" t="s">
        <v>126</v>
      </c>
      <c r="T502" s="192"/>
      <c r="U502" s="829"/>
      <c r="V502" s="10"/>
      <c r="W502" s="10"/>
      <c r="X502" s="10"/>
      <c r="Y502" s="10"/>
      <c r="Z502" s="10"/>
      <c r="AA502" s="11"/>
      <c r="AB502" s="11"/>
      <c r="AD502" s="260"/>
    </row>
    <row r="503" spans="2:30" s="406" customFormat="1" x14ac:dyDescent="0.3">
      <c r="B503" s="10" t="s">
        <v>290</v>
      </c>
      <c r="C503" s="315" t="s">
        <v>1769</v>
      </c>
      <c r="D503" s="868" t="s">
        <v>1499</v>
      </c>
      <c r="E503" s="837" t="str">
        <f>IFERROR(IF(_xlfn.XLOOKUP(Imput[[#This Row],[RFC]],'Alta Proveedor'!D:D,'Alta Proveedor'!E:E)=0,"",_xlfn.XLOOKUP(Imput[[#This Row],[RFC]],'Alta Proveedor'!D:D,'Alta Proveedor'!E:E)),"")</f>
        <v>TRANSPAIS UNICO (TRANSPORTE PASAJEROS)</v>
      </c>
      <c r="F503" s="832" t="s">
        <v>3487</v>
      </c>
      <c r="G503" s="187">
        <v>1</v>
      </c>
      <c r="H503" s="1">
        <v>270.69</v>
      </c>
      <c r="I503" s="169">
        <f>Imput[[#This Row],[Cantidad]]*Imput[[#This Row],[Precio Unitario]]</f>
        <v>270.69</v>
      </c>
      <c r="J503" s="11">
        <f>((Imput[[#This Row],[Sub total]])*(0.16))</f>
        <v>43.310400000000001</v>
      </c>
      <c r="K503" s="11">
        <v>0</v>
      </c>
      <c r="L503" s="169">
        <f>Imput[[#This Row],[Sub total]]+Imput[[#This Row],[IVA]]-Imput[[#This Row],[Retención / IEPS / Descuento]]</f>
        <v>314.00040000000001</v>
      </c>
      <c r="M503" s="844">
        <v>0</v>
      </c>
      <c r="N503" s="189" t="s">
        <v>123</v>
      </c>
      <c r="O503" s="1"/>
      <c r="P503" s="189" t="s">
        <v>1503</v>
      </c>
      <c r="Q503" s="190" t="s">
        <v>1504</v>
      </c>
      <c r="R503" s="188">
        <v>45868</v>
      </c>
      <c r="S503" s="193" t="s">
        <v>126</v>
      </c>
      <c r="T503" s="192"/>
      <c r="U503" s="829"/>
      <c r="V503" s="10"/>
      <c r="W503" s="10"/>
      <c r="X503" s="10"/>
      <c r="Y503" s="10"/>
      <c r="Z503" s="10"/>
      <c r="AA503" s="11"/>
      <c r="AB503" s="11"/>
      <c r="AD503" s="260"/>
    </row>
    <row r="504" spans="2:30" x14ac:dyDescent="0.3">
      <c r="B504" s="10" t="s">
        <v>290</v>
      </c>
      <c r="C504" s="315" t="s">
        <v>1769</v>
      </c>
      <c r="D504" s="868" t="s">
        <v>1499</v>
      </c>
      <c r="E504" s="837" t="str">
        <f>IFERROR(IF(_xlfn.XLOOKUP(Imput[[#This Row],[RFC]],'Alta Proveedor'!D:D,'Alta Proveedor'!E:E)=0,"",_xlfn.XLOOKUP(Imput[[#This Row],[RFC]],'Alta Proveedor'!D:D,'Alta Proveedor'!E:E)),"")</f>
        <v>TRANSPAIS UNICO (TRANSPORTE PASAJEROS)</v>
      </c>
      <c r="F504" s="832" t="s">
        <v>3488</v>
      </c>
      <c r="G504" s="187">
        <v>1</v>
      </c>
      <c r="H504" s="1">
        <v>270.69</v>
      </c>
      <c r="I504" s="169">
        <f>Imput[[#This Row],[Cantidad]]*Imput[[#This Row],[Precio Unitario]]</f>
        <v>270.69</v>
      </c>
      <c r="J504" s="11">
        <f>((Imput[[#This Row],[Sub total]])*(0.16))</f>
        <v>43.310400000000001</v>
      </c>
      <c r="K504" s="11">
        <v>0</v>
      </c>
      <c r="L504" s="169">
        <f>Imput[[#This Row],[Sub total]]+Imput[[#This Row],[IVA]]-Imput[[#This Row],[Retención / IEPS / Descuento]]</f>
        <v>314.00040000000001</v>
      </c>
      <c r="M504" s="844">
        <v>0</v>
      </c>
      <c r="N504" s="189" t="s">
        <v>123</v>
      </c>
      <c r="O504" s="1"/>
      <c r="P504" s="189" t="s">
        <v>1503</v>
      </c>
      <c r="Q504" s="190" t="s">
        <v>1504</v>
      </c>
      <c r="R504" s="188">
        <v>45868</v>
      </c>
      <c r="S504" s="193" t="s">
        <v>126</v>
      </c>
      <c r="T504" s="192"/>
      <c r="U504" s="829"/>
      <c r="V504" s="10"/>
      <c r="W504" s="10"/>
      <c r="X504" s="10"/>
      <c r="Y504" s="10"/>
      <c r="Z504" s="10"/>
      <c r="AA504" s="11"/>
      <c r="AB504" s="11"/>
      <c r="AD504" s="260"/>
    </row>
    <row r="505" spans="2:30" x14ac:dyDescent="0.3">
      <c r="B505" s="10" t="s">
        <v>290</v>
      </c>
      <c r="C505" s="315" t="s">
        <v>1769</v>
      </c>
      <c r="D505" s="868" t="s">
        <v>1499</v>
      </c>
      <c r="E505" s="837" t="str">
        <f>IFERROR(IF(_xlfn.XLOOKUP(Imput[[#This Row],[RFC]],'Alta Proveedor'!D:D,'Alta Proveedor'!E:E)=0,"",_xlfn.XLOOKUP(Imput[[#This Row],[RFC]],'Alta Proveedor'!D:D,'Alta Proveedor'!E:E)),"")</f>
        <v>TRANSPAIS UNICO (TRANSPORTE PASAJEROS)</v>
      </c>
      <c r="F505" s="832" t="s">
        <v>3489</v>
      </c>
      <c r="G505" s="187">
        <v>1</v>
      </c>
      <c r="H505" s="1">
        <v>270.69</v>
      </c>
      <c r="I505" s="169">
        <f>Imput[[#This Row],[Cantidad]]*Imput[[#This Row],[Precio Unitario]]</f>
        <v>270.69</v>
      </c>
      <c r="J505" s="11">
        <f>((Imput[[#This Row],[Sub total]])*(0.16))</f>
        <v>43.310400000000001</v>
      </c>
      <c r="K505" s="11">
        <v>0</v>
      </c>
      <c r="L505" s="169">
        <f>Imput[[#This Row],[Sub total]]+Imput[[#This Row],[IVA]]-Imput[[#This Row],[Retención / IEPS / Descuento]]</f>
        <v>314.00040000000001</v>
      </c>
      <c r="M505" s="844">
        <v>0</v>
      </c>
      <c r="N505" s="189" t="s">
        <v>123</v>
      </c>
      <c r="O505" s="1"/>
      <c r="P505" s="189" t="s">
        <v>1503</v>
      </c>
      <c r="Q505" s="190" t="s">
        <v>1504</v>
      </c>
      <c r="R505" s="188">
        <v>45868</v>
      </c>
      <c r="S505" s="193" t="s">
        <v>126</v>
      </c>
      <c r="T505" s="192"/>
      <c r="U505" s="829"/>
      <c r="V505" s="10"/>
      <c r="W505" s="10"/>
      <c r="X505" s="10"/>
      <c r="Y505" s="10"/>
      <c r="Z505" s="10"/>
      <c r="AA505" s="11"/>
      <c r="AB505" s="11"/>
      <c r="AD505" s="260"/>
    </row>
    <row r="506" spans="2:30" x14ac:dyDescent="0.3">
      <c r="B506" s="10" t="s">
        <v>290</v>
      </c>
      <c r="C506" s="315" t="s">
        <v>1743</v>
      </c>
      <c r="D506" s="868" t="s">
        <v>3119</v>
      </c>
      <c r="E506" s="837" t="str">
        <f>IFERROR(IF(_xlfn.XLOOKUP(Imput[[#This Row],[RFC]],'Alta Proveedor'!D:D,'Alta Proveedor'!E:E)=0,"",_xlfn.XLOOKUP(Imput[[#This Row],[RFC]],'Alta Proveedor'!D:D,'Alta Proveedor'!E:E)),"")</f>
        <v>Nomina-OPERACIÓN</v>
      </c>
      <c r="F506" s="836" t="s">
        <v>3156</v>
      </c>
      <c r="G506" s="187">
        <v>1</v>
      </c>
      <c r="H506" s="1">
        <v>10000</v>
      </c>
      <c r="I506" s="169">
        <f>Imput[[#This Row],[Cantidad]]*Imput[[#This Row],[Precio Unitario]]</f>
        <v>10000</v>
      </c>
      <c r="J506" s="11">
        <f>Imput[[#This Row],[Sub total]]*0.08</f>
        <v>800</v>
      </c>
      <c r="K506" s="11">
        <v>0</v>
      </c>
      <c r="L506" s="169">
        <f>Imput[[#This Row],[Sub total]]+Imput[[#This Row],[IVA]]-Imput[[#This Row],[Retención / IEPS / Descuento]]</f>
        <v>10800</v>
      </c>
      <c r="M506" s="844">
        <v>10800</v>
      </c>
      <c r="N506" s="189"/>
      <c r="O506" s="1"/>
      <c r="P506" s="189"/>
      <c r="Q506" s="190"/>
      <c r="R506" s="188">
        <v>45868</v>
      </c>
      <c r="S506" s="193"/>
      <c r="T506" s="192"/>
      <c r="U506" s="867" t="s">
        <v>3225</v>
      </c>
      <c r="V506" s="10"/>
      <c r="W506" s="10"/>
      <c r="X506" s="10"/>
      <c r="Y506" s="10"/>
      <c r="Z506" s="10"/>
      <c r="AA506" s="11"/>
      <c r="AB506" s="11"/>
      <c r="AD506" s="260"/>
    </row>
    <row r="507" spans="2:30" x14ac:dyDescent="0.3">
      <c r="B507" s="10" t="s">
        <v>290</v>
      </c>
      <c r="C507" s="315" t="s">
        <v>2469</v>
      </c>
      <c r="D507" s="868" t="s">
        <v>3225</v>
      </c>
      <c r="E507" s="837" t="str">
        <f>IFERROR(IF(_xlfn.XLOOKUP(Imput[[#This Row],[RFC]],'Alta Proveedor'!D:D,'Alta Proveedor'!E:E)=0,"",_xlfn.XLOOKUP(Imput[[#This Row],[RFC]],'Alta Proveedor'!D:D,'Alta Proveedor'!E:E)),"")</f>
        <v>GASTOS SIN FACTURA</v>
      </c>
      <c r="F507" s="836" t="s">
        <v>3201</v>
      </c>
      <c r="G507" s="187">
        <v>1</v>
      </c>
      <c r="H507" s="1">
        <v>1200</v>
      </c>
      <c r="I507" s="169">
        <f>Imput[[#This Row],[Cantidad]]*Imput[[#This Row],[Precio Unitario]]</f>
        <v>1200</v>
      </c>
      <c r="J507" s="11">
        <f>Imput[[#This Row],[Sub total]]*0.08</f>
        <v>96</v>
      </c>
      <c r="K507" s="11">
        <v>0</v>
      </c>
      <c r="L507" s="169">
        <f>Imput[[#This Row],[Sub total]]+Imput[[#This Row],[IVA]]-Imput[[#This Row],[Retención / IEPS / Descuento]]</f>
        <v>1296</v>
      </c>
      <c r="M507" s="844">
        <v>1296</v>
      </c>
      <c r="N507" s="189"/>
      <c r="O507" s="1"/>
      <c r="P507" s="189"/>
      <c r="Q507" s="190"/>
      <c r="R507" s="188">
        <v>45868</v>
      </c>
      <c r="S507" s="193"/>
      <c r="T507" s="192"/>
      <c r="U507" s="867" t="s">
        <v>3225</v>
      </c>
      <c r="V507" s="10"/>
      <c r="W507" s="10"/>
      <c r="X507" s="10"/>
      <c r="Y507" s="10"/>
      <c r="Z507" s="10"/>
      <c r="AA507" s="11"/>
      <c r="AB507" s="11"/>
      <c r="AD507" s="260"/>
    </row>
    <row r="508" spans="2:30" x14ac:dyDescent="0.3">
      <c r="B508" s="10" t="s">
        <v>290</v>
      </c>
      <c r="C508" s="315" t="s">
        <v>1806</v>
      </c>
      <c r="D508" s="868" t="s">
        <v>1415</v>
      </c>
      <c r="E508" s="837" t="str">
        <f>IFERROR(IF(_xlfn.XLOOKUP(Imput[[#This Row],[RFC]],'Alta Proveedor'!D:D,'Alta Proveedor'!E:E)=0,"",_xlfn.XLOOKUP(Imput[[#This Row],[RFC]],'Alta Proveedor'!D:D,'Alta Proveedor'!E:E)),"")</f>
        <v>PEDRO ANTONIO ACEVES YAPUR "MIL HORNOS" (RESTAURANTE)</v>
      </c>
      <c r="F508" s="832" t="s">
        <v>159</v>
      </c>
      <c r="G508" s="187">
        <v>1</v>
      </c>
      <c r="H508" s="1">
        <v>288.79000000000002</v>
      </c>
      <c r="I508" s="169">
        <f>Imput[[#This Row],[Cantidad]]*Imput[[#This Row],[Precio Unitario]]</f>
        <v>288.79000000000002</v>
      </c>
      <c r="J508" s="11">
        <f>((Imput[[#This Row],[Sub total]])*(0.16))</f>
        <v>46.206400000000002</v>
      </c>
      <c r="K508" s="11">
        <v>0</v>
      </c>
      <c r="L508" s="169">
        <f>Imput[[#This Row],[Sub total]]+Imput[[#This Row],[IVA]]-Imput[[#This Row],[Retención / IEPS / Descuento]]</f>
        <v>334.99639999999999</v>
      </c>
      <c r="M508" s="844">
        <v>334.99639999999999</v>
      </c>
      <c r="N508" s="189" t="s">
        <v>123</v>
      </c>
      <c r="O508" s="1"/>
      <c r="P508" s="189" t="s">
        <v>1416</v>
      </c>
      <c r="Q508" s="190" t="s">
        <v>1417</v>
      </c>
      <c r="R508" s="188">
        <v>45869</v>
      </c>
      <c r="S508" s="193" t="s">
        <v>126</v>
      </c>
      <c r="T508" s="192"/>
      <c r="U508" s="829"/>
      <c r="V508" s="10"/>
      <c r="W508" s="10"/>
      <c r="X508" s="10"/>
      <c r="Y508" s="10"/>
      <c r="Z508" s="10"/>
      <c r="AA508" s="11"/>
      <c r="AB508" s="11"/>
      <c r="AD508" s="260"/>
    </row>
    <row r="509" spans="2:30" x14ac:dyDescent="0.3">
      <c r="B509" s="10" t="s">
        <v>290</v>
      </c>
      <c r="C509" s="315" t="s">
        <v>1806</v>
      </c>
      <c r="D509" s="868" t="s">
        <v>1415</v>
      </c>
      <c r="E509" s="837" t="str">
        <f>IFERROR(IF(_xlfn.XLOOKUP(Imput[[#This Row],[RFC]],'Alta Proveedor'!D:D,'Alta Proveedor'!E:E)=0,"",_xlfn.XLOOKUP(Imput[[#This Row],[RFC]],'Alta Proveedor'!D:D,'Alta Proveedor'!E:E)),"")</f>
        <v>PEDRO ANTONIO ACEVES YAPUR "MIL HORNOS" (RESTAURANTE)</v>
      </c>
      <c r="F509" s="832" t="s">
        <v>159</v>
      </c>
      <c r="G509" s="187">
        <v>1</v>
      </c>
      <c r="H509" s="1">
        <v>967.24</v>
      </c>
      <c r="I509" s="169">
        <f>Imput[[#This Row],[Cantidad]]*Imput[[#This Row],[Precio Unitario]]</f>
        <v>967.24</v>
      </c>
      <c r="J509" s="11">
        <f>((Imput[[#This Row],[Sub total]]-64.66)*(0.16))</f>
        <v>144.4128</v>
      </c>
      <c r="K509" s="11">
        <v>64.66</v>
      </c>
      <c r="L509" s="169">
        <f>Imput[[#This Row],[Sub total]]+Imput[[#This Row],[IVA]]-Imput[[#This Row],[Retención / IEPS / Descuento]]</f>
        <v>1046.9928</v>
      </c>
      <c r="M509" s="844">
        <v>1046.9928</v>
      </c>
      <c r="N509" s="189" t="s">
        <v>123</v>
      </c>
      <c r="O509" s="1"/>
      <c r="P509" s="189" t="s">
        <v>1419</v>
      </c>
      <c r="Q509" s="190" t="s">
        <v>1420</v>
      </c>
      <c r="R509" s="188">
        <v>45869</v>
      </c>
      <c r="S509" s="193" t="s">
        <v>126</v>
      </c>
      <c r="T509" s="192"/>
      <c r="U509" s="829"/>
      <c r="V509" s="10"/>
      <c r="W509" s="10"/>
      <c r="X509" s="10"/>
      <c r="Y509" s="10"/>
      <c r="Z509" s="10"/>
      <c r="AA509" s="11"/>
      <c r="AB509" s="11"/>
      <c r="AD509" s="260"/>
    </row>
    <row r="510" spans="2:30" x14ac:dyDescent="0.3">
      <c r="B510" s="10" t="s">
        <v>290</v>
      </c>
      <c r="C510" s="315" t="s">
        <v>1769</v>
      </c>
      <c r="D510" s="868" t="s">
        <v>244</v>
      </c>
      <c r="E510" s="837" t="str">
        <f>IFERROR(IF(_xlfn.XLOOKUP(Imput[[#This Row],[RFC]],'Alta Proveedor'!D:D,'Alta Proveedor'!E:E)=0,"",_xlfn.XLOOKUP(Imput[[#This Row],[RFC]],'Alta Proveedor'!D:D,'Alta Proveedor'!E:E)),"")</f>
        <v>CADENA COMERCIAL OXXO</v>
      </c>
      <c r="F510" s="832" t="s">
        <v>1589</v>
      </c>
      <c r="G510" s="187">
        <v>2</v>
      </c>
      <c r="H510" s="1">
        <f>51.72/Imput[[#This Row],[Cantidad]]</f>
        <v>25.86</v>
      </c>
      <c r="I510" s="169">
        <f>Imput[[#This Row],[Cantidad]]*Imput[[#This Row],[Precio Unitario]]</f>
        <v>51.72</v>
      </c>
      <c r="J510" s="11">
        <f>((Imput[[#This Row],[Sub total]])*(0.16))</f>
        <v>8.2751999999999999</v>
      </c>
      <c r="K510" s="11">
        <v>0</v>
      </c>
      <c r="L510" s="169">
        <f>Imput[[#This Row],[Sub total]]+Imput[[#This Row],[IVA]]-Imput[[#This Row],[Retención / IEPS / Descuento]]</f>
        <v>59.995199999999997</v>
      </c>
      <c r="M510" s="844">
        <v>117.9952</v>
      </c>
      <c r="N510" s="189" t="s">
        <v>123</v>
      </c>
      <c r="O510" s="1"/>
      <c r="P510" s="189" t="s">
        <v>1426</v>
      </c>
      <c r="Q510" s="190" t="s">
        <v>1427</v>
      </c>
      <c r="R510" s="188">
        <v>45869</v>
      </c>
      <c r="S510" s="193" t="s">
        <v>126</v>
      </c>
      <c r="T510" s="192"/>
      <c r="U510" s="829"/>
      <c r="V510" s="10"/>
      <c r="W510" s="10"/>
      <c r="X510" s="10"/>
      <c r="Y510" s="10"/>
      <c r="Z510" s="10"/>
      <c r="AA510" s="11"/>
      <c r="AB510" s="11"/>
      <c r="AD510" s="260"/>
    </row>
    <row r="511" spans="2:30" x14ac:dyDescent="0.3">
      <c r="B511" s="10" t="s">
        <v>290</v>
      </c>
      <c r="C511" s="315" t="s">
        <v>1769</v>
      </c>
      <c r="D511" s="868" t="s">
        <v>244</v>
      </c>
      <c r="E511" s="837" t="str">
        <f>IFERROR(IF(_xlfn.XLOOKUP(Imput[[#This Row],[RFC]],'Alta Proveedor'!D:D,'Alta Proveedor'!E:E)=0,"",_xlfn.XLOOKUP(Imput[[#This Row],[RFC]],'Alta Proveedor'!D:D,'Alta Proveedor'!E:E)),"")</f>
        <v>CADENA COMERCIAL OXXO</v>
      </c>
      <c r="F511" s="832" t="s">
        <v>1590</v>
      </c>
      <c r="G511" s="187">
        <v>1</v>
      </c>
      <c r="H511" s="1">
        <v>37</v>
      </c>
      <c r="I511" s="169">
        <f>Imput[[#This Row],[Cantidad]]*Imput[[#This Row],[Precio Unitario]]</f>
        <v>37</v>
      </c>
      <c r="J511" s="11">
        <v>0</v>
      </c>
      <c r="K511" s="11">
        <v>0</v>
      </c>
      <c r="L511" s="169">
        <f>Imput[[#This Row],[Sub total]]+Imput[[#This Row],[IVA]]-Imput[[#This Row],[Retención / IEPS / Descuento]]</f>
        <v>37</v>
      </c>
      <c r="M511" s="844">
        <v>0</v>
      </c>
      <c r="N511" s="189" t="s">
        <v>123</v>
      </c>
      <c r="O511" s="1"/>
      <c r="P511" s="189" t="s">
        <v>1426</v>
      </c>
      <c r="Q511" s="190" t="s">
        <v>1427</v>
      </c>
      <c r="R511" s="188">
        <v>45869</v>
      </c>
      <c r="S511" s="193" t="s">
        <v>126</v>
      </c>
      <c r="T511" s="192"/>
      <c r="U511" s="829"/>
      <c r="V511" s="10"/>
      <c r="W511" s="10"/>
      <c r="X511" s="10"/>
      <c r="Y511" s="10"/>
      <c r="Z511" s="10"/>
      <c r="AA511" s="11"/>
      <c r="AB511" s="11"/>
      <c r="AD511" s="260"/>
    </row>
    <row r="512" spans="2:30" x14ac:dyDescent="0.3">
      <c r="B512" s="10" t="s">
        <v>290</v>
      </c>
      <c r="C512" s="315" t="s">
        <v>1769</v>
      </c>
      <c r="D512" s="868" t="s">
        <v>244</v>
      </c>
      <c r="E512" s="837" t="str">
        <f>IFERROR(IF(_xlfn.XLOOKUP(Imput[[#This Row],[RFC]],'Alta Proveedor'!D:D,'Alta Proveedor'!E:E)=0,"",_xlfn.XLOOKUP(Imput[[#This Row],[RFC]],'Alta Proveedor'!D:D,'Alta Proveedor'!E:E)),"")</f>
        <v>CADENA COMERCIAL OXXO</v>
      </c>
      <c r="F512" s="832" t="s">
        <v>1587</v>
      </c>
      <c r="G512" s="187">
        <v>1</v>
      </c>
      <c r="H512" s="1">
        <v>21</v>
      </c>
      <c r="I512" s="169">
        <f>Imput[[#This Row],[Cantidad]]*Imput[[#This Row],[Precio Unitario]]</f>
        <v>21</v>
      </c>
      <c r="J512" s="11">
        <v>0</v>
      </c>
      <c r="K512" s="11">
        <v>0</v>
      </c>
      <c r="L512" s="169">
        <f>Imput[[#This Row],[Sub total]]+Imput[[#This Row],[IVA]]-Imput[[#This Row],[Retención / IEPS / Descuento]]</f>
        <v>21</v>
      </c>
      <c r="M512" s="844">
        <v>0</v>
      </c>
      <c r="N512" s="189" t="s">
        <v>123</v>
      </c>
      <c r="O512" s="1"/>
      <c r="P512" s="189" t="s">
        <v>1426</v>
      </c>
      <c r="Q512" s="190" t="s">
        <v>1427</v>
      </c>
      <c r="R512" s="188">
        <v>45869</v>
      </c>
      <c r="S512" s="193" t="s">
        <v>126</v>
      </c>
      <c r="T512" s="192"/>
      <c r="U512" s="829"/>
      <c r="V512" s="10"/>
      <c r="W512" s="10"/>
      <c r="X512" s="10"/>
      <c r="Y512" s="10"/>
      <c r="Z512" s="10"/>
      <c r="AA512" s="11"/>
      <c r="AB512" s="11"/>
      <c r="AD512" s="260"/>
    </row>
    <row r="513" spans="2:30" x14ac:dyDescent="0.3">
      <c r="B513" s="10" t="s">
        <v>290</v>
      </c>
      <c r="C513" s="315" t="s">
        <v>1769</v>
      </c>
      <c r="D513" s="868" t="s">
        <v>244</v>
      </c>
      <c r="E513" s="837" t="str">
        <f>IFERROR(IF(_xlfn.XLOOKUP(Imput[[#This Row],[RFC]],'Alta Proveedor'!D:D,'Alta Proveedor'!E:E)=0,"",_xlfn.XLOOKUP(Imput[[#This Row],[RFC]],'Alta Proveedor'!D:D,'Alta Proveedor'!E:E)),"")</f>
        <v>CADENA COMERCIAL OXXO</v>
      </c>
      <c r="F513" s="832" t="s">
        <v>1214</v>
      </c>
      <c r="G513" s="187">
        <v>1</v>
      </c>
      <c r="H513" s="1">
        <v>18.103000000000002</v>
      </c>
      <c r="I513" s="169">
        <f>Imput[[#This Row],[Cantidad]]*Imput[[#This Row],[Precio Unitario]]</f>
        <v>18.103000000000002</v>
      </c>
      <c r="J513" s="11">
        <f>((Imput[[#This Row],[Sub total]])*(0.16))</f>
        <v>2.8964800000000004</v>
      </c>
      <c r="K513" s="11">
        <v>0</v>
      </c>
      <c r="L513" s="169">
        <f>Imput[[#This Row],[Sub total]]+Imput[[#This Row],[IVA]]-Imput[[#This Row],[Retención / IEPS / Descuento]]</f>
        <v>20.999480000000002</v>
      </c>
      <c r="M513" s="844">
        <v>47.49736</v>
      </c>
      <c r="N513" s="189" t="s">
        <v>123</v>
      </c>
      <c r="O513" s="1"/>
      <c r="P513" s="189" t="s">
        <v>1428</v>
      </c>
      <c r="Q513" s="190" t="s">
        <v>1429</v>
      </c>
      <c r="R513" s="188">
        <v>45869</v>
      </c>
      <c r="S513" s="193" t="s">
        <v>294</v>
      </c>
      <c r="T513" s="192"/>
      <c r="U513" s="829"/>
      <c r="V513" s="10"/>
      <c r="W513" s="10"/>
      <c r="X513" s="10"/>
      <c r="Y513" s="10"/>
      <c r="Z513" s="10"/>
      <c r="AA513" s="11"/>
      <c r="AB513" s="11"/>
      <c r="AD513" s="260"/>
    </row>
    <row r="514" spans="2:30" x14ac:dyDescent="0.3">
      <c r="B514" s="10" t="s">
        <v>290</v>
      </c>
      <c r="C514" s="315" t="s">
        <v>1769</v>
      </c>
      <c r="D514" s="868" t="s">
        <v>244</v>
      </c>
      <c r="E514" s="837" t="str">
        <f>IFERROR(IF(_xlfn.XLOOKUP(Imput[[#This Row],[RFC]],'Alta Proveedor'!D:D,'Alta Proveedor'!E:E)=0,"",_xlfn.XLOOKUP(Imput[[#This Row],[RFC]],'Alta Proveedor'!D:D,'Alta Proveedor'!E:E)),"")</f>
        <v>CADENA COMERCIAL OXXO</v>
      </c>
      <c r="F514" s="832" t="s">
        <v>1579</v>
      </c>
      <c r="G514" s="187">
        <v>1</v>
      </c>
      <c r="H514" s="1">
        <v>22.843</v>
      </c>
      <c r="I514" s="169">
        <f>Imput[[#This Row],[Cantidad]]*Imput[[#This Row],[Precio Unitario]]</f>
        <v>22.843</v>
      </c>
      <c r="J514" s="11">
        <f>((Imput[[#This Row],[Sub total]])*(0.16))</f>
        <v>3.6548799999999999</v>
      </c>
      <c r="K514" s="11">
        <v>0</v>
      </c>
      <c r="L514" s="169">
        <f>Imput[[#This Row],[Sub total]]+Imput[[#This Row],[IVA]]-Imput[[#This Row],[Retención / IEPS / Descuento]]</f>
        <v>26.497879999999999</v>
      </c>
      <c r="M514" s="844">
        <v>0</v>
      </c>
      <c r="N514" s="189" t="s">
        <v>123</v>
      </c>
      <c r="O514" s="1"/>
      <c r="P514" s="189" t="s">
        <v>1428</v>
      </c>
      <c r="Q514" s="190" t="s">
        <v>1429</v>
      </c>
      <c r="R514" s="188">
        <v>45869</v>
      </c>
      <c r="S514" s="193" t="s">
        <v>294</v>
      </c>
      <c r="T514" s="192"/>
      <c r="U514" s="829"/>
      <c r="V514" s="10"/>
      <c r="W514" s="10"/>
      <c r="X514" s="10"/>
      <c r="Y514" s="10"/>
      <c r="Z514" s="10"/>
      <c r="AA514" s="11"/>
      <c r="AB514" s="11"/>
      <c r="AD514" s="260"/>
    </row>
    <row r="515" spans="2:30" x14ac:dyDescent="0.3">
      <c r="B515" s="10" t="s">
        <v>290</v>
      </c>
      <c r="C515" s="315" t="s">
        <v>1769</v>
      </c>
      <c r="D515" s="868" t="s">
        <v>244</v>
      </c>
      <c r="E515" s="837" t="str">
        <f>IFERROR(IF(_xlfn.XLOOKUP(Imput[[#This Row],[RFC]],'Alta Proveedor'!D:D,'Alta Proveedor'!E:E)=0,"",_xlfn.XLOOKUP(Imput[[#This Row],[RFC]],'Alta Proveedor'!D:D,'Alta Proveedor'!E:E)),"")</f>
        <v>CADENA COMERCIAL OXXO</v>
      </c>
      <c r="F515" s="832" t="s">
        <v>1591</v>
      </c>
      <c r="G515" s="187">
        <v>1</v>
      </c>
      <c r="H515" s="1">
        <v>10.343</v>
      </c>
      <c r="I515" s="169">
        <f>Imput[[#This Row],[Cantidad]]*Imput[[#This Row],[Precio Unitario]]</f>
        <v>10.343</v>
      </c>
      <c r="J515" s="11">
        <f>((Imput[[#This Row],[Sub total]])*(0.1595))</f>
        <v>1.6497085</v>
      </c>
      <c r="K515" s="11">
        <v>0</v>
      </c>
      <c r="L515" s="169">
        <f>Imput[[#This Row],[Sub total]]+Imput[[#This Row],[IVA]]-Imput[[#This Row],[Retención / IEPS / Descuento]]</f>
        <v>11.992708499999999</v>
      </c>
      <c r="M515" s="844">
        <v>48.985416999999998</v>
      </c>
      <c r="N515" s="189" t="s">
        <v>123</v>
      </c>
      <c r="O515" s="1"/>
      <c r="P515" s="189" t="s">
        <v>1430</v>
      </c>
      <c r="Q515" s="190" t="s">
        <v>1431</v>
      </c>
      <c r="R515" s="188">
        <v>45869</v>
      </c>
      <c r="S515" s="193" t="s">
        <v>294</v>
      </c>
      <c r="T515" s="192"/>
      <c r="U515" s="829"/>
      <c r="V515" s="10"/>
      <c r="W515" s="10"/>
      <c r="X515" s="10"/>
      <c r="Y515" s="10"/>
      <c r="Z515" s="10"/>
      <c r="AA515" s="11"/>
      <c r="AB515" s="11"/>
      <c r="AD515" s="260"/>
    </row>
    <row r="516" spans="2:30" x14ac:dyDescent="0.3">
      <c r="B516" s="10" t="s">
        <v>290</v>
      </c>
      <c r="C516" s="315" t="s">
        <v>1769</v>
      </c>
      <c r="D516" s="868" t="s">
        <v>244</v>
      </c>
      <c r="E516" s="837" t="str">
        <f>IFERROR(IF(_xlfn.XLOOKUP(Imput[[#This Row],[RFC]],'Alta Proveedor'!D:D,'Alta Proveedor'!E:E)=0,"",_xlfn.XLOOKUP(Imput[[#This Row],[RFC]],'Alta Proveedor'!D:D,'Alta Proveedor'!E:E)),"")</f>
        <v>CADENA COMERCIAL OXXO</v>
      </c>
      <c r="F516" s="832" t="s">
        <v>1592</v>
      </c>
      <c r="G516" s="187">
        <v>1</v>
      </c>
      <c r="H516" s="1">
        <f>H515</f>
        <v>10.343</v>
      </c>
      <c r="I516" s="169">
        <f>Imput[[#This Row],[Cantidad]]*Imput[[#This Row],[Precio Unitario]]</f>
        <v>10.343</v>
      </c>
      <c r="J516" s="11">
        <f>((Imput[[#This Row],[Sub total]])*(0.1595))</f>
        <v>1.6497085</v>
      </c>
      <c r="K516" s="11">
        <v>0</v>
      </c>
      <c r="L516" s="169">
        <f>Imput[[#This Row],[Sub total]]+Imput[[#This Row],[IVA]]-Imput[[#This Row],[Retención / IEPS / Descuento]]</f>
        <v>11.992708499999999</v>
      </c>
      <c r="M516" s="844">
        <v>0</v>
      </c>
      <c r="N516" s="189" t="s">
        <v>123</v>
      </c>
      <c r="O516" s="1"/>
      <c r="P516" s="189" t="s">
        <v>1430</v>
      </c>
      <c r="Q516" s="190" t="s">
        <v>1431</v>
      </c>
      <c r="R516" s="188">
        <v>45869</v>
      </c>
      <c r="S516" s="193" t="s">
        <v>294</v>
      </c>
      <c r="T516" s="192"/>
      <c r="U516" s="829"/>
      <c r="V516" s="10"/>
      <c r="W516" s="10"/>
      <c r="X516" s="10"/>
      <c r="Y516" s="10"/>
      <c r="Z516" s="10"/>
      <c r="AA516" s="11"/>
      <c r="AB516" s="11"/>
      <c r="AD516" s="260"/>
    </row>
    <row r="517" spans="2:30" x14ac:dyDescent="0.3">
      <c r="B517" s="10" t="s">
        <v>290</v>
      </c>
      <c r="C517" s="315" t="s">
        <v>1769</v>
      </c>
      <c r="D517" s="868" t="s">
        <v>244</v>
      </c>
      <c r="E517" s="837" t="str">
        <f>IFERROR(IF(_xlfn.XLOOKUP(Imput[[#This Row],[RFC]],'Alta Proveedor'!D:D,'Alta Proveedor'!E:E)=0,"",_xlfn.XLOOKUP(Imput[[#This Row],[RFC]],'Alta Proveedor'!D:D,'Alta Proveedor'!E:E)),"")</f>
        <v>CADENA COMERCIAL OXXO</v>
      </c>
      <c r="F517" s="832" t="s">
        <v>1593</v>
      </c>
      <c r="G517" s="187">
        <v>2</v>
      </c>
      <c r="H517" s="1">
        <f>25/Imput[[#This Row],[Cantidad]]</f>
        <v>12.5</v>
      </c>
      <c r="I517" s="169">
        <f>Imput[[#This Row],[Cantidad]]*Imput[[#This Row],[Precio Unitario]]</f>
        <v>25</v>
      </c>
      <c r="J517" s="11">
        <v>0</v>
      </c>
      <c r="K517" s="11">
        <v>0</v>
      </c>
      <c r="L517" s="169">
        <f>Imput[[#This Row],[Sub total]]+Imput[[#This Row],[IVA]]-Imput[[#This Row],[Retención / IEPS / Descuento]]</f>
        <v>25</v>
      </c>
      <c r="M517" s="844">
        <v>0</v>
      </c>
      <c r="N517" s="189" t="s">
        <v>123</v>
      </c>
      <c r="O517" s="1"/>
      <c r="P517" s="189" t="s">
        <v>1430</v>
      </c>
      <c r="Q517" s="190" t="s">
        <v>1431</v>
      </c>
      <c r="R517" s="188">
        <v>45869</v>
      </c>
      <c r="S517" s="193" t="s">
        <v>294</v>
      </c>
      <c r="T517" s="192"/>
      <c r="U517" s="829"/>
      <c r="V517" s="10"/>
      <c r="W517" s="10"/>
      <c r="X517" s="10"/>
      <c r="Y517" s="10"/>
      <c r="Z517" s="10"/>
      <c r="AA517" s="11"/>
      <c r="AB517" s="11"/>
      <c r="AD517" s="260"/>
    </row>
    <row r="518" spans="2:30" x14ac:dyDescent="0.3">
      <c r="B518" s="10" t="s">
        <v>290</v>
      </c>
      <c r="C518" s="315" t="s">
        <v>1769</v>
      </c>
      <c r="D518" s="868" t="s">
        <v>244</v>
      </c>
      <c r="E518" s="837" t="str">
        <f>IFERROR(IF(_xlfn.XLOOKUP(Imput[[#This Row],[RFC]],'Alta Proveedor'!D:D,'Alta Proveedor'!E:E)=0,"",_xlfn.XLOOKUP(Imput[[#This Row],[RFC]],'Alta Proveedor'!D:D,'Alta Proveedor'!E:E)),"")</f>
        <v>CADENA COMERCIAL OXXO</v>
      </c>
      <c r="F518" s="832" t="s">
        <v>1593</v>
      </c>
      <c r="G518" s="187">
        <v>2</v>
      </c>
      <c r="H518" s="1">
        <v>12.502000000000001</v>
      </c>
      <c r="I518" s="169">
        <f>Imput[[#This Row],[Cantidad]]*Imput[[#This Row],[Precio Unitario]]</f>
        <v>25.004000000000001</v>
      </c>
      <c r="J518" s="11">
        <v>0</v>
      </c>
      <c r="K518" s="11">
        <v>0</v>
      </c>
      <c r="L518" s="169">
        <f>Imput[[#This Row],[Sub total]]+Imput[[#This Row],[IVA]]-Imput[[#This Row],[Retención / IEPS / Descuento]]</f>
        <v>25.004000000000001</v>
      </c>
      <c r="M518" s="844">
        <v>129.99791999999999</v>
      </c>
      <c r="N518" s="189" t="s">
        <v>123</v>
      </c>
      <c r="O518" s="1"/>
      <c r="P518" s="189" t="s">
        <v>1432</v>
      </c>
      <c r="Q518" s="190" t="s">
        <v>1433</v>
      </c>
      <c r="R518" s="188">
        <v>45869</v>
      </c>
      <c r="S518" s="193" t="s">
        <v>294</v>
      </c>
      <c r="T518" s="192"/>
      <c r="U518" s="829"/>
      <c r="V518" s="10"/>
      <c r="W518" s="10"/>
      <c r="X518" s="10"/>
      <c r="Y518" s="10"/>
      <c r="Z518" s="10"/>
      <c r="AA518" s="11"/>
      <c r="AB518" s="11"/>
      <c r="AD518" s="260"/>
    </row>
    <row r="519" spans="2:30" x14ac:dyDescent="0.3">
      <c r="B519" s="10" t="s">
        <v>290</v>
      </c>
      <c r="C519" s="315" t="s">
        <v>1769</v>
      </c>
      <c r="D519" s="868" t="s">
        <v>244</v>
      </c>
      <c r="E519" s="837" t="str">
        <f>IFERROR(IF(_xlfn.XLOOKUP(Imput[[#This Row],[RFC]],'Alta Proveedor'!D:D,'Alta Proveedor'!E:E)=0,"",_xlfn.XLOOKUP(Imput[[#This Row],[RFC]],'Alta Proveedor'!D:D,'Alta Proveedor'!E:E)),"")</f>
        <v>CADENA COMERCIAL OXXO</v>
      </c>
      <c r="F519" s="832" t="s">
        <v>1594</v>
      </c>
      <c r="G519" s="187">
        <v>1</v>
      </c>
      <c r="H519" s="1">
        <v>9.4819999999999993</v>
      </c>
      <c r="I519" s="169">
        <f>Imput[[#This Row],[Cantidad]]*Imput[[#This Row],[Precio Unitario]]</f>
        <v>9.4819999999999993</v>
      </c>
      <c r="J519" s="11">
        <f>((Imput[[#This Row],[Sub total]])*(0.16))</f>
        <v>1.51712</v>
      </c>
      <c r="K519" s="11">
        <v>0</v>
      </c>
      <c r="L519" s="169">
        <f>Imput[[#This Row],[Sub total]]+Imput[[#This Row],[IVA]]-Imput[[#This Row],[Retención / IEPS / Descuento]]</f>
        <v>10.99912</v>
      </c>
      <c r="M519" s="844">
        <v>0</v>
      </c>
      <c r="N519" s="189" t="s">
        <v>123</v>
      </c>
      <c r="O519" s="1"/>
      <c r="P519" s="189" t="s">
        <v>1432</v>
      </c>
      <c r="Q519" s="190" t="s">
        <v>1433</v>
      </c>
      <c r="R519" s="188">
        <v>45869</v>
      </c>
      <c r="S519" s="193" t="s">
        <v>294</v>
      </c>
      <c r="T519" s="192"/>
      <c r="U519" s="829"/>
      <c r="V519" s="10"/>
      <c r="W519" s="10"/>
      <c r="X519" s="10"/>
      <c r="Y519" s="10"/>
      <c r="Z519" s="10"/>
      <c r="AA519" s="11"/>
      <c r="AB519" s="11"/>
      <c r="AD519" s="260"/>
    </row>
    <row r="520" spans="2:30" x14ac:dyDescent="0.3">
      <c r="B520" s="10" t="s">
        <v>290</v>
      </c>
      <c r="C520" s="315" t="s">
        <v>1769</v>
      </c>
      <c r="D520" s="868" t="s">
        <v>244</v>
      </c>
      <c r="E520" s="837" t="str">
        <f>IFERROR(IF(_xlfn.XLOOKUP(Imput[[#This Row],[RFC]],'Alta Proveedor'!D:D,'Alta Proveedor'!E:E)=0,"",_xlfn.XLOOKUP(Imput[[#This Row],[RFC]],'Alta Proveedor'!D:D,'Alta Proveedor'!E:E)),"")</f>
        <v>CADENA COMERCIAL OXXO</v>
      </c>
      <c r="F520" s="832" t="s">
        <v>1595</v>
      </c>
      <c r="G520" s="187">
        <v>6</v>
      </c>
      <c r="H520" s="1">
        <f>81.03/Imput[[#This Row],[Cantidad]]</f>
        <v>13.505000000000001</v>
      </c>
      <c r="I520" s="169">
        <f>Imput[[#This Row],[Cantidad]]*Imput[[#This Row],[Precio Unitario]]</f>
        <v>81.03</v>
      </c>
      <c r="J520" s="11">
        <f>((Imput[[#This Row],[Sub total]])*(0.16))</f>
        <v>12.9648</v>
      </c>
      <c r="K520" s="11">
        <v>0</v>
      </c>
      <c r="L520" s="169">
        <f>Imput[[#This Row],[Sub total]]+Imput[[#This Row],[IVA]]-Imput[[#This Row],[Retención / IEPS / Descuento]]</f>
        <v>93.994799999999998</v>
      </c>
      <c r="M520" s="844">
        <v>0</v>
      </c>
      <c r="N520" s="189" t="s">
        <v>123</v>
      </c>
      <c r="O520" s="1"/>
      <c r="P520" s="189" t="s">
        <v>1432</v>
      </c>
      <c r="Q520" s="190" t="s">
        <v>1433</v>
      </c>
      <c r="R520" s="188">
        <v>45869</v>
      </c>
      <c r="S520" s="193" t="s">
        <v>294</v>
      </c>
      <c r="T520" s="192"/>
      <c r="U520" s="829"/>
      <c r="V520" s="10"/>
      <c r="W520" s="10"/>
      <c r="X520" s="10"/>
      <c r="Y520" s="10"/>
      <c r="Z520" s="10"/>
      <c r="AA520" s="11"/>
      <c r="AB520" s="11"/>
      <c r="AD520" s="260"/>
    </row>
    <row r="521" spans="2:30" x14ac:dyDescent="0.3">
      <c r="B521" s="10" t="s">
        <v>290</v>
      </c>
      <c r="C521" s="315" t="s">
        <v>1769</v>
      </c>
      <c r="D521" s="868" t="s">
        <v>244</v>
      </c>
      <c r="E521" s="837" t="str">
        <f>IFERROR(IF(_xlfn.XLOOKUP(Imput[[#This Row],[RFC]],'Alta Proveedor'!D:D,'Alta Proveedor'!E:E)=0,"",_xlfn.XLOOKUP(Imput[[#This Row],[RFC]],'Alta Proveedor'!D:D,'Alta Proveedor'!E:E)),"")</f>
        <v>CADENA COMERCIAL OXXO</v>
      </c>
      <c r="F521" s="832" t="s">
        <v>1596</v>
      </c>
      <c r="G521" s="187">
        <v>1</v>
      </c>
      <c r="H521" s="1">
        <v>24.14</v>
      </c>
      <c r="I521" s="169">
        <f>Imput[[#This Row],[Cantidad]]*Imput[[#This Row],[Precio Unitario]]</f>
        <v>24.14</v>
      </c>
      <c r="J521" s="11">
        <f>((Imput[[#This Row],[Sub total]])*(0.16))</f>
        <v>3.8624000000000001</v>
      </c>
      <c r="K521" s="11">
        <v>0</v>
      </c>
      <c r="L521" s="169">
        <f>Imput[[#This Row],[Sub total]]+Imput[[#This Row],[IVA]]-Imput[[#This Row],[Retención / IEPS / Descuento]]</f>
        <v>28.002400000000002</v>
      </c>
      <c r="M521" s="844">
        <v>61.002400000000002</v>
      </c>
      <c r="N521" s="189" t="s">
        <v>123</v>
      </c>
      <c r="O521" s="1"/>
      <c r="P521" s="189" t="s">
        <v>1434</v>
      </c>
      <c r="Q521" s="190" t="s">
        <v>1435</v>
      </c>
      <c r="R521" s="188">
        <v>45869</v>
      </c>
      <c r="S521" s="193" t="s">
        <v>294</v>
      </c>
      <c r="T521" s="192"/>
      <c r="U521" s="829"/>
      <c r="V521" s="10"/>
      <c r="W521" s="10"/>
      <c r="X521" s="10"/>
      <c r="Y521" s="10"/>
      <c r="Z521" s="10"/>
      <c r="AA521" s="11"/>
      <c r="AB521" s="11"/>
      <c r="AD521" s="260"/>
    </row>
    <row r="522" spans="2:30" x14ac:dyDescent="0.3">
      <c r="B522" s="10" t="s">
        <v>290</v>
      </c>
      <c r="C522" s="315" t="s">
        <v>1769</v>
      </c>
      <c r="D522" s="868" t="s">
        <v>244</v>
      </c>
      <c r="E522" s="837" t="str">
        <f>IFERROR(IF(_xlfn.XLOOKUP(Imput[[#This Row],[RFC]],'Alta Proveedor'!D:D,'Alta Proveedor'!E:E)=0,"",_xlfn.XLOOKUP(Imput[[#This Row],[RFC]],'Alta Proveedor'!D:D,'Alta Proveedor'!E:E)),"")</f>
        <v>CADENA COMERCIAL OXXO</v>
      </c>
      <c r="F522" s="832" t="s">
        <v>1597</v>
      </c>
      <c r="G522" s="187">
        <v>1</v>
      </c>
      <c r="H522" s="1">
        <v>33</v>
      </c>
      <c r="I522" s="169">
        <f>Imput[[#This Row],[Cantidad]]*Imput[[#This Row],[Precio Unitario]]</f>
        <v>33</v>
      </c>
      <c r="J522" s="11">
        <v>0</v>
      </c>
      <c r="K522" s="11">
        <v>0</v>
      </c>
      <c r="L522" s="169">
        <f>Imput[[#This Row],[Sub total]]+Imput[[#This Row],[IVA]]-Imput[[#This Row],[Retención / IEPS / Descuento]]</f>
        <v>33</v>
      </c>
      <c r="M522" s="844">
        <v>0</v>
      </c>
      <c r="N522" s="189" t="s">
        <v>123</v>
      </c>
      <c r="O522" s="1"/>
      <c r="P522" s="189" t="s">
        <v>1434</v>
      </c>
      <c r="Q522" s="190" t="s">
        <v>1435</v>
      </c>
      <c r="R522" s="188">
        <v>45869</v>
      </c>
      <c r="S522" s="193" t="s">
        <v>294</v>
      </c>
      <c r="T522" s="192"/>
      <c r="U522" s="829"/>
      <c r="V522" s="10"/>
      <c r="W522" s="10"/>
      <c r="X522" s="10"/>
      <c r="Y522" s="10"/>
      <c r="Z522" s="10"/>
      <c r="AA522" s="11"/>
      <c r="AB522" s="11"/>
      <c r="AD522" s="260"/>
    </row>
    <row r="523" spans="2:30" x14ac:dyDescent="0.3">
      <c r="B523" s="10" t="s">
        <v>290</v>
      </c>
      <c r="C523" s="315" t="s">
        <v>1769</v>
      </c>
      <c r="D523" s="868" t="s">
        <v>244</v>
      </c>
      <c r="E523" s="837" t="str">
        <f>IFERROR(IF(_xlfn.XLOOKUP(Imput[[#This Row],[RFC]],'Alta Proveedor'!D:D,'Alta Proveedor'!E:E)=0,"",_xlfn.XLOOKUP(Imput[[#This Row],[RFC]],'Alta Proveedor'!D:D,'Alta Proveedor'!E:E)),"")</f>
        <v>CADENA COMERCIAL OXXO</v>
      </c>
      <c r="F523" s="832" t="s">
        <v>1598</v>
      </c>
      <c r="G523" s="187">
        <v>1</v>
      </c>
      <c r="H523" s="1">
        <v>25</v>
      </c>
      <c r="I523" s="169">
        <f>Imput[[#This Row],[Cantidad]]*Imput[[#This Row],[Precio Unitario]]</f>
        <v>25</v>
      </c>
      <c r="J523" s="11">
        <f>((Imput[[#This Row],[Sub total]])*(0.08))</f>
        <v>2</v>
      </c>
      <c r="K523" s="11">
        <v>0</v>
      </c>
      <c r="L523" s="169">
        <f>Imput[[#This Row],[Sub total]]+Imput[[#This Row],[IVA]]-Imput[[#This Row],[Retención / IEPS / Descuento]]</f>
        <v>27</v>
      </c>
      <c r="M523" s="844">
        <v>175</v>
      </c>
      <c r="N523" s="189" t="s">
        <v>123</v>
      </c>
      <c r="O523" s="1"/>
      <c r="P523" s="189" t="s">
        <v>1436</v>
      </c>
      <c r="Q523" s="190" t="s">
        <v>1437</v>
      </c>
      <c r="R523" s="188">
        <v>45869</v>
      </c>
      <c r="S523" s="193" t="s">
        <v>294</v>
      </c>
      <c r="T523" s="192"/>
      <c r="U523" s="829"/>
      <c r="V523" s="10"/>
      <c r="W523" s="10"/>
      <c r="X523" s="10"/>
      <c r="Y523" s="10"/>
      <c r="Z523" s="10"/>
      <c r="AA523" s="11"/>
      <c r="AB523" s="11"/>
      <c r="AD523" s="260"/>
    </row>
    <row r="524" spans="2:30" x14ac:dyDescent="0.3">
      <c r="B524" s="10" t="s">
        <v>290</v>
      </c>
      <c r="C524" s="315" t="s">
        <v>1769</v>
      </c>
      <c r="D524" s="868" t="s">
        <v>244</v>
      </c>
      <c r="E524" s="837" t="str">
        <f>IFERROR(IF(_xlfn.XLOOKUP(Imput[[#This Row],[RFC]],'Alta Proveedor'!D:D,'Alta Proveedor'!E:E)=0,"",_xlfn.XLOOKUP(Imput[[#This Row],[RFC]],'Alta Proveedor'!D:D,'Alta Proveedor'!E:E)),"")</f>
        <v>CADENA COMERCIAL OXXO</v>
      </c>
      <c r="F524" s="832" t="s">
        <v>1218</v>
      </c>
      <c r="G524" s="187">
        <v>1</v>
      </c>
      <c r="H524" s="1">
        <v>37</v>
      </c>
      <c r="I524" s="169">
        <f>Imput[[#This Row],[Cantidad]]*Imput[[#This Row],[Precio Unitario]]</f>
        <v>37</v>
      </c>
      <c r="J524" s="11">
        <v>0</v>
      </c>
      <c r="K524" s="11">
        <v>0</v>
      </c>
      <c r="L524" s="169">
        <f>Imput[[#This Row],[Sub total]]+Imput[[#This Row],[IVA]]-Imput[[#This Row],[Retención / IEPS / Descuento]]</f>
        <v>37</v>
      </c>
      <c r="M524" s="844">
        <v>0</v>
      </c>
      <c r="N524" s="189" t="s">
        <v>123</v>
      </c>
      <c r="O524" s="1"/>
      <c r="P524" s="189" t="s">
        <v>1436</v>
      </c>
      <c r="Q524" s="190" t="s">
        <v>1437</v>
      </c>
      <c r="R524" s="188">
        <v>45869</v>
      </c>
      <c r="S524" s="193" t="s">
        <v>294</v>
      </c>
      <c r="T524" s="192"/>
      <c r="U524" s="829"/>
      <c r="V524" s="10"/>
      <c r="W524" s="10"/>
      <c r="X524" s="10"/>
      <c r="Y524" s="10"/>
      <c r="Z524" s="10"/>
      <c r="AA524" s="11"/>
      <c r="AB524" s="11"/>
      <c r="AD524" s="260"/>
    </row>
    <row r="525" spans="2:30" x14ac:dyDescent="0.3">
      <c r="B525" s="10" t="s">
        <v>290</v>
      </c>
      <c r="C525" s="315" t="s">
        <v>1769</v>
      </c>
      <c r="D525" s="868" t="s">
        <v>244</v>
      </c>
      <c r="E525" s="837" t="str">
        <f>IFERROR(IF(_xlfn.XLOOKUP(Imput[[#This Row],[RFC]],'Alta Proveedor'!D:D,'Alta Proveedor'!E:E)=0,"",_xlfn.XLOOKUP(Imput[[#This Row],[RFC]],'Alta Proveedor'!D:D,'Alta Proveedor'!E:E)),"")</f>
        <v>CADENA COMERCIAL OXXO</v>
      </c>
      <c r="F525" s="832" t="s">
        <v>1228</v>
      </c>
      <c r="G525" s="187">
        <v>1</v>
      </c>
      <c r="H525" s="1">
        <v>37</v>
      </c>
      <c r="I525" s="169">
        <f>Imput[[#This Row],[Cantidad]]*Imput[[#This Row],[Precio Unitario]]</f>
        <v>37</v>
      </c>
      <c r="J525" s="11">
        <v>0</v>
      </c>
      <c r="K525" s="11">
        <v>0</v>
      </c>
      <c r="L525" s="169">
        <f>Imput[[#This Row],[Sub total]]+Imput[[#This Row],[IVA]]-Imput[[#This Row],[Retención / IEPS / Descuento]]</f>
        <v>37</v>
      </c>
      <c r="M525" s="844">
        <v>0</v>
      </c>
      <c r="N525" s="189" t="s">
        <v>123</v>
      </c>
      <c r="O525" s="1"/>
      <c r="P525" s="189" t="s">
        <v>1436</v>
      </c>
      <c r="Q525" s="190" t="s">
        <v>1437</v>
      </c>
      <c r="R525" s="188">
        <v>45869</v>
      </c>
      <c r="S525" s="193" t="s">
        <v>294</v>
      </c>
      <c r="T525" s="192"/>
      <c r="U525" s="829"/>
      <c r="V525" s="10"/>
      <c r="W525" s="10"/>
      <c r="X525" s="10"/>
      <c r="Y525" s="10"/>
      <c r="Z525" s="10"/>
      <c r="AA525" s="11"/>
      <c r="AB525" s="11"/>
      <c r="AD525" s="260"/>
    </row>
    <row r="526" spans="2:30" x14ac:dyDescent="0.3">
      <c r="B526" s="10" t="s">
        <v>290</v>
      </c>
      <c r="C526" s="315" t="s">
        <v>1769</v>
      </c>
      <c r="D526" s="868" t="s">
        <v>244</v>
      </c>
      <c r="E526" s="837" t="str">
        <f>IFERROR(IF(_xlfn.XLOOKUP(Imput[[#This Row],[RFC]],'Alta Proveedor'!D:D,'Alta Proveedor'!E:E)=0,"",_xlfn.XLOOKUP(Imput[[#This Row],[RFC]],'Alta Proveedor'!D:D,'Alta Proveedor'!E:E)),"")</f>
        <v>CADENA COMERCIAL OXXO</v>
      </c>
      <c r="F526" s="832" t="s">
        <v>1220</v>
      </c>
      <c r="G526" s="187">
        <v>2</v>
      </c>
      <c r="H526" s="1">
        <v>37</v>
      </c>
      <c r="I526" s="169">
        <f>Imput[[#This Row],[Cantidad]]*Imput[[#This Row],[Precio Unitario]]</f>
        <v>74</v>
      </c>
      <c r="J526" s="11">
        <v>0</v>
      </c>
      <c r="K526" s="11">
        <v>0</v>
      </c>
      <c r="L526" s="169">
        <f>Imput[[#This Row],[Sub total]]+Imput[[#This Row],[IVA]]-Imput[[#This Row],[Retención / IEPS / Descuento]]</f>
        <v>74</v>
      </c>
      <c r="M526" s="844">
        <v>0</v>
      </c>
      <c r="N526" s="189" t="s">
        <v>123</v>
      </c>
      <c r="O526" s="1"/>
      <c r="P526" s="189" t="s">
        <v>1436</v>
      </c>
      <c r="Q526" s="190" t="s">
        <v>1437</v>
      </c>
      <c r="R526" s="188">
        <v>45869</v>
      </c>
      <c r="S526" s="193" t="s">
        <v>294</v>
      </c>
      <c r="T526" s="192"/>
      <c r="U526" s="829"/>
      <c r="V526" s="10"/>
      <c r="W526" s="10"/>
      <c r="X526" s="10"/>
      <c r="Y526" s="10"/>
      <c r="Z526" s="10"/>
      <c r="AA526" s="11"/>
      <c r="AB526" s="11"/>
      <c r="AD526" s="260"/>
    </row>
    <row r="527" spans="2:30" x14ac:dyDescent="0.3">
      <c r="B527" s="10" t="s">
        <v>290</v>
      </c>
      <c r="C527" s="315" t="s">
        <v>1769</v>
      </c>
      <c r="D527" s="868" t="s">
        <v>244</v>
      </c>
      <c r="E527" s="837" t="str">
        <f>IFERROR(IF(_xlfn.XLOOKUP(Imput[[#This Row],[RFC]],'Alta Proveedor'!D:D,'Alta Proveedor'!E:E)=0,"",_xlfn.XLOOKUP(Imput[[#This Row],[RFC]],'Alta Proveedor'!D:D,'Alta Proveedor'!E:E)),"")</f>
        <v>CADENA COMERCIAL OXXO</v>
      </c>
      <c r="F527" s="832" t="s">
        <v>1599</v>
      </c>
      <c r="G527" s="187">
        <v>1</v>
      </c>
      <c r="H527" s="1">
        <v>36.11</v>
      </c>
      <c r="I527" s="169">
        <f>Imput[[#This Row],[Cantidad]]*Imput[[#This Row],[Precio Unitario]]</f>
        <v>36.11</v>
      </c>
      <c r="J527" s="11">
        <f>((Imput[[#This Row],[Sub total]])*(0.08))</f>
        <v>2.8887999999999998</v>
      </c>
      <c r="K527" s="11">
        <v>0</v>
      </c>
      <c r="L527" s="169">
        <f>Imput[[#This Row],[Sub total]]+Imput[[#This Row],[IVA]]-Imput[[#This Row],[Retención / IEPS / Descuento]]</f>
        <v>38.998800000000003</v>
      </c>
      <c r="M527" s="844">
        <v>96.001200000000011</v>
      </c>
      <c r="N527" s="189" t="s">
        <v>123</v>
      </c>
      <c r="O527" s="1"/>
      <c r="P527" s="189" t="s">
        <v>1438</v>
      </c>
      <c r="Q527" s="190" t="s">
        <v>1439</v>
      </c>
      <c r="R527" s="188">
        <v>45869</v>
      </c>
      <c r="S527" s="193" t="s">
        <v>126</v>
      </c>
      <c r="T527" s="192"/>
      <c r="U527" s="829"/>
      <c r="V527" s="10"/>
      <c r="W527" s="10"/>
      <c r="X527" s="10"/>
      <c r="Y527" s="10"/>
      <c r="Z527" s="10"/>
      <c r="AA527" s="11"/>
      <c r="AB527" s="11"/>
      <c r="AD527" s="260"/>
    </row>
    <row r="528" spans="2:30" x14ac:dyDescent="0.3">
      <c r="B528" s="10" t="s">
        <v>290</v>
      </c>
      <c r="C528" s="315" t="s">
        <v>1769</v>
      </c>
      <c r="D528" s="868" t="s">
        <v>244</v>
      </c>
      <c r="E528" s="837" t="str">
        <f>IFERROR(IF(_xlfn.XLOOKUP(Imput[[#This Row],[RFC]],'Alta Proveedor'!D:D,'Alta Proveedor'!E:E)=0,"",_xlfn.XLOOKUP(Imput[[#This Row],[RFC]],'Alta Proveedor'!D:D,'Alta Proveedor'!E:E)),"")</f>
        <v>CADENA COMERCIAL OXXO</v>
      </c>
      <c r="F528" s="832" t="s">
        <v>1232</v>
      </c>
      <c r="G528" s="187">
        <v>3</v>
      </c>
      <c r="H528" s="1">
        <v>16.38</v>
      </c>
      <c r="I528" s="169">
        <f>Imput[[#This Row],[Cantidad]]*Imput[[#This Row],[Precio Unitario]]</f>
        <v>49.14</v>
      </c>
      <c r="J528" s="11">
        <f>((Imput[[#This Row],[Sub total]])*(0.16))</f>
        <v>7.8624000000000001</v>
      </c>
      <c r="K528" s="11">
        <v>0</v>
      </c>
      <c r="L528" s="169">
        <f>Imput[[#This Row],[Sub total]]+Imput[[#This Row],[IVA]]-Imput[[#This Row],[Retención / IEPS / Descuento]]</f>
        <v>57.002400000000002</v>
      </c>
      <c r="M528" s="844">
        <v>0</v>
      </c>
      <c r="N528" s="189" t="s">
        <v>123</v>
      </c>
      <c r="O528" s="1"/>
      <c r="P528" s="189" t="s">
        <v>1438</v>
      </c>
      <c r="Q528" s="190" t="s">
        <v>1439</v>
      </c>
      <c r="R528" s="188">
        <v>45869</v>
      </c>
      <c r="S528" s="193" t="s">
        <v>126</v>
      </c>
      <c r="T528" s="192"/>
      <c r="U528" s="829"/>
      <c r="V528" s="10"/>
      <c r="W528" s="10"/>
      <c r="X528" s="10"/>
      <c r="Y528" s="10"/>
      <c r="Z528" s="10"/>
      <c r="AA528" s="11"/>
      <c r="AB528" s="11"/>
      <c r="AD528" s="260"/>
    </row>
    <row r="529" spans="2:30" x14ac:dyDescent="0.3">
      <c r="B529" s="10" t="s">
        <v>290</v>
      </c>
      <c r="C529" s="315" t="s">
        <v>1769</v>
      </c>
      <c r="D529" s="868" t="s">
        <v>244</v>
      </c>
      <c r="E529" s="837" t="str">
        <f>IFERROR(IF(_xlfn.XLOOKUP(Imput[[#This Row],[RFC]],'Alta Proveedor'!D:D,'Alta Proveedor'!E:E)=0,"",_xlfn.XLOOKUP(Imput[[#This Row],[RFC]],'Alta Proveedor'!D:D,'Alta Proveedor'!E:E)),"")</f>
        <v>CADENA COMERCIAL OXXO</v>
      </c>
      <c r="F529" s="832" t="s">
        <v>1600</v>
      </c>
      <c r="G529" s="187">
        <v>2</v>
      </c>
      <c r="H529" s="1">
        <v>63.892000000000003</v>
      </c>
      <c r="I529" s="169">
        <f>Imput[[#This Row],[Cantidad]]*Imput[[#This Row],[Precio Unitario]]</f>
        <v>127.78400000000001</v>
      </c>
      <c r="J529" s="11">
        <f>((Imput[[#This Row],[Sub total]])*(0.08))</f>
        <v>10.222720000000001</v>
      </c>
      <c r="K529" s="11">
        <v>0</v>
      </c>
      <c r="L529" s="169">
        <f>Imput[[#This Row],[Sub total]]+Imput[[#This Row],[IVA]]-Imput[[#This Row],[Retención / IEPS / Descuento]]</f>
        <v>138.00672</v>
      </c>
      <c r="M529" s="844">
        <v>185.50176000000002</v>
      </c>
      <c r="N529" s="189" t="s">
        <v>123</v>
      </c>
      <c r="O529" s="1"/>
      <c r="P529" s="189" t="s">
        <v>1440</v>
      </c>
      <c r="Q529" s="190" t="s">
        <v>1441</v>
      </c>
      <c r="R529" s="188">
        <v>45869</v>
      </c>
      <c r="S529" s="193" t="s">
        <v>126</v>
      </c>
      <c r="T529" s="192"/>
      <c r="U529" s="829"/>
      <c r="V529" s="10"/>
      <c r="W529" s="10"/>
      <c r="X529" s="10"/>
      <c r="Y529" s="10"/>
      <c r="Z529" s="10"/>
      <c r="AA529" s="11"/>
      <c r="AB529" s="11"/>
      <c r="AD529" s="260"/>
    </row>
    <row r="530" spans="2:30" x14ac:dyDescent="0.3">
      <c r="B530" s="10" t="s">
        <v>290</v>
      </c>
      <c r="C530" s="315" t="s">
        <v>1769</v>
      </c>
      <c r="D530" s="868" t="s">
        <v>244</v>
      </c>
      <c r="E530" s="837" t="str">
        <f>IFERROR(IF(_xlfn.XLOOKUP(Imput[[#This Row],[RFC]],'Alta Proveedor'!D:D,'Alta Proveedor'!E:E)=0,"",_xlfn.XLOOKUP(Imput[[#This Row],[RFC]],'Alta Proveedor'!D:D,'Alta Proveedor'!E:E)),"")</f>
        <v>CADENA COMERCIAL OXXO</v>
      </c>
      <c r="F530" s="832" t="s">
        <v>1214</v>
      </c>
      <c r="G530" s="187">
        <v>1</v>
      </c>
      <c r="H530" s="1">
        <v>18.102</v>
      </c>
      <c r="I530" s="169">
        <f>Imput[[#This Row],[Cantidad]]*Imput[[#This Row],[Precio Unitario]]</f>
        <v>18.102</v>
      </c>
      <c r="J530" s="11">
        <f>((Imput[[#This Row],[Sub total]])*(0.16))</f>
        <v>2.8963200000000002</v>
      </c>
      <c r="K530" s="11">
        <v>0</v>
      </c>
      <c r="L530" s="169">
        <f>Imput[[#This Row],[Sub total]]+Imput[[#This Row],[IVA]]-Imput[[#This Row],[Retención / IEPS / Descuento]]</f>
        <v>20.99832</v>
      </c>
      <c r="M530" s="844">
        <v>0</v>
      </c>
      <c r="N530" s="189" t="s">
        <v>123</v>
      </c>
      <c r="O530" s="1"/>
      <c r="P530" s="189" t="s">
        <v>1440</v>
      </c>
      <c r="Q530" s="190" t="s">
        <v>1441</v>
      </c>
      <c r="R530" s="188">
        <v>45869</v>
      </c>
      <c r="S530" s="193" t="s">
        <v>126</v>
      </c>
      <c r="T530" s="192"/>
      <c r="U530" s="829"/>
      <c r="V530" s="10"/>
      <c r="W530" s="10"/>
      <c r="X530" s="10"/>
      <c r="Y530" s="10"/>
      <c r="Z530" s="10"/>
      <c r="AA530" s="11"/>
      <c r="AB530" s="11"/>
      <c r="AD530" s="260"/>
    </row>
    <row r="531" spans="2:30" x14ac:dyDescent="0.3">
      <c r="B531" s="10" t="s">
        <v>290</v>
      </c>
      <c r="C531" s="315" t="s">
        <v>1769</v>
      </c>
      <c r="D531" s="868" t="s">
        <v>244</v>
      </c>
      <c r="E531" s="837" t="str">
        <f>IFERROR(IF(_xlfn.XLOOKUP(Imput[[#This Row],[RFC]],'Alta Proveedor'!D:D,'Alta Proveedor'!E:E)=0,"",_xlfn.XLOOKUP(Imput[[#This Row],[RFC]],'Alta Proveedor'!D:D,'Alta Proveedor'!E:E)),"")</f>
        <v>CADENA COMERCIAL OXXO</v>
      </c>
      <c r="F531" s="832" t="s">
        <v>1579</v>
      </c>
      <c r="G531" s="187">
        <v>1</v>
      </c>
      <c r="H531" s="1">
        <v>22.841999999999999</v>
      </c>
      <c r="I531" s="169">
        <f>Imput[[#This Row],[Cantidad]]*Imput[[#This Row],[Precio Unitario]]</f>
        <v>22.841999999999999</v>
      </c>
      <c r="J531" s="11">
        <f>((Imput[[#This Row],[Sub total]])*(0.16))</f>
        <v>3.6547199999999997</v>
      </c>
      <c r="K531" s="11">
        <v>0</v>
      </c>
      <c r="L531" s="169">
        <f>Imput[[#This Row],[Sub total]]+Imput[[#This Row],[IVA]]-Imput[[#This Row],[Retención / IEPS / Descuento]]</f>
        <v>26.49672</v>
      </c>
      <c r="M531" s="844">
        <v>0</v>
      </c>
      <c r="N531" s="189" t="s">
        <v>123</v>
      </c>
      <c r="O531" s="1"/>
      <c r="P531" s="189" t="s">
        <v>1440</v>
      </c>
      <c r="Q531" s="190" t="s">
        <v>1441</v>
      </c>
      <c r="R531" s="188">
        <v>45869</v>
      </c>
      <c r="S531" s="193" t="s">
        <v>126</v>
      </c>
      <c r="T531" s="192"/>
      <c r="U531" s="829"/>
      <c r="V531" s="10"/>
      <c r="W531" s="10"/>
      <c r="X531" s="10"/>
      <c r="Y531" s="10"/>
      <c r="Z531" s="10"/>
      <c r="AA531" s="11"/>
      <c r="AB531" s="11"/>
      <c r="AD531" s="260"/>
    </row>
    <row r="532" spans="2:30" x14ac:dyDescent="0.3">
      <c r="B532" s="10" t="s">
        <v>142</v>
      </c>
      <c r="C532" s="315" t="s">
        <v>1769</v>
      </c>
      <c r="D532" s="868" t="s">
        <v>244</v>
      </c>
      <c r="E532" s="837" t="str">
        <f>IFERROR(IF(_xlfn.XLOOKUP(Imput[[#This Row],[RFC]],'Alta Proveedor'!D:D,'Alta Proveedor'!E:E)=0,"",_xlfn.XLOOKUP(Imput[[#This Row],[RFC]],'Alta Proveedor'!D:D,'Alta Proveedor'!E:E)),"")</f>
        <v>CADENA COMERCIAL OXXO</v>
      </c>
      <c r="F532" s="832" t="s">
        <v>1604</v>
      </c>
      <c r="G532" s="187">
        <v>1</v>
      </c>
      <c r="H532" s="1">
        <v>24.07</v>
      </c>
      <c r="I532" s="169">
        <f>Imput[[#This Row],[Cantidad]]*Imput[[#This Row],[Precio Unitario]]</f>
        <v>24.07</v>
      </c>
      <c r="J532" s="11">
        <f>((Imput[[#This Row],[Sub total]])*(0.08))</f>
        <v>1.9256</v>
      </c>
      <c r="K532" s="11">
        <v>0</v>
      </c>
      <c r="L532" s="169">
        <f>Imput[[#This Row],[Sub total]]+Imput[[#This Row],[IVA]]-Imput[[#This Row],[Retención / IEPS / Descuento]]</f>
        <v>25.9956</v>
      </c>
      <c r="M532" s="844">
        <v>87.995599999999996</v>
      </c>
      <c r="N532" s="189" t="s">
        <v>123</v>
      </c>
      <c r="O532" s="1"/>
      <c r="P532" s="189" t="s">
        <v>1448</v>
      </c>
      <c r="Q532" s="190" t="s">
        <v>1449</v>
      </c>
      <c r="R532" s="188">
        <v>45869</v>
      </c>
      <c r="S532" s="193" t="s">
        <v>294</v>
      </c>
      <c r="T532" s="192"/>
      <c r="U532" s="829"/>
      <c r="V532" s="10"/>
      <c r="W532" s="10"/>
      <c r="X532" s="10"/>
      <c r="Y532" s="10"/>
      <c r="Z532" s="10"/>
      <c r="AA532" s="11"/>
      <c r="AB532" s="11"/>
      <c r="AD532" s="260"/>
    </row>
    <row r="533" spans="2:30" x14ac:dyDescent="0.3">
      <c r="B533" s="10" t="s">
        <v>142</v>
      </c>
      <c r="C533" s="315" t="s">
        <v>1769</v>
      </c>
      <c r="D533" s="868" t="s">
        <v>244</v>
      </c>
      <c r="E533" s="837" t="str">
        <f>IFERROR(IF(_xlfn.XLOOKUP(Imput[[#This Row],[RFC]],'Alta Proveedor'!D:D,'Alta Proveedor'!E:E)=0,"",_xlfn.XLOOKUP(Imput[[#This Row],[RFC]],'Alta Proveedor'!D:D,'Alta Proveedor'!E:E)),"")</f>
        <v>CADENA COMERCIAL OXXO</v>
      </c>
      <c r="F533" s="832" t="s">
        <v>1593</v>
      </c>
      <c r="G533" s="187">
        <v>2</v>
      </c>
      <c r="H533" s="1">
        <v>12.5</v>
      </c>
      <c r="I533" s="169">
        <f>Imput[[#This Row],[Cantidad]]*Imput[[#This Row],[Precio Unitario]]</f>
        <v>25</v>
      </c>
      <c r="J533" s="11">
        <v>0</v>
      </c>
      <c r="K533" s="11">
        <v>0</v>
      </c>
      <c r="L533" s="169">
        <f>Imput[[#This Row],[Sub total]]+Imput[[#This Row],[IVA]]-Imput[[#This Row],[Retención / IEPS / Descuento]]</f>
        <v>25</v>
      </c>
      <c r="M533" s="844">
        <v>0</v>
      </c>
      <c r="N533" s="189" t="s">
        <v>123</v>
      </c>
      <c r="O533" s="1"/>
      <c r="P533" s="189" t="s">
        <v>1448</v>
      </c>
      <c r="Q533" s="190" t="s">
        <v>1449</v>
      </c>
      <c r="R533" s="188">
        <v>45869</v>
      </c>
      <c r="S533" s="193" t="s">
        <v>294</v>
      </c>
      <c r="T533" s="192"/>
      <c r="U533" s="829"/>
      <c r="V533" s="10"/>
      <c r="W533" s="10"/>
      <c r="X533" s="10"/>
      <c r="Y533" s="10"/>
      <c r="Z533" s="10"/>
      <c r="AA533" s="11"/>
      <c r="AB533" s="11"/>
      <c r="AD533" s="260"/>
    </row>
    <row r="534" spans="2:30" x14ac:dyDescent="0.3">
      <c r="B534" s="10" t="s">
        <v>142</v>
      </c>
      <c r="C534" s="315" t="s">
        <v>1769</v>
      </c>
      <c r="D534" s="868" t="s">
        <v>244</v>
      </c>
      <c r="E534" s="837" t="str">
        <f>IFERROR(IF(_xlfn.XLOOKUP(Imput[[#This Row],[RFC]],'Alta Proveedor'!D:D,'Alta Proveedor'!E:E)=0,"",_xlfn.XLOOKUP(Imput[[#This Row],[RFC]],'Alta Proveedor'!D:D,'Alta Proveedor'!E:E)),"")</f>
        <v>CADENA COMERCIAL OXXO</v>
      </c>
      <c r="F534" s="832" t="s">
        <v>1218</v>
      </c>
      <c r="G534" s="187">
        <v>1</v>
      </c>
      <c r="H534" s="1">
        <v>37</v>
      </c>
      <c r="I534" s="169">
        <f>Imput[[#This Row],[Cantidad]]*Imput[[#This Row],[Precio Unitario]]</f>
        <v>37</v>
      </c>
      <c r="J534" s="11">
        <v>0</v>
      </c>
      <c r="K534" s="11">
        <v>0</v>
      </c>
      <c r="L534" s="169">
        <f>Imput[[#This Row],[Sub total]]+Imput[[#This Row],[IVA]]-Imput[[#This Row],[Retención / IEPS / Descuento]]</f>
        <v>37</v>
      </c>
      <c r="M534" s="844">
        <v>0</v>
      </c>
      <c r="N534" s="189" t="s">
        <v>123</v>
      </c>
      <c r="O534" s="1"/>
      <c r="P534" s="189" t="s">
        <v>1448</v>
      </c>
      <c r="Q534" s="190" t="s">
        <v>1449</v>
      </c>
      <c r="R534" s="188">
        <v>45869</v>
      </c>
      <c r="S534" s="193" t="s">
        <v>294</v>
      </c>
      <c r="T534" s="192"/>
      <c r="U534" s="829"/>
      <c r="V534" s="10"/>
      <c r="W534" s="10"/>
      <c r="X534" s="10"/>
      <c r="Y534" s="10"/>
      <c r="Z534" s="10"/>
      <c r="AA534" s="11"/>
      <c r="AB534" s="11"/>
      <c r="AD534" s="260"/>
    </row>
    <row r="535" spans="2:30" x14ac:dyDescent="0.3">
      <c r="B535" s="10" t="s">
        <v>290</v>
      </c>
      <c r="C535" s="315" t="s">
        <v>1769</v>
      </c>
      <c r="D535" s="868" t="s">
        <v>244</v>
      </c>
      <c r="E535" s="837" t="str">
        <f>IFERROR(IF(_xlfn.XLOOKUP(Imput[[#This Row],[RFC]],'Alta Proveedor'!D:D,'Alta Proveedor'!E:E)=0,"",_xlfn.XLOOKUP(Imput[[#This Row],[RFC]],'Alta Proveedor'!D:D,'Alta Proveedor'!E:E)),"")</f>
        <v>CADENA COMERCIAL OXXO</v>
      </c>
      <c r="F535" s="832" t="s">
        <v>1593</v>
      </c>
      <c r="G535" s="187">
        <v>2</v>
      </c>
      <c r="H535" s="1">
        <v>12.502000000000001</v>
      </c>
      <c r="I535" s="169">
        <f>Imput[[#This Row],[Cantidad]]*Imput[[#This Row],[Precio Unitario]]</f>
        <v>25.004000000000001</v>
      </c>
      <c r="J535" s="11">
        <v>0</v>
      </c>
      <c r="K535" s="11">
        <v>0</v>
      </c>
      <c r="L535" s="169">
        <f>Imput[[#This Row],[Sub total]]+Imput[[#This Row],[IVA]]-Imput[[#This Row],[Retención / IEPS / Descuento]]</f>
        <v>25.004000000000001</v>
      </c>
      <c r="M535" s="844">
        <v>90.486032000000009</v>
      </c>
      <c r="N535" s="189" t="s">
        <v>123</v>
      </c>
      <c r="O535" s="1"/>
      <c r="P535" s="189" t="s">
        <v>1450</v>
      </c>
      <c r="Q535" s="190" t="s">
        <v>1451</v>
      </c>
      <c r="R535" s="188">
        <v>45869</v>
      </c>
      <c r="S535" s="193" t="s">
        <v>126</v>
      </c>
      <c r="T535" s="192"/>
      <c r="U535" s="829"/>
      <c r="V535" s="10"/>
      <c r="W535" s="10"/>
      <c r="X535" s="10"/>
      <c r="Y535" s="10"/>
      <c r="Z535" s="10"/>
      <c r="AA535" s="11"/>
      <c r="AB535" s="11"/>
      <c r="AD535" s="260"/>
    </row>
    <row r="536" spans="2:30" x14ac:dyDescent="0.3">
      <c r="B536" s="10" t="s">
        <v>290</v>
      </c>
      <c r="C536" s="315" t="s">
        <v>1769</v>
      </c>
      <c r="D536" s="868" t="s">
        <v>244</v>
      </c>
      <c r="E536" s="837" t="str">
        <f>IFERROR(IF(_xlfn.XLOOKUP(Imput[[#This Row],[RFC]],'Alta Proveedor'!D:D,'Alta Proveedor'!E:E)=0,"",_xlfn.XLOOKUP(Imput[[#This Row],[RFC]],'Alta Proveedor'!D:D,'Alta Proveedor'!E:E)),"")</f>
        <v>CADENA COMERCIAL OXXO</v>
      </c>
      <c r="F536" s="832" t="s">
        <v>1605</v>
      </c>
      <c r="G536" s="187">
        <v>1</v>
      </c>
      <c r="H536" s="1">
        <v>28.882999999999999</v>
      </c>
      <c r="I536" s="169">
        <f>Imput[[#This Row],[Cantidad]]*Imput[[#This Row],[Precio Unitario]]</f>
        <v>28.882999999999999</v>
      </c>
      <c r="J536" s="11">
        <f>((Imput[[#This Row],[Sub total]])*(0.16))</f>
        <v>4.6212799999999996</v>
      </c>
      <c r="K536" s="11">
        <v>0</v>
      </c>
      <c r="L536" s="169">
        <f>Imput[[#This Row],[Sub total]]+Imput[[#This Row],[IVA]]-Imput[[#This Row],[Retención / IEPS / Descuento]]</f>
        <v>33.504280000000001</v>
      </c>
      <c r="M536" s="844">
        <v>0</v>
      </c>
      <c r="N536" s="189" t="s">
        <v>123</v>
      </c>
      <c r="O536" s="1"/>
      <c r="P536" s="189" t="s">
        <v>1450</v>
      </c>
      <c r="Q536" s="190" t="s">
        <v>1451</v>
      </c>
      <c r="R536" s="188">
        <v>45869</v>
      </c>
      <c r="S536" s="193" t="s">
        <v>126</v>
      </c>
      <c r="T536" s="192"/>
      <c r="U536" s="829"/>
      <c r="V536" s="10"/>
      <c r="W536" s="10"/>
      <c r="X536" s="10"/>
      <c r="Y536" s="10"/>
      <c r="Z536" s="10"/>
      <c r="AA536" s="11"/>
      <c r="AB536" s="11"/>
      <c r="AD536" s="260"/>
    </row>
    <row r="537" spans="2:30" x14ac:dyDescent="0.3">
      <c r="B537" s="10" t="s">
        <v>290</v>
      </c>
      <c r="C537" s="315" t="s">
        <v>1769</v>
      </c>
      <c r="D537" s="868" t="s">
        <v>244</v>
      </c>
      <c r="E537" s="837" t="str">
        <f>IFERROR(IF(_xlfn.XLOOKUP(Imput[[#This Row],[RFC]],'Alta Proveedor'!D:D,'Alta Proveedor'!E:E)=0,"",_xlfn.XLOOKUP(Imput[[#This Row],[RFC]],'Alta Proveedor'!D:D,'Alta Proveedor'!E:E)),"")</f>
        <v>CADENA COMERCIAL OXXO</v>
      </c>
      <c r="F537" s="832" t="s">
        <v>1606</v>
      </c>
      <c r="G537" s="187">
        <v>1</v>
      </c>
      <c r="H537" s="1">
        <v>14.81</v>
      </c>
      <c r="I537" s="169">
        <f>Imput[[#This Row],[Cantidad]]*Imput[[#This Row],[Precio Unitario]]</f>
        <v>14.81</v>
      </c>
      <c r="J537" s="11">
        <f>((Imput[[#This Row],[Sub total]])*(0.0796))</f>
        <v>1.178876</v>
      </c>
      <c r="K537" s="11">
        <v>0</v>
      </c>
      <c r="L537" s="169">
        <f>Imput[[#This Row],[Sub total]]+Imput[[#This Row],[IVA]]-Imput[[#This Row],[Retención / IEPS / Descuento]]</f>
        <v>15.988876000000001</v>
      </c>
      <c r="M537" s="844">
        <v>0</v>
      </c>
      <c r="N537" s="189" t="s">
        <v>123</v>
      </c>
      <c r="O537" s="1"/>
      <c r="P537" s="189" t="s">
        <v>1450</v>
      </c>
      <c r="Q537" s="190" t="s">
        <v>1451</v>
      </c>
      <c r="R537" s="188">
        <v>45869</v>
      </c>
      <c r="S537" s="193" t="s">
        <v>126</v>
      </c>
      <c r="T537" s="192"/>
      <c r="U537" s="829"/>
      <c r="V537" s="10"/>
      <c r="W537" s="10"/>
      <c r="X537" s="10"/>
      <c r="Y537" s="10"/>
      <c r="Z537" s="10"/>
      <c r="AA537" s="11"/>
      <c r="AB537" s="11"/>
      <c r="AD537" s="260"/>
    </row>
    <row r="538" spans="2:30" x14ac:dyDescent="0.3">
      <c r="B538" s="10" t="s">
        <v>290</v>
      </c>
      <c r="C538" s="315" t="s">
        <v>1769</v>
      </c>
      <c r="D538" s="868" t="s">
        <v>244</v>
      </c>
      <c r="E538" s="837" t="str">
        <f>IFERROR(IF(_xlfn.XLOOKUP(Imput[[#This Row],[RFC]],'Alta Proveedor'!D:D,'Alta Proveedor'!E:E)=0,"",_xlfn.XLOOKUP(Imput[[#This Row],[RFC]],'Alta Proveedor'!D:D,'Alta Proveedor'!E:E)),"")</f>
        <v>CADENA COMERCIAL OXXO</v>
      </c>
      <c r="F538" s="832" t="s">
        <v>1607</v>
      </c>
      <c r="G538" s="187">
        <v>1</v>
      </c>
      <c r="H538" s="1">
        <f>H537</f>
        <v>14.81</v>
      </c>
      <c r="I538" s="169">
        <f>Imput[[#This Row],[Cantidad]]*Imput[[#This Row],[Precio Unitario]]</f>
        <v>14.81</v>
      </c>
      <c r="J538" s="11">
        <f>((Imput[[#This Row],[Sub total]])*(0.0796))</f>
        <v>1.178876</v>
      </c>
      <c r="K538" s="11">
        <v>0</v>
      </c>
      <c r="L538" s="169">
        <f>Imput[[#This Row],[Sub total]]+Imput[[#This Row],[IVA]]-Imput[[#This Row],[Retención / IEPS / Descuento]]</f>
        <v>15.988876000000001</v>
      </c>
      <c r="M538" s="844">
        <v>0</v>
      </c>
      <c r="N538" s="189" t="s">
        <v>123</v>
      </c>
      <c r="O538" s="1"/>
      <c r="P538" s="189" t="s">
        <v>1450</v>
      </c>
      <c r="Q538" s="190" t="s">
        <v>1451</v>
      </c>
      <c r="R538" s="188">
        <v>45869</v>
      </c>
      <c r="S538" s="193" t="s">
        <v>126</v>
      </c>
      <c r="T538" s="192"/>
      <c r="U538" s="829"/>
      <c r="V538" s="10"/>
      <c r="W538" s="10"/>
      <c r="X538" s="10"/>
      <c r="Y538" s="10"/>
      <c r="Z538" s="10"/>
      <c r="AA538" s="11"/>
      <c r="AB538" s="11"/>
      <c r="AD538" s="260"/>
    </row>
    <row r="539" spans="2:30" x14ac:dyDescent="0.3">
      <c r="B539" s="10" t="s">
        <v>290</v>
      </c>
      <c r="C539" s="315" t="s">
        <v>1769</v>
      </c>
      <c r="D539" s="868" t="s">
        <v>244</v>
      </c>
      <c r="E539" s="837" t="str">
        <f>IFERROR(IF(_xlfn.XLOOKUP(Imput[[#This Row],[RFC]],'Alta Proveedor'!D:D,'Alta Proveedor'!E:E)=0,"",_xlfn.XLOOKUP(Imput[[#This Row],[RFC]],'Alta Proveedor'!D:D,'Alta Proveedor'!E:E)),"")</f>
        <v>CADENA COMERCIAL OXXO</v>
      </c>
      <c r="F539" s="832" t="s">
        <v>1608</v>
      </c>
      <c r="G539" s="187">
        <v>1</v>
      </c>
      <c r="H539" s="1">
        <v>18.100000000000001</v>
      </c>
      <c r="I539" s="169">
        <f>Imput[[#This Row],[Cantidad]]*Imput[[#This Row],[Precio Unitario]]</f>
        <v>18.100000000000001</v>
      </c>
      <c r="J539" s="11">
        <f>((Imput[[#This Row],[Sub total]])*(0.16))</f>
        <v>2.8960000000000004</v>
      </c>
      <c r="K539" s="11">
        <v>0</v>
      </c>
      <c r="L539" s="169">
        <f>Imput[[#This Row],[Sub total]]+Imput[[#This Row],[IVA]]-Imput[[#This Row],[Retención / IEPS / Descuento]]</f>
        <v>20.996000000000002</v>
      </c>
      <c r="M539" s="844">
        <v>63.996000000000002</v>
      </c>
      <c r="N539" s="189" t="s">
        <v>123</v>
      </c>
      <c r="O539" s="1"/>
      <c r="P539" s="189" t="s">
        <v>1452</v>
      </c>
      <c r="Q539" s="190" t="s">
        <v>1453</v>
      </c>
      <c r="R539" s="188">
        <v>45869</v>
      </c>
      <c r="S539" s="193" t="s">
        <v>126</v>
      </c>
      <c r="T539" s="192"/>
      <c r="U539" s="829"/>
      <c r="V539" s="10"/>
      <c r="W539" s="10"/>
      <c r="X539" s="10"/>
      <c r="Y539" s="10"/>
      <c r="Z539" s="10"/>
      <c r="AA539" s="11"/>
      <c r="AB539" s="11"/>
      <c r="AD539" s="260"/>
    </row>
    <row r="540" spans="2:30" x14ac:dyDescent="0.3">
      <c r="B540" s="10" t="s">
        <v>290</v>
      </c>
      <c r="C540" s="315" t="s">
        <v>1769</v>
      </c>
      <c r="D540" s="868" t="s">
        <v>244</v>
      </c>
      <c r="E540" s="837" t="str">
        <f>IFERROR(IF(_xlfn.XLOOKUP(Imput[[#This Row],[RFC]],'Alta Proveedor'!D:D,'Alta Proveedor'!E:E)=0,"",_xlfn.XLOOKUP(Imput[[#This Row],[RFC]],'Alta Proveedor'!D:D,'Alta Proveedor'!E:E)),"")</f>
        <v>CADENA COMERCIAL OXXO</v>
      </c>
      <c r="F540" s="832" t="s">
        <v>1609</v>
      </c>
      <c r="G540" s="187">
        <v>1</v>
      </c>
      <c r="H540" s="1">
        <v>43</v>
      </c>
      <c r="I540" s="169">
        <f>Imput[[#This Row],[Cantidad]]*Imput[[#This Row],[Precio Unitario]]</f>
        <v>43</v>
      </c>
      <c r="J540" s="11">
        <v>0</v>
      </c>
      <c r="K540" s="11">
        <v>0</v>
      </c>
      <c r="L540" s="169">
        <f>Imput[[#This Row],[Sub total]]+Imput[[#This Row],[IVA]]-Imput[[#This Row],[Retención / IEPS / Descuento]]</f>
        <v>43</v>
      </c>
      <c r="M540" s="844">
        <v>0</v>
      </c>
      <c r="N540" s="189" t="s">
        <v>123</v>
      </c>
      <c r="O540" s="1"/>
      <c r="P540" s="189" t="s">
        <v>1452</v>
      </c>
      <c r="Q540" s="190" t="s">
        <v>1453</v>
      </c>
      <c r="R540" s="188">
        <v>45869</v>
      </c>
      <c r="S540" s="193" t="s">
        <v>126</v>
      </c>
      <c r="T540" s="192"/>
      <c r="U540" s="829"/>
      <c r="V540" s="10"/>
      <c r="W540" s="10"/>
      <c r="X540" s="10"/>
      <c r="Y540" s="10"/>
      <c r="Z540" s="10"/>
      <c r="AA540" s="11"/>
      <c r="AB540" s="11"/>
      <c r="AD540" s="260"/>
    </row>
    <row r="541" spans="2:30" x14ac:dyDescent="0.3">
      <c r="B541" s="10" t="s">
        <v>290</v>
      </c>
      <c r="C541" s="315" t="s">
        <v>1769</v>
      </c>
      <c r="D541" s="868" t="s">
        <v>244</v>
      </c>
      <c r="E541" s="837" t="str">
        <f>IFERROR(IF(_xlfn.XLOOKUP(Imput[[#This Row],[RFC]],'Alta Proveedor'!D:D,'Alta Proveedor'!E:E)=0,"",_xlfn.XLOOKUP(Imput[[#This Row],[RFC]],'Alta Proveedor'!D:D,'Alta Proveedor'!E:E)),"")</f>
        <v>CADENA COMERCIAL OXXO</v>
      </c>
      <c r="F541" s="832" t="s">
        <v>1610</v>
      </c>
      <c r="G541" s="187">
        <v>1</v>
      </c>
      <c r="H541" s="1">
        <v>17</v>
      </c>
      <c r="I541" s="169">
        <f>Imput[[#This Row],[Cantidad]]*Imput[[#This Row],[Precio Unitario]]</f>
        <v>17</v>
      </c>
      <c r="J541" s="11">
        <v>0</v>
      </c>
      <c r="K541" s="11">
        <v>0</v>
      </c>
      <c r="L541" s="169">
        <f>Imput[[#This Row],[Sub total]]+Imput[[#This Row],[IVA]]-Imput[[#This Row],[Retención / IEPS / Descuento]]</f>
        <v>17</v>
      </c>
      <c r="M541" s="844">
        <v>110</v>
      </c>
      <c r="N541" s="189" t="s">
        <v>123</v>
      </c>
      <c r="O541" s="1"/>
      <c r="P541" s="189" t="s">
        <v>1454</v>
      </c>
      <c r="Q541" s="190" t="s">
        <v>1455</v>
      </c>
      <c r="R541" s="188">
        <v>45869</v>
      </c>
      <c r="S541" s="193" t="s">
        <v>126</v>
      </c>
      <c r="T541" s="192"/>
      <c r="U541" s="829"/>
      <c r="V541" s="10"/>
      <c r="W541" s="10"/>
      <c r="X541" s="10"/>
      <c r="Y541" s="10"/>
      <c r="Z541" s="10"/>
      <c r="AA541" s="11"/>
      <c r="AB541" s="11"/>
      <c r="AD541" s="260"/>
    </row>
    <row r="542" spans="2:30" x14ac:dyDescent="0.3">
      <c r="B542" s="10" t="s">
        <v>290</v>
      </c>
      <c r="C542" s="315" t="s">
        <v>1769</v>
      </c>
      <c r="D542" s="868" t="s">
        <v>244</v>
      </c>
      <c r="E542" s="837" t="str">
        <f>IFERROR(IF(_xlfn.XLOOKUP(Imput[[#This Row],[RFC]],'Alta Proveedor'!D:D,'Alta Proveedor'!E:E)=0,"",_xlfn.XLOOKUP(Imput[[#This Row],[RFC]],'Alta Proveedor'!D:D,'Alta Proveedor'!E:E)),"")</f>
        <v>CADENA COMERCIAL OXXO</v>
      </c>
      <c r="F542" s="832" t="s">
        <v>1218</v>
      </c>
      <c r="G542" s="187">
        <v>1</v>
      </c>
      <c r="H542" s="1">
        <v>37</v>
      </c>
      <c r="I542" s="169">
        <f>Imput[[#This Row],[Cantidad]]*Imput[[#This Row],[Precio Unitario]]</f>
        <v>37</v>
      </c>
      <c r="J542" s="11">
        <v>0</v>
      </c>
      <c r="K542" s="11">
        <v>0</v>
      </c>
      <c r="L542" s="169">
        <f>Imput[[#This Row],[Sub total]]+Imput[[#This Row],[IVA]]-Imput[[#This Row],[Retención / IEPS / Descuento]]</f>
        <v>37</v>
      </c>
      <c r="M542" s="844">
        <v>0</v>
      </c>
      <c r="N542" s="189" t="s">
        <v>123</v>
      </c>
      <c r="O542" s="1"/>
      <c r="P542" s="189" t="s">
        <v>1454</v>
      </c>
      <c r="Q542" s="190" t="s">
        <v>1455</v>
      </c>
      <c r="R542" s="188">
        <v>45869</v>
      </c>
      <c r="S542" s="193" t="s">
        <v>126</v>
      </c>
      <c r="T542" s="192"/>
      <c r="U542" s="829"/>
      <c r="V542" s="10"/>
      <c r="W542" s="10"/>
      <c r="X542" s="10"/>
      <c r="Y542" s="10"/>
      <c r="Z542" s="10"/>
      <c r="AA542" s="11"/>
      <c r="AB542" s="11"/>
      <c r="AD542" s="260"/>
    </row>
    <row r="543" spans="2:30" x14ac:dyDescent="0.3">
      <c r="B543" s="10" t="s">
        <v>290</v>
      </c>
      <c r="C543" s="315" t="s">
        <v>1769</v>
      </c>
      <c r="D543" s="868" t="s">
        <v>244</v>
      </c>
      <c r="E543" s="837" t="str">
        <f>IFERROR(IF(_xlfn.XLOOKUP(Imput[[#This Row],[RFC]],'Alta Proveedor'!D:D,'Alta Proveedor'!E:E)=0,"",_xlfn.XLOOKUP(Imput[[#This Row],[RFC]],'Alta Proveedor'!D:D,'Alta Proveedor'!E:E)),"")</f>
        <v>CADENA COMERCIAL OXXO</v>
      </c>
      <c r="F543" s="832" t="s">
        <v>1611</v>
      </c>
      <c r="G543" s="187">
        <v>1</v>
      </c>
      <c r="H543" s="1">
        <v>56</v>
      </c>
      <c r="I543" s="169">
        <f>Imput[[#This Row],[Cantidad]]*Imput[[#This Row],[Precio Unitario]]</f>
        <v>56</v>
      </c>
      <c r="J543" s="11">
        <v>0</v>
      </c>
      <c r="K543" s="11">
        <v>0</v>
      </c>
      <c r="L543" s="169">
        <f>Imput[[#This Row],[Sub total]]+Imput[[#This Row],[IVA]]-Imput[[#This Row],[Retención / IEPS / Descuento]]</f>
        <v>56</v>
      </c>
      <c r="M543" s="844">
        <v>0</v>
      </c>
      <c r="N543" s="189" t="s">
        <v>123</v>
      </c>
      <c r="O543" s="1"/>
      <c r="P543" s="189" t="s">
        <v>1454</v>
      </c>
      <c r="Q543" s="190" t="s">
        <v>1455</v>
      </c>
      <c r="R543" s="188">
        <v>45869</v>
      </c>
      <c r="S543" s="193" t="s">
        <v>126</v>
      </c>
      <c r="T543" s="192"/>
      <c r="U543" s="829"/>
      <c r="V543" s="10"/>
      <c r="W543" s="10"/>
      <c r="X543" s="10"/>
      <c r="Y543" s="10"/>
      <c r="Z543" s="10"/>
      <c r="AA543" s="11"/>
      <c r="AB543" s="11"/>
      <c r="AD543" s="260"/>
    </row>
    <row r="544" spans="2:30" x14ac:dyDescent="0.3">
      <c r="B544" s="10" t="s">
        <v>290</v>
      </c>
      <c r="C544" s="315" t="s">
        <v>1769</v>
      </c>
      <c r="D544" s="868" t="s">
        <v>244</v>
      </c>
      <c r="E544" s="837" t="str">
        <f>IFERROR(IF(_xlfn.XLOOKUP(Imput[[#This Row],[RFC]],'Alta Proveedor'!D:D,'Alta Proveedor'!E:E)=0,"",_xlfn.XLOOKUP(Imput[[#This Row],[RFC]],'Alta Proveedor'!D:D,'Alta Proveedor'!E:E)),"")</f>
        <v>CADENA COMERCIAL OXXO</v>
      </c>
      <c r="F544" s="832" t="s">
        <v>1593</v>
      </c>
      <c r="G544" s="187">
        <v>2</v>
      </c>
      <c r="H544" s="1">
        <v>12.5</v>
      </c>
      <c r="I544" s="169">
        <f>Imput[[#This Row],[Cantidad]]*Imput[[#This Row],[Precio Unitario]]</f>
        <v>25</v>
      </c>
      <c r="J544" s="11">
        <v>0</v>
      </c>
      <c r="K544" s="11">
        <v>0</v>
      </c>
      <c r="L544" s="169">
        <f>Imput[[#This Row],[Sub total]]+Imput[[#This Row],[IVA]]-Imput[[#This Row],[Retención / IEPS / Descuento]]</f>
        <v>25</v>
      </c>
      <c r="M544" s="844">
        <v>81</v>
      </c>
      <c r="N544" s="189" t="s">
        <v>123</v>
      </c>
      <c r="O544" s="1"/>
      <c r="P544" s="189" t="s">
        <v>1456</v>
      </c>
      <c r="Q544" s="190" t="s">
        <v>1457</v>
      </c>
      <c r="R544" s="188">
        <v>45869</v>
      </c>
      <c r="S544" s="193" t="s">
        <v>294</v>
      </c>
      <c r="T544" s="192"/>
      <c r="U544" s="829"/>
      <c r="V544" s="10"/>
      <c r="W544" s="10"/>
      <c r="X544" s="10"/>
      <c r="Y544" s="10"/>
      <c r="Z544" s="10"/>
      <c r="AA544" s="11"/>
      <c r="AB544" s="11"/>
      <c r="AD544" s="260"/>
    </row>
    <row r="545" spans="2:30" x14ac:dyDescent="0.3">
      <c r="B545" s="10" t="s">
        <v>290</v>
      </c>
      <c r="C545" s="315" t="s">
        <v>1769</v>
      </c>
      <c r="D545" s="868" t="s">
        <v>244</v>
      </c>
      <c r="E545" s="837" t="str">
        <f>IFERROR(IF(_xlfn.XLOOKUP(Imput[[#This Row],[RFC]],'Alta Proveedor'!D:D,'Alta Proveedor'!E:E)=0,"",_xlfn.XLOOKUP(Imput[[#This Row],[RFC]],'Alta Proveedor'!D:D,'Alta Proveedor'!E:E)),"")</f>
        <v>CADENA COMERCIAL OXXO</v>
      </c>
      <c r="F545" s="832" t="s">
        <v>1611</v>
      </c>
      <c r="G545" s="187">
        <v>1</v>
      </c>
      <c r="H545" s="1">
        <v>56</v>
      </c>
      <c r="I545" s="169">
        <f>Imput[[#This Row],[Cantidad]]*Imput[[#This Row],[Precio Unitario]]</f>
        <v>56</v>
      </c>
      <c r="J545" s="11">
        <v>0</v>
      </c>
      <c r="K545" s="11">
        <v>0</v>
      </c>
      <c r="L545" s="169">
        <f>Imput[[#This Row],[Sub total]]+Imput[[#This Row],[IVA]]-Imput[[#This Row],[Retención / IEPS / Descuento]]</f>
        <v>56</v>
      </c>
      <c r="M545" s="844">
        <v>0</v>
      </c>
      <c r="N545" s="189" t="s">
        <v>123</v>
      </c>
      <c r="O545" s="1"/>
      <c r="P545" s="189" t="s">
        <v>1456</v>
      </c>
      <c r="Q545" s="190" t="s">
        <v>1457</v>
      </c>
      <c r="R545" s="188">
        <v>45869</v>
      </c>
      <c r="S545" s="193" t="s">
        <v>294</v>
      </c>
      <c r="T545" s="192"/>
      <c r="U545" s="829"/>
      <c r="V545" s="10"/>
      <c r="W545" s="10"/>
      <c r="X545" s="10"/>
      <c r="Y545" s="10"/>
      <c r="Z545" s="10"/>
      <c r="AA545" s="11"/>
      <c r="AB545" s="11"/>
      <c r="AD545" s="260"/>
    </row>
    <row r="546" spans="2:30" x14ac:dyDescent="0.3">
      <c r="B546" s="10" t="s">
        <v>290</v>
      </c>
      <c r="C546" s="315" t="s">
        <v>1769</v>
      </c>
      <c r="D546" s="868" t="s">
        <v>244</v>
      </c>
      <c r="E546" s="837" t="str">
        <f>IFERROR(IF(_xlfn.XLOOKUP(Imput[[#This Row],[RFC]],'Alta Proveedor'!D:D,'Alta Proveedor'!E:E)=0,"",_xlfn.XLOOKUP(Imput[[#This Row],[RFC]],'Alta Proveedor'!D:D,'Alta Proveedor'!E:E)),"")</f>
        <v>CADENA COMERCIAL OXXO</v>
      </c>
      <c r="F546" s="832" t="s">
        <v>1612</v>
      </c>
      <c r="G546" s="187">
        <v>1</v>
      </c>
      <c r="H546" s="1">
        <v>2.59</v>
      </c>
      <c r="I546" s="169">
        <f>Imput[[#This Row],[Cantidad]]*Imput[[#This Row],[Precio Unitario]]</f>
        <v>2.59</v>
      </c>
      <c r="J546" s="11">
        <f>((Imput[[#This Row],[Sub total]])*(0.16))</f>
        <v>0.41439999999999999</v>
      </c>
      <c r="K546" s="11">
        <v>0</v>
      </c>
      <c r="L546" s="169">
        <f>Imput[[#This Row],[Sub total]]+Imput[[#This Row],[IVA]]-Imput[[#This Row],[Retención / IEPS / Descuento]]</f>
        <v>3.0044</v>
      </c>
      <c r="M546" s="844">
        <v>36.004399999999997</v>
      </c>
      <c r="N546" s="189" t="s">
        <v>123</v>
      </c>
      <c r="O546" s="1"/>
      <c r="P546" s="189" t="s">
        <v>1458</v>
      </c>
      <c r="Q546" s="190" t="s">
        <v>1459</v>
      </c>
      <c r="R546" s="188">
        <v>45869</v>
      </c>
      <c r="S546" s="193" t="s">
        <v>126</v>
      </c>
      <c r="T546" s="192"/>
      <c r="U546" s="829"/>
      <c r="V546" s="10"/>
      <c r="W546" s="10"/>
      <c r="X546" s="10"/>
      <c r="Y546" s="10"/>
      <c r="Z546" s="10"/>
      <c r="AA546" s="11"/>
      <c r="AB546" s="11"/>
      <c r="AD546" s="260"/>
    </row>
    <row r="547" spans="2:30" x14ac:dyDescent="0.3">
      <c r="B547" s="10" t="s">
        <v>290</v>
      </c>
      <c r="C547" s="315" t="s">
        <v>1769</v>
      </c>
      <c r="D547" s="868" t="s">
        <v>244</v>
      </c>
      <c r="E547" s="837" t="str">
        <f>IFERROR(IF(_xlfn.XLOOKUP(Imput[[#This Row],[RFC]],'Alta Proveedor'!D:D,'Alta Proveedor'!E:E)=0,"",_xlfn.XLOOKUP(Imput[[#This Row],[RFC]],'Alta Proveedor'!D:D,'Alta Proveedor'!E:E)),"")</f>
        <v>CADENA COMERCIAL OXXO</v>
      </c>
      <c r="F547" s="832" t="s">
        <v>1597</v>
      </c>
      <c r="G547" s="187">
        <v>1</v>
      </c>
      <c r="H547" s="1">
        <v>33</v>
      </c>
      <c r="I547" s="169">
        <f>Imput[[#This Row],[Cantidad]]*Imput[[#This Row],[Precio Unitario]]</f>
        <v>33</v>
      </c>
      <c r="J547" s="11">
        <v>0</v>
      </c>
      <c r="K547" s="11">
        <v>0</v>
      </c>
      <c r="L547" s="169">
        <f>Imput[[#This Row],[Sub total]]+Imput[[#This Row],[IVA]]-Imput[[#This Row],[Retención / IEPS / Descuento]]</f>
        <v>33</v>
      </c>
      <c r="M547" s="844">
        <v>0</v>
      </c>
      <c r="N547" s="189" t="s">
        <v>123</v>
      </c>
      <c r="O547" s="1"/>
      <c r="P547" s="189" t="s">
        <v>1458</v>
      </c>
      <c r="Q547" s="190" t="s">
        <v>1459</v>
      </c>
      <c r="R547" s="188">
        <v>45869</v>
      </c>
      <c r="S547" s="193" t="s">
        <v>126</v>
      </c>
      <c r="T547" s="192"/>
      <c r="U547" s="829"/>
      <c r="V547" s="10"/>
      <c r="W547" s="10"/>
      <c r="X547" s="10"/>
      <c r="Y547" s="10"/>
      <c r="Z547" s="10"/>
      <c r="AA547" s="11"/>
      <c r="AB547" s="11"/>
      <c r="AD547" s="260"/>
    </row>
    <row r="548" spans="2:30" x14ac:dyDescent="0.3">
      <c r="B548" s="10" t="s">
        <v>290</v>
      </c>
      <c r="C548" s="315" t="s">
        <v>1769</v>
      </c>
      <c r="D548" s="868" t="s">
        <v>244</v>
      </c>
      <c r="E548" s="837" t="str">
        <f>IFERROR(IF(_xlfn.XLOOKUP(Imput[[#This Row],[RFC]],'Alta Proveedor'!D:D,'Alta Proveedor'!E:E)=0,"",_xlfn.XLOOKUP(Imput[[#This Row],[RFC]],'Alta Proveedor'!D:D,'Alta Proveedor'!E:E)),"")</f>
        <v>CADENA COMERCIAL OXXO</v>
      </c>
      <c r="F548" s="832" t="s">
        <v>1593</v>
      </c>
      <c r="G548" s="187">
        <v>2</v>
      </c>
      <c r="H548" s="1">
        <v>12.5</v>
      </c>
      <c r="I548" s="169">
        <f>Imput[[#This Row],[Cantidad]]*Imput[[#This Row],[Precio Unitario]]</f>
        <v>25</v>
      </c>
      <c r="J548" s="11">
        <v>0</v>
      </c>
      <c r="K548" s="11">
        <v>0</v>
      </c>
      <c r="L548" s="169">
        <f>Imput[[#This Row],[Sub total]]+Imput[[#This Row],[IVA]]-Imput[[#This Row],[Retención / IEPS / Descuento]]</f>
        <v>25</v>
      </c>
      <c r="M548" s="844">
        <v>39.998800000000003</v>
      </c>
      <c r="N548" s="189" t="s">
        <v>123</v>
      </c>
      <c r="O548" s="1"/>
      <c r="P548" s="189" t="s">
        <v>1460</v>
      </c>
      <c r="Q548" s="190" t="s">
        <v>1461</v>
      </c>
      <c r="R548" s="188">
        <v>45869</v>
      </c>
      <c r="S548" s="193" t="s">
        <v>126</v>
      </c>
      <c r="T548" s="192"/>
      <c r="U548" s="829"/>
      <c r="V548" s="10"/>
      <c r="W548" s="10"/>
      <c r="X548" s="10"/>
      <c r="Y548" s="10"/>
      <c r="Z548" s="10"/>
      <c r="AA548" s="11"/>
      <c r="AB548" s="11"/>
      <c r="AD548" s="260"/>
    </row>
    <row r="549" spans="2:30" x14ac:dyDescent="0.3">
      <c r="B549" s="10" t="s">
        <v>290</v>
      </c>
      <c r="C549" s="315" t="s">
        <v>1769</v>
      </c>
      <c r="D549" s="868" t="s">
        <v>244</v>
      </c>
      <c r="E549" s="837" t="str">
        <f>IFERROR(IF(_xlfn.XLOOKUP(Imput[[#This Row],[RFC]],'Alta Proveedor'!D:D,'Alta Proveedor'!E:E)=0,"",_xlfn.XLOOKUP(Imput[[#This Row],[RFC]],'Alta Proveedor'!D:D,'Alta Proveedor'!E:E)),"")</f>
        <v>CADENA COMERCIAL OXXO</v>
      </c>
      <c r="F549" s="832" t="s">
        <v>1613</v>
      </c>
      <c r="G549" s="187">
        <v>1</v>
      </c>
      <c r="H549" s="1">
        <v>12.93</v>
      </c>
      <c r="I549" s="169">
        <f>Imput[[#This Row],[Cantidad]]*Imput[[#This Row],[Precio Unitario]]</f>
        <v>12.93</v>
      </c>
      <c r="J549" s="11">
        <f>((Imput[[#This Row],[Sub total]])*(0.16))</f>
        <v>2.0688</v>
      </c>
      <c r="K549" s="11">
        <v>0</v>
      </c>
      <c r="L549" s="169">
        <f>Imput[[#This Row],[Sub total]]+Imput[[#This Row],[IVA]]-Imput[[#This Row],[Retención / IEPS / Descuento]]</f>
        <v>14.998799999999999</v>
      </c>
      <c r="M549" s="844">
        <v>0</v>
      </c>
      <c r="N549" s="189" t="s">
        <v>123</v>
      </c>
      <c r="O549" s="1"/>
      <c r="P549" s="189" t="s">
        <v>1460</v>
      </c>
      <c r="Q549" s="190" t="s">
        <v>1461</v>
      </c>
      <c r="R549" s="188">
        <v>45869</v>
      </c>
      <c r="S549" s="193" t="s">
        <v>126</v>
      </c>
      <c r="T549" s="192"/>
      <c r="U549" s="829"/>
      <c r="V549" s="10"/>
      <c r="W549" s="10"/>
      <c r="X549" s="10"/>
      <c r="Y549" s="10"/>
      <c r="Z549" s="10"/>
      <c r="AA549" s="11"/>
      <c r="AB549" s="11"/>
      <c r="AD549" s="260"/>
    </row>
    <row r="550" spans="2:30" x14ac:dyDescent="0.3">
      <c r="B550" s="10" t="s">
        <v>290</v>
      </c>
      <c r="C550" s="315" t="s">
        <v>1806</v>
      </c>
      <c r="D550" s="868" t="s">
        <v>1478</v>
      </c>
      <c r="E550" s="837" t="str">
        <f>IFERROR(IF(_xlfn.XLOOKUP(Imput[[#This Row],[RFC]],'Alta Proveedor'!D:D,'Alta Proveedor'!E:E)=0,"",_xlfn.XLOOKUP(Imput[[#This Row],[RFC]],'Alta Proveedor'!D:D,'Alta Proveedor'!E:E)),"")</f>
        <v>HAMBURGUESAS MAFIS (CARL´S JR.)</v>
      </c>
      <c r="F550" s="832" t="s">
        <v>159</v>
      </c>
      <c r="G550" s="187">
        <v>1</v>
      </c>
      <c r="H550" s="1">
        <v>278.00560000000002</v>
      </c>
      <c r="I550" s="169">
        <f>Imput[[#This Row],[Cantidad]]*Imput[[#This Row],[Precio Unitario]]</f>
        <v>278.00560000000002</v>
      </c>
      <c r="J550" s="11">
        <v>0</v>
      </c>
      <c r="K550" s="11">
        <v>0</v>
      </c>
      <c r="L550" s="169">
        <f>Imput[[#This Row],[Sub total]]+Imput[[#This Row],[IVA]]-Imput[[#This Row],[Retención / IEPS / Descuento]]</f>
        <v>278.00560000000002</v>
      </c>
      <c r="M550" s="844">
        <v>278.00560000000002</v>
      </c>
      <c r="N550" s="189"/>
      <c r="O550" s="1"/>
      <c r="P550" s="189" t="str">
        <f>Imput[[#This Row],[Folio]]</f>
        <v>5851</v>
      </c>
      <c r="Q550" s="190" t="s">
        <v>3091</v>
      </c>
      <c r="R550" s="188">
        <v>45869</v>
      </c>
      <c r="S550" s="193"/>
      <c r="T550" s="192"/>
      <c r="U550" s="829" t="s">
        <v>3099</v>
      </c>
      <c r="V550" s="10"/>
      <c r="W550" s="10"/>
      <c r="X550" s="10"/>
      <c r="Y550" s="10"/>
      <c r="Z550" s="10"/>
      <c r="AA550" s="11"/>
      <c r="AB550" s="11"/>
      <c r="AD550" s="260"/>
    </row>
    <row r="551" spans="2:30" x14ac:dyDescent="0.3">
      <c r="B551" s="10" t="s">
        <v>290</v>
      </c>
      <c r="C551" s="315" t="s">
        <v>1767</v>
      </c>
      <c r="D551" s="868" t="s">
        <v>1472</v>
      </c>
      <c r="E551" s="837" t="str">
        <f>IFERROR(IF(_xlfn.XLOOKUP(Imput[[#This Row],[RFC]],'Alta Proveedor'!D:D,'Alta Proveedor'!E:E)=0,"",_xlfn.XLOOKUP(Imput[[#This Row],[RFC]],'Alta Proveedor'!D:D,'Alta Proveedor'!E:E)),"")</f>
        <v>ESTACION Y SERVICIOS DEL CORREDOR URBANO E07771 (COMBUSTIBLES)</v>
      </c>
      <c r="F551" s="832" t="s">
        <v>237</v>
      </c>
      <c r="G551" s="187">
        <v>59.67</v>
      </c>
      <c r="H551" s="1">
        <f>1234.09/Imput[[#This Row],[Cantidad]]</f>
        <v>20.681917211328972</v>
      </c>
      <c r="I551" s="169">
        <f>Imput[[#This Row],[Cantidad]]*Imput[[#This Row],[Precio Unitario]]</f>
        <v>1234.0899999999999</v>
      </c>
      <c r="J551" s="11">
        <v>192.02</v>
      </c>
      <c r="K551" s="11">
        <v>0</v>
      </c>
      <c r="L551" s="169">
        <f>Imput[[#This Row],[Sub total]]+Imput[[#This Row],[IVA]]-Imput[[#This Row],[Retención / IEPS / Descuento]]</f>
        <v>1426.11</v>
      </c>
      <c r="M551" s="844">
        <v>1426.11</v>
      </c>
      <c r="N551" s="189" t="s">
        <v>123</v>
      </c>
      <c r="O551" s="1"/>
      <c r="P551" s="189" t="s">
        <v>1470</v>
      </c>
      <c r="Q551" s="190" t="s">
        <v>1471</v>
      </c>
      <c r="R551" s="188">
        <v>45869</v>
      </c>
      <c r="S551" s="193" t="s">
        <v>126</v>
      </c>
      <c r="T551" s="192"/>
      <c r="U551" s="829"/>
      <c r="V551" s="10"/>
      <c r="W551" s="10"/>
      <c r="X551" s="10"/>
      <c r="Y551" s="10"/>
      <c r="Z551" s="10"/>
      <c r="AA551" s="11"/>
      <c r="AB551" s="11"/>
      <c r="AD551" s="260"/>
    </row>
    <row r="552" spans="2:30" x14ac:dyDescent="0.3">
      <c r="B552" s="10" t="s">
        <v>383</v>
      </c>
      <c r="C552" s="315" t="s">
        <v>1769</v>
      </c>
      <c r="D552" s="868" t="s">
        <v>1572</v>
      </c>
      <c r="E552" s="837" t="str">
        <f>IFERROR(IF(_xlfn.XLOOKUP(Imput[[#This Row],[RFC]],'Alta Proveedor'!D:D,'Alta Proveedor'!E:E)=0,"",_xlfn.XLOOKUP(Imput[[#This Row],[RFC]],'Alta Proveedor'!D:D,'Alta Proveedor'!E:E)),"")</f>
        <v>FARMACIA GUADALAJARA</v>
      </c>
      <c r="F552" s="832" t="s">
        <v>1603</v>
      </c>
      <c r="G552" s="187">
        <v>1</v>
      </c>
      <c r="H552" s="1">
        <v>12.93</v>
      </c>
      <c r="I552" s="169">
        <f>Imput[[#This Row],[Cantidad]]*Imput[[#This Row],[Precio Unitario]]</f>
        <v>12.93</v>
      </c>
      <c r="J552" s="11">
        <f>((Imput[[#This Row],[Sub total]])*(0.16))</f>
        <v>2.0688</v>
      </c>
      <c r="K552" s="11">
        <v>0</v>
      </c>
      <c r="L552" s="169">
        <f>Imput[[#This Row],[Sub total]]+Imput[[#This Row],[IVA]]-Imput[[#This Row],[Retención / IEPS / Descuento]]</f>
        <v>14.998799999999999</v>
      </c>
      <c r="M552" s="844">
        <v>49.998800000000003</v>
      </c>
      <c r="N552" s="189" t="s">
        <v>123</v>
      </c>
      <c r="O552" s="1"/>
      <c r="P552" s="189" t="s">
        <v>1569</v>
      </c>
      <c r="Q552" s="190" t="s">
        <v>1570</v>
      </c>
      <c r="R552" s="188">
        <v>45869</v>
      </c>
      <c r="S552" s="193" t="s">
        <v>294</v>
      </c>
      <c r="T552" s="192"/>
      <c r="U552" s="829"/>
      <c r="V552" s="10"/>
      <c r="W552" s="10"/>
      <c r="X552" s="10"/>
      <c r="Y552" s="10"/>
      <c r="Z552" s="10"/>
      <c r="AA552" s="11"/>
      <c r="AB552" s="11"/>
      <c r="AD552" s="260"/>
    </row>
    <row r="553" spans="2:30" x14ac:dyDescent="0.3">
      <c r="B553" s="10" t="s">
        <v>383</v>
      </c>
      <c r="C553" s="315" t="s">
        <v>1769</v>
      </c>
      <c r="D553" s="868" t="s">
        <v>1572</v>
      </c>
      <c r="E553" s="837" t="str">
        <f>IFERROR(IF(_xlfn.XLOOKUP(Imput[[#This Row],[RFC]],'Alta Proveedor'!D:D,'Alta Proveedor'!E:E)=0,"",_xlfn.XLOOKUP(Imput[[#This Row],[RFC]],'Alta Proveedor'!D:D,'Alta Proveedor'!E:E)),"")</f>
        <v>FARMACIA GUADALAJARA</v>
      </c>
      <c r="F553" s="832" t="s">
        <v>1642</v>
      </c>
      <c r="G553" s="187">
        <v>1</v>
      </c>
      <c r="H553" s="1">
        <v>35</v>
      </c>
      <c r="I553" s="169">
        <f>Imput[[#This Row],[Cantidad]]*Imput[[#This Row],[Precio Unitario]]</f>
        <v>35</v>
      </c>
      <c r="J553" s="11">
        <v>0</v>
      </c>
      <c r="K553" s="11">
        <v>0</v>
      </c>
      <c r="L553" s="169">
        <f>Imput[[#This Row],[Sub total]]+Imput[[#This Row],[IVA]]-Imput[[#This Row],[Retención / IEPS / Descuento]]</f>
        <v>35</v>
      </c>
      <c r="M553" s="844">
        <v>0</v>
      </c>
      <c r="N553" s="189" t="s">
        <v>123</v>
      </c>
      <c r="O553" s="1"/>
      <c r="P553" s="189" t="s">
        <v>1569</v>
      </c>
      <c r="Q553" s="190" t="s">
        <v>1570</v>
      </c>
      <c r="R553" s="188">
        <v>45869</v>
      </c>
      <c r="S553" s="193" t="s">
        <v>294</v>
      </c>
      <c r="T553" s="192"/>
      <c r="U553" s="829"/>
      <c r="V553" s="10"/>
      <c r="W553" s="10"/>
      <c r="X553" s="10"/>
      <c r="Y553" s="10"/>
      <c r="Z553" s="10"/>
      <c r="AA553" s="11"/>
      <c r="AB553" s="11"/>
      <c r="AD553" s="260"/>
    </row>
    <row r="554" spans="2:30" x14ac:dyDescent="0.3">
      <c r="B554" s="10" t="s">
        <v>290</v>
      </c>
      <c r="C554" s="315" t="s">
        <v>1769</v>
      </c>
      <c r="D554" s="868" t="s">
        <v>244</v>
      </c>
      <c r="E554" s="837" t="str">
        <f>IFERROR(IF(_xlfn.XLOOKUP(Imput[[#This Row],[RFC]],'Alta Proveedor'!D:D,'Alta Proveedor'!E:E)=0,"",_xlfn.XLOOKUP(Imput[[#This Row],[RFC]],'Alta Proveedor'!D:D,'Alta Proveedor'!E:E)),"")</f>
        <v>CADENA COMERCIAL OXXO</v>
      </c>
      <c r="F554" s="832" t="s">
        <v>1601</v>
      </c>
      <c r="G554" s="187">
        <v>1</v>
      </c>
      <c r="H554" s="1">
        <v>34.909999999999997</v>
      </c>
      <c r="I554" s="169">
        <f>Imput[[#This Row],[Cantidad]]*Imput[[#This Row],[Precio Unitario]]</f>
        <v>34.909999999999997</v>
      </c>
      <c r="J554" s="11">
        <f>((Imput[[#This Row],[Sub total]])*(0.16))</f>
        <v>5.5855999999999995</v>
      </c>
      <c r="K554" s="11">
        <v>0</v>
      </c>
      <c r="L554" s="169">
        <f>Imput[[#This Row],[Sub total]]+Imput[[#This Row],[IVA]]-Imput[[#This Row],[Retención / IEPS / Descuento]]</f>
        <v>40.495599999999996</v>
      </c>
      <c r="M554" s="844">
        <v>91.999600000000001</v>
      </c>
      <c r="N554" s="189" t="s">
        <v>123</v>
      </c>
      <c r="O554" s="1"/>
      <c r="P554" s="189" t="s">
        <v>1442</v>
      </c>
      <c r="Q554" s="190" t="s">
        <v>1443</v>
      </c>
      <c r="R554" s="188">
        <v>45869</v>
      </c>
      <c r="S554" s="193" t="s">
        <v>126</v>
      </c>
      <c r="T554" s="192"/>
      <c r="U554" s="829"/>
      <c r="V554" s="10"/>
      <c r="W554" s="10"/>
      <c r="X554" s="10"/>
      <c r="Y554" s="10"/>
      <c r="Z554" s="10"/>
      <c r="AA554" s="11"/>
      <c r="AB554" s="11"/>
      <c r="AD554" s="260"/>
    </row>
    <row r="555" spans="2:30" x14ac:dyDescent="0.3">
      <c r="B555" s="10" t="s">
        <v>290</v>
      </c>
      <c r="C555" s="315" t="s">
        <v>1769</v>
      </c>
      <c r="D555" s="868" t="s">
        <v>244</v>
      </c>
      <c r="E555" s="837" t="str">
        <f>IFERROR(IF(_xlfn.XLOOKUP(Imput[[#This Row],[RFC]],'Alta Proveedor'!D:D,'Alta Proveedor'!E:E)=0,"",_xlfn.XLOOKUP(Imput[[#This Row],[RFC]],'Alta Proveedor'!D:D,'Alta Proveedor'!E:E)),"")</f>
        <v>CADENA COMERCIAL OXXO</v>
      </c>
      <c r="F555" s="832" t="s">
        <v>1602</v>
      </c>
      <c r="G555" s="187">
        <v>1</v>
      </c>
      <c r="H555" s="1">
        <v>31.47</v>
      </c>
      <c r="I555" s="169">
        <f>Imput[[#This Row],[Cantidad]]*Imput[[#This Row],[Precio Unitario]]</f>
        <v>31.47</v>
      </c>
      <c r="J555" s="11">
        <f>((Imput[[#This Row],[Sub total]])*(0.16))</f>
        <v>5.0351999999999997</v>
      </c>
      <c r="K555" s="11">
        <v>0</v>
      </c>
      <c r="L555" s="169">
        <f>Imput[[#This Row],[Sub total]]+Imput[[#This Row],[IVA]]-Imput[[#This Row],[Retención / IEPS / Descuento]]</f>
        <v>36.505200000000002</v>
      </c>
      <c r="M555" s="844">
        <v>0</v>
      </c>
      <c r="N555" s="189" t="s">
        <v>123</v>
      </c>
      <c r="O555" s="1"/>
      <c r="P555" s="189" t="s">
        <v>1442</v>
      </c>
      <c r="Q555" s="190" t="s">
        <v>1443</v>
      </c>
      <c r="R555" s="188">
        <v>45869</v>
      </c>
      <c r="S555" s="193" t="s">
        <v>126</v>
      </c>
      <c r="T555" s="192"/>
      <c r="U555" s="829"/>
      <c r="V555" s="10"/>
      <c r="W555" s="10"/>
      <c r="X555" s="10"/>
      <c r="Y555" s="10"/>
      <c r="Z555" s="10"/>
      <c r="AA555" s="11"/>
      <c r="AB555" s="11"/>
      <c r="AD555" s="260"/>
    </row>
    <row r="556" spans="2:30" x14ac:dyDescent="0.3">
      <c r="B556" s="10" t="s">
        <v>290</v>
      </c>
      <c r="C556" s="315" t="s">
        <v>1769</v>
      </c>
      <c r="D556" s="868" t="s">
        <v>244</v>
      </c>
      <c r="E556" s="837" t="str">
        <f>IFERROR(IF(_xlfn.XLOOKUP(Imput[[#This Row],[RFC]],'Alta Proveedor'!D:D,'Alta Proveedor'!E:E)=0,"",_xlfn.XLOOKUP(Imput[[#This Row],[RFC]],'Alta Proveedor'!D:D,'Alta Proveedor'!E:E)),"")</f>
        <v>CADENA COMERCIAL OXXO</v>
      </c>
      <c r="F556" s="832" t="s">
        <v>1603</v>
      </c>
      <c r="G556" s="187">
        <v>1</v>
      </c>
      <c r="H556" s="1">
        <v>12.93</v>
      </c>
      <c r="I556" s="169">
        <f>Imput[[#This Row],[Cantidad]]*Imput[[#This Row],[Precio Unitario]]</f>
        <v>12.93</v>
      </c>
      <c r="J556" s="11">
        <f>((Imput[[#This Row],[Sub total]])*(0.16))</f>
        <v>2.0688</v>
      </c>
      <c r="K556" s="11">
        <v>0</v>
      </c>
      <c r="L556" s="169">
        <f>Imput[[#This Row],[Sub total]]+Imput[[#This Row],[IVA]]-Imput[[#This Row],[Retención / IEPS / Descuento]]</f>
        <v>14.998799999999999</v>
      </c>
      <c r="M556" s="844">
        <v>0</v>
      </c>
      <c r="N556" s="189" t="s">
        <v>123</v>
      </c>
      <c r="O556" s="1"/>
      <c r="P556" s="189" t="s">
        <v>1442</v>
      </c>
      <c r="Q556" s="190" t="s">
        <v>1443</v>
      </c>
      <c r="R556" s="188">
        <v>45869</v>
      </c>
      <c r="S556" s="193" t="s">
        <v>126</v>
      </c>
      <c r="T556" s="192"/>
      <c r="U556" s="829"/>
      <c r="V556" s="10"/>
      <c r="W556" s="10"/>
      <c r="X556" s="10"/>
      <c r="Y556" s="10"/>
      <c r="Z556" s="10"/>
      <c r="AA556" s="11"/>
      <c r="AB556" s="11"/>
      <c r="AD556" s="260"/>
    </row>
    <row r="557" spans="2:30" x14ac:dyDescent="0.3">
      <c r="B557" s="10" t="s">
        <v>290</v>
      </c>
      <c r="C557" s="315" t="s">
        <v>1767</v>
      </c>
      <c r="D557" s="868" t="s">
        <v>1446</v>
      </c>
      <c r="E557" s="837" t="str">
        <f>IFERROR(IF(_xlfn.XLOOKUP(Imput[[#This Row],[RFC]],'Alta Proveedor'!D:D,'Alta Proveedor'!E:E)=0,"",_xlfn.XLOOKUP(Imput[[#This Row],[RFC]],'Alta Proveedor'!D:D,'Alta Proveedor'!E:E)),"")</f>
        <v>GRUPO GASOLINERO TAMPICO</v>
      </c>
      <c r="F557" s="832" t="s">
        <v>1114</v>
      </c>
      <c r="G557" s="187">
        <v>71.159143</v>
      </c>
      <c r="H557" s="1">
        <v>22.599710000000002</v>
      </c>
      <c r="I557" s="169">
        <f>Imput[[#This Row],[Cantidad]]*Imput[[#This Row],[Precio Unitario]]</f>
        <v>1608.17599564853</v>
      </c>
      <c r="J557" s="11">
        <v>251.92</v>
      </c>
      <c r="K557" s="11">
        <v>0</v>
      </c>
      <c r="L557" s="169">
        <f>Imput[[#This Row],[Sub total]]+Imput[[#This Row],[IVA]]-Imput[[#This Row],[Retención / IEPS / Descuento]]</f>
        <v>1860.0959956485301</v>
      </c>
      <c r="M557" s="844">
        <v>1860.0959956485301</v>
      </c>
      <c r="N557" s="189" t="s">
        <v>123</v>
      </c>
      <c r="O557" s="1"/>
      <c r="P557" s="189" t="s">
        <v>1444</v>
      </c>
      <c r="Q557" s="190" t="s">
        <v>1445</v>
      </c>
      <c r="R557" s="188">
        <v>45869</v>
      </c>
      <c r="S557" s="193" t="s">
        <v>126</v>
      </c>
      <c r="T557" s="192"/>
      <c r="U557" s="829"/>
      <c r="V557" s="10"/>
      <c r="W557" s="10"/>
      <c r="X557" s="10"/>
      <c r="Y557" s="10"/>
      <c r="Z557" s="10"/>
      <c r="AA557" s="11"/>
      <c r="AB557" s="11"/>
      <c r="AD557" s="260"/>
    </row>
    <row r="558" spans="2:30" x14ac:dyDescent="0.3">
      <c r="B558" s="10" t="s">
        <v>290</v>
      </c>
      <c r="C558" s="315" t="s">
        <v>1767</v>
      </c>
      <c r="D558" s="868" t="s">
        <v>1377</v>
      </c>
      <c r="E558" s="837" t="str">
        <f>IFERROR(IF(_xlfn.XLOOKUP(Imput[[#This Row],[RFC]],'Alta Proveedor'!D:D,'Alta Proveedor'!E:E)=0,"",_xlfn.XLOOKUP(Imput[[#This Row],[RFC]],'Alta Proveedor'!D:D,'Alta Proveedor'!E:E)),"")</f>
        <v>MERCANTIL MANTE E01283 (COMBUSTIBLES)</v>
      </c>
      <c r="F558" s="832" t="s">
        <v>237</v>
      </c>
      <c r="G558" s="187">
        <v>66.311999999999998</v>
      </c>
      <c r="H558" s="1">
        <f>1371.47/Imput[[#This Row],[Cantidad]]</f>
        <v>20.682078658463023</v>
      </c>
      <c r="I558" s="169">
        <f>Imput[[#This Row],[Cantidad]]*Imput[[#This Row],[Precio Unitario]]</f>
        <v>1371.47</v>
      </c>
      <c r="J558" s="11">
        <v>213.39</v>
      </c>
      <c r="K558" s="11">
        <v>0</v>
      </c>
      <c r="L558" s="169">
        <f>Imput[[#This Row],[Sub total]]+Imput[[#This Row],[IVA]]-Imput[[#This Row],[Retención / IEPS / Descuento]]</f>
        <v>1584.8600000000001</v>
      </c>
      <c r="M558" s="844">
        <v>1584.8600000000001</v>
      </c>
      <c r="N558" s="189" t="s">
        <v>123</v>
      </c>
      <c r="O558" s="1"/>
      <c r="P558" s="189" t="s">
        <v>1485</v>
      </c>
      <c r="Q558" s="190" t="s">
        <v>1486</v>
      </c>
      <c r="R558" s="188">
        <v>45869</v>
      </c>
      <c r="S558" s="193" t="s">
        <v>126</v>
      </c>
      <c r="T558" s="192"/>
      <c r="U558" s="829"/>
      <c r="V558" s="10"/>
      <c r="W558" s="10"/>
      <c r="X558" s="10"/>
      <c r="Y558" s="10"/>
      <c r="Z558" s="10"/>
      <c r="AA558" s="11"/>
      <c r="AB558" s="11"/>
      <c r="AD558" s="260"/>
    </row>
    <row r="559" spans="2:30" x14ac:dyDescent="0.3">
      <c r="B559" s="10" t="s">
        <v>290</v>
      </c>
      <c r="C559" s="315" t="s">
        <v>1806</v>
      </c>
      <c r="D559" s="868" t="s">
        <v>1492</v>
      </c>
      <c r="E559" s="837" t="str">
        <f>IFERROR(IF(_xlfn.XLOOKUP(Imput[[#This Row],[RFC]],'Alta Proveedor'!D:D,'Alta Proveedor'!E:E)=0,"",_xlfn.XLOOKUP(Imput[[#This Row],[RFC]],'Alta Proveedor'!D:D,'Alta Proveedor'!E:E)),"")</f>
        <v>NUEVA WAL MART DE MEXICO</v>
      </c>
      <c r="F559" s="832" t="s">
        <v>1623</v>
      </c>
      <c r="G559" s="187">
        <v>7</v>
      </c>
      <c r="H559" s="1">
        <v>25.861999999999998</v>
      </c>
      <c r="I559" s="169">
        <f>Imput[[#This Row],[Cantidad]]*Imput[[#This Row],[Precio Unitario]]</f>
        <v>181.03399999999999</v>
      </c>
      <c r="J559" s="11">
        <f>((Imput[[#This Row],[Sub total]])*(0.16))</f>
        <v>28.965440000000001</v>
      </c>
      <c r="K559" s="11">
        <v>0</v>
      </c>
      <c r="L559" s="169">
        <f>Imput[[#This Row],[Sub total]]+Imput[[#This Row],[IVA]]-Imput[[#This Row],[Retención / IEPS / Descuento]]</f>
        <v>209.99943999999999</v>
      </c>
      <c r="M559" s="844">
        <v>767.43085119999989</v>
      </c>
      <c r="N559" s="189" t="s">
        <v>123</v>
      </c>
      <c r="O559" s="1"/>
      <c r="P559" s="189" t="s">
        <v>1489</v>
      </c>
      <c r="Q559" s="190" t="s">
        <v>1490</v>
      </c>
      <c r="R559" s="188">
        <v>45869</v>
      </c>
      <c r="S559" s="193" t="s">
        <v>126</v>
      </c>
      <c r="T559" s="192"/>
      <c r="U559" s="829"/>
      <c r="V559" s="10"/>
      <c r="W559" s="10"/>
      <c r="X559" s="10"/>
      <c r="Y559" s="10"/>
      <c r="Z559" s="10"/>
      <c r="AA559" s="11"/>
      <c r="AB559" s="11"/>
      <c r="AD559" s="260"/>
    </row>
    <row r="560" spans="2:30" x14ac:dyDescent="0.3">
      <c r="B560" s="10" t="s">
        <v>290</v>
      </c>
      <c r="C560" s="315" t="s">
        <v>1806</v>
      </c>
      <c r="D560" s="868" t="s">
        <v>1492</v>
      </c>
      <c r="E560" s="837" t="str">
        <f>IFERROR(IF(_xlfn.XLOOKUP(Imput[[#This Row],[RFC]],'Alta Proveedor'!D:D,'Alta Proveedor'!E:E)=0,"",_xlfn.XLOOKUP(Imput[[#This Row],[RFC]],'Alta Proveedor'!D:D,'Alta Proveedor'!E:E)),"")</f>
        <v>NUEVA WAL MART DE MEXICO</v>
      </c>
      <c r="F560" s="832" t="s">
        <v>1624</v>
      </c>
      <c r="G560" s="187">
        <v>4</v>
      </c>
      <c r="H560" s="1">
        <v>17.242999999999999</v>
      </c>
      <c r="I560" s="169">
        <f>Imput[[#This Row],[Cantidad]]*Imput[[#This Row],[Precio Unitario]]</f>
        <v>68.971999999999994</v>
      </c>
      <c r="J560" s="11">
        <f>((Imput[[#This Row],[Sub total]])*(0.16))</f>
        <v>11.03552</v>
      </c>
      <c r="K560" s="11">
        <v>0</v>
      </c>
      <c r="L560" s="169">
        <f>Imput[[#This Row],[Sub total]]+Imput[[#This Row],[IVA]]-Imput[[#This Row],[Retención / IEPS / Descuento]]</f>
        <v>80.00752</v>
      </c>
      <c r="M560" s="844">
        <v>0</v>
      </c>
      <c r="N560" s="189" t="s">
        <v>123</v>
      </c>
      <c r="O560" s="1"/>
      <c r="P560" s="189" t="s">
        <v>1489</v>
      </c>
      <c r="Q560" s="190" t="s">
        <v>1490</v>
      </c>
      <c r="R560" s="188">
        <v>45869</v>
      </c>
      <c r="S560" s="193" t="s">
        <v>126</v>
      </c>
      <c r="T560" s="192"/>
      <c r="U560" s="829"/>
      <c r="V560" s="10"/>
      <c r="W560" s="10"/>
      <c r="X560" s="10"/>
      <c r="Y560" s="10"/>
      <c r="Z560" s="10"/>
      <c r="AA560" s="11"/>
      <c r="AB560" s="11"/>
      <c r="AD560" s="260"/>
    </row>
    <row r="561" spans="2:30" x14ac:dyDescent="0.3">
      <c r="B561" s="10" t="s">
        <v>290</v>
      </c>
      <c r="C561" s="315" t="s">
        <v>1806</v>
      </c>
      <c r="D561" s="868" t="s">
        <v>1492</v>
      </c>
      <c r="E561" s="837" t="str">
        <f>IFERROR(IF(_xlfn.XLOOKUP(Imput[[#This Row],[RFC]],'Alta Proveedor'!D:D,'Alta Proveedor'!E:E)=0,"",_xlfn.XLOOKUP(Imput[[#This Row],[RFC]],'Alta Proveedor'!D:D,'Alta Proveedor'!E:E)),"")</f>
        <v>NUEVA WAL MART DE MEXICO</v>
      </c>
      <c r="F561" s="832" t="s">
        <v>1625</v>
      </c>
      <c r="G561" s="187">
        <v>4</v>
      </c>
      <c r="H561" s="1">
        <v>25.863</v>
      </c>
      <c r="I561" s="169">
        <f>Imput[[#This Row],[Cantidad]]*Imput[[#This Row],[Precio Unitario]]</f>
        <v>103.452</v>
      </c>
      <c r="J561" s="11">
        <f>((Imput[[#This Row],[Sub total]])*(0.16))</f>
        <v>16.552320000000002</v>
      </c>
      <c r="K561" s="11">
        <v>0</v>
      </c>
      <c r="L561" s="169">
        <f>Imput[[#This Row],[Sub total]]+Imput[[#This Row],[IVA]]-Imput[[#This Row],[Retención / IEPS / Descuento]]</f>
        <v>120.00432000000001</v>
      </c>
      <c r="M561" s="844">
        <v>0</v>
      </c>
      <c r="N561" s="189" t="s">
        <v>123</v>
      </c>
      <c r="O561" s="1"/>
      <c r="P561" s="189" t="s">
        <v>1489</v>
      </c>
      <c r="Q561" s="190" t="s">
        <v>1490</v>
      </c>
      <c r="R561" s="188">
        <v>45869</v>
      </c>
      <c r="S561" s="193" t="s">
        <v>126</v>
      </c>
      <c r="T561" s="192"/>
      <c r="U561" s="829"/>
      <c r="V561" s="10"/>
      <c r="W561" s="10"/>
      <c r="X561" s="10"/>
      <c r="Y561" s="10"/>
      <c r="Z561" s="10"/>
      <c r="AA561" s="11"/>
      <c r="AB561" s="11"/>
      <c r="AD561" s="260"/>
    </row>
    <row r="562" spans="2:30" x14ac:dyDescent="0.3">
      <c r="B562" s="10" t="s">
        <v>290</v>
      </c>
      <c r="C562" s="315" t="s">
        <v>1806</v>
      </c>
      <c r="D562" s="868" t="s">
        <v>1492</v>
      </c>
      <c r="E562" s="837" t="str">
        <f>IFERROR(IF(_xlfn.XLOOKUP(Imput[[#This Row],[RFC]],'Alta Proveedor'!D:D,'Alta Proveedor'!E:E)=0,"",_xlfn.XLOOKUP(Imput[[#This Row],[RFC]],'Alta Proveedor'!D:D,'Alta Proveedor'!E:E)),"")</f>
        <v>NUEVA WAL MART DE MEXICO</v>
      </c>
      <c r="F562" s="832" t="s">
        <v>1626</v>
      </c>
      <c r="G562" s="187">
        <v>0.15</v>
      </c>
      <c r="H562" s="1">
        <v>84.48</v>
      </c>
      <c r="I562" s="169">
        <f>Imput[[#This Row],[Cantidad]]*Imput[[#This Row],[Precio Unitario]]</f>
        <v>12.672000000000001</v>
      </c>
      <c r="J562" s="11">
        <f>((Imput[[#This Row],[Sub total]])*(0.16))</f>
        <v>2.02752</v>
      </c>
      <c r="K562" s="11">
        <v>0</v>
      </c>
      <c r="L562" s="169">
        <f>Imput[[#This Row],[Sub total]]+Imput[[#This Row],[IVA]]-Imput[[#This Row],[Retención / IEPS / Descuento]]</f>
        <v>14.69952</v>
      </c>
      <c r="M562" s="844">
        <v>0</v>
      </c>
      <c r="N562" s="189" t="s">
        <v>123</v>
      </c>
      <c r="O562" s="1"/>
      <c r="P562" s="189" t="s">
        <v>1489</v>
      </c>
      <c r="Q562" s="190" t="s">
        <v>1490</v>
      </c>
      <c r="R562" s="188">
        <v>45869</v>
      </c>
      <c r="S562" s="193" t="s">
        <v>126</v>
      </c>
      <c r="T562" s="192"/>
      <c r="U562" s="829"/>
      <c r="V562" s="10"/>
      <c r="W562" s="10"/>
      <c r="X562" s="10"/>
      <c r="Y562" s="10"/>
      <c r="Z562" s="10"/>
      <c r="AA562" s="11"/>
      <c r="AB562" s="11"/>
      <c r="AD562" s="260"/>
    </row>
    <row r="563" spans="2:30" x14ac:dyDescent="0.3">
      <c r="B563" s="10" t="s">
        <v>290</v>
      </c>
      <c r="C563" s="315" t="s">
        <v>1806</v>
      </c>
      <c r="D563" s="868" t="s">
        <v>1492</v>
      </c>
      <c r="E563" s="837" t="str">
        <f>IFERROR(IF(_xlfn.XLOOKUP(Imput[[#This Row],[RFC]],'Alta Proveedor'!D:D,'Alta Proveedor'!E:E)=0,"",_xlfn.XLOOKUP(Imput[[#This Row],[RFC]],'Alta Proveedor'!D:D,'Alta Proveedor'!E:E)),"")</f>
        <v>NUEVA WAL MART DE MEXICO</v>
      </c>
      <c r="F563" s="832" t="s">
        <v>1626</v>
      </c>
      <c r="G563" s="187">
        <v>0.17799999999999999</v>
      </c>
      <c r="H563" s="1">
        <v>84.46</v>
      </c>
      <c r="I563" s="169">
        <f>Imput[[#This Row],[Cantidad]]*Imput[[#This Row],[Precio Unitario]]</f>
        <v>15.033879999999998</v>
      </c>
      <c r="J563" s="11">
        <f>((Imput[[#This Row],[Sub total]])*(0.16))</f>
        <v>2.4054207999999999</v>
      </c>
      <c r="K563" s="11">
        <v>0</v>
      </c>
      <c r="L563" s="169">
        <f>Imput[[#This Row],[Sub total]]+Imput[[#This Row],[IVA]]-Imput[[#This Row],[Retención / IEPS / Descuento]]</f>
        <v>17.439300799999998</v>
      </c>
      <c r="M563" s="844">
        <v>0</v>
      </c>
      <c r="N563" s="189" t="s">
        <v>123</v>
      </c>
      <c r="O563" s="1"/>
      <c r="P563" s="189" t="s">
        <v>1489</v>
      </c>
      <c r="Q563" s="190" t="s">
        <v>1490</v>
      </c>
      <c r="R563" s="188">
        <v>45869</v>
      </c>
      <c r="S563" s="193" t="s">
        <v>126</v>
      </c>
      <c r="T563" s="192"/>
      <c r="U563" s="829"/>
      <c r="V563" s="10"/>
      <c r="W563" s="10"/>
      <c r="X563" s="10"/>
      <c r="Y563" s="10"/>
      <c r="Z563" s="10"/>
      <c r="AA563" s="11"/>
      <c r="AB563" s="11"/>
      <c r="AD563" s="260"/>
    </row>
    <row r="564" spans="2:30" x14ac:dyDescent="0.3">
      <c r="B564" s="10" t="s">
        <v>290</v>
      </c>
      <c r="C564" s="315" t="s">
        <v>1806</v>
      </c>
      <c r="D564" s="868" t="s">
        <v>1492</v>
      </c>
      <c r="E564" s="837" t="str">
        <f>IFERROR(IF(_xlfn.XLOOKUP(Imput[[#This Row],[RFC]],'Alta Proveedor'!D:D,'Alta Proveedor'!E:E)=0,"",_xlfn.XLOOKUP(Imput[[#This Row],[RFC]],'Alta Proveedor'!D:D,'Alta Proveedor'!E:E)),"")</f>
        <v>NUEVA WAL MART DE MEXICO</v>
      </c>
      <c r="F564" s="832" t="s">
        <v>1626</v>
      </c>
      <c r="G564" s="187">
        <v>0.156</v>
      </c>
      <c r="H564" s="1">
        <v>84.49</v>
      </c>
      <c r="I564" s="169">
        <f>Imput[[#This Row],[Cantidad]]*Imput[[#This Row],[Precio Unitario]]</f>
        <v>13.180439999999999</v>
      </c>
      <c r="J564" s="11">
        <f>((Imput[[#This Row],[Sub total]])*(0.16))</f>
        <v>2.1088703999999998</v>
      </c>
      <c r="K564" s="11">
        <v>0</v>
      </c>
      <c r="L564" s="169">
        <f>Imput[[#This Row],[Sub total]]+Imput[[#This Row],[IVA]]-Imput[[#This Row],[Retención / IEPS / Descuento]]</f>
        <v>15.289310399999998</v>
      </c>
      <c r="M564" s="844">
        <v>0</v>
      </c>
      <c r="N564" s="189" t="s">
        <v>123</v>
      </c>
      <c r="O564" s="1"/>
      <c r="P564" s="189" t="s">
        <v>1489</v>
      </c>
      <c r="Q564" s="190" t="s">
        <v>1490</v>
      </c>
      <c r="R564" s="188">
        <v>45869</v>
      </c>
      <c r="S564" s="193" t="s">
        <v>126</v>
      </c>
      <c r="T564" s="192"/>
      <c r="U564" s="829"/>
      <c r="V564" s="10"/>
      <c r="W564" s="10"/>
      <c r="X564" s="10"/>
      <c r="Y564" s="10"/>
      <c r="Z564" s="10"/>
      <c r="AA564" s="11"/>
      <c r="AB564" s="11"/>
      <c r="AD564" s="260"/>
    </row>
    <row r="565" spans="2:30" x14ac:dyDescent="0.3">
      <c r="B565" s="10" t="s">
        <v>290</v>
      </c>
      <c r="C565" s="315" t="s">
        <v>1806</v>
      </c>
      <c r="D565" s="868" t="s">
        <v>1492</v>
      </c>
      <c r="E565" s="837" t="str">
        <f>IFERROR(IF(_xlfn.XLOOKUP(Imput[[#This Row],[RFC]],'Alta Proveedor'!D:D,'Alta Proveedor'!E:E)=0,"",_xlfn.XLOOKUP(Imput[[#This Row],[RFC]],'Alta Proveedor'!D:D,'Alta Proveedor'!E:E)),"")</f>
        <v>NUEVA WAL MART DE MEXICO</v>
      </c>
      <c r="F565" s="832" t="s">
        <v>1625</v>
      </c>
      <c r="G565" s="187">
        <v>1</v>
      </c>
      <c r="H565" s="1">
        <v>25.86</v>
      </c>
      <c r="I565" s="169">
        <f>Imput[[#This Row],[Cantidad]]*Imput[[#This Row],[Precio Unitario]]</f>
        <v>25.86</v>
      </c>
      <c r="J565" s="11">
        <f>((Imput[[#This Row],[Sub total]])*(0.16))</f>
        <v>4.1375999999999999</v>
      </c>
      <c r="K565" s="11">
        <v>0</v>
      </c>
      <c r="L565" s="169">
        <f>Imput[[#This Row],[Sub total]]+Imput[[#This Row],[IVA]]-Imput[[#This Row],[Retención / IEPS / Descuento]]</f>
        <v>29.997599999999998</v>
      </c>
      <c r="M565" s="844">
        <v>0</v>
      </c>
      <c r="N565" s="189" t="s">
        <v>123</v>
      </c>
      <c r="O565" s="1"/>
      <c r="P565" s="189" t="s">
        <v>1489</v>
      </c>
      <c r="Q565" s="190" t="s">
        <v>1490</v>
      </c>
      <c r="R565" s="188">
        <v>45869</v>
      </c>
      <c r="S565" s="193" t="s">
        <v>126</v>
      </c>
      <c r="T565" s="192"/>
      <c r="U565" s="829"/>
      <c r="V565" s="10"/>
      <c r="W565" s="10"/>
      <c r="X565" s="10"/>
      <c r="Y565" s="10"/>
      <c r="Z565" s="10"/>
      <c r="AA565" s="11"/>
      <c r="AB565" s="11"/>
      <c r="AD565" s="260"/>
    </row>
    <row r="566" spans="2:30" x14ac:dyDescent="0.3">
      <c r="B566" s="10" t="s">
        <v>290</v>
      </c>
      <c r="C566" s="315" t="s">
        <v>1806</v>
      </c>
      <c r="D566" s="868" t="s">
        <v>1492</v>
      </c>
      <c r="E566" s="837" t="str">
        <f>IFERROR(IF(_xlfn.XLOOKUP(Imput[[#This Row],[RFC]],'Alta Proveedor'!D:D,'Alta Proveedor'!E:E)=0,"",_xlfn.XLOOKUP(Imput[[#This Row],[RFC]],'Alta Proveedor'!D:D,'Alta Proveedor'!E:E)),"")</f>
        <v>NUEVA WAL MART DE MEXICO</v>
      </c>
      <c r="F566" s="832" t="s">
        <v>1627</v>
      </c>
      <c r="G566" s="187">
        <v>1</v>
      </c>
      <c r="H566" s="1">
        <v>12.93</v>
      </c>
      <c r="I566" s="169">
        <f>Imput[[#This Row],[Cantidad]]*Imput[[#This Row],[Precio Unitario]]</f>
        <v>12.93</v>
      </c>
      <c r="J566" s="11">
        <f>((Imput[[#This Row],[Sub total]])*(0.16))</f>
        <v>2.0688</v>
      </c>
      <c r="K566" s="11">
        <v>0</v>
      </c>
      <c r="L566" s="169">
        <f>Imput[[#This Row],[Sub total]]+Imput[[#This Row],[IVA]]-Imput[[#This Row],[Retención / IEPS / Descuento]]</f>
        <v>14.998799999999999</v>
      </c>
      <c r="M566" s="844">
        <v>0</v>
      </c>
      <c r="N566" s="189" t="s">
        <v>123</v>
      </c>
      <c r="O566" s="1"/>
      <c r="P566" s="189" t="s">
        <v>1489</v>
      </c>
      <c r="Q566" s="190" t="s">
        <v>1490</v>
      </c>
      <c r="R566" s="188">
        <v>45869</v>
      </c>
      <c r="S566" s="193" t="s">
        <v>126</v>
      </c>
      <c r="T566" s="192"/>
      <c r="U566" s="829"/>
      <c r="V566" s="10"/>
      <c r="W566" s="10"/>
      <c r="X566" s="10"/>
      <c r="Y566" s="10"/>
      <c r="Z566" s="10"/>
      <c r="AA566" s="11"/>
      <c r="AB566" s="11"/>
      <c r="AD566" s="260"/>
    </row>
    <row r="567" spans="2:30" x14ac:dyDescent="0.3">
      <c r="B567" s="10" t="s">
        <v>290</v>
      </c>
      <c r="C567" s="315" t="s">
        <v>1806</v>
      </c>
      <c r="D567" s="868" t="s">
        <v>1492</v>
      </c>
      <c r="E567" s="837" t="str">
        <f>IFERROR(IF(_xlfn.XLOOKUP(Imput[[#This Row],[RFC]],'Alta Proveedor'!D:D,'Alta Proveedor'!E:E)=0,"",_xlfn.XLOOKUP(Imput[[#This Row],[RFC]],'Alta Proveedor'!D:D,'Alta Proveedor'!E:E)),"")</f>
        <v>NUEVA WAL MART DE MEXICO</v>
      </c>
      <c r="F567" s="832" t="s">
        <v>1628</v>
      </c>
      <c r="G567" s="187">
        <v>3</v>
      </c>
      <c r="H567" s="1">
        <v>12.93</v>
      </c>
      <c r="I567" s="169">
        <f>Imput[[#This Row],[Cantidad]]*Imput[[#This Row],[Precio Unitario]]</f>
        <v>38.79</v>
      </c>
      <c r="J567" s="11">
        <f>((Imput[[#This Row],[Sub total]])*(0.16))</f>
        <v>6.2064000000000004</v>
      </c>
      <c r="K567" s="11">
        <v>0</v>
      </c>
      <c r="L567" s="169">
        <f>Imput[[#This Row],[Sub total]]+Imput[[#This Row],[IVA]]-Imput[[#This Row],[Retención / IEPS / Descuento]]</f>
        <v>44.996400000000001</v>
      </c>
      <c r="M567" s="844">
        <v>0</v>
      </c>
      <c r="N567" s="189" t="s">
        <v>123</v>
      </c>
      <c r="O567" s="1"/>
      <c r="P567" s="189" t="s">
        <v>1489</v>
      </c>
      <c r="Q567" s="190" t="s">
        <v>1490</v>
      </c>
      <c r="R567" s="188">
        <v>45869</v>
      </c>
      <c r="S567" s="193" t="s">
        <v>126</v>
      </c>
      <c r="T567" s="192"/>
      <c r="U567" s="829"/>
      <c r="V567" s="10"/>
      <c r="W567" s="10"/>
      <c r="X567" s="10"/>
      <c r="Y567" s="10"/>
      <c r="Z567" s="10"/>
      <c r="AA567" s="11"/>
      <c r="AB567" s="11"/>
      <c r="AD567" s="260"/>
    </row>
    <row r="568" spans="2:30" x14ac:dyDescent="0.3">
      <c r="B568" s="10" t="s">
        <v>290</v>
      </c>
      <c r="C568" s="315" t="s">
        <v>1806</v>
      </c>
      <c r="D568" s="868" t="s">
        <v>1492</v>
      </c>
      <c r="E568" s="837" t="str">
        <f>IFERROR(IF(_xlfn.XLOOKUP(Imput[[#This Row],[RFC]],'Alta Proveedor'!D:D,'Alta Proveedor'!E:E)=0,"",_xlfn.XLOOKUP(Imput[[#This Row],[RFC]],'Alta Proveedor'!D:D,'Alta Proveedor'!E:E)),"")</f>
        <v>NUEVA WAL MART DE MEXICO</v>
      </c>
      <c r="F568" s="832" t="s">
        <v>1629</v>
      </c>
      <c r="G568" s="187">
        <v>4</v>
      </c>
      <c r="H568" s="1">
        <v>16.38</v>
      </c>
      <c r="I568" s="169">
        <f>Imput[[#This Row],[Cantidad]]*Imput[[#This Row],[Precio Unitario]]</f>
        <v>65.52</v>
      </c>
      <c r="J568" s="11">
        <f>((Imput[[#This Row],[Sub total]])*(0.16))</f>
        <v>10.4832</v>
      </c>
      <c r="K568" s="11">
        <v>0</v>
      </c>
      <c r="L568" s="169">
        <f>Imput[[#This Row],[Sub total]]+Imput[[#This Row],[IVA]]-Imput[[#This Row],[Retención / IEPS / Descuento]]</f>
        <v>76.003199999999993</v>
      </c>
      <c r="M568" s="844">
        <v>0</v>
      </c>
      <c r="N568" s="189" t="s">
        <v>123</v>
      </c>
      <c r="O568" s="1"/>
      <c r="P568" s="189" t="s">
        <v>1489</v>
      </c>
      <c r="Q568" s="190" t="s">
        <v>1490</v>
      </c>
      <c r="R568" s="188">
        <v>45869</v>
      </c>
      <c r="S568" s="193" t="s">
        <v>126</v>
      </c>
      <c r="T568" s="192"/>
      <c r="U568" s="829"/>
      <c r="V568" s="10"/>
      <c r="W568" s="10"/>
      <c r="X568" s="10"/>
      <c r="Y568" s="10"/>
      <c r="Z568" s="10"/>
      <c r="AA568" s="11"/>
      <c r="AB568" s="11"/>
      <c r="AD568" s="260"/>
    </row>
    <row r="569" spans="2:30" x14ac:dyDescent="0.3">
      <c r="B569" s="10" t="s">
        <v>290</v>
      </c>
      <c r="C569" s="315" t="s">
        <v>1806</v>
      </c>
      <c r="D569" s="868" t="s">
        <v>1492</v>
      </c>
      <c r="E569" s="837" t="str">
        <f>IFERROR(IF(_xlfn.XLOOKUP(Imput[[#This Row],[RFC]],'Alta Proveedor'!D:D,'Alta Proveedor'!E:E)=0,"",_xlfn.XLOOKUP(Imput[[#This Row],[RFC]],'Alta Proveedor'!D:D,'Alta Proveedor'!E:E)),"")</f>
        <v>NUEVA WAL MART DE MEXICO</v>
      </c>
      <c r="F569" s="832" t="s">
        <v>1725</v>
      </c>
      <c r="G569" s="187">
        <v>2</v>
      </c>
      <c r="H569" s="1">
        <v>36.207000000000001</v>
      </c>
      <c r="I569" s="169">
        <f>Imput[[#This Row],[Cantidad]]*Imput[[#This Row],[Precio Unitario]]</f>
        <v>72.414000000000001</v>
      </c>
      <c r="J569" s="11">
        <f>((Imput[[#This Row],[Sub total]])*(0.16))</f>
        <v>11.58624</v>
      </c>
      <c r="K569" s="11">
        <v>0</v>
      </c>
      <c r="L569" s="169">
        <f>Imput[[#This Row],[Sub total]]+Imput[[#This Row],[IVA]]-Imput[[#This Row],[Retención / IEPS / Descuento]]</f>
        <v>84.000240000000005</v>
      </c>
      <c r="M569" s="844">
        <v>0</v>
      </c>
      <c r="N569" s="189" t="s">
        <v>123</v>
      </c>
      <c r="O569" s="1"/>
      <c r="P569" s="189" t="s">
        <v>1489</v>
      </c>
      <c r="Q569" s="190" t="s">
        <v>1490</v>
      </c>
      <c r="R569" s="188">
        <v>45869</v>
      </c>
      <c r="S569" s="193" t="s">
        <v>126</v>
      </c>
      <c r="T569" s="192"/>
      <c r="U569" s="829"/>
      <c r="V569" s="10"/>
      <c r="W569" s="10"/>
      <c r="X569" s="10"/>
      <c r="Y569" s="10"/>
      <c r="Z569" s="10"/>
      <c r="AA569" s="11"/>
      <c r="AB569" s="11"/>
      <c r="AD569" s="260"/>
    </row>
    <row r="570" spans="2:30" x14ac:dyDescent="0.3">
      <c r="B570" s="10" t="s">
        <v>290</v>
      </c>
      <c r="C570" s="315" t="s">
        <v>1806</v>
      </c>
      <c r="D570" s="868" t="s">
        <v>1492</v>
      </c>
      <c r="E570" s="837" t="str">
        <f>IFERROR(IF(_xlfn.XLOOKUP(Imput[[#This Row],[RFC]],'Alta Proveedor'!D:D,'Alta Proveedor'!E:E)=0,"",_xlfn.XLOOKUP(Imput[[#This Row],[RFC]],'Alta Proveedor'!D:D,'Alta Proveedor'!E:E)),"")</f>
        <v>NUEVA WAL MART DE MEXICO</v>
      </c>
      <c r="F570" s="832" t="s">
        <v>1622</v>
      </c>
      <c r="G570" s="187">
        <v>2</v>
      </c>
      <c r="H570" s="1">
        <v>25.86</v>
      </c>
      <c r="I570" s="169">
        <f>Imput[[#This Row],[Cantidad]]*Imput[[#This Row],[Precio Unitario]]</f>
        <v>51.72</v>
      </c>
      <c r="J570" s="11">
        <f>((Imput[[#This Row],[Sub total]])*(0.16))</f>
        <v>8.2751999999999999</v>
      </c>
      <c r="K570" s="11">
        <v>0</v>
      </c>
      <c r="L570" s="169">
        <f>Imput[[#This Row],[Sub total]]+Imput[[#This Row],[IVA]]-Imput[[#This Row],[Retención / IEPS / Descuento]]</f>
        <v>59.995199999999997</v>
      </c>
      <c r="M570" s="844">
        <v>0</v>
      </c>
      <c r="N570" s="189" t="s">
        <v>123</v>
      </c>
      <c r="O570" s="1"/>
      <c r="P570" s="189" t="s">
        <v>1489</v>
      </c>
      <c r="Q570" s="190" t="s">
        <v>1490</v>
      </c>
      <c r="R570" s="188">
        <v>45869</v>
      </c>
      <c r="S570" s="193" t="s">
        <v>126</v>
      </c>
      <c r="T570" s="192"/>
      <c r="U570" s="829"/>
      <c r="V570" s="10"/>
      <c r="W570" s="10"/>
      <c r="X570" s="10"/>
      <c r="Y570" s="10"/>
      <c r="Z570" s="10"/>
      <c r="AA570" s="11"/>
      <c r="AB570" s="11"/>
      <c r="AD570" s="260"/>
    </row>
    <row r="571" spans="2:30" x14ac:dyDescent="0.3">
      <c r="B571" s="10" t="s">
        <v>290</v>
      </c>
      <c r="C571" s="315" t="s">
        <v>1754</v>
      </c>
      <c r="D571" s="868" t="s">
        <v>3081</v>
      </c>
      <c r="E571" s="837" t="str">
        <f>IFERROR(IF(_xlfn.XLOOKUP(Imput[[#This Row],[RFC]],'Alta Proveedor'!D:D,'Alta Proveedor'!E:E)=0,"",_xlfn.XLOOKUP(Imput[[#This Row],[RFC]],'Alta Proveedor'!D:D,'Alta Proveedor'!E:E)),"")</f>
        <v>NOMINA</v>
      </c>
      <c r="F571" s="832" t="s">
        <v>3106</v>
      </c>
      <c r="G571" s="187">
        <v>1</v>
      </c>
      <c r="H571" s="1">
        <v>22635.075000000001</v>
      </c>
      <c r="I571" s="169">
        <f>Imput[[#This Row],[Cantidad]]*Imput[[#This Row],[Precio Unitario]]</f>
        <v>22635.075000000001</v>
      </c>
      <c r="J571" s="11">
        <v>0</v>
      </c>
      <c r="K571" s="11">
        <v>0</v>
      </c>
      <c r="L571" s="169">
        <f>Imput[[#This Row],[Sub total]]+Imput[[#This Row],[IVA]]-Imput[[#This Row],[Retención / IEPS / Descuento]]</f>
        <v>22635.075000000001</v>
      </c>
      <c r="M571" s="844">
        <v>22635.075000000001</v>
      </c>
      <c r="N571" s="189"/>
      <c r="O571" s="1"/>
      <c r="P571" s="189" t="str">
        <f>Imput[[#This Row],[Folio]]</f>
        <v>IMSS 0207</v>
      </c>
      <c r="Q571" s="190" t="s">
        <v>3093</v>
      </c>
      <c r="R571" s="188">
        <v>45869</v>
      </c>
      <c r="S571" s="193"/>
      <c r="T571" s="192"/>
      <c r="U571" s="829" t="s">
        <v>3099</v>
      </c>
      <c r="V571" s="10"/>
      <c r="W571" s="10"/>
      <c r="X571" s="10"/>
      <c r="Y571" s="10"/>
      <c r="Z571" s="10"/>
      <c r="AA571" s="11"/>
      <c r="AB571" s="11"/>
      <c r="AD571" s="260"/>
    </row>
    <row r="572" spans="2:30" x14ac:dyDescent="0.3">
      <c r="B572" s="10" t="s">
        <v>290</v>
      </c>
      <c r="C572" s="315" t="s">
        <v>1747</v>
      </c>
      <c r="D572" s="868" t="s">
        <v>1365</v>
      </c>
      <c r="E572" s="837" t="str">
        <f>IFERROR(IF(_xlfn.XLOOKUP(Imput[[#This Row],[RFC]],'Alta Proveedor'!D:D,'Alta Proveedor'!E:E)=0,"",_xlfn.XLOOKUP(Imput[[#This Row],[RFC]],'Alta Proveedor'!D:D,'Alta Proveedor'!E:E)),"")</f>
        <v>HOTEL MANTE</v>
      </c>
      <c r="F572" s="832" t="s">
        <v>1482</v>
      </c>
      <c r="G572" s="187">
        <v>1</v>
      </c>
      <c r="H572" s="1">
        <v>882.35294099999999</v>
      </c>
      <c r="I572" s="169">
        <f>Imput[[#This Row],[Cantidad]]*Imput[[#This Row],[Precio Unitario]]</f>
        <v>882.35294099999999</v>
      </c>
      <c r="J572" s="11">
        <f>((Imput[[#This Row],[Sub total]])*(0.16))+26.47</f>
        <v>167.64647056000001</v>
      </c>
      <c r="K572" s="11">
        <v>0</v>
      </c>
      <c r="L572" s="169">
        <f>Imput[[#This Row],[Sub total]]+Imput[[#This Row],[IVA]]-Imput[[#This Row],[Retención / IEPS / Descuento]]</f>
        <v>1049.99941156</v>
      </c>
      <c r="M572" s="844">
        <v>1049.99941156</v>
      </c>
      <c r="N572" s="189" t="s">
        <v>123</v>
      </c>
      <c r="O572" s="1"/>
      <c r="P572" s="189" t="s">
        <v>1927</v>
      </c>
      <c r="Q572" s="190" t="s">
        <v>1928</v>
      </c>
      <c r="R572" s="188">
        <v>45869</v>
      </c>
      <c r="S572" s="193" t="s">
        <v>126</v>
      </c>
      <c r="T572" s="192"/>
      <c r="U572" s="829"/>
      <c r="V572" s="10"/>
      <c r="W572" s="10"/>
      <c r="X572" s="10"/>
      <c r="Y572" s="10"/>
      <c r="Z572" s="10"/>
      <c r="AA572" s="11"/>
      <c r="AB572" s="11"/>
      <c r="AD572" s="260"/>
    </row>
    <row r="573" spans="2:30" x14ac:dyDescent="0.3">
      <c r="B573" s="10" t="s">
        <v>290</v>
      </c>
      <c r="C573" s="315" t="s">
        <v>1747</v>
      </c>
      <c r="D573" s="868" t="s">
        <v>1365</v>
      </c>
      <c r="E573" s="837" t="str">
        <f>IFERROR(IF(_xlfn.XLOOKUP(Imput[[#This Row],[RFC]],'Alta Proveedor'!D:D,'Alta Proveedor'!E:E)=0,"",_xlfn.XLOOKUP(Imput[[#This Row],[RFC]],'Alta Proveedor'!D:D,'Alta Proveedor'!E:E)),"")</f>
        <v>HOTEL MANTE</v>
      </c>
      <c r="F573" s="832" t="s">
        <v>1482</v>
      </c>
      <c r="G573" s="187">
        <v>2</v>
      </c>
      <c r="H573" s="1">
        <v>882.35294099999999</v>
      </c>
      <c r="I573" s="169">
        <f>Imput[[#This Row],[Cantidad]]*Imput[[#This Row],[Precio Unitario]]</f>
        <v>1764.705882</v>
      </c>
      <c r="J573" s="11">
        <f>((Imput[[#This Row],[Sub total]])*(0.16))+52.94</f>
        <v>335.29294112000002</v>
      </c>
      <c r="K573" s="11">
        <v>0</v>
      </c>
      <c r="L573" s="169">
        <f>Imput[[#This Row],[Sub total]]+Imput[[#This Row],[IVA]]-Imput[[#This Row],[Retención / IEPS / Descuento]]</f>
        <v>2099.99882312</v>
      </c>
      <c r="M573" s="844">
        <v>2099.99882312</v>
      </c>
      <c r="N573" s="189" t="s">
        <v>123</v>
      </c>
      <c r="O573" s="1"/>
      <c r="P573" s="189" t="s">
        <v>1480</v>
      </c>
      <c r="Q573" s="190" t="s">
        <v>1481</v>
      </c>
      <c r="R573" s="188">
        <v>45869</v>
      </c>
      <c r="S573" s="193" t="s">
        <v>126</v>
      </c>
      <c r="T573" s="192"/>
      <c r="U573" s="829"/>
      <c r="V573" s="10"/>
      <c r="W573" s="10"/>
      <c r="X573" s="10"/>
      <c r="Y573" s="10"/>
      <c r="Z573" s="10"/>
      <c r="AA573" s="11"/>
      <c r="AB573" s="11"/>
      <c r="AD573" s="260"/>
    </row>
    <row r="574" spans="2:30" x14ac:dyDescent="0.3">
      <c r="B574" s="10" t="s">
        <v>290</v>
      </c>
      <c r="C574" s="315" t="s">
        <v>1747</v>
      </c>
      <c r="D574" s="868" t="s">
        <v>1365</v>
      </c>
      <c r="E574" s="837" t="str">
        <f>IFERROR(IF(_xlfn.XLOOKUP(Imput[[#This Row],[RFC]],'Alta Proveedor'!D:D,'Alta Proveedor'!E:E)=0,"",_xlfn.XLOOKUP(Imput[[#This Row],[RFC]],'Alta Proveedor'!D:D,'Alta Proveedor'!E:E)),"")</f>
        <v>HOTEL MANTE</v>
      </c>
      <c r="F574" s="832" t="s">
        <v>1482</v>
      </c>
      <c r="G574" s="187">
        <v>4</v>
      </c>
      <c r="H574" s="1">
        <v>882.35294099999999</v>
      </c>
      <c r="I574" s="169">
        <f>Imput[[#This Row],[Cantidad]]*Imput[[#This Row],[Precio Unitario]]</f>
        <v>3529.4117639999999</v>
      </c>
      <c r="J574" s="11">
        <f>((Imput[[#This Row],[Sub total]])*(0.16))+105.88</f>
        <v>670.58588224000005</v>
      </c>
      <c r="K574" s="11">
        <v>0</v>
      </c>
      <c r="L574" s="169">
        <f>Imput[[#This Row],[Sub total]]+Imput[[#This Row],[IVA]]-Imput[[#This Row],[Retención / IEPS / Descuento]]</f>
        <v>4199.99764624</v>
      </c>
      <c r="M574" s="844">
        <v>4199.99764624</v>
      </c>
      <c r="N574" s="189" t="s">
        <v>123</v>
      </c>
      <c r="O574" s="1"/>
      <c r="P574" s="189" t="s">
        <v>1483</v>
      </c>
      <c r="Q574" s="190" t="s">
        <v>1484</v>
      </c>
      <c r="R574" s="188">
        <v>45869</v>
      </c>
      <c r="S574" s="193" t="s">
        <v>126</v>
      </c>
      <c r="T574" s="192"/>
      <c r="U574" s="829"/>
      <c r="V574" s="10"/>
      <c r="W574" s="10"/>
      <c r="X574" s="10"/>
      <c r="Y574" s="10"/>
      <c r="Z574" s="10"/>
      <c r="AA574" s="11"/>
      <c r="AB574" s="11"/>
      <c r="AD574" s="260"/>
    </row>
    <row r="575" spans="2:30" x14ac:dyDescent="0.3">
      <c r="B575" s="10" t="s">
        <v>290</v>
      </c>
      <c r="C575" s="315" t="s">
        <v>1806</v>
      </c>
      <c r="D575" s="868" t="s">
        <v>1415</v>
      </c>
      <c r="E575" s="837" t="str">
        <f>IFERROR(IF(_xlfn.XLOOKUP(Imput[[#This Row],[RFC]],'Alta Proveedor'!D:D,'Alta Proveedor'!E:E)=0,"",_xlfn.XLOOKUP(Imput[[#This Row],[RFC]],'Alta Proveedor'!D:D,'Alta Proveedor'!E:E)),"")</f>
        <v>PEDRO ANTONIO ACEVES YAPUR "MIL HORNOS" (RESTAURANTE)</v>
      </c>
      <c r="F575" s="832" t="s">
        <v>159</v>
      </c>
      <c r="G575" s="187">
        <v>1</v>
      </c>
      <c r="H575" s="1">
        <v>965.51</v>
      </c>
      <c r="I575" s="169">
        <f>Imput[[#This Row],[Cantidad]]*Imput[[#This Row],[Precio Unitario]]</f>
        <v>965.51</v>
      </c>
      <c r="J575" s="11">
        <f>((Imput[[#This Row],[Sub total]])*(0.16))</f>
        <v>154.48160000000001</v>
      </c>
      <c r="K575" s="11">
        <v>0</v>
      </c>
      <c r="L575" s="169">
        <f>Imput[[#This Row],[Sub total]]+Imput[[#This Row],[IVA]]-Imput[[#This Row],[Retención / IEPS / Descuento]]</f>
        <v>1119.9916000000001</v>
      </c>
      <c r="M575" s="844">
        <v>1119.9916000000001</v>
      </c>
      <c r="N575" s="189" t="s">
        <v>123</v>
      </c>
      <c r="O575" s="1"/>
      <c r="P575" s="189" t="s">
        <v>1413</v>
      </c>
      <c r="Q575" s="190" t="s">
        <v>1414</v>
      </c>
      <c r="R575" s="188">
        <v>45869</v>
      </c>
      <c r="S575" s="193" t="s">
        <v>126</v>
      </c>
      <c r="T575" s="192"/>
      <c r="U575" s="829"/>
      <c r="V575" s="10"/>
      <c r="W575" s="10"/>
      <c r="X575" s="10"/>
      <c r="Y575" s="10"/>
      <c r="Z575" s="10"/>
      <c r="AA575" s="11"/>
      <c r="AB575" s="11"/>
      <c r="AD575" s="260"/>
    </row>
    <row r="576" spans="2:30" x14ac:dyDescent="0.3">
      <c r="B576" s="10" t="s">
        <v>290</v>
      </c>
      <c r="C576" s="315" t="s">
        <v>1806</v>
      </c>
      <c r="D576" s="868" t="s">
        <v>1478</v>
      </c>
      <c r="E576" s="837" t="str">
        <f>IFERROR(IF(_xlfn.XLOOKUP(Imput[[#This Row],[RFC]],'Alta Proveedor'!D:D,'Alta Proveedor'!E:E)=0,"",_xlfn.XLOOKUP(Imput[[#This Row],[RFC]],'Alta Proveedor'!D:D,'Alta Proveedor'!E:E)),"")</f>
        <v>HAMBURGUESAS MAFIS (CARL´S JR.)</v>
      </c>
      <c r="F576" s="832" t="s">
        <v>159</v>
      </c>
      <c r="G576" s="187">
        <v>1</v>
      </c>
      <c r="H576" s="1">
        <v>239.655</v>
      </c>
      <c r="I576" s="169">
        <f>Imput[[#This Row],[Cantidad]]*Imput[[#This Row],[Precio Unitario]]</f>
        <v>239.655</v>
      </c>
      <c r="J576" s="11">
        <f>((Imput[[#This Row],[Sub total]])*(0.16))</f>
        <v>38.344799999999999</v>
      </c>
      <c r="K576" s="11">
        <v>0</v>
      </c>
      <c r="L576" s="169">
        <f>Imput[[#This Row],[Sub total]]+Imput[[#This Row],[IVA]]-Imput[[#This Row],[Retención / IEPS / Descuento]]</f>
        <v>277.99979999999999</v>
      </c>
      <c r="M576" s="844">
        <v>277.99979999999999</v>
      </c>
      <c r="N576" s="189" t="s">
        <v>123</v>
      </c>
      <c r="O576" s="1"/>
      <c r="P576" s="189" t="s">
        <v>1476</v>
      </c>
      <c r="Q576" s="190" t="s">
        <v>1477</v>
      </c>
      <c r="R576" s="188">
        <v>45869</v>
      </c>
      <c r="S576" s="193" t="s">
        <v>126</v>
      </c>
      <c r="T576" s="192"/>
      <c r="U576" s="829"/>
      <c r="V576" s="10"/>
      <c r="W576" s="10"/>
      <c r="X576" s="10"/>
      <c r="Y576" s="10"/>
      <c r="Z576" s="10"/>
      <c r="AA576" s="11"/>
      <c r="AB576" s="11"/>
      <c r="AD576" s="260"/>
    </row>
    <row r="577" spans="2:30" x14ac:dyDescent="0.3">
      <c r="B577" s="10" t="s">
        <v>290</v>
      </c>
      <c r="C577" s="315" t="s">
        <v>1767</v>
      </c>
      <c r="D577" s="868" t="s">
        <v>1377</v>
      </c>
      <c r="E577" s="837" t="str">
        <f>IFERROR(IF(_xlfn.XLOOKUP(Imput[[#This Row],[RFC]],'Alta Proveedor'!D:D,'Alta Proveedor'!E:E)=0,"",_xlfn.XLOOKUP(Imput[[#This Row],[RFC]],'Alta Proveedor'!D:D,'Alta Proveedor'!E:E)),"")</f>
        <v>MERCANTIL MANTE E01283 (COMBUSTIBLES)</v>
      </c>
      <c r="F577" s="832" t="s">
        <v>237</v>
      </c>
      <c r="G577" s="187">
        <v>34.353000000000002</v>
      </c>
      <c r="H577" s="1">
        <f>710.7/Imput[[#This Row],[Cantidad]]</f>
        <v>20.688149506593312</v>
      </c>
      <c r="I577" s="169">
        <f>Imput[[#This Row],[Cantidad]]*Imput[[#This Row],[Precio Unitario]]</f>
        <v>710.7</v>
      </c>
      <c r="J577" s="11">
        <v>110.58</v>
      </c>
      <c r="K577" s="11">
        <v>0</v>
      </c>
      <c r="L577" s="169">
        <f>Imput[[#This Row],[Sub total]]+Imput[[#This Row],[IVA]]-Imput[[#This Row],[Retención / IEPS / Descuento]]</f>
        <v>821.28000000000009</v>
      </c>
      <c r="M577" s="844">
        <v>821.28000000000009</v>
      </c>
      <c r="N577" s="189" t="s">
        <v>123</v>
      </c>
      <c r="O577" s="1"/>
      <c r="P577" s="189" t="s">
        <v>1487</v>
      </c>
      <c r="Q577" s="190" t="s">
        <v>1488</v>
      </c>
      <c r="R577" s="188">
        <v>45869</v>
      </c>
      <c r="S577" s="193" t="s">
        <v>126</v>
      </c>
      <c r="T577" s="192"/>
      <c r="U577" s="829"/>
      <c r="V577" s="10"/>
      <c r="W577" s="10"/>
      <c r="X577" s="10"/>
      <c r="Y577" s="10"/>
      <c r="Z577" s="10"/>
      <c r="AA577" s="11"/>
      <c r="AB577" s="11"/>
      <c r="AD577" s="260"/>
    </row>
    <row r="578" spans="2:30" x14ac:dyDescent="0.3">
      <c r="B578" s="10" t="s">
        <v>290</v>
      </c>
      <c r="C578" s="315" t="s">
        <v>1743</v>
      </c>
      <c r="D578" s="868" t="s">
        <v>3118</v>
      </c>
      <c r="E578" s="837" t="str">
        <f>IFERROR(IF(_xlfn.XLOOKUP(Imput[[#This Row],[RFC]],'Alta Proveedor'!D:D,'Alta Proveedor'!E:E)=0,"",_xlfn.XLOOKUP(Imput[[#This Row],[RFC]],'Alta Proveedor'!D:D,'Alta Proveedor'!E:E)),"")</f>
        <v>Nomina-ADMON</v>
      </c>
      <c r="F578" s="832" t="s">
        <v>3041</v>
      </c>
      <c r="G578" s="187">
        <v>1</v>
      </c>
      <c r="H578" s="1">
        <v>0</v>
      </c>
      <c r="I578" s="169">
        <f>Imput[[#This Row],[Cantidad]]*Imput[[#This Row],[Precio Unitario]]</f>
        <v>0</v>
      </c>
      <c r="J578" s="11">
        <v>0</v>
      </c>
      <c r="K578" s="11">
        <v>0</v>
      </c>
      <c r="L578" s="169">
        <f>Imput[[#This Row],[Sub total]]+Imput[[#This Row],[IVA]]-Imput[[#This Row],[Retención / IEPS / Descuento]]</f>
        <v>0</v>
      </c>
      <c r="M578" s="844">
        <v>0</v>
      </c>
      <c r="N578" s="189" t="s">
        <v>363</v>
      </c>
      <c r="O578" s="1"/>
      <c r="P578" s="189"/>
      <c r="Q578" s="190"/>
      <c r="R578" s="188">
        <v>45869</v>
      </c>
      <c r="S578" s="193"/>
      <c r="T578" s="192"/>
      <c r="U578" s="829" t="s">
        <v>3099</v>
      </c>
      <c r="V578" s="10"/>
      <c r="W578" s="10"/>
      <c r="X578" s="10"/>
      <c r="Y578" s="10"/>
      <c r="Z578" s="10"/>
      <c r="AA578" s="11"/>
      <c r="AB578" s="11"/>
      <c r="AD578" s="260"/>
    </row>
    <row r="579" spans="2:30" x14ac:dyDescent="0.3">
      <c r="B579" s="10" t="s">
        <v>290</v>
      </c>
      <c r="C579" s="315" t="s">
        <v>1773</v>
      </c>
      <c r="D579" s="868" t="s">
        <v>3118</v>
      </c>
      <c r="E579" s="837" t="str">
        <f>IFERROR(IF(_xlfn.XLOOKUP(Imput[[#This Row],[RFC]],'Alta Proveedor'!D:D,'Alta Proveedor'!E:E)=0,"",_xlfn.XLOOKUP(Imput[[#This Row],[RFC]],'Alta Proveedor'!D:D,'Alta Proveedor'!E:E)),"")</f>
        <v>Nomina-ADMON</v>
      </c>
      <c r="F579" s="832" t="s">
        <v>3042</v>
      </c>
      <c r="G579" s="187">
        <v>1</v>
      </c>
      <c r="H579" s="1">
        <v>4182</v>
      </c>
      <c r="I579" s="169">
        <f>Imput[[#This Row],[Cantidad]]*Imput[[#This Row],[Precio Unitario]]</f>
        <v>4182</v>
      </c>
      <c r="J579" s="11">
        <v>0</v>
      </c>
      <c r="K579" s="11">
        <v>0</v>
      </c>
      <c r="L579" s="169">
        <f>Imput[[#This Row],[Sub total]]+Imput[[#This Row],[IVA]]-Imput[[#This Row],[Retención / IEPS / Descuento]]</f>
        <v>4182</v>
      </c>
      <c r="M579" s="844">
        <v>4182</v>
      </c>
      <c r="N579" s="189" t="s">
        <v>363</v>
      </c>
      <c r="O579" s="1"/>
      <c r="P579" s="189"/>
      <c r="Q579" s="190"/>
      <c r="R579" s="188">
        <v>45869</v>
      </c>
      <c r="S579" s="193"/>
      <c r="T579" s="192"/>
      <c r="U579" s="829" t="s">
        <v>3099</v>
      </c>
      <c r="V579" s="10"/>
      <c r="W579" s="10"/>
      <c r="X579" s="10"/>
      <c r="Y579" s="10"/>
      <c r="Z579" s="10"/>
      <c r="AA579" s="11"/>
      <c r="AB579" s="11"/>
      <c r="AD579" s="260"/>
    </row>
    <row r="580" spans="2:30" x14ac:dyDescent="0.3">
      <c r="B580" s="10" t="s">
        <v>290</v>
      </c>
      <c r="C580" s="315" t="s">
        <v>1784</v>
      </c>
      <c r="D580" s="868" t="s">
        <v>3118</v>
      </c>
      <c r="E580" s="837" t="str">
        <f>IFERROR(IF(_xlfn.XLOOKUP(Imput[[#This Row],[RFC]],'Alta Proveedor'!D:D,'Alta Proveedor'!E:E)=0,"",_xlfn.XLOOKUP(Imput[[#This Row],[RFC]],'Alta Proveedor'!D:D,'Alta Proveedor'!E:E)),"")</f>
        <v>Nomina-ADMON</v>
      </c>
      <c r="F580" s="832" t="s">
        <v>3043</v>
      </c>
      <c r="G580" s="187">
        <v>1</v>
      </c>
      <c r="H580" s="1">
        <v>0</v>
      </c>
      <c r="I580" s="169">
        <f>Imput[[#This Row],[Cantidad]]*Imput[[#This Row],[Precio Unitario]]</f>
        <v>0</v>
      </c>
      <c r="J580" s="11">
        <v>0</v>
      </c>
      <c r="K580" s="11">
        <v>0</v>
      </c>
      <c r="L580" s="169">
        <f>Imput[[#This Row],[Sub total]]+Imput[[#This Row],[IVA]]-Imput[[#This Row],[Retención / IEPS / Descuento]]</f>
        <v>0</v>
      </c>
      <c r="M580" s="844">
        <v>0</v>
      </c>
      <c r="N580" s="189" t="s">
        <v>363</v>
      </c>
      <c r="O580" s="1"/>
      <c r="P580" s="189"/>
      <c r="Q580" s="190"/>
      <c r="R580" s="188">
        <v>45869</v>
      </c>
      <c r="S580" s="193"/>
      <c r="T580" s="192"/>
      <c r="U580" s="829" t="s">
        <v>3099</v>
      </c>
      <c r="V580" s="10"/>
      <c r="W580" s="10"/>
      <c r="X580" s="10"/>
      <c r="Y580" s="10"/>
      <c r="Z580" s="10"/>
      <c r="AA580" s="11"/>
      <c r="AB580" s="11"/>
      <c r="AD580" s="260"/>
    </row>
    <row r="581" spans="2:30" x14ac:dyDescent="0.3">
      <c r="B581" s="10" t="s">
        <v>290</v>
      </c>
      <c r="C581" s="315" t="s">
        <v>1756</v>
      </c>
      <c r="D581" s="868" t="s">
        <v>3118</v>
      </c>
      <c r="E581" s="837" t="str">
        <f>IFERROR(IF(_xlfn.XLOOKUP(Imput[[#This Row],[RFC]],'Alta Proveedor'!D:D,'Alta Proveedor'!E:E)=0,"",_xlfn.XLOOKUP(Imput[[#This Row],[RFC]],'Alta Proveedor'!D:D,'Alta Proveedor'!E:E)),"")</f>
        <v>Nomina-ADMON</v>
      </c>
      <c r="F581" s="832" t="s">
        <v>3044</v>
      </c>
      <c r="G581" s="187">
        <v>1</v>
      </c>
      <c r="H581" s="1">
        <v>4182</v>
      </c>
      <c r="I581" s="169">
        <f>Imput[[#This Row],[Cantidad]]*Imput[[#This Row],[Precio Unitario]]</f>
        <v>4182</v>
      </c>
      <c r="J581" s="11">
        <v>0</v>
      </c>
      <c r="K581" s="11">
        <v>0</v>
      </c>
      <c r="L581" s="169">
        <f>Imput[[#This Row],[Sub total]]+Imput[[#This Row],[IVA]]-Imput[[#This Row],[Retención / IEPS / Descuento]]</f>
        <v>4182</v>
      </c>
      <c r="M581" s="844">
        <v>4182</v>
      </c>
      <c r="N581" s="189" t="s">
        <v>363</v>
      </c>
      <c r="O581" s="1"/>
      <c r="P581" s="189"/>
      <c r="Q581" s="190"/>
      <c r="R581" s="188">
        <v>45869</v>
      </c>
      <c r="S581" s="193"/>
      <c r="T581" s="192"/>
      <c r="U581" s="829" t="s">
        <v>3099</v>
      </c>
      <c r="V581" s="10"/>
      <c r="W581" s="10"/>
      <c r="X581" s="10"/>
      <c r="Y581" s="10"/>
      <c r="Z581" s="10"/>
      <c r="AA581" s="11"/>
      <c r="AB581" s="11"/>
      <c r="AD581" s="260"/>
    </row>
    <row r="582" spans="2:30" x14ac:dyDescent="0.3">
      <c r="B582" s="10" t="s">
        <v>290</v>
      </c>
      <c r="C582" s="315" t="s">
        <v>1774</v>
      </c>
      <c r="D582" s="868" t="s">
        <v>3118</v>
      </c>
      <c r="E582" s="837" t="str">
        <f>IFERROR(IF(_xlfn.XLOOKUP(Imput[[#This Row],[RFC]],'Alta Proveedor'!D:D,'Alta Proveedor'!E:E)=0,"",_xlfn.XLOOKUP(Imput[[#This Row],[RFC]],'Alta Proveedor'!D:D,'Alta Proveedor'!E:E)),"")</f>
        <v>Nomina-ADMON</v>
      </c>
      <c r="F582" s="832" t="s">
        <v>3045</v>
      </c>
      <c r="G582" s="187">
        <v>1</v>
      </c>
      <c r="H582" s="1">
        <v>4182</v>
      </c>
      <c r="I582" s="169">
        <f>Imput[[#This Row],[Cantidad]]*Imput[[#This Row],[Precio Unitario]]</f>
        <v>4182</v>
      </c>
      <c r="J582" s="11">
        <v>0</v>
      </c>
      <c r="K582" s="11">
        <v>0</v>
      </c>
      <c r="L582" s="169">
        <f>Imput[[#This Row],[Sub total]]+Imput[[#This Row],[IVA]]-Imput[[#This Row],[Retención / IEPS / Descuento]]</f>
        <v>4182</v>
      </c>
      <c r="M582" s="844">
        <v>4182</v>
      </c>
      <c r="N582" s="189" t="s">
        <v>363</v>
      </c>
      <c r="O582" s="1"/>
      <c r="P582" s="189"/>
      <c r="Q582" s="190"/>
      <c r="R582" s="188">
        <v>45869</v>
      </c>
      <c r="S582" s="193"/>
      <c r="T582" s="192"/>
      <c r="U582" s="829" t="s">
        <v>3099</v>
      </c>
      <c r="V582" s="10"/>
      <c r="W582" s="10"/>
      <c r="X582" s="10"/>
      <c r="Y582" s="10"/>
      <c r="Z582" s="10"/>
      <c r="AA582" s="11"/>
      <c r="AB582" s="11"/>
      <c r="AD582" s="260"/>
    </row>
    <row r="583" spans="2:30" x14ac:dyDescent="0.3">
      <c r="B583" s="10" t="s">
        <v>290</v>
      </c>
      <c r="C583" s="315" t="s">
        <v>1754</v>
      </c>
      <c r="D583" s="868" t="s">
        <v>3118</v>
      </c>
      <c r="E583" s="837" t="str">
        <f>IFERROR(IF(_xlfn.XLOOKUP(Imput[[#This Row],[RFC]],'Alta Proveedor'!D:D,'Alta Proveedor'!E:E)=0,"",_xlfn.XLOOKUP(Imput[[#This Row],[RFC]],'Alta Proveedor'!D:D,'Alta Proveedor'!E:E)),"")</f>
        <v>Nomina-ADMON</v>
      </c>
      <c r="F583" s="832" t="s">
        <v>3046</v>
      </c>
      <c r="G583" s="187">
        <v>1</v>
      </c>
      <c r="H583" s="1">
        <v>4182</v>
      </c>
      <c r="I583" s="169">
        <f>Imput[[#This Row],[Cantidad]]*Imput[[#This Row],[Precio Unitario]]</f>
        <v>4182</v>
      </c>
      <c r="J583" s="11">
        <v>0</v>
      </c>
      <c r="K583" s="11">
        <v>0</v>
      </c>
      <c r="L583" s="169">
        <f>Imput[[#This Row],[Sub total]]+Imput[[#This Row],[IVA]]-Imput[[#This Row],[Retención / IEPS / Descuento]]</f>
        <v>4182</v>
      </c>
      <c r="M583" s="844">
        <v>4182</v>
      </c>
      <c r="N583" s="189" t="s">
        <v>363</v>
      </c>
      <c r="O583" s="1"/>
      <c r="P583" s="189"/>
      <c r="Q583" s="190"/>
      <c r="R583" s="188">
        <v>45869</v>
      </c>
      <c r="S583" s="193"/>
      <c r="T583" s="192"/>
      <c r="U583" s="829" t="s">
        <v>3099</v>
      </c>
      <c r="V583" s="10"/>
      <c r="W583" s="10"/>
      <c r="X583" s="10"/>
      <c r="Y583" s="10"/>
      <c r="Z583" s="10"/>
      <c r="AA583" s="11"/>
      <c r="AB583" s="11"/>
      <c r="AD583" s="260"/>
    </row>
    <row r="584" spans="2:30" x14ac:dyDescent="0.3">
      <c r="B584" s="10" t="s">
        <v>290</v>
      </c>
      <c r="C584" s="315" t="s">
        <v>1743</v>
      </c>
      <c r="D584" s="868" t="s">
        <v>3118</v>
      </c>
      <c r="E584" s="837" t="str">
        <f>IFERROR(IF(_xlfn.XLOOKUP(Imput[[#This Row],[RFC]],'Alta Proveedor'!D:D,'Alta Proveedor'!E:E)=0,"",_xlfn.XLOOKUP(Imput[[#This Row],[RFC]],'Alta Proveedor'!D:D,'Alta Proveedor'!E:E)),"")</f>
        <v>Nomina-ADMON</v>
      </c>
      <c r="F584" s="832" t="s">
        <v>3047</v>
      </c>
      <c r="G584" s="187">
        <v>1</v>
      </c>
      <c r="H584" s="1">
        <v>10000</v>
      </c>
      <c r="I584" s="169">
        <f>Imput[[#This Row],[Cantidad]]*Imput[[#This Row],[Precio Unitario]]</f>
        <v>10000</v>
      </c>
      <c r="J584" s="11">
        <f>((Imput[[#This Row],[Sub total]])*(0.08))</f>
        <v>800</v>
      </c>
      <c r="K584" s="11">
        <v>0</v>
      </c>
      <c r="L584" s="169">
        <f>Imput[[#This Row],[Sub total]]+Imput[[#This Row],[IVA]]-Imput[[#This Row],[Retención / IEPS / Descuento]]</f>
        <v>10800</v>
      </c>
      <c r="M584" s="844">
        <v>10800</v>
      </c>
      <c r="N584" s="189" t="s">
        <v>363</v>
      </c>
      <c r="O584" s="1"/>
      <c r="P584" s="189"/>
      <c r="Q584" s="190"/>
      <c r="R584" s="188">
        <v>45869</v>
      </c>
      <c r="S584" s="193"/>
      <c r="T584" s="192"/>
      <c r="U584" s="829" t="s">
        <v>3099</v>
      </c>
      <c r="V584" s="10"/>
      <c r="W584" s="10"/>
      <c r="X584" s="10"/>
      <c r="Y584" s="10"/>
      <c r="Z584" s="10"/>
      <c r="AA584" s="11"/>
      <c r="AB584" s="11"/>
      <c r="AD584" s="260"/>
    </row>
    <row r="585" spans="2:30" x14ac:dyDescent="0.3">
      <c r="B585" s="10" t="s">
        <v>290</v>
      </c>
      <c r="C585" s="315" t="s">
        <v>1773</v>
      </c>
      <c r="D585" s="868" t="s">
        <v>3118</v>
      </c>
      <c r="E585" s="837" t="str">
        <f>IFERROR(IF(_xlfn.XLOOKUP(Imput[[#This Row],[RFC]],'Alta Proveedor'!D:D,'Alta Proveedor'!E:E)=0,"",_xlfn.XLOOKUP(Imput[[#This Row],[RFC]],'Alta Proveedor'!D:D,'Alta Proveedor'!E:E)),"")</f>
        <v>Nomina-ADMON</v>
      </c>
      <c r="F585" s="832" t="s">
        <v>3048</v>
      </c>
      <c r="G585" s="187">
        <v>1</v>
      </c>
      <c r="H585" s="1">
        <v>2318</v>
      </c>
      <c r="I585" s="169">
        <f>Imput[[#This Row],[Cantidad]]*Imput[[#This Row],[Precio Unitario]]</f>
        <v>2318</v>
      </c>
      <c r="J585" s="11">
        <f>((Imput[[#This Row],[Sub total]])*(0.08))</f>
        <v>185.44</v>
      </c>
      <c r="K585" s="11">
        <v>0</v>
      </c>
      <c r="L585" s="169">
        <f>Imput[[#This Row],[Sub total]]+Imput[[#This Row],[IVA]]-Imput[[#This Row],[Retención / IEPS / Descuento]]</f>
        <v>2503.44</v>
      </c>
      <c r="M585" s="844">
        <v>2503.44</v>
      </c>
      <c r="N585" s="189" t="s">
        <v>363</v>
      </c>
      <c r="O585" s="1"/>
      <c r="P585" s="189"/>
      <c r="Q585" s="190"/>
      <c r="R585" s="188">
        <v>45869</v>
      </c>
      <c r="S585" s="193"/>
      <c r="T585" s="192"/>
      <c r="U585" s="829" t="s">
        <v>3099</v>
      </c>
      <c r="V585" s="10"/>
      <c r="W585" s="10"/>
      <c r="X585" s="10"/>
      <c r="Y585" s="10"/>
      <c r="Z585" s="10"/>
      <c r="AA585" s="11"/>
      <c r="AB585" s="11"/>
      <c r="AD585" s="260"/>
    </row>
    <row r="586" spans="2:30" x14ac:dyDescent="0.3">
      <c r="B586" s="10" t="s">
        <v>290</v>
      </c>
      <c r="C586" s="315" t="s">
        <v>1784</v>
      </c>
      <c r="D586" s="868" t="s">
        <v>3118</v>
      </c>
      <c r="E586" s="837" t="str">
        <f>IFERROR(IF(_xlfn.XLOOKUP(Imput[[#This Row],[RFC]],'Alta Proveedor'!D:D,'Alta Proveedor'!E:E)=0,"",_xlfn.XLOOKUP(Imput[[#This Row],[RFC]],'Alta Proveedor'!D:D,'Alta Proveedor'!E:E)),"")</f>
        <v>Nomina-ADMON</v>
      </c>
      <c r="F586" s="832" t="s">
        <v>3049</v>
      </c>
      <c r="G586" s="187">
        <v>1</v>
      </c>
      <c r="H586" s="1">
        <v>6000</v>
      </c>
      <c r="I586" s="169">
        <f>Imput[[#This Row],[Cantidad]]*Imput[[#This Row],[Precio Unitario]]</f>
        <v>6000</v>
      </c>
      <c r="J586" s="11">
        <f>((Imput[[#This Row],[Sub total]])*(0.08))</f>
        <v>480</v>
      </c>
      <c r="K586" s="11">
        <v>0</v>
      </c>
      <c r="L586" s="169">
        <f>Imput[[#This Row],[Sub total]]+Imput[[#This Row],[IVA]]-Imput[[#This Row],[Retención / IEPS / Descuento]]</f>
        <v>6480</v>
      </c>
      <c r="M586" s="844">
        <v>6480</v>
      </c>
      <c r="N586" s="189" t="s">
        <v>363</v>
      </c>
      <c r="O586" s="1"/>
      <c r="P586" s="189"/>
      <c r="Q586" s="190"/>
      <c r="R586" s="188">
        <v>45869</v>
      </c>
      <c r="S586" s="193"/>
      <c r="T586" s="192"/>
      <c r="U586" s="829" t="s">
        <v>3099</v>
      </c>
      <c r="V586" s="10"/>
      <c r="W586" s="10"/>
      <c r="X586" s="10"/>
      <c r="Y586" s="10"/>
      <c r="Z586" s="10"/>
      <c r="AA586" s="11"/>
      <c r="AB586" s="11"/>
      <c r="AD586" s="260"/>
    </row>
    <row r="587" spans="2:30" x14ac:dyDescent="0.3">
      <c r="B587" s="10" t="s">
        <v>290</v>
      </c>
      <c r="C587" s="315" t="s">
        <v>1756</v>
      </c>
      <c r="D587" s="868" t="s">
        <v>3118</v>
      </c>
      <c r="E587" s="837" t="str">
        <f>IFERROR(IF(_xlfn.XLOOKUP(Imput[[#This Row],[RFC]],'Alta Proveedor'!D:D,'Alta Proveedor'!E:E)=0,"",_xlfn.XLOOKUP(Imput[[#This Row],[RFC]],'Alta Proveedor'!D:D,'Alta Proveedor'!E:E)),"")</f>
        <v>Nomina-ADMON</v>
      </c>
      <c r="F587" s="832" t="s">
        <v>3050</v>
      </c>
      <c r="G587" s="187">
        <v>1</v>
      </c>
      <c r="H587" s="1">
        <v>6533</v>
      </c>
      <c r="I587" s="169">
        <f>Imput[[#This Row],[Cantidad]]*Imput[[#This Row],[Precio Unitario]]</f>
        <v>6533</v>
      </c>
      <c r="J587" s="11">
        <f>((Imput[[#This Row],[Sub total]])*(0.08))</f>
        <v>522.64</v>
      </c>
      <c r="K587" s="11">
        <v>0</v>
      </c>
      <c r="L587" s="169">
        <f>Imput[[#This Row],[Sub total]]+Imput[[#This Row],[IVA]]-Imput[[#This Row],[Retención / IEPS / Descuento]]</f>
        <v>7055.64</v>
      </c>
      <c r="M587" s="844">
        <v>7055.64</v>
      </c>
      <c r="N587" s="189" t="s">
        <v>363</v>
      </c>
      <c r="O587" s="1"/>
      <c r="P587" s="189"/>
      <c r="Q587" s="190"/>
      <c r="R587" s="188">
        <v>45869</v>
      </c>
      <c r="S587" s="193"/>
      <c r="T587" s="192"/>
      <c r="U587" s="829" t="s">
        <v>3099</v>
      </c>
      <c r="V587" s="10"/>
      <c r="W587" s="10"/>
      <c r="X587" s="10"/>
      <c r="Y587" s="10"/>
      <c r="Z587" s="10"/>
      <c r="AA587" s="11"/>
      <c r="AB587" s="11"/>
      <c r="AD587" s="260"/>
    </row>
    <row r="588" spans="2:30" x14ac:dyDescent="0.3">
      <c r="B588" s="10" t="s">
        <v>290</v>
      </c>
      <c r="C588" s="315" t="s">
        <v>1774</v>
      </c>
      <c r="D588" s="868" t="s">
        <v>3118</v>
      </c>
      <c r="E588" s="837" t="str">
        <f>IFERROR(IF(_xlfn.XLOOKUP(Imput[[#This Row],[RFC]],'Alta Proveedor'!D:D,'Alta Proveedor'!E:E)=0,"",_xlfn.XLOOKUP(Imput[[#This Row],[RFC]],'Alta Proveedor'!D:D,'Alta Proveedor'!E:E)),"")</f>
        <v>Nomina-ADMON</v>
      </c>
      <c r="F588" s="832" t="s">
        <v>3051</v>
      </c>
      <c r="G588" s="187">
        <v>1</v>
      </c>
      <c r="H588" s="1">
        <v>11313.6</v>
      </c>
      <c r="I588" s="169">
        <f>Imput[[#This Row],[Cantidad]]*Imput[[#This Row],[Precio Unitario]]</f>
        <v>11313.6</v>
      </c>
      <c r="J588" s="11">
        <f>((Imput[[#This Row],[Sub total]])*(0.08))</f>
        <v>905.08800000000008</v>
      </c>
      <c r="K588" s="11">
        <v>0</v>
      </c>
      <c r="L588" s="169">
        <f>Imput[[#This Row],[Sub total]]+Imput[[#This Row],[IVA]]-Imput[[#This Row],[Retención / IEPS / Descuento]]</f>
        <v>12218.688</v>
      </c>
      <c r="M588" s="844">
        <v>12218.688</v>
      </c>
      <c r="N588" s="189" t="s">
        <v>363</v>
      </c>
      <c r="O588" s="1"/>
      <c r="P588" s="189"/>
      <c r="Q588" s="190"/>
      <c r="R588" s="188">
        <v>45869</v>
      </c>
      <c r="S588" s="193"/>
      <c r="T588" s="192"/>
      <c r="U588" s="829" t="s">
        <v>3099</v>
      </c>
      <c r="V588" s="10"/>
      <c r="W588" s="10"/>
      <c r="X588" s="10"/>
      <c r="Y588" s="10"/>
      <c r="Z588" s="10"/>
      <c r="AA588" s="11"/>
      <c r="AB588" s="11"/>
      <c r="AD588" s="260"/>
    </row>
    <row r="589" spans="2:30" x14ac:dyDescent="0.3">
      <c r="B589" s="10" t="s">
        <v>290</v>
      </c>
      <c r="C589" s="315" t="s">
        <v>1754</v>
      </c>
      <c r="D589" s="868" t="s">
        <v>3118</v>
      </c>
      <c r="E589" s="837" t="str">
        <f>IFERROR(IF(_xlfn.XLOOKUP(Imput[[#This Row],[RFC]],'Alta Proveedor'!D:D,'Alta Proveedor'!E:E)=0,"",_xlfn.XLOOKUP(Imput[[#This Row],[RFC]],'Alta Proveedor'!D:D,'Alta Proveedor'!E:E)),"")</f>
        <v>Nomina-ADMON</v>
      </c>
      <c r="F589" s="832" t="s">
        <v>3052</v>
      </c>
      <c r="G589" s="187">
        <v>1</v>
      </c>
      <c r="H589" s="1">
        <v>9818</v>
      </c>
      <c r="I589" s="169">
        <f>Imput[[#This Row],[Cantidad]]*Imput[[#This Row],[Precio Unitario]]</f>
        <v>9818</v>
      </c>
      <c r="J589" s="11">
        <f>((Imput[[#This Row],[Sub total]])*(0.08))</f>
        <v>785.44</v>
      </c>
      <c r="K589" s="11">
        <v>0</v>
      </c>
      <c r="L589" s="169">
        <f>Imput[[#This Row],[Sub total]]+Imput[[#This Row],[IVA]]-Imput[[#This Row],[Retención / IEPS / Descuento]]</f>
        <v>10603.44</v>
      </c>
      <c r="M589" s="844">
        <v>10603.44</v>
      </c>
      <c r="N589" s="189" t="s">
        <v>363</v>
      </c>
      <c r="O589" s="1"/>
      <c r="P589" s="189"/>
      <c r="Q589" s="190"/>
      <c r="R589" s="188">
        <v>45869</v>
      </c>
      <c r="S589" s="193"/>
      <c r="T589" s="192"/>
      <c r="U589" s="829" t="s">
        <v>3099</v>
      </c>
      <c r="V589" s="10"/>
      <c r="W589" s="10"/>
      <c r="X589" s="10"/>
      <c r="Y589" s="10"/>
      <c r="Z589" s="10"/>
      <c r="AA589" s="11"/>
      <c r="AB589" s="11"/>
      <c r="AD589" s="260"/>
    </row>
    <row r="590" spans="2:30" x14ac:dyDescent="0.3">
      <c r="B590" s="10" t="s">
        <v>290</v>
      </c>
      <c r="C590" s="315" t="s">
        <v>1133</v>
      </c>
      <c r="D590" s="868" t="s">
        <v>3119</v>
      </c>
      <c r="E590" s="837" t="str">
        <f>IFERROR(IF(_xlfn.XLOOKUP(Imput[[#This Row],[RFC]],'Alta Proveedor'!D:D,'Alta Proveedor'!E:E)=0,"",_xlfn.XLOOKUP(Imput[[#This Row],[RFC]],'Alta Proveedor'!D:D,'Alta Proveedor'!E:E)),"")</f>
        <v>Nomina-OPERACIÓN</v>
      </c>
      <c r="F590" s="836" t="s">
        <v>3157</v>
      </c>
      <c r="G590" s="187">
        <v>1</v>
      </c>
      <c r="H590" s="1">
        <v>4000</v>
      </c>
      <c r="I590" s="169">
        <f>Imput[[#This Row],[Cantidad]]*Imput[[#This Row],[Precio Unitario]]</f>
        <v>4000</v>
      </c>
      <c r="J590" s="11">
        <f>Imput[[#This Row],[Sub total]]*0.08</f>
        <v>320</v>
      </c>
      <c r="K590" s="11">
        <v>0</v>
      </c>
      <c r="L590" s="169">
        <f>Imput[[#This Row],[Sub total]]+Imput[[#This Row],[IVA]]-Imput[[#This Row],[Retención / IEPS / Descuento]]</f>
        <v>4320</v>
      </c>
      <c r="M590" s="844">
        <v>4320</v>
      </c>
      <c r="N590" s="189"/>
      <c r="O590" s="1"/>
      <c r="P590" s="189"/>
      <c r="Q590" s="190"/>
      <c r="R590" s="188">
        <v>45869</v>
      </c>
      <c r="S590" s="193"/>
      <c r="T590" s="192"/>
      <c r="U590" s="867" t="s">
        <v>3225</v>
      </c>
      <c r="V590" s="10"/>
      <c r="W590" s="10"/>
      <c r="X590" s="10"/>
      <c r="Y590" s="10"/>
      <c r="Z590" s="10"/>
      <c r="AA590" s="11"/>
      <c r="AB590" s="11"/>
      <c r="AD590" s="260"/>
    </row>
    <row r="591" spans="2:30" x14ac:dyDescent="0.3">
      <c r="B591" s="10" t="s">
        <v>290</v>
      </c>
      <c r="C591" s="315" t="s">
        <v>1133</v>
      </c>
      <c r="D591" s="868" t="s">
        <v>3119</v>
      </c>
      <c r="E591" s="837" t="str">
        <f>IFERROR(IF(_xlfn.XLOOKUP(Imput[[#This Row],[RFC]],'Alta Proveedor'!D:D,'Alta Proveedor'!E:E)=0,"",_xlfn.XLOOKUP(Imput[[#This Row],[RFC]],'Alta Proveedor'!D:D,'Alta Proveedor'!E:E)),"")</f>
        <v>Nomina-OPERACIÓN</v>
      </c>
      <c r="F591" s="836" t="s">
        <v>3158</v>
      </c>
      <c r="G591" s="187">
        <v>1</v>
      </c>
      <c r="H591" s="1">
        <v>2500</v>
      </c>
      <c r="I591" s="169">
        <f>Imput[[#This Row],[Cantidad]]*Imput[[#This Row],[Precio Unitario]]</f>
        <v>2500</v>
      </c>
      <c r="J591" s="11">
        <f>Imput[[#This Row],[Sub total]]*0.08</f>
        <v>200</v>
      </c>
      <c r="K591" s="11">
        <v>0</v>
      </c>
      <c r="L591" s="169">
        <f>Imput[[#This Row],[Sub total]]+Imput[[#This Row],[IVA]]-Imput[[#This Row],[Retención / IEPS / Descuento]]</f>
        <v>2700</v>
      </c>
      <c r="M591" s="844">
        <v>2700</v>
      </c>
      <c r="N591" s="189"/>
      <c r="O591" s="1"/>
      <c r="P591" s="189"/>
      <c r="Q591" s="190"/>
      <c r="R591" s="188">
        <v>45869</v>
      </c>
      <c r="S591" s="193"/>
      <c r="T591" s="192"/>
      <c r="U591" s="867" t="s">
        <v>3225</v>
      </c>
      <c r="V591" s="10"/>
      <c r="W591" s="10"/>
      <c r="X591" s="10"/>
      <c r="Y591" s="10"/>
      <c r="Z591" s="10"/>
      <c r="AA591" s="11"/>
      <c r="AB591" s="11"/>
      <c r="AD591" s="260"/>
    </row>
    <row r="592" spans="2:30" x14ac:dyDescent="0.3">
      <c r="B592" s="10" t="s">
        <v>383</v>
      </c>
      <c r="C592" s="315" t="s">
        <v>2246</v>
      </c>
      <c r="D592" s="868" t="s">
        <v>1568</v>
      </c>
      <c r="E592" s="837" t="str">
        <f>IFERROR(IF(_xlfn.XLOOKUP(Imput[[#This Row],[RFC]],'Alta Proveedor'!D:D,'Alta Proveedor'!E:E)=0,"",_xlfn.XLOOKUP(Imput[[#This Row],[RFC]],'Alta Proveedor'!D:D,'Alta Proveedor'!E:E)),"")</f>
        <v>DISTRIBUIDORA TAMEX S.A.P.I. DE C.V.</v>
      </c>
      <c r="F592" s="832" t="s">
        <v>1729</v>
      </c>
      <c r="G592" s="187">
        <v>2</v>
      </c>
      <c r="H592" s="1">
        <v>38.186</v>
      </c>
      <c r="I592" s="169">
        <f>Imput[[#This Row],[Cantidad]]*Imput[[#This Row],[Precio Unitario]]</f>
        <v>76.372</v>
      </c>
      <c r="J592" s="11">
        <f>((Imput[[#This Row],[Sub total]])*(0.16))</f>
        <v>12.219520000000001</v>
      </c>
      <c r="K592" s="11">
        <v>0</v>
      </c>
      <c r="L592" s="169">
        <f>Imput[[#This Row],[Sub total]]+Imput[[#This Row],[IVA]]-Imput[[#This Row],[Retención / IEPS / Descuento]]</f>
        <v>88.591520000000003</v>
      </c>
      <c r="M592" s="844">
        <v>216.90782000000002</v>
      </c>
      <c r="N592" s="189" t="s">
        <v>123</v>
      </c>
      <c r="O592" s="1"/>
      <c r="P592" s="189" t="s">
        <v>1565</v>
      </c>
      <c r="Q592" s="190" t="s">
        <v>1566</v>
      </c>
      <c r="R592" s="188">
        <v>45870</v>
      </c>
      <c r="S592" s="193" t="s">
        <v>126</v>
      </c>
      <c r="T592" s="192"/>
      <c r="U592" s="829"/>
      <c r="V592" s="10"/>
      <c r="W592" s="10"/>
      <c r="X592" s="10"/>
      <c r="Y592" s="10"/>
      <c r="Z592" s="10"/>
      <c r="AA592" s="11"/>
      <c r="AB592" s="11"/>
      <c r="AD592" s="260"/>
    </row>
    <row r="593" spans="2:30" x14ac:dyDescent="0.3">
      <c r="B593" s="10" t="s">
        <v>383</v>
      </c>
      <c r="C593" s="315" t="s">
        <v>2246</v>
      </c>
      <c r="D593" s="868" t="s">
        <v>1568</v>
      </c>
      <c r="E593" s="837" t="str">
        <f>IFERROR(IF(_xlfn.XLOOKUP(Imput[[#This Row],[RFC]],'Alta Proveedor'!D:D,'Alta Proveedor'!E:E)=0,"",_xlfn.XLOOKUP(Imput[[#This Row],[RFC]],'Alta Proveedor'!D:D,'Alta Proveedor'!E:E)),"")</f>
        <v>DISTRIBUIDORA TAMEX S.A.P.I. DE C.V.</v>
      </c>
      <c r="F593" s="832" t="s">
        <v>1730</v>
      </c>
      <c r="G593" s="187">
        <v>5</v>
      </c>
      <c r="H593" s="1">
        <v>6.2015000000000002</v>
      </c>
      <c r="I593" s="169">
        <f>Imput[[#This Row],[Cantidad]]*Imput[[#This Row],[Precio Unitario]]</f>
        <v>31.0075</v>
      </c>
      <c r="J593" s="11">
        <f>((Imput[[#This Row],[Sub total]])*(0.16))</f>
        <v>4.9611999999999998</v>
      </c>
      <c r="K593" s="11">
        <v>0</v>
      </c>
      <c r="L593" s="169">
        <f>Imput[[#This Row],[Sub total]]+Imput[[#This Row],[IVA]]-Imput[[#This Row],[Retención / IEPS / Descuento]]</f>
        <v>35.968699999999998</v>
      </c>
      <c r="M593" s="844">
        <v>0</v>
      </c>
      <c r="N593" s="189" t="s">
        <v>123</v>
      </c>
      <c r="O593" s="1"/>
      <c r="P593" s="189" t="s">
        <v>1565</v>
      </c>
      <c r="Q593" s="190" t="s">
        <v>1566</v>
      </c>
      <c r="R593" s="188">
        <v>45870</v>
      </c>
      <c r="S593" s="193" t="s">
        <v>126</v>
      </c>
      <c r="T593" s="192"/>
      <c r="U593" s="829"/>
      <c r="V593" s="10"/>
      <c r="W593" s="10"/>
      <c r="X593" s="10"/>
      <c r="Y593" s="10"/>
      <c r="Z593" s="10"/>
      <c r="AA593" s="11"/>
      <c r="AB593" s="11"/>
      <c r="AD593" s="260"/>
    </row>
    <row r="594" spans="2:30" x14ac:dyDescent="0.3">
      <c r="B594" s="10" t="s">
        <v>383</v>
      </c>
      <c r="C594" s="315" t="s">
        <v>2246</v>
      </c>
      <c r="D594" s="868" t="s">
        <v>1568</v>
      </c>
      <c r="E594" s="837" t="str">
        <f>IFERROR(IF(_xlfn.XLOOKUP(Imput[[#This Row],[RFC]],'Alta Proveedor'!D:D,'Alta Proveedor'!E:E)=0,"",_xlfn.XLOOKUP(Imput[[#This Row],[RFC]],'Alta Proveedor'!D:D,'Alta Proveedor'!E:E)),"")</f>
        <v>DISTRIBUIDORA TAMEX S.A.P.I. DE C.V.</v>
      </c>
      <c r="F594" s="832" t="s">
        <v>1731</v>
      </c>
      <c r="G594" s="187">
        <v>5</v>
      </c>
      <c r="H594" s="1">
        <v>15.922000000000001</v>
      </c>
      <c r="I594" s="169">
        <f>Imput[[#This Row],[Cantidad]]*Imput[[#This Row],[Precio Unitario]]</f>
        <v>79.61</v>
      </c>
      <c r="J594" s="11">
        <f>((Imput[[#This Row],[Sub total]])*(0.16))</f>
        <v>12.7376</v>
      </c>
      <c r="K594" s="11">
        <v>0</v>
      </c>
      <c r="L594" s="169">
        <f>Imput[[#This Row],[Sub total]]+Imput[[#This Row],[IVA]]-Imput[[#This Row],[Retención / IEPS / Descuento]]</f>
        <v>92.3476</v>
      </c>
      <c r="M594" s="844">
        <v>0</v>
      </c>
      <c r="N594" s="189" t="s">
        <v>123</v>
      </c>
      <c r="O594" s="1"/>
      <c r="P594" s="189" t="s">
        <v>1565</v>
      </c>
      <c r="Q594" s="190" t="s">
        <v>1566</v>
      </c>
      <c r="R594" s="188">
        <v>45870</v>
      </c>
      <c r="S594" s="193" t="s">
        <v>126</v>
      </c>
      <c r="T594" s="192"/>
      <c r="U594" s="829"/>
      <c r="V594" s="10"/>
      <c r="W594" s="10"/>
      <c r="X594" s="10"/>
      <c r="Y594" s="10"/>
      <c r="Z594" s="10"/>
      <c r="AA594" s="11"/>
      <c r="AB594" s="11"/>
      <c r="AD594" s="260"/>
    </row>
    <row r="595" spans="2:30" x14ac:dyDescent="0.3">
      <c r="B595" s="10" t="s">
        <v>383</v>
      </c>
      <c r="C595" s="315" t="s">
        <v>1131</v>
      </c>
      <c r="D595" s="868" t="s">
        <v>164</v>
      </c>
      <c r="E595" s="837" t="str">
        <f>IFERROR(IF(_xlfn.XLOOKUP(Imput[[#This Row],[RFC]],'Alta Proveedor'!D:D,'Alta Proveedor'!E:E)=0,"",_xlfn.XLOOKUP(Imput[[#This Row],[RFC]],'Alta Proveedor'!D:D,'Alta Proveedor'!E:E)),"")</f>
        <v>HOME DEPOT MEXICO SUCURSAL THD-8730 TAMPICO</v>
      </c>
      <c r="F595" s="832" t="s">
        <v>1878</v>
      </c>
      <c r="G595" s="187">
        <v>1</v>
      </c>
      <c r="H595" s="1">
        <v>13854.33</v>
      </c>
      <c r="I595" s="169">
        <f>Imput[[#This Row],[Cantidad]]*Imput[[#This Row],[Precio Unitario]]</f>
        <v>13854.33</v>
      </c>
      <c r="J595" s="11">
        <f>((Imput[[#This Row],[Sub total]])*(0.16))</f>
        <v>2216.6928000000003</v>
      </c>
      <c r="K595" s="11">
        <v>0</v>
      </c>
      <c r="L595" s="169">
        <f>Imput[[#This Row],[Sub total]]+Imput[[#This Row],[IVA]]-Imput[[#This Row],[Retención / IEPS / Descuento]]</f>
        <v>16071.022800000001</v>
      </c>
      <c r="M595" s="844">
        <v>17471.664800000002</v>
      </c>
      <c r="N595" s="189" t="s">
        <v>123</v>
      </c>
      <c r="O595" s="1"/>
      <c r="P595" s="189" t="s">
        <v>1860</v>
      </c>
      <c r="Q595" s="190" t="s">
        <v>1861</v>
      </c>
      <c r="R595" s="188">
        <v>45870</v>
      </c>
      <c r="S595" s="193" t="s">
        <v>126</v>
      </c>
      <c r="T595" s="192"/>
      <c r="U595" s="829"/>
      <c r="V595" s="10"/>
      <c r="W595" s="10"/>
      <c r="X595" s="10"/>
      <c r="Y595" s="10"/>
      <c r="Z595" s="10"/>
      <c r="AA595" s="11"/>
      <c r="AB595" s="11"/>
      <c r="AD595" s="260"/>
    </row>
    <row r="596" spans="2:30" x14ac:dyDescent="0.3">
      <c r="B596" s="10" t="s">
        <v>383</v>
      </c>
      <c r="C596" s="315" t="s">
        <v>2326</v>
      </c>
      <c r="D596" s="868" t="s">
        <v>164</v>
      </c>
      <c r="E596" s="837" t="str">
        <f>IFERROR(IF(_xlfn.XLOOKUP(Imput[[#This Row],[RFC]],'Alta Proveedor'!D:D,'Alta Proveedor'!E:E)=0,"",_xlfn.XLOOKUP(Imput[[#This Row],[RFC]],'Alta Proveedor'!D:D,'Alta Proveedor'!E:E)),"")</f>
        <v>HOME DEPOT MEXICO SUCURSAL THD-8730 TAMPICO</v>
      </c>
      <c r="F596" s="832" t="s">
        <v>1879</v>
      </c>
      <c r="G596" s="187">
        <v>2</v>
      </c>
      <c r="H596" s="1">
        <v>333.70499999999998</v>
      </c>
      <c r="I596" s="169">
        <f>Imput[[#This Row],[Cantidad]]*Imput[[#This Row],[Precio Unitario]]</f>
        <v>667.41</v>
      </c>
      <c r="J596" s="11">
        <f>((Imput[[#This Row],[Sub total]])*(0.16))</f>
        <v>106.7856</v>
      </c>
      <c r="K596" s="11">
        <v>0</v>
      </c>
      <c r="L596" s="169">
        <f>Imput[[#This Row],[Sub total]]+Imput[[#This Row],[IVA]]-Imput[[#This Row],[Retención / IEPS / Descuento]]</f>
        <v>774.19560000000001</v>
      </c>
      <c r="M596" s="844">
        <v>0</v>
      </c>
      <c r="N596" s="189" t="s">
        <v>123</v>
      </c>
      <c r="O596" s="1"/>
      <c r="P596" s="189" t="s">
        <v>1860</v>
      </c>
      <c r="Q596" s="190" t="s">
        <v>1861</v>
      </c>
      <c r="R596" s="188">
        <v>45870</v>
      </c>
      <c r="S596" s="193" t="s">
        <v>126</v>
      </c>
      <c r="T596" s="192"/>
      <c r="U596" s="829"/>
      <c r="V596" s="10"/>
      <c r="W596" s="10"/>
      <c r="X596" s="10"/>
      <c r="Y596" s="10"/>
      <c r="Z596" s="10"/>
      <c r="AA596" s="11"/>
      <c r="AB596" s="11"/>
      <c r="AD596" s="260"/>
    </row>
    <row r="597" spans="2:30" x14ac:dyDescent="0.3">
      <c r="B597" s="10" t="s">
        <v>383</v>
      </c>
      <c r="C597" s="315" t="s">
        <v>2903</v>
      </c>
      <c r="D597" s="868" t="s">
        <v>164</v>
      </c>
      <c r="E597" s="837" t="str">
        <f>IFERROR(IF(_xlfn.XLOOKUP(Imput[[#This Row],[RFC]],'Alta Proveedor'!D:D,'Alta Proveedor'!E:E)=0,"",_xlfn.XLOOKUP(Imput[[#This Row],[RFC]],'Alta Proveedor'!D:D,'Alta Proveedor'!E:E)),"")</f>
        <v>HOME DEPOT MEXICO SUCURSAL THD-8730 TAMPICO</v>
      </c>
      <c r="F597" s="832" t="s">
        <v>1880</v>
      </c>
      <c r="G597" s="187">
        <v>20</v>
      </c>
      <c r="H597" s="1">
        <v>11.827500000000001</v>
      </c>
      <c r="I597" s="169">
        <f>Imput[[#This Row],[Cantidad]]*Imput[[#This Row],[Precio Unitario]]</f>
        <v>236.55</v>
      </c>
      <c r="J597" s="11">
        <f>((Imput[[#This Row],[Sub total]])*(0.16))</f>
        <v>37.848000000000006</v>
      </c>
      <c r="K597" s="11">
        <v>0</v>
      </c>
      <c r="L597" s="169">
        <f>Imput[[#This Row],[Sub total]]+Imput[[#This Row],[IVA]]-Imput[[#This Row],[Retención / IEPS / Descuento]]</f>
        <v>274.39800000000002</v>
      </c>
      <c r="M597" s="844">
        <v>0</v>
      </c>
      <c r="N597" s="189" t="s">
        <v>123</v>
      </c>
      <c r="O597" s="1"/>
      <c r="P597" s="189" t="s">
        <v>1860</v>
      </c>
      <c r="Q597" s="190" t="s">
        <v>1861</v>
      </c>
      <c r="R597" s="188">
        <v>45870</v>
      </c>
      <c r="S597" s="193" t="s">
        <v>126</v>
      </c>
      <c r="T597" s="192"/>
      <c r="U597" s="829"/>
      <c r="V597" s="10"/>
      <c r="W597" s="10"/>
      <c r="X597" s="10"/>
      <c r="Y597" s="10"/>
      <c r="Z597" s="10"/>
      <c r="AA597" s="11"/>
      <c r="AB597" s="11"/>
      <c r="AD597" s="260"/>
    </row>
    <row r="598" spans="2:30" x14ac:dyDescent="0.3">
      <c r="B598" s="10" t="s">
        <v>383</v>
      </c>
      <c r="C598" s="315" t="s">
        <v>2326</v>
      </c>
      <c r="D598" s="868" t="s">
        <v>164</v>
      </c>
      <c r="E598" s="837" t="str">
        <f>IFERROR(IF(_xlfn.XLOOKUP(Imput[[#This Row],[RFC]],'Alta Proveedor'!D:D,'Alta Proveedor'!E:E)=0,"",_xlfn.XLOOKUP(Imput[[#This Row],[RFC]],'Alta Proveedor'!D:D,'Alta Proveedor'!E:E)),"")</f>
        <v>HOME DEPOT MEXICO SUCURSAL THD-8730 TAMPICO</v>
      </c>
      <c r="F598" s="832" t="s">
        <v>1881</v>
      </c>
      <c r="G598" s="187">
        <v>1</v>
      </c>
      <c r="H598" s="1">
        <v>176.57</v>
      </c>
      <c r="I598" s="169">
        <f>Imput[[#This Row],[Cantidad]]*Imput[[#This Row],[Precio Unitario]]</f>
        <v>176.57</v>
      </c>
      <c r="J598" s="11">
        <f>((Imput[[#This Row],[Sub total]])*(0.16))</f>
        <v>28.251200000000001</v>
      </c>
      <c r="K598" s="11">
        <v>0</v>
      </c>
      <c r="L598" s="169">
        <f>Imput[[#This Row],[Sub total]]+Imput[[#This Row],[IVA]]-Imput[[#This Row],[Retención / IEPS / Descuento]]</f>
        <v>204.8212</v>
      </c>
      <c r="M598" s="844">
        <v>0</v>
      </c>
      <c r="N598" s="189" t="s">
        <v>123</v>
      </c>
      <c r="O598" s="1"/>
      <c r="P598" s="189" t="s">
        <v>1860</v>
      </c>
      <c r="Q598" s="190" t="s">
        <v>1861</v>
      </c>
      <c r="R598" s="188">
        <v>45870</v>
      </c>
      <c r="S598" s="193" t="s">
        <v>126</v>
      </c>
      <c r="T598" s="192"/>
      <c r="U598" s="829"/>
      <c r="V598" s="10"/>
      <c r="W598" s="10"/>
      <c r="X598" s="10"/>
      <c r="Y598" s="10"/>
      <c r="Z598" s="10"/>
      <c r="AA598" s="11"/>
      <c r="AB598" s="11"/>
      <c r="AD598" s="260"/>
    </row>
    <row r="599" spans="2:30" x14ac:dyDescent="0.3">
      <c r="B599" s="10" t="s">
        <v>383</v>
      </c>
      <c r="C599" s="315" t="s">
        <v>2326</v>
      </c>
      <c r="D599" s="868" t="s">
        <v>164</v>
      </c>
      <c r="E599" s="837" t="str">
        <f>IFERROR(IF(_xlfn.XLOOKUP(Imput[[#This Row],[RFC]],'Alta Proveedor'!D:D,'Alta Proveedor'!E:E)=0,"",_xlfn.XLOOKUP(Imput[[#This Row],[RFC]],'Alta Proveedor'!D:D,'Alta Proveedor'!E:E)),"")</f>
        <v>HOME DEPOT MEXICO SUCURSAL THD-8730 TAMPICO</v>
      </c>
      <c r="F599" s="832" t="s">
        <v>1882</v>
      </c>
      <c r="G599" s="187">
        <v>1</v>
      </c>
      <c r="H599" s="1">
        <v>99.14</v>
      </c>
      <c r="I599" s="169">
        <f>Imput[[#This Row],[Cantidad]]*Imput[[#This Row],[Precio Unitario]]</f>
        <v>99.14</v>
      </c>
      <c r="J599" s="11">
        <f>((Imput[[#This Row],[Sub total]]-5.17)*(0.16))</f>
        <v>15.0352</v>
      </c>
      <c r="K599" s="11">
        <v>5.17</v>
      </c>
      <c r="L599" s="169">
        <f>Imput[[#This Row],[Sub total]]+Imput[[#This Row],[IVA]]-Imput[[#This Row],[Retención / IEPS / Descuento]]</f>
        <v>109.0052</v>
      </c>
      <c r="M599" s="844">
        <v>0</v>
      </c>
      <c r="N599" s="189" t="s">
        <v>123</v>
      </c>
      <c r="O599" s="1"/>
      <c r="P599" s="189" t="s">
        <v>1860</v>
      </c>
      <c r="Q599" s="190" t="s">
        <v>1861</v>
      </c>
      <c r="R599" s="188">
        <v>45870</v>
      </c>
      <c r="S599" s="193" t="s">
        <v>126</v>
      </c>
      <c r="T599" s="192"/>
      <c r="U599" s="829"/>
      <c r="V599" s="10"/>
      <c r="W599" s="10"/>
      <c r="X599" s="10"/>
      <c r="Y599" s="10"/>
      <c r="Z599" s="10"/>
      <c r="AA599" s="11"/>
      <c r="AB599" s="11"/>
      <c r="AD599" s="260"/>
    </row>
    <row r="600" spans="2:30" x14ac:dyDescent="0.3">
      <c r="B600" s="10" t="s">
        <v>383</v>
      </c>
      <c r="C600" s="315" t="s">
        <v>2326</v>
      </c>
      <c r="D600" s="868" t="s">
        <v>164</v>
      </c>
      <c r="E600" s="837" t="str">
        <f>IFERROR(IF(_xlfn.XLOOKUP(Imput[[#This Row],[RFC]],'Alta Proveedor'!D:D,'Alta Proveedor'!E:E)=0,"",_xlfn.XLOOKUP(Imput[[#This Row],[RFC]],'Alta Proveedor'!D:D,'Alta Proveedor'!E:E)),"")</f>
        <v>HOME DEPOT MEXICO SUCURSAL THD-8730 TAMPICO</v>
      </c>
      <c r="F600" s="832" t="s">
        <v>1883</v>
      </c>
      <c r="G600" s="187">
        <v>1</v>
      </c>
      <c r="H600" s="1">
        <v>32.950000000000003</v>
      </c>
      <c r="I600" s="169">
        <f>Imput[[#This Row],[Cantidad]]*Imput[[#This Row],[Precio Unitario]]</f>
        <v>32.950000000000003</v>
      </c>
      <c r="J600" s="11">
        <f>((Imput[[#This Row],[Sub total]])*(0.16))</f>
        <v>5.2720000000000002</v>
      </c>
      <c r="K600" s="11">
        <v>0</v>
      </c>
      <c r="L600" s="169">
        <f>Imput[[#This Row],[Sub total]]+Imput[[#This Row],[IVA]]-Imput[[#This Row],[Retención / IEPS / Descuento]]</f>
        <v>38.222000000000001</v>
      </c>
      <c r="M600" s="844">
        <v>0</v>
      </c>
      <c r="N600" s="189" t="s">
        <v>123</v>
      </c>
      <c r="O600" s="1"/>
      <c r="P600" s="189" t="s">
        <v>1860</v>
      </c>
      <c r="Q600" s="190" t="s">
        <v>1861</v>
      </c>
      <c r="R600" s="188">
        <v>45870</v>
      </c>
      <c r="S600" s="193" t="s">
        <v>126</v>
      </c>
      <c r="T600" s="192"/>
      <c r="U600" s="829"/>
      <c r="V600" s="10"/>
      <c r="W600" s="10"/>
      <c r="X600" s="10"/>
      <c r="Y600" s="10"/>
      <c r="Z600" s="10"/>
      <c r="AA600" s="11"/>
      <c r="AB600" s="11"/>
      <c r="AD600" s="260"/>
    </row>
    <row r="601" spans="2:30" x14ac:dyDescent="0.3">
      <c r="B601" s="817" t="s">
        <v>383</v>
      </c>
      <c r="C601" s="818" t="s">
        <v>2437</v>
      </c>
      <c r="D601" s="870" t="s">
        <v>1983</v>
      </c>
      <c r="E601" s="840" t="str">
        <f>IFERROR(IF(_xlfn.XLOOKUP(Imput[[#This Row],[RFC]],'Alta Proveedor'!D:D,'Alta Proveedor'!E:E)=0,"",_xlfn.XLOOKUP(Imput[[#This Row],[RFC]],'Alta Proveedor'!D:D,'Alta Proveedor'!E:E)),"")</f>
        <v>ELIAS RUBALCAVA DOMINGUEZ "RUVALCABA SERVICIOS INDUSTRIALES" (RSI)</v>
      </c>
      <c r="F601" s="835" t="s">
        <v>2950</v>
      </c>
      <c r="G601" s="820">
        <v>1</v>
      </c>
      <c r="H601" s="819">
        <v>8189.66</v>
      </c>
      <c r="I601" s="821">
        <f>Imput[[#This Row],[Cantidad]]*Imput[[#This Row],[Precio Unitario]]</f>
        <v>8189.66</v>
      </c>
      <c r="J601" s="822">
        <f>((Imput[[#This Row],[Sub total]])*(0.16))</f>
        <v>1310.3456000000001</v>
      </c>
      <c r="K601" s="822">
        <v>0</v>
      </c>
      <c r="L601" s="821">
        <f>Imput[[#This Row],[Sub total]]+Imput[[#This Row],[IVA]]-Imput[[#This Row],[Retención / IEPS / Descuento]]</f>
        <v>9500.0056000000004</v>
      </c>
      <c r="M601" s="844">
        <v>9500.0056000000004</v>
      </c>
      <c r="N601" s="823" t="s">
        <v>123</v>
      </c>
      <c r="O601" s="819"/>
      <c r="P601" s="823" t="s">
        <v>1981</v>
      </c>
      <c r="Q601" s="824" t="s">
        <v>1982</v>
      </c>
      <c r="R601" s="825">
        <v>45870</v>
      </c>
      <c r="S601" s="826" t="s">
        <v>126</v>
      </c>
      <c r="T601" s="827"/>
      <c r="U601" s="831"/>
      <c r="V601" s="817"/>
      <c r="W601" s="817"/>
      <c r="X601" s="817"/>
      <c r="Y601" s="817"/>
      <c r="Z601" s="817"/>
      <c r="AA601" s="822"/>
      <c r="AB601" s="822"/>
      <c r="AD601" s="260"/>
    </row>
    <row r="602" spans="2:30" x14ac:dyDescent="0.3">
      <c r="B602" s="817" t="s">
        <v>383</v>
      </c>
      <c r="C602" s="818" t="s">
        <v>2437</v>
      </c>
      <c r="D602" s="870" t="s">
        <v>1983</v>
      </c>
      <c r="E602" s="840" t="str">
        <f>IFERROR(IF(_xlfn.XLOOKUP(Imput[[#This Row],[RFC]],'Alta Proveedor'!D:D,'Alta Proveedor'!E:E)=0,"",_xlfn.XLOOKUP(Imput[[#This Row],[RFC]],'Alta Proveedor'!D:D,'Alta Proveedor'!E:E)),"")</f>
        <v>ELIAS RUBALCAVA DOMINGUEZ "RUVALCABA SERVICIOS INDUSTRIALES" (RSI)</v>
      </c>
      <c r="F602" s="835" t="s">
        <v>2951</v>
      </c>
      <c r="G602" s="820">
        <v>1</v>
      </c>
      <c r="H602" s="819">
        <v>6206.9</v>
      </c>
      <c r="I602" s="821">
        <f>Imput[[#This Row],[Cantidad]]*Imput[[#This Row],[Precio Unitario]]</f>
        <v>6206.9</v>
      </c>
      <c r="J602" s="822">
        <f>((Imput[[#This Row],[Sub total]])*(0.16))</f>
        <v>993.10399999999993</v>
      </c>
      <c r="K602" s="822">
        <v>0</v>
      </c>
      <c r="L602" s="821">
        <f>Imput[[#This Row],[Sub total]]+Imput[[#This Row],[IVA]]-Imput[[#This Row],[Retención / IEPS / Descuento]]</f>
        <v>7200.0039999999999</v>
      </c>
      <c r="M602" s="844">
        <v>7200.0039999999999</v>
      </c>
      <c r="N602" s="823" t="s">
        <v>123</v>
      </c>
      <c r="O602" s="819"/>
      <c r="P602" s="823" t="s">
        <v>1985</v>
      </c>
      <c r="Q602" s="824" t="s">
        <v>1986</v>
      </c>
      <c r="R602" s="825">
        <v>45870</v>
      </c>
      <c r="S602" s="826" t="s">
        <v>215</v>
      </c>
      <c r="T602" s="827"/>
      <c r="U602" s="831"/>
      <c r="V602" s="817"/>
      <c r="W602" s="817"/>
      <c r="X602" s="817"/>
      <c r="Y602" s="817"/>
      <c r="Z602" s="817"/>
      <c r="AA602" s="822"/>
      <c r="AB602" s="822"/>
      <c r="AD602" s="260"/>
    </row>
    <row r="603" spans="2:30" x14ac:dyDescent="0.3">
      <c r="B603" s="10" t="s">
        <v>383</v>
      </c>
      <c r="C603" s="315" t="s">
        <v>1806</v>
      </c>
      <c r="D603" s="868" t="s">
        <v>1971</v>
      </c>
      <c r="E603" s="837" t="str">
        <f>IFERROR(IF(_xlfn.XLOOKUP(Imput[[#This Row],[RFC]],'Alta Proveedor'!D:D,'Alta Proveedor'!E:E)=0,"",_xlfn.XLOOKUP(Imput[[#This Row],[RFC]],'Alta Proveedor'!D:D,'Alta Proveedor'!E:E)),"")</f>
        <v>NINFA CAROLINA QUIROGA MIRELES</v>
      </c>
      <c r="F603" s="832" t="s">
        <v>159</v>
      </c>
      <c r="G603" s="187">
        <v>1</v>
      </c>
      <c r="H603" s="1">
        <v>318.10000000000002</v>
      </c>
      <c r="I603" s="169">
        <f>Imput[[#This Row],[Cantidad]]*Imput[[#This Row],[Precio Unitario]]</f>
        <v>318.10000000000002</v>
      </c>
      <c r="J603" s="11">
        <f>((Imput[[#This Row],[Sub total]])*(0.16))</f>
        <v>50.896000000000008</v>
      </c>
      <c r="K603" s="11">
        <v>0</v>
      </c>
      <c r="L603" s="169">
        <f>Imput[[#This Row],[Sub total]]+Imput[[#This Row],[IVA]]-Imput[[#This Row],[Retención / IEPS / Descuento]]</f>
        <v>368.99600000000004</v>
      </c>
      <c r="M603" s="844">
        <v>368.99600000000004</v>
      </c>
      <c r="N603" s="189" t="s">
        <v>123</v>
      </c>
      <c r="O603" s="1"/>
      <c r="P603" s="189" t="s">
        <v>1969</v>
      </c>
      <c r="Q603" s="190" t="s">
        <v>1970</v>
      </c>
      <c r="R603" s="188">
        <v>45870</v>
      </c>
      <c r="S603" s="193" t="s">
        <v>126</v>
      </c>
      <c r="T603" s="192"/>
      <c r="U603" s="829"/>
      <c r="V603" s="10"/>
      <c r="W603" s="10"/>
      <c r="X603" s="10"/>
      <c r="Y603" s="10"/>
      <c r="Z603" s="10"/>
      <c r="AA603" s="11"/>
      <c r="AB603" s="11"/>
      <c r="AD603" s="260"/>
    </row>
    <row r="604" spans="2:30" x14ac:dyDescent="0.3">
      <c r="B604" s="10" t="s">
        <v>383</v>
      </c>
      <c r="C604" s="315" t="s">
        <v>1769</v>
      </c>
      <c r="D604" s="868" t="s">
        <v>1499</v>
      </c>
      <c r="E604" s="837" t="str">
        <f>IFERROR(IF(_xlfn.XLOOKUP(Imput[[#This Row],[RFC]],'Alta Proveedor'!D:D,'Alta Proveedor'!E:E)=0,"",_xlfn.XLOOKUP(Imput[[#This Row],[RFC]],'Alta Proveedor'!D:D,'Alta Proveedor'!E:E)),"")</f>
        <v>TRANSPAIS UNICO (TRANSPORTE PASAJEROS)</v>
      </c>
      <c r="F604" s="832" t="s">
        <v>3490</v>
      </c>
      <c r="G604" s="187">
        <v>1</v>
      </c>
      <c r="H604" s="1">
        <v>270.69</v>
      </c>
      <c r="I604" s="169">
        <f>Imput[[#This Row],[Cantidad]]*Imput[[#This Row],[Precio Unitario]]</f>
        <v>270.69</v>
      </c>
      <c r="J604" s="11">
        <f>((Imput[[#This Row],[Sub total]])*(0.16))</f>
        <v>43.310400000000001</v>
      </c>
      <c r="K604" s="11">
        <v>0</v>
      </c>
      <c r="L604" s="169">
        <f>Imput[[#This Row],[Sub total]]+Imput[[#This Row],[IVA]]-Imput[[#This Row],[Retención / IEPS / Descuento]]</f>
        <v>314.00040000000001</v>
      </c>
      <c r="M604" s="844">
        <v>314.00040000000001</v>
      </c>
      <c r="N604" s="189" t="s">
        <v>123</v>
      </c>
      <c r="O604" s="1"/>
      <c r="P604" s="189" t="s">
        <v>1995</v>
      </c>
      <c r="Q604" s="190" t="s">
        <v>1996</v>
      </c>
      <c r="R604" s="188">
        <v>45870</v>
      </c>
      <c r="S604" s="193" t="s">
        <v>126</v>
      </c>
      <c r="T604" s="192"/>
      <c r="U604" s="829"/>
      <c r="V604" s="10"/>
      <c r="W604" s="10"/>
      <c r="X604" s="10"/>
      <c r="Y604" s="10"/>
      <c r="Z604" s="10"/>
      <c r="AA604" s="11"/>
      <c r="AB604" s="11"/>
      <c r="AD604" s="260"/>
    </row>
    <row r="605" spans="2:30" x14ac:dyDescent="0.3">
      <c r="B605" s="10" t="s">
        <v>383</v>
      </c>
      <c r="C605" s="315" t="s">
        <v>2335</v>
      </c>
      <c r="D605" s="868" t="s">
        <v>3119</v>
      </c>
      <c r="E605" s="837" t="str">
        <f>IFERROR(IF(_xlfn.XLOOKUP(Imput[[#This Row],[RFC]],'Alta Proveedor'!D:D,'Alta Proveedor'!E:E)=0,"",_xlfn.XLOOKUP(Imput[[#This Row],[RFC]],'Alta Proveedor'!D:D,'Alta Proveedor'!E:E)),"")</f>
        <v>Nomina-OPERACIÓN</v>
      </c>
      <c r="F605" s="836" t="s">
        <v>3159</v>
      </c>
      <c r="G605" s="187">
        <v>1</v>
      </c>
      <c r="H605" s="1">
        <v>2500</v>
      </c>
      <c r="I605" s="169">
        <f>Imput[[#This Row],[Cantidad]]*Imput[[#This Row],[Precio Unitario]]</f>
        <v>2500</v>
      </c>
      <c r="J605" s="11">
        <f>Imput[[#This Row],[Sub total]]*0.08</f>
        <v>200</v>
      </c>
      <c r="K605" s="11">
        <v>0</v>
      </c>
      <c r="L605" s="169">
        <f>Imput[[#This Row],[Sub total]]+Imput[[#This Row],[IVA]]-Imput[[#This Row],[Retención / IEPS / Descuento]]</f>
        <v>2700</v>
      </c>
      <c r="M605" s="844">
        <v>2700</v>
      </c>
      <c r="N605" s="189"/>
      <c r="O605" s="1"/>
      <c r="P605" s="189"/>
      <c r="Q605" s="190"/>
      <c r="R605" s="188">
        <v>45870</v>
      </c>
      <c r="S605" s="193"/>
      <c r="T605" s="192"/>
      <c r="U605" s="867" t="s">
        <v>3225</v>
      </c>
      <c r="V605" s="10"/>
      <c r="W605" s="10"/>
      <c r="X605" s="10"/>
      <c r="Y605" s="10"/>
      <c r="Z605" s="10"/>
      <c r="AA605" s="11"/>
      <c r="AB605" s="11"/>
      <c r="AD605" s="260"/>
    </row>
    <row r="606" spans="2:30" x14ac:dyDescent="0.3">
      <c r="B606" s="10" t="s">
        <v>383</v>
      </c>
      <c r="C606" s="315" t="s">
        <v>1759</v>
      </c>
      <c r="D606" s="868" t="s">
        <v>3225</v>
      </c>
      <c r="E606" s="837" t="str">
        <f>IFERROR(IF(_xlfn.XLOOKUP(Imput[[#This Row],[RFC]],'Alta Proveedor'!D:D,'Alta Proveedor'!E:E)=0,"",_xlfn.XLOOKUP(Imput[[#This Row],[RFC]],'Alta Proveedor'!D:D,'Alta Proveedor'!E:E)),"")</f>
        <v>GASTOS SIN FACTURA</v>
      </c>
      <c r="F606" s="836" t="s">
        <v>3202</v>
      </c>
      <c r="G606" s="187">
        <v>1</v>
      </c>
      <c r="H606" s="1">
        <v>7000</v>
      </c>
      <c r="I606" s="169">
        <f>Imput[[#This Row],[Cantidad]]*Imput[[#This Row],[Precio Unitario]]</f>
        <v>7000</v>
      </c>
      <c r="J606" s="11">
        <f>Imput[[#This Row],[Sub total]]*0.08</f>
        <v>560</v>
      </c>
      <c r="K606" s="11">
        <v>0</v>
      </c>
      <c r="L606" s="169">
        <f>Imput[[#This Row],[Sub total]]+Imput[[#This Row],[IVA]]-Imput[[#This Row],[Retención / IEPS / Descuento]]</f>
        <v>7560</v>
      </c>
      <c r="M606" s="844">
        <v>7560</v>
      </c>
      <c r="N606" s="189"/>
      <c r="O606" s="1"/>
      <c r="P606" s="189"/>
      <c r="Q606" s="190"/>
      <c r="R606" s="188">
        <v>45870</v>
      </c>
      <c r="S606" s="193"/>
      <c r="T606" s="192"/>
      <c r="U606" s="867" t="s">
        <v>3225</v>
      </c>
      <c r="V606" s="10"/>
      <c r="W606" s="10"/>
      <c r="X606" s="10"/>
      <c r="Y606" s="10"/>
      <c r="Z606" s="10"/>
      <c r="AA606" s="11"/>
      <c r="AB606" s="11"/>
      <c r="AD606" s="260"/>
    </row>
    <row r="607" spans="2:30" x14ac:dyDescent="0.3">
      <c r="B607" s="10" t="s">
        <v>383</v>
      </c>
      <c r="C607" s="315" t="s">
        <v>1747</v>
      </c>
      <c r="D607" s="868" t="s">
        <v>3225</v>
      </c>
      <c r="E607" s="837" t="str">
        <f>IFERROR(IF(_xlfn.XLOOKUP(Imput[[#This Row],[RFC]],'Alta Proveedor'!D:D,'Alta Proveedor'!E:E)=0,"",_xlfn.XLOOKUP(Imput[[#This Row],[RFC]],'Alta Proveedor'!D:D,'Alta Proveedor'!E:E)),"")</f>
        <v>GASTOS SIN FACTURA</v>
      </c>
      <c r="F607" s="836" t="s">
        <v>3203</v>
      </c>
      <c r="G607" s="187">
        <v>1</v>
      </c>
      <c r="H607" s="1">
        <v>4000</v>
      </c>
      <c r="I607" s="169">
        <f>Imput[[#This Row],[Cantidad]]*Imput[[#This Row],[Precio Unitario]]</f>
        <v>4000</v>
      </c>
      <c r="J607" s="11">
        <f>Imput[[#This Row],[Sub total]]*0.08</f>
        <v>320</v>
      </c>
      <c r="K607" s="11">
        <v>0</v>
      </c>
      <c r="L607" s="169">
        <f>Imput[[#This Row],[Sub total]]+Imput[[#This Row],[IVA]]-Imput[[#This Row],[Retención / IEPS / Descuento]]</f>
        <v>4320</v>
      </c>
      <c r="M607" s="844">
        <v>4320</v>
      </c>
      <c r="N607" s="189"/>
      <c r="O607" s="1"/>
      <c r="P607" s="189"/>
      <c r="Q607" s="190"/>
      <c r="R607" s="188">
        <v>45870</v>
      </c>
      <c r="S607" s="193"/>
      <c r="T607" s="192"/>
      <c r="U607" s="867" t="s">
        <v>3225</v>
      </c>
      <c r="V607" s="10"/>
      <c r="W607" s="10"/>
      <c r="X607" s="10"/>
      <c r="Y607" s="10"/>
      <c r="Z607" s="10"/>
      <c r="AA607" s="11"/>
      <c r="AB607" s="11"/>
      <c r="AD607" s="260"/>
    </row>
    <row r="608" spans="2:30" x14ac:dyDescent="0.3">
      <c r="B608" s="10" t="s">
        <v>383</v>
      </c>
      <c r="C608" s="315" t="s">
        <v>1747</v>
      </c>
      <c r="D608" s="868" t="s">
        <v>3225</v>
      </c>
      <c r="E608" s="837" t="str">
        <f>IFERROR(IF(_xlfn.XLOOKUP(Imput[[#This Row],[RFC]],'Alta Proveedor'!D:D,'Alta Proveedor'!E:E)=0,"",_xlfn.XLOOKUP(Imput[[#This Row],[RFC]],'Alta Proveedor'!D:D,'Alta Proveedor'!E:E)),"")</f>
        <v>GASTOS SIN FACTURA</v>
      </c>
      <c r="F608" s="836" t="s">
        <v>3204</v>
      </c>
      <c r="G608" s="187">
        <v>1</v>
      </c>
      <c r="H608" s="1">
        <v>2000</v>
      </c>
      <c r="I608" s="169">
        <f>Imput[[#This Row],[Cantidad]]*Imput[[#This Row],[Precio Unitario]]</f>
        <v>2000</v>
      </c>
      <c r="J608" s="11">
        <f>Imput[[#This Row],[Sub total]]*0.08</f>
        <v>160</v>
      </c>
      <c r="K608" s="11">
        <v>0</v>
      </c>
      <c r="L608" s="169">
        <f>Imput[[#This Row],[Sub total]]+Imput[[#This Row],[IVA]]-Imput[[#This Row],[Retención / IEPS / Descuento]]</f>
        <v>2160</v>
      </c>
      <c r="M608" s="844">
        <v>2160</v>
      </c>
      <c r="N608" s="189"/>
      <c r="O608" s="1"/>
      <c r="P608" s="189"/>
      <c r="Q608" s="190"/>
      <c r="R608" s="188">
        <v>45870</v>
      </c>
      <c r="S608" s="193"/>
      <c r="T608" s="192"/>
      <c r="U608" s="867" t="s">
        <v>3225</v>
      </c>
      <c r="V608" s="10"/>
      <c r="W608" s="10"/>
      <c r="X608" s="10"/>
      <c r="Y608" s="10"/>
      <c r="Z608" s="10"/>
      <c r="AA608" s="11"/>
      <c r="AB608" s="11"/>
      <c r="AD608" s="260"/>
    </row>
    <row r="609" spans="2:30" ht="14.1" customHeight="1" x14ac:dyDescent="0.3">
      <c r="B609" s="10" t="s">
        <v>383</v>
      </c>
      <c r="C609" s="315" t="s">
        <v>1806</v>
      </c>
      <c r="D609" s="868" t="s">
        <v>1415</v>
      </c>
      <c r="E609" s="837" t="str">
        <f>IFERROR(IF(_xlfn.XLOOKUP(Imput[[#This Row],[RFC]],'Alta Proveedor'!D:D,'Alta Proveedor'!E:E)=0,"",_xlfn.XLOOKUP(Imput[[#This Row],[RFC]],'Alta Proveedor'!D:D,'Alta Proveedor'!E:E)),"")</f>
        <v>PEDRO ANTONIO ACEVES YAPUR "MIL HORNOS" (RESTAURANTE)</v>
      </c>
      <c r="F609" s="832" t="s">
        <v>159</v>
      </c>
      <c r="G609" s="187">
        <v>1</v>
      </c>
      <c r="H609" s="1">
        <v>278.44</v>
      </c>
      <c r="I609" s="169">
        <f>Imput[[#This Row],[Cantidad]]*Imput[[#This Row],[Precio Unitario]]</f>
        <v>278.44</v>
      </c>
      <c r="J609" s="11">
        <f>((Imput[[#This Row],[Sub total]])*(0.16))</f>
        <v>44.550400000000003</v>
      </c>
      <c r="K609" s="11">
        <v>0</v>
      </c>
      <c r="L609" s="169">
        <f>Imput[[#This Row],[Sub total]]+Imput[[#This Row],[IVA]]-Imput[[#This Row],[Retención / IEPS / Descuento]]</f>
        <v>322.99040000000002</v>
      </c>
      <c r="M609" s="844">
        <v>322.99040000000002</v>
      </c>
      <c r="N609" s="189" t="s">
        <v>123</v>
      </c>
      <c r="O609" s="1"/>
      <c r="P609" s="189" t="s">
        <v>1512</v>
      </c>
      <c r="Q609" s="190" t="s">
        <v>1513</v>
      </c>
      <c r="R609" s="188">
        <v>45871</v>
      </c>
      <c r="S609" s="193" t="s">
        <v>126</v>
      </c>
      <c r="T609" s="192"/>
      <c r="U609" s="829"/>
      <c r="V609" s="10"/>
      <c r="W609" s="10"/>
      <c r="X609" s="10"/>
      <c r="Y609" s="10"/>
      <c r="Z609" s="10"/>
      <c r="AA609" s="11"/>
      <c r="AB609" s="11"/>
      <c r="AD609" s="260"/>
    </row>
    <row r="610" spans="2:30" ht="14.1" customHeight="1" x14ac:dyDescent="0.3">
      <c r="B610" s="10" t="s">
        <v>383</v>
      </c>
      <c r="C610" s="315" t="s">
        <v>2249</v>
      </c>
      <c r="D610" s="868" t="s">
        <v>1539</v>
      </c>
      <c r="E610" s="837" t="str">
        <f>IFERROR(IF(_xlfn.XLOOKUP(Imput[[#This Row],[RFC]],'Alta Proveedor'!D:D,'Alta Proveedor'!E:E)=0,"",_xlfn.XLOOKUP(Imput[[#This Row],[RFC]],'Alta Proveedor'!D:D,'Alta Proveedor'!E:E)),"")</f>
        <v>NESTOR CAMPOS TAVITAS "FERRETERIA TAVITAS"</v>
      </c>
      <c r="F610" s="832" t="s">
        <v>1727</v>
      </c>
      <c r="G610" s="187">
        <v>1</v>
      </c>
      <c r="H610" s="1">
        <v>89.655199999999994</v>
      </c>
      <c r="I610" s="169">
        <f>Imput[[#This Row],[Cantidad]]*Imput[[#This Row],[Precio Unitario]]</f>
        <v>89.655199999999994</v>
      </c>
      <c r="J610" s="11">
        <f>((Imput[[#This Row],[Sub total]])*(0.16))</f>
        <v>14.344831999999998</v>
      </c>
      <c r="K610" s="11">
        <v>0</v>
      </c>
      <c r="L610" s="169">
        <f>Imput[[#This Row],[Sub total]]+Imput[[#This Row],[IVA]]-Imput[[#This Row],[Retención / IEPS / Descuento]]</f>
        <v>104.00003199999999</v>
      </c>
      <c r="M610" s="844">
        <v>139.80006800000001</v>
      </c>
      <c r="N610" s="189" t="s">
        <v>123</v>
      </c>
      <c r="O610" s="1"/>
      <c r="P610" s="189" t="s">
        <v>1537</v>
      </c>
      <c r="Q610" s="190" t="s">
        <v>1538</v>
      </c>
      <c r="R610" s="188">
        <v>45871</v>
      </c>
      <c r="S610" s="193" t="s">
        <v>126</v>
      </c>
      <c r="T610" s="192"/>
      <c r="U610" s="829"/>
      <c r="V610" s="10"/>
      <c r="W610" s="10"/>
      <c r="X610" s="10"/>
      <c r="Y610" s="10"/>
      <c r="Z610" s="10"/>
      <c r="AA610" s="11"/>
      <c r="AB610" s="11"/>
      <c r="AD610" s="260"/>
    </row>
    <row r="611" spans="2:30" x14ac:dyDescent="0.3">
      <c r="B611" s="10" t="s">
        <v>383</v>
      </c>
      <c r="C611" s="315" t="s">
        <v>2249</v>
      </c>
      <c r="D611" s="868" t="s">
        <v>1539</v>
      </c>
      <c r="E611" s="837" t="str">
        <f>IFERROR(IF(_xlfn.XLOOKUP(Imput[[#This Row],[RFC]],'Alta Proveedor'!D:D,'Alta Proveedor'!E:E)=0,"",_xlfn.XLOOKUP(Imput[[#This Row],[RFC]],'Alta Proveedor'!D:D,'Alta Proveedor'!E:E)),"")</f>
        <v>NESTOR CAMPOS TAVITAS "FERRETERIA TAVITAS"</v>
      </c>
      <c r="F611" s="832" t="s">
        <v>1728</v>
      </c>
      <c r="G611" s="187">
        <v>1</v>
      </c>
      <c r="H611" s="1">
        <v>30.862100000000002</v>
      </c>
      <c r="I611" s="169">
        <f>Imput[[#This Row],[Cantidad]]*Imput[[#This Row],[Precio Unitario]]</f>
        <v>30.862100000000002</v>
      </c>
      <c r="J611" s="11">
        <f>((Imput[[#This Row],[Sub total]])*(0.16))</f>
        <v>4.9379360000000005</v>
      </c>
      <c r="K611" s="11">
        <v>0</v>
      </c>
      <c r="L611" s="169">
        <f>Imput[[#This Row],[Sub total]]+Imput[[#This Row],[IVA]]-Imput[[#This Row],[Retención / IEPS / Descuento]]</f>
        <v>35.800036000000006</v>
      </c>
      <c r="M611" s="844">
        <v>0</v>
      </c>
      <c r="N611" s="189" t="s">
        <v>123</v>
      </c>
      <c r="O611" s="1"/>
      <c r="P611" s="189" t="s">
        <v>1537</v>
      </c>
      <c r="Q611" s="190" t="s">
        <v>1538</v>
      </c>
      <c r="R611" s="188">
        <v>45871</v>
      </c>
      <c r="S611" s="193" t="s">
        <v>126</v>
      </c>
      <c r="T611" s="192"/>
      <c r="U611" s="829"/>
      <c r="V611" s="10"/>
      <c r="W611" s="10"/>
      <c r="X611" s="10"/>
      <c r="Y611" s="10"/>
      <c r="Z611" s="10"/>
      <c r="AA611" s="11"/>
      <c r="AB611" s="11"/>
      <c r="AD611" s="260"/>
    </row>
    <row r="612" spans="2:30" x14ac:dyDescent="0.3">
      <c r="B612" s="10" t="s">
        <v>383</v>
      </c>
      <c r="C612" s="315" t="s">
        <v>1806</v>
      </c>
      <c r="D612" s="868" t="s">
        <v>1415</v>
      </c>
      <c r="E612" s="837" t="str">
        <f>IFERROR(IF(_xlfn.XLOOKUP(Imput[[#This Row],[RFC]],'Alta Proveedor'!D:D,'Alta Proveedor'!E:E)=0,"",_xlfn.XLOOKUP(Imput[[#This Row],[RFC]],'Alta Proveedor'!D:D,'Alta Proveedor'!E:E)),"")</f>
        <v>PEDRO ANTONIO ACEVES YAPUR "MIL HORNOS" (RESTAURANTE)</v>
      </c>
      <c r="F612" s="832" t="s">
        <v>159</v>
      </c>
      <c r="G612" s="187">
        <v>1</v>
      </c>
      <c r="H612" s="1">
        <v>740.51</v>
      </c>
      <c r="I612" s="169">
        <f>Imput[[#This Row],[Cantidad]]*Imput[[#This Row],[Precio Unitario]]</f>
        <v>740.51</v>
      </c>
      <c r="J612" s="11">
        <f>((Imput[[#This Row],[Sub total]])*(0.16))</f>
        <v>118.4816</v>
      </c>
      <c r="K612" s="11">
        <v>0</v>
      </c>
      <c r="L612" s="169">
        <f>Imput[[#This Row],[Sub total]]+Imput[[#This Row],[IVA]]-Imput[[#This Row],[Retención / IEPS / Descuento]]</f>
        <v>858.99159999999995</v>
      </c>
      <c r="M612" s="844">
        <v>858.99159999999995</v>
      </c>
      <c r="N612" s="189" t="s">
        <v>123</v>
      </c>
      <c r="O612" s="1"/>
      <c r="P612" s="189" t="s">
        <v>1514</v>
      </c>
      <c r="Q612" s="190" t="s">
        <v>1515</v>
      </c>
      <c r="R612" s="188">
        <v>45871</v>
      </c>
      <c r="S612" s="193" t="s">
        <v>126</v>
      </c>
      <c r="T612" s="192"/>
      <c r="U612" s="829"/>
      <c r="V612" s="10"/>
      <c r="W612" s="10"/>
      <c r="X612" s="10"/>
      <c r="Y612" s="10"/>
      <c r="Z612" s="10"/>
      <c r="AA612" s="11"/>
      <c r="AB612" s="11"/>
      <c r="AD612" s="260"/>
    </row>
    <row r="613" spans="2:30" x14ac:dyDescent="0.3">
      <c r="B613" s="10" t="s">
        <v>383</v>
      </c>
      <c r="C613" s="315" t="s">
        <v>1806</v>
      </c>
      <c r="D613" s="868" t="s">
        <v>1365</v>
      </c>
      <c r="E613" s="837" t="str">
        <f>IFERROR(IF(_xlfn.XLOOKUP(Imput[[#This Row],[RFC]],'Alta Proveedor'!D:D,'Alta Proveedor'!E:E)=0,"",_xlfn.XLOOKUP(Imput[[#This Row],[RFC]],'Alta Proveedor'!D:D,'Alta Proveedor'!E:E)),"")</f>
        <v>HOTEL MANTE</v>
      </c>
      <c r="F613" s="832" t="s">
        <v>159</v>
      </c>
      <c r="G613" s="187">
        <v>1</v>
      </c>
      <c r="H613" s="1">
        <v>94.83</v>
      </c>
      <c r="I613" s="169">
        <f>Imput[[#This Row],[Cantidad]]*Imput[[#This Row],[Precio Unitario]]</f>
        <v>94.83</v>
      </c>
      <c r="J613" s="11">
        <f>((Imput[[#This Row],[Sub total]])*(0.16))</f>
        <v>15.172800000000001</v>
      </c>
      <c r="K613" s="11">
        <v>0</v>
      </c>
      <c r="L613" s="169">
        <f>Imput[[#This Row],[Sub total]]+Imput[[#This Row],[IVA]]-Imput[[#This Row],[Retención / IEPS / Descuento]]</f>
        <v>110.00279999999999</v>
      </c>
      <c r="M613" s="844">
        <v>110.00279999999999</v>
      </c>
      <c r="N613" s="189" t="s">
        <v>123</v>
      </c>
      <c r="O613" s="1"/>
      <c r="P613" s="189" t="s">
        <v>1876</v>
      </c>
      <c r="Q613" s="190" t="s">
        <v>1877</v>
      </c>
      <c r="R613" s="188">
        <v>45871</v>
      </c>
      <c r="S613" s="193" t="s">
        <v>126</v>
      </c>
      <c r="T613" s="192"/>
      <c r="U613" s="829"/>
      <c r="V613" s="10"/>
      <c r="W613" s="10"/>
      <c r="X613" s="10"/>
      <c r="Y613" s="10"/>
      <c r="Z613" s="10"/>
      <c r="AA613" s="11"/>
      <c r="AB613" s="11"/>
      <c r="AD613" s="260"/>
    </row>
    <row r="614" spans="2:30" x14ac:dyDescent="0.3">
      <c r="B614" s="10" t="s">
        <v>383</v>
      </c>
      <c r="C614" s="315" t="s">
        <v>2335</v>
      </c>
      <c r="D614" s="868" t="s">
        <v>3119</v>
      </c>
      <c r="E614" s="837" t="str">
        <f>IFERROR(IF(_xlfn.XLOOKUP(Imput[[#This Row],[RFC]],'Alta Proveedor'!D:D,'Alta Proveedor'!E:E)=0,"",_xlfn.XLOOKUP(Imput[[#This Row],[RFC]],'Alta Proveedor'!D:D,'Alta Proveedor'!E:E)),"")</f>
        <v>Nomina-OPERACIÓN</v>
      </c>
      <c r="F614" s="836" t="s">
        <v>3160</v>
      </c>
      <c r="G614" s="187">
        <v>1</v>
      </c>
      <c r="H614" s="1">
        <v>90142.09</v>
      </c>
      <c r="I614" s="169">
        <f>Imput[[#This Row],[Cantidad]]*Imput[[#This Row],[Precio Unitario]]</f>
        <v>90142.09</v>
      </c>
      <c r="J614" s="11">
        <f>Imput[[#This Row],[Sub total]]*0.08</f>
        <v>7211.3671999999997</v>
      </c>
      <c r="K614" s="11">
        <v>0</v>
      </c>
      <c r="L614" s="169">
        <f>Imput[[#This Row],[Sub total]]+Imput[[#This Row],[IVA]]-Imput[[#This Row],[Retención / IEPS / Descuento]]</f>
        <v>97353.45719999999</v>
      </c>
      <c r="M614" s="844">
        <v>97353.45719999999</v>
      </c>
      <c r="N614" s="189"/>
      <c r="O614" s="1"/>
      <c r="P614" s="189"/>
      <c r="Q614" s="190"/>
      <c r="R614" s="188">
        <v>45871</v>
      </c>
      <c r="S614" s="193"/>
      <c r="T614" s="192"/>
      <c r="U614" s="867" t="s">
        <v>3225</v>
      </c>
      <c r="V614" s="10"/>
      <c r="W614" s="10"/>
      <c r="X614" s="10"/>
      <c r="Y614" s="10"/>
      <c r="Z614" s="10"/>
      <c r="AA614" s="11"/>
      <c r="AB614" s="11"/>
      <c r="AD614" s="260"/>
    </row>
    <row r="615" spans="2:30" x14ac:dyDescent="0.3">
      <c r="B615" s="10" t="s">
        <v>383</v>
      </c>
      <c r="C615" s="315" t="s">
        <v>2335</v>
      </c>
      <c r="D615" s="868" t="s">
        <v>3119</v>
      </c>
      <c r="E615" s="837" t="str">
        <f>IFERROR(IF(_xlfn.XLOOKUP(Imput[[#This Row],[RFC]],'Alta Proveedor'!D:D,'Alta Proveedor'!E:E)=0,"",_xlfn.XLOOKUP(Imput[[#This Row],[RFC]],'Alta Proveedor'!D:D,'Alta Proveedor'!E:E)),"")</f>
        <v>Nomina-OPERACIÓN</v>
      </c>
      <c r="F615" s="836" t="s">
        <v>3161</v>
      </c>
      <c r="G615" s="187">
        <v>1</v>
      </c>
      <c r="H615" s="1">
        <v>25722.32</v>
      </c>
      <c r="I615" s="169">
        <f>Imput[[#This Row],[Cantidad]]*Imput[[#This Row],[Precio Unitario]]</f>
        <v>25722.32</v>
      </c>
      <c r="J615" s="11">
        <f>Imput[[#This Row],[Sub total]]*0.08</f>
        <v>2057.7856000000002</v>
      </c>
      <c r="K615" s="11">
        <v>0</v>
      </c>
      <c r="L615" s="169">
        <f>Imput[[#This Row],[Sub total]]+Imput[[#This Row],[IVA]]-Imput[[#This Row],[Retención / IEPS / Descuento]]</f>
        <v>27780.105599999999</v>
      </c>
      <c r="M615" s="844">
        <v>27780.105599999999</v>
      </c>
      <c r="N615" s="189"/>
      <c r="O615" s="1"/>
      <c r="P615" s="189"/>
      <c r="Q615" s="190"/>
      <c r="R615" s="188">
        <v>45871</v>
      </c>
      <c r="S615" s="193"/>
      <c r="T615" s="192"/>
      <c r="U615" s="867" t="s">
        <v>3225</v>
      </c>
      <c r="V615" s="10"/>
      <c r="W615" s="10"/>
      <c r="X615" s="10"/>
      <c r="Y615" s="10"/>
      <c r="Z615" s="10"/>
      <c r="AA615" s="11"/>
      <c r="AB615" s="11"/>
      <c r="AD615" s="260"/>
    </row>
    <row r="616" spans="2:30" x14ac:dyDescent="0.3">
      <c r="B616" s="10" t="s">
        <v>383</v>
      </c>
      <c r="C616" s="315" t="s">
        <v>2469</v>
      </c>
      <c r="D616" s="868" t="s">
        <v>3119</v>
      </c>
      <c r="E616" s="837" t="str">
        <f>IFERROR(IF(_xlfn.XLOOKUP(Imput[[#This Row],[RFC]],'Alta Proveedor'!D:D,'Alta Proveedor'!E:E)=0,"",_xlfn.XLOOKUP(Imput[[#This Row],[RFC]],'Alta Proveedor'!D:D,'Alta Proveedor'!E:E)),"")</f>
        <v>Nomina-OPERACIÓN</v>
      </c>
      <c r="F616" s="836" t="s">
        <v>3162</v>
      </c>
      <c r="G616" s="187">
        <v>1</v>
      </c>
      <c r="H616" s="1">
        <v>39300</v>
      </c>
      <c r="I616" s="169">
        <f>Imput[[#This Row],[Cantidad]]*Imput[[#This Row],[Precio Unitario]]</f>
        <v>39300</v>
      </c>
      <c r="J616" s="11">
        <f>Imput[[#This Row],[Sub total]]*0.08</f>
        <v>3144</v>
      </c>
      <c r="K616" s="11">
        <v>0</v>
      </c>
      <c r="L616" s="169">
        <f>Imput[[#This Row],[Sub total]]+Imput[[#This Row],[IVA]]-Imput[[#This Row],[Retención / IEPS / Descuento]]</f>
        <v>42444</v>
      </c>
      <c r="M616" s="844">
        <v>42444</v>
      </c>
      <c r="N616" s="189"/>
      <c r="O616" s="1"/>
      <c r="P616" s="189"/>
      <c r="Q616" s="190"/>
      <c r="R616" s="188">
        <v>45871</v>
      </c>
      <c r="S616" s="193"/>
      <c r="T616" s="192"/>
      <c r="U616" s="867" t="s">
        <v>3225</v>
      </c>
      <c r="V616" s="10"/>
      <c r="W616" s="10"/>
      <c r="X616" s="10"/>
      <c r="Y616" s="10"/>
      <c r="Z616" s="10"/>
      <c r="AA616" s="11"/>
      <c r="AB616" s="11"/>
      <c r="AD616" s="260"/>
    </row>
    <row r="617" spans="2:30" x14ac:dyDescent="0.3">
      <c r="B617" s="10" t="s">
        <v>383</v>
      </c>
      <c r="C617" s="315" t="s">
        <v>2469</v>
      </c>
      <c r="D617" s="868" t="s">
        <v>3119</v>
      </c>
      <c r="E617" s="837" t="str">
        <f>IFERROR(IF(_xlfn.XLOOKUP(Imput[[#This Row],[RFC]],'Alta Proveedor'!D:D,'Alta Proveedor'!E:E)=0,"",_xlfn.XLOOKUP(Imput[[#This Row],[RFC]],'Alta Proveedor'!D:D,'Alta Proveedor'!E:E)),"")</f>
        <v>Nomina-OPERACIÓN</v>
      </c>
      <c r="F617" s="836" t="s">
        <v>3163</v>
      </c>
      <c r="G617" s="187">
        <v>1</v>
      </c>
      <c r="H617" s="1">
        <v>1200</v>
      </c>
      <c r="I617" s="169">
        <f>Imput[[#This Row],[Cantidad]]*Imput[[#This Row],[Precio Unitario]]</f>
        <v>1200</v>
      </c>
      <c r="J617" s="11">
        <f>Imput[[#This Row],[Sub total]]*0.08</f>
        <v>96</v>
      </c>
      <c r="K617" s="11">
        <v>0</v>
      </c>
      <c r="L617" s="169">
        <f>Imput[[#This Row],[Sub total]]+Imput[[#This Row],[IVA]]-Imput[[#This Row],[Retención / IEPS / Descuento]]</f>
        <v>1296</v>
      </c>
      <c r="M617" s="844">
        <v>1296</v>
      </c>
      <c r="N617" s="189"/>
      <c r="O617" s="1"/>
      <c r="P617" s="189"/>
      <c r="Q617" s="190"/>
      <c r="R617" s="188">
        <v>45871</v>
      </c>
      <c r="S617" s="193"/>
      <c r="T617" s="192"/>
      <c r="U617" s="867" t="s">
        <v>3225</v>
      </c>
      <c r="V617" s="10"/>
      <c r="W617" s="10"/>
      <c r="X617" s="10"/>
      <c r="Y617" s="10"/>
      <c r="Z617" s="10"/>
      <c r="AA617" s="11"/>
      <c r="AB617" s="11"/>
      <c r="AD617" s="260"/>
    </row>
    <row r="618" spans="2:30" x14ac:dyDescent="0.3">
      <c r="B618" s="10" t="s">
        <v>383</v>
      </c>
      <c r="C618" s="315" t="s">
        <v>1133</v>
      </c>
      <c r="D618" s="868" t="s">
        <v>3119</v>
      </c>
      <c r="E618" s="837" t="str">
        <f>IFERROR(IF(_xlfn.XLOOKUP(Imput[[#This Row],[RFC]],'Alta Proveedor'!D:D,'Alta Proveedor'!E:E)=0,"",_xlfn.XLOOKUP(Imput[[#This Row],[RFC]],'Alta Proveedor'!D:D,'Alta Proveedor'!E:E)),"")</f>
        <v>Nomina-OPERACIÓN</v>
      </c>
      <c r="F618" s="836" t="s">
        <v>3164</v>
      </c>
      <c r="G618" s="187">
        <v>1</v>
      </c>
      <c r="H618" s="1">
        <v>20000</v>
      </c>
      <c r="I618" s="169">
        <f>Imput[[#This Row],[Cantidad]]*Imput[[#This Row],[Precio Unitario]]</f>
        <v>20000</v>
      </c>
      <c r="J618" s="11">
        <f>Imput[[#This Row],[Sub total]]*0.08</f>
        <v>1600</v>
      </c>
      <c r="K618" s="11">
        <v>0</v>
      </c>
      <c r="L618" s="169">
        <f>Imput[[#This Row],[Sub total]]+Imput[[#This Row],[IVA]]-Imput[[#This Row],[Retención / IEPS / Descuento]]</f>
        <v>21600</v>
      </c>
      <c r="M618" s="844">
        <v>21600</v>
      </c>
      <c r="N618" s="189"/>
      <c r="O618" s="1"/>
      <c r="P618" s="189"/>
      <c r="Q618" s="190"/>
      <c r="R618" s="188">
        <v>45871</v>
      </c>
      <c r="S618" s="193"/>
      <c r="T618" s="192"/>
      <c r="U618" s="867" t="s">
        <v>3225</v>
      </c>
      <c r="V618" s="10"/>
      <c r="W618" s="10"/>
      <c r="X618" s="10"/>
      <c r="Y618" s="10"/>
      <c r="Z618" s="10"/>
      <c r="AA618" s="11"/>
      <c r="AB618" s="11"/>
      <c r="AD618" s="260"/>
    </row>
    <row r="619" spans="2:30" x14ac:dyDescent="0.3">
      <c r="B619" s="10" t="s">
        <v>383</v>
      </c>
      <c r="C619" s="315" t="s">
        <v>2335</v>
      </c>
      <c r="D619" s="868" t="s">
        <v>3119</v>
      </c>
      <c r="E619" s="837" t="str">
        <f>IFERROR(IF(_xlfn.XLOOKUP(Imput[[#This Row],[RFC]],'Alta Proveedor'!D:D,'Alta Proveedor'!E:E)=0,"",_xlfn.XLOOKUP(Imput[[#This Row],[RFC]],'Alta Proveedor'!D:D,'Alta Proveedor'!E:E)),"")</f>
        <v>Nomina-OPERACIÓN</v>
      </c>
      <c r="F619" s="836" t="s">
        <v>3165</v>
      </c>
      <c r="G619" s="187">
        <v>1</v>
      </c>
      <c r="H619" s="1">
        <v>9272</v>
      </c>
      <c r="I619" s="169">
        <f>Imput[[#This Row],[Cantidad]]*Imput[[#This Row],[Precio Unitario]]</f>
        <v>9272</v>
      </c>
      <c r="J619" s="11">
        <f>Imput[[#This Row],[Sub total]]*0.08</f>
        <v>741.76</v>
      </c>
      <c r="K619" s="11">
        <v>0</v>
      </c>
      <c r="L619" s="169">
        <f>Imput[[#This Row],[Sub total]]+Imput[[#This Row],[IVA]]-Imput[[#This Row],[Retención / IEPS / Descuento]]</f>
        <v>10013.76</v>
      </c>
      <c r="M619" s="844">
        <v>10013.76</v>
      </c>
      <c r="N619" s="189"/>
      <c r="O619" s="1"/>
      <c r="P619" s="189"/>
      <c r="Q619" s="190"/>
      <c r="R619" s="188">
        <v>45871</v>
      </c>
      <c r="S619" s="193"/>
      <c r="T619" s="192"/>
      <c r="U619" s="867" t="s">
        <v>3225</v>
      </c>
      <c r="V619" s="10"/>
      <c r="W619" s="10"/>
      <c r="X619" s="10"/>
      <c r="Y619" s="10"/>
      <c r="Z619" s="10"/>
      <c r="AA619" s="11"/>
      <c r="AB619" s="11"/>
      <c r="AD619" s="260"/>
    </row>
    <row r="620" spans="2:30" x14ac:dyDescent="0.3">
      <c r="B620" s="10" t="s">
        <v>383</v>
      </c>
      <c r="C620" s="315" t="s">
        <v>2335</v>
      </c>
      <c r="D620" s="868" t="s">
        <v>3119</v>
      </c>
      <c r="E620" s="837" t="str">
        <f>IFERROR(IF(_xlfn.XLOOKUP(Imput[[#This Row],[RFC]],'Alta Proveedor'!D:D,'Alta Proveedor'!E:E)=0,"",_xlfn.XLOOKUP(Imput[[#This Row],[RFC]],'Alta Proveedor'!D:D,'Alta Proveedor'!E:E)),"")</f>
        <v>Nomina-OPERACIÓN</v>
      </c>
      <c r="F620" s="836" t="s">
        <v>3166</v>
      </c>
      <c r="G620" s="187">
        <v>1</v>
      </c>
      <c r="H620" s="1">
        <v>3400</v>
      </c>
      <c r="I620" s="169">
        <f>Imput[[#This Row],[Cantidad]]*Imput[[#This Row],[Precio Unitario]]</f>
        <v>3400</v>
      </c>
      <c r="J620" s="11">
        <f>Imput[[#This Row],[Sub total]]*0.08</f>
        <v>272</v>
      </c>
      <c r="K620" s="11">
        <v>0</v>
      </c>
      <c r="L620" s="169">
        <f>Imput[[#This Row],[Sub total]]+Imput[[#This Row],[IVA]]-Imput[[#This Row],[Retención / IEPS / Descuento]]</f>
        <v>3672</v>
      </c>
      <c r="M620" s="844">
        <v>3672</v>
      </c>
      <c r="N620" s="189"/>
      <c r="O620" s="1"/>
      <c r="P620" s="189"/>
      <c r="Q620" s="190"/>
      <c r="R620" s="188">
        <v>45871</v>
      </c>
      <c r="S620" s="193"/>
      <c r="T620" s="192"/>
      <c r="U620" s="867" t="s">
        <v>3225</v>
      </c>
      <c r="V620" s="10"/>
      <c r="W620" s="10"/>
      <c r="X620" s="10"/>
      <c r="Y620" s="10"/>
      <c r="Z620" s="10"/>
      <c r="AA620" s="11"/>
      <c r="AB620" s="11"/>
      <c r="AD620" s="260"/>
    </row>
    <row r="621" spans="2:30" x14ac:dyDescent="0.3">
      <c r="B621" s="10" t="s">
        <v>383</v>
      </c>
      <c r="C621" s="315" t="s">
        <v>2335</v>
      </c>
      <c r="D621" s="868" t="s">
        <v>3119</v>
      </c>
      <c r="E621" s="837" t="str">
        <f>IFERROR(IF(_xlfn.XLOOKUP(Imput[[#This Row],[RFC]],'Alta Proveedor'!D:D,'Alta Proveedor'!E:E)=0,"",_xlfn.XLOOKUP(Imput[[#This Row],[RFC]],'Alta Proveedor'!D:D,'Alta Proveedor'!E:E)),"")</f>
        <v>Nomina-OPERACIÓN</v>
      </c>
      <c r="F621" s="836" t="s">
        <v>3167</v>
      </c>
      <c r="G621" s="187">
        <v>1</v>
      </c>
      <c r="H621" s="1">
        <v>250</v>
      </c>
      <c r="I621" s="169">
        <f>Imput[[#This Row],[Cantidad]]*Imput[[#This Row],[Precio Unitario]]</f>
        <v>250</v>
      </c>
      <c r="J621" s="11">
        <f>Imput[[#This Row],[Sub total]]*0.08</f>
        <v>20</v>
      </c>
      <c r="K621" s="11">
        <v>0</v>
      </c>
      <c r="L621" s="169">
        <f>Imput[[#This Row],[Sub total]]+Imput[[#This Row],[IVA]]-Imput[[#This Row],[Retención / IEPS / Descuento]]</f>
        <v>270</v>
      </c>
      <c r="M621" s="844">
        <v>270</v>
      </c>
      <c r="N621" s="189"/>
      <c r="O621" s="1"/>
      <c r="P621" s="189"/>
      <c r="Q621" s="190"/>
      <c r="R621" s="188">
        <v>45871</v>
      </c>
      <c r="S621" s="193"/>
      <c r="T621" s="192"/>
      <c r="U621" s="867" t="s">
        <v>3225</v>
      </c>
      <c r="V621" s="10"/>
      <c r="W621" s="10"/>
      <c r="X621" s="10"/>
      <c r="Y621" s="10"/>
      <c r="Z621" s="10"/>
      <c r="AA621" s="11"/>
      <c r="AB621" s="11"/>
      <c r="AD621" s="260"/>
    </row>
    <row r="622" spans="2:30" x14ac:dyDescent="0.3">
      <c r="B622" s="10" t="s">
        <v>383</v>
      </c>
      <c r="C622" s="315" t="s">
        <v>2335</v>
      </c>
      <c r="D622" s="868" t="s">
        <v>3119</v>
      </c>
      <c r="E622" s="837" t="str">
        <f>IFERROR(IF(_xlfn.XLOOKUP(Imput[[#This Row],[RFC]],'Alta Proveedor'!D:D,'Alta Proveedor'!E:E)=0,"",_xlfn.XLOOKUP(Imput[[#This Row],[RFC]],'Alta Proveedor'!D:D,'Alta Proveedor'!E:E)),"")</f>
        <v>Nomina-OPERACIÓN</v>
      </c>
      <c r="F622" s="836" t="s">
        <v>3168</v>
      </c>
      <c r="G622" s="187">
        <v>1</v>
      </c>
      <c r="H622" s="1">
        <v>2264</v>
      </c>
      <c r="I622" s="169">
        <f>Imput[[#This Row],[Cantidad]]*Imput[[#This Row],[Precio Unitario]]</f>
        <v>2264</v>
      </c>
      <c r="J622" s="11">
        <f>Imput[[#This Row],[Sub total]]*0.08</f>
        <v>181.12</v>
      </c>
      <c r="K622" s="11">
        <v>0</v>
      </c>
      <c r="L622" s="169">
        <f>Imput[[#This Row],[Sub total]]+Imput[[#This Row],[IVA]]-Imput[[#This Row],[Retención / IEPS / Descuento]]</f>
        <v>2445.12</v>
      </c>
      <c r="M622" s="844">
        <v>2445.12</v>
      </c>
      <c r="N622" s="189"/>
      <c r="O622" s="1"/>
      <c r="P622" s="189"/>
      <c r="Q622" s="190"/>
      <c r="R622" s="188">
        <v>45871</v>
      </c>
      <c r="S622" s="193"/>
      <c r="T622" s="192"/>
      <c r="U622" s="867" t="s">
        <v>3225</v>
      </c>
      <c r="V622" s="10"/>
      <c r="W622" s="10"/>
      <c r="X622" s="10"/>
      <c r="Y622" s="10"/>
      <c r="Z622" s="10"/>
      <c r="AA622" s="11"/>
      <c r="AB622" s="11"/>
      <c r="AD622" s="260"/>
    </row>
    <row r="623" spans="2:30" x14ac:dyDescent="0.3">
      <c r="B623" s="10" t="s">
        <v>383</v>
      </c>
      <c r="C623" s="315" t="s">
        <v>1845</v>
      </c>
      <c r="D623" s="868" t="s">
        <v>3225</v>
      </c>
      <c r="E623" s="837" t="str">
        <f>IFERROR(IF(_xlfn.XLOOKUP(Imput[[#This Row],[RFC]],'Alta Proveedor'!D:D,'Alta Proveedor'!E:E)=0,"",_xlfn.XLOOKUP(Imput[[#This Row],[RFC]],'Alta Proveedor'!D:D,'Alta Proveedor'!E:E)),"")</f>
        <v>GASTOS SIN FACTURA</v>
      </c>
      <c r="F623" s="836" t="s">
        <v>3205</v>
      </c>
      <c r="G623" s="187">
        <v>1</v>
      </c>
      <c r="H623" s="1">
        <v>5400</v>
      </c>
      <c r="I623" s="169">
        <f>Imput[[#This Row],[Cantidad]]*Imput[[#This Row],[Precio Unitario]]</f>
        <v>5400</v>
      </c>
      <c r="J623" s="11">
        <f>Imput[[#This Row],[Sub total]]*0.08</f>
        <v>432</v>
      </c>
      <c r="K623" s="11">
        <v>0</v>
      </c>
      <c r="L623" s="169">
        <f>Imput[[#This Row],[Sub total]]+Imput[[#This Row],[IVA]]-Imput[[#This Row],[Retención / IEPS / Descuento]]</f>
        <v>5832</v>
      </c>
      <c r="M623" s="844">
        <v>5832</v>
      </c>
      <c r="N623" s="189"/>
      <c r="O623" s="1"/>
      <c r="P623" s="189"/>
      <c r="Q623" s="190"/>
      <c r="R623" s="188">
        <v>45871</v>
      </c>
      <c r="S623" s="193"/>
      <c r="T623" s="192"/>
      <c r="U623" s="867" t="s">
        <v>3225</v>
      </c>
      <c r="V623" s="10"/>
      <c r="W623" s="10"/>
      <c r="X623" s="10"/>
      <c r="Y623" s="10"/>
      <c r="Z623" s="10"/>
      <c r="AA623" s="11"/>
      <c r="AB623" s="11"/>
      <c r="AD623" s="260"/>
    </row>
    <row r="624" spans="2:30" x14ac:dyDescent="0.3">
      <c r="B624" s="10" t="s">
        <v>383</v>
      </c>
      <c r="C624" s="315" t="s">
        <v>1765</v>
      </c>
      <c r="D624" s="868" t="s">
        <v>3225</v>
      </c>
      <c r="E624" s="837" t="str">
        <f>IFERROR(IF(_xlfn.XLOOKUP(Imput[[#This Row],[RFC]],'Alta Proveedor'!D:D,'Alta Proveedor'!E:E)=0,"",_xlfn.XLOOKUP(Imput[[#This Row],[RFC]],'Alta Proveedor'!D:D,'Alta Proveedor'!E:E)),"")</f>
        <v>GASTOS SIN FACTURA</v>
      </c>
      <c r="F624" s="836" t="s">
        <v>3206</v>
      </c>
      <c r="G624" s="187">
        <v>1</v>
      </c>
      <c r="H624" s="1">
        <v>5400</v>
      </c>
      <c r="I624" s="169">
        <f>Imput[[#This Row],[Cantidad]]*Imput[[#This Row],[Precio Unitario]]</f>
        <v>5400</v>
      </c>
      <c r="J624" s="11">
        <f>Imput[[#This Row],[Sub total]]*0.08</f>
        <v>432</v>
      </c>
      <c r="K624" s="11">
        <v>0</v>
      </c>
      <c r="L624" s="169">
        <f>Imput[[#This Row],[Sub total]]+Imput[[#This Row],[IVA]]-Imput[[#This Row],[Retención / IEPS / Descuento]]</f>
        <v>5832</v>
      </c>
      <c r="M624" s="844">
        <v>5832</v>
      </c>
      <c r="N624" s="189"/>
      <c r="O624" s="1"/>
      <c r="P624" s="189"/>
      <c r="Q624" s="190"/>
      <c r="R624" s="188">
        <v>45871</v>
      </c>
      <c r="S624" s="193"/>
      <c r="T624" s="192"/>
      <c r="U624" s="867" t="s">
        <v>3225</v>
      </c>
      <c r="V624" s="10"/>
      <c r="W624" s="10"/>
      <c r="X624" s="10"/>
      <c r="Y624" s="10"/>
      <c r="Z624" s="10"/>
      <c r="AA624" s="11"/>
      <c r="AB624" s="11"/>
      <c r="AD624" s="260"/>
    </row>
    <row r="625" spans="2:30" x14ac:dyDescent="0.3">
      <c r="B625" s="10" t="s">
        <v>383</v>
      </c>
      <c r="C625" s="315" t="s">
        <v>1806</v>
      </c>
      <c r="D625" s="868" t="s">
        <v>1365</v>
      </c>
      <c r="E625" s="837" t="str">
        <f>IFERROR(IF(_xlfn.XLOOKUP(Imput[[#This Row],[RFC]],'Alta Proveedor'!D:D,'Alta Proveedor'!E:E)=0,"",_xlfn.XLOOKUP(Imput[[#This Row],[RFC]],'Alta Proveedor'!D:D,'Alta Proveedor'!E:E)),"")</f>
        <v>HOTEL MANTE</v>
      </c>
      <c r="F625" s="832" t="s">
        <v>159</v>
      </c>
      <c r="G625" s="187">
        <v>1</v>
      </c>
      <c r="H625" s="1">
        <v>56.9</v>
      </c>
      <c r="I625" s="169">
        <f>Imput[[#This Row],[Cantidad]]*Imput[[#This Row],[Precio Unitario]]</f>
        <v>56.9</v>
      </c>
      <c r="J625" s="11">
        <f>((Imput[[#This Row],[Sub total]])*(0.16))</f>
        <v>9.1039999999999992</v>
      </c>
      <c r="K625" s="11">
        <v>0</v>
      </c>
      <c r="L625" s="169">
        <f>Imput[[#This Row],[Sub total]]+Imput[[#This Row],[IVA]]-Imput[[#This Row],[Retención / IEPS / Descuento]]</f>
        <v>66.003999999999991</v>
      </c>
      <c r="M625" s="844">
        <v>75.903999999999996</v>
      </c>
      <c r="N625" s="189" t="s">
        <v>123</v>
      </c>
      <c r="O625" s="1"/>
      <c r="P625" s="189" t="s">
        <v>1912</v>
      </c>
      <c r="Q625" s="190" t="s">
        <v>1913</v>
      </c>
      <c r="R625" s="188">
        <v>45872</v>
      </c>
      <c r="S625" s="193" t="s">
        <v>126</v>
      </c>
      <c r="T625" s="192"/>
      <c r="U625" s="829"/>
      <c r="V625" s="10"/>
      <c r="W625" s="10"/>
      <c r="X625" s="10"/>
      <c r="Y625" s="10"/>
      <c r="Z625" s="10"/>
      <c r="AA625" s="11"/>
      <c r="AB625" s="11"/>
      <c r="AD625" s="260"/>
    </row>
    <row r="626" spans="2:30" x14ac:dyDescent="0.3">
      <c r="B626" s="10" t="s">
        <v>383</v>
      </c>
      <c r="C626" s="315" t="s">
        <v>1806</v>
      </c>
      <c r="D626" s="868" t="s">
        <v>1365</v>
      </c>
      <c r="E626" s="837" t="str">
        <f>IFERROR(IF(_xlfn.XLOOKUP(Imput[[#This Row],[RFC]],'Alta Proveedor'!D:D,'Alta Proveedor'!E:E)=0,"",_xlfn.XLOOKUP(Imput[[#This Row],[RFC]],'Alta Proveedor'!D:D,'Alta Proveedor'!E:E)),"")</f>
        <v>HOTEL MANTE</v>
      </c>
      <c r="F626" s="832" t="s">
        <v>1914</v>
      </c>
      <c r="G626" s="187">
        <v>1</v>
      </c>
      <c r="H626" s="1">
        <v>9.9</v>
      </c>
      <c r="I626" s="169">
        <f>Imput[[#This Row],[Cantidad]]*Imput[[#This Row],[Precio Unitario]]</f>
        <v>9.9</v>
      </c>
      <c r="J626" s="11">
        <v>0</v>
      </c>
      <c r="K626" s="11">
        <v>0</v>
      </c>
      <c r="L626" s="169">
        <f>Imput[[#This Row],[Sub total]]+Imput[[#This Row],[IVA]]-Imput[[#This Row],[Retención / IEPS / Descuento]]</f>
        <v>9.9</v>
      </c>
      <c r="M626" s="844">
        <v>0</v>
      </c>
      <c r="N626" s="189" t="s">
        <v>123</v>
      </c>
      <c r="O626" s="1"/>
      <c r="P626" s="189" t="s">
        <v>1912</v>
      </c>
      <c r="Q626" s="190" t="s">
        <v>1913</v>
      </c>
      <c r="R626" s="188">
        <v>45872</v>
      </c>
      <c r="S626" s="193" t="s">
        <v>126</v>
      </c>
      <c r="T626" s="192"/>
      <c r="U626" s="829"/>
      <c r="V626" s="10"/>
      <c r="W626" s="10"/>
      <c r="X626" s="10"/>
      <c r="Y626" s="10"/>
      <c r="Z626" s="10"/>
      <c r="AA626" s="11"/>
      <c r="AB626" s="11"/>
      <c r="AD626" s="260"/>
    </row>
    <row r="627" spans="2:30" x14ac:dyDescent="0.3">
      <c r="B627" s="10" t="s">
        <v>383</v>
      </c>
      <c r="C627" s="315" t="s">
        <v>1806</v>
      </c>
      <c r="D627" s="868" t="s">
        <v>1365</v>
      </c>
      <c r="E627" s="837" t="str">
        <f>IFERROR(IF(_xlfn.XLOOKUP(Imput[[#This Row],[RFC]],'Alta Proveedor'!D:D,'Alta Proveedor'!E:E)=0,"",_xlfn.XLOOKUP(Imput[[#This Row],[RFC]],'Alta Proveedor'!D:D,'Alta Proveedor'!E:E)),"")</f>
        <v>HOTEL MANTE</v>
      </c>
      <c r="F627" s="832" t="s">
        <v>159</v>
      </c>
      <c r="G627" s="187">
        <v>1</v>
      </c>
      <c r="H627" s="1">
        <v>740.52</v>
      </c>
      <c r="I627" s="169">
        <f>Imput[[#This Row],[Cantidad]]*Imput[[#This Row],[Precio Unitario]]</f>
        <v>740.52</v>
      </c>
      <c r="J627" s="11">
        <f>((Imput[[#This Row],[Sub total]])*(0.16))</f>
        <v>118.4832</v>
      </c>
      <c r="K627" s="11">
        <v>0</v>
      </c>
      <c r="L627" s="169">
        <f>Imput[[#This Row],[Sub total]]+Imput[[#This Row],[IVA]]-Imput[[#This Row],[Retención / IEPS / Descuento]]</f>
        <v>859.00319999999999</v>
      </c>
      <c r="M627" s="844">
        <v>944.90319999999997</v>
      </c>
      <c r="N627" s="189" t="s">
        <v>123</v>
      </c>
      <c r="O627" s="1"/>
      <c r="P627" s="189" t="s">
        <v>1915</v>
      </c>
      <c r="Q627" s="190" t="s">
        <v>1916</v>
      </c>
      <c r="R627" s="188">
        <v>45872</v>
      </c>
      <c r="S627" s="193" t="s">
        <v>126</v>
      </c>
      <c r="T627" s="192"/>
      <c r="U627" s="829"/>
      <c r="V627" s="10"/>
      <c r="W627" s="10"/>
      <c r="X627" s="10"/>
      <c r="Y627" s="10"/>
      <c r="Z627" s="10"/>
      <c r="AA627" s="11"/>
      <c r="AB627" s="11"/>
      <c r="AD627" s="260"/>
    </row>
    <row r="628" spans="2:30" x14ac:dyDescent="0.3">
      <c r="B628" s="10" t="s">
        <v>383</v>
      </c>
      <c r="C628" s="315" t="s">
        <v>1806</v>
      </c>
      <c r="D628" s="868" t="s">
        <v>1365</v>
      </c>
      <c r="E628" s="837" t="str">
        <f>IFERROR(IF(_xlfn.XLOOKUP(Imput[[#This Row],[RFC]],'Alta Proveedor'!D:D,'Alta Proveedor'!E:E)=0,"",_xlfn.XLOOKUP(Imput[[#This Row],[RFC]],'Alta Proveedor'!D:D,'Alta Proveedor'!E:E)),"")</f>
        <v>HOTEL MANTE</v>
      </c>
      <c r="F628" s="832" t="s">
        <v>1914</v>
      </c>
      <c r="G628" s="187">
        <v>1</v>
      </c>
      <c r="H628" s="1">
        <v>85.9</v>
      </c>
      <c r="I628" s="169">
        <f>Imput[[#This Row],[Cantidad]]*Imput[[#This Row],[Precio Unitario]]</f>
        <v>85.9</v>
      </c>
      <c r="J628" s="11">
        <v>0</v>
      </c>
      <c r="K628" s="11">
        <v>0</v>
      </c>
      <c r="L628" s="169">
        <f>Imput[[#This Row],[Sub total]]+Imput[[#This Row],[IVA]]-Imput[[#This Row],[Retención / IEPS / Descuento]]</f>
        <v>85.9</v>
      </c>
      <c r="M628" s="844">
        <v>0</v>
      </c>
      <c r="N628" s="189" t="s">
        <v>123</v>
      </c>
      <c r="O628" s="1"/>
      <c r="P628" s="189" t="s">
        <v>1915</v>
      </c>
      <c r="Q628" s="190" t="s">
        <v>1916</v>
      </c>
      <c r="R628" s="188">
        <v>45872</v>
      </c>
      <c r="S628" s="193" t="s">
        <v>126</v>
      </c>
      <c r="T628" s="192"/>
      <c r="U628" s="829"/>
      <c r="V628" s="10"/>
      <c r="W628" s="10"/>
      <c r="X628" s="10"/>
      <c r="Y628" s="10"/>
      <c r="Z628" s="10"/>
      <c r="AA628" s="11"/>
      <c r="AB628" s="11"/>
      <c r="AD628" s="260"/>
    </row>
    <row r="629" spans="2:30" x14ac:dyDescent="0.3">
      <c r="B629" s="10" t="s">
        <v>383</v>
      </c>
      <c r="C629" s="315" t="s">
        <v>1767</v>
      </c>
      <c r="D629" s="868" t="s">
        <v>1937</v>
      </c>
      <c r="E629" s="837" t="str">
        <f>IFERROR(IF(_xlfn.XLOOKUP(Imput[[#This Row],[RFC]],'Alta Proveedor'!D:D,'Alta Proveedor'!E:E)=0,"",_xlfn.XLOOKUP(Imput[[#This Row],[RFC]],'Alta Proveedor'!D:D,'Alta Proveedor'!E:E)),"")</f>
        <v>HIDROSINA PLUS (COMBUSTIBLE)</v>
      </c>
      <c r="F629" s="832" t="s">
        <v>237</v>
      </c>
      <c r="G629" s="187">
        <v>45.854100000000003</v>
      </c>
      <c r="H629" s="1">
        <v>20.759599999999999</v>
      </c>
      <c r="I629" s="169">
        <f>Imput[[#This Row],[Cantidad]]*Imput[[#This Row],[Precio Unitario]]</f>
        <v>951.91277435999996</v>
      </c>
      <c r="J629" s="11">
        <f>((925.7867)*(0.16))</f>
        <v>148.12587200000002</v>
      </c>
      <c r="K629" s="11">
        <v>0</v>
      </c>
      <c r="L629" s="169">
        <f>Imput[[#This Row],[Sub total]]+Imput[[#This Row],[IVA]]-Imput[[#This Row],[Retención / IEPS / Descuento]]</f>
        <v>1100.03864636</v>
      </c>
      <c r="M629" s="844">
        <v>1100.03864636</v>
      </c>
      <c r="N629" s="189" t="s">
        <v>123</v>
      </c>
      <c r="O629" s="1"/>
      <c r="P629" s="189" t="s">
        <v>1935</v>
      </c>
      <c r="Q629" s="190" t="s">
        <v>1936</v>
      </c>
      <c r="R629" s="188">
        <v>45872</v>
      </c>
      <c r="S629" s="193" t="s">
        <v>126</v>
      </c>
      <c r="T629" s="192"/>
      <c r="U629" s="829"/>
      <c r="V629" s="10"/>
      <c r="W629" s="10"/>
      <c r="X629" s="10"/>
      <c r="Y629" s="10"/>
      <c r="Z629" s="10"/>
      <c r="AA629" s="11"/>
      <c r="AB629" s="11"/>
      <c r="AD629" s="260"/>
    </row>
    <row r="630" spans="2:30" x14ac:dyDescent="0.3">
      <c r="B630" s="10" t="s">
        <v>383</v>
      </c>
      <c r="C630" s="315" t="s">
        <v>1769</v>
      </c>
      <c r="D630" s="868" t="s">
        <v>1499</v>
      </c>
      <c r="E630" s="837" t="str">
        <f>IFERROR(IF(_xlfn.XLOOKUP(Imput[[#This Row],[RFC]],'Alta Proveedor'!D:D,'Alta Proveedor'!E:E)=0,"",_xlfn.XLOOKUP(Imput[[#This Row],[RFC]],'Alta Proveedor'!D:D,'Alta Proveedor'!E:E)),"")</f>
        <v>TRANSPAIS UNICO (TRANSPORTE PASAJEROS)</v>
      </c>
      <c r="F630" s="832" t="s">
        <v>3491</v>
      </c>
      <c r="G630" s="187">
        <v>1</v>
      </c>
      <c r="H630" s="1">
        <v>276.72000000000003</v>
      </c>
      <c r="I630" s="169">
        <f>Imput[[#This Row],[Cantidad]]*Imput[[#This Row],[Precio Unitario]]</f>
        <v>276.72000000000003</v>
      </c>
      <c r="J630" s="11">
        <f>((Imput[[#This Row],[Sub total]])*(0.16))</f>
        <v>44.275200000000005</v>
      </c>
      <c r="K630" s="11">
        <v>0</v>
      </c>
      <c r="L630" s="169">
        <f>Imput[[#This Row],[Sub total]]+Imput[[#This Row],[IVA]]-Imput[[#This Row],[Retención / IEPS / Descuento]]</f>
        <v>320.99520000000001</v>
      </c>
      <c r="M630" s="844">
        <v>320.99520000000001</v>
      </c>
      <c r="N630" s="189" t="s">
        <v>123</v>
      </c>
      <c r="O630" s="1"/>
      <c r="P630" s="189" t="s">
        <v>2012</v>
      </c>
      <c r="Q630" s="190" t="s">
        <v>2013</v>
      </c>
      <c r="R630" s="188">
        <v>45872</v>
      </c>
      <c r="S630" s="193" t="s">
        <v>126</v>
      </c>
      <c r="T630" s="192"/>
      <c r="U630" s="829"/>
      <c r="V630" s="10"/>
      <c r="W630" s="10"/>
      <c r="X630" s="10"/>
      <c r="Y630" s="10"/>
      <c r="Z630" s="10"/>
      <c r="AA630" s="11"/>
      <c r="AB630" s="11"/>
      <c r="AD630" s="260"/>
    </row>
    <row r="631" spans="2:30" x14ac:dyDescent="0.3">
      <c r="B631" s="10" t="s">
        <v>383</v>
      </c>
      <c r="C631" s="315" t="s">
        <v>2335</v>
      </c>
      <c r="D631" s="868" t="s">
        <v>3119</v>
      </c>
      <c r="E631" s="837" t="str">
        <f>IFERROR(IF(_xlfn.XLOOKUP(Imput[[#This Row],[RFC]],'Alta Proveedor'!D:D,'Alta Proveedor'!E:E)=0,"",_xlfn.XLOOKUP(Imput[[#This Row],[RFC]],'Alta Proveedor'!D:D,'Alta Proveedor'!E:E)),"")</f>
        <v>Nomina-OPERACIÓN</v>
      </c>
      <c r="F631" s="836" t="s">
        <v>3169</v>
      </c>
      <c r="G631" s="187">
        <v>1</v>
      </c>
      <c r="H631" s="1">
        <v>4531</v>
      </c>
      <c r="I631" s="169">
        <f>Imput[[#This Row],[Cantidad]]*Imput[[#This Row],[Precio Unitario]]</f>
        <v>4531</v>
      </c>
      <c r="J631" s="11">
        <f>Imput[[#This Row],[Sub total]]*0.08</f>
        <v>362.48</v>
      </c>
      <c r="K631" s="11">
        <v>0</v>
      </c>
      <c r="L631" s="169">
        <f>Imput[[#This Row],[Sub total]]+Imput[[#This Row],[IVA]]-Imput[[#This Row],[Retención / IEPS / Descuento]]</f>
        <v>4893.4799999999996</v>
      </c>
      <c r="M631" s="844">
        <v>4893.4799999999996</v>
      </c>
      <c r="N631" s="189"/>
      <c r="O631" s="1"/>
      <c r="P631" s="189"/>
      <c r="Q631" s="190"/>
      <c r="R631" s="188">
        <v>45872</v>
      </c>
      <c r="S631" s="193"/>
      <c r="T631" s="192"/>
      <c r="U631" s="867" t="s">
        <v>3225</v>
      </c>
      <c r="V631" s="10"/>
      <c r="W631" s="10"/>
      <c r="X631" s="10"/>
      <c r="Y631" s="10"/>
      <c r="Z631" s="10"/>
      <c r="AA631" s="11"/>
      <c r="AB631" s="11"/>
      <c r="AD631" s="260"/>
    </row>
    <row r="632" spans="2:30" x14ac:dyDescent="0.3">
      <c r="B632" s="10" t="s">
        <v>383</v>
      </c>
      <c r="C632" s="315" t="s">
        <v>1806</v>
      </c>
      <c r="D632" s="868" t="s">
        <v>1365</v>
      </c>
      <c r="E632" s="837" t="str">
        <f>IFERROR(IF(_xlfn.XLOOKUP(Imput[[#This Row],[RFC]],'Alta Proveedor'!D:D,'Alta Proveedor'!E:E)=0,"",_xlfn.XLOOKUP(Imput[[#This Row],[RFC]],'Alta Proveedor'!D:D,'Alta Proveedor'!E:E)),"")</f>
        <v>HOTEL MANTE</v>
      </c>
      <c r="F632" s="832" t="s">
        <v>159</v>
      </c>
      <c r="G632" s="187">
        <v>1</v>
      </c>
      <c r="H632" s="1">
        <v>990.52</v>
      </c>
      <c r="I632" s="169">
        <f>Imput[[#This Row],[Cantidad]]*Imput[[#This Row],[Precio Unitario]]</f>
        <v>990.52</v>
      </c>
      <c r="J632" s="11">
        <f>((Imput[[#This Row],[Sub total]])*(0.16))</f>
        <v>158.48320000000001</v>
      </c>
      <c r="K632" s="11">
        <v>0</v>
      </c>
      <c r="L632" s="169">
        <f>Imput[[#This Row],[Sub total]]+Imput[[#This Row],[IVA]]-Imput[[#This Row],[Retención / IEPS / Descuento]]</f>
        <v>1149.0032000000001</v>
      </c>
      <c r="M632" s="844">
        <v>1263.9032000000002</v>
      </c>
      <c r="N632" s="189" t="s">
        <v>123</v>
      </c>
      <c r="O632" s="1"/>
      <c r="P632" s="189" t="s">
        <v>1917</v>
      </c>
      <c r="Q632" s="190" t="s">
        <v>1918</v>
      </c>
      <c r="R632" s="188">
        <v>45873</v>
      </c>
      <c r="S632" s="193" t="s">
        <v>126</v>
      </c>
      <c r="T632" s="192"/>
      <c r="U632" s="829"/>
      <c r="V632" s="10"/>
      <c r="W632" s="10"/>
      <c r="X632" s="10"/>
      <c r="Y632" s="10"/>
      <c r="Z632" s="10"/>
      <c r="AA632" s="11"/>
      <c r="AB632" s="11"/>
      <c r="AD632" s="260"/>
    </row>
    <row r="633" spans="2:30" x14ac:dyDescent="0.3">
      <c r="B633" s="10" t="s">
        <v>383</v>
      </c>
      <c r="C633" s="315" t="s">
        <v>1806</v>
      </c>
      <c r="D633" s="868" t="s">
        <v>1365</v>
      </c>
      <c r="E633" s="837" t="str">
        <f>IFERROR(IF(_xlfn.XLOOKUP(Imput[[#This Row],[RFC]],'Alta Proveedor'!D:D,'Alta Proveedor'!E:E)=0,"",_xlfn.XLOOKUP(Imput[[#This Row],[RFC]],'Alta Proveedor'!D:D,'Alta Proveedor'!E:E)),"")</f>
        <v>HOTEL MANTE</v>
      </c>
      <c r="F633" s="832" t="s">
        <v>1914</v>
      </c>
      <c r="G633" s="187">
        <v>1</v>
      </c>
      <c r="H633" s="1">
        <v>114.9</v>
      </c>
      <c r="I633" s="169">
        <f>Imput[[#This Row],[Cantidad]]*Imput[[#This Row],[Precio Unitario]]</f>
        <v>114.9</v>
      </c>
      <c r="J633" s="11">
        <v>0</v>
      </c>
      <c r="K633" s="11">
        <v>0</v>
      </c>
      <c r="L633" s="169">
        <f>Imput[[#This Row],[Sub total]]+Imput[[#This Row],[IVA]]-Imput[[#This Row],[Retención / IEPS / Descuento]]</f>
        <v>114.9</v>
      </c>
      <c r="M633" s="844">
        <v>0</v>
      </c>
      <c r="N633" s="189" t="s">
        <v>123</v>
      </c>
      <c r="O633" s="1"/>
      <c r="P633" s="189" t="s">
        <v>1917</v>
      </c>
      <c r="Q633" s="190" t="s">
        <v>1918</v>
      </c>
      <c r="R633" s="188">
        <v>45873</v>
      </c>
      <c r="S633" s="193" t="s">
        <v>126</v>
      </c>
      <c r="T633" s="192"/>
      <c r="U633" s="829"/>
      <c r="V633" s="10"/>
      <c r="W633" s="10"/>
      <c r="X633" s="10"/>
      <c r="Y633" s="10"/>
      <c r="Z633" s="10"/>
      <c r="AA633" s="11"/>
      <c r="AB633" s="11"/>
      <c r="AD633" s="260"/>
    </row>
    <row r="634" spans="2:30" x14ac:dyDescent="0.3">
      <c r="B634" s="10" t="s">
        <v>383</v>
      </c>
      <c r="C634" s="315" t="s">
        <v>1767</v>
      </c>
      <c r="D634" s="868" t="s">
        <v>1553</v>
      </c>
      <c r="E634" s="837" t="str">
        <f>IFERROR(IF(_xlfn.XLOOKUP(Imput[[#This Row],[RFC]],'Alta Proveedor'!D:D,'Alta Proveedor'!E:E)=0,"",_xlfn.XLOOKUP(Imput[[#This Row],[RFC]],'Alta Proveedor'!D:D,'Alta Proveedor'!E:E)),"")</f>
        <v>COMERCIALIZADORA DE COMBUSTIBLES TAMAULIPECA "NEXUM" (COMBUSTIBLES)</v>
      </c>
      <c r="F634" s="832" t="s">
        <v>1114</v>
      </c>
      <c r="G634" s="187">
        <v>71.155699999999996</v>
      </c>
      <c r="H634" s="1">
        <v>22.599710000000002</v>
      </c>
      <c r="I634" s="169">
        <f>Imput[[#This Row],[Cantidad]]*Imput[[#This Row],[Precio Unitario]]</f>
        <v>1608.0981848470001</v>
      </c>
      <c r="J634" s="11">
        <f>((1574.4375)*(0.16))</f>
        <v>251.91</v>
      </c>
      <c r="K634" s="11">
        <v>0</v>
      </c>
      <c r="L634" s="169">
        <f>Imput[[#This Row],[Sub total]]+Imput[[#This Row],[IVA]]-Imput[[#This Row],[Retención / IEPS / Descuento]]</f>
        <v>1860.0081848470002</v>
      </c>
      <c r="M634" s="844">
        <v>1860.0081848470002</v>
      </c>
      <c r="N634" s="189" t="s">
        <v>123</v>
      </c>
      <c r="O634" s="1"/>
      <c r="P634" s="189" t="s">
        <v>1551</v>
      </c>
      <c r="Q634" s="190" t="s">
        <v>1552</v>
      </c>
      <c r="R634" s="188">
        <v>45873</v>
      </c>
      <c r="S634" s="193" t="s">
        <v>126</v>
      </c>
      <c r="T634" s="192"/>
      <c r="U634" s="829"/>
      <c r="V634" s="10"/>
      <c r="W634" s="10"/>
      <c r="X634" s="10"/>
      <c r="Y634" s="10"/>
      <c r="Z634" s="10"/>
      <c r="AA634" s="11"/>
      <c r="AB634" s="11"/>
      <c r="AD634" s="260"/>
    </row>
    <row r="635" spans="2:30" x14ac:dyDescent="0.3">
      <c r="B635" s="10" t="s">
        <v>383</v>
      </c>
      <c r="C635" s="315" t="s">
        <v>1747</v>
      </c>
      <c r="D635" s="868" t="s">
        <v>1365</v>
      </c>
      <c r="E635" s="837" t="str">
        <f>IFERROR(IF(_xlfn.XLOOKUP(Imput[[#This Row],[RFC]],'Alta Proveedor'!D:D,'Alta Proveedor'!E:E)=0,"",_xlfn.XLOOKUP(Imput[[#This Row],[RFC]],'Alta Proveedor'!D:D,'Alta Proveedor'!E:E)),"")</f>
        <v>HOTEL MANTE</v>
      </c>
      <c r="F635" s="832" t="s">
        <v>1482</v>
      </c>
      <c r="G635" s="187">
        <v>4</v>
      </c>
      <c r="H635" s="1">
        <v>882.35294099999999</v>
      </c>
      <c r="I635" s="169">
        <f>Imput[[#This Row],[Cantidad]]*Imput[[#This Row],[Precio Unitario]]</f>
        <v>3529.4117639999999</v>
      </c>
      <c r="J635" s="11">
        <f>((Imput[[#This Row],[Sub total]])*(0.16))+105.88</f>
        <v>670.58588224000005</v>
      </c>
      <c r="K635" s="11">
        <v>0</v>
      </c>
      <c r="L635" s="169">
        <f>Imput[[#This Row],[Sub total]]+Imput[[#This Row],[IVA]]-Imput[[#This Row],[Retención / IEPS / Descuento]]</f>
        <v>4199.99764624</v>
      </c>
      <c r="M635" s="844">
        <v>4199.99764624</v>
      </c>
      <c r="N635" s="189" t="s">
        <v>123</v>
      </c>
      <c r="O635" s="1"/>
      <c r="P635" s="189" t="s">
        <v>1929</v>
      </c>
      <c r="Q635" s="190" t="s">
        <v>1930</v>
      </c>
      <c r="R635" s="188">
        <v>45873</v>
      </c>
      <c r="S635" s="193" t="s">
        <v>126</v>
      </c>
      <c r="T635" s="192"/>
      <c r="U635" s="829"/>
      <c r="V635" s="10"/>
      <c r="W635" s="10"/>
      <c r="X635" s="10"/>
      <c r="Y635" s="10"/>
      <c r="Z635" s="10"/>
      <c r="AA635" s="11"/>
      <c r="AB635" s="11"/>
      <c r="AD635" s="260"/>
    </row>
    <row r="636" spans="2:30" x14ac:dyDescent="0.3">
      <c r="B636" s="10" t="s">
        <v>383</v>
      </c>
      <c r="C636" s="315" t="s">
        <v>1806</v>
      </c>
      <c r="D636" s="868" t="s">
        <v>1415</v>
      </c>
      <c r="E636" s="837" t="str">
        <f>IFERROR(IF(_xlfn.XLOOKUP(Imput[[#This Row],[RFC]],'Alta Proveedor'!D:D,'Alta Proveedor'!E:E)=0,"",_xlfn.XLOOKUP(Imput[[#This Row],[RFC]],'Alta Proveedor'!D:D,'Alta Proveedor'!E:E)),"")</f>
        <v>PEDRO ANTONIO ACEVES YAPUR "MIL HORNOS" (RESTAURANTE)</v>
      </c>
      <c r="F636" s="832" t="s">
        <v>159</v>
      </c>
      <c r="G636" s="187">
        <v>1</v>
      </c>
      <c r="H636" s="1">
        <v>585.34</v>
      </c>
      <c r="I636" s="169">
        <f>Imput[[#This Row],[Cantidad]]*Imput[[#This Row],[Precio Unitario]]</f>
        <v>585.34</v>
      </c>
      <c r="J636" s="11">
        <f>((Imput[[#This Row],[Sub total]])*(0.16))</f>
        <v>93.65440000000001</v>
      </c>
      <c r="K636" s="11">
        <v>0</v>
      </c>
      <c r="L636" s="169">
        <f>Imput[[#This Row],[Sub total]]+Imput[[#This Row],[IVA]]-Imput[[#This Row],[Retención / IEPS / Descuento]]</f>
        <v>678.99440000000004</v>
      </c>
      <c r="M636" s="844">
        <v>678.99440000000004</v>
      </c>
      <c r="N636" s="189" t="s">
        <v>123</v>
      </c>
      <c r="O636" s="1"/>
      <c r="P636" s="189" t="s">
        <v>1516</v>
      </c>
      <c r="Q636" s="190" t="s">
        <v>1517</v>
      </c>
      <c r="R636" s="188">
        <v>45873</v>
      </c>
      <c r="S636" s="193" t="s">
        <v>126</v>
      </c>
      <c r="T636" s="192"/>
      <c r="U636" s="829"/>
      <c r="V636" s="10"/>
      <c r="W636" s="10"/>
      <c r="X636" s="10"/>
      <c r="Y636" s="10"/>
      <c r="Z636" s="10"/>
      <c r="AA636" s="11"/>
      <c r="AB636" s="11"/>
      <c r="AD636" s="260"/>
    </row>
    <row r="637" spans="2:30" x14ac:dyDescent="0.3">
      <c r="B637" s="10" t="s">
        <v>383</v>
      </c>
      <c r="C637" s="315" t="s">
        <v>1767</v>
      </c>
      <c r="D637" s="868" t="s">
        <v>1937</v>
      </c>
      <c r="E637" s="837" t="str">
        <f>IFERROR(IF(_xlfn.XLOOKUP(Imput[[#This Row],[RFC]],'Alta Proveedor'!D:D,'Alta Proveedor'!E:E)=0,"",_xlfn.XLOOKUP(Imput[[#This Row],[RFC]],'Alta Proveedor'!D:D,'Alta Proveedor'!E:E)),"")</f>
        <v>HIDROSINA PLUS (COMBUSTIBLE)</v>
      </c>
      <c r="F637" s="832" t="s">
        <v>237</v>
      </c>
      <c r="G637" s="187">
        <v>73.358900000000006</v>
      </c>
      <c r="H637" s="1">
        <v>20.759599999999999</v>
      </c>
      <c r="I637" s="169">
        <f>Imput[[#This Row],[Cantidad]]*Imput[[#This Row],[Precio Unitario]]</f>
        <v>1522.90142044</v>
      </c>
      <c r="J637" s="11">
        <f>((1481.1038)*(0.16))</f>
        <v>236.97660800000003</v>
      </c>
      <c r="K637" s="11">
        <v>0</v>
      </c>
      <c r="L637" s="169">
        <f>Imput[[#This Row],[Sub total]]+Imput[[#This Row],[IVA]]-Imput[[#This Row],[Retención / IEPS / Descuento]]</f>
        <v>1759.87802844</v>
      </c>
      <c r="M637" s="844">
        <v>1759.87802844</v>
      </c>
      <c r="N637" s="189" t="s">
        <v>123</v>
      </c>
      <c r="O637" s="1"/>
      <c r="P637" s="189" t="s">
        <v>1939</v>
      </c>
      <c r="Q637" s="190" t="s">
        <v>1940</v>
      </c>
      <c r="R637" s="188">
        <v>45873</v>
      </c>
      <c r="S637" s="193" t="s">
        <v>126</v>
      </c>
      <c r="T637" s="192"/>
      <c r="U637" s="829"/>
      <c r="V637" s="10"/>
      <c r="W637" s="10"/>
      <c r="X637" s="10"/>
      <c r="Y637" s="10"/>
      <c r="Z637" s="10"/>
      <c r="AA637" s="11"/>
      <c r="AB637" s="11"/>
      <c r="AD637" s="260"/>
    </row>
    <row r="638" spans="2:30" x14ac:dyDescent="0.3">
      <c r="B638" s="10" t="s">
        <v>383</v>
      </c>
      <c r="C638" s="315" t="s">
        <v>2436</v>
      </c>
      <c r="D638" s="868" t="s">
        <v>264</v>
      </c>
      <c r="E638" s="837" t="str">
        <f>IFERROR(IF(_xlfn.XLOOKUP(Imput[[#This Row],[RFC]],'Alta Proveedor'!D:D,'Alta Proveedor'!E:E)=0,"",_xlfn.XLOOKUP(Imput[[#This Row],[RFC]],'Alta Proveedor'!D:D,'Alta Proveedor'!E:E)),"")</f>
        <v>M.N. DEL GOLFO "HOME CENTER TU ASESOR CONFIABLE"</v>
      </c>
      <c r="F638" s="832" t="s">
        <v>300</v>
      </c>
      <c r="G638" s="187">
        <v>10</v>
      </c>
      <c r="H638" s="1">
        <v>421.55200000000002</v>
      </c>
      <c r="I638" s="169">
        <f>Imput[[#This Row],[Cantidad]]*Imput[[#This Row],[Precio Unitario]]</f>
        <v>4215.5200000000004</v>
      </c>
      <c r="J638" s="11">
        <f>((Imput[[#This Row],[Sub total]])*(0.16))</f>
        <v>674.48320000000012</v>
      </c>
      <c r="K638" s="11">
        <v>0</v>
      </c>
      <c r="L638" s="169">
        <f>Imput[[#This Row],[Sub total]]+Imput[[#This Row],[IVA]]-Imput[[#This Row],[Retención / IEPS / Descuento]]</f>
        <v>4890.003200000001</v>
      </c>
      <c r="M638" s="844">
        <v>5510.294640000001</v>
      </c>
      <c r="N638" s="189" t="s">
        <v>123</v>
      </c>
      <c r="O638" s="1"/>
      <c r="P638" s="189" t="s">
        <v>1945</v>
      </c>
      <c r="Q638" s="190" t="s">
        <v>1946</v>
      </c>
      <c r="R638" s="188">
        <v>45873</v>
      </c>
      <c r="S638" s="193" t="s">
        <v>215</v>
      </c>
      <c r="T638" s="192"/>
      <c r="U638" s="829"/>
      <c r="V638" s="10"/>
      <c r="W638" s="10"/>
      <c r="X638" s="10"/>
      <c r="Y638" s="10"/>
      <c r="Z638" s="10"/>
      <c r="AA638" s="11"/>
      <c r="AB638" s="11"/>
      <c r="AD638" s="260"/>
    </row>
    <row r="639" spans="2:30" x14ac:dyDescent="0.3">
      <c r="B639" s="10" t="s">
        <v>383</v>
      </c>
      <c r="C639" s="315" t="s">
        <v>2435</v>
      </c>
      <c r="D639" s="868" t="s">
        <v>264</v>
      </c>
      <c r="E639" s="837" t="str">
        <f>IFERROR(IF(_xlfn.XLOOKUP(Imput[[#This Row],[RFC]],'Alta Proveedor'!D:D,'Alta Proveedor'!E:E)=0,"",_xlfn.XLOOKUP(Imput[[#This Row],[RFC]],'Alta Proveedor'!D:D,'Alta Proveedor'!E:E)),"")</f>
        <v>M.N. DEL GOLFO "HOME CENTER TU ASESOR CONFIABLE"</v>
      </c>
      <c r="F639" s="832" t="s">
        <v>303</v>
      </c>
      <c r="G639" s="187">
        <v>3</v>
      </c>
      <c r="H639" s="1">
        <v>101.72799999999999</v>
      </c>
      <c r="I639" s="169">
        <f>Imput[[#This Row],[Cantidad]]*Imput[[#This Row],[Precio Unitario]]</f>
        <v>305.18399999999997</v>
      </c>
      <c r="J639" s="11">
        <f>((Imput[[#This Row],[Sub total]])*(0.16))</f>
        <v>48.829439999999998</v>
      </c>
      <c r="K639" s="11">
        <v>0</v>
      </c>
      <c r="L639" s="169">
        <f>Imput[[#This Row],[Sub total]]+Imput[[#This Row],[IVA]]-Imput[[#This Row],[Retención / IEPS / Descuento]]</f>
        <v>354.01343999999995</v>
      </c>
      <c r="M639" s="844">
        <v>0</v>
      </c>
      <c r="N639" s="189" t="s">
        <v>123</v>
      </c>
      <c r="O639" s="1"/>
      <c r="P639" s="189" t="s">
        <v>1945</v>
      </c>
      <c r="Q639" s="190" t="s">
        <v>1946</v>
      </c>
      <c r="R639" s="188">
        <v>45873</v>
      </c>
      <c r="S639" s="193" t="s">
        <v>215</v>
      </c>
      <c r="T639" s="192"/>
      <c r="U639" s="829"/>
      <c r="V639" s="10"/>
      <c r="W639" s="10"/>
      <c r="X639" s="10"/>
      <c r="Y639" s="10"/>
      <c r="Z639" s="10"/>
      <c r="AA639" s="11"/>
      <c r="AB639" s="11"/>
      <c r="AD639" s="260"/>
    </row>
    <row r="640" spans="2:30" x14ac:dyDescent="0.3">
      <c r="B640" s="10" t="s">
        <v>383</v>
      </c>
      <c r="C640" s="315" t="s">
        <v>2423</v>
      </c>
      <c r="D640" s="868" t="s">
        <v>264</v>
      </c>
      <c r="E640" s="837" t="str">
        <f>IFERROR(IF(_xlfn.XLOOKUP(Imput[[#This Row],[RFC]],'Alta Proveedor'!D:D,'Alta Proveedor'!E:E)=0,"",_xlfn.XLOOKUP(Imput[[#This Row],[RFC]],'Alta Proveedor'!D:D,'Alta Proveedor'!E:E)),"")</f>
        <v>M.N. DEL GOLFO "HOME CENTER TU ASESOR CONFIABLE"</v>
      </c>
      <c r="F640" s="832" t="s">
        <v>304</v>
      </c>
      <c r="G640" s="187">
        <v>10</v>
      </c>
      <c r="H640" s="1">
        <v>22.954999999999998</v>
      </c>
      <c r="I640" s="169">
        <f>Imput[[#This Row],[Cantidad]]*Imput[[#This Row],[Precio Unitario]]</f>
        <v>229.54999999999998</v>
      </c>
      <c r="J640" s="11">
        <f>((Imput[[#This Row],[Sub total]])*(0.16))</f>
        <v>36.728000000000002</v>
      </c>
      <c r="K640" s="11">
        <v>0</v>
      </c>
      <c r="L640" s="169">
        <f>Imput[[#This Row],[Sub total]]+Imput[[#This Row],[IVA]]-Imput[[#This Row],[Retención / IEPS / Descuento]]</f>
        <v>266.27799999999996</v>
      </c>
      <c r="M640" s="844">
        <v>0</v>
      </c>
      <c r="N640" s="189" t="s">
        <v>123</v>
      </c>
      <c r="O640" s="1"/>
      <c r="P640" s="189" t="s">
        <v>1945</v>
      </c>
      <c r="Q640" s="190" t="s">
        <v>1946</v>
      </c>
      <c r="R640" s="188">
        <v>45873</v>
      </c>
      <c r="S640" s="193" t="s">
        <v>215</v>
      </c>
      <c r="T640" s="192"/>
      <c r="U640" s="829"/>
      <c r="V640" s="10"/>
      <c r="W640" s="10"/>
      <c r="X640" s="10"/>
      <c r="Y640" s="10"/>
      <c r="Z640" s="10"/>
      <c r="AA640" s="11"/>
      <c r="AB640" s="11"/>
      <c r="AD640" s="260"/>
    </row>
    <row r="641" spans="2:30" x14ac:dyDescent="0.3">
      <c r="B641" s="10" t="s">
        <v>383</v>
      </c>
      <c r="C641" s="315" t="s">
        <v>2335</v>
      </c>
      <c r="D641" s="868" t="s">
        <v>3119</v>
      </c>
      <c r="E641" s="837" t="str">
        <f>IFERROR(IF(_xlfn.XLOOKUP(Imput[[#This Row],[RFC]],'Alta Proveedor'!D:D,'Alta Proveedor'!E:E)=0,"",_xlfn.XLOOKUP(Imput[[#This Row],[RFC]],'Alta Proveedor'!D:D,'Alta Proveedor'!E:E)),"")</f>
        <v>Nomina-OPERACIÓN</v>
      </c>
      <c r="F641" s="836" t="s">
        <v>3170</v>
      </c>
      <c r="G641" s="187">
        <v>1</v>
      </c>
      <c r="H641" s="1">
        <v>6935</v>
      </c>
      <c r="I641" s="169">
        <f>Imput[[#This Row],[Cantidad]]*Imput[[#This Row],[Precio Unitario]]</f>
        <v>6935</v>
      </c>
      <c r="J641" s="11">
        <f>Imput[[#This Row],[Sub total]]*0.08</f>
        <v>554.80000000000007</v>
      </c>
      <c r="K641" s="11">
        <v>0</v>
      </c>
      <c r="L641" s="169">
        <f>Imput[[#This Row],[Sub total]]+Imput[[#This Row],[IVA]]-Imput[[#This Row],[Retención / IEPS / Descuento]]</f>
        <v>7489.8</v>
      </c>
      <c r="M641" s="844">
        <v>7489.8</v>
      </c>
      <c r="N641" s="189"/>
      <c r="O641" s="1"/>
      <c r="P641" s="189"/>
      <c r="Q641" s="190"/>
      <c r="R641" s="188">
        <v>45873</v>
      </c>
      <c r="S641" s="193"/>
      <c r="T641" s="192"/>
      <c r="U641" s="867" t="s">
        <v>3225</v>
      </c>
      <c r="V641" s="10"/>
      <c r="W641" s="10"/>
      <c r="X641" s="10"/>
      <c r="Y641" s="10"/>
      <c r="Z641" s="10"/>
      <c r="AA641" s="11"/>
      <c r="AB641" s="11"/>
      <c r="AD641" s="260"/>
    </row>
    <row r="642" spans="2:30" x14ac:dyDescent="0.3">
      <c r="B642" s="10" t="s">
        <v>383</v>
      </c>
      <c r="C642" s="315" t="s">
        <v>1769</v>
      </c>
      <c r="D642" s="868" t="s">
        <v>244</v>
      </c>
      <c r="E642" s="837" t="str">
        <f>IFERROR(IF(_xlfn.XLOOKUP(Imput[[#This Row],[RFC]],'Alta Proveedor'!D:D,'Alta Proveedor'!E:E)=0,"",_xlfn.XLOOKUP(Imput[[#This Row],[RFC]],'Alta Proveedor'!D:D,'Alta Proveedor'!E:E)),"")</f>
        <v>CADENA COMERCIAL OXXO</v>
      </c>
      <c r="F642" s="832" t="s">
        <v>1614</v>
      </c>
      <c r="G642" s="187">
        <v>2</v>
      </c>
      <c r="H642" s="1">
        <v>25.861000000000001</v>
      </c>
      <c r="I642" s="169">
        <f>Imput[[#This Row],[Cantidad]]*Imput[[#This Row],[Precio Unitario]]</f>
        <v>51.722000000000001</v>
      </c>
      <c r="J642" s="11">
        <f>((Imput[[#This Row],[Sub total]])*(0.16))</f>
        <v>8.2755200000000002</v>
      </c>
      <c r="K642" s="11">
        <v>0</v>
      </c>
      <c r="L642" s="169">
        <f>Imput[[#This Row],[Sub total]]+Imput[[#This Row],[IVA]]-Imput[[#This Row],[Retención / IEPS / Descuento]]</f>
        <v>59.997520000000002</v>
      </c>
      <c r="M642" s="844">
        <v>199.50152</v>
      </c>
      <c r="N642" s="189" t="s">
        <v>123</v>
      </c>
      <c r="O642" s="1"/>
      <c r="P642" s="189" t="s">
        <v>1541</v>
      </c>
      <c r="Q642" s="190" t="s">
        <v>1542</v>
      </c>
      <c r="R642" s="188">
        <v>45874</v>
      </c>
      <c r="S642" s="193" t="s">
        <v>294</v>
      </c>
      <c r="T642" s="192"/>
      <c r="U642" s="829"/>
      <c r="V642" s="10"/>
      <c r="W642" s="10"/>
      <c r="X642" s="10"/>
      <c r="Y642" s="10"/>
      <c r="Z642" s="10"/>
      <c r="AA642" s="11"/>
      <c r="AB642" s="11"/>
      <c r="AD642" s="260"/>
    </row>
    <row r="643" spans="2:30" x14ac:dyDescent="0.3">
      <c r="B643" s="10" t="s">
        <v>383</v>
      </c>
      <c r="C643" s="315" t="s">
        <v>1769</v>
      </c>
      <c r="D643" s="868" t="s">
        <v>244</v>
      </c>
      <c r="E643" s="837" t="str">
        <f>IFERROR(IF(_xlfn.XLOOKUP(Imput[[#This Row],[RFC]],'Alta Proveedor'!D:D,'Alta Proveedor'!E:E)=0,"",_xlfn.XLOOKUP(Imput[[#This Row],[RFC]],'Alta Proveedor'!D:D,'Alta Proveedor'!E:E)),"")</f>
        <v>CADENA COMERCIAL OXXO</v>
      </c>
      <c r="F643" s="832" t="s">
        <v>1579</v>
      </c>
      <c r="G643" s="187">
        <v>1</v>
      </c>
      <c r="H643" s="1">
        <v>22.841000000000001</v>
      </c>
      <c r="I643" s="169">
        <f>Imput[[#This Row],[Cantidad]]*Imput[[#This Row],[Precio Unitario]]</f>
        <v>22.841000000000001</v>
      </c>
      <c r="J643" s="11">
        <f>((Imput[[#This Row],[Sub total]])*(0.16))</f>
        <v>3.65456</v>
      </c>
      <c r="K643" s="11">
        <v>0</v>
      </c>
      <c r="L643" s="169">
        <f>Imput[[#This Row],[Sub total]]+Imput[[#This Row],[IVA]]-Imput[[#This Row],[Retención / IEPS / Descuento]]</f>
        <v>26.495560000000001</v>
      </c>
      <c r="M643" s="844">
        <v>0</v>
      </c>
      <c r="N643" s="189" t="s">
        <v>123</v>
      </c>
      <c r="O643" s="1"/>
      <c r="P643" s="189" t="s">
        <v>1541</v>
      </c>
      <c r="Q643" s="190" t="s">
        <v>1542</v>
      </c>
      <c r="R643" s="188">
        <v>45874</v>
      </c>
      <c r="S643" s="193" t="s">
        <v>294</v>
      </c>
      <c r="T643" s="192"/>
      <c r="U643" s="829"/>
      <c r="V643" s="10"/>
      <c r="W643" s="10"/>
      <c r="X643" s="10"/>
      <c r="Y643" s="10"/>
      <c r="Z643" s="10"/>
      <c r="AA643" s="11"/>
      <c r="AB643" s="11"/>
      <c r="AD643" s="260"/>
    </row>
    <row r="644" spans="2:30" x14ac:dyDescent="0.3">
      <c r="B644" s="10" t="s">
        <v>383</v>
      </c>
      <c r="C644" s="315" t="s">
        <v>1769</v>
      </c>
      <c r="D644" s="868" t="s">
        <v>244</v>
      </c>
      <c r="E644" s="837" t="str">
        <f>IFERROR(IF(_xlfn.XLOOKUP(Imput[[#This Row],[RFC]],'Alta Proveedor'!D:D,'Alta Proveedor'!E:E)=0,"",_xlfn.XLOOKUP(Imput[[#This Row],[RFC]],'Alta Proveedor'!D:D,'Alta Proveedor'!E:E)),"")</f>
        <v>CADENA COMERCIAL OXXO</v>
      </c>
      <c r="F644" s="832" t="s">
        <v>1615</v>
      </c>
      <c r="G644" s="187">
        <v>1</v>
      </c>
      <c r="H644" s="1">
        <v>34.261000000000003</v>
      </c>
      <c r="I644" s="169">
        <f>Imput[[#This Row],[Cantidad]]*Imput[[#This Row],[Precio Unitario]]</f>
        <v>34.261000000000003</v>
      </c>
      <c r="J644" s="11">
        <f>((Imput[[#This Row],[Sub total]])*(0.08))</f>
        <v>2.7408800000000002</v>
      </c>
      <c r="K644" s="11">
        <v>0</v>
      </c>
      <c r="L644" s="169">
        <f>Imput[[#This Row],[Sub total]]+Imput[[#This Row],[IVA]]-Imput[[#This Row],[Retención / IEPS / Descuento]]</f>
        <v>37.00188</v>
      </c>
      <c r="M644" s="844">
        <v>0</v>
      </c>
      <c r="N644" s="189" t="s">
        <v>123</v>
      </c>
      <c r="O644" s="1"/>
      <c r="P644" s="189" t="s">
        <v>1541</v>
      </c>
      <c r="Q644" s="190" t="s">
        <v>1542</v>
      </c>
      <c r="R644" s="188">
        <v>45874</v>
      </c>
      <c r="S644" s="193" t="s">
        <v>294</v>
      </c>
      <c r="T644" s="192"/>
      <c r="U644" s="829"/>
      <c r="V644" s="10"/>
      <c r="W644" s="10"/>
      <c r="X644" s="10"/>
      <c r="Y644" s="10"/>
      <c r="Z644" s="10"/>
      <c r="AA644" s="11"/>
      <c r="AB644" s="11"/>
      <c r="AD644" s="260"/>
    </row>
    <row r="645" spans="2:30" x14ac:dyDescent="0.3">
      <c r="B645" s="10" t="s">
        <v>383</v>
      </c>
      <c r="C645" s="315" t="s">
        <v>1769</v>
      </c>
      <c r="D645" s="868" t="s">
        <v>244</v>
      </c>
      <c r="E645" s="837" t="str">
        <f>IFERROR(IF(_xlfn.XLOOKUP(Imput[[#This Row],[RFC]],'Alta Proveedor'!D:D,'Alta Proveedor'!E:E)=0,"",_xlfn.XLOOKUP(Imput[[#This Row],[RFC]],'Alta Proveedor'!D:D,'Alta Proveedor'!E:E)),"")</f>
        <v>CADENA COMERCIAL OXXO</v>
      </c>
      <c r="F645" s="832" t="s">
        <v>1616</v>
      </c>
      <c r="G645" s="187">
        <v>1</v>
      </c>
      <c r="H645" s="1">
        <v>15.961</v>
      </c>
      <c r="I645" s="169">
        <f>Imput[[#This Row],[Cantidad]]*Imput[[#This Row],[Precio Unitario]]</f>
        <v>15.961</v>
      </c>
      <c r="J645" s="11">
        <v>4.04</v>
      </c>
      <c r="K645" s="11">
        <v>0</v>
      </c>
      <c r="L645" s="169">
        <f>Imput[[#This Row],[Sub total]]+Imput[[#This Row],[IVA]]-Imput[[#This Row],[Retención / IEPS / Descuento]]</f>
        <v>20.001000000000001</v>
      </c>
      <c r="M645" s="844">
        <v>0</v>
      </c>
      <c r="N645" s="189" t="s">
        <v>123</v>
      </c>
      <c r="O645" s="1"/>
      <c r="P645" s="189" t="s">
        <v>1541</v>
      </c>
      <c r="Q645" s="190" t="s">
        <v>1542</v>
      </c>
      <c r="R645" s="188">
        <v>45874</v>
      </c>
      <c r="S645" s="193" t="s">
        <v>294</v>
      </c>
      <c r="T645" s="192"/>
      <c r="U645" s="829"/>
      <c r="V645" s="10"/>
      <c r="W645" s="10"/>
      <c r="X645" s="10"/>
      <c r="Y645" s="10"/>
      <c r="Z645" s="10"/>
      <c r="AA645" s="11"/>
      <c r="AB645" s="11"/>
      <c r="AD645" s="260"/>
    </row>
    <row r="646" spans="2:30" x14ac:dyDescent="0.3">
      <c r="B646" s="10" t="s">
        <v>383</v>
      </c>
      <c r="C646" s="315" t="s">
        <v>1769</v>
      </c>
      <c r="D646" s="868" t="s">
        <v>244</v>
      </c>
      <c r="E646" s="837" t="str">
        <f>IFERROR(IF(_xlfn.XLOOKUP(Imput[[#This Row],[RFC]],'Alta Proveedor'!D:D,'Alta Proveedor'!E:E)=0,"",_xlfn.XLOOKUP(Imput[[#This Row],[RFC]],'Alta Proveedor'!D:D,'Alta Proveedor'!E:E)),"")</f>
        <v>CADENA COMERCIAL OXXO</v>
      </c>
      <c r="F646" s="832" t="s">
        <v>1577</v>
      </c>
      <c r="G646" s="187">
        <v>2</v>
      </c>
      <c r="H646" s="1">
        <v>13.891</v>
      </c>
      <c r="I646" s="169">
        <f>Imput[[#This Row],[Cantidad]]*Imput[[#This Row],[Precio Unitario]]</f>
        <v>27.782</v>
      </c>
      <c r="J646" s="11">
        <f>((Imput[[#This Row],[Sub total]])*(0.08))</f>
        <v>2.2225600000000001</v>
      </c>
      <c r="K646" s="11">
        <v>0</v>
      </c>
      <c r="L646" s="169">
        <f>Imput[[#This Row],[Sub total]]+Imput[[#This Row],[IVA]]-Imput[[#This Row],[Retención / IEPS / Descuento]]</f>
        <v>30.004560000000001</v>
      </c>
      <c r="M646" s="844">
        <v>0</v>
      </c>
      <c r="N646" s="189" t="s">
        <v>123</v>
      </c>
      <c r="O646" s="1"/>
      <c r="P646" s="189" t="s">
        <v>1541</v>
      </c>
      <c r="Q646" s="190" t="s">
        <v>1542</v>
      </c>
      <c r="R646" s="188">
        <v>45874</v>
      </c>
      <c r="S646" s="193" t="s">
        <v>294</v>
      </c>
      <c r="T646" s="192"/>
      <c r="U646" s="829"/>
      <c r="V646" s="10"/>
      <c r="W646" s="10"/>
      <c r="X646" s="10"/>
      <c r="Y646" s="10"/>
      <c r="Z646" s="10"/>
      <c r="AA646" s="11"/>
      <c r="AB646" s="11"/>
      <c r="AD646" s="260"/>
    </row>
    <row r="647" spans="2:30" x14ac:dyDescent="0.3">
      <c r="B647" s="10" t="s">
        <v>383</v>
      </c>
      <c r="C647" s="315" t="s">
        <v>1769</v>
      </c>
      <c r="D647" s="868" t="s">
        <v>244</v>
      </c>
      <c r="E647" s="837" t="str">
        <f>IFERROR(IF(_xlfn.XLOOKUP(Imput[[#This Row],[RFC]],'Alta Proveedor'!D:D,'Alta Proveedor'!E:E)=0,"",_xlfn.XLOOKUP(Imput[[#This Row],[RFC]],'Alta Proveedor'!D:D,'Alta Proveedor'!E:E)),"")</f>
        <v>CADENA COMERCIAL OXXO</v>
      </c>
      <c r="F647" s="832" t="s">
        <v>1617</v>
      </c>
      <c r="G647" s="187">
        <v>1</v>
      </c>
      <c r="H647" s="1">
        <v>26.001000000000001</v>
      </c>
      <c r="I647" s="169">
        <f>Imput[[#This Row],[Cantidad]]*Imput[[#This Row],[Precio Unitario]]</f>
        <v>26.001000000000001</v>
      </c>
      <c r="J647" s="11">
        <v>0</v>
      </c>
      <c r="K647" s="11">
        <v>0</v>
      </c>
      <c r="L647" s="169">
        <f>Imput[[#This Row],[Sub total]]+Imput[[#This Row],[IVA]]-Imput[[#This Row],[Retención / IEPS / Descuento]]</f>
        <v>26.001000000000001</v>
      </c>
      <c r="M647" s="844">
        <v>0</v>
      </c>
      <c r="N647" s="189" t="s">
        <v>123</v>
      </c>
      <c r="O647" s="1"/>
      <c r="P647" s="189" t="s">
        <v>1541</v>
      </c>
      <c r="Q647" s="190" t="s">
        <v>1542</v>
      </c>
      <c r="R647" s="188">
        <v>45874</v>
      </c>
      <c r="S647" s="193" t="s">
        <v>294</v>
      </c>
      <c r="T647" s="192"/>
      <c r="U647" s="829"/>
      <c r="V647" s="10"/>
      <c r="W647" s="10"/>
      <c r="X647" s="10"/>
      <c r="Y647" s="10"/>
      <c r="Z647" s="10"/>
      <c r="AA647" s="11"/>
      <c r="AB647" s="11"/>
      <c r="AD647" s="260"/>
    </row>
    <row r="648" spans="2:30" x14ac:dyDescent="0.3">
      <c r="B648" s="10" t="s">
        <v>383</v>
      </c>
      <c r="C648" s="315" t="s">
        <v>2903</v>
      </c>
      <c r="D648" s="868" t="s">
        <v>164</v>
      </c>
      <c r="E648" s="837" t="str">
        <f>IFERROR(IF(_xlfn.XLOOKUP(Imput[[#This Row],[RFC]],'Alta Proveedor'!D:D,'Alta Proveedor'!E:E)=0,"",_xlfn.XLOOKUP(Imput[[#This Row],[RFC]],'Alta Proveedor'!D:D,'Alta Proveedor'!E:E)),"")</f>
        <v>HOME DEPOT MEXICO SUCURSAL THD-8730 TAMPICO</v>
      </c>
      <c r="F648" s="832" t="s">
        <v>1884</v>
      </c>
      <c r="G648" s="187">
        <v>1</v>
      </c>
      <c r="H648" s="1">
        <v>676.72</v>
      </c>
      <c r="I648" s="169">
        <f>Imput[[#This Row],[Cantidad]]*Imput[[#This Row],[Precio Unitario]]</f>
        <v>676.72</v>
      </c>
      <c r="J648" s="11">
        <f>((Imput[[#This Row],[Sub total]])*(0.16))</f>
        <v>108.27520000000001</v>
      </c>
      <c r="K648" s="11">
        <v>0</v>
      </c>
      <c r="L648" s="169">
        <f>Imput[[#This Row],[Sub total]]+Imput[[#This Row],[IVA]]-Imput[[#This Row],[Retención / IEPS / Descuento]]</f>
        <v>784.99520000000007</v>
      </c>
      <c r="M648" s="844">
        <v>2338.0148000000004</v>
      </c>
      <c r="N648" s="189" t="s">
        <v>123</v>
      </c>
      <c r="O648" s="1"/>
      <c r="P648" s="189" t="s">
        <v>1862</v>
      </c>
      <c r="Q648" s="190" t="s">
        <v>1863</v>
      </c>
      <c r="R648" s="188">
        <v>45874</v>
      </c>
      <c r="S648" s="193" t="s">
        <v>126</v>
      </c>
      <c r="T648" s="192"/>
      <c r="U648" s="829"/>
      <c r="V648" s="10"/>
      <c r="W648" s="10"/>
      <c r="X648" s="10"/>
      <c r="Y648" s="10"/>
      <c r="Z648" s="10"/>
      <c r="AA648" s="11"/>
      <c r="AB648" s="11"/>
      <c r="AD648" s="260"/>
    </row>
    <row r="649" spans="2:30" x14ac:dyDescent="0.3">
      <c r="B649" s="10" t="s">
        <v>383</v>
      </c>
      <c r="C649" s="315" t="s">
        <v>2903</v>
      </c>
      <c r="D649" s="868" t="s">
        <v>164</v>
      </c>
      <c r="E649" s="837" t="str">
        <f>IFERROR(IF(_xlfn.XLOOKUP(Imput[[#This Row],[RFC]],'Alta Proveedor'!D:D,'Alta Proveedor'!E:E)=0,"",_xlfn.XLOOKUP(Imput[[#This Row],[RFC]],'Alta Proveedor'!D:D,'Alta Proveedor'!E:E)),"")</f>
        <v>HOME DEPOT MEXICO SUCURSAL THD-8730 TAMPICO</v>
      </c>
      <c r="F649" s="832" t="s">
        <v>1885</v>
      </c>
      <c r="G649" s="187">
        <v>1</v>
      </c>
      <c r="H649" s="1">
        <v>257.76</v>
      </c>
      <c r="I649" s="169">
        <f>Imput[[#This Row],[Cantidad]]*Imput[[#This Row],[Precio Unitario]]</f>
        <v>257.76</v>
      </c>
      <c r="J649" s="11">
        <f>((Imput[[#This Row],[Sub total]])*(0.16))</f>
        <v>41.241599999999998</v>
      </c>
      <c r="K649" s="11">
        <v>0</v>
      </c>
      <c r="L649" s="169">
        <f>Imput[[#This Row],[Sub total]]+Imput[[#This Row],[IVA]]-Imput[[#This Row],[Retención / IEPS / Descuento]]</f>
        <v>299.0016</v>
      </c>
      <c r="M649" s="844">
        <v>0</v>
      </c>
      <c r="N649" s="189" t="s">
        <v>123</v>
      </c>
      <c r="O649" s="1"/>
      <c r="P649" s="189" t="s">
        <v>1862</v>
      </c>
      <c r="Q649" s="190" t="s">
        <v>1863</v>
      </c>
      <c r="R649" s="188">
        <v>45874</v>
      </c>
      <c r="S649" s="193" t="s">
        <v>126</v>
      </c>
      <c r="T649" s="192"/>
      <c r="U649" s="829"/>
      <c r="V649" s="10"/>
      <c r="W649" s="10"/>
      <c r="X649" s="10"/>
      <c r="Y649" s="10"/>
      <c r="Z649" s="10"/>
      <c r="AA649" s="11"/>
      <c r="AB649" s="11"/>
      <c r="AD649" s="260"/>
    </row>
    <row r="650" spans="2:30" x14ac:dyDescent="0.3">
      <c r="B650" s="10" t="s">
        <v>383</v>
      </c>
      <c r="C650" s="315" t="s">
        <v>2903</v>
      </c>
      <c r="D650" s="868" t="s">
        <v>164</v>
      </c>
      <c r="E650" s="837" t="str">
        <f>IFERROR(IF(_xlfn.XLOOKUP(Imput[[#This Row],[RFC]],'Alta Proveedor'!D:D,'Alta Proveedor'!E:E)=0,"",_xlfn.XLOOKUP(Imput[[#This Row],[RFC]],'Alta Proveedor'!D:D,'Alta Proveedor'!E:E)),"")</f>
        <v>HOME DEPOT MEXICO SUCURSAL THD-8730 TAMPICO</v>
      </c>
      <c r="F650" s="832" t="s">
        <v>1886</v>
      </c>
      <c r="G650" s="187">
        <v>1</v>
      </c>
      <c r="H650" s="1">
        <v>249.14</v>
      </c>
      <c r="I650" s="169">
        <f>Imput[[#This Row],[Cantidad]]*Imput[[#This Row],[Precio Unitario]]</f>
        <v>249.14</v>
      </c>
      <c r="J650" s="11">
        <f>((Imput[[#This Row],[Sub total]])*(0.16))</f>
        <v>39.862400000000001</v>
      </c>
      <c r="K650" s="11">
        <v>0</v>
      </c>
      <c r="L650" s="169">
        <f>Imput[[#This Row],[Sub total]]+Imput[[#This Row],[IVA]]-Imput[[#This Row],[Retención / IEPS / Descuento]]</f>
        <v>289.00239999999997</v>
      </c>
      <c r="M650" s="844">
        <v>0</v>
      </c>
      <c r="N650" s="189" t="s">
        <v>123</v>
      </c>
      <c r="O650" s="1"/>
      <c r="P650" s="189" t="s">
        <v>1862</v>
      </c>
      <c r="Q650" s="190" t="s">
        <v>1863</v>
      </c>
      <c r="R650" s="188">
        <v>45874</v>
      </c>
      <c r="S650" s="193" t="s">
        <v>126</v>
      </c>
      <c r="T650" s="192"/>
      <c r="U650" s="829"/>
      <c r="V650" s="10"/>
      <c r="W650" s="10"/>
      <c r="X650" s="10"/>
      <c r="Y650" s="10"/>
      <c r="Z650" s="10"/>
      <c r="AA650" s="11"/>
      <c r="AB650" s="11"/>
      <c r="AD650" s="260"/>
    </row>
    <row r="651" spans="2:30" x14ac:dyDescent="0.3">
      <c r="B651" s="10" t="s">
        <v>383</v>
      </c>
      <c r="C651" s="315" t="s">
        <v>2903</v>
      </c>
      <c r="D651" s="868" t="s">
        <v>164</v>
      </c>
      <c r="E651" s="837" t="str">
        <f>IFERROR(IF(_xlfn.XLOOKUP(Imput[[#This Row],[RFC]],'Alta Proveedor'!D:D,'Alta Proveedor'!E:E)=0,"",_xlfn.XLOOKUP(Imput[[#This Row],[RFC]],'Alta Proveedor'!D:D,'Alta Proveedor'!E:E)),"")</f>
        <v>HOME DEPOT MEXICO SUCURSAL THD-8730 TAMPICO</v>
      </c>
      <c r="F651" s="832" t="s">
        <v>1195</v>
      </c>
      <c r="G651" s="187">
        <v>1</v>
      </c>
      <c r="H651" s="1">
        <v>162.93</v>
      </c>
      <c r="I651" s="169">
        <f>Imput[[#This Row],[Cantidad]]*Imput[[#This Row],[Precio Unitario]]</f>
        <v>162.93</v>
      </c>
      <c r="J651" s="11">
        <f>((Imput[[#This Row],[Sub total]]-17.24)*(0.16))</f>
        <v>23.310400000000001</v>
      </c>
      <c r="K651" s="11">
        <v>17.239999999999998</v>
      </c>
      <c r="L651" s="169">
        <f>Imput[[#This Row],[Sub total]]+Imput[[#This Row],[IVA]]-Imput[[#This Row],[Retención / IEPS / Descuento]]</f>
        <v>169.00040000000001</v>
      </c>
      <c r="M651" s="844">
        <v>0</v>
      </c>
      <c r="N651" s="189" t="s">
        <v>123</v>
      </c>
      <c r="O651" s="1"/>
      <c r="P651" s="189" t="s">
        <v>1862</v>
      </c>
      <c r="Q651" s="190" t="s">
        <v>1863</v>
      </c>
      <c r="R651" s="188">
        <v>45874</v>
      </c>
      <c r="S651" s="193" t="s">
        <v>126</v>
      </c>
      <c r="T651" s="192"/>
      <c r="U651" s="829"/>
      <c r="V651" s="10"/>
      <c r="W651" s="10"/>
      <c r="X651" s="10"/>
      <c r="Y651" s="10"/>
      <c r="Z651" s="10"/>
      <c r="AA651" s="11"/>
      <c r="AB651" s="11"/>
      <c r="AD651" s="260"/>
    </row>
    <row r="652" spans="2:30" x14ac:dyDescent="0.3">
      <c r="B652" s="10" t="s">
        <v>383</v>
      </c>
      <c r="C652" s="315" t="s">
        <v>2903</v>
      </c>
      <c r="D652" s="868" t="s">
        <v>164</v>
      </c>
      <c r="E652" s="837" t="str">
        <f>IFERROR(IF(_xlfn.XLOOKUP(Imput[[#This Row],[RFC]],'Alta Proveedor'!D:D,'Alta Proveedor'!E:E)=0,"",_xlfn.XLOOKUP(Imput[[#This Row],[RFC]],'Alta Proveedor'!D:D,'Alta Proveedor'!E:E)),"")</f>
        <v>HOME DEPOT MEXICO SUCURSAL THD-8730 TAMPICO</v>
      </c>
      <c r="F652" s="832" t="s">
        <v>1887</v>
      </c>
      <c r="G652" s="187">
        <v>1</v>
      </c>
      <c r="H652" s="1">
        <v>154.31</v>
      </c>
      <c r="I652" s="169">
        <f>Imput[[#This Row],[Cantidad]]*Imput[[#This Row],[Precio Unitario]]</f>
        <v>154.31</v>
      </c>
      <c r="J652" s="11">
        <f>((Imput[[#This Row],[Sub total]])*(0.16))</f>
        <v>24.689600000000002</v>
      </c>
      <c r="K652" s="11">
        <v>0</v>
      </c>
      <c r="L652" s="169">
        <f>Imput[[#This Row],[Sub total]]+Imput[[#This Row],[IVA]]-Imput[[#This Row],[Retención / IEPS / Descuento]]</f>
        <v>178.99960000000002</v>
      </c>
      <c r="M652" s="844">
        <v>0</v>
      </c>
      <c r="N652" s="189" t="s">
        <v>123</v>
      </c>
      <c r="O652" s="1"/>
      <c r="P652" s="189" t="s">
        <v>1862</v>
      </c>
      <c r="Q652" s="190" t="s">
        <v>1863</v>
      </c>
      <c r="R652" s="188">
        <v>45874</v>
      </c>
      <c r="S652" s="193" t="s">
        <v>126</v>
      </c>
      <c r="T652" s="192"/>
      <c r="U652" s="829"/>
      <c r="V652" s="10"/>
      <c r="W652" s="10"/>
      <c r="X652" s="10"/>
      <c r="Y652" s="10"/>
      <c r="Z652" s="10"/>
      <c r="AA652" s="11"/>
      <c r="AB652" s="11"/>
      <c r="AD652" s="260"/>
    </row>
    <row r="653" spans="2:30" x14ac:dyDescent="0.3">
      <c r="B653" s="10" t="s">
        <v>383</v>
      </c>
      <c r="C653" s="315" t="s">
        <v>2903</v>
      </c>
      <c r="D653" s="868" t="s">
        <v>164</v>
      </c>
      <c r="E653" s="837" t="str">
        <f>IFERROR(IF(_xlfn.XLOOKUP(Imput[[#This Row],[RFC]],'Alta Proveedor'!D:D,'Alta Proveedor'!E:E)=0,"",_xlfn.XLOOKUP(Imput[[#This Row],[RFC]],'Alta Proveedor'!D:D,'Alta Proveedor'!E:E)),"")</f>
        <v>HOME DEPOT MEXICO SUCURSAL THD-8730 TAMPICO</v>
      </c>
      <c r="F653" s="832" t="s">
        <v>285</v>
      </c>
      <c r="G653" s="187">
        <v>2</v>
      </c>
      <c r="H653" s="1">
        <v>59.484999999999999</v>
      </c>
      <c r="I653" s="169">
        <f>Imput[[#This Row],[Cantidad]]*Imput[[#This Row],[Precio Unitario]]</f>
        <v>118.97</v>
      </c>
      <c r="J653" s="11">
        <f>((Imput[[#This Row],[Sub total]])*(0.16))</f>
        <v>19.0352</v>
      </c>
      <c r="K653" s="11">
        <v>0</v>
      </c>
      <c r="L653" s="169">
        <f>Imput[[#This Row],[Sub total]]+Imput[[#This Row],[IVA]]-Imput[[#This Row],[Retención / IEPS / Descuento]]</f>
        <v>138.0052</v>
      </c>
      <c r="M653" s="844">
        <v>0</v>
      </c>
      <c r="N653" s="189" t="s">
        <v>123</v>
      </c>
      <c r="O653" s="1"/>
      <c r="P653" s="189" t="s">
        <v>1862</v>
      </c>
      <c r="Q653" s="190" t="s">
        <v>1863</v>
      </c>
      <c r="R653" s="188">
        <v>45874</v>
      </c>
      <c r="S653" s="193" t="s">
        <v>126</v>
      </c>
      <c r="T653" s="192"/>
      <c r="U653" s="829"/>
      <c r="V653" s="10"/>
      <c r="W653" s="10"/>
      <c r="X653" s="10"/>
      <c r="Y653" s="10"/>
      <c r="Z653" s="10"/>
      <c r="AA653" s="11"/>
      <c r="AB653" s="11"/>
      <c r="AD653" s="260"/>
    </row>
    <row r="654" spans="2:30" x14ac:dyDescent="0.3">
      <c r="B654" s="10" t="s">
        <v>383</v>
      </c>
      <c r="C654" s="549" t="s">
        <v>2241</v>
      </c>
      <c r="D654" s="868" t="s">
        <v>164</v>
      </c>
      <c r="E654" s="837" t="str">
        <f>IFERROR(IF(_xlfn.XLOOKUP(Imput[[#This Row],[RFC]],'Alta Proveedor'!D:D,'Alta Proveedor'!E:E)=0,"",_xlfn.XLOOKUP(Imput[[#This Row],[RFC]],'Alta Proveedor'!D:D,'Alta Proveedor'!E:E)),"")</f>
        <v>HOME DEPOT MEXICO SUCURSAL THD-8730 TAMPICO</v>
      </c>
      <c r="F654" s="832" t="s">
        <v>1888</v>
      </c>
      <c r="G654" s="187">
        <v>1</v>
      </c>
      <c r="H654" s="1">
        <v>111.21</v>
      </c>
      <c r="I654" s="169">
        <f>Imput[[#This Row],[Cantidad]]*Imput[[#This Row],[Precio Unitario]]</f>
        <v>111.21</v>
      </c>
      <c r="J654" s="11">
        <f>((Imput[[#This Row],[Sub total]])*(0.16))</f>
        <v>17.793599999999998</v>
      </c>
      <c r="K654" s="11">
        <v>0</v>
      </c>
      <c r="L654" s="169">
        <f>Imput[[#This Row],[Sub total]]+Imput[[#This Row],[IVA]]-Imput[[#This Row],[Retención / IEPS / Descuento]]</f>
        <v>129.00360000000001</v>
      </c>
      <c r="M654" s="844">
        <v>0</v>
      </c>
      <c r="N654" s="189" t="s">
        <v>123</v>
      </c>
      <c r="O654" s="1"/>
      <c r="P654" s="189" t="s">
        <v>1862</v>
      </c>
      <c r="Q654" s="190" t="s">
        <v>1863</v>
      </c>
      <c r="R654" s="188">
        <v>45874</v>
      </c>
      <c r="S654" s="193" t="s">
        <v>126</v>
      </c>
      <c r="T654" s="192"/>
      <c r="U654" s="829"/>
      <c r="V654" s="10"/>
      <c r="W654" s="10"/>
      <c r="X654" s="10"/>
      <c r="Y654" s="10"/>
      <c r="Z654" s="10"/>
      <c r="AA654" s="11"/>
      <c r="AB654" s="11"/>
      <c r="AD654" s="260"/>
    </row>
    <row r="655" spans="2:30" x14ac:dyDescent="0.3">
      <c r="B655" s="10" t="s">
        <v>383</v>
      </c>
      <c r="C655" s="315" t="s">
        <v>2903</v>
      </c>
      <c r="D655" s="868" t="s">
        <v>164</v>
      </c>
      <c r="E655" s="837" t="str">
        <f>IFERROR(IF(_xlfn.XLOOKUP(Imput[[#This Row],[RFC]],'Alta Proveedor'!D:D,'Alta Proveedor'!E:E)=0,"",_xlfn.XLOOKUP(Imput[[#This Row],[RFC]],'Alta Proveedor'!D:D,'Alta Proveedor'!E:E)),"")</f>
        <v>HOME DEPOT MEXICO SUCURSAL THD-8730 TAMPICO</v>
      </c>
      <c r="F655" s="832" t="s">
        <v>1889</v>
      </c>
      <c r="G655" s="187">
        <v>1</v>
      </c>
      <c r="H655" s="1">
        <v>107.76</v>
      </c>
      <c r="I655" s="169">
        <f>Imput[[#This Row],[Cantidad]]*Imput[[#This Row],[Precio Unitario]]</f>
        <v>107.76</v>
      </c>
      <c r="J655" s="11">
        <f>((Imput[[#This Row],[Sub total]])*(0.16))</f>
        <v>17.241600000000002</v>
      </c>
      <c r="K655" s="11">
        <v>0</v>
      </c>
      <c r="L655" s="169">
        <f>Imput[[#This Row],[Sub total]]+Imput[[#This Row],[IVA]]-Imput[[#This Row],[Retención / IEPS / Descuento]]</f>
        <v>125.00160000000001</v>
      </c>
      <c r="M655" s="844">
        <v>0</v>
      </c>
      <c r="N655" s="189" t="s">
        <v>123</v>
      </c>
      <c r="O655" s="1"/>
      <c r="P655" s="189" t="s">
        <v>1862</v>
      </c>
      <c r="Q655" s="190" t="s">
        <v>1863</v>
      </c>
      <c r="R655" s="188">
        <v>45874</v>
      </c>
      <c r="S655" s="193" t="s">
        <v>126</v>
      </c>
      <c r="T655" s="192"/>
      <c r="U655" s="829"/>
      <c r="V655" s="10"/>
      <c r="W655" s="10"/>
      <c r="X655" s="10"/>
      <c r="Y655" s="10"/>
      <c r="Z655" s="10"/>
      <c r="AA655" s="11"/>
      <c r="AB655" s="11"/>
      <c r="AD655" s="260"/>
    </row>
    <row r="656" spans="2:30" x14ac:dyDescent="0.3">
      <c r="B656" s="10" t="s">
        <v>383</v>
      </c>
      <c r="C656" s="315" t="s">
        <v>2903</v>
      </c>
      <c r="D656" s="868" t="s">
        <v>164</v>
      </c>
      <c r="E656" s="837" t="str">
        <f>IFERROR(IF(_xlfn.XLOOKUP(Imput[[#This Row],[RFC]],'Alta Proveedor'!D:D,'Alta Proveedor'!E:E)=0,"",_xlfn.XLOOKUP(Imput[[#This Row],[RFC]],'Alta Proveedor'!D:D,'Alta Proveedor'!E:E)),"")</f>
        <v>HOME DEPOT MEXICO SUCURSAL THD-8730 TAMPICO</v>
      </c>
      <c r="F656" s="832" t="s">
        <v>2952</v>
      </c>
      <c r="G656" s="187">
        <v>1</v>
      </c>
      <c r="H656" s="1">
        <v>275</v>
      </c>
      <c r="I656" s="169">
        <f>Imput[[#This Row],[Cantidad]]*Imput[[#This Row],[Precio Unitario]]</f>
        <v>275</v>
      </c>
      <c r="J656" s="11">
        <f>((Imput[[#This Row],[Sub total]]-81.03)*(0.16))</f>
        <v>31.0352</v>
      </c>
      <c r="K656" s="11">
        <v>81.03</v>
      </c>
      <c r="L656" s="169">
        <f>Imput[[#This Row],[Sub total]]+Imput[[#This Row],[IVA]]-Imput[[#This Row],[Retención / IEPS / Descuento]]</f>
        <v>225.00519999999997</v>
      </c>
      <c r="M656" s="844">
        <v>0</v>
      </c>
      <c r="N656" s="189" t="s">
        <v>123</v>
      </c>
      <c r="O656" s="1"/>
      <c r="P656" s="189" t="s">
        <v>1862</v>
      </c>
      <c r="Q656" s="190" t="s">
        <v>1863</v>
      </c>
      <c r="R656" s="188">
        <v>45874</v>
      </c>
      <c r="S656" s="193" t="s">
        <v>126</v>
      </c>
      <c r="T656" s="192"/>
      <c r="U656" s="829"/>
      <c r="V656" s="10"/>
      <c r="W656" s="10"/>
      <c r="X656" s="10"/>
      <c r="Y656" s="10"/>
      <c r="Z656" s="10"/>
      <c r="AA656" s="11"/>
      <c r="AB656" s="11"/>
      <c r="AD656" s="260"/>
    </row>
    <row r="657" spans="2:30" x14ac:dyDescent="0.3">
      <c r="B657" s="10" t="s">
        <v>383</v>
      </c>
      <c r="C657" s="315" t="s">
        <v>2903</v>
      </c>
      <c r="D657" s="868" t="s">
        <v>164</v>
      </c>
      <c r="E657" s="837" t="str">
        <f>IFERROR(IF(_xlfn.XLOOKUP(Imput[[#This Row],[RFC]],'Alta Proveedor'!D:D,'Alta Proveedor'!E:E)=0,"",_xlfn.XLOOKUP(Imput[[#This Row],[RFC]],'Alta Proveedor'!D:D,'Alta Proveedor'!E:E)),"")</f>
        <v>HOME DEPOT MEXICO SUCURSAL THD-8730 TAMPICO</v>
      </c>
      <c r="F657" s="832" t="s">
        <v>1890</v>
      </c>
      <c r="G657" s="574">
        <v>11</v>
      </c>
      <c r="H657" s="1">
        <v>34.482727272727274</v>
      </c>
      <c r="I657" s="169">
        <f>Imput[[#This Row],[Cantidad]]*Imput[[#This Row],[Precio Unitario]]</f>
        <v>379.31</v>
      </c>
      <c r="J657" s="11">
        <f>((Imput[[#This Row],[Sub total]])*(0.16))</f>
        <v>60.689599999999999</v>
      </c>
      <c r="K657" s="11">
        <v>0</v>
      </c>
      <c r="L657" s="169">
        <f>Imput[[#This Row],[Sub total]]+Imput[[#This Row],[IVA]]-Imput[[#This Row],[Retención / IEPS / Descuento]]</f>
        <v>439.99959999999999</v>
      </c>
      <c r="M657" s="844">
        <v>1530.9911999999999</v>
      </c>
      <c r="N657" s="189" t="s">
        <v>123</v>
      </c>
      <c r="O657" s="1"/>
      <c r="P657" s="189" t="s">
        <v>1864</v>
      </c>
      <c r="Q657" s="190" t="s">
        <v>1865</v>
      </c>
      <c r="R657" s="188">
        <v>45874</v>
      </c>
      <c r="S657" s="193" t="s">
        <v>294</v>
      </c>
      <c r="T657" s="192"/>
      <c r="U657" s="829"/>
      <c r="V657" s="10"/>
      <c r="W657" s="10"/>
      <c r="X657" s="10"/>
      <c r="Y657" s="10"/>
      <c r="Z657" s="10"/>
      <c r="AA657" s="11"/>
      <c r="AB657" s="11"/>
      <c r="AD657" s="260"/>
    </row>
    <row r="658" spans="2:30" x14ac:dyDescent="0.3">
      <c r="B658" s="10" t="s">
        <v>383</v>
      </c>
      <c r="C658" s="315" t="s">
        <v>2246</v>
      </c>
      <c r="D658" s="868" t="s">
        <v>164</v>
      </c>
      <c r="E658" s="837" t="str">
        <f>IFERROR(IF(_xlfn.XLOOKUP(Imput[[#This Row],[RFC]],'Alta Proveedor'!D:D,'Alta Proveedor'!E:E)=0,"",_xlfn.XLOOKUP(Imput[[#This Row],[RFC]],'Alta Proveedor'!D:D,'Alta Proveedor'!E:E)),"")</f>
        <v>HOME DEPOT MEXICO SUCURSAL THD-8730 TAMPICO</v>
      </c>
      <c r="F658" s="832" t="s">
        <v>1891</v>
      </c>
      <c r="G658" s="187">
        <v>11</v>
      </c>
      <c r="H658" s="1">
        <v>32.758181818181818</v>
      </c>
      <c r="I658" s="169">
        <f>Imput[[#This Row],[Cantidad]]*Imput[[#This Row],[Precio Unitario]]</f>
        <v>360.34</v>
      </c>
      <c r="J658" s="11">
        <f>((Imput[[#This Row],[Sub total]])*(0.16))</f>
        <v>57.654399999999995</v>
      </c>
      <c r="K658" s="11">
        <v>0</v>
      </c>
      <c r="L658" s="169">
        <f>Imput[[#This Row],[Sub total]]+Imput[[#This Row],[IVA]]-Imput[[#This Row],[Retención / IEPS / Descuento]]</f>
        <v>417.99439999999998</v>
      </c>
      <c r="M658" s="844">
        <v>0</v>
      </c>
      <c r="N658" s="189" t="s">
        <v>123</v>
      </c>
      <c r="O658" s="1"/>
      <c r="P658" s="189" t="s">
        <v>1864</v>
      </c>
      <c r="Q658" s="190" t="s">
        <v>1865</v>
      </c>
      <c r="R658" s="188">
        <v>45874</v>
      </c>
      <c r="S658" s="193" t="s">
        <v>294</v>
      </c>
      <c r="T658" s="192"/>
      <c r="U658" s="829"/>
      <c r="V658" s="10"/>
      <c r="W658" s="10"/>
      <c r="X658" s="10"/>
      <c r="Y658" s="10"/>
      <c r="Z658" s="10"/>
      <c r="AA658" s="11"/>
      <c r="AB658" s="11"/>
      <c r="AD658" s="260"/>
    </row>
    <row r="659" spans="2:30" x14ac:dyDescent="0.3">
      <c r="B659" s="10" t="s">
        <v>383</v>
      </c>
      <c r="C659" s="315" t="s">
        <v>2903</v>
      </c>
      <c r="D659" s="868" t="s">
        <v>164</v>
      </c>
      <c r="E659" s="837" t="str">
        <f>IFERROR(IF(_xlfn.XLOOKUP(Imput[[#This Row],[RFC]],'Alta Proveedor'!D:D,'Alta Proveedor'!E:E)=0,"",_xlfn.XLOOKUP(Imput[[#This Row],[RFC]],'Alta Proveedor'!D:D,'Alta Proveedor'!E:E)),"")</f>
        <v>HOME DEPOT MEXICO SUCURSAL THD-8730 TAMPICO</v>
      </c>
      <c r="F659" s="832" t="s">
        <v>1893</v>
      </c>
      <c r="G659" s="187">
        <v>1</v>
      </c>
      <c r="H659" s="1">
        <v>206.03</v>
      </c>
      <c r="I659" s="169">
        <f>Imput[[#This Row],[Cantidad]]*Imput[[#This Row],[Precio Unitario]]</f>
        <v>206.03</v>
      </c>
      <c r="J659" s="11">
        <f>((Imput[[#This Row],[Sub total]])*(0.16))</f>
        <v>32.964800000000004</v>
      </c>
      <c r="K659" s="11">
        <v>0</v>
      </c>
      <c r="L659" s="169">
        <f>Imput[[#This Row],[Sub total]]+Imput[[#This Row],[IVA]]-Imput[[#This Row],[Retención / IEPS / Descuento]]</f>
        <v>238.9948</v>
      </c>
      <c r="M659" s="844">
        <v>0</v>
      </c>
      <c r="N659" s="189" t="s">
        <v>123</v>
      </c>
      <c r="O659" s="1"/>
      <c r="P659" s="189" t="s">
        <v>1864</v>
      </c>
      <c r="Q659" s="190" t="s">
        <v>1865</v>
      </c>
      <c r="R659" s="188">
        <v>45874</v>
      </c>
      <c r="S659" s="193" t="s">
        <v>294</v>
      </c>
      <c r="T659" s="192"/>
      <c r="U659" s="829"/>
      <c r="V659" s="10"/>
      <c r="W659" s="10"/>
      <c r="X659" s="10"/>
      <c r="Y659" s="10"/>
      <c r="Z659" s="10"/>
      <c r="AA659" s="11"/>
      <c r="AB659" s="11"/>
      <c r="AD659" s="260"/>
    </row>
    <row r="660" spans="2:30" x14ac:dyDescent="0.3">
      <c r="B660" s="10" t="s">
        <v>383</v>
      </c>
      <c r="C660" s="315" t="s">
        <v>2903</v>
      </c>
      <c r="D660" s="868" t="s">
        <v>164</v>
      </c>
      <c r="E660" s="837" t="str">
        <f>IFERROR(IF(_xlfn.XLOOKUP(Imput[[#This Row],[RFC]],'Alta Proveedor'!D:D,'Alta Proveedor'!E:E)=0,"",_xlfn.XLOOKUP(Imput[[#This Row],[RFC]],'Alta Proveedor'!D:D,'Alta Proveedor'!E:E)),"")</f>
        <v>HOME DEPOT MEXICO SUCURSAL THD-8730 TAMPICO</v>
      </c>
      <c r="F660" s="832" t="s">
        <v>1894</v>
      </c>
      <c r="G660" s="187">
        <v>1</v>
      </c>
      <c r="H660" s="1">
        <v>102.59</v>
      </c>
      <c r="I660" s="169">
        <f>Imput[[#This Row],[Cantidad]]*Imput[[#This Row],[Precio Unitario]]</f>
        <v>102.59</v>
      </c>
      <c r="J660" s="11">
        <f>((Imput[[#This Row],[Sub total]])*(0.16))</f>
        <v>16.414400000000001</v>
      </c>
      <c r="K660" s="11">
        <v>0</v>
      </c>
      <c r="L660" s="169">
        <f>Imput[[#This Row],[Sub total]]+Imput[[#This Row],[IVA]]-Imput[[#This Row],[Retención / IEPS / Descuento]]</f>
        <v>119.0044</v>
      </c>
      <c r="M660" s="844">
        <v>0</v>
      </c>
      <c r="N660" s="189" t="s">
        <v>123</v>
      </c>
      <c r="O660" s="1"/>
      <c r="P660" s="189" t="s">
        <v>1864</v>
      </c>
      <c r="Q660" s="190" t="s">
        <v>1865</v>
      </c>
      <c r="R660" s="188">
        <v>45874</v>
      </c>
      <c r="S660" s="193" t="s">
        <v>294</v>
      </c>
      <c r="T660" s="192"/>
      <c r="U660" s="829"/>
      <c r="V660" s="10"/>
      <c r="W660" s="10"/>
      <c r="X660" s="10"/>
      <c r="Y660" s="10"/>
      <c r="Z660" s="10"/>
      <c r="AA660" s="11"/>
      <c r="AB660" s="11"/>
      <c r="AD660" s="260"/>
    </row>
    <row r="661" spans="2:30" x14ac:dyDescent="0.3">
      <c r="B661" s="10" t="s">
        <v>383</v>
      </c>
      <c r="C661" s="549" t="s">
        <v>2437</v>
      </c>
      <c r="D661" s="868" t="s">
        <v>164</v>
      </c>
      <c r="E661" s="837" t="str">
        <f>IFERROR(IF(_xlfn.XLOOKUP(Imput[[#This Row],[RFC]],'Alta Proveedor'!D:D,'Alta Proveedor'!E:E)=0,"",_xlfn.XLOOKUP(Imput[[#This Row],[RFC]],'Alta Proveedor'!D:D,'Alta Proveedor'!E:E)),"")</f>
        <v>HOME DEPOT MEXICO SUCURSAL THD-8730 TAMPICO</v>
      </c>
      <c r="F661" s="832" t="s">
        <v>1901</v>
      </c>
      <c r="G661" s="187">
        <v>2</v>
      </c>
      <c r="H661" s="1">
        <v>47.414999999999999</v>
      </c>
      <c r="I661" s="169">
        <f>Imput[[#This Row],[Cantidad]]*Imput[[#This Row],[Precio Unitario]]</f>
        <v>94.83</v>
      </c>
      <c r="J661" s="11">
        <f>((Imput[[#This Row],[Sub total]])*(0.16))</f>
        <v>15.172800000000001</v>
      </c>
      <c r="K661" s="11">
        <v>0</v>
      </c>
      <c r="L661" s="169">
        <f>Imput[[#This Row],[Sub total]]+Imput[[#This Row],[IVA]]-Imput[[#This Row],[Retención / IEPS / Descuento]]</f>
        <v>110.00279999999999</v>
      </c>
      <c r="M661" s="844">
        <v>0</v>
      </c>
      <c r="N661" s="189" t="s">
        <v>123</v>
      </c>
      <c r="O661" s="1"/>
      <c r="P661" s="189" t="s">
        <v>1864</v>
      </c>
      <c r="Q661" s="190" t="s">
        <v>1865</v>
      </c>
      <c r="R661" s="188">
        <v>45874</v>
      </c>
      <c r="S661" s="193" t="s">
        <v>294</v>
      </c>
      <c r="T661" s="192"/>
      <c r="U661" s="829"/>
      <c r="V661" s="10"/>
      <c r="W661" s="10"/>
      <c r="X661" s="10"/>
      <c r="Y661" s="10"/>
      <c r="Z661" s="10"/>
      <c r="AA661" s="11"/>
      <c r="AB661" s="11"/>
      <c r="AD661" s="260"/>
    </row>
    <row r="662" spans="2:30" x14ac:dyDescent="0.3">
      <c r="B662" s="10" t="s">
        <v>383</v>
      </c>
      <c r="C662" s="549" t="s">
        <v>2437</v>
      </c>
      <c r="D662" s="868" t="s">
        <v>164</v>
      </c>
      <c r="E662" s="837" t="str">
        <f>IFERROR(IF(_xlfn.XLOOKUP(Imput[[#This Row],[RFC]],'Alta Proveedor'!D:D,'Alta Proveedor'!E:E)=0,"",_xlfn.XLOOKUP(Imput[[#This Row],[RFC]],'Alta Proveedor'!D:D,'Alta Proveedor'!E:E)),"")</f>
        <v>HOME DEPOT MEXICO SUCURSAL THD-8730 TAMPICO</v>
      </c>
      <c r="F662" s="832" t="s">
        <v>1902</v>
      </c>
      <c r="G662" s="187">
        <v>2</v>
      </c>
      <c r="H662" s="1">
        <v>39.655000000000001</v>
      </c>
      <c r="I662" s="169">
        <f>Imput[[#This Row],[Cantidad]]*Imput[[#This Row],[Precio Unitario]]</f>
        <v>79.31</v>
      </c>
      <c r="J662" s="11">
        <f>((Imput[[#This Row],[Sub total]])*(0.16))</f>
        <v>12.6896</v>
      </c>
      <c r="K662" s="11">
        <v>0</v>
      </c>
      <c r="L662" s="169">
        <f>Imput[[#This Row],[Sub total]]+Imput[[#This Row],[IVA]]-Imput[[#This Row],[Retención / IEPS / Descuento]]</f>
        <v>91.999600000000001</v>
      </c>
      <c r="M662" s="844">
        <v>0</v>
      </c>
      <c r="N662" s="189" t="s">
        <v>123</v>
      </c>
      <c r="O662" s="1"/>
      <c r="P662" s="189" t="s">
        <v>1864</v>
      </c>
      <c r="Q662" s="190" t="s">
        <v>1865</v>
      </c>
      <c r="R662" s="188">
        <v>45874</v>
      </c>
      <c r="S662" s="193" t="s">
        <v>294</v>
      </c>
      <c r="T662" s="192"/>
      <c r="U662" s="829"/>
      <c r="V662" s="10"/>
      <c r="W662" s="10"/>
      <c r="X662" s="10"/>
      <c r="Y662" s="10"/>
      <c r="Z662" s="10"/>
      <c r="AA662" s="11"/>
      <c r="AB662" s="11"/>
      <c r="AD662" s="260"/>
    </row>
    <row r="663" spans="2:30" x14ac:dyDescent="0.3">
      <c r="B663" s="10" t="s">
        <v>383</v>
      </c>
      <c r="C663" s="549" t="s">
        <v>2437</v>
      </c>
      <c r="D663" s="868" t="s">
        <v>164</v>
      </c>
      <c r="E663" s="837" t="str">
        <f>IFERROR(IF(_xlfn.XLOOKUP(Imput[[#This Row],[RFC]],'Alta Proveedor'!D:D,'Alta Proveedor'!E:E)=0,"",_xlfn.XLOOKUP(Imput[[#This Row],[RFC]],'Alta Proveedor'!D:D,'Alta Proveedor'!E:E)),"")</f>
        <v>HOME DEPOT MEXICO SUCURSAL THD-8730 TAMPICO</v>
      </c>
      <c r="F663" s="832" t="s">
        <v>1903</v>
      </c>
      <c r="G663" s="187">
        <v>1</v>
      </c>
      <c r="H663" s="1">
        <v>63.79</v>
      </c>
      <c r="I663" s="169">
        <f>Imput[[#This Row],[Cantidad]]*Imput[[#This Row],[Precio Unitario]]</f>
        <v>63.79</v>
      </c>
      <c r="J663" s="11">
        <f>((Imput[[#This Row],[Sub total]])*(0.16))</f>
        <v>10.2064</v>
      </c>
      <c r="K663" s="11">
        <v>0</v>
      </c>
      <c r="L663" s="169">
        <f>Imput[[#This Row],[Sub total]]+Imput[[#This Row],[IVA]]-Imput[[#This Row],[Retención / IEPS / Descuento]]</f>
        <v>73.996399999999994</v>
      </c>
      <c r="M663" s="844">
        <v>0</v>
      </c>
      <c r="N663" s="189" t="s">
        <v>123</v>
      </c>
      <c r="O663" s="1"/>
      <c r="P663" s="189" t="s">
        <v>1864</v>
      </c>
      <c r="Q663" s="190" t="s">
        <v>1865</v>
      </c>
      <c r="R663" s="188">
        <v>45874</v>
      </c>
      <c r="S663" s="193" t="s">
        <v>294</v>
      </c>
      <c r="T663" s="192"/>
      <c r="U663" s="829"/>
      <c r="V663" s="10"/>
      <c r="W663" s="10"/>
      <c r="X663" s="10"/>
      <c r="Y663" s="10"/>
      <c r="Z663" s="10"/>
      <c r="AA663" s="11"/>
      <c r="AB663" s="11"/>
      <c r="AD663" s="260"/>
    </row>
    <row r="664" spans="2:30" x14ac:dyDescent="0.3">
      <c r="B664" s="10" t="s">
        <v>383</v>
      </c>
      <c r="C664" s="549" t="s">
        <v>2437</v>
      </c>
      <c r="D664" s="868" t="s">
        <v>164</v>
      </c>
      <c r="E664" s="837" t="str">
        <f>IFERROR(IF(_xlfn.XLOOKUP(Imput[[#This Row],[RFC]],'Alta Proveedor'!D:D,'Alta Proveedor'!E:E)=0,"",_xlfn.XLOOKUP(Imput[[#This Row],[RFC]],'Alta Proveedor'!D:D,'Alta Proveedor'!E:E)),"")</f>
        <v>HOME DEPOT MEXICO SUCURSAL THD-8730 TAMPICO</v>
      </c>
      <c r="F664" s="832" t="s">
        <v>1904</v>
      </c>
      <c r="G664" s="187">
        <v>1</v>
      </c>
      <c r="H664" s="1">
        <v>33.619999999999997</v>
      </c>
      <c r="I664" s="169">
        <f>Imput[[#This Row],[Cantidad]]*Imput[[#This Row],[Precio Unitario]]</f>
        <v>33.619999999999997</v>
      </c>
      <c r="J664" s="11">
        <f>((Imput[[#This Row],[Sub total]])*(0.16))</f>
        <v>5.3792</v>
      </c>
      <c r="K664" s="11">
        <v>0</v>
      </c>
      <c r="L664" s="169">
        <f>Imput[[#This Row],[Sub total]]+Imput[[#This Row],[IVA]]-Imput[[#This Row],[Retención / IEPS / Descuento]]</f>
        <v>38.999199999999995</v>
      </c>
      <c r="M664" s="844">
        <v>0</v>
      </c>
      <c r="N664" s="189" t="s">
        <v>123</v>
      </c>
      <c r="O664" s="1"/>
      <c r="P664" s="189" t="s">
        <v>1864</v>
      </c>
      <c r="Q664" s="190" t="s">
        <v>1865</v>
      </c>
      <c r="R664" s="188">
        <v>45874</v>
      </c>
      <c r="S664" s="193" t="s">
        <v>294</v>
      </c>
      <c r="T664" s="192"/>
      <c r="U664" s="829"/>
      <c r="V664" s="10"/>
      <c r="W664" s="10"/>
      <c r="X664" s="10"/>
      <c r="Y664" s="10"/>
      <c r="Z664" s="10"/>
      <c r="AA664" s="11"/>
      <c r="AB664" s="11"/>
      <c r="AD664" s="260"/>
    </row>
    <row r="665" spans="2:30" x14ac:dyDescent="0.3">
      <c r="B665" s="10" t="s">
        <v>383</v>
      </c>
      <c r="C665" s="315" t="s">
        <v>1806</v>
      </c>
      <c r="D665" s="868" t="s">
        <v>1365</v>
      </c>
      <c r="E665" s="837" t="str">
        <f>IFERROR(IF(_xlfn.XLOOKUP(Imput[[#This Row],[RFC]],'Alta Proveedor'!D:D,'Alta Proveedor'!E:E)=0,"",_xlfn.XLOOKUP(Imput[[#This Row],[RFC]],'Alta Proveedor'!D:D,'Alta Proveedor'!E:E)),"")</f>
        <v>HOTEL MANTE</v>
      </c>
      <c r="F665" s="832" t="s">
        <v>159</v>
      </c>
      <c r="G665" s="187">
        <v>1</v>
      </c>
      <c r="H665" s="1">
        <v>196.55</v>
      </c>
      <c r="I665" s="169">
        <f>Imput[[#This Row],[Cantidad]]*Imput[[#This Row],[Precio Unitario]]</f>
        <v>196.55</v>
      </c>
      <c r="J665" s="11">
        <f>((Imput[[#This Row],[Sub total]])*(0.16))</f>
        <v>31.448000000000004</v>
      </c>
      <c r="K665" s="11">
        <v>0</v>
      </c>
      <c r="L665" s="169">
        <f>Imput[[#This Row],[Sub total]]+Imput[[#This Row],[IVA]]-Imput[[#This Row],[Retención / IEPS / Descuento]]</f>
        <v>227.99800000000002</v>
      </c>
      <c r="M665" s="844">
        <v>262.19800000000004</v>
      </c>
      <c r="N665" s="189" t="s">
        <v>123</v>
      </c>
      <c r="O665" s="1"/>
      <c r="P665" s="189" t="s">
        <v>1931</v>
      </c>
      <c r="Q665" s="190" t="s">
        <v>1932</v>
      </c>
      <c r="R665" s="188">
        <v>45874</v>
      </c>
      <c r="S665" s="193" t="s">
        <v>126</v>
      </c>
      <c r="T665" s="192"/>
      <c r="U665" s="829"/>
      <c r="V665" s="10"/>
      <c r="W665" s="10"/>
      <c r="X665" s="10"/>
      <c r="Y665" s="10"/>
      <c r="Z665" s="10"/>
      <c r="AA665" s="11"/>
      <c r="AB665" s="11"/>
      <c r="AD665" s="260"/>
    </row>
    <row r="666" spans="2:30" x14ac:dyDescent="0.3">
      <c r="B666" s="10" t="s">
        <v>383</v>
      </c>
      <c r="C666" s="315" t="s">
        <v>1806</v>
      </c>
      <c r="D666" s="868" t="s">
        <v>1365</v>
      </c>
      <c r="E666" s="837" t="str">
        <f>IFERROR(IF(_xlfn.XLOOKUP(Imput[[#This Row],[RFC]],'Alta Proveedor'!D:D,'Alta Proveedor'!E:E)=0,"",_xlfn.XLOOKUP(Imput[[#This Row],[RFC]],'Alta Proveedor'!D:D,'Alta Proveedor'!E:E)),"")</f>
        <v>HOTEL MANTE</v>
      </c>
      <c r="F666" s="832" t="s">
        <v>1914</v>
      </c>
      <c r="G666" s="187">
        <v>1</v>
      </c>
      <c r="H666" s="1">
        <v>34.200000000000003</v>
      </c>
      <c r="I666" s="169">
        <f>Imput[[#This Row],[Cantidad]]*Imput[[#This Row],[Precio Unitario]]</f>
        <v>34.200000000000003</v>
      </c>
      <c r="J666" s="11">
        <v>0</v>
      </c>
      <c r="K666" s="11">
        <v>0</v>
      </c>
      <c r="L666" s="169">
        <f>Imput[[#This Row],[Sub total]]+Imput[[#This Row],[IVA]]-Imput[[#This Row],[Retención / IEPS / Descuento]]</f>
        <v>34.200000000000003</v>
      </c>
      <c r="M666" s="844">
        <v>0</v>
      </c>
      <c r="N666" s="189" t="s">
        <v>123</v>
      </c>
      <c r="O666" s="1"/>
      <c r="P666" s="189" t="s">
        <v>1931</v>
      </c>
      <c r="Q666" s="190" t="s">
        <v>1932</v>
      </c>
      <c r="R666" s="188">
        <v>45874</v>
      </c>
      <c r="S666" s="193" t="s">
        <v>126</v>
      </c>
      <c r="T666" s="192"/>
      <c r="U666" s="829"/>
      <c r="V666" s="10"/>
      <c r="W666" s="10"/>
      <c r="X666" s="10"/>
      <c r="Y666" s="10"/>
      <c r="Z666" s="10"/>
      <c r="AA666" s="11"/>
      <c r="AB666" s="11"/>
      <c r="AD666" s="260"/>
    </row>
    <row r="667" spans="2:30" x14ac:dyDescent="0.3">
      <c r="B667" s="10" t="s">
        <v>383</v>
      </c>
      <c r="C667" s="315" t="s">
        <v>1769</v>
      </c>
      <c r="D667" s="868" t="s">
        <v>1412</v>
      </c>
      <c r="E667" s="837" t="str">
        <f>IFERROR(IF(_xlfn.XLOOKUP(Imput[[#This Row],[RFC]],'Alta Proveedor'!D:D,'Alta Proveedor'!E:E)=0,"",_xlfn.XLOOKUP(Imput[[#This Row],[RFC]],'Alta Proveedor'!D:D,'Alta Proveedor'!E:E)),"")</f>
        <v>TIENDAS GRAN D</v>
      </c>
      <c r="F667" s="832" t="s">
        <v>2000</v>
      </c>
      <c r="G667" s="187">
        <v>1</v>
      </c>
      <c r="H667" s="1">
        <v>35.5</v>
      </c>
      <c r="I667" s="169">
        <f>Imput[[#This Row],[Cantidad]]*Imput[[#This Row],[Precio Unitario]]</f>
        <v>35.5</v>
      </c>
      <c r="J667" s="11">
        <v>0</v>
      </c>
      <c r="K667" s="11">
        <v>0</v>
      </c>
      <c r="L667" s="169">
        <f>Imput[[#This Row],[Sub total]]+Imput[[#This Row],[IVA]]-Imput[[#This Row],[Retención / IEPS / Descuento]]</f>
        <v>35.5</v>
      </c>
      <c r="M667" s="844">
        <v>95.802079999999989</v>
      </c>
      <c r="N667" s="189" t="s">
        <v>123</v>
      </c>
      <c r="O667" s="1"/>
      <c r="P667" s="189" t="s">
        <v>1991</v>
      </c>
      <c r="Q667" s="190" t="s">
        <v>1992</v>
      </c>
      <c r="R667" s="188">
        <v>45874</v>
      </c>
      <c r="S667" s="193" t="s">
        <v>294</v>
      </c>
      <c r="T667" s="192"/>
      <c r="U667" s="829"/>
      <c r="V667" s="10"/>
      <c r="W667" s="10"/>
      <c r="X667" s="10"/>
      <c r="Y667" s="10"/>
      <c r="Z667" s="10"/>
      <c r="AA667" s="11"/>
      <c r="AB667" s="11"/>
      <c r="AD667" s="260"/>
    </row>
    <row r="668" spans="2:30" x14ac:dyDescent="0.3">
      <c r="B668" s="10" t="s">
        <v>383</v>
      </c>
      <c r="C668" s="315" t="s">
        <v>1769</v>
      </c>
      <c r="D668" s="868" t="s">
        <v>1412</v>
      </c>
      <c r="E668" s="837" t="str">
        <f>IFERROR(IF(_xlfn.XLOOKUP(Imput[[#This Row],[RFC]],'Alta Proveedor'!D:D,'Alta Proveedor'!E:E)=0,"",_xlfn.XLOOKUP(Imput[[#This Row],[RFC]],'Alta Proveedor'!D:D,'Alta Proveedor'!E:E)),"")</f>
        <v>TIENDAS GRAN D</v>
      </c>
      <c r="F668" s="832" t="s">
        <v>2001</v>
      </c>
      <c r="G668" s="187">
        <v>1</v>
      </c>
      <c r="H668" s="1">
        <v>22.5</v>
      </c>
      <c r="I668" s="169">
        <f>Imput[[#This Row],[Cantidad]]*Imput[[#This Row],[Precio Unitario]]</f>
        <v>22.5</v>
      </c>
      <c r="J668" s="11">
        <v>0</v>
      </c>
      <c r="K668" s="11">
        <v>0</v>
      </c>
      <c r="L668" s="169">
        <f>Imput[[#This Row],[Sub total]]+Imput[[#This Row],[IVA]]-Imput[[#This Row],[Retención / IEPS / Descuento]]</f>
        <v>22.5</v>
      </c>
      <c r="M668" s="844">
        <v>0</v>
      </c>
      <c r="N668" s="189" t="s">
        <v>123</v>
      </c>
      <c r="O668" s="1"/>
      <c r="P668" s="189" t="s">
        <v>1991</v>
      </c>
      <c r="Q668" s="190" t="s">
        <v>1992</v>
      </c>
      <c r="R668" s="188">
        <v>45874</v>
      </c>
      <c r="S668" s="193" t="s">
        <v>294</v>
      </c>
      <c r="T668" s="192"/>
      <c r="U668" s="829"/>
      <c r="V668" s="10"/>
      <c r="W668" s="10"/>
      <c r="X668" s="10"/>
      <c r="Y668" s="10"/>
      <c r="Z668" s="10"/>
      <c r="AA668" s="11"/>
      <c r="AB668" s="11"/>
      <c r="AD668" s="260"/>
    </row>
    <row r="669" spans="2:30" x14ac:dyDescent="0.3">
      <c r="B669" s="10" t="s">
        <v>383</v>
      </c>
      <c r="C669" s="315" t="s">
        <v>1769</v>
      </c>
      <c r="D669" s="868" t="s">
        <v>1412</v>
      </c>
      <c r="E669" s="837" t="str">
        <f>IFERROR(IF(_xlfn.XLOOKUP(Imput[[#This Row],[RFC]],'Alta Proveedor'!D:D,'Alta Proveedor'!E:E)=0,"",_xlfn.XLOOKUP(Imput[[#This Row],[RFC]],'Alta Proveedor'!D:D,'Alta Proveedor'!E:E)),"")</f>
        <v>TIENDAS GRAN D</v>
      </c>
      <c r="F669" s="832" t="s">
        <v>2002</v>
      </c>
      <c r="G669" s="187">
        <v>1</v>
      </c>
      <c r="H669" s="1">
        <v>16.294</v>
      </c>
      <c r="I669" s="169">
        <f>Imput[[#This Row],[Cantidad]]*Imput[[#This Row],[Precio Unitario]]</f>
        <v>16.294</v>
      </c>
      <c r="J669" s="11">
        <f>((Imput[[#This Row],[Sub total]])*(0.16))</f>
        <v>2.60704</v>
      </c>
      <c r="K669" s="11">
        <v>0</v>
      </c>
      <c r="L669" s="169">
        <f>Imput[[#This Row],[Sub total]]+Imput[[#This Row],[IVA]]-Imput[[#This Row],[Retención / IEPS / Descuento]]</f>
        <v>18.901040000000002</v>
      </c>
      <c r="M669" s="844">
        <v>0</v>
      </c>
      <c r="N669" s="189" t="s">
        <v>123</v>
      </c>
      <c r="O669" s="1"/>
      <c r="P669" s="189" t="s">
        <v>1991</v>
      </c>
      <c r="Q669" s="190" t="s">
        <v>1992</v>
      </c>
      <c r="R669" s="188">
        <v>45874</v>
      </c>
      <c r="S669" s="193" t="s">
        <v>294</v>
      </c>
      <c r="T669" s="192"/>
      <c r="U669" s="829"/>
      <c r="V669" s="10"/>
      <c r="W669" s="10"/>
      <c r="X669" s="10"/>
      <c r="Y669" s="10"/>
      <c r="Z669" s="10"/>
      <c r="AA669" s="11"/>
      <c r="AB669" s="11"/>
      <c r="AD669" s="260"/>
    </row>
    <row r="670" spans="2:30" x14ac:dyDescent="0.3">
      <c r="B670" s="10" t="s">
        <v>383</v>
      </c>
      <c r="C670" s="315" t="s">
        <v>1769</v>
      </c>
      <c r="D670" s="868" t="s">
        <v>1412</v>
      </c>
      <c r="E670" s="837" t="str">
        <f>IFERROR(IF(_xlfn.XLOOKUP(Imput[[#This Row],[RFC]],'Alta Proveedor'!D:D,'Alta Proveedor'!E:E)=0,"",_xlfn.XLOOKUP(Imput[[#This Row],[RFC]],'Alta Proveedor'!D:D,'Alta Proveedor'!E:E)),"")</f>
        <v>TIENDAS GRAN D</v>
      </c>
      <c r="F670" s="832" t="s">
        <v>2003</v>
      </c>
      <c r="G670" s="187">
        <v>1</v>
      </c>
      <c r="H670" s="1">
        <v>16.294</v>
      </c>
      <c r="I670" s="169">
        <f>Imput[[#This Row],[Cantidad]]*Imput[[#This Row],[Precio Unitario]]</f>
        <v>16.294</v>
      </c>
      <c r="J670" s="11">
        <f>((Imput[[#This Row],[Sub total]])*(0.16))</f>
        <v>2.60704</v>
      </c>
      <c r="K670" s="11">
        <v>0</v>
      </c>
      <c r="L670" s="169">
        <f>Imput[[#This Row],[Sub total]]+Imput[[#This Row],[IVA]]-Imput[[#This Row],[Retención / IEPS / Descuento]]</f>
        <v>18.901040000000002</v>
      </c>
      <c r="M670" s="844">
        <v>0</v>
      </c>
      <c r="N670" s="189" t="s">
        <v>123</v>
      </c>
      <c r="O670" s="1"/>
      <c r="P670" s="189" t="s">
        <v>1991</v>
      </c>
      <c r="Q670" s="190" t="s">
        <v>1992</v>
      </c>
      <c r="R670" s="188">
        <v>45874</v>
      </c>
      <c r="S670" s="193" t="s">
        <v>294</v>
      </c>
      <c r="T670" s="192"/>
      <c r="U670" s="829"/>
      <c r="V670" s="10"/>
      <c r="W670" s="10"/>
      <c r="X670" s="10"/>
      <c r="Y670" s="10"/>
      <c r="Z670" s="10"/>
      <c r="AA670" s="11"/>
      <c r="AB670" s="11"/>
      <c r="AD670" s="260"/>
    </row>
    <row r="671" spans="2:30" x14ac:dyDescent="0.3">
      <c r="B671" s="10" t="s">
        <v>383</v>
      </c>
      <c r="C671" s="315" t="s">
        <v>1806</v>
      </c>
      <c r="D671" s="868" t="s">
        <v>1365</v>
      </c>
      <c r="E671" s="837" t="str">
        <f>IFERROR(IF(_xlfn.XLOOKUP(Imput[[#This Row],[RFC]],'Alta Proveedor'!D:D,'Alta Proveedor'!E:E)=0,"",_xlfn.XLOOKUP(Imput[[#This Row],[RFC]],'Alta Proveedor'!D:D,'Alta Proveedor'!E:E)),"")</f>
        <v>HOTEL MANTE</v>
      </c>
      <c r="F671" s="832" t="s">
        <v>159</v>
      </c>
      <c r="G671" s="187">
        <v>1</v>
      </c>
      <c r="H671" s="1">
        <v>113.79</v>
      </c>
      <c r="I671" s="169">
        <f>Imput[[#This Row],[Cantidad]]*Imput[[#This Row],[Precio Unitario]]</f>
        <v>113.79</v>
      </c>
      <c r="J671" s="11">
        <f>((Imput[[#This Row],[Sub total]])*(0.16))</f>
        <v>18.206400000000002</v>
      </c>
      <c r="K671" s="11">
        <v>0</v>
      </c>
      <c r="L671" s="169">
        <f>Imput[[#This Row],[Sub total]]+Imput[[#This Row],[IVA]]-Imput[[#This Row],[Retención / IEPS / Descuento]]</f>
        <v>131.99639999999999</v>
      </c>
      <c r="M671" s="844">
        <v>151.79640000000001</v>
      </c>
      <c r="N671" s="189" t="s">
        <v>123</v>
      </c>
      <c r="O671" s="1"/>
      <c r="P671" s="189" t="s">
        <v>1919</v>
      </c>
      <c r="Q671" s="190" t="s">
        <v>1920</v>
      </c>
      <c r="R671" s="188">
        <v>45874</v>
      </c>
      <c r="S671" s="193" t="s">
        <v>126</v>
      </c>
      <c r="T671" s="192"/>
      <c r="U671" s="829"/>
      <c r="V671" s="10"/>
      <c r="W671" s="10"/>
      <c r="X671" s="10"/>
      <c r="Y671" s="10"/>
      <c r="Z671" s="10"/>
      <c r="AA671" s="11"/>
      <c r="AB671" s="11"/>
      <c r="AD671" s="260"/>
    </row>
    <row r="672" spans="2:30" x14ac:dyDescent="0.3">
      <c r="B672" s="10" t="s">
        <v>383</v>
      </c>
      <c r="C672" s="315" t="s">
        <v>1806</v>
      </c>
      <c r="D672" s="868" t="s">
        <v>1365</v>
      </c>
      <c r="E672" s="837" t="str">
        <f>IFERROR(IF(_xlfn.XLOOKUP(Imput[[#This Row],[RFC]],'Alta Proveedor'!D:D,'Alta Proveedor'!E:E)=0,"",_xlfn.XLOOKUP(Imput[[#This Row],[RFC]],'Alta Proveedor'!D:D,'Alta Proveedor'!E:E)),"")</f>
        <v>HOTEL MANTE</v>
      </c>
      <c r="F672" s="832" t="s">
        <v>1914</v>
      </c>
      <c r="G672" s="187">
        <v>1</v>
      </c>
      <c r="H672" s="1">
        <v>19.8</v>
      </c>
      <c r="I672" s="169">
        <f>Imput[[#This Row],[Cantidad]]*Imput[[#This Row],[Precio Unitario]]</f>
        <v>19.8</v>
      </c>
      <c r="J672" s="11">
        <v>0</v>
      </c>
      <c r="K672" s="11">
        <v>0</v>
      </c>
      <c r="L672" s="169">
        <f>Imput[[#This Row],[Sub total]]+Imput[[#This Row],[IVA]]-Imput[[#This Row],[Retención / IEPS / Descuento]]</f>
        <v>19.8</v>
      </c>
      <c r="M672" s="844">
        <v>0</v>
      </c>
      <c r="N672" s="189" t="s">
        <v>123</v>
      </c>
      <c r="O672" s="1"/>
      <c r="P672" s="189" t="s">
        <v>1919</v>
      </c>
      <c r="Q672" s="190" t="s">
        <v>1920</v>
      </c>
      <c r="R672" s="188">
        <v>45874</v>
      </c>
      <c r="S672" s="193" t="s">
        <v>126</v>
      </c>
      <c r="T672" s="192"/>
      <c r="U672" s="829"/>
      <c r="V672" s="10"/>
      <c r="W672" s="10"/>
      <c r="X672" s="10"/>
      <c r="Y672" s="10"/>
      <c r="Z672" s="10"/>
      <c r="AA672" s="11"/>
      <c r="AB672" s="11"/>
      <c r="AD672" s="260"/>
    </row>
    <row r="673" spans="2:30" x14ac:dyDescent="0.3">
      <c r="B673" s="10" t="s">
        <v>383</v>
      </c>
      <c r="C673" s="315" t="s">
        <v>1769</v>
      </c>
      <c r="D673" s="868" t="s">
        <v>1499</v>
      </c>
      <c r="E673" s="837" t="str">
        <f>IFERROR(IF(_xlfn.XLOOKUP(Imput[[#This Row],[RFC]],'Alta Proveedor'!D:D,'Alta Proveedor'!E:E)=0,"",_xlfn.XLOOKUP(Imput[[#This Row],[RFC]],'Alta Proveedor'!D:D,'Alta Proveedor'!E:E)),"")</f>
        <v>TRANSPAIS UNICO (TRANSPORTE PASAJEROS)</v>
      </c>
      <c r="F673" s="832" t="s">
        <v>3492</v>
      </c>
      <c r="G673" s="187">
        <v>1</v>
      </c>
      <c r="H673" s="1">
        <v>296.55</v>
      </c>
      <c r="I673" s="169">
        <f>Imput[[#This Row],[Cantidad]]*Imput[[#This Row],[Precio Unitario]]</f>
        <v>296.55</v>
      </c>
      <c r="J673" s="11">
        <f>((Imput[[#This Row],[Sub total]])*(0.16))</f>
        <v>47.448</v>
      </c>
      <c r="K673" s="11">
        <v>0</v>
      </c>
      <c r="L673" s="169">
        <f>Imput[[#This Row],[Sub total]]+Imput[[#This Row],[IVA]]-Imput[[#This Row],[Retención / IEPS / Descuento]]</f>
        <v>343.99799999999999</v>
      </c>
      <c r="M673" s="844">
        <v>343.99799999999999</v>
      </c>
      <c r="N673" s="189" t="s">
        <v>123</v>
      </c>
      <c r="O673" s="1"/>
      <c r="P673" s="189" t="s">
        <v>2014</v>
      </c>
      <c r="Q673" s="190" t="s">
        <v>2015</v>
      </c>
      <c r="R673" s="188">
        <v>45874</v>
      </c>
      <c r="S673" s="193" t="s">
        <v>154</v>
      </c>
      <c r="T673" s="192"/>
      <c r="U673" s="829"/>
      <c r="V673" s="10"/>
      <c r="W673" s="10"/>
      <c r="X673" s="10"/>
      <c r="Y673" s="10"/>
      <c r="Z673" s="10"/>
      <c r="AA673" s="11"/>
      <c r="AB673" s="11"/>
      <c r="AD673" s="260"/>
    </row>
    <row r="674" spans="2:30" x14ac:dyDescent="0.3">
      <c r="B674" s="10" t="s">
        <v>383</v>
      </c>
      <c r="C674" s="315" t="s">
        <v>1769</v>
      </c>
      <c r="D674" s="868" t="s">
        <v>1499</v>
      </c>
      <c r="E674" s="837" t="str">
        <f>IFERROR(IF(_xlfn.XLOOKUP(Imput[[#This Row],[RFC]],'Alta Proveedor'!D:D,'Alta Proveedor'!E:E)=0,"",_xlfn.XLOOKUP(Imput[[#This Row],[RFC]],'Alta Proveedor'!D:D,'Alta Proveedor'!E:E)),"")</f>
        <v>TRANSPAIS UNICO (TRANSPORTE PASAJEROS)</v>
      </c>
      <c r="F674" s="832" t="s">
        <v>3493</v>
      </c>
      <c r="G674" s="187">
        <v>1</v>
      </c>
      <c r="H674" s="1">
        <v>300.86</v>
      </c>
      <c r="I674" s="169">
        <f>Imput[[#This Row],[Cantidad]]*Imput[[#This Row],[Precio Unitario]]</f>
        <v>300.86</v>
      </c>
      <c r="J674" s="11">
        <f>((Imput[[#This Row],[Sub total]])*(0.16))</f>
        <v>48.137600000000006</v>
      </c>
      <c r="K674" s="11">
        <v>0</v>
      </c>
      <c r="L674" s="169">
        <f>Imput[[#This Row],[Sub total]]+Imput[[#This Row],[IVA]]-Imput[[#This Row],[Retención / IEPS / Descuento]]</f>
        <v>348.99760000000003</v>
      </c>
      <c r="M674" s="844">
        <v>697.99520000000007</v>
      </c>
      <c r="N674" s="189" t="s">
        <v>123</v>
      </c>
      <c r="O674" s="1"/>
      <c r="P674" s="189" t="s">
        <v>2016</v>
      </c>
      <c r="Q674" s="190" t="s">
        <v>2017</v>
      </c>
      <c r="R674" s="188">
        <v>45874</v>
      </c>
      <c r="S674" s="193" t="s">
        <v>294</v>
      </c>
      <c r="T674" s="192"/>
      <c r="U674" s="829"/>
      <c r="V674" s="10"/>
      <c r="W674" s="10"/>
      <c r="X674" s="10"/>
      <c r="Y674" s="10"/>
      <c r="Z674" s="10"/>
      <c r="AA674" s="11"/>
      <c r="AB674" s="11"/>
      <c r="AD674" s="260"/>
    </row>
    <row r="675" spans="2:30" x14ac:dyDescent="0.3">
      <c r="B675" s="10" t="s">
        <v>383</v>
      </c>
      <c r="C675" s="315" t="s">
        <v>1769</v>
      </c>
      <c r="D675" s="868" t="s">
        <v>1499</v>
      </c>
      <c r="E675" s="837" t="str">
        <f>IFERROR(IF(_xlfn.XLOOKUP(Imput[[#This Row],[RFC]],'Alta Proveedor'!D:D,'Alta Proveedor'!E:E)=0,"",_xlfn.XLOOKUP(Imput[[#This Row],[RFC]],'Alta Proveedor'!D:D,'Alta Proveedor'!E:E)),"")</f>
        <v>TRANSPAIS UNICO (TRANSPORTE PASAJEROS)</v>
      </c>
      <c r="F675" s="832" t="s">
        <v>3494</v>
      </c>
      <c r="G675" s="187">
        <v>1</v>
      </c>
      <c r="H675" s="1">
        <v>300.86</v>
      </c>
      <c r="I675" s="169">
        <f>Imput[[#This Row],[Cantidad]]*Imput[[#This Row],[Precio Unitario]]</f>
        <v>300.86</v>
      </c>
      <c r="J675" s="11">
        <f>((Imput[[#This Row],[Sub total]])*(0.16))</f>
        <v>48.137600000000006</v>
      </c>
      <c r="K675" s="11">
        <v>0</v>
      </c>
      <c r="L675" s="169">
        <f>Imput[[#This Row],[Sub total]]+Imput[[#This Row],[IVA]]-Imput[[#This Row],[Retención / IEPS / Descuento]]</f>
        <v>348.99760000000003</v>
      </c>
      <c r="M675" s="844">
        <v>0</v>
      </c>
      <c r="N675" s="189" t="s">
        <v>123</v>
      </c>
      <c r="O675" s="1"/>
      <c r="P675" s="189" t="s">
        <v>2016</v>
      </c>
      <c r="Q675" s="190" t="s">
        <v>2017</v>
      </c>
      <c r="R675" s="188">
        <v>45874</v>
      </c>
      <c r="S675" s="193" t="s">
        <v>294</v>
      </c>
      <c r="T675" s="192"/>
      <c r="U675" s="829"/>
      <c r="V675" s="10"/>
      <c r="W675" s="10"/>
      <c r="X675" s="10"/>
      <c r="Y675" s="10"/>
      <c r="Z675" s="10"/>
      <c r="AA675" s="11"/>
      <c r="AB675" s="11"/>
      <c r="AD675" s="260"/>
    </row>
    <row r="676" spans="2:30" x14ac:dyDescent="0.3">
      <c r="B676" s="10" t="s">
        <v>383</v>
      </c>
      <c r="C676" s="315" t="s">
        <v>1765</v>
      </c>
      <c r="D676" s="868" t="s">
        <v>3225</v>
      </c>
      <c r="E676" s="837" t="str">
        <f>IFERROR(IF(_xlfn.XLOOKUP(Imput[[#This Row],[RFC]],'Alta Proveedor'!D:D,'Alta Proveedor'!E:E)=0,"",_xlfn.XLOOKUP(Imput[[#This Row],[RFC]],'Alta Proveedor'!D:D,'Alta Proveedor'!E:E)),"")</f>
        <v>GASTOS SIN FACTURA</v>
      </c>
      <c r="F676" s="836" t="s">
        <v>3207</v>
      </c>
      <c r="G676" s="187">
        <v>1</v>
      </c>
      <c r="H676" s="1">
        <v>2400</v>
      </c>
      <c r="I676" s="169">
        <f>Imput[[#This Row],[Cantidad]]*Imput[[#This Row],[Precio Unitario]]</f>
        <v>2400</v>
      </c>
      <c r="J676" s="11">
        <f>Imput[[#This Row],[Sub total]]*0.08</f>
        <v>192</v>
      </c>
      <c r="K676" s="11">
        <v>0</v>
      </c>
      <c r="L676" s="169">
        <f>Imput[[#This Row],[Sub total]]+Imput[[#This Row],[IVA]]-Imput[[#This Row],[Retención / IEPS / Descuento]]</f>
        <v>2592</v>
      </c>
      <c r="M676" s="844">
        <v>2592</v>
      </c>
      <c r="N676" s="189"/>
      <c r="O676" s="1"/>
      <c r="P676" s="189"/>
      <c r="Q676" s="190"/>
      <c r="R676" s="188">
        <v>45874</v>
      </c>
      <c r="S676" s="193"/>
      <c r="T676" s="192"/>
      <c r="U676" s="867" t="s">
        <v>3225</v>
      </c>
      <c r="V676" s="10"/>
      <c r="W676" s="10"/>
      <c r="X676" s="10"/>
      <c r="Y676" s="10"/>
      <c r="Z676" s="10"/>
      <c r="AA676" s="11"/>
      <c r="AB676" s="11"/>
      <c r="AD676" s="260"/>
    </row>
    <row r="677" spans="2:30" x14ac:dyDescent="0.3">
      <c r="B677" s="10" t="s">
        <v>383</v>
      </c>
      <c r="C677" s="315" t="s">
        <v>2437</v>
      </c>
      <c r="D677" s="868" t="s">
        <v>3225</v>
      </c>
      <c r="E677" s="837" t="str">
        <f>IFERROR(IF(_xlfn.XLOOKUP(Imput[[#This Row],[RFC]],'Alta Proveedor'!D:D,'Alta Proveedor'!E:E)=0,"",_xlfn.XLOOKUP(Imput[[#This Row],[RFC]],'Alta Proveedor'!D:D,'Alta Proveedor'!E:E)),"")</f>
        <v>GASTOS SIN FACTURA</v>
      </c>
      <c r="F677" s="836" t="s">
        <v>3208</v>
      </c>
      <c r="G677" s="187">
        <v>1</v>
      </c>
      <c r="H677" s="1">
        <v>7200</v>
      </c>
      <c r="I677" s="169">
        <f>Imput[[#This Row],[Cantidad]]*Imput[[#This Row],[Precio Unitario]]</f>
        <v>7200</v>
      </c>
      <c r="J677" s="11">
        <f>Imput[[#This Row],[Sub total]]*0.08</f>
        <v>576</v>
      </c>
      <c r="K677" s="11">
        <v>0</v>
      </c>
      <c r="L677" s="169">
        <f>Imput[[#This Row],[Sub total]]+Imput[[#This Row],[IVA]]-Imput[[#This Row],[Retención / IEPS / Descuento]]</f>
        <v>7776</v>
      </c>
      <c r="M677" s="844">
        <v>7776</v>
      </c>
      <c r="N677" s="189"/>
      <c r="O677" s="1"/>
      <c r="P677" s="189"/>
      <c r="Q677" s="190"/>
      <c r="R677" s="188">
        <v>45874</v>
      </c>
      <c r="S677" s="193"/>
      <c r="T677" s="192"/>
      <c r="U677" s="867" t="s">
        <v>3225</v>
      </c>
      <c r="V677" s="10"/>
      <c r="W677" s="10"/>
      <c r="X677" s="10"/>
      <c r="Y677" s="10"/>
      <c r="Z677" s="10"/>
      <c r="AA677" s="11"/>
      <c r="AB677" s="11"/>
      <c r="AD677" s="260"/>
    </row>
    <row r="678" spans="2:30" x14ac:dyDescent="0.3">
      <c r="B678" s="10" t="s">
        <v>383</v>
      </c>
      <c r="C678" s="315" t="s">
        <v>2903</v>
      </c>
      <c r="D678" s="868" t="s">
        <v>164</v>
      </c>
      <c r="E678" s="837" t="str">
        <f>IFERROR(IF(_xlfn.XLOOKUP(Imput[[#This Row],[RFC]],'Alta Proveedor'!D:D,'Alta Proveedor'!E:E)=0,"",_xlfn.XLOOKUP(Imput[[#This Row],[RFC]],'Alta Proveedor'!D:D,'Alta Proveedor'!E:E)),"")</f>
        <v>HOME DEPOT MEXICO SUCURSAL THD-8730 TAMPICO</v>
      </c>
      <c r="F678" s="832" t="s">
        <v>1905</v>
      </c>
      <c r="G678" s="574">
        <v>1</v>
      </c>
      <c r="H678" s="1">
        <v>707.59</v>
      </c>
      <c r="I678" s="169">
        <f>Imput[[#This Row],[Cantidad]]*Imput[[#This Row],[Precio Unitario]]</f>
        <v>707.59</v>
      </c>
      <c r="J678" s="11">
        <f>((Imput[[#This Row],[Sub total]])*(0.16))</f>
        <v>113.21440000000001</v>
      </c>
      <c r="K678" s="11">
        <v>0</v>
      </c>
      <c r="L678" s="169">
        <f>Imput[[#This Row],[Sub total]]+Imput[[#This Row],[IVA]]-Imput[[#This Row],[Retención / IEPS / Descuento]]</f>
        <v>820.80439999999999</v>
      </c>
      <c r="M678" s="844">
        <v>2550.7936</v>
      </c>
      <c r="N678" s="189" t="s">
        <v>123</v>
      </c>
      <c r="O678" s="1"/>
      <c r="P678" s="189" t="s">
        <v>1866</v>
      </c>
      <c r="Q678" s="190" t="s">
        <v>1867</v>
      </c>
      <c r="R678" s="188">
        <v>45875</v>
      </c>
      <c r="S678" s="193" t="s">
        <v>126</v>
      </c>
      <c r="T678" s="192"/>
      <c r="U678" s="829"/>
      <c r="V678" s="10"/>
      <c r="W678" s="10"/>
      <c r="X678" s="10"/>
      <c r="Y678" s="10"/>
      <c r="Z678" s="10"/>
      <c r="AA678" s="11"/>
      <c r="AB678" s="11"/>
      <c r="AD678" s="260"/>
    </row>
    <row r="679" spans="2:30" x14ac:dyDescent="0.3">
      <c r="B679" s="10" t="s">
        <v>383</v>
      </c>
      <c r="C679" s="315" t="s">
        <v>2903</v>
      </c>
      <c r="D679" s="868" t="s">
        <v>164</v>
      </c>
      <c r="E679" s="837" t="str">
        <f>IFERROR(IF(_xlfn.XLOOKUP(Imput[[#This Row],[RFC]],'Alta Proveedor'!D:D,'Alta Proveedor'!E:E)=0,"",_xlfn.XLOOKUP(Imput[[#This Row],[RFC]],'Alta Proveedor'!D:D,'Alta Proveedor'!E:E)),"")</f>
        <v>HOME DEPOT MEXICO SUCURSAL THD-8730 TAMPICO</v>
      </c>
      <c r="F679" s="832" t="s">
        <v>242</v>
      </c>
      <c r="G679" s="187">
        <v>1</v>
      </c>
      <c r="H679" s="1">
        <v>443.22</v>
      </c>
      <c r="I679" s="169">
        <f>Imput[[#This Row],[Cantidad]]*Imput[[#This Row],[Precio Unitario]]</f>
        <v>443.22</v>
      </c>
      <c r="J679" s="11">
        <f>((Imput[[#This Row],[Sub total]])*(0.16))</f>
        <v>70.915200000000013</v>
      </c>
      <c r="K679" s="11">
        <v>0</v>
      </c>
      <c r="L679" s="169">
        <f>Imput[[#This Row],[Sub total]]+Imput[[#This Row],[IVA]]-Imput[[#This Row],[Retención / IEPS / Descuento]]</f>
        <v>514.13520000000005</v>
      </c>
      <c r="M679" s="844">
        <v>0</v>
      </c>
      <c r="N679" s="189" t="s">
        <v>123</v>
      </c>
      <c r="O679" s="1"/>
      <c r="P679" s="189" t="s">
        <v>1866</v>
      </c>
      <c r="Q679" s="190" t="s">
        <v>1867</v>
      </c>
      <c r="R679" s="188">
        <v>45875</v>
      </c>
      <c r="S679" s="193" t="s">
        <v>126</v>
      </c>
      <c r="T679" s="192"/>
      <c r="U679" s="829"/>
      <c r="V679" s="10"/>
      <c r="W679" s="10"/>
      <c r="X679" s="10"/>
      <c r="Y679" s="10"/>
      <c r="Z679" s="10"/>
      <c r="AA679" s="11"/>
      <c r="AB679" s="11"/>
      <c r="AD679" s="260"/>
    </row>
    <row r="680" spans="2:30" x14ac:dyDescent="0.3">
      <c r="B680" s="10" t="s">
        <v>383</v>
      </c>
      <c r="C680" s="315" t="s">
        <v>2903</v>
      </c>
      <c r="D680" s="868" t="s">
        <v>164</v>
      </c>
      <c r="E680" s="837" t="str">
        <f>IFERROR(IF(_xlfn.XLOOKUP(Imput[[#This Row],[RFC]],'Alta Proveedor'!D:D,'Alta Proveedor'!E:E)=0,"",_xlfn.XLOOKUP(Imput[[#This Row],[RFC]],'Alta Proveedor'!D:D,'Alta Proveedor'!E:E)),"")</f>
        <v>HOME DEPOT MEXICO SUCURSAL THD-8730 TAMPICO</v>
      </c>
      <c r="F680" s="832" t="s">
        <v>171</v>
      </c>
      <c r="G680" s="187">
        <v>1</v>
      </c>
      <c r="H680" s="1">
        <v>257.62</v>
      </c>
      <c r="I680" s="169">
        <f>Imput[[#This Row],[Cantidad]]*Imput[[#This Row],[Precio Unitario]]</f>
        <v>257.62</v>
      </c>
      <c r="J680" s="11">
        <f>((Imput[[#This Row],[Sub total]])*(0.16))</f>
        <v>41.219200000000001</v>
      </c>
      <c r="K680" s="11">
        <v>0</v>
      </c>
      <c r="L680" s="169">
        <f>Imput[[#This Row],[Sub total]]+Imput[[#This Row],[IVA]]-Imput[[#This Row],[Retención / IEPS / Descuento]]</f>
        <v>298.83920000000001</v>
      </c>
      <c r="M680" s="844">
        <v>0</v>
      </c>
      <c r="N680" s="189" t="s">
        <v>123</v>
      </c>
      <c r="O680" s="1"/>
      <c r="P680" s="189" t="s">
        <v>1866</v>
      </c>
      <c r="Q680" s="190" t="s">
        <v>1867</v>
      </c>
      <c r="R680" s="188">
        <v>45875</v>
      </c>
      <c r="S680" s="193" t="s">
        <v>126</v>
      </c>
      <c r="T680" s="192"/>
      <c r="U680" s="829"/>
      <c r="V680" s="10"/>
      <c r="W680" s="10"/>
      <c r="X680" s="10"/>
      <c r="Y680" s="10"/>
      <c r="Z680" s="10"/>
      <c r="AA680" s="11"/>
      <c r="AB680" s="11"/>
      <c r="AD680" s="260"/>
    </row>
    <row r="681" spans="2:30" x14ac:dyDescent="0.3">
      <c r="B681" s="10" t="s">
        <v>383</v>
      </c>
      <c r="C681" s="315" t="s">
        <v>2241</v>
      </c>
      <c r="D681" s="868" t="s">
        <v>164</v>
      </c>
      <c r="E681" s="837" t="str">
        <f>IFERROR(IF(_xlfn.XLOOKUP(Imput[[#This Row],[RFC]],'Alta Proveedor'!D:D,'Alta Proveedor'!E:E)=0,"",_xlfn.XLOOKUP(Imput[[#This Row],[RFC]],'Alta Proveedor'!D:D,'Alta Proveedor'!E:E)),"")</f>
        <v>HOME DEPOT MEXICO SUCURSAL THD-8730 TAMPICO</v>
      </c>
      <c r="F681" s="832" t="s">
        <v>165</v>
      </c>
      <c r="G681" s="187">
        <v>1</v>
      </c>
      <c r="H681" s="1">
        <v>239.05</v>
      </c>
      <c r="I681" s="169">
        <f>Imput[[#This Row],[Cantidad]]*Imput[[#This Row],[Precio Unitario]]</f>
        <v>239.05</v>
      </c>
      <c r="J681" s="11">
        <f>((Imput[[#This Row],[Sub total]])*(0.16))</f>
        <v>38.248000000000005</v>
      </c>
      <c r="K681" s="11">
        <v>0</v>
      </c>
      <c r="L681" s="169">
        <f>Imput[[#This Row],[Sub total]]+Imput[[#This Row],[IVA]]-Imput[[#This Row],[Retención / IEPS / Descuento]]</f>
        <v>277.298</v>
      </c>
      <c r="M681" s="844">
        <v>0</v>
      </c>
      <c r="N681" s="189" t="s">
        <v>123</v>
      </c>
      <c r="O681" s="1"/>
      <c r="P681" s="189" t="s">
        <v>1866</v>
      </c>
      <c r="Q681" s="190" t="s">
        <v>1867</v>
      </c>
      <c r="R681" s="188">
        <v>45875</v>
      </c>
      <c r="S681" s="193" t="s">
        <v>126</v>
      </c>
      <c r="T681" s="192"/>
      <c r="U681" s="829"/>
      <c r="V681" s="10"/>
      <c r="W681" s="10"/>
      <c r="X681" s="10"/>
      <c r="Y681" s="10"/>
      <c r="Z681" s="10"/>
      <c r="AA681" s="11"/>
      <c r="AB681" s="11"/>
      <c r="AD681" s="260"/>
    </row>
    <row r="682" spans="2:30" x14ac:dyDescent="0.3">
      <c r="B682" s="10" t="s">
        <v>383</v>
      </c>
      <c r="C682" s="315" t="s">
        <v>2903</v>
      </c>
      <c r="D682" s="868" t="s">
        <v>164</v>
      </c>
      <c r="E682" s="837" t="str">
        <f>IFERROR(IF(_xlfn.XLOOKUP(Imput[[#This Row],[RFC]],'Alta Proveedor'!D:D,'Alta Proveedor'!E:E)=0,"",_xlfn.XLOOKUP(Imput[[#This Row],[RFC]],'Alta Proveedor'!D:D,'Alta Proveedor'!E:E)),"")</f>
        <v>HOME DEPOT MEXICO SUCURSAL THD-8730 TAMPICO</v>
      </c>
      <c r="F682" s="832" t="s">
        <v>298</v>
      </c>
      <c r="G682" s="187">
        <v>1</v>
      </c>
      <c r="H682" s="1">
        <v>149.79</v>
      </c>
      <c r="I682" s="169">
        <f>Imput[[#This Row],[Cantidad]]*Imput[[#This Row],[Precio Unitario]]</f>
        <v>149.79</v>
      </c>
      <c r="J682" s="11">
        <f>((Imput[[#This Row],[Sub total]])*(0.16))</f>
        <v>23.9664</v>
      </c>
      <c r="K682" s="11">
        <v>0</v>
      </c>
      <c r="L682" s="169">
        <f>Imput[[#This Row],[Sub total]]+Imput[[#This Row],[IVA]]-Imput[[#This Row],[Retención / IEPS / Descuento]]</f>
        <v>173.75639999999999</v>
      </c>
      <c r="M682" s="844">
        <v>0</v>
      </c>
      <c r="N682" s="189" t="s">
        <v>123</v>
      </c>
      <c r="O682" s="1"/>
      <c r="P682" s="189" t="s">
        <v>1866</v>
      </c>
      <c r="Q682" s="190" t="s">
        <v>1867</v>
      </c>
      <c r="R682" s="188">
        <v>45875</v>
      </c>
      <c r="S682" s="193" t="s">
        <v>126</v>
      </c>
      <c r="T682" s="192"/>
      <c r="U682" s="829"/>
      <c r="V682" s="10"/>
      <c r="W682" s="10"/>
      <c r="X682" s="10"/>
      <c r="Y682" s="10"/>
      <c r="Z682" s="10"/>
      <c r="AA682" s="11"/>
      <c r="AB682" s="11"/>
      <c r="AD682" s="260"/>
    </row>
    <row r="683" spans="2:30" x14ac:dyDescent="0.3">
      <c r="B683" s="10" t="s">
        <v>383</v>
      </c>
      <c r="C683" s="315" t="s">
        <v>2903</v>
      </c>
      <c r="D683" s="868" t="s">
        <v>164</v>
      </c>
      <c r="E683" s="837" t="str">
        <f>IFERROR(IF(_xlfn.XLOOKUP(Imput[[#This Row],[RFC]],'Alta Proveedor'!D:D,'Alta Proveedor'!E:E)=0,"",_xlfn.XLOOKUP(Imput[[#This Row],[RFC]],'Alta Proveedor'!D:D,'Alta Proveedor'!E:E)),"")</f>
        <v>HOME DEPOT MEXICO SUCURSAL THD-8730 TAMPICO</v>
      </c>
      <c r="F683" s="832" t="s">
        <v>1906</v>
      </c>
      <c r="G683" s="187">
        <v>1</v>
      </c>
      <c r="H683" s="1">
        <v>115.15</v>
      </c>
      <c r="I683" s="169">
        <f>Imput[[#This Row],[Cantidad]]*Imput[[#This Row],[Precio Unitario]]</f>
        <v>115.15</v>
      </c>
      <c r="J683" s="11">
        <f>((Imput[[#This Row],[Sub total]])*(0.16))</f>
        <v>18.424000000000003</v>
      </c>
      <c r="K683" s="11">
        <v>0</v>
      </c>
      <c r="L683" s="169">
        <f>Imput[[#This Row],[Sub total]]+Imput[[#This Row],[IVA]]-Imput[[#This Row],[Retención / IEPS / Descuento]]</f>
        <v>133.57400000000001</v>
      </c>
      <c r="M683" s="844">
        <v>0</v>
      </c>
      <c r="N683" s="189" t="s">
        <v>123</v>
      </c>
      <c r="O683" s="1"/>
      <c r="P683" s="189" t="s">
        <v>1866</v>
      </c>
      <c r="Q683" s="190" t="s">
        <v>1867</v>
      </c>
      <c r="R683" s="188">
        <v>45875</v>
      </c>
      <c r="S683" s="193" t="s">
        <v>126</v>
      </c>
      <c r="T683" s="192"/>
      <c r="U683" s="829"/>
      <c r="V683" s="10"/>
      <c r="W683" s="10"/>
      <c r="X683" s="10"/>
      <c r="Y683" s="10"/>
      <c r="Z683" s="10"/>
      <c r="AA683" s="11"/>
      <c r="AB683" s="11"/>
      <c r="AD683" s="260"/>
    </row>
    <row r="684" spans="2:30" x14ac:dyDescent="0.3">
      <c r="B684" s="10" t="s">
        <v>383</v>
      </c>
      <c r="C684" s="315" t="s">
        <v>2903</v>
      </c>
      <c r="D684" s="868" t="s">
        <v>164</v>
      </c>
      <c r="E684" s="837" t="str">
        <f>IFERROR(IF(_xlfn.XLOOKUP(Imput[[#This Row],[RFC]],'Alta Proveedor'!D:D,'Alta Proveedor'!E:E)=0,"",_xlfn.XLOOKUP(Imput[[#This Row],[RFC]],'Alta Proveedor'!D:D,'Alta Proveedor'!E:E)),"")</f>
        <v>HOME DEPOT MEXICO SUCURSAL THD-8730 TAMPICO</v>
      </c>
      <c r="F684" s="832" t="s">
        <v>285</v>
      </c>
      <c r="G684" s="187">
        <v>2</v>
      </c>
      <c r="H684" s="1">
        <v>57.104999999999997</v>
      </c>
      <c r="I684" s="169">
        <f>Imput[[#This Row],[Cantidad]]*Imput[[#This Row],[Precio Unitario]]</f>
        <v>114.21</v>
      </c>
      <c r="J684" s="11">
        <f>((Imput[[#This Row],[Sub total]])*(0.16))</f>
        <v>18.273599999999998</v>
      </c>
      <c r="K684" s="11">
        <v>0</v>
      </c>
      <c r="L684" s="169">
        <f>Imput[[#This Row],[Sub total]]+Imput[[#This Row],[IVA]]-Imput[[#This Row],[Retención / IEPS / Descuento]]</f>
        <v>132.4836</v>
      </c>
      <c r="M684" s="844">
        <v>0</v>
      </c>
      <c r="N684" s="189" t="s">
        <v>123</v>
      </c>
      <c r="O684" s="1"/>
      <c r="P684" s="189" t="s">
        <v>1866</v>
      </c>
      <c r="Q684" s="190" t="s">
        <v>1867</v>
      </c>
      <c r="R684" s="188">
        <v>45875</v>
      </c>
      <c r="S684" s="193" t="s">
        <v>126</v>
      </c>
      <c r="T684" s="192"/>
      <c r="U684" s="829"/>
      <c r="V684" s="10"/>
      <c r="W684" s="10"/>
      <c r="X684" s="10"/>
      <c r="Y684" s="10"/>
      <c r="Z684" s="10"/>
      <c r="AA684" s="11"/>
      <c r="AB684" s="11"/>
      <c r="AD684" s="260"/>
    </row>
    <row r="685" spans="2:30" x14ac:dyDescent="0.3">
      <c r="B685" s="10" t="s">
        <v>383</v>
      </c>
      <c r="C685" s="315" t="s">
        <v>2903</v>
      </c>
      <c r="D685" s="868" t="s">
        <v>164</v>
      </c>
      <c r="E685" s="837" t="str">
        <f>IFERROR(IF(_xlfn.XLOOKUP(Imput[[#This Row],[RFC]],'Alta Proveedor'!D:D,'Alta Proveedor'!E:E)=0,"",_xlfn.XLOOKUP(Imput[[#This Row],[RFC]],'Alta Proveedor'!D:D,'Alta Proveedor'!E:E)),"")</f>
        <v>HOME DEPOT MEXICO SUCURSAL THD-8730 TAMPICO</v>
      </c>
      <c r="F685" s="832" t="s">
        <v>1907</v>
      </c>
      <c r="G685" s="187">
        <v>1</v>
      </c>
      <c r="H685" s="1">
        <v>89.57</v>
      </c>
      <c r="I685" s="169">
        <f>Imput[[#This Row],[Cantidad]]*Imput[[#This Row],[Precio Unitario]]</f>
        <v>89.57</v>
      </c>
      <c r="J685" s="11">
        <f>((Imput[[#This Row],[Sub total]])*(0.16))</f>
        <v>14.331199999999999</v>
      </c>
      <c r="K685" s="11">
        <v>0</v>
      </c>
      <c r="L685" s="169">
        <f>Imput[[#This Row],[Sub total]]+Imput[[#This Row],[IVA]]-Imput[[#This Row],[Retención / IEPS / Descuento]]</f>
        <v>103.90119999999999</v>
      </c>
      <c r="M685" s="844">
        <v>0</v>
      </c>
      <c r="N685" s="189" t="s">
        <v>123</v>
      </c>
      <c r="O685" s="1"/>
      <c r="P685" s="189" t="s">
        <v>1866</v>
      </c>
      <c r="Q685" s="190" t="s">
        <v>1867</v>
      </c>
      <c r="R685" s="188">
        <v>45875</v>
      </c>
      <c r="S685" s="193" t="s">
        <v>126</v>
      </c>
      <c r="T685" s="192"/>
      <c r="U685" s="829"/>
      <c r="V685" s="10"/>
      <c r="W685" s="10"/>
      <c r="X685" s="10"/>
      <c r="Y685" s="10"/>
      <c r="Z685" s="10"/>
      <c r="AA685" s="11"/>
      <c r="AB685" s="11"/>
      <c r="AD685" s="260"/>
    </row>
    <row r="686" spans="2:30" x14ac:dyDescent="0.3">
      <c r="B686" s="10" t="s">
        <v>383</v>
      </c>
      <c r="C686" s="315" t="s">
        <v>2903</v>
      </c>
      <c r="D686" s="868" t="s">
        <v>164</v>
      </c>
      <c r="E686" s="837" t="str">
        <f>IFERROR(IF(_xlfn.XLOOKUP(Imput[[#This Row],[RFC]],'Alta Proveedor'!D:D,'Alta Proveedor'!E:E)=0,"",_xlfn.XLOOKUP(Imput[[#This Row],[RFC]],'Alta Proveedor'!D:D,'Alta Proveedor'!E:E)),"")</f>
        <v>HOME DEPOT MEXICO SUCURSAL THD-8730 TAMPICO</v>
      </c>
      <c r="F686" s="832" t="s">
        <v>2911</v>
      </c>
      <c r="G686" s="187">
        <v>4</v>
      </c>
      <c r="H686" s="1">
        <v>20.69</v>
      </c>
      <c r="I686" s="169">
        <f>Imput[[#This Row],[Cantidad]]*Imput[[#This Row],[Precio Unitario]]</f>
        <v>82.76</v>
      </c>
      <c r="J686" s="11">
        <f>((Imput[[#This Row],[Sub total]])*(0.16))</f>
        <v>13.241600000000002</v>
      </c>
      <c r="K686" s="11">
        <v>0</v>
      </c>
      <c r="L686" s="169">
        <f>Imput[[#This Row],[Sub total]]+Imput[[#This Row],[IVA]]-Imput[[#This Row],[Retención / IEPS / Descuento]]</f>
        <v>96.00160000000001</v>
      </c>
      <c r="M686" s="844">
        <v>0</v>
      </c>
      <c r="N686" s="189" t="s">
        <v>123</v>
      </c>
      <c r="O686" s="1"/>
      <c r="P686" s="189" t="s">
        <v>1866</v>
      </c>
      <c r="Q686" s="190" t="s">
        <v>1867</v>
      </c>
      <c r="R686" s="188">
        <v>45875</v>
      </c>
      <c r="S686" s="193" t="s">
        <v>126</v>
      </c>
      <c r="T686" s="192"/>
      <c r="U686" s="829"/>
      <c r="V686" s="10"/>
      <c r="W686" s="10"/>
      <c r="X686" s="10"/>
      <c r="Y686" s="10"/>
      <c r="Z686" s="10"/>
      <c r="AA686" s="11"/>
      <c r="AB686" s="11"/>
      <c r="AD686" s="260"/>
    </row>
    <row r="687" spans="2:30" x14ac:dyDescent="0.3">
      <c r="B687" s="10" t="s">
        <v>383</v>
      </c>
      <c r="C687" s="315" t="s">
        <v>1806</v>
      </c>
      <c r="D687" s="868" t="s">
        <v>1857</v>
      </c>
      <c r="E687" s="837" t="str">
        <f>IFERROR(IF(_xlfn.XLOOKUP(Imput[[#This Row],[RFC]],'Alta Proveedor'!D:D,'Alta Proveedor'!E:E)=0,"",_xlfn.XLOOKUP(Imput[[#This Row],[RFC]],'Alta Proveedor'!D:D,'Alta Proveedor'!E:E)),"")</f>
        <v>GASTRONOMIA MEMORABLE DEL SUR DE TAMAULIPAS</v>
      </c>
      <c r="F687" s="832" t="s">
        <v>159</v>
      </c>
      <c r="G687" s="187">
        <v>1</v>
      </c>
      <c r="H687" s="1">
        <v>2424.14</v>
      </c>
      <c r="I687" s="169">
        <f>Imput[[#This Row],[Cantidad]]*Imput[[#This Row],[Precio Unitario]]</f>
        <v>2424.14</v>
      </c>
      <c r="J687" s="11">
        <f>((Imput[[#This Row],[Sub total]])*(0.16))</f>
        <v>387.86239999999998</v>
      </c>
      <c r="K687" s="11">
        <v>0</v>
      </c>
      <c r="L687" s="169">
        <f>Imput[[#This Row],[Sub total]]+Imput[[#This Row],[IVA]]-Imput[[#This Row],[Retención / IEPS / Descuento]]</f>
        <v>2812.0023999999999</v>
      </c>
      <c r="M687" s="844">
        <v>2812.0023999999999</v>
      </c>
      <c r="N687" s="189" t="s">
        <v>123</v>
      </c>
      <c r="O687" s="1"/>
      <c r="P687" s="189" t="s">
        <v>1854</v>
      </c>
      <c r="Q687" s="190" t="s">
        <v>1855</v>
      </c>
      <c r="R687" s="188">
        <v>45875</v>
      </c>
      <c r="S687" s="193" t="s">
        <v>126</v>
      </c>
      <c r="T687" s="192"/>
      <c r="U687" s="829"/>
      <c r="V687" s="10"/>
      <c r="W687" s="10"/>
      <c r="X687" s="10"/>
      <c r="Y687" s="10"/>
      <c r="Z687" s="10"/>
      <c r="AA687" s="11"/>
      <c r="AB687" s="11"/>
      <c r="AD687" s="260"/>
    </row>
    <row r="688" spans="2:30" x14ac:dyDescent="0.3">
      <c r="B688" s="10" t="s">
        <v>383</v>
      </c>
      <c r="C688" s="315" t="s">
        <v>1806</v>
      </c>
      <c r="D688" s="868" t="s">
        <v>1365</v>
      </c>
      <c r="E688" s="837" t="str">
        <f>IFERROR(IF(_xlfn.XLOOKUP(Imput[[#This Row],[RFC]],'Alta Proveedor'!D:D,'Alta Proveedor'!E:E)=0,"",_xlfn.XLOOKUP(Imput[[#This Row],[RFC]],'Alta Proveedor'!D:D,'Alta Proveedor'!E:E)),"")</f>
        <v>HOTEL MANTE</v>
      </c>
      <c r="F688" s="832" t="s">
        <v>159</v>
      </c>
      <c r="G688" s="187">
        <v>1</v>
      </c>
      <c r="H688" s="1">
        <v>142.84</v>
      </c>
      <c r="I688" s="169">
        <f>Imput[[#This Row],[Cantidad]]*Imput[[#This Row],[Precio Unitario]]</f>
        <v>142.84</v>
      </c>
      <c r="J688" s="11">
        <f>((Imput[[#This Row],[Sub total]])*(0.16))</f>
        <v>22.854400000000002</v>
      </c>
      <c r="K688" s="11">
        <v>0</v>
      </c>
      <c r="L688" s="169">
        <f>Imput[[#This Row],[Sub total]]+Imput[[#This Row],[IVA]]-Imput[[#This Row],[Retención / IEPS / Descuento]]</f>
        <v>165.6944</v>
      </c>
      <c r="M688" s="844">
        <v>190.55439999999999</v>
      </c>
      <c r="N688" s="189" t="s">
        <v>123</v>
      </c>
      <c r="O688" s="1"/>
      <c r="P688" s="189" t="s">
        <v>1921</v>
      </c>
      <c r="Q688" s="190" t="s">
        <v>1922</v>
      </c>
      <c r="R688" s="188">
        <v>45875</v>
      </c>
      <c r="S688" s="193" t="s">
        <v>126</v>
      </c>
      <c r="T688" s="192"/>
      <c r="U688" s="829"/>
      <c r="V688" s="10"/>
      <c r="W688" s="10"/>
      <c r="X688" s="10"/>
      <c r="Y688" s="10"/>
      <c r="Z688" s="10"/>
      <c r="AA688" s="11"/>
      <c r="AB688" s="11"/>
      <c r="AD688" s="260"/>
    </row>
    <row r="689" spans="2:30" x14ac:dyDescent="0.3">
      <c r="B689" s="10" t="s">
        <v>383</v>
      </c>
      <c r="C689" s="315" t="s">
        <v>1806</v>
      </c>
      <c r="D689" s="868" t="s">
        <v>1365</v>
      </c>
      <c r="E689" s="837" t="str">
        <f>IFERROR(IF(_xlfn.XLOOKUP(Imput[[#This Row],[RFC]],'Alta Proveedor'!D:D,'Alta Proveedor'!E:E)=0,"",_xlfn.XLOOKUP(Imput[[#This Row],[RFC]],'Alta Proveedor'!D:D,'Alta Proveedor'!E:E)),"")</f>
        <v>HOTEL MANTE</v>
      </c>
      <c r="F689" s="832" t="s">
        <v>1914</v>
      </c>
      <c r="G689" s="187">
        <v>1</v>
      </c>
      <c r="H689" s="1">
        <v>24.86</v>
      </c>
      <c r="I689" s="169">
        <f>Imput[[#This Row],[Cantidad]]*Imput[[#This Row],[Precio Unitario]]</f>
        <v>24.86</v>
      </c>
      <c r="J689" s="11">
        <v>0</v>
      </c>
      <c r="K689" s="11">
        <v>0</v>
      </c>
      <c r="L689" s="169">
        <f>Imput[[#This Row],[Sub total]]+Imput[[#This Row],[IVA]]-Imput[[#This Row],[Retención / IEPS / Descuento]]</f>
        <v>24.86</v>
      </c>
      <c r="M689" s="844">
        <v>0</v>
      </c>
      <c r="N689" s="189" t="s">
        <v>123</v>
      </c>
      <c r="O689" s="1"/>
      <c r="P689" s="189" t="s">
        <v>1921</v>
      </c>
      <c r="Q689" s="190" t="s">
        <v>1922</v>
      </c>
      <c r="R689" s="188">
        <v>45875</v>
      </c>
      <c r="S689" s="193" t="s">
        <v>126</v>
      </c>
      <c r="T689" s="192"/>
      <c r="U689" s="829"/>
      <c r="V689" s="10"/>
      <c r="W689" s="10"/>
      <c r="X689" s="10"/>
      <c r="Y689" s="10"/>
      <c r="Z689" s="10"/>
      <c r="AA689" s="11"/>
      <c r="AB689" s="11"/>
      <c r="AD689" s="260"/>
    </row>
    <row r="690" spans="2:30" x14ac:dyDescent="0.3">
      <c r="B690" s="10" t="s">
        <v>383</v>
      </c>
      <c r="C690" s="315" t="s">
        <v>1747</v>
      </c>
      <c r="D690" s="868" t="s">
        <v>1365</v>
      </c>
      <c r="E690" s="837" t="str">
        <f>IFERROR(IF(_xlfn.XLOOKUP(Imput[[#This Row],[RFC]],'Alta Proveedor'!D:D,'Alta Proveedor'!E:E)=0,"",_xlfn.XLOOKUP(Imput[[#This Row],[RFC]],'Alta Proveedor'!D:D,'Alta Proveedor'!E:E)),"")</f>
        <v>HOTEL MANTE</v>
      </c>
      <c r="F690" s="832" t="s">
        <v>1482</v>
      </c>
      <c r="G690" s="187">
        <v>2</v>
      </c>
      <c r="H690" s="1">
        <v>882.35294099999999</v>
      </c>
      <c r="I690" s="169">
        <f>Imput[[#This Row],[Cantidad]]*Imput[[#This Row],[Precio Unitario]]</f>
        <v>1764.705882</v>
      </c>
      <c r="J690" s="11">
        <f>((Imput[[#This Row],[Sub total]])*(0.16))+52.94</f>
        <v>335.29294112000002</v>
      </c>
      <c r="K690" s="11">
        <v>0</v>
      </c>
      <c r="L690" s="169">
        <f>Imput[[#This Row],[Sub total]]+Imput[[#This Row],[IVA]]-Imput[[#This Row],[Retención / IEPS / Descuento]]</f>
        <v>2099.99882312</v>
      </c>
      <c r="M690" s="844">
        <v>2099.99882312</v>
      </c>
      <c r="N690" s="189" t="s">
        <v>123</v>
      </c>
      <c r="O690" s="1"/>
      <c r="P690" s="189" t="s">
        <v>1933</v>
      </c>
      <c r="Q690" s="190" t="s">
        <v>1934</v>
      </c>
      <c r="R690" s="188">
        <v>45875</v>
      </c>
      <c r="S690" s="193" t="s">
        <v>126</v>
      </c>
      <c r="T690" s="192"/>
      <c r="U690" s="829"/>
      <c r="V690" s="10"/>
      <c r="W690" s="10"/>
      <c r="X690" s="10"/>
      <c r="Y690" s="10"/>
      <c r="Z690" s="10"/>
      <c r="AA690" s="11"/>
      <c r="AB690" s="11"/>
      <c r="AD690" s="260"/>
    </row>
    <row r="691" spans="2:30" x14ac:dyDescent="0.3">
      <c r="B691" s="10" t="s">
        <v>383</v>
      </c>
      <c r="C691" s="315" t="s">
        <v>1806</v>
      </c>
      <c r="D691" s="868" t="s">
        <v>1415</v>
      </c>
      <c r="E691" s="837" t="str">
        <f>IFERROR(IF(_xlfn.XLOOKUP(Imput[[#This Row],[RFC]],'Alta Proveedor'!D:D,'Alta Proveedor'!E:E)=0,"",_xlfn.XLOOKUP(Imput[[#This Row],[RFC]],'Alta Proveedor'!D:D,'Alta Proveedor'!E:E)),"")</f>
        <v>PEDRO ANTONIO ACEVES YAPUR "MIL HORNOS" (RESTAURANTE)</v>
      </c>
      <c r="F691" s="832" t="s">
        <v>159</v>
      </c>
      <c r="G691" s="187">
        <v>1</v>
      </c>
      <c r="H691" s="1">
        <v>908.63</v>
      </c>
      <c r="I691" s="169">
        <f>Imput[[#This Row],[Cantidad]]*Imput[[#This Row],[Precio Unitario]]</f>
        <v>908.63</v>
      </c>
      <c r="J691" s="11">
        <f>((Imput[[#This Row],[Sub total]])*(0.16))</f>
        <v>145.38079999999999</v>
      </c>
      <c r="K691" s="11">
        <v>0</v>
      </c>
      <c r="L691" s="169">
        <f>Imput[[#This Row],[Sub total]]+Imput[[#This Row],[IVA]]-Imput[[#This Row],[Retención / IEPS / Descuento]]</f>
        <v>1054.0108</v>
      </c>
      <c r="M691" s="844">
        <v>1054.0108</v>
      </c>
      <c r="N691" s="189" t="s">
        <v>123</v>
      </c>
      <c r="O691" s="1"/>
      <c r="P691" s="189" t="s">
        <v>1518</v>
      </c>
      <c r="Q691" s="190" t="s">
        <v>1519</v>
      </c>
      <c r="R691" s="188">
        <v>45875</v>
      </c>
      <c r="S691" s="193" t="s">
        <v>126</v>
      </c>
      <c r="T691" s="192"/>
      <c r="U691" s="829"/>
      <c r="V691" s="10"/>
      <c r="W691" s="10"/>
      <c r="X691" s="10"/>
      <c r="Y691" s="10"/>
      <c r="Z691" s="10"/>
      <c r="AA691" s="11"/>
      <c r="AB691" s="11"/>
      <c r="AD691" s="260"/>
    </row>
    <row r="692" spans="2:30" x14ac:dyDescent="0.3">
      <c r="B692" s="10" t="s">
        <v>383</v>
      </c>
      <c r="C692" s="315" t="s">
        <v>1767</v>
      </c>
      <c r="D692" s="868" t="s">
        <v>1553</v>
      </c>
      <c r="E692" s="837" t="str">
        <f>IFERROR(IF(_xlfn.XLOOKUP(Imput[[#This Row],[RFC]],'Alta Proveedor'!D:D,'Alta Proveedor'!E:E)=0,"",_xlfn.XLOOKUP(Imput[[#This Row],[RFC]],'Alta Proveedor'!D:D,'Alta Proveedor'!E:E)),"")</f>
        <v>COMERCIALIZADORA DE COMBUSTIBLES TAMAULIPECA "NEXUM" (COMBUSTIBLES)</v>
      </c>
      <c r="F692" s="832" t="s">
        <v>237</v>
      </c>
      <c r="G692" s="187">
        <v>36.686999999999998</v>
      </c>
      <c r="H692" s="1">
        <v>20.759599999999999</v>
      </c>
      <c r="I692" s="169">
        <f>Imput[[#This Row],[Cantidad]]*Imput[[#This Row],[Precio Unitario]]</f>
        <v>761.60744519999992</v>
      </c>
      <c r="J692" s="11">
        <f>((740.7)*(0.16))</f>
        <v>118.51200000000001</v>
      </c>
      <c r="K692" s="11">
        <v>0</v>
      </c>
      <c r="L692" s="169">
        <f>Imput[[#This Row],[Sub total]]+Imput[[#This Row],[IVA]]-Imput[[#This Row],[Retención / IEPS / Descuento]]</f>
        <v>880.11944519999997</v>
      </c>
      <c r="M692" s="844">
        <v>880.11944519999997</v>
      </c>
      <c r="N692" s="189" t="s">
        <v>123</v>
      </c>
      <c r="O692" s="1"/>
      <c r="P692" s="189" t="s">
        <v>1555</v>
      </c>
      <c r="Q692" s="190" t="s">
        <v>1556</v>
      </c>
      <c r="R692" s="188">
        <v>45875</v>
      </c>
      <c r="S692" s="193" t="s">
        <v>126</v>
      </c>
      <c r="T692" s="192"/>
      <c r="U692" s="829"/>
      <c r="V692" s="10"/>
      <c r="W692" s="10"/>
      <c r="X692" s="10"/>
      <c r="Y692" s="10"/>
      <c r="Z692" s="10"/>
      <c r="AA692" s="11"/>
      <c r="AB692" s="11"/>
      <c r="AD692" s="260"/>
    </row>
    <row r="693" spans="2:30" x14ac:dyDescent="0.3">
      <c r="B693" s="10" t="s">
        <v>383</v>
      </c>
      <c r="C693" s="315" t="s">
        <v>1807</v>
      </c>
      <c r="D693" s="868" t="s">
        <v>3225</v>
      </c>
      <c r="E693" s="837" t="str">
        <f>IFERROR(IF(_xlfn.XLOOKUP(Imput[[#This Row],[RFC]],'Alta Proveedor'!D:D,'Alta Proveedor'!E:E)=0,"",_xlfn.XLOOKUP(Imput[[#This Row],[RFC]],'Alta Proveedor'!D:D,'Alta Proveedor'!E:E)),"")</f>
        <v>GASTOS SIN FACTURA</v>
      </c>
      <c r="F693" s="836" t="s">
        <v>3209</v>
      </c>
      <c r="G693" s="187">
        <v>1</v>
      </c>
      <c r="H693" s="1">
        <v>2500</v>
      </c>
      <c r="I693" s="169">
        <f>Imput[[#This Row],[Cantidad]]*Imput[[#This Row],[Precio Unitario]]</f>
        <v>2500</v>
      </c>
      <c r="J693" s="11">
        <f>Imput[[#This Row],[Sub total]]*0.08</f>
        <v>200</v>
      </c>
      <c r="K693" s="11">
        <v>0</v>
      </c>
      <c r="L693" s="169">
        <f>Imput[[#This Row],[Sub total]]+Imput[[#This Row],[IVA]]-Imput[[#This Row],[Retención / IEPS / Descuento]]</f>
        <v>2700</v>
      </c>
      <c r="M693" s="844">
        <v>2700</v>
      </c>
      <c r="N693" s="189"/>
      <c r="O693" s="1"/>
      <c r="P693" s="189"/>
      <c r="Q693" s="190"/>
      <c r="R693" s="188">
        <v>45875</v>
      </c>
      <c r="S693" s="193"/>
      <c r="T693" s="192"/>
      <c r="U693" s="867" t="s">
        <v>3225</v>
      </c>
      <c r="V693" s="10"/>
      <c r="W693" s="10"/>
      <c r="X693" s="10"/>
      <c r="Y693" s="10"/>
      <c r="Z693" s="10"/>
      <c r="AA693" s="11"/>
      <c r="AB693" s="11"/>
      <c r="AD693" s="260"/>
    </row>
    <row r="694" spans="2:30" x14ac:dyDescent="0.3">
      <c r="B694" s="10" t="s">
        <v>383</v>
      </c>
      <c r="C694" s="315" t="s">
        <v>1747</v>
      </c>
      <c r="D694" s="868" t="s">
        <v>3225</v>
      </c>
      <c r="E694" s="837" t="str">
        <f>IFERROR(IF(_xlfn.XLOOKUP(Imput[[#This Row],[RFC]],'Alta Proveedor'!D:D,'Alta Proveedor'!E:E)=0,"",_xlfn.XLOOKUP(Imput[[#This Row],[RFC]],'Alta Proveedor'!D:D,'Alta Proveedor'!E:E)),"")</f>
        <v>GASTOS SIN FACTURA</v>
      </c>
      <c r="F694" s="836" t="s">
        <v>3210</v>
      </c>
      <c r="G694" s="187">
        <v>1</v>
      </c>
      <c r="H694" s="1">
        <v>3600</v>
      </c>
      <c r="I694" s="169">
        <f>Imput[[#This Row],[Cantidad]]*Imput[[#This Row],[Precio Unitario]]</f>
        <v>3600</v>
      </c>
      <c r="J694" s="11">
        <f>Imput[[#This Row],[Sub total]]*0.08</f>
        <v>288</v>
      </c>
      <c r="K694" s="11">
        <v>0</v>
      </c>
      <c r="L694" s="169">
        <f>Imput[[#This Row],[Sub total]]+Imput[[#This Row],[IVA]]-Imput[[#This Row],[Retención / IEPS / Descuento]]</f>
        <v>3888</v>
      </c>
      <c r="M694" s="844">
        <v>3888</v>
      </c>
      <c r="N694" s="189"/>
      <c r="O694" s="1"/>
      <c r="P694" s="189"/>
      <c r="Q694" s="190"/>
      <c r="R694" s="188">
        <v>45875</v>
      </c>
      <c r="S694" s="193"/>
      <c r="T694" s="192"/>
      <c r="U694" s="867" t="s">
        <v>3225</v>
      </c>
      <c r="V694" s="10"/>
      <c r="W694" s="10"/>
      <c r="X694" s="10"/>
      <c r="Y694" s="10"/>
      <c r="Z694" s="10"/>
      <c r="AA694" s="11"/>
      <c r="AB694" s="11"/>
      <c r="AD694" s="260"/>
    </row>
    <row r="695" spans="2:30" x14ac:dyDescent="0.3">
      <c r="B695" s="10" t="s">
        <v>383</v>
      </c>
      <c r="C695" s="315" t="s">
        <v>1765</v>
      </c>
      <c r="D695" s="868" t="s">
        <v>3225</v>
      </c>
      <c r="E695" s="837" t="str">
        <f>IFERROR(IF(_xlfn.XLOOKUP(Imput[[#This Row],[RFC]],'Alta Proveedor'!D:D,'Alta Proveedor'!E:E)=0,"",_xlfn.XLOOKUP(Imput[[#This Row],[RFC]],'Alta Proveedor'!D:D,'Alta Proveedor'!E:E)),"")</f>
        <v>GASTOS SIN FACTURA</v>
      </c>
      <c r="F695" s="836" t="s">
        <v>3207</v>
      </c>
      <c r="G695" s="187">
        <v>1</v>
      </c>
      <c r="H695" s="1">
        <v>2400</v>
      </c>
      <c r="I695" s="169">
        <f>Imput[[#This Row],[Cantidad]]*Imput[[#This Row],[Precio Unitario]]</f>
        <v>2400</v>
      </c>
      <c r="J695" s="11">
        <f>Imput[[#This Row],[Sub total]]*0.08</f>
        <v>192</v>
      </c>
      <c r="K695" s="11">
        <v>0</v>
      </c>
      <c r="L695" s="169">
        <f>Imput[[#This Row],[Sub total]]+Imput[[#This Row],[IVA]]-Imput[[#This Row],[Retención / IEPS / Descuento]]</f>
        <v>2592</v>
      </c>
      <c r="M695" s="844">
        <v>2592</v>
      </c>
      <c r="N695" s="189"/>
      <c r="O695" s="1"/>
      <c r="P695" s="189"/>
      <c r="Q695" s="190"/>
      <c r="R695" s="188">
        <v>45875</v>
      </c>
      <c r="S695" s="193"/>
      <c r="T695" s="192"/>
      <c r="U695" s="867" t="s">
        <v>3225</v>
      </c>
      <c r="V695" s="10"/>
      <c r="W695" s="10"/>
      <c r="X695" s="10"/>
      <c r="Y695" s="10"/>
      <c r="Z695" s="10"/>
      <c r="AA695" s="11"/>
      <c r="AB695" s="11"/>
      <c r="AD695" s="260"/>
    </row>
    <row r="696" spans="2:30" x14ac:dyDescent="0.3">
      <c r="B696" s="10" t="s">
        <v>383</v>
      </c>
      <c r="C696" s="315" t="s">
        <v>1806</v>
      </c>
      <c r="D696" s="868" t="s">
        <v>1415</v>
      </c>
      <c r="E696" s="837" t="str">
        <f>IFERROR(IF(_xlfn.XLOOKUP(Imput[[#This Row],[RFC]],'Alta Proveedor'!D:D,'Alta Proveedor'!E:E)=0,"",_xlfn.XLOOKUP(Imput[[#This Row],[RFC]],'Alta Proveedor'!D:D,'Alta Proveedor'!E:E)),"")</f>
        <v>PEDRO ANTONIO ACEVES YAPUR "MIL HORNOS" (RESTAURANTE)</v>
      </c>
      <c r="F696" s="832" t="s">
        <v>159</v>
      </c>
      <c r="G696" s="187">
        <v>1</v>
      </c>
      <c r="H696" s="1">
        <v>878.45</v>
      </c>
      <c r="I696" s="169">
        <f>Imput[[#This Row],[Cantidad]]*Imput[[#This Row],[Precio Unitario]]</f>
        <v>878.45</v>
      </c>
      <c r="J696" s="11">
        <f>((Imput[[#This Row],[Sub total]]-142.23)*(0.16))</f>
        <v>117.79520000000001</v>
      </c>
      <c r="K696" s="11">
        <v>142.22999999999999</v>
      </c>
      <c r="L696" s="169">
        <f>Imput[[#This Row],[Sub total]]+Imput[[#This Row],[IVA]]-Imput[[#This Row],[Retención / IEPS / Descuento]]</f>
        <v>854.01520000000005</v>
      </c>
      <c r="M696" s="844">
        <v>854.01520000000005</v>
      </c>
      <c r="N696" s="189" t="s">
        <v>123</v>
      </c>
      <c r="O696" s="1"/>
      <c r="P696" s="189" t="s">
        <v>1520</v>
      </c>
      <c r="Q696" s="190" t="s">
        <v>1521</v>
      </c>
      <c r="R696" s="188">
        <v>45876</v>
      </c>
      <c r="S696" s="193" t="s">
        <v>126</v>
      </c>
      <c r="T696" s="192"/>
      <c r="U696" s="829"/>
      <c r="V696" s="10"/>
      <c r="W696" s="10"/>
      <c r="X696" s="10"/>
      <c r="Y696" s="10"/>
      <c r="Z696" s="10"/>
      <c r="AA696" s="11"/>
      <c r="AB696" s="11"/>
      <c r="AD696" s="260"/>
    </row>
    <row r="697" spans="2:30" x14ac:dyDescent="0.3">
      <c r="B697" s="10" t="s">
        <v>383</v>
      </c>
      <c r="C697" s="315" t="s">
        <v>1806</v>
      </c>
      <c r="D697" s="868" t="s">
        <v>1365</v>
      </c>
      <c r="E697" s="837" t="str">
        <f>IFERROR(IF(_xlfn.XLOOKUP(Imput[[#This Row],[RFC]],'Alta Proveedor'!D:D,'Alta Proveedor'!E:E)=0,"",_xlfn.XLOOKUP(Imput[[#This Row],[RFC]],'Alta Proveedor'!D:D,'Alta Proveedor'!E:E)),"")</f>
        <v>HOTEL MANTE</v>
      </c>
      <c r="F697" s="832" t="s">
        <v>159</v>
      </c>
      <c r="G697" s="187">
        <v>1</v>
      </c>
      <c r="H697" s="1">
        <v>700.6</v>
      </c>
      <c r="I697" s="169">
        <f>Imput[[#This Row],[Cantidad]]*Imput[[#This Row],[Precio Unitario]]</f>
        <v>700.6</v>
      </c>
      <c r="J697" s="11">
        <f>((Imput[[#This Row],[Sub total]])*(0.16))</f>
        <v>112.096</v>
      </c>
      <c r="K697" s="11">
        <v>0</v>
      </c>
      <c r="L697" s="169">
        <f>Imput[[#This Row],[Sub total]]+Imput[[#This Row],[IVA]]-Imput[[#This Row],[Retención / IEPS / Descuento]]</f>
        <v>812.69600000000003</v>
      </c>
      <c r="M697" s="844">
        <v>934.596</v>
      </c>
      <c r="N697" s="189" t="s">
        <v>123</v>
      </c>
      <c r="O697" s="1"/>
      <c r="P697" s="189" t="s">
        <v>1923</v>
      </c>
      <c r="Q697" s="190" t="s">
        <v>1924</v>
      </c>
      <c r="R697" s="188">
        <v>45876</v>
      </c>
      <c r="S697" s="193" t="s">
        <v>126</v>
      </c>
      <c r="T697" s="192"/>
      <c r="U697" s="829"/>
      <c r="V697" s="10"/>
      <c r="W697" s="10"/>
      <c r="X697" s="10"/>
      <c r="Y697" s="10"/>
      <c r="Z697" s="10"/>
      <c r="AA697" s="11"/>
      <c r="AB697" s="11"/>
      <c r="AD697" s="260"/>
    </row>
    <row r="698" spans="2:30" x14ac:dyDescent="0.3">
      <c r="B698" s="10" t="s">
        <v>383</v>
      </c>
      <c r="C698" s="315" t="s">
        <v>1806</v>
      </c>
      <c r="D698" s="868" t="s">
        <v>1365</v>
      </c>
      <c r="E698" s="837" t="str">
        <f>IFERROR(IF(_xlfn.XLOOKUP(Imput[[#This Row],[RFC]],'Alta Proveedor'!D:D,'Alta Proveedor'!E:E)=0,"",_xlfn.XLOOKUP(Imput[[#This Row],[RFC]],'Alta Proveedor'!D:D,'Alta Proveedor'!E:E)),"")</f>
        <v>HOTEL MANTE</v>
      </c>
      <c r="F698" s="832" t="s">
        <v>1914</v>
      </c>
      <c r="G698" s="187">
        <v>1</v>
      </c>
      <c r="H698" s="1">
        <v>121.9</v>
      </c>
      <c r="I698" s="169">
        <f>Imput[[#This Row],[Cantidad]]*Imput[[#This Row],[Precio Unitario]]</f>
        <v>121.9</v>
      </c>
      <c r="J698" s="11">
        <v>0</v>
      </c>
      <c r="K698" s="11">
        <v>0</v>
      </c>
      <c r="L698" s="169">
        <f>Imput[[#This Row],[Sub total]]+Imput[[#This Row],[IVA]]-Imput[[#This Row],[Retención / IEPS / Descuento]]</f>
        <v>121.9</v>
      </c>
      <c r="M698" s="844">
        <v>0</v>
      </c>
      <c r="N698" s="189" t="s">
        <v>123</v>
      </c>
      <c r="O698" s="1"/>
      <c r="P698" s="189" t="s">
        <v>1923</v>
      </c>
      <c r="Q698" s="190" t="s">
        <v>1924</v>
      </c>
      <c r="R698" s="188">
        <v>45876</v>
      </c>
      <c r="S698" s="193" t="s">
        <v>126</v>
      </c>
      <c r="T698" s="192"/>
      <c r="U698" s="829"/>
      <c r="V698" s="10"/>
      <c r="W698" s="10"/>
      <c r="X698" s="10"/>
      <c r="Y698" s="10"/>
      <c r="Z698" s="10"/>
      <c r="AA698" s="11"/>
      <c r="AB698" s="11"/>
      <c r="AD698" s="260"/>
    </row>
    <row r="699" spans="2:30" x14ac:dyDescent="0.3">
      <c r="B699" s="10" t="s">
        <v>383</v>
      </c>
      <c r="C699" s="315" t="s">
        <v>1769</v>
      </c>
      <c r="D699" s="868" t="s">
        <v>1412</v>
      </c>
      <c r="E699" s="837" t="str">
        <f>IFERROR(IF(_xlfn.XLOOKUP(Imput[[#This Row],[RFC]],'Alta Proveedor'!D:D,'Alta Proveedor'!E:E)=0,"",_xlfn.XLOOKUP(Imput[[#This Row],[RFC]],'Alta Proveedor'!D:D,'Alta Proveedor'!E:E)),"")</f>
        <v>TIENDAS GRAN D</v>
      </c>
      <c r="F699" s="832" t="s">
        <v>1726</v>
      </c>
      <c r="G699" s="187">
        <v>4</v>
      </c>
      <c r="H699" s="1">
        <v>28.9</v>
      </c>
      <c r="I699" s="169">
        <f>Imput[[#This Row],[Cantidad]]*Imput[[#This Row],[Precio Unitario]]</f>
        <v>115.6</v>
      </c>
      <c r="J699" s="11">
        <v>0</v>
      </c>
      <c r="K699" s="11">
        <v>0</v>
      </c>
      <c r="L699" s="169">
        <f>Imput[[#This Row],[Sub total]]+Imput[[#This Row],[IVA]]-Imput[[#This Row],[Retención / IEPS / Descuento]]</f>
        <v>115.6</v>
      </c>
      <c r="M699" s="844">
        <v>115.6</v>
      </c>
      <c r="N699" s="189" t="s">
        <v>123</v>
      </c>
      <c r="O699" s="1"/>
      <c r="P699" s="189" t="s">
        <v>1993</v>
      </c>
      <c r="Q699" s="190" t="s">
        <v>1994</v>
      </c>
      <c r="R699" s="188">
        <v>45876</v>
      </c>
      <c r="S699" s="193" t="s">
        <v>126</v>
      </c>
      <c r="T699" s="192"/>
      <c r="U699" s="829"/>
      <c r="V699" s="10"/>
      <c r="W699" s="10"/>
      <c r="X699" s="10"/>
      <c r="Y699" s="10"/>
      <c r="Z699" s="10"/>
      <c r="AA699" s="11"/>
      <c r="AB699" s="11"/>
      <c r="AD699" s="260"/>
    </row>
    <row r="700" spans="2:30" x14ac:dyDescent="0.3">
      <c r="B700" s="10" t="s">
        <v>383</v>
      </c>
      <c r="C700" s="315" t="s">
        <v>1769</v>
      </c>
      <c r="D700" s="868" t="s">
        <v>1499</v>
      </c>
      <c r="E700" s="837" t="str">
        <f>IFERROR(IF(_xlfn.XLOOKUP(Imput[[#This Row],[RFC]],'Alta Proveedor'!D:D,'Alta Proveedor'!E:E)=0,"",_xlfn.XLOOKUP(Imput[[#This Row],[RFC]],'Alta Proveedor'!D:D,'Alta Proveedor'!E:E)),"")</f>
        <v>TRANSPAIS UNICO (TRANSPORTE PASAJEROS)</v>
      </c>
      <c r="F700" s="832" t="s">
        <v>3495</v>
      </c>
      <c r="G700" s="187">
        <v>1</v>
      </c>
      <c r="H700" s="1">
        <v>276.72000000000003</v>
      </c>
      <c r="I700" s="169">
        <f>Imput[[#This Row],[Cantidad]]*Imput[[#This Row],[Precio Unitario]]</f>
        <v>276.72000000000003</v>
      </c>
      <c r="J700" s="11">
        <f>((Imput[[#This Row],[Sub total]])*(0.16))</f>
        <v>44.275200000000005</v>
      </c>
      <c r="K700" s="11">
        <v>0</v>
      </c>
      <c r="L700" s="169">
        <f>Imput[[#This Row],[Sub total]]+Imput[[#This Row],[IVA]]-Imput[[#This Row],[Retención / IEPS / Descuento]]</f>
        <v>320.99520000000001</v>
      </c>
      <c r="M700" s="844">
        <v>320.99520000000001</v>
      </c>
      <c r="N700" s="189" t="s">
        <v>123</v>
      </c>
      <c r="O700" s="1"/>
      <c r="P700" s="189" t="s">
        <v>2018</v>
      </c>
      <c r="Q700" s="190" t="s">
        <v>2019</v>
      </c>
      <c r="R700" s="188">
        <v>45876</v>
      </c>
      <c r="S700" s="193" t="s">
        <v>126</v>
      </c>
      <c r="T700" s="192"/>
      <c r="U700" s="829"/>
      <c r="V700" s="10"/>
      <c r="W700" s="10"/>
      <c r="X700" s="10"/>
      <c r="Y700" s="10"/>
      <c r="Z700" s="10"/>
      <c r="AA700" s="11"/>
      <c r="AB700" s="11"/>
      <c r="AD700" s="260"/>
    </row>
    <row r="701" spans="2:30" x14ac:dyDescent="0.3">
      <c r="B701" s="10" t="s">
        <v>383</v>
      </c>
      <c r="C701" s="315" t="s">
        <v>1767</v>
      </c>
      <c r="D701" s="868" t="s">
        <v>1967</v>
      </c>
      <c r="E701" s="837" t="str">
        <f>IFERROR(IF(_xlfn.XLOOKUP(Imput[[#This Row],[RFC]],'Alta Proveedor'!D:D,'Alta Proveedor'!E:E)=0,"",_xlfn.XLOOKUP(Imput[[#This Row],[RFC]],'Alta Proveedor'!D:D,'Alta Proveedor'!E:E)),"")</f>
        <v>14282 - PITS ABASTECIMIENTOS "GASOFAC" (COMBUSTIBLES)</v>
      </c>
      <c r="F701" s="832" t="s">
        <v>237</v>
      </c>
      <c r="G701" s="187">
        <v>20.919969999999999</v>
      </c>
      <c r="H701" s="1">
        <v>21.190757000000001</v>
      </c>
      <c r="I701" s="169">
        <f>Imput[[#This Row],[Cantidad]]*Imput[[#This Row],[Precio Unitario]]</f>
        <v>443.31000071729</v>
      </c>
      <c r="J701" s="11">
        <v>69.02</v>
      </c>
      <c r="K701" s="11">
        <v>0</v>
      </c>
      <c r="L701" s="169">
        <f>Imput[[#This Row],[Sub total]]+Imput[[#This Row],[IVA]]-Imput[[#This Row],[Retención / IEPS / Descuento]]</f>
        <v>512.33000071728998</v>
      </c>
      <c r="M701" s="844">
        <v>512.33000071728998</v>
      </c>
      <c r="N701" s="189" t="s">
        <v>123</v>
      </c>
      <c r="O701" s="1"/>
      <c r="P701" s="189" t="s">
        <v>1965</v>
      </c>
      <c r="Q701" s="190" t="s">
        <v>1966</v>
      </c>
      <c r="R701" s="188">
        <v>45876</v>
      </c>
      <c r="S701" s="193" t="s">
        <v>126</v>
      </c>
      <c r="T701" s="192"/>
      <c r="U701" s="829"/>
      <c r="V701" s="10"/>
      <c r="W701" s="10"/>
      <c r="X701" s="10"/>
      <c r="Y701" s="10"/>
      <c r="Z701" s="10"/>
      <c r="AA701" s="11"/>
      <c r="AB701" s="11"/>
      <c r="AD701" s="260"/>
    </row>
    <row r="702" spans="2:30" x14ac:dyDescent="0.3">
      <c r="B702" s="10" t="s">
        <v>383</v>
      </c>
      <c r="C702" s="315" t="s">
        <v>1806</v>
      </c>
      <c r="D702" s="868" t="s">
        <v>1510</v>
      </c>
      <c r="E702" s="837" t="str">
        <f>IFERROR(IF(_xlfn.XLOOKUP(Imput[[#This Row],[RFC]],'Alta Proveedor'!D:D,'Alta Proveedor'!E:E)=0,"",_xlfn.XLOOKUP(Imput[[#This Row],[RFC]],'Alta Proveedor'!D:D,'Alta Proveedor'!E:E)),"")</f>
        <v>GRUPO RESTAURANTERO SUPERNOVA "MEZZÈ" (RESTAURANTE)</v>
      </c>
      <c r="F702" s="832" t="s">
        <v>159</v>
      </c>
      <c r="G702" s="187">
        <v>1</v>
      </c>
      <c r="H702" s="1">
        <v>3646.55</v>
      </c>
      <c r="I702" s="169">
        <f>Imput[[#This Row],[Cantidad]]*Imput[[#This Row],[Precio Unitario]]</f>
        <v>3646.55</v>
      </c>
      <c r="J702" s="11">
        <f>((Imput[[#This Row],[Sub total]])*(0.16))</f>
        <v>583.44800000000009</v>
      </c>
      <c r="K702" s="11">
        <v>0</v>
      </c>
      <c r="L702" s="169">
        <f>Imput[[#This Row],[Sub total]]+Imput[[#This Row],[IVA]]-Imput[[#This Row],[Retención / IEPS / Descuento]]</f>
        <v>4229.9980000000005</v>
      </c>
      <c r="M702" s="844">
        <v>4229.9980000000005</v>
      </c>
      <c r="N702" s="189" t="s">
        <v>123</v>
      </c>
      <c r="O702" s="1"/>
      <c r="P702" s="189" t="s">
        <v>1508</v>
      </c>
      <c r="Q702" s="190" t="s">
        <v>1509</v>
      </c>
      <c r="R702" s="188">
        <v>45877</v>
      </c>
      <c r="S702" s="193" t="s">
        <v>126</v>
      </c>
      <c r="T702" s="192"/>
      <c r="U702" s="829"/>
      <c r="V702" s="10"/>
      <c r="W702" s="10"/>
      <c r="X702" s="10"/>
      <c r="Y702" s="10"/>
      <c r="Z702" s="10"/>
      <c r="AA702" s="11"/>
      <c r="AB702" s="11"/>
      <c r="AD702" s="260"/>
    </row>
    <row r="703" spans="2:30" x14ac:dyDescent="0.3">
      <c r="B703" s="10" t="s">
        <v>383</v>
      </c>
      <c r="C703" s="315" t="s">
        <v>2335</v>
      </c>
      <c r="D703" s="868" t="s">
        <v>3119</v>
      </c>
      <c r="E703" s="837" t="str">
        <f>IFERROR(IF(_xlfn.XLOOKUP(Imput[[#This Row],[RFC]],'Alta Proveedor'!D:D,'Alta Proveedor'!E:E)=0,"",_xlfn.XLOOKUP(Imput[[#This Row],[RFC]],'Alta Proveedor'!D:D,'Alta Proveedor'!E:E)),"")</f>
        <v>Nomina-OPERACIÓN</v>
      </c>
      <c r="F703" s="836" t="s">
        <v>3171</v>
      </c>
      <c r="G703" s="187">
        <v>1</v>
      </c>
      <c r="H703" s="1">
        <v>4500</v>
      </c>
      <c r="I703" s="169">
        <f>Imput[[#This Row],[Cantidad]]*Imput[[#This Row],[Precio Unitario]]</f>
        <v>4500</v>
      </c>
      <c r="J703" s="11">
        <f>Imput[[#This Row],[Sub total]]*0.08</f>
        <v>360</v>
      </c>
      <c r="K703" s="11">
        <v>0</v>
      </c>
      <c r="L703" s="169">
        <f>Imput[[#This Row],[Sub total]]+Imput[[#This Row],[IVA]]-Imput[[#This Row],[Retención / IEPS / Descuento]]</f>
        <v>4860</v>
      </c>
      <c r="M703" s="844">
        <v>4860</v>
      </c>
      <c r="N703" s="189"/>
      <c r="O703" s="1"/>
      <c r="P703" s="189"/>
      <c r="Q703" s="190"/>
      <c r="R703" s="188">
        <v>45877</v>
      </c>
      <c r="S703" s="193"/>
      <c r="T703" s="192"/>
      <c r="U703" s="867" t="s">
        <v>3225</v>
      </c>
      <c r="V703" s="10"/>
      <c r="W703" s="10"/>
      <c r="X703" s="10"/>
      <c r="Y703" s="10"/>
      <c r="Z703" s="10"/>
      <c r="AA703" s="11"/>
      <c r="AB703" s="11"/>
      <c r="AD703" s="260"/>
    </row>
    <row r="704" spans="2:30" x14ac:dyDescent="0.3">
      <c r="B704" s="10" t="s">
        <v>383</v>
      </c>
      <c r="C704" s="315" t="s">
        <v>1759</v>
      </c>
      <c r="D704" s="868" t="s">
        <v>3225</v>
      </c>
      <c r="E704" s="837" t="str">
        <f>IFERROR(IF(_xlfn.XLOOKUP(Imput[[#This Row],[RFC]],'Alta Proveedor'!D:D,'Alta Proveedor'!E:E)=0,"",_xlfn.XLOOKUP(Imput[[#This Row],[RFC]],'Alta Proveedor'!D:D,'Alta Proveedor'!E:E)),"")</f>
        <v>GASTOS SIN FACTURA</v>
      </c>
      <c r="F704" s="836" t="s">
        <v>3211</v>
      </c>
      <c r="G704" s="187">
        <v>1</v>
      </c>
      <c r="H704" s="1">
        <v>3000</v>
      </c>
      <c r="I704" s="169">
        <f>Imput[[#This Row],[Cantidad]]*Imput[[#This Row],[Precio Unitario]]</f>
        <v>3000</v>
      </c>
      <c r="J704" s="11">
        <f>Imput[[#This Row],[Sub total]]*0.08</f>
        <v>240</v>
      </c>
      <c r="K704" s="11">
        <v>0</v>
      </c>
      <c r="L704" s="169">
        <f>Imput[[#This Row],[Sub total]]+Imput[[#This Row],[IVA]]-Imput[[#This Row],[Retención / IEPS / Descuento]]</f>
        <v>3240</v>
      </c>
      <c r="M704" s="844">
        <v>3240</v>
      </c>
      <c r="N704" s="189"/>
      <c r="O704" s="1"/>
      <c r="P704" s="189"/>
      <c r="Q704" s="190"/>
      <c r="R704" s="188">
        <v>45877</v>
      </c>
      <c r="S704" s="193"/>
      <c r="T704" s="192"/>
      <c r="U704" s="867" t="s">
        <v>3225</v>
      </c>
      <c r="V704" s="10"/>
      <c r="W704" s="10"/>
      <c r="X704" s="10"/>
      <c r="Y704" s="10"/>
      <c r="Z704" s="10"/>
      <c r="AA704" s="11"/>
      <c r="AB704" s="11"/>
      <c r="AD704" s="260"/>
    </row>
    <row r="705" spans="2:30" x14ac:dyDescent="0.3">
      <c r="B705" s="10" t="s">
        <v>383</v>
      </c>
      <c r="C705" s="315" t="s">
        <v>1807</v>
      </c>
      <c r="D705" s="868" t="s">
        <v>3225</v>
      </c>
      <c r="E705" s="837" t="str">
        <f>IFERROR(IF(_xlfn.XLOOKUP(Imput[[#This Row],[RFC]],'Alta Proveedor'!D:D,'Alta Proveedor'!E:E)=0,"",_xlfn.XLOOKUP(Imput[[#This Row],[RFC]],'Alta Proveedor'!D:D,'Alta Proveedor'!E:E)),"")</f>
        <v>GASTOS SIN FACTURA</v>
      </c>
      <c r="F705" s="836" t="s">
        <v>3209</v>
      </c>
      <c r="G705" s="187">
        <v>1</v>
      </c>
      <c r="H705" s="1">
        <v>3000</v>
      </c>
      <c r="I705" s="169">
        <f>Imput[[#This Row],[Cantidad]]*Imput[[#This Row],[Precio Unitario]]</f>
        <v>3000</v>
      </c>
      <c r="J705" s="11">
        <f>Imput[[#This Row],[Sub total]]*0.08</f>
        <v>240</v>
      </c>
      <c r="K705" s="11">
        <v>0</v>
      </c>
      <c r="L705" s="169">
        <f>Imput[[#This Row],[Sub total]]+Imput[[#This Row],[IVA]]-Imput[[#This Row],[Retención / IEPS / Descuento]]</f>
        <v>3240</v>
      </c>
      <c r="M705" s="844">
        <v>3240</v>
      </c>
      <c r="N705" s="189"/>
      <c r="O705" s="1"/>
      <c r="P705" s="189"/>
      <c r="Q705" s="190"/>
      <c r="R705" s="188">
        <v>45877</v>
      </c>
      <c r="S705" s="193"/>
      <c r="T705" s="192"/>
      <c r="U705" s="867" t="s">
        <v>3225</v>
      </c>
      <c r="V705" s="10"/>
      <c r="W705" s="10"/>
      <c r="X705" s="10"/>
      <c r="Y705" s="10"/>
      <c r="Z705" s="10"/>
      <c r="AA705" s="11"/>
      <c r="AB705" s="11"/>
      <c r="AD705" s="260"/>
    </row>
    <row r="706" spans="2:30" x14ac:dyDescent="0.3">
      <c r="B706" s="10" t="s">
        <v>383</v>
      </c>
      <c r="C706" s="315" t="s">
        <v>1739</v>
      </c>
      <c r="D706" s="868" t="s">
        <v>1036</v>
      </c>
      <c r="E706" s="837" t="str">
        <f>IFERROR(IF(_xlfn.XLOOKUP(Imput[[#This Row],[RFC]],'Alta Proveedor'!D:D,'Alta Proveedor'!E:E)=0,"",_xlfn.XLOOKUP(Imput[[#This Row],[RFC]],'Alta Proveedor'!D:D,'Alta Proveedor'!E:E)),"")</f>
        <v>AUTOZONE DE MEXICO</v>
      </c>
      <c r="F706" s="832" t="s">
        <v>1526</v>
      </c>
      <c r="G706" s="187">
        <v>1</v>
      </c>
      <c r="H706" s="1">
        <v>171.55</v>
      </c>
      <c r="I706" s="169">
        <f>Imput[[#This Row],[Cantidad]]*Imput[[#This Row],[Precio Unitario]]</f>
        <v>171.55</v>
      </c>
      <c r="J706" s="11">
        <f>((Imput[[#This Row],[Sub total]])*(0.16001))</f>
        <v>27.449715500000003</v>
      </c>
      <c r="K706" s="11">
        <v>0</v>
      </c>
      <c r="L706" s="169">
        <f>Imput[[#This Row],[Sub total]]+Imput[[#This Row],[IVA]]-Imput[[#This Row],[Retención / IEPS / Descuento]]</f>
        <v>198.99971550000001</v>
      </c>
      <c r="M706" s="844">
        <v>393.99571549999996</v>
      </c>
      <c r="N706" s="189" t="s">
        <v>123</v>
      </c>
      <c r="O706" s="1"/>
      <c r="P706" s="189" t="s">
        <v>1524</v>
      </c>
      <c r="Q706" s="190" t="s">
        <v>1525</v>
      </c>
      <c r="R706" s="188">
        <v>45878</v>
      </c>
      <c r="S706" s="193" t="s">
        <v>126</v>
      </c>
      <c r="T706" s="192"/>
      <c r="U706" s="829"/>
      <c r="V706" s="10"/>
      <c r="W706" s="10"/>
      <c r="X706" s="10"/>
      <c r="Y706" s="10"/>
      <c r="Z706" s="10"/>
      <c r="AA706" s="11"/>
      <c r="AB706" s="11"/>
      <c r="AD706" s="260"/>
    </row>
    <row r="707" spans="2:30" x14ac:dyDescent="0.3">
      <c r="B707" s="10" t="s">
        <v>383</v>
      </c>
      <c r="C707" s="315" t="s">
        <v>1739</v>
      </c>
      <c r="D707" s="868" t="s">
        <v>1036</v>
      </c>
      <c r="E707" s="837" t="str">
        <f>IFERROR(IF(_xlfn.XLOOKUP(Imput[[#This Row],[RFC]],'Alta Proveedor'!D:D,'Alta Proveedor'!E:E)=0,"",_xlfn.XLOOKUP(Imput[[#This Row],[RFC]],'Alta Proveedor'!D:D,'Alta Proveedor'!E:E)),"")</f>
        <v>AUTOZONE DE MEXICO</v>
      </c>
      <c r="F707" s="832" t="s">
        <v>1527</v>
      </c>
      <c r="G707" s="187">
        <v>1</v>
      </c>
      <c r="H707" s="1">
        <v>168.1</v>
      </c>
      <c r="I707" s="169">
        <f>Imput[[#This Row],[Cantidad]]*Imput[[#This Row],[Precio Unitario]]</f>
        <v>168.1</v>
      </c>
      <c r="J707" s="11">
        <f>((Imput[[#This Row],[Sub total]])*(0.16))</f>
        <v>26.896000000000001</v>
      </c>
      <c r="K707" s="11">
        <v>0</v>
      </c>
      <c r="L707" s="169">
        <f>Imput[[#This Row],[Sub total]]+Imput[[#This Row],[IVA]]-Imput[[#This Row],[Retención / IEPS / Descuento]]</f>
        <v>194.99599999999998</v>
      </c>
      <c r="M707" s="844">
        <v>0</v>
      </c>
      <c r="N707" s="189" t="s">
        <v>123</v>
      </c>
      <c r="O707" s="1"/>
      <c r="P707" s="189" t="s">
        <v>1524</v>
      </c>
      <c r="Q707" s="190" t="s">
        <v>1525</v>
      </c>
      <c r="R707" s="188">
        <v>45878</v>
      </c>
      <c r="S707" s="193" t="s">
        <v>126</v>
      </c>
      <c r="T707" s="192"/>
      <c r="U707" s="829"/>
      <c r="V707" s="10"/>
      <c r="W707" s="10"/>
      <c r="X707" s="10"/>
      <c r="Y707" s="10"/>
      <c r="Z707" s="10"/>
      <c r="AA707" s="11"/>
      <c r="AB707" s="11"/>
      <c r="AD707" s="260"/>
    </row>
    <row r="708" spans="2:30" x14ac:dyDescent="0.3">
      <c r="B708" s="10" t="s">
        <v>383</v>
      </c>
      <c r="C708" s="315" t="s">
        <v>2246</v>
      </c>
      <c r="D708" s="868" t="s">
        <v>164</v>
      </c>
      <c r="E708" s="837" t="str">
        <f>IFERROR(IF(_xlfn.XLOOKUP(Imput[[#This Row],[RFC]],'Alta Proveedor'!D:D,'Alta Proveedor'!E:E)=0,"",_xlfn.XLOOKUP(Imput[[#This Row],[RFC]],'Alta Proveedor'!D:D,'Alta Proveedor'!E:E)),"")</f>
        <v>HOME DEPOT MEXICO SUCURSAL THD-8730 TAMPICO</v>
      </c>
      <c r="F708" s="832" t="s">
        <v>1892</v>
      </c>
      <c r="G708" s="187">
        <v>1</v>
      </c>
      <c r="H708" s="1">
        <v>93.97</v>
      </c>
      <c r="I708" s="169">
        <f>Imput[[#This Row],[Cantidad]]*Imput[[#This Row],[Precio Unitario]]</f>
        <v>93.97</v>
      </c>
      <c r="J708" s="11">
        <f>((Imput[[#This Row],[Sub total]])*(0.16))</f>
        <v>15.0352</v>
      </c>
      <c r="K708" s="11">
        <v>0</v>
      </c>
      <c r="L708" s="169">
        <f>Imput[[#This Row],[Sub total]]+Imput[[#This Row],[IVA]]-Imput[[#This Row],[Retención / IEPS / Descuento]]</f>
        <v>109.0052</v>
      </c>
      <c r="M708" s="844">
        <v>444.01319999999998</v>
      </c>
      <c r="N708" s="189" t="s">
        <v>123</v>
      </c>
      <c r="O708" s="1"/>
      <c r="P708" s="189" t="s">
        <v>1868</v>
      </c>
      <c r="Q708" s="190" t="s">
        <v>1869</v>
      </c>
      <c r="R708" s="188">
        <v>45878</v>
      </c>
      <c r="S708" s="193" t="s">
        <v>126</v>
      </c>
      <c r="T708" s="192"/>
      <c r="U708" s="829"/>
      <c r="V708" s="10"/>
      <c r="W708" s="10"/>
      <c r="X708" s="10"/>
      <c r="Y708" s="10"/>
      <c r="Z708" s="10"/>
      <c r="AA708" s="11"/>
      <c r="AB708" s="11"/>
      <c r="AD708" s="260"/>
    </row>
    <row r="709" spans="2:30" x14ac:dyDescent="0.3">
      <c r="B709" s="10" t="s">
        <v>383</v>
      </c>
      <c r="C709" s="315" t="s">
        <v>2903</v>
      </c>
      <c r="D709" s="868" t="s">
        <v>164</v>
      </c>
      <c r="E709" s="837" t="str">
        <f>IFERROR(IF(_xlfn.XLOOKUP(Imput[[#This Row],[RFC]],'Alta Proveedor'!D:D,'Alta Proveedor'!E:E)=0,"",_xlfn.XLOOKUP(Imput[[#This Row],[RFC]],'Alta Proveedor'!D:D,'Alta Proveedor'!E:E)),"")</f>
        <v>HOME DEPOT MEXICO SUCURSAL THD-8730 TAMPICO</v>
      </c>
      <c r="F709" s="832" t="s">
        <v>1909</v>
      </c>
      <c r="G709" s="187">
        <v>1</v>
      </c>
      <c r="H709" s="1">
        <v>86.21</v>
      </c>
      <c r="I709" s="169">
        <f>Imput[[#This Row],[Cantidad]]*Imput[[#This Row],[Precio Unitario]]</f>
        <v>86.21</v>
      </c>
      <c r="J709" s="11">
        <f>((Imput[[#This Row],[Sub total]])*(0.16))</f>
        <v>13.7936</v>
      </c>
      <c r="K709" s="11">
        <v>0</v>
      </c>
      <c r="L709" s="169">
        <f>Imput[[#This Row],[Sub total]]+Imput[[#This Row],[IVA]]-Imput[[#This Row],[Retención / IEPS / Descuento]]</f>
        <v>100.00359999999999</v>
      </c>
      <c r="M709" s="844">
        <v>0</v>
      </c>
      <c r="N709" s="189" t="s">
        <v>123</v>
      </c>
      <c r="O709" s="1"/>
      <c r="P709" s="189" t="s">
        <v>1868</v>
      </c>
      <c r="Q709" s="190" t="s">
        <v>1869</v>
      </c>
      <c r="R709" s="188">
        <v>45878</v>
      </c>
      <c r="S709" s="193" t="s">
        <v>126</v>
      </c>
      <c r="T709" s="192"/>
      <c r="U709" s="829"/>
      <c r="V709" s="10"/>
      <c r="W709" s="10"/>
      <c r="X709" s="10"/>
      <c r="Y709" s="10"/>
      <c r="Z709" s="10"/>
      <c r="AA709" s="11"/>
      <c r="AB709" s="11"/>
      <c r="AD709" s="260"/>
    </row>
    <row r="710" spans="2:30" x14ac:dyDescent="0.3">
      <c r="B710" s="10" t="s">
        <v>383</v>
      </c>
      <c r="C710" s="315" t="s">
        <v>1769</v>
      </c>
      <c r="D710" s="868" t="s">
        <v>164</v>
      </c>
      <c r="E710" s="837" t="str">
        <f>IFERROR(IF(_xlfn.XLOOKUP(Imput[[#This Row],[RFC]],'Alta Proveedor'!D:D,'Alta Proveedor'!E:E)=0,"",_xlfn.XLOOKUP(Imput[[#This Row],[RFC]],'Alta Proveedor'!D:D,'Alta Proveedor'!E:E)),"")</f>
        <v>HOME DEPOT MEXICO SUCURSAL THD-8730 TAMPICO</v>
      </c>
      <c r="F710" s="832" t="s">
        <v>1908</v>
      </c>
      <c r="G710" s="187">
        <v>1</v>
      </c>
      <c r="H710" s="1">
        <v>237.07</v>
      </c>
      <c r="I710" s="169">
        <f>Imput[[#This Row],[Cantidad]]*Imput[[#This Row],[Precio Unitario]]</f>
        <v>237.07</v>
      </c>
      <c r="J710" s="11">
        <f>((Imput[[#This Row],[Sub total]]-34.48)*(0.16))</f>
        <v>32.414400000000001</v>
      </c>
      <c r="K710" s="11">
        <v>34.479999999999997</v>
      </c>
      <c r="L710" s="169">
        <f>Imput[[#This Row],[Sub total]]+Imput[[#This Row],[IVA]]-Imput[[#This Row],[Retención / IEPS / Descuento]]</f>
        <v>235.0044</v>
      </c>
      <c r="M710" s="844">
        <v>0</v>
      </c>
      <c r="N710" s="189" t="s">
        <v>123</v>
      </c>
      <c r="O710" s="1"/>
      <c r="P710" s="189" t="s">
        <v>1868</v>
      </c>
      <c r="Q710" s="190" t="s">
        <v>1869</v>
      </c>
      <c r="R710" s="188">
        <v>45878</v>
      </c>
      <c r="S710" s="193" t="s">
        <v>126</v>
      </c>
      <c r="T710" s="192"/>
      <c r="U710" s="829"/>
      <c r="V710" s="10"/>
      <c r="W710" s="10"/>
      <c r="X710" s="10"/>
      <c r="Y710" s="10"/>
      <c r="Z710" s="10"/>
      <c r="AA710" s="11"/>
      <c r="AB710" s="11"/>
      <c r="AD710" s="260"/>
    </row>
    <row r="711" spans="2:30" x14ac:dyDescent="0.3">
      <c r="B711" s="10" t="s">
        <v>383</v>
      </c>
      <c r="C711" s="315" t="s">
        <v>2430</v>
      </c>
      <c r="D711" s="868" t="s">
        <v>164</v>
      </c>
      <c r="E711" s="837" t="str">
        <f>IFERROR(IF(_xlfn.XLOOKUP(Imput[[#This Row],[RFC]],'Alta Proveedor'!D:D,'Alta Proveedor'!E:E)=0,"",_xlfn.XLOOKUP(Imput[[#This Row],[RFC]],'Alta Proveedor'!D:D,'Alta Proveedor'!E:E)),"")</f>
        <v>HOME DEPOT MEXICO SUCURSAL THD-8730 TAMPICO</v>
      </c>
      <c r="F711" s="832" t="s">
        <v>1910</v>
      </c>
      <c r="G711" s="187">
        <v>25</v>
      </c>
      <c r="H711" s="1">
        <v>384.91360000000003</v>
      </c>
      <c r="I711" s="169">
        <f>Imput[[#This Row],[Cantidad]]*Imput[[#This Row],[Precio Unitario]]</f>
        <v>9622.84</v>
      </c>
      <c r="J711" s="11">
        <f>((Imput[[#This Row],[Sub total]])*(0.16))</f>
        <v>1539.6544000000001</v>
      </c>
      <c r="K711" s="11">
        <v>0</v>
      </c>
      <c r="L711" s="169">
        <f>Imput[[#This Row],[Sub total]]+Imput[[#This Row],[IVA]]-Imput[[#This Row],[Retención / IEPS / Descuento]]</f>
        <v>11162.4944</v>
      </c>
      <c r="M711" s="844">
        <v>11162.4944</v>
      </c>
      <c r="N711" s="189" t="s">
        <v>123</v>
      </c>
      <c r="O711" s="1"/>
      <c r="P711" s="189" t="s">
        <v>1870</v>
      </c>
      <c r="Q711" s="190" t="s">
        <v>1871</v>
      </c>
      <c r="R711" s="188">
        <v>45878</v>
      </c>
      <c r="S711" s="193" t="s">
        <v>126</v>
      </c>
      <c r="T711" s="192"/>
      <c r="U711" s="829"/>
      <c r="V711" s="10"/>
      <c r="W711" s="10"/>
      <c r="X711" s="10"/>
      <c r="Y711" s="10"/>
      <c r="Z711" s="10"/>
      <c r="AA711" s="11"/>
      <c r="AB711" s="11"/>
      <c r="AD711" s="260"/>
    </row>
    <row r="712" spans="2:30" x14ac:dyDescent="0.3">
      <c r="B712" s="10" t="s">
        <v>383</v>
      </c>
      <c r="C712" s="315" t="s">
        <v>2331</v>
      </c>
      <c r="D712" s="868" t="s">
        <v>3119</v>
      </c>
      <c r="E712" s="837" t="str">
        <f>IFERROR(IF(_xlfn.XLOOKUP(Imput[[#This Row],[RFC]],'Alta Proveedor'!D:D,'Alta Proveedor'!E:E)=0,"",_xlfn.XLOOKUP(Imput[[#This Row],[RFC]],'Alta Proveedor'!D:D,'Alta Proveedor'!E:E)),"")</f>
        <v>Nomina-OPERACIÓN</v>
      </c>
      <c r="F712" s="836" t="s">
        <v>3172</v>
      </c>
      <c r="G712" s="187">
        <v>1</v>
      </c>
      <c r="H712" s="1">
        <v>22326.32</v>
      </c>
      <c r="I712" s="169">
        <f>Imput[[#This Row],[Cantidad]]*Imput[[#This Row],[Precio Unitario]]</f>
        <v>22326.32</v>
      </c>
      <c r="J712" s="11">
        <f>Imput[[#This Row],[Sub total]]*0.08</f>
        <v>1786.1056000000001</v>
      </c>
      <c r="K712" s="11">
        <v>0</v>
      </c>
      <c r="L712" s="169">
        <f>Imput[[#This Row],[Sub total]]+Imput[[#This Row],[IVA]]-Imput[[#This Row],[Retención / IEPS / Descuento]]</f>
        <v>24112.425599999999</v>
      </c>
      <c r="M712" s="844">
        <v>24112.425599999999</v>
      </c>
      <c r="N712" s="189"/>
      <c r="O712" s="1"/>
      <c r="P712" s="189"/>
      <c r="Q712" s="190"/>
      <c r="R712" s="188">
        <v>45878</v>
      </c>
      <c r="S712" s="193"/>
      <c r="T712" s="192"/>
      <c r="U712" s="867" t="s">
        <v>3225</v>
      </c>
      <c r="V712" s="10"/>
      <c r="W712" s="10"/>
      <c r="X712" s="10"/>
      <c r="Y712" s="10"/>
      <c r="Z712" s="10"/>
      <c r="AA712" s="11"/>
      <c r="AB712" s="11"/>
      <c r="AD712" s="260"/>
    </row>
    <row r="713" spans="2:30" x14ac:dyDescent="0.3">
      <c r="B713" s="10" t="s">
        <v>383</v>
      </c>
      <c r="C713" s="315" t="s">
        <v>2331</v>
      </c>
      <c r="D713" s="868" t="s">
        <v>3119</v>
      </c>
      <c r="E713" s="837" t="str">
        <f>IFERROR(IF(_xlfn.XLOOKUP(Imput[[#This Row],[RFC]],'Alta Proveedor'!D:D,'Alta Proveedor'!E:E)=0,"",_xlfn.XLOOKUP(Imput[[#This Row],[RFC]],'Alta Proveedor'!D:D,'Alta Proveedor'!E:E)),"")</f>
        <v>Nomina-OPERACIÓN</v>
      </c>
      <c r="F713" s="836" t="s">
        <v>3173</v>
      </c>
      <c r="G713" s="187">
        <v>1</v>
      </c>
      <c r="H713" s="1">
        <v>14370.87</v>
      </c>
      <c r="I713" s="169">
        <f>Imput[[#This Row],[Cantidad]]*Imput[[#This Row],[Precio Unitario]]</f>
        <v>14370.87</v>
      </c>
      <c r="J713" s="11">
        <f>Imput[[#This Row],[Sub total]]*0.08</f>
        <v>1149.6696000000002</v>
      </c>
      <c r="K713" s="11">
        <v>0</v>
      </c>
      <c r="L713" s="169">
        <f>Imput[[#This Row],[Sub total]]+Imput[[#This Row],[IVA]]-Imput[[#This Row],[Retención / IEPS / Descuento]]</f>
        <v>15520.5396</v>
      </c>
      <c r="M713" s="844">
        <v>15520.5396</v>
      </c>
      <c r="N713" s="189"/>
      <c r="O713" s="1"/>
      <c r="P713" s="189"/>
      <c r="Q713" s="190"/>
      <c r="R713" s="188">
        <v>45878</v>
      </c>
      <c r="S713" s="193"/>
      <c r="T713" s="192"/>
      <c r="U713" s="867" t="s">
        <v>3225</v>
      </c>
      <c r="V713" s="10"/>
      <c r="W713" s="10"/>
      <c r="X713" s="10"/>
      <c r="Y713" s="10"/>
      <c r="Z713" s="10"/>
      <c r="AA713" s="11"/>
      <c r="AB713" s="11"/>
      <c r="AD713" s="260"/>
    </row>
    <row r="714" spans="2:30" x14ac:dyDescent="0.3">
      <c r="B714" s="10" t="s">
        <v>383</v>
      </c>
      <c r="C714" s="315" t="s">
        <v>2281</v>
      </c>
      <c r="D714" s="868" t="s">
        <v>3119</v>
      </c>
      <c r="E714" s="837" t="str">
        <f>IFERROR(IF(_xlfn.XLOOKUP(Imput[[#This Row],[RFC]],'Alta Proveedor'!D:D,'Alta Proveedor'!E:E)=0,"",_xlfn.XLOOKUP(Imput[[#This Row],[RFC]],'Alta Proveedor'!D:D,'Alta Proveedor'!E:E)),"")</f>
        <v>Nomina-OPERACIÓN</v>
      </c>
      <c r="F714" s="836" t="s">
        <v>3174</v>
      </c>
      <c r="G714" s="187">
        <v>1</v>
      </c>
      <c r="H714" s="1">
        <v>37000</v>
      </c>
      <c r="I714" s="169">
        <f>Imput[[#This Row],[Cantidad]]*Imput[[#This Row],[Precio Unitario]]</f>
        <v>37000</v>
      </c>
      <c r="J714" s="11">
        <f>Imput[[#This Row],[Sub total]]*0.08</f>
        <v>2960</v>
      </c>
      <c r="K714" s="11">
        <v>0</v>
      </c>
      <c r="L714" s="169">
        <f>Imput[[#This Row],[Sub total]]+Imput[[#This Row],[IVA]]-Imput[[#This Row],[Retención / IEPS / Descuento]]</f>
        <v>39960</v>
      </c>
      <c r="M714" s="844">
        <v>39960</v>
      </c>
      <c r="N714" s="189"/>
      <c r="O714" s="1"/>
      <c r="P714" s="189"/>
      <c r="Q714" s="190"/>
      <c r="R714" s="188">
        <v>45878</v>
      </c>
      <c r="S714" s="193"/>
      <c r="T714" s="192"/>
      <c r="U714" s="867" t="s">
        <v>3225</v>
      </c>
      <c r="V714" s="10"/>
      <c r="W714" s="10"/>
      <c r="X714" s="10"/>
      <c r="Y714" s="10"/>
      <c r="Z714" s="10"/>
      <c r="AA714" s="11"/>
      <c r="AB714" s="11"/>
      <c r="AD714" s="260"/>
    </row>
    <row r="715" spans="2:30" x14ac:dyDescent="0.3">
      <c r="B715" s="10" t="s">
        <v>383</v>
      </c>
      <c r="C715" s="315" t="s">
        <v>2331</v>
      </c>
      <c r="D715" s="868" t="s">
        <v>3119</v>
      </c>
      <c r="E715" s="837" t="str">
        <f>IFERROR(IF(_xlfn.XLOOKUP(Imput[[#This Row],[RFC]],'Alta Proveedor'!D:D,'Alta Proveedor'!E:E)=0,"",_xlfn.XLOOKUP(Imput[[#This Row],[RFC]],'Alta Proveedor'!D:D,'Alta Proveedor'!E:E)),"")</f>
        <v>Nomina-OPERACIÓN</v>
      </c>
      <c r="F715" s="836" t="s">
        <v>3175</v>
      </c>
      <c r="G715" s="187">
        <v>1</v>
      </c>
      <c r="H715" s="1">
        <v>3300</v>
      </c>
      <c r="I715" s="169">
        <f>Imput[[#This Row],[Cantidad]]*Imput[[#This Row],[Precio Unitario]]</f>
        <v>3300</v>
      </c>
      <c r="J715" s="11">
        <f>Imput[[#This Row],[Sub total]]*0.08</f>
        <v>264</v>
      </c>
      <c r="K715" s="11">
        <v>0</v>
      </c>
      <c r="L715" s="169">
        <f>Imput[[#This Row],[Sub total]]+Imput[[#This Row],[IVA]]-Imput[[#This Row],[Retención / IEPS / Descuento]]</f>
        <v>3564</v>
      </c>
      <c r="M715" s="844">
        <v>3564</v>
      </c>
      <c r="N715" s="189"/>
      <c r="O715" s="1"/>
      <c r="P715" s="189"/>
      <c r="Q715" s="190"/>
      <c r="R715" s="188">
        <v>45878</v>
      </c>
      <c r="S715" s="193"/>
      <c r="T715" s="192"/>
      <c r="U715" s="867" t="s">
        <v>3225</v>
      </c>
      <c r="V715" s="10"/>
      <c r="W715" s="10"/>
      <c r="X715" s="10"/>
      <c r="Y715" s="10"/>
      <c r="Z715" s="10"/>
      <c r="AA715" s="11"/>
      <c r="AB715" s="11"/>
      <c r="AD715" s="260"/>
    </row>
    <row r="716" spans="2:30" x14ac:dyDescent="0.3">
      <c r="B716" s="10" t="s">
        <v>383</v>
      </c>
      <c r="C716" s="315" t="s">
        <v>2331</v>
      </c>
      <c r="D716" s="868" t="s">
        <v>3119</v>
      </c>
      <c r="E716" s="837" t="str">
        <f>IFERROR(IF(_xlfn.XLOOKUP(Imput[[#This Row],[RFC]],'Alta Proveedor'!D:D,'Alta Proveedor'!E:E)=0,"",_xlfn.XLOOKUP(Imput[[#This Row],[RFC]],'Alta Proveedor'!D:D,'Alta Proveedor'!E:E)),"")</f>
        <v>Nomina-OPERACIÓN</v>
      </c>
      <c r="F716" s="836" t="s">
        <v>3169</v>
      </c>
      <c r="G716" s="187">
        <v>1</v>
      </c>
      <c r="H716" s="1">
        <v>3800</v>
      </c>
      <c r="I716" s="169">
        <f>Imput[[#This Row],[Cantidad]]*Imput[[#This Row],[Precio Unitario]]</f>
        <v>3800</v>
      </c>
      <c r="J716" s="11">
        <f>Imput[[#This Row],[Sub total]]*0.08</f>
        <v>304</v>
      </c>
      <c r="K716" s="11">
        <v>0</v>
      </c>
      <c r="L716" s="169">
        <f>Imput[[#This Row],[Sub total]]+Imput[[#This Row],[IVA]]-Imput[[#This Row],[Retención / IEPS / Descuento]]</f>
        <v>4104</v>
      </c>
      <c r="M716" s="844">
        <v>4104</v>
      </c>
      <c r="N716" s="189"/>
      <c r="O716" s="1"/>
      <c r="P716" s="189"/>
      <c r="Q716" s="190"/>
      <c r="R716" s="188">
        <v>45878</v>
      </c>
      <c r="S716" s="193"/>
      <c r="T716" s="192"/>
      <c r="U716" s="867" t="s">
        <v>3225</v>
      </c>
      <c r="V716" s="10"/>
      <c r="W716" s="10"/>
      <c r="X716" s="10"/>
      <c r="Y716" s="10"/>
      <c r="Z716" s="10"/>
      <c r="AA716" s="11"/>
      <c r="AB716" s="11"/>
      <c r="AD716" s="260"/>
    </row>
    <row r="717" spans="2:30" x14ac:dyDescent="0.3">
      <c r="B717" s="10" t="s">
        <v>383</v>
      </c>
      <c r="C717" s="315" t="s">
        <v>2134</v>
      </c>
      <c r="D717" s="868" t="s">
        <v>3119</v>
      </c>
      <c r="E717" s="837" t="str">
        <f>IFERROR(IF(_xlfn.XLOOKUP(Imput[[#This Row],[RFC]],'Alta Proveedor'!D:D,'Alta Proveedor'!E:E)=0,"",_xlfn.XLOOKUP(Imput[[#This Row],[RFC]],'Alta Proveedor'!D:D,'Alta Proveedor'!E:E)),"")</f>
        <v>Nomina-OPERACIÓN</v>
      </c>
      <c r="F717" s="836" t="s">
        <v>3176</v>
      </c>
      <c r="G717" s="187">
        <v>1</v>
      </c>
      <c r="H717" s="1">
        <v>7375.64</v>
      </c>
      <c r="I717" s="169">
        <f>Imput[[#This Row],[Cantidad]]*Imput[[#This Row],[Precio Unitario]]</f>
        <v>7375.64</v>
      </c>
      <c r="J717" s="11">
        <f>Imput[[#This Row],[Sub total]]*0.08</f>
        <v>590.05119999999999</v>
      </c>
      <c r="K717" s="11">
        <v>0</v>
      </c>
      <c r="L717" s="169">
        <f>Imput[[#This Row],[Sub total]]+Imput[[#This Row],[IVA]]-Imput[[#This Row],[Retención / IEPS / Descuento]]</f>
        <v>7965.6912000000002</v>
      </c>
      <c r="M717" s="844">
        <v>7965.6912000000002</v>
      </c>
      <c r="N717" s="189"/>
      <c r="O717" s="1"/>
      <c r="P717" s="189"/>
      <c r="Q717" s="190"/>
      <c r="R717" s="188">
        <v>45878</v>
      </c>
      <c r="S717" s="193"/>
      <c r="T717" s="192"/>
      <c r="U717" s="867" t="s">
        <v>3225</v>
      </c>
      <c r="V717" s="10"/>
      <c r="W717" s="10"/>
      <c r="X717" s="10"/>
      <c r="Y717" s="10"/>
      <c r="Z717" s="10"/>
      <c r="AA717" s="11"/>
      <c r="AB717" s="11"/>
      <c r="AD717" s="260"/>
    </row>
    <row r="718" spans="2:30" x14ac:dyDescent="0.3">
      <c r="B718" s="10" t="s">
        <v>383</v>
      </c>
      <c r="C718" s="315" t="s">
        <v>2134</v>
      </c>
      <c r="D718" s="868" t="s">
        <v>3119</v>
      </c>
      <c r="E718" s="837" t="str">
        <f>IFERROR(IF(_xlfn.XLOOKUP(Imput[[#This Row],[RFC]],'Alta Proveedor'!D:D,'Alta Proveedor'!E:E)=0,"",_xlfn.XLOOKUP(Imput[[#This Row],[RFC]],'Alta Proveedor'!D:D,'Alta Proveedor'!E:E)),"")</f>
        <v>Nomina-OPERACIÓN</v>
      </c>
      <c r="F718" s="836" t="s">
        <v>3177</v>
      </c>
      <c r="G718" s="187">
        <v>1</v>
      </c>
      <c r="H718" s="1">
        <v>800</v>
      </c>
      <c r="I718" s="169">
        <f>Imput[[#This Row],[Cantidad]]*Imput[[#This Row],[Precio Unitario]]</f>
        <v>800</v>
      </c>
      <c r="J718" s="11">
        <f>Imput[[#This Row],[Sub total]]*0.08</f>
        <v>64</v>
      </c>
      <c r="K718" s="11">
        <v>0</v>
      </c>
      <c r="L718" s="169">
        <f>Imput[[#This Row],[Sub total]]+Imput[[#This Row],[IVA]]-Imput[[#This Row],[Retención / IEPS / Descuento]]</f>
        <v>864</v>
      </c>
      <c r="M718" s="844">
        <v>864</v>
      </c>
      <c r="N718" s="189"/>
      <c r="O718" s="1"/>
      <c r="P718" s="189"/>
      <c r="Q718" s="190"/>
      <c r="R718" s="188">
        <v>45878</v>
      </c>
      <c r="S718" s="193"/>
      <c r="T718" s="192"/>
      <c r="U718" s="867" t="s">
        <v>3225</v>
      </c>
      <c r="V718" s="10"/>
      <c r="W718" s="10"/>
      <c r="X718" s="10"/>
      <c r="Y718" s="10"/>
      <c r="Z718" s="10"/>
      <c r="AA718" s="11"/>
      <c r="AB718" s="11"/>
      <c r="AD718" s="260"/>
    </row>
    <row r="719" spans="2:30" x14ac:dyDescent="0.3">
      <c r="B719" s="10" t="s">
        <v>383</v>
      </c>
      <c r="C719" s="315" t="s">
        <v>2335</v>
      </c>
      <c r="D719" s="868" t="s">
        <v>3119</v>
      </c>
      <c r="E719" s="837" t="str">
        <f>IFERROR(IF(_xlfn.XLOOKUP(Imput[[#This Row],[RFC]],'Alta Proveedor'!D:D,'Alta Proveedor'!E:E)=0,"",_xlfn.XLOOKUP(Imput[[#This Row],[RFC]],'Alta Proveedor'!D:D,'Alta Proveedor'!E:E)),"")</f>
        <v>Nomina-OPERACIÓN</v>
      </c>
      <c r="F719" s="836" t="s">
        <v>3178</v>
      </c>
      <c r="G719" s="187">
        <v>1</v>
      </c>
      <c r="H719" s="1">
        <v>2400</v>
      </c>
      <c r="I719" s="169">
        <f>Imput[[#This Row],[Cantidad]]*Imput[[#This Row],[Precio Unitario]]</f>
        <v>2400</v>
      </c>
      <c r="J719" s="11">
        <f>Imput[[#This Row],[Sub total]]*0.08</f>
        <v>192</v>
      </c>
      <c r="K719" s="11">
        <v>0</v>
      </c>
      <c r="L719" s="169">
        <f>Imput[[#This Row],[Sub total]]+Imput[[#This Row],[IVA]]-Imput[[#This Row],[Retención / IEPS / Descuento]]</f>
        <v>2592</v>
      </c>
      <c r="M719" s="844">
        <v>2592</v>
      </c>
      <c r="N719" s="189"/>
      <c r="O719" s="1"/>
      <c r="P719" s="189"/>
      <c r="Q719" s="190"/>
      <c r="R719" s="188">
        <v>45878</v>
      </c>
      <c r="S719" s="193"/>
      <c r="T719" s="192"/>
      <c r="U719" s="867" t="s">
        <v>3225</v>
      </c>
      <c r="V719" s="10"/>
      <c r="W719" s="10"/>
      <c r="X719" s="10"/>
      <c r="Y719" s="10"/>
      <c r="Z719" s="10"/>
      <c r="AA719" s="11"/>
      <c r="AB719" s="11"/>
      <c r="AD719" s="260"/>
    </row>
    <row r="720" spans="2:30" x14ac:dyDescent="0.3">
      <c r="B720" s="10" t="s">
        <v>383</v>
      </c>
      <c r="C720" s="315" t="s">
        <v>2134</v>
      </c>
      <c r="D720" s="868" t="s">
        <v>3119</v>
      </c>
      <c r="E720" s="837" t="str">
        <f>IFERROR(IF(_xlfn.XLOOKUP(Imput[[#This Row],[RFC]],'Alta Proveedor'!D:D,'Alta Proveedor'!E:E)=0,"",_xlfn.XLOOKUP(Imput[[#This Row],[RFC]],'Alta Proveedor'!D:D,'Alta Proveedor'!E:E)),"")</f>
        <v>Nomina-OPERACIÓN</v>
      </c>
      <c r="F720" s="836" t="s">
        <v>3179</v>
      </c>
      <c r="G720" s="187">
        <v>1</v>
      </c>
      <c r="H720" s="1">
        <v>8700</v>
      </c>
      <c r="I720" s="169">
        <f>Imput[[#This Row],[Cantidad]]*Imput[[#This Row],[Precio Unitario]]</f>
        <v>8700</v>
      </c>
      <c r="J720" s="11">
        <f>Imput[[#This Row],[Sub total]]*0.08</f>
        <v>696</v>
      </c>
      <c r="K720" s="11">
        <v>0</v>
      </c>
      <c r="L720" s="169">
        <f>Imput[[#This Row],[Sub total]]+Imput[[#This Row],[IVA]]-Imput[[#This Row],[Retención / IEPS / Descuento]]</f>
        <v>9396</v>
      </c>
      <c r="M720" s="844">
        <v>9396</v>
      </c>
      <c r="N720" s="189"/>
      <c r="O720" s="1"/>
      <c r="P720" s="189"/>
      <c r="Q720" s="190"/>
      <c r="R720" s="188">
        <v>45878</v>
      </c>
      <c r="S720" s="193"/>
      <c r="T720" s="192"/>
      <c r="U720" s="867" t="s">
        <v>3225</v>
      </c>
      <c r="V720" s="10"/>
      <c r="W720" s="10"/>
      <c r="X720" s="10"/>
      <c r="Y720" s="10"/>
      <c r="Z720" s="10"/>
      <c r="AA720" s="11"/>
      <c r="AB720" s="11"/>
      <c r="AD720" s="260"/>
    </row>
    <row r="721" spans="2:30" x14ac:dyDescent="0.3">
      <c r="B721" s="10" t="s">
        <v>383</v>
      </c>
      <c r="C721" s="315" t="s">
        <v>2134</v>
      </c>
      <c r="D721" s="868" t="s">
        <v>3119</v>
      </c>
      <c r="E721" s="837" t="str">
        <f>IFERROR(IF(_xlfn.XLOOKUP(Imput[[#This Row],[RFC]],'Alta Proveedor'!D:D,'Alta Proveedor'!E:E)=0,"",_xlfn.XLOOKUP(Imput[[#This Row],[RFC]],'Alta Proveedor'!D:D,'Alta Proveedor'!E:E)),"")</f>
        <v>Nomina-OPERACIÓN</v>
      </c>
      <c r="F721" s="836" t="s">
        <v>3180</v>
      </c>
      <c r="G721" s="187">
        <v>1</v>
      </c>
      <c r="H721" s="1">
        <v>9700</v>
      </c>
      <c r="I721" s="169">
        <f>Imput[[#This Row],[Cantidad]]*Imput[[#This Row],[Precio Unitario]]</f>
        <v>9700</v>
      </c>
      <c r="J721" s="11">
        <f>Imput[[#This Row],[Sub total]]*0.08</f>
        <v>776</v>
      </c>
      <c r="K721" s="11">
        <v>0</v>
      </c>
      <c r="L721" s="169">
        <f>Imput[[#This Row],[Sub total]]+Imput[[#This Row],[IVA]]-Imput[[#This Row],[Retención / IEPS / Descuento]]</f>
        <v>10476</v>
      </c>
      <c r="M721" s="844">
        <v>10476</v>
      </c>
      <c r="N721" s="189"/>
      <c r="O721" s="1"/>
      <c r="P721" s="189"/>
      <c r="Q721" s="190"/>
      <c r="R721" s="188">
        <v>45878</v>
      </c>
      <c r="S721" s="193"/>
      <c r="T721" s="192"/>
      <c r="U721" s="867" t="s">
        <v>3225</v>
      </c>
      <c r="V721" s="10"/>
      <c r="W721" s="10"/>
      <c r="X721" s="10"/>
      <c r="Y721" s="10"/>
      <c r="Z721" s="10"/>
      <c r="AA721" s="11"/>
      <c r="AB721" s="11"/>
      <c r="AD721" s="260"/>
    </row>
    <row r="722" spans="2:30" x14ac:dyDescent="0.3">
      <c r="B722" s="10" t="s">
        <v>383</v>
      </c>
      <c r="C722" s="315" t="s">
        <v>1747</v>
      </c>
      <c r="D722" s="868" t="s">
        <v>3225</v>
      </c>
      <c r="E722" s="837" t="str">
        <f>IFERROR(IF(_xlfn.XLOOKUP(Imput[[#This Row],[RFC]],'Alta Proveedor'!D:D,'Alta Proveedor'!E:E)=0,"",_xlfn.XLOOKUP(Imput[[#This Row],[RFC]],'Alta Proveedor'!D:D,'Alta Proveedor'!E:E)),"")</f>
        <v>GASTOS SIN FACTURA</v>
      </c>
      <c r="F722" s="836" t="s">
        <v>3212</v>
      </c>
      <c r="G722" s="187">
        <v>1</v>
      </c>
      <c r="H722" s="1">
        <v>400</v>
      </c>
      <c r="I722" s="169">
        <f>Imput[[#This Row],[Cantidad]]*Imput[[#This Row],[Precio Unitario]]</f>
        <v>400</v>
      </c>
      <c r="J722" s="11">
        <f>Imput[[#This Row],[Sub total]]*0.08</f>
        <v>32</v>
      </c>
      <c r="K722" s="11">
        <v>0</v>
      </c>
      <c r="L722" s="169">
        <f>Imput[[#This Row],[Sub total]]+Imput[[#This Row],[IVA]]-Imput[[#This Row],[Retención / IEPS / Descuento]]</f>
        <v>432</v>
      </c>
      <c r="M722" s="844">
        <v>432</v>
      </c>
      <c r="N722" s="189"/>
      <c r="O722" s="1"/>
      <c r="P722" s="189"/>
      <c r="Q722" s="190"/>
      <c r="R722" s="188">
        <v>45878</v>
      </c>
      <c r="S722" s="193"/>
      <c r="T722" s="192"/>
      <c r="U722" s="867" t="s">
        <v>3225</v>
      </c>
      <c r="V722" s="10"/>
      <c r="W722" s="10"/>
      <c r="X722" s="10"/>
      <c r="Y722" s="10"/>
      <c r="Z722" s="10"/>
      <c r="AA722" s="11"/>
      <c r="AB722" s="11"/>
      <c r="AD722" s="260"/>
    </row>
    <row r="723" spans="2:30" x14ac:dyDescent="0.3">
      <c r="B723" s="10" t="s">
        <v>383</v>
      </c>
      <c r="C723" s="315" t="s">
        <v>1767</v>
      </c>
      <c r="D723" s="868" t="s">
        <v>1553</v>
      </c>
      <c r="E723" s="837" t="str">
        <f>IFERROR(IF(_xlfn.XLOOKUP(Imput[[#This Row],[RFC]],'Alta Proveedor'!D:D,'Alta Proveedor'!E:E)=0,"",_xlfn.XLOOKUP(Imput[[#This Row],[RFC]],'Alta Proveedor'!D:D,'Alta Proveedor'!E:E)),"")</f>
        <v>COMERCIALIZADORA DE COMBUSTIBLES TAMAULIPECA "NEXUM" (COMBUSTIBLES)</v>
      </c>
      <c r="F723" s="832" t="s">
        <v>1114</v>
      </c>
      <c r="G723" s="187">
        <v>65.047819000000004</v>
      </c>
      <c r="H723" s="1">
        <v>22.599689999999999</v>
      </c>
      <c r="I723" s="169">
        <f>Imput[[#This Row],[Cantidad]]*Imput[[#This Row],[Precio Unitario]]</f>
        <v>1470.06054457611</v>
      </c>
      <c r="J723" s="11">
        <f>((1439.3125)*(0.16))</f>
        <v>230.29</v>
      </c>
      <c r="K723" s="11">
        <v>0</v>
      </c>
      <c r="L723" s="169">
        <f>Imput[[#This Row],[Sub total]]+Imput[[#This Row],[IVA]]-Imput[[#This Row],[Retención / IEPS / Descuento]]</f>
        <v>1700.35054457611</v>
      </c>
      <c r="M723" s="844">
        <v>3513.774513138811</v>
      </c>
      <c r="N723" s="189" t="s">
        <v>123</v>
      </c>
      <c r="O723" s="1"/>
      <c r="P723" s="189" t="s">
        <v>1557</v>
      </c>
      <c r="Q723" s="190" t="s">
        <v>1558</v>
      </c>
      <c r="R723" s="188">
        <v>45879</v>
      </c>
      <c r="S723" s="193" t="s">
        <v>126</v>
      </c>
      <c r="T723" s="192"/>
      <c r="U723" s="829"/>
      <c r="V723" s="10"/>
      <c r="W723" s="10"/>
      <c r="X723" s="10"/>
      <c r="Y723" s="10"/>
      <c r="Z723" s="10"/>
      <c r="AA723" s="11"/>
      <c r="AB723" s="11"/>
      <c r="AD723" s="260"/>
    </row>
    <row r="724" spans="2:30" x14ac:dyDescent="0.3">
      <c r="B724" s="10" t="s">
        <v>383</v>
      </c>
      <c r="C724" s="315" t="s">
        <v>1767</v>
      </c>
      <c r="D724" s="868" t="s">
        <v>1553</v>
      </c>
      <c r="E724" s="837" t="str">
        <f>IFERROR(IF(_xlfn.XLOOKUP(Imput[[#This Row],[RFC]],'Alta Proveedor'!D:D,'Alta Proveedor'!E:E)=0,"",_xlfn.XLOOKUP(Imput[[#This Row],[RFC]],'Alta Proveedor'!D:D,'Alta Proveedor'!E:E)),"")</f>
        <v>COMERCIALIZADORA DE COMBUSTIBLES TAMAULIPECA "NEXUM" (COMBUSTIBLES)</v>
      </c>
      <c r="F724" s="832" t="s">
        <v>237</v>
      </c>
      <c r="G724" s="187">
        <v>75.590663000000006</v>
      </c>
      <c r="H724" s="1">
        <v>20.759626999999998</v>
      </c>
      <c r="I724" s="169">
        <f>Imput[[#This Row],[Cantidad]]*Imput[[#This Row],[Precio Unitario]]</f>
        <v>1569.233968562701</v>
      </c>
      <c r="J724" s="11">
        <f>((1526.1875)*(0.16))</f>
        <v>244.19</v>
      </c>
      <c r="K724" s="11">
        <v>0</v>
      </c>
      <c r="L724" s="169">
        <f>Imput[[#This Row],[Sub total]]+Imput[[#This Row],[IVA]]-Imput[[#This Row],[Retención / IEPS / Descuento]]</f>
        <v>1813.423968562701</v>
      </c>
      <c r="M724" s="844">
        <v>0</v>
      </c>
      <c r="N724" s="189" t="s">
        <v>123</v>
      </c>
      <c r="O724" s="1"/>
      <c r="P724" s="189" t="s">
        <v>1557</v>
      </c>
      <c r="Q724" s="190" t="s">
        <v>1558</v>
      </c>
      <c r="R724" s="188">
        <v>45879</v>
      </c>
      <c r="S724" s="193" t="s">
        <v>126</v>
      </c>
      <c r="T724" s="192"/>
      <c r="U724" s="829"/>
      <c r="V724" s="10"/>
      <c r="W724" s="10"/>
      <c r="X724" s="10"/>
      <c r="Y724" s="10"/>
      <c r="Z724" s="10"/>
      <c r="AA724" s="11"/>
      <c r="AB724" s="11"/>
      <c r="AD724" s="260"/>
    </row>
    <row r="725" spans="2:30" x14ac:dyDescent="0.3">
      <c r="B725" s="10" t="s">
        <v>383</v>
      </c>
      <c r="C725" s="315" t="s">
        <v>1747</v>
      </c>
      <c r="D725" s="868" t="s">
        <v>3225</v>
      </c>
      <c r="E725" s="837" t="str">
        <f>IFERROR(IF(_xlfn.XLOOKUP(Imput[[#This Row],[RFC]],'Alta Proveedor'!D:D,'Alta Proveedor'!E:E)=0,"",_xlfn.XLOOKUP(Imput[[#This Row],[RFC]],'Alta Proveedor'!D:D,'Alta Proveedor'!E:E)),"")</f>
        <v>GASTOS SIN FACTURA</v>
      </c>
      <c r="F725" s="836" t="s">
        <v>3213</v>
      </c>
      <c r="G725" s="187">
        <v>1</v>
      </c>
      <c r="H725" s="1">
        <v>3600</v>
      </c>
      <c r="I725" s="169">
        <f>Imput[[#This Row],[Cantidad]]*Imput[[#This Row],[Precio Unitario]]</f>
        <v>3600</v>
      </c>
      <c r="J725" s="11">
        <f>Imput[[#This Row],[Sub total]]*0.08</f>
        <v>288</v>
      </c>
      <c r="K725" s="11">
        <v>0</v>
      </c>
      <c r="L725" s="169">
        <f>Imput[[#This Row],[Sub total]]+Imput[[#This Row],[IVA]]-Imput[[#This Row],[Retención / IEPS / Descuento]]</f>
        <v>3888</v>
      </c>
      <c r="M725" s="844">
        <v>3888</v>
      </c>
      <c r="N725" s="189"/>
      <c r="O725" s="1"/>
      <c r="P725" s="189"/>
      <c r="Q725" s="190"/>
      <c r="R725" s="188">
        <v>45879</v>
      </c>
      <c r="S725" s="193"/>
      <c r="T725" s="192"/>
      <c r="U725" s="867" t="s">
        <v>3225</v>
      </c>
      <c r="V725" s="10"/>
      <c r="W725" s="10"/>
      <c r="X725" s="10"/>
      <c r="Y725" s="10"/>
      <c r="Z725" s="10"/>
      <c r="AA725" s="11"/>
      <c r="AB725" s="11"/>
      <c r="AD725" s="260"/>
    </row>
    <row r="726" spans="2:30" x14ac:dyDescent="0.3">
      <c r="B726" s="10" t="s">
        <v>383</v>
      </c>
      <c r="C726" s="315" t="s">
        <v>1769</v>
      </c>
      <c r="D726" s="868" t="s">
        <v>244</v>
      </c>
      <c r="E726" s="837" t="str">
        <f>IFERROR(IF(_xlfn.XLOOKUP(Imput[[#This Row],[RFC]],'Alta Proveedor'!D:D,'Alta Proveedor'!E:E)=0,"",_xlfn.XLOOKUP(Imput[[#This Row],[RFC]],'Alta Proveedor'!D:D,'Alta Proveedor'!E:E)),"")</f>
        <v>CADENA COMERCIAL OXXO</v>
      </c>
      <c r="F726" s="832" t="s">
        <v>1214</v>
      </c>
      <c r="G726" s="187">
        <v>2</v>
      </c>
      <c r="H726" s="1">
        <v>16.382400000000001</v>
      </c>
      <c r="I726" s="169">
        <f>Imput[[#This Row],[Cantidad]]*Imput[[#This Row],[Precio Unitario]]</f>
        <v>32.764800000000001</v>
      </c>
      <c r="J726" s="11">
        <f>((Imput[[#This Row],[Sub total]])*(0.16))</f>
        <v>5.2423679999999999</v>
      </c>
      <c r="K726" s="11">
        <v>0</v>
      </c>
      <c r="L726" s="169">
        <f>Imput[[#This Row],[Sub total]]+Imput[[#This Row],[IVA]]-Imput[[#This Row],[Retención / IEPS / Descuento]]</f>
        <v>38.007168</v>
      </c>
      <c r="M726" s="844">
        <v>141.005528</v>
      </c>
      <c r="N726" s="189" t="s">
        <v>123</v>
      </c>
      <c r="O726" s="1"/>
      <c r="P726" s="189" t="s">
        <v>1543</v>
      </c>
      <c r="Q726" s="190" t="s">
        <v>1544</v>
      </c>
      <c r="R726" s="188">
        <v>45880</v>
      </c>
      <c r="S726" s="193" t="s">
        <v>126</v>
      </c>
      <c r="T726" s="192"/>
      <c r="U726" s="829"/>
      <c r="V726" s="10"/>
      <c r="W726" s="10"/>
      <c r="X726" s="10"/>
      <c r="Y726" s="10"/>
      <c r="Z726" s="10"/>
      <c r="AA726" s="11"/>
      <c r="AB726" s="11"/>
      <c r="AD726" s="260"/>
    </row>
    <row r="727" spans="2:30" x14ac:dyDescent="0.3">
      <c r="B727" s="10" t="s">
        <v>383</v>
      </c>
      <c r="C727" s="315" t="s">
        <v>1769</v>
      </c>
      <c r="D727" s="868" t="s">
        <v>244</v>
      </c>
      <c r="E727" s="837" t="str">
        <f>IFERROR(IF(_xlfn.XLOOKUP(Imput[[#This Row],[RFC]],'Alta Proveedor'!D:D,'Alta Proveedor'!E:E)=0,"",_xlfn.XLOOKUP(Imput[[#This Row],[RFC]],'Alta Proveedor'!D:D,'Alta Proveedor'!E:E)),"")</f>
        <v>CADENA COMERCIAL OXXO</v>
      </c>
      <c r="F727" s="832" t="s">
        <v>1604</v>
      </c>
      <c r="G727" s="187">
        <v>1</v>
      </c>
      <c r="H727" s="1">
        <v>24.073</v>
      </c>
      <c r="I727" s="169">
        <f>Imput[[#This Row],[Cantidad]]*Imput[[#This Row],[Precio Unitario]]</f>
        <v>24.073</v>
      </c>
      <c r="J727" s="11">
        <f>((Imput[[#This Row],[Sub total]])*(0.08))</f>
        <v>1.92584</v>
      </c>
      <c r="K727" s="11">
        <v>0</v>
      </c>
      <c r="L727" s="169">
        <f>Imput[[#This Row],[Sub total]]+Imput[[#This Row],[IVA]]-Imput[[#This Row],[Retención / IEPS / Descuento]]</f>
        <v>25.998840000000001</v>
      </c>
      <c r="M727" s="844">
        <v>0</v>
      </c>
      <c r="N727" s="189" t="s">
        <v>123</v>
      </c>
      <c r="O727" s="1"/>
      <c r="P727" s="189" t="s">
        <v>1543</v>
      </c>
      <c r="Q727" s="190" t="s">
        <v>1544</v>
      </c>
      <c r="R727" s="188">
        <v>45880</v>
      </c>
      <c r="S727" s="193" t="s">
        <v>126</v>
      </c>
      <c r="T727" s="192"/>
      <c r="U727" s="829"/>
      <c r="V727" s="10"/>
      <c r="W727" s="10"/>
      <c r="X727" s="10"/>
      <c r="Y727" s="10"/>
      <c r="Z727" s="10"/>
      <c r="AA727" s="11"/>
      <c r="AB727" s="11"/>
      <c r="AD727" s="260"/>
    </row>
    <row r="728" spans="2:30" x14ac:dyDescent="0.3">
      <c r="B728" s="10" t="s">
        <v>383</v>
      </c>
      <c r="C728" s="315" t="s">
        <v>1769</v>
      </c>
      <c r="D728" s="868" t="s">
        <v>244</v>
      </c>
      <c r="E728" s="837" t="str">
        <f>IFERROR(IF(_xlfn.XLOOKUP(Imput[[#This Row],[RFC]],'Alta Proveedor'!D:D,'Alta Proveedor'!E:E)=0,"",_xlfn.XLOOKUP(Imput[[#This Row],[RFC]],'Alta Proveedor'!D:D,'Alta Proveedor'!E:E)),"")</f>
        <v>CADENA COMERCIAL OXXO</v>
      </c>
      <c r="F728" s="832" t="s">
        <v>1613</v>
      </c>
      <c r="G728" s="187">
        <v>1</v>
      </c>
      <c r="H728" s="1">
        <v>13.363</v>
      </c>
      <c r="I728" s="169">
        <f>Imput[[#This Row],[Cantidad]]*Imput[[#This Row],[Precio Unitario]]</f>
        <v>13.363</v>
      </c>
      <c r="J728" s="11">
        <f>((Imput[[#This Row],[Sub total]])*(0.16))</f>
        <v>2.13808</v>
      </c>
      <c r="K728" s="11">
        <v>0</v>
      </c>
      <c r="L728" s="169">
        <f>Imput[[#This Row],[Sub total]]+Imput[[#This Row],[IVA]]-Imput[[#This Row],[Retención / IEPS / Descuento]]</f>
        <v>15.50108</v>
      </c>
      <c r="M728" s="844">
        <v>0</v>
      </c>
      <c r="N728" s="189" t="s">
        <v>123</v>
      </c>
      <c r="O728" s="1"/>
      <c r="P728" s="189" t="s">
        <v>1543</v>
      </c>
      <c r="Q728" s="190" t="s">
        <v>1544</v>
      </c>
      <c r="R728" s="188">
        <v>45880</v>
      </c>
      <c r="S728" s="193" t="s">
        <v>126</v>
      </c>
      <c r="T728" s="192"/>
      <c r="U728" s="829"/>
      <c r="V728" s="10"/>
      <c r="W728" s="10"/>
      <c r="X728" s="10"/>
      <c r="Y728" s="10"/>
      <c r="Z728" s="10"/>
      <c r="AA728" s="11"/>
      <c r="AB728" s="11"/>
      <c r="AD728" s="260"/>
    </row>
    <row r="729" spans="2:30" x14ac:dyDescent="0.3">
      <c r="B729" s="10" t="s">
        <v>383</v>
      </c>
      <c r="C729" s="315" t="s">
        <v>1769</v>
      </c>
      <c r="D729" s="868" t="s">
        <v>244</v>
      </c>
      <c r="E729" s="837" t="str">
        <f>IFERROR(IF(_xlfn.XLOOKUP(Imput[[#This Row],[RFC]],'Alta Proveedor'!D:D,'Alta Proveedor'!E:E)=0,"",_xlfn.XLOOKUP(Imput[[#This Row],[RFC]],'Alta Proveedor'!D:D,'Alta Proveedor'!E:E)),"")</f>
        <v>CADENA COMERCIAL OXXO</v>
      </c>
      <c r="F729" s="832" t="s">
        <v>1588</v>
      </c>
      <c r="G729" s="187">
        <v>1</v>
      </c>
      <c r="H729" s="1">
        <v>56.942999999999998</v>
      </c>
      <c r="I729" s="169">
        <f>Imput[[#This Row],[Cantidad]]*Imput[[#This Row],[Precio Unitario]]</f>
        <v>56.942999999999998</v>
      </c>
      <c r="J729" s="11">
        <f>((Imput[[#This Row],[Sub total]])*(0.08))</f>
        <v>4.5554399999999999</v>
      </c>
      <c r="K729" s="11">
        <v>0</v>
      </c>
      <c r="L729" s="169">
        <f>Imput[[#This Row],[Sub total]]+Imput[[#This Row],[IVA]]-Imput[[#This Row],[Retención / IEPS / Descuento]]</f>
        <v>61.498439999999995</v>
      </c>
      <c r="M729" s="844">
        <v>0</v>
      </c>
      <c r="N729" s="189" t="s">
        <v>123</v>
      </c>
      <c r="O729" s="1"/>
      <c r="P729" s="189" t="s">
        <v>1543</v>
      </c>
      <c r="Q729" s="190" t="s">
        <v>1544</v>
      </c>
      <c r="R729" s="188">
        <v>45880</v>
      </c>
      <c r="S729" s="193" t="s">
        <v>126</v>
      </c>
      <c r="T729" s="192"/>
      <c r="U729" s="829"/>
      <c r="V729" s="10"/>
      <c r="W729" s="10"/>
      <c r="X729" s="10"/>
      <c r="Y729" s="10"/>
      <c r="Z729" s="10"/>
      <c r="AA729" s="11"/>
      <c r="AB729" s="11"/>
      <c r="AD729" s="260"/>
    </row>
    <row r="730" spans="2:30" x14ac:dyDescent="0.3">
      <c r="B730" s="10" t="s">
        <v>383</v>
      </c>
      <c r="C730" s="315" t="s">
        <v>1769</v>
      </c>
      <c r="D730" s="868" t="s">
        <v>244</v>
      </c>
      <c r="E730" s="837" t="str">
        <f>IFERROR(IF(_xlfn.XLOOKUP(Imput[[#This Row],[RFC]],'Alta Proveedor'!D:D,'Alta Proveedor'!E:E)=0,"",_xlfn.XLOOKUP(Imput[[#This Row],[RFC]],'Alta Proveedor'!D:D,'Alta Proveedor'!E:E)),"")</f>
        <v>CADENA COMERCIAL OXXO</v>
      </c>
      <c r="F730" s="832" t="s">
        <v>1618</v>
      </c>
      <c r="G730" s="187">
        <v>1</v>
      </c>
      <c r="H730" s="1">
        <v>38</v>
      </c>
      <c r="I730" s="169">
        <f>Imput[[#This Row],[Cantidad]]*Imput[[#This Row],[Precio Unitario]]</f>
        <v>38</v>
      </c>
      <c r="J730" s="11">
        <v>0</v>
      </c>
      <c r="K730" s="11">
        <v>0</v>
      </c>
      <c r="L730" s="169">
        <f>Imput[[#This Row],[Sub total]]+Imput[[#This Row],[IVA]]-Imput[[#This Row],[Retención / IEPS / Descuento]]</f>
        <v>38</v>
      </c>
      <c r="M730" s="844">
        <v>38</v>
      </c>
      <c r="N730" s="189" t="s">
        <v>123</v>
      </c>
      <c r="O730" s="1"/>
      <c r="P730" s="189" t="s">
        <v>1545</v>
      </c>
      <c r="Q730" s="190" t="s">
        <v>1548</v>
      </c>
      <c r="R730" s="188">
        <v>45880</v>
      </c>
      <c r="S730" s="193" t="s">
        <v>126</v>
      </c>
      <c r="T730" s="192"/>
      <c r="U730" s="829"/>
      <c r="V730" s="10"/>
      <c r="W730" s="10"/>
      <c r="X730" s="10"/>
      <c r="Y730" s="10"/>
      <c r="Z730" s="10"/>
      <c r="AA730" s="11"/>
      <c r="AB730" s="11"/>
      <c r="AD730" s="260"/>
    </row>
    <row r="731" spans="2:30" x14ac:dyDescent="0.3">
      <c r="B731" s="10" t="s">
        <v>383</v>
      </c>
      <c r="C731" s="315" t="s">
        <v>1769</v>
      </c>
      <c r="D731" s="868" t="s">
        <v>244</v>
      </c>
      <c r="E731" s="837" t="str">
        <f>IFERROR(IF(_xlfn.XLOOKUP(Imput[[#This Row],[RFC]],'Alta Proveedor'!D:D,'Alta Proveedor'!E:E)=0,"",_xlfn.XLOOKUP(Imput[[#This Row],[RFC]],'Alta Proveedor'!D:D,'Alta Proveedor'!E:E)),"")</f>
        <v>CADENA COMERCIAL OXXO</v>
      </c>
      <c r="F731" s="832" t="s">
        <v>1619</v>
      </c>
      <c r="G731" s="187">
        <v>3</v>
      </c>
      <c r="H731" s="1">
        <v>21.552</v>
      </c>
      <c r="I731" s="169">
        <f>Imput[[#This Row],[Cantidad]]*Imput[[#This Row],[Precio Unitario]]</f>
        <v>64.656000000000006</v>
      </c>
      <c r="J731" s="11">
        <f>((Imput[[#This Row],[Sub total]])*(0.16001))</f>
        <v>10.345606560000002</v>
      </c>
      <c r="K731" s="11">
        <v>0</v>
      </c>
      <c r="L731" s="169">
        <f>Imput[[#This Row],[Sub total]]+Imput[[#This Row],[IVA]]-Imput[[#This Row],[Retención / IEPS / Descuento]]</f>
        <v>75.001606560000013</v>
      </c>
      <c r="M731" s="844">
        <v>158.50440656000001</v>
      </c>
      <c r="N731" s="189" t="s">
        <v>123</v>
      </c>
      <c r="O731" s="1"/>
      <c r="P731" s="189" t="s">
        <v>1546</v>
      </c>
      <c r="Q731" s="190" t="s">
        <v>1547</v>
      </c>
      <c r="R731" s="188">
        <v>45880</v>
      </c>
      <c r="S731" s="193" t="s">
        <v>126</v>
      </c>
      <c r="T731" s="192"/>
      <c r="U731" s="829"/>
      <c r="V731" s="10"/>
      <c r="W731" s="10"/>
      <c r="X731" s="10"/>
      <c r="Y731" s="10"/>
      <c r="Z731" s="10"/>
      <c r="AA731" s="11"/>
      <c r="AB731" s="11"/>
      <c r="AD731" s="260"/>
    </row>
    <row r="732" spans="2:30" x14ac:dyDescent="0.3">
      <c r="B732" s="10" t="s">
        <v>383</v>
      </c>
      <c r="C732" s="315" t="s">
        <v>1769</v>
      </c>
      <c r="D732" s="868" t="s">
        <v>244</v>
      </c>
      <c r="E732" s="837" t="str">
        <f>IFERROR(IF(_xlfn.XLOOKUP(Imput[[#This Row],[RFC]],'Alta Proveedor'!D:D,'Alta Proveedor'!E:E)=0,"",_xlfn.XLOOKUP(Imput[[#This Row],[RFC]],'Alta Proveedor'!D:D,'Alta Proveedor'!E:E)),"")</f>
        <v>CADENA COMERCIAL OXXO</v>
      </c>
      <c r="F732" s="832" t="s">
        <v>1620</v>
      </c>
      <c r="G732" s="187">
        <v>1</v>
      </c>
      <c r="H732" s="1">
        <v>32.409999999999997</v>
      </c>
      <c r="I732" s="169">
        <f>Imput[[#This Row],[Cantidad]]*Imput[[#This Row],[Precio Unitario]]</f>
        <v>32.409999999999997</v>
      </c>
      <c r="J732" s="11">
        <f>((Imput[[#This Row],[Sub total]])*(0.08))</f>
        <v>2.5928</v>
      </c>
      <c r="K732" s="11">
        <v>0</v>
      </c>
      <c r="L732" s="169">
        <f>Imput[[#This Row],[Sub total]]+Imput[[#This Row],[IVA]]-Imput[[#This Row],[Retención / IEPS / Descuento]]</f>
        <v>35.002799999999993</v>
      </c>
      <c r="M732" s="844">
        <v>0</v>
      </c>
      <c r="N732" s="189" t="s">
        <v>123</v>
      </c>
      <c r="O732" s="1"/>
      <c r="P732" s="189" t="s">
        <v>1546</v>
      </c>
      <c r="Q732" s="190" t="s">
        <v>1547</v>
      </c>
      <c r="R732" s="188">
        <v>45880</v>
      </c>
      <c r="S732" s="193" t="s">
        <v>126</v>
      </c>
      <c r="T732" s="192"/>
      <c r="U732" s="829"/>
      <c r="V732" s="10"/>
      <c r="W732" s="10"/>
      <c r="X732" s="10"/>
      <c r="Y732" s="10"/>
      <c r="Z732" s="10"/>
      <c r="AA732" s="11"/>
      <c r="AB732" s="11"/>
      <c r="AD732" s="260"/>
    </row>
    <row r="733" spans="2:30" x14ac:dyDescent="0.3">
      <c r="B733" s="10" t="s">
        <v>383</v>
      </c>
      <c r="C733" s="315" t="s">
        <v>1769</v>
      </c>
      <c r="D733" s="868" t="s">
        <v>244</v>
      </c>
      <c r="E733" s="837" t="str">
        <f>IFERROR(IF(_xlfn.XLOOKUP(Imput[[#This Row],[RFC]],'Alta Proveedor'!D:D,'Alta Proveedor'!E:E)=0,"",_xlfn.XLOOKUP(Imput[[#This Row],[RFC]],'Alta Proveedor'!D:D,'Alta Proveedor'!E:E)),"")</f>
        <v>CADENA COMERCIAL OXXO</v>
      </c>
      <c r="F733" s="832" t="s">
        <v>1230</v>
      </c>
      <c r="G733" s="187">
        <v>1</v>
      </c>
      <c r="H733" s="1">
        <v>48.5</v>
      </c>
      <c r="I733" s="169">
        <f>Imput[[#This Row],[Cantidad]]*Imput[[#This Row],[Precio Unitario]]</f>
        <v>48.5</v>
      </c>
      <c r="J733" s="11">
        <v>0</v>
      </c>
      <c r="K733" s="11">
        <v>0</v>
      </c>
      <c r="L733" s="169">
        <f>Imput[[#This Row],[Sub total]]+Imput[[#This Row],[IVA]]-Imput[[#This Row],[Retención / IEPS / Descuento]]</f>
        <v>48.5</v>
      </c>
      <c r="M733" s="844">
        <v>0</v>
      </c>
      <c r="N733" s="189" t="s">
        <v>123</v>
      </c>
      <c r="O733" s="1"/>
      <c r="P733" s="189" t="s">
        <v>1546</v>
      </c>
      <c r="Q733" s="190" t="s">
        <v>1547</v>
      </c>
      <c r="R733" s="188">
        <v>45880</v>
      </c>
      <c r="S733" s="193" t="s">
        <v>126</v>
      </c>
      <c r="T733" s="192"/>
      <c r="U733" s="829"/>
      <c r="V733" s="10"/>
      <c r="W733" s="10"/>
      <c r="X733" s="10"/>
      <c r="Y733" s="10"/>
      <c r="Z733" s="10"/>
      <c r="AA733" s="11"/>
      <c r="AB733" s="11"/>
      <c r="AD733" s="260"/>
    </row>
    <row r="734" spans="2:30" x14ac:dyDescent="0.3">
      <c r="B734" s="10" t="s">
        <v>383</v>
      </c>
      <c r="C734" s="315" t="s">
        <v>1769</v>
      </c>
      <c r="D734" s="868" t="s">
        <v>244</v>
      </c>
      <c r="E734" s="837" t="str">
        <f>IFERROR(IF(_xlfn.XLOOKUP(Imput[[#This Row],[RFC]],'Alta Proveedor'!D:D,'Alta Proveedor'!E:E)=0,"",_xlfn.XLOOKUP(Imput[[#This Row],[RFC]],'Alta Proveedor'!D:D,'Alta Proveedor'!E:E)),"")</f>
        <v>CADENA COMERCIAL OXXO</v>
      </c>
      <c r="F734" s="832" t="s">
        <v>1621</v>
      </c>
      <c r="G734" s="187">
        <v>1</v>
      </c>
      <c r="H734" s="1">
        <v>24.0747</v>
      </c>
      <c r="I734" s="169">
        <f>Imput[[#This Row],[Cantidad]]*Imput[[#This Row],[Precio Unitario]]</f>
        <v>24.0747</v>
      </c>
      <c r="J734" s="11">
        <f>((Imput[[#This Row],[Sub total]])*(0.08))</f>
        <v>1.9259760000000001</v>
      </c>
      <c r="K734" s="11">
        <v>0</v>
      </c>
      <c r="L734" s="169">
        <f>Imput[[#This Row],[Sub total]]+Imput[[#This Row],[IVA]]-Imput[[#This Row],[Retención / IEPS / Descuento]]</f>
        <v>26.000675999999999</v>
      </c>
      <c r="M734" s="844">
        <v>164.00518</v>
      </c>
      <c r="N734" s="189" t="s">
        <v>123</v>
      </c>
      <c r="O734" s="1"/>
      <c r="P734" s="189" t="s">
        <v>1549</v>
      </c>
      <c r="Q734" s="190" t="s">
        <v>1550</v>
      </c>
      <c r="R734" s="188">
        <v>45880</v>
      </c>
      <c r="S734" s="193" t="s">
        <v>294</v>
      </c>
      <c r="T734" s="192"/>
      <c r="U734" s="829"/>
      <c r="V734" s="10"/>
      <c r="W734" s="10"/>
      <c r="X734" s="10"/>
      <c r="Y734" s="10"/>
      <c r="Z734" s="10"/>
      <c r="AA734" s="11"/>
      <c r="AB734" s="11"/>
      <c r="AD734" s="260"/>
    </row>
    <row r="735" spans="2:30" x14ac:dyDescent="0.3">
      <c r="B735" s="10" t="s">
        <v>383</v>
      </c>
      <c r="C735" s="315" t="s">
        <v>1769</v>
      </c>
      <c r="D735" s="868" t="s">
        <v>244</v>
      </c>
      <c r="E735" s="837" t="str">
        <f>IFERROR(IF(_xlfn.XLOOKUP(Imput[[#This Row],[RFC]],'Alta Proveedor'!D:D,'Alta Proveedor'!E:E)=0,"",_xlfn.XLOOKUP(Imput[[#This Row],[RFC]],'Alta Proveedor'!D:D,'Alta Proveedor'!E:E)),"")</f>
        <v>CADENA COMERCIAL OXXO</v>
      </c>
      <c r="F735" s="832" t="s">
        <v>1580</v>
      </c>
      <c r="G735" s="187">
        <v>1</v>
      </c>
      <c r="H735" s="1">
        <v>42.244700000000002</v>
      </c>
      <c r="I735" s="169">
        <f>Imput[[#This Row],[Cantidad]]*Imput[[#This Row],[Precio Unitario]]</f>
        <v>42.244700000000002</v>
      </c>
      <c r="J735" s="11">
        <f>((Imput[[#This Row],[Sub total]])*(0.16))</f>
        <v>6.7591520000000003</v>
      </c>
      <c r="K735" s="11">
        <v>0</v>
      </c>
      <c r="L735" s="169">
        <f>Imput[[#This Row],[Sub total]]+Imput[[#This Row],[IVA]]-Imput[[#This Row],[Retención / IEPS / Descuento]]</f>
        <v>49.003852000000002</v>
      </c>
      <c r="M735" s="844">
        <v>0</v>
      </c>
      <c r="N735" s="189" t="s">
        <v>123</v>
      </c>
      <c r="O735" s="1"/>
      <c r="P735" s="189" t="s">
        <v>1549</v>
      </c>
      <c r="Q735" s="190" t="s">
        <v>1550</v>
      </c>
      <c r="R735" s="188">
        <v>45880</v>
      </c>
      <c r="S735" s="193" t="s">
        <v>294</v>
      </c>
      <c r="T735" s="192"/>
      <c r="U735" s="829"/>
      <c r="V735" s="10"/>
      <c r="W735" s="10"/>
      <c r="X735" s="10"/>
      <c r="Y735" s="10"/>
      <c r="Z735" s="10"/>
      <c r="AA735" s="11"/>
      <c r="AB735" s="11"/>
      <c r="AD735" s="260"/>
    </row>
    <row r="736" spans="2:30" x14ac:dyDescent="0.3">
      <c r="B736" s="10" t="s">
        <v>383</v>
      </c>
      <c r="C736" s="315" t="s">
        <v>1769</v>
      </c>
      <c r="D736" s="868" t="s">
        <v>244</v>
      </c>
      <c r="E736" s="837" t="str">
        <f>IFERROR(IF(_xlfn.XLOOKUP(Imput[[#This Row],[RFC]],'Alta Proveedor'!D:D,'Alta Proveedor'!E:E)=0,"",_xlfn.XLOOKUP(Imput[[#This Row],[RFC]],'Alta Proveedor'!D:D,'Alta Proveedor'!E:E)),"")</f>
        <v>CADENA COMERCIAL OXXO</v>
      </c>
      <c r="F736" s="832" t="s">
        <v>1231</v>
      </c>
      <c r="G736" s="187">
        <v>1</v>
      </c>
      <c r="H736" s="1">
        <v>76.724699999999999</v>
      </c>
      <c r="I736" s="169">
        <f>Imput[[#This Row],[Cantidad]]*Imput[[#This Row],[Precio Unitario]]</f>
        <v>76.724699999999999</v>
      </c>
      <c r="J736" s="11">
        <f>((Imput[[#This Row],[Sub total]])*(0.16))</f>
        <v>12.275952</v>
      </c>
      <c r="K736" s="11">
        <v>0</v>
      </c>
      <c r="L736" s="169">
        <f>Imput[[#This Row],[Sub total]]+Imput[[#This Row],[IVA]]-Imput[[#This Row],[Retención / IEPS / Descuento]]</f>
        <v>89.000652000000002</v>
      </c>
      <c r="M736" s="844">
        <v>0</v>
      </c>
      <c r="N736" s="189" t="s">
        <v>123</v>
      </c>
      <c r="O736" s="1"/>
      <c r="P736" s="189" t="s">
        <v>1549</v>
      </c>
      <c r="Q736" s="190" t="s">
        <v>1550</v>
      </c>
      <c r="R736" s="188">
        <v>45880</v>
      </c>
      <c r="S736" s="193" t="s">
        <v>294</v>
      </c>
      <c r="T736" s="192"/>
      <c r="U736" s="829"/>
      <c r="V736" s="10"/>
      <c r="W736" s="10"/>
      <c r="X736" s="10"/>
      <c r="Y736" s="10"/>
      <c r="Z736" s="10"/>
      <c r="AA736" s="11"/>
      <c r="AB736" s="11"/>
      <c r="AD736" s="260"/>
    </row>
    <row r="737" spans="2:30" x14ac:dyDescent="0.3">
      <c r="B737" s="10" t="s">
        <v>383</v>
      </c>
      <c r="C737" s="315" t="s">
        <v>1769</v>
      </c>
      <c r="D737" s="868" t="s">
        <v>244</v>
      </c>
      <c r="E737" s="837" t="str">
        <f>IFERROR(IF(_xlfn.XLOOKUP(Imput[[#This Row],[RFC]],'Alta Proveedor'!D:D,'Alta Proveedor'!E:E)=0,"",_xlfn.XLOOKUP(Imput[[#This Row],[RFC]],'Alta Proveedor'!D:D,'Alta Proveedor'!E:E)),"")</f>
        <v>CADENA COMERCIAL OXXO</v>
      </c>
      <c r="F737" s="832" t="s">
        <v>1576</v>
      </c>
      <c r="G737" s="187">
        <v>2</v>
      </c>
      <c r="H737" s="1">
        <v>15.085000000000001</v>
      </c>
      <c r="I737" s="169">
        <f>Imput[[#This Row],[Cantidad]]*Imput[[#This Row],[Precio Unitario]]</f>
        <v>30.17</v>
      </c>
      <c r="J737" s="11">
        <f>((Imput[[#This Row],[Sub total]])*(0.16))</f>
        <v>4.8272000000000004</v>
      </c>
      <c r="K737" s="11">
        <v>0</v>
      </c>
      <c r="L737" s="169">
        <f>Imput[[#This Row],[Sub total]]+Imput[[#This Row],[IVA]]-Imput[[#This Row],[Retención / IEPS / Descuento]]</f>
        <v>34.997199999999999</v>
      </c>
      <c r="M737" s="844">
        <v>34.997199999999999</v>
      </c>
      <c r="N737" s="189" t="s">
        <v>123</v>
      </c>
      <c r="O737" s="1"/>
      <c r="P737" s="189" t="s">
        <v>1522</v>
      </c>
      <c r="Q737" s="190" t="s">
        <v>1523</v>
      </c>
      <c r="R737" s="188">
        <v>45880</v>
      </c>
      <c r="S737" s="193" t="s">
        <v>294</v>
      </c>
      <c r="T737" s="192"/>
      <c r="U737" s="829"/>
      <c r="V737" s="10"/>
      <c r="W737" s="10"/>
      <c r="X737" s="10"/>
      <c r="Y737" s="10"/>
      <c r="Z737" s="10"/>
      <c r="AA737" s="11"/>
      <c r="AB737" s="11"/>
      <c r="AD737" s="260"/>
    </row>
    <row r="738" spans="2:30" x14ac:dyDescent="0.3">
      <c r="B738" s="10" t="s">
        <v>383</v>
      </c>
      <c r="C738" s="315" t="s">
        <v>2903</v>
      </c>
      <c r="D738" s="868" t="s">
        <v>164</v>
      </c>
      <c r="E738" s="837" t="str">
        <f>IFERROR(IF(_xlfn.XLOOKUP(Imput[[#This Row],[RFC]],'Alta Proveedor'!D:D,'Alta Proveedor'!E:E)=0,"",_xlfn.XLOOKUP(Imput[[#This Row],[RFC]],'Alta Proveedor'!D:D,'Alta Proveedor'!E:E)),"")</f>
        <v>HOME DEPOT MEXICO SUCURSAL THD-8730 TAMPICO</v>
      </c>
      <c r="F738" s="832" t="s">
        <v>1911</v>
      </c>
      <c r="G738" s="187">
        <v>1</v>
      </c>
      <c r="H738" s="1">
        <v>128.44999999999999</v>
      </c>
      <c r="I738" s="169">
        <f>Imput[[#This Row],[Cantidad]]*Imput[[#This Row],[Precio Unitario]]</f>
        <v>128.44999999999999</v>
      </c>
      <c r="J738" s="11">
        <f>((Imput[[#This Row],[Sub total]])*(0.16))</f>
        <v>20.552</v>
      </c>
      <c r="K738" s="11">
        <v>0</v>
      </c>
      <c r="L738" s="169">
        <f>Imput[[#This Row],[Sub total]]+Imput[[#This Row],[IVA]]-Imput[[#This Row],[Retención / IEPS / Descuento]]</f>
        <v>149.00199999999998</v>
      </c>
      <c r="M738" s="844">
        <v>149.00199999999998</v>
      </c>
      <c r="N738" s="189" t="s">
        <v>123</v>
      </c>
      <c r="O738" s="1"/>
      <c r="P738" s="189" t="s">
        <v>1872</v>
      </c>
      <c r="Q738" s="190" t="s">
        <v>1873</v>
      </c>
      <c r="R738" s="188">
        <v>45880</v>
      </c>
      <c r="S738" s="193" t="s">
        <v>126</v>
      </c>
      <c r="T738" s="192"/>
      <c r="U738" s="829"/>
      <c r="V738" s="10"/>
      <c r="W738" s="10"/>
      <c r="X738" s="10"/>
      <c r="Y738" s="10"/>
      <c r="Z738" s="10"/>
      <c r="AA738" s="11"/>
      <c r="AB738" s="11"/>
      <c r="AD738" s="260"/>
    </row>
    <row r="739" spans="2:30" x14ac:dyDescent="0.3">
      <c r="B739" s="10" t="s">
        <v>383</v>
      </c>
      <c r="C739" s="315" t="s">
        <v>2134</v>
      </c>
      <c r="D739" s="868" t="s">
        <v>3119</v>
      </c>
      <c r="E739" s="837" t="str">
        <f>IFERROR(IF(_xlfn.XLOOKUP(Imput[[#This Row],[RFC]],'Alta Proveedor'!D:D,'Alta Proveedor'!E:E)=0,"",_xlfn.XLOOKUP(Imput[[#This Row],[RFC]],'Alta Proveedor'!D:D,'Alta Proveedor'!E:E)),"")</f>
        <v>Nomina-OPERACIÓN</v>
      </c>
      <c r="F739" s="836" t="s">
        <v>3180</v>
      </c>
      <c r="G739" s="187">
        <v>1</v>
      </c>
      <c r="H739" s="1">
        <v>698</v>
      </c>
      <c r="I739" s="169">
        <f>Imput[[#This Row],[Cantidad]]*Imput[[#This Row],[Precio Unitario]]</f>
        <v>698</v>
      </c>
      <c r="J739" s="11">
        <f>Imput[[#This Row],[Sub total]]*0.08</f>
        <v>55.84</v>
      </c>
      <c r="K739" s="11">
        <v>0</v>
      </c>
      <c r="L739" s="169">
        <f>Imput[[#This Row],[Sub total]]+Imput[[#This Row],[IVA]]-Imput[[#This Row],[Retención / IEPS / Descuento]]</f>
        <v>753.84</v>
      </c>
      <c r="M739" s="844">
        <v>753.84</v>
      </c>
      <c r="N739" s="189"/>
      <c r="O739" s="1"/>
      <c r="P739" s="189"/>
      <c r="Q739" s="190"/>
      <c r="R739" s="188">
        <v>45880</v>
      </c>
      <c r="S739" s="193"/>
      <c r="T739" s="192"/>
      <c r="U739" s="867" t="s">
        <v>3225</v>
      </c>
      <c r="V739" s="10"/>
      <c r="W739" s="10"/>
      <c r="X739" s="10"/>
      <c r="Y739" s="10"/>
      <c r="Z739" s="10"/>
      <c r="AA739" s="11"/>
      <c r="AB739" s="11"/>
      <c r="AD739" s="260"/>
    </row>
    <row r="740" spans="2:30" x14ac:dyDescent="0.3">
      <c r="B740" s="10" t="s">
        <v>383</v>
      </c>
      <c r="C740" s="315" t="s">
        <v>2335</v>
      </c>
      <c r="D740" s="868" t="s">
        <v>3119</v>
      </c>
      <c r="E740" s="837" t="str">
        <f>IFERROR(IF(_xlfn.XLOOKUP(Imput[[#This Row],[RFC]],'Alta Proveedor'!D:D,'Alta Proveedor'!E:E)=0,"",_xlfn.XLOOKUP(Imput[[#This Row],[RFC]],'Alta Proveedor'!D:D,'Alta Proveedor'!E:E)),"")</f>
        <v>Nomina-OPERACIÓN</v>
      </c>
      <c r="F740" s="836" t="s">
        <v>3181</v>
      </c>
      <c r="G740" s="187">
        <v>1</v>
      </c>
      <c r="H740" s="1">
        <v>800</v>
      </c>
      <c r="I740" s="169">
        <f>Imput[[#This Row],[Cantidad]]*Imput[[#This Row],[Precio Unitario]]</f>
        <v>800</v>
      </c>
      <c r="J740" s="11">
        <f>Imput[[#This Row],[Sub total]]*0.08</f>
        <v>64</v>
      </c>
      <c r="K740" s="11">
        <v>0</v>
      </c>
      <c r="L740" s="169">
        <f>Imput[[#This Row],[Sub total]]+Imput[[#This Row],[IVA]]-Imput[[#This Row],[Retención / IEPS / Descuento]]</f>
        <v>864</v>
      </c>
      <c r="M740" s="844">
        <v>864</v>
      </c>
      <c r="N740" s="189"/>
      <c r="O740" s="1"/>
      <c r="P740" s="189"/>
      <c r="Q740" s="190"/>
      <c r="R740" s="188">
        <v>45880</v>
      </c>
      <c r="S740" s="193"/>
      <c r="T740" s="192"/>
      <c r="U740" s="867" t="s">
        <v>3225</v>
      </c>
      <c r="V740" s="10"/>
      <c r="W740" s="10"/>
      <c r="X740" s="10"/>
      <c r="Y740" s="10"/>
      <c r="Z740" s="10"/>
      <c r="AA740" s="11"/>
      <c r="AB740" s="11"/>
      <c r="AD740" s="260"/>
    </row>
    <row r="741" spans="2:30" x14ac:dyDescent="0.3">
      <c r="B741" s="10" t="s">
        <v>383</v>
      </c>
      <c r="C741" s="315" t="s">
        <v>1845</v>
      </c>
      <c r="D741" s="868" t="s">
        <v>3225</v>
      </c>
      <c r="E741" s="837" t="str">
        <f>IFERROR(IF(_xlfn.XLOOKUP(Imput[[#This Row],[RFC]],'Alta Proveedor'!D:D,'Alta Proveedor'!E:E)=0,"",_xlfn.XLOOKUP(Imput[[#This Row],[RFC]],'Alta Proveedor'!D:D,'Alta Proveedor'!E:E)),"")</f>
        <v>GASTOS SIN FACTURA</v>
      </c>
      <c r="F741" s="836" t="s">
        <v>3214</v>
      </c>
      <c r="G741" s="187">
        <v>1</v>
      </c>
      <c r="H741" s="1">
        <v>5900</v>
      </c>
      <c r="I741" s="169">
        <f>Imput[[#This Row],[Cantidad]]*Imput[[#This Row],[Precio Unitario]]</f>
        <v>5900</v>
      </c>
      <c r="J741" s="11">
        <f>Imput[[#This Row],[Sub total]]*0.08</f>
        <v>472</v>
      </c>
      <c r="K741" s="11">
        <v>0</v>
      </c>
      <c r="L741" s="169">
        <f>Imput[[#This Row],[Sub total]]+Imput[[#This Row],[IVA]]-Imput[[#This Row],[Retención / IEPS / Descuento]]</f>
        <v>6372</v>
      </c>
      <c r="M741" s="844">
        <v>6372</v>
      </c>
      <c r="N741" s="189"/>
      <c r="O741" s="1"/>
      <c r="P741" s="189"/>
      <c r="Q741" s="190"/>
      <c r="R741" s="188">
        <v>45880</v>
      </c>
      <c r="S741" s="193"/>
      <c r="T741" s="192"/>
      <c r="U741" s="867" t="s">
        <v>3225</v>
      </c>
      <c r="V741" s="10"/>
      <c r="W741" s="10"/>
      <c r="X741" s="10"/>
      <c r="Y741" s="10"/>
      <c r="Z741" s="10"/>
      <c r="AA741" s="11"/>
      <c r="AB741" s="11"/>
      <c r="AD741" s="260"/>
    </row>
    <row r="742" spans="2:30" x14ac:dyDescent="0.3">
      <c r="B742" s="10" t="s">
        <v>383</v>
      </c>
      <c r="C742" s="315" t="s">
        <v>1806</v>
      </c>
      <c r="D742" s="868" t="s">
        <v>1535</v>
      </c>
      <c r="E742" s="837" t="str">
        <f>IFERROR(IF(_xlfn.XLOOKUP(Imput[[#This Row],[RFC]],'Alta Proveedor'!D:D,'Alta Proveedor'!E:E)=0,"",_xlfn.XLOOKUP(Imput[[#This Row],[RFC]],'Alta Proveedor'!D:D,'Alta Proveedor'!E:E)),"")</f>
        <v>BAJIO ROLL "SUSHI ROLL" (RESTAURANTE)</v>
      </c>
      <c r="F742" s="832" t="s">
        <v>159</v>
      </c>
      <c r="G742" s="187">
        <v>1</v>
      </c>
      <c r="H742" s="1">
        <v>2706.9</v>
      </c>
      <c r="I742" s="169">
        <f>Imput[[#This Row],[Cantidad]]*Imput[[#This Row],[Precio Unitario]]</f>
        <v>2706.9</v>
      </c>
      <c r="J742" s="11">
        <f>((Imput[[#This Row],[Sub total]])*(0.16))</f>
        <v>433.10400000000004</v>
      </c>
      <c r="K742" s="11">
        <v>0</v>
      </c>
      <c r="L742" s="169">
        <f>Imput[[#This Row],[Sub total]]+Imput[[#This Row],[IVA]]-Imput[[#This Row],[Retención / IEPS / Descuento]]</f>
        <v>3140.0039999999999</v>
      </c>
      <c r="M742" s="844">
        <v>3140.0039999999999</v>
      </c>
      <c r="N742" s="189" t="s">
        <v>123</v>
      </c>
      <c r="O742" s="1"/>
      <c r="P742" s="189" t="s">
        <v>1533</v>
      </c>
      <c r="Q742" s="190" t="s">
        <v>1534</v>
      </c>
      <c r="R742" s="188">
        <v>45881</v>
      </c>
      <c r="S742" s="193" t="s">
        <v>126</v>
      </c>
      <c r="T742" s="192"/>
      <c r="U742" s="829"/>
      <c r="V742" s="10"/>
      <c r="W742" s="10"/>
      <c r="X742" s="10"/>
      <c r="Y742" s="10"/>
      <c r="Z742" s="10"/>
      <c r="AA742" s="11"/>
      <c r="AB742" s="11"/>
      <c r="AD742" s="260"/>
    </row>
    <row r="743" spans="2:30" x14ac:dyDescent="0.3">
      <c r="B743" s="10" t="s">
        <v>383</v>
      </c>
      <c r="C743" s="315" t="s">
        <v>2903</v>
      </c>
      <c r="D743" s="868" t="s">
        <v>1341</v>
      </c>
      <c r="E743" s="837" t="str">
        <f>IFERROR(IF(_xlfn.XLOOKUP(Imput[[#This Row],[RFC]],'Alta Proveedor'!D:D,'Alta Proveedor'!E:E)=0,"",_xlfn.XLOOKUP(Imput[[#This Row],[RFC]],'Alta Proveedor'!D:D,'Alta Proveedor'!E:E)),"")</f>
        <v>ZOILA DE LA GARZA VALDEZ "FerreCables y Cordeles"</v>
      </c>
      <c r="F743" s="832" t="s">
        <v>1575</v>
      </c>
      <c r="G743" s="187">
        <v>1</v>
      </c>
      <c r="H743" s="1">
        <v>161.22280000000001</v>
      </c>
      <c r="I743" s="169">
        <f>Imput[[#This Row],[Cantidad]]*Imput[[#This Row],[Precio Unitario]]</f>
        <v>161.22280000000001</v>
      </c>
      <c r="J743" s="11">
        <f>((Imput[[#This Row],[Sub total]])*(0.16))</f>
        <v>25.795648</v>
      </c>
      <c r="K743" s="11">
        <v>2.02</v>
      </c>
      <c r="L743" s="169">
        <f>Imput[[#This Row],[Sub total]]+Imput[[#This Row],[IVA]]-Imput[[#This Row],[Retención / IEPS / Descuento]]</f>
        <v>184.998448</v>
      </c>
      <c r="M743" s="844">
        <v>184.998448</v>
      </c>
      <c r="N743" s="189" t="s">
        <v>123</v>
      </c>
      <c r="O743" s="1"/>
      <c r="P743" s="189" t="s">
        <v>1573</v>
      </c>
      <c r="Q743" s="190" t="s">
        <v>1574</v>
      </c>
      <c r="R743" s="188">
        <v>45881</v>
      </c>
      <c r="S743" s="193" t="s">
        <v>126</v>
      </c>
      <c r="T743" s="192"/>
      <c r="U743" s="829"/>
      <c r="V743" s="10"/>
      <c r="W743" s="10"/>
      <c r="X743" s="10"/>
      <c r="Y743" s="10"/>
      <c r="Z743" s="10"/>
      <c r="AA743" s="11"/>
      <c r="AB743" s="11"/>
      <c r="AD743" s="260"/>
    </row>
    <row r="744" spans="2:30" x14ac:dyDescent="0.3">
      <c r="B744" s="10" t="s">
        <v>383</v>
      </c>
      <c r="C744" s="315" t="s">
        <v>1767</v>
      </c>
      <c r="D744" s="868" t="s">
        <v>1248</v>
      </c>
      <c r="E744" s="837" t="str">
        <f>IFERROR(IF(_xlfn.XLOOKUP(Imput[[#This Row],[RFC]],'Alta Proveedor'!D:D,'Alta Proveedor'!E:E)=0,"",_xlfn.XLOOKUP(Imput[[#This Row],[RFC]],'Alta Proveedor'!D:D,'Alta Proveedor'!E:E)),"")</f>
        <v>SERVICIO BOULEVARD "MOBIL"</v>
      </c>
      <c r="F744" s="832" t="s">
        <v>1114</v>
      </c>
      <c r="G744" s="187">
        <v>36.659945999999998</v>
      </c>
      <c r="H744" s="1">
        <v>22.297986000000002</v>
      </c>
      <c r="I744" s="169">
        <f>Imput[[#This Row],[Cantidad]]*Imput[[#This Row],[Precio Unitario]]</f>
        <v>817.44296266875597</v>
      </c>
      <c r="J744" s="11">
        <f>((800.125)*(0.16))</f>
        <v>128.02000000000001</v>
      </c>
      <c r="K744" s="11">
        <v>0</v>
      </c>
      <c r="L744" s="169">
        <f>Imput[[#This Row],[Sub total]]+Imput[[#This Row],[IVA]]-Imput[[#This Row],[Retención / IEPS / Descuento]]</f>
        <v>945.46296266875595</v>
      </c>
      <c r="M744" s="844">
        <v>945.46296266875595</v>
      </c>
      <c r="N744" s="189" t="s">
        <v>123</v>
      </c>
      <c r="O744" s="1"/>
      <c r="P744" s="189" t="s">
        <v>1987</v>
      </c>
      <c r="Q744" s="190" t="s">
        <v>1988</v>
      </c>
      <c r="R744" s="188">
        <v>45881</v>
      </c>
      <c r="S744" s="193" t="s">
        <v>126</v>
      </c>
      <c r="T744" s="192"/>
      <c r="U744" s="829"/>
      <c r="V744" s="10"/>
      <c r="W744" s="10"/>
      <c r="X744" s="10"/>
      <c r="Y744" s="10"/>
      <c r="Z744" s="10"/>
      <c r="AA744" s="11"/>
      <c r="AB744" s="11"/>
      <c r="AD744" s="260"/>
    </row>
    <row r="745" spans="2:30" x14ac:dyDescent="0.3">
      <c r="B745" s="10" t="s">
        <v>383</v>
      </c>
      <c r="C745" s="315" t="s">
        <v>1806</v>
      </c>
      <c r="D745" s="868" t="s">
        <v>1979</v>
      </c>
      <c r="E745" s="837" t="str">
        <f>IFERROR(IF(_xlfn.XLOOKUP(Imput[[#This Row],[RFC]],'Alta Proveedor'!D:D,'Alta Proveedor'!E:E)=0,"",_xlfn.XLOOKUP(Imput[[#This Row],[RFC]],'Alta Proveedor'!D:D,'Alta Proveedor'!E:E)),"")</f>
        <v>JUDITH ANAYANZI ROBLES LAMAS</v>
      </c>
      <c r="F745" s="832" t="s">
        <v>1999</v>
      </c>
      <c r="G745" s="187">
        <v>1</v>
      </c>
      <c r="H745" s="1">
        <v>472.41</v>
      </c>
      <c r="I745" s="169">
        <f>Imput[[#This Row],[Cantidad]]*Imput[[#This Row],[Precio Unitario]]</f>
        <v>472.41</v>
      </c>
      <c r="J745" s="11">
        <f>((Imput[[#This Row],[Sub total]])*(0.16))</f>
        <v>75.585599999999999</v>
      </c>
      <c r="K745" s="11">
        <v>0</v>
      </c>
      <c r="L745" s="169">
        <f>Imput[[#This Row],[Sub total]]+Imput[[#This Row],[IVA]]-Imput[[#This Row],[Retención / IEPS / Descuento]]</f>
        <v>547.99559999999997</v>
      </c>
      <c r="M745" s="844">
        <v>547.99559999999997</v>
      </c>
      <c r="N745" s="189" t="s">
        <v>123</v>
      </c>
      <c r="O745" s="1"/>
      <c r="P745" s="189" t="s">
        <v>1977</v>
      </c>
      <c r="Q745" s="190" t="s">
        <v>1978</v>
      </c>
      <c r="R745" s="188">
        <v>45881</v>
      </c>
      <c r="S745" s="193" t="s">
        <v>126</v>
      </c>
      <c r="T745" s="192"/>
      <c r="U745" s="829"/>
      <c r="V745" s="10"/>
      <c r="W745" s="10"/>
      <c r="X745" s="10"/>
      <c r="Y745" s="10"/>
      <c r="Z745" s="10"/>
      <c r="AA745" s="11"/>
      <c r="AB745" s="11"/>
      <c r="AD745" s="260"/>
    </row>
    <row r="746" spans="2:30" x14ac:dyDescent="0.3">
      <c r="B746" s="10" t="s">
        <v>383</v>
      </c>
      <c r="C746" s="315" t="s">
        <v>1131</v>
      </c>
      <c r="D746" s="868" t="s">
        <v>264</v>
      </c>
      <c r="E746" s="837" t="str">
        <f>IFERROR(IF(_xlfn.XLOOKUP(Imput[[#This Row],[RFC]],'Alta Proveedor'!D:D,'Alta Proveedor'!E:E)=0,"",_xlfn.XLOOKUP(Imput[[#This Row],[RFC]],'Alta Proveedor'!D:D,'Alta Proveedor'!E:E)),"")</f>
        <v>M.N. DEL GOLFO "HOME CENTER TU ASESOR CONFIABLE"</v>
      </c>
      <c r="F746" s="832" t="s">
        <v>1949</v>
      </c>
      <c r="G746" s="187">
        <v>1</v>
      </c>
      <c r="H746" s="1">
        <v>12490.51</v>
      </c>
      <c r="I746" s="169">
        <f>Imput[[#This Row],[Cantidad]]*Imput[[#This Row],[Precio Unitario]]</f>
        <v>12490.51</v>
      </c>
      <c r="J746" s="11">
        <f>((Imput[[#This Row],[Sub total]])*(0.1599995))</f>
        <v>1998.475354745</v>
      </c>
      <c r="K746" s="11">
        <v>0</v>
      </c>
      <c r="L746" s="169">
        <f>Imput[[#This Row],[Sub total]]+Imput[[#This Row],[IVA]]-Imput[[#This Row],[Retención / IEPS / Descuento]]</f>
        <v>14488.985354745</v>
      </c>
      <c r="M746" s="844">
        <v>14644.819687575</v>
      </c>
      <c r="N746" s="189" t="s">
        <v>123</v>
      </c>
      <c r="O746" s="1"/>
      <c r="P746" s="189" t="s">
        <v>1947</v>
      </c>
      <c r="Q746" s="190" t="s">
        <v>1948</v>
      </c>
      <c r="R746" s="188">
        <v>45881</v>
      </c>
      <c r="S746" s="193" t="s">
        <v>126</v>
      </c>
      <c r="T746" s="192"/>
      <c r="U746" s="829"/>
      <c r="V746" s="10"/>
      <c r="W746" s="10"/>
      <c r="X746" s="10"/>
      <c r="Y746" s="10"/>
      <c r="Z746" s="10"/>
      <c r="AA746" s="11"/>
      <c r="AB746" s="11"/>
      <c r="AD746" s="260"/>
    </row>
    <row r="747" spans="2:30" x14ac:dyDescent="0.3">
      <c r="B747" s="10" t="s">
        <v>383</v>
      </c>
      <c r="C747" s="549" t="s">
        <v>2437</v>
      </c>
      <c r="D747" s="868" t="s">
        <v>264</v>
      </c>
      <c r="E747" s="837" t="str">
        <f>IFERROR(IF(_xlfn.XLOOKUP(Imput[[#This Row],[RFC]],'Alta Proveedor'!D:D,'Alta Proveedor'!E:E)=0,"",_xlfn.XLOOKUP(Imput[[#This Row],[RFC]],'Alta Proveedor'!D:D,'Alta Proveedor'!E:E)),"")</f>
        <v>M.N. DEL GOLFO "HOME CENTER TU ASESOR CONFIABLE"</v>
      </c>
      <c r="F747" s="832" t="s">
        <v>2907</v>
      </c>
      <c r="G747" s="187">
        <v>1</v>
      </c>
      <c r="H747" s="1">
        <v>134.34</v>
      </c>
      <c r="I747" s="169">
        <f>Imput[[#This Row],[Cantidad]]*Imput[[#This Row],[Precio Unitario]]</f>
        <v>134.34</v>
      </c>
      <c r="J747" s="11">
        <f>((Imput[[#This Row],[Sub total]])*(0.1599995))</f>
        <v>21.494332829999998</v>
      </c>
      <c r="K747" s="11">
        <v>0</v>
      </c>
      <c r="L747" s="169">
        <f>Imput[[#This Row],[Sub total]]+Imput[[#This Row],[IVA]]-Imput[[#This Row],[Retención / IEPS / Descuento]]</f>
        <v>155.83433282999999</v>
      </c>
      <c r="M747" s="844">
        <v>0</v>
      </c>
      <c r="N747" s="189" t="s">
        <v>123</v>
      </c>
      <c r="O747" s="1"/>
      <c r="P747" s="189" t="s">
        <v>1947</v>
      </c>
      <c r="Q747" s="190" t="s">
        <v>1948</v>
      </c>
      <c r="R747" s="188">
        <v>45881</v>
      </c>
      <c r="S747" s="193" t="s">
        <v>126</v>
      </c>
      <c r="T747" s="192"/>
      <c r="U747" s="829"/>
      <c r="V747" s="10"/>
      <c r="W747" s="10"/>
      <c r="X747" s="10"/>
      <c r="Y747" s="10"/>
      <c r="Z747" s="10"/>
      <c r="AA747" s="11"/>
      <c r="AB747" s="11"/>
      <c r="AD747" s="260"/>
    </row>
    <row r="748" spans="2:30" x14ac:dyDescent="0.3">
      <c r="B748" s="10" t="s">
        <v>383</v>
      </c>
      <c r="C748" s="315" t="s">
        <v>2903</v>
      </c>
      <c r="D748" s="868" t="s">
        <v>264</v>
      </c>
      <c r="E748" s="837" t="str">
        <f>IFERROR(IF(_xlfn.XLOOKUP(Imput[[#This Row],[RFC]],'Alta Proveedor'!D:D,'Alta Proveedor'!E:E)=0,"",_xlfn.XLOOKUP(Imput[[#This Row],[RFC]],'Alta Proveedor'!D:D,'Alta Proveedor'!E:E)),"")</f>
        <v>M.N. DEL GOLFO "HOME CENTER TU ASESOR CONFIABLE"</v>
      </c>
      <c r="F748" s="832" t="s">
        <v>1956</v>
      </c>
      <c r="G748" s="187">
        <v>1</v>
      </c>
      <c r="H748" s="1">
        <v>25.7</v>
      </c>
      <c r="I748" s="169">
        <f>Imput[[#This Row],[Cantidad]]*Imput[[#This Row],[Precio Unitario]]</f>
        <v>25.7</v>
      </c>
      <c r="J748" s="11">
        <f>((Imput[[#This Row],[Sub total]])*(0.16))</f>
        <v>4.1120000000000001</v>
      </c>
      <c r="K748" s="11">
        <v>0</v>
      </c>
      <c r="L748" s="169">
        <f>Imput[[#This Row],[Sub total]]+Imput[[#This Row],[IVA]]-Imput[[#This Row],[Retención / IEPS / Descuento]]</f>
        <v>29.811999999999998</v>
      </c>
      <c r="M748" s="844">
        <v>2712.8803999999996</v>
      </c>
      <c r="N748" s="189" t="s">
        <v>123</v>
      </c>
      <c r="O748" s="1"/>
      <c r="P748" s="189" t="s">
        <v>1950</v>
      </c>
      <c r="Q748" s="190" t="s">
        <v>1951</v>
      </c>
      <c r="R748" s="188">
        <v>45881</v>
      </c>
      <c r="S748" s="193" t="s">
        <v>126</v>
      </c>
      <c r="T748" s="192"/>
      <c r="U748" s="829"/>
      <c r="V748" s="10"/>
      <c r="W748" s="10"/>
      <c r="X748" s="10"/>
      <c r="Y748" s="10"/>
      <c r="Z748" s="10"/>
      <c r="AA748" s="11"/>
      <c r="AB748" s="11"/>
      <c r="AD748" s="260"/>
    </row>
    <row r="749" spans="2:30" x14ac:dyDescent="0.3">
      <c r="B749" s="10" t="s">
        <v>383</v>
      </c>
      <c r="C749" s="315" t="s">
        <v>2903</v>
      </c>
      <c r="D749" s="868" t="s">
        <v>264</v>
      </c>
      <c r="E749" s="837" t="str">
        <f>IFERROR(IF(_xlfn.XLOOKUP(Imput[[#This Row],[RFC]],'Alta Proveedor'!D:D,'Alta Proveedor'!E:E)=0,"",_xlfn.XLOOKUP(Imput[[#This Row],[RFC]],'Alta Proveedor'!D:D,'Alta Proveedor'!E:E)),"")</f>
        <v>M.N. DEL GOLFO "HOME CENTER TU ASESOR CONFIABLE"</v>
      </c>
      <c r="F749" s="832" t="s">
        <v>1957</v>
      </c>
      <c r="G749" s="187">
        <v>1</v>
      </c>
      <c r="H749" s="1">
        <v>104.57</v>
      </c>
      <c r="I749" s="169">
        <f>Imput[[#This Row],[Cantidad]]*Imput[[#This Row],[Precio Unitario]]</f>
        <v>104.57</v>
      </c>
      <c r="J749" s="11">
        <f>((Imput[[#This Row],[Sub total]])*(0.16))</f>
        <v>16.731199999999998</v>
      </c>
      <c r="K749" s="11">
        <v>0</v>
      </c>
      <c r="L749" s="169">
        <f>Imput[[#This Row],[Sub total]]+Imput[[#This Row],[IVA]]-Imput[[#This Row],[Retención / IEPS / Descuento]]</f>
        <v>121.30119999999999</v>
      </c>
      <c r="M749" s="844">
        <v>0</v>
      </c>
      <c r="N749" s="189" t="s">
        <v>123</v>
      </c>
      <c r="O749" s="1"/>
      <c r="P749" s="189" t="s">
        <v>1950</v>
      </c>
      <c r="Q749" s="190" t="s">
        <v>1951</v>
      </c>
      <c r="R749" s="188">
        <v>45881</v>
      </c>
      <c r="S749" s="193" t="s">
        <v>126</v>
      </c>
      <c r="T749" s="192"/>
      <c r="U749" s="829"/>
      <c r="V749" s="10"/>
      <c r="W749" s="10"/>
      <c r="X749" s="10"/>
      <c r="Y749" s="10"/>
      <c r="Z749" s="10"/>
      <c r="AA749" s="11"/>
      <c r="AB749" s="11"/>
      <c r="AD749" s="260"/>
    </row>
    <row r="750" spans="2:30" x14ac:dyDescent="0.3">
      <c r="B750" s="10" t="s">
        <v>383</v>
      </c>
      <c r="C750" s="315" t="s">
        <v>2903</v>
      </c>
      <c r="D750" s="868" t="s">
        <v>264</v>
      </c>
      <c r="E750" s="837" t="str">
        <f>IFERROR(IF(_xlfn.XLOOKUP(Imput[[#This Row],[RFC]],'Alta Proveedor'!D:D,'Alta Proveedor'!E:E)=0,"",_xlfn.XLOOKUP(Imput[[#This Row],[RFC]],'Alta Proveedor'!D:D,'Alta Proveedor'!E:E)),"")</f>
        <v>M.N. DEL GOLFO "HOME CENTER TU ASESOR CONFIABLE"</v>
      </c>
      <c r="F750" s="832" t="s">
        <v>1958</v>
      </c>
      <c r="G750" s="187">
        <v>1</v>
      </c>
      <c r="H750" s="1">
        <v>2060.2399999999998</v>
      </c>
      <c r="I750" s="169">
        <f>Imput[[#This Row],[Cantidad]]*Imput[[#This Row],[Precio Unitario]]</f>
        <v>2060.2399999999998</v>
      </c>
      <c r="J750" s="11">
        <f>((Imput[[#This Row],[Sub total]])*(0.16))</f>
        <v>329.63839999999999</v>
      </c>
      <c r="K750" s="11">
        <v>0</v>
      </c>
      <c r="L750" s="169">
        <f>Imput[[#This Row],[Sub total]]+Imput[[#This Row],[IVA]]-Imput[[#This Row],[Retención / IEPS / Descuento]]</f>
        <v>2389.8783999999996</v>
      </c>
      <c r="M750" s="844">
        <v>0</v>
      </c>
      <c r="N750" s="189" t="s">
        <v>123</v>
      </c>
      <c r="O750" s="1"/>
      <c r="P750" s="189" t="s">
        <v>1950</v>
      </c>
      <c r="Q750" s="190" t="s">
        <v>1951</v>
      </c>
      <c r="R750" s="188">
        <v>45881</v>
      </c>
      <c r="S750" s="193" t="s">
        <v>126</v>
      </c>
      <c r="T750" s="192"/>
      <c r="U750" s="829"/>
      <c r="V750" s="10"/>
      <c r="W750" s="10"/>
      <c r="X750" s="10"/>
      <c r="Y750" s="10"/>
      <c r="Z750" s="10"/>
      <c r="AA750" s="11"/>
      <c r="AB750" s="11"/>
      <c r="AD750" s="260"/>
    </row>
    <row r="751" spans="2:30" x14ac:dyDescent="0.3">
      <c r="B751" s="10" t="s">
        <v>383</v>
      </c>
      <c r="C751" s="315" t="s">
        <v>2903</v>
      </c>
      <c r="D751" s="868" t="s">
        <v>264</v>
      </c>
      <c r="E751" s="837" t="str">
        <f>IFERROR(IF(_xlfn.XLOOKUP(Imput[[#This Row],[RFC]],'Alta Proveedor'!D:D,'Alta Proveedor'!E:E)=0,"",_xlfn.XLOOKUP(Imput[[#This Row],[RFC]],'Alta Proveedor'!D:D,'Alta Proveedor'!E:E)),"")</f>
        <v>M.N. DEL GOLFO "HOME CENTER TU ASESOR CONFIABLE"</v>
      </c>
      <c r="F751" s="832" t="s">
        <v>1959</v>
      </c>
      <c r="G751" s="187">
        <v>1</v>
      </c>
      <c r="H751" s="1">
        <v>74.97</v>
      </c>
      <c r="I751" s="169">
        <f>Imput[[#This Row],[Cantidad]]*Imput[[#This Row],[Precio Unitario]]</f>
        <v>74.97</v>
      </c>
      <c r="J751" s="11">
        <f>((Imput[[#This Row],[Sub total]])*(0.16))</f>
        <v>11.995200000000001</v>
      </c>
      <c r="K751" s="11">
        <v>0</v>
      </c>
      <c r="L751" s="169">
        <f>Imput[[#This Row],[Sub total]]+Imput[[#This Row],[IVA]]-Imput[[#This Row],[Retención / IEPS / Descuento]]</f>
        <v>86.965199999999996</v>
      </c>
      <c r="M751" s="844">
        <v>0</v>
      </c>
      <c r="N751" s="189" t="s">
        <v>123</v>
      </c>
      <c r="O751" s="1"/>
      <c r="P751" s="189" t="s">
        <v>1950</v>
      </c>
      <c r="Q751" s="190" t="s">
        <v>1951</v>
      </c>
      <c r="R751" s="188">
        <v>45881</v>
      </c>
      <c r="S751" s="193" t="s">
        <v>126</v>
      </c>
      <c r="T751" s="192"/>
      <c r="U751" s="829"/>
      <c r="V751" s="10"/>
      <c r="W751" s="10"/>
      <c r="X751" s="10"/>
      <c r="Y751" s="10"/>
      <c r="Z751" s="10"/>
      <c r="AA751" s="11"/>
      <c r="AB751" s="11"/>
      <c r="AD751" s="260"/>
    </row>
    <row r="752" spans="2:30" x14ac:dyDescent="0.3">
      <c r="B752" s="10" t="s">
        <v>383</v>
      </c>
      <c r="C752" s="315" t="s">
        <v>2903</v>
      </c>
      <c r="D752" s="868" t="s">
        <v>264</v>
      </c>
      <c r="E752" s="837" t="str">
        <f>IFERROR(IF(_xlfn.XLOOKUP(Imput[[#This Row],[RFC]],'Alta Proveedor'!D:D,'Alta Proveedor'!E:E)=0,"",_xlfn.XLOOKUP(Imput[[#This Row],[RFC]],'Alta Proveedor'!D:D,'Alta Proveedor'!E:E)),"")</f>
        <v>M.N. DEL GOLFO "HOME CENTER TU ASESOR CONFIABLE"</v>
      </c>
      <c r="F752" s="832" t="s">
        <v>1960</v>
      </c>
      <c r="G752" s="187">
        <v>1</v>
      </c>
      <c r="H752" s="1">
        <v>73.209999999999994</v>
      </c>
      <c r="I752" s="169">
        <f>Imput[[#This Row],[Cantidad]]*Imput[[#This Row],[Precio Unitario]]</f>
        <v>73.209999999999994</v>
      </c>
      <c r="J752" s="11">
        <f>((Imput[[#This Row],[Sub total]])*(0.16))</f>
        <v>11.7136</v>
      </c>
      <c r="K752" s="11">
        <v>0</v>
      </c>
      <c r="L752" s="169">
        <f>Imput[[#This Row],[Sub total]]+Imput[[#This Row],[IVA]]-Imput[[#This Row],[Retención / IEPS / Descuento]]</f>
        <v>84.923599999999993</v>
      </c>
      <c r="M752" s="844">
        <v>0</v>
      </c>
      <c r="N752" s="189" t="s">
        <v>123</v>
      </c>
      <c r="O752" s="1"/>
      <c r="P752" s="189" t="s">
        <v>1950</v>
      </c>
      <c r="Q752" s="190" t="s">
        <v>1951</v>
      </c>
      <c r="R752" s="188">
        <v>45881</v>
      </c>
      <c r="S752" s="193" t="s">
        <v>126</v>
      </c>
      <c r="T752" s="192"/>
      <c r="U752" s="829"/>
      <c r="V752" s="10"/>
      <c r="W752" s="10"/>
      <c r="X752" s="10"/>
      <c r="Y752" s="10"/>
      <c r="Z752" s="10"/>
      <c r="AA752" s="11"/>
      <c r="AB752" s="11"/>
      <c r="AD752" s="260"/>
    </row>
    <row r="753" spans="2:30" x14ac:dyDescent="0.3">
      <c r="B753" s="10" t="s">
        <v>383</v>
      </c>
      <c r="C753" s="315" t="s">
        <v>1765</v>
      </c>
      <c r="D753" s="868" t="s">
        <v>3225</v>
      </c>
      <c r="E753" s="837" t="str">
        <f>IFERROR(IF(_xlfn.XLOOKUP(Imput[[#This Row],[RFC]],'Alta Proveedor'!D:D,'Alta Proveedor'!E:E)=0,"",_xlfn.XLOOKUP(Imput[[#This Row],[RFC]],'Alta Proveedor'!D:D,'Alta Proveedor'!E:E)),"")</f>
        <v>GASTOS SIN FACTURA</v>
      </c>
      <c r="F753" s="836" t="s">
        <v>3215</v>
      </c>
      <c r="G753" s="187">
        <v>1</v>
      </c>
      <c r="H753" s="1">
        <v>1200</v>
      </c>
      <c r="I753" s="169">
        <f>Imput[[#This Row],[Cantidad]]*Imput[[#This Row],[Precio Unitario]]</f>
        <v>1200</v>
      </c>
      <c r="J753" s="11">
        <f>Imput[[#This Row],[Sub total]]*0.08</f>
        <v>96</v>
      </c>
      <c r="K753" s="11">
        <v>0</v>
      </c>
      <c r="L753" s="169">
        <f>Imput[[#This Row],[Sub total]]+Imput[[#This Row],[IVA]]-Imput[[#This Row],[Retención / IEPS / Descuento]]</f>
        <v>1296</v>
      </c>
      <c r="M753" s="844">
        <v>1296</v>
      </c>
      <c r="N753" s="189"/>
      <c r="O753" s="1"/>
      <c r="P753" s="189"/>
      <c r="Q753" s="190"/>
      <c r="R753" s="188">
        <v>45881</v>
      </c>
      <c r="S753" s="193"/>
      <c r="T753" s="192"/>
      <c r="U753" s="867" t="s">
        <v>3225</v>
      </c>
      <c r="V753" s="10"/>
      <c r="W753" s="10"/>
      <c r="X753" s="10"/>
      <c r="Y753" s="10"/>
      <c r="Z753" s="10"/>
      <c r="AA753" s="11"/>
      <c r="AB753" s="11"/>
      <c r="AD753" s="260"/>
    </row>
    <row r="754" spans="2:30" x14ac:dyDescent="0.3">
      <c r="B754" s="10" t="s">
        <v>383</v>
      </c>
      <c r="C754" s="315" t="s">
        <v>2903</v>
      </c>
      <c r="D754" s="868" t="s">
        <v>1975</v>
      </c>
      <c r="E754" s="837" t="str">
        <f>IFERROR(IF(_xlfn.XLOOKUP(Imput[[#This Row],[RFC]],'Alta Proveedor'!D:D,'Alta Proveedor'!E:E)=0,"",_xlfn.XLOOKUP(Imput[[#This Row],[RFC]],'Alta Proveedor'!D:D,'Alta Proveedor'!E:E)),"")</f>
        <v>MAELOISA RAMIREZ PEREZ</v>
      </c>
      <c r="F754" s="832" t="s">
        <v>1997</v>
      </c>
      <c r="G754" s="187">
        <v>1</v>
      </c>
      <c r="H754" s="1">
        <v>111.208</v>
      </c>
      <c r="I754" s="169">
        <f>Imput[[#This Row],[Cantidad]]*Imput[[#This Row],[Precio Unitario]]</f>
        <v>111.208</v>
      </c>
      <c r="J754" s="11">
        <f>((Imput[[#This Row],[Sub total]])*(0.15999))</f>
        <v>17.792167920000001</v>
      </c>
      <c r="K754" s="11">
        <v>0</v>
      </c>
      <c r="L754" s="169">
        <f>Imput[[#This Row],[Sub total]]+Imput[[#This Row],[IVA]]-Imput[[#This Row],[Retención / IEPS / Descuento]]</f>
        <v>129.00016792</v>
      </c>
      <c r="M754" s="844">
        <v>258.00033583999999</v>
      </c>
      <c r="N754" s="189" t="s">
        <v>123</v>
      </c>
      <c r="O754" s="1"/>
      <c r="P754" s="189" t="s">
        <v>1973</v>
      </c>
      <c r="Q754" s="190" t="s">
        <v>1974</v>
      </c>
      <c r="R754" s="188">
        <v>45882</v>
      </c>
      <c r="S754" s="193" t="s">
        <v>126</v>
      </c>
      <c r="T754" s="192"/>
      <c r="U754" s="829"/>
      <c r="V754" s="10"/>
      <c r="W754" s="10"/>
      <c r="X754" s="10"/>
      <c r="Y754" s="10"/>
      <c r="Z754" s="10"/>
      <c r="AA754" s="11"/>
      <c r="AB754" s="11"/>
      <c r="AD754" s="260"/>
    </row>
    <row r="755" spans="2:30" x14ac:dyDescent="0.3">
      <c r="B755" s="10" t="s">
        <v>383</v>
      </c>
      <c r="C755" s="315" t="s">
        <v>2903</v>
      </c>
      <c r="D755" s="868" t="s">
        <v>1975</v>
      </c>
      <c r="E755" s="837" t="str">
        <f>IFERROR(IF(_xlfn.XLOOKUP(Imput[[#This Row],[RFC]],'Alta Proveedor'!D:D,'Alta Proveedor'!E:E)=0,"",_xlfn.XLOOKUP(Imput[[#This Row],[RFC]],'Alta Proveedor'!D:D,'Alta Proveedor'!E:E)),"")</f>
        <v>MAELOISA RAMIREZ PEREZ</v>
      </c>
      <c r="F755" s="832" t="s">
        <v>1998</v>
      </c>
      <c r="G755" s="187">
        <v>1</v>
      </c>
      <c r="H755" s="1">
        <v>111.208</v>
      </c>
      <c r="I755" s="169">
        <f>Imput[[#This Row],[Cantidad]]*Imput[[#This Row],[Precio Unitario]]</f>
        <v>111.208</v>
      </c>
      <c r="J755" s="11">
        <f>((Imput[[#This Row],[Sub total]])*(0.15999))</f>
        <v>17.792167920000001</v>
      </c>
      <c r="K755" s="11">
        <v>0</v>
      </c>
      <c r="L755" s="169">
        <f>Imput[[#This Row],[Sub total]]+Imput[[#This Row],[IVA]]-Imput[[#This Row],[Retención / IEPS / Descuento]]</f>
        <v>129.00016792</v>
      </c>
      <c r="M755" s="844">
        <v>0</v>
      </c>
      <c r="N755" s="189" t="s">
        <v>123</v>
      </c>
      <c r="O755" s="1"/>
      <c r="P755" s="189" t="s">
        <v>1973</v>
      </c>
      <c r="Q755" s="190" t="s">
        <v>1974</v>
      </c>
      <c r="R755" s="188">
        <v>45882</v>
      </c>
      <c r="S755" s="193" t="s">
        <v>126</v>
      </c>
      <c r="T755" s="192"/>
      <c r="U755" s="829"/>
      <c r="V755" s="10"/>
      <c r="W755" s="10"/>
      <c r="X755" s="10"/>
      <c r="Y755" s="10"/>
      <c r="Z755" s="10"/>
      <c r="AA755" s="11"/>
      <c r="AB755" s="11"/>
      <c r="AD755" s="260"/>
    </row>
    <row r="756" spans="2:30" x14ac:dyDescent="0.3">
      <c r="B756" s="10" t="s">
        <v>383</v>
      </c>
      <c r="C756" s="315" t="s">
        <v>1769</v>
      </c>
      <c r="D756" s="868" t="s">
        <v>1530</v>
      </c>
      <c r="E756" s="837" t="str">
        <f>IFERROR(IF(_xlfn.XLOOKUP(Imput[[#This Row],[RFC]],'Alta Proveedor'!D:D,'Alta Proveedor'!E:E)=0,"",_xlfn.XLOOKUP(Imput[[#This Row],[RFC]],'Alta Proveedor'!D:D,'Alta Proveedor'!E:E)),"")</f>
        <v>AUTOS PULLMAN</v>
      </c>
      <c r="F756" s="832" t="s">
        <v>1532</v>
      </c>
      <c r="G756" s="187">
        <v>1</v>
      </c>
      <c r="H756" s="1">
        <v>1535.34</v>
      </c>
      <c r="I756" s="169">
        <f>Imput[[#This Row],[Cantidad]]*Imput[[#This Row],[Precio Unitario]]</f>
        <v>1535.34</v>
      </c>
      <c r="J756" s="11">
        <f>((Imput[[#This Row],[Sub total]])*(0.1600004))</f>
        <v>245.65501413599998</v>
      </c>
      <c r="K756" s="11">
        <v>0</v>
      </c>
      <c r="L756" s="169">
        <f>Imput[[#This Row],[Sub total]]+Imput[[#This Row],[IVA]]-Imput[[#This Row],[Retención / IEPS / Descuento]]</f>
        <v>1780.995014136</v>
      </c>
      <c r="M756" s="844">
        <v>1780.995014136</v>
      </c>
      <c r="N756" s="189" t="s">
        <v>123</v>
      </c>
      <c r="O756" s="1"/>
      <c r="P756" s="189" t="s">
        <v>1528</v>
      </c>
      <c r="Q756" s="190" t="s">
        <v>1529</v>
      </c>
      <c r="R756" s="188">
        <v>45882</v>
      </c>
      <c r="S756" s="193" t="s">
        <v>126</v>
      </c>
      <c r="T756" s="192"/>
      <c r="U756" s="829"/>
      <c r="V756" s="10"/>
      <c r="W756" s="10"/>
      <c r="X756" s="10"/>
      <c r="Y756" s="10"/>
      <c r="Z756" s="10"/>
      <c r="AA756" s="11"/>
      <c r="AB756" s="11"/>
      <c r="AD756" s="260"/>
    </row>
    <row r="757" spans="2:30" x14ac:dyDescent="0.3">
      <c r="B757" s="10" t="s">
        <v>383</v>
      </c>
      <c r="C757" s="315" t="s">
        <v>2423</v>
      </c>
      <c r="D757" s="868" t="s">
        <v>307</v>
      </c>
      <c r="E757" s="837" t="str">
        <f>IFERROR(IF(_xlfn.XLOOKUP(Imput[[#This Row],[RFC]],'Alta Proveedor'!D:D,'Alta Proveedor'!E:E)=0,"",_xlfn.XLOOKUP(Imput[[#This Row],[RFC]],'Alta Proveedor'!D:D,'Alta Proveedor'!E:E)),"")</f>
        <v>LUIS ALBERTO VALDEZ DEL ANGEL</v>
      </c>
      <c r="F757" s="832" t="s">
        <v>2028</v>
      </c>
      <c r="G757" s="187">
        <v>1</v>
      </c>
      <c r="H757" s="1">
        <v>64.655000000000001</v>
      </c>
      <c r="I757" s="169">
        <f>Imput[[#This Row],[Cantidad]]*Imput[[#This Row],[Precio Unitario]]</f>
        <v>64.655000000000001</v>
      </c>
      <c r="J757" s="11">
        <f>((Imput[[#This Row],[Sub total]])*(0.16))</f>
        <v>10.344800000000001</v>
      </c>
      <c r="K757" s="11">
        <v>0</v>
      </c>
      <c r="L757" s="169">
        <f>Imput[[#This Row],[Sub total]]+Imput[[#This Row],[IVA]]-Imput[[#This Row],[Retención / IEPS / Descuento]]</f>
        <v>74.999800000000008</v>
      </c>
      <c r="M757" s="844">
        <v>195.99940000000001</v>
      </c>
      <c r="N757" s="189" t="s">
        <v>123</v>
      </c>
      <c r="O757" s="1"/>
      <c r="P757" s="189" t="s">
        <v>2026</v>
      </c>
      <c r="Q757" s="190" t="s">
        <v>2027</v>
      </c>
      <c r="R757" s="188">
        <v>45882</v>
      </c>
      <c r="S757" s="193" t="s">
        <v>126</v>
      </c>
      <c r="T757" s="192"/>
      <c r="U757" s="829"/>
      <c r="V757" s="10"/>
      <c r="W757" s="10"/>
      <c r="X757" s="10"/>
      <c r="Y757" s="10"/>
      <c r="Z757" s="10"/>
      <c r="AA757" s="11"/>
      <c r="AB757" s="11"/>
      <c r="AD757" s="260"/>
    </row>
    <row r="758" spans="2:30" x14ac:dyDescent="0.3">
      <c r="B758" s="10" t="s">
        <v>383</v>
      </c>
      <c r="C758" s="315" t="s">
        <v>2903</v>
      </c>
      <c r="D758" s="868" t="s">
        <v>307</v>
      </c>
      <c r="E758" s="837" t="str">
        <f>IFERROR(IF(_xlfn.XLOOKUP(Imput[[#This Row],[RFC]],'Alta Proveedor'!D:D,'Alta Proveedor'!E:E)=0,"",_xlfn.XLOOKUP(Imput[[#This Row],[RFC]],'Alta Proveedor'!D:D,'Alta Proveedor'!E:E)),"")</f>
        <v>LUIS ALBERTO VALDEZ DEL ANGEL</v>
      </c>
      <c r="F758" s="832" t="s">
        <v>2029</v>
      </c>
      <c r="G758" s="187">
        <v>1</v>
      </c>
      <c r="H758" s="1">
        <v>104.31</v>
      </c>
      <c r="I758" s="169">
        <f>Imput[[#This Row],[Cantidad]]*Imput[[#This Row],[Precio Unitario]]</f>
        <v>104.31</v>
      </c>
      <c r="J758" s="11">
        <f>((Imput[[#This Row],[Sub total]])*(0.16))</f>
        <v>16.689600000000002</v>
      </c>
      <c r="K758" s="11">
        <v>0</v>
      </c>
      <c r="L758" s="169">
        <f>Imput[[#This Row],[Sub total]]+Imput[[#This Row],[IVA]]-Imput[[#This Row],[Retención / IEPS / Descuento]]</f>
        <v>120.9996</v>
      </c>
      <c r="M758" s="844">
        <v>0</v>
      </c>
      <c r="N758" s="189" t="s">
        <v>123</v>
      </c>
      <c r="O758" s="1"/>
      <c r="P758" s="189" t="s">
        <v>2026</v>
      </c>
      <c r="Q758" s="190" t="s">
        <v>2027</v>
      </c>
      <c r="R758" s="188">
        <v>45882</v>
      </c>
      <c r="S758" s="193" t="s">
        <v>126</v>
      </c>
      <c r="T758" s="192"/>
      <c r="U758" s="829"/>
      <c r="V758" s="10"/>
      <c r="W758" s="10"/>
      <c r="X758" s="10"/>
      <c r="Y758" s="10"/>
      <c r="Z758" s="10"/>
      <c r="AA758" s="11"/>
      <c r="AB758" s="11"/>
      <c r="AD758" s="260"/>
    </row>
    <row r="759" spans="2:30" x14ac:dyDescent="0.3">
      <c r="B759" s="10" t="s">
        <v>383</v>
      </c>
      <c r="C759" s="315" t="s">
        <v>2903</v>
      </c>
      <c r="D759" s="868" t="s">
        <v>307</v>
      </c>
      <c r="E759" s="837" t="str">
        <f>IFERROR(IF(_xlfn.XLOOKUP(Imput[[#This Row],[RFC]],'Alta Proveedor'!D:D,'Alta Proveedor'!E:E)=0,"",_xlfn.XLOOKUP(Imput[[#This Row],[RFC]],'Alta Proveedor'!D:D,'Alta Proveedor'!E:E)),"")</f>
        <v>LUIS ALBERTO VALDEZ DEL ANGEL</v>
      </c>
      <c r="F759" s="832" t="s">
        <v>2024</v>
      </c>
      <c r="G759" s="187">
        <v>1</v>
      </c>
      <c r="H759" s="1">
        <v>76.72</v>
      </c>
      <c r="I759" s="169">
        <f>Imput[[#This Row],[Cantidad]]*Imput[[#This Row],[Precio Unitario]]</f>
        <v>76.72</v>
      </c>
      <c r="J759" s="11">
        <f>((Imput[[#This Row],[Sub total]])*(0.16))</f>
        <v>12.2752</v>
      </c>
      <c r="K759" s="11">
        <v>0</v>
      </c>
      <c r="L759" s="169">
        <f>Imput[[#This Row],[Sub total]]+Imput[[#This Row],[IVA]]-Imput[[#This Row],[Retención / IEPS / Descuento]]</f>
        <v>88.995199999999997</v>
      </c>
      <c r="M759" s="844">
        <v>155.99680000000001</v>
      </c>
      <c r="N759" s="189" t="s">
        <v>123</v>
      </c>
      <c r="O759" s="1"/>
      <c r="P759" s="189" t="s">
        <v>2022</v>
      </c>
      <c r="Q759" s="190" t="s">
        <v>2023</v>
      </c>
      <c r="R759" s="188">
        <v>45882</v>
      </c>
      <c r="S759" s="193" t="s">
        <v>126</v>
      </c>
      <c r="T759" s="192"/>
      <c r="U759" s="829"/>
      <c r="V759" s="10"/>
      <c r="W759" s="10"/>
      <c r="X759" s="10"/>
      <c r="Y759" s="10"/>
      <c r="Z759" s="10"/>
      <c r="AA759" s="11"/>
      <c r="AB759" s="11"/>
      <c r="AD759" s="260"/>
    </row>
    <row r="760" spans="2:30" x14ac:dyDescent="0.3">
      <c r="B760" s="10" t="s">
        <v>383</v>
      </c>
      <c r="C760" s="315" t="s">
        <v>2903</v>
      </c>
      <c r="D760" s="868" t="s">
        <v>307</v>
      </c>
      <c r="E760" s="837" t="str">
        <f>IFERROR(IF(_xlfn.XLOOKUP(Imput[[#This Row],[RFC]],'Alta Proveedor'!D:D,'Alta Proveedor'!E:E)=0,"",_xlfn.XLOOKUP(Imput[[#This Row],[RFC]],'Alta Proveedor'!D:D,'Alta Proveedor'!E:E)),"")</f>
        <v>LUIS ALBERTO VALDEZ DEL ANGEL</v>
      </c>
      <c r="F760" s="832" t="s">
        <v>2025</v>
      </c>
      <c r="G760" s="187">
        <v>1</v>
      </c>
      <c r="H760" s="1">
        <v>57.76</v>
      </c>
      <c r="I760" s="169">
        <f>Imput[[#This Row],[Cantidad]]*Imput[[#This Row],[Precio Unitario]]</f>
        <v>57.76</v>
      </c>
      <c r="J760" s="11">
        <f>((Imput[[#This Row],[Sub total]])*(0.16))</f>
        <v>9.2416</v>
      </c>
      <c r="K760" s="11">
        <v>0</v>
      </c>
      <c r="L760" s="169">
        <f>Imput[[#This Row],[Sub total]]+Imput[[#This Row],[IVA]]-Imput[[#This Row],[Retención / IEPS / Descuento]]</f>
        <v>67.001599999999996</v>
      </c>
      <c r="M760" s="844">
        <v>0</v>
      </c>
      <c r="N760" s="189" t="s">
        <v>123</v>
      </c>
      <c r="O760" s="1"/>
      <c r="P760" s="189" t="s">
        <v>2022</v>
      </c>
      <c r="Q760" s="190" t="s">
        <v>2023</v>
      </c>
      <c r="R760" s="188">
        <v>45882</v>
      </c>
      <c r="S760" s="193" t="s">
        <v>126</v>
      </c>
      <c r="T760" s="192"/>
      <c r="U760" s="829"/>
      <c r="V760" s="10"/>
      <c r="W760" s="10"/>
      <c r="X760" s="10"/>
      <c r="Y760" s="10"/>
      <c r="Z760" s="10"/>
      <c r="AA760" s="11"/>
      <c r="AB760" s="11"/>
      <c r="AD760" s="260"/>
    </row>
    <row r="761" spans="2:30" x14ac:dyDescent="0.3">
      <c r="B761" s="10" t="s">
        <v>383</v>
      </c>
      <c r="C761" s="315" t="s">
        <v>2903</v>
      </c>
      <c r="D761" s="868" t="s">
        <v>1334</v>
      </c>
      <c r="E761" s="837" t="str">
        <f>IFERROR(IF(_xlfn.XLOOKUP(Imput[[#This Row],[RFC]],'Alta Proveedor'!D:D,'Alta Proveedor'!E:E)=0,"",_xlfn.XLOOKUP(Imput[[#This Row],[RFC]],'Alta Proveedor'!D:D,'Alta Proveedor'!E:E)),"")</f>
        <v>DIMARSA PLOMERIA Y AZULEJOS</v>
      </c>
      <c r="F761" s="832" t="s">
        <v>1631</v>
      </c>
      <c r="G761" s="187">
        <v>2</v>
      </c>
      <c r="H761" s="1">
        <v>73.275000000000006</v>
      </c>
      <c r="I761" s="169">
        <f>Imput[[#This Row],[Cantidad]]*Imput[[#This Row],[Precio Unitario]]</f>
        <v>146.55000000000001</v>
      </c>
      <c r="J761" s="11">
        <f>((Imput[[#This Row],[Sub total]])*(0.16))</f>
        <v>23.448000000000004</v>
      </c>
      <c r="K761" s="11">
        <v>0</v>
      </c>
      <c r="L761" s="169">
        <f>Imput[[#This Row],[Sub total]]+Imput[[#This Row],[IVA]]-Imput[[#This Row],[Retención / IEPS / Descuento]]</f>
        <v>169.99800000000002</v>
      </c>
      <c r="M761" s="844">
        <v>169.99800000000002</v>
      </c>
      <c r="N761" s="189" t="s">
        <v>123</v>
      </c>
      <c r="O761" s="1"/>
      <c r="P761" s="189" t="s">
        <v>1563</v>
      </c>
      <c r="Q761" s="190" t="s">
        <v>1564</v>
      </c>
      <c r="R761" s="188">
        <v>45882</v>
      </c>
      <c r="S761" s="193" t="s">
        <v>126</v>
      </c>
      <c r="T761" s="192"/>
      <c r="U761" s="829"/>
      <c r="V761" s="10"/>
      <c r="W761" s="10"/>
      <c r="X761" s="10"/>
      <c r="Y761" s="10"/>
      <c r="Z761" s="10"/>
      <c r="AA761" s="11"/>
      <c r="AB761" s="11"/>
      <c r="AD761" s="260"/>
    </row>
    <row r="762" spans="2:30" x14ac:dyDescent="0.3">
      <c r="B762" s="10" t="s">
        <v>383</v>
      </c>
      <c r="C762" s="315" t="s">
        <v>1767</v>
      </c>
      <c r="D762" s="868" t="s">
        <v>3083</v>
      </c>
      <c r="E762" s="837" t="str">
        <f>IFERROR(IF(_xlfn.XLOOKUP(Imput[[#This Row],[RFC]],'Alta Proveedor'!D:D,'Alta Proveedor'!E:E)=0,"",_xlfn.XLOOKUP(Imput[[#This Row],[RFC]],'Alta Proveedor'!D:D,'Alta Proveedor'!E:E)),"")</f>
        <v>SI VALE MEXICO</v>
      </c>
      <c r="F762" s="832" t="s">
        <v>3112</v>
      </c>
      <c r="G762" s="187">
        <v>1</v>
      </c>
      <c r="H762" s="1">
        <v>42088</v>
      </c>
      <c r="I762" s="169">
        <f>Imput[[#This Row],[Cantidad]]*Imput[[#This Row],[Precio Unitario]]</f>
        <v>42088</v>
      </c>
      <c r="J762" s="11">
        <v>0</v>
      </c>
      <c r="K762" s="11">
        <v>0</v>
      </c>
      <c r="L762" s="169">
        <f>Imput[[#This Row],[Sub total]]+Imput[[#This Row],[IVA]]-Imput[[#This Row],[Retención / IEPS / Descuento]]</f>
        <v>42088</v>
      </c>
      <c r="M762" s="844">
        <v>42088</v>
      </c>
      <c r="N762" s="189"/>
      <c r="O762" s="1"/>
      <c r="P762" s="189" t="str">
        <f>Imput[[#This Row],[Folio]]</f>
        <v>111007120880</v>
      </c>
      <c r="Q762" s="190" t="s">
        <v>3096</v>
      </c>
      <c r="R762" s="188">
        <v>45883</v>
      </c>
      <c r="S762" s="193"/>
      <c r="T762" s="192"/>
      <c r="U762" s="829" t="s">
        <v>3099</v>
      </c>
      <c r="V762" s="10"/>
      <c r="W762" s="10"/>
      <c r="X762" s="10"/>
      <c r="Y762" s="10"/>
      <c r="Z762" s="10"/>
      <c r="AA762" s="11"/>
      <c r="AB762" s="11"/>
      <c r="AD762" s="260"/>
    </row>
    <row r="763" spans="2:30" x14ac:dyDescent="0.3">
      <c r="B763" s="10" t="s">
        <v>383</v>
      </c>
      <c r="C763" s="315" t="s">
        <v>1767</v>
      </c>
      <c r="D763" s="868" t="s">
        <v>3084</v>
      </c>
      <c r="E763" s="837" t="str">
        <f>IFERROR(IF(_xlfn.XLOOKUP(Imput[[#This Row],[RFC]],'Alta Proveedor'!D:D,'Alta Proveedor'!E:E)=0,"",_xlfn.XLOOKUP(Imput[[#This Row],[RFC]],'Alta Proveedor'!D:D,'Alta Proveedor'!E:E)),"")</f>
        <v>SERVICIO MADITAM</v>
      </c>
      <c r="F763" s="832" t="s">
        <v>1114</v>
      </c>
      <c r="G763" s="187">
        <v>1</v>
      </c>
      <c r="H763" s="1">
        <v>1727.4399999999998</v>
      </c>
      <c r="I763" s="169">
        <f>Imput[[#This Row],[Cantidad]]*Imput[[#This Row],[Precio Unitario]]</f>
        <v>1727.4399999999998</v>
      </c>
      <c r="J763" s="11">
        <v>0</v>
      </c>
      <c r="K763" s="11">
        <v>0</v>
      </c>
      <c r="L763" s="169">
        <f>Imput[[#This Row],[Sub total]]+Imput[[#This Row],[IVA]]-Imput[[#This Row],[Retención / IEPS / Descuento]]</f>
        <v>1727.4399999999998</v>
      </c>
      <c r="M763" s="844">
        <v>1727.4399999999998</v>
      </c>
      <c r="N763" s="189"/>
      <c r="O763" s="1"/>
      <c r="P763" s="189" t="str">
        <f>Imput[[#This Row],[Folio]]</f>
        <v>43299</v>
      </c>
      <c r="Q763" s="190" t="s">
        <v>3097</v>
      </c>
      <c r="R763" s="188">
        <v>45883</v>
      </c>
      <c r="S763" s="193"/>
      <c r="T763" s="192"/>
      <c r="U763" s="829" t="s">
        <v>3099</v>
      </c>
      <c r="V763" s="10"/>
      <c r="W763" s="10"/>
      <c r="X763" s="10"/>
      <c r="Y763" s="10"/>
      <c r="Z763" s="10"/>
      <c r="AA763" s="11"/>
      <c r="AB763" s="11"/>
      <c r="AD763" s="260"/>
    </row>
    <row r="764" spans="2:30" x14ac:dyDescent="0.3">
      <c r="B764" s="10" t="s">
        <v>383</v>
      </c>
      <c r="C764" s="315" t="s">
        <v>1767</v>
      </c>
      <c r="D764" s="868" t="s">
        <v>1347</v>
      </c>
      <c r="E764" s="837" t="str">
        <f>IFERROR(IF(_xlfn.XLOOKUP(Imput[[#This Row],[RFC]],'Alta Proveedor'!D:D,'Alta Proveedor'!E:E)=0,"",_xlfn.XLOOKUP(Imput[[#This Row],[RFC]],'Alta Proveedor'!D:D,'Alta Proveedor'!E:E)),"")</f>
        <v>GASOLINERA LAS PALMAS (COMBUSTIBLES)</v>
      </c>
      <c r="F764" s="832" t="s">
        <v>1114</v>
      </c>
      <c r="G764" s="187">
        <v>53.78</v>
      </c>
      <c r="H764" s="1">
        <f>1187.48/Imput[[#This Row],[Cantidad]]</f>
        <v>22.080327259204164</v>
      </c>
      <c r="I764" s="169">
        <f>Imput[[#This Row],[Cantidad]]*Imput[[#This Row],[Precio Unitario]]</f>
        <v>1187.48</v>
      </c>
      <c r="J764" s="11">
        <f>((1162.05)*(0.16))</f>
        <v>185.928</v>
      </c>
      <c r="K764" s="11">
        <v>0</v>
      </c>
      <c r="L764" s="169">
        <f>Imput[[#This Row],[Sub total]]+Imput[[#This Row],[IVA]]-Imput[[#This Row],[Retención / IEPS / Descuento]]</f>
        <v>1373.4079999999999</v>
      </c>
      <c r="M764" s="844">
        <v>1373.4079999999999</v>
      </c>
      <c r="N764" s="189" t="s">
        <v>123</v>
      </c>
      <c r="O764" s="1"/>
      <c r="P764" s="189" t="s">
        <v>1858</v>
      </c>
      <c r="Q764" s="190" t="s">
        <v>1859</v>
      </c>
      <c r="R764" s="188">
        <v>45883</v>
      </c>
      <c r="S764" s="193" t="s">
        <v>126</v>
      </c>
      <c r="T764" s="192"/>
      <c r="U764" s="829"/>
      <c r="V764" s="10"/>
      <c r="W764" s="10"/>
      <c r="X764" s="10"/>
      <c r="Y764" s="10"/>
      <c r="Z764" s="10"/>
      <c r="AA764" s="11"/>
      <c r="AB764" s="11"/>
      <c r="AD764" s="260"/>
    </row>
    <row r="765" spans="2:30" x14ac:dyDescent="0.3">
      <c r="B765" s="10" t="s">
        <v>383</v>
      </c>
      <c r="C765" s="315" t="s">
        <v>1767</v>
      </c>
      <c r="D765" s="868" t="s">
        <v>1248</v>
      </c>
      <c r="E765" s="837" t="str">
        <f>IFERROR(IF(_xlfn.XLOOKUP(Imput[[#This Row],[RFC]],'Alta Proveedor'!D:D,'Alta Proveedor'!E:E)=0,"",_xlfn.XLOOKUP(Imput[[#This Row],[RFC]],'Alta Proveedor'!D:D,'Alta Proveedor'!E:E)),"")</f>
        <v>SERVICIO BOULEVARD "MOBIL"</v>
      </c>
      <c r="F765" s="832" t="s">
        <v>237</v>
      </c>
      <c r="G765" s="187">
        <v>3.11</v>
      </c>
      <c r="H765" s="1">
        <v>20.715581</v>
      </c>
      <c r="I765" s="169">
        <f>Imput[[#This Row],[Cantidad]]*Imput[[#This Row],[Precio Unitario]]</f>
        <v>64.425456909999994</v>
      </c>
      <c r="J765" s="11">
        <f>((62.65)*(0.16))</f>
        <v>10.023999999999999</v>
      </c>
      <c r="K765" s="11">
        <v>0</v>
      </c>
      <c r="L765" s="169">
        <f>Imput[[#This Row],[Sub total]]+Imput[[#This Row],[IVA]]-Imput[[#This Row],[Retención / IEPS / Descuento]]</f>
        <v>74.449456909999995</v>
      </c>
      <c r="M765" s="844">
        <v>74.449456909999995</v>
      </c>
      <c r="N765" s="189" t="s">
        <v>123</v>
      </c>
      <c r="O765" s="1"/>
      <c r="P765" s="189" t="s">
        <v>1989</v>
      </c>
      <c r="Q765" s="190" t="s">
        <v>1990</v>
      </c>
      <c r="R765" s="188">
        <v>45883</v>
      </c>
      <c r="S765" s="193" t="s">
        <v>126</v>
      </c>
      <c r="T765" s="192"/>
      <c r="U765" s="829"/>
      <c r="V765" s="10"/>
      <c r="W765" s="10"/>
      <c r="X765" s="10"/>
      <c r="Y765" s="10"/>
      <c r="Z765" s="10"/>
      <c r="AA765" s="11"/>
      <c r="AB765" s="11"/>
      <c r="AD765" s="260"/>
    </row>
    <row r="766" spans="2:30" x14ac:dyDescent="0.3">
      <c r="B766" s="10" t="s">
        <v>383</v>
      </c>
      <c r="C766" s="315" t="s">
        <v>1767</v>
      </c>
      <c r="D766" s="868" t="s">
        <v>1943</v>
      </c>
      <c r="E766" s="837" t="str">
        <f>IFERROR(IF(_xlfn.XLOOKUP(Imput[[#This Row],[RFC]],'Alta Proveedor'!D:D,'Alta Proveedor'!E:E)=0,"",_xlfn.XLOOKUP(Imput[[#This Row],[RFC]],'Alta Proveedor'!D:D,'Alta Proveedor'!E:E)),"")</f>
        <v>MERCANTIL DISTRIBUIDORA E14153 "PEMEX" (COMBUSTIBLES)</v>
      </c>
      <c r="F766" s="832" t="s">
        <v>237</v>
      </c>
      <c r="G766" s="187">
        <v>20</v>
      </c>
      <c r="H766" s="1">
        <v>20.759626999999998</v>
      </c>
      <c r="I766" s="169">
        <f>Imput[[#This Row],[Cantidad]]*Imput[[#This Row],[Precio Unitario]]</f>
        <v>415.19253999999995</v>
      </c>
      <c r="J766" s="11">
        <v>64.61</v>
      </c>
      <c r="K766" s="11">
        <v>0</v>
      </c>
      <c r="L766" s="169">
        <f>Imput[[#This Row],[Sub total]]+Imput[[#This Row],[IVA]]-Imput[[#This Row],[Retención / IEPS / Descuento]]</f>
        <v>479.80253999999996</v>
      </c>
      <c r="M766" s="844">
        <v>479.80253999999996</v>
      </c>
      <c r="N766" s="189" t="s">
        <v>123</v>
      </c>
      <c r="O766" s="1"/>
      <c r="P766" s="189" t="s">
        <v>1941</v>
      </c>
      <c r="Q766" s="190" t="s">
        <v>1942</v>
      </c>
      <c r="R766" s="188">
        <v>45883</v>
      </c>
      <c r="S766" s="193" t="s">
        <v>294</v>
      </c>
      <c r="T766" s="192"/>
      <c r="U766" s="829"/>
      <c r="V766" s="10"/>
      <c r="W766" s="10"/>
      <c r="X766" s="10"/>
      <c r="Y766" s="10"/>
      <c r="Z766" s="10"/>
      <c r="AA766" s="11"/>
      <c r="AB766" s="11"/>
      <c r="AD766" s="260"/>
    </row>
    <row r="767" spans="2:30" x14ac:dyDescent="0.3">
      <c r="B767" s="10" t="s">
        <v>383</v>
      </c>
      <c r="C767" s="315" t="s">
        <v>1767</v>
      </c>
      <c r="D767" s="868" t="s">
        <v>1553</v>
      </c>
      <c r="E767" s="837" t="str">
        <f>IFERROR(IF(_xlfn.XLOOKUP(Imput[[#This Row],[RFC]],'Alta Proveedor'!D:D,'Alta Proveedor'!E:E)=0,"",_xlfn.XLOOKUP(Imput[[#This Row],[RFC]],'Alta Proveedor'!D:D,'Alta Proveedor'!E:E)),"")</f>
        <v>COMERCIALIZADORA DE COMBUSTIBLES TAMAULIPECA "NEXUM" (COMBUSTIBLES)</v>
      </c>
      <c r="F767" s="832" t="s">
        <v>1114</v>
      </c>
      <c r="G767" s="187">
        <v>67.69</v>
      </c>
      <c r="H767" s="1">
        <v>22.065114999999999</v>
      </c>
      <c r="I767" s="169">
        <f>Imput[[#This Row],[Cantidad]]*Imput[[#This Row],[Precio Unitario]]</f>
        <v>1493.5876343499999</v>
      </c>
      <c r="J767" s="11">
        <f>((1461.58)*(0.16))</f>
        <v>233.8528</v>
      </c>
      <c r="K767" s="11">
        <v>0</v>
      </c>
      <c r="L767" s="169">
        <f>Imput[[#This Row],[Sub total]]+Imput[[#This Row],[IVA]]-Imput[[#This Row],[Retención / IEPS / Descuento]]</f>
        <v>1727.44043435</v>
      </c>
      <c r="M767" s="844">
        <v>1727.44043435</v>
      </c>
      <c r="N767" s="189" t="s">
        <v>123</v>
      </c>
      <c r="O767" s="1"/>
      <c r="P767" s="189" t="s">
        <v>1561</v>
      </c>
      <c r="Q767" s="190" t="s">
        <v>1562</v>
      </c>
      <c r="R767" s="188">
        <v>45883</v>
      </c>
      <c r="S767" s="193" t="s">
        <v>154</v>
      </c>
      <c r="T767" s="192"/>
      <c r="U767" s="829"/>
      <c r="V767" s="10"/>
      <c r="W767" s="10"/>
      <c r="X767" s="10"/>
      <c r="Y767" s="10"/>
      <c r="Z767" s="10"/>
      <c r="AA767" s="11"/>
      <c r="AB767" s="11"/>
      <c r="AD767" s="260"/>
    </row>
    <row r="768" spans="2:30" x14ac:dyDescent="0.3">
      <c r="B768" s="10" t="s">
        <v>383</v>
      </c>
      <c r="C768" s="315" t="s">
        <v>1769</v>
      </c>
      <c r="D768" s="868" t="s">
        <v>1953</v>
      </c>
      <c r="E768" s="837" t="str">
        <f>IFERROR(IF(_xlfn.XLOOKUP(Imput[[#This Row],[RFC]],'Alta Proveedor'!D:D,'Alta Proveedor'!E:E)=0,"",_xlfn.XLOOKUP(Imput[[#This Row],[RFC]],'Alta Proveedor'!D:D,'Alta Proveedor'!E:E)),"")</f>
        <v>OMNIBUS DE MEXICO FACTURA</v>
      </c>
      <c r="F768" s="832" t="s">
        <v>1955</v>
      </c>
      <c r="G768" s="187">
        <v>1</v>
      </c>
      <c r="H768" s="1">
        <v>1440.52</v>
      </c>
      <c r="I768" s="169">
        <f>Imput[[#This Row],[Cantidad]]*Imput[[#This Row],[Precio Unitario]]</f>
        <v>1440.52</v>
      </c>
      <c r="J768" s="11">
        <f>((Imput[[#This Row],[Sub total]])*(0.16))</f>
        <v>230.48320000000001</v>
      </c>
      <c r="K768" s="11">
        <v>0</v>
      </c>
      <c r="L768" s="169">
        <f>Imput[[#This Row],[Sub total]]+Imput[[#This Row],[IVA]]-Imput[[#This Row],[Retención / IEPS / Descuento]]</f>
        <v>1671.0032000000001</v>
      </c>
      <c r="M768" s="844">
        <v>1671.0032000000001</v>
      </c>
      <c r="N768" s="189" t="s">
        <v>123</v>
      </c>
      <c r="O768" s="1"/>
      <c r="P768" s="189" t="s">
        <v>1952</v>
      </c>
      <c r="Q768" s="190" t="s">
        <v>1963</v>
      </c>
      <c r="R768" s="188">
        <v>45883</v>
      </c>
      <c r="S768" s="193" t="s">
        <v>126</v>
      </c>
      <c r="T768" s="192"/>
      <c r="U768" s="829"/>
      <c r="V768" s="10"/>
      <c r="W768" s="10"/>
      <c r="X768" s="10"/>
      <c r="Y768" s="10"/>
      <c r="Z768" s="10"/>
      <c r="AA768" s="11"/>
      <c r="AB768" s="11"/>
      <c r="AD768" s="260"/>
    </row>
    <row r="769" spans="2:30" x14ac:dyDescent="0.3">
      <c r="B769" s="10" t="s">
        <v>383</v>
      </c>
      <c r="C769" s="315" t="s">
        <v>1769</v>
      </c>
      <c r="D769" s="868" t="s">
        <v>1953</v>
      </c>
      <c r="E769" s="837" t="str">
        <f>IFERROR(IF(_xlfn.XLOOKUP(Imput[[#This Row],[RFC]],'Alta Proveedor'!D:D,'Alta Proveedor'!E:E)=0,"",_xlfn.XLOOKUP(Imput[[#This Row],[RFC]],'Alta Proveedor'!D:D,'Alta Proveedor'!E:E)),"")</f>
        <v>OMNIBUS DE MEXICO FACTURA</v>
      </c>
      <c r="F769" s="832" t="s">
        <v>1955</v>
      </c>
      <c r="G769" s="187">
        <v>1</v>
      </c>
      <c r="H769" s="1">
        <v>1440.52</v>
      </c>
      <c r="I769" s="169">
        <f>Imput[[#This Row],[Cantidad]]*Imput[[#This Row],[Precio Unitario]]</f>
        <v>1440.52</v>
      </c>
      <c r="J769" s="11">
        <f>((Imput[[#This Row],[Sub total]])*(0.16))</f>
        <v>230.48320000000001</v>
      </c>
      <c r="K769" s="11">
        <v>0</v>
      </c>
      <c r="L769" s="169">
        <f>Imput[[#This Row],[Sub total]]+Imput[[#This Row],[IVA]]-Imput[[#This Row],[Retención / IEPS / Descuento]]</f>
        <v>1671.0032000000001</v>
      </c>
      <c r="M769" s="844">
        <v>1671.0032000000001</v>
      </c>
      <c r="N769" s="189" t="s">
        <v>123</v>
      </c>
      <c r="O769" s="1"/>
      <c r="P769" s="189" t="s">
        <v>1962</v>
      </c>
      <c r="Q769" s="190" t="s">
        <v>1964</v>
      </c>
      <c r="R769" s="188">
        <v>45883</v>
      </c>
      <c r="S769" s="193" t="s">
        <v>126</v>
      </c>
      <c r="T769" s="192"/>
      <c r="U769" s="829"/>
      <c r="V769" s="10"/>
      <c r="W769" s="10"/>
      <c r="X769" s="10"/>
      <c r="Y769" s="10"/>
      <c r="Z769" s="10"/>
      <c r="AA769" s="11"/>
      <c r="AB769" s="11"/>
      <c r="AD769" s="260"/>
    </row>
    <row r="770" spans="2:30" x14ac:dyDescent="0.3">
      <c r="B770" s="10" t="s">
        <v>383</v>
      </c>
      <c r="C770" s="315" t="s">
        <v>1769</v>
      </c>
      <c r="D770" s="868" t="s">
        <v>1499</v>
      </c>
      <c r="E770" s="837" t="str">
        <f>IFERROR(IF(_xlfn.XLOOKUP(Imput[[#This Row],[RFC]],'Alta Proveedor'!D:D,'Alta Proveedor'!E:E)=0,"",_xlfn.XLOOKUP(Imput[[#This Row],[RFC]],'Alta Proveedor'!D:D,'Alta Proveedor'!E:E)),"")</f>
        <v>TRANSPAIS UNICO (TRANSPORTE PASAJEROS)</v>
      </c>
      <c r="F770" s="832" t="s">
        <v>3496</v>
      </c>
      <c r="G770" s="187">
        <v>1</v>
      </c>
      <c r="H770" s="1">
        <v>276.72000000000003</v>
      </c>
      <c r="I770" s="169">
        <f>Imput[[#This Row],[Cantidad]]*Imput[[#This Row],[Precio Unitario]]</f>
        <v>276.72000000000003</v>
      </c>
      <c r="J770" s="11">
        <f>((Imput[[#This Row],[Sub total]])*(0.16))</f>
        <v>44.275200000000005</v>
      </c>
      <c r="K770" s="11">
        <v>0</v>
      </c>
      <c r="L770" s="169">
        <f>Imput[[#This Row],[Sub total]]+Imput[[#This Row],[IVA]]-Imput[[#This Row],[Retención / IEPS / Descuento]]</f>
        <v>320.99520000000001</v>
      </c>
      <c r="M770" s="844">
        <v>320.99520000000001</v>
      </c>
      <c r="N770" s="189" t="s">
        <v>123</v>
      </c>
      <c r="O770" s="1"/>
      <c r="P770" s="189" t="s">
        <v>2020</v>
      </c>
      <c r="Q770" s="190" t="s">
        <v>2021</v>
      </c>
      <c r="R770" s="188">
        <v>45883</v>
      </c>
      <c r="S770" s="193" t="s">
        <v>126</v>
      </c>
      <c r="T770" s="192"/>
      <c r="U770" s="829"/>
      <c r="V770" s="10"/>
      <c r="W770" s="10"/>
      <c r="X770" s="10"/>
      <c r="Y770" s="10"/>
      <c r="Z770" s="10"/>
      <c r="AA770" s="11"/>
      <c r="AB770" s="11"/>
      <c r="AD770" s="260"/>
    </row>
    <row r="771" spans="2:30" x14ac:dyDescent="0.3">
      <c r="B771" s="10" t="s">
        <v>383</v>
      </c>
      <c r="C771" s="315" t="s">
        <v>1807</v>
      </c>
      <c r="D771" s="868" t="s">
        <v>3225</v>
      </c>
      <c r="E771" s="837" t="str">
        <f>IFERROR(IF(_xlfn.XLOOKUP(Imput[[#This Row],[RFC]],'Alta Proveedor'!D:D,'Alta Proveedor'!E:E)=0,"",_xlfn.XLOOKUP(Imput[[#This Row],[RFC]],'Alta Proveedor'!D:D,'Alta Proveedor'!E:E)),"")</f>
        <v>GASTOS SIN FACTURA</v>
      </c>
      <c r="F771" s="836" t="s">
        <v>3209</v>
      </c>
      <c r="G771" s="187">
        <v>1</v>
      </c>
      <c r="H771" s="1">
        <v>3000</v>
      </c>
      <c r="I771" s="169">
        <f>Imput[[#This Row],[Cantidad]]*Imput[[#This Row],[Precio Unitario]]</f>
        <v>3000</v>
      </c>
      <c r="J771" s="11">
        <f>Imput[[#This Row],[Sub total]]*0.08</f>
        <v>240</v>
      </c>
      <c r="K771" s="11">
        <v>0</v>
      </c>
      <c r="L771" s="169">
        <f>Imput[[#This Row],[Sub total]]+Imput[[#This Row],[IVA]]-Imput[[#This Row],[Retención / IEPS / Descuento]]</f>
        <v>3240</v>
      </c>
      <c r="M771" s="844">
        <v>3240</v>
      </c>
      <c r="N771" s="189"/>
      <c r="O771" s="1"/>
      <c r="P771" s="189"/>
      <c r="Q771" s="190"/>
      <c r="R771" s="188">
        <v>45883</v>
      </c>
      <c r="S771" s="193"/>
      <c r="T771" s="192"/>
      <c r="U771" s="867" t="s">
        <v>3225</v>
      </c>
      <c r="V771" s="10"/>
      <c r="W771" s="10"/>
      <c r="X771" s="10"/>
      <c r="Y771" s="10"/>
      <c r="Z771" s="10"/>
      <c r="AA771" s="11"/>
      <c r="AB771" s="11"/>
      <c r="AD771" s="260"/>
    </row>
    <row r="772" spans="2:30" x14ac:dyDescent="0.3">
      <c r="B772" s="10" t="s">
        <v>383</v>
      </c>
      <c r="C772" s="315" t="s">
        <v>1767</v>
      </c>
      <c r="D772" s="868" t="s">
        <v>1553</v>
      </c>
      <c r="E772" s="837" t="str">
        <f>IFERROR(IF(_xlfn.XLOOKUP(Imput[[#This Row],[RFC]],'Alta Proveedor'!D:D,'Alta Proveedor'!E:E)=0,"",_xlfn.XLOOKUP(Imput[[#This Row],[RFC]],'Alta Proveedor'!D:D,'Alta Proveedor'!E:E)),"")</f>
        <v>COMERCIALIZADORA DE COMBUSTIBLES TAMAULIPECA "NEXUM" (COMBUSTIBLES)</v>
      </c>
      <c r="F772" s="832" t="s">
        <v>237</v>
      </c>
      <c r="G772" s="187">
        <v>75.373906000000005</v>
      </c>
      <c r="H772" s="1">
        <v>20.759626999999998</v>
      </c>
      <c r="I772" s="169">
        <f>Imput[[#This Row],[Cantidad]]*Imput[[#This Row],[Precio Unitario]]</f>
        <v>1564.7341740930619</v>
      </c>
      <c r="J772" s="11">
        <f>((1521.8125)*(0.16))</f>
        <v>243.49</v>
      </c>
      <c r="K772" s="11">
        <v>0</v>
      </c>
      <c r="L772" s="169">
        <f>Imput[[#This Row],[Sub total]]+Imput[[#This Row],[IVA]]-Imput[[#This Row],[Retención / IEPS / Descuento]]</f>
        <v>1808.2241740930619</v>
      </c>
      <c r="M772" s="844">
        <v>1808.2241740930619</v>
      </c>
      <c r="N772" s="189" t="s">
        <v>123</v>
      </c>
      <c r="O772" s="1"/>
      <c r="P772" s="189" t="s">
        <v>1559</v>
      </c>
      <c r="Q772" s="190" t="s">
        <v>1560</v>
      </c>
      <c r="R772" s="188">
        <v>45884</v>
      </c>
      <c r="S772" s="193" t="s">
        <v>126</v>
      </c>
      <c r="T772" s="192"/>
      <c r="U772" s="829"/>
      <c r="V772" s="10"/>
      <c r="W772" s="10"/>
      <c r="X772" s="10"/>
      <c r="Y772" s="10"/>
      <c r="Z772" s="10"/>
      <c r="AA772" s="11"/>
      <c r="AB772" s="11"/>
      <c r="AD772" s="260"/>
    </row>
    <row r="773" spans="2:30" x14ac:dyDescent="0.3">
      <c r="B773" s="10" t="s">
        <v>383</v>
      </c>
      <c r="C773" s="315" t="s">
        <v>1773</v>
      </c>
      <c r="D773" s="868" t="s">
        <v>3081</v>
      </c>
      <c r="E773" s="837" t="str">
        <f>IFERROR(IF(_xlfn.XLOOKUP(Imput[[#This Row],[RFC]],'Alta Proveedor'!D:D,'Alta Proveedor'!E:E)=0,"",_xlfn.XLOOKUP(Imput[[#This Row],[RFC]],'Alta Proveedor'!D:D,'Alta Proveedor'!E:E)),"")</f>
        <v>NOMINA</v>
      </c>
      <c r="F773" s="832" t="s">
        <v>3105</v>
      </c>
      <c r="G773" s="187">
        <v>1</v>
      </c>
      <c r="H773" s="1">
        <v>22635.075000000001</v>
      </c>
      <c r="I773" s="169">
        <f>Imput[[#This Row],[Cantidad]]*Imput[[#This Row],[Precio Unitario]]</f>
        <v>22635.075000000001</v>
      </c>
      <c r="J773" s="11">
        <v>0</v>
      </c>
      <c r="K773" s="11">
        <v>0</v>
      </c>
      <c r="L773" s="169">
        <f>Imput[[#This Row],[Sub total]]+Imput[[#This Row],[IVA]]-Imput[[#This Row],[Retención / IEPS / Descuento]]</f>
        <v>22635.075000000001</v>
      </c>
      <c r="M773" s="844">
        <v>22635.075000000001</v>
      </c>
      <c r="N773" s="189"/>
      <c r="O773" s="1"/>
      <c r="P773" s="189" t="s">
        <v>3094</v>
      </c>
      <c r="Q773" s="190" t="s">
        <v>3094</v>
      </c>
      <c r="R773" s="188">
        <v>45884</v>
      </c>
      <c r="S773" s="193"/>
      <c r="T773" s="192"/>
      <c r="U773" s="829" t="s">
        <v>3099</v>
      </c>
      <c r="V773" s="10"/>
      <c r="W773" s="10"/>
      <c r="X773" s="10"/>
      <c r="Y773" s="10"/>
      <c r="Z773" s="10"/>
      <c r="AA773" s="11"/>
      <c r="AB773" s="11"/>
      <c r="AD773" s="260"/>
    </row>
    <row r="774" spans="2:30" x14ac:dyDescent="0.3">
      <c r="B774" s="10" t="s">
        <v>385</v>
      </c>
      <c r="C774" s="315" t="s">
        <v>2436</v>
      </c>
      <c r="D774" s="868" t="s">
        <v>264</v>
      </c>
      <c r="E774" s="837" t="str">
        <f>IFERROR(IF(_xlfn.XLOOKUP(Imput[[#This Row],[RFC]],'Alta Proveedor'!D:D,'Alta Proveedor'!E:E)=0,"",_xlfn.XLOOKUP(Imput[[#This Row],[RFC]],'Alta Proveedor'!D:D,'Alta Proveedor'!E:E)),"")</f>
        <v>M.N. DEL GOLFO "HOME CENTER TU ASESOR CONFIABLE"</v>
      </c>
      <c r="F774" s="832" t="s">
        <v>300</v>
      </c>
      <c r="G774" s="187">
        <v>5</v>
      </c>
      <c r="H774" s="1">
        <v>424.13799999999998</v>
      </c>
      <c r="I774" s="169">
        <f>Imput[[#This Row],[Cantidad]]*Imput[[#This Row],[Precio Unitario]]</f>
        <v>2120.69</v>
      </c>
      <c r="J774" s="11">
        <f>((Imput[[#This Row],[Sub total]])*(0.16))</f>
        <v>339.31040000000002</v>
      </c>
      <c r="K774" s="11">
        <v>0</v>
      </c>
      <c r="L774" s="169">
        <f>Imput[[#This Row],[Sub total]]+Imput[[#This Row],[IVA]]-Imput[[#This Row],[Retención / IEPS / Descuento]]</f>
        <v>2460.0003999999999</v>
      </c>
      <c r="M774" s="844">
        <v>2574.9911999999999</v>
      </c>
      <c r="N774" s="189" t="s">
        <v>123</v>
      </c>
      <c r="O774" s="1"/>
      <c r="P774" s="189" t="s">
        <v>2062</v>
      </c>
      <c r="Q774" s="190" t="s">
        <v>2063</v>
      </c>
      <c r="R774" s="188">
        <v>45884</v>
      </c>
      <c r="S774" s="193" t="s">
        <v>126</v>
      </c>
      <c r="T774" s="192"/>
      <c r="U774" s="829"/>
      <c r="V774" s="10"/>
      <c r="W774" s="10"/>
      <c r="X774" s="10"/>
      <c r="Y774" s="10"/>
      <c r="Z774" s="10"/>
      <c r="AA774" s="11"/>
      <c r="AB774" s="11"/>
      <c r="AD774" s="260"/>
    </row>
    <row r="775" spans="2:30" x14ac:dyDescent="0.3">
      <c r="B775" s="10" t="s">
        <v>385</v>
      </c>
      <c r="C775" s="315" t="s">
        <v>2423</v>
      </c>
      <c r="D775" s="868" t="s">
        <v>264</v>
      </c>
      <c r="E775" s="837" t="str">
        <f>IFERROR(IF(_xlfn.XLOOKUP(Imput[[#This Row],[RFC]],'Alta Proveedor'!D:D,'Alta Proveedor'!E:E)=0,"",_xlfn.XLOOKUP(Imput[[#This Row],[RFC]],'Alta Proveedor'!D:D,'Alta Proveedor'!E:E)),"")</f>
        <v>M.N. DEL GOLFO "HOME CENTER TU ASESOR CONFIABLE"</v>
      </c>
      <c r="F775" s="832" t="s">
        <v>304</v>
      </c>
      <c r="G775" s="187">
        <v>5</v>
      </c>
      <c r="H775" s="1">
        <v>19.826000000000001</v>
      </c>
      <c r="I775" s="169">
        <f>Imput[[#This Row],[Cantidad]]*Imput[[#This Row],[Precio Unitario]]</f>
        <v>99.13</v>
      </c>
      <c r="J775" s="11">
        <f>((Imput[[#This Row],[Sub total]])*(0.16))</f>
        <v>15.860799999999999</v>
      </c>
      <c r="K775" s="11">
        <v>0</v>
      </c>
      <c r="L775" s="169">
        <f>Imput[[#This Row],[Sub total]]+Imput[[#This Row],[IVA]]-Imput[[#This Row],[Retención / IEPS / Descuento]]</f>
        <v>114.99079999999999</v>
      </c>
      <c r="M775" s="844">
        <v>0</v>
      </c>
      <c r="N775" s="189" t="s">
        <v>123</v>
      </c>
      <c r="O775" s="1"/>
      <c r="P775" s="189" t="s">
        <v>2062</v>
      </c>
      <c r="Q775" s="190" t="s">
        <v>2063</v>
      </c>
      <c r="R775" s="188">
        <v>45884</v>
      </c>
      <c r="S775" s="193" t="s">
        <v>126</v>
      </c>
      <c r="T775" s="192"/>
      <c r="U775" s="829"/>
      <c r="V775" s="10"/>
      <c r="W775" s="10"/>
      <c r="X775" s="10"/>
      <c r="Y775" s="10"/>
      <c r="Z775" s="10"/>
      <c r="AA775" s="11"/>
      <c r="AB775" s="11"/>
      <c r="AD775" s="260"/>
    </row>
    <row r="776" spans="2:30" x14ac:dyDescent="0.3">
      <c r="B776" s="806" t="s">
        <v>385</v>
      </c>
      <c r="C776" s="807" t="s">
        <v>2436</v>
      </c>
      <c r="D776" s="869" t="s">
        <v>264</v>
      </c>
      <c r="E776" s="839" t="str">
        <f>IFERROR(IF(_xlfn.XLOOKUP(Imput[[#This Row],[RFC]],'Alta Proveedor'!D:D,'Alta Proveedor'!E:E)=0,"",_xlfn.XLOOKUP(Imput[[#This Row],[RFC]],'Alta Proveedor'!D:D,'Alta Proveedor'!E:E)),"")</f>
        <v>M.N. DEL GOLFO "HOME CENTER TU ASESOR CONFIABLE"</v>
      </c>
      <c r="F776" s="834" t="s">
        <v>300</v>
      </c>
      <c r="G776" s="809">
        <v>5</v>
      </c>
      <c r="H776" s="808">
        <v>424.13799999999998</v>
      </c>
      <c r="I776" s="810">
        <f>Imput[[#This Row],[Cantidad]]*Imput[[#This Row],[Precio Unitario]]</f>
        <v>2120.69</v>
      </c>
      <c r="J776" s="811">
        <f>((Imput[[#This Row],[Sub total]])*(0.16))</f>
        <v>339.31040000000002</v>
      </c>
      <c r="K776" s="811">
        <v>0</v>
      </c>
      <c r="L776" s="810">
        <f>Imput[[#This Row],[Sub total]]+Imput[[#This Row],[IVA]]-Imput[[#This Row],[Retención / IEPS / Descuento]]</f>
        <v>2460.0003999999999</v>
      </c>
      <c r="M776" s="844">
        <v>2574.9911999999999</v>
      </c>
      <c r="N776" s="189" t="s">
        <v>123</v>
      </c>
      <c r="O776" s="1"/>
      <c r="P776" s="189" t="s">
        <v>2060</v>
      </c>
      <c r="Q776" s="813" t="s">
        <v>2061</v>
      </c>
      <c r="R776" s="814">
        <v>45884</v>
      </c>
      <c r="S776" s="815" t="s">
        <v>371</v>
      </c>
      <c r="T776" s="816"/>
      <c r="U776" s="828"/>
      <c r="V776" s="806"/>
      <c r="W776" s="806"/>
      <c r="X776" s="806"/>
      <c r="Y776" s="806"/>
      <c r="Z776" s="806"/>
      <c r="AA776" s="811"/>
      <c r="AB776" s="811"/>
      <c r="AD776" s="260"/>
    </row>
    <row r="777" spans="2:30" x14ac:dyDescent="0.3">
      <c r="B777" s="806" t="s">
        <v>385</v>
      </c>
      <c r="C777" s="807" t="s">
        <v>2423</v>
      </c>
      <c r="D777" s="869" t="s">
        <v>264</v>
      </c>
      <c r="E777" s="839" t="str">
        <f>IFERROR(IF(_xlfn.XLOOKUP(Imput[[#This Row],[RFC]],'Alta Proveedor'!D:D,'Alta Proveedor'!E:E)=0,"",_xlfn.XLOOKUP(Imput[[#This Row],[RFC]],'Alta Proveedor'!D:D,'Alta Proveedor'!E:E)),"")</f>
        <v>M.N. DEL GOLFO "HOME CENTER TU ASESOR CONFIABLE"</v>
      </c>
      <c r="F777" s="834" t="s">
        <v>304</v>
      </c>
      <c r="G777" s="809">
        <v>5</v>
      </c>
      <c r="H777" s="808">
        <v>19.826000000000001</v>
      </c>
      <c r="I777" s="810">
        <f>Imput[[#This Row],[Cantidad]]*Imput[[#This Row],[Precio Unitario]]</f>
        <v>99.13</v>
      </c>
      <c r="J777" s="811">
        <f>((Imput[[#This Row],[Sub total]])*(0.16))</f>
        <v>15.860799999999999</v>
      </c>
      <c r="K777" s="811">
        <v>0</v>
      </c>
      <c r="L777" s="810">
        <f>Imput[[#This Row],[Sub total]]+Imput[[#This Row],[IVA]]-Imput[[#This Row],[Retención / IEPS / Descuento]]</f>
        <v>114.99079999999999</v>
      </c>
      <c r="M777" s="844">
        <v>0</v>
      </c>
      <c r="N777" s="189" t="s">
        <v>123</v>
      </c>
      <c r="O777" s="1"/>
      <c r="P777" s="189" t="s">
        <v>2060</v>
      </c>
      <c r="Q777" s="813" t="s">
        <v>2061</v>
      </c>
      <c r="R777" s="814">
        <v>45884</v>
      </c>
      <c r="S777" s="815" t="s">
        <v>371</v>
      </c>
      <c r="T777" s="816"/>
      <c r="U777" s="828"/>
      <c r="V777" s="806"/>
      <c r="W777" s="806"/>
      <c r="X777" s="806"/>
      <c r="Y777" s="806"/>
      <c r="Z777" s="806"/>
      <c r="AA777" s="811"/>
      <c r="AB777" s="811"/>
      <c r="AD777" s="260"/>
    </row>
    <row r="778" spans="2:30" x14ac:dyDescent="0.3">
      <c r="B778" s="10" t="s">
        <v>383</v>
      </c>
      <c r="C778" s="315" t="s">
        <v>1743</v>
      </c>
      <c r="D778" s="868" t="s">
        <v>3118</v>
      </c>
      <c r="E778" s="837" t="str">
        <f>IFERROR(IF(_xlfn.XLOOKUP(Imput[[#This Row],[RFC]],'Alta Proveedor'!D:D,'Alta Proveedor'!E:E)=0,"",_xlfn.XLOOKUP(Imput[[#This Row],[RFC]],'Alta Proveedor'!D:D,'Alta Proveedor'!E:E)),"")</f>
        <v>Nomina-ADMON</v>
      </c>
      <c r="F778" s="832" t="s">
        <v>3053</v>
      </c>
      <c r="G778" s="187">
        <v>1</v>
      </c>
      <c r="H778" s="11">
        <v>0</v>
      </c>
      <c r="I778" s="169">
        <f>Imput[[#This Row],[Cantidad]]*Imput[[#This Row],[Precio Unitario]]</f>
        <v>0</v>
      </c>
      <c r="J778" s="11">
        <v>0</v>
      </c>
      <c r="K778" s="11">
        <v>0</v>
      </c>
      <c r="L778" s="169">
        <f>Imput[[#This Row],[Sub total]]+Imput[[#This Row],[IVA]]-Imput[[#This Row],[Retención / IEPS / Descuento]]</f>
        <v>0</v>
      </c>
      <c r="M778" s="844">
        <v>0</v>
      </c>
      <c r="N778" s="189" t="s">
        <v>363</v>
      </c>
      <c r="O778" s="1"/>
      <c r="P778" s="189"/>
      <c r="Q778" s="190"/>
      <c r="R778" s="188">
        <v>45884</v>
      </c>
      <c r="S778" s="193"/>
      <c r="T778" s="192"/>
      <c r="U778" s="829" t="s">
        <v>3099</v>
      </c>
      <c r="V778" s="10"/>
      <c r="W778" s="10"/>
      <c r="X778" s="10"/>
      <c r="Y778" s="10"/>
      <c r="Z778" s="10"/>
      <c r="AA778" s="11"/>
      <c r="AB778" s="11"/>
      <c r="AD778" s="260"/>
    </row>
    <row r="779" spans="2:30" x14ac:dyDescent="0.3">
      <c r="B779" s="10" t="s">
        <v>383</v>
      </c>
      <c r="C779" s="315" t="s">
        <v>1773</v>
      </c>
      <c r="D779" s="868" t="s">
        <v>3118</v>
      </c>
      <c r="E779" s="837" t="str">
        <f>IFERROR(IF(_xlfn.XLOOKUP(Imput[[#This Row],[RFC]],'Alta Proveedor'!D:D,'Alta Proveedor'!E:E)=0,"",_xlfn.XLOOKUP(Imput[[#This Row],[RFC]],'Alta Proveedor'!D:D,'Alta Proveedor'!E:E)),"")</f>
        <v>Nomina-ADMON</v>
      </c>
      <c r="F779" s="832" t="s">
        <v>3054</v>
      </c>
      <c r="G779" s="187">
        <v>1</v>
      </c>
      <c r="H779" s="11">
        <v>4182</v>
      </c>
      <c r="I779" s="169">
        <f>Imput[[#This Row],[Cantidad]]*Imput[[#This Row],[Precio Unitario]]</f>
        <v>4182</v>
      </c>
      <c r="J779" s="11">
        <v>0</v>
      </c>
      <c r="K779" s="11">
        <v>0</v>
      </c>
      <c r="L779" s="169">
        <f>Imput[[#This Row],[Sub total]]+Imput[[#This Row],[IVA]]-Imput[[#This Row],[Retención / IEPS / Descuento]]</f>
        <v>4182</v>
      </c>
      <c r="M779" s="844">
        <v>4182</v>
      </c>
      <c r="N779" s="189" t="s">
        <v>363</v>
      </c>
      <c r="O779" s="1"/>
      <c r="P779" s="189"/>
      <c r="Q779" s="190"/>
      <c r="R779" s="188">
        <v>45884</v>
      </c>
      <c r="S779" s="193"/>
      <c r="T779" s="192"/>
      <c r="U779" s="829" t="s">
        <v>3099</v>
      </c>
      <c r="V779" s="10"/>
      <c r="W779" s="10"/>
      <c r="X779" s="10"/>
      <c r="Y779" s="10"/>
      <c r="Z779" s="10"/>
      <c r="AA779" s="11"/>
      <c r="AB779" s="11"/>
      <c r="AD779" s="260"/>
    </row>
    <row r="780" spans="2:30" x14ac:dyDescent="0.3">
      <c r="B780" s="10" t="s">
        <v>383</v>
      </c>
      <c r="C780" s="315" t="s">
        <v>1784</v>
      </c>
      <c r="D780" s="868" t="s">
        <v>3118</v>
      </c>
      <c r="E780" s="837" t="str">
        <f>IFERROR(IF(_xlfn.XLOOKUP(Imput[[#This Row],[RFC]],'Alta Proveedor'!D:D,'Alta Proveedor'!E:E)=0,"",_xlfn.XLOOKUP(Imput[[#This Row],[RFC]],'Alta Proveedor'!D:D,'Alta Proveedor'!E:E)),"")</f>
        <v>Nomina-ADMON</v>
      </c>
      <c r="F780" s="832" t="s">
        <v>3055</v>
      </c>
      <c r="G780" s="187">
        <v>1</v>
      </c>
      <c r="H780" s="11">
        <v>0</v>
      </c>
      <c r="I780" s="169">
        <f>Imput[[#This Row],[Cantidad]]*Imput[[#This Row],[Precio Unitario]]</f>
        <v>0</v>
      </c>
      <c r="J780" s="11">
        <v>0</v>
      </c>
      <c r="K780" s="11">
        <v>0</v>
      </c>
      <c r="L780" s="169">
        <f>Imput[[#This Row],[Sub total]]+Imput[[#This Row],[IVA]]-Imput[[#This Row],[Retención / IEPS / Descuento]]</f>
        <v>0</v>
      </c>
      <c r="M780" s="844">
        <v>0</v>
      </c>
      <c r="N780" s="189" t="s">
        <v>363</v>
      </c>
      <c r="O780" s="1"/>
      <c r="P780" s="189"/>
      <c r="Q780" s="190"/>
      <c r="R780" s="188">
        <v>45884</v>
      </c>
      <c r="S780" s="193"/>
      <c r="T780" s="192"/>
      <c r="U780" s="829" t="s">
        <v>3099</v>
      </c>
      <c r="V780" s="10"/>
      <c r="W780" s="10"/>
      <c r="X780" s="10"/>
      <c r="Y780" s="10"/>
      <c r="Z780" s="10"/>
      <c r="AA780" s="11"/>
      <c r="AB780" s="11"/>
      <c r="AD780" s="260"/>
    </row>
    <row r="781" spans="2:30" x14ac:dyDescent="0.3">
      <c r="B781" s="10" t="s">
        <v>383</v>
      </c>
      <c r="C781" s="315" t="s">
        <v>1756</v>
      </c>
      <c r="D781" s="868" t="s">
        <v>3118</v>
      </c>
      <c r="E781" s="837" t="str">
        <f>IFERROR(IF(_xlfn.XLOOKUP(Imput[[#This Row],[RFC]],'Alta Proveedor'!D:D,'Alta Proveedor'!E:E)=0,"",_xlfn.XLOOKUP(Imput[[#This Row],[RFC]],'Alta Proveedor'!D:D,'Alta Proveedor'!E:E)),"")</f>
        <v>Nomina-ADMON</v>
      </c>
      <c r="F781" s="832" t="s">
        <v>3056</v>
      </c>
      <c r="G781" s="187">
        <v>1</v>
      </c>
      <c r="H781" s="11">
        <v>4182</v>
      </c>
      <c r="I781" s="169">
        <f>Imput[[#This Row],[Cantidad]]*Imput[[#This Row],[Precio Unitario]]</f>
        <v>4182</v>
      </c>
      <c r="J781" s="11">
        <v>0</v>
      </c>
      <c r="K781" s="11">
        <v>0</v>
      </c>
      <c r="L781" s="169">
        <f>Imput[[#This Row],[Sub total]]+Imput[[#This Row],[IVA]]-Imput[[#This Row],[Retención / IEPS / Descuento]]</f>
        <v>4182</v>
      </c>
      <c r="M781" s="844">
        <v>4182</v>
      </c>
      <c r="N781" s="189" t="s">
        <v>363</v>
      </c>
      <c r="O781" s="1"/>
      <c r="P781" s="189"/>
      <c r="Q781" s="190"/>
      <c r="R781" s="188">
        <v>45884</v>
      </c>
      <c r="S781" s="193"/>
      <c r="T781" s="192"/>
      <c r="U781" s="829" t="s">
        <v>3099</v>
      </c>
      <c r="V781" s="10"/>
      <c r="W781" s="10"/>
      <c r="X781" s="10"/>
      <c r="Y781" s="10"/>
      <c r="Z781" s="10"/>
      <c r="AA781" s="11"/>
      <c r="AB781" s="11"/>
      <c r="AD781" s="260"/>
    </row>
    <row r="782" spans="2:30" x14ac:dyDescent="0.3">
      <c r="B782" s="10" t="s">
        <v>383</v>
      </c>
      <c r="C782" s="315" t="s">
        <v>1774</v>
      </c>
      <c r="D782" s="868" t="s">
        <v>3118</v>
      </c>
      <c r="E782" s="837" t="str">
        <f>IFERROR(IF(_xlfn.XLOOKUP(Imput[[#This Row],[RFC]],'Alta Proveedor'!D:D,'Alta Proveedor'!E:E)=0,"",_xlfn.XLOOKUP(Imput[[#This Row],[RFC]],'Alta Proveedor'!D:D,'Alta Proveedor'!E:E)),"")</f>
        <v>Nomina-ADMON</v>
      </c>
      <c r="F782" s="832" t="s">
        <v>3057</v>
      </c>
      <c r="G782" s="187">
        <v>1</v>
      </c>
      <c r="H782" s="11">
        <v>4182</v>
      </c>
      <c r="I782" s="169">
        <f>Imput[[#This Row],[Cantidad]]*Imput[[#This Row],[Precio Unitario]]</f>
        <v>4182</v>
      </c>
      <c r="J782" s="11">
        <v>0</v>
      </c>
      <c r="K782" s="11">
        <v>0</v>
      </c>
      <c r="L782" s="169">
        <f>Imput[[#This Row],[Sub total]]+Imput[[#This Row],[IVA]]-Imput[[#This Row],[Retención / IEPS / Descuento]]</f>
        <v>4182</v>
      </c>
      <c r="M782" s="844">
        <v>4182</v>
      </c>
      <c r="N782" s="189" t="s">
        <v>363</v>
      </c>
      <c r="O782" s="1"/>
      <c r="P782" s="189"/>
      <c r="Q782" s="190"/>
      <c r="R782" s="188">
        <v>45884</v>
      </c>
      <c r="S782" s="193"/>
      <c r="T782" s="192"/>
      <c r="U782" s="829" t="s">
        <v>3099</v>
      </c>
      <c r="V782" s="10"/>
      <c r="W782" s="10"/>
      <c r="X782" s="10"/>
      <c r="Y782" s="10"/>
      <c r="Z782" s="10"/>
      <c r="AA782" s="11"/>
      <c r="AB782" s="11"/>
      <c r="AD782" s="260"/>
    </row>
    <row r="783" spans="2:30" x14ac:dyDescent="0.3">
      <c r="B783" s="10" t="s">
        <v>383</v>
      </c>
      <c r="C783" s="315" t="s">
        <v>1754</v>
      </c>
      <c r="D783" s="868" t="s">
        <v>3118</v>
      </c>
      <c r="E783" s="837" t="str">
        <f>IFERROR(IF(_xlfn.XLOOKUP(Imput[[#This Row],[RFC]],'Alta Proveedor'!D:D,'Alta Proveedor'!E:E)=0,"",_xlfn.XLOOKUP(Imput[[#This Row],[RFC]],'Alta Proveedor'!D:D,'Alta Proveedor'!E:E)),"")</f>
        <v>Nomina-ADMON</v>
      </c>
      <c r="F783" s="832" t="s">
        <v>3058</v>
      </c>
      <c r="G783" s="187">
        <v>1</v>
      </c>
      <c r="H783" s="11">
        <v>4182</v>
      </c>
      <c r="I783" s="169">
        <f>Imput[[#This Row],[Cantidad]]*Imput[[#This Row],[Precio Unitario]]</f>
        <v>4182</v>
      </c>
      <c r="J783" s="11">
        <v>0</v>
      </c>
      <c r="K783" s="11">
        <v>0</v>
      </c>
      <c r="L783" s="169">
        <f>Imput[[#This Row],[Sub total]]+Imput[[#This Row],[IVA]]-Imput[[#This Row],[Retención / IEPS / Descuento]]</f>
        <v>4182</v>
      </c>
      <c r="M783" s="844">
        <v>4182</v>
      </c>
      <c r="N783" s="189" t="s">
        <v>363</v>
      </c>
      <c r="O783" s="1"/>
      <c r="P783" s="189"/>
      <c r="Q783" s="190"/>
      <c r="R783" s="188">
        <v>45884</v>
      </c>
      <c r="S783" s="193"/>
      <c r="T783" s="192"/>
      <c r="U783" s="829" t="s">
        <v>3099</v>
      </c>
      <c r="V783" s="10"/>
      <c r="W783" s="10"/>
      <c r="X783" s="10"/>
      <c r="Y783" s="10"/>
      <c r="Z783" s="10"/>
      <c r="AA783" s="11"/>
      <c r="AB783" s="11"/>
      <c r="AD783" s="260"/>
    </row>
    <row r="784" spans="2:30" x14ac:dyDescent="0.3">
      <c r="B784" s="10" t="s">
        <v>383</v>
      </c>
      <c r="C784" s="315" t="s">
        <v>1743</v>
      </c>
      <c r="D784" s="868" t="s">
        <v>3118</v>
      </c>
      <c r="E784" s="837" t="str">
        <f>IFERROR(IF(_xlfn.XLOOKUP(Imput[[#This Row],[RFC]],'Alta Proveedor'!D:D,'Alta Proveedor'!E:E)=0,"",_xlfn.XLOOKUP(Imput[[#This Row],[RFC]],'Alta Proveedor'!D:D,'Alta Proveedor'!E:E)),"")</f>
        <v>Nomina-ADMON</v>
      </c>
      <c r="F784" s="832" t="s">
        <v>3059</v>
      </c>
      <c r="G784" s="187">
        <v>1</v>
      </c>
      <c r="H784" s="11">
        <v>10000</v>
      </c>
      <c r="I784" s="169">
        <f>Imput[[#This Row],[Cantidad]]*Imput[[#This Row],[Precio Unitario]]</f>
        <v>10000</v>
      </c>
      <c r="J784" s="11">
        <f>((Imput[[#This Row],[Sub total]])*(0.08))</f>
        <v>800</v>
      </c>
      <c r="K784" s="11">
        <v>0</v>
      </c>
      <c r="L784" s="169">
        <f>Imput[[#This Row],[Sub total]]+Imput[[#This Row],[IVA]]-Imput[[#This Row],[Retención / IEPS / Descuento]]</f>
        <v>10800</v>
      </c>
      <c r="M784" s="844">
        <v>10800</v>
      </c>
      <c r="N784" s="189" t="s">
        <v>363</v>
      </c>
      <c r="O784" s="1"/>
      <c r="P784" s="189"/>
      <c r="Q784" s="190"/>
      <c r="R784" s="188">
        <v>45884</v>
      </c>
      <c r="S784" s="193"/>
      <c r="T784" s="192"/>
      <c r="U784" s="829" t="s">
        <v>3099</v>
      </c>
      <c r="V784" s="10"/>
      <c r="W784" s="10"/>
      <c r="X784" s="10"/>
      <c r="Y784" s="10"/>
      <c r="Z784" s="10"/>
      <c r="AA784" s="11"/>
      <c r="AB784" s="11"/>
      <c r="AD784" s="260"/>
    </row>
    <row r="785" spans="2:30" x14ac:dyDescent="0.3">
      <c r="B785" s="10" t="s">
        <v>383</v>
      </c>
      <c r="C785" s="315" t="s">
        <v>1773</v>
      </c>
      <c r="D785" s="868" t="s">
        <v>3118</v>
      </c>
      <c r="E785" s="837" t="str">
        <f>IFERROR(IF(_xlfn.XLOOKUP(Imput[[#This Row],[RFC]],'Alta Proveedor'!D:D,'Alta Proveedor'!E:E)=0,"",_xlfn.XLOOKUP(Imput[[#This Row],[RFC]],'Alta Proveedor'!D:D,'Alta Proveedor'!E:E)),"")</f>
        <v>Nomina-ADMON</v>
      </c>
      <c r="F785" s="832" t="s">
        <v>3060</v>
      </c>
      <c r="G785" s="187">
        <v>1</v>
      </c>
      <c r="H785" s="11">
        <v>2318</v>
      </c>
      <c r="I785" s="169">
        <f>Imput[[#This Row],[Cantidad]]*Imput[[#This Row],[Precio Unitario]]</f>
        <v>2318</v>
      </c>
      <c r="J785" s="11">
        <f>((Imput[[#This Row],[Sub total]])*(0.08))</f>
        <v>185.44</v>
      </c>
      <c r="K785" s="11">
        <v>0</v>
      </c>
      <c r="L785" s="169">
        <f>Imput[[#This Row],[Sub total]]+Imput[[#This Row],[IVA]]-Imput[[#This Row],[Retención / IEPS / Descuento]]</f>
        <v>2503.44</v>
      </c>
      <c r="M785" s="844">
        <v>2503.44</v>
      </c>
      <c r="N785" s="189" t="s">
        <v>363</v>
      </c>
      <c r="O785" s="1"/>
      <c r="P785" s="189"/>
      <c r="Q785" s="190"/>
      <c r="R785" s="188">
        <v>45884</v>
      </c>
      <c r="S785" s="193"/>
      <c r="T785" s="192"/>
      <c r="U785" s="829" t="s">
        <v>3099</v>
      </c>
      <c r="V785" s="10"/>
      <c r="W785" s="10"/>
      <c r="X785" s="10"/>
      <c r="Y785" s="10"/>
      <c r="Z785" s="10"/>
      <c r="AA785" s="11"/>
      <c r="AB785" s="11"/>
      <c r="AD785" s="260"/>
    </row>
    <row r="786" spans="2:30" x14ac:dyDescent="0.3">
      <c r="B786" s="10" t="s">
        <v>383</v>
      </c>
      <c r="C786" s="315" t="s">
        <v>1784</v>
      </c>
      <c r="D786" s="868" t="s">
        <v>3118</v>
      </c>
      <c r="E786" s="837" t="str">
        <f>IFERROR(IF(_xlfn.XLOOKUP(Imput[[#This Row],[RFC]],'Alta Proveedor'!D:D,'Alta Proveedor'!E:E)=0,"",_xlfn.XLOOKUP(Imput[[#This Row],[RFC]],'Alta Proveedor'!D:D,'Alta Proveedor'!E:E)),"")</f>
        <v>Nomina-ADMON</v>
      </c>
      <c r="F786" s="832" t="s">
        <v>3061</v>
      </c>
      <c r="G786" s="187">
        <v>1</v>
      </c>
      <c r="H786" s="11">
        <v>6000</v>
      </c>
      <c r="I786" s="169">
        <f>Imput[[#This Row],[Cantidad]]*Imput[[#This Row],[Precio Unitario]]</f>
        <v>6000</v>
      </c>
      <c r="J786" s="11">
        <f>((Imput[[#This Row],[Sub total]])*(0.08))</f>
        <v>480</v>
      </c>
      <c r="K786" s="11">
        <v>0</v>
      </c>
      <c r="L786" s="169">
        <f>Imput[[#This Row],[Sub total]]+Imput[[#This Row],[IVA]]-Imput[[#This Row],[Retención / IEPS / Descuento]]</f>
        <v>6480</v>
      </c>
      <c r="M786" s="844">
        <v>6480</v>
      </c>
      <c r="N786" s="189" t="s">
        <v>363</v>
      </c>
      <c r="O786" s="1"/>
      <c r="P786" s="189"/>
      <c r="Q786" s="190"/>
      <c r="R786" s="188">
        <v>45884</v>
      </c>
      <c r="S786" s="193"/>
      <c r="T786" s="192"/>
      <c r="U786" s="829" t="s">
        <v>3099</v>
      </c>
      <c r="V786" s="10"/>
      <c r="W786" s="10"/>
      <c r="X786" s="10"/>
      <c r="Y786" s="10"/>
      <c r="Z786" s="10"/>
      <c r="AA786" s="11"/>
      <c r="AB786" s="11"/>
      <c r="AD786" s="260"/>
    </row>
    <row r="787" spans="2:30" x14ac:dyDescent="0.3">
      <c r="B787" s="10" t="s">
        <v>383</v>
      </c>
      <c r="C787" s="315" t="s">
        <v>1756</v>
      </c>
      <c r="D787" s="868" t="s">
        <v>3118</v>
      </c>
      <c r="E787" s="837" t="str">
        <f>IFERROR(IF(_xlfn.XLOOKUP(Imput[[#This Row],[RFC]],'Alta Proveedor'!D:D,'Alta Proveedor'!E:E)=0,"",_xlfn.XLOOKUP(Imput[[#This Row],[RFC]],'Alta Proveedor'!D:D,'Alta Proveedor'!E:E)),"")</f>
        <v>Nomina-ADMON</v>
      </c>
      <c r="F787" s="832" t="s">
        <v>3062</v>
      </c>
      <c r="G787" s="187">
        <v>1</v>
      </c>
      <c r="H787" s="11">
        <v>6533</v>
      </c>
      <c r="I787" s="169">
        <f>Imput[[#This Row],[Cantidad]]*Imput[[#This Row],[Precio Unitario]]</f>
        <v>6533</v>
      </c>
      <c r="J787" s="11">
        <f>((Imput[[#This Row],[Sub total]])*(0.08))</f>
        <v>522.64</v>
      </c>
      <c r="K787" s="11">
        <v>0</v>
      </c>
      <c r="L787" s="169">
        <f>Imput[[#This Row],[Sub total]]+Imput[[#This Row],[IVA]]-Imput[[#This Row],[Retención / IEPS / Descuento]]</f>
        <v>7055.64</v>
      </c>
      <c r="M787" s="844">
        <v>7055.64</v>
      </c>
      <c r="N787" s="189" t="s">
        <v>363</v>
      </c>
      <c r="O787" s="1"/>
      <c r="P787" s="189"/>
      <c r="Q787" s="190"/>
      <c r="R787" s="188">
        <v>45884</v>
      </c>
      <c r="S787" s="193"/>
      <c r="T787" s="192"/>
      <c r="U787" s="829" t="s">
        <v>3099</v>
      </c>
      <c r="V787" s="10"/>
      <c r="W787" s="10"/>
      <c r="X787" s="10"/>
      <c r="Y787" s="10"/>
      <c r="Z787" s="10"/>
      <c r="AA787" s="11"/>
      <c r="AB787" s="11"/>
      <c r="AD787" s="260"/>
    </row>
    <row r="788" spans="2:30" x14ac:dyDescent="0.3">
      <c r="B788" s="10" t="s">
        <v>383</v>
      </c>
      <c r="C788" s="315" t="s">
        <v>1774</v>
      </c>
      <c r="D788" s="868" t="s">
        <v>3118</v>
      </c>
      <c r="E788" s="837" t="str">
        <f>IFERROR(IF(_xlfn.XLOOKUP(Imput[[#This Row],[RFC]],'Alta Proveedor'!D:D,'Alta Proveedor'!E:E)=0,"",_xlfn.XLOOKUP(Imput[[#This Row],[RFC]],'Alta Proveedor'!D:D,'Alta Proveedor'!E:E)),"")</f>
        <v>Nomina-ADMON</v>
      </c>
      <c r="F788" s="832" t="s">
        <v>3063</v>
      </c>
      <c r="G788" s="187">
        <v>1</v>
      </c>
      <c r="H788" s="11">
        <v>11313.6</v>
      </c>
      <c r="I788" s="169">
        <f>Imput[[#This Row],[Cantidad]]*Imput[[#This Row],[Precio Unitario]]</f>
        <v>11313.6</v>
      </c>
      <c r="J788" s="11">
        <f>((Imput[[#This Row],[Sub total]])*(0.08))</f>
        <v>905.08800000000008</v>
      </c>
      <c r="K788" s="11">
        <v>0</v>
      </c>
      <c r="L788" s="169">
        <f>Imput[[#This Row],[Sub total]]+Imput[[#This Row],[IVA]]-Imput[[#This Row],[Retención / IEPS / Descuento]]</f>
        <v>12218.688</v>
      </c>
      <c r="M788" s="844">
        <v>12218.688</v>
      </c>
      <c r="N788" s="189" t="s">
        <v>363</v>
      </c>
      <c r="O788" s="1"/>
      <c r="P788" s="189"/>
      <c r="Q788" s="190"/>
      <c r="R788" s="188">
        <v>45884</v>
      </c>
      <c r="S788" s="193"/>
      <c r="T788" s="192"/>
      <c r="U788" s="829" t="s">
        <v>3099</v>
      </c>
      <c r="V788" s="10"/>
      <c r="W788" s="10"/>
      <c r="X788" s="10"/>
      <c r="Y788" s="10"/>
      <c r="Z788" s="10"/>
      <c r="AA788" s="11"/>
      <c r="AB788" s="11"/>
      <c r="AD788" s="260"/>
    </row>
    <row r="789" spans="2:30" x14ac:dyDescent="0.3">
      <c r="B789" s="10" t="s">
        <v>383</v>
      </c>
      <c r="C789" s="315" t="s">
        <v>1754</v>
      </c>
      <c r="D789" s="868" t="s">
        <v>3118</v>
      </c>
      <c r="E789" s="837" t="str">
        <f>IFERROR(IF(_xlfn.XLOOKUP(Imput[[#This Row],[RFC]],'Alta Proveedor'!D:D,'Alta Proveedor'!E:E)=0,"",_xlfn.XLOOKUP(Imput[[#This Row],[RFC]],'Alta Proveedor'!D:D,'Alta Proveedor'!E:E)),"")</f>
        <v>Nomina-ADMON</v>
      </c>
      <c r="F789" s="832" t="s">
        <v>3064</v>
      </c>
      <c r="G789" s="187">
        <v>1</v>
      </c>
      <c r="H789" s="11">
        <v>9818</v>
      </c>
      <c r="I789" s="169">
        <f>Imput[[#This Row],[Cantidad]]*Imput[[#This Row],[Precio Unitario]]</f>
        <v>9818</v>
      </c>
      <c r="J789" s="11">
        <f>((Imput[[#This Row],[Sub total]])*(0.08))</f>
        <v>785.44</v>
      </c>
      <c r="K789" s="11">
        <v>0</v>
      </c>
      <c r="L789" s="169">
        <f>Imput[[#This Row],[Sub total]]+Imput[[#This Row],[IVA]]-Imput[[#This Row],[Retención / IEPS / Descuento]]</f>
        <v>10603.44</v>
      </c>
      <c r="M789" s="844">
        <v>10603.44</v>
      </c>
      <c r="N789" s="189" t="s">
        <v>363</v>
      </c>
      <c r="O789" s="1"/>
      <c r="P789" s="189"/>
      <c r="Q789" s="190"/>
      <c r="R789" s="188">
        <v>45884</v>
      </c>
      <c r="S789" s="193"/>
      <c r="T789" s="192"/>
      <c r="U789" s="829" t="s">
        <v>3099</v>
      </c>
      <c r="V789" s="10"/>
      <c r="W789" s="10"/>
      <c r="X789" s="10"/>
      <c r="Y789" s="10"/>
      <c r="Z789" s="10"/>
      <c r="AA789" s="11"/>
      <c r="AB789" s="11"/>
      <c r="AD789" s="260"/>
    </row>
    <row r="790" spans="2:30" x14ac:dyDescent="0.3">
      <c r="B790" s="10" t="s">
        <v>383</v>
      </c>
      <c r="C790" s="315" t="s">
        <v>1747</v>
      </c>
      <c r="D790" s="868" t="s">
        <v>3225</v>
      </c>
      <c r="E790" s="837" t="str">
        <f>IFERROR(IF(_xlfn.XLOOKUP(Imput[[#This Row],[RFC]],'Alta Proveedor'!D:D,'Alta Proveedor'!E:E)=0,"",_xlfn.XLOOKUP(Imput[[#This Row],[RFC]],'Alta Proveedor'!D:D,'Alta Proveedor'!E:E)),"")</f>
        <v>GASTOS SIN FACTURA</v>
      </c>
      <c r="F790" s="836" t="s">
        <v>3216</v>
      </c>
      <c r="G790" s="187">
        <v>1</v>
      </c>
      <c r="H790" s="1">
        <v>1200</v>
      </c>
      <c r="I790" s="169">
        <f>Imput[[#This Row],[Cantidad]]*Imput[[#This Row],[Precio Unitario]]</f>
        <v>1200</v>
      </c>
      <c r="J790" s="11">
        <f>Imput[[#This Row],[Sub total]]*0.08</f>
        <v>96</v>
      </c>
      <c r="K790" s="11">
        <v>0</v>
      </c>
      <c r="L790" s="169">
        <f>Imput[[#This Row],[Sub total]]+Imput[[#This Row],[IVA]]-Imput[[#This Row],[Retención / IEPS / Descuento]]</f>
        <v>1296</v>
      </c>
      <c r="M790" s="844">
        <v>1296</v>
      </c>
      <c r="N790" s="189"/>
      <c r="O790" s="1"/>
      <c r="P790" s="189"/>
      <c r="Q790" s="190"/>
      <c r="R790" s="188">
        <v>45884</v>
      </c>
      <c r="S790" s="193"/>
      <c r="T790" s="192"/>
      <c r="U790" s="867" t="s">
        <v>3225</v>
      </c>
      <c r="V790" s="10"/>
      <c r="W790" s="10"/>
      <c r="X790" s="10"/>
      <c r="Y790" s="10"/>
      <c r="Z790" s="10"/>
      <c r="AA790" s="11"/>
      <c r="AB790" s="11"/>
      <c r="AD790" s="260"/>
    </row>
    <row r="791" spans="2:30" x14ac:dyDescent="0.3">
      <c r="B791" s="10" t="s">
        <v>385</v>
      </c>
      <c r="C791" s="315" t="s">
        <v>2134</v>
      </c>
      <c r="D791" s="868" t="s">
        <v>3119</v>
      </c>
      <c r="E791" s="837" t="str">
        <f>IFERROR(IF(_xlfn.XLOOKUP(Imput[[#This Row],[RFC]],'Alta Proveedor'!D:D,'Alta Proveedor'!E:E)=0,"",_xlfn.XLOOKUP(Imput[[#This Row],[RFC]],'Alta Proveedor'!D:D,'Alta Proveedor'!E:E)),"")</f>
        <v>Nomina-OPERACIÓN</v>
      </c>
      <c r="F791" s="836" t="s">
        <v>3172</v>
      </c>
      <c r="G791" s="187">
        <v>1</v>
      </c>
      <c r="H791" s="1">
        <v>35474</v>
      </c>
      <c r="I791" s="169">
        <f>Imput[[#This Row],[Cantidad]]*Imput[[#This Row],[Precio Unitario]]</f>
        <v>35474</v>
      </c>
      <c r="J791" s="11">
        <f>Imput[[#This Row],[Sub total]]*0.08</f>
        <v>2837.92</v>
      </c>
      <c r="K791" s="11">
        <v>0</v>
      </c>
      <c r="L791" s="169">
        <f>Imput[[#This Row],[Sub total]]+Imput[[#This Row],[IVA]]-Imput[[#This Row],[Retención / IEPS / Descuento]]</f>
        <v>38311.919999999998</v>
      </c>
      <c r="M791" s="844">
        <v>38311.919999999998</v>
      </c>
      <c r="N791" s="189"/>
      <c r="O791" s="1"/>
      <c r="P791" s="189"/>
      <c r="Q791" s="190"/>
      <c r="R791" s="188">
        <v>45885</v>
      </c>
      <c r="S791" s="193"/>
      <c r="T791" s="192"/>
      <c r="U791" s="867" t="s">
        <v>3225</v>
      </c>
      <c r="V791" s="10"/>
      <c r="W791" s="10"/>
      <c r="X791" s="10"/>
      <c r="Y791" s="10"/>
      <c r="Z791" s="10"/>
      <c r="AA791" s="11"/>
      <c r="AB791" s="11"/>
      <c r="AD791" s="260"/>
    </row>
    <row r="792" spans="2:30" x14ac:dyDescent="0.3">
      <c r="B792" s="10" t="s">
        <v>385</v>
      </c>
      <c r="C792" s="315" t="s">
        <v>2281</v>
      </c>
      <c r="D792" s="868" t="s">
        <v>3119</v>
      </c>
      <c r="E792" s="837" t="str">
        <f>IFERROR(IF(_xlfn.XLOOKUP(Imput[[#This Row],[RFC]],'Alta Proveedor'!D:D,'Alta Proveedor'!E:E)=0,"",_xlfn.XLOOKUP(Imput[[#This Row],[RFC]],'Alta Proveedor'!D:D,'Alta Proveedor'!E:E)),"")</f>
        <v>Nomina-OPERACIÓN</v>
      </c>
      <c r="F792" s="836" t="s">
        <v>3182</v>
      </c>
      <c r="G792" s="187">
        <v>1</v>
      </c>
      <c r="H792" s="1">
        <v>4800</v>
      </c>
      <c r="I792" s="169">
        <f>Imput[[#This Row],[Cantidad]]*Imput[[#This Row],[Precio Unitario]]</f>
        <v>4800</v>
      </c>
      <c r="J792" s="11">
        <f>Imput[[#This Row],[Sub total]]*0.08</f>
        <v>384</v>
      </c>
      <c r="K792" s="11">
        <v>0</v>
      </c>
      <c r="L792" s="169">
        <f>Imput[[#This Row],[Sub total]]+Imput[[#This Row],[IVA]]-Imput[[#This Row],[Retención / IEPS / Descuento]]</f>
        <v>5184</v>
      </c>
      <c r="M792" s="844">
        <v>5184</v>
      </c>
      <c r="N792" s="189"/>
      <c r="O792" s="1"/>
      <c r="P792" s="189"/>
      <c r="Q792" s="190"/>
      <c r="R792" s="188">
        <v>45885</v>
      </c>
      <c r="S792" s="193"/>
      <c r="T792" s="192"/>
      <c r="U792" s="867" t="s">
        <v>3225</v>
      </c>
      <c r="V792" s="10"/>
      <c r="W792" s="10"/>
      <c r="X792" s="10"/>
      <c r="Y792" s="10"/>
      <c r="Z792" s="10"/>
      <c r="AA792" s="11"/>
      <c r="AB792" s="11"/>
      <c r="AD792" s="260"/>
    </row>
    <row r="793" spans="2:30" x14ac:dyDescent="0.3">
      <c r="B793" s="10" t="s">
        <v>385</v>
      </c>
      <c r="C793" s="315" t="s">
        <v>2281</v>
      </c>
      <c r="D793" s="868" t="s">
        <v>3119</v>
      </c>
      <c r="E793" s="837" t="str">
        <f>IFERROR(IF(_xlfn.XLOOKUP(Imput[[#This Row],[RFC]],'Alta Proveedor'!D:D,'Alta Proveedor'!E:E)=0,"",_xlfn.XLOOKUP(Imput[[#This Row],[RFC]],'Alta Proveedor'!D:D,'Alta Proveedor'!E:E)),"")</f>
        <v>Nomina-OPERACIÓN</v>
      </c>
      <c r="F793" s="836" t="s">
        <v>3183</v>
      </c>
      <c r="G793" s="187">
        <v>1</v>
      </c>
      <c r="H793" s="1">
        <v>25000</v>
      </c>
      <c r="I793" s="169">
        <f>Imput[[#This Row],[Cantidad]]*Imput[[#This Row],[Precio Unitario]]</f>
        <v>25000</v>
      </c>
      <c r="J793" s="11">
        <f>Imput[[#This Row],[Sub total]]*0.08</f>
        <v>2000</v>
      </c>
      <c r="K793" s="11">
        <v>0</v>
      </c>
      <c r="L793" s="169">
        <f>Imput[[#This Row],[Sub total]]+Imput[[#This Row],[IVA]]-Imput[[#This Row],[Retención / IEPS / Descuento]]</f>
        <v>27000</v>
      </c>
      <c r="M793" s="844">
        <v>27000</v>
      </c>
      <c r="N793" s="189"/>
      <c r="O793" s="1"/>
      <c r="P793" s="189"/>
      <c r="Q793" s="190"/>
      <c r="R793" s="188">
        <v>45885</v>
      </c>
      <c r="S793" s="193"/>
      <c r="T793" s="192"/>
      <c r="U793" s="867" t="s">
        <v>3225</v>
      </c>
      <c r="V793" s="10"/>
      <c r="W793" s="10"/>
      <c r="X793" s="10"/>
      <c r="Y793" s="10"/>
      <c r="Z793" s="10"/>
      <c r="AA793" s="11"/>
      <c r="AB793" s="11"/>
      <c r="AD793" s="260"/>
    </row>
    <row r="794" spans="2:30" x14ac:dyDescent="0.3">
      <c r="B794" s="10" t="s">
        <v>385</v>
      </c>
      <c r="C794" s="315" t="s">
        <v>2185</v>
      </c>
      <c r="D794" s="868" t="s">
        <v>3119</v>
      </c>
      <c r="E794" s="837" t="str">
        <f>IFERROR(IF(_xlfn.XLOOKUP(Imput[[#This Row],[RFC]],'Alta Proveedor'!D:D,'Alta Proveedor'!E:E)=0,"",_xlfn.XLOOKUP(Imput[[#This Row],[RFC]],'Alta Proveedor'!D:D,'Alta Proveedor'!E:E)),"")</f>
        <v>Nomina-OPERACIÓN</v>
      </c>
      <c r="F794" s="836" t="s">
        <v>3184</v>
      </c>
      <c r="G794" s="187">
        <v>1</v>
      </c>
      <c r="H794" s="1">
        <v>7059</v>
      </c>
      <c r="I794" s="169">
        <f>Imput[[#This Row],[Cantidad]]*Imput[[#This Row],[Precio Unitario]]</f>
        <v>7059</v>
      </c>
      <c r="J794" s="11">
        <f>Imput[[#This Row],[Sub total]]*0.08</f>
        <v>564.72</v>
      </c>
      <c r="K794" s="11">
        <v>0</v>
      </c>
      <c r="L794" s="169">
        <f>Imput[[#This Row],[Sub total]]+Imput[[#This Row],[IVA]]-Imput[[#This Row],[Retención / IEPS / Descuento]]</f>
        <v>7623.72</v>
      </c>
      <c r="M794" s="844">
        <v>7623.72</v>
      </c>
      <c r="N794" s="189"/>
      <c r="O794" s="1"/>
      <c r="P794" s="189"/>
      <c r="Q794" s="190"/>
      <c r="R794" s="188">
        <v>45885</v>
      </c>
      <c r="S794" s="193"/>
      <c r="T794" s="192"/>
      <c r="U794" s="867" t="s">
        <v>3225</v>
      </c>
      <c r="V794" s="10"/>
      <c r="W794" s="10"/>
      <c r="X794" s="10"/>
      <c r="Y794" s="10"/>
      <c r="Z794" s="10"/>
      <c r="AA794" s="11"/>
      <c r="AB794" s="11"/>
      <c r="AD794" s="260"/>
    </row>
    <row r="795" spans="2:30" x14ac:dyDescent="0.3">
      <c r="B795" s="10" t="s">
        <v>385</v>
      </c>
      <c r="C795" s="315" t="s">
        <v>2185</v>
      </c>
      <c r="D795" s="868" t="s">
        <v>3119</v>
      </c>
      <c r="E795" s="837" t="str">
        <f>IFERROR(IF(_xlfn.XLOOKUP(Imput[[#This Row],[RFC]],'Alta Proveedor'!D:D,'Alta Proveedor'!E:E)=0,"",_xlfn.XLOOKUP(Imput[[#This Row],[RFC]],'Alta Proveedor'!D:D,'Alta Proveedor'!E:E)),"")</f>
        <v>Nomina-OPERACIÓN</v>
      </c>
      <c r="F795" s="836" t="s">
        <v>3185</v>
      </c>
      <c r="G795" s="187">
        <v>1</v>
      </c>
      <c r="H795" s="1">
        <v>5172.8999999999996</v>
      </c>
      <c r="I795" s="169">
        <f>Imput[[#This Row],[Cantidad]]*Imput[[#This Row],[Precio Unitario]]</f>
        <v>5172.8999999999996</v>
      </c>
      <c r="J795" s="11">
        <f>Imput[[#This Row],[Sub total]]*0.08</f>
        <v>413.83199999999999</v>
      </c>
      <c r="K795" s="11">
        <v>0</v>
      </c>
      <c r="L795" s="169">
        <f>Imput[[#This Row],[Sub total]]+Imput[[#This Row],[IVA]]-Imput[[#This Row],[Retención / IEPS / Descuento]]</f>
        <v>5586.732</v>
      </c>
      <c r="M795" s="844">
        <v>5586.732</v>
      </c>
      <c r="N795" s="189"/>
      <c r="O795" s="1"/>
      <c r="P795" s="189"/>
      <c r="Q795" s="190"/>
      <c r="R795" s="188">
        <v>45885</v>
      </c>
      <c r="S795" s="193"/>
      <c r="T795" s="192"/>
      <c r="U795" s="867" t="s">
        <v>3225</v>
      </c>
      <c r="V795" s="10"/>
      <c r="W795" s="10"/>
      <c r="X795" s="10"/>
      <c r="Y795" s="10"/>
      <c r="Z795" s="10"/>
      <c r="AA795" s="11"/>
      <c r="AB795" s="11"/>
      <c r="AD795" s="260"/>
    </row>
    <row r="796" spans="2:30" x14ac:dyDescent="0.3">
      <c r="B796" s="10" t="s">
        <v>385</v>
      </c>
      <c r="C796" s="315" t="s">
        <v>2134</v>
      </c>
      <c r="D796" s="868" t="s">
        <v>3119</v>
      </c>
      <c r="E796" s="837" t="str">
        <f>IFERROR(IF(_xlfn.XLOOKUP(Imput[[#This Row],[RFC]],'Alta Proveedor'!D:D,'Alta Proveedor'!E:E)=0,"",_xlfn.XLOOKUP(Imput[[#This Row],[RFC]],'Alta Proveedor'!D:D,'Alta Proveedor'!E:E)),"")</f>
        <v>Nomina-OPERACIÓN</v>
      </c>
      <c r="F796" s="836" t="s">
        <v>3173</v>
      </c>
      <c r="G796" s="187">
        <v>1</v>
      </c>
      <c r="H796" s="1">
        <v>20425.189999999999</v>
      </c>
      <c r="I796" s="169">
        <f>Imput[[#This Row],[Cantidad]]*Imput[[#This Row],[Precio Unitario]]</f>
        <v>20425.189999999999</v>
      </c>
      <c r="J796" s="11">
        <f>Imput[[#This Row],[Sub total]]*0.08</f>
        <v>1634.0151999999998</v>
      </c>
      <c r="K796" s="11">
        <v>0</v>
      </c>
      <c r="L796" s="169">
        <f>Imput[[#This Row],[Sub total]]+Imput[[#This Row],[IVA]]-Imput[[#This Row],[Retención / IEPS / Descuento]]</f>
        <v>22059.205199999997</v>
      </c>
      <c r="M796" s="844">
        <v>22059.205199999997</v>
      </c>
      <c r="N796" s="189"/>
      <c r="O796" s="1"/>
      <c r="P796" s="189"/>
      <c r="Q796" s="190"/>
      <c r="R796" s="188">
        <v>45885</v>
      </c>
      <c r="S796" s="193"/>
      <c r="T796" s="192"/>
      <c r="U796" s="867" t="s">
        <v>3225</v>
      </c>
      <c r="V796" s="10"/>
      <c r="W796" s="10"/>
      <c r="X796" s="10"/>
      <c r="Y796" s="10"/>
      <c r="Z796" s="10"/>
      <c r="AA796" s="11"/>
      <c r="AB796" s="11"/>
      <c r="AD796" s="260"/>
    </row>
    <row r="797" spans="2:30" x14ac:dyDescent="0.3">
      <c r="B797" s="10" t="s">
        <v>385</v>
      </c>
      <c r="C797" s="315" t="s">
        <v>2335</v>
      </c>
      <c r="D797" s="868" t="s">
        <v>3119</v>
      </c>
      <c r="E797" s="837" t="str">
        <f>IFERROR(IF(_xlfn.XLOOKUP(Imput[[#This Row],[RFC]],'Alta Proveedor'!D:D,'Alta Proveedor'!E:E)=0,"",_xlfn.XLOOKUP(Imput[[#This Row],[RFC]],'Alta Proveedor'!D:D,'Alta Proveedor'!E:E)),"")</f>
        <v>Nomina-OPERACIÓN</v>
      </c>
      <c r="F797" s="836" t="s">
        <v>3178</v>
      </c>
      <c r="G797" s="187">
        <v>1</v>
      </c>
      <c r="H797" s="1">
        <v>5185.71</v>
      </c>
      <c r="I797" s="169">
        <f>Imput[[#This Row],[Cantidad]]*Imput[[#This Row],[Precio Unitario]]</f>
        <v>5185.71</v>
      </c>
      <c r="J797" s="11">
        <f>Imput[[#This Row],[Sub total]]*0.08</f>
        <v>414.85680000000002</v>
      </c>
      <c r="K797" s="11">
        <v>0</v>
      </c>
      <c r="L797" s="169">
        <f>Imput[[#This Row],[Sub total]]+Imput[[#This Row],[IVA]]-Imput[[#This Row],[Retención / IEPS / Descuento]]</f>
        <v>5600.5668000000005</v>
      </c>
      <c r="M797" s="844">
        <v>5600.5668000000005</v>
      </c>
      <c r="N797" s="189"/>
      <c r="O797" s="1"/>
      <c r="P797" s="189"/>
      <c r="Q797" s="190"/>
      <c r="R797" s="188">
        <v>45885</v>
      </c>
      <c r="S797" s="193"/>
      <c r="T797" s="192"/>
      <c r="U797" s="867" t="s">
        <v>3225</v>
      </c>
      <c r="V797" s="10"/>
      <c r="W797" s="10"/>
      <c r="X797" s="10"/>
      <c r="Y797" s="10"/>
      <c r="Z797" s="10"/>
      <c r="AA797" s="11"/>
      <c r="AB797" s="11"/>
      <c r="AD797" s="260"/>
    </row>
    <row r="798" spans="2:30" x14ac:dyDescent="0.3">
      <c r="B798" s="10" t="s">
        <v>385</v>
      </c>
      <c r="C798" s="315" t="s">
        <v>2179</v>
      </c>
      <c r="D798" s="868" t="s">
        <v>3119</v>
      </c>
      <c r="E798" s="837" t="str">
        <f>IFERROR(IF(_xlfn.XLOOKUP(Imput[[#This Row],[RFC]],'Alta Proveedor'!D:D,'Alta Proveedor'!E:E)=0,"",_xlfn.XLOOKUP(Imput[[#This Row],[RFC]],'Alta Proveedor'!D:D,'Alta Proveedor'!E:E)),"")</f>
        <v>Nomina-OPERACIÓN</v>
      </c>
      <c r="F798" s="836" t="s">
        <v>3175</v>
      </c>
      <c r="G798" s="187">
        <v>1</v>
      </c>
      <c r="H798" s="1">
        <v>1900</v>
      </c>
      <c r="I798" s="169">
        <f>Imput[[#This Row],[Cantidad]]*Imput[[#This Row],[Precio Unitario]]</f>
        <v>1900</v>
      </c>
      <c r="J798" s="11">
        <f>Imput[[#This Row],[Sub total]]*0.08</f>
        <v>152</v>
      </c>
      <c r="K798" s="11">
        <v>0</v>
      </c>
      <c r="L798" s="169">
        <f>Imput[[#This Row],[Sub total]]+Imput[[#This Row],[IVA]]-Imput[[#This Row],[Retención / IEPS / Descuento]]</f>
        <v>2052</v>
      </c>
      <c r="M798" s="844">
        <v>2052</v>
      </c>
      <c r="N798" s="189"/>
      <c r="O798" s="1"/>
      <c r="P798" s="189"/>
      <c r="Q798" s="190"/>
      <c r="R798" s="188">
        <v>45885</v>
      </c>
      <c r="S798" s="193"/>
      <c r="T798" s="192"/>
      <c r="U798" s="867" t="s">
        <v>3225</v>
      </c>
      <c r="V798" s="10"/>
      <c r="W798" s="10"/>
      <c r="X798" s="10"/>
      <c r="Y798" s="10"/>
      <c r="Z798" s="10"/>
      <c r="AA798" s="11"/>
      <c r="AB798" s="11"/>
      <c r="AD798" s="260"/>
    </row>
    <row r="799" spans="2:30" x14ac:dyDescent="0.3">
      <c r="B799" s="10" t="s">
        <v>385</v>
      </c>
      <c r="C799" s="315" t="s">
        <v>2134</v>
      </c>
      <c r="D799" s="868" t="s">
        <v>3119</v>
      </c>
      <c r="E799" s="837" t="str">
        <f>IFERROR(IF(_xlfn.XLOOKUP(Imput[[#This Row],[RFC]],'Alta Proveedor'!D:D,'Alta Proveedor'!E:E)=0,"",_xlfn.XLOOKUP(Imput[[#This Row],[RFC]],'Alta Proveedor'!D:D,'Alta Proveedor'!E:E)),"")</f>
        <v>Nomina-OPERACIÓN</v>
      </c>
      <c r="F799" s="836" t="s">
        <v>3186</v>
      </c>
      <c r="G799" s="187">
        <v>1</v>
      </c>
      <c r="H799" s="1">
        <v>7982.14</v>
      </c>
      <c r="I799" s="169">
        <f>Imput[[#This Row],[Cantidad]]*Imput[[#This Row],[Precio Unitario]]</f>
        <v>7982.14</v>
      </c>
      <c r="J799" s="11">
        <f>Imput[[#This Row],[Sub total]]*0.08</f>
        <v>638.57120000000009</v>
      </c>
      <c r="K799" s="11">
        <v>0</v>
      </c>
      <c r="L799" s="169">
        <f>Imput[[#This Row],[Sub total]]+Imput[[#This Row],[IVA]]-Imput[[#This Row],[Retención / IEPS / Descuento]]</f>
        <v>8620.7111999999997</v>
      </c>
      <c r="M799" s="844">
        <v>8620.7111999999997</v>
      </c>
      <c r="N799" s="189"/>
      <c r="O799" s="1"/>
      <c r="P799" s="189"/>
      <c r="Q799" s="190"/>
      <c r="R799" s="188">
        <v>45885</v>
      </c>
      <c r="S799" s="193"/>
      <c r="T799" s="192"/>
      <c r="U799" s="867" t="s">
        <v>3225</v>
      </c>
      <c r="V799" s="10"/>
      <c r="W799" s="10"/>
      <c r="X799" s="10"/>
      <c r="Y799" s="10"/>
      <c r="Z799" s="10"/>
      <c r="AA799" s="11"/>
      <c r="AB799" s="11"/>
      <c r="AD799" s="260"/>
    </row>
    <row r="800" spans="2:30" x14ac:dyDescent="0.3">
      <c r="B800" s="10" t="s">
        <v>385</v>
      </c>
      <c r="C800" s="315" t="s">
        <v>2134</v>
      </c>
      <c r="D800" s="868" t="s">
        <v>3119</v>
      </c>
      <c r="E800" s="837" t="str">
        <f>IFERROR(IF(_xlfn.XLOOKUP(Imput[[#This Row],[RFC]],'Alta Proveedor'!D:D,'Alta Proveedor'!E:E)=0,"",_xlfn.XLOOKUP(Imput[[#This Row],[RFC]],'Alta Proveedor'!D:D,'Alta Proveedor'!E:E)),"")</f>
        <v>Nomina-OPERACIÓN</v>
      </c>
      <c r="F800" s="836" t="s">
        <v>3187</v>
      </c>
      <c r="G800" s="187">
        <v>1</v>
      </c>
      <c r="H800" s="1">
        <v>6145.8</v>
      </c>
      <c r="I800" s="169">
        <f>Imput[[#This Row],[Cantidad]]*Imput[[#This Row],[Precio Unitario]]</f>
        <v>6145.8</v>
      </c>
      <c r="J800" s="11">
        <f>Imput[[#This Row],[Sub total]]*0.08</f>
        <v>491.66400000000004</v>
      </c>
      <c r="K800" s="11">
        <v>0</v>
      </c>
      <c r="L800" s="169">
        <f>Imput[[#This Row],[Sub total]]+Imput[[#This Row],[IVA]]-Imput[[#This Row],[Retención / IEPS / Descuento]]</f>
        <v>6637.4639999999999</v>
      </c>
      <c r="M800" s="844">
        <v>6637.4639999999999</v>
      </c>
      <c r="N800" s="189"/>
      <c r="O800" s="1"/>
      <c r="P800" s="189"/>
      <c r="Q800" s="190"/>
      <c r="R800" s="188">
        <v>45885</v>
      </c>
      <c r="S800" s="193"/>
      <c r="T800" s="192"/>
      <c r="U800" s="867" t="s">
        <v>3225</v>
      </c>
      <c r="V800" s="10"/>
      <c r="W800" s="10"/>
      <c r="X800" s="10"/>
      <c r="Y800" s="10"/>
      <c r="Z800" s="10"/>
      <c r="AA800" s="11"/>
      <c r="AB800" s="11"/>
      <c r="AD800" s="260"/>
    </row>
    <row r="801" spans="2:30" x14ac:dyDescent="0.3">
      <c r="B801" s="10" t="s">
        <v>385</v>
      </c>
      <c r="C801" s="315" t="s">
        <v>1807</v>
      </c>
      <c r="D801" s="868" t="s">
        <v>3225</v>
      </c>
      <c r="E801" s="837" t="str">
        <f>IFERROR(IF(_xlfn.XLOOKUP(Imput[[#This Row],[RFC]],'Alta Proveedor'!D:D,'Alta Proveedor'!E:E)=0,"",_xlfn.XLOOKUP(Imput[[#This Row],[RFC]],'Alta Proveedor'!D:D,'Alta Proveedor'!E:E)),"")</f>
        <v>GASTOS SIN FACTURA</v>
      </c>
      <c r="F801" s="836" t="s">
        <v>3209</v>
      </c>
      <c r="G801" s="187">
        <v>1</v>
      </c>
      <c r="H801" s="1">
        <v>2500</v>
      </c>
      <c r="I801" s="169">
        <f>Imput[[#This Row],[Cantidad]]*Imput[[#This Row],[Precio Unitario]]</f>
        <v>2500</v>
      </c>
      <c r="J801" s="11">
        <f>Imput[[#This Row],[Sub total]]*0.08</f>
        <v>200</v>
      </c>
      <c r="K801" s="11">
        <v>0</v>
      </c>
      <c r="L801" s="169">
        <f>Imput[[#This Row],[Sub total]]+Imput[[#This Row],[IVA]]-Imput[[#This Row],[Retención / IEPS / Descuento]]</f>
        <v>2700</v>
      </c>
      <c r="M801" s="844">
        <v>2700</v>
      </c>
      <c r="N801" s="189"/>
      <c r="O801" s="1"/>
      <c r="P801" s="189"/>
      <c r="Q801" s="190"/>
      <c r="R801" s="188">
        <v>45885</v>
      </c>
      <c r="S801" s="193"/>
      <c r="T801" s="192"/>
      <c r="U801" s="867" t="s">
        <v>3225</v>
      </c>
      <c r="V801" s="10"/>
      <c r="W801" s="10"/>
      <c r="X801" s="10"/>
      <c r="Y801" s="10"/>
      <c r="Z801" s="10"/>
      <c r="AA801" s="11"/>
      <c r="AB801" s="11"/>
      <c r="AD801" s="260"/>
    </row>
    <row r="802" spans="2:30" x14ac:dyDescent="0.3">
      <c r="B802" s="10" t="s">
        <v>385</v>
      </c>
      <c r="C802" s="315" t="s">
        <v>2430</v>
      </c>
      <c r="D802" s="868" t="s">
        <v>164</v>
      </c>
      <c r="E802" s="837" t="str">
        <f>IFERROR(IF(_xlfn.XLOOKUP(Imput[[#This Row],[RFC]],'Alta Proveedor'!D:D,'Alta Proveedor'!E:E)=0,"",_xlfn.XLOOKUP(Imput[[#This Row],[RFC]],'Alta Proveedor'!D:D,'Alta Proveedor'!E:E)),"")</f>
        <v>HOME DEPOT MEXICO SUCURSAL THD-8730 TAMPICO</v>
      </c>
      <c r="F802" s="832" t="s">
        <v>1910</v>
      </c>
      <c r="G802" s="187">
        <v>6</v>
      </c>
      <c r="H802" s="1">
        <f>2456.9/Imput[[#This Row],[Cantidad]]</f>
        <v>409.48333333333335</v>
      </c>
      <c r="I802" s="169">
        <f>Imput[[#This Row],[Cantidad]]*Imput[[#This Row],[Precio Unitario]]</f>
        <v>2456.9</v>
      </c>
      <c r="J802" s="11">
        <f>((Imput[[#This Row],[Sub total]])*(0.16))</f>
        <v>393.10400000000004</v>
      </c>
      <c r="K802" s="11">
        <v>0</v>
      </c>
      <c r="L802" s="169">
        <f>Imput[[#This Row],[Sub total]]+Imput[[#This Row],[IVA]]-Imput[[#This Row],[Retención / IEPS / Descuento]]</f>
        <v>2850.0039999999999</v>
      </c>
      <c r="M802" s="844">
        <v>2850.0039999999999</v>
      </c>
      <c r="N802" s="189" t="s">
        <v>123</v>
      </c>
      <c r="O802" s="1"/>
      <c r="P802" s="189" t="s">
        <v>2051</v>
      </c>
      <c r="Q802" s="190" t="s">
        <v>2052</v>
      </c>
      <c r="R802" s="188">
        <v>45887</v>
      </c>
      <c r="S802" s="193" t="s">
        <v>126</v>
      </c>
      <c r="T802" s="192"/>
      <c r="U802" s="829"/>
      <c r="V802" s="10"/>
      <c r="W802" s="10"/>
      <c r="X802" s="10"/>
      <c r="Y802" s="10"/>
      <c r="Z802" s="10"/>
      <c r="AA802" s="11"/>
      <c r="AB802" s="11"/>
      <c r="AD802" s="260"/>
    </row>
    <row r="803" spans="2:30" x14ac:dyDescent="0.3">
      <c r="B803" s="10" t="s">
        <v>385</v>
      </c>
      <c r="C803" s="315" t="s">
        <v>2242</v>
      </c>
      <c r="D803" s="868" t="s">
        <v>164</v>
      </c>
      <c r="E803" s="837" t="str">
        <f>IFERROR(IF(_xlfn.XLOOKUP(Imput[[#This Row],[RFC]],'Alta Proveedor'!D:D,'Alta Proveedor'!E:E)=0,"",_xlfn.XLOOKUP(Imput[[#This Row],[RFC]],'Alta Proveedor'!D:D,'Alta Proveedor'!E:E)),"")</f>
        <v>HOME DEPOT MEXICO SUCURSAL THD-8730 TAMPICO</v>
      </c>
      <c r="F803" s="832" t="s">
        <v>1910</v>
      </c>
      <c r="G803" s="187">
        <v>2</v>
      </c>
      <c r="H803" s="1">
        <f>818.97/Imput[[#This Row],[Cantidad]]</f>
        <v>409.48500000000001</v>
      </c>
      <c r="I803" s="169">
        <f>Imput[[#This Row],[Cantidad]]*Imput[[#This Row],[Precio Unitario]]</f>
        <v>818.97</v>
      </c>
      <c r="J803" s="11">
        <f>((Imput[[#This Row],[Sub total]]-818.97)*(0.16))</f>
        <v>0</v>
      </c>
      <c r="K803" s="11">
        <v>818.97</v>
      </c>
      <c r="L803" s="169">
        <f>Imput[[#This Row],[Sub total]]+Imput[[#This Row],[IVA]]-Imput[[#This Row],[Retención / IEPS / Descuento]]</f>
        <v>0</v>
      </c>
      <c r="M803" s="844">
        <v>0</v>
      </c>
      <c r="N803" s="189" t="s">
        <v>123</v>
      </c>
      <c r="O803" s="1"/>
      <c r="P803" s="189" t="s">
        <v>2051</v>
      </c>
      <c r="Q803" s="190" t="s">
        <v>2052</v>
      </c>
      <c r="R803" s="188">
        <v>45887</v>
      </c>
      <c r="S803" s="193" t="s">
        <v>126</v>
      </c>
      <c r="T803" s="192"/>
      <c r="U803" s="829"/>
      <c r="V803" s="10"/>
      <c r="W803" s="10"/>
      <c r="X803" s="10"/>
      <c r="Y803" s="10"/>
      <c r="Z803" s="10"/>
      <c r="AA803" s="11"/>
      <c r="AB803" s="11"/>
      <c r="AD803" s="260"/>
    </row>
    <row r="804" spans="2:30" x14ac:dyDescent="0.3">
      <c r="B804" s="10" t="s">
        <v>385</v>
      </c>
      <c r="C804" s="315" t="s">
        <v>2242</v>
      </c>
      <c r="D804" s="868" t="s">
        <v>164</v>
      </c>
      <c r="E804" s="837" t="str">
        <f>IFERROR(IF(_xlfn.XLOOKUP(Imput[[#This Row],[RFC]],'Alta Proveedor'!D:D,'Alta Proveedor'!E:E)=0,"",_xlfn.XLOOKUP(Imput[[#This Row],[RFC]],'Alta Proveedor'!D:D,'Alta Proveedor'!E:E)),"")</f>
        <v>HOME DEPOT MEXICO SUCURSAL THD-8730 TAMPICO</v>
      </c>
      <c r="F804" s="832" t="s">
        <v>1910</v>
      </c>
      <c r="G804" s="187">
        <v>12</v>
      </c>
      <c r="H804" s="1">
        <f>4618.97/Imput[[#This Row],[Cantidad]]</f>
        <v>384.91416666666669</v>
      </c>
      <c r="I804" s="169">
        <f>Imput[[#This Row],[Cantidad]]*Imput[[#This Row],[Precio Unitario]]</f>
        <v>4618.97</v>
      </c>
      <c r="J804" s="11">
        <f>((Imput[[#This Row],[Sub total]])*(0.16))</f>
        <v>739.03520000000003</v>
      </c>
      <c r="K804" s="11">
        <v>0</v>
      </c>
      <c r="L804" s="169">
        <f>Imput[[#This Row],[Sub total]]+Imput[[#This Row],[IVA]]-Imput[[#This Row],[Retención / IEPS / Descuento]]</f>
        <v>5358.0052000000005</v>
      </c>
      <c r="M804" s="844">
        <v>7772.4988000000003</v>
      </c>
      <c r="N804" s="189" t="s">
        <v>123</v>
      </c>
      <c r="O804" s="1"/>
      <c r="P804" s="189" t="s">
        <v>2035</v>
      </c>
      <c r="Q804" s="190" t="s">
        <v>2036</v>
      </c>
      <c r="R804" s="188">
        <v>45887</v>
      </c>
      <c r="S804" s="193" t="s">
        <v>126</v>
      </c>
      <c r="T804" s="192"/>
      <c r="U804" s="829"/>
      <c r="V804" s="10"/>
      <c r="W804" s="10"/>
      <c r="X804" s="10"/>
      <c r="Y804" s="10"/>
      <c r="Z804" s="10"/>
      <c r="AA804" s="11"/>
      <c r="AB804" s="11"/>
      <c r="AD804" s="260"/>
    </row>
    <row r="805" spans="2:30" x14ac:dyDescent="0.3">
      <c r="B805" s="10" t="s">
        <v>385</v>
      </c>
      <c r="C805" s="315" t="s">
        <v>2242</v>
      </c>
      <c r="D805" s="868" t="s">
        <v>164</v>
      </c>
      <c r="E805" s="837" t="str">
        <f>IFERROR(IF(_xlfn.XLOOKUP(Imput[[#This Row],[RFC]],'Alta Proveedor'!D:D,'Alta Proveedor'!E:E)=0,"",_xlfn.XLOOKUP(Imput[[#This Row],[RFC]],'Alta Proveedor'!D:D,'Alta Proveedor'!E:E)),"")</f>
        <v>HOME DEPOT MEXICO SUCURSAL THD-8730 TAMPICO</v>
      </c>
      <c r="F805" s="832" t="s">
        <v>1910</v>
      </c>
      <c r="G805" s="187">
        <v>3</v>
      </c>
      <c r="H805" s="1">
        <f>1154.74/Imput[[#This Row],[Cantidad]]</f>
        <v>384.91333333333336</v>
      </c>
      <c r="I805" s="169">
        <f>Imput[[#This Row],[Cantidad]]*Imput[[#This Row],[Precio Unitario]]</f>
        <v>1154.74</v>
      </c>
      <c r="J805" s="11">
        <f>((Imput[[#This Row],[Sub total]])*(0.16))</f>
        <v>184.75839999999999</v>
      </c>
      <c r="K805" s="11">
        <v>0</v>
      </c>
      <c r="L805" s="169">
        <f>Imput[[#This Row],[Sub total]]+Imput[[#This Row],[IVA]]-Imput[[#This Row],[Retención / IEPS / Descuento]]</f>
        <v>1339.4983999999999</v>
      </c>
      <c r="M805" s="844">
        <v>0</v>
      </c>
      <c r="N805" s="189" t="s">
        <v>123</v>
      </c>
      <c r="O805" s="1"/>
      <c r="P805" s="189" t="s">
        <v>2035</v>
      </c>
      <c r="Q805" s="190" t="s">
        <v>2036</v>
      </c>
      <c r="R805" s="188">
        <v>45887</v>
      </c>
      <c r="S805" s="193" t="s">
        <v>126</v>
      </c>
      <c r="T805" s="192"/>
      <c r="U805" s="829"/>
      <c r="V805" s="10"/>
      <c r="W805" s="10"/>
      <c r="X805" s="10"/>
      <c r="Y805" s="10"/>
      <c r="Z805" s="10"/>
      <c r="AA805" s="11"/>
      <c r="AB805" s="11"/>
      <c r="AD805" s="260"/>
    </row>
    <row r="806" spans="2:30" x14ac:dyDescent="0.3">
      <c r="B806" s="10" t="s">
        <v>385</v>
      </c>
      <c r="C806" s="315" t="s">
        <v>2903</v>
      </c>
      <c r="D806" s="868" t="s">
        <v>164</v>
      </c>
      <c r="E806" s="837" t="str">
        <f>IFERROR(IF(_xlfn.XLOOKUP(Imput[[#This Row],[RFC]],'Alta Proveedor'!D:D,'Alta Proveedor'!E:E)=0,"",_xlfn.XLOOKUP(Imput[[#This Row],[RFC]],'Alta Proveedor'!D:D,'Alta Proveedor'!E:E)),"")</f>
        <v>HOME DEPOT MEXICO SUCURSAL THD-8730 TAMPICO</v>
      </c>
      <c r="F806" s="832" t="s">
        <v>2953</v>
      </c>
      <c r="G806" s="187">
        <v>1</v>
      </c>
      <c r="H806" s="1">
        <v>1047.4100000000001</v>
      </c>
      <c r="I806" s="169">
        <f>Imput[[#This Row],[Cantidad]]*Imput[[#This Row],[Precio Unitario]]</f>
        <v>1047.4100000000001</v>
      </c>
      <c r="J806" s="11">
        <f>((Imput[[#This Row],[Sub total]]-120.69)*(0.16))</f>
        <v>148.27520000000001</v>
      </c>
      <c r="K806" s="11">
        <v>120.69</v>
      </c>
      <c r="L806" s="169">
        <f>Imput[[#This Row],[Sub total]]+Imput[[#This Row],[IVA]]-Imput[[#This Row],[Retención / IEPS / Descuento]]</f>
        <v>1074.9952000000001</v>
      </c>
      <c r="M806" s="844">
        <v>0</v>
      </c>
      <c r="N806" s="189" t="s">
        <v>123</v>
      </c>
      <c r="O806" s="1"/>
      <c r="P806" s="189" t="s">
        <v>2035</v>
      </c>
      <c r="Q806" s="190" t="s">
        <v>2036</v>
      </c>
      <c r="R806" s="188">
        <v>45887</v>
      </c>
      <c r="S806" s="193" t="s">
        <v>126</v>
      </c>
      <c r="T806" s="192"/>
      <c r="U806" s="829"/>
      <c r="V806" s="10"/>
      <c r="W806" s="10"/>
      <c r="X806" s="10"/>
      <c r="Y806" s="10"/>
      <c r="Z806" s="10"/>
      <c r="AA806" s="11"/>
      <c r="AB806" s="11"/>
      <c r="AD806" s="260"/>
    </row>
    <row r="807" spans="2:30" x14ac:dyDescent="0.3">
      <c r="B807" s="10" t="s">
        <v>385</v>
      </c>
      <c r="C807" s="315" t="s">
        <v>1768</v>
      </c>
      <c r="D807" s="868" t="s">
        <v>2055</v>
      </c>
      <c r="E807" s="837" t="str">
        <f>IFERROR(IF(_xlfn.XLOOKUP(Imput[[#This Row],[RFC]],'Alta Proveedor'!D:D,'Alta Proveedor'!E:E)=0,"",_xlfn.XLOOKUP(Imput[[#This Row],[RFC]],'Alta Proveedor'!D:D,'Alta Proveedor'!E:E)),"")</f>
        <v>FONDO NACIONAL DE INFRAESTRUCTURA</v>
      </c>
      <c r="F807" s="832" t="s">
        <v>2057</v>
      </c>
      <c r="G807" s="187">
        <v>1</v>
      </c>
      <c r="H807" s="1">
        <v>43.965000000000003</v>
      </c>
      <c r="I807" s="169">
        <f>Imput[[#This Row],[Cantidad]]*Imput[[#This Row],[Precio Unitario]]</f>
        <v>43.965000000000003</v>
      </c>
      <c r="J807" s="11">
        <f>((Imput[[#This Row],[Sub total]])*(0.16))</f>
        <v>7.0344000000000007</v>
      </c>
      <c r="K807" s="11">
        <v>0</v>
      </c>
      <c r="L807" s="169">
        <f>Imput[[#This Row],[Sub total]]+Imput[[#This Row],[IVA]]-Imput[[#This Row],[Retención / IEPS / Descuento]]</f>
        <v>50.999400000000001</v>
      </c>
      <c r="M807" s="844">
        <v>50.999400000000001</v>
      </c>
      <c r="N807" s="189" t="s">
        <v>123</v>
      </c>
      <c r="O807" s="1"/>
      <c r="P807" s="189" t="s">
        <v>2053</v>
      </c>
      <c r="Q807" s="190" t="s">
        <v>2054</v>
      </c>
      <c r="R807" s="188">
        <v>45887</v>
      </c>
      <c r="S807" s="193" t="s">
        <v>294</v>
      </c>
      <c r="T807" s="192"/>
      <c r="U807" s="829"/>
      <c r="V807" s="10"/>
      <c r="W807" s="10"/>
      <c r="X807" s="10"/>
      <c r="Y807" s="10"/>
      <c r="Z807" s="10"/>
      <c r="AA807" s="11"/>
      <c r="AB807" s="11"/>
      <c r="AD807" s="260"/>
    </row>
    <row r="808" spans="2:30" x14ac:dyDescent="0.3">
      <c r="B808" s="10" t="s">
        <v>385</v>
      </c>
      <c r="C808" s="315" t="s">
        <v>1768</v>
      </c>
      <c r="D808" s="868" t="s">
        <v>2055</v>
      </c>
      <c r="E808" s="837" t="str">
        <f>IFERROR(IF(_xlfn.XLOOKUP(Imput[[#This Row],[RFC]],'Alta Proveedor'!D:D,'Alta Proveedor'!E:E)=0,"",_xlfn.XLOOKUP(Imput[[#This Row],[RFC]],'Alta Proveedor'!D:D,'Alta Proveedor'!E:E)),"")</f>
        <v>FONDO NACIONAL DE INFRAESTRUCTURA</v>
      </c>
      <c r="F808" s="832" t="s">
        <v>2066</v>
      </c>
      <c r="G808" s="187">
        <v>1</v>
      </c>
      <c r="H808" s="1">
        <v>238.79</v>
      </c>
      <c r="I808" s="169">
        <f>Imput[[#This Row],[Cantidad]]*Imput[[#This Row],[Precio Unitario]]</f>
        <v>238.79</v>
      </c>
      <c r="J808" s="11">
        <f>((Imput[[#This Row],[Sub total]])*(0.16))</f>
        <v>38.206400000000002</v>
      </c>
      <c r="K808" s="11">
        <v>0</v>
      </c>
      <c r="L808" s="169">
        <f>Imput[[#This Row],[Sub total]]+Imput[[#This Row],[IVA]]-Imput[[#This Row],[Retención / IEPS / Descuento]]</f>
        <v>276.99639999999999</v>
      </c>
      <c r="M808" s="844">
        <v>861.99599999999998</v>
      </c>
      <c r="N808" s="189" t="s">
        <v>123</v>
      </c>
      <c r="O808" s="1"/>
      <c r="P808" s="189" t="s">
        <v>2058</v>
      </c>
      <c r="Q808" s="190" t="s">
        <v>2059</v>
      </c>
      <c r="R808" s="188">
        <v>45887</v>
      </c>
      <c r="S808" s="193" t="s">
        <v>294</v>
      </c>
      <c r="T808" s="192"/>
      <c r="U808" s="829"/>
      <c r="V808" s="10"/>
      <c r="W808" s="10"/>
      <c r="X808" s="10"/>
      <c r="Y808" s="10"/>
      <c r="Z808" s="10"/>
      <c r="AA808" s="11"/>
      <c r="AB808" s="11"/>
      <c r="AD808" s="260"/>
    </row>
    <row r="809" spans="2:30" x14ac:dyDescent="0.3">
      <c r="B809" s="10" t="s">
        <v>385</v>
      </c>
      <c r="C809" s="315" t="s">
        <v>1768</v>
      </c>
      <c r="D809" s="868" t="s">
        <v>2055</v>
      </c>
      <c r="E809" s="837" t="str">
        <f>IFERROR(IF(_xlfn.XLOOKUP(Imput[[#This Row],[RFC]],'Alta Proveedor'!D:D,'Alta Proveedor'!E:E)=0,"",_xlfn.XLOOKUP(Imput[[#This Row],[RFC]],'Alta Proveedor'!D:D,'Alta Proveedor'!E:E)),"")</f>
        <v>FONDO NACIONAL DE INFRAESTRUCTURA</v>
      </c>
      <c r="F809" s="832" t="s">
        <v>2067</v>
      </c>
      <c r="G809" s="187">
        <v>1</v>
      </c>
      <c r="H809" s="1">
        <v>120.69</v>
      </c>
      <c r="I809" s="169">
        <f>Imput[[#This Row],[Cantidad]]*Imput[[#This Row],[Precio Unitario]]</f>
        <v>120.69</v>
      </c>
      <c r="J809" s="11">
        <f>((Imput[[#This Row],[Sub total]])*(0.16))</f>
        <v>19.310400000000001</v>
      </c>
      <c r="K809" s="11">
        <v>0</v>
      </c>
      <c r="L809" s="169">
        <f>Imput[[#This Row],[Sub total]]+Imput[[#This Row],[IVA]]-Imput[[#This Row],[Retención / IEPS / Descuento]]</f>
        <v>140.00040000000001</v>
      </c>
      <c r="M809" s="844">
        <v>0</v>
      </c>
      <c r="N809" s="189" t="s">
        <v>123</v>
      </c>
      <c r="O809" s="1"/>
      <c r="P809" s="189" t="s">
        <v>2058</v>
      </c>
      <c r="Q809" s="190" t="s">
        <v>2059</v>
      </c>
      <c r="R809" s="188">
        <v>45887</v>
      </c>
      <c r="S809" s="193" t="s">
        <v>294</v>
      </c>
      <c r="T809" s="192"/>
      <c r="U809" s="829"/>
      <c r="V809" s="10"/>
      <c r="W809" s="10"/>
      <c r="X809" s="10"/>
      <c r="Y809" s="10"/>
      <c r="Z809" s="10"/>
      <c r="AA809" s="11"/>
      <c r="AB809" s="11"/>
      <c r="AD809" s="260"/>
    </row>
    <row r="810" spans="2:30" x14ac:dyDescent="0.3">
      <c r="B810" s="10" t="s">
        <v>385</v>
      </c>
      <c r="C810" s="315" t="s">
        <v>1768</v>
      </c>
      <c r="D810" s="868" t="s">
        <v>2055</v>
      </c>
      <c r="E810" s="837" t="str">
        <f>IFERROR(IF(_xlfn.XLOOKUP(Imput[[#This Row],[RFC]],'Alta Proveedor'!D:D,'Alta Proveedor'!E:E)=0,"",_xlfn.XLOOKUP(Imput[[#This Row],[RFC]],'Alta Proveedor'!D:D,'Alta Proveedor'!E:E)),"")</f>
        <v>FONDO NACIONAL DE INFRAESTRUCTURA</v>
      </c>
      <c r="F810" s="832" t="s">
        <v>2068</v>
      </c>
      <c r="G810" s="187">
        <v>1</v>
      </c>
      <c r="H810" s="1">
        <v>143.97</v>
      </c>
      <c r="I810" s="169">
        <f>Imput[[#This Row],[Cantidad]]*Imput[[#This Row],[Precio Unitario]]</f>
        <v>143.97</v>
      </c>
      <c r="J810" s="11">
        <f>((Imput[[#This Row],[Sub total]])*(0.16))</f>
        <v>23.0352</v>
      </c>
      <c r="K810" s="11">
        <v>0</v>
      </c>
      <c r="L810" s="169">
        <f>Imput[[#This Row],[Sub total]]+Imput[[#This Row],[IVA]]-Imput[[#This Row],[Retención / IEPS / Descuento]]</f>
        <v>167.0052</v>
      </c>
      <c r="M810" s="844">
        <v>0</v>
      </c>
      <c r="N810" s="189" t="s">
        <v>123</v>
      </c>
      <c r="O810" s="1"/>
      <c r="P810" s="189" t="s">
        <v>2058</v>
      </c>
      <c r="Q810" s="190" t="s">
        <v>2059</v>
      </c>
      <c r="R810" s="188">
        <v>45887</v>
      </c>
      <c r="S810" s="193" t="s">
        <v>294</v>
      </c>
      <c r="T810" s="192"/>
      <c r="U810" s="829"/>
      <c r="V810" s="10"/>
      <c r="W810" s="10"/>
      <c r="X810" s="10"/>
      <c r="Y810" s="10"/>
      <c r="Z810" s="10"/>
      <c r="AA810" s="11"/>
      <c r="AB810" s="11"/>
      <c r="AD810" s="260"/>
    </row>
    <row r="811" spans="2:30" x14ac:dyDescent="0.3">
      <c r="B811" s="10" t="s">
        <v>385</v>
      </c>
      <c r="C811" s="315" t="s">
        <v>1768</v>
      </c>
      <c r="D811" s="868" t="s">
        <v>2055</v>
      </c>
      <c r="E811" s="837" t="str">
        <f>IFERROR(IF(_xlfn.XLOOKUP(Imput[[#This Row],[RFC]],'Alta Proveedor'!D:D,'Alta Proveedor'!E:E)=0,"",_xlfn.XLOOKUP(Imput[[#This Row],[RFC]],'Alta Proveedor'!D:D,'Alta Proveedor'!E:E)),"")</f>
        <v>FONDO NACIONAL DE INFRAESTRUCTURA</v>
      </c>
      <c r="F811" s="832" t="s">
        <v>2069</v>
      </c>
      <c r="G811" s="187">
        <v>1</v>
      </c>
      <c r="H811" s="1">
        <v>93.1</v>
      </c>
      <c r="I811" s="169">
        <f>Imput[[#This Row],[Cantidad]]*Imput[[#This Row],[Precio Unitario]]</f>
        <v>93.1</v>
      </c>
      <c r="J811" s="11">
        <f>((Imput[[#This Row],[Sub total]])*(0.16))</f>
        <v>14.895999999999999</v>
      </c>
      <c r="K811" s="11">
        <v>0</v>
      </c>
      <c r="L811" s="169">
        <f>Imput[[#This Row],[Sub total]]+Imput[[#This Row],[IVA]]-Imput[[#This Row],[Retención / IEPS / Descuento]]</f>
        <v>107.996</v>
      </c>
      <c r="M811" s="844">
        <v>0</v>
      </c>
      <c r="N811" s="189" t="s">
        <v>123</v>
      </c>
      <c r="O811" s="1"/>
      <c r="P811" s="189" t="s">
        <v>2058</v>
      </c>
      <c r="Q811" s="190" t="s">
        <v>2059</v>
      </c>
      <c r="R811" s="188">
        <v>45887</v>
      </c>
      <c r="S811" s="193" t="s">
        <v>294</v>
      </c>
      <c r="T811" s="192"/>
      <c r="U811" s="829"/>
      <c r="V811" s="10"/>
      <c r="W811" s="10"/>
      <c r="X811" s="10"/>
      <c r="Y811" s="10"/>
      <c r="Z811" s="10"/>
      <c r="AA811" s="11"/>
      <c r="AB811" s="11"/>
      <c r="AD811" s="260"/>
    </row>
    <row r="812" spans="2:30" x14ac:dyDescent="0.3">
      <c r="B812" s="10" t="s">
        <v>385</v>
      </c>
      <c r="C812" s="315" t="s">
        <v>1768</v>
      </c>
      <c r="D812" s="868" t="s">
        <v>2055</v>
      </c>
      <c r="E812" s="837" t="str">
        <f>IFERROR(IF(_xlfn.XLOOKUP(Imput[[#This Row],[RFC]],'Alta Proveedor'!D:D,'Alta Proveedor'!E:E)=0,"",_xlfn.XLOOKUP(Imput[[#This Row],[RFC]],'Alta Proveedor'!D:D,'Alta Proveedor'!E:E)),"")</f>
        <v>FONDO NACIONAL DE INFRAESTRUCTURA</v>
      </c>
      <c r="F812" s="832" t="s">
        <v>2070</v>
      </c>
      <c r="G812" s="187">
        <v>1</v>
      </c>
      <c r="H812" s="1">
        <v>146.55000000000001</v>
      </c>
      <c r="I812" s="169">
        <f>Imput[[#This Row],[Cantidad]]*Imput[[#This Row],[Precio Unitario]]</f>
        <v>146.55000000000001</v>
      </c>
      <c r="J812" s="11">
        <f>((Imput[[#This Row],[Sub total]])*(0.16))</f>
        <v>23.448000000000004</v>
      </c>
      <c r="K812" s="11">
        <v>0</v>
      </c>
      <c r="L812" s="169">
        <f>Imput[[#This Row],[Sub total]]+Imput[[#This Row],[IVA]]-Imput[[#This Row],[Retención / IEPS / Descuento]]</f>
        <v>169.99800000000002</v>
      </c>
      <c r="M812" s="844">
        <v>0</v>
      </c>
      <c r="N812" s="189" t="s">
        <v>123</v>
      </c>
      <c r="O812" s="1"/>
      <c r="P812" s="189" t="s">
        <v>2058</v>
      </c>
      <c r="Q812" s="190" t="s">
        <v>2059</v>
      </c>
      <c r="R812" s="188">
        <v>45887</v>
      </c>
      <c r="S812" s="193" t="s">
        <v>294</v>
      </c>
      <c r="T812" s="192"/>
      <c r="U812" s="829"/>
      <c r="V812" s="10"/>
      <c r="W812" s="10"/>
      <c r="X812" s="10"/>
      <c r="Y812" s="10"/>
      <c r="Z812" s="10"/>
      <c r="AA812" s="11"/>
      <c r="AB812" s="11"/>
      <c r="AD812" s="260"/>
    </row>
    <row r="813" spans="2:30" x14ac:dyDescent="0.3">
      <c r="B813" s="10" t="s">
        <v>385</v>
      </c>
      <c r="C813" s="315" t="s">
        <v>1768</v>
      </c>
      <c r="D813" s="868" t="s">
        <v>3024</v>
      </c>
      <c r="E813" s="837" t="str">
        <f>IFERROR(IF(_xlfn.XLOOKUP(Imput[[#This Row],[RFC]],'Alta Proveedor'!D:D,'Alta Proveedor'!E:E)=0,"",_xlfn.XLOOKUP(Imput[[#This Row],[RFC]],'Alta Proveedor'!D:D,'Alta Proveedor'!E:E)),"")</f>
        <v>LIBRAMIENTO ELEVADO DE PUEBLA (PEAJES)</v>
      </c>
      <c r="F813" s="832" t="s">
        <v>3026</v>
      </c>
      <c r="G813" s="187">
        <v>1</v>
      </c>
      <c r="H813" s="1">
        <v>74.14</v>
      </c>
      <c r="I813" s="169">
        <f>Imput[[#This Row],[Cantidad]]*Imput[[#This Row],[Precio Unitario]]</f>
        <v>74.14</v>
      </c>
      <c r="J813" s="11">
        <f>((Imput[[#This Row],[Sub total]])*(0.16))</f>
        <v>11.862400000000001</v>
      </c>
      <c r="K813" s="11">
        <v>0</v>
      </c>
      <c r="L813" s="169">
        <f>Imput[[#This Row],[Sub total]]+Imput[[#This Row],[IVA]]-Imput[[#This Row],[Retención / IEPS / Descuento]]</f>
        <v>86.002399999999994</v>
      </c>
      <c r="M813" s="844">
        <v>86.002399999999994</v>
      </c>
      <c r="N813" s="189" t="s">
        <v>123</v>
      </c>
      <c r="O813" s="1"/>
      <c r="P813" s="189" t="s">
        <v>3027</v>
      </c>
      <c r="Q813" s="190" t="s">
        <v>3028</v>
      </c>
      <c r="R813" s="188">
        <v>45887</v>
      </c>
      <c r="S813" s="193" t="s">
        <v>294</v>
      </c>
      <c r="T813" s="192"/>
      <c r="U813" s="829"/>
      <c r="V813" s="10"/>
      <c r="W813" s="10"/>
      <c r="X813" s="10"/>
      <c r="Y813" s="10"/>
      <c r="Z813" s="10"/>
      <c r="AA813" s="11"/>
      <c r="AB813" s="11"/>
      <c r="AD813" s="260"/>
    </row>
    <row r="814" spans="2:30" x14ac:dyDescent="0.3">
      <c r="B814" s="10" t="s">
        <v>385</v>
      </c>
      <c r="C814" s="315" t="s">
        <v>1845</v>
      </c>
      <c r="D814" s="868" t="s">
        <v>3225</v>
      </c>
      <c r="E814" s="837" t="str">
        <f>IFERROR(IF(_xlfn.XLOOKUP(Imput[[#This Row],[RFC]],'Alta Proveedor'!D:D,'Alta Proveedor'!E:E)=0,"",_xlfn.XLOOKUP(Imput[[#This Row],[RFC]],'Alta Proveedor'!D:D,'Alta Proveedor'!E:E)),"")</f>
        <v>GASTOS SIN FACTURA</v>
      </c>
      <c r="F814" s="836" t="s">
        <v>3214</v>
      </c>
      <c r="G814" s="187">
        <v>1</v>
      </c>
      <c r="H814" s="1">
        <v>3300</v>
      </c>
      <c r="I814" s="169">
        <f>Imput[[#This Row],[Cantidad]]*Imput[[#This Row],[Precio Unitario]]</f>
        <v>3300</v>
      </c>
      <c r="J814" s="11">
        <f>Imput[[#This Row],[Sub total]]*0.08</f>
        <v>264</v>
      </c>
      <c r="K814" s="11">
        <v>0</v>
      </c>
      <c r="L814" s="169">
        <f>Imput[[#This Row],[Sub total]]+Imput[[#This Row],[IVA]]-Imput[[#This Row],[Retención / IEPS / Descuento]]</f>
        <v>3564</v>
      </c>
      <c r="M814" s="844">
        <v>3564</v>
      </c>
      <c r="N814" s="189"/>
      <c r="O814" s="1"/>
      <c r="P814" s="189"/>
      <c r="Q814" s="190"/>
      <c r="R814" s="188">
        <v>45887</v>
      </c>
      <c r="S814" s="193"/>
      <c r="T814" s="192"/>
      <c r="U814" s="867" t="s">
        <v>3225</v>
      </c>
      <c r="V814" s="10"/>
      <c r="W814" s="10"/>
      <c r="X814" s="10"/>
      <c r="Y814" s="10"/>
      <c r="Z814" s="10"/>
      <c r="AA814" s="11"/>
      <c r="AB814" s="11"/>
      <c r="AD814" s="260"/>
    </row>
    <row r="815" spans="2:30" x14ac:dyDescent="0.3">
      <c r="B815" s="10" t="s">
        <v>385</v>
      </c>
      <c r="C815" s="315"/>
      <c r="D815" s="868" t="s">
        <v>3225</v>
      </c>
      <c r="E815" s="837" t="str">
        <f>IFERROR(IF(_xlfn.XLOOKUP(Imput[[#This Row],[RFC]],'Alta Proveedor'!D:D,'Alta Proveedor'!E:E)=0,"",_xlfn.XLOOKUP(Imput[[#This Row],[RFC]],'Alta Proveedor'!D:D,'Alta Proveedor'!E:E)),"")</f>
        <v>GASTOS SIN FACTURA</v>
      </c>
      <c r="F815" s="836" t="s">
        <v>3217</v>
      </c>
      <c r="G815" s="187">
        <v>1</v>
      </c>
      <c r="H815" s="1">
        <v>10000</v>
      </c>
      <c r="I815" s="169">
        <f>Imput[[#This Row],[Cantidad]]*Imput[[#This Row],[Precio Unitario]]</f>
        <v>10000</v>
      </c>
      <c r="J815" s="11">
        <f>Imput[[#This Row],[Sub total]]*0.08</f>
        <v>800</v>
      </c>
      <c r="K815" s="11">
        <v>0</v>
      </c>
      <c r="L815" s="169">
        <f>Imput[[#This Row],[Sub total]]+Imput[[#This Row],[IVA]]-Imput[[#This Row],[Retención / IEPS / Descuento]]</f>
        <v>10800</v>
      </c>
      <c r="M815" s="844">
        <v>10800</v>
      </c>
      <c r="N815" s="189"/>
      <c r="O815" s="1"/>
      <c r="P815" s="189"/>
      <c r="Q815" s="190"/>
      <c r="R815" s="188">
        <v>45887</v>
      </c>
      <c r="S815" s="193"/>
      <c r="T815" s="192"/>
      <c r="U815" s="867" t="s">
        <v>3225</v>
      </c>
      <c r="V815" s="10"/>
      <c r="W815" s="10"/>
      <c r="X815" s="10"/>
      <c r="Y815" s="10"/>
      <c r="Z815" s="10"/>
      <c r="AA815" s="11"/>
      <c r="AB815" s="11"/>
      <c r="AD815" s="260"/>
    </row>
    <row r="816" spans="2:30" x14ac:dyDescent="0.3">
      <c r="B816" s="806" t="s">
        <v>385</v>
      </c>
      <c r="C816" s="807" t="s">
        <v>2436</v>
      </c>
      <c r="D816" s="869" t="s">
        <v>264</v>
      </c>
      <c r="E816" s="839" t="str">
        <f>IFERROR(IF(_xlfn.XLOOKUP(Imput[[#This Row],[RFC]],'Alta Proveedor'!D:D,'Alta Proveedor'!E:E)=0,"",_xlfn.XLOOKUP(Imput[[#This Row],[RFC]],'Alta Proveedor'!D:D,'Alta Proveedor'!E:E)),"")</f>
        <v>M.N. DEL GOLFO "HOME CENTER TU ASESOR CONFIABLE"</v>
      </c>
      <c r="F816" s="834" t="s">
        <v>300</v>
      </c>
      <c r="G816" s="809">
        <v>-5</v>
      </c>
      <c r="H816" s="808">
        <v>424.13799999999998</v>
      </c>
      <c r="I816" s="810">
        <f>Imput[[#This Row],[Cantidad]]*Imput[[#This Row],[Precio Unitario]]</f>
        <v>-2120.69</v>
      </c>
      <c r="J816" s="811">
        <f>((Imput[[#This Row],[Sub total]])*(0.16))</f>
        <v>-339.31040000000002</v>
      </c>
      <c r="K816" s="811">
        <v>0</v>
      </c>
      <c r="L816" s="810">
        <f>Imput[[#This Row],[Sub total]]+Imput[[#This Row],[IVA]]-Imput[[#This Row],[Retención / IEPS / Descuento]]</f>
        <v>-2460.0003999999999</v>
      </c>
      <c r="M816" s="844">
        <v>-2574.9911999999999</v>
      </c>
      <c r="N816" s="189" t="s">
        <v>187</v>
      </c>
      <c r="O816" s="1"/>
      <c r="P816" s="189" t="s">
        <v>2049</v>
      </c>
      <c r="Q816" s="813" t="s">
        <v>2050</v>
      </c>
      <c r="R816" s="814">
        <v>45888</v>
      </c>
      <c r="S816" s="815" t="s">
        <v>371</v>
      </c>
      <c r="T816" s="816"/>
      <c r="U816" s="828"/>
      <c r="V816" s="806"/>
      <c r="W816" s="806"/>
      <c r="X816" s="806"/>
      <c r="Y816" s="806"/>
      <c r="Z816" s="806"/>
      <c r="AA816" s="811"/>
      <c r="AB816" s="811"/>
      <c r="AD816" s="260"/>
    </row>
    <row r="817" spans="2:30" x14ac:dyDescent="0.3">
      <c r="B817" s="806" t="s">
        <v>385</v>
      </c>
      <c r="C817" s="807" t="s">
        <v>2423</v>
      </c>
      <c r="D817" s="869" t="s">
        <v>264</v>
      </c>
      <c r="E817" s="839" t="str">
        <f>IFERROR(IF(_xlfn.XLOOKUP(Imput[[#This Row],[RFC]],'Alta Proveedor'!D:D,'Alta Proveedor'!E:E)=0,"",_xlfn.XLOOKUP(Imput[[#This Row],[RFC]],'Alta Proveedor'!D:D,'Alta Proveedor'!E:E)),"")</f>
        <v>M.N. DEL GOLFO "HOME CENTER TU ASESOR CONFIABLE"</v>
      </c>
      <c r="F817" s="834" t="s">
        <v>304</v>
      </c>
      <c r="G817" s="809">
        <v>-5</v>
      </c>
      <c r="H817" s="808">
        <v>19.826000000000001</v>
      </c>
      <c r="I817" s="810">
        <f>Imput[[#This Row],[Cantidad]]*Imput[[#This Row],[Precio Unitario]]</f>
        <v>-99.13</v>
      </c>
      <c r="J817" s="811">
        <f>((Imput[[#This Row],[Sub total]])*(0.16))</f>
        <v>-15.860799999999999</v>
      </c>
      <c r="K817" s="811">
        <v>0</v>
      </c>
      <c r="L817" s="810">
        <f>Imput[[#This Row],[Sub total]]+Imput[[#This Row],[IVA]]-Imput[[#This Row],[Retención / IEPS / Descuento]]</f>
        <v>-114.99079999999999</v>
      </c>
      <c r="M817" s="844">
        <v>0</v>
      </c>
      <c r="N817" s="189" t="s">
        <v>187</v>
      </c>
      <c r="O817" s="1"/>
      <c r="P817" s="189" t="s">
        <v>2049</v>
      </c>
      <c r="Q817" s="813" t="s">
        <v>2050</v>
      </c>
      <c r="R817" s="814">
        <v>45888</v>
      </c>
      <c r="S817" s="815" t="s">
        <v>371</v>
      </c>
      <c r="T817" s="816"/>
      <c r="U817" s="828"/>
      <c r="V817" s="806"/>
      <c r="W817" s="806"/>
      <c r="X817" s="806"/>
      <c r="Y817" s="806"/>
      <c r="Z817" s="806"/>
      <c r="AA817" s="811"/>
      <c r="AB817" s="811"/>
      <c r="AD817" s="260"/>
    </row>
    <row r="818" spans="2:30" x14ac:dyDescent="0.3">
      <c r="B818" s="10" t="s">
        <v>385</v>
      </c>
      <c r="C818" s="315" t="s">
        <v>1747</v>
      </c>
      <c r="D818" s="868" t="s">
        <v>3225</v>
      </c>
      <c r="E818" s="837" t="str">
        <f>IFERROR(IF(_xlfn.XLOOKUP(Imput[[#This Row],[RFC]],'Alta Proveedor'!D:D,'Alta Proveedor'!E:E)=0,"",_xlfn.XLOOKUP(Imput[[#This Row],[RFC]],'Alta Proveedor'!D:D,'Alta Proveedor'!E:E)),"")</f>
        <v>GASTOS SIN FACTURA</v>
      </c>
      <c r="F818" s="836" t="s">
        <v>3218</v>
      </c>
      <c r="G818" s="187">
        <v>1</v>
      </c>
      <c r="H818" s="1">
        <v>800</v>
      </c>
      <c r="I818" s="169">
        <f>Imput[[#This Row],[Cantidad]]*Imput[[#This Row],[Precio Unitario]]</f>
        <v>800</v>
      </c>
      <c r="J818" s="11">
        <f>Imput[[#This Row],[Sub total]]*0.08</f>
        <v>64</v>
      </c>
      <c r="K818" s="11">
        <v>0</v>
      </c>
      <c r="L818" s="169">
        <f>Imput[[#This Row],[Sub total]]+Imput[[#This Row],[IVA]]-Imput[[#This Row],[Retención / IEPS / Descuento]]</f>
        <v>864</v>
      </c>
      <c r="M818" s="844">
        <v>864</v>
      </c>
      <c r="N818" s="189"/>
      <c r="O818" s="1"/>
      <c r="P818" s="189"/>
      <c r="Q818" s="190"/>
      <c r="R818" s="188">
        <v>45888</v>
      </c>
      <c r="S818" s="193"/>
      <c r="T818" s="192"/>
      <c r="U818" s="867" t="s">
        <v>3225</v>
      </c>
      <c r="V818" s="10"/>
      <c r="W818" s="10"/>
      <c r="X818" s="10"/>
      <c r="Y818" s="10"/>
      <c r="Z818" s="10"/>
      <c r="AA818" s="11"/>
      <c r="AB818" s="11"/>
      <c r="AD818" s="260"/>
    </row>
    <row r="819" spans="2:30" x14ac:dyDescent="0.3">
      <c r="B819" s="10" t="s">
        <v>385</v>
      </c>
      <c r="C819" s="315" t="s">
        <v>2426</v>
      </c>
      <c r="D819" s="868" t="s">
        <v>2044</v>
      </c>
      <c r="E819" s="837" t="str">
        <f>IFERROR(IF(_xlfn.XLOOKUP(Imput[[#This Row],[RFC]],'Alta Proveedor'!D:D,'Alta Proveedor'!E:E)=0,"",_xlfn.XLOOKUP(Imput[[#This Row],[RFC]],'Alta Proveedor'!D:D,'Alta Proveedor'!E:E)),"")</f>
        <v>ANA EDITH TORRES GAMEZ</v>
      </c>
      <c r="F819" s="832" t="s">
        <v>2072</v>
      </c>
      <c r="G819" s="187">
        <v>2</v>
      </c>
      <c r="H819" s="1">
        <v>116.37</v>
      </c>
      <c r="I819" s="169">
        <f>Imput[[#This Row],[Cantidad]]*Imput[[#This Row],[Precio Unitario]]</f>
        <v>232.74</v>
      </c>
      <c r="J819" s="11">
        <f>((Imput[[#This Row],[Sub total]])*(0.16))</f>
        <v>37.238400000000006</v>
      </c>
      <c r="K819" s="11">
        <v>0</v>
      </c>
      <c r="L819" s="169">
        <f>Imput[[#This Row],[Sub total]]+Imput[[#This Row],[IVA]]-Imput[[#This Row],[Retención / IEPS / Descuento]]</f>
        <v>269.97840000000002</v>
      </c>
      <c r="M819" s="844">
        <v>405.00240000000002</v>
      </c>
      <c r="N819" s="189" t="s">
        <v>123</v>
      </c>
      <c r="O819" s="1"/>
      <c r="P819" s="189" t="s">
        <v>2041</v>
      </c>
      <c r="Q819" s="190" t="s">
        <v>2042</v>
      </c>
      <c r="R819" s="188">
        <v>45889</v>
      </c>
      <c r="S819" s="193" t="s">
        <v>294</v>
      </c>
      <c r="T819" s="192"/>
      <c r="U819" s="829"/>
      <c r="V819" s="10"/>
      <c r="W819" s="10"/>
      <c r="X819" s="10"/>
      <c r="Y819" s="10"/>
      <c r="Z819" s="10"/>
      <c r="AA819" s="11"/>
      <c r="AB819" s="11"/>
      <c r="AD819" s="260"/>
    </row>
    <row r="820" spans="2:30" x14ac:dyDescent="0.3">
      <c r="B820" s="10" t="s">
        <v>385</v>
      </c>
      <c r="C820" s="315" t="s">
        <v>2426</v>
      </c>
      <c r="D820" s="868" t="s">
        <v>2044</v>
      </c>
      <c r="E820" s="837" t="str">
        <f>IFERROR(IF(_xlfn.XLOOKUP(Imput[[#This Row],[RFC]],'Alta Proveedor'!D:D,'Alta Proveedor'!E:E)=0,"",_xlfn.XLOOKUP(Imput[[#This Row],[RFC]],'Alta Proveedor'!D:D,'Alta Proveedor'!E:E)),"")</f>
        <v>ANA EDITH TORRES GAMEZ</v>
      </c>
      <c r="F820" s="832" t="s">
        <v>2072</v>
      </c>
      <c r="G820" s="187">
        <v>1</v>
      </c>
      <c r="H820" s="1">
        <v>116.4</v>
      </c>
      <c r="I820" s="169">
        <f>Imput[[#This Row],[Cantidad]]*Imput[[#This Row],[Precio Unitario]]</f>
        <v>116.4</v>
      </c>
      <c r="J820" s="11">
        <f>((Imput[[#This Row],[Sub total]])*(0.16))</f>
        <v>18.624000000000002</v>
      </c>
      <c r="K820" s="11">
        <v>0</v>
      </c>
      <c r="L820" s="169">
        <f>Imput[[#This Row],[Sub total]]+Imput[[#This Row],[IVA]]-Imput[[#This Row],[Retención / IEPS / Descuento]]</f>
        <v>135.024</v>
      </c>
      <c r="M820" s="844">
        <v>0</v>
      </c>
      <c r="N820" s="189" t="s">
        <v>123</v>
      </c>
      <c r="O820" s="1"/>
      <c r="P820" s="189" t="s">
        <v>2041</v>
      </c>
      <c r="Q820" s="190" t="s">
        <v>2042</v>
      </c>
      <c r="R820" s="188">
        <v>45889</v>
      </c>
      <c r="S820" s="193" t="s">
        <v>294</v>
      </c>
      <c r="T820" s="192"/>
      <c r="U820" s="829"/>
      <c r="V820" s="10"/>
      <c r="W820" s="10"/>
      <c r="X820" s="10"/>
      <c r="Y820" s="10"/>
      <c r="Z820" s="10"/>
      <c r="AA820" s="11"/>
      <c r="AB820" s="11"/>
      <c r="AD820" s="260"/>
    </row>
    <row r="821" spans="2:30" x14ac:dyDescent="0.3">
      <c r="B821" s="10" t="s">
        <v>385</v>
      </c>
      <c r="C821" s="315" t="s">
        <v>2903</v>
      </c>
      <c r="D821" s="868" t="s">
        <v>1036</v>
      </c>
      <c r="E821" s="837" t="str">
        <f>IFERROR(IF(_xlfn.XLOOKUP(Imput[[#This Row],[RFC]],'Alta Proveedor'!D:D,'Alta Proveedor'!E:E)=0,"",_xlfn.XLOOKUP(Imput[[#This Row],[RFC]],'Alta Proveedor'!D:D,'Alta Proveedor'!E:E)),"")</f>
        <v>AUTOZONE DE MEXICO</v>
      </c>
      <c r="F821" s="832" t="s">
        <v>2071</v>
      </c>
      <c r="G821" s="187">
        <v>1</v>
      </c>
      <c r="H821" s="1">
        <v>59.48</v>
      </c>
      <c r="I821" s="169">
        <f>Imput[[#This Row],[Cantidad]]*Imput[[#This Row],[Precio Unitario]]</f>
        <v>59.48</v>
      </c>
      <c r="J821" s="11">
        <f>((Imput[[#This Row],[Sub total]])*(0.160023))</f>
        <v>9.5181680399999991</v>
      </c>
      <c r="K821" s="11">
        <v>0</v>
      </c>
      <c r="L821" s="169">
        <f>Imput[[#This Row],[Sub total]]+Imput[[#This Row],[IVA]]-Imput[[#This Row],[Retención / IEPS / Descuento]]</f>
        <v>68.998168039999996</v>
      </c>
      <c r="M821" s="844">
        <v>885.00474716000008</v>
      </c>
      <c r="N821" s="189" t="s">
        <v>123</v>
      </c>
      <c r="O821" s="1"/>
      <c r="P821" s="189" t="s">
        <v>2039</v>
      </c>
      <c r="Q821" s="190" t="s">
        <v>2040</v>
      </c>
      <c r="R821" s="188">
        <v>45889</v>
      </c>
      <c r="S821" s="193" t="s">
        <v>126</v>
      </c>
      <c r="T821" s="192"/>
      <c r="U821" s="829"/>
      <c r="V821" s="10"/>
      <c r="W821" s="10"/>
      <c r="X821" s="10"/>
      <c r="Y821" s="10"/>
      <c r="Z821" s="10"/>
      <c r="AA821" s="11"/>
      <c r="AB821" s="11"/>
      <c r="AD821" s="260"/>
    </row>
    <row r="822" spans="2:30" x14ac:dyDescent="0.3">
      <c r="B822" s="10" t="s">
        <v>385</v>
      </c>
      <c r="C822" s="315" t="s">
        <v>2903</v>
      </c>
      <c r="D822" s="868" t="s">
        <v>1036</v>
      </c>
      <c r="E822" s="837" t="str">
        <f>IFERROR(IF(_xlfn.XLOOKUP(Imput[[#This Row],[RFC]],'Alta Proveedor'!D:D,'Alta Proveedor'!E:E)=0,"",_xlfn.XLOOKUP(Imput[[#This Row],[RFC]],'Alta Proveedor'!D:D,'Alta Proveedor'!E:E)),"")</f>
        <v>AUTOZONE DE MEXICO</v>
      </c>
      <c r="F822" s="832" t="s">
        <v>2073</v>
      </c>
      <c r="G822" s="187">
        <v>1</v>
      </c>
      <c r="H822" s="1">
        <v>85.34</v>
      </c>
      <c r="I822" s="169">
        <f>Imput[[#This Row],[Cantidad]]*Imput[[#This Row],[Precio Unitario]]</f>
        <v>85.34</v>
      </c>
      <c r="J822" s="11">
        <f>((Imput[[#This Row],[Sub total]])*(0.160023))</f>
        <v>13.65636282</v>
      </c>
      <c r="K822" s="11">
        <v>0</v>
      </c>
      <c r="L822" s="169">
        <f>Imput[[#This Row],[Sub total]]+Imput[[#This Row],[IVA]]-Imput[[#This Row],[Retención / IEPS / Descuento]]</f>
        <v>98.996362820000002</v>
      </c>
      <c r="M822" s="844">
        <v>0</v>
      </c>
      <c r="N822" s="189" t="s">
        <v>123</v>
      </c>
      <c r="O822" s="1"/>
      <c r="P822" s="189" t="s">
        <v>2039</v>
      </c>
      <c r="Q822" s="190" t="s">
        <v>2040</v>
      </c>
      <c r="R822" s="188">
        <v>45889</v>
      </c>
      <c r="S822" s="193" t="s">
        <v>126</v>
      </c>
      <c r="T822" s="192"/>
      <c r="U822" s="829"/>
      <c r="V822" s="10"/>
      <c r="W822" s="10"/>
      <c r="X822" s="10"/>
      <c r="Y822" s="10"/>
      <c r="Z822" s="10"/>
      <c r="AA822" s="11"/>
      <c r="AB822" s="11"/>
      <c r="AD822" s="260"/>
    </row>
    <row r="823" spans="2:30" x14ac:dyDescent="0.3">
      <c r="B823" s="10" t="s">
        <v>385</v>
      </c>
      <c r="C823" s="315" t="s">
        <v>1830</v>
      </c>
      <c r="D823" s="868" t="s">
        <v>1036</v>
      </c>
      <c r="E823" s="837" t="str">
        <f>IFERROR(IF(_xlfn.XLOOKUP(Imput[[#This Row],[RFC]],'Alta Proveedor'!D:D,'Alta Proveedor'!E:E)=0,"",_xlfn.XLOOKUP(Imput[[#This Row],[RFC]],'Alta Proveedor'!D:D,'Alta Proveedor'!E:E)),"")</f>
        <v>AUTOZONE DE MEXICO</v>
      </c>
      <c r="F823" s="832" t="s">
        <v>2074</v>
      </c>
      <c r="G823" s="187">
        <v>1</v>
      </c>
      <c r="H823" s="1">
        <v>59.48</v>
      </c>
      <c r="I823" s="169">
        <f>Imput[[#This Row],[Cantidad]]*Imput[[#This Row],[Precio Unitario]]</f>
        <v>59.48</v>
      </c>
      <c r="J823" s="11">
        <f>((Imput[[#This Row],[Sub total]])*(0.160023))</f>
        <v>9.5181680399999991</v>
      </c>
      <c r="K823" s="11">
        <v>0</v>
      </c>
      <c r="L823" s="169">
        <f>Imput[[#This Row],[Sub total]]+Imput[[#This Row],[IVA]]-Imput[[#This Row],[Retención / IEPS / Descuento]]</f>
        <v>68.998168039999996</v>
      </c>
      <c r="M823" s="844">
        <v>0</v>
      </c>
      <c r="N823" s="189" t="s">
        <v>123</v>
      </c>
      <c r="O823" s="1"/>
      <c r="P823" s="189" t="s">
        <v>2039</v>
      </c>
      <c r="Q823" s="190" t="s">
        <v>2040</v>
      </c>
      <c r="R823" s="188">
        <v>45889</v>
      </c>
      <c r="S823" s="193" t="s">
        <v>126</v>
      </c>
      <c r="T823" s="192"/>
      <c r="U823" s="829"/>
      <c r="V823" s="10"/>
      <c r="W823" s="10"/>
      <c r="X823" s="10"/>
      <c r="Y823" s="10"/>
      <c r="Z823" s="10"/>
      <c r="AA823" s="11"/>
      <c r="AB823" s="11"/>
      <c r="AD823" s="260"/>
    </row>
    <row r="824" spans="2:30" x14ac:dyDescent="0.3">
      <c r="B824" s="10" t="s">
        <v>385</v>
      </c>
      <c r="C824" s="315" t="s">
        <v>2903</v>
      </c>
      <c r="D824" s="868" t="s">
        <v>1036</v>
      </c>
      <c r="E824" s="837" t="str">
        <f>IFERROR(IF(_xlfn.XLOOKUP(Imput[[#This Row],[RFC]],'Alta Proveedor'!D:D,'Alta Proveedor'!E:E)=0,"",_xlfn.XLOOKUP(Imput[[#This Row],[RFC]],'Alta Proveedor'!D:D,'Alta Proveedor'!E:E)),"")</f>
        <v>AUTOZONE DE MEXICO</v>
      </c>
      <c r="F824" s="832" t="s">
        <v>2065</v>
      </c>
      <c r="G824" s="187">
        <v>1</v>
      </c>
      <c r="H824" s="1">
        <v>257.76</v>
      </c>
      <c r="I824" s="169">
        <f>Imput[[#This Row],[Cantidad]]*Imput[[#This Row],[Precio Unitario]]</f>
        <v>257.76</v>
      </c>
      <c r="J824" s="11">
        <f>((Imput[[#This Row],[Sub total]])*(0.160023))</f>
        <v>41.24752848</v>
      </c>
      <c r="K824" s="11">
        <v>0</v>
      </c>
      <c r="L824" s="169">
        <f>Imput[[#This Row],[Sub total]]+Imput[[#This Row],[IVA]]-Imput[[#This Row],[Retención / IEPS / Descuento]]</f>
        <v>299.00752848000002</v>
      </c>
      <c r="M824" s="844">
        <v>0</v>
      </c>
      <c r="N824" s="189" t="s">
        <v>123</v>
      </c>
      <c r="O824" s="1"/>
      <c r="P824" s="189" t="s">
        <v>2039</v>
      </c>
      <c r="Q824" s="190" t="s">
        <v>2040</v>
      </c>
      <c r="R824" s="188">
        <v>45889</v>
      </c>
      <c r="S824" s="193" t="s">
        <v>126</v>
      </c>
      <c r="T824" s="192"/>
      <c r="U824" s="829"/>
      <c r="V824" s="10"/>
      <c r="W824" s="10"/>
      <c r="X824" s="10"/>
      <c r="Y824" s="10"/>
      <c r="Z824" s="10"/>
      <c r="AA824" s="11"/>
      <c r="AB824" s="11"/>
      <c r="AD824" s="260"/>
    </row>
    <row r="825" spans="2:30" x14ac:dyDescent="0.3">
      <c r="B825" s="10" t="s">
        <v>385</v>
      </c>
      <c r="C825" s="315" t="s">
        <v>2903</v>
      </c>
      <c r="D825" s="868" t="s">
        <v>1036</v>
      </c>
      <c r="E825" s="837" t="str">
        <f>IFERROR(IF(_xlfn.XLOOKUP(Imput[[#This Row],[RFC]],'Alta Proveedor'!D:D,'Alta Proveedor'!E:E)=0,"",_xlfn.XLOOKUP(Imput[[#This Row],[RFC]],'Alta Proveedor'!D:D,'Alta Proveedor'!E:E)),"")</f>
        <v>AUTOZONE DE MEXICO</v>
      </c>
      <c r="F825" s="832" t="s">
        <v>2064</v>
      </c>
      <c r="G825" s="187">
        <v>1</v>
      </c>
      <c r="H825" s="1">
        <v>300.86</v>
      </c>
      <c r="I825" s="169">
        <f>Imput[[#This Row],[Cantidad]]*Imput[[#This Row],[Precio Unitario]]</f>
        <v>300.86</v>
      </c>
      <c r="J825" s="11">
        <f>((Imput[[#This Row],[Sub total]])*(0.160023))</f>
        <v>48.144519780000003</v>
      </c>
      <c r="K825" s="11">
        <v>0</v>
      </c>
      <c r="L825" s="169">
        <f>Imput[[#This Row],[Sub total]]+Imput[[#This Row],[IVA]]-Imput[[#This Row],[Retención / IEPS / Descuento]]</f>
        <v>349.00451978000001</v>
      </c>
      <c r="M825" s="844">
        <v>0</v>
      </c>
      <c r="N825" s="189" t="s">
        <v>123</v>
      </c>
      <c r="O825" s="1"/>
      <c r="P825" s="189" t="s">
        <v>2039</v>
      </c>
      <c r="Q825" s="190" t="s">
        <v>2040</v>
      </c>
      <c r="R825" s="188">
        <v>45889</v>
      </c>
      <c r="S825" s="193" t="s">
        <v>126</v>
      </c>
      <c r="T825" s="192"/>
      <c r="U825" s="829"/>
      <c r="V825" s="10"/>
      <c r="W825" s="10"/>
      <c r="X825" s="10"/>
      <c r="Y825" s="10"/>
      <c r="Z825" s="10"/>
      <c r="AA825" s="11"/>
      <c r="AB825" s="11"/>
      <c r="AD825" s="260"/>
    </row>
    <row r="826" spans="2:30" x14ac:dyDescent="0.3">
      <c r="B826" s="10" t="s">
        <v>385</v>
      </c>
      <c r="C826" s="315" t="s">
        <v>2430</v>
      </c>
      <c r="D826" s="868" t="s">
        <v>164</v>
      </c>
      <c r="E826" s="837" t="str">
        <f>IFERROR(IF(_xlfn.XLOOKUP(Imput[[#This Row],[RFC]],'Alta Proveedor'!D:D,'Alta Proveedor'!E:E)=0,"",_xlfn.XLOOKUP(Imput[[#This Row],[RFC]],'Alta Proveedor'!D:D,'Alta Proveedor'!E:E)),"")</f>
        <v>HOME DEPOT MEXICO SUCURSAL THD-8730 TAMPICO</v>
      </c>
      <c r="F826" s="832" t="s">
        <v>1910</v>
      </c>
      <c r="G826" s="187">
        <v>3</v>
      </c>
      <c r="H826" s="1">
        <f>1228.45/Imput[[#This Row],[Cantidad]]</f>
        <v>409.48333333333335</v>
      </c>
      <c r="I826" s="169">
        <f>Imput[[#This Row],[Cantidad]]*Imput[[#This Row],[Precio Unitario]]</f>
        <v>1228.45</v>
      </c>
      <c r="J826" s="11">
        <f>((Imput[[#This Row],[Sub total]])*(0.16))</f>
        <v>196.55200000000002</v>
      </c>
      <c r="K826" s="11">
        <v>0</v>
      </c>
      <c r="L826" s="169">
        <f>Imput[[#This Row],[Sub total]]+Imput[[#This Row],[IVA]]-Imput[[#This Row],[Retención / IEPS / Descuento]]</f>
        <v>1425.002</v>
      </c>
      <c r="M826" s="844">
        <v>1425.002</v>
      </c>
      <c r="N826" s="189" t="s">
        <v>123</v>
      </c>
      <c r="O826" s="1"/>
      <c r="P826" s="189" t="s">
        <v>2037</v>
      </c>
      <c r="Q826" s="190" t="s">
        <v>2038</v>
      </c>
      <c r="R826" s="188">
        <v>45889</v>
      </c>
      <c r="S826" s="193" t="s">
        <v>126</v>
      </c>
      <c r="T826" s="192"/>
      <c r="U826" s="829"/>
      <c r="V826" s="10"/>
      <c r="W826" s="10"/>
      <c r="X826" s="10"/>
      <c r="Y826" s="10"/>
      <c r="Z826" s="10"/>
      <c r="AA826" s="11"/>
      <c r="AB826" s="11"/>
      <c r="AD826" s="260"/>
    </row>
    <row r="827" spans="2:30" x14ac:dyDescent="0.3">
      <c r="B827" s="10" t="s">
        <v>385</v>
      </c>
      <c r="C827" s="315" t="s">
        <v>2430</v>
      </c>
      <c r="D827" s="868" t="s">
        <v>164</v>
      </c>
      <c r="E827" s="837" t="str">
        <f>IFERROR(IF(_xlfn.XLOOKUP(Imput[[#This Row],[RFC]],'Alta Proveedor'!D:D,'Alta Proveedor'!E:E)=0,"",_xlfn.XLOOKUP(Imput[[#This Row],[RFC]],'Alta Proveedor'!D:D,'Alta Proveedor'!E:E)),"")</f>
        <v>HOME DEPOT MEXICO SUCURSAL THD-8730 TAMPICO</v>
      </c>
      <c r="F827" s="832" t="s">
        <v>1910</v>
      </c>
      <c r="G827" s="187">
        <v>1</v>
      </c>
      <c r="H827" s="1">
        <v>409.48</v>
      </c>
      <c r="I827" s="169">
        <f>Imput[[#This Row],[Cantidad]]*Imput[[#This Row],[Precio Unitario]]</f>
        <v>409.48</v>
      </c>
      <c r="J827" s="11">
        <f>((Imput[[#This Row],[Sub total]]-409.48)*(0.16))</f>
        <v>0</v>
      </c>
      <c r="K827" s="11">
        <v>409.48</v>
      </c>
      <c r="L827" s="169">
        <f>Imput[[#This Row],[Sub total]]+Imput[[#This Row],[IVA]]-Imput[[#This Row],[Retención / IEPS / Descuento]]</f>
        <v>0</v>
      </c>
      <c r="M827" s="844">
        <v>0</v>
      </c>
      <c r="N827" s="189" t="s">
        <v>123</v>
      </c>
      <c r="O827" s="1"/>
      <c r="P827" s="189" t="s">
        <v>2037</v>
      </c>
      <c r="Q827" s="190" t="s">
        <v>2038</v>
      </c>
      <c r="R827" s="188">
        <v>45889</v>
      </c>
      <c r="S827" s="193" t="s">
        <v>126</v>
      </c>
      <c r="T827" s="192"/>
      <c r="U827" s="829"/>
      <c r="V827" s="10"/>
      <c r="W827" s="10"/>
      <c r="X827" s="10"/>
      <c r="Y827" s="10"/>
      <c r="Z827" s="10"/>
      <c r="AA827" s="11"/>
      <c r="AB827" s="11"/>
      <c r="AD827" s="260"/>
    </row>
    <row r="828" spans="2:30" x14ac:dyDescent="0.3">
      <c r="B828" s="10" t="s">
        <v>385</v>
      </c>
      <c r="C828" s="315" t="s">
        <v>1767</v>
      </c>
      <c r="D828" s="868" t="s">
        <v>2047</v>
      </c>
      <c r="E828" s="837" t="str">
        <f>IFERROR(IF(_xlfn.XLOOKUP(Imput[[#This Row],[RFC]],'Alta Proveedor'!D:D,'Alta Proveedor'!E:E)=0,"",_xlfn.XLOOKUP(Imput[[#This Row],[RFC]],'Alta Proveedor'!D:D,'Alta Proveedor'!E:E)),"")</f>
        <v>JUAN REYES HERNANDEZ MARTINEZ E14140 "PEMEX" (COMBUSTIBLES)</v>
      </c>
      <c r="F828" s="832" t="s">
        <v>1114</v>
      </c>
      <c r="G828" s="187">
        <v>59.798999999999999</v>
      </c>
      <c r="H828" s="1">
        <f>1317.42/Imput[[#This Row],[Cantidad]]</f>
        <v>22.030803190688808</v>
      </c>
      <c r="I828" s="169">
        <f>Imput[[#This Row],[Cantidad]]*Imput[[#This Row],[Precio Unitario]]</f>
        <v>1317.42</v>
      </c>
      <c r="J828" s="11">
        <v>206.26</v>
      </c>
      <c r="K828" s="11">
        <v>0</v>
      </c>
      <c r="L828" s="169">
        <f>Imput[[#This Row],[Sub total]]+Imput[[#This Row],[IVA]]-Imput[[#This Row],[Retención / IEPS / Descuento]]</f>
        <v>1523.68</v>
      </c>
      <c r="M828" s="844">
        <v>1523.68</v>
      </c>
      <c r="N828" s="189" t="s">
        <v>123</v>
      </c>
      <c r="O828" s="1"/>
      <c r="P828" s="189" t="s">
        <v>2045</v>
      </c>
      <c r="Q828" s="190" t="s">
        <v>2046</v>
      </c>
      <c r="R828" s="188">
        <v>45889</v>
      </c>
      <c r="S828" s="193" t="s">
        <v>126</v>
      </c>
      <c r="T828" s="192"/>
      <c r="U828" s="829"/>
      <c r="V828" s="10"/>
      <c r="W828" s="10"/>
      <c r="X828" s="10"/>
      <c r="Y828" s="10"/>
      <c r="Z828" s="10"/>
      <c r="AA828" s="11"/>
      <c r="AB828" s="11"/>
      <c r="AD828" s="260"/>
    </row>
    <row r="829" spans="2:30" x14ac:dyDescent="0.3">
      <c r="B829" s="10" t="s">
        <v>383</v>
      </c>
      <c r="C829" s="315" t="s">
        <v>2426</v>
      </c>
      <c r="D829" s="868" t="s">
        <v>2092</v>
      </c>
      <c r="E829" s="837" t="str">
        <f>IFERROR(IF(_xlfn.XLOOKUP(Imput[[#This Row],[RFC]],'Alta Proveedor'!D:D,'Alta Proveedor'!E:E)=0,"",_xlfn.XLOOKUP(Imput[[#This Row],[RFC]],'Alta Proveedor'!D:D,'Alta Proveedor'!E:E)),"")</f>
        <v>SANDRA YANET MARTINEZ LOPEZ "CCOMERCIALIZADORA MM TODO LO QUE NECESITAS Y MAS"</v>
      </c>
      <c r="F829" s="832" t="s">
        <v>2908</v>
      </c>
      <c r="G829" s="187">
        <v>1</v>
      </c>
      <c r="H829" s="1">
        <v>66.900000000000006</v>
      </c>
      <c r="I829" s="169">
        <f>Imput[[#This Row],[Cantidad]]*Imput[[#This Row],[Precio Unitario]]</f>
        <v>66.900000000000006</v>
      </c>
      <c r="J829" s="11">
        <f>((Imput[[#This Row],[Sub total]])*(0.16))</f>
        <v>10.704000000000001</v>
      </c>
      <c r="K829" s="11">
        <v>0</v>
      </c>
      <c r="L829" s="169">
        <f>Imput[[#This Row],[Sub total]]+Imput[[#This Row],[IVA]]-Imput[[#This Row],[Retención / IEPS / Descuento]]</f>
        <v>77.604000000000013</v>
      </c>
      <c r="M829" s="844">
        <v>77.604000000000013</v>
      </c>
      <c r="N829" s="189" t="s">
        <v>123</v>
      </c>
      <c r="O829" s="1"/>
      <c r="P829" s="189" t="s">
        <v>2090</v>
      </c>
      <c r="Q829" s="190" t="s">
        <v>2091</v>
      </c>
      <c r="R829" s="188">
        <v>45890</v>
      </c>
      <c r="S829" s="193" t="s">
        <v>126</v>
      </c>
      <c r="T829" s="192"/>
      <c r="U829" s="829"/>
      <c r="V829" s="10"/>
      <c r="W829" s="10"/>
      <c r="X829" s="10"/>
      <c r="Y829" s="10"/>
      <c r="Z829" s="10"/>
      <c r="AA829" s="11"/>
      <c r="AB829" s="11"/>
      <c r="AD829" s="260"/>
    </row>
    <row r="830" spans="2:30" x14ac:dyDescent="0.3">
      <c r="B830" s="10" t="s">
        <v>385</v>
      </c>
      <c r="C830" s="315" t="s">
        <v>1763</v>
      </c>
      <c r="D830" s="868" t="s">
        <v>2088</v>
      </c>
      <c r="E830" s="837" t="str">
        <f>IFERROR(IF(_xlfn.XLOOKUP(Imput[[#This Row],[RFC]],'Alta Proveedor'!D:D,'Alta Proveedor'!E:E)=0,"",_xlfn.XLOOKUP(Imput[[#This Row],[RFC]],'Alta Proveedor'!D:D,'Alta Proveedor'!E:E)),"")</f>
        <v>MADERAS Y MATERIALES GARZA</v>
      </c>
      <c r="F830" s="832" t="s">
        <v>2089</v>
      </c>
      <c r="G830" s="187">
        <v>1</v>
      </c>
      <c r="H830" s="1">
        <v>8950</v>
      </c>
      <c r="I830" s="169">
        <f>Imput[[#This Row],[Cantidad]]*Imput[[#This Row],[Precio Unitario]]</f>
        <v>8950</v>
      </c>
      <c r="J830" s="11">
        <f>((Imput[[#This Row],[Sub total]])*(0.16))</f>
        <v>1432</v>
      </c>
      <c r="K830" s="11">
        <v>0</v>
      </c>
      <c r="L830" s="169">
        <f>Imput[[#This Row],[Sub total]]+Imput[[#This Row],[IVA]]-Imput[[#This Row],[Retención / IEPS / Descuento]]</f>
        <v>10382</v>
      </c>
      <c r="M830" s="844">
        <v>10382</v>
      </c>
      <c r="N830" s="189" t="s">
        <v>123</v>
      </c>
      <c r="O830" s="1"/>
      <c r="P830" s="189" t="s">
        <v>2085</v>
      </c>
      <c r="Q830" s="190" t="s">
        <v>2086</v>
      </c>
      <c r="R830" s="188">
        <v>45890</v>
      </c>
      <c r="S830" s="193" t="s">
        <v>126</v>
      </c>
      <c r="T830" s="192"/>
      <c r="U830" s="829"/>
      <c r="V830" s="10"/>
      <c r="W830" s="10"/>
      <c r="X830" s="10"/>
      <c r="Y830" s="10"/>
      <c r="Z830" s="10"/>
      <c r="AA830" s="11"/>
      <c r="AB830" s="11"/>
      <c r="AD830" s="260"/>
    </row>
    <row r="831" spans="2:30" x14ac:dyDescent="0.3">
      <c r="B831" s="10" t="s">
        <v>385</v>
      </c>
      <c r="C831" s="315" t="s">
        <v>1806</v>
      </c>
      <c r="D831" s="868" t="s">
        <v>2077</v>
      </c>
      <c r="E831" s="837" t="str">
        <f>IFERROR(IF(_xlfn.XLOOKUP(Imput[[#This Row],[RFC]],'Alta Proveedor'!D:D,'Alta Proveedor'!E:E)=0,"",_xlfn.XLOOKUP(Imput[[#This Row],[RFC]],'Alta Proveedor'!D:D,'Alta Proveedor'!E:E)),"")</f>
        <v>SHOP BOLA OCHO "TACOS LA CHULA" (RESTAURANTE)</v>
      </c>
      <c r="F831" s="832" t="s">
        <v>159</v>
      </c>
      <c r="G831" s="187">
        <v>1</v>
      </c>
      <c r="H831" s="1">
        <v>376.72</v>
      </c>
      <c r="I831" s="169">
        <f>Imput[[#This Row],[Cantidad]]*Imput[[#This Row],[Precio Unitario]]</f>
        <v>376.72</v>
      </c>
      <c r="J831" s="11">
        <f>((Imput[[#This Row],[Sub total]])*(0.16))</f>
        <v>60.275200000000005</v>
      </c>
      <c r="K831" s="11">
        <v>0</v>
      </c>
      <c r="L831" s="169">
        <f>Imput[[#This Row],[Sub total]]+Imput[[#This Row],[IVA]]-Imput[[#This Row],[Retención / IEPS / Descuento]]</f>
        <v>436.99520000000001</v>
      </c>
      <c r="M831" s="844">
        <v>436.99520000000001</v>
      </c>
      <c r="N831" s="189" t="s">
        <v>123</v>
      </c>
      <c r="O831" s="1"/>
      <c r="P831" s="189" t="s">
        <v>2075</v>
      </c>
      <c r="Q831" s="190" t="s">
        <v>2076</v>
      </c>
      <c r="R831" s="188">
        <v>45890</v>
      </c>
      <c r="S831" s="193" t="s">
        <v>126</v>
      </c>
      <c r="T831" s="192"/>
      <c r="U831" s="829"/>
      <c r="V831" s="10"/>
      <c r="W831" s="10"/>
      <c r="X831" s="10"/>
      <c r="Y831" s="10"/>
      <c r="Z831" s="10"/>
      <c r="AA831" s="11"/>
      <c r="AB831" s="11"/>
      <c r="AD831" s="260"/>
    </row>
    <row r="832" spans="2:30" x14ac:dyDescent="0.3">
      <c r="B832" s="10" t="s">
        <v>385</v>
      </c>
      <c r="C832" s="315" t="s">
        <v>1763</v>
      </c>
      <c r="D832" s="868" t="s">
        <v>2081</v>
      </c>
      <c r="E832" s="837" t="str">
        <f>IFERROR(IF(_xlfn.XLOOKUP(Imput[[#This Row],[RFC]],'Alta Proveedor'!D:D,'Alta Proveedor'!E:E)=0,"",_xlfn.XLOOKUP(Imput[[#This Row],[RFC]],'Alta Proveedor'!D:D,'Alta Proveedor'!E:E)),"")</f>
        <v>LLANTAS Y RINES LONGORIA</v>
      </c>
      <c r="F832" s="832" t="s">
        <v>2083</v>
      </c>
      <c r="G832" s="187">
        <v>4</v>
      </c>
      <c r="H832" s="1">
        <v>2285.56</v>
      </c>
      <c r="I832" s="169">
        <f>Imput[[#This Row],[Cantidad]]*Imput[[#This Row],[Precio Unitario]]</f>
        <v>9142.24</v>
      </c>
      <c r="J832" s="11">
        <f>((Imput[[#This Row],[Sub total]])*(0.16))</f>
        <v>1462.7583999999999</v>
      </c>
      <c r="K832" s="11">
        <v>0</v>
      </c>
      <c r="L832" s="169">
        <f>Imput[[#This Row],[Sub total]]+Imput[[#This Row],[IVA]]-Imput[[#This Row],[Retención / IEPS / Descuento]]</f>
        <v>10604.9984</v>
      </c>
      <c r="M832" s="844">
        <v>11054.9972</v>
      </c>
      <c r="N832" s="189" t="s">
        <v>123</v>
      </c>
      <c r="O832" s="1"/>
      <c r="P832" s="189" t="s">
        <v>2079</v>
      </c>
      <c r="Q832" s="190" t="s">
        <v>2080</v>
      </c>
      <c r="R832" s="188">
        <v>45890</v>
      </c>
      <c r="S832" s="193" t="s">
        <v>126</v>
      </c>
      <c r="T832" s="192"/>
      <c r="U832" s="829"/>
      <c r="V832" s="10"/>
      <c r="W832" s="10"/>
      <c r="X832" s="10"/>
      <c r="Y832" s="10"/>
      <c r="Z832" s="10"/>
      <c r="AA832" s="11"/>
      <c r="AB832" s="11"/>
      <c r="AD832" s="260"/>
    </row>
    <row r="833" spans="2:30" x14ac:dyDescent="0.3">
      <c r="B833" s="10" t="s">
        <v>385</v>
      </c>
      <c r="C833" s="315" t="s">
        <v>1763</v>
      </c>
      <c r="D833" s="868" t="s">
        <v>2081</v>
      </c>
      <c r="E833" s="837" t="str">
        <f>IFERROR(IF(_xlfn.XLOOKUP(Imput[[#This Row],[RFC]],'Alta Proveedor'!D:D,'Alta Proveedor'!E:E)=0,"",_xlfn.XLOOKUP(Imput[[#This Row],[RFC]],'Alta Proveedor'!D:D,'Alta Proveedor'!E:E)),"")</f>
        <v>LLANTAS Y RINES LONGORIA</v>
      </c>
      <c r="F833" s="832" t="s">
        <v>2084</v>
      </c>
      <c r="G833" s="187">
        <v>1</v>
      </c>
      <c r="H833" s="1">
        <v>387.93</v>
      </c>
      <c r="I833" s="169">
        <f>Imput[[#This Row],[Cantidad]]*Imput[[#This Row],[Precio Unitario]]</f>
        <v>387.93</v>
      </c>
      <c r="J833" s="11">
        <f>((Imput[[#This Row],[Sub total]])*(0.16))</f>
        <v>62.068800000000003</v>
      </c>
      <c r="K833" s="11">
        <v>0</v>
      </c>
      <c r="L833" s="169">
        <f>Imput[[#This Row],[Sub total]]+Imput[[#This Row],[IVA]]-Imput[[#This Row],[Retención / IEPS / Descuento]]</f>
        <v>449.99880000000002</v>
      </c>
      <c r="M833" s="844">
        <v>0</v>
      </c>
      <c r="N833" s="189" t="s">
        <v>123</v>
      </c>
      <c r="O833" s="1"/>
      <c r="P833" s="189" t="s">
        <v>2079</v>
      </c>
      <c r="Q833" s="190" t="s">
        <v>2080</v>
      </c>
      <c r="R833" s="188">
        <v>45890</v>
      </c>
      <c r="S833" s="193" t="s">
        <v>126</v>
      </c>
      <c r="T833" s="192"/>
      <c r="U833" s="829"/>
      <c r="V833" s="10"/>
      <c r="W833" s="10"/>
      <c r="X833" s="10"/>
      <c r="Y833" s="10"/>
      <c r="Z833" s="10"/>
      <c r="AA833" s="11"/>
      <c r="AB833" s="11"/>
      <c r="AD833" s="260"/>
    </row>
    <row r="834" spans="2:30" x14ac:dyDescent="0.3">
      <c r="B834" s="10" t="s">
        <v>385</v>
      </c>
      <c r="C834" s="315" t="s">
        <v>1747</v>
      </c>
      <c r="D834" s="868" t="s">
        <v>3225</v>
      </c>
      <c r="E834" s="837" t="str">
        <f>IFERROR(IF(_xlfn.XLOOKUP(Imput[[#This Row],[RFC]],'Alta Proveedor'!D:D,'Alta Proveedor'!E:E)=0,"",_xlfn.XLOOKUP(Imput[[#This Row],[RFC]],'Alta Proveedor'!D:D,'Alta Proveedor'!E:E)),"")</f>
        <v>GASTOS SIN FACTURA</v>
      </c>
      <c r="F834" s="832" t="s">
        <v>3218</v>
      </c>
      <c r="G834" s="187">
        <v>1</v>
      </c>
      <c r="H834" s="1">
        <v>800</v>
      </c>
      <c r="I834" s="169">
        <f>Imput[[#This Row],[Cantidad]]*Imput[[#This Row],[Precio Unitario]]</f>
        <v>800</v>
      </c>
      <c r="J834" s="11">
        <f>Imput[[#This Row],[Sub total]]*0.08</f>
        <v>64</v>
      </c>
      <c r="K834" s="11">
        <v>0</v>
      </c>
      <c r="L834" s="169">
        <f>Imput[[#This Row],[Sub total]]+Imput[[#This Row],[IVA]]-Imput[[#This Row],[Retención / IEPS / Descuento]]</f>
        <v>864</v>
      </c>
      <c r="M834" s="844">
        <v>864</v>
      </c>
      <c r="N834" s="189"/>
      <c r="O834" s="1"/>
      <c r="P834" s="189"/>
      <c r="Q834" s="190"/>
      <c r="R834" s="188">
        <v>45890</v>
      </c>
      <c r="S834" s="193"/>
      <c r="T834" s="192"/>
      <c r="U834" s="829" t="s">
        <v>3225</v>
      </c>
      <c r="V834" s="10"/>
      <c r="W834" s="10"/>
      <c r="X834" s="10"/>
      <c r="Y834" s="10"/>
      <c r="Z834" s="10"/>
      <c r="AA834" s="11"/>
      <c r="AB834" s="11"/>
      <c r="AD834" s="260"/>
    </row>
    <row r="835" spans="2:30" x14ac:dyDescent="0.3">
      <c r="B835" s="10" t="s">
        <v>385</v>
      </c>
      <c r="C835" s="315" t="s">
        <v>1806</v>
      </c>
      <c r="D835" s="868" t="s">
        <v>2938</v>
      </c>
      <c r="E835" s="837" t="str">
        <f>IFERROR(IF(_xlfn.XLOOKUP(Imput[[#This Row],[RFC]],'Alta Proveedor'!D:D,'Alta Proveedor'!E:E)=0,"",_xlfn.XLOOKUP(Imput[[#This Row],[RFC]],'Alta Proveedor'!D:D,'Alta Proveedor'!E:E)),"")</f>
        <v>RICHYCARLS</v>
      </c>
      <c r="F835" s="832" t="s">
        <v>159</v>
      </c>
      <c r="G835" s="187">
        <v>1</v>
      </c>
      <c r="H835" s="1">
        <v>443.1</v>
      </c>
      <c r="I835" s="169">
        <f>Imput[[#This Row],[Cantidad]]*Imput[[#This Row],[Precio Unitario]]</f>
        <v>443.1</v>
      </c>
      <c r="J835" s="11">
        <f>((Imput[[#This Row],[Sub total]])*(0.16))</f>
        <v>70.896000000000001</v>
      </c>
      <c r="K835" s="11">
        <v>0</v>
      </c>
      <c r="L835" s="169">
        <f>Imput[[#This Row],[Sub total]]+Imput[[#This Row],[IVA]]-Imput[[#This Row],[Retención / IEPS / Descuento]]</f>
        <v>513.99599999999998</v>
      </c>
      <c r="M835" s="844">
        <v>513.99599999999998</v>
      </c>
      <c r="N835" s="189" t="s">
        <v>123</v>
      </c>
      <c r="O835" s="1"/>
      <c r="P835" s="189" t="s">
        <v>2936</v>
      </c>
      <c r="Q835" s="190" t="s">
        <v>2937</v>
      </c>
      <c r="R835" s="188">
        <v>45891</v>
      </c>
      <c r="S835" s="193" t="s">
        <v>126</v>
      </c>
      <c r="T835" s="192"/>
      <c r="U835" s="829"/>
      <c r="V835" s="10"/>
      <c r="W835" s="10"/>
      <c r="X835" s="10"/>
      <c r="Y835" s="10"/>
      <c r="Z835" s="10"/>
      <c r="AA835" s="11"/>
      <c r="AB835" s="11"/>
      <c r="AD835" s="260"/>
    </row>
    <row r="836" spans="2:30" x14ac:dyDescent="0.3">
      <c r="B836" s="10" t="s">
        <v>385</v>
      </c>
      <c r="C836" s="315" t="s">
        <v>1767</v>
      </c>
      <c r="D836" s="868" t="s">
        <v>1553</v>
      </c>
      <c r="E836" s="837" t="str">
        <f>IFERROR(IF(_xlfn.XLOOKUP(Imput[[#This Row],[RFC]],'Alta Proveedor'!D:D,'Alta Proveedor'!E:E)=0,"",_xlfn.XLOOKUP(Imput[[#This Row],[RFC]],'Alta Proveedor'!D:D,'Alta Proveedor'!E:E)),"")</f>
        <v>COMERCIALIZADORA DE COMBUSTIBLES TAMAULIPECA "NEXUM" (COMBUSTIBLES)</v>
      </c>
      <c r="F836" s="832" t="s">
        <v>1145</v>
      </c>
      <c r="G836" s="187">
        <v>78.686751999999998</v>
      </c>
      <c r="H836" s="1">
        <v>22.414863</v>
      </c>
      <c r="I836" s="169">
        <f>Imput[[#This Row],[Cantidad]]*Imput[[#This Row],[Precio Unitario]]</f>
        <v>1763.752765994976</v>
      </c>
      <c r="J836" s="11">
        <v>273.45</v>
      </c>
      <c r="K836" s="11">
        <v>0</v>
      </c>
      <c r="L836" s="169">
        <f>Imput[[#This Row],[Sub total]]+Imput[[#This Row],[IVA]]-Imput[[#This Row],[Retención / IEPS / Descuento]]</f>
        <v>2037.2027659949761</v>
      </c>
      <c r="M836" s="844">
        <v>2037.2027659949761</v>
      </c>
      <c r="N836" s="189" t="s">
        <v>123</v>
      </c>
      <c r="O836" s="1"/>
      <c r="P836" s="189" t="s">
        <v>2917</v>
      </c>
      <c r="Q836" s="190" t="s">
        <v>2918</v>
      </c>
      <c r="R836" s="188">
        <v>45891</v>
      </c>
      <c r="S836" s="193" t="s">
        <v>126</v>
      </c>
      <c r="T836" s="192"/>
      <c r="U836" s="829"/>
      <c r="V836" s="10"/>
      <c r="W836" s="10"/>
      <c r="X836" s="10"/>
      <c r="Y836" s="10"/>
      <c r="Z836" s="10"/>
      <c r="AA836" s="11"/>
      <c r="AB836" s="11"/>
      <c r="AD836" s="260"/>
    </row>
    <row r="837" spans="2:30" x14ac:dyDescent="0.3">
      <c r="B837" s="10" t="s">
        <v>385</v>
      </c>
      <c r="C837" s="315" t="s">
        <v>1806</v>
      </c>
      <c r="D837" s="868" t="s">
        <v>2923</v>
      </c>
      <c r="E837" s="837" t="str">
        <f>IFERROR(IF(_xlfn.XLOOKUP(Imput[[#This Row],[RFC]],'Alta Proveedor'!D:D,'Alta Proveedor'!E:E)=0,"",_xlfn.XLOOKUP(Imput[[#This Row],[RFC]],'Alta Proveedor'!D:D,'Alta Proveedor'!E:E)),"")</f>
        <v>GASTRONOMICA ATTENTI (RESTAURANTE)</v>
      </c>
      <c r="F837" s="832" t="s">
        <v>159</v>
      </c>
      <c r="G837" s="187">
        <v>1</v>
      </c>
      <c r="H837" s="1">
        <v>1224.1400000000001</v>
      </c>
      <c r="I837" s="169">
        <f>Imput[[#This Row],[Cantidad]]*Imput[[#This Row],[Precio Unitario]]</f>
        <v>1224.1400000000001</v>
      </c>
      <c r="J837" s="11">
        <f>((Imput[[#This Row],[Sub total]])*(0.16))</f>
        <v>195.86240000000001</v>
      </c>
      <c r="K837" s="11">
        <v>0</v>
      </c>
      <c r="L837" s="169">
        <f>Imput[[#This Row],[Sub total]]+Imput[[#This Row],[IVA]]-Imput[[#This Row],[Retención / IEPS / Descuento]]</f>
        <v>1420.0024000000001</v>
      </c>
      <c r="M837" s="844">
        <v>1420.0024000000001</v>
      </c>
      <c r="N837" s="189" t="s">
        <v>123</v>
      </c>
      <c r="O837" s="1"/>
      <c r="P837" s="189" t="s">
        <v>2921</v>
      </c>
      <c r="Q837" s="190" t="s">
        <v>2922</v>
      </c>
      <c r="R837" s="188">
        <v>45892</v>
      </c>
      <c r="S837" s="193" t="s">
        <v>126</v>
      </c>
      <c r="T837" s="192"/>
      <c r="U837" s="829"/>
      <c r="V837" s="10"/>
      <c r="W837" s="10"/>
      <c r="X837" s="10"/>
      <c r="Y837" s="10"/>
      <c r="Z837" s="10"/>
      <c r="AA837" s="11"/>
      <c r="AB837" s="11"/>
      <c r="AD837" s="260"/>
    </row>
    <row r="838" spans="2:30" x14ac:dyDescent="0.3">
      <c r="B838" s="10" t="s">
        <v>385</v>
      </c>
      <c r="C838" s="315" t="s">
        <v>1806</v>
      </c>
      <c r="D838" s="868" t="s">
        <v>2923</v>
      </c>
      <c r="E838" s="837" t="str">
        <f>IFERROR(IF(_xlfn.XLOOKUP(Imput[[#This Row],[RFC]],'Alta Proveedor'!D:D,'Alta Proveedor'!E:E)=0,"",_xlfn.XLOOKUP(Imput[[#This Row],[RFC]],'Alta Proveedor'!D:D,'Alta Proveedor'!E:E)),"")</f>
        <v>GASTRONOMICA ATTENTI (RESTAURANTE)</v>
      </c>
      <c r="F838" s="832" t="s">
        <v>159</v>
      </c>
      <c r="G838" s="187">
        <v>1</v>
      </c>
      <c r="H838" s="1">
        <v>215.51400000000001</v>
      </c>
      <c r="I838" s="169">
        <f>Imput[[#This Row],[Cantidad]]*Imput[[#This Row],[Precio Unitario]]</f>
        <v>215.51400000000001</v>
      </c>
      <c r="J838" s="11">
        <f>((Imput[[#This Row],[Sub total]])*(0.16))</f>
        <v>34.482240000000004</v>
      </c>
      <c r="K838" s="11">
        <v>0</v>
      </c>
      <c r="L838" s="169">
        <f>Imput[[#This Row],[Sub total]]+Imput[[#This Row],[IVA]]-Imput[[#This Row],[Retención / IEPS / Descuento]]</f>
        <v>249.99624</v>
      </c>
      <c r="M838" s="844">
        <v>249.99624</v>
      </c>
      <c r="N838" s="189" t="s">
        <v>123</v>
      </c>
      <c r="O838" s="1"/>
      <c r="P838" s="189" t="s">
        <v>2925</v>
      </c>
      <c r="Q838" s="190" t="s">
        <v>2926</v>
      </c>
      <c r="R838" s="188">
        <v>45892</v>
      </c>
      <c r="S838" s="193" t="s">
        <v>126</v>
      </c>
      <c r="T838" s="192"/>
      <c r="U838" s="829"/>
      <c r="V838" s="10"/>
      <c r="W838" s="10"/>
      <c r="X838" s="10"/>
      <c r="Y838" s="10"/>
      <c r="Z838" s="10"/>
      <c r="AA838" s="11"/>
      <c r="AB838" s="11"/>
      <c r="AD838" s="260"/>
    </row>
    <row r="839" spans="2:30" x14ac:dyDescent="0.3">
      <c r="B839" s="10" t="s">
        <v>385</v>
      </c>
      <c r="C839" s="315" t="s">
        <v>1806</v>
      </c>
      <c r="D839" s="868" t="s">
        <v>2913</v>
      </c>
      <c r="E839" s="837" t="str">
        <f>IFERROR(IF(_xlfn.XLOOKUP(Imput[[#This Row],[RFC]],'Alta Proveedor'!D:D,'Alta Proveedor'!E:E)=0,"",_xlfn.XLOOKUP(Imput[[#This Row],[RFC]],'Alta Proveedor'!D:D,'Alta Proveedor'!E:E)),"")</f>
        <v>ALEJANDRO ABARCA AMBRIZ</v>
      </c>
      <c r="F839" s="832" t="s">
        <v>159</v>
      </c>
      <c r="G839" s="187">
        <v>1</v>
      </c>
      <c r="H839" s="1">
        <v>1098.97</v>
      </c>
      <c r="I839" s="169">
        <f>Imput[[#This Row],[Cantidad]]*Imput[[#This Row],[Precio Unitario]]</f>
        <v>1098.97</v>
      </c>
      <c r="J839" s="11">
        <f>((Imput[[#This Row],[Sub total]])*(0.16))</f>
        <v>175.83520000000001</v>
      </c>
      <c r="K839" s="11">
        <v>13.74</v>
      </c>
      <c r="L839" s="169">
        <f>Imput[[#This Row],[Sub total]]+Imput[[#This Row],[IVA]]-Imput[[#This Row],[Retención / IEPS / Descuento]]</f>
        <v>1261.0652</v>
      </c>
      <c r="M839" s="844">
        <v>1261.0652</v>
      </c>
      <c r="N839" s="189" t="s">
        <v>123</v>
      </c>
      <c r="O839" s="1"/>
      <c r="P839" s="189" t="s">
        <v>2916</v>
      </c>
      <c r="Q839" s="190" t="s">
        <v>2915</v>
      </c>
      <c r="R839" s="188">
        <v>45892</v>
      </c>
      <c r="S839" s="193" t="s">
        <v>126</v>
      </c>
      <c r="T839" s="192"/>
      <c r="U839" s="829"/>
      <c r="V839" s="10"/>
      <c r="W839" s="10"/>
      <c r="X839" s="10"/>
      <c r="Y839" s="10"/>
      <c r="Z839" s="10"/>
      <c r="AA839" s="11"/>
      <c r="AB839" s="11"/>
      <c r="AD839" s="260"/>
    </row>
    <row r="840" spans="2:30" x14ac:dyDescent="0.3">
      <c r="B840" s="10" t="s">
        <v>385</v>
      </c>
      <c r="C840" s="315" t="s">
        <v>2178</v>
      </c>
      <c r="D840" s="868" t="s">
        <v>3119</v>
      </c>
      <c r="E840" s="837" t="str">
        <f>IFERROR(IF(_xlfn.XLOOKUP(Imput[[#This Row],[RFC]],'Alta Proveedor'!D:D,'Alta Proveedor'!E:E)=0,"",_xlfn.XLOOKUP(Imput[[#This Row],[RFC]],'Alta Proveedor'!D:D,'Alta Proveedor'!E:E)),"")</f>
        <v>Nomina-OPERACIÓN</v>
      </c>
      <c r="F840" s="832" t="s">
        <v>3227</v>
      </c>
      <c r="G840" s="187">
        <v>1</v>
      </c>
      <c r="H840" s="1">
        <v>19392</v>
      </c>
      <c r="I840" s="169">
        <f>Imput[[#This Row],[Cantidad]]*Imput[[#This Row],[Precio Unitario]]</f>
        <v>19392</v>
      </c>
      <c r="J840" s="11">
        <f>Imput[[#This Row],[Sub total]]*0.08</f>
        <v>1551.3600000000001</v>
      </c>
      <c r="K840" s="11">
        <v>0</v>
      </c>
      <c r="L840" s="169">
        <f>Imput[[#This Row],[Sub total]]+Imput[[#This Row],[IVA]]-Imput[[#This Row],[Retención / IEPS / Descuento]]</f>
        <v>20943.36</v>
      </c>
      <c r="M840" s="844">
        <v>20943.36</v>
      </c>
      <c r="N840" s="189"/>
      <c r="O840" s="1"/>
      <c r="P840" s="189"/>
      <c r="Q840" s="190"/>
      <c r="R840" s="188">
        <v>45892</v>
      </c>
      <c r="S840" s="193"/>
      <c r="T840" s="192"/>
      <c r="U840" s="829" t="s">
        <v>3225</v>
      </c>
      <c r="V840" s="10"/>
      <c r="W840" s="10"/>
      <c r="X840" s="10"/>
      <c r="Y840" s="10"/>
      <c r="Z840" s="10"/>
      <c r="AA840" s="11"/>
      <c r="AB840" s="11"/>
      <c r="AD840" s="260"/>
    </row>
    <row r="841" spans="2:30" x14ac:dyDescent="0.3">
      <c r="B841" s="10" t="s">
        <v>385</v>
      </c>
      <c r="C841" s="315" t="s">
        <v>2281</v>
      </c>
      <c r="D841" s="868" t="s">
        <v>3119</v>
      </c>
      <c r="E841" s="837" t="str">
        <f>IFERROR(IF(_xlfn.XLOOKUP(Imput[[#This Row],[RFC]],'Alta Proveedor'!D:D,'Alta Proveedor'!E:E)=0,"",_xlfn.XLOOKUP(Imput[[#This Row],[RFC]],'Alta Proveedor'!D:D,'Alta Proveedor'!E:E)),"")</f>
        <v>Nomina-OPERACIÓN</v>
      </c>
      <c r="F841" s="832" t="s">
        <v>3229</v>
      </c>
      <c r="G841" s="187">
        <v>1</v>
      </c>
      <c r="H841" s="1">
        <v>12200</v>
      </c>
      <c r="I841" s="169">
        <f>Imput[[#This Row],[Cantidad]]*Imput[[#This Row],[Precio Unitario]]</f>
        <v>12200</v>
      </c>
      <c r="J841" s="11">
        <f>Imput[[#This Row],[Sub total]]*0.08</f>
        <v>976</v>
      </c>
      <c r="K841" s="11">
        <v>0</v>
      </c>
      <c r="L841" s="169">
        <f>Imput[[#This Row],[Sub total]]+Imput[[#This Row],[IVA]]-Imput[[#This Row],[Retención / IEPS / Descuento]]</f>
        <v>13176</v>
      </c>
      <c r="M841" s="844">
        <v>13176</v>
      </c>
      <c r="N841" s="189"/>
      <c r="O841" s="1"/>
      <c r="P841" s="189"/>
      <c r="Q841" s="190"/>
      <c r="R841" s="188">
        <v>45892</v>
      </c>
      <c r="S841" s="193"/>
      <c r="T841" s="192"/>
      <c r="U841" s="829" t="s">
        <v>3225</v>
      </c>
      <c r="V841" s="10"/>
      <c r="W841" s="10"/>
      <c r="X841" s="10"/>
      <c r="Y841" s="10"/>
      <c r="Z841" s="10"/>
      <c r="AA841" s="11"/>
      <c r="AB841" s="11"/>
      <c r="AD841" s="260"/>
    </row>
    <row r="842" spans="2:30" x14ac:dyDescent="0.3">
      <c r="B842" s="10" t="s">
        <v>385</v>
      </c>
      <c r="C842" s="315" t="s">
        <v>2176</v>
      </c>
      <c r="D842" s="868" t="s">
        <v>3119</v>
      </c>
      <c r="E842" s="837" t="str">
        <f>IFERROR(IF(_xlfn.XLOOKUP(Imput[[#This Row],[RFC]],'Alta Proveedor'!D:D,'Alta Proveedor'!E:E)=0,"",_xlfn.XLOOKUP(Imput[[#This Row],[RFC]],'Alta Proveedor'!D:D,'Alta Proveedor'!E:E)),"")</f>
        <v>Nomina-OPERACIÓN</v>
      </c>
      <c r="F842" s="832" t="s">
        <v>3188</v>
      </c>
      <c r="G842" s="187">
        <v>1</v>
      </c>
      <c r="H842" s="1">
        <v>13818.03</v>
      </c>
      <c r="I842" s="169">
        <f>Imput[[#This Row],[Cantidad]]*Imput[[#This Row],[Precio Unitario]]</f>
        <v>13818.03</v>
      </c>
      <c r="J842" s="11">
        <f>Imput[[#This Row],[Sub total]]*0.08</f>
        <v>1105.4424000000001</v>
      </c>
      <c r="K842" s="11">
        <v>0</v>
      </c>
      <c r="L842" s="169">
        <f>Imput[[#This Row],[Sub total]]+Imput[[#This Row],[IVA]]-Imput[[#This Row],[Retención / IEPS / Descuento]]</f>
        <v>14923.472400000001</v>
      </c>
      <c r="M842" s="844">
        <v>14923.472400000001</v>
      </c>
      <c r="N842" s="189"/>
      <c r="O842" s="1"/>
      <c r="P842" s="189"/>
      <c r="Q842" s="190"/>
      <c r="R842" s="188">
        <v>45892</v>
      </c>
      <c r="S842" s="193"/>
      <c r="T842" s="192"/>
      <c r="U842" s="829" t="s">
        <v>3225</v>
      </c>
      <c r="V842" s="10"/>
      <c r="W842" s="10"/>
      <c r="X842" s="10"/>
      <c r="Y842" s="10"/>
      <c r="Z842" s="10"/>
      <c r="AA842" s="11"/>
      <c r="AB842" s="11"/>
      <c r="AD842" s="260"/>
    </row>
    <row r="843" spans="2:30" x14ac:dyDescent="0.3">
      <c r="B843" s="10" t="s">
        <v>385</v>
      </c>
      <c r="C843" s="315" t="s">
        <v>2335</v>
      </c>
      <c r="D843" s="868" t="s">
        <v>3119</v>
      </c>
      <c r="E843" s="837" t="str">
        <f>IFERROR(IF(_xlfn.XLOOKUP(Imput[[#This Row],[RFC]],'Alta Proveedor'!D:D,'Alta Proveedor'!E:E)=0,"",_xlfn.XLOOKUP(Imput[[#This Row],[RFC]],'Alta Proveedor'!D:D,'Alta Proveedor'!E:E)),"")</f>
        <v>Nomina-OPERACIÓN</v>
      </c>
      <c r="F843" s="832" t="s">
        <v>3234</v>
      </c>
      <c r="G843" s="187">
        <v>1</v>
      </c>
      <c r="H843" s="1">
        <v>2500</v>
      </c>
      <c r="I843" s="169">
        <f>Imput[[#This Row],[Cantidad]]*Imput[[#This Row],[Precio Unitario]]</f>
        <v>2500</v>
      </c>
      <c r="J843" s="11">
        <f>Imput[[#This Row],[Sub total]]*0.08</f>
        <v>200</v>
      </c>
      <c r="K843" s="11">
        <v>0</v>
      </c>
      <c r="L843" s="169">
        <f>Imput[[#This Row],[Sub total]]+Imput[[#This Row],[IVA]]-Imput[[#This Row],[Retención / IEPS / Descuento]]</f>
        <v>2700</v>
      </c>
      <c r="M843" s="844">
        <v>2700</v>
      </c>
      <c r="N843" s="189"/>
      <c r="O843" s="1"/>
      <c r="P843" s="189"/>
      <c r="Q843" s="190"/>
      <c r="R843" s="188">
        <v>45892</v>
      </c>
      <c r="S843" s="193"/>
      <c r="T843" s="192"/>
      <c r="U843" s="829" t="s">
        <v>3225</v>
      </c>
      <c r="V843" s="10"/>
      <c r="W843" s="10"/>
      <c r="X843" s="10"/>
      <c r="Y843" s="10"/>
      <c r="Z843" s="10"/>
      <c r="AA843" s="11"/>
      <c r="AB843" s="11"/>
      <c r="AD843" s="260"/>
    </row>
    <row r="844" spans="2:30" x14ac:dyDescent="0.3">
      <c r="B844" s="10" t="s">
        <v>385</v>
      </c>
      <c r="C844" s="315" t="s">
        <v>2336</v>
      </c>
      <c r="D844" s="868" t="s">
        <v>3119</v>
      </c>
      <c r="E844" s="837" t="str">
        <f>IFERROR(IF(_xlfn.XLOOKUP(Imput[[#This Row],[RFC]],'Alta Proveedor'!D:D,'Alta Proveedor'!E:E)=0,"",_xlfn.XLOOKUP(Imput[[#This Row],[RFC]],'Alta Proveedor'!D:D,'Alta Proveedor'!E:E)),"")</f>
        <v>Nomina-OPERACIÓN</v>
      </c>
      <c r="F844" s="832" t="s">
        <v>3235</v>
      </c>
      <c r="G844" s="187">
        <v>1</v>
      </c>
      <c r="H844" s="1">
        <v>3500</v>
      </c>
      <c r="I844" s="169">
        <f>Imput[[#This Row],[Cantidad]]*Imput[[#This Row],[Precio Unitario]]</f>
        <v>3500</v>
      </c>
      <c r="J844" s="11">
        <f>Imput[[#This Row],[Sub total]]*0.08</f>
        <v>280</v>
      </c>
      <c r="K844" s="11">
        <v>0</v>
      </c>
      <c r="L844" s="169">
        <f>Imput[[#This Row],[Sub total]]+Imput[[#This Row],[IVA]]-Imput[[#This Row],[Retención / IEPS / Descuento]]</f>
        <v>3780</v>
      </c>
      <c r="M844" s="844">
        <v>3780</v>
      </c>
      <c r="N844" s="189"/>
      <c r="O844" s="1"/>
      <c r="P844" s="189"/>
      <c r="Q844" s="190"/>
      <c r="R844" s="188">
        <v>45892</v>
      </c>
      <c r="S844" s="193"/>
      <c r="T844" s="192"/>
      <c r="U844" s="829" t="s">
        <v>3225</v>
      </c>
      <c r="V844" s="10"/>
      <c r="W844" s="10"/>
      <c r="X844" s="10"/>
      <c r="Y844" s="10"/>
      <c r="Z844" s="10"/>
      <c r="AA844" s="11"/>
      <c r="AB844" s="11"/>
      <c r="AD844" s="260"/>
    </row>
    <row r="845" spans="2:30" x14ac:dyDescent="0.3">
      <c r="B845" s="10" t="s">
        <v>385</v>
      </c>
      <c r="C845" s="315" t="s">
        <v>2135</v>
      </c>
      <c r="D845" s="868" t="s">
        <v>3119</v>
      </c>
      <c r="E845" s="837" t="str">
        <f>IFERROR(IF(_xlfn.XLOOKUP(Imput[[#This Row],[RFC]],'Alta Proveedor'!D:D,'Alta Proveedor'!E:E)=0,"",_xlfn.XLOOKUP(Imput[[#This Row],[RFC]],'Alta Proveedor'!D:D,'Alta Proveedor'!E:E)),"")</f>
        <v>Nomina-OPERACIÓN</v>
      </c>
      <c r="F845" s="832" t="s">
        <v>3228</v>
      </c>
      <c r="G845" s="187">
        <v>1</v>
      </c>
      <c r="H845" s="1">
        <v>3459</v>
      </c>
      <c r="I845" s="169">
        <f>Imput[[#This Row],[Cantidad]]*Imput[[#This Row],[Precio Unitario]]</f>
        <v>3459</v>
      </c>
      <c r="J845" s="11">
        <f>Imput[[#This Row],[Sub total]]*0.08</f>
        <v>276.72000000000003</v>
      </c>
      <c r="K845" s="11">
        <v>0</v>
      </c>
      <c r="L845" s="169">
        <f>Imput[[#This Row],[Sub total]]+Imput[[#This Row],[IVA]]-Imput[[#This Row],[Retención / IEPS / Descuento]]</f>
        <v>3735.7200000000003</v>
      </c>
      <c r="M845" s="844">
        <v>3735.7200000000003</v>
      </c>
      <c r="N845" s="189"/>
      <c r="O845" s="1"/>
      <c r="P845" s="189"/>
      <c r="Q845" s="190"/>
      <c r="R845" s="188">
        <v>45892</v>
      </c>
      <c r="S845" s="193"/>
      <c r="T845" s="192"/>
      <c r="U845" s="829" t="s">
        <v>3225</v>
      </c>
      <c r="V845" s="10"/>
      <c r="W845" s="10"/>
      <c r="X845" s="10"/>
      <c r="Y845" s="10"/>
      <c r="Z845" s="10"/>
      <c r="AA845" s="11"/>
      <c r="AB845" s="11"/>
      <c r="AD845" s="260"/>
    </row>
    <row r="846" spans="2:30" x14ac:dyDescent="0.3">
      <c r="B846" s="10" t="s">
        <v>385</v>
      </c>
      <c r="C846" s="315" t="s">
        <v>2336</v>
      </c>
      <c r="D846" s="868" t="s">
        <v>3119</v>
      </c>
      <c r="E846" s="837" t="str">
        <f>IFERROR(IF(_xlfn.XLOOKUP(Imput[[#This Row],[RFC]],'Alta Proveedor'!D:D,'Alta Proveedor'!E:E)=0,"",_xlfn.XLOOKUP(Imput[[#This Row],[RFC]],'Alta Proveedor'!D:D,'Alta Proveedor'!E:E)),"")</f>
        <v>Nomina-OPERACIÓN</v>
      </c>
      <c r="F846" s="832" t="s">
        <v>3231</v>
      </c>
      <c r="G846" s="187">
        <v>1</v>
      </c>
      <c r="H846" s="1">
        <v>1600</v>
      </c>
      <c r="I846" s="169">
        <f>Imput[[#This Row],[Cantidad]]*Imput[[#This Row],[Precio Unitario]]</f>
        <v>1600</v>
      </c>
      <c r="J846" s="11">
        <f>Imput[[#This Row],[Sub total]]*0.08</f>
        <v>128</v>
      </c>
      <c r="K846" s="11">
        <v>0</v>
      </c>
      <c r="L846" s="169">
        <f>Imput[[#This Row],[Sub total]]+Imput[[#This Row],[IVA]]-Imput[[#This Row],[Retención / IEPS / Descuento]]</f>
        <v>1728</v>
      </c>
      <c r="M846" s="844">
        <v>1728</v>
      </c>
      <c r="N846" s="189"/>
      <c r="O846" s="1"/>
      <c r="P846" s="189"/>
      <c r="Q846" s="190"/>
      <c r="R846" s="188">
        <v>45892</v>
      </c>
      <c r="S846" s="193"/>
      <c r="T846" s="192"/>
      <c r="U846" s="829" t="s">
        <v>3225</v>
      </c>
      <c r="V846" s="10"/>
      <c r="W846" s="10"/>
      <c r="X846" s="10"/>
      <c r="Y846" s="10"/>
      <c r="Z846" s="10"/>
      <c r="AA846" s="11"/>
      <c r="AB846" s="11"/>
      <c r="AD846" s="260"/>
    </row>
    <row r="847" spans="2:30" x14ac:dyDescent="0.3">
      <c r="B847" s="10" t="s">
        <v>385</v>
      </c>
      <c r="C847" s="315" t="s">
        <v>2135</v>
      </c>
      <c r="D847" s="868" t="s">
        <v>3119</v>
      </c>
      <c r="E847" s="837" t="str">
        <f>IFERROR(IF(_xlfn.XLOOKUP(Imput[[#This Row],[RFC]],'Alta Proveedor'!D:D,'Alta Proveedor'!E:E)=0,"",_xlfn.XLOOKUP(Imput[[#This Row],[RFC]],'Alta Proveedor'!D:D,'Alta Proveedor'!E:E)),"")</f>
        <v>Nomina-OPERACIÓN</v>
      </c>
      <c r="F847" s="832" t="s">
        <v>3232</v>
      </c>
      <c r="G847" s="187">
        <v>1</v>
      </c>
      <c r="H847" s="1">
        <v>3200</v>
      </c>
      <c r="I847" s="169">
        <f>Imput[[#This Row],[Cantidad]]*Imput[[#This Row],[Precio Unitario]]</f>
        <v>3200</v>
      </c>
      <c r="J847" s="11">
        <f>Imput[[#This Row],[Sub total]]*0.08</f>
        <v>256</v>
      </c>
      <c r="K847" s="11">
        <v>0</v>
      </c>
      <c r="L847" s="169">
        <f>Imput[[#This Row],[Sub total]]+Imput[[#This Row],[IVA]]-Imput[[#This Row],[Retención / IEPS / Descuento]]</f>
        <v>3456</v>
      </c>
      <c r="M847" s="844">
        <v>3456</v>
      </c>
      <c r="N847" s="189"/>
      <c r="O847" s="1"/>
      <c r="P847" s="189"/>
      <c r="Q847" s="190"/>
      <c r="R847" s="188">
        <v>45892</v>
      </c>
      <c r="S847" s="193"/>
      <c r="T847" s="192"/>
      <c r="U847" s="829" t="s">
        <v>3225</v>
      </c>
      <c r="V847" s="10"/>
      <c r="W847" s="10"/>
      <c r="X847" s="10"/>
      <c r="Y847" s="10"/>
      <c r="Z847" s="10"/>
      <c r="AA847" s="11"/>
      <c r="AB847" s="11"/>
      <c r="AD847" s="260"/>
    </row>
    <row r="848" spans="2:30" x14ac:dyDescent="0.3">
      <c r="B848" s="10" t="s">
        <v>385</v>
      </c>
      <c r="C848" s="315" t="s">
        <v>2135</v>
      </c>
      <c r="D848" s="868" t="s">
        <v>3119</v>
      </c>
      <c r="E848" s="837" t="str">
        <f>IFERROR(IF(_xlfn.XLOOKUP(Imput[[#This Row],[RFC]],'Alta Proveedor'!D:D,'Alta Proveedor'!E:E)=0,"",_xlfn.XLOOKUP(Imput[[#This Row],[RFC]],'Alta Proveedor'!D:D,'Alta Proveedor'!E:E)),"")</f>
        <v>Nomina-OPERACIÓN</v>
      </c>
      <c r="F848" s="832" t="s">
        <v>3233</v>
      </c>
      <c r="G848" s="187">
        <v>1</v>
      </c>
      <c r="H848" s="1">
        <v>3459</v>
      </c>
      <c r="I848" s="169">
        <f>Imput[[#This Row],[Cantidad]]*Imput[[#This Row],[Precio Unitario]]</f>
        <v>3459</v>
      </c>
      <c r="J848" s="11">
        <f>Imput[[#This Row],[Sub total]]*0.08</f>
        <v>276.72000000000003</v>
      </c>
      <c r="K848" s="11">
        <v>0</v>
      </c>
      <c r="L848" s="169">
        <f>Imput[[#This Row],[Sub total]]+Imput[[#This Row],[IVA]]-Imput[[#This Row],[Retención / IEPS / Descuento]]</f>
        <v>3735.7200000000003</v>
      </c>
      <c r="M848" s="844">
        <v>3735.7200000000003</v>
      </c>
      <c r="N848" s="189"/>
      <c r="O848" s="1"/>
      <c r="P848" s="189"/>
      <c r="Q848" s="190"/>
      <c r="R848" s="188">
        <v>45892</v>
      </c>
      <c r="S848" s="193"/>
      <c r="T848" s="192"/>
      <c r="U848" s="829" t="s">
        <v>3225</v>
      </c>
      <c r="V848" s="10"/>
      <c r="W848" s="10"/>
      <c r="X848" s="10"/>
      <c r="Y848" s="10"/>
      <c r="Z848" s="10"/>
      <c r="AA848" s="11"/>
      <c r="AB848" s="11"/>
      <c r="AD848" s="260"/>
    </row>
    <row r="849" spans="2:30" x14ac:dyDescent="0.3">
      <c r="B849" s="10" t="s">
        <v>385</v>
      </c>
      <c r="C849" s="315" t="s">
        <v>1845</v>
      </c>
      <c r="D849" s="868" t="s">
        <v>3225</v>
      </c>
      <c r="E849" s="837" t="str">
        <f>IFERROR(IF(_xlfn.XLOOKUP(Imput[[#This Row],[RFC]],'Alta Proveedor'!D:D,'Alta Proveedor'!E:E)=0,"",_xlfn.XLOOKUP(Imput[[#This Row],[RFC]],'Alta Proveedor'!D:D,'Alta Proveedor'!E:E)),"")</f>
        <v>GASTOS SIN FACTURA</v>
      </c>
      <c r="F849" s="832" t="s">
        <v>3230</v>
      </c>
      <c r="G849" s="187">
        <v>1</v>
      </c>
      <c r="H849" s="1">
        <v>7900</v>
      </c>
      <c r="I849" s="169">
        <f>Imput[[#This Row],[Cantidad]]*Imput[[#This Row],[Precio Unitario]]</f>
        <v>7900</v>
      </c>
      <c r="J849" s="11">
        <f>Imput[[#This Row],[Sub total]]*0.08</f>
        <v>632</v>
      </c>
      <c r="K849" s="11">
        <v>0</v>
      </c>
      <c r="L849" s="169">
        <f>Imput[[#This Row],[Sub total]]+Imput[[#This Row],[IVA]]-Imput[[#This Row],[Retención / IEPS / Descuento]]</f>
        <v>8532</v>
      </c>
      <c r="M849" s="844">
        <v>8532</v>
      </c>
      <c r="N849" s="189"/>
      <c r="O849" s="1"/>
      <c r="P849" s="189"/>
      <c r="Q849" s="190"/>
      <c r="R849" s="188">
        <v>45892</v>
      </c>
      <c r="S849" s="193"/>
      <c r="T849" s="192"/>
      <c r="U849" s="829" t="s">
        <v>3225</v>
      </c>
      <c r="V849" s="10"/>
      <c r="W849" s="10"/>
      <c r="X849" s="10"/>
      <c r="Y849" s="10"/>
      <c r="Z849" s="10"/>
      <c r="AA849" s="11"/>
      <c r="AB849" s="11"/>
      <c r="AD849" s="260"/>
    </row>
    <row r="850" spans="2:30" x14ac:dyDescent="0.3">
      <c r="B850" s="10" t="s">
        <v>385</v>
      </c>
      <c r="C850" s="315" t="s">
        <v>2138</v>
      </c>
      <c r="D850" s="868" t="s">
        <v>3225</v>
      </c>
      <c r="E850" s="837" t="str">
        <f>IFERROR(IF(_xlfn.XLOOKUP(Imput[[#This Row],[RFC]],'Alta Proveedor'!D:D,'Alta Proveedor'!E:E)=0,"",_xlfn.XLOOKUP(Imput[[#This Row],[RFC]],'Alta Proveedor'!D:D,'Alta Proveedor'!E:E)),"")</f>
        <v>GASTOS SIN FACTURA</v>
      </c>
      <c r="F850" s="832" t="s">
        <v>3219</v>
      </c>
      <c r="G850" s="187">
        <v>1</v>
      </c>
      <c r="H850" s="1">
        <v>6875</v>
      </c>
      <c r="I850" s="169">
        <f>Imput[[#This Row],[Cantidad]]*Imput[[#This Row],[Precio Unitario]]</f>
        <v>6875</v>
      </c>
      <c r="J850" s="11">
        <f>Imput[[#This Row],[Sub total]]*0.08</f>
        <v>550</v>
      </c>
      <c r="K850" s="11">
        <v>0</v>
      </c>
      <c r="L850" s="169">
        <f>Imput[[#This Row],[Sub total]]+Imput[[#This Row],[IVA]]-Imput[[#This Row],[Retención / IEPS / Descuento]]</f>
        <v>7425</v>
      </c>
      <c r="M850" s="844">
        <v>7425</v>
      </c>
      <c r="N850" s="189"/>
      <c r="O850" s="1"/>
      <c r="P850" s="189"/>
      <c r="Q850" s="190"/>
      <c r="R850" s="188">
        <v>45892</v>
      </c>
      <c r="S850" s="193"/>
      <c r="T850" s="192"/>
      <c r="U850" s="829" t="s">
        <v>3225</v>
      </c>
      <c r="V850" s="10"/>
      <c r="W850" s="10"/>
      <c r="X850" s="10"/>
      <c r="Y850" s="10"/>
      <c r="Z850" s="10"/>
      <c r="AA850" s="11"/>
      <c r="AB850" s="11"/>
      <c r="AD850" s="260"/>
    </row>
    <row r="851" spans="2:30" x14ac:dyDescent="0.3">
      <c r="B851" s="10" t="s">
        <v>385</v>
      </c>
      <c r="C851" s="315" t="s">
        <v>1747</v>
      </c>
      <c r="D851" s="868" t="s">
        <v>3225</v>
      </c>
      <c r="E851" s="837" t="str">
        <f>IFERROR(IF(_xlfn.XLOOKUP(Imput[[#This Row],[RFC]],'Alta Proveedor'!D:D,'Alta Proveedor'!E:E)=0,"",_xlfn.XLOOKUP(Imput[[#This Row],[RFC]],'Alta Proveedor'!D:D,'Alta Proveedor'!E:E)),"")</f>
        <v>GASTOS SIN FACTURA</v>
      </c>
      <c r="F851" s="832" t="s">
        <v>3218</v>
      </c>
      <c r="G851" s="187">
        <v>1</v>
      </c>
      <c r="H851" s="1">
        <v>1200</v>
      </c>
      <c r="I851" s="169">
        <f>Imput[[#This Row],[Cantidad]]*Imput[[#This Row],[Precio Unitario]]</f>
        <v>1200</v>
      </c>
      <c r="J851" s="11">
        <f>Imput[[#This Row],[Sub total]]*0.08</f>
        <v>96</v>
      </c>
      <c r="K851" s="11">
        <v>0</v>
      </c>
      <c r="L851" s="169">
        <f>Imput[[#This Row],[Sub total]]+Imput[[#This Row],[IVA]]-Imput[[#This Row],[Retención / IEPS / Descuento]]</f>
        <v>1296</v>
      </c>
      <c r="M851" s="844">
        <v>1296</v>
      </c>
      <c r="N851" s="189"/>
      <c r="O851" s="1"/>
      <c r="P851" s="189"/>
      <c r="Q851" s="190"/>
      <c r="R851" s="188">
        <v>45892</v>
      </c>
      <c r="S851" s="193"/>
      <c r="T851" s="192"/>
      <c r="U851" s="829" t="s">
        <v>3225</v>
      </c>
      <c r="V851" s="10"/>
      <c r="W851" s="10"/>
      <c r="X851" s="10"/>
      <c r="Y851" s="10"/>
      <c r="Z851" s="10"/>
      <c r="AA851" s="11"/>
      <c r="AB851" s="11"/>
      <c r="AD851" s="260"/>
    </row>
    <row r="852" spans="2:30" x14ac:dyDescent="0.3">
      <c r="B852" s="10" t="s">
        <v>385</v>
      </c>
      <c r="C852" s="315" t="s">
        <v>2339</v>
      </c>
      <c r="D852" s="868" t="s">
        <v>3225</v>
      </c>
      <c r="E852" s="837" t="str">
        <f>IFERROR(IF(_xlfn.XLOOKUP(Imput[[#This Row],[RFC]],'Alta Proveedor'!D:D,'Alta Proveedor'!E:E)=0,"",_xlfn.XLOOKUP(Imput[[#This Row],[RFC]],'Alta Proveedor'!D:D,'Alta Proveedor'!E:E)),"")</f>
        <v>GASTOS SIN FACTURA</v>
      </c>
      <c r="F852" s="832" t="s">
        <v>3220</v>
      </c>
      <c r="G852" s="187">
        <v>1</v>
      </c>
      <c r="H852" s="1">
        <v>6875</v>
      </c>
      <c r="I852" s="169">
        <f>Imput[[#This Row],[Cantidad]]*Imput[[#This Row],[Precio Unitario]]</f>
        <v>6875</v>
      </c>
      <c r="J852" s="11">
        <f>Imput[[#This Row],[Sub total]]*0.08</f>
        <v>550</v>
      </c>
      <c r="K852" s="11">
        <v>0</v>
      </c>
      <c r="L852" s="169">
        <f>Imput[[#This Row],[Sub total]]+Imput[[#This Row],[IVA]]-Imput[[#This Row],[Retención / IEPS / Descuento]]</f>
        <v>7425</v>
      </c>
      <c r="M852" s="844">
        <v>7425</v>
      </c>
      <c r="N852" s="189"/>
      <c r="O852" s="1"/>
      <c r="P852" s="189"/>
      <c r="Q852" s="190"/>
      <c r="R852" s="188">
        <v>45892</v>
      </c>
      <c r="S852" s="193"/>
      <c r="T852" s="192"/>
      <c r="U852" s="829" t="s">
        <v>3225</v>
      </c>
      <c r="V852" s="10"/>
      <c r="W852" s="10"/>
      <c r="X852" s="10"/>
      <c r="Y852" s="10"/>
      <c r="Z852" s="10"/>
      <c r="AA852" s="11"/>
      <c r="AB852" s="11"/>
      <c r="AD852" s="260"/>
    </row>
    <row r="853" spans="2:30" x14ac:dyDescent="0.3">
      <c r="B853" s="10" t="s">
        <v>385</v>
      </c>
      <c r="C853" s="315" t="s">
        <v>1131</v>
      </c>
      <c r="D853" s="868" t="s">
        <v>164</v>
      </c>
      <c r="E853" s="837" t="str">
        <f>IFERROR(IF(_xlfn.XLOOKUP(Imput[[#This Row],[RFC]],'Alta Proveedor'!D:D,'Alta Proveedor'!E:E)=0,"",_xlfn.XLOOKUP(Imput[[#This Row],[RFC]],'Alta Proveedor'!D:D,'Alta Proveedor'!E:E)),"")</f>
        <v>HOME DEPOT MEXICO SUCURSAL THD-8730 TAMPICO</v>
      </c>
      <c r="F853" s="832" t="s">
        <v>2095</v>
      </c>
      <c r="G853" s="187">
        <v>1</v>
      </c>
      <c r="H853" s="1">
        <v>30947.41</v>
      </c>
      <c r="I853" s="169">
        <f>Imput[[#This Row],[Cantidad]]*Imput[[#This Row],[Precio Unitario]]</f>
        <v>30947.41</v>
      </c>
      <c r="J853" s="11">
        <f>((Imput[[#This Row],[Sub total]]-3103.44)*(0.16))</f>
        <v>4455.0352000000003</v>
      </c>
      <c r="K853" s="11">
        <v>3103.44</v>
      </c>
      <c r="L853" s="169">
        <f>Imput[[#This Row],[Sub total]]+Imput[[#This Row],[IVA]]-Imput[[#This Row],[Retención / IEPS / Descuento]]</f>
        <v>32299.005200000003</v>
      </c>
      <c r="M853" s="844">
        <v>32299.005200000003</v>
      </c>
      <c r="N853" s="189" t="s">
        <v>123</v>
      </c>
      <c r="O853" s="1"/>
      <c r="P853" s="189" t="s">
        <v>2927</v>
      </c>
      <c r="Q853" s="190" t="s">
        <v>2928</v>
      </c>
      <c r="R853" s="188">
        <v>45895</v>
      </c>
      <c r="S853" s="193" t="s">
        <v>126</v>
      </c>
      <c r="T853" s="192"/>
      <c r="U853" s="829"/>
      <c r="V853" s="10"/>
      <c r="W853" s="10"/>
      <c r="X853" s="10"/>
      <c r="Y853" s="10"/>
      <c r="Z853" s="10"/>
      <c r="AA853" s="11"/>
      <c r="AB853" s="11"/>
      <c r="AD853" s="260"/>
    </row>
    <row r="854" spans="2:30" x14ac:dyDescent="0.3">
      <c r="B854" s="10" t="s">
        <v>385</v>
      </c>
      <c r="C854" s="315" t="s">
        <v>2903</v>
      </c>
      <c r="D854" s="868" t="s">
        <v>164</v>
      </c>
      <c r="E854" s="837" t="str">
        <f>IFERROR(IF(_xlfn.XLOOKUP(Imput[[#This Row],[RFC]],'Alta Proveedor'!D:D,'Alta Proveedor'!E:E)=0,"",_xlfn.XLOOKUP(Imput[[#This Row],[RFC]],'Alta Proveedor'!D:D,'Alta Proveedor'!E:E)),"")</f>
        <v>HOME DEPOT MEXICO SUCURSAL THD-8730 TAMPICO</v>
      </c>
      <c r="F854" s="832" t="s">
        <v>2931</v>
      </c>
      <c r="G854" s="187">
        <v>1</v>
      </c>
      <c r="H854" s="1">
        <v>892.97</v>
      </c>
      <c r="I854" s="169">
        <f>Imput[[#This Row],[Cantidad]]*Imput[[#This Row],[Precio Unitario]]</f>
        <v>892.97</v>
      </c>
      <c r="J854" s="11">
        <f>((Imput[[#This Row],[Sub total]])*(0.16))</f>
        <v>142.87520000000001</v>
      </c>
      <c r="K854" s="11">
        <v>0</v>
      </c>
      <c r="L854" s="169">
        <f>Imput[[#This Row],[Sub total]]+Imput[[#This Row],[IVA]]-Imput[[#This Row],[Retención / IEPS / Descuento]]</f>
        <v>1035.8452</v>
      </c>
      <c r="M854" s="844">
        <v>1937.2811999999999</v>
      </c>
      <c r="N854" s="189" t="s">
        <v>123</v>
      </c>
      <c r="O854" s="1"/>
      <c r="P854" s="189" t="s">
        <v>2929</v>
      </c>
      <c r="Q854" s="190" t="s">
        <v>2930</v>
      </c>
      <c r="R854" s="188">
        <v>45895</v>
      </c>
      <c r="S854" s="193" t="s">
        <v>126</v>
      </c>
      <c r="T854" s="192"/>
      <c r="U854" s="829"/>
      <c r="V854" s="10"/>
      <c r="W854" s="10"/>
      <c r="X854" s="10"/>
      <c r="Y854" s="10"/>
      <c r="Z854" s="10"/>
      <c r="AA854" s="11"/>
      <c r="AB854" s="11"/>
      <c r="AD854" s="260"/>
    </row>
    <row r="855" spans="2:30" x14ac:dyDescent="0.3">
      <c r="B855" s="10" t="s">
        <v>385</v>
      </c>
      <c r="C855" s="315" t="s">
        <v>2903</v>
      </c>
      <c r="D855" s="868" t="s">
        <v>164</v>
      </c>
      <c r="E855" s="837" t="str">
        <f>IFERROR(IF(_xlfn.XLOOKUP(Imput[[#This Row],[RFC]],'Alta Proveedor'!D:D,'Alta Proveedor'!E:E)=0,"",_xlfn.XLOOKUP(Imput[[#This Row],[RFC]],'Alta Proveedor'!D:D,'Alta Proveedor'!E:E)),"")</f>
        <v>HOME DEPOT MEXICO SUCURSAL THD-8730 TAMPICO</v>
      </c>
      <c r="F855" s="832" t="s">
        <v>1734</v>
      </c>
      <c r="G855" s="187">
        <v>1</v>
      </c>
      <c r="H855" s="1">
        <v>777.1</v>
      </c>
      <c r="I855" s="169">
        <f>Imput[[#This Row],[Cantidad]]*Imput[[#This Row],[Precio Unitario]]</f>
        <v>777.1</v>
      </c>
      <c r="J855" s="11">
        <f>((Imput[[#This Row],[Sub total]])*(0.16))</f>
        <v>124.33600000000001</v>
      </c>
      <c r="K855" s="11">
        <v>0</v>
      </c>
      <c r="L855" s="169">
        <f>Imput[[#This Row],[Sub total]]+Imput[[#This Row],[IVA]]-Imput[[#This Row],[Retención / IEPS / Descuento]]</f>
        <v>901.43600000000004</v>
      </c>
      <c r="M855" s="844">
        <v>0</v>
      </c>
      <c r="N855" s="189" t="s">
        <v>123</v>
      </c>
      <c r="O855" s="1"/>
      <c r="P855" s="189" t="s">
        <v>2929</v>
      </c>
      <c r="Q855" s="190" t="s">
        <v>2930</v>
      </c>
      <c r="R855" s="188">
        <v>45895</v>
      </c>
      <c r="S855" s="193" t="s">
        <v>126</v>
      </c>
      <c r="T855" s="192"/>
      <c r="U855" s="829"/>
      <c r="V855" s="10"/>
      <c r="W855" s="10"/>
      <c r="X855" s="10"/>
      <c r="Y855" s="10"/>
      <c r="Z855" s="10"/>
      <c r="AA855" s="11"/>
      <c r="AB855" s="11"/>
      <c r="AD855" s="260"/>
    </row>
    <row r="856" spans="2:30" x14ac:dyDescent="0.3">
      <c r="B856" s="10" t="s">
        <v>385</v>
      </c>
      <c r="C856" s="315" t="s">
        <v>2249</v>
      </c>
      <c r="D856" s="868" t="s">
        <v>164</v>
      </c>
      <c r="E856" s="837" t="str">
        <f>IFERROR(IF(_xlfn.XLOOKUP(Imput[[#This Row],[RFC]],'Alta Proveedor'!D:D,'Alta Proveedor'!E:E)=0,"",_xlfn.XLOOKUP(Imput[[#This Row],[RFC]],'Alta Proveedor'!D:D,'Alta Proveedor'!E:E)),"")</f>
        <v>HOME DEPOT MEXICO SUCURSAL THD-8730 TAMPICO</v>
      </c>
      <c r="F856" s="832" t="s">
        <v>3014</v>
      </c>
      <c r="G856" s="187">
        <v>5</v>
      </c>
      <c r="H856" s="1">
        <v>171.55199999999999</v>
      </c>
      <c r="I856" s="169">
        <f>Imput[[#This Row],[Cantidad]]*Imput[[#This Row],[Precio Unitario]]</f>
        <v>857.76</v>
      </c>
      <c r="J856" s="11">
        <f>((Imput[[#This Row],[Sub total]]-86.21)*(0.16))</f>
        <v>123.44799999999999</v>
      </c>
      <c r="K856" s="11">
        <v>86.21</v>
      </c>
      <c r="L856" s="169">
        <f>Imput[[#This Row],[Sub total]]+Imput[[#This Row],[IVA]]-Imput[[#This Row],[Retención / IEPS / Descuento]]</f>
        <v>894.99799999999993</v>
      </c>
      <c r="M856" s="844">
        <v>2597.7503999999999</v>
      </c>
      <c r="N856" s="189" t="s">
        <v>123</v>
      </c>
      <c r="O856" s="1"/>
      <c r="P856" s="189" t="s">
        <v>2965</v>
      </c>
      <c r="Q856" s="190" t="s">
        <v>2966</v>
      </c>
      <c r="R856" s="188">
        <v>45895</v>
      </c>
      <c r="S856" s="193" t="s">
        <v>126</v>
      </c>
      <c r="T856" s="192"/>
      <c r="U856" s="829"/>
      <c r="V856" s="10"/>
      <c r="W856" s="10"/>
      <c r="X856" s="10"/>
      <c r="Y856" s="10"/>
      <c r="Z856" s="10"/>
      <c r="AA856" s="11"/>
      <c r="AB856" s="11"/>
      <c r="AD856" s="260"/>
    </row>
    <row r="857" spans="2:30" x14ac:dyDescent="0.3">
      <c r="B857" s="817" t="s">
        <v>385</v>
      </c>
      <c r="C857" s="315" t="s">
        <v>2241</v>
      </c>
      <c r="D857" s="870" t="s">
        <v>164</v>
      </c>
      <c r="E857" s="840" t="str">
        <f>IFERROR(IF(_xlfn.XLOOKUP(Imput[[#This Row],[RFC]],'Alta Proveedor'!D:D,'Alta Proveedor'!E:E)=0,"",_xlfn.XLOOKUP(Imput[[#This Row],[RFC]],'Alta Proveedor'!D:D,'Alta Proveedor'!E:E)),"")</f>
        <v>HOME DEPOT MEXICO SUCURSAL THD-8730 TAMPICO</v>
      </c>
      <c r="F857" s="835" t="s">
        <v>165</v>
      </c>
      <c r="G857" s="820">
        <v>3</v>
      </c>
      <c r="H857" s="819">
        <v>239.05333333333331</v>
      </c>
      <c r="I857" s="821">
        <f>Imput[[#This Row],[Cantidad]]*Imput[[#This Row],[Precio Unitario]]</f>
        <v>717.16</v>
      </c>
      <c r="J857" s="822">
        <f>((Imput[[#This Row],[Sub total]])*(0.16))</f>
        <v>114.7456</v>
      </c>
      <c r="K857" s="822">
        <v>0</v>
      </c>
      <c r="L857" s="821">
        <f>Imput[[#This Row],[Sub total]]+Imput[[#This Row],[IVA]]-Imput[[#This Row],[Retención / IEPS / Descuento]]</f>
        <v>831.90559999999994</v>
      </c>
      <c r="M857" s="844">
        <v>0</v>
      </c>
      <c r="N857" s="823" t="s">
        <v>123</v>
      </c>
      <c r="O857" s="819"/>
      <c r="P857" s="823" t="s">
        <v>2965</v>
      </c>
      <c r="Q857" s="824" t="s">
        <v>2966</v>
      </c>
      <c r="R857" s="825">
        <v>45895</v>
      </c>
      <c r="S857" s="826" t="s">
        <v>126</v>
      </c>
      <c r="T857" s="827"/>
      <c r="U857" s="831"/>
      <c r="V857" s="817"/>
      <c r="W857" s="817"/>
      <c r="X857" s="817"/>
      <c r="Y857" s="817"/>
      <c r="Z857" s="817"/>
      <c r="AA857" s="822"/>
      <c r="AB857" s="822"/>
      <c r="AD857" s="260"/>
    </row>
    <row r="858" spans="2:30" x14ac:dyDescent="0.3">
      <c r="B858" s="817" t="s">
        <v>385</v>
      </c>
      <c r="C858" s="315" t="s">
        <v>2246</v>
      </c>
      <c r="D858" s="870" t="s">
        <v>164</v>
      </c>
      <c r="E858" s="840" t="str">
        <f>IFERROR(IF(_xlfn.XLOOKUP(Imput[[#This Row],[RFC]],'Alta Proveedor'!D:D,'Alta Proveedor'!E:E)=0,"",_xlfn.XLOOKUP(Imput[[#This Row],[RFC]],'Alta Proveedor'!D:D,'Alta Proveedor'!E:E)),"")</f>
        <v>HOME DEPOT MEXICO SUCURSAL THD-8730 TAMPICO</v>
      </c>
      <c r="F858" s="835" t="s">
        <v>1891</v>
      </c>
      <c r="G858" s="820">
        <v>15</v>
      </c>
      <c r="H858" s="819">
        <v>30.474</v>
      </c>
      <c r="I858" s="821">
        <f>Imput[[#This Row],[Cantidad]]*Imput[[#This Row],[Precio Unitario]]</f>
        <v>457.11</v>
      </c>
      <c r="J858" s="822">
        <f>((Imput[[#This Row],[Sub total]])*(0.16))</f>
        <v>73.137600000000006</v>
      </c>
      <c r="K858" s="822">
        <v>0</v>
      </c>
      <c r="L858" s="821">
        <f>Imput[[#This Row],[Sub total]]+Imput[[#This Row],[IVA]]-Imput[[#This Row],[Retención / IEPS / Descuento]]</f>
        <v>530.24760000000003</v>
      </c>
      <c r="M858" s="844">
        <v>0</v>
      </c>
      <c r="N858" s="823" t="s">
        <v>123</v>
      </c>
      <c r="O858" s="819"/>
      <c r="P858" s="823" t="s">
        <v>2965</v>
      </c>
      <c r="Q858" s="824" t="s">
        <v>2966</v>
      </c>
      <c r="R858" s="825">
        <v>45895</v>
      </c>
      <c r="S858" s="826" t="s">
        <v>126</v>
      </c>
      <c r="T858" s="827"/>
      <c r="U858" s="831"/>
      <c r="V858" s="817"/>
      <c r="W858" s="817"/>
      <c r="X858" s="817"/>
      <c r="Y858" s="817"/>
      <c r="Z858" s="817"/>
      <c r="AA858" s="822"/>
      <c r="AB858" s="822"/>
      <c r="AD858" s="260"/>
    </row>
    <row r="859" spans="2:30" x14ac:dyDescent="0.3">
      <c r="B859" s="817" t="s">
        <v>385</v>
      </c>
      <c r="C859" s="315" t="s">
        <v>2246</v>
      </c>
      <c r="D859" s="870" t="s">
        <v>164</v>
      </c>
      <c r="E859" s="840" t="str">
        <f>IFERROR(IF(_xlfn.XLOOKUP(Imput[[#This Row],[RFC]],'Alta Proveedor'!D:D,'Alta Proveedor'!E:E)=0,"",_xlfn.XLOOKUP(Imput[[#This Row],[RFC]],'Alta Proveedor'!D:D,'Alta Proveedor'!E:E)),"")</f>
        <v>HOME DEPOT MEXICO SUCURSAL THD-8730 TAMPICO</v>
      </c>
      <c r="F859" s="835" t="s">
        <v>1652</v>
      </c>
      <c r="G859" s="820">
        <v>15</v>
      </c>
      <c r="H859" s="819">
        <v>12.181333333333333</v>
      </c>
      <c r="I859" s="821">
        <f>Imput[[#This Row],[Cantidad]]*Imput[[#This Row],[Precio Unitario]]</f>
        <v>182.72</v>
      </c>
      <c r="J859" s="822">
        <f>((Imput[[#This Row],[Sub total]])*(0.16))</f>
        <v>29.235199999999999</v>
      </c>
      <c r="K859" s="822">
        <v>0</v>
      </c>
      <c r="L859" s="821">
        <f>Imput[[#This Row],[Sub total]]+Imput[[#This Row],[IVA]]-Imput[[#This Row],[Retención / IEPS / Descuento]]</f>
        <v>211.95519999999999</v>
      </c>
      <c r="M859" s="844">
        <v>0</v>
      </c>
      <c r="N859" s="823" t="s">
        <v>123</v>
      </c>
      <c r="O859" s="819"/>
      <c r="P859" s="823" t="s">
        <v>2965</v>
      </c>
      <c r="Q859" s="824" t="s">
        <v>2966</v>
      </c>
      <c r="R859" s="825">
        <v>45895</v>
      </c>
      <c r="S859" s="826" t="s">
        <v>126</v>
      </c>
      <c r="T859" s="827"/>
      <c r="U859" s="831"/>
      <c r="V859" s="817"/>
      <c r="W859" s="817"/>
      <c r="X859" s="817"/>
      <c r="Y859" s="817"/>
      <c r="Z859" s="817"/>
      <c r="AA859" s="822"/>
      <c r="AB859" s="822"/>
      <c r="AD859" s="260"/>
    </row>
    <row r="860" spans="2:30" x14ac:dyDescent="0.3">
      <c r="B860" s="817" t="s">
        <v>385</v>
      </c>
      <c r="C860" s="315" t="s">
        <v>2238</v>
      </c>
      <c r="D860" s="870" t="s">
        <v>164</v>
      </c>
      <c r="E860" s="840" t="str">
        <f>IFERROR(IF(_xlfn.XLOOKUP(Imput[[#This Row],[RFC]],'Alta Proveedor'!D:D,'Alta Proveedor'!E:E)=0,"",_xlfn.XLOOKUP(Imput[[#This Row],[RFC]],'Alta Proveedor'!D:D,'Alta Proveedor'!E:E)),"")</f>
        <v>HOME DEPOT MEXICO SUCURSAL THD-8730 TAMPICO</v>
      </c>
      <c r="F860" s="835" t="s">
        <v>3015</v>
      </c>
      <c r="G860" s="820">
        <v>1</v>
      </c>
      <c r="H860" s="819">
        <v>110.9</v>
      </c>
      <c r="I860" s="821">
        <f>Imput[[#This Row],[Cantidad]]*Imput[[#This Row],[Precio Unitario]]</f>
        <v>110.9</v>
      </c>
      <c r="J860" s="822">
        <f>((Imput[[#This Row],[Sub total]])*(0.16))</f>
        <v>17.744</v>
      </c>
      <c r="K860" s="822">
        <v>0</v>
      </c>
      <c r="L860" s="821">
        <f>Imput[[#This Row],[Sub total]]+Imput[[#This Row],[IVA]]-Imput[[#This Row],[Retención / IEPS / Descuento]]</f>
        <v>128.64400000000001</v>
      </c>
      <c r="M860" s="844">
        <v>0</v>
      </c>
      <c r="N860" s="823" t="s">
        <v>123</v>
      </c>
      <c r="O860" s="819"/>
      <c r="P860" s="823" t="s">
        <v>2965</v>
      </c>
      <c r="Q860" s="824" t="s">
        <v>2966</v>
      </c>
      <c r="R860" s="825">
        <v>45895</v>
      </c>
      <c r="S860" s="826" t="s">
        <v>126</v>
      </c>
      <c r="T860" s="827"/>
      <c r="U860" s="831"/>
      <c r="V860" s="817"/>
      <c r="W860" s="817"/>
      <c r="X860" s="817"/>
      <c r="Y860" s="817"/>
      <c r="Z860" s="817"/>
      <c r="AA860" s="822"/>
      <c r="AB860" s="822"/>
      <c r="AD860" s="260"/>
    </row>
    <row r="861" spans="2:30" x14ac:dyDescent="0.3">
      <c r="B861" s="10" t="s">
        <v>385</v>
      </c>
      <c r="C861" s="315" t="s">
        <v>1769</v>
      </c>
      <c r="D861" s="868" t="s">
        <v>2985</v>
      </c>
      <c r="E861" s="837" t="str">
        <f>IFERROR(IF(_xlfn.XLOOKUP(Imput[[#This Row],[RFC]],'Alta Proveedor'!D:D,'Alta Proveedor'!E:E)=0,"",_xlfn.XLOOKUP(Imput[[#This Row],[RFC]],'Alta Proveedor'!D:D,'Alta Proveedor'!E:E)),"")</f>
        <v>SUPER MAYOREO NATURISTA</v>
      </c>
      <c r="F861" s="832" t="s">
        <v>3016</v>
      </c>
      <c r="G861" s="187">
        <v>2</v>
      </c>
      <c r="H861" s="1">
        <v>64.349999999999994</v>
      </c>
      <c r="I861" s="169">
        <f>Imput[[#This Row],[Cantidad]]*Imput[[#This Row],[Precio Unitario]]</f>
        <v>128.69999999999999</v>
      </c>
      <c r="J861" s="11">
        <f>((Imput[[#This Row],[Sub total]])*(0.08))</f>
        <v>10.295999999999999</v>
      </c>
      <c r="K861" s="11">
        <v>0</v>
      </c>
      <c r="L861" s="169">
        <f>Imput[[#This Row],[Sub total]]+Imput[[#This Row],[IVA]]-Imput[[#This Row],[Retención / IEPS / Descuento]]</f>
        <v>138.99599999999998</v>
      </c>
      <c r="M861" s="844">
        <v>207.99719999999996</v>
      </c>
      <c r="N861" s="189" t="s">
        <v>123</v>
      </c>
      <c r="O861" s="1"/>
      <c r="P861" s="189" t="s">
        <v>2983</v>
      </c>
      <c r="Q861" s="190" t="s">
        <v>2984</v>
      </c>
      <c r="R861" s="188">
        <v>45895</v>
      </c>
      <c r="S861" s="193" t="s">
        <v>294</v>
      </c>
      <c r="T861" s="192"/>
      <c r="U861" s="829"/>
      <c r="V861" s="10"/>
      <c r="W861" s="10"/>
      <c r="X861" s="10"/>
      <c r="Y861" s="10"/>
      <c r="Z861" s="10"/>
      <c r="AA861" s="11"/>
      <c r="AB861" s="11"/>
      <c r="AD861" s="260"/>
    </row>
    <row r="862" spans="2:30" x14ac:dyDescent="0.3">
      <c r="B862" s="817" t="s">
        <v>385</v>
      </c>
      <c r="C862" s="818" t="s">
        <v>1769</v>
      </c>
      <c r="D862" s="870" t="s">
        <v>2985</v>
      </c>
      <c r="E862" s="840" t="str">
        <f>IFERROR(IF(_xlfn.XLOOKUP(Imput[[#This Row],[RFC]],'Alta Proveedor'!D:D,'Alta Proveedor'!E:E)=0,"",_xlfn.XLOOKUP(Imput[[#This Row],[RFC]],'Alta Proveedor'!D:D,'Alta Proveedor'!E:E)),"")</f>
        <v>SUPER MAYOREO NATURISTA</v>
      </c>
      <c r="F862" s="835" t="s">
        <v>3017</v>
      </c>
      <c r="G862" s="820">
        <v>1</v>
      </c>
      <c r="H862" s="819">
        <v>63.89</v>
      </c>
      <c r="I862" s="821">
        <f>Imput[[#This Row],[Cantidad]]*Imput[[#This Row],[Precio Unitario]]</f>
        <v>63.89</v>
      </c>
      <c r="J862" s="822">
        <f>((Imput[[#This Row],[Sub total]])*(0.08))</f>
        <v>5.1112000000000002</v>
      </c>
      <c r="K862" s="822">
        <v>0</v>
      </c>
      <c r="L862" s="821">
        <f>Imput[[#This Row],[Sub total]]+Imput[[#This Row],[IVA]]-Imput[[#This Row],[Retención / IEPS / Descuento]]</f>
        <v>69.001199999999997</v>
      </c>
      <c r="M862" s="844">
        <v>0</v>
      </c>
      <c r="N862" s="823" t="s">
        <v>123</v>
      </c>
      <c r="O862" s="819"/>
      <c r="P862" s="823" t="s">
        <v>2983</v>
      </c>
      <c r="Q862" s="824" t="s">
        <v>2984</v>
      </c>
      <c r="R862" s="825">
        <v>45895</v>
      </c>
      <c r="S862" s="826" t="s">
        <v>294</v>
      </c>
      <c r="T862" s="827"/>
      <c r="U862" s="831"/>
      <c r="V862" s="817"/>
      <c r="W862" s="817"/>
      <c r="X862" s="817"/>
      <c r="Y862" s="817"/>
      <c r="Z862" s="817"/>
      <c r="AA862" s="822"/>
      <c r="AB862" s="822"/>
      <c r="AD862" s="260"/>
    </row>
    <row r="863" spans="2:30" x14ac:dyDescent="0.3">
      <c r="B863" s="10" t="s">
        <v>385</v>
      </c>
      <c r="C863" s="315" t="s">
        <v>1767</v>
      </c>
      <c r="D863" s="868" t="s">
        <v>1553</v>
      </c>
      <c r="E863" s="837" t="str">
        <f>IFERROR(IF(_xlfn.XLOOKUP(Imput[[#This Row],[RFC]],'Alta Proveedor'!D:D,'Alta Proveedor'!E:E)=0,"",_xlfn.XLOOKUP(Imput[[#This Row],[RFC]],'Alta Proveedor'!D:D,'Alta Proveedor'!E:E)),"")</f>
        <v>COMERCIALIZADORA DE COMBUSTIBLES TAMAULIPECA "NEXUM" (COMBUSTIBLES)</v>
      </c>
      <c r="F863" s="832" t="s">
        <v>1145</v>
      </c>
      <c r="G863" s="187">
        <v>78.217844999999997</v>
      </c>
      <c r="H863" s="1">
        <v>22.414863</v>
      </c>
      <c r="I863" s="169">
        <f>Imput[[#This Row],[Cantidad]]*Imput[[#This Row],[Precio Unitario]]</f>
        <v>1753.242279830235</v>
      </c>
      <c r="J863" s="11">
        <v>271.82</v>
      </c>
      <c r="K863" s="11">
        <v>0</v>
      </c>
      <c r="L863" s="169">
        <f>Imput[[#This Row],[Sub total]]+Imput[[#This Row],[IVA]]-Imput[[#This Row],[Retención / IEPS / Descuento]]</f>
        <v>2025.062279830235</v>
      </c>
      <c r="M863" s="844">
        <v>2025.062279830235</v>
      </c>
      <c r="N863" s="189" t="s">
        <v>123</v>
      </c>
      <c r="O863" s="1"/>
      <c r="P863" s="189" t="s">
        <v>2919</v>
      </c>
      <c r="Q863" s="190" t="s">
        <v>2920</v>
      </c>
      <c r="R863" s="188">
        <v>45895</v>
      </c>
      <c r="S863" s="193" t="s">
        <v>126</v>
      </c>
      <c r="T863" s="192"/>
      <c r="U863" s="829"/>
      <c r="V863" s="10"/>
      <c r="W863" s="10"/>
      <c r="X863" s="10"/>
      <c r="Y863" s="10"/>
      <c r="Z863" s="10"/>
      <c r="AA863" s="11"/>
      <c r="AB863" s="11"/>
      <c r="AD863" s="260"/>
    </row>
    <row r="864" spans="2:30" x14ac:dyDescent="0.3">
      <c r="B864" s="10" t="s">
        <v>385</v>
      </c>
      <c r="C864" s="315" t="s">
        <v>1806</v>
      </c>
      <c r="D864" s="868" t="s">
        <v>2975</v>
      </c>
      <c r="E864" s="837" t="str">
        <f>IFERROR(IF(_xlfn.XLOOKUP(Imput[[#This Row],[RFC]],'Alta Proveedor'!D:D,'Alta Proveedor'!E:E)=0,"",_xlfn.XLOOKUP(Imput[[#This Row],[RFC]],'Alta Proveedor'!D:D,'Alta Proveedor'!E:E)),"")</f>
        <v>LCDP RESTAURANTES "LA CASA DEL PASTOR" (RESTAURANTE)</v>
      </c>
      <c r="F864" s="832" t="s">
        <v>159</v>
      </c>
      <c r="G864" s="187">
        <v>1</v>
      </c>
      <c r="H864" s="1">
        <v>883.62</v>
      </c>
      <c r="I864" s="169">
        <f>Imput[[#This Row],[Cantidad]]*Imput[[#This Row],[Precio Unitario]]</f>
        <v>883.62</v>
      </c>
      <c r="J864" s="11">
        <f>((Imput[[#This Row],[Sub total]])*(0.16))</f>
        <v>141.3792</v>
      </c>
      <c r="K864" s="11">
        <v>0</v>
      </c>
      <c r="L864" s="169">
        <f>Imput[[#This Row],[Sub total]]+Imput[[#This Row],[IVA]]-Imput[[#This Row],[Retención / IEPS / Descuento]]</f>
        <v>1024.9992</v>
      </c>
      <c r="M864" s="844">
        <v>1024.9992</v>
      </c>
      <c r="N864" s="189" t="s">
        <v>123</v>
      </c>
      <c r="O864" s="1"/>
      <c r="P864" s="189" t="s">
        <v>2973</v>
      </c>
      <c r="Q864" s="190" t="s">
        <v>2974</v>
      </c>
      <c r="R864" s="188">
        <v>45895</v>
      </c>
      <c r="S864" s="193" t="s">
        <v>126</v>
      </c>
      <c r="T864" s="192"/>
      <c r="U864" s="829"/>
      <c r="V864" s="10"/>
      <c r="W864" s="10"/>
      <c r="X864" s="10"/>
      <c r="Y864" s="10"/>
      <c r="Z864" s="10"/>
      <c r="AA864" s="11"/>
      <c r="AB864" s="11"/>
      <c r="AD864" s="260"/>
    </row>
    <row r="865" spans="2:30" x14ac:dyDescent="0.3">
      <c r="B865" s="10" t="s">
        <v>385</v>
      </c>
      <c r="C865" s="315" t="s">
        <v>1806</v>
      </c>
      <c r="D865" s="868" t="s">
        <v>2971</v>
      </c>
      <c r="E865" s="837" t="str">
        <f>IFERROR(IF(_xlfn.XLOOKUP(Imput[[#This Row],[RFC]],'Alta Proveedor'!D:D,'Alta Proveedor'!E:E)=0,"",_xlfn.XLOOKUP(Imput[[#This Row],[RFC]],'Alta Proveedor'!D:D,'Alta Proveedor'!E:E)),"")</f>
        <v>OPERADORA VIPS Sucursal 81315</v>
      </c>
      <c r="F865" s="832" t="s">
        <v>2977</v>
      </c>
      <c r="G865" s="187">
        <v>1</v>
      </c>
      <c r="H865" s="1">
        <v>181.03399999999999</v>
      </c>
      <c r="I865" s="169">
        <f>Imput[[#This Row],[Cantidad]]*Imput[[#This Row],[Precio Unitario]]</f>
        <v>181.03399999999999</v>
      </c>
      <c r="J865" s="11">
        <f>((Imput[[#This Row],[Sub total]])*(0.16))</f>
        <v>28.965440000000001</v>
      </c>
      <c r="K865" s="11">
        <v>0</v>
      </c>
      <c r="L865" s="169">
        <f>Imput[[#This Row],[Sub total]]+Imput[[#This Row],[IVA]]-Imput[[#This Row],[Retención / IEPS / Descuento]]</f>
        <v>209.99943999999999</v>
      </c>
      <c r="M865" s="844">
        <v>209.99943999999999</v>
      </c>
      <c r="N865" s="189" t="s">
        <v>123</v>
      </c>
      <c r="O865" s="1"/>
      <c r="P865" s="189" t="s">
        <v>2969</v>
      </c>
      <c r="Q865" s="190" t="s">
        <v>2970</v>
      </c>
      <c r="R865" s="188">
        <v>45895</v>
      </c>
      <c r="S865" s="193" t="s">
        <v>126</v>
      </c>
      <c r="T865" s="192"/>
      <c r="U865" s="829"/>
      <c r="V865" s="10"/>
      <c r="W865" s="10"/>
      <c r="X865" s="10"/>
      <c r="Y865" s="10"/>
      <c r="Z865" s="10"/>
      <c r="AA865" s="11"/>
      <c r="AB865" s="11"/>
      <c r="AD865" s="260"/>
    </row>
    <row r="866" spans="2:30" x14ac:dyDescent="0.3">
      <c r="B866" s="10" t="s">
        <v>385</v>
      </c>
      <c r="C866" s="315" t="s">
        <v>1810</v>
      </c>
      <c r="D866" s="868" t="s">
        <v>2964</v>
      </c>
      <c r="E866" s="837" t="str">
        <f>IFERROR(IF(_xlfn.XLOOKUP(Imput[[#This Row],[RFC]],'Alta Proveedor'!D:D,'Alta Proveedor'!E:E)=0,"",_xlfn.XLOOKUP(Imput[[#This Row],[RFC]],'Alta Proveedor'!D:D,'Alta Proveedor'!E:E)),"")</f>
        <v>FEDERAL EXPRESS HOLDINGS (MEXICO) Y COMPAÑÍA "FEDEX"</v>
      </c>
      <c r="F866" s="832" t="s">
        <v>3013</v>
      </c>
      <c r="G866" s="187">
        <v>1</v>
      </c>
      <c r="H866" s="1">
        <v>250.85</v>
      </c>
      <c r="I866" s="169">
        <f>Imput[[#This Row],[Cantidad]]*Imput[[#This Row],[Precio Unitario]]</f>
        <v>250.85</v>
      </c>
      <c r="J866" s="11">
        <f>((Imput[[#This Row],[Sub total]])*(0.16))</f>
        <v>40.136000000000003</v>
      </c>
      <c r="K866" s="11">
        <v>0</v>
      </c>
      <c r="L866" s="169">
        <f>Imput[[#This Row],[Sub total]]+Imput[[#This Row],[IVA]]-Imput[[#This Row],[Retención / IEPS / Descuento]]</f>
        <v>290.98599999999999</v>
      </c>
      <c r="M866" s="844">
        <v>290.98599999999999</v>
      </c>
      <c r="N866" s="189" t="s">
        <v>123</v>
      </c>
      <c r="O866" s="1"/>
      <c r="P866" s="189" t="s">
        <v>2961</v>
      </c>
      <c r="Q866" s="190" t="s">
        <v>2962</v>
      </c>
      <c r="R866" s="188">
        <v>45895</v>
      </c>
      <c r="S866" s="193" t="s">
        <v>294</v>
      </c>
      <c r="T866" s="192"/>
      <c r="U866" s="829"/>
      <c r="V866" s="10"/>
      <c r="W866" s="10"/>
      <c r="X866" s="10"/>
      <c r="Y866" s="10"/>
      <c r="Z866" s="10"/>
      <c r="AA866" s="11"/>
      <c r="AB866" s="11"/>
      <c r="AD866" s="260"/>
    </row>
    <row r="867" spans="2:30" x14ac:dyDescent="0.3">
      <c r="B867" s="10" t="s">
        <v>385</v>
      </c>
      <c r="C867" s="315" t="s">
        <v>1747</v>
      </c>
      <c r="D867" s="868" t="s">
        <v>3225</v>
      </c>
      <c r="E867" s="837" t="str">
        <f>IFERROR(IF(_xlfn.XLOOKUP(Imput[[#This Row],[RFC]],'Alta Proveedor'!D:D,'Alta Proveedor'!E:E)=0,"",_xlfn.XLOOKUP(Imput[[#This Row],[RFC]],'Alta Proveedor'!D:D,'Alta Proveedor'!E:E)),"")</f>
        <v>GASTOS SIN FACTURA</v>
      </c>
      <c r="F867" s="836" t="s">
        <v>3218</v>
      </c>
      <c r="G867" s="187">
        <v>1</v>
      </c>
      <c r="H867" s="1">
        <v>1200</v>
      </c>
      <c r="I867" s="169">
        <f>Imput[[#This Row],[Cantidad]]*Imput[[#This Row],[Precio Unitario]]</f>
        <v>1200</v>
      </c>
      <c r="J867" s="11">
        <f>Imput[[#This Row],[Sub total]]*0.08</f>
        <v>96</v>
      </c>
      <c r="K867" s="11">
        <v>0</v>
      </c>
      <c r="L867" s="169">
        <f>Imput[[#This Row],[Sub total]]+Imput[[#This Row],[IVA]]-Imput[[#This Row],[Retención / IEPS / Descuento]]</f>
        <v>1296</v>
      </c>
      <c r="M867" s="844">
        <v>1296</v>
      </c>
      <c r="N867" s="189"/>
      <c r="O867" s="1"/>
      <c r="P867" s="189"/>
      <c r="Q867" s="190"/>
      <c r="R867" s="188">
        <v>45895</v>
      </c>
      <c r="S867" s="193"/>
      <c r="T867" s="192"/>
      <c r="U867" s="867" t="s">
        <v>3225</v>
      </c>
      <c r="V867" s="10"/>
      <c r="W867" s="10"/>
      <c r="X867" s="10"/>
      <c r="Y867" s="10"/>
      <c r="Z867" s="10"/>
      <c r="AA867" s="11"/>
      <c r="AB867" s="11"/>
      <c r="AD867" s="260"/>
    </row>
    <row r="868" spans="2:30" x14ac:dyDescent="0.3">
      <c r="B868" s="10" t="s">
        <v>385</v>
      </c>
      <c r="C868" s="315" t="s">
        <v>1763</v>
      </c>
      <c r="D868" s="868" t="s">
        <v>1036</v>
      </c>
      <c r="E868" s="837" t="str">
        <f>IFERROR(IF(_xlfn.XLOOKUP(Imput[[#This Row],[RFC]],'Alta Proveedor'!D:D,'Alta Proveedor'!E:E)=0,"",_xlfn.XLOOKUP(Imput[[#This Row],[RFC]],'Alta Proveedor'!D:D,'Alta Proveedor'!E:E)),"")</f>
        <v>AUTOZONE DE MEXICO</v>
      </c>
      <c r="F868" s="832" t="s">
        <v>2989</v>
      </c>
      <c r="G868" s="187">
        <v>1</v>
      </c>
      <c r="H868" s="1">
        <v>168.1</v>
      </c>
      <c r="I868" s="169">
        <f>Imput[[#This Row],[Cantidad]]*Imput[[#This Row],[Precio Unitario]]</f>
        <v>168.1</v>
      </c>
      <c r="J868" s="11">
        <f>((Imput[[#This Row],[Sub total]])*(0.16))</f>
        <v>26.896000000000001</v>
      </c>
      <c r="K868" s="11">
        <v>0</v>
      </c>
      <c r="L868" s="169">
        <f>Imput[[#This Row],[Sub total]]+Imput[[#This Row],[IVA]]-Imput[[#This Row],[Retención / IEPS / Descuento]]</f>
        <v>194.99599999999998</v>
      </c>
      <c r="M868" s="844">
        <v>194.99599999999998</v>
      </c>
      <c r="N868" s="189" t="s">
        <v>123</v>
      </c>
      <c r="O868" s="1"/>
      <c r="P868" s="189" t="s">
        <v>2987</v>
      </c>
      <c r="Q868" s="190" t="s">
        <v>2988</v>
      </c>
      <c r="R868" s="188">
        <v>45896</v>
      </c>
      <c r="S868" s="193" t="s">
        <v>126</v>
      </c>
      <c r="T868" s="192"/>
      <c r="U868" s="829"/>
      <c r="V868" s="10"/>
      <c r="W868" s="10"/>
      <c r="X868" s="10"/>
      <c r="Y868" s="10"/>
      <c r="Z868" s="10"/>
      <c r="AA868" s="11"/>
      <c r="AB868" s="11"/>
      <c r="AD868" s="260"/>
    </row>
    <row r="869" spans="2:30" x14ac:dyDescent="0.3">
      <c r="B869" s="10" t="s">
        <v>385</v>
      </c>
      <c r="C869" s="315" t="s">
        <v>1769</v>
      </c>
      <c r="D869" s="868" t="s">
        <v>244</v>
      </c>
      <c r="E869" s="837" t="str">
        <f>IFERROR(IF(_xlfn.XLOOKUP(Imput[[#This Row],[RFC]],'Alta Proveedor'!D:D,'Alta Proveedor'!E:E)=0,"",_xlfn.XLOOKUP(Imput[[#This Row],[RFC]],'Alta Proveedor'!D:D,'Alta Proveedor'!E:E)),"")</f>
        <v>CADENA COMERCIAL OXXO</v>
      </c>
      <c r="F869" s="832" t="s">
        <v>3018</v>
      </c>
      <c r="G869" s="187">
        <v>1</v>
      </c>
      <c r="H869" s="1">
        <v>53</v>
      </c>
      <c r="I869" s="169">
        <f>Imput[[#This Row],[Cantidad]]*Imput[[#This Row],[Precio Unitario]]</f>
        <v>53</v>
      </c>
      <c r="J869" s="11">
        <v>0</v>
      </c>
      <c r="K869" s="11">
        <v>0</v>
      </c>
      <c r="L869" s="169">
        <f>Imput[[#This Row],[Sub total]]+Imput[[#This Row],[IVA]]-Imput[[#This Row],[Retención / IEPS / Descuento]]</f>
        <v>53</v>
      </c>
      <c r="M869" s="844">
        <v>89</v>
      </c>
      <c r="N869" s="189" t="s">
        <v>123</v>
      </c>
      <c r="O869" s="1"/>
      <c r="P869" s="189" t="s">
        <v>2990</v>
      </c>
      <c r="Q869" s="190" t="s">
        <v>2991</v>
      </c>
      <c r="R869" s="188">
        <v>45896</v>
      </c>
      <c r="S869" s="193" t="s">
        <v>126</v>
      </c>
      <c r="T869" s="192"/>
      <c r="U869" s="829"/>
      <c r="V869" s="10"/>
      <c r="W869" s="10"/>
      <c r="X869" s="10"/>
      <c r="Y869" s="10"/>
      <c r="Z869" s="10"/>
      <c r="AA869" s="11"/>
      <c r="AB869" s="11"/>
      <c r="AD869" s="260"/>
    </row>
    <row r="870" spans="2:30" x14ac:dyDescent="0.3">
      <c r="B870" s="817" t="s">
        <v>385</v>
      </c>
      <c r="C870" s="818" t="s">
        <v>1769</v>
      </c>
      <c r="D870" s="870" t="s">
        <v>244</v>
      </c>
      <c r="E870" s="840" t="str">
        <f>IFERROR(IF(_xlfn.XLOOKUP(Imput[[#This Row],[RFC]],'Alta Proveedor'!D:D,'Alta Proveedor'!E:E)=0,"",_xlfn.XLOOKUP(Imput[[#This Row],[RFC]],'Alta Proveedor'!D:D,'Alta Proveedor'!E:E)),"")</f>
        <v>CADENA COMERCIAL OXXO</v>
      </c>
      <c r="F870" s="835" t="s">
        <v>3019</v>
      </c>
      <c r="G870" s="820">
        <v>1</v>
      </c>
      <c r="H870" s="819">
        <v>36</v>
      </c>
      <c r="I870" s="821">
        <f>Imput[[#This Row],[Cantidad]]*Imput[[#This Row],[Precio Unitario]]</f>
        <v>36</v>
      </c>
      <c r="J870" s="822">
        <v>0</v>
      </c>
      <c r="K870" s="822">
        <v>0</v>
      </c>
      <c r="L870" s="821">
        <f>Imput[[#This Row],[Sub total]]+Imput[[#This Row],[IVA]]-Imput[[#This Row],[Retención / IEPS / Descuento]]</f>
        <v>36</v>
      </c>
      <c r="M870" s="844">
        <v>0</v>
      </c>
      <c r="N870" s="823" t="s">
        <v>123</v>
      </c>
      <c r="O870" s="819"/>
      <c r="P870" s="823" t="s">
        <v>2990</v>
      </c>
      <c r="Q870" s="824" t="s">
        <v>2991</v>
      </c>
      <c r="R870" s="825">
        <v>45896</v>
      </c>
      <c r="S870" s="826" t="s">
        <v>126</v>
      </c>
      <c r="T870" s="827"/>
      <c r="U870" s="831"/>
      <c r="V870" s="817"/>
      <c r="W870" s="817"/>
      <c r="X870" s="817"/>
      <c r="Y870" s="817"/>
      <c r="Z870" s="817"/>
      <c r="AA870" s="822"/>
      <c r="AB870" s="822"/>
      <c r="AD870" s="260"/>
    </row>
    <row r="871" spans="2:30" x14ac:dyDescent="0.3">
      <c r="B871" s="10" t="s">
        <v>385</v>
      </c>
      <c r="C871" s="315" t="s">
        <v>1769</v>
      </c>
      <c r="D871" s="868" t="s">
        <v>244</v>
      </c>
      <c r="E871" s="837" t="str">
        <f>IFERROR(IF(_xlfn.XLOOKUP(Imput[[#This Row],[RFC]],'Alta Proveedor'!D:D,'Alta Proveedor'!E:E)=0,"",_xlfn.XLOOKUP(Imput[[#This Row],[RFC]],'Alta Proveedor'!D:D,'Alta Proveedor'!E:E)),"")</f>
        <v>CADENA COMERCIAL OXXO</v>
      </c>
      <c r="F871" s="832" t="s">
        <v>3018</v>
      </c>
      <c r="G871" s="187">
        <v>1</v>
      </c>
      <c r="H871" s="1">
        <v>60</v>
      </c>
      <c r="I871" s="169">
        <f>Imput[[#This Row],[Cantidad]]*Imput[[#This Row],[Precio Unitario]]</f>
        <v>60</v>
      </c>
      <c r="J871" s="11">
        <v>0</v>
      </c>
      <c r="K871" s="11">
        <v>0</v>
      </c>
      <c r="L871" s="169">
        <f>Imput[[#This Row],[Sub total]]+Imput[[#This Row],[IVA]]-Imput[[#This Row],[Retención / IEPS / Descuento]]</f>
        <v>60</v>
      </c>
      <c r="M871" s="844">
        <v>96</v>
      </c>
      <c r="N871" s="189" t="s">
        <v>123</v>
      </c>
      <c r="O871" s="1"/>
      <c r="P871" s="189" t="s">
        <v>2992</v>
      </c>
      <c r="Q871" s="190" t="s">
        <v>2993</v>
      </c>
      <c r="R871" s="188">
        <v>45896</v>
      </c>
      <c r="S871" s="193" t="s">
        <v>126</v>
      </c>
      <c r="T871" s="192"/>
      <c r="U871" s="829"/>
      <c r="V871" s="10"/>
      <c r="W871" s="10"/>
      <c r="X871" s="10"/>
      <c r="Y871" s="10"/>
      <c r="Z871" s="10"/>
      <c r="AA871" s="11"/>
      <c r="AB871" s="11"/>
      <c r="AD871" s="260"/>
    </row>
    <row r="872" spans="2:30" x14ac:dyDescent="0.3">
      <c r="B872" s="10" t="s">
        <v>385</v>
      </c>
      <c r="C872" s="315" t="s">
        <v>1769</v>
      </c>
      <c r="D872" s="868" t="s">
        <v>244</v>
      </c>
      <c r="E872" s="837" t="str">
        <f>IFERROR(IF(_xlfn.XLOOKUP(Imput[[#This Row],[RFC]],'Alta Proveedor'!D:D,'Alta Proveedor'!E:E)=0,"",_xlfn.XLOOKUP(Imput[[#This Row],[RFC]],'Alta Proveedor'!D:D,'Alta Proveedor'!E:E)),"")</f>
        <v>CADENA COMERCIAL OXXO</v>
      </c>
      <c r="F872" s="832" t="s">
        <v>3019</v>
      </c>
      <c r="G872" s="187">
        <v>1</v>
      </c>
      <c r="H872" s="1">
        <v>36</v>
      </c>
      <c r="I872" s="169">
        <f>Imput[[#This Row],[Cantidad]]*Imput[[#This Row],[Precio Unitario]]</f>
        <v>36</v>
      </c>
      <c r="J872" s="11">
        <v>0</v>
      </c>
      <c r="K872" s="11">
        <v>0</v>
      </c>
      <c r="L872" s="169">
        <f>Imput[[#This Row],[Sub total]]+Imput[[#This Row],[IVA]]-Imput[[#This Row],[Retención / IEPS / Descuento]]</f>
        <v>36</v>
      </c>
      <c r="M872" s="844">
        <v>0</v>
      </c>
      <c r="N872" s="189" t="s">
        <v>123</v>
      </c>
      <c r="O872" s="1"/>
      <c r="P872" s="189" t="s">
        <v>2992</v>
      </c>
      <c r="Q872" s="190" t="s">
        <v>2993</v>
      </c>
      <c r="R872" s="188">
        <v>45896</v>
      </c>
      <c r="S872" s="193" t="s">
        <v>126</v>
      </c>
      <c r="T872" s="192"/>
      <c r="U872" s="829"/>
      <c r="V872" s="10"/>
      <c r="W872" s="10"/>
      <c r="X872" s="10"/>
      <c r="Y872" s="10"/>
      <c r="Z872" s="10"/>
      <c r="AA872" s="11"/>
      <c r="AB872" s="11"/>
      <c r="AD872" s="260"/>
    </row>
    <row r="873" spans="2:30" x14ac:dyDescent="0.3">
      <c r="B873" s="10" t="s">
        <v>385</v>
      </c>
      <c r="C873" s="315"/>
      <c r="D873" s="868" t="s">
        <v>2980</v>
      </c>
      <c r="E873" s="837" t="str">
        <f>IFERROR(IF(_xlfn.XLOOKUP(Imput[[#This Row],[RFC]],'Alta Proveedor'!D:D,'Alta Proveedor'!E:E)=0,"",_xlfn.XLOOKUP(Imput[[#This Row],[RFC]],'Alta Proveedor'!D:D,'Alta Proveedor'!E:E)),"")</f>
        <v>ZURY ALEIDA CARDENAS CERVANTES</v>
      </c>
      <c r="F873" s="832" t="s">
        <v>2982</v>
      </c>
      <c r="G873" s="187">
        <v>3</v>
      </c>
      <c r="H873" s="1">
        <v>503.45</v>
      </c>
      <c r="I873" s="169">
        <f>Imput[[#This Row],[Cantidad]]*Imput[[#This Row],[Precio Unitario]]</f>
        <v>1510.35</v>
      </c>
      <c r="J873" s="11">
        <f>((Imput[[#This Row],[Sub total]])*(0.16))</f>
        <v>241.65599999999998</v>
      </c>
      <c r="K873" s="11">
        <v>0</v>
      </c>
      <c r="L873" s="169">
        <f>Imput[[#This Row],[Sub total]]+Imput[[#This Row],[IVA]]-Imput[[#This Row],[Retención / IEPS / Descuento]]</f>
        <v>1752.0059999999999</v>
      </c>
      <c r="M873" s="844">
        <v>2232.0023999999999</v>
      </c>
      <c r="N873" s="189" t="s">
        <v>123</v>
      </c>
      <c r="O873" s="1"/>
      <c r="P873" s="189" t="s">
        <v>2978</v>
      </c>
      <c r="Q873" s="190" t="s">
        <v>2979</v>
      </c>
      <c r="R873" s="188">
        <v>45896</v>
      </c>
      <c r="S873" s="193" t="s">
        <v>154</v>
      </c>
      <c r="T873" s="192"/>
      <c r="U873" s="829"/>
      <c r="V873" s="10"/>
      <c r="W873" s="10"/>
      <c r="X873" s="10"/>
      <c r="Y873" s="10"/>
      <c r="Z873" s="10"/>
      <c r="AA873" s="11"/>
      <c r="AB873" s="11"/>
      <c r="AD873" s="260"/>
    </row>
    <row r="874" spans="2:30" x14ac:dyDescent="0.3">
      <c r="B874" s="10" t="s">
        <v>385</v>
      </c>
      <c r="C874" s="315"/>
      <c r="D874" s="868" t="s">
        <v>2980</v>
      </c>
      <c r="E874" s="837" t="str">
        <f>IFERROR(IF(_xlfn.XLOOKUP(Imput[[#This Row],[RFC]],'Alta Proveedor'!D:D,'Alta Proveedor'!E:E)=0,"",_xlfn.XLOOKUP(Imput[[#This Row],[RFC]],'Alta Proveedor'!D:D,'Alta Proveedor'!E:E)),"")</f>
        <v>ZURY ALEIDA CARDENAS CERVANTES</v>
      </c>
      <c r="F874" s="832" t="s">
        <v>2982</v>
      </c>
      <c r="G874" s="187">
        <v>1</v>
      </c>
      <c r="H874" s="1">
        <v>413.79</v>
      </c>
      <c r="I874" s="169">
        <f>Imput[[#This Row],[Cantidad]]*Imput[[#This Row],[Precio Unitario]]</f>
        <v>413.79</v>
      </c>
      <c r="J874" s="11">
        <f>((Imput[[#This Row],[Sub total]])*(0.16))</f>
        <v>66.206400000000002</v>
      </c>
      <c r="K874" s="11">
        <v>0</v>
      </c>
      <c r="L874" s="169">
        <f>Imput[[#This Row],[Sub total]]+Imput[[#This Row],[IVA]]-Imput[[#This Row],[Retención / IEPS / Descuento]]</f>
        <v>479.99639999999999</v>
      </c>
      <c r="M874" s="844">
        <v>0</v>
      </c>
      <c r="N874" s="189" t="s">
        <v>123</v>
      </c>
      <c r="O874" s="1"/>
      <c r="P874" s="189" t="s">
        <v>2978</v>
      </c>
      <c r="Q874" s="190" t="s">
        <v>2979</v>
      </c>
      <c r="R874" s="188">
        <v>45896</v>
      </c>
      <c r="S874" s="193" t="s">
        <v>154</v>
      </c>
      <c r="T874" s="192"/>
      <c r="U874" s="829"/>
      <c r="V874" s="10"/>
      <c r="W874" s="10"/>
      <c r="X874" s="10"/>
      <c r="Y874" s="10"/>
      <c r="Z874" s="10"/>
      <c r="AA874" s="11"/>
      <c r="AB874" s="11"/>
      <c r="AD874" s="260"/>
    </row>
    <row r="875" spans="2:30" x14ac:dyDescent="0.3">
      <c r="B875" s="10" t="s">
        <v>385</v>
      </c>
      <c r="C875" s="315" t="s">
        <v>1767</v>
      </c>
      <c r="D875" s="868" t="s">
        <v>2996</v>
      </c>
      <c r="E875" s="837" t="str">
        <f>IFERROR(IF(_xlfn.XLOOKUP(Imput[[#This Row],[RFC]],'Alta Proveedor'!D:D,'Alta Proveedor'!E:E)=0,"",_xlfn.XLOOKUP(Imput[[#This Row],[RFC]],'Alta Proveedor'!D:D,'Alta Proveedor'!E:E)),"")</f>
        <v>COMBU-EXPRESS (COMBUSTIBLES)</v>
      </c>
      <c r="F875" s="832" t="s">
        <v>1114</v>
      </c>
      <c r="G875" s="187">
        <v>68.004999999999995</v>
      </c>
      <c r="H875" s="1">
        <v>22.470399</v>
      </c>
      <c r="I875" s="169">
        <f>Imput[[#This Row],[Cantidad]]*Imput[[#This Row],[Precio Unitario]]</f>
        <v>1528.0994839949999</v>
      </c>
      <c r="J875" s="11">
        <v>239.35</v>
      </c>
      <c r="K875" s="11">
        <v>0</v>
      </c>
      <c r="L875" s="169">
        <f>Imput[[#This Row],[Sub total]]+Imput[[#This Row],[IVA]]-Imput[[#This Row],[Retención / IEPS / Descuento]]</f>
        <v>1767.4494839949998</v>
      </c>
      <c r="M875" s="844">
        <v>1767.4494839949998</v>
      </c>
      <c r="N875" s="189" t="s">
        <v>123</v>
      </c>
      <c r="O875" s="1"/>
      <c r="P875" s="189" t="s">
        <v>2994</v>
      </c>
      <c r="Q875" s="190" t="s">
        <v>2995</v>
      </c>
      <c r="R875" s="188">
        <v>45896</v>
      </c>
      <c r="S875" s="193" t="s">
        <v>126</v>
      </c>
      <c r="T875" s="192"/>
      <c r="U875" s="829"/>
      <c r="V875" s="10"/>
      <c r="W875" s="10"/>
      <c r="X875" s="10"/>
      <c r="Y875" s="10"/>
      <c r="Z875" s="10"/>
      <c r="AA875" s="11"/>
      <c r="AB875" s="11"/>
      <c r="AD875" s="260"/>
    </row>
    <row r="876" spans="2:30" x14ac:dyDescent="0.3">
      <c r="B876" s="10" t="s">
        <v>385</v>
      </c>
      <c r="C876" s="315" t="s">
        <v>2903</v>
      </c>
      <c r="D876" s="868" t="s">
        <v>3006</v>
      </c>
      <c r="E876" s="837" t="str">
        <f>IFERROR(IF(_xlfn.XLOOKUP(Imput[[#This Row],[RFC]],'Alta Proveedor'!D:D,'Alta Proveedor'!E:E)=0,"",_xlfn.XLOOKUP(Imput[[#This Row],[RFC]],'Alta Proveedor'!D:D,'Alta Proveedor'!E:E)),"")</f>
        <v>FERREDOS SA DE CV</v>
      </c>
      <c r="F876" s="832" t="s">
        <v>3008</v>
      </c>
      <c r="G876" s="187">
        <v>1</v>
      </c>
      <c r="H876" s="1">
        <v>284.68</v>
      </c>
      <c r="I876" s="169">
        <f>Imput[[#This Row],[Cantidad]]*Imput[[#This Row],[Precio Unitario]]</f>
        <v>284.68</v>
      </c>
      <c r="J876" s="11">
        <f>((Imput[[#This Row],[Sub total]])*(0.16))</f>
        <v>45.5488</v>
      </c>
      <c r="K876" s="11">
        <v>0</v>
      </c>
      <c r="L876" s="169">
        <f>Imput[[#This Row],[Sub total]]+Imput[[#This Row],[IVA]]-Imput[[#This Row],[Retención / IEPS / Descuento]]</f>
        <v>330.22879999999998</v>
      </c>
      <c r="M876" s="844">
        <v>330.22879999999998</v>
      </c>
      <c r="N876" s="189" t="s">
        <v>123</v>
      </c>
      <c r="O876" s="1"/>
      <c r="P876" s="189" t="s">
        <v>3004</v>
      </c>
      <c r="Q876" s="190" t="s">
        <v>3005</v>
      </c>
      <c r="R876" s="188">
        <v>45897</v>
      </c>
      <c r="S876" s="193" t="s">
        <v>154</v>
      </c>
      <c r="T876" s="192"/>
      <c r="U876" s="829"/>
      <c r="V876" s="10"/>
      <c r="W876" s="10"/>
      <c r="X876" s="10"/>
      <c r="Y876" s="10"/>
      <c r="Z876" s="10"/>
      <c r="AA876" s="11"/>
      <c r="AB876" s="11"/>
      <c r="AD876" s="260"/>
    </row>
    <row r="877" spans="2:30" x14ac:dyDescent="0.3">
      <c r="B877" s="10" t="s">
        <v>385</v>
      </c>
      <c r="C877" s="315" t="s">
        <v>2903</v>
      </c>
      <c r="D877" s="868" t="s">
        <v>3002</v>
      </c>
      <c r="E877" s="837" t="str">
        <f>IFERROR(IF(_xlfn.XLOOKUP(Imput[[#This Row],[RFC]],'Alta Proveedor'!D:D,'Alta Proveedor'!E:E)=0,"",_xlfn.XLOOKUP(Imput[[#This Row],[RFC]],'Alta Proveedor'!D:D,'Alta Proveedor'!E:E)),"")</f>
        <v>EDGAR GUZMAN MORALES "MATERIALES GUZMAN"</v>
      </c>
      <c r="F877" s="832" t="s">
        <v>3020</v>
      </c>
      <c r="G877" s="187">
        <v>1</v>
      </c>
      <c r="H877" s="1">
        <v>66.38</v>
      </c>
      <c r="I877" s="169">
        <f>Imput[[#This Row],[Cantidad]]*Imput[[#This Row],[Precio Unitario]]</f>
        <v>66.38</v>
      </c>
      <c r="J877" s="11">
        <f>((Imput[[#This Row],[Sub total]])*(0.16))</f>
        <v>10.620799999999999</v>
      </c>
      <c r="K877" s="11">
        <v>0</v>
      </c>
      <c r="L877" s="169">
        <f>Imput[[#This Row],[Sub total]]+Imput[[#This Row],[IVA]]-Imput[[#This Row],[Retención / IEPS / Descuento]]</f>
        <v>77.000799999999998</v>
      </c>
      <c r="M877" s="844">
        <v>352.00200000000001</v>
      </c>
      <c r="N877" s="189" t="s">
        <v>123</v>
      </c>
      <c r="O877" s="1"/>
      <c r="P877" s="189" t="s">
        <v>3000</v>
      </c>
      <c r="Q877" s="190" t="s">
        <v>3001</v>
      </c>
      <c r="R877" s="188">
        <v>45897</v>
      </c>
      <c r="S877" s="193" t="s">
        <v>154</v>
      </c>
      <c r="T877" s="192"/>
      <c r="U877" s="829"/>
      <c r="V877" s="10"/>
      <c r="W877" s="10"/>
      <c r="X877" s="10"/>
      <c r="Y877" s="10"/>
      <c r="Z877" s="10"/>
      <c r="AA877" s="11"/>
      <c r="AB877" s="11"/>
      <c r="AD877" s="260"/>
    </row>
    <row r="878" spans="2:30" x14ac:dyDescent="0.3">
      <c r="B878" s="10" t="s">
        <v>385</v>
      </c>
      <c r="C878" s="315" t="s">
        <v>2238</v>
      </c>
      <c r="D878" s="868" t="s">
        <v>3002</v>
      </c>
      <c r="E878" s="837" t="str">
        <f>IFERROR(IF(_xlfn.XLOOKUP(Imput[[#This Row],[RFC]],'Alta Proveedor'!D:D,'Alta Proveedor'!E:E)=0,"",_xlfn.XLOOKUP(Imput[[#This Row],[RFC]],'Alta Proveedor'!D:D,'Alta Proveedor'!E:E)),"")</f>
        <v>EDGAR GUZMAN MORALES "MATERIALES GUZMAN"</v>
      </c>
      <c r="F878" s="832" t="s">
        <v>3021</v>
      </c>
      <c r="G878" s="187">
        <v>2</v>
      </c>
      <c r="H878" s="1">
        <v>34.484999999999999</v>
      </c>
      <c r="I878" s="169">
        <f>Imput[[#This Row],[Cantidad]]*Imput[[#This Row],[Precio Unitario]]</f>
        <v>68.97</v>
      </c>
      <c r="J878" s="11">
        <f>((Imput[[#This Row],[Sub total]])*(0.16))</f>
        <v>11.0352</v>
      </c>
      <c r="K878" s="11">
        <v>0</v>
      </c>
      <c r="L878" s="169">
        <f>Imput[[#This Row],[Sub total]]+Imput[[#This Row],[IVA]]-Imput[[#This Row],[Retención / IEPS / Descuento]]</f>
        <v>80.005200000000002</v>
      </c>
      <c r="M878" s="844">
        <v>0</v>
      </c>
      <c r="N878" s="189" t="s">
        <v>123</v>
      </c>
      <c r="O878" s="1"/>
      <c r="P878" s="189" t="s">
        <v>3000</v>
      </c>
      <c r="Q878" s="190" t="s">
        <v>3001</v>
      </c>
      <c r="R878" s="188">
        <v>45897</v>
      </c>
      <c r="S878" s="193" t="s">
        <v>154</v>
      </c>
      <c r="T878" s="192"/>
      <c r="U878" s="829"/>
      <c r="V878" s="10"/>
      <c r="W878" s="10"/>
      <c r="X878" s="10"/>
      <c r="Y878" s="10"/>
      <c r="Z878" s="10"/>
      <c r="AA878" s="11"/>
      <c r="AB878" s="11"/>
      <c r="AD878" s="260"/>
    </row>
    <row r="879" spans="2:30" x14ac:dyDescent="0.3">
      <c r="B879" s="10" t="s">
        <v>385</v>
      </c>
      <c r="C879" s="315" t="s">
        <v>2238</v>
      </c>
      <c r="D879" s="868" t="s">
        <v>3002</v>
      </c>
      <c r="E879" s="837" t="str">
        <f>IFERROR(IF(_xlfn.XLOOKUP(Imput[[#This Row],[RFC]],'Alta Proveedor'!D:D,'Alta Proveedor'!E:E)=0,"",_xlfn.XLOOKUP(Imput[[#This Row],[RFC]],'Alta Proveedor'!D:D,'Alta Proveedor'!E:E)),"")</f>
        <v>EDGAR GUZMAN MORALES "MATERIALES GUZMAN"</v>
      </c>
      <c r="F879" s="832" t="s">
        <v>3022</v>
      </c>
      <c r="G879" s="187">
        <v>2</v>
      </c>
      <c r="H879" s="1">
        <v>30.17</v>
      </c>
      <c r="I879" s="169">
        <f>Imput[[#This Row],[Cantidad]]*Imput[[#This Row],[Precio Unitario]]</f>
        <v>60.34</v>
      </c>
      <c r="J879" s="11">
        <f>((Imput[[#This Row],[Sub total]])*(0.16))</f>
        <v>9.6544000000000008</v>
      </c>
      <c r="K879" s="11">
        <v>0</v>
      </c>
      <c r="L879" s="169">
        <f>Imput[[#This Row],[Sub total]]+Imput[[#This Row],[IVA]]-Imput[[#This Row],[Retención / IEPS / Descuento]]</f>
        <v>69.994399999999999</v>
      </c>
      <c r="M879" s="844">
        <v>0</v>
      </c>
      <c r="N879" s="189" t="s">
        <v>123</v>
      </c>
      <c r="O879" s="1"/>
      <c r="P879" s="189" t="s">
        <v>3000</v>
      </c>
      <c r="Q879" s="190" t="s">
        <v>3001</v>
      </c>
      <c r="R879" s="188">
        <v>45897</v>
      </c>
      <c r="S879" s="193" t="s">
        <v>154</v>
      </c>
      <c r="T879" s="192"/>
      <c r="U879" s="829"/>
      <c r="V879" s="10"/>
      <c r="W879" s="10"/>
      <c r="X879" s="10"/>
      <c r="Y879" s="10"/>
      <c r="Z879" s="10"/>
      <c r="AA879" s="11"/>
      <c r="AB879" s="11"/>
      <c r="AD879" s="260"/>
    </row>
    <row r="880" spans="2:30" x14ac:dyDescent="0.3">
      <c r="B880" s="10" t="s">
        <v>385</v>
      </c>
      <c r="C880" s="315" t="s">
        <v>2238</v>
      </c>
      <c r="D880" s="868" t="s">
        <v>3002</v>
      </c>
      <c r="E880" s="837" t="str">
        <f>IFERROR(IF(_xlfn.XLOOKUP(Imput[[#This Row],[RFC]],'Alta Proveedor'!D:D,'Alta Proveedor'!E:E)=0,"",_xlfn.XLOOKUP(Imput[[#This Row],[RFC]],'Alta Proveedor'!D:D,'Alta Proveedor'!E:E)),"")</f>
        <v>EDGAR GUZMAN MORALES "MATERIALES GUZMAN"</v>
      </c>
      <c r="F880" s="832" t="s">
        <v>3023</v>
      </c>
      <c r="G880" s="187">
        <v>1</v>
      </c>
      <c r="H880" s="1">
        <v>107.76</v>
      </c>
      <c r="I880" s="169">
        <f>Imput[[#This Row],[Cantidad]]*Imput[[#This Row],[Precio Unitario]]</f>
        <v>107.76</v>
      </c>
      <c r="J880" s="11">
        <f>((Imput[[#This Row],[Sub total]])*(0.16))</f>
        <v>17.241600000000002</v>
      </c>
      <c r="K880" s="11">
        <v>0</v>
      </c>
      <c r="L880" s="169">
        <f>Imput[[#This Row],[Sub total]]+Imput[[#This Row],[IVA]]-Imput[[#This Row],[Retención / IEPS / Descuento]]</f>
        <v>125.00160000000001</v>
      </c>
      <c r="M880" s="844">
        <v>0</v>
      </c>
      <c r="N880" s="189" t="s">
        <v>123</v>
      </c>
      <c r="O880" s="1"/>
      <c r="P880" s="189" t="s">
        <v>3000</v>
      </c>
      <c r="Q880" s="190" t="s">
        <v>3001</v>
      </c>
      <c r="R880" s="188">
        <v>45897</v>
      </c>
      <c r="S880" s="193" t="s">
        <v>154</v>
      </c>
      <c r="T880" s="192"/>
      <c r="U880" s="829"/>
      <c r="V880" s="10"/>
      <c r="W880" s="10"/>
      <c r="X880" s="10"/>
      <c r="Y880" s="10"/>
      <c r="Z880" s="10"/>
      <c r="AA880" s="11"/>
      <c r="AB880" s="11"/>
      <c r="AD880" s="260"/>
    </row>
    <row r="881" spans="2:30" x14ac:dyDescent="0.3">
      <c r="B881" s="10" t="s">
        <v>385</v>
      </c>
      <c r="C881" s="315" t="s">
        <v>1767</v>
      </c>
      <c r="D881" s="868" t="s">
        <v>1553</v>
      </c>
      <c r="E881" s="837" t="str">
        <f>IFERROR(IF(_xlfn.XLOOKUP(Imput[[#This Row],[RFC]],'Alta Proveedor'!D:D,'Alta Proveedor'!E:E)=0,"",_xlfn.XLOOKUP(Imput[[#This Row],[RFC]],'Alta Proveedor'!D:D,'Alta Proveedor'!E:E)),"")</f>
        <v>COMERCIALIZADORA DE COMBUSTIBLES TAMAULIPECA "NEXUM" (COMBUSTIBLES)</v>
      </c>
      <c r="F881" s="832" t="s">
        <v>237</v>
      </c>
      <c r="G881" s="187">
        <v>33.926999000000002</v>
      </c>
      <c r="H881" s="1">
        <v>22.414863</v>
      </c>
      <c r="I881" s="169">
        <f>Imput[[#This Row],[Cantidad]]*Imput[[#This Row],[Precio Unitario]]</f>
        <v>760.46903458613701</v>
      </c>
      <c r="J881" s="11">
        <v>117.9</v>
      </c>
      <c r="K881" s="11">
        <v>0</v>
      </c>
      <c r="L881" s="169">
        <f>Imput[[#This Row],[Sub total]]+Imput[[#This Row],[IVA]]-Imput[[#This Row],[Retención / IEPS / Descuento]]</f>
        <v>878.36903458613699</v>
      </c>
      <c r="M881" s="844">
        <v>878.36903458613699</v>
      </c>
      <c r="N881" s="189" t="s">
        <v>123</v>
      </c>
      <c r="O881" s="1"/>
      <c r="P881" s="189" t="s">
        <v>3009</v>
      </c>
      <c r="Q881" s="190" t="s">
        <v>3010</v>
      </c>
      <c r="R881" s="188">
        <v>45897</v>
      </c>
      <c r="S881" s="193" t="s">
        <v>126</v>
      </c>
      <c r="T881" s="192"/>
      <c r="U881" s="829"/>
      <c r="V881" s="10"/>
      <c r="W881" s="10"/>
      <c r="X881" s="10"/>
      <c r="Y881" s="10"/>
      <c r="Z881" s="10"/>
      <c r="AA881" s="11"/>
      <c r="AB881" s="11"/>
      <c r="AD881" s="260"/>
    </row>
    <row r="882" spans="2:30" x14ac:dyDescent="0.3">
      <c r="B882" s="10" t="s">
        <v>385</v>
      </c>
      <c r="C882" s="315" t="s">
        <v>1747</v>
      </c>
      <c r="D882" s="868" t="s">
        <v>1051</v>
      </c>
      <c r="E882" s="837" t="str">
        <f>IFERROR(IF(_xlfn.XLOOKUP(Imput[[#This Row],[RFC]],'Alta Proveedor'!D:D,'Alta Proveedor'!E:E)=0,"",_xlfn.XLOOKUP(Imput[[#This Row],[RFC]],'Alta Proveedor'!D:D,'Alta Proveedor'!E:E)),"")</f>
        <v>HOTEL RESTAURANTE MANDARIN</v>
      </c>
      <c r="F882" s="832" t="s">
        <v>1482</v>
      </c>
      <c r="G882" s="187">
        <v>1</v>
      </c>
      <c r="H882" s="1">
        <v>655.47</v>
      </c>
      <c r="I882" s="169">
        <f>Imput[[#This Row],[Cantidad]]*Imput[[#This Row],[Precio Unitario]]</f>
        <v>655.47</v>
      </c>
      <c r="J882" s="11">
        <f>((Imput[[#This Row],[Sub total]])*(0.16))+19.66</f>
        <v>124.5352</v>
      </c>
      <c r="K882" s="11">
        <v>0</v>
      </c>
      <c r="L882" s="169">
        <f>Imput[[#This Row],[Sub total]]+Imput[[#This Row],[IVA]]-Imput[[#This Row],[Retención / IEPS / Descuento]]</f>
        <v>780.00520000000006</v>
      </c>
      <c r="M882" s="844">
        <v>780.00520000000006</v>
      </c>
      <c r="N882" s="189" t="s">
        <v>123</v>
      </c>
      <c r="O882" s="1"/>
      <c r="P882" s="189" t="s">
        <v>2998</v>
      </c>
      <c r="Q882" s="190" t="s">
        <v>2999</v>
      </c>
      <c r="R882" s="188">
        <v>45897</v>
      </c>
      <c r="S882" s="193" t="s">
        <v>154</v>
      </c>
      <c r="T882" s="192"/>
      <c r="U882" s="829"/>
      <c r="V882" s="10"/>
      <c r="W882" s="10"/>
      <c r="X882" s="10"/>
      <c r="Y882" s="10"/>
      <c r="Z882" s="10"/>
      <c r="AA882" s="11"/>
      <c r="AB882" s="11"/>
      <c r="AD882" s="260"/>
    </row>
    <row r="883" spans="2:30" x14ac:dyDescent="0.3">
      <c r="B883" s="10" t="s">
        <v>385</v>
      </c>
      <c r="C883" s="315" t="s">
        <v>1767</v>
      </c>
      <c r="D883" s="868" t="s">
        <v>3291</v>
      </c>
      <c r="E883" s="837" t="str">
        <f>IFERROR(IF(_xlfn.XLOOKUP(Imput[[#This Row],[RFC]],'Alta Proveedor'!D:D,'Alta Proveedor'!E:E)=0,"",_xlfn.XLOOKUP(Imput[[#This Row],[RFC]],'Alta Proveedor'!D:D,'Alta Proveedor'!E:E)),"")</f>
        <v>MONTERREY S/N ESFUERZO OBRERO AMPLIACION TAMPICO TAMAULIPAS MEXICOCP 89316</v>
      </c>
      <c r="F883" s="832" t="s">
        <v>1114</v>
      </c>
      <c r="G883" s="187">
        <v>61.122999999999998</v>
      </c>
      <c r="H883" s="1">
        <v>21.927299999999999</v>
      </c>
      <c r="I883" s="169">
        <f>Imput[[#This Row],[Cantidad]]*Imput[[#This Row],[Precio Unitario]]</f>
        <v>1340.2623578999999</v>
      </c>
      <c r="J883" s="11">
        <v>209.82</v>
      </c>
      <c r="K883" s="11">
        <v>0</v>
      </c>
      <c r="L883" s="169">
        <f>Imput[[#This Row],[Sub total]]+Imput[[#This Row],[IVA]]-Imput[[#This Row],[Retención / IEPS / Descuento]]</f>
        <v>1550.0823578999998</v>
      </c>
      <c r="M883" s="844">
        <v>1550.0823578999998</v>
      </c>
      <c r="N883" s="189" t="s">
        <v>123</v>
      </c>
      <c r="O883" s="1"/>
      <c r="P883" s="189" t="s">
        <v>3290</v>
      </c>
      <c r="Q883" s="190" t="s">
        <v>3293</v>
      </c>
      <c r="R883" s="188">
        <v>45898</v>
      </c>
      <c r="S883" s="193" t="s">
        <v>154</v>
      </c>
      <c r="T883" s="192"/>
      <c r="U883" s="829"/>
      <c r="V883" s="10"/>
      <c r="W883" s="10"/>
      <c r="X883" s="10"/>
      <c r="Y883" s="10"/>
      <c r="Z883" s="10"/>
      <c r="AA883" s="11"/>
      <c r="AB883" s="11"/>
      <c r="AD883" s="260"/>
    </row>
    <row r="884" spans="2:30" x14ac:dyDescent="0.3">
      <c r="B884" s="10" t="s">
        <v>385</v>
      </c>
      <c r="C884" s="315" t="s">
        <v>1747</v>
      </c>
      <c r="D884" s="868" t="s">
        <v>1051</v>
      </c>
      <c r="E884" s="837" t="str">
        <f>IFERROR(IF(_xlfn.XLOOKUP(Imput[[#This Row],[RFC]],'Alta Proveedor'!D:D,'Alta Proveedor'!E:E)=0,"",_xlfn.XLOOKUP(Imput[[#This Row],[RFC]],'Alta Proveedor'!D:D,'Alta Proveedor'!E:E)),"")</f>
        <v>HOTEL RESTAURANTE MANDARIN</v>
      </c>
      <c r="F884" s="832" t="s">
        <v>1482</v>
      </c>
      <c r="G884" s="187">
        <v>1</v>
      </c>
      <c r="H884" s="1">
        <v>655.47</v>
      </c>
      <c r="I884" s="169">
        <f>Imput[[#This Row],[Cantidad]]*Imput[[#This Row],[Precio Unitario]]</f>
        <v>655.47</v>
      </c>
      <c r="J884" s="11">
        <f>((Imput[[#This Row],[Sub total]])*(0.16))+19.66</f>
        <v>124.5352</v>
      </c>
      <c r="K884" s="11">
        <v>0</v>
      </c>
      <c r="L884" s="169">
        <f>Imput[[#This Row],[Sub total]]+Imput[[#This Row],[IVA]]-Imput[[#This Row],[Retención / IEPS / Descuento]]</f>
        <v>780.00520000000006</v>
      </c>
      <c r="M884" s="844">
        <v>780.00520000000006</v>
      </c>
      <c r="N884" s="189" t="s">
        <v>123</v>
      </c>
      <c r="O884" s="1"/>
      <c r="P884" s="189" t="s">
        <v>3011</v>
      </c>
      <c r="Q884" s="190" t="s">
        <v>3012</v>
      </c>
      <c r="R884" s="188">
        <v>45898</v>
      </c>
      <c r="S884" s="193" t="s">
        <v>154</v>
      </c>
      <c r="T884" s="192"/>
      <c r="U884" s="829"/>
      <c r="V884" s="10"/>
      <c r="W884" s="10"/>
      <c r="X884" s="10"/>
      <c r="Y884" s="10"/>
      <c r="Z884" s="10"/>
      <c r="AA884" s="11"/>
      <c r="AB884" s="11"/>
      <c r="AD884" s="260"/>
    </row>
    <row r="885" spans="2:30" x14ac:dyDescent="0.3">
      <c r="B885" s="10" t="s">
        <v>385</v>
      </c>
      <c r="C885" s="315" t="s">
        <v>1759</v>
      </c>
      <c r="D885" s="868" t="s">
        <v>3225</v>
      </c>
      <c r="E885" s="837" t="str">
        <f>IFERROR(IF(_xlfn.XLOOKUP(Imput[[#This Row],[RFC]],'Alta Proveedor'!D:D,'Alta Proveedor'!E:E)=0,"",_xlfn.XLOOKUP(Imput[[#This Row],[RFC]],'Alta Proveedor'!D:D,'Alta Proveedor'!E:E)),"")</f>
        <v>GASTOS SIN FACTURA</v>
      </c>
      <c r="F885" s="832" t="s">
        <v>3221</v>
      </c>
      <c r="G885" s="187">
        <v>1</v>
      </c>
      <c r="H885" s="1">
        <v>5000</v>
      </c>
      <c r="I885" s="169">
        <f>Imput[[#This Row],[Cantidad]]*Imput[[#This Row],[Precio Unitario]]</f>
        <v>5000</v>
      </c>
      <c r="J885" s="11">
        <f>Imput[[#This Row],[Sub total]]*0.08</f>
        <v>400</v>
      </c>
      <c r="K885" s="11">
        <v>0</v>
      </c>
      <c r="L885" s="169">
        <f>Imput[[#This Row],[Sub total]]+Imput[[#This Row],[IVA]]-Imput[[#This Row],[Retención / IEPS / Descuento]]</f>
        <v>5400</v>
      </c>
      <c r="M885" s="844">
        <v>5400</v>
      </c>
      <c r="N885" s="189"/>
      <c r="O885" s="1"/>
      <c r="P885" s="189"/>
      <c r="Q885" s="190"/>
      <c r="R885" s="188">
        <v>45898</v>
      </c>
      <c r="S885" s="193"/>
      <c r="T885" s="192"/>
      <c r="U885" s="829" t="s">
        <v>3225</v>
      </c>
      <c r="V885" s="10"/>
      <c r="W885" s="10"/>
      <c r="X885" s="10"/>
      <c r="Y885" s="10"/>
      <c r="Z885" s="10"/>
      <c r="AA885" s="11"/>
      <c r="AB885" s="11"/>
      <c r="AD885" s="260"/>
    </row>
    <row r="886" spans="2:30" x14ac:dyDescent="0.3">
      <c r="B886" s="10" t="s">
        <v>385</v>
      </c>
      <c r="C886" s="315" t="s">
        <v>1849</v>
      </c>
      <c r="D886" s="868" t="s">
        <v>3225</v>
      </c>
      <c r="E886" s="837" t="str">
        <f>IFERROR(IF(_xlfn.XLOOKUP(Imput[[#This Row],[RFC]],'Alta Proveedor'!D:D,'Alta Proveedor'!E:E)=0,"",_xlfn.XLOOKUP(Imput[[#This Row],[RFC]],'Alta Proveedor'!D:D,'Alta Proveedor'!E:E)),"")</f>
        <v>GASTOS SIN FACTURA</v>
      </c>
      <c r="F886" s="832" t="s">
        <v>3222</v>
      </c>
      <c r="G886" s="187">
        <v>1</v>
      </c>
      <c r="H886" s="1">
        <v>3500</v>
      </c>
      <c r="I886" s="169">
        <f>Imput[[#This Row],[Cantidad]]*Imput[[#This Row],[Precio Unitario]]</f>
        <v>3500</v>
      </c>
      <c r="J886" s="11">
        <f>Imput[[#This Row],[Sub total]]*0.08</f>
        <v>280</v>
      </c>
      <c r="K886" s="11">
        <v>0</v>
      </c>
      <c r="L886" s="169">
        <f>Imput[[#This Row],[Sub total]]+Imput[[#This Row],[IVA]]-Imput[[#This Row],[Retención / IEPS / Descuento]]</f>
        <v>3780</v>
      </c>
      <c r="M886" s="844">
        <v>3780</v>
      </c>
      <c r="N886" s="189"/>
      <c r="O886" s="1"/>
      <c r="P886" s="189"/>
      <c r="Q886" s="190"/>
      <c r="R886" s="188">
        <v>45898</v>
      </c>
      <c r="S886" s="193"/>
      <c r="T886" s="192"/>
      <c r="U886" s="829" t="s">
        <v>3099</v>
      </c>
      <c r="V886" s="10"/>
      <c r="W886" s="10"/>
      <c r="X886" s="10"/>
      <c r="Y886" s="10"/>
      <c r="Z886" s="10"/>
      <c r="AA886" s="11"/>
      <c r="AB886" s="11"/>
      <c r="AD886" s="260"/>
    </row>
    <row r="887" spans="2:30" x14ac:dyDescent="0.3">
      <c r="B887" s="10" t="s">
        <v>385</v>
      </c>
      <c r="C887" s="315" t="s">
        <v>2522</v>
      </c>
      <c r="D887" s="868" t="s">
        <v>3225</v>
      </c>
      <c r="E887" s="837" t="str">
        <f>IFERROR(IF(_xlfn.XLOOKUP(Imput[[#This Row],[RFC]],'Alta Proveedor'!D:D,'Alta Proveedor'!E:E)=0,"",_xlfn.XLOOKUP(Imput[[#This Row],[RFC]],'Alta Proveedor'!D:D,'Alta Proveedor'!E:E)),"")</f>
        <v>GASTOS SIN FACTURA</v>
      </c>
      <c r="F887" s="832" t="s">
        <v>3223</v>
      </c>
      <c r="G887" s="187">
        <v>1</v>
      </c>
      <c r="H887" s="1">
        <v>10000</v>
      </c>
      <c r="I887" s="169">
        <f>Imput[[#This Row],[Cantidad]]*Imput[[#This Row],[Precio Unitario]]</f>
        <v>10000</v>
      </c>
      <c r="J887" s="11">
        <f>Imput[[#This Row],[Sub total]]*0.08</f>
        <v>800</v>
      </c>
      <c r="K887" s="11">
        <v>0</v>
      </c>
      <c r="L887" s="169">
        <f>Imput[[#This Row],[Sub total]]+Imput[[#This Row],[IVA]]-Imput[[#This Row],[Retención / IEPS / Descuento]]</f>
        <v>10800</v>
      </c>
      <c r="M887" s="844">
        <v>10800</v>
      </c>
      <c r="N887" s="189"/>
      <c r="O887" s="1"/>
      <c r="P887" s="189"/>
      <c r="Q887" s="190"/>
      <c r="R887" s="188">
        <v>45898</v>
      </c>
      <c r="S887" s="193"/>
      <c r="T887" s="192"/>
      <c r="U887" s="829" t="s">
        <v>3225</v>
      </c>
      <c r="V887" s="10"/>
      <c r="W887" s="10"/>
      <c r="X887" s="10"/>
      <c r="Y887" s="10"/>
      <c r="Z887" s="10"/>
      <c r="AA887" s="11"/>
      <c r="AB887" s="11"/>
      <c r="AD887" s="260"/>
    </row>
    <row r="888" spans="2:30" x14ac:dyDescent="0.3">
      <c r="B888" s="10" t="s">
        <v>385</v>
      </c>
      <c r="C888" s="315"/>
      <c r="D888" s="868" t="s">
        <v>164</v>
      </c>
      <c r="E888" s="837" t="str">
        <f>IFERROR(IF(_xlfn.XLOOKUP(Imput[[#This Row],[RFC]],'Alta Proveedor'!D:D,'Alta Proveedor'!E:E)=0,"",_xlfn.XLOOKUP(Imput[[#This Row],[RFC]],'Alta Proveedor'!D:D,'Alta Proveedor'!E:E)),"")</f>
        <v>HOME DEPOT MEXICO SUCURSAL THD-8730 TAMPICO</v>
      </c>
      <c r="F888" s="832" t="s">
        <v>3250</v>
      </c>
      <c r="G888" s="187">
        <v>1</v>
      </c>
      <c r="H888" s="1">
        <v>1033.6199999999999</v>
      </c>
      <c r="I888" s="169">
        <f>Imput[[#This Row],[Cantidad]]*Imput[[#This Row],[Precio Unitario]]</f>
        <v>1033.6199999999999</v>
      </c>
      <c r="J888" s="11">
        <f>((Imput[[#This Row],[Sub total]])*(0.16))</f>
        <v>165.3792</v>
      </c>
      <c r="K888" s="11">
        <v>0</v>
      </c>
      <c r="L888" s="169">
        <f>Imput[[#This Row],[Sub total]]+Imput[[#This Row],[IVA]]-Imput[[#This Row],[Retención / IEPS / Descuento]]</f>
        <v>1198.9992</v>
      </c>
      <c r="M888" s="844">
        <v>2397.9983999999999</v>
      </c>
      <c r="N888" s="189" t="s">
        <v>123</v>
      </c>
      <c r="O888" s="1"/>
      <c r="P888" s="189" t="s">
        <v>3248</v>
      </c>
      <c r="Q888" s="190" t="s">
        <v>3249</v>
      </c>
      <c r="R888" s="188">
        <v>45899</v>
      </c>
      <c r="S888" s="193" t="s">
        <v>126</v>
      </c>
      <c r="T888" s="192"/>
      <c r="U888" s="829"/>
      <c r="V888" s="10"/>
      <c r="W888" s="10"/>
      <c r="X888" s="10"/>
      <c r="Y888" s="10"/>
      <c r="Z888" s="10"/>
      <c r="AA888" s="11"/>
      <c r="AB888" s="11"/>
      <c r="AD888" s="260"/>
    </row>
    <row r="889" spans="2:30" x14ac:dyDescent="0.3">
      <c r="B889" s="10" t="s">
        <v>385</v>
      </c>
      <c r="C889" s="315"/>
      <c r="D889" s="868" t="s">
        <v>164</v>
      </c>
      <c r="E889" s="837" t="str">
        <f>IFERROR(IF(_xlfn.XLOOKUP(Imput[[#This Row],[RFC]],'Alta Proveedor'!D:D,'Alta Proveedor'!E:E)=0,"",_xlfn.XLOOKUP(Imput[[#This Row],[RFC]],'Alta Proveedor'!D:D,'Alta Proveedor'!E:E)),"")</f>
        <v>HOME DEPOT MEXICO SUCURSAL THD-8730 TAMPICO</v>
      </c>
      <c r="F889" s="832" t="s">
        <v>3250</v>
      </c>
      <c r="G889" s="187">
        <v>1</v>
      </c>
      <c r="H889" s="1">
        <v>1033.6199999999999</v>
      </c>
      <c r="I889" s="169">
        <f>Imput[[#This Row],[Cantidad]]*Imput[[#This Row],[Precio Unitario]]</f>
        <v>1033.6199999999999</v>
      </c>
      <c r="J889" s="11">
        <f>((Imput[[#This Row],[Sub total]])*(0.16))</f>
        <v>165.3792</v>
      </c>
      <c r="K889" s="11">
        <v>0</v>
      </c>
      <c r="L889" s="169">
        <f>Imput[[#This Row],[Sub total]]+Imput[[#This Row],[IVA]]-Imput[[#This Row],[Retención / IEPS / Descuento]]</f>
        <v>1198.9992</v>
      </c>
      <c r="M889" s="844">
        <v>0</v>
      </c>
      <c r="N889" s="189" t="s">
        <v>123</v>
      </c>
      <c r="O889" s="1"/>
      <c r="P889" s="189" t="s">
        <v>3248</v>
      </c>
      <c r="Q889" s="190" t="s">
        <v>3249</v>
      </c>
      <c r="R889" s="188">
        <v>45899</v>
      </c>
      <c r="S889" s="193" t="s">
        <v>126</v>
      </c>
      <c r="T889" s="192"/>
      <c r="U889" s="829"/>
      <c r="V889" s="10"/>
      <c r="W889" s="10"/>
      <c r="X889" s="10"/>
      <c r="Y889" s="10"/>
      <c r="Z889" s="10"/>
      <c r="AA889" s="11"/>
      <c r="AB889" s="11"/>
      <c r="AD889" s="260"/>
    </row>
    <row r="890" spans="2:30" x14ac:dyDescent="0.3">
      <c r="B890" s="10" t="s">
        <v>385</v>
      </c>
      <c r="C890" s="315"/>
      <c r="D890" s="868" t="s">
        <v>164</v>
      </c>
      <c r="E890" s="837" t="str">
        <f>IFERROR(IF(_xlfn.XLOOKUP(Imput[[#This Row],[RFC]],'Alta Proveedor'!D:D,'Alta Proveedor'!E:E)=0,"",_xlfn.XLOOKUP(Imput[[#This Row],[RFC]],'Alta Proveedor'!D:D,'Alta Proveedor'!E:E)),"")</f>
        <v>HOME DEPOT MEXICO SUCURSAL THD-8730 TAMPICO</v>
      </c>
      <c r="F890" s="832" t="s">
        <v>3253</v>
      </c>
      <c r="G890" s="187">
        <v>1</v>
      </c>
      <c r="H890" s="1">
        <v>33.619999999999997</v>
      </c>
      <c r="I890" s="169">
        <f>Imput[[#This Row],[Cantidad]]*Imput[[#This Row],[Precio Unitario]]</f>
        <v>33.619999999999997</v>
      </c>
      <c r="J890" s="11">
        <f>((Imput[[#This Row],[Sub total]])*(0.16))</f>
        <v>5.3792</v>
      </c>
      <c r="K890" s="11">
        <v>0</v>
      </c>
      <c r="L890" s="169">
        <f>Imput[[#This Row],[Sub total]]+Imput[[#This Row],[IVA]]-Imput[[#This Row],[Retención / IEPS / Descuento]]</f>
        <v>38.999199999999995</v>
      </c>
      <c r="M890" s="844">
        <v>4538.0011999999997</v>
      </c>
      <c r="N890" s="189" t="s">
        <v>123</v>
      </c>
      <c r="O890" s="1"/>
      <c r="P890" s="189" t="s">
        <v>3251</v>
      </c>
      <c r="Q890" s="190" t="s">
        <v>3252</v>
      </c>
      <c r="R890" s="188">
        <v>45899</v>
      </c>
      <c r="S890" s="193" t="s">
        <v>126</v>
      </c>
      <c r="T890" s="192"/>
      <c r="U890" s="829"/>
      <c r="V890" s="10"/>
      <c r="W890" s="10"/>
      <c r="X890" s="10"/>
      <c r="Y890" s="10"/>
      <c r="Z890" s="10"/>
      <c r="AA890" s="11"/>
      <c r="AB890" s="11"/>
      <c r="AD890" s="260"/>
    </row>
    <row r="891" spans="2:30" x14ac:dyDescent="0.3">
      <c r="B891" s="10" t="s">
        <v>385</v>
      </c>
      <c r="C891" s="315"/>
      <c r="D891" s="868" t="s">
        <v>164</v>
      </c>
      <c r="E891" s="837" t="str">
        <f>IFERROR(IF(_xlfn.XLOOKUP(Imput[[#This Row],[RFC]],'Alta Proveedor'!D:D,'Alta Proveedor'!E:E)=0,"",_xlfn.XLOOKUP(Imput[[#This Row],[RFC]],'Alta Proveedor'!D:D,'Alta Proveedor'!E:E)),"")</f>
        <v>HOME DEPOT MEXICO SUCURSAL THD-8730 TAMPICO</v>
      </c>
      <c r="F891" s="832" t="s">
        <v>3254</v>
      </c>
      <c r="G891" s="187">
        <v>1</v>
      </c>
      <c r="H891" s="1">
        <v>3878.45</v>
      </c>
      <c r="I891" s="169">
        <f>Imput[[#This Row],[Cantidad]]*Imput[[#This Row],[Precio Unitario]]</f>
        <v>3878.45</v>
      </c>
      <c r="J891" s="11">
        <f>((Imput[[#This Row],[Sub total]])*(0.16))</f>
        <v>620.55200000000002</v>
      </c>
      <c r="K891" s="11">
        <v>0</v>
      </c>
      <c r="L891" s="169">
        <f>Imput[[#This Row],[Sub total]]+Imput[[#This Row],[IVA]]-Imput[[#This Row],[Retención / IEPS / Descuento]]</f>
        <v>4499.0019999999995</v>
      </c>
      <c r="M891" s="844">
        <v>0</v>
      </c>
      <c r="N891" s="189" t="s">
        <v>123</v>
      </c>
      <c r="O891" s="1"/>
      <c r="P891" s="189" t="s">
        <v>3251</v>
      </c>
      <c r="Q891" s="190" t="s">
        <v>3252</v>
      </c>
      <c r="R891" s="188">
        <v>45899</v>
      </c>
      <c r="S891" s="193" t="s">
        <v>126</v>
      </c>
      <c r="T891" s="192"/>
      <c r="U891" s="829"/>
      <c r="V891" s="10"/>
      <c r="W891" s="10"/>
      <c r="X891" s="10"/>
      <c r="Y891" s="10"/>
      <c r="Z891" s="10"/>
      <c r="AA891" s="11"/>
      <c r="AB891" s="11"/>
      <c r="AD891" s="260"/>
    </row>
    <row r="892" spans="2:30" x14ac:dyDescent="0.3">
      <c r="B892" s="10" t="s">
        <v>385</v>
      </c>
      <c r="C892" s="315"/>
      <c r="D892" s="868" t="s">
        <v>3081</v>
      </c>
      <c r="E892" s="837" t="str">
        <f>IFERROR(IF(_xlfn.XLOOKUP(Imput[[#This Row],[RFC]],'Alta Proveedor'!D:D,'Alta Proveedor'!E:E)=0,"",_xlfn.XLOOKUP(Imput[[#This Row],[RFC]],'Alta Proveedor'!D:D,'Alta Proveedor'!E:E)),"")</f>
        <v>NOMINA</v>
      </c>
      <c r="F892" s="832" t="s">
        <v>3107</v>
      </c>
      <c r="G892" s="187">
        <v>1</v>
      </c>
      <c r="H892" s="1">
        <v>22635.075000000001</v>
      </c>
      <c r="I892" s="169">
        <f>Imput[[#This Row],[Cantidad]]*Imput[[#This Row],[Precio Unitario]]</f>
        <v>22635.075000000001</v>
      </c>
      <c r="J892" s="11">
        <v>0</v>
      </c>
      <c r="K892" s="11">
        <v>0</v>
      </c>
      <c r="L892" s="169">
        <f>Imput[[#This Row],[Sub total]]+Imput[[#This Row],[IVA]]-Imput[[#This Row],[Retención / IEPS / Descuento]]</f>
        <v>22635.075000000001</v>
      </c>
      <c r="M892" s="844">
        <v>22635.075000000001</v>
      </c>
      <c r="N892" s="189"/>
      <c r="O892" s="1"/>
      <c r="P892" s="189" t="str">
        <f>Imput[[#This Row],[Folio]]</f>
        <v>IMSS 0208</v>
      </c>
      <c r="Q892" s="190" t="s">
        <v>3095</v>
      </c>
      <c r="R892" s="188">
        <v>45899</v>
      </c>
      <c r="S892" s="193"/>
      <c r="T892" s="192"/>
      <c r="U892" s="829" t="s">
        <v>3099</v>
      </c>
      <c r="V892" s="10"/>
      <c r="W892" s="10"/>
      <c r="X892" s="10"/>
      <c r="Y892" s="10"/>
      <c r="Z892" s="10"/>
      <c r="AA892" s="11"/>
      <c r="AB892" s="11"/>
      <c r="AD892" s="260"/>
    </row>
    <row r="893" spans="2:30" x14ac:dyDescent="0.3">
      <c r="B893" s="10" t="s">
        <v>385</v>
      </c>
      <c r="C893" s="315" t="s">
        <v>1767</v>
      </c>
      <c r="D893" s="868" t="s">
        <v>1553</v>
      </c>
      <c r="E893" s="837" t="str">
        <f>IFERROR(IF(_xlfn.XLOOKUP(Imput[[#This Row],[RFC]],'Alta Proveedor'!D:D,'Alta Proveedor'!E:E)=0,"",_xlfn.XLOOKUP(Imput[[#This Row],[RFC]],'Alta Proveedor'!D:D,'Alta Proveedor'!E:E)),"")</f>
        <v>COMERCIALIZADORA DE COMBUSTIBLES TAMAULIPECA "NEXUM" (COMBUSTIBLES)</v>
      </c>
      <c r="F893" s="832" t="s">
        <v>1114</v>
      </c>
      <c r="G893" s="187">
        <v>66.963999999999999</v>
      </c>
      <c r="H893" s="1">
        <v>22.599594</v>
      </c>
      <c r="I893" s="169">
        <f>Imput[[#This Row],[Cantidad]]*Imput[[#This Row],[Precio Unitario]]</f>
        <v>1513.3592126159999</v>
      </c>
      <c r="J893" s="11">
        <v>237.07</v>
      </c>
      <c r="K893" s="11">
        <v>0</v>
      </c>
      <c r="L893" s="169">
        <f>Imput[[#This Row],[Sub total]]+Imput[[#This Row],[IVA]]-Imput[[#This Row],[Retención / IEPS / Descuento]]</f>
        <v>1750.4292126159999</v>
      </c>
      <c r="M893" s="844">
        <v>1750.4292126159999</v>
      </c>
      <c r="N893" s="189" t="s">
        <v>123</v>
      </c>
      <c r="O893" s="1"/>
      <c r="P893" s="189" t="s">
        <v>3259</v>
      </c>
      <c r="Q893" s="190" t="s">
        <v>3260</v>
      </c>
      <c r="R893" s="188">
        <v>45899</v>
      </c>
      <c r="S893" s="193" t="s">
        <v>126</v>
      </c>
      <c r="T893" s="192"/>
      <c r="U893" s="829"/>
      <c r="V893" s="10"/>
      <c r="W893" s="10"/>
      <c r="X893" s="10"/>
      <c r="Y893" s="10"/>
      <c r="Z893" s="10"/>
      <c r="AA893" s="11"/>
      <c r="AB893" s="11"/>
      <c r="AD893" s="260"/>
    </row>
    <row r="894" spans="2:30" x14ac:dyDescent="0.3">
      <c r="B894" s="10" t="s">
        <v>385</v>
      </c>
      <c r="C894" s="315" t="s">
        <v>2334</v>
      </c>
      <c r="D894" s="868" t="s">
        <v>3119</v>
      </c>
      <c r="E894" s="837" t="str">
        <f>IFERROR(IF(_xlfn.XLOOKUP(Imput[[#This Row],[RFC]],'Alta Proveedor'!D:D,'Alta Proveedor'!E:E)=0,"",_xlfn.XLOOKUP(Imput[[#This Row],[RFC]],'Alta Proveedor'!D:D,'Alta Proveedor'!E:E)),"")</f>
        <v>Nomina-OPERACIÓN</v>
      </c>
      <c r="F894" s="832" t="s">
        <v>3239</v>
      </c>
      <c r="G894" s="187">
        <v>1</v>
      </c>
      <c r="H894" s="1">
        <v>9032</v>
      </c>
      <c r="I894" s="169">
        <f>Imput[[#This Row],[Cantidad]]*Imput[[#This Row],[Precio Unitario]]</f>
        <v>9032</v>
      </c>
      <c r="J894" s="11">
        <f>Imput[[#This Row],[Sub total]]*0.08</f>
        <v>722.56000000000006</v>
      </c>
      <c r="K894" s="11">
        <v>0</v>
      </c>
      <c r="L894" s="169">
        <f>Imput[[#This Row],[Sub total]]+Imput[[#This Row],[IVA]]-Imput[[#This Row],[Retención / IEPS / Descuento]]</f>
        <v>9754.56</v>
      </c>
      <c r="M894" s="844">
        <v>9754.56</v>
      </c>
      <c r="N894" s="189"/>
      <c r="O894" s="1"/>
      <c r="P894" s="189"/>
      <c r="Q894" s="190"/>
      <c r="R894" s="188">
        <v>45899</v>
      </c>
      <c r="S894" s="193"/>
      <c r="T894" s="192"/>
      <c r="U894" s="829" t="s">
        <v>3225</v>
      </c>
      <c r="V894" s="10"/>
      <c r="W894" s="10"/>
      <c r="X894" s="10"/>
      <c r="Y894" s="10"/>
      <c r="Z894" s="10"/>
      <c r="AA894" s="11"/>
      <c r="AB894" s="11"/>
      <c r="AD894" s="260"/>
    </row>
    <row r="895" spans="2:30" x14ac:dyDescent="0.3">
      <c r="B895" s="10" t="s">
        <v>385</v>
      </c>
      <c r="C895" s="315"/>
      <c r="D895" s="868" t="s">
        <v>3119</v>
      </c>
      <c r="E895" s="837" t="str">
        <f>IFERROR(IF(_xlfn.XLOOKUP(Imput[[#This Row],[RFC]],'Alta Proveedor'!D:D,'Alta Proveedor'!E:E)=0,"",_xlfn.XLOOKUP(Imput[[#This Row],[RFC]],'Alta Proveedor'!D:D,'Alta Proveedor'!E:E)),"")</f>
        <v>Nomina-OPERACIÓN</v>
      </c>
      <c r="F895" s="832" t="s">
        <v>3240</v>
      </c>
      <c r="G895" s="187">
        <v>1</v>
      </c>
      <c r="H895" s="1">
        <v>3500</v>
      </c>
      <c r="I895" s="169">
        <f>Imput[[#This Row],[Cantidad]]*Imput[[#This Row],[Precio Unitario]]</f>
        <v>3500</v>
      </c>
      <c r="J895" s="11">
        <f>Imput[[#This Row],[Sub total]]*0.08</f>
        <v>280</v>
      </c>
      <c r="K895" s="11">
        <v>0</v>
      </c>
      <c r="L895" s="169">
        <f>Imput[[#This Row],[Sub total]]+Imput[[#This Row],[IVA]]-Imput[[#This Row],[Retención / IEPS / Descuento]]</f>
        <v>3780</v>
      </c>
      <c r="M895" s="844">
        <v>3780</v>
      </c>
      <c r="N895" s="189"/>
      <c r="O895" s="1"/>
      <c r="P895" s="189"/>
      <c r="Q895" s="190"/>
      <c r="R895" s="188">
        <v>45899</v>
      </c>
      <c r="S895" s="193"/>
      <c r="T895" s="192"/>
      <c r="U895" s="829" t="s">
        <v>3225</v>
      </c>
      <c r="V895" s="10"/>
      <c r="W895" s="10"/>
      <c r="X895" s="10"/>
      <c r="Y895" s="10"/>
      <c r="Z895" s="10"/>
      <c r="AA895" s="11"/>
      <c r="AB895" s="11"/>
      <c r="AD895" s="260"/>
    </row>
    <row r="896" spans="2:30" x14ac:dyDescent="0.3">
      <c r="B896" s="10" t="s">
        <v>385</v>
      </c>
      <c r="C896" s="315"/>
      <c r="D896" s="868" t="s">
        <v>3119</v>
      </c>
      <c r="E896" s="837" t="str">
        <f>IFERROR(IF(_xlfn.XLOOKUP(Imput[[#This Row],[RFC]],'Alta Proveedor'!D:D,'Alta Proveedor'!E:E)=0,"",_xlfn.XLOOKUP(Imput[[#This Row],[RFC]],'Alta Proveedor'!D:D,'Alta Proveedor'!E:E)),"")</f>
        <v>Nomina-OPERACIÓN</v>
      </c>
      <c r="F896" s="832" t="s">
        <v>3245</v>
      </c>
      <c r="G896" s="187">
        <v>1</v>
      </c>
      <c r="H896" s="1">
        <f>820*4</f>
        <v>3280</v>
      </c>
      <c r="I896" s="169">
        <f>Imput[[#This Row],[Cantidad]]*Imput[[#This Row],[Precio Unitario]]</f>
        <v>3280</v>
      </c>
      <c r="J896" s="11">
        <f>Imput[[#This Row],[Sub total]]*0.08</f>
        <v>262.39999999999998</v>
      </c>
      <c r="K896" s="11">
        <v>0</v>
      </c>
      <c r="L896" s="169">
        <f>Imput[[#This Row],[Sub total]]+Imput[[#This Row],[IVA]]-Imput[[#This Row],[Retención / IEPS / Descuento]]</f>
        <v>3542.4</v>
      </c>
      <c r="M896" s="844">
        <v>3542.4</v>
      </c>
      <c r="N896" s="189"/>
      <c r="O896" s="1"/>
      <c r="P896" s="189"/>
      <c r="Q896" s="190"/>
      <c r="R896" s="188">
        <v>45899</v>
      </c>
      <c r="S896" s="193"/>
      <c r="T896" s="192"/>
      <c r="U896" s="829" t="s">
        <v>3225</v>
      </c>
      <c r="V896" s="10"/>
      <c r="W896" s="10"/>
      <c r="X896" s="10"/>
      <c r="Y896" s="10"/>
      <c r="Z896" s="10"/>
      <c r="AA896" s="11"/>
      <c r="AB896" s="11"/>
      <c r="AD896" s="260"/>
    </row>
    <row r="897" spans="2:30" x14ac:dyDescent="0.3">
      <c r="B897" s="10" t="s">
        <v>385</v>
      </c>
      <c r="C897" s="315"/>
      <c r="D897" s="868" t="s">
        <v>3119</v>
      </c>
      <c r="E897" s="837" t="str">
        <f>IFERROR(IF(_xlfn.XLOOKUP(Imput[[#This Row],[RFC]],'Alta Proveedor'!D:D,'Alta Proveedor'!E:E)=0,"",_xlfn.XLOOKUP(Imput[[#This Row],[RFC]],'Alta Proveedor'!D:D,'Alta Proveedor'!E:E)),"")</f>
        <v>Nomina-OPERACIÓN</v>
      </c>
      <c r="F897" s="832" t="s">
        <v>3246</v>
      </c>
      <c r="G897" s="187">
        <v>1</v>
      </c>
      <c r="H897" s="1">
        <f>820*1</f>
        <v>820</v>
      </c>
      <c r="I897" s="169">
        <f>Imput[[#This Row],[Cantidad]]*Imput[[#This Row],[Precio Unitario]]</f>
        <v>820</v>
      </c>
      <c r="J897" s="11">
        <f>Imput[[#This Row],[Sub total]]*0.08</f>
        <v>65.599999999999994</v>
      </c>
      <c r="K897" s="11">
        <v>0</v>
      </c>
      <c r="L897" s="169">
        <f>Imput[[#This Row],[Sub total]]+Imput[[#This Row],[IVA]]-Imput[[#This Row],[Retención / IEPS / Descuento]]</f>
        <v>885.6</v>
      </c>
      <c r="M897" s="844">
        <v>885.6</v>
      </c>
      <c r="N897" s="189"/>
      <c r="O897" s="1"/>
      <c r="P897" s="189"/>
      <c r="Q897" s="190"/>
      <c r="R897" s="188">
        <v>45899</v>
      </c>
      <c r="S897" s="193"/>
      <c r="T897" s="192"/>
      <c r="U897" s="829" t="s">
        <v>3225</v>
      </c>
      <c r="V897" s="10"/>
      <c r="W897" s="10"/>
      <c r="X897" s="10"/>
      <c r="Y897" s="10"/>
      <c r="Z897" s="10"/>
      <c r="AA897" s="11"/>
      <c r="AB897" s="11"/>
      <c r="AD897" s="260"/>
    </row>
    <row r="898" spans="2:30" x14ac:dyDescent="0.3">
      <c r="B898" s="10" t="s">
        <v>385</v>
      </c>
      <c r="C898" s="315"/>
      <c r="D898" s="868" t="s">
        <v>3119</v>
      </c>
      <c r="E898" s="837" t="str">
        <f>IFERROR(IF(_xlfn.XLOOKUP(Imput[[#This Row],[RFC]],'Alta Proveedor'!D:D,'Alta Proveedor'!E:E)=0,"",_xlfn.XLOOKUP(Imput[[#This Row],[RFC]],'Alta Proveedor'!D:D,'Alta Proveedor'!E:E)),"")</f>
        <v>Nomina-OPERACIÓN</v>
      </c>
      <c r="F898" s="832" t="s">
        <v>3244</v>
      </c>
      <c r="G898" s="187">
        <v>1</v>
      </c>
      <c r="H898" s="1">
        <f>4*600</f>
        <v>2400</v>
      </c>
      <c r="I898" s="169">
        <f>Imput[[#This Row],[Cantidad]]*Imput[[#This Row],[Precio Unitario]]</f>
        <v>2400</v>
      </c>
      <c r="J898" s="11">
        <f>Imput[[#This Row],[Sub total]]*0.08</f>
        <v>192</v>
      </c>
      <c r="K898" s="11">
        <v>0</v>
      </c>
      <c r="L898" s="169">
        <f>Imput[[#This Row],[Sub total]]+Imput[[#This Row],[IVA]]-Imput[[#This Row],[Retención / IEPS / Descuento]]</f>
        <v>2592</v>
      </c>
      <c r="M898" s="844">
        <v>2592</v>
      </c>
      <c r="N898" s="189"/>
      <c r="O898" s="1"/>
      <c r="P898" s="189"/>
      <c r="Q898" s="190"/>
      <c r="R898" s="188">
        <v>45899</v>
      </c>
      <c r="S898" s="193"/>
      <c r="T898" s="192"/>
      <c r="U898" s="829" t="s">
        <v>3225</v>
      </c>
      <c r="V898" s="10"/>
      <c r="W898" s="10"/>
      <c r="X898" s="10"/>
      <c r="Y898" s="10"/>
      <c r="Z898" s="10"/>
      <c r="AA898" s="11"/>
      <c r="AB898" s="11"/>
      <c r="AD898" s="260"/>
    </row>
    <row r="899" spans="2:30" x14ac:dyDescent="0.3">
      <c r="B899" s="10" t="s">
        <v>385</v>
      </c>
      <c r="C899" s="315"/>
      <c r="D899" s="868" t="s">
        <v>3119</v>
      </c>
      <c r="E899" s="837" t="str">
        <f>IFERROR(IF(_xlfn.XLOOKUP(Imput[[#This Row],[RFC]],'Alta Proveedor'!D:D,'Alta Proveedor'!E:E)=0,"",_xlfn.XLOOKUP(Imput[[#This Row],[RFC]],'Alta Proveedor'!D:D,'Alta Proveedor'!E:E)),"")</f>
        <v>Nomina-OPERACIÓN</v>
      </c>
      <c r="F899" s="832" t="s">
        <v>3242</v>
      </c>
      <c r="G899" s="187">
        <v>1</v>
      </c>
      <c r="H899" s="1">
        <f>2*600</f>
        <v>1200</v>
      </c>
      <c r="I899" s="169">
        <f>Imput[[#This Row],[Cantidad]]*Imput[[#This Row],[Precio Unitario]]</f>
        <v>1200</v>
      </c>
      <c r="J899" s="11">
        <f>Imput[[#This Row],[Sub total]]*0.08</f>
        <v>96</v>
      </c>
      <c r="K899" s="11">
        <v>0</v>
      </c>
      <c r="L899" s="169">
        <f>Imput[[#This Row],[Sub total]]+Imput[[#This Row],[IVA]]-Imput[[#This Row],[Retención / IEPS / Descuento]]</f>
        <v>1296</v>
      </c>
      <c r="M899" s="844">
        <v>1296</v>
      </c>
      <c r="N899" s="189"/>
      <c r="O899" s="1"/>
      <c r="P899" s="189"/>
      <c r="Q899" s="190"/>
      <c r="R899" s="188">
        <v>45899</v>
      </c>
      <c r="S899" s="193"/>
      <c r="T899" s="192"/>
      <c r="U899" s="829" t="s">
        <v>3225</v>
      </c>
      <c r="V899" s="10"/>
      <c r="W899" s="10"/>
      <c r="X899" s="10"/>
      <c r="Y899" s="10"/>
      <c r="Z899" s="10"/>
      <c r="AA899" s="11"/>
      <c r="AB899" s="11"/>
      <c r="AD899" s="260"/>
    </row>
    <row r="900" spans="2:30" x14ac:dyDescent="0.3">
      <c r="B900" s="10" t="s">
        <v>385</v>
      </c>
      <c r="C900" s="315"/>
      <c r="D900" s="868" t="s">
        <v>3119</v>
      </c>
      <c r="E900" s="837" t="str">
        <f>IFERROR(IF(_xlfn.XLOOKUP(Imput[[#This Row],[RFC]],'Alta Proveedor'!D:D,'Alta Proveedor'!E:E)=0,"",_xlfn.XLOOKUP(Imput[[#This Row],[RFC]],'Alta Proveedor'!D:D,'Alta Proveedor'!E:E)),"")</f>
        <v>Nomina-OPERACIÓN</v>
      </c>
      <c r="F900" s="832" t="s">
        <v>3243</v>
      </c>
      <c r="G900" s="187">
        <v>1</v>
      </c>
      <c r="H900" s="1">
        <v>400</v>
      </c>
      <c r="I900" s="169">
        <f>Imput[[#This Row],[Cantidad]]*Imput[[#This Row],[Precio Unitario]]</f>
        <v>400</v>
      </c>
      <c r="J900" s="11">
        <f>Imput[[#This Row],[Sub total]]*0.08</f>
        <v>32</v>
      </c>
      <c r="K900" s="11">
        <v>0</v>
      </c>
      <c r="L900" s="169">
        <f>Imput[[#This Row],[Sub total]]+Imput[[#This Row],[IVA]]-Imput[[#This Row],[Retención / IEPS / Descuento]]</f>
        <v>432</v>
      </c>
      <c r="M900" s="844">
        <v>432</v>
      </c>
      <c r="N900" s="189"/>
      <c r="O900" s="1"/>
      <c r="P900" s="189"/>
      <c r="Q900" s="190"/>
      <c r="R900" s="188">
        <v>45899</v>
      </c>
      <c r="S900" s="193"/>
      <c r="T900" s="192"/>
      <c r="U900" s="829" t="s">
        <v>3225</v>
      </c>
      <c r="V900" s="10"/>
      <c r="W900" s="10"/>
      <c r="X900" s="10"/>
      <c r="Y900" s="10"/>
      <c r="Z900" s="10"/>
      <c r="AA900" s="11"/>
      <c r="AB900" s="11"/>
      <c r="AD900" s="260"/>
    </row>
    <row r="901" spans="2:30" x14ac:dyDescent="0.3">
      <c r="B901" s="10" t="s">
        <v>385</v>
      </c>
      <c r="C901" s="315"/>
      <c r="D901" s="868" t="s">
        <v>3119</v>
      </c>
      <c r="E901" s="837" t="str">
        <f>IFERROR(IF(_xlfn.XLOOKUP(Imput[[#This Row],[RFC]],'Alta Proveedor'!D:D,'Alta Proveedor'!E:E)=0,"",_xlfn.XLOOKUP(Imput[[#This Row],[RFC]],'Alta Proveedor'!D:D,'Alta Proveedor'!E:E)),"")</f>
        <v>Nomina-OPERACIÓN</v>
      </c>
      <c r="F901" s="832" t="s">
        <v>3241</v>
      </c>
      <c r="G901" s="187">
        <v>1</v>
      </c>
      <c r="H901" s="1">
        <f>850*4</f>
        <v>3400</v>
      </c>
      <c r="I901" s="169">
        <f>Imput[[#This Row],[Cantidad]]*Imput[[#This Row],[Precio Unitario]]</f>
        <v>3400</v>
      </c>
      <c r="J901" s="11">
        <f>Imput[[#This Row],[Sub total]]*0.08</f>
        <v>272</v>
      </c>
      <c r="K901" s="11">
        <v>0</v>
      </c>
      <c r="L901" s="169">
        <f>Imput[[#This Row],[Sub total]]+Imput[[#This Row],[IVA]]-Imput[[#This Row],[Retención / IEPS / Descuento]]</f>
        <v>3672</v>
      </c>
      <c r="M901" s="844">
        <v>3672</v>
      </c>
      <c r="N901" s="189"/>
      <c r="O901" s="1"/>
      <c r="P901" s="189"/>
      <c r="Q901" s="190"/>
      <c r="R901" s="188">
        <v>45899</v>
      </c>
      <c r="S901" s="193"/>
      <c r="T901" s="192"/>
      <c r="U901" s="829" t="s">
        <v>3225</v>
      </c>
      <c r="V901" s="10"/>
      <c r="W901" s="10"/>
      <c r="X901" s="10"/>
      <c r="Y901" s="10"/>
      <c r="Z901" s="10"/>
      <c r="AA901" s="11"/>
      <c r="AB901" s="11"/>
      <c r="AD901" s="260"/>
    </row>
    <row r="902" spans="2:30" x14ac:dyDescent="0.3">
      <c r="B902" s="10" t="s">
        <v>385</v>
      </c>
      <c r="C902" s="315"/>
      <c r="D902" s="868" t="s">
        <v>3119</v>
      </c>
      <c r="E902" s="837" t="str">
        <f>IFERROR(IF(_xlfn.XLOOKUP(Imput[[#This Row],[RFC]],'Alta Proveedor'!D:D,'Alta Proveedor'!E:E)=0,"",_xlfn.XLOOKUP(Imput[[#This Row],[RFC]],'Alta Proveedor'!D:D,'Alta Proveedor'!E:E)),"")</f>
        <v>Nomina-OPERACIÓN</v>
      </c>
      <c r="F902" s="832" t="s">
        <v>3247</v>
      </c>
      <c r="G902" s="187">
        <v>1</v>
      </c>
      <c r="H902" s="1">
        <f>850*2</f>
        <v>1700</v>
      </c>
      <c r="I902" s="169">
        <f>Imput[[#This Row],[Cantidad]]*Imput[[#This Row],[Precio Unitario]]</f>
        <v>1700</v>
      </c>
      <c r="J902" s="11">
        <f>Imput[[#This Row],[Sub total]]*0.08</f>
        <v>136</v>
      </c>
      <c r="K902" s="11">
        <v>0</v>
      </c>
      <c r="L902" s="169">
        <f>Imput[[#This Row],[Sub total]]+Imput[[#This Row],[IVA]]-Imput[[#This Row],[Retención / IEPS / Descuento]]</f>
        <v>1836</v>
      </c>
      <c r="M902" s="844">
        <v>1836</v>
      </c>
      <c r="N902" s="189"/>
      <c r="O902" s="1"/>
      <c r="P902" s="189"/>
      <c r="Q902" s="190"/>
      <c r="R902" s="188">
        <v>45899</v>
      </c>
      <c r="S902" s="193"/>
      <c r="T902" s="192"/>
      <c r="U902" s="829" t="s">
        <v>3225</v>
      </c>
      <c r="V902" s="10"/>
      <c r="W902" s="10"/>
      <c r="X902" s="10"/>
      <c r="Y902" s="10"/>
      <c r="Z902" s="10"/>
      <c r="AA902" s="11"/>
      <c r="AB902" s="11"/>
      <c r="AD902" s="260"/>
    </row>
    <row r="903" spans="2:30" x14ac:dyDescent="0.3">
      <c r="B903" s="10" t="s">
        <v>385</v>
      </c>
      <c r="C903" s="315"/>
      <c r="D903" s="868" t="s">
        <v>3225</v>
      </c>
      <c r="E903" s="837" t="str">
        <f>IFERROR(IF(_xlfn.XLOOKUP(Imput[[#This Row],[RFC]],'Alta Proveedor'!D:D,'Alta Proveedor'!E:E)=0,"",_xlfn.XLOOKUP(Imput[[#This Row],[RFC]],'Alta Proveedor'!D:D,'Alta Proveedor'!E:E)),"")</f>
        <v>GASTOS SIN FACTURA</v>
      </c>
      <c r="F903" s="832" t="s">
        <v>3224</v>
      </c>
      <c r="G903" s="187">
        <v>1</v>
      </c>
      <c r="H903" s="1">
        <v>1500</v>
      </c>
      <c r="I903" s="169">
        <f>Imput[[#This Row],[Cantidad]]*Imput[[#This Row],[Precio Unitario]]</f>
        <v>1500</v>
      </c>
      <c r="J903" s="11">
        <f>Imput[[#This Row],[Sub total]]*0.08</f>
        <v>120</v>
      </c>
      <c r="K903" s="11">
        <v>0</v>
      </c>
      <c r="L903" s="169">
        <f>Imput[[#This Row],[Sub total]]+Imput[[#This Row],[IVA]]-Imput[[#This Row],[Retención / IEPS / Descuento]]</f>
        <v>1620</v>
      </c>
      <c r="M903" s="844">
        <v>1620</v>
      </c>
      <c r="N903" s="189"/>
      <c r="O903" s="1"/>
      <c r="P903" s="189"/>
      <c r="Q903" s="190"/>
      <c r="R903" s="188">
        <v>45899</v>
      </c>
      <c r="S903" s="193"/>
      <c r="T903" s="192"/>
      <c r="U903" s="829" t="s">
        <v>3225</v>
      </c>
      <c r="V903" s="10"/>
      <c r="W903" s="10"/>
      <c r="X903" s="10"/>
      <c r="Y903" s="10"/>
      <c r="Z903" s="10"/>
      <c r="AA903" s="11"/>
      <c r="AB903" s="11"/>
      <c r="AD903" s="260"/>
    </row>
    <row r="904" spans="2:30" x14ac:dyDescent="0.3">
      <c r="B904" s="10" t="s">
        <v>385</v>
      </c>
      <c r="C904" s="315" t="s">
        <v>1743</v>
      </c>
      <c r="D904" s="868" t="s">
        <v>3118</v>
      </c>
      <c r="E904" s="837" t="str">
        <f>IFERROR(IF(_xlfn.XLOOKUP(Imput[[#This Row],[RFC]],'Alta Proveedor'!D:D,'Alta Proveedor'!E:E)=0,"",_xlfn.XLOOKUP(Imput[[#This Row],[RFC]],'Alta Proveedor'!D:D,'Alta Proveedor'!E:E)),"")</f>
        <v>Nomina-ADMON</v>
      </c>
      <c r="F904" s="832" t="s">
        <v>3065</v>
      </c>
      <c r="G904" s="187">
        <v>1</v>
      </c>
      <c r="H904" s="1">
        <v>0</v>
      </c>
      <c r="I904" s="169">
        <f>Imput[[#This Row],[Cantidad]]*Imput[[#This Row],[Precio Unitario]]</f>
        <v>0</v>
      </c>
      <c r="J904" s="11">
        <v>0</v>
      </c>
      <c r="K904" s="11">
        <v>0</v>
      </c>
      <c r="L904" s="169">
        <f>Imput[[#This Row],[Sub total]]+Imput[[#This Row],[IVA]]-Imput[[#This Row],[Retención / IEPS / Descuento]]</f>
        <v>0</v>
      </c>
      <c r="M904" s="844">
        <v>0</v>
      </c>
      <c r="N904" s="189"/>
      <c r="O904" s="1"/>
      <c r="P904" s="189"/>
      <c r="Q904" s="190"/>
      <c r="R904" s="188">
        <v>45900</v>
      </c>
      <c r="S904" s="193"/>
      <c r="T904" s="192"/>
      <c r="U904" s="829" t="s">
        <v>3099</v>
      </c>
      <c r="V904" s="10"/>
      <c r="W904" s="10"/>
      <c r="X904" s="10"/>
      <c r="Y904" s="10"/>
      <c r="Z904" s="10"/>
      <c r="AA904" s="11"/>
      <c r="AB904" s="11"/>
      <c r="AD904" s="260"/>
    </row>
    <row r="905" spans="2:30" x14ac:dyDescent="0.3">
      <c r="B905" s="10" t="s">
        <v>385</v>
      </c>
      <c r="C905" s="315" t="s">
        <v>1773</v>
      </c>
      <c r="D905" s="868" t="s">
        <v>3118</v>
      </c>
      <c r="E905" s="837" t="str">
        <f>IFERROR(IF(_xlfn.XLOOKUP(Imput[[#This Row],[RFC]],'Alta Proveedor'!D:D,'Alta Proveedor'!E:E)=0,"",_xlfn.XLOOKUP(Imput[[#This Row],[RFC]],'Alta Proveedor'!D:D,'Alta Proveedor'!E:E)),"")</f>
        <v>Nomina-ADMON</v>
      </c>
      <c r="F905" s="832" t="s">
        <v>3066</v>
      </c>
      <c r="G905" s="187">
        <v>1</v>
      </c>
      <c r="H905" s="1">
        <v>4182</v>
      </c>
      <c r="I905" s="169">
        <f>Imput[[#This Row],[Cantidad]]*Imput[[#This Row],[Precio Unitario]]</f>
        <v>4182</v>
      </c>
      <c r="J905" s="11">
        <v>0</v>
      </c>
      <c r="K905" s="11">
        <v>0</v>
      </c>
      <c r="L905" s="169">
        <f>Imput[[#This Row],[Sub total]]+Imput[[#This Row],[IVA]]-Imput[[#This Row],[Retención / IEPS / Descuento]]</f>
        <v>4182</v>
      </c>
      <c r="M905" s="844">
        <v>4182</v>
      </c>
      <c r="N905" s="189"/>
      <c r="O905" s="1"/>
      <c r="P905" s="189"/>
      <c r="Q905" s="190"/>
      <c r="R905" s="188">
        <v>45900</v>
      </c>
      <c r="S905" s="193"/>
      <c r="T905" s="192"/>
      <c r="U905" s="829" t="s">
        <v>3099</v>
      </c>
      <c r="V905" s="10"/>
      <c r="W905" s="10"/>
      <c r="X905" s="10"/>
      <c r="Y905" s="10"/>
      <c r="Z905" s="10"/>
      <c r="AA905" s="11"/>
      <c r="AB905" s="11"/>
      <c r="AD905" s="260"/>
    </row>
    <row r="906" spans="2:30" x14ac:dyDescent="0.3">
      <c r="B906" s="10" t="s">
        <v>385</v>
      </c>
      <c r="C906" s="315" t="s">
        <v>1784</v>
      </c>
      <c r="D906" s="868" t="s">
        <v>3118</v>
      </c>
      <c r="E906" s="837" t="str">
        <f>IFERROR(IF(_xlfn.XLOOKUP(Imput[[#This Row],[RFC]],'Alta Proveedor'!D:D,'Alta Proveedor'!E:E)=0,"",_xlfn.XLOOKUP(Imput[[#This Row],[RFC]],'Alta Proveedor'!D:D,'Alta Proveedor'!E:E)),"")</f>
        <v>Nomina-ADMON</v>
      </c>
      <c r="F906" s="832" t="s">
        <v>3067</v>
      </c>
      <c r="G906" s="187">
        <v>1</v>
      </c>
      <c r="H906" s="1">
        <v>0</v>
      </c>
      <c r="I906" s="169">
        <f>Imput[[#This Row],[Cantidad]]*Imput[[#This Row],[Precio Unitario]]</f>
        <v>0</v>
      </c>
      <c r="J906" s="11">
        <v>0</v>
      </c>
      <c r="K906" s="11">
        <v>0</v>
      </c>
      <c r="L906" s="169">
        <f>Imput[[#This Row],[Sub total]]+Imput[[#This Row],[IVA]]-Imput[[#This Row],[Retención / IEPS / Descuento]]</f>
        <v>0</v>
      </c>
      <c r="M906" s="844">
        <v>0</v>
      </c>
      <c r="N906" s="189"/>
      <c r="O906" s="1"/>
      <c r="P906" s="189"/>
      <c r="Q906" s="190"/>
      <c r="R906" s="188">
        <v>45900</v>
      </c>
      <c r="S906" s="193"/>
      <c r="T906" s="192"/>
      <c r="U906" s="829" t="s">
        <v>3099</v>
      </c>
      <c r="V906" s="10"/>
      <c r="W906" s="10"/>
      <c r="X906" s="10"/>
      <c r="Y906" s="10"/>
      <c r="Z906" s="10"/>
      <c r="AA906" s="11"/>
      <c r="AB906" s="11"/>
      <c r="AD906" s="260"/>
    </row>
    <row r="907" spans="2:30" x14ac:dyDescent="0.3">
      <c r="B907" s="10" t="s">
        <v>385</v>
      </c>
      <c r="C907" s="315" t="s">
        <v>1756</v>
      </c>
      <c r="D907" s="868" t="s">
        <v>3118</v>
      </c>
      <c r="E907" s="837" t="str">
        <f>IFERROR(IF(_xlfn.XLOOKUP(Imput[[#This Row],[RFC]],'Alta Proveedor'!D:D,'Alta Proveedor'!E:E)=0,"",_xlfn.XLOOKUP(Imput[[#This Row],[RFC]],'Alta Proveedor'!D:D,'Alta Proveedor'!E:E)),"")</f>
        <v>Nomina-ADMON</v>
      </c>
      <c r="F907" s="832" t="s">
        <v>3068</v>
      </c>
      <c r="G907" s="187">
        <v>1</v>
      </c>
      <c r="H907" s="1">
        <v>4182</v>
      </c>
      <c r="I907" s="169">
        <f>Imput[[#This Row],[Cantidad]]*Imput[[#This Row],[Precio Unitario]]</f>
        <v>4182</v>
      </c>
      <c r="J907" s="11">
        <v>0</v>
      </c>
      <c r="K907" s="11">
        <v>0</v>
      </c>
      <c r="L907" s="169">
        <f>Imput[[#This Row],[Sub total]]+Imput[[#This Row],[IVA]]-Imput[[#This Row],[Retención / IEPS / Descuento]]</f>
        <v>4182</v>
      </c>
      <c r="M907" s="844">
        <v>4182</v>
      </c>
      <c r="N907" s="189"/>
      <c r="O907" s="1"/>
      <c r="P907" s="189"/>
      <c r="Q907" s="190"/>
      <c r="R907" s="188">
        <v>45900</v>
      </c>
      <c r="S907" s="193"/>
      <c r="T907" s="192"/>
      <c r="U907" s="829" t="s">
        <v>3099</v>
      </c>
      <c r="V907" s="10"/>
      <c r="W907" s="10"/>
      <c r="X907" s="10"/>
      <c r="Y907" s="10"/>
      <c r="Z907" s="10"/>
      <c r="AA907" s="11"/>
      <c r="AB907" s="11"/>
      <c r="AD907" s="260"/>
    </row>
    <row r="908" spans="2:30" x14ac:dyDescent="0.3">
      <c r="B908" s="10" t="s">
        <v>385</v>
      </c>
      <c r="C908" s="315" t="s">
        <v>1774</v>
      </c>
      <c r="D908" s="868" t="s">
        <v>3118</v>
      </c>
      <c r="E908" s="837" t="str">
        <f>IFERROR(IF(_xlfn.XLOOKUP(Imput[[#This Row],[RFC]],'Alta Proveedor'!D:D,'Alta Proveedor'!E:E)=0,"",_xlfn.XLOOKUP(Imput[[#This Row],[RFC]],'Alta Proveedor'!D:D,'Alta Proveedor'!E:E)),"")</f>
        <v>Nomina-ADMON</v>
      </c>
      <c r="F908" s="832" t="s">
        <v>3069</v>
      </c>
      <c r="G908" s="187">
        <v>1</v>
      </c>
      <c r="H908" s="1">
        <v>4182</v>
      </c>
      <c r="I908" s="169">
        <f>Imput[[#This Row],[Cantidad]]*Imput[[#This Row],[Precio Unitario]]</f>
        <v>4182</v>
      </c>
      <c r="J908" s="11">
        <v>0</v>
      </c>
      <c r="K908" s="11">
        <v>0</v>
      </c>
      <c r="L908" s="169">
        <f>Imput[[#This Row],[Sub total]]+Imput[[#This Row],[IVA]]-Imput[[#This Row],[Retención / IEPS / Descuento]]</f>
        <v>4182</v>
      </c>
      <c r="M908" s="844">
        <v>4182</v>
      </c>
      <c r="N908" s="189"/>
      <c r="O908" s="1"/>
      <c r="P908" s="189"/>
      <c r="Q908" s="190"/>
      <c r="R908" s="188">
        <v>45900</v>
      </c>
      <c r="S908" s="193"/>
      <c r="T908" s="192"/>
      <c r="U908" s="829" t="s">
        <v>3099</v>
      </c>
      <c r="V908" s="10"/>
      <c r="W908" s="10"/>
      <c r="X908" s="10"/>
      <c r="Y908" s="10"/>
      <c r="Z908" s="10"/>
      <c r="AA908" s="11"/>
      <c r="AB908" s="11"/>
      <c r="AD908" s="260"/>
    </row>
    <row r="909" spans="2:30" x14ac:dyDescent="0.3">
      <c r="B909" s="10" t="s">
        <v>385</v>
      </c>
      <c r="C909" s="315" t="s">
        <v>1754</v>
      </c>
      <c r="D909" s="868" t="s">
        <v>3118</v>
      </c>
      <c r="E909" s="837" t="str">
        <f>IFERROR(IF(_xlfn.XLOOKUP(Imput[[#This Row],[RFC]],'Alta Proveedor'!D:D,'Alta Proveedor'!E:E)=0,"",_xlfn.XLOOKUP(Imput[[#This Row],[RFC]],'Alta Proveedor'!D:D,'Alta Proveedor'!E:E)),"")</f>
        <v>Nomina-ADMON</v>
      </c>
      <c r="F909" s="832" t="s">
        <v>3070</v>
      </c>
      <c r="G909" s="187">
        <v>1</v>
      </c>
      <c r="H909" s="1">
        <v>4182</v>
      </c>
      <c r="I909" s="169">
        <f>Imput[[#This Row],[Cantidad]]*Imput[[#This Row],[Precio Unitario]]</f>
        <v>4182</v>
      </c>
      <c r="J909" s="11">
        <v>0</v>
      </c>
      <c r="K909" s="11">
        <v>0</v>
      </c>
      <c r="L909" s="169">
        <f>Imput[[#This Row],[Sub total]]+Imput[[#This Row],[IVA]]-Imput[[#This Row],[Retención / IEPS / Descuento]]</f>
        <v>4182</v>
      </c>
      <c r="M909" s="844">
        <v>4182</v>
      </c>
      <c r="N909" s="189"/>
      <c r="O909" s="1"/>
      <c r="P909" s="189"/>
      <c r="Q909" s="190"/>
      <c r="R909" s="188">
        <v>45900</v>
      </c>
      <c r="S909" s="193"/>
      <c r="T909" s="192"/>
      <c r="U909" s="829" t="s">
        <v>3099</v>
      </c>
      <c r="V909" s="10"/>
      <c r="W909" s="10"/>
      <c r="X909" s="10"/>
      <c r="Y909" s="10"/>
      <c r="Z909" s="10"/>
      <c r="AA909" s="11"/>
      <c r="AB909" s="11"/>
      <c r="AD909" s="260"/>
    </row>
    <row r="910" spans="2:30" x14ac:dyDescent="0.3">
      <c r="B910" s="10" t="s">
        <v>385</v>
      </c>
      <c r="C910" s="315" t="s">
        <v>1743</v>
      </c>
      <c r="D910" s="868" t="s">
        <v>3118</v>
      </c>
      <c r="E910" s="837" t="str">
        <f>IFERROR(IF(_xlfn.XLOOKUP(Imput[[#This Row],[RFC]],'Alta Proveedor'!D:D,'Alta Proveedor'!E:E)=0,"",_xlfn.XLOOKUP(Imput[[#This Row],[RFC]],'Alta Proveedor'!D:D,'Alta Proveedor'!E:E)),"")</f>
        <v>Nomina-ADMON</v>
      </c>
      <c r="F910" s="832" t="s">
        <v>3071</v>
      </c>
      <c r="G910" s="187">
        <v>1</v>
      </c>
      <c r="H910" s="1">
        <v>10000</v>
      </c>
      <c r="I910" s="169">
        <f>Imput[[#This Row],[Cantidad]]*Imput[[#This Row],[Precio Unitario]]</f>
        <v>10000</v>
      </c>
      <c r="J910" s="11">
        <f>((Imput[[#This Row],[Sub total]])*(0.08))</f>
        <v>800</v>
      </c>
      <c r="K910" s="11">
        <v>0</v>
      </c>
      <c r="L910" s="169">
        <f>Imput[[#This Row],[Sub total]]+Imput[[#This Row],[IVA]]-Imput[[#This Row],[Retención / IEPS / Descuento]]</f>
        <v>10800</v>
      </c>
      <c r="M910" s="844">
        <v>10800</v>
      </c>
      <c r="N910" s="189"/>
      <c r="O910" s="1"/>
      <c r="P910" s="189"/>
      <c r="Q910" s="190"/>
      <c r="R910" s="188">
        <v>45900</v>
      </c>
      <c r="S910" s="193"/>
      <c r="T910" s="192"/>
      <c r="U910" s="829" t="s">
        <v>3099</v>
      </c>
      <c r="V910" s="10"/>
      <c r="W910" s="10"/>
      <c r="X910" s="10"/>
      <c r="Y910" s="10"/>
      <c r="Z910" s="10"/>
      <c r="AA910" s="11"/>
      <c r="AB910" s="11"/>
      <c r="AD910" s="260"/>
    </row>
    <row r="911" spans="2:30" x14ac:dyDescent="0.3">
      <c r="B911" s="10" t="s">
        <v>385</v>
      </c>
      <c r="C911" s="315" t="s">
        <v>1773</v>
      </c>
      <c r="D911" s="868" t="s">
        <v>3118</v>
      </c>
      <c r="E911" s="837" t="str">
        <f>IFERROR(IF(_xlfn.XLOOKUP(Imput[[#This Row],[RFC]],'Alta Proveedor'!D:D,'Alta Proveedor'!E:E)=0,"",_xlfn.XLOOKUP(Imput[[#This Row],[RFC]],'Alta Proveedor'!D:D,'Alta Proveedor'!E:E)),"")</f>
        <v>Nomina-ADMON</v>
      </c>
      <c r="F911" s="832" t="s">
        <v>3072</v>
      </c>
      <c r="G911" s="187">
        <v>1</v>
      </c>
      <c r="H911" s="1">
        <v>2318</v>
      </c>
      <c r="I911" s="169">
        <f>Imput[[#This Row],[Cantidad]]*Imput[[#This Row],[Precio Unitario]]</f>
        <v>2318</v>
      </c>
      <c r="J911" s="11">
        <f>((Imput[[#This Row],[Sub total]])*(0.08))</f>
        <v>185.44</v>
      </c>
      <c r="K911" s="11">
        <v>0</v>
      </c>
      <c r="L911" s="169">
        <f>Imput[[#This Row],[Sub total]]+Imput[[#This Row],[IVA]]-Imput[[#This Row],[Retención / IEPS / Descuento]]</f>
        <v>2503.44</v>
      </c>
      <c r="M911" s="844">
        <v>2503.44</v>
      </c>
      <c r="N911" s="189"/>
      <c r="O911" s="1"/>
      <c r="P911" s="189"/>
      <c r="Q911" s="190"/>
      <c r="R911" s="188">
        <v>45900</v>
      </c>
      <c r="S911" s="193"/>
      <c r="T911" s="192"/>
      <c r="U911" s="829" t="s">
        <v>3099</v>
      </c>
      <c r="V911" s="10"/>
      <c r="W911" s="10"/>
      <c r="X911" s="10"/>
      <c r="Y911" s="10"/>
      <c r="Z911" s="10"/>
      <c r="AA911" s="11"/>
      <c r="AB911" s="11"/>
      <c r="AD911" s="260"/>
    </row>
    <row r="912" spans="2:30" x14ac:dyDescent="0.3">
      <c r="B912" s="10" t="s">
        <v>385</v>
      </c>
      <c r="C912" s="315" t="s">
        <v>1784</v>
      </c>
      <c r="D912" s="868" t="s">
        <v>3118</v>
      </c>
      <c r="E912" s="837" t="str">
        <f>IFERROR(IF(_xlfn.XLOOKUP(Imput[[#This Row],[RFC]],'Alta Proveedor'!D:D,'Alta Proveedor'!E:E)=0,"",_xlfn.XLOOKUP(Imput[[#This Row],[RFC]],'Alta Proveedor'!D:D,'Alta Proveedor'!E:E)),"")</f>
        <v>Nomina-ADMON</v>
      </c>
      <c r="F912" s="832" t="s">
        <v>3073</v>
      </c>
      <c r="G912" s="187">
        <v>1</v>
      </c>
      <c r="H912" s="1">
        <v>6000</v>
      </c>
      <c r="I912" s="169">
        <f>Imput[[#This Row],[Cantidad]]*Imput[[#This Row],[Precio Unitario]]</f>
        <v>6000</v>
      </c>
      <c r="J912" s="11">
        <f>((Imput[[#This Row],[Sub total]])*(0.08))</f>
        <v>480</v>
      </c>
      <c r="K912" s="11">
        <v>0</v>
      </c>
      <c r="L912" s="169">
        <f>Imput[[#This Row],[Sub total]]+Imput[[#This Row],[IVA]]-Imput[[#This Row],[Retención / IEPS / Descuento]]</f>
        <v>6480</v>
      </c>
      <c r="M912" s="844">
        <v>6480</v>
      </c>
      <c r="N912" s="189"/>
      <c r="O912" s="1"/>
      <c r="P912" s="189"/>
      <c r="Q912" s="190"/>
      <c r="R912" s="188">
        <v>45900</v>
      </c>
      <c r="S912" s="193"/>
      <c r="T912" s="192"/>
      <c r="U912" s="829" t="s">
        <v>3099</v>
      </c>
      <c r="V912" s="10"/>
      <c r="W912" s="10"/>
      <c r="X912" s="10"/>
      <c r="Y912" s="10"/>
      <c r="Z912" s="10"/>
      <c r="AA912" s="11"/>
      <c r="AB912" s="11"/>
      <c r="AD912" s="260"/>
    </row>
    <row r="913" spans="2:30" x14ac:dyDescent="0.3">
      <c r="B913" s="10" t="s">
        <v>385</v>
      </c>
      <c r="C913" s="315" t="s">
        <v>1756</v>
      </c>
      <c r="D913" s="868" t="s">
        <v>3118</v>
      </c>
      <c r="E913" s="837" t="str">
        <f>IFERROR(IF(_xlfn.XLOOKUP(Imput[[#This Row],[RFC]],'Alta Proveedor'!D:D,'Alta Proveedor'!E:E)=0,"",_xlfn.XLOOKUP(Imput[[#This Row],[RFC]],'Alta Proveedor'!D:D,'Alta Proveedor'!E:E)),"")</f>
        <v>Nomina-ADMON</v>
      </c>
      <c r="F913" s="832" t="s">
        <v>3074</v>
      </c>
      <c r="G913" s="187">
        <v>1</v>
      </c>
      <c r="H913" s="1">
        <v>6533</v>
      </c>
      <c r="I913" s="169">
        <f>Imput[[#This Row],[Cantidad]]*Imput[[#This Row],[Precio Unitario]]</f>
        <v>6533</v>
      </c>
      <c r="J913" s="11">
        <f>((Imput[[#This Row],[Sub total]])*(0.08))</f>
        <v>522.64</v>
      </c>
      <c r="K913" s="11">
        <v>0</v>
      </c>
      <c r="L913" s="169">
        <f>Imput[[#This Row],[Sub total]]+Imput[[#This Row],[IVA]]-Imput[[#This Row],[Retención / IEPS / Descuento]]</f>
        <v>7055.64</v>
      </c>
      <c r="M913" s="844">
        <v>7055.64</v>
      </c>
      <c r="N913" s="189"/>
      <c r="O913" s="1"/>
      <c r="P913" s="189"/>
      <c r="Q913" s="190"/>
      <c r="R913" s="188">
        <v>45900</v>
      </c>
      <c r="S913" s="193"/>
      <c r="T913" s="192"/>
      <c r="U913" s="829" t="s">
        <v>3099</v>
      </c>
      <c r="V913" s="10"/>
      <c r="W913" s="10"/>
      <c r="X913" s="10"/>
      <c r="Y913" s="10"/>
      <c r="Z913" s="10"/>
      <c r="AA913" s="11"/>
      <c r="AB913" s="11"/>
      <c r="AD913" s="260"/>
    </row>
    <row r="914" spans="2:30" x14ac:dyDescent="0.3">
      <c r="B914" s="10" t="s">
        <v>385</v>
      </c>
      <c r="C914" s="315" t="s">
        <v>1774</v>
      </c>
      <c r="D914" s="868" t="s">
        <v>3118</v>
      </c>
      <c r="E914" s="837" t="str">
        <f>IFERROR(IF(_xlfn.XLOOKUP(Imput[[#This Row],[RFC]],'Alta Proveedor'!D:D,'Alta Proveedor'!E:E)=0,"",_xlfn.XLOOKUP(Imput[[#This Row],[RFC]],'Alta Proveedor'!D:D,'Alta Proveedor'!E:E)),"")</f>
        <v>Nomina-ADMON</v>
      </c>
      <c r="F914" s="832" t="s">
        <v>3075</v>
      </c>
      <c r="G914" s="187">
        <v>1</v>
      </c>
      <c r="H914" s="1">
        <v>10213.6</v>
      </c>
      <c r="I914" s="169">
        <f>Imput[[#This Row],[Cantidad]]*Imput[[#This Row],[Precio Unitario]]</f>
        <v>10213.6</v>
      </c>
      <c r="J914" s="11">
        <f>((Imput[[#This Row],[Sub total]])*(0.08))</f>
        <v>817.08800000000008</v>
      </c>
      <c r="K914" s="11">
        <v>0</v>
      </c>
      <c r="L914" s="169">
        <f>Imput[[#This Row],[Sub total]]+Imput[[#This Row],[IVA]]-Imput[[#This Row],[Retención / IEPS / Descuento]]</f>
        <v>11030.688</v>
      </c>
      <c r="M914" s="844">
        <v>11030.688</v>
      </c>
      <c r="N914" s="189"/>
      <c r="O914" s="1"/>
      <c r="P914" s="189"/>
      <c r="Q914" s="190"/>
      <c r="R914" s="188">
        <v>45900</v>
      </c>
      <c r="S914" s="193"/>
      <c r="T914" s="192"/>
      <c r="U914" s="829" t="s">
        <v>3099</v>
      </c>
      <c r="V914" s="10"/>
      <c r="W914" s="10"/>
      <c r="X914" s="10"/>
      <c r="Y914" s="10"/>
      <c r="Z914" s="10"/>
      <c r="AA914" s="11"/>
      <c r="AB914" s="11"/>
      <c r="AD914" s="260"/>
    </row>
    <row r="915" spans="2:30" x14ac:dyDescent="0.3">
      <c r="B915" s="10" t="s">
        <v>385</v>
      </c>
      <c r="C915" s="315" t="s">
        <v>1754</v>
      </c>
      <c r="D915" s="868" t="s">
        <v>3118</v>
      </c>
      <c r="E915" s="837" t="str">
        <f>IFERROR(IF(_xlfn.XLOOKUP(Imput[[#This Row],[RFC]],'Alta Proveedor'!D:D,'Alta Proveedor'!E:E)=0,"",_xlfn.XLOOKUP(Imput[[#This Row],[RFC]],'Alta Proveedor'!D:D,'Alta Proveedor'!E:E)),"")</f>
        <v>Nomina-ADMON</v>
      </c>
      <c r="F915" s="832" t="s">
        <v>3076</v>
      </c>
      <c r="G915" s="187">
        <v>1</v>
      </c>
      <c r="H915" s="1">
        <v>9818</v>
      </c>
      <c r="I915" s="169">
        <f>Imput[[#This Row],[Cantidad]]*Imput[[#This Row],[Precio Unitario]]</f>
        <v>9818</v>
      </c>
      <c r="J915" s="11">
        <f>((Imput[[#This Row],[Sub total]])*(0.08))</f>
        <v>785.44</v>
      </c>
      <c r="K915" s="11">
        <v>0</v>
      </c>
      <c r="L915" s="169">
        <f>Imput[[#This Row],[Sub total]]+Imput[[#This Row],[IVA]]-Imput[[#This Row],[Retención / IEPS / Descuento]]</f>
        <v>10603.44</v>
      </c>
      <c r="M915" s="844">
        <v>10603.44</v>
      </c>
      <c r="N915" s="189"/>
      <c r="O915" s="1"/>
      <c r="P915" s="189"/>
      <c r="Q915" s="190"/>
      <c r="R915" s="188">
        <v>45900</v>
      </c>
      <c r="S915" s="193"/>
      <c r="T915" s="192"/>
      <c r="U915" s="829" t="s">
        <v>3099</v>
      </c>
      <c r="V915" s="10"/>
      <c r="W915" s="10"/>
      <c r="X915" s="10"/>
      <c r="Y915" s="10"/>
      <c r="Z915" s="10"/>
      <c r="AA915" s="11"/>
      <c r="AB915" s="11"/>
      <c r="AD915" s="260"/>
    </row>
    <row r="916" spans="2:30" x14ac:dyDescent="0.3">
      <c r="B916" s="10" t="s">
        <v>387</v>
      </c>
      <c r="C916" s="315"/>
      <c r="D916" s="868" t="s">
        <v>164</v>
      </c>
      <c r="E916" s="837" t="str">
        <f>IFERROR(IF(_xlfn.XLOOKUP(Imput[[#This Row],[RFC]],'Alta Proveedor'!D:D,'Alta Proveedor'!E:E)=0,"",_xlfn.XLOOKUP(Imput[[#This Row],[RFC]],'Alta Proveedor'!D:D,'Alta Proveedor'!E:E)),"")</f>
        <v>HOME DEPOT MEXICO SUCURSAL THD-8730 TAMPICO</v>
      </c>
      <c r="F916" s="832" t="s">
        <v>3383</v>
      </c>
      <c r="G916" s="187">
        <v>12</v>
      </c>
      <c r="H916" s="1">
        <f>1334.48/12</f>
        <v>111.20666666666666</v>
      </c>
      <c r="I916" s="169">
        <f>Imput[[#This Row],[Cantidad]]*Imput[[#This Row],[Precio Unitario]]</f>
        <v>1334.48</v>
      </c>
      <c r="J916" s="11">
        <f>((Imput[[#This Row],[Sub total]]-200.17)*(0.16))</f>
        <v>181.4896</v>
      </c>
      <c r="K916" s="11">
        <v>200.17</v>
      </c>
      <c r="L916" s="169">
        <f>Imput[[#This Row],[Sub total]]+Imput[[#This Row],[IVA]]-Imput[[#This Row],[Retención / IEPS / Descuento]]</f>
        <v>1315.7995999999998</v>
      </c>
      <c r="M916" s="844">
        <v>3563.0095999999994</v>
      </c>
      <c r="N916" s="189" t="s">
        <v>123</v>
      </c>
      <c r="O916" s="1"/>
      <c r="P916" s="189" t="s">
        <v>3265</v>
      </c>
      <c r="Q916" s="190" t="s">
        <v>3266</v>
      </c>
      <c r="R916" s="188">
        <v>45901</v>
      </c>
      <c r="S916" s="193" t="s">
        <v>126</v>
      </c>
      <c r="T916" s="192"/>
      <c r="U916" s="829"/>
      <c r="V916" s="10"/>
      <c r="W916" s="10"/>
      <c r="X916" s="10"/>
      <c r="Y916" s="10"/>
      <c r="Z916" s="10"/>
      <c r="AA916" s="11"/>
      <c r="AB916" s="11"/>
      <c r="AD916" s="260"/>
    </row>
    <row r="917" spans="2:30" x14ac:dyDescent="0.3">
      <c r="B917" s="10" t="s">
        <v>387</v>
      </c>
      <c r="C917" s="315"/>
      <c r="D917" s="868" t="s">
        <v>164</v>
      </c>
      <c r="E917" s="837" t="str">
        <f>IFERROR(IF(_xlfn.XLOOKUP(Imput[[#This Row],[RFC]],'Alta Proveedor'!D:D,'Alta Proveedor'!E:E)=0,"",_xlfn.XLOOKUP(Imput[[#This Row],[RFC]],'Alta Proveedor'!D:D,'Alta Proveedor'!E:E)),"")</f>
        <v>HOME DEPOT MEXICO SUCURSAL THD-8730 TAMPICO</v>
      </c>
      <c r="F917" s="832" t="s">
        <v>3384</v>
      </c>
      <c r="G917" s="187">
        <v>1</v>
      </c>
      <c r="H917" s="1">
        <v>686.25</v>
      </c>
      <c r="I917" s="169">
        <f>Imput[[#This Row],[Cantidad]]*Imput[[#This Row],[Precio Unitario]]</f>
        <v>686.25</v>
      </c>
      <c r="J917" s="11">
        <f>((Imput[[#This Row],[Sub total]])*(0.16))</f>
        <v>109.8</v>
      </c>
      <c r="K917" s="11">
        <v>0</v>
      </c>
      <c r="L917" s="169">
        <f>Imput[[#This Row],[Sub total]]+Imput[[#This Row],[IVA]]-Imput[[#This Row],[Retención / IEPS / Descuento]]</f>
        <v>796.05</v>
      </c>
      <c r="M917" s="844">
        <v>0</v>
      </c>
      <c r="N917" s="189" t="s">
        <v>123</v>
      </c>
      <c r="O917" s="1"/>
      <c r="P917" s="189" t="s">
        <v>3265</v>
      </c>
      <c r="Q917" s="190" t="s">
        <v>3266</v>
      </c>
      <c r="R917" s="188">
        <v>45901</v>
      </c>
      <c r="S917" s="193" t="s">
        <v>126</v>
      </c>
      <c r="T917" s="192"/>
      <c r="U917" s="829"/>
      <c r="V917" s="10"/>
      <c r="W917" s="10"/>
      <c r="X917" s="10"/>
      <c r="Y917" s="10"/>
      <c r="Z917" s="10"/>
      <c r="AA917" s="11"/>
      <c r="AB917" s="11"/>
      <c r="AD917" s="260"/>
    </row>
    <row r="918" spans="2:30" x14ac:dyDescent="0.3">
      <c r="B918" s="10" t="s">
        <v>387</v>
      </c>
      <c r="C918" s="315"/>
      <c r="D918" s="868" t="s">
        <v>164</v>
      </c>
      <c r="E918" s="837" t="str">
        <f>IFERROR(IF(_xlfn.XLOOKUP(Imput[[#This Row],[RFC]],'Alta Proveedor'!D:D,'Alta Proveedor'!E:E)=0,"",_xlfn.XLOOKUP(Imput[[#This Row],[RFC]],'Alta Proveedor'!D:D,'Alta Proveedor'!E:E)),"")</f>
        <v>HOME DEPOT MEXICO SUCURSAL THD-8730 TAMPICO</v>
      </c>
      <c r="F918" s="832" t="s">
        <v>252</v>
      </c>
      <c r="G918" s="187">
        <v>7</v>
      </c>
      <c r="H918" s="1">
        <f>677.25/7</f>
        <v>96.75</v>
      </c>
      <c r="I918" s="169">
        <f>Imput[[#This Row],[Cantidad]]*Imput[[#This Row],[Precio Unitario]]</f>
        <v>677.25</v>
      </c>
      <c r="J918" s="11">
        <f>((Imput[[#This Row],[Sub total]])*(0.16))</f>
        <v>108.36</v>
      </c>
      <c r="K918" s="11">
        <v>0</v>
      </c>
      <c r="L918" s="169">
        <f>Imput[[#This Row],[Sub total]]+Imput[[#This Row],[IVA]]-Imput[[#This Row],[Retención / IEPS / Descuento]]</f>
        <v>785.61</v>
      </c>
      <c r="M918" s="844">
        <v>0</v>
      </c>
      <c r="N918" s="189" t="s">
        <v>123</v>
      </c>
      <c r="O918" s="1"/>
      <c r="P918" s="189" t="s">
        <v>3265</v>
      </c>
      <c r="Q918" s="190" t="s">
        <v>3266</v>
      </c>
      <c r="R918" s="188">
        <v>45901</v>
      </c>
      <c r="S918" s="193" t="s">
        <v>126</v>
      </c>
      <c r="T918" s="192"/>
      <c r="U918" s="829"/>
      <c r="V918" s="10"/>
      <c r="W918" s="10"/>
      <c r="X918" s="10"/>
      <c r="Y918" s="10"/>
      <c r="Z918" s="10"/>
      <c r="AA918" s="11"/>
      <c r="AB918" s="11"/>
      <c r="AD918" s="260"/>
    </row>
    <row r="919" spans="2:30" x14ac:dyDescent="0.3">
      <c r="B919" s="10" t="s">
        <v>387</v>
      </c>
      <c r="C919" s="315"/>
      <c r="D919" s="868" t="s">
        <v>164</v>
      </c>
      <c r="E919" s="837" t="str">
        <f>IFERROR(IF(_xlfn.XLOOKUP(Imput[[#This Row],[RFC]],'Alta Proveedor'!D:D,'Alta Proveedor'!E:E)=0,"",_xlfn.XLOOKUP(Imput[[#This Row],[RFC]],'Alta Proveedor'!D:D,'Alta Proveedor'!E:E)),"")</f>
        <v>HOME DEPOT MEXICO SUCURSAL THD-8730 TAMPICO</v>
      </c>
      <c r="F919" s="832" t="s">
        <v>3385</v>
      </c>
      <c r="G919" s="187">
        <v>1</v>
      </c>
      <c r="H919" s="1">
        <v>573.75</v>
      </c>
      <c r="I919" s="169">
        <f>Imput[[#This Row],[Cantidad]]*Imput[[#This Row],[Precio Unitario]]</f>
        <v>573.75</v>
      </c>
      <c r="J919" s="11">
        <f>((Imput[[#This Row],[Sub total]])*(0.16))</f>
        <v>91.8</v>
      </c>
      <c r="K919" s="11">
        <v>0</v>
      </c>
      <c r="L919" s="169">
        <f>Imput[[#This Row],[Sub total]]+Imput[[#This Row],[IVA]]-Imput[[#This Row],[Retención / IEPS / Descuento]]</f>
        <v>665.55</v>
      </c>
      <c r="M919" s="844">
        <v>0</v>
      </c>
      <c r="N919" s="189" t="s">
        <v>123</v>
      </c>
      <c r="O919" s="1"/>
      <c r="P919" s="189" t="s">
        <v>3265</v>
      </c>
      <c r="Q919" s="190" t="s">
        <v>3266</v>
      </c>
      <c r="R919" s="188">
        <v>45901</v>
      </c>
      <c r="S919" s="193" t="s">
        <v>126</v>
      </c>
      <c r="T919" s="192"/>
      <c r="U919" s="829"/>
      <c r="V919" s="10"/>
      <c r="W919" s="10"/>
      <c r="X919" s="10"/>
      <c r="Y919" s="10"/>
      <c r="Z919" s="10"/>
      <c r="AA919" s="11"/>
      <c r="AB919" s="11"/>
      <c r="AD919" s="260"/>
    </row>
    <row r="920" spans="2:30" x14ac:dyDescent="0.3">
      <c r="B920" s="10" t="s">
        <v>387</v>
      </c>
      <c r="C920" s="315" t="s">
        <v>1767</v>
      </c>
      <c r="D920" s="868" t="s">
        <v>1258</v>
      </c>
      <c r="E920" s="837" t="str">
        <f>IFERROR(IF(_xlfn.XLOOKUP(Imput[[#This Row],[RFC]],'Alta Proveedor'!D:D,'Alta Proveedor'!E:E)=0,"",_xlfn.XLOOKUP(Imput[[#This Row],[RFC]],'Alta Proveedor'!D:D,'Alta Proveedor'!E:E)),"")</f>
        <v>TRACTO CENTER E12658 PEMEX (COMBUSTIBLES)</v>
      </c>
      <c r="F920" s="832" t="s">
        <v>237</v>
      </c>
      <c r="G920" s="187">
        <v>63.185000000000002</v>
      </c>
      <c r="H920" s="1">
        <f>1298.07/63.185</f>
        <v>20.543958217931468</v>
      </c>
      <c r="I920" s="169">
        <f>Imput[[#This Row],[Cantidad]]*Imput[[#This Row],[Precio Unitario]]</f>
        <v>1298.07</v>
      </c>
      <c r="J920" s="11">
        <v>201.93</v>
      </c>
      <c r="K920" s="11">
        <v>0</v>
      </c>
      <c r="L920" s="169">
        <f>Imput[[#This Row],[Sub total]]+Imput[[#This Row],[IVA]]-Imput[[#This Row],[Retención / IEPS / Descuento]]</f>
        <v>1500</v>
      </c>
      <c r="M920" s="844">
        <v>1500</v>
      </c>
      <c r="N920" s="189" t="s">
        <v>123</v>
      </c>
      <c r="O920" s="1"/>
      <c r="P920" s="189" t="s">
        <v>3296</v>
      </c>
      <c r="Q920" s="190" t="s">
        <v>3297</v>
      </c>
      <c r="R920" s="188">
        <v>45901</v>
      </c>
      <c r="S920" s="193" t="s">
        <v>126</v>
      </c>
      <c r="T920" s="192"/>
      <c r="U920" s="829"/>
      <c r="V920" s="10"/>
      <c r="W920" s="10"/>
      <c r="X920" s="10"/>
      <c r="Y920" s="10"/>
      <c r="Z920" s="10"/>
      <c r="AA920" s="11"/>
      <c r="AB920" s="11"/>
      <c r="AD920" s="260"/>
    </row>
    <row r="921" spans="2:30" x14ac:dyDescent="0.3">
      <c r="B921" s="10" t="s">
        <v>387</v>
      </c>
      <c r="C921" s="315" t="s">
        <v>2903</v>
      </c>
      <c r="D921" s="868" t="s">
        <v>164</v>
      </c>
      <c r="E921" s="837" t="str">
        <f>IFERROR(IF(_xlfn.XLOOKUP(Imput[[#This Row],[RFC]],'Alta Proveedor'!D:D,'Alta Proveedor'!E:E)=0,"",_xlfn.XLOOKUP(Imput[[#This Row],[RFC]],'Alta Proveedor'!D:D,'Alta Proveedor'!E:E)),"")</f>
        <v>HOME DEPOT MEXICO SUCURSAL THD-8730 TAMPICO</v>
      </c>
      <c r="F921" s="832" t="s">
        <v>3380</v>
      </c>
      <c r="G921" s="187">
        <v>10</v>
      </c>
      <c r="H921" s="1">
        <v>61.878999999999998</v>
      </c>
      <c r="I921" s="169">
        <f>Imput[[#This Row],[Cantidad]]*Imput[[#This Row],[Precio Unitario]]</f>
        <v>618.79</v>
      </c>
      <c r="J921" s="11">
        <f>((Imput[[#This Row],[Sub total]])*(0.16))</f>
        <v>99.006399999999999</v>
      </c>
      <c r="K921" s="11">
        <v>0</v>
      </c>
      <c r="L921" s="169">
        <f>Imput[[#This Row],[Sub total]]+Imput[[#This Row],[IVA]]-Imput[[#This Row],[Retención / IEPS / Descuento]]</f>
        <v>717.79639999999995</v>
      </c>
      <c r="M921" s="844">
        <v>717.79639999999995</v>
      </c>
      <c r="N921" s="189" t="s">
        <v>123</v>
      </c>
      <c r="O921" s="1"/>
      <c r="P921" s="189" t="s">
        <v>3267</v>
      </c>
      <c r="Q921" s="190" t="s">
        <v>3268</v>
      </c>
      <c r="R921" s="188">
        <v>45902</v>
      </c>
      <c r="S921" s="193" t="s">
        <v>126</v>
      </c>
      <c r="T921" s="192"/>
      <c r="U921" s="829"/>
      <c r="V921" s="10"/>
      <c r="W921" s="10"/>
      <c r="X921" s="10"/>
      <c r="Y921" s="10"/>
      <c r="Z921" s="10"/>
      <c r="AA921" s="11"/>
      <c r="AB921" s="11"/>
      <c r="AD921" s="260"/>
    </row>
    <row r="922" spans="2:30" x14ac:dyDescent="0.3">
      <c r="B922" s="10" t="s">
        <v>387</v>
      </c>
      <c r="C922" s="315" t="s">
        <v>1131</v>
      </c>
      <c r="D922" s="868" t="s">
        <v>164</v>
      </c>
      <c r="E922" s="837" t="str">
        <f>IFERROR(IF(_xlfn.XLOOKUP(Imput[[#This Row],[RFC]],'Alta Proveedor'!D:D,'Alta Proveedor'!E:E)=0,"",_xlfn.XLOOKUP(Imput[[#This Row],[RFC]],'Alta Proveedor'!D:D,'Alta Proveedor'!E:E)),"")</f>
        <v>HOME DEPOT MEXICO SUCURSAL THD-8730 TAMPICO</v>
      </c>
      <c r="F922" s="832" t="s">
        <v>2096</v>
      </c>
      <c r="G922" s="187">
        <v>1</v>
      </c>
      <c r="H922" s="1">
        <v>7452.59</v>
      </c>
      <c r="I922" s="169">
        <f>Imput[[#This Row],[Cantidad]]*Imput[[#This Row],[Precio Unitario]]</f>
        <v>7452.59</v>
      </c>
      <c r="J922" s="11">
        <f>((Imput[[#This Row],[Sub total]]-1117.25)*(0.16))</f>
        <v>1013.6544</v>
      </c>
      <c r="K922" s="11">
        <v>1117.25</v>
      </c>
      <c r="L922" s="169">
        <f>Imput[[#This Row],[Sub total]]+Imput[[#This Row],[IVA]]-Imput[[#This Row],[Retención / IEPS / Descuento]]</f>
        <v>7348.9943999999996</v>
      </c>
      <c r="M922" s="844">
        <v>11480.5432</v>
      </c>
      <c r="N922" s="189" t="s">
        <v>123</v>
      </c>
      <c r="O922" s="1"/>
      <c r="P922" s="189" t="s">
        <v>3269</v>
      </c>
      <c r="Q922" s="190" t="s">
        <v>3270</v>
      </c>
      <c r="R922" s="188">
        <v>45902</v>
      </c>
      <c r="S922" s="193" t="s">
        <v>126</v>
      </c>
      <c r="T922" s="192"/>
      <c r="U922" s="829"/>
      <c r="V922" s="10"/>
      <c r="W922" s="10"/>
      <c r="X922" s="10"/>
      <c r="Y922" s="10"/>
      <c r="Z922" s="10"/>
      <c r="AA922" s="11"/>
      <c r="AB922" s="11"/>
      <c r="AD922" s="260"/>
    </row>
    <row r="923" spans="2:30" x14ac:dyDescent="0.3">
      <c r="B923" s="10" t="s">
        <v>387</v>
      </c>
      <c r="C923" s="315" t="s">
        <v>1131</v>
      </c>
      <c r="D923" s="868" t="s">
        <v>164</v>
      </c>
      <c r="E923" s="837" t="str">
        <f>IFERROR(IF(_xlfn.XLOOKUP(Imput[[#This Row],[RFC]],'Alta Proveedor'!D:D,'Alta Proveedor'!E:E)=0,"",_xlfn.XLOOKUP(Imput[[#This Row],[RFC]],'Alta Proveedor'!D:D,'Alta Proveedor'!E:E)),"")</f>
        <v>HOME DEPOT MEXICO SUCURSAL THD-8730 TAMPICO</v>
      </c>
      <c r="F923" s="832" t="s">
        <v>3381</v>
      </c>
      <c r="G923" s="187">
        <v>1</v>
      </c>
      <c r="H923" s="1">
        <v>3561.68</v>
      </c>
      <c r="I923" s="169">
        <f>Imput[[#This Row],[Cantidad]]*Imput[[#This Row],[Precio Unitario]]</f>
        <v>3561.68</v>
      </c>
      <c r="J923" s="11">
        <f>((Imput[[#This Row],[Sub total]])*(0.16))</f>
        <v>569.86879999999996</v>
      </c>
      <c r="K923" s="11">
        <v>0</v>
      </c>
      <c r="L923" s="169">
        <f>Imput[[#This Row],[Sub total]]+Imput[[#This Row],[IVA]]-Imput[[#This Row],[Retención / IEPS / Descuento]]</f>
        <v>4131.5487999999996</v>
      </c>
      <c r="M923" s="844">
        <v>0</v>
      </c>
      <c r="N923" s="189" t="s">
        <v>123</v>
      </c>
      <c r="O923" s="1"/>
      <c r="P923" s="189" t="s">
        <v>3269</v>
      </c>
      <c r="Q923" s="190" t="s">
        <v>3270</v>
      </c>
      <c r="R923" s="188">
        <v>45902</v>
      </c>
      <c r="S923" s="193" t="s">
        <v>126</v>
      </c>
      <c r="T923" s="192"/>
      <c r="U923" s="829"/>
      <c r="V923" s="10"/>
      <c r="W923" s="10"/>
      <c r="X923" s="10"/>
      <c r="Y923" s="10"/>
      <c r="Z923" s="10"/>
      <c r="AA923" s="11"/>
      <c r="AB923" s="11"/>
      <c r="AD923" s="260"/>
    </row>
    <row r="924" spans="2:30" x14ac:dyDescent="0.3">
      <c r="B924" s="10" t="s">
        <v>387</v>
      </c>
      <c r="C924" s="315" t="s">
        <v>2631</v>
      </c>
      <c r="D924" s="868" t="s">
        <v>3288</v>
      </c>
      <c r="E924" s="837" t="str">
        <f>IFERROR(IF(_xlfn.XLOOKUP(Imput[[#This Row],[RFC]],'Alta Proveedor'!D:D,'Alta Proveedor'!E:E)=0,"",_xlfn.XLOOKUP(Imput[[#This Row],[RFC]],'Alta Proveedor'!D:D,'Alta Proveedor'!E:E)),"")</f>
        <v>MATERIALES PARA CONSTRUCCION MONTEMAYOR "AZULEJOS Y SANITARIOS"</v>
      </c>
      <c r="F924" s="832" t="s">
        <v>3386</v>
      </c>
      <c r="G924" s="187">
        <v>0.85</v>
      </c>
      <c r="H924" s="1">
        <f>70.6896</f>
        <v>70.689599999999999</v>
      </c>
      <c r="I924" s="169">
        <f>Imput[[#This Row],[Cantidad]]*Imput[[#This Row],[Precio Unitario]]</f>
        <v>60.08616</v>
      </c>
      <c r="J924" s="11">
        <f>((Imput[[#This Row],[Sub total]])*(0.16))</f>
        <v>9.6137855999999999</v>
      </c>
      <c r="K924" s="11">
        <v>0</v>
      </c>
      <c r="L924" s="169">
        <f>Imput[[#This Row],[Sub total]]+Imput[[#This Row],[IVA]]-Imput[[#This Row],[Retención / IEPS / Descuento]]</f>
        <v>69.699945600000007</v>
      </c>
      <c r="M924" s="844">
        <v>69.699945600000007</v>
      </c>
      <c r="N924" s="189" t="s">
        <v>123</v>
      </c>
      <c r="O924" s="1"/>
      <c r="P924" s="189" t="s">
        <v>3286</v>
      </c>
      <c r="Q924" s="190" t="s">
        <v>3287</v>
      </c>
      <c r="R924" s="188">
        <v>45902</v>
      </c>
      <c r="S924" s="193" t="s">
        <v>126</v>
      </c>
      <c r="T924" s="192"/>
      <c r="U924" s="829"/>
      <c r="V924" s="10"/>
      <c r="W924" s="10"/>
      <c r="X924" s="10"/>
      <c r="Y924" s="10"/>
      <c r="Z924" s="10"/>
      <c r="AA924" s="11"/>
      <c r="AB924" s="11"/>
      <c r="AD924" s="260"/>
    </row>
    <row r="925" spans="2:30" x14ac:dyDescent="0.3">
      <c r="B925" s="10" t="s">
        <v>387</v>
      </c>
      <c r="C925" s="315" t="s">
        <v>1767</v>
      </c>
      <c r="D925" s="868" t="s">
        <v>3263</v>
      </c>
      <c r="E925" s="837" t="str">
        <f>IFERROR(IF(_xlfn.XLOOKUP(Imput[[#This Row],[RFC]],'Alta Proveedor'!D:D,'Alta Proveedor'!E:E)=0,"",_xlfn.XLOOKUP(Imput[[#This Row],[RFC]],'Alta Proveedor'!D:D,'Alta Proveedor'!E:E)),"")</f>
        <v>GRUPO ANDALUZ DE DESARROLLO</v>
      </c>
      <c r="F925" s="832" t="s">
        <v>1114</v>
      </c>
      <c r="G925" s="187">
        <v>69.292000000000002</v>
      </c>
      <c r="H925" s="1">
        <v>22.987587000000001</v>
      </c>
      <c r="I925" s="169">
        <f>Imput[[#This Row],[Cantidad]]*Imput[[#This Row],[Precio Unitario]]</f>
        <v>1592.8558784040001</v>
      </c>
      <c r="J925" s="11">
        <v>249.61</v>
      </c>
      <c r="K925" s="11">
        <v>0</v>
      </c>
      <c r="L925" s="169">
        <f>Imput[[#This Row],[Sub total]]+Imput[[#This Row],[IVA]]-Imput[[#This Row],[Retención / IEPS / Descuento]]</f>
        <v>1842.4658784040003</v>
      </c>
      <c r="M925" s="844">
        <v>1842.4658784040003</v>
      </c>
      <c r="N925" s="189" t="s">
        <v>123</v>
      </c>
      <c r="O925" s="1"/>
      <c r="P925" s="189" t="s">
        <v>3261</v>
      </c>
      <c r="Q925" s="190" t="s">
        <v>3262</v>
      </c>
      <c r="R925" s="188">
        <v>45902</v>
      </c>
      <c r="S925" s="193" t="s">
        <v>126</v>
      </c>
      <c r="T925" s="192"/>
      <c r="U925" s="829"/>
      <c r="V925" s="10"/>
      <c r="W925" s="10"/>
      <c r="X925" s="10"/>
      <c r="Y925" s="10"/>
      <c r="Z925" s="10"/>
      <c r="AA925" s="11"/>
      <c r="AB925" s="11"/>
      <c r="AD925" s="260"/>
    </row>
    <row r="926" spans="2:30" x14ac:dyDescent="0.3">
      <c r="B926" s="10" t="s">
        <v>387</v>
      </c>
      <c r="C926" s="315" t="s">
        <v>1767</v>
      </c>
      <c r="D926" s="868" t="s">
        <v>3279</v>
      </c>
      <c r="E926" s="837" t="str">
        <f>IFERROR(IF(_xlfn.XLOOKUP(Imput[[#This Row],[RFC]],'Alta Proveedor'!D:D,'Alta Proveedor'!E:E)=0,"",_xlfn.XLOOKUP(Imput[[#This Row],[RFC]],'Alta Proveedor'!D:D,'Alta Proveedor'!E:E)),"")</f>
        <v>MARIA LUISA HERNANDEZ DEL ANGEL "EFECTIFACTURA" (COMBUSTIBLES)</v>
      </c>
      <c r="F926" s="832" t="s">
        <v>237</v>
      </c>
      <c r="G926" s="187">
        <v>65.274000000000001</v>
      </c>
      <c r="H926" s="1">
        <v>19.888983</v>
      </c>
      <c r="I926" s="169">
        <f>Imput[[#This Row],[Cantidad]]*Imput[[#This Row],[Precio Unitario]]</f>
        <v>1298.2334763419999</v>
      </c>
      <c r="J926" s="11">
        <v>201.77</v>
      </c>
      <c r="K926" s="11">
        <v>0</v>
      </c>
      <c r="L926" s="169">
        <f>Imput[[#This Row],[Sub total]]+Imput[[#This Row],[IVA]]-Imput[[#This Row],[Retención / IEPS / Descuento]]</f>
        <v>1500.0034763419999</v>
      </c>
      <c r="M926" s="844">
        <v>1500.0034763419999</v>
      </c>
      <c r="N926" s="189" t="s">
        <v>123</v>
      </c>
      <c r="O926" s="1"/>
      <c r="P926" s="189" t="s">
        <v>3277</v>
      </c>
      <c r="Q926" s="190" t="s">
        <v>3278</v>
      </c>
      <c r="R926" s="188">
        <v>45903</v>
      </c>
      <c r="S926" s="193" t="s">
        <v>126</v>
      </c>
      <c r="T926" s="192"/>
      <c r="U926" s="829"/>
      <c r="V926" s="10"/>
      <c r="W926" s="10"/>
      <c r="X926" s="10"/>
      <c r="Y926" s="10"/>
      <c r="Z926" s="10"/>
      <c r="AA926" s="11"/>
      <c r="AB926" s="11"/>
      <c r="AD926" s="260"/>
    </row>
    <row r="927" spans="2:30" x14ac:dyDescent="0.3">
      <c r="B927" s="10" t="s">
        <v>387</v>
      </c>
      <c r="C927" s="315" t="s">
        <v>1767</v>
      </c>
      <c r="D927" s="868" t="s">
        <v>3279</v>
      </c>
      <c r="E927" s="837" t="str">
        <f>IFERROR(IF(_xlfn.XLOOKUP(Imput[[#This Row],[RFC]],'Alta Proveedor'!D:D,'Alta Proveedor'!E:E)=0,"",_xlfn.XLOOKUP(Imput[[#This Row],[RFC]],'Alta Proveedor'!D:D,'Alta Proveedor'!E:E)),"")</f>
        <v>MARIA LUISA HERNANDEZ DEL ANGEL "EFECTIFACTURA" (COMBUSTIBLES)</v>
      </c>
      <c r="F927" s="832" t="s">
        <v>1114</v>
      </c>
      <c r="G927" s="187">
        <v>66.149000000000001</v>
      </c>
      <c r="H927" s="1">
        <v>22.806598000000001</v>
      </c>
      <c r="I927" s="169">
        <f>Imput[[#This Row],[Cantidad]]*Imput[[#This Row],[Precio Unitario]]</f>
        <v>1508.6336511020002</v>
      </c>
      <c r="J927" s="11">
        <v>236.38</v>
      </c>
      <c r="K927" s="11">
        <v>0</v>
      </c>
      <c r="L927" s="169">
        <f>Imput[[#This Row],[Sub total]]+Imput[[#This Row],[IVA]]-Imput[[#This Row],[Retención / IEPS / Descuento]]</f>
        <v>1745.013651102</v>
      </c>
      <c r="M927" s="844">
        <v>1745.013651102</v>
      </c>
      <c r="N927" s="189" t="s">
        <v>123</v>
      </c>
      <c r="O927" s="1"/>
      <c r="P927" s="189" t="s">
        <v>3280</v>
      </c>
      <c r="Q927" s="190" t="s">
        <v>3281</v>
      </c>
      <c r="R927" s="188">
        <v>45903</v>
      </c>
      <c r="S927" s="193" t="s">
        <v>126</v>
      </c>
      <c r="T927" s="192"/>
      <c r="U927" s="829"/>
      <c r="V927" s="10"/>
      <c r="W927" s="10"/>
      <c r="X927" s="10"/>
      <c r="Y927" s="10"/>
      <c r="Z927" s="10"/>
      <c r="AA927" s="11"/>
      <c r="AB927" s="11"/>
      <c r="AD927" s="260"/>
    </row>
    <row r="928" spans="2:30" x14ac:dyDescent="0.3">
      <c r="B928" s="10" t="s">
        <v>387</v>
      </c>
      <c r="C928" s="315" t="s">
        <v>2903</v>
      </c>
      <c r="D928" s="868" t="s">
        <v>164</v>
      </c>
      <c r="E928" s="837" t="str">
        <f>IFERROR(IF(_xlfn.XLOOKUP(Imput[[#This Row],[RFC]],'Alta Proveedor'!D:D,'Alta Proveedor'!E:E)=0,"",_xlfn.XLOOKUP(Imput[[#This Row],[RFC]],'Alta Proveedor'!D:D,'Alta Proveedor'!E:E)),"")</f>
        <v>HOME DEPOT MEXICO SUCURSAL THD-8730 TAMPICO</v>
      </c>
      <c r="F928" s="832" t="s">
        <v>3380</v>
      </c>
      <c r="G928" s="187">
        <v>10</v>
      </c>
      <c r="H928" s="1">
        <f>618.79/10</f>
        <v>61.878999999999998</v>
      </c>
      <c r="I928" s="169">
        <f>Imput[[#This Row],[Cantidad]]*Imput[[#This Row],[Precio Unitario]]</f>
        <v>618.79</v>
      </c>
      <c r="J928" s="11">
        <f>((Imput[[#This Row],[Sub total]])*(0.16))</f>
        <v>99.006399999999999</v>
      </c>
      <c r="K928" s="11">
        <v>0</v>
      </c>
      <c r="L928" s="169">
        <f>Imput[[#This Row],[Sub total]]+Imput[[#This Row],[IVA]]-Imput[[#This Row],[Retención / IEPS / Descuento]]</f>
        <v>717.79639999999995</v>
      </c>
      <c r="M928" s="844">
        <v>1544.83</v>
      </c>
      <c r="N928" s="189" t="s">
        <v>123</v>
      </c>
      <c r="O928" s="1"/>
      <c r="P928" s="189" t="s">
        <v>3271</v>
      </c>
      <c r="Q928" s="190" t="s">
        <v>3272</v>
      </c>
      <c r="R928" s="188">
        <v>45905</v>
      </c>
      <c r="S928" s="193" t="s">
        <v>126</v>
      </c>
      <c r="T928" s="192"/>
      <c r="U928" s="829"/>
      <c r="V928" s="10"/>
      <c r="W928" s="10"/>
      <c r="X928" s="10"/>
      <c r="Y928" s="10"/>
      <c r="Z928" s="10"/>
      <c r="AA928" s="11"/>
      <c r="AB928" s="11"/>
      <c r="AD928" s="260"/>
    </row>
    <row r="929" spans="2:30" x14ac:dyDescent="0.3">
      <c r="B929" s="10" t="s">
        <v>387</v>
      </c>
      <c r="C929" s="315"/>
      <c r="D929" s="868" t="s">
        <v>164</v>
      </c>
      <c r="E929" s="837" t="str">
        <f>IFERROR(IF(_xlfn.XLOOKUP(Imput[[#This Row],[RFC]],'Alta Proveedor'!D:D,'Alta Proveedor'!E:E)=0,"",_xlfn.XLOOKUP(Imput[[#This Row],[RFC]],'Alta Proveedor'!D:D,'Alta Proveedor'!E:E)),"")</f>
        <v>HOME DEPOT MEXICO SUCURSAL THD-8730 TAMPICO</v>
      </c>
      <c r="F929" s="832" t="s">
        <v>3382</v>
      </c>
      <c r="G929" s="187">
        <v>5</v>
      </c>
      <c r="H929" s="1">
        <f>393.1/5</f>
        <v>78.62</v>
      </c>
      <c r="I929" s="169">
        <f>Imput[[#This Row],[Cantidad]]*Imput[[#This Row],[Precio Unitario]]</f>
        <v>393.1</v>
      </c>
      <c r="J929" s="11">
        <f>((Imput[[#This Row],[Sub total]])*(0.16))</f>
        <v>62.896000000000008</v>
      </c>
      <c r="K929" s="11">
        <v>0</v>
      </c>
      <c r="L929" s="169">
        <f>Imput[[#This Row],[Sub total]]+Imput[[#This Row],[IVA]]-Imput[[#This Row],[Retención / IEPS / Descuento]]</f>
        <v>455.99600000000004</v>
      </c>
      <c r="M929" s="844">
        <v>0</v>
      </c>
      <c r="N929" s="189" t="s">
        <v>123</v>
      </c>
      <c r="O929" s="1"/>
      <c r="P929" s="189" t="s">
        <v>3271</v>
      </c>
      <c r="Q929" s="190" t="s">
        <v>3272</v>
      </c>
      <c r="R929" s="188">
        <v>45905</v>
      </c>
      <c r="S929" s="193" t="s">
        <v>126</v>
      </c>
      <c r="T929" s="192"/>
      <c r="U929" s="829"/>
      <c r="V929" s="10"/>
      <c r="W929" s="10"/>
      <c r="X929" s="10"/>
      <c r="Y929" s="10"/>
      <c r="Z929" s="10"/>
      <c r="AA929" s="11"/>
      <c r="AB929" s="11"/>
      <c r="AD929" s="260"/>
    </row>
    <row r="930" spans="2:30" x14ac:dyDescent="0.3">
      <c r="B930" s="10" t="s">
        <v>387</v>
      </c>
      <c r="C930" s="315"/>
      <c r="D930" s="868" t="s">
        <v>164</v>
      </c>
      <c r="E930" s="837" t="str">
        <f>IFERROR(IF(_xlfn.XLOOKUP(Imput[[#This Row],[RFC]],'Alta Proveedor'!D:D,'Alta Proveedor'!E:E)=0,"",_xlfn.XLOOKUP(Imput[[#This Row],[RFC]],'Alta Proveedor'!D:D,'Alta Proveedor'!E:E)),"")</f>
        <v>HOME DEPOT MEXICO SUCURSAL THD-8730 TAMPICO</v>
      </c>
      <c r="F930" s="832" t="s">
        <v>1661</v>
      </c>
      <c r="G930" s="187">
        <v>6</v>
      </c>
      <c r="H930" s="1">
        <f>53.31</f>
        <v>53.31</v>
      </c>
      <c r="I930" s="169">
        <f>Imput[[#This Row],[Cantidad]]*Imput[[#This Row],[Precio Unitario]]</f>
        <v>319.86</v>
      </c>
      <c r="J930" s="11">
        <f>((Imput[[#This Row],[Sub total]])*(0.16))</f>
        <v>51.177600000000005</v>
      </c>
      <c r="K930" s="11">
        <v>0</v>
      </c>
      <c r="L930" s="169">
        <f>Imput[[#This Row],[Sub total]]+Imput[[#This Row],[IVA]]-Imput[[#This Row],[Retención / IEPS / Descuento]]</f>
        <v>371.0376</v>
      </c>
      <c r="M930" s="844">
        <v>0</v>
      </c>
      <c r="N930" s="189" t="s">
        <v>123</v>
      </c>
      <c r="O930" s="1"/>
      <c r="P930" s="189" t="s">
        <v>3271</v>
      </c>
      <c r="Q930" s="190" t="s">
        <v>3272</v>
      </c>
      <c r="R930" s="188">
        <v>45905</v>
      </c>
      <c r="S930" s="193" t="s">
        <v>126</v>
      </c>
      <c r="T930" s="192"/>
      <c r="U930" s="829"/>
      <c r="V930" s="10"/>
      <c r="W930" s="10"/>
      <c r="X930" s="10"/>
      <c r="Y930" s="10"/>
      <c r="Z930" s="10"/>
      <c r="AA930" s="11"/>
      <c r="AB930" s="11"/>
      <c r="AD930" s="260"/>
    </row>
    <row r="931" spans="2:30" x14ac:dyDescent="0.3">
      <c r="B931" s="10" t="s">
        <v>387</v>
      </c>
      <c r="C931" s="315" t="s">
        <v>1810</v>
      </c>
      <c r="D931" s="868" t="s">
        <v>3315</v>
      </c>
      <c r="E931" s="837" t="str">
        <f>IFERROR(IF(_xlfn.XLOOKUP(Imput[[#This Row],[RFC]],'Alta Proveedor'!D:D,'Alta Proveedor'!E:E)=0,"",_xlfn.XLOOKUP(Imput[[#This Row],[RFC]],'Alta Proveedor'!D:D,'Alta Proveedor'!E:E)),"")</f>
        <v>OPERADORA DE SERVICIOS PAQUETEXPRESS</v>
      </c>
      <c r="F931" s="832" t="s">
        <v>3317</v>
      </c>
      <c r="G931" s="187">
        <v>1</v>
      </c>
      <c r="H931" s="1">
        <v>15</v>
      </c>
      <c r="I931" s="169">
        <f>Imput[[#This Row],[Cantidad]]*Imput[[#This Row],[Precio Unitario]]</f>
        <v>15</v>
      </c>
      <c r="J931" s="11">
        <f>((Imput[[#This Row],[Sub total]])*(0.16))</f>
        <v>2.4</v>
      </c>
      <c r="K931" s="11">
        <v>0</v>
      </c>
      <c r="L931" s="169">
        <f>Imput[[#This Row],[Sub total]]+Imput[[#This Row],[IVA]]-Imput[[#This Row],[Retención / IEPS / Descuento]]</f>
        <v>17.399999999999999</v>
      </c>
      <c r="M931" s="844">
        <v>1276.4756000000002</v>
      </c>
      <c r="N931" s="189" t="s">
        <v>123</v>
      </c>
      <c r="O931" s="1"/>
      <c r="P931" s="189" t="s">
        <v>3313</v>
      </c>
      <c r="Q931" s="190" t="s">
        <v>3314</v>
      </c>
      <c r="R931" s="188">
        <v>45905</v>
      </c>
      <c r="S931" s="193" t="s">
        <v>126</v>
      </c>
      <c r="T931" s="192"/>
      <c r="U931" s="829"/>
      <c r="V931" s="10"/>
      <c r="W931" s="10"/>
      <c r="X931" s="10"/>
      <c r="Y931" s="10"/>
      <c r="Z931" s="10"/>
      <c r="AA931" s="11"/>
      <c r="AB931" s="11"/>
      <c r="AD931" s="260"/>
    </row>
    <row r="932" spans="2:30" x14ac:dyDescent="0.3">
      <c r="B932" s="10" t="s">
        <v>387</v>
      </c>
      <c r="C932" s="315" t="s">
        <v>1810</v>
      </c>
      <c r="D932" s="868" t="s">
        <v>3315</v>
      </c>
      <c r="E932" s="837" t="str">
        <f>IFERROR(IF(_xlfn.XLOOKUP(Imput[[#This Row],[RFC]],'Alta Proveedor'!D:D,'Alta Proveedor'!E:E)=0,"",_xlfn.XLOOKUP(Imput[[#This Row],[RFC]],'Alta Proveedor'!D:D,'Alta Proveedor'!E:E)),"")</f>
        <v>OPERADORA DE SERVICIOS PAQUETEXPRESS</v>
      </c>
      <c r="F932" s="832" t="s">
        <v>3318</v>
      </c>
      <c r="G932" s="187">
        <v>1</v>
      </c>
      <c r="H932" s="1">
        <v>152.83000000000001</v>
      </c>
      <c r="I932" s="169">
        <f>Imput[[#This Row],[Cantidad]]*Imput[[#This Row],[Precio Unitario]]</f>
        <v>152.83000000000001</v>
      </c>
      <c r="J932" s="11">
        <f>((Imput[[#This Row],[Sub total]])*(0.16))</f>
        <v>24.452800000000003</v>
      </c>
      <c r="K932" s="11">
        <v>0</v>
      </c>
      <c r="L932" s="169">
        <f>Imput[[#This Row],[Sub total]]+Imput[[#This Row],[IVA]]-Imput[[#This Row],[Retención / IEPS / Descuento]]</f>
        <v>177.28280000000001</v>
      </c>
      <c r="M932" s="844">
        <v>0</v>
      </c>
      <c r="N932" s="189" t="s">
        <v>123</v>
      </c>
      <c r="O932" s="1"/>
      <c r="P932" s="189" t="s">
        <v>3313</v>
      </c>
      <c r="Q932" s="190" t="s">
        <v>3314</v>
      </c>
      <c r="R932" s="188">
        <v>45905</v>
      </c>
      <c r="S932" s="193" t="s">
        <v>126</v>
      </c>
      <c r="T932" s="192"/>
      <c r="U932" s="829"/>
      <c r="V932" s="10"/>
      <c r="W932" s="10"/>
      <c r="X932" s="10"/>
      <c r="Y932" s="10"/>
      <c r="Z932" s="10"/>
      <c r="AA932" s="11"/>
      <c r="AB932" s="11"/>
      <c r="AD932" s="260"/>
    </row>
    <row r="933" spans="2:30" x14ac:dyDescent="0.3">
      <c r="B933" s="10" t="s">
        <v>387</v>
      </c>
      <c r="C933" s="315" t="s">
        <v>1810</v>
      </c>
      <c r="D933" s="868" t="s">
        <v>3315</v>
      </c>
      <c r="E933" s="837" t="str">
        <f>IFERROR(IF(_xlfn.XLOOKUP(Imput[[#This Row],[RFC]],'Alta Proveedor'!D:D,'Alta Proveedor'!E:E)=0,"",_xlfn.XLOOKUP(Imput[[#This Row],[RFC]],'Alta Proveedor'!D:D,'Alta Proveedor'!E:E)),"")</f>
        <v>OPERADORA DE SERVICIOS PAQUETEXPRESS</v>
      </c>
      <c r="F933" s="832" t="s">
        <v>3319</v>
      </c>
      <c r="G933" s="187">
        <v>1</v>
      </c>
      <c r="H933" s="1">
        <v>932.58</v>
      </c>
      <c r="I933" s="169">
        <f>Imput[[#This Row],[Cantidad]]*Imput[[#This Row],[Precio Unitario]]</f>
        <v>932.58</v>
      </c>
      <c r="J933" s="11">
        <f>((Imput[[#This Row],[Sub total]])*(0.16))</f>
        <v>149.21280000000002</v>
      </c>
      <c r="K933" s="11">
        <v>0</v>
      </c>
      <c r="L933" s="169">
        <f>Imput[[#This Row],[Sub total]]+Imput[[#This Row],[IVA]]-Imput[[#This Row],[Retención / IEPS / Descuento]]</f>
        <v>1081.7928000000002</v>
      </c>
      <c r="M933" s="844">
        <v>0</v>
      </c>
      <c r="N933" s="189" t="s">
        <v>123</v>
      </c>
      <c r="O933" s="1"/>
      <c r="P933" s="189" t="s">
        <v>3313</v>
      </c>
      <c r="Q933" s="190" t="s">
        <v>3314</v>
      </c>
      <c r="R933" s="188">
        <v>45905</v>
      </c>
      <c r="S933" s="193" t="s">
        <v>126</v>
      </c>
      <c r="T933" s="192"/>
      <c r="U933" s="829"/>
      <c r="V933" s="10"/>
      <c r="W933" s="10"/>
      <c r="X933" s="10"/>
      <c r="Y933" s="10"/>
      <c r="Z933" s="10"/>
      <c r="AA933" s="11"/>
      <c r="AB933" s="11"/>
      <c r="AD933" s="260"/>
    </row>
    <row r="934" spans="2:30" x14ac:dyDescent="0.3">
      <c r="B934" s="10" t="s">
        <v>387</v>
      </c>
      <c r="C934" s="315"/>
      <c r="D934" s="868" t="s">
        <v>164</v>
      </c>
      <c r="E934" s="837" t="str">
        <f>IFERROR(IF(_xlfn.XLOOKUP(Imput[[#This Row],[RFC]],'Alta Proveedor'!D:D,'Alta Proveedor'!E:E)=0,"",_xlfn.XLOOKUP(Imput[[#This Row],[RFC]],'Alta Proveedor'!D:D,'Alta Proveedor'!E:E)),"")</f>
        <v>HOME DEPOT MEXICO SUCURSAL THD-8730 TAMPICO</v>
      </c>
      <c r="F934" s="832" t="s">
        <v>1710</v>
      </c>
      <c r="G934" s="187">
        <v>5</v>
      </c>
      <c r="H934" s="1">
        <f>368.32/5</f>
        <v>73.664000000000001</v>
      </c>
      <c r="I934" s="169">
        <f>Imput[[#This Row],[Cantidad]]*Imput[[#This Row],[Precio Unitario]]</f>
        <v>368.32</v>
      </c>
      <c r="J934" s="11">
        <f>((Imput[[#This Row],[Sub total]])*(0.16))</f>
        <v>58.931199999999997</v>
      </c>
      <c r="K934" s="11">
        <v>0</v>
      </c>
      <c r="L934" s="169">
        <f>Imput[[#This Row],[Sub total]]+Imput[[#This Row],[IVA]]-Imput[[#This Row],[Retención / IEPS / Descuento]]</f>
        <v>427.25119999999998</v>
      </c>
      <c r="M934" s="844">
        <v>512.69679999999994</v>
      </c>
      <c r="N934" s="189" t="s">
        <v>123</v>
      </c>
      <c r="O934" s="1"/>
      <c r="P934" s="189" t="s">
        <v>3273</v>
      </c>
      <c r="Q934" s="190" t="s">
        <v>3274</v>
      </c>
      <c r="R934" s="188">
        <v>45906</v>
      </c>
      <c r="S934" s="193" t="s">
        <v>126</v>
      </c>
      <c r="T934" s="192"/>
      <c r="U934" s="829"/>
      <c r="V934" s="10"/>
      <c r="W934" s="10"/>
      <c r="X934" s="10"/>
      <c r="Y934" s="10"/>
      <c r="Z934" s="10"/>
      <c r="AA934" s="11"/>
      <c r="AB934" s="11"/>
      <c r="AD934" s="260"/>
    </row>
    <row r="935" spans="2:30" x14ac:dyDescent="0.3">
      <c r="B935" s="10" t="s">
        <v>387</v>
      </c>
      <c r="C935" s="315"/>
      <c r="D935" s="868" t="s">
        <v>164</v>
      </c>
      <c r="E935" s="837" t="str">
        <f>IFERROR(IF(_xlfn.XLOOKUP(Imput[[#This Row],[RFC]],'Alta Proveedor'!D:D,'Alta Proveedor'!E:E)=0,"",_xlfn.XLOOKUP(Imput[[#This Row],[RFC]],'Alta Proveedor'!D:D,'Alta Proveedor'!E:E)),"")</f>
        <v>HOME DEPOT MEXICO SUCURSAL THD-8730 TAMPICO</v>
      </c>
      <c r="F935" s="832" t="s">
        <v>1710</v>
      </c>
      <c r="G935" s="187">
        <v>1</v>
      </c>
      <c r="H935" s="1">
        <f>73.66/1</f>
        <v>73.66</v>
      </c>
      <c r="I935" s="169">
        <f>Imput[[#This Row],[Cantidad]]*Imput[[#This Row],[Precio Unitario]]</f>
        <v>73.66</v>
      </c>
      <c r="J935" s="11">
        <f>((Imput[[#This Row],[Sub total]])*(0.16))</f>
        <v>11.785600000000001</v>
      </c>
      <c r="K935" s="11">
        <v>0</v>
      </c>
      <c r="L935" s="169">
        <f>Imput[[#This Row],[Sub total]]+Imput[[#This Row],[IVA]]-Imput[[#This Row],[Retención / IEPS / Descuento]]</f>
        <v>85.445599999999999</v>
      </c>
      <c r="M935" s="844">
        <v>0</v>
      </c>
      <c r="N935" s="189" t="s">
        <v>123</v>
      </c>
      <c r="O935" s="1"/>
      <c r="P935" s="189" t="s">
        <v>3273</v>
      </c>
      <c r="Q935" s="190" t="s">
        <v>3274</v>
      </c>
      <c r="R935" s="188">
        <v>45906</v>
      </c>
      <c r="S935" s="193" t="s">
        <v>126</v>
      </c>
      <c r="T935" s="192"/>
      <c r="U935" s="829"/>
      <c r="V935" s="10"/>
      <c r="W935" s="10"/>
      <c r="X935" s="10"/>
      <c r="Y935" s="10"/>
      <c r="Z935" s="10"/>
      <c r="AA935" s="11"/>
      <c r="AB935" s="11"/>
      <c r="AD935" s="260"/>
    </row>
    <row r="936" spans="2:30" x14ac:dyDescent="0.3">
      <c r="B936" s="10" t="s">
        <v>387</v>
      </c>
      <c r="C936" s="315"/>
      <c r="D936" s="868" t="s">
        <v>164</v>
      </c>
      <c r="E936" s="837" t="str">
        <f>IFERROR(IF(_xlfn.XLOOKUP(Imput[[#This Row],[RFC]],'Alta Proveedor'!D:D,'Alta Proveedor'!E:E)=0,"",_xlfn.XLOOKUP(Imput[[#This Row],[RFC]],'Alta Proveedor'!D:D,'Alta Proveedor'!E:E)),"")</f>
        <v>HOME DEPOT MEXICO SUCURSAL THD-8730 TAMPICO</v>
      </c>
      <c r="F936" s="832" t="s">
        <v>3373</v>
      </c>
      <c r="G936" s="187">
        <v>120</v>
      </c>
      <c r="H936" s="1">
        <f>2427.93/120</f>
        <v>20.232749999999999</v>
      </c>
      <c r="I936" s="169">
        <f>Imput[[#This Row],[Cantidad]]*Imput[[#This Row],[Precio Unitario]]</f>
        <v>2427.9299999999998</v>
      </c>
      <c r="J936" s="11">
        <f>((Imput[[#This Row],[Sub total]])*(0.16))</f>
        <v>388.46879999999999</v>
      </c>
      <c r="K936" s="11">
        <v>0</v>
      </c>
      <c r="L936" s="169">
        <f>Imput[[#This Row],[Sub total]]+Imput[[#This Row],[IVA]]-Imput[[#This Row],[Retención / IEPS / Descuento]]</f>
        <v>2816.3987999999999</v>
      </c>
      <c r="M936" s="844">
        <v>2816.3987999999999</v>
      </c>
      <c r="N936" s="189" t="s">
        <v>123</v>
      </c>
      <c r="O936" s="1"/>
      <c r="P936" s="189" t="s">
        <v>3275</v>
      </c>
      <c r="Q936" s="190" t="s">
        <v>3276</v>
      </c>
      <c r="R936" s="188">
        <v>45906</v>
      </c>
      <c r="S936" s="193" t="s">
        <v>126</v>
      </c>
      <c r="T936" s="192"/>
      <c r="U936" s="829"/>
      <c r="V936" s="10"/>
      <c r="W936" s="10"/>
      <c r="X936" s="10"/>
      <c r="Y936" s="10"/>
      <c r="Z936" s="10"/>
      <c r="AA936" s="11"/>
      <c r="AB936" s="11"/>
      <c r="AD936" s="260"/>
    </row>
    <row r="937" spans="2:30" x14ac:dyDescent="0.3">
      <c r="B937" s="10" t="s">
        <v>387</v>
      </c>
      <c r="C937" s="315" t="s">
        <v>1767</v>
      </c>
      <c r="D937" s="868" t="s">
        <v>3257</v>
      </c>
      <c r="E937" s="837" t="str">
        <f>IFERROR(IF(_xlfn.XLOOKUP(Imput[[#This Row],[RFC]],'Alta Proveedor'!D:D,'Alta Proveedor'!E:E)=0,"",_xlfn.XLOOKUP(Imput[[#This Row],[RFC]],'Alta Proveedor'!D:D,'Alta Proveedor'!E:E)),"")</f>
        <v>E11937 - COMBUSTIBLES DE CIUDAD DEL MAIZ FACTURA (COMBUSTIBLES)</v>
      </c>
      <c r="F937" s="832" t="s">
        <v>237</v>
      </c>
      <c r="G937" s="187">
        <v>60.304000000000002</v>
      </c>
      <c r="H937" s="1">
        <v>20.768248</v>
      </c>
      <c r="I937" s="169">
        <f>Imput[[#This Row],[Cantidad]]*Imput[[#This Row],[Precio Unitario]]</f>
        <v>1252.408427392</v>
      </c>
      <c r="J937" s="11">
        <v>194.89</v>
      </c>
      <c r="K937" s="11">
        <v>0</v>
      </c>
      <c r="L937" s="169">
        <f>Imput[[#This Row],[Sub total]]+Imput[[#This Row],[IVA]]-Imput[[#This Row],[Retención / IEPS / Descuento]]</f>
        <v>1447.2984273920001</v>
      </c>
      <c r="M937" s="844">
        <v>1447.2984273920001</v>
      </c>
      <c r="N937" s="189" t="s">
        <v>123</v>
      </c>
      <c r="O937" s="1"/>
      <c r="P937" s="189" t="s">
        <v>3255</v>
      </c>
      <c r="Q937" s="190" t="s">
        <v>3256</v>
      </c>
      <c r="R937" s="188">
        <v>45907</v>
      </c>
      <c r="S937" s="193" t="s">
        <v>154</v>
      </c>
      <c r="T937" s="192"/>
      <c r="U937" s="829"/>
      <c r="V937" s="10"/>
      <c r="W937" s="10"/>
      <c r="X937" s="10"/>
      <c r="Y937" s="10"/>
      <c r="Z937" s="10"/>
      <c r="AA937" s="11"/>
      <c r="AB937" s="11"/>
      <c r="AD937" s="260"/>
    </row>
    <row r="938" spans="2:30" x14ac:dyDescent="0.3">
      <c r="B938" s="10" t="s">
        <v>387</v>
      </c>
      <c r="C938" s="315" t="s">
        <v>1806</v>
      </c>
      <c r="D938" s="868" t="s">
        <v>3284</v>
      </c>
      <c r="E938" s="837" t="str">
        <f>IFERROR(IF(_xlfn.XLOOKUP(Imput[[#This Row],[RFC]],'Alta Proveedor'!D:D,'Alta Proveedor'!E:E)=0,"",_xlfn.XLOOKUP(Imput[[#This Row],[RFC]],'Alta Proveedor'!D:D,'Alta Proveedor'!E:E)),"")</f>
        <v>VALERIA EDITH KORRODI TREJO</v>
      </c>
      <c r="F938" s="832" t="s">
        <v>159</v>
      </c>
      <c r="G938" s="187">
        <v>1</v>
      </c>
      <c r="H938" s="1">
        <v>254.31</v>
      </c>
      <c r="I938" s="169">
        <f>Imput[[#This Row],[Cantidad]]*Imput[[#This Row],[Precio Unitario]]</f>
        <v>254.31</v>
      </c>
      <c r="J938" s="11">
        <f>((Imput[[#This Row],[Sub total]])*(0.16))</f>
        <v>40.689599999999999</v>
      </c>
      <c r="K938" s="11">
        <v>0</v>
      </c>
      <c r="L938" s="169">
        <f>Imput[[#This Row],[Sub total]]+Imput[[#This Row],[IVA]]-Imput[[#This Row],[Retención / IEPS / Descuento]]</f>
        <v>294.99959999999999</v>
      </c>
      <c r="M938" s="844">
        <v>294.99959999999999</v>
      </c>
      <c r="N938" s="189" t="s">
        <v>123</v>
      </c>
      <c r="O938" s="1"/>
      <c r="P938" s="189" t="s">
        <v>3282</v>
      </c>
      <c r="Q938" s="190" t="s">
        <v>3283</v>
      </c>
      <c r="R938" s="188">
        <v>45908</v>
      </c>
      <c r="S938" s="193" t="s">
        <v>126</v>
      </c>
      <c r="T938" s="192"/>
      <c r="U938" s="829"/>
      <c r="V938" s="10"/>
      <c r="W938" s="10"/>
      <c r="X938" s="10"/>
      <c r="Y938" s="10"/>
      <c r="Z938" s="10"/>
      <c r="AA938" s="11"/>
      <c r="AB938" s="11"/>
      <c r="AD938" s="260"/>
    </row>
    <row r="939" spans="2:30" x14ac:dyDescent="0.3">
      <c r="B939" s="10" t="s">
        <v>387</v>
      </c>
      <c r="C939" s="315"/>
      <c r="D939" s="868" t="s">
        <v>164</v>
      </c>
      <c r="E939" s="837" t="str">
        <f>IFERROR(IF(_xlfn.XLOOKUP(Imput[[#This Row],[RFC]],'Alta Proveedor'!D:D,'Alta Proveedor'!E:E)=0,"",_xlfn.XLOOKUP(Imput[[#This Row],[RFC]],'Alta Proveedor'!D:D,'Alta Proveedor'!E:E)),"")</f>
        <v>HOME DEPOT MEXICO SUCURSAL THD-8730 TAMPICO</v>
      </c>
      <c r="F939" s="832" t="s">
        <v>1633</v>
      </c>
      <c r="G939" s="187">
        <v>15</v>
      </c>
      <c r="H939" s="1">
        <f>384.7/15</f>
        <v>25.646666666666665</v>
      </c>
      <c r="I939" s="169">
        <f>Imput[[#This Row],[Cantidad]]*Imput[[#This Row],[Precio Unitario]]</f>
        <v>384.7</v>
      </c>
      <c r="J939" s="11">
        <f>((Imput[[#This Row],[Sub total]])*(0.16))</f>
        <v>61.552</v>
      </c>
      <c r="K939" s="11">
        <v>0</v>
      </c>
      <c r="L939" s="169">
        <f>Imput[[#This Row],[Sub total]]+Imput[[#This Row],[IVA]]-Imput[[#This Row],[Retención / IEPS / Descuento]]</f>
        <v>446.25200000000001</v>
      </c>
      <c r="M939" s="844">
        <v>1439.1076000000003</v>
      </c>
      <c r="N939" s="189" t="s">
        <v>123</v>
      </c>
      <c r="O939" s="1"/>
      <c r="P939" s="189" t="s">
        <v>3320</v>
      </c>
      <c r="Q939" s="190" t="s">
        <v>3321</v>
      </c>
      <c r="R939" s="188">
        <v>45908</v>
      </c>
      <c r="S939" s="193" t="s">
        <v>126</v>
      </c>
      <c r="T939" s="192"/>
      <c r="U939" s="829"/>
      <c r="V939" s="10"/>
      <c r="W939" s="10"/>
      <c r="X939" s="10"/>
      <c r="Y939" s="10"/>
      <c r="Z939" s="10"/>
      <c r="AA939" s="11"/>
      <c r="AB939" s="11"/>
      <c r="AD939" s="260"/>
    </row>
    <row r="940" spans="2:30" x14ac:dyDescent="0.3">
      <c r="B940" s="10" t="s">
        <v>387</v>
      </c>
      <c r="C940" s="315"/>
      <c r="D940" s="868" t="s">
        <v>164</v>
      </c>
      <c r="E940" s="837" t="str">
        <f>IFERROR(IF(_xlfn.XLOOKUP(Imput[[#This Row],[RFC]],'Alta Proveedor'!D:D,'Alta Proveedor'!E:E)=0,"",_xlfn.XLOOKUP(Imput[[#This Row],[RFC]],'Alta Proveedor'!D:D,'Alta Proveedor'!E:E)),"")</f>
        <v>HOME DEPOT MEXICO SUCURSAL THD-8730 TAMPICO</v>
      </c>
      <c r="F940" s="832" t="s">
        <v>1632</v>
      </c>
      <c r="G940" s="187">
        <v>5</v>
      </c>
      <c r="H940" s="1">
        <f>292.63/5</f>
        <v>58.525999999999996</v>
      </c>
      <c r="I940" s="169">
        <f>Imput[[#This Row],[Cantidad]]*Imput[[#This Row],[Precio Unitario]]</f>
        <v>292.63</v>
      </c>
      <c r="J940" s="11">
        <f>((Imput[[#This Row],[Sub total]])*(0.16))</f>
        <v>46.820799999999998</v>
      </c>
      <c r="K940" s="11">
        <v>0</v>
      </c>
      <c r="L940" s="169">
        <f>Imput[[#This Row],[Sub total]]+Imput[[#This Row],[IVA]]-Imput[[#This Row],[Retención / IEPS / Descuento]]</f>
        <v>339.45080000000002</v>
      </c>
      <c r="M940" s="844">
        <v>0</v>
      </c>
      <c r="N940" s="189" t="s">
        <v>123</v>
      </c>
      <c r="O940" s="1"/>
      <c r="P940" s="189" t="s">
        <v>3320</v>
      </c>
      <c r="Q940" s="190" t="s">
        <v>3321</v>
      </c>
      <c r="R940" s="188">
        <v>45908</v>
      </c>
      <c r="S940" s="193" t="s">
        <v>126</v>
      </c>
      <c r="T940" s="192"/>
      <c r="U940" s="829"/>
      <c r="V940" s="10"/>
      <c r="W940" s="10"/>
      <c r="X940" s="10"/>
      <c r="Y940" s="10"/>
      <c r="Z940" s="10"/>
      <c r="AA940" s="11"/>
      <c r="AB940" s="11"/>
      <c r="AD940" s="260"/>
    </row>
    <row r="941" spans="2:30" x14ac:dyDescent="0.3">
      <c r="B941" s="10" t="s">
        <v>387</v>
      </c>
      <c r="C941" s="315"/>
      <c r="D941" s="868" t="s">
        <v>164</v>
      </c>
      <c r="E941" s="837" t="str">
        <f>IFERROR(IF(_xlfn.XLOOKUP(Imput[[#This Row],[RFC]],'Alta Proveedor'!D:D,'Alta Proveedor'!E:E)=0,"",_xlfn.XLOOKUP(Imput[[#This Row],[RFC]],'Alta Proveedor'!D:D,'Alta Proveedor'!E:E)),"")</f>
        <v>HOME DEPOT MEXICO SUCURSAL THD-8730 TAMPICO</v>
      </c>
      <c r="F941" s="832" t="s">
        <v>3374</v>
      </c>
      <c r="G941" s="187">
        <v>15</v>
      </c>
      <c r="H941" s="1">
        <f>250.09/15</f>
        <v>16.672666666666668</v>
      </c>
      <c r="I941" s="169">
        <f>Imput[[#This Row],[Cantidad]]*Imput[[#This Row],[Precio Unitario]]</f>
        <v>250.09000000000003</v>
      </c>
      <c r="J941" s="11">
        <f>((Imput[[#This Row],[Sub total]])*(0.16))</f>
        <v>40.014400000000009</v>
      </c>
      <c r="K941" s="11">
        <v>0</v>
      </c>
      <c r="L941" s="169">
        <f>Imput[[#This Row],[Sub total]]+Imput[[#This Row],[IVA]]-Imput[[#This Row],[Retención / IEPS / Descuento]]</f>
        <v>290.10440000000006</v>
      </c>
      <c r="M941" s="844">
        <v>0</v>
      </c>
      <c r="N941" s="189" t="s">
        <v>123</v>
      </c>
      <c r="O941" s="1"/>
      <c r="P941" s="189" t="s">
        <v>3320</v>
      </c>
      <c r="Q941" s="190" t="s">
        <v>3321</v>
      </c>
      <c r="R941" s="188">
        <v>45908</v>
      </c>
      <c r="S941" s="193" t="s">
        <v>126</v>
      </c>
      <c r="T941" s="192"/>
      <c r="U941" s="829"/>
      <c r="V941" s="10"/>
      <c r="W941" s="10"/>
      <c r="X941" s="10"/>
      <c r="Y941" s="10"/>
      <c r="Z941" s="10"/>
      <c r="AA941" s="11"/>
      <c r="AB941" s="11"/>
      <c r="AD941" s="260"/>
    </row>
    <row r="942" spans="2:30" x14ac:dyDescent="0.3">
      <c r="B942" s="10" t="s">
        <v>387</v>
      </c>
      <c r="C942" s="315"/>
      <c r="D942" s="868" t="s">
        <v>164</v>
      </c>
      <c r="E942" s="837" t="str">
        <f>IFERROR(IF(_xlfn.XLOOKUP(Imput[[#This Row],[RFC]],'Alta Proveedor'!D:D,'Alta Proveedor'!E:E)=0,"",_xlfn.XLOOKUP(Imput[[#This Row],[RFC]],'Alta Proveedor'!D:D,'Alta Proveedor'!E:E)),"")</f>
        <v>HOME DEPOT MEXICO SUCURSAL THD-8730 TAMPICO</v>
      </c>
      <c r="F942" s="832" t="s">
        <v>3375</v>
      </c>
      <c r="G942" s="187">
        <v>5</v>
      </c>
      <c r="H942" s="1">
        <f>220.52/5</f>
        <v>44.103999999999999</v>
      </c>
      <c r="I942" s="169">
        <f>Imput[[#This Row],[Cantidad]]*Imput[[#This Row],[Precio Unitario]]</f>
        <v>220.51999999999998</v>
      </c>
      <c r="J942" s="11">
        <f>((Imput[[#This Row],[Sub total]])*(0.16))</f>
        <v>35.283200000000001</v>
      </c>
      <c r="K942" s="11">
        <v>0</v>
      </c>
      <c r="L942" s="169">
        <f>Imput[[#This Row],[Sub total]]+Imput[[#This Row],[IVA]]-Imput[[#This Row],[Retención / IEPS / Descuento]]</f>
        <v>255.80319999999998</v>
      </c>
      <c r="M942" s="844">
        <v>0</v>
      </c>
      <c r="N942" s="189" t="s">
        <v>123</v>
      </c>
      <c r="O942" s="1"/>
      <c r="P942" s="189" t="s">
        <v>3320</v>
      </c>
      <c r="Q942" s="190" t="s">
        <v>3321</v>
      </c>
      <c r="R942" s="188">
        <v>45908</v>
      </c>
      <c r="S942" s="193" t="s">
        <v>126</v>
      </c>
      <c r="T942" s="192"/>
      <c r="U942" s="829"/>
      <c r="V942" s="10"/>
      <c r="W942" s="10"/>
      <c r="X942" s="10"/>
      <c r="Y942" s="10"/>
      <c r="Z942" s="10"/>
      <c r="AA942" s="11"/>
      <c r="AB942" s="11"/>
      <c r="AD942" s="260"/>
    </row>
    <row r="943" spans="2:30" x14ac:dyDescent="0.3">
      <c r="B943" s="10" t="s">
        <v>387</v>
      </c>
      <c r="C943" s="315"/>
      <c r="D943" s="868" t="s">
        <v>164</v>
      </c>
      <c r="E943" s="837" t="str">
        <f>IFERROR(IF(_xlfn.XLOOKUP(Imput[[#This Row],[RFC]],'Alta Proveedor'!D:D,'Alta Proveedor'!E:E)=0,"",_xlfn.XLOOKUP(Imput[[#This Row],[RFC]],'Alta Proveedor'!D:D,'Alta Proveedor'!E:E)),"")</f>
        <v>HOME DEPOT MEXICO SUCURSAL THD-8730 TAMPICO</v>
      </c>
      <c r="F943" s="832" t="s">
        <v>3403</v>
      </c>
      <c r="G943" s="187">
        <v>2</v>
      </c>
      <c r="H943" s="1">
        <f>92.67/2</f>
        <v>46.335000000000001</v>
      </c>
      <c r="I943" s="169">
        <f>Imput[[#This Row],[Cantidad]]*Imput[[#This Row],[Precio Unitario]]</f>
        <v>92.67</v>
      </c>
      <c r="J943" s="11">
        <f>((Imput[[#This Row],[Sub total]])*(0.16))</f>
        <v>14.827200000000001</v>
      </c>
      <c r="K943" s="11">
        <v>0</v>
      </c>
      <c r="L943" s="169">
        <f>Imput[[#This Row],[Sub total]]+Imput[[#This Row],[IVA]]-Imput[[#This Row],[Retención / IEPS / Descuento]]</f>
        <v>107.49720000000001</v>
      </c>
      <c r="M943" s="844">
        <v>0</v>
      </c>
      <c r="N943" s="189" t="s">
        <v>123</v>
      </c>
      <c r="O943" s="1"/>
      <c r="P943" s="189" t="s">
        <v>3320</v>
      </c>
      <c r="Q943" s="190" t="s">
        <v>3321</v>
      </c>
      <c r="R943" s="188">
        <v>45908</v>
      </c>
      <c r="S943" s="193" t="s">
        <v>126</v>
      </c>
      <c r="T943" s="192"/>
      <c r="U943" s="829"/>
      <c r="V943" s="10"/>
      <c r="W943" s="10"/>
      <c r="X943" s="10"/>
      <c r="Y943" s="10"/>
      <c r="Z943" s="10"/>
      <c r="AA943" s="11"/>
      <c r="AB943" s="11"/>
      <c r="AD943" s="260"/>
    </row>
    <row r="944" spans="2:30" x14ac:dyDescent="0.3">
      <c r="B944" s="10" t="s">
        <v>387</v>
      </c>
      <c r="C944" s="315"/>
      <c r="D944" s="868" t="s">
        <v>1036</v>
      </c>
      <c r="E944" s="837" t="str">
        <f>IFERROR(IF(_xlfn.XLOOKUP(Imput[[#This Row],[RFC]],'Alta Proveedor'!D:D,'Alta Proveedor'!E:E)=0,"",_xlfn.XLOOKUP(Imput[[#This Row],[RFC]],'Alta Proveedor'!D:D,'Alta Proveedor'!E:E)),"")</f>
        <v>AUTOZONE DE MEXICO</v>
      </c>
      <c r="F944" s="832" t="s">
        <v>3311</v>
      </c>
      <c r="G944" s="187">
        <v>1</v>
      </c>
      <c r="H944" s="1">
        <v>119.83</v>
      </c>
      <c r="I944" s="169">
        <f>Imput[[#This Row],[Cantidad]]*Imput[[#This Row],[Precio Unitario]]</f>
        <v>119.83</v>
      </c>
      <c r="J944" s="11">
        <f>((Imput[[#This Row],[Sub total]])*(0.159999))</f>
        <v>19.17268017</v>
      </c>
      <c r="K944" s="11">
        <v>0</v>
      </c>
      <c r="L944" s="169">
        <f>Imput[[#This Row],[Sub total]]+Imput[[#This Row],[IVA]]-Imput[[#This Row],[Retención / IEPS / Descuento]]</f>
        <v>139.00268016999999</v>
      </c>
      <c r="M944" s="844">
        <v>795.00067465399991</v>
      </c>
      <c r="N944" s="189" t="s">
        <v>123</v>
      </c>
      <c r="O944" s="1"/>
      <c r="P944" s="189" t="s">
        <v>3309</v>
      </c>
      <c r="Q944" s="190" t="s">
        <v>3310</v>
      </c>
      <c r="R944" s="188">
        <v>45909</v>
      </c>
      <c r="S944" s="193" t="s">
        <v>126</v>
      </c>
      <c r="T944" s="192"/>
      <c r="U944" s="829"/>
      <c r="V944" s="10"/>
      <c r="W944" s="10"/>
      <c r="X944" s="10"/>
      <c r="Y944" s="10"/>
      <c r="Z944" s="10"/>
      <c r="AA944" s="11"/>
      <c r="AB944" s="11"/>
      <c r="AD944" s="260"/>
    </row>
    <row r="945" spans="1:30" x14ac:dyDescent="0.3">
      <c r="B945" s="10" t="s">
        <v>387</v>
      </c>
      <c r="C945" s="315"/>
      <c r="D945" s="868" t="s">
        <v>1036</v>
      </c>
      <c r="E945" s="837" t="str">
        <f>IFERROR(IF(_xlfn.XLOOKUP(Imput[[#This Row],[RFC]],'Alta Proveedor'!D:D,'Alta Proveedor'!E:E)=0,"",_xlfn.XLOOKUP(Imput[[#This Row],[RFC]],'Alta Proveedor'!D:D,'Alta Proveedor'!E:E)),"")</f>
        <v>AUTOZONE DE MEXICO</v>
      </c>
      <c r="F945" s="832" t="s">
        <v>3312</v>
      </c>
      <c r="G945" s="187">
        <v>1</v>
      </c>
      <c r="H945" s="1">
        <v>214.65799999999999</v>
      </c>
      <c r="I945" s="169">
        <f>Imput[[#This Row],[Cantidad]]*Imput[[#This Row],[Precio Unitario]]</f>
        <v>214.65799999999999</v>
      </c>
      <c r="J945" s="11">
        <f>((Imput[[#This Row],[Sub total]])*(0.159999))</f>
        <v>34.345065341999998</v>
      </c>
      <c r="K945" s="11">
        <v>0</v>
      </c>
      <c r="L945" s="169">
        <f>Imput[[#This Row],[Sub total]]+Imput[[#This Row],[IVA]]-Imput[[#This Row],[Retención / IEPS / Descuento]]</f>
        <v>249.00306534199999</v>
      </c>
      <c r="M945" s="844">
        <v>0</v>
      </c>
      <c r="N945" s="189" t="s">
        <v>123</v>
      </c>
      <c r="O945" s="1"/>
      <c r="P945" s="189" t="s">
        <v>3309</v>
      </c>
      <c r="Q945" s="190" t="s">
        <v>3310</v>
      </c>
      <c r="R945" s="188">
        <v>45909</v>
      </c>
      <c r="S945" s="193" t="s">
        <v>126</v>
      </c>
      <c r="T945" s="192"/>
      <c r="U945" s="829"/>
      <c r="V945" s="10"/>
      <c r="W945" s="10"/>
      <c r="X945" s="10"/>
      <c r="Y945" s="10"/>
      <c r="Z945" s="10"/>
      <c r="AA945" s="11"/>
      <c r="AB945" s="11"/>
      <c r="AD945" s="260"/>
    </row>
    <row r="946" spans="1:30" x14ac:dyDescent="0.3">
      <c r="B946" s="10" t="s">
        <v>387</v>
      </c>
      <c r="C946" s="315"/>
      <c r="D946" s="868" t="s">
        <v>1036</v>
      </c>
      <c r="E946" s="837" t="str">
        <f>IFERROR(IF(_xlfn.XLOOKUP(Imput[[#This Row],[RFC]],'Alta Proveedor'!D:D,'Alta Proveedor'!E:E)=0,"",_xlfn.XLOOKUP(Imput[[#This Row],[RFC]],'Alta Proveedor'!D:D,'Alta Proveedor'!E:E)),"")</f>
        <v>AUTOZONE DE MEXICO</v>
      </c>
      <c r="F946" s="832" t="s">
        <v>3312</v>
      </c>
      <c r="G946" s="187">
        <v>1</v>
      </c>
      <c r="H946" s="1">
        <v>214.65799999999999</v>
      </c>
      <c r="I946" s="169">
        <f>Imput[[#This Row],[Cantidad]]*Imput[[#This Row],[Precio Unitario]]</f>
        <v>214.65799999999999</v>
      </c>
      <c r="J946" s="11">
        <f>((Imput[[#This Row],[Sub total]])*(0.159999))</f>
        <v>34.345065341999998</v>
      </c>
      <c r="K946" s="11">
        <v>0</v>
      </c>
      <c r="L946" s="169">
        <f>Imput[[#This Row],[Sub total]]+Imput[[#This Row],[IVA]]-Imput[[#This Row],[Retención / IEPS / Descuento]]</f>
        <v>249.00306534199999</v>
      </c>
      <c r="M946" s="844">
        <v>0</v>
      </c>
      <c r="N946" s="189" t="s">
        <v>123</v>
      </c>
      <c r="O946" s="1"/>
      <c r="P946" s="189" t="s">
        <v>3309</v>
      </c>
      <c r="Q946" s="190" t="s">
        <v>3310</v>
      </c>
      <c r="R946" s="188">
        <v>45909</v>
      </c>
      <c r="S946" s="193" t="s">
        <v>126</v>
      </c>
      <c r="T946" s="192"/>
      <c r="U946" s="829"/>
      <c r="V946" s="10"/>
      <c r="W946" s="10"/>
      <c r="X946" s="10"/>
      <c r="Y946" s="10"/>
      <c r="Z946" s="10"/>
      <c r="AA946" s="11"/>
      <c r="AB946" s="11"/>
      <c r="AD946" s="260"/>
    </row>
    <row r="947" spans="1:30" x14ac:dyDescent="0.3">
      <c r="B947" s="10" t="s">
        <v>387</v>
      </c>
      <c r="C947" s="315"/>
      <c r="D947" s="868" t="s">
        <v>1036</v>
      </c>
      <c r="E947" s="837" t="str">
        <f>IFERROR(IF(_xlfn.XLOOKUP(Imput[[#This Row],[RFC]],'Alta Proveedor'!D:D,'Alta Proveedor'!E:E)=0,"",_xlfn.XLOOKUP(Imput[[#This Row],[RFC]],'Alta Proveedor'!D:D,'Alta Proveedor'!E:E)),"")</f>
        <v>AUTOZONE DE MEXICO</v>
      </c>
      <c r="F947" s="832" t="s">
        <v>3406</v>
      </c>
      <c r="G947" s="187">
        <v>1</v>
      </c>
      <c r="H947" s="1">
        <v>68.099999999999994</v>
      </c>
      <c r="I947" s="169">
        <f>Imput[[#This Row],[Cantidad]]*Imput[[#This Row],[Precio Unitario]]</f>
        <v>68.099999999999994</v>
      </c>
      <c r="J947" s="11">
        <f>((Imput[[#This Row],[Sub total]])*(0.159999))</f>
        <v>10.895931899999999</v>
      </c>
      <c r="K947" s="11">
        <v>0</v>
      </c>
      <c r="L947" s="169">
        <f>Imput[[#This Row],[Sub total]]+Imput[[#This Row],[IVA]]-Imput[[#This Row],[Retención / IEPS / Descuento]]</f>
        <v>78.995931899999988</v>
      </c>
      <c r="M947" s="844">
        <v>0</v>
      </c>
      <c r="N947" s="189" t="s">
        <v>123</v>
      </c>
      <c r="O947" s="1"/>
      <c r="P947" s="189" t="s">
        <v>3309</v>
      </c>
      <c r="Q947" s="190" t="s">
        <v>3310</v>
      </c>
      <c r="R947" s="188">
        <v>45909</v>
      </c>
      <c r="S947" s="193" t="s">
        <v>126</v>
      </c>
      <c r="T947" s="192"/>
      <c r="U947" s="829"/>
      <c r="V947" s="10"/>
      <c r="W947" s="10"/>
      <c r="X947" s="10"/>
      <c r="Y947" s="10"/>
      <c r="Z947" s="10"/>
      <c r="AA947" s="11"/>
      <c r="AB947" s="11"/>
      <c r="AD947" s="260"/>
    </row>
    <row r="948" spans="1:30" x14ac:dyDescent="0.3">
      <c r="B948" s="10" t="s">
        <v>387</v>
      </c>
      <c r="C948" s="315"/>
      <c r="D948" s="868" t="s">
        <v>1036</v>
      </c>
      <c r="E948" s="837" t="str">
        <f>IFERROR(IF(_xlfn.XLOOKUP(Imput[[#This Row],[RFC]],'Alta Proveedor'!D:D,'Alta Proveedor'!E:E)=0,"",_xlfn.XLOOKUP(Imput[[#This Row],[RFC]],'Alta Proveedor'!D:D,'Alta Proveedor'!E:E)),"")</f>
        <v>AUTOZONE DE MEXICO</v>
      </c>
      <c r="F948" s="832" t="s">
        <v>3406</v>
      </c>
      <c r="G948" s="187">
        <v>1</v>
      </c>
      <c r="H948" s="1">
        <v>68.099999999999994</v>
      </c>
      <c r="I948" s="169">
        <f>Imput[[#This Row],[Cantidad]]*Imput[[#This Row],[Precio Unitario]]</f>
        <v>68.099999999999994</v>
      </c>
      <c r="J948" s="11">
        <f>((Imput[[#This Row],[Sub total]])*(0.159999))</f>
        <v>10.895931899999999</v>
      </c>
      <c r="K948" s="11">
        <v>0</v>
      </c>
      <c r="L948" s="169">
        <f>Imput[[#This Row],[Sub total]]+Imput[[#This Row],[IVA]]-Imput[[#This Row],[Retención / IEPS / Descuento]]</f>
        <v>78.995931899999988</v>
      </c>
      <c r="M948" s="844">
        <v>0</v>
      </c>
      <c r="N948" s="189" t="s">
        <v>123</v>
      </c>
      <c r="O948" s="1"/>
      <c r="P948" s="189" t="s">
        <v>3309</v>
      </c>
      <c r="Q948" s="190" t="s">
        <v>3310</v>
      </c>
      <c r="R948" s="188">
        <v>45909</v>
      </c>
      <c r="S948" s="193" t="s">
        <v>126</v>
      </c>
      <c r="T948" s="192"/>
      <c r="U948" s="829"/>
      <c r="V948" s="10"/>
      <c r="W948" s="10"/>
      <c r="X948" s="10"/>
      <c r="Y948" s="10"/>
      <c r="Z948" s="10"/>
      <c r="AA948" s="11"/>
      <c r="AB948" s="11"/>
      <c r="AD948" s="260"/>
    </row>
    <row r="949" spans="1:30" x14ac:dyDescent="0.3">
      <c r="B949" s="10" t="s">
        <v>385</v>
      </c>
      <c r="C949" s="315"/>
      <c r="D949" s="868" t="s">
        <v>3119</v>
      </c>
      <c r="E949" s="837" t="str">
        <f>IFERROR(IF(_xlfn.XLOOKUP(Imput[[#This Row],[RFC]],'Alta Proveedor'!D:D,'Alta Proveedor'!E:E)=0,"",_xlfn.XLOOKUP(Imput[[#This Row],[RFC]],'Alta Proveedor'!D:D,'Alta Proveedor'!E:E)),"")</f>
        <v>Nomina-OPERACIÓN</v>
      </c>
      <c r="F949" s="836" t="s">
        <v>3175</v>
      </c>
      <c r="G949" s="187">
        <v>1</v>
      </c>
      <c r="H949" s="1">
        <v>3500</v>
      </c>
      <c r="I949" s="169">
        <f>Imput[[#This Row],[Cantidad]]*Imput[[#This Row],[Precio Unitario]]</f>
        <v>3500</v>
      </c>
      <c r="J949" s="11">
        <f>Imput[[#This Row],[Sub total]]*0.08</f>
        <v>280</v>
      </c>
      <c r="K949" s="11">
        <v>0</v>
      </c>
      <c r="L949" s="169">
        <f>Imput[[#This Row],[Sub total]]+Imput[[#This Row],[IVA]]-Imput[[#This Row],[Retención / IEPS / Descuento]]</f>
        <v>3780</v>
      </c>
      <c r="M949" s="844">
        <v>3780</v>
      </c>
      <c r="N949" s="189"/>
      <c r="O949" s="1"/>
      <c r="P949" s="189"/>
      <c r="Q949" s="190"/>
      <c r="R949" s="188">
        <v>45899</v>
      </c>
      <c r="S949" s="193"/>
      <c r="T949" s="192"/>
      <c r="U949" s="829" t="s">
        <v>3099</v>
      </c>
      <c r="V949" s="10"/>
      <c r="W949" s="10"/>
      <c r="X949" s="10"/>
      <c r="Y949" s="10"/>
      <c r="Z949" s="10"/>
      <c r="AA949" s="11"/>
      <c r="AB949" s="11"/>
      <c r="AD949" s="260"/>
    </row>
    <row r="950" spans="1:30" x14ac:dyDescent="0.3">
      <c r="B950" s="10" t="s">
        <v>385</v>
      </c>
      <c r="C950" s="315"/>
      <c r="D950" s="868" t="s">
        <v>3119</v>
      </c>
      <c r="E950" s="837" t="str">
        <f>IFERROR(IF(_xlfn.XLOOKUP(Imput[[#This Row],[RFC]],'Alta Proveedor'!D:D,'Alta Proveedor'!E:E)=0,"",_xlfn.XLOOKUP(Imput[[#This Row],[RFC]],'Alta Proveedor'!D:D,'Alta Proveedor'!E:E)),"")</f>
        <v>Nomina-OPERACIÓN</v>
      </c>
      <c r="F950" s="836" t="s">
        <v>3331</v>
      </c>
      <c r="G950" s="187">
        <v>1</v>
      </c>
      <c r="H950" s="1">
        <v>4100</v>
      </c>
      <c r="I950" s="169">
        <f>Imput[[#This Row],[Cantidad]]*Imput[[#This Row],[Precio Unitario]]</f>
        <v>4100</v>
      </c>
      <c r="J950" s="11">
        <f>((Imput[[#This Row],[Sub total]])*(0.16))</f>
        <v>656</v>
      </c>
      <c r="K950" s="11">
        <v>0</v>
      </c>
      <c r="L950" s="169">
        <f>Imput[[#This Row],[Sub total]]+Imput[[#This Row],[IVA]]-Imput[[#This Row],[Retención / IEPS / Descuento]]</f>
        <v>4756</v>
      </c>
      <c r="M950" s="844">
        <v>4756</v>
      </c>
      <c r="N950" s="189"/>
      <c r="O950" s="1"/>
      <c r="P950" s="189"/>
      <c r="Q950" s="190"/>
      <c r="R950" s="188">
        <v>45899</v>
      </c>
      <c r="S950" s="193"/>
      <c r="T950" s="192"/>
      <c r="U950" s="829" t="s">
        <v>3099</v>
      </c>
      <c r="V950" s="10"/>
      <c r="W950" s="10"/>
      <c r="X950" s="10"/>
      <c r="Y950" s="10"/>
      <c r="Z950" s="10"/>
      <c r="AA950" s="11"/>
      <c r="AB950" s="11"/>
      <c r="AD950" s="260"/>
    </row>
    <row r="951" spans="1:30" x14ac:dyDescent="0.3">
      <c r="B951" s="10" t="s">
        <v>385</v>
      </c>
      <c r="C951" s="315"/>
      <c r="D951" s="868" t="s">
        <v>3119</v>
      </c>
      <c r="E951" s="837" t="str">
        <f>IFERROR(IF(_xlfn.XLOOKUP(Imput[[#This Row],[RFC]],'Alta Proveedor'!D:D,'Alta Proveedor'!E:E)=0,"",_xlfn.XLOOKUP(Imput[[#This Row],[RFC]],'Alta Proveedor'!D:D,'Alta Proveedor'!E:E)),"")</f>
        <v>Nomina-OPERACIÓN</v>
      </c>
      <c r="F951" s="836" t="s">
        <v>3332</v>
      </c>
      <c r="G951" s="187">
        <v>1</v>
      </c>
      <c r="H951" s="1">
        <v>4000</v>
      </c>
      <c r="I951" s="169">
        <f>Imput[[#This Row],[Cantidad]]*Imput[[#This Row],[Precio Unitario]]</f>
        <v>4000</v>
      </c>
      <c r="J951" s="11">
        <f>((Imput[[#This Row],[Sub total]])*(0.16))</f>
        <v>640</v>
      </c>
      <c r="K951" s="11">
        <v>0</v>
      </c>
      <c r="L951" s="169">
        <f>Imput[[#This Row],[Sub total]]+Imput[[#This Row],[IVA]]-Imput[[#This Row],[Retención / IEPS / Descuento]]</f>
        <v>4640</v>
      </c>
      <c r="M951" s="844">
        <v>4640</v>
      </c>
      <c r="N951" s="189"/>
      <c r="O951" s="1"/>
      <c r="P951" s="189"/>
      <c r="Q951" s="190"/>
      <c r="R951" s="188">
        <v>45899</v>
      </c>
      <c r="S951" s="193"/>
      <c r="T951" s="192"/>
      <c r="U951" s="829" t="s">
        <v>3099</v>
      </c>
      <c r="V951" s="10"/>
      <c r="W951" s="10"/>
      <c r="X951" s="10"/>
      <c r="Y951" s="10"/>
      <c r="Z951" s="10"/>
      <c r="AA951" s="11"/>
      <c r="AB951" s="11"/>
      <c r="AD951" s="260"/>
    </row>
    <row r="952" spans="1:30" x14ac:dyDescent="0.3">
      <c r="B952" s="10" t="s">
        <v>385</v>
      </c>
      <c r="C952" s="315"/>
      <c r="D952" s="868" t="s">
        <v>3119</v>
      </c>
      <c r="E952" s="837" t="str">
        <f>IFERROR(IF(_xlfn.XLOOKUP(Imput[[#This Row],[RFC]],'Alta Proveedor'!D:D,'Alta Proveedor'!E:E)=0,"",_xlfn.XLOOKUP(Imput[[#This Row],[RFC]],'Alta Proveedor'!D:D,'Alta Proveedor'!E:E)),"")</f>
        <v>Nomina-OPERACIÓN</v>
      </c>
      <c r="F952" s="836" t="s">
        <v>3333</v>
      </c>
      <c r="G952" s="187">
        <v>1</v>
      </c>
      <c r="H952" s="1">
        <v>5100</v>
      </c>
      <c r="I952" s="169">
        <f>Imput[[#This Row],[Cantidad]]*Imput[[#This Row],[Precio Unitario]]</f>
        <v>5100</v>
      </c>
      <c r="J952" s="11">
        <f>((Imput[[#This Row],[Sub total]])*(0.16))</f>
        <v>816</v>
      </c>
      <c r="K952" s="11">
        <v>0</v>
      </c>
      <c r="L952" s="169">
        <f>Imput[[#This Row],[Sub total]]+Imput[[#This Row],[IVA]]-Imput[[#This Row],[Retención / IEPS / Descuento]]</f>
        <v>5916</v>
      </c>
      <c r="M952" s="844">
        <v>5916</v>
      </c>
      <c r="N952" s="189"/>
      <c r="O952" s="1"/>
      <c r="P952" s="189"/>
      <c r="Q952" s="190"/>
      <c r="R952" s="188">
        <v>45899</v>
      </c>
      <c r="S952" s="193"/>
      <c r="T952" s="192"/>
      <c r="U952" s="829" t="s">
        <v>3099</v>
      </c>
      <c r="V952" s="10"/>
      <c r="W952" s="10"/>
      <c r="X952" s="10"/>
      <c r="Y952" s="10"/>
      <c r="Z952" s="10"/>
      <c r="AA952" s="11"/>
      <c r="AB952" s="11"/>
      <c r="AD952" s="260"/>
    </row>
    <row r="953" spans="1:30" x14ac:dyDescent="0.3">
      <c r="B953" s="10" t="s">
        <v>385</v>
      </c>
      <c r="C953" s="315"/>
      <c r="D953" s="868" t="s">
        <v>3119</v>
      </c>
      <c r="E953" s="837" t="str">
        <f>IFERROR(IF(_xlfn.XLOOKUP(Imput[[#This Row],[RFC]],'Alta Proveedor'!D:D,'Alta Proveedor'!E:E)=0,"",_xlfn.XLOOKUP(Imput[[#This Row],[RFC]],'Alta Proveedor'!D:D,'Alta Proveedor'!E:E)),"")</f>
        <v>Nomina-OPERACIÓN</v>
      </c>
      <c r="F953" s="836" t="s">
        <v>3150</v>
      </c>
      <c r="G953" s="187">
        <v>1</v>
      </c>
      <c r="H953" s="1">
        <v>9032</v>
      </c>
      <c r="I953" s="169">
        <f>Imput[[#This Row],[Cantidad]]*Imput[[#This Row],[Precio Unitario]]</f>
        <v>9032</v>
      </c>
      <c r="J953" s="11">
        <f>((Imput[[#This Row],[Sub total]])*(0.16))</f>
        <v>1445.1200000000001</v>
      </c>
      <c r="K953" s="11">
        <v>0</v>
      </c>
      <c r="L953" s="169">
        <f>Imput[[#This Row],[Sub total]]+Imput[[#This Row],[IVA]]-Imput[[#This Row],[Retención / IEPS / Descuento]]</f>
        <v>10477.120000000001</v>
      </c>
      <c r="M953" s="844">
        <v>10477.120000000001</v>
      </c>
      <c r="N953" s="189"/>
      <c r="O953" s="1"/>
      <c r="P953" s="189"/>
      <c r="Q953" s="190"/>
      <c r="R953" s="188">
        <v>45899</v>
      </c>
      <c r="S953" s="193"/>
      <c r="T953" s="192"/>
      <c r="U953" s="829" t="s">
        <v>3099</v>
      </c>
      <c r="V953" s="10"/>
      <c r="W953" s="10"/>
      <c r="X953" s="10"/>
      <c r="Y953" s="10"/>
      <c r="Z953" s="10"/>
      <c r="AA953" s="11"/>
      <c r="AB953" s="11"/>
      <c r="AD953" s="260"/>
    </row>
    <row r="954" spans="1:30" x14ac:dyDescent="0.3">
      <c r="B954" s="10" t="s">
        <v>387</v>
      </c>
      <c r="C954" s="315" t="s">
        <v>1747</v>
      </c>
      <c r="D954" s="868" t="s">
        <v>3225</v>
      </c>
      <c r="E954" s="837" t="str">
        <f>IFERROR(IF(_xlfn.XLOOKUP(Imput[[#This Row],[RFC]],'Alta Proveedor'!D:D,'Alta Proveedor'!E:E)=0,"",_xlfn.XLOOKUP(Imput[[#This Row],[RFC]],'Alta Proveedor'!D:D,'Alta Proveedor'!E:E)),"")</f>
        <v>GASTOS SIN FACTURA</v>
      </c>
      <c r="F954" s="836" t="s">
        <v>3334</v>
      </c>
      <c r="G954" s="187">
        <v>1</v>
      </c>
      <c r="H954" s="1">
        <v>18640</v>
      </c>
      <c r="I954" s="169">
        <f>Imput[[#This Row],[Cantidad]]*Imput[[#This Row],[Precio Unitario]]</f>
        <v>18640</v>
      </c>
      <c r="J954" s="11">
        <f>((Imput[[#This Row],[Sub total]])*(0.08))</f>
        <v>1491.2</v>
      </c>
      <c r="K954" s="11">
        <v>0</v>
      </c>
      <c r="L954" s="169">
        <f>Imput[[#This Row],[Sub total]]+Imput[[#This Row],[IVA]]-Imput[[#This Row],[Retención / IEPS / Descuento]]</f>
        <v>20131.2</v>
      </c>
      <c r="M954" s="844">
        <v>20131.2</v>
      </c>
      <c r="N954" s="189"/>
      <c r="O954" s="1"/>
      <c r="P954" s="189"/>
      <c r="Q954" s="190"/>
      <c r="R954" s="188">
        <v>45901</v>
      </c>
      <c r="S954" s="193"/>
      <c r="T954" s="192"/>
      <c r="U954" s="867" t="s">
        <v>3225</v>
      </c>
      <c r="V954" s="10"/>
      <c r="W954" s="10"/>
      <c r="X954" s="10"/>
      <c r="Y954" s="10"/>
      <c r="Z954" s="10"/>
      <c r="AA954" s="11"/>
      <c r="AB954" s="11"/>
      <c r="AD954" s="260"/>
    </row>
    <row r="955" spans="1:30" x14ac:dyDescent="0.3">
      <c r="B955" s="10" t="s">
        <v>385</v>
      </c>
      <c r="C955" s="315" t="s">
        <v>1757</v>
      </c>
      <c r="D955" s="868" t="s">
        <v>3225</v>
      </c>
      <c r="E955" s="837" t="str">
        <f>IFERROR(IF(_xlfn.XLOOKUP(Imput[[#This Row],[RFC]],'Alta Proveedor'!D:D,'Alta Proveedor'!E:E)=0,"",_xlfn.XLOOKUP(Imput[[#This Row],[RFC]],'Alta Proveedor'!D:D,'Alta Proveedor'!E:E)),"")</f>
        <v>GASTOS SIN FACTURA</v>
      </c>
      <c r="F955" s="836" t="s">
        <v>3335</v>
      </c>
      <c r="G955" s="187">
        <v>1</v>
      </c>
      <c r="H955" s="1">
        <v>11500</v>
      </c>
      <c r="I955" s="169">
        <f>Imput[[#This Row],[Cantidad]]*Imput[[#This Row],[Precio Unitario]]</f>
        <v>11500</v>
      </c>
      <c r="J955" s="11">
        <f>((Imput[[#This Row],[Sub total]])*(0.08))</f>
        <v>920</v>
      </c>
      <c r="K955" s="11">
        <v>0</v>
      </c>
      <c r="L955" s="169">
        <f>Imput[[#This Row],[Sub total]]+Imput[[#This Row],[IVA]]-Imput[[#This Row],[Retención / IEPS / Descuento]]</f>
        <v>12420</v>
      </c>
      <c r="M955" s="844">
        <v>12420</v>
      </c>
      <c r="N955" s="189"/>
      <c r="O955" s="1"/>
      <c r="P955" s="189"/>
      <c r="Q955" s="190"/>
      <c r="R955" s="188">
        <v>45899</v>
      </c>
      <c r="S955" s="193"/>
      <c r="T955" s="192"/>
      <c r="U955" s="867" t="s">
        <v>3225</v>
      </c>
      <c r="V955" s="10"/>
      <c r="W955" s="10"/>
      <c r="X955" s="10"/>
      <c r="Y955" s="10"/>
      <c r="Z955" s="10"/>
      <c r="AA955" s="11"/>
      <c r="AB955" s="11"/>
      <c r="AD955" s="260"/>
    </row>
    <row r="956" spans="1:30" x14ac:dyDescent="0.3">
      <c r="B956" s="10" t="s">
        <v>387</v>
      </c>
      <c r="C956" s="315"/>
      <c r="D956" s="868" t="s">
        <v>3119</v>
      </c>
      <c r="E956" s="837" t="str">
        <f>IFERROR(IF(_xlfn.XLOOKUP(Imput[[#This Row],[RFC]],'Alta Proveedor'!D:D,'Alta Proveedor'!E:E)=0,"",_xlfn.XLOOKUP(Imput[[#This Row],[RFC]],'Alta Proveedor'!D:D,'Alta Proveedor'!E:E)),"")</f>
        <v>Nomina-OPERACIÓN</v>
      </c>
      <c r="F956" s="836" t="s">
        <v>3336</v>
      </c>
      <c r="G956" s="187">
        <v>1</v>
      </c>
      <c r="H956" s="1">
        <v>5700</v>
      </c>
      <c r="I956" s="169">
        <f>Imput[[#This Row],[Cantidad]]*Imput[[#This Row],[Precio Unitario]]</f>
        <v>5700</v>
      </c>
      <c r="J956" s="11">
        <f>((Imput[[#This Row],[Sub total]])*(0.08))</f>
        <v>456</v>
      </c>
      <c r="K956" s="11">
        <v>0</v>
      </c>
      <c r="L956" s="169">
        <f>Imput[[#This Row],[Sub total]]+Imput[[#This Row],[IVA]]-Imput[[#This Row],[Retención / IEPS / Descuento]]</f>
        <v>6156</v>
      </c>
      <c r="M956" s="844">
        <v>6156</v>
      </c>
      <c r="N956" s="189"/>
      <c r="O956" s="1"/>
      <c r="P956" s="189"/>
      <c r="Q956" s="190"/>
      <c r="R956" s="188">
        <v>45902</v>
      </c>
      <c r="S956" s="193"/>
      <c r="T956" s="192"/>
      <c r="U956" s="867" t="s">
        <v>3225</v>
      </c>
      <c r="V956" s="10"/>
      <c r="W956" s="10"/>
      <c r="X956" s="10"/>
      <c r="Y956" s="10"/>
      <c r="Z956" s="10"/>
      <c r="AA956" s="11"/>
      <c r="AB956" s="11"/>
      <c r="AD956" s="260"/>
    </row>
    <row r="957" spans="1:30" s="429" customFormat="1" x14ac:dyDescent="0.3">
      <c r="A957" s="888"/>
      <c r="B957" s="889" t="s">
        <v>385</v>
      </c>
      <c r="C957" s="890" t="s">
        <v>1775</v>
      </c>
      <c r="D957" s="891" t="s">
        <v>3225</v>
      </c>
      <c r="E957" s="892" t="str">
        <f>IFERROR(IF(_xlfn.XLOOKUP(Imput[[#This Row],[RFC]],'Alta Proveedor'!D:D,'Alta Proveedor'!E:E)=0,"",_xlfn.XLOOKUP(Imput[[#This Row],[RFC]],'Alta Proveedor'!D:D,'Alta Proveedor'!E:E)),"")</f>
        <v>GASTOS SIN FACTURA</v>
      </c>
      <c r="F957" s="892" t="s">
        <v>3337</v>
      </c>
      <c r="G957" s="893">
        <v>1</v>
      </c>
      <c r="H957" s="890">
        <v>4645</v>
      </c>
      <c r="I957" s="890">
        <f>Imput[[#This Row],[Cantidad]]*Imput[[#This Row],[Precio Unitario]]</f>
        <v>4645</v>
      </c>
      <c r="J957" s="894">
        <f>Imput[[#This Row],[Sub total]]*0.08</f>
        <v>371.6</v>
      </c>
      <c r="K957" s="894">
        <v>0</v>
      </c>
      <c r="L957" s="890">
        <f>Imput[[#This Row],[Sub total]]+Imput[[#This Row],[IVA]]-Imput[[#This Row],[Retención / IEPS / Descuento]]</f>
        <v>5016.6000000000004</v>
      </c>
      <c r="M957" s="894">
        <v>5016.6000000000004</v>
      </c>
      <c r="N957" s="895"/>
      <c r="O957" s="890"/>
      <c r="P957" s="895"/>
      <c r="Q957" s="896"/>
      <c r="R957" s="897">
        <v>45899</v>
      </c>
      <c r="S957" s="898"/>
      <c r="T957" s="899"/>
      <c r="U957" s="900" t="s">
        <v>3225</v>
      </c>
      <c r="V957" s="889"/>
      <c r="W957" s="889"/>
      <c r="X957" s="889"/>
      <c r="Y957" s="889"/>
      <c r="Z957" s="889"/>
      <c r="AA957" s="894"/>
      <c r="AB957" s="894"/>
      <c r="AD957" s="901"/>
    </row>
    <row r="958" spans="1:30" x14ac:dyDescent="0.3">
      <c r="B958" s="10" t="s">
        <v>387</v>
      </c>
      <c r="C958" s="315"/>
      <c r="D958" s="868" t="s">
        <v>3119</v>
      </c>
      <c r="E958" s="837" t="str">
        <f>IFERROR(IF(_xlfn.XLOOKUP(Imput[[#This Row],[RFC]],'Alta Proveedor'!D:D,'Alta Proveedor'!E:E)=0,"",_xlfn.XLOOKUP(Imput[[#This Row],[RFC]],'Alta Proveedor'!D:D,'Alta Proveedor'!E:E)),"")</f>
        <v>Nomina-OPERACIÓN</v>
      </c>
      <c r="F958" s="836" t="s">
        <v>3338</v>
      </c>
      <c r="G958" s="187">
        <v>1</v>
      </c>
      <c r="H958" s="1">
        <v>5000</v>
      </c>
      <c r="I958" s="169">
        <f>Imput[[#This Row],[Cantidad]]*Imput[[#This Row],[Precio Unitario]]</f>
        <v>5000</v>
      </c>
      <c r="J958" s="11">
        <f>((Imput[[#This Row],[Sub total]])*(0.08))</f>
        <v>400</v>
      </c>
      <c r="K958" s="11">
        <v>0</v>
      </c>
      <c r="L958" s="169">
        <f>Imput[[#This Row],[Sub total]]+Imput[[#This Row],[IVA]]-Imput[[#This Row],[Retención / IEPS / Descuento]]</f>
        <v>5400</v>
      </c>
      <c r="M958" s="844">
        <v>5400</v>
      </c>
      <c r="N958" s="189"/>
      <c r="O958" s="1"/>
      <c r="P958" s="189"/>
      <c r="Q958" s="190"/>
      <c r="R958" s="188">
        <v>45903</v>
      </c>
      <c r="S958" s="193"/>
      <c r="T958" s="192"/>
      <c r="U958" s="867" t="s">
        <v>3225</v>
      </c>
      <c r="V958" s="10"/>
      <c r="W958" s="10"/>
      <c r="X958" s="10"/>
      <c r="Y958" s="10"/>
      <c r="Z958" s="10"/>
      <c r="AA958" s="11"/>
      <c r="AB958" s="11"/>
      <c r="AD958" s="260"/>
    </row>
    <row r="959" spans="1:30" x14ac:dyDescent="0.3">
      <c r="B959" s="10" t="s">
        <v>387</v>
      </c>
      <c r="C959" s="315"/>
      <c r="D959" s="868" t="s">
        <v>3225</v>
      </c>
      <c r="E959" s="837" t="str">
        <f>IFERROR(IF(_xlfn.XLOOKUP(Imput[[#This Row],[RFC]],'Alta Proveedor'!D:D,'Alta Proveedor'!E:E)=0,"",_xlfn.XLOOKUP(Imput[[#This Row],[RFC]],'Alta Proveedor'!D:D,'Alta Proveedor'!E:E)),"")</f>
        <v>GASTOS SIN FACTURA</v>
      </c>
      <c r="F959" s="836" t="s">
        <v>3339</v>
      </c>
      <c r="G959" s="187">
        <v>1</v>
      </c>
      <c r="H959" s="1">
        <v>6750</v>
      </c>
      <c r="I959" s="169">
        <f>Imput[[#This Row],[Cantidad]]*Imput[[#This Row],[Precio Unitario]]</f>
        <v>6750</v>
      </c>
      <c r="J959" s="11">
        <f>((Imput[[#This Row],[Sub total]])*(0.08))</f>
        <v>540</v>
      </c>
      <c r="K959" s="11">
        <v>0</v>
      </c>
      <c r="L959" s="169">
        <f>Imput[[#This Row],[Sub total]]+Imput[[#This Row],[IVA]]-Imput[[#This Row],[Retención / IEPS / Descuento]]</f>
        <v>7290</v>
      </c>
      <c r="M959" s="844">
        <v>7290</v>
      </c>
      <c r="N959" s="189"/>
      <c r="O959" s="1"/>
      <c r="P959" s="189"/>
      <c r="Q959" s="190"/>
      <c r="R959" s="188">
        <v>45903</v>
      </c>
      <c r="S959" s="193"/>
      <c r="T959" s="192"/>
      <c r="U959" s="867" t="s">
        <v>3225</v>
      </c>
      <c r="V959" s="10"/>
      <c r="W959" s="10"/>
      <c r="X959" s="10"/>
      <c r="Y959" s="10"/>
      <c r="Z959" s="10"/>
      <c r="AA959" s="11"/>
      <c r="AB959" s="11"/>
      <c r="AD959" s="260"/>
    </row>
    <row r="960" spans="1:30" x14ac:dyDescent="0.3">
      <c r="B960" s="10" t="s">
        <v>387</v>
      </c>
      <c r="C960" s="315" t="s">
        <v>1845</v>
      </c>
      <c r="D960" s="868" t="s">
        <v>3225</v>
      </c>
      <c r="E960" s="837" t="str">
        <f>IFERROR(IF(_xlfn.XLOOKUP(Imput[[#This Row],[RFC]],'Alta Proveedor'!D:D,'Alta Proveedor'!E:E)=0,"",_xlfn.XLOOKUP(Imput[[#This Row],[RFC]],'Alta Proveedor'!D:D,'Alta Proveedor'!E:E)),"")</f>
        <v>GASTOS SIN FACTURA</v>
      </c>
      <c r="F960" s="836" t="s">
        <v>3349</v>
      </c>
      <c r="G960" s="187">
        <v>1</v>
      </c>
      <c r="H960" s="1">
        <v>6000</v>
      </c>
      <c r="I960" s="169">
        <f>Imput[[#This Row],[Cantidad]]*Imput[[#This Row],[Precio Unitario]]</f>
        <v>6000</v>
      </c>
      <c r="J960" s="11">
        <f>((Imput[[#This Row],[Sub total]])*(0.08))</f>
        <v>480</v>
      </c>
      <c r="K960" s="11">
        <v>0</v>
      </c>
      <c r="L960" s="169">
        <f>Imput[[#This Row],[Sub total]]+Imput[[#This Row],[IVA]]-Imput[[#This Row],[Retención / IEPS / Descuento]]</f>
        <v>6480</v>
      </c>
      <c r="M960" s="844">
        <v>6480</v>
      </c>
      <c r="N960" s="189"/>
      <c r="O960" s="1"/>
      <c r="P960" s="189"/>
      <c r="Q960" s="190"/>
      <c r="R960" s="188">
        <v>45904</v>
      </c>
      <c r="S960" s="193"/>
      <c r="T960" s="192"/>
      <c r="U960" s="867" t="s">
        <v>3225</v>
      </c>
      <c r="V960" s="10"/>
      <c r="W960" s="10"/>
      <c r="X960" s="10"/>
      <c r="Y960" s="10"/>
      <c r="Z960" s="10"/>
      <c r="AA960" s="11"/>
      <c r="AB960" s="11"/>
      <c r="AD960" s="260"/>
    </row>
    <row r="961" spans="2:30" x14ac:dyDescent="0.3">
      <c r="B961" s="10" t="s">
        <v>387</v>
      </c>
      <c r="C961" s="315" t="s">
        <v>2523</v>
      </c>
      <c r="D961" s="868" t="s">
        <v>3119</v>
      </c>
      <c r="E961" s="837" t="str">
        <f>IFERROR(IF(_xlfn.XLOOKUP(Imput[[#This Row],[RFC]],'Alta Proveedor'!D:D,'Alta Proveedor'!E:E)=0,"",_xlfn.XLOOKUP(Imput[[#This Row],[RFC]],'Alta Proveedor'!D:D,'Alta Proveedor'!E:E)),"")</f>
        <v>Nomina-OPERACIÓN</v>
      </c>
      <c r="F961" s="836" t="s">
        <v>3340</v>
      </c>
      <c r="G961" s="187">
        <v>1</v>
      </c>
      <c r="H961" s="1">
        <v>6346</v>
      </c>
      <c r="I961" s="169">
        <f>Imput[[#This Row],[Cantidad]]*Imput[[#This Row],[Precio Unitario]]</f>
        <v>6346</v>
      </c>
      <c r="J961" s="11">
        <f>((Imput[[#This Row],[Sub total]])*(0.08))</f>
        <v>507.68</v>
      </c>
      <c r="K961" s="11">
        <v>0</v>
      </c>
      <c r="L961" s="169">
        <f>Imput[[#This Row],[Sub total]]+Imput[[#This Row],[IVA]]-Imput[[#This Row],[Retención / IEPS / Descuento]]</f>
        <v>6853.68</v>
      </c>
      <c r="M961" s="844">
        <v>6853.68</v>
      </c>
      <c r="N961" s="189"/>
      <c r="O961" s="1"/>
      <c r="P961" s="189"/>
      <c r="Q961" s="190"/>
      <c r="R961" s="188">
        <v>45906</v>
      </c>
      <c r="S961" s="193"/>
      <c r="T961" s="192"/>
      <c r="U961" s="867" t="s">
        <v>3225</v>
      </c>
      <c r="V961" s="10"/>
      <c r="W961" s="10"/>
      <c r="X961" s="10"/>
      <c r="Y961" s="10"/>
      <c r="Z961" s="10"/>
      <c r="AA961" s="11"/>
      <c r="AB961" s="11"/>
      <c r="AD961" s="260"/>
    </row>
    <row r="962" spans="2:30" x14ac:dyDescent="0.3">
      <c r="B962" s="10" t="s">
        <v>387</v>
      </c>
      <c r="C962" s="315" t="s">
        <v>2523</v>
      </c>
      <c r="D962" s="868" t="s">
        <v>3119</v>
      </c>
      <c r="E962" s="837" t="str">
        <f>IFERROR(IF(_xlfn.XLOOKUP(Imput[[#This Row],[RFC]],'Alta Proveedor'!D:D,'Alta Proveedor'!E:E)=0,"",_xlfn.XLOOKUP(Imput[[#This Row],[RFC]],'Alta Proveedor'!D:D,'Alta Proveedor'!E:E)),"")</f>
        <v>Nomina-OPERACIÓN</v>
      </c>
      <c r="F962" s="836" t="s">
        <v>3341</v>
      </c>
      <c r="G962" s="187">
        <v>1</v>
      </c>
      <c r="H962" s="1">
        <v>5946</v>
      </c>
      <c r="I962" s="169">
        <f>Imput[[#This Row],[Cantidad]]*Imput[[#This Row],[Precio Unitario]]</f>
        <v>5946</v>
      </c>
      <c r="J962" s="11">
        <f>((Imput[[#This Row],[Sub total]])*(0.08))</f>
        <v>475.68</v>
      </c>
      <c r="K962" s="11">
        <v>0</v>
      </c>
      <c r="L962" s="169">
        <f>Imput[[#This Row],[Sub total]]+Imput[[#This Row],[IVA]]-Imput[[#This Row],[Retención / IEPS / Descuento]]</f>
        <v>6421.68</v>
      </c>
      <c r="M962" s="844">
        <v>6421.68</v>
      </c>
      <c r="N962" s="189"/>
      <c r="O962" s="1"/>
      <c r="P962" s="189"/>
      <c r="Q962" s="190"/>
      <c r="R962" s="188">
        <v>45906</v>
      </c>
      <c r="S962" s="193"/>
      <c r="T962" s="192"/>
      <c r="U962" s="867" t="s">
        <v>3225</v>
      </c>
      <c r="V962" s="10"/>
      <c r="W962" s="10"/>
      <c r="X962" s="10"/>
      <c r="Y962" s="10"/>
      <c r="Z962" s="10"/>
      <c r="AA962" s="11"/>
      <c r="AB962" s="11"/>
      <c r="AD962" s="260"/>
    </row>
    <row r="963" spans="2:30" x14ac:dyDescent="0.3">
      <c r="B963" s="10" t="s">
        <v>387</v>
      </c>
      <c r="C963" s="315" t="s">
        <v>2523</v>
      </c>
      <c r="D963" s="868" t="s">
        <v>3119</v>
      </c>
      <c r="E963" s="837" t="str">
        <f>IFERROR(IF(_xlfn.XLOOKUP(Imput[[#This Row],[RFC]],'Alta Proveedor'!D:D,'Alta Proveedor'!E:E)=0,"",_xlfn.XLOOKUP(Imput[[#This Row],[RFC]],'Alta Proveedor'!D:D,'Alta Proveedor'!E:E)),"")</f>
        <v>Nomina-OPERACIÓN</v>
      </c>
      <c r="F963" s="836" t="s">
        <v>3342</v>
      </c>
      <c r="G963" s="187">
        <v>1</v>
      </c>
      <c r="H963" s="1">
        <v>4400</v>
      </c>
      <c r="I963" s="169">
        <f>Imput[[#This Row],[Cantidad]]*Imput[[#This Row],[Precio Unitario]]</f>
        <v>4400</v>
      </c>
      <c r="J963" s="11">
        <f>((Imput[[#This Row],[Sub total]])*(0.08))</f>
        <v>352</v>
      </c>
      <c r="K963" s="11">
        <v>0</v>
      </c>
      <c r="L963" s="169">
        <f>Imput[[#This Row],[Sub total]]+Imput[[#This Row],[IVA]]-Imput[[#This Row],[Retención / IEPS / Descuento]]</f>
        <v>4752</v>
      </c>
      <c r="M963" s="844">
        <v>4752</v>
      </c>
      <c r="N963" s="189"/>
      <c r="O963" s="1"/>
      <c r="P963" s="189"/>
      <c r="Q963" s="190"/>
      <c r="R963" s="188">
        <v>45906</v>
      </c>
      <c r="S963" s="193"/>
      <c r="T963" s="192"/>
      <c r="U963" s="867" t="s">
        <v>3225</v>
      </c>
      <c r="V963" s="10"/>
      <c r="W963" s="10"/>
      <c r="X963" s="10"/>
      <c r="Y963" s="10"/>
      <c r="Z963" s="10"/>
      <c r="AA963" s="11"/>
      <c r="AB963" s="11"/>
      <c r="AD963" s="260"/>
    </row>
    <row r="964" spans="2:30" x14ac:dyDescent="0.3">
      <c r="B964" s="10" t="s">
        <v>387</v>
      </c>
      <c r="C964" s="315" t="s">
        <v>2523</v>
      </c>
      <c r="D964" s="868" t="s">
        <v>3119</v>
      </c>
      <c r="E964" s="837" t="str">
        <f>IFERROR(IF(_xlfn.XLOOKUP(Imput[[#This Row],[RFC]],'Alta Proveedor'!D:D,'Alta Proveedor'!E:E)=0,"",_xlfn.XLOOKUP(Imput[[#This Row],[RFC]],'Alta Proveedor'!D:D,'Alta Proveedor'!E:E)),"")</f>
        <v>Nomina-OPERACIÓN</v>
      </c>
      <c r="F964" s="836" t="s">
        <v>3343</v>
      </c>
      <c r="G964" s="187">
        <v>1</v>
      </c>
      <c r="H964" s="1">
        <v>1003.2</v>
      </c>
      <c r="I964" s="169">
        <f>Imput[[#This Row],[Cantidad]]*Imput[[#This Row],[Precio Unitario]]</f>
        <v>1003.2</v>
      </c>
      <c r="J964" s="11">
        <f>((Imput[[#This Row],[Sub total]])*(0.08))</f>
        <v>80.256</v>
      </c>
      <c r="K964" s="11">
        <v>0</v>
      </c>
      <c r="L964" s="169">
        <f>Imput[[#This Row],[Sub total]]+Imput[[#This Row],[IVA]]-Imput[[#This Row],[Retención / IEPS / Descuento]]</f>
        <v>1083.4560000000001</v>
      </c>
      <c r="M964" s="844">
        <v>1083.4560000000001</v>
      </c>
      <c r="N964" s="189"/>
      <c r="O964" s="1"/>
      <c r="P964" s="189"/>
      <c r="Q964" s="190"/>
      <c r="R964" s="188">
        <v>45906</v>
      </c>
      <c r="S964" s="193"/>
      <c r="T964" s="192"/>
      <c r="U964" s="867" t="s">
        <v>3225</v>
      </c>
      <c r="V964" s="10"/>
      <c r="W964" s="10"/>
      <c r="X964" s="10"/>
      <c r="Y964" s="10"/>
      <c r="Z964" s="10"/>
      <c r="AA964" s="11"/>
      <c r="AB964" s="11"/>
      <c r="AD964" s="260"/>
    </row>
    <row r="965" spans="2:30" x14ac:dyDescent="0.3">
      <c r="B965" s="10" t="s">
        <v>387</v>
      </c>
      <c r="C965" s="315" t="s">
        <v>2523</v>
      </c>
      <c r="D965" s="868" t="s">
        <v>3119</v>
      </c>
      <c r="E965" s="837" t="str">
        <f>IFERROR(IF(_xlfn.XLOOKUP(Imput[[#This Row],[RFC]],'Alta Proveedor'!D:D,'Alta Proveedor'!E:E)=0,"",_xlfn.XLOOKUP(Imput[[#This Row],[RFC]],'Alta Proveedor'!D:D,'Alta Proveedor'!E:E)),"")</f>
        <v>Nomina-OPERACIÓN</v>
      </c>
      <c r="F965" s="836" t="s">
        <v>3344</v>
      </c>
      <c r="G965" s="187">
        <v>1</v>
      </c>
      <c r="H965" s="1">
        <v>1003.2</v>
      </c>
      <c r="I965" s="169">
        <f>Imput[[#This Row],[Cantidad]]*Imput[[#This Row],[Precio Unitario]]</f>
        <v>1003.2</v>
      </c>
      <c r="J965" s="11">
        <f>((Imput[[#This Row],[Sub total]])*(0.08))</f>
        <v>80.256</v>
      </c>
      <c r="K965" s="11">
        <v>0</v>
      </c>
      <c r="L965" s="169">
        <f>Imput[[#This Row],[Sub total]]+Imput[[#This Row],[IVA]]-Imput[[#This Row],[Retención / IEPS / Descuento]]</f>
        <v>1083.4560000000001</v>
      </c>
      <c r="M965" s="844">
        <v>1083.4560000000001</v>
      </c>
      <c r="N965" s="189"/>
      <c r="O965" s="1"/>
      <c r="P965" s="189"/>
      <c r="Q965" s="190"/>
      <c r="R965" s="188">
        <v>45906</v>
      </c>
      <c r="S965" s="193"/>
      <c r="T965" s="192"/>
      <c r="U965" s="867" t="s">
        <v>3225</v>
      </c>
      <c r="V965" s="10"/>
      <c r="W965" s="10"/>
      <c r="X965" s="10"/>
      <c r="Y965" s="10"/>
      <c r="Z965" s="10"/>
      <c r="AA965" s="11"/>
      <c r="AB965" s="11"/>
      <c r="AD965" s="260"/>
    </row>
    <row r="966" spans="2:30" x14ac:dyDescent="0.3">
      <c r="B966" s="10" t="s">
        <v>387</v>
      </c>
      <c r="C966" s="315"/>
      <c r="D966" s="868" t="s">
        <v>3225</v>
      </c>
      <c r="E966" s="837" t="str">
        <f>IFERROR(IF(_xlfn.XLOOKUP(Imput[[#This Row],[RFC]],'Alta Proveedor'!D:D,'Alta Proveedor'!E:E)=0,"",_xlfn.XLOOKUP(Imput[[#This Row],[RFC]],'Alta Proveedor'!D:D,'Alta Proveedor'!E:E)),"")</f>
        <v>GASTOS SIN FACTURA</v>
      </c>
      <c r="F966" s="836" t="s">
        <v>3345</v>
      </c>
      <c r="G966" s="187">
        <v>1</v>
      </c>
      <c r="H966" s="1">
        <v>6329.42</v>
      </c>
      <c r="I966" s="169">
        <f>Imput[[#This Row],[Cantidad]]*Imput[[#This Row],[Precio Unitario]]</f>
        <v>6329.42</v>
      </c>
      <c r="J966" s="11">
        <f>((Imput[[#This Row],[Sub total]])*(0.08))</f>
        <v>506.35360000000003</v>
      </c>
      <c r="K966" s="11">
        <v>0</v>
      </c>
      <c r="L966" s="169">
        <f>Imput[[#This Row],[Sub total]]+Imput[[#This Row],[IVA]]-Imput[[#This Row],[Retención / IEPS / Descuento]]</f>
        <v>6835.7736000000004</v>
      </c>
      <c r="M966" s="844">
        <v>6835.7736000000004</v>
      </c>
      <c r="N966" s="189"/>
      <c r="O966" s="1"/>
      <c r="P966" s="189"/>
      <c r="Q966" s="190"/>
      <c r="R966" s="188">
        <v>45906</v>
      </c>
      <c r="S966" s="193"/>
      <c r="T966" s="192"/>
      <c r="U966" s="867" t="s">
        <v>3225</v>
      </c>
      <c r="V966" s="10"/>
      <c r="W966" s="10"/>
      <c r="X966" s="10"/>
      <c r="Y966" s="10"/>
      <c r="Z966" s="10"/>
      <c r="AA966" s="11"/>
      <c r="AB966" s="11"/>
      <c r="AD966" s="260"/>
    </row>
    <row r="967" spans="2:30" x14ac:dyDescent="0.3">
      <c r="B967" s="10" t="s">
        <v>387</v>
      </c>
      <c r="C967" s="315"/>
      <c r="D967" s="868" t="s">
        <v>3225</v>
      </c>
      <c r="E967" s="837" t="str">
        <f>IFERROR(IF(_xlfn.XLOOKUP(Imput[[#This Row],[RFC]],'Alta Proveedor'!D:D,'Alta Proveedor'!E:E)=0,"",_xlfn.XLOOKUP(Imput[[#This Row],[RFC]],'Alta Proveedor'!D:D,'Alta Proveedor'!E:E)),"")</f>
        <v>GASTOS SIN FACTURA</v>
      </c>
      <c r="F967" s="836" t="s">
        <v>3346</v>
      </c>
      <c r="G967" s="187">
        <v>1</v>
      </c>
      <c r="H967" s="1">
        <v>35000</v>
      </c>
      <c r="I967" s="169">
        <f>Imput[[#This Row],[Cantidad]]*Imput[[#This Row],[Precio Unitario]]</f>
        <v>35000</v>
      </c>
      <c r="J967" s="11">
        <f>((Imput[[#This Row],[Sub total]])*(0.08))</f>
        <v>2800</v>
      </c>
      <c r="K967" s="11">
        <v>0</v>
      </c>
      <c r="L967" s="169">
        <f>Imput[[#This Row],[Sub total]]+Imput[[#This Row],[IVA]]-Imput[[#This Row],[Retención / IEPS / Descuento]]</f>
        <v>37800</v>
      </c>
      <c r="M967" s="844">
        <v>37800</v>
      </c>
      <c r="N967" s="189"/>
      <c r="O967" s="1"/>
      <c r="P967" s="189"/>
      <c r="Q967" s="190"/>
      <c r="R967" s="188">
        <v>45906</v>
      </c>
      <c r="S967" s="193"/>
      <c r="T967" s="192"/>
      <c r="U967" s="867" t="s">
        <v>3225</v>
      </c>
      <c r="V967" s="10"/>
      <c r="W967" s="10"/>
      <c r="X967" s="10"/>
      <c r="Y967" s="10"/>
      <c r="Z967" s="10"/>
      <c r="AA967" s="11"/>
      <c r="AB967" s="11"/>
      <c r="AD967" s="260"/>
    </row>
    <row r="968" spans="2:30" x14ac:dyDescent="0.3">
      <c r="B968" s="10" t="s">
        <v>387</v>
      </c>
      <c r="C968" s="315"/>
      <c r="D968" s="868" t="s">
        <v>3119</v>
      </c>
      <c r="E968" s="837" t="str">
        <f>IFERROR(IF(_xlfn.XLOOKUP(Imput[[#This Row],[RFC]],'Alta Proveedor'!D:D,'Alta Proveedor'!E:E)=0,"",_xlfn.XLOOKUP(Imput[[#This Row],[RFC]],'Alta Proveedor'!D:D,'Alta Proveedor'!E:E)),"")</f>
        <v>Nomina-OPERACIÓN</v>
      </c>
      <c r="F968" s="836" t="s">
        <v>3407</v>
      </c>
      <c r="G968" s="187">
        <v>1</v>
      </c>
      <c r="H968" s="1">
        <v>57111.07</v>
      </c>
      <c r="I968" s="169">
        <f>Imput[[#This Row],[Cantidad]]*Imput[[#This Row],[Precio Unitario]]</f>
        <v>57111.07</v>
      </c>
      <c r="J968" s="11">
        <f>Imput[[#This Row],[Sub total]]*0.08</f>
        <v>4568.8856000000005</v>
      </c>
      <c r="K968" s="11">
        <v>0</v>
      </c>
      <c r="L968" s="169">
        <f>Imput[[#This Row],[Sub total]]+Imput[[#This Row],[IVA]]-Imput[[#This Row],[Retención / IEPS / Descuento]]</f>
        <v>61679.955600000001</v>
      </c>
      <c r="M968" s="844">
        <v>61679.955600000001</v>
      </c>
      <c r="N968" s="189"/>
      <c r="O968" s="1"/>
      <c r="P968" s="189"/>
      <c r="Q968" s="190"/>
      <c r="R968" s="188">
        <v>45906</v>
      </c>
      <c r="S968" s="193"/>
      <c r="T968" s="192"/>
      <c r="U968" s="867" t="s">
        <v>3225</v>
      </c>
      <c r="V968" s="10"/>
      <c r="W968" s="10"/>
      <c r="X968" s="10"/>
      <c r="Y968" s="10"/>
      <c r="Z968" s="10"/>
      <c r="AA968" s="11"/>
      <c r="AB968" s="11"/>
      <c r="AD968" s="260"/>
    </row>
    <row r="969" spans="2:30" x14ac:dyDescent="0.3">
      <c r="B969" s="10" t="s">
        <v>387</v>
      </c>
      <c r="C969" s="315"/>
      <c r="D969" s="868" t="s">
        <v>3119</v>
      </c>
      <c r="E969" s="837" t="str">
        <f>IFERROR(IF(_xlfn.XLOOKUP(Imput[[#This Row],[RFC]],'Alta Proveedor'!D:D,'Alta Proveedor'!E:E)=0,"",_xlfn.XLOOKUP(Imput[[#This Row],[RFC]],'Alta Proveedor'!D:D,'Alta Proveedor'!E:E)),"")</f>
        <v>Nomina-OPERACIÓN</v>
      </c>
      <c r="F969" s="836" t="s">
        <v>3347</v>
      </c>
      <c r="G969" s="187">
        <v>1</v>
      </c>
      <c r="H969" s="1">
        <v>4500</v>
      </c>
      <c r="I969" s="169">
        <f>Imput[[#This Row],[Cantidad]]*Imput[[#This Row],[Precio Unitario]]</f>
        <v>4500</v>
      </c>
      <c r="J969" s="11">
        <f>Imput[[#This Row],[Sub total]]*0.08</f>
        <v>360</v>
      </c>
      <c r="K969" s="11">
        <v>0</v>
      </c>
      <c r="L969" s="169">
        <f>Imput[[#This Row],[Sub total]]+Imput[[#This Row],[IVA]]-Imput[[#This Row],[Retención / IEPS / Descuento]]</f>
        <v>4860</v>
      </c>
      <c r="M969" s="844">
        <v>4860</v>
      </c>
      <c r="N969" s="189"/>
      <c r="O969" s="1"/>
      <c r="P969" s="189"/>
      <c r="Q969" s="190"/>
      <c r="R969" s="188">
        <v>45906</v>
      </c>
      <c r="S969" s="193"/>
      <c r="T969" s="192"/>
      <c r="U969" s="867" t="s">
        <v>3225</v>
      </c>
      <c r="V969" s="10"/>
      <c r="W969" s="10"/>
      <c r="X969" s="10"/>
      <c r="Y969" s="10"/>
      <c r="Z969" s="10"/>
      <c r="AA969" s="11"/>
      <c r="AB969" s="11"/>
      <c r="AD969" s="260"/>
    </row>
    <row r="970" spans="2:30" x14ac:dyDescent="0.3">
      <c r="B970" s="10" t="s">
        <v>387</v>
      </c>
      <c r="C970" s="315"/>
      <c r="D970" s="868" t="s">
        <v>3119</v>
      </c>
      <c r="E970" s="837" t="str">
        <f>IFERROR(IF(_xlfn.XLOOKUP(Imput[[#This Row],[RFC]],'Alta Proveedor'!D:D,'Alta Proveedor'!E:E)=0,"",_xlfn.XLOOKUP(Imput[[#This Row],[RFC]],'Alta Proveedor'!D:D,'Alta Proveedor'!E:E)),"")</f>
        <v>Nomina-OPERACIÓN</v>
      </c>
      <c r="F970" s="836" t="s">
        <v>3348</v>
      </c>
      <c r="G970" s="187">
        <v>1</v>
      </c>
      <c r="H970" s="1">
        <v>15863.92</v>
      </c>
      <c r="I970" s="169">
        <f>Imput[[#This Row],[Cantidad]]*Imput[[#This Row],[Precio Unitario]]</f>
        <v>15863.92</v>
      </c>
      <c r="J970" s="11">
        <f>Imput[[#This Row],[Sub total]]*0.08</f>
        <v>1269.1136000000001</v>
      </c>
      <c r="K970" s="11">
        <v>0</v>
      </c>
      <c r="L970" s="169">
        <f>Imput[[#This Row],[Sub total]]+Imput[[#This Row],[IVA]]-Imput[[#This Row],[Retención / IEPS / Descuento]]</f>
        <v>17133.033599999999</v>
      </c>
      <c r="M970" s="844">
        <v>17133.033599999999</v>
      </c>
      <c r="N970" s="189"/>
      <c r="O970" s="1"/>
      <c r="P970" s="189"/>
      <c r="Q970" s="190"/>
      <c r="R970" s="188">
        <v>45909</v>
      </c>
      <c r="S970" s="193"/>
      <c r="T970" s="192"/>
      <c r="U970" s="867" t="s">
        <v>3225</v>
      </c>
      <c r="V970" s="10"/>
      <c r="W970" s="10"/>
      <c r="X970" s="10"/>
      <c r="Y970" s="10"/>
      <c r="Z970" s="10"/>
      <c r="AA970" s="11"/>
      <c r="AB970" s="11"/>
      <c r="AD970" s="260"/>
    </row>
    <row r="971" spans="2:30" x14ac:dyDescent="0.3">
      <c r="B971" s="10" t="s">
        <v>387</v>
      </c>
      <c r="C971" s="315" t="s">
        <v>1806</v>
      </c>
      <c r="D971" s="868" t="s">
        <v>3351</v>
      </c>
      <c r="E971" s="837" t="str">
        <f>IFERROR(IF(_xlfn.XLOOKUP(Imput[[#This Row],[RFC]],'Alta Proveedor'!D:D,'Alta Proveedor'!E:E)=0,"",_xlfn.XLOOKUP(Imput[[#This Row],[RFC]],'Alta Proveedor'!D:D,'Alta Proveedor'!E:E)),"")</f>
        <v>OPERADORA DE PARADORES DINEEK "SUBWAY"</v>
      </c>
      <c r="F971" s="836" t="s">
        <v>159</v>
      </c>
      <c r="G971" s="187">
        <v>1</v>
      </c>
      <c r="H971" s="1">
        <v>77.59</v>
      </c>
      <c r="I971" s="169">
        <f>Imput[[#This Row],[Cantidad]]*Imput[[#This Row],[Precio Unitario]]</f>
        <v>77.59</v>
      </c>
      <c r="J971" s="11">
        <f>((Imput[[#This Row],[Sub total]])*(0.16))</f>
        <v>12.414400000000001</v>
      </c>
      <c r="K971" s="11">
        <v>0</v>
      </c>
      <c r="L971" s="169">
        <f>Imput[[#This Row],[Sub total]]+Imput[[#This Row],[IVA]]-Imput[[#This Row],[Retención / IEPS / Descuento]]</f>
        <v>90.004400000000004</v>
      </c>
      <c r="M971" s="844">
        <v>90.004400000000004</v>
      </c>
      <c r="N971" s="189" t="s">
        <v>123</v>
      </c>
      <c r="O971" s="1"/>
      <c r="P971" s="189" t="s">
        <v>3330</v>
      </c>
      <c r="Q971" s="190" t="s">
        <v>3350</v>
      </c>
      <c r="R971" s="188">
        <v>45908</v>
      </c>
      <c r="S971" s="193" t="s">
        <v>126</v>
      </c>
      <c r="T971" s="192"/>
      <c r="U971" s="829"/>
      <c r="V971" s="10"/>
      <c r="W971" s="10"/>
      <c r="X971" s="10"/>
      <c r="Y971" s="10"/>
      <c r="Z971" s="10"/>
      <c r="AA971" s="11"/>
      <c r="AB971" s="11"/>
      <c r="AD971" s="260"/>
    </row>
    <row r="972" spans="2:30" x14ac:dyDescent="0.3">
      <c r="B972" s="10" t="s">
        <v>387</v>
      </c>
      <c r="C972" s="315" t="s">
        <v>1767</v>
      </c>
      <c r="D972" s="868" t="s">
        <v>3279</v>
      </c>
      <c r="E972" s="837" t="str">
        <f>IFERROR(IF(_xlfn.XLOOKUP(Imput[[#This Row],[RFC]],'Alta Proveedor'!D:D,'Alta Proveedor'!E:E)=0,"",_xlfn.XLOOKUP(Imput[[#This Row],[RFC]],'Alta Proveedor'!D:D,'Alta Proveedor'!E:E)),"")</f>
        <v>MARIA LUISA HERNANDEZ DEL ANGEL "EFECTIFACTURA" (COMBUSTIBLES)</v>
      </c>
      <c r="F972" s="836" t="s">
        <v>237</v>
      </c>
      <c r="G972" s="187">
        <v>34.975000000000001</v>
      </c>
      <c r="H972" s="1">
        <f>19.828734810579</f>
        <v>19.828734810579</v>
      </c>
      <c r="I972" s="169">
        <f>Imput[[#This Row],[Cantidad]]*Imput[[#This Row],[Precio Unitario]]</f>
        <v>693.51000000000056</v>
      </c>
      <c r="J972" s="11">
        <v>107.77</v>
      </c>
      <c r="K972" s="11">
        <v>0</v>
      </c>
      <c r="L972" s="169">
        <f>Imput[[#This Row],[Sub total]]+Imput[[#This Row],[IVA]]-Imput[[#This Row],[Retención / IEPS / Descuento]]</f>
        <v>801.28000000000054</v>
      </c>
      <c r="M972" s="844">
        <v>801.28000000000054</v>
      </c>
      <c r="N972" s="189" t="s">
        <v>123</v>
      </c>
      <c r="O972" s="1"/>
      <c r="P972" s="189" t="s">
        <v>3353</v>
      </c>
      <c r="Q972" s="190" t="s">
        <v>3354</v>
      </c>
      <c r="R972" s="188">
        <v>45908</v>
      </c>
      <c r="S972" s="193" t="s">
        <v>126</v>
      </c>
      <c r="T972" s="192"/>
      <c r="U972" s="829"/>
      <c r="V972" s="10"/>
      <c r="W972" s="10"/>
      <c r="X972" s="10"/>
      <c r="Y972" s="10"/>
      <c r="Z972" s="10"/>
      <c r="AA972" s="11"/>
      <c r="AB972" s="11"/>
      <c r="AD972" s="260"/>
    </row>
    <row r="973" spans="2:30" x14ac:dyDescent="0.3">
      <c r="B973" s="10" t="s">
        <v>387</v>
      </c>
      <c r="C973" s="315" t="s">
        <v>1767</v>
      </c>
      <c r="D973" s="868" t="s">
        <v>3279</v>
      </c>
      <c r="E973" s="837" t="str">
        <f>IFERROR(IF(_xlfn.XLOOKUP(Imput[[#This Row],[RFC]],'Alta Proveedor'!D:D,'Alta Proveedor'!E:E)=0,"",_xlfn.XLOOKUP(Imput[[#This Row],[RFC]],'Alta Proveedor'!D:D,'Alta Proveedor'!E:E)),"")</f>
        <v>MARIA LUISA HERNANDEZ DEL ANGEL "EFECTIFACTURA" (COMBUSTIBLES)</v>
      </c>
      <c r="F973" s="836" t="s">
        <v>1114</v>
      </c>
      <c r="G973" s="187">
        <v>67.105000000000004</v>
      </c>
      <c r="H973" s="1">
        <v>22.547947246851901</v>
      </c>
      <c r="I973" s="169">
        <f>Imput[[#This Row],[Cantidad]]*Imput[[#This Row],[Precio Unitario]]</f>
        <v>1513.079999999997</v>
      </c>
      <c r="J973" s="11">
        <v>237.02</v>
      </c>
      <c r="K973" s="11">
        <v>0</v>
      </c>
      <c r="L973" s="169">
        <f>Imput[[#This Row],[Sub total]]+Imput[[#This Row],[IVA]]-Imput[[#This Row],[Retención / IEPS / Descuento]]</f>
        <v>1750.099999999997</v>
      </c>
      <c r="M973" s="844">
        <v>1750.099999999997</v>
      </c>
      <c r="N973" s="189" t="s">
        <v>123</v>
      </c>
      <c r="O973" s="1"/>
      <c r="P973" s="189" t="s">
        <v>3355</v>
      </c>
      <c r="Q973" s="190" t="s">
        <v>3356</v>
      </c>
      <c r="R973" s="188">
        <v>45908</v>
      </c>
      <c r="S973" s="193" t="s">
        <v>126</v>
      </c>
      <c r="T973" s="192"/>
      <c r="U973" s="829"/>
      <c r="V973" s="10"/>
      <c r="W973" s="10"/>
      <c r="X973" s="10"/>
      <c r="Y973" s="10"/>
      <c r="Z973" s="10"/>
      <c r="AA973" s="11"/>
      <c r="AB973" s="11"/>
      <c r="AD973" s="260"/>
    </row>
    <row r="974" spans="2:30" x14ac:dyDescent="0.3">
      <c r="B974" s="10" t="s">
        <v>387</v>
      </c>
      <c r="C974" s="315"/>
      <c r="D974" s="868" t="s">
        <v>3359</v>
      </c>
      <c r="E974" s="837" t="str">
        <f>IFERROR(IF(_xlfn.XLOOKUP(Imput[[#This Row],[RFC]],'Alta Proveedor'!D:D,'Alta Proveedor'!E:E)=0,"",_xlfn.XLOOKUP(Imput[[#This Row],[RFC]],'Alta Proveedor'!D:D,'Alta Proveedor'!E:E)),"")</f>
        <v>MULTIMATERIALES Y SERVICIOS "MULTIMAT"</v>
      </c>
      <c r="F974" s="836" t="s">
        <v>3376</v>
      </c>
      <c r="G974" s="187">
        <v>11</v>
      </c>
      <c r="H974" s="1">
        <v>32.15</v>
      </c>
      <c r="I974" s="169">
        <f>Imput[[#This Row],[Cantidad]]*Imput[[#This Row],[Precio Unitario]]</f>
        <v>353.65</v>
      </c>
      <c r="J974" s="11">
        <f>((Imput[[#This Row],[Sub total]])*(0.16))</f>
        <v>56.583999999999996</v>
      </c>
      <c r="K974" s="11">
        <v>0</v>
      </c>
      <c r="L974" s="169">
        <f>Imput[[#This Row],[Sub total]]+Imput[[#This Row],[IVA]]-Imput[[#This Row],[Retención / IEPS / Descuento]]</f>
        <v>410.23399999999998</v>
      </c>
      <c r="M974" s="844">
        <v>2205.1019999999999</v>
      </c>
      <c r="N974" s="189" t="s">
        <v>123</v>
      </c>
      <c r="O974" s="1"/>
      <c r="P974" s="189" t="s">
        <v>3357</v>
      </c>
      <c r="Q974" s="190" t="s">
        <v>3358</v>
      </c>
      <c r="R974" s="188">
        <v>45908</v>
      </c>
      <c r="S974" s="193" t="s">
        <v>126</v>
      </c>
      <c r="T974" s="192"/>
      <c r="U974" s="829"/>
      <c r="V974" s="10"/>
      <c r="W974" s="10"/>
      <c r="X974" s="10"/>
      <c r="Y974" s="10"/>
      <c r="Z974" s="10"/>
      <c r="AA974" s="11"/>
      <c r="AB974" s="11"/>
      <c r="AD974" s="260"/>
    </row>
    <row r="975" spans="2:30" x14ac:dyDescent="0.3">
      <c r="B975" s="10" t="s">
        <v>387</v>
      </c>
      <c r="C975" s="315"/>
      <c r="D975" s="868" t="s">
        <v>3359</v>
      </c>
      <c r="E975" s="837" t="str">
        <f>IFERROR(IF(_xlfn.XLOOKUP(Imput[[#This Row],[RFC]],'Alta Proveedor'!D:D,'Alta Proveedor'!E:E)=0,"",_xlfn.XLOOKUP(Imput[[#This Row],[RFC]],'Alta Proveedor'!D:D,'Alta Proveedor'!E:E)),"")</f>
        <v>MULTIMATERIALES Y SERVICIOS "MULTIMAT"</v>
      </c>
      <c r="F975" s="836" t="s">
        <v>3377</v>
      </c>
      <c r="G975" s="187">
        <v>11</v>
      </c>
      <c r="H975" s="1">
        <v>54.78</v>
      </c>
      <c r="I975" s="169">
        <f>Imput[[#This Row],[Cantidad]]*Imput[[#This Row],[Precio Unitario]]</f>
        <v>602.58000000000004</v>
      </c>
      <c r="J975" s="11">
        <f>((Imput[[#This Row],[Sub total]])*(0.16))</f>
        <v>96.412800000000004</v>
      </c>
      <c r="K975" s="11">
        <v>0</v>
      </c>
      <c r="L975" s="169">
        <f>Imput[[#This Row],[Sub total]]+Imput[[#This Row],[IVA]]-Imput[[#This Row],[Retención / IEPS / Descuento]]</f>
        <v>698.99279999999999</v>
      </c>
      <c r="M975" s="844">
        <v>0</v>
      </c>
      <c r="N975" s="189" t="s">
        <v>123</v>
      </c>
      <c r="O975" s="1"/>
      <c r="P975" s="189" t="s">
        <v>3357</v>
      </c>
      <c r="Q975" s="190" t="s">
        <v>3358</v>
      </c>
      <c r="R975" s="188">
        <v>45908</v>
      </c>
      <c r="S975" s="193" t="s">
        <v>126</v>
      </c>
      <c r="T975" s="192"/>
      <c r="U975" s="829"/>
      <c r="V975" s="10"/>
      <c r="W975" s="10"/>
      <c r="X975" s="10"/>
      <c r="Y975" s="10"/>
      <c r="Z975" s="10"/>
      <c r="AA975" s="11"/>
      <c r="AB975" s="11"/>
      <c r="AD975" s="260"/>
    </row>
    <row r="976" spans="2:30" x14ac:dyDescent="0.3">
      <c r="B976" s="10" t="s">
        <v>387</v>
      </c>
      <c r="C976" s="315"/>
      <c r="D976" s="868" t="s">
        <v>3359</v>
      </c>
      <c r="E976" s="837" t="str">
        <f>IFERROR(IF(_xlfn.XLOOKUP(Imput[[#This Row],[RFC]],'Alta Proveedor'!D:D,'Alta Proveedor'!E:E)=0,"",_xlfn.XLOOKUP(Imput[[#This Row],[RFC]],'Alta Proveedor'!D:D,'Alta Proveedor'!E:E)),"")</f>
        <v>MULTIMATERIALES Y SERVICIOS "MULTIMAT"</v>
      </c>
      <c r="F976" s="836" t="s">
        <v>3405</v>
      </c>
      <c r="G976" s="187">
        <v>2</v>
      </c>
      <c r="H976" s="1">
        <v>110.56</v>
      </c>
      <c r="I976" s="169">
        <f>Imput[[#This Row],[Cantidad]]*Imput[[#This Row],[Precio Unitario]]</f>
        <v>221.12</v>
      </c>
      <c r="J976" s="11">
        <f>((Imput[[#This Row],[Sub total]])*(0.16))</f>
        <v>35.379200000000004</v>
      </c>
      <c r="K976" s="11">
        <v>0</v>
      </c>
      <c r="L976" s="169">
        <f>Imput[[#This Row],[Sub total]]+Imput[[#This Row],[IVA]]-Imput[[#This Row],[Retención / IEPS / Descuento]]</f>
        <v>256.49920000000003</v>
      </c>
      <c r="M976" s="844">
        <v>0</v>
      </c>
      <c r="N976" s="189" t="s">
        <v>123</v>
      </c>
      <c r="O976" s="1"/>
      <c r="P976" s="189" t="s">
        <v>3357</v>
      </c>
      <c r="Q976" s="190" t="s">
        <v>3358</v>
      </c>
      <c r="R976" s="188">
        <v>45908</v>
      </c>
      <c r="S976" s="193" t="s">
        <v>126</v>
      </c>
      <c r="T976" s="192"/>
      <c r="U976" s="829"/>
      <c r="V976" s="10"/>
      <c r="W976" s="10"/>
      <c r="X976" s="10"/>
      <c r="Y976" s="10"/>
      <c r="Z976" s="10"/>
      <c r="AA976" s="11"/>
      <c r="AB976" s="11"/>
      <c r="AD976" s="260"/>
    </row>
    <row r="977" spans="2:30" x14ac:dyDescent="0.3">
      <c r="B977" s="10" t="s">
        <v>387</v>
      </c>
      <c r="C977" s="315"/>
      <c r="D977" s="868" t="s">
        <v>3359</v>
      </c>
      <c r="E977" s="837" t="str">
        <f>IFERROR(IF(_xlfn.XLOOKUP(Imput[[#This Row],[RFC]],'Alta Proveedor'!D:D,'Alta Proveedor'!E:E)=0,"",_xlfn.XLOOKUP(Imput[[#This Row],[RFC]],'Alta Proveedor'!D:D,'Alta Proveedor'!E:E)),"")</f>
        <v>MULTIMATERIALES Y SERVICIOS "MULTIMAT"</v>
      </c>
      <c r="F977" s="836" t="s">
        <v>3378</v>
      </c>
      <c r="G977" s="187">
        <v>18</v>
      </c>
      <c r="H977" s="1">
        <v>12.53</v>
      </c>
      <c r="I977" s="169">
        <f>Imput[[#This Row],[Cantidad]]*Imput[[#This Row],[Precio Unitario]]</f>
        <v>225.54</v>
      </c>
      <c r="J977" s="11">
        <f>((Imput[[#This Row],[Sub total]])*(0.16))</f>
        <v>36.086399999999998</v>
      </c>
      <c r="K977" s="11">
        <v>0</v>
      </c>
      <c r="L977" s="169">
        <f>Imput[[#This Row],[Sub total]]+Imput[[#This Row],[IVA]]-Imput[[#This Row],[Retención / IEPS / Descuento]]</f>
        <v>261.62639999999999</v>
      </c>
      <c r="M977" s="844">
        <v>0</v>
      </c>
      <c r="N977" s="189" t="s">
        <v>123</v>
      </c>
      <c r="O977" s="1"/>
      <c r="P977" s="189" t="s">
        <v>3357</v>
      </c>
      <c r="Q977" s="190" t="s">
        <v>3358</v>
      </c>
      <c r="R977" s="188">
        <v>45908</v>
      </c>
      <c r="S977" s="193" t="s">
        <v>126</v>
      </c>
      <c r="T977" s="192"/>
      <c r="U977" s="829"/>
      <c r="V977" s="10"/>
      <c r="W977" s="10"/>
      <c r="X977" s="10"/>
      <c r="Y977" s="10"/>
      <c r="Z977" s="10"/>
      <c r="AA977" s="11"/>
      <c r="AB977" s="11"/>
      <c r="AD977" s="260"/>
    </row>
    <row r="978" spans="2:30" x14ac:dyDescent="0.3">
      <c r="B978" s="10" t="s">
        <v>387</v>
      </c>
      <c r="C978" s="315"/>
      <c r="D978" s="868" t="s">
        <v>3359</v>
      </c>
      <c r="E978" s="837" t="str">
        <f>IFERROR(IF(_xlfn.XLOOKUP(Imput[[#This Row],[RFC]],'Alta Proveedor'!D:D,'Alta Proveedor'!E:E)=0,"",_xlfn.XLOOKUP(Imput[[#This Row],[RFC]],'Alta Proveedor'!D:D,'Alta Proveedor'!E:E)),"")</f>
        <v>MULTIMATERIALES Y SERVICIOS "MULTIMAT"</v>
      </c>
      <c r="F978" s="836" t="s">
        <v>3379</v>
      </c>
      <c r="G978" s="187">
        <v>18</v>
      </c>
      <c r="H978" s="1">
        <v>27.67</v>
      </c>
      <c r="I978" s="169">
        <f>Imput[[#This Row],[Cantidad]]*Imput[[#This Row],[Precio Unitario]]</f>
        <v>498.06000000000006</v>
      </c>
      <c r="J978" s="11">
        <f>((Imput[[#This Row],[Sub total]])*(0.16))</f>
        <v>79.689600000000013</v>
      </c>
      <c r="K978" s="11">
        <v>0</v>
      </c>
      <c r="L978" s="169">
        <f>Imput[[#This Row],[Sub total]]+Imput[[#This Row],[IVA]]-Imput[[#This Row],[Retención / IEPS / Descuento]]</f>
        <v>577.7496000000001</v>
      </c>
      <c r="M978" s="844">
        <v>0</v>
      </c>
      <c r="N978" s="189" t="s">
        <v>123</v>
      </c>
      <c r="O978" s="1"/>
      <c r="P978" s="189" t="s">
        <v>3357</v>
      </c>
      <c r="Q978" s="190" t="s">
        <v>3358</v>
      </c>
      <c r="R978" s="188">
        <v>45908</v>
      </c>
      <c r="S978" s="193" t="s">
        <v>126</v>
      </c>
      <c r="T978" s="192"/>
      <c r="U978" s="829"/>
      <c r="V978" s="10"/>
      <c r="W978" s="10"/>
      <c r="X978" s="10"/>
      <c r="Y978" s="10"/>
      <c r="Z978" s="10"/>
      <c r="AA978" s="11"/>
      <c r="AB978" s="11"/>
      <c r="AD978" s="260"/>
    </row>
    <row r="979" spans="2:30" x14ac:dyDescent="0.3">
      <c r="B979" s="10" t="s">
        <v>387</v>
      </c>
      <c r="C979" s="315" t="s">
        <v>1767</v>
      </c>
      <c r="D979" s="868" t="s">
        <v>3363</v>
      </c>
      <c r="E979" s="837" t="str">
        <f>IFERROR(IF(_xlfn.XLOOKUP(Imput[[#This Row],[RFC]],'Alta Proveedor'!D:D,'Alta Proveedor'!E:E)=0,"",_xlfn.XLOOKUP(Imput[[#This Row],[RFC]],'Alta Proveedor'!D:D,'Alta Proveedor'!E:E)),"")</f>
        <v>SUPER SERVICIO AZTECA DE VICTORIA E09213 (COMBUSTIBLES)</v>
      </c>
      <c r="F979" s="832" t="s">
        <v>237</v>
      </c>
      <c r="G979" s="187">
        <v>54.209000000000003</v>
      </c>
      <c r="H979" s="1">
        <v>20.233909498422801</v>
      </c>
      <c r="I979" s="169">
        <f>Imput[[#This Row],[Cantidad]]*Imput[[#This Row],[Precio Unitario]]</f>
        <v>1096.8600000000017</v>
      </c>
      <c r="J979" s="11">
        <v>170.55</v>
      </c>
      <c r="K979" s="11">
        <v>0</v>
      </c>
      <c r="L979" s="169">
        <f>Imput[[#This Row],[Sub total]]+Imput[[#This Row],[IVA]]-Imput[[#This Row],[Retención / IEPS / Descuento]]</f>
        <v>1267.4100000000017</v>
      </c>
      <c r="M979" s="844">
        <v>1267.4100000000017</v>
      </c>
      <c r="N979" s="189" t="s">
        <v>123</v>
      </c>
      <c r="O979" s="1"/>
      <c r="P979" s="189" t="s">
        <v>3361</v>
      </c>
      <c r="Q979" s="190" t="s">
        <v>3362</v>
      </c>
      <c r="R979" s="188">
        <v>45910</v>
      </c>
      <c r="S979" s="193" t="s">
        <v>126</v>
      </c>
      <c r="T979" s="192"/>
      <c r="U979" s="829"/>
      <c r="V979" s="10"/>
      <c r="W979" s="10"/>
      <c r="X979" s="10"/>
      <c r="Y979" s="10"/>
      <c r="Z979" s="10"/>
      <c r="AA979" s="11"/>
      <c r="AB979" s="11"/>
      <c r="AD979" s="260"/>
    </row>
    <row r="980" spans="2:30" x14ac:dyDescent="0.3">
      <c r="B980" s="10" t="s">
        <v>387</v>
      </c>
      <c r="C980" s="315" t="s">
        <v>1748</v>
      </c>
      <c r="D980" s="868" t="s">
        <v>3410</v>
      </c>
      <c r="E980" s="837" t="str">
        <f>IFERROR(IF(_xlfn.XLOOKUP(Imput[[#This Row],[RFC]],'Alta Proveedor'!D:D,'Alta Proveedor'!E:E)=0,"",_xlfn.XLOOKUP(Imput[[#This Row],[RFC]],'Alta Proveedor'!D:D,'Alta Proveedor'!E:E)),"")</f>
        <v>AEROVIAS DE MEXICO (VUELOS)</v>
      </c>
      <c r="F980" s="832" t="s">
        <v>3412</v>
      </c>
      <c r="G980" s="187">
        <v>1</v>
      </c>
      <c r="H980" s="1">
        <v>6492.24</v>
      </c>
      <c r="I980" s="169">
        <f>Imput[[#This Row],[Cantidad]]*Imput[[#This Row],[Precio Unitario]]</f>
        <v>6492.24</v>
      </c>
      <c r="J980" s="11">
        <f>(Imput[[#This Row],[Sub total]])*0.16</f>
        <v>1038.7583999999999</v>
      </c>
      <c r="K980" s="11">
        <v>0</v>
      </c>
      <c r="L980" s="169">
        <f>Imput[[#This Row],[Sub total]]+Imput[[#This Row],[IVA]]-Imput[[#This Row],[Retención / IEPS / Descuento]]</f>
        <v>7530.9983999999995</v>
      </c>
      <c r="M980" s="844">
        <v>9065.9984000000004</v>
      </c>
      <c r="N980" s="189" t="s">
        <v>123</v>
      </c>
      <c r="O980" s="1"/>
      <c r="P980" s="189" t="s">
        <v>3408</v>
      </c>
      <c r="Q980" s="190" t="s">
        <v>3409</v>
      </c>
      <c r="R980" s="188">
        <v>45912</v>
      </c>
      <c r="S980" s="193" t="s">
        <v>126</v>
      </c>
      <c r="T980" s="192"/>
      <c r="U980" s="829"/>
      <c r="V980" s="10"/>
      <c r="W980" s="10"/>
      <c r="X980" s="10"/>
      <c r="Y980" s="10" t="s">
        <v>3298</v>
      </c>
      <c r="Z980" s="10"/>
      <c r="AA980" s="11"/>
      <c r="AB980" s="11"/>
      <c r="AD980" s="260"/>
    </row>
    <row r="981" spans="2:30" x14ac:dyDescent="0.3">
      <c r="B981" s="10" t="s">
        <v>387</v>
      </c>
      <c r="C981" s="315" t="s">
        <v>1748</v>
      </c>
      <c r="D981" s="868" t="s">
        <v>3410</v>
      </c>
      <c r="E981" s="837" t="str">
        <f>IFERROR(IF(_xlfn.XLOOKUP(Imput[[#This Row],[RFC]],'Alta Proveedor'!D:D,'Alta Proveedor'!E:E)=0,"",_xlfn.XLOOKUP(Imput[[#This Row],[RFC]],'Alta Proveedor'!D:D,'Alta Proveedor'!E:E)),"")</f>
        <v>AEROVIAS DE MEXICO (VUELOS)</v>
      </c>
      <c r="F981" s="832" t="s">
        <v>3413</v>
      </c>
      <c r="G981" s="187">
        <v>1</v>
      </c>
      <c r="H981" s="1">
        <v>43</v>
      </c>
      <c r="I981" s="169">
        <f>Imput[[#This Row],[Cantidad]]*Imput[[#This Row],[Precio Unitario]]</f>
        <v>43</v>
      </c>
      <c r="J981" s="11">
        <v>0</v>
      </c>
      <c r="K981" s="11">
        <v>0</v>
      </c>
      <c r="L981" s="169">
        <f>Imput[[#This Row],[Sub total]]+Imput[[#This Row],[IVA]]-Imput[[#This Row],[Retención / IEPS / Descuento]]</f>
        <v>43</v>
      </c>
      <c r="M981" s="844">
        <v>0</v>
      </c>
      <c r="N981" s="189" t="s">
        <v>123</v>
      </c>
      <c r="O981" s="1"/>
      <c r="P981" s="189" t="s">
        <v>3408</v>
      </c>
      <c r="Q981" s="190" t="s">
        <v>3409</v>
      </c>
      <c r="R981" s="188">
        <v>45912</v>
      </c>
      <c r="S981" s="193" t="s">
        <v>126</v>
      </c>
      <c r="T981" s="192"/>
      <c r="U981" s="829"/>
      <c r="V981" s="10"/>
      <c r="W981" s="10"/>
      <c r="X981" s="10"/>
      <c r="Y981" s="10" t="s">
        <v>3298</v>
      </c>
      <c r="Z981" s="10"/>
      <c r="AA981" s="11"/>
      <c r="AB981" s="11"/>
      <c r="AD981" s="260"/>
    </row>
    <row r="982" spans="2:30" x14ac:dyDescent="0.3">
      <c r="B982" s="10" t="s">
        <v>387</v>
      </c>
      <c r="C982" s="315" t="s">
        <v>1748</v>
      </c>
      <c r="D982" s="868" t="s">
        <v>3410</v>
      </c>
      <c r="E982" s="837" t="str">
        <f>IFERROR(IF(_xlfn.XLOOKUP(Imput[[#This Row],[RFC]],'Alta Proveedor'!D:D,'Alta Proveedor'!E:E)=0,"",_xlfn.XLOOKUP(Imput[[#This Row],[RFC]],'Alta Proveedor'!D:D,'Alta Proveedor'!E:E)),"")</f>
        <v>AEROVIAS DE MEXICO (VUELOS)</v>
      </c>
      <c r="F982" s="832" t="s">
        <v>3414</v>
      </c>
      <c r="G982" s="187">
        <v>1</v>
      </c>
      <c r="H982" s="1">
        <v>1492</v>
      </c>
      <c r="I982" s="169">
        <f>Imput[[#This Row],[Cantidad]]*Imput[[#This Row],[Precio Unitario]]</f>
        <v>1492</v>
      </c>
      <c r="J982" s="11">
        <v>0</v>
      </c>
      <c r="K982" s="11">
        <v>0</v>
      </c>
      <c r="L982" s="169">
        <f>Imput[[#This Row],[Sub total]]+Imput[[#This Row],[IVA]]-Imput[[#This Row],[Retención / IEPS / Descuento]]</f>
        <v>1492</v>
      </c>
      <c r="M982" s="844">
        <v>0</v>
      </c>
      <c r="N982" s="189" t="s">
        <v>123</v>
      </c>
      <c r="O982" s="1"/>
      <c r="P982" s="189" t="s">
        <v>3408</v>
      </c>
      <c r="Q982" s="190" t="s">
        <v>3409</v>
      </c>
      <c r="R982" s="188">
        <v>45912</v>
      </c>
      <c r="S982" s="193" t="s">
        <v>126</v>
      </c>
      <c r="T982" s="192"/>
      <c r="U982" s="829"/>
      <c r="V982" s="10"/>
      <c r="W982" s="10"/>
      <c r="X982" s="10"/>
      <c r="Y982" s="10" t="s">
        <v>3298</v>
      </c>
      <c r="Z982" s="10"/>
      <c r="AA982" s="11"/>
      <c r="AB982" s="11"/>
      <c r="AD982" s="260"/>
    </row>
    <row r="983" spans="2:30" x14ac:dyDescent="0.3">
      <c r="B983" s="10" t="s">
        <v>387</v>
      </c>
      <c r="C983" s="315"/>
      <c r="D983" s="868" t="s">
        <v>3417</v>
      </c>
      <c r="E983" s="837" t="str">
        <f>IFERROR(IF(_xlfn.XLOOKUP(Imput[[#This Row],[RFC]],'Alta Proveedor'!D:D,'Alta Proveedor'!E:E)=0,"",_xlfn.XLOOKUP(Imput[[#This Row],[RFC]],'Alta Proveedor'!D:D,'Alta Proveedor'!E:E)),"")</f>
        <v>PINTURAS AUTOMOTRIZ EL CUÑADITO (SHERWIN WILLIAMS)</v>
      </c>
      <c r="F983" s="832" t="s">
        <v>3547</v>
      </c>
      <c r="G983" s="187">
        <v>1</v>
      </c>
      <c r="H983" s="1">
        <v>129.31</v>
      </c>
      <c r="I983" s="169">
        <f>Imput[[#This Row],[Cantidad]]*Imput[[#This Row],[Precio Unitario]]</f>
        <v>129.31</v>
      </c>
      <c r="J983" s="11">
        <f>(Imput[[#This Row],[Sub total]])*0.16</f>
        <v>20.689600000000002</v>
      </c>
      <c r="K983" s="11">
        <v>0</v>
      </c>
      <c r="L983" s="169">
        <f>Imput[[#This Row],[Sub total]]+Imput[[#This Row],[IVA]]-Imput[[#This Row],[Retención / IEPS / Descuento]]</f>
        <v>149.99960000000002</v>
      </c>
      <c r="M983" s="844">
        <v>149.99960000000002</v>
      </c>
      <c r="N983" s="189" t="s">
        <v>123</v>
      </c>
      <c r="O983" s="1"/>
      <c r="P983" s="189" t="s">
        <v>3415</v>
      </c>
      <c r="Q983" s="190" t="s">
        <v>3416</v>
      </c>
      <c r="R983" s="188">
        <v>45912</v>
      </c>
      <c r="S983" s="193" t="s">
        <v>126</v>
      </c>
      <c r="T983" s="192"/>
      <c r="U983" s="829"/>
      <c r="V983" s="10"/>
      <c r="W983" s="10"/>
      <c r="X983" s="10"/>
      <c r="Y983" s="10" t="s">
        <v>3298</v>
      </c>
      <c r="Z983" s="10"/>
      <c r="AA983" s="11"/>
      <c r="AB983" s="11"/>
      <c r="AD983" s="260"/>
    </row>
    <row r="984" spans="2:30" x14ac:dyDescent="0.3">
      <c r="B984" s="10" t="s">
        <v>387</v>
      </c>
      <c r="C984" s="315"/>
      <c r="D984" s="868" t="s">
        <v>244</v>
      </c>
      <c r="E984" s="837" t="str">
        <f>IFERROR(IF(_xlfn.XLOOKUP(Imput[[#This Row],[RFC]],'Alta Proveedor'!D:D,'Alta Proveedor'!E:E)=0,"",_xlfn.XLOOKUP(Imput[[#This Row],[RFC]],'Alta Proveedor'!D:D,'Alta Proveedor'!E:E)),"")</f>
        <v>CADENA COMERCIAL OXXO</v>
      </c>
      <c r="F984" s="832" t="s">
        <v>1214</v>
      </c>
      <c r="G984" s="187">
        <v>1</v>
      </c>
      <c r="H984" s="1">
        <v>18.97</v>
      </c>
      <c r="I984" s="169">
        <f>Imput[[#This Row],[Cantidad]]*Imput[[#This Row],[Precio Unitario]]</f>
        <v>18.97</v>
      </c>
      <c r="J984" s="11">
        <f>(Imput[[#This Row],[Sub total]])*0.16</f>
        <v>3.0351999999999997</v>
      </c>
      <c r="K984" s="11">
        <v>0</v>
      </c>
      <c r="L984" s="169">
        <f>Imput[[#This Row],[Sub total]]+Imput[[#This Row],[IVA]]-Imput[[#This Row],[Retención / IEPS / Descuento]]</f>
        <v>22.005199999999999</v>
      </c>
      <c r="M984" s="844">
        <v>57.998266999999998</v>
      </c>
      <c r="N984" s="189" t="s">
        <v>123</v>
      </c>
      <c r="O984" s="1"/>
      <c r="P984" s="189" t="s">
        <v>3419</v>
      </c>
      <c r="Q984" s="190" t="s">
        <v>3420</v>
      </c>
      <c r="R984" s="188">
        <v>45912</v>
      </c>
      <c r="S984" s="193" t="s">
        <v>294</v>
      </c>
      <c r="T984" s="192"/>
      <c r="U984" s="829"/>
      <c r="V984" s="10"/>
      <c r="W984" s="10"/>
      <c r="X984" s="10"/>
      <c r="Y984" s="10" t="s">
        <v>3298</v>
      </c>
      <c r="Z984" s="10"/>
      <c r="AA984" s="11"/>
      <c r="AB984" s="11"/>
      <c r="AD984" s="260"/>
    </row>
    <row r="985" spans="2:30" x14ac:dyDescent="0.3">
      <c r="B985" s="10" t="s">
        <v>387</v>
      </c>
      <c r="C985" s="315"/>
      <c r="D985" s="868" t="s">
        <v>244</v>
      </c>
      <c r="E985" s="837" t="str">
        <f>IFERROR(IF(_xlfn.XLOOKUP(Imput[[#This Row],[RFC]],'Alta Proveedor'!D:D,'Alta Proveedor'!E:E)=0,"",_xlfn.XLOOKUP(Imput[[#This Row],[RFC]],'Alta Proveedor'!D:D,'Alta Proveedor'!E:E)),"")</f>
        <v>CADENA COMERCIAL OXXO</v>
      </c>
      <c r="F985" s="832" t="s">
        <v>3550</v>
      </c>
      <c r="G985" s="187">
        <v>1</v>
      </c>
      <c r="H985" s="1">
        <v>16.664999999999999</v>
      </c>
      <c r="I985" s="169">
        <f>Imput[[#This Row],[Cantidad]]*Imput[[#This Row],[Precio Unitario]]</f>
        <v>16.664999999999999</v>
      </c>
      <c r="J985" s="11">
        <f>(Imput[[#This Row],[Sub total]])*0.0799</f>
        <v>1.3315334999999999</v>
      </c>
      <c r="K985" s="11">
        <v>0</v>
      </c>
      <c r="L985" s="169">
        <f>Imput[[#This Row],[Sub total]]+Imput[[#This Row],[IVA]]-Imput[[#This Row],[Retención / IEPS / Descuento]]</f>
        <v>17.996533499999998</v>
      </c>
      <c r="M985" s="844">
        <v>0</v>
      </c>
      <c r="N985" s="189" t="s">
        <v>123</v>
      </c>
      <c r="O985" s="1"/>
      <c r="P985" s="189" t="s">
        <v>3419</v>
      </c>
      <c r="Q985" s="190" t="s">
        <v>3420</v>
      </c>
      <c r="R985" s="188">
        <v>45912</v>
      </c>
      <c r="S985" s="193" t="s">
        <v>294</v>
      </c>
      <c r="T985" s="192"/>
      <c r="U985" s="829"/>
      <c r="V985" s="10"/>
      <c r="W985" s="10"/>
      <c r="X985" s="10"/>
      <c r="Y985" s="10" t="s">
        <v>3298</v>
      </c>
      <c r="Z985" s="10"/>
      <c r="AA985" s="11"/>
      <c r="AB985" s="11"/>
      <c r="AD985" s="260"/>
    </row>
    <row r="986" spans="2:30" x14ac:dyDescent="0.3">
      <c r="B986" s="10" t="s">
        <v>387</v>
      </c>
      <c r="C986" s="315"/>
      <c r="D986" s="868" t="s">
        <v>244</v>
      </c>
      <c r="E986" s="837" t="str">
        <f>IFERROR(IF(_xlfn.XLOOKUP(Imput[[#This Row],[RFC]],'Alta Proveedor'!D:D,'Alta Proveedor'!E:E)=0,"",_xlfn.XLOOKUP(Imput[[#This Row],[RFC]],'Alta Proveedor'!D:D,'Alta Proveedor'!E:E)),"")</f>
        <v>CADENA COMERCIAL OXXO</v>
      </c>
      <c r="F986" s="832" t="s">
        <v>3551</v>
      </c>
      <c r="G986" s="187">
        <v>1</v>
      </c>
      <c r="H986" s="1">
        <v>16.664999999999999</v>
      </c>
      <c r="I986" s="169">
        <f>Imput[[#This Row],[Cantidad]]*Imput[[#This Row],[Precio Unitario]]</f>
        <v>16.664999999999999</v>
      </c>
      <c r="J986" s="11">
        <f>(Imput[[#This Row],[Sub total]])*0.0799</f>
        <v>1.3315334999999999</v>
      </c>
      <c r="K986" s="11">
        <v>0</v>
      </c>
      <c r="L986" s="169">
        <f>Imput[[#This Row],[Sub total]]+Imput[[#This Row],[IVA]]-Imput[[#This Row],[Retención / IEPS / Descuento]]</f>
        <v>17.996533499999998</v>
      </c>
      <c r="M986" s="844">
        <v>0</v>
      </c>
      <c r="N986" s="189" t="s">
        <v>123</v>
      </c>
      <c r="O986" s="1"/>
      <c r="P986" s="189" t="s">
        <v>3419</v>
      </c>
      <c r="Q986" s="190" t="s">
        <v>3420</v>
      </c>
      <c r="R986" s="188">
        <v>45912</v>
      </c>
      <c r="S986" s="193" t="s">
        <v>294</v>
      </c>
      <c r="T986" s="192"/>
      <c r="U986" s="829"/>
      <c r="V986" s="10"/>
      <c r="W986" s="10"/>
      <c r="X986" s="10"/>
      <c r="Y986" s="10" t="s">
        <v>3298</v>
      </c>
      <c r="Z986" s="10"/>
      <c r="AA986" s="11"/>
      <c r="AB986" s="11"/>
      <c r="AD986" s="260"/>
    </row>
    <row r="987" spans="2:30" x14ac:dyDescent="0.3">
      <c r="B987" s="10" t="s">
        <v>387</v>
      </c>
      <c r="C987" s="315"/>
      <c r="D987" s="868" t="s">
        <v>1036</v>
      </c>
      <c r="E987" s="837" t="str">
        <f>IFERROR(IF(_xlfn.XLOOKUP(Imput[[#This Row],[RFC]],'Alta Proveedor'!D:D,'Alta Proveedor'!E:E)=0,"",_xlfn.XLOOKUP(Imput[[#This Row],[RFC]],'Alta Proveedor'!D:D,'Alta Proveedor'!E:E)),"")</f>
        <v>AUTOZONE DE MEXICO</v>
      </c>
      <c r="F987" s="832" t="s">
        <v>3552</v>
      </c>
      <c r="G987" s="187">
        <v>1</v>
      </c>
      <c r="H987" s="1">
        <v>59.48</v>
      </c>
      <c r="I987" s="169">
        <f>Imput[[#This Row],[Cantidad]]*Imput[[#This Row],[Precio Unitario]]</f>
        <v>59.48</v>
      </c>
      <c r="J987" s="11">
        <f>((Imput[[#This Row],[Sub total]])*(0.160002))</f>
        <v>9.5169189599999999</v>
      </c>
      <c r="K987" s="11">
        <v>0</v>
      </c>
      <c r="L987" s="169">
        <f>Imput[[#This Row],[Sub total]]+Imput[[#This Row],[IVA]]-Imput[[#This Row],[Retención / IEPS / Descuento]]</f>
        <v>68.996918960000002</v>
      </c>
      <c r="M987" s="844">
        <v>3767.9996965400001</v>
      </c>
      <c r="N987" s="189" t="s">
        <v>123</v>
      </c>
      <c r="O987" s="1"/>
      <c r="P987" s="189" t="s">
        <v>3421</v>
      </c>
      <c r="Q987" s="190" t="s">
        <v>3422</v>
      </c>
      <c r="R987" s="188">
        <v>45910</v>
      </c>
      <c r="S987" s="193" t="s">
        <v>126</v>
      </c>
      <c r="T987" s="192"/>
      <c r="U987" s="829"/>
      <c r="V987" s="10"/>
      <c r="W987" s="10"/>
      <c r="X987" s="10"/>
      <c r="Y987" s="10"/>
      <c r="Z987" s="10"/>
      <c r="AA987" s="11"/>
      <c r="AB987" s="11"/>
      <c r="AD987" s="260"/>
    </row>
    <row r="988" spans="2:30" x14ac:dyDescent="0.3">
      <c r="B988" s="10" t="s">
        <v>387</v>
      </c>
      <c r="C988" s="315"/>
      <c r="D988" s="868" t="s">
        <v>1036</v>
      </c>
      <c r="E988" s="837" t="str">
        <f>IFERROR(IF(_xlfn.XLOOKUP(Imput[[#This Row],[RFC]],'Alta Proveedor'!D:D,'Alta Proveedor'!E:E)=0,"",_xlfn.XLOOKUP(Imput[[#This Row],[RFC]],'Alta Proveedor'!D:D,'Alta Proveedor'!E:E)),"")</f>
        <v>AUTOZONE DE MEXICO</v>
      </c>
      <c r="F988" s="832" t="s">
        <v>3553</v>
      </c>
      <c r="G988" s="187">
        <v>1</v>
      </c>
      <c r="H988" s="1">
        <v>3188.79</v>
      </c>
      <c r="I988" s="169">
        <f>Imput[[#This Row],[Cantidad]]*Imput[[#This Row],[Precio Unitario]]</f>
        <v>3188.79</v>
      </c>
      <c r="J988" s="11">
        <f>((Imput[[#This Row],[Sub total]])*(0.160002))</f>
        <v>510.21277758000002</v>
      </c>
      <c r="K988" s="11">
        <v>0</v>
      </c>
      <c r="L988" s="169">
        <f>Imput[[#This Row],[Sub total]]+Imput[[#This Row],[IVA]]-Imput[[#This Row],[Retención / IEPS / Descuento]]</f>
        <v>3699.0027775799999</v>
      </c>
      <c r="M988" s="844">
        <v>0</v>
      </c>
      <c r="N988" s="189" t="s">
        <v>123</v>
      </c>
      <c r="O988" s="1"/>
      <c r="P988" s="189" t="s">
        <v>3421</v>
      </c>
      <c r="Q988" s="190" t="s">
        <v>3422</v>
      </c>
      <c r="R988" s="188">
        <v>45910</v>
      </c>
      <c r="S988" s="193" t="s">
        <v>126</v>
      </c>
      <c r="T988" s="192"/>
      <c r="U988" s="829"/>
      <c r="V988" s="10"/>
      <c r="W988" s="10"/>
      <c r="X988" s="10"/>
      <c r="Y988" s="10"/>
      <c r="Z988" s="10"/>
      <c r="AA988" s="11"/>
      <c r="AB988" s="11"/>
      <c r="AD988" s="260"/>
    </row>
    <row r="989" spans="2:30" x14ac:dyDescent="0.3">
      <c r="B989" s="10" t="s">
        <v>387</v>
      </c>
      <c r="C989" s="315"/>
      <c r="D989" s="868" t="s">
        <v>244</v>
      </c>
      <c r="E989" s="837" t="str">
        <f>IFERROR(IF(_xlfn.XLOOKUP(Imput[[#This Row],[RFC]],'Alta Proveedor'!D:D,'Alta Proveedor'!E:E)=0,"",_xlfn.XLOOKUP(Imput[[#This Row],[RFC]],'Alta Proveedor'!D:D,'Alta Proveedor'!E:E)),"")</f>
        <v>CADENA COMERCIAL OXXO</v>
      </c>
      <c r="F989" s="832" t="s">
        <v>3425</v>
      </c>
      <c r="G989" s="187">
        <v>1</v>
      </c>
      <c r="H989" s="1">
        <v>68.099999999999994</v>
      </c>
      <c r="I989" s="169">
        <f>Imput[[#This Row],[Cantidad]]*Imput[[#This Row],[Precio Unitario]]</f>
        <v>68.099999999999994</v>
      </c>
      <c r="J989" s="11">
        <f>((Imput[[#This Row],[Sub total]])*(0.16))</f>
        <v>10.895999999999999</v>
      </c>
      <c r="K989" s="11">
        <v>0</v>
      </c>
      <c r="L989" s="169">
        <f>Imput[[#This Row],[Sub total]]+Imput[[#This Row],[IVA]]-Imput[[#This Row],[Retención / IEPS / Descuento]]</f>
        <v>78.995999999999995</v>
      </c>
      <c r="M989" s="844">
        <v>138.99599999999998</v>
      </c>
      <c r="N989" s="189" t="s">
        <v>123</v>
      </c>
      <c r="O989" s="1"/>
      <c r="P989" s="189" t="s">
        <v>3423</v>
      </c>
      <c r="Q989" s="190" t="s">
        <v>3424</v>
      </c>
      <c r="R989" s="188">
        <v>45912</v>
      </c>
      <c r="S989" s="193" t="s">
        <v>294</v>
      </c>
      <c r="T989" s="192"/>
      <c r="U989" s="829"/>
      <c r="V989" s="10"/>
      <c r="W989" s="10"/>
      <c r="X989" s="10"/>
      <c r="Y989" s="10"/>
      <c r="Z989" s="10"/>
      <c r="AA989" s="11"/>
      <c r="AB989" s="11"/>
      <c r="AD989" s="260"/>
    </row>
    <row r="990" spans="2:30" x14ac:dyDescent="0.3">
      <c r="B990" s="10" t="s">
        <v>387</v>
      </c>
      <c r="C990" s="315"/>
      <c r="D990" s="868" t="s">
        <v>244</v>
      </c>
      <c r="E990" s="837" t="str">
        <f>IFERROR(IF(_xlfn.XLOOKUP(Imput[[#This Row],[RFC]],'Alta Proveedor'!D:D,'Alta Proveedor'!E:E)=0,"",_xlfn.XLOOKUP(Imput[[#This Row],[RFC]],'Alta Proveedor'!D:D,'Alta Proveedor'!E:E)),"")</f>
        <v>CADENA COMERCIAL OXXO</v>
      </c>
      <c r="F990" s="832" t="s">
        <v>3426</v>
      </c>
      <c r="G990" s="187">
        <v>1</v>
      </c>
      <c r="H990" s="1">
        <v>60</v>
      </c>
      <c r="I990" s="169">
        <f>Imput[[#This Row],[Cantidad]]*Imput[[#This Row],[Precio Unitario]]</f>
        <v>60</v>
      </c>
      <c r="J990" s="11">
        <v>0</v>
      </c>
      <c r="K990" s="11">
        <v>0</v>
      </c>
      <c r="L990" s="169">
        <f>Imput[[#This Row],[Sub total]]+Imput[[#This Row],[IVA]]-Imput[[#This Row],[Retención / IEPS / Descuento]]</f>
        <v>60</v>
      </c>
      <c r="M990" s="844">
        <v>0</v>
      </c>
      <c r="N990" s="189" t="s">
        <v>123</v>
      </c>
      <c r="O990" s="1"/>
      <c r="P990" s="189" t="s">
        <v>3423</v>
      </c>
      <c r="Q990" s="190" t="s">
        <v>3424</v>
      </c>
      <c r="R990" s="188">
        <v>45912</v>
      </c>
      <c r="S990" s="193" t="s">
        <v>294</v>
      </c>
      <c r="T990" s="192"/>
      <c r="U990" s="829"/>
      <c r="V990" s="10"/>
      <c r="W990" s="10"/>
      <c r="X990" s="10"/>
      <c r="Y990" s="10"/>
      <c r="Z990" s="10"/>
      <c r="AA990" s="11"/>
      <c r="AB990" s="11"/>
      <c r="AD990" s="260"/>
    </row>
    <row r="991" spans="2:30" x14ac:dyDescent="0.3">
      <c r="B991" s="10" t="s">
        <v>387</v>
      </c>
      <c r="C991" s="315" t="s">
        <v>1806</v>
      </c>
      <c r="D991" s="868" t="s">
        <v>1057</v>
      </c>
      <c r="E991" s="837" t="str">
        <f>IFERROR(IF(_xlfn.XLOOKUP(Imput[[#This Row],[RFC]],'Alta Proveedor'!D:D,'Alta Proveedor'!E:E)=0,"",_xlfn.XLOOKUP(Imput[[#This Row],[RFC]],'Alta Proveedor'!D:D,'Alta Proveedor'!E:E)),"")</f>
        <v>CAFE SIRENA "STARBUCKS"</v>
      </c>
      <c r="F991" s="832" t="s">
        <v>3548</v>
      </c>
      <c r="G991" s="187">
        <v>1</v>
      </c>
      <c r="H991" s="1">
        <v>113</v>
      </c>
      <c r="I991" s="169">
        <f>Imput[[#This Row],[Cantidad]]*Imput[[#This Row],[Precio Unitario]]</f>
        <v>113</v>
      </c>
      <c r="J991" s="11">
        <v>0</v>
      </c>
      <c r="K991" s="11">
        <v>0</v>
      </c>
      <c r="L991" s="169">
        <f>Imput[[#This Row],[Sub total]]+Imput[[#This Row],[IVA]]-Imput[[#This Row],[Retención / IEPS / Descuento]]</f>
        <v>113</v>
      </c>
      <c r="M991" s="844">
        <v>364.00080000000003</v>
      </c>
      <c r="N991" s="189" t="s">
        <v>123</v>
      </c>
      <c r="O991" s="1"/>
      <c r="P991" s="189" t="s">
        <v>3427</v>
      </c>
      <c r="Q991" s="190" t="s">
        <v>3428</v>
      </c>
      <c r="R991" s="188">
        <v>45914</v>
      </c>
      <c r="S991" s="193" t="s">
        <v>126</v>
      </c>
      <c r="T991" s="192"/>
      <c r="U991" s="829"/>
      <c r="V991" s="10"/>
      <c r="W991" s="10"/>
      <c r="X991" s="10"/>
      <c r="Y991" s="10"/>
      <c r="Z991" s="10"/>
      <c r="AA991" s="11"/>
      <c r="AB991" s="11"/>
      <c r="AD991" s="260"/>
    </row>
    <row r="992" spans="2:30" x14ac:dyDescent="0.3">
      <c r="B992" s="10" t="s">
        <v>387</v>
      </c>
      <c r="C992" s="315" t="s">
        <v>1806</v>
      </c>
      <c r="D992" s="868" t="s">
        <v>1057</v>
      </c>
      <c r="E992" s="837" t="str">
        <f>IFERROR(IF(_xlfn.XLOOKUP(Imput[[#This Row],[RFC]],'Alta Proveedor'!D:D,'Alta Proveedor'!E:E)=0,"",_xlfn.XLOOKUP(Imput[[#This Row],[RFC]],'Alta Proveedor'!D:D,'Alta Proveedor'!E:E)),"")</f>
        <v>CAFE SIRENA "STARBUCKS"</v>
      </c>
      <c r="F992" s="832" t="s">
        <v>3549</v>
      </c>
      <c r="G992" s="187">
        <v>1</v>
      </c>
      <c r="H992" s="1">
        <v>216.38</v>
      </c>
      <c r="I992" s="169">
        <f>Imput[[#This Row],[Cantidad]]*Imput[[#This Row],[Precio Unitario]]</f>
        <v>216.38</v>
      </c>
      <c r="J992" s="11">
        <f>((Imput[[#This Row],[Sub total]])*(0.16))</f>
        <v>34.620800000000003</v>
      </c>
      <c r="K992" s="11">
        <v>0</v>
      </c>
      <c r="L992" s="169">
        <f>Imput[[#This Row],[Sub total]]+Imput[[#This Row],[IVA]]-Imput[[#This Row],[Retención / IEPS / Descuento]]</f>
        <v>251.0008</v>
      </c>
      <c r="M992" s="844">
        <v>0</v>
      </c>
      <c r="N992" s="189" t="s">
        <v>123</v>
      </c>
      <c r="O992" s="1"/>
      <c r="P992" s="189" t="s">
        <v>3427</v>
      </c>
      <c r="Q992" s="190" t="s">
        <v>3428</v>
      </c>
      <c r="R992" s="188">
        <v>45914</v>
      </c>
      <c r="S992" s="193" t="s">
        <v>126</v>
      </c>
      <c r="T992" s="192"/>
      <c r="U992" s="829"/>
      <c r="V992" s="10"/>
      <c r="W992" s="10"/>
      <c r="X992" s="10"/>
      <c r="Y992" s="10"/>
      <c r="Z992" s="10"/>
      <c r="AA992" s="11"/>
      <c r="AB992" s="11"/>
      <c r="AD992" s="260"/>
    </row>
    <row r="993" spans="2:30" x14ac:dyDescent="0.3">
      <c r="B993" s="10" t="s">
        <v>387</v>
      </c>
      <c r="C993" s="315"/>
      <c r="D993" s="868" t="s">
        <v>3431</v>
      </c>
      <c r="E993" s="837" t="str">
        <f>IFERROR(IF(_xlfn.XLOOKUP(Imput[[#This Row],[RFC]],'Alta Proveedor'!D:D,'Alta Proveedor'!E:E)=0,"",_xlfn.XLOOKUP(Imput[[#This Row],[RFC]],'Alta Proveedor'!D:D,'Alta Proveedor'!E:E)),"")</f>
        <v>CHUBB FIANZAS MONTERREY, ASEGURADORA DE CAUCION</v>
      </c>
      <c r="F993" s="832" t="s">
        <v>3433</v>
      </c>
      <c r="G993" s="187">
        <v>1</v>
      </c>
      <c r="H993" s="1">
        <v>2660</v>
      </c>
      <c r="I993" s="169">
        <f>Imput[[#This Row],[Cantidad]]*Imput[[#This Row],[Precio Unitario]]</f>
        <v>2660</v>
      </c>
      <c r="J993" s="11">
        <f>((Imput[[#This Row],[Sub total]])*(0.16))</f>
        <v>425.6</v>
      </c>
      <c r="K993" s="11">
        <v>0</v>
      </c>
      <c r="L993" s="169">
        <f>Imput[[#This Row],[Sub total]]+Imput[[#This Row],[IVA]]-Imput[[#This Row],[Retención / IEPS / Descuento]]</f>
        <v>3085.6</v>
      </c>
      <c r="M993" s="844">
        <v>6279.1959999999999</v>
      </c>
      <c r="N993" s="189" t="s">
        <v>123</v>
      </c>
      <c r="O993" s="1"/>
      <c r="P993" s="189" t="s">
        <v>3429</v>
      </c>
      <c r="Q993" s="190" t="s">
        <v>3430</v>
      </c>
      <c r="R993" s="188">
        <v>45912</v>
      </c>
      <c r="S993" s="193" t="s">
        <v>215</v>
      </c>
      <c r="T993" s="192">
        <v>45912</v>
      </c>
      <c r="U993" s="829"/>
      <c r="V993" s="10"/>
      <c r="W993" s="10"/>
      <c r="X993" s="10"/>
      <c r="Y993" s="10"/>
      <c r="Z993" s="10"/>
      <c r="AA993" s="11"/>
      <c r="AB993" s="11"/>
      <c r="AD993" s="260"/>
    </row>
    <row r="994" spans="2:30" x14ac:dyDescent="0.3">
      <c r="B994" s="10" t="s">
        <v>387</v>
      </c>
      <c r="C994" s="315"/>
      <c r="D994" s="868" t="s">
        <v>3431</v>
      </c>
      <c r="E994" s="837" t="str">
        <f>IFERROR(IF(_xlfn.XLOOKUP(Imput[[#This Row],[RFC]],'Alta Proveedor'!D:D,'Alta Proveedor'!E:E)=0,"",_xlfn.XLOOKUP(Imput[[#This Row],[RFC]],'Alta Proveedor'!D:D,'Alta Proveedor'!E:E)),"")</f>
        <v>CHUBB FIANZAS MONTERREY, ASEGURADORA DE CAUCION</v>
      </c>
      <c r="F994" s="832" t="s">
        <v>3434</v>
      </c>
      <c r="G994" s="187">
        <v>1</v>
      </c>
      <c r="H994" s="1">
        <v>2660</v>
      </c>
      <c r="I994" s="169">
        <f>Imput[[#This Row],[Cantidad]]*Imput[[#This Row],[Precio Unitario]]</f>
        <v>2660</v>
      </c>
      <c r="J994" s="11">
        <f>((Imput[[#This Row],[Sub total]])*(0.16))</f>
        <v>425.6</v>
      </c>
      <c r="K994" s="11">
        <v>0</v>
      </c>
      <c r="L994" s="169">
        <f>Imput[[#This Row],[Sub total]]+Imput[[#This Row],[IVA]]-Imput[[#This Row],[Retención / IEPS / Descuento]]</f>
        <v>3085.6</v>
      </c>
      <c r="M994" s="844">
        <v>0</v>
      </c>
      <c r="N994" s="189" t="s">
        <v>123</v>
      </c>
      <c r="O994" s="1"/>
      <c r="P994" s="189" t="s">
        <v>3429</v>
      </c>
      <c r="Q994" s="190" t="s">
        <v>3430</v>
      </c>
      <c r="R994" s="188">
        <v>45912</v>
      </c>
      <c r="S994" s="193" t="s">
        <v>215</v>
      </c>
      <c r="T994" s="192"/>
      <c r="U994" s="829"/>
      <c r="V994" s="10"/>
      <c r="W994" s="10"/>
      <c r="X994" s="10"/>
      <c r="Y994" s="10"/>
      <c r="Z994" s="10"/>
      <c r="AA994" s="11"/>
      <c r="AB994" s="11"/>
      <c r="AD994" s="260"/>
    </row>
    <row r="995" spans="2:30" x14ac:dyDescent="0.3">
      <c r="B995" s="10" t="s">
        <v>387</v>
      </c>
      <c r="C995" s="315"/>
      <c r="D995" s="868" t="s">
        <v>3431</v>
      </c>
      <c r="E995" s="837" t="str">
        <f>IFERROR(IF(_xlfn.XLOOKUP(Imput[[#This Row],[RFC]],'Alta Proveedor'!D:D,'Alta Proveedor'!E:E)=0,"",_xlfn.XLOOKUP(Imput[[#This Row],[RFC]],'Alta Proveedor'!D:D,'Alta Proveedor'!E:E)),"")</f>
        <v>CHUBB FIANZAS MONTERREY, ASEGURADORA DE CAUCION</v>
      </c>
      <c r="F995" s="832" t="s">
        <v>3435</v>
      </c>
      <c r="G995" s="187">
        <v>1</v>
      </c>
      <c r="H995" s="1">
        <v>93.1</v>
      </c>
      <c r="I995" s="169">
        <f>Imput[[#This Row],[Cantidad]]*Imput[[#This Row],[Precio Unitario]]</f>
        <v>93.1</v>
      </c>
      <c r="J995" s="11">
        <f>((Imput[[#This Row],[Sub total]])*(0.16))</f>
        <v>14.895999999999999</v>
      </c>
      <c r="K995" s="11">
        <v>0</v>
      </c>
      <c r="L995" s="169">
        <f>Imput[[#This Row],[Sub total]]+Imput[[#This Row],[IVA]]-Imput[[#This Row],[Retención / IEPS / Descuento]]</f>
        <v>107.996</v>
      </c>
      <c r="M995" s="844">
        <v>0</v>
      </c>
      <c r="N995" s="189" t="s">
        <v>123</v>
      </c>
      <c r="O995" s="1"/>
      <c r="P995" s="189" t="s">
        <v>3429</v>
      </c>
      <c r="Q995" s="190" t="s">
        <v>3430</v>
      </c>
      <c r="R995" s="188">
        <v>45912</v>
      </c>
      <c r="S995" s="193" t="s">
        <v>215</v>
      </c>
      <c r="T995" s="192"/>
      <c r="U995" s="829"/>
      <c r="V995" s="10"/>
      <c r="W995" s="10"/>
      <c r="X995" s="10"/>
      <c r="Y995" s="10"/>
      <c r="Z995" s="10"/>
      <c r="AA995" s="11"/>
      <c r="AB995" s="11"/>
      <c r="AD995" s="260"/>
    </row>
    <row r="996" spans="2:30" x14ac:dyDescent="0.3">
      <c r="B996" s="10" t="s">
        <v>387</v>
      </c>
      <c r="C996" s="315" t="s">
        <v>1767</v>
      </c>
      <c r="D996" s="868" t="s">
        <v>3438</v>
      </c>
      <c r="E996" s="837" t="str">
        <f>IFERROR(IF(_xlfn.XLOOKUP(Imput[[#This Row],[RFC]],'Alta Proveedor'!D:D,'Alta Proveedor'!E:E)=0,"",_xlfn.XLOOKUP(Imput[[#This Row],[RFC]],'Alta Proveedor'!D:D,'Alta Proveedor'!E:E)),"")</f>
        <v>GASOLINERA ARCE "MOBIL" (COMBUSTIBLES)</v>
      </c>
      <c r="F996" s="832" t="s">
        <v>1114</v>
      </c>
      <c r="G996" s="187">
        <v>55.542000000000002</v>
      </c>
      <c r="H996" s="1">
        <f>22.9876489863527</f>
        <v>22.987648986352699</v>
      </c>
      <c r="I996" s="169">
        <f>Imput[[#This Row],[Cantidad]]*Imput[[#This Row],[Precio Unitario]]</f>
        <v>1276.7800000000016</v>
      </c>
      <c r="J996" s="11">
        <v>200.08</v>
      </c>
      <c r="K996" s="11">
        <v>0</v>
      </c>
      <c r="L996" s="169">
        <f>Imput[[#This Row],[Sub total]]+Imput[[#This Row],[IVA]]-Imput[[#This Row],[Retención / IEPS / Descuento]]</f>
        <v>1476.8600000000015</v>
      </c>
      <c r="M996" s="844">
        <v>1476.8600000000015</v>
      </c>
      <c r="N996" s="189" t="s">
        <v>123</v>
      </c>
      <c r="O996" s="1"/>
      <c r="P996" s="189" t="s">
        <v>3436</v>
      </c>
      <c r="Q996" s="190" t="s">
        <v>3437</v>
      </c>
      <c r="R996" s="188">
        <v>45912</v>
      </c>
      <c r="S996" s="193" t="s">
        <v>154</v>
      </c>
      <c r="T996" s="192"/>
      <c r="U996" s="829"/>
      <c r="V996" s="10"/>
      <c r="W996" s="10"/>
      <c r="X996" s="10"/>
      <c r="Y996" s="10"/>
      <c r="Z996" s="10"/>
      <c r="AA996" s="11"/>
      <c r="AB996" s="11"/>
      <c r="AD996" s="260"/>
    </row>
    <row r="997" spans="2:30" x14ac:dyDescent="0.3">
      <c r="B997" s="10" t="s">
        <v>387</v>
      </c>
      <c r="C997" s="315" t="s">
        <v>1767</v>
      </c>
      <c r="D997" s="868" t="s">
        <v>3442</v>
      </c>
      <c r="E997" s="837" t="str">
        <f>IFERROR(IF(_xlfn.XLOOKUP(Imput[[#This Row],[RFC]],'Alta Proveedor'!D:D,'Alta Proveedor'!E:E)=0,"",_xlfn.XLOOKUP(Imput[[#This Row],[RFC]],'Alta Proveedor'!D:D,'Alta Proveedor'!E:E)),"")</f>
        <v>GASOLINERA 8 BOULEVARD (COMBUSTIBLES)</v>
      </c>
      <c r="F997" s="832" t="s">
        <v>237</v>
      </c>
      <c r="G997" s="187">
        <v>126.857024</v>
      </c>
      <c r="H997" s="1">
        <f>20.7595915225002</f>
        <v>20.759591522500202</v>
      </c>
      <c r="I997" s="169">
        <f>Imput[[#This Row],[Cantidad]]*Imput[[#This Row],[Precio Unitario]]</f>
        <v>2633.5000000000045</v>
      </c>
      <c r="J997" s="11">
        <v>409.8</v>
      </c>
      <c r="K997" s="11">
        <v>0</v>
      </c>
      <c r="L997" s="169">
        <f>Imput[[#This Row],[Sub total]]+Imput[[#This Row],[IVA]]-Imput[[#This Row],[Retención / IEPS / Descuento]]</f>
        <v>3043.3000000000047</v>
      </c>
      <c r="M997" s="844">
        <v>3043.3000000000047</v>
      </c>
      <c r="N997" s="189" t="s">
        <v>123</v>
      </c>
      <c r="O997" s="1"/>
      <c r="P997" s="189" t="s">
        <v>3440</v>
      </c>
      <c r="Q997" s="190" t="s">
        <v>3441</v>
      </c>
      <c r="R997" s="188">
        <v>45915</v>
      </c>
      <c r="S997" s="193" t="s">
        <v>126</v>
      </c>
      <c r="T997" s="192"/>
      <c r="U997" s="829"/>
      <c r="V997" s="10"/>
      <c r="W997" s="10"/>
      <c r="X997" s="10"/>
      <c r="Y997" s="10"/>
      <c r="Z997" s="10"/>
      <c r="AA997" s="11"/>
      <c r="AB997" s="11"/>
      <c r="AD997" s="260"/>
    </row>
    <row r="998" spans="2:30" x14ac:dyDescent="0.3">
      <c r="B998" s="10" t="s">
        <v>387</v>
      </c>
      <c r="C998" s="315" t="s">
        <v>1767</v>
      </c>
      <c r="D998" s="868" t="s">
        <v>3442</v>
      </c>
      <c r="E998" s="837" t="str">
        <f>IFERROR(IF(_xlfn.XLOOKUP(Imput[[#This Row],[RFC]],'Alta Proveedor'!D:D,'Alta Proveedor'!E:E)=0,"",_xlfn.XLOOKUP(Imput[[#This Row],[RFC]],'Alta Proveedor'!D:D,'Alta Proveedor'!E:E)),"")</f>
        <v>GASOLINERA 8 BOULEVARD (COMBUSTIBLES)</v>
      </c>
      <c r="F998" s="832" t="s">
        <v>237</v>
      </c>
      <c r="G998" s="187">
        <v>8.6848690000000008</v>
      </c>
      <c r="H998" s="1">
        <f>20.759092624195</f>
        <v>20.759092624194999</v>
      </c>
      <c r="I998" s="169">
        <f>Imput[[#This Row],[Cantidad]]*Imput[[#This Row],[Precio Unitario]]</f>
        <v>180.28999999999982</v>
      </c>
      <c r="J998" s="11">
        <v>28.06</v>
      </c>
      <c r="K998" s="11">
        <v>0</v>
      </c>
      <c r="L998" s="169">
        <f>Imput[[#This Row],[Sub total]]+Imput[[#This Row],[IVA]]-Imput[[#This Row],[Retención / IEPS / Descuento]]</f>
        <v>208.34999999999982</v>
      </c>
      <c r="M998" s="844">
        <v>208.34999999999982</v>
      </c>
      <c r="N998" s="189" t="s">
        <v>123</v>
      </c>
      <c r="O998" s="1"/>
      <c r="P998" s="189" t="s">
        <v>3444</v>
      </c>
      <c r="Q998" s="190" t="s">
        <v>3445</v>
      </c>
      <c r="R998" s="188">
        <v>45915</v>
      </c>
      <c r="S998" s="193" t="s">
        <v>126</v>
      </c>
      <c r="T998" s="192"/>
      <c r="U998" s="829"/>
      <c r="V998" s="10"/>
      <c r="W998" s="10"/>
      <c r="X998" s="10"/>
      <c r="Y998" s="10"/>
      <c r="Z998" s="10"/>
      <c r="AA998" s="11"/>
      <c r="AB998" s="11"/>
      <c r="AD998" s="260"/>
    </row>
    <row r="999" spans="2:30" x14ac:dyDescent="0.3">
      <c r="B999" s="10" t="s">
        <v>387</v>
      </c>
      <c r="C999" s="315" t="s">
        <v>1849</v>
      </c>
      <c r="D999" s="868" t="s">
        <v>1394</v>
      </c>
      <c r="E999" s="837" t="str">
        <f>IFERROR(IF(_xlfn.XLOOKUP(Imput[[#This Row],[RFC]],'Alta Proveedor'!D:D,'Alta Proveedor'!E:E)=0,"",_xlfn.XLOOKUP(Imput[[#This Row],[RFC]],'Alta Proveedor'!D:D,'Alta Proveedor'!E:E)),"")</f>
        <v>DANIEL PEREZ SAN VICENTE NAVARRO</v>
      </c>
      <c r="F999" s="832" t="s">
        <v>3447</v>
      </c>
      <c r="G999" s="187">
        <v>1</v>
      </c>
      <c r="H999" s="1">
        <v>40000</v>
      </c>
      <c r="I999" s="169">
        <f>Imput[[#This Row],[Cantidad]]*Imput[[#This Row],[Precio Unitario]]</f>
        <v>40000</v>
      </c>
      <c r="J999" s="11">
        <f>((Imput[[#This Row],[Sub total]])*(0.16))-4266.68</f>
        <v>2133.3199999999997</v>
      </c>
      <c r="K999" s="11">
        <v>500</v>
      </c>
      <c r="L999" s="169">
        <f>Imput[[#This Row],[Sub total]]+Imput[[#This Row],[IVA]]-Imput[[#This Row],[Retención / IEPS / Descuento]]</f>
        <v>41633.32</v>
      </c>
      <c r="M999" s="844">
        <v>41633.32</v>
      </c>
      <c r="N999" s="189" t="s">
        <v>123</v>
      </c>
      <c r="O999" s="1"/>
      <c r="P999" s="189" t="s">
        <v>3446</v>
      </c>
      <c r="Q999" s="190" t="s">
        <v>408</v>
      </c>
      <c r="R999" s="188">
        <v>45909</v>
      </c>
      <c r="S999" s="193" t="s">
        <v>215</v>
      </c>
      <c r="T999" s="192"/>
      <c r="U999" s="829"/>
      <c r="V999" s="10"/>
      <c r="W999" s="10"/>
      <c r="X999" s="10"/>
      <c r="Y999" s="10"/>
      <c r="Z999" s="10"/>
      <c r="AA999" s="11"/>
      <c r="AB999" s="11"/>
      <c r="AD999" s="260"/>
    </row>
    <row r="1000" spans="2:30" x14ac:dyDescent="0.3">
      <c r="B1000" s="10" t="s">
        <v>387</v>
      </c>
      <c r="C1000" s="315" t="s">
        <v>1767</v>
      </c>
      <c r="D1000" s="868" t="s">
        <v>3450</v>
      </c>
      <c r="E1000" s="837" t="str">
        <f>IFERROR(IF(_xlfn.XLOOKUP(Imput[[#This Row],[RFC]],'Alta Proveedor'!D:D,'Alta Proveedor'!E:E)=0,"",_xlfn.XLOOKUP(Imput[[#This Row],[RFC]],'Alta Proveedor'!D:D,'Alta Proveedor'!E:E)),"")</f>
        <v>GASOLINERA ROTARIA "NOVA" (COMBUSTIBLES)</v>
      </c>
      <c r="F1000" s="832" t="s">
        <v>1114</v>
      </c>
      <c r="G1000" s="187">
        <v>67.55</v>
      </c>
      <c r="H1000" s="1">
        <f>23.3335307179867</f>
        <v>23.333530717986701</v>
      </c>
      <c r="I1000" s="169">
        <f>Imput[[#This Row],[Cantidad]]*Imput[[#This Row],[Precio Unitario]]</f>
        <v>1576.1800000000017</v>
      </c>
      <c r="J1000" s="11">
        <v>247.08</v>
      </c>
      <c r="K1000" s="11">
        <v>0</v>
      </c>
      <c r="L1000" s="169">
        <f>Imput[[#This Row],[Sub total]]+Imput[[#This Row],[IVA]]-Imput[[#This Row],[Retención / IEPS / Descuento]]</f>
        <v>1823.2600000000016</v>
      </c>
      <c r="M1000" s="844">
        <v>1823.2600000000016</v>
      </c>
      <c r="N1000" s="189" t="s">
        <v>123</v>
      </c>
      <c r="O1000" s="1"/>
      <c r="P1000" s="189" t="s">
        <v>3448</v>
      </c>
      <c r="Q1000" s="190" t="s">
        <v>3449</v>
      </c>
      <c r="R1000" s="188">
        <v>45913</v>
      </c>
      <c r="S1000" s="193" t="s">
        <v>126</v>
      </c>
      <c r="T1000" s="192"/>
      <c r="U1000" s="829"/>
      <c r="V1000" s="10"/>
      <c r="W1000" s="10"/>
      <c r="X1000" s="10"/>
      <c r="Y1000" s="10"/>
      <c r="Z1000" s="10"/>
      <c r="AA1000" s="11"/>
      <c r="AB1000" s="11"/>
      <c r="AD1000" s="260"/>
    </row>
    <row r="1001" spans="2:30" x14ac:dyDescent="0.3">
      <c r="B1001" s="10" t="s">
        <v>387</v>
      </c>
      <c r="C1001" s="315" t="s">
        <v>2903</v>
      </c>
      <c r="D1001" s="868" t="s">
        <v>164</v>
      </c>
      <c r="E1001" s="837" t="str">
        <f>IFERROR(IF(_xlfn.XLOOKUP(Imput[[#This Row],[RFC]],'Alta Proveedor'!D:D,'Alta Proveedor'!E:E)=0,"",_xlfn.XLOOKUP(Imput[[#This Row],[RFC]],'Alta Proveedor'!D:D,'Alta Proveedor'!E:E)),"")</f>
        <v>HOME DEPOT MEXICO SUCURSAL THD-8730 TAMPICO</v>
      </c>
      <c r="F1001" s="832" t="s">
        <v>285</v>
      </c>
      <c r="G1001" s="187">
        <v>10</v>
      </c>
      <c r="H1001" s="1">
        <f>571.03/10</f>
        <v>57.102999999999994</v>
      </c>
      <c r="I1001" s="169">
        <f>Imput[[#This Row],[Cantidad]]*Imput[[#This Row],[Precio Unitario]]</f>
        <v>571.03</v>
      </c>
      <c r="J1001" s="11">
        <f>((Imput[[#This Row],[Sub total]])*(0.16))</f>
        <v>91.364800000000002</v>
      </c>
      <c r="K1001" s="11">
        <v>0</v>
      </c>
      <c r="L1001" s="169">
        <f>Imput[[#This Row],[Sub total]]+Imput[[#This Row],[IVA]]-Imput[[#This Row],[Retención / IEPS / Descuento]]</f>
        <v>662.39480000000003</v>
      </c>
      <c r="M1001" s="844">
        <v>1109.424</v>
      </c>
      <c r="N1001" s="189" t="s">
        <v>123</v>
      </c>
      <c r="O1001" s="1"/>
      <c r="P1001" s="189" t="s">
        <v>3452</v>
      </c>
      <c r="Q1001" s="190" t="s">
        <v>3453</v>
      </c>
      <c r="R1001" s="188">
        <v>45911</v>
      </c>
      <c r="S1001" s="193" t="s">
        <v>126</v>
      </c>
      <c r="T1001" s="192"/>
      <c r="U1001" s="829"/>
      <c r="V1001" s="10"/>
      <c r="W1001" s="10"/>
      <c r="X1001" s="10"/>
      <c r="Y1001" s="10"/>
      <c r="Z1001" s="10"/>
      <c r="AA1001" s="11"/>
      <c r="AB1001" s="11"/>
      <c r="AD1001" s="260"/>
    </row>
    <row r="1002" spans="2:30" x14ac:dyDescent="0.3">
      <c r="B1002" s="10" t="s">
        <v>387</v>
      </c>
      <c r="C1002" s="315"/>
      <c r="D1002" s="868" t="s">
        <v>164</v>
      </c>
      <c r="E1002" s="837" t="str">
        <f>IFERROR(IF(_xlfn.XLOOKUP(Imput[[#This Row],[RFC]],'Alta Proveedor'!D:D,'Alta Proveedor'!E:E)=0,"",_xlfn.XLOOKUP(Imput[[#This Row],[RFC]],'Alta Proveedor'!D:D,'Alta Proveedor'!E:E)),"")</f>
        <v>HOME DEPOT MEXICO SUCURSAL THD-8730 TAMPICO</v>
      </c>
      <c r="F1002" s="832" t="s">
        <v>3454</v>
      </c>
      <c r="G1002" s="187">
        <v>1</v>
      </c>
      <c r="H1002" s="1">
        <f>206.07</f>
        <v>206.07</v>
      </c>
      <c r="I1002" s="169">
        <f>Imput[[#This Row],[Cantidad]]*Imput[[#This Row],[Precio Unitario]]</f>
        <v>206.07</v>
      </c>
      <c r="J1002" s="11">
        <f>((Imput[[#This Row],[Sub total]])*(0.16))</f>
        <v>32.971199999999996</v>
      </c>
      <c r="K1002" s="11">
        <v>0</v>
      </c>
      <c r="L1002" s="169">
        <f>Imput[[#This Row],[Sub total]]+Imput[[#This Row],[IVA]]-Imput[[#This Row],[Retención / IEPS / Descuento]]</f>
        <v>239.0412</v>
      </c>
      <c r="M1002" s="844">
        <v>0</v>
      </c>
      <c r="N1002" s="189" t="s">
        <v>123</v>
      </c>
      <c r="O1002" s="1"/>
      <c r="P1002" s="189" t="s">
        <v>3452</v>
      </c>
      <c r="Q1002" s="190" t="s">
        <v>3453</v>
      </c>
      <c r="R1002" s="188">
        <v>45911</v>
      </c>
      <c r="S1002" s="193" t="s">
        <v>126</v>
      </c>
      <c r="T1002" s="192"/>
      <c r="U1002" s="829"/>
      <c r="V1002" s="10"/>
      <c r="W1002" s="10"/>
      <c r="X1002" s="10"/>
      <c r="Y1002" s="10"/>
      <c r="Z1002" s="10"/>
      <c r="AA1002" s="11"/>
      <c r="AB1002" s="11"/>
      <c r="AD1002" s="260"/>
    </row>
    <row r="1003" spans="2:30" x14ac:dyDescent="0.3">
      <c r="B1003" s="10" t="s">
        <v>387</v>
      </c>
      <c r="C1003" s="315"/>
      <c r="D1003" s="868" t="s">
        <v>164</v>
      </c>
      <c r="E1003" s="837" t="str">
        <f>IFERROR(IF(_xlfn.XLOOKUP(Imput[[#This Row],[RFC]],'Alta Proveedor'!D:D,'Alta Proveedor'!E:E)=0,"",_xlfn.XLOOKUP(Imput[[#This Row],[RFC]],'Alta Proveedor'!D:D,'Alta Proveedor'!E:E)),"")</f>
        <v>HOME DEPOT MEXICO SUCURSAL THD-8730 TAMPICO</v>
      </c>
      <c r="F1003" s="832" t="s">
        <v>3455</v>
      </c>
      <c r="G1003" s="187">
        <v>1</v>
      </c>
      <c r="H1003" s="1">
        <v>139.63999999999999</v>
      </c>
      <c r="I1003" s="169">
        <f>Imput[[#This Row],[Cantidad]]*Imput[[#This Row],[Precio Unitario]]</f>
        <v>139.63999999999999</v>
      </c>
      <c r="J1003" s="11">
        <f>((Imput[[#This Row],[Sub total]])*(0.16))</f>
        <v>22.342399999999998</v>
      </c>
      <c r="K1003" s="11">
        <v>0</v>
      </c>
      <c r="L1003" s="169">
        <f>Imput[[#This Row],[Sub total]]+Imput[[#This Row],[IVA]]-Imput[[#This Row],[Retención / IEPS / Descuento]]</f>
        <v>161.98239999999998</v>
      </c>
      <c r="M1003" s="844">
        <v>0</v>
      </c>
      <c r="N1003" s="189" t="s">
        <v>123</v>
      </c>
      <c r="O1003" s="1"/>
      <c r="P1003" s="189" t="s">
        <v>3452</v>
      </c>
      <c r="Q1003" s="190" t="s">
        <v>3453</v>
      </c>
      <c r="R1003" s="188">
        <v>45911</v>
      </c>
      <c r="S1003" s="193" t="s">
        <v>126</v>
      </c>
      <c r="T1003" s="192"/>
      <c r="U1003" s="829"/>
      <c r="V1003" s="10"/>
      <c r="W1003" s="10"/>
      <c r="X1003" s="10"/>
      <c r="Y1003" s="10"/>
      <c r="Z1003" s="10"/>
      <c r="AA1003" s="11"/>
      <c r="AB1003" s="11"/>
      <c r="AD1003" s="260"/>
    </row>
    <row r="1004" spans="2:30" x14ac:dyDescent="0.3">
      <c r="B1004" s="10" t="s">
        <v>387</v>
      </c>
      <c r="C1004" s="315"/>
      <c r="D1004" s="868" t="s">
        <v>164</v>
      </c>
      <c r="E1004" s="837" t="str">
        <f>IFERROR(IF(_xlfn.XLOOKUP(Imput[[#This Row],[RFC]],'Alta Proveedor'!D:D,'Alta Proveedor'!E:E)=0,"",_xlfn.XLOOKUP(Imput[[#This Row],[RFC]],'Alta Proveedor'!D:D,'Alta Proveedor'!E:E)),"")</f>
        <v>HOME DEPOT MEXICO SUCURSAL THD-8730 TAMPICO</v>
      </c>
      <c r="F1004" s="832" t="s">
        <v>3456</v>
      </c>
      <c r="G1004" s="187">
        <v>1</v>
      </c>
      <c r="H1004" s="1">
        <v>66.38</v>
      </c>
      <c r="I1004" s="169">
        <f>Imput[[#This Row],[Cantidad]]*Imput[[#This Row],[Precio Unitario]]</f>
        <v>66.38</v>
      </c>
      <c r="J1004" s="11">
        <f>((Imput[[#This Row],[Sub total]]-26.72)*(0.16))</f>
        <v>6.3455999999999992</v>
      </c>
      <c r="K1004" s="11">
        <v>26.72</v>
      </c>
      <c r="L1004" s="169">
        <f>Imput[[#This Row],[Sub total]]+Imput[[#This Row],[IVA]]-Imput[[#This Row],[Retención / IEPS / Descuento]]</f>
        <v>46.005600000000001</v>
      </c>
      <c r="M1004" s="844">
        <v>0</v>
      </c>
      <c r="N1004" s="189" t="s">
        <v>123</v>
      </c>
      <c r="O1004" s="1"/>
      <c r="P1004" s="189" t="s">
        <v>3452</v>
      </c>
      <c r="Q1004" s="190" t="s">
        <v>3453</v>
      </c>
      <c r="R1004" s="188">
        <v>45911</v>
      </c>
      <c r="S1004" s="193" t="s">
        <v>126</v>
      </c>
      <c r="T1004" s="192"/>
      <c r="U1004" s="829"/>
      <c r="V1004" s="10"/>
      <c r="W1004" s="10"/>
      <c r="X1004" s="10"/>
      <c r="Y1004" s="10"/>
      <c r="Z1004" s="10"/>
      <c r="AA1004" s="11"/>
      <c r="AB1004" s="11"/>
      <c r="AD1004" s="260"/>
    </row>
    <row r="1005" spans="2:30" x14ac:dyDescent="0.3">
      <c r="B1005" s="10" t="s">
        <v>387</v>
      </c>
      <c r="C1005" s="315"/>
      <c r="D1005" s="868" t="s">
        <v>164</v>
      </c>
      <c r="E1005" s="837" t="str">
        <f>IFERROR(IF(_xlfn.XLOOKUP(Imput[[#This Row],[RFC]],'Alta Proveedor'!D:D,'Alta Proveedor'!E:E)=0,"",_xlfn.XLOOKUP(Imput[[#This Row],[RFC]],'Alta Proveedor'!D:D,'Alta Proveedor'!E:E)),"")</f>
        <v>HOME DEPOT MEXICO SUCURSAL THD-8730 TAMPICO</v>
      </c>
      <c r="F1005" s="832" t="s">
        <v>3459</v>
      </c>
      <c r="G1005" s="187">
        <v>1</v>
      </c>
      <c r="H1005" s="1">
        <v>88.36</v>
      </c>
      <c r="I1005" s="169">
        <f>Imput[[#This Row],[Cantidad]]*Imput[[#This Row],[Precio Unitario]]</f>
        <v>88.36</v>
      </c>
      <c r="J1005" s="11">
        <f>((Imput[[#This Row],[Sub total]])*(0.16))</f>
        <v>14.137600000000001</v>
      </c>
      <c r="K1005" s="11">
        <v>0</v>
      </c>
      <c r="L1005" s="169">
        <f>Imput[[#This Row],[Sub total]]+Imput[[#This Row],[IVA]]-Imput[[#This Row],[Retención / IEPS / Descuento]]</f>
        <v>102.49760000000001</v>
      </c>
      <c r="M1005" s="844">
        <v>102.49760000000001</v>
      </c>
      <c r="N1005" s="189" t="s">
        <v>123</v>
      </c>
      <c r="O1005" s="1"/>
      <c r="P1005" s="189" t="s">
        <v>3457</v>
      </c>
      <c r="Q1005" s="190" t="s">
        <v>3458</v>
      </c>
      <c r="R1005" s="188">
        <v>45911</v>
      </c>
      <c r="S1005" s="193" t="s">
        <v>126</v>
      </c>
      <c r="T1005" s="192"/>
      <c r="U1005" s="829"/>
      <c r="V1005" s="10"/>
      <c r="W1005" s="10"/>
      <c r="X1005" s="10"/>
      <c r="Y1005" s="10"/>
      <c r="Z1005" s="10"/>
      <c r="AA1005" s="11"/>
      <c r="AB1005" s="11"/>
      <c r="AD1005" s="260"/>
    </row>
    <row r="1006" spans="2:30" x14ac:dyDescent="0.3">
      <c r="B1006" s="10" t="s">
        <v>387</v>
      </c>
      <c r="C1006" s="315"/>
      <c r="D1006" s="868" t="s">
        <v>164</v>
      </c>
      <c r="E1006" s="837" t="str">
        <f>IFERROR(IF(_xlfn.XLOOKUP(Imput[[#This Row],[RFC]],'Alta Proveedor'!D:D,'Alta Proveedor'!E:E)=0,"",_xlfn.XLOOKUP(Imput[[#This Row],[RFC]],'Alta Proveedor'!D:D,'Alta Proveedor'!E:E)),"")</f>
        <v>HOME DEPOT MEXICO SUCURSAL THD-8730 TAMPICO</v>
      </c>
      <c r="F1006" s="832" t="s">
        <v>3462</v>
      </c>
      <c r="G1006" s="187">
        <v>5</v>
      </c>
      <c r="H1006" s="1">
        <f>1030.34/5</f>
        <v>206.06799999999998</v>
      </c>
      <c r="I1006" s="169">
        <f>Imput[[#This Row],[Cantidad]]*Imput[[#This Row],[Precio Unitario]]</f>
        <v>1030.3399999999999</v>
      </c>
      <c r="J1006" s="11">
        <f>((Imput[[#This Row],[Sub total]])*(0.16))</f>
        <v>164.8544</v>
      </c>
      <c r="K1006" s="11">
        <v>0</v>
      </c>
      <c r="L1006" s="169">
        <f>Imput[[#This Row],[Sub total]]+Imput[[#This Row],[IVA]]-Imput[[#This Row],[Retención / IEPS / Descuento]]</f>
        <v>1195.1943999999999</v>
      </c>
      <c r="M1006" s="844">
        <v>2010.2336</v>
      </c>
      <c r="N1006" s="189" t="s">
        <v>123</v>
      </c>
      <c r="O1006" s="1"/>
      <c r="P1006" s="189" t="s">
        <v>3460</v>
      </c>
      <c r="Q1006" s="190" t="s">
        <v>3461</v>
      </c>
      <c r="R1006" s="188">
        <v>45912</v>
      </c>
      <c r="S1006" s="193" t="s">
        <v>126</v>
      </c>
      <c r="T1006" s="192"/>
      <c r="U1006" s="829"/>
      <c r="V1006" s="10"/>
      <c r="W1006" s="10"/>
      <c r="X1006" s="10"/>
      <c r="Y1006" s="10"/>
      <c r="Z1006" s="10"/>
      <c r="AA1006" s="11"/>
      <c r="AB1006" s="11"/>
      <c r="AD1006" s="260"/>
    </row>
    <row r="1007" spans="2:30" x14ac:dyDescent="0.3">
      <c r="B1007" s="10" t="s">
        <v>387</v>
      </c>
      <c r="C1007" s="315"/>
      <c r="D1007" s="868" t="s">
        <v>164</v>
      </c>
      <c r="E1007" s="837" t="str">
        <f>IFERROR(IF(_xlfn.XLOOKUP(Imput[[#This Row],[RFC]],'Alta Proveedor'!D:D,'Alta Proveedor'!E:E)=0,"",_xlfn.XLOOKUP(Imput[[#This Row],[RFC]],'Alta Proveedor'!D:D,'Alta Proveedor'!E:E)),"")</f>
        <v>HOME DEPOT MEXICO SUCURSAL THD-8730 TAMPICO</v>
      </c>
      <c r="F1007" s="832" t="s">
        <v>3463</v>
      </c>
      <c r="G1007" s="187">
        <v>1</v>
      </c>
      <c r="H1007" s="1">
        <v>702.62</v>
      </c>
      <c r="I1007" s="169">
        <f>Imput[[#This Row],[Cantidad]]*Imput[[#This Row],[Precio Unitario]]</f>
        <v>702.62</v>
      </c>
      <c r="J1007" s="11">
        <f>((Imput[[#This Row],[Sub total]])*(0.16))</f>
        <v>112.4192</v>
      </c>
      <c r="K1007" s="11">
        <v>0</v>
      </c>
      <c r="L1007" s="169">
        <f>Imput[[#This Row],[Sub total]]+Imput[[#This Row],[IVA]]-Imput[[#This Row],[Retención / IEPS / Descuento]]</f>
        <v>815.03920000000005</v>
      </c>
      <c r="M1007" s="844">
        <v>0</v>
      </c>
      <c r="N1007" s="189" t="s">
        <v>123</v>
      </c>
      <c r="O1007" s="1"/>
      <c r="P1007" s="189" t="s">
        <v>3460</v>
      </c>
      <c r="Q1007" s="190" t="s">
        <v>3461</v>
      </c>
      <c r="R1007" s="188">
        <v>45912</v>
      </c>
      <c r="S1007" s="193" t="s">
        <v>126</v>
      </c>
      <c r="T1007" s="192"/>
      <c r="U1007" s="829"/>
      <c r="V1007" s="10"/>
      <c r="W1007" s="10"/>
      <c r="X1007" s="10"/>
      <c r="Y1007" s="10"/>
      <c r="Z1007" s="10"/>
      <c r="AA1007" s="11"/>
      <c r="AB1007" s="11"/>
      <c r="AD1007" s="260"/>
    </row>
    <row r="1008" spans="2:30" x14ac:dyDescent="0.3">
      <c r="B1008" s="10" t="s">
        <v>387</v>
      </c>
      <c r="C1008" s="315" t="s">
        <v>1770</v>
      </c>
      <c r="D1008" s="868" t="s">
        <v>3466</v>
      </c>
      <c r="E1008" s="837" t="str">
        <f>IFERROR(IF(_xlfn.XLOOKUP(Imput[[#This Row],[RFC]],'Alta Proveedor'!D:D,'Alta Proveedor'!E:E)=0,"",_xlfn.XLOOKUP(Imput[[#This Row],[RFC]],'Alta Proveedor'!D:D,'Alta Proveedor'!E:E)),"")</f>
        <v>OFFICE DEPOT DE MEXICO</v>
      </c>
      <c r="F1008" s="832" t="s">
        <v>3523</v>
      </c>
      <c r="G1008" s="187">
        <v>1</v>
      </c>
      <c r="H1008" s="1">
        <v>17.241399999999999</v>
      </c>
      <c r="I1008" s="169">
        <f>Imput[[#This Row],[Cantidad]]*Imput[[#This Row],[Precio Unitario]]</f>
        <v>17.241399999999999</v>
      </c>
      <c r="J1008" s="11">
        <f>((Imput[[#This Row],[Sub total]])*(0.16))</f>
        <v>2.7586239999999997</v>
      </c>
      <c r="K1008" s="11">
        <v>0</v>
      </c>
      <c r="L1008" s="169">
        <f>Imput[[#This Row],[Sub total]]+Imput[[#This Row],[IVA]]-Imput[[#This Row],[Retención / IEPS / Descuento]]</f>
        <v>20.000024</v>
      </c>
      <c r="M1008" s="844">
        <v>69.000047999999992</v>
      </c>
      <c r="N1008" s="189" t="s">
        <v>123</v>
      </c>
      <c r="O1008" s="1"/>
      <c r="P1008" s="189" t="s">
        <v>3464</v>
      </c>
      <c r="Q1008" s="190" t="s">
        <v>3465</v>
      </c>
      <c r="R1008" s="188">
        <v>45911</v>
      </c>
      <c r="S1008" s="193" t="s">
        <v>126</v>
      </c>
      <c r="T1008" s="192"/>
      <c r="U1008" s="829"/>
      <c r="V1008" s="10"/>
      <c r="W1008" s="10"/>
      <c r="X1008" s="10"/>
      <c r="Y1008" s="10"/>
      <c r="Z1008" s="10"/>
      <c r="AA1008" s="11"/>
      <c r="AB1008" s="11"/>
      <c r="AD1008" s="260"/>
    </row>
    <row r="1009" spans="2:30" x14ac:dyDescent="0.3">
      <c r="B1009" s="10" t="s">
        <v>387</v>
      </c>
      <c r="C1009" s="315" t="s">
        <v>1770</v>
      </c>
      <c r="D1009" s="868" t="s">
        <v>3466</v>
      </c>
      <c r="E1009" s="837" t="str">
        <f>IFERROR(IF(_xlfn.XLOOKUP(Imput[[#This Row],[RFC]],'Alta Proveedor'!D:D,'Alta Proveedor'!E:E)=0,"",_xlfn.XLOOKUP(Imput[[#This Row],[RFC]],'Alta Proveedor'!D:D,'Alta Proveedor'!E:E)),"")</f>
        <v>OFFICE DEPOT DE MEXICO</v>
      </c>
      <c r="F1009" s="832" t="s">
        <v>3524</v>
      </c>
      <c r="G1009" s="187">
        <v>1</v>
      </c>
      <c r="H1009" s="1">
        <v>42.241399999999999</v>
      </c>
      <c r="I1009" s="169">
        <f>Imput[[#This Row],[Cantidad]]*Imput[[#This Row],[Precio Unitario]]</f>
        <v>42.241399999999999</v>
      </c>
      <c r="J1009" s="11">
        <f>((Imput[[#This Row],[Sub total]])*(0.16))</f>
        <v>6.7586240000000002</v>
      </c>
      <c r="K1009" s="11">
        <v>0</v>
      </c>
      <c r="L1009" s="169">
        <f>Imput[[#This Row],[Sub total]]+Imput[[#This Row],[IVA]]-Imput[[#This Row],[Retención / IEPS / Descuento]]</f>
        <v>49.000023999999996</v>
      </c>
      <c r="M1009" s="844">
        <v>0</v>
      </c>
      <c r="N1009" s="189" t="s">
        <v>123</v>
      </c>
      <c r="O1009" s="1"/>
      <c r="P1009" s="189" t="s">
        <v>3464</v>
      </c>
      <c r="Q1009" s="190" t="s">
        <v>3465</v>
      </c>
      <c r="R1009" s="188">
        <v>45911</v>
      </c>
      <c r="S1009" s="193" t="s">
        <v>126</v>
      </c>
      <c r="T1009" s="192"/>
      <c r="U1009" s="829"/>
      <c r="V1009" s="10"/>
      <c r="W1009" s="10"/>
      <c r="X1009" s="10"/>
      <c r="Y1009" s="10"/>
      <c r="Z1009" s="10"/>
      <c r="AA1009" s="11"/>
      <c r="AB1009" s="11"/>
      <c r="AD1009" s="260"/>
    </row>
    <row r="1010" spans="2:30" x14ac:dyDescent="0.3">
      <c r="B1010" s="10" t="s">
        <v>387</v>
      </c>
      <c r="C1010" s="315" t="s">
        <v>1810</v>
      </c>
      <c r="D1010" s="868" t="s">
        <v>1953</v>
      </c>
      <c r="E1010" s="837" t="str">
        <f>IFERROR(IF(_xlfn.XLOOKUP(Imput[[#This Row],[RFC]],'Alta Proveedor'!D:D,'Alta Proveedor'!E:E)=0,"",_xlfn.XLOOKUP(Imput[[#This Row],[RFC]],'Alta Proveedor'!D:D,'Alta Proveedor'!E:E)),"")</f>
        <v>OMNIBUS DE MEXICO FACTURA</v>
      </c>
      <c r="F1010" s="832" t="s">
        <v>3473</v>
      </c>
      <c r="G1010" s="187">
        <v>1</v>
      </c>
      <c r="H1010" s="1">
        <v>199.14</v>
      </c>
      <c r="I1010" s="169">
        <f>Imput[[#This Row],[Cantidad]]*Imput[[#This Row],[Precio Unitario]]</f>
        <v>199.14</v>
      </c>
      <c r="J1010" s="11">
        <f>((Imput[[#This Row],[Sub total]])*(0.16))</f>
        <v>31.862399999999997</v>
      </c>
      <c r="K1010" s="11">
        <v>0</v>
      </c>
      <c r="L1010" s="169">
        <f>Imput[[#This Row],[Sub total]]+Imput[[#This Row],[IVA]]-Imput[[#This Row],[Retención / IEPS / Descuento]]</f>
        <v>231.00239999999999</v>
      </c>
      <c r="M1010" s="844">
        <v>231.00239999999999</v>
      </c>
      <c r="N1010" s="189" t="s">
        <v>123</v>
      </c>
      <c r="O1010" s="1"/>
      <c r="P1010" s="189" t="s">
        <v>3468</v>
      </c>
      <c r="Q1010" s="190" t="s">
        <v>3469</v>
      </c>
      <c r="R1010" s="188">
        <v>45910</v>
      </c>
      <c r="S1010" s="193" t="s">
        <v>294</v>
      </c>
      <c r="T1010" s="192"/>
      <c r="U1010" s="829"/>
      <c r="V1010" s="10"/>
      <c r="W1010" s="10"/>
      <c r="X1010" s="10"/>
      <c r="Y1010" s="10"/>
      <c r="Z1010" s="10"/>
      <c r="AA1010" s="11"/>
      <c r="AB1010" s="11"/>
      <c r="AD1010" s="260"/>
    </row>
    <row r="1011" spans="2:30" x14ac:dyDescent="0.3">
      <c r="B1011" s="10" t="s">
        <v>387</v>
      </c>
      <c r="C1011" s="315" t="s">
        <v>1769</v>
      </c>
      <c r="D1011" s="868" t="s">
        <v>1953</v>
      </c>
      <c r="E1011" s="837" t="str">
        <f>IFERROR(IF(_xlfn.XLOOKUP(Imput[[#This Row],[RFC]],'Alta Proveedor'!D:D,'Alta Proveedor'!E:E)=0,"",_xlfn.XLOOKUP(Imput[[#This Row],[RFC]],'Alta Proveedor'!D:D,'Alta Proveedor'!E:E)),"")</f>
        <v>OMNIBUS DE MEXICO FACTURA</v>
      </c>
      <c r="F1011" s="832" t="s">
        <v>3472</v>
      </c>
      <c r="G1011" s="187">
        <v>1</v>
      </c>
      <c r="H1011" s="1">
        <v>914.65499999999997</v>
      </c>
      <c r="I1011" s="169">
        <f>Imput[[#This Row],[Cantidad]]*Imput[[#This Row],[Precio Unitario]]</f>
        <v>914.65499999999997</v>
      </c>
      <c r="J1011" s="11">
        <f>((Imput[[#This Row],[Sub total]])*(0.16))</f>
        <v>146.34479999999999</v>
      </c>
      <c r="K1011" s="11">
        <v>0</v>
      </c>
      <c r="L1011" s="169">
        <f>Imput[[#This Row],[Sub total]]+Imput[[#This Row],[IVA]]-Imput[[#This Row],[Retención / IEPS / Descuento]]</f>
        <v>1060.9998000000001</v>
      </c>
      <c r="M1011" s="844">
        <v>1060.9998000000001</v>
      </c>
      <c r="N1011" s="189" t="s">
        <v>123</v>
      </c>
      <c r="O1011" s="1"/>
      <c r="P1011" s="189" t="s">
        <v>3470</v>
      </c>
      <c r="Q1011" s="190" t="s">
        <v>3471</v>
      </c>
      <c r="R1011" s="188">
        <v>45912</v>
      </c>
      <c r="S1011" s="193" t="s">
        <v>126</v>
      </c>
      <c r="T1011" s="192"/>
      <c r="U1011" s="829"/>
      <c r="V1011" s="10"/>
      <c r="W1011" s="10"/>
      <c r="X1011" s="10"/>
      <c r="Y1011" s="10"/>
      <c r="Z1011" s="10"/>
      <c r="AA1011" s="11"/>
      <c r="AB1011" s="11"/>
      <c r="AD1011" s="260"/>
    </row>
    <row r="1012" spans="2:30" x14ac:dyDescent="0.3">
      <c r="B1012" s="10" t="s">
        <v>387</v>
      </c>
      <c r="C1012" s="315" t="s">
        <v>1769</v>
      </c>
      <c r="D1012" s="868" t="s">
        <v>1953</v>
      </c>
      <c r="E1012" s="837" t="str">
        <f>IFERROR(IF(_xlfn.XLOOKUP(Imput[[#This Row],[RFC]],'Alta Proveedor'!D:D,'Alta Proveedor'!E:E)=0,"",_xlfn.XLOOKUP(Imput[[#This Row],[RFC]],'Alta Proveedor'!D:D,'Alta Proveedor'!E:E)),"")</f>
        <v>OMNIBUS DE MEXICO FACTURA</v>
      </c>
      <c r="F1012" s="832" t="s">
        <v>3472</v>
      </c>
      <c r="G1012" s="187">
        <v>1</v>
      </c>
      <c r="H1012" s="1">
        <v>1440.52</v>
      </c>
      <c r="I1012" s="169">
        <f>Imput[[#This Row],[Cantidad]]*Imput[[#This Row],[Precio Unitario]]</f>
        <v>1440.52</v>
      </c>
      <c r="J1012" s="11">
        <f>((Imput[[#This Row],[Sub total]])*(0.16))</f>
        <v>230.48320000000001</v>
      </c>
      <c r="K1012" s="11">
        <v>0</v>
      </c>
      <c r="L1012" s="169">
        <f>Imput[[#This Row],[Sub total]]+Imput[[#This Row],[IVA]]-Imput[[#This Row],[Retención / IEPS / Descuento]]</f>
        <v>1671.0032000000001</v>
      </c>
      <c r="M1012" s="844">
        <v>1671.0032000000001</v>
      </c>
      <c r="N1012" s="189" t="s">
        <v>123</v>
      </c>
      <c r="O1012" s="1"/>
      <c r="P1012" s="189" t="s">
        <v>3497</v>
      </c>
      <c r="Q1012" s="190" t="s">
        <v>3498</v>
      </c>
      <c r="R1012" s="188">
        <v>45912</v>
      </c>
      <c r="S1012" s="193" t="s">
        <v>126</v>
      </c>
      <c r="T1012" s="192"/>
      <c r="U1012" s="829"/>
      <c r="V1012" s="10"/>
      <c r="W1012" s="10"/>
      <c r="X1012" s="10"/>
      <c r="Y1012" s="10"/>
      <c r="Z1012" s="10"/>
      <c r="AA1012" s="11"/>
      <c r="AB1012" s="11"/>
      <c r="AD1012" s="260"/>
    </row>
    <row r="1013" spans="2:30" x14ac:dyDescent="0.3">
      <c r="B1013" s="10" t="s">
        <v>387</v>
      </c>
      <c r="C1013" s="315" t="s">
        <v>1806</v>
      </c>
      <c r="D1013" s="868" t="s">
        <v>3501</v>
      </c>
      <c r="E1013" s="837" t="str">
        <f>IFERROR(IF(_xlfn.XLOOKUP(Imput[[#This Row],[RFC]],'Alta Proveedor'!D:D,'Alta Proveedor'!E:E)=0,"",_xlfn.XLOOKUP(Imput[[#This Row],[RFC]],'Alta Proveedor'!D:D,'Alta Proveedor'!E:E)),"")</f>
        <v xml:space="preserve"> PRETZEL MONTERREY (RESTAURANTE)</v>
      </c>
      <c r="F1013" s="832" t="s">
        <v>159</v>
      </c>
      <c r="G1013" s="187">
        <v>1</v>
      </c>
      <c r="H1013" s="1">
        <v>256.03500000000003</v>
      </c>
      <c r="I1013" s="169">
        <f>Imput[[#This Row],[Cantidad]]*Imput[[#This Row],[Precio Unitario]]</f>
        <v>256.03500000000003</v>
      </c>
      <c r="J1013" s="11">
        <f>((Imput[[#This Row],[Sub total]])*(0.16))</f>
        <v>40.965600000000002</v>
      </c>
      <c r="K1013" s="11">
        <v>0</v>
      </c>
      <c r="L1013" s="169">
        <f>Imput[[#This Row],[Sub total]]+Imput[[#This Row],[IVA]]-Imput[[#This Row],[Retención / IEPS / Descuento]]</f>
        <v>297.00060000000002</v>
      </c>
      <c r="M1013" s="844">
        <v>297.00060000000002</v>
      </c>
      <c r="N1013" s="189" t="s">
        <v>123</v>
      </c>
      <c r="O1013" s="1"/>
      <c r="P1013" s="189" t="s">
        <v>3499</v>
      </c>
      <c r="Q1013" s="190" t="s">
        <v>3500</v>
      </c>
      <c r="R1013" s="188">
        <v>45910</v>
      </c>
      <c r="S1013" s="193" t="s">
        <v>126</v>
      </c>
      <c r="T1013" s="192"/>
      <c r="U1013" s="829"/>
      <c r="V1013" s="10"/>
      <c r="W1013" s="10"/>
      <c r="X1013" s="10"/>
      <c r="Y1013" s="10"/>
      <c r="Z1013" s="10"/>
      <c r="AA1013" s="11"/>
      <c r="AB1013" s="11"/>
      <c r="AD1013" s="260"/>
    </row>
    <row r="1014" spans="2:30" x14ac:dyDescent="0.3">
      <c r="B1014" s="10" t="s">
        <v>387</v>
      </c>
      <c r="C1014" s="315" t="s">
        <v>1806</v>
      </c>
      <c r="D1014" s="868" t="s">
        <v>3501</v>
      </c>
      <c r="E1014" s="837" t="str">
        <f>IFERROR(IF(_xlfn.XLOOKUP(Imput[[#This Row],[RFC]],'Alta Proveedor'!D:D,'Alta Proveedor'!E:E)=0,"",_xlfn.XLOOKUP(Imput[[#This Row],[RFC]],'Alta Proveedor'!D:D,'Alta Proveedor'!E:E)),"")</f>
        <v xml:space="preserve"> PRETZEL MONTERREY (RESTAURANTE)</v>
      </c>
      <c r="F1014" s="832" t="s">
        <v>159</v>
      </c>
      <c r="G1014" s="187">
        <v>1</v>
      </c>
      <c r="H1014" s="1">
        <v>525.86</v>
      </c>
      <c r="I1014" s="169">
        <f>Imput[[#This Row],[Cantidad]]*Imput[[#This Row],[Precio Unitario]]</f>
        <v>525.86</v>
      </c>
      <c r="J1014" s="11">
        <f>((Imput[[#This Row],[Sub total]])*(0.16))</f>
        <v>84.137600000000006</v>
      </c>
      <c r="K1014" s="11">
        <v>0</v>
      </c>
      <c r="L1014" s="169">
        <f>Imput[[#This Row],[Sub total]]+Imput[[#This Row],[IVA]]-Imput[[#This Row],[Retención / IEPS / Descuento]]</f>
        <v>609.99760000000003</v>
      </c>
      <c r="M1014" s="844">
        <v>609.99760000000003</v>
      </c>
      <c r="N1014" s="189" t="s">
        <v>123</v>
      </c>
      <c r="O1014" s="1"/>
      <c r="P1014" s="189" t="s">
        <v>3503</v>
      </c>
      <c r="Q1014" s="190" t="s">
        <v>3504</v>
      </c>
      <c r="R1014" s="188">
        <v>45912</v>
      </c>
      <c r="S1014" s="193" t="s">
        <v>126</v>
      </c>
      <c r="T1014" s="192"/>
      <c r="U1014" s="829"/>
      <c r="V1014" s="10"/>
      <c r="W1014" s="10"/>
      <c r="X1014" s="10"/>
      <c r="Y1014" s="10"/>
      <c r="Z1014" s="10"/>
      <c r="AA1014" s="11"/>
      <c r="AB1014" s="11"/>
      <c r="AD1014" s="260"/>
    </row>
    <row r="1015" spans="2:30" x14ac:dyDescent="0.3">
      <c r="B1015" s="10" t="s">
        <v>387</v>
      </c>
      <c r="C1015" s="315" t="s">
        <v>1806</v>
      </c>
      <c r="D1015" s="868" t="s">
        <v>3501</v>
      </c>
      <c r="E1015" s="837" t="str">
        <f>IFERROR(IF(_xlfn.XLOOKUP(Imput[[#This Row],[RFC]],'Alta Proveedor'!D:D,'Alta Proveedor'!E:E)=0,"",_xlfn.XLOOKUP(Imput[[#This Row],[RFC]],'Alta Proveedor'!D:D,'Alta Proveedor'!E:E)),"")</f>
        <v xml:space="preserve"> PRETZEL MONTERREY (RESTAURANTE)</v>
      </c>
      <c r="F1015" s="832" t="s">
        <v>159</v>
      </c>
      <c r="G1015" s="187">
        <v>1</v>
      </c>
      <c r="H1015" s="1">
        <v>316.38</v>
      </c>
      <c r="I1015" s="169">
        <f>Imput[[#This Row],[Cantidad]]*Imput[[#This Row],[Precio Unitario]]</f>
        <v>316.38</v>
      </c>
      <c r="J1015" s="11">
        <f>((Imput[[#This Row],[Sub total]])*(0.16))</f>
        <v>50.620800000000003</v>
      </c>
      <c r="K1015" s="11">
        <v>0</v>
      </c>
      <c r="L1015" s="169">
        <f>Imput[[#This Row],[Sub total]]+Imput[[#This Row],[IVA]]-Imput[[#This Row],[Retención / IEPS / Descuento]]</f>
        <v>367.00080000000003</v>
      </c>
      <c r="M1015" s="844">
        <v>367.00080000000003</v>
      </c>
      <c r="N1015" s="189" t="s">
        <v>123</v>
      </c>
      <c r="O1015" s="1"/>
      <c r="P1015" s="189" t="s">
        <v>3505</v>
      </c>
      <c r="Q1015" s="190" t="s">
        <v>3506</v>
      </c>
      <c r="R1015" s="188">
        <v>45912</v>
      </c>
      <c r="S1015" s="193" t="s">
        <v>126</v>
      </c>
      <c r="T1015" s="192"/>
      <c r="U1015" s="829"/>
      <c r="V1015" s="10"/>
      <c r="W1015" s="10"/>
      <c r="X1015" s="10"/>
      <c r="Y1015" s="10"/>
      <c r="Z1015" s="10"/>
      <c r="AA1015" s="11"/>
      <c r="AB1015" s="11"/>
      <c r="AD1015" s="260"/>
    </row>
    <row r="1016" spans="2:30" x14ac:dyDescent="0.3">
      <c r="B1016" s="10" t="s">
        <v>387</v>
      </c>
      <c r="C1016" s="315" t="s">
        <v>1806</v>
      </c>
      <c r="D1016" s="868" t="s">
        <v>3509</v>
      </c>
      <c r="E1016" s="837" t="str">
        <f>IFERROR(IF(_xlfn.XLOOKUP(Imput[[#This Row],[RFC]],'Alta Proveedor'!D:D,'Alta Proveedor'!E:E)=0,"",_xlfn.XLOOKUP(Imput[[#This Row],[RFC]],'Alta Proveedor'!D:D,'Alta Proveedor'!E:E)),"")</f>
        <v>SUSANA CLEMENTINA RIVERA SALAZAR "CAPRICCIOSAS" (RESTAURANTE)</v>
      </c>
      <c r="F1016" s="832" t="s">
        <v>3511</v>
      </c>
      <c r="G1016" s="187">
        <v>1</v>
      </c>
      <c r="H1016" s="1">
        <v>329.31</v>
      </c>
      <c r="I1016" s="169">
        <f>Imput[[#This Row],[Cantidad]]*Imput[[#This Row],[Precio Unitario]]</f>
        <v>329.31</v>
      </c>
      <c r="J1016" s="11">
        <f>((Imput[[#This Row],[Sub total]])*(0.16))</f>
        <v>52.689599999999999</v>
      </c>
      <c r="K1016" s="11">
        <v>0</v>
      </c>
      <c r="L1016" s="169">
        <f>Imput[[#This Row],[Sub total]]+Imput[[#This Row],[IVA]]-Imput[[#This Row],[Retención / IEPS / Descuento]]</f>
        <v>381.99959999999999</v>
      </c>
      <c r="M1016" s="844">
        <v>401.99799999999999</v>
      </c>
      <c r="N1016" s="189" t="s">
        <v>123</v>
      </c>
      <c r="O1016" s="1"/>
      <c r="P1016" s="189" t="s">
        <v>3507</v>
      </c>
      <c r="Q1016" s="190" t="s">
        <v>3508</v>
      </c>
      <c r="R1016" s="188">
        <v>45913</v>
      </c>
      <c r="S1016" s="193" t="s">
        <v>126</v>
      </c>
      <c r="T1016" s="192"/>
      <c r="U1016" s="829"/>
      <c r="V1016" s="10"/>
      <c r="W1016" s="10"/>
      <c r="X1016" s="10"/>
      <c r="Y1016" s="10"/>
      <c r="Z1016" s="10"/>
      <c r="AA1016" s="11"/>
      <c r="AB1016" s="11"/>
      <c r="AD1016" s="260"/>
    </row>
    <row r="1017" spans="2:30" x14ac:dyDescent="0.3">
      <c r="B1017" s="10" t="s">
        <v>387</v>
      </c>
      <c r="C1017" s="315" t="s">
        <v>1806</v>
      </c>
      <c r="D1017" s="868" t="s">
        <v>3509</v>
      </c>
      <c r="E1017" s="837" t="str">
        <f>IFERROR(IF(_xlfn.XLOOKUP(Imput[[#This Row],[RFC]],'Alta Proveedor'!D:D,'Alta Proveedor'!E:E)=0,"",_xlfn.XLOOKUP(Imput[[#This Row],[RFC]],'Alta Proveedor'!D:D,'Alta Proveedor'!E:E)),"")</f>
        <v>SUSANA CLEMENTINA RIVERA SALAZAR "CAPRICCIOSAS" (RESTAURANTE)</v>
      </c>
      <c r="F1017" s="832" t="s">
        <v>3512</v>
      </c>
      <c r="G1017" s="187">
        <v>1</v>
      </c>
      <c r="H1017" s="1">
        <v>17.239999999999998</v>
      </c>
      <c r="I1017" s="169">
        <f>Imput[[#This Row],[Cantidad]]*Imput[[#This Row],[Precio Unitario]]</f>
        <v>17.239999999999998</v>
      </c>
      <c r="J1017" s="11">
        <f>((Imput[[#This Row],[Sub total]])*(0.16))</f>
        <v>2.7584</v>
      </c>
      <c r="K1017" s="11">
        <v>0</v>
      </c>
      <c r="L1017" s="169">
        <f>Imput[[#This Row],[Sub total]]+Imput[[#This Row],[IVA]]-Imput[[#This Row],[Retención / IEPS / Descuento]]</f>
        <v>19.998399999999997</v>
      </c>
      <c r="M1017" s="844">
        <v>0</v>
      </c>
      <c r="N1017" s="189" t="s">
        <v>123</v>
      </c>
      <c r="O1017" s="1"/>
      <c r="P1017" s="189" t="s">
        <v>3507</v>
      </c>
      <c r="Q1017" s="190" t="s">
        <v>3508</v>
      </c>
      <c r="R1017" s="188">
        <v>45913</v>
      </c>
      <c r="S1017" s="193" t="s">
        <v>126</v>
      </c>
      <c r="T1017" s="192"/>
      <c r="U1017" s="829"/>
      <c r="V1017" s="10"/>
      <c r="W1017" s="10"/>
      <c r="X1017" s="10"/>
      <c r="Y1017" s="10"/>
      <c r="Z1017" s="10"/>
      <c r="AA1017" s="11"/>
      <c r="AB1017" s="11"/>
      <c r="AD1017" s="260"/>
    </row>
    <row r="1018" spans="2:30" x14ac:dyDescent="0.3">
      <c r="B1018" s="10" t="s">
        <v>387</v>
      </c>
      <c r="C1018" s="315" t="s">
        <v>1767</v>
      </c>
      <c r="D1018" s="868" t="s">
        <v>3515</v>
      </c>
      <c r="E1018" s="837" t="str">
        <f>IFERROR(IF(_xlfn.XLOOKUP(Imput[[#This Row],[RFC]],'Alta Proveedor'!D:D,'Alta Proveedor'!E:E)=0,"",_xlfn.XLOOKUP(Imput[[#This Row],[RFC]],'Alta Proveedor'!D:D,'Alta Proveedor'!E:E)),"")</f>
        <v>Estacion de servicio No. 3121  SHAMROCK COMERCIALIZADORA DE HIDROCARBUROS Y PETROLIFEROS (COMBUSTIBLES)</v>
      </c>
      <c r="F1018" s="832" t="s">
        <v>1114</v>
      </c>
      <c r="G1018" s="187">
        <v>64.177000000000007</v>
      </c>
      <c r="H1018" s="1">
        <v>22.694537</v>
      </c>
      <c r="I1018" s="169">
        <f>Imput[[#This Row],[Cantidad]]*Imput[[#This Row],[Precio Unitario]]</f>
        <v>1456.4673010490001</v>
      </c>
      <c r="J1018" s="11">
        <v>228.18</v>
      </c>
      <c r="K1018" s="11">
        <v>0</v>
      </c>
      <c r="L1018" s="169">
        <f>Imput[[#This Row],[Sub total]]+Imput[[#This Row],[IVA]]-Imput[[#This Row],[Retención / IEPS / Descuento]]</f>
        <v>1684.6473010490001</v>
      </c>
      <c r="M1018" s="844">
        <v>1684.6473010490001</v>
      </c>
      <c r="N1018" s="189" t="s">
        <v>123</v>
      </c>
      <c r="O1018" s="1"/>
      <c r="P1018" s="189" t="s">
        <v>3513</v>
      </c>
      <c r="Q1018" s="190" t="s">
        <v>3514</v>
      </c>
      <c r="R1018" s="188">
        <v>45911</v>
      </c>
      <c r="S1018" s="193" t="s">
        <v>126</v>
      </c>
      <c r="T1018" s="192"/>
      <c r="U1018" s="829"/>
      <c r="V1018" s="10"/>
      <c r="W1018" s="10"/>
      <c r="X1018" s="10"/>
      <c r="Y1018" s="10"/>
      <c r="Z1018" s="10"/>
      <c r="AA1018" s="11"/>
      <c r="AB1018" s="11"/>
      <c r="AD1018" s="260"/>
    </row>
    <row r="1019" spans="2:30" x14ac:dyDescent="0.3">
      <c r="B1019" s="10" t="s">
        <v>387</v>
      </c>
      <c r="C1019" s="818" t="s">
        <v>1769</v>
      </c>
      <c r="D1019" s="868" t="s">
        <v>3519</v>
      </c>
      <c r="E1019" s="837" t="str">
        <f>IFERROR(IF(_xlfn.XLOOKUP(Imput[[#This Row],[RFC]],'Alta Proveedor'!D:D,'Alta Proveedor'!E:E)=0,"",_xlfn.XLOOKUP(Imput[[#This Row],[RFC]],'Alta Proveedor'!D:D,'Alta Proveedor'!E:E)),"")</f>
        <v>SUPERMERCADOS INTERNACIONALES H E B</v>
      </c>
      <c r="F1019" s="832" t="s">
        <v>3521</v>
      </c>
      <c r="G1019" s="187">
        <v>1</v>
      </c>
      <c r="H1019" s="1">
        <v>38.79</v>
      </c>
      <c r="I1019" s="169">
        <f>Imput[[#This Row],[Cantidad]]*Imput[[#This Row],[Precio Unitario]]</f>
        <v>38.79</v>
      </c>
      <c r="J1019" s="11">
        <f>((Imput[[#This Row],[Sub total]])*(0.16))</f>
        <v>6.2064000000000004</v>
      </c>
      <c r="K1019" s="11">
        <v>0</v>
      </c>
      <c r="L1019" s="169">
        <f>Imput[[#This Row],[Sub total]]+Imput[[#This Row],[IVA]]-Imput[[#This Row],[Retención / IEPS / Descuento]]</f>
        <v>44.996400000000001</v>
      </c>
      <c r="M1019" s="844">
        <v>83.996399999999994</v>
      </c>
      <c r="N1019" s="189" t="s">
        <v>123</v>
      </c>
      <c r="O1019" s="1"/>
      <c r="P1019" s="189" t="s">
        <v>3517</v>
      </c>
      <c r="Q1019" s="190" t="s">
        <v>3518</v>
      </c>
      <c r="R1019" s="188">
        <v>45912</v>
      </c>
      <c r="S1019" s="193" t="s">
        <v>294</v>
      </c>
      <c r="T1019" s="192"/>
      <c r="U1019" s="829"/>
      <c r="V1019" s="10"/>
      <c r="W1019" s="10"/>
      <c r="X1019" s="10"/>
      <c r="Y1019" s="10"/>
      <c r="Z1019" s="10"/>
      <c r="AA1019" s="11"/>
      <c r="AB1019" s="11"/>
      <c r="AD1019" s="260"/>
    </row>
    <row r="1020" spans="2:30" x14ac:dyDescent="0.3">
      <c r="B1020" s="10" t="s">
        <v>387</v>
      </c>
      <c r="C1020" s="818" t="s">
        <v>1769</v>
      </c>
      <c r="D1020" s="868" t="s">
        <v>3519</v>
      </c>
      <c r="E1020" s="837" t="str">
        <f>IFERROR(IF(_xlfn.XLOOKUP(Imput[[#This Row],[RFC]],'Alta Proveedor'!D:D,'Alta Proveedor'!E:E)=0,"",_xlfn.XLOOKUP(Imput[[#This Row],[RFC]],'Alta Proveedor'!D:D,'Alta Proveedor'!E:E)),"")</f>
        <v>SUPERMERCADOS INTERNACIONALES H E B</v>
      </c>
      <c r="F1020" s="832" t="s">
        <v>3522</v>
      </c>
      <c r="G1020" s="187">
        <v>1</v>
      </c>
      <c r="H1020" s="1">
        <v>39</v>
      </c>
      <c r="I1020" s="169">
        <f>Imput[[#This Row],[Cantidad]]*Imput[[#This Row],[Precio Unitario]]</f>
        <v>39</v>
      </c>
      <c r="J1020" s="11">
        <v>0</v>
      </c>
      <c r="K1020" s="11">
        <v>0</v>
      </c>
      <c r="L1020" s="169">
        <f>Imput[[#This Row],[Sub total]]+Imput[[#This Row],[IVA]]-Imput[[#This Row],[Retención / IEPS / Descuento]]</f>
        <v>39</v>
      </c>
      <c r="M1020" s="844">
        <v>0</v>
      </c>
      <c r="N1020" s="189" t="s">
        <v>123</v>
      </c>
      <c r="O1020" s="1"/>
      <c r="P1020" s="189" t="s">
        <v>3517</v>
      </c>
      <c r="Q1020" s="190" t="s">
        <v>3518</v>
      </c>
      <c r="R1020" s="188">
        <v>45912</v>
      </c>
      <c r="S1020" s="193" t="s">
        <v>294</v>
      </c>
      <c r="T1020" s="192"/>
      <c r="U1020" s="829"/>
      <c r="V1020" s="10"/>
      <c r="W1020" s="10"/>
      <c r="X1020" s="10"/>
      <c r="Y1020" s="10"/>
      <c r="Z1020" s="10"/>
      <c r="AA1020" s="11"/>
      <c r="AB1020" s="11"/>
      <c r="AD1020" s="260"/>
    </row>
    <row r="1021" spans="2:30" x14ac:dyDescent="0.3">
      <c r="B1021" s="10" t="s">
        <v>389</v>
      </c>
      <c r="C1021" s="315" t="s">
        <v>1767</v>
      </c>
      <c r="D1021" s="868" t="s">
        <v>3527</v>
      </c>
      <c r="E1021" s="837" t="str">
        <f>IFERROR(IF(_xlfn.XLOOKUP(Imput[[#This Row],[RFC]],'Alta Proveedor'!D:D,'Alta Proveedor'!E:E)=0,"",_xlfn.XLOOKUP(Imput[[#This Row],[RFC]],'Alta Proveedor'!D:D,'Alta Proveedor'!E:E)),"")</f>
        <v>JOSE GUADALUPE HERRERA BUSTAMANTE "MOBIL" (COMBUSTIBLES)</v>
      </c>
      <c r="F1021" s="832" t="s">
        <v>237</v>
      </c>
      <c r="G1021" s="187">
        <v>62.526000000000003</v>
      </c>
      <c r="H1021" s="1">
        <f>20.7596839714679</f>
        <v>20.759683971467901</v>
      </c>
      <c r="I1021" s="169">
        <f>Imput[[#This Row],[Cantidad]]*Imput[[#This Row],[Precio Unitario]]</f>
        <v>1298.020000000002</v>
      </c>
      <c r="J1021" s="11">
        <v>201.98</v>
      </c>
      <c r="K1021" s="11">
        <v>0</v>
      </c>
      <c r="L1021" s="169">
        <f>Imput[[#This Row],[Sub total]]+Imput[[#This Row],[IVA]]-Imput[[#This Row],[Retención / IEPS / Descuento]]</f>
        <v>1500.000000000002</v>
      </c>
      <c r="M1021" s="844">
        <v>1500.000000000002</v>
      </c>
      <c r="N1021" s="189" t="s">
        <v>123</v>
      </c>
      <c r="O1021" s="1"/>
      <c r="P1021" s="189" t="s">
        <v>3525</v>
      </c>
      <c r="Q1021" s="190" t="s">
        <v>3526</v>
      </c>
      <c r="R1021" s="188">
        <v>45917</v>
      </c>
      <c r="S1021" s="193" t="s">
        <v>126</v>
      </c>
      <c r="T1021" s="192"/>
      <c r="U1021" s="829"/>
      <c r="V1021" s="10"/>
      <c r="W1021" s="10"/>
      <c r="X1021" s="10"/>
      <c r="Y1021" s="10"/>
      <c r="Z1021" s="10"/>
      <c r="AA1021" s="11"/>
      <c r="AB1021" s="11"/>
      <c r="AD1021" s="260"/>
    </row>
    <row r="1022" spans="2:30" x14ac:dyDescent="0.3">
      <c r="B1022" s="10" t="s">
        <v>389</v>
      </c>
      <c r="C1022" s="315" t="s">
        <v>1806</v>
      </c>
      <c r="D1022" s="868" t="s">
        <v>1478</v>
      </c>
      <c r="E1022" s="837" t="str">
        <f>IFERROR(IF(_xlfn.XLOOKUP(Imput[[#This Row],[RFC]],'Alta Proveedor'!D:D,'Alta Proveedor'!E:E)=0,"",_xlfn.XLOOKUP(Imput[[#This Row],[RFC]],'Alta Proveedor'!D:D,'Alta Proveedor'!E:E)),"")</f>
        <v>HAMBURGUESAS MAFIS (CARL´S JR.)</v>
      </c>
      <c r="F1022" s="832" t="s">
        <v>159</v>
      </c>
      <c r="G1022" s="187">
        <v>1</v>
      </c>
      <c r="H1022" s="1">
        <v>281.89999999999998</v>
      </c>
      <c r="I1022" s="169">
        <f>Imput[[#This Row],[Cantidad]]*Imput[[#This Row],[Precio Unitario]]</f>
        <v>281.89999999999998</v>
      </c>
      <c r="J1022" s="11">
        <f>((Imput[[#This Row],[Sub total]])*(0.16))</f>
        <v>45.103999999999999</v>
      </c>
      <c r="K1022" s="11">
        <v>0</v>
      </c>
      <c r="L1022" s="169">
        <f>Imput[[#This Row],[Sub total]]+Imput[[#This Row],[IVA]]-Imput[[#This Row],[Retención / IEPS / Descuento]]</f>
        <v>327.00399999999996</v>
      </c>
      <c r="M1022" s="844">
        <v>327.00399999999996</v>
      </c>
      <c r="N1022" s="189" t="s">
        <v>123</v>
      </c>
      <c r="O1022" s="1"/>
      <c r="P1022" s="189" t="s">
        <v>3529</v>
      </c>
      <c r="Q1022" s="190" t="s">
        <v>3530</v>
      </c>
      <c r="R1022" s="188">
        <v>45917</v>
      </c>
      <c r="S1022" s="193" t="s">
        <v>126</v>
      </c>
      <c r="T1022" s="192"/>
      <c r="U1022" s="829"/>
      <c r="V1022" s="10"/>
      <c r="W1022" s="10"/>
      <c r="X1022" s="10"/>
      <c r="Y1022" s="10"/>
      <c r="Z1022" s="10"/>
      <c r="AA1022" s="11"/>
      <c r="AB1022" s="11"/>
      <c r="AD1022" s="260"/>
    </row>
    <row r="1023" spans="2:30" x14ac:dyDescent="0.3">
      <c r="B1023" s="10" t="s">
        <v>389</v>
      </c>
      <c r="C1023" s="315" t="s">
        <v>1747</v>
      </c>
      <c r="D1023" s="868" t="s">
        <v>3533</v>
      </c>
      <c r="E1023" s="837" t="str">
        <f>IFERROR(IF(_xlfn.XLOOKUP(Imput[[#This Row],[RFC]],'Alta Proveedor'!D:D,'Alta Proveedor'!E:E)=0,"",_xlfn.XLOOKUP(Imput[[#This Row],[RFC]],'Alta Proveedor'!D:D,'Alta Proveedor'!E:E)),"")</f>
        <v>OPERADORA DE HOTELES VICTORIA</v>
      </c>
      <c r="F1023" s="832" t="s">
        <v>1482</v>
      </c>
      <c r="G1023" s="187">
        <v>1</v>
      </c>
      <c r="H1023" s="1">
        <v>9644.7999999999993</v>
      </c>
      <c r="I1023" s="169">
        <f>Imput[[#This Row],[Cantidad]]*Imput[[#This Row],[Precio Unitario]]</f>
        <v>9644.7999999999993</v>
      </c>
      <c r="J1023" s="11">
        <f>((Imput[[#This Row],[Sub total]])*(0.16))+((Imput[[#This Row],[Sub total]])*(0.0300025))</f>
        <v>1832.5361119999998</v>
      </c>
      <c r="K1023" s="11">
        <v>0</v>
      </c>
      <c r="L1023" s="169">
        <f>Imput[[#This Row],[Sub total]]+Imput[[#This Row],[IVA]]-Imput[[#This Row],[Retención / IEPS / Descuento]]</f>
        <v>11477.336111999999</v>
      </c>
      <c r="M1023" s="844">
        <v>11702.318111999999</v>
      </c>
      <c r="N1023" s="189" t="s">
        <v>123</v>
      </c>
      <c r="O1023" s="1"/>
      <c r="P1023" s="189" t="s">
        <v>3531</v>
      </c>
      <c r="Q1023" s="190" t="s">
        <v>3532</v>
      </c>
      <c r="R1023" s="188">
        <v>45916</v>
      </c>
      <c r="S1023" s="193" t="s">
        <v>126</v>
      </c>
      <c r="T1023" s="192"/>
      <c r="U1023" s="829"/>
      <c r="V1023" s="10"/>
      <c r="W1023" s="10"/>
      <c r="X1023" s="10"/>
      <c r="Y1023" s="10"/>
      <c r="Z1023" s="10"/>
      <c r="AA1023" s="11"/>
      <c r="AB1023" s="11"/>
      <c r="AD1023" s="260"/>
    </row>
    <row r="1024" spans="2:30" x14ac:dyDescent="0.3">
      <c r="B1024" s="10" t="s">
        <v>389</v>
      </c>
      <c r="C1024" s="315" t="s">
        <v>1747</v>
      </c>
      <c r="D1024" s="868" t="s">
        <v>3533</v>
      </c>
      <c r="E1024" s="837" t="str">
        <f>IFERROR(IF(_xlfn.XLOOKUP(Imput[[#This Row],[RFC]],'Alta Proveedor'!D:D,'Alta Proveedor'!E:E)=0,"",_xlfn.XLOOKUP(Imput[[#This Row],[RFC]],'Alta Proveedor'!D:D,'Alta Proveedor'!E:E)),"")</f>
        <v>OPERADORA DE HOTELES VICTORIA</v>
      </c>
      <c r="F1024" s="832" t="s">
        <v>3535</v>
      </c>
      <c r="G1024" s="187">
        <v>1</v>
      </c>
      <c r="H1024" s="1">
        <v>193.95</v>
      </c>
      <c r="I1024" s="169">
        <f>Imput[[#This Row],[Cantidad]]*Imput[[#This Row],[Precio Unitario]]</f>
        <v>193.95</v>
      </c>
      <c r="J1024" s="11">
        <f>((Imput[[#This Row],[Sub total]])*(0.16))</f>
        <v>31.032</v>
      </c>
      <c r="K1024" s="11">
        <v>0</v>
      </c>
      <c r="L1024" s="169">
        <f>Imput[[#This Row],[Sub total]]+Imput[[#This Row],[IVA]]-Imput[[#This Row],[Retención / IEPS / Descuento]]</f>
        <v>224.982</v>
      </c>
      <c r="M1024" s="844">
        <v>0</v>
      </c>
      <c r="N1024" s="189" t="s">
        <v>123</v>
      </c>
      <c r="O1024" s="1"/>
      <c r="P1024" s="189" t="s">
        <v>3531</v>
      </c>
      <c r="Q1024" s="190" t="s">
        <v>3532</v>
      </c>
      <c r="R1024" s="188">
        <v>45916</v>
      </c>
      <c r="S1024" s="193" t="s">
        <v>126</v>
      </c>
      <c r="T1024" s="192"/>
      <c r="U1024" s="829"/>
      <c r="V1024" s="10"/>
      <c r="W1024" s="10"/>
      <c r="X1024" s="10"/>
      <c r="Y1024" s="10"/>
      <c r="Z1024" s="10"/>
      <c r="AA1024" s="11"/>
      <c r="AB1024" s="11"/>
      <c r="AD1024" s="260"/>
    </row>
    <row r="1025" spans="2:30" x14ac:dyDescent="0.3">
      <c r="B1025" s="10" t="s">
        <v>389</v>
      </c>
      <c r="C1025" s="315" t="s">
        <v>1767</v>
      </c>
      <c r="D1025" s="868" t="s">
        <v>1166</v>
      </c>
      <c r="E1025" s="837" t="str">
        <f>IFERROR(IF(_xlfn.XLOOKUP(Imput[[#This Row],[RFC]],'Alta Proveedor'!D:D,'Alta Proveedor'!E:E)=0,"",_xlfn.XLOOKUP(Imput[[#This Row],[RFC]],'Alta Proveedor'!D:D,'Alta Proveedor'!E:E)),"")</f>
        <v>OPERADORA DE FRANQUICIAS DINEEK "PARADOR EL POTOSINO" (COMBUSTIBLES)</v>
      </c>
      <c r="F1025" s="832" t="s">
        <v>1145</v>
      </c>
      <c r="G1025" s="187">
        <v>26.684000000000001</v>
      </c>
      <c r="H1025" s="1">
        <f>22.587318243142</f>
        <v>22.587318243142001</v>
      </c>
      <c r="I1025" s="169">
        <f>Imput[[#This Row],[Cantidad]]*Imput[[#This Row],[Precio Unitario]]</f>
        <v>602.72000000000116</v>
      </c>
      <c r="J1025" s="11">
        <v>93.47</v>
      </c>
      <c r="K1025" s="11">
        <v>0</v>
      </c>
      <c r="L1025" s="169">
        <f>Imput[[#This Row],[Sub total]]+Imput[[#This Row],[IVA]]-Imput[[#This Row],[Retención / IEPS / Descuento]]</f>
        <v>696.19000000000119</v>
      </c>
      <c r="M1025" s="844">
        <v>696.19000000000119</v>
      </c>
      <c r="N1025" s="189" t="s">
        <v>123</v>
      </c>
      <c r="O1025" s="1"/>
      <c r="P1025" s="189" t="s">
        <v>3536</v>
      </c>
      <c r="Q1025" s="190" t="s">
        <v>3537</v>
      </c>
      <c r="R1025" s="188">
        <v>45916</v>
      </c>
      <c r="S1025" s="193" t="s">
        <v>126</v>
      </c>
      <c r="T1025" s="192"/>
      <c r="U1025" s="829"/>
      <c r="V1025" s="10"/>
      <c r="W1025" s="10"/>
      <c r="X1025" s="10"/>
      <c r="Y1025" s="10"/>
      <c r="Z1025" s="10"/>
      <c r="AA1025" s="11"/>
      <c r="AB1025" s="11"/>
      <c r="AD1025" s="260"/>
    </row>
    <row r="1026" spans="2:30" x14ac:dyDescent="0.3">
      <c r="B1026" s="10" t="s">
        <v>387</v>
      </c>
      <c r="C1026" s="315" t="s">
        <v>1806</v>
      </c>
      <c r="D1026" s="868" t="s">
        <v>3540</v>
      </c>
      <c r="E1026" s="837" t="str">
        <f>IFERROR(IF(_xlfn.XLOOKUP(Imput[[#This Row],[RFC]],'Alta Proveedor'!D:D,'Alta Proveedor'!E:E)=0,"",_xlfn.XLOOKUP(Imput[[#This Row],[RFC]],'Alta Proveedor'!D:D,'Alta Proveedor'!E:E)),"")</f>
        <v>GRUPO ALIMENTICIO EDUCUA</v>
      </c>
      <c r="F1026" s="832" t="s">
        <v>159</v>
      </c>
      <c r="G1026" s="187">
        <v>1</v>
      </c>
      <c r="H1026" s="1">
        <v>377.59</v>
      </c>
      <c r="I1026" s="169">
        <f>Imput[[#This Row],[Cantidad]]*Imput[[#This Row],[Precio Unitario]]</f>
        <v>377.59</v>
      </c>
      <c r="J1026" s="11">
        <f>((Imput[[#This Row],[Sub total]])*(0.16))</f>
        <v>60.414400000000001</v>
      </c>
      <c r="K1026" s="11">
        <v>0</v>
      </c>
      <c r="L1026" s="169">
        <f>Imput[[#This Row],[Sub total]]+Imput[[#This Row],[IVA]]-Imput[[#This Row],[Retención / IEPS / Descuento]]</f>
        <v>438.00439999999998</v>
      </c>
      <c r="M1026" s="844">
        <v>438.00439999999998</v>
      </c>
      <c r="N1026" s="189" t="s">
        <v>123</v>
      </c>
      <c r="O1026" s="1"/>
      <c r="P1026" s="189" t="s">
        <v>3538</v>
      </c>
      <c r="Q1026" s="190" t="s">
        <v>3539</v>
      </c>
      <c r="R1026" s="188">
        <v>45915</v>
      </c>
      <c r="S1026" s="193" t="s">
        <v>126</v>
      </c>
      <c r="T1026" s="192"/>
      <c r="U1026" s="829"/>
      <c r="V1026" s="10"/>
      <c r="W1026" s="10"/>
      <c r="X1026" s="10"/>
      <c r="Y1026" s="10"/>
      <c r="Z1026" s="10"/>
      <c r="AA1026" s="11"/>
      <c r="AB1026" s="11"/>
      <c r="AD1026" s="260"/>
    </row>
    <row r="1027" spans="2:30" x14ac:dyDescent="0.3">
      <c r="B1027" s="10" t="s">
        <v>389</v>
      </c>
      <c r="C1027" s="315" t="s">
        <v>1767</v>
      </c>
      <c r="D1027" s="868" t="s">
        <v>3438</v>
      </c>
      <c r="E1027" s="837" t="str">
        <f>IFERROR(IF(_xlfn.XLOOKUP(Imput[[#This Row],[RFC]],'Alta Proveedor'!D:D,'Alta Proveedor'!E:E)=0,"",_xlfn.XLOOKUP(Imput[[#This Row],[RFC]],'Alta Proveedor'!D:D,'Alta Proveedor'!E:E)),"")</f>
        <v>GASOLINERA ARCE "MOBIL" (COMBUSTIBLES)</v>
      </c>
      <c r="F1027" s="832" t="s">
        <v>1145</v>
      </c>
      <c r="G1027" s="187">
        <v>29.364999999999998</v>
      </c>
      <c r="H1027" s="1">
        <f>22.5012770304785</f>
        <v>22.501277030478501</v>
      </c>
      <c r="I1027" s="169">
        <f>Imput[[#This Row],[Cantidad]]*Imput[[#This Row],[Precio Unitario]]</f>
        <v>660.75000000000114</v>
      </c>
      <c r="J1027" s="11">
        <v>102.45</v>
      </c>
      <c r="K1027" s="11">
        <v>0</v>
      </c>
      <c r="L1027" s="169">
        <f>Imput[[#This Row],[Sub total]]+Imput[[#This Row],[IVA]]-Imput[[#This Row],[Retención / IEPS / Descuento]]</f>
        <v>763.20000000000118</v>
      </c>
      <c r="M1027" s="844">
        <v>763.20000000000118</v>
      </c>
      <c r="N1027" s="189" t="s">
        <v>123</v>
      </c>
      <c r="O1027" s="1"/>
      <c r="P1027" s="189" t="s">
        <v>3542</v>
      </c>
      <c r="Q1027" s="190" t="s">
        <v>3543</v>
      </c>
      <c r="R1027" s="188">
        <v>45917</v>
      </c>
      <c r="S1027" s="193" t="s">
        <v>126</v>
      </c>
      <c r="T1027" s="192"/>
      <c r="U1027" s="829"/>
      <c r="V1027" s="10"/>
      <c r="W1027" s="10"/>
      <c r="X1027" s="10"/>
      <c r="Y1027" s="10"/>
      <c r="Z1027" s="10"/>
      <c r="AA1027" s="11"/>
      <c r="AB1027" s="11"/>
      <c r="AD1027" s="260"/>
    </row>
    <row r="1028" spans="2:30" x14ac:dyDescent="0.3">
      <c r="B1028" s="10" t="s">
        <v>389</v>
      </c>
      <c r="C1028" s="315" t="s">
        <v>1767</v>
      </c>
      <c r="D1028" s="868" t="s">
        <v>3279</v>
      </c>
      <c r="E1028" s="837" t="str">
        <f>IFERROR(IF(_xlfn.XLOOKUP(Imput[[#This Row],[RFC]],'Alta Proveedor'!D:D,'Alta Proveedor'!E:E)=0,"",_xlfn.XLOOKUP(Imput[[#This Row],[RFC]],'Alta Proveedor'!D:D,'Alta Proveedor'!E:E)),"")</f>
        <v>MARIA LUISA HERNANDEZ DEL ANGEL "EFECTIFACTURA" (COMBUSTIBLES)</v>
      </c>
      <c r="F1028" s="832" t="s">
        <v>1114</v>
      </c>
      <c r="G1028" s="187">
        <v>70.105000000000004</v>
      </c>
      <c r="H1028" s="1">
        <f>22.5824120961415</f>
        <v>22.5824120961415</v>
      </c>
      <c r="I1028" s="169">
        <f>Imput[[#This Row],[Cantidad]]*Imput[[#This Row],[Precio Unitario]]</f>
        <v>1583.1399999999999</v>
      </c>
      <c r="J1028" s="11">
        <v>248</v>
      </c>
      <c r="K1028" s="11">
        <v>0</v>
      </c>
      <c r="L1028" s="169">
        <f>Imput[[#This Row],[Sub total]]+Imput[[#This Row],[IVA]]-Imput[[#This Row],[Retención / IEPS / Descuento]]</f>
        <v>1831.1399999999999</v>
      </c>
      <c r="M1028" s="844">
        <v>1831.1399999999999</v>
      </c>
      <c r="N1028" s="189" t="s">
        <v>123</v>
      </c>
      <c r="O1028" s="1"/>
      <c r="P1028" s="189" t="s">
        <v>3544</v>
      </c>
      <c r="Q1028" s="190" t="s">
        <v>3545</v>
      </c>
      <c r="R1028" s="188">
        <v>45917</v>
      </c>
      <c r="S1028" s="193" t="s">
        <v>126</v>
      </c>
      <c r="T1028" s="192"/>
      <c r="U1028" s="829"/>
      <c r="V1028" s="10"/>
      <c r="W1028" s="10"/>
      <c r="X1028" s="10"/>
      <c r="Y1028" s="10"/>
      <c r="Z1028" s="10"/>
      <c r="AA1028" s="11"/>
      <c r="AB1028" s="11"/>
      <c r="AD1028" s="260"/>
    </row>
    <row r="1029" spans="2:30" x14ac:dyDescent="0.3">
      <c r="B1029" s="10" t="s">
        <v>392</v>
      </c>
      <c r="C1029" s="315" t="s">
        <v>1767</v>
      </c>
      <c r="D1029" s="868" t="s">
        <v>3561</v>
      </c>
      <c r="E1029" s="837" t="str">
        <f>IFERROR(IF(_xlfn.XLOOKUP(Imput[[#This Row],[RFC]],'Alta Proveedor'!D:D,'Alta Proveedor'!E:E)=0,"",_xlfn.XLOOKUP(Imput[[#This Row],[RFC]],'Alta Proveedor'!D:D,'Alta Proveedor'!E:E)),"")</f>
        <v>GRUPO GASOLINERO REYNAR E12464 "PEMEX" (COMBUSTIBLES)</v>
      </c>
      <c r="F1029" s="836" t="s">
        <v>237</v>
      </c>
      <c r="G1029" s="187">
        <v>20</v>
      </c>
      <c r="H1029" s="1">
        <f>410.02/Imput[[#This Row],[Cantidad]]</f>
        <v>20.500999999999998</v>
      </c>
      <c r="I1029" s="169">
        <f>Imput[[#This Row],[Cantidad]]*Imput[[#This Row],[Precio Unitario]]</f>
        <v>410.02</v>
      </c>
      <c r="J1029" s="11">
        <v>63.78</v>
      </c>
      <c r="K1029" s="11">
        <v>0</v>
      </c>
      <c r="L1029" s="169">
        <f>Imput[[#This Row],[Sub total]]+Imput[[#This Row],[IVA]]-Imput[[#This Row],[Retención / IEPS / Descuento]]</f>
        <v>473.79999999999995</v>
      </c>
      <c r="M1029" s="844">
        <v>473.79999999999995</v>
      </c>
      <c r="N1029" s="189" t="s">
        <v>123</v>
      </c>
      <c r="O1029" s="1"/>
      <c r="P1029" s="189" t="s">
        <v>3559</v>
      </c>
      <c r="Q1029" s="190" t="s">
        <v>3560</v>
      </c>
      <c r="R1029" s="188">
        <v>45936</v>
      </c>
      <c r="S1029" s="193" t="s">
        <v>126</v>
      </c>
      <c r="T1029" s="192"/>
      <c r="U1029" s="829"/>
      <c r="V1029" s="10"/>
      <c r="W1029" s="10"/>
      <c r="X1029" s="10"/>
      <c r="Y1029" s="10"/>
      <c r="Z1029" s="10"/>
      <c r="AA1029" s="11"/>
      <c r="AB1029" s="11"/>
      <c r="AD1029" s="260"/>
    </row>
    <row r="1030" spans="2:30" x14ac:dyDescent="0.3">
      <c r="B1030" s="10" t="s">
        <v>392</v>
      </c>
      <c r="C1030" s="315"/>
      <c r="D1030" s="868" t="s">
        <v>1036</v>
      </c>
      <c r="E1030" s="837" t="str">
        <f>IFERROR(IF(_xlfn.XLOOKUP(Imput[[#This Row],[RFC]],'Alta Proveedor'!D:D,'Alta Proveedor'!E:E)=0,"",_xlfn.XLOOKUP(Imput[[#This Row],[RFC]],'Alta Proveedor'!D:D,'Alta Proveedor'!E:E)),"")</f>
        <v>AUTOZONE DE MEXICO</v>
      </c>
      <c r="F1030" s="836" t="s">
        <v>3565</v>
      </c>
      <c r="G1030" s="187">
        <v>1</v>
      </c>
      <c r="H1030" s="1">
        <v>93.965000000000003</v>
      </c>
      <c r="I1030" s="169">
        <f>Imput[[#This Row],[Cantidad]]*Imput[[#This Row],[Precio Unitario]]</f>
        <v>93.965000000000003</v>
      </c>
      <c r="J1030" s="11">
        <f>((Imput[[#This Row],[Sub total]])*(0.16))</f>
        <v>15.034400000000002</v>
      </c>
      <c r="K1030" s="11">
        <v>0</v>
      </c>
      <c r="L1030" s="169">
        <f>Imput[[#This Row],[Sub total]]+Imput[[#This Row],[IVA]]-Imput[[#This Row],[Retención / IEPS / Descuento]]</f>
        <v>108.99940000000001</v>
      </c>
      <c r="M1030" s="844">
        <v>108.99940000000001</v>
      </c>
      <c r="N1030" s="189" t="s">
        <v>123</v>
      </c>
      <c r="O1030" s="1"/>
      <c r="P1030" s="189" t="s">
        <v>3563</v>
      </c>
      <c r="Q1030" s="190" t="s">
        <v>3564</v>
      </c>
      <c r="R1030" s="188">
        <v>45936</v>
      </c>
      <c r="S1030" s="193" t="s">
        <v>126</v>
      </c>
      <c r="T1030" s="192"/>
      <c r="U1030" s="829"/>
      <c r="V1030" s="10"/>
      <c r="W1030" s="10"/>
      <c r="X1030" s="10"/>
      <c r="Y1030" s="10"/>
      <c r="Z1030" s="10"/>
      <c r="AA1030" s="11"/>
      <c r="AB1030" s="11"/>
    </row>
    <row r="1031" spans="2:30" x14ac:dyDescent="0.3">
      <c r="B1031" s="10" t="s">
        <v>392</v>
      </c>
      <c r="C1031" s="315"/>
      <c r="D1031" s="868" t="s">
        <v>1036</v>
      </c>
      <c r="E1031" s="837" t="str">
        <f>IFERROR(IF(_xlfn.XLOOKUP(Imput[[#This Row],[RFC]],'Alta Proveedor'!D:D,'Alta Proveedor'!E:E)=0,"",_xlfn.XLOOKUP(Imput[[#This Row],[RFC]],'Alta Proveedor'!D:D,'Alta Proveedor'!E:E)),"")</f>
        <v>AUTOZONE DE MEXICO</v>
      </c>
      <c r="F1031" s="836" t="s">
        <v>3568</v>
      </c>
      <c r="G1031" s="187">
        <v>1</v>
      </c>
      <c r="H1031" s="1">
        <v>97.341999999999999</v>
      </c>
      <c r="I1031" s="169">
        <f>Imput[[#This Row],[Cantidad]]*Imput[[#This Row],[Precio Unitario]]</f>
        <v>97.341999999999999</v>
      </c>
      <c r="J1031" s="11">
        <f>((Imput[[#This Row],[Sub total]]-24.5)*(0.16))</f>
        <v>11.654719999999999</v>
      </c>
      <c r="K1031" s="11">
        <v>24.5</v>
      </c>
      <c r="L1031" s="169">
        <f>Imput[[#This Row],[Sub total]]+Imput[[#This Row],[IVA]]-Imput[[#This Row],[Retención / IEPS / Descuento]]</f>
        <v>84.496719999999996</v>
      </c>
      <c r="M1031" s="844">
        <v>467.99503999999996</v>
      </c>
      <c r="N1031" s="189" t="s">
        <v>123</v>
      </c>
      <c r="O1031" s="1"/>
      <c r="P1031" s="189" t="s">
        <v>3566</v>
      </c>
      <c r="Q1031" s="190" t="s">
        <v>3567</v>
      </c>
      <c r="R1031" s="188">
        <v>45936</v>
      </c>
      <c r="S1031" s="193" t="s">
        <v>126</v>
      </c>
      <c r="T1031" s="192"/>
      <c r="U1031" s="829"/>
      <c r="V1031" s="10"/>
      <c r="W1031" s="10"/>
      <c r="X1031" s="10"/>
      <c r="Y1031" s="10"/>
      <c r="Z1031" s="10"/>
      <c r="AA1031" s="11"/>
      <c r="AB1031" s="11"/>
    </row>
    <row r="1032" spans="2:30" x14ac:dyDescent="0.3">
      <c r="B1032" s="10" t="s">
        <v>392</v>
      </c>
      <c r="C1032" s="315"/>
      <c r="D1032" s="868" t="s">
        <v>1036</v>
      </c>
      <c r="E1032" s="837" t="str">
        <f>IFERROR(IF(_xlfn.XLOOKUP(Imput[[#This Row],[RFC]],'Alta Proveedor'!D:D,'Alta Proveedor'!E:E)=0,"",_xlfn.XLOOKUP(Imput[[#This Row],[RFC]],'Alta Proveedor'!D:D,'Alta Proveedor'!E:E)),"")</f>
        <v>AUTOZONE DE MEXICO</v>
      </c>
      <c r="F1032" s="836" t="s">
        <v>3569</v>
      </c>
      <c r="G1032" s="187">
        <v>1</v>
      </c>
      <c r="H1032" s="1">
        <v>257.76</v>
      </c>
      <c r="I1032" s="169">
        <f>Imput[[#This Row],[Cantidad]]*Imput[[#This Row],[Precio Unitario]]</f>
        <v>257.76</v>
      </c>
      <c r="J1032" s="11">
        <f>((Imput[[#This Row],[Sub total]])*(0.16))</f>
        <v>41.241599999999998</v>
      </c>
      <c r="K1032" s="11">
        <v>0</v>
      </c>
      <c r="L1032" s="169">
        <f>Imput[[#This Row],[Sub total]]+Imput[[#This Row],[IVA]]-Imput[[#This Row],[Retención / IEPS / Descuento]]</f>
        <v>299.0016</v>
      </c>
      <c r="M1032" s="844">
        <v>0</v>
      </c>
      <c r="N1032" s="189" t="s">
        <v>123</v>
      </c>
      <c r="O1032" s="1"/>
      <c r="P1032" s="189" t="s">
        <v>3566</v>
      </c>
      <c r="Q1032" s="190" t="s">
        <v>3567</v>
      </c>
      <c r="R1032" s="188">
        <v>45936</v>
      </c>
      <c r="S1032" s="193" t="s">
        <v>126</v>
      </c>
      <c r="T1032" s="192"/>
      <c r="U1032" s="829"/>
      <c r="V1032" s="10"/>
      <c r="W1032" s="10"/>
      <c r="X1032" s="10"/>
      <c r="Y1032" s="10"/>
      <c r="Z1032" s="10"/>
      <c r="AA1032" s="11"/>
      <c r="AB1032" s="11"/>
    </row>
    <row r="1033" spans="2:30" x14ac:dyDescent="0.3">
      <c r="B1033" s="10" t="s">
        <v>392</v>
      </c>
      <c r="C1033" s="315"/>
      <c r="D1033" s="868" t="s">
        <v>1036</v>
      </c>
      <c r="E1033" s="837" t="str">
        <f>IFERROR(IF(_xlfn.XLOOKUP(Imput[[#This Row],[RFC]],'Alta Proveedor'!D:D,'Alta Proveedor'!E:E)=0,"",_xlfn.XLOOKUP(Imput[[#This Row],[RFC]],'Alta Proveedor'!D:D,'Alta Proveedor'!E:E)),"")</f>
        <v>AUTOZONE DE MEXICO</v>
      </c>
      <c r="F1033" s="836" t="s">
        <v>3570</v>
      </c>
      <c r="G1033" s="187">
        <v>1</v>
      </c>
      <c r="H1033" s="1">
        <v>97.341999999999999</v>
      </c>
      <c r="I1033" s="169">
        <f>Imput[[#This Row],[Cantidad]]*Imput[[#This Row],[Precio Unitario]]</f>
        <v>97.341999999999999</v>
      </c>
      <c r="J1033" s="11">
        <f>((Imput[[#This Row],[Sub total]]-24.5)*(0.16))</f>
        <v>11.654719999999999</v>
      </c>
      <c r="K1033" s="11">
        <v>24.5</v>
      </c>
      <c r="L1033" s="169">
        <f>Imput[[#This Row],[Sub total]]+Imput[[#This Row],[IVA]]-Imput[[#This Row],[Retención / IEPS / Descuento]]</f>
        <v>84.496719999999996</v>
      </c>
      <c r="M1033" s="844">
        <v>0</v>
      </c>
      <c r="N1033" s="189" t="s">
        <v>123</v>
      </c>
      <c r="O1033" s="1"/>
      <c r="P1033" s="189" t="s">
        <v>3566</v>
      </c>
      <c r="Q1033" s="190" t="s">
        <v>3567</v>
      </c>
      <c r="R1033" s="188">
        <v>45936</v>
      </c>
      <c r="S1033" s="193" t="s">
        <v>126</v>
      </c>
      <c r="T1033" s="192"/>
      <c r="U1033" s="829"/>
      <c r="V1033" s="10"/>
      <c r="W1033" s="10"/>
      <c r="X1033" s="10"/>
      <c r="Y1033" s="10"/>
      <c r="Z1033" s="10"/>
      <c r="AA1033" s="11"/>
      <c r="AB1033" s="11"/>
    </row>
    <row r="1034" spans="2:30" x14ac:dyDescent="0.3">
      <c r="B1034" s="10" t="s">
        <v>387</v>
      </c>
      <c r="C1034" s="315"/>
      <c r="D1034" s="868" t="s">
        <v>3573</v>
      </c>
      <c r="E1034" s="837" t="str">
        <f>IFERROR(IF(_xlfn.XLOOKUP(Imput[[#This Row],[RFC]],'Alta Proveedor'!D:D,'Alta Proveedor'!E:E)=0,"",_xlfn.XLOOKUP(Imput[[#This Row],[RFC]],'Alta Proveedor'!D:D,'Alta Proveedor'!E:E)),"")</f>
        <v>ARECON (ACERO)</v>
      </c>
      <c r="F1034" s="836" t="s">
        <v>3575</v>
      </c>
      <c r="G1034" s="187">
        <v>13</v>
      </c>
      <c r="H1034" s="1">
        <v>110.51</v>
      </c>
      <c r="I1034" s="169">
        <f>Imput[[#This Row],[Cantidad]]*Imput[[#This Row],[Precio Unitario]]</f>
        <v>1436.63</v>
      </c>
      <c r="J1034" s="11">
        <f>((Imput[[#This Row],[Sub total]])*(0.16))</f>
        <v>229.86080000000001</v>
      </c>
      <c r="K1034" s="11">
        <v>0</v>
      </c>
      <c r="L1034" s="169">
        <f>Imput[[#This Row],[Sub total]]+Imput[[#This Row],[IVA]]-Imput[[#This Row],[Retención / IEPS / Descuento]]</f>
        <v>1666.4908</v>
      </c>
      <c r="M1034" s="844">
        <v>1666.4908</v>
      </c>
      <c r="N1034" s="189" t="s">
        <v>123</v>
      </c>
      <c r="O1034" s="1"/>
      <c r="P1034" s="189" t="s">
        <v>3571</v>
      </c>
      <c r="Q1034" s="190" t="s">
        <v>3572</v>
      </c>
      <c r="R1034" s="188">
        <v>45908</v>
      </c>
      <c r="S1034" s="193" t="s">
        <v>126</v>
      </c>
      <c r="T1034" s="192"/>
      <c r="U1034" s="829"/>
      <c r="V1034" s="10"/>
      <c r="W1034" s="10"/>
      <c r="X1034" s="10"/>
      <c r="Y1034" s="10"/>
      <c r="Z1034" s="10"/>
      <c r="AA1034" s="11"/>
      <c r="AB1034" s="11"/>
    </row>
    <row r="1035" spans="2:30" x14ac:dyDescent="0.3">
      <c r="B1035" s="10" t="s">
        <v>389</v>
      </c>
      <c r="C1035" s="315"/>
      <c r="D1035" s="868" t="s">
        <v>244</v>
      </c>
      <c r="E1035" s="837" t="str">
        <f>IFERROR(IF(_xlfn.XLOOKUP(Imput[[#This Row],[RFC]],'Alta Proveedor'!D:D,'Alta Proveedor'!E:E)=0,"",_xlfn.XLOOKUP(Imput[[#This Row],[RFC]],'Alta Proveedor'!D:D,'Alta Proveedor'!E:E)),"")</f>
        <v>CADENA COMERCIAL OXXO</v>
      </c>
      <c r="F1035" s="836" t="s">
        <v>3582</v>
      </c>
      <c r="G1035" s="187">
        <v>1</v>
      </c>
      <c r="H1035" s="1">
        <v>38.79</v>
      </c>
      <c r="I1035" s="169">
        <f>Imput[[#This Row],[Cantidad]]*Imput[[#This Row],[Precio Unitario]]</f>
        <v>38.79</v>
      </c>
      <c r="J1035" s="11">
        <f>((Imput[[#This Row],[Sub total]])*(0.16))</f>
        <v>6.2064000000000004</v>
      </c>
      <c r="K1035" s="11">
        <v>0</v>
      </c>
      <c r="L1035" s="169">
        <f>Imput[[#This Row],[Sub total]]+Imput[[#This Row],[IVA]]-Imput[[#This Row],[Retención / IEPS / Descuento]]</f>
        <v>44.996400000000001</v>
      </c>
      <c r="M1035" s="844">
        <v>44.996400000000001</v>
      </c>
      <c r="N1035" s="189" t="s">
        <v>123</v>
      </c>
      <c r="O1035" s="1"/>
      <c r="P1035" s="189" t="s">
        <v>3576</v>
      </c>
      <c r="Q1035" s="190" t="s">
        <v>3577</v>
      </c>
      <c r="R1035" s="188">
        <v>45929</v>
      </c>
      <c r="S1035" s="193" t="s">
        <v>294</v>
      </c>
      <c r="T1035" s="192"/>
      <c r="U1035" s="829"/>
      <c r="V1035" s="10"/>
      <c r="W1035" s="10"/>
      <c r="X1035" s="10"/>
      <c r="Y1035" s="10"/>
      <c r="Z1035" s="10"/>
      <c r="AA1035" s="11"/>
      <c r="AB1035" s="11"/>
    </row>
    <row r="1036" spans="2:30" x14ac:dyDescent="0.3">
      <c r="B1036" s="10" t="s">
        <v>389</v>
      </c>
      <c r="C1036" s="315"/>
      <c r="D1036" s="868" t="s">
        <v>244</v>
      </c>
      <c r="E1036" s="837" t="str">
        <f>IFERROR(IF(_xlfn.XLOOKUP(Imput[[#This Row],[RFC]],'Alta Proveedor'!D:D,'Alta Proveedor'!E:E)=0,"",_xlfn.XLOOKUP(Imput[[#This Row],[RFC]],'Alta Proveedor'!D:D,'Alta Proveedor'!E:E)),"")</f>
        <v>CADENA COMERCIAL OXXO</v>
      </c>
      <c r="F1036" s="836" t="s">
        <v>3580</v>
      </c>
      <c r="G1036" s="187">
        <v>1</v>
      </c>
      <c r="H1036" s="1">
        <v>16.664999999999999</v>
      </c>
      <c r="I1036" s="169">
        <f>Imput[[#This Row],[Cantidad]]*Imput[[#This Row],[Precio Unitario]]</f>
        <v>16.664999999999999</v>
      </c>
      <c r="J1036" s="11">
        <f>((Imput[[#This Row],[Sub total]])*(0.08))</f>
        <v>1.3331999999999999</v>
      </c>
      <c r="K1036" s="11">
        <v>0</v>
      </c>
      <c r="L1036" s="169">
        <f>Imput[[#This Row],[Sub total]]+Imput[[#This Row],[IVA]]-Imput[[#This Row],[Retención / IEPS / Descuento]]</f>
        <v>17.998200000000001</v>
      </c>
      <c r="M1036" s="844">
        <v>54.994880000000002</v>
      </c>
      <c r="N1036" s="189" t="s">
        <v>123</v>
      </c>
      <c r="O1036" s="1"/>
      <c r="P1036" s="189" t="s">
        <v>3578</v>
      </c>
      <c r="Q1036" s="190" t="s">
        <v>3579</v>
      </c>
      <c r="R1036" s="188">
        <v>45929</v>
      </c>
      <c r="S1036" s="193" t="s">
        <v>294</v>
      </c>
      <c r="T1036" s="192"/>
      <c r="U1036" s="829"/>
      <c r="V1036" s="10"/>
      <c r="W1036" s="10"/>
      <c r="X1036" s="10"/>
      <c r="Y1036" s="10"/>
      <c r="Z1036" s="10"/>
      <c r="AA1036" s="11"/>
      <c r="AB1036" s="11"/>
    </row>
    <row r="1037" spans="2:30" x14ac:dyDescent="0.3">
      <c r="B1037" s="10" t="s">
        <v>389</v>
      </c>
      <c r="C1037" s="315"/>
      <c r="D1037" s="868" t="s">
        <v>244</v>
      </c>
      <c r="E1037" s="837" t="str">
        <f>IFERROR(IF(_xlfn.XLOOKUP(Imput[[#This Row],[RFC]],'Alta Proveedor'!D:D,'Alta Proveedor'!E:E)=0,"",_xlfn.XLOOKUP(Imput[[#This Row],[RFC]],'Alta Proveedor'!D:D,'Alta Proveedor'!E:E)),"")</f>
        <v>CADENA COMERCIAL OXXO</v>
      </c>
      <c r="F1037" s="836" t="s">
        <v>3550</v>
      </c>
      <c r="G1037" s="187">
        <v>1</v>
      </c>
      <c r="H1037" s="1">
        <v>16.664999999999999</v>
      </c>
      <c r="I1037" s="169">
        <f>Imput[[#This Row],[Cantidad]]*Imput[[#This Row],[Precio Unitario]]</f>
        <v>16.664999999999999</v>
      </c>
      <c r="J1037" s="11">
        <f>((Imput[[#This Row],[Sub total]])*(0.08))</f>
        <v>1.3331999999999999</v>
      </c>
      <c r="K1037" s="11">
        <v>0</v>
      </c>
      <c r="L1037" s="169">
        <f>Imput[[#This Row],[Sub total]]+Imput[[#This Row],[IVA]]-Imput[[#This Row],[Retención / IEPS / Descuento]]</f>
        <v>17.998200000000001</v>
      </c>
      <c r="M1037" s="844">
        <v>0</v>
      </c>
      <c r="N1037" s="189" t="s">
        <v>123</v>
      </c>
      <c r="O1037" s="1"/>
      <c r="P1037" s="189" t="s">
        <v>3578</v>
      </c>
      <c r="Q1037" s="190" t="s">
        <v>3579</v>
      </c>
      <c r="R1037" s="188">
        <v>45929</v>
      </c>
      <c r="S1037" s="193" t="s">
        <v>294</v>
      </c>
      <c r="T1037" s="192"/>
      <c r="U1037" s="829"/>
      <c r="V1037" s="10"/>
      <c r="W1037" s="10"/>
      <c r="X1037" s="10"/>
      <c r="Y1037" s="10"/>
      <c r="Z1037" s="10"/>
      <c r="AA1037" s="11"/>
      <c r="AB1037" s="11"/>
    </row>
    <row r="1038" spans="2:30" x14ac:dyDescent="0.3">
      <c r="B1038" s="10" t="s">
        <v>389</v>
      </c>
      <c r="C1038" s="315"/>
      <c r="D1038" s="868" t="s">
        <v>244</v>
      </c>
      <c r="E1038" s="837" t="str">
        <f>IFERROR(IF(_xlfn.XLOOKUP(Imput[[#This Row],[RFC]],'Alta Proveedor'!D:D,'Alta Proveedor'!E:E)=0,"",_xlfn.XLOOKUP(Imput[[#This Row],[RFC]],'Alta Proveedor'!D:D,'Alta Proveedor'!E:E)),"")</f>
        <v>CADENA COMERCIAL OXXO</v>
      </c>
      <c r="F1038" s="836" t="s">
        <v>3581</v>
      </c>
      <c r="G1038" s="187">
        <v>1</v>
      </c>
      <c r="H1038" s="1">
        <v>16.378</v>
      </c>
      <c r="I1038" s="169">
        <f>Imput[[#This Row],[Cantidad]]*Imput[[#This Row],[Precio Unitario]]</f>
        <v>16.378</v>
      </c>
      <c r="J1038" s="11">
        <f>((Imput[[#This Row],[Sub total]])*(0.16))</f>
        <v>2.6204800000000001</v>
      </c>
      <c r="K1038" s="11">
        <v>0</v>
      </c>
      <c r="L1038" s="169">
        <f>Imput[[#This Row],[Sub total]]+Imput[[#This Row],[IVA]]-Imput[[#This Row],[Retención / IEPS / Descuento]]</f>
        <v>18.998480000000001</v>
      </c>
      <c r="M1038" s="844">
        <v>0</v>
      </c>
      <c r="N1038" s="189" t="s">
        <v>123</v>
      </c>
      <c r="O1038" s="1"/>
      <c r="P1038" s="189" t="s">
        <v>3578</v>
      </c>
      <c r="Q1038" s="190" t="s">
        <v>3579</v>
      </c>
      <c r="R1038" s="188">
        <v>45929</v>
      </c>
      <c r="S1038" s="193" t="s">
        <v>294</v>
      </c>
      <c r="T1038" s="192"/>
      <c r="U1038" s="829"/>
      <c r="V1038" s="10"/>
      <c r="W1038" s="10"/>
      <c r="X1038" s="10"/>
      <c r="Y1038" s="10"/>
      <c r="Z1038" s="10"/>
      <c r="AA1038" s="11"/>
      <c r="AB1038" s="11"/>
    </row>
    <row r="1039" spans="2:30" x14ac:dyDescent="0.3">
      <c r="B1039" s="10" t="s">
        <v>389</v>
      </c>
      <c r="C1039" s="315"/>
      <c r="D1039" s="868" t="s">
        <v>244</v>
      </c>
      <c r="E1039" s="837" t="str">
        <f>IFERROR(IF(_xlfn.XLOOKUP(Imput[[#This Row],[RFC]],'Alta Proveedor'!D:D,'Alta Proveedor'!E:E)=0,"",_xlfn.XLOOKUP(Imput[[#This Row],[RFC]],'Alta Proveedor'!D:D,'Alta Proveedor'!E:E)),"")</f>
        <v>CADENA COMERCIAL OXXO</v>
      </c>
      <c r="F1039" s="836" t="s">
        <v>3585</v>
      </c>
      <c r="G1039" s="187">
        <v>2</v>
      </c>
      <c r="H1039" s="1">
        <v>16.664999999999999</v>
      </c>
      <c r="I1039" s="169">
        <f>Imput[[#This Row],[Cantidad]]*Imput[[#This Row],[Precio Unitario]]</f>
        <v>33.33</v>
      </c>
      <c r="J1039" s="11">
        <f>((Imput[[#This Row],[Sub total]])*(0.08))</f>
        <v>2.6663999999999999</v>
      </c>
      <c r="K1039" s="11">
        <v>0</v>
      </c>
      <c r="L1039" s="169">
        <f>Imput[[#This Row],[Sub total]]+Imput[[#This Row],[IVA]]-Imput[[#This Row],[Retención / IEPS / Descuento]]</f>
        <v>35.996400000000001</v>
      </c>
      <c r="M1039" s="844">
        <v>93.996399999999994</v>
      </c>
      <c r="N1039" s="189" t="s">
        <v>123</v>
      </c>
      <c r="O1039" s="1"/>
      <c r="P1039" s="189" t="s">
        <v>3583</v>
      </c>
      <c r="Q1039" s="190" t="s">
        <v>3584</v>
      </c>
      <c r="R1039" s="188">
        <v>45929</v>
      </c>
      <c r="S1039" s="193" t="s">
        <v>294</v>
      </c>
      <c r="T1039" s="192"/>
      <c r="U1039" s="829"/>
      <c r="V1039" s="10"/>
      <c r="W1039" s="10"/>
      <c r="X1039" s="10"/>
      <c r="Y1039" s="10"/>
      <c r="Z1039" s="10"/>
      <c r="AA1039" s="11"/>
      <c r="AB1039" s="11"/>
    </row>
    <row r="1040" spans="2:30" x14ac:dyDescent="0.3">
      <c r="B1040" s="10" t="s">
        <v>389</v>
      </c>
      <c r="C1040" s="315"/>
      <c r="D1040" s="868" t="s">
        <v>244</v>
      </c>
      <c r="E1040" s="837" t="str">
        <f>IFERROR(IF(_xlfn.XLOOKUP(Imput[[#This Row],[RFC]],'Alta Proveedor'!D:D,'Alta Proveedor'!E:E)=0,"",_xlfn.XLOOKUP(Imput[[#This Row],[RFC]],'Alta Proveedor'!D:D,'Alta Proveedor'!E:E)),"")</f>
        <v>CADENA COMERCIAL OXXO</v>
      </c>
      <c r="F1040" s="836" t="s">
        <v>3586</v>
      </c>
      <c r="G1040" s="187">
        <v>1</v>
      </c>
      <c r="H1040" s="1">
        <v>32.76</v>
      </c>
      <c r="I1040" s="169">
        <f>Imput[[#This Row],[Cantidad]]*Imput[[#This Row],[Precio Unitario]]</f>
        <v>32.76</v>
      </c>
      <c r="J1040" s="11">
        <f>((Imput[[#This Row],[Sub total]])*(0.16))</f>
        <v>5.2416</v>
      </c>
      <c r="K1040" s="11">
        <v>0</v>
      </c>
      <c r="L1040" s="169">
        <f>Imput[[#This Row],[Sub total]]+Imput[[#This Row],[IVA]]-Imput[[#This Row],[Retención / IEPS / Descuento]]</f>
        <v>38.001599999999996</v>
      </c>
      <c r="M1040" s="844">
        <v>0</v>
      </c>
      <c r="N1040" s="189" t="s">
        <v>123</v>
      </c>
      <c r="O1040" s="1"/>
      <c r="P1040" s="189" t="s">
        <v>3583</v>
      </c>
      <c r="Q1040" s="190" t="s">
        <v>3584</v>
      </c>
      <c r="R1040" s="188">
        <v>45929</v>
      </c>
      <c r="S1040" s="193" t="s">
        <v>294</v>
      </c>
      <c r="T1040" s="192"/>
      <c r="U1040" s="829"/>
      <c r="V1040" s="10"/>
      <c r="W1040" s="10"/>
      <c r="X1040" s="10"/>
      <c r="Y1040" s="10"/>
      <c r="Z1040" s="10"/>
      <c r="AA1040" s="11"/>
      <c r="AB1040" s="11"/>
    </row>
    <row r="1041" spans="2:28" x14ac:dyDescent="0.3">
      <c r="B1041" s="10" t="s">
        <v>389</v>
      </c>
      <c r="C1041" s="315"/>
      <c r="D1041" s="868" t="s">
        <v>244</v>
      </c>
      <c r="E1041" s="837" t="str">
        <f>IFERROR(IF(_xlfn.XLOOKUP(Imput[[#This Row],[RFC]],'Alta Proveedor'!D:D,'Alta Proveedor'!E:E)=0,"",_xlfn.XLOOKUP(Imput[[#This Row],[RFC]],'Alta Proveedor'!D:D,'Alta Proveedor'!E:E)),"")</f>
        <v>CADENA COMERCIAL OXXO</v>
      </c>
      <c r="F1041" s="836" t="s">
        <v>1576</v>
      </c>
      <c r="G1041" s="187">
        <v>1</v>
      </c>
      <c r="H1041" s="1">
        <v>17.239999999999998</v>
      </c>
      <c r="I1041" s="169">
        <f>Imput[[#This Row],[Cantidad]]*Imput[[#This Row],[Precio Unitario]]</f>
        <v>17.239999999999998</v>
      </c>
      <c r="J1041" s="11">
        <f>((Imput[[#This Row],[Sub total]])*(0.16))</f>
        <v>2.7584</v>
      </c>
      <c r="K1041" s="11">
        <v>0</v>
      </c>
      <c r="L1041" s="169">
        <f>Imput[[#This Row],[Sub total]]+Imput[[#This Row],[IVA]]-Imput[[#This Row],[Retención / IEPS / Descuento]]</f>
        <v>19.998399999999997</v>
      </c>
      <c r="M1041" s="844">
        <v>0</v>
      </c>
      <c r="N1041" s="189" t="s">
        <v>123</v>
      </c>
      <c r="O1041" s="1"/>
      <c r="P1041" s="189" t="s">
        <v>3583</v>
      </c>
      <c r="Q1041" s="190" t="s">
        <v>3584</v>
      </c>
      <c r="R1041" s="188">
        <v>45929</v>
      </c>
      <c r="S1041" s="193" t="s">
        <v>294</v>
      </c>
      <c r="T1041" s="192"/>
      <c r="U1041" s="829"/>
      <c r="V1041" s="10"/>
      <c r="W1041" s="10"/>
      <c r="X1041" s="10"/>
      <c r="Y1041" s="10"/>
      <c r="Z1041" s="10"/>
      <c r="AA1041" s="11"/>
      <c r="AB1041" s="11"/>
    </row>
    <row r="1042" spans="2:28" x14ac:dyDescent="0.3">
      <c r="B1042" s="10" t="s">
        <v>389</v>
      </c>
      <c r="C1042" s="315"/>
      <c r="D1042" s="868" t="s">
        <v>244</v>
      </c>
      <c r="E1042" s="837" t="str">
        <f>IFERROR(IF(_xlfn.XLOOKUP(Imput[[#This Row],[RFC]],'Alta Proveedor'!D:D,'Alta Proveedor'!E:E)=0,"",_xlfn.XLOOKUP(Imput[[#This Row],[RFC]],'Alta Proveedor'!D:D,'Alta Proveedor'!E:E)),"")</f>
        <v>CADENA COMERCIAL OXXO</v>
      </c>
      <c r="F1042" s="832" t="s">
        <v>1232</v>
      </c>
      <c r="G1042" s="187">
        <v>1</v>
      </c>
      <c r="H1042" s="1">
        <v>17.239999999999998</v>
      </c>
      <c r="I1042" s="169">
        <f>Imput[[#This Row],[Cantidad]]*Imput[[#This Row],[Precio Unitario]]</f>
        <v>17.239999999999998</v>
      </c>
      <c r="J1042" s="11">
        <v>0</v>
      </c>
      <c r="K1042" s="11">
        <v>17.239999999999998</v>
      </c>
      <c r="L1042" s="169">
        <f>Imput[[#This Row],[Sub total]]+Imput[[#This Row],[IVA]]-Imput[[#This Row],[Retención / IEPS / Descuento]]</f>
        <v>0</v>
      </c>
      <c r="M1042" s="844">
        <v>0</v>
      </c>
      <c r="N1042" s="189" t="s">
        <v>123</v>
      </c>
      <c r="O1042" s="1"/>
      <c r="P1042" s="189" t="s">
        <v>3587</v>
      </c>
      <c r="Q1042" s="190" t="s">
        <v>3588</v>
      </c>
      <c r="R1042" s="188">
        <v>45929</v>
      </c>
      <c r="S1042" s="193" t="s">
        <v>3589</v>
      </c>
      <c r="T1042" s="192"/>
      <c r="U1042" s="829"/>
      <c r="V1042" s="10"/>
      <c r="W1042" s="10"/>
      <c r="X1042" s="10"/>
      <c r="Y1042" s="10"/>
      <c r="Z1042" s="10"/>
      <c r="AA1042" s="11"/>
      <c r="AB1042" s="11"/>
    </row>
    <row r="1043" spans="2:28" x14ac:dyDescent="0.3">
      <c r="B1043" s="10" t="s">
        <v>389</v>
      </c>
      <c r="C1043" s="315"/>
      <c r="D1043" s="868" t="s">
        <v>3592</v>
      </c>
      <c r="E1043" s="837" t="str">
        <f>IFERROR(IF(_xlfn.XLOOKUP(Imput[[#This Row],[RFC]],'Alta Proveedor'!D:D,'Alta Proveedor'!E:E)=0,"",_xlfn.XLOOKUP(Imput[[#This Row],[RFC]],'Alta Proveedor'!D:D,'Alta Proveedor'!E:E)),"")</f>
        <v>DHL EXPRESS MEXICO (PAQUETERIA)</v>
      </c>
      <c r="F1043" s="832" t="s">
        <v>3594</v>
      </c>
      <c r="G1043" s="187">
        <v>1</v>
      </c>
      <c r="H1043" s="1">
        <v>413.79</v>
      </c>
      <c r="I1043" s="169">
        <f>Imput[[#This Row],[Cantidad]]*Imput[[#This Row],[Precio Unitario]]</f>
        <v>413.79</v>
      </c>
      <c r="J1043" s="11">
        <f>((Imput[[#This Row],[Sub total]]-45.15)*(0.16))</f>
        <v>58.982400000000005</v>
      </c>
      <c r="K1043" s="11">
        <v>45.15</v>
      </c>
      <c r="L1043" s="169">
        <f>Imput[[#This Row],[Sub total]]+Imput[[#This Row],[IVA]]-Imput[[#This Row],[Retención / IEPS / Descuento]]</f>
        <v>427.62240000000003</v>
      </c>
      <c r="M1043" s="844">
        <v>427.62240000000003</v>
      </c>
      <c r="N1043" s="189" t="s">
        <v>123</v>
      </c>
      <c r="O1043" s="1"/>
      <c r="P1043" s="189" t="s">
        <v>3590</v>
      </c>
      <c r="Q1043" s="190" t="s">
        <v>3591</v>
      </c>
      <c r="R1043" s="188">
        <v>45925</v>
      </c>
      <c r="S1043" s="193" t="s">
        <v>126</v>
      </c>
      <c r="T1043" s="192"/>
      <c r="U1043" s="829"/>
      <c r="V1043" s="10"/>
      <c r="W1043" s="10"/>
      <c r="X1043" s="10"/>
      <c r="Y1043" s="10"/>
      <c r="Z1043" s="10"/>
      <c r="AA1043" s="11"/>
      <c r="AB1043" s="11"/>
    </row>
    <row r="1044" spans="2:28" x14ac:dyDescent="0.3">
      <c r="B1044" s="10" t="s">
        <v>389</v>
      </c>
      <c r="C1044" s="315" t="s">
        <v>1767</v>
      </c>
      <c r="D1044" s="868" t="s">
        <v>3597</v>
      </c>
      <c r="E1044" s="837" t="str">
        <f>IFERROR(IF(_xlfn.XLOOKUP(Imput[[#This Row],[RFC]],'Alta Proveedor'!D:D,'Alta Proveedor'!E:E)=0,"",_xlfn.XLOOKUP(Imput[[#This Row],[RFC]],'Alta Proveedor'!D:D,'Alta Proveedor'!E:E)),"")</f>
        <v>GASOLINERA ARCE INTEREJIDAL "MOBIL" (COMBUSTIBLES)</v>
      </c>
      <c r="F1044" s="832" t="s">
        <v>1114</v>
      </c>
      <c r="G1044" s="187">
        <v>60.490034000000001</v>
      </c>
      <c r="H1044" s="1">
        <f>1390.52/Imput[[#This Row],[Cantidad]]</f>
        <v>22.987588335625667</v>
      </c>
      <c r="I1044" s="169">
        <f>Imput[[#This Row],[Cantidad]]*Imput[[#This Row],[Precio Unitario]]</f>
        <v>1390.52</v>
      </c>
      <c r="J1044" s="11">
        <f>((1361.9375)*(0.16))</f>
        <v>217.91</v>
      </c>
      <c r="K1044" s="11">
        <v>0</v>
      </c>
      <c r="L1044" s="169">
        <f>Imput[[#This Row],[Sub total]]+Imput[[#This Row],[IVA]]-Imput[[#This Row],[Retención / IEPS / Descuento]]</f>
        <v>1608.43</v>
      </c>
      <c r="M1044" s="844">
        <v>1608.43</v>
      </c>
      <c r="N1044" s="189" t="s">
        <v>123</v>
      </c>
      <c r="O1044" s="1"/>
      <c r="P1044" s="189" t="s">
        <v>3595</v>
      </c>
      <c r="Q1044" s="190" t="s">
        <v>3596</v>
      </c>
      <c r="R1044" s="188">
        <v>45917</v>
      </c>
      <c r="S1044" s="193" t="s">
        <v>126</v>
      </c>
      <c r="T1044" s="192"/>
      <c r="U1044" s="829"/>
      <c r="V1044" s="10"/>
      <c r="W1044" s="10"/>
      <c r="X1044" s="10"/>
      <c r="Y1044" s="10"/>
      <c r="Z1044" s="10"/>
      <c r="AA1044" s="11"/>
      <c r="AB1044" s="11"/>
    </row>
    <row r="1045" spans="2:28" x14ac:dyDescent="0.3">
      <c r="B1045" s="10" t="s">
        <v>392</v>
      </c>
      <c r="C1045" s="315" t="s">
        <v>1767</v>
      </c>
      <c r="D1045" s="868" t="s">
        <v>3601</v>
      </c>
      <c r="E1045" s="837" t="str">
        <f>IFERROR(IF(_xlfn.XLOOKUP(Imput[[#This Row],[RFC]],'Alta Proveedor'!D:D,'Alta Proveedor'!E:E)=0,"",_xlfn.XLOOKUP(Imput[[#This Row],[RFC]],'Alta Proveedor'!D:D,'Alta Proveedor'!E:E)),"")</f>
        <v>Estacion de servicio No. 13676 LIDIA ALICIA CHAPA JARAMILLO "PEMEX" (COMBUSTIBLES)</v>
      </c>
      <c r="F1045" s="836" t="s">
        <v>237</v>
      </c>
      <c r="G1045" s="187">
        <v>61.387999999999998</v>
      </c>
      <c r="H1045" s="1">
        <f>1252.52/Imput[[#This Row],[Cantidad]]</f>
        <v>20.403336156903631</v>
      </c>
      <c r="I1045" s="169">
        <f>Imput[[#This Row],[Cantidad]]*Imput[[#This Row],[Precio Unitario]]</f>
        <v>1252.52</v>
      </c>
      <c r="J1045" s="11">
        <v>97.4</v>
      </c>
      <c r="K1045" s="11">
        <v>0</v>
      </c>
      <c r="L1045" s="169">
        <f>Imput[[#This Row],[Sub total]]+Imput[[#This Row],[IVA]]-Imput[[#This Row],[Retención / IEPS / Descuento]]</f>
        <v>1349.92</v>
      </c>
      <c r="M1045" s="844">
        <v>1349.92</v>
      </c>
      <c r="N1045" s="189" t="s">
        <v>123</v>
      </c>
      <c r="O1045" s="1"/>
      <c r="P1045" s="189" t="s">
        <v>3599</v>
      </c>
      <c r="Q1045" s="190" t="s">
        <v>3600</v>
      </c>
      <c r="R1045" s="188">
        <v>45943</v>
      </c>
      <c r="S1045" s="193" t="s">
        <v>126</v>
      </c>
      <c r="T1045" s="192"/>
      <c r="U1045" s="829"/>
      <c r="V1045" s="10"/>
      <c r="W1045" s="10"/>
      <c r="X1045" s="10"/>
      <c r="Y1045" s="10"/>
      <c r="Z1045" s="10"/>
      <c r="AA1045" s="11"/>
      <c r="AB1045" s="11"/>
    </row>
    <row r="1046" spans="2:28" x14ac:dyDescent="0.3">
      <c r="B1046" s="10" t="s">
        <v>394</v>
      </c>
      <c r="C1046" s="315"/>
      <c r="D1046" s="868" t="s">
        <v>3605</v>
      </c>
      <c r="E1046" s="837" t="str">
        <f>IFERROR(IF(_xlfn.XLOOKUP(Imput[[#This Row],[RFC]],'Alta Proveedor'!D:D,'Alta Proveedor'!E:E)=0,"",_xlfn.XLOOKUP(Imput[[#This Row],[RFC]],'Alta Proveedor'!D:D,'Alta Proveedor'!E:E)),"")</f>
        <v>MEGA MATERIALES PARA CONSTRUCCION (JOSE ANGEL CABALLERO DE LOS REYES)</v>
      </c>
      <c r="F1046" s="832" t="s">
        <v>3607</v>
      </c>
      <c r="G1046" s="187">
        <v>29</v>
      </c>
      <c r="H1046" s="1">
        <v>116.37</v>
      </c>
      <c r="I1046" s="169">
        <f>Imput[[#This Row],[Cantidad]]*Imput[[#This Row],[Precio Unitario]]</f>
        <v>3374.73</v>
      </c>
      <c r="J1046" s="11">
        <f>((Imput[[#This Row],[Sub total]])*(0.160004))</f>
        <v>539.97029892</v>
      </c>
      <c r="K1046" s="11">
        <v>0</v>
      </c>
      <c r="L1046" s="169">
        <f>Imput[[#This Row],[Sub total]]+Imput[[#This Row],[IVA]]-Imput[[#This Row],[Retención / IEPS / Descuento]]</f>
        <v>3914.70029892</v>
      </c>
      <c r="M1046" s="844">
        <v>4649.6440332000002</v>
      </c>
      <c r="N1046" s="189" t="s">
        <v>123</v>
      </c>
      <c r="O1046" s="1"/>
      <c r="P1046" s="189" t="s">
        <v>3603</v>
      </c>
      <c r="Q1046" s="190" t="s">
        <v>3604</v>
      </c>
      <c r="R1046" s="188">
        <v>45947</v>
      </c>
      <c r="S1046" s="193" t="s">
        <v>126</v>
      </c>
      <c r="T1046" s="192"/>
      <c r="U1046" s="829"/>
      <c r="V1046" s="10"/>
      <c r="W1046" s="10"/>
      <c r="X1046" s="10"/>
      <c r="Y1046" s="10"/>
      <c r="Z1046" s="10"/>
      <c r="AA1046" s="11"/>
      <c r="AB1046" s="11"/>
    </row>
    <row r="1047" spans="2:28" x14ac:dyDescent="0.3">
      <c r="B1047" s="10" t="s">
        <v>394</v>
      </c>
      <c r="C1047" s="315"/>
      <c r="D1047" s="868" t="s">
        <v>3605</v>
      </c>
      <c r="E1047" s="837" t="str">
        <f>IFERROR(IF(_xlfn.XLOOKUP(Imput[[#This Row],[RFC]],'Alta Proveedor'!D:D,'Alta Proveedor'!E:E)=0,"",_xlfn.XLOOKUP(Imput[[#This Row],[RFC]],'Alta Proveedor'!D:D,'Alta Proveedor'!E:E)),"")</f>
        <v>MEGA MATERIALES PARA CONSTRUCCION (JOSE ANGEL CABALLERO DE LOS REYES)</v>
      </c>
      <c r="F1047" s="832" t="s">
        <v>3608</v>
      </c>
      <c r="G1047" s="187">
        <v>5</v>
      </c>
      <c r="H1047" s="1">
        <v>116.37</v>
      </c>
      <c r="I1047" s="169">
        <f>Imput[[#This Row],[Cantidad]]*Imput[[#This Row],[Precio Unitario]]</f>
        <v>581.85</v>
      </c>
      <c r="J1047" s="11">
        <f>((Imput[[#This Row],[Sub total]])*(0.160004))</f>
        <v>93.098327400000002</v>
      </c>
      <c r="K1047" s="11">
        <v>0</v>
      </c>
      <c r="L1047" s="169">
        <f>Imput[[#This Row],[Sub total]]+Imput[[#This Row],[IVA]]-Imput[[#This Row],[Retención / IEPS / Descuento]]</f>
        <v>674.94832740000004</v>
      </c>
      <c r="M1047" s="844">
        <v>0</v>
      </c>
      <c r="N1047" s="189" t="s">
        <v>123</v>
      </c>
      <c r="O1047" s="1"/>
      <c r="P1047" s="189" t="s">
        <v>3603</v>
      </c>
      <c r="Q1047" s="190" t="s">
        <v>3604</v>
      </c>
      <c r="R1047" s="188">
        <v>45947</v>
      </c>
      <c r="S1047" s="193" t="s">
        <v>126</v>
      </c>
      <c r="T1047" s="192"/>
      <c r="U1047" s="829"/>
      <c r="V1047" s="10"/>
      <c r="W1047" s="10"/>
      <c r="X1047" s="10"/>
      <c r="Y1047" s="10"/>
      <c r="Z1047" s="10"/>
      <c r="AA1047" s="11"/>
      <c r="AB1047" s="11"/>
    </row>
    <row r="1048" spans="2:28" x14ac:dyDescent="0.3">
      <c r="B1048" s="10" t="s">
        <v>394</v>
      </c>
      <c r="C1048" s="315"/>
      <c r="D1048" s="868" t="s">
        <v>3605</v>
      </c>
      <c r="E1048" s="837" t="str">
        <f>IFERROR(IF(_xlfn.XLOOKUP(Imput[[#This Row],[RFC]],'Alta Proveedor'!D:D,'Alta Proveedor'!E:E)=0,"",_xlfn.XLOOKUP(Imput[[#This Row],[RFC]],'Alta Proveedor'!D:D,'Alta Proveedor'!E:E)),"")</f>
        <v>MEGA MATERIALES PARA CONSTRUCCION (JOSE ANGEL CABALLERO DE LOS REYES)</v>
      </c>
      <c r="F1048" s="832" t="s">
        <v>3609</v>
      </c>
      <c r="G1048" s="187">
        <v>2</v>
      </c>
      <c r="H1048" s="1">
        <v>25.86</v>
      </c>
      <c r="I1048" s="169">
        <f>Imput[[#This Row],[Cantidad]]*Imput[[#This Row],[Precio Unitario]]</f>
        <v>51.72</v>
      </c>
      <c r="J1048" s="11">
        <f>((Imput[[#This Row],[Sub total]])*(0.160004))</f>
        <v>8.2754068800000002</v>
      </c>
      <c r="K1048" s="11">
        <v>0</v>
      </c>
      <c r="L1048" s="169">
        <f>Imput[[#This Row],[Sub total]]+Imput[[#This Row],[IVA]]-Imput[[#This Row],[Retención / IEPS / Descuento]]</f>
        <v>59.995406879999997</v>
      </c>
      <c r="M1048" s="844">
        <v>0</v>
      </c>
      <c r="N1048" s="189" t="s">
        <v>123</v>
      </c>
      <c r="O1048" s="1"/>
      <c r="P1048" s="189" t="s">
        <v>3603</v>
      </c>
      <c r="Q1048" s="190" t="s">
        <v>3604</v>
      </c>
      <c r="R1048" s="188">
        <v>45947</v>
      </c>
      <c r="S1048" s="193" t="s">
        <v>126</v>
      </c>
      <c r="T1048" s="192"/>
      <c r="U1048" s="829"/>
      <c r="V1048" s="10"/>
      <c r="W1048" s="10"/>
      <c r="X1048" s="10"/>
      <c r="Y1048" s="10"/>
      <c r="Z1048" s="10"/>
      <c r="AA1048" s="11"/>
      <c r="AB1048" s="11"/>
    </row>
    <row r="1049" spans="2:28" x14ac:dyDescent="0.3">
      <c r="B1049" s="10" t="s">
        <v>389</v>
      </c>
      <c r="C1049" s="315" t="s">
        <v>1767</v>
      </c>
      <c r="D1049" s="868" t="s">
        <v>3442</v>
      </c>
      <c r="E1049" s="837" t="str">
        <f>IFERROR(IF(_xlfn.XLOOKUP(Imput[[#This Row],[RFC]],'Alta Proveedor'!D:D,'Alta Proveedor'!E:E)=0,"",_xlfn.XLOOKUP(Imput[[#This Row],[RFC]],'Alta Proveedor'!D:D,'Alta Proveedor'!E:E)),"")</f>
        <v>GASOLINERA 8 BOULEVARD (COMBUSTIBLES)</v>
      </c>
      <c r="F1049" s="836" t="s">
        <v>237</v>
      </c>
      <c r="G1049" s="187">
        <v>58.573</v>
      </c>
      <c r="H1049" s="1">
        <v>20.759387</v>
      </c>
      <c r="I1049" s="169">
        <f>Imput[[#This Row],[Cantidad]]*Imput[[#This Row],[Precio Unitario]]</f>
        <v>1215.939574751</v>
      </c>
      <c r="J1049" s="11">
        <f>((1182.56)*(0.16))</f>
        <v>189.20959999999999</v>
      </c>
      <c r="K1049" s="11">
        <v>0</v>
      </c>
      <c r="L1049" s="169">
        <f>Imput[[#This Row],[Sub total]]+Imput[[#This Row],[IVA]]-Imput[[#This Row],[Retención / IEPS / Descuento]]</f>
        <v>1405.1491747509999</v>
      </c>
      <c r="M1049" s="844">
        <v>1405.1491747509999</v>
      </c>
      <c r="N1049" s="189" t="s">
        <v>123</v>
      </c>
      <c r="O1049" s="1"/>
      <c r="P1049" s="189" t="s">
        <v>3610</v>
      </c>
      <c r="Q1049" s="190" t="s">
        <v>3611</v>
      </c>
      <c r="R1049" s="188">
        <v>45922</v>
      </c>
      <c r="S1049" s="193" t="s">
        <v>126</v>
      </c>
      <c r="T1049" s="192"/>
      <c r="U1049" s="829"/>
      <c r="V1049" s="10"/>
      <c r="W1049" s="10"/>
      <c r="X1049" s="10"/>
      <c r="Y1049" s="10"/>
      <c r="Z1049" s="10"/>
      <c r="AA1049" s="11"/>
      <c r="AB1049" s="11"/>
    </row>
    <row r="1050" spans="2:28" x14ac:dyDescent="0.3">
      <c r="B1050" s="10" t="s">
        <v>389</v>
      </c>
      <c r="C1050" s="315"/>
      <c r="D1050" s="868" t="s">
        <v>164</v>
      </c>
      <c r="E1050" s="837" t="str">
        <f>IFERROR(IF(_xlfn.XLOOKUP(Imput[[#This Row],[RFC]],'Alta Proveedor'!D:D,'Alta Proveedor'!E:E)=0,"",_xlfn.XLOOKUP(Imput[[#This Row],[RFC]],'Alta Proveedor'!D:D,'Alta Proveedor'!E:E)),"")</f>
        <v>HOME DEPOT MEXICO SUCURSAL THD-8730 TAMPICO</v>
      </c>
      <c r="F1050" s="832" t="s">
        <v>3614</v>
      </c>
      <c r="G1050" s="187">
        <v>16</v>
      </c>
      <c r="H1050" s="1">
        <f>1303.45/16</f>
        <v>81.465625000000003</v>
      </c>
      <c r="I1050" s="169">
        <f>Imput[[#This Row],[Cantidad]]*Imput[[#This Row],[Precio Unitario]]</f>
        <v>1303.45</v>
      </c>
      <c r="J1050" s="11">
        <f>((Imput[[#This Row],[Sub total]]-195.52)*(0.16))</f>
        <v>177.26880000000003</v>
      </c>
      <c r="K1050" s="11">
        <v>195.52</v>
      </c>
      <c r="L1050" s="169">
        <f>Imput[[#This Row],[Sub total]]+Imput[[#This Row],[IVA]]-Imput[[#This Row],[Retención / IEPS / Descuento]]</f>
        <v>1285.1988000000001</v>
      </c>
      <c r="M1050" s="844">
        <v>4297.3707999999997</v>
      </c>
      <c r="N1050" s="189" t="s">
        <v>123</v>
      </c>
      <c r="O1050" s="1"/>
      <c r="P1050" s="189" t="s">
        <v>3612</v>
      </c>
      <c r="Q1050" s="190" t="s">
        <v>3613</v>
      </c>
      <c r="R1050" s="188">
        <v>45918</v>
      </c>
      <c r="S1050" s="193" t="s">
        <v>126</v>
      </c>
      <c r="T1050" s="192"/>
      <c r="U1050" s="829"/>
      <c r="V1050" s="10"/>
      <c r="W1050" s="10"/>
      <c r="X1050" s="10"/>
      <c r="Y1050" s="10"/>
      <c r="Z1050" s="10"/>
      <c r="AA1050" s="11"/>
      <c r="AB1050" s="11"/>
    </row>
    <row r="1051" spans="2:28" x14ac:dyDescent="0.3">
      <c r="B1051" s="10" t="s">
        <v>389</v>
      </c>
      <c r="C1051" s="315"/>
      <c r="D1051" s="868" t="s">
        <v>164</v>
      </c>
      <c r="E1051" s="837" t="str">
        <f>IFERROR(IF(_xlfn.XLOOKUP(Imput[[#This Row],[RFC]],'Alta Proveedor'!D:D,'Alta Proveedor'!E:E)=0,"",_xlfn.XLOOKUP(Imput[[#This Row],[RFC]],'Alta Proveedor'!D:D,'Alta Proveedor'!E:E)),"")</f>
        <v>HOME DEPOT MEXICO SUCURSAL THD-8730 TAMPICO</v>
      </c>
      <c r="F1051" s="832" t="s">
        <v>3615</v>
      </c>
      <c r="G1051" s="187">
        <v>10</v>
      </c>
      <c r="H1051" s="1">
        <f>793.62/10</f>
        <v>79.361999999999995</v>
      </c>
      <c r="I1051" s="169">
        <f>Imput[[#This Row],[Cantidad]]*Imput[[#This Row],[Precio Unitario]]</f>
        <v>793.61999999999989</v>
      </c>
      <c r="J1051" s="11">
        <f>((Imput[[#This Row],[Sub total]])*(0.16))</f>
        <v>126.97919999999999</v>
      </c>
      <c r="K1051" s="11">
        <v>0</v>
      </c>
      <c r="L1051" s="169">
        <f>Imput[[#This Row],[Sub total]]+Imput[[#This Row],[IVA]]-Imput[[#This Row],[Retención / IEPS / Descuento]]</f>
        <v>920.59919999999988</v>
      </c>
      <c r="M1051" s="844">
        <v>0</v>
      </c>
      <c r="N1051" s="189" t="s">
        <v>123</v>
      </c>
      <c r="O1051" s="1"/>
      <c r="P1051" s="189" t="s">
        <v>3612</v>
      </c>
      <c r="Q1051" s="190" t="s">
        <v>3613</v>
      </c>
      <c r="R1051" s="188">
        <v>45918</v>
      </c>
      <c r="S1051" s="193" t="s">
        <v>126</v>
      </c>
      <c r="T1051" s="192"/>
      <c r="U1051" s="829"/>
      <c r="V1051" s="10"/>
      <c r="W1051" s="10"/>
      <c r="X1051" s="10"/>
      <c r="Y1051" s="10"/>
      <c r="Z1051" s="10"/>
      <c r="AA1051" s="11"/>
      <c r="AB1051" s="11"/>
    </row>
    <row r="1052" spans="2:28" x14ac:dyDescent="0.3">
      <c r="B1052" s="10" t="s">
        <v>389</v>
      </c>
      <c r="C1052" s="315"/>
      <c r="D1052" s="868" t="s">
        <v>164</v>
      </c>
      <c r="E1052" s="837" t="str">
        <f>IFERROR(IF(_xlfn.XLOOKUP(Imput[[#This Row],[RFC]],'Alta Proveedor'!D:D,'Alta Proveedor'!E:E)=0,"",_xlfn.XLOOKUP(Imput[[#This Row],[RFC]],'Alta Proveedor'!D:D,'Alta Proveedor'!E:E)),"")</f>
        <v>HOME DEPOT MEXICO SUCURSAL THD-8730 TAMPICO</v>
      </c>
      <c r="F1052" s="832" t="s">
        <v>3616</v>
      </c>
      <c r="G1052" s="187">
        <v>1</v>
      </c>
      <c r="H1052" s="1">
        <v>738.21</v>
      </c>
      <c r="I1052" s="169">
        <f>Imput[[#This Row],[Cantidad]]*Imput[[#This Row],[Precio Unitario]]</f>
        <v>738.21</v>
      </c>
      <c r="J1052" s="11">
        <f>((Imput[[#This Row],[Sub total]])*(0.16))</f>
        <v>118.11360000000001</v>
      </c>
      <c r="K1052" s="11">
        <v>0</v>
      </c>
      <c r="L1052" s="169">
        <f>Imput[[#This Row],[Sub total]]+Imput[[#This Row],[IVA]]-Imput[[#This Row],[Retención / IEPS / Descuento]]</f>
        <v>856.32360000000006</v>
      </c>
      <c r="M1052" s="844">
        <v>0</v>
      </c>
      <c r="N1052" s="189" t="s">
        <v>123</v>
      </c>
      <c r="O1052" s="1"/>
      <c r="P1052" s="189" t="s">
        <v>3612</v>
      </c>
      <c r="Q1052" s="190" t="s">
        <v>3613</v>
      </c>
      <c r="R1052" s="188">
        <v>45918</v>
      </c>
      <c r="S1052" s="193" t="s">
        <v>126</v>
      </c>
      <c r="T1052" s="192"/>
      <c r="U1052" s="829"/>
      <c r="V1052" s="10"/>
      <c r="W1052" s="10"/>
      <c r="X1052" s="10"/>
      <c r="Y1052" s="10"/>
      <c r="Z1052" s="10"/>
      <c r="AA1052" s="11"/>
      <c r="AB1052" s="11"/>
    </row>
    <row r="1053" spans="2:28" x14ac:dyDescent="0.3">
      <c r="B1053" s="10" t="s">
        <v>389</v>
      </c>
      <c r="C1053" s="315"/>
      <c r="D1053" s="868" t="s">
        <v>164</v>
      </c>
      <c r="E1053" s="837" t="str">
        <f>IFERROR(IF(_xlfn.XLOOKUP(Imput[[#This Row],[RFC]],'Alta Proveedor'!D:D,'Alta Proveedor'!E:E)=0,"",_xlfn.XLOOKUP(Imput[[#This Row],[RFC]],'Alta Proveedor'!D:D,'Alta Proveedor'!E:E)),"")</f>
        <v>HOME DEPOT MEXICO SUCURSAL THD-8730 TAMPICO</v>
      </c>
      <c r="F1053" s="832" t="s">
        <v>3617</v>
      </c>
      <c r="G1053" s="187">
        <v>1</v>
      </c>
      <c r="H1053" s="1">
        <v>503.17</v>
      </c>
      <c r="I1053" s="169">
        <f>Imput[[#This Row],[Cantidad]]*Imput[[#This Row],[Precio Unitario]]</f>
        <v>503.17</v>
      </c>
      <c r="J1053" s="11">
        <f>((Imput[[#This Row],[Sub total]])*(0.16))</f>
        <v>80.507199999999997</v>
      </c>
      <c r="K1053" s="11">
        <v>0</v>
      </c>
      <c r="L1053" s="169">
        <f>Imput[[#This Row],[Sub total]]+Imput[[#This Row],[IVA]]-Imput[[#This Row],[Retención / IEPS / Descuento]]</f>
        <v>583.67719999999997</v>
      </c>
      <c r="M1053" s="844">
        <v>0</v>
      </c>
      <c r="N1053" s="189" t="s">
        <v>123</v>
      </c>
      <c r="O1053" s="1"/>
      <c r="P1053" s="189" t="s">
        <v>3612</v>
      </c>
      <c r="Q1053" s="190" t="s">
        <v>3613</v>
      </c>
      <c r="R1053" s="188">
        <v>45918</v>
      </c>
      <c r="S1053" s="193" t="s">
        <v>126</v>
      </c>
      <c r="T1053" s="192"/>
      <c r="U1053" s="829"/>
      <c r="V1053" s="10"/>
      <c r="W1053" s="10"/>
      <c r="X1053" s="10"/>
      <c r="Y1053" s="10"/>
      <c r="Z1053" s="10"/>
      <c r="AA1053" s="11"/>
      <c r="AB1053" s="11"/>
    </row>
    <row r="1054" spans="2:28" x14ac:dyDescent="0.3">
      <c r="B1054" s="10" t="s">
        <v>389</v>
      </c>
      <c r="C1054" s="315"/>
      <c r="D1054" s="868" t="s">
        <v>164</v>
      </c>
      <c r="E1054" s="837" t="str">
        <f>IFERROR(IF(_xlfn.XLOOKUP(Imput[[#This Row],[RFC]],'Alta Proveedor'!D:D,'Alta Proveedor'!E:E)=0,"",_xlfn.XLOOKUP(Imput[[#This Row],[RFC]],'Alta Proveedor'!D:D,'Alta Proveedor'!E:E)),"")</f>
        <v>HOME DEPOT MEXICO SUCURSAL THD-8730 TAMPICO</v>
      </c>
      <c r="F1054" s="832" t="s">
        <v>3618</v>
      </c>
      <c r="G1054" s="187">
        <v>1</v>
      </c>
      <c r="H1054" s="1">
        <v>239.25</v>
      </c>
      <c r="I1054" s="169">
        <f>Imput[[#This Row],[Cantidad]]*Imput[[#This Row],[Precio Unitario]]</f>
        <v>239.25</v>
      </c>
      <c r="J1054" s="11">
        <f>((Imput[[#This Row],[Sub total]])*(0.16))</f>
        <v>38.28</v>
      </c>
      <c r="K1054" s="11">
        <v>0</v>
      </c>
      <c r="L1054" s="169">
        <f>Imput[[#This Row],[Sub total]]+Imput[[#This Row],[IVA]]-Imput[[#This Row],[Retención / IEPS / Descuento]]</f>
        <v>277.52999999999997</v>
      </c>
      <c r="M1054" s="844">
        <v>0</v>
      </c>
      <c r="N1054" s="189" t="s">
        <v>123</v>
      </c>
      <c r="O1054" s="1"/>
      <c r="P1054" s="189" t="s">
        <v>3612</v>
      </c>
      <c r="Q1054" s="190" t="s">
        <v>3613</v>
      </c>
      <c r="R1054" s="188">
        <v>45918</v>
      </c>
      <c r="S1054" s="193" t="s">
        <v>126</v>
      </c>
      <c r="T1054" s="192"/>
      <c r="U1054" s="829"/>
      <c r="V1054" s="10"/>
      <c r="W1054" s="10"/>
      <c r="X1054" s="10"/>
      <c r="Y1054" s="10"/>
      <c r="Z1054" s="10"/>
      <c r="AA1054" s="11"/>
      <c r="AB1054" s="11"/>
    </row>
    <row r="1055" spans="2:28" x14ac:dyDescent="0.3">
      <c r="B1055" s="10" t="s">
        <v>389</v>
      </c>
      <c r="C1055" s="315"/>
      <c r="D1055" s="868" t="s">
        <v>164</v>
      </c>
      <c r="E1055" s="837" t="str">
        <f>IFERROR(IF(_xlfn.XLOOKUP(Imput[[#This Row],[RFC]],'Alta Proveedor'!D:D,'Alta Proveedor'!E:E)=0,"",_xlfn.XLOOKUP(Imput[[#This Row],[RFC]],'Alta Proveedor'!D:D,'Alta Proveedor'!E:E)),"")</f>
        <v>HOME DEPOT MEXICO SUCURSAL THD-8730 TAMPICO</v>
      </c>
      <c r="F1055" s="832" t="s">
        <v>3619</v>
      </c>
      <c r="G1055" s="187">
        <v>8</v>
      </c>
      <c r="H1055" s="1">
        <v>20.69</v>
      </c>
      <c r="I1055" s="169">
        <f>Imput[[#This Row],[Cantidad]]*Imput[[#This Row],[Precio Unitario]]</f>
        <v>165.52</v>
      </c>
      <c r="J1055" s="11">
        <f>((Imput[[#This Row],[Sub total]])*(0.16))</f>
        <v>26.483200000000004</v>
      </c>
      <c r="K1055" s="11">
        <v>0</v>
      </c>
      <c r="L1055" s="169">
        <f>Imput[[#This Row],[Sub total]]+Imput[[#This Row],[IVA]]-Imput[[#This Row],[Retención / IEPS / Descuento]]</f>
        <v>192.00320000000002</v>
      </c>
      <c r="M1055" s="844">
        <v>0</v>
      </c>
      <c r="N1055" s="189" t="s">
        <v>123</v>
      </c>
      <c r="O1055" s="1"/>
      <c r="P1055" s="189" t="s">
        <v>3612</v>
      </c>
      <c r="Q1055" s="190" t="s">
        <v>3613</v>
      </c>
      <c r="R1055" s="188">
        <v>45918</v>
      </c>
      <c r="S1055" s="193" t="s">
        <v>126</v>
      </c>
      <c r="T1055" s="192"/>
      <c r="U1055" s="829"/>
      <c r="V1055" s="10"/>
      <c r="W1055" s="10"/>
      <c r="X1055" s="10"/>
      <c r="Y1055" s="10"/>
      <c r="Z1055" s="10"/>
      <c r="AA1055" s="11"/>
      <c r="AB1055" s="11"/>
    </row>
    <row r="1056" spans="2:28" x14ac:dyDescent="0.3">
      <c r="B1056" s="10" t="s">
        <v>389</v>
      </c>
      <c r="C1056" s="315"/>
      <c r="D1056" s="868" t="s">
        <v>164</v>
      </c>
      <c r="E1056" s="837" t="str">
        <f>IFERROR(IF(_xlfn.XLOOKUP(Imput[[#This Row],[RFC]],'Alta Proveedor'!D:D,'Alta Proveedor'!E:E)=0,"",_xlfn.XLOOKUP(Imput[[#This Row],[RFC]],'Alta Proveedor'!D:D,'Alta Proveedor'!E:E)),"")</f>
        <v>HOME DEPOT MEXICO SUCURSAL THD-8730 TAMPICO</v>
      </c>
      <c r="F1056" s="832" t="s">
        <v>3620</v>
      </c>
      <c r="G1056" s="187">
        <v>2</v>
      </c>
      <c r="H1056" s="1">
        <v>55.14</v>
      </c>
      <c r="I1056" s="169">
        <f>Imput[[#This Row],[Cantidad]]*Imput[[#This Row],[Precio Unitario]]</f>
        <v>110.28</v>
      </c>
      <c r="J1056" s="11">
        <f>((Imput[[#This Row],[Sub total]])*(0.16))</f>
        <v>17.6448</v>
      </c>
      <c r="K1056" s="11">
        <v>0</v>
      </c>
      <c r="L1056" s="169">
        <f>Imput[[#This Row],[Sub total]]+Imput[[#This Row],[IVA]]-Imput[[#This Row],[Retención / IEPS / Descuento]]</f>
        <v>127.9248</v>
      </c>
      <c r="M1056" s="844">
        <v>0</v>
      </c>
      <c r="N1056" s="189" t="s">
        <v>123</v>
      </c>
      <c r="O1056" s="1"/>
      <c r="P1056" s="189" t="s">
        <v>3612</v>
      </c>
      <c r="Q1056" s="190" t="s">
        <v>3613</v>
      </c>
      <c r="R1056" s="188">
        <v>45918</v>
      </c>
      <c r="S1056" s="193" t="s">
        <v>126</v>
      </c>
      <c r="T1056" s="192"/>
      <c r="U1056" s="829"/>
      <c r="V1056" s="10"/>
      <c r="W1056" s="10"/>
      <c r="X1056" s="10"/>
      <c r="Y1056" s="10"/>
      <c r="Z1056" s="10"/>
      <c r="AA1056" s="11"/>
      <c r="AB1056" s="11"/>
    </row>
    <row r="1057" spans="2:28" x14ac:dyDescent="0.3">
      <c r="B1057" s="10" t="s">
        <v>389</v>
      </c>
      <c r="C1057" s="315"/>
      <c r="D1057" s="868" t="s">
        <v>164</v>
      </c>
      <c r="E1057" s="837" t="str">
        <f>IFERROR(IF(_xlfn.XLOOKUP(Imput[[#This Row],[RFC]],'Alta Proveedor'!D:D,'Alta Proveedor'!E:E)=0,"",_xlfn.XLOOKUP(Imput[[#This Row],[RFC]],'Alta Proveedor'!D:D,'Alta Proveedor'!E:E)),"")</f>
        <v>HOME DEPOT MEXICO SUCURSAL THD-8730 TAMPICO</v>
      </c>
      <c r="F1057" s="832" t="s">
        <v>3621</v>
      </c>
      <c r="G1057" s="187">
        <v>1</v>
      </c>
      <c r="H1057" s="1">
        <v>46.65</v>
      </c>
      <c r="I1057" s="169">
        <f>Imput[[#This Row],[Cantidad]]*Imput[[#This Row],[Precio Unitario]]</f>
        <v>46.65</v>
      </c>
      <c r="J1057" s="11">
        <f>((Imput[[#This Row],[Sub total]])*(0.16))</f>
        <v>7.4639999999999995</v>
      </c>
      <c r="K1057" s="11">
        <v>0</v>
      </c>
      <c r="L1057" s="169">
        <f>Imput[[#This Row],[Sub total]]+Imput[[#This Row],[IVA]]-Imput[[#This Row],[Retención / IEPS / Descuento]]</f>
        <v>54.113999999999997</v>
      </c>
      <c r="M1057" s="844">
        <v>0</v>
      </c>
      <c r="N1057" s="189" t="s">
        <v>123</v>
      </c>
      <c r="O1057" s="1"/>
      <c r="P1057" s="189" t="s">
        <v>3612</v>
      </c>
      <c r="Q1057" s="190" t="s">
        <v>3613</v>
      </c>
      <c r="R1057" s="188">
        <v>45918</v>
      </c>
      <c r="S1057" s="193" t="s">
        <v>126</v>
      </c>
      <c r="T1057" s="192"/>
      <c r="U1057" s="829"/>
      <c r="V1057" s="10"/>
      <c r="W1057" s="10"/>
      <c r="X1057" s="10"/>
      <c r="Y1057" s="10"/>
      <c r="Z1057" s="10"/>
      <c r="AA1057" s="11"/>
      <c r="AB1057" s="11"/>
    </row>
    <row r="1058" spans="2:28" x14ac:dyDescent="0.3">
      <c r="B1058" s="10" t="s">
        <v>392</v>
      </c>
      <c r="C1058" s="315"/>
      <c r="D1058" s="868" t="s">
        <v>164</v>
      </c>
      <c r="E1058" s="837" t="str">
        <f>IFERROR(IF(_xlfn.XLOOKUP(Imput[[#This Row],[RFC]],'Alta Proveedor'!D:D,'Alta Proveedor'!E:E)=0,"",_xlfn.XLOOKUP(Imput[[#This Row],[RFC]],'Alta Proveedor'!D:D,'Alta Proveedor'!E:E)),"")</f>
        <v>HOME DEPOT MEXICO SUCURSAL THD-8730 TAMPICO</v>
      </c>
      <c r="F1058" s="832" t="s">
        <v>3624</v>
      </c>
      <c r="G1058" s="187">
        <v>2</v>
      </c>
      <c r="H1058" s="1">
        <v>144.83000000000001</v>
      </c>
      <c r="I1058" s="169">
        <f>Imput[[#This Row],[Cantidad]]*Imput[[#This Row],[Precio Unitario]]</f>
        <v>289.66000000000003</v>
      </c>
      <c r="J1058" s="11">
        <f>((Imput[[#This Row],[Sub total]])*(0.16))</f>
        <v>46.345600000000005</v>
      </c>
      <c r="K1058" s="11">
        <v>0</v>
      </c>
      <c r="L1058" s="169">
        <f>Imput[[#This Row],[Sub total]]+Imput[[#This Row],[IVA]]-Imput[[#This Row],[Retención / IEPS / Descuento]]</f>
        <v>336.00560000000002</v>
      </c>
      <c r="M1058" s="844">
        <v>336.00560000000002</v>
      </c>
      <c r="N1058" s="189" t="s">
        <v>123</v>
      </c>
      <c r="O1058" s="1"/>
      <c r="P1058" s="189" t="s">
        <v>3622</v>
      </c>
      <c r="Q1058" s="190" t="s">
        <v>3623</v>
      </c>
      <c r="R1058" s="188">
        <v>45931</v>
      </c>
      <c r="S1058" s="193" t="s">
        <v>126</v>
      </c>
      <c r="T1058" s="192"/>
      <c r="U1058" s="829"/>
      <c r="V1058" s="10"/>
      <c r="W1058" s="10"/>
      <c r="X1058" s="10"/>
      <c r="Y1058" s="10"/>
      <c r="Z1058" s="10"/>
      <c r="AA1058" s="11"/>
      <c r="AB1058" s="11"/>
    </row>
    <row r="1059" spans="2:28" x14ac:dyDescent="0.3">
      <c r="B1059" s="10" t="s">
        <v>392</v>
      </c>
      <c r="C1059" s="315"/>
      <c r="D1059" s="868" t="s">
        <v>164</v>
      </c>
      <c r="E1059" s="837" t="str">
        <f>IFERROR(IF(_xlfn.XLOOKUP(Imput[[#This Row],[RFC]],'Alta Proveedor'!D:D,'Alta Proveedor'!E:E)=0,"",_xlfn.XLOOKUP(Imput[[#This Row],[RFC]],'Alta Proveedor'!D:D,'Alta Proveedor'!E:E)),"")</f>
        <v>HOME DEPOT MEXICO SUCURSAL THD-8730 TAMPICO</v>
      </c>
      <c r="F1059" s="832" t="s">
        <v>3627</v>
      </c>
      <c r="G1059" s="187">
        <v>1</v>
      </c>
      <c r="H1059" s="1">
        <v>732.41</v>
      </c>
      <c r="I1059" s="169">
        <f>Imput[[#This Row],[Cantidad]]*Imput[[#This Row],[Precio Unitario]]</f>
        <v>732.41</v>
      </c>
      <c r="J1059" s="11">
        <f>((Imput[[#This Row],[Sub total]])*(0.160005))</f>
        <v>117.18926205</v>
      </c>
      <c r="K1059" s="11">
        <v>0</v>
      </c>
      <c r="L1059" s="169">
        <f>Imput[[#This Row],[Sub total]]+Imput[[#This Row],[IVA]]-Imput[[#This Row],[Retención / IEPS / Descuento]]</f>
        <v>849.59926204999999</v>
      </c>
      <c r="M1059" s="844">
        <v>2232.6546634700003</v>
      </c>
      <c r="N1059" s="189" t="s">
        <v>123</v>
      </c>
      <c r="O1059" s="1"/>
      <c r="P1059" s="189" t="s">
        <v>3625</v>
      </c>
      <c r="Q1059" s="190" t="s">
        <v>3626</v>
      </c>
      <c r="R1059" s="188">
        <v>45945</v>
      </c>
      <c r="S1059" s="193" t="s">
        <v>126</v>
      </c>
      <c r="T1059" s="192"/>
      <c r="U1059" s="829"/>
      <c r="V1059" s="10"/>
      <c r="W1059" s="10"/>
      <c r="X1059" s="10"/>
      <c r="Y1059" s="10"/>
      <c r="Z1059" s="10"/>
      <c r="AA1059" s="11"/>
      <c r="AB1059" s="11"/>
    </row>
    <row r="1060" spans="2:28" x14ac:dyDescent="0.3">
      <c r="B1060" s="10" t="s">
        <v>392</v>
      </c>
      <c r="C1060" s="315"/>
      <c r="D1060" s="868" t="s">
        <v>164</v>
      </c>
      <c r="E1060" s="837" t="str">
        <f>IFERROR(IF(_xlfn.XLOOKUP(Imput[[#This Row],[RFC]],'Alta Proveedor'!D:D,'Alta Proveedor'!E:E)=0,"",_xlfn.XLOOKUP(Imput[[#This Row],[RFC]],'Alta Proveedor'!D:D,'Alta Proveedor'!E:E)),"")</f>
        <v>HOME DEPOT MEXICO SUCURSAL THD-8730 TAMPICO</v>
      </c>
      <c r="F1060" s="832" t="s">
        <v>3628</v>
      </c>
      <c r="G1060" s="187">
        <v>6</v>
      </c>
      <c r="H1060" s="1">
        <v>144.82900000000001</v>
      </c>
      <c r="I1060" s="169">
        <f>Imput[[#This Row],[Cantidad]]*Imput[[#This Row],[Precio Unitario]]</f>
        <v>868.97400000000005</v>
      </c>
      <c r="J1060" s="11">
        <f>((Imput[[#This Row],[Sub total]])*(0.160005))</f>
        <v>139.04018487000002</v>
      </c>
      <c r="K1060" s="11">
        <v>0</v>
      </c>
      <c r="L1060" s="169">
        <f>Imput[[#This Row],[Sub total]]+Imput[[#This Row],[IVA]]-Imput[[#This Row],[Retención / IEPS / Descuento]]</f>
        <v>1008.01418487</v>
      </c>
      <c r="M1060" s="844">
        <v>0</v>
      </c>
      <c r="N1060" s="189" t="s">
        <v>123</v>
      </c>
      <c r="O1060" s="1"/>
      <c r="P1060" s="189" t="s">
        <v>3625</v>
      </c>
      <c r="Q1060" s="190" t="s">
        <v>3626</v>
      </c>
      <c r="R1060" s="188">
        <v>45945</v>
      </c>
      <c r="S1060" s="193" t="s">
        <v>126</v>
      </c>
      <c r="T1060" s="192"/>
      <c r="U1060" s="829"/>
      <c r="V1060" s="10"/>
      <c r="W1060" s="10"/>
      <c r="X1060" s="10"/>
      <c r="Y1060" s="10"/>
      <c r="Z1060" s="10"/>
      <c r="AA1060" s="11"/>
      <c r="AB1060" s="11"/>
    </row>
    <row r="1061" spans="2:28" x14ac:dyDescent="0.3">
      <c r="B1061" s="10" t="s">
        <v>392</v>
      </c>
      <c r="C1061" s="315"/>
      <c r="D1061" s="868" t="s">
        <v>164</v>
      </c>
      <c r="E1061" s="837" t="str">
        <f>IFERROR(IF(_xlfn.XLOOKUP(Imput[[#This Row],[RFC]],'Alta Proveedor'!D:D,'Alta Proveedor'!E:E)=0,"",_xlfn.XLOOKUP(Imput[[#This Row],[RFC]],'Alta Proveedor'!D:D,'Alta Proveedor'!E:E)),"")</f>
        <v>HOME DEPOT MEXICO SUCURSAL THD-8730 TAMPICO</v>
      </c>
      <c r="F1061" s="832" t="s">
        <v>3629</v>
      </c>
      <c r="G1061" s="187">
        <v>1</v>
      </c>
      <c r="H1061" s="1">
        <v>51.9</v>
      </c>
      <c r="I1061" s="169">
        <f>Imput[[#This Row],[Cantidad]]*Imput[[#This Row],[Precio Unitario]]</f>
        <v>51.9</v>
      </c>
      <c r="J1061" s="11">
        <f>((Imput[[#This Row],[Sub total]])*(0.160005))</f>
        <v>8.3042595000000006</v>
      </c>
      <c r="K1061" s="11">
        <v>0</v>
      </c>
      <c r="L1061" s="169">
        <f>Imput[[#This Row],[Sub total]]+Imput[[#This Row],[IVA]]-Imput[[#This Row],[Retención / IEPS / Descuento]]</f>
        <v>60.204259499999999</v>
      </c>
      <c r="M1061" s="844">
        <v>0</v>
      </c>
      <c r="N1061" s="189" t="s">
        <v>123</v>
      </c>
      <c r="O1061" s="1"/>
      <c r="P1061" s="189" t="s">
        <v>3625</v>
      </c>
      <c r="Q1061" s="190" t="s">
        <v>3626</v>
      </c>
      <c r="R1061" s="188">
        <v>45945</v>
      </c>
      <c r="S1061" s="193" t="s">
        <v>126</v>
      </c>
      <c r="T1061" s="192"/>
      <c r="U1061" s="829"/>
      <c r="V1061" s="10"/>
      <c r="W1061" s="10"/>
      <c r="X1061" s="10"/>
      <c r="Y1061" s="10"/>
      <c r="Z1061" s="10"/>
      <c r="AA1061" s="11"/>
      <c r="AB1061" s="11"/>
    </row>
    <row r="1062" spans="2:28" x14ac:dyDescent="0.3">
      <c r="B1062" s="10" t="s">
        <v>392</v>
      </c>
      <c r="C1062" s="315"/>
      <c r="D1062" s="868" t="s">
        <v>164</v>
      </c>
      <c r="E1062" s="837" t="str">
        <f>IFERROR(IF(_xlfn.XLOOKUP(Imput[[#This Row],[RFC]],'Alta Proveedor'!D:D,'Alta Proveedor'!E:E)=0,"",_xlfn.XLOOKUP(Imput[[#This Row],[RFC]],'Alta Proveedor'!D:D,'Alta Proveedor'!E:E)),"")</f>
        <v>HOME DEPOT MEXICO SUCURSAL THD-8730 TAMPICO</v>
      </c>
      <c r="F1062" s="832" t="s">
        <v>3630</v>
      </c>
      <c r="G1062" s="187">
        <v>1</v>
      </c>
      <c r="H1062" s="1">
        <v>39.69</v>
      </c>
      <c r="I1062" s="169">
        <f>Imput[[#This Row],[Cantidad]]*Imput[[#This Row],[Precio Unitario]]</f>
        <v>39.69</v>
      </c>
      <c r="J1062" s="11">
        <f>((Imput[[#This Row],[Sub total]])*(0.160005))</f>
        <v>6.3505984499999997</v>
      </c>
      <c r="K1062" s="11">
        <v>0</v>
      </c>
      <c r="L1062" s="169">
        <f>Imput[[#This Row],[Sub total]]+Imput[[#This Row],[IVA]]-Imput[[#This Row],[Retención / IEPS / Descuento]]</f>
        <v>46.040598449999997</v>
      </c>
      <c r="M1062" s="844">
        <v>0</v>
      </c>
      <c r="N1062" s="189" t="s">
        <v>123</v>
      </c>
      <c r="O1062" s="1"/>
      <c r="P1062" s="189" t="s">
        <v>3625</v>
      </c>
      <c r="Q1062" s="190" t="s">
        <v>3626</v>
      </c>
      <c r="R1062" s="188">
        <v>45945</v>
      </c>
      <c r="S1062" s="193" t="s">
        <v>126</v>
      </c>
      <c r="T1062" s="192"/>
      <c r="U1062" s="829"/>
      <c r="V1062" s="10"/>
      <c r="W1062" s="10"/>
      <c r="X1062" s="10"/>
      <c r="Y1062" s="10"/>
      <c r="Z1062" s="10"/>
      <c r="AA1062" s="11"/>
      <c r="AB1062" s="11"/>
    </row>
    <row r="1063" spans="2:28" x14ac:dyDescent="0.3">
      <c r="B1063" s="10" t="s">
        <v>392</v>
      </c>
      <c r="C1063" s="315"/>
      <c r="D1063" s="868" t="s">
        <v>164</v>
      </c>
      <c r="E1063" s="837" t="str">
        <f>IFERROR(IF(_xlfn.XLOOKUP(Imput[[#This Row],[RFC]],'Alta Proveedor'!D:D,'Alta Proveedor'!E:E)=0,"",_xlfn.XLOOKUP(Imput[[#This Row],[RFC]],'Alta Proveedor'!D:D,'Alta Proveedor'!E:E)),"")</f>
        <v>HOME DEPOT MEXICO SUCURSAL THD-8730 TAMPICO</v>
      </c>
      <c r="F1063" s="832" t="s">
        <v>3631</v>
      </c>
      <c r="G1063" s="187">
        <v>40</v>
      </c>
      <c r="H1063" s="1">
        <v>5.7930000000000001</v>
      </c>
      <c r="I1063" s="169">
        <f>Imput[[#This Row],[Cantidad]]*Imput[[#This Row],[Precio Unitario]]</f>
        <v>231.72</v>
      </c>
      <c r="J1063" s="11">
        <f>((Imput[[#This Row],[Sub total]])*(0.160005))</f>
        <v>37.076358599999999</v>
      </c>
      <c r="K1063" s="11">
        <v>0</v>
      </c>
      <c r="L1063" s="169">
        <f>Imput[[#This Row],[Sub total]]+Imput[[#This Row],[IVA]]-Imput[[#This Row],[Retención / IEPS / Descuento]]</f>
        <v>268.79635860000002</v>
      </c>
      <c r="M1063" s="844">
        <v>0</v>
      </c>
      <c r="N1063" s="189" t="s">
        <v>123</v>
      </c>
      <c r="O1063" s="1"/>
      <c r="P1063" s="189" t="s">
        <v>3625</v>
      </c>
      <c r="Q1063" s="190" t="s">
        <v>3626</v>
      </c>
      <c r="R1063" s="188">
        <v>45945</v>
      </c>
      <c r="S1063" s="193" t="s">
        <v>126</v>
      </c>
      <c r="T1063" s="192"/>
      <c r="U1063" s="829"/>
      <c r="V1063" s="10"/>
      <c r="W1063" s="10"/>
      <c r="X1063" s="10"/>
      <c r="Y1063" s="10"/>
      <c r="Z1063" s="10"/>
      <c r="AA1063" s="11"/>
      <c r="AB1063" s="11"/>
    </row>
    <row r="1064" spans="2:28" x14ac:dyDescent="0.3">
      <c r="B1064" s="10" t="s">
        <v>389</v>
      </c>
      <c r="C1064" s="315"/>
      <c r="D1064" s="868" t="s">
        <v>3634</v>
      </c>
      <c r="E1064" s="837" t="str">
        <f>IFERROR(IF(_xlfn.XLOOKUP(Imput[[#This Row],[RFC]],'Alta Proveedor'!D:D,'Alta Proveedor'!E:E)=0,"",_xlfn.XLOOKUP(Imput[[#This Row],[RFC]],'Alta Proveedor'!D:D,'Alta Proveedor'!E:E)),"")</f>
        <v>INDUSTRIA MADERERA EL ROBLE</v>
      </c>
      <c r="F1064" s="832" t="s">
        <v>3636</v>
      </c>
      <c r="G1064" s="187">
        <v>466</v>
      </c>
      <c r="H1064" s="1">
        <v>18.97</v>
      </c>
      <c r="I1064" s="169">
        <f>Imput[[#This Row],[Cantidad]]*Imput[[#This Row],[Precio Unitario]]</f>
        <v>8840.0199999999986</v>
      </c>
      <c r="J1064" s="11">
        <f>((Imput[[#This Row],[Sub total]])*(0.16))</f>
        <v>1414.4031999999997</v>
      </c>
      <c r="K1064" s="11">
        <v>0</v>
      </c>
      <c r="L1064" s="169">
        <f>Imput[[#This Row],[Sub total]]+Imput[[#This Row],[IVA]]-Imput[[#This Row],[Retención / IEPS / Descuento]]</f>
        <v>10254.423199999997</v>
      </c>
      <c r="M1064" s="844">
        <v>10270.001999999997</v>
      </c>
      <c r="N1064" s="189" t="s">
        <v>123</v>
      </c>
      <c r="O1064" s="1"/>
      <c r="P1064" s="189" t="s">
        <v>3632</v>
      </c>
      <c r="Q1064" s="190" t="s">
        <v>3633</v>
      </c>
      <c r="R1064" s="188">
        <v>45918</v>
      </c>
      <c r="S1064" s="193" t="s">
        <v>126</v>
      </c>
      <c r="T1064" s="192"/>
      <c r="U1064" s="829"/>
      <c r="V1064" s="10"/>
      <c r="W1064" s="10"/>
      <c r="X1064" s="10"/>
      <c r="Y1064" s="10"/>
      <c r="Z1064" s="10"/>
      <c r="AA1064" s="11"/>
      <c r="AB1064" s="11"/>
    </row>
    <row r="1065" spans="2:28" x14ac:dyDescent="0.3">
      <c r="B1065" s="10" t="s">
        <v>389</v>
      </c>
      <c r="C1065" s="315"/>
      <c r="D1065" s="868" t="s">
        <v>3634</v>
      </c>
      <c r="E1065" s="837" t="str">
        <f>IFERROR(IF(_xlfn.XLOOKUP(Imput[[#This Row],[RFC]],'Alta Proveedor'!D:D,'Alta Proveedor'!E:E)=0,"",_xlfn.XLOOKUP(Imput[[#This Row],[RFC]],'Alta Proveedor'!D:D,'Alta Proveedor'!E:E)),"")</f>
        <v>INDUSTRIA MADERERA EL ROBLE</v>
      </c>
      <c r="F1065" s="832" t="s">
        <v>3637</v>
      </c>
      <c r="G1065" s="187">
        <v>1</v>
      </c>
      <c r="H1065" s="1">
        <v>13.43</v>
      </c>
      <c r="I1065" s="169">
        <f>Imput[[#This Row],[Cantidad]]*Imput[[#This Row],[Precio Unitario]]</f>
        <v>13.43</v>
      </c>
      <c r="J1065" s="11">
        <f>((Imput[[#This Row],[Sub total]])*(0.16))</f>
        <v>2.1488</v>
      </c>
      <c r="K1065" s="11">
        <v>0</v>
      </c>
      <c r="L1065" s="169">
        <f>Imput[[#This Row],[Sub total]]+Imput[[#This Row],[IVA]]-Imput[[#This Row],[Retención / IEPS / Descuento]]</f>
        <v>15.578799999999999</v>
      </c>
      <c r="M1065" s="844">
        <v>0</v>
      </c>
      <c r="N1065" s="189" t="s">
        <v>123</v>
      </c>
      <c r="O1065" s="1"/>
      <c r="P1065" s="189" t="s">
        <v>3632</v>
      </c>
      <c r="Q1065" s="190" t="s">
        <v>3633</v>
      </c>
      <c r="R1065" s="188">
        <v>45918</v>
      </c>
      <c r="S1065" s="193" t="s">
        <v>126</v>
      </c>
      <c r="T1065" s="192"/>
      <c r="U1065" s="829"/>
      <c r="V1065" s="10"/>
      <c r="W1065" s="10"/>
      <c r="X1065" s="10"/>
      <c r="Y1065" s="10"/>
      <c r="Z1065" s="10"/>
      <c r="AA1065" s="11"/>
      <c r="AB1065" s="11"/>
    </row>
    <row r="1066" spans="2:28" x14ac:dyDescent="0.3">
      <c r="B1066" s="10" t="s">
        <v>389</v>
      </c>
      <c r="C1066" s="315"/>
      <c r="D1066" s="868" t="s">
        <v>3640</v>
      </c>
      <c r="E1066" s="837" t="str">
        <f>IFERROR(IF(_xlfn.XLOOKUP(Imput[[#This Row],[RFC]],'Alta Proveedor'!D:D,'Alta Proveedor'!E:E)=0,"",_xlfn.XLOOKUP(Imput[[#This Row],[RFC]],'Alta Proveedor'!D:D,'Alta Proveedor'!E:E)),"")</f>
        <v>INTERNATURAL "SAKS" (RESTAURANTES)</v>
      </c>
      <c r="F1066" s="832" t="s">
        <v>3642</v>
      </c>
      <c r="G1066" s="187">
        <v>1</v>
      </c>
      <c r="H1066" s="1">
        <v>2552.59</v>
      </c>
      <c r="I1066" s="169">
        <f>Imput[[#This Row],[Cantidad]]*Imput[[#This Row],[Precio Unitario]]</f>
        <v>2552.59</v>
      </c>
      <c r="J1066" s="11">
        <f>((Imput[[#This Row],[Sub total]])*(0.16))</f>
        <v>408.41440000000006</v>
      </c>
      <c r="K1066" s="11">
        <v>0</v>
      </c>
      <c r="L1066" s="169">
        <f>Imput[[#This Row],[Sub total]]+Imput[[#This Row],[IVA]]-Imput[[#This Row],[Retención / IEPS / Descuento]]</f>
        <v>2961.0044000000003</v>
      </c>
      <c r="M1066" s="844">
        <v>2961.0044000000003</v>
      </c>
      <c r="N1066" s="189" t="s">
        <v>123</v>
      </c>
      <c r="O1066" s="1"/>
      <c r="P1066" s="189" t="s">
        <v>3638</v>
      </c>
      <c r="Q1066" s="190" t="s">
        <v>3639</v>
      </c>
      <c r="R1066" s="188">
        <v>45919</v>
      </c>
      <c r="S1066" s="193" t="s">
        <v>126</v>
      </c>
      <c r="T1066" s="192"/>
      <c r="U1066" s="829"/>
      <c r="V1066" s="10"/>
      <c r="W1066" s="10"/>
      <c r="X1066" s="10"/>
      <c r="Y1066" s="10"/>
      <c r="Z1066" s="10"/>
      <c r="AA1066" s="11"/>
      <c r="AB1066" s="11"/>
    </row>
    <row r="1067" spans="2:28" x14ac:dyDescent="0.3">
      <c r="B1067" s="10" t="s">
        <v>389</v>
      </c>
      <c r="C1067" s="315"/>
      <c r="D1067" s="868" t="s">
        <v>3645</v>
      </c>
      <c r="E1067" s="837" t="str">
        <f>IFERROR(IF(_xlfn.XLOOKUP(Imput[[#This Row],[RFC]],'Alta Proveedor'!D:D,'Alta Proveedor'!E:E)=0,"",_xlfn.XLOOKUP(Imput[[#This Row],[RFC]],'Alta Proveedor'!D:D,'Alta Proveedor'!E:E)),"")</f>
        <v>MVG CONSULTING AND CONSTRUCTION</v>
      </c>
      <c r="F1067" s="832" t="s">
        <v>3647</v>
      </c>
      <c r="G1067" s="187">
        <v>1</v>
      </c>
      <c r="H1067" s="1">
        <v>40000</v>
      </c>
      <c r="I1067" s="169">
        <f>Imput[[#This Row],[Cantidad]]*Imput[[#This Row],[Precio Unitario]]</f>
        <v>40000</v>
      </c>
      <c r="J1067" s="11">
        <f>((Imput[[#This Row],[Sub total]])*(0.16))</f>
        <v>6400</v>
      </c>
      <c r="K1067" s="11">
        <v>0</v>
      </c>
      <c r="L1067" s="169">
        <f>Imput[[#This Row],[Sub total]]+Imput[[#This Row],[IVA]]-Imput[[#This Row],[Retención / IEPS / Descuento]]</f>
        <v>46400</v>
      </c>
      <c r="M1067" s="844">
        <v>46400</v>
      </c>
      <c r="N1067" s="189" t="s">
        <v>123</v>
      </c>
      <c r="O1067" s="1"/>
      <c r="P1067" s="189" t="s">
        <v>3643</v>
      </c>
      <c r="Q1067" s="190" t="s">
        <v>3644</v>
      </c>
      <c r="R1067" s="188">
        <v>45919</v>
      </c>
      <c r="S1067" s="193" t="s">
        <v>215</v>
      </c>
      <c r="T1067" s="192"/>
      <c r="U1067" s="829"/>
      <c r="V1067" s="10"/>
      <c r="W1067" s="10"/>
      <c r="X1067" s="10"/>
      <c r="Y1067" s="10"/>
      <c r="Z1067" s="10"/>
      <c r="AA1067" s="11"/>
      <c r="AB1067" s="11"/>
    </row>
    <row r="1068" spans="2:28" x14ac:dyDescent="0.3">
      <c r="B1068" s="10" t="s">
        <v>392</v>
      </c>
      <c r="C1068" s="315"/>
      <c r="D1068" s="868" t="s">
        <v>3645</v>
      </c>
      <c r="E1068" s="837" t="str">
        <f>IFERROR(IF(_xlfn.XLOOKUP(Imput[[#This Row],[RFC]],'Alta Proveedor'!D:D,'Alta Proveedor'!E:E)=0,"",_xlfn.XLOOKUP(Imput[[#This Row],[RFC]],'Alta Proveedor'!D:D,'Alta Proveedor'!E:E)),"")</f>
        <v>MVG CONSULTING AND CONSTRUCTION</v>
      </c>
      <c r="F1068" s="832" t="s">
        <v>3650</v>
      </c>
      <c r="G1068" s="187">
        <v>1</v>
      </c>
      <c r="H1068" s="1">
        <v>40000</v>
      </c>
      <c r="I1068" s="169">
        <f>Imput[[#This Row],[Cantidad]]*Imput[[#This Row],[Precio Unitario]]</f>
        <v>40000</v>
      </c>
      <c r="J1068" s="11">
        <f>((Imput[[#This Row],[Sub total]])*(0.16))</f>
        <v>6400</v>
      </c>
      <c r="K1068" s="11">
        <v>0</v>
      </c>
      <c r="L1068" s="169">
        <f>Imput[[#This Row],[Sub total]]+Imput[[#This Row],[IVA]]-Imput[[#This Row],[Retención / IEPS / Descuento]]</f>
        <v>46400</v>
      </c>
      <c r="M1068" s="844">
        <v>46400</v>
      </c>
      <c r="N1068" s="189" t="s">
        <v>123</v>
      </c>
      <c r="O1068" s="1"/>
      <c r="P1068" s="189" t="s">
        <v>3648</v>
      </c>
      <c r="Q1068" s="190" t="s">
        <v>3649</v>
      </c>
      <c r="R1068" s="188">
        <v>45945</v>
      </c>
      <c r="S1068" s="193" t="s">
        <v>215</v>
      </c>
      <c r="T1068" s="192"/>
      <c r="U1068" s="829"/>
      <c r="V1068" s="10"/>
      <c r="W1068" s="10"/>
      <c r="X1068" s="10"/>
      <c r="Y1068" s="10"/>
      <c r="Z1068" s="10"/>
      <c r="AA1068" s="11"/>
      <c r="AB1068" s="11"/>
    </row>
    <row r="1069" spans="2:28" x14ac:dyDescent="0.3">
      <c r="B1069" s="10" t="s">
        <v>389</v>
      </c>
      <c r="C1069" s="315"/>
      <c r="D1069" s="868" t="s">
        <v>3653</v>
      </c>
      <c r="E1069" s="837" t="str">
        <f>IFERROR(IF(_xlfn.XLOOKUP(Imput[[#This Row],[RFC]],'Alta Proveedor'!D:D,'Alta Proveedor'!E:E)=0,"",_xlfn.XLOOKUP(Imput[[#This Row],[RFC]],'Alta Proveedor'!D:D,'Alta Proveedor'!E:E)),"")</f>
        <v>MITSU REYNOSA, SA DE CV</v>
      </c>
      <c r="F1069" s="832" t="s">
        <v>3655</v>
      </c>
      <c r="G1069" s="187">
        <v>2.1</v>
      </c>
      <c r="H1069" s="1">
        <v>603.61199999999997</v>
      </c>
      <c r="I1069" s="169">
        <f>Imput[[#This Row],[Cantidad]]*Imput[[#This Row],[Precio Unitario]]</f>
        <v>1267.5852</v>
      </c>
      <c r="J1069" s="11">
        <f>((Imput[[#This Row],[Sub total]])*(0.1599999))</f>
        <v>202.81350524147999</v>
      </c>
      <c r="K1069" s="11">
        <v>0</v>
      </c>
      <c r="L1069" s="169">
        <f>Imput[[#This Row],[Sub total]]+Imput[[#This Row],[IVA]]-Imput[[#This Row],[Retención / IEPS / Descuento]]</f>
        <v>1470.39870524148</v>
      </c>
      <c r="M1069" s="844">
        <v>4399.9900526904803</v>
      </c>
      <c r="N1069" s="189" t="s">
        <v>123</v>
      </c>
      <c r="O1069" s="1"/>
      <c r="P1069" s="189" t="s">
        <v>3651</v>
      </c>
      <c r="Q1069" s="190" t="s">
        <v>3652</v>
      </c>
      <c r="R1069" s="188">
        <v>45927</v>
      </c>
      <c r="S1069" s="193" t="s">
        <v>126</v>
      </c>
      <c r="T1069" s="192"/>
      <c r="U1069" s="829"/>
      <c r="V1069" s="10"/>
      <c r="W1069" s="10"/>
      <c r="X1069" s="10"/>
      <c r="Y1069" s="10"/>
      <c r="Z1069" s="10"/>
      <c r="AA1069" s="11"/>
      <c r="AB1069" s="11"/>
    </row>
    <row r="1070" spans="2:28" x14ac:dyDescent="0.3">
      <c r="B1070" s="10" t="s">
        <v>389</v>
      </c>
      <c r="C1070" s="315"/>
      <c r="D1070" s="868" t="s">
        <v>3653</v>
      </c>
      <c r="E1070" s="837" t="str">
        <f>IFERROR(IF(_xlfn.XLOOKUP(Imput[[#This Row],[RFC]],'Alta Proveedor'!D:D,'Alta Proveedor'!E:E)=0,"",_xlfn.XLOOKUP(Imput[[#This Row],[RFC]],'Alta Proveedor'!D:D,'Alta Proveedor'!E:E)),"")</f>
        <v>MITSU REYNOSA, SA DE CV</v>
      </c>
      <c r="F1070" s="832" t="s">
        <v>3116</v>
      </c>
      <c r="G1070" s="187">
        <v>1</v>
      </c>
      <c r="H1070" s="1">
        <v>5.4</v>
      </c>
      <c r="I1070" s="169">
        <f>Imput[[#This Row],[Cantidad]]*Imput[[#This Row],[Precio Unitario]]</f>
        <v>5.4</v>
      </c>
      <c r="J1070" s="11">
        <f>((Imput[[#This Row],[Sub total]])*(0.1599999))</f>
        <v>0.86399946000000005</v>
      </c>
      <c r="K1070" s="11">
        <v>0</v>
      </c>
      <c r="L1070" s="169">
        <f>Imput[[#This Row],[Sub total]]+Imput[[#This Row],[IVA]]-Imput[[#This Row],[Retención / IEPS / Descuento]]</f>
        <v>6.2639994600000009</v>
      </c>
      <c r="M1070" s="844">
        <v>0</v>
      </c>
      <c r="N1070" s="189" t="s">
        <v>123</v>
      </c>
      <c r="O1070" s="1"/>
      <c r="P1070" s="189" t="s">
        <v>3651</v>
      </c>
      <c r="Q1070" s="190" t="s">
        <v>3652</v>
      </c>
      <c r="R1070" s="188">
        <v>45927</v>
      </c>
      <c r="S1070" s="193" t="s">
        <v>126</v>
      </c>
      <c r="T1070" s="192"/>
      <c r="U1070" s="829"/>
      <c r="V1070" s="10"/>
      <c r="W1070" s="10"/>
      <c r="X1070" s="10"/>
      <c r="Y1070" s="10"/>
      <c r="Z1070" s="10"/>
      <c r="AA1070" s="11"/>
      <c r="AB1070" s="11"/>
    </row>
    <row r="1071" spans="2:28" x14ac:dyDescent="0.3">
      <c r="B1071" s="10" t="s">
        <v>389</v>
      </c>
      <c r="C1071" s="315"/>
      <c r="D1071" s="868" t="s">
        <v>3653</v>
      </c>
      <c r="E1071" s="837" t="str">
        <f>IFERROR(IF(_xlfn.XLOOKUP(Imput[[#This Row],[RFC]],'Alta Proveedor'!D:D,'Alta Proveedor'!E:E)=0,"",_xlfn.XLOOKUP(Imput[[#This Row],[RFC]],'Alta Proveedor'!D:D,'Alta Proveedor'!E:E)),"")</f>
        <v>MITSU REYNOSA, SA DE CV</v>
      </c>
      <c r="F1071" s="832" t="s">
        <v>3656</v>
      </c>
      <c r="G1071" s="187">
        <v>1</v>
      </c>
      <c r="H1071" s="1">
        <v>166</v>
      </c>
      <c r="I1071" s="169">
        <f>Imput[[#This Row],[Cantidad]]*Imput[[#This Row],[Precio Unitario]]</f>
        <v>166</v>
      </c>
      <c r="J1071" s="11">
        <f>((Imput[[#This Row],[Sub total]])*(0.1599999))</f>
        <v>26.5599834</v>
      </c>
      <c r="K1071" s="11">
        <v>0</v>
      </c>
      <c r="L1071" s="169">
        <f>Imput[[#This Row],[Sub total]]+Imput[[#This Row],[IVA]]-Imput[[#This Row],[Retención / IEPS / Descuento]]</f>
        <v>192.55998339999999</v>
      </c>
      <c r="M1071" s="844">
        <v>0</v>
      </c>
      <c r="N1071" s="189" t="s">
        <v>123</v>
      </c>
      <c r="O1071" s="1"/>
      <c r="P1071" s="189" t="s">
        <v>3651</v>
      </c>
      <c r="Q1071" s="190" t="s">
        <v>3652</v>
      </c>
      <c r="R1071" s="188">
        <v>45927</v>
      </c>
      <c r="S1071" s="193" t="s">
        <v>126</v>
      </c>
      <c r="T1071" s="192"/>
      <c r="U1071" s="829"/>
      <c r="V1071" s="10"/>
      <c r="W1071" s="10"/>
      <c r="X1071" s="10"/>
      <c r="Y1071" s="10"/>
      <c r="Z1071" s="10"/>
      <c r="AA1071" s="11"/>
      <c r="AB1071" s="11"/>
    </row>
    <row r="1072" spans="2:28" x14ac:dyDescent="0.3">
      <c r="B1072" s="10" t="s">
        <v>389</v>
      </c>
      <c r="C1072" s="315"/>
      <c r="D1072" s="868" t="s">
        <v>3653</v>
      </c>
      <c r="E1072" s="837" t="str">
        <f>IFERROR(IF(_xlfn.XLOOKUP(Imput[[#This Row],[RFC]],'Alta Proveedor'!D:D,'Alta Proveedor'!E:E)=0,"",_xlfn.XLOOKUP(Imput[[#This Row],[RFC]],'Alta Proveedor'!D:D,'Alta Proveedor'!E:E)),"")</f>
        <v>MITSU REYNOSA, SA DE CV</v>
      </c>
      <c r="F1072" s="832" t="s">
        <v>3657</v>
      </c>
      <c r="G1072" s="187">
        <v>1</v>
      </c>
      <c r="H1072" s="1">
        <v>690</v>
      </c>
      <c r="I1072" s="169">
        <f>Imput[[#This Row],[Cantidad]]*Imput[[#This Row],[Precio Unitario]]</f>
        <v>690</v>
      </c>
      <c r="J1072" s="11">
        <f>((Imput[[#This Row],[Sub total]])*(0.1599999))</f>
        <v>110.399931</v>
      </c>
      <c r="K1072" s="11">
        <v>0</v>
      </c>
      <c r="L1072" s="169">
        <f>Imput[[#This Row],[Sub total]]+Imput[[#This Row],[IVA]]-Imput[[#This Row],[Retención / IEPS / Descuento]]</f>
        <v>800.39993100000004</v>
      </c>
      <c r="M1072" s="844">
        <v>0</v>
      </c>
      <c r="N1072" s="189" t="s">
        <v>123</v>
      </c>
      <c r="O1072" s="1"/>
      <c r="P1072" s="189" t="s">
        <v>3651</v>
      </c>
      <c r="Q1072" s="190" t="s">
        <v>3652</v>
      </c>
      <c r="R1072" s="188">
        <v>45927</v>
      </c>
      <c r="S1072" s="193" t="s">
        <v>126</v>
      </c>
      <c r="T1072" s="192"/>
      <c r="U1072" s="829"/>
      <c r="V1072" s="10"/>
      <c r="W1072" s="10"/>
      <c r="X1072" s="10"/>
      <c r="Y1072" s="10"/>
      <c r="Z1072" s="10"/>
      <c r="AA1072" s="11"/>
      <c r="AB1072" s="11"/>
    </row>
    <row r="1073" spans="2:28" x14ac:dyDescent="0.3">
      <c r="B1073" s="10" t="s">
        <v>389</v>
      </c>
      <c r="C1073" s="315"/>
      <c r="D1073" s="868" t="s">
        <v>3653</v>
      </c>
      <c r="E1073" s="837" t="str">
        <f>IFERROR(IF(_xlfn.XLOOKUP(Imput[[#This Row],[RFC]],'Alta Proveedor'!D:D,'Alta Proveedor'!E:E)=0,"",_xlfn.XLOOKUP(Imput[[#This Row],[RFC]],'Alta Proveedor'!D:D,'Alta Proveedor'!E:E)),"")</f>
        <v>MITSU REYNOSA, SA DE CV</v>
      </c>
      <c r="F1073" s="832" t="s">
        <v>3658</v>
      </c>
      <c r="G1073" s="187">
        <v>1</v>
      </c>
      <c r="H1073" s="1">
        <v>650</v>
      </c>
      <c r="I1073" s="169">
        <f>Imput[[#This Row],[Cantidad]]*Imput[[#This Row],[Precio Unitario]]</f>
        <v>650</v>
      </c>
      <c r="J1073" s="11">
        <f>((Imput[[#This Row],[Sub total]])*(0.1599999))</f>
        <v>103.99993499999999</v>
      </c>
      <c r="K1073" s="11">
        <v>0</v>
      </c>
      <c r="L1073" s="169">
        <f>Imput[[#This Row],[Sub total]]+Imput[[#This Row],[IVA]]-Imput[[#This Row],[Retención / IEPS / Descuento]]</f>
        <v>753.99993500000005</v>
      </c>
      <c r="M1073" s="844">
        <v>0</v>
      </c>
      <c r="N1073" s="189" t="s">
        <v>123</v>
      </c>
      <c r="O1073" s="1"/>
      <c r="P1073" s="189" t="s">
        <v>3651</v>
      </c>
      <c r="Q1073" s="190" t="s">
        <v>3652</v>
      </c>
      <c r="R1073" s="188">
        <v>45927</v>
      </c>
      <c r="S1073" s="193" t="s">
        <v>126</v>
      </c>
      <c r="T1073" s="192"/>
      <c r="U1073" s="829"/>
      <c r="V1073" s="10"/>
      <c r="W1073" s="10"/>
      <c r="X1073" s="10"/>
      <c r="Y1073" s="10"/>
      <c r="Z1073" s="10"/>
      <c r="AA1073" s="11"/>
      <c r="AB1073" s="11"/>
    </row>
    <row r="1074" spans="2:28" x14ac:dyDescent="0.3">
      <c r="B1074" s="10" t="s">
        <v>389</v>
      </c>
      <c r="C1074" s="315"/>
      <c r="D1074" s="868" t="s">
        <v>3653</v>
      </c>
      <c r="E1074" s="837" t="str">
        <f>IFERROR(IF(_xlfn.XLOOKUP(Imput[[#This Row],[RFC]],'Alta Proveedor'!D:D,'Alta Proveedor'!E:E)=0,"",_xlfn.XLOOKUP(Imput[[#This Row],[RFC]],'Alta Proveedor'!D:D,'Alta Proveedor'!E:E)),"")</f>
        <v>MITSU REYNOSA, SA DE CV</v>
      </c>
      <c r="F1074" s="832" t="s">
        <v>3659</v>
      </c>
      <c r="G1074" s="187">
        <v>1</v>
      </c>
      <c r="H1074" s="1">
        <v>31.11</v>
      </c>
      <c r="I1074" s="169">
        <f>Imput[[#This Row],[Cantidad]]*Imput[[#This Row],[Precio Unitario]]</f>
        <v>31.11</v>
      </c>
      <c r="J1074" s="11">
        <f>((Imput[[#This Row],[Sub total]])*(0.1599999))</f>
        <v>4.977596889</v>
      </c>
      <c r="K1074" s="11">
        <v>0</v>
      </c>
      <c r="L1074" s="169">
        <f>Imput[[#This Row],[Sub total]]+Imput[[#This Row],[IVA]]-Imput[[#This Row],[Retención / IEPS / Descuento]]</f>
        <v>36.087596888999997</v>
      </c>
      <c r="M1074" s="844">
        <v>0</v>
      </c>
      <c r="N1074" s="189" t="s">
        <v>123</v>
      </c>
      <c r="O1074" s="1"/>
      <c r="P1074" s="189" t="s">
        <v>3651</v>
      </c>
      <c r="Q1074" s="190" t="s">
        <v>3652</v>
      </c>
      <c r="R1074" s="188">
        <v>45927</v>
      </c>
      <c r="S1074" s="193" t="s">
        <v>126</v>
      </c>
      <c r="T1074" s="192"/>
      <c r="U1074" s="829"/>
      <c r="V1074" s="10"/>
      <c r="W1074" s="10"/>
      <c r="X1074" s="10"/>
      <c r="Y1074" s="10"/>
      <c r="Z1074" s="10"/>
      <c r="AA1074" s="11"/>
      <c r="AB1074" s="11"/>
    </row>
    <row r="1075" spans="2:28" x14ac:dyDescent="0.3">
      <c r="B1075" s="10" t="s">
        <v>389</v>
      </c>
      <c r="C1075" s="315"/>
      <c r="D1075" s="868" t="s">
        <v>3653</v>
      </c>
      <c r="E1075" s="837" t="str">
        <f>IFERROR(IF(_xlfn.XLOOKUP(Imput[[#This Row],[RFC]],'Alta Proveedor'!D:D,'Alta Proveedor'!E:E)=0,"",_xlfn.XLOOKUP(Imput[[#This Row],[RFC]],'Alta Proveedor'!D:D,'Alta Proveedor'!E:E)),"")</f>
        <v>MITSU REYNOSA, SA DE CV</v>
      </c>
      <c r="F1075" s="832" t="s">
        <v>3660</v>
      </c>
      <c r="G1075" s="187">
        <v>1</v>
      </c>
      <c r="H1075" s="1">
        <v>31</v>
      </c>
      <c r="I1075" s="169">
        <f>Imput[[#This Row],[Cantidad]]*Imput[[#This Row],[Precio Unitario]]</f>
        <v>31</v>
      </c>
      <c r="J1075" s="11">
        <f>((Imput[[#This Row],[Sub total]])*(0.1599999))</f>
        <v>4.9599969000000002</v>
      </c>
      <c r="K1075" s="11">
        <v>0</v>
      </c>
      <c r="L1075" s="169">
        <f>Imput[[#This Row],[Sub total]]+Imput[[#This Row],[IVA]]-Imput[[#This Row],[Retención / IEPS / Descuento]]</f>
        <v>35.9599969</v>
      </c>
      <c r="M1075" s="844">
        <v>0</v>
      </c>
      <c r="N1075" s="189" t="s">
        <v>123</v>
      </c>
      <c r="O1075" s="1"/>
      <c r="P1075" s="189" t="s">
        <v>3651</v>
      </c>
      <c r="Q1075" s="190" t="s">
        <v>3652</v>
      </c>
      <c r="R1075" s="188">
        <v>45927</v>
      </c>
      <c r="S1075" s="193" t="s">
        <v>126</v>
      </c>
      <c r="T1075" s="192"/>
      <c r="U1075" s="829"/>
      <c r="V1075" s="10"/>
      <c r="W1075" s="10"/>
      <c r="X1075" s="10"/>
      <c r="Y1075" s="10"/>
      <c r="Z1075" s="10"/>
      <c r="AA1075" s="11"/>
      <c r="AB1075" s="11"/>
    </row>
    <row r="1076" spans="2:28" x14ac:dyDescent="0.3">
      <c r="B1076" s="10" t="s">
        <v>389</v>
      </c>
      <c r="C1076" s="315"/>
      <c r="D1076" s="868" t="s">
        <v>3653</v>
      </c>
      <c r="E1076" s="837" t="str">
        <f>IFERROR(IF(_xlfn.XLOOKUP(Imput[[#This Row],[RFC]],'Alta Proveedor'!D:D,'Alta Proveedor'!E:E)=0,"",_xlfn.XLOOKUP(Imput[[#This Row],[RFC]],'Alta Proveedor'!D:D,'Alta Proveedor'!E:E)),"")</f>
        <v>MITSU REYNOSA, SA DE CV</v>
      </c>
      <c r="F1076" s="832" t="s">
        <v>3661</v>
      </c>
      <c r="G1076" s="187">
        <v>8</v>
      </c>
      <c r="H1076" s="1">
        <v>119</v>
      </c>
      <c r="I1076" s="169">
        <f>Imput[[#This Row],[Cantidad]]*Imput[[#This Row],[Precio Unitario]]</f>
        <v>952</v>
      </c>
      <c r="J1076" s="11">
        <f>((Imput[[#This Row],[Sub total]])*(0.1599999))</f>
        <v>152.31990479999999</v>
      </c>
      <c r="K1076" s="11">
        <v>0</v>
      </c>
      <c r="L1076" s="169">
        <f>Imput[[#This Row],[Sub total]]+Imput[[#This Row],[IVA]]-Imput[[#This Row],[Retención / IEPS / Descuento]]</f>
        <v>1104.3199047999999</v>
      </c>
      <c r="M1076" s="844">
        <v>0</v>
      </c>
      <c r="N1076" s="189" t="s">
        <v>123</v>
      </c>
      <c r="O1076" s="1"/>
      <c r="P1076" s="189" t="s">
        <v>3651</v>
      </c>
      <c r="Q1076" s="190" t="s">
        <v>3652</v>
      </c>
      <c r="R1076" s="188">
        <v>45927</v>
      </c>
      <c r="S1076" s="193" t="s">
        <v>126</v>
      </c>
      <c r="T1076" s="192"/>
      <c r="U1076" s="829"/>
      <c r="V1076" s="10"/>
      <c r="W1076" s="10"/>
      <c r="X1076" s="10"/>
      <c r="Y1076" s="10"/>
      <c r="Z1076" s="10"/>
      <c r="AA1076" s="11"/>
      <c r="AB1076" s="11"/>
    </row>
    <row r="1077" spans="2:28" x14ac:dyDescent="0.3">
      <c r="B1077" s="10" t="s">
        <v>394</v>
      </c>
      <c r="C1077" s="315" t="s">
        <v>1767</v>
      </c>
      <c r="D1077" s="868" t="s">
        <v>3664</v>
      </c>
      <c r="E1077" s="837" t="str">
        <f>IFERROR(IF(_xlfn.XLOOKUP(Imput[[#This Row],[RFC]],'Alta Proveedor'!D:D,'Alta Proveedor'!E:E)=0,"",_xlfn.XLOOKUP(Imput[[#This Row],[RFC]],'Alta Proveedor'!D:D,'Alta Proveedor'!E:E)),"")</f>
        <v>LA MARINA VIEJA (COMBUSTIBLES)</v>
      </c>
      <c r="F1077" s="832" t="s">
        <v>1114</v>
      </c>
      <c r="G1077" s="187">
        <v>65.308041000000003</v>
      </c>
      <c r="H1077" s="1">
        <f>1495.65/Imput[[#This Row],[Cantidad]]</f>
        <v>22.901467829972116</v>
      </c>
      <c r="I1077" s="169">
        <f>Imput[[#This Row],[Cantidad]]*Imput[[#This Row],[Precio Unitario]]</f>
        <v>1495.65</v>
      </c>
      <c r="J1077" s="11">
        <f>((1464.75)*(0.16))</f>
        <v>234.36</v>
      </c>
      <c r="K1077" s="11">
        <v>0</v>
      </c>
      <c r="L1077" s="169">
        <f>Imput[[#This Row],[Sub total]]+Imput[[#This Row],[IVA]]-Imput[[#This Row],[Retención / IEPS / Descuento]]</f>
        <v>1730.0100000000002</v>
      </c>
      <c r="M1077" s="844">
        <v>1730.0100000000002</v>
      </c>
      <c r="N1077" s="189" t="s">
        <v>123</v>
      </c>
      <c r="O1077" s="1"/>
      <c r="P1077" s="189" t="s">
        <v>3662</v>
      </c>
      <c r="Q1077" s="190" t="s">
        <v>3663</v>
      </c>
      <c r="R1077" s="188">
        <v>45946</v>
      </c>
      <c r="S1077" s="193" t="s">
        <v>126</v>
      </c>
      <c r="T1077" s="192"/>
      <c r="U1077" s="829"/>
      <c r="V1077" s="10"/>
      <c r="W1077" s="10"/>
      <c r="X1077" s="10"/>
      <c r="Y1077" s="10"/>
      <c r="Z1077" s="10"/>
      <c r="AA1077" s="11"/>
      <c r="AB1077" s="11"/>
    </row>
    <row r="1078" spans="2:28" x14ac:dyDescent="0.3">
      <c r="B1078" s="10" t="s">
        <v>394</v>
      </c>
      <c r="C1078" s="315" t="s">
        <v>1747</v>
      </c>
      <c r="D1078" s="868" t="s">
        <v>3668</v>
      </c>
      <c r="E1078" s="837" t="str">
        <f>IFERROR(IF(_xlfn.XLOOKUP(Imput[[#This Row],[RFC]],'Alta Proveedor'!D:D,'Alta Proveedor'!E:E)=0,"",_xlfn.XLOOKUP(Imput[[#This Row],[RFC]],'Alta Proveedor'!D:D,'Alta Proveedor'!E:E)),"")</f>
        <v>LUIS EUGENIO RODRIGUEZ SALINAS "HOTEL LA SERENA"</v>
      </c>
      <c r="F1078" s="832" t="s">
        <v>3672</v>
      </c>
      <c r="G1078" s="187">
        <v>1</v>
      </c>
      <c r="H1078" s="1">
        <v>800</v>
      </c>
      <c r="I1078" s="169">
        <f>Imput[[#This Row],[Cantidad]]*Imput[[#This Row],[Precio Unitario]]</f>
        <v>800</v>
      </c>
      <c r="J1078" s="11">
        <f>((Imput[[#This Row],[Sub total]])*(0.16))</f>
        <v>128</v>
      </c>
      <c r="K1078" s="11">
        <v>0</v>
      </c>
      <c r="L1078" s="169">
        <f>Imput[[#This Row],[Sub total]]+Imput[[#This Row],[IVA]]-Imput[[#This Row],[Retención / IEPS / Descuento]]</f>
        <v>928</v>
      </c>
      <c r="M1078" s="844">
        <v>928</v>
      </c>
      <c r="N1078" s="189" t="s">
        <v>123</v>
      </c>
      <c r="O1078" s="1"/>
      <c r="P1078" s="189" t="s">
        <v>3666</v>
      </c>
      <c r="Q1078" s="190" t="s">
        <v>3667</v>
      </c>
      <c r="R1078" s="188">
        <v>45948</v>
      </c>
      <c r="S1078" s="193" t="s">
        <v>215</v>
      </c>
      <c r="T1078" s="192"/>
      <c r="U1078" s="829"/>
      <c r="V1078" s="10"/>
      <c r="W1078" s="10"/>
      <c r="X1078" s="10"/>
      <c r="Y1078" s="10"/>
      <c r="Z1078" s="10"/>
      <c r="AA1078" s="11"/>
      <c r="AB1078" s="11"/>
    </row>
    <row r="1079" spans="2:28" x14ac:dyDescent="0.3">
      <c r="B1079" s="10" t="s">
        <v>394</v>
      </c>
      <c r="C1079" s="315" t="s">
        <v>1747</v>
      </c>
      <c r="D1079" s="868" t="s">
        <v>3668</v>
      </c>
      <c r="E1079" s="837" t="str">
        <f>IFERROR(IF(_xlfn.XLOOKUP(Imput[[#This Row],[RFC]],'Alta Proveedor'!D:D,'Alta Proveedor'!E:E)=0,"",_xlfn.XLOOKUP(Imput[[#This Row],[RFC]],'Alta Proveedor'!D:D,'Alta Proveedor'!E:E)),"")</f>
        <v>LUIS EUGENIO RODRIGUEZ SALINAS "HOTEL LA SERENA"</v>
      </c>
      <c r="F1079" s="832" t="s">
        <v>3673</v>
      </c>
      <c r="G1079" s="187">
        <v>1</v>
      </c>
      <c r="H1079" s="1">
        <v>800</v>
      </c>
      <c r="I1079" s="169">
        <f>Imput[[#This Row],[Cantidad]]*Imput[[#This Row],[Precio Unitario]]</f>
        <v>800</v>
      </c>
      <c r="J1079" s="11">
        <f>((Imput[[#This Row],[Sub total]])*(0.16))</f>
        <v>128</v>
      </c>
      <c r="K1079" s="11">
        <v>0</v>
      </c>
      <c r="L1079" s="169">
        <f>Imput[[#This Row],[Sub total]]+Imput[[#This Row],[IVA]]-Imput[[#This Row],[Retención / IEPS / Descuento]]</f>
        <v>928</v>
      </c>
      <c r="M1079" s="844">
        <v>928</v>
      </c>
      <c r="N1079" s="189" t="s">
        <v>123</v>
      </c>
      <c r="O1079" s="1"/>
      <c r="P1079" s="189" t="s">
        <v>3670</v>
      </c>
      <c r="Q1079" s="190" t="s">
        <v>3671</v>
      </c>
      <c r="R1079" s="188">
        <v>45950</v>
      </c>
      <c r="S1079" s="193" t="s">
        <v>215</v>
      </c>
      <c r="T1079" s="192"/>
      <c r="U1079" s="829"/>
      <c r="V1079" s="10"/>
      <c r="W1079" s="10"/>
      <c r="X1079" s="10"/>
      <c r="Y1079" s="10"/>
      <c r="Z1079" s="10"/>
      <c r="AA1079" s="11"/>
      <c r="AB1079" s="11"/>
    </row>
    <row r="1080" spans="2:28" x14ac:dyDescent="0.3">
      <c r="B1080" s="10" t="s">
        <v>394</v>
      </c>
      <c r="C1080" s="315" t="s">
        <v>1747</v>
      </c>
      <c r="D1080" s="868" t="s">
        <v>3668</v>
      </c>
      <c r="E1080" s="837" t="str">
        <f>IFERROR(IF(_xlfn.XLOOKUP(Imput[[#This Row],[RFC]],'Alta Proveedor'!D:D,'Alta Proveedor'!E:E)=0,"",_xlfn.XLOOKUP(Imput[[#This Row],[RFC]],'Alta Proveedor'!D:D,'Alta Proveedor'!E:E)),"")</f>
        <v>LUIS EUGENIO RODRIGUEZ SALINAS "HOTEL LA SERENA"</v>
      </c>
      <c r="F1080" s="832" t="s">
        <v>3674</v>
      </c>
      <c r="G1080" s="187">
        <v>1</v>
      </c>
      <c r="H1080" s="1">
        <v>800</v>
      </c>
      <c r="I1080" s="169">
        <f>Imput[[#This Row],[Cantidad]]*Imput[[#This Row],[Precio Unitario]]</f>
        <v>800</v>
      </c>
      <c r="J1080" s="11">
        <f>((Imput[[#This Row],[Sub total]])*(0.16))</f>
        <v>128</v>
      </c>
      <c r="K1080" s="11">
        <v>0</v>
      </c>
      <c r="L1080" s="169">
        <f>Imput[[#This Row],[Sub total]]+Imput[[#This Row],[IVA]]-Imput[[#This Row],[Retención / IEPS / Descuento]]</f>
        <v>928</v>
      </c>
      <c r="M1080" s="844">
        <v>928</v>
      </c>
      <c r="N1080" s="189" t="s">
        <v>123</v>
      </c>
      <c r="O1080" s="1"/>
      <c r="P1080" s="189" t="s">
        <v>3675</v>
      </c>
      <c r="Q1080" s="190" t="s">
        <v>3676</v>
      </c>
      <c r="R1080" s="188">
        <v>45950</v>
      </c>
      <c r="S1080" s="193" t="s">
        <v>215</v>
      </c>
      <c r="T1080" s="192"/>
      <c r="U1080" s="829"/>
      <c r="V1080" s="10"/>
      <c r="W1080" s="10"/>
      <c r="X1080" s="10"/>
      <c r="Y1080" s="10"/>
      <c r="Z1080" s="10"/>
      <c r="AA1080" s="11"/>
      <c r="AB1080" s="11"/>
    </row>
    <row r="1081" spans="2:28" x14ac:dyDescent="0.3">
      <c r="B1081" s="10" t="s">
        <v>389</v>
      </c>
      <c r="C1081" s="315"/>
      <c r="D1081" s="868" t="s">
        <v>3677</v>
      </c>
      <c r="E1081" s="837" t="str">
        <f>IFERROR(IF(_xlfn.XLOOKUP(Imput[[#This Row],[RFC]],'Alta Proveedor'!D:D,'Alta Proveedor'!E:E)=0,"",_xlfn.XLOOKUP(Imput[[#This Row],[RFC]],'Alta Proveedor'!D:D,'Alta Proveedor'!E:E)),"")</f>
        <v>EDWIN HAZAEL SANCHEZ MANSILLA</v>
      </c>
      <c r="F1081" s="832" t="s">
        <v>3681</v>
      </c>
      <c r="G1081" s="187">
        <v>12</v>
      </c>
      <c r="H1081" s="1">
        <v>2577.59</v>
      </c>
      <c r="I1081" s="169">
        <f>Imput[[#This Row],[Cantidad]]*Imput[[#This Row],[Precio Unitario]]</f>
        <v>30931.08</v>
      </c>
      <c r="J1081" s="11">
        <f>((Imput[[#This Row],[Sub total]])*(0.16))</f>
        <v>4948.9728000000005</v>
      </c>
      <c r="K1081" s="11">
        <v>0</v>
      </c>
      <c r="L1081" s="169">
        <f>Imput[[#This Row],[Sub total]]+Imput[[#This Row],[IVA]]-Imput[[#This Row],[Retención / IEPS / Descuento]]</f>
        <v>35880.052800000005</v>
      </c>
      <c r="M1081" s="844">
        <v>35880.052800000005</v>
      </c>
      <c r="N1081" s="189" t="s">
        <v>123</v>
      </c>
      <c r="O1081" s="1"/>
      <c r="P1081" s="189" t="s">
        <v>3679</v>
      </c>
      <c r="Q1081" s="190" t="s">
        <v>3680</v>
      </c>
      <c r="R1081" s="188">
        <v>45918</v>
      </c>
      <c r="S1081" s="193" t="s">
        <v>215</v>
      </c>
      <c r="T1081" s="192"/>
      <c r="U1081" s="829"/>
      <c r="V1081" s="10"/>
      <c r="W1081" s="10"/>
      <c r="X1081" s="10"/>
      <c r="Y1081" s="10"/>
      <c r="Z1081" s="10"/>
      <c r="AA1081" s="11"/>
      <c r="AB1081" s="11"/>
    </row>
    <row r="1082" spans="2:28" x14ac:dyDescent="0.3">
      <c r="B1082" s="10" t="s">
        <v>389</v>
      </c>
      <c r="C1082" s="315"/>
      <c r="D1082" s="868" t="s">
        <v>3684</v>
      </c>
      <c r="E1082" s="837" t="str">
        <f>IFERROR(IF(_xlfn.XLOOKUP(Imput[[#This Row],[RFC]],'Alta Proveedor'!D:D,'Alta Proveedor'!E:E)=0,"",_xlfn.XLOOKUP(Imput[[#This Row],[RFC]],'Alta Proveedor'!D:D,'Alta Proveedor'!E:E)),"")</f>
        <v>SERVICIOS PROFESIONALES GGA</v>
      </c>
      <c r="F1082" s="832" t="s">
        <v>3686</v>
      </c>
      <c r="G1082" s="187">
        <v>1</v>
      </c>
      <c r="H1082" s="1">
        <v>300</v>
      </c>
      <c r="I1082" s="169">
        <f>Imput[[#This Row],[Cantidad]]*Imput[[#This Row],[Precio Unitario]]</f>
        <v>300</v>
      </c>
      <c r="J1082" s="11">
        <f>((Imput[[#This Row],[Sub total]])*(0.16))</f>
        <v>48</v>
      </c>
      <c r="K1082" s="11">
        <v>0</v>
      </c>
      <c r="L1082" s="169">
        <f>Imput[[#This Row],[Sub total]]+Imput[[#This Row],[IVA]]-Imput[[#This Row],[Retención / IEPS / Descuento]]</f>
        <v>348</v>
      </c>
      <c r="M1082" s="844">
        <v>348</v>
      </c>
      <c r="N1082" s="189" t="s">
        <v>123</v>
      </c>
      <c r="O1082" s="1"/>
      <c r="P1082" s="189" t="s">
        <v>3682</v>
      </c>
      <c r="Q1082" s="190" t="s">
        <v>3683</v>
      </c>
      <c r="R1082" s="188">
        <v>45922</v>
      </c>
      <c r="S1082" s="193" t="s">
        <v>126</v>
      </c>
      <c r="T1082" s="192"/>
      <c r="U1082" s="829"/>
      <c r="V1082" s="10"/>
      <c r="W1082" s="10"/>
      <c r="X1082" s="10"/>
      <c r="Y1082" s="10"/>
      <c r="Z1082" s="10"/>
      <c r="AA1082" s="11"/>
      <c r="AB1082" s="11"/>
    </row>
    <row r="1083" spans="2:28" x14ac:dyDescent="0.3">
      <c r="B1083" s="10" t="s">
        <v>389</v>
      </c>
      <c r="C1083" s="315" t="s">
        <v>1767</v>
      </c>
      <c r="D1083" s="868" t="s">
        <v>3684</v>
      </c>
      <c r="E1083" s="837" t="str">
        <f>IFERROR(IF(_xlfn.XLOOKUP(Imput[[#This Row],[RFC]],'Alta Proveedor'!D:D,'Alta Proveedor'!E:E)=0,"",_xlfn.XLOOKUP(Imput[[#This Row],[RFC]],'Alta Proveedor'!D:D,'Alta Proveedor'!E:E)),"")</f>
        <v>SERVICIOS PROFESIONALES GGA</v>
      </c>
      <c r="F1083" s="832" t="s">
        <v>237</v>
      </c>
      <c r="G1083" s="187">
        <v>58.29</v>
      </c>
      <c r="H1083" s="1">
        <f>1310.58/Imput[[#This Row],[Cantidad]]</f>
        <v>22.483787956767884</v>
      </c>
      <c r="I1083" s="169">
        <f>Imput[[#This Row],[Cantidad]]*Imput[[#This Row],[Precio Unitario]]</f>
        <v>1310.58</v>
      </c>
      <c r="J1083" s="11">
        <f>((Imput[[#This Row],[Sub total]])*(0.155736))</f>
        <v>204.10448688</v>
      </c>
      <c r="K1083" s="11">
        <v>0</v>
      </c>
      <c r="L1083" s="169">
        <f>Imput[[#This Row],[Sub total]]+Imput[[#This Row],[IVA]]-Imput[[#This Row],[Retención / IEPS / Descuento]]</f>
        <v>1514.6844868799999</v>
      </c>
      <c r="M1083" s="844">
        <v>3945.3886339555866</v>
      </c>
      <c r="N1083" s="189" t="s">
        <v>123</v>
      </c>
      <c r="O1083" s="1"/>
      <c r="P1083" s="189" t="s">
        <v>3687</v>
      </c>
      <c r="Q1083" s="190" t="s">
        <v>3688</v>
      </c>
      <c r="R1083" s="188">
        <v>45930</v>
      </c>
      <c r="S1083" s="193" t="s">
        <v>215</v>
      </c>
      <c r="T1083" s="192"/>
      <c r="U1083" s="829"/>
      <c r="V1083" s="10"/>
      <c r="W1083" s="10"/>
      <c r="X1083" s="10"/>
      <c r="Y1083" s="10"/>
      <c r="Z1083" s="10"/>
      <c r="AA1083" s="11"/>
      <c r="AB1083" s="11"/>
    </row>
    <row r="1084" spans="2:28" x14ac:dyDescent="0.3">
      <c r="B1084" s="10" t="s">
        <v>389</v>
      </c>
      <c r="C1084" s="315" t="s">
        <v>1767</v>
      </c>
      <c r="D1084" s="868" t="s">
        <v>3684</v>
      </c>
      <c r="E1084" s="837" t="str">
        <f>IFERROR(IF(_xlfn.XLOOKUP(Imput[[#This Row],[RFC]],'Alta Proveedor'!D:D,'Alta Proveedor'!E:E)=0,"",_xlfn.XLOOKUP(Imput[[#This Row],[RFC]],'Alta Proveedor'!D:D,'Alta Proveedor'!E:E)),"")</f>
        <v>SERVICIOS PROFESIONALES GGA</v>
      </c>
      <c r="F1084" s="832" t="s">
        <v>1145</v>
      </c>
      <c r="G1084" s="187">
        <v>45.86</v>
      </c>
      <c r="H1084" s="1">
        <f>952.04/Imput[[#This Row],[Cantidad]]</f>
        <v>20.759703445268208</v>
      </c>
      <c r="I1084" s="169">
        <f>Imput[[#This Row],[Cantidad]]*Imput[[#This Row],[Precio Unitario]]</f>
        <v>952.04</v>
      </c>
      <c r="J1084" s="11">
        <f>((Imput[[#This Row],[Sub total]])*(0.155736))</f>
        <v>148.26690144</v>
      </c>
      <c r="K1084" s="11">
        <v>0</v>
      </c>
      <c r="L1084" s="169">
        <f>Imput[[#This Row],[Sub total]]+Imput[[#This Row],[IVA]]-Imput[[#This Row],[Retención / IEPS / Descuento]]</f>
        <v>1100.30690144</v>
      </c>
      <c r="M1084" s="844">
        <v>0</v>
      </c>
      <c r="N1084" s="189" t="s">
        <v>123</v>
      </c>
      <c r="O1084" s="1"/>
      <c r="P1084" s="189" t="s">
        <v>3687</v>
      </c>
      <c r="Q1084" s="190" t="s">
        <v>3688</v>
      </c>
      <c r="R1084" s="188">
        <v>45930</v>
      </c>
      <c r="S1084" s="193" t="s">
        <v>215</v>
      </c>
      <c r="T1084" s="192"/>
      <c r="U1084" s="829"/>
      <c r="V1084" s="10"/>
      <c r="W1084" s="10"/>
      <c r="X1084" s="10"/>
      <c r="Y1084" s="10"/>
      <c r="Z1084" s="10"/>
      <c r="AA1084" s="11"/>
      <c r="AB1084" s="11"/>
    </row>
    <row r="1085" spans="2:28" x14ac:dyDescent="0.3">
      <c r="B1085" s="10" t="s">
        <v>389</v>
      </c>
      <c r="C1085" s="315" t="s">
        <v>1767</v>
      </c>
      <c r="D1085" s="868" t="s">
        <v>3684</v>
      </c>
      <c r="E1085" s="837" t="str">
        <f>IFERROR(IF(_xlfn.XLOOKUP(Imput[[#This Row],[RFC]],'Alta Proveedor'!D:D,'Alta Proveedor'!E:E)=0,"",_xlfn.XLOOKUP(Imput[[#This Row],[RFC]],'Alta Proveedor'!D:D,'Alta Proveedor'!E:E)),"")</f>
        <v>SERVICIOS PROFESIONALES GGA</v>
      </c>
      <c r="F1085" s="832" t="s">
        <v>1145</v>
      </c>
      <c r="G1085" s="187">
        <v>55.45</v>
      </c>
      <c r="H1085" s="1">
        <v>20.759703445268208</v>
      </c>
      <c r="I1085" s="169">
        <f>Imput[[#This Row],[Cantidad]]*Imput[[#This Row],[Precio Unitario]]</f>
        <v>1151.1255560401221</v>
      </c>
      <c r="J1085" s="11">
        <f>((Imput[[#This Row],[Sub total]])*(0.155736))</f>
        <v>179.27168959546447</v>
      </c>
      <c r="K1085" s="11">
        <v>0</v>
      </c>
      <c r="L1085" s="169">
        <f>Imput[[#This Row],[Sub total]]+Imput[[#This Row],[IVA]]-Imput[[#This Row],[Retención / IEPS / Descuento]]</f>
        <v>1330.3972456355866</v>
      </c>
      <c r="M1085" s="844">
        <v>0</v>
      </c>
      <c r="N1085" s="189" t="s">
        <v>123</v>
      </c>
      <c r="O1085" s="1"/>
      <c r="P1085" s="189" t="s">
        <v>3687</v>
      </c>
      <c r="Q1085" s="190" t="s">
        <v>3688</v>
      </c>
      <c r="R1085" s="188">
        <v>45930</v>
      </c>
      <c r="S1085" s="193" t="s">
        <v>215</v>
      </c>
      <c r="T1085" s="192"/>
      <c r="U1085" s="829"/>
      <c r="V1085" s="10"/>
      <c r="W1085" s="10"/>
      <c r="X1085" s="10"/>
      <c r="Y1085" s="10"/>
      <c r="Z1085" s="10"/>
      <c r="AA1085" s="11"/>
      <c r="AB1085" s="11"/>
    </row>
    <row r="1086" spans="2:28" x14ac:dyDescent="0.3">
      <c r="B1086" s="10" t="s">
        <v>392</v>
      </c>
      <c r="C1086" s="315"/>
      <c r="D1086" s="868" t="s">
        <v>3684</v>
      </c>
      <c r="E1086" s="837" t="str">
        <f>IFERROR(IF(_xlfn.XLOOKUP(Imput[[#This Row],[RFC]],'Alta Proveedor'!D:D,'Alta Proveedor'!E:E)=0,"",_xlfn.XLOOKUP(Imput[[#This Row],[RFC]],'Alta Proveedor'!D:D,'Alta Proveedor'!E:E)),"")</f>
        <v>SERVICIOS PROFESIONALES GGA</v>
      </c>
      <c r="F1086" s="832" t="s">
        <v>3686</v>
      </c>
      <c r="G1086" s="187">
        <v>1</v>
      </c>
      <c r="H1086" s="1">
        <v>300</v>
      </c>
      <c r="I1086" s="169">
        <f>Imput[[#This Row],[Cantidad]]*Imput[[#This Row],[Precio Unitario]]</f>
        <v>300</v>
      </c>
      <c r="J1086" s="11">
        <f>((Imput[[#This Row],[Sub total]])*(0.16))</f>
        <v>48</v>
      </c>
      <c r="K1086" s="11">
        <v>0</v>
      </c>
      <c r="L1086" s="169">
        <f>Imput[[#This Row],[Sub total]]+Imput[[#This Row],[IVA]]-Imput[[#This Row],[Retención / IEPS / Descuento]]</f>
        <v>348</v>
      </c>
      <c r="M1086" s="844">
        <v>348</v>
      </c>
      <c r="N1086" s="189" t="s">
        <v>123</v>
      </c>
      <c r="O1086" s="1"/>
      <c r="P1086" s="189" t="s">
        <v>3689</v>
      </c>
      <c r="Q1086" s="190" t="s">
        <v>3690</v>
      </c>
      <c r="R1086" s="188">
        <v>45944</v>
      </c>
      <c r="S1086" s="193" t="s">
        <v>126</v>
      </c>
      <c r="T1086" s="192"/>
      <c r="U1086" s="829"/>
      <c r="V1086" s="10"/>
      <c r="W1086" s="10"/>
      <c r="X1086" s="10"/>
      <c r="Y1086" s="10"/>
      <c r="Z1086" s="10"/>
      <c r="AA1086" s="11"/>
      <c r="AB1086" s="11"/>
    </row>
    <row r="1087" spans="2:28" x14ac:dyDescent="0.3">
      <c r="B1087" s="10" t="s">
        <v>392</v>
      </c>
      <c r="C1087" s="315" t="s">
        <v>1767</v>
      </c>
      <c r="D1087" s="868" t="s">
        <v>3693</v>
      </c>
      <c r="E1087" s="837" t="str">
        <f>IFERROR(IF(_xlfn.XLOOKUP(Imput[[#This Row],[RFC]],'Alta Proveedor'!D:D,'Alta Proveedor'!E:E)=0,"",_xlfn.XLOOKUP(Imput[[#This Row],[RFC]],'Alta Proveedor'!D:D,'Alta Proveedor'!E:E)),"")</f>
        <v>SERVICIO RC E04965 "PEMEX" (COMBUSTIBLES)</v>
      </c>
      <c r="F1087" s="832" t="s">
        <v>237</v>
      </c>
      <c r="G1087" s="187">
        <v>58.674999999999997</v>
      </c>
      <c r="H1087" s="865">
        <v>20.742386</v>
      </c>
      <c r="I1087" s="169">
        <f>Imput[[#This Row],[Cantidad]]*Imput[[#This Row],[Precio Unitario]]</f>
        <v>1217.0594985499999</v>
      </c>
      <c r="J1087" s="11">
        <v>189.38</v>
      </c>
      <c r="K1087" s="11">
        <v>0</v>
      </c>
      <c r="L1087" s="169">
        <f>Imput[[#This Row],[Sub total]]+Imput[[#This Row],[IVA]]-Imput[[#This Row],[Retención / IEPS / Descuento]]</f>
        <v>1406.4394985499998</v>
      </c>
      <c r="M1087" s="844">
        <v>1406.4394985499998</v>
      </c>
      <c r="N1087" s="189" t="s">
        <v>123</v>
      </c>
      <c r="O1087" s="1"/>
      <c r="P1087" s="189" t="s">
        <v>3691</v>
      </c>
      <c r="Q1087" s="190" t="s">
        <v>3692</v>
      </c>
      <c r="R1087" s="188">
        <v>45933</v>
      </c>
      <c r="S1087" s="193" t="s">
        <v>126</v>
      </c>
      <c r="T1087" s="192"/>
      <c r="U1087" s="829"/>
      <c r="V1087" s="10"/>
      <c r="W1087" s="10"/>
      <c r="X1087" s="10"/>
      <c r="Y1087" s="10"/>
      <c r="Z1087" s="10"/>
      <c r="AA1087" s="11"/>
      <c r="AB1087" s="11"/>
    </row>
    <row r="1088" spans="2:28" x14ac:dyDescent="0.3">
      <c r="B1088" s="10" t="s">
        <v>394</v>
      </c>
      <c r="C1088" s="315" t="s">
        <v>1767</v>
      </c>
      <c r="D1088" s="868" t="s">
        <v>3693</v>
      </c>
      <c r="E1088" s="837" t="str">
        <f>IFERROR(IF(_xlfn.XLOOKUP(Imput[[#This Row],[RFC]],'Alta Proveedor'!D:D,'Alta Proveedor'!E:E)=0,"",_xlfn.XLOOKUP(Imput[[#This Row],[RFC]],'Alta Proveedor'!D:D,'Alta Proveedor'!E:E)),"")</f>
        <v>SERVICIO RC E04965 "PEMEX" (COMBUSTIBLES)</v>
      </c>
      <c r="F1088" s="832" t="s">
        <v>237</v>
      </c>
      <c r="G1088" s="187">
        <v>157.00800000000001</v>
      </c>
      <c r="H1088" s="1">
        <v>20.742386</v>
      </c>
      <c r="I1088" s="169">
        <f>Imput[[#This Row],[Cantidad]]*Imput[[#This Row],[Precio Unitario]]</f>
        <v>3256.7205410880001</v>
      </c>
      <c r="J1088" s="11">
        <v>506.76</v>
      </c>
      <c r="K1088" s="11">
        <v>0</v>
      </c>
      <c r="L1088" s="169">
        <f>Imput[[#This Row],[Sub total]]+Imput[[#This Row],[IVA]]-Imput[[#This Row],[Retención / IEPS / Descuento]]</f>
        <v>3763.4805410879999</v>
      </c>
      <c r="M1088" s="844">
        <v>3763.4805410879999</v>
      </c>
      <c r="N1088" s="189" t="s">
        <v>123</v>
      </c>
      <c r="O1088" s="1"/>
      <c r="P1088" s="189" t="s">
        <v>3695</v>
      </c>
      <c r="Q1088" s="190" t="s">
        <v>3696</v>
      </c>
      <c r="R1088" s="188">
        <v>45947</v>
      </c>
      <c r="S1088" s="193" t="s">
        <v>126</v>
      </c>
      <c r="T1088" s="192"/>
      <c r="U1088" s="829"/>
      <c r="V1088" s="10"/>
      <c r="W1088" s="10"/>
      <c r="X1088" s="10"/>
      <c r="Y1088" s="10"/>
      <c r="Z1088" s="10"/>
      <c r="AA1088" s="11"/>
      <c r="AB1088" s="11"/>
    </row>
    <row r="1089" spans="2:28" x14ac:dyDescent="0.3">
      <c r="B1089" s="10" t="s">
        <v>392</v>
      </c>
      <c r="C1089" s="315"/>
      <c r="D1089" s="868" t="s">
        <v>3699</v>
      </c>
      <c r="E1089" s="837" t="str">
        <f>IFERROR(IF(_xlfn.XLOOKUP(Imput[[#This Row],[RFC]],'Alta Proveedor'!D:D,'Alta Proveedor'!E:E)=0,"",_xlfn.XLOOKUP(Imput[[#This Row],[RFC]],'Alta Proveedor'!D:D,'Alta Proveedor'!E:E)),"")</f>
        <v>JAIME TORRES ADAME (FERRETERIA ALTAVISTA)</v>
      </c>
      <c r="F1089" s="832" t="s">
        <v>3701</v>
      </c>
      <c r="G1089" s="187">
        <v>1</v>
      </c>
      <c r="H1089" s="1">
        <v>168.10339999999999</v>
      </c>
      <c r="I1089" s="169">
        <f>Imput[[#This Row],[Cantidad]]*Imput[[#This Row],[Precio Unitario]]</f>
        <v>168.10339999999999</v>
      </c>
      <c r="J1089" s="11">
        <f>((Imput[[#This Row],[Sub total]])*(0.16))</f>
        <v>26.896543999999999</v>
      </c>
      <c r="K1089" s="11">
        <v>0</v>
      </c>
      <c r="L1089" s="169">
        <f>Imput[[#This Row],[Sub total]]+Imput[[#This Row],[IVA]]-Imput[[#This Row],[Retención / IEPS / Descuento]]</f>
        <v>194.999944</v>
      </c>
      <c r="M1089" s="844">
        <v>429.00001599999996</v>
      </c>
      <c r="N1089" s="189" t="s">
        <v>123</v>
      </c>
      <c r="O1089" s="1"/>
      <c r="P1089" s="189" t="s">
        <v>3697</v>
      </c>
      <c r="Q1089" s="190" t="s">
        <v>3698</v>
      </c>
      <c r="R1089" s="188">
        <v>45932</v>
      </c>
      <c r="S1089" s="193" t="s">
        <v>294</v>
      </c>
      <c r="T1089" s="192"/>
      <c r="U1089" s="829"/>
      <c r="V1089" s="10"/>
      <c r="W1089" s="10"/>
      <c r="X1089" s="10"/>
      <c r="Y1089" s="10"/>
      <c r="Z1089" s="10"/>
      <c r="AA1089" s="11"/>
      <c r="AB1089" s="11"/>
    </row>
    <row r="1090" spans="2:28" x14ac:dyDescent="0.3">
      <c r="B1090" s="10" t="s">
        <v>392</v>
      </c>
      <c r="C1090" s="315"/>
      <c r="D1090" s="868" t="s">
        <v>3699</v>
      </c>
      <c r="E1090" s="837" t="str">
        <f>IFERROR(IF(_xlfn.XLOOKUP(Imput[[#This Row],[RFC]],'Alta Proveedor'!D:D,'Alta Proveedor'!E:E)=0,"",_xlfn.XLOOKUP(Imput[[#This Row],[RFC]],'Alta Proveedor'!D:D,'Alta Proveedor'!E:E)),"")</f>
        <v>JAIME TORRES ADAME (FERRETERIA ALTAVISTA)</v>
      </c>
      <c r="F1090" s="832" t="s">
        <v>3702</v>
      </c>
      <c r="G1090" s="187">
        <v>1</v>
      </c>
      <c r="H1090" s="1">
        <v>67.241399999999999</v>
      </c>
      <c r="I1090" s="169">
        <f>Imput[[#This Row],[Cantidad]]*Imput[[#This Row],[Precio Unitario]]</f>
        <v>67.241399999999999</v>
      </c>
      <c r="J1090" s="11">
        <f>((Imput[[#This Row],[Sub total]])*(0.16))</f>
        <v>10.758623999999999</v>
      </c>
      <c r="K1090" s="11">
        <v>0</v>
      </c>
      <c r="L1090" s="169">
        <f>Imput[[#This Row],[Sub total]]+Imput[[#This Row],[IVA]]-Imput[[#This Row],[Retención / IEPS / Descuento]]</f>
        <v>78.000023999999996</v>
      </c>
      <c r="M1090" s="844">
        <v>0</v>
      </c>
      <c r="N1090" s="189" t="s">
        <v>123</v>
      </c>
      <c r="O1090" s="1"/>
      <c r="P1090" s="189" t="s">
        <v>3697</v>
      </c>
      <c r="Q1090" s="190" t="s">
        <v>3698</v>
      </c>
      <c r="R1090" s="188">
        <v>45932</v>
      </c>
      <c r="S1090" s="193" t="s">
        <v>294</v>
      </c>
      <c r="T1090" s="192"/>
      <c r="U1090" s="829"/>
      <c r="V1090" s="10"/>
      <c r="W1090" s="10"/>
      <c r="X1090" s="10"/>
      <c r="Y1090" s="10"/>
      <c r="Z1090" s="10"/>
      <c r="AA1090" s="11"/>
      <c r="AB1090" s="11"/>
    </row>
    <row r="1091" spans="2:28" x14ac:dyDescent="0.3">
      <c r="B1091" s="10" t="s">
        <v>392</v>
      </c>
      <c r="C1091" s="315"/>
      <c r="D1091" s="868" t="s">
        <v>3699</v>
      </c>
      <c r="E1091" s="837" t="str">
        <f>IFERROR(IF(_xlfn.XLOOKUP(Imput[[#This Row],[RFC]],'Alta Proveedor'!D:D,'Alta Proveedor'!E:E)=0,"",_xlfn.XLOOKUP(Imput[[#This Row],[RFC]],'Alta Proveedor'!D:D,'Alta Proveedor'!E:E)),"")</f>
        <v>JAIME TORRES ADAME (FERRETERIA ALTAVISTA)</v>
      </c>
      <c r="F1091" s="832" t="s">
        <v>3703</v>
      </c>
      <c r="G1091" s="187">
        <v>1</v>
      </c>
      <c r="H1091" s="1">
        <v>134.4828</v>
      </c>
      <c r="I1091" s="169">
        <f>Imput[[#This Row],[Cantidad]]*Imput[[#This Row],[Precio Unitario]]</f>
        <v>134.4828</v>
      </c>
      <c r="J1091" s="11">
        <f>((Imput[[#This Row],[Sub total]])*(0.16))</f>
        <v>21.517247999999999</v>
      </c>
      <c r="K1091" s="11">
        <v>0</v>
      </c>
      <c r="L1091" s="169">
        <f>Imput[[#This Row],[Sub total]]+Imput[[#This Row],[IVA]]-Imput[[#This Row],[Retención / IEPS / Descuento]]</f>
        <v>156.00004799999999</v>
      </c>
      <c r="M1091" s="844">
        <v>0</v>
      </c>
      <c r="N1091" s="189" t="s">
        <v>123</v>
      </c>
      <c r="O1091" s="1"/>
      <c r="P1091" s="189" t="s">
        <v>3697</v>
      </c>
      <c r="Q1091" s="190" t="s">
        <v>3698</v>
      </c>
      <c r="R1091" s="188">
        <v>45932</v>
      </c>
      <c r="S1091" s="193" t="s">
        <v>294</v>
      </c>
      <c r="T1091" s="192"/>
      <c r="U1091" s="829"/>
      <c r="V1091" s="10"/>
      <c r="W1091" s="10"/>
      <c r="X1091" s="10"/>
      <c r="Y1091" s="10"/>
      <c r="Z1091" s="10"/>
      <c r="AA1091" s="11"/>
      <c r="AB1091" s="11"/>
    </row>
    <row r="1092" spans="2:28" x14ac:dyDescent="0.3">
      <c r="B1092" s="10" t="s">
        <v>394</v>
      </c>
      <c r="C1092" s="315"/>
      <c r="D1092" s="868" t="s">
        <v>3724</v>
      </c>
      <c r="E1092" s="837" t="str">
        <f>IFERROR(IF(_xlfn.XLOOKUP(Imput[[#This Row],[RFC]],'Alta Proveedor'!D:D,'Alta Proveedor'!E:E)=0,"",_xlfn.XLOOKUP(Imput[[#This Row],[RFC]],'Alta Proveedor'!D:D,'Alta Proveedor'!E:E)),"")</f>
        <v>JOEL SALINAS DE ANDA</v>
      </c>
      <c r="F1092" s="832" t="s">
        <v>3726</v>
      </c>
      <c r="G1092" s="187">
        <v>1</v>
      </c>
      <c r="H1092" s="1">
        <v>1077.588</v>
      </c>
      <c r="I1092" s="169">
        <f>Imput[[#This Row],[Cantidad]]*Imput[[#This Row],[Precio Unitario]]</f>
        <v>1077.588</v>
      </c>
      <c r="J1092" s="11">
        <f>((Imput[[#This Row],[Sub total]])*(0.16))</f>
        <v>172.41407999999998</v>
      </c>
      <c r="K1092" s="11">
        <v>0</v>
      </c>
      <c r="L1092" s="169">
        <f>Imput[[#This Row],[Sub total]]+Imput[[#This Row],[IVA]]-Imput[[#This Row],[Retención / IEPS / Descuento]]</f>
        <v>1250.00208</v>
      </c>
      <c r="M1092" s="844">
        <v>5650.0027200000004</v>
      </c>
      <c r="N1092" s="189" t="s">
        <v>123</v>
      </c>
      <c r="O1092" s="1"/>
      <c r="P1092" s="189" t="s">
        <v>3722</v>
      </c>
      <c r="Q1092" s="190" t="s">
        <v>3723</v>
      </c>
      <c r="R1092" s="188">
        <v>45952</v>
      </c>
      <c r="S1092" s="193" t="s">
        <v>126</v>
      </c>
      <c r="T1092" s="192"/>
      <c r="U1092" s="829"/>
      <c r="V1092" s="10"/>
      <c r="W1092" s="10"/>
      <c r="X1092" s="10"/>
      <c r="Y1092" s="10"/>
      <c r="Z1092" s="10"/>
      <c r="AA1092" s="11"/>
      <c r="AB1092" s="11"/>
    </row>
    <row r="1093" spans="2:28" x14ac:dyDescent="0.3">
      <c r="B1093" s="10" t="s">
        <v>394</v>
      </c>
      <c r="C1093" s="315"/>
      <c r="D1093" s="868" t="s">
        <v>3724</v>
      </c>
      <c r="E1093" s="837" t="str">
        <f>IFERROR(IF(_xlfn.XLOOKUP(Imput[[#This Row],[RFC]],'Alta Proveedor'!D:D,'Alta Proveedor'!E:E)=0,"",_xlfn.XLOOKUP(Imput[[#This Row],[RFC]],'Alta Proveedor'!D:D,'Alta Proveedor'!E:E)),"")</f>
        <v>JOEL SALINAS DE ANDA</v>
      </c>
      <c r="F1093" s="832" t="s">
        <v>3727</v>
      </c>
      <c r="G1093" s="187">
        <v>1</v>
      </c>
      <c r="H1093" s="1">
        <v>1077.588</v>
      </c>
      <c r="I1093" s="169">
        <f>Imput[[#This Row],[Cantidad]]*Imput[[#This Row],[Precio Unitario]]</f>
        <v>1077.588</v>
      </c>
      <c r="J1093" s="11">
        <f>((Imput[[#This Row],[Sub total]])*(0.16))</f>
        <v>172.41407999999998</v>
      </c>
      <c r="K1093" s="11">
        <v>0</v>
      </c>
      <c r="L1093" s="169">
        <f>Imput[[#This Row],[Sub total]]+Imput[[#This Row],[IVA]]-Imput[[#This Row],[Retención / IEPS / Descuento]]</f>
        <v>1250.00208</v>
      </c>
      <c r="M1093" s="844">
        <v>0</v>
      </c>
      <c r="N1093" s="189" t="s">
        <v>123</v>
      </c>
      <c r="O1093" s="1"/>
      <c r="P1093" s="189" t="s">
        <v>3722</v>
      </c>
      <c r="Q1093" s="190" t="s">
        <v>3723</v>
      </c>
      <c r="R1093" s="188">
        <v>45952</v>
      </c>
      <c r="S1093" s="193" t="s">
        <v>126</v>
      </c>
      <c r="T1093" s="192"/>
      <c r="U1093" s="829"/>
      <c r="V1093" s="10"/>
      <c r="W1093" s="10"/>
      <c r="X1093" s="10"/>
      <c r="Y1093" s="10"/>
      <c r="Z1093" s="10"/>
      <c r="AA1093" s="11"/>
      <c r="AB1093" s="11"/>
    </row>
    <row r="1094" spans="2:28" x14ac:dyDescent="0.3">
      <c r="B1094" s="10" t="s">
        <v>394</v>
      </c>
      <c r="C1094" s="315"/>
      <c r="D1094" s="868" t="s">
        <v>3724</v>
      </c>
      <c r="E1094" s="837" t="str">
        <f>IFERROR(IF(_xlfn.XLOOKUP(Imput[[#This Row],[RFC]],'Alta Proveedor'!D:D,'Alta Proveedor'!E:E)=0,"",_xlfn.XLOOKUP(Imput[[#This Row],[RFC]],'Alta Proveedor'!D:D,'Alta Proveedor'!E:E)),"")</f>
        <v>JOEL SALINAS DE ANDA</v>
      </c>
      <c r="F1094" s="832" t="s">
        <v>3728</v>
      </c>
      <c r="G1094" s="187">
        <v>18</v>
      </c>
      <c r="H1094" s="1">
        <v>150.86199999999999</v>
      </c>
      <c r="I1094" s="169">
        <f>Imput[[#This Row],[Cantidad]]*Imput[[#This Row],[Precio Unitario]]</f>
        <v>2715.5160000000001</v>
      </c>
      <c r="J1094" s="11">
        <f>((Imput[[#This Row],[Sub total]])*(0.16))</f>
        <v>434.48256000000003</v>
      </c>
      <c r="K1094" s="11">
        <v>0</v>
      </c>
      <c r="L1094" s="169">
        <f>Imput[[#This Row],[Sub total]]+Imput[[#This Row],[IVA]]-Imput[[#This Row],[Retención / IEPS / Descuento]]</f>
        <v>3149.99856</v>
      </c>
      <c r="M1094" s="844">
        <v>0</v>
      </c>
      <c r="N1094" s="189" t="s">
        <v>123</v>
      </c>
      <c r="O1094" s="1"/>
      <c r="P1094" s="189" t="s">
        <v>3722</v>
      </c>
      <c r="Q1094" s="190" t="s">
        <v>3723</v>
      </c>
      <c r="R1094" s="188">
        <v>45952</v>
      </c>
      <c r="S1094" s="193" t="s">
        <v>126</v>
      </c>
      <c r="T1094" s="192"/>
      <c r="U1094" s="829"/>
      <c r="V1094" s="10"/>
      <c r="W1094" s="10"/>
      <c r="X1094" s="10"/>
      <c r="Y1094" s="10"/>
      <c r="Z1094" s="10"/>
      <c r="AA1094" s="11"/>
      <c r="AB1094" s="11"/>
    </row>
    <row r="1095" spans="2:28" x14ac:dyDescent="0.3">
      <c r="B1095" s="10" t="s">
        <v>392</v>
      </c>
      <c r="C1095" s="315" t="s">
        <v>1767</v>
      </c>
      <c r="D1095" s="868" t="s">
        <v>3731</v>
      </c>
      <c r="E1095" s="837" t="str">
        <f>IFERROR(IF(_xlfn.XLOOKUP(Imput[[#This Row],[RFC]],'Alta Proveedor'!D:D,'Alta Proveedor'!E:E)=0,"",_xlfn.XLOOKUP(Imput[[#This Row],[RFC]],'Alta Proveedor'!D:D,'Alta Proveedor'!E:E)),"")</f>
        <v>GENSA AUTO SERVICIO EXPRESS "GRUPO BURGOS" (COMBUSTIBLES)</v>
      </c>
      <c r="F1095" s="832" t="s">
        <v>237</v>
      </c>
      <c r="G1095" s="187">
        <v>58.037999999999997</v>
      </c>
      <c r="H1095" s="1">
        <v>20.759626999999998</v>
      </c>
      <c r="I1095" s="169">
        <f>Imput[[#This Row],[Cantidad]]*Imput[[#This Row],[Precio Unitario]]</f>
        <v>1204.8472318259999</v>
      </c>
      <c r="J1095" s="11">
        <v>187.48</v>
      </c>
      <c r="K1095" s="11">
        <v>0</v>
      </c>
      <c r="L1095" s="169">
        <f>Imput[[#This Row],[Sub total]]+Imput[[#This Row],[IVA]]-Imput[[#This Row],[Retención / IEPS / Descuento]]</f>
        <v>1392.3272318259999</v>
      </c>
      <c r="M1095" s="844">
        <v>1392.3272318259999</v>
      </c>
      <c r="N1095" s="189" t="s">
        <v>123</v>
      </c>
      <c r="O1095" s="1"/>
      <c r="P1095" s="189" t="s">
        <v>3729</v>
      </c>
      <c r="Q1095" s="190" t="s">
        <v>3730</v>
      </c>
      <c r="R1095" s="188">
        <v>45939</v>
      </c>
      <c r="S1095" s="193" t="s">
        <v>126</v>
      </c>
      <c r="T1095" s="192"/>
      <c r="U1095" s="829"/>
      <c r="V1095" s="10"/>
      <c r="W1095" s="10"/>
      <c r="X1095" s="10"/>
      <c r="Y1095" s="10"/>
      <c r="Z1095" s="10"/>
      <c r="AA1095" s="11"/>
      <c r="AB1095" s="11"/>
    </row>
    <row r="1096" spans="2:28" x14ac:dyDescent="0.3">
      <c r="B1096" s="10" t="s">
        <v>394</v>
      </c>
      <c r="C1096" s="315"/>
      <c r="D1096" s="868" t="s">
        <v>3734</v>
      </c>
      <c r="E1096" s="837" t="str">
        <f>IFERROR(IF(_xlfn.XLOOKUP(Imput[[#This Row],[RFC]],'Alta Proveedor'!D:D,'Alta Proveedor'!E:E)=0,"",_xlfn.XLOOKUP(Imput[[#This Row],[RFC]],'Alta Proveedor'!D:D,'Alta Proveedor'!E:E)),"")</f>
        <v>MARIA FELIX GONZALEZ ALARCON</v>
      </c>
      <c r="F1096" s="832" t="s">
        <v>3736</v>
      </c>
      <c r="G1096" s="187">
        <v>2</v>
      </c>
      <c r="H1096" s="1">
        <v>56.034999999999997</v>
      </c>
      <c r="I1096" s="169">
        <f>Imput[[#This Row],[Cantidad]]*Imput[[#This Row],[Precio Unitario]]</f>
        <v>112.07</v>
      </c>
      <c r="J1096" s="11">
        <f>((Imput[[#This Row],[Sub total]])*(0.16))</f>
        <v>17.9312</v>
      </c>
      <c r="K1096" s="11">
        <v>0</v>
      </c>
      <c r="L1096" s="169">
        <f>Imput[[#This Row],[Sub total]]+Imput[[#This Row],[IVA]]-Imput[[#This Row],[Retención / IEPS / Descuento]]</f>
        <v>130.00119999999998</v>
      </c>
      <c r="M1096" s="844">
        <v>1096.0027999999998</v>
      </c>
      <c r="N1096" s="189" t="s">
        <v>123</v>
      </c>
      <c r="O1096" s="1"/>
      <c r="P1096" s="189" t="s">
        <v>3732</v>
      </c>
      <c r="Q1096" s="190" t="s">
        <v>3733</v>
      </c>
      <c r="R1096" s="188">
        <v>45951</v>
      </c>
      <c r="S1096" s="193" t="s">
        <v>126</v>
      </c>
      <c r="T1096" s="192"/>
      <c r="U1096" s="829"/>
      <c r="V1096" s="10"/>
      <c r="W1096" s="10"/>
      <c r="X1096" s="10"/>
      <c r="Y1096" s="10"/>
      <c r="Z1096" s="10"/>
      <c r="AA1096" s="11"/>
      <c r="AB1096" s="11"/>
    </row>
    <row r="1097" spans="2:28" x14ac:dyDescent="0.3">
      <c r="B1097" s="10" t="s">
        <v>394</v>
      </c>
      <c r="C1097" s="315"/>
      <c r="D1097" s="868" t="s">
        <v>3734</v>
      </c>
      <c r="E1097" s="837" t="str">
        <f>IFERROR(IF(_xlfn.XLOOKUP(Imput[[#This Row],[RFC]],'Alta Proveedor'!D:D,'Alta Proveedor'!E:E)=0,"",_xlfn.XLOOKUP(Imput[[#This Row],[RFC]],'Alta Proveedor'!D:D,'Alta Proveedor'!E:E)),"")</f>
        <v>MARIA FELIX GONZALEZ ALARCON</v>
      </c>
      <c r="F1097" s="832" t="s">
        <v>3737</v>
      </c>
      <c r="G1097" s="187">
        <v>1</v>
      </c>
      <c r="H1097" s="1">
        <v>23.28</v>
      </c>
      <c r="I1097" s="169">
        <f>Imput[[#This Row],[Cantidad]]*Imput[[#This Row],[Precio Unitario]]</f>
        <v>23.28</v>
      </c>
      <c r="J1097" s="11">
        <f>((Imput[[#This Row],[Sub total]])*(0.16))</f>
        <v>3.7248000000000001</v>
      </c>
      <c r="K1097" s="11">
        <v>0</v>
      </c>
      <c r="L1097" s="169">
        <f>Imput[[#This Row],[Sub total]]+Imput[[#This Row],[IVA]]-Imput[[#This Row],[Retención / IEPS / Descuento]]</f>
        <v>27.004800000000003</v>
      </c>
      <c r="M1097" s="844">
        <v>0</v>
      </c>
      <c r="N1097" s="189" t="s">
        <v>123</v>
      </c>
      <c r="O1097" s="1"/>
      <c r="P1097" s="189" t="s">
        <v>3732</v>
      </c>
      <c r="Q1097" s="190" t="s">
        <v>3733</v>
      </c>
      <c r="R1097" s="188">
        <v>45951</v>
      </c>
      <c r="S1097" s="193" t="s">
        <v>126</v>
      </c>
      <c r="T1097" s="192"/>
      <c r="U1097" s="829"/>
      <c r="V1097" s="10"/>
      <c r="W1097" s="10"/>
      <c r="X1097" s="10"/>
      <c r="Y1097" s="10"/>
      <c r="Z1097" s="10"/>
      <c r="AA1097" s="11"/>
      <c r="AB1097" s="11"/>
    </row>
    <row r="1098" spans="2:28" x14ac:dyDescent="0.3">
      <c r="B1098" s="10" t="s">
        <v>394</v>
      </c>
      <c r="C1098" s="315"/>
      <c r="D1098" s="868" t="s">
        <v>3734</v>
      </c>
      <c r="E1098" s="837" t="str">
        <f>IFERROR(IF(_xlfn.XLOOKUP(Imput[[#This Row],[RFC]],'Alta Proveedor'!D:D,'Alta Proveedor'!E:E)=0,"",_xlfn.XLOOKUP(Imput[[#This Row],[RFC]],'Alta Proveedor'!D:D,'Alta Proveedor'!E:E)),"")</f>
        <v>MARIA FELIX GONZALEZ ALARCON</v>
      </c>
      <c r="F1098" s="832" t="s">
        <v>3738</v>
      </c>
      <c r="G1098" s="187">
        <v>1</v>
      </c>
      <c r="H1098" s="1">
        <v>111.21</v>
      </c>
      <c r="I1098" s="169">
        <f>Imput[[#This Row],[Cantidad]]*Imput[[#This Row],[Precio Unitario]]</f>
        <v>111.21</v>
      </c>
      <c r="J1098" s="11">
        <f>((Imput[[#This Row],[Sub total]])*(0.16))</f>
        <v>17.793599999999998</v>
      </c>
      <c r="K1098" s="11">
        <v>0</v>
      </c>
      <c r="L1098" s="169">
        <f>Imput[[#This Row],[Sub total]]+Imput[[#This Row],[IVA]]-Imput[[#This Row],[Retención / IEPS / Descuento]]</f>
        <v>129.00360000000001</v>
      </c>
      <c r="M1098" s="844">
        <v>0</v>
      </c>
      <c r="N1098" s="189" t="s">
        <v>123</v>
      </c>
      <c r="O1098" s="1"/>
      <c r="P1098" s="189" t="s">
        <v>3732</v>
      </c>
      <c r="Q1098" s="190" t="s">
        <v>3733</v>
      </c>
      <c r="R1098" s="188">
        <v>45951</v>
      </c>
      <c r="S1098" s="193" t="s">
        <v>126</v>
      </c>
      <c r="T1098" s="192"/>
      <c r="U1098" s="829"/>
      <c r="V1098" s="10"/>
      <c r="W1098" s="10"/>
      <c r="X1098" s="10"/>
      <c r="Y1098" s="10"/>
      <c r="Z1098" s="10"/>
      <c r="AA1098" s="11"/>
      <c r="AB1098" s="11"/>
    </row>
    <row r="1099" spans="2:28" x14ac:dyDescent="0.3">
      <c r="B1099" s="10" t="s">
        <v>394</v>
      </c>
      <c r="C1099" s="315"/>
      <c r="D1099" s="868" t="s">
        <v>3734</v>
      </c>
      <c r="E1099" s="837" t="str">
        <f>IFERROR(IF(_xlfn.XLOOKUP(Imput[[#This Row],[RFC]],'Alta Proveedor'!D:D,'Alta Proveedor'!E:E)=0,"",_xlfn.XLOOKUP(Imput[[#This Row],[RFC]],'Alta Proveedor'!D:D,'Alta Proveedor'!E:E)),"")</f>
        <v>MARIA FELIX GONZALEZ ALARCON</v>
      </c>
      <c r="F1099" s="832" t="s">
        <v>3739</v>
      </c>
      <c r="G1099" s="187">
        <v>1</v>
      </c>
      <c r="H1099" s="1">
        <v>122.41</v>
      </c>
      <c r="I1099" s="169">
        <f>Imput[[#This Row],[Cantidad]]*Imput[[#This Row],[Precio Unitario]]</f>
        <v>122.41</v>
      </c>
      <c r="J1099" s="11">
        <f>((Imput[[#This Row],[Sub total]])*(0.16))</f>
        <v>19.585599999999999</v>
      </c>
      <c r="K1099" s="11">
        <v>0</v>
      </c>
      <c r="L1099" s="169">
        <f>Imput[[#This Row],[Sub total]]+Imput[[#This Row],[IVA]]-Imput[[#This Row],[Retención / IEPS / Descuento]]</f>
        <v>141.9956</v>
      </c>
      <c r="M1099" s="844">
        <v>0</v>
      </c>
      <c r="N1099" s="189" t="s">
        <v>123</v>
      </c>
      <c r="O1099" s="1"/>
      <c r="P1099" s="189" t="s">
        <v>3732</v>
      </c>
      <c r="Q1099" s="190" t="s">
        <v>3733</v>
      </c>
      <c r="R1099" s="188">
        <v>45951</v>
      </c>
      <c r="S1099" s="193" t="s">
        <v>126</v>
      </c>
      <c r="T1099" s="192"/>
      <c r="U1099" s="829"/>
      <c r="V1099" s="10"/>
      <c r="W1099" s="10"/>
      <c r="X1099" s="10"/>
      <c r="Y1099" s="10"/>
      <c r="Z1099" s="10"/>
      <c r="AA1099" s="11"/>
      <c r="AB1099" s="11"/>
    </row>
    <row r="1100" spans="2:28" x14ac:dyDescent="0.3">
      <c r="B1100" s="10" t="s">
        <v>394</v>
      </c>
      <c r="C1100" s="315"/>
      <c r="D1100" s="868" t="s">
        <v>3734</v>
      </c>
      <c r="E1100" s="837" t="str">
        <f>IFERROR(IF(_xlfn.XLOOKUP(Imput[[#This Row],[RFC]],'Alta Proveedor'!D:D,'Alta Proveedor'!E:E)=0,"",_xlfn.XLOOKUP(Imput[[#This Row],[RFC]],'Alta Proveedor'!D:D,'Alta Proveedor'!E:E)),"")</f>
        <v>MARIA FELIX GONZALEZ ALARCON</v>
      </c>
      <c r="F1100" s="832" t="s">
        <v>3740</v>
      </c>
      <c r="G1100" s="187">
        <v>1</v>
      </c>
      <c r="H1100" s="1">
        <v>122.41</v>
      </c>
      <c r="I1100" s="169">
        <f>Imput[[#This Row],[Cantidad]]*Imput[[#This Row],[Precio Unitario]]</f>
        <v>122.41</v>
      </c>
      <c r="J1100" s="11">
        <f>((Imput[[#This Row],[Sub total]])*(0.16))</f>
        <v>19.585599999999999</v>
      </c>
      <c r="K1100" s="11">
        <v>0</v>
      </c>
      <c r="L1100" s="169">
        <f>Imput[[#This Row],[Sub total]]+Imput[[#This Row],[IVA]]-Imput[[#This Row],[Retención / IEPS / Descuento]]</f>
        <v>141.9956</v>
      </c>
      <c r="M1100" s="844">
        <v>0</v>
      </c>
      <c r="N1100" s="189" t="s">
        <v>123</v>
      </c>
      <c r="O1100" s="1"/>
      <c r="P1100" s="189" t="s">
        <v>3732</v>
      </c>
      <c r="Q1100" s="190" t="s">
        <v>3733</v>
      </c>
      <c r="R1100" s="188">
        <v>45951</v>
      </c>
      <c r="S1100" s="193" t="s">
        <v>126</v>
      </c>
      <c r="T1100" s="192"/>
      <c r="U1100" s="829"/>
      <c r="V1100" s="10"/>
      <c r="W1100" s="10"/>
      <c r="X1100" s="10"/>
      <c r="Y1100" s="10"/>
      <c r="Z1100" s="10"/>
      <c r="AA1100" s="11"/>
      <c r="AB1100" s="11"/>
    </row>
    <row r="1101" spans="2:28" x14ac:dyDescent="0.3">
      <c r="B1101" s="10" t="s">
        <v>394</v>
      </c>
      <c r="C1101" s="315"/>
      <c r="D1101" s="868" t="s">
        <v>3734</v>
      </c>
      <c r="E1101" s="837" t="str">
        <f>IFERROR(IF(_xlfn.XLOOKUP(Imput[[#This Row],[RFC]],'Alta Proveedor'!D:D,'Alta Proveedor'!E:E)=0,"",_xlfn.XLOOKUP(Imput[[#This Row],[RFC]],'Alta Proveedor'!D:D,'Alta Proveedor'!E:E)),"")</f>
        <v>MARIA FELIX GONZALEZ ALARCON</v>
      </c>
      <c r="F1101" s="832" t="s">
        <v>3741</v>
      </c>
      <c r="G1101" s="187">
        <v>1</v>
      </c>
      <c r="H1101" s="1">
        <v>157.76</v>
      </c>
      <c r="I1101" s="169">
        <f>Imput[[#This Row],[Cantidad]]*Imput[[#This Row],[Precio Unitario]]</f>
        <v>157.76</v>
      </c>
      <c r="J1101" s="11">
        <f>((Imput[[#This Row],[Sub total]])*(0.16))</f>
        <v>25.241599999999998</v>
      </c>
      <c r="K1101" s="11">
        <v>0</v>
      </c>
      <c r="L1101" s="169">
        <f>Imput[[#This Row],[Sub total]]+Imput[[#This Row],[IVA]]-Imput[[#This Row],[Retención / IEPS / Descuento]]</f>
        <v>183.0016</v>
      </c>
      <c r="M1101" s="844">
        <v>0</v>
      </c>
      <c r="N1101" s="189" t="s">
        <v>123</v>
      </c>
      <c r="O1101" s="1"/>
      <c r="P1101" s="189" t="s">
        <v>3732</v>
      </c>
      <c r="Q1101" s="190" t="s">
        <v>3733</v>
      </c>
      <c r="R1101" s="188">
        <v>45951</v>
      </c>
      <c r="S1101" s="193" t="s">
        <v>126</v>
      </c>
      <c r="T1101" s="192"/>
      <c r="U1101" s="829"/>
      <c r="V1101" s="10"/>
      <c r="W1101" s="10"/>
      <c r="X1101" s="10"/>
      <c r="Y1101" s="10"/>
      <c r="Z1101" s="10"/>
      <c r="AA1101" s="11"/>
      <c r="AB1101" s="11"/>
    </row>
    <row r="1102" spans="2:28" x14ac:dyDescent="0.3">
      <c r="B1102" s="10" t="s">
        <v>394</v>
      </c>
      <c r="C1102" s="315"/>
      <c r="D1102" s="868" t="s">
        <v>3734</v>
      </c>
      <c r="E1102" s="837" t="str">
        <f>IFERROR(IF(_xlfn.XLOOKUP(Imput[[#This Row],[RFC]],'Alta Proveedor'!D:D,'Alta Proveedor'!E:E)=0,"",_xlfn.XLOOKUP(Imput[[#This Row],[RFC]],'Alta Proveedor'!D:D,'Alta Proveedor'!E:E)),"")</f>
        <v>MARIA FELIX GONZALEZ ALARCON</v>
      </c>
      <c r="F1102" s="832" t="s">
        <v>3742</v>
      </c>
      <c r="G1102" s="187">
        <v>1</v>
      </c>
      <c r="H1102" s="1">
        <v>295.69</v>
      </c>
      <c r="I1102" s="169">
        <f>Imput[[#This Row],[Cantidad]]*Imput[[#This Row],[Precio Unitario]]</f>
        <v>295.69</v>
      </c>
      <c r="J1102" s="11">
        <f>((Imput[[#This Row],[Sub total]])*(0.16))</f>
        <v>47.310400000000001</v>
      </c>
      <c r="K1102" s="11">
        <v>0</v>
      </c>
      <c r="L1102" s="169">
        <f>Imput[[#This Row],[Sub total]]+Imput[[#This Row],[IVA]]-Imput[[#This Row],[Retención / IEPS / Descuento]]</f>
        <v>343.00040000000001</v>
      </c>
      <c r="M1102" s="844">
        <v>0</v>
      </c>
      <c r="N1102" s="189" t="s">
        <v>123</v>
      </c>
      <c r="O1102" s="1"/>
      <c r="P1102" s="189" t="s">
        <v>3732</v>
      </c>
      <c r="Q1102" s="190" t="s">
        <v>3733</v>
      </c>
      <c r="R1102" s="188">
        <v>45951</v>
      </c>
      <c r="S1102" s="193" t="s">
        <v>126</v>
      </c>
      <c r="T1102" s="192"/>
      <c r="U1102" s="829"/>
      <c r="V1102" s="10"/>
      <c r="W1102" s="10"/>
      <c r="X1102" s="10"/>
      <c r="Y1102" s="10"/>
      <c r="Z1102" s="10"/>
      <c r="AA1102" s="11"/>
      <c r="AB1102" s="11"/>
    </row>
    <row r="1103" spans="2:28" x14ac:dyDescent="0.3">
      <c r="B1103" s="10" t="s">
        <v>394</v>
      </c>
      <c r="C1103" s="315" t="s">
        <v>1747</v>
      </c>
      <c r="D1103" s="868" t="s">
        <v>3668</v>
      </c>
      <c r="E1103" s="837" t="str">
        <f>IFERROR(IF(_xlfn.XLOOKUP(Imput[[#This Row],[RFC]],'Alta Proveedor'!D:D,'Alta Proveedor'!E:E)=0,"",_xlfn.XLOOKUP(Imput[[#This Row],[RFC]],'Alta Proveedor'!D:D,'Alta Proveedor'!E:E)),"")</f>
        <v>LUIS EUGENIO RODRIGUEZ SALINAS "HOTEL LA SERENA"</v>
      </c>
      <c r="F1103" s="832" t="s">
        <v>3745</v>
      </c>
      <c r="G1103" s="187">
        <v>1</v>
      </c>
      <c r="H1103" s="1">
        <v>800</v>
      </c>
      <c r="I1103" s="169">
        <f>Imput[[#This Row],[Cantidad]]*Imput[[#This Row],[Precio Unitario]]</f>
        <v>800</v>
      </c>
      <c r="J1103" s="11">
        <f>((Imput[[#This Row],[Sub total]])*(0.16))</f>
        <v>128</v>
      </c>
      <c r="K1103" s="11">
        <v>-24</v>
      </c>
      <c r="L1103" s="169">
        <f>Imput[[#This Row],[Sub total]]+Imput[[#This Row],[IVA]]-Imput[[#This Row],[Retención / IEPS / Descuento]]</f>
        <v>952</v>
      </c>
      <c r="M1103" s="844">
        <v>952</v>
      </c>
      <c r="N1103" s="189" t="s">
        <v>123</v>
      </c>
      <c r="O1103" s="1"/>
      <c r="P1103" s="189" t="s">
        <v>3743</v>
      </c>
      <c r="Q1103" s="190" t="s">
        <v>3744</v>
      </c>
      <c r="R1103" s="188">
        <v>45951</v>
      </c>
      <c r="S1103" s="193" t="s">
        <v>215</v>
      </c>
      <c r="T1103" s="192"/>
      <c r="U1103" s="829"/>
      <c r="V1103" s="10"/>
      <c r="W1103" s="10"/>
      <c r="X1103" s="10"/>
      <c r="Y1103" s="10"/>
      <c r="Z1103" s="10"/>
      <c r="AA1103" s="11"/>
      <c r="AB1103" s="11"/>
    </row>
    <row r="1104" spans="2:28" x14ac:dyDescent="0.3">
      <c r="B1104" s="10" t="s">
        <v>394</v>
      </c>
      <c r="C1104" s="315" t="s">
        <v>1747</v>
      </c>
      <c r="D1104" s="868" t="s">
        <v>3668</v>
      </c>
      <c r="E1104" s="837" t="str">
        <f>IFERROR(IF(_xlfn.XLOOKUP(Imput[[#This Row],[RFC]],'Alta Proveedor'!D:D,'Alta Proveedor'!E:E)=0,"",_xlfn.XLOOKUP(Imput[[#This Row],[RFC]],'Alta Proveedor'!D:D,'Alta Proveedor'!E:E)),"")</f>
        <v>LUIS EUGENIO RODRIGUEZ SALINAS "HOTEL LA SERENA"</v>
      </c>
      <c r="F1104" s="832" t="s">
        <v>3746</v>
      </c>
      <c r="G1104" s="187">
        <v>1</v>
      </c>
      <c r="H1104" s="1">
        <v>800</v>
      </c>
      <c r="I1104" s="169">
        <f>Imput[[#This Row],[Cantidad]]*Imput[[#This Row],[Precio Unitario]]</f>
        <v>800</v>
      </c>
      <c r="J1104" s="11">
        <f>((Imput[[#This Row],[Sub total]])*(0.16))</f>
        <v>128</v>
      </c>
      <c r="K1104" s="11">
        <v>-24</v>
      </c>
      <c r="L1104" s="169">
        <f>Imput[[#This Row],[Sub total]]+Imput[[#This Row],[IVA]]-Imput[[#This Row],[Retención / IEPS / Descuento]]</f>
        <v>952</v>
      </c>
      <c r="M1104" s="844">
        <v>952</v>
      </c>
      <c r="N1104" s="189" t="s">
        <v>123</v>
      </c>
      <c r="O1104" s="1"/>
      <c r="P1104" s="189" t="s">
        <v>3748</v>
      </c>
      <c r="Q1104" s="190" t="s">
        <v>3749</v>
      </c>
      <c r="R1104" s="188">
        <v>45952</v>
      </c>
      <c r="S1104" s="193" t="s">
        <v>215</v>
      </c>
      <c r="T1104" s="192"/>
      <c r="U1104" s="829"/>
      <c r="V1104" s="10"/>
      <c r="W1104" s="10"/>
      <c r="X1104" s="10"/>
      <c r="Y1104" s="10"/>
      <c r="Z1104" s="10"/>
      <c r="AA1104" s="11"/>
      <c r="AB1104" s="11"/>
    </row>
    <row r="1105" spans="2:28" x14ac:dyDescent="0.3">
      <c r="B1105" s="10" t="s">
        <v>394</v>
      </c>
      <c r="C1105" s="315" t="s">
        <v>1747</v>
      </c>
      <c r="D1105" s="868" t="s">
        <v>3668</v>
      </c>
      <c r="E1105" s="837" t="str">
        <f>IFERROR(IF(_xlfn.XLOOKUP(Imput[[#This Row],[RFC]],'Alta Proveedor'!D:D,'Alta Proveedor'!E:E)=0,"",_xlfn.XLOOKUP(Imput[[#This Row],[RFC]],'Alta Proveedor'!D:D,'Alta Proveedor'!E:E)),"")</f>
        <v>LUIS EUGENIO RODRIGUEZ SALINAS "HOTEL LA SERENA"</v>
      </c>
      <c r="F1105" s="832" t="s">
        <v>3747</v>
      </c>
      <c r="G1105" s="187">
        <v>1</v>
      </c>
      <c r="H1105" s="1">
        <v>800</v>
      </c>
      <c r="I1105" s="169">
        <f>Imput[[#This Row],[Cantidad]]*Imput[[#This Row],[Precio Unitario]]</f>
        <v>800</v>
      </c>
      <c r="J1105" s="11">
        <f>((Imput[[#This Row],[Sub total]])*(0.16))</f>
        <v>128</v>
      </c>
      <c r="K1105" s="11">
        <v>-24</v>
      </c>
      <c r="L1105" s="169">
        <f>Imput[[#This Row],[Sub total]]+Imput[[#This Row],[IVA]]-Imput[[#This Row],[Retención / IEPS / Descuento]]</f>
        <v>952</v>
      </c>
      <c r="M1105" s="844">
        <v>952</v>
      </c>
      <c r="N1105" s="189" t="s">
        <v>123</v>
      </c>
      <c r="O1105" s="1"/>
      <c r="P1105" s="189" t="s">
        <v>3750</v>
      </c>
      <c r="Q1105" s="190" t="s">
        <v>3751</v>
      </c>
      <c r="R1105" s="188">
        <v>45953</v>
      </c>
      <c r="S1105" s="193" t="s">
        <v>215</v>
      </c>
      <c r="T1105" s="192"/>
      <c r="U1105" s="829"/>
      <c r="V1105" s="10"/>
      <c r="W1105" s="10"/>
      <c r="X1105" s="10"/>
      <c r="Y1105" s="10"/>
      <c r="Z1105" s="10"/>
      <c r="AA1105" s="11"/>
      <c r="AB1105" s="11"/>
    </row>
    <row r="1106" spans="2:28" x14ac:dyDescent="0.3">
      <c r="B1106" s="10" t="s">
        <v>394</v>
      </c>
      <c r="C1106" s="315"/>
      <c r="D1106" s="868" t="s">
        <v>3762</v>
      </c>
      <c r="E1106" s="837" t="str">
        <f>IFERROR(IF(_xlfn.XLOOKUP(Imput[[#This Row],[RFC]],'Alta Proveedor'!D:D,'Alta Proveedor'!E:E)=0,"",_xlfn.XLOOKUP(Imput[[#This Row],[RFC]],'Alta Proveedor'!D:D,'Alta Proveedor'!E:E)),"")</f>
        <v>ACEROS BALLESTEROS DE VALLE HERMOSO</v>
      </c>
      <c r="F1106" s="832" t="s">
        <v>3764</v>
      </c>
      <c r="G1106" s="187">
        <v>5</v>
      </c>
      <c r="H1106" s="1">
        <v>231.48</v>
      </c>
      <c r="I1106" s="169">
        <f>Imput[[#This Row],[Cantidad]]*Imput[[#This Row],[Precio Unitario]]</f>
        <v>1157.3999999999999</v>
      </c>
      <c r="J1106" s="11">
        <f>((Imput[[#This Row],[Sub total]])*(0.08))</f>
        <v>92.591999999999985</v>
      </c>
      <c r="K1106" s="11">
        <v>0</v>
      </c>
      <c r="L1106" s="169">
        <f>Imput[[#This Row],[Sub total]]+Imput[[#This Row],[IVA]]-Imput[[#This Row],[Retención / IEPS / Descuento]]</f>
        <v>1249.9919999999997</v>
      </c>
      <c r="M1106" s="844">
        <v>1249.9919999999997</v>
      </c>
      <c r="N1106" s="189" t="s">
        <v>123</v>
      </c>
      <c r="O1106" s="1"/>
      <c r="P1106" s="189" t="s">
        <v>3760</v>
      </c>
      <c r="Q1106" s="190" t="s">
        <v>3761</v>
      </c>
      <c r="R1106" s="188">
        <v>45959</v>
      </c>
      <c r="S1106" s="193" t="s">
        <v>126</v>
      </c>
      <c r="T1106" s="192"/>
      <c r="U1106" s="829"/>
      <c r="V1106" s="10"/>
      <c r="W1106" s="10"/>
      <c r="X1106" s="10"/>
      <c r="Y1106" s="10"/>
      <c r="Z1106" s="10"/>
      <c r="AA1106" s="11"/>
      <c r="AB1106" s="11"/>
    </row>
    <row r="1107" spans="2:28" x14ac:dyDescent="0.3">
      <c r="B1107" s="10" t="s">
        <v>394</v>
      </c>
      <c r="C1107" s="315" t="s">
        <v>1767</v>
      </c>
      <c r="D1107" s="868" t="s">
        <v>3767</v>
      </c>
      <c r="E1107" s="837" t="str">
        <f>IFERROR(IF(_xlfn.XLOOKUP(Imput[[#This Row],[RFC]],'Alta Proveedor'!D:D,'Alta Proveedor'!E:E)=0,"",_xlfn.XLOOKUP(Imput[[#This Row],[RFC]],'Alta Proveedor'!D:D,'Alta Proveedor'!E:E)),"")</f>
        <v>"INTERGAS" RAMIRO ALFREDO GONZALEZ RAMIREZ</v>
      </c>
      <c r="F1107" s="832" t="s">
        <v>3778</v>
      </c>
      <c r="G1107" s="187">
        <v>20</v>
      </c>
      <c r="H1107" s="1">
        <f>415.3/Imput[[#This Row],[Cantidad]]</f>
        <v>20.765000000000001</v>
      </c>
      <c r="I1107" s="169">
        <f>Imput[[#This Row],[Cantidad]]*Imput[[#This Row],[Precio Unitario]]</f>
        <v>415.3</v>
      </c>
      <c r="J1107" s="11">
        <v>64.7</v>
      </c>
      <c r="K1107" s="11">
        <v>0</v>
      </c>
      <c r="L1107" s="169">
        <f>Imput[[#This Row],[Sub total]]+Imput[[#This Row],[IVA]]-Imput[[#This Row],[Retención / IEPS / Descuento]]</f>
        <v>480</v>
      </c>
      <c r="M1107" s="844">
        <v>4999.72</v>
      </c>
      <c r="N1107" s="189" t="s">
        <v>123</v>
      </c>
      <c r="O1107" s="1"/>
      <c r="P1107" s="189" t="s">
        <v>3765</v>
      </c>
      <c r="Q1107" s="190" t="s">
        <v>3766</v>
      </c>
      <c r="R1107" s="188">
        <v>45954</v>
      </c>
      <c r="S1107" s="193" t="s">
        <v>126</v>
      </c>
      <c r="T1107" s="192"/>
      <c r="U1107" s="829"/>
      <c r="V1107" s="10"/>
      <c r="W1107" s="10"/>
      <c r="X1107" s="10"/>
      <c r="Y1107" s="10"/>
      <c r="Z1107" s="10"/>
      <c r="AA1107" s="11"/>
      <c r="AB1107" s="11"/>
    </row>
    <row r="1108" spans="2:28" x14ac:dyDescent="0.3">
      <c r="B1108" s="10" t="s">
        <v>394</v>
      </c>
      <c r="C1108" s="315" t="s">
        <v>1767</v>
      </c>
      <c r="D1108" s="868" t="s">
        <v>3767</v>
      </c>
      <c r="E1108" s="837" t="str">
        <f>IFERROR(IF(_xlfn.XLOOKUP(Imput[[#This Row],[RFC]],'Alta Proveedor'!D:D,'Alta Proveedor'!E:E)=0,"",_xlfn.XLOOKUP(Imput[[#This Row],[RFC]],'Alta Proveedor'!D:D,'Alta Proveedor'!E:E)),"")</f>
        <v>"INTERGAS" RAMIRO ALFREDO GONZALEZ RAMIREZ</v>
      </c>
      <c r="F1108" s="832" t="s">
        <v>3778</v>
      </c>
      <c r="G1108" s="187">
        <v>83.350001000000006</v>
      </c>
      <c r="H1108" s="1">
        <f>1730.71/Imput[[#This Row],[Cantidad]]</f>
        <v>20.764366877452105</v>
      </c>
      <c r="I1108" s="169">
        <f>Imput[[#This Row],[Cantidad]]*Imput[[#This Row],[Precio Unitario]]</f>
        <v>1730.71</v>
      </c>
      <c r="J1108" s="11">
        <v>269.64</v>
      </c>
      <c r="K1108" s="11">
        <v>0</v>
      </c>
      <c r="L1108" s="169">
        <f>Imput[[#This Row],[Sub total]]+Imput[[#This Row],[IVA]]-Imput[[#This Row],[Retención / IEPS / Descuento]]</f>
        <v>2000.35</v>
      </c>
      <c r="M1108" s="844">
        <v>0</v>
      </c>
      <c r="N1108" s="189" t="s">
        <v>123</v>
      </c>
      <c r="O1108" s="1"/>
      <c r="P1108" s="189" t="s">
        <v>3765</v>
      </c>
      <c r="Q1108" s="190" t="s">
        <v>3766</v>
      </c>
      <c r="R1108" s="188">
        <v>45954</v>
      </c>
      <c r="S1108" s="193" t="s">
        <v>126</v>
      </c>
      <c r="T1108" s="192"/>
      <c r="U1108" s="829"/>
      <c r="V1108" s="10"/>
      <c r="W1108" s="10"/>
      <c r="X1108" s="10"/>
      <c r="Y1108" s="10"/>
      <c r="Z1108" s="10"/>
      <c r="AA1108" s="11"/>
      <c r="AB1108" s="11"/>
    </row>
    <row r="1109" spans="2:28" x14ac:dyDescent="0.3">
      <c r="B1109" s="10" t="s">
        <v>394</v>
      </c>
      <c r="C1109" s="315" t="s">
        <v>1767</v>
      </c>
      <c r="D1109" s="868" t="s">
        <v>3767</v>
      </c>
      <c r="E1109" s="837" t="str">
        <f>IFERROR(IF(_xlfn.XLOOKUP(Imput[[#This Row],[RFC]],'Alta Proveedor'!D:D,'Alta Proveedor'!E:E)=0,"",_xlfn.XLOOKUP(Imput[[#This Row],[RFC]],'Alta Proveedor'!D:D,'Alta Proveedor'!E:E)),"")</f>
        <v>"INTERGAS" RAMIRO ALFREDO GONZALEZ RAMIREZ</v>
      </c>
      <c r="F1109" s="832" t="s">
        <v>3779</v>
      </c>
      <c r="G1109" s="187">
        <v>50.229998999999999</v>
      </c>
      <c r="H1109" s="1">
        <f>1124.14/Imput[[#This Row],[Cantidad]]</f>
        <v>22.379853123230205</v>
      </c>
      <c r="I1109" s="169">
        <f>Imput[[#This Row],[Cantidad]]*Imput[[#This Row],[Precio Unitario]]</f>
        <v>1124.1400000000001</v>
      </c>
      <c r="J1109" s="11">
        <v>176.23</v>
      </c>
      <c r="K1109" s="11">
        <v>0</v>
      </c>
      <c r="L1109" s="169">
        <f>Imput[[#This Row],[Sub total]]+Imput[[#This Row],[IVA]]-Imput[[#This Row],[Retención / IEPS / Descuento]]</f>
        <v>1300.3700000000001</v>
      </c>
      <c r="M1109" s="844">
        <v>0</v>
      </c>
      <c r="N1109" s="189" t="s">
        <v>123</v>
      </c>
      <c r="O1109" s="1"/>
      <c r="P1109" s="189" t="s">
        <v>3765</v>
      </c>
      <c r="Q1109" s="190" t="s">
        <v>3766</v>
      </c>
      <c r="R1109" s="188">
        <v>45954</v>
      </c>
      <c r="S1109" s="193" t="s">
        <v>126</v>
      </c>
      <c r="T1109" s="192"/>
      <c r="U1109" s="829"/>
      <c r="V1109" s="10"/>
      <c r="W1109" s="10"/>
      <c r="X1109" s="10"/>
      <c r="Y1109" s="10"/>
      <c r="Z1109" s="10"/>
      <c r="AA1109" s="11"/>
      <c r="AB1109" s="11"/>
    </row>
    <row r="1110" spans="2:28" x14ac:dyDescent="0.3">
      <c r="B1110" s="10" t="s">
        <v>394</v>
      </c>
      <c r="C1110" s="315" t="s">
        <v>1767</v>
      </c>
      <c r="D1110" s="868" t="s">
        <v>3767</v>
      </c>
      <c r="E1110" s="837" t="str">
        <f>IFERROR(IF(_xlfn.XLOOKUP(Imput[[#This Row],[RFC]],'Alta Proveedor'!D:D,'Alta Proveedor'!E:E)=0,"",_xlfn.XLOOKUP(Imput[[#This Row],[RFC]],'Alta Proveedor'!D:D,'Alta Proveedor'!E:E)),"")</f>
        <v>"INTERGAS" RAMIRO ALFREDO GONZALEZ RAMIREZ</v>
      </c>
      <c r="F1110" s="832" t="s">
        <v>3778</v>
      </c>
      <c r="G1110" s="187">
        <v>20</v>
      </c>
      <c r="H1110" s="1">
        <f>415.3/Imput[[#This Row],[Cantidad]]</f>
        <v>20.765000000000001</v>
      </c>
      <c r="I1110" s="169">
        <f>Imput[[#This Row],[Cantidad]]*Imput[[#This Row],[Precio Unitario]]</f>
        <v>415.3</v>
      </c>
      <c r="J1110" s="11">
        <v>64.7</v>
      </c>
      <c r="K1110" s="11">
        <v>0</v>
      </c>
      <c r="L1110" s="169">
        <f>Imput[[#This Row],[Sub total]]+Imput[[#This Row],[IVA]]-Imput[[#This Row],[Retención / IEPS / Descuento]]</f>
        <v>480</v>
      </c>
      <c r="M1110" s="844">
        <v>0</v>
      </c>
      <c r="N1110" s="189" t="s">
        <v>123</v>
      </c>
      <c r="O1110" s="1"/>
      <c r="P1110" s="189" t="s">
        <v>3765</v>
      </c>
      <c r="Q1110" s="190" t="s">
        <v>3766</v>
      </c>
      <c r="R1110" s="188">
        <v>45954</v>
      </c>
      <c r="S1110" s="193" t="s">
        <v>126</v>
      </c>
      <c r="T1110" s="192"/>
      <c r="U1110" s="829"/>
      <c r="V1110" s="10"/>
      <c r="W1110" s="10"/>
      <c r="X1110" s="10"/>
      <c r="Y1110" s="10"/>
      <c r="Z1110" s="10"/>
      <c r="AA1110" s="11"/>
      <c r="AB1110" s="11"/>
    </row>
    <row r="1111" spans="2:28" x14ac:dyDescent="0.3">
      <c r="B1111" s="10" t="s">
        <v>394</v>
      </c>
      <c r="C1111" s="315" t="s">
        <v>1767</v>
      </c>
      <c r="D1111" s="868" t="s">
        <v>3767</v>
      </c>
      <c r="E1111" s="837" t="str">
        <f>IFERROR(IF(_xlfn.XLOOKUP(Imput[[#This Row],[RFC]],'Alta Proveedor'!D:D,'Alta Proveedor'!E:E)=0,"",_xlfn.XLOOKUP(Imput[[#This Row],[RFC]],'Alta Proveedor'!D:D,'Alta Proveedor'!E:E)),"")</f>
        <v>"INTERGAS" RAMIRO ALFREDO GONZALEZ RAMIREZ</v>
      </c>
      <c r="F1111" s="832" t="s">
        <v>3779</v>
      </c>
      <c r="G1111" s="187">
        <v>28.54</v>
      </c>
      <c r="H1111" s="1">
        <f>638.85/Imput[[#This Row],[Cantidad]]</f>
        <v>22.384372810091101</v>
      </c>
      <c r="I1111" s="169">
        <f>Imput[[#This Row],[Cantidad]]*Imput[[#This Row],[Precio Unitario]]</f>
        <v>638.85</v>
      </c>
      <c r="J1111" s="11">
        <v>100.15</v>
      </c>
      <c r="K1111" s="11">
        <v>0</v>
      </c>
      <c r="L1111" s="169">
        <f>Imput[[#This Row],[Sub total]]+Imput[[#This Row],[IVA]]-Imput[[#This Row],[Retención / IEPS / Descuento]]</f>
        <v>739</v>
      </c>
      <c r="M1111" s="844">
        <v>0</v>
      </c>
      <c r="N1111" s="189" t="s">
        <v>123</v>
      </c>
      <c r="O1111" s="1"/>
      <c r="P1111" s="189" t="s">
        <v>3765</v>
      </c>
      <c r="Q1111" s="190" t="s">
        <v>3766</v>
      </c>
      <c r="R1111" s="188">
        <v>45954</v>
      </c>
      <c r="S1111" s="193" t="s">
        <v>126</v>
      </c>
      <c r="T1111" s="192"/>
      <c r="U1111" s="829"/>
      <c r="V1111" s="10"/>
      <c r="W1111" s="10"/>
      <c r="X1111" s="10"/>
      <c r="Y1111" s="10"/>
      <c r="Z1111" s="10"/>
      <c r="AA1111" s="11"/>
      <c r="AB1111" s="11"/>
    </row>
    <row r="1112" spans="2:28" x14ac:dyDescent="0.3">
      <c r="B1112" s="10" t="s">
        <v>394</v>
      </c>
      <c r="C1112" s="315"/>
      <c r="D1112" s="868" t="s">
        <v>3771</v>
      </c>
      <c r="E1112" s="837" t="str">
        <f>IFERROR(IF(_xlfn.XLOOKUP(Imput[[#This Row],[RFC]],'Alta Proveedor'!D:D,'Alta Proveedor'!E:E)=0,"",_xlfn.XLOOKUP(Imput[[#This Row],[RFC]],'Alta Proveedor'!D:D,'Alta Proveedor'!E:E)),"")</f>
        <v>JUANA MONTALVO TREJO</v>
      </c>
      <c r="F1112" s="832" t="s">
        <v>3773</v>
      </c>
      <c r="G1112" s="187">
        <v>1</v>
      </c>
      <c r="H1112" s="1">
        <v>2222.2199999999998</v>
      </c>
      <c r="I1112" s="169">
        <f>Imput[[#This Row],[Cantidad]]*Imput[[#This Row],[Precio Unitario]]</f>
        <v>2222.2199999999998</v>
      </c>
      <c r="J1112" s="11">
        <f>((Imput[[#This Row],[Sub total]])*(0.08))</f>
        <v>177.77759999999998</v>
      </c>
      <c r="K1112" s="11">
        <v>0</v>
      </c>
      <c r="L1112" s="169">
        <f>Imput[[#This Row],[Sub total]]+Imput[[#This Row],[IVA]]-Imput[[#This Row],[Retención / IEPS / Descuento]]</f>
        <v>2399.9975999999997</v>
      </c>
      <c r="M1112" s="844">
        <v>4140.0072</v>
      </c>
      <c r="N1112" s="189" t="s">
        <v>123</v>
      </c>
      <c r="O1112" s="1"/>
      <c r="P1112" s="189" t="s">
        <v>3769</v>
      </c>
      <c r="Q1112" s="190" t="s">
        <v>3770</v>
      </c>
      <c r="R1112" s="188">
        <v>45958</v>
      </c>
      <c r="S1112" s="193" t="s">
        <v>126</v>
      </c>
      <c r="T1112" s="192"/>
      <c r="U1112" s="829"/>
      <c r="V1112" s="10"/>
      <c r="W1112" s="10"/>
      <c r="X1112" s="10"/>
      <c r="Y1112" s="10"/>
      <c r="Z1112" s="10"/>
      <c r="AA1112" s="11"/>
      <c r="AB1112" s="11"/>
    </row>
    <row r="1113" spans="2:28" x14ac:dyDescent="0.3">
      <c r="B1113" s="10" t="s">
        <v>394</v>
      </c>
      <c r="C1113" s="315"/>
      <c r="D1113" s="868" t="s">
        <v>3771</v>
      </c>
      <c r="E1113" s="837" t="str">
        <f>IFERROR(IF(_xlfn.XLOOKUP(Imput[[#This Row],[RFC]],'Alta Proveedor'!D:D,'Alta Proveedor'!E:E)=0,"",_xlfn.XLOOKUP(Imput[[#This Row],[RFC]],'Alta Proveedor'!D:D,'Alta Proveedor'!E:E)),"")</f>
        <v>JUANA MONTALVO TREJO</v>
      </c>
      <c r="F1113" s="832" t="s">
        <v>3774</v>
      </c>
      <c r="G1113" s="187">
        <v>2</v>
      </c>
      <c r="H1113" s="1">
        <v>527.78</v>
      </c>
      <c r="I1113" s="169">
        <f>Imput[[#This Row],[Cantidad]]*Imput[[#This Row],[Precio Unitario]]</f>
        <v>1055.56</v>
      </c>
      <c r="J1113" s="11">
        <f>((Imput[[#This Row],[Sub total]])*(0.08))</f>
        <v>84.444800000000001</v>
      </c>
      <c r="K1113" s="11">
        <v>0</v>
      </c>
      <c r="L1113" s="169">
        <f>Imput[[#This Row],[Sub total]]+Imput[[#This Row],[IVA]]-Imput[[#This Row],[Retención / IEPS / Descuento]]</f>
        <v>1140.0047999999999</v>
      </c>
      <c r="M1113" s="844">
        <v>0</v>
      </c>
      <c r="N1113" s="189" t="s">
        <v>123</v>
      </c>
      <c r="O1113" s="1"/>
      <c r="P1113" s="189" t="s">
        <v>3769</v>
      </c>
      <c r="Q1113" s="190" t="s">
        <v>3770</v>
      </c>
      <c r="R1113" s="188">
        <v>45958</v>
      </c>
      <c r="S1113" s="193" t="s">
        <v>126</v>
      </c>
      <c r="T1113" s="192"/>
      <c r="U1113" s="829"/>
      <c r="V1113" s="10"/>
      <c r="W1113" s="10"/>
      <c r="X1113" s="10"/>
      <c r="Y1113" s="10"/>
      <c r="Z1113" s="10"/>
      <c r="AA1113" s="11"/>
      <c r="AB1113" s="11"/>
    </row>
    <row r="1114" spans="2:28" x14ac:dyDescent="0.3">
      <c r="B1114" s="10" t="s">
        <v>394</v>
      </c>
      <c r="C1114" s="315"/>
      <c r="D1114" s="868" t="s">
        <v>3771</v>
      </c>
      <c r="E1114" s="837" t="str">
        <f>IFERROR(IF(_xlfn.XLOOKUP(Imput[[#This Row],[RFC]],'Alta Proveedor'!D:D,'Alta Proveedor'!E:E)=0,"",_xlfn.XLOOKUP(Imput[[#This Row],[RFC]],'Alta Proveedor'!D:D,'Alta Proveedor'!E:E)),"")</f>
        <v>JUANA MONTALVO TREJO</v>
      </c>
      <c r="F1114" s="832" t="s">
        <v>3775</v>
      </c>
      <c r="G1114" s="187">
        <v>1</v>
      </c>
      <c r="H1114" s="1">
        <v>37.04</v>
      </c>
      <c r="I1114" s="169">
        <f>Imput[[#This Row],[Cantidad]]*Imput[[#This Row],[Precio Unitario]]</f>
        <v>37.04</v>
      </c>
      <c r="J1114" s="11">
        <f>((Imput[[#This Row],[Sub total]])*(0.08))</f>
        <v>2.9632000000000001</v>
      </c>
      <c r="K1114" s="11">
        <v>0</v>
      </c>
      <c r="L1114" s="169">
        <f>Imput[[#This Row],[Sub total]]+Imput[[#This Row],[IVA]]-Imput[[#This Row],[Retención / IEPS / Descuento]]</f>
        <v>40.0032</v>
      </c>
      <c r="M1114" s="844">
        <v>0</v>
      </c>
      <c r="N1114" s="189" t="s">
        <v>123</v>
      </c>
      <c r="O1114" s="1"/>
      <c r="P1114" s="189" t="s">
        <v>3769</v>
      </c>
      <c r="Q1114" s="190" t="s">
        <v>3770</v>
      </c>
      <c r="R1114" s="188">
        <v>45958</v>
      </c>
      <c r="S1114" s="193" t="s">
        <v>126</v>
      </c>
      <c r="T1114" s="192"/>
      <c r="U1114" s="829"/>
      <c r="V1114" s="10"/>
      <c r="W1114" s="10"/>
      <c r="X1114" s="10"/>
      <c r="Y1114" s="10"/>
      <c r="Z1114" s="10"/>
      <c r="AA1114" s="11"/>
      <c r="AB1114" s="11"/>
    </row>
    <row r="1115" spans="2:28" x14ac:dyDescent="0.3">
      <c r="B1115" s="10" t="s">
        <v>394</v>
      </c>
      <c r="C1115" s="315"/>
      <c r="D1115" s="868" t="s">
        <v>3771</v>
      </c>
      <c r="E1115" s="837" t="str">
        <f>IFERROR(IF(_xlfn.XLOOKUP(Imput[[#This Row],[RFC]],'Alta Proveedor'!D:D,'Alta Proveedor'!E:E)=0,"",_xlfn.XLOOKUP(Imput[[#This Row],[RFC]],'Alta Proveedor'!D:D,'Alta Proveedor'!E:E)),"")</f>
        <v>JUANA MONTALVO TREJO</v>
      </c>
      <c r="F1115" s="832" t="s">
        <v>3776</v>
      </c>
      <c r="G1115" s="187">
        <v>1</v>
      </c>
      <c r="H1115" s="1">
        <v>453.7</v>
      </c>
      <c r="I1115" s="169">
        <f>Imput[[#This Row],[Cantidad]]*Imput[[#This Row],[Precio Unitario]]</f>
        <v>453.7</v>
      </c>
      <c r="J1115" s="11">
        <f>((Imput[[#This Row],[Sub total]])*(0.08))</f>
        <v>36.295999999999999</v>
      </c>
      <c r="K1115" s="11">
        <v>0</v>
      </c>
      <c r="L1115" s="169">
        <f>Imput[[#This Row],[Sub total]]+Imput[[#This Row],[IVA]]-Imput[[#This Row],[Retención / IEPS / Descuento]]</f>
        <v>489.99599999999998</v>
      </c>
      <c r="M1115" s="844">
        <v>0</v>
      </c>
      <c r="N1115" s="189" t="s">
        <v>123</v>
      </c>
      <c r="O1115" s="1"/>
      <c r="P1115" s="189" t="s">
        <v>3769</v>
      </c>
      <c r="Q1115" s="190" t="s">
        <v>3770</v>
      </c>
      <c r="R1115" s="188">
        <v>45958</v>
      </c>
      <c r="S1115" s="193" t="s">
        <v>126</v>
      </c>
      <c r="T1115" s="192"/>
      <c r="U1115" s="829"/>
      <c r="V1115" s="10"/>
      <c r="W1115" s="10"/>
      <c r="X1115" s="10"/>
      <c r="Y1115" s="10"/>
      <c r="Z1115" s="10"/>
      <c r="AA1115" s="11"/>
      <c r="AB1115" s="11"/>
    </row>
    <row r="1116" spans="2:28" x14ac:dyDescent="0.3">
      <c r="B1116" s="10" t="s">
        <v>394</v>
      </c>
      <c r="C1116" s="315"/>
      <c r="D1116" s="868" t="s">
        <v>3771</v>
      </c>
      <c r="E1116" s="837" t="str">
        <f>IFERROR(IF(_xlfn.XLOOKUP(Imput[[#This Row],[RFC]],'Alta Proveedor'!D:D,'Alta Proveedor'!E:E)=0,"",_xlfn.XLOOKUP(Imput[[#This Row],[RFC]],'Alta Proveedor'!D:D,'Alta Proveedor'!E:E)),"")</f>
        <v>JUANA MONTALVO TREJO</v>
      </c>
      <c r="F1116" s="832" t="s">
        <v>3777</v>
      </c>
      <c r="G1116" s="187">
        <v>1</v>
      </c>
      <c r="H1116" s="1">
        <v>64.819999999999993</v>
      </c>
      <c r="I1116" s="169">
        <f>Imput[[#This Row],[Cantidad]]*Imput[[#This Row],[Precio Unitario]]</f>
        <v>64.819999999999993</v>
      </c>
      <c r="J1116" s="11">
        <f>((Imput[[#This Row],[Sub total]])*(0.08))</f>
        <v>5.1856</v>
      </c>
      <c r="K1116" s="11">
        <v>0</v>
      </c>
      <c r="L1116" s="169">
        <f>Imput[[#This Row],[Sub total]]+Imput[[#This Row],[IVA]]-Imput[[#This Row],[Retención / IEPS / Descuento]]</f>
        <v>70.005599999999987</v>
      </c>
      <c r="M1116" s="844">
        <v>0</v>
      </c>
      <c r="N1116" s="189" t="s">
        <v>123</v>
      </c>
      <c r="O1116" s="1"/>
      <c r="P1116" s="189" t="s">
        <v>3769</v>
      </c>
      <c r="Q1116" s="190" t="s">
        <v>3770</v>
      </c>
      <c r="R1116" s="188">
        <v>45958</v>
      </c>
      <c r="S1116" s="193" t="s">
        <v>126</v>
      </c>
      <c r="T1116" s="192"/>
      <c r="U1116" s="829"/>
      <c r="V1116" s="10"/>
      <c r="W1116" s="10"/>
      <c r="X1116" s="10"/>
      <c r="Y1116" s="10"/>
      <c r="Z1116" s="10"/>
      <c r="AA1116" s="11"/>
      <c r="AB1116" s="11"/>
    </row>
    <row r="1117" spans="2:28" x14ac:dyDescent="0.3">
      <c r="B1117" s="10" t="s">
        <v>394</v>
      </c>
      <c r="C1117" s="315"/>
      <c r="D1117" s="868" t="s">
        <v>3782</v>
      </c>
      <c r="E1117" s="837" t="str">
        <f>IFERROR(IF(_xlfn.XLOOKUP(Imput[[#This Row],[RFC]],'Alta Proveedor'!D:D,'Alta Proveedor'!E:E)=0,"",_xlfn.XLOOKUP(Imput[[#This Row],[RFC]],'Alta Proveedor'!D:D,'Alta Proveedor'!E:E)),"")</f>
        <v>DORA ALICIA PIMENTEL ROCHA</v>
      </c>
      <c r="F1117" s="832" t="s">
        <v>3784</v>
      </c>
      <c r="G1117" s="187">
        <v>8</v>
      </c>
      <c r="H1117" s="1">
        <v>101.85</v>
      </c>
      <c r="I1117" s="169">
        <f>Imput[[#This Row],[Cantidad]]*Imput[[#This Row],[Precio Unitario]]</f>
        <v>814.8</v>
      </c>
      <c r="J1117" s="11">
        <f>((Imput[[#This Row],[Sub total]])*(0.08))</f>
        <v>65.183999999999997</v>
      </c>
      <c r="K1117" s="11">
        <v>0</v>
      </c>
      <c r="L1117" s="169">
        <f>Imput[[#This Row],[Sub total]]+Imput[[#This Row],[IVA]]-Imput[[#This Row],[Retención / IEPS / Descuento]]</f>
        <v>879.98399999999992</v>
      </c>
      <c r="M1117" s="844">
        <v>1460.4947999999999</v>
      </c>
      <c r="N1117" s="189" t="s">
        <v>123</v>
      </c>
      <c r="O1117" s="1"/>
      <c r="P1117" s="189" t="s">
        <v>3780</v>
      </c>
      <c r="Q1117" s="190" t="s">
        <v>3781</v>
      </c>
      <c r="R1117" s="188">
        <v>45955</v>
      </c>
      <c r="S1117" s="193" t="s">
        <v>126</v>
      </c>
      <c r="T1117" s="192"/>
      <c r="U1117" s="829"/>
      <c r="V1117" s="10"/>
      <c r="W1117" s="10"/>
      <c r="X1117" s="10"/>
      <c r="Y1117" s="10"/>
      <c r="Z1117" s="10"/>
      <c r="AA1117" s="11"/>
      <c r="AB1117" s="11"/>
    </row>
    <row r="1118" spans="2:28" x14ac:dyDescent="0.3">
      <c r="B1118" s="10" t="s">
        <v>394</v>
      </c>
      <c r="C1118" s="315"/>
      <c r="D1118" s="868" t="s">
        <v>3782</v>
      </c>
      <c r="E1118" s="837" t="str">
        <f>IFERROR(IF(_xlfn.XLOOKUP(Imput[[#This Row],[RFC]],'Alta Proveedor'!D:D,'Alta Proveedor'!E:E)=0,"",_xlfn.XLOOKUP(Imput[[#This Row],[RFC]],'Alta Proveedor'!D:D,'Alta Proveedor'!E:E)),"")</f>
        <v>DORA ALICIA PIMENTEL ROCHA</v>
      </c>
      <c r="F1118" s="832" t="s">
        <v>3785</v>
      </c>
      <c r="G1118" s="187">
        <v>3</v>
      </c>
      <c r="H1118" s="1">
        <v>179.17</v>
      </c>
      <c r="I1118" s="169">
        <f>Imput[[#This Row],[Cantidad]]*Imput[[#This Row],[Precio Unitario]]</f>
        <v>537.51</v>
      </c>
      <c r="J1118" s="11">
        <f>((Imput[[#This Row],[Sub total]])*(0.08))</f>
        <v>43.000799999999998</v>
      </c>
      <c r="K1118" s="11">
        <v>0</v>
      </c>
      <c r="L1118" s="169">
        <f>Imput[[#This Row],[Sub total]]+Imput[[#This Row],[IVA]]-Imput[[#This Row],[Retención / IEPS / Descuento]]</f>
        <v>580.51080000000002</v>
      </c>
      <c r="M1118" s="844">
        <v>0</v>
      </c>
      <c r="N1118" s="189" t="s">
        <v>123</v>
      </c>
      <c r="O1118" s="1"/>
      <c r="P1118" s="189" t="s">
        <v>3780</v>
      </c>
      <c r="Q1118" s="190" t="s">
        <v>3781</v>
      </c>
      <c r="R1118" s="188">
        <v>45955</v>
      </c>
      <c r="S1118" s="193" t="s">
        <v>126</v>
      </c>
      <c r="T1118" s="192"/>
      <c r="U1118" s="829"/>
      <c r="V1118" s="10"/>
      <c r="W1118" s="10"/>
      <c r="X1118" s="10"/>
      <c r="Y1118" s="10"/>
      <c r="Z1118" s="10"/>
      <c r="AA1118" s="11"/>
      <c r="AB1118" s="11"/>
    </row>
    <row r="1119" spans="2:28" x14ac:dyDescent="0.3">
      <c r="B1119" s="10" t="s">
        <v>394</v>
      </c>
      <c r="C1119" s="315"/>
      <c r="D1119" s="868" t="s">
        <v>3782</v>
      </c>
      <c r="E1119" s="837" t="str">
        <f>IFERROR(IF(_xlfn.XLOOKUP(Imput[[#This Row],[RFC]],'Alta Proveedor'!D:D,'Alta Proveedor'!E:E)=0,"",_xlfn.XLOOKUP(Imput[[#This Row],[RFC]],'Alta Proveedor'!D:D,'Alta Proveedor'!E:E)),"")</f>
        <v>DORA ALICIA PIMENTEL ROCHA</v>
      </c>
      <c r="F1119" s="832" t="s">
        <v>3811</v>
      </c>
      <c r="G1119" s="187">
        <v>1</v>
      </c>
      <c r="H1119" s="1">
        <v>138.88999999999999</v>
      </c>
      <c r="I1119" s="169">
        <f>Imput[[#This Row],[Cantidad]]*Imput[[#This Row],[Precio Unitario]]</f>
        <v>138.88999999999999</v>
      </c>
      <c r="J1119" s="11">
        <f>((Imput[[#This Row],[Sub total]])*(0.08))</f>
        <v>11.111199999999998</v>
      </c>
      <c r="K1119" s="11">
        <v>0</v>
      </c>
      <c r="L1119" s="169">
        <f>Imput[[#This Row],[Sub total]]+Imput[[#This Row],[IVA]]-Imput[[#This Row],[Retención / IEPS / Descuento]]</f>
        <v>150.00119999999998</v>
      </c>
      <c r="M1119" s="844">
        <v>1145.9988000000001</v>
      </c>
      <c r="N1119" s="189" t="s">
        <v>123</v>
      </c>
      <c r="O1119" s="1"/>
      <c r="P1119" s="189" t="s">
        <v>3809</v>
      </c>
      <c r="Q1119" s="190" t="s">
        <v>3810</v>
      </c>
      <c r="R1119" s="188">
        <v>45958</v>
      </c>
      <c r="S1119" s="193" t="s">
        <v>126</v>
      </c>
      <c r="T1119" s="192"/>
      <c r="U1119" s="829"/>
      <c r="V1119" s="10"/>
      <c r="W1119" s="10"/>
      <c r="X1119" s="10"/>
      <c r="Y1119" s="10"/>
      <c r="Z1119" s="10"/>
      <c r="AA1119" s="11"/>
      <c r="AB1119" s="11"/>
    </row>
    <row r="1120" spans="2:28" x14ac:dyDescent="0.3">
      <c r="B1120" s="10" t="s">
        <v>394</v>
      </c>
      <c r="C1120" s="315"/>
      <c r="D1120" s="868" t="s">
        <v>3782</v>
      </c>
      <c r="E1120" s="837" t="str">
        <f>IFERROR(IF(_xlfn.XLOOKUP(Imput[[#This Row],[RFC]],'Alta Proveedor'!D:D,'Alta Proveedor'!E:E)=0,"",_xlfn.XLOOKUP(Imput[[#This Row],[RFC]],'Alta Proveedor'!D:D,'Alta Proveedor'!E:E)),"")</f>
        <v>DORA ALICIA PIMENTEL ROCHA</v>
      </c>
      <c r="F1120" s="832" t="s">
        <v>3812</v>
      </c>
      <c r="G1120" s="187">
        <v>2</v>
      </c>
      <c r="H1120" s="1">
        <v>263.89</v>
      </c>
      <c r="I1120" s="169">
        <f>Imput[[#This Row],[Cantidad]]*Imput[[#This Row],[Precio Unitario]]</f>
        <v>527.78</v>
      </c>
      <c r="J1120" s="11">
        <f>((Imput[[#This Row],[Sub total]])*(0.08))</f>
        <v>42.2224</v>
      </c>
      <c r="K1120" s="11">
        <v>0</v>
      </c>
      <c r="L1120" s="169">
        <f>Imput[[#This Row],[Sub total]]+Imput[[#This Row],[IVA]]-Imput[[#This Row],[Retención / IEPS / Descuento]]</f>
        <v>570.00239999999997</v>
      </c>
      <c r="M1120" s="844">
        <v>0</v>
      </c>
      <c r="N1120" s="189" t="s">
        <v>123</v>
      </c>
      <c r="O1120" s="1"/>
      <c r="P1120" s="189" t="s">
        <v>3809</v>
      </c>
      <c r="Q1120" s="190" t="s">
        <v>3810</v>
      </c>
      <c r="R1120" s="188">
        <v>45958</v>
      </c>
      <c r="S1120" s="193" t="s">
        <v>126</v>
      </c>
      <c r="T1120" s="192"/>
      <c r="U1120" s="829"/>
      <c r="V1120" s="10"/>
      <c r="W1120" s="10"/>
      <c r="X1120" s="10"/>
      <c r="Y1120" s="10"/>
      <c r="Z1120" s="10"/>
      <c r="AA1120" s="11"/>
      <c r="AB1120" s="11"/>
    </row>
    <row r="1121" spans="2:28" x14ac:dyDescent="0.3">
      <c r="B1121" s="10" t="s">
        <v>394</v>
      </c>
      <c r="C1121" s="315"/>
      <c r="D1121" s="868" t="s">
        <v>3782</v>
      </c>
      <c r="E1121" s="837" t="str">
        <f>IFERROR(IF(_xlfn.XLOOKUP(Imput[[#This Row],[RFC]],'Alta Proveedor'!D:D,'Alta Proveedor'!E:E)=0,"",_xlfn.XLOOKUP(Imput[[#This Row],[RFC]],'Alta Proveedor'!D:D,'Alta Proveedor'!E:E)),"")</f>
        <v>DORA ALICIA PIMENTEL ROCHA</v>
      </c>
      <c r="F1121" s="832" t="s">
        <v>3813</v>
      </c>
      <c r="G1121" s="187">
        <v>3</v>
      </c>
      <c r="H1121" s="1">
        <v>35.19</v>
      </c>
      <c r="I1121" s="169">
        <f>Imput[[#This Row],[Cantidad]]*Imput[[#This Row],[Precio Unitario]]</f>
        <v>105.57</v>
      </c>
      <c r="J1121" s="11">
        <f>((Imput[[#This Row],[Sub total]])*(0.08))</f>
        <v>8.4455999999999989</v>
      </c>
      <c r="K1121" s="11">
        <v>0</v>
      </c>
      <c r="L1121" s="169">
        <f>Imput[[#This Row],[Sub total]]+Imput[[#This Row],[IVA]]-Imput[[#This Row],[Retención / IEPS / Descuento]]</f>
        <v>114.01559999999999</v>
      </c>
      <c r="M1121" s="844">
        <v>0</v>
      </c>
      <c r="N1121" s="189" t="s">
        <v>123</v>
      </c>
      <c r="O1121" s="1"/>
      <c r="P1121" s="189" t="s">
        <v>3809</v>
      </c>
      <c r="Q1121" s="190" t="s">
        <v>3810</v>
      </c>
      <c r="R1121" s="188">
        <v>45958</v>
      </c>
      <c r="S1121" s="193" t="s">
        <v>126</v>
      </c>
      <c r="T1121" s="192"/>
      <c r="U1121" s="829"/>
      <c r="V1121" s="10"/>
      <c r="W1121" s="10"/>
      <c r="X1121" s="10"/>
      <c r="Y1121" s="10"/>
      <c r="Z1121" s="10"/>
      <c r="AA1121" s="11"/>
      <c r="AB1121" s="11"/>
    </row>
    <row r="1122" spans="2:28" x14ac:dyDescent="0.3">
      <c r="B1122" s="10" t="s">
        <v>394</v>
      </c>
      <c r="C1122" s="315"/>
      <c r="D1122" s="868" t="s">
        <v>3782</v>
      </c>
      <c r="E1122" s="837" t="str">
        <f>IFERROR(IF(_xlfn.XLOOKUP(Imput[[#This Row],[RFC]],'Alta Proveedor'!D:D,'Alta Proveedor'!E:E)=0,"",_xlfn.XLOOKUP(Imput[[#This Row],[RFC]],'Alta Proveedor'!D:D,'Alta Proveedor'!E:E)),"")</f>
        <v>DORA ALICIA PIMENTEL ROCHA</v>
      </c>
      <c r="F1122" s="832" t="s">
        <v>3814</v>
      </c>
      <c r="G1122" s="187">
        <v>3</v>
      </c>
      <c r="H1122" s="1">
        <v>35.18</v>
      </c>
      <c r="I1122" s="169">
        <f>Imput[[#This Row],[Cantidad]]*Imput[[#This Row],[Precio Unitario]]</f>
        <v>105.53999999999999</v>
      </c>
      <c r="J1122" s="11">
        <f>((Imput[[#This Row],[Sub total]])*(0.08))</f>
        <v>8.4431999999999992</v>
      </c>
      <c r="K1122" s="11">
        <v>0</v>
      </c>
      <c r="L1122" s="169">
        <f>Imput[[#This Row],[Sub total]]+Imput[[#This Row],[IVA]]-Imput[[#This Row],[Retención / IEPS / Descuento]]</f>
        <v>113.9832</v>
      </c>
      <c r="M1122" s="844">
        <v>0</v>
      </c>
      <c r="N1122" s="189" t="s">
        <v>123</v>
      </c>
      <c r="O1122" s="1"/>
      <c r="P1122" s="189" t="s">
        <v>3809</v>
      </c>
      <c r="Q1122" s="190" t="s">
        <v>3810</v>
      </c>
      <c r="R1122" s="188">
        <v>45958</v>
      </c>
      <c r="S1122" s="193" t="s">
        <v>126</v>
      </c>
      <c r="T1122" s="192"/>
      <c r="U1122" s="829"/>
      <c r="V1122" s="10"/>
      <c r="W1122" s="10"/>
      <c r="X1122" s="10"/>
      <c r="Y1122" s="10"/>
      <c r="Z1122" s="10"/>
      <c r="AA1122" s="11"/>
      <c r="AB1122" s="11"/>
    </row>
    <row r="1123" spans="2:28" x14ac:dyDescent="0.3">
      <c r="B1123" s="10" t="s">
        <v>394</v>
      </c>
      <c r="C1123" s="315"/>
      <c r="D1123" s="868" t="s">
        <v>3782</v>
      </c>
      <c r="E1123" s="837" t="str">
        <f>IFERROR(IF(_xlfn.XLOOKUP(Imput[[#This Row],[RFC]],'Alta Proveedor'!D:D,'Alta Proveedor'!E:E)=0,"",_xlfn.XLOOKUP(Imput[[#This Row],[RFC]],'Alta Proveedor'!D:D,'Alta Proveedor'!E:E)),"")</f>
        <v>DORA ALICIA PIMENTEL ROCHA</v>
      </c>
      <c r="F1123" s="832" t="s">
        <v>3815</v>
      </c>
      <c r="G1123" s="187">
        <v>1</v>
      </c>
      <c r="H1123" s="1">
        <v>183.33</v>
      </c>
      <c r="I1123" s="169">
        <f>Imput[[#This Row],[Cantidad]]*Imput[[#This Row],[Precio Unitario]]</f>
        <v>183.33</v>
      </c>
      <c r="J1123" s="11">
        <f>((Imput[[#This Row],[Sub total]])*(0.08))</f>
        <v>14.666400000000001</v>
      </c>
      <c r="K1123" s="11">
        <v>0</v>
      </c>
      <c r="L1123" s="169">
        <f>Imput[[#This Row],[Sub total]]+Imput[[#This Row],[IVA]]-Imput[[#This Row],[Retención / IEPS / Descuento]]</f>
        <v>197.99640000000002</v>
      </c>
      <c r="M1123" s="844">
        <v>0</v>
      </c>
      <c r="N1123" s="189" t="s">
        <v>123</v>
      </c>
      <c r="O1123" s="1"/>
      <c r="P1123" s="189" t="s">
        <v>3809</v>
      </c>
      <c r="Q1123" s="190" t="s">
        <v>3810</v>
      </c>
      <c r="R1123" s="188">
        <v>45958</v>
      </c>
      <c r="S1123" s="193" t="s">
        <v>126</v>
      </c>
      <c r="T1123" s="192"/>
      <c r="U1123" s="829"/>
      <c r="V1123" s="10"/>
      <c r="W1123" s="10"/>
      <c r="X1123" s="10"/>
      <c r="Y1123" s="10"/>
      <c r="Z1123" s="10"/>
      <c r="AA1123" s="11"/>
      <c r="AB1123" s="11"/>
    </row>
    <row r="1124" spans="2:28" x14ac:dyDescent="0.3">
      <c r="B1124" s="10" t="s">
        <v>394</v>
      </c>
      <c r="C1124" s="315" t="s">
        <v>1767</v>
      </c>
      <c r="D1124" s="868" t="s">
        <v>3684</v>
      </c>
      <c r="E1124" s="837" t="str">
        <f>IFERROR(IF(_xlfn.XLOOKUP(Imput[[#This Row],[RFC]],'Alta Proveedor'!D:D,'Alta Proveedor'!E:E)=0,"",_xlfn.XLOOKUP(Imput[[#This Row],[RFC]],'Alta Proveedor'!D:D,'Alta Proveedor'!E:E)),"")</f>
        <v>SERVICIOS PROFESIONALES GGA</v>
      </c>
      <c r="F1124" s="832" t="s">
        <v>237</v>
      </c>
      <c r="G1124" s="187">
        <v>121.008</v>
      </c>
      <c r="H1124" s="1">
        <f>2265.04/Imput[[#This Row],[Cantidad]]</f>
        <v>18.718101282559832</v>
      </c>
      <c r="I1124" s="169">
        <f>Imput[[#This Row],[Cantidad]]*Imput[[#This Row],[Precio Unitario]]</f>
        <v>2265.04</v>
      </c>
      <c r="J1124" s="11">
        <f>((Imput[[#This Row],[Sub total]])*(0.078025))</f>
        <v>176.72974599999998</v>
      </c>
      <c r="K1124" s="11">
        <v>0</v>
      </c>
      <c r="L1124" s="169">
        <f>Imput[[#This Row],[Sub total]]+Imput[[#This Row],[IVA]]-Imput[[#This Row],[Retención / IEPS / Descuento]]</f>
        <v>2441.7697459999999</v>
      </c>
      <c r="M1124" s="844">
        <v>13849.807604749998</v>
      </c>
      <c r="N1124" s="189" t="s">
        <v>123</v>
      </c>
      <c r="O1124" s="1"/>
      <c r="P1124" s="189" t="s">
        <v>3816</v>
      </c>
      <c r="Q1124" s="190" t="s">
        <v>3817</v>
      </c>
      <c r="R1124" s="188">
        <v>45961</v>
      </c>
      <c r="S1124" s="193" t="s">
        <v>215</v>
      </c>
      <c r="T1124" s="192"/>
      <c r="U1124" s="829"/>
      <c r="V1124" s="10"/>
      <c r="W1124" s="10"/>
      <c r="X1124" s="10"/>
      <c r="Y1124" s="10"/>
      <c r="Z1124" s="10"/>
      <c r="AA1124" s="11"/>
      <c r="AB1124" s="11"/>
    </row>
    <row r="1125" spans="2:28" x14ac:dyDescent="0.3">
      <c r="B1125" s="10" t="s">
        <v>394</v>
      </c>
      <c r="C1125" s="315" t="s">
        <v>1767</v>
      </c>
      <c r="D1125" s="868" t="s">
        <v>3684</v>
      </c>
      <c r="E1125" s="837" t="str">
        <f>IFERROR(IF(_xlfn.XLOOKUP(Imput[[#This Row],[RFC]],'Alta Proveedor'!D:D,'Alta Proveedor'!E:E)=0,"",_xlfn.XLOOKUP(Imput[[#This Row],[RFC]],'Alta Proveedor'!D:D,'Alta Proveedor'!E:E)),"")</f>
        <v>SERVICIOS PROFESIONALES GGA</v>
      </c>
      <c r="F1125" s="832" t="s">
        <v>237</v>
      </c>
      <c r="G1125" s="187">
        <v>140</v>
      </c>
      <c r="H1125" s="1">
        <f>2620.54/Imput[[#This Row],[Cantidad]]</f>
        <v>18.718142857142858</v>
      </c>
      <c r="I1125" s="169">
        <f>Imput[[#This Row],[Cantidad]]*Imput[[#This Row],[Precio Unitario]]</f>
        <v>2620.54</v>
      </c>
      <c r="J1125" s="11">
        <f>((Imput[[#This Row],[Sub total]])*(0.078025))</f>
        <v>204.46763349999998</v>
      </c>
      <c r="K1125" s="11">
        <v>0</v>
      </c>
      <c r="L1125" s="169">
        <f>Imput[[#This Row],[Sub total]]+Imput[[#This Row],[IVA]]-Imput[[#This Row],[Retención / IEPS / Descuento]]</f>
        <v>2825.0076334999999</v>
      </c>
      <c r="M1125" s="844">
        <v>0</v>
      </c>
      <c r="N1125" s="189" t="s">
        <v>123</v>
      </c>
      <c r="O1125" s="1"/>
      <c r="P1125" s="189" t="s">
        <v>3816</v>
      </c>
      <c r="Q1125" s="190" t="s">
        <v>3817</v>
      </c>
      <c r="R1125" s="188">
        <v>45961</v>
      </c>
      <c r="S1125" s="193" t="s">
        <v>215</v>
      </c>
      <c r="T1125" s="192"/>
      <c r="U1125" s="829"/>
      <c r="V1125" s="10"/>
      <c r="W1125" s="10"/>
      <c r="X1125" s="10"/>
      <c r="Y1125" s="10"/>
      <c r="Z1125" s="10"/>
      <c r="AA1125" s="11"/>
      <c r="AB1125" s="11"/>
    </row>
    <row r="1126" spans="2:28" x14ac:dyDescent="0.3">
      <c r="B1126" s="10" t="s">
        <v>394</v>
      </c>
      <c r="C1126" s="315" t="s">
        <v>1767</v>
      </c>
      <c r="D1126" s="868" t="s">
        <v>3684</v>
      </c>
      <c r="E1126" s="837" t="str">
        <f>IFERROR(IF(_xlfn.XLOOKUP(Imput[[#This Row],[RFC]],'Alta Proveedor'!D:D,'Alta Proveedor'!E:E)=0,"",_xlfn.XLOOKUP(Imput[[#This Row],[RFC]],'Alta Proveedor'!D:D,'Alta Proveedor'!E:E)),"")</f>
        <v>SERVICIOS PROFESIONALES GGA</v>
      </c>
      <c r="F1126" s="832" t="s">
        <v>237</v>
      </c>
      <c r="G1126" s="187">
        <v>21.995999999999999</v>
      </c>
      <c r="H1126" s="1">
        <f>411.72/Imput[[#This Row],[Cantidad]]</f>
        <v>18.717948717948719</v>
      </c>
      <c r="I1126" s="169">
        <f>Imput[[#This Row],[Cantidad]]*Imput[[#This Row],[Precio Unitario]]</f>
        <v>411.71999999999997</v>
      </c>
      <c r="J1126" s="11">
        <f>((Imput[[#This Row],[Sub total]])*(0.078025))</f>
        <v>32.124452999999995</v>
      </c>
      <c r="K1126" s="11">
        <v>0</v>
      </c>
      <c r="L1126" s="169">
        <f>Imput[[#This Row],[Sub total]]+Imput[[#This Row],[IVA]]-Imput[[#This Row],[Retención / IEPS / Descuento]]</f>
        <v>443.84445299999999</v>
      </c>
      <c r="M1126" s="844">
        <v>0</v>
      </c>
      <c r="N1126" s="189" t="s">
        <v>123</v>
      </c>
      <c r="O1126" s="1"/>
      <c r="P1126" s="189" t="s">
        <v>3816</v>
      </c>
      <c r="Q1126" s="190" t="s">
        <v>3817</v>
      </c>
      <c r="R1126" s="188">
        <v>45961</v>
      </c>
      <c r="S1126" s="193" t="s">
        <v>215</v>
      </c>
      <c r="T1126" s="192"/>
      <c r="U1126" s="829"/>
      <c r="V1126" s="10"/>
      <c r="W1126" s="10"/>
      <c r="X1126" s="10"/>
      <c r="Y1126" s="10"/>
      <c r="Z1126" s="10"/>
      <c r="AA1126" s="11"/>
      <c r="AB1126" s="11"/>
    </row>
    <row r="1127" spans="2:28" x14ac:dyDescent="0.3">
      <c r="B1127" s="10" t="s">
        <v>394</v>
      </c>
      <c r="C1127" s="315" t="s">
        <v>1767</v>
      </c>
      <c r="D1127" s="868" t="s">
        <v>3684</v>
      </c>
      <c r="E1127" s="837" t="str">
        <f>IFERROR(IF(_xlfn.XLOOKUP(Imput[[#This Row],[RFC]],'Alta Proveedor'!D:D,'Alta Proveedor'!E:E)=0,"",_xlfn.XLOOKUP(Imput[[#This Row],[RFC]],'Alta Proveedor'!D:D,'Alta Proveedor'!E:E)),"")</f>
        <v>SERVICIOS PROFESIONALES GGA</v>
      </c>
      <c r="F1127" s="832" t="s">
        <v>1114</v>
      </c>
      <c r="G1127" s="187">
        <v>70.293000000000006</v>
      </c>
      <c r="H1127" s="1">
        <f>1609.43/Imput[[#This Row],[Cantidad]]</f>
        <v>22.896020940918724</v>
      </c>
      <c r="I1127" s="169">
        <f>Imput[[#This Row],[Cantidad]]*Imput[[#This Row],[Precio Unitario]]</f>
        <v>1609.43</v>
      </c>
      <c r="J1127" s="11">
        <f>((Imput[[#This Row],[Sub total]])*(0.078025))</f>
        <v>125.57577575000001</v>
      </c>
      <c r="K1127" s="11">
        <v>0</v>
      </c>
      <c r="L1127" s="169">
        <f>Imput[[#This Row],[Sub total]]+Imput[[#This Row],[IVA]]-Imput[[#This Row],[Retención / IEPS / Descuento]]</f>
        <v>1735.0057757500001</v>
      </c>
      <c r="M1127" s="844">
        <v>0</v>
      </c>
      <c r="N1127" s="189" t="s">
        <v>123</v>
      </c>
      <c r="O1127" s="1"/>
      <c r="P1127" s="189" t="s">
        <v>3816</v>
      </c>
      <c r="Q1127" s="190" t="s">
        <v>3817</v>
      </c>
      <c r="R1127" s="188">
        <v>45961</v>
      </c>
      <c r="S1127" s="193" t="s">
        <v>215</v>
      </c>
      <c r="T1127" s="192"/>
      <c r="U1127" s="829"/>
      <c r="V1127" s="10"/>
      <c r="W1127" s="10"/>
      <c r="X1127" s="10"/>
      <c r="Y1127" s="10"/>
      <c r="Z1127" s="10"/>
      <c r="AA1127" s="11"/>
      <c r="AB1127" s="11"/>
    </row>
    <row r="1128" spans="2:28" x14ac:dyDescent="0.3">
      <c r="B1128" s="10" t="s">
        <v>394</v>
      </c>
      <c r="C1128" s="315" t="s">
        <v>1767</v>
      </c>
      <c r="D1128" s="868" t="s">
        <v>3684</v>
      </c>
      <c r="E1128" s="837" t="str">
        <f>IFERROR(IF(_xlfn.XLOOKUP(Imput[[#This Row],[RFC]],'Alta Proveedor'!D:D,'Alta Proveedor'!E:E)=0,"",_xlfn.XLOOKUP(Imput[[#This Row],[RFC]],'Alta Proveedor'!D:D,'Alta Proveedor'!E:E)),"")</f>
        <v>SERVICIOS PROFESIONALES GGA</v>
      </c>
      <c r="F1128" s="832" t="s">
        <v>1114</v>
      </c>
      <c r="G1128" s="187">
        <v>59.271000000000001</v>
      </c>
      <c r="H1128" s="1">
        <f>1357.08/Imput[[#This Row],[Cantidad]]</f>
        <v>22.896188692615276</v>
      </c>
      <c r="I1128" s="169">
        <f>Imput[[#This Row],[Cantidad]]*Imput[[#This Row],[Precio Unitario]]</f>
        <v>1357.08</v>
      </c>
      <c r="J1128" s="11">
        <f>((Imput[[#This Row],[Sub total]])*(0.078025))</f>
        <v>105.88616699999999</v>
      </c>
      <c r="K1128" s="11">
        <v>0</v>
      </c>
      <c r="L1128" s="169">
        <f>Imput[[#This Row],[Sub total]]+Imput[[#This Row],[IVA]]-Imput[[#This Row],[Retención / IEPS / Descuento]]</f>
        <v>1462.9661669999998</v>
      </c>
      <c r="M1128" s="844">
        <v>0</v>
      </c>
      <c r="N1128" s="189" t="s">
        <v>123</v>
      </c>
      <c r="O1128" s="1"/>
      <c r="P1128" s="189" t="s">
        <v>3816</v>
      </c>
      <c r="Q1128" s="190" t="s">
        <v>3817</v>
      </c>
      <c r="R1128" s="188">
        <v>45961</v>
      </c>
      <c r="S1128" s="193" t="s">
        <v>215</v>
      </c>
      <c r="T1128" s="192"/>
      <c r="U1128" s="829"/>
      <c r="V1128" s="10"/>
      <c r="W1128" s="10"/>
      <c r="X1128" s="10"/>
      <c r="Y1128" s="10"/>
      <c r="Z1128" s="10"/>
      <c r="AA1128" s="11"/>
      <c r="AB1128" s="11"/>
    </row>
    <row r="1129" spans="2:28" x14ac:dyDescent="0.3">
      <c r="B1129" s="10" t="s">
        <v>394</v>
      </c>
      <c r="C1129" s="315" t="s">
        <v>1767</v>
      </c>
      <c r="D1129" s="868" t="s">
        <v>3684</v>
      </c>
      <c r="E1129" s="837" t="str">
        <f>IFERROR(IF(_xlfn.XLOOKUP(Imput[[#This Row],[RFC]],'Alta Proveedor'!D:D,'Alta Proveedor'!E:E)=0,"",_xlfn.XLOOKUP(Imput[[#This Row],[RFC]],'Alta Proveedor'!D:D,'Alta Proveedor'!E:E)),"")</f>
        <v>SERVICIOS PROFESIONALES GGA</v>
      </c>
      <c r="F1129" s="832" t="s">
        <v>1114</v>
      </c>
      <c r="G1129" s="187">
        <v>61.113</v>
      </c>
      <c r="H1129" s="1">
        <f>1399.25/Imput[[#This Row],[Cantidad]]</f>
        <v>22.896110483857772</v>
      </c>
      <c r="I1129" s="169">
        <f>Imput[[#This Row],[Cantidad]]*Imput[[#This Row],[Precio Unitario]]</f>
        <v>1399.25</v>
      </c>
      <c r="J1129" s="11">
        <f>((Imput[[#This Row],[Sub total]])*(0.078025))</f>
        <v>109.17648124999999</v>
      </c>
      <c r="K1129" s="11">
        <v>0</v>
      </c>
      <c r="L1129" s="169">
        <f>Imput[[#This Row],[Sub total]]+Imput[[#This Row],[IVA]]-Imput[[#This Row],[Retención / IEPS / Descuento]]</f>
        <v>1508.4264812500001</v>
      </c>
      <c r="M1129" s="844">
        <v>0</v>
      </c>
      <c r="N1129" s="189" t="s">
        <v>123</v>
      </c>
      <c r="O1129" s="1"/>
      <c r="P1129" s="189" t="s">
        <v>3816</v>
      </c>
      <c r="Q1129" s="190" t="s">
        <v>3817</v>
      </c>
      <c r="R1129" s="188">
        <v>45961</v>
      </c>
      <c r="S1129" s="193" t="s">
        <v>215</v>
      </c>
      <c r="T1129" s="192"/>
      <c r="U1129" s="829"/>
      <c r="V1129" s="10"/>
      <c r="W1129" s="10"/>
      <c r="X1129" s="10"/>
      <c r="Y1129" s="10"/>
      <c r="Z1129" s="10"/>
      <c r="AA1129" s="11"/>
      <c r="AB1129" s="11"/>
    </row>
    <row r="1130" spans="2:28" x14ac:dyDescent="0.3">
      <c r="B1130" s="10" t="s">
        <v>394</v>
      </c>
      <c r="C1130" s="315" t="s">
        <v>1767</v>
      </c>
      <c r="D1130" s="868" t="s">
        <v>3684</v>
      </c>
      <c r="E1130" s="837" t="str">
        <f>IFERROR(IF(_xlfn.XLOOKUP(Imput[[#This Row],[RFC]],'Alta Proveedor'!D:D,'Alta Proveedor'!E:E)=0,"",_xlfn.XLOOKUP(Imput[[#This Row],[RFC]],'Alta Proveedor'!D:D,'Alta Proveedor'!E:E)),"")</f>
        <v>SERVICIOS PROFESIONALES GGA</v>
      </c>
      <c r="F1130" s="832" t="s">
        <v>1114</v>
      </c>
      <c r="G1130" s="187">
        <v>52.301000000000002</v>
      </c>
      <c r="H1130" s="1">
        <f>1197.49/Imput[[#This Row],[Cantidad]]</f>
        <v>22.896120533068199</v>
      </c>
      <c r="I1130" s="169">
        <f>Imput[[#This Row],[Cantidad]]*Imput[[#This Row],[Precio Unitario]]</f>
        <v>1197.49</v>
      </c>
      <c r="J1130" s="11">
        <f>((Imput[[#This Row],[Sub total]])*(0.078025))</f>
        <v>93.434157249999998</v>
      </c>
      <c r="K1130" s="11">
        <v>0</v>
      </c>
      <c r="L1130" s="169">
        <f>Imput[[#This Row],[Sub total]]+Imput[[#This Row],[IVA]]-Imput[[#This Row],[Retención / IEPS / Descuento]]</f>
        <v>1290.92415725</v>
      </c>
      <c r="M1130" s="844">
        <v>0</v>
      </c>
      <c r="N1130" s="189" t="s">
        <v>123</v>
      </c>
      <c r="O1130" s="1"/>
      <c r="P1130" s="189" t="s">
        <v>3816</v>
      </c>
      <c r="Q1130" s="190" t="s">
        <v>3817</v>
      </c>
      <c r="R1130" s="188">
        <v>45961</v>
      </c>
      <c r="S1130" s="193" t="s">
        <v>215</v>
      </c>
      <c r="T1130" s="192"/>
      <c r="U1130" s="829"/>
      <c r="V1130" s="10"/>
      <c r="W1130" s="10"/>
      <c r="X1130" s="10"/>
      <c r="Y1130" s="10"/>
      <c r="Z1130" s="10"/>
      <c r="AA1130" s="11"/>
      <c r="AB1130" s="11"/>
    </row>
    <row r="1131" spans="2:28" x14ac:dyDescent="0.3">
      <c r="B1131" s="10" t="s">
        <v>394</v>
      </c>
      <c r="C1131" s="315" t="s">
        <v>1767</v>
      </c>
      <c r="D1131" s="868" t="s">
        <v>3684</v>
      </c>
      <c r="E1131" s="837" t="str">
        <f>IFERROR(IF(_xlfn.XLOOKUP(Imput[[#This Row],[RFC]],'Alta Proveedor'!D:D,'Alta Proveedor'!E:E)=0,"",_xlfn.XLOOKUP(Imput[[#This Row],[RFC]],'Alta Proveedor'!D:D,'Alta Proveedor'!E:E)),"")</f>
        <v>SERVICIOS PROFESIONALES GGA</v>
      </c>
      <c r="F1131" s="832" t="s">
        <v>1114</v>
      </c>
      <c r="G1131" s="187">
        <v>37.378</v>
      </c>
      <c r="H1131" s="1">
        <f>855.81/Imput[[#This Row],[Cantidad]]</f>
        <v>22.896088608272244</v>
      </c>
      <c r="I1131" s="169">
        <f>Imput[[#This Row],[Cantidad]]*Imput[[#This Row],[Precio Unitario]]</f>
        <v>855.81</v>
      </c>
      <c r="J1131" s="11">
        <f>((Imput[[#This Row],[Sub total]])*(0.078025))</f>
        <v>66.774575249999998</v>
      </c>
      <c r="K1131" s="11">
        <v>0</v>
      </c>
      <c r="L1131" s="169">
        <f>Imput[[#This Row],[Sub total]]+Imput[[#This Row],[IVA]]-Imput[[#This Row],[Retención / IEPS / Descuento]]</f>
        <v>922.58457524999994</v>
      </c>
      <c r="M1131" s="844">
        <v>0</v>
      </c>
      <c r="N1131" s="189" t="s">
        <v>123</v>
      </c>
      <c r="O1131" s="1"/>
      <c r="P1131" s="189" t="s">
        <v>3816</v>
      </c>
      <c r="Q1131" s="190" t="s">
        <v>3817</v>
      </c>
      <c r="R1131" s="188">
        <v>45961</v>
      </c>
      <c r="S1131" s="193" t="s">
        <v>215</v>
      </c>
      <c r="T1131" s="192"/>
      <c r="U1131" s="829"/>
      <c r="V1131" s="10"/>
      <c r="W1131" s="10"/>
      <c r="X1131" s="10"/>
      <c r="Y1131" s="10"/>
      <c r="Z1131" s="10"/>
      <c r="AA1131" s="11"/>
      <c r="AB1131" s="11"/>
    </row>
    <row r="1132" spans="2:28" x14ac:dyDescent="0.3">
      <c r="B1132" s="10" t="s">
        <v>394</v>
      </c>
      <c r="C1132" s="315" t="s">
        <v>1767</v>
      </c>
      <c r="D1132" s="868" t="s">
        <v>3684</v>
      </c>
      <c r="E1132" s="837" t="str">
        <f>IFERROR(IF(_xlfn.XLOOKUP(Imput[[#This Row],[RFC]],'Alta Proveedor'!D:D,'Alta Proveedor'!E:E)=0,"",_xlfn.XLOOKUP(Imput[[#This Row],[RFC]],'Alta Proveedor'!D:D,'Alta Proveedor'!E:E)),"")</f>
        <v>SERVICIOS PROFESIONALES GGA</v>
      </c>
      <c r="F1132" s="832" t="s">
        <v>1114</v>
      </c>
      <c r="G1132" s="187">
        <v>49.398000000000003</v>
      </c>
      <c r="H1132" s="1">
        <f>1131.03/Imput[[#This Row],[Cantidad]]</f>
        <v>22.89627110409328</v>
      </c>
      <c r="I1132" s="169">
        <f>Imput[[#This Row],[Cantidad]]*Imput[[#This Row],[Precio Unitario]]</f>
        <v>1131.03</v>
      </c>
      <c r="J1132" s="11">
        <f>((Imput[[#This Row],[Sub total]])*(0.078025))</f>
        <v>88.248615749999999</v>
      </c>
      <c r="K1132" s="11">
        <v>0</v>
      </c>
      <c r="L1132" s="169">
        <f>Imput[[#This Row],[Sub total]]+Imput[[#This Row],[IVA]]-Imput[[#This Row],[Retención / IEPS / Descuento]]</f>
        <v>1219.27861575</v>
      </c>
      <c r="M1132" s="844">
        <v>0</v>
      </c>
      <c r="N1132" s="189" t="s">
        <v>123</v>
      </c>
      <c r="O1132" s="1"/>
      <c r="P1132" s="189" t="s">
        <v>3816</v>
      </c>
      <c r="Q1132" s="190" t="s">
        <v>3817</v>
      </c>
      <c r="R1132" s="188">
        <v>45961</v>
      </c>
      <c r="S1132" s="193" t="s">
        <v>215</v>
      </c>
      <c r="T1132" s="192"/>
      <c r="U1132" s="829"/>
      <c r="V1132" s="10"/>
      <c r="W1132" s="10"/>
      <c r="X1132" s="10"/>
      <c r="Y1132" s="10"/>
      <c r="Z1132" s="10"/>
      <c r="AA1132" s="11"/>
      <c r="AB1132" s="11"/>
    </row>
    <row r="1133" spans="2:28" x14ac:dyDescent="0.3">
      <c r="B1133" s="10" t="s">
        <v>396</v>
      </c>
      <c r="C1133" s="315" t="s">
        <v>1767</v>
      </c>
      <c r="D1133" s="868" t="s">
        <v>3684</v>
      </c>
      <c r="E1133" s="837" t="str">
        <f>IFERROR(IF(_xlfn.XLOOKUP(Imput[[#This Row],[RFC]],'Alta Proveedor'!D:D,'Alta Proveedor'!E:E)=0,"",_xlfn.XLOOKUP(Imput[[#This Row],[RFC]],'Alta Proveedor'!D:D,'Alta Proveedor'!E:E)),"")</f>
        <v>SERVICIOS PROFESIONALES GGA</v>
      </c>
      <c r="F1133" s="832" t="s">
        <v>1145</v>
      </c>
      <c r="G1133" s="187">
        <v>62.526000000000003</v>
      </c>
      <c r="H1133" s="1">
        <v>20.776931999999999</v>
      </c>
      <c r="I1133" s="169">
        <f>Imput[[#This Row],[Cantidad]]*Imput[[#This Row],[Precio Unitario]]</f>
        <v>1299.098450232</v>
      </c>
      <c r="J1133" s="11">
        <f>((Imput[[#This Row],[Sub total]])*(0.1559325))</f>
        <v>202.57166909080135</v>
      </c>
      <c r="K1133" s="11">
        <v>0</v>
      </c>
      <c r="L1133" s="169">
        <f>Imput[[#This Row],[Sub total]]+Imput[[#This Row],[IVA]]-Imput[[#This Row],[Retención / IEPS / Descuento]]</f>
        <v>1501.6701193228014</v>
      </c>
      <c r="M1133" s="844">
        <v>21834.757287585035</v>
      </c>
      <c r="N1133" s="189" t="s">
        <v>123</v>
      </c>
      <c r="O1133" s="1"/>
      <c r="P1133" s="189" t="s">
        <v>3818</v>
      </c>
      <c r="Q1133" s="190" t="s">
        <v>3819</v>
      </c>
      <c r="R1133" s="188">
        <v>45961</v>
      </c>
      <c r="S1133" s="193" t="s">
        <v>215</v>
      </c>
      <c r="T1133" s="192"/>
      <c r="U1133" s="829"/>
      <c r="V1133" s="10"/>
      <c r="W1133" s="10"/>
      <c r="X1133" s="10"/>
      <c r="Y1133" s="10"/>
      <c r="Z1133" s="10"/>
      <c r="AA1133" s="11"/>
      <c r="AB1133" s="11"/>
    </row>
    <row r="1134" spans="2:28" x14ac:dyDescent="0.3">
      <c r="B1134" s="10" t="s">
        <v>396</v>
      </c>
      <c r="C1134" s="315" t="s">
        <v>1767</v>
      </c>
      <c r="D1134" s="868" t="s">
        <v>3684</v>
      </c>
      <c r="E1134" s="837" t="str">
        <f>IFERROR(IF(_xlfn.XLOOKUP(Imput[[#This Row],[RFC]],'Alta Proveedor'!D:D,'Alta Proveedor'!E:E)=0,"",_xlfn.XLOOKUP(Imput[[#This Row],[RFC]],'Alta Proveedor'!D:D,'Alta Proveedor'!E:E)),"")</f>
        <v>SERVICIOS PROFESIONALES GGA</v>
      </c>
      <c r="F1134" s="832" t="s">
        <v>1145</v>
      </c>
      <c r="G1134" s="187">
        <v>100.499</v>
      </c>
      <c r="H1134" s="1">
        <v>20.776931999999999</v>
      </c>
      <c r="I1134" s="169">
        <f>Imput[[#This Row],[Cantidad]]*Imput[[#This Row],[Precio Unitario]]</f>
        <v>2088.0608890679996</v>
      </c>
      <c r="J1134" s="11">
        <f>((Imput[[#This Row],[Sub total]])*(0.1559325))</f>
        <v>325.59655458459588</v>
      </c>
      <c r="K1134" s="11">
        <v>0</v>
      </c>
      <c r="L1134" s="169">
        <f>Imput[[#This Row],[Sub total]]+Imput[[#This Row],[IVA]]-Imput[[#This Row],[Retención / IEPS / Descuento]]</f>
        <v>2413.6574436525952</v>
      </c>
      <c r="M1134" s="844">
        <v>0</v>
      </c>
      <c r="N1134" s="189" t="s">
        <v>123</v>
      </c>
      <c r="O1134" s="1"/>
      <c r="P1134" s="189" t="s">
        <v>3818</v>
      </c>
      <c r="Q1134" s="190" t="s">
        <v>3819</v>
      </c>
      <c r="R1134" s="188">
        <v>45961</v>
      </c>
      <c r="S1134" s="193" t="s">
        <v>215</v>
      </c>
      <c r="T1134" s="192"/>
      <c r="U1134" s="829"/>
      <c r="V1134" s="10"/>
      <c r="W1134" s="10"/>
      <c r="X1134" s="10"/>
      <c r="Y1134" s="10"/>
      <c r="Z1134" s="10"/>
      <c r="AA1134" s="11"/>
      <c r="AB1134" s="11"/>
    </row>
    <row r="1135" spans="2:28" x14ac:dyDescent="0.3">
      <c r="B1135" s="10" t="s">
        <v>396</v>
      </c>
      <c r="C1135" s="315" t="s">
        <v>1767</v>
      </c>
      <c r="D1135" s="868" t="s">
        <v>3684</v>
      </c>
      <c r="E1135" s="837" t="str">
        <f>IFERROR(IF(_xlfn.XLOOKUP(Imput[[#This Row],[RFC]],'Alta Proveedor'!D:D,'Alta Proveedor'!E:E)=0,"",_xlfn.XLOOKUP(Imput[[#This Row],[RFC]],'Alta Proveedor'!D:D,'Alta Proveedor'!E:E)),"")</f>
        <v>SERVICIOS PROFESIONALES GGA</v>
      </c>
      <c r="F1135" s="832" t="s">
        <v>237</v>
      </c>
      <c r="G1135" s="187">
        <v>15.205</v>
      </c>
      <c r="H1135" s="1">
        <v>20.759626999999998</v>
      </c>
      <c r="I1135" s="169">
        <f>Imput[[#This Row],[Cantidad]]*Imput[[#This Row],[Precio Unitario]]</f>
        <v>315.65012853499996</v>
      </c>
      <c r="J1135" s="11">
        <f>((Imput[[#This Row],[Sub total]])*(0.1559325))</f>
        <v>49.220113667783885</v>
      </c>
      <c r="K1135" s="11">
        <v>0</v>
      </c>
      <c r="L1135" s="169">
        <f>Imput[[#This Row],[Sub total]]+Imput[[#This Row],[IVA]]-Imput[[#This Row],[Retención / IEPS / Descuento]]</f>
        <v>364.87024220278386</v>
      </c>
      <c r="M1135" s="844">
        <v>0</v>
      </c>
      <c r="N1135" s="189" t="s">
        <v>123</v>
      </c>
      <c r="O1135" s="1"/>
      <c r="P1135" s="189" t="s">
        <v>3818</v>
      </c>
      <c r="Q1135" s="190" t="s">
        <v>3819</v>
      </c>
      <c r="R1135" s="188">
        <v>45961</v>
      </c>
      <c r="S1135" s="193" t="s">
        <v>215</v>
      </c>
      <c r="T1135" s="192"/>
      <c r="U1135" s="829"/>
      <c r="V1135" s="10"/>
      <c r="W1135" s="10"/>
      <c r="X1135" s="10"/>
      <c r="Y1135" s="10"/>
      <c r="Z1135" s="10"/>
      <c r="AA1135" s="11"/>
      <c r="AB1135" s="11"/>
    </row>
    <row r="1136" spans="2:28" x14ac:dyDescent="0.3">
      <c r="B1136" s="10" t="s">
        <v>396</v>
      </c>
      <c r="C1136" s="315" t="s">
        <v>1767</v>
      </c>
      <c r="D1136" s="868" t="s">
        <v>3684</v>
      </c>
      <c r="E1136" s="837" t="str">
        <f>IFERROR(IF(_xlfn.XLOOKUP(Imput[[#This Row],[RFC]],'Alta Proveedor'!D:D,'Alta Proveedor'!E:E)=0,"",_xlfn.XLOOKUP(Imput[[#This Row],[RFC]],'Alta Proveedor'!D:D,'Alta Proveedor'!E:E)),"")</f>
        <v>SERVICIOS PROFESIONALES GGA</v>
      </c>
      <c r="F1136" s="832" t="s">
        <v>237</v>
      </c>
      <c r="G1136" s="187">
        <v>15.855</v>
      </c>
      <c r="H1136" s="1">
        <v>20.759626999999998</v>
      </c>
      <c r="I1136" s="169">
        <f>Imput[[#This Row],[Cantidad]]*Imput[[#This Row],[Precio Unitario]]</f>
        <v>329.14388608499996</v>
      </c>
      <c r="J1136" s="11">
        <f>((Imput[[#This Row],[Sub total]])*(0.1559325))</f>
        <v>51.324229016949261</v>
      </c>
      <c r="K1136" s="11">
        <v>0</v>
      </c>
      <c r="L1136" s="169">
        <f>Imput[[#This Row],[Sub total]]+Imput[[#This Row],[IVA]]-Imput[[#This Row],[Retención / IEPS / Descuento]]</f>
        <v>380.46811510194925</v>
      </c>
      <c r="M1136" s="844">
        <v>0</v>
      </c>
      <c r="N1136" s="189" t="s">
        <v>123</v>
      </c>
      <c r="O1136" s="1"/>
      <c r="P1136" s="189" t="s">
        <v>3818</v>
      </c>
      <c r="Q1136" s="190" t="s">
        <v>3819</v>
      </c>
      <c r="R1136" s="188">
        <v>45961</v>
      </c>
      <c r="S1136" s="193" t="s">
        <v>215</v>
      </c>
      <c r="T1136" s="192"/>
      <c r="U1136" s="829"/>
      <c r="V1136" s="10"/>
      <c r="W1136" s="10"/>
      <c r="X1136" s="10"/>
      <c r="Y1136" s="10"/>
      <c r="Z1136" s="10"/>
      <c r="AA1136" s="11"/>
      <c r="AB1136" s="11"/>
    </row>
    <row r="1137" spans="2:28" x14ac:dyDescent="0.3">
      <c r="B1137" s="10" t="s">
        <v>396</v>
      </c>
      <c r="C1137" s="315" t="s">
        <v>1767</v>
      </c>
      <c r="D1137" s="868" t="s">
        <v>3684</v>
      </c>
      <c r="E1137" s="837" t="str">
        <f>IFERROR(IF(_xlfn.XLOOKUP(Imput[[#This Row],[RFC]],'Alta Proveedor'!D:D,'Alta Proveedor'!E:E)=0,"",_xlfn.XLOOKUP(Imput[[#This Row],[RFC]],'Alta Proveedor'!D:D,'Alta Proveedor'!E:E)),"")</f>
        <v>SERVICIOS PROFESIONALES GGA</v>
      </c>
      <c r="F1137" s="832" t="s">
        <v>237</v>
      </c>
      <c r="G1137" s="187">
        <v>58.366999999999997</v>
      </c>
      <c r="H1137" s="1">
        <v>20.759499999999999</v>
      </c>
      <c r="I1137" s="169">
        <f>Imput[[#This Row],[Cantidad]]*Imput[[#This Row],[Precio Unitario]]</f>
        <v>1211.6697365</v>
      </c>
      <c r="J1137" s="11">
        <f>((Imput[[#This Row],[Sub total]])*(0.1559325))</f>
        <v>188.93869118678626</v>
      </c>
      <c r="K1137" s="11">
        <v>0</v>
      </c>
      <c r="L1137" s="169">
        <f>Imput[[#This Row],[Sub total]]+Imput[[#This Row],[IVA]]-Imput[[#This Row],[Retención / IEPS / Descuento]]</f>
        <v>1400.6084276867862</v>
      </c>
      <c r="M1137" s="844">
        <v>0</v>
      </c>
      <c r="N1137" s="189" t="s">
        <v>123</v>
      </c>
      <c r="O1137" s="1"/>
      <c r="P1137" s="189" t="s">
        <v>3818</v>
      </c>
      <c r="Q1137" s="190" t="s">
        <v>3819</v>
      </c>
      <c r="R1137" s="188">
        <v>45961</v>
      </c>
      <c r="S1137" s="193" t="s">
        <v>215</v>
      </c>
      <c r="T1137" s="192"/>
      <c r="U1137" s="829"/>
      <c r="V1137" s="10"/>
      <c r="W1137" s="10"/>
      <c r="X1137" s="10"/>
      <c r="Y1137" s="10"/>
      <c r="Z1137" s="10"/>
      <c r="AA1137" s="11"/>
      <c r="AB1137" s="11"/>
    </row>
    <row r="1138" spans="2:28" x14ac:dyDescent="0.3">
      <c r="B1138" s="10" t="s">
        <v>396</v>
      </c>
      <c r="C1138" s="315" t="s">
        <v>1767</v>
      </c>
      <c r="D1138" s="868" t="s">
        <v>3684</v>
      </c>
      <c r="E1138" s="837" t="str">
        <f>IFERROR(IF(_xlfn.XLOOKUP(Imput[[#This Row],[RFC]],'Alta Proveedor'!D:D,'Alta Proveedor'!E:E)=0,"",_xlfn.XLOOKUP(Imput[[#This Row],[RFC]],'Alta Proveedor'!D:D,'Alta Proveedor'!E:E)),"")</f>
        <v>SERVICIOS PROFESIONALES GGA</v>
      </c>
      <c r="F1138" s="832" t="s">
        <v>237</v>
      </c>
      <c r="G1138" s="187">
        <v>57.997</v>
      </c>
      <c r="H1138" s="1">
        <v>20.759626999999998</v>
      </c>
      <c r="I1138" s="169">
        <f>Imput[[#This Row],[Cantidad]]*Imput[[#This Row],[Precio Unitario]]</f>
        <v>1203.9960871189999</v>
      </c>
      <c r="J1138" s="11">
        <f>((Imput[[#This Row],[Sub total]])*(0.1559325))</f>
        <v>187.74211985468344</v>
      </c>
      <c r="K1138" s="11">
        <v>0</v>
      </c>
      <c r="L1138" s="169">
        <f>Imput[[#This Row],[Sub total]]+Imput[[#This Row],[IVA]]-Imput[[#This Row],[Retención / IEPS / Descuento]]</f>
        <v>1391.7382069736832</v>
      </c>
      <c r="M1138" s="844">
        <v>0</v>
      </c>
      <c r="N1138" s="189" t="s">
        <v>123</v>
      </c>
      <c r="O1138" s="1"/>
      <c r="P1138" s="189" t="s">
        <v>3818</v>
      </c>
      <c r="Q1138" s="190" t="s">
        <v>3819</v>
      </c>
      <c r="R1138" s="188">
        <v>45961</v>
      </c>
      <c r="S1138" s="193" t="s">
        <v>215</v>
      </c>
      <c r="T1138" s="192"/>
      <c r="U1138" s="829"/>
      <c r="V1138" s="10"/>
      <c r="W1138" s="10"/>
      <c r="X1138" s="10"/>
      <c r="Y1138" s="10"/>
      <c r="Z1138" s="10"/>
      <c r="AA1138" s="11"/>
      <c r="AB1138" s="11"/>
    </row>
    <row r="1139" spans="2:28" x14ac:dyDescent="0.3">
      <c r="B1139" s="10" t="s">
        <v>396</v>
      </c>
      <c r="C1139" s="315" t="s">
        <v>1767</v>
      </c>
      <c r="D1139" s="868" t="s">
        <v>3684</v>
      </c>
      <c r="E1139" s="837" t="str">
        <f>IFERROR(IF(_xlfn.XLOOKUP(Imput[[#This Row],[RFC]],'Alta Proveedor'!D:D,'Alta Proveedor'!E:E)=0,"",_xlfn.XLOOKUP(Imput[[#This Row],[RFC]],'Alta Proveedor'!D:D,'Alta Proveedor'!E:E)),"")</f>
        <v>SERVICIOS PROFESIONALES GGA</v>
      </c>
      <c r="F1139" s="832" t="s">
        <v>237</v>
      </c>
      <c r="G1139" s="187">
        <v>62.526000000000003</v>
      </c>
      <c r="H1139" s="1">
        <v>20.759626999999998</v>
      </c>
      <c r="I1139" s="169">
        <f>Imput[[#This Row],[Cantidad]]*Imput[[#This Row],[Precio Unitario]]</f>
        <v>1298.0164378019999</v>
      </c>
      <c r="J1139" s="11">
        <f>((Imput[[#This Row],[Sub total]])*(0.1559325))</f>
        <v>202.40294818756036</v>
      </c>
      <c r="K1139" s="11">
        <v>0</v>
      </c>
      <c r="L1139" s="169">
        <f>Imput[[#This Row],[Sub total]]+Imput[[#This Row],[IVA]]-Imput[[#This Row],[Retención / IEPS / Descuento]]</f>
        <v>1500.4193859895604</v>
      </c>
      <c r="M1139" s="844">
        <v>0</v>
      </c>
      <c r="N1139" s="189" t="s">
        <v>123</v>
      </c>
      <c r="O1139" s="1"/>
      <c r="P1139" s="189" t="s">
        <v>3818</v>
      </c>
      <c r="Q1139" s="190" t="s">
        <v>3819</v>
      </c>
      <c r="R1139" s="188">
        <v>45961</v>
      </c>
      <c r="S1139" s="193" t="s">
        <v>215</v>
      </c>
      <c r="T1139" s="192"/>
      <c r="U1139" s="829"/>
      <c r="V1139" s="10"/>
      <c r="W1139" s="10"/>
      <c r="X1139" s="10"/>
      <c r="Y1139" s="10"/>
      <c r="Z1139" s="10"/>
      <c r="AA1139" s="11"/>
      <c r="AB1139" s="11"/>
    </row>
    <row r="1140" spans="2:28" x14ac:dyDescent="0.3">
      <c r="B1140" s="10" t="s">
        <v>396</v>
      </c>
      <c r="C1140" s="315" t="s">
        <v>1767</v>
      </c>
      <c r="D1140" s="868" t="s">
        <v>3684</v>
      </c>
      <c r="E1140" s="837" t="str">
        <f>IFERROR(IF(_xlfn.XLOOKUP(Imput[[#This Row],[RFC]],'Alta Proveedor'!D:D,'Alta Proveedor'!E:E)=0,"",_xlfn.XLOOKUP(Imput[[#This Row],[RFC]],'Alta Proveedor'!D:D,'Alta Proveedor'!E:E)),"")</f>
        <v>SERVICIOS PROFESIONALES GGA</v>
      </c>
      <c r="F1140" s="832" t="s">
        <v>237</v>
      </c>
      <c r="G1140" s="187">
        <v>53.747</v>
      </c>
      <c r="H1140" s="1">
        <v>20.759626999999998</v>
      </c>
      <c r="I1140" s="169">
        <f>Imput[[#This Row],[Cantidad]]*Imput[[#This Row],[Precio Unitario]]</f>
        <v>1115.7676723689999</v>
      </c>
      <c r="J1140" s="11">
        <f>((Imput[[#This Row],[Sub total]])*(0.1559325))</f>
        <v>173.98444257167907</v>
      </c>
      <c r="K1140" s="11">
        <v>0</v>
      </c>
      <c r="L1140" s="169">
        <f>Imput[[#This Row],[Sub total]]+Imput[[#This Row],[IVA]]-Imput[[#This Row],[Retención / IEPS / Descuento]]</f>
        <v>1289.7521149406789</v>
      </c>
      <c r="M1140" s="844">
        <v>0</v>
      </c>
      <c r="N1140" s="189" t="s">
        <v>123</v>
      </c>
      <c r="O1140" s="1"/>
      <c r="P1140" s="189" t="s">
        <v>3818</v>
      </c>
      <c r="Q1140" s="190" t="s">
        <v>3819</v>
      </c>
      <c r="R1140" s="188">
        <v>45961</v>
      </c>
      <c r="S1140" s="193" t="s">
        <v>215</v>
      </c>
      <c r="T1140" s="192"/>
      <c r="U1140" s="829"/>
      <c r="V1140" s="10"/>
      <c r="W1140" s="10"/>
      <c r="X1140" s="10"/>
      <c r="Y1140" s="10"/>
      <c r="Z1140" s="10"/>
      <c r="AA1140" s="11"/>
      <c r="AB1140" s="11"/>
    </row>
    <row r="1141" spans="2:28" x14ac:dyDescent="0.3">
      <c r="B1141" s="10" t="s">
        <v>396</v>
      </c>
      <c r="C1141" s="315" t="s">
        <v>1767</v>
      </c>
      <c r="D1141" s="868" t="s">
        <v>3684</v>
      </c>
      <c r="E1141" s="837" t="str">
        <f>IFERROR(IF(_xlfn.XLOOKUP(Imput[[#This Row],[RFC]],'Alta Proveedor'!D:D,'Alta Proveedor'!E:E)=0,"",_xlfn.XLOOKUP(Imput[[#This Row],[RFC]],'Alta Proveedor'!D:D,'Alta Proveedor'!E:E)),"")</f>
        <v>SERVICIOS PROFESIONALES GGA</v>
      </c>
      <c r="F1141" s="832" t="s">
        <v>237</v>
      </c>
      <c r="G1141" s="187">
        <v>72.512</v>
      </c>
      <c r="H1141" s="1">
        <v>20.759626999999998</v>
      </c>
      <c r="I1141" s="169">
        <f>Imput[[#This Row],[Cantidad]]*Imput[[#This Row],[Precio Unitario]]</f>
        <v>1505.3220730239998</v>
      </c>
      <c r="J1141" s="11">
        <f>((Imput[[#This Row],[Sub total]])*(0.1559325))</f>
        <v>234.72863415181484</v>
      </c>
      <c r="K1141" s="11">
        <v>0</v>
      </c>
      <c r="L1141" s="169">
        <f>Imput[[#This Row],[Sub total]]+Imput[[#This Row],[IVA]]-Imput[[#This Row],[Retención / IEPS / Descuento]]</f>
        <v>1740.0507071758148</v>
      </c>
      <c r="M1141" s="844">
        <v>0</v>
      </c>
      <c r="N1141" s="189" t="s">
        <v>123</v>
      </c>
      <c r="O1141" s="1"/>
      <c r="P1141" s="189" t="s">
        <v>3818</v>
      </c>
      <c r="Q1141" s="190" t="s">
        <v>3819</v>
      </c>
      <c r="R1141" s="188">
        <v>45961</v>
      </c>
      <c r="S1141" s="193" t="s">
        <v>215</v>
      </c>
      <c r="T1141" s="192"/>
      <c r="U1141" s="829"/>
      <c r="V1141" s="10"/>
      <c r="W1141" s="10"/>
      <c r="X1141" s="10"/>
      <c r="Y1141" s="10"/>
      <c r="Z1141" s="10"/>
      <c r="AA1141" s="11"/>
      <c r="AB1141" s="11"/>
    </row>
    <row r="1142" spans="2:28" x14ac:dyDescent="0.3">
      <c r="B1142" s="10" t="s">
        <v>396</v>
      </c>
      <c r="C1142" s="315" t="s">
        <v>1767</v>
      </c>
      <c r="D1142" s="868" t="s">
        <v>3684</v>
      </c>
      <c r="E1142" s="837" t="str">
        <f>IFERROR(IF(_xlfn.XLOOKUP(Imput[[#This Row],[RFC]],'Alta Proveedor'!D:D,'Alta Proveedor'!E:E)=0,"",_xlfn.XLOOKUP(Imput[[#This Row],[RFC]],'Alta Proveedor'!D:D,'Alta Proveedor'!E:E)),"")</f>
        <v>SERVICIOS PROFESIONALES GGA</v>
      </c>
      <c r="F1142" s="832" t="s">
        <v>1114</v>
      </c>
      <c r="G1142" s="187">
        <v>53.545000000000002</v>
      </c>
      <c r="H1142" s="1">
        <v>22.987641</v>
      </c>
      <c r="I1142" s="169">
        <f>Imput[[#This Row],[Cantidad]]*Imput[[#This Row],[Precio Unitario]]</f>
        <v>1230.873237345</v>
      </c>
      <c r="J1142" s="11">
        <f>((Imput[[#This Row],[Sub total]])*(0.1559325))</f>
        <v>191.93314108229922</v>
      </c>
      <c r="K1142" s="11">
        <v>0</v>
      </c>
      <c r="L1142" s="169">
        <f>Imput[[#This Row],[Sub total]]+Imput[[#This Row],[IVA]]-Imput[[#This Row],[Retención / IEPS / Descuento]]</f>
        <v>1422.8063784272993</v>
      </c>
      <c r="M1142" s="844">
        <v>0</v>
      </c>
      <c r="N1142" s="189" t="s">
        <v>123</v>
      </c>
      <c r="O1142" s="1"/>
      <c r="P1142" s="189" t="s">
        <v>3818</v>
      </c>
      <c r="Q1142" s="190" t="s">
        <v>3819</v>
      </c>
      <c r="R1142" s="188">
        <v>45961</v>
      </c>
      <c r="S1142" s="193" t="s">
        <v>215</v>
      </c>
      <c r="T1142" s="192"/>
      <c r="U1142" s="829"/>
      <c r="V1142" s="10"/>
      <c r="W1142" s="10"/>
      <c r="X1142" s="10"/>
      <c r="Y1142" s="10"/>
      <c r="Z1142" s="10"/>
      <c r="AA1142" s="11"/>
      <c r="AB1142" s="11"/>
    </row>
    <row r="1143" spans="2:28" x14ac:dyDescent="0.3">
      <c r="B1143" s="10" t="s">
        <v>396</v>
      </c>
      <c r="C1143" s="315" t="s">
        <v>1767</v>
      </c>
      <c r="D1143" s="868" t="s">
        <v>3684</v>
      </c>
      <c r="E1143" s="837" t="str">
        <f>IFERROR(IF(_xlfn.XLOOKUP(Imput[[#This Row],[RFC]],'Alta Proveedor'!D:D,'Alta Proveedor'!E:E)=0,"",_xlfn.XLOOKUP(Imput[[#This Row],[RFC]],'Alta Proveedor'!D:D,'Alta Proveedor'!E:E)),"")</f>
        <v>SERVICIOS PROFESIONALES GGA</v>
      </c>
      <c r="F1143" s="832" t="s">
        <v>1114</v>
      </c>
      <c r="G1143" s="187">
        <v>69.186999999999998</v>
      </c>
      <c r="H1143" s="1">
        <v>22.987641</v>
      </c>
      <c r="I1143" s="169">
        <f>Imput[[#This Row],[Cantidad]]*Imput[[#This Row],[Precio Unitario]]</f>
        <v>1590.4459178669999</v>
      </c>
      <c r="J1143" s="11">
        <f>((Imput[[#This Row],[Sub total]])*(0.1559325))</f>
        <v>248.00220808779596</v>
      </c>
      <c r="K1143" s="11">
        <v>0</v>
      </c>
      <c r="L1143" s="169">
        <f>Imput[[#This Row],[Sub total]]+Imput[[#This Row],[IVA]]-Imput[[#This Row],[Retención / IEPS / Descuento]]</f>
        <v>1838.4481259547958</v>
      </c>
      <c r="M1143" s="844">
        <v>0</v>
      </c>
      <c r="N1143" s="189" t="s">
        <v>123</v>
      </c>
      <c r="O1143" s="1"/>
      <c r="P1143" s="189" t="s">
        <v>3818</v>
      </c>
      <c r="Q1143" s="190" t="s">
        <v>3819</v>
      </c>
      <c r="R1143" s="188">
        <v>45961</v>
      </c>
      <c r="S1143" s="193" t="s">
        <v>215</v>
      </c>
      <c r="T1143" s="192"/>
      <c r="U1143" s="829"/>
      <c r="V1143" s="10"/>
      <c r="W1143" s="10"/>
      <c r="X1143" s="10"/>
      <c r="Y1143" s="10"/>
      <c r="Z1143" s="10"/>
      <c r="AA1143" s="11"/>
      <c r="AB1143" s="11"/>
    </row>
    <row r="1144" spans="2:28" x14ac:dyDescent="0.3">
      <c r="B1144" s="10" t="s">
        <v>396</v>
      </c>
      <c r="C1144" s="315" t="s">
        <v>1767</v>
      </c>
      <c r="D1144" s="868" t="s">
        <v>3684</v>
      </c>
      <c r="E1144" s="837" t="str">
        <f>IFERROR(IF(_xlfn.XLOOKUP(Imput[[#This Row],[RFC]],'Alta Proveedor'!D:D,'Alta Proveedor'!E:E)=0,"",_xlfn.XLOOKUP(Imput[[#This Row],[RFC]],'Alta Proveedor'!D:D,'Alta Proveedor'!E:E)),"")</f>
        <v>SERVICIOS PROFESIONALES GGA</v>
      </c>
      <c r="F1144" s="832" t="s">
        <v>1114</v>
      </c>
      <c r="G1144" s="187">
        <v>66.95</v>
      </c>
      <c r="H1144" s="1">
        <v>22.987641</v>
      </c>
      <c r="I1144" s="169">
        <f>Imput[[#This Row],[Cantidad]]*Imput[[#This Row],[Precio Unitario]]</f>
        <v>1539.0225649500001</v>
      </c>
      <c r="J1144" s="11">
        <f>((Imput[[#This Row],[Sub total]])*(0.1559325))</f>
        <v>239.98363610906588</v>
      </c>
      <c r="K1144" s="11">
        <v>0</v>
      </c>
      <c r="L1144" s="169">
        <f>Imput[[#This Row],[Sub total]]+Imput[[#This Row],[IVA]]-Imput[[#This Row],[Retención / IEPS / Descuento]]</f>
        <v>1779.0062010590659</v>
      </c>
      <c r="M1144" s="844">
        <v>0</v>
      </c>
      <c r="N1144" s="189" t="s">
        <v>123</v>
      </c>
      <c r="O1144" s="1"/>
      <c r="P1144" s="189" t="s">
        <v>3818</v>
      </c>
      <c r="Q1144" s="190" t="s">
        <v>3819</v>
      </c>
      <c r="R1144" s="188">
        <v>45961</v>
      </c>
      <c r="S1144" s="193" t="s">
        <v>215</v>
      </c>
      <c r="T1144" s="192"/>
      <c r="U1144" s="829"/>
      <c r="V1144" s="10"/>
      <c r="W1144" s="10"/>
      <c r="X1144" s="10"/>
      <c r="Y1144" s="10"/>
      <c r="Z1144" s="10"/>
      <c r="AA1144" s="11"/>
      <c r="AB1144" s="11"/>
    </row>
    <row r="1145" spans="2:28" x14ac:dyDescent="0.3">
      <c r="B1145" s="10" t="s">
        <v>396</v>
      </c>
      <c r="C1145" s="315" t="s">
        <v>1767</v>
      </c>
      <c r="D1145" s="868" t="s">
        <v>3684</v>
      </c>
      <c r="E1145" s="837" t="str">
        <f>IFERROR(IF(_xlfn.XLOOKUP(Imput[[#This Row],[RFC]],'Alta Proveedor'!D:D,'Alta Proveedor'!E:E)=0,"",_xlfn.XLOOKUP(Imput[[#This Row],[RFC]],'Alta Proveedor'!D:D,'Alta Proveedor'!E:E)),"")</f>
        <v>SERVICIOS PROFESIONALES GGA</v>
      </c>
      <c r="F1145" s="832" t="s">
        <v>1114</v>
      </c>
      <c r="G1145" s="187">
        <v>49.645000000000003</v>
      </c>
      <c r="H1145" s="1">
        <v>22.987641</v>
      </c>
      <c r="I1145" s="169">
        <f>Imput[[#This Row],[Cantidad]]*Imput[[#This Row],[Precio Unitario]]</f>
        <v>1141.221437445</v>
      </c>
      <c r="J1145" s="11">
        <f>((Imput[[#This Row],[Sub total]])*(0.1559325))</f>
        <v>177.95351179439245</v>
      </c>
      <c r="K1145" s="11">
        <v>0</v>
      </c>
      <c r="L1145" s="169">
        <f>Imput[[#This Row],[Sub total]]+Imput[[#This Row],[IVA]]-Imput[[#This Row],[Retención / IEPS / Descuento]]</f>
        <v>1319.1749492393924</v>
      </c>
      <c r="M1145" s="844">
        <v>0</v>
      </c>
      <c r="N1145" s="189" t="s">
        <v>123</v>
      </c>
      <c r="O1145" s="1"/>
      <c r="P1145" s="189" t="s">
        <v>3818</v>
      </c>
      <c r="Q1145" s="190" t="s">
        <v>3819</v>
      </c>
      <c r="R1145" s="188">
        <v>45961</v>
      </c>
      <c r="S1145" s="193" t="s">
        <v>215</v>
      </c>
      <c r="T1145" s="192"/>
      <c r="U1145" s="829"/>
      <c r="V1145" s="10"/>
      <c r="W1145" s="10"/>
      <c r="X1145" s="10"/>
      <c r="Y1145" s="10"/>
      <c r="Z1145" s="10"/>
      <c r="AA1145" s="11"/>
      <c r="AB1145" s="11"/>
    </row>
    <row r="1146" spans="2:28" x14ac:dyDescent="0.3">
      <c r="B1146" s="10" t="s">
        <v>396</v>
      </c>
      <c r="C1146" s="315" t="s">
        <v>1767</v>
      </c>
      <c r="D1146" s="868" t="s">
        <v>3684</v>
      </c>
      <c r="E1146" s="837" t="str">
        <f>IFERROR(IF(_xlfn.XLOOKUP(Imput[[#This Row],[RFC]],'Alta Proveedor'!D:D,'Alta Proveedor'!E:E)=0,"",_xlfn.XLOOKUP(Imput[[#This Row],[RFC]],'Alta Proveedor'!D:D,'Alta Proveedor'!E:E)),"")</f>
        <v>SERVICIOS PROFESIONALES GGA</v>
      </c>
      <c r="F1146" s="832" t="s">
        <v>1114</v>
      </c>
      <c r="G1146" s="187">
        <v>38.737000000000002</v>
      </c>
      <c r="H1146" s="1">
        <v>22.987641</v>
      </c>
      <c r="I1146" s="169">
        <f>Imput[[#This Row],[Cantidad]]*Imput[[#This Row],[Precio Unitario]]</f>
        <v>890.47224941700006</v>
      </c>
      <c r="J1146" s="11">
        <f>((Imput[[#This Row],[Sub total]])*(0.1559325))</f>
        <v>138.85356403221635</v>
      </c>
      <c r="K1146" s="11">
        <v>0</v>
      </c>
      <c r="L1146" s="169">
        <f>Imput[[#This Row],[Sub total]]+Imput[[#This Row],[IVA]]-Imput[[#This Row],[Retención / IEPS / Descuento]]</f>
        <v>1029.3258134492164</v>
      </c>
      <c r="M1146" s="844">
        <v>0</v>
      </c>
      <c r="N1146" s="189" t="s">
        <v>123</v>
      </c>
      <c r="O1146" s="1"/>
      <c r="P1146" s="189" t="s">
        <v>3818</v>
      </c>
      <c r="Q1146" s="190" t="s">
        <v>3819</v>
      </c>
      <c r="R1146" s="188">
        <v>45961</v>
      </c>
      <c r="S1146" s="193" t="s">
        <v>215</v>
      </c>
      <c r="T1146" s="192"/>
      <c r="U1146" s="829"/>
      <c r="V1146" s="10"/>
      <c r="W1146" s="10"/>
      <c r="X1146" s="10"/>
      <c r="Y1146" s="10"/>
      <c r="Z1146" s="10"/>
      <c r="AA1146" s="11"/>
      <c r="AB1146" s="11"/>
    </row>
    <row r="1147" spans="2:28" x14ac:dyDescent="0.3">
      <c r="B1147" s="10" t="s">
        <v>396</v>
      </c>
      <c r="C1147" s="315" t="s">
        <v>1767</v>
      </c>
      <c r="D1147" s="868" t="s">
        <v>3684</v>
      </c>
      <c r="E1147" s="837" t="str">
        <f>IFERROR(IF(_xlfn.XLOOKUP(Imput[[#This Row],[RFC]],'Alta Proveedor'!D:D,'Alta Proveedor'!E:E)=0,"",_xlfn.XLOOKUP(Imput[[#This Row],[RFC]],'Alta Proveedor'!D:D,'Alta Proveedor'!E:E)),"")</f>
        <v>SERVICIOS PROFESIONALES GGA</v>
      </c>
      <c r="F1147" s="832" t="s">
        <v>1114</v>
      </c>
      <c r="G1147" s="187">
        <v>37.487000000000002</v>
      </c>
      <c r="H1147" s="1">
        <v>22.987641</v>
      </c>
      <c r="I1147" s="169">
        <f>Imput[[#This Row],[Cantidad]]*Imput[[#This Row],[Precio Unitario]]</f>
        <v>861.73769816700008</v>
      </c>
      <c r="J1147" s="11">
        <f>((Imput[[#This Row],[Sub total]])*(0.1559325))</f>
        <v>134.37291361942573</v>
      </c>
      <c r="K1147" s="11">
        <v>0</v>
      </c>
      <c r="L1147" s="169">
        <f>Imput[[#This Row],[Sub total]]+Imput[[#This Row],[IVA]]-Imput[[#This Row],[Retención / IEPS / Descuento]]</f>
        <v>996.11061178642581</v>
      </c>
      <c r="M1147" s="844">
        <v>0</v>
      </c>
      <c r="N1147" s="189" t="s">
        <v>123</v>
      </c>
      <c r="O1147" s="1"/>
      <c r="P1147" s="189" t="s">
        <v>3818</v>
      </c>
      <c r="Q1147" s="190" t="s">
        <v>3819</v>
      </c>
      <c r="R1147" s="188">
        <v>45961</v>
      </c>
      <c r="S1147" s="193" t="s">
        <v>215</v>
      </c>
      <c r="T1147" s="192"/>
      <c r="U1147" s="829"/>
      <c r="V1147" s="10"/>
      <c r="W1147" s="10"/>
      <c r="X1147" s="10"/>
      <c r="Y1147" s="10"/>
      <c r="Z1147" s="10"/>
      <c r="AA1147" s="11"/>
      <c r="AB1147" s="11"/>
    </row>
    <row r="1148" spans="2:28" x14ac:dyDescent="0.3">
      <c r="B1148" s="10" t="s">
        <v>396</v>
      </c>
      <c r="C1148" s="315" t="s">
        <v>1767</v>
      </c>
      <c r="D1148" s="868" t="s">
        <v>3684</v>
      </c>
      <c r="E1148" s="837" t="str">
        <f>IFERROR(IF(_xlfn.XLOOKUP(Imput[[#This Row],[RFC]],'Alta Proveedor'!D:D,'Alta Proveedor'!E:E)=0,"",_xlfn.XLOOKUP(Imput[[#This Row],[RFC]],'Alta Proveedor'!D:D,'Alta Proveedor'!E:E)),"")</f>
        <v>SERVICIOS PROFESIONALES GGA</v>
      </c>
      <c r="F1148" s="832" t="s">
        <v>1114</v>
      </c>
      <c r="G1148" s="187">
        <v>55.195</v>
      </c>
      <c r="H1148" s="1">
        <v>22.987641</v>
      </c>
      <c r="I1148" s="169">
        <f>Imput[[#This Row],[Cantidad]]*Imput[[#This Row],[Precio Unitario]]</f>
        <v>1268.802844995</v>
      </c>
      <c r="J1148" s="11">
        <f>((Imput[[#This Row],[Sub total]])*(0.1559325))</f>
        <v>197.84759962718283</v>
      </c>
      <c r="K1148" s="11">
        <v>0</v>
      </c>
      <c r="L1148" s="169">
        <f>Imput[[#This Row],[Sub total]]+Imput[[#This Row],[IVA]]-Imput[[#This Row],[Retención / IEPS / Descuento]]</f>
        <v>1466.6504446221829</v>
      </c>
      <c r="M1148" s="844">
        <v>0</v>
      </c>
      <c r="N1148" s="189" t="s">
        <v>123</v>
      </c>
      <c r="O1148" s="1"/>
      <c r="P1148" s="189" t="s">
        <v>3818</v>
      </c>
      <c r="Q1148" s="190" t="s">
        <v>3819</v>
      </c>
      <c r="R1148" s="188">
        <v>45961</v>
      </c>
      <c r="S1148" s="193" t="s">
        <v>215</v>
      </c>
      <c r="T1148" s="192"/>
      <c r="U1148" s="829"/>
      <c r="V1148" s="10"/>
      <c r="W1148" s="10"/>
      <c r="X1148" s="10"/>
      <c r="Y1148" s="10"/>
      <c r="Z1148" s="10"/>
      <c r="AA1148" s="11"/>
      <c r="AB1148" s="11"/>
    </row>
    <row r="1149" spans="2:28" x14ac:dyDescent="0.3">
      <c r="B1149" s="10" t="s">
        <v>396</v>
      </c>
      <c r="C1149" s="315"/>
      <c r="D1149" s="868" t="s">
        <v>164</v>
      </c>
      <c r="E1149" s="837" t="str">
        <f>IFERROR(IF(_xlfn.XLOOKUP(Imput[[#This Row],[RFC]],'Alta Proveedor'!D:D,'Alta Proveedor'!E:E)=0,"",_xlfn.XLOOKUP(Imput[[#This Row],[RFC]],'Alta Proveedor'!D:D,'Alta Proveedor'!E:E)),"")</f>
        <v>HOME DEPOT MEXICO SUCURSAL THD-8730 TAMPICO</v>
      </c>
      <c r="F1149" s="832" t="s">
        <v>3822</v>
      </c>
      <c r="G1149" s="187">
        <v>4</v>
      </c>
      <c r="H1149" s="1">
        <v>253.333</v>
      </c>
      <c r="I1149" s="169">
        <f>Imput[[#This Row],[Cantidad]]*Imput[[#This Row],[Precio Unitario]]</f>
        <v>1013.332</v>
      </c>
      <c r="J1149" s="11">
        <f>((Imput[[#This Row],[Sub total]])*(0.08))</f>
        <v>81.066559999999996</v>
      </c>
      <c r="K1149" s="11">
        <v>0</v>
      </c>
      <c r="L1149" s="169">
        <f>Imput[[#This Row],[Sub total]]+Imput[[#This Row],[IVA]]-Imput[[#This Row],[Retención / IEPS / Descuento]]</f>
        <v>1094.3985600000001</v>
      </c>
      <c r="M1149" s="844">
        <v>1094.3985600000001</v>
      </c>
      <c r="N1149" s="189" t="s">
        <v>123</v>
      </c>
      <c r="O1149" s="1"/>
      <c r="P1149" s="189" t="s">
        <v>3820</v>
      </c>
      <c r="Q1149" s="190" t="s">
        <v>3821</v>
      </c>
      <c r="R1149" s="188">
        <v>45964</v>
      </c>
      <c r="S1149" s="193" t="s">
        <v>126</v>
      </c>
      <c r="T1149" s="192"/>
      <c r="U1149" s="829"/>
      <c r="V1149" s="10"/>
      <c r="W1149" s="10"/>
      <c r="X1149" s="10"/>
      <c r="Y1149" s="10"/>
      <c r="Z1149" s="10"/>
      <c r="AA1149" s="11"/>
      <c r="AB1149" s="11"/>
    </row>
    <row r="1150" spans="2:28" x14ac:dyDescent="0.3">
      <c r="B1150" s="10" t="s">
        <v>396</v>
      </c>
      <c r="C1150" s="315"/>
      <c r="D1150" s="868" t="s">
        <v>1036</v>
      </c>
      <c r="E1150" s="837" t="str">
        <f>IFERROR(IF(_xlfn.XLOOKUP(Imput[[#This Row],[RFC]],'Alta Proveedor'!D:D,'Alta Proveedor'!E:E)=0,"",_xlfn.XLOOKUP(Imput[[#This Row],[RFC]],'Alta Proveedor'!D:D,'Alta Proveedor'!E:E)),"")</f>
        <v>AUTOZONE DE MEXICO</v>
      </c>
      <c r="F1150" s="832" t="s">
        <v>3827</v>
      </c>
      <c r="G1150" s="187">
        <v>1</v>
      </c>
      <c r="H1150" s="1">
        <v>323.14999999999998</v>
      </c>
      <c r="I1150" s="169">
        <f>Imput[[#This Row],[Cantidad]]*Imput[[#This Row],[Precio Unitario]]</f>
        <v>323.14999999999998</v>
      </c>
      <c r="J1150" s="11">
        <f>((Imput[[#This Row],[Sub total]])*(0.08))</f>
        <v>25.852</v>
      </c>
      <c r="K1150" s="11">
        <v>0</v>
      </c>
      <c r="L1150" s="169">
        <f>Imput[[#This Row],[Sub total]]+Imput[[#This Row],[IVA]]-Imput[[#This Row],[Retención / IEPS / Descuento]]</f>
        <v>349.00199999999995</v>
      </c>
      <c r="M1150" s="844">
        <v>349.00199999999995</v>
      </c>
      <c r="N1150" s="189" t="s">
        <v>123</v>
      </c>
      <c r="O1150" s="1"/>
      <c r="P1150" s="189" t="s">
        <v>3825</v>
      </c>
      <c r="Q1150" s="190" t="s">
        <v>3826</v>
      </c>
      <c r="R1150" s="188">
        <v>45966</v>
      </c>
      <c r="S1150" s="193" t="s">
        <v>126</v>
      </c>
      <c r="T1150" s="192"/>
      <c r="U1150" s="829"/>
      <c r="V1150" s="10"/>
      <c r="W1150" s="10"/>
      <c r="X1150" s="10"/>
      <c r="Y1150" s="10"/>
      <c r="Z1150" s="10"/>
      <c r="AA1150" s="11"/>
      <c r="AB1150" s="11"/>
    </row>
    <row r="1151" spans="2:28" x14ac:dyDescent="0.3">
      <c r="B1151" s="10" t="s">
        <v>396</v>
      </c>
      <c r="C1151" s="315"/>
      <c r="D1151" s="868" t="s">
        <v>3080</v>
      </c>
      <c r="E1151" s="837" t="str">
        <f>IFERROR(IF(_xlfn.XLOOKUP(Imput[[#This Row],[RFC]],'Alta Proveedor'!D:D,'Alta Proveedor'!E:E)=0,"",_xlfn.XLOOKUP(Imput[[#This Row],[RFC]],'Alta Proveedor'!D:D,'Alta Proveedor'!E:E)),"")</f>
        <v>CONCRETOS TANCOL</v>
      </c>
      <c r="F1151" s="832" t="s">
        <v>3830</v>
      </c>
      <c r="G1151" s="187">
        <v>6</v>
      </c>
      <c r="H1151" s="1">
        <v>3120.37</v>
      </c>
      <c r="I1151" s="169">
        <f>Imput[[#This Row],[Cantidad]]*Imput[[#This Row],[Precio Unitario]]</f>
        <v>18722.22</v>
      </c>
      <c r="J1151" s="11">
        <f>((Imput[[#This Row],[Sub total]])*(0.08))</f>
        <v>1497.7776000000001</v>
      </c>
      <c r="K1151" s="11">
        <v>0</v>
      </c>
      <c r="L1151" s="169">
        <f>Imput[[#This Row],[Sub total]]+Imput[[#This Row],[IVA]]-Imput[[#This Row],[Retención / IEPS / Descuento]]</f>
        <v>20219.997600000002</v>
      </c>
      <c r="M1151" s="844">
        <v>35384.995800000004</v>
      </c>
      <c r="N1151" s="189" t="s">
        <v>123</v>
      </c>
      <c r="O1151" s="1"/>
      <c r="P1151" s="189" t="s">
        <v>3828</v>
      </c>
      <c r="Q1151" s="190" t="s">
        <v>3829</v>
      </c>
      <c r="R1151" s="188">
        <v>45972</v>
      </c>
      <c r="S1151" s="193" t="s">
        <v>126</v>
      </c>
      <c r="T1151" s="192"/>
      <c r="U1151" s="829"/>
      <c r="V1151" s="10"/>
      <c r="W1151" s="10"/>
      <c r="X1151" s="10"/>
      <c r="Y1151" s="10"/>
      <c r="Z1151" s="10"/>
      <c r="AA1151" s="11"/>
      <c r="AB1151" s="11"/>
    </row>
    <row r="1152" spans="2:28" x14ac:dyDescent="0.3">
      <c r="B1152" s="10" t="s">
        <v>396</v>
      </c>
      <c r="C1152" s="315"/>
      <c r="D1152" s="868" t="s">
        <v>3080</v>
      </c>
      <c r="E1152" s="837" t="str">
        <f>IFERROR(IF(_xlfn.XLOOKUP(Imput[[#This Row],[RFC]],'Alta Proveedor'!D:D,'Alta Proveedor'!E:E)=0,"",_xlfn.XLOOKUP(Imput[[#This Row],[RFC]],'Alta Proveedor'!D:D,'Alta Proveedor'!E:E)),"")</f>
        <v>CONCRETOS TANCOL</v>
      </c>
      <c r="F1152" s="832" t="s">
        <v>3830</v>
      </c>
      <c r="G1152" s="187">
        <v>4.5</v>
      </c>
      <c r="H1152" s="1">
        <v>3120.37</v>
      </c>
      <c r="I1152" s="169">
        <f>Imput[[#This Row],[Cantidad]]*Imput[[#This Row],[Precio Unitario]]</f>
        <v>14041.664999999999</v>
      </c>
      <c r="J1152" s="11">
        <f>((Imput[[#This Row],[Sub total]])*(0.08))</f>
        <v>1123.3332</v>
      </c>
      <c r="K1152" s="11">
        <v>0</v>
      </c>
      <c r="L1152" s="169">
        <f>Imput[[#This Row],[Sub total]]+Imput[[#This Row],[IVA]]-Imput[[#This Row],[Retención / IEPS / Descuento]]</f>
        <v>15164.998199999998</v>
      </c>
      <c r="M1152" s="844">
        <v>0</v>
      </c>
      <c r="N1152" s="189" t="s">
        <v>123</v>
      </c>
      <c r="O1152" s="1"/>
      <c r="P1152" s="189" t="s">
        <v>3828</v>
      </c>
      <c r="Q1152" s="190" t="s">
        <v>3829</v>
      </c>
      <c r="R1152" s="188">
        <v>45972</v>
      </c>
      <c r="S1152" s="193" t="s">
        <v>126</v>
      </c>
      <c r="T1152" s="192"/>
      <c r="U1152" s="829"/>
      <c r="V1152" s="10"/>
      <c r="W1152" s="10"/>
      <c r="X1152" s="10"/>
      <c r="Y1152" s="10"/>
      <c r="Z1152" s="10"/>
      <c r="AA1152" s="11"/>
      <c r="AB1152" s="11"/>
    </row>
    <row r="1153" spans="2:28" x14ac:dyDescent="0.3">
      <c r="B1153" s="10" t="s">
        <v>396</v>
      </c>
      <c r="C1153" s="315"/>
      <c r="D1153" s="868" t="s">
        <v>3431</v>
      </c>
      <c r="E1153" s="837" t="str">
        <f>IFERROR(IF(_xlfn.XLOOKUP(Imput[[#This Row],[RFC]],'Alta Proveedor'!D:D,'Alta Proveedor'!E:E)=0,"",_xlfn.XLOOKUP(Imput[[#This Row],[RFC]],'Alta Proveedor'!D:D,'Alta Proveedor'!E:E)),"")</f>
        <v>CHUBB FIANZAS MONTERREY, ASEGURADORA DE CAUCION</v>
      </c>
      <c r="F1153" s="832" t="s">
        <v>3433</v>
      </c>
      <c r="G1153" s="187">
        <v>1</v>
      </c>
      <c r="H1153" s="1">
        <v>2660</v>
      </c>
      <c r="I1153" s="169">
        <f>Imput[[#This Row],[Cantidad]]*Imput[[#This Row],[Precio Unitario]]</f>
        <v>2660</v>
      </c>
      <c r="J1153" s="11">
        <f>((Imput[[#This Row],[Sub total]])*(0.16))</f>
        <v>425.6</v>
      </c>
      <c r="K1153" s="11">
        <v>0</v>
      </c>
      <c r="L1153" s="169">
        <f>Imput[[#This Row],[Sub total]]+Imput[[#This Row],[IVA]]-Imput[[#This Row],[Retención / IEPS / Descuento]]</f>
        <v>3085.6</v>
      </c>
      <c r="M1153" s="844">
        <v>6279.1959999999999</v>
      </c>
      <c r="N1153" s="189" t="s">
        <v>123</v>
      </c>
      <c r="O1153" s="1"/>
      <c r="P1153" s="189" t="s">
        <v>3831</v>
      </c>
      <c r="Q1153" s="190" t="s">
        <v>3832</v>
      </c>
      <c r="R1153" s="188">
        <v>45965</v>
      </c>
      <c r="S1153" s="193" t="s">
        <v>371</v>
      </c>
      <c r="T1153" s="192"/>
      <c r="U1153" s="829"/>
      <c r="V1153" s="10"/>
      <c r="W1153" s="10"/>
      <c r="X1153" s="10"/>
      <c r="Y1153" s="10"/>
      <c r="Z1153" s="10"/>
      <c r="AA1153" s="11"/>
      <c r="AB1153" s="11"/>
    </row>
    <row r="1154" spans="2:28" x14ac:dyDescent="0.3">
      <c r="B1154" s="10" t="s">
        <v>396</v>
      </c>
      <c r="C1154" s="315"/>
      <c r="D1154" s="868" t="s">
        <v>3431</v>
      </c>
      <c r="E1154" s="837" t="str">
        <f>IFERROR(IF(_xlfn.XLOOKUP(Imput[[#This Row],[RFC]],'Alta Proveedor'!D:D,'Alta Proveedor'!E:E)=0,"",_xlfn.XLOOKUP(Imput[[#This Row],[RFC]],'Alta Proveedor'!D:D,'Alta Proveedor'!E:E)),"")</f>
        <v>CHUBB FIANZAS MONTERREY, ASEGURADORA DE CAUCION</v>
      </c>
      <c r="F1154" s="832" t="s">
        <v>3434</v>
      </c>
      <c r="G1154" s="187">
        <v>1</v>
      </c>
      <c r="H1154" s="1">
        <v>2660</v>
      </c>
      <c r="I1154" s="169">
        <f>Imput[[#This Row],[Cantidad]]*Imput[[#This Row],[Precio Unitario]]</f>
        <v>2660</v>
      </c>
      <c r="J1154" s="11">
        <f>((Imput[[#This Row],[Sub total]])*(0.16))</f>
        <v>425.6</v>
      </c>
      <c r="K1154" s="11">
        <v>0</v>
      </c>
      <c r="L1154" s="169">
        <f>Imput[[#This Row],[Sub total]]+Imput[[#This Row],[IVA]]-Imput[[#This Row],[Retención / IEPS / Descuento]]</f>
        <v>3085.6</v>
      </c>
      <c r="M1154" s="844">
        <v>0</v>
      </c>
      <c r="N1154" s="189" t="s">
        <v>123</v>
      </c>
      <c r="O1154" s="1"/>
      <c r="P1154" s="189" t="s">
        <v>3831</v>
      </c>
      <c r="Q1154" s="190" t="s">
        <v>3832</v>
      </c>
      <c r="R1154" s="188">
        <v>45965</v>
      </c>
      <c r="S1154" s="193" t="s">
        <v>371</v>
      </c>
      <c r="T1154" s="192"/>
      <c r="U1154" s="829"/>
      <c r="V1154" s="10"/>
      <c r="W1154" s="10"/>
      <c r="X1154" s="10"/>
      <c r="Y1154" s="10"/>
      <c r="Z1154" s="10"/>
      <c r="AA1154" s="11"/>
      <c r="AB1154" s="11"/>
    </row>
    <row r="1155" spans="2:28" x14ac:dyDescent="0.3">
      <c r="B1155" s="10" t="s">
        <v>396</v>
      </c>
      <c r="C1155" s="315"/>
      <c r="D1155" s="868" t="s">
        <v>3431</v>
      </c>
      <c r="E1155" s="837" t="str">
        <f>IFERROR(IF(_xlfn.XLOOKUP(Imput[[#This Row],[RFC]],'Alta Proveedor'!D:D,'Alta Proveedor'!E:E)=0,"",_xlfn.XLOOKUP(Imput[[#This Row],[RFC]],'Alta Proveedor'!D:D,'Alta Proveedor'!E:E)),"")</f>
        <v>CHUBB FIANZAS MONTERREY, ASEGURADORA DE CAUCION</v>
      </c>
      <c r="F1155" s="832" t="s">
        <v>3435</v>
      </c>
      <c r="G1155" s="187">
        <v>1</v>
      </c>
      <c r="H1155" s="1">
        <v>93.1</v>
      </c>
      <c r="I1155" s="169">
        <f>Imput[[#This Row],[Cantidad]]*Imput[[#This Row],[Precio Unitario]]</f>
        <v>93.1</v>
      </c>
      <c r="J1155" s="11">
        <f>((Imput[[#This Row],[Sub total]])*(0.16))</f>
        <v>14.895999999999999</v>
      </c>
      <c r="K1155" s="11">
        <v>0</v>
      </c>
      <c r="L1155" s="169">
        <f>Imput[[#This Row],[Sub total]]+Imput[[#This Row],[IVA]]-Imput[[#This Row],[Retención / IEPS / Descuento]]</f>
        <v>107.996</v>
      </c>
      <c r="M1155" s="844">
        <v>0</v>
      </c>
      <c r="N1155" s="189" t="s">
        <v>123</v>
      </c>
      <c r="O1155" s="1"/>
      <c r="P1155" s="189" t="s">
        <v>3831</v>
      </c>
      <c r="Q1155" s="190" t="s">
        <v>3832</v>
      </c>
      <c r="R1155" s="188">
        <v>45965</v>
      </c>
      <c r="S1155" s="193" t="s">
        <v>371</v>
      </c>
      <c r="T1155" s="192"/>
      <c r="U1155" s="829"/>
      <c r="V1155" s="10"/>
      <c r="W1155" s="10"/>
      <c r="X1155" s="10"/>
      <c r="Y1155" s="10"/>
      <c r="Z1155" s="10"/>
      <c r="AA1155" s="11"/>
      <c r="AB1155" s="11"/>
    </row>
    <row r="1156" spans="2:28" x14ac:dyDescent="0.3">
      <c r="B1156" s="10" t="s">
        <v>396</v>
      </c>
      <c r="C1156" s="315"/>
      <c r="D1156" s="868" t="s">
        <v>3431</v>
      </c>
      <c r="E1156" s="837" t="str">
        <f>IFERROR(IF(_xlfn.XLOOKUP(Imput[[#This Row],[RFC]],'Alta Proveedor'!D:D,'Alta Proveedor'!E:E)=0,"",_xlfn.XLOOKUP(Imput[[#This Row],[RFC]],'Alta Proveedor'!D:D,'Alta Proveedor'!E:E)),"")</f>
        <v>CHUBB FIANZAS MONTERREY, ASEGURADORA DE CAUCION</v>
      </c>
      <c r="F1156" s="832" t="s">
        <v>3433</v>
      </c>
      <c r="G1156" s="187">
        <v>1</v>
      </c>
      <c r="H1156" s="1">
        <v>2660</v>
      </c>
      <c r="I1156" s="169">
        <f>Imput[[#This Row],[Cantidad]]*Imput[[#This Row],[Precio Unitario]]</f>
        <v>2660</v>
      </c>
      <c r="J1156" s="11">
        <f>((Imput[[#This Row],[Sub total]])*(0.16))</f>
        <v>425.6</v>
      </c>
      <c r="K1156" s="11">
        <v>0</v>
      </c>
      <c r="L1156" s="169">
        <f>Imput[[#This Row],[Sub total]]+Imput[[#This Row],[IVA]]-Imput[[#This Row],[Retención / IEPS / Descuento]]</f>
        <v>3085.6</v>
      </c>
      <c r="M1156" s="844">
        <v>6279.1959999999999</v>
      </c>
      <c r="N1156" s="189" t="s">
        <v>123</v>
      </c>
      <c r="O1156" s="1"/>
      <c r="P1156" s="189" t="s">
        <v>3833</v>
      </c>
      <c r="Q1156" s="190" t="s">
        <v>3834</v>
      </c>
      <c r="R1156" s="188">
        <v>45965</v>
      </c>
      <c r="S1156" s="193" t="s">
        <v>371</v>
      </c>
      <c r="T1156" s="192"/>
      <c r="U1156" s="829"/>
      <c r="V1156" s="10"/>
      <c r="W1156" s="10"/>
      <c r="X1156" s="10"/>
      <c r="Y1156" s="10"/>
      <c r="Z1156" s="10"/>
      <c r="AA1156" s="11"/>
      <c r="AB1156" s="11"/>
    </row>
    <row r="1157" spans="2:28" x14ac:dyDescent="0.3">
      <c r="B1157" s="10" t="s">
        <v>396</v>
      </c>
      <c r="C1157" s="315"/>
      <c r="D1157" s="868" t="s">
        <v>3431</v>
      </c>
      <c r="E1157" s="837" t="str">
        <f>IFERROR(IF(_xlfn.XLOOKUP(Imput[[#This Row],[RFC]],'Alta Proveedor'!D:D,'Alta Proveedor'!E:E)=0,"",_xlfn.XLOOKUP(Imput[[#This Row],[RFC]],'Alta Proveedor'!D:D,'Alta Proveedor'!E:E)),"")</f>
        <v>CHUBB FIANZAS MONTERREY, ASEGURADORA DE CAUCION</v>
      </c>
      <c r="F1157" s="832" t="s">
        <v>3434</v>
      </c>
      <c r="G1157" s="187">
        <v>1</v>
      </c>
      <c r="H1157" s="1">
        <v>2660</v>
      </c>
      <c r="I1157" s="169">
        <f>Imput[[#This Row],[Cantidad]]*Imput[[#This Row],[Precio Unitario]]</f>
        <v>2660</v>
      </c>
      <c r="J1157" s="11">
        <f>((Imput[[#This Row],[Sub total]])*(0.16))</f>
        <v>425.6</v>
      </c>
      <c r="K1157" s="11">
        <v>0</v>
      </c>
      <c r="L1157" s="169">
        <f>Imput[[#This Row],[Sub total]]+Imput[[#This Row],[IVA]]-Imput[[#This Row],[Retención / IEPS / Descuento]]</f>
        <v>3085.6</v>
      </c>
      <c r="M1157" s="844">
        <v>0</v>
      </c>
      <c r="N1157" s="189" t="s">
        <v>123</v>
      </c>
      <c r="O1157" s="1"/>
      <c r="P1157" s="189" t="s">
        <v>3833</v>
      </c>
      <c r="Q1157" s="190" t="s">
        <v>3834</v>
      </c>
      <c r="R1157" s="188">
        <v>45965</v>
      </c>
      <c r="S1157" s="193" t="s">
        <v>371</v>
      </c>
      <c r="T1157" s="192"/>
      <c r="U1157" s="829"/>
      <c r="V1157" s="10"/>
      <c r="W1157" s="10"/>
      <c r="X1157" s="10"/>
      <c r="Y1157" s="10"/>
      <c r="Z1157" s="10"/>
      <c r="AA1157" s="11"/>
      <c r="AB1157" s="11"/>
    </row>
    <row r="1158" spans="2:28" x14ac:dyDescent="0.3">
      <c r="B1158" s="10" t="s">
        <v>396</v>
      </c>
      <c r="C1158" s="315"/>
      <c r="D1158" s="868" t="s">
        <v>3431</v>
      </c>
      <c r="E1158" s="837" t="str">
        <f>IFERROR(IF(_xlfn.XLOOKUP(Imput[[#This Row],[RFC]],'Alta Proveedor'!D:D,'Alta Proveedor'!E:E)=0,"",_xlfn.XLOOKUP(Imput[[#This Row],[RFC]],'Alta Proveedor'!D:D,'Alta Proveedor'!E:E)),"")</f>
        <v>CHUBB FIANZAS MONTERREY, ASEGURADORA DE CAUCION</v>
      </c>
      <c r="F1158" s="832" t="s">
        <v>3435</v>
      </c>
      <c r="G1158" s="187">
        <v>1</v>
      </c>
      <c r="H1158" s="1">
        <v>93.1</v>
      </c>
      <c r="I1158" s="169">
        <f>Imput[[#This Row],[Cantidad]]*Imput[[#This Row],[Precio Unitario]]</f>
        <v>93.1</v>
      </c>
      <c r="J1158" s="11">
        <f>((Imput[[#This Row],[Sub total]])*(0.16))</f>
        <v>14.895999999999999</v>
      </c>
      <c r="K1158" s="11">
        <v>0</v>
      </c>
      <c r="L1158" s="169">
        <f>Imput[[#This Row],[Sub total]]+Imput[[#This Row],[IVA]]-Imput[[#This Row],[Retención / IEPS / Descuento]]</f>
        <v>107.996</v>
      </c>
      <c r="M1158" s="844">
        <v>0</v>
      </c>
      <c r="N1158" s="189" t="s">
        <v>123</v>
      </c>
      <c r="O1158" s="1"/>
      <c r="P1158" s="189" t="s">
        <v>3833</v>
      </c>
      <c r="Q1158" s="190" t="s">
        <v>3834</v>
      </c>
      <c r="R1158" s="188">
        <v>45965</v>
      </c>
      <c r="S1158" s="193" t="s">
        <v>371</v>
      </c>
      <c r="T1158" s="192"/>
      <c r="U1158" s="829"/>
      <c r="V1158" s="10"/>
      <c r="W1158" s="10"/>
      <c r="X1158" s="10"/>
      <c r="Y1158" s="10"/>
      <c r="Z1158" s="10"/>
      <c r="AA1158" s="11"/>
      <c r="AB1158" s="11"/>
    </row>
    <row r="1159" spans="2:28" x14ac:dyDescent="0.3">
      <c r="B1159" s="10" t="s">
        <v>396</v>
      </c>
      <c r="C1159" s="315"/>
      <c r="D1159" s="868" t="s">
        <v>3838</v>
      </c>
      <c r="E1159" s="837" t="str">
        <f>IFERROR(IF(_xlfn.XLOOKUP(Imput[[#This Row],[RFC]],'Alta Proveedor'!D:D,'Alta Proveedor'!E:E)=0,"",_xlfn.XLOOKUP(Imput[[#This Row],[RFC]],'Alta Proveedor'!D:D,'Alta Proveedor'!E:E)),"")</f>
        <v>FRENOS Y SUSPENSIONES RODRIGUEZ, S.A. DE C.V.</v>
      </c>
      <c r="F1159" s="832" t="s">
        <v>3839</v>
      </c>
      <c r="G1159" s="187">
        <v>10</v>
      </c>
      <c r="H1159" s="1">
        <v>30</v>
      </c>
      <c r="I1159" s="169">
        <f>Imput[[#This Row],[Cantidad]]*Imput[[#This Row],[Precio Unitario]]</f>
        <v>300</v>
      </c>
      <c r="J1159" s="11">
        <f>((Imput[[#This Row],[Sub total]]-60)*(0.08))</f>
        <v>19.2</v>
      </c>
      <c r="K1159" s="11">
        <v>60</v>
      </c>
      <c r="L1159" s="169">
        <f>Imput[[#This Row],[Sub total]]+Imput[[#This Row],[IVA]]-Imput[[#This Row],[Retención / IEPS / Descuento]]</f>
        <v>259.2</v>
      </c>
      <c r="M1159" s="844">
        <v>279.50399999999996</v>
      </c>
      <c r="N1159" s="189" t="s">
        <v>123</v>
      </c>
      <c r="O1159" s="1"/>
      <c r="P1159" s="189" t="s">
        <v>3835</v>
      </c>
      <c r="Q1159" s="190" t="s">
        <v>3836</v>
      </c>
      <c r="R1159" s="188">
        <v>45966</v>
      </c>
      <c r="S1159" s="193" t="s">
        <v>126</v>
      </c>
      <c r="T1159" s="192"/>
      <c r="U1159" s="829"/>
      <c r="V1159" s="10"/>
      <c r="W1159" s="10"/>
      <c r="X1159" s="10"/>
      <c r="Y1159" s="10"/>
      <c r="Z1159" s="10"/>
      <c r="AA1159" s="11"/>
      <c r="AB1159" s="11"/>
    </row>
    <row r="1160" spans="2:28" x14ac:dyDescent="0.3">
      <c r="B1160" s="10" t="s">
        <v>396</v>
      </c>
      <c r="C1160" s="315"/>
      <c r="D1160" s="868" t="s">
        <v>3838</v>
      </c>
      <c r="E1160" s="837" t="str">
        <f>IFERROR(IF(_xlfn.XLOOKUP(Imput[[#This Row],[RFC]],'Alta Proveedor'!D:D,'Alta Proveedor'!E:E)=0,"",_xlfn.XLOOKUP(Imput[[#This Row],[RFC]],'Alta Proveedor'!D:D,'Alta Proveedor'!E:E)),"")</f>
        <v>FRENOS Y SUSPENSIONES RODRIGUEZ, S.A. DE C.V.</v>
      </c>
      <c r="F1160" s="832" t="s">
        <v>3840</v>
      </c>
      <c r="G1160" s="187">
        <v>1</v>
      </c>
      <c r="H1160" s="1">
        <v>17.5</v>
      </c>
      <c r="I1160" s="169">
        <f>Imput[[#This Row],[Cantidad]]*Imput[[#This Row],[Precio Unitario]]</f>
        <v>17.5</v>
      </c>
      <c r="J1160" s="11">
        <f>((Imput[[#This Row],[Sub total]]-3.5)*(0.08))</f>
        <v>1.1200000000000001</v>
      </c>
      <c r="K1160" s="11">
        <v>3.5</v>
      </c>
      <c r="L1160" s="169">
        <f>Imput[[#This Row],[Sub total]]+Imput[[#This Row],[IVA]]-Imput[[#This Row],[Retención / IEPS / Descuento]]</f>
        <v>15.120000000000001</v>
      </c>
      <c r="M1160" s="844">
        <v>0</v>
      </c>
      <c r="N1160" s="189" t="s">
        <v>123</v>
      </c>
      <c r="O1160" s="1"/>
      <c r="P1160" s="189" t="s">
        <v>3835</v>
      </c>
      <c r="Q1160" s="190" t="s">
        <v>3836</v>
      </c>
      <c r="R1160" s="188">
        <v>45966</v>
      </c>
      <c r="S1160" s="193" t="s">
        <v>126</v>
      </c>
      <c r="T1160" s="192"/>
      <c r="U1160" s="829"/>
      <c r="V1160" s="10"/>
      <c r="W1160" s="10"/>
      <c r="X1160" s="10"/>
      <c r="Y1160" s="10"/>
      <c r="Z1160" s="10"/>
      <c r="AA1160" s="11"/>
      <c r="AB1160" s="11"/>
    </row>
    <row r="1161" spans="2:28" x14ac:dyDescent="0.3">
      <c r="B1161" s="10" t="s">
        <v>396</v>
      </c>
      <c r="C1161" s="315"/>
      <c r="D1161" s="868" t="s">
        <v>3838</v>
      </c>
      <c r="E1161" s="837" t="str">
        <f>IFERROR(IF(_xlfn.XLOOKUP(Imput[[#This Row],[RFC]],'Alta Proveedor'!D:D,'Alta Proveedor'!E:E)=0,"",_xlfn.XLOOKUP(Imput[[#This Row],[RFC]],'Alta Proveedor'!D:D,'Alta Proveedor'!E:E)),"")</f>
        <v>FRENOS Y SUSPENSIONES RODRIGUEZ, S.A. DE C.V.</v>
      </c>
      <c r="F1161" s="832" t="s">
        <v>3841</v>
      </c>
      <c r="G1161" s="187">
        <v>1</v>
      </c>
      <c r="H1161" s="1">
        <v>3</v>
      </c>
      <c r="I1161" s="169">
        <f>Imput[[#This Row],[Cantidad]]*Imput[[#This Row],[Precio Unitario]]</f>
        <v>3</v>
      </c>
      <c r="J1161" s="11">
        <f>((Imput[[#This Row],[Sub total]]-0.6)*(0.08))</f>
        <v>0.192</v>
      </c>
      <c r="K1161" s="11">
        <v>0.6</v>
      </c>
      <c r="L1161" s="169">
        <f>Imput[[#This Row],[Sub total]]+Imput[[#This Row],[IVA]]-Imput[[#This Row],[Retención / IEPS / Descuento]]</f>
        <v>2.5920000000000001</v>
      </c>
      <c r="M1161" s="844">
        <v>0</v>
      </c>
      <c r="N1161" s="189" t="s">
        <v>123</v>
      </c>
      <c r="O1161" s="1"/>
      <c r="P1161" s="189" t="s">
        <v>3835</v>
      </c>
      <c r="Q1161" s="190" t="s">
        <v>3836</v>
      </c>
      <c r="R1161" s="188">
        <v>45966</v>
      </c>
      <c r="S1161" s="193" t="s">
        <v>126</v>
      </c>
      <c r="T1161" s="192"/>
      <c r="U1161" s="829"/>
      <c r="V1161" s="10"/>
      <c r="W1161" s="10"/>
      <c r="X1161" s="10"/>
      <c r="Y1161" s="10"/>
      <c r="Z1161" s="10"/>
      <c r="AA1161" s="11"/>
      <c r="AB1161" s="11"/>
    </row>
    <row r="1162" spans="2:28" x14ac:dyDescent="0.3">
      <c r="B1162" s="10" t="s">
        <v>396</v>
      </c>
      <c r="C1162" s="315"/>
      <c r="D1162" s="868" t="s">
        <v>3838</v>
      </c>
      <c r="E1162" s="837" t="str">
        <f>IFERROR(IF(_xlfn.XLOOKUP(Imput[[#This Row],[RFC]],'Alta Proveedor'!D:D,'Alta Proveedor'!E:E)=0,"",_xlfn.XLOOKUP(Imput[[#This Row],[RFC]],'Alta Proveedor'!D:D,'Alta Proveedor'!E:E)),"")</f>
        <v>FRENOS Y SUSPENSIONES RODRIGUEZ, S.A. DE C.V.</v>
      </c>
      <c r="F1162" s="832" t="s">
        <v>3842</v>
      </c>
      <c r="G1162" s="187">
        <v>2</v>
      </c>
      <c r="H1162" s="1">
        <v>1.5</v>
      </c>
      <c r="I1162" s="169">
        <f>Imput[[#This Row],[Cantidad]]*Imput[[#This Row],[Precio Unitario]]</f>
        <v>3</v>
      </c>
      <c r="J1162" s="11">
        <f>((Imput[[#This Row],[Sub total]]-0.6)*(0.08))</f>
        <v>0.192</v>
      </c>
      <c r="K1162" s="11">
        <v>0.6</v>
      </c>
      <c r="L1162" s="169">
        <f>Imput[[#This Row],[Sub total]]+Imput[[#This Row],[IVA]]-Imput[[#This Row],[Retención / IEPS / Descuento]]</f>
        <v>2.5920000000000001</v>
      </c>
      <c r="M1162" s="844">
        <v>0</v>
      </c>
      <c r="N1162" s="189" t="s">
        <v>123</v>
      </c>
      <c r="O1162" s="1"/>
      <c r="P1162" s="189" t="s">
        <v>3835</v>
      </c>
      <c r="Q1162" s="190" t="s">
        <v>3836</v>
      </c>
      <c r="R1162" s="188">
        <v>45966</v>
      </c>
      <c r="S1162" s="193" t="s">
        <v>126</v>
      </c>
      <c r="T1162" s="192"/>
      <c r="U1162" s="829"/>
      <c r="V1162" s="10"/>
      <c r="W1162" s="10"/>
      <c r="X1162" s="10"/>
      <c r="Y1162" s="10"/>
      <c r="Z1162" s="10"/>
      <c r="AA1162" s="11"/>
      <c r="AB1162" s="11"/>
    </row>
    <row r="1163" spans="2:28" x14ac:dyDescent="0.3">
      <c r="B1163" s="10" t="s">
        <v>396</v>
      </c>
      <c r="C1163" s="315"/>
      <c r="D1163" s="868" t="s">
        <v>3845</v>
      </c>
      <c r="E1163" s="837" t="str">
        <f>IFERROR(IF(_xlfn.XLOOKUP(Imput[[#This Row],[RFC]],'Alta Proveedor'!D:D,'Alta Proveedor'!E:E)=0,"",_xlfn.XLOOKUP(Imput[[#This Row],[RFC]],'Alta Proveedor'!D:D,'Alta Proveedor'!E:E)),"")</f>
        <v>HOME DEPOT MEXICO SUCURSAL 8644-MATAMOROS</v>
      </c>
      <c r="F1163" s="832" t="s">
        <v>3847</v>
      </c>
      <c r="G1163" s="187">
        <v>10</v>
      </c>
      <c r="H1163" s="1">
        <v>29.027999999999999</v>
      </c>
      <c r="I1163" s="169">
        <f>Imput[[#This Row],[Cantidad]]*Imput[[#This Row],[Precio Unitario]]</f>
        <v>290.27999999999997</v>
      </c>
      <c r="J1163" s="11">
        <f>((Imput[[#This Row],[Sub total]])*(0.08))</f>
        <v>23.222399999999997</v>
      </c>
      <c r="K1163" s="11">
        <v>0</v>
      </c>
      <c r="L1163" s="169">
        <f>Imput[[#This Row],[Sub total]]+Imput[[#This Row],[IVA]]-Imput[[#This Row],[Retención / IEPS / Descuento]]</f>
        <v>313.50239999999997</v>
      </c>
      <c r="M1163" s="844">
        <v>2363.8391999999999</v>
      </c>
      <c r="N1163" s="189" t="s">
        <v>123</v>
      </c>
      <c r="O1163" s="1"/>
      <c r="P1163" s="189" t="s">
        <v>3843</v>
      </c>
      <c r="Q1163" s="190" t="s">
        <v>3844</v>
      </c>
      <c r="R1163" s="188">
        <v>45971</v>
      </c>
      <c r="S1163" s="193" t="s">
        <v>126</v>
      </c>
      <c r="T1163" s="192"/>
      <c r="U1163" s="829"/>
      <c r="V1163" s="10"/>
      <c r="W1163" s="10"/>
      <c r="X1163" s="10"/>
      <c r="Y1163" s="10"/>
      <c r="Z1163" s="10"/>
      <c r="AA1163" s="11"/>
      <c r="AB1163" s="11"/>
    </row>
    <row r="1164" spans="2:28" x14ac:dyDescent="0.3">
      <c r="B1164" s="10" t="s">
        <v>396</v>
      </c>
      <c r="C1164" s="315"/>
      <c r="D1164" s="868" t="s">
        <v>3845</v>
      </c>
      <c r="E1164" s="837" t="str">
        <f>IFERROR(IF(_xlfn.XLOOKUP(Imput[[#This Row],[RFC]],'Alta Proveedor'!D:D,'Alta Proveedor'!E:E)=0,"",_xlfn.XLOOKUP(Imput[[#This Row],[RFC]],'Alta Proveedor'!D:D,'Alta Proveedor'!E:E)),"")</f>
        <v>HOME DEPOT MEXICO SUCURSAL 8644-MATAMOROS</v>
      </c>
      <c r="F1164" s="832" t="s">
        <v>3848</v>
      </c>
      <c r="G1164" s="187">
        <v>10</v>
      </c>
      <c r="H1164" s="1">
        <v>14.074</v>
      </c>
      <c r="I1164" s="169">
        <f>Imput[[#This Row],[Cantidad]]*Imput[[#This Row],[Precio Unitario]]</f>
        <v>140.74</v>
      </c>
      <c r="J1164" s="11">
        <f>((Imput[[#This Row],[Sub total]])*(0.08))</f>
        <v>11.259200000000002</v>
      </c>
      <c r="K1164" s="11">
        <v>0</v>
      </c>
      <c r="L1164" s="169">
        <f>Imput[[#This Row],[Sub total]]+Imput[[#This Row],[IVA]]-Imput[[#This Row],[Retención / IEPS / Descuento]]</f>
        <v>151.9992</v>
      </c>
      <c r="M1164" s="844">
        <v>0</v>
      </c>
      <c r="N1164" s="189" t="s">
        <v>123</v>
      </c>
      <c r="O1164" s="1"/>
      <c r="P1164" s="189" t="s">
        <v>3843</v>
      </c>
      <c r="Q1164" s="190" t="s">
        <v>3844</v>
      </c>
      <c r="R1164" s="188">
        <v>45971</v>
      </c>
      <c r="S1164" s="193" t="s">
        <v>126</v>
      </c>
      <c r="T1164" s="192"/>
      <c r="U1164" s="829"/>
      <c r="V1164" s="10"/>
      <c r="W1164" s="10"/>
      <c r="X1164" s="10"/>
      <c r="Y1164" s="10"/>
      <c r="Z1164" s="10"/>
      <c r="AA1164" s="11"/>
      <c r="AB1164" s="11"/>
    </row>
    <row r="1165" spans="2:28" x14ac:dyDescent="0.3">
      <c r="B1165" s="10" t="s">
        <v>396</v>
      </c>
      <c r="C1165" s="315"/>
      <c r="D1165" s="868" t="s">
        <v>3845</v>
      </c>
      <c r="E1165" s="837" t="str">
        <f>IFERROR(IF(_xlfn.XLOOKUP(Imput[[#This Row],[RFC]],'Alta Proveedor'!D:D,'Alta Proveedor'!E:E)=0,"",_xlfn.XLOOKUP(Imput[[#This Row],[RFC]],'Alta Proveedor'!D:D,'Alta Proveedor'!E:E)),"")</f>
        <v>HOME DEPOT MEXICO SUCURSAL 8644-MATAMOROS</v>
      </c>
      <c r="F1165" s="832" t="s">
        <v>3849</v>
      </c>
      <c r="G1165" s="187">
        <v>5</v>
      </c>
      <c r="H1165" s="1">
        <f>351.85/Imput[[#This Row],[Cantidad]]</f>
        <v>70.37</v>
      </c>
      <c r="I1165" s="169">
        <f>Imput[[#This Row],[Cantidad]]*Imput[[#This Row],[Precio Unitario]]</f>
        <v>351.85</v>
      </c>
      <c r="J1165" s="11">
        <f>((Imput[[#This Row],[Sub total]]-35.18)*(0.08))</f>
        <v>25.333600000000001</v>
      </c>
      <c r="K1165" s="11">
        <v>35.18</v>
      </c>
      <c r="L1165" s="169">
        <f>Imput[[#This Row],[Sub total]]+Imput[[#This Row],[IVA]]-Imput[[#This Row],[Retención / IEPS / Descuento]]</f>
        <v>342.00360000000001</v>
      </c>
      <c r="M1165" s="844">
        <v>0</v>
      </c>
      <c r="N1165" s="189" t="s">
        <v>123</v>
      </c>
      <c r="O1165" s="1"/>
      <c r="P1165" s="189" t="s">
        <v>3843</v>
      </c>
      <c r="Q1165" s="190" t="s">
        <v>3844</v>
      </c>
      <c r="R1165" s="188">
        <v>45971</v>
      </c>
      <c r="S1165" s="193" t="s">
        <v>126</v>
      </c>
      <c r="T1165" s="192"/>
      <c r="U1165" s="829"/>
      <c r="V1165" s="10"/>
      <c r="W1165" s="10"/>
      <c r="X1165" s="10"/>
      <c r="Y1165" s="10"/>
      <c r="Z1165" s="10"/>
      <c r="AA1165" s="11"/>
      <c r="AB1165" s="11"/>
    </row>
    <row r="1166" spans="2:28" x14ac:dyDescent="0.3">
      <c r="B1166" s="10" t="s">
        <v>396</v>
      </c>
      <c r="C1166" s="315"/>
      <c r="D1166" s="868" t="s">
        <v>3845</v>
      </c>
      <c r="E1166" s="837" t="str">
        <f>IFERROR(IF(_xlfn.XLOOKUP(Imput[[#This Row],[RFC]],'Alta Proveedor'!D:D,'Alta Proveedor'!E:E)=0,"",_xlfn.XLOOKUP(Imput[[#This Row],[RFC]],'Alta Proveedor'!D:D,'Alta Proveedor'!E:E)),"")</f>
        <v>HOME DEPOT MEXICO SUCURSAL 8644-MATAMOROS</v>
      </c>
      <c r="F1166" s="832" t="s">
        <v>3850</v>
      </c>
      <c r="G1166" s="187">
        <v>5</v>
      </c>
      <c r="H1166" s="1">
        <f>185.19/Imput[[#This Row],[Cantidad]]</f>
        <v>37.037999999999997</v>
      </c>
      <c r="I1166" s="169">
        <f>Imput[[#This Row],[Cantidad]]*Imput[[#This Row],[Precio Unitario]]</f>
        <v>185.19</v>
      </c>
      <c r="J1166" s="11">
        <f>((Imput[[#This Row],[Sub total]]-18.52)*(0.08))</f>
        <v>13.333599999999999</v>
      </c>
      <c r="K1166" s="11">
        <v>18.52</v>
      </c>
      <c r="L1166" s="169">
        <f>Imput[[#This Row],[Sub total]]+Imput[[#This Row],[IVA]]-Imput[[#This Row],[Retención / IEPS / Descuento]]</f>
        <v>180.00359999999998</v>
      </c>
      <c r="M1166" s="844">
        <v>0</v>
      </c>
      <c r="N1166" s="189" t="s">
        <v>123</v>
      </c>
      <c r="O1166" s="1"/>
      <c r="P1166" s="189" t="s">
        <v>3843</v>
      </c>
      <c r="Q1166" s="190" t="s">
        <v>3844</v>
      </c>
      <c r="R1166" s="188">
        <v>45971</v>
      </c>
      <c r="S1166" s="193" t="s">
        <v>126</v>
      </c>
      <c r="T1166" s="192"/>
      <c r="U1166" s="829"/>
      <c r="V1166" s="10"/>
      <c r="W1166" s="10"/>
      <c r="X1166" s="10"/>
      <c r="Y1166" s="10"/>
      <c r="Z1166" s="10"/>
      <c r="AA1166" s="11"/>
      <c r="AB1166" s="11"/>
    </row>
    <row r="1167" spans="2:28" x14ac:dyDescent="0.3">
      <c r="B1167" s="10" t="s">
        <v>396</v>
      </c>
      <c r="C1167" s="315"/>
      <c r="D1167" s="868" t="s">
        <v>3845</v>
      </c>
      <c r="E1167" s="837" t="str">
        <f>IFERROR(IF(_xlfn.XLOOKUP(Imput[[#This Row],[RFC]],'Alta Proveedor'!D:D,'Alta Proveedor'!E:E)=0,"",_xlfn.XLOOKUP(Imput[[#This Row],[RFC]],'Alta Proveedor'!D:D,'Alta Proveedor'!E:E)),"")</f>
        <v>HOME DEPOT MEXICO SUCURSAL 8644-MATAMOROS</v>
      </c>
      <c r="F1167" s="832" t="s">
        <v>3851</v>
      </c>
      <c r="G1167" s="187">
        <v>2</v>
      </c>
      <c r="H1167" s="1">
        <f>125.22/Imput[[#This Row],[Cantidad]]</f>
        <v>62.61</v>
      </c>
      <c r="I1167" s="169">
        <f>Imput[[#This Row],[Cantidad]]*Imput[[#This Row],[Precio Unitario]]</f>
        <v>125.22</v>
      </c>
      <c r="J1167" s="11">
        <f>((Imput[[#This Row],[Sub total]])*(0.08))</f>
        <v>10.0176</v>
      </c>
      <c r="K1167" s="11">
        <v>0</v>
      </c>
      <c r="L1167" s="169">
        <f>Imput[[#This Row],[Sub total]]+Imput[[#This Row],[IVA]]-Imput[[#This Row],[Retención / IEPS / Descuento]]</f>
        <v>135.23759999999999</v>
      </c>
      <c r="M1167" s="844">
        <v>0</v>
      </c>
      <c r="N1167" s="189" t="s">
        <v>123</v>
      </c>
      <c r="O1167" s="1"/>
      <c r="P1167" s="189" t="s">
        <v>3843</v>
      </c>
      <c r="Q1167" s="190" t="s">
        <v>3844</v>
      </c>
      <c r="R1167" s="188">
        <v>45971</v>
      </c>
      <c r="S1167" s="193" t="s">
        <v>126</v>
      </c>
      <c r="T1167" s="192"/>
      <c r="U1167" s="829"/>
      <c r="V1167" s="10"/>
      <c r="W1167" s="10"/>
      <c r="X1167" s="10"/>
      <c r="Y1167" s="10"/>
      <c r="Z1167" s="10"/>
      <c r="AA1167" s="11"/>
      <c r="AB1167" s="11"/>
    </row>
    <row r="1168" spans="2:28" x14ac:dyDescent="0.3">
      <c r="B1168" s="10" t="s">
        <v>396</v>
      </c>
      <c r="C1168" s="315"/>
      <c r="D1168" s="868" t="s">
        <v>3845</v>
      </c>
      <c r="E1168" s="837" t="str">
        <f>IFERROR(IF(_xlfn.XLOOKUP(Imput[[#This Row],[RFC]],'Alta Proveedor'!D:D,'Alta Proveedor'!E:E)=0,"",_xlfn.XLOOKUP(Imput[[#This Row],[RFC]],'Alta Proveedor'!D:D,'Alta Proveedor'!E:E)),"")</f>
        <v>HOME DEPOT MEXICO SUCURSAL 8644-MATAMOROS</v>
      </c>
      <c r="F1168" s="832" t="s">
        <v>3852</v>
      </c>
      <c r="G1168" s="187">
        <v>1</v>
      </c>
      <c r="H1168" s="1">
        <f>176.94/Imput[[#This Row],[Cantidad]]</f>
        <v>176.94</v>
      </c>
      <c r="I1168" s="169">
        <f>Imput[[#This Row],[Cantidad]]*Imput[[#This Row],[Precio Unitario]]</f>
        <v>176.94</v>
      </c>
      <c r="J1168" s="11">
        <f>((Imput[[#This Row],[Sub total]])*(0.08))</f>
        <v>14.155200000000001</v>
      </c>
      <c r="K1168" s="11">
        <v>0</v>
      </c>
      <c r="L1168" s="169">
        <f>Imput[[#This Row],[Sub total]]+Imput[[#This Row],[IVA]]-Imput[[#This Row],[Retención / IEPS / Descuento]]</f>
        <v>191.09520000000001</v>
      </c>
      <c r="M1168" s="844">
        <v>0</v>
      </c>
      <c r="N1168" s="189" t="s">
        <v>123</v>
      </c>
      <c r="O1168" s="1"/>
      <c r="P1168" s="189" t="s">
        <v>3843</v>
      </c>
      <c r="Q1168" s="190" t="s">
        <v>3844</v>
      </c>
      <c r="R1168" s="188">
        <v>45971</v>
      </c>
      <c r="S1168" s="193" t="s">
        <v>126</v>
      </c>
      <c r="T1168" s="192"/>
      <c r="U1168" s="829"/>
      <c r="V1168" s="10"/>
      <c r="W1168" s="10"/>
      <c r="X1168" s="10"/>
      <c r="Y1168" s="10"/>
      <c r="Z1168" s="10"/>
      <c r="AA1168" s="11"/>
      <c r="AB1168" s="11"/>
    </row>
    <row r="1169" spans="2:28" x14ac:dyDescent="0.3">
      <c r="B1169" s="10" t="s">
        <v>396</v>
      </c>
      <c r="C1169" s="315"/>
      <c r="D1169" s="868" t="s">
        <v>3845</v>
      </c>
      <c r="E1169" s="837" t="str">
        <f>IFERROR(IF(_xlfn.XLOOKUP(Imput[[#This Row],[RFC]],'Alta Proveedor'!D:D,'Alta Proveedor'!E:E)=0,"",_xlfn.XLOOKUP(Imput[[#This Row],[RFC]],'Alta Proveedor'!D:D,'Alta Proveedor'!E:E)),"")</f>
        <v>HOME DEPOT MEXICO SUCURSAL 8644-MATAMOROS</v>
      </c>
      <c r="F1169" s="832" t="s">
        <v>3853</v>
      </c>
      <c r="G1169" s="187">
        <v>6</v>
      </c>
      <c r="H1169" s="1">
        <f>1083.33/Imput[[#This Row],[Cantidad]]</f>
        <v>180.55499999999998</v>
      </c>
      <c r="I1169" s="169">
        <f>Imput[[#This Row],[Cantidad]]*Imput[[#This Row],[Precio Unitario]]</f>
        <v>1083.33</v>
      </c>
      <c r="J1169" s="11">
        <f>((Imput[[#This Row],[Sub total]]-111.11)*(0.08))</f>
        <v>77.777599999999993</v>
      </c>
      <c r="K1169" s="11">
        <v>111.11</v>
      </c>
      <c r="L1169" s="169">
        <f>Imput[[#This Row],[Sub total]]+Imput[[#This Row],[IVA]]-Imput[[#This Row],[Retención / IEPS / Descuento]]</f>
        <v>1049.9975999999999</v>
      </c>
      <c r="M1169" s="844">
        <v>0</v>
      </c>
      <c r="N1169" s="189" t="s">
        <v>123</v>
      </c>
      <c r="O1169" s="1"/>
      <c r="P1169" s="189" t="s">
        <v>3843</v>
      </c>
      <c r="Q1169" s="190" t="s">
        <v>3844</v>
      </c>
      <c r="R1169" s="188">
        <v>45971</v>
      </c>
      <c r="S1169" s="193" t="s">
        <v>126</v>
      </c>
      <c r="T1169" s="192"/>
      <c r="U1169" s="829"/>
      <c r="V1169" s="10"/>
      <c r="W1169" s="10"/>
      <c r="X1169" s="10"/>
      <c r="Y1169" s="10"/>
      <c r="Z1169" s="10"/>
      <c r="AA1169" s="11"/>
      <c r="AB1169" s="11"/>
    </row>
    <row r="1170" spans="2:28" x14ac:dyDescent="0.3">
      <c r="B1170" s="10" t="s">
        <v>396</v>
      </c>
      <c r="C1170" s="315"/>
      <c r="D1170" s="868" t="s">
        <v>3845</v>
      </c>
      <c r="E1170" s="837" t="str">
        <f>IFERROR(IF(_xlfn.XLOOKUP(Imput[[#This Row],[RFC]],'Alta Proveedor'!D:D,'Alta Proveedor'!E:E)=0,"",_xlfn.XLOOKUP(Imput[[#This Row],[RFC]],'Alta Proveedor'!D:D,'Alta Proveedor'!E:E)),"")</f>
        <v>HOME DEPOT MEXICO SUCURSAL 8644-MATAMOROS</v>
      </c>
      <c r="F1170" s="832" t="s">
        <v>3847</v>
      </c>
      <c r="G1170" s="187">
        <v>10</v>
      </c>
      <c r="H1170" s="1">
        <v>29.027999999999999</v>
      </c>
      <c r="I1170" s="169">
        <f>Imput[[#This Row],[Cantidad]]*Imput[[#This Row],[Precio Unitario]]</f>
        <v>290.27999999999997</v>
      </c>
      <c r="J1170" s="11">
        <f>((Imput[[#This Row],[Sub total]])*(0.08))</f>
        <v>23.222399999999997</v>
      </c>
      <c r="K1170" s="11">
        <v>0</v>
      </c>
      <c r="L1170" s="169">
        <f>Imput[[#This Row],[Sub total]]+Imput[[#This Row],[IVA]]-Imput[[#This Row],[Retención / IEPS / Descuento]]</f>
        <v>313.50239999999997</v>
      </c>
      <c r="M1170" s="844">
        <v>2363.8391999999999</v>
      </c>
      <c r="N1170" s="189" t="s">
        <v>123</v>
      </c>
      <c r="O1170" s="1"/>
      <c r="P1170" s="189" t="s">
        <v>3854</v>
      </c>
      <c r="Q1170" s="190" t="s">
        <v>3855</v>
      </c>
      <c r="R1170" s="188">
        <v>45971</v>
      </c>
      <c r="S1170" s="193" t="s">
        <v>126</v>
      </c>
      <c r="T1170" s="192"/>
      <c r="U1170" s="829"/>
      <c r="V1170" s="10"/>
      <c r="W1170" s="10"/>
      <c r="X1170" s="10"/>
      <c r="Y1170" s="10"/>
      <c r="Z1170" s="10"/>
      <c r="AA1170" s="11"/>
      <c r="AB1170" s="11"/>
    </row>
    <row r="1171" spans="2:28" x14ac:dyDescent="0.3">
      <c r="B1171" s="10" t="s">
        <v>396</v>
      </c>
      <c r="C1171" s="315"/>
      <c r="D1171" s="868" t="s">
        <v>3845</v>
      </c>
      <c r="E1171" s="837" t="str">
        <f>IFERROR(IF(_xlfn.XLOOKUP(Imput[[#This Row],[RFC]],'Alta Proveedor'!D:D,'Alta Proveedor'!E:E)=0,"",_xlfn.XLOOKUP(Imput[[#This Row],[RFC]],'Alta Proveedor'!D:D,'Alta Proveedor'!E:E)),"")</f>
        <v>HOME DEPOT MEXICO SUCURSAL 8644-MATAMOROS</v>
      </c>
      <c r="F1171" s="832" t="s">
        <v>3848</v>
      </c>
      <c r="G1171" s="187">
        <v>10</v>
      </c>
      <c r="H1171" s="1">
        <v>14.074</v>
      </c>
      <c r="I1171" s="169">
        <f>Imput[[#This Row],[Cantidad]]*Imput[[#This Row],[Precio Unitario]]</f>
        <v>140.74</v>
      </c>
      <c r="J1171" s="11">
        <f>((Imput[[#This Row],[Sub total]])*(0.08))</f>
        <v>11.259200000000002</v>
      </c>
      <c r="K1171" s="11">
        <v>0</v>
      </c>
      <c r="L1171" s="169">
        <f>Imput[[#This Row],[Sub total]]+Imput[[#This Row],[IVA]]-Imput[[#This Row],[Retención / IEPS / Descuento]]</f>
        <v>151.9992</v>
      </c>
      <c r="M1171" s="844">
        <v>0</v>
      </c>
      <c r="N1171" s="189" t="s">
        <v>123</v>
      </c>
      <c r="O1171" s="1"/>
      <c r="P1171" s="189" t="s">
        <v>3854</v>
      </c>
      <c r="Q1171" s="190" t="s">
        <v>3855</v>
      </c>
      <c r="R1171" s="188">
        <v>45971</v>
      </c>
      <c r="S1171" s="193" t="s">
        <v>126</v>
      </c>
      <c r="T1171" s="192"/>
      <c r="U1171" s="829"/>
      <c r="V1171" s="10"/>
      <c r="W1171" s="10"/>
      <c r="X1171" s="10"/>
      <c r="Y1171" s="10"/>
      <c r="Z1171" s="10"/>
      <c r="AA1171" s="11"/>
      <c r="AB1171" s="11"/>
    </row>
    <row r="1172" spans="2:28" x14ac:dyDescent="0.3">
      <c r="B1172" s="10" t="s">
        <v>396</v>
      </c>
      <c r="C1172" s="315"/>
      <c r="D1172" s="868" t="s">
        <v>3845</v>
      </c>
      <c r="E1172" s="837" t="str">
        <f>IFERROR(IF(_xlfn.XLOOKUP(Imput[[#This Row],[RFC]],'Alta Proveedor'!D:D,'Alta Proveedor'!E:E)=0,"",_xlfn.XLOOKUP(Imput[[#This Row],[RFC]],'Alta Proveedor'!D:D,'Alta Proveedor'!E:E)),"")</f>
        <v>HOME DEPOT MEXICO SUCURSAL 8644-MATAMOROS</v>
      </c>
      <c r="F1172" s="832" t="s">
        <v>3849</v>
      </c>
      <c r="G1172" s="187">
        <v>5</v>
      </c>
      <c r="H1172" s="1">
        <f>351.85/Imput[[#This Row],[Cantidad]]</f>
        <v>70.37</v>
      </c>
      <c r="I1172" s="169">
        <f>Imput[[#This Row],[Cantidad]]*Imput[[#This Row],[Precio Unitario]]</f>
        <v>351.85</v>
      </c>
      <c r="J1172" s="11">
        <f>((Imput[[#This Row],[Sub total]]-35.18)*(0.08))</f>
        <v>25.333600000000001</v>
      </c>
      <c r="K1172" s="11">
        <v>35.18</v>
      </c>
      <c r="L1172" s="169">
        <f>Imput[[#This Row],[Sub total]]+Imput[[#This Row],[IVA]]-Imput[[#This Row],[Retención / IEPS / Descuento]]</f>
        <v>342.00360000000001</v>
      </c>
      <c r="M1172" s="844">
        <v>0</v>
      </c>
      <c r="N1172" s="189" t="s">
        <v>123</v>
      </c>
      <c r="O1172" s="1"/>
      <c r="P1172" s="189" t="s">
        <v>3854</v>
      </c>
      <c r="Q1172" s="190" t="s">
        <v>3855</v>
      </c>
      <c r="R1172" s="188">
        <v>45971</v>
      </c>
      <c r="S1172" s="193" t="s">
        <v>126</v>
      </c>
      <c r="T1172" s="192"/>
      <c r="U1172" s="829"/>
      <c r="V1172" s="10"/>
      <c r="W1172" s="10"/>
      <c r="X1172" s="10"/>
      <c r="Y1172" s="10"/>
      <c r="Z1172" s="10"/>
      <c r="AA1172" s="11"/>
      <c r="AB1172" s="11"/>
    </row>
    <row r="1173" spans="2:28" x14ac:dyDescent="0.3">
      <c r="B1173" s="10" t="s">
        <v>396</v>
      </c>
      <c r="C1173" s="315"/>
      <c r="D1173" s="868" t="s">
        <v>3845</v>
      </c>
      <c r="E1173" s="837" t="str">
        <f>IFERROR(IF(_xlfn.XLOOKUP(Imput[[#This Row],[RFC]],'Alta Proveedor'!D:D,'Alta Proveedor'!E:E)=0,"",_xlfn.XLOOKUP(Imput[[#This Row],[RFC]],'Alta Proveedor'!D:D,'Alta Proveedor'!E:E)),"")</f>
        <v>HOME DEPOT MEXICO SUCURSAL 8644-MATAMOROS</v>
      </c>
      <c r="F1173" s="832" t="s">
        <v>3850</v>
      </c>
      <c r="G1173" s="187">
        <v>5</v>
      </c>
      <c r="H1173" s="1">
        <f>185.19/Imput[[#This Row],[Cantidad]]</f>
        <v>37.037999999999997</v>
      </c>
      <c r="I1173" s="169">
        <f>Imput[[#This Row],[Cantidad]]*Imput[[#This Row],[Precio Unitario]]</f>
        <v>185.19</v>
      </c>
      <c r="J1173" s="11">
        <f>((Imput[[#This Row],[Sub total]]-18.52)*(0.08))</f>
        <v>13.333599999999999</v>
      </c>
      <c r="K1173" s="11">
        <v>18.52</v>
      </c>
      <c r="L1173" s="169">
        <f>Imput[[#This Row],[Sub total]]+Imput[[#This Row],[IVA]]-Imput[[#This Row],[Retención / IEPS / Descuento]]</f>
        <v>180.00359999999998</v>
      </c>
      <c r="M1173" s="844">
        <v>0</v>
      </c>
      <c r="N1173" s="189" t="s">
        <v>123</v>
      </c>
      <c r="O1173" s="1"/>
      <c r="P1173" s="189" t="s">
        <v>3854</v>
      </c>
      <c r="Q1173" s="190" t="s">
        <v>3855</v>
      </c>
      <c r="R1173" s="188">
        <v>45971</v>
      </c>
      <c r="S1173" s="193" t="s">
        <v>126</v>
      </c>
      <c r="T1173" s="192"/>
      <c r="U1173" s="829"/>
      <c r="V1173" s="10"/>
      <c r="W1173" s="10"/>
      <c r="X1173" s="10"/>
      <c r="Y1173" s="10"/>
      <c r="Z1173" s="10"/>
      <c r="AA1173" s="11"/>
      <c r="AB1173" s="11"/>
    </row>
    <row r="1174" spans="2:28" x14ac:dyDescent="0.3">
      <c r="B1174" s="10" t="s">
        <v>396</v>
      </c>
      <c r="C1174" s="315"/>
      <c r="D1174" s="868" t="s">
        <v>3845</v>
      </c>
      <c r="E1174" s="837" t="str">
        <f>IFERROR(IF(_xlfn.XLOOKUP(Imput[[#This Row],[RFC]],'Alta Proveedor'!D:D,'Alta Proveedor'!E:E)=0,"",_xlfn.XLOOKUP(Imput[[#This Row],[RFC]],'Alta Proveedor'!D:D,'Alta Proveedor'!E:E)),"")</f>
        <v>HOME DEPOT MEXICO SUCURSAL 8644-MATAMOROS</v>
      </c>
      <c r="F1174" s="832" t="s">
        <v>3851</v>
      </c>
      <c r="G1174" s="187">
        <v>2</v>
      </c>
      <c r="H1174" s="1">
        <f>125.22/Imput[[#This Row],[Cantidad]]</f>
        <v>62.61</v>
      </c>
      <c r="I1174" s="169">
        <f>Imput[[#This Row],[Cantidad]]*Imput[[#This Row],[Precio Unitario]]</f>
        <v>125.22</v>
      </c>
      <c r="J1174" s="11">
        <f>((Imput[[#This Row],[Sub total]])*(0.08))</f>
        <v>10.0176</v>
      </c>
      <c r="K1174" s="11">
        <v>0</v>
      </c>
      <c r="L1174" s="169">
        <f>Imput[[#This Row],[Sub total]]+Imput[[#This Row],[IVA]]-Imput[[#This Row],[Retención / IEPS / Descuento]]</f>
        <v>135.23759999999999</v>
      </c>
      <c r="M1174" s="844">
        <v>0</v>
      </c>
      <c r="N1174" s="189" t="s">
        <v>123</v>
      </c>
      <c r="O1174" s="1"/>
      <c r="P1174" s="189" t="s">
        <v>3854</v>
      </c>
      <c r="Q1174" s="190" t="s">
        <v>3855</v>
      </c>
      <c r="R1174" s="188">
        <v>45971</v>
      </c>
      <c r="S1174" s="193" t="s">
        <v>126</v>
      </c>
      <c r="T1174" s="192"/>
      <c r="U1174" s="829"/>
      <c r="V1174" s="10"/>
      <c r="W1174" s="10"/>
      <c r="X1174" s="10"/>
      <c r="Y1174" s="10"/>
      <c r="Z1174" s="10"/>
      <c r="AA1174" s="11"/>
      <c r="AB1174" s="11"/>
    </row>
    <row r="1175" spans="2:28" x14ac:dyDescent="0.3">
      <c r="B1175" s="10" t="s">
        <v>396</v>
      </c>
      <c r="C1175" s="315"/>
      <c r="D1175" s="868" t="s">
        <v>3845</v>
      </c>
      <c r="E1175" s="837" t="str">
        <f>IFERROR(IF(_xlfn.XLOOKUP(Imput[[#This Row],[RFC]],'Alta Proveedor'!D:D,'Alta Proveedor'!E:E)=0,"",_xlfn.XLOOKUP(Imput[[#This Row],[RFC]],'Alta Proveedor'!D:D,'Alta Proveedor'!E:E)),"")</f>
        <v>HOME DEPOT MEXICO SUCURSAL 8644-MATAMOROS</v>
      </c>
      <c r="F1175" s="832" t="s">
        <v>3852</v>
      </c>
      <c r="G1175" s="187">
        <v>1</v>
      </c>
      <c r="H1175" s="1">
        <f>176.94/Imput[[#This Row],[Cantidad]]</f>
        <v>176.94</v>
      </c>
      <c r="I1175" s="169">
        <f>Imput[[#This Row],[Cantidad]]*Imput[[#This Row],[Precio Unitario]]</f>
        <v>176.94</v>
      </c>
      <c r="J1175" s="11">
        <f>((Imput[[#This Row],[Sub total]])*(0.08))</f>
        <v>14.155200000000001</v>
      </c>
      <c r="K1175" s="11">
        <v>0</v>
      </c>
      <c r="L1175" s="169">
        <f>Imput[[#This Row],[Sub total]]+Imput[[#This Row],[IVA]]-Imput[[#This Row],[Retención / IEPS / Descuento]]</f>
        <v>191.09520000000001</v>
      </c>
      <c r="M1175" s="844">
        <v>0</v>
      </c>
      <c r="N1175" s="189" t="s">
        <v>123</v>
      </c>
      <c r="O1175" s="1"/>
      <c r="P1175" s="189" t="s">
        <v>3854</v>
      </c>
      <c r="Q1175" s="190" t="s">
        <v>3855</v>
      </c>
      <c r="R1175" s="188">
        <v>45971</v>
      </c>
      <c r="S1175" s="193" t="s">
        <v>126</v>
      </c>
      <c r="T1175" s="192"/>
      <c r="U1175" s="829"/>
      <c r="V1175" s="10"/>
      <c r="W1175" s="10"/>
      <c r="X1175" s="10"/>
      <c r="Y1175" s="10"/>
      <c r="Z1175" s="10"/>
      <c r="AA1175" s="11"/>
      <c r="AB1175" s="11"/>
    </row>
    <row r="1176" spans="2:28" x14ac:dyDescent="0.3">
      <c r="B1176" s="10" t="s">
        <v>396</v>
      </c>
      <c r="C1176" s="315"/>
      <c r="D1176" s="868" t="s">
        <v>3845</v>
      </c>
      <c r="E1176" s="837" t="str">
        <f>IFERROR(IF(_xlfn.XLOOKUP(Imput[[#This Row],[RFC]],'Alta Proveedor'!D:D,'Alta Proveedor'!E:E)=0,"",_xlfn.XLOOKUP(Imput[[#This Row],[RFC]],'Alta Proveedor'!D:D,'Alta Proveedor'!E:E)),"")</f>
        <v>HOME DEPOT MEXICO SUCURSAL 8644-MATAMOROS</v>
      </c>
      <c r="F1176" s="832" t="s">
        <v>3853</v>
      </c>
      <c r="G1176" s="187">
        <v>6</v>
      </c>
      <c r="H1176" s="1">
        <f>1083.33/Imput[[#This Row],[Cantidad]]</f>
        <v>180.55499999999998</v>
      </c>
      <c r="I1176" s="169">
        <f>Imput[[#This Row],[Cantidad]]*Imput[[#This Row],[Precio Unitario]]</f>
        <v>1083.33</v>
      </c>
      <c r="J1176" s="11">
        <f>((Imput[[#This Row],[Sub total]]-111.11)*(0.08))</f>
        <v>77.777599999999993</v>
      </c>
      <c r="K1176" s="11">
        <v>111.11</v>
      </c>
      <c r="L1176" s="169">
        <f>Imput[[#This Row],[Sub total]]+Imput[[#This Row],[IVA]]-Imput[[#This Row],[Retención / IEPS / Descuento]]</f>
        <v>1049.9975999999999</v>
      </c>
      <c r="M1176" s="844">
        <v>0</v>
      </c>
      <c r="N1176" s="189" t="s">
        <v>123</v>
      </c>
      <c r="O1176" s="1"/>
      <c r="P1176" s="189" t="s">
        <v>3854</v>
      </c>
      <c r="Q1176" s="190" t="s">
        <v>3855</v>
      </c>
      <c r="R1176" s="188">
        <v>45971</v>
      </c>
      <c r="S1176" s="193" t="s">
        <v>126</v>
      </c>
      <c r="T1176" s="192"/>
      <c r="U1176" s="829"/>
      <c r="V1176" s="10"/>
      <c r="W1176" s="10"/>
      <c r="X1176" s="10"/>
      <c r="Y1176" s="10"/>
      <c r="Z1176" s="10"/>
      <c r="AA1176" s="11"/>
      <c r="AB1176" s="11"/>
    </row>
    <row r="1177" spans="2:28" x14ac:dyDescent="0.3">
      <c r="B1177" s="10" t="s">
        <v>396</v>
      </c>
      <c r="C1177" s="315"/>
      <c r="D1177" s="868" t="s">
        <v>3845</v>
      </c>
      <c r="E1177" s="837" t="str">
        <f>IFERROR(IF(_xlfn.XLOOKUP(Imput[[#This Row],[RFC]],'Alta Proveedor'!D:D,'Alta Proveedor'!E:E)=0,"",_xlfn.XLOOKUP(Imput[[#This Row],[RFC]],'Alta Proveedor'!D:D,'Alta Proveedor'!E:E)),"")</f>
        <v>HOME DEPOT MEXICO SUCURSAL 8644-MATAMOROS</v>
      </c>
      <c r="F1177" s="832" t="s">
        <v>3858</v>
      </c>
      <c r="G1177" s="187">
        <v>1</v>
      </c>
      <c r="H1177" s="1">
        <f>64.43/Imput[[#This Row],[Cantidad]]</f>
        <v>64.430000000000007</v>
      </c>
      <c r="I1177" s="169">
        <f>Imput[[#This Row],[Cantidad]]*Imput[[#This Row],[Precio Unitario]]</f>
        <v>64.430000000000007</v>
      </c>
      <c r="J1177" s="11">
        <f>((Imput[[#This Row],[Sub total]])*(0.08))</f>
        <v>5.1544000000000008</v>
      </c>
      <c r="K1177" s="11">
        <v>0</v>
      </c>
      <c r="L1177" s="169">
        <f>Imput[[#This Row],[Sub total]]+Imput[[#This Row],[IVA]]-Imput[[#This Row],[Retención / IEPS / Descuento]]</f>
        <v>69.584400000000002</v>
      </c>
      <c r="M1177" s="844">
        <v>1946.376</v>
      </c>
      <c r="N1177" s="189" t="s">
        <v>123</v>
      </c>
      <c r="O1177" s="1"/>
      <c r="P1177" s="189" t="s">
        <v>3856</v>
      </c>
      <c r="Q1177" s="190" t="s">
        <v>3857</v>
      </c>
      <c r="R1177" s="188">
        <v>45973</v>
      </c>
      <c r="S1177" s="193" t="s">
        <v>126</v>
      </c>
      <c r="T1177" s="192"/>
      <c r="U1177" s="829"/>
      <c r="V1177" s="10"/>
      <c r="W1177" s="10"/>
      <c r="X1177" s="10"/>
      <c r="Y1177" s="10"/>
      <c r="Z1177" s="10"/>
      <c r="AA1177" s="11"/>
      <c r="AB1177" s="11"/>
    </row>
    <row r="1178" spans="2:28" x14ac:dyDescent="0.3">
      <c r="B1178" s="10" t="s">
        <v>396</v>
      </c>
      <c r="C1178" s="315"/>
      <c r="D1178" s="868" t="s">
        <v>3845</v>
      </c>
      <c r="E1178" s="837" t="str">
        <f>IFERROR(IF(_xlfn.XLOOKUP(Imput[[#This Row],[RFC]],'Alta Proveedor'!D:D,'Alta Proveedor'!E:E)=0,"",_xlfn.XLOOKUP(Imput[[#This Row],[RFC]],'Alta Proveedor'!D:D,'Alta Proveedor'!E:E)),"")</f>
        <v>HOME DEPOT MEXICO SUCURSAL 8644-MATAMOROS</v>
      </c>
      <c r="F1178" s="832" t="s">
        <v>3859</v>
      </c>
      <c r="G1178" s="187">
        <v>2</v>
      </c>
      <c r="H1178" s="1">
        <f>34.22/Imput[[#This Row],[Cantidad]]</f>
        <v>17.11</v>
      </c>
      <c r="I1178" s="169">
        <f>Imput[[#This Row],[Cantidad]]*Imput[[#This Row],[Precio Unitario]]</f>
        <v>34.22</v>
      </c>
      <c r="J1178" s="11">
        <f>((Imput[[#This Row],[Sub total]])*(0.08))</f>
        <v>2.7376</v>
      </c>
      <c r="K1178" s="11">
        <v>0</v>
      </c>
      <c r="L1178" s="169">
        <f>Imput[[#This Row],[Sub total]]+Imput[[#This Row],[IVA]]-Imput[[#This Row],[Retención / IEPS / Descuento]]</f>
        <v>36.957599999999999</v>
      </c>
      <c r="M1178" s="844">
        <v>0</v>
      </c>
      <c r="N1178" s="189" t="s">
        <v>123</v>
      </c>
      <c r="O1178" s="1"/>
      <c r="P1178" s="189" t="s">
        <v>3856</v>
      </c>
      <c r="Q1178" s="190" t="s">
        <v>3857</v>
      </c>
      <c r="R1178" s="188">
        <v>45973</v>
      </c>
      <c r="S1178" s="193" t="s">
        <v>126</v>
      </c>
      <c r="T1178" s="192"/>
      <c r="U1178" s="829"/>
      <c r="V1178" s="10"/>
      <c r="W1178" s="10"/>
      <c r="X1178" s="10"/>
      <c r="Y1178" s="10"/>
      <c r="Z1178" s="10"/>
      <c r="AA1178" s="11"/>
      <c r="AB1178" s="11"/>
    </row>
    <row r="1179" spans="2:28" x14ac:dyDescent="0.3">
      <c r="B1179" s="10" t="s">
        <v>396</v>
      </c>
      <c r="C1179" s="315"/>
      <c r="D1179" s="868" t="s">
        <v>3845</v>
      </c>
      <c r="E1179" s="837" t="str">
        <f>IFERROR(IF(_xlfn.XLOOKUP(Imput[[#This Row],[RFC]],'Alta Proveedor'!D:D,'Alta Proveedor'!E:E)=0,"",_xlfn.XLOOKUP(Imput[[#This Row],[RFC]],'Alta Proveedor'!D:D,'Alta Proveedor'!E:E)),"")</f>
        <v>HOME DEPOT MEXICO SUCURSAL 8644-MATAMOROS</v>
      </c>
      <c r="F1179" s="832" t="s">
        <v>3860</v>
      </c>
      <c r="G1179" s="187">
        <v>1</v>
      </c>
      <c r="H1179" s="1">
        <f>352.98/Imput[[#This Row],[Cantidad]]</f>
        <v>352.98</v>
      </c>
      <c r="I1179" s="169">
        <f>Imput[[#This Row],[Cantidad]]*Imput[[#This Row],[Precio Unitario]]</f>
        <v>352.98</v>
      </c>
      <c r="J1179" s="11">
        <f>((Imput[[#This Row],[Sub total]])*(0.08))</f>
        <v>28.238400000000002</v>
      </c>
      <c r="K1179" s="11">
        <v>0</v>
      </c>
      <c r="L1179" s="169">
        <f>Imput[[#This Row],[Sub total]]+Imput[[#This Row],[IVA]]-Imput[[#This Row],[Retención / IEPS / Descuento]]</f>
        <v>381.21840000000003</v>
      </c>
      <c r="M1179" s="844">
        <v>0</v>
      </c>
      <c r="N1179" s="189" t="s">
        <v>123</v>
      </c>
      <c r="O1179" s="1"/>
      <c r="P1179" s="189" t="s">
        <v>3856</v>
      </c>
      <c r="Q1179" s="190" t="s">
        <v>3857</v>
      </c>
      <c r="R1179" s="188">
        <v>45973</v>
      </c>
      <c r="S1179" s="193" t="s">
        <v>126</v>
      </c>
      <c r="T1179" s="192"/>
      <c r="U1179" s="829"/>
      <c r="V1179" s="10"/>
      <c r="W1179" s="10"/>
      <c r="X1179" s="10"/>
      <c r="Y1179" s="10"/>
      <c r="Z1179" s="10"/>
      <c r="AA1179" s="11"/>
      <c r="AB1179" s="11"/>
    </row>
    <row r="1180" spans="2:28" x14ac:dyDescent="0.3">
      <c r="B1180" s="10" t="s">
        <v>396</v>
      </c>
      <c r="C1180" s="315"/>
      <c r="D1180" s="868" t="s">
        <v>3845</v>
      </c>
      <c r="E1180" s="837" t="str">
        <f>IFERROR(IF(_xlfn.XLOOKUP(Imput[[#This Row],[RFC]],'Alta Proveedor'!D:D,'Alta Proveedor'!E:E)=0,"",_xlfn.XLOOKUP(Imput[[#This Row],[RFC]],'Alta Proveedor'!D:D,'Alta Proveedor'!E:E)),"")</f>
        <v>HOME DEPOT MEXICO SUCURSAL 8644-MATAMOROS</v>
      </c>
      <c r="F1180" s="832" t="s">
        <v>3861</v>
      </c>
      <c r="G1180" s="187">
        <v>1</v>
      </c>
      <c r="H1180" s="1">
        <f>425.57/Imput[[#This Row],[Cantidad]]</f>
        <v>425.57</v>
      </c>
      <c r="I1180" s="169">
        <f>Imput[[#This Row],[Cantidad]]*Imput[[#This Row],[Precio Unitario]]</f>
        <v>425.57</v>
      </c>
      <c r="J1180" s="11">
        <f>((Imput[[#This Row],[Sub total]])*(0.08))</f>
        <v>34.0456</v>
      </c>
      <c r="K1180" s="11">
        <v>0</v>
      </c>
      <c r="L1180" s="169">
        <f>Imput[[#This Row],[Sub total]]+Imput[[#This Row],[IVA]]-Imput[[#This Row],[Retención / IEPS / Descuento]]</f>
        <v>459.61559999999997</v>
      </c>
      <c r="M1180" s="844">
        <v>0</v>
      </c>
      <c r="N1180" s="189" t="s">
        <v>123</v>
      </c>
      <c r="O1180" s="1"/>
      <c r="P1180" s="189" t="s">
        <v>3856</v>
      </c>
      <c r="Q1180" s="190" t="s">
        <v>3857</v>
      </c>
      <c r="R1180" s="188">
        <v>45973</v>
      </c>
      <c r="S1180" s="193" t="s">
        <v>126</v>
      </c>
      <c r="T1180" s="192"/>
      <c r="U1180" s="829"/>
      <c r="V1180" s="10"/>
      <c r="W1180" s="10"/>
      <c r="X1180" s="10"/>
      <c r="Y1180" s="10"/>
      <c r="Z1180" s="10"/>
      <c r="AA1180" s="11"/>
      <c r="AB1180" s="11"/>
    </row>
    <row r="1181" spans="2:28" x14ac:dyDescent="0.3">
      <c r="B1181" s="10" t="s">
        <v>396</v>
      </c>
      <c r="C1181" s="315"/>
      <c r="D1181" s="868" t="s">
        <v>3845</v>
      </c>
      <c r="E1181" s="837" t="str">
        <f>IFERROR(IF(_xlfn.XLOOKUP(Imput[[#This Row],[RFC]],'Alta Proveedor'!D:D,'Alta Proveedor'!E:E)=0,"",_xlfn.XLOOKUP(Imput[[#This Row],[RFC]],'Alta Proveedor'!D:D,'Alta Proveedor'!E:E)),"")</f>
        <v>HOME DEPOT MEXICO SUCURSAL 8644-MATAMOROS</v>
      </c>
      <c r="F1181" s="832" t="s">
        <v>3862</v>
      </c>
      <c r="G1181" s="187">
        <v>6</v>
      </c>
      <c r="H1181" s="1">
        <f>925/Imput[[#This Row],[Cantidad]]</f>
        <v>154.16666666666666</v>
      </c>
      <c r="I1181" s="169">
        <f>Imput[[#This Row],[Cantidad]]*Imput[[#This Row],[Precio Unitario]]</f>
        <v>925</v>
      </c>
      <c r="J1181" s="11">
        <f>((Imput[[#This Row],[Sub total]])*(0.08))</f>
        <v>74</v>
      </c>
      <c r="K1181" s="11">
        <v>0</v>
      </c>
      <c r="L1181" s="169">
        <f>Imput[[#This Row],[Sub total]]+Imput[[#This Row],[IVA]]-Imput[[#This Row],[Retención / IEPS / Descuento]]</f>
        <v>999</v>
      </c>
      <c r="M1181" s="844">
        <v>0</v>
      </c>
      <c r="N1181" s="189" t="s">
        <v>123</v>
      </c>
      <c r="O1181" s="1"/>
      <c r="P1181" s="189" t="s">
        <v>3856</v>
      </c>
      <c r="Q1181" s="190" t="s">
        <v>3857</v>
      </c>
      <c r="R1181" s="188">
        <v>45973</v>
      </c>
      <c r="S1181" s="193" t="s">
        <v>126</v>
      </c>
      <c r="T1181" s="192"/>
      <c r="U1181" s="829"/>
      <c r="V1181" s="10"/>
      <c r="W1181" s="10"/>
      <c r="X1181" s="10"/>
      <c r="Y1181" s="10"/>
      <c r="Z1181" s="10"/>
      <c r="AA1181" s="11"/>
      <c r="AB1181" s="11"/>
    </row>
    <row r="1182" spans="2:28" x14ac:dyDescent="0.3">
      <c r="B1182" s="10" t="s">
        <v>396</v>
      </c>
      <c r="C1182" s="315"/>
      <c r="D1182" s="868" t="s">
        <v>3845</v>
      </c>
      <c r="E1182" s="837" t="str">
        <f>IFERROR(IF(_xlfn.XLOOKUP(Imput[[#This Row],[RFC]],'Alta Proveedor'!D:D,'Alta Proveedor'!E:E)=0,"",_xlfn.XLOOKUP(Imput[[#This Row],[RFC]],'Alta Proveedor'!D:D,'Alta Proveedor'!E:E)),"")</f>
        <v>HOME DEPOT MEXICO SUCURSAL 8644-MATAMOROS</v>
      </c>
      <c r="F1182" s="832" t="s">
        <v>3850</v>
      </c>
      <c r="G1182" s="187">
        <v>5</v>
      </c>
      <c r="H1182" s="1">
        <f>185.19/Imput[[#This Row],[Cantidad]]</f>
        <v>37.037999999999997</v>
      </c>
      <c r="I1182" s="169">
        <f>Imput[[#This Row],[Cantidad]]*Imput[[#This Row],[Precio Unitario]]</f>
        <v>185.19</v>
      </c>
      <c r="J1182" s="11">
        <f>((Imput[[#This Row],[Sub total]]-18.52)*(0.08))</f>
        <v>13.333599999999999</v>
      </c>
      <c r="K1182" s="11">
        <v>18.52</v>
      </c>
      <c r="L1182" s="169">
        <f>Imput[[#This Row],[Sub total]]+Imput[[#This Row],[IVA]]-Imput[[#This Row],[Retención / IEPS / Descuento]]</f>
        <v>180.00359999999998</v>
      </c>
      <c r="M1182" s="844">
        <v>1058.0003999999999</v>
      </c>
      <c r="N1182" s="189" t="s">
        <v>123</v>
      </c>
      <c r="O1182" s="1"/>
      <c r="P1182" s="189" t="s">
        <v>3863</v>
      </c>
      <c r="Q1182" s="190" t="s">
        <v>3864</v>
      </c>
      <c r="R1182" s="188">
        <v>45975</v>
      </c>
      <c r="S1182" s="193" t="s">
        <v>126</v>
      </c>
      <c r="T1182" s="192"/>
      <c r="U1182" s="829"/>
      <c r="V1182" s="10"/>
      <c r="W1182" s="10"/>
      <c r="X1182" s="10"/>
      <c r="Y1182" s="10"/>
      <c r="Z1182" s="10"/>
      <c r="AA1182" s="11"/>
      <c r="AB1182" s="11"/>
    </row>
    <row r="1183" spans="2:28" x14ac:dyDescent="0.3">
      <c r="B1183" s="10" t="s">
        <v>396</v>
      </c>
      <c r="C1183" s="315"/>
      <c r="D1183" s="868" t="s">
        <v>3845</v>
      </c>
      <c r="E1183" s="837" t="str">
        <f>IFERROR(IF(_xlfn.XLOOKUP(Imput[[#This Row],[RFC]],'Alta Proveedor'!D:D,'Alta Proveedor'!E:E)=0,"",_xlfn.XLOOKUP(Imput[[#This Row],[RFC]],'Alta Proveedor'!D:D,'Alta Proveedor'!E:E)),"")</f>
        <v>HOME DEPOT MEXICO SUCURSAL 8644-MATAMOROS</v>
      </c>
      <c r="F1183" s="832" t="s">
        <v>3865</v>
      </c>
      <c r="G1183" s="187">
        <v>6</v>
      </c>
      <c r="H1183" s="1">
        <f>416.67/Imput[[#This Row],[Cantidad]]</f>
        <v>69.445000000000007</v>
      </c>
      <c r="I1183" s="169">
        <f>Imput[[#This Row],[Cantidad]]*Imput[[#This Row],[Precio Unitario]]</f>
        <v>416.67000000000007</v>
      </c>
      <c r="J1183" s="11">
        <f>((Imput[[#This Row],[Sub total]]-41.67)*(0.08))</f>
        <v>30.000000000000004</v>
      </c>
      <c r="K1183" s="11">
        <v>41.67</v>
      </c>
      <c r="L1183" s="169">
        <f>Imput[[#This Row],[Sub total]]+Imput[[#This Row],[IVA]]-Imput[[#This Row],[Retención / IEPS / Descuento]]</f>
        <v>405.00000000000006</v>
      </c>
      <c r="M1183" s="844">
        <v>0</v>
      </c>
      <c r="N1183" s="189" t="s">
        <v>123</v>
      </c>
      <c r="O1183" s="1"/>
      <c r="P1183" s="189" t="s">
        <v>3863</v>
      </c>
      <c r="Q1183" s="190" t="s">
        <v>3864</v>
      </c>
      <c r="R1183" s="188">
        <v>45975</v>
      </c>
      <c r="S1183" s="193" t="s">
        <v>126</v>
      </c>
      <c r="T1183" s="192"/>
      <c r="U1183" s="829"/>
      <c r="V1183" s="10"/>
      <c r="W1183" s="10"/>
      <c r="X1183" s="10"/>
      <c r="Y1183" s="10"/>
      <c r="Z1183" s="10"/>
      <c r="AA1183" s="11"/>
      <c r="AB1183" s="11"/>
    </row>
    <row r="1184" spans="2:28" x14ac:dyDescent="0.3">
      <c r="B1184" s="10" t="s">
        <v>396</v>
      </c>
      <c r="C1184" s="315"/>
      <c r="D1184" s="868" t="s">
        <v>3845</v>
      </c>
      <c r="E1184" s="837" t="str">
        <f>IFERROR(IF(_xlfn.XLOOKUP(Imput[[#This Row],[RFC]],'Alta Proveedor'!D:D,'Alta Proveedor'!E:E)=0,"",_xlfn.XLOOKUP(Imput[[#This Row],[RFC]],'Alta Proveedor'!D:D,'Alta Proveedor'!E:E)),"")</f>
        <v>HOME DEPOT MEXICO SUCURSAL 8644-MATAMOROS</v>
      </c>
      <c r="F1184" s="832" t="s">
        <v>3866</v>
      </c>
      <c r="G1184" s="187">
        <v>1</v>
      </c>
      <c r="H1184" s="1">
        <f>128.7/Imput[[#This Row],[Cantidad]]</f>
        <v>128.69999999999999</v>
      </c>
      <c r="I1184" s="169">
        <f>Imput[[#This Row],[Cantidad]]*Imput[[#This Row],[Precio Unitario]]</f>
        <v>128.69999999999999</v>
      </c>
      <c r="J1184" s="11">
        <f>((Imput[[#This Row],[Sub total]]-37.96)*(0.08))</f>
        <v>7.259199999999999</v>
      </c>
      <c r="K1184" s="11">
        <v>37.96</v>
      </c>
      <c r="L1184" s="169">
        <f>Imput[[#This Row],[Sub total]]+Imput[[#This Row],[IVA]]-Imput[[#This Row],[Retención / IEPS / Descuento]]</f>
        <v>97.999199999999973</v>
      </c>
      <c r="M1184" s="844">
        <v>0</v>
      </c>
      <c r="N1184" s="189" t="s">
        <v>123</v>
      </c>
      <c r="O1184" s="1"/>
      <c r="P1184" s="189" t="s">
        <v>3863</v>
      </c>
      <c r="Q1184" s="190" t="s">
        <v>3864</v>
      </c>
      <c r="R1184" s="188">
        <v>45975</v>
      </c>
      <c r="S1184" s="193" t="s">
        <v>126</v>
      </c>
      <c r="T1184" s="192"/>
      <c r="U1184" s="829"/>
      <c r="V1184" s="10"/>
      <c r="W1184" s="10"/>
      <c r="X1184" s="10"/>
      <c r="Y1184" s="10"/>
      <c r="Z1184" s="10"/>
      <c r="AA1184" s="11"/>
      <c r="AB1184" s="11"/>
    </row>
    <row r="1185" spans="2:28" x14ac:dyDescent="0.3">
      <c r="B1185" s="10" t="s">
        <v>396</v>
      </c>
      <c r="C1185" s="315"/>
      <c r="D1185" s="868" t="s">
        <v>3845</v>
      </c>
      <c r="E1185" s="837" t="str">
        <f>IFERROR(IF(_xlfn.XLOOKUP(Imput[[#This Row],[RFC]],'Alta Proveedor'!D:D,'Alta Proveedor'!E:E)=0,"",_xlfn.XLOOKUP(Imput[[#This Row],[RFC]],'Alta Proveedor'!D:D,'Alta Proveedor'!E:E)),"")</f>
        <v>HOME DEPOT MEXICO SUCURSAL 8644-MATAMOROS</v>
      </c>
      <c r="F1185" s="832" t="s">
        <v>3848</v>
      </c>
      <c r="G1185" s="187">
        <v>15</v>
      </c>
      <c r="H1185" s="1">
        <f>222.22/Imput[[#This Row],[Cantidad]]</f>
        <v>14.814666666666666</v>
      </c>
      <c r="I1185" s="169">
        <f>Imput[[#This Row],[Cantidad]]*Imput[[#This Row],[Precio Unitario]]</f>
        <v>222.22</v>
      </c>
      <c r="J1185" s="11">
        <f>((Imput[[#This Row],[Sub total]])*(0.08))</f>
        <v>17.7776</v>
      </c>
      <c r="K1185" s="11">
        <v>0</v>
      </c>
      <c r="L1185" s="169">
        <f>Imput[[#This Row],[Sub total]]+Imput[[#This Row],[IVA]]-Imput[[#This Row],[Retención / IEPS / Descuento]]</f>
        <v>239.99760000000001</v>
      </c>
      <c r="M1185" s="844">
        <v>0</v>
      </c>
      <c r="N1185" s="189" t="s">
        <v>123</v>
      </c>
      <c r="O1185" s="1"/>
      <c r="P1185" s="189" t="s">
        <v>3863</v>
      </c>
      <c r="Q1185" s="190" t="s">
        <v>3864</v>
      </c>
      <c r="R1185" s="188">
        <v>45975</v>
      </c>
      <c r="S1185" s="193" t="s">
        <v>126</v>
      </c>
      <c r="T1185" s="192"/>
      <c r="U1185" s="829"/>
      <c r="V1185" s="10"/>
      <c r="W1185" s="10"/>
      <c r="X1185" s="10"/>
      <c r="Y1185" s="10"/>
      <c r="Z1185" s="10"/>
      <c r="AA1185" s="11"/>
      <c r="AB1185" s="11"/>
    </row>
    <row r="1186" spans="2:28" x14ac:dyDescent="0.3">
      <c r="B1186" s="10" t="s">
        <v>396</v>
      </c>
      <c r="C1186" s="315"/>
      <c r="D1186" s="868" t="s">
        <v>3845</v>
      </c>
      <c r="E1186" s="837" t="str">
        <f>IFERROR(IF(_xlfn.XLOOKUP(Imput[[#This Row],[RFC]],'Alta Proveedor'!D:D,'Alta Proveedor'!E:E)=0,"",_xlfn.XLOOKUP(Imput[[#This Row],[RFC]],'Alta Proveedor'!D:D,'Alta Proveedor'!E:E)),"")</f>
        <v>HOME DEPOT MEXICO SUCURSAL 8644-MATAMOROS</v>
      </c>
      <c r="F1186" s="832" t="s">
        <v>3865</v>
      </c>
      <c r="G1186" s="187">
        <v>2</v>
      </c>
      <c r="H1186" s="1">
        <f>138.89/Imput[[#This Row],[Cantidad]]</f>
        <v>69.444999999999993</v>
      </c>
      <c r="I1186" s="169">
        <f>Imput[[#This Row],[Cantidad]]*Imput[[#This Row],[Precio Unitario]]</f>
        <v>138.88999999999999</v>
      </c>
      <c r="J1186" s="11">
        <f>((Imput[[#This Row],[Sub total]]-13.89)*(0.08))</f>
        <v>9.9999999999999982</v>
      </c>
      <c r="K1186" s="11">
        <v>13.89</v>
      </c>
      <c r="L1186" s="169">
        <f>Imput[[#This Row],[Sub total]]+Imput[[#This Row],[IVA]]-Imput[[#This Row],[Retención / IEPS / Descuento]]</f>
        <v>135</v>
      </c>
      <c r="M1186" s="844">
        <v>0</v>
      </c>
      <c r="N1186" s="189" t="s">
        <v>123</v>
      </c>
      <c r="O1186" s="1"/>
      <c r="P1186" s="189" t="s">
        <v>3863</v>
      </c>
      <c r="Q1186" s="190" t="s">
        <v>3864</v>
      </c>
      <c r="R1186" s="188">
        <v>45975</v>
      </c>
      <c r="S1186" s="193" t="s">
        <v>126</v>
      </c>
      <c r="T1186" s="192"/>
      <c r="U1186" s="829"/>
      <c r="V1186" s="10"/>
      <c r="W1186" s="10"/>
      <c r="X1186" s="10"/>
      <c r="Y1186" s="10"/>
      <c r="Z1186" s="10"/>
      <c r="AA1186" s="11"/>
      <c r="AB1186" s="11"/>
    </row>
    <row r="1187" spans="2:28" x14ac:dyDescent="0.3">
      <c r="B1187" s="10" t="s">
        <v>396</v>
      </c>
      <c r="C1187" s="315"/>
      <c r="D1187" s="868" t="s">
        <v>3869</v>
      </c>
      <c r="E1187" s="837" t="str">
        <f>IFERROR(IF(_xlfn.XLOOKUP(Imput[[#This Row],[RFC]],'Alta Proveedor'!D:D,'Alta Proveedor'!E:E)=0,"",_xlfn.XLOOKUP(Imput[[#This Row],[RFC]],'Alta Proveedor'!D:D,'Alta Proveedor'!E:E)),"")</f>
        <v>GUADALUPE MALDONADO JUAREZ "GRUPO FERRETERA SANCHEZ"</v>
      </c>
      <c r="F1187" s="832" t="s">
        <v>3871</v>
      </c>
      <c r="G1187" s="187">
        <v>2</v>
      </c>
      <c r="H1187" s="1">
        <v>0.46300000000000002</v>
      </c>
      <c r="I1187" s="169">
        <f>Imput[[#This Row],[Cantidad]]*Imput[[#This Row],[Precio Unitario]]</f>
        <v>0.92600000000000005</v>
      </c>
      <c r="J1187" s="11">
        <f>((Imput[[#This Row],[Sub total]])*(0.08))</f>
        <v>7.4080000000000007E-2</v>
      </c>
      <c r="K1187" s="11">
        <v>0</v>
      </c>
      <c r="L1187" s="169">
        <f>Imput[[#This Row],[Sub total]]+Imput[[#This Row],[IVA]]-Imput[[#This Row],[Retención / IEPS / Descuento]]</f>
        <v>1.0000800000000001</v>
      </c>
      <c r="M1187" s="844">
        <v>2399.0018400000004</v>
      </c>
      <c r="N1187" s="189" t="s">
        <v>123</v>
      </c>
      <c r="O1187" s="1"/>
      <c r="P1187" s="189" t="s">
        <v>3867</v>
      </c>
      <c r="Q1187" s="190" t="s">
        <v>3868</v>
      </c>
      <c r="R1187" s="188">
        <v>45967</v>
      </c>
      <c r="S1187" s="193" t="s">
        <v>126</v>
      </c>
      <c r="T1187" s="192"/>
      <c r="U1187" s="829"/>
      <c r="V1187" s="10"/>
      <c r="W1187" s="10"/>
      <c r="X1187" s="10"/>
      <c r="Y1187" s="10"/>
      <c r="Z1187" s="10"/>
      <c r="AA1187" s="11"/>
      <c r="AB1187" s="11"/>
    </row>
    <row r="1188" spans="2:28" x14ac:dyDescent="0.3">
      <c r="B1188" s="10" t="s">
        <v>396</v>
      </c>
      <c r="C1188" s="315"/>
      <c r="D1188" s="868" t="s">
        <v>3869</v>
      </c>
      <c r="E1188" s="837" t="str">
        <f>IFERROR(IF(_xlfn.XLOOKUP(Imput[[#This Row],[RFC]],'Alta Proveedor'!D:D,'Alta Proveedor'!E:E)=0,"",_xlfn.XLOOKUP(Imput[[#This Row],[RFC]],'Alta Proveedor'!D:D,'Alta Proveedor'!E:E)),"")</f>
        <v>GUADALUPE MALDONADO JUAREZ "GRUPO FERRETERA SANCHEZ"</v>
      </c>
      <c r="F1188" s="832" t="s">
        <v>3872</v>
      </c>
      <c r="G1188" s="187">
        <v>4</v>
      </c>
      <c r="H1188" s="1">
        <v>0.46300000000000002</v>
      </c>
      <c r="I1188" s="169">
        <f>Imput[[#This Row],[Cantidad]]*Imput[[#This Row],[Precio Unitario]]</f>
        <v>1.8520000000000001</v>
      </c>
      <c r="J1188" s="11">
        <f>((Imput[[#This Row],[Sub total]])*(0.08))</f>
        <v>0.14816000000000001</v>
      </c>
      <c r="K1188" s="11">
        <v>0</v>
      </c>
      <c r="L1188" s="169">
        <f>Imput[[#This Row],[Sub total]]+Imput[[#This Row],[IVA]]-Imput[[#This Row],[Retención / IEPS / Descuento]]</f>
        <v>2.0001600000000002</v>
      </c>
      <c r="M1188" s="844">
        <v>0</v>
      </c>
      <c r="N1188" s="189" t="s">
        <v>123</v>
      </c>
      <c r="O1188" s="1"/>
      <c r="P1188" s="189" t="s">
        <v>3867</v>
      </c>
      <c r="Q1188" s="190" t="s">
        <v>3868</v>
      </c>
      <c r="R1188" s="188">
        <v>45967</v>
      </c>
      <c r="S1188" s="193" t="s">
        <v>126</v>
      </c>
      <c r="T1188" s="192"/>
      <c r="U1188" s="829"/>
      <c r="V1188" s="10"/>
      <c r="W1188" s="10"/>
      <c r="X1188" s="10"/>
      <c r="Y1188" s="10"/>
      <c r="Z1188" s="10"/>
      <c r="AA1188" s="11"/>
      <c r="AB1188" s="11"/>
    </row>
    <row r="1189" spans="2:28" x14ac:dyDescent="0.3">
      <c r="B1189" s="10" t="s">
        <v>396</v>
      </c>
      <c r="C1189" s="315"/>
      <c r="D1189" s="868" t="s">
        <v>3869</v>
      </c>
      <c r="E1189" s="837" t="str">
        <f>IFERROR(IF(_xlfn.XLOOKUP(Imput[[#This Row],[RFC]],'Alta Proveedor'!D:D,'Alta Proveedor'!E:E)=0,"",_xlfn.XLOOKUP(Imput[[#This Row],[RFC]],'Alta Proveedor'!D:D,'Alta Proveedor'!E:E)),"")</f>
        <v>GUADALUPE MALDONADO JUAREZ "GRUPO FERRETERA SANCHEZ"</v>
      </c>
      <c r="F1189" s="832" t="s">
        <v>3873</v>
      </c>
      <c r="G1189" s="187">
        <v>2</v>
      </c>
      <c r="H1189" s="1">
        <v>0.92600000000000005</v>
      </c>
      <c r="I1189" s="169">
        <f>Imput[[#This Row],[Cantidad]]*Imput[[#This Row],[Precio Unitario]]</f>
        <v>1.8520000000000001</v>
      </c>
      <c r="J1189" s="11">
        <f>((Imput[[#This Row],[Sub total]])*(0.08))</f>
        <v>0.14816000000000001</v>
      </c>
      <c r="K1189" s="11">
        <v>0</v>
      </c>
      <c r="L1189" s="169">
        <f>Imput[[#This Row],[Sub total]]+Imput[[#This Row],[IVA]]-Imput[[#This Row],[Retención / IEPS / Descuento]]</f>
        <v>2.0001600000000002</v>
      </c>
      <c r="M1189" s="844">
        <v>0</v>
      </c>
      <c r="N1189" s="189" t="s">
        <v>123</v>
      </c>
      <c r="O1189" s="1"/>
      <c r="P1189" s="189" t="s">
        <v>3867</v>
      </c>
      <c r="Q1189" s="190" t="s">
        <v>3868</v>
      </c>
      <c r="R1189" s="188">
        <v>45967</v>
      </c>
      <c r="S1189" s="193" t="s">
        <v>126</v>
      </c>
      <c r="T1189" s="192"/>
      <c r="U1189" s="829"/>
      <c r="V1189" s="10"/>
      <c r="W1189" s="10"/>
      <c r="X1189" s="10"/>
      <c r="Y1189" s="10"/>
      <c r="Z1189" s="10"/>
      <c r="AA1189" s="11"/>
      <c r="AB1189" s="11"/>
    </row>
    <row r="1190" spans="2:28" x14ac:dyDescent="0.3">
      <c r="B1190" s="10" t="s">
        <v>396</v>
      </c>
      <c r="C1190" s="315"/>
      <c r="D1190" s="868" t="s">
        <v>3869</v>
      </c>
      <c r="E1190" s="837" t="str">
        <f>IFERROR(IF(_xlfn.XLOOKUP(Imput[[#This Row],[RFC]],'Alta Proveedor'!D:D,'Alta Proveedor'!E:E)=0,"",_xlfn.XLOOKUP(Imput[[#This Row],[RFC]],'Alta Proveedor'!D:D,'Alta Proveedor'!E:E)),"")</f>
        <v>GUADALUPE MALDONADO JUAREZ "GRUPO FERRETERA SANCHEZ"</v>
      </c>
      <c r="F1190" s="832" t="s">
        <v>3874</v>
      </c>
      <c r="G1190" s="187">
        <v>6</v>
      </c>
      <c r="H1190" s="1">
        <v>72.221999999999994</v>
      </c>
      <c r="I1190" s="169">
        <f>Imput[[#This Row],[Cantidad]]*Imput[[#This Row],[Precio Unitario]]</f>
        <v>433.33199999999999</v>
      </c>
      <c r="J1190" s="11">
        <f>((Imput[[#This Row],[Sub total]])*(0.08))</f>
        <v>34.666559999999997</v>
      </c>
      <c r="K1190" s="11">
        <v>0</v>
      </c>
      <c r="L1190" s="169">
        <f>Imput[[#This Row],[Sub total]]+Imput[[#This Row],[IVA]]-Imput[[#This Row],[Retención / IEPS / Descuento]]</f>
        <v>467.99856</v>
      </c>
      <c r="M1190" s="844">
        <v>0</v>
      </c>
      <c r="N1190" s="189" t="s">
        <v>123</v>
      </c>
      <c r="O1190" s="1"/>
      <c r="P1190" s="189" t="s">
        <v>3867</v>
      </c>
      <c r="Q1190" s="190" t="s">
        <v>3868</v>
      </c>
      <c r="R1190" s="188">
        <v>45967</v>
      </c>
      <c r="S1190" s="193" t="s">
        <v>126</v>
      </c>
      <c r="T1190" s="192"/>
      <c r="U1190" s="829"/>
      <c r="V1190" s="10"/>
      <c r="W1190" s="10"/>
      <c r="X1190" s="10"/>
      <c r="Y1190" s="10"/>
      <c r="Z1190" s="10"/>
      <c r="AA1190" s="11"/>
      <c r="AB1190" s="11"/>
    </row>
    <row r="1191" spans="2:28" x14ac:dyDescent="0.3">
      <c r="B1191" s="10" t="s">
        <v>396</v>
      </c>
      <c r="C1191" s="315"/>
      <c r="D1191" s="868" t="s">
        <v>3869</v>
      </c>
      <c r="E1191" s="837" t="str">
        <f>IFERROR(IF(_xlfn.XLOOKUP(Imput[[#This Row],[RFC]],'Alta Proveedor'!D:D,'Alta Proveedor'!E:E)=0,"",_xlfn.XLOOKUP(Imput[[#This Row],[RFC]],'Alta Proveedor'!D:D,'Alta Proveedor'!E:E)),"")</f>
        <v>GUADALUPE MALDONADO JUAREZ "GRUPO FERRETERA SANCHEZ"</v>
      </c>
      <c r="F1191" s="832" t="s">
        <v>3875</v>
      </c>
      <c r="G1191" s="187">
        <v>2</v>
      </c>
      <c r="H1191" s="1">
        <v>12.962999999999999</v>
      </c>
      <c r="I1191" s="169">
        <f>Imput[[#This Row],[Cantidad]]*Imput[[#This Row],[Precio Unitario]]</f>
        <v>25.925999999999998</v>
      </c>
      <c r="J1191" s="11">
        <f>((Imput[[#This Row],[Sub total]])*(0.08))</f>
        <v>2.0740799999999999</v>
      </c>
      <c r="K1191" s="11">
        <v>0</v>
      </c>
      <c r="L1191" s="169">
        <f>Imput[[#This Row],[Sub total]]+Imput[[#This Row],[IVA]]-Imput[[#This Row],[Retención / IEPS / Descuento]]</f>
        <v>28.000079999999997</v>
      </c>
      <c r="M1191" s="844">
        <v>0</v>
      </c>
      <c r="N1191" s="189" t="s">
        <v>123</v>
      </c>
      <c r="O1191" s="1"/>
      <c r="P1191" s="189" t="s">
        <v>3867</v>
      </c>
      <c r="Q1191" s="190" t="s">
        <v>3868</v>
      </c>
      <c r="R1191" s="188">
        <v>45967</v>
      </c>
      <c r="S1191" s="193" t="s">
        <v>126</v>
      </c>
      <c r="T1191" s="192"/>
      <c r="U1191" s="829"/>
      <c r="V1191" s="10"/>
      <c r="W1191" s="10"/>
      <c r="X1191" s="10"/>
      <c r="Y1191" s="10"/>
      <c r="Z1191" s="10"/>
      <c r="AA1191" s="11"/>
      <c r="AB1191" s="11"/>
    </row>
    <row r="1192" spans="2:28" x14ac:dyDescent="0.3">
      <c r="B1192" s="10" t="s">
        <v>396</v>
      </c>
      <c r="C1192" s="315"/>
      <c r="D1192" s="868" t="s">
        <v>3869</v>
      </c>
      <c r="E1192" s="837" t="str">
        <f>IFERROR(IF(_xlfn.XLOOKUP(Imput[[#This Row],[RFC]],'Alta Proveedor'!D:D,'Alta Proveedor'!E:E)=0,"",_xlfn.XLOOKUP(Imput[[#This Row],[RFC]],'Alta Proveedor'!D:D,'Alta Proveedor'!E:E)),"")</f>
        <v>GUADALUPE MALDONADO JUAREZ "GRUPO FERRETERA SANCHEZ"</v>
      </c>
      <c r="F1192" s="832" t="s">
        <v>3876</v>
      </c>
      <c r="G1192" s="187">
        <v>1</v>
      </c>
      <c r="H1192" s="1">
        <v>1757.41</v>
      </c>
      <c r="I1192" s="169">
        <f>Imput[[#This Row],[Cantidad]]*Imput[[#This Row],[Precio Unitario]]</f>
        <v>1757.41</v>
      </c>
      <c r="J1192" s="11">
        <f>((Imput[[#This Row],[Sub total]])*(0.08))</f>
        <v>140.59280000000001</v>
      </c>
      <c r="K1192" s="11">
        <v>0</v>
      </c>
      <c r="L1192" s="169">
        <f>Imput[[#This Row],[Sub total]]+Imput[[#This Row],[IVA]]-Imput[[#This Row],[Retención / IEPS / Descuento]]</f>
        <v>1898.0028000000002</v>
      </c>
      <c r="M1192" s="844">
        <v>0</v>
      </c>
      <c r="N1192" s="189" t="s">
        <v>123</v>
      </c>
      <c r="O1192" s="1"/>
      <c r="P1192" s="189" t="s">
        <v>3867</v>
      </c>
      <c r="Q1192" s="190" t="s">
        <v>3868</v>
      </c>
      <c r="R1192" s="188">
        <v>45967</v>
      </c>
      <c r="S1192" s="193" t="s">
        <v>126</v>
      </c>
      <c r="T1192" s="192"/>
      <c r="U1192" s="829"/>
      <c r="V1192" s="10"/>
      <c r="W1192" s="10"/>
      <c r="X1192" s="10"/>
      <c r="Y1192" s="10"/>
      <c r="Z1192" s="10"/>
      <c r="AA1192" s="11"/>
      <c r="AB1192" s="11"/>
    </row>
    <row r="1193" spans="2:28" x14ac:dyDescent="0.3">
      <c r="B1193" s="10" t="s">
        <v>396</v>
      </c>
      <c r="C1193" s="315"/>
      <c r="D1193" s="868" t="s">
        <v>1953</v>
      </c>
      <c r="E1193" s="837" t="str">
        <f>IFERROR(IF(_xlfn.XLOOKUP(Imput[[#This Row],[RFC]],'Alta Proveedor'!D:D,'Alta Proveedor'!E:E)=0,"",_xlfn.XLOOKUP(Imput[[#This Row],[RFC]],'Alta Proveedor'!D:D,'Alta Proveedor'!E:E)),"")</f>
        <v>OMNIBUS DE MEXICO FACTURA</v>
      </c>
      <c r="F1193" s="832" t="s">
        <v>1955</v>
      </c>
      <c r="G1193" s="187">
        <v>1</v>
      </c>
      <c r="H1193" s="1">
        <v>1680.17</v>
      </c>
      <c r="I1193" s="169">
        <f>Imput[[#This Row],[Cantidad]]*Imput[[#This Row],[Precio Unitario]]</f>
        <v>1680.17</v>
      </c>
      <c r="J1193" s="11">
        <f>((Imput[[#This Row],[Sub total]])*(0.16))</f>
        <v>268.8272</v>
      </c>
      <c r="K1193" s="11">
        <v>0</v>
      </c>
      <c r="L1193" s="169">
        <f>Imput[[#This Row],[Sub total]]+Imput[[#This Row],[IVA]]-Imput[[#This Row],[Retención / IEPS / Descuento]]</f>
        <v>1948.9972</v>
      </c>
      <c r="M1193" s="844">
        <v>1948.9972</v>
      </c>
      <c r="N1193" s="189" t="s">
        <v>123</v>
      </c>
      <c r="O1193" s="1"/>
      <c r="P1193" s="189" t="s">
        <v>3877</v>
      </c>
      <c r="Q1193" s="190" t="s">
        <v>3878</v>
      </c>
      <c r="R1193" s="188">
        <v>45965</v>
      </c>
      <c r="S1193" s="193" t="s">
        <v>126</v>
      </c>
      <c r="T1193" s="192"/>
      <c r="U1193" s="829"/>
      <c r="V1193" s="10"/>
      <c r="W1193" s="10"/>
      <c r="X1193" s="10"/>
      <c r="Y1193" s="10"/>
      <c r="Z1193" s="10"/>
      <c r="AA1193" s="11"/>
      <c r="AB1193" s="11"/>
    </row>
    <row r="1194" spans="2:28" x14ac:dyDescent="0.3">
      <c r="B1194" s="10" t="s">
        <v>398</v>
      </c>
      <c r="C1194" s="315"/>
      <c r="D1194" s="868" t="s">
        <v>3881</v>
      </c>
      <c r="E1194" s="837" t="str">
        <f>IFERROR(IF(_xlfn.XLOOKUP(Imput[[#This Row],[RFC]],'Alta Proveedor'!D:D,'Alta Proveedor'!E:E)=0,"",_xlfn.XLOOKUP(Imput[[#This Row],[RFC]],'Alta Proveedor'!D:D,'Alta Proveedor'!E:E)),"")</f>
        <v>COREFAMEX (CONCRETOS)</v>
      </c>
      <c r="F1194" s="832" t="s">
        <v>3883</v>
      </c>
      <c r="G1194" s="187">
        <v>10</v>
      </c>
      <c r="H1194" s="1">
        <v>3031.694</v>
      </c>
      <c r="I1194" s="169">
        <f>Imput[[#This Row],[Cantidad]]*Imput[[#This Row],[Precio Unitario]]</f>
        <v>30316.94</v>
      </c>
      <c r="J1194" s="11">
        <f>((Imput[[#This Row],[Sub total]])*(0.08))</f>
        <v>2425.3552</v>
      </c>
      <c r="K1194" s="11">
        <v>0</v>
      </c>
      <c r="L1194" s="169">
        <f>Imput[[#This Row],[Sub total]]+Imput[[#This Row],[IVA]]-Imput[[#This Row],[Retención / IEPS / Descuento]]</f>
        <v>32742.2952</v>
      </c>
      <c r="M1194" s="844">
        <v>32742.2952</v>
      </c>
      <c r="N1194" s="189" t="s">
        <v>123</v>
      </c>
      <c r="O1194" s="1"/>
      <c r="P1194" s="189" t="s">
        <v>3879</v>
      </c>
      <c r="Q1194" s="190" t="s">
        <v>3880</v>
      </c>
      <c r="R1194" s="188">
        <v>45979</v>
      </c>
      <c r="S1194" s="193" t="s">
        <v>126</v>
      </c>
      <c r="T1194" s="192"/>
      <c r="U1194" s="829"/>
      <c r="V1194" s="10"/>
      <c r="W1194" s="10"/>
      <c r="X1194" s="10"/>
      <c r="Y1194" s="10"/>
      <c r="Z1194" s="10"/>
      <c r="AA1194" s="11"/>
      <c r="AB1194" s="11"/>
    </row>
    <row r="1195" spans="2:28" x14ac:dyDescent="0.3">
      <c r="B1195" s="10" t="s">
        <v>398</v>
      </c>
      <c r="C1195" s="315"/>
      <c r="D1195" s="868" t="s">
        <v>3845</v>
      </c>
      <c r="E1195" s="837" t="str">
        <f>IFERROR(IF(_xlfn.XLOOKUP(Imput[[#This Row],[RFC]],'Alta Proveedor'!D:D,'Alta Proveedor'!E:E)=0,"",_xlfn.XLOOKUP(Imput[[#This Row],[RFC]],'Alta Proveedor'!D:D,'Alta Proveedor'!E:E)),"")</f>
        <v>HOME DEPOT MEXICO SUCURSAL 8644-MATAMOROS</v>
      </c>
      <c r="F1195" s="832" t="s">
        <v>3849</v>
      </c>
      <c r="G1195" s="187">
        <v>2</v>
      </c>
      <c r="H1195" s="1">
        <f>133.7/Imput[[#This Row],[Cantidad]]</f>
        <v>66.849999999999994</v>
      </c>
      <c r="I1195" s="169">
        <f>Imput[[#This Row],[Cantidad]]*Imput[[#This Row],[Precio Unitario]]</f>
        <v>133.69999999999999</v>
      </c>
      <c r="J1195" s="11">
        <f>((Imput[[#This Row],[Sub total]])*(0.08))</f>
        <v>10.696</v>
      </c>
      <c r="K1195" s="11">
        <v>0</v>
      </c>
      <c r="L1195" s="169">
        <f>Imput[[#This Row],[Sub total]]+Imput[[#This Row],[IVA]]-Imput[[#This Row],[Retención / IEPS / Descuento]]</f>
        <v>144.39599999999999</v>
      </c>
      <c r="M1195" s="844">
        <v>332.49959999999999</v>
      </c>
      <c r="N1195" s="189" t="s">
        <v>123</v>
      </c>
      <c r="O1195" s="1"/>
      <c r="P1195" s="189" t="s">
        <v>3884</v>
      </c>
      <c r="Q1195" s="190" t="s">
        <v>3885</v>
      </c>
      <c r="R1195" s="188">
        <v>45980</v>
      </c>
      <c r="S1195" s="193" t="s">
        <v>126</v>
      </c>
      <c r="T1195" s="192"/>
      <c r="U1195" s="829"/>
      <c r="V1195" s="10"/>
      <c r="W1195" s="10"/>
      <c r="X1195" s="10"/>
      <c r="Y1195" s="10"/>
      <c r="Z1195" s="10"/>
      <c r="AA1195" s="11"/>
      <c r="AB1195" s="11"/>
    </row>
    <row r="1196" spans="2:28" x14ac:dyDescent="0.3">
      <c r="B1196" s="10" t="s">
        <v>398</v>
      </c>
      <c r="C1196" s="315"/>
      <c r="D1196" s="868" t="s">
        <v>3845</v>
      </c>
      <c r="E1196" s="837" t="str">
        <f>IFERROR(IF(_xlfn.XLOOKUP(Imput[[#This Row],[RFC]],'Alta Proveedor'!D:D,'Alta Proveedor'!E:E)=0,"",_xlfn.XLOOKUP(Imput[[#This Row],[RFC]],'Alta Proveedor'!D:D,'Alta Proveedor'!E:E)),"")</f>
        <v>HOME DEPOT MEXICO SUCURSAL 8644-MATAMOROS</v>
      </c>
      <c r="F1196" s="832" t="s">
        <v>3847</v>
      </c>
      <c r="G1196" s="187">
        <v>6</v>
      </c>
      <c r="H1196" s="1">
        <f>174.17/Imput[[#This Row],[Cantidad]]</f>
        <v>29.028333333333332</v>
      </c>
      <c r="I1196" s="169">
        <f>Imput[[#This Row],[Cantidad]]*Imput[[#This Row],[Precio Unitario]]</f>
        <v>174.17</v>
      </c>
      <c r="J1196" s="11">
        <f>((Imput[[#This Row],[Sub total]])*(0.08))</f>
        <v>13.933599999999998</v>
      </c>
      <c r="K1196" s="11">
        <v>0</v>
      </c>
      <c r="L1196" s="169">
        <f>Imput[[#This Row],[Sub total]]+Imput[[#This Row],[IVA]]-Imput[[#This Row],[Retención / IEPS / Descuento]]</f>
        <v>188.10359999999997</v>
      </c>
      <c r="M1196" s="844">
        <v>0</v>
      </c>
      <c r="N1196" s="189" t="s">
        <v>123</v>
      </c>
      <c r="O1196" s="1"/>
      <c r="P1196" s="189" t="s">
        <v>3884</v>
      </c>
      <c r="Q1196" s="190" t="s">
        <v>3885</v>
      </c>
      <c r="R1196" s="188">
        <v>45980</v>
      </c>
      <c r="S1196" s="193" t="s">
        <v>126</v>
      </c>
      <c r="T1196" s="192"/>
      <c r="U1196" s="829"/>
      <c r="V1196" s="10"/>
      <c r="W1196" s="10"/>
      <c r="X1196" s="10"/>
      <c r="Y1196" s="10"/>
      <c r="Z1196" s="10"/>
      <c r="AA1196" s="11"/>
      <c r="AB1196" s="11"/>
    </row>
    <row r="1197" spans="2:28" x14ac:dyDescent="0.3">
      <c r="B1197" s="10" t="s">
        <v>398</v>
      </c>
      <c r="C1197" s="315"/>
      <c r="D1197" s="868" t="s">
        <v>3410</v>
      </c>
      <c r="E1197" s="837" t="str">
        <f>IFERROR(IF(_xlfn.XLOOKUP(Imput[[#This Row],[RFC]],'Alta Proveedor'!D:D,'Alta Proveedor'!E:E)=0,"",_xlfn.XLOOKUP(Imput[[#This Row],[RFC]],'Alta Proveedor'!D:D,'Alta Proveedor'!E:E)),"")</f>
        <v>AEROVIAS DE MEXICO (VUELOS)</v>
      </c>
      <c r="F1197" s="832" t="s">
        <v>3412</v>
      </c>
      <c r="G1197" s="187">
        <v>1</v>
      </c>
      <c r="H1197" s="1">
        <v>1419.05</v>
      </c>
      <c r="I1197" s="169">
        <f>Imput[[#This Row],[Cantidad]]*Imput[[#This Row],[Precio Unitario]]</f>
        <v>1419.05</v>
      </c>
      <c r="J1197" s="11">
        <f>((Imput[[#This Row],[Sub total]])*(0.16))</f>
        <v>227.048</v>
      </c>
      <c r="K1197" s="11">
        <v>0</v>
      </c>
      <c r="L1197" s="169">
        <f>Imput[[#This Row],[Sub total]]+Imput[[#This Row],[IVA]]-Imput[[#This Row],[Retención / IEPS / Descuento]]</f>
        <v>1646.098</v>
      </c>
      <c r="M1197" s="844">
        <v>4799.0003999999999</v>
      </c>
      <c r="N1197" s="189" t="s">
        <v>123</v>
      </c>
      <c r="O1197" s="1"/>
      <c r="P1197" s="189" t="s">
        <v>3886</v>
      </c>
      <c r="Q1197" s="190" t="s">
        <v>3887</v>
      </c>
      <c r="R1197" s="188">
        <v>45978</v>
      </c>
      <c r="S1197" s="193" t="s">
        <v>126</v>
      </c>
      <c r="T1197" s="192"/>
      <c r="U1197" s="829"/>
      <c r="V1197" s="10"/>
      <c r="W1197" s="10"/>
      <c r="X1197" s="10"/>
      <c r="Y1197" s="10"/>
      <c r="Z1197" s="10"/>
      <c r="AA1197" s="11"/>
      <c r="AB1197" s="11"/>
    </row>
    <row r="1198" spans="2:28" x14ac:dyDescent="0.3">
      <c r="B1198" s="10" t="s">
        <v>398</v>
      </c>
      <c r="C1198" s="315"/>
      <c r="D1198" s="868" t="s">
        <v>3410</v>
      </c>
      <c r="E1198" s="837" t="str">
        <f>IFERROR(IF(_xlfn.XLOOKUP(Imput[[#This Row],[RFC]],'Alta Proveedor'!D:D,'Alta Proveedor'!E:E)=0,"",_xlfn.XLOOKUP(Imput[[#This Row],[RFC]],'Alta Proveedor'!D:D,'Alta Proveedor'!E:E)),"")</f>
        <v>AEROVIAS DE MEXICO (VUELOS)</v>
      </c>
      <c r="F1198" s="832" t="s">
        <v>3412</v>
      </c>
      <c r="G1198" s="187">
        <v>1</v>
      </c>
      <c r="H1198" s="1">
        <v>500</v>
      </c>
      <c r="I1198" s="169">
        <f>Imput[[#This Row],[Cantidad]]*Imput[[#This Row],[Precio Unitario]]</f>
        <v>500</v>
      </c>
      <c r="J1198" s="11">
        <f>((Imput[[#This Row],[Sub total]])*(0.16))</f>
        <v>80</v>
      </c>
      <c r="K1198" s="11">
        <v>0</v>
      </c>
      <c r="L1198" s="169">
        <f>Imput[[#This Row],[Sub total]]+Imput[[#This Row],[IVA]]-Imput[[#This Row],[Retención / IEPS / Descuento]]</f>
        <v>580</v>
      </c>
      <c r="M1198" s="844">
        <v>0</v>
      </c>
      <c r="N1198" s="189" t="s">
        <v>123</v>
      </c>
      <c r="O1198" s="1"/>
      <c r="P1198" s="189" t="s">
        <v>3886</v>
      </c>
      <c r="Q1198" s="190" t="s">
        <v>3887</v>
      </c>
      <c r="R1198" s="188">
        <v>45978</v>
      </c>
      <c r="S1198" s="193" t="s">
        <v>126</v>
      </c>
      <c r="T1198" s="192"/>
      <c r="U1198" s="829"/>
      <c r="V1198" s="10"/>
      <c r="W1198" s="10"/>
      <c r="X1198" s="10"/>
      <c r="Y1198" s="10"/>
      <c r="Z1198" s="10"/>
      <c r="AA1198" s="11"/>
      <c r="AB1198" s="11"/>
    </row>
    <row r="1199" spans="2:28" x14ac:dyDescent="0.3">
      <c r="B1199" s="10" t="s">
        <v>398</v>
      </c>
      <c r="C1199" s="315"/>
      <c r="D1199" s="868" t="s">
        <v>3410</v>
      </c>
      <c r="E1199" s="837" t="str">
        <f>IFERROR(IF(_xlfn.XLOOKUP(Imput[[#This Row],[RFC]],'Alta Proveedor'!D:D,'Alta Proveedor'!E:E)=0,"",_xlfn.XLOOKUP(Imput[[#This Row],[RFC]],'Alta Proveedor'!D:D,'Alta Proveedor'!E:E)),"")</f>
        <v>AEROVIAS DE MEXICO (VUELOS)</v>
      </c>
      <c r="F1199" s="832" t="s">
        <v>3413</v>
      </c>
      <c r="G1199" s="187">
        <v>1</v>
      </c>
      <c r="H1199" s="1">
        <v>23</v>
      </c>
      <c r="I1199" s="169">
        <f>Imput[[#This Row],[Cantidad]]*Imput[[#This Row],[Precio Unitario]]</f>
        <v>23</v>
      </c>
      <c r="J1199" s="11">
        <v>0</v>
      </c>
      <c r="K1199" s="11">
        <v>0</v>
      </c>
      <c r="L1199" s="169">
        <f>Imput[[#This Row],[Sub total]]+Imput[[#This Row],[IVA]]-Imput[[#This Row],[Retención / IEPS / Descuento]]</f>
        <v>23</v>
      </c>
      <c r="M1199" s="844">
        <v>0</v>
      </c>
      <c r="N1199" s="189" t="s">
        <v>123</v>
      </c>
      <c r="O1199" s="1"/>
      <c r="P1199" s="189" t="s">
        <v>3886</v>
      </c>
      <c r="Q1199" s="190" t="s">
        <v>3887</v>
      </c>
      <c r="R1199" s="188">
        <v>45978</v>
      </c>
      <c r="S1199" s="193" t="s">
        <v>126</v>
      </c>
      <c r="T1199" s="192"/>
      <c r="U1199" s="829"/>
      <c r="V1199" s="10"/>
      <c r="W1199" s="10"/>
      <c r="X1199" s="10"/>
      <c r="Y1199" s="10"/>
      <c r="Z1199" s="10"/>
      <c r="AA1199" s="11"/>
      <c r="AB1199" s="11"/>
    </row>
    <row r="1200" spans="2:28" x14ac:dyDescent="0.3">
      <c r="B1200" s="10" t="s">
        <v>398</v>
      </c>
      <c r="C1200" s="315"/>
      <c r="D1200" s="868" t="s">
        <v>3410</v>
      </c>
      <c r="E1200" s="837" t="str">
        <f>IFERROR(IF(_xlfn.XLOOKUP(Imput[[#This Row],[RFC]],'Alta Proveedor'!D:D,'Alta Proveedor'!E:E)=0,"",_xlfn.XLOOKUP(Imput[[#This Row],[RFC]],'Alta Proveedor'!D:D,'Alta Proveedor'!E:E)),"")</f>
        <v>AEROVIAS DE MEXICO (VUELOS)</v>
      </c>
      <c r="F1200" s="832" t="s">
        <v>3414</v>
      </c>
      <c r="G1200" s="187">
        <v>1</v>
      </c>
      <c r="H1200" s="1">
        <v>460</v>
      </c>
      <c r="I1200" s="169">
        <f>Imput[[#This Row],[Cantidad]]*Imput[[#This Row],[Precio Unitario]]</f>
        <v>460</v>
      </c>
      <c r="J1200" s="11">
        <v>0</v>
      </c>
      <c r="K1200" s="11">
        <v>0</v>
      </c>
      <c r="L1200" s="169">
        <f>Imput[[#This Row],[Sub total]]+Imput[[#This Row],[IVA]]-Imput[[#This Row],[Retención / IEPS / Descuento]]</f>
        <v>460</v>
      </c>
      <c r="M1200" s="844">
        <v>0</v>
      </c>
      <c r="N1200" s="189" t="s">
        <v>123</v>
      </c>
      <c r="O1200" s="1"/>
      <c r="P1200" s="189" t="s">
        <v>3886</v>
      </c>
      <c r="Q1200" s="190" t="s">
        <v>3887</v>
      </c>
      <c r="R1200" s="188">
        <v>45978</v>
      </c>
      <c r="S1200" s="193" t="s">
        <v>126</v>
      </c>
      <c r="T1200" s="192"/>
      <c r="U1200" s="829"/>
      <c r="V1200" s="10"/>
      <c r="W1200" s="10"/>
      <c r="X1200" s="10"/>
      <c r="Y1200" s="10"/>
      <c r="Z1200" s="10"/>
      <c r="AA1200" s="11"/>
      <c r="AB1200" s="11"/>
    </row>
    <row r="1201" spans="2:28" x14ac:dyDescent="0.3">
      <c r="B1201" s="10" t="s">
        <v>398</v>
      </c>
      <c r="C1201" s="315"/>
      <c r="D1201" s="868" t="s">
        <v>3410</v>
      </c>
      <c r="E1201" s="837" t="str">
        <f>IFERROR(IF(_xlfn.XLOOKUP(Imput[[#This Row],[RFC]],'Alta Proveedor'!D:D,'Alta Proveedor'!E:E)=0,"",_xlfn.XLOOKUP(Imput[[#This Row],[RFC]],'Alta Proveedor'!D:D,'Alta Proveedor'!E:E)),"")</f>
        <v>AEROVIAS DE MEXICO (VUELOS)</v>
      </c>
      <c r="F1201" s="832" t="s">
        <v>3888</v>
      </c>
      <c r="G1201" s="187">
        <v>1</v>
      </c>
      <c r="H1201" s="1">
        <v>1801.64</v>
      </c>
      <c r="I1201" s="169">
        <f>Imput[[#This Row],[Cantidad]]*Imput[[#This Row],[Precio Unitario]]</f>
        <v>1801.64</v>
      </c>
      <c r="J1201" s="11">
        <f>((Imput[[#This Row],[Sub total]])*(0.16))</f>
        <v>288.26240000000001</v>
      </c>
      <c r="K1201" s="11">
        <v>0</v>
      </c>
      <c r="L1201" s="169">
        <f>Imput[[#This Row],[Sub total]]+Imput[[#This Row],[IVA]]-Imput[[#This Row],[Retención / IEPS / Descuento]]</f>
        <v>2089.9023999999999</v>
      </c>
      <c r="M1201" s="844">
        <v>0</v>
      </c>
      <c r="N1201" s="189" t="s">
        <v>123</v>
      </c>
      <c r="O1201" s="1"/>
      <c r="P1201" s="189" t="s">
        <v>3886</v>
      </c>
      <c r="Q1201" s="190" t="s">
        <v>3887</v>
      </c>
      <c r="R1201" s="188">
        <v>45978</v>
      </c>
      <c r="S1201" s="193" t="s">
        <v>126</v>
      </c>
      <c r="T1201" s="192"/>
      <c r="U1201" s="829"/>
      <c r="V1201" s="10"/>
      <c r="W1201" s="10"/>
      <c r="X1201" s="10"/>
      <c r="Y1201" s="10"/>
      <c r="Z1201" s="10"/>
      <c r="AA1201" s="11"/>
      <c r="AB1201" s="11"/>
    </row>
    <row r="1202" spans="2:28" x14ac:dyDescent="0.3">
      <c r="B1202" s="10" t="s">
        <v>398</v>
      </c>
      <c r="C1202" s="315"/>
      <c r="D1202" s="868" t="s">
        <v>3080</v>
      </c>
      <c r="E1202" s="837" t="str">
        <f>IFERROR(IF(_xlfn.XLOOKUP(Imput[[#This Row],[RFC]],'Alta Proveedor'!D:D,'Alta Proveedor'!E:E)=0,"",_xlfn.XLOOKUP(Imput[[#This Row],[RFC]],'Alta Proveedor'!D:D,'Alta Proveedor'!E:E)),"")</f>
        <v>CONCRETOS TANCOL</v>
      </c>
      <c r="F1202" s="832" t="s">
        <v>3891</v>
      </c>
      <c r="G1202" s="187">
        <v>3</v>
      </c>
      <c r="H1202" s="1">
        <v>3305.56</v>
      </c>
      <c r="I1202" s="169">
        <f>Imput[[#This Row],[Cantidad]]*Imput[[#This Row],[Precio Unitario]]</f>
        <v>9916.68</v>
      </c>
      <c r="J1202" s="11">
        <f>((Imput[[#This Row],[Sub total]])*(0.08))</f>
        <v>793.33440000000007</v>
      </c>
      <c r="K1202" s="11">
        <v>0</v>
      </c>
      <c r="L1202" s="169">
        <f>Imput[[#This Row],[Sub total]]+Imput[[#This Row],[IVA]]-Imput[[#This Row],[Retención / IEPS / Descuento]]</f>
        <v>10710.0144</v>
      </c>
      <c r="M1202" s="844">
        <v>10710.0144</v>
      </c>
      <c r="N1202" s="189" t="s">
        <v>123</v>
      </c>
      <c r="O1202" s="1"/>
      <c r="P1202" s="189" t="s">
        <v>3889</v>
      </c>
      <c r="Q1202" s="190" t="s">
        <v>3890</v>
      </c>
      <c r="R1202" s="188">
        <v>45980</v>
      </c>
      <c r="S1202" s="193" t="s">
        <v>126</v>
      </c>
      <c r="T1202" s="192"/>
      <c r="U1202" s="829"/>
      <c r="V1202" s="10"/>
      <c r="W1202" s="10"/>
      <c r="X1202" s="10"/>
      <c r="Y1202" s="10"/>
      <c r="Z1202" s="10"/>
      <c r="AA1202" s="11"/>
      <c r="AB1202" s="11"/>
    </row>
    <row r="1203" spans="2:28" x14ac:dyDescent="0.3">
      <c r="B1203" s="10" t="s">
        <v>387</v>
      </c>
      <c r="C1203" s="315" t="s">
        <v>1131</v>
      </c>
      <c r="D1203" s="868" t="s">
        <v>3894</v>
      </c>
      <c r="E1203" s="837" t="str">
        <f>IFERROR(IF(_xlfn.XLOOKUP(Imput[[#This Row],[RFC]],'Alta Proveedor'!D:D,'Alta Proveedor'!E:E)=0,"",_xlfn.XLOOKUP(Imput[[#This Row],[RFC]],'Alta Proveedor'!D:D,'Alta Proveedor'!E:E)),"")</f>
        <v>COSTCO DE MEXICO</v>
      </c>
      <c r="F1203" s="832" t="s">
        <v>3896</v>
      </c>
      <c r="G1203" s="187">
        <v>1</v>
      </c>
      <c r="H1203" s="1">
        <v>9082.66</v>
      </c>
      <c r="I1203" s="169">
        <f>Imput[[#This Row],[Cantidad]]*Imput[[#This Row],[Precio Unitario]]</f>
        <v>9082.66</v>
      </c>
      <c r="J1203" s="11">
        <f>((Imput[[#This Row],[Sub total]])*(0.16))</f>
        <v>1453.2256</v>
      </c>
      <c r="K1203" s="11">
        <v>0</v>
      </c>
      <c r="L1203" s="169">
        <f>Imput[[#This Row],[Sub total]]+Imput[[#This Row],[IVA]]-Imput[[#This Row],[Retención / IEPS / Descuento]]</f>
        <v>10535.8856</v>
      </c>
      <c r="M1203" s="844">
        <v>10535.8856</v>
      </c>
      <c r="N1203" s="189" t="s">
        <v>123</v>
      </c>
      <c r="O1203" s="1"/>
      <c r="P1203" s="189" t="s">
        <v>3892</v>
      </c>
      <c r="Q1203" s="190" t="s">
        <v>3893</v>
      </c>
      <c r="R1203" s="188">
        <v>45905</v>
      </c>
      <c r="S1203" s="193" t="s">
        <v>126</v>
      </c>
      <c r="T1203" s="192"/>
      <c r="U1203" s="829"/>
      <c r="V1203" s="10"/>
      <c r="W1203" s="10"/>
      <c r="X1203" s="10"/>
      <c r="Y1203" s="10"/>
      <c r="Z1203" s="10"/>
      <c r="AA1203" s="11"/>
      <c r="AB1203" s="11"/>
    </row>
    <row r="1204" spans="2:28" x14ac:dyDescent="0.3">
      <c r="B1204" s="10" t="s">
        <v>387</v>
      </c>
      <c r="C1204" s="315"/>
      <c r="D1204" s="868" t="s">
        <v>3894</v>
      </c>
      <c r="E1204" s="837" t="str">
        <f>IFERROR(IF(_xlfn.XLOOKUP(Imput[[#This Row],[RFC]],'Alta Proveedor'!D:D,'Alta Proveedor'!E:E)=0,"",_xlfn.XLOOKUP(Imput[[#This Row],[RFC]],'Alta Proveedor'!D:D,'Alta Proveedor'!E:E)),"")</f>
        <v>COSTCO DE MEXICO</v>
      </c>
      <c r="F1204" s="832" t="s">
        <v>3899</v>
      </c>
      <c r="G1204" s="187">
        <v>2</v>
      </c>
      <c r="H1204" s="1">
        <f>403.94/Imput[[#This Row],[Cantidad]]</f>
        <v>201.97</v>
      </c>
      <c r="I1204" s="169">
        <f>Imput[[#This Row],[Cantidad]]*Imput[[#This Row],[Precio Unitario]]</f>
        <v>403.94</v>
      </c>
      <c r="J1204" s="11">
        <f>((404)*(0.16))</f>
        <v>64.64</v>
      </c>
      <c r="K1204" s="11">
        <v>0</v>
      </c>
      <c r="L1204" s="169">
        <f>Imput[[#This Row],[Sub total]]+Imput[[#This Row],[IVA]]-Imput[[#This Row],[Retención / IEPS / Descuento]]</f>
        <v>468.58</v>
      </c>
      <c r="M1204" s="844">
        <v>1969.3899999999999</v>
      </c>
      <c r="N1204" s="189" t="s">
        <v>123</v>
      </c>
      <c r="O1204" s="1"/>
      <c r="P1204" s="189" t="s">
        <v>3897</v>
      </c>
      <c r="Q1204" s="190" t="s">
        <v>3898</v>
      </c>
      <c r="R1204" s="188">
        <v>45905</v>
      </c>
      <c r="S1204" s="193" t="s">
        <v>126</v>
      </c>
      <c r="T1204" s="192"/>
      <c r="U1204" s="829"/>
      <c r="V1204" s="10"/>
      <c r="W1204" s="10"/>
      <c r="X1204" s="10"/>
      <c r="Y1204" s="10"/>
      <c r="Z1204" s="10"/>
      <c r="AA1204" s="11"/>
      <c r="AB1204" s="11"/>
    </row>
    <row r="1205" spans="2:28" x14ac:dyDescent="0.3">
      <c r="B1205" s="10" t="s">
        <v>387</v>
      </c>
      <c r="C1205" s="315"/>
      <c r="D1205" s="868" t="s">
        <v>3894</v>
      </c>
      <c r="E1205" s="837" t="str">
        <f>IFERROR(IF(_xlfn.XLOOKUP(Imput[[#This Row],[RFC]],'Alta Proveedor'!D:D,'Alta Proveedor'!E:E)=0,"",_xlfn.XLOOKUP(Imput[[#This Row],[RFC]],'Alta Proveedor'!D:D,'Alta Proveedor'!E:E)),"")</f>
        <v>COSTCO DE MEXICO</v>
      </c>
      <c r="F1205" s="832" t="s">
        <v>3900</v>
      </c>
      <c r="G1205" s="187">
        <v>1</v>
      </c>
      <c r="H1205" s="1">
        <f>325.42/Imput[[#This Row],[Cantidad]]</f>
        <v>325.42</v>
      </c>
      <c r="I1205" s="169">
        <f>Imput[[#This Row],[Cantidad]]*Imput[[#This Row],[Precio Unitario]]</f>
        <v>325.42</v>
      </c>
      <c r="J1205" s="11">
        <f>((325.4375)*(0.16))</f>
        <v>52.07</v>
      </c>
      <c r="K1205" s="11">
        <v>0</v>
      </c>
      <c r="L1205" s="169">
        <f>Imput[[#This Row],[Sub total]]+Imput[[#This Row],[IVA]]-Imput[[#This Row],[Retención / IEPS / Descuento]]</f>
        <v>377.49</v>
      </c>
      <c r="M1205" s="844">
        <v>0</v>
      </c>
      <c r="N1205" s="189" t="s">
        <v>123</v>
      </c>
      <c r="O1205" s="1"/>
      <c r="P1205" s="189" t="s">
        <v>3897</v>
      </c>
      <c r="Q1205" s="190" t="s">
        <v>3898</v>
      </c>
      <c r="R1205" s="188">
        <v>45905</v>
      </c>
      <c r="S1205" s="193" t="s">
        <v>126</v>
      </c>
      <c r="T1205" s="192"/>
      <c r="U1205" s="829"/>
      <c r="V1205" s="10"/>
      <c r="W1205" s="10"/>
      <c r="X1205" s="10"/>
      <c r="Y1205" s="10"/>
      <c r="Z1205" s="10"/>
      <c r="AA1205" s="11"/>
      <c r="AB1205" s="11"/>
    </row>
    <row r="1206" spans="2:28" x14ac:dyDescent="0.3">
      <c r="B1206" s="10" t="s">
        <v>387</v>
      </c>
      <c r="C1206" s="315"/>
      <c r="D1206" s="868" t="s">
        <v>3894</v>
      </c>
      <c r="E1206" s="837" t="str">
        <f>IFERROR(IF(_xlfn.XLOOKUP(Imput[[#This Row],[RFC]],'Alta Proveedor'!D:D,'Alta Proveedor'!E:E)=0,"",_xlfn.XLOOKUP(Imput[[#This Row],[RFC]],'Alta Proveedor'!D:D,'Alta Proveedor'!E:E)),"")</f>
        <v>COSTCO DE MEXICO</v>
      </c>
      <c r="F1206" s="832" t="s">
        <v>3901</v>
      </c>
      <c r="G1206" s="187">
        <v>1</v>
      </c>
      <c r="H1206" s="1">
        <f>387.16/Imput[[#This Row],[Cantidad]]</f>
        <v>387.16</v>
      </c>
      <c r="I1206" s="169">
        <f>Imput[[#This Row],[Cantidad]]*Imput[[#This Row],[Precio Unitario]]</f>
        <v>387.16</v>
      </c>
      <c r="J1206" s="11">
        <f>((387.1875)*(0.16))</f>
        <v>61.95</v>
      </c>
      <c r="K1206" s="11">
        <v>0</v>
      </c>
      <c r="L1206" s="169">
        <f>Imput[[#This Row],[Sub total]]+Imput[[#This Row],[IVA]]-Imput[[#This Row],[Retención / IEPS / Descuento]]</f>
        <v>449.11</v>
      </c>
      <c r="M1206" s="844">
        <v>0</v>
      </c>
      <c r="N1206" s="189" t="s">
        <v>123</v>
      </c>
      <c r="O1206" s="1"/>
      <c r="P1206" s="189" t="s">
        <v>3897</v>
      </c>
      <c r="Q1206" s="190" t="s">
        <v>3898</v>
      </c>
      <c r="R1206" s="188">
        <v>45905</v>
      </c>
      <c r="S1206" s="193" t="s">
        <v>126</v>
      </c>
      <c r="T1206" s="192"/>
      <c r="U1206" s="829"/>
      <c r="V1206" s="10"/>
      <c r="W1206" s="10"/>
      <c r="X1206" s="10"/>
      <c r="Y1206" s="10"/>
      <c r="Z1206" s="10"/>
      <c r="AA1206" s="11"/>
      <c r="AB1206" s="11"/>
    </row>
    <row r="1207" spans="2:28" x14ac:dyDescent="0.3">
      <c r="B1207" s="10" t="s">
        <v>387</v>
      </c>
      <c r="C1207" s="315"/>
      <c r="D1207" s="868" t="s">
        <v>3894</v>
      </c>
      <c r="E1207" s="837" t="str">
        <f>IFERROR(IF(_xlfn.XLOOKUP(Imput[[#This Row],[RFC]],'Alta Proveedor'!D:D,'Alta Proveedor'!E:E)=0,"",_xlfn.XLOOKUP(Imput[[#This Row],[RFC]],'Alta Proveedor'!D:D,'Alta Proveedor'!E:E)),"")</f>
        <v>COSTCO DE MEXICO</v>
      </c>
      <c r="F1207" s="832" t="s">
        <v>3902</v>
      </c>
      <c r="G1207" s="187">
        <v>1</v>
      </c>
      <c r="H1207" s="1">
        <f>127.88/Imput[[#This Row],[Cantidad]]</f>
        <v>127.88</v>
      </c>
      <c r="I1207" s="169">
        <f>Imput[[#This Row],[Cantidad]]*Imput[[#This Row],[Precio Unitario]]</f>
        <v>127.88</v>
      </c>
      <c r="J1207" s="11">
        <f>((127.875)*(0.16))</f>
        <v>20.46</v>
      </c>
      <c r="K1207" s="11">
        <v>0</v>
      </c>
      <c r="L1207" s="169">
        <f>Imput[[#This Row],[Sub total]]+Imput[[#This Row],[IVA]]-Imput[[#This Row],[Retención / IEPS / Descuento]]</f>
        <v>148.34</v>
      </c>
      <c r="M1207" s="844">
        <v>0</v>
      </c>
      <c r="N1207" s="189" t="s">
        <v>123</v>
      </c>
      <c r="O1207" s="1"/>
      <c r="P1207" s="189" t="s">
        <v>3897</v>
      </c>
      <c r="Q1207" s="190" t="s">
        <v>3898</v>
      </c>
      <c r="R1207" s="188">
        <v>45905</v>
      </c>
      <c r="S1207" s="193" t="s">
        <v>126</v>
      </c>
      <c r="T1207" s="192"/>
      <c r="U1207" s="829"/>
      <c r="V1207" s="10"/>
      <c r="W1207" s="10"/>
      <c r="X1207" s="10"/>
      <c r="Y1207" s="10"/>
      <c r="Z1207" s="10"/>
      <c r="AA1207" s="11"/>
      <c r="AB1207" s="11"/>
    </row>
    <row r="1208" spans="2:28" x14ac:dyDescent="0.3">
      <c r="B1208" s="10" t="s">
        <v>387</v>
      </c>
      <c r="C1208" s="315"/>
      <c r="D1208" s="868" t="s">
        <v>3894</v>
      </c>
      <c r="E1208" s="837" t="str">
        <f>IFERROR(IF(_xlfn.XLOOKUP(Imput[[#This Row],[RFC]],'Alta Proveedor'!D:D,'Alta Proveedor'!E:E)=0,"",_xlfn.XLOOKUP(Imput[[#This Row],[RFC]],'Alta Proveedor'!D:D,'Alta Proveedor'!E:E)),"")</f>
        <v>COSTCO DE MEXICO</v>
      </c>
      <c r="F1208" s="832" t="s">
        <v>3903</v>
      </c>
      <c r="G1208" s="187">
        <v>1</v>
      </c>
      <c r="H1208" s="1">
        <f>207.27/Imput[[#This Row],[Cantidad]]</f>
        <v>207.27</v>
      </c>
      <c r="I1208" s="169">
        <f>Imput[[#This Row],[Cantidad]]*Imput[[#This Row],[Precio Unitario]]</f>
        <v>207.27</v>
      </c>
      <c r="J1208" s="11">
        <f>((207.25)*(0.16))</f>
        <v>33.160000000000004</v>
      </c>
      <c r="K1208" s="11">
        <v>0</v>
      </c>
      <c r="L1208" s="169">
        <f>Imput[[#This Row],[Sub total]]+Imput[[#This Row],[IVA]]-Imput[[#This Row],[Retención / IEPS / Descuento]]</f>
        <v>240.43</v>
      </c>
      <c r="M1208" s="844">
        <v>0</v>
      </c>
      <c r="N1208" s="189" t="s">
        <v>123</v>
      </c>
      <c r="O1208" s="1"/>
      <c r="P1208" s="189" t="s">
        <v>3897</v>
      </c>
      <c r="Q1208" s="190" t="s">
        <v>3898</v>
      </c>
      <c r="R1208" s="188">
        <v>45905</v>
      </c>
      <c r="S1208" s="193" t="s">
        <v>126</v>
      </c>
      <c r="T1208" s="192"/>
      <c r="U1208" s="829"/>
      <c r="V1208" s="10"/>
      <c r="W1208" s="10"/>
      <c r="X1208" s="10"/>
      <c r="Y1208" s="10"/>
      <c r="Z1208" s="10"/>
      <c r="AA1208" s="11"/>
      <c r="AB1208" s="11"/>
    </row>
    <row r="1209" spans="2:28" x14ac:dyDescent="0.3">
      <c r="B1209" s="10" t="s">
        <v>387</v>
      </c>
      <c r="C1209" s="315"/>
      <c r="D1209" s="868" t="s">
        <v>3894</v>
      </c>
      <c r="E1209" s="837" t="str">
        <f>IFERROR(IF(_xlfn.XLOOKUP(Imput[[#This Row],[RFC]],'Alta Proveedor'!D:D,'Alta Proveedor'!E:E)=0,"",_xlfn.XLOOKUP(Imput[[#This Row],[RFC]],'Alta Proveedor'!D:D,'Alta Proveedor'!E:E)),"")</f>
        <v>COSTCO DE MEXICO</v>
      </c>
      <c r="F1209" s="832" t="s">
        <v>3904</v>
      </c>
      <c r="G1209" s="187">
        <v>1</v>
      </c>
      <c r="H1209" s="1">
        <f>246.07/Imput[[#This Row],[Cantidad]]</f>
        <v>246.07</v>
      </c>
      <c r="I1209" s="169">
        <f>Imput[[#This Row],[Cantidad]]*Imput[[#This Row],[Precio Unitario]]</f>
        <v>246.07</v>
      </c>
      <c r="J1209" s="11">
        <f>((246.0625)*(0.16))</f>
        <v>39.369999999999997</v>
      </c>
      <c r="K1209" s="11">
        <v>0</v>
      </c>
      <c r="L1209" s="169">
        <f>Imput[[#This Row],[Sub total]]+Imput[[#This Row],[IVA]]-Imput[[#This Row],[Retención / IEPS / Descuento]]</f>
        <v>285.44</v>
      </c>
      <c r="M1209" s="844">
        <v>0</v>
      </c>
      <c r="N1209" s="189" t="s">
        <v>123</v>
      </c>
      <c r="O1209" s="1"/>
      <c r="P1209" s="189" t="s">
        <v>3897</v>
      </c>
      <c r="Q1209" s="190" t="s">
        <v>3898</v>
      </c>
      <c r="R1209" s="188">
        <v>45905</v>
      </c>
      <c r="S1209" s="193" t="s">
        <v>126</v>
      </c>
      <c r="T1209" s="192"/>
      <c r="U1209" s="829"/>
      <c r="V1209" s="10"/>
      <c r="W1209" s="10"/>
      <c r="X1209" s="10"/>
      <c r="Y1209" s="10"/>
      <c r="Z1209" s="10"/>
      <c r="AA1209" s="11"/>
      <c r="AB1209" s="11"/>
    </row>
    <row r="1210" spans="2:28" x14ac:dyDescent="0.3">
      <c r="B1210" s="10" t="s">
        <v>387</v>
      </c>
      <c r="C1210" s="315"/>
      <c r="D1210" s="868" t="s">
        <v>3894</v>
      </c>
      <c r="E1210" s="837" t="str">
        <f>IFERROR(IF(_xlfn.XLOOKUP(Imput[[#This Row],[RFC]],'Alta Proveedor'!D:D,'Alta Proveedor'!E:E)=0,"",_xlfn.XLOOKUP(Imput[[#This Row],[RFC]],'Alta Proveedor'!D:D,'Alta Proveedor'!E:E)),"")</f>
        <v>COSTCO DE MEXICO</v>
      </c>
      <c r="F1210" s="832" t="s">
        <v>3907</v>
      </c>
      <c r="G1210" s="187">
        <v>1</v>
      </c>
      <c r="H1210" s="1">
        <v>201.96</v>
      </c>
      <c r="I1210" s="169">
        <f>Imput[[#This Row],[Cantidad]]*Imput[[#This Row],[Precio Unitario]]</f>
        <v>201.96</v>
      </c>
      <c r="J1210" s="11">
        <f>((201.9375)*(0.16))</f>
        <v>32.31</v>
      </c>
      <c r="K1210" s="11">
        <v>0</v>
      </c>
      <c r="L1210" s="169">
        <f>Imput[[#This Row],[Sub total]]+Imput[[#This Row],[IVA]]-Imput[[#This Row],[Retención / IEPS / Descuento]]</f>
        <v>234.27</v>
      </c>
      <c r="M1210" s="844">
        <v>6216.8000000000011</v>
      </c>
      <c r="N1210" s="189" t="s">
        <v>123</v>
      </c>
      <c r="O1210" s="1"/>
      <c r="P1210" s="189" t="s">
        <v>3905</v>
      </c>
      <c r="Q1210" s="190" t="s">
        <v>3906</v>
      </c>
      <c r="R1210" s="188">
        <v>45906</v>
      </c>
      <c r="S1210" s="193" t="s">
        <v>126</v>
      </c>
      <c r="T1210" s="192"/>
      <c r="U1210" s="829"/>
      <c r="V1210" s="10"/>
      <c r="W1210" s="10"/>
      <c r="X1210" s="10"/>
      <c r="Y1210" s="10"/>
      <c r="Z1210" s="10"/>
      <c r="AA1210" s="11"/>
      <c r="AB1210" s="11"/>
    </row>
    <row r="1211" spans="2:28" x14ac:dyDescent="0.3">
      <c r="B1211" s="10" t="s">
        <v>387</v>
      </c>
      <c r="C1211" s="315" t="s">
        <v>2903</v>
      </c>
      <c r="D1211" s="868" t="s">
        <v>3894</v>
      </c>
      <c r="E1211" s="837" t="str">
        <f>IFERROR(IF(_xlfn.XLOOKUP(Imput[[#This Row],[RFC]],'Alta Proveedor'!D:D,'Alta Proveedor'!E:E)=0,"",_xlfn.XLOOKUP(Imput[[#This Row],[RFC]],'Alta Proveedor'!D:D,'Alta Proveedor'!E:E)),"")</f>
        <v>COSTCO DE MEXICO</v>
      </c>
      <c r="F1211" s="832" t="s">
        <v>3908</v>
      </c>
      <c r="G1211" s="187">
        <v>1</v>
      </c>
      <c r="H1211" s="1">
        <v>4144.04</v>
      </c>
      <c r="I1211" s="169">
        <f>Imput[[#This Row],[Cantidad]]*Imput[[#This Row],[Precio Unitario]]</f>
        <v>4144.04</v>
      </c>
      <c r="J1211" s="11">
        <f>((4144.0625)*(0.16))</f>
        <v>663.05000000000007</v>
      </c>
      <c r="K1211" s="11">
        <v>0</v>
      </c>
      <c r="L1211" s="169">
        <f>Imput[[#This Row],[Sub total]]+Imput[[#This Row],[IVA]]-Imput[[#This Row],[Retención / IEPS / Descuento]]</f>
        <v>4807.09</v>
      </c>
      <c r="M1211" s="844">
        <v>0</v>
      </c>
      <c r="N1211" s="189" t="s">
        <v>123</v>
      </c>
      <c r="O1211" s="1"/>
      <c r="P1211" s="189" t="s">
        <v>3905</v>
      </c>
      <c r="Q1211" s="190" t="s">
        <v>3906</v>
      </c>
      <c r="R1211" s="188">
        <v>45906</v>
      </c>
      <c r="S1211" s="193" t="s">
        <v>126</v>
      </c>
      <c r="T1211" s="192"/>
      <c r="U1211" s="829"/>
      <c r="V1211" s="10"/>
      <c r="W1211" s="10"/>
      <c r="X1211" s="10"/>
      <c r="Y1211" s="10"/>
      <c r="Z1211" s="10"/>
      <c r="AA1211" s="11"/>
      <c r="AB1211" s="11"/>
    </row>
    <row r="1212" spans="2:28" x14ac:dyDescent="0.3">
      <c r="B1212" s="10" t="s">
        <v>387</v>
      </c>
      <c r="C1212" s="315" t="s">
        <v>2903</v>
      </c>
      <c r="D1212" s="868" t="s">
        <v>3894</v>
      </c>
      <c r="E1212" s="837" t="str">
        <f>IFERROR(IF(_xlfn.XLOOKUP(Imput[[#This Row],[RFC]],'Alta Proveedor'!D:D,'Alta Proveedor'!E:E)=0,"",_xlfn.XLOOKUP(Imput[[#This Row],[RFC]],'Alta Proveedor'!D:D,'Alta Proveedor'!E:E)),"")</f>
        <v>COSTCO DE MEXICO</v>
      </c>
      <c r="F1212" s="832" t="s">
        <v>3909</v>
      </c>
      <c r="G1212" s="187">
        <v>1</v>
      </c>
      <c r="H1212" s="1">
        <v>1013.31</v>
      </c>
      <c r="I1212" s="169">
        <f>Imput[[#This Row],[Cantidad]]*Imput[[#This Row],[Precio Unitario]]</f>
        <v>1013.31</v>
      </c>
      <c r="J1212" s="11">
        <f>((1013.3125)*(0.16))</f>
        <v>162.13</v>
      </c>
      <c r="K1212" s="11">
        <v>0</v>
      </c>
      <c r="L1212" s="169">
        <f>Imput[[#This Row],[Sub total]]+Imput[[#This Row],[IVA]]-Imput[[#This Row],[Retención / IEPS / Descuento]]</f>
        <v>1175.44</v>
      </c>
      <c r="M1212" s="844">
        <v>0</v>
      </c>
      <c r="N1212" s="189" t="s">
        <v>123</v>
      </c>
      <c r="O1212" s="1"/>
      <c r="P1212" s="189" t="s">
        <v>3905</v>
      </c>
      <c r="Q1212" s="190" t="s">
        <v>3906</v>
      </c>
      <c r="R1212" s="188">
        <v>45906</v>
      </c>
      <c r="S1212" s="193" t="s">
        <v>126</v>
      </c>
      <c r="T1212" s="192"/>
      <c r="U1212" s="829"/>
      <c r="V1212" s="10"/>
      <c r="W1212" s="10"/>
      <c r="X1212" s="10"/>
      <c r="Y1212" s="10"/>
      <c r="Z1212" s="10"/>
      <c r="AA1212" s="11"/>
      <c r="AB1212" s="11"/>
    </row>
    <row r="1213" spans="2:28" x14ac:dyDescent="0.3">
      <c r="B1213" s="10"/>
      <c r="C1213" s="315"/>
      <c r="D1213" s="868" t="s">
        <v>3225</v>
      </c>
      <c r="E1213" s="837" t="str">
        <f>IFERROR(IF(_xlfn.XLOOKUP(Imput[[#This Row],[RFC]],'Alta Proveedor'!D:D,'Alta Proveedor'!E:E)=0,"",_xlfn.XLOOKUP(Imput[[#This Row],[RFC]],'Alta Proveedor'!D:D,'Alta Proveedor'!E:E)),"")</f>
        <v>GASTOS SIN FACTURA</v>
      </c>
      <c r="F1213" s="832" t="s">
        <v>3910</v>
      </c>
      <c r="G1213" s="187">
        <v>1</v>
      </c>
      <c r="H1213" s="1">
        <v>100000</v>
      </c>
      <c r="I1213" s="169">
        <f>Imput[[#This Row],[Cantidad]]*Imput[[#This Row],[Precio Unitario]]</f>
        <v>100000</v>
      </c>
      <c r="J1213" s="11">
        <v>0</v>
      </c>
      <c r="K1213" s="11">
        <v>0</v>
      </c>
      <c r="L1213" s="169">
        <f>Imput[[#This Row],[Sub total]]+Imput[[#This Row],[IVA]]-Imput[[#This Row],[Retención / IEPS / Descuento]]</f>
        <v>100000</v>
      </c>
      <c r="M1213" s="844">
        <v>100000</v>
      </c>
      <c r="N1213" s="189" t="s">
        <v>363</v>
      </c>
      <c r="O1213" s="1"/>
      <c r="P1213" s="189" t="s">
        <v>3911</v>
      </c>
      <c r="Q1213" s="190" t="s">
        <v>3911</v>
      </c>
      <c r="R1213" s="188"/>
      <c r="S1213" s="193"/>
      <c r="T1213" s="192"/>
      <c r="U1213" s="829"/>
      <c r="V1213" s="10"/>
      <c r="W1213" s="10"/>
      <c r="X1213" s="10"/>
      <c r="Y1213" s="10" t="s">
        <v>3912</v>
      </c>
      <c r="Z1213" s="10"/>
      <c r="AA1213" s="11"/>
      <c r="AB1213" s="11"/>
    </row>
    <row r="1214" spans="2:28" x14ac:dyDescent="0.3">
      <c r="B1214" s="10" t="s">
        <v>398</v>
      </c>
      <c r="C1214" s="315" t="s">
        <v>1747</v>
      </c>
      <c r="D1214" s="868" t="s">
        <v>3915</v>
      </c>
      <c r="E1214" s="837" t="str">
        <f>IFERROR(IF(_xlfn.XLOOKUP(Imput[[#This Row],[RFC]],'Alta Proveedor'!D:D,'Alta Proveedor'!E:E)=0,"",_xlfn.XLOOKUP(Imput[[#This Row],[RFC]],'Alta Proveedor'!D:D,'Alta Proveedor'!E:E)),"")</f>
        <v>ATENOGENES URIEL ARAUJO VALENZUELA</v>
      </c>
      <c r="F1214" s="832" t="s">
        <v>3917</v>
      </c>
      <c r="G1214" s="187">
        <v>1</v>
      </c>
      <c r="H1214" s="1">
        <v>1200</v>
      </c>
      <c r="I1214" s="169">
        <f>Imput[[#This Row],[Cantidad]]*Imput[[#This Row],[Precio Unitario]]</f>
        <v>1200</v>
      </c>
      <c r="J1214" s="11">
        <f>((Imput[[#This Row],[Sub total]])*(0.16))</f>
        <v>192</v>
      </c>
      <c r="K1214" s="11">
        <v>-36</v>
      </c>
      <c r="L1214" s="169">
        <f>Imput[[#This Row],[Sub total]]+Imput[[#This Row],[IVA]]-Imput[[#This Row],[Retención / IEPS / Descuento]]</f>
        <v>1428</v>
      </c>
      <c r="M1214" s="844">
        <v>1428</v>
      </c>
      <c r="N1214" s="189" t="s">
        <v>123</v>
      </c>
      <c r="O1214" s="1"/>
      <c r="P1214" s="189" t="s">
        <v>3913</v>
      </c>
      <c r="Q1214" s="190" t="s">
        <v>3914</v>
      </c>
      <c r="R1214" s="188">
        <v>45987</v>
      </c>
      <c r="S1214" s="193" t="s">
        <v>294</v>
      </c>
      <c r="T1214" s="192"/>
      <c r="U1214" s="829"/>
      <c r="V1214" s="10"/>
      <c r="W1214" s="10"/>
      <c r="X1214" s="10"/>
      <c r="Y1214" s="10"/>
      <c r="Z1214" s="10"/>
      <c r="AA1214" s="11"/>
      <c r="AB1214" s="11"/>
    </row>
    <row r="1215" spans="2:28" x14ac:dyDescent="0.3">
      <c r="B1215" s="10" t="s">
        <v>400</v>
      </c>
      <c r="C1215" s="315"/>
      <c r="D1215" s="868" t="s">
        <v>3920</v>
      </c>
      <c r="E1215" s="837" t="str">
        <f>IFERROR(IF(_xlfn.XLOOKUP(Imput[[#This Row],[RFC]],'Alta Proveedor'!D:D,'Alta Proveedor'!E:E)=0,"",_xlfn.XLOOKUP(Imput[[#This Row],[RFC]],'Alta Proveedor'!D:D,'Alta Proveedor'!E:E)),"")</f>
        <v>IRMA BEATRIZ ALVAREZ ZAMACONA</v>
      </c>
      <c r="F1215" s="832" t="s">
        <v>3922</v>
      </c>
      <c r="G1215" s="187">
        <v>10</v>
      </c>
      <c r="H1215" s="1">
        <v>137.93100000000001</v>
      </c>
      <c r="I1215" s="169">
        <f>Imput[[#This Row],[Cantidad]]*Imput[[#This Row],[Precio Unitario]]</f>
        <v>1379.3100000000002</v>
      </c>
      <c r="J1215" s="11">
        <f>((Imput[[#This Row],[Sub total]])*(0.16))</f>
        <v>220.68960000000004</v>
      </c>
      <c r="K1215" s="11">
        <v>0</v>
      </c>
      <c r="L1215" s="169">
        <f>Imput[[#This Row],[Sub total]]+Imput[[#This Row],[IVA]]-Imput[[#This Row],[Retención / IEPS / Descuento]]</f>
        <v>1599.9996000000001</v>
      </c>
      <c r="M1215" s="844">
        <v>4348.9966000000004</v>
      </c>
      <c r="N1215" s="189" t="s">
        <v>123</v>
      </c>
      <c r="O1215" s="1"/>
      <c r="P1215" s="189" t="s">
        <v>3918</v>
      </c>
      <c r="Q1215" s="190" t="s">
        <v>3919</v>
      </c>
      <c r="R1215" s="188">
        <v>45992</v>
      </c>
      <c r="S1215" s="193" t="s">
        <v>126</v>
      </c>
      <c r="T1215" s="192"/>
      <c r="U1215" s="829"/>
      <c r="V1215" s="10"/>
      <c r="W1215" s="10"/>
      <c r="X1215" s="10"/>
      <c r="Y1215" s="10"/>
      <c r="Z1215" s="10"/>
      <c r="AA1215" s="11"/>
      <c r="AB1215" s="11"/>
    </row>
    <row r="1216" spans="2:28" x14ac:dyDescent="0.3">
      <c r="B1216" s="10" t="s">
        <v>400</v>
      </c>
      <c r="C1216" s="315"/>
      <c r="D1216" s="868" t="s">
        <v>3920</v>
      </c>
      <c r="E1216" s="837" t="str">
        <f>IFERROR(IF(_xlfn.XLOOKUP(Imput[[#This Row],[RFC]],'Alta Proveedor'!D:D,'Alta Proveedor'!E:E)=0,"",_xlfn.XLOOKUP(Imput[[#This Row],[RFC]],'Alta Proveedor'!D:D,'Alta Proveedor'!E:E)),"")</f>
        <v>IRMA BEATRIZ ALVAREZ ZAMACONA</v>
      </c>
      <c r="F1216" s="832" t="s">
        <v>3923</v>
      </c>
      <c r="G1216" s="187">
        <v>10</v>
      </c>
      <c r="H1216" s="1">
        <v>8.6210000000000004</v>
      </c>
      <c r="I1216" s="169">
        <f>Imput[[#This Row],[Cantidad]]*Imput[[#This Row],[Precio Unitario]]</f>
        <v>86.210000000000008</v>
      </c>
      <c r="J1216" s="11">
        <f>((Imput[[#This Row],[Sub total]])*(0.16))</f>
        <v>13.793600000000001</v>
      </c>
      <c r="K1216" s="11">
        <v>0</v>
      </c>
      <c r="L1216" s="169">
        <f>Imput[[#This Row],[Sub total]]+Imput[[#This Row],[IVA]]-Imput[[#This Row],[Retención / IEPS / Descuento]]</f>
        <v>100.00360000000001</v>
      </c>
      <c r="M1216" s="844">
        <v>0</v>
      </c>
      <c r="N1216" s="189" t="s">
        <v>123</v>
      </c>
      <c r="O1216" s="1"/>
      <c r="P1216" s="189" t="s">
        <v>3918</v>
      </c>
      <c r="Q1216" s="190" t="s">
        <v>3919</v>
      </c>
      <c r="R1216" s="188">
        <v>45992</v>
      </c>
      <c r="S1216" s="193" t="s">
        <v>126</v>
      </c>
      <c r="T1216" s="192"/>
      <c r="U1216" s="829"/>
      <c r="V1216" s="10"/>
      <c r="W1216" s="10"/>
      <c r="X1216" s="10"/>
      <c r="Y1216" s="10"/>
      <c r="Z1216" s="10"/>
      <c r="AA1216" s="11"/>
      <c r="AB1216" s="11"/>
    </row>
    <row r="1217" spans="2:28" x14ac:dyDescent="0.3">
      <c r="B1217" s="10" t="s">
        <v>400</v>
      </c>
      <c r="C1217" s="315"/>
      <c r="D1217" s="868" t="s">
        <v>3920</v>
      </c>
      <c r="E1217" s="837" t="str">
        <f>IFERROR(IF(_xlfn.XLOOKUP(Imput[[#This Row],[RFC]],'Alta Proveedor'!D:D,'Alta Proveedor'!E:E)=0,"",_xlfn.XLOOKUP(Imput[[#This Row],[RFC]],'Alta Proveedor'!D:D,'Alta Proveedor'!E:E)),"")</f>
        <v>IRMA BEATRIZ ALVAREZ ZAMACONA</v>
      </c>
      <c r="F1217" s="832" t="s">
        <v>3924</v>
      </c>
      <c r="G1217" s="187">
        <v>6</v>
      </c>
      <c r="H1217" s="1">
        <v>254.31</v>
      </c>
      <c r="I1217" s="169">
        <f>Imput[[#This Row],[Cantidad]]*Imput[[#This Row],[Precio Unitario]]</f>
        <v>1525.8600000000001</v>
      </c>
      <c r="J1217" s="11">
        <f>((Imput[[#This Row],[Sub total]])*(0.16))</f>
        <v>244.13760000000002</v>
      </c>
      <c r="K1217" s="11">
        <v>0</v>
      </c>
      <c r="L1217" s="169">
        <f>Imput[[#This Row],[Sub total]]+Imput[[#This Row],[IVA]]-Imput[[#This Row],[Retención / IEPS / Descuento]]</f>
        <v>1769.9976000000001</v>
      </c>
      <c r="M1217" s="844">
        <v>0</v>
      </c>
      <c r="N1217" s="189" t="s">
        <v>123</v>
      </c>
      <c r="O1217" s="1"/>
      <c r="P1217" s="189" t="s">
        <v>3918</v>
      </c>
      <c r="Q1217" s="190" t="s">
        <v>3919</v>
      </c>
      <c r="R1217" s="188">
        <v>45992</v>
      </c>
      <c r="S1217" s="193" t="s">
        <v>126</v>
      </c>
      <c r="T1217" s="192"/>
      <c r="U1217" s="829"/>
      <c r="V1217" s="10"/>
      <c r="W1217" s="10"/>
      <c r="X1217" s="10"/>
      <c r="Y1217" s="10"/>
      <c r="Z1217" s="10"/>
      <c r="AA1217" s="11"/>
      <c r="AB1217" s="11"/>
    </row>
    <row r="1218" spans="2:28" x14ac:dyDescent="0.3">
      <c r="B1218" s="10" t="s">
        <v>400</v>
      </c>
      <c r="C1218" s="315"/>
      <c r="D1218" s="868" t="s">
        <v>3920</v>
      </c>
      <c r="E1218" s="837" t="str">
        <f>IFERROR(IF(_xlfn.XLOOKUP(Imput[[#This Row],[RFC]],'Alta Proveedor'!D:D,'Alta Proveedor'!E:E)=0,"",_xlfn.XLOOKUP(Imput[[#This Row],[RFC]],'Alta Proveedor'!D:D,'Alta Proveedor'!E:E)),"")</f>
        <v>IRMA BEATRIZ ALVAREZ ZAMACONA</v>
      </c>
      <c r="F1218" s="832" t="s">
        <v>3925</v>
      </c>
      <c r="G1218" s="187">
        <v>6</v>
      </c>
      <c r="H1218" s="1">
        <v>68.965000000000003</v>
      </c>
      <c r="I1218" s="169">
        <f>Imput[[#This Row],[Cantidad]]*Imput[[#This Row],[Precio Unitario]]</f>
        <v>413.79</v>
      </c>
      <c r="J1218" s="11">
        <f>((Imput[[#This Row],[Sub total]])*(0.16))</f>
        <v>66.206400000000002</v>
      </c>
      <c r="K1218" s="11">
        <v>0</v>
      </c>
      <c r="L1218" s="169">
        <f>Imput[[#This Row],[Sub total]]+Imput[[#This Row],[IVA]]-Imput[[#This Row],[Retención / IEPS / Descuento]]</f>
        <v>479.99639999999999</v>
      </c>
      <c r="M1218" s="844">
        <v>0</v>
      </c>
      <c r="N1218" s="189" t="s">
        <v>123</v>
      </c>
      <c r="O1218" s="1"/>
      <c r="P1218" s="189" t="s">
        <v>3918</v>
      </c>
      <c r="Q1218" s="190" t="s">
        <v>3919</v>
      </c>
      <c r="R1218" s="188">
        <v>45992</v>
      </c>
      <c r="S1218" s="193" t="s">
        <v>126</v>
      </c>
      <c r="T1218" s="192"/>
      <c r="U1218" s="829"/>
      <c r="V1218" s="10"/>
      <c r="W1218" s="10"/>
      <c r="X1218" s="10"/>
      <c r="Y1218" s="10"/>
      <c r="Z1218" s="10"/>
      <c r="AA1218" s="11"/>
      <c r="AB1218" s="11"/>
    </row>
    <row r="1219" spans="2:28" x14ac:dyDescent="0.3">
      <c r="B1219" s="10" t="s">
        <v>400</v>
      </c>
      <c r="C1219" s="315"/>
      <c r="D1219" s="868" t="s">
        <v>3920</v>
      </c>
      <c r="E1219" s="837" t="str">
        <f>IFERROR(IF(_xlfn.XLOOKUP(Imput[[#This Row],[RFC]],'Alta Proveedor'!D:D,'Alta Proveedor'!E:E)=0,"",_xlfn.XLOOKUP(Imput[[#This Row],[RFC]],'Alta Proveedor'!D:D,'Alta Proveedor'!E:E)),"")</f>
        <v>IRMA BEATRIZ ALVAREZ ZAMACONA</v>
      </c>
      <c r="F1219" s="832" t="s">
        <v>3926</v>
      </c>
      <c r="G1219" s="187">
        <v>3</v>
      </c>
      <c r="H1219" s="1">
        <v>114.655</v>
      </c>
      <c r="I1219" s="169">
        <f>Imput[[#This Row],[Cantidad]]*Imput[[#This Row],[Precio Unitario]]</f>
        <v>343.96500000000003</v>
      </c>
      <c r="J1219" s="11">
        <f>((Imput[[#This Row],[Sub total]])*(0.16))</f>
        <v>55.034400000000005</v>
      </c>
      <c r="K1219" s="11">
        <v>0</v>
      </c>
      <c r="L1219" s="169">
        <f>Imput[[#This Row],[Sub total]]+Imput[[#This Row],[IVA]]-Imput[[#This Row],[Retención / IEPS / Descuento]]</f>
        <v>398.99940000000004</v>
      </c>
      <c r="M1219" s="844">
        <v>0</v>
      </c>
      <c r="N1219" s="189" t="s">
        <v>123</v>
      </c>
      <c r="O1219" s="1"/>
      <c r="P1219" s="189" t="s">
        <v>3918</v>
      </c>
      <c r="Q1219" s="190" t="s">
        <v>3919</v>
      </c>
      <c r="R1219" s="188">
        <v>45992</v>
      </c>
      <c r="S1219" s="193" t="s">
        <v>126</v>
      </c>
      <c r="T1219" s="192"/>
      <c r="U1219" s="829"/>
      <c r="V1219" s="10"/>
      <c r="W1219" s="10"/>
      <c r="X1219" s="10"/>
      <c r="Y1219" s="10"/>
      <c r="Z1219" s="10"/>
      <c r="AA1219" s="11"/>
      <c r="AB1219" s="11"/>
    </row>
    <row r="1220" spans="2:28" x14ac:dyDescent="0.3">
      <c r="B1220" s="10" t="s">
        <v>400</v>
      </c>
      <c r="C1220" s="315"/>
      <c r="D1220" s="868" t="s">
        <v>3920</v>
      </c>
      <c r="E1220" s="837" t="str">
        <f>IFERROR(IF(_xlfn.XLOOKUP(Imput[[#This Row],[RFC]],'Alta Proveedor'!D:D,'Alta Proveedor'!E:E)=0,"",_xlfn.XLOOKUP(Imput[[#This Row],[RFC]],'Alta Proveedor'!D:D,'Alta Proveedor'!E:E)),"")</f>
        <v>IRMA BEATRIZ ALVAREZ ZAMACONA</v>
      </c>
      <c r="F1220" s="832" t="s">
        <v>3925</v>
      </c>
      <c r="G1220" s="187">
        <v>4</v>
      </c>
      <c r="H1220" s="1">
        <v>68.965000000000003</v>
      </c>
      <c r="I1220" s="169">
        <f>Imput[[#This Row],[Cantidad]]*Imput[[#This Row],[Precio Unitario]]</f>
        <v>275.86</v>
      </c>
      <c r="J1220" s="11">
        <f>((Imput[[#This Row],[Sub total]])*(0.16))+0.01</f>
        <v>44.147600000000004</v>
      </c>
      <c r="K1220" s="11">
        <v>0</v>
      </c>
      <c r="L1220" s="169">
        <f>Imput[[#This Row],[Sub total]]+Imput[[#This Row],[IVA]]-Imput[[#This Row],[Retención / IEPS / Descuento]]</f>
        <v>320.00760000000002</v>
      </c>
      <c r="M1220" s="844">
        <v>360.00440000000003</v>
      </c>
      <c r="N1220" s="189" t="s">
        <v>123</v>
      </c>
      <c r="O1220" s="1"/>
      <c r="P1220" s="189" t="s">
        <v>3927</v>
      </c>
      <c r="Q1220" s="190" t="s">
        <v>3928</v>
      </c>
      <c r="R1220" s="188">
        <v>45995</v>
      </c>
      <c r="S1220" s="193" t="s">
        <v>126</v>
      </c>
      <c r="T1220" s="192"/>
      <c r="U1220" s="829"/>
      <c r="V1220" s="10"/>
      <c r="W1220" s="10"/>
      <c r="X1220" s="10"/>
      <c r="Y1220" s="10"/>
      <c r="Z1220" s="10"/>
      <c r="AA1220" s="11"/>
      <c r="AB1220" s="11"/>
    </row>
    <row r="1221" spans="2:28" x14ac:dyDescent="0.3">
      <c r="B1221" s="10" t="s">
        <v>400</v>
      </c>
      <c r="C1221" s="315"/>
      <c r="D1221" s="868" t="s">
        <v>3920</v>
      </c>
      <c r="E1221" s="837" t="str">
        <f>IFERROR(IF(_xlfn.XLOOKUP(Imput[[#This Row],[RFC]],'Alta Proveedor'!D:D,'Alta Proveedor'!E:E)=0,"",_xlfn.XLOOKUP(Imput[[#This Row],[RFC]],'Alta Proveedor'!D:D,'Alta Proveedor'!E:E)),"")</f>
        <v>IRMA BEATRIZ ALVAREZ ZAMACONA</v>
      </c>
      <c r="F1221" s="832" t="s">
        <v>3923</v>
      </c>
      <c r="G1221" s="187">
        <v>4</v>
      </c>
      <c r="H1221" s="1">
        <f>8.62</f>
        <v>8.6199999999999992</v>
      </c>
      <c r="I1221" s="169">
        <f>Imput[[#This Row],[Cantidad]]*Imput[[#This Row],[Precio Unitario]]</f>
        <v>34.479999999999997</v>
      </c>
      <c r="J1221" s="11">
        <f>((Imput[[#This Row],[Sub total]])*(0.16))</f>
        <v>5.5167999999999999</v>
      </c>
      <c r="K1221" s="11">
        <v>0</v>
      </c>
      <c r="L1221" s="169">
        <f>Imput[[#This Row],[Sub total]]+Imput[[#This Row],[IVA]]-Imput[[#This Row],[Retención / IEPS / Descuento]]</f>
        <v>39.996799999999993</v>
      </c>
      <c r="M1221" s="844">
        <v>0</v>
      </c>
      <c r="N1221" s="189" t="s">
        <v>123</v>
      </c>
      <c r="O1221" s="1"/>
      <c r="P1221" s="189" t="s">
        <v>3927</v>
      </c>
      <c r="Q1221" s="190" t="s">
        <v>3928</v>
      </c>
      <c r="R1221" s="188">
        <v>45995</v>
      </c>
      <c r="S1221" s="193" t="s">
        <v>126</v>
      </c>
      <c r="T1221" s="192"/>
      <c r="U1221" s="829"/>
      <c r="V1221" s="10"/>
      <c r="W1221" s="10"/>
      <c r="X1221" s="10"/>
      <c r="Y1221" s="10"/>
      <c r="Z1221" s="10"/>
      <c r="AA1221" s="11"/>
      <c r="AB1221" s="11"/>
    </row>
    <row r="1222" spans="2:28" x14ac:dyDescent="0.3">
      <c r="B1222" s="10" t="s">
        <v>400</v>
      </c>
      <c r="C1222" s="315" t="s">
        <v>1806</v>
      </c>
      <c r="D1222" s="868" t="s">
        <v>3931</v>
      </c>
      <c r="E1222" s="837" t="str">
        <f>IFERROR(IF(_xlfn.XLOOKUP(Imput[[#This Row],[RFC]],'Alta Proveedor'!D:D,'Alta Proveedor'!E:E)=0,"",_xlfn.XLOOKUP(Imput[[#This Row],[RFC]],'Alta Proveedor'!D:D,'Alta Proveedor'!E:E)),"")</f>
        <v>AEROCOMIDAS</v>
      </c>
      <c r="F1222" s="832" t="s">
        <v>159</v>
      </c>
      <c r="G1222" s="187">
        <v>1</v>
      </c>
      <c r="H1222" s="1">
        <v>132.76</v>
      </c>
      <c r="I1222" s="169">
        <f>Imput[[#This Row],[Cantidad]]*Imput[[#This Row],[Precio Unitario]]</f>
        <v>132.76</v>
      </c>
      <c r="J1222" s="11">
        <f>((Imput[[#This Row],[Sub total]])*(0.16))</f>
        <v>21.241599999999998</v>
      </c>
      <c r="K1222" s="11">
        <v>0</v>
      </c>
      <c r="L1222" s="169">
        <f>Imput[[#This Row],[Sub total]]+Imput[[#This Row],[IVA]]-Imput[[#This Row],[Retención / IEPS / Descuento]]</f>
        <v>154.0016</v>
      </c>
      <c r="M1222" s="844">
        <v>154.0016</v>
      </c>
      <c r="N1222" s="189" t="s">
        <v>123</v>
      </c>
      <c r="O1222" s="1"/>
      <c r="P1222" s="189" t="s">
        <v>3929</v>
      </c>
      <c r="Q1222" s="190" t="s">
        <v>3930</v>
      </c>
      <c r="R1222" s="188">
        <v>46006</v>
      </c>
      <c r="S1222" s="193" t="s">
        <v>126</v>
      </c>
      <c r="T1222" s="192"/>
      <c r="U1222" s="829"/>
      <c r="V1222" s="10"/>
      <c r="W1222" s="10"/>
      <c r="X1222" s="10"/>
      <c r="Y1222" s="10"/>
      <c r="Z1222" s="10"/>
      <c r="AA1222" s="11"/>
      <c r="AB1222" s="11"/>
    </row>
    <row r="1223" spans="2:28" x14ac:dyDescent="0.3">
      <c r="B1223" s="10" t="s">
        <v>400</v>
      </c>
      <c r="C1223" s="315"/>
      <c r="D1223" s="868" t="s">
        <v>3410</v>
      </c>
      <c r="E1223" s="837" t="str">
        <f>IFERROR(IF(_xlfn.XLOOKUP(Imput[[#This Row],[RFC]],'Alta Proveedor'!D:D,'Alta Proveedor'!E:E)=0,"",_xlfn.XLOOKUP(Imput[[#This Row],[RFC]],'Alta Proveedor'!D:D,'Alta Proveedor'!E:E)),"")</f>
        <v>AEROVIAS DE MEXICO (VUELOS)</v>
      </c>
      <c r="F1223" s="832" t="s">
        <v>3413</v>
      </c>
      <c r="G1223" s="187">
        <v>1</v>
      </c>
      <c r="H1223" s="1">
        <v>38</v>
      </c>
      <c r="I1223" s="169">
        <f>Imput[[#This Row],[Cantidad]]*Imput[[#This Row],[Precio Unitario]]</f>
        <v>38</v>
      </c>
      <c r="J1223" s="11">
        <v>0</v>
      </c>
      <c r="K1223" s="11">
        <v>0</v>
      </c>
      <c r="L1223" s="169">
        <f>Imput[[#This Row],[Sub total]]+Imput[[#This Row],[IVA]]-Imput[[#This Row],[Retención / IEPS / Descuento]]</f>
        <v>38</v>
      </c>
      <c r="M1223" s="844">
        <v>17159</v>
      </c>
      <c r="N1223" s="189" t="s">
        <v>123</v>
      </c>
      <c r="O1223" s="1"/>
      <c r="P1223" s="189" t="s">
        <v>3933</v>
      </c>
      <c r="Q1223" s="190" t="s">
        <v>3934</v>
      </c>
      <c r="R1223" s="188">
        <v>46001</v>
      </c>
      <c r="S1223" s="193" t="s">
        <v>126</v>
      </c>
      <c r="T1223" s="192"/>
      <c r="U1223" s="829"/>
      <c r="V1223" s="10"/>
      <c r="W1223" s="10"/>
      <c r="X1223" s="10"/>
      <c r="Y1223" s="10"/>
      <c r="Z1223" s="10"/>
      <c r="AA1223" s="11"/>
      <c r="AB1223" s="11"/>
    </row>
    <row r="1224" spans="2:28" x14ac:dyDescent="0.3">
      <c r="B1224" s="10" t="s">
        <v>400</v>
      </c>
      <c r="C1224" s="315"/>
      <c r="D1224" s="868" t="s">
        <v>3410</v>
      </c>
      <c r="E1224" s="837" t="str">
        <f>IFERROR(IF(_xlfn.XLOOKUP(Imput[[#This Row],[RFC]],'Alta Proveedor'!D:D,'Alta Proveedor'!E:E)=0,"",_xlfn.XLOOKUP(Imput[[#This Row],[RFC]],'Alta Proveedor'!D:D,'Alta Proveedor'!E:E)),"")</f>
        <v>AEROVIAS DE MEXICO (VUELOS)</v>
      </c>
      <c r="F1224" s="832" t="s">
        <v>3414</v>
      </c>
      <c r="G1224" s="187">
        <v>1</v>
      </c>
      <c r="H1224" s="1">
        <v>1120</v>
      </c>
      <c r="I1224" s="169">
        <f>Imput[[#This Row],[Cantidad]]*Imput[[#This Row],[Precio Unitario]]</f>
        <v>1120</v>
      </c>
      <c r="J1224" s="11">
        <v>0</v>
      </c>
      <c r="K1224" s="11">
        <v>0</v>
      </c>
      <c r="L1224" s="169">
        <f>Imput[[#This Row],[Sub total]]+Imput[[#This Row],[IVA]]-Imput[[#This Row],[Retención / IEPS / Descuento]]</f>
        <v>1120</v>
      </c>
      <c r="M1224" s="844">
        <v>0</v>
      </c>
      <c r="N1224" s="189" t="s">
        <v>123</v>
      </c>
      <c r="O1224" s="1"/>
      <c r="P1224" s="189" t="s">
        <v>3933</v>
      </c>
      <c r="Q1224" s="190" t="s">
        <v>3934</v>
      </c>
      <c r="R1224" s="188">
        <v>46001</v>
      </c>
      <c r="S1224" s="193" t="s">
        <v>126</v>
      </c>
      <c r="T1224" s="192"/>
      <c r="U1224" s="829"/>
      <c r="V1224" s="10"/>
      <c r="W1224" s="10"/>
      <c r="X1224" s="10"/>
      <c r="Y1224" s="10"/>
      <c r="Z1224" s="10"/>
      <c r="AA1224" s="11"/>
      <c r="AB1224" s="11"/>
    </row>
    <row r="1225" spans="2:28" x14ac:dyDescent="0.3">
      <c r="B1225" s="10" t="s">
        <v>400</v>
      </c>
      <c r="C1225" s="315"/>
      <c r="D1225" s="868" t="s">
        <v>3410</v>
      </c>
      <c r="E1225" s="837" t="str">
        <f>IFERROR(IF(_xlfn.XLOOKUP(Imput[[#This Row],[RFC]],'Alta Proveedor'!D:D,'Alta Proveedor'!E:E)=0,"",_xlfn.XLOOKUP(Imput[[#This Row],[RFC]],'Alta Proveedor'!D:D,'Alta Proveedor'!E:E)),"")</f>
        <v>AEROVIAS DE MEXICO (VUELOS)</v>
      </c>
      <c r="F1225" s="832" t="s">
        <v>3888</v>
      </c>
      <c r="G1225" s="187">
        <v>1</v>
      </c>
      <c r="H1225" s="1">
        <v>11535</v>
      </c>
      <c r="I1225" s="169">
        <f>Imput[[#This Row],[Cantidad]]*Imput[[#This Row],[Precio Unitario]]</f>
        <v>11535</v>
      </c>
      <c r="J1225" s="11">
        <v>0</v>
      </c>
      <c r="K1225" s="11">
        <v>0</v>
      </c>
      <c r="L1225" s="169">
        <f>Imput[[#This Row],[Sub total]]+Imput[[#This Row],[IVA]]-Imput[[#This Row],[Retención / IEPS / Descuento]]</f>
        <v>11535</v>
      </c>
      <c r="M1225" s="844">
        <v>0</v>
      </c>
      <c r="N1225" s="189" t="s">
        <v>123</v>
      </c>
      <c r="O1225" s="1"/>
      <c r="P1225" s="189" t="s">
        <v>3933</v>
      </c>
      <c r="Q1225" s="190" t="s">
        <v>3934</v>
      </c>
      <c r="R1225" s="188">
        <v>46001</v>
      </c>
      <c r="S1225" s="193" t="s">
        <v>126</v>
      </c>
      <c r="T1225" s="192"/>
      <c r="U1225" s="829"/>
      <c r="V1225" s="10"/>
      <c r="W1225" s="10"/>
      <c r="X1225" s="10"/>
      <c r="Y1225" s="10"/>
      <c r="Z1225" s="10"/>
      <c r="AA1225" s="11"/>
      <c r="AB1225" s="11"/>
    </row>
    <row r="1226" spans="2:28" x14ac:dyDescent="0.3">
      <c r="B1226" s="10" t="s">
        <v>400</v>
      </c>
      <c r="C1226" s="315"/>
      <c r="D1226" s="868" t="s">
        <v>3410</v>
      </c>
      <c r="E1226" s="837" t="str">
        <f>IFERROR(IF(_xlfn.XLOOKUP(Imput[[#This Row],[RFC]],'Alta Proveedor'!D:D,'Alta Proveedor'!E:E)=0,"",_xlfn.XLOOKUP(Imput[[#This Row],[RFC]],'Alta Proveedor'!D:D,'Alta Proveedor'!E:E)),"")</f>
        <v>AEROVIAS DE MEXICO (VUELOS)</v>
      </c>
      <c r="F1226" s="832" t="s">
        <v>3888</v>
      </c>
      <c r="G1226" s="187">
        <v>1</v>
      </c>
      <c r="H1226" s="1">
        <v>3850</v>
      </c>
      <c r="I1226" s="169">
        <f>Imput[[#This Row],[Cantidad]]*Imput[[#This Row],[Precio Unitario]]</f>
        <v>3850</v>
      </c>
      <c r="J1226" s="11">
        <f>((Imput[[#This Row],[Sub total]])*(0.16))</f>
        <v>616</v>
      </c>
      <c r="K1226" s="11">
        <v>0</v>
      </c>
      <c r="L1226" s="169">
        <f>Imput[[#This Row],[Sub total]]+Imput[[#This Row],[IVA]]-Imput[[#This Row],[Retención / IEPS / Descuento]]</f>
        <v>4466</v>
      </c>
      <c r="M1226" s="844">
        <v>0</v>
      </c>
      <c r="N1226" s="189" t="s">
        <v>123</v>
      </c>
      <c r="O1226" s="1"/>
      <c r="P1226" s="189" t="s">
        <v>3933</v>
      </c>
      <c r="Q1226" s="190" t="s">
        <v>3934</v>
      </c>
      <c r="R1226" s="188">
        <v>46001</v>
      </c>
      <c r="S1226" s="193" t="s">
        <v>126</v>
      </c>
      <c r="T1226" s="192"/>
      <c r="U1226" s="829"/>
      <c r="V1226" s="10"/>
      <c r="W1226" s="10"/>
      <c r="X1226" s="10"/>
      <c r="Y1226" s="10"/>
      <c r="Z1226" s="10"/>
      <c r="AA1226" s="11"/>
      <c r="AB1226" s="11"/>
    </row>
    <row r="1227" spans="2:28" x14ac:dyDescent="0.3">
      <c r="B1227" s="10" t="s">
        <v>398</v>
      </c>
      <c r="C1227" s="315"/>
      <c r="D1227" s="868" t="s">
        <v>3937</v>
      </c>
      <c r="E1227" s="837" t="str">
        <f>IFERROR(IF(_xlfn.XLOOKUP(Imput[[#This Row],[RFC]],'Alta Proveedor'!D:D,'Alta Proveedor'!E:E)=0,"",_xlfn.XLOOKUP(Imput[[#This Row],[RFC]],'Alta Proveedor'!D:D,'Alta Proveedor'!E:E)),"")</f>
        <v>APYMSA</v>
      </c>
      <c r="F1227" s="832" t="s">
        <v>3939</v>
      </c>
      <c r="G1227" s="187">
        <v>3</v>
      </c>
      <c r="H1227" s="1">
        <v>130.16999999999999</v>
      </c>
      <c r="I1227" s="169">
        <f>Imput[[#This Row],[Cantidad]]*Imput[[#This Row],[Precio Unitario]]</f>
        <v>390.51</v>
      </c>
      <c r="J1227" s="11">
        <f>((Imput[[#This Row],[Sub total]])*(0.08))</f>
        <v>31.2408</v>
      </c>
      <c r="K1227" s="11">
        <v>0</v>
      </c>
      <c r="L1227" s="169">
        <f>Imput[[#This Row],[Sub total]]+Imput[[#This Row],[IVA]]-Imput[[#This Row],[Retención / IEPS / Descuento]]</f>
        <v>421.75079999999997</v>
      </c>
      <c r="M1227" s="844">
        <v>421.75079999999997</v>
      </c>
      <c r="N1227" s="189" t="s">
        <v>123</v>
      </c>
      <c r="O1227" s="1"/>
      <c r="P1227" s="189" t="s">
        <v>3935</v>
      </c>
      <c r="Q1227" s="190" t="s">
        <v>3936</v>
      </c>
      <c r="R1227" s="188">
        <v>45980</v>
      </c>
      <c r="S1227" s="193" t="s">
        <v>126</v>
      </c>
      <c r="T1227" s="192"/>
      <c r="U1227" s="829"/>
      <c r="V1227" s="10"/>
      <c r="W1227" s="10"/>
      <c r="X1227" s="10"/>
      <c r="Y1227" s="10"/>
      <c r="Z1227" s="10"/>
      <c r="AA1227" s="11"/>
      <c r="AB1227" s="11"/>
    </row>
    <row r="1228" spans="2:28" x14ac:dyDescent="0.3">
      <c r="B1228" s="10" t="s">
        <v>400</v>
      </c>
      <c r="C1228" s="315"/>
      <c r="D1228" s="868" t="s">
        <v>3942</v>
      </c>
      <c r="E1228" s="837" t="str">
        <f>IFERROR(IF(_xlfn.XLOOKUP(Imput[[#This Row],[RFC]],'Alta Proveedor'!D:D,'Alta Proveedor'!E:E)=0,"",_xlfn.XLOOKUP(Imput[[#This Row],[RFC]],'Alta Proveedor'!D:D,'Alta Proveedor'!E:E)),"")</f>
        <v>NANCY BERENICE BASILIO FIGUEROA</v>
      </c>
      <c r="F1228" s="832" t="s">
        <v>3944</v>
      </c>
      <c r="G1228" s="187">
        <v>14</v>
      </c>
      <c r="H1228" s="1">
        <v>11.3285</v>
      </c>
      <c r="I1228" s="169">
        <f>Imput[[#This Row],[Cantidad]]*Imput[[#This Row],[Precio Unitario]]</f>
        <v>158.59899999999999</v>
      </c>
      <c r="J1228" s="11">
        <f>((Imput[[#This Row],[Sub total]])*(0.16))</f>
        <v>25.37584</v>
      </c>
      <c r="K1228" s="11">
        <v>1.98</v>
      </c>
      <c r="L1228" s="169">
        <f>Imput[[#This Row],[Sub total]]+Imput[[#This Row],[IVA]]-Imput[[#This Row],[Retención / IEPS / Descuento]]</f>
        <v>181.99484000000001</v>
      </c>
      <c r="M1228" s="844">
        <v>227.00004000000001</v>
      </c>
      <c r="N1228" s="189" t="s">
        <v>123</v>
      </c>
      <c r="O1228" s="1"/>
      <c r="P1228" s="189" t="s">
        <v>3940</v>
      </c>
      <c r="Q1228" s="190" t="s">
        <v>3941</v>
      </c>
      <c r="R1228" s="188">
        <v>45994</v>
      </c>
      <c r="S1228" s="193" t="s">
        <v>154</v>
      </c>
      <c r="T1228" s="192"/>
      <c r="U1228" s="829"/>
      <c r="V1228" s="10"/>
      <c r="W1228" s="10"/>
      <c r="X1228" s="10"/>
      <c r="Y1228" s="10"/>
      <c r="Z1228" s="10"/>
      <c r="AA1228" s="11"/>
      <c r="AB1228" s="11"/>
    </row>
    <row r="1229" spans="2:28" x14ac:dyDescent="0.3">
      <c r="B1229" s="10" t="s">
        <v>400</v>
      </c>
      <c r="C1229" s="315"/>
      <c r="D1229" s="868" t="s">
        <v>3942</v>
      </c>
      <c r="E1229" s="837" t="str">
        <f>IFERROR(IF(_xlfn.XLOOKUP(Imput[[#This Row],[RFC]],'Alta Proveedor'!D:D,'Alta Proveedor'!E:E)=0,"",_xlfn.XLOOKUP(Imput[[#This Row],[RFC]],'Alta Proveedor'!D:D,'Alta Proveedor'!E:E)),"")</f>
        <v>NANCY BERENICE BASILIO FIGUEROA</v>
      </c>
      <c r="F1229" s="832" t="s">
        <v>3945</v>
      </c>
      <c r="G1229" s="187">
        <v>1</v>
      </c>
      <c r="H1229" s="1">
        <v>39.22</v>
      </c>
      <c r="I1229" s="169">
        <f>Imput[[#This Row],[Cantidad]]*Imput[[#This Row],[Precio Unitario]]</f>
        <v>39.22</v>
      </c>
      <c r="J1229" s="11">
        <f>((Imput[[#This Row],[Sub total]])*(0.16))</f>
        <v>6.2751999999999999</v>
      </c>
      <c r="K1229" s="11">
        <v>0.49</v>
      </c>
      <c r="L1229" s="169">
        <f>Imput[[#This Row],[Sub total]]+Imput[[#This Row],[IVA]]-Imput[[#This Row],[Retención / IEPS / Descuento]]</f>
        <v>45.005199999999995</v>
      </c>
      <c r="M1229" s="844">
        <v>0</v>
      </c>
      <c r="N1229" s="189" t="s">
        <v>123</v>
      </c>
      <c r="O1229" s="1"/>
      <c r="P1229" s="189" t="s">
        <v>3940</v>
      </c>
      <c r="Q1229" s="190" t="s">
        <v>3941</v>
      </c>
      <c r="R1229" s="188">
        <v>45994</v>
      </c>
      <c r="S1229" s="193" t="s">
        <v>154</v>
      </c>
      <c r="T1229" s="192"/>
      <c r="U1229" s="829"/>
      <c r="V1229" s="10"/>
      <c r="W1229" s="10"/>
      <c r="X1229" s="10"/>
      <c r="Y1229" s="10"/>
      <c r="Z1229" s="10"/>
      <c r="AA1229" s="11"/>
      <c r="AB1229" s="11"/>
    </row>
    <row r="1230" spans="2:28" x14ac:dyDescent="0.3">
      <c r="B1230" s="10" t="s">
        <v>400</v>
      </c>
      <c r="C1230" s="315"/>
      <c r="D1230" s="868" t="s">
        <v>3948</v>
      </c>
      <c r="E1230" s="837" t="str">
        <f>IFERROR(IF(_xlfn.XLOOKUP(Imput[[#This Row],[RFC]],'Alta Proveedor'!D:D,'Alta Proveedor'!E:E)=0,"",_xlfn.XLOOKUP(Imput[[#This Row],[RFC]],'Alta Proveedor'!D:D,'Alta Proveedor'!E:E)),"")</f>
        <v>JOSE MATIAS CASTRO CEPEDA</v>
      </c>
      <c r="F1230" s="832" t="s">
        <v>3950</v>
      </c>
      <c r="G1230" s="187">
        <v>1</v>
      </c>
      <c r="H1230" s="1">
        <v>97.34</v>
      </c>
      <c r="I1230" s="169">
        <f>Imput[[#This Row],[Cantidad]]*Imput[[#This Row],[Precio Unitario]]</f>
        <v>97.34</v>
      </c>
      <c r="J1230" s="11">
        <f>((Imput[[#This Row],[Sub total]])*(0.16))</f>
        <v>15.574400000000001</v>
      </c>
      <c r="K1230" s="11">
        <v>0</v>
      </c>
      <c r="L1230" s="169">
        <f>Imput[[#This Row],[Sub total]]+Imput[[#This Row],[IVA]]-Imput[[#This Row],[Retención / IEPS / Descuento]]</f>
        <v>112.9144</v>
      </c>
      <c r="M1230" s="844">
        <v>307.64359999999999</v>
      </c>
      <c r="N1230" s="189" t="s">
        <v>123</v>
      </c>
      <c r="O1230" s="1"/>
      <c r="P1230" s="189" t="s">
        <v>3946</v>
      </c>
      <c r="Q1230" s="190" t="s">
        <v>3947</v>
      </c>
      <c r="R1230" s="188">
        <v>45999</v>
      </c>
      <c r="S1230" s="193" t="s">
        <v>126</v>
      </c>
      <c r="T1230" s="192"/>
      <c r="U1230" s="829"/>
      <c r="V1230" s="10"/>
      <c r="W1230" s="10"/>
      <c r="X1230" s="10"/>
      <c r="Y1230" s="10"/>
      <c r="Z1230" s="10"/>
      <c r="AA1230" s="11"/>
      <c r="AB1230" s="11"/>
    </row>
    <row r="1231" spans="2:28" x14ac:dyDescent="0.3">
      <c r="B1231" s="10" t="s">
        <v>400</v>
      </c>
      <c r="C1231" s="315"/>
      <c r="D1231" s="868" t="s">
        <v>3948</v>
      </c>
      <c r="E1231" s="837" t="str">
        <f>IFERROR(IF(_xlfn.XLOOKUP(Imput[[#This Row],[RFC]],'Alta Proveedor'!D:D,'Alta Proveedor'!E:E)=0,"",_xlfn.XLOOKUP(Imput[[#This Row],[RFC]],'Alta Proveedor'!D:D,'Alta Proveedor'!E:E)),"")</f>
        <v>JOSE MATIAS CASTRO CEPEDA</v>
      </c>
      <c r="F1231" s="832" t="s">
        <v>3951</v>
      </c>
      <c r="G1231" s="187">
        <v>2</v>
      </c>
      <c r="H1231" s="1">
        <v>56.43</v>
      </c>
      <c r="I1231" s="169">
        <f>Imput[[#This Row],[Cantidad]]*Imput[[#This Row],[Precio Unitario]]</f>
        <v>112.86</v>
      </c>
      <c r="J1231" s="11">
        <f>((Imput[[#This Row],[Sub total]])*(0.16))</f>
        <v>18.057600000000001</v>
      </c>
      <c r="K1231" s="11">
        <v>0</v>
      </c>
      <c r="L1231" s="169">
        <f>Imput[[#This Row],[Sub total]]+Imput[[#This Row],[IVA]]-Imput[[#This Row],[Retención / IEPS / Descuento]]</f>
        <v>130.91759999999999</v>
      </c>
      <c r="M1231" s="844">
        <v>0</v>
      </c>
      <c r="N1231" s="189" t="s">
        <v>123</v>
      </c>
      <c r="O1231" s="1"/>
      <c r="P1231" s="189" t="s">
        <v>3946</v>
      </c>
      <c r="Q1231" s="190" t="s">
        <v>3947</v>
      </c>
      <c r="R1231" s="188">
        <v>45999</v>
      </c>
      <c r="S1231" s="193" t="s">
        <v>126</v>
      </c>
      <c r="T1231" s="192"/>
      <c r="U1231" s="829"/>
      <c r="V1231" s="10"/>
      <c r="W1231" s="10"/>
      <c r="X1231" s="10"/>
      <c r="Y1231" s="10"/>
      <c r="Z1231" s="10"/>
      <c r="AA1231" s="11"/>
      <c r="AB1231" s="11"/>
    </row>
    <row r="1232" spans="2:28" x14ac:dyDescent="0.3">
      <c r="B1232" s="10" t="s">
        <v>400</v>
      </c>
      <c r="C1232" s="315"/>
      <c r="D1232" s="868" t="s">
        <v>3948</v>
      </c>
      <c r="E1232" s="837" t="str">
        <f>IFERROR(IF(_xlfn.XLOOKUP(Imput[[#This Row],[RFC]],'Alta Proveedor'!D:D,'Alta Proveedor'!E:E)=0,"",_xlfn.XLOOKUP(Imput[[#This Row],[RFC]],'Alta Proveedor'!D:D,'Alta Proveedor'!E:E)),"")</f>
        <v>JOSE MATIAS CASTRO CEPEDA</v>
      </c>
      <c r="F1232" s="832" t="s">
        <v>3952</v>
      </c>
      <c r="G1232" s="187">
        <v>1</v>
      </c>
      <c r="H1232" s="1">
        <v>55.01</v>
      </c>
      <c r="I1232" s="169">
        <f>Imput[[#This Row],[Cantidad]]*Imput[[#This Row],[Precio Unitario]]</f>
        <v>55.01</v>
      </c>
      <c r="J1232" s="11">
        <f>((Imput[[#This Row],[Sub total]])*(0.16))</f>
        <v>8.8016000000000005</v>
      </c>
      <c r="K1232" s="11">
        <v>0</v>
      </c>
      <c r="L1232" s="169">
        <f>Imput[[#This Row],[Sub total]]+Imput[[#This Row],[IVA]]-Imput[[#This Row],[Retención / IEPS / Descuento]]</f>
        <v>63.811599999999999</v>
      </c>
      <c r="M1232" s="844">
        <v>0</v>
      </c>
      <c r="N1232" s="189" t="s">
        <v>123</v>
      </c>
      <c r="O1232" s="1"/>
      <c r="P1232" s="189" t="s">
        <v>3946</v>
      </c>
      <c r="Q1232" s="190" t="s">
        <v>3947</v>
      </c>
      <c r="R1232" s="188">
        <v>45999</v>
      </c>
      <c r="S1232" s="193" t="s">
        <v>126</v>
      </c>
      <c r="T1232" s="192"/>
      <c r="U1232" s="829"/>
      <c r="V1232" s="10"/>
      <c r="W1232" s="10"/>
      <c r="X1232" s="10"/>
      <c r="Y1232" s="10"/>
      <c r="Z1232" s="10"/>
      <c r="AA1232" s="11"/>
      <c r="AB1232" s="11"/>
    </row>
    <row r="1233" spans="2:28" x14ac:dyDescent="0.3">
      <c r="B1233" s="10" t="s">
        <v>398</v>
      </c>
      <c r="C1233" s="315"/>
      <c r="D1233" s="868" t="s">
        <v>3605</v>
      </c>
      <c r="E1233" s="837" t="str">
        <f>IFERROR(IF(_xlfn.XLOOKUP(Imput[[#This Row],[RFC]],'Alta Proveedor'!D:D,'Alta Proveedor'!E:E)=0,"",_xlfn.XLOOKUP(Imput[[#This Row],[RFC]],'Alta Proveedor'!D:D,'Alta Proveedor'!E:E)),"")</f>
        <v>MEGA MATERIALES PARA CONSTRUCCION (JOSE ANGEL CABALLERO DE LOS REYES)</v>
      </c>
      <c r="F1233" s="832" t="s">
        <v>3962</v>
      </c>
      <c r="G1233" s="187">
        <v>1</v>
      </c>
      <c r="H1233" s="1">
        <v>646.54999999999995</v>
      </c>
      <c r="I1233" s="169">
        <f>Imput[[#This Row],[Cantidad]]*Imput[[#This Row],[Precio Unitario]]</f>
        <v>646.54999999999995</v>
      </c>
      <c r="J1233" s="11">
        <f>((Imput[[#This Row],[Sub total]])*(0.16))</f>
        <v>103.44799999999999</v>
      </c>
      <c r="K1233" s="11">
        <v>0</v>
      </c>
      <c r="L1233" s="169">
        <f>Imput[[#This Row],[Sub total]]+Imput[[#This Row],[IVA]]-Imput[[#This Row],[Retención / IEPS / Descuento]]</f>
        <v>749.99799999999993</v>
      </c>
      <c r="M1233" s="844">
        <v>3982.8367999999996</v>
      </c>
      <c r="N1233" s="189" t="s">
        <v>123</v>
      </c>
      <c r="O1233" s="1"/>
      <c r="P1233" s="189" t="s">
        <v>3953</v>
      </c>
      <c r="Q1233" s="190" t="s">
        <v>3954</v>
      </c>
      <c r="R1233" s="188">
        <v>45985</v>
      </c>
      <c r="S1233" s="193" t="s">
        <v>126</v>
      </c>
      <c r="T1233" s="192"/>
      <c r="U1233" s="829"/>
      <c r="V1233" s="10"/>
      <c r="W1233" s="10"/>
      <c r="X1233" s="10"/>
      <c r="Y1233" s="10"/>
      <c r="Z1233" s="10"/>
      <c r="AA1233" s="11"/>
      <c r="AB1233" s="11"/>
    </row>
    <row r="1234" spans="2:28" x14ac:dyDescent="0.3">
      <c r="B1234" s="10" t="s">
        <v>398</v>
      </c>
      <c r="C1234" s="315"/>
      <c r="D1234" s="868" t="s">
        <v>3605</v>
      </c>
      <c r="E1234" s="837" t="str">
        <f>IFERROR(IF(_xlfn.XLOOKUP(Imput[[#This Row],[RFC]],'Alta Proveedor'!D:D,'Alta Proveedor'!E:E)=0,"",_xlfn.XLOOKUP(Imput[[#This Row],[RFC]],'Alta Proveedor'!D:D,'Alta Proveedor'!E:E)),"")</f>
        <v>MEGA MATERIALES PARA CONSTRUCCION (JOSE ANGEL CABALLERO DE LOS REYES)</v>
      </c>
      <c r="F1234" s="832" t="s">
        <v>3963</v>
      </c>
      <c r="G1234" s="187">
        <v>1</v>
      </c>
      <c r="H1234" s="1">
        <v>646.54999999999995</v>
      </c>
      <c r="I1234" s="169">
        <f>Imput[[#This Row],[Cantidad]]*Imput[[#This Row],[Precio Unitario]]</f>
        <v>646.54999999999995</v>
      </c>
      <c r="J1234" s="11">
        <f>((Imput[[#This Row],[Sub total]])*(0.16))</f>
        <v>103.44799999999999</v>
      </c>
      <c r="K1234" s="11">
        <v>0</v>
      </c>
      <c r="L1234" s="169">
        <f>Imput[[#This Row],[Sub total]]+Imput[[#This Row],[IVA]]-Imput[[#This Row],[Retención / IEPS / Descuento]]</f>
        <v>749.99799999999993</v>
      </c>
      <c r="M1234" s="844">
        <v>0</v>
      </c>
      <c r="N1234" s="189" t="s">
        <v>123</v>
      </c>
      <c r="O1234" s="1"/>
      <c r="P1234" s="189" t="s">
        <v>3953</v>
      </c>
      <c r="Q1234" s="190" t="s">
        <v>3954</v>
      </c>
      <c r="R1234" s="188">
        <v>45985</v>
      </c>
      <c r="S1234" s="193" t="s">
        <v>126</v>
      </c>
      <c r="T1234" s="192"/>
      <c r="U1234" s="829"/>
      <c r="V1234" s="10"/>
      <c r="W1234" s="10"/>
      <c r="X1234" s="10"/>
      <c r="Y1234" s="10"/>
      <c r="Z1234" s="10"/>
      <c r="AA1234" s="11"/>
      <c r="AB1234" s="11"/>
    </row>
    <row r="1235" spans="2:28" x14ac:dyDescent="0.3">
      <c r="B1235" s="10" t="s">
        <v>398</v>
      </c>
      <c r="C1235" s="315"/>
      <c r="D1235" s="868" t="s">
        <v>3605</v>
      </c>
      <c r="E1235" s="837" t="str">
        <f>IFERROR(IF(_xlfn.XLOOKUP(Imput[[#This Row],[RFC]],'Alta Proveedor'!D:D,'Alta Proveedor'!E:E)=0,"",_xlfn.XLOOKUP(Imput[[#This Row],[RFC]],'Alta Proveedor'!D:D,'Alta Proveedor'!E:E)),"")</f>
        <v>MEGA MATERIALES PARA CONSTRUCCION (JOSE ANGEL CABALLERO DE LOS REYES)</v>
      </c>
      <c r="F1235" s="832" t="s">
        <v>3964</v>
      </c>
      <c r="G1235" s="187">
        <v>17</v>
      </c>
      <c r="H1235" s="1">
        <v>119.82</v>
      </c>
      <c r="I1235" s="169">
        <f>Imput[[#This Row],[Cantidad]]*Imput[[#This Row],[Precio Unitario]]</f>
        <v>2036.9399999999998</v>
      </c>
      <c r="J1235" s="11">
        <f>((Imput[[#This Row],[Sub total]])*(0.16))</f>
        <v>325.91039999999998</v>
      </c>
      <c r="K1235" s="11">
        <v>0</v>
      </c>
      <c r="L1235" s="169">
        <f>Imput[[#This Row],[Sub total]]+Imput[[#This Row],[IVA]]-Imput[[#This Row],[Retención / IEPS / Descuento]]</f>
        <v>2362.8503999999998</v>
      </c>
      <c r="M1235" s="844">
        <v>0</v>
      </c>
      <c r="N1235" s="189" t="s">
        <v>123</v>
      </c>
      <c r="O1235" s="1"/>
      <c r="P1235" s="189" t="s">
        <v>3953</v>
      </c>
      <c r="Q1235" s="190" t="s">
        <v>3954</v>
      </c>
      <c r="R1235" s="188">
        <v>45985</v>
      </c>
      <c r="S1235" s="193" t="s">
        <v>126</v>
      </c>
      <c r="T1235" s="192"/>
      <c r="U1235" s="829"/>
      <c r="V1235" s="10"/>
      <c r="W1235" s="10"/>
      <c r="X1235" s="10"/>
      <c r="Y1235" s="10"/>
      <c r="Z1235" s="10"/>
      <c r="AA1235" s="11"/>
      <c r="AB1235" s="11"/>
    </row>
    <row r="1236" spans="2:28" x14ac:dyDescent="0.3">
      <c r="B1236" s="10" t="s">
        <v>398</v>
      </c>
      <c r="C1236" s="315"/>
      <c r="D1236" s="868" t="s">
        <v>3605</v>
      </c>
      <c r="E1236" s="837" t="str">
        <f>IFERROR(IF(_xlfn.XLOOKUP(Imput[[#This Row],[RFC]],'Alta Proveedor'!D:D,'Alta Proveedor'!E:E)=0,"",_xlfn.XLOOKUP(Imput[[#This Row],[RFC]],'Alta Proveedor'!D:D,'Alta Proveedor'!E:E)),"")</f>
        <v>MEGA MATERIALES PARA CONSTRUCCION (JOSE ANGEL CABALLERO DE LOS REYES)</v>
      </c>
      <c r="F1236" s="832" t="s">
        <v>3965</v>
      </c>
      <c r="G1236" s="187">
        <v>4</v>
      </c>
      <c r="H1236" s="1">
        <v>25.86</v>
      </c>
      <c r="I1236" s="169">
        <f>Imput[[#This Row],[Cantidad]]*Imput[[#This Row],[Precio Unitario]]</f>
        <v>103.44</v>
      </c>
      <c r="J1236" s="11">
        <f>((Imput[[#This Row],[Sub total]])*(0.16))</f>
        <v>16.5504</v>
      </c>
      <c r="K1236" s="11">
        <v>0</v>
      </c>
      <c r="L1236" s="169">
        <f>Imput[[#This Row],[Sub total]]+Imput[[#This Row],[IVA]]-Imput[[#This Row],[Retención / IEPS / Descuento]]</f>
        <v>119.99039999999999</v>
      </c>
      <c r="M1236" s="844">
        <v>0</v>
      </c>
      <c r="N1236" s="189" t="s">
        <v>123</v>
      </c>
      <c r="O1236" s="1"/>
      <c r="P1236" s="189" t="s">
        <v>3953</v>
      </c>
      <c r="Q1236" s="190" t="s">
        <v>3954</v>
      </c>
      <c r="R1236" s="188">
        <v>45985</v>
      </c>
      <c r="S1236" s="193" t="s">
        <v>126</v>
      </c>
      <c r="T1236" s="192"/>
      <c r="U1236" s="829"/>
      <c r="V1236" s="10"/>
      <c r="W1236" s="10"/>
      <c r="X1236" s="10"/>
      <c r="Y1236" s="10"/>
      <c r="Z1236" s="10"/>
      <c r="AA1236" s="11"/>
      <c r="AB1236" s="11"/>
    </row>
    <row r="1237" spans="2:28" x14ac:dyDescent="0.3">
      <c r="B1237" s="10" t="s">
        <v>394</v>
      </c>
      <c r="C1237" s="315"/>
      <c r="D1237" s="868" t="s">
        <v>3957</v>
      </c>
      <c r="E1237" s="837" t="str">
        <f>IFERROR(IF(_xlfn.XLOOKUP(Imput[[#This Row],[RFC]],'Alta Proveedor'!D:D,'Alta Proveedor'!E:E)=0,"",_xlfn.XLOOKUP(Imput[[#This Row],[RFC]],'Alta Proveedor'!D:D,'Alta Proveedor'!E:E)),"")</f>
        <v>COMERCIAL CASTRO</v>
      </c>
      <c r="F1237" s="832" t="s">
        <v>3959</v>
      </c>
      <c r="G1237" s="187">
        <v>1</v>
      </c>
      <c r="H1237" s="1">
        <v>948.27586199999996</v>
      </c>
      <c r="I1237" s="169">
        <f>Imput[[#This Row],[Cantidad]]*Imput[[#This Row],[Precio Unitario]]</f>
        <v>948.27586199999996</v>
      </c>
      <c r="J1237" s="11">
        <f>((Imput[[#This Row],[Sub total]])*(0.16))</f>
        <v>151.72413792</v>
      </c>
      <c r="K1237" s="11">
        <v>0</v>
      </c>
      <c r="L1237" s="169">
        <f>Imput[[#This Row],[Sub total]]+Imput[[#This Row],[IVA]]-Imput[[#This Row],[Retención / IEPS / Descuento]]</f>
        <v>1099.9999999199999</v>
      </c>
      <c r="M1237" s="844">
        <v>5870.00001324</v>
      </c>
      <c r="N1237" s="189" t="s">
        <v>123</v>
      </c>
      <c r="O1237" s="1"/>
      <c r="P1237" s="189" t="s">
        <v>3955</v>
      </c>
      <c r="Q1237" s="190" t="s">
        <v>3956</v>
      </c>
      <c r="R1237" s="188">
        <v>45946</v>
      </c>
      <c r="S1237" s="193" t="s">
        <v>126</v>
      </c>
      <c r="T1237" s="192"/>
      <c r="U1237" s="829"/>
      <c r="V1237" s="10"/>
      <c r="W1237" s="10"/>
      <c r="X1237" s="10"/>
      <c r="Y1237" s="10"/>
      <c r="Z1237" s="10"/>
      <c r="AA1237" s="11"/>
      <c r="AB1237" s="11"/>
    </row>
    <row r="1238" spans="2:28" x14ac:dyDescent="0.3">
      <c r="B1238" s="10" t="s">
        <v>394</v>
      </c>
      <c r="C1238" s="315"/>
      <c r="D1238" s="868" t="s">
        <v>3957</v>
      </c>
      <c r="E1238" s="837" t="str">
        <f>IFERROR(IF(_xlfn.XLOOKUP(Imput[[#This Row],[RFC]],'Alta Proveedor'!D:D,'Alta Proveedor'!E:E)=0,"",_xlfn.XLOOKUP(Imput[[#This Row],[RFC]],'Alta Proveedor'!D:D,'Alta Proveedor'!E:E)),"")</f>
        <v>COMERCIAL CASTRO</v>
      </c>
      <c r="F1238" s="832" t="s">
        <v>3960</v>
      </c>
      <c r="G1238" s="187">
        <v>1.5</v>
      </c>
      <c r="H1238" s="1">
        <v>948.27586199999996</v>
      </c>
      <c r="I1238" s="169">
        <f>Imput[[#This Row],[Cantidad]]*Imput[[#This Row],[Precio Unitario]]</f>
        <v>1422.4137929999999</v>
      </c>
      <c r="J1238" s="11">
        <f>((Imput[[#This Row],[Sub total]])*(0.16))</f>
        <v>227.58620687999999</v>
      </c>
      <c r="K1238" s="11">
        <v>0</v>
      </c>
      <c r="L1238" s="169">
        <f>Imput[[#This Row],[Sub total]]+Imput[[#This Row],[IVA]]-Imput[[#This Row],[Retención / IEPS / Descuento]]</f>
        <v>1649.9999998799999</v>
      </c>
      <c r="M1238" s="844">
        <v>0</v>
      </c>
      <c r="N1238" s="189" t="s">
        <v>123</v>
      </c>
      <c r="O1238" s="1"/>
      <c r="P1238" s="189" t="s">
        <v>3955</v>
      </c>
      <c r="Q1238" s="190" t="s">
        <v>3956</v>
      </c>
      <c r="R1238" s="188">
        <v>45946</v>
      </c>
      <c r="S1238" s="193" t="s">
        <v>126</v>
      </c>
      <c r="T1238" s="192"/>
      <c r="U1238" s="829"/>
      <c r="V1238" s="10"/>
      <c r="W1238" s="10"/>
      <c r="X1238" s="10"/>
      <c r="Y1238" s="10"/>
      <c r="Z1238" s="10"/>
      <c r="AA1238" s="11"/>
      <c r="AB1238" s="11"/>
    </row>
    <row r="1239" spans="2:28" x14ac:dyDescent="0.3">
      <c r="B1239" s="10" t="s">
        <v>394</v>
      </c>
      <c r="C1239" s="315"/>
      <c r="D1239" s="868" t="s">
        <v>3957</v>
      </c>
      <c r="E1239" s="837" t="str">
        <f>IFERROR(IF(_xlfn.XLOOKUP(Imput[[#This Row],[RFC]],'Alta Proveedor'!D:D,'Alta Proveedor'!E:E)=0,"",_xlfn.XLOOKUP(Imput[[#This Row],[RFC]],'Alta Proveedor'!D:D,'Alta Proveedor'!E:E)),"")</f>
        <v>COMERCIAL CASTRO</v>
      </c>
      <c r="F1239" s="832" t="s">
        <v>3961</v>
      </c>
      <c r="G1239" s="187">
        <v>24</v>
      </c>
      <c r="H1239" s="1">
        <v>112.068966</v>
      </c>
      <c r="I1239" s="169">
        <f>Imput[[#This Row],[Cantidad]]*Imput[[#This Row],[Precio Unitario]]</f>
        <v>2689.6551840000002</v>
      </c>
      <c r="J1239" s="11">
        <f>((Imput[[#This Row],[Sub total]])*(0.16))</f>
        <v>430.34482944000001</v>
      </c>
      <c r="K1239" s="11">
        <v>0</v>
      </c>
      <c r="L1239" s="169">
        <f>Imput[[#This Row],[Sub total]]+Imput[[#This Row],[IVA]]-Imput[[#This Row],[Retención / IEPS / Descuento]]</f>
        <v>3120.0000134400002</v>
      </c>
      <c r="M1239" s="844">
        <v>0</v>
      </c>
      <c r="N1239" s="189" t="s">
        <v>123</v>
      </c>
      <c r="O1239" s="1"/>
      <c r="P1239" s="189" t="s">
        <v>3955</v>
      </c>
      <c r="Q1239" s="190" t="s">
        <v>3956</v>
      </c>
      <c r="R1239" s="188">
        <v>45946</v>
      </c>
      <c r="S1239" s="193" t="s">
        <v>126</v>
      </c>
      <c r="T1239" s="192"/>
      <c r="U1239" s="829"/>
      <c r="V1239" s="10"/>
      <c r="W1239" s="10"/>
      <c r="X1239" s="10"/>
      <c r="Y1239" s="10"/>
      <c r="Z1239" s="10"/>
      <c r="AA1239" s="11"/>
      <c r="AB1239" s="11"/>
    </row>
    <row r="1240" spans="2:28" x14ac:dyDescent="0.3">
      <c r="B1240" s="10" t="s">
        <v>398</v>
      </c>
      <c r="C1240" s="315"/>
      <c r="D1240" s="868" t="s">
        <v>3957</v>
      </c>
      <c r="E1240" s="837" t="str">
        <f>IFERROR(IF(_xlfn.XLOOKUP(Imput[[#This Row],[RFC]],'Alta Proveedor'!D:D,'Alta Proveedor'!E:E)=0,"",_xlfn.XLOOKUP(Imput[[#This Row],[RFC]],'Alta Proveedor'!D:D,'Alta Proveedor'!E:E)),"")</f>
        <v>COMERCIAL CASTRO</v>
      </c>
      <c r="F1240" s="832" t="s">
        <v>3959</v>
      </c>
      <c r="G1240" s="187">
        <v>2</v>
      </c>
      <c r="H1240" s="1">
        <v>948.27586199999996</v>
      </c>
      <c r="I1240" s="169">
        <f>Imput[[#This Row],[Cantidad]]*Imput[[#This Row],[Precio Unitario]]</f>
        <v>1896.5517239999999</v>
      </c>
      <c r="J1240" s="11">
        <f>((Imput[[#This Row],[Sub total]])*(0.16))</f>
        <v>303.44827584000001</v>
      </c>
      <c r="K1240" s="11">
        <v>0</v>
      </c>
      <c r="L1240" s="169">
        <f>Imput[[#This Row],[Sub total]]+Imput[[#This Row],[IVA]]-Imput[[#This Row],[Retención / IEPS / Descuento]]</f>
        <v>2199.9999998399999</v>
      </c>
      <c r="M1240" s="844">
        <v>8104.1999995999995</v>
      </c>
      <c r="N1240" s="189" t="s">
        <v>123</v>
      </c>
      <c r="O1240" s="1"/>
      <c r="P1240" s="189" t="s">
        <v>3966</v>
      </c>
      <c r="Q1240" s="190" t="s">
        <v>3967</v>
      </c>
      <c r="R1240" s="188">
        <v>45986</v>
      </c>
      <c r="S1240" s="193" t="s">
        <v>154</v>
      </c>
      <c r="T1240" s="192"/>
      <c r="U1240" s="829"/>
      <c r="V1240" s="10"/>
      <c r="W1240" s="10"/>
      <c r="X1240" s="10"/>
      <c r="Y1240" s="10"/>
      <c r="Z1240" s="10"/>
      <c r="AA1240" s="11"/>
      <c r="AB1240" s="11"/>
    </row>
    <row r="1241" spans="2:28" x14ac:dyDescent="0.3">
      <c r="B1241" s="10" t="s">
        <v>398</v>
      </c>
      <c r="C1241" s="315"/>
      <c r="D1241" s="868" t="s">
        <v>3957</v>
      </c>
      <c r="E1241" s="837" t="str">
        <f>IFERROR(IF(_xlfn.XLOOKUP(Imput[[#This Row],[RFC]],'Alta Proveedor'!D:D,'Alta Proveedor'!E:E)=0,"",_xlfn.XLOOKUP(Imput[[#This Row],[RFC]],'Alta Proveedor'!D:D,'Alta Proveedor'!E:E)),"")</f>
        <v>COMERCIAL CASTRO</v>
      </c>
      <c r="F1241" s="832" t="s">
        <v>3960</v>
      </c>
      <c r="G1241" s="187">
        <v>3</v>
      </c>
      <c r="H1241" s="1">
        <v>948.27586199999996</v>
      </c>
      <c r="I1241" s="169">
        <f>Imput[[#This Row],[Cantidad]]*Imput[[#This Row],[Precio Unitario]]</f>
        <v>2844.8275859999999</v>
      </c>
      <c r="J1241" s="11">
        <f>((Imput[[#This Row],[Sub total]])*(0.16))</f>
        <v>455.17241375999998</v>
      </c>
      <c r="K1241" s="11">
        <v>0</v>
      </c>
      <c r="L1241" s="169">
        <f>Imput[[#This Row],[Sub total]]+Imput[[#This Row],[IVA]]-Imput[[#This Row],[Retención / IEPS / Descuento]]</f>
        <v>3299.9999997599998</v>
      </c>
      <c r="M1241" s="844">
        <v>0</v>
      </c>
      <c r="N1241" s="189" t="s">
        <v>123</v>
      </c>
      <c r="O1241" s="1"/>
      <c r="P1241" s="189" t="s">
        <v>3966</v>
      </c>
      <c r="Q1241" s="190" t="s">
        <v>3967</v>
      </c>
      <c r="R1241" s="188">
        <v>45986</v>
      </c>
      <c r="S1241" s="193" t="s">
        <v>154</v>
      </c>
      <c r="T1241" s="192"/>
      <c r="U1241" s="829"/>
      <c r="V1241" s="10"/>
      <c r="W1241" s="10"/>
      <c r="X1241" s="10"/>
      <c r="Y1241" s="10"/>
      <c r="Z1241" s="10"/>
      <c r="AA1241" s="11"/>
      <c r="AB1241" s="11"/>
    </row>
    <row r="1242" spans="2:28" x14ac:dyDescent="0.3">
      <c r="B1242" s="10" t="s">
        <v>398</v>
      </c>
      <c r="C1242" s="315"/>
      <c r="D1242" s="868" t="s">
        <v>3957</v>
      </c>
      <c r="E1242" s="837" t="str">
        <f>IFERROR(IF(_xlfn.XLOOKUP(Imput[[#This Row],[RFC]],'Alta Proveedor'!D:D,'Alta Proveedor'!E:E)=0,"",_xlfn.XLOOKUP(Imput[[#This Row],[RFC]],'Alta Proveedor'!D:D,'Alta Proveedor'!E:E)),"")</f>
        <v>COMERCIAL CASTRO</v>
      </c>
      <c r="F1242" s="832" t="s">
        <v>3961</v>
      </c>
      <c r="G1242" s="187">
        <v>20</v>
      </c>
      <c r="H1242" s="1">
        <v>112.25</v>
      </c>
      <c r="I1242" s="169">
        <f>Imput[[#This Row],[Cantidad]]*Imput[[#This Row],[Precio Unitario]]</f>
        <v>2245</v>
      </c>
      <c r="J1242" s="11">
        <f>((Imput[[#This Row],[Sub total]])*(0.16))</f>
        <v>359.2</v>
      </c>
      <c r="K1242" s="11">
        <v>0</v>
      </c>
      <c r="L1242" s="169">
        <f>Imput[[#This Row],[Sub total]]+Imput[[#This Row],[IVA]]-Imput[[#This Row],[Retención / IEPS / Descuento]]</f>
        <v>2604.1999999999998</v>
      </c>
      <c r="M1242" s="844">
        <v>0</v>
      </c>
      <c r="N1242" s="189" t="s">
        <v>123</v>
      </c>
      <c r="O1242" s="1"/>
      <c r="P1242" s="189" t="s">
        <v>3966</v>
      </c>
      <c r="Q1242" s="190" t="s">
        <v>3967</v>
      </c>
      <c r="R1242" s="188">
        <v>45986</v>
      </c>
      <c r="S1242" s="193" t="s">
        <v>154</v>
      </c>
      <c r="T1242" s="192"/>
      <c r="U1242" s="829"/>
      <c r="V1242" s="10"/>
      <c r="W1242" s="10"/>
      <c r="X1242" s="10"/>
      <c r="Y1242" s="10"/>
      <c r="Z1242" s="10"/>
      <c r="AA1242" s="11"/>
      <c r="AB1242" s="11"/>
    </row>
    <row r="1243" spans="2:28" x14ac:dyDescent="0.3">
      <c r="B1243" s="10" t="s">
        <v>400</v>
      </c>
      <c r="C1243" s="315"/>
      <c r="D1243" s="868" t="s">
        <v>244</v>
      </c>
      <c r="E1243" s="837" t="str">
        <f>IFERROR(IF(_xlfn.XLOOKUP(Imput[[#This Row],[RFC]],'Alta Proveedor'!D:D,'Alta Proveedor'!E:E)=0,"",_xlfn.XLOOKUP(Imput[[#This Row],[RFC]],'Alta Proveedor'!D:D,'Alta Proveedor'!E:E)),"")</f>
        <v>CADENA COMERCIAL OXXO</v>
      </c>
      <c r="F1243" s="832" t="s">
        <v>3970</v>
      </c>
      <c r="G1243" s="187">
        <v>1</v>
      </c>
      <c r="H1243" s="1">
        <f>17.59/Imput[[#This Row],[Cantidad]]</f>
        <v>17.59</v>
      </c>
      <c r="I1243" s="169">
        <f>Imput[[#This Row],[Cantidad]]*Imput[[#This Row],[Precio Unitario]]</f>
        <v>17.59</v>
      </c>
      <c r="J1243" s="11">
        <f>((Imput[[#This Row],[Sub total]])*(0.08))</f>
        <v>1.4072</v>
      </c>
      <c r="K1243" s="11">
        <v>0</v>
      </c>
      <c r="L1243" s="169">
        <f>Imput[[#This Row],[Sub total]]+Imput[[#This Row],[IVA]]-Imput[[#This Row],[Retención / IEPS / Descuento]]</f>
        <v>18.997199999999999</v>
      </c>
      <c r="M1243" s="844">
        <v>137.4956</v>
      </c>
      <c r="N1243" s="189" t="s">
        <v>123</v>
      </c>
      <c r="O1243" s="1"/>
      <c r="P1243" s="189" t="s">
        <v>3968</v>
      </c>
      <c r="Q1243" s="190" t="s">
        <v>3969</v>
      </c>
      <c r="R1243" s="188">
        <v>46006</v>
      </c>
      <c r="S1243" s="193" t="s">
        <v>126</v>
      </c>
      <c r="T1243" s="192"/>
      <c r="U1243" s="829"/>
      <c r="V1243" s="10"/>
      <c r="W1243" s="10"/>
      <c r="X1243" s="10"/>
      <c r="Y1243" s="10"/>
      <c r="Z1243" s="10"/>
      <c r="AA1243" s="11"/>
      <c r="AB1243" s="11"/>
    </row>
    <row r="1244" spans="2:28" x14ac:dyDescent="0.3">
      <c r="B1244" s="10" t="s">
        <v>400</v>
      </c>
      <c r="C1244" s="315"/>
      <c r="D1244" s="868" t="s">
        <v>244</v>
      </c>
      <c r="E1244" s="837" t="str">
        <f>IFERROR(IF(_xlfn.XLOOKUP(Imput[[#This Row],[RFC]],'Alta Proveedor'!D:D,'Alta Proveedor'!E:E)=0,"",_xlfn.XLOOKUP(Imput[[#This Row],[RFC]],'Alta Proveedor'!D:D,'Alta Proveedor'!E:E)),"")</f>
        <v>CADENA COMERCIAL OXXO</v>
      </c>
      <c r="F1244" s="832" t="s">
        <v>3971</v>
      </c>
      <c r="G1244" s="187">
        <v>1</v>
      </c>
      <c r="H1244" s="1">
        <f>17.59/Imput[[#This Row],[Cantidad]]</f>
        <v>17.59</v>
      </c>
      <c r="I1244" s="169">
        <f>Imput[[#This Row],[Cantidad]]*Imput[[#This Row],[Precio Unitario]]</f>
        <v>17.59</v>
      </c>
      <c r="J1244" s="11">
        <f>((Imput[[#This Row],[Sub total]])*(0.08))</f>
        <v>1.4072</v>
      </c>
      <c r="K1244" s="11">
        <v>0</v>
      </c>
      <c r="L1244" s="169">
        <f>Imput[[#This Row],[Sub total]]+Imput[[#This Row],[IVA]]-Imput[[#This Row],[Retención / IEPS / Descuento]]</f>
        <v>18.997199999999999</v>
      </c>
      <c r="M1244" s="844">
        <v>0</v>
      </c>
      <c r="N1244" s="189" t="s">
        <v>123</v>
      </c>
      <c r="O1244" s="1"/>
      <c r="P1244" s="189" t="s">
        <v>3968</v>
      </c>
      <c r="Q1244" s="190" t="s">
        <v>3969</v>
      </c>
      <c r="R1244" s="188">
        <v>46006</v>
      </c>
      <c r="S1244" s="193" t="s">
        <v>126</v>
      </c>
      <c r="T1244" s="192"/>
      <c r="U1244" s="829"/>
      <c r="V1244" s="10"/>
      <c r="W1244" s="10"/>
      <c r="X1244" s="10"/>
      <c r="Y1244" s="10"/>
      <c r="Z1244" s="10"/>
      <c r="AA1244" s="11"/>
      <c r="AB1244" s="11"/>
    </row>
    <row r="1245" spans="2:28" x14ac:dyDescent="0.3">
      <c r="B1245" s="10" t="s">
        <v>400</v>
      </c>
      <c r="C1245" s="315"/>
      <c r="D1245" s="868" t="s">
        <v>244</v>
      </c>
      <c r="E1245" s="837" t="str">
        <f>IFERROR(IF(_xlfn.XLOOKUP(Imput[[#This Row],[RFC]],'Alta Proveedor'!D:D,'Alta Proveedor'!E:E)=0,"",_xlfn.XLOOKUP(Imput[[#This Row],[RFC]],'Alta Proveedor'!D:D,'Alta Proveedor'!E:E)),"")</f>
        <v>CADENA COMERCIAL OXXO</v>
      </c>
      <c r="F1245" s="832" t="s">
        <v>3972</v>
      </c>
      <c r="G1245" s="187">
        <v>2</v>
      </c>
      <c r="H1245" s="1">
        <f>41.67/Imput[[#This Row],[Cantidad]]</f>
        <v>20.835000000000001</v>
      </c>
      <c r="I1245" s="169">
        <f>Imput[[#This Row],[Cantidad]]*Imput[[#This Row],[Precio Unitario]]</f>
        <v>41.67</v>
      </c>
      <c r="J1245" s="11">
        <f>((Imput[[#This Row],[Sub total]])*(0.08))</f>
        <v>3.3336000000000001</v>
      </c>
      <c r="K1245" s="11">
        <v>0</v>
      </c>
      <c r="L1245" s="169">
        <f>Imput[[#This Row],[Sub total]]+Imput[[#This Row],[IVA]]-Imput[[#This Row],[Retención / IEPS / Descuento]]</f>
        <v>45.003599999999999</v>
      </c>
      <c r="M1245" s="844">
        <v>0</v>
      </c>
      <c r="N1245" s="189" t="s">
        <v>123</v>
      </c>
      <c r="O1245" s="1"/>
      <c r="P1245" s="189" t="s">
        <v>3968</v>
      </c>
      <c r="Q1245" s="190" t="s">
        <v>3969</v>
      </c>
      <c r="R1245" s="188">
        <v>46006</v>
      </c>
      <c r="S1245" s="193" t="s">
        <v>126</v>
      </c>
      <c r="T1245" s="192"/>
      <c r="U1245" s="829"/>
      <c r="V1245" s="10"/>
      <c r="W1245" s="10"/>
      <c r="X1245" s="10"/>
      <c r="Y1245" s="10"/>
      <c r="Z1245" s="10"/>
      <c r="AA1245" s="11"/>
      <c r="AB1245" s="11"/>
    </row>
    <row r="1246" spans="2:28" x14ac:dyDescent="0.3">
      <c r="B1246" s="10" t="s">
        <v>400</v>
      </c>
      <c r="C1246" s="315"/>
      <c r="D1246" s="868" t="s">
        <v>244</v>
      </c>
      <c r="E1246" s="837" t="str">
        <f>IFERROR(IF(_xlfn.XLOOKUP(Imput[[#This Row],[RFC]],'Alta Proveedor'!D:D,'Alta Proveedor'!E:E)=0,"",_xlfn.XLOOKUP(Imput[[#This Row],[RFC]],'Alta Proveedor'!D:D,'Alta Proveedor'!E:E)),"")</f>
        <v>CADENA COMERCIAL OXXO</v>
      </c>
      <c r="F1246" s="832" t="s">
        <v>3973</v>
      </c>
      <c r="G1246" s="187">
        <v>1</v>
      </c>
      <c r="H1246" s="1">
        <f>28.7/Imput[[#This Row],[Cantidad]]</f>
        <v>28.7</v>
      </c>
      <c r="I1246" s="169">
        <f>Imput[[#This Row],[Cantidad]]*Imput[[#This Row],[Precio Unitario]]</f>
        <v>28.7</v>
      </c>
      <c r="J1246" s="11">
        <f>((Imput[[#This Row],[Sub total]])*(0.08))</f>
        <v>2.2959999999999998</v>
      </c>
      <c r="K1246" s="11">
        <v>0</v>
      </c>
      <c r="L1246" s="169">
        <f>Imput[[#This Row],[Sub total]]+Imput[[#This Row],[IVA]]-Imput[[#This Row],[Retención / IEPS / Descuento]]</f>
        <v>30.995999999999999</v>
      </c>
      <c r="M1246" s="844">
        <v>0</v>
      </c>
      <c r="N1246" s="189" t="s">
        <v>123</v>
      </c>
      <c r="O1246" s="1"/>
      <c r="P1246" s="189" t="s">
        <v>3968</v>
      </c>
      <c r="Q1246" s="190" t="s">
        <v>3969</v>
      </c>
      <c r="R1246" s="188">
        <v>46006</v>
      </c>
      <c r="S1246" s="193" t="s">
        <v>126</v>
      </c>
      <c r="T1246" s="192"/>
      <c r="U1246" s="829"/>
      <c r="V1246" s="10"/>
      <c r="W1246" s="10"/>
      <c r="X1246" s="10"/>
      <c r="Y1246" s="10"/>
      <c r="Z1246" s="10"/>
      <c r="AA1246" s="11"/>
      <c r="AB1246" s="11"/>
    </row>
    <row r="1247" spans="2:28" x14ac:dyDescent="0.3">
      <c r="B1247" s="10" t="s">
        <v>400</v>
      </c>
      <c r="C1247" s="315"/>
      <c r="D1247" s="868" t="s">
        <v>244</v>
      </c>
      <c r="E1247" s="837" t="str">
        <f>IFERROR(IF(_xlfn.XLOOKUP(Imput[[#This Row],[RFC]],'Alta Proveedor'!D:D,'Alta Proveedor'!E:E)=0,"",_xlfn.XLOOKUP(Imput[[#This Row],[RFC]],'Alta Proveedor'!D:D,'Alta Proveedor'!E:E)),"")</f>
        <v>CADENA COMERCIAL OXXO</v>
      </c>
      <c r="F1247" s="832" t="s">
        <v>3974</v>
      </c>
      <c r="G1247" s="187">
        <v>1</v>
      </c>
      <c r="H1247" s="1">
        <f>20.26/Imput[[#This Row],[Cantidad]]</f>
        <v>20.260000000000002</v>
      </c>
      <c r="I1247" s="169">
        <f>Imput[[#This Row],[Cantidad]]*Imput[[#This Row],[Precio Unitario]]</f>
        <v>20.260000000000002</v>
      </c>
      <c r="J1247" s="11">
        <f>((Imput[[#This Row],[Sub total]])*(0.16))</f>
        <v>3.2416000000000005</v>
      </c>
      <c r="K1247" s="11">
        <v>0</v>
      </c>
      <c r="L1247" s="169">
        <f>Imput[[#This Row],[Sub total]]+Imput[[#This Row],[IVA]]-Imput[[#This Row],[Retención / IEPS / Descuento]]</f>
        <v>23.501600000000003</v>
      </c>
      <c r="M1247" s="844">
        <v>0</v>
      </c>
      <c r="N1247" s="189" t="s">
        <v>123</v>
      </c>
      <c r="O1247" s="1"/>
      <c r="P1247" s="189" t="s">
        <v>3968</v>
      </c>
      <c r="Q1247" s="190" t="s">
        <v>3969</v>
      </c>
      <c r="R1247" s="188">
        <v>46006</v>
      </c>
      <c r="S1247" s="193" t="s">
        <v>126</v>
      </c>
      <c r="T1247" s="192"/>
      <c r="U1247" s="829"/>
      <c r="V1247" s="10"/>
      <c r="W1247" s="10"/>
      <c r="X1247" s="10"/>
      <c r="Y1247" s="10"/>
      <c r="Z1247" s="10"/>
      <c r="AA1247" s="11"/>
      <c r="AB1247" s="11"/>
    </row>
    <row r="1248" spans="2:28" x14ac:dyDescent="0.3">
      <c r="B1248" s="10" t="s">
        <v>398</v>
      </c>
      <c r="C1248" s="315" t="s">
        <v>1747</v>
      </c>
      <c r="D1248" s="868" t="s">
        <v>3977</v>
      </c>
      <c r="E1248" s="837" t="str">
        <f>IFERROR(IF(_xlfn.XLOOKUP(Imput[[#This Row],[RFC]],'Alta Proveedor'!D:D,'Alta Proveedor'!E:E)=0,"",_xlfn.XLOOKUP(Imput[[#This Row],[RFC]],'Alta Proveedor'!D:D,'Alta Proveedor'!E:E)),"")</f>
        <v>RODRIGOALFONSOCRESPOVILLARREAL</v>
      </c>
      <c r="F1248" s="832" t="s">
        <v>3979</v>
      </c>
      <c r="G1248" s="187">
        <v>1</v>
      </c>
      <c r="H1248" s="1">
        <v>2305.58</v>
      </c>
      <c r="I1248" s="169">
        <f>Imput[[#This Row],[Cantidad]]*Imput[[#This Row],[Precio Unitario]]</f>
        <v>2305.58</v>
      </c>
      <c r="J1248" s="11">
        <f>((Imput[[#This Row],[Sub total]])*(0.16))</f>
        <v>368.89280000000002</v>
      </c>
      <c r="K1248" s="11">
        <v>69.17</v>
      </c>
      <c r="L1248" s="169">
        <f>Imput[[#This Row],[Sub total]]+Imput[[#This Row],[IVA]]-Imput[[#This Row],[Retención / IEPS / Descuento]]</f>
        <v>2605.3027999999999</v>
      </c>
      <c r="M1248" s="844">
        <v>2605.3027999999999</v>
      </c>
      <c r="N1248" s="189" t="s">
        <v>123</v>
      </c>
      <c r="O1248" s="1"/>
      <c r="P1248" s="189" t="s">
        <v>3975</v>
      </c>
      <c r="Q1248" s="190" t="s">
        <v>3976</v>
      </c>
      <c r="R1248" s="188">
        <v>45991</v>
      </c>
      <c r="S1248" s="193" t="s">
        <v>215</v>
      </c>
      <c r="T1248" s="192"/>
      <c r="U1248" s="829"/>
      <c r="V1248" s="10"/>
      <c r="W1248" s="10"/>
      <c r="X1248" s="10"/>
      <c r="Y1248" s="10"/>
      <c r="Z1248" s="10"/>
      <c r="AA1248" s="11"/>
      <c r="AB1248" s="11"/>
    </row>
    <row r="1249" spans="2:28" x14ac:dyDescent="0.3">
      <c r="B1249" s="10" t="s">
        <v>398</v>
      </c>
      <c r="C1249" s="315"/>
      <c r="D1249" s="868" t="s">
        <v>3982</v>
      </c>
      <c r="E1249" s="837" t="str">
        <f>IFERROR(IF(_xlfn.XLOOKUP(Imput[[#This Row],[RFC]],'Alta Proveedor'!D:D,'Alta Proveedor'!E:E)=0,"",_xlfn.XLOOKUP(Imput[[#This Row],[RFC]],'Alta Proveedor'!D:D,'Alta Proveedor'!E:E)),"")</f>
        <v>CONCESIONARIA DE 
INFRAESTRUCTURA DEL 
BAJIO</v>
      </c>
      <c r="F1249" s="832" t="s">
        <v>3984</v>
      </c>
      <c r="G1249" s="187">
        <v>1</v>
      </c>
      <c r="H1249" s="1">
        <v>62.93</v>
      </c>
      <c r="I1249" s="169">
        <f>Imput[[#This Row],[Cantidad]]*Imput[[#This Row],[Precio Unitario]]</f>
        <v>62.93</v>
      </c>
      <c r="J1249" s="11">
        <f>((Imput[[#This Row],[Sub total]])*(0.16))</f>
        <v>10.0688</v>
      </c>
      <c r="K1249" s="11">
        <v>0</v>
      </c>
      <c r="L1249" s="169">
        <f>Imput[[#This Row],[Sub total]]+Imput[[#This Row],[IVA]]-Imput[[#This Row],[Retención / IEPS / Descuento]]</f>
        <v>72.998800000000003</v>
      </c>
      <c r="M1249" s="844">
        <v>72.998800000000003</v>
      </c>
      <c r="N1249" s="189" t="s">
        <v>123</v>
      </c>
      <c r="O1249" s="1"/>
      <c r="P1249" s="189" t="s">
        <v>3980</v>
      </c>
      <c r="Q1249" s="190" t="s">
        <v>3981</v>
      </c>
      <c r="R1249" s="188">
        <v>45987</v>
      </c>
      <c r="S1249" s="193" t="s">
        <v>294</v>
      </c>
      <c r="T1249" s="192"/>
      <c r="U1249" s="829"/>
      <c r="V1249" s="10"/>
      <c r="W1249" s="10"/>
      <c r="X1249" s="10"/>
      <c r="Y1249" s="10"/>
      <c r="Z1249" s="10"/>
      <c r="AA1249" s="11"/>
      <c r="AB1249" s="11"/>
    </row>
    <row r="1250" spans="2:28" x14ac:dyDescent="0.3">
      <c r="B1250" s="10" t="s">
        <v>400</v>
      </c>
      <c r="C1250" s="315"/>
      <c r="D1250" s="868" t="s">
        <v>3988</v>
      </c>
      <c r="E1250" s="837" t="str">
        <f>IFERROR(IF(_xlfn.XLOOKUP(Imput[[#This Row],[RFC]],'Alta Proveedor'!D:D,'Alta Proveedor'!E:E)=0,"",_xlfn.XLOOKUP(Imput[[#This Row],[RFC]],'Alta Proveedor'!D:D,'Alta Proveedor'!E:E)),"")</f>
        <v>CONSULTORA MEXICANA SA DE CV</v>
      </c>
      <c r="F1250" s="832" t="s">
        <v>3990</v>
      </c>
      <c r="G1250" s="187">
        <v>1</v>
      </c>
      <c r="H1250" s="1">
        <v>15747.57</v>
      </c>
      <c r="I1250" s="169">
        <f>Imput[[#This Row],[Cantidad]]*Imput[[#This Row],[Precio Unitario]]</f>
        <v>15747.57</v>
      </c>
      <c r="J1250" s="11">
        <f>((Imput[[#This Row],[Sub total]])*(0.16))</f>
        <v>2519.6111999999998</v>
      </c>
      <c r="K1250" s="11">
        <v>0</v>
      </c>
      <c r="L1250" s="169">
        <f>Imput[[#This Row],[Sub total]]+Imput[[#This Row],[IVA]]-Imput[[#This Row],[Retención / IEPS / Descuento]]</f>
        <v>18267.181199999999</v>
      </c>
      <c r="M1250" s="844">
        <v>25575.181199999999</v>
      </c>
      <c r="N1250" s="189" t="s">
        <v>123</v>
      </c>
      <c r="O1250" s="1"/>
      <c r="P1250" s="189" t="s">
        <v>3985</v>
      </c>
      <c r="Q1250" s="190" t="s">
        <v>3986</v>
      </c>
      <c r="R1250" s="188">
        <v>45999</v>
      </c>
      <c r="S1250" s="193" t="s">
        <v>3987</v>
      </c>
      <c r="T1250" s="192"/>
      <c r="U1250" s="829"/>
      <c r="V1250" s="10"/>
      <c r="W1250" s="10"/>
      <c r="X1250" s="10"/>
      <c r="Y1250" s="10"/>
      <c r="Z1250" s="10"/>
      <c r="AA1250" s="11"/>
      <c r="AB1250" s="11"/>
    </row>
    <row r="1251" spans="2:28" x14ac:dyDescent="0.3">
      <c r="B1251" s="10" t="s">
        <v>400</v>
      </c>
      <c r="C1251" s="315"/>
      <c r="D1251" s="868" t="s">
        <v>3988</v>
      </c>
      <c r="E1251" s="837" t="str">
        <f>IFERROR(IF(_xlfn.XLOOKUP(Imput[[#This Row],[RFC]],'Alta Proveedor'!D:D,'Alta Proveedor'!E:E)=0,"",_xlfn.XLOOKUP(Imput[[#This Row],[RFC]],'Alta Proveedor'!D:D,'Alta Proveedor'!E:E)),"")</f>
        <v>CONSULTORA MEXICANA SA DE CV</v>
      </c>
      <c r="F1251" s="832" t="s">
        <v>3991</v>
      </c>
      <c r="G1251" s="187">
        <v>1</v>
      </c>
      <c r="H1251" s="1">
        <v>3500</v>
      </c>
      <c r="I1251" s="169">
        <f>Imput[[#This Row],[Cantidad]]*Imput[[#This Row],[Precio Unitario]]</f>
        <v>3500</v>
      </c>
      <c r="J1251" s="11">
        <f>((Imput[[#This Row],[Sub total]])*(0.16))</f>
        <v>560</v>
      </c>
      <c r="K1251" s="11">
        <v>0</v>
      </c>
      <c r="L1251" s="169">
        <f>Imput[[#This Row],[Sub total]]+Imput[[#This Row],[IVA]]-Imput[[#This Row],[Retención / IEPS / Descuento]]</f>
        <v>4060</v>
      </c>
      <c r="M1251" s="844">
        <v>0</v>
      </c>
      <c r="N1251" s="189" t="s">
        <v>123</v>
      </c>
      <c r="O1251" s="1"/>
      <c r="P1251" s="189" t="s">
        <v>3985</v>
      </c>
      <c r="Q1251" s="190" t="s">
        <v>3986</v>
      </c>
      <c r="R1251" s="188">
        <v>45999</v>
      </c>
      <c r="S1251" s="193" t="s">
        <v>3987</v>
      </c>
      <c r="T1251" s="192"/>
      <c r="U1251" s="829"/>
      <c r="V1251" s="10"/>
      <c r="W1251" s="10"/>
      <c r="X1251" s="10"/>
      <c r="Y1251" s="10"/>
      <c r="Z1251" s="10"/>
      <c r="AA1251" s="11"/>
      <c r="AB1251" s="11"/>
    </row>
    <row r="1252" spans="2:28" x14ac:dyDescent="0.3">
      <c r="B1252" s="10" t="s">
        <v>400</v>
      </c>
      <c r="C1252" s="315"/>
      <c r="D1252" s="868" t="s">
        <v>3988</v>
      </c>
      <c r="E1252" s="837" t="str">
        <f>IFERROR(IF(_xlfn.XLOOKUP(Imput[[#This Row],[RFC]],'Alta Proveedor'!D:D,'Alta Proveedor'!E:E)=0,"",_xlfn.XLOOKUP(Imput[[#This Row],[RFC]],'Alta Proveedor'!D:D,'Alta Proveedor'!E:E)),"")</f>
        <v>CONSULTORA MEXICANA SA DE CV</v>
      </c>
      <c r="F1252" s="832" t="s">
        <v>3992</v>
      </c>
      <c r="G1252" s="187">
        <v>1</v>
      </c>
      <c r="H1252" s="1">
        <v>1000</v>
      </c>
      <c r="I1252" s="169">
        <f>Imput[[#This Row],[Cantidad]]*Imput[[#This Row],[Precio Unitario]]</f>
        <v>1000</v>
      </c>
      <c r="J1252" s="11">
        <f>((Imput[[#This Row],[Sub total]])*(0.16))</f>
        <v>160</v>
      </c>
      <c r="K1252" s="11">
        <v>0</v>
      </c>
      <c r="L1252" s="169">
        <f>Imput[[#This Row],[Sub total]]+Imput[[#This Row],[IVA]]-Imput[[#This Row],[Retención / IEPS / Descuento]]</f>
        <v>1160</v>
      </c>
      <c r="M1252" s="844">
        <v>0</v>
      </c>
      <c r="N1252" s="189" t="s">
        <v>123</v>
      </c>
      <c r="O1252" s="1"/>
      <c r="P1252" s="189" t="s">
        <v>3985</v>
      </c>
      <c r="Q1252" s="190" t="s">
        <v>3986</v>
      </c>
      <c r="R1252" s="188">
        <v>45999</v>
      </c>
      <c r="S1252" s="193" t="s">
        <v>3987</v>
      </c>
      <c r="T1252" s="192"/>
      <c r="U1252" s="829"/>
      <c r="V1252" s="10"/>
      <c r="W1252" s="10"/>
      <c r="X1252" s="10"/>
      <c r="Y1252" s="10"/>
      <c r="Z1252" s="10"/>
      <c r="AA1252" s="11"/>
      <c r="AB1252" s="11"/>
    </row>
    <row r="1253" spans="2:28" x14ac:dyDescent="0.3">
      <c r="B1253" s="10" t="s">
        <v>400</v>
      </c>
      <c r="C1253" s="315"/>
      <c r="D1253" s="868" t="s">
        <v>3988</v>
      </c>
      <c r="E1253" s="837" t="str">
        <f>IFERROR(IF(_xlfn.XLOOKUP(Imput[[#This Row],[RFC]],'Alta Proveedor'!D:D,'Alta Proveedor'!E:E)=0,"",_xlfn.XLOOKUP(Imput[[#This Row],[RFC]],'Alta Proveedor'!D:D,'Alta Proveedor'!E:E)),"")</f>
        <v>CONSULTORA MEXICANA SA DE CV</v>
      </c>
      <c r="F1253" s="832" t="s">
        <v>3993</v>
      </c>
      <c r="G1253" s="187">
        <v>1</v>
      </c>
      <c r="H1253" s="1">
        <v>700</v>
      </c>
      <c r="I1253" s="169">
        <f>Imput[[#This Row],[Cantidad]]*Imput[[#This Row],[Precio Unitario]]</f>
        <v>700</v>
      </c>
      <c r="J1253" s="11">
        <f>((Imput[[#This Row],[Sub total]])*(0.16))</f>
        <v>112</v>
      </c>
      <c r="K1253" s="11">
        <v>0</v>
      </c>
      <c r="L1253" s="169">
        <f>Imput[[#This Row],[Sub total]]+Imput[[#This Row],[IVA]]-Imput[[#This Row],[Retención / IEPS / Descuento]]</f>
        <v>812</v>
      </c>
      <c r="M1253" s="844">
        <v>0</v>
      </c>
      <c r="N1253" s="189" t="s">
        <v>123</v>
      </c>
      <c r="O1253" s="1"/>
      <c r="P1253" s="189" t="s">
        <v>3985</v>
      </c>
      <c r="Q1253" s="190" t="s">
        <v>3986</v>
      </c>
      <c r="R1253" s="188">
        <v>45999</v>
      </c>
      <c r="S1253" s="193" t="s">
        <v>3987</v>
      </c>
      <c r="T1253" s="192"/>
      <c r="U1253" s="829"/>
      <c r="V1253" s="10"/>
      <c r="W1253" s="10"/>
      <c r="X1253" s="10"/>
      <c r="Y1253" s="10"/>
      <c r="Z1253" s="10"/>
      <c r="AA1253" s="11"/>
      <c r="AB1253" s="11"/>
    </row>
    <row r="1254" spans="2:28" x14ac:dyDescent="0.3">
      <c r="B1254" s="10" t="s">
        <v>400</v>
      </c>
      <c r="C1254" s="315"/>
      <c r="D1254" s="868" t="s">
        <v>3988</v>
      </c>
      <c r="E1254" s="837" t="str">
        <f>IFERROR(IF(_xlfn.XLOOKUP(Imput[[#This Row],[RFC]],'Alta Proveedor'!D:D,'Alta Proveedor'!E:E)=0,"",_xlfn.XLOOKUP(Imput[[#This Row],[RFC]],'Alta Proveedor'!D:D,'Alta Proveedor'!E:E)),"")</f>
        <v>CONSULTORA MEXICANA SA DE CV</v>
      </c>
      <c r="F1254" s="832" t="s">
        <v>3994</v>
      </c>
      <c r="G1254" s="187">
        <v>1</v>
      </c>
      <c r="H1254" s="1">
        <v>500</v>
      </c>
      <c r="I1254" s="169">
        <f>Imput[[#This Row],[Cantidad]]*Imput[[#This Row],[Precio Unitario]]</f>
        <v>500</v>
      </c>
      <c r="J1254" s="11">
        <f>((Imput[[#This Row],[Sub total]])*(0.16))</f>
        <v>80</v>
      </c>
      <c r="K1254" s="11">
        <v>0</v>
      </c>
      <c r="L1254" s="169">
        <f>Imput[[#This Row],[Sub total]]+Imput[[#This Row],[IVA]]-Imput[[#This Row],[Retención / IEPS / Descuento]]</f>
        <v>580</v>
      </c>
      <c r="M1254" s="844">
        <v>0</v>
      </c>
      <c r="N1254" s="189" t="s">
        <v>123</v>
      </c>
      <c r="O1254" s="1"/>
      <c r="P1254" s="189" t="s">
        <v>3985</v>
      </c>
      <c r="Q1254" s="190" t="s">
        <v>3986</v>
      </c>
      <c r="R1254" s="188">
        <v>45999</v>
      </c>
      <c r="S1254" s="193" t="s">
        <v>3987</v>
      </c>
      <c r="T1254" s="192"/>
      <c r="U1254" s="829"/>
      <c r="V1254" s="10"/>
      <c r="W1254" s="10"/>
      <c r="X1254" s="10"/>
      <c r="Y1254" s="10"/>
      <c r="Z1254" s="10"/>
      <c r="AA1254" s="11"/>
      <c r="AB1254" s="11"/>
    </row>
    <row r="1255" spans="2:28" x14ac:dyDescent="0.3">
      <c r="B1255" s="10" t="s">
        <v>400</v>
      </c>
      <c r="C1255" s="315"/>
      <c r="D1255" s="868" t="s">
        <v>3988</v>
      </c>
      <c r="E1255" s="837" t="str">
        <f>IFERROR(IF(_xlfn.XLOOKUP(Imput[[#This Row],[RFC]],'Alta Proveedor'!D:D,'Alta Proveedor'!E:E)=0,"",_xlfn.XLOOKUP(Imput[[#This Row],[RFC]],'Alta Proveedor'!D:D,'Alta Proveedor'!E:E)),"")</f>
        <v>CONSULTORA MEXICANA SA DE CV</v>
      </c>
      <c r="F1255" s="832" t="s">
        <v>3995</v>
      </c>
      <c r="G1255" s="187">
        <v>1</v>
      </c>
      <c r="H1255" s="1">
        <v>350</v>
      </c>
      <c r="I1255" s="169">
        <f>Imput[[#This Row],[Cantidad]]*Imput[[#This Row],[Precio Unitario]]</f>
        <v>350</v>
      </c>
      <c r="J1255" s="11">
        <f>((Imput[[#This Row],[Sub total]])*(0.16))</f>
        <v>56</v>
      </c>
      <c r="K1255" s="11">
        <v>0</v>
      </c>
      <c r="L1255" s="169">
        <f>Imput[[#This Row],[Sub total]]+Imput[[#This Row],[IVA]]-Imput[[#This Row],[Retención / IEPS / Descuento]]</f>
        <v>406</v>
      </c>
      <c r="M1255" s="844">
        <v>0</v>
      </c>
      <c r="N1255" s="189" t="s">
        <v>123</v>
      </c>
      <c r="O1255" s="1"/>
      <c r="P1255" s="189" t="s">
        <v>3985</v>
      </c>
      <c r="Q1255" s="190" t="s">
        <v>3986</v>
      </c>
      <c r="R1255" s="188">
        <v>45999</v>
      </c>
      <c r="S1255" s="193" t="s">
        <v>3987</v>
      </c>
      <c r="T1255" s="192"/>
      <c r="U1255" s="829"/>
      <c r="V1255" s="10"/>
      <c r="W1255" s="10"/>
      <c r="X1255" s="10"/>
      <c r="Y1255" s="10"/>
      <c r="Z1255" s="10"/>
      <c r="AA1255" s="11"/>
      <c r="AB1255" s="11"/>
    </row>
    <row r="1256" spans="2:28" x14ac:dyDescent="0.3">
      <c r="B1256" s="10" t="s">
        <v>400</v>
      </c>
      <c r="C1256" s="315"/>
      <c r="D1256" s="868" t="s">
        <v>3988</v>
      </c>
      <c r="E1256" s="837" t="str">
        <f>IFERROR(IF(_xlfn.XLOOKUP(Imput[[#This Row],[RFC]],'Alta Proveedor'!D:D,'Alta Proveedor'!E:E)=0,"",_xlfn.XLOOKUP(Imput[[#This Row],[RFC]],'Alta Proveedor'!D:D,'Alta Proveedor'!E:E)),"")</f>
        <v>CONSULTORA MEXICANA SA DE CV</v>
      </c>
      <c r="F1256" s="832" t="s">
        <v>3996</v>
      </c>
      <c r="G1256" s="187">
        <v>1</v>
      </c>
      <c r="H1256" s="1">
        <v>250</v>
      </c>
      <c r="I1256" s="169">
        <f>Imput[[#This Row],[Cantidad]]*Imput[[#This Row],[Precio Unitario]]</f>
        <v>250</v>
      </c>
      <c r="J1256" s="11">
        <f>((Imput[[#This Row],[Sub total]])*(0.16))</f>
        <v>40</v>
      </c>
      <c r="K1256" s="11">
        <v>0</v>
      </c>
      <c r="L1256" s="169">
        <f>Imput[[#This Row],[Sub total]]+Imput[[#This Row],[IVA]]-Imput[[#This Row],[Retención / IEPS / Descuento]]</f>
        <v>290</v>
      </c>
      <c r="M1256" s="844">
        <v>0</v>
      </c>
      <c r="N1256" s="189" t="s">
        <v>123</v>
      </c>
      <c r="O1256" s="1"/>
      <c r="P1256" s="189" t="s">
        <v>3985</v>
      </c>
      <c r="Q1256" s="190" t="s">
        <v>3986</v>
      </c>
      <c r="R1256" s="188">
        <v>45999</v>
      </c>
      <c r="S1256" s="193" t="s">
        <v>3987</v>
      </c>
      <c r="T1256" s="192"/>
      <c r="U1256" s="829"/>
      <c r="V1256" s="10"/>
      <c r="W1256" s="10"/>
      <c r="X1256" s="10"/>
      <c r="Y1256" s="10"/>
      <c r="Z1256" s="10"/>
      <c r="AA1256" s="11"/>
      <c r="AB1256" s="11"/>
    </row>
    <row r="1257" spans="2:28" x14ac:dyDescent="0.3">
      <c r="B1257" s="10" t="s">
        <v>398</v>
      </c>
      <c r="C1257" s="315"/>
      <c r="D1257" s="868" t="s">
        <v>3894</v>
      </c>
      <c r="E1257" s="837" t="str">
        <f>IFERROR(IF(_xlfn.XLOOKUP(Imput[[#This Row],[RFC]],'Alta Proveedor'!D:D,'Alta Proveedor'!E:E)=0,"",_xlfn.XLOOKUP(Imput[[#This Row],[RFC]],'Alta Proveedor'!D:D,'Alta Proveedor'!E:E)),"")</f>
        <v>COSTCO DE MEXICO</v>
      </c>
      <c r="F1257" s="832" t="s">
        <v>3999</v>
      </c>
      <c r="G1257" s="187">
        <v>2</v>
      </c>
      <c r="H1257" s="1">
        <v>254.83</v>
      </c>
      <c r="I1257" s="169">
        <f>Imput[[#This Row],[Cantidad]]*Imput[[#This Row],[Precio Unitario]]</f>
        <v>509.66</v>
      </c>
      <c r="J1257" s="11">
        <f>((Imput[[#This Row],[Sub total]]-114.92)*(0.16))</f>
        <v>63.1584</v>
      </c>
      <c r="K1257" s="11">
        <v>114.92</v>
      </c>
      <c r="L1257" s="169">
        <f>Imput[[#This Row],[Sub total]]+Imput[[#This Row],[IVA]]-Imput[[#This Row],[Retención / IEPS / Descuento]]</f>
        <v>457.89839999999998</v>
      </c>
      <c r="M1257" s="844">
        <v>11481.898799999999</v>
      </c>
      <c r="N1257" s="189" t="s">
        <v>123</v>
      </c>
      <c r="O1257" s="1"/>
      <c r="P1257" s="189" t="s">
        <v>3997</v>
      </c>
      <c r="Q1257" s="190" t="s">
        <v>3998</v>
      </c>
      <c r="R1257" s="188">
        <v>45981</v>
      </c>
      <c r="S1257" s="193" t="s">
        <v>126</v>
      </c>
      <c r="T1257" s="192"/>
      <c r="U1257" s="829"/>
      <c r="V1257" s="10"/>
      <c r="W1257" s="10"/>
      <c r="X1257" s="10"/>
      <c r="Y1257" s="10"/>
      <c r="Z1257" s="10"/>
      <c r="AA1257" s="11"/>
      <c r="AB1257" s="11"/>
    </row>
    <row r="1258" spans="2:28" x14ac:dyDescent="0.3">
      <c r="B1258" s="10" t="s">
        <v>398</v>
      </c>
      <c r="C1258" s="315"/>
      <c r="D1258" s="868" t="s">
        <v>3894</v>
      </c>
      <c r="E1258" s="837" t="str">
        <f>IFERROR(IF(_xlfn.XLOOKUP(Imput[[#This Row],[RFC]],'Alta Proveedor'!D:D,'Alta Proveedor'!E:E)=0,"",_xlfn.XLOOKUP(Imput[[#This Row],[RFC]],'Alta Proveedor'!D:D,'Alta Proveedor'!E:E)),"")</f>
        <v>COSTCO DE MEXICO</v>
      </c>
      <c r="F1258" s="832" t="s">
        <v>3900</v>
      </c>
      <c r="G1258" s="187">
        <v>1</v>
      </c>
      <c r="H1258" s="1">
        <v>307.76</v>
      </c>
      <c r="I1258" s="169">
        <f>Imput[[#This Row],[Cantidad]]*Imput[[#This Row],[Precio Unitario]]</f>
        <v>307.76</v>
      </c>
      <c r="J1258" s="11">
        <f>((Imput[[#This Row],[Sub total]]-6.9)*(0.16))</f>
        <v>48.137600000000006</v>
      </c>
      <c r="K1258" s="11">
        <v>6.9</v>
      </c>
      <c r="L1258" s="169">
        <f>Imput[[#This Row],[Sub total]]+Imput[[#This Row],[IVA]]-Imput[[#This Row],[Retención / IEPS / Descuento]]</f>
        <v>348.99760000000003</v>
      </c>
      <c r="M1258" s="844">
        <v>0</v>
      </c>
      <c r="N1258" s="189" t="s">
        <v>123</v>
      </c>
      <c r="O1258" s="1"/>
      <c r="P1258" s="189" t="s">
        <v>3997</v>
      </c>
      <c r="Q1258" s="190" t="s">
        <v>3998</v>
      </c>
      <c r="R1258" s="188">
        <v>45981</v>
      </c>
      <c r="S1258" s="193" t="s">
        <v>126</v>
      </c>
      <c r="T1258" s="192"/>
      <c r="U1258" s="829"/>
      <c r="V1258" s="10"/>
      <c r="W1258" s="10"/>
      <c r="X1258" s="10"/>
      <c r="Y1258" s="10"/>
      <c r="Z1258" s="10"/>
      <c r="AA1258" s="11"/>
      <c r="AB1258" s="11"/>
    </row>
    <row r="1259" spans="2:28" x14ac:dyDescent="0.3">
      <c r="B1259" s="10" t="s">
        <v>398</v>
      </c>
      <c r="C1259" s="315"/>
      <c r="D1259" s="868" t="s">
        <v>3894</v>
      </c>
      <c r="E1259" s="837" t="str">
        <f>IFERROR(IF(_xlfn.XLOOKUP(Imput[[#This Row],[RFC]],'Alta Proveedor'!D:D,'Alta Proveedor'!E:E)=0,"",_xlfn.XLOOKUP(Imput[[#This Row],[RFC]],'Alta Proveedor'!D:D,'Alta Proveedor'!E:E)),"")</f>
        <v>COSTCO DE MEXICO</v>
      </c>
      <c r="F1259" s="832" t="s">
        <v>4000</v>
      </c>
      <c r="G1259" s="187">
        <v>1</v>
      </c>
      <c r="H1259" s="1">
        <v>9082.6299999999992</v>
      </c>
      <c r="I1259" s="169">
        <f>Imput[[#This Row],[Cantidad]]*Imput[[#This Row],[Precio Unitario]]</f>
        <v>9082.6299999999992</v>
      </c>
      <c r="J1259" s="11">
        <f>((Imput[[#This Row],[Sub total]]-204.19)*(0.16))+0.01</f>
        <v>1420.5603999999998</v>
      </c>
      <c r="K1259" s="11">
        <v>204.19</v>
      </c>
      <c r="L1259" s="169">
        <f>Imput[[#This Row],[Sub total]]+Imput[[#This Row],[IVA]]-Imput[[#This Row],[Retención / IEPS / Descuento]]</f>
        <v>10299.000399999999</v>
      </c>
      <c r="M1259" s="844">
        <v>0</v>
      </c>
      <c r="N1259" s="189" t="s">
        <v>123</v>
      </c>
      <c r="O1259" s="1"/>
      <c r="P1259" s="189" t="s">
        <v>3997</v>
      </c>
      <c r="Q1259" s="190" t="s">
        <v>3998</v>
      </c>
      <c r="R1259" s="188">
        <v>45981</v>
      </c>
      <c r="S1259" s="193" t="s">
        <v>126</v>
      </c>
      <c r="T1259" s="192"/>
      <c r="U1259" s="829"/>
      <c r="V1259" s="10"/>
      <c r="W1259" s="10"/>
      <c r="X1259" s="10"/>
      <c r="Y1259" s="10"/>
      <c r="Z1259" s="10"/>
      <c r="AA1259" s="11"/>
      <c r="AB1259" s="11"/>
    </row>
    <row r="1260" spans="2:28" x14ac:dyDescent="0.3">
      <c r="B1260" s="10" t="s">
        <v>398</v>
      </c>
      <c r="C1260" s="315"/>
      <c r="D1260" s="868" t="s">
        <v>3894</v>
      </c>
      <c r="E1260" s="837" t="str">
        <f>IFERROR(IF(_xlfn.XLOOKUP(Imput[[#This Row],[RFC]],'Alta Proveedor'!D:D,'Alta Proveedor'!E:E)=0,"",_xlfn.XLOOKUP(Imput[[#This Row],[RFC]],'Alta Proveedor'!D:D,'Alta Proveedor'!E:E)),"")</f>
        <v>COSTCO DE MEXICO</v>
      </c>
      <c r="F1260" s="832" t="s">
        <v>3903</v>
      </c>
      <c r="G1260" s="187">
        <v>2</v>
      </c>
      <c r="H1260" s="1">
        <v>207.26</v>
      </c>
      <c r="I1260" s="169">
        <f>Imput[[#This Row],[Cantidad]]*Imput[[#This Row],[Precio Unitario]]</f>
        <v>414.52</v>
      </c>
      <c r="J1260" s="11">
        <f>((Imput[[#This Row],[Sub total]]-90.38)*(0.16))</f>
        <v>51.862400000000001</v>
      </c>
      <c r="K1260" s="11">
        <v>90.38</v>
      </c>
      <c r="L1260" s="169">
        <f>Imput[[#This Row],[Sub total]]+Imput[[#This Row],[IVA]]-Imput[[#This Row],[Retención / IEPS / Descuento]]</f>
        <v>376.00239999999997</v>
      </c>
      <c r="M1260" s="844">
        <v>0</v>
      </c>
      <c r="N1260" s="189" t="s">
        <v>123</v>
      </c>
      <c r="O1260" s="1"/>
      <c r="P1260" s="189" t="s">
        <v>3997</v>
      </c>
      <c r="Q1260" s="190" t="s">
        <v>3998</v>
      </c>
      <c r="R1260" s="188">
        <v>45981</v>
      </c>
      <c r="S1260" s="193" t="s">
        <v>126</v>
      </c>
      <c r="T1260" s="192"/>
      <c r="U1260" s="829"/>
      <c r="V1260" s="10"/>
      <c r="W1260" s="10"/>
      <c r="X1260" s="10"/>
      <c r="Y1260" s="10"/>
      <c r="Z1260" s="10"/>
      <c r="AA1260" s="11"/>
      <c r="AB1260" s="11"/>
    </row>
    <row r="1261" spans="2:28" x14ac:dyDescent="0.3">
      <c r="B1261" s="10" t="s">
        <v>398</v>
      </c>
      <c r="C1261" s="315"/>
      <c r="D1261" s="868" t="s">
        <v>4003</v>
      </c>
      <c r="E1261" s="837" t="str">
        <f>IFERROR(IF(_xlfn.XLOOKUP(Imput[[#This Row],[RFC]],'Alta Proveedor'!D:D,'Alta Proveedor'!E:E)=0,"",_xlfn.XLOOKUP(Imput[[#This Row],[RFC]],'Alta Proveedor'!D:D,'Alta Proveedor'!E:E)),"")</f>
        <v>COSTALYM</v>
      </c>
      <c r="F1261" s="832" t="s">
        <v>4005</v>
      </c>
      <c r="G1261" s="187">
        <v>3000</v>
      </c>
      <c r="H1261" s="1">
        <v>4.21</v>
      </c>
      <c r="I1261" s="169">
        <f>Imput[[#This Row],[Cantidad]]*Imput[[#This Row],[Precio Unitario]]</f>
        <v>12630</v>
      </c>
      <c r="J1261" s="11">
        <f>((Imput[[#This Row],[Sub total]])*(0.16))</f>
        <v>2020.8</v>
      </c>
      <c r="K1261" s="11">
        <v>0</v>
      </c>
      <c r="L1261" s="169">
        <f>Imput[[#This Row],[Sub total]]+Imput[[#This Row],[IVA]]-Imput[[#This Row],[Retención / IEPS / Descuento]]</f>
        <v>14650.8</v>
      </c>
      <c r="M1261" s="844">
        <v>16367.913199999999</v>
      </c>
      <c r="N1261" s="189" t="s">
        <v>123</v>
      </c>
      <c r="O1261" s="1"/>
      <c r="P1261" s="189" t="s">
        <v>4001</v>
      </c>
      <c r="Q1261" s="190" t="s">
        <v>4002</v>
      </c>
      <c r="R1261" s="188">
        <v>45986</v>
      </c>
      <c r="S1261" s="193" t="s">
        <v>215</v>
      </c>
      <c r="T1261" s="192"/>
      <c r="U1261" s="829"/>
      <c r="V1261" s="10"/>
      <c r="W1261" s="10"/>
      <c r="X1261" s="10"/>
      <c r="Y1261" s="10"/>
      <c r="Z1261" s="10"/>
      <c r="AA1261" s="11"/>
      <c r="AB1261" s="11"/>
    </row>
    <row r="1262" spans="2:28" x14ac:dyDescent="0.3">
      <c r="B1262" s="10" t="s">
        <v>398</v>
      </c>
      <c r="C1262" s="315"/>
      <c r="D1262" s="868" t="s">
        <v>4003</v>
      </c>
      <c r="E1262" s="837" t="str">
        <f>IFERROR(IF(_xlfn.XLOOKUP(Imput[[#This Row],[RFC]],'Alta Proveedor'!D:D,'Alta Proveedor'!E:E)=0,"",_xlfn.XLOOKUP(Imput[[#This Row],[RFC]],'Alta Proveedor'!D:D,'Alta Proveedor'!E:E)),"")</f>
        <v>COSTALYM</v>
      </c>
      <c r="F1262" s="832" t="s">
        <v>4006</v>
      </c>
      <c r="G1262" s="187">
        <v>1</v>
      </c>
      <c r="H1262" s="1">
        <v>1480.27</v>
      </c>
      <c r="I1262" s="169">
        <f>Imput[[#This Row],[Cantidad]]*Imput[[#This Row],[Precio Unitario]]</f>
        <v>1480.27</v>
      </c>
      <c r="J1262" s="11">
        <f>((Imput[[#This Row],[Sub total]])*(0.16))</f>
        <v>236.8432</v>
      </c>
      <c r="K1262" s="11">
        <v>0</v>
      </c>
      <c r="L1262" s="169">
        <f>Imput[[#This Row],[Sub total]]+Imput[[#This Row],[IVA]]-Imput[[#This Row],[Retención / IEPS / Descuento]]</f>
        <v>1717.1132</v>
      </c>
      <c r="M1262" s="844">
        <v>0</v>
      </c>
      <c r="N1262" s="189" t="s">
        <v>123</v>
      </c>
      <c r="O1262" s="1"/>
      <c r="P1262" s="189" t="s">
        <v>4001</v>
      </c>
      <c r="Q1262" s="190" t="s">
        <v>4002</v>
      </c>
      <c r="R1262" s="188">
        <v>45986</v>
      </c>
      <c r="S1262" s="193" t="s">
        <v>215</v>
      </c>
      <c r="T1262" s="192"/>
      <c r="U1262" s="829"/>
      <c r="V1262" s="10"/>
      <c r="W1262" s="10"/>
      <c r="X1262" s="10"/>
      <c r="Y1262" s="10"/>
      <c r="Z1262" s="10"/>
      <c r="AA1262" s="11"/>
      <c r="AB1262" s="11"/>
    </row>
    <row r="1263" spans="2:28" x14ac:dyDescent="0.3">
      <c r="B1263" s="10" t="s">
        <v>400</v>
      </c>
      <c r="C1263" s="315" t="s">
        <v>1806</v>
      </c>
      <c r="D1263" s="868" t="s">
        <v>1057</v>
      </c>
      <c r="E1263" s="837" t="str">
        <f>IFERROR(IF(_xlfn.XLOOKUP(Imput[[#This Row],[RFC]],'Alta Proveedor'!D:D,'Alta Proveedor'!E:E)=0,"",_xlfn.XLOOKUP(Imput[[#This Row],[RFC]],'Alta Proveedor'!D:D,'Alta Proveedor'!E:E)),"")</f>
        <v>CAFE SIRENA "STARBUCKS"</v>
      </c>
      <c r="F1263" s="832" t="s">
        <v>3549</v>
      </c>
      <c r="G1263" s="187">
        <v>1</v>
      </c>
      <c r="H1263" s="1">
        <v>166.67</v>
      </c>
      <c r="I1263" s="169">
        <f>Imput[[#This Row],[Cantidad]]*Imput[[#This Row],[Precio Unitario]]</f>
        <v>166.67</v>
      </c>
      <c r="J1263" s="11">
        <f>((Imput[[#This Row],[Sub total]])*(0.08))</f>
        <v>13.333599999999999</v>
      </c>
      <c r="K1263" s="11">
        <v>0</v>
      </c>
      <c r="L1263" s="169">
        <f>Imput[[#This Row],[Sub total]]+Imput[[#This Row],[IVA]]-Imput[[#This Row],[Retención / IEPS / Descuento]]</f>
        <v>180.00359999999998</v>
      </c>
      <c r="M1263" s="844">
        <v>180.00359999999998</v>
      </c>
      <c r="N1263" s="189" t="s">
        <v>123</v>
      </c>
      <c r="O1263" s="1"/>
      <c r="P1263" s="189" t="s">
        <v>4007</v>
      </c>
      <c r="Q1263" s="190" t="s">
        <v>4008</v>
      </c>
      <c r="R1263" s="188">
        <v>46003</v>
      </c>
      <c r="S1263" s="193" t="s">
        <v>126</v>
      </c>
      <c r="T1263" s="192"/>
      <c r="U1263" s="829"/>
      <c r="V1263" s="10"/>
      <c r="W1263" s="10"/>
      <c r="X1263" s="10"/>
      <c r="Y1263" s="10"/>
      <c r="Z1263" s="10"/>
      <c r="AA1263" s="11"/>
      <c r="AB1263" s="11"/>
    </row>
    <row r="1264" spans="2:28" x14ac:dyDescent="0.3">
      <c r="B1264" s="10" t="s">
        <v>396</v>
      </c>
      <c r="C1264" s="315"/>
      <c r="D1264" s="868" t="s">
        <v>3080</v>
      </c>
      <c r="E1264" s="837" t="str">
        <f>IFERROR(IF(_xlfn.XLOOKUP(Imput[[#This Row],[RFC]],'Alta Proveedor'!D:D,'Alta Proveedor'!E:E)=0,"",_xlfn.XLOOKUP(Imput[[#This Row],[RFC]],'Alta Proveedor'!D:D,'Alta Proveedor'!E:E)),"")</f>
        <v>CONCRETOS TANCOL</v>
      </c>
      <c r="F1264" s="832" t="s">
        <v>3830</v>
      </c>
      <c r="G1264" s="187">
        <v>5</v>
      </c>
      <c r="H1264" s="1">
        <v>3120.37</v>
      </c>
      <c r="I1264" s="169">
        <f>Imput[[#This Row],[Cantidad]]*Imput[[#This Row],[Precio Unitario]]</f>
        <v>15601.849999999999</v>
      </c>
      <c r="J1264" s="11">
        <f>((Imput[[#This Row],[Sub total]])*(0.08))</f>
        <v>1248.1479999999999</v>
      </c>
      <c r="K1264" s="11">
        <v>0</v>
      </c>
      <c r="L1264" s="169">
        <f>Imput[[#This Row],[Sub total]]+Imput[[#This Row],[IVA]]-Imput[[#This Row],[Retención / IEPS / Descuento]]</f>
        <v>16849.998</v>
      </c>
      <c r="M1264" s="844">
        <v>33699.995999999999</v>
      </c>
      <c r="N1264" s="189" t="s">
        <v>123</v>
      </c>
      <c r="O1264" s="1"/>
      <c r="P1264" s="189" t="s">
        <v>4009</v>
      </c>
      <c r="Q1264" s="190" t="s">
        <v>4010</v>
      </c>
      <c r="R1264" s="188">
        <v>45971</v>
      </c>
      <c r="S1264" s="193" t="s">
        <v>126</v>
      </c>
      <c r="T1264" s="192"/>
      <c r="U1264" s="829"/>
      <c r="V1264" s="10"/>
      <c r="W1264" s="10"/>
      <c r="X1264" s="10"/>
      <c r="Y1264" s="10"/>
      <c r="Z1264" s="10"/>
      <c r="AA1264" s="11"/>
      <c r="AB1264" s="11"/>
    </row>
    <row r="1265" spans="2:28" x14ac:dyDescent="0.3">
      <c r="B1265" s="10" t="s">
        <v>396</v>
      </c>
      <c r="C1265" s="315"/>
      <c r="D1265" s="868" t="s">
        <v>3080</v>
      </c>
      <c r="E1265" s="837" t="str">
        <f>IFERROR(IF(_xlfn.XLOOKUP(Imput[[#This Row],[RFC]],'Alta Proveedor'!D:D,'Alta Proveedor'!E:E)=0,"",_xlfn.XLOOKUP(Imput[[#This Row],[RFC]],'Alta Proveedor'!D:D,'Alta Proveedor'!E:E)),"")</f>
        <v>CONCRETOS TANCOL</v>
      </c>
      <c r="F1265" s="832" t="s">
        <v>3830</v>
      </c>
      <c r="G1265" s="187">
        <v>5</v>
      </c>
      <c r="H1265" s="1">
        <v>3120.37</v>
      </c>
      <c r="I1265" s="169">
        <f>Imput[[#This Row],[Cantidad]]*Imput[[#This Row],[Precio Unitario]]</f>
        <v>15601.849999999999</v>
      </c>
      <c r="J1265" s="11">
        <f>((Imput[[#This Row],[Sub total]])*(0.08))</f>
        <v>1248.1479999999999</v>
      </c>
      <c r="K1265" s="11">
        <v>0</v>
      </c>
      <c r="L1265" s="169">
        <f>Imput[[#This Row],[Sub total]]+Imput[[#This Row],[IVA]]-Imput[[#This Row],[Retención / IEPS / Descuento]]</f>
        <v>16849.998</v>
      </c>
      <c r="M1265" s="844">
        <v>0</v>
      </c>
      <c r="N1265" s="189" t="s">
        <v>123</v>
      </c>
      <c r="O1265" s="1"/>
      <c r="P1265" s="189" t="s">
        <v>4009</v>
      </c>
      <c r="Q1265" s="190" t="s">
        <v>4010</v>
      </c>
      <c r="R1265" s="188">
        <v>45971</v>
      </c>
      <c r="S1265" s="193" t="s">
        <v>126</v>
      </c>
      <c r="T1265" s="192"/>
      <c r="U1265" s="829"/>
      <c r="V1265" s="10"/>
      <c r="W1265" s="10"/>
      <c r="X1265" s="10"/>
      <c r="Y1265" s="10"/>
      <c r="Z1265" s="10"/>
      <c r="AA1265" s="11"/>
      <c r="AB1265" s="11"/>
    </row>
    <row r="1266" spans="2:28" x14ac:dyDescent="0.3">
      <c r="B1266" s="10" t="s">
        <v>398</v>
      </c>
      <c r="C1266" s="315"/>
      <c r="D1266" s="868" t="s">
        <v>3080</v>
      </c>
      <c r="E1266" s="837" t="str">
        <f>IFERROR(IF(_xlfn.XLOOKUP(Imput[[#This Row],[RFC]],'Alta Proveedor'!D:D,'Alta Proveedor'!E:E)=0,"",_xlfn.XLOOKUP(Imput[[#This Row],[RFC]],'Alta Proveedor'!D:D,'Alta Proveedor'!E:E)),"")</f>
        <v>CONCRETOS TANCOL</v>
      </c>
      <c r="F1266" s="832" t="s">
        <v>3891</v>
      </c>
      <c r="G1266" s="187">
        <v>6</v>
      </c>
      <c r="H1266" s="1">
        <v>3120.37</v>
      </c>
      <c r="I1266" s="169">
        <f>Imput[[#This Row],[Cantidad]]*Imput[[#This Row],[Precio Unitario]]</f>
        <v>18722.22</v>
      </c>
      <c r="J1266" s="11">
        <f>((Imput[[#This Row],[Sub total]])*(0.08))</f>
        <v>1497.7776000000001</v>
      </c>
      <c r="K1266" s="11">
        <v>0</v>
      </c>
      <c r="L1266" s="169">
        <f>Imput[[#This Row],[Sub total]]+Imput[[#This Row],[IVA]]-Imput[[#This Row],[Retención / IEPS / Descuento]]</f>
        <v>20219.997600000002</v>
      </c>
      <c r="M1266" s="844">
        <v>20219.997600000002</v>
      </c>
      <c r="N1266" s="189" t="s">
        <v>123</v>
      </c>
      <c r="O1266" s="1"/>
      <c r="P1266" s="189" t="s">
        <v>4011</v>
      </c>
      <c r="Q1266" s="190" t="s">
        <v>4012</v>
      </c>
      <c r="R1266" s="188">
        <v>45979</v>
      </c>
      <c r="S1266" s="193" t="s">
        <v>126</v>
      </c>
      <c r="T1266" s="192"/>
      <c r="U1266" s="829"/>
      <c r="V1266" s="10"/>
      <c r="W1266" s="10"/>
      <c r="X1266" s="10"/>
      <c r="Y1266" s="10"/>
      <c r="Z1266" s="10"/>
      <c r="AA1266" s="11"/>
      <c r="AB1266" s="11"/>
    </row>
    <row r="1267" spans="2:28" x14ac:dyDescent="0.3">
      <c r="B1267" s="10" t="s">
        <v>398</v>
      </c>
      <c r="C1267" s="315"/>
      <c r="D1267" s="868" t="s">
        <v>3080</v>
      </c>
      <c r="E1267" s="837" t="str">
        <f>IFERROR(IF(_xlfn.XLOOKUP(Imput[[#This Row],[RFC]],'Alta Proveedor'!D:D,'Alta Proveedor'!E:E)=0,"",_xlfn.XLOOKUP(Imput[[#This Row],[RFC]],'Alta Proveedor'!D:D,'Alta Proveedor'!E:E)),"")</f>
        <v>CONCRETOS TANCOL</v>
      </c>
      <c r="F1267" s="832" t="s">
        <v>3891</v>
      </c>
      <c r="G1267" s="187">
        <v>1.5</v>
      </c>
      <c r="H1267" s="1">
        <v>3120.37</v>
      </c>
      <c r="I1267" s="169">
        <f>Imput[[#This Row],[Cantidad]]*Imput[[#This Row],[Precio Unitario]]</f>
        <v>4680.5550000000003</v>
      </c>
      <c r="J1267" s="11">
        <f>((Imput[[#This Row],[Sub total]])*(0.08))</f>
        <v>374.44440000000003</v>
      </c>
      <c r="K1267" s="11">
        <v>0</v>
      </c>
      <c r="L1267" s="169">
        <f>Imput[[#This Row],[Sub total]]+Imput[[#This Row],[IVA]]-Imput[[#This Row],[Retención / IEPS / Descuento]]</f>
        <v>5054.9994000000006</v>
      </c>
      <c r="M1267" s="844">
        <v>5054.9994000000006</v>
      </c>
      <c r="N1267" s="189" t="s">
        <v>123</v>
      </c>
      <c r="O1267" s="1"/>
      <c r="P1267" s="189" t="s">
        <v>4013</v>
      </c>
      <c r="Q1267" s="190" t="s">
        <v>4014</v>
      </c>
      <c r="R1267" s="188">
        <v>45985</v>
      </c>
      <c r="S1267" s="193" t="s">
        <v>126</v>
      </c>
      <c r="T1267" s="192"/>
      <c r="U1267" s="829"/>
      <c r="V1267" s="10"/>
      <c r="W1267" s="10"/>
      <c r="X1267" s="10"/>
      <c r="Y1267" s="10"/>
      <c r="Z1267" s="10"/>
      <c r="AA1267" s="11"/>
      <c r="AB1267" s="11"/>
    </row>
    <row r="1268" spans="2:28" x14ac:dyDescent="0.3">
      <c r="B1268" s="10" t="s">
        <v>398</v>
      </c>
      <c r="C1268" s="315" t="s">
        <v>1767</v>
      </c>
      <c r="D1268" s="868" t="s">
        <v>271</v>
      </c>
      <c r="E1268" s="837" t="str">
        <f>IFERROR(IF(_xlfn.XLOOKUP(Imput[[#This Row],[RFC]],'Alta Proveedor'!D:D,'Alta Proveedor'!E:E)=0,"",_xlfn.XLOOKUP(Imput[[#This Row],[RFC]],'Alta Proveedor'!D:D,'Alta Proveedor'!E:E)),"")</f>
        <v>EXELCO CARBURANTES (COMBUSTIBLES)</v>
      </c>
      <c r="F1268" s="832" t="s">
        <v>237</v>
      </c>
      <c r="G1268" s="187">
        <v>73.087999999999994</v>
      </c>
      <c r="H1268" s="1">
        <v>20.225144</v>
      </c>
      <c r="I1268" s="169">
        <f>Imput[[#This Row],[Cantidad]]*Imput[[#This Row],[Precio Unitario]]</f>
        <v>1478.215324672</v>
      </c>
      <c r="J1268" s="11">
        <v>229.85</v>
      </c>
      <c r="K1268" s="11">
        <v>0</v>
      </c>
      <c r="L1268" s="169">
        <f>Imput[[#This Row],[Sub total]]+Imput[[#This Row],[IVA]]-Imput[[#This Row],[Retención / IEPS / Descuento]]</f>
        <v>1708.0653246719999</v>
      </c>
      <c r="M1268" s="844">
        <v>1708.0653246719999</v>
      </c>
      <c r="N1268" s="189" t="s">
        <v>123</v>
      </c>
      <c r="O1268" s="1"/>
      <c r="P1268" s="189" t="s">
        <v>4015</v>
      </c>
      <c r="Q1268" s="190" t="s">
        <v>4016</v>
      </c>
      <c r="R1268" s="188">
        <v>45987</v>
      </c>
      <c r="S1268" s="193" t="s">
        <v>126</v>
      </c>
      <c r="T1268" s="192"/>
      <c r="U1268" s="829"/>
      <c r="V1268" s="10"/>
      <c r="W1268" s="10"/>
      <c r="X1268" s="10"/>
      <c r="Y1268" s="10"/>
      <c r="Z1268" s="10"/>
      <c r="AA1268" s="11"/>
      <c r="AB1268" s="11"/>
    </row>
    <row r="1269" spans="2:28" x14ac:dyDescent="0.3">
      <c r="B1269" s="10" t="s">
        <v>398</v>
      </c>
      <c r="C1269" s="315" t="s">
        <v>1767</v>
      </c>
      <c r="D1269" s="868" t="s">
        <v>271</v>
      </c>
      <c r="E1269" s="837" t="str">
        <f>IFERROR(IF(_xlfn.XLOOKUP(Imput[[#This Row],[RFC]],'Alta Proveedor'!D:D,'Alta Proveedor'!E:E)=0,"",_xlfn.XLOOKUP(Imput[[#This Row],[RFC]],'Alta Proveedor'!D:D,'Alta Proveedor'!E:E)),"")</f>
        <v>EXELCO CARBURANTES (COMBUSTIBLES)</v>
      </c>
      <c r="F1269" s="832" t="s">
        <v>237</v>
      </c>
      <c r="G1269" s="187">
        <v>22.439</v>
      </c>
      <c r="H1269" s="1">
        <v>20.225144</v>
      </c>
      <c r="I1269" s="169">
        <f>Imput[[#This Row],[Cantidad]]*Imput[[#This Row],[Precio Unitario]]</f>
        <v>453.83200621600002</v>
      </c>
      <c r="J1269" s="11">
        <v>70.569999999999993</v>
      </c>
      <c r="K1269" s="11">
        <v>0</v>
      </c>
      <c r="L1269" s="169">
        <f>Imput[[#This Row],[Sub total]]+Imput[[#This Row],[IVA]]-Imput[[#This Row],[Retención / IEPS / Descuento]]</f>
        <v>524.40200621600002</v>
      </c>
      <c r="M1269" s="844">
        <v>524.40200621600002</v>
      </c>
      <c r="N1269" s="189" t="s">
        <v>123</v>
      </c>
      <c r="O1269" s="1"/>
      <c r="P1269" s="189" t="s">
        <v>4017</v>
      </c>
      <c r="Q1269" s="190" t="s">
        <v>4018</v>
      </c>
      <c r="R1269" s="188">
        <v>45987</v>
      </c>
      <c r="S1269" s="193" t="s">
        <v>126</v>
      </c>
      <c r="T1269" s="192"/>
      <c r="U1269" s="829"/>
      <c r="V1269" s="10"/>
      <c r="W1269" s="10"/>
      <c r="X1269" s="10"/>
      <c r="Y1269" s="10"/>
      <c r="Z1269" s="10"/>
      <c r="AA1269" s="11"/>
      <c r="AB1269" s="11"/>
    </row>
    <row r="1270" spans="2:28" x14ac:dyDescent="0.3">
      <c r="B1270" s="10" t="s">
        <v>398</v>
      </c>
      <c r="C1270" s="315" t="s">
        <v>1767</v>
      </c>
      <c r="D1270" s="868" t="s">
        <v>271</v>
      </c>
      <c r="E1270" s="837" t="str">
        <f>IFERROR(IF(_xlfn.XLOOKUP(Imput[[#This Row],[RFC]],'Alta Proveedor'!D:D,'Alta Proveedor'!E:E)=0,"",_xlfn.XLOOKUP(Imput[[#This Row],[RFC]],'Alta Proveedor'!D:D,'Alta Proveedor'!E:E)),"")</f>
        <v>EXELCO CARBURANTES (COMBUSTIBLES)</v>
      </c>
      <c r="F1270" s="832" t="s">
        <v>237</v>
      </c>
      <c r="G1270" s="187">
        <v>152.21</v>
      </c>
      <c r="H1270" s="1">
        <v>20.751006</v>
      </c>
      <c r="I1270" s="169">
        <f>Imput[[#This Row],[Cantidad]]*Imput[[#This Row],[Precio Unitario]]</f>
        <v>3158.5106232600001</v>
      </c>
      <c r="J1270" s="11">
        <v>491.49</v>
      </c>
      <c r="K1270" s="11">
        <v>0</v>
      </c>
      <c r="L1270" s="169">
        <f>Imput[[#This Row],[Sub total]]+Imput[[#This Row],[IVA]]-Imput[[#This Row],[Retención / IEPS / Descuento]]</f>
        <v>3650.0006232599999</v>
      </c>
      <c r="M1270" s="844">
        <v>3650.0006232599999</v>
      </c>
      <c r="N1270" s="189" t="s">
        <v>123</v>
      </c>
      <c r="O1270" s="1"/>
      <c r="P1270" s="189" t="s">
        <v>4019</v>
      </c>
      <c r="Q1270" s="190" t="s">
        <v>4020</v>
      </c>
      <c r="R1270" s="188">
        <v>45984</v>
      </c>
      <c r="S1270" s="193" t="s">
        <v>126</v>
      </c>
      <c r="T1270" s="192"/>
      <c r="U1270" s="829"/>
      <c r="V1270" s="10"/>
      <c r="W1270" s="10"/>
      <c r="X1270" s="10"/>
      <c r="Y1270" s="10"/>
      <c r="Z1270" s="10"/>
      <c r="AA1270" s="11"/>
      <c r="AB1270" s="11"/>
    </row>
    <row r="1271" spans="2:28" x14ac:dyDescent="0.3">
      <c r="B1271" s="10" t="s">
        <v>394</v>
      </c>
      <c r="C1271" s="315"/>
      <c r="D1271" s="868" t="s">
        <v>3431</v>
      </c>
      <c r="E1271" s="837" t="str">
        <f>IFERROR(IF(_xlfn.XLOOKUP(Imput[[#This Row],[RFC]],'Alta Proveedor'!D:D,'Alta Proveedor'!E:E)=0,"",_xlfn.XLOOKUP(Imput[[#This Row],[RFC]],'Alta Proveedor'!D:D,'Alta Proveedor'!E:E)),"")</f>
        <v>CHUBB FIANZAS MONTERREY, ASEGURADORA DE CAUCION</v>
      </c>
      <c r="F1271" s="832" t="s">
        <v>4023</v>
      </c>
      <c r="G1271" s="187">
        <v>1</v>
      </c>
      <c r="H1271" s="1">
        <v>11017.12</v>
      </c>
      <c r="I1271" s="169">
        <f>Imput[[#This Row],[Cantidad]]*Imput[[#This Row],[Precio Unitario]]</f>
        <v>11017.12</v>
      </c>
      <c r="J1271" s="11">
        <f>((Imput[[#This Row],[Sub total]])*(0.16))</f>
        <v>1762.7392000000002</v>
      </c>
      <c r="K1271" s="11">
        <v>0</v>
      </c>
      <c r="L1271" s="169">
        <f>Imput[[#This Row],[Sub total]]+Imput[[#This Row],[IVA]]-Imput[[#This Row],[Retención / IEPS / Descuento]]</f>
        <v>12779.859200000001</v>
      </c>
      <c r="M1271" s="844">
        <v>16312.755200000001</v>
      </c>
      <c r="N1271" s="189" t="s">
        <v>123</v>
      </c>
      <c r="O1271" s="1"/>
      <c r="P1271" s="189" t="s">
        <v>4021</v>
      </c>
      <c r="Q1271" s="190" t="s">
        <v>4022</v>
      </c>
      <c r="R1271" s="188">
        <v>45947</v>
      </c>
      <c r="S1271" s="193" t="s">
        <v>371</v>
      </c>
      <c r="T1271" s="192"/>
      <c r="U1271" s="829"/>
      <c r="V1271" s="10"/>
      <c r="W1271" s="10"/>
      <c r="X1271" s="10"/>
      <c r="Y1271" s="10"/>
      <c r="Z1271" s="10"/>
      <c r="AA1271" s="11"/>
      <c r="AB1271" s="11"/>
    </row>
    <row r="1272" spans="2:28" x14ac:dyDescent="0.3">
      <c r="B1272" s="10" t="s">
        <v>394</v>
      </c>
      <c r="C1272" s="315"/>
      <c r="D1272" s="868" t="s">
        <v>3431</v>
      </c>
      <c r="E1272" s="837" t="str">
        <f>IFERROR(IF(_xlfn.XLOOKUP(Imput[[#This Row],[RFC]],'Alta Proveedor'!D:D,'Alta Proveedor'!E:E)=0,"",_xlfn.XLOOKUP(Imput[[#This Row],[RFC]],'Alta Proveedor'!D:D,'Alta Proveedor'!E:E)),"")</f>
        <v>CHUBB FIANZAS MONTERREY, ASEGURADORA DE CAUCION</v>
      </c>
      <c r="F1272" s="832" t="s">
        <v>4024</v>
      </c>
      <c r="G1272" s="187">
        <v>1</v>
      </c>
      <c r="H1272" s="1">
        <v>2660</v>
      </c>
      <c r="I1272" s="169">
        <f>Imput[[#This Row],[Cantidad]]*Imput[[#This Row],[Precio Unitario]]</f>
        <v>2660</v>
      </c>
      <c r="J1272" s="11">
        <f>((Imput[[#This Row],[Sub total]])*(0.16))</f>
        <v>425.6</v>
      </c>
      <c r="K1272" s="11">
        <v>0</v>
      </c>
      <c r="L1272" s="169">
        <f>Imput[[#This Row],[Sub total]]+Imput[[#This Row],[IVA]]-Imput[[#This Row],[Retención / IEPS / Descuento]]</f>
        <v>3085.6</v>
      </c>
      <c r="M1272" s="844">
        <v>0</v>
      </c>
      <c r="N1272" s="189" t="s">
        <v>123</v>
      </c>
      <c r="O1272" s="1"/>
      <c r="P1272" s="189" t="s">
        <v>4021</v>
      </c>
      <c r="Q1272" s="190" t="s">
        <v>4022</v>
      </c>
      <c r="R1272" s="188">
        <v>45947</v>
      </c>
      <c r="S1272" s="193" t="s">
        <v>371</v>
      </c>
      <c r="T1272" s="192"/>
      <c r="U1272" s="829"/>
      <c r="V1272" s="10"/>
      <c r="W1272" s="10"/>
      <c r="X1272" s="10"/>
      <c r="Y1272" s="10"/>
      <c r="Z1272" s="10"/>
      <c r="AA1272" s="11"/>
      <c r="AB1272" s="11"/>
    </row>
    <row r="1273" spans="2:28" x14ac:dyDescent="0.3">
      <c r="B1273" s="10" t="s">
        <v>394</v>
      </c>
      <c r="C1273" s="315"/>
      <c r="D1273" s="868" t="s">
        <v>3431</v>
      </c>
      <c r="E1273" s="837" t="str">
        <f>IFERROR(IF(_xlfn.XLOOKUP(Imput[[#This Row],[RFC]],'Alta Proveedor'!D:D,'Alta Proveedor'!E:E)=0,"",_xlfn.XLOOKUP(Imput[[#This Row],[RFC]],'Alta Proveedor'!D:D,'Alta Proveedor'!E:E)),"")</f>
        <v>CHUBB FIANZAS MONTERREY, ASEGURADORA DE CAUCION</v>
      </c>
      <c r="F1273" s="832" t="s">
        <v>4025</v>
      </c>
      <c r="G1273" s="187">
        <v>1</v>
      </c>
      <c r="H1273" s="1">
        <v>385.6</v>
      </c>
      <c r="I1273" s="169">
        <f>Imput[[#This Row],[Cantidad]]*Imput[[#This Row],[Precio Unitario]]</f>
        <v>385.6</v>
      </c>
      <c r="J1273" s="11">
        <f>((Imput[[#This Row],[Sub total]])*(0.16))</f>
        <v>61.696000000000005</v>
      </c>
      <c r="K1273" s="11">
        <v>0</v>
      </c>
      <c r="L1273" s="169">
        <f>Imput[[#This Row],[Sub total]]+Imput[[#This Row],[IVA]]-Imput[[#This Row],[Retención / IEPS / Descuento]]</f>
        <v>447.29600000000005</v>
      </c>
      <c r="M1273" s="844">
        <v>0</v>
      </c>
      <c r="N1273" s="189" t="s">
        <v>123</v>
      </c>
      <c r="O1273" s="1"/>
      <c r="P1273" s="189" t="s">
        <v>4021</v>
      </c>
      <c r="Q1273" s="190" t="s">
        <v>4022</v>
      </c>
      <c r="R1273" s="188">
        <v>45947</v>
      </c>
      <c r="S1273" s="193" t="s">
        <v>371</v>
      </c>
      <c r="T1273" s="192"/>
      <c r="U1273" s="829"/>
      <c r="V1273" s="10"/>
      <c r="W1273" s="10"/>
      <c r="X1273" s="10"/>
      <c r="Y1273" s="10"/>
      <c r="Z1273" s="10"/>
      <c r="AA1273" s="11"/>
      <c r="AB1273" s="11"/>
    </row>
    <row r="1274" spans="2:28" x14ac:dyDescent="0.3">
      <c r="B1274" s="10" t="s">
        <v>398</v>
      </c>
      <c r="C1274" s="315"/>
      <c r="D1274" s="868" t="s">
        <v>3431</v>
      </c>
      <c r="E1274" s="837" t="str">
        <f>IFERROR(IF(_xlfn.XLOOKUP(Imput[[#This Row],[RFC]],'Alta Proveedor'!D:D,'Alta Proveedor'!E:E)=0,"",_xlfn.XLOOKUP(Imput[[#This Row],[RFC]],'Alta Proveedor'!D:D,'Alta Proveedor'!E:E)),"")</f>
        <v>CHUBB FIANZAS MONTERREY, ASEGURADORA DE CAUCION</v>
      </c>
      <c r="F1274" s="832" t="s">
        <v>4023</v>
      </c>
      <c r="G1274" s="187">
        <v>1</v>
      </c>
      <c r="H1274" s="1">
        <v>8830.57</v>
      </c>
      <c r="I1274" s="169">
        <f>Imput[[#This Row],[Cantidad]]*Imput[[#This Row],[Precio Unitario]]</f>
        <v>8830.57</v>
      </c>
      <c r="J1274" s="11">
        <f>((Imput[[#This Row],[Sub total]])*(0.16))</f>
        <v>1412.8912</v>
      </c>
      <c r="K1274" s="11">
        <v>0</v>
      </c>
      <c r="L1274" s="169">
        <f>Imput[[#This Row],[Sub total]]+Imput[[#This Row],[IVA]]-Imput[[#This Row],[Retención / IEPS / Descuento]]</f>
        <v>10243.4612</v>
      </c>
      <c r="M1274" s="844">
        <v>13687.582399999999</v>
      </c>
      <c r="N1274" s="189" t="s">
        <v>123</v>
      </c>
      <c r="O1274" s="1"/>
      <c r="P1274" s="189" t="s">
        <v>4026</v>
      </c>
      <c r="Q1274" s="190" t="s">
        <v>4027</v>
      </c>
      <c r="R1274" s="188">
        <v>45988</v>
      </c>
      <c r="S1274" s="193" t="s">
        <v>371</v>
      </c>
      <c r="T1274" s="192"/>
      <c r="U1274" s="829"/>
      <c r="V1274" s="10"/>
      <c r="W1274" s="10"/>
      <c r="X1274" s="10"/>
      <c r="Y1274" s="10"/>
      <c r="Z1274" s="10"/>
      <c r="AA1274" s="11"/>
      <c r="AB1274" s="11"/>
    </row>
    <row r="1275" spans="2:28" x14ac:dyDescent="0.3">
      <c r="B1275" s="10" t="s">
        <v>398</v>
      </c>
      <c r="C1275" s="315"/>
      <c r="D1275" s="868" t="s">
        <v>3431</v>
      </c>
      <c r="E1275" s="837" t="str">
        <f>IFERROR(IF(_xlfn.XLOOKUP(Imput[[#This Row],[RFC]],'Alta Proveedor'!D:D,'Alta Proveedor'!E:E)=0,"",_xlfn.XLOOKUP(Imput[[#This Row],[RFC]],'Alta Proveedor'!D:D,'Alta Proveedor'!E:E)),"")</f>
        <v>CHUBB FIANZAS MONTERREY, ASEGURADORA DE CAUCION</v>
      </c>
      <c r="F1275" s="832" t="s">
        <v>4024</v>
      </c>
      <c r="G1275" s="187">
        <v>1</v>
      </c>
      <c r="H1275" s="1">
        <v>2660</v>
      </c>
      <c r="I1275" s="169">
        <f>Imput[[#This Row],[Cantidad]]*Imput[[#This Row],[Precio Unitario]]</f>
        <v>2660</v>
      </c>
      <c r="J1275" s="11">
        <f>((Imput[[#This Row],[Sub total]])*(0.16))</f>
        <v>425.6</v>
      </c>
      <c r="K1275" s="11">
        <v>0</v>
      </c>
      <c r="L1275" s="169">
        <f>Imput[[#This Row],[Sub total]]+Imput[[#This Row],[IVA]]-Imput[[#This Row],[Retención / IEPS / Descuento]]</f>
        <v>3085.6</v>
      </c>
      <c r="M1275" s="844">
        <v>0</v>
      </c>
      <c r="N1275" s="189" t="s">
        <v>123</v>
      </c>
      <c r="O1275" s="1"/>
      <c r="P1275" s="189" t="s">
        <v>4026</v>
      </c>
      <c r="Q1275" s="190" t="s">
        <v>4027</v>
      </c>
      <c r="R1275" s="188">
        <v>45988</v>
      </c>
      <c r="S1275" s="193" t="s">
        <v>371</v>
      </c>
      <c r="T1275" s="192"/>
      <c r="U1275" s="829"/>
      <c r="V1275" s="10"/>
      <c r="W1275" s="10"/>
      <c r="X1275" s="10"/>
      <c r="Y1275" s="10"/>
      <c r="Z1275" s="10"/>
      <c r="AA1275" s="11"/>
      <c r="AB1275" s="11"/>
    </row>
    <row r="1276" spans="2:28" x14ac:dyDescent="0.3">
      <c r="B1276" s="10" t="s">
        <v>398</v>
      </c>
      <c r="C1276" s="315"/>
      <c r="D1276" s="868" t="s">
        <v>3431</v>
      </c>
      <c r="E1276" s="837" t="str">
        <f>IFERROR(IF(_xlfn.XLOOKUP(Imput[[#This Row],[RFC]],'Alta Proveedor'!D:D,'Alta Proveedor'!E:E)=0,"",_xlfn.XLOOKUP(Imput[[#This Row],[RFC]],'Alta Proveedor'!D:D,'Alta Proveedor'!E:E)),"")</f>
        <v>CHUBB FIANZAS MONTERREY, ASEGURADORA DE CAUCION</v>
      </c>
      <c r="F1276" s="832" t="s">
        <v>4025</v>
      </c>
      <c r="G1276" s="187">
        <v>1</v>
      </c>
      <c r="H1276" s="1">
        <v>309.07</v>
      </c>
      <c r="I1276" s="169">
        <f>Imput[[#This Row],[Cantidad]]*Imput[[#This Row],[Precio Unitario]]</f>
        <v>309.07</v>
      </c>
      <c r="J1276" s="11">
        <f>((Imput[[#This Row],[Sub total]])*(0.16))</f>
        <v>49.4512</v>
      </c>
      <c r="K1276" s="11">
        <v>0</v>
      </c>
      <c r="L1276" s="169">
        <f>Imput[[#This Row],[Sub total]]+Imput[[#This Row],[IVA]]-Imput[[#This Row],[Retención / IEPS / Descuento]]</f>
        <v>358.52120000000002</v>
      </c>
      <c r="M1276" s="844">
        <v>0</v>
      </c>
      <c r="N1276" s="189" t="s">
        <v>123</v>
      </c>
      <c r="O1276" s="1"/>
      <c r="P1276" s="189" t="s">
        <v>4026</v>
      </c>
      <c r="Q1276" s="190" t="s">
        <v>4027</v>
      </c>
      <c r="R1276" s="188">
        <v>45988</v>
      </c>
      <c r="S1276" s="193" t="s">
        <v>371</v>
      </c>
      <c r="T1276" s="192"/>
      <c r="U1276" s="829"/>
      <c r="V1276" s="10"/>
      <c r="W1276" s="10"/>
      <c r="X1276" s="10"/>
      <c r="Y1276" s="10"/>
      <c r="Z1276" s="10"/>
      <c r="AA1276" s="11"/>
      <c r="AB1276" s="11"/>
    </row>
    <row r="1277" spans="2:28" x14ac:dyDescent="0.3">
      <c r="B1277" s="10" t="s">
        <v>398</v>
      </c>
      <c r="C1277" s="315"/>
      <c r="D1277" s="868" t="s">
        <v>3431</v>
      </c>
      <c r="E1277" s="837" t="str">
        <f>IFERROR(IF(_xlfn.XLOOKUP(Imput[[#This Row],[RFC]],'Alta Proveedor'!D:D,'Alta Proveedor'!E:E)=0,"",_xlfn.XLOOKUP(Imput[[#This Row],[RFC]],'Alta Proveedor'!D:D,'Alta Proveedor'!E:E)),"")</f>
        <v>CHUBB FIANZAS MONTERREY, ASEGURADORA DE CAUCION</v>
      </c>
      <c r="F1277" s="832" t="s">
        <v>4023</v>
      </c>
      <c r="G1277" s="187">
        <v>1</v>
      </c>
      <c r="H1277" s="1">
        <v>2943.52</v>
      </c>
      <c r="I1277" s="169">
        <f>Imput[[#This Row],[Cantidad]]*Imput[[#This Row],[Precio Unitario]]</f>
        <v>2943.52</v>
      </c>
      <c r="J1277" s="11">
        <f>((Imput[[#This Row],[Sub total]])*(0.16))</f>
        <v>470.96320000000003</v>
      </c>
      <c r="K1277" s="11">
        <v>0</v>
      </c>
      <c r="L1277" s="169">
        <f>Imput[[#This Row],[Sub total]]+Imput[[#This Row],[IVA]]-Imput[[#This Row],[Retención / IEPS / Descuento]]</f>
        <v>3414.4832000000001</v>
      </c>
      <c r="M1277" s="844">
        <v>6619.5864000000001</v>
      </c>
      <c r="N1277" s="189" t="s">
        <v>123</v>
      </c>
      <c r="O1277" s="1"/>
      <c r="P1277" s="189" t="s">
        <v>4028</v>
      </c>
      <c r="Q1277" s="190" t="s">
        <v>4029</v>
      </c>
      <c r="R1277" s="188">
        <v>45988</v>
      </c>
      <c r="S1277" s="193" t="s">
        <v>371</v>
      </c>
      <c r="T1277" s="192"/>
      <c r="U1277" s="829"/>
      <c r="V1277" s="10"/>
      <c r="W1277" s="10"/>
      <c r="X1277" s="10"/>
      <c r="Y1277" s="10"/>
      <c r="Z1277" s="10"/>
      <c r="AA1277" s="11"/>
      <c r="AB1277" s="11"/>
    </row>
    <row r="1278" spans="2:28" x14ac:dyDescent="0.3">
      <c r="B1278" s="10" t="s">
        <v>398</v>
      </c>
      <c r="C1278" s="315"/>
      <c r="D1278" s="868" t="s">
        <v>3431</v>
      </c>
      <c r="E1278" s="837" t="str">
        <f>IFERROR(IF(_xlfn.XLOOKUP(Imput[[#This Row],[RFC]],'Alta Proveedor'!D:D,'Alta Proveedor'!E:E)=0,"",_xlfn.XLOOKUP(Imput[[#This Row],[RFC]],'Alta Proveedor'!D:D,'Alta Proveedor'!E:E)),"")</f>
        <v>CHUBB FIANZAS MONTERREY, ASEGURADORA DE CAUCION</v>
      </c>
      <c r="F1278" s="832" t="s">
        <v>4024</v>
      </c>
      <c r="G1278" s="187">
        <v>1</v>
      </c>
      <c r="H1278" s="1">
        <v>2660</v>
      </c>
      <c r="I1278" s="169">
        <f>Imput[[#This Row],[Cantidad]]*Imput[[#This Row],[Precio Unitario]]</f>
        <v>2660</v>
      </c>
      <c r="J1278" s="11">
        <f>((Imput[[#This Row],[Sub total]])*(0.16))</f>
        <v>425.6</v>
      </c>
      <c r="K1278" s="11">
        <v>0</v>
      </c>
      <c r="L1278" s="169">
        <f>Imput[[#This Row],[Sub total]]+Imput[[#This Row],[IVA]]-Imput[[#This Row],[Retención / IEPS / Descuento]]</f>
        <v>3085.6</v>
      </c>
      <c r="M1278" s="844">
        <v>0</v>
      </c>
      <c r="N1278" s="189" t="s">
        <v>123</v>
      </c>
      <c r="O1278" s="1"/>
      <c r="P1278" s="189" t="s">
        <v>4028</v>
      </c>
      <c r="Q1278" s="190" t="s">
        <v>4029</v>
      </c>
      <c r="R1278" s="188">
        <v>45988</v>
      </c>
      <c r="S1278" s="193" t="s">
        <v>371</v>
      </c>
      <c r="T1278" s="192"/>
      <c r="U1278" s="829"/>
      <c r="V1278" s="10"/>
      <c r="W1278" s="10"/>
      <c r="X1278" s="10"/>
      <c r="Y1278" s="10"/>
      <c r="Z1278" s="10"/>
      <c r="AA1278" s="11"/>
      <c r="AB1278" s="11"/>
    </row>
    <row r="1279" spans="2:28" x14ac:dyDescent="0.3">
      <c r="B1279" s="10" t="s">
        <v>398</v>
      </c>
      <c r="C1279" s="315"/>
      <c r="D1279" s="868" t="s">
        <v>3431</v>
      </c>
      <c r="E1279" s="837" t="str">
        <f>IFERROR(IF(_xlfn.XLOOKUP(Imput[[#This Row],[RFC]],'Alta Proveedor'!D:D,'Alta Proveedor'!E:E)=0,"",_xlfn.XLOOKUP(Imput[[#This Row],[RFC]],'Alta Proveedor'!D:D,'Alta Proveedor'!E:E)),"")</f>
        <v>CHUBB FIANZAS MONTERREY, ASEGURADORA DE CAUCION</v>
      </c>
      <c r="F1279" s="832" t="s">
        <v>4025</v>
      </c>
      <c r="G1279" s="187">
        <v>1</v>
      </c>
      <c r="H1279" s="1">
        <v>103.02</v>
      </c>
      <c r="I1279" s="169">
        <f>Imput[[#This Row],[Cantidad]]*Imput[[#This Row],[Precio Unitario]]</f>
        <v>103.02</v>
      </c>
      <c r="J1279" s="11">
        <f>((Imput[[#This Row],[Sub total]])*(0.16))</f>
        <v>16.4832</v>
      </c>
      <c r="K1279" s="11">
        <v>0</v>
      </c>
      <c r="L1279" s="169">
        <f>Imput[[#This Row],[Sub total]]+Imput[[#This Row],[IVA]]-Imput[[#This Row],[Retención / IEPS / Descuento]]</f>
        <v>119.50319999999999</v>
      </c>
      <c r="M1279" s="844">
        <v>0</v>
      </c>
      <c r="N1279" s="189" t="s">
        <v>123</v>
      </c>
      <c r="O1279" s="1"/>
      <c r="P1279" s="189" t="s">
        <v>4028</v>
      </c>
      <c r="Q1279" s="190" t="s">
        <v>4029</v>
      </c>
      <c r="R1279" s="188">
        <v>45988</v>
      </c>
      <c r="S1279" s="193" t="s">
        <v>371</v>
      </c>
      <c r="T1279" s="192"/>
      <c r="U1279" s="829"/>
      <c r="V1279" s="10"/>
      <c r="W1279" s="10"/>
      <c r="X1279" s="10"/>
      <c r="Y1279" s="10"/>
      <c r="Z1279" s="10"/>
      <c r="AA1279" s="11"/>
      <c r="AB1279" s="11"/>
    </row>
    <row r="1280" spans="2:28" x14ac:dyDescent="0.3">
      <c r="B1280" s="10" t="s">
        <v>398</v>
      </c>
      <c r="C1280" s="315" t="s">
        <v>1767</v>
      </c>
      <c r="D1280" s="868" t="s">
        <v>4033</v>
      </c>
      <c r="E1280" s="837" t="str">
        <f>IFERROR(IF(_xlfn.XLOOKUP(Imput[[#This Row],[RFC]],'Alta Proveedor'!D:D,'Alta Proveedor'!E:E)=0,"",_xlfn.XLOOKUP(Imput[[#This Row],[RFC]],'Alta Proveedor'!D:D,'Alta Proveedor'!E:E)),"")</f>
        <v>HIDROCARBUROS ORMA</v>
      </c>
      <c r="F1280" s="832" t="s">
        <v>237</v>
      </c>
      <c r="G1280" s="187">
        <v>10.010999999999999</v>
      </c>
      <c r="H1280" s="1">
        <f>207.82/Imput[[#This Row],[Cantidad]]</f>
        <v>20.759164918589551</v>
      </c>
      <c r="I1280" s="169">
        <f>Imput[[#This Row],[Cantidad]]*Imput[[#This Row],[Precio Unitario]]</f>
        <v>207.82</v>
      </c>
      <c r="J1280" s="11">
        <v>32.340000000000003</v>
      </c>
      <c r="K1280" s="11">
        <v>0</v>
      </c>
      <c r="L1280" s="169">
        <f>Imput[[#This Row],[Sub total]]+Imput[[#This Row],[IVA]]-Imput[[#This Row],[Retención / IEPS / Descuento]]</f>
        <v>240.16</v>
      </c>
      <c r="M1280" s="844">
        <v>240.16</v>
      </c>
      <c r="N1280" s="189" t="s">
        <v>123</v>
      </c>
      <c r="O1280" s="1"/>
      <c r="P1280" s="189" t="s">
        <v>4030</v>
      </c>
      <c r="Q1280" s="190" t="s">
        <v>4031</v>
      </c>
      <c r="R1280" s="188">
        <v>45989</v>
      </c>
      <c r="S1280" s="193" t="s">
        <v>294</v>
      </c>
      <c r="T1280" s="192"/>
      <c r="U1280" s="829"/>
      <c r="V1280" s="10"/>
      <c r="W1280" s="10"/>
      <c r="X1280" s="10"/>
      <c r="Y1280" s="10"/>
      <c r="Z1280" s="10"/>
      <c r="AA1280" s="11"/>
      <c r="AB1280" s="11"/>
    </row>
    <row r="1281" spans="2:28" x14ac:dyDescent="0.3">
      <c r="B1281" s="10" t="s">
        <v>394</v>
      </c>
      <c r="C1281" s="315"/>
      <c r="D1281" s="868" t="s">
        <v>3431</v>
      </c>
      <c r="E1281" s="837" t="str">
        <f>IFERROR(IF(_xlfn.XLOOKUP(Imput[[#This Row],[RFC]],'Alta Proveedor'!D:D,'Alta Proveedor'!E:E)=0,"",_xlfn.XLOOKUP(Imput[[#This Row],[RFC]],'Alta Proveedor'!D:D,'Alta Proveedor'!E:E)),"")</f>
        <v>CHUBB FIANZAS MONTERREY, ASEGURADORA DE CAUCION</v>
      </c>
      <c r="F1281" s="832" t="s">
        <v>4023</v>
      </c>
      <c r="G1281" s="187">
        <v>1</v>
      </c>
      <c r="H1281" s="1">
        <v>3672.37</v>
      </c>
      <c r="I1281" s="169">
        <f>Imput[[#This Row],[Cantidad]]*Imput[[#This Row],[Precio Unitario]]</f>
        <v>3672.37</v>
      </c>
      <c r="J1281" s="11">
        <f>((Imput[[#This Row],[Sub total]])*(0.16))</f>
        <v>587.57920000000001</v>
      </c>
      <c r="K1281" s="11">
        <v>0</v>
      </c>
      <c r="L1281" s="169">
        <f>Imput[[#This Row],[Sub total]]+Imput[[#This Row],[IVA]]-Imput[[#This Row],[Retención / IEPS / Descuento]]</f>
        <v>4259.9492</v>
      </c>
      <c r="M1281" s="844">
        <v>4259.9492</v>
      </c>
      <c r="N1281" s="189" t="s">
        <v>123</v>
      </c>
      <c r="O1281" s="1"/>
      <c r="P1281" s="189" t="s">
        <v>4034</v>
      </c>
      <c r="Q1281" s="190" t="s">
        <v>4035</v>
      </c>
      <c r="R1281" s="188">
        <v>45947</v>
      </c>
      <c r="S1281" s="193" t="s">
        <v>371</v>
      </c>
      <c r="T1281" s="192"/>
      <c r="U1281" s="829"/>
      <c r="V1281" s="10"/>
      <c r="W1281" s="10"/>
      <c r="X1281" s="10"/>
      <c r="Y1281" s="10"/>
      <c r="Z1281" s="10"/>
      <c r="AA1281" s="11"/>
      <c r="AB1281" s="11"/>
    </row>
    <row r="1282" spans="2:28" x14ac:dyDescent="0.3">
      <c r="B1282" s="10" t="s">
        <v>394</v>
      </c>
      <c r="C1282" s="315"/>
      <c r="D1282" s="868" t="s">
        <v>3431</v>
      </c>
      <c r="E1282" s="837" t="str">
        <f>IFERROR(IF(_xlfn.XLOOKUP(Imput[[#This Row],[RFC]],'Alta Proveedor'!D:D,'Alta Proveedor'!E:E)=0,"",_xlfn.XLOOKUP(Imput[[#This Row],[RFC]],'Alta Proveedor'!D:D,'Alta Proveedor'!E:E)),"")</f>
        <v>CHUBB FIANZAS MONTERREY, ASEGURADORA DE CAUCION</v>
      </c>
      <c r="F1282" s="832" t="s">
        <v>4024</v>
      </c>
      <c r="G1282" s="187">
        <v>1</v>
      </c>
      <c r="H1282" s="1">
        <v>2660</v>
      </c>
      <c r="I1282" s="169">
        <f>Imput[[#This Row],[Cantidad]]*Imput[[#This Row],[Precio Unitario]]</f>
        <v>2660</v>
      </c>
      <c r="J1282" s="11">
        <f>((Imput[[#This Row],[Sub total]])*(0.16))</f>
        <v>425.6</v>
      </c>
      <c r="K1282" s="11">
        <v>0</v>
      </c>
      <c r="L1282" s="169">
        <f>Imput[[#This Row],[Sub total]]+Imput[[#This Row],[IVA]]-Imput[[#This Row],[Retención / IEPS / Descuento]]</f>
        <v>3085.6</v>
      </c>
      <c r="M1282" s="844">
        <v>3085.6</v>
      </c>
      <c r="N1282" s="189" t="s">
        <v>123</v>
      </c>
      <c r="O1282" s="1"/>
      <c r="P1282" s="189" t="s">
        <v>4034</v>
      </c>
      <c r="Q1282" s="190" t="s">
        <v>4035</v>
      </c>
      <c r="R1282" s="188">
        <v>45947</v>
      </c>
      <c r="S1282" s="193" t="s">
        <v>371</v>
      </c>
      <c r="T1282" s="192"/>
      <c r="U1282" s="829"/>
      <c r="V1282" s="10"/>
      <c r="W1282" s="10"/>
      <c r="X1282" s="10"/>
      <c r="Y1282" s="10"/>
      <c r="Z1282" s="10"/>
      <c r="AA1282" s="11"/>
      <c r="AB1282" s="11"/>
    </row>
    <row r="1283" spans="2:28" x14ac:dyDescent="0.3">
      <c r="B1283" s="10" t="s">
        <v>394</v>
      </c>
      <c r="C1283" s="315"/>
      <c r="D1283" s="868" t="s">
        <v>3431</v>
      </c>
      <c r="E1283" s="837" t="str">
        <f>IFERROR(IF(_xlfn.XLOOKUP(Imput[[#This Row],[RFC]],'Alta Proveedor'!D:D,'Alta Proveedor'!E:E)=0,"",_xlfn.XLOOKUP(Imput[[#This Row],[RFC]],'Alta Proveedor'!D:D,'Alta Proveedor'!E:E)),"")</f>
        <v>CHUBB FIANZAS MONTERREY, ASEGURADORA DE CAUCION</v>
      </c>
      <c r="F1283" s="832" t="s">
        <v>4025</v>
      </c>
      <c r="G1283" s="187">
        <v>1</v>
      </c>
      <c r="H1283" s="1">
        <v>128.53</v>
      </c>
      <c r="I1283" s="169">
        <f>Imput[[#This Row],[Cantidad]]*Imput[[#This Row],[Precio Unitario]]</f>
        <v>128.53</v>
      </c>
      <c r="J1283" s="11">
        <f>((Imput[[#This Row],[Sub total]])*(0.16))</f>
        <v>20.564800000000002</v>
      </c>
      <c r="K1283" s="11">
        <v>0</v>
      </c>
      <c r="L1283" s="169">
        <f>Imput[[#This Row],[Sub total]]+Imput[[#This Row],[IVA]]-Imput[[#This Row],[Retención / IEPS / Descuento]]</f>
        <v>149.09479999999999</v>
      </c>
      <c r="M1283" s="844">
        <v>149.09479999999999</v>
      </c>
      <c r="N1283" s="189" t="s">
        <v>123</v>
      </c>
      <c r="O1283" s="1"/>
      <c r="P1283" s="189" t="s">
        <v>4034</v>
      </c>
      <c r="Q1283" s="190" t="s">
        <v>4035</v>
      </c>
      <c r="R1283" s="188">
        <v>45947</v>
      </c>
      <c r="S1283" s="193" t="s">
        <v>371</v>
      </c>
      <c r="T1283" s="192"/>
      <c r="U1283" s="829"/>
      <c r="V1283" s="10"/>
      <c r="W1283" s="10"/>
      <c r="X1283" s="10"/>
      <c r="Y1283" s="10"/>
      <c r="Z1283" s="10"/>
      <c r="AA1283" s="11"/>
      <c r="AB1283" s="11"/>
    </row>
    <row r="1284" spans="2:28" x14ac:dyDescent="0.3">
      <c r="B1284" s="10" t="s">
        <v>378</v>
      </c>
      <c r="C1284" s="315"/>
      <c r="D1284" s="868" t="s">
        <v>4038</v>
      </c>
      <c r="E1284" s="837" t="str">
        <f>IFERROR(IF(_xlfn.XLOOKUP(Imput[[#This Row],[RFC]],'Alta Proveedor'!D:D,'Alta Proveedor'!E:E)=0,"",_xlfn.XLOOKUP(Imput[[#This Row],[RFC]],'Alta Proveedor'!D:D,'Alta Proveedor'!E:E)),"")</f>
        <v>GRUPO PROFREZAC</v>
      </c>
      <c r="F1284" s="832" t="s">
        <v>4040</v>
      </c>
      <c r="G1284" s="187">
        <v>1</v>
      </c>
      <c r="H1284" s="1">
        <v>53.45</v>
      </c>
      <c r="I1284" s="169">
        <f>Imput[[#This Row],[Cantidad]]*Imput[[#This Row],[Precio Unitario]]</f>
        <v>53.45</v>
      </c>
      <c r="J1284" s="11">
        <f>((Imput[[#This Row],[Sub total]])*(0.16))</f>
        <v>8.5520000000000014</v>
      </c>
      <c r="K1284" s="11">
        <v>0</v>
      </c>
      <c r="L1284" s="169">
        <f>Imput[[#This Row],[Sub total]]+Imput[[#This Row],[IVA]]-Imput[[#This Row],[Retención / IEPS / Descuento]]</f>
        <v>62.002000000000002</v>
      </c>
      <c r="M1284" s="844">
        <v>62.002000000000002</v>
      </c>
      <c r="N1284" s="189" t="s">
        <v>123</v>
      </c>
      <c r="O1284" s="1"/>
      <c r="P1284" s="189" t="s">
        <v>4036</v>
      </c>
      <c r="Q1284" s="190" t="s">
        <v>4037</v>
      </c>
      <c r="R1284" s="188">
        <v>45990</v>
      </c>
      <c r="S1284" s="193" t="s">
        <v>294</v>
      </c>
      <c r="T1284" s="192"/>
      <c r="U1284" s="829"/>
      <c r="V1284" s="10"/>
      <c r="W1284" s="10"/>
      <c r="X1284" s="10"/>
      <c r="Y1284" s="10"/>
      <c r="Z1284" s="10"/>
      <c r="AA1284" s="11"/>
      <c r="AB1284" s="11"/>
    </row>
    <row r="1285" spans="2:28" x14ac:dyDescent="0.3">
      <c r="B1285" s="10" t="s">
        <v>400</v>
      </c>
      <c r="C1285" s="315"/>
      <c r="D1285" s="868" t="s">
        <v>164</v>
      </c>
      <c r="E1285" s="837" t="str">
        <f>IFERROR(IF(_xlfn.XLOOKUP(Imput[[#This Row],[RFC]],'Alta Proveedor'!D:D,'Alta Proveedor'!E:E)=0,"",_xlfn.XLOOKUP(Imput[[#This Row],[RFC]],'Alta Proveedor'!D:D,'Alta Proveedor'!E:E)),"")</f>
        <v>HOME DEPOT MEXICO SUCURSAL THD-8730 TAMPICO</v>
      </c>
      <c r="F1285" s="832" t="s">
        <v>4043</v>
      </c>
      <c r="G1285" s="187">
        <v>1</v>
      </c>
      <c r="H1285" s="1">
        <v>291.83999999999997</v>
      </c>
      <c r="I1285" s="169">
        <f>Imput[[#This Row],[Cantidad]]*Imput[[#This Row],[Precio Unitario]]</f>
        <v>291.83999999999997</v>
      </c>
      <c r="J1285" s="11">
        <f>((Imput[[#This Row],[Sub total]])*(0.16))-0.001</f>
        <v>46.693399999999997</v>
      </c>
      <c r="K1285" s="11">
        <v>0</v>
      </c>
      <c r="L1285" s="169">
        <f>Imput[[#This Row],[Sub total]]+Imput[[#This Row],[IVA]]-Imput[[#This Row],[Retención / IEPS / Descuento]]</f>
        <v>338.53339999999997</v>
      </c>
      <c r="M1285" s="844">
        <v>6990.5580000000009</v>
      </c>
      <c r="N1285" s="189" t="s">
        <v>123</v>
      </c>
      <c r="O1285" s="1"/>
      <c r="P1285" s="189" t="s">
        <v>4041</v>
      </c>
      <c r="Q1285" s="190" t="s">
        <v>4042</v>
      </c>
      <c r="R1285" s="188">
        <v>45992</v>
      </c>
      <c r="S1285" s="193" t="s">
        <v>126</v>
      </c>
      <c r="T1285" s="192"/>
      <c r="U1285" s="829"/>
      <c r="V1285" s="10"/>
      <c r="W1285" s="10"/>
      <c r="X1285" s="10"/>
      <c r="Y1285" s="10"/>
      <c r="Z1285" s="10"/>
      <c r="AA1285" s="11"/>
      <c r="AB1285" s="11"/>
    </row>
    <row r="1286" spans="2:28" x14ac:dyDescent="0.3">
      <c r="B1286" s="10" t="s">
        <v>400</v>
      </c>
      <c r="C1286" s="315"/>
      <c r="D1286" s="868" t="s">
        <v>164</v>
      </c>
      <c r="E1286" s="837" t="str">
        <f>IFERROR(IF(_xlfn.XLOOKUP(Imput[[#This Row],[RFC]],'Alta Proveedor'!D:D,'Alta Proveedor'!E:E)=0,"",_xlfn.XLOOKUP(Imput[[#This Row],[RFC]],'Alta Proveedor'!D:D,'Alta Proveedor'!E:E)),"")</f>
        <v>HOME DEPOT MEXICO SUCURSAL THD-8730 TAMPICO</v>
      </c>
      <c r="F1286" s="832" t="s">
        <v>4044</v>
      </c>
      <c r="G1286" s="187">
        <v>1</v>
      </c>
      <c r="H1286" s="1">
        <v>255.73</v>
      </c>
      <c r="I1286" s="169">
        <f>Imput[[#This Row],[Cantidad]]*Imput[[#This Row],[Precio Unitario]]</f>
        <v>255.73</v>
      </c>
      <c r="J1286" s="11">
        <f>((Imput[[#This Row],[Sub total]])*(0.16))-0.001</f>
        <v>40.915800000000004</v>
      </c>
      <c r="K1286" s="11">
        <v>0</v>
      </c>
      <c r="L1286" s="169">
        <f>Imput[[#This Row],[Sub total]]+Imput[[#This Row],[IVA]]-Imput[[#This Row],[Retención / IEPS / Descuento]]</f>
        <v>296.64580000000001</v>
      </c>
      <c r="M1286" s="844">
        <v>0</v>
      </c>
      <c r="N1286" s="189" t="s">
        <v>123</v>
      </c>
      <c r="O1286" s="1"/>
      <c r="P1286" s="189" t="s">
        <v>4041</v>
      </c>
      <c r="Q1286" s="190" t="s">
        <v>4042</v>
      </c>
      <c r="R1286" s="188">
        <v>45992</v>
      </c>
      <c r="S1286" s="193" t="s">
        <v>126</v>
      </c>
      <c r="T1286" s="192"/>
      <c r="U1286" s="829"/>
      <c r="V1286" s="10"/>
      <c r="W1286" s="10"/>
      <c r="X1286" s="10"/>
      <c r="Y1286" s="10"/>
      <c r="Z1286" s="10"/>
      <c r="AA1286" s="11"/>
      <c r="AB1286" s="11"/>
    </row>
    <row r="1287" spans="2:28" x14ac:dyDescent="0.3">
      <c r="B1287" s="10" t="s">
        <v>400</v>
      </c>
      <c r="C1287" s="315"/>
      <c r="D1287" s="868" t="s">
        <v>164</v>
      </c>
      <c r="E1287" s="837" t="str">
        <f>IFERROR(IF(_xlfn.XLOOKUP(Imput[[#This Row],[RFC]],'Alta Proveedor'!D:D,'Alta Proveedor'!E:E)=0,"",_xlfn.XLOOKUP(Imput[[#This Row],[RFC]],'Alta Proveedor'!D:D,'Alta Proveedor'!E:E)),"")</f>
        <v>HOME DEPOT MEXICO SUCURSAL THD-8730 TAMPICO</v>
      </c>
      <c r="F1287" s="832" t="s">
        <v>3628</v>
      </c>
      <c r="G1287" s="187">
        <v>5</v>
      </c>
      <c r="H1287" s="1">
        <f>485.82/Imput[[#This Row],[Cantidad]]</f>
        <v>97.164000000000001</v>
      </c>
      <c r="I1287" s="169">
        <f>Imput[[#This Row],[Cantidad]]*Imput[[#This Row],[Precio Unitario]]</f>
        <v>485.82</v>
      </c>
      <c r="J1287" s="11">
        <f>((Imput[[#This Row],[Sub total]])*(0.16))-0.001</f>
        <v>77.730199999999996</v>
      </c>
      <c r="K1287" s="11">
        <v>0</v>
      </c>
      <c r="L1287" s="169">
        <f>Imput[[#This Row],[Sub total]]+Imput[[#This Row],[IVA]]-Imput[[#This Row],[Retención / IEPS / Descuento]]</f>
        <v>563.55020000000002</v>
      </c>
      <c r="M1287" s="844">
        <v>0</v>
      </c>
      <c r="N1287" s="189" t="s">
        <v>123</v>
      </c>
      <c r="O1287" s="1"/>
      <c r="P1287" s="189" t="s">
        <v>4041</v>
      </c>
      <c r="Q1287" s="190" t="s">
        <v>4042</v>
      </c>
      <c r="R1287" s="188">
        <v>45992</v>
      </c>
      <c r="S1287" s="193" t="s">
        <v>126</v>
      </c>
      <c r="T1287" s="192"/>
      <c r="U1287" s="829"/>
      <c r="V1287" s="10"/>
      <c r="W1287" s="10"/>
      <c r="X1287" s="10"/>
      <c r="Y1287" s="10"/>
      <c r="Z1287" s="10"/>
      <c r="AA1287" s="11"/>
      <c r="AB1287" s="11"/>
    </row>
    <row r="1288" spans="2:28" x14ac:dyDescent="0.3">
      <c r="B1288" s="10" t="s">
        <v>400</v>
      </c>
      <c r="C1288" s="315"/>
      <c r="D1288" s="868" t="s">
        <v>164</v>
      </c>
      <c r="E1288" s="837" t="str">
        <f>IFERROR(IF(_xlfn.XLOOKUP(Imput[[#This Row],[RFC]],'Alta Proveedor'!D:D,'Alta Proveedor'!E:E)=0,"",_xlfn.XLOOKUP(Imput[[#This Row],[RFC]],'Alta Proveedor'!D:D,'Alta Proveedor'!E:E)),"")</f>
        <v>HOME DEPOT MEXICO SUCURSAL THD-8730 TAMPICO</v>
      </c>
      <c r="F1288" s="832" t="s">
        <v>4045</v>
      </c>
      <c r="G1288" s="187">
        <v>3</v>
      </c>
      <c r="H1288" s="1">
        <f>233.17/Imput[[#This Row],[Cantidad]]</f>
        <v>77.723333333333329</v>
      </c>
      <c r="I1288" s="169">
        <f>Imput[[#This Row],[Cantidad]]*Imput[[#This Row],[Precio Unitario]]</f>
        <v>233.17</v>
      </c>
      <c r="J1288" s="11">
        <f>((Imput[[#This Row],[Sub total]])*(0.16))-0.001</f>
        <v>37.306200000000004</v>
      </c>
      <c r="K1288" s="11">
        <v>0</v>
      </c>
      <c r="L1288" s="169">
        <f>Imput[[#This Row],[Sub total]]+Imput[[#This Row],[IVA]]-Imput[[#This Row],[Retención / IEPS / Descuento]]</f>
        <v>270.47620000000001</v>
      </c>
      <c r="M1288" s="844">
        <v>0</v>
      </c>
      <c r="N1288" s="189" t="s">
        <v>123</v>
      </c>
      <c r="O1288" s="1"/>
      <c r="P1288" s="189" t="s">
        <v>4041</v>
      </c>
      <c r="Q1288" s="190" t="s">
        <v>4042</v>
      </c>
      <c r="R1288" s="188">
        <v>45992</v>
      </c>
      <c r="S1288" s="193" t="s">
        <v>126</v>
      </c>
      <c r="T1288" s="192"/>
      <c r="U1288" s="829"/>
      <c r="V1288" s="10"/>
      <c r="W1288" s="10"/>
      <c r="X1288" s="10"/>
      <c r="Y1288" s="10"/>
      <c r="Z1288" s="10"/>
      <c r="AA1288" s="11"/>
      <c r="AB1288" s="11"/>
    </row>
    <row r="1289" spans="2:28" x14ac:dyDescent="0.3">
      <c r="B1289" s="10" t="s">
        <v>400</v>
      </c>
      <c r="C1289" s="315"/>
      <c r="D1289" s="868" t="s">
        <v>164</v>
      </c>
      <c r="E1289" s="837" t="str">
        <f>IFERROR(IF(_xlfn.XLOOKUP(Imput[[#This Row],[RFC]],'Alta Proveedor'!D:D,'Alta Proveedor'!E:E)=0,"",_xlfn.XLOOKUP(Imput[[#This Row],[RFC]],'Alta Proveedor'!D:D,'Alta Proveedor'!E:E)),"")</f>
        <v>HOME DEPOT MEXICO SUCURSAL THD-8730 TAMPICO</v>
      </c>
      <c r="F1289" s="832" t="s">
        <v>4046</v>
      </c>
      <c r="G1289" s="187">
        <v>1</v>
      </c>
      <c r="H1289" s="1">
        <v>77.72</v>
      </c>
      <c r="I1289" s="169">
        <f>Imput[[#This Row],[Cantidad]]*Imput[[#This Row],[Precio Unitario]]</f>
        <v>77.72</v>
      </c>
      <c r="J1289" s="11">
        <f>((Imput[[#This Row],[Sub total]])*(0.16))-0.001</f>
        <v>12.434200000000001</v>
      </c>
      <c r="K1289" s="11">
        <v>0</v>
      </c>
      <c r="L1289" s="169">
        <f>Imput[[#This Row],[Sub total]]+Imput[[#This Row],[IVA]]-Imput[[#This Row],[Retención / IEPS / Descuento]]</f>
        <v>90.154200000000003</v>
      </c>
      <c r="M1289" s="844">
        <v>0</v>
      </c>
      <c r="N1289" s="189" t="s">
        <v>123</v>
      </c>
      <c r="O1289" s="1"/>
      <c r="P1289" s="189" t="s">
        <v>4041</v>
      </c>
      <c r="Q1289" s="190" t="s">
        <v>4042</v>
      </c>
      <c r="R1289" s="188">
        <v>45992</v>
      </c>
      <c r="S1289" s="193" t="s">
        <v>126</v>
      </c>
      <c r="T1289" s="192"/>
      <c r="U1289" s="829"/>
      <c r="V1289" s="10"/>
      <c r="W1289" s="10"/>
      <c r="X1289" s="10"/>
      <c r="Y1289" s="10"/>
      <c r="Z1289" s="10"/>
      <c r="AA1289" s="11"/>
      <c r="AB1289" s="11"/>
    </row>
    <row r="1290" spans="2:28" x14ac:dyDescent="0.3">
      <c r="B1290" s="10" t="s">
        <v>400</v>
      </c>
      <c r="C1290" s="315"/>
      <c r="D1290" s="868" t="s">
        <v>164</v>
      </c>
      <c r="E1290" s="837" t="str">
        <f>IFERROR(IF(_xlfn.XLOOKUP(Imput[[#This Row],[RFC]],'Alta Proveedor'!D:D,'Alta Proveedor'!E:E)=0,"",_xlfn.XLOOKUP(Imput[[#This Row],[RFC]],'Alta Proveedor'!D:D,'Alta Proveedor'!E:E)),"")</f>
        <v>HOME DEPOT MEXICO SUCURSAL THD-8730 TAMPICO</v>
      </c>
      <c r="F1290" s="832" t="s">
        <v>4047</v>
      </c>
      <c r="G1290" s="187">
        <v>1</v>
      </c>
      <c r="H1290" s="1">
        <v>34.64</v>
      </c>
      <c r="I1290" s="169">
        <f>Imput[[#This Row],[Cantidad]]*Imput[[#This Row],[Precio Unitario]]</f>
        <v>34.64</v>
      </c>
      <c r="J1290" s="11">
        <f>((Imput[[#This Row],[Sub total]])*(0.16))-0.001</f>
        <v>5.5413999999999994</v>
      </c>
      <c r="K1290" s="11">
        <v>0</v>
      </c>
      <c r="L1290" s="169">
        <f>Imput[[#This Row],[Sub total]]+Imput[[#This Row],[IVA]]-Imput[[#This Row],[Retención / IEPS / Descuento]]</f>
        <v>40.181399999999996</v>
      </c>
      <c r="M1290" s="844">
        <v>0</v>
      </c>
      <c r="N1290" s="189" t="s">
        <v>123</v>
      </c>
      <c r="O1290" s="1"/>
      <c r="P1290" s="189" t="s">
        <v>4041</v>
      </c>
      <c r="Q1290" s="190" t="s">
        <v>4042</v>
      </c>
      <c r="R1290" s="188">
        <v>45992</v>
      </c>
      <c r="S1290" s="193" t="s">
        <v>126</v>
      </c>
      <c r="T1290" s="192"/>
      <c r="U1290" s="829"/>
      <c r="V1290" s="10"/>
      <c r="W1290" s="10"/>
      <c r="X1290" s="10"/>
      <c r="Y1290" s="10"/>
      <c r="Z1290" s="10"/>
      <c r="AA1290" s="11"/>
      <c r="AB1290" s="11"/>
    </row>
    <row r="1291" spans="2:28" x14ac:dyDescent="0.3">
      <c r="B1291" s="10" t="s">
        <v>400</v>
      </c>
      <c r="C1291" s="315"/>
      <c r="D1291" s="868" t="s">
        <v>164</v>
      </c>
      <c r="E1291" s="837" t="str">
        <f>IFERROR(IF(_xlfn.XLOOKUP(Imput[[#This Row],[RFC]],'Alta Proveedor'!D:D,'Alta Proveedor'!E:E)=0,"",_xlfn.XLOOKUP(Imput[[#This Row],[RFC]],'Alta Proveedor'!D:D,'Alta Proveedor'!E:E)),"")</f>
        <v>HOME DEPOT MEXICO SUCURSAL THD-8730 TAMPICO</v>
      </c>
      <c r="F1291" s="832" t="s">
        <v>4048</v>
      </c>
      <c r="G1291" s="187">
        <v>5</v>
      </c>
      <c r="H1291" s="1">
        <f>109.87/Imput[[#This Row],[Cantidad]]</f>
        <v>21.974</v>
      </c>
      <c r="I1291" s="169">
        <f>Imput[[#This Row],[Cantidad]]*Imput[[#This Row],[Precio Unitario]]</f>
        <v>109.87</v>
      </c>
      <c r="J1291" s="11">
        <f>((Imput[[#This Row],[Sub total]])*(0.16))-0.001</f>
        <v>17.578199999999999</v>
      </c>
      <c r="K1291" s="11">
        <v>0</v>
      </c>
      <c r="L1291" s="169">
        <f>Imput[[#This Row],[Sub total]]+Imput[[#This Row],[IVA]]-Imput[[#This Row],[Retención / IEPS / Descuento]]</f>
        <v>127.4482</v>
      </c>
      <c r="M1291" s="844">
        <v>0</v>
      </c>
      <c r="N1291" s="189" t="s">
        <v>123</v>
      </c>
      <c r="O1291" s="1"/>
      <c r="P1291" s="189" t="s">
        <v>4041</v>
      </c>
      <c r="Q1291" s="190" t="s">
        <v>4042</v>
      </c>
      <c r="R1291" s="188">
        <v>45992</v>
      </c>
      <c r="S1291" s="193" t="s">
        <v>126</v>
      </c>
      <c r="T1291" s="192"/>
      <c r="U1291" s="829"/>
      <c r="V1291" s="10"/>
      <c r="W1291" s="10"/>
      <c r="X1291" s="10"/>
      <c r="Y1291" s="10"/>
      <c r="Z1291" s="10"/>
      <c r="AA1291" s="11"/>
      <c r="AB1291" s="11"/>
    </row>
    <row r="1292" spans="2:28" x14ac:dyDescent="0.3">
      <c r="B1292" s="10" t="s">
        <v>400</v>
      </c>
      <c r="C1292" s="315"/>
      <c r="D1292" s="868" t="s">
        <v>164</v>
      </c>
      <c r="E1292" s="837" t="str">
        <f>IFERROR(IF(_xlfn.XLOOKUP(Imput[[#This Row],[RFC]],'Alta Proveedor'!D:D,'Alta Proveedor'!E:E)=0,"",_xlfn.XLOOKUP(Imput[[#This Row],[RFC]],'Alta Proveedor'!D:D,'Alta Proveedor'!E:E)),"")</f>
        <v>HOME DEPOT MEXICO SUCURSAL THD-8730 TAMPICO</v>
      </c>
      <c r="F1292" s="832" t="s">
        <v>4049</v>
      </c>
      <c r="G1292" s="187">
        <v>5</v>
      </c>
      <c r="H1292" s="1">
        <f>245/Imput[[#This Row],[Cantidad]]</f>
        <v>49</v>
      </c>
      <c r="I1292" s="169">
        <f>Imput[[#This Row],[Cantidad]]*Imput[[#This Row],[Precio Unitario]]</f>
        <v>245</v>
      </c>
      <c r="J1292" s="11">
        <f>((Imput[[#This Row],[Sub total]])*(0.16))-0.001</f>
        <v>39.199000000000005</v>
      </c>
      <c r="K1292" s="11">
        <v>0</v>
      </c>
      <c r="L1292" s="169">
        <f>Imput[[#This Row],[Sub total]]+Imput[[#This Row],[IVA]]-Imput[[#This Row],[Retención / IEPS / Descuento]]</f>
        <v>284.19900000000001</v>
      </c>
      <c r="M1292" s="844">
        <v>0</v>
      </c>
      <c r="N1292" s="189" t="s">
        <v>123</v>
      </c>
      <c r="O1292" s="1"/>
      <c r="P1292" s="189" t="s">
        <v>4041</v>
      </c>
      <c r="Q1292" s="190" t="s">
        <v>4042</v>
      </c>
      <c r="R1292" s="188">
        <v>45992</v>
      </c>
      <c r="S1292" s="193" t="s">
        <v>126</v>
      </c>
      <c r="T1292" s="192"/>
      <c r="U1292" s="829"/>
      <c r="V1292" s="10"/>
      <c r="W1292" s="10"/>
      <c r="X1292" s="10"/>
      <c r="Y1292" s="10"/>
      <c r="Z1292" s="10"/>
      <c r="AA1292" s="11"/>
      <c r="AB1292" s="11"/>
    </row>
    <row r="1293" spans="2:28" x14ac:dyDescent="0.3">
      <c r="B1293" s="10" t="s">
        <v>400</v>
      </c>
      <c r="C1293" s="315"/>
      <c r="D1293" s="868" t="s">
        <v>164</v>
      </c>
      <c r="E1293" s="837" t="str">
        <f>IFERROR(IF(_xlfn.XLOOKUP(Imput[[#This Row],[RFC]],'Alta Proveedor'!D:D,'Alta Proveedor'!E:E)=0,"",_xlfn.XLOOKUP(Imput[[#This Row],[RFC]],'Alta Proveedor'!D:D,'Alta Proveedor'!E:E)),"")</f>
        <v>HOME DEPOT MEXICO SUCURSAL THD-8730 TAMPICO</v>
      </c>
      <c r="F1293" s="832" t="s">
        <v>4050</v>
      </c>
      <c r="G1293" s="187">
        <v>1</v>
      </c>
      <c r="H1293" s="1">
        <v>215.52</v>
      </c>
      <c r="I1293" s="169">
        <f>Imput[[#This Row],[Cantidad]]*Imput[[#This Row],[Precio Unitario]]</f>
        <v>215.52</v>
      </c>
      <c r="J1293" s="11">
        <f>((Imput[[#This Row],[Sub total]])*(0.16))</f>
        <v>34.483200000000004</v>
      </c>
      <c r="K1293" s="11">
        <v>0</v>
      </c>
      <c r="L1293" s="169">
        <f>Imput[[#This Row],[Sub total]]+Imput[[#This Row],[IVA]]-Imput[[#This Row],[Retención / IEPS / Descuento]]</f>
        <v>250.00320000000002</v>
      </c>
      <c r="M1293" s="844">
        <v>0</v>
      </c>
      <c r="N1293" s="189" t="s">
        <v>123</v>
      </c>
      <c r="O1293" s="1"/>
      <c r="P1293" s="189" t="s">
        <v>4041</v>
      </c>
      <c r="Q1293" s="190" t="s">
        <v>4042</v>
      </c>
      <c r="R1293" s="188">
        <v>45992</v>
      </c>
      <c r="S1293" s="193" t="s">
        <v>126</v>
      </c>
      <c r="T1293" s="192"/>
      <c r="U1293" s="829"/>
      <c r="V1293" s="10"/>
      <c r="W1293" s="10"/>
      <c r="X1293" s="10"/>
      <c r="Y1293" s="10"/>
      <c r="Z1293" s="10"/>
      <c r="AA1293" s="11"/>
      <c r="AB1293" s="11"/>
    </row>
    <row r="1294" spans="2:28" x14ac:dyDescent="0.3">
      <c r="B1294" s="10" t="s">
        <v>400</v>
      </c>
      <c r="C1294" s="315"/>
      <c r="D1294" s="868" t="s">
        <v>164</v>
      </c>
      <c r="E1294" s="837" t="str">
        <f>IFERROR(IF(_xlfn.XLOOKUP(Imput[[#This Row],[RFC]],'Alta Proveedor'!D:D,'Alta Proveedor'!E:E)=0,"",_xlfn.XLOOKUP(Imput[[#This Row],[RFC]],'Alta Proveedor'!D:D,'Alta Proveedor'!E:E)),"")</f>
        <v>HOME DEPOT MEXICO SUCURSAL THD-8730 TAMPICO</v>
      </c>
      <c r="F1294" s="832" t="s">
        <v>4051</v>
      </c>
      <c r="G1294" s="187">
        <v>1</v>
      </c>
      <c r="H1294" s="1">
        <v>97.16</v>
      </c>
      <c r="I1294" s="169">
        <f>Imput[[#This Row],[Cantidad]]*Imput[[#This Row],[Precio Unitario]]</f>
        <v>97.16</v>
      </c>
      <c r="J1294" s="11">
        <f>((Imput[[#This Row],[Sub total]])*(0.16))</f>
        <v>15.5456</v>
      </c>
      <c r="K1294" s="11">
        <v>0</v>
      </c>
      <c r="L1294" s="169">
        <f>Imput[[#This Row],[Sub total]]+Imput[[#This Row],[IVA]]-Imput[[#This Row],[Retención / IEPS / Descuento]]</f>
        <v>112.7056</v>
      </c>
      <c r="M1294" s="844">
        <v>0</v>
      </c>
      <c r="N1294" s="189" t="s">
        <v>123</v>
      </c>
      <c r="O1294" s="1"/>
      <c r="P1294" s="189" t="s">
        <v>4041</v>
      </c>
      <c r="Q1294" s="190" t="s">
        <v>4042</v>
      </c>
      <c r="R1294" s="188">
        <v>45992</v>
      </c>
      <c r="S1294" s="193" t="s">
        <v>126</v>
      </c>
      <c r="T1294" s="192"/>
      <c r="U1294" s="829"/>
      <c r="V1294" s="10"/>
      <c r="W1294" s="10"/>
      <c r="X1294" s="10"/>
      <c r="Y1294" s="10"/>
      <c r="Z1294" s="10"/>
      <c r="AA1294" s="11"/>
      <c r="AB1294" s="11"/>
    </row>
    <row r="1295" spans="2:28" x14ac:dyDescent="0.3">
      <c r="B1295" s="10" t="s">
        <v>400</v>
      </c>
      <c r="C1295" s="315"/>
      <c r="D1295" s="868" t="s">
        <v>164</v>
      </c>
      <c r="E1295" s="837" t="str">
        <f>IFERROR(IF(_xlfn.XLOOKUP(Imput[[#This Row],[RFC]],'Alta Proveedor'!D:D,'Alta Proveedor'!E:E)=0,"",_xlfn.XLOOKUP(Imput[[#This Row],[RFC]],'Alta Proveedor'!D:D,'Alta Proveedor'!E:E)),"")</f>
        <v>HOME DEPOT MEXICO SUCURSAL THD-8730 TAMPICO</v>
      </c>
      <c r="F1295" s="832" t="s">
        <v>4052</v>
      </c>
      <c r="G1295" s="187">
        <v>3</v>
      </c>
      <c r="H1295" s="1">
        <f>186.21/Imput[[#This Row],[Cantidad]]</f>
        <v>62.07</v>
      </c>
      <c r="I1295" s="169">
        <f>Imput[[#This Row],[Cantidad]]*Imput[[#This Row],[Precio Unitario]]</f>
        <v>186.21</v>
      </c>
      <c r="J1295" s="11">
        <f>((Imput[[#This Row],[Sub total]])*(0.16))</f>
        <v>29.793600000000001</v>
      </c>
      <c r="K1295" s="11">
        <v>0</v>
      </c>
      <c r="L1295" s="169">
        <f>Imput[[#This Row],[Sub total]]+Imput[[#This Row],[IVA]]-Imput[[#This Row],[Retención / IEPS / Descuento]]</f>
        <v>216.00360000000001</v>
      </c>
      <c r="M1295" s="844">
        <v>0</v>
      </c>
      <c r="N1295" s="189" t="s">
        <v>123</v>
      </c>
      <c r="O1295" s="1"/>
      <c r="P1295" s="189" t="s">
        <v>4041</v>
      </c>
      <c r="Q1295" s="190" t="s">
        <v>4042</v>
      </c>
      <c r="R1295" s="188">
        <v>45992</v>
      </c>
      <c r="S1295" s="193" t="s">
        <v>126</v>
      </c>
      <c r="T1295" s="192"/>
      <c r="U1295" s="829"/>
      <c r="V1295" s="10"/>
      <c r="W1295" s="10"/>
      <c r="X1295" s="10"/>
      <c r="Y1295" s="10"/>
      <c r="Z1295" s="10"/>
      <c r="AA1295" s="11"/>
      <c r="AB1295" s="11"/>
    </row>
    <row r="1296" spans="2:28" x14ac:dyDescent="0.3">
      <c r="B1296" s="10" t="s">
        <v>400</v>
      </c>
      <c r="C1296" s="315"/>
      <c r="D1296" s="868" t="s">
        <v>164</v>
      </c>
      <c r="E1296" s="837" t="str">
        <f>IFERROR(IF(_xlfn.XLOOKUP(Imput[[#This Row],[RFC]],'Alta Proveedor'!D:D,'Alta Proveedor'!E:E)=0,"",_xlfn.XLOOKUP(Imput[[#This Row],[RFC]],'Alta Proveedor'!D:D,'Alta Proveedor'!E:E)),"")</f>
        <v>HOME DEPOT MEXICO SUCURSAL THD-8730 TAMPICO</v>
      </c>
      <c r="F1296" s="832" t="s">
        <v>4053</v>
      </c>
      <c r="G1296" s="187">
        <v>3</v>
      </c>
      <c r="H1296" s="1">
        <f>1036.58/Imput[[#This Row],[Cantidad]]</f>
        <v>345.52666666666664</v>
      </c>
      <c r="I1296" s="169">
        <f>Imput[[#This Row],[Cantidad]]*Imput[[#This Row],[Precio Unitario]]</f>
        <v>1036.58</v>
      </c>
      <c r="J1296" s="11">
        <f>((Imput[[#This Row],[Sub total]])*(0.16))</f>
        <v>165.8528</v>
      </c>
      <c r="K1296" s="11">
        <v>0</v>
      </c>
      <c r="L1296" s="169">
        <f>Imput[[#This Row],[Sub total]]+Imput[[#This Row],[IVA]]-Imput[[#This Row],[Retención / IEPS / Descuento]]</f>
        <v>1202.4328</v>
      </c>
      <c r="M1296" s="844">
        <v>0</v>
      </c>
      <c r="N1296" s="189" t="s">
        <v>123</v>
      </c>
      <c r="O1296" s="1"/>
      <c r="P1296" s="189" t="s">
        <v>4041</v>
      </c>
      <c r="Q1296" s="190" t="s">
        <v>4042</v>
      </c>
      <c r="R1296" s="188">
        <v>45992</v>
      </c>
      <c r="S1296" s="193" t="s">
        <v>126</v>
      </c>
      <c r="T1296" s="192"/>
      <c r="U1296" s="829"/>
      <c r="V1296" s="10"/>
      <c r="W1296" s="10"/>
      <c r="X1296" s="10"/>
      <c r="Y1296" s="10"/>
      <c r="Z1296" s="10"/>
      <c r="AA1296" s="11"/>
      <c r="AB1296" s="11"/>
    </row>
    <row r="1297" spans="2:28" x14ac:dyDescent="0.3">
      <c r="B1297" s="10" t="s">
        <v>400</v>
      </c>
      <c r="C1297" s="315"/>
      <c r="D1297" s="868" t="s">
        <v>164</v>
      </c>
      <c r="E1297" s="837" t="str">
        <f>IFERROR(IF(_xlfn.XLOOKUP(Imput[[#This Row],[RFC]],'Alta Proveedor'!D:D,'Alta Proveedor'!E:E)=0,"",_xlfn.XLOOKUP(Imput[[#This Row],[RFC]],'Alta Proveedor'!D:D,'Alta Proveedor'!E:E)),"")</f>
        <v>HOME DEPOT MEXICO SUCURSAL THD-8730 TAMPICO</v>
      </c>
      <c r="F1297" s="832" t="s">
        <v>4054</v>
      </c>
      <c r="G1297" s="187">
        <v>1</v>
      </c>
      <c r="H1297" s="1">
        <v>152.41</v>
      </c>
      <c r="I1297" s="169">
        <f>Imput[[#This Row],[Cantidad]]*Imput[[#This Row],[Precio Unitario]]</f>
        <v>152.41</v>
      </c>
      <c r="J1297" s="11">
        <f>((Imput[[#This Row],[Sub total]])*(0.16))</f>
        <v>24.3856</v>
      </c>
      <c r="K1297" s="11">
        <v>0</v>
      </c>
      <c r="L1297" s="169">
        <f>Imput[[#This Row],[Sub total]]+Imput[[#This Row],[IVA]]-Imput[[#This Row],[Retención / IEPS / Descuento]]</f>
        <v>176.79560000000001</v>
      </c>
      <c r="M1297" s="844">
        <v>0</v>
      </c>
      <c r="N1297" s="189" t="s">
        <v>123</v>
      </c>
      <c r="O1297" s="1"/>
      <c r="P1297" s="189" t="s">
        <v>4041</v>
      </c>
      <c r="Q1297" s="190" t="s">
        <v>4042</v>
      </c>
      <c r="R1297" s="188">
        <v>45992</v>
      </c>
      <c r="S1297" s="193" t="s">
        <v>126</v>
      </c>
      <c r="T1297" s="192"/>
      <c r="U1297" s="829"/>
      <c r="V1297" s="10"/>
      <c r="W1297" s="10"/>
      <c r="X1297" s="10"/>
      <c r="Y1297" s="10"/>
      <c r="Z1297" s="10"/>
      <c r="AA1297" s="11"/>
      <c r="AB1297" s="11"/>
    </row>
    <row r="1298" spans="2:28" x14ac:dyDescent="0.3">
      <c r="B1298" s="10" t="s">
        <v>400</v>
      </c>
      <c r="C1298" s="315"/>
      <c r="D1298" s="868" t="s">
        <v>164</v>
      </c>
      <c r="E1298" s="837" t="str">
        <f>IFERROR(IF(_xlfn.XLOOKUP(Imput[[#This Row],[RFC]],'Alta Proveedor'!D:D,'Alta Proveedor'!E:E)=0,"",_xlfn.XLOOKUP(Imput[[#This Row],[RFC]],'Alta Proveedor'!D:D,'Alta Proveedor'!E:E)),"")</f>
        <v>HOME DEPOT MEXICO SUCURSAL THD-8730 TAMPICO</v>
      </c>
      <c r="F1298" s="832" t="s">
        <v>4055</v>
      </c>
      <c r="G1298" s="187">
        <v>1</v>
      </c>
      <c r="H1298" s="1">
        <v>84.27</v>
      </c>
      <c r="I1298" s="169">
        <f>Imput[[#This Row],[Cantidad]]*Imput[[#This Row],[Precio Unitario]]</f>
        <v>84.27</v>
      </c>
      <c r="J1298" s="11">
        <f>((Imput[[#This Row],[Sub total]])*(0.16))</f>
        <v>13.4832</v>
      </c>
      <c r="K1298" s="11">
        <v>0</v>
      </c>
      <c r="L1298" s="169">
        <f>Imput[[#This Row],[Sub total]]+Imput[[#This Row],[IVA]]-Imput[[#This Row],[Retención / IEPS / Descuento]]</f>
        <v>97.753199999999993</v>
      </c>
      <c r="M1298" s="844">
        <v>0</v>
      </c>
      <c r="N1298" s="189" t="s">
        <v>123</v>
      </c>
      <c r="O1298" s="1"/>
      <c r="P1298" s="189" t="s">
        <v>4041</v>
      </c>
      <c r="Q1298" s="190" t="s">
        <v>4042</v>
      </c>
      <c r="R1298" s="188">
        <v>45992</v>
      </c>
      <c r="S1298" s="193" t="s">
        <v>126</v>
      </c>
      <c r="T1298" s="192"/>
      <c r="U1298" s="829"/>
      <c r="V1298" s="10"/>
      <c r="W1298" s="10"/>
      <c r="X1298" s="10"/>
      <c r="Y1298" s="10"/>
      <c r="Z1298" s="10"/>
      <c r="AA1298" s="11"/>
      <c r="AB1298" s="11"/>
    </row>
    <row r="1299" spans="2:28" x14ac:dyDescent="0.3">
      <c r="B1299" s="10" t="s">
        <v>400</v>
      </c>
      <c r="C1299" s="315"/>
      <c r="D1299" s="868" t="s">
        <v>164</v>
      </c>
      <c r="E1299" s="837" t="str">
        <f>IFERROR(IF(_xlfn.XLOOKUP(Imput[[#This Row],[RFC]],'Alta Proveedor'!D:D,'Alta Proveedor'!E:E)=0,"",_xlfn.XLOOKUP(Imput[[#This Row],[RFC]],'Alta Proveedor'!D:D,'Alta Proveedor'!E:E)),"")</f>
        <v>HOME DEPOT MEXICO SUCURSAL THD-8730 TAMPICO</v>
      </c>
      <c r="F1299" s="832" t="s">
        <v>4056</v>
      </c>
      <c r="G1299" s="187">
        <v>1</v>
      </c>
      <c r="H1299" s="1">
        <v>261.05</v>
      </c>
      <c r="I1299" s="169">
        <f>Imput[[#This Row],[Cantidad]]*Imput[[#This Row],[Precio Unitario]]</f>
        <v>261.05</v>
      </c>
      <c r="J1299" s="11">
        <f>((Imput[[#This Row],[Sub total]])*(0.16))</f>
        <v>41.768000000000001</v>
      </c>
      <c r="K1299" s="11">
        <v>0</v>
      </c>
      <c r="L1299" s="169">
        <f>Imput[[#This Row],[Sub total]]+Imput[[#This Row],[IVA]]-Imput[[#This Row],[Retención / IEPS / Descuento]]</f>
        <v>302.81799999999998</v>
      </c>
      <c r="M1299" s="844">
        <v>0</v>
      </c>
      <c r="N1299" s="189" t="s">
        <v>123</v>
      </c>
      <c r="O1299" s="1"/>
      <c r="P1299" s="189" t="s">
        <v>4041</v>
      </c>
      <c r="Q1299" s="190" t="s">
        <v>4042</v>
      </c>
      <c r="R1299" s="188">
        <v>45992</v>
      </c>
      <c r="S1299" s="193" t="s">
        <v>126</v>
      </c>
      <c r="T1299" s="192"/>
      <c r="U1299" s="829"/>
      <c r="V1299" s="10"/>
      <c r="W1299" s="10"/>
      <c r="X1299" s="10"/>
      <c r="Y1299" s="10"/>
      <c r="Z1299" s="10"/>
      <c r="AA1299" s="11"/>
      <c r="AB1299" s="11"/>
    </row>
    <row r="1300" spans="2:28" x14ac:dyDescent="0.3">
      <c r="B1300" s="10" t="s">
        <v>400</v>
      </c>
      <c r="C1300" s="315"/>
      <c r="D1300" s="868" t="s">
        <v>164</v>
      </c>
      <c r="E1300" s="837" t="str">
        <f>IFERROR(IF(_xlfn.XLOOKUP(Imput[[#This Row],[RFC]],'Alta Proveedor'!D:D,'Alta Proveedor'!E:E)=0,"",_xlfn.XLOOKUP(Imput[[#This Row],[RFC]],'Alta Proveedor'!D:D,'Alta Proveedor'!E:E)),"")</f>
        <v>HOME DEPOT MEXICO SUCURSAL THD-8730 TAMPICO</v>
      </c>
      <c r="F1300" s="832" t="s">
        <v>4057</v>
      </c>
      <c r="G1300" s="187">
        <v>2</v>
      </c>
      <c r="H1300" s="1">
        <f>67.59/Imput[[#This Row],[Cantidad]]</f>
        <v>33.795000000000002</v>
      </c>
      <c r="I1300" s="169">
        <f>Imput[[#This Row],[Cantidad]]*Imput[[#This Row],[Precio Unitario]]</f>
        <v>67.59</v>
      </c>
      <c r="J1300" s="11">
        <f>((Imput[[#This Row],[Sub total]])*(0.16))</f>
        <v>10.814400000000001</v>
      </c>
      <c r="K1300" s="11">
        <v>0</v>
      </c>
      <c r="L1300" s="169">
        <f>Imput[[#This Row],[Sub total]]+Imput[[#This Row],[IVA]]-Imput[[#This Row],[Retención / IEPS / Descuento]]</f>
        <v>78.40440000000001</v>
      </c>
      <c r="M1300" s="844">
        <v>0</v>
      </c>
      <c r="N1300" s="189" t="s">
        <v>123</v>
      </c>
      <c r="O1300" s="1"/>
      <c r="P1300" s="189" t="s">
        <v>4041</v>
      </c>
      <c r="Q1300" s="190" t="s">
        <v>4042</v>
      </c>
      <c r="R1300" s="188">
        <v>45992</v>
      </c>
      <c r="S1300" s="193" t="s">
        <v>126</v>
      </c>
      <c r="T1300" s="192"/>
      <c r="U1300" s="829"/>
      <c r="V1300" s="10"/>
      <c r="W1300" s="10"/>
      <c r="X1300" s="10"/>
      <c r="Y1300" s="10"/>
      <c r="Z1300" s="10"/>
      <c r="AA1300" s="11"/>
      <c r="AB1300" s="11"/>
    </row>
    <row r="1301" spans="2:28" x14ac:dyDescent="0.3">
      <c r="B1301" s="10" t="s">
        <v>400</v>
      </c>
      <c r="C1301" s="315"/>
      <c r="D1301" s="868" t="s">
        <v>164</v>
      </c>
      <c r="E1301" s="837" t="str">
        <f>IFERROR(IF(_xlfn.XLOOKUP(Imput[[#This Row],[RFC]],'Alta Proveedor'!D:D,'Alta Proveedor'!E:E)=0,"",_xlfn.XLOOKUP(Imput[[#This Row],[RFC]],'Alta Proveedor'!D:D,'Alta Proveedor'!E:E)),"")</f>
        <v>HOME DEPOT MEXICO SUCURSAL THD-8730 TAMPICO</v>
      </c>
      <c r="F1301" s="832" t="s">
        <v>4058</v>
      </c>
      <c r="G1301" s="187">
        <v>2</v>
      </c>
      <c r="H1301" s="1">
        <f>523.5/Imput[[#This Row],[Cantidad]]</f>
        <v>261.75</v>
      </c>
      <c r="I1301" s="169">
        <f>Imput[[#This Row],[Cantidad]]*Imput[[#This Row],[Precio Unitario]]</f>
        <v>523.5</v>
      </c>
      <c r="J1301" s="11">
        <f>((Imput[[#This Row],[Sub total]])*(0.16))</f>
        <v>83.76</v>
      </c>
      <c r="K1301" s="11">
        <v>0</v>
      </c>
      <c r="L1301" s="169">
        <f>Imput[[#This Row],[Sub total]]+Imput[[#This Row],[IVA]]-Imput[[#This Row],[Retención / IEPS / Descuento]]</f>
        <v>607.26</v>
      </c>
      <c r="M1301" s="844">
        <v>0</v>
      </c>
      <c r="N1301" s="189" t="s">
        <v>123</v>
      </c>
      <c r="O1301" s="1"/>
      <c r="P1301" s="189" t="s">
        <v>4041</v>
      </c>
      <c r="Q1301" s="190" t="s">
        <v>4042</v>
      </c>
      <c r="R1301" s="188">
        <v>45992</v>
      </c>
      <c r="S1301" s="193" t="s">
        <v>126</v>
      </c>
      <c r="T1301" s="192"/>
      <c r="U1301" s="829"/>
      <c r="V1301" s="10"/>
      <c r="W1301" s="10"/>
      <c r="X1301" s="10"/>
      <c r="Y1301" s="10"/>
      <c r="Z1301" s="10"/>
      <c r="AA1301" s="11"/>
      <c r="AB1301" s="11"/>
    </row>
    <row r="1302" spans="2:28" x14ac:dyDescent="0.3">
      <c r="B1302" s="10" t="s">
        <v>400</v>
      </c>
      <c r="C1302" s="315"/>
      <c r="D1302" s="868" t="s">
        <v>164</v>
      </c>
      <c r="E1302" s="837" t="str">
        <f>IFERROR(IF(_xlfn.XLOOKUP(Imput[[#This Row],[RFC]],'Alta Proveedor'!D:D,'Alta Proveedor'!E:E)=0,"",_xlfn.XLOOKUP(Imput[[#This Row],[RFC]],'Alta Proveedor'!D:D,'Alta Proveedor'!E:E)),"")</f>
        <v>HOME DEPOT MEXICO SUCURSAL THD-8730 TAMPICO</v>
      </c>
      <c r="F1302" s="832" t="s">
        <v>4059</v>
      </c>
      <c r="G1302" s="187">
        <v>1</v>
      </c>
      <c r="H1302" s="1">
        <v>194.18</v>
      </c>
      <c r="I1302" s="169">
        <f>Imput[[#This Row],[Cantidad]]*Imput[[#This Row],[Precio Unitario]]</f>
        <v>194.18</v>
      </c>
      <c r="J1302" s="11">
        <f>((Imput[[#This Row],[Sub total]])*(0.16))</f>
        <v>31.068800000000003</v>
      </c>
      <c r="K1302" s="11">
        <v>0</v>
      </c>
      <c r="L1302" s="169">
        <f>Imput[[#This Row],[Sub total]]+Imput[[#This Row],[IVA]]-Imput[[#This Row],[Retención / IEPS / Descuento]]</f>
        <v>225.24880000000002</v>
      </c>
      <c r="M1302" s="844">
        <v>0</v>
      </c>
      <c r="N1302" s="189" t="s">
        <v>123</v>
      </c>
      <c r="O1302" s="1"/>
      <c r="P1302" s="189" t="s">
        <v>4041</v>
      </c>
      <c r="Q1302" s="190" t="s">
        <v>4042</v>
      </c>
      <c r="R1302" s="188">
        <v>45992</v>
      </c>
      <c r="S1302" s="193" t="s">
        <v>126</v>
      </c>
      <c r="T1302" s="192"/>
      <c r="U1302" s="829"/>
      <c r="V1302" s="10"/>
      <c r="W1302" s="10"/>
      <c r="X1302" s="10"/>
      <c r="Y1302" s="10"/>
      <c r="Z1302" s="10"/>
      <c r="AA1302" s="11"/>
      <c r="AB1302" s="11"/>
    </row>
    <row r="1303" spans="2:28" x14ac:dyDescent="0.3">
      <c r="B1303" s="10" t="s">
        <v>400</v>
      </c>
      <c r="C1303" s="315"/>
      <c r="D1303" s="868" t="s">
        <v>164</v>
      </c>
      <c r="E1303" s="837" t="str">
        <f>IFERROR(IF(_xlfn.XLOOKUP(Imput[[#This Row],[RFC]],'Alta Proveedor'!D:D,'Alta Proveedor'!E:E)=0,"",_xlfn.XLOOKUP(Imput[[#This Row],[RFC]],'Alta Proveedor'!D:D,'Alta Proveedor'!E:E)),"")</f>
        <v>HOME DEPOT MEXICO SUCURSAL THD-8730 TAMPICO</v>
      </c>
      <c r="F1303" s="832" t="s">
        <v>4060</v>
      </c>
      <c r="G1303" s="187">
        <v>1</v>
      </c>
      <c r="H1303" s="1">
        <v>226.9</v>
      </c>
      <c r="I1303" s="169">
        <f>Imput[[#This Row],[Cantidad]]*Imput[[#This Row],[Precio Unitario]]</f>
        <v>226.9</v>
      </c>
      <c r="J1303" s="11">
        <f>((Imput[[#This Row],[Sub total]])*(0.16))</f>
        <v>36.304000000000002</v>
      </c>
      <c r="K1303" s="11">
        <v>0</v>
      </c>
      <c r="L1303" s="169">
        <f>Imput[[#This Row],[Sub total]]+Imput[[#This Row],[IVA]]-Imput[[#This Row],[Retención / IEPS / Descuento]]</f>
        <v>263.20400000000001</v>
      </c>
      <c r="M1303" s="844">
        <v>0</v>
      </c>
      <c r="N1303" s="189" t="s">
        <v>123</v>
      </c>
      <c r="O1303" s="1"/>
      <c r="P1303" s="189" t="s">
        <v>4041</v>
      </c>
      <c r="Q1303" s="190" t="s">
        <v>4042</v>
      </c>
      <c r="R1303" s="188">
        <v>45992</v>
      </c>
      <c r="S1303" s="193" t="s">
        <v>126</v>
      </c>
      <c r="T1303" s="192"/>
      <c r="U1303" s="829"/>
      <c r="V1303" s="10"/>
      <c r="W1303" s="10"/>
      <c r="X1303" s="10"/>
      <c r="Y1303" s="10"/>
      <c r="Z1303" s="10"/>
      <c r="AA1303" s="11"/>
      <c r="AB1303" s="11"/>
    </row>
    <row r="1304" spans="2:28" x14ac:dyDescent="0.3">
      <c r="B1304" s="10" t="s">
        <v>400</v>
      </c>
      <c r="C1304" s="315"/>
      <c r="D1304" s="868" t="s">
        <v>164</v>
      </c>
      <c r="E1304" s="837" t="str">
        <f>IFERROR(IF(_xlfn.XLOOKUP(Imput[[#This Row],[RFC]],'Alta Proveedor'!D:D,'Alta Proveedor'!E:E)=0,"",_xlfn.XLOOKUP(Imput[[#This Row],[RFC]],'Alta Proveedor'!D:D,'Alta Proveedor'!E:E)),"")</f>
        <v>HOME DEPOT MEXICO SUCURSAL THD-8730 TAMPICO</v>
      </c>
      <c r="F1304" s="832" t="s">
        <v>4061</v>
      </c>
      <c r="G1304" s="187">
        <v>2</v>
      </c>
      <c r="H1304" s="1">
        <f>1118.53/Imput[[#This Row],[Cantidad]]</f>
        <v>559.26499999999999</v>
      </c>
      <c r="I1304" s="169">
        <f>Imput[[#This Row],[Cantidad]]*Imput[[#This Row],[Precio Unitario]]</f>
        <v>1118.53</v>
      </c>
      <c r="J1304" s="11">
        <f>((Imput[[#This Row],[Sub total]])*(0.16))</f>
        <v>178.9648</v>
      </c>
      <c r="K1304" s="11">
        <v>0</v>
      </c>
      <c r="L1304" s="169">
        <f>Imput[[#This Row],[Sub total]]+Imput[[#This Row],[IVA]]-Imput[[#This Row],[Retención / IEPS / Descuento]]</f>
        <v>1297.4947999999999</v>
      </c>
      <c r="M1304" s="844">
        <v>0</v>
      </c>
      <c r="N1304" s="189" t="s">
        <v>123</v>
      </c>
      <c r="O1304" s="1"/>
      <c r="P1304" s="189" t="s">
        <v>4041</v>
      </c>
      <c r="Q1304" s="190" t="s">
        <v>4042</v>
      </c>
      <c r="R1304" s="188">
        <v>45992</v>
      </c>
      <c r="S1304" s="193" t="s">
        <v>126</v>
      </c>
      <c r="T1304" s="192"/>
      <c r="U1304" s="829"/>
      <c r="V1304" s="10"/>
      <c r="W1304" s="10"/>
      <c r="X1304" s="10"/>
      <c r="Y1304" s="10"/>
      <c r="Z1304" s="10"/>
      <c r="AA1304" s="11"/>
      <c r="AB1304" s="11"/>
    </row>
    <row r="1305" spans="2:28" x14ac:dyDescent="0.3">
      <c r="B1305" s="10" t="s">
        <v>400</v>
      </c>
      <c r="C1305" s="315"/>
      <c r="D1305" s="868" t="s">
        <v>164</v>
      </c>
      <c r="E1305" s="837" t="str">
        <f>IFERROR(IF(_xlfn.XLOOKUP(Imput[[#This Row],[RFC]],'Alta Proveedor'!D:D,'Alta Proveedor'!E:E)=0,"",_xlfn.XLOOKUP(Imput[[#This Row],[RFC]],'Alta Proveedor'!D:D,'Alta Proveedor'!E:E)),"")</f>
        <v>HOME DEPOT MEXICO SUCURSAL THD-8730 TAMPICO</v>
      </c>
      <c r="F1305" s="832" t="s">
        <v>4062</v>
      </c>
      <c r="G1305" s="187">
        <v>1</v>
      </c>
      <c r="H1305" s="1">
        <v>128.66</v>
      </c>
      <c r="I1305" s="169">
        <f>Imput[[#This Row],[Cantidad]]*Imput[[#This Row],[Precio Unitario]]</f>
        <v>128.66</v>
      </c>
      <c r="J1305" s="11">
        <f>((Imput[[#This Row],[Sub total]])*(0.16))</f>
        <v>20.585599999999999</v>
      </c>
      <c r="K1305" s="11">
        <v>0</v>
      </c>
      <c r="L1305" s="169">
        <f>Imput[[#This Row],[Sub total]]+Imput[[#This Row],[IVA]]-Imput[[#This Row],[Retención / IEPS / Descuento]]</f>
        <v>149.2456</v>
      </c>
      <c r="M1305" s="844">
        <v>0</v>
      </c>
      <c r="N1305" s="189" t="s">
        <v>123</v>
      </c>
      <c r="O1305" s="1"/>
      <c r="P1305" s="189" t="s">
        <v>4041</v>
      </c>
      <c r="Q1305" s="190" t="s">
        <v>4042</v>
      </c>
      <c r="R1305" s="188">
        <v>45992</v>
      </c>
      <c r="S1305" s="193" t="s">
        <v>126</v>
      </c>
      <c r="T1305" s="192"/>
      <c r="U1305" s="829"/>
      <c r="V1305" s="10"/>
      <c r="W1305" s="10"/>
      <c r="X1305" s="10"/>
      <c r="Y1305" s="10"/>
      <c r="Z1305" s="10"/>
      <c r="AA1305" s="11"/>
      <c r="AB1305" s="11"/>
    </row>
    <row r="1306" spans="2:28" x14ac:dyDescent="0.3">
      <c r="B1306" s="10" t="s">
        <v>400</v>
      </c>
      <c r="C1306" s="315"/>
      <c r="D1306" s="868" t="s">
        <v>164</v>
      </c>
      <c r="E1306" s="837" t="str">
        <f>IFERROR(IF(_xlfn.XLOOKUP(Imput[[#This Row],[RFC]],'Alta Proveedor'!D:D,'Alta Proveedor'!E:E)=0,"",_xlfn.XLOOKUP(Imput[[#This Row],[RFC]],'Alta Proveedor'!D:D,'Alta Proveedor'!E:E)),"")</f>
        <v>HOME DEPOT MEXICO SUCURSAL THD-8730 TAMPICO</v>
      </c>
      <c r="F1306" s="832" t="s">
        <v>4065</v>
      </c>
      <c r="G1306" s="187">
        <v>1</v>
      </c>
      <c r="H1306" s="1">
        <v>789.91</v>
      </c>
      <c r="I1306" s="169">
        <f>Imput[[#This Row],[Cantidad]]*Imput[[#This Row],[Precio Unitario]]</f>
        <v>789.91</v>
      </c>
      <c r="J1306" s="11">
        <f>((Imput[[#This Row],[Sub total]])*(0.16))</f>
        <v>126.3856</v>
      </c>
      <c r="K1306" s="11">
        <v>0</v>
      </c>
      <c r="L1306" s="169">
        <f>Imput[[#This Row],[Sub total]]+Imput[[#This Row],[IVA]]-Imput[[#This Row],[Retención / IEPS / Descuento]]</f>
        <v>916.29559999999992</v>
      </c>
      <c r="M1306" s="844">
        <v>10195.995000000001</v>
      </c>
      <c r="N1306" s="189" t="s">
        <v>123</v>
      </c>
      <c r="O1306" s="1"/>
      <c r="P1306" s="189" t="s">
        <v>4063</v>
      </c>
      <c r="Q1306" s="190" t="s">
        <v>4064</v>
      </c>
      <c r="R1306" s="188">
        <v>45992</v>
      </c>
      <c r="S1306" s="193" t="s">
        <v>126</v>
      </c>
      <c r="T1306" s="192"/>
      <c r="U1306" s="829"/>
      <c r="V1306" s="10"/>
      <c r="W1306" s="10"/>
      <c r="X1306" s="10"/>
      <c r="Y1306" s="10"/>
      <c r="Z1306" s="10"/>
      <c r="AA1306" s="11"/>
      <c r="AB1306" s="11"/>
    </row>
    <row r="1307" spans="2:28" x14ac:dyDescent="0.3">
      <c r="B1307" s="10" t="s">
        <v>400</v>
      </c>
      <c r="C1307" s="315"/>
      <c r="D1307" s="868" t="s">
        <v>164</v>
      </c>
      <c r="E1307" s="837" t="str">
        <f>IFERROR(IF(_xlfn.XLOOKUP(Imput[[#This Row],[RFC]],'Alta Proveedor'!D:D,'Alta Proveedor'!E:E)=0,"",_xlfn.XLOOKUP(Imput[[#This Row],[RFC]],'Alta Proveedor'!D:D,'Alta Proveedor'!E:E)),"")</f>
        <v>HOME DEPOT MEXICO SUCURSAL THD-8730 TAMPICO</v>
      </c>
      <c r="F1307" s="832" t="s">
        <v>4066</v>
      </c>
      <c r="G1307" s="187">
        <v>1</v>
      </c>
      <c r="H1307" s="1">
        <v>7714.66</v>
      </c>
      <c r="I1307" s="169">
        <f>Imput[[#This Row],[Cantidad]]*Imput[[#This Row],[Precio Unitario]]</f>
        <v>7714.66</v>
      </c>
      <c r="J1307" s="11">
        <f>((Imput[[#This Row],[Sub total]]-1163.8)*(0.16))+0.001</f>
        <v>1048.1386</v>
      </c>
      <c r="K1307" s="11">
        <v>1163.8</v>
      </c>
      <c r="L1307" s="169">
        <f>Imput[[#This Row],[Sub total]]+Imput[[#This Row],[IVA]]-Imput[[#This Row],[Retención / IEPS / Descuento]]</f>
        <v>7598.9985999999999</v>
      </c>
      <c r="M1307" s="844">
        <v>0</v>
      </c>
      <c r="N1307" s="189" t="s">
        <v>123</v>
      </c>
      <c r="O1307" s="1"/>
      <c r="P1307" s="189" t="s">
        <v>4063</v>
      </c>
      <c r="Q1307" s="190" t="s">
        <v>4064</v>
      </c>
      <c r="R1307" s="188">
        <v>45992</v>
      </c>
      <c r="S1307" s="193" t="s">
        <v>126</v>
      </c>
      <c r="T1307" s="192"/>
      <c r="U1307" s="829"/>
      <c r="V1307" s="10"/>
      <c r="W1307" s="10"/>
      <c r="X1307" s="10"/>
      <c r="Y1307" s="10"/>
      <c r="Z1307" s="10"/>
      <c r="AA1307" s="11"/>
      <c r="AB1307" s="11"/>
    </row>
    <row r="1308" spans="2:28" x14ac:dyDescent="0.3">
      <c r="B1308" s="10" t="s">
        <v>400</v>
      </c>
      <c r="C1308" s="315"/>
      <c r="D1308" s="868" t="s">
        <v>164</v>
      </c>
      <c r="E1308" s="837" t="str">
        <f>IFERROR(IF(_xlfn.XLOOKUP(Imput[[#This Row],[RFC]],'Alta Proveedor'!D:D,'Alta Proveedor'!E:E)=0,"",_xlfn.XLOOKUP(Imput[[#This Row],[RFC]],'Alta Proveedor'!D:D,'Alta Proveedor'!E:E)),"")</f>
        <v>HOME DEPOT MEXICO SUCURSAL THD-8730 TAMPICO</v>
      </c>
      <c r="F1308" s="832" t="s">
        <v>4067</v>
      </c>
      <c r="G1308" s="187">
        <v>1</v>
      </c>
      <c r="H1308" s="1">
        <v>1448.88</v>
      </c>
      <c r="I1308" s="169">
        <f>Imput[[#This Row],[Cantidad]]*Imput[[#This Row],[Precio Unitario]]</f>
        <v>1448.88</v>
      </c>
      <c r="J1308" s="11">
        <f>((Imput[[#This Row],[Sub total]])*(0.16))</f>
        <v>231.82080000000002</v>
      </c>
      <c r="K1308" s="11">
        <v>0</v>
      </c>
      <c r="L1308" s="169">
        <f>Imput[[#This Row],[Sub total]]+Imput[[#This Row],[IVA]]-Imput[[#This Row],[Retención / IEPS / Descuento]]</f>
        <v>1680.7008000000001</v>
      </c>
      <c r="M1308" s="844">
        <v>0</v>
      </c>
      <c r="N1308" s="189" t="s">
        <v>123</v>
      </c>
      <c r="O1308" s="1"/>
      <c r="P1308" s="189" t="s">
        <v>4063</v>
      </c>
      <c r="Q1308" s="190" t="s">
        <v>4064</v>
      </c>
      <c r="R1308" s="188">
        <v>45992</v>
      </c>
      <c r="S1308" s="193" t="s">
        <v>126</v>
      </c>
      <c r="T1308" s="192"/>
      <c r="U1308" s="829"/>
      <c r="V1308" s="10"/>
      <c r="W1308" s="10"/>
      <c r="X1308" s="10"/>
      <c r="Y1308" s="10"/>
      <c r="Z1308" s="10"/>
      <c r="AA1308" s="11"/>
      <c r="AB1308" s="11"/>
    </row>
    <row r="1309" spans="2:28" x14ac:dyDescent="0.3">
      <c r="B1309" s="10" t="s">
        <v>400</v>
      </c>
      <c r="C1309" s="315"/>
      <c r="D1309" s="868" t="s">
        <v>4087</v>
      </c>
      <c r="E1309" s="837" t="str">
        <f>IFERROR(IF(_xlfn.XLOOKUP(Imput[[#This Row],[RFC]],'Alta Proveedor'!D:D,'Alta Proveedor'!E:E)=0,"",_xlfn.XLOOKUP(Imput[[#This Row],[RFC]],'Alta Proveedor'!D:D,'Alta Proveedor'!E:E)),"")</f>
        <v>HOME DEPOT MEXICO SUCURSAL 8756- ALTAMIRA</v>
      </c>
      <c r="F1309" s="832" t="s">
        <v>4070</v>
      </c>
      <c r="G1309" s="187">
        <v>1</v>
      </c>
      <c r="H1309" s="1">
        <v>430.17</v>
      </c>
      <c r="I1309" s="169">
        <f>Imput[[#This Row],[Cantidad]]*Imput[[#This Row],[Precio Unitario]]</f>
        <v>430.17</v>
      </c>
      <c r="J1309" s="11">
        <f>((Imput[[#This Row],[Sub total]])*(0.16))</f>
        <v>68.827200000000005</v>
      </c>
      <c r="K1309" s="11">
        <v>0</v>
      </c>
      <c r="L1309" s="169">
        <f>Imput[[#This Row],[Sub total]]+Imput[[#This Row],[IVA]]-Imput[[#This Row],[Retención / IEPS / Descuento]]</f>
        <v>498.99720000000002</v>
      </c>
      <c r="M1309" s="844">
        <v>498.99720000000002</v>
      </c>
      <c r="N1309" s="189" t="s">
        <v>123</v>
      </c>
      <c r="O1309" s="1"/>
      <c r="P1309" s="189" t="s">
        <v>4068</v>
      </c>
      <c r="Q1309" s="190" t="s">
        <v>4069</v>
      </c>
      <c r="R1309" s="188">
        <v>45992</v>
      </c>
      <c r="S1309" s="193" t="s">
        <v>126</v>
      </c>
      <c r="T1309" s="192"/>
      <c r="U1309" s="829"/>
      <c r="V1309" s="10"/>
      <c r="W1309" s="10"/>
      <c r="X1309" s="10"/>
      <c r="Y1309" s="10"/>
      <c r="Z1309" s="10"/>
      <c r="AA1309" s="11"/>
      <c r="AB1309" s="11"/>
    </row>
    <row r="1310" spans="2:28" x14ac:dyDescent="0.3">
      <c r="B1310" s="10" t="s">
        <v>400</v>
      </c>
      <c r="C1310" s="315"/>
      <c r="D1310" s="868" t="s">
        <v>4089</v>
      </c>
      <c r="E1310" s="837" t="str">
        <f>IFERROR(IF(_xlfn.XLOOKUP(Imput[[#This Row],[RFC]],'Alta Proveedor'!D:D,'Alta Proveedor'!E:E)=0,"",_xlfn.XLOOKUP(Imput[[#This Row],[RFC]],'Alta Proveedor'!D:D,'Alta Proveedor'!E:E)),"")</f>
        <v>HOME DEPOT MEXICO SUCURSAL 8757-CD.VICTORIA</v>
      </c>
      <c r="F1310" s="832" t="s">
        <v>4073</v>
      </c>
      <c r="G1310" s="187">
        <v>1</v>
      </c>
      <c r="H1310" s="1">
        <v>590.53</v>
      </c>
      <c r="I1310" s="169">
        <f>Imput[[#This Row],[Cantidad]]*Imput[[#This Row],[Precio Unitario]]</f>
        <v>590.53</v>
      </c>
      <c r="J1310" s="11">
        <f>((Imput[[#This Row],[Sub total]])*(0.16))</f>
        <v>94.484799999999993</v>
      </c>
      <c r="K1310" s="11">
        <v>0</v>
      </c>
      <c r="L1310" s="169">
        <f>Imput[[#This Row],[Sub total]]+Imput[[#This Row],[IVA]]-Imput[[#This Row],[Retención / IEPS / Descuento]]</f>
        <v>685.01479999999992</v>
      </c>
      <c r="M1310" s="844">
        <v>3591.9515999999999</v>
      </c>
      <c r="N1310" s="189" t="s">
        <v>123</v>
      </c>
      <c r="O1310" s="1"/>
      <c r="P1310" s="189" t="s">
        <v>4071</v>
      </c>
      <c r="Q1310" s="190" t="s">
        <v>4072</v>
      </c>
      <c r="R1310" s="188">
        <v>45994</v>
      </c>
      <c r="S1310" s="193" t="s">
        <v>126</v>
      </c>
      <c r="T1310" s="192"/>
      <c r="U1310" s="829"/>
      <c r="V1310" s="10"/>
      <c r="W1310" s="10"/>
      <c r="X1310" s="10"/>
      <c r="Y1310" s="10"/>
      <c r="Z1310" s="10"/>
      <c r="AA1310" s="11"/>
      <c r="AB1310" s="11"/>
    </row>
    <row r="1311" spans="2:28" x14ac:dyDescent="0.3">
      <c r="B1311" s="10" t="s">
        <v>400</v>
      </c>
      <c r="C1311" s="315"/>
      <c r="D1311" s="868" t="s">
        <v>4089</v>
      </c>
      <c r="E1311" s="837" t="str">
        <f>IFERROR(IF(_xlfn.XLOOKUP(Imput[[#This Row],[RFC]],'Alta Proveedor'!D:D,'Alta Proveedor'!E:E)=0,"",_xlfn.XLOOKUP(Imput[[#This Row],[RFC]],'Alta Proveedor'!D:D,'Alta Proveedor'!E:E)),"")</f>
        <v>HOME DEPOT MEXICO SUCURSAL 8757-CD.VICTORIA</v>
      </c>
      <c r="F1311" s="832" t="s">
        <v>3628</v>
      </c>
      <c r="G1311" s="187">
        <v>6</v>
      </c>
      <c r="H1311" s="1">
        <f>887.02/Imput[[#This Row],[Cantidad]]</f>
        <v>147.83666666666667</v>
      </c>
      <c r="I1311" s="169">
        <f>Imput[[#This Row],[Cantidad]]*Imput[[#This Row],[Precio Unitario]]</f>
        <v>887.02</v>
      </c>
      <c r="J1311" s="11">
        <f>((Imput[[#This Row],[Sub total]])*(0.16))</f>
        <v>141.92320000000001</v>
      </c>
      <c r="K1311" s="11">
        <v>0</v>
      </c>
      <c r="L1311" s="169">
        <f>Imput[[#This Row],[Sub total]]+Imput[[#This Row],[IVA]]-Imput[[#This Row],[Retención / IEPS / Descuento]]</f>
        <v>1028.9431999999999</v>
      </c>
      <c r="M1311" s="844">
        <v>0</v>
      </c>
      <c r="N1311" s="189" t="s">
        <v>123</v>
      </c>
      <c r="O1311" s="1"/>
      <c r="P1311" s="189" t="s">
        <v>4071</v>
      </c>
      <c r="Q1311" s="190" t="s">
        <v>4072</v>
      </c>
      <c r="R1311" s="188">
        <v>45994</v>
      </c>
      <c r="S1311" s="193" t="s">
        <v>126</v>
      </c>
      <c r="T1311" s="192"/>
      <c r="U1311" s="829"/>
      <c r="V1311" s="10"/>
      <c r="W1311" s="10"/>
      <c r="X1311" s="10"/>
      <c r="Y1311" s="10"/>
      <c r="Z1311" s="10"/>
      <c r="AA1311" s="11"/>
      <c r="AB1311" s="11"/>
    </row>
    <row r="1312" spans="2:28" x14ac:dyDescent="0.3">
      <c r="B1312" s="10" t="s">
        <v>400</v>
      </c>
      <c r="C1312" s="315"/>
      <c r="D1312" s="868" t="s">
        <v>4089</v>
      </c>
      <c r="E1312" s="837" t="str">
        <f>IFERROR(IF(_xlfn.XLOOKUP(Imput[[#This Row],[RFC]],'Alta Proveedor'!D:D,'Alta Proveedor'!E:E)=0,"",_xlfn.XLOOKUP(Imput[[#This Row],[RFC]],'Alta Proveedor'!D:D,'Alta Proveedor'!E:E)),"")</f>
        <v>HOME DEPOT MEXICO SUCURSAL 8757-CD.VICTORIA</v>
      </c>
      <c r="F1312" s="832" t="s">
        <v>3848</v>
      </c>
      <c r="G1312" s="187">
        <v>15</v>
      </c>
      <c r="H1312" s="1">
        <f>196.55/Imput[[#This Row],[Cantidad]]</f>
        <v>13.103333333333333</v>
      </c>
      <c r="I1312" s="169">
        <f>Imput[[#This Row],[Cantidad]]*Imput[[#This Row],[Precio Unitario]]</f>
        <v>196.55</v>
      </c>
      <c r="J1312" s="11">
        <f>((Imput[[#This Row],[Sub total]])*(0.16))</f>
        <v>31.448000000000004</v>
      </c>
      <c r="K1312" s="11">
        <v>0</v>
      </c>
      <c r="L1312" s="169">
        <f>Imput[[#This Row],[Sub total]]+Imput[[#This Row],[IVA]]-Imput[[#This Row],[Retención / IEPS / Descuento]]</f>
        <v>227.99800000000002</v>
      </c>
      <c r="M1312" s="844">
        <v>0</v>
      </c>
      <c r="N1312" s="189" t="s">
        <v>123</v>
      </c>
      <c r="O1312" s="1"/>
      <c r="P1312" s="189" t="s">
        <v>4071</v>
      </c>
      <c r="Q1312" s="190" t="s">
        <v>4072</v>
      </c>
      <c r="R1312" s="188">
        <v>45994</v>
      </c>
      <c r="S1312" s="193" t="s">
        <v>126</v>
      </c>
      <c r="T1312" s="192"/>
      <c r="U1312" s="829"/>
      <c r="V1312" s="10"/>
      <c r="W1312" s="10"/>
      <c r="X1312" s="10"/>
      <c r="Y1312" s="10"/>
      <c r="Z1312" s="10"/>
      <c r="AA1312" s="11"/>
      <c r="AB1312" s="11"/>
    </row>
    <row r="1313" spans="2:28" x14ac:dyDescent="0.3">
      <c r="B1313" s="10" t="s">
        <v>400</v>
      </c>
      <c r="C1313" s="315"/>
      <c r="D1313" s="868" t="s">
        <v>164</v>
      </c>
      <c r="E1313" s="837" t="str">
        <f>IFERROR(IF(_xlfn.XLOOKUP(Imput[[#This Row],[RFC]],'Alta Proveedor'!D:D,'Alta Proveedor'!E:E)=0,"",_xlfn.XLOOKUP(Imput[[#This Row],[RFC]],'Alta Proveedor'!D:D,'Alta Proveedor'!E:E)),"")</f>
        <v>HOME DEPOT MEXICO SUCURSAL THD-8730 TAMPICO</v>
      </c>
      <c r="F1313" s="832" t="s">
        <v>4074</v>
      </c>
      <c r="G1313" s="187">
        <v>20</v>
      </c>
      <c r="H1313" s="1">
        <f>638.79/Imput[[#This Row],[Cantidad]]</f>
        <v>31.939499999999999</v>
      </c>
      <c r="I1313" s="169">
        <f>Imput[[#This Row],[Cantidad]]*Imput[[#This Row],[Precio Unitario]]</f>
        <v>638.79</v>
      </c>
      <c r="J1313" s="11">
        <f>((Imput[[#This Row],[Sub total]])*(0.16))</f>
        <v>102.2064</v>
      </c>
      <c r="K1313" s="11">
        <v>0</v>
      </c>
      <c r="L1313" s="169">
        <f>Imput[[#This Row],[Sub total]]+Imput[[#This Row],[IVA]]-Imput[[#This Row],[Retención / IEPS / Descuento]]</f>
        <v>740.99639999999999</v>
      </c>
      <c r="M1313" s="844">
        <v>0</v>
      </c>
      <c r="N1313" s="189" t="s">
        <v>123</v>
      </c>
      <c r="O1313" s="1"/>
      <c r="P1313" s="189" t="s">
        <v>4071</v>
      </c>
      <c r="Q1313" s="190" t="s">
        <v>4072</v>
      </c>
      <c r="R1313" s="188">
        <v>45994</v>
      </c>
      <c r="S1313" s="193" t="s">
        <v>126</v>
      </c>
      <c r="T1313" s="192"/>
      <c r="U1313" s="829"/>
      <c r="V1313" s="10"/>
      <c r="W1313" s="10"/>
      <c r="X1313" s="10"/>
      <c r="Y1313" s="10"/>
      <c r="Z1313" s="10"/>
      <c r="AA1313" s="11"/>
      <c r="AB1313" s="11"/>
    </row>
    <row r="1314" spans="2:28" x14ac:dyDescent="0.3">
      <c r="B1314" s="10" t="s">
        <v>400</v>
      </c>
      <c r="C1314" s="315"/>
      <c r="D1314" s="868" t="s">
        <v>4089</v>
      </c>
      <c r="E1314" s="837" t="str">
        <f>IFERROR(IF(_xlfn.XLOOKUP(Imput[[#This Row],[RFC]],'Alta Proveedor'!D:D,'Alta Proveedor'!E:E)=0,"",_xlfn.XLOOKUP(Imput[[#This Row],[RFC]],'Alta Proveedor'!D:D,'Alta Proveedor'!E:E)),"")</f>
        <v>HOME DEPOT MEXICO SUCURSAL 8757-CD.VICTORIA</v>
      </c>
      <c r="F1314" s="832" t="s">
        <v>3862</v>
      </c>
      <c r="G1314" s="187">
        <v>5</v>
      </c>
      <c r="H1314" s="1">
        <f>783.62/Imput[[#This Row],[Cantidad]]</f>
        <v>156.72399999999999</v>
      </c>
      <c r="I1314" s="169">
        <f>Imput[[#This Row],[Cantidad]]*Imput[[#This Row],[Precio Unitario]]</f>
        <v>783.61999999999989</v>
      </c>
      <c r="J1314" s="11">
        <f>((Imput[[#This Row],[Sub total]])*(0.16))</f>
        <v>125.37919999999998</v>
      </c>
      <c r="K1314" s="11">
        <v>0</v>
      </c>
      <c r="L1314" s="169">
        <f>Imput[[#This Row],[Sub total]]+Imput[[#This Row],[IVA]]-Imput[[#This Row],[Retención / IEPS / Descuento]]</f>
        <v>908.99919999999986</v>
      </c>
      <c r="M1314" s="844">
        <v>0</v>
      </c>
      <c r="N1314" s="189" t="s">
        <v>123</v>
      </c>
      <c r="O1314" s="1"/>
      <c r="P1314" s="189" t="s">
        <v>4071</v>
      </c>
      <c r="Q1314" s="190" t="s">
        <v>4072</v>
      </c>
      <c r="R1314" s="188">
        <v>45994</v>
      </c>
      <c r="S1314" s="193" t="s">
        <v>126</v>
      </c>
      <c r="T1314" s="192"/>
      <c r="U1314" s="829"/>
      <c r="V1314" s="10"/>
      <c r="W1314" s="10"/>
      <c r="X1314" s="10"/>
      <c r="Y1314" s="10"/>
      <c r="Z1314" s="10"/>
      <c r="AA1314" s="11"/>
      <c r="AB1314" s="11"/>
    </row>
    <row r="1315" spans="2:28" x14ac:dyDescent="0.3">
      <c r="B1315" s="10" t="s">
        <v>400</v>
      </c>
      <c r="C1315" s="315"/>
      <c r="D1315" s="868" t="s">
        <v>164</v>
      </c>
      <c r="E1315" s="837" t="str">
        <f>IFERROR(IF(_xlfn.XLOOKUP(Imput[[#This Row],[RFC]],'Alta Proveedor'!D:D,'Alta Proveedor'!E:E)=0,"",_xlfn.XLOOKUP(Imput[[#This Row],[RFC]],'Alta Proveedor'!D:D,'Alta Proveedor'!E:E)),"")</f>
        <v>HOME DEPOT MEXICO SUCURSAL THD-8730 TAMPICO</v>
      </c>
      <c r="F1315" s="832" t="s">
        <v>4077</v>
      </c>
      <c r="G1315" s="187">
        <v>4</v>
      </c>
      <c r="H1315" s="1">
        <f>1913.79/Imput[[#This Row],[Cantidad]]</f>
        <v>478.44749999999999</v>
      </c>
      <c r="I1315" s="169">
        <f>Imput[[#This Row],[Cantidad]]*Imput[[#This Row],[Precio Unitario]]</f>
        <v>1913.79</v>
      </c>
      <c r="J1315" s="11">
        <f>((Imput[[#This Row],[Sub total]])*(0.16))</f>
        <v>306.20639999999997</v>
      </c>
      <c r="K1315" s="11">
        <v>0</v>
      </c>
      <c r="L1315" s="169">
        <f>Imput[[#This Row],[Sub total]]+Imput[[#This Row],[IVA]]-Imput[[#This Row],[Retención / IEPS / Descuento]]</f>
        <v>2219.9964</v>
      </c>
      <c r="M1315" s="844">
        <v>2814.9951999999998</v>
      </c>
      <c r="N1315" s="189" t="s">
        <v>123</v>
      </c>
      <c r="O1315" s="1"/>
      <c r="P1315" s="189" t="s">
        <v>4075</v>
      </c>
      <c r="Q1315" s="190" t="s">
        <v>4076</v>
      </c>
      <c r="R1315" s="188">
        <v>45999</v>
      </c>
      <c r="S1315" s="193" t="s">
        <v>126</v>
      </c>
      <c r="T1315" s="192"/>
      <c r="U1315" s="829"/>
      <c r="V1315" s="10"/>
      <c r="W1315" s="10"/>
      <c r="X1315" s="10"/>
      <c r="Y1315" s="10"/>
      <c r="Z1315" s="10"/>
      <c r="AA1315" s="11"/>
      <c r="AB1315" s="11"/>
    </row>
    <row r="1316" spans="2:28" x14ac:dyDescent="0.3">
      <c r="B1316" s="10" t="s">
        <v>400</v>
      </c>
      <c r="C1316" s="315"/>
      <c r="D1316" s="868" t="s">
        <v>164</v>
      </c>
      <c r="E1316" s="837" t="str">
        <f>IFERROR(IF(_xlfn.XLOOKUP(Imput[[#This Row],[RFC]],'Alta Proveedor'!D:D,'Alta Proveedor'!E:E)=0,"",_xlfn.XLOOKUP(Imput[[#This Row],[RFC]],'Alta Proveedor'!D:D,'Alta Proveedor'!E:E)),"")</f>
        <v>HOME DEPOT MEXICO SUCURSAL THD-8730 TAMPICO</v>
      </c>
      <c r="F1316" s="832" t="s">
        <v>4078</v>
      </c>
      <c r="G1316" s="187">
        <v>1</v>
      </c>
      <c r="H1316" s="1">
        <v>512.92999999999995</v>
      </c>
      <c r="I1316" s="169">
        <f>Imput[[#This Row],[Cantidad]]*Imput[[#This Row],[Precio Unitario]]</f>
        <v>512.92999999999995</v>
      </c>
      <c r="J1316" s="11">
        <f>((Imput[[#This Row],[Sub total]])*(0.16))</f>
        <v>82.068799999999996</v>
      </c>
      <c r="K1316" s="11">
        <v>0</v>
      </c>
      <c r="L1316" s="169">
        <f>Imput[[#This Row],[Sub total]]+Imput[[#This Row],[IVA]]-Imput[[#This Row],[Retención / IEPS / Descuento]]</f>
        <v>594.99879999999996</v>
      </c>
      <c r="M1316" s="844">
        <v>0</v>
      </c>
      <c r="N1316" s="189" t="s">
        <v>123</v>
      </c>
      <c r="O1316" s="1"/>
      <c r="P1316" s="189" t="s">
        <v>4075</v>
      </c>
      <c r="Q1316" s="190" t="s">
        <v>4076</v>
      </c>
      <c r="R1316" s="188">
        <v>45999</v>
      </c>
      <c r="S1316" s="193" t="s">
        <v>126</v>
      </c>
      <c r="T1316" s="192"/>
      <c r="U1316" s="829"/>
      <c r="V1316" s="10"/>
      <c r="W1316" s="10"/>
      <c r="X1316" s="10"/>
      <c r="Y1316" s="10"/>
      <c r="Z1316" s="10"/>
      <c r="AA1316" s="11"/>
      <c r="AB1316" s="11"/>
    </row>
    <row r="1317" spans="2:28" x14ac:dyDescent="0.3">
      <c r="B1317" s="10" t="s">
        <v>400</v>
      </c>
      <c r="C1317" s="315"/>
      <c r="D1317" s="868" t="s">
        <v>4087</v>
      </c>
      <c r="E1317" s="837" t="str">
        <f>IFERROR(IF(_xlfn.XLOOKUP(Imput[[#This Row],[RFC]],'Alta Proveedor'!D:D,'Alta Proveedor'!E:E)=0,"",_xlfn.XLOOKUP(Imput[[#This Row],[RFC]],'Alta Proveedor'!D:D,'Alta Proveedor'!E:E)),"")</f>
        <v>HOME DEPOT MEXICO SUCURSAL 8756- ALTAMIRA</v>
      </c>
      <c r="F1317" s="832" t="s">
        <v>3848</v>
      </c>
      <c r="G1317" s="187">
        <v>34</v>
      </c>
      <c r="H1317" s="1">
        <f>468.97/Imput[[#This Row],[Cantidad]]</f>
        <v>13.793235294117649</v>
      </c>
      <c r="I1317" s="169">
        <f>Imput[[#This Row],[Cantidad]]*Imput[[#This Row],[Precio Unitario]]</f>
        <v>468.97</v>
      </c>
      <c r="J1317" s="11">
        <f>((Imput[[#This Row],[Sub total]])*(0.16))</f>
        <v>75.035200000000003</v>
      </c>
      <c r="K1317" s="11">
        <v>0</v>
      </c>
      <c r="L1317" s="169">
        <f>Imput[[#This Row],[Sub total]]+Imput[[#This Row],[IVA]]-Imput[[#This Row],[Retención / IEPS / Descuento]]</f>
        <v>544.00520000000006</v>
      </c>
      <c r="M1317" s="844">
        <v>2360.0084000000002</v>
      </c>
      <c r="N1317" s="189" t="s">
        <v>123</v>
      </c>
      <c r="O1317" s="1"/>
      <c r="P1317" s="189" t="s">
        <v>4079</v>
      </c>
      <c r="Q1317" s="190" t="s">
        <v>4080</v>
      </c>
      <c r="R1317" s="188">
        <v>45999</v>
      </c>
      <c r="S1317" s="193" t="s">
        <v>126</v>
      </c>
      <c r="T1317" s="192"/>
      <c r="U1317" s="829"/>
      <c r="V1317" s="10"/>
      <c r="W1317" s="10"/>
      <c r="X1317" s="10"/>
      <c r="Y1317" s="10"/>
      <c r="Z1317" s="10"/>
      <c r="AA1317" s="11"/>
      <c r="AB1317" s="11"/>
    </row>
    <row r="1318" spans="2:28" x14ac:dyDescent="0.3">
      <c r="B1318" s="10" t="s">
        <v>400</v>
      </c>
      <c r="C1318" s="315"/>
      <c r="D1318" s="868" t="s">
        <v>4087</v>
      </c>
      <c r="E1318" s="837" t="str">
        <f>IFERROR(IF(_xlfn.XLOOKUP(Imput[[#This Row],[RFC]],'Alta Proveedor'!D:D,'Alta Proveedor'!E:E)=0,"",_xlfn.XLOOKUP(Imput[[#This Row],[RFC]],'Alta Proveedor'!D:D,'Alta Proveedor'!E:E)),"")</f>
        <v>HOME DEPOT MEXICO SUCURSAL 8756- ALTAMIRA</v>
      </c>
      <c r="F1318" s="832" t="s">
        <v>4081</v>
      </c>
      <c r="G1318" s="187">
        <v>32</v>
      </c>
      <c r="H1318" s="1">
        <f>744.83/Imput[[#This Row],[Cantidad]]</f>
        <v>23.275937500000001</v>
      </c>
      <c r="I1318" s="169">
        <f>Imput[[#This Row],[Cantidad]]*Imput[[#This Row],[Precio Unitario]]</f>
        <v>744.83</v>
      </c>
      <c r="J1318" s="11">
        <f>((Imput[[#This Row],[Sub total]])*(0.16))</f>
        <v>119.17280000000001</v>
      </c>
      <c r="K1318" s="11">
        <v>0</v>
      </c>
      <c r="L1318" s="169">
        <f>Imput[[#This Row],[Sub total]]+Imput[[#This Row],[IVA]]-Imput[[#This Row],[Retención / IEPS / Descuento]]</f>
        <v>864.00280000000009</v>
      </c>
      <c r="M1318" s="844">
        <v>0</v>
      </c>
      <c r="N1318" s="189" t="s">
        <v>123</v>
      </c>
      <c r="O1318" s="1"/>
      <c r="P1318" s="189" t="s">
        <v>4079</v>
      </c>
      <c r="Q1318" s="190" t="s">
        <v>4080</v>
      </c>
      <c r="R1318" s="188">
        <v>45999</v>
      </c>
      <c r="S1318" s="193" t="s">
        <v>126</v>
      </c>
      <c r="T1318" s="192"/>
      <c r="U1318" s="829"/>
      <c r="V1318" s="10"/>
      <c r="W1318" s="10"/>
      <c r="X1318" s="10"/>
      <c r="Y1318" s="10"/>
      <c r="Z1318" s="10"/>
      <c r="AA1318" s="11"/>
      <c r="AB1318" s="11"/>
    </row>
    <row r="1319" spans="2:28" x14ac:dyDescent="0.3">
      <c r="B1319" s="10" t="s">
        <v>400</v>
      </c>
      <c r="C1319" s="315"/>
      <c r="D1319" s="868" t="s">
        <v>4087</v>
      </c>
      <c r="E1319" s="837" t="str">
        <f>IFERROR(IF(_xlfn.XLOOKUP(Imput[[#This Row],[RFC]],'Alta Proveedor'!D:D,'Alta Proveedor'!E:E)=0,"",_xlfn.XLOOKUP(Imput[[#This Row],[RFC]],'Alta Proveedor'!D:D,'Alta Proveedor'!E:E)),"")</f>
        <v>HOME DEPOT MEXICO SUCURSAL 8756- ALTAMIRA</v>
      </c>
      <c r="F1319" s="832" t="s">
        <v>4082</v>
      </c>
      <c r="G1319" s="187">
        <v>1</v>
      </c>
      <c r="H1319" s="1">
        <f>171.55/Imput[[#This Row],[Cantidad]]</f>
        <v>171.55</v>
      </c>
      <c r="I1319" s="169">
        <f>Imput[[#This Row],[Cantidad]]*Imput[[#This Row],[Precio Unitario]]</f>
        <v>171.55</v>
      </c>
      <c r="J1319" s="11">
        <f>((Imput[[#This Row],[Sub total]])*(0.16))</f>
        <v>27.448000000000004</v>
      </c>
      <c r="K1319" s="11">
        <v>0</v>
      </c>
      <c r="L1319" s="169">
        <f>Imput[[#This Row],[Sub total]]+Imput[[#This Row],[IVA]]-Imput[[#This Row],[Retención / IEPS / Descuento]]</f>
        <v>198.99800000000002</v>
      </c>
      <c r="M1319" s="844">
        <v>0</v>
      </c>
      <c r="N1319" s="189" t="s">
        <v>123</v>
      </c>
      <c r="O1319" s="1"/>
      <c r="P1319" s="189" t="s">
        <v>4079</v>
      </c>
      <c r="Q1319" s="190" t="s">
        <v>4080</v>
      </c>
      <c r="R1319" s="188">
        <v>45999</v>
      </c>
      <c r="S1319" s="193" t="s">
        <v>126</v>
      </c>
      <c r="T1319" s="192"/>
      <c r="U1319" s="829"/>
      <c r="V1319" s="10"/>
      <c r="W1319" s="10"/>
      <c r="X1319" s="10"/>
      <c r="Y1319" s="10"/>
      <c r="Z1319" s="10"/>
      <c r="AA1319" s="11"/>
      <c r="AB1319" s="11"/>
    </row>
    <row r="1320" spans="2:28" x14ac:dyDescent="0.3">
      <c r="B1320" s="10" t="s">
        <v>400</v>
      </c>
      <c r="C1320" s="315"/>
      <c r="D1320" s="868" t="s">
        <v>4087</v>
      </c>
      <c r="E1320" s="837" t="str">
        <f>IFERROR(IF(_xlfn.XLOOKUP(Imput[[#This Row],[RFC]],'Alta Proveedor'!D:D,'Alta Proveedor'!E:E)=0,"",_xlfn.XLOOKUP(Imput[[#This Row],[RFC]],'Alta Proveedor'!D:D,'Alta Proveedor'!E:E)),"")</f>
        <v>HOME DEPOT MEXICO SUCURSAL 8756- ALTAMIRA</v>
      </c>
      <c r="F1320" s="832" t="s">
        <v>3865</v>
      </c>
      <c r="G1320" s="187">
        <v>6</v>
      </c>
      <c r="H1320" s="1">
        <f>387.93/Imput[[#This Row],[Cantidad]]</f>
        <v>64.655000000000001</v>
      </c>
      <c r="I1320" s="169">
        <f>Imput[[#This Row],[Cantidad]]*Imput[[#This Row],[Precio Unitario]]</f>
        <v>387.93</v>
      </c>
      <c r="J1320" s="11">
        <f>((Imput[[#This Row],[Sub total]]-38.79)*(0.16))</f>
        <v>55.862400000000001</v>
      </c>
      <c r="K1320" s="11">
        <v>38.79</v>
      </c>
      <c r="L1320" s="169">
        <f>Imput[[#This Row],[Sub total]]+Imput[[#This Row],[IVA]]-Imput[[#This Row],[Retención / IEPS / Descuento]]</f>
        <v>405.00239999999997</v>
      </c>
      <c r="M1320" s="844">
        <v>0</v>
      </c>
      <c r="N1320" s="189" t="s">
        <v>123</v>
      </c>
      <c r="O1320" s="1"/>
      <c r="P1320" s="189" t="s">
        <v>4079</v>
      </c>
      <c r="Q1320" s="190" t="s">
        <v>4080</v>
      </c>
      <c r="R1320" s="188">
        <v>45999</v>
      </c>
      <c r="S1320" s="193" t="s">
        <v>126</v>
      </c>
      <c r="T1320" s="192"/>
      <c r="U1320" s="829"/>
      <c r="V1320" s="10"/>
      <c r="W1320" s="10"/>
      <c r="X1320" s="10"/>
      <c r="Y1320" s="10"/>
      <c r="Z1320" s="10"/>
      <c r="AA1320" s="11"/>
      <c r="AB1320" s="11"/>
    </row>
    <row r="1321" spans="2:28" x14ac:dyDescent="0.3">
      <c r="B1321" s="10" t="s">
        <v>400</v>
      </c>
      <c r="C1321" s="315"/>
      <c r="D1321" s="868" t="s">
        <v>4087</v>
      </c>
      <c r="E1321" s="837" t="str">
        <f>IFERROR(IF(_xlfn.XLOOKUP(Imput[[#This Row],[RFC]],'Alta Proveedor'!D:D,'Alta Proveedor'!E:E)=0,"",_xlfn.XLOOKUP(Imput[[#This Row],[RFC]],'Alta Proveedor'!D:D,'Alta Proveedor'!E:E)),"")</f>
        <v>HOME DEPOT MEXICO SUCURSAL 8756- ALTAMIRA</v>
      </c>
      <c r="F1321" s="832" t="s">
        <v>3850</v>
      </c>
      <c r="G1321" s="187">
        <v>6</v>
      </c>
      <c r="H1321" s="1">
        <f>206.9/Imput[[#This Row],[Cantidad]]</f>
        <v>34.483333333333334</v>
      </c>
      <c r="I1321" s="169">
        <f>Imput[[#This Row],[Cantidad]]*Imput[[#This Row],[Precio Unitario]]</f>
        <v>206.9</v>
      </c>
      <c r="J1321" s="11">
        <f>((Imput[[#This Row],[Sub total]]-20.69)*(0.16))</f>
        <v>29.793600000000001</v>
      </c>
      <c r="K1321" s="11">
        <v>20.69</v>
      </c>
      <c r="L1321" s="169">
        <f>Imput[[#This Row],[Sub total]]+Imput[[#This Row],[IVA]]-Imput[[#This Row],[Retención / IEPS / Descuento]]</f>
        <v>216.00360000000001</v>
      </c>
      <c r="M1321" s="844">
        <v>0</v>
      </c>
      <c r="N1321" s="189" t="s">
        <v>123</v>
      </c>
      <c r="O1321" s="1"/>
      <c r="P1321" s="189" t="s">
        <v>4079</v>
      </c>
      <c r="Q1321" s="190" t="s">
        <v>4080</v>
      </c>
      <c r="R1321" s="188">
        <v>45999</v>
      </c>
      <c r="S1321" s="193" t="s">
        <v>126</v>
      </c>
      <c r="T1321" s="192"/>
      <c r="U1321" s="829"/>
      <c r="V1321" s="10"/>
      <c r="W1321" s="10"/>
      <c r="X1321" s="10"/>
      <c r="Y1321" s="10"/>
      <c r="Z1321" s="10"/>
      <c r="AA1321" s="11"/>
      <c r="AB1321" s="11"/>
    </row>
    <row r="1322" spans="2:28" x14ac:dyDescent="0.3">
      <c r="B1322" s="10" t="s">
        <v>400</v>
      </c>
      <c r="C1322" s="315"/>
      <c r="D1322" s="868" t="s">
        <v>4087</v>
      </c>
      <c r="E1322" s="837" t="str">
        <f>IFERROR(IF(_xlfn.XLOOKUP(Imput[[#This Row],[RFC]],'Alta Proveedor'!D:D,'Alta Proveedor'!E:E)=0,"",_xlfn.XLOOKUP(Imput[[#This Row],[RFC]],'Alta Proveedor'!D:D,'Alta Proveedor'!E:E)),"")</f>
        <v>HOME DEPOT MEXICO SUCURSAL 8756- ALTAMIRA</v>
      </c>
      <c r="F1322" s="832" t="s">
        <v>4083</v>
      </c>
      <c r="G1322" s="187">
        <v>3</v>
      </c>
      <c r="H1322" s="1">
        <f>142.24/Imput[[#This Row],[Cantidad]]</f>
        <v>47.413333333333334</v>
      </c>
      <c r="I1322" s="169">
        <f>Imput[[#This Row],[Cantidad]]*Imput[[#This Row],[Precio Unitario]]</f>
        <v>142.24</v>
      </c>
      <c r="J1322" s="11">
        <f>((Imput[[#This Row],[Sub total]]-28.45)*(0.16))</f>
        <v>18.206400000000002</v>
      </c>
      <c r="K1322" s="11">
        <v>28.45</v>
      </c>
      <c r="L1322" s="169">
        <f>Imput[[#This Row],[Sub total]]+Imput[[#This Row],[IVA]]-Imput[[#This Row],[Retención / IEPS / Descuento]]</f>
        <v>131.99640000000002</v>
      </c>
      <c r="M1322" s="844">
        <v>0</v>
      </c>
      <c r="N1322" s="189" t="s">
        <v>123</v>
      </c>
      <c r="O1322" s="1"/>
      <c r="P1322" s="189" t="s">
        <v>4079</v>
      </c>
      <c r="Q1322" s="190" t="s">
        <v>4080</v>
      </c>
      <c r="R1322" s="188">
        <v>45999</v>
      </c>
      <c r="S1322" s="193" t="s">
        <v>126</v>
      </c>
      <c r="T1322" s="192"/>
      <c r="U1322" s="829"/>
      <c r="V1322" s="10"/>
      <c r="W1322" s="10"/>
      <c r="X1322" s="10"/>
      <c r="Y1322" s="10"/>
      <c r="Z1322" s="10"/>
      <c r="AA1322" s="11"/>
      <c r="AB1322" s="11"/>
    </row>
    <row r="1323" spans="2:28" x14ac:dyDescent="0.3">
      <c r="B1323" s="10" t="s">
        <v>400</v>
      </c>
      <c r="C1323" s="315"/>
      <c r="D1323" s="868" t="s">
        <v>4087</v>
      </c>
      <c r="E1323" s="837" t="str">
        <f>IFERROR(IF(_xlfn.XLOOKUP(Imput[[#This Row],[RFC]],'Alta Proveedor'!D:D,'Alta Proveedor'!E:E)=0,"",_xlfn.XLOOKUP(Imput[[#This Row],[RFC]],'Alta Proveedor'!D:D,'Alta Proveedor'!E:E)),"")</f>
        <v>HOME DEPOT MEXICO SUCURSAL 8756- ALTAMIRA</v>
      </c>
      <c r="F1323" s="832" t="s">
        <v>4074</v>
      </c>
      <c r="G1323" s="187">
        <v>14</v>
      </c>
      <c r="H1323" s="1">
        <f>470.69/Imput[[#This Row],[Cantidad]]</f>
        <v>33.620714285714286</v>
      </c>
      <c r="I1323" s="169">
        <f>Imput[[#This Row],[Cantidad]]*Imput[[#This Row],[Precio Unitario]]</f>
        <v>470.69</v>
      </c>
      <c r="J1323" s="11">
        <f>((Imput[[#This Row],[Sub total]])*(0.16))</f>
        <v>75.310400000000001</v>
      </c>
      <c r="K1323" s="11">
        <v>0</v>
      </c>
      <c r="L1323" s="169">
        <f>Imput[[#This Row],[Sub total]]+Imput[[#This Row],[IVA]]-Imput[[#This Row],[Retención / IEPS / Descuento]]</f>
        <v>546.00040000000001</v>
      </c>
      <c r="M1323" s="844">
        <v>546.00040000000001</v>
      </c>
      <c r="N1323" s="189" t="s">
        <v>123</v>
      </c>
      <c r="O1323" s="1"/>
      <c r="P1323" s="189" t="s">
        <v>4084</v>
      </c>
      <c r="Q1323" s="190" t="s">
        <v>4085</v>
      </c>
      <c r="R1323" s="188">
        <v>45999</v>
      </c>
      <c r="S1323" s="193" t="s">
        <v>126</v>
      </c>
      <c r="T1323" s="192"/>
      <c r="U1323" s="829"/>
      <c r="V1323" s="10"/>
      <c r="W1323" s="10"/>
      <c r="X1323" s="10"/>
      <c r="Y1323" s="10"/>
      <c r="Z1323" s="10"/>
      <c r="AA1323" s="11"/>
      <c r="AB1323" s="11"/>
    </row>
    <row r="1324" spans="2:28" x14ac:dyDescent="0.3">
      <c r="B1324" s="10" t="s">
        <v>400</v>
      </c>
      <c r="C1324" s="315"/>
      <c r="D1324" s="868" t="s">
        <v>4087</v>
      </c>
      <c r="E1324" s="837" t="str">
        <f>IFERROR(IF(_xlfn.XLOOKUP(Imput[[#This Row],[RFC]],'Alta Proveedor'!D:D,'Alta Proveedor'!E:E)=0,"",_xlfn.XLOOKUP(Imput[[#This Row],[RFC]],'Alta Proveedor'!D:D,'Alta Proveedor'!E:E)),"")</f>
        <v>HOME DEPOT MEXICO SUCURSAL 8756- ALTAMIRA</v>
      </c>
      <c r="F1324" s="832" t="s">
        <v>3628</v>
      </c>
      <c r="G1324" s="187">
        <v>6</v>
      </c>
      <c r="H1324" s="1">
        <f>887.02/Imput[[#This Row],[Cantidad]]</f>
        <v>147.83666666666667</v>
      </c>
      <c r="I1324" s="169">
        <f>Imput[[#This Row],[Cantidad]]*Imput[[#This Row],[Precio Unitario]]</f>
        <v>887.02</v>
      </c>
      <c r="J1324" s="11">
        <f>((Imput[[#This Row],[Sub total]])*(0.16))</f>
        <v>141.92320000000001</v>
      </c>
      <c r="K1324" s="11">
        <v>0</v>
      </c>
      <c r="L1324" s="169">
        <f>Imput[[#This Row],[Sub total]]+Imput[[#This Row],[IVA]]-Imput[[#This Row],[Retención / IEPS / Descuento]]</f>
        <v>1028.9431999999999</v>
      </c>
      <c r="M1324" s="844">
        <v>2285.4435999999996</v>
      </c>
      <c r="N1324" s="189" t="s">
        <v>123</v>
      </c>
      <c r="O1324" s="1"/>
      <c r="P1324" s="189" t="s">
        <v>4090</v>
      </c>
      <c r="Q1324" s="190" t="s">
        <v>4091</v>
      </c>
      <c r="R1324" s="188">
        <v>46001</v>
      </c>
      <c r="S1324" s="193" t="s">
        <v>126</v>
      </c>
      <c r="T1324" s="192"/>
      <c r="U1324" s="829"/>
      <c r="V1324" s="10"/>
      <c r="W1324" s="10"/>
      <c r="X1324" s="10"/>
      <c r="Y1324" s="10"/>
      <c r="Z1324" s="10"/>
      <c r="AA1324" s="11"/>
      <c r="AB1324" s="11"/>
    </row>
    <row r="1325" spans="2:28" x14ac:dyDescent="0.3">
      <c r="B1325" s="10" t="s">
        <v>400</v>
      </c>
      <c r="C1325" s="315"/>
      <c r="D1325" s="868" t="s">
        <v>4087</v>
      </c>
      <c r="E1325" s="837" t="str">
        <f>IFERROR(IF(_xlfn.XLOOKUP(Imput[[#This Row],[RFC]],'Alta Proveedor'!D:D,'Alta Proveedor'!E:E)=0,"",_xlfn.XLOOKUP(Imput[[#This Row],[RFC]],'Alta Proveedor'!D:D,'Alta Proveedor'!E:E)),"")</f>
        <v>HOME DEPOT MEXICO SUCURSAL 8756- ALTAMIRA</v>
      </c>
      <c r="F1325" s="832" t="s">
        <v>4092</v>
      </c>
      <c r="G1325" s="187">
        <v>5</v>
      </c>
      <c r="H1325" s="1">
        <f>63.36/Imput[[#This Row],[Cantidad]]</f>
        <v>12.672000000000001</v>
      </c>
      <c r="I1325" s="169">
        <f>Imput[[#This Row],[Cantidad]]*Imput[[#This Row],[Precio Unitario]]</f>
        <v>63.36</v>
      </c>
      <c r="J1325" s="11">
        <f>((Imput[[#This Row],[Sub total]])*(0.16))</f>
        <v>10.137600000000001</v>
      </c>
      <c r="K1325" s="11">
        <v>0</v>
      </c>
      <c r="L1325" s="169">
        <f>Imput[[#This Row],[Sub total]]+Imput[[#This Row],[IVA]]-Imput[[#This Row],[Retención / IEPS / Descuento]]</f>
        <v>73.497600000000006</v>
      </c>
      <c r="M1325" s="844">
        <v>0</v>
      </c>
      <c r="N1325" s="189" t="s">
        <v>123</v>
      </c>
      <c r="O1325" s="1"/>
      <c r="P1325" s="189" t="s">
        <v>4090</v>
      </c>
      <c r="Q1325" s="190" t="s">
        <v>4091</v>
      </c>
      <c r="R1325" s="188">
        <v>46001</v>
      </c>
      <c r="S1325" s="193" t="s">
        <v>126</v>
      </c>
      <c r="T1325" s="192"/>
      <c r="U1325" s="829"/>
      <c r="V1325" s="10"/>
      <c r="W1325" s="10"/>
      <c r="X1325" s="10"/>
      <c r="Y1325" s="10"/>
      <c r="Z1325" s="10"/>
      <c r="AA1325" s="11"/>
      <c r="AB1325" s="11"/>
    </row>
    <row r="1326" spans="2:28" x14ac:dyDescent="0.3">
      <c r="B1326" s="10" t="s">
        <v>400</v>
      </c>
      <c r="C1326" s="315"/>
      <c r="D1326" s="868" t="s">
        <v>4087</v>
      </c>
      <c r="E1326" s="837" t="str">
        <f>IFERROR(IF(_xlfn.XLOOKUP(Imput[[#This Row],[RFC]],'Alta Proveedor'!D:D,'Alta Proveedor'!E:E)=0,"",_xlfn.XLOOKUP(Imput[[#This Row],[RFC]],'Alta Proveedor'!D:D,'Alta Proveedor'!E:E)),"")</f>
        <v>HOME DEPOT MEXICO SUCURSAL 8756- ALTAMIRA</v>
      </c>
      <c r="F1326" s="832" t="s">
        <v>4049</v>
      </c>
      <c r="G1326" s="187">
        <v>20</v>
      </c>
      <c r="H1326" s="1">
        <f>980/Imput[[#This Row],[Cantidad]]</f>
        <v>49</v>
      </c>
      <c r="I1326" s="169">
        <f>Imput[[#This Row],[Cantidad]]*Imput[[#This Row],[Precio Unitario]]</f>
        <v>980</v>
      </c>
      <c r="J1326" s="11">
        <f>((Imput[[#This Row],[Sub total]])*(0.16))</f>
        <v>156.80000000000001</v>
      </c>
      <c r="K1326" s="11">
        <v>0</v>
      </c>
      <c r="L1326" s="169">
        <f>Imput[[#This Row],[Sub total]]+Imput[[#This Row],[IVA]]-Imput[[#This Row],[Retención / IEPS / Descuento]]</f>
        <v>1136.8</v>
      </c>
      <c r="M1326" s="844">
        <v>0</v>
      </c>
      <c r="N1326" s="189" t="s">
        <v>123</v>
      </c>
      <c r="O1326" s="1"/>
      <c r="P1326" s="189" t="s">
        <v>4090</v>
      </c>
      <c r="Q1326" s="190" t="s">
        <v>4091</v>
      </c>
      <c r="R1326" s="188">
        <v>46001</v>
      </c>
      <c r="S1326" s="193" t="s">
        <v>126</v>
      </c>
      <c r="T1326" s="192"/>
      <c r="U1326" s="829"/>
      <c r="V1326" s="10"/>
      <c r="W1326" s="10"/>
      <c r="X1326" s="10"/>
      <c r="Y1326" s="10"/>
      <c r="Z1326" s="10"/>
      <c r="AA1326" s="11"/>
      <c r="AB1326" s="11"/>
    </row>
    <row r="1327" spans="2:28" x14ac:dyDescent="0.3">
      <c r="B1327" s="10" t="s">
        <v>400</v>
      </c>
      <c r="C1327" s="315"/>
      <c r="D1327" s="868" t="s">
        <v>4087</v>
      </c>
      <c r="E1327" s="837" t="str">
        <f>IFERROR(IF(_xlfn.XLOOKUP(Imput[[#This Row],[RFC]],'Alta Proveedor'!D:D,'Alta Proveedor'!E:E)=0,"",_xlfn.XLOOKUP(Imput[[#This Row],[RFC]],'Alta Proveedor'!D:D,'Alta Proveedor'!E:E)),"")</f>
        <v>HOME DEPOT MEXICO SUCURSAL 8756- ALTAMIRA</v>
      </c>
      <c r="F1327" s="832" t="s">
        <v>3859</v>
      </c>
      <c r="G1327" s="187">
        <v>2</v>
      </c>
      <c r="H1327" s="1">
        <f>39.83/Imput[[#This Row],[Cantidad]]</f>
        <v>19.914999999999999</v>
      </c>
      <c r="I1327" s="169">
        <f>Imput[[#This Row],[Cantidad]]*Imput[[#This Row],[Precio Unitario]]</f>
        <v>39.83</v>
      </c>
      <c r="J1327" s="11">
        <f>((Imput[[#This Row],[Sub total]])*(0.16))</f>
        <v>6.3727999999999998</v>
      </c>
      <c r="K1327" s="11">
        <v>0</v>
      </c>
      <c r="L1327" s="169">
        <f>Imput[[#This Row],[Sub total]]+Imput[[#This Row],[IVA]]-Imput[[#This Row],[Retención / IEPS / Descuento]]</f>
        <v>46.202799999999996</v>
      </c>
      <c r="M1327" s="844">
        <v>0</v>
      </c>
      <c r="N1327" s="189" t="s">
        <v>123</v>
      </c>
      <c r="O1327" s="1"/>
      <c r="P1327" s="189" t="s">
        <v>4090</v>
      </c>
      <c r="Q1327" s="190" t="s">
        <v>4091</v>
      </c>
      <c r="R1327" s="188">
        <v>46001</v>
      </c>
      <c r="S1327" s="193" t="s">
        <v>126</v>
      </c>
      <c r="T1327" s="192"/>
      <c r="U1327" s="829"/>
      <c r="V1327" s="10"/>
      <c r="W1327" s="10"/>
      <c r="X1327" s="10"/>
      <c r="Y1327" s="10"/>
      <c r="Z1327" s="10"/>
      <c r="AA1327" s="11"/>
      <c r="AB1327" s="11"/>
    </row>
    <row r="1328" spans="2:28" x14ac:dyDescent="0.3">
      <c r="B1328" s="10" t="s">
        <v>400</v>
      </c>
      <c r="C1328" s="315"/>
      <c r="D1328" s="868" t="s">
        <v>164</v>
      </c>
      <c r="E1328" s="837" t="str">
        <f>IFERROR(IF(_xlfn.XLOOKUP(Imput[[#This Row],[RFC]],'Alta Proveedor'!D:D,'Alta Proveedor'!E:E)=0,"",_xlfn.XLOOKUP(Imput[[#This Row],[RFC]],'Alta Proveedor'!D:D,'Alta Proveedor'!E:E)),"")</f>
        <v>HOME DEPOT MEXICO SUCURSAL THD-8730 TAMPICO</v>
      </c>
      <c r="F1328" s="832" t="s">
        <v>4095</v>
      </c>
      <c r="G1328" s="187">
        <v>22</v>
      </c>
      <c r="H1328" s="1">
        <f>170.69/Imput[[#This Row],[Cantidad]]</f>
        <v>7.7586363636363638</v>
      </c>
      <c r="I1328" s="169">
        <f>Imput[[#This Row],[Cantidad]]*Imput[[#This Row],[Precio Unitario]]</f>
        <v>170.69</v>
      </c>
      <c r="J1328" s="11">
        <f>((Imput[[#This Row],[Sub total]])*(0.16))+0.002</f>
        <v>27.3124</v>
      </c>
      <c r="K1328" s="11">
        <v>0</v>
      </c>
      <c r="L1328" s="169">
        <f>Imput[[#This Row],[Sub total]]+Imput[[#This Row],[IVA]]-Imput[[#This Row],[Retención / IEPS / Descuento]]</f>
        <v>198.00239999999999</v>
      </c>
      <c r="M1328" s="844">
        <v>12102.995599999998</v>
      </c>
      <c r="N1328" s="189" t="s">
        <v>123</v>
      </c>
      <c r="O1328" s="1"/>
      <c r="P1328" s="189" t="s">
        <v>4093</v>
      </c>
      <c r="Q1328" s="190" t="s">
        <v>4094</v>
      </c>
      <c r="R1328" s="188">
        <v>45999</v>
      </c>
      <c r="S1328" s="193" t="s">
        <v>126</v>
      </c>
      <c r="T1328" s="192"/>
      <c r="U1328" s="829"/>
      <c r="V1328" s="10"/>
      <c r="W1328" s="10"/>
      <c r="X1328" s="10"/>
      <c r="Y1328" s="10"/>
      <c r="Z1328" s="10"/>
      <c r="AA1328" s="11"/>
      <c r="AB1328" s="11"/>
    </row>
    <row r="1329" spans="2:28" x14ac:dyDescent="0.3">
      <c r="B1329" s="10" t="s">
        <v>400</v>
      </c>
      <c r="C1329" s="315"/>
      <c r="D1329" s="868" t="s">
        <v>164</v>
      </c>
      <c r="E1329" s="837" t="str">
        <f>IFERROR(IF(_xlfn.XLOOKUP(Imput[[#This Row],[RFC]],'Alta Proveedor'!D:D,'Alta Proveedor'!E:E)=0,"",_xlfn.XLOOKUP(Imput[[#This Row],[RFC]],'Alta Proveedor'!D:D,'Alta Proveedor'!E:E)),"")</f>
        <v>HOME DEPOT MEXICO SUCURSAL THD-8730 TAMPICO</v>
      </c>
      <c r="F1329" s="832" t="s">
        <v>4096</v>
      </c>
      <c r="G1329" s="187">
        <v>1</v>
      </c>
      <c r="H1329" s="1">
        <f>116.38/Imput[[#This Row],[Cantidad]]</f>
        <v>116.38</v>
      </c>
      <c r="I1329" s="169">
        <f>Imput[[#This Row],[Cantidad]]*Imput[[#This Row],[Precio Unitario]]</f>
        <v>116.38</v>
      </c>
      <c r="J1329" s="11">
        <f>((Imput[[#This Row],[Sub total]])*(0.16))</f>
        <v>18.620799999999999</v>
      </c>
      <c r="K1329" s="11">
        <v>0</v>
      </c>
      <c r="L1329" s="169">
        <f>Imput[[#This Row],[Sub total]]+Imput[[#This Row],[IVA]]-Imput[[#This Row],[Retención / IEPS / Descuento]]</f>
        <v>135.0008</v>
      </c>
      <c r="M1329" s="844">
        <v>0</v>
      </c>
      <c r="N1329" s="189" t="s">
        <v>123</v>
      </c>
      <c r="O1329" s="1"/>
      <c r="P1329" s="189" t="s">
        <v>4093</v>
      </c>
      <c r="Q1329" s="190" t="s">
        <v>4094</v>
      </c>
      <c r="R1329" s="188">
        <v>45999</v>
      </c>
      <c r="S1329" s="193" t="s">
        <v>126</v>
      </c>
      <c r="T1329" s="192"/>
      <c r="U1329" s="829"/>
      <c r="V1329" s="10"/>
      <c r="W1329" s="10"/>
      <c r="X1329" s="10"/>
      <c r="Y1329" s="10"/>
      <c r="Z1329" s="10"/>
      <c r="AA1329" s="11"/>
      <c r="AB1329" s="11"/>
    </row>
    <row r="1330" spans="2:28" x14ac:dyDescent="0.3">
      <c r="B1330" s="10" t="s">
        <v>400</v>
      </c>
      <c r="C1330" s="315"/>
      <c r="D1330" s="868" t="s">
        <v>164</v>
      </c>
      <c r="E1330" s="837" t="str">
        <f>IFERROR(IF(_xlfn.XLOOKUP(Imput[[#This Row],[RFC]],'Alta Proveedor'!D:D,'Alta Proveedor'!E:E)=0,"",_xlfn.XLOOKUP(Imput[[#This Row],[RFC]],'Alta Proveedor'!D:D,'Alta Proveedor'!E:E)),"")</f>
        <v>HOME DEPOT MEXICO SUCURSAL THD-8730 TAMPICO</v>
      </c>
      <c r="F1330" s="832" t="s">
        <v>4097</v>
      </c>
      <c r="G1330" s="187">
        <v>6</v>
      </c>
      <c r="H1330" s="1">
        <f>372.41/Imput[[#This Row],[Cantidad]]</f>
        <v>62.068333333333335</v>
      </c>
      <c r="I1330" s="169">
        <f>Imput[[#This Row],[Cantidad]]*Imput[[#This Row],[Precio Unitario]]</f>
        <v>372.41</v>
      </c>
      <c r="J1330" s="11">
        <f>((Imput[[#This Row],[Sub total]])*(0.16))+0.002</f>
        <v>59.587600000000009</v>
      </c>
      <c r="K1330" s="11">
        <v>0</v>
      </c>
      <c r="L1330" s="169">
        <f>Imput[[#This Row],[Sub total]]+Imput[[#This Row],[IVA]]-Imput[[#This Row],[Retención / IEPS / Descuento]]</f>
        <v>431.99760000000003</v>
      </c>
      <c r="M1330" s="844">
        <v>0</v>
      </c>
      <c r="N1330" s="189" t="s">
        <v>123</v>
      </c>
      <c r="O1330" s="1"/>
      <c r="P1330" s="189" t="s">
        <v>4093</v>
      </c>
      <c r="Q1330" s="190" t="s">
        <v>4094</v>
      </c>
      <c r="R1330" s="188">
        <v>45999</v>
      </c>
      <c r="S1330" s="193" t="s">
        <v>126</v>
      </c>
      <c r="T1330" s="192"/>
      <c r="U1330" s="829"/>
      <c r="V1330" s="10"/>
      <c r="W1330" s="10"/>
      <c r="X1330" s="10"/>
      <c r="Y1330" s="10"/>
      <c r="Z1330" s="10"/>
      <c r="AA1330" s="11"/>
      <c r="AB1330" s="11"/>
    </row>
    <row r="1331" spans="2:28" x14ac:dyDescent="0.3">
      <c r="B1331" s="10" t="s">
        <v>400</v>
      </c>
      <c r="C1331" s="315"/>
      <c r="D1331" s="868" t="s">
        <v>164</v>
      </c>
      <c r="E1331" s="837" t="str">
        <f>IFERROR(IF(_xlfn.XLOOKUP(Imput[[#This Row],[RFC]],'Alta Proveedor'!D:D,'Alta Proveedor'!E:E)=0,"",_xlfn.XLOOKUP(Imput[[#This Row],[RFC]],'Alta Proveedor'!D:D,'Alta Proveedor'!E:E)),"")</f>
        <v>HOME DEPOT MEXICO SUCURSAL THD-8730 TAMPICO</v>
      </c>
      <c r="F1331" s="832" t="s">
        <v>4098</v>
      </c>
      <c r="G1331" s="187">
        <v>8</v>
      </c>
      <c r="H1331" s="1">
        <f>475.86/Imput[[#This Row],[Cantidad]]</f>
        <v>59.482500000000002</v>
      </c>
      <c r="I1331" s="169">
        <f>Imput[[#This Row],[Cantidad]]*Imput[[#This Row],[Precio Unitario]]</f>
        <v>475.86</v>
      </c>
      <c r="J1331" s="11">
        <f>((Imput[[#This Row],[Sub total]])*(0.16))</f>
        <v>76.137600000000006</v>
      </c>
      <c r="K1331" s="11">
        <v>0</v>
      </c>
      <c r="L1331" s="169">
        <f>Imput[[#This Row],[Sub total]]+Imput[[#This Row],[IVA]]-Imput[[#This Row],[Retención / IEPS / Descuento]]</f>
        <v>551.99760000000003</v>
      </c>
      <c r="M1331" s="844">
        <v>0</v>
      </c>
      <c r="N1331" s="189" t="s">
        <v>123</v>
      </c>
      <c r="O1331" s="1"/>
      <c r="P1331" s="189" t="s">
        <v>4093</v>
      </c>
      <c r="Q1331" s="190" t="s">
        <v>4094</v>
      </c>
      <c r="R1331" s="188">
        <v>45999</v>
      </c>
      <c r="S1331" s="193" t="s">
        <v>126</v>
      </c>
      <c r="T1331" s="192"/>
      <c r="U1331" s="829"/>
      <c r="V1331" s="10"/>
      <c r="W1331" s="10"/>
      <c r="X1331" s="10"/>
      <c r="Y1331" s="10"/>
      <c r="Z1331" s="10"/>
      <c r="AA1331" s="11"/>
      <c r="AB1331" s="11"/>
    </row>
    <row r="1332" spans="2:28" x14ac:dyDescent="0.3">
      <c r="B1332" s="10" t="s">
        <v>400</v>
      </c>
      <c r="C1332" s="315"/>
      <c r="D1332" s="868" t="s">
        <v>164</v>
      </c>
      <c r="E1332" s="837" t="str">
        <f>IFERROR(IF(_xlfn.XLOOKUP(Imput[[#This Row],[RFC]],'Alta Proveedor'!D:D,'Alta Proveedor'!E:E)=0,"",_xlfn.XLOOKUP(Imput[[#This Row],[RFC]],'Alta Proveedor'!D:D,'Alta Proveedor'!E:E)),"")</f>
        <v>HOME DEPOT MEXICO SUCURSAL THD-8730 TAMPICO</v>
      </c>
      <c r="F1332" s="832" t="s">
        <v>4099</v>
      </c>
      <c r="G1332" s="187">
        <v>1</v>
      </c>
      <c r="H1332" s="1">
        <f>159.48/Imput[[#This Row],[Cantidad]]</f>
        <v>159.47999999999999</v>
      </c>
      <c r="I1332" s="169">
        <f>Imput[[#This Row],[Cantidad]]*Imput[[#This Row],[Precio Unitario]]</f>
        <v>159.47999999999999</v>
      </c>
      <c r="J1332" s="11">
        <f>((Imput[[#This Row],[Sub total]])*(0.16))+0.002</f>
        <v>25.518799999999999</v>
      </c>
      <c r="K1332" s="11">
        <v>0</v>
      </c>
      <c r="L1332" s="169">
        <f>Imput[[#This Row],[Sub total]]+Imput[[#This Row],[IVA]]-Imput[[#This Row],[Retención / IEPS / Descuento]]</f>
        <v>184.99879999999999</v>
      </c>
      <c r="M1332" s="844">
        <v>0</v>
      </c>
      <c r="N1332" s="189" t="s">
        <v>123</v>
      </c>
      <c r="O1332" s="1"/>
      <c r="P1332" s="189" t="s">
        <v>4093</v>
      </c>
      <c r="Q1332" s="190" t="s">
        <v>4094</v>
      </c>
      <c r="R1332" s="188">
        <v>45999</v>
      </c>
      <c r="S1332" s="193" t="s">
        <v>126</v>
      </c>
      <c r="T1332" s="192"/>
      <c r="U1332" s="829"/>
      <c r="V1332" s="10"/>
      <c r="W1332" s="10"/>
      <c r="X1332" s="10"/>
      <c r="Y1332" s="10"/>
      <c r="Z1332" s="10"/>
      <c r="AA1332" s="11"/>
      <c r="AB1332" s="11"/>
    </row>
    <row r="1333" spans="2:28" x14ac:dyDescent="0.3">
      <c r="B1333" s="10" t="s">
        <v>400</v>
      </c>
      <c r="C1333" s="315"/>
      <c r="D1333" s="868" t="s">
        <v>164</v>
      </c>
      <c r="E1333" s="837" t="str">
        <f>IFERROR(IF(_xlfn.XLOOKUP(Imput[[#This Row],[RFC]],'Alta Proveedor'!D:D,'Alta Proveedor'!E:E)=0,"",_xlfn.XLOOKUP(Imput[[#This Row],[RFC]],'Alta Proveedor'!D:D,'Alta Proveedor'!E:E)),"")</f>
        <v>HOME DEPOT MEXICO SUCURSAL THD-8730 TAMPICO</v>
      </c>
      <c r="F1333" s="832" t="s">
        <v>4055</v>
      </c>
      <c r="G1333" s="187">
        <v>1</v>
      </c>
      <c r="H1333" s="1">
        <f>99.14/Imput[[#This Row],[Cantidad]]</f>
        <v>99.14</v>
      </c>
      <c r="I1333" s="169">
        <f>Imput[[#This Row],[Cantidad]]*Imput[[#This Row],[Precio Unitario]]</f>
        <v>99.14</v>
      </c>
      <c r="J1333" s="11">
        <f>((Imput[[#This Row],[Sub total]])*(0.16))+0.002</f>
        <v>15.864400000000002</v>
      </c>
      <c r="K1333" s="11">
        <v>0</v>
      </c>
      <c r="L1333" s="169">
        <f>Imput[[#This Row],[Sub total]]+Imput[[#This Row],[IVA]]-Imput[[#This Row],[Retención / IEPS / Descuento]]</f>
        <v>115.0044</v>
      </c>
      <c r="M1333" s="844">
        <v>0</v>
      </c>
      <c r="N1333" s="189" t="s">
        <v>123</v>
      </c>
      <c r="O1333" s="1"/>
      <c r="P1333" s="189" t="s">
        <v>4093</v>
      </c>
      <c r="Q1333" s="190" t="s">
        <v>4094</v>
      </c>
      <c r="R1333" s="188">
        <v>45999</v>
      </c>
      <c r="S1333" s="193" t="s">
        <v>126</v>
      </c>
      <c r="T1333" s="192"/>
      <c r="U1333" s="829"/>
      <c r="V1333" s="10"/>
      <c r="W1333" s="10"/>
      <c r="X1333" s="10"/>
      <c r="Y1333" s="10"/>
      <c r="Z1333" s="10"/>
      <c r="AA1333" s="11"/>
      <c r="AB1333" s="11"/>
    </row>
    <row r="1334" spans="2:28" x14ac:dyDescent="0.3">
      <c r="B1334" s="10" t="s">
        <v>400</v>
      </c>
      <c r="C1334" s="315"/>
      <c r="D1334" s="868" t="s">
        <v>164</v>
      </c>
      <c r="E1334" s="837" t="str">
        <f>IFERROR(IF(_xlfn.XLOOKUP(Imput[[#This Row],[RFC]],'Alta Proveedor'!D:D,'Alta Proveedor'!E:E)=0,"",_xlfn.XLOOKUP(Imput[[#This Row],[RFC]],'Alta Proveedor'!D:D,'Alta Proveedor'!E:E)),"")</f>
        <v>HOME DEPOT MEXICO SUCURSAL THD-8730 TAMPICO</v>
      </c>
      <c r="F1334" s="832" t="s">
        <v>4100</v>
      </c>
      <c r="G1334" s="187">
        <v>1</v>
      </c>
      <c r="H1334" s="1">
        <f>67.24/Imput[[#This Row],[Cantidad]]</f>
        <v>67.239999999999995</v>
      </c>
      <c r="I1334" s="169">
        <f>Imput[[#This Row],[Cantidad]]*Imput[[#This Row],[Precio Unitario]]</f>
        <v>67.239999999999995</v>
      </c>
      <c r="J1334" s="11">
        <f>((Imput[[#This Row],[Sub total]])*(0.16))</f>
        <v>10.7584</v>
      </c>
      <c r="K1334" s="11">
        <v>0</v>
      </c>
      <c r="L1334" s="169">
        <f>Imput[[#This Row],[Sub total]]+Imput[[#This Row],[IVA]]-Imput[[#This Row],[Retención / IEPS / Descuento]]</f>
        <v>77.99839999999999</v>
      </c>
      <c r="M1334" s="844">
        <v>0</v>
      </c>
      <c r="N1334" s="189" t="s">
        <v>123</v>
      </c>
      <c r="O1334" s="1"/>
      <c r="P1334" s="189" t="s">
        <v>4093</v>
      </c>
      <c r="Q1334" s="190" t="s">
        <v>4094</v>
      </c>
      <c r="R1334" s="188">
        <v>45999</v>
      </c>
      <c r="S1334" s="193" t="s">
        <v>126</v>
      </c>
      <c r="T1334" s="192"/>
      <c r="U1334" s="829"/>
      <c r="V1334" s="10"/>
      <c r="W1334" s="10"/>
      <c r="X1334" s="10"/>
      <c r="Y1334" s="10"/>
      <c r="Z1334" s="10"/>
      <c r="AA1334" s="11"/>
      <c r="AB1334" s="11"/>
    </row>
    <row r="1335" spans="2:28" x14ac:dyDescent="0.3">
      <c r="B1335" s="10" t="s">
        <v>400</v>
      </c>
      <c r="C1335" s="315"/>
      <c r="D1335" s="868" t="s">
        <v>164</v>
      </c>
      <c r="E1335" s="837" t="str">
        <f>IFERROR(IF(_xlfn.XLOOKUP(Imput[[#This Row],[RFC]],'Alta Proveedor'!D:D,'Alta Proveedor'!E:E)=0,"",_xlfn.XLOOKUP(Imput[[#This Row],[RFC]],'Alta Proveedor'!D:D,'Alta Proveedor'!E:E)),"")</f>
        <v>HOME DEPOT MEXICO SUCURSAL THD-8730 TAMPICO</v>
      </c>
      <c r="F1335" s="832" t="s">
        <v>4101</v>
      </c>
      <c r="G1335" s="187">
        <v>1</v>
      </c>
      <c r="H1335" s="1">
        <f>59.48/Imput[[#This Row],[Cantidad]]</f>
        <v>59.48</v>
      </c>
      <c r="I1335" s="169">
        <f>Imput[[#This Row],[Cantidad]]*Imput[[#This Row],[Precio Unitario]]</f>
        <v>59.48</v>
      </c>
      <c r="J1335" s="11">
        <f>((Imput[[#This Row],[Sub total]])*(0.16))</f>
        <v>9.5167999999999999</v>
      </c>
      <c r="K1335" s="11">
        <v>0</v>
      </c>
      <c r="L1335" s="169">
        <f>Imput[[#This Row],[Sub total]]+Imput[[#This Row],[IVA]]-Imput[[#This Row],[Retención / IEPS / Descuento]]</f>
        <v>68.996799999999993</v>
      </c>
      <c r="M1335" s="844">
        <v>0</v>
      </c>
      <c r="N1335" s="189" t="s">
        <v>123</v>
      </c>
      <c r="O1335" s="1"/>
      <c r="P1335" s="189" t="s">
        <v>4093</v>
      </c>
      <c r="Q1335" s="190" t="s">
        <v>4094</v>
      </c>
      <c r="R1335" s="188">
        <v>45999</v>
      </c>
      <c r="S1335" s="193" t="s">
        <v>126</v>
      </c>
      <c r="T1335" s="192"/>
      <c r="U1335" s="829"/>
      <c r="V1335" s="10"/>
      <c r="W1335" s="10"/>
      <c r="X1335" s="10"/>
      <c r="Y1335" s="10"/>
      <c r="Z1335" s="10"/>
      <c r="AA1335" s="11"/>
      <c r="AB1335" s="11"/>
    </row>
    <row r="1336" spans="2:28" x14ac:dyDescent="0.3">
      <c r="B1336" s="10" t="s">
        <v>400</v>
      </c>
      <c r="C1336" s="315"/>
      <c r="D1336" s="868" t="s">
        <v>164</v>
      </c>
      <c r="E1336" s="837" t="str">
        <f>IFERROR(IF(_xlfn.XLOOKUP(Imput[[#This Row],[RFC]],'Alta Proveedor'!D:D,'Alta Proveedor'!E:E)=0,"",_xlfn.XLOOKUP(Imput[[#This Row],[RFC]],'Alta Proveedor'!D:D,'Alta Proveedor'!E:E)),"")</f>
        <v>HOME DEPOT MEXICO SUCURSAL THD-8730 TAMPICO</v>
      </c>
      <c r="F1336" s="832" t="s">
        <v>4102</v>
      </c>
      <c r="G1336" s="187">
        <v>1</v>
      </c>
      <c r="H1336" s="1">
        <f>206.03/Imput[[#This Row],[Cantidad]]</f>
        <v>206.03</v>
      </c>
      <c r="I1336" s="169">
        <f>Imput[[#This Row],[Cantidad]]*Imput[[#This Row],[Precio Unitario]]</f>
        <v>206.03</v>
      </c>
      <c r="J1336" s="11">
        <f>((Imput[[#This Row],[Sub total]])*(0.16))</f>
        <v>32.964800000000004</v>
      </c>
      <c r="K1336" s="11">
        <v>0</v>
      </c>
      <c r="L1336" s="169">
        <f>Imput[[#This Row],[Sub total]]+Imput[[#This Row],[IVA]]-Imput[[#This Row],[Retención / IEPS / Descuento]]</f>
        <v>238.9948</v>
      </c>
      <c r="M1336" s="844">
        <v>0</v>
      </c>
      <c r="N1336" s="189" t="s">
        <v>123</v>
      </c>
      <c r="O1336" s="1"/>
      <c r="P1336" s="189" t="s">
        <v>4093</v>
      </c>
      <c r="Q1336" s="190" t="s">
        <v>4094</v>
      </c>
      <c r="R1336" s="188">
        <v>45999</v>
      </c>
      <c r="S1336" s="193" t="s">
        <v>126</v>
      </c>
      <c r="T1336" s="192"/>
      <c r="U1336" s="829"/>
      <c r="V1336" s="10"/>
      <c r="W1336" s="10"/>
      <c r="X1336" s="10"/>
      <c r="Y1336" s="10"/>
      <c r="Z1336" s="10"/>
      <c r="AA1336" s="11"/>
      <c r="AB1336" s="11"/>
    </row>
    <row r="1337" spans="2:28" x14ac:dyDescent="0.3">
      <c r="B1337" s="10" t="s">
        <v>400</v>
      </c>
      <c r="C1337" s="315"/>
      <c r="D1337" s="868" t="s">
        <v>164</v>
      </c>
      <c r="E1337" s="837" t="str">
        <f>IFERROR(IF(_xlfn.XLOOKUP(Imput[[#This Row],[RFC]],'Alta Proveedor'!D:D,'Alta Proveedor'!E:E)=0,"",_xlfn.XLOOKUP(Imput[[#This Row],[RFC]],'Alta Proveedor'!D:D,'Alta Proveedor'!E:E)),"")</f>
        <v>HOME DEPOT MEXICO SUCURSAL THD-8730 TAMPICO</v>
      </c>
      <c r="F1337" s="832" t="s">
        <v>4103</v>
      </c>
      <c r="G1337" s="187">
        <v>6</v>
      </c>
      <c r="H1337" s="1">
        <f>1318.97/Imput[[#This Row],[Cantidad]]</f>
        <v>219.82833333333335</v>
      </c>
      <c r="I1337" s="169">
        <f>Imput[[#This Row],[Cantidad]]*Imput[[#This Row],[Precio Unitario]]</f>
        <v>1318.97</v>
      </c>
      <c r="J1337" s="11">
        <f>((Imput[[#This Row],[Sub total]])*(0.16))</f>
        <v>211.0352</v>
      </c>
      <c r="K1337" s="11">
        <v>0</v>
      </c>
      <c r="L1337" s="169">
        <f>Imput[[#This Row],[Sub total]]+Imput[[#This Row],[IVA]]-Imput[[#This Row],[Retención / IEPS / Descuento]]</f>
        <v>1530.0052000000001</v>
      </c>
      <c r="M1337" s="844">
        <v>0</v>
      </c>
      <c r="N1337" s="189" t="s">
        <v>123</v>
      </c>
      <c r="O1337" s="1"/>
      <c r="P1337" s="189" t="s">
        <v>4093</v>
      </c>
      <c r="Q1337" s="190" t="s">
        <v>4094</v>
      </c>
      <c r="R1337" s="188">
        <v>45999</v>
      </c>
      <c r="S1337" s="193" t="s">
        <v>126</v>
      </c>
      <c r="T1337" s="192"/>
      <c r="U1337" s="829"/>
      <c r="V1337" s="10"/>
      <c r="W1337" s="10"/>
      <c r="X1337" s="10"/>
      <c r="Y1337" s="10"/>
      <c r="Z1337" s="10"/>
      <c r="AA1337" s="11"/>
      <c r="AB1337" s="11"/>
    </row>
    <row r="1338" spans="2:28" x14ac:dyDescent="0.3">
      <c r="B1338" s="10" t="s">
        <v>400</v>
      </c>
      <c r="C1338" s="315"/>
      <c r="D1338" s="868" t="s">
        <v>164</v>
      </c>
      <c r="E1338" s="837" t="str">
        <f>IFERROR(IF(_xlfn.XLOOKUP(Imput[[#This Row],[RFC]],'Alta Proveedor'!D:D,'Alta Proveedor'!E:E)=0,"",_xlfn.XLOOKUP(Imput[[#This Row],[RFC]],'Alta Proveedor'!D:D,'Alta Proveedor'!E:E)),"")</f>
        <v>HOME DEPOT MEXICO SUCURSAL THD-8730 TAMPICO</v>
      </c>
      <c r="F1338" s="832" t="s">
        <v>4104</v>
      </c>
      <c r="G1338" s="187">
        <v>5</v>
      </c>
      <c r="H1338" s="1">
        <f>814.66/Imput[[#This Row],[Cantidad]]</f>
        <v>162.93199999999999</v>
      </c>
      <c r="I1338" s="169">
        <f>Imput[[#This Row],[Cantidad]]*Imput[[#This Row],[Precio Unitario]]</f>
        <v>814.66</v>
      </c>
      <c r="J1338" s="11">
        <f>((Imput[[#This Row],[Sub total]])*(0.16))</f>
        <v>130.34559999999999</v>
      </c>
      <c r="K1338" s="11">
        <v>0</v>
      </c>
      <c r="L1338" s="169">
        <f>Imput[[#This Row],[Sub total]]+Imput[[#This Row],[IVA]]-Imput[[#This Row],[Retención / IEPS / Descuento]]</f>
        <v>945.00559999999996</v>
      </c>
      <c r="M1338" s="844">
        <v>0</v>
      </c>
      <c r="N1338" s="189" t="s">
        <v>123</v>
      </c>
      <c r="O1338" s="1"/>
      <c r="P1338" s="189" t="s">
        <v>4093</v>
      </c>
      <c r="Q1338" s="190" t="s">
        <v>4094</v>
      </c>
      <c r="R1338" s="188">
        <v>45999</v>
      </c>
      <c r="S1338" s="193" t="s">
        <v>126</v>
      </c>
      <c r="T1338" s="192"/>
      <c r="U1338" s="829"/>
      <c r="V1338" s="10"/>
      <c r="W1338" s="10"/>
      <c r="X1338" s="10"/>
      <c r="Y1338" s="10"/>
      <c r="Z1338" s="10"/>
      <c r="AA1338" s="11"/>
      <c r="AB1338" s="11"/>
    </row>
    <row r="1339" spans="2:28" x14ac:dyDescent="0.3">
      <c r="B1339" s="10" t="s">
        <v>400</v>
      </c>
      <c r="C1339" s="315"/>
      <c r="D1339" s="868" t="s">
        <v>164</v>
      </c>
      <c r="E1339" s="837" t="str">
        <f>IFERROR(IF(_xlfn.XLOOKUP(Imput[[#This Row],[RFC]],'Alta Proveedor'!D:D,'Alta Proveedor'!E:E)=0,"",_xlfn.XLOOKUP(Imput[[#This Row],[RFC]],'Alta Proveedor'!D:D,'Alta Proveedor'!E:E)),"")</f>
        <v>HOME DEPOT MEXICO SUCURSAL THD-8730 TAMPICO</v>
      </c>
      <c r="F1339" s="832" t="s">
        <v>4105</v>
      </c>
      <c r="G1339" s="187">
        <v>5</v>
      </c>
      <c r="H1339" s="1">
        <f>780.17/Imput[[#This Row],[Cantidad]]</f>
        <v>156.03399999999999</v>
      </c>
      <c r="I1339" s="169">
        <f>Imput[[#This Row],[Cantidad]]*Imput[[#This Row],[Precio Unitario]]</f>
        <v>780.17</v>
      </c>
      <c r="J1339" s="11">
        <f>((Imput[[#This Row],[Sub total]])*(0.16))</f>
        <v>124.82719999999999</v>
      </c>
      <c r="K1339" s="11">
        <v>0</v>
      </c>
      <c r="L1339" s="169">
        <f>Imput[[#This Row],[Sub total]]+Imput[[#This Row],[IVA]]-Imput[[#This Row],[Retención / IEPS / Descuento]]</f>
        <v>904.99719999999991</v>
      </c>
      <c r="M1339" s="844">
        <v>0</v>
      </c>
      <c r="N1339" s="189" t="s">
        <v>123</v>
      </c>
      <c r="O1339" s="1"/>
      <c r="P1339" s="189" t="s">
        <v>4093</v>
      </c>
      <c r="Q1339" s="190" t="s">
        <v>4094</v>
      </c>
      <c r="R1339" s="188">
        <v>45999</v>
      </c>
      <c r="S1339" s="193" t="s">
        <v>126</v>
      </c>
      <c r="T1339" s="192"/>
      <c r="U1339" s="829"/>
      <c r="V1339" s="10"/>
      <c r="W1339" s="10"/>
      <c r="X1339" s="10"/>
      <c r="Y1339" s="10"/>
      <c r="Z1339" s="10"/>
      <c r="AA1339" s="11"/>
      <c r="AB1339" s="11"/>
    </row>
    <row r="1340" spans="2:28" x14ac:dyDescent="0.3">
      <c r="B1340" s="10" t="s">
        <v>400</v>
      </c>
      <c r="C1340" s="315"/>
      <c r="D1340" s="868" t="s">
        <v>164</v>
      </c>
      <c r="E1340" s="837" t="str">
        <f>IFERROR(IF(_xlfn.XLOOKUP(Imput[[#This Row],[RFC]],'Alta Proveedor'!D:D,'Alta Proveedor'!E:E)=0,"",_xlfn.XLOOKUP(Imput[[#This Row],[RFC]],'Alta Proveedor'!D:D,'Alta Proveedor'!E:E)),"")</f>
        <v>HOME DEPOT MEXICO SUCURSAL THD-8730 TAMPICO</v>
      </c>
      <c r="F1340" s="832" t="s">
        <v>4106</v>
      </c>
      <c r="G1340" s="187">
        <v>4</v>
      </c>
      <c r="H1340" s="1">
        <f>2810.34/Imput[[#This Row],[Cantidad]]</f>
        <v>702.58500000000004</v>
      </c>
      <c r="I1340" s="169">
        <f>Imput[[#This Row],[Cantidad]]*Imput[[#This Row],[Precio Unitario]]</f>
        <v>2810.34</v>
      </c>
      <c r="J1340" s="11">
        <f>((Imput[[#This Row],[Sub total]])*(0.16))</f>
        <v>449.65440000000001</v>
      </c>
      <c r="K1340" s="11">
        <v>0</v>
      </c>
      <c r="L1340" s="169">
        <f>Imput[[#This Row],[Sub total]]+Imput[[#This Row],[IVA]]-Imput[[#This Row],[Retención / IEPS / Descuento]]</f>
        <v>3259.9944</v>
      </c>
      <c r="M1340" s="844">
        <v>0</v>
      </c>
      <c r="N1340" s="189" t="s">
        <v>123</v>
      </c>
      <c r="O1340" s="1"/>
      <c r="P1340" s="189" t="s">
        <v>4093</v>
      </c>
      <c r="Q1340" s="190" t="s">
        <v>4094</v>
      </c>
      <c r="R1340" s="188">
        <v>45999</v>
      </c>
      <c r="S1340" s="193" t="s">
        <v>126</v>
      </c>
      <c r="T1340" s="192"/>
      <c r="U1340" s="829"/>
      <c r="V1340" s="10"/>
      <c r="W1340" s="10"/>
      <c r="X1340" s="10"/>
      <c r="Y1340" s="10"/>
      <c r="Z1340" s="10"/>
      <c r="AA1340" s="11"/>
      <c r="AB1340" s="11"/>
    </row>
    <row r="1341" spans="2:28" x14ac:dyDescent="0.3">
      <c r="B1341" s="10" t="s">
        <v>400</v>
      </c>
      <c r="C1341" s="315"/>
      <c r="D1341" s="868" t="s">
        <v>164</v>
      </c>
      <c r="E1341" s="837" t="str">
        <f>IFERROR(IF(_xlfn.XLOOKUP(Imput[[#This Row],[RFC]],'Alta Proveedor'!D:D,'Alta Proveedor'!E:E)=0,"",_xlfn.XLOOKUP(Imput[[#This Row],[RFC]],'Alta Proveedor'!D:D,'Alta Proveedor'!E:E)),"")</f>
        <v>HOME DEPOT MEXICO SUCURSAL THD-8730 TAMPICO</v>
      </c>
      <c r="F1341" s="832" t="s">
        <v>4107</v>
      </c>
      <c r="G1341" s="187">
        <v>4</v>
      </c>
      <c r="H1341" s="1">
        <f>2982.76/Imput[[#This Row],[Cantidad]]</f>
        <v>745.69</v>
      </c>
      <c r="I1341" s="169">
        <f>Imput[[#This Row],[Cantidad]]*Imput[[#This Row],[Precio Unitario]]</f>
        <v>2982.76</v>
      </c>
      <c r="J1341" s="11">
        <f>((Imput[[#This Row],[Sub total]])*(0.16))</f>
        <v>477.24160000000006</v>
      </c>
      <c r="K1341" s="11">
        <v>0</v>
      </c>
      <c r="L1341" s="169">
        <f>Imput[[#This Row],[Sub total]]+Imput[[#This Row],[IVA]]-Imput[[#This Row],[Retención / IEPS / Descuento]]</f>
        <v>3460.0016000000005</v>
      </c>
      <c r="M1341" s="844">
        <v>0</v>
      </c>
      <c r="N1341" s="189" t="s">
        <v>123</v>
      </c>
      <c r="O1341" s="1"/>
      <c r="P1341" s="189" t="s">
        <v>4093</v>
      </c>
      <c r="Q1341" s="190" t="s">
        <v>4094</v>
      </c>
      <c r="R1341" s="188">
        <v>45999</v>
      </c>
      <c r="S1341" s="193" t="s">
        <v>126</v>
      </c>
      <c r="T1341" s="192"/>
      <c r="U1341" s="829"/>
      <c r="V1341" s="10"/>
      <c r="W1341" s="10"/>
      <c r="X1341" s="10"/>
      <c r="Y1341" s="10"/>
      <c r="Z1341" s="10"/>
      <c r="AA1341" s="11"/>
      <c r="AB1341" s="11"/>
    </row>
    <row r="1342" spans="2:28" x14ac:dyDescent="0.3">
      <c r="B1342" s="10" t="s">
        <v>400</v>
      </c>
      <c r="C1342" s="315"/>
      <c r="D1342" s="868" t="s">
        <v>164</v>
      </c>
      <c r="E1342" s="837" t="str">
        <f>IFERROR(IF(_xlfn.XLOOKUP(Imput[[#This Row],[RFC]],'Alta Proveedor'!D:D,'Alta Proveedor'!E:E)=0,"",_xlfn.XLOOKUP(Imput[[#This Row],[RFC]],'Alta Proveedor'!D:D,'Alta Proveedor'!E:E)),"")</f>
        <v>HOME DEPOT MEXICO SUCURSAL THD-8730 TAMPICO</v>
      </c>
      <c r="F1342" s="832" t="s">
        <v>3850</v>
      </c>
      <c r="G1342" s="187">
        <v>12</v>
      </c>
      <c r="H1342" s="1">
        <f>413.79/Imput[[#This Row],[Cantidad]]</f>
        <v>34.482500000000002</v>
      </c>
      <c r="I1342" s="169">
        <f>Imput[[#This Row],[Cantidad]]*Imput[[#This Row],[Precio Unitario]]</f>
        <v>413.79</v>
      </c>
      <c r="J1342" s="11">
        <f>((Imput[[#This Row],[Sub total]]-41.38)*(0.16))-0.002</f>
        <v>59.583600000000004</v>
      </c>
      <c r="K1342" s="11">
        <v>41.38</v>
      </c>
      <c r="L1342" s="169">
        <f>Imput[[#This Row],[Sub total]]+Imput[[#This Row],[IVA]]-Imput[[#This Row],[Retención / IEPS / Descuento]]</f>
        <v>431.99360000000001</v>
      </c>
      <c r="M1342" s="844">
        <v>7101.0635999999995</v>
      </c>
      <c r="N1342" s="189" t="s">
        <v>123</v>
      </c>
      <c r="O1342" s="1"/>
      <c r="P1342" s="189" t="s">
        <v>4108</v>
      </c>
      <c r="Q1342" s="190" t="s">
        <v>4109</v>
      </c>
      <c r="R1342" s="188">
        <v>46003</v>
      </c>
      <c r="S1342" s="193" t="s">
        <v>126</v>
      </c>
      <c r="T1342" s="192"/>
      <c r="U1342" s="829"/>
      <c r="V1342" s="10"/>
      <c r="W1342" s="10"/>
      <c r="X1342" s="10"/>
      <c r="Y1342" s="10"/>
      <c r="Z1342" s="10"/>
      <c r="AA1342" s="11"/>
      <c r="AB1342" s="11"/>
    </row>
    <row r="1343" spans="2:28" x14ac:dyDescent="0.3">
      <c r="B1343" s="10" t="s">
        <v>400</v>
      </c>
      <c r="C1343" s="315"/>
      <c r="D1343" s="868" t="s">
        <v>164</v>
      </c>
      <c r="E1343" s="837" t="str">
        <f>IFERROR(IF(_xlfn.XLOOKUP(Imput[[#This Row],[RFC]],'Alta Proveedor'!D:D,'Alta Proveedor'!E:E)=0,"",_xlfn.XLOOKUP(Imput[[#This Row],[RFC]],'Alta Proveedor'!D:D,'Alta Proveedor'!E:E)),"")</f>
        <v>HOME DEPOT MEXICO SUCURSAL THD-8730 TAMPICO</v>
      </c>
      <c r="F1343" s="832" t="s">
        <v>3865</v>
      </c>
      <c r="G1343" s="187">
        <v>11</v>
      </c>
      <c r="H1343" s="1">
        <f>711.21/Imput[[#This Row],[Cantidad]]</f>
        <v>64.655454545454546</v>
      </c>
      <c r="I1343" s="169">
        <f>Imput[[#This Row],[Cantidad]]*Imput[[#This Row],[Precio Unitario]]</f>
        <v>711.21</v>
      </c>
      <c r="J1343" s="11">
        <f>((Imput[[#This Row],[Sub total]]-71.12)*(0.16))-0.002</f>
        <v>102.41240000000001</v>
      </c>
      <c r="K1343" s="11">
        <v>71.12</v>
      </c>
      <c r="L1343" s="169">
        <f>Imput[[#This Row],[Sub total]]+Imput[[#This Row],[IVA]]-Imput[[#This Row],[Retención / IEPS / Descuento]]</f>
        <v>742.50240000000008</v>
      </c>
      <c r="M1343" s="844">
        <v>0</v>
      </c>
      <c r="N1343" s="189" t="s">
        <v>123</v>
      </c>
      <c r="O1343" s="1"/>
      <c r="P1343" s="189" t="s">
        <v>4108</v>
      </c>
      <c r="Q1343" s="190" t="s">
        <v>4109</v>
      </c>
      <c r="R1343" s="188">
        <v>46003</v>
      </c>
      <c r="S1343" s="193" t="s">
        <v>126</v>
      </c>
      <c r="T1343" s="192"/>
      <c r="U1343" s="829"/>
      <c r="V1343" s="10"/>
      <c r="W1343" s="10"/>
      <c r="X1343" s="10"/>
      <c r="Y1343" s="10"/>
      <c r="Z1343" s="10"/>
      <c r="AA1343" s="11"/>
      <c r="AB1343" s="11"/>
    </row>
    <row r="1344" spans="2:28" x14ac:dyDescent="0.3">
      <c r="B1344" s="10" t="s">
        <v>400</v>
      </c>
      <c r="C1344" s="315"/>
      <c r="D1344" s="868" t="s">
        <v>164</v>
      </c>
      <c r="E1344" s="837" t="str">
        <f>IFERROR(IF(_xlfn.XLOOKUP(Imput[[#This Row],[RFC]],'Alta Proveedor'!D:D,'Alta Proveedor'!E:E)=0,"",_xlfn.XLOOKUP(Imput[[#This Row],[RFC]],'Alta Proveedor'!D:D,'Alta Proveedor'!E:E)),"")</f>
        <v>HOME DEPOT MEXICO SUCURSAL THD-8730 TAMPICO</v>
      </c>
      <c r="F1344" s="832" t="s">
        <v>4062</v>
      </c>
      <c r="G1344" s="187">
        <v>1</v>
      </c>
      <c r="H1344" s="1">
        <f>128.66/Imput[[#This Row],[Cantidad]]</f>
        <v>128.66</v>
      </c>
      <c r="I1344" s="169">
        <f>Imput[[#This Row],[Cantidad]]*Imput[[#This Row],[Precio Unitario]]</f>
        <v>128.66</v>
      </c>
      <c r="J1344" s="11">
        <f>((Imput[[#This Row],[Sub total]])*(0.16))</f>
        <v>20.585599999999999</v>
      </c>
      <c r="K1344" s="11">
        <v>0</v>
      </c>
      <c r="L1344" s="169">
        <f>Imput[[#This Row],[Sub total]]+Imput[[#This Row],[IVA]]-Imput[[#This Row],[Retención / IEPS / Descuento]]</f>
        <v>149.2456</v>
      </c>
      <c r="M1344" s="844">
        <v>0</v>
      </c>
      <c r="N1344" s="189" t="s">
        <v>123</v>
      </c>
      <c r="O1344" s="1"/>
      <c r="P1344" s="189" t="s">
        <v>4108</v>
      </c>
      <c r="Q1344" s="190" t="s">
        <v>4109</v>
      </c>
      <c r="R1344" s="188">
        <v>46003</v>
      </c>
      <c r="S1344" s="193" t="s">
        <v>126</v>
      </c>
      <c r="T1344" s="192"/>
      <c r="U1344" s="829"/>
      <c r="V1344" s="10"/>
      <c r="W1344" s="10"/>
      <c r="X1344" s="10"/>
      <c r="Y1344" s="10"/>
      <c r="Z1344" s="10"/>
      <c r="AA1344" s="11"/>
      <c r="AB1344" s="11"/>
    </row>
    <row r="1345" spans="2:28" x14ac:dyDescent="0.3">
      <c r="B1345" s="10" t="s">
        <v>400</v>
      </c>
      <c r="C1345" s="315"/>
      <c r="D1345" s="868" t="s">
        <v>164</v>
      </c>
      <c r="E1345" s="837" t="str">
        <f>IFERROR(IF(_xlfn.XLOOKUP(Imput[[#This Row],[RFC]],'Alta Proveedor'!D:D,'Alta Proveedor'!E:E)=0,"",_xlfn.XLOOKUP(Imput[[#This Row],[RFC]],'Alta Proveedor'!D:D,'Alta Proveedor'!E:E)),"")</f>
        <v>HOME DEPOT MEXICO SUCURSAL THD-8730 TAMPICO</v>
      </c>
      <c r="F1345" s="832" t="s">
        <v>3858</v>
      </c>
      <c r="G1345" s="187">
        <v>1</v>
      </c>
      <c r="H1345" s="1">
        <f>65.9/Imput[[#This Row],[Cantidad]]</f>
        <v>65.900000000000006</v>
      </c>
      <c r="I1345" s="169">
        <f>Imput[[#This Row],[Cantidad]]*Imput[[#This Row],[Precio Unitario]]</f>
        <v>65.900000000000006</v>
      </c>
      <c r="J1345" s="11">
        <f>((Imput[[#This Row],[Sub total]])*(0.16))</f>
        <v>10.544</v>
      </c>
      <c r="K1345" s="11">
        <v>0</v>
      </c>
      <c r="L1345" s="169">
        <f>Imput[[#This Row],[Sub total]]+Imput[[#This Row],[IVA]]-Imput[[#This Row],[Retención / IEPS / Descuento]]</f>
        <v>76.444000000000003</v>
      </c>
      <c r="M1345" s="844">
        <v>0</v>
      </c>
      <c r="N1345" s="189" t="s">
        <v>123</v>
      </c>
      <c r="O1345" s="1"/>
      <c r="P1345" s="189" t="s">
        <v>4108</v>
      </c>
      <c r="Q1345" s="190" t="s">
        <v>4109</v>
      </c>
      <c r="R1345" s="188">
        <v>46003</v>
      </c>
      <c r="S1345" s="193" t="s">
        <v>126</v>
      </c>
      <c r="T1345" s="192"/>
      <c r="U1345" s="829"/>
      <c r="V1345" s="10"/>
      <c r="W1345" s="10"/>
      <c r="X1345" s="10"/>
      <c r="Y1345" s="10"/>
      <c r="Z1345" s="10"/>
      <c r="AA1345" s="11"/>
      <c r="AB1345" s="11"/>
    </row>
    <row r="1346" spans="2:28" x14ac:dyDescent="0.3">
      <c r="B1346" s="10" t="s">
        <v>400</v>
      </c>
      <c r="C1346" s="315"/>
      <c r="D1346" s="868" t="s">
        <v>164</v>
      </c>
      <c r="E1346" s="837" t="str">
        <f>IFERROR(IF(_xlfn.XLOOKUP(Imput[[#This Row],[RFC]],'Alta Proveedor'!D:D,'Alta Proveedor'!E:E)=0,"",_xlfn.XLOOKUP(Imput[[#This Row],[RFC]],'Alta Proveedor'!D:D,'Alta Proveedor'!E:E)),"")</f>
        <v>HOME DEPOT MEXICO SUCURSAL THD-8730 TAMPICO</v>
      </c>
      <c r="F1346" s="832" t="s">
        <v>4110</v>
      </c>
      <c r="G1346" s="187">
        <v>1</v>
      </c>
      <c r="H1346" s="1">
        <f>190.09/Imput[[#This Row],[Cantidad]]</f>
        <v>190.09</v>
      </c>
      <c r="I1346" s="169">
        <f>Imput[[#This Row],[Cantidad]]*Imput[[#This Row],[Precio Unitario]]</f>
        <v>190.09</v>
      </c>
      <c r="J1346" s="11">
        <f>((Imput[[#This Row],[Sub total]])*(0.16))</f>
        <v>30.414400000000001</v>
      </c>
      <c r="K1346" s="11">
        <v>0</v>
      </c>
      <c r="L1346" s="169">
        <f>Imput[[#This Row],[Sub total]]+Imput[[#This Row],[IVA]]-Imput[[#This Row],[Retención / IEPS / Descuento]]</f>
        <v>220.5044</v>
      </c>
      <c r="M1346" s="844">
        <v>0</v>
      </c>
      <c r="N1346" s="189" t="s">
        <v>123</v>
      </c>
      <c r="O1346" s="1"/>
      <c r="P1346" s="189" t="s">
        <v>4108</v>
      </c>
      <c r="Q1346" s="190" t="s">
        <v>4109</v>
      </c>
      <c r="R1346" s="188">
        <v>46003</v>
      </c>
      <c r="S1346" s="193" t="s">
        <v>126</v>
      </c>
      <c r="T1346" s="192"/>
      <c r="U1346" s="829"/>
      <c r="V1346" s="10"/>
      <c r="W1346" s="10"/>
      <c r="X1346" s="10"/>
      <c r="Y1346" s="10"/>
      <c r="Z1346" s="10"/>
      <c r="AA1346" s="11"/>
      <c r="AB1346" s="11"/>
    </row>
    <row r="1347" spans="2:28" x14ac:dyDescent="0.3">
      <c r="B1347" s="10" t="s">
        <v>400</v>
      </c>
      <c r="C1347" s="315"/>
      <c r="D1347" s="868" t="s">
        <v>164</v>
      </c>
      <c r="E1347" s="837" t="str">
        <f>IFERROR(IF(_xlfn.XLOOKUP(Imput[[#This Row],[RFC]],'Alta Proveedor'!D:D,'Alta Proveedor'!E:E)=0,"",_xlfn.XLOOKUP(Imput[[#This Row],[RFC]],'Alta Proveedor'!D:D,'Alta Proveedor'!E:E)),"")</f>
        <v>HOME DEPOT MEXICO SUCURSAL THD-8730 TAMPICO</v>
      </c>
      <c r="F1347" s="832" t="s">
        <v>4111</v>
      </c>
      <c r="G1347" s="187">
        <v>1</v>
      </c>
      <c r="H1347" s="1">
        <f>40.55/Imput[[#This Row],[Cantidad]]</f>
        <v>40.549999999999997</v>
      </c>
      <c r="I1347" s="169">
        <f>Imput[[#This Row],[Cantidad]]*Imput[[#This Row],[Precio Unitario]]</f>
        <v>40.549999999999997</v>
      </c>
      <c r="J1347" s="11">
        <f>((Imput[[#This Row],[Sub total]])*(0.16))</f>
        <v>6.4879999999999995</v>
      </c>
      <c r="K1347" s="11">
        <v>0</v>
      </c>
      <c r="L1347" s="169">
        <f>Imput[[#This Row],[Sub total]]+Imput[[#This Row],[IVA]]-Imput[[#This Row],[Retención / IEPS / Descuento]]</f>
        <v>47.037999999999997</v>
      </c>
      <c r="M1347" s="844">
        <v>0</v>
      </c>
      <c r="N1347" s="189" t="s">
        <v>123</v>
      </c>
      <c r="O1347" s="1"/>
      <c r="P1347" s="189" t="s">
        <v>4108</v>
      </c>
      <c r="Q1347" s="190" t="s">
        <v>4109</v>
      </c>
      <c r="R1347" s="188">
        <v>46003</v>
      </c>
      <c r="S1347" s="193" t="s">
        <v>126</v>
      </c>
      <c r="T1347" s="192"/>
      <c r="U1347" s="829"/>
      <c r="V1347" s="10"/>
      <c r="W1347" s="10"/>
      <c r="X1347" s="10"/>
      <c r="Y1347" s="10"/>
      <c r="Z1347" s="10"/>
      <c r="AA1347" s="11"/>
      <c r="AB1347" s="11"/>
    </row>
    <row r="1348" spans="2:28" x14ac:dyDescent="0.3">
      <c r="B1348" s="10" t="s">
        <v>400</v>
      </c>
      <c r="C1348" s="315"/>
      <c r="D1348" s="868" t="s">
        <v>164</v>
      </c>
      <c r="E1348" s="837" t="str">
        <f>IFERROR(IF(_xlfn.XLOOKUP(Imput[[#This Row],[RFC]],'Alta Proveedor'!D:D,'Alta Proveedor'!E:E)=0,"",_xlfn.XLOOKUP(Imput[[#This Row],[RFC]],'Alta Proveedor'!D:D,'Alta Proveedor'!E:E)),"")</f>
        <v>HOME DEPOT MEXICO SUCURSAL THD-8730 TAMPICO</v>
      </c>
      <c r="F1348" s="832" t="s">
        <v>3628</v>
      </c>
      <c r="G1348" s="187">
        <v>6</v>
      </c>
      <c r="H1348" s="1">
        <f>887.02/Imput[[#This Row],[Cantidad]]</f>
        <v>147.83666666666667</v>
      </c>
      <c r="I1348" s="169">
        <f>Imput[[#This Row],[Cantidad]]*Imput[[#This Row],[Precio Unitario]]</f>
        <v>887.02</v>
      </c>
      <c r="J1348" s="11">
        <f>((Imput[[#This Row],[Sub total]])*(0.16))</f>
        <v>141.92320000000001</v>
      </c>
      <c r="K1348" s="11">
        <v>0</v>
      </c>
      <c r="L1348" s="169">
        <f>Imput[[#This Row],[Sub total]]+Imput[[#This Row],[IVA]]-Imput[[#This Row],[Retención / IEPS / Descuento]]</f>
        <v>1028.9431999999999</v>
      </c>
      <c r="M1348" s="844">
        <v>0</v>
      </c>
      <c r="N1348" s="189" t="s">
        <v>123</v>
      </c>
      <c r="O1348" s="1"/>
      <c r="P1348" s="189" t="s">
        <v>4108</v>
      </c>
      <c r="Q1348" s="190" t="s">
        <v>4109</v>
      </c>
      <c r="R1348" s="188">
        <v>46003</v>
      </c>
      <c r="S1348" s="193" t="s">
        <v>126</v>
      </c>
      <c r="T1348" s="192"/>
      <c r="U1348" s="829"/>
      <c r="V1348" s="10"/>
      <c r="W1348" s="10"/>
      <c r="X1348" s="10"/>
      <c r="Y1348" s="10"/>
      <c r="Z1348" s="10"/>
      <c r="AA1348" s="11"/>
      <c r="AB1348" s="11"/>
    </row>
    <row r="1349" spans="2:28" x14ac:dyDescent="0.3">
      <c r="B1349" s="10" t="s">
        <v>400</v>
      </c>
      <c r="C1349" s="315"/>
      <c r="D1349" s="868" t="s">
        <v>164</v>
      </c>
      <c r="E1349" s="837" t="str">
        <f>IFERROR(IF(_xlfn.XLOOKUP(Imput[[#This Row],[RFC]],'Alta Proveedor'!D:D,'Alta Proveedor'!E:E)=0,"",_xlfn.XLOOKUP(Imput[[#This Row],[RFC]],'Alta Proveedor'!D:D,'Alta Proveedor'!E:E)),"")</f>
        <v>HOME DEPOT MEXICO SUCURSAL THD-8730 TAMPICO</v>
      </c>
      <c r="F1349" s="832" t="s">
        <v>4112</v>
      </c>
      <c r="G1349" s="187">
        <v>2</v>
      </c>
      <c r="H1349" s="1">
        <f>235.34/Imput[[#This Row],[Cantidad]]</f>
        <v>117.67</v>
      </c>
      <c r="I1349" s="169">
        <f>Imput[[#This Row],[Cantidad]]*Imput[[#This Row],[Precio Unitario]]</f>
        <v>235.34</v>
      </c>
      <c r="J1349" s="11">
        <f>((Imput[[#This Row],[Sub total]])*(0.16))</f>
        <v>37.654400000000003</v>
      </c>
      <c r="K1349" s="11">
        <v>0</v>
      </c>
      <c r="L1349" s="169">
        <f>Imput[[#This Row],[Sub total]]+Imput[[#This Row],[IVA]]-Imput[[#This Row],[Retención / IEPS / Descuento]]</f>
        <v>272.99439999999998</v>
      </c>
      <c r="M1349" s="844">
        <v>0</v>
      </c>
      <c r="N1349" s="189" t="s">
        <v>123</v>
      </c>
      <c r="O1349" s="1"/>
      <c r="P1349" s="189" t="s">
        <v>4108</v>
      </c>
      <c r="Q1349" s="190" t="s">
        <v>4109</v>
      </c>
      <c r="R1349" s="188">
        <v>46003</v>
      </c>
      <c r="S1349" s="193" t="s">
        <v>126</v>
      </c>
      <c r="T1349" s="192"/>
      <c r="U1349" s="829"/>
      <c r="V1349" s="10"/>
      <c r="W1349" s="10"/>
      <c r="X1349" s="10"/>
      <c r="Y1349" s="10"/>
      <c r="Z1349" s="10"/>
      <c r="AA1349" s="11"/>
      <c r="AB1349" s="11"/>
    </row>
    <row r="1350" spans="2:28" x14ac:dyDescent="0.3">
      <c r="B1350" s="10" t="s">
        <v>400</v>
      </c>
      <c r="C1350" s="315"/>
      <c r="D1350" s="868" t="s">
        <v>164</v>
      </c>
      <c r="E1350" s="837" t="str">
        <f>IFERROR(IF(_xlfn.XLOOKUP(Imput[[#This Row],[RFC]],'Alta Proveedor'!D:D,'Alta Proveedor'!E:E)=0,"",_xlfn.XLOOKUP(Imput[[#This Row],[RFC]],'Alta Proveedor'!D:D,'Alta Proveedor'!E:E)),"")</f>
        <v>HOME DEPOT MEXICO SUCURSAL THD-8730 TAMPICO</v>
      </c>
      <c r="F1350" s="832" t="s">
        <v>4113</v>
      </c>
      <c r="G1350" s="187">
        <v>3</v>
      </c>
      <c r="H1350" s="1">
        <f>757.24/Imput[[#This Row],[Cantidad]]</f>
        <v>252.41333333333333</v>
      </c>
      <c r="I1350" s="169">
        <f>Imput[[#This Row],[Cantidad]]*Imput[[#This Row],[Precio Unitario]]</f>
        <v>757.24</v>
      </c>
      <c r="J1350" s="11">
        <f>((Imput[[#This Row],[Sub total]])*(0.16))</f>
        <v>121.1584</v>
      </c>
      <c r="K1350" s="11">
        <v>0</v>
      </c>
      <c r="L1350" s="169">
        <f>Imput[[#This Row],[Sub total]]+Imput[[#This Row],[IVA]]-Imput[[#This Row],[Retención / IEPS / Descuento]]</f>
        <v>878.39840000000004</v>
      </c>
      <c r="M1350" s="844">
        <v>0</v>
      </c>
      <c r="N1350" s="189" t="s">
        <v>123</v>
      </c>
      <c r="O1350" s="1"/>
      <c r="P1350" s="189" t="s">
        <v>4108</v>
      </c>
      <c r="Q1350" s="190" t="s">
        <v>4109</v>
      </c>
      <c r="R1350" s="188">
        <v>46003</v>
      </c>
      <c r="S1350" s="193" t="s">
        <v>126</v>
      </c>
      <c r="T1350" s="192"/>
      <c r="U1350" s="829"/>
      <c r="V1350" s="10"/>
      <c r="W1350" s="10"/>
      <c r="X1350" s="10"/>
      <c r="Y1350" s="10"/>
      <c r="Z1350" s="10"/>
      <c r="AA1350" s="11"/>
      <c r="AB1350" s="11"/>
    </row>
    <row r="1351" spans="2:28" x14ac:dyDescent="0.3">
      <c r="B1351" s="10" t="s">
        <v>400</v>
      </c>
      <c r="C1351" s="315"/>
      <c r="D1351" s="868" t="s">
        <v>164</v>
      </c>
      <c r="E1351" s="837" t="str">
        <f>IFERROR(IF(_xlfn.XLOOKUP(Imput[[#This Row],[RFC]],'Alta Proveedor'!D:D,'Alta Proveedor'!E:E)=0,"",_xlfn.XLOOKUP(Imput[[#This Row],[RFC]],'Alta Proveedor'!D:D,'Alta Proveedor'!E:E)),"")</f>
        <v>HOME DEPOT MEXICO SUCURSAL THD-8730 TAMPICO</v>
      </c>
      <c r="F1351" s="832" t="s">
        <v>3848</v>
      </c>
      <c r="G1351" s="187">
        <v>28</v>
      </c>
      <c r="H1351" s="1">
        <f>366.9/Imput[[#This Row],[Cantidad]]</f>
        <v>13.103571428571428</v>
      </c>
      <c r="I1351" s="169">
        <f>Imput[[#This Row],[Cantidad]]*Imput[[#This Row],[Precio Unitario]]</f>
        <v>366.9</v>
      </c>
      <c r="J1351" s="11">
        <f>((Imput[[#This Row],[Sub total]])*(0.16))</f>
        <v>58.704000000000001</v>
      </c>
      <c r="K1351" s="11">
        <v>0</v>
      </c>
      <c r="L1351" s="169">
        <f>Imput[[#This Row],[Sub total]]+Imput[[#This Row],[IVA]]-Imput[[#This Row],[Retención / IEPS / Descuento]]</f>
        <v>425.60399999999998</v>
      </c>
      <c r="M1351" s="844">
        <v>0</v>
      </c>
      <c r="N1351" s="189" t="s">
        <v>123</v>
      </c>
      <c r="O1351" s="1"/>
      <c r="P1351" s="189" t="s">
        <v>4108</v>
      </c>
      <c r="Q1351" s="190" t="s">
        <v>4109</v>
      </c>
      <c r="R1351" s="188">
        <v>46003</v>
      </c>
      <c r="S1351" s="193" t="s">
        <v>126</v>
      </c>
      <c r="T1351" s="192"/>
      <c r="U1351" s="829"/>
      <c r="V1351" s="10"/>
      <c r="W1351" s="10"/>
      <c r="X1351" s="10"/>
      <c r="Y1351" s="10"/>
      <c r="Z1351" s="10"/>
      <c r="AA1351" s="11"/>
      <c r="AB1351" s="11"/>
    </row>
    <row r="1352" spans="2:28" x14ac:dyDescent="0.3">
      <c r="B1352" s="10" t="s">
        <v>400</v>
      </c>
      <c r="C1352" s="315"/>
      <c r="D1352" s="868" t="s">
        <v>164</v>
      </c>
      <c r="E1352" s="837" t="str">
        <f>IFERROR(IF(_xlfn.XLOOKUP(Imput[[#This Row],[RFC]],'Alta Proveedor'!D:D,'Alta Proveedor'!E:E)=0,"",_xlfn.XLOOKUP(Imput[[#This Row],[RFC]],'Alta Proveedor'!D:D,'Alta Proveedor'!E:E)),"")</f>
        <v>HOME DEPOT MEXICO SUCURSAL THD-8730 TAMPICO</v>
      </c>
      <c r="F1352" s="832" t="s">
        <v>4074</v>
      </c>
      <c r="G1352" s="187">
        <v>28</v>
      </c>
      <c r="H1352" s="1">
        <f>894.31/Imput[[#This Row],[Cantidad]]</f>
        <v>31.939642857142854</v>
      </c>
      <c r="I1352" s="169">
        <f>Imput[[#This Row],[Cantidad]]*Imput[[#This Row],[Precio Unitario]]</f>
        <v>894.31</v>
      </c>
      <c r="J1352" s="11">
        <f>((Imput[[#This Row],[Sub total]])*(0.16))</f>
        <v>143.08959999999999</v>
      </c>
      <c r="K1352" s="11">
        <v>0</v>
      </c>
      <c r="L1352" s="169">
        <f>Imput[[#This Row],[Sub total]]+Imput[[#This Row],[IVA]]-Imput[[#This Row],[Retención / IEPS / Descuento]]</f>
        <v>1037.3996</v>
      </c>
      <c r="M1352" s="844">
        <v>0</v>
      </c>
      <c r="N1352" s="189" t="s">
        <v>123</v>
      </c>
      <c r="O1352" s="1"/>
      <c r="P1352" s="189" t="s">
        <v>4108</v>
      </c>
      <c r="Q1352" s="190" t="s">
        <v>4109</v>
      </c>
      <c r="R1352" s="188">
        <v>46003</v>
      </c>
      <c r="S1352" s="193" t="s">
        <v>126</v>
      </c>
      <c r="T1352" s="192"/>
      <c r="U1352" s="829"/>
      <c r="V1352" s="10"/>
      <c r="W1352" s="10"/>
      <c r="X1352" s="10"/>
      <c r="Y1352" s="10"/>
      <c r="Z1352" s="10"/>
      <c r="AA1352" s="11"/>
      <c r="AB1352" s="11"/>
    </row>
    <row r="1353" spans="2:28" x14ac:dyDescent="0.3">
      <c r="B1353" s="10" t="s">
        <v>400</v>
      </c>
      <c r="C1353" s="315"/>
      <c r="D1353" s="868" t="s">
        <v>164</v>
      </c>
      <c r="E1353" s="837" t="str">
        <f>IFERROR(IF(_xlfn.XLOOKUP(Imput[[#This Row],[RFC]],'Alta Proveedor'!D:D,'Alta Proveedor'!E:E)=0,"",_xlfn.XLOOKUP(Imput[[#This Row],[RFC]],'Alta Proveedor'!D:D,'Alta Proveedor'!E:E)),"")</f>
        <v>HOME DEPOT MEXICO SUCURSAL THD-8730 TAMPICO</v>
      </c>
      <c r="F1353" s="832" t="s">
        <v>3862</v>
      </c>
      <c r="G1353" s="187">
        <v>10</v>
      </c>
      <c r="H1353" s="1">
        <f>1741.38/Imput[[#This Row],[Cantidad]]</f>
        <v>174.13800000000001</v>
      </c>
      <c r="I1353" s="169">
        <f>Imput[[#This Row],[Cantidad]]*Imput[[#This Row],[Precio Unitario]]</f>
        <v>1741.38</v>
      </c>
      <c r="J1353" s="11">
        <f>((Imput[[#This Row],[Sub total]]-198.28)*(0.16))</f>
        <v>246.89600000000002</v>
      </c>
      <c r="K1353" s="11">
        <v>198.28</v>
      </c>
      <c r="L1353" s="169">
        <f>Imput[[#This Row],[Sub total]]+Imput[[#This Row],[IVA]]-Imput[[#This Row],[Retención / IEPS / Descuento]]</f>
        <v>1789.9960000000001</v>
      </c>
      <c r="M1353" s="844">
        <v>0</v>
      </c>
      <c r="N1353" s="189" t="s">
        <v>123</v>
      </c>
      <c r="O1353" s="1"/>
      <c r="P1353" s="189" t="s">
        <v>4108</v>
      </c>
      <c r="Q1353" s="190" t="s">
        <v>4109</v>
      </c>
      <c r="R1353" s="188">
        <v>46003</v>
      </c>
      <c r="S1353" s="193" t="s">
        <v>126</v>
      </c>
      <c r="T1353" s="192"/>
      <c r="U1353" s="829"/>
      <c r="V1353" s="10"/>
      <c r="W1353" s="10"/>
      <c r="X1353" s="10"/>
      <c r="Y1353" s="10"/>
      <c r="Z1353" s="10"/>
      <c r="AA1353" s="11"/>
      <c r="AB1353" s="11"/>
    </row>
    <row r="1354" spans="2:28" x14ac:dyDescent="0.3">
      <c r="B1354" s="10" t="s">
        <v>378</v>
      </c>
      <c r="C1354" s="315"/>
      <c r="D1354" s="868" t="s">
        <v>4116</v>
      </c>
      <c r="E1354" s="837" t="str">
        <f>IFERROR(IF(_xlfn.XLOOKUP(Imput[[#This Row],[RFC]],'Alta Proveedor'!D:D,'Alta Proveedor'!E:E)=0,"",_xlfn.XLOOKUP(Imput[[#This Row],[RFC]],'Alta Proveedor'!D:D,'Alta Proveedor'!E:E)),"")</f>
        <v>PASE, SERVICIOS ELECTRONICOS</v>
      </c>
      <c r="F1354" s="832" t="s">
        <v>4146</v>
      </c>
      <c r="G1354" s="187">
        <v>1</v>
      </c>
      <c r="H1354" s="1">
        <v>159</v>
      </c>
      <c r="I1354" s="169">
        <f>Imput[[#This Row],[Cantidad]]*Imput[[#This Row],[Precio Unitario]]</f>
        <v>159</v>
      </c>
      <c r="J1354" s="11">
        <v>0</v>
      </c>
      <c r="K1354" s="11">
        <v>0</v>
      </c>
      <c r="L1354" s="169">
        <f>Imput[[#This Row],[Sub total]]+Imput[[#This Row],[IVA]]-Imput[[#This Row],[Retención / IEPS / Descuento]]</f>
        <v>159</v>
      </c>
      <c r="M1354" s="844">
        <v>159</v>
      </c>
      <c r="N1354" s="189" t="s">
        <v>123</v>
      </c>
      <c r="O1354" s="1"/>
      <c r="P1354" s="189" t="s">
        <v>4114</v>
      </c>
      <c r="Q1354" s="190" t="s">
        <v>4115</v>
      </c>
      <c r="R1354" s="188">
        <v>45716</v>
      </c>
      <c r="S1354" s="193" t="s">
        <v>126</v>
      </c>
      <c r="T1354" s="192"/>
      <c r="U1354" s="829"/>
      <c r="V1354" s="10"/>
      <c r="W1354" s="10"/>
      <c r="X1354" s="10"/>
      <c r="Y1354" s="10"/>
      <c r="Z1354" s="10"/>
      <c r="AA1354" s="11"/>
      <c r="AB1354" s="11"/>
    </row>
    <row r="1355" spans="2:28" x14ac:dyDescent="0.3">
      <c r="B1355" s="10" t="s">
        <v>402</v>
      </c>
      <c r="C1355" s="315"/>
      <c r="D1355" s="868" t="s">
        <v>4116</v>
      </c>
      <c r="E1355" s="837" t="str">
        <f>IFERROR(IF(_xlfn.XLOOKUP(Imput[[#This Row],[RFC]],'Alta Proveedor'!D:D,'Alta Proveedor'!E:E)=0,"",_xlfn.XLOOKUP(Imput[[#This Row],[RFC]],'Alta Proveedor'!D:D,'Alta Proveedor'!E:E)),"")</f>
        <v>PASE, SERVICIOS ELECTRONICOS</v>
      </c>
      <c r="F1355" s="832" t="s">
        <v>4147</v>
      </c>
      <c r="G1355" s="187">
        <v>1</v>
      </c>
      <c r="H1355" s="1">
        <v>1383.62</v>
      </c>
      <c r="I1355" s="169">
        <f>Imput[[#This Row],[Cantidad]]*Imput[[#This Row],[Precio Unitario]]</f>
        <v>1383.62</v>
      </c>
      <c r="J1355" s="11">
        <f>((Imput[[#This Row],[Sub total]])*(0.16))</f>
        <v>221.3792</v>
      </c>
      <c r="K1355" s="11">
        <v>0</v>
      </c>
      <c r="L1355" s="169">
        <f>Imput[[#This Row],[Sub total]]+Imput[[#This Row],[IVA]]-Imput[[#This Row],[Retención / IEPS / Descuento]]</f>
        <v>1604.9992</v>
      </c>
      <c r="M1355" s="844">
        <v>1604.9992</v>
      </c>
      <c r="N1355" s="189" t="s">
        <v>123</v>
      </c>
      <c r="O1355" s="1"/>
      <c r="P1355" s="189" t="s">
        <v>4118</v>
      </c>
      <c r="Q1355" s="190" t="s">
        <v>4119</v>
      </c>
      <c r="R1355" s="188">
        <v>46008</v>
      </c>
      <c r="S1355" s="193" t="s">
        <v>126</v>
      </c>
      <c r="T1355" s="192"/>
      <c r="U1355" s="829"/>
      <c r="V1355" s="10"/>
      <c r="W1355" s="10"/>
      <c r="X1355" s="10"/>
      <c r="Y1355" s="10"/>
      <c r="Z1355" s="10"/>
      <c r="AA1355" s="11"/>
      <c r="AB1355" s="11"/>
    </row>
    <row r="1356" spans="2:28" x14ac:dyDescent="0.3">
      <c r="B1356" s="10" t="s">
        <v>378</v>
      </c>
      <c r="C1356" s="315"/>
      <c r="D1356" s="868" t="s">
        <v>4116</v>
      </c>
      <c r="E1356" s="837" t="str">
        <f>IFERROR(IF(_xlfn.XLOOKUP(Imput[[#This Row],[RFC]],'Alta Proveedor'!D:D,'Alta Proveedor'!E:E)=0,"",_xlfn.XLOOKUP(Imput[[#This Row],[RFC]],'Alta Proveedor'!D:D,'Alta Proveedor'!E:E)),"")</f>
        <v>PASE, SERVICIOS ELECTRONICOS</v>
      </c>
      <c r="F1356" s="832" t="s">
        <v>4146</v>
      </c>
      <c r="G1356" s="187">
        <v>1</v>
      </c>
      <c r="H1356" s="1">
        <v>3412.93</v>
      </c>
      <c r="I1356" s="169">
        <f>Imput[[#This Row],[Cantidad]]*Imput[[#This Row],[Precio Unitario]]</f>
        <v>3412.93</v>
      </c>
      <c r="J1356" s="11">
        <f>((Imput[[#This Row],[Sub total]])*(0.16))</f>
        <v>546.06880000000001</v>
      </c>
      <c r="K1356" s="11">
        <v>0</v>
      </c>
      <c r="L1356" s="169">
        <f>Imput[[#This Row],[Sub total]]+Imput[[#This Row],[IVA]]-Imput[[#This Row],[Retención / IEPS / Descuento]]</f>
        <v>3958.9987999999998</v>
      </c>
      <c r="M1356" s="844">
        <v>3958.9987999999998</v>
      </c>
      <c r="N1356" s="189" t="s">
        <v>123</v>
      </c>
      <c r="O1356" s="1"/>
      <c r="P1356" s="189" t="s">
        <v>4120</v>
      </c>
      <c r="Q1356" s="190" t="s">
        <v>4121</v>
      </c>
      <c r="R1356" s="188">
        <v>45716</v>
      </c>
      <c r="S1356" s="193" t="s">
        <v>126</v>
      </c>
      <c r="T1356" s="192"/>
      <c r="U1356" s="829"/>
      <c r="V1356" s="10"/>
      <c r="W1356" s="10"/>
      <c r="X1356" s="10"/>
      <c r="Y1356" s="10"/>
      <c r="Z1356" s="10"/>
      <c r="AA1356" s="11"/>
      <c r="AB1356" s="11"/>
    </row>
    <row r="1357" spans="2:28" x14ac:dyDescent="0.3">
      <c r="B1357" s="10" t="s">
        <v>378</v>
      </c>
      <c r="C1357" s="315"/>
      <c r="D1357" s="868" t="s">
        <v>4116</v>
      </c>
      <c r="E1357" s="837" t="str">
        <f>IFERROR(IF(_xlfn.XLOOKUP(Imput[[#This Row],[RFC]],'Alta Proveedor'!D:D,'Alta Proveedor'!E:E)=0,"",_xlfn.XLOOKUP(Imput[[#This Row],[RFC]],'Alta Proveedor'!D:D,'Alta Proveedor'!E:E)),"")</f>
        <v>PASE, SERVICIOS ELECTRONICOS</v>
      </c>
      <c r="F1357" s="832" t="s">
        <v>4148</v>
      </c>
      <c r="G1357" s="187">
        <v>1</v>
      </c>
      <c r="H1357" s="1">
        <v>2290.52</v>
      </c>
      <c r="I1357" s="169">
        <f>Imput[[#This Row],[Cantidad]]*Imput[[#This Row],[Precio Unitario]]</f>
        <v>2290.52</v>
      </c>
      <c r="J1357" s="11">
        <f>((Imput[[#This Row],[Sub total]])*(0.16))</f>
        <v>366.48320000000001</v>
      </c>
      <c r="K1357" s="11">
        <v>0</v>
      </c>
      <c r="L1357" s="169">
        <f>Imput[[#This Row],[Sub total]]+Imput[[#This Row],[IVA]]-Imput[[#This Row],[Retención / IEPS / Descuento]]</f>
        <v>2657.0032000000001</v>
      </c>
      <c r="M1357" s="844">
        <v>2657.0032000000001</v>
      </c>
      <c r="N1357" s="189" t="s">
        <v>123</v>
      </c>
      <c r="O1357" s="1"/>
      <c r="P1357" s="189" t="s">
        <v>4122</v>
      </c>
      <c r="Q1357" s="190" t="s">
        <v>4123</v>
      </c>
      <c r="R1357" s="188">
        <v>45747</v>
      </c>
      <c r="S1357" s="193" t="s">
        <v>126</v>
      </c>
      <c r="T1357" s="192"/>
      <c r="U1357" s="829"/>
      <c r="V1357" s="10"/>
      <c r="W1357" s="10"/>
      <c r="X1357" s="10"/>
      <c r="Y1357" s="10"/>
      <c r="Z1357" s="10"/>
      <c r="AA1357" s="11"/>
      <c r="AB1357" s="11"/>
    </row>
    <row r="1358" spans="2:28" x14ac:dyDescent="0.3">
      <c r="B1358" s="10" t="s">
        <v>378</v>
      </c>
      <c r="C1358" s="315"/>
      <c r="D1358" s="868" t="s">
        <v>4116</v>
      </c>
      <c r="E1358" s="837" t="str">
        <f>IFERROR(IF(_xlfn.XLOOKUP(Imput[[#This Row],[RFC]],'Alta Proveedor'!D:D,'Alta Proveedor'!E:E)=0,"",_xlfn.XLOOKUP(Imput[[#This Row],[RFC]],'Alta Proveedor'!D:D,'Alta Proveedor'!E:E)),"")</f>
        <v>PASE, SERVICIOS ELECTRONICOS</v>
      </c>
      <c r="F1358" s="832" t="s">
        <v>4149</v>
      </c>
      <c r="G1358" s="187">
        <v>1</v>
      </c>
      <c r="H1358" s="1">
        <v>950.86</v>
      </c>
      <c r="I1358" s="169">
        <f>Imput[[#This Row],[Cantidad]]*Imput[[#This Row],[Precio Unitario]]</f>
        <v>950.86</v>
      </c>
      <c r="J1358" s="11">
        <f>((Imput[[#This Row],[Sub total]])*(0.16))</f>
        <v>152.13759999999999</v>
      </c>
      <c r="K1358" s="11">
        <v>0</v>
      </c>
      <c r="L1358" s="169">
        <f>Imput[[#This Row],[Sub total]]+Imput[[#This Row],[IVA]]-Imput[[#This Row],[Retención / IEPS / Descuento]]</f>
        <v>1102.9975999999999</v>
      </c>
      <c r="M1358" s="844">
        <v>1102.9975999999999</v>
      </c>
      <c r="N1358" s="189" t="s">
        <v>123</v>
      </c>
      <c r="O1358" s="1"/>
      <c r="P1358" s="189" t="s">
        <v>4124</v>
      </c>
      <c r="Q1358" s="190" t="s">
        <v>4125</v>
      </c>
      <c r="R1358" s="188">
        <v>45777</v>
      </c>
      <c r="S1358" s="193" t="s">
        <v>126</v>
      </c>
      <c r="T1358" s="192"/>
      <c r="U1358" s="829"/>
      <c r="V1358" s="10"/>
      <c r="W1358" s="10"/>
      <c r="X1358" s="10"/>
      <c r="Y1358" s="10"/>
      <c r="Z1358" s="10"/>
      <c r="AA1358" s="11"/>
      <c r="AB1358" s="11"/>
    </row>
    <row r="1359" spans="2:28" x14ac:dyDescent="0.3">
      <c r="B1359" s="10" t="s">
        <v>378</v>
      </c>
      <c r="C1359" s="315"/>
      <c r="D1359" s="868" t="s">
        <v>4116</v>
      </c>
      <c r="E1359" s="837" t="str">
        <f>IFERROR(IF(_xlfn.XLOOKUP(Imput[[#This Row],[RFC]],'Alta Proveedor'!D:D,'Alta Proveedor'!E:E)=0,"",_xlfn.XLOOKUP(Imput[[#This Row],[RFC]],'Alta Proveedor'!D:D,'Alta Proveedor'!E:E)),"")</f>
        <v>PASE, SERVICIOS ELECTRONICOS</v>
      </c>
      <c r="F1359" s="832" t="s">
        <v>4150</v>
      </c>
      <c r="G1359" s="187">
        <v>1</v>
      </c>
      <c r="H1359" s="1">
        <v>152.59</v>
      </c>
      <c r="I1359" s="169">
        <f>Imput[[#This Row],[Cantidad]]*Imput[[#This Row],[Precio Unitario]]</f>
        <v>152.59</v>
      </c>
      <c r="J1359" s="11">
        <f>((Imput[[#This Row],[Sub total]])*(0.16))</f>
        <v>24.414400000000001</v>
      </c>
      <c r="K1359" s="11">
        <v>0</v>
      </c>
      <c r="L1359" s="169">
        <f>Imput[[#This Row],[Sub total]]+Imput[[#This Row],[IVA]]-Imput[[#This Row],[Retención / IEPS / Descuento]]</f>
        <v>177.0044</v>
      </c>
      <c r="M1359" s="844">
        <v>177.0044</v>
      </c>
      <c r="N1359" s="189" t="s">
        <v>123</v>
      </c>
      <c r="O1359" s="1"/>
      <c r="P1359" s="189" t="s">
        <v>4126</v>
      </c>
      <c r="Q1359" s="190" t="s">
        <v>4127</v>
      </c>
      <c r="R1359" s="188">
        <v>45808</v>
      </c>
      <c r="S1359" s="193" t="s">
        <v>126</v>
      </c>
      <c r="T1359" s="192"/>
      <c r="U1359" s="829"/>
      <c r="V1359" s="10"/>
      <c r="W1359" s="10"/>
      <c r="X1359" s="10"/>
      <c r="Y1359" s="10"/>
      <c r="Z1359" s="10"/>
      <c r="AA1359" s="11"/>
      <c r="AB1359" s="11"/>
    </row>
    <row r="1360" spans="2:28" x14ac:dyDescent="0.3">
      <c r="B1360" s="10" t="s">
        <v>385</v>
      </c>
      <c r="C1360" s="315"/>
      <c r="D1360" s="868" t="s">
        <v>4116</v>
      </c>
      <c r="E1360" s="837" t="str">
        <f>IFERROR(IF(_xlfn.XLOOKUP(Imput[[#This Row],[RFC]],'Alta Proveedor'!D:D,'Alta Proveedor'!E:E)=0,"",_xlfn.XLOOKUP(Imput[[#This Row],[RFC]],'Alta Proveedor'!D:D,'Alta Proveedor'!E:E)),"")</f>
        <v>PASE, SERVICIOS ELECTRONICOS</v>
      </c>
      <c r="F1360" s="832" t="s">
        <v>4147</v>
      </c>
      <c r="G1360" s="187">
        <v>1</v>
      </c>
      <c r="H1360" s="1">
        <v>2465.52</v>
      </c>
      <c r="I1360" s="169">
        <f>Imput[[#This Row],[Cantidad]]*Imput[[#This Row],[Precio Unitario]]</f>
        <v>2465.52</v>
      </c>
      <c r="J1360" s="11">
        <f>((Imput[[#This Row],[Sub total]])*(0.16))</f>
        <v>394.48320000000001</v>
      </c>
      <c r="K1360" s="11">
        <v>0</v>
      </c>
      <c r="L1360" s="169">
        <f>Imput[[#This Row],[Sub total]]+Imput[[#This Row],[IVA]]-Imput[[#This Row],[Retención / IEPS / Descuento]]</f>
        <v>2860.0032000000001</v>
      </c>
      <c r="M1360" s="844">
        <v>2860.0032000000001</v>
      </c>
      <c r="N1360" s="189" t="s">
        <v>123</v>
      </c>
      <c r="O1360" s="1"/>
      <c r="P1360" s="189" t="s">
        <v>4128</v>
      </c>
      <c r="Q1360" s="190" t="s">
        <v>4129</v>
      </c>
      <c r="R1360" s="188">
        <v>45900</v>
      </c>
      <c r="S1360" s="193" t="s">
        <v>126</v>
      </c>
      <c r="T1360" s="192"/>
      <c r="U1360" s="829"/>
      <c r="V1360" s="10"/>
      <c r="W1360" s="10"/>
      <c r="X1360" s="10"/>
      <c r="Y1360" s="10"/>
      <c r="Z1360" s="10"/>
      <c r="AA1360" s="11"/>
      <c r="AB1360" s="11"/>
    </row>
    <row r="1361" spans="2:28" x14ac:dyDescent="0.3">
      <c r="B1361" s="10" t="s">
        <v>394</v>
      </c>
      <c r="C1361" s="315"/>
      <c r="D1361" s="868" t="s">
        <v>4116</v>
      </c>
      <c r="E1361" s="837" t="str">
        <f>IFERROR(IF(_xlfn.XLOOKUP(Imput[[#This Row],[RFC]],'Alta Proveedor'!D:D,'Alta Proveedor'!E:E)=0,"",_xlfn.XLOOKUP(Imput[[#This Row],[RFC]],'Alta Proveedor'!D:D,'Alta Proveedor'!E:E)),"")</f>
        <v>PASE, SERVICIOS ELECTRONICOS</v>
      </c>
      <c r="F1361" s="832" t="s">
        <v>4151</v>
      </c>
      <c r="G1361" s="187">
        <v>1</v>
      </c>
      <c r="H1361" s="1">
        <v>421.55</v>
      </c>
      <c r="I1361" s="169">
        <f>Imput[[#This Row],[Cantidad]]*Imput[[#This Row],[Precio Unitario]]</f>
        <v>421.55</v>
      </c>
      <c r="J1361" s="11">
        <f>((Imput[[#This Row],[Sub total]])*(0.16))</f>
        <v>67.448000000000008</v>
      </c>
      <c r="K1361" s="11">
        <v>0</v>
      </c>
      <c r="L1361" s="169">
        <f>Imput[[#This Row],[Sub total]]+Imput[[#This Row],[IVA]]-Imput[[#This Row],[Retención / IEPS / Descuento]]</f>
        <v>488.99800000000005</v>
      </c>
      <c r="M1361" s="844">
        <v>488.99800000000005</v>
      </c>
      <c r="N1361" s="189" t="s">
        <v>123</v>
      </c>
      <c r="O1361" s="1"/>
      <c r="P1361" s="189" t="s">
        <v>4130</v>
      </c>
      <c r="Q1361" s="190" t="s">
        <v>4131</v>
      </c>
      <c r="R1361" s="188">
        <v>45961</v>
      </c>
      <c r="S1361" s="193" t="s">
        <v>126</v>
      </c>
      <c r="T1361" s="192"/>
      <c r="U1361" s="829"/>
      <c r="V1361" s="10"/>
      <c r="W1361" s="10"/>
      <c r="X1361" s="10"/>
      <c r="Y1361" s="10"/>
      <c r="Z1361" s="10"/>
      <c r="AA1361" s="11"/>
      <c r="AB1361" s="11"/>
    </row>
    <row r="1362" spans="2:28" x14ac:dyDescent="0.3">
      <c r="B1362" s="10" t="s">
        <v>398</v>
      </c>
      <c r="C1362" s="315"/>
      <c r="D1362" s="868" t="s">
        <v>4116</v>
      </c>
      <c r="E1362" s="837" t="str">
        <f>IFERROR(IF(_xlfn.XLOOKUP(Imput[[#This Row],[RFC]],'Alta Proveedor'!D:D,'Alta Proveedor'!E:E)=0,"",_xlfn.XLOOKUP(Imput[[#This Row],[RFC]],'Alta Proveedor'!D:D,'Alta Proveedor'!E:E)),"")</f>
        <v>PASE, SERVICIOS ELECTRONICOS</v>
      </c>
      <c r="F1362" s="832" t="s">
        <v>4152</v>
      </c>
      <c r="G1362" s="187">
        <v>1</v>
      </c>
      <c r="H1362" s="1">
        <v>5067.24</v>
      </c>
      <c r="I1362" s="169">
        <f>Imput[[#This Row],[Cantidad]]*Imput[[#This Row],[Precio Unitario]]</f>
        <v>5067.24</v>
      </c>
      <c r="J1362" s="11">
        <f>((Imput[[#This Row],[Sub total]])*(0.16))</f>
        <v>810.75839999999994</v>
      </c>
      <c r="K1362" s="11">
        <v>0</v>
      </c>
      <c r="L1362" s="169">
        <f>Imput[[#This Row],[Sub total]]+Imput[[#This Row],[IVA]]-Imput[[#This Row],[Retención / IEPS / Descuento]]</f>
        <v>5877.9983999999995</v>
      </c>
      <c r="M1362" s="844">
        <v>5877.9983999999995</v>
      </c>
      <c r="N1362" s="189" t="s">
        <v>123</v>
      </c>
      <c r="O1362" s="1"/>
      <c r="P1362" s="189" t="s">
        <v>4132</v>
      </c>
      <c r="Q1362" s="190" t="s">
        <v>4133</v>
      </c>
      <c r="R1362" s="188">
        <v>45991</v>
      </c>
      <c r="S1362" s="193" t="s">
        <v>126</v>
      </c>
      <c r="T1362" s="192"/>
      <c r="U1362" s="829"/>
      <c r="V1362" s="10"/>
      <c r="W1362" s="10"/>
      <c r="X1362" s="10"/>
      <c r="Y1362" s="10"/>
      <c r="Z1362" s="10"/>
      <c r="AA1362" s="11"/>
      <c r="AB1362" s="11"/>
    </row>
    <row r="1363" spans="2:28" x14ac:dyDescent="0.3">
      <c r="B1363" s="10" t="s">
        <v>400</v>
      </c>
      <c r="C1363" s="315"/>
      <c r="D1363" s="868" t="s">
        <v>4116</v>
      </c>
      <c r="E1363" s="837" t="str">
        <f>IFERROR(IF(_xlfn.XLOOKUP(Imput[[#This Row],[RFC]],'Alta Proveedor'!D:D,'Alta Proveedor'!E:E)=0,"",_xlfn.XLOOKUP(Imput[[#This Row],[RFC]],'Alta Proveedor'!D:D,'Alta Proveedor'!E:E)),"")</f>
        <v>PASE, SERVICIOS ELECTRONICOS</v>
      </c>
      <c r="F1363" s="832" t="s">
        <v>4153</v>
      </c>
      <c r="G1363" s="187">
        <v>1</v>
      </c>
      <c r="H1363" s="1">
        <v>864.66</v>
      </c>
      <c r="I1363" s="169">
        <f>Imput[[#This Row],[Cantidad]]*Imput[[#This Row],[Precio Unitario]]</f>
        <v>864.66</v>
      </c>
      <c r="J1363" s="11">
        <f>((Imput[[#This Row],[Sub total]])*(0.16))</f>
        <v>138.34559999999999</v>
      </c>
      <c r="K1363" s="11">
        <v>0</v>
      </c>
      <c r="L1363" s="169">
        <f>Imput[[#This Row],[Sub total]]+Imput[[#This Row],[IVA]]-Imput[[#This Row],[Retención / IEPS / Descuento]]</f>
        <v>1003.0056</v>
      </c>
      <c r="M1363" s="844">
        <v>1003.0056</v>
      </c>
      <c r="N1363" s="189" t="s">
        <v>123</v>
      </c>
      <c r="O1363" s="1"/>
      <c r="P1363" s="189" t="s">
        <v>4134</v>
      </c>
      <c r="Q1363" s="190" t="s">
        <v>4135</v>
      </c>
      <c r="R1363" s="188">
        <v>46002</v>
      </c>
      <c r="S1363" s="193" t="s">
        <v>126</v>
      </c>
      <c r="T1363" s="192"/>
      <c r="U1363" s="829"/>
      <c r="V1363" s="10"/>
      <c r="W1363" s="10"/>
      <c r="X1363" s="10"/>
      <c r="Y1363" s="10"/>
      <c r="Z1363" s="10"/>
      <c r="AA1363" s="11"/>
      <c r="AB1363" s="11"/>
    </row>
    <row r="1364" spans="2:28" x14ac:dyDescent="0.3">
      <c r="B1364" s="10" t="s">
        <v>400</v>
      </c>
      <c r="C1364" s="315"/>
      <c r="D1364" s="868" t="s">
        <v>4116</v>
      </c>
      <c r="E1364" s="837" t="str">
        <f>IFERROR(IF(_xlfn.XLOOKUP(Imput[[#This Row],[RFC]],'Alta Proveedor'!D:D,'Alta Proveedor'!E:E)=0,"",_xlfn.XLOOKUP(Imput[[#This Row],[RFC]],'Alta Proveedor'!D:D,'Alta Proveedor'!E:E)),"")</f>
        <v>PASE, SERVICIOS ELECTRONICOS</v>
      </c>
      <c r="F1364" s="832" t="s">
        <v>4153</v>
      </c>
      <c r="G1364" s="187">
        <v>1</v>
      </c>
      <c r="H1364" s="1">
        <v>37.93</v>
      </c>
      <c r="I1364" s="169">
        <f>Imput[[#This Row],[Cantidad]]*Imput[[#This Row],[Precio Unitario]]</f>
        <v>37.93</v>
      </c>
      <c r="J1364" s="11">
        <f>((Imput[[#This Row],[Sub total]])*(0.16))</f>
        <v>6.0688000000000004</v>
      </c>
      <c r="K1364" s="11">
        <v>0</v>
      </c>
      <c r="L1364" s="169">
        <f>Imput[[#This Row],[Sub total]]+Imput[[#This Row],[IVA]]-Imput[[#This Row],[Retención / IEPS / Descuento]]</f>
        <v>43.998800000000003</v>
      </c>
      <c r="M1364" s="844">
        <v>43.998800000000003</v>
      </c>
      <c r="N1364" s="189" t="s">
        <v>123</v>
      </c>
      <c r="O1364" s="1"/>
      <c r="P1364" s="189" t="s">
        <v>4136</v>
      </c>
      <c r="Q1364" s="190" t="s">
        <v>4137</v>
      </c>
      <c r="R1364" s="188">
        <v>46002</v>
      </c>
      <c r="S1364" s="193" t="s">
        <v>126</v>
      </c>
      <c r="T1364" s="192"/>
      <c r="U1364" s="829"/>
      <c r="V1364" s="10"/>
      <c r="W1364" s="10"/>
      <c r="X1364" s="10"/>
      <c r="Y1364" s="10"/>
      <c r="Z1364" s="10"/>
      <c r="AA1364" s="11"/>
      <c r="AB1364" s="11"/>
    </row>
    <row r="1365" spans="2:28" x14ac:dyDescent="0.3">
      <c r="B1365" s="10" t="s">
        <v>402</v>
      </c>
      <c r="C1365" s="315"/>
      <c r="D1365" s="868" t="s">
        <v>4116</v>
      </c>
      <c r="E1365" s="837" t="str">
        <f>IFERROR(IF(_xlfn.XLOOKUP(Imput[[#This Row],[RFC]],'Alta Proveedor'!D:D,'Alta Proveedor'!E:E)=0,"",_xlfn.XLOOKUP(Imput[[#This Row],[RFC]],'Alta Proveedor'!D:D,'Alta Proveedor'!E:E)),"")</f>
        <v>PASE, SERVICIOS ELECTRONICOS</v>
      </c>
      <c r="F1365" s="832" t="s">
        <v>4154</v>
      </c>
      <c r="G1365" s="187">
        <v>1</v>
      </c>
      <c r="H1365" s="1">
        <v>299.14</v>
      </c>
      <c r="I1365" s="169">
        <f>Imput[[#This Row],[Cantidad]]*Imput[[#This Row],[Precio Unitario]]</f>
        <v>299.14</v>
      </c>
      <c r="J1365" s="11">
        <f>((Imput[[#This Row],[Sub total]])*(0.16))</f>
        <v>47.862400000000001</v>
      </c>
      <c r="K1365" s="11">
        <v>0</v>
      </c>
      <c r="L1365" s="169">
        <f>Imput[[#This Row],[Sub total]]+Imput[[#This Row],[IVA]]-Imput[[#This Row],[Retención / IEPS / Descuento]]</f>
        <v>347.00239999999997</v>
      </c>
      <c r="M1365" s="844">
        <v>347.00239999999997</v>
      </c>
      <c r="N1365" s="189" t="s">
        <v>123</v>
      </c>
      <c r="O1365" s="1"/>
      <c r="P1365" s="189" t="s">
        <v>4138</v>
      </c>
      <c r="Q1365" s="190" t="s">
        <v>4139</v>
      </c>
      <c r="R1365" s="188">
        <v>46008</v>
      </c>
      <c r="S1365" s="193" t="s">
        <v>126</v>
      </c>
      <c r="T1365" s="192"/>
      <c r="U1365" s="829"/>
      <c r="V1365" s="10"/>
      <c r="W1365" s="10"/>
      <c r="X1365" s="10"/>
      <c r="Y1365" s="10"/>
      <c r="Z1365" s="10"/>
      <c r="AA1365" s="11"/>
      <c r="AB1365" s="11"/>
    </row>
    <row r="1366" spans="2:28" x14ac:dyDescent="0.3">
      <c r="B1366" s="10" t="s">
        <v>402</v>
      </c>
      <c r="C1366" s="315"/>
      <c r="D1366" s="868" t="s">
        <v>4116</v>
      </c>
      <c r="E1366" s="837" t="str">
        <f>IFERROR(IF(_xlfn.XLOOKUP(Imput[[#This Row],[RFC]],'Alta Proveedor'!D:D,'Alta Proveedor'!E:E)=0,"",_xlfn.XLOOKUP(Imput[[#This Row],[RFC]],'Alta Proveedor'!D:D,'Alta Proveedor'!E:E)),"")</f>
        <v>PASE, SERVICIOS ELECTRONICOS</v>
      </c>
      <c r="F1366" s="832" t="s">
        <v>4155</v>
      </c>
      <c r="G1366" s="187">
        <v>1</v>
      </c>
      <c r="H1366" s="1">
        <v>1961.21</v>
      </c>
      <c r="I1366" s="169">
        <f>Imput[[#This Row],[Cantidad]]*Imput[[#This Row],[Precio Unitario]]</f>
        <v>1961.21</v>
      </c>
      <c r="J1366" s="11">
        <f>((Imput[[#This Row],[Sub total]])*(0.16))</f>
        <v>313.79360000000003</v>
      </c>
      <c r="K1366" s="11">
        <v>0</v>
      </c>
      <c r="L1366" s="169">
        <f>Imput[[#This Row],[Sub total]]+Imput[[#This Row],[IVA]]-Imput[[#This Row],[Retención / IEPS / Descuento]]</f>
        <v>2275.0036</v>
      </c>
      <c r="M1366" s="844">
        <v>2275.0036</v>
      </c>
      <c r="N1366" s="189" t="s">
        <v>123</v>
      </c>
      <c r="O1366" s="1"/>
      <c r="P1366" s="189" t="s">
        <v>4140</v>
      </c>
      <c r="Q1366" s="190" t="s">
        <v>4141</v>
      </c>
      <c r="R1366" s="188">
        <v>46008</v>
      </c>
      <c r="S1366" s="193" t="s">
        <v>126</v>
      </c>
      <c r="T1366" s="192"/>
      <c r="U1366" s="829"/>
      <c r="V1366" s="10"/>
      <c r="W1366" s="10"/>
      <c r="X1366" s="10"/>
      <c r="Y1366" s="10"/>
      <c r="Z1366" s="10"/>
      <c r="AA1366" s="11"/>
      <c r="AB1366" s="11"/>
    </row>
    <row r="1367" spans="2:28" x14ac:dyDescent="0.3">
      <c r="B1367" s="10" t="s">
        <v>402</v>
      </c>
      <c r="C1367" s="315"/>
      <c r="D1367" s="868" t="s">
        <v>4116</v>
      </c>
      <c r="E1367" s="837" t="str">
        <f>IFERROR(IF(_xlfn.XLOOKUP(Imput[[#This Row],[RFC]],'Alta Proveedor'!D:D,'Alta Proveedor'!E:E)=0,"",_xlfn.XLOOKUP(Imput[[#This Row],[RFC]],'Alta Proveedor'!D:D,'Alta Proveedor'!E:E)),"")</f>
        <v>PASE, SERVICIOS ELECTRONICOS</v>
      </c>
      <c r="F1367" s="832" t="s">
        <v>4156</v>
      </c>
      <c r="G1367" s="187">
        <v>1</v>
      </c>
      <c r="H1367" s="1">
        <v>514.66</v>
      </c>
      <c r="I1367" s="169">
        <f>Imput[[#This Row],[Cantidad]]*Imput[[#This Row],[Precio Unitario]]</f>
        <v>514.66</v>
      </c>
      <c r="J1367" s="11">
        <f>((Imput[[#This Row],[Sub total]])*(0.16))</f>
        <v>82.34559999999999</v>
      </c>
      <c r="K1367" s="11">
        <v>0</v>
      </c>
      <c r="L1367" s="169">
        <f>Imput[[#This Row],[Sub total]]+Imput[[#This Row],[IVA]]-Imput[[#This Row],[Retención / IEPS / Descuento]]</f>
        <v>597.00559999999996</v>
      </c>
      <c r="M1367" s="844">
        <v>597.00559999999996</v>
      </c>
      <c r="N1367" s="189" t="s">
        <v>123</v>
      </c>
      <c r="O1367" s="1"/>
      <c r="P1367" s="189" t="s">
        <v>4142</v>
      </c>
      <c r="Q1367" s="190" t="s">
        <v>4143</v>
      </c>
      <c r="R1367" s="188">
        <v>46008</v>
      </c>
      <c r="S1367" s="193" t="s">
        <v>126</v>
      </c>
      <c r="T1367" s="192"/>
      <c r="U1367" s="829"/>
      <c r="V1367" s="10"/>
      <c r="W1367" s="10"/>
      <c r="X1367" s="10"/>
      <c r="Y1367" s="10"/>
      <c r="Z1367" s="10"/>
      <c r="AA1367" s="11"/>
      <c r="AB1367" s="11"/>
    </row>
    <row r="1368" spans="2:28" x14ac:dyDescent="0.3">
      <c r="B1368" s="10" t="s">
        <v>402</v>
      </c>
      <c r="C1368" s="315"/>
      <c r="D1368" s="868" t="s">
        <v>4116</v>
      </c>
      <c r="E1368" s="837" t="str">
        <f>IFERROR(IF(_xlfn.XLOOKUP(Imput[[#This Row],[RFC]],'Alta Proveedor'!D:D,'Alta Proveedor'!E:E)=0,"",_xlfn.XLOOKUP(Imput[[#This Row],[RFC]],'Alta Proveedor'!D:D,'Alta Proveedor'!E:E)),"")</f>
        <v>PASE, SERVICIOS ELECTRONICOS</v>
      </c>
      <c r="F1368" s="832" t="s">
        <v>4147</v>
      </c>
      <c r="G1368" s="187">
        <v>1</v>
      </c>
      <c r="H1368" s="1">
        <v>3288.79</v>
      </c>
      <c r="I1368" s="169">
        <f>Imput[[#This Row],[Cantidad]]*Imput[[#This Row],[Precio Unitario]]</f>
        <v>3288.79</v>
      </c>
      <c r="J1368" s="11">
        <f>((Imput[[#This Row],[Sub total]])*(0.16))</f>
        <v>526.20640000000003</v>
      </c>
      <c r="K1368" s="11">
        <v>0</v>
      </c>
      <c r="L1368" s="169">
        <f>Imput[[#This Row],[Sub total]]+Imput[[#This Row],[IVA]]-Imput[[#This Row],[Retención / IEPS / Descuento]]</f>
        <v>3814.9964</v>
      </c>
      <c r="M1368" s="844">
        <v>3814.9964</v>
      </c>
      <c r="N1368" s="189" t="s">
        <v>123</v>
      </c>
      <c r="O1368" s="1"/>
      <c r="P1368" s="189" t="s">
        <v>4144</v>
      </c>
      <c r="Q1368" s="190" t="s">
        <v>4145</v>
      </c>
      <c r="R1368" s="188">
        <v>46008</v>
      </c>
      <c r="S1368" s="193" t="s">
        <v>126</v>
      </c>
      <c r="T1368" s="192"/>
      <c r="U1368" s="829"/>
      <c r="V1368" s="10"/>
      <c r="W1368" s="10"/>
      <c r="X1368" s="10"/>
      <c r="Y1368" s="10"/>
      <c r="Z1368" s="10"/>
      <c r="AA1368" s="11"/>
      <c r="AB1368" s="11"/>
    </row>
    <row r="1369" spans="2:28" x14ac:dyDescent="0.3">
      <c r="B1369" s="10" t="s">
        <v>402</v>
      </c>
      <c r="C1369" s="315"/>
      <c r="D1369" s="868" t="s">
        <v>4116</v>
      </c>
      <c r="E1369" s="837" t="str">
        <f>IFERROR(IF(_xlfn.XLOOKUP(Imput[[#This Row],[RFC]],'Alta Proveedor'!D:D,'Alta Proveedor'!E:E)=0,"",_xlfn.XLOOKUP(Imput[[#This Row],[RFC]],'Alta Proveedor'!D:D,'Alta Proveedor'!E:E)),"")</f>
        <v>PASE, SERVICIOS ELECTRONICOS</v>
      </c>
      <c r="F1369" s="832" t="s">
        <v>4154</v>
      </c>
      <c r="G1369" s="187">
        <v>1</v>
      </c>
      <c r="H1369" s="1">
        <v>55.17</v>
      </c>
      <c r="I1369" s="169">
        <f>Imput[[#This Row],[Cantidad]]*Imput[[#This Row],[Precio Unitario]]</f>
        <v>55.17</v>
      </c>
      <c r="J1369" s="11">
        <f>((Imput[[#This Row],[Sub total]])*(0.16))</f>
        <v>8.8272000000000013</v>
      </c>
      <c r="K1369" s="11">
        <v>0</v>
      </c>
      <c r="L1369" s="169">
        <f>Imput[[#This Row],[Sub total]]+Imput[[#This Row],[IVA]]-Imput[[#This Row],[Retención / IEPS / Descuento]]</f>
        <v>63.997200000000007</v>
      </c>
      <c r="M1369" s="844">
        <v>63.997200000000007</v>
      </c>
      <c r="N1369" s="189" t="s">
        <v>123</v>
      </c>
      <c r="O1369" s="1"/>
      <c r="P1369" s="189" t="s">
        <v>4157</v>
      </c>
      <c r="Q1369" s="190" t="s">
        <v>4158</v>
      </c>
      <c r="R1369" s="188">
        <v>46008</v>
      </c>
      <c r="S1369" s="193" t="s">
        <v>126</v>
      </c>
      <c r="T1369" s="192"/>
      <c r="U1369" s="829"/>
      <c r="V1369" s="10"/>
      <c r="W1369" s="10"/>
      <c r="X1369" s="10"/>
      <c r="Y1369" s="10"/>
      <c r="Z1369" s="10"/>
      <c r="AA1369" s="11"/>
      <c r="AB1369" s="11"/>
    </row>
    <row r="1370" spans="2:28" x14ac:dyDescent="0.3">
      <c r="B1370" s="10" t="s">
        <v>402</v>
      </c>
      <c r="C1370" s="315"/>
      <c r="D1370" s="868" t="s">
        <v>4116</v>
      </c>
      <c r="E1370" s="837" t="str">
        <f>IFERROR(IF(_xlfn.XLOOKUP(Imput[[#This Row],[RFC]],'Alta Proveedor'!D:D,'Alta Proveedor'!E:E)=0,"",_xlfn.XLOOKUP(Imput[[#This Row],[RFC]],'Alta Proveedor'!D:D,'Alta Proveedor'!E:E)),"")</f>
        <v>PASE, SERVICIOS ELECTRONICOS</v>
      </c>
      <c r="F1370" s="832" t="s">
        <v>4151</v>
      </c>
      <c r="G1370" s="187">
        <v>1</v>
      </c>
      <c r="H1370" s="1">
        <v>2330.17</v>
      </c>
      <c r="I1370" s="169">
        <f>Imput[[#This Row],[Cantidad]]*Imput[[#This Row],[Precio Unitario]]</f>
        <v>2330.17</v>
      </c>
      <c r="J1370" s="11">
        <f>((Imput[[#This Row],[Sub total]])*(0.16))</f>
        <v>372.8272</v>
      </c>
      <c r="K1370" s="11">
        <v>0</v>
      </c>
      <c r="L1370" s="169">
        <f>Imput[[#This Row],[Sub total]]+Imput[[#This Row],[IVA]]-Imput[[#This Row],[Retención / IEPS / Descuento]]</f>
        <v>2702.9972000000002</v>
      </c>
      <c r="M1370" s="844">
        <v>2702.9972000000002</v>
      </c>
      <c r="N1370" s="189" t="s">
        <v>123</v>
      </c>
      <c r="O1370" s="1"/>
      <c r="P1370" s="189" t="s">
        <v>4159</v>
      </c>
      <c r="Q1370" s="190" t="s">
        <v>4160</v>
      </c>
      <c r="R1370" s="188">
        <v>46008</v>
      </c>
      <c r="S1370" s="193" t="s">
        <v>126</v>
      </c>
      <c r="T1370" s="192"/>
      <c r="U1370" s="829"/>
      <c r="V1370" s="10"/>
      <c r="W1370" s="10"/>
      <c r="X1370" s="10"/>
      <c r="Y1370" s="10"/>
      <c r="Z1370" s="10"/>
      <c r="AA1370" s="11"/>
      <c r="AB1370" s="11"/>
    </row>
    <row r="1371" spans="2:28" x14ac:dyDescent="0.3">
      <c r="B1371" s="10" t="s">
        <v>402</v>
      </c>
      <c r="C1371" s="315"/>
      <c r="D1371" s="868" t="s">
        <v>4116</v>
      </c>
      <c r="E1371" s="837" t="str">
        <f>IFERROR(IF(_xlfn.XLOOKUP(Imput[[#This Row],[RFC]],'Alta Proveedor'!D:D,'Alta Proveedor'!E:E)=0,"",_xlfn.XLOOKUP(Imput[[#This Row],[RFC]],'Alta Proveedor'!D:D,'Alta Proveedor'!E:E)),"")</f>
        <v>PASE, SERVICIOS ELECTRONICOS</v>
      </c>
      <c r="F1371" s="832" t="s">
        <v>4152</v>
      </c>
      <c r="G1371" s="187">
        <v>1</v>
      </c>
      <c r="H1371" s="1">
        <v>1199.1400000000001</v>
      </c>
      <c r="I1371" s="169">
        <f>Imput[[#This Row],[Cantidad]]*Imput[[#This Row],[Precio Unitario]]</f>
        <v>1199.1400000000001</v>
      </c>
      <c r="J1371" s="11">
        <f>((Imput[[#This Row],[Sub total]])*(0.16))</f>
        <v>191.86240000000001</v>
      </c>
      <c r="K1371" s="11">
        <v>0</v>
      </c>
      <c r="L1371" s="169">
        <f>Imput[[#This Row],[Sub total]]+Imput[[#This Row],[IVA]]-Imput[[#This Row],[Retención / IEPS / Descuento]]</f>
        <v>1391.0024000000001</v>
      </c>
      <c r="M1371" s="844">
        <v>1391.0024000000001</v>
      </c>
      <c r="N1371" s="189" t="s">
        <v>123</v>
      </c>
      <c r="O1371" s="1"/>
      <c r="P1371" s="189" t="s">
        <v>4161</v>
      </c>
      <c r="Q1371" s="190" t="s">
        <v>4162</v>
      </c>
      <c r="R1371" s="188">
        <v>46008</v>
      </c>
      <c r="S1371" s="193" t="s">
        <v>126</v>
      </c>
      <c r="T1371" s="192"/>
      <c r="U1371" s="829"/>
      <c r="V1371" s="10"/>
      <c r="W1371" s="10"/>
      <c r="X1371" s="10"/>
      <c r="Y1371" s="10"/>
      <c r="Z1371" s="10"/>
      <c r="AA1371" s="11"/>
      <c r="AB1371" s="11"/>
    </row>
    <row r="1372" spans="2:28" x14ac:dyDescent="0.3">
      <c r="B1372" s="10" t="s">
        <v>400</v>
      </c>
      <c r="C1372" s="315"/>
      <c r="D1372" s="868" t="s">
        <v>4165</v>
      </c>
      <c r="E1372" s="837" t="str">
        <f>IFERROR(IF(_xlfn.XLOOKUP(Imput[[#This Row],[RFC]],'Alta Proveedor'!D:D,'Alta Proveedor'!E:E)=0,"",_xlfn.XLOOKUP(Imput[[#This Row],[RFC]],'Alta Proveedor'!D:D,'Alta Proveedor'!E:E)),"")</f>
        <v>KANY COMERCIALIZADORA ECOLOGICA</v>
      </c>
      <c r="F1372" s="832" t="s">
        <v>4167</v>
      </c>
      <c r="G1372" s="187">
        <v>6</v>
      </c>
      <c r="H1372" s="1">
        <v>2672.4140000000002</v>
      </c>
      <c r="I1372" s="169">
        <f>Imput[[#This Row],[Cantidad]]*Imput[[#This Row],[Precio Unitario]]</f>
        <v>16034.484</v>
      </c>
      <c r="J1372" s="11">
        <f>((Imput[[#This Row],[Sub total]])*(0.16))</f>
        <v>2565.5174400000001</v>
      </c>
      <c r="K1372" s="11">
        <v>0</v>
      </c>
      <c r="L1372" s="169">
        <f>Imput[[#This Row],[Sub total]]+Imput[[#This Row],[IVA]]-Imput[[#This Row],[Retención / IEPS / Descuento]]</f>
        <v>18600.00144</v>
      </c>
      <c r="M1372" s="844">
        <v>18600.00144</v>
      </c>
      <c r="N1372" s="189" t="s">
        <v>123</v>
      </c>
      <c r="O1372" s="1"/>
      <c r="P1372" s="189" t="s">
        <v>4163</v>
      </c>
      <c r="Q1372" s="190" t="s">
        <v>4164</v>
      </c>
      <c r="R1372" s="188">
        <v>45995</v>
      </c>
      <c r="S1372" s="193" t="s">
        <v>215</v>
      </c>
      <c r="T1372" s="192"/>
      <c r="U1372" s="829"/>
      <c r="V1372" s="10"/>
      <c r="W1372" s="10"/>
      <c r="X1372" s="10"/>
      <c r="Y1372" s="10"/>
      <c r="Z1372" s="10"/>
      <c r="AA1372" s="11"/>
      <c r="AB1372" s="11"/>
    </row>
    <row r="1373" spans="2:28" x14ac:dyDescent="0.3">
      <c r="B1373" s="10" t="s">
        <v>396</v>
      </c>
      <c r="C1373" s="315"/>
      <c r="D1373" s="868" t="s">
        <v>4170</v>
      </c>
      <c r="E1373" s="837" t="str">
        <f>IFERROR(IF(_xlfn.XLOOKUP(Imput[[#This Row],[RFC]],'Alta Proveedor'!D:D,'Alta Proveedor'!E:E)=0,"",_xlfn.XLOOKUP(Imput[[#This Row],[RFC]],'Alta Proveedor'!D:D,'Alta Proveedor'!E:E)),"")</f>
        <v>ALBERTO JORGE LINARES SANCHEZ "GEOTECNIA" LABORATORIO DE MATERIALES"</v>
      </c>
      <c r="F1373" s="832" t="s">
        <v>4172</v>
      </c>
      <c r="G1373" s="187">
        <v>5</v>
      </c>
      <c r="H1373" s="1">
        <v>1580</v>
      </c>
      <c r="I1373" s="169">
        <f>Imput[[#This Row],[Cantidad]]*Imput[[#This Row],[Precio Unitario]]</f>
        <v>7900</v>
      </c>
      <c r="J1373" s="11">
        <f>((Imput[[#This Row],[Sub total]])*(0.16))</f>
        <v>1264</v>
      </c>
      <c r="K1373" s="11">
        <v>0</v>
      </c>
      <c r="L1373" s="169">
        <f>Imput[[#This Row],[Sub total]]+Imput[[#This Row],[IVA]]-Imput[[#This Row],[Retención / IEPS / Descuento]]</f>
        <v>9164</v>
      </c>
      <c r="M1373" s="844">
        <v>24824</v>
      </c>
      <c r="N1373" s="189" t="s">
        <v>123</v>
      </c>
      <c r="O1373" s="1"/>
      <c r="P1373" s="189" t="s">
        <v>4168</v>
      </c>
      <c r="Q1373" s="190" t="s">
        <v>4169</v>
      </c>
      <c r="R1373" s="188">
        <v>45974</v>
      </c>
      <c r="S1373" s="193" t="s">
        <v>371</v>
      </c>
      <c r="T1373" s="192"/>
      <c r="U1373" s="829"/>
      <c r="V1373" s="10"/>
      <c r="W1373" s="10"/>
      <c r="X1373" s="10"/>
      <c r="Y1373" s="10"/>
      <c r="Z1373" s="10"/>
      <c r="AA1373" s="11"/>
      <c r="AB1373" s="11"/>
    </row>
    <row r="1374" spans="2:28" x14ac:dyDescent="0.3">
      <c r="B1374" s="10" t="s">
        <v>396</v>
      </c>
      <c r="C1374" s="315"/>
      <c r="D1374" s="868" t="s">
        <v>4170</v>
      </c>
      <c r="E1374" s="837" t="str">
        <f>IFERROR(IF(_xlfn.XLOOKUP(Imput[[#This Row],[RFC]],'Alta Proveedor'!D:D,'Alta Proveedor'!E:E)=0,"",_xlfn.XLOOKUP(Imput[[#This Row],[RFC]],'Alta Proveedor'!D:D,'Alta Proveedor'!E:E)),"")</f>
        <v>ALBERTO JORGE LINARES SANCHEZ "GEOTECNIA" LABORATORIO DE MATERIALES"</v>
      </c>
      <c r="F1374" s="832" t="s">
        <v>4173</v>
      </c>
      <c r="G1374" s="187">
        <v>9</v>
      </c>
      <c r="H1374" s="1">
        <v>1500</v>
      </c>
      <c r="I1374" s="169">
        <f>Imput[[#This Row],[Cantidad]]*Imput[[#This Row],[Precio Unitario]]</f>
        <v>13500</v>
      </c>
      <c r="J1374" s="11">
        <f>((Imput[[#This Row],[Sub total]])*(0.16))</f>
        <v>2160</v>
      </c>
      <c r="K1374" s="11">
        <v>0</v>
      </c>
      <c r="L1374" s="169">
        <f>Imput[[#This Row],[Sub total]]+Imput[[#This Row],[IVA]]-Imput[[#This Row],[Retención / IEPS / Descuento]]</f>
        <v>15660</v>
      </c>
      <c r="M1374" s="844">
        <v>0</v>
      </c>
      <c r="N1374" s="189" t="s">
        <v>123</v>
      </c>
      <c r="O1374" s="1"/>
      <c r="P1374" s="189" t="s">
        <v>4168</v>
      </c>
      <c r="Q1374" s="190" t="s">
        <v>4169</v>
      </c>
      <c r="R1374" s="188">
        <v>45974</v>
      </c>
      <c r="S1374" s="193" t="s">
        <v>371</v>
      </c>
      <c r="T1374" s="192"/>
      <c r="U1374" s="829"/>
      <c r="V1374" s="10"/>
      <c r="W1374" s="10"/>
      <c r="X1374" s="10"/>
      <c r="Y1374" s="10"/>
      <c r="Z1374" s="10"/>
      <c r="AA1374" s="11"/>
      <c r="AB1374" s="11"/>
    </row>
    <row r="1375" spans="2:28" x14ac:dyDescent="0.3">
      <c r="B1375" s="10" t="s">
        <v>398</v>
      </c>
      <c r="C1375" s="315" t="s">
        <v>1747</v>
      </c>
      <c r="D1375" s="868" t="s">
        <v>4176</v>
      </c>
      <c r="E1375" s="837" t="str">
        <f>IFERROR(IF(_xlfn.XLOOKUP(Imput[[#This Row],[RFC]],'Alta Proveedor'!D:D,'Alta Proveedor'!E:E)=0,"",_xlfn.XLOOKUP(Imput[[#This Row],[RFC]],'Alta Proveedor'!D:D,'Alta Proveedor'!E:E)),"")</f>
        <v>GABRIEL LOZADA FELIPE (HOSPEDAJE)</v>
      </c>
      <c r="F1375" s="832" t="s">
        <v>4178</v>
      </c>
      <c r="G1375" s="187">
        <v>1</v>
      </c>
      <c r="H1375" s="1">
        <v>11385.11</v>
      </c>
      <c r="I1375" s="169">
        <f>Imput[[#This Row],[Cantidad]]*Imput[[#This Row],[Precio Unitario]]</f>
        <v>11385.11</v>
      </c>
      <c r="J1375" s="11">
        <f>((Imput[[#This Row],[Sub total]])*(0.16))</f>
        <v>1821.6176</v>
      </c>
      <c r="K1375" s="11">
        <f>142.31+1214.42</f>
        <v>1356.73</v>
      </c>
      <c r="L1375" s="169">
        <f>Imput[[#This Row],[Sub total]]+Imput[[#This Row],[IVA]]-Imput[[#This Row],[Retención / IEPS / Descuento]]</f>
        <v>11849.997600000001</v>
      </c>
      <c r="M1375" s="844">
        <v>11849.997600000001</v>
      </c>
      <c r="N1375" s="189" t="s">
        <v>123</v>
      </c>
      <c r="O1375" s="1"/>
      <c r="P1375" s="189" t="s">
        <v>4174</v>
      </c>
      <c r="Q1375" s="190" t="s">
        <v>4175</v>
      </c>
      <c r="R1375" s="188">
        <v>45986</v>
      </c>
      <c r="S1375" s="193" t="s">
        <v>215</v>
      </c>
      <c r="T1375" s="192"/>
      <c r="U1375" s="829"/>
      <c r="V1375" s="10"/>
      <c r="W1375" s="10"/>
      <c r="X1375" s="10"/>
      <c r="Y1375" s="10"/>
      <c r="Z1375" s="10"/>
      <c r="AA1375" s="11"/>
      <c r="AB1375" s="11"/>
    </row>
    <row r="1376" spans="2:28" x14ac:dyDescent="0.3">
      <c r="B1376" s="10" t="s">
        <v>398</v>
      </c>
      <c r="C1376" s="315"/>
      <c r="D1376" s="868" t="s">
        <v>264</v>
      </c>
      <c r="E1376" s="837" t="str">
        <f>IFERROR(IF(_xlfn.XLOOKUP(Imput[[#This Row],[RFC]],'Alta Proveedor'!D:D,'Alta Proveedor'!E:E)=0,"",_xlfn.XLOOKUP(Imput[[#This Row],[RFC]],'Alta Proveedor'!D:D,'Alta Proveedor'!E:E)),"")</f>
        <v>M.N. DEL GOLFO "HOME CENTER TU ASESOR CONFIABLE"</v>
      </c>
      <c r="F1376" s="832" t="s">
        <v>4181</v>
      </c>
      <c r="G1376" s="187">
        <v>300</v>
      </c>
      <c r="H1376" s="1">
        <f>29559.15/Imput[[#This Row],[Cantidad]]</f>
        <v>98.530500000000004</v>
      </c>
      <c r="I1376" s="169">
        <f>Imput[[#This Row],[Cantidad]]*Imput[[#This Row],[Precio Unitario]]</f>
        <v>29559.15</v>
      </c>
      <c r="J1376" s="11">
        <f>((Imput[[#This Row],[Sub total]])*(0.16))</f>
        <v>4729.4639999999999</v>
      </c>
      <c r="K1376" s="11">
        <v>0</v>
      </c>
      <c r="L1376" s="169">
        <f>Imput[[#This Row],[Sub total]]+Imput[[#This Row],[IVA]]-Imput[[#This Row],[Retención / IEPS / Descuento]]</f>
        <v>34288.614000000001</v>
      </c>
      <c r="M1376" s="844">
        <v>39029.963199999998</v>
      </c>
      <c r="N1376" s="189" t="s">
        <v>123</v>
      </c>
      <c r="O1376" s="1"/>
      <c r="P1376" s="189" t="s">
        <v>4179</v>
      </c>
      <c r="Q1376" s="190" t="s">
        <v>4180</v>
      </c>
      <c r="R1376" s="188">
        <v>45985</v>
      </c>
      <c r="S1376" s="193" t="s">
        <v>126</v>
      </c>
      <c r="T1376" s="192"/>
      <c r="U1376" s="829"/>
      <c r="V1376" s="10"/>
      <c r="W1376" s="10"/>
      <c r="X1376" s="10"/>
      <c r="Y1376" s="10"/>
      <c r="Z1376" s="10"/>
      <c r="AA1376" s="11"/>
      <c r="AB1376" s="11"/>
    </row>
    <row r="1377" spans="2:28" x14ac:dyDescent="0.3">
      <c r="B1377" s="10" t="s">
        <v>398</v>
      </c>
      <c r="C1377" s="315"/>
      <c r="D1377" s="868" t="s">
        <v>264</v>
      </c>
      <c r="E1377" s="837" t="str">
        <f>IFERROR(IF(_xlfn.XLOOKUP(Imput[[#This Row],[RFC]],'Alta Proveedor'!D:D,'Alta Proveedor'!E:E)=0,"",_xlfn.XLOOKUP(Imput[[#This Row],[RFC]],'Alta Proveedor'!D:D,'Alta Proveedor'!E:E)),"")</f>
        <v>M.N. DEL GOLFO "HOME CENTER TU ASESOR CONFIABLE"</v>
      </c>
      <c r="F1377" s="832" t="s">
        <v>4182</v>
      </c>
      <c r="G1377" s="187">
        <v>250</v>
      </c>
      <c r="H1377" s="1">
        <f>4087.37/Imput[[#This Row],[Cantidad]]</f>
        <v>16.34948</v>
      </c>
      <c r="I1377" s="169">
        <f>Imput[[#This Row],[Cantidad]]*Imput[[#This Row],[Precio Unitario]]</f>
        <v>4087.37</v>
      </c>
      <c r="J1377" s="11">
        <f>((Imput[[#This Row],[Sub total]])*(0.16))</f>
        <v>653.97919999999999</v>
      </c>
      <c r="K1377" s="11">
        <v>0</v>
      </c>
      <c r="L1377" s="169">
        <f>Imput[[#This Row],[Sub total]]+Imput[[#This Row],[IVA]]-Imput[[#This Row],[Retención / IEPS / Descuento]]</f>
        <v>4741.3491999999997</v>
      </c>
      <c r="M1377" s="844">
        <v>0</v>
      </c>
      <c r="N1377" s="189" t="s">
        <v>123</v>
      </c>
      <c r="O1377" s="1"/>
      <c r="P1377" s="189" t="s">
        <v>4179</v>
      </c>
      <c r="Q1377" s="190" t="s">
        <v>4180</v>
      </c>
      <c r="R1377" s="188">
        <v>45985</v>
      </c>
      <c r="S1377" s="193" t="s">
        <v>126</v>
      </c>
      <c r="T1377" s="192"/>
      <c r="U1377" s="829"/>
      <c r="V1377" s="10"/>
      <c r="W1377" s="10"/>
      <c r="X1377" s="10"/>
      <c r="Y1377" s="10"/>
      <c r="Z1377" s="10"/>
      <c r="AA1377" s="11"/>
      <c r="AB1377" s="11"/>
    </row>
    <row r="1378" spans="2:28" x14ac:dyDescent="0.3">
      <c r="B1378" s="10" t="s">
        <v>398</v>
      </c>
      <c r="C1378" s="315"/>
      <c r="D1378" s="868" t="s">
        <v>264</v>
      </c>
      <c r="E1378" s="837" t="str">
        <f>IFERROR(IF(_xlfn.XLOOKUP(Imput[[#This Row],[RFC]],'Alta Proveedor'!D:D,'Alta Proveedor'!E:E)=0,"",_xlfn.XLOOKUP(Imput[[#This Row],[RFC]],'Alta Proveedor'!D:D,'Alta Proveedor'!E:E)),"")</f>
        <v>M.N. DEL GOLFO "HOME CENTER TU ASESOR CONFIABLE"</v>
      </c>
      <c r="F1378" s="832" t="s">
        <v>4185</v>
      </c>
      <c r="G1378" s="187">
        <v>10</v>
      </c>
      <c r="H1378" s="1">
        <v>70.69</v>
      </c>
      <c r="I1378" s="169">
        <f>Imput[[#This Row],[Cantidad]]*Imput[[#This Row],[Precio Unitario]]</f>
        <v>706.9</v>
      </c>
      <c r="J1378" s="11">
        <f>((Imput[[#This Row],[Sub total]])*(0.16))</f>
        <v>113.104</v>
      </c>
      <c r="K1378" s="11">
        <v>0</v>
      </c>
      <c r="L1378" s="169">
        <f>Imput[[#This Row],[Sub total]]+Imput[[#This Row],[IVA]]-Imput[[#This Row],[Retención / IEPS / Descuento]]</f>
        <v>820.00400000000002</v>
      </c>
      <c r="M1378" s="844">
        <v>820.00400000000002</v>
      </c>
      <c r="N1378" s="189" t="s">
        <v>123</v>
      </c>
      <c r="O1378" s="1"/>
      <c r="P1378" s="189" t="s">
        <v>4183</v>
      </c>
      <c r="Q1378" s="190" t="s">
        <v>4184</v>
      </c>
      <c r="R1378" s="188">
        <v>45985</v>
      </c>
      <c r="S1378" s="193" t="s">
        <v>126</v>
      </c>
      <c r="T1378" s="192"/>
      <c r="U1378" s="829"/>
      <c r="V1378" s="10"/>
      <c r="W1378" s="10"/>
      <c r="X1378" s="10"/>
      <c r="Y1378" s="10"/>
      <c r="Z1378" s="10"/>
      <c r="AA1378" s="11"/>
      <c r="AB1378" s="11"/>
    </row>
    <row r="1379" spans="2:28" x14ac:dyDescent="0.3">
      <c r="B1379" s="10" t="s">
        <v>398</v>
      </c>
      <c r="C1379" s="315"/>
      <c r="D1379" s="868" t="s">
        <v>264</v>
      </c>
      <c r="E1379" s="837" t="str">
        <f>IFERROR(IF(_xlfn.XLOOKUP(Imput[[#This Row],[RFC]],'Alta Proveedor'!D:D,'Alta Proveedor'!E:E)=0,"",_xlfn.XLOOKUP(Imput[[#This Row],[RFC]],'Alta Proveedor'!D:D,'Alta Proveedor'!E:E)),"")</f>
        <v>M.N. DEL GOLFO "HOME CENTER TU ASESOR CONFIABLE"</v>
      </c>
      <c r="F1379" s="832" t="s">
        <v>4188</v>
      </c>
      <c r="G1379" s="187">
        <v>1</v>
      </c>
      <c r="H1379" s="1">
        <v>27.59</v>
      </c>
      <c r="I1379" s="169">
        <f>Imput[[#This Row],[Cantidad]]*Imput[[#This Row],[Precio Unitario]]</f>
        <v>27.59</v>
      </c>
      <c r="J1379" s="11">
        <f>((Imput[[#This Row],[Sub total]])*(0.16))</f>
        <v>4.4143999999999997</v>
      </c>
      <c r="K1379" s="11">
        <v>0</v>
      </c>
      <c r="L1379" s="169">
        <f>Imput[[#This Row],[Sub total]]+Imput[[#This Row],[IVA]]-Imput[[#This Row],[Retención / IEPS / Descuento]]</f>
        <v>32.004399999999997</v>
      </c>
      <c r="M1379" s="844">
        <v>32.004399999999997</v>
      </c>
      <c r="N1379" s="189" t="s">
        <v>123</v>
      </c>
      <c r="O1379" s="1"/>
      <c r="P1379" s="189" t="s">
        <v>4186</v>
      </c>
      <c r="Q1379" s="190" t="s">
        <v>4187</v>
      </c>
      <c r="R1379" s="188">
        <v>45985</v>
      </c>
      <c r="S1379" s="193" t="s">
        <v>294</v>
      </c>
      <c r="T1379" s="192"/>
      <c r="U1379" s="829"/>
      <c r="V1379" s="10"/>
      <c r="W1379" s="10"/>
      <c r="X1379" s="10"/>
      <c r="Y1379" s="10"/>
      <c r="Z1379" s="10"/>
      <c r="AA1379" s="11"/>
      <c r="AB1379" s="11"/>
    </row>
    <row r="1380" spans="2:28" x14ac:dyDescent="0.3">
      <c r="B1380" s="10" t="s">
        <v>398</v>
      </c>
      <c r="C1380" s="315"/>
      <c r="D1380" s="868" t="s">
        <v>264</v>
      </c>
      <c r="E1380" s="837" t="str">
        <f>IFERROR(IF(_xlfn.XLOOKUP(Imput[[#This Row],[RFC]],'Alta Proveedor'!D:D,'Alta Proveedor'!E:E)=0,"",_xlfn.XLOOKUP(Imput[[#This Row],[RFC]],'Alta Proveedor'!D:D,'Alta Proveedor'!E:E)),"")</f>
        <v>M.N. DEL GOLFO "HOME CENTER TU ASESOR CONFIABLE"</v>
      </c>
      <c r="F1380" s="832" t="s">
        <v>4191</v>
      </c>
      <c r="G1380" s="187">
        <v>407</v>
      </c>
      <c r="H1380" s="1">
        <f>162449.98/Imput[[#This Row],[Cantidad]]</f>
        <v>399.14000000000004</v>
      </c>
      <c r="I1380" s="169">
        <f>Imput[[#This Row],[Cantidad]]*Imput[[#This Row],[Precio Unitario]]</f>
        <v>162449.98000000001</v>
      </c>
      <c r="J1380" s="11">
        <f>((Imput[[#This Row],[Sub total]])*(0.16))</f>
        <v>25991.996800000001</v>
      </c>
      <c r="K1380" s="11">
        <v>0</v>
      </c>
      <c r="L1380" s="169">
        <f>Imput[[#This Row],[Sub total]]+Imput[[#This Row],[IVA]]-Imput[[#This Row],[Retención / IEPS / Descuento]]</f>
        <v>188441.9768</v>
      </c>
      <c r="M1380" s="844">
        <v>188441.9768</v>
      </c>
      <c r="N1380" s="189" t="s">
        <v>123</v>
      </c>
      <c r="O1380" s="1"/>
      <c r="P1380" s="189" t="s">
        <v>4189</v>
      </c>
      <c r="Q1380" s="190" t="s">
        <v>4190</v>
      </c>
      <c r="R1380" s="188">
        <v>45985</v>
      </c>
      <c r="S1380" s="193" t="s">
        <v>126</v>
      </c>
      <c r="T1380" s="192"/>
      <c r="U1380" s="829"/>
      <c r="V1380" s="10"/>
      <c r="W1380" s="10"/>
      <c r="X1380" s="10"/>
      <c r="Y1380" s="10"/>
      <c r="Z1380" s="10"/>
      <c r="AA1380" s="11"/>
      <c r="AB1380" s="11"/>
    </row>
    <row r="1381" spans="2:28" x14ac:dyDescent="0.3">
      <c r="B1381" s="10" t="s">
        <v>398</v>
      </c>
      <c r="C1381" s="315"/>
      <c r="D1381" s="868" t="s">
        <v>264</v>
      </c>
      <c r="E1381" s="837" t="str">
        <f>IFERROR(IF(_xlfn.XLOOKUP(Imput[[#This Row],[RFC]],'Alta Proveedor'!D:D,'Alta Proveedor'!E:E)=0,"",_xlfn.XLOOKUP(Imput[[#This Row],[RFC]],'Alta Proveedor'!D:D,'Alta Proveedor'!E:E)),"")</f>
        <v>M.N. DEL GOLFO "HOME CENTER TU ASESOR CONFIABLE"</v>
      </c>
      <c r="F1381" s="832" t="s">
        <v>4191</v>
      </c>
      <c r="G1381" s="187">
        <v>45</v>
      </c>
      <c r="H1381" s="1">
        <f>17961.3/Imput[[#This Row],[Cantidad]]</f>
        <v>399.14</v>
      </c>
      <c r="I1381" s="169">
        <f>Imput[[#This Row],[Cantidad]]*Imput[[#This Row],[Precio Unitario]]</f>
        <v>17961.3</v>
      </c>
      <c r="J1381" s="11">
        <f>((Imput[[#This Row],[Sub total]])*(0.16))</f>
        <v>2873.808</v>
      </c>
      <c r="K1381" s="11">
        <v>0</v>
      </c>
      <c r="L1381" s="169">
        <f>Imput[[#This Row],[Sub total]]+Imput[[#This Row],[IVA]]-Imput[[#This Row],[Retención / IEPS / Descuento]]</f>
        <v>20835.108</v>
      </c>
      <c r="M1381" s="844">
        <v>20835.108</v>
      </c>
      <c r="N1381" s="189" t="s">
        <v>123</v>
      </c>
      <c r="O1381" s="1"/>
      <c r="P1381" s="189" t="s">
        <v>4192</v>
      </c>
      <c r="Q1381" s="190" t="s">
        <v>4193</v>
      </c>
      <c r="R1381" s="188">
        <v>45989</v>
      </c>
      <c r="S1381" s="193" t="s">
        <v>126</v>
      </c>
      <c r="T1381" s="192"/>
      <c r="U1381" s="829"/>
      <c r="V1381" s="10"/>
      <c r="W1381" s="10"/>
      <c r="X1381" s="10"/>
      <c r="Y1381" s="10"/>
      <c r="Z1381" s="10"/>
      <c r="AA1381" s="11"/>
      <c r="AB1381" s="11"/>
    </row>
    <row r="1382" spans="2:28" x14ac:dyDescent="0.3">
      <c r="B1382" s="10" t="s">
        <v>400</v>
      </c>
      <c r="C1382" s="315"/>
      <c r="D1382" s="868" t="s">
        <v>264</v>
      </c>
      <c r="E1382" s="837" t="str">
        <f>IFERROR(IF(_xlfn.XLOOKUP(Imput[[#This Row],[RFC]],'Alta Proveedor'!D:D,'Alta Proveedor'!E:E)=0,"",_xlfn.XLOOKUP(Imput[[#This Row],[RFC]],'Alta Proveedor'!D:D,'Alta Proveedor'!E:E)),"")</f>
        <v>M.N. DEL GOLFO "HOME CENTER TU ASESOR CONFIABLE"</v>
      </c>
      <c r="F1382" s="832" t="s">
        <v>4196</v>
      </c>
      <c r="G1382" s="187">
        <v>60</v>
      </c>
      <c r="H1382" s="1">
        <f>3692.64/Imput[[#This Row],[Cantidad]]</f>
        <v>61.543999999999997</v>
      </c>
      <c r="I1382" s="169">
        <f>Imput[[#This Row],[Cantidad]]*Imput[[#This Row],[Precio Unitario]]</f>
        <v>3692.64</v>
      </c>
      <c r="J1382" s="11">
        <f>((Imput[[#This Row],[Sub total]])*(0.16))</f>
        <v>590.82240000000002</v>
      </c>
      <c r="K1382" s="11">
        <v>0</v>
      </c>
      <c r="L1382" s="169">
        <f>Imput[[#This Row],[Sub total]]+Imput[[#This Row],[IVA]]-Imput[[#This Row],[Retención / IEPS / Descuento]]</f>
        <v>4283.4624000000003</v>
      </c>
      <c r="M1382" s="844">
        <v>4283.4624000000003</v>
      </c>
      <c r="N1382" s="189" t="s">
        <v>123</v>
      </c>
      <c r="O1382" s="1"/>
      <c r="P1382" s="189" t="s">
        <v>4194</v>
      </c>
      <c r="Q1382" s="190" t="s">
        <v>4195</v>
      </c>
      <c r="R1382" s="188">
        <v>45992</v>
      </c>
      <c r="S1382" s="193" t="s">
        <v>126</v>
      </c>
      <c r="T1382" s="192"/>
      <c r="U1382" s="829"/>
      <c r="V1382" s="10"/>
      <c r="W1382" s="10"/>
      <c r="X1382" s="10"/>
      <c r="Y1382" s="10"/>
      <c r="Z1382" s="10"/>
      <c r="AA1382" s="11"/>
      <c r="AB1382" s="11"/>
    </row>
    <row r="1383" spans="2:28" x14ac:dyDescent="0.3">
      <c r="B1383" s="10" t="s">
        <v>400</v>
      </c>
      <c r="C1383" s="315"/>
      <c r="D1383" s="868" t="s">
        <v>264</v>
      </c>
      <c r="E1383" s="837" t="str">
        <f>IFERROR(IF(_xlfn.XLOOKUP(Imput[[#This Row],[RFC]],'Alta Proveedor'!D:D,'Alta Proveedor'!E:E)=0,"",_xlfn.XLOOKUP(Imput[[#This Row],[RFC]],'Alta Proveedor'!D:D,'Alta Proveedor'!E:E)),"")</f>
        <v>M.N. DEL GOLFO "HOME CENTER TU ASESOR CONFIABLE"</v>
      </c>
      <c r="F1383" s="832" t="s">
        <v>4199</v>
      </c>
      <c r="G1383" s="187">
        <v>1</v>
      </c>
      <c r="H1383" s="1">
        <v>56.811</v>
      </c>
      <c r="I1383" s="169">
        <f>Imput[[#This Row],[Cantidad]]*Imput[[#This Row],[Precio Unitario]]</f>
        <v>56.811</v>
      </c>
      <c r="J1383" s="11">
        <f>((Imput[[#This Row],[Sub total]])*(0.16))+0.003</f>
        <v>9.0927600000000002</v>
      </c>
      <c r="K1383" s="11">
        <v>0</v>
      </c>
      <c r="L1383" s="169">
        <f>Imput[[#This Row],[Sub total]]+Imput[[#This Row],[IVA]]-Imput[[#This Row],[Retención / IEPS / Descuento]]</f>
        <v>65.903760000000005</v>
      </c>
      <c r="M1383" s="844">
        <v>328.82124000000005</v>
      </c>
      <c r="N1383" s="189" t="s">
        <v>123</v>
      </c>
      <c r="O1383" s="1"/>
      <c r="P1383" s="189" t="s">
        <v>4197</v>
      </c>
      <c r="Q1383" s="190" t="s">
        <v>4198</v>
      </c>
      <c r="R1383" s="188">
        <v>45994</v>
      </c>
      <c r="S1383" s="193" t="s">
        <v>154</v>
      </c>
      <c r="T1383" s="192"/>
      <c r="U1383" s="829"/>
      <c r="V1383" s="10"/>
      <c r="W1383" s="10"/>
      <c r="X1383" s="10"/>
      <c r="Y1383" s="10"/>
      <c r="Z1383" s="10"/>
      <c r="AA1383" s="11"/>
      <c r="AB1383" s="11"/>
    </row>
    <row r="1384" spans="2:28" x14ac:dyDescent="0.3">
      <c r="B1384" s="10" t="s">
        <v>400</v>
      </c>
      <c r="C1384" s="315"/>
      <c r="D1384" s="868" t="s">
        <v>264</v>
      </c>
      <c r="E1384" s="837" t="str">
        <f>IFERROR(IF(_xlfn.XLOOKUP(Imput[[#This Row],[RFC]],'Alta Proveedor'!D:D,'Alta Proveedor'!E:E)=0,"",_xlfn.XLOOKUP(Imput[[#This Row],[RFC]],'Alta Proveedor'!D:D,'Alta Proveedor'!E:E)),"")</f>
        <v>M.N. DEL GOLFO "HOME CENTER TU ASESOR CONFIABLE"</v>
      </c>
      <c r="F1384" s="832" t="s">
        <v>4200</v>
      </c>
      <c r="G1384" s="187">
        <v>1</v>
      </c>
      <c r="H1384" s="1">
        <v>171.17099999999999</v>
      </c>
      <c r="I1384" s="169">
        <f>Imput[[#This Row],[Cantidad]]*Imput[[#This Row],[Precio Unitario]]</f>
        <v>171.17099999999999</v>
      </c>
      <c r="J1384" s="11">
        <f>((Imput[[#This Row],[Sub total]])*(0.16))</f>
        <v>27.387360000000001</v>
      </c>
      <c r="K1384" s="11">
        <v>0</v>
      </c>
      <c r="L1384" s="169">
        <f>Imput[[#This Row],[Sub total]]+Imput[[#This Row],[IVA]]-Imput[[#This Row],[Retención / IEPS / Descuento]]</f>
        <v>198.55835999999999</v>
      </c>
      <c r="M1384" s="844">
        <v>0</v>
      </c>
      <c r="N1384" s="189" t="s">
        <v>123</v>
      </c>
      <c r="O1384" s="1"/>
      <c r="P1384" s="189" t="s">
        <v>4197</v>
      </c>
      <c r="Q1384" s="190" t="s">
        <v>4198</v>
      </c>
      <c r="R1384" s="188">
        <v>45994</v>
      </c>
      <c r="S1384" s="193" t="s">
        <v>154</v>
      </c>
      <c r="T1384" s="192"/>
      <c r="U1384" s="829"/>
      <c r="V1384" s="10"/>
      <c r="W1384" s="10"/>
      <c r="X1384" s="10"/>
      <c r="Y1384" s="10"/>
      <c r="Z1384" s="10"/>
      <c r="AA1384" s="11"/>
      <c r="AB1384" s="11"/>
    </row>
    <row r="1385" spans="2:28" x14ac:dyDescent="0.3">
      <c r="B1385" s="10" t="s">
        <v>400</v>
      </c>
      <c r="C1385" s="315"/>
      <c r="D1385" s="868" t="s">
        <v>264</v>
      </c>
      <c r="E1385" s="837" t="str">
        <f>IFERROR(IF(_xlfn.XLOOKUP(Imput[[#This Row],[RFC]],'Alta Proveedor'!D:D,'Alta Proveedor'!E:E)=0,"",_xlfn.XLOOKUP(Imput[[#This Row],[RFC]],'Alta Proveedor'!D:D,'Alta Proveedor'!E:E)),"")</f>
        <v>M.N. DEL GOLFO "HOME CENTER TU ASESOR CONFIABLE"</v>
      </c>
      <c r="F1385" s="832" t="s">
        <v>4201</v>
      </c>
      <c r="G1385" s="187">
        <v>1</v>
      </c>
      <c r="H1385" s="1">
        <v>55.481999999999999</v>
      </c>
      <c r="I1385" s="169">
        <f>Imput[[#This Row],[Cantidad]]*Imput[[#This Row],[Precio Unitario]]</f>
        <v>55.481999999999999</v>
      </c>
      <c r="J1385" s="11">
        <f>((Imput[[#This Row],[Sub total]])*(0.16))</f>
        <v>8.8771199999999997</v>
      </c>
      <c r="K1385" s="11">
        <v>0</v>
      </c>
      <c r="L1385" s="169">
        <f>Imput[[#This Row],[Sub total]]+Imput[[#This Row],[IVA]]-Imput[[#This Row],[Retención / IEPS / Descuento]]</f>
        <v>64.359120000000004</v>
      </c>
      <c r="M1385" s="844">
        <v>0</v>
      </c>
      <c r="N1385" s="189" t="s">
        <v>123</v>
      </c>
      <c r="O1385" s="1"/>
      <c r="P1385" s="189" t="s">
        <v>4197</v>
      </c>
      <c r="Q1385" s="190" t="s">
        <v>4198</v>
      </c>
      <c r="R1385" s="188">
        <v>45994</v>
      </c>
      <c r="S1385" s="193" t="s">
        <v>154</v>
      </c>
      <c r="T1385" s="192"/>
      <c r="U1385" s="829"/>
      <c r="V1385" s="10"/>
      <c r="W1385" s="10"/>
      <c r="X1385" s="10"/>
      <c r="Y1385" s="10"/>
      <c r="Z1385" s="10"/>
      <c r="AA1385" s="11"/>
      <c r="AB1385" s="11"/>
    </row>
    <row r="1386" spans="2:28" x14ac:dyDescent="0.3">
      <c r="B1386" s="10" t="s">
        <v>398</v>
      </c>
      <c r="C1386" s="315"/>
      <c r="D1386" s="868" t="s">
        <v>4204</v>
      </c>
      <c r="E1386" s="837" t="str">
        <f>IFERROR(IF(_xlfn.XLOOKUP(Imput[[#This Row],[RFC]],'Alta Proveedor'!D:D,'Alta Proveedor'!E:E)=0,"",_xlfn.XLOOKUP(Imput[[#This Row],[RFC]],'Alta Proveedor'!D:D,'Alta Proveedor'!E:E)),"")</f>
        <v>M&amp;V PROYECTOS, SERVICIOS Y LIMPIEZA INDUSTRIAL</v>
      </c>
      <c r="F1386" s="832" t="s">
        <v>4206</v>
      </c>
      <c r="G1386" s="187">
        <v>1</v>
      </c>
      <c r="H1386" s="1">
        <v>56.04</v>
      </c>
      <c r="I1386" s="169">
        <f>Imput[[#This Row],[Cantidad]]*Imput[[#This Row],[Precio Unitario]]</f>
        <v>56.04</v>
      </c>
      <c r="J1386" s="11">
        <f>((Imput[[#This Row],[Sub total]])*(0.16))</f>
        <v>8.9664000000000001</v>
      </c>
      <c r="K1386" s="11">
        <v>0</v>
      </c>
      <c r="L1386" s="169">
        <f>Imput[[#This Row],[Sub total]]+Imput[[#This Row],[IVA]]-Imput[[#This Row],[Retención / IEPS / Descuento]]</f>
        <v>65.006399999999999</v>
      </c>
      <c r="M1386" s="844">
        <v>636.00480000000005</v>
      </c>
      <c r="N1386" s="189" t="s">
        <v>123</v>
      </c>
      <c r="O1386" s="1"/>
      <c r="P1386" s="189" t="s">
        <v>4202</v>
      </c>
      <c r="Q1386" s="190" t="s">
        <v>4203</v>
      </c>
      <c r="R1386" s="188">
        <v>45989</v>
      </c>
      <c r="S1386" s="193" t="s">
        <v>126</v>
      </c>
      <c r="T1386" s="192"/>
      <c r="U1386" s="829"/>
      <c r="V1386" s="10"/>
      <c r="W1386" s="10"/>
      <c r="X1386" s="10"/>
      <c r="Y1386" s="10"/>
      <c r="Z1386" s="10"/>
      <c r="AA1386" s="11"/>
      <c r="AB1386" s="11"/>
    </row>
    <row r="1387" spans="2:28" x14ac:dyDescent="0.3">
      <c r="B1387" s="10" t="s">
        <v>398</v>
      </c>
      <c r="C1387" s="315"/>
      <c r="D1387" s="868" t="s">
        <v>4204</v>
      </c>
      <c r="E1387" s="837" t="str">
        <f>IFERROR(IF(_xlfn.XLOOKUP(Imput[[#This Row],[RFC]],'Alta Proveedor'!D:D,'Alta Proveedor'!E:E)=0,"",_xlfn.XLOOKUP(Imput[[#This Row],[RFC]],'Alta Proveedor'!D:D,'Alta Proveedor'!E:E)),"")</f>
        <v>M&amp;V PROYECTOS, SERVICIOS Y LIMPIEZA INDUSTRIAL</v>
      </c>
      <c r="F1387" s="832" t="s">
        <v>4207</v>
      </c>
      <c r="G1387" s="187">
        <v>1</v>
      </c>
      <c r="H1387" s="1">
        <v>492.24</v>
      </c>
      <c r="I1387" s="169">
        <f>Imput[[#This Row],[Cantidad]]*Imput[[#This Row],[Precio Unitario]]</f>
        <v>492.24</v>
      </c>
      <c r="J1387" s="11">
        <f>((Imput[[#This Row],[Sub total]])*(0.16))</f>
        <v>78.758400000000009</v>
      </c>
      <c r="K1387" s="11">
        <v>0</v>
      </c>
      <c r="L1387" s="169">
        <f>Imput[[#This Row],[Sub total]]+Imput[[#This Row],[IVA]]-Imput[[#This Row],[Retención / IEPS / Descuento]]</f>
        <v>570.99840000000006</v>
      </c>
      <c r="M1387" s="844">
        <v>0</v>
      </c>
      <c r="N1387" s="189" t="s">
        <v>123</v>
      </c>
      <c r="O1387" s="1"/>
      <c r="P1387" s="189" t="s">
        <v>4202</v>
      </c>
      <c r="Q1387" s="190" t="s">
        <v>4203</v>
      </c>
      <c r="R1387" s="188">
        <v>45989</v>
      </c>
      <c r="S1387" s="193" t="s">
        <v>126</v>
      </c>
      <c r="T1387" s="192"/>
      <c r="U1387" s="829"/>
      <c r="V1387" s="10"/>
      <c r="W1387" s="10"/>
      <c r="X1387" s="10"/>
      <c r="Y1387" s="10"/>
      <c r="Z1387" s="10"/>
      <c r="AA1387" s="11"/>
      <c r="AB1387" s="11"/>
    </row>
    <row r="1388" spans="2:28" x14ac:dyDescent="0.3">
      <c r="B1388" s="10" t="s">
        <v>398</v>
      </c>
      <c r="C1388" s="315"/>
      <c r="D1388" s="868" t="s">
        <v>3645</v>
      </c>
      <c r="E1388" s="837" t="str">
        <f>IFERROR(IF(_xlfn.XLOOKUP(Imput[[#This Row],[RFC]],'Alta Proveedor'!D:D,'Alta Proveedor'!E:E)=0,"",_xlfn.XLOOKUP(Imput[[#This Row],[RFC]],'Alta Proveedor'!D:D,'Alta Proveedor'!E:E)),"")</f>
        <v>MVG CONSULTING AND CONSTRUCTION</v>
      </c>
      <c r="F1388" s="832" t="s">
        <v>4210</v>
      </c>
      <c r="G1388" s="187">
        <v>1</v>
      </c>
      <c r="H1388" s="1">
        <v>40000</v>
      </c>
      <c r="I1388" s="169">
        <f>Imput[[#This Row],[Cantidad]]*Imput[[#This Row],[Precio Unitario]]</f>
        <v>40000</v>
      </c>
      <c r="J1388" s="11">
        <f>((Imput[[#This Row],[Sub total]])*(0.16))</f>
        <v>6400</v>
      </c>
      <c r="K1388" s="11">
        <v>0</v>
      </c>
      <c r="L1388" s="169">
        <f>Imput[[#This Row],[Sub total]]+Imput[[#This Row],[IVA]]-Imput[[#This Row],[Retención / IEPS / Descuento]]</f>
        <v>46400</v>
      </c>
      <c r="M1388" s="844">
        <v>46400</v>
      </c>
      <c r="N1388" s="189" t="s">
        <v>123</v>
      </c>
      <c r="O1388" s="1"/>
      <c r="P1388" s="189" t="s">
        <v>4208</v>
      </c>
      <c r="Q1388" s="190" t="s">
        <v>4209</v>
      </c>
      <c r="R1388" s="188">
        <v>45979</v>
      </c>
      <c r="S1388" s="193" t="s">
        <v>215</v>
      </c>
      <c r="T1388" s="192"/>
      <c r="U1388" s="829"/>
      <c r="V1388" s="10"/>
      <c r="W1388" s="10"/>
      <c r="X1388" s="10"/>
      <c r="Y1388" s="10"/>
      <c r="Z1388" s="10"/>
      <c r="AA1388" s="11"/>
      <c r="AB1388" s="11"/>
    </row>
    <row r="1389" spans="2:28" x14ac:dyDescent="0.3">
      <c r="B1389" s="10" t="s">
        <v>400</v>
      </c>
      <c r="C1389" s="315" t="s">
        <v>1767</v>
      </c>
      <c r="D1389" s="868" t="s">
        <v>3664</v>
      </c>
      <c r="E1389" s="837" t="str">
        <f>IFERROR(IF(_xlfn.XLOOKUP(Imput[[#This Row],[RFC]],'Alta Proveedor'!D:D,'Alta Proveedor'!E:E)=0,"",_xlfn.XLOOKUP(Imput[[#This Row],[RFC]],'Alta Proveedor'!D:D,'Alta Proveedor'!E:E)),"")</f>
        <v>LA MARINA VIEJA (COMBUSTIBLES)</v>
      </c>
      <c r="F1389" s="832" t="s">
        <v>1114</v>
      </c>
      <c r="G1389" s="187">
        <v>37.750093999999997</v>
      </c>
      <c r="H1389" s="1">
        <v>22.901433999999998</v>
      </c>
      <c r="I1389" s="169">
        <f>Imput[[#This Row],[Cantidad]]*Imput[[#This Row],[Precio Unitario]]</f>
        <v>864.53128623479586</v>
      </c>
      <c r="J1389" s="11">
        <v>135.47</v>
      </c>
      <c r="K1389" s="11">
        <v>0</v>
      </c>
      <c r="L1389" s="169">
        <f>Imput[[#This Row],[Sub total]]+Imput[[#This Row],[IVA]]-Imput[[#This Row],[Retención / IEPS / Descuento]]</f>
        <v>1000.0012862347959</v>
      </c>
      <c r="M1389" s="844">
        <v>1000.0012862347959</v>
      </c>
      <c r="N1389" s="189" t="s">
        <v>123</v>
      </c>
      <c r="O1389" s="1"/>
      <c r="P1389" s="189" t="s">
        <v>4211</v>
      </c>
      <c r="Q1389" s="190" t="s">
        <v>4212</v>
      </c>
      <c r="R1389" s="188">
        <v>45999</v>
      </c>
      <c r="S1389" s="193" t="s">
        <v>126</v>
      </c>
      <c r="T1389" s="192"/>
      <c r="U1389" s="829"/>
      <c r="V1389" s="10"/>
      <c r="W1389" s="10"/>
      <c r="X1389" s="10"/>
      <c r="Y1389" s="10"/>
      <c r="Z1389" s="10"/>
      <c r="AA1389" s="11"/>
      <c r="AB1389" s="11"/>
    </row>
    <row r="1390" spans="2:28" x14ac:dyDescent="0.3">
      <c r="B1390" s="10" t="s">
        <v>398</v>
      </c>
      <c r="C1390" s="315"/>
      <c r="D1390" s="868" t="s">
        <v>4215</v>
      </c>
      <c r="E1390" s="837" t="str">
        <f>IFERROR(IF(_xlfn.XLOOKUP(Imput[[#This Row],[RFC]],'Alta Proveedor'!D:D,'Alta Proveedor'!E:E)=0,"",_xlfn.XLOOKUP(Imput[[#This Row],[RFC]],'Alta Proveedor'!D:D,'Alta Proveedor'!E:E)),"")</f>
        <v>MUNICIPIO DE VICTORIA TAMAULIPAS</v>
      </c>
      <c r="F1390" s="832" t="s">
        <v>4217</v>
      </c>
      <c r="G1390" s="187">
        <v>1</v>
      </c>
      <c r="H1390" s="1">
        <v>849</v>
      </c>
      <c r="I1390" s="169">
        <f>Imput[[#This Row],[Cantidad]]*Imput[[#This Row],[Precio Unitario]]</f>
        <v>849</v>
      </c>
      <c r="J1390" s="11">
        <v>0</v>
      </c>
      <c r="K1390" s="11">
        <v>0</v>
      </c>
      <c r="L1390" s="169">
        <f>Imput[[#This Row],[Sub total]]+Imput[[#This Row],[IVA]]-Imput[[#This Row],[Retención / IEPS / Descuento]]</f>
        <v>849</v>
      </c>
      <c r="M1390" s="844">
        <v>849</v>
      </c>
      <c r="N1390" s="189" t="s">
        <v>123</v>
      </c>
      <c r="O1390" s="1"/>
      <c r="P1390" s="189" t="s">
        <v>4213</v>
      </c>
      <c r="Q1390" s="190" t="s">
        <v>4214</v>
      </c>
      <c r="R1390" s="188">
        <v>45987</v>
      </c>
      <c r="S1390" s="193" t="s">
        <v>126</v>
      </c>
      <c r="T1390" s="192"/>
      <c r="U1390" s="829"/>
      <c r="V1390" s="10"/>
      <c r="W1390" s="10"/>
      <c r="X1390" s="10"/>
      <c r="Y1390" s="10"/>
      <c r="Z1390" s="10"/>
      <c r="AA1390" s="11"/>
      <c r="AB1390" s="11"/>
    </row>
    <row r="1391" spans="2:28" x14ac:dyDescent="0.3">
      <c r="B1391" s="10" t="s">
        <v>398</v>
      </c>
      <c r="C1391" s="315"/>
      <c r="D1391" s="868" t="s">
        <v>4215</v>
      </c>
      <c r="E1391" s="837" t="str">
        <f>IFERROR(IF(_xlfn.XLOOKUP(Imput[[#This Row],[RFC]],'Alta Proveedor'!D:D,'Alta Proveedor'!E:E)=0,"",_xlfn.XLOOKUP(Imput[[#This Row],[RFC]],'Alta Proveedor'!D:D,'Alta Proveedor'!E:E)),"")</f>
        <v>MUNICIPIO DE VICTORIA TAMAULIPAS</v>
      </c>
      <c r="F1391" s="832" t="s">
        <v>4220</v>
      </c>
      <c r="G1391" s="187">
        <v>1</v>
      </c>
      <c r="H1391" s="1">
        <v>3439</v>
      </c>
      <c r="I1391" s="169">
        <f>Imput[[#This Row],[Cantidad]]*Imput[[#This Row],[Precio Unitario]]</f>
        <v>3439</v>
      </c>
      <c r="J1391" s="11">
        <v>0</v>
      </c>
      <c r="K1391" s="11">
        <v>0</v>
      </c>
      <c r="L1391" s="169">
        <f>Imput[[#This Row],[Sub total]]+Imput[[#This Row],[IVA]]-Imput[[#This Row],[Retención / IEPS / Descuento]]</f>
        <v>3439</v>
      </c>
      <c r="M1391" s="844">
        <v>3439</v>
      </c>
      <c r="N1391" s="189" t="s">
        <v>123</v>
      </c>
      <c r="O1391" s="1"/>
      <c r="P1391" s="189" t="s">
        <v>4218</v>
      </c>
      <c r="Q1391" s="190" t="s">
        <v>4219</v>
      </c>
      <c r="R1391" s="188">
        <v>45990</v>
      </c>
      <c r="S1391" s="193" t="s">
        <v>126</v>
      </c>
      <c r="T1391" s="192"/>
      <c r="U1391" s="829"/>
      <c r="V1391" s="10"/>
      <c r="W1391" s="10"/>
      <c r="X1391" s="10"/>
      <c r="Y1391" s="10"/>
      <c r="Z1391" s="10"/>
      <c r="AA1391" s="11"/>
      <c r="AB1391" s="11"/>
    </row>
    <row r="1392" spans="2:28" x14ac:dyDescent="0.3">
      <c r="B1392" s="10" t="s">
        <v>398</v>
      </c>
      <c r="C1392" s="315" t="s">
        <v>1767</v>
      </c>
      <c r="D1392" s="868" t="s">
        <v>1967</v>
      </c>
      <c r="E1392" s="837" t="str">
        <f>IFERROR(IF(_xlfn.XLOOKUP(Imput[[#This Row],[RFC]],'Alta Proveedor'!D:D,'Alta Proveedor'!E:E)=0,"",_xlfn.XLOOKUP(Imput[[#This Row],[RFC]],'Alta Proveedor'!D:D,'Alta Proveedor'!E:E)),"")</f>
        <v>14282 - PITS ABASTECIMIENTOS "GASOFAC" (COMBUSTIBLES)</v>
      </c>
      <c r="F1392" s="832" t="s">
        <v>237</v>
      </c>
      <c r="G1392" s="187">
        <v>50.849939999999997</v>
      </c>
      <c r="H1392" s="1">
        <v>20.759512999999998</v>
      </c>
      <c r="I1392" s="169">
        <f>Imput[[#This Row],[Cantidad]]*Imput[[#This Row],[Precio Unitario]]</f>
        <v>1055.61999047922</v>
      </c>
      <c r="J1392" s="11">
        <v>164.27</v>
      </c>
      <c r="K1392" s="11">
        <v>0</v>
      </c>
      <c r="L1392" s="169">
        <f>Imput[[#This Row],[Sub total]]+Imput[[#This Row],[IVA]]-Imput[[#This Row],[Retención / IEPS / Descuento]]</f>
        <v>1219.8899904792199</v>
      </c>
      <c r="M1392" s="844">
        <v>1219.8899904792199</v>
      </c>
      <c r="N1392" s="189" t="s">
        <v>123</v>
      </c>
      <c r="O1392" s="1"/>
      <c r="P1392" s="189" t="s">
        <v>4221</v>
      </c>
      <c r="Q1392" s="190" t="s">
        <v>4222</v>
      </c>
      <c r="R1392" s="188">
        <v>45985</v>
      </c>
      <c r="S1392" s="193" t="s">
        <v>126</v>
      </c>
      <c r="T1392" s="192"/>
      <c r="U1392" s="829"/>
      <c r="V1392" s="10"/>
      <c r="W1392" s="10"/>
      <c r="X1392" s="10"/>
      <c r="Y1392" s="10"/>
      <c r="Z1392" s="10"/>
      <c r="AA1392" s="11"/>
      <c r="AB1392" s="11"/>
    </row>
    <row r="1393" spans="2:28" x14ac:dyDescent="0.3">
      <c r="B1393" s="10" t="s">
        <v>400</v>
      </c>
      <c r="C1393" s="315"/>
      <c r="D1393" s="868" t="s">
        <v>4226</v>
      </c>
      <c r="E1393" s="837" t="str">
        <f>IFERROR(IF(_xlfn.XLOOKUP(Imput[[#This Row],[RFC]],'Alta Proveedor'!D:D,'Alta Proveedor'!E:E)=0,"",_xlfn.XLOOKUP(Imput[[#This Row],[RFC]],'Alta Proveedor'!D:D,'Alta Proveedor'!E:E)),"")</f>
        <v>PRAXAIR MEXICO</v>
      </c>
      <c r="F1393" s="832" t="s">
        <v>4227</v>
      </c>
      <c r="G1393" s="187">
        <v>55</v>
      </c>
      <c r="H1393" s="1">
        <f>524.15/Imput[[#This Row],[Cantidad]]</f>
        <v>9.5299999999999994</v>
      </c>
      <c r="I1393" s="169">
        <f>Imput[[#This Row],[Cantidad]]*Imput[[#This Row],[Precio Unitario]]</f>
        <v>524.15</v>
      </c>
      <c r="J1393" s="11">
        <f>((Imput[[#This Row],[Sub total]])*(0.16))</f>
        <v>83.864000000000004</v>
      </c>
      <c r="K1393" s="11">
        <v>0</v>
      </c>
      <c r="L1393" s="169">
        <f>Imput[[#This Row],[Sub total]]+Imput[[#This Row],[IVA]]-Imput[[#This Row],[Retención / IEPS / Descuento]]</f>
        <v>608.01400000000001</v>
      </c>
      <c r="M1393" s="844">
        <v>608.01400000000001</v>
      </c>
      <c r="N1393" s="189" t="s">
        <v>123</v>
      </c>
      <c r="O1393" s="1"/>
      <c r="P1393" s="189" t="s">
        <v>4223</v>
      </c>
      <c r="Q1393" s="190" t="s">
        <v>4224</v>
      </c>
      <c r="R1393" s="188">
        <v>45994</v>
      </c>
      <c r="S1393" s="193" t="s">
        <v>126</v>
      </c>
      <c r="T1393" s="192"/>
      <c r="U1393" s="829"/>
      <c r="V1393" s="10"/>
      <c r="W1393" s="10"/>
      <c r="X1393" s="10"/>
      <c r="Y1393" s="10"/>
      <c r="Z1393" s="10"/>
      <c r="AA1393" s="11"/>
      <c r="AB1393" s="11"/>
    </row>
    <row r="1394" spans="2:28" x14ac:dyDescent="0.3">
      <c r="B1394" s="10" t="s">
        <v>398</v>
      </c>
      <c r="C1394" s="315" t="s">
        <v>1747</v>
      </c>
      <c r="D1394" s="868" t="s">
        <v>4230</v>
      </c>
      <c r="E1394" s="837" t="str">
        <f>IFERROR(IF(_xlfn.XLOOKUP(Imput[[#This Row],[RFC]],'Alta Proveedor'!D:D,'Alta Proveedor'!E:E)=0,"",_xlfn.XLOOKUP(Imput[[#This Row],[RFC]],'Alta Proveedor'!D:D,'Alta Proveedor'!E:E)),"")</f>
        <v>MARIA GUADALUPE QUINTERO ESPINOZA</v>
      </c>
      <c r="F1394" s="832" t="s">
        <v>4232</v>
      </c>
      <c r="G1394" s="187">
        <v>1</v>
      </c>
      <c r="H1394" s="1">
        <v>504.2</v>
      </c>
      <c r="I1394" s="169">
        <f>Imput[[#This Row],[Cantidad]]*Imput[[#This Row],[Precio Unitario]]</f>
        <v>504.2</v>
      </c>
      <c r="J1394" s="11">
        <f>((Imput[[#This Row],[Sub total]])*(0.16))</f>
        <v>80.671999999999997</v>
      </c>
      <c r="K1394" s="11">
        <v>-15.13</v>
      </c>
      <c r="L1394" s="169">
        <f>Imput[[#This Row],[Sub total]]+Imput[[#This Row],[IVA]]-Imput[[#This Row],[Retención / IEPS / Descuento]]</f>
        <v>600.00199999999995</v>
      </c>
      <c r="M1394" s="844">
        <v>600.00199999999995</v>
      </c>
      <c r="N1394" s="189" t="s">
        <v>123</v>
      </c>
      <c r="O1394" s="1"/>
      <c r="P1394" s="189" t="s">
        <v>4228</v>
      </c>
      <c r="Q1394" s="190" t="s">
        <v>4229</v>
      </c>
      <c r="R1394" s="188">
        <v>45983</v>
      </c>
      <c r="S1394" s="193" t="s">
        <v>294</v>
      </c>
      <c r="T1394" s="192"/>
      <c r="U1394" s="829"/>
      <c r="V1394" s="10"/>
      <c r="W1394" s="10"/>
      <c r="X1394" s="10"/>
      <c r="Y1394" s="10"/>
      <c r="Z1394" s="10"/>
      <c r="AA1394" s="11"/>
      <c r="AB1394" s="11"/>
    </row>
    <row r="1395" spans="2:28" x14ac:dyDescent="0.3">
      <c r="B1395" s="10" t="s">
        <v>398</v>
      </c>
      <c r="C1395" s="315" t="s">
        <v>1747</v>
      </c>
      <c r="D1395" s="868" t="s">
        <v>4230</v>
      </c>
      <c r="E1395" s="837" t="str">
        <f>IFERROR(IF(_xlfn.XLOOKUP(Imput[[#This Row],[RFC]],'Alta Proveedor'!D:D,'Alta Proveedor'!E:E)=0,"",_xlfn.XLOOKUP(Imput[[#This Row],[RFC]],'Alta Proveedor'!D:D,'Alta Proveedor'!E:E)),"")</f>
        <v>MARIA GUADALUPE QUINTERO ESPINOZA</v>
      </c>
      <c r="F1395" s="832" t="s">
        <v>4235</v>
      </c>
      <c r="G1395" s="187">
        <v>1</v>
      </c>
      <c r="H1395" s="1">
        <v>504.2</v>
      </c>
      <c r="I1395" s="169">
        <f>Imput[[#This Row],[Cantidad]]*Imput[[#This Row],[Precio Unitario]]</f>
        <v>504.2</v>
      </c>
      <c r="J1395" s="11">
        <f>((Imput[[#This Row],[Sub total]])*(0.16))</f>
        <v>80.671999999999997</v>
      </c>
      <c r="K1395" s="11">
        <v>-15.13</v>
      </c>
      <c r="L1395" s="169">
        <f>Imput[[#This Row],[Sub total]]+Imput[[#This Row],[IVA]]-Imput[[#This Row],[Retención / IEPS / Descuento]]</f>
        <v>600.00199999999995</v>
      </c>
      <c r="M1395" s="844">
        <v>600.00199999999995</v>
      </c>
      <c r="N1395" s="189" t="s">
        <v>123</v>
      </c>
      <c r="O1395" s="1"/>
      <c r="P1395" s="189" t="s">
        <v>4233</v>
      </c>
      <c r="Q1395" s="190" t="s">
        <v>4234</v>
      </c>
      <c r="R1395" s="188">
        <v>45984</v>
      </c>
      <c r="S1395" s="193" t="s">
        <v>294</v>
      </c>
      <c r="T1395" s="192"/>
      <c r="U1395" s="829"/>
      <c r="V1395" s="10"/>
      <c r="W1395" s="10"/>
      <c r="X1395" s="10"/>
      <c r="Y1395" s="10"/>
      <c r="Z1395" s="10"/>
      <c r="AA1395" s="11"/>
      <c r="AB1395" s="11"/>
    </row>
    <row r="1396" spans="2:28" x14ac:dyDescent="0.3">
      <c r="B1396" s="10" t="s">
        <v>398</v>
      </c>
      <c r="C1396" s="315" t="s">
        <v>1747</v>
      </c>
      <c r="D1396" s="868" t="s">
        <v>4230</v>
      </c>
      <c r="E1396" s="837" t="str">
        <f>IFERROR(IF(_xlfn.XLOOKUP(Imput[[#This Row],[RFC]],'Alta Proveedor'!D:D,'Alta Proveedor'!E:E)=0,"",_xlfn.XLOOKUP(Imput[[#This Row],[RFC]],'Alta Proveedor'!D:D,'Alta Proveedor'!E:E)),"")</f>
        <v>MARIA GUADALUPE QUINTERO ESPINOZA</v>
      </c>
      <c r="F1396" s="832" t="s">
        <v>4238</v>
      </c>
      <c r="G1396" s="187">
        <v>1</v>
      </c>
      <c r="H1396" s="1">
        <v>504.2</v>
      </c>
      <c r="I1396" s="169">
        <f>Imput[[#This Row],[Cantidad]]*Imput[[#This Row],[Precio Unitario]]</f>
        <v>504.2</v>
      </c>
      <c r="J1396" s="11">
        <f>((Imput[[#This Row],[Sub total]])*(0.16))</f>
        <v>80.671999999999997</v>
      </c>
      <c r="K1396" s="11">
        <v>-15.13</v>
      </c>
      <c r="L1396" s="169">
        <f>Imput[[#This Row],[Sub total]]+Imput[[#This Row],[IVA]]-Imput[[#This Row],[Retención / IEPS / Descuento]]</f>
        <v>600.00199999999995</v>
      </c>
      <c r="M1396" s="844">
        <v>600.00199999999995</v>
      </c>
      <c r="N1396" s="189" t="s">
        <v>123</v>
      </c>
      <c r="O1396" s="1"/>
      <c r="P1396" s="189" t="s">
        <v>4236</v>
      </c>
      <c r="Q1396" s="190" t="s">
        <v>4237</v>
      </c>
      <c r="R1396" s="188">
        <v>45985</v>
      </c>
      <c r="S1396" s="193" t="s">
        <v>294</v>
      </c>
      <c r="T1396" s="192"/>
      <c r="U1396" s="829"/>
      <c r="V1396" s="10"/>
      <c r="W1396" s="10"/>
      <c r="X1396" s="10"/>
      <c r="Y1396" s="10"/>
      <c r="Z1396" s="10"/>
      <c r="AA1396" s="11"/>
      <c r="AB1396" s="11"/>
    </row>
    <row r="1397" spans="2:28" x14ac:dyDescent="0.3">
      <c r="B1397" s="10" t="s">
        <v>400</v>
      </c>
      <c r="C1397" s="315"/>
      <c r="D1397" s="868" t="s">
        <v>4241</v>
      </c>
      <c r="E1397" s="837" t="str">
        <f>IFERROR(IF(_xlfn.XLOOKUP(Imput[[#This Row],[RFC]],'Alta Proveedor'!D:D,'Alta Proveedor'!E:E)=0,"",_xlfn.XLOOKUP(Imput[[#This Row],[RFC]],'Alta Proveedor'!D:D,'Alta Proveedor'!E:E)),"")</f>
        <v>MATERIALES LOS GENERALES "JESUS ROLANDO RAMIREZ COBOS"</v>
      </c>
      <c r="F1397" s="832" t="s">
        <v>492</v>
      </c>
      <c r="G1397" s="187">
        <v>2</v>
      </c>
      <c r="H1397" s="1">
        <f>1637.94/Imput[[#This Row],[Cantidad]]</f>
        <v>818.97</v>
      </c>
      <c r="I1397" s="169">
        <f>Imput[[#This Row],[Cantidad]]*Imput[[#This Row],[Precio Unitario]]</f>
        <v>1637.94</v>
      </c>
      <c r="J1397" s="11">
        <f>((Imput[[#This Row],[Sub total]])*(0.16))</f>
        <v>262.07040000000001</v>
      </c>
      <c r="K1397" s="11">
        <v>0</v>
      </c>
      <c r="L1397" s="169">
        <f>Imput[[#This Row],[Sub total]]+Imput[[#This Row],[IVA]]-Imput[[#This Row],[Retención / IEPS / Descuento]]</f>
        <v>1900.0104000000001</v>
      </c>
      <c r="M1397" s="844">
        <v>9990.9988000000012</v>
      </c>
      <c r="N1397" s="189" t="s">
        <v>123</v>
      </c>
      <c r="O1397" s="1"/>
      <c r="P1397" s="189" t="s">
        <v>4239</v>
      </c>
      <c r="Q1397" s="190" t="s">
        <v>4240</v>
      </c>
      <c r="R1397" s="188">
        <v>45993</v>
      </c>
      <c r="S1397" s="193" t="s">
        <v>154</v>
      </c>
      <c r="T1397" s="192"/>
      <c r="U1397" s="829"/>
      <c r="V1397" s="10"/>
      <c r="W1397" s="10"/>
      <c r="X1397" s="10"/>
      <c r="Y1397" s="10"/>
      <c r="Z1397" s="10"/>
      <c r="AA1397" s="11"/>
      <c r="AB1397" s="11"/>
    </row>
    <row r="1398" spans="2:28" x14ac:dyDescent="0.3">
      <c r="B1398" s="10" t="s">
        <v>400</v>
      </c>
      <c r="C1398" s="315"/>
      <c r="D1398" s="868" t="s">
        <v>4241</v>
      </c>
      <c r="E1398" s="837" t="str">
        <f>IFERROR(IF(_xlfn.XLOOKUP(Imput[[#This Row],[RFC]],'Alta Proveedor'!D:D,'Alta Proveedor'!E:E)=0,"",_xlfn.XLOOKUP(Imput[[#This Row],[RFC]],'Alta Proveedor'!D:D,'Alta Proveedor'!E:E)),"")</f>
        <v>MATERIALES LOS GENERALES "JESUS ROLANDO RAMIREZ COBOS"</v>
      </c>
      <c r="F1398" s="832" t="s">
        <v>495</v>
      </c>
      <c r="G1398" s="187">
        <v>2</v>
      </c>
      <c r="H1398" s="1">
        <f>1637.92/Imput[[#This Row],[Cantidad]]</f>
        <v>818.96</v>
      </c>
      <c r="I1398" s="169">
        <f>Imput[[#This Row],[Cantidad]]*Imput[[#This Row],[Precio Unitario]]</f>
        <v>1637.92</v>
      </c>
      <c r="J1398" s="11">
        <f>((Imput[[#This Row],[Sub total]])*(0.16))</f>
        <v>262.06720000000001</v>
      </c>
      <c r="K1398" s="11">
        <v>0</v>
      </c>
      <c r="L1398" s="169">
        <f>Imput[[#This Row],[Sub total]]+Imput[[#This Row],[IVA]]-Imput[[#This Row],[Retención / IEPS / Descuento]]</f>
        <v>1899.9872</v>
      </c>
      <c r="M1398" s="844">
        <v>0</v>
      </c>
      <c r="N1398" s="189" t="s">
        <v>123</v>
      </c>
      <c r="O1398" s="1"/>
      <c r="P1398" s="189" t="s">
        <v>4239</v>
      </c>
      <c r="Q1398" s="190" t="s">
        <v>4240</v>
      </c>
      <c r="R1398" s="188">
        <v>45993</v>
      </c>
      <c r="S1398" s="193" t="s">
        <v>154</v>
      </c>
      <c r="T1398" s="192"/>
      <c r="U1398" s="829"/>
      <c r="V1398" s="10"/>
      <c r="W1398" s="10"/>
      <c r="X1398" s="10"/>
      <c r="Y1398" s="10"/>
      <c r="Z1398" s="10"/>
      <c r="AA1398" s="11"/>
      <c r="AB1398" s="11"/>
    </row>
    <row r="1399" spans="2:28" x14ac:dyDescent="0.3">
      <c r="B1399" s="10" t="s">
        <v>400</v>
      </c>
      <c r="C1399" s="315"/>
      <c r="D1399" s="868" t="s">
        <v>4241</v>
      </c>
      <c r="E1399" s="837" t="str">
        <f>IFERROR(IF(_xlfn.XLOOKUP(Imput[[#This Row],[RFC]],'Alta Proveedor'!D:D,'Alta Proveedor'!E:E)=0,"",_xlfn.XLOOKUP(Imput[[#This Row],[RFC]],'Alta Proveedor'!D:D,'Alta Proveedor'!E:E)),"")</f>
        <v>MATERIALES LOS GENERALES "JESUS ROLANDO RAMIREZ COBOS"</v>
      </c>
      <c r="F1399" s="832" t="s">
        <v>4243</v>
      </c>
      <c r="G1399" s="187">
        <v>20</v>
      </c>
      <c r="H1399" s="1">
        <f>5086.2/Imput[[#This Row],[Cantidad]]</f>
        <v>254.31</v>
      </c>
      <c r="I1399" s="169">
        <f>Imput[[#This Row],[Cantidad]]*Imput[[#This Row],[Precio Unitario]]</f>
        <v>5086.2</v>
      </c>
      <c r="J1399" s="11">
        <f>((Imput[[#This Row],[Sub total]])*(0.16))</f>
        <v>813.79200000000003</v>
      </c>
      <c r="K1399" s="11">
        <v>0</v>
      </c>
      <c r="L1399" s="169">
        <f>Imput[[#This Row],[Sub total]]+Imput[[#This Row],[IVA]]-Imput[[#This Row],[Retención / IEPS / Descuento]]</f>
        <v>5899.9920000000002</v>
      </c>
      <c r="M1399" s="844">
        <v>0</v>
      </c>
      <c r="N1399" s="189" t="s">
        <v>123</v>
      </c>
      <c r="O1399" s="1"/>
      <c r="P1399" s="189" t="s">
        <v>4239</v>
      </c>
      <c r="Q1399" s="190" t="s">
        <v>4240</v>
      </c>
      <c r="R1399" s="188">
        <v>45993</v>
      </c>
      <c r="S1399" s="193" t="s">
        <v>154</v>
      </c>
      <c r="T1399" s="192"/>
      <c r="U1399" s="829"/>
      <c r="V1399" s="10"/>
      <c r="W1399" s="10"/>
      <c r="X1399" s="10"/>
      <c r="Y1399" s="10"/>
      <c r="Z1399" s="10"/>
      <c r="AA1399" s="11"/>
      <c r="AB1399" s="11"/>
    </row>
    <row r="1400" spans="2:28" x14ac:dyDescent="0.3">
      <c r="B1400" s="10" t="s">
        <v>400</v>
      </c>
      <c r="C1400" s="315"/>
      <c r="D1400" s="868" t="s">
        <v>4241</v>
      </c>
      <c r="E1400" s="837" t="str">
        <f>IFERROR(IF(_xlfn.XLOOKUP(Imput[[#This Row],[RFC]],'Alta Proveedor'!D:D,'Alta Proveedor'!E:E)=0,"",_xlfn.XLOOKUP(Imput[[#This Row],[RFC]],'Alta Proveedor'!D:D,'Alta Proveedor'!E:E)),"")</f>
        <v>MATERIALES LOS GENERALES "JESUS ROLANDO RAMIREZ COBOS"</v>
      </c>
      <c r="F1400" s="832" t="s">
        <v>4244</v>
      </c>
      <c r="G1400" s="187">
        <v>1</v>
      </c>
      <c r="H1400" s="1">
        <f>250.87/Imput[[#This Row],[Cantidad]]</f>
        <v>250.87</v>
      </c>
      <c r="I1400" s="169">
        <f>Imput[[#This Row],[Cantidad]]*Imput[[#This Row],[Precio Unitario]]</f>
        <v>250.87</v>
      </c>
      <c r="J1400" s="11">
        <f>((Imput[[#This Row],[Sub total]])*(0.16))</f>
        <v>40.139200000000002</v>
      </c>
      <c r="K1400" s="11">
        <v>0</v>
      </c>
      <c r="L1400" s="169">
        <f>Imput[[#This Row],[Sub total]]+Imput[[#This Row],[IVA]]-Imput[[#This Row],[Retención / IEPS / Descuento]]</f>
        <v>291.00920000000002</v>
      </c>
      <c r="M1400" s="844">
        <v>0</v>
      </c>
      <c r="N1400" s="189" t="s">
        <v>123</v>
      </c>
      <c r="O1400" s="1"/>
      <c r="P1400" s="189" t="s">
        <v>4239</v>
      </c>
      <c r="Q1400" s="190" t="s">
        <v>4240</v>
      </c>
      <c r="R1400" s="188">
        <v>45993</v>
      </c>
      <c r="S1400" s="193" t="s">
        <v>154</v>
      </c>
      <c r="T1400" s="192"/>
      <c r="U1400" s="829"/>
      <c r="V1400" s="10"/>
      <c r="W1400" s="10"/>
      <c r="X1400" s="10"/>
      <c r="Y1400" s="10"/>
      <c r="Z1400" s="10"/>
      <c r="AA1400" s="11"/>
      <c r="AB1400" s="11"/>
    </row>
    <row r="1401" spans="2:28" x14ac:dyDescent="0.3">
      <c r="B1401" s="10" t="s">
        <v>400</v>
      </c>
      <c r="C1401" s="315" t="s">
        <v>1747</v>
      </c>
      <c r="D1401" s="868" t="s">
        <v>4247</v>
      </c>
      <c r="E1401" s="837" t="str">
        <f>IFERROR(IF(_xlfn.XLOOKUP(Imput[[#This Row],[RFC]],'Alta Proveedor'!D:D,'Alta Proveedor'!E:E)=0,"",_xlfn.XLOOKUP(Imput[[#This Row],[RFC]],'Alta Proveedor'!D:D,'Alta Proveedor'!E:E)),"")</f>
        <v>JOSE RODRIGUEZ GALVAN (HOSPEDAJE)</v>
      </c>
      <c r="F1401" s="832" t="s">
        <v>1482</v>
      </c>
      <c r="G1401" s="187">
        <v>1</v>
      </c>
      <c r="H1401" s="1">
        <v>1850</v>
      </c>
      <c r="I1401" s="169">
        <f>Imput[[#This Row],[Cantidad]]*Imput[[#This Row],[Precio Unitario]]</f>
        <v>1850</v>
      </c>
      <c r="J1401" s="11">
        <f>((Imput[[#This Row],[Sub total]])*(0.16))</f>
        <v>296</v>
      </c>
      <c r="K1401" s="11">
        <v>-55.5</v>
      </c>
      <c r="L1401" s="169">
        <f>Imput[[#This Row],[Sub total]]+Imput[[#This Row],[IVA]]-Imput[[#This Row],[Retención / IEPS / Descuento]]</f>
        <v>2201.5</v>
      </c>
      <c r="M1401" s="844">
        <v>2201.5</v>
      </c>
      <c r="N1401" s="189" t="s">
        <v>123</v>
      </c>
      <c r="O1401" s="1"/>
      <c r="P1401" s="189" t="s">
        <v>4245</v>
      </c>
      <c r="Q1401" s="190" t="s">
        <v>4246</v>
      </c>
      <c r="R1401" s="188">
        <v>45999</v>
      </c>
      <c r="S1401" s="193" t="s">
        <v>126</v>
      </c>
      <c r="T1401" s="192"/>
      <c r="U1401" s="829"/>
      <c r="V1401" s="10"/>
      <c r="W1401" s="10"/>
      <c r="X1401" s="10"/>
      <c r="Y1401" s="10"/>
      <c r="Z1401" s="10"/>
      <c r="AA1401" s="11"/>
      <c r="AB1401" s="11"/>
    </row>
    <row r="1402" spans="2:28" x14ac:dyDescent="0.3">
      <c r="B1402" s="10" t="s">
        <v>400</v>
      </c>
      <c r="C1402" s="315" t="s">
        <v>1747</v>
      </c>
      <c r="D1402" s="868" t="s">
        <v>4247</v>
      </c>
      <c r="E1402" s="837" t="str">
        <f>IFERROR(IF(_xlfn.XLOOKUP(Imput[[#This Row],[RFC]],'Alta Proveedor'!D:D,'Alta Proveedor'!E:E)=0,"",_xlfn.XLOOKUP(Imput[[#This Row],[RFC]],'Alta Proveedor'!D:D,'Alta Proveedor'!E:E)),"")</f>
        <v>JOSE RODRIGUEZ GALVAN (HOSPEDAJE)</v>
      </c>
      <c r="F1402" s="832" t="s">
        <v>1482</v>
      </c>
      <c r="G1402" s="187">
        <v>1</v>
      </c>
      <c r="H1402" s="1">
        <v>1850</v>
      </c>
      <c r="I1402" s="169">
        <f>Imput[[#This Row],[Cantidad]]*Imput[[#This Row],[Precio Unitario]]</f>
        <v>1850</v>
      </c>
      <c r="J1402" s="11">
        <f>((Imput[[#This Row],[Sub total]])*(0.16))</f>
        <v>296</v>
      </c>
      <c r="K1402" s="11">
        <v>-55.5</v>
      </c>
      <c r="L1402" s="169">
        <f>Imput[[#This Row],[Sub total]]+Imput[[#This Row],[IVA]]-Imput[[#This Row],[Retención / IEPS / Descuento]]</f>
        <v>2201.5</v>
      </c>
      <c r="M1402" s="844">
        <v>2201.5</v>
      </c>
      <c r="N1402" s="189" t="s">
        <v>123</v>
      </c>
      <c r="O1402" s="1"/>
      <c r="P1402" s="189" t="s">
        <v>4249</v>
      </c>
      <c r="Q1402" s="190" t="s">
        <v>4250</v>
      </c>
      <c r="R1402" s="188">
        <v>45999</v>
      </c>
      <c r="S1402" s="193" t="s">
        <v>126</v>
      </c>
      <c r="T1402" s="192"/>
      <c r="U1402" s="829"/>
      <c r="V1402" s="10"/>
      <c r="W1402" s="10"/>
      <c r="X1402" s="10"/>
      <c r="Y1402" s="10"/>
      <c r="Z1402" s="10"/>
      <c r="AA1402" s="11"/>
      <c r="AB1402" s="11"/>
    </row>
    <row r="1403" spans="2:28" x14ac:dyDescent="0.3">
      <c r="B1403" s="10" t="s">
        <v>400</v>
      </c>
      <c r="C1403" s="315"/>
      <c r="D1403" s="868" t="s">
        <v>4253</v>
      </c>
      <c r="E1403" s="837" t="str">
        <f>IFERROR(IF(_xlfn.XLOOKUP(Imput[[#This Row],[RFC]],'Alta Proveedor'!D:D,'Alta Proveedor'!E:E)=0,"",_xlfn.XLOOKUP(Imput[[#This Row],[RFC]],'Alta Proveedor'!D:D,'Alta Proveedor'!E:E)),"")</f>
        <v>ABEL UMAÑA MERIDA "MADERERIA TAMAULIPAS"</v>
      </c>
      <c r="F1403" s="832" t="s">
        <v>4255</v>
      </c>
      <c r="G1403" s="187">
        <v>4</v>
      </c>
      <c r="H1403" s="1">
        <v>215.51750000000001</v>
      </c>
      <c r="I1403" s="169">
        <f>Imput[[#This Row],[Cantidad]]*Imput[[#This Row],[Precio Unitario]]</f>
        <v>862.07</v>
      </c>
      <c r="J1403" s="11">
        <f>((Imput[[#This Row],[Sub total]])*(0.16))</f>
        <v>137.93120000000002</v>
      </c>
      <c r="K1403" s="11">
        <v>0</v>
      </c>
      <c r="L1403" s="169">
        <f>Imput[[#This Row],[Sub total]]+Imput[[#This Row],[IVA]]-Imput[[#This Row],[Retención / IEPS / Descuento]]</f>
        <v>1000.0012</v>
      </c>
      <c r="M1403" s="844">
        <v>3410.0043679999999</v>
      </c>
      <c r="N1403" s="189" t="s">
        <v>123</v>
      </c>
      <c r="O1403" s="1"/>
      <c r="P1403" s="189" t="s">
        <v>4251</v>
      </c>
      <c r="Q1403" s="190" t="s">
        <v>4252</v>
      </c>
      <c r="R1403" s="188">
        <v>45996</v>
      </c>
      <c r="S1403" s="193" t="s">
        <v>126</v>
      </c>
      <c r="T1403" s="192"/>
      <c r="U1403" s="829"/>
      <c r="V1403" s="10"/>
      <c r="W1403" s="10"/>
      <c r="X1403" s="10"/>
      <c r="Y1403" s="10"/>
      <c r="Z1403" s="10"/>
      <c r="AA1403" s="11"/>
      <c r="AB1403" s="11"/>
    </row>
    <row r="1404" spans="2:28" x14ac:dyDescent="0.3">
      <c r="B1404" s="10" t="s">
        <v>400</v>
      </c>
      <c r="C1404" s="315"/>
      <c r="D1404" s="868" t="s">
        <v>4253</v>
      </c>
      <c r="E1404" s="837" t="str">
        <f>IFERROR(IF(_xlfn.XLOOKUP(Imput[[#This Row],[RFC]],'Alta Proveedor'!D:D,'Alta Proveedor'!E:E)=0,"",_xlfn.XLOOKUP(Imput[[#This Row],[RFC]],'Alta Proveedor'!D:D,'Alta Proveedor'!E:E)),"")</f>
        <v>ABEL UMAÑA MERIDA "MADERERIA TAMAULIPAS"</v>
      </c>
      <c r="F1404" s="832" t="s">
        <v>4256</v>
      </c>
      <c r="G1404" s="187">
        <v>6</v>
      </c>
      <c r="H1404" s="1">
        <v>107.75830000000001</v>
      </c>
      <c r="I1404" s="169">
        <f>Imput[[#This Row],[Cantidad]]*Imput[[#This Row],[Precio Unitario]]</f>
        <v>646.5498</v>
      </c>
      <c r="J1404" s="11">
        <f>((Imput[[#This Row],[Sub total]])*(0.16))-0.001</f>
        <v>103.446968</v>
      </c>
      <c r="K1404" s="11">
        <v>0</v>
      </c>
      <c r="L1404" s="169">
        <f>Imput[[#This Row],[Sub total]]+Imput[[#This Row],[IVA]]-Imput[[#This Row],[Retención / IEPS / Descuento]]</f>
        <v>749.99676799999997</v>
      </c>
      <c r="M1404" s="844">
        <v>0</v>
      </c>
      <c r="N1404" s="189" t="s">
        <v>123</v>
      </c>
      <c r="O1404" s="1"/>
      <c r="P1404" s="189" t="s">
        <v>4251</v>
      </c>
      <c r="Q1404" s="190" t="s">
        <v>4252</v>
      </c>
      <c r="R1404" s="188">
        <v>45996</v>
      </c>
      <c r="S1404" s="193" t="s">
        <v>126</v>
      </c>
      <c r="T1404" s="192"/>
      <c r="U1404" s="829"/>
      <c r="V1404" s="10"/>
      <c r="W1404" s="10"/>
      <c r="X1404" s="10"/>
      <c r="Y1404" s="10"/>
      <c r="Z1404" s="10"/>
      <c r="AA1404" s="11"/>
      <c r="AB1404" s="11"/>
    </row>
    <row r="1405" spans="2:28" x14ac:dyDescent="0.3">
      <c r="B1405" s="10" t="s">
        <v>400</v>
      </c>
      <c r="C1405" s="315"/>
      <c r="D1405" s="868" t="s">
        <v>4253</v>
      </c>
      <c r="E1405" s="837" t="str">
        <f>IFERROR(IF(_xlfn.XLOOKUP(Imput[[#This Row],[RFC]],'Alta Proveedor'!D:D,'Alta Proveedor'!E:E)=0,"",_xlfn.XLOOKUP(Imput[[#This Row],[RFC]],'Alta Proveedor'!D:D,'Alta Proveedor'!E:E)),"")</f>
        <v>ABEL UMAÑA MERIDA "MADERERIA TAMAULIPAS"</v>
      </c>
      <c r="F1405" s="832" t="s">
        <v>4257</v>
      </c>
      <c r="G1405" s="187">
        <v>8</v>
      </c>
      <c r="H1405" s="1">
        <v>60.344999999999999</v>
      </c>
      <c r="I1405" s="169">
        <f>Imput[[#This Row],[Cantidad]]*Imput[[#This Row],[Precio Unitario]]</f>
        <v>482.76</v>
      </c>
      <c r="J1405" s="11">
        <f>((Imput[[#This Row],[Sub total]])*(0.16))</f>
        <v>77.241600000000005</v>
      </c>
      <c r="K1405" s="11">
        <v>0</v>
      </c>
      <c r="L1405" s="169">
        <f>Imput[[#This Row],[Sub total]]+Imput[[#This Row],[IVA]]-Imput[[#This Row],[Retención / IEPS / Descuento]]</f>
        <v>560.00160000000005</v>
      </c>
      <c r="M1405" s="844">
        <v>0</v>
      </c>
      <c r="N1405" s="189" t="s">
        <v>123</v>
      </c>
      <c r="O1405" s="1"/>
      <c r="P1405" s="189" t="s">
        <v>4251</v>
      </c>
      <c r="Q1405" s="190" t="s">
        <v>4252</v>
      </c>
      <c r="R1405" s="188">
        <v>45996</v>
      </c>
      <c r="S1405" s="193" t="s">
        <v>126</v>
      </c>
      <c r="T1405" s="192"/>
      <c r="U1405" s="829"/>
      <c r="V1405" s="10"/>
      <c r="W1405" s="10"/>
      <c r="X1405" s="10"/>
      <c r="Y1405" s="10"/>
      <c r="Z1405" s="10"/>
      <c r="AA1405" s="11"/>
      <c r="AB1405" s="11"/>
    </row>
    <row r="1406" spans="2:28" x14ac:dyDescent="0.3">
      <c r="B1406" s="10" t="s">
        <v>400</v>
      </c>
      <c r="C1406" s="315"/>
      <c r="D1406" s="868" t="s">
        <v>4253</v>
      </c>
      <c r="E1406" s="837" t="str">
        <f>IFERROR(IF(_xlfn.XLOOKUP(Imput[[#This Row],[RFC]],'Alta Proveedor'!D:D,'Alta Proveedor'!E:E)=0,"",_xlfn.XLOOKUP(Imput[[#This Row],[RFC]],'Alta Proveedor'!D:D,'Alta Proveedor'!E:E)),"")</f>
        <v>ABEL UMAÑA MERIDA "MADERERIA TAMAULIPAS"</v>
      </c>
      <c r="F1406" s="832" t="s">
        <v>4258</v>
      </c>
      <c r="G1406" s="187">
        <v>5</v>
      </c>
      <c r="H1406" s="1">
        <v>189.65600000000001</v>
      </c>
      <c r="I1406" s="169">
        <f>Imput[[#This Row],[Cantidad]]*Imput[[#This Row],[Precio Unitario]]</f>
        <v>948.28</v>
      </c>
      <c r="J1406" s="11">
        <f>((Imput[[#This Row],[Sub total]])*(0.16))</f>
        <v>151.72479999999999</v>
      </c>
      <c r="K1406" s="11">
        <v>0</v>
      </c>
      <c r="L1406" s="169">
        <f>Imput[[#This Row],[Sub total]]+Imput[[#This Row],[IVA]]-Imput[[#This Row],[Retención / IEPS / Descuento]]</f>
        <v>1100.0047999999999</v>
      </c>
      <c r="M1406" s="844">
        <v>0</v>
      </c>
      <c r="N1406" s="189" t="s">
        <v>123</v>
      </c>
      <c r="O1406" s="1"/>
      <c r="P1406" s="189" t="s">
        <v>4251</v>
      </c>
      <c r="Q1406" s="190" t="s">
        <v>4252</v>
      </c>
      <c r="R1406" s="188">
        <v>45996</v>
      </c>
      <c r="S1406" s="193" t="s">
        <v>126</v>
      </c>
      <c r="T1406" s="192"/>
      <c r="U1406" s="829"/>
      <c r="V1406" s="10"/>
      <c r="W1406" s="10"/>
      <c r="X1406" s="10"/>
      <c r="Y1406" s="10"/>
      <c r="Z1406" s="10"/>
      <c r="AA1406" s="11"/>
      <c r="AB1406" s="11"/>
    </row>
    <row r="1407" spans="2:28" x14ac:dyDescent="0.3">
      <c r="B1407" s="10" t="s">
        <v>398</v>
      </c>
      <c r="C1407" s="315" t="s">
        <v>1767</v>
      </c>
      <c r="D1407" s="868" t="s">
        <v>3684</v>
      </c>
      <c r="E1407" s="837" t="str">
        <f>IFERROR(IF(_xlfn.XLOOKUP(Imput[[#This Row],[RFC]],'Alta Proveedor'!D:D,'Alta Proveedor'!E:E)=0,"",_xlfn.XLOOKUP(Imput[[#This Row],[RFC]],'Alta Proveedor'!D:D,'Alta Proveedor'!E:E)),"")</f>
        <v>SERVICIOS PROFESIONALES GGA</v>
      </c>
      <c r="F1407" s="832" t="s">
        <v>237</v>
      </c>
      <c r="G1407" s="187">
        <v>268.476404</v>
      </c>
      <c r="H1407" s="1">
        <v>20.759626999999998</v>
      </c>
      <c r="I1407" s="169">
        <f>Imput[[#This Row],[Cantidad]]*Imput[[#This Row],[Precio Unitario]]</f>
        <v>5573.470005341308</v>
      </c>
      <c r="J1407" s="11">
        <v>870.55800030165449</v>
      </c>
      <c r="K1407" s="11">
        <v>0</v>
      </c>
      <c r="L1407" s="169">
        <f>Imput[[#This Row],[Sub total]]+Imput[[#This Row],[IVA]]-Imput[[#This Row],[Retención / IEPS / Descuento]]</f>
        <v>6444.0280056429629</v>
      </c>
      <c r="M1407" s="844">
        <v>13832.900015452829</v>
      </c>
      <c r="N1407" s="189" t="s">
        <v>123</v>
      </c>
      <c r="O1407" s="1"/>
      <c r="P1407" s="189" t="s">
        <v>4259</v>
      </c>
      <c r="Q1407" s="190" t="s">
        <v>4260</v>
      </c>
      <c r="R1407" s="188">
        <v>45991</v>
      </c>
      <c r="S1407" s="193" t="s">
        <v>215</v>
      </c>
      <c r="T1407" s="192"/>
      <c r="U1407" s="829"/>
      <c r="V1407" s="10"/>
      <c r="W1407" s="10"/>
      <c r="X1407" s="10"/>
      <c r="Y1407" s="10"/>
      <c r="Z1407" s="10"/>
      <c r="AA1407" s="11"/>
      <c r="AB1407" s="11"/>
    </row>
    <row r="1408" spans="2:28" x14ac:dyDescent="0.3">
      <c r="B1408" s="10" t="s">
        <v>398</v>
      </c>
      <c r="C1408" s="315" t="s">
        <v>1767</v>
      </c>
      <c r="D1408" s="868" t="s">
        <v>3684</v>
      </c>
      <c r="E1408" s="837" t="str">
        <f>IFERROR(IF(_xlfn.XLOOKUP(Imput[[#This Row],[RFC]],'Alta Proveedor'!D:D,'Alta Proveedor'!E:E)=0,"",_xlfn.XLOOKUP(Imput[[#This Row],[RFC]],'Alta Proveedor'!D:D,'Alta Proveedor'!E:E)),"")</f>
        <v>SERVICIOS PROFESIONALES GGA</v>
      </c>
      <c r="F1408" s="832" t="s">
        <v>1114</v>
      </c>
      <c r="G1408" s="187">
        <v>278.00460299999997</v>
      </c>
      <c r="H1408" s="1">
        <v>22.987641</v>
      </c>
      <c r="I1408" s="169">
        <f>Imput[[#This Row],[Cantidad]]*Imput[[#This Row],[Precio Unitario]]</f>
        <v>6390.6700101115221</v>
      </c>
      <c r="J1408" s="11">
        <v>998.20199969834528</v>
      </c>
      <c r="K1408" s="11">
        <v>0</v>
      </c>
      <c r="L1408" s="169">
        <f>Imput[[#This Row],[Sub total]]+Imput[[#This Row],[IVA]]-Imput[[#This Row],[Retención / IEPS / Descuento]]</f>
        <v>7388.8720098098674</v>
      </c>
      <c r="M1408" s="844">
        <v>0</v>
      </c>
      <c r="N1408" s="189" t="s">
        <v>123</v>
      </c>
      <c r="O1408" s="1"/>
      <c r="P1408" s="189" t="s">
        <v>4259</v>
      </c>
      <c r="Q1408" s="190" t="s">
        <v>4260</v>
      </c>
      <c r="R1408" s="188">
        <v>45991</v>
      </c>
      <c r="S1408" s="193" t="s">
        <v>215</v>
      </c>
      <c r="T1408" s="192"/>
      <c r="U1408" s="829"/>
      <c r="V1408" s="10"/>
      <c r="W1408" s="10"/>
      <c r="X1408" s="10"/>
      <c r="Y1408" s="10"/>
      <c r="Z1408" s="10"/>
      <c r="AA1408" s="11"/>
      <c r="AB1408" s="11"/>
    </row>
    <row r="1409" spans="2:28" x14ac:dyDescent="0.3">
      <c r="B1409" s="10" t="s">
        <v>398</v>
      </c>
      <c r="C1409" s="315" t="s">
        <v>1767</v>
      </c>
      <c r="D1409" s="868" t="s">
        <v>3684</v>
      </c>
      <c r="E1409" s="837" t="str">
        <f>IFERROR(IF(_xlfn.XLOOKUP(Imput[[#This Row],[RFC]],'Alta Proveedor'!D:D,'Alta Proveedor'!E:E)=0,"",_xlfn.XLOOKUP(Imput[[#This Row],[RFC]],'Alta Proveedor'!D:D,'Alta Proveedor'!E:E)),"")</f>
        <v>SERVICIOS PROFESIONALES GGA</v>
      </c>
      <c r="F1409" s="832" t="s">
        <v>237</v>
      </c>
      <c r="G1409" s="187">
        <f>393.904157+301.09894</f>
        <v>695.00309700000003</v>
      </c>
      <c r="H1409" s="1">
        <v>18.718132000000001</v>
      </c>
      <c r="I1409" s="169">
        <f>Imput[[#This Row],[Cantidad]]*Imput[[#This Row],[Precio Unitario]]</f>
        <v>13009.159710054804</v>
      </c>
      <c r="J1409" s="11">
        <v>1013.6161707152667</v>
      </c>
      <c r="K1409" s="11">
        <v>0</v>
      </c>
      <c r="L1409" s="169">
        <f>Imput[[#This Row],[Sub total]]+Imput[[#This Row],[IVA]]-Imput[[#This Row],[Retención / IEPS / Descuento]]</f>
        <v>14022.77588077007</v>
      </c>
      <c r="M1409" s="844">
        <v>25358.739715873802</v>
      </c>
      <c r="N1409" s="189" t="s">
        <v>123</v>
      </c>
      <c r="O1409" s="1"/>
      <c r="P1409" s="189" t="s">
        <v>4261</v>
      </c>
      <c r="Q1409" s="190" t="s">
        <v>4262</v>
      </c>
      <c r="R1409" s="188">
        <v>45991</v>
      </c>
      <c r="S1409" s="193" t="s">
        <v>215</v>
      </c>
      <c r="T1409" s="192"/>
      <c r="U1409" s="829"/>
      <c r="V1409" s="10"/>
      <c r="W1409" s="10"/>
      <c r="X1409" s="10"/>
      <c r="Y1409" s="10"/>
      <c r="Z1409" s="10"/>
      <c r="AA1409" s="11"/>
      <c r="AB1409" s="11"/>
    </row>
    <row r="1410" spans="2:28" x14ac:dyDescent="0.3">
      <c r="B1410" s="10" t="s">
        <v>398</v>
      </c>
      <c r="C1410" s="315" t="s">
        <v>1767</v>
      </c>
      <c r="D1410" s="868" t="s">
        <v>3684</v>
      </c>
      <c r="E1410" s="837" t="str">
        <f>IFERROR(IF(_xlfn.XLOOKUP(Imput[[#This Row],[RFC]],'Alta Proveedor'!D:D,'Alta Proveedor'!E:E)=0,"",_xlfn.XLOOKUP(Imput[[#This Row],[RFC]],'Alta Proveedor'!D:D,'Alta Proveedor'!E:E)),"")</f>
        <v>SERVICIOS PROFESIONALES GGA</v>
      </c>
      <c r="F1410" s="832" t="s">
        <v>1114</v>
      </c>
      <c r="G1410" s="187">
        <f>388.986091+70.329759</f>
        <v>459.31584999999995</v>
      </c>
      <c r="H1410" s="1">
        <v>22.896139999999999</v>
      </c>
      <c r="I1410" s="169">
        <f>Imput[[#This Row],[Cantidad]]*Imput[[#This Row],[Precio Unitario]]</f>
        <v>10516.560005818999</v>
      </c>
      <c r="J1410" s="11">
        <v>819.40382928473321</v>
      </c>
      <c r="K1410" s="11">
        <v>0</v>
      </c>
      <c r="L1410" s="169">
        <f>Imput[[#This Row],[Sub total]]+Imput[[#This Row],[IVA]]-Imput[[#This Row],[Retención / IEPS / Descuento]]</f>
        <v>11335.963835103732</v>
      </c>
      <c r="M1410" s="844">
        <v>0</v>
      </c>
      <c r="N1410" s="189" t="s">
        <v>123</v>
      </c>
      <c r="O1410" s="1"/>
      <c r="P1410" s="189" t="s">
        <v>4261</v>
      </c>
      <c r="Q1410" s="190" t="s">
        <v>4262</v>
      </c>
      <c r="R1410" s="188">
        <v>45991</v>
      </c>
      <c r="S1410" s="193" t="s">
        <v>215</v>
      </c>
      <c r="T1410" s="192"/>
      <c r="U1410" s="829"/>
      <c r="V1410" s="10"/>
      <c r="W1410" s="10"/>
      <c r="X1410" s="10"/>
      <c r="Y1410" s="10"/>
      <c r="Z1410" s="10"/>
      <c r="AA1410" s="11"/>
      <c r="AB1410" s="11"/>
    </row>
    <row r="1411" spans="2:28" x14ac:dyDescent="0.3">
      <c r="B1411" s="10" t="s">
        <v>400</v>
      </c>
      <c r="C1411" s="315" t="s">
        <v>1767</v>
      </c>
      <c r="D1411" s="868" t="s">
        <v>3684</v>
      </c>
      <c r="E1411" s="837" t="str">
        <f>IFERROR(IF(_xlfn.XLOOKUP(Imput[[#This Row],[RFC]],'Alta Proveedor'!D:D,'Alta Proveedor'!E:E)=0,"",_xlfn.XLOOKUP(Imput[[#This Row],[RFC]],'Alta Proveedor'!D:D,'Alta Proveedor'!E:E)),"")</f>
        <v>SERVICIOS PROFESIONALES GGA</v>
      </c>
      <c r="F1411" s="832" t="s">
        <v>4265</v>
      </c>
      <c r="G1411" s="187">
        <v>1</v>
      </c>
      <c r="H1411" s="1">
        <v>200</v>
      </c>
      <c r="I1411" s="169">
        <f>Imput[[#This Row],[Cantidad]]*Imput[[#This Row],[Precio Unitario]]</f>
        <v>200</v>
      </c>
      <c r="J1411" s="11">
        <f>((Imput[[#This Row],[Sub total]])*(0.16))</f>
        <v>32</v>
      </c>
      <c r="K1411" s="11">
        <v>0</v>
      </c>
      <c r="L1411" s="169">
        <f>Imput[[#This Row],[Sub total]]+Imput[[#This Row],[IVA]]-Imput[[#This Row],[Retención / IEPS / Descuento]]</f>
        <v>232</v>
      </c>
      <c r="M1411" s="844">
        <v>232</v>
      </c>
      <c r="N1411" s="189" t="s">
        <v>123</v>
      </c>
      <c r="O1411" s="1"/>
      <c r="P1411" s="189" t="s">
        <v>4263</v>
      </c>
      <c r="Q1411" s="190" t="s">
        <v>4264</v>
      </c>
      <c r="R1411" s="188">
        <v>45993</v>
      </c>
      <c r="S1411" s="193" t="s">
        <v>126</v>
      </c>
      <c r="T1411" s="192"/>
      <c r="U1411" s="829"/>
      <c r="V1411" s="10"/>
      <c r="W1411" s="10"/>
      <c r="X1411" s="10"/>
      <c r="Y1411" s="10"/>
      <c r="Z1411" s="10"/>
      <c r="AA1411" s="11"/>
      <c r="AB1411" s="11"/>
    </row>
    <row r="1412" spans="2:28" x14ac:dyDescent="0.3">
      <c r="B1412" s="10" t="s">
        <v>400</v>
      </c>
      <c r="C1412" s="315" t="s">
        <v>1767</v>
      </c>
      <c r="D1412" s="868" t="s">
        <v>3684</v>
      </c>
      <c r="E1412" s="837" t="str">
        <f>IFERROR(IF(_xlfn.XLOOKUP(Imput[[#This Row],[RFC]],'Alta Proveedor'!D:D,'Alta Proveedor'!E:E)=0,"",_xlfn.XLOOKUP(Imput[[#This Row],[RFC]],'Alta Proveedor'!D:D,'Alta Proveedor'!E:E)),"")</f>
        <v>SERVICIOS PROFESIONALES GGA</v>
      </c>
      <c r="F1412" s="832" t="s">
        <v>4265</v>
      </c>
      <c r="G1412" s="187">
        <v>1</v>
      </c>
      <c r="H1412" s="1">
        <v>400</v>
      </c>
      <c r="I1412" s="169">
        <f>Imput[[#This Row],[Cantidad]]*Imput[[#This Row],[Precio Unitario]]</f>
        <v>400</v>
      </c>
      <c r="J1412" s="11">
        <f>((Imput[[#This Row],[Sub total]])*(0.16))</f>
        <v>64</v>
      </c>
      <c r="K1412" s="11">
        <v>0</v>
      </c>
      <c r="L1412" s="169">
        <f>Imput[[#This Row],[Sub total]]+Imput[[#This Row],[IVA]]-Imput[[#This Row],[Retención / IEPS / Descuento]]</f>
        <v>464</v>
      </c>
      <c r="M1412" s="844">
        <v>464</v>
      </c>
      <c r="N1412" s="189" t="s">
        <v>123</v>
      </c>
      <c r="O1412" s="1"/>
      <c r="P1412" s="189" t="s">
        <v>4266</v>
      </c>
      <c r="Q1412" s="190" t="s">
        <v>4267</v>
      </c>
      <c r="R1412" s="188">
        <v>46002</v>
      </c>
      <c r="S1412" s="193" t="s">
        <v>126</v>
      </c>
      <c r="T1412" s="192"/>
      <c r="U1412" s="829"/>
      <c r="V1412" s="10"/>
      <c r="W1412" s="10"/>
      <c r="X1412" s="10"/>
      <c r="Y1412" s="10"/>
      <c r="Z1412" s="10"/>
      <c r="AA1412" s="11"/>
      <c r="AB1412" s="11"/>
    </row>
    <row r="1413" spans="2:28" x14ac:dyDescent="0.3">
      <c r="B1413" s="10" t="s">
        <v>398</v>
      </c>
      <c r="C1413" s="315" t="s">
        <v>1767</v>
      </c>
      <c r="D1413" s="868" t="s">
        <v>3684</v>
      </c>
      <c r="E1413" s="837" t="str">
        <f>IFERROR(IF(_xlfn.XLOOKUP(Imput[[#This Row],[RFC]],'Alta Proveedor'!D:D,'Alta Proveedor'!E:E)=0,"",_xlfn.XLOOKUP(Imput[[#This Row],[RFC]],'Alta Proveedor'!D:D,'Alta Proveedor'!E:E)),"")</f>
        <v>SERVICIOS PROFESIONALES GGA</v>
      </c>
      <c r="F1413" s="832" t="s">
        <v>4265</v>
      </c>
      <c r="G1413" s="187">
        <v>1</v>
      </c>
      <c r="H1413" s="1">
        <v>200</v>
      </c>
      <c r="I1413" s="169">
        <f>Imput[[#This Row],[Cantidad]]*Imput[[#This Row],[Precio Unitario]]</f>
        <v>200</v>
      </c>
      <c r="J1413" s="11">
        <f>((Imput[[#This Row],[Sub total]])*(0.16))</f>
        <v>32</v>
      </c>
      <c r="K1413" s="11">
        <v>0</v>
      </c>
      <c r="L1413" s="169">
        <f>Imput[[#This Row],[Sub total]]+Imput[[#This Row],[IVA]]-Imput[[#This Row],[Retención / IEPS / Descuento]]</f>
        <v>232</v>
      </c>
      <c r="M1413" s="844">
        <v>232</v>
      </c>
      <c r="N1413" s="189" t="s">
        <v>123</v>
      </c>
      <c r="O1413" s="1"/>
      <c r="P1413" s="189" t="s">
        <v>4268</v>
      </c>
      <c r="Q1413" s="190" t="s">
        <v>4269</v>
      </c>
      <c r="R1413" s="188">
        <v>45985</v>
      </c>
      <c r="S1413" s="193" t="s">
        <v>126</v>
      </c>
      <c r="T1413" s="192"/>
      <c r="U1413" s="829"/>
      <c r="V1413" s="10"/>
      <c r="W1413" s="10"/>
      <c r="X1413" s="10"/>
      <c r="Y1413" s="10"/>
      <c r="Z1413" s="10"/>
      <c r="AA1413" s="11"/>
      <c r="AB1413" s="11"/>
    </row>
    <row r="1414" spans="2:28" x14ac:dyDescent="0.3">
      <c r="B1414" s="10" t="s">
        <v>400</v>
      </c>
      <c r="C1414" s="315"/>
      <c r="D1414" s="868" t="s">
        <v>1499</v>
      </c>
      <c r="E1414" s="837" t="str">
        <f>IFERROR(IF(_xlfn.XLOOKUP(Imput[[#This Row],[RFC]],'Alta Proveedor'!D:D,'Alta Proveedor'!E:E)=0,"",_xlfn.XLOOKUP(Imput[[#This Row],[RFC]],'Alta Proveedor'!D:D,'Alta Proveedor'!E:E)),"")</f>
        <v>TRANSPAIS UNICO (TRANSPORTE PASAJEROS)</v>
      </c>
      <c r="F1414" s="832" t="s">
        <v>4272</v>
      </c>
      <c r="G1414" s="187">
        <v>1</v>
      </c>
      <c r="H1414" s="1">
        <v>430.17</v>
      </c>
      <c r="I1414" s="169">
        <f>Imput[[#This Row],[Cantidad]]*Imput[[#This Row],[Precio Unitario]]</f>
        <v>430.17</v>
      </c>
      <c r="J1414" s="11">
        <f>((Imput[[#This Row],[Sub total]])*(0.16))</f>
        <v>68.827200000000005</v>
      </c>
      <c r="K1414" s="11">
        <v>0</v>
      </c>
      <c r="L1414" s="169">
        <f>Imput[[#This Row],[Sub total]]+Imput[[#This Row],[IVA]]-Imput[[#This Row],[Retención / IEPS / Descuento]]</f>
        <v>498.99720000000002</v>
      </c>
      <c r="M1414" s="844">
        <v>498.99720000000002</v>
      </c>
      <c r="N1414" s="189" t="s">
        <v>123</v>
      </c>
      <c r="O1414" s="1"/>
      <c r="P1414" s="189" t="s">
        <v>4270</v>
      </c>
      <c r="Q1414" s="190" t="s">
        <v>4271</v>
      </c>
      <c r="R1414" s="188">
        <v>45999</v>
      </c>
      <c r="S1414" s="193" t="s">
        <v>126</v>
      </c>
      <c r="T1414" s="192"/>
      <c r="U1414" s="829"/>
      <c r="V1414" s="10"/>
      <c r="W1414" s="10"/>
      <c r="X1414" s="10"/>
      <c r="Y1414" s="10"/>
      <c r="Z1414" s="10"/>
      <c r="AA1414" s="11"/>
      <c r="AB1414" s="11"/>
    </row>
    <row r="1415" spans="2:28" x14ac:dyDescent="0.3">
      <c r="B1415" s="10" t="s">
        <v>398</v>
      </c>
      <c r="C1415" s="315" t="s">
        <v>1747</v>
      </c>
      <c r="D1415" s="868" t="s">
        <v>4275</v>
      </c>
      <c r="E1415" s="837" t="str">
        <f>IFERROR(IF(_xlfn.XLOOKUP(Imput[[#This Row],[RFC]],'Alta Proveedor'!D:D,'Alta Proveedor'!E:E)=0,"",_xlfn.XLOOKUP(Imput[[#This Row],[RFC]],'Alta Proveedor'!D:D,'Alta Proveedor'!E:E)),"")</f>
        <v>"HOTEL DEL FRESNO" TURIFRESNO</v>
      </c>
      <c r="F1415" s="832" t="s">
        <v>1482</v>
      </c>
      <c r="G1415" s="187">
        <v>1</v>
      </c>
      <c r="H1415" s="1">
        <v>604.79999999999995</v>
      </c>
      <c r="I1415" s="169">
        <f>Imput[[#This Row],[Cantidad]]*Imput[[#This Row],[Precio Unitario]]</f>
        <v>604.79999999999995</v>
      </c>
      <c r="J1415" s="11">
        <f>((Imput[[#This Row],[Sub total]])*(0.16))</f>
        <v>96.768000000000001</v>
      </c>
      <c r="K1415" s="11">
        <v>-18.14</v>
      </c>
      <c r="L1415" s="169">
        <f>Imput[[#This Row],[Sub total]]+Imput[[#This Row],[IVA]]-Imput[[#This Row],[Retención / IEPS / Descuento]]</f>
        <v>719.70799999999997</v>
      </c>
      <c r="M1415" s="844">
        <v>719.70799999999997</v>
      </c>
      <c r="N1415" s="189" t="s">
        <v>123</v>
      </c>
      <c r="O1415" s="1"/>
      <c r="P1415" s="189" t="s">
        <v>4273</v>
      </c>
      <c r="Q1415" s="190" t="s">
        <v>4274</v>
      </c>
      <c r="R1415" s="188">
        <v>45982</v>
      </c>
      <c r="S1415" s="193" t="s">
        <v>126</v>
      </c>
      <c r="T1415" s="192"/>
      <c r="U1415" s="829"/>
      <c r="V1415" s="10"/>
      <c r="W1415" s="10"/>
      <c r="X1415" s="10"/>
      <c r="Y1415" s="10"/>
      <c r="Z1415" s="10"/>
      <c r="AA1415" s="11"/>
      <c r="AB1415" s="11"/>
    </row>
    <row r="1416" spans="2:28" x14ac:dyDescent="0.3">
      <c r="B1416" s="10" t="s">
        <v>402</v>
      </c>
      <c r="C1416" s="315"/>
      <c r="D1416" s="868" t="s">
        <v>121</v>
      </c>
      <c r="E1416" s="837" t="str">
        <f>IFERROR(IF(_xlfn.XLOOKUP(Imput[[#This Row],[RFC]],'Alta Proveedor'!D:D,'Alta Proveedor'!E:E)=0,"",_xlfn.XLOOKUP(Imput[[#This Row],[RFC]],'Alta Proveedor'!D:D,'Alta Proveedor'!E:E)),"")</f>
        <v>AEROENLACES NACIONALES (VUELOS)</v>
      </c>
      <c r="F1416" s="832" t="s">
        <v>4283</v>
      </c>
      <c r="G1416" s="187">
        <v>1</v>
      </c>
      <c r="H1416" s="1">
        <v>7765.9</v>
      </c>
      <c r="I1416" s="169">
        <f>Imput[[#This Row],[Cantidad]]*Imput[[#This Row],[Precio Unitario]]</f>
        <v>7765.9</v>
      </c>
      <c r="J1416" s="11">
        <f>((Imput[[#This Row],[Sub total]])*(0.16))</f>
        <v>1242.5439999999999</v>
      </c>
      <c r="K1416" s="11">
        <v>0</v>
      </c>
      <c r="L1416" s="169">
        <f>Imput[[#This Row],[Sub total]]+Imput[[#This Row],[IVA]]-Imput[[#This Row],[Retención / IEPS / Descuento]]</f>
        <v>9008.4439999999995</v>
      </c>
      <c r="M1416" s="844">
        <v>9816.5239999999994</v>
      </c>
      <c r="N1416" s="189" t="s">
        <v>123</v>
      </c>
      <c r="O1416" s="1"/>
      <c r="P1416" s="189" t="s">
        <v>4281</v>
      </c>
      <c r="Q1416" s="190" t="s">
        <v>4282</v>
      </c>
      <c r="R1416" s="188">
        <v>46015</v>
      </c>
      <c r="S1416" s="193" t="s">
        <v>126</v>
      </c>
      <c r="T1416" s="192"/>
      <c r="U1416" s="829"/>
      <c r="V1416" s="10"/>
      <c r="W1416" s="10"/>
      <c r="X1416" s="10"/>
      <c r="Y1416" s="10"/>
      <c r="Z1416" s="10"/>
      <c r="AA1416" s="11"/>
      <c r="AB1416" s="11"/>
    </row>
    <row r="1417" spans="2:28" x14ac:dyDescent="0.3">
      <c r="B1417" s="10" t="s">
        <v>402</v>
      </c>
      <c r="C1417" s="315"/>
      <c r="D1417" s="868" t="s">
        <v>121</v>
      </c>
      <c r="E1417" s="837" t="str">
        <f>IFERROR(IF(_xlfn.XLOOKUP(Imput[[#This Row],[RFC]],'Alta Proveedor'!D:D,'Alta Proveedor'!E:E)=0,"",_xlfn.XLOOKUP(Imput[[#This Row],[RFC]],'Alta Proveedor'!D:D,'Alta Proveedor'!E:E)),"")</f>
        <v>AEROENLACES NACIONALES (VUELOS)</v>
      </c>
      <c r="F1417" s="832" t="s">
        <v>128</v>
      </c>
      <c r="G1417" s="187">
        <v>1</v>
      </c>
      <c r="H1417" s="1">
        <v>808.08</v>
      </c>
      <c r="I1417" s="169">
        <f>Imput[[#This Row],[Cantidad]]*Imput[[#This Row],[Precio Unitario]]</f>
        <v>808.08</v>
      </c>
      <c r="J1417" s="11">
        <v>0</v>
      </c>
      <c r="K1417" s="11">
        <v>0</v>
      </c>
      <c r="L1417" s="169">
        <f>Imput[[#This Row],[Sub total]]+Imput[[#This Row],[IVA]]-Imput[[#This Row],[Retención / IEPS / Descuento]]</f>
        <v>808.08</v>
      </c>
      <c r="M1417" s="844">
        <v>0</v>
      </c>
      <c r="N1417" s="189" t="s">
        <v>123</v>
      </c>
      <c r="O1417" s="1"/>
      <c r="P1417" s="189" t="s">
        <v>4281</v>
      </c>
      <c r="Q1417" s="190" t="s">
        <v>4282</v>
      </c>
      <c r="R1417" s="188">
        <v>46015</v>
      </c>
      <c r="S1417" s="193" t="s">
        <v>126</v>
      </c>
      <c r="T1417" s="192"/>
      <c r="U1417" s="829"/>
      <c r="V1417" s="10"/>
      <c r="W1417" s="10"/>
      <c r="X1417" s="10"/>
      <c r="Y1417" s="10"/>
      <c r="Z1417" s="10"/>
      <c r="AA1417" s="11"/>
      <c r="AB1417" s="11"/>
    </row>
    <row r="1418" spans="2:28" x14ac:dyDescent="0.3">
      <c r="B1418" s="10" t="s">
        <v>402</v>
      </c>
      <c r="C1418" s="315"/>
      <c r="D1418" s="868" t="s">
        <v>164</v>
      </c>
      <c r="E1418" s="837" t="str">
        <f>IFERROR(IF(_xlfn.XLOOKUP(Imput[[#This Row],[RFC]],'Alta Proveedor'!D:D,'Alta Proveedor'!E:E)=0,"",_xlfn.XLOOKUP(Imput[[#This Row],[RFC]],'Alta Proveedor'!D:D,'Alta Proveedor'!E:E)),"")</f>
        <v>HOME DEPOT MEXICO SUCURSAL THD-8730 TAMPICO</v>
      </c>
      <c r="F1418" s="832" t="s">
        <v>4286</v>
      </c>
      <c r="G1418" s="187">
        <v>5</v>
      </c>
      <c r="H1418" s="1">
        <v>174.13800000000001</v>
      </c>
      <c r="I1418" s="169">
        <f>Imput[[#This Row],[Cantidad]]*Imput[[#This Row],[Precio Unitario]]</f>
        <v>870.69</v>
      </c>
      <c r="J1418" s="11">
        <f>((Imput[[#This Row],[Sub total]]-99.14)*(0.16))</f>
        <v>123.44800000000001</v>
      </c>
      <c r="K1418" s="11">
        <v>99.14</v>
      </c>
      <c r="L1418" s="169">
        <f>Imput[[#This Row],[Sub total]]+Imput[[#This Row],[IVA]]-Imput[[#This Row],[Retención / IEPS / Descuento]]</f>
        <v>894.99800000000005</v>
      </c>
      <c r="M1418" s="844">
        <v>894.99800000000005</v>
      </c>
      <c r="N1418" s="189" t="s">
        <v>123</v>
      </c>
      <c r="O1418" s="1"/>
      <c r="P1418" s="189" t="s">
        <v>4284</v>
      </c>
      <c r="Q1418" s="190" t="s">
        <v>4285</v>
      </c>
      <c r="R1418" s="188">
        <v>46009</v>
      </c>
      <c r="S1418" s="193" t="s">
        <v>126</v>
      </c>
      <c r="T1418" s="192"/>
      <c r="U1418" s="829"/>
      <c r="V1418" s="10"/>
      <c r="W1418" s="10"/>
      <c r="X1418" s="10"/>
      <c r="Y1418" s="10"/>
      <c r="Z1418" s="10"/>
      <c r="AA1418" s="11"/>
      <c r="AB1418" s="11"/>
    </row>
    <row r="1419" spans="2:28" x14ac:dyDescent="0.3">
      <c r="B1419" s="10" t="s">
        <v>402</v>
      </c>
      <c r="C1419" s="315"/>
      <c r="D1419" s="868" t="s">
        <v>164</v>
      </c>
      <c r="E1419" s="837" t="str">
        <f>IFERROR(IF(_xlfn.XLOOKUP(Imput[[#This Row],[RFC]],'Alta Proveedor'!D:D,'Alta Proveedor'!E:E)=0,"",_xlfn.XLOOKUP(Imput[[#This Row],[RFC]],'Alta Proveedor'!D:D,'Alta Proveedor'!E:E)),"")</f>
        <v>HOME DEPOT MEXICO SUCURSAL THD-8730 TAMPICO</v>
      </c>
      <c r="F1419" s="832" t="s">
        <v>4289</v>
      </c>
      <c r="G1419" s="187">
        <v>38</v>
      </c>
      <c r="H1419" s="1">
        <f>4218/Imput[[#This Row],[Cantidad]]</f>
        <v>111</v>
      </c>
      <c r="I1419" s="169">
        <f>Imput[[#This Row],[Cantidad]]*Imput[[#This Row],[Precio Unitario]]</f>
        <v>4218</v>
      </c>
      <c r="J1419" s="11">
        <f>((Imput[[#This Row],[Sub total]])*(0.16))+0.005</f>
        <v>674.88499999999999</v>
      </c>
      <c r="K1419" s="11">
        <v>0</v>
      </c>
      <c r="L1419" s="169">
        <f>Imput[[#This Row],[Sub total]]+Imput[[#This Row],[IVA]]-Imput[[#This Row],[Retención / IEPS / Descuento]]</f>
        <v>4892.8850000000002</v>
      </c>
      <c r="M1419" s="844">
        <v>29707.477400000003</v>
      </c>
      <c r="N1419" s="189" t="s">
        <v>123</v>
      </c>
      <c r="O1419" s="1"/>
      <c r="P1419" s="189" t="s">
        <v>4287</v>
      </c>
      <c r="Q1419" s="190" t="s">
        <v>4288</v>
      </c>
      <c r="R1419" s="188">
        <v>46013</v>
      </c>
      <c r="S1419" s="193" t="s">
        <v>126</v>
      </c>
      <c r="T1419" s="192"/>
      <c r="U1419" s="829"/>
      <c r="V1419" s="10"/>
      <c r="W1419" s="10"/>
      <c r="X1419" s="10"/>
      <c r="Y1419" s="10"/>
      <c r="Z1419" s="10"/>
      <c r="AA1419" s="11"/>
      <c r="AB1419" s="11"/>
    </row>
    <row r="1420" spans="2:28" x14ac:dyDescent="0.3">
      <c r="B1420" s="10" t="s">
        <v>402</v>
      </c>
      <c r="C1420" s="315"/>
      <c r="D1420" s="868" t="s">
        <v>164</v>
      </c>
      <c r="E1420" s="837" t="str">
        <f>IFERROR(IF(_xlfn.XLOOKUP(Imput[[#This Row],[RFC]],'Alta Proveedor'!D:D,'Alta Proveedor'!E:E)=0,"",_xlfn.XLOOKUP(Imput[[#This Row],[RFC]],'Alta Proveedor'!D:D,'Alta Proveedor'!E:E)),"")</f>
        <v>HOME DEPOT MEXICO SUCURSAL THD-8730 TAMPICO</v>
      </c>
      <c r="F1420" s="832" t="s">
        <v>4290</v>
      </c>
      <c r="G1420" s="187">
        <v>50</v>
      </c>
      <c r="H1420" s="1">
        <f>20234.48/Imput[[#This Row],[Cantidad]]</f>
        <v>404.68959999999998</v>
      </c>
      <c r="I1420" s="169">
        <f>Imput[[#This Row],[Cantidad]]*Imput[[#This Row],[Precio Unitario]]</f>
        <v>20234.48</v>
      </c>
      <c r="J1420" s="11">
        <f>((Imput[[#This Row],[Sub total]])*(0.16))</f>
        <v>3237.5167999999999</v>
      </c>
      <c r="K1420" s="11">
        <v>0</v>
      </c>
      <c r="L1420" s="169">
        <f>Imput[[#This Row],[Sub total]]+Imput[[#This Row],[IVA]]-Imput[[#This Row],[Retención / IEPS / Descuento]]</f>
        <v>23471.996800000001</v>
      </c>
      <c r="M1420" s="844">
        <v>0</v>
      </c>
      <c r="N1420" s="189" t="s">
        <v>123</v>
      </c>
      <c r="O1420" s="1"/>
      <c r="P1420" s="189" t="s">
        <v>4287</v>
      </c>
      <c r="Q1420" s="190" t="s">
        <v>4288</v>
      </c>
      <c r="R1420" s="188">
        <v>46013</v>
      </c>
      <c r="S1420" s="193" t="s">
        <v>126</v>
      </c>
      <c r="T1420" s="192"/>
      <c r="U1420" s="829"/>
      <c r="V1420" s="10"/>
      <c r="W1420" s="10"/>
      <c r="X1420" s="10"/>
      <c r="Y1420" s="10"/>
      <c r="Z1420" s="10"/>
      <c r="AA1420" s="11"/>
      <c r="AB1420" s="11"/>
    </row>
    <row r="1421" spans="2:28" x14ac:dyDescent="0.3">
      <c r="B1421" s="10" t="s">
        <v>402</v>
      </c>
      <c r="C1421" s="315"/>
      <c r="D1421" s="868" t="s">
        <v>164</v>
      </c>
      <c r="E1421" s="837" t="str">
        <f>IFERROR(IF(_xlfn.XLOOKUP(Imput[[#This Row],[RFC]],'Alta Proveedor'!D:D,'Alta Proveedor'!E:E)=0,"",_xlfn.XLOOKUP(Imput[[#This Row],[RFC]],'Alta Proveedor'!D:D,'Alta Proveedor'!E:E)),"")</f>
        <v>HOME DEPOT MEXICO SUCURSAL THD-8730 TAMPICO</v>
      </c>
      <c r="F1421" s="832" t="s">
        <v>4291</v>
      </c>
      <c r="G1421" s="187">
        <v>2</v>
      </c>
      <c r="H1421" s="1">
        <f>1157.41/Imput[[#This Row],[Cantidad]]</f>
        <v>578.70500000000004</v>
      </c>
      <c r="I1421" s="169">
        <f>Imput[[#This Row],[Cantidad]]*Imput[[#This Row],[Precio Unitario]]</f>
        <v>1157.4100000000001</v>
      </c>
      <c r="J1421" s="11">
        <f>((Imput[[#This Row],[Sub total]])*(0.16))</f>
        <v>185.18560000000002</v>
      </c>
      <c r="K1421" s="11">
        <v>0</v>
      </c>
      <c r="L1421" s="169">
        <f>Imput[[#This Row],[Sub total]]+Imput[[#This Row],[IVA]]-Imput[[#This Row],[Retención / IEPS / Descuento]]</f>
        <v>1342.5956000000001</v>
      </c>
      <c r="M1421" s="844">
        <v>0</v>
      </c>
      <c r="N1421" s="189" t="s">
        <v>123</v>
      </c>
      <c r="O1421" s="1"/>
      <c r="P1421" s="189" t="s">
        <v>4287</v>
      </c>
      <c r="Q1421" s="190" t="s">
        <v>4288</v>
      </c>
      <c r="R1421" s="188">
        <v>46013</v>
      </c>
      <c r="S1421" s="193" t="s">
        <v>126</v>
      </c>
      <c r="T1421" s="192"/>
      <c r="U1421" s="829"/>
      <c r="V1421" s="10"/>
      <c r="W1421" s="10"/>
      <c r="X1421" s="10"/>
      <c r="Y1421" s="10"/>
      <c r="Z1421" s="10"/>
      <c r="AA1421" s="11"/>
      <c r="AB1421" s="11"/>
    </row>
    <row r="1422" spans="2:28" x14ac:dyDescent="0.3">
      <c r="B1422" s="10" t="s">
        <v>402</v>
      </c>
      <c r="C1422" s="315"/>
      <c r="D1422" s="868" t="s">
        <v>164</v>
      </c>
      <c r="E1422" s="837" t="str">
        <f>IFERROR(IF(_xlfn.XLOOKUP(Imput[[#This Row],[RFC]],'Alta Proveedor'!D:D,'Alta Proveedor'!E:E)=0,"",_xlfn.XLOOKUP(Imput[[#This Row],[RFC]],'Alta Proveedor'!D:D,'Alta Proveedor'!E:E)),"")</f>
        <v>HOME DEPOT MEXICO SUCURSAL THD-8730 TAMPICO</v>
      </c>
      <c r="F1422" s="832" t="s">
        <v>4294</v>
      </c>
      <c r="G1422" s="187">
        <v>1</v>
      </c>
      <c r="H1422" s="1">
        <v>395.69</v>
      </c>
      <c r="I1422" s="169">
        <f>Imput[[#This Row],[Cantidad]]*Imput[[#This Row],[Precio Unitario]]</f>
        <v>395.69</v>
      </c>
      <c r="J1422" s="11">
        <f>((Imput[[#This Row],[Sub total]])*(0.16))</f>
        <v>63.310400000000001</v>
      </c>
      <c r="K1422" s="11">
        <v>0</v>
      </c>
      <c r="L1422" s="169">
        <f>Imput[[#This Row],[Sub total]]+Imput[[#This Row],[IVA]]-Imput[[#This Row],[Retención / IEPS / Descuento]]</f>
        <v>459.00040000000001</v>
      </c>
      <c r="M1422" s="844">
        <v>459.00040000000001</v>
      </c>
      <c r="N1422" s="189" t="s">
        <v>123</v>
      </c>
      <c r="O1422" s="1"/>
      <c r="P1422" s="189" t="s">
        <v>4292</v>
      </c>
      <c r="Q1422" s="190" t="s">
        <v>4293</v>
      </c>
      <c r="R1422" s="188">
        <v>46013</v>
      </c>
      <c r="S1422" s="193" t="s">
        <v>126</v>
      </c>
      <c r="T1422" s="192"/>
      <c r="U1422" s="829"/>
      <c r="V1422" s="10"/>
      <c r="W1422" s="10"/>
      <c r="X1422" s="10"/>
      <c r="Y1422" s="10"/>
      <c r="Z1422" s="10"/>
      <c r="AA1422" s="11"/>
      <c r="AB1422" s="11"/>
    </row>
    <row r="1423" spans="2:28" x14ac:dyDescent="0.3">
      <c r="B1423" s="10" t="s">
        <v>402</v>
      </c>
      <c r="C1423" s="315"/>
      <c r="D1423" s="868" t="s">
        <v>164</v>
      </c>
      <c r="E1423" s="837" t="str">
        <f>IFERROR(IF(_xlfn.XLOOKUP(Imput[[#This Row],[RFC]],'Alta Proveedor'!D:D,'Alta Proveedor'!E:E)=0,"",_xlfn.XLOOKUP(Imput[[#This Row],[RFC]],'Alta Proveedor'!D:D,'Alta Proveedor'!E:E)),"")</f>
        <v>HOME DEPOT MEXICO SUCURSAL THD-8730 TAMPICO</v>
      </c>
      <c r="F1423" s="832" t="s">
        <v>3848</v>
      </c>
      <c r="G1423" s="187">
        <v>3</v>
      </c>
      <c r="H1423" s="1">
        <f>41.38/Imput[[#This Row],[Cantidad]]</f>
        <v>13.793333333333335</v>
      </c>
      <c r="I1423" s="169">
        <f>Imput[[#This Row],[Cantidad]]*Imput[[#This Row],[Precio Unitario]]</f>
        <v>41.38</v>
      </c>
      <c r="J1423" s="11">
        <f>((Imput[[#This Row],[Sub total]])*(0.16))</f>
        <v>6.6208000000000009</v>
      </c>
      <c r="K1423" s="11">
        <v>0</v>
      </c>
      <c r="L1423" s="169">
        <f>Imput[[#This Row],[Sub total]]+Imput[[#This Row],[IVA]]-Imput[[#This Row],[Retención / IEPS / Descuento]]</f>
        <v>48.000800000000005</v>
      </c>
      <c r="M1423" s="844">
        <v>320.99171999999999</v>
      </c>
      <c r="N1423" s="189" t="s">
        <v>123</v>
      </c>
      <c r="O1423" s="1"/>
      <c r="P1423" s="189" t="s">
        <v>4295</v>
      </c>
      <c r="Q1423" s="190" t="s">
        <v>4296</v>
      </c>
      <c r="R1423" s="188">
        <v>46011</v>
      </c>
      <c r="S1423" s="193" t="s">
        <v>126</v>
      </c>
      <c r="T1423" s="192"/>
      <c r="U1423" s="829"/>
      <c r="V1423" s="10"/>
      <c r="W1423" s="10"/>
      <c r="X1423" s="10"/>
      <c r="Y1423" s="10"/>
      <c r="Z1423" s="10"/>
      <c r="AA1423" s="11"/>
      <c r="AB1423" s="11"/>
    </row>
    <row r="1424" spans="2:28" x14ac:dyDescent="0.3">
      <c r="B1424" s="10" t="s">
        <v>402</v>
      </c>
      <c r="C1424" s="315"/>
      <c r="D1424" s="868" t="s">
        <v>164</v>
      </c>
      <c r="E1424" s="837" t="str">
        <f>IFERROR(IF(_xlfn.XLOOKUP(Imput[[#This Row],[RFC]],'Alta Proveedor'!D:D,'Alta Proveedor'!E:E)=0,"",_xlfn.XLOOKUP(Imput[[#This Row],[RFC]],'Alta Proveedor'!D:D,'Alta Proveedor'!E:E)),"")</f>
        <v>HOME DEPOT MEXICO SUCURSAL THD-8730 TAMPICO</v>
      </c>
      <c r="F1424" s="832" t="s">
        <v>3847</v>
      </c>
      <c r="G1424" s="187">
        <v>3</v>
      </c>
      <c r="H1424" s="1">
        <f>85.34/Imput[[#This Row],[Cantidad]]</f>
        <v>28.446666666666669</v>
      </c>
      <c r="I1424" s="169">
        <f>Imput[[#This Row],[Cantidad]]*Imput[[#This Row],[Precio Unitario]]</f>
        <v>85.34</v>
      </c>
      <c r="J1424" s="11">
        <f>((Imput[[#This Row],[Sub total]])*(0.16))</f>
        <v>13.654400000000001</v>
      </c>
      <c r="K1424" s="11">
        <v>0</v>
      </c>
      <c r="L1424" s="169">
        <f>Imput[[#This Row],[Sub total]]+Imput[[#This Row],[IVA]]-Imput[[#This Row],[Retención / IEPS / Descuento]]</f>
        <v>98.994399999999999</v>
      </c>
      <c r="M1424" s="844">
        <v>0</v>
      </c>
      <c r="N1424" s="189" t="s">
        <v>123</v>
      </c>
      <c r="O1424" s="1"/>
      <c r="P1424" s="189" t="s">
        <v>4295</v>
      </c>
      <c r="Q1424" s="190" t="s">
        <v>4296</v>
      </c>
      <c r="R1424" s="188">
        <v>46011</v>
      </c>
      <c r="S1424" s="193" t="s">
        <v>126</v>
      </c>
      <c r="T1424" s="192"/>
      <c r="U1424" s="829"/>
      <c r="V1424" s="10"/>
      <c r="W1424" s="10"/>
      <c r="X1424" s="10"/>
      <c r="Y1424" s="10"/>
      <c r="Z1424" s="10"/>
      <c r="AA1424" s="11"/>
      <c r="AB1424" s="11"/>
    </row>
    <row r="1425" spans="2:28" x14ac:dyDescent="0.3">
      <c r="B1425" s="10" t="s">
        <v>402</v>
      </c>
      <c r="C1425" s="315"/>
      <c r="D1425" s="868" t="s">
        <v>164</v>
      </c>
      <c r="E1425" s="837" t="str">
        <f>IFERROR(IF(_xlfn.XLOOKUP(Imput[[#This Row],[RFC]],'Alta Proveedor'!D:D,'Alta Proveedor'!E:E)=0,"",_xlfn.XLOOKUP(Imput[[#This Row],[RFC]],'Alta Proveedor'!D:D,'Alta Proveedor'!E:E)),"")</f>
        <v>HOME DEPOT MEXICO SUCURSAL THD-8730 TAMPICO</v>
      </c>
      <c r="F1425" s="832" t="s">
        <v>3850</v>
      </c>
      <c r="G1425" s="187">
        <v>1</v>
      </c>
      <c r="H1425" s="1">
        <v>34.476999999999997</v>
      </c>
      <c r="I1425" s="169">
        <f>Imput[[#This Row],[Cantidad]]*Imput[[#This Row],[Precio Unitario]]</f>
        <v>34.476999999999997</v>
      </c>
      <c r="J1425" s="11">
        <f>((Imput[[#This Row],[Sub total]])*(0.16))</f>
        <v>5.5163199999999994</v>
      </c>
      <c r="K1425" s="11">
        <v>0</v>
      </c>
      <c r="L1425" s="169">
        <f>Imput[[#This Row],[Sub total]]+Imput[[#This Row],[IVA]]-Imput[[#This Row],[Retención / IEPS / Descuento]]</f>
        <v>39.993319999999997</v>
      </c>
      <c r="M1425" s="844">
        <v>0</v>
      </c>
      <c r="N1425" s="189" t="s">
        <v>123</v>
      </c>
      <c r="O1425" s="1"/>
      <c r="P1425" s="189" t="s">
        <v>4295</v>
      </c>
      <c r="Q1425" s="190" t="s">
        <v>4296</v>
      </c>
      <c r="R1425" s="188">
        <v>46011</v>
      </c>
      <c r="S1425" s="193" t="s">
        <v>126</v>
      </c>
      <c r="T1425" s="192"/>
      <c r="U1425" s="829"/>
      <c r="V1425" s="10"/>
      <c r="W1425" s="10"/>
      <c r="X1425" s="10"/>
      <c r="Y1425" s="10"/>
      <c r="Z1425" s="10"/>
      <c r="AA1425" s="11"/>
      <c r="AB1425" s="11"/>
    </row>
    <row r="1426" spans="2:28" x14ac:dyDescent="0.3">
      <c r="B1426" s="10" t="s">
        <v>402</v>
      </c>
      <c r="C1426" s="315"/>
      <c r="D1426" s="868" t="s">
        <v>164</v>
      </c>
      <c r="E1426" s="837" t="str">
        <f>IFERROR(IF(_xlfn.XLOOKUP(Imput[[#This Row],[RFC]],'Alta Proveedor'!D:D,'Alta Proveedor'!E:E)=0,"",_xlfn.XLOOKUP(Imput[[#This Row],[RFC]],'Alta Proveedor'!D:D,'Alta Proveedor'!E:E)),"")</f>
        <v>HOME DEPOT MEXICO SUCURSAL THD-8730 TAMPICO</v>
      </c>
      <c r="F1426" s="832" t="s">
        <v>3849</v>
      </c>
      <c r="G1426" s="187">
        <v>1</v>
      </c>
      <c r="H1426" s="1">
        <v>65.52</v>
      </c>
      <c r="I1426" s="169">
        <f>Imput[[#This Row],[Cantidad]]*Imput[[#This Row],[Precio Unitario]]</f>
        <v>65.52</v>
      </c>
      <c r="J1426" s="11">
        <f>((Imput[[#This Row],[Sub total]])*(0.16))</f>
        <v>10.4832</v>
      </c>
      <c r="K1426" s="11">
        <v>0</v>
      </c>
      <c r="L1426" s="169">
        <f>Imput[[#This Row],[Sub total]]+Imput[[#This Row],[IVA]]-Imput[[#This Row],[Retención / IEPS / Descuento]]</f>
        <v>76.003199999999993</v>
      </c>
      <c r="M1426" s="844">
        <v>0</v>
      </c>
      <c r="N1426" s="189" t="s">
        <v>123</v>
      </c>
      <c r="O1426" s="1"/>
      <c r="P1426" s="189" t="s">
        <v>4295</v>
      </c>
      <c r="Q1426" s="190" t="s">
        <v>4296</v>
      </c>
      <c r="R1426" s="188">
        <v>46011</v>
      </c>
      <c r="S1426" s="193" t="s">
        <v>126</v>
      </c>
      <c r="T1426" s="192"/>
      <c r="U1426" s="829"/>
      <c r="V1426" s="10"/>
      <c r="W1426" s="10"/>
      <c r="X1426" s="10"/>
      <c r="Y1426" s="10"/>
      <c r="Z1426" s="10"/>
      <c r="AA1426" s="11"/>
      <c r="AB1426" s="11"/>
    </row>
    <row r="1427" spans="2:28" x14ac:dyDescent="0.3">
      <c r="B1427" s="10" t="s">
        <v>402</v>
      </c>
      <c r="C1427" s="315"/>
      <c r="D1427" s="868" t="s">
        <v>164</v>
      </c>
      <c r="E1427" s="837" t="str">
        <f>IFERROR(IF(_xlfn.XLOOKUP(Imput[[#This Row],[RFC]],'Alta Proveedor'!D:D,'Alta Proveedor'!E:E)=0,"",_xlfn.XLOOKUP(Imput[[#This Row],[RFC]],'Alta Proveedor'!D:D,'Alta Proveedor'!E:E)),"")</f>
        <v>HOME DEPOT MEXICO SUCURSAL THD-8730 TAMPICO</v>
      </c>
      <c r="F1427" s="832" t="s">
        <v>4297</v>
      </c>
      <c r="G1427" s="187">
        <v>1</v>
      </c>
      <c r="H1427" s="1">
        <v>50</v>
      </c>
      <c r="I1427" s="169">
        <f>Imput[[#This Row],[Cantidad]]*Imput[[#This Row],[Precio Unitario]]</f>
        <v>50</v>
      </c>
      <c r="J1427" s="11">
        <f>((Imput[[#This Row],[Sub total]])*(0.16))</f>
        <v>8</v>
      </c>
      <c r="K1427" s="11">
        <v>0</v>
      </c>
      <c r="L1427" s="169">
        <f>Imput[[#This Row],[Sub total]]+Imput[[#This Row],[IVA]]-Imput[[#This Row],[Retención / IEPS / Descuento]]</f>
        <v>58</v>
      </c>
      <c r="M1427" s="844">
        <v>0</v>
      </c>
      <c r="N1427" s="189" t="s">
        <v>123</v>
      </c>
      <c r="O1427" s="1"/>
      <c r="P1427" s="189" t="s">
        <v>4295</v>
      </c>
      <c r="Q1427" s="190" t="s">
        <v>4296</v>
      </c>
      <c r="R1427" s="188">
        <v>46011</v>
      </c>
      <c r="S1427" s="193" t="s">
        <v>126</v>
      </c>
      <c r="T1427" s="192"/>
      <c r="U1427" s="829"/>
      <c r="V1427" s="10"/>
      <c r="W1427" s="10"/>
      <c r="X1427" s="10"/>
      <c r="Y1427" s="10"/>
      <c r="Z1427" s="10"/>
      <c r="AA1427" s="11"/>
      <c r="AB1427" s="11"/>
    </row>
    <row r="1428" spans="2:28" x14ac:dyDescent="0.3">
      <c r="B1428" s="10" t="s">
        <v>402</v>
      </c>
      <c r="C1428" s="315"/>
      <c r="D1428" s="868" t="s">
        <v>4279</v>
      </c>
      <c r="E1428" s="837" t="str">
        <f>IFERROR(IF(_xlfn.XLOOKUP(Imput[[#This Row],[RFC]],'Alta Proveedor'!D:D,'Alta Proveedor'!E:E)=0,"",_xlfn.XLOOKUP(Imput[[#This Row],[RFC]],'Alta Proveedor'!D:D,'Alta Proveedor'!E:E)),"")</f>
        <v>ERENDIRA HERNANDEZ RAMOS</v>
      </c>
      <c r="F1428" s="832" t="s">
        <v>4298</v>
      </c>
      <c r="G1428" s="187">
        <v>5</v>
      </c>
      <c r="H1428" s="1">
        <v>99.1</v>
      </c>
      <c r="I1428" s="169">
        <f>Imput[[#This Row],[Cantidad]]*Imput[[#This Row],[Precio Unitario]]</f>
        <v>495.5</v>
      </c>
      <c r="J1428" s="11">
        <f>((Imput[[#This Row],[Sub total]])*(0.16))</f>
        <v>79.28</v>
      </c>
      <c r="K1428" s="11">
        <v>0</v>
      </c>
      <c r="L1428" s="169">
        <f>Imput[[#This Row],[Sub total]]+Imput[[#This Row],[IVA]]-Imput[[#This Row],[Retención / IEPS / Descuento]]</f>
        <v>574.78</v>
      </c>
      <c r="M1428" s="844">
        <v>574.78</v>
      </c>
      <c r="N1428" s="189" t="s">
        <v>123</v>
      </c>
      <c r="O1428" s="1"/>
      <c r="P1428" s="189" t="s">
        <v>4277</v>
      </c>
      <c r="Q1428" s="190" t="s">
        <v>4278</v>
      </c>
      <c r="R1428" s="188">
        <v>46010</v>
      </c>
      <c r="S1428" s="193" t="s">
        <v>294</v>
      </c>
      <c r="T1428" s="192"/>
      <c r="U1428" s="829"/>
      <c r="V1428" s="10"/>
      <c r="W1428" s="10"/>
      <c r="X1428" s="10"/>
      <c r="Y1428" s="10"/>
      <c r="Z1428" s="10"/>
      <c r="AA1428" s="11"/>
      <c r="AB1428" s="11"/>
    </row>
    <row r="1429" spans="2:28" x14ac:dyDescent="0.3">
      <c r="B1429" s="10" t="s">
        <v>396</v>
      </c>
      <c r="C1429" s="315"/>
      <c r="D1429" s="868" t="s">
        <v>4300</v>
      </c>
      <c r="E1429" s="837" t="str">
        <f>IFERROR(IF(_xlfn.XLOOKUP(Imput[[#This Row],[RFC]],'Alta Proveedor'!D:D,'Alta Proveedor'!E:E)=0,"",_xlfn.XLOOKUP(Imput[[#This Row],[RFC]],'Alta Proveedor'!D:D,'Alta Proveedor'!E:E)),"")</f>
        <v>REGISTRO PATRONAL A52-13210-10-4</v>
      </c>
      <c r="F1429" s="832" t="s">
        <v>4302</v>
      </c>
      <c r="G1429" s="187">
        <v>1</v>
      </c>
      <c r="H1429" s="1">
        <v>32344.85</v>
      </c>
      <c r="I1429" s="169">
        <f>Imput[[#This Row],[Cantidad]]*Imput[[#This Row],[Precio Unitario]]</f>
        <v>32344.85</v>
      </c>
      <c r="J1429" s="11">
        <v>0</v>
      </c>
      <c r="K1429" s="11">
        <v>0</v>
      </c>
      <c r="L1429" s="169">
        <f>Imput[[#This Row],[Sub total]]+Imput[[#This Row],[IVA]]-Imput[[#This Row],[Retención / IEPS / Descuento]]</f>
        <v>32344.85</v>
      </c>
      <c r="M1429" s="844">
        <v>91156.2</v>
      </c>
      <c r="N1429" s="189" t="s">
        <v>123</v>
      </c>
      <c r="O1429" s="1"/>
      <c r="P1429" s="189" t="s">
        <v>4301</v>
      </c>
      <c r="Q1429" s="190" t="s">
        <v>4301</v>
      </c>
      <c r="R1429" s="188">
        <v>45975</v>
      </c>
      <c r="S1429" s="193" t="s">
        <v>371</v>
      </c>
      <c r="T1429" s="192"/>
      <c r="U1429" s="829"/>
      <c r="V1429" s="10"/>
      <c r="W1429" s="10"/>
      <c r="X1429" s="10"/>
      <c r="Y1429" s="10"/>
      <c r="Z1429" s="10"/>
      <c r="AA1429" s="11"/>
      <c r="AB1429" s="11"/>
    </row>
    <row r="1430" spans="2:28" x14ac:dyDescent="0.3">
      <c r="B1430" s="10" t="s">
        <v>396</v>
      </c>
      <c r="C1430" s="315"/>
      <c r="D1430" s="868" t="s">
        <v>4300</v>
      </c>
      <c r="E1430" s="837" t="str">
        <f>IFERROR(IF(_xlfn.XLOOKUP(Imput[[#This Row],[RFC]],'Alta Proveedor'!D:D,'Alta Proveedor'!E:E)=0,"",_xlfn.XLOOKUP(Imput[[#This Row],[RFC]],'Alta Proveedor'!D:D,'Alta Proveedor'!E:E)),"")</f>
        <v>REGISTRO PATRONAL A52-13210-10-4</v>
      </c>
      <c r="F1430" s="832" t="s">
        <v>4303</v>
      </c>
      <c r="G1430" s="187">
        <v>1</v>
      </c>
      <c r="H1430" s="1">
        <v>23795.78</v>
      </c>
      <c r="I1430" s="169">
        <f>Imput[[#This Row],[Cantidad]]*Imput[[#This Row],[Precio Unitario]]</f>
        <v>23795.78</v>
      </c>
      <c r="J1430" s="11">
        <v>0</v>
      </c>
      <c r="K1430" s="11">
        <v>0</v>
      </c>
      <c r="L1430" s="169">
        <f>Imput[[#This Row],[Sub total]]+Imput[[#This Row],[IVA]]-Imput[[#This Row],[Retención / IEPS / Descuento]]</f>
        <v>23795.78</v>
      </c>
      <c r="M1430" s="844">
        <v>0</v>
      </c>
      <c r="N1430" s="189" t="s">
        <v>123</v>
      </c>
      <c r="O1430" s="1"/>
      <c r="P1430" s="189" t="s">
        <v>4301</v>
      </c>
      <c r="Q1430" s="190" t="s">
        <v>4301</v>
      </c>
      <c r="R1430" s="188">
        <v>45975</v>
      </c>
      <c r="S1430" s="193" t="s">
        <v>371</v>
      </c>
      <c r="T1430" s="192"/>
      <c r="U1430" s="829"/>
      <c r="V1430" s="10"/>
      <c r="W1430" s="10"/>
      <c r="X1430" s="10"/>
      <c r="Y1430" s="10"/>
      <c r="Z1430" s="10"/>
      <c r="AA1430" s="11"/>
      <c r="AB1430" s="11"/>
    </row>
    <row r="1431" spans="2:28" x14ac:dyDescent="0.3">
      <c r="B1431" s="10" t="s">
        <v>396</v>
      </c>
      <c r="C1431" s="315"/>
      <c r="D1431" s="868" t="s">
        <v>4300</v>
      </c>
      <c r="E1431" s="837" t="str">
        <f>IFERROR(IF(_xlfn.XLOOKUP(Imput[[#This Row],[RFC]],'Alta Proveedor'!D:D,'Alta Proveedor'!E:E)=0,"",_xlfn.XLOOKUP(Imput[[#This Row],[RFC]],'Alta Proveedor'!D:D,'Alta Proveedor'!E:E)),"")</f>
        <v>REGISTRO PATRONAL A52-13210-10-4</v>
      </c>
      <c r="F1431" s="832" t="s">
        <v>4304</v>
      </c>
      <c r="G1431" s="187">
        <v>1</v>
      </c>
      <c r="H1431" s="1">
        <v>35015.57</v>
      </c>
      <c r="I1431" s="169">
        <f>Imput[[#This Row],[Cantidad]]*Imput[[#This Row],[Precio Unitario]]</f>
        <v>35015.57</v>
      </c>
      <c r="J1431" s="11">
        <v>0</v>
      </c>
      <c r="K1431" s="11">
        <v>0</v>
      </c>
      <c r="L1431" s="169">
        <f>Imput[[#This Row],[Sub total]]+Imput[[#This Row],[IVA]]-Imput[[#This Row],[Retención / IEPS / Descuento]]</f>
        <v>35015.57</v>
      </c>
      <c r="M1431" s="844">
        <v>0</v>
      </c>
      <c r="N1431" s="189" t="s">
        <v>123</v>
      </c>
      <c r="O1431" s="1"/>
      <c r="P1431" s="189" t="s">
        <v>4301</v>
      </c>
      <c r="Q1431" s="190" t="s">
        <v>4301</v>
      </c>
      <c r="R1431" s="188">
        <v>45975</v>
      </c>
      <c r="S1431" s="193" t="s">
        <v>371</v>
      </c>
      <c r="T1431" s="192"/>
      <c r="U1431" s="829"/>
      <c r="V1431" s="10"/>
      <c r="W1431" s="10"/>
      <c r="X1431" s="10"/>
      <c r="Y1431" s="10"/>
      <c r="Z1431" s="10"/>
      <c r="AA1431" s="11"/>
      <c r="AB1431" s="11"/>
    </row>
    <row r="1432" spans="2:28" x14ac:dyDescent="0.3">
      <c r="B1432" s="10" t="s">
        <v>402</v>
      </c>
      <c r="C1432" s="315"/>
      <c r="D1432" s="868" t="s">
        <v>4308</v>
      </c>
      <c r="E1432" s="837" t="str">
        <f>IFERROR(IF(_xlfn.XLOOKUP(Imput[[#This Row],[RFC]],'Alta Proveedor'!D:D,'Alta Proveedor'!E:E)=0,"",_xlfn.XLOOKUP(Imput[[#This Row],[RFC]],'Alta Proveedor'!D:D,'Alta Proveedor'!E:E)),"")</f>
        <v>MATERIALES SAN JUAN MATERIAL PARA CONTRUCCION, FERRETERIA, PLOMERIA Y MATERIAL ELECTRICO</v>
      </c>
      <c r="F1432" s="832" t="s">
        <v>4309</v>
      </c>
      <c r="G1432" s="187">
        <v>1</v>
      </c>
      <c r="H1432" s="1">
        <v>650</v>
      </c>
      <c r="I1432" s="169">
        <f>Imput[[#This Row],[Cantidad]]*Imput[[#This Row],[Precio Unitario]]</f>
        <v>650</v>
      </c>
      <c r="J1432" s="11">
        <f>((Imput[[#This Row],[Sub total]])*(0.16))</f>
        <v>104</v>
      </c>
      <c r="K1432" s="11">
        <v>0</v>
      </c>
      <c r="L1432" s="169">
        <f>Imput[[#This Row],[Sub total]]+Imput[[#This Row],[IVA]]-Imput[[#This Row],[Retención / IEPS / Descuento]]</f>
        <v>754</v>
      </c>
      <c r="M1432" s="844">
        <v>1747.598</v>
      </c>
      <c r="N1432" s="189" t="s">
        <v>123</v>
      </c>
      <c r="O1432" s="1"/>
      <c r="P1432" s="189" t="s">
        <v>4305</v>
      </c>
      <c r="Q1432" s="190" t="s">
        <v>4306</v>
      </c>
      <c r="R1432" s="188">
        <v>46013</v>
      </c>
      <c r="S1432" s="193" t="s">
        <v>126</v>
      </c>
      <c r="T1432" s="192"/>
      <c r="U1432" s="829"/>
      <c r="V1432" s="10"/>
      <c r="W1432" s="10"/>
      <c r="X1432" s="10"/>
      <c r="Y1432" s="10"/>
      <c r="Z1432" s="10"/>
      <c r="AA1432" s="11"/>
      <c r="AB1432" s="11"/>
    </row>
    <row r="1433" spans="2:28" x14ac:dyDescent="0.3">
      <c r="B1433" s="10" t="s">
        <v>402</v>
      </c>
      <c r="C1433" s="315"/>
      <c r="D1433" s="868" t="s">
        <v>4308</v>
      </c>
      <c r="E1433" s="837" t="str">
        <f>IFERROR(IF(_xlfn.XLOOKUP(Imput[[#This Row],[RFC]],'Alta Proveedor'!D:D,'Alta Proveedor'!E:E)=0,"",_xlfn.XLOOKUP(Imput[[#This Row],[RFC]],'Alta Proveedor'!D:D,'Alta Proveedor'!E:E)),"")</f>
        <v>MATERIALES SAN JUAN MATERIAL PARA CONTRUCCION, FERRETERIA, PLOMERIA Y MATERIAL ELECTRICO</v>
      </c>
      <c r="F1433" s="832" t="s">
        <v>4310</v>
      </c>
      <c r="G1433" s="187">
        <v>10</v>
      </c>
      <c r="H1433" s="1">
        <v>6.0339999999999998</v>
      </c>
      <c r="I1433" s="169">
        <f>Imput[[#This Row],[Cantidad]]*Imput[[#This Row],[Precio Unitario]]</f>
        <v>60.339999999999996</v>
      </c>
      <c r="J1433" s="11">
        <f>((Imput[[#This Row],[Sub total]])*(0.16))</f>
        <v>9.654399999999999</v>
      </c>
      <c r="K1433" s="11">
        <v>0</v>
      </c>
      <c r="L1433" s="169">
        <f>Imput[[#This Row],[Sub total]]+Imput[[#This Row],[IVA]]-Imput[[#This Row],[Retención / IEPS / Descuento]]</f>
        <v>69.994399999999999</v>
      </c>
      <c r="M1433" s="844">
        <v>0</v>
      </c>
      <c r="N1433" s="189" t="s">
        <v>123</v>
      </c>
      <c r="O1433" s="1"/>
      <c r="P1433" s="189" t="s">
        <v>4305</v>
      </c>
      <c r="Q1433" s="190" t="s">
        <v>4306</v>
      </c>
      <c r="R1433" s="188">
        <v>46013</v>
      </c>
      <c r="S1433" s="193" t="s">
        <v>126</v>
      </c>
      <c r="T1433" s="192"/>
      <c r="U1433" s="829"/>
      <c r="V1433" s="10"/>
      <c r="W1433" s="10"/>
      <c r="X1433" s="10"/>
      <c r="Y1433" s="10"/>
      <c r="Z1433" s="10"/>
      <c r="AA1433" s="11"/>
      <c r="AB1433" s="11"/>
    </row>
    <row r="1434" spans="2:28" x14ac:dyDescent="0.3">
      <c r="B1434" s="10" t="s">
        <v>402</v>
      </c>
      <c r="C1434" s="315"/>
      <c r="D1434" s="868" t="s">
        <v>4308</v>
      </c>
      <c r="E1434" s="837" t="str">
        <f>IFERROR(IF(_xlfn.XLOOKUP(Imput[[#This Row],[RFC]],'Alta Proveedor'!D:D,'Alta Proveedor'!E:E)=0,"",_xlfn.XLOOKUP(Imput[[#This Row],[RFC]],'Alta Proveedor'!D:D,'Alta Proveedor'!E:E)),"")</f>
        <v>MATERIALES SAN JUAN MATERIAL PARA CONTRUCCION, FERRETERIA, PLOMERIA Y MATERIAL ELECTRICO</v>
      </c>
      <c r="F1434" s="832" t="s">
        <v>4311</v>
      </c>
      <c r="G1434" s="187">
        <v>1</v>
      </c>
      <c r="H1434" s="1">
        <v>36.21</v>
      </c>
      <c r="I1434" s="169">
        <f>Imput[[#This Row],[Cantidad]]*Imput[[#This Row],[Precio Unitario]]</f>
        <v>36.21</v>
      </c>
      <c r="J1434" s="11">
        <f>((Imput[[#This Row],[Sub total]])*(0.16))</f>
        <v>5.7936000000000005</v>
      </c>
      <c r="K1434" s="11">
        <v>0</v>
      </c>
      <c r="L1434" s="169">
        <f>Imput[[#This Row],[Sub total]]+Imput[[#This Row],[IVA]]-Imput[[#This Row],[Retención / IEPS / Descuento]]</f>
        <v>42.003599999999999</v>
      </c>
      <c r="M1434" s="844">
        <v>0</v>
      </c>
      <c r="N1434" s="189" t="s">
        <v>123</v>
      </c>
      <c r="O1434" s="1"/>
      <c r="P1434" s="189" t="s">
        <v>4305</v>
      </c>
      <c r="Q1434" s="190" t="s">
        <v>4306</v>
      </c>
      <c r="R1434" s="188">
        <v>46013</v>
      </c>
      <c r="S1434" s="193" t="s">
        <v>126</v>
      </c>
      <c r="T1434" s="192"/>
      <c r="U1434" s="829"/>
      <c r="V1434" s="10"/>
      <c r="W1434" s="10"/>
      <c r="X1434" s="10"/>
      <c r="Y1434" s="10"/>
      <c r="Z1434" s="10"/>
      <c r="AA1434" s="11"/>
      <c r="AB1434" s="11"/>
    </row>
    <row r="1435" spans="2:28" x14ac:dyDescent="0.3">
      <c r="B1435" s="10" t="s">
        <v>402</v>
      </c>
      <c r="C1435" s="315"/>
      <c r="D1435" s="868" t="s">
        <v>4308</v>
      </c>
      <c r="E1435" s="837" t="str">
        <f>IFERROR(IF(_xlfn.XLOOKUP(Imput[[#This Row],[RFC]],'Alta Proveedor'!D:D,'Alta Proveedor'!E:E)=0,"",_xlfn.XLOOKUP(Imput[[#This Row],[RFC]],'Alta Proveedor'!D:D,'Alta Proveedor'!E:E)),"")</f>
        <v>MATERIALES SAN JUAN MATERIAL PARA CONTRUCCION, FERRETERIA, PLOMERIA Y MATERIAL ELECTRICO</v>
      </c>
      <c r="F1435" s="832" t="s">
        <v>4312</v>
      </c>
      <c r="G1435" s="187">
        <v>1</v>
      </c>
      <c r="H1435" s="1">
        <v>760</v>
      </c>
      <c r="I1435" s="169">
        <f>Imput[[#This Row],[Cantidad]]*Imput[[#This Row],[Precio Unitario]]</f>
        <v>760</v>
      </c>
      <c r="J1435" s="11">
        <f>((Imput[[#This Row],[Sub total]])*(0.16))</f>
        <v>121.60000000000001</v>
      </c>
      <c r="K1435" s="11">
        <v>0</v>
      </c>
      <c r="L1435" s="169">
        <f>Imput[[#This Row],[Sub total]]+Imput[[#This Row],[IVA]]-Imput[[#This Row],[Retención / IEPS / Descuento]]</f>
        <v>881.6</v>
      </c>
      <c r="M1435" s="844">
        <v>0</v>
      </c>
      <c r="N1435" s="189" t="s">
        <v>123</v>
      </c>
      <c r="O1435" s="1"/>
      <c r="P1435" s="189" t="s">
        <v>4305</v>
      </c>
      <c r="Q1435" s="190" t="s">
        <v>4306</v>
      </c>
      <c r="R1435" s="188">
        <v>46013</v>
      </c>
      <c r="S1435" s="193" t="s">
        <v>126</v>
      </c>
      <c r="T1435" s="192"/>
      <c r="U1435" s="829"/>
      <c r="V1435" s="10"/>
      <c r="W1435" s="10"/>
      <c r="X1435" s="10"/>
      <c r="Y1435" s="10"/>
      <c r="Z1435" s="10"/>
      <c r="AA1435" s="11"/>
      <c r="AB1435" s="11"/>
    </row>
    <row r="1436" spans="2:28" x14ac:dyDescent="0.3">
      <c r="B1436" s="10" t="s">
        <v>402</v>
      </c>
      <c r="C1436" s="315" t="s">
        <v>1767</v>
      </c>
      <c r="D1436" s="868" t="s">
        <v>1170</v>
      </c>
      <c r="E1436" s="837" t="str">
        <f>IFERROR(IF(_xlfn.XLOOKUP(Imput[[#This Row],[RFC]],'Alta Proveedor'!D:D,'Alta Proveedor'!E:E)=0,"",_xlfn.XLOOKUP(Imput[[#This Row],[RFC]],'Alta Proveedor'!D:D,'Alta Proveedor'!E:E)),"")</f>
        <v>SERVICIO ESTACION MANUEL "PETRUM" (COMBUSTIBLES)</v>
      </c>
      <c r="F1436" s="832" t="s">
        <v>237</v>
      </c>
      <c r="G1436" s="187">
        <v>56.91</v>
      </c>
      <c r="H1436" s="1">
        <v>20.328592</v>
      </c>
      <c r="I1436" s="169">
        <f>Imput[[#This Row],[Cantidad]]*Imput[[#This Row],[Precio Unitario]]</f>
        <v>1156.90017072</v>
      </c>
      <c r="J1436" s="11">
        <v>179.92</v>
      </c>
      <c r="K1436" s="11">
        <v>0</v>
      </c>
      <c r="L1436" s="169">
        <f>Imput[[#This Row],[Sub total]]+Imput[[#This Row],[IVA]]-Imput[[#This Row],[Retención / IEPS / Descuento]]</f>
        <v>1336.8201707200001</v>
      </c>
      <c r="M1436" s="844">
        <v>1336.8201707200001</v>
      </c>
      <c r="N1436" s="189" t="s">
        <v>123</v>
      </c>
      <c r="O1436" s="1"/>
      <c r="P1436" s="189" t="s">
        <v>4313</v>
      </c>
      <c r="Q1436" s="190" t="s">
        <v>4314</v>
      </c>
      <c r="R1436" s="188">
        <v>46011</v>
      </c>
      <c r="S1436" s="193" t="s">
        <v>126</v>
      </c>
      <c r="T1436" s="192"/>
      <c r="U1436" s="829"/>
      <c r="V1436" s="10"/>
      <c r="W1436" s="10"/>
      <c r="X1436" s="10"/>
      <c r="Y1436" s="10"/>
      <c r="Z1436" s="10"/>
      <c r="AA1436" s="11"/>
      <c r="AB1436" s="11"/>
    </row>
    <row r="1437" spans="2:28" x14ac:dyDescent="0.3">
      <c r="B1437" s="10" t="s">
        <v>402</v>
      </c>
      <c r="C1437" s="315" t="s">
        <v>1767</v>
      </c>
      <c r="D1437" s="868" t="s">
        <v>3684</v>
      </c>
      <c r="E1437" s="837" t="str">
        <f>IFERROR(IF(_xlfn.XLOOKUP(Imput[[#This Row],[RFC]],'Alta Proveedor'!D:D,'Alta Proveedor'!E:E)=0,"",_xlfn.XLOOKUP(Imput[[#This Row],[RFC]],'Alta Proveedor'!D:D,'Alta Proveedor'!E:E)),"")</f>
        <v>SERVICIOS PROFESIONALES GGA</v>
      </c>
      <c r="F1437" s="832" t="s">
        <v>4265</v>
      </c>
      <c r="G1437" s="187">
        <v>1</v>
      </c>
      <c r="H1437" s="1">
        <v>200</v>
      </c>
      <c r="I1437" s="169">
        <f>Imput[[#This Row],[Cantidad]]*Imput[[#This Row],[Precio Unitario]]</f>
        <v>200</v>
      </c>
      <c r="J1437" s="11">
        <f>((Imput[[#This Row],[Sub total]])*(0.16))</f>
        <v>32</v>
      </c>
      <c r="K1437" s="11">
        <v>0</v>
      </c>
      <c r="L1437" s="169">
        <f>Imput[[#This Row],[Sub total]]+Imput[[#This Row],[IVA]]-Imput[[#This Row],[Retención / IEPS / Descuento]]</f>
        <v>232</v>
      </c>
      <c r="M1437" s="844">
        <v>232</v>
      </c>
      <c r="N1437" s="189" t="s">
        <v>123</v>
      </c>
      <c r="O1437" s="1"/>
      <c r="P1437" s="189" t="s">
        <v>4315</v>
      </c>
      <c r="Q1437" s="190" t="s">
        <v>4316</v>
      </c>
      <c r="R1437" s="188">
        <v>46013</v>
      </c>
      <c r="S1437" s="193" t="s">
        <v>126</v>
      </c>
      <c r="T1437" s="192"/>
      <c r="U1437" s="829"/>
      <c r="V1437" s="10"/>
      <c r="W1437" s="10"/>
      <c r="X1437" s="10"/>
      <c r="Y1437" s="10"/>
      <c r="Z1437" s="10"/>
      <c r="AA1437" s="11"/>
      <c r="AB1437" s="11"/>
    </row>
    <row r="1438" spans="2:28" x14ac:dyDescent="0.3">
      <c r="B1438" s="10" t="s">
        <v>403</v>
      </c>
      <c r="C1438" s="315"/>
      <c r="D1438" s="868" t="s">
        <v>4089</v>
      </c>
      <c r="E1438" s="837" t="str">
        <f>IFERROR(IF(_xlfn.XLOOKUP(Imput[[#This Row],[RFC]],'Alta Proveedor'!D:D,'Alta Proveedor'!E:E)=0,"",_xlfn.XLOOKUP(Imput[[#This Row],[RFC]],'Alta Proveedor'!D:D,'Alta Proveedor'!E:E)),"")</f>
        <v>HOME DEPOT MEXICO SUCURSAL 8757-CD.VICTORIA</v>
      </c>
      <c r="F1438" s="832" t="s">
        <v>4290</v>
      </c>
      <c r="G1438" s="187">
        <v>10</v>
      </c>
      <c r="H1438" s="1">
        <f>4046.9/Imput[[#This Row],[Cantidad]]</f>
        <v>404.69</v>
      </c>
      <c r="I1438" s="169">
        <f>Imput[[#This Row],[Cantidad]]*Imput[[#This Row],[Precio Unitario]]</f>
        <v>4046.9</v>
      </c>
      <c r="J1438" s="11">
        <f>((Imput[[#This Row],[Sub total]])*(0.16))</f>
        <v>647.50400000000002</v>
      </c>
      <c r="K1438" s="11">
        <v>0</v>
      </c>
      <c r="L1438" s="169">
        <f>Imput[[#This Row],[Sub total]]+Imput[[#This Row],[IVA]]-Imput[[#This Row],[Retención / IEPS / Descuento]]</f>
        <v>4694.4040000000005</v>
      </c>
      <c r="M1438" s="844">
        <v>5581.8918000000012</v>
      </c>
      <c r="N1438" s="189" t="s">
        <v>123</v>
      </c>
      <c r="O1438" s="1"/>
      <c r="P1438" s="189" t="s">
        <v>4349</v>
      </c>
      <c r="Q1438" s="190" t="s">
        <v>4350</v>
      </c>
      <c r="R1438" s="188">
        <v>46030</v>
      </c>
      <c r="S1438" s="193" t="s">
        <v>126</v>
      </c>
      <c r="T1438" s="192"/>
      <c r="U1438" s="829"/>
      <c r="V1438" s="10"/>
      <c r="W1438" s="10"/>
      <c r="X1438" s="10"/>
      <c r="Y1438" s="10"/>
      <c r="Z1438" s="10"/>
      <c r="AA1438" s="11"/>
      <c r="AB1438" s="11"/>
    </row>
    <row r="1439" spans="2:28" x14ac:dyDescent="0.3">
      <c r="B1439" s="10" t="s">
        <v>403</v>
      </c>
      <c r="C1439" s="315"/>
      <c r="D1439" s="868" t="s">
        <v>4089</v>
      </c>
      <c r="E1439" s="837" t="str">
        <f>IFERROR(IF(_xlfn.XLOOKUP(Imput[[#This Row],[RFC]],'Alta Proveedor'!D:D,'Alta Proveedor'!E:E)=0,"",_xlfn.XLOOKUP(Imput[[#This Row],[RFC]],'Alta Proveedor'!D:D,'Alta Proveedor'!E:E)),"")</f>
        <v>HOME DEPOT MEXICO SUCURSAL 8757-CD.VICTORIA</v>
      </c>
      <c r="F1439" s="832" t="s">
        <v>4351</v>
      </c>
      <c r="G1439" s="187">
        <v>1</v>
      </c>
      <c r="H1439" s="1">
        <f>147.84/Imput[[#This Row],[Cantidad]]</f>
        <v>147.84</v>
      </c>
      <c r="I1439" s="169">
        <f>Imput[[#This Row],[Cantidad]]*Imput[[#This Row],[Precio Unitario]]</f>
        <v>147.84</v>
      </c>
      <c r="J1439" s="11">
        <f>((Imput[[#This Row],[Sub total]])*(0.16))-0.005</f>
        <v>23.649400000000004</v>
      </c>
      <c r="K1439" s="11">
        <v>0</v>
      </c>
      <c r="L1439" s="169">
        <f>Imput[[#This Row],[Sub total]]+Imput[[#This Row],[IVA]]-Imput[[#This Row],[Retención / IEPS / Descuento]]</f>
        <v>171.48940000000002</v>
      </c>
      <c r="M1439" s="844">
        <v>0</v>
      </c>
      <c r="N1439" s="189" t="s">
        <v>123</v>
      </c>
      <c r="O1439" s="1"/>
      <c r="P1439" s="189" t="s">
        <v>4349</v>
      </c>
      <c r="Q1439" s="190" t="s">
        <v>4350</v>
      </c>
      <c r="R1439" s="188">
        <v>46030</v>
      </c>
      <c r="S1439" s="193" t="s">
        <v>126</v>
      </c>
      <c r="T1439" s="192"/>
      <c r="U1439" s="829"/>
      <c r="V1439" s="10"/>
      <c r="W1439" s="10"/>
      <c r="X1439" s="10"/>
      <c r="Y1439" s="10"/>
      <c r="Z1439" s="10"/>
      <c r="AA1439" s="11"/>
      <c r="AB1439" s="11"/>
    </row>
    <row r="1440" spans="2:28" x14ac:dyDescent="0.3">
      <c r="B1440" s="10" t="s">
        <v>403</v>
      </c>
      <c r="C1440" s="315"/>
      <c r="D1440" s="868" t="s">
        <v>4089</v>
      </c>
      <c r="E1440" s="837" t="str">
        <f>IFERROR(IF(_xlfn.XLOOKUP(Imput[[#This Row],[RFC]],'Alta Proveedor'!D:D,'Alta Proveedor'!E:E)=0,"",_xlfn.XLOOKUP(Imput[[#This Row],[RFC]],'Alta Proveedor'!D:D,'Alta Proveedor'!E:E)),"")</f>
        <v>HOME DEPOT MEXICO SUCURSAL 8757-CD.VICTORIA</v>
      </c>
      <c r="F1440" s="832" t="s">
        <v>3862</v>
      </c>
      <c r="G1440" s="187">
        <v>4</v>
      </c>
      <c r="H1440" s="1">
        <f>696.55/Imput[[#This Row],[Cantidad]]</f>
        <v>174.13749999999999</v>
      </c>
      <c r="I1440" s="169">
        <f>Imput[[#This Row],[Cantidad]]*Imput[[#This Row],[Precio Unitario]]</f>
        <v>696.55</v>
      </c>
      <c r="J1440" s="11">
        <f>((Imput[[#This Row],[Sub total]]-79.31)*(0.16))</f>
        <v>98.758400000000009</v>
      </c>
      <c r="K1440" s="11">
        <v>79.31</v>
      </c>
      <c r="L1440" s="169">
        <f>Imput[[#This Row],[Sub total]]+Imput[[#This Row],[IVA]]-Imput[[#This Row],[Retención / IEPS / Descuento]]</f>
        <v>715.99839999999995</v>
      </c>
      <c r="M1440" s="844">
        <v>0</v>
      </c>
      <c r="N1440" s="189" t="s">
        <v>123</v>
      </c>
      <c r="O1440" s="1"/>
      <c r="P1440" s="189" t="s">
        <v>4349</v>
      </c>
      <c r="Q1440" s="190" t="s">
        <v>4350</v>
      </c>
      <c r="R1440" s="188">
        <v>46030</v>
      </c>
      <c r="S1440" s="193" t="s">
        <v>126</v>
      </c>
      <c r="T1440" s="192"/>
      <c r="U1440" s="829"/>
      <c r="V1440" s="10"/>
      <c r="W1440" s="10"/>
      <c r="X1440" s="10"/>
      <c r="Y1440" s="10"/>
      <c r="Z1440" s="10"/>
      <c r="AA1440" s="11"/>
      <c r="AB1440" s="11"/>
    </row>
    <row r="1441" spans="2:28" x14ac:dyDescent="0.3">
      <c r="B1441" s="10" t="s">
        <v>402</v>
      </c>
      <c r="C1441" s="315"/>
      <c r="D1441" s="868" t="s">
        <v>1953</v>
      </c>
      <c r="E1441" s="837" t="str">
        <f>IFERROR(IF(_xlfn.XLOOKUP(Imput[[#This Row],[RFC]],'Alta Proveedor'!D:D,'Alta Proveedor'!E:E)=0,"",_xlfn.XLOOKUP(Imput[[#This Row],[RFC]],'Alta Proveedor'!D:D,'Alta Proveedor'!E:E)),"")</f>
        <v>OMNIBUS DE MEXICO FACTURA</v>
      </c>
      <c r="F1441" s="832" t="s">
        <v>4354</v>
      </c>
      <c r="G1441" s="187">
        <v>1</v>
      </c>
      <c r="H1441" s="1">
        <v>1483.62</v>
      </c>
      <c r="I1441" s="169">
        <f>Imput[[#This Row],[Cantidad]]*Imput[[#This Row],[Precio Unitario]]</f>
        <v>1483.62</v>
      </c>
      <c r="J1441" s="11">
        <f>((Imput[[#This Row],[Sub total]])*(0.16))</f>
        <v>237.3792</v>
      </c>
      <c r="K1441" s="11">
        <v>0</v>
      </c>
      <c r="L1441" s="169">
        <f>Imput[[#This Row],[Sub total]]+Imput[[#This Row],[IVA]]-Imput[[#This Row],[Retención / IEPS / Descuento]]</f>
        <v>1720.9992</v>
      </c>
      <c r="M1441" s="844">
        <v>1720.9992</v>
      </c>
      <c r="N1441" s="189" t="s">
        <v>123</v>
      </c>
      <c r="O1441" s="1"/>
      <c r="P1441" s="189" t="s">
        <v>4352</v>
      </c>
      <c r="Q1441" s="190" t="s">
        <v>4353</v>
      </c>
      <c r="R1441" s="188">
        <v>46016</v>
      </c>
      <c r="S1441" s="193" t="s">
        <v>126</v>
      </c>
      <c r="T1441" s="192"/>
      <c r="U1441" s="829"/>
      <c r="V1441" s="10"/>
      <c r="W1441" s="10"/>
      <c r="X1441" s="10"/>
      <c r="Y1441" s="10"/>
      <c r="Z1441" s="10"/>
      <c r="AA1441" s="11"/>
      <c r="AB1441" s="11"/>
    </row>
    <row r="1442" spans="2:28" x14ac:dyDescent="0.3">
      <c r="B1442" s="10" t="s">
        <v>403</v>
      </c>
      <c r="C1442" s="315"/>
      <c r="D1442" s="868" t="s">
        <v>1036</v>
      </c>
      <c r="E1442" s="837" t="str">
        <f>IFERROR(IF(_xlfn.XLOOKUP(Imput[[#This Row],[RFC]],'Alta Proveedor'!D:D,'Alta Proveedor'!E:E)=0,"",_xlfn.XLOOKUP(Imput[[#This Row],[RFC]],'Alta Proveedor'!D:D,'Alta Proveedor'!E:E)),"")</f>
        <v>AUTOZONE DE MEXICO</v>
      </c>
      <c r="F1442" s="832" t="s">
        <v>4357</v>
      </c>
      <c r="G1442" s="187">
        <v>1</v>
      </c>
      <c r="H1442" s="1">
        <v>214.66</v>
      </c>
      <c r="I1442" s="169">
        <f>Imput[[#This Row],[Cantidad]]*Imput[[#This Row],[Precio Unitario]]</f>
        <v>214.66</v>
      </c>
      <c r="J1442" s="11">
        <f>((Imput[[#This Row],[Sub total]])*(0.16))</f>
        <v>34.345599999999997</v>
      </c>
      <c r="K1442" s="11">
        <v>0</v>
      </c>
      <c r="L1442" s="169">
        <f>Imput[[#This Row],[Sub total]]+Imput[[#This Row],[IVA]]-Imput[[#This Row],[Retención / IEPS / Descuento]]</f>
        <v>249.00559999999999</v>
      </c>
      <c r="M1442" s="844">
        <v>638</v>
      </c>
      <c r="N1442" s="189" t="s">
        <v>123</v>
      </c>
      <c r="O1442" s="1"/>
      <c r="P1442" s="189" t="s">
        <v>4355</v>
      </c>
      <c r="Q1442" s="190" t="s">
        <v>4356</v>
      </c>
      <c r="R1442" s="188">
        <v>46030</v>
      </c>
      <c r="S1442" s="193" t="s">
        <v>126</v>
      </c>
      <c r="T1442" s="192"/>
      <c r="U1442" s="829"/>
      <c r="V1442" s="10"/>
      <c r="W1442" s="10"/>
      <c r="X1442" s="10"/>
      <c r="Y1442" s="10"/>
      <c r="Z1442" s="10"/>
      <c r="AA1442" s="11"/>
      <c r="AB1442" s="11"/>
    </row>
    <row r="1443" spans="2:28" x14ac:dyDescent="0.3">
      <c r="B1443" s="10" t="s">
        <v>403</v>
      </c>
      <c r="C1443" s="315"/>
      <c r="D1443" s="868" t="s">
        <v>1036</v>
      </c>
      <c r="E1443" s="837" t="str">
        <f>IFERROR(IF(_xlfn.XLOOKUP(Imput[[#This Row],[RFC]],'Alta Proveedor'!D:D,'Alta Proveedor'!E:E)=0,"",_xlfn.XLOOKUP(Imput[[#This Row],[RFC]],'Alta Proveedor'!D:D,'Alta Proveedor'!E:E)),"")</f>
        <v>AUTOZONE DE MEXICO</v>
      </c>
      <c r="F1443" s="832" t="s">
        <v>4358</v>
      </c>
      <c r="G1443" s="187">
        <v>1</v>
      </c>
      <c r="H1443" s="1">
        <v>335.34</v>
      </c>
      <c r="I1443" s="169">
        <f>Imput[[#This Row],[Cantidad]]*Imput[[#This Row],[Precio Unitario]]</f>
        <v>335.34</v>
      </c>
      <c r="J1443" s="11">
        <f>((Imput[[#This Row],[Sub total]])*(0.16))</f>
        <v>53.654399999999995</v>
      </c>
      <c r="K1443" s="11">
        <v>0</v>
      </c>
      <c r="L1443" s="169">
        <f>Imput[[#This Row],[Sub total]]+Imput[[#This Row],[IVA]]-Imput[[#This Row],[Retención / IEPS / Descuento]]</f>
        <v>388.99439999999998</v>
      </c>
      <c r="M1443" s="844">
        <v>0</v>
      </c>
      <c r="N1443" s="189" t="s">
        <v>123</v>
      </c>
      <c r="O1443" s="1"/>
      <c r="P1443" s="189" t="s">
        <v>4355</v>
      </c>
      <c r="Q1443" s="190" t="s">
        <v>4356</v>
      </c>
      <c r="R1443" s="188">
        <v>46030</v>
      </c>
      <c r="S1443" s="193" t="s">
        <v>126</v>
      </c>
      <c r="T1443" s="192"/>
      <c r="U1443" s="829"/>
      <c r="V1443" s="10"/>
      <c r="W1443" s="10"/>
      <c r="X1443" s="10"/>
      <c r="Y1443" s="10"/>
      <c r="Z1443" s="10"/>
      <c r="AA1443" s="11"/>
      <c r="AB1443" s="11"/>
    </row>
    <row r="1444" spans="2:28" x14ac:dyDescent="0.3">
      <c r="B1444" s="10" t="s">
        <v>403</v>
      </c>
      <c r="C1444" s="315"/>
      <c r="D1444" s="868" t="s">
        <v>1036</v>
      </c>
      <c r="E1444" s="837" t="str">
        <f>IFERROR(IF(_xlfn.XLOOKUP(Imput[[#This Row],[RFC]],'Alta Proveedor'!D:D,'Alta Proveedor'!E:E)=0,"",_xlfn.XLOOKUP(Imput[[#This Row],[RFC]],'Alta Proveedor'!D:D,'Alta Proveedor'!E:E)),"")</f>
        <v>AUTOZONE DE MEXICO</v>
      </c>
      <c r="F1444" s="832" t="s">
        <v>4361</v>
      </c>
      <c r="G1444" s="187">
        <v>1</v>
      </c>
      <c r="H1444" s="1">
        <v>676.72</v>
      </c>
      <c r="I1444" s="169">
        <f>Imput[[#This Row],[Cantidad]]*Imput[[#This Row],[Precio Unitario]]</f>
        <v>676.72</v>
      </c>
      <c r="J1444" s="11">
        <f>((Imput[[#This Row],[Sub total]])*(0.16))</f>
        <v>108.27520000000001</v>
      </c>
      <c r="K1444" s="11">
        <v>0</v>
      </c>
      <c r="L1444" s="169">
        <f>Imput[[#This Row],[Sub total]]+Imput[[#This Row],[IVA]]-Imput[[#This Row],[Retención / IEPS / Descuento]]</f>
        <v>784.99520000000007</v>
      </c>
      <c r="M1444" s="844">
        <v>2759.9996000000001</v>
      </c>
      <c r="N1444" s="189" t="s">
        <v>123</v>
      </c>
      <c r="O1444" s="1"/>
      <c r="P1444" s="189" t="s">
        <v>4359</v>
      </c>
      <c r="Q1444" s="190" t="s">
        <v>4360</v>
      </c>
      <c r="R1444" s="188">
        <v>46029</v>
      </c>
      <c r="S1444" s="193" t="s">
        <v>126</v>
      </c>
      <c r="T1444" s="192"/>
      <c r="U1444" s="829"/>
      <c r="V1444" s="10"/>
      <c r="W1444" s="10"/>
      <c r="X1444" s="10"/>
      <c r="Y1444" s="10"/>
      <c r="Z1444" s="10"/>
      <c r="AA1444" s="11"/>
      <c r="AB1444" s="11"/>
    </row>
    <row r="1445" spans="2:28" x14ac:dyDescent="0.3">
      <c r="B1445" s="10" t="s">
        <v>403</v>
      </c>
      <c r="C1445" s="315"/>
      <c r="D1445" s="868" t="s">
        <v>1036</v>
      </c>
      <c r="E1445" s="837" t="str">
        <f>IFERROR(IF(_xlfn.XLOOKUP(Imput[[#This Row],[RFC]],'Alta Proveedor'!D:D,'Alta Proveedor'!E:E)=0,"",_xlfn.XLOOKUP(Imput[[#This Row],[RFC]],'Alta Proveedor'!D:D,'Alta Proveedor'!E:E)),"")</f>
        <v>AUTOZONE DE MEXICO</v>
      </c>
      <c r="F1445" s="832" t="s">
        <v>4362</v>
      </c>
      <c r="G1445" s="187">
        <v>1</v>
      </c>
      <c r="H1445" s="1">
        <v>257.76</v>
      </c>
      <c r="I1445" s="169">
        <f>Imput[[#This Row],[Cantidad]]*Imput[[#This Row],[Precio Unitario]]</f>
        <v>257.76</v>
      </c>
      <c r="J1445" s="11">
        <f>((Imput[[#This Row],[Sub total]])*(0.16))</f>
        <v>41.241599999999998</v>
      </c>
      <c r="K1445" s="11">
        <v>0</v>
      </c>
      <c r="L1445" s="169">
        <f>Imput[[#This Row],[Sub total]]+Imput[[#This Row],[IVA]]-Imput[[#This Row],[Retención / IEPS / Descuento]]</f>
        <v>299.0016</v>
      </c>
      <c r="M1445" s="844">
        <v>0</v>
      </c>
      <c r="N1445" s="189" t="s">
        <v>123</v>
      </c>
      <c r="O1445" s="1"/>
      <c r="P1445" s="189" t="s">
        <v>4359</v>
      </c>
      <c r="Q1445" s="190" t="s">
        <v>4360</v>
      </c>
      <c r="R1445" s="188">
        <v>46029</v>
      </c>
      <c r="S1445" s="193" t="s">
        <v>126</v>
      </c>
      <c r="T1445" s="192"/>
      <c r="U1445" s="829"/>
      <c r="V1445" s="10"/>
      <c r="W1445" s="10"/>
      <c r="X1445" s="10"/>
      <c r="Y1445" s="10"/>
      <c r="Z1445" s="10"/>
      <c r="AA1445" s="11"/>
      <c r="AB1445" s="11"/>
    </row>
    <row r="1446" spans="2:28" x14ac:dyDescent="0.3">
      <c r="B1446" s="10" t="s">
        <v>403</v>
      </c>
      <c r="C1446" s="315"/>
      <c r="D1446" s="868" t="s">
        <v>1036</v>
      </c>
      <c r="E1446" s="837" t="str">
        <f>IFERROR(IF(_xlfn.XLOOKUP(Imput[[#This Row],[RFC]],'Alta Proveedor'!D:D,'Alta Proveedor'!E:E)=0,"",_xlfn.XLOOKUP(Imput[[#This Row],[RFC]],'Alta Proveedor'!D:D,'Alta Proveedor'!E:E)),"")</f>
        <v>AUTOZONE DE MEXICO</v>
      </c>
      <c r="F1446" s="832" t="s">
        <v>4363</v>
      </c>
      <c r="G1446" s="187">
        <v>1</v>
      </c>
      <c r="H1446" s="1">
        <v>343.97</v>
      </c>
      <c r="I1446" s="169">
        <f>Imput[[#This Row],[Cantidad]]*Imput[[#This Row],[Precio Unitario]]</f>
        <v>343.97</v>
      </c>
      <c r="J1446" s="11">
        <f>((Imput[[#This Row],[Sub total]])*(0.16))</f>
        <v>55.035200000000003</v>
      </c>
      <c r="K1446" s="11">
        <v>0</v>
      </c>
      <c r="L1446" s="169">
        <f>Imput[[#This Row],[Sub total]]+Imput[[#This Row],[IVA]]-Imput[[#This Row],[Retención / IEPS / Descuento]]</f>
        <v>399.00520000000006</v>
      </c>
      <c r="M1446" s="844">
        <v>0</v>
      </c>
      <c r="N1446" s="189" t="s">
        <v>123</v>
      </c>
      <c r="O1446" s="1"/>
      <c r="P1446" s="189" t="s">
        <v>4359</v>
      </c>
      <c r="Q1446" s="190" t="s">
        <v>4360</v>
      </c>
      <c r="R1446" s="188">
        <v>46029</v>
      </c>
      <c r="S1446" s="193" t="s">
        <v>126</v>
      </c>
      <c r="T1446" s="192"/>
      <c r="U1446" s="829"/>
      <c r="V1446" s="10"/>
      <c r="W1446" s="10"/>
      <c r="X1446" s="10"/>
      <c r="Y1446" s="10"/>
      <c r="Z1446" s="10"/>
      <c r="AA1446" s="11"/>
      <c r="AB1446" s="11"/>
    </row>
    <row r="1447" spans="2:28" x14ac:dyDescent="0.3">
      <c r="B1447" s="10" t="s">
        <v>403</v>
      </c>
      <c r="C1447" s="315"/>
      <c r="D1447" s="868" t="s">
        <v>1036</v>
      </c>
      <c r="E1447" s="837" t="str">
        <f>IFERROR(IF(_xlfn.XLOOKUP(Imput[[#This Row],[RFC]],'Alta Proveedor'!D:D,'Alta Proveedor'!E:E)=0,"",_xlfn.XLOOKUP(Imput[[#This Row],[RFC]],'Alta Proveedor'!D:D,'Alta Proveedor'!E:E)),"")</f>
        <v>AUTOZONE DE MEXICO</v>
      </c>
      <c r="F1447" s="832" t="s">
        <v>4364</v>
      </c>
      <c r="G1447" s="187">
        <v>1</v>
      </c>
      <c r="H1447" s="1">
        <v>85.34</v>
      </c>
      <c r="I1447" s="169">
        <f>Imput[[#This Row],[Cantidad]]*Imput[[#This Row],[Precio Unitario]]</f>
        <v>85.34</v>
      </c>
      <c r="J1447" s="11">
        <f>((Imput[[#This Row],[Sub total]])*(0.16))</f>
        <v>13.654400000000001</v>
      </c>
      <c r="K1447" s="11">
        <v>0</v>
      </c>
      <c r="L1447" s="169">
        <f>Imput[[#This Row],[Sub total]]+Imput[[#This Row],[IVA]]-Imput[[#This Row],[Retención / IEPS / Descuento]]</f>
        <v>98.994399999999999</v>
      </c>
      <c r="M1447" s="844">
        <v>0</v>
      </c>
      <c r="N1447" s="189" t="s">
        <v>123</v>
      </c>
      <c r="O1447" s="1"/>
      <c r="P1447" s="189" t="s">
        <v>4359</v>
      </c>
      <c r="Q1447" s="190" t="s">
        <v>4360</v>
      </c>
      <c r="R1447" s="188">
        <v>46029</v>
      </c>
      <c r="S1447" s="193" t="s">
        <v>126</v>
      </c>
      <c r="T1447" s="192"/>
      <c r="U1447" s="829"/>
      <c r="V1447" s="10"/>
      <c r="W1447" s="10"/>
      <c r="X1447" s="10"/>
      <c r="Y1447" s="10"/>
      <c r="Z1447" s="10"/>
      <c r="AA1447" s="11"/>
      <c r="AB1447" s="11"/>
    </row>
    <row r="1448" spans="2:28" x14ac:dyDescent="0.3">
      <c r="B1448" s="10" t="s">
        <v>403</v>
      </c>
      <c r="C1448" s="315"/>
      <c r="D1448" s="868" t="s">
        <v>1036</v>
      </c>
      <c r="E1448" s="837" t="str">
        <f>IFERROR(IF(_xlfn.XLOOKUP(Imput[[#This Row],[RFC]],'Alta Proveedor'!D:D,'Alta Proveedor'!E:E)=0,"",_xlfn.XLOOKUP(Imput[[#This Row],[RFC]],'Alta Proveedor'!D:D,'Alta Proveedor'!E:E)),"")</f>
        <v>AUTOZONE DE MEXICO</v>
      </c>
      <c r="F1448" s="832" t="s">
        <v>4365</v>
      </c>
      <c r="G1448" s="187">
        <v>1</v>
      </c>
      <c r="H1448" s="1">
        <v>602.59</v>
      </c>
      <c r="I1448" s="169">
        <f>Imput[[#This Row],[Cantidad]]*Imput[[#This Row],[Precio Unitario]]</f>
        <v>602.59</v>
      </c>
      <c r="J1448" s="11">
        <f>((Imput[[#This Row],[Sub total]])*(0.16))</f>
        <v>96.414400000000001</v>
      </c>
      <c r="K1448" s="11">
        <v>0</v>
      </c>
      <c r="L1448" s="169">
        <f>Imput[[#This Row],[Sub total]]+Imput[[#This Row],[IVA]]-Imput[[#This Row],[Retención / IEPS / Descuento]]</f>
        <v>699.00440000000003</v>
      </c>
      <c r="M1448" s="844">
        <v>0</v>
      </c>
      <c r="N1448" s="189" t="s">
        <v>123</v>
      </c>
      <c r="O1448" s="1"/>
      <c r="P1448" s="189" t="s">
        <v>4359</v>
      </c>
      <c r="Q1448" s="190" t="s">
        <v>4360</v>
      </c>
      <c r="R1448" s="188">
        <v>46029</v>
      </c>
      <c r="S1448" s="193" t="s">
        <v>126</v>
      </c>
      <c r="T1448" s="192"/>
      <c r="U1448" s="829"/>
      <c r="V1448" s="10"/>
      <c r="W1448" s="10"/>
      <c r="X1448" s="10"/>
      <c r="Y1448" s="10"/>
      <c r="Z1448" s="10"/>
      <c r="AA1448" s="11"/>
      <c r="AB1448" s="11"/>
    </row>
    <row r="1449" spans="2:28" x14ac:dyDescent="0.3">
      <c r="B1449" s="10" t="s">
        <v>403</v>
      </c>
      <c r="C1449" s="315"/>
      <c r="D1449" s="868" t="s">
        <v>1036</v>
      </c>
      <c r="E1449" s="837" t="str">
        <f>IFERROR(IF(_xlfn.XLOOKUP(Imput[[#This Row],[RFC]],'Alta Proveedor'!D:D,'Alta Proveedor'!E:E)=0,"",_xlfn.XLOOKUP(Imput[[#This Row],[RFC]],'Alta Proveedor'!D:D,'Alta Proveedor'!E:E)),"")</f>
        <v>AUTOZONE DE MEXICO</v>
      </c>
      <c r="F1449" s="832" t="s">
        <v>4366</v>
      </c>
      <c r="G1449" s="187">
        <v>1</v>
      </c>
      <c r="H1449" s="1">
        <v>412.93</v>
      </c>
      <c r="I1449" s="169">
        <f>Imput[[#This Row],[Cantidad]]*Imput[[#This Row],[Precio Unitario]]</f>
        <v>412.93</v>
      </c>
      <c r="J1449" s="11">
        <f>((Imput[[#This Row],[Sub total]])*(0.16))</f>
        <v>66.068799999999996</v>
      </c>
      <c r="K1449" s="11">
        <v>0</v>
      </c>
      <c r="L1449" s="169">
        <f>Imput[[#This Row],[Sub total]]+Imput[[#This Row],[IVA]]-Imput[[#This Row],[Retención / IEPS / Descuento]]</f>
        <v>478.99880000000002</v>
      </c>
      <c r="M1449" s="844">
        <v>0</v>
      </c>
      <c r="N1449" s="189" t="s">
        <v>123</v>
      </c>
      <c r="O1449" s="1"/>
      <c r="P1449" s="189" t="s">
        <v>4359</v>
      </c>
      <c r="Q1449" s="190" t="s">
        <v>4360</v>
      </c>
      <c r="R1449" s="188">
        <v>46029</v>
      </c>
      <c r="S1449" s="193" t="s">
        <v>126</v>
      </c>
      <c r="T1449" s="192"/>
      <c r="U1449" s="829"/>
      <c r="V1449" s="10"/>
      <c r="W1449" s="10"/>
      <c r="X1449" s="10"/>
      <c r="Y1449" s="10"/>
      <c r="Z1449" s="10"/>
      <c r="AA1449" s="11"/>
      <c r="AB1449" s="11"/>
    </row>
    <row r="1450" spans="2:28" x14ac:dyDescent="0.3">
      <c r="B1450" s="10" t="s">
        <v>403</v>
      </c>
      <c r="C1450" s="315" t="s">
        <v>1767</v>
      </c>
      <c r="D1450" s="868" t="s">
        <v>3684</v>
      </c>
      <c r="E1450" s="837" t="str">
        <f>IFERROR(IF(_xlfn.XLOOKUP(Imput[[#This Row],[RFC]],'Alta Proveedor'!D:D,'Alta Proveedor'!E:E)=0,"",_xlfn.XLOOKUP(Imput[[#This Row],[RFC]],'Alta Proveedor'!D:D,'Alta Proveedor'!E:E)),"")</f>
        <v>SERVICIOS PROFESIONALES GGA</v>
      </c>
      <c r="F1450" s="832" t="s">
        <v>237</v>
      </c>
      <c r="G1450" s="187">
        <v>127.95</v>
      </c>
      <c r="H1450" s="1">
        <v>20.242360296991013</v>
      </c>
      <c r="I1450" s="169">
        <f>Imput[[#This Row],[Cantidad]]*Imput[[#This Row],[Precio Unitario]]</f>
        <v>2590.0100000000002</v>
      </c>
      <c r="J1450" s="11">
        <v>403.58855162104066</v>
      </c>
      <c r="K1450" s="11">
        <v>0</v>
      </c>
      <c r="L1450" s="169">
        <f>Imput[[#This Row],[Sub total]]+Imput[[#This Row],[IVA]]-Imput[[#This Row],[Retención / IEPS / Descuento]]</f>
        <v>2993.5985516210408</v>
      </c>
      <c r="M1450" s="844">
        <v>76644.749999999971</v>
      </c>
      <c r="N1450" s="189" t="s">
        <v>123</v>
      </c>
      <c r="O1450" s="1"/>
      <c r="P1450" s="189" t="s">
        <v>4367</v>
      </c>
      <c r="Q1450" s="190" t="s">
        <v>4368</v>
      </c>
      <c r="R1450" s="188">
        <v>46025</v>
      </c>
      <c r="S1450" s="193" t="s">
        <v>215</v>
      </c>
      <c r="T1450" s="192"/>
      <c r="U1450" s="829"/>
      <c r="V1450" s="10"/>
      <c r="W1450" s="10"/>
      <c r="X1450" s="10"/>
      <c r="Y1450" s="10"/>
      <c r="Z1450" s="10"/>
      <c r="AA1450" s="11"/>
      <c r="AB1450" s="11"/>
    </row>
    <row r="1451" spans="2:28" x14ac:dyDescent="0.3">
      <c r="B1451" s="10" t="s">
        <v>403</v>
      </c>
      <c r="C1451" s="315" t="s">
        <v>1767</v>
      </c>
      <c r="D1451" s="868" t="s">
        <v>3684</v>
      </c>
      <c r="E1451" s="837" t="str">
        <f>IFERROR(IF(_xlfn.XLOOKUP(Imput[[#This Row],[RFC]],'Alta Proveedor'!D:D,'Alta Proveedor'!E:E)=0,"",_xlfn.XLOOKUP(Imput[[#This Row],[RFC]],'Alta Proveedor'!D:D,'Alta Proveedor'!E:E)),"")</f>
        <v>SERVICIOS PROFESIONALES GGA</v>
      </c>
      <c r="F1451" s="832" t="s">
        <v>237</v>
      </c>
      <c r="G1451" s="187">
        <v>171.02199999999999</v>
      </c>
      <c r="H1451" s="1">
        <v>20.242366479166424</v>
      </c>
      <c r="I1451" s="169">
        <f>Imput[[#This Row],[Cantidad]]*Imput[[#This Row],[Precio Unitario]]</f>
        <v>3461.89</v>
      </c>
      <c r="J1451" s="11">
        <v>539.44933454749753</v>
      </c>
      <c r="K1451" s="11">
        <v>0</v>
      </c>
      <c r="L1451" s="169">
        <f>Imput[[#This Row],[Sub total]]+Imput[[#This Row],[IVA]]-Imput[[#This Row],[Retención / IEPS / Descuento]]</f>
        <v>4001.3393345474974</v>
      </c>
      <c r="M1451" s="844">
        <v>0</v>
      </c>
      <c r="N1451" s="189" t="s">
        <v>123</v>
      </c>
      <c r="O1451" s="1"/>
      <c r="P1451" s="189" t="s">
        <v>4367</v>
      </c>
      <c r="Q1451" s="190" t="s">
        <v>4368</v>
      </c>
      <c r="R1451" s="188">
        <v>46025</v>
      </c>
      <c r="S1451" s="193" t="s">
        <v>215</v>
      </c>
      <c r="T1451" s="192"/>
      <c r="U1451" s="829"/>
      <c r="V1451" s="10"/>
      <c r="W1451" s="10"/>
      <c r="X1451" s="10"/>
      <c r="Y1451" s="10"/>
      <c r="Z1451" s="10"/>
      <c r="AA1451" s="11"/>
      <c r="AB1451" s="11"/>
    </row>
    <row r="1452" spans="2:28" x14ac:dyDescent="0.3">
      <c r="B1452" s="10" t="s">
        <v>403</v>
      </c>
      <c r="C1452" s="315" t="s">
        <v>1767</v>
      </c>
      <c r="D1452" s="868" t="s">
        <v>3684</v>
      </c>
      <c r="E1452" s="837" t="str">
        <f>IFERROR(IF(_xlfn.XLOOKUP(Imput[[#This Row],[RFC]],'Alta Proveedor'!D:D,'Alta Proveedor'!E:E)=0,"",_xlfn.XLOOKUP(Imput[[#This Row],[RFC]],'Alta Proveedor'!D:D,'Alta Proveedor'!E:E)),"")</f>
        <v>SERVICIOS PROFESIONALES GGA</v>
      </c>
      <c r="F1452" s="832" t="s">
        <v>237</v>
      </c>
      <c r="G1452" s="187">
        <v>50.387</v>
      </c>
      <c r="H1452" s="1">
        <v>20.24232440907377</v>
      </c>
      <c r="I1452" s="169">
        <f>Imput[[#This Row],[Cantidad]]*Imput[[#This Row],[Precio Unitario]]</f>
        <v>1019.95</v>
      </c>
      <c r="J1452" s="11">
        <v>158.93380458989751</v>
      </c>
      <c r="K1452" s="11">
        <v>0</v>
      </c>
      <c r="L1452" s="169">
        <f>Imput[[#This Row],[Sub total]]+Imput[[#This Row],[IVA]]-Imput[[#This Row],[Retención / IEPS / Descuento]]</f>
        <v>1178.8838045898976</v>
      </c>
      <c r="M1452" s="844">
        <v>0</v>
      </c>
      <c r="N1452" s="189" t="s">
        <v>123</v>
      </c>
      <c r="O1452" s="1"/>
      <c r="P1452" s="189" t="s">
        <v>4367</v>
      </c>
      <c r="Q1452" s="190" t="s">
        <v>4368</v>
      </c>
      <c r="R1452" s="188">
        <v>46025</v>
      </c>
      <c r="S1452" s="193" t="s">
        <v>215</v>
      </c>
      <c r="T1452" s="192"/>
      <c r="U1452" s="829"/>
      <c r="V1452" s="10"/>
      <c r="W1452" s="10"/>
      <c r="X1452" s="10"/>
      <c r="Y1452" s="10"/>
      <c r="Z1452" s="10"/>
      <c r="AA1452" s="11"/>
      <c r="AB1452" s="11"/>
    </row>
    <row r="1453" spans="2:28" x14ac:dyDescent="0.3">
      <c r="B1453" s="10" t="s">
        <v>403</v>
      </c>
      <c r="C1453" s="315" t="s">
        <v>1767</v>
      </c>
      <c r="D1453" s="868" t="s">
        <v>3684</v>
      </c>
      <c r="E1453" s="837" t="str">
        <f>IFERROR(IF(_xlfn.XLOOKUP(Imput[[#This Row],[RFC]],'Alta Proveedor'!D:D,'Alta Proveedor'!E:E)=0,"",_xlfn.XLOOKUP(Imput[[#This Row],[RFC]],'Alta Proveedor'!D:D,'Alta Proveedor'!E:E)),"")</f>
        <v>SERVICIOS PROFESIONALES GGA</v>
      </c>
      <c r="F1453" s="832" t="s">
        <v>237</v>
      </c>
      <c r="G1453" s="187">
        <v>51.298000000000002</v>
      </c>
      <c r="H1453" s="1">
        <v>20.242309641701432</v>
      </c>
      <c r="I1453" s="169">
        <f>Imput[[#This Row],[Cantidad]]*Imput[[#This Row],[Precio Unitario]]</f>
        <v>1038.3900000000001</v>
      </c>
      <c r="J1453" s="11">
        <v>161.80721932261744</v>
      </c>
      <c r="K1453" s="11">
        <v>0</v>
      </c>
      <c r="L1453" s="169">
        <f>Imput[[#This Row],[Sub total]]+Imput[[#This Row],[IVA]]-Imput[[#This Row],[Retención / IEPS / Descuento]]</f>
        <v>1200.1972193226175</v>
      </c>
      <c r="M1453" s="844">
        <v>0</v>
      </c>
      <c r="N1453" s="189" t="s">
        <v>123</v>
      </c>
      <c r="O1453" s="1"/>
      <c r="P1453" s="189" t="s">
        <v>4367</v>
      </c>
      <c r="Q1453" s="190" t="s">
        <v>4368</v>
      </c>
      <c r="R1453" s="188">
        <v>46025</v>
      </c>
      <c r="S1453" s="193" t="s">
        <v>215</v>
      </c>
      <c r="T1453" s="192"/>
      <c r="U1453" s="829"/>
      <c r="V1453" s="10"/>
      <c r="W1453" s="10"/>
      <c r="X1453" s="10"/>
      <c r="Y1453" s="10"/>
      <c r="Z1453" s="10"/>
      <c r="AA1453" s="11"/>
      <c r="AB1453" s="11"/>
    </row>
    <row r="1454" spans="2:28" x14ac:dyDescent="0.3">
      <c r="B1454" s="10" t="s">
        <v>403</v>
      </c>
      <c r="C1454" s="315" t="s">
        <v>1767</v>
      </c>
      <c r="D1454" s="868" t="s">
        <v>3684</v>
      </c>
      <c r="E1454" s="837" t="str">
        <f>IFERROR(IF(_xlfn.XLOOKUP(Imput[[#This Row],[RFC]],'Alta Proveedor'!D:D,'Alta Proveedor'!E:E)=0,"",_xlfn.XLOOKUP(Imput[[#This Row],[RFC]],'Alta Proveedor'!D:D,'Alta Proveedor'!E:E)),"")</f>
        <v>SERVICIOS PROFESIONALES GGA</v>
      </c>
      <c r="F1454" s="832" t="s">
        <v>237</v>
      </c>
      <c r="G1454" s="187">
        <v>149.65600000000001</v>
      </c>
      <c r="H1454" s="1">
        <v>20.24235580264072</v>
      </c>
      <c r="I1454" s="169">
        <f>Imput[[#This Row],[Cantidad]]*Imput[[#This Row],[Precio Unitario]]</f>
        <v>3029.39</v>
      </c>
      <c r="J1454" s="11">
        <v>472.05498140750973</v>
      </c>
      <c r="K1454" s="11">
        <v>0</v>
      </c>
      <c r="L1454" s="169">
        <f>Imput[[#This Row],[Sub total]]+Imput[[#This Row],[IVA]]-Imput[[#This Row],[Retención / IEPS / Descuento]]</f>
        <v>3501.4449814075097</v>
      </c>
      <c r="M1454" s="844">
        <v>0</v>
      </c>
      <c r="N1454" s="189" t="s">
        <v>123</v>
      </c>
      <c r="O1454" s="1"/>
      <c r="P1454" s="189" t="s">
        <v>4367</v>
      </c>
      <c r="Q1454" s="190" t="s">
        <v>4368</v>
      </c>
      <c r="R1454" s="188">
        <v>46025</v>
      </c>
      <c r="S1454" s="193" t="s">
        <v>215</v>
      </c>
      <c r="T1454" s="192"/>
      <c r="U1454" s="829"/>
      <c r="V1454" s="10"/>
      <c r="W1454" s="10"/>
      <c r="X1454" s="10"/>
      <c r="Y1454" s="10"/>
      <c r="Z1454" s="10"/>
      <c r="AA1454" s="11"/>
      <c r="AB1454" s="11"/>
    </row>
    <row r="1455" spans="2:28" x14ac:dyDescent="0.3">
      <c r="B1455" s="10" t="s">
        <v>403</v>
      </c>
      <c r="C1455" s="315" t="s">
        <v>1767</v>
      </c>
      <c r="D1455" s="868" t="s">
        <v>3684</v>
      </c>
      <c r="E1455" s="837" t="str">
        <f>IFERROR(IF(_xlfn.XLOOKUP(Imput[[#This Row],[RFC]],'Alta Proveedor'!D:D,'Alta Proveedor'!E:E)=0,"",_xlfn.XLOOKUP(Imput[[#This Row],[RFC]],'Alta Proveedor'!D:D,'Alta Proveedor'!E:E)),"")</f>
        <v>SERVICIOS PROFESIONALES GGA</v>
      </c>
      <c r="F1455" s="832" t="s">
        <v>237</v>
      </c>
      <c r="G1455" s="187">
        <v>49.662999999999997</v>
      </c>
      <c r="H1455" s="1">
        <v>20.328614864184605</v>
      </c>
      <c r="I1455" s="169">
        <f>Imput[[#This Row],[Cantidad]]*Imput[[#This Row],[Precio Unitario]]</f>
        <v>1009.5799999999999</v>
      </c>
      <c r="J1455" s="11">
        <v>157.31789836547742</v>
      </c>
      <c r="K1455" s="11">
        <v>0</v>
      </c>
      <c r="L1455" s="169">
        <f>Imput[[#This Row],[Sub total]]+Imput[[#This Row],[IVA]]-Imput[[#This Row],[Retención / IEPS / Descuento]]</f>
        <v>1166.8978983654774</v>
      </c>
      <c r="M1455" s="844">
        <v>0</v>
      </c>
      <c r="N1455" s="189" t="s">
        <v>123</v>
      </c>
      <c r="O1455" s="1"/>
      <c r="P1455" s="189" t="s">
        <v>4367</v>
      </c>
      <c r="Q1455" s="190" t="s">
        <v>4368</v>
      </c>
      <c r="R1455" s="188">
        <v>46025</v>
      </c>
      <c r="S1455" s="193" t="s">
        <v>215</v>
      </c>
      <c r="T1455" s="192"/>
      <c r="U1455" s="829"/>
      <c r="V1455" s="10"/>
      <c r="W1455" s="10"/>
      <c r="X1455" s="10"/>
      <c r="Y1455" s="10"/>
      <c r="Z1455" s="10"/>
      <c r="AA1455" s="11"/>
      <c r="AB1455" s="11"/>
    </row>
    <row r="1456" spans="2:28" x14ac:dyDescent="0.3">
      <c r="B1456" s="10" t="s">
        <v>403</v>
      </c>
      <c r="C1456" s="315" t="s">
        <v>1767</v>
      </c>
      <c r="D1456" s="868" t="s">
        <v>3684</v>
      </c>
      <c r="E1456" s="837" t="str">
        <f>IFERROR(IF(_xlfn.XLOOKUP(Imput[[#This Row],[RFC]],'Alta Proveedor'!D:D,'Alta Proveedor'!E:E)=0,"",_xlfn.XLOOKUP(Imput[[#This Row],[RFC]],'Alta Proveedor'!D:D,'Alta Proveedor'!E:E)),"")</f>
        <v>SERVICIOS PROFESIONALES GGA</v>
      </c>
      <c r="F1456" s="832" t="s">
        <v>237</v>
      </c>
      <c r="G1456" s="187">
        <v>10.978</v>
      </c>
      <c r="H1456" s="1">
        <v>20.327928584441612</v>
      </c>
      <c r="I1456" s="169">
        <f>Imput[[#This Row],[Cantidad]]*Imput[[#This Row],[Precio Unitario]]</f>
        <v>223.16</v>
      </c>
      <c r="J1456" s="11">
        <v>34.7739279692941</v>
      </c>
      <c r="K1456" s="11">
        <v>0</v>
      </c>
      <c r="L1456" s="169">
        <f>Imput[[#This Row],[Sub total]]+Imput[[#This Row],[IVA]]-Imput[[#This Row],[Retención / IEPS / Descuento]]</f>
        <v>257.93392796929407</v>
      </c>
      <c r="M1456" s="844">
        <v>0</v>
      </c>
      <c r="N1456" s="189" t="s">
        <v>123</v>
      </c>
      <c r="O1456" s="1"/>
      <c r="P1456" s="189" t="s">
        <v>4367</v>
      </c>
      <c r="Q1456" s="190" t="s">
        <v>4368</v>
      </c>
      <c r="R1456" s="188">
        <v>46025</v>
      </c>
      <c r="S1456" s="193" t="s">
        <v>215</v>
      </c>
      <c r="T1456" s="192"/>
      <c r="U1456" s="829"/>
      <c r="V1456" s="10"/>
      <c r="W1456" s="10"/>
      <c r="X1456" s="10"/>
      <c r="Y1456" s="10"/>
      <c r="Z1456" s="10"/>
      <c r="AA1456" s="11"/>
      <c r="AB1456" s="11"/>
    </row>
    <row r="1457" spans="2:28" x14ac:dyDescent="0.3">
      <c r="B1457" s="10" t="s">
        <v>403</v>
      </c>
      <c r="C1457" s="315" t="s">
        <v>1767</v>
      </c>
      <c r="D1457" s="868" t="s">
        <v>3684</v>
      </c>
      <c r="E1457" s="837" t="str">
        <f>IFERROR(IF(_xlfn.XLOOKUP(Imput[[#This Row],[RFC]],'Alta Proveedor'!D:D,'Alta Proveedor'!E:E)=0,"",_xlfn.XLOOKUP(Imput[[#This Row],[RFC]],'Alta Proveedor'!D:D,'Alta Proveedor'!E:E)),"")</f>
        <v>SERVICIOS PROFESIONALES GGA</v>
      </c>
      <c r="F1457" s="832" t="s">
        <v>237</v>
      </c>
      <c r="G1457" s="187">
        <v>20.004000000000001</v>
      </c>
      <c r="H1457" s="1">
        <v>20.328434313137372</v>
      </c>
      <c r="I1457" s="169">
        <f>Imput[[#This Row],[Cantidad]]*Imput[[#This Row],[Precio Unitario]]</f>
        <v>406.65000000000003</v>
      </c>
      <c r="J1457" s="11">
        <v>63.36627446098516</v>
      </c>
      <c r="K1457" s="11">
        <v>0</v>
      </c>
      <c r="L1457" s="169">
        <f>Imput[[#This Row],[Sub total]]+Imput[[#This Row],[IVA]]-Imput[[#This Row],[Retención / IEPS / Descuento]]</f>
        <v>470.01627446098519</v>
      </c>
      <c r="M1457" s="844">
        <v>0</v>
      </c>
      <c r="N1457" s="189" t="s">
        <v>123</v>
      </c>
      <c r="O1457" s="1"/>
      <c r="P1457" s="189" t="s">
        <v>4367</v>
      </c>
      <c r="Q1457" s="190" t="s">
        <v>4368</v>
      </c>
      <c r="R1457" s="188">
        <v>46025</v>
      </c>
      <c r="S1457" s="193" t="s">
        <v>215</v>
      </c>
      <c r="T1457" s="192"/>
      <c r="U1457" s="829"/>
      <c r="V1457" s="10"/>
      <c r="W1457" s="10"/>
      <c r="X1457" s="10"/>
      <c r="Y1457" s="10"/>
      <c r="Z1457" s="10"/>
      <c r="AA1457" s="11"/>
      <c r="AB1457" s="11"/>
    </row>
    <row r="1458" spans="2:28" x14ac:dyDescent="0.3">
      <c r="B1458" s="10" t="s">
        <v>403</v>
      </c>
      <c r="C1458" s="315" t="s">
        <v>1767</v>
      </c>
      <c r="D1458" s="868" t="s">
        <v>3684</v>
      </c>
      <c r="E1458" s="837" t="str">
        <f>IFERROR(IF(_xlfn.XLOOKUP(Imput[[#This Row],[RFC]],'Alta Proveedor'!D:D,'Alta Proveedor'!E:E)=0,"",_xlfn.XLOOKUP(Imput[[#This Row],[RFC]],'Alta Proveedor'!D:D,'Alta Proveedor'!E:E)),"")</f>
        <v>SERVICIOS PROFESIONALES GGA</v>
      </c>
      <c r="F1458" s="832" t="s">
        <v>237</v>
      </c>
      <c r="G1458" s="187">
        <v>51.143000000000001</v>
      </c>
      <c r="H1458" s="1">
        <v>20.32868623272002</v>
      </c>
      <c r="I1458" s="169">
        <f>Imput[[#This Row],[Cantidad]]*Imput[[#This Row],[Precio Unitario]]</f>
        <v>1039.67</v>
      </c>
      <c r="J1458" s="11">
        <v>162.00667544289303</v>
      </c>
      <c r="K1458" s="11">
        <v>0</v>
      </c>
      <c r="L1458" s="169">
        <f>Imput[[#This Row],[Sub total]]+Imput[[#This Row],[IVA]]-Imput[[#This Row],[Retención / IEPS / Descuento]]</f>
        <v>1201.6766754428932</v>
      </c>
      <c r="M1458" s="844">
        <v>0</v>
      </c>
      <c r="N1458" s="189" t="s">
        <v>123</v>
      </c>
      <c r="O1458" s="1"/>
      <c r="P1458" s="189" t="s">
        <v>4367</v>
      </c>
      <c r="Q1458" s="190" t="s">
        <v>4368</v>
      </c>
      <c r="R1458" s="188">
        <v>46025</v>
      </c>
      <c r="S1458" s="193" t="s">
        <v>215</v>
      </c>
      <c r="T1458" s="192"/>
      <c r="U1458" s="829"/>
      <c r="V1458" s="10"/>
      <c r="W1458" s="10"/>
      <c r="X1458" s="10"/>
      <c r="Y1458" s="10"/>
      <c r="Z1458" s="10"/>
      <c r="AA1458" s="11"/>
      <c r="AB1458" s="11"/>
    </row>
    <row r="1459" spans="2:28" x14ac:dyDescent="0.3">
      <c r="B1459" s="10" t="s">
        <v>403</v>
      </c>
      <c r="C1459" s="315" t="s">
        <v>1767</v>
      </c>
      <c r="D1459" s="868" t="s">
        <v>3684</v>
      </c>
      <c r="E1459" s="837" t="str">
        <f>IFERROR(IF(_xlfn.XLOOKUP(Imput[[#This Row],[RFC]],'Alta Proveedor'!D:D,'Alta Proveedor'!E:E)=0,"",_xlfn.XLOOKUP(Imput[[#This Row],[RFC]],'Alta Proveedor'!D:D,'Alta Proveedor'!E:E)),"")</f>
        <v>SERVICIOS PROFESIONALES GGA</v>
      </c>
      <c r="F1459" s="832" t="s">
        <v>237</v>
      </c>
      <c r="G1459" s="187">
        <v>56.856000000000002</v>
      </c>
      <c r="H1459" s="1">
        <v>20.328549317574222</v>
      </c>
      <c r="I1459" s="169">
        <f>Imput[[#This Row],[Cantidad]]*Imput[[#This Row],[Precio Unitario]]</f>
        <v>1155.8</v>
      </c>
      <c r="J1459" s="11">
        <v>180.10264360508214</v>
      </c>
      <c r="K1459" s="11">
        <v>0</v>
      </c>
      <c r="L1459" s="169">
        <f>Imput[[#This Row],[Sub total]]+Imput[[#This Row],[IVA]]-Imput[[#This Row],[Retención / IEPS / Descuento]]</f>
        <v>1335.9026436050822</v>
      </c>
      <c r="M1459" s="844">
        <v>0</v>
      </c>
      <c r="N1459" s="189" t="s">
        <v>123</v>
      </c>
      <c r="O1459" s="1"/>
      <c r="P1459" s="189" t="s">
        <v>4367</v>
      </c>
      <c r="Q1459" s="190" t="s">
        <v>4368</v>
      </c>
      <c r="R1459" s="188">
        <v>46025</v>
      </c>
      <c r="S1459" s="193" t="s">
        <v>215</v>
      </c>
      <c r="T1459" s="192"/>
      <c r="U1459" s="829"/>
      <c r="V1459" s="10"/>
      <c r="W1459" s="10"/>
      <c r="X1459" s="10"/>
      <c r="Y1459" s="10"/>
      <c r="Z1459" s="10"/>
      <c r="AA1459" s="11"/>
      <c r="AB1459" s="11"/>
    </row>
    <row r="1460" spans="2:28" x14ac:dyDescent="0.3">
      <c r="B1460" s="10" t="s">
        <v>403</v>
      </c>
      <c r="C1460" s="315" t="s">
        <v>1767</v>
      </c>
      <c r="D1460" s="868" t="s">
        <v>3684</v>
      </c>
      <c r="E1460" s="837" t="str">
        <f>IFERROR(IF(_xlfn.XLOOKUP(Imput[[#This Row],[RFC]],'Alta Proveedor'!D:D,'Alta Proveedor'!E:E)=0,"",_xlfn.XLOOKUP(Imput[[#This Row],[RFC]],'Alta Proveedor'!D:D,'Alta Proveedor'!E:E)),"")</f>
        <v>SERVICIOS PROFESIONALES GGA</v>
      </c>
      <c r="F1460" s="832" t="s">
        <v>237</v>
      </c>
      <c r="G1460" s="187">
        <v>20.015000000000001</v>
      </c>
      <c r="H1460" s="1">
        <v>20.328253809642767</v>
      </c>
      <c r="I1460" s="169">
        <f>Imput[[#This Row],[Cantidad]]*Imput[[#This Row],[Precio Unitario]]</f>
        <v>406.87</v>
      </c>
      <c r="J1460" s="11">
        <v>63.400555981657519</v>
      </c>
      <c r="K1460" s="11">
        <v>0</v>
      </c>
      <c r="L1460" s="169">
        <f>Imput[[#This Row],[Sub total]]+Imput[[#This Row],[IVA]]-Imput[[#This Row],[Retención / IEPS / Descuento]]</f>
        <v>470.27055598165754</v>
      </c>
      <c r="M1460" s="844">
        <v>0</v>
      </c>
      <c r="N1460" s="189" t="s">
        <v>123</v>
      </c>
      <c r="O1460" s="1"/>
      <c r="P1460" s="189" t="s">
        <v>4367</v>
      </c>
      <c r="Q1460" s="190" t="s">
        <v>4368</v>
      </c>
      <c r="R1460" s="188">
        <v>46025</v>
      </c>
      <c r="S1460" s="193" t="s">
        <v>215</v>
      </c>
      <c r="T1460" s="192"/>
      <c r="U1460" s="829"/>
      <c r="V1460" s="10"/>
      <c r="W1460" s="10"/>
      <c r="X1460" s="10"/>
      <c r="Y1460" s="10"/>
      <c r="Z1460" s="10"/>
      <c r="AA1460" s="11"/>
      <c r="AB1460" s="11"/>
    </row>
    <row r="1461" spans="2:28" x14ac:dyDescent="0.3">
      <c r="B1461" s="10" t="s">
        <v>403</v>
      </c>
      <c r="C1461" s="315" t="s">
        <v>1767</v>
      </c>
      <c r="D1461" s="868" t="s">
        <v>3684</v>
      </c>
      <c r="E1461" s="837" t="str">
        <f>IFERROR(IF(_xlfn.XLOOKUP(Imput[[#This Row],[RFC]],'Alta Proveedor'!D:D,'Alta Proveedor'!E:E)=0,"",_xlfn.XLOOKUP(Imput[[#This Row],[RFC]],'Alta Proveedor'!D:D,'Alta Proveedor'!E:E)),"")</f>
        <v>SERVICIOS PROFESIONALES GGA</v>
      </c>
      <c r="F1461" s="832" t="s">
        <v>237</v>
      </c>
      <c r="G1461" s="187">
        <v>1.0549999999999999</v>
      </c>
      <c r="H1461" s="1">
        <v>20.322274881516591</v>
      </c>
      <c r="I1461" s="169">
        <f>Imput[[#This Row],[Cantidad]]*Imput[[#This Row],[Precio Unitario]]</f>
        <v>21.44</v>
      </c>
      <c r="J1461" s="11">
        <v>3.3408900146158165</v>
      </c>
      <c r="K1461" s="11">
        <v>0</v>
      </c>
      <c r="L1461" s="169">
        <f>Imput[[#This Row],[Sub total]]+Imput[[#This Row],[IVA]]-Imput[[#This Row],[Retención / IEPS / Descuento]]</f>
        <v>24.780890014615817</v>
      </c>
      <c r="M1461" s="844">
        <v>0</v>
      </c>
      <c r="N1461" s="189" t="s">
        <v>123</v>
      </c>
      <c r="O1461" s="1"/>
      <c r="P1461" s="189" t="s">
        <v>4367</v>
      </c>
      <c r="Q1461" s="190" t="s">
        <v>4368</v>
      </c>
      <c r="R1461" s="188">
        <v>46025</v>
      </c>
      <c r="S1461" s="193" t="s">
        <v>215</v>
      </c>
      <c r="T1461" s="192"/>
      <c r="U1461" s="829"/>
      <c r="V1461" s="10"/>
      <c r="W1461" s="10"/>
      <c r="X1461" s="10"/>
      <c r="Y1461" s="10"/>
      <c r="Z1461" s="10"/>
      <c r="AA1461" s="11"/>
      <c r="AB1461" s="11"/>
    </row>
    <row r="1462" spans="2:28" x14ac:dyDescent="0.3">
      <c r="B1462" s="10" t="s">
        <v>403</v>
      </c>
      <c r="C1462" s="315" t="s">
        <v>1767</v>
      </c>
      <c r="D1462" s="868" t="s">
        <v>3684</v>
      </c>
      <c r="E1462" s="837" t="str">
        <f>IFERROR(IF(_xlfn.XLOOKUP(Imput[[#This Row],[RFC]],'Alta Proveedor'!D:D,'Alta Proveedor'!E:E)=0,"",_xlfn.XLOOKUP(Imput[[#This Row],[RFC]],'Alta Proveedor'!D:D,'Alta Proveedor'!E:E)),"")</f>
        <v>SERVICIOS PROFESIONALES GGA</v>
      </c>
      <c r="F1462" s="832" t="s">
        <v>237</v>
      </c>
      <c r="G1462" s="187">
        <v>54.895000000000003</v>
      </c>
      <c r="H1462" s="1">
        <v>20.328627379542763</v>
      </c>
      <c r="I1462" s="169">
        <f>Imput[[#This Row],[Cantidad]]*Imput[[#This Row],[Precio Unitario]]</f>
        <v>1115.94</v>
      </c>
      <c r="J1462" s="11">
        <v>173.8914553596257</v>
      </c>
      <c r="K1462" s="11">
        <v>0</v>
      </c>
      <c r="L1462" s="169">
        <f>Imput[[#This Row],[Sub total]]+Imput[[#This Row],[IVA]]-Imput[[#This Row],[Retención / IEPS / Descuento]]</f>
        <v>1289.8314553596258</v>
      </c>
      <c r="M1462" s="844">
        <v>0</v>
      </c>
      <c r="N1462" s="189" t="s">
        <v>123</v>
      </c>
      <c r="O1462" s="1"/>
      <c r="P1462" s="189" t="s">
        <v>4367</v>
      </c>
      <c r="Q1462" s="190" t="s">
        <v>4368</v>
      </c>
      <c r="R1462" s="188">
        <v>46025</v>
      </c>
      <c r="S1462" s="193" t="s">
        <v>215</v>
      </c>
      <c r="T1462" s="192"/>
      <c r="U1462" s="829"/>
      <c r="V1462" s="10"/>
      <c r="W1462" s="10"/>
      <c r="X1462" s="10"/>
      <c r="Y1462" s="10"/>
      <c r="Z1462" s="10"/>
      <c r="AA1462" s="11"/>
      <c r="AB1462" s="11"/>
    </row>
    <row r="1463" spans="2:28" x14ac:dyDescent="0.3">
      <c r="B1463" s="10" t="s">
        <v>403</v>
      </c>
      <c r="C1463" s="315" t="s">
        <v>1767</v>
      </c>
      <c r="D1463" s="868" t="s">
        <v>3684</v>
      </c>
      <c r="E1463" s="837" t="str">
        <f>IFERROR(IF(_xlfn.XLOOKUP(Imput[[#This Row],[RFC]],'Alta Proveedor'!D:D,'Alta Proveedor'!E:E)=0,"",_xlfn.XLOOKUP(Imput[[#This Row],[RFC]],'Alta Proveedor'!D:D,'Alta Proveedor'!E:E)),"")</f>
        <v>SERVICIOS PROFESIONALES GGA</v>
      </c>
      <c r="F1463" s="832" t="s">
        <v>237</v>
      </c>
      <c r="G1463" s="187">
        <v>49.52</v>
      </c>
      <c r="H1463" s="1">
        <v>20.328554119547654</v>
      </c>
      <c r="I1463" s="169">
        <f>Imput[[#This Row],[Cantidad]]*Imput[[#This Row],[Precio Unitario]]</f>
        <v>1006.6699999999998</v>
      </c>
      <c r="J1463" s="11">
        <v>156.8644473420384</v>
      </c>
      <c r="K1463" s="11">
        <v>0</v>
      </c>
      <c r="L1463" s="169">
        <f>Imput[[#This Row],[Sub total]]+Imput[[#This Row],[IVA]]-Imput[[#This Row],[Retención / IEPS / Descuento]]</f>
        <v>1163.5344473420382</v>
      </c>
      <c r="M1463" s="844">
        <v>0</v>
      </c>
      <c r="N1463" s="189" t="s">
        <v>123</v>
      </c>
      <c r="O1463" s="1"/>
      <c r="P1463" s="189" t="s">
        <v>4367</v>
      </c>
      <c r="Q1463" s="190" t="s">
        <v>4368</v>
      </c>
      <c r="R1463" s="188">
        <v>46025</v>
      </c>
      <c r="S1463" s="193" t="s">
        <v>215</v>
      </c>
      <c r="T1463" s="192"/>
      <c r="U1463" s="829"/>
      <c r="V1463" s="10"/>
      <c r="W1463" s="10"/>
      <c r="X1463" s="10"/>
      <c r="Y1463" s="10"/>
      <c r="Z1463" s="10"/>
      <c r="AA1463" s="11"/>
      <c r="AB1463" s="11"/>
    </row>
    <row r="1464" spans="2:28" x14ac:dyDescent="0.3">
      <c r="B1464" s="10" t="s">
        <v>403</v>
      </c>
      <c r="C1464" s="315" t="s">
        <v>1767</v>
      </c>
      <c r="D1464" s="868" t="s">
        <v>3684</v>
      </c>
      <c r="E1464" s="837" t="str">
        <f>IFERROR(IF(_xlfn.XLOOKUP(Imput[[#This Row],[RFC]],'Alta Proveedor'!D:D,'Alta Proveedor'!E:E)=0,"",_xlfn.XLOOKUP(Imput[[#This Row],[RFC]],'Alta Proveedor'!D:D,'Alta Proveedor'!E:E)),"")</f>
        <v>SERVICIOS PROFESIONALES GGA</v>
      </c>
      <c r="F1464" s="832" t="s">
        <v>237</v>
      </c>
      <c r="G1464" s="187">
        <v>21.888000000000002</v>
      </c>
      <c r="H1464" s="1">
        <v>20.328947368421051</v>
      </c>
      <c r="I1464" s="169">
        <f>Imput[[#This Row],[Cantidad]]*Imput[[#This Row],[Precio Unitario]]</f>
        <v>444.96</v>
      </c>
      <c r="J1464" s="11">
        <v>69.33593381079541</v>
      </c>
      <c r="K1464" s="11">
        <v>0</v>
      </c>
      <c r="L1464" s="169">
        <f>Imput[[#This Row],[Sub total]]+Imput[[#This Row],[IVA]]-Imput[[#This Row],[Retención / IEPS / Descuento]]</f>
        <v>514.29593381079542</v>
      </c>
      <c r="M1464" s="844">
        <v>0</v>
      </c>
      <c r="N1464" s="189" t="s">
        <v>123</v>
      </c>
      <c r="O1464" s="1"/>
      <c r="P1464" s="189" t="s">
        <v>4367</v>
      </c>
      <c r="Q1464" s="190" t="s">
        <v>4368</v>
      </c>
      <c r="R1464" s="188">
        <v>46025</v>
      </c>
      <c r="S1464" s="193" t="s">
        <v>215</v>
      </c>
      <c r="T1464" s="192"/>
      <c r="U1464" s="829"/>
      <c r="V1464" s="10"/>
      <c r="W1464" s="10"/>
      <c r="X1464" s="10"/>
      <c r="Y1464" s="10"/>
      <c r="Z1464" s="10"/>
      <c r="AA1464" s="11"/>
      <c r="AB1464" s="11"/>
    </row>
    <row r="1465" spans="2:28" x14ac:dyDescent="0.3">
      <c r="B1465" s="10" t="s">
        <v>403</v>
      </c>
      <c r="C1465" s="315" t="s">
        <v>1767</v>
      </c>
      <c r="D1465" s="868" t="s">
        <v>3684</v>
      </c>
      <c r="E1465" s="837" t="str">
        <f>IFERROR(IF(_xlfn.XLOOKUP(Imput[[#This Row],[RFC]],'Alta Proveedor'!D:D,'Alta Proveedor'!E:E)=0,"",_xlfn.XLOOKUP(Imput[[#This Row],[RFC]],'Alta Proveedor'!D:D,'Alta Proveedor'!E:E)),"")</f>
        <v>SERVICIOS PROFESIONALES GGA</v>
      </c>
      <c r="F1465" s="832" t="s">
        <v>237</v>
      </c>
      <c r="G1465" s="187">
        <v>53.183</v>
      </c>
      <c r="H1465" s="1">
        <v>20.328676456762501</v>
      </c>
      <c r="I1465" s="169">
        <f>Imput[[#This Row],[Cantidad]]*Imput[[#This Row],[Precio Unitario]]</f>
        <v>1081.1400000000001</v>
      </c>
      <c r="J1465" s="11">
        <v>168.46874208963359</v>
      </c>
      <c r="K1465" s="11">
        <v>0</v>
      </c>
      <c r="L1465" s="169">
        <f>Imput[[#This Row],[Sub total]]+Imput[[#This Row],[IVA]]-Imput[[#This Row],[Retención / IEPS / Descuento]]</f>
        <v>1249.6087420896338</v>
      </c>
      <c r="M1465" s="844">
        <v>0</v>
      </c>
      <c r="N1465" s="189" t="s">
        <v>123</v>
      </c>
      <c r="O1465" s="1"/>
      <c r="P1465" s="189" t="s">
        <v>4367</v>
      </c>
      <c r="Q1465" s="190" t="s">
        <v>4368</v>
      </c>
      <c r="R1465" s="188">
        <v>46025</v>
      </c>
      <c r="S1465" s="193" t="s">
        <v>215</v>
      </c>
      <c r="T1465" s="192"/>
      <c r="U1465" s="829"/>
      <c r="V1465" s="10"/>
      <c r="W1465" s="10"/>
      <c r="X1465" s="10"/>
      <c r="Y1465" s="10"/>
      <c r="Z1465" s="10"/>
      <c r="AA1465" s="11"/>
      <c r="AB1465" s="11"/>
    </row>
    <row r="1466" spans="2:28" x14ac:dyDescent="0.3">
      <c r="B1466" s="10" t="s">
        <v>403</v>
      </c>
      <c r="C1466" s="315" t="s">
        <v>1767</v>
      </c>
      <c r="D1466" s="868" t="s">
        <v>3684</v>
      </c>
      <c r="E1466" s="837" t="str">
        <f>IFERROR(IF(_xlfn.XLOOKUP(Imput[[#This Row],[RFC]],'Alta Proveedor'!D:D,'Alta Proveedor'!E:E)=0,"",_xlfn.XLOOKUP(Imput[[#This Row],[RFC]],'Alta Proveedor'!D:D,'Alta Proveedor'!E:E)),"")</f>
        <v>SERVICIOS PROFESIONALES GGA</v>
      </c>
      <c r="F1466" s="832" t="s">
        <v>237</v>
      </c>
      <c r="G1466" s="187">
        <v>62.222999999999999</v>
      </c>
      <c r="H1466" s="1">
        <v>20.371566783986626</v>
      </c>
      <c r="I1466" s="169">
        <f>Imput[[#This Row],[Cantidad]]*Imput[[#This Row],[Precio Unitario]]</f>
        <v>1267.58</v>
      </c>
      <c r="J1466" s="11">
        <v>197.52077260852221</v>
      </c>
      <c r="K1466" s="11">
        <v>0</v>
      </c>
      <c r="L1466" s="169">
        <f>Imput[[#This Row],[Sub total]]+Imput[[#This Row],[IVA]]-Imput[[#This Row],[Retención / IEPS / Descuento]]</f>
        <v>1465.1007726085222</v>
      </c>
      <c r="M1466" s="844">
        <v>0</v>
      </c>
      <c r="N1466" s="189" t="s">
        <v>123</v>
      </c>
      <c r="O1466" s="1"/>
      <c r="P1466" s="189" t="s">
        <v>4367</v>
      </c>
      <c r="Q1466" s="190" t="s">
        <v>4368</v>
      </c>
      <c r="R1466" s="188">
        <v>46025</v>
      </c>
      <c r="S1466" s="193" t="s">
        <v>215</v>
      </c>
      <c r="T1466" s="192"/>
      <c r="U1466" s="829"/>
      <c r="V1466" s="10"/>
      <c r="W1466" s="10"/>
      <c r="X1466" s="10"/>
      <c r="Y1466" s="10"/>
      <c r="Z1466" s="10"/>
      <c r="AA1466" s="11"/>
      <c r="AB1466" s="11"/>
    </row>
    <row r="1467" spans="2:28" x14ac:dyDescent="0.3">
      <c r="B1467" s="10" t="s">
        <v>403</v>
      </c>
      <c r="C1467" s="315" t="s">
        <v>1767</v>
      </c>
      <c r="D1467" s="868" t="s">
        <v>3684</v>
      </c>
      <c r="E1467" s="837" t="str">
        <f>IFERROR(IF(_xlfn.XLOOKUP(Imput[[#This Row],[RFC]],'Alta Proveedor'!D:D,'Alta Proveedor'!E:E)=0,"",_xlfn.XLOOKUP(Imput[[#This Row],[RFC]],'Alta Proveedor'!D:D,'Alta Proveedor'!E:E)),"")</f>
        <v>SERVICIOS PROFESIONALES GGA</v>
      </c>
      <c r="F1467" s="832" t="s">
        <v>237</v>
      </c>
      <c r="G1467" s="187">
        <v>62.44</v>
      </c>
      <c r="H1467" s="1">
        <v>20.371556694426651</v>
      </c>
      <c r="I1467" s="169">
        <f>Imput[[#This Row],[Cantidad]]*Imput[[#This Row],[Precio Unitario]]</f>
        <v>1272</v>
      </c>
      <c r="J1467" s="11">
        <v>198.20951952384883</v>
      </c>
      <c r="K1467" s="11">
        <v>0</v>
      </c>
      <c r="L1467" s="169">
        <f>Imput[[#This Row],[Sub total]]+Imput[[#This Row],[IVA]]-Imput[[#This Row],[Retención / IEPS / Descuento]]</f>
        <v>1470.2095195238489</v>
      </c>
      <c r="M1467" s="844">
        <v>0</v>
      </c>
      <c r="N1467" s="189" t="s">
        <v>123</v>
      </c>
      <c r="O1467" s="1"/>
      <c r="P1467" s="189" t="s">
        <v>4367</v>
      </c>
      <c r="Q1467" s="190" t="s">
        <v>4368</v>
      </c>
      <c r="R1467" s="188">
        <v>46025</v>
      </c>
      <c r="S1467" s="193" t="s">
        <v>215</v>
      </c>
      <c r="T1467" s="192"/>
      <c r="U1467" s="829"/>
      <c r="V1467" s="10"/>
      <c r="W1467" s="10"/>
      <c r="X1467" s="10"/>
      <c r="Y1467" s="10"/>
      <c r="Z1467" s="10"/>
      <c r="AA1467" s="11"/>
      <c r="AB1467" s="11"/>
    </row>
    <row r="1468" spans="2:28" x14ac:dyDescent="0.3">
      <c r="B1468" s="10" t="s">
        <v>403</v>
      </c>
      <c r="C1468" s="315" t="s">
        <v>1767</v>
      </c>
      <c r="D1468" s="868" t="s">
        <v>3684</v>
      </c>
      <c r="E1468" s="837" t="str">
        <f>IFERROR(IF(_xlfn.XLOOKUP(Imput[[#This Row],[RFC]],'Alta Proveedor'!D:D,'Alta Proveedor'!E:E)=0,"",_xlfn.XLOOKUP(Imput[[#This Row],[RFC]],'Alta Proveedor'!D:D,'Alta Proveedor'!E:E)),"")</f>
        <v>SERVICIOS PROFESIONALES GGA</v>
      </c>
      <c r="F1468" s="832" t="s">
        <v>237</v>
      </c>
      <c r="G1468" s="187">
        <v>65.218999999999994</v>
      </c>
      <c r="H1468" s="1">
        <v>20.371824161670681</v>
      </c>
      <c r="I1468" s="169">
        <f>Imput[[#This Row],[Cantidad]]*Imput[[#This Row],[Precio Unitario]]</f>
        <v>1328.6299999999999</v>
      </c>
      <c r="J1468" s="11">
        <v>207.03389459510319</v>
      </c>
      <c r="K1468" s="11">
        <v>0</v>
      </c>
      <c r="L1468" s="169">
        <f>Imput[[#This Row],[Sub total]]+Imput[[#This Row],[IVA]]-Imput[[#This Row],[Retención / IEPS / Descuento]]</f>
        <v>1535.6638945951031</v>
      </c>
      <c r="M1468" s="844">
        <v>0</v>
      </c>
      <c r="N1468" s="189" t="s">
        <v>123</v>
      </c>
      <c r="O1468" s="1"/>
      <c r="P1468" s="189" t="s">
        <v>4367</v>
      </c>
      <c r="Q1468" s="190" t="s">
        <v>4368</v>
      </c>
      <c r="R1468" s="188">
        <v>46025</v>
      </c>
      <c r="S1468" s="193" t="s">
        <v>215</v>
      </c>
      <c r="T1468" s="192"/>
      <c r="U1468" s="829"/>
      <c r="V1468" s="10"/>
      <c r="W1468" s="10"/>
      <c r="X1468" s="10"/>
      <c r="Y1468" s="10"/>
      <c r="Z1468" s="10"/>
      <c r="AA1468" s="11"/>
      <c r="AB1468" s="11"/>
    </row>
    <row r="1469" spans="2:28" x14ac:dyDescent="0.3">
      <c r="B1469" s="10" t="s">
        <v>403</v>
      </c>
      <c r="C1469" s="315" t="s">
        <v>1767</v>
      </c>
      <c r="D1469" s="868" t="s">
        <v>3684</v>
      </c>
      <c r="E1469" s="837" t="str">
        <f>IFERROR(IF(_xlfn.XLOOKUP(Imput[[#This Row],[RFC]],'Alta Proveedor'!D:D,'Alta Proveedor'!E:E)=0,"",_xlfn.XLOOKUP(Imput[[#This Row],[RFC]],'Alta Proveedor'!D:D,'Alta Proveedor'!E:E)),"")</f>
        <v>SERVICIOS PROFESIONALES GGA</v>
      </c>
      <c r="F1469" s="832" t="s">
        <v>237</v>
      </c>
      <c r="G1469" s="187">
        <v>49.74</v>
      </c>
      <c r="H1469" s="1">
        <v>20.371531966224364</v>
      </c>
      <c r="I1469" s="169">
        <f>Imput[[#This Row],[Cantidad]]*Imput[[#This Row],[Precio Unitario]]</f>
        <v>1013.2799999999999</v>
      </c>
      <c r="J1469" s="11">
        <v>157.89445121314898</v>
      </c>
      <c r="K1469" s="11">
        <v>0</v>
      </c>
      <c r="L1469" s="169">
        <f>Imput[[#This Row],[Sub total]]+Imput[[#This Row],[IVA]]-Imput[[#This Row],[Retención / IEPS / Descuento]]</f>
        <v>1171.1744512131488</v>
      </c>
      <c r="M1469" s="844">
        <v>0</v>
      </c>
      <c r="N1469" s="189" t="s">
        <v>123</v>
      </c>
      <c r="O1469" s="1"/>
      <c r="P1469" s="189" t="s">
        <v>4367</v>
      </c>
      <c r="Q1469" s="190" t="s">
        <v>4368</v>
      </c>
      <c r="R1469" s="188">
        <v>46025</v>
      </c>
      <c r="S1469" s="193" t="s">
        <v>215</v>
      </c>
      <c r="T1469" s="192"/>
      <c r="U1469" s="829"/>
      <c r="V1469" s="10"/>
      <c r="W1469" s="10"/>
      <c r="X1469" s="10"/>
      <c r="Y1469" s="10"/>
      <c r="Z1469" s="10"/>
      <c r="AA1469" s="11"/>
      <c r="AB1469" s="11"/>
    </row>
    <row r="1470" spans="2:28" x14ac:dyDescent="0.3">
      <c r="B1470" s="10" t="s">
        <v>403</v>
      </c>
      <c r="C1470" s="315" t="s">
        <v>1767</v>
      </c>
      <c r="D1470" s="868" t="s">
        <v>3684</v>
      </c>
      <c r="E1470" s="837" t="str">
        <f>IFERROR(IF(_xlfn.XLOOKUP(Imput[[#This Row],[RFC]],'Alta Proveedor'!D:D,'Alta Proveedor'!E:E)=0,"",_xlfn.XLOOKUP(Imput[[#This Row],[RFC]],'Alta Proveedor'!D:D,'Alta Proveedor'!E:E)),"")</f>
        <v>SERVICIOS PROFESIONALES GGA</v>
      </c>
      <c r="F1470" s="832" t="s">
        <v>237</v>
      </c>
      <c r="G1470" s="187">
        <v>65.66</v>
      </c>
      <c r="H1470" s="1">
        <v>20.371611331099604</v>
      </c>
      <c r="I1470" s="169">
        <f>Imput[[#This Row],[Cantidad]]*Imput[[#This Row],[Precio Unitario]]</f>
        <v>1337.6</v>
      </c>
      <c r="J1470" s="11">
        <v>208.43164568797184</v>
      </c>
      <c r="K1470" s="11">
        <v>0</v>
      </c>
      <c r="L1470" s="169">
        <f>Imput[[#This Row],[Sub total]]+Imput[[#This Row],[IVA]]-Imput[[#This Row],[Retención / IEPS / Descuento]]</f>
        <v>1546.0316456879718</v>
      </c>
      <c r="M1470" s="844">
        <v>0</v>
      </c>
      <c r="N1470" s="189" t="s">
        <v>123</v>
      </c>
      <c r="O1470" s="1"/>
      <c r="P1470" s="189" t="s">
        <v>4367</v>
      </c>
      <c r="Q1470" s="190" t="s">
        <v>4368</v>
      </c>
      <c r="R1470" s="188">
        <v>46025</v>
      </c>
      <c r="S1470" s="193" t="s">
        <v>215</v>
      </c>
      <c r="T1470" s="192"/>
      <c r="U1470" s="829"/>
      <c r="V1470" s="10"/>
      <c r="W1470" s="10"/>
      <c r="X1470" s="10"/>
      <c r="Y1470" s="10"/>
      <c r="Z1470" s="10"/>
      <c r="AA1470" s="11"/>
      <c r="AB1470" s="11"/>
    </row>
    <row r="1471" spans="2:28" x14ac:dyDescent="0.3">
      <c r="B1471" s="10" t="s">
        <v>403</v>
      </c>
      <c r="C1471" s="315" t="s">
        <v>1767</v>
      </c>
      <c r="D1471" s="868" t="s">
        <v>3684</v>
      </c>
      <c r="E1471" s="837" t="str">
        <f>IFERROR(IF(_xlfn.XLOOKUP(Imput[[#This Row],[RFC]],'Alta Proveedor'!D:D,'Alta Proveedor'!E:E)=0,"",_xlfn.XLOOKUP(Imput[[#This Row],[RFC]],'Alta Proveedor'!D:D,'Alta Proveedor'!E:E)),"")</f>
        <v>SERVICIOS PROFESIONALES GGA</v>
      </c>
      <c r="F1471" s="832" t="s">
        <v>237</v>
      </c>
      <c r="G1471" s="187">
        <v>65.003</v>
      </c>
      <c r="H1471" s="1">
        <v>20.371675153454458</v>
      </c>
      <c r="I1471" s="169">
        <f>Imput[[#This Row],[Cantidad]]*Imput[[#This Row],[Precio Unitario]]</f>
        <v>1324.22</v>
      </c>
      <c r="J1471" s="11">
        <v>206.34670593071624</v>
      </c>
      <c r="K1471" s="11">
        <v>0</v>
      </c>
      <c r="L1471" s="169">
        <f>Imput[[#This Row],[Sub total]]+Imput[[#This Row],[IVA]]-Imput[[#This Row],[Retención / IEPS / Descuento]]</f>
        <v>1530.5667059307164</v>
      </c>
      <c r="M1471" s="844">
        <v>0</v>
      </c>
      <c r="N1471" s="189" t="s">
        <v>123</v>
      </c>
      <c r="O1471" s="1"/>
      <c r="P1471" s="189" t="s">
        <v>4367</v>
      </c>
      <c r="Q1471" s="190" t="s">
        <v>4368</v>
      </c>
      <c r="R1471" s="188">
        <v>46025</v>
      </c>
      <c r="S1471" s="193" t="s">
        <v>215</v>
      </c>
      <c r="T1471" s="192"/>
      <c r="U1471" s="829"/>
      <c r="V1471" s="10"/>
      <c r="W1471" s="10"/>
      <c r="X1471" s="10"/>
      <c r="Y1471" s="10"/>
      <c r="Z1471" s="10"/>
      <c r="AA1471" s="11"/>
      <c r="AB1471" s="11"/>
    </row>
    <row r="1472" spans="2:28" x14ac:dyDescent="0.3">
      <c r="B1472" s="10" t="s">
        <v>403</v>
      </c>
      <c r="C1472" s="315" t="s">
        <v>1767</v>
      </c>
      <c r="D1472" s="868" t="s">
        <v>3684</v>
      </c>
      <c r="E1472" s="837" t="str">
        <f>IFERROR(IF(_xlfn.XLOOKUP(Imput[[#This Row],[RFC]],'Alta Proveedor'!D:D,'Alta Proveedor'!E:E)=0,"",_xlfn.XLOOKUP(Imput[[#This Row],[RFC]],'Alta Proveedor'!D:D,'Alta Proveedor'!E:E)),"")</f>
        <v>SERVICIOS PROFESIONALES GGA</v>
      </c>
      <c r="F1472" s="832" t="s">
        <v>237</v>
      </c>
      <c r="G1472" s="187">
        <v>61.19</v>
      </c>
      <c r="H1472" s="1">
        <v>20.371629351201175</v>
      </c>
      <c r="I1472" s="169">
        <f>Imput[[#This Row],[Cantidad]]*Imput[[#This Row],[Precio Unitario]]</f>
        <v>1246.54</v>
      </c>
      <c r="J1472" s="11">
        <v>194.24221263149255</v>
      </c>
      <c r="K1472" s="11">
        <v>0</v>
      </c>
      <c r="L1472" s="169">
        <f>Imput[[#This Row],[Sub total]]+Imput[[#This Row],[IVA]]-Imput[[#This Row],[Retención / IEPS / Descuento]]</f>
        <v>1440.7822126314925</v>
      </c>
      <c r="M1472" s="844">
        <v>0</v>
      </c>
      <c r="N1472" s="189" t="s">
        <v>123</v>
      </c>
      <c r="O1472" s="1"/>
      <c r="P1472" s="189" t="s">
        <v>4367</v>
      </c>
      <c r="Q1472" s="190" t="s">
        <v>4368</v>
      </c>
      <c r="R1472" s="188">
        <v>46025</v>
      </c>
      <c r="S1472" s="193" t="s">
        <v>215</v>
      </c>
      <c r="T1472" s="192"/>
      <c r="U1472" s="829"/>
      <c r="V1472" s="10"/>
      <c r="W1472" s="10"/>
      <c r="X1472" s="10"/>
      <c r="Y1472" s="10"/>
      <c r="Z1472" s="10"/>
      <c r="AA1472" s="11"/>
      <c r="AB1472" s="11"/>
    </row>
    <row r="1473" spans="2:28" x14ac:dyDescent="0.3">
      <c r="B1473" s="10" t="s">
        <v>403</v>
      </c>
      <c r="C1473" s="315" t="s">
        <v>1767</v>
      </c>
      <c r="D1473" s="868" t="s">
        <v>3684</v>
      </c>
      <c r="E1473" s="837" t="str">
        <f>IFERROR(IF(_xlfn.XLOOKUP(Imput[[#This Row],[RFC]],'Alta Proveedor'!D:D,'Alta Proveedor'!E:E)=0,"",_xlfn.XLOOKUP(Imput[[#This Row],[RFC]],'Alta Proveedor'!D:D,'Alta Proveedor'!E:E)),"")</f>
        <v>SERVICIOS PROFESIONALES GGA</v>
      </c>
      <c r="F1473" s="832" t="s">
        <v>237</v>
      </c>
      <c r="G1473" s="187">
        <v>56.74</v>
      </c>
      <c r="H1473" s="1">
        <v>20.371519210433558</v>
      </c>
      <c r="I1473" s="169">
        <f>Imput[[#This Row],[Cantidad]]*Imput[[#This Row],[Precio Unitario]]</f>
        <v>1155.8800000000001</v>
      </c>
      <c r="J1473" s="11">
        <v>180.11510961259935</v>
      </c>
      <c r="K1473" s="11">
        <v>0</v>
      </c>
      <c r="L1473" s="169">
        <f>Imput[[#This Row],[Sub total]]+Imput[[#This Row],[IVA]]-Imput[[#This Row],[Retención / IEPS / Descuento]]</f>
        <v>1335.9951096125994</v>
      </c>
      <c r="M1473" s="844">
        <v>0</v>
      </c>
      <c r="N1473" s="189" t="s">
        <v>123</v>
      </c>
      <c r="O1473" s="1"/>
      <c r="P1473" s="189" t="s">
        <v>4367</v>
      </c>
      <c r="Q1473" s="190" t="s">
        <v>4368</v>
      </c>
      <c r="R1473" s="188">
        <v>46025</v>
      </c>
      <c r="S1473" s="193" t="s">
        <v>215</v>
      </c>
      <c r="T1473" s="192"/>
      <c r="U1473" s="829"/>
      <c r="V1473" s="10"/>
      <c r="W1473" s="10"/>
      <c r="X1473" s="10"/>
      <c r="Y1473" s="10"/>
      <c r="Z1473" s="10"/>
      <c r="AA1473" s="11"/>
      <c r="AB1473" s="11"/>
    </row>
    <row r="1474" spans="2:28" x14ac:dyDescent="0.3">
      <c r="B1474" s="10" t="s">
        <v>403</v>
      </c>
      <c r="C1474" s="315" t="s">
        <v>1767</v>
      </c>
      <c r="D1474" s="868" t="s">
        <v>3684</v>
      </c>
      <c r="E1474" s="837" t="str">
        <f>IFERROR(IF(_xlfn.XLOOKUP(Imput[[#This Row],[RFC]],'Alta Proveedor'!D:D,'Alta Proveedor'!E:E)=0,"",_xlfn.XLOOKUP(Imput[[#This Row],[RFC]],'Alta Proveedor'!D:D,'Alta Proveedor'!E:E)),"")</f>
        <v>SERVICIOS PROFESIONALES GGA</v>
      </c>
      <c r="F1474" s="832" t="s">
        <v>237</v>
      </c>
      <c r="G1474" s="187">
        <v>39.67</v>
      </c>
      <c r="H1474" s="1">
        <v>20.414671036047391</v>
      </c>
      <c r="I1474" s="169">
        <f>Imput[[#This Row],[Cantidad]]*Imput[[#This Row],[Precio Unitario]]</f>
        <v>809.85</v>
      </c>
      <c r="J1474" s="11">
        <v>126.19495234779006</v>
      </c>
      <c r="K1474" s="11">
        <v>0</v>
      </c>
      <c r="L1474" s="169">
        <f>Imput[[#This Row],[Sub total]]+Imput[[#This Row],[IVA]]-Imput[[#This Row],[Retención / IEPS / Descuento]]</f>
        <v>936.04495234779006</v>
      </c>
      <c r="M1474" s="844">
        <v>0</v>
      </c>
      <c r="N1474" s="189" t="s">
        <v>123</v>
      </c>
      <c r="O1474" s="1"/>
      <c r="P1474" s="189" t="s">
        <v>4367</v>
      </c>
      <c r="Q1474" s="190" t="s">
        <v>4368</v>
      </c>
      <c r="R1474" s="188">
        <v>46025</v>
      </c>
      <c r="S1474" s="193" t="s">
        <v>215</v>
      </c>
      <c r="T1474" s="192"/>
      <c r="U1474" s="829"/>
      <c r="V1474" s="10"/>
      <c r="W1474" s="10"/>
      <c r="X1474" s="10"/>
      <c r="Y1474" s="10"/>
      <c r="Z1474" s="10"/>
      <c r="AA1474" s="11"/>
      <c r="AB1474" s="11"/>
    </row>
    <row r="1475" spans="2:28" x14ac:dyDescent="0.3">
      <c r="B1475" s="10" t="s">
        <v>403</v>
      </c>
      <c r="C1475" s="315" t="s">
        <v>1767</v>
      </c>
      <c r="D1475" s="868" t="s">
        <v>3684</v>
      </c>
      <c r="E1475" s="837" t="str">
        <f>IFERROR(IF(_xlfn.XLOOKUP(Imput[[#This Row],[RFC]],'Alta Proveedor'!D:D,'Alta Proveedor'!E:E)=0,"",_xlfn.XLOOKUP(Imput[[#This Row],[RFC]],'Alta Proveedor'!D:D,'Alta Proveedor'!E:E)),"")</f>
        <v>SERVICIOS PROFESIONALES GGA</v>
      </c>
      <c r="F1475" s="832" t="s">
        <v>237</v>
      </c>
      <c r="G1475" s="187">
        <v>14.375999999999999</v>
      </c>
      <c r="H1475" s="1">
        <v>20.500834724540905</v>
      </c>
      <c r="I1475" s="169">
        <f>Imput[[#This Row],[Cantidad]]*Imput[[#This Row],[Precio Unitario]]</f>
        <v>294.72000000000003</v>
      </c>
      <c r="J1475" s="11">
        <v>45.924771693450261</v>
      </c>
      <c r="K1475" s="11">
        <v>0</v>
      </c>
      <c r="L1475" s="169">
        <f>Imput[[#This Row],[Sub total]]+Imput[[#This Row],[IVA]]-Imput[[#This Row],[Retención / IEPS / Descuento]]</f>
        <v>340.64477169345031</v>
      </c>
      <c r="M1475" s="844">
        <v>0</v>
      </c>
      <c r="N1475" s="189" t="s">
        <v>123</v>
      </c>
      <c r="O1475" s="1"/>
      <c r="P1475" s="189" t="s">
        <v>4367</v>
      </c>
      <c r="Q1475" s="190" t="s">
        <v>4368</v>
      </c>
      <c r="R1475" s="188">
        <v>46025</v>
      </c>
      <c r="S1475" s="193" t="s">
        <v>215</v>
      </c>
      <c r="T1475" s="192"/>
      <c r="U1475" s="829"/>
      <c r="V1475" s="10"/>
      <c r="W1475" s="10"/>
      <c r="X1475" s="10"/>
      <c r="Y1475" s="10"/>
      <c r="Z1475" s="10"/>
      <c r="AA1475" s="11"/>
      <c r="AB1475" s="11"/>
    </row>
    <row r="1476" spans="2:28" x14ac:dyDescent="0.3">
      <c r="B1476" s="10" t="s">
        <v>403</v>
      </c>
      <c r="C1476" s="315" t="s">
        <v>1767</v>
      </c>
      <c r="D1476" s="868" t="s">
        <v>3684</v>
      </c>
      <c r="E1476" s="837" t="str">
        <f>IFERROR(IF(_xlfn.XLOOKUP(Imput[[#This Row],[RFC]],'Alta Proveedor'!D:D,'Alta Proveedor'!E:E)=0,"",_xlfn.XLOOKUP(Imput[[#This Row],[RFC]],'Alta Proveedor'!D:D,'Alta Proveedor'!E:E)),"")</f>
        <v>SERVICIOS PROFESIONALES GGA</v>
      </c>
      <c r="F1476" s="832" t="s">
        <v>237</v>
      </c>
      <c r="G1476" s="187">
        <v>23.431999999999999</v>
      </c>
      <c r="H1476" s="1">
        <v>20.501024240355072</v>
      </c>
      <c r="I1476" s="169">
        <f>Imput[[#This Row],[Cantidad]]*Imput[[#This Row],[Precio Unitario]]</f>
        <v>480.38</v>
      </c>
      <c r="J1476" s="11">
        <v>74.855258639045985</v>
      </c>
      <c r="K1476" s="11">
        <v>0</v>
      </c>
      <c r="L1476" s="169">
        <f>Imput[[#This Row],[Sub total]]+Imput[[#This Row],[IVA]]-Imput[[#This Row],[Retención / IEPS / Descuento]]</f>
        <v>555.23525863904592</v>
      </c>
      <c r="M1476" s="844">
        <v>0</v>
      </c>
      <c r="N1476" s="189" t="s">
        <v>123</v>
      </c>
      <c r="O1476" s="1"/>
      <c r="P1476" s="189" t="s">
        <v>4367</v>
      </c>
      <c r="Q1476" s="190" t="s">
        <v>4368</v>
      </c>
      <c r="R1476" s="188">
        <v>46025</v>
      </c>
      <c r="S1476" s="193" t="s">
        <v>215</v>
      </c>
      <c r="T1476" s="192"/>
      <c r="U1476" s="829"/>
      <c r="V1476" s="10"/>
      <c r="W1476" s="10"/>
      <c r="X1476" s="10"/>
      <c r="Y1476" s="10"/>
      <c r="Z1476" s="10"/>
      <c r="AA1476" s="11"/>
      <c r="AB1476" s="11"/>
    </row>
    <row r="1477" spans="2:28" x14ac:dyDescent="0.3">
      <c r="B1477" s="10" t="s">
        <v>403</v>
      </c>
      <c r="C1477" s="315" t="s">
        <v>1767</v>
      </c>
      <c r="D1477" s="868" t="s">
        <v>3684</v>
      </c>
      <c r="E1477" s="837" t="str">
        <f>IFERROR(IF(_xlfn.XLOOKUP(Imput[[#This Row],[RFC]],'Alta Proveedor'!D:D,'Alta Proveedor'!E:E)=0,"",_xlfn.XLOOKUP(Imput[[#This Row],[RFC]],'Alta Proveedor'!D:D,'Alta Proveedor'!E:E)),"")</f>
        <v>SERVICIOS PROFESIONALES GGA</v>
      </c>
      <c r="F1477" s="832" t="s">
        <v>237</v>
      </c>
      <c r="G1477" s="187">
        <v>168.84800000000001</v>
      </c>
      <c r="H1477" s="1">
        <v>20.500983132758456</v>
      </c>
      <c r="I1477" s="169">
        <f>Imput[[#This Row],[Cantidad]]*Imput[[#This Row],[Precio Unitario]]</f>
        <v>3461.55</v>
      </c>
      <c r="J1477" s="11">
        <v>539.39635401554949</v>
      </c>
      <c r="K1477" s="11">
        <v>0</v>
      </c>
      <c r="L1477" s="169">
        <f>Imput[[#This Row],[Sub total]]+Imput[[#This Row],[IVA]]-Imput[[#This Row],[Retención / IEPS / Descuento]]</f>
        <v>4000.9463540155498</v>
      </c>
      <c r="M1477" s="844">
        <v>0</v>
      </c>
      <c r="N1477" s="189" t="s">
        <v>123</v>
      </c>
      <c r="O1477" s="1"/>
      <c r="P1477" s="189" t="s">
        <v>4367</v>
      </c>
      <c r="Q1477" s="190" t="s">
        <v>4368</v>
      </c>
      <c r="R1477" s="188">
        <v>46025</v>
      </c>
      <c r="S1477" s="193" t="s">
        <v>215</v>
      </c>
      <c r="T1477" s="192"/>
      <c r="U1477" s="829"/>
      <c r="V1477" s="10"/>
      <c r="W1477" s="10"/>
      <c r="X1477" s="10"/>
      <c r="Y1477" s="10"/>
      <c r="Z1477" s="10"/>
      <c r="AA1477" s="11"/>
      <c r="AB1477" s="11"/>
    </row>
    <row r="1478" spans="2:28" x14ac:dyDescent="0.3">
      <c r="B1478" s="10" t="s">
        <v>403</v>
      </c>
      <c r="C1478" s="315" t="s">
        <v>1767</v>
      </c>
      <c r="D1478" s="868" t="s">
        <v>3684</v>
      </c>
      <c r="E1478" s="837" t="str">
        <f>IFERROR(IF(_xlfn.XLOOKUP(Imput[[#This Row],[RFC]],'Alta Proveedor'!D:D,'Alta Proveedor'!E:E)=0,"",_xlfn.XLOOKUP(Imput[[#This Row],[RFC]],'Alta Proveedor'!D:D,'Alta Proveedor'!E:E)),"")</f>
        <v>SERVICIOS PROFESIONALES GGA</v>
      </c>
      <c r="F1478" s="832" t="s">
        <v>237</v>
      </c>
      <c r="G1478" s="187">
        <v>56.064999999999998</v>
      </c>
      <c r="H1478" s="1">
        <v>20.759653973066978</v>
      </c>
      <c r="I1478" s="169">
        <f>Imput[[#This Row],[Cantidad]]*Imput[[#This Row],[Precio Unitario]]</f>
        <v>1163.8900000000001</v>
      </c>
      <c r="J1478" s="11">
        <v>181.36326861526135</v>
      </c>
      <c r="K1478" s="11">
        <v>0</v>
      </c>
      <c r="L1478" s="169">
        <f>Imput[[#This Row],[Sub total]]+Imput[[#This Row],[IVA]]-Imput[[#This Row],[Retención / IEPS / Descuento]]</f>
        <v>1345.2532686152615</v>
      </c>
      <c r="M1478" s="844">
        <v>0</v>
      </c>
      <c r="N1478" s="189" t="s">
        <v>123</v>
      </c>
      <c r="O1478" s="1"/>
      <c r="P1478" s="189" t="s">
        <v>4367</v>
      </c>
      <c r="Q1478" s="190" t="s">
        <v>4368</v>
      </c>
      <c r="R1478" s="188">
        <v>46025</v>
      </c>
      <c r="S1478" s="193" t="s">
        <v>215</v>
      </c>
      <c r="T1478" s="192"/>
      <c r="U1478" s="829"/>
      <c r="V1478" s="10"/>
      <c r="W1478" s="10"/>
      <c r="X1478" s="10"/>
      <c r="Y1478" s="10"/>
      <c r="Z1478" s="10"/>
      <c r="AA1478" s="11"/>
      <c r="AB1478" s="11"/>
    </row>
    <row r="1479" spans="2:28" x14ac:dyDescent="0.3">
      <c r="B1479" s="10" t="s">
        <v>403</v>
      </c>
      <c r="C1479" s="315" t="s">
        <v>1767</v>
      </c>
      <c r="D1479" s="868" t="s">
        <v>3684</v>
      </c>
      <c r="E1479" s="837" t="str">
        <f>IFERROR(IF(_xlfn.XLOOKUP(Imput[[#This Row],[RFC]],'Alta Proveedor'!D:D,'Alta Proveedor'!E:E)=0,"",_xlfn.XLOOKUP(Imput[[#This Row],[RFC]],'Alta Proveedor'!D:D,'Alta Proveedor'!E:E)),"")</f>
        <v>SERVICIOS PROFESIONALES GGA</v>
      </c>
      <c r="F1479" s="832" t="s">
        <v>237</v>
      </c>
      <c r="G1479" s="187">
        <v>61.359000000000002</v>
      </c>
      <c r="H1479" s="1">
        <v>20.759627764468128</v>
      </c>
      <c r="I1479" s="169">
        <f>Imput[[#This Row],[Cantidad]]*Imput[[#This Row],[Precio Unitario]]</f>
        <v>1273.79</v>
      </c>
      <c r="J1479" s="11">
        <v>198.48844644204667</v>
      </c>
      <c r="K1479" s="11">
        <v>0</v>
      </c>
      <c r="L1479" s="169">
        <f>Imput[[#This Row],[Sub total]]+Imput[[#This Row],[IVA]]-Imput[[#This Row],[Retención / IEPS / Descuento]]</f>
        <v>1472.2784464420465</v>
      </c>
      <c r="M1479" s="844">
        <v>0</v>
      </c>
      <c r="N1479" s="189" t="s">
        <v>123</v>
      </c>
      <c r="O1479" s="1"/>
      <c r="P1479" s="189" t="s">
        <v>4367</v>
      </c>
      <c r="Q1479" s="190" t="s">
        <v>4368</v>
      </c>
      <c r="R1479" s="188">
        <v>46025</v>
      </c>
      <c r="S1479" s="193" t="s">
        <v>215</v>
      </c>
      <c r="T1479" s="192"/>
      <c r="U1479" s="829"/>
      <c r="V1479" s="10"/>
      <c r="W1479" s="10"/>
      <c r="X1479" s="10"/>
      <c r="Y1479" s="10"/>
      <c r="Z1479" s="10"/>
      <c r="AA1479" s="11"/>
      <c r="AB1479" s="11"/>
    </row>
    <row r="1480" spans="2:28" x14ac:dyDescent="0.3">
      <c r="B1480" s="10" t="s">
        <v>403</v>
      </c>
      <c r="C1480" s="315" t="s">
        <v>1767</v>
      </c>
      <c r="D1480" s="868" t="s">
        <v>3684</v>
      </c>
      <c r="E1480" s="837" t="str">
        <f>IFERROR(IF(_xlfn.XLOOKUP(Imput[[#This Row],[RFC]],'Alta Proveedor'!D:D,'Alta Proveedor'!E:E)=0,"",_xlfn.XLOOKUP(Imput[[#This Row],[RFC]],'Alta Proveedor'!D:D,'Alta Proveedor'!E:E)),"")</f>
        <v>SERVICIOS PROFESIONALES GGA</v>
      </c>
      <c r="F1480" s="832" t="s">
        <v>237</v>
      </c>
      <c r="G1480" s="187">
        <v>61.722999999999999</v>
      </c>
      <c r="H1480" s="1">
        <v>20.759522382256208</v>
      </c>
      <c r="I1480" s="169">
        <f>Imput[[#This Row],[Cantidad]]*Imput[[#This Row],[Precio Unitario]]</f>
        <v>1281.3399999999999</v>
      </c>
      <c r="J1480" s="11">
        <v>199.66492590148459</v>
      </c>
      <c r="K1480" s="11">
        <v>0</v>
      </c>
      <c r="L1480" s="169">
        <f>Imput[[#This Row],[Sub total]]+Imput[[#This Row],[IVA]]-Imput[[#This Row],[Retención / IEPS / Descuento]]</f>
        <v>1481.0049259014845</v>
      </c>
      <c r="M1480" s="844">
        <v>0</v>
      </c>
      <c r="N1480" s="189" t="s">
        <v>123</v>
      </c>
      <c r="O1480" s="1"/>
      <c r="P1480" s="189" t="s">
        <v>4367</v>
      </c>
      <c r="Q1480" s="190" t="s">
        <v>4368</v>
      </c>
      <c r="R1480" s="188">
        <v>46025</v>
      </c>
      <c r="S1480" s="193" t="s">
        <v>215</v>
      </c>
      <c r="T1480" s="192"/>
      <c r="U1480" s="829"/>
      <c r="V1480" s="10"/>
      <c r="W1480" s="10"/>
      <c r="X1480" s="10"/>
      <c r="Y1480" s="10"/>
      <c r="Z1480" s="10"/>
      <c r="AA1480" s="11"/>
      <c r="AB1480" s="11"/>
    </row>
    <row r="1481" spans="2:28" x14ac:dyDescent="0.3">
      <c r="B1481" s="10" t="s">
        <v>403</v>
      </c>
      <c r="C1481" s="315" t="s">
        <v>1767</v>
      </c>
      <c r="D1481" s="868" t="s">
        <v>3684</v>
      </c>
      <c r="E1481" s="837" t="str">
        <f>IFERROR(IF(_xlfn.XLOOKUP(Imput[[#This Row],[RFC]],'Alta Proveedor'!D:D,'Alta Proveedor'!E:E)=0,"",_xlfn.XLOOKUP(Imput[[#This Row],[RFC]],'Alta Proveedor'!D:D,'Alta Proveedor'!E:E)),"")</f>
        <v>SERVICIOS PROFESIONALES GGA</v>
      </c>
      <c r="F1481" s="832" t="s">
        <v>237</v>
      </c>
      <c r="G1481" s="187">
        <v>60.526000000000003</v>
      </c>
      <c r="H1481" s="1">
        <v>20.759508310478139</v>
      </c>
      <c r="I1481" s="169">
        <f>Imput[[#This Row],[Cantidad]]*Imput[[#This Row],[Precio Unitario]]</f>
        <v>1256.49</v>
      </c>
      <c r="J1481" s="11">
        <v>195.79267231644715</v>
      </c>
      <c r="K1481" s="11">
        <v>0</v>
      </c>
      <c r="L1481" s="169">
        <f>Imput[[#This Row],[Sub total]]+Imput[[#This Row],[IVA]]-Imput[[#This Row],[Retención / IEPS / Descuento]]</f>
        <v>1452.2826723164471</v>
      </c>
      <c r="M1481" s="844">
        <v>0</v>
      </c>
      <c r="N1481" s="189" t="s">
        <v>123</v>
      </c>
      <c r="O1481" s="1"/>
      <c r="P1481" s="189" t="s">
        <v>4367</v>
      </c>
      <c r="Q1481" s="190" t="s">
        <v>4368</v>
      </c>
      <c r="R1481" s="188">
        <v>46025</v>
      </c>
      <c r="S1481" s="193" t="s">
        <v>215</v>
      </c>
      <c r="T1481" s="192"/>
      <c r="U1481" s="829"/>
      <c r="V1481" s="10"/>
      <c r="W1481" s="10"/>
      <c r="X1481" s="10"/>
      <c r="Y1481" s="10"/>
      <c r="Z1481" s="10"/>
      <c r="AA1481" s="11"/>
      <c r="AB1481" s="11"/>
    </row>
    <row r="1482" spans="2:28" x14ac:dyDescent="0.3">
      <c r="B1482" s="10" t="s">
        <v>403</v>
      </c>
      <c r="C1482" s="315" t="s">
        <v>1767</v>
      </c>
      <c r="D1482" s="868" t="s">
        <v>3684</v>
      </c>
      <c r="E1482" s="837" t="str">
        <f>IFERROR(IF(_xlfn.XLOOKUP(Imput[[#This Row],[RFC]],'Alta Proveedor'!D:D,'Alta Proveedor'!E:E)=0,"",_xlfn.XLOOKUP(Imput[[#This Row],[RFC]],'Alta Proveedor'!D:D,'Alta Proveedor'!E:E)),"")</f>
        <v>SERVICIOS PROFESIONALES GGA</v>
      </c>
      <c r="F1482" s="832" t="s">
        <v>237</v>
      </c>
      <c r="G1482" s="187">
        <v>83.67</v>
      </c>
      <c r="H1482" s="1">
        <v>20.759651009919924</v>
      </c>
      <c r="I1482" s="169">
        <f>Imput[[#This Row],[Cantidad]]*Imput[[#This Row],[Precio Unitario]]</f>
        <v>1736.96</v>
      </c>
      <c r="J1482" s="11">
        <v>270.66195521395002</v>
      </c>
      <c r="K1482" s="11">
        <v>0</v>
      </c>
      <c r="L1482" s="169">
        <f>Imput[[#This Row],[Sub total]]+Imput[[#This Row],[IVA]]-Imput[[#This Row],[Retención / IEPS / Descuento]]</f>
        <v>2007.6219552139501</v>
      </c>
      <c r="M1482" s="844">
        <v>0</v>
      </c>
      <c r="N1482" s="189" t="s">
        <v>123</v>
      </c>
      <c r="O1482" s="1"/>
      <c r="P1482" s="189" t="s">
        <v>4367</v>
      </c>
      <c r="Q1482" s="190" t="s">
        <v>4368</v>
      </c>
      <c r="R1482" s="188">
        <v>46025</v>
      </c>
      <c r="S1482" s="193" t="s">
        <v>215</v>
      </c>
      <c r="T1482" s="192"/>
      <c r="U1482" s="829"/>
      <c r="V1482" s="10"/>
      <c r="W1482" s="10"/>
      <c r="X1482" s="10"/>
      <c r="Y1482" s="10"/>
      <c r="Z1482" s="10"/>
      <c r="AA1482" s="11"/>
      <c r="AB1482" s="11"/>
    </row>
    <row r="1483" spans="2:28" x14ac:dyDescent="0.3">
      <c r="B1483" s="10" t="s">
        <v>403</v>
      </c>
      <c r="C1483" s="315" t="s">
        <v>1767</v>
      </c>
      <c r="D1483" s="868" t="s">
        <v>3684</v>
      </c>
      <c r="E1483" s="837" t="str">
        <f>IFERROR(IF(_xlfn.XLOOKUP(Imput[[#This Row],[RFC]],'Alta Proveedor'!D:D,'Alta Proveedor'!E:E)=0,"",_xlfn.XLOOKUP(Imput[[#This Row],[RFC]],'Alta Proveedor'!D:D,'Alta Proveedor'!E:E)),"")</f>
        <v>SERVICIOS PROFESIONALES GGA</v>
      </c>
      <c r="F1483" s="832" t="s">
        <v>237</v>
      </c>
      <c r="G1483" s="187">
        <v>45.622999999999998</v>
      </c>
      <c r="H1483" s="1">
        <v>20.759704534993315</v>
      </c>
      <c r="I1483" s="169">
        <f>Imput[[#This Row],[Cantidad]]*Imput[[#This Row],[Precio Unitario]]</f>
        <v>947.11999999999989</v>
      </c>
      <c r="J1483" s="11">
        <v>147.58506299640541</v>
      </c>
      <c r="K1483" s="11">
        <v>0</v>
      </c>
      <c r="L1483" s="169">
        <f>Imput[[#This Row],[Sub total]]+Imput[[#This Row],[IVA]]-Imput[[#This Row],[Retención / IEPS / Descuento]]</f>
        <v>1094.7050629964053</v>
      </c>
      <c r="M1483" s="844">
        <v>0</v>
      </c>
      <c r="N1483" s="189" t="s">
        <v>123</v>
      </c>
      <c r="O1483" s="1"/>
      <c r="P1483" s="189" t="s">
        <v>4367</v>
      </c>
      <c r="Q1483" s="190" t="s">
        <v>4368</v>
      </c>
      <c r="R1483" s="188">
        <v>46025</v>
      </c>
      <c r="S1483" s="193" t="s">
        <v>215</v>
      </c>
      <c r="T1483" s="192"/>
      <c r="U1483" s="829"/>
      <c r="V1483" s="10"/>
      <c r="W1483" s="10"/>
      <c r="X1483" s="10"/>
      <c r="Y1483" s="10"/>
      <c r="Z1483" s="10"/>
      <c r="AA1483" s="11"/>
      <c r="AB1483" s="11"/>
    </row>
    <row r="1484" spans="2:28" x14ac:dyDescent="0.3">
      <c r="B1484" s="10" t="s">
        <v>403</v>
      </c>
      <c r="C1484" s="315" t="s">
        <v>1767</v>
      </c>
      <c r="D1484" s="868" t="s">
        <v>3684</v>
      </c>
      <c r="E1484" s="837" t="str">
        <f>IFERROR(IF(_xlfn.XLOOKUP(Imput[[#This Row],[RFC]],'Alta Proveedor'!D:D,'Alta Proveedor'!E:E)=0,"",_xlfn.XLOOKUP(Imput[[#This Row],[RFC]],'Alta Proveedor'!D:D,'Alta Proveedor'!E:E)),"")</f>
        <v>SERVICIOS PROFESIONALES GGA</v>
      </c>
      <c r="F1484" s="832" t="s">
        <v>237</v>
      </c>
      <c r="G1484" s="187">
        <v>58.595999999999997</v>
      </c>
      <c r="H1484" s="1">
        <v>20.759608164379824</v>
      </c>
      <c r="I1484" s="169">
        <f>Imput[[#This Row],[Cantidad]]*Imput[[#This Row],[Precio Unitario]]</f>
        <v>1216.43</v>
      </c>
      <c r="J1484" s="11">
        <v>189.55031905219766</v>
      </c>
      <c r="K1484" s="11">
        <v>0</v>
      </c>
      <c r="L1484" s="169">
        <f>Imput[[#This Row],[Sub total]]+Imput[[#This Row],[IVA]]-Imput[[#This Row],[Retención / IEPS / Descuento]]</f>
        <v>1405.9803190521977</v>
      </c>
      <c r="M1484" s="844">
        <v>0</v>
      </c>
      <c r="N1484" s="189" t="s">
        <v>123</v>
      </c>
      <c r="O1484" s="1"/>
      <c r="P1484" s="189" t="s">
        <v>4367</v>
      </c>
      <c r="Q1484" s="190" t="s">
        <v>4368</v>
      </c>
      <c r="R1484" s="188">
        <v>46025</v>
      </c>
      <c r="S1484" s="193" t="s">
        <v>215</v>
      </c>
      <c r="T1484" s="192"/>
      <c r="U1484" s="829"/>
      <c r="V1484" s="10"/>
      <c r="W1484" s="10"/>
      <c r="X1484" s="10"/>
      <c r="Y1484" s="10"/>
      <c r="Z1484" s="10"/>
      <c r="AA1484" s="11"/>
      <c r="AB1484" s="11"/>
    </row>
    <row r="1485" spans="2:28" x14ac:dyDescent="0.3">
      <c r="B1485" s="10" t="s">
        <v>403</v>
      </c>
      <c r="C1485" s="315" t="s">
        <v>1767</v>
      </c>
      <c r="D1485" s="868" t="s">
        <v>3684</v>
      </c>
      <c r="E1485" s="837" t="str">
        <f>IFERROR(IF(_xlfn.XLOOKUP(Imput[[#This Row],[RFC]],'Alta Proveedor'!D:D,'Alta Proveedor'!E:E)=0,"",_xlfn.XLOOKUP(Imput[[#This Row],[RFC]],'Alta Proveedor'!D:D,'Alta Proveedor'!E:E)),"")</f>
        <v>SERVICIOS PROFESIONALES GGA</v>
      </c>
      <c r="F1485" s="832" t="s">
        <v>237</v>
      </c>
      <c r="G1485" s="187">
        <v>10.853999999999999</v>
      </c>
      <c r="H1485" s="1">
        <v>20.759167127326332</v>
      </c>
      <c r="I1485" s="169">
        <f>Imput[[#This Row],[Cantidad]]*Imput[[#This Row],[Precio Unitario]]</f>
        <v>225.32</v>
      </c>
      <c r="J1485" s="11">
        <v>35.110510172259133</v>
      </c>
      <c r="K1485" s="11">
        <v>0</v>
      </c>
      <c r="L1485" s="169">
        <f>Imput[[#This Row],[Sub total]]+Imput[[#This Row],[IVA]]-Imput[[#This Row],[Retención / IEPS / Descuento]]</f>
        <v>260.43051017225912</v>
      </c>
      <c r="M1485" s="844">
        <v>0</v>
      </c>
      <c r="N1485" s="189" t="s">
        <v>123</v>
      </c>
      <c r="O1485" s="1"/>
      <c r="P1485" s="189" t="s">
        <v>4367</v>
      </c>
      <c r="Q1485" s="190" t="s">
        <v>4368</v>
      </c>
      <c r="R1485" s="188">
        <v>46025</v>
      </c>
      <c r="S1485" s="193" t="s">
        <v>215</v>
      </c>
      <c r="T1485" s="192"/>
      <c r="U1485" s="829"/>
      <c r="V1485" s="10"/>
      <c r="W1485" s="10"/>
      <c r="X1485" s="10"/>
      <c r="Y1485" s="10"/>
      <c r="Z1485" s="10"/>
      <c r="AA1485" s="11"/>
      <c r="AB1485" s="11"/>
    </row>
    <row r="1486" spans="2:28" x14ac:dyDescent="0.3">
      <c r="B1486" s="10" t="s">
        <v>403</v>
      </c>
      <c r="C1486" s="315" t="s">
        <v>1767</v>
      </c>
      <c r="D1486" s="868" t="s">
        <v>3684</v>
      </c>
      <c r="E1486" s="837" t="str">
        <f>IFERROR(IF(_xlfn.XLOOKUP(Imput[[#This Row],[RFC]],'Alta Proveedor'!D:D,'Alta Proveedor'!E:E)=0,"",_xlfn.XLOOKUP(Imput[[#This Row],[RFC]],'Alta Proveedor'!D:D,'Alta Proveedor'!E:E)),"")</f>
        <v>SERVICIOS PROFESIONALES GGA</v>
      </c>
      <c r="F1486" s="832" t="s">
        <v>237</v>
      </c>
      <c r="G1486" s="187">
        <v>53.113</v>
      </c>
      <c r="H1486" s="1">
        <v>20.759701014817463</v>
      </c>
      <c r="I1486" s="169">
        <f>Imput[[#This Row],[Cantidad]]*Imput[[#This Row],[Precio Unitario]]</f>
        <v>1102.6099999999999</v>
      </c>
      <c r="J1486" s="11">
        <v>171.81430685706835</v>
      </c>
      <c r="K1486" s="11">
        <v>0</v>
      </c>
      <c r="L1486" s="169">
        <f>Imput[[#This Row],[Sub total]]+Imput[[#This Row],[IVA]]-Imput[[#This Row],[Retención / IEPS / Descuento]]</f>
        <v>1274.4243068570681</v>
      </c>
      <c r="M1486" s="844">
        <v>0</v>
      </c>
      <c r="N1486" s="189" t="s">
        <v>123</v>
      </c>
      <c r="O1486" s="1"/>
      <c r="P1486" s="189" t="s">
        <v>4367</v>
      </c>
      <c r="Q1486" s="190" t="s">
        <v>4368</v>
      </c>
      <c r="R1486" s="188">
        <v>46025</v>
      </c>
      <c r="S1486" s="193" t="s">
        <v>215</v>
      </c>
      <c r="T1486" s="192"/>
      <c r="U1486" s="829"/>
      <c r="V1486" s="10"/>
      <c r="W1486" s="10"/>
      <c r="X1486" s="10"/>
      <c r="Y1486" s="10"/>
      <c r="Z1486" s="10"/>
      <c r="AA1486" s="11"/>
      <c r="AB1486" s="11"/>
    </row>
    <row r="1487" spans="2:28" x14ac:dyDescent="0.3">
      <c r="B1487" s="10" t="s">
        <v>403</v>
      </c>
      <c r="C1487" s="315" t="s">
        <v>1767</v>
      </c>
      <c r="D1487" s="868" t="s">
        <v>3684</v>
      </c>
      <c r="E1487" s="837" t="str">
        <f>IFERROR(IF(_xlfn.XLOOKUP(Imput[[#This Row],[RFC]],'Alta Proveedor'!D:D,'Alta Proveedor'!E:E)=0,"",_xlfn.XLOOKUP(Imput[[#This Row],[RFC]],'Alta Proveedor'!D:D,'Alta Proveedor'!E:E)),"")</f>
        <v>SERVICIOS PROFESIONALES GGA</v>
      </c>
      <c r="F1487" s="832" t="s">
        <v>237</v>
      </c>
      <c r="G1487" s="187">
        <v>125.05200000000001</v>
      </c>
      <c r="H1487" s="1">
        <v>20.759683971467869</v>
      </c>
      <c r="I1487" s="169">
        <f>Imput[[#This Row],[Cantidad]]*Imput[[#This Row],[Precio Unitario]]</f>
        <v>2596.04</v>
      </c>
      <c r="J1487" s="11">
        <v>404.52817693765132</v>
      </c>
      <c r="K1487" s="11">
        <v>0</v>
      </c>
      <c r="L1487" s="169">
        <f>Imput[[#This Row],[Sub total]]+Imput[[#This Row],[IVA]]-Imput[[#This Row],[Retención / IEPS / Descuento]]</f>
        <v>3000.5681769376515</v>
      </c>
      <c r="M1487" s="844">
        <v>0</v>
      </c>
      <c r="N1487" s="189" t="s">
        <v>123</v>
      </c>
      <c r="O1487" s="1"/>
      <c r="P1487" s="189" t="s">
        <v>4367</v>
      </c>
      <c r="Q1487" s="190" t="s">
        <v>4368</v>
      </c>
      <c r="R1487" s="188">
        <v>46025</v>
      </c>
      <c r="S1487" s="193" t="s">
        <v>215</v>
      </c>
      <c r="T1487" s="192"/>
      <c r="U1487" s="829"/>
      <c r="V1487" s="10"/>
      <c r="W1487" s="10"/>
      <c r="X1487" s="10"/>
      <c r="Y1487" s="10"/>
      <c r="Z1487" s="10"/>
      <c r="AA1487" s="11"/>
      <c r="AB1487" s="11"/>
    </row>
    <row r="1488" spans="2:28" x14ac:dyDescent="0.3">
      <c r="B1488" s="10" t="s">
        <v>403</v>
      </c>
      <c r="C1488" s="315" t="s">
        <v>1767</v>
      </c>
      <c r="D1488" s="868" t="s">
        <v>3684</v>
      </c>
      <c r="E1488" s="837" t="str">
        <f>IFERROR(IF(_xlfn.XLOOKUP(Imput[[#This Row],[RFC]],'Alta Proveedor'!D:D,'Alta Proveedor'!E:E)=0,"",_xlfn.XLOOKUP(Imput[[#This Row],[RFC]],'Alta Proveedor'!D:D,'Alta Proveedor'!E:E)),"")</f>
        <v>SERVICIOS PROFESIONALES GGA</v>
      </c>
      <c r="F1488" s="832" t="s">
        <v>1114</v>
      </c>
      <c r="G1488" s="187">
        <v>25.943999999999999</v>
      </c>
      <c r="H1488" s="1">
        <v>22.254471168670985</v>
      </c>
      <c r="I1488" s="169">
        <f>Imput[[#This Row],[Cantidad]]*Imput[[#This Row],[Precio Unitario]]</f>
        <v>577.37</v>
      </c>
      <c r="J1488" s="11">
        <v>89.968734502739451</v>
      </c>
      <c r="K1488" s="11">
        <v>0</v>
      </c>
      <c r="L1488" s="169">
        <f>Imput[[#This Row],[Sub total]]+Imput[[#This Row],[IVA]]-Imput[[#This Row],[Retención / IEPS / Descuento]]</f>
        <v>667.3387345027395</v>
      </c>
      <c r="M1488" s="844">
        <v>0</v>
      </c>
      <c r="N1488" s="189" t="s">
        <v>123</v>
      </c>
      <c r="O1488" s="1"/>
      <c r="P1488" s="189" t="s">
        <v>4367</v>
      </c>
      <c r="Q1488" s="190" t="s">
        <v>4368</v>
      </c>
      <c r="R1488" s="188">
        <v>46025</v>
      </c>
      <c r="S1488" s="193" t="s">
        <v>215</v>
      </c>
      <c r="T1488" s="192"/>
      <c r="U1488" s="829"/>
      <c r="V1488" s="10"/>
      <c r="W1488" s="10"/>
      <c r="X1488" s="10"/>
      <c r="Y1488" s="10"/>
      <c r="Z1488" s="10"/>
      <c r="AA1488" s="11"/>
      <c r="AB1488" s="11"/>
    </row>
    <row r="1489" spans="2:28" x14ac:dyDescent="0.3">
      <c r="B1489" s="10" t="s">
        <v>403</v>
      </c>
      <c r="C1489" s="315" t="s">
        <v>1767</v>
      </c>
      <c r="D1489" s="868" t="s">
        <v>3684</v>
      </c>
      <c r="E1489" s="837" t="str">
        <f>IFERROR(IF(_xlfn.XLOOKUP(Imput[[#This Row],[RFC]],'Alta Proveedor'!D:D,'Alta Proveedor'!E:E)=0,"",_xlfn.XLOOKUP(Imput[[#This Row],[RFC]],'Alta Proveedor'!D:D,'Alta Proveedor'!E:E)),"")</f>
        <v>SERVICIOS PROFESIONALES GGA</v>
      </c>
      <c r="F1489" s="832" t="s">
        <v>1114</v>
      </c>
      <c r="G1489" s="187">
        <v>35.5</v>
      </c>
      <c r="H1489" s="1">
        <v>22.470140845070425</v>
      </c>
      <c r="I1489" s="169">
        <f>Imput[[#This Row],[Cantidad]]*Imput[[#This Row],[Precio Unitario]]</f>
        <v>797.69</v>
      </c>
      <c r="J1489" s="11">
        <v>124.30011920517215</v>
      </c>
      <c r="K1489" s="11">
        <v>0</v>
      </c>
      <c r="L1489" s="169">
        <f>Imput[[#This Row],[Sub total]]+Imput[[#This Row],[IVA]]-Imput[[#This Row],[Retención / IEPS / Descuento]]</f>
        <v>921.99011920517216</v>
      </c>
      <c r="M1489" s="844">
        <v>0</v>
      </c>
      <c r="N1489" s="189" t="s">
        <v>123</v>
      </c>
      <c r="O1489" s="1"/>
      <c r="P1489" s="189" t="s">
        <v>4367</v>
      </c>
      <c r="Q1489" s="190" t="s">
        <v>4368</v>
      </c>
      <c r="R1489" s="188">
        <v>46025</v>
      </c>
      <c r="S1489" s="193" t="s">
        <v>215</v>
      </c>
      <c r="T1489" s="192"/>
      <c r="U1489" s="829"/>
      <c r="V1489" s="10"/>
      <c r="W1489" s="10"/>
      <c r="X1489" s="10"/>
      <c r="Y1489" s="10"/>
      <c r="Z1489" s="10"/>
      <c r="AA1489" s="11"/>
      <c r="AB1489" s="11"/>
    </row>
    <row r="1490" spans="2:28" x14ac:dyDescent="0.3">
      <c r="B1490" s="10" t="s">
        <v>403</v>
      </c>
      <c r="C1490" s="315" t="s">
        <v>1767</v>
      </c>
      <c r="D1490" s="868" t="s">
        <v>3684</v>
      </c>
      <c r="E1490" s="837" t="str">
        <f>IFERROR(IF(_xlfn.XLOOKUP(Imput[[#This Row],[RFC]],'Alta Proveedor'!D:D,'Alta Proveedor'!E:E)=0,"",_xlfn.XLOOKUP(Imput[[#This Row],[RFC]],'Alta Proveedor'!D:D,'Alta Proveedor'!E:E)),"")</f>
        <v>SERVICIOS PROFESIONALES GGA</v>
      </c>
      <c r="F1490" s="832" t="s">
        <v>1114</v>
      </c>
      <c r="G1490" s="187">
        <v>48.31</v>
      </c>
      <c r="H1490" s="1">
        <v>22.470296004967913</v>
      </c>
      <c r="I1490" s="169">
        <f>Imput[[#This Row],[Cantidad]]*Imput[[#This Row],[Precio Unitario]]</f>
        <v>1085.54</v>
      </c>
      <c r="J1490" s="11">
        <v>169.15437250308085</v>
      </c>
      <c r="K1490" s="11">
        <v>0</v>
      </c>
      <c r="L1490" s="169">
        <f>Imput[[#This Row],[Sub total]]+Imput[[#This Row],[IVA]]-Imput[[#This Row],[Retención / IEPS / Descuento]]</f>
        <v>1254.6943725030808</v>
      </c>
      <c r="M1490" s="844">
        <v>0</v>
      </c>
      <c r="N1490" s="189" t="s">
        <v>123</v>
      </c>
      <c r="O1490" s="1"/>
      <c r="P1490" s="189" t="s">
        <v>4367</v>
      </c>
      <c r="Q1490" s="190" t="s">
        <v>4368</v>
      </c>
      <c r="R1490" s="188">
        <v>46025</v>
      </c>
      <c r="S1490" s="193" t="s">
        <v>215</v>
      </c>
      <c r="T1490" s="192"/>
      <c r="U1490" s="829"/>
      <c r="V1490" s="10"/>
      <c r="W1490" s="10"/>
      <c r="X1490" s="10"/>
      <c r="Y1490" s="10"/>
      <c r="Z1490" s="10"/>
      <c r="AA1490" s="11"/>
      <c r="AB1490" s="11"/>
    </row>
    <row r="1491" spans="2:28" x14ac:dyDescent="0.3">
      <c r="B1491" s="10" t="s">
        <v>403</v>
      </c>
      <c r="C1491" s="315" t="s">
        <v>1767</v>
      </c>
      <c r="D1491" s="868" t="s">
        <v>3684</v>
      </c>
      <c r="E1491" s="837" t="str">
        <f>IFERROR(IF(_xlfn.XLOOKUP(Imput[[#This Row],[RFC]],'Alta Proveedor'!D:D,'Alta Proveedor'!E:E)=0,"",_xlfn.XLOOKUP(Imput[[#This Row],[RFC]],'Alta Proveedor'!D:D,'Alta Proveedor'!E:E)),"")</f>
        <v>SERVICIOS PROFESIONALES GGA</v>
      </c>
      <c r="F1491" s="832" t="s">
        <v>1114</v>
      </c>
      <c r="G1491" s="187">
        <v>41.271000000000001</v>
      </c>
      <c r="H1491" s="1">
        <v>22.599646240701706</v>
      </c>
      <c r="I1491" s="169">
        <f>Imput[[#This Row],[Cantidad]]*Imput[[#This Row],[Precio Unitario]]</f>
        <v>932.71000000000015</v>
      </c>
      <c r="J1491" s="11">
        <v>145.33962339236561</v>
      </c>
      <c r="K1491" s="11">
        <v>0</v>
      </c>
      <c r="L1491" s="169">
        <f>Imput[[#This Row],[Sub total]]+Imput[[#This Row],[IVA]]-Imput[[#This Row],[Retención / IEPS / Descuento]]</f>
        <v>1078.0496233923657</v>
      </c>
      <c r="M1491" s="844">
        <v>0</v>
      </c>
      <c r="N1491" s="189" t="s">
        <v>123</v>
      </c>
      <c r="O1491" s="1"/>
      <c r="P1491" s="189" t="s">
        <v>4367</v>
      </c>
      <c r="Q1491" s="190" t="s">
        <v>4368</v>
      </c>
      <c r="R1491" s="188">
        <v>46025</v>
      </c>
      <c r="S1491" s="193" t="s">
        <v>215</v>
      </c>
      <c r="T1491" s="192"/>
      <c r="U1491" s="829"/>
      <c r="V1491" s="10"/>
      <c r="W1491" s="10"/>
      <c r="X1491" s="10"/>
      <c r="Y1491" s="10"/>
      <c r="Z1491" s="10"/>
      <c r="AA1491" s="11"/>
      <c r="AB1491" s="11"/>
    </row>
    <row r="1492" spans="2:28" x14ac:dyDescent="0.3">
      <c r="B1492" s="10" t="s">
        <v>403</v>
      </c>
      <c r="C1492" s="315" t="s">
        <v>1767</v>
      </c>
      <c r="D1492" s="868" t="s">
        <v>3684</v>
      </c>
      <c r="E1492" s="837" t="str">
        <f>IFERROR(IF(_xlfn.XLOOKUP(Imput[[#This Row],[RFC]],'Alta Proveedor'!D:D,'Alta Proveedor'!E:E)=0,"",_xlfn.XLOOKUP(Imput[[#This Row],[RFC]],'Alta Proveedor'!D:D,'Alta Proveedor'!E:E)),"")</f>
        <v>SERVICIOS PROFESIONALES GGA</v>
      </c>
      <c r="F1492" s="832" t="s">
        <v>1114</v>
      </c>
      <c r="G1492" s="187">
        <v>71.614999999999995</v>
      </c>
      <c r="H1492" s="1">
        <v>22.599595056901489</v>
      </c>
      <c r="I1492" s="169">
        <f>Imput[[#This Row],[Cantidad]]*Imput[[#This Row],[Precio Unitario]]</f>
        <v>1618.47</v>
      </c>
      <c r="J1492" s="11">
        <v>252.19823983000282</v>
      </c>
      <c r="K1492" s="11">
        <v>0</v>
      </c>
      <c r="L1492" s="169">
        <f>Imput[[#This Row],[Sub total]]+Imput[[#This Row],[IVA]]-Imput[[#This Row],[Retención / IEPS / Descuento]]</f>
        <v>1870.6682398300029</v>
      </c>
      <c r="M1492" s="844">
        <v>0</v>
      </c>
      <c r="N1492" s="189" t="s">
        <v>123</v>
      </c>
      <c r="O1492" s="1"/>
      <c r="P1492" s="189" t="s">
        <v>4367</v>
      </c>
      <c r="Q1492" s="190" t="s">
        <v>4368</v>
      </c>
      <c r="R1492" s="188">
        <v>46025</v>
      </c>
      <c r="S1492" s="193" t="s">
        <v>215</v>
      </c>
      <c r="T1492" s="192"/>
      <c r="U1492" s="829"/>
      <c r="V1492" s="10"/>
      <c r="W1492" s="10"/>
      <c r="X1492" s="10"/>
      <c r="Y1492" s="10"/>
      <c r="Z1492" s="10"/>
      <c r="AA1492" s="11"/>
      <c r="AB1492" s="11"/>
    </row>
    <row r="1493" spans="2:28" x14ac:dyDescent="0.3">
      <c r="B1493" s="10" t="s">
        <v>403</v>
      </c>
      <c r="C1493" s="315" t="s">
        <v>1767</v>
      </c>
      <c r="D1493" s="868" t="s">
        <v>3684</v>
      </c>
      <c r="E1493" s="837" t="str">
        <f>IFERROR(IF(_xlfn.XLOOKUP(Imput[[#This Row],[RFC]],'Alta Proveedor'!D:D,'Alta Proveedor'!E:E)=0,"",_xlfn.XLOOKUP(Imput[[#This Row],[RFC]],'Alta Proveedor'!D:D,'Alta Proveedor'!E:E)),"")</f>
        <v>SERVICIOS PROFESIONALES GGA</v>
      </c>
      <c r="F1493" s="832" t="s">
        <v>1114</v>
      </c>
      <c r="G1493" s="187">
        <v>27.872</v>
      </c>
      <c r="H1493" s="1">
        <v>22.599741676234213</v>
      </c>
      <c r="I1493" s="169">
        <f>Imput[[#This Row],[Cantidad]]*Imput[[#This Row],[Precio Unitario]]</f>
        <v>629.9</v>
      </c>
      <c r="J1493" s="11">
        <v>98.154226688736117</v>
      </c>
      <c r="K1493" s="11">
        <v>0</v>
      </c>
      <c r="L1493" s="169">
        <f>Imput[[#This Row],[Sub total]]+Imput[[#This Row],[IVA]]-Imput[[#This Row],[Retención / IEPS / Descuento]]</f>
        <v>728.05422668873609</v>
      </c>
      <c r="M1493" s="844">
        <v>0</v>
      </c>
      <c r="N1493" s="189" t="s">
        <v>123</v>
      </c>
      <c r="O1493" s="1"/>
      <c r="P1493" s="189" t="s">
        <v>4367</v>
      </c>
      <c r="Q1493" s="190" t="s">
        <v>4368</v>
      </c>
      <c r="R1493" s="188">
        <v>46025</v>
      </c>
      <c r="S1493" s="193" t="s">
        <v>215</v>
      </c>
      <c r="T1493" s="192"/>
      <c r="U1493" s="829"/>
      <c r="V1493" s="10"/>
      <c r="W1493" s="10"/>
      <c r="X1493" s="10"/>
      <c r="Y1493" s="10"/>
      <c r="Z1493" s="10"/>
      <c r="AA1493" s="11"/>
      <c r="AB1493" s="11"/>
    </row>
    <row r="1494" spans="2:28" x14ac:dyDescent="0.3">
      <c r="B1494" s="10" t="s">
        <v>403</v>
      </c>
      <c r="C1494" s="315" t="s">
        <v>1767</v>
      </c>
      <c r="D1494" s="868" t="s">
        <v>3684</v>
      </c>
      <c r="E1494" s="837" t="str">
        <f>IFERROR(IF(_xlfn.XLOOKUP(Imput[[#This Row],[RFC]],'Alta Proveedor'!D:D,'Alta Proveedor'!E:E)=0,"",_xlfn.XLOOKUP(Imput[[#This Row],[RFC]],'Alta Proveedor'!D:D,'Alta Proveedor'!E:E)),"")</f>
        <v>SERVICIOS PROFESIONALES GGA</v>
      </c>
      <c r="F1494" s="832" t="s">
        <v>1114</v>
      </c>
      <c r="G1494" s="187">
        <v>31.518999999999998</v>
      </c>
      <c r="H1494" s="1">
        <v>22.815127383482981</v>
      </c>
      <c r="I1494" s="169">
        <f>Imput[[#This Row],[Cantidad]]*Imput[[#This Row],[Precio Unitario]]</f>
        <v>719.11</v>
      </c>
      <c r="J1494" s="11">
        <v>112.05538332137967</v>
      </c>
      <c r="K1494" s="11">
        <v>0</v>
      </c>
      <c r="L1494" s="169">
        <f>Imput[[#This Row],[Sub total]]+Imput[[#This Row],[IVA]]-Imput[[#This Row],[Retención / IEPS / Descuento]]</f>
        <v>831.16538332137964</v>
      </c>
      <c r="M1494" s="844">
        <v>0</v>
      </c>
      <c r="N1494" s="189" t="s">
        <v>123</v>
      </c>
      <c r="O1494" s="1"/>
      <c r="P1494" s="189" t="s">
        <v>4367</v>
      </c>
      <c r="Q1494" s="190" t="s">
        <v>4368</v>
      </c>
      <c r="R1494" s="188">
        <v>46025</v>
      </c>
      <c r="S1494" s="193" t="s">
        <v>215</v>
      </c>
      <c r="T1494" s="192"/>
      <c r="U1494" s="829"/>
      <c r="V1494" s="10"/>
      <c r="W1494" s="10"/>
      <c r="X1494" s="10"/>
      <c r="Y1494" s="10"/>
      <c r="Z1494" s="10"/>
      <c r="AA1494" s="11"/>
      <c r="AB1494" s="11"/>
    </row>
    <row r="1495" spans="2:28" x14ac:dyDescent="0.3">
      <c r="B1495" s="10" t="s">
        <v>403</v>
      </c>
      <c r="C1495" s="315" t="s">
        <v>1767</v>
      </c>
      <c r="D1495" s="868" t="s">
        <v>3684</v>
      </c>
      <c r="E1495" s="837" t="str">
        <f>IFERROR(IF(_xlfn.XLOOKUP(Imput[[#This Row],[RFC]],'Alta Proveedor'!D:D,'Alta Proveedor'!E:E)=0,"",_xlfn.XLOOKUP(Imput[[#This Row],[RFC]],'Alta Proveedor'!D:D,'Alta Proveedor'!E:E)),"")</f>
        <v>SERVICIOS PROFESIONALES GGA</v>
      </c>
      <c r="F1495" s="832" t="s">
        <v>1114</v>
      </c>
      <c r="G1495" s="187">
        <v>67.504000000000005</v>
      </c>
      <c r="H1495" s="1">
        <v>22.815240578336095</v>
      </c>
      <c r="I1495" s="169">
        <f>Imput[[#This Row],[Cantidad]]*Imput[[#This Row],[Precio Unitario]]</f>
        <v>1540.12</v>
      </c>
      <c r="J1495" s="11">
        <v>239.98934371782232</v>
      </c>
      <c r="K1495" s="11">
        <v>0</v>
      </c>
      <c r="L1495" s="169">
        <f>Imput[[#This Row],[Sub total]]+Imput[[#This Row],[IVA]]-Imput[[#This Row],[Retención / IEPS / Descuento]]</f>
        <v>1780.1093437178222</v>
      </c>
      <c r="M1495" s="844">
        <v>0</v>
      </c>
      <c r="N1495" s="189" t="s">
        <v>123</v>
      </c>
      <c r="O1495" s="1"/>
      <c r="P1495" s="189" t="s">
        <v>4367</v>
      </c>
      <c r="Q1495" s="190" t="s">
        <v>4368</v>
      </c>
      <c r="R1495" s="188">
        <v>46025</v>
      </c>
      <c r="S1495" s="193" t="s">
        <v>215</v>
      </c>
      <c r="T1495" s="192"/>
      <c r="U1495" s="829"/>
      <c r="V1495" s="10"/>
      <c r="W1495" s="10"/>
      <c r="X1495" s="10"/>
      <c r="Y1495" s="10"/>
      <c r="Z1495" s="10"/>
      <c r="AA1495" s="11"/>
      <c r="AB1495" s="11"/>
    </row>
    <row r="1496" spans="2:28" x14ac:dyDescent="0.3">
      <c r="B1496" s="10" t="s">
        <v>403</v>
      </c>
      <c r="C1496" s="315" t="s">
        <v>1767</v>
      </c>
      <c r="D1496" s="868" t="s">
        <v>3684</v>
      </c>
      <c r="E1496" s="837" t="str">
        <f>IFERROR(IF(_xlfn.XLOOKUP(Imput[[#This Row],[RFC]],'Alta Proveedor'!D:D,'Alta Proveedor'!E:E)=0,"",_xlfn.XLOOKUP(Imput[[#This Row],[RFC]],'Alta Proveedor'!D:D,'Alta Proveedor'!E:E)),"")</f>
        <v>SERVICIOS PROFESIONALES GGA</v>
      </c>
      <c r="F1496" s="832" t="s">
        <v>1114</v>
      </c>
      <c r="G1496" s="187">
        <v>45.728999999999999</v>
      </c>
      <c r="H1496" s="1">
        <v>22.815062651708981</v>
      </c>
      <c r="I1496" s="169">
        <f>Imput[[#This Row],[Cantidad]]*Imput[[#This Row],[Precio Unitario]]</f>
        <v>1043.31</v>
      </c>
      <c r="J1496" s="11">
        <v>162.57387878492665</v>
      </c>
      <c r="K1496" s="11">
        <v>0</v>
      </c>
      <c r="L1496" s="169">
        <f>Imput[[#This Row],[Sub total]]+Imput[[#This Row],[IVA]]-Imput[[#This Row],[Retención / IEPS / Descuento]]</f>
        <v>1205.8838787849265</v>
      </c>
      <c r="M1496" s="844">
        <v>0</v>
      </c>
      <c r="N1496" s="189" t="s">
        <v>123</v>
      </c>
      <c r="O1496" s="1"/>
      <c r="P1496" s="189" t="s">
        <v>4367</v>
      </c>
      <c r="Q1496" s="190" t="s">
        <v>4368</v>
      </c>
      <c r="R1496" s="188">
        <v>46025</v>
      </c>
      <c r="S1496" s="193" t="s">
        <v>215</v>
      </c>
      <c r="T1496" s="192"/>
      <c r="U1496" s="829"/>
      <c r="V1496" s="10"/>
      <c r="W1496" s="10"/>
      <c r="X1496" s="10"/>
      <c r="Y1496" s="10"/>
      <c r="Z1496" s="10"/>
      <c r="AA1496" s="11"/>
      <c r="AB1496" s="11"/>
    </row>
    <row r="1497" spans="2:28" x14ac:dyDescent="0.3">
      <c r="B1497" s="10" t="s">
        <v>403</v>
      </c>
      <c r="C1497" s="315" t="s">
        <v>1767</v>
      </c>
      <c r="D1497" s="868" t="s">
        <v>3684</v>
      </c>
      <c r="E1497" s="837" t="str">
        <f>IFERROR(IF(_xlfn.XLOOKUP(Imput[[#This Row],[RFC]],'Alta Proveedor'!D:D,'Alta Proveedor'!E:E)=0,"",_xlfn.XLOOKUP(Imput[[#This Row],[RFC]],'Alta Proveedor'!D:D,'Alta Proveedor'!E:E)),"")</f>
        <v>SERVICIOS PROFESIONALES GGA</v>
      </c>
      <c r="F1497" s="832" t="s">
        <v>1114</v>
      </c>
      <c r="G1497" s="187">
        <v>63.579000000000001</v>
      </c>
      <c r="H1497" s="1">
        <v>22.815237735730349</v>
      </c>
      <c r="I1497" s="169">
        <f>Imput[[#This Row],[Cantidad]]*Imput[[#This Row],[Precio Unitario]]</f>
        <v>1450.57</v>
      </c>
      <c r="J1497" s="11">
        <v>226.03520655323064</v>
      </c>
      <c r="K1497" s="11">
        <v>0</v>
      </c>
      <c r="L1497" s="169">
        <f>Imput[[#This Row],[Sub total]]+Imput[[#This Row],[IVA]]-Imput[[#This Row],[Retención / IEPS / Descuento]]</f>
        <v>1676.6052065532306</v>
      </c>
      <c r="M1497" s="844">
        <v>0</v>
      </c>
      <c r="N1497" s="189" t="s">
        <v>123</v>
      </c>
      <c r="O1497" s="1"/>
      <c r="P1497" s="189" t="s">
        <v>4367</v>
      </c>
      <c r="Q1497" s="190" t="s">
        <v>4368</v>
      </c>
      <c r="R1497" s="188">
        <v>46025</v>
      </c>
      <c r="S1497" s="193" t="s">
        <v>215</v>
      </c>
      <c r="T1497" s="192"/>
      <c r="U1497" s="829"/>
      <c r="V1497" s="10"/>
      <c r="W1497" s="10"/>
      <c r="X1497" s="10"/>
      <c r="Y1497" s="10"/>
      <c r="Z1497" s="10"/>
      <c r="AA1497" s="11"/>
      <c r="AB1497" s="11"/>
    </row>
    <row r="1498" spans="2:28" x14ac:dyDescent="0.3">
      <c r="B1498" s="10" t="s">
        <v>403</v>
      </c>
      <c r="C1498" s="315" t="s">
        <v>1767</v>
      </c>
      <c r="D1498" s="868" t="s">
        <v>3684</v>
      </c>
      <c r="E1498" s="837" t="str">
        <f>IFERROR(IF(_xlfn.XLOOKUP(Imput[[#This Row],[RFC]],'Alta Proveedor'!D:D,'Alta Proveedor'!E:E)=0,"",_xlfn.XLOOKUP(Imput[[#This Row],[RFC]],'Alta Proveedor'!D:D,'Alta Proveedor'!E:E)),"")</f>
        <v>SERVICIOS PROFESIONALES GGA</v>
      </c>
      <c r="F1498" s="832" t="s">
        <v>1145</v>
      </c>
      <c r="G1498" s="187">
        <v>52.74</v>
      </c>
      <c r="H1498" s="1">
        <v>20.587220326128175</v>
      </c>
      <c r="I1498" s="169">
        <f>Imput[[#This Row],[Cantidad]]*Imput[[#This Row],[Precio Unitario]]</f>
        <v>1085.77</v>
      </c>
      <c r="J1498" s="11">
        <v>169.19021227469287</v>
      </c>
      <c r="K1498" s="11">
        <v>0</v>
      </c>
      <c r="L1498" s="169">
        <f>Imput[[#This Row],[Sub total]]+Imput[[#This Row],[IVA]]-Imput[[#This Row],[Retención / IEPS / Descuento]]</f>
        <v>1254.9602122746928</v>
      </c>
      <c r="M1498" s="844">
        <v>0</v>
      </c>
      <c r="N1498" s="189" t="s">
        <v>123</v>
      </c>
      <c r="O1498" s="1"/>
      <c r="P1498" s="189" t="s">
        <v>4367</v>
      </c>
      <c r="Q1498" s="190" t="s">
        <v>4368</v>
      </c>
      <c r="R1498" s="188">
        <v>46025</v>
      </c>
      <c r="S1498" s="193" t="s">
        <v>215</v>
      </c>
      <c r="T1498" s="192"/>
      <c r="U1498" s="829"/>
      <c r="V1498" s="10"/>
      <c r="W1498" s="10"/>
      <c r="X1498" s="10"/>
      <c r="Y1498" s="10"/>
      <c r="Z1498" s="10"/>
      <c r="AA1498" s="11"/>
      <c r="AB1498" s="11"/>
    </row>
    <row r="1499" spans="2:28" x14ac:dyDescent="0.3">
      <c r="B1499" s="10" t="s">
        <v>403</v>
      </c>
      <c r="C1499" s="315" t="s">
        <v>1767</v>
      </c>
      <c r="D1499" s="868" t="s">
        <v>3684</v>
      </c>
      <c r="E1499" s="837" t="str">
        <f>IFERROR(IF(_xlfn.XLOOKUP(Imput[[#This Row],[RFC]],'Alta Proveedor'!D:D,'Alta Proveedor'!E:E)=0,"",_xlfn.XLOOKUP(Imput[[#This Row],[RFC]],'Alta Proveedor'!D:D,'Alta Proveedor'!E:E)),"")</f>
        <v>SERVICIOS PROFESIONALES GGA</v>
      </c>
      <c r="F1499" s="832" t="s">
        <v>1145</v>
      </c>
      <c r="G1499" s="187">
        <v>70.63</v>
      </c>
      <c r="H1499" s="1">
        <v>20.716551040634293</v>
      </c>
      <c r="I1499" s="169">
        <f>Imput[[#This Row],[Cantidad]]*Imput[[#This Row],[Precio Unitario]]</f>
        <v>1463.21</v>
      </c>
      <c r="J1499" s="11">
        <v>228.0048357409519</v>
      </c>
      <c r="K1499" s="11">
        <v>0</v>
      </c>
      <c r="L1499" s="169">
        <f>Imput[[#This Row],[Sub total]]+Imput[[#This Row],[IVA]]-Imput[[#This Row],[Retención / IEPS / Descuento]]</f>
        <v>1691.2148357409519</v>
      </c>
      <c r="M1499" s="844">
        <v>0</v>
      </c>
      <c r="N1499" s="189" t="s">
        <v>123</v>
      </c>
      <c r="O1499" s="1"/>
      <c r="P1499" s="189" t="s">
        <v>4367</v>
      </c>
      <c r="Q1499" s="190" t="s">
        <v>4368</v>
      </c>
      <c r="R1499" s="188">
        <v>46025</v>
      </c>
      <c r="S1499" s="193" t="s">
        <v>215</v>
      </c>
      <c r="T1499" s="192"/>
      <c r="U1499" s="829"/>
      <c r="V1499" s="10"/>
      <c r="W1499" s="10"/>
      <c r="X1499" s="10"/>
      <c r="Y1499" s="10"/>
      <c r="Z1499" s="10"/>
      <c r="AA1499" s="11"/>
      <c r="AB1499" s="11"/>
    </row>
    <row r="1500" spans="2:28" x14ac:dyDescent="0.3">
      <c r="B1500" s="10" t="s">
        <v>403</v>
      </c>
      <c r="C1500" s="315" t="s">
        <v>1767</v>
      </c>
      <c r="D1500" s="868" t="s">
        <v>3684</v>
      </c>
      <c r="E1500" s="837" t="str">
        <f>IFERROR(IF(_xlfn.XLOOKUP(Imput[[#This Row],[RFC]],'Alta Proveedor'!D:D,'Alta Proveedor'!E:E)=0,"",_xlfn.XLOOKUP(Imput[[#This Row],[RFC]],'Alta Proveedor'!D:D,'Alta Proveedor'!E:E)),"")</f>
        <v>SERVICIOS PROFESIONALES GGA</v>
      </c>
      <c r="F1500" s="832" t="s">
        <v>1145</v>
      </c>
      <c r="G1500" s="187">
        <v>20.625</v>
      </c>
      <c r="H1500" s="1">
        <v>20.75927272727273</v>
      </c>
      <c r="I1500" s="169">
        <f>Imput[[#This Row],[Cantidad]]*Imput[[#This Row],[Precio Unitario]]</f>
        <v>428.16000000000008</v>
      </c>
      <c r="J1500" s="11">
        <v>66.718072232178557</v>
      </c>
      <c r="K1500" s="11">
        <v>0</v>
      </c>
      <c r="L1500" s="169">
        <f>Imput[[#This Row],[Sub total]]+Imput[[#This Row],[IVA]]-Imput[[#This Row],[Retención / IEPS / Descuento]]</f>
        <v>494.87807223217862</v>
      </c>
      <c r="M1500" s="844">
        <v>0</v>
      </c>
      <c r="N1500" s="189" t="s">
        <v>123</v>
      </c>
      <c r="O1500" s="1"/>
      <c r="P1500" s="189" t="s">
        <v>4367</v>
      </c>
      <c r="Q1500" s="190" t="s">
        <v>4368</v>
      </c>
      <c r="R1500" s="188">
        <v>46025</v>
      </c>
      <c r="S1500" s="193" t="s">
        <v>215</v>
      </c>
      <c r="T1500" s="192"/>
      <c r="U1500" s="829"/>
      <c r="V1500" s="10"/>
      <c r="W1500" s="10"/>
      <c r="X1500" s="10"/>
      <c r="Y1500" s="10"/>
      <c r="Z1500" s="10"/>
      <c r="AA1500" s="11"/>
      <c r="AB1500" s="11"/>
    </row>
    <row r="1501" spans="2:28" x14ac:dyDescent="0.3">
      <c r="B1501" s="10" t="s">
        <v>403</v>
      </c>
      <c r="C1501" s="315" t="s">
        <v>1767</v>
      </c>
      <c r="D1501" s="868" t="s">
        <v>3684</v>
      </c>
      <c r="E1501" s="837" t="str">
        <f>IFERROR(IF(_xlfn.XLOOKUP(Imput[[#This Row],[RFC]],'Alta Proveedor'!D:D,'Alta Proveedor'!E:E)=0,"",_xlfn.XLOOKUP(Imput[[#This Row],[RFC]],'Alta Proveedor'!D:D,'Alta Proveedor'!E:E)),"")</f>
        <v>SERVICIOS PROFESIONALES GGA</v>
      </c>
      <c r="F1501" s="832" t="s">
        <v>1145</v>
      </c>
      <c r="G1501" s="187">
        <v>44.558999999999997</v>
      </c>
      <c r="H1501" s="1">
        <v>22.384254583810229</v>
      </c>
      <c r="I1501" s="169">
        <f>Imput[[#This Row],[Cantidad]]*Imput[[#This Row],[Precio Unitario]]</f>
        <v>997.42</v>
      </c>
      <c r="J1501" s="11">
        <v>155.42306522285949</v>
      </c>
      <c r="K1501" s="11">
        <v>0</v>
      </c>
      <c r="L1501" s="169">
        <f>Imput[[#This Row],[Sub total]]+Imput[[#This Row],[IVA]]-Imput[[#This Row],[Retención / IEPS / Descuento]]</f>
        <v>1152.8430652228594</v>
      </c>
      <c r="M1501" s="844">
        <v>0</v>
      </c>
      <c r="N1501" s="189" t="s">
        <v>123</v>
      </c>
      <c r="O1501" s="1"/>
      <c r="P1501" s="189" t="s">
        <v>4367</v>
      </c>
      <c r="Q1501" s="190" t="s">
        <v>4368</v>
      </c>
      <c r="R1501" s="188">
        <v>46025</v>
      </c>
      <c r="S1501" s="193" t="s">
        <v>215</v>
      </c>
      <c r="T1501" s="192"/>
      <c r="U1501" s="829"/>
      <c r="V1501" s="10"/>
      <c r="W1501" s="10"/>
      <c r="X1501" s="10"/>
      <c r="Y1501" s="10"/>
      <c r="Z1501" s="10"/>
      <c r="AA1501" s="11"/>
      <c r="AB1501" s="11"/>
    </row>
    <row r="1502" spans="2:28" x14ac:dyDescent="0.3">
      <c r="B1502" s="10" t="s">
        <v>403</v>
      </c>
      <c r="C1502" s="315" t="s">
        <v>1767</v>
      </c>
      <c r="D1502" s="868" t="s">
        <v>3684</v>
      </c>
      <c r="E1502" s="837" t="str">
        <f>IFERROR(IF(_xlfn.XLOOKUP(Imput[[#This Row],[RFC]],'Alta Proveedor'!D:D,'Alta Proveedor'!E:E)=0,"",_xlfn.XLOOKUP(Imput[[#This Row],[RFC]],'Alta Proveedor'!D:D,'Alta Proveedor'!E:E)),"")</f>
        <v>SERVICIOS PROFESIONALES GGA</v>
      </c>
      <c r="F1502" s="832" t="s">
        <v>1145</v>
      </c>
      <c r="G1502" s="187">
        <v>23.44</v>
      </c>
      <c r="H1502" s="1">
        <v>22.987627986348123</v>
      </c>
      <c r="I1502" s="169">
        <f>Imput[[#This Row],[Cantidad]]*Imput[[#This Row],[Precio Unitario]]</f>
        <v>538.83000000000004</v>
      </c>
      <c r="J1502" s="11">
        <v>83.96323538131719</v>
      </c>
      <c r="K1502" s="11">
        <v>0</v>
      </c>
      <c r="L1502" s="169">
        <f>Imput[[#This Row],[Sub total]]+Imput[[#This Row],[IVA]]-Imput[[#This Row],[Retención / IEPS / Descuento]]</f>
        <v>622.79323538131723</v>
      </c>
      <c r="M1502" s="844">
        <v>0</v>
      </c>
      <c r="N1502" s="189" t="s">
        <v>123</v>
      </c>
      <c r="O1502" s="1"/>
      <c r="P1502" s="189" t="s">
        <v>4367</v>
      </c>
      <c r="Q1502" s="190" t="s">
        <v>4368</v>
      </c>
      <c r="R1502" s="188">
        <v>46025</v>
      </c>
      <c r="S1502" s="193" t="s">
        <v>215</v>
      </c>
      <c r="T1502" s="192"/>
      <c r="U1502" s="829"/>
      <c r="V1502" s="10"/>
      <c r="W1502" s="10"/>
      <c r="X1502" s="10"/>
      <c r="Y1502" s="10"/>
      <c r="Z1502" s="10"/>
      <c r="AA1502" s="11"/>
      <c r="AB1502" s="11"/>
    </row>
    <row r="1503" spans="2:28" x14ac:dyDescent="0.3">
      <c r="B1503" s="10" t="s">
        <v>403</v>
      </c>
      <c r="C1503" s="315" t="s">
        <v>1767</v>
      </c>
      <c r="D1503" s="868" t="s">
        <v>3684</v>
      </c>
      <c r="E1503" s="837" t="str">
        <f>IFERROR(IF(_xlfn.XLOOKUP(Imput[[#This Row],[RFC]],'Alta Proveedor'!D:D,'Alta Proveedor'!E:E)=0,"",_xlfn.XLOOKUP(Imput[[#This Row],[RFC]],'Alta Proveedor'!D:D,'Alta Proveedor'!E:E)),"")</f>
        <v>SERVICIOS PROFESIONALES GGA</v>
      </c>
      <c r="F1503" s="832" t="s">
        <v>1145</v>
      </c>
      <c r="G1503" s="187">
        <v>59.825000000000003</v>
      </c>
      <c r="H1503" s="1">
        <v>22.987714166318426</v>
      </c>
      <c r="I1503" s="169">
        <f>Imput[[#This Row],[Cantidad]]*Imput[[#This Row],[Precio Unitario]]</f>
        <v>1375.24</v>
      </c>
      <c r="J1503" s="11">
        <v>214.29690222482535</v>
      </c>
      <c r="K1503" s="11">
        <v>0</v>
      </c>
      <c r="L1503" s="169">
        <f>Imput[[#This Row],[Sub total]]+Imput[[#This Row],[IVA]]-Imput[[#This Row],[Retención / IEPS / Descuento]]</f>
        <v>1589.5369022248253</v>
      </c>
      <c r="M1503" s="844">
        <v>0</v>
      </c>
      <c r="N1503" s="189" t="s">
        <v>123</v>
      </c>
      <c r="O1503" s="1"/>
      <c r="P1503" s="189" t="s">
        <v>4367</v>
      </c>
      <c r="Q1503" s="190" t="s">
        <v>4368</v>
      </c>
      <c r="R1503" s="188">
        <v>46025</v>
      </c>
      <c r="S1503" s="193" t="s">
        <v>215</v>
      </c>
      <c r="T1503" s="192"/>
      <c r="U1503" s="829"/>
      <c r="V1503" s="10"/>
      <c r="W1503" s="10"/>
      <c r="X1503" s="10"/>
      <c r="Y1503" s="10"/>
      <c r="Z1503" s="10"/>
      <c r="AA1503" s="11"/>
      <c r="AB1503" s="11"/>
    </row>
    <row r="1504" spans="2:28" x14ac:dyDescent="0.3">
      <c r="B1504" s="10" t="s">
        <v>403</v>
      </c>
      <c r="C1504" s="315" t="s">
        <v>1767</v>
      </c>
      <c r="D1504" s="868" t="s">
        <v>3684</v>
      </c>
      <c r="E1504" s="837" t="str">
        <f>IFERROR(IF(_xlfn.XLOOKUP(Imput[[#This Row],[RFC]],'Alta Proveedor'!D:D,'Alta Proveedor'!E:E)=0,"",_xlfn.XLOOKUP(Imput[[#This Row],[RFC]],'Alta Proveedor'!D:D,'Alta Proveedor'!E:E)),"")</f>
        <v>SERVICIOS PROFESIONALES GGA</v>
      </c>
      <c r="F1504" s="832" t="s">
        <v>1145</v>
      </c>
      <c r="G1504" s="187">
        <v>55.695</v>
      </c>
      <c r="H1504" s="1">
        <v>22.987700870814255</v>
      </c>
      <c r="I1504" s="169">
        <f>Imput[[#This Row],[Cantidad]]*Imput[[#This Row],[Precio Unitario]]</f>
        <v>1280.3</v>
      </c>
      <c r="J1504" s="11">
        <v>199.50286780376072</v>
      </c>
      <c r="K1504" s="11">
        <v>0</v>
      </c>
      <c r="L1504" s="169">
        <f>Imput[[#This Row],[Sub total]]+Imput[[#This Row],[IVA]]-Imput[[#This Row],[Retención / IEPS / Descuento]]</f>
        <v>1479.8028678037606</v>
      </c>
      <c r="M1504" s="844">
        <v>0</v>
      </c>
      <c r="N1504" s="189" t="s">
        <v>123</v>
      </c>
      <c r="O1504" s="1"/>
      <c r="P1504" s="189" t="s">
        <v>4367</v>
      </c>
      <c r="Q1504" s="190" t="s">
        <v>4368</v>
      </c>
      <c r="R1504" s="188">
        <v>46025</v>
      </c>
      <c r="S1504" s="193" t="s">
        <v>215</v>
      </c>
      <c r="T1504" s="192"/>
      <c r="U1504" s="829"/>
      <c r="V1504" s="10"/>
      <c r="W1504" s="10"/>
      <c r="X1504" s="10"/>
      <c r="Y1504" s="10"/>
      <c r="Z1504" s="10"/>
      <c r="AA1504" s="11"/>
      <c r="AB1504" s="11"/>
    </row>
    <row r="1505" spans="2:28" x14ac:dyDescent="0.3">
      <c r="B1505" s="10" t="s">
        <v>403</v>
      </c>
      <c r="C1505" s="315" t="s">
        <v>1767</v>
      </c>
      <c r="D1505" s="868" t="s">
        <v>3684</v>
      </c>
      <c r="E1505" s="837" t="str">
        <f>IFERROR(IF(_xlfn.XLOOKUP(Imput[[#This Row],[RFC]],'Alta Proveedor'!D:D,'Alta Proveedor'!E:E)=0,"",_xlfn.XLOOKUP(Imput[[#This Row],[RFC]],'Alta Proveedor'!D:D,'Alta Proveedor'!E:E)),"")</f>
        <v>SERVICIOS PROFESIONALES GGA</v>
      </c>
      <c r="F1505" s="832" t="s">
        <v>1145</v>
      </c>
      <c r="G1505" s="187">
        <v>55.332000000000001</v>
      </c>
      <c r="H1505" s="1">
        <v>22.98760211089424</v>
      </c>
      <c r="I1505" s="169">
        <f>Imput[[#This Row],[Cantidad]]*Imput[[#This Row],[Precio Unitario]]</f>
        <v>1271.95</v>
      </c>
      <c r="J1505" s="11">
        <v>198.20172826915055</v>
      </c>
      <c r="K1505" s="11">
        <v>0</v>
      </c>
      <c r="L1505" s="169">
        <f>Imput[[#This Row],[Sub total]]+Imput[[#This Row],[IVA]]-Imput[[#This Row],[Retención / IEPS / Descuento]]</f>
        <v>1470.1517282691507</v>
      </c>
      <c r="M1505" s="844">
        <v>0</v>
      </c>
      <c r="N1505" s="189" t="s">
        <v>123</v>
      </c>
      <c r="O1505" s="1"/>
      <c r="P1505" s="189" t="s">
        <v>4367</v>
      </c>
      <c r="Q1505" s="190" t="s">
        <v>4368</v>
      </c>
      <c r="R1505" s="188">
        <v>46025</v>
      </c>
      <c r="S1505" s="193" t="s">
        <v>215</v>
      </c>
      <c r="T1505" s="192"/>
      <c r="U1505" s="829"/>
      <c r="V1505" s="10"/>
      <c r="W1505" s="10"/>
      <c r="X1505" s="10"/>
      <c r="Y1505" s="10"/>
      <c r="Z1505" s="10"/>
      <c r="AA1505" s="11"/>
      <c r="AB1505" s="11"/>
    </row>
    <row r="1506" spans="2:28" x14ac:dyDescent="0.3">
      <c r="B1506" s="10" t="s">
        <v>405</v>
      </c>
      <c r="C1506" s="315" t="s">
        <v>1767</v>
      </c>
      <c r="D1506" s="868" t="s">
        <v>3684</v>
      </c>
      <c r="E1506" s="837" t="str">
        <f>IFERROR(IF(_xlfn.XLOOKUP(Imput[[#This Row],[RFC]],'Alta Proveedor'!D:D,'Alta Proveedor'!E:E)=0,"",_xlfn.XLOOKUP(Imput[[#This Row],[RFC]],'Alta Proveedor'!D:D,'Alta Proveedor'!E:E)),"")</f>
        <v>SERVICIOS PROFESIONALES GGA</v>
      </c>
      <c r="F1506" s="832" t="s">
        <v>1145</v>
      </c>
      <c r="G1506" s="187">
        <v>27.507000000000001</v>
      </c>
      <c r="H1506" s="1">
        <v>22.987603155560404</v>
      </c>
      <c r="I1506" s="169">
        <f>Imput[[#This Row],[Cantidad]]*Imput[[#This Row],[Precio Unitario]]</f>
        <v>632.32000000000005</v>
      </c>
      <c r="J1506" s="11">
        <v>98.531323416132153</v>
      </c>
      <c r="K1506" s="11">
        <v>0</v>
      </c>
      <c r="L1506" s="169">
        <f>Imput[[#This Row],[Sub total]]+Imput[[#This Row],[IVA]]-Imput[[#This Row],[Retención / IEPS / Descuento]]</f>
        <v>730.85132341613223</v>
      </c>
      <c r="M1506" s="844">
        <v>0</v>
      </c>
      <c r="N1506" s="189" t="s">
        <v>123</v>
      </c>
      <c r="O1506" s="1"/>
      <c r="P1506" s="189" t="s">
        <v>4367</v>
      </c>
      <c r="Q1506" s="190" t="s">
        <v>4368</v>
      </c>
      <c r="R1506" s="188">
        <v>46025</v>
      </c>
      <c r="S1506" s="193" t="s">
        <v>215</v>
      </c>
      <c r="T1506" s="192"/>
      <c r="U1506" s="829"/>
      <c r="V1506" s="10"/>
      <c r="W1506" s="10"/>
      <c r="X1506" s="10"/>
      <c r="Y1506" s="10"/>
      <c r="Z1506" s="10"/>
      <c r="AA1506" s="11"/>
      <c r="AB1506" s="11"/>
    </row>
    <row r="1507" spans="2:28" x14ac:dyDescent="0.3">
      <c r="B1507" s="10" t="s">
        <v>403</v>
      </c>
      <c r="C1507" s="315" t="s">
        <v>1747</v>
      </c>
      <c r="D1507" s="868" t="s">
        <v>1051</v>
      </c>
      <c r="E1507" s="837" t="str">
        <f>IFERROR(IF(_xlfn.XLOOKUP(Imput[[#This Row],[RFC]],'Alta Proveedor'!D:D,'Alta Proveedor'!E:E)=0,"",_xlfn.XLOOKUP(Imput[[#This Row],[RFC]],'Alta Proveedor'!D:D,'Alta Proveedor'!E:E)),"")</f>
        <v>HOTEL RESTAURANTE MANDARIN</v>
      </c>
      <c r="F1507" s="832" t="s">
        <v>4371</v>
      </c>
      <c r="G1507" s="187">
        <v>1</v>
      </c>
      <c r="H1507" s="1">
        <v>739.5</v>
      </c>
      <c r="I1507" s="169">
        <f>Imput[[#This Row],[Cantidad]]*Imput[[#This Row],[Precio Unitario]]</f>
        <v>739.5</v>
      </c>
      <c r="J1507" s="11">
        <f>((Imput[[#This Row],[Sub total]])*(0.16))+22.18</f>
        <v>140.5</v>
      </c>
      <c r="K1507" s="11">
        <v>0</v>
      </c>
      <c r="L1507" s="169">
        <f>Imput[[#This Row],[Sub total]]+Imput[[#This Row],[IVA]]-Imput[[#This Row],[Retención / IEPS / Descuento]]</f>
        <v>880</v>
      </c>
      <c r="M1507" s="844">
        <v>880</v>
      </c>
      <c r="N1507" s="189" t="s">
        <v>123</v>
      </c>
      <c r="O1507" s="1"/>
      <c r="P1507" s="189" t="s">
        <v>4369</v>
      </c>
      <c r="Q1507" s="190" t="s">
        <v>4370</v>
      </c>
      <c r="R1507" s="188">
        <v>46029</v>
      </c>
      <c r="S1507" s="193" t="s">
        <v>126</v>
      </c>
      <c r="T1507" s="192"/>
      <c r="U1507" s="829"/>
      <c r="V1507" s="10"/>
      <c r="W1507" s="10"/>
      <c r="X1507" s="10"/>
      <c r="Y1507" s="10"/>
      <c r="Z1507" s="10"/>
      <c r="AA1507" s="11"/>
      <c r="AB1507" s="11"/>
    </row>
    <row r="1508" spans="2:28" x14ac:dyDescent="0.3">
      <c r="B1508" s="10" t="s">
        <v>400</v>
      </c>
      <c r="C1508" s="315"/>
      <c r="D1508" s="868" t="s">
        <v>1334</v>
      </c>
      <c r="E1508" s="837" t="str">
        <f>IFERROR(IF(_xlfn.XLOOKUP(Imput[[#This Row],[RFC]],'Alta Proveedor'!D:D,'Alta Proveedor'!E:E)=0,"",_xlfn.XLOOKUP(Imput[[#This Row],[RFC]],'Alta Proveedor'!D:D,'Alta Proveedor'!E:E)),"")</f>
        <v>DIMARSA PLOMERIA Y AZULEJOS</v>
      </c>
      <c r="F1508" s="832" t="s">
        <v>4374</v>
      </c>
      <c r="G1508" s="187">
        <v>16</v>
      </c>
      <c r="H1508" s="1">
        <v>2689.6550000000002</v>
      </c>
      <c r="I1508" s="169">
        <f>Imput[[#This Row],[Cantidad]]*Imput[[#This Row],[Precio Unitario]]</f>
        <v>43034.48</v>
      </c>
      <c r="J1508" s="11">
        <f>((Imput[[#This Row],[Sub total]])*(0.16))+0.004</f>
        <v>6885.5208000000002</v>
      </c>
      <c r="K1508" s="11">
        <v>0</v>
      </c>
      <c r="L1508" s="169">
        <f>Imput[[#This Row],[Sub total]]+Imput[[#This Row],[IVA]]-Imput[[#This Row],[Retención / IEPS / Descuento]]</f>
        <v>49920.000800000002</v>
      </c>
      <c r="M1508" s="844">
        <v>72320.005696000007</v>
      </c>
      <c r="N1508" s="189" t="s">
        <v>123</v>
      </c>
      <c r="O1508" s="1"/>
      <c r="P1508" s="189" t="s">
        <v>4372</v>
      </c>
      <c r="Q1508" s="190" t="s">
        <v>4373</v>
      </c>
      <c r="R1508" s="188">
        <v>46006</v>
      </c>
      <c r="S1508" s="193" t="s">
        <v>126</v>
      </c>
      <c r="T1508" s="192"/>
      <c r="U1508" s="829"/>
      <c r="V1508" s="10"/>
      <c r="W1508" s="10"/>
      <c r="X1508" s="10"/>
      <c r="Y1508" s="10"/>
      <c r="Z1508" s="10"/>
      <c r="AA1508" s="11"/>
      <c r="AB1508" s="11"/>
    </row>
    <row r="1509" spans="2:28" x14ac:dyDescent="0.3">
      <c r="B1509" s="10" t="s">
        <v>400</v>
      </c>
      <c r="C1509" s="315"/>
      <c r="D1509" s="868" t="s">
        <v>1334</v>
      </c>
      <c r="E1509" s="837" t="str">
        <f>IFERROR(IF(_xlfn.XLOOKUP(Imput[[#This Row],[RFC]],'Alta Proveedor'!D:D,'Alta Proveedor'!E:E)=0,"",_xlfn.XLOOKUP(Imput[[#This Row],[RFC]],'Alta Proveedor'!D:D,'Alta Proveedor'!E:E)),"")</f>
        <v>DIMARSA PLOMERIA Y AZULEJOS</v>
      </c>
      <c r="F1509" s="832" t="s">
        <v>4374</v>
      </c>
      <c r="G1509" s="187">
        <v>7</v>
      </c>
      <c r="H1509" s="1">
        <v>2758.6208000000001</v>
      </c>
      <c r="I1509" s="169">
        <f>Imput[[#This Row],[Cantidad]]*Imput[[#This Row],[Precio Unitario]]</f>
        <v>19310.345600000001</v>
      </c>
      <c r="J1509" s="11">
        <f>((Imput[[#This Row],[Sub total]])*(0.16))+0.004</f>
        <v>3089.6592960000003</v>
      </c>
      <c r="K1509" s="11">
        <v>0</v>
      </c>
      <c r="L1509" s="169">
        <f>Imput[[#This Row],[Sub total]]+Imput[[#This Row],[IVA]]-Imput[[#This Row],[Retención / IEPS / Descuento]]</f>
        <v>22400.004896000002</v>
      </c>
      <c r="M1509" s="844">
        <v>0</v>
      </c>
      <c r="N1509" s="189" t="s">
        <v>123</v>
      </c>
      <c r="O1509" s="1"/>
      <c r="P1509" s="189" t="s">
        <v>4372</v>
      </c>
      <c r="Q1509" s="190" t="s">
        <v>4373</v>
      </c>
      <c r="R1509" s="188">
        <v>46006</v>
      </c>
      <c r="S1509" s="193" t="s">
        <v>126</v>
      </c>
      <c r="T1509" s="192"/>
      <c r="U1509" s="829"/>
      <c r="V1509" s="10"/>
      <c r="W1509" s="10"/>
      <c r="X1509" s="10"/>
      <c r="Y1509" s="10"/>
      <c r="Z1509" s="10"/>
      <c r="AA1509" s="11"/>
      <c r="AB1509" s="11"/>
    </row>
    <row r="1510" spans="2:28" x14ac:dyDescent="0.3">
      <c r="B1510" s="10" t="s">
        <v>402</v>
      </c>
      <c r="C1510" s="315"/>
      <c r="D1510" s="868" t="s">
        <v>1334</v>
      </c>
      <c r="E1510" s="837" t="str">
        <f>IFERROR(IF(_xlfn.XLOOKUP(Imput[[#This Row],[RFC]],'Alta Proveedor'!D:D,'Alta Proveedor'!E:E)=0,"",_xlfn.XLOOKUP(Imput[[#This Row],[RFC]],'Alta Proveedor'!D:D,'Alta Proveedor'!E:E)),"")</f>
        <v>DIMARSA PLOMERIA Y AZULEJOS</v>
      </c>
      <c r="F1510" s="832" t="s">
        <v>4374</v>
      </c>
      <c r="G1510" s="187">
        <v>2</v>
      </c>
      <c r="H1510" s="1">
        <v>2637.931</v>
      </c>
      <c r="I1510" s="169">
        <f>Imput[[#This Row],[Cantidad]]*Imput[[#This Row],[Precio Unitario]]</f>
        <v>5275.8620000000001</v>
      </c>
      <c r="J1510" s="11">
        <f>((Imput[[#This Row],[Sub total]])*(0.16))</f>
        <v>844.13792000000001</v>
      </c>
      <c r="K1510" s="11">
        <v>0</v>
      </c>
      <c r="L1510" s="169">
        <f>Imput[[#This Row],[Sub total]]+Imput[[#This Row],[IVA]]-Imput[[#This Row],[Retención / IEPS / Descuento]]</f>
        <v>6119.9999200000002</v>
      </c>
      <c r="M1510" s="844">
        <v>6119.9999200000002</v>
      </c>
      <c r="N1510" s="189" t="s">
        <v>123</v>
      </c>
      <c r="O1510" s="1"/>
      <c r="P1510" s="189" t="s">
        <v>4375</v>
      </c>
      <c r="Q1510" s="190" t="s">
        <v>4376</v>
      </c>
      <c r="R1510" s="188">
        <v>46009</v>
      </c>
      <c r="S1510" s="193" t="s">
        <v>126</v>
      </c>
      <c r="T1510" s="192"/>
      <c r="U1510" s="829"/>
      <c r="V1510" s="10"/>
      <c r="W1510" s="10"/>
      <c r="X1510" s="10"/>
      <c r="Y1510" s="10"/>
      <c r="Z1510" s="10"/>
      <c r="AA1510" s="11"/>
      <c r="AB1510" s="11"/>
    </row>
    <row r="1511" spans="2:28" x14ac:dyDescent="0.3">
      <c r="B1511" s="10" t="s">
        <v>402</v>
      </c>
      <c r="C1511" s="315"/>
      <c r="D1511" s="868" t="s">
        <v>4176</v>
      </c>
      <c r="E1511" s="837" t="str">
        <f>IFERROR(IF(_xlfn.XLOOKUP(Imput[[#This Row],[RFC]],'Alta Proveedor'!D:D,'Alta Proveedor'!E:E)=0,"",_xlfn.XLOOKUP(Imput[[#This Row],[RFC]],'Alta Proveedor'!D:D,'Alta Proveedor'!E:E)),"")</f>
        <v>GABRIEL LOZADA FELIPE (HOSPEDAJE)</v>
      </c>
      <c r="F1511" s="832" t="s">
        <v>4379</v>
      </c>
      <c r="G1511" s="187">
        <v>1</v>
      </c>
      <c r="H1511" s="1">
        <v>1707.77</v>
      </c>
      <c r="I1511" s="169">
        <f>Imput[[#This Row],[Cantidad]]*Imput[[#This Row],[Precio Unitario]]</f>
        <v>1707.77</v>
      </c>
      <c r="J1511" s="11">
        <f>((Imput[[#This Row],[Sub total]])*(0.16))</f>
        <v>273.2432</v>
      </c>
      <c r="K1511" s="11">
        <f>182.16+21.35</f>
        <v>203.51</v>
      </c>
      <c r="L1511" s="169">
        <f>Imput[[#This Row],[Sub total]]+Imput[[#This Row],[IVA]]-Imput[[#This Row],[Retención / IEPS / Descuento]]</f>
        <v>1777.5031999999999</v>
      </c>
      <c r="M1511" s="844">
        <v>1777.5031999999999</v>
      </c>
      <c r="N1511" s="189" t="s">
        <v>123</v>
      </c>
      <c r="O1511" s="1"/>
      <c r="P1511" s="189" t="s">
        <v>4377</v>
      </c>
      <c r="Q1511" s="190" t="s">
        <v>4378</v>
      </c>
      <c r="R1511" s="188">
        <v>46017</v>
      </c>
      <c r="S1511" s="193" t="s">
        <v>215</v>
      </c>
      <c r="T1511" s="192"/>
      <c r="U1511" s="829"/>
      <c r="V1511" s="10"/>
      <c r="W1511" s="10"/>
      <c r="X1511" s="10"/>
      <c r="Y1511" s="10"/>
      <c r="Z1511" s="10"/>
      <c r="AA1511" s="11"/>
      <c r="AB1511" s="11"/>
    </row>
    <row r="1512" spans="2:28" x14ac:dyDescent="0.3">
      <c r="B1512" s="10" t="s">
        <v>402</v>
      </c>
      <c r="C1512" s="315"/>
      <c r="D1512" s="868" t="s">
        <v>1334</v>
      </c>
      <c r="E1512" s="837" t="str">
        <f>IFERROR(IF(_xlfn.XLOOKUP(Imput[[#This Row],[RFC]],'Alta Proveedor'!D:D,'Alta Proveedor'!E:E)=0,"",_xlfn.XLOOKUP(Imput[[#This Row],[RFC]],'Alta Proveedor'!D:D,'Alta Proveedor'!E:E)),"")</f>
        <v>DIMARSA PLOMERIA Y AZULEJOS</v>
      </c>
      <c r="F1512" s="832" t="s">
        <v>4382</v>
      </c>
      <c r="G1512" s="187">
        <v>1</v>
      </c>
      <c r="H1512" s="1">
        <v>560.34</v>
      </c>
      <c r="I1512" s="169">
        <f>Imput[[#This Row],[Cantidad]]*Imput[[#This Row],[Precio Unitario]]</f>
        <v>560.34</v>
      </c>
      <c r="J1512" s="11">
        <f>((Imput[[#This Row],[Sub total]])*(0.16))</f>
        <v>89.65440000000001</v>
      </c>
      <c r="K1512" s="11">
        <v>0</v>
      </c>
      <c r="L1512" s="169">
        <f>Imput[[#This Row],[Sub total]]+Imput[[#This Row],[IVA]]-Imput[[#This Row],[Retención / IEPS / Descuento]]</f>
        <v>649.99440000000004</v>
      </c>
      <c r="M1512" s="844">
        <v>1049.9972</v>
      </c>
      <c r="N1512" s="189" t="s">
        <v>123</v>
      </c>
      <c r="O1512" s="1"/>
      <c r="P1512" s="189" t="s">
        <v>4380</v>
      </c>
      <c r="Q1512" s="190" t="s">
        <v>4381</v>
      </c>
      <c r="R1512" s="188">
        <v>46021</v>
      </c>
      <c r="S1512" s="193" t="s">
        <v>126</v>
      </c>
      <c r="T1512" s="192"/>
      <c r="U1512" s="829"/>
      <c r="V1512" s="10"/>
      <c r="W1512" s="10"/>
      <c r="X1512" s="10"/>
      <c r="Y1512" s="10"/>
      <c r="Z1512" s="10"/>
      <c r="AA1512" s="11"/>
      <c r="AB1512" s="11"/>
    </row>
    <row r="1513" spans="2:28" x14ac:dyDescent="0.3">
      <c r="B1513" s="10" t="s">
        <v>402</v>
      </c>
      <c r="C1513" s="315"/>
      <c r="D1513" s="868" t="s">
        <v>1334</v>
      </c>
      <c r="E1513" s="837" t="str">
        <f>IFERROR(IF(_xlfn.XLOOKUP(Imput[[#This Row],[RFC]],'Alta Proveedor'!D:D,'Alta Proveedor'!E:E)=0,"",_xlfn.XLOOKUP(Imput[[#This Row],[RFC]],'Alta Proveedor'!D:D,'Alta Proveedor'!E:E)),"")</f>
        <v>DIMARSA PLOMERIA Y AZULEJOS</v>
      </c>
      <c r="F1513" s="832" t="s">
        <v>4383</v>
      </c>
      <c r="G1513" s="187">
        <v>1</v>
      </c>
      <c r="H1513" s="1">
        <v>344.83</v>
      </c>
      <c r="I1513" s="169">
        <f>Imput[[#This Row],[Cantidad]]*Imput[[#This Row],[Precio Unitario]]</f>
        <v>344.83</v>
      </c>
      <c r="J1513" s="11">
        <f>((Imput[[#This Row],[Sub total]])*(0.16))</f>
        <v>55.172799999999995</v>
      </c>
      <c r="K1513" s="11">
        <v>0</v>
      </c>
      <c r="L1513" s="169">
        <f>Imput[[#This Row],[Sub total]]+Imput[[#This Row],[IVA]]-Imput[[#This Row],[Retención / IEPS / Descuento]]</f>
        <v>400.00279999999998</v>
      </c>
      <c r="M1513" s="844">
        <v>0</v>
      </c>
      <c r="N1513" s="189" t="s">
        <v>123</v>
      </c>
      <c r="O1513" s="1"/>
      <c r="P1513" s="189" t="s">
        <v>4380</v>
      </c>
      <c r="Q1513" s="190" t="s">
        <v>4381</v>
      </c>
      <c r="R1513" s="188">
        <v>46021</v>
      </c>
      <c r="S1513" s="193" t="s">
        <v>126</v>
      </c>
      <c r="T1513" s="192"/>
      <c r="U1513" s="829"/>
      <c r="V1513" s="10"/>
      <c r="W1513" s="10"/>
      <c r="X1513" s="10"/>
      <c r="Y1513" s="10"/>
      <c r="Z1513" s="10"/>
      <c r="AA1513" s="11"/>
      <c r="AB1513" s="11"/>
    </row>
    <row r="1514" spans="2:28" x14ac:dyDescent="0.3">
      <c r="B1514" s="10" t="s">
        <v>403</v>
      </c>
      <c r="C1514" s="315"/>
      <c r="D1514" s="868" t="s">
        <v>1334</v>
      </c>
      <c r="E1514" s="837" t="str">
        <f>IFERROR(IF(_xlfn.XLOOKUP(Imput[[#This Row],[RFC]],'Alta Proveedor'!D:D,'Alta Proveedor'!E:E)=0,"",_xlfn.XLOOKUP(Imput[[#This Row],[RFC]],'Alta Proveedor'!D:D,'Alta Proveedor'!E:E)),"")</f>
        <v>DIMARSA PLOMERIA Y AZULEJOS</v>
      </c>
      <c r="F1514" s="832" t="s">
        <v>4386</v>
      </c>
      <c r="G1514" s="187">
        <v>5</v>
      </c>
      <c r="H1514" s="1">
        <v>112.07</v>
      </c>
      <c r="I1514" s="169">
        <f>Imput[[#This Row],[Cantidad]]*Imput[[#This Row],[Precio Unitario]]</f>
        <v>560.34999999999991</v>
      </c>
      <c r="J1514" s="11">
        <f>((Imput[[#This Row],[Sub total]])*(0.16))</f>
        <v>89.655999999999992</v>
      </c>
      <c r="K1514" s="11">
        <v>0</v>
      </c>
      <c r="L1514" s="169">
        <f>Imput[[#This Row],[Sub total]]+Imput[[#This Row],[IVA]]-Imput[[#This Row],[Retención / IEPS / Descuento]]</f>
        <v>650.00599999999986</v>
      </c>
      <c r="M1514" s="844">
        <v>758.99959999999987</v>
      </c>
      <c r="N1514" s="189" t="s">
        <v>123</v>
      </c>
      <c r="O1514" s="1"/>
      <c r="P1514" s="189" t="s">
        <v>4384</v>
      </c>
      <c r="Q1514" s="190" t="s">
        <v>4385</v>
      </c>
      <c r="R1514" s="188">
        <v>46025</v>
      </c>
      <c r="S1514" s="193" t="s">
        <v>126</v>
      </c>
      <c r="T1514" s="192"/>
      <c r="U1514" s="829"/>
      <c r="V1514" s="10"/>
      <c r="W1514" s="10"/>
      <c r="X1514" s="10"/>
      <c r="Y1514" s="10"/>
      <c r="Z1514" s="10"/>
      <c r="AA1514" s="11"/>
      <c r="AB1514" s="11"/>
    </row>
    <row r="1515" spans="2:28" x14ac:dyDescent="0.3">
      <c r="B1515" s="10" t="s">
        <v>403</v>
      </c>
      <c r="C1515" s="315"/>
      <c r="D1515" s="868" t="s">
        <v>1334</v>
      </c>
      <c r="E1515" s="837" t="str">
        <f>IFERROR(IF(_xlfn.XLOOKUP(Imput[[#This Row],[RFC]],'Alta Proveedor'!D:D,'Alta Proveedor'!E:E)=0,"",_xlfn.XLOOKUP(Imput[[#This Row],[RFC]],'Alta Proveedor'!D:D,'Alta Proveedor'!E:E)),"")</f>
        <v>DIMARSA PLOMERIA Y AZULEJOS</v>
      </c>
      <c r="F1515" s="832" t="s">
        <v>4387</v>
      </c>
      <c r="G1515" s="187">
        <v>2</v>
      </c>
      <c r="H1515" s="1">
        <v>9.48</v>
      </c>
      <c r="I1515" s="169">
        <f>Imput[[#This Row],[Cantidad]]*Imput[[#This Row],[Precio Unitario]]</f>
        <v>18.96</v>
      </c>
      <c r="J1515" s="11">
        <f>((Imput[[#This Row],[Sub total]])*(0.16))</f>
        <v>3.0336000000000003</v>
      </c>
      <c r="K1515" s="11">
        <v>0</v>
      </c>
      <c r="L1515" s="169">
        <f>Imput[[#This Row],[Sub total]]+Imput[[#This Row],[IVA]]-Imput[[#This Row],[Retención / IEPS / Descuento]]</f>
        <v>21.993600000000001</v>
      </c>
      <c r="M1515" s="844">
        <v>0</v>
      </c>
      <c r="N1515" s="189" t="s">
        <v>123</v>
      </c>
      <c r="O1515" s="1"/>
      <c r="P1515" s="189" t="s">
        <v>4384</v>
      </c>
      <c r="Q1515" s="190" t="s">
        <v>4385</v>
      </c>
      <c r="R1515" s="188">
        <v>46025</v>
      </c>
      <c r="S1515" s="193" t="s">
        <v>126</v>
      </c>
      <c r="T1515" s="192"/>
      <c r="U1515" s="829"/>
      <c r="V1515" s="10"/>
      <c r="W1515" s="10"/>
      <c r="X1515" s="10"/>
      <c r="Y1515" s="10"/>
      <c r="Z1515" s="10"/>
      <c r="AA1515" s="11"/>
      <c r="AB1515" s="11"/>
    </row>
    <row r="1516" spans="2:28" x14ac:dyDescent="0.3">
      <c r="B1516" s="10" t="s">
        <v>403</v>
      </c>
      <c r="C1516" s="315"/>
      <c r="D1516" s="868" t="s">
        <v>1334</v>
      </c>
      <c r="E1516" s="837" t="str">
        <f>IFERROR(IF(_xlfn.XLOOKUP(Imput[[#This Row],[RFC]],'Alta Proveedor'!D:D,'Alta Proveedor'!E:E)=0,"",_xlfn.XLOOKUP(Imput[[#This Row],[RFC]],'Alta Proveedor'!D:D,'Alta Proveedor'!E:E)),"")</f>
        <v>DIMARSA PLOMERIA Y AZULEJOS</v>
      </c>
      <c r="F1516" s="832" t="s">
        <v>4388</v>
      </c>
      <c r="G1516" s="187">
        <v>3</v>
      </c>
      <c r="H1516" s="1">
        <v>25</v>
      </c>
      <c r="I1516" s="169">
        <f>Imput[[#This Row],[Cantidad]]*Imput[[#This Row],[Precio Unitario]]</f>
        <v>75</v>
      </c>
      <c r="J1516" s="11">
        <f>((Imput[[#This Row],[Sub total]])*(0.16))</f>
        <v>12</v>
      </c>
      <c r="K1516" s="11">
        <v>0</v>
      </c>
      <c r="L1516" s="169">
        <f>Imput[[#This Row],[Sub total]]+Imput[[#This Row],[IVA]]-Imput[[#This Row],[Retención / IEPS / Descuento]]</f>
        <v>87</v>
      </c>
      <c r="M1516" s="844">
        <v>0</v>
      </c>
      <c r="N1516" s="189" t="s">
        <v>123</v>
      </c>
      <c r="O1516" s="1"/>
      <c r="P1516" s="189" t="s">
        <v>4384</v>
      </c>
      <c r="Q1516" s="190" t="s">
        <v>4385</v>
      </c>
      <c r="R1516" s="188">
        <v>46025</v>
      </c>
      <c r="S1516" s="193" t="s">
        <v>126</v>
      </c>
      <c r="T1516" s="192"/>
      <c r="U1516" s="829"/>
      <c r="V1516" s="10"/>
      <c r="W1516" s="10"/>
      <c r="X1516" s="10"/>
      <c r="Y1516" s="10"/>
      <c r="Z1516" s="10"/>
      <c r="AA1516" s="11"/>
      <c r="AB1516" s="11"/>
    </row>
    <row r="1517" spans="2:28" x14ac:dyDescent="0.3">
      <c r="B1517" s="10" t="s">
        <v>403</v>
      </c>
      <c r="C1517" s="315" t="s">
        <v>1747</v>
      </c>
      <c r="D1517" s="868" t="s">
        <v>4391</v>
      </c>
      <c r="E1517" s="837" t="str">
        <f>IFERROR(IF(_xlfn.XLOOKUP(Imput[[#This Row],[RFC]],'Alta Proveedor'!D:D,'Alta Proveedor'!E:E)=0,"",_xlfn.XLOOKUP(Imput[[#This Row],[RFC]],'Alta Proveedor'!D:D,'Alta Proveedor'!E:E)),"")</f>
        <v>AURORA LEON SANCHEZ (HOSPEDAJE)</v>
      </c>
      <c r="F1517" s="832" t="s">
        <v>4393</v>
      </c>
      <c r="G1517" s="187">
        <v>1</v>
      </c>
      <c r="H1517" s="1">
        <v>504.21</v>
      </c>
      <c r="I1517" s="169">
        <f>Imput[[#This Row],[Cantidad]]*Imput[[#This Row],[Precio Unitario]]</f>
        <v>504.21</v>
      </c>
      <c r="J1517" s="11">
        <f>((Imput[[#This Row],[Sub total]])*(0.16))</f>
        <v>80.673599999999993</v>
      </c>
      <c r="K1517" s="11">
        <v>-15.13</v>
      </c>
      <c r="L1517" s="169">
        <f>Imput[[#This Row],[Sub total]]+Imput[[#This Row],[IVA]]-Imput[[#This Row],[Retención / IEPS / Descuento]]</f>
        <v>600.0136</v>
      </c>
      <c r="M1517" s="844">
        <v>600.0136</v>
      </c>
      <c r="N1517" s="189" t="s">
        <v>123</v>
      </c>
      <c r="O1517" s="1"/>
      <c r="P1517" s="189" t="s">
        <v>4389</v>
      </c>
      <c r="Q1517" s="190" t="s">
        <v>4390</v>
      </c>
      <c r="R1517" s="188">
        <v>46027</v>
      </c>
      <c r="S1517" s="193" t="s">
        <v>215</v>
      </c>
      <c r="T1517" s="192"/>
      <c r="U1517" s="829"/>
      <c r="V1517" s="10"/>
      <c r="W1517" s="10"/>
      <c r="X1517" s="10"/>
      <c r="Y1517" s="10"/>
      <c r="Z1517" s="10"/>
      <c r="AA1517" s="11"/>
      <c r="AB1517" s="11"/>
    </row>
    <row r="1518" spans="2:28" x14ac:dyDescent="0.3">
      <c r="B1518" s="10" t="s">
        <v>403</v>
      </c>
      <c r="C1518" s="315"/>
      <c r="D1518" s="868" t="s">
        <v>4308</v>
      </c>
      <c r="E1518" s="837" t="str">
        <f>IFERROR(IF(_xlfn.XLOOKUP(Imput[[#This Row],[RFC]],'Alta Proveedor'!D:D,'Alta Proveedor'!E:E)=0,"",_xlfn.XLOOKUP(Imput[[#This Row],[RFC]],'Alta Proveedor'!D:D,'Alta Proveedor'!E:E)),"")</f>
        <v>MATERIALES SAN JUAN MATERIAL PARA CONTRUCCION, FERRETERIA, PLOMERIA Y MATERIAL ELECTRICO</v>
      </c>
      <c r="F1518" s="832" t="s">
        <v>4396</v>
      </c>
      <c r="G1518" s="187">
        <v>3</v>
      </c>
      <c r="H1518" s="1">
        <v>100</v>
      </c>
      <c r="I1518" s="169">
        <f>Imput[[#This Row],[Cantidad]]*Imput[[#This Row],[Precio Unitario]]</f>
        <v>300</v>
      </c>
      <c r="J1518" s="11">
        <f>((Imput[[#This Row],[Sub total]])*(0.16))</f>
        <v>48</v>
      </c>
      <c r="K1518" s="11">
        <v>0</v>
      </c>
      <c r="L1518" s="169">
        <f>Imput[[#This Row],[Sub total]]+Imput[[#This Row],[IVA]]-Imput[[#This Row],[Retención / IEPS / Descuento]]</f>
        <v>348</v>
      </c>
      <c r="M1518" s="844">
        <v>2195.9960000000001</v>
      </c>
      <c r="N1518" s="189" t="s">
        <v>123</v>
      </c>
      <c r="O1518" s="1"/>
      <c r="P1518" s="189" t="s">
        <v>4394</v>
      </c>
      <c r="Q1518" s="190" t="s">
        <v>4395</v>
      </c>
      <c r="R1518" s="188">
        <v>46029</v>
      </c>
      <c r="S1518" s="193" t="s">
        <v>126</v>
      </c>
      <c r="T1518" s="192"/>
      <c r="U1518" s="829"/>
      <c r="V1518" s="10"/>
      <c r="W1518" s="10"/>
      <c r="X1518" s="10"/>
      <c r="Y1518" s="10"/>
      <c r="Z1518" s="10"/>
      <c r="AA1518" s="11"/>
      <c r="AB1518" s="11"/>
    </row>
    <row r="1519" spans="2:28" x14ac:dyDescent="0.3">
      <c r="B1519" s="10" t="s">
        <v>403</v>
      </c>
      <c r="C1519" s="315"/>
      <c r="D1519" s="868" t="s">
        <v>4308</v>
      </c>
      <c r="E1519" s="837" t="str">
        <f>IFERROR(IF(_xlfn.XLOOKUP(Imput[[#This Row],[RFC]],'Alta Proveedor'!D:D,'Alta Proveedor'!E:E)=0,"",_xlfn.XLOOKUP(Imput[[#This Row],[RFC]],'Alta Proveedor'!D:D,'Alta Proveedor'!E:E)),"")</f>
        <v>MATERIALES SAN JUAN MATERIAL PARA CONTRUCCION, FERRETERIA, PLOMERIA Y MATERIAL ELECTRICO</v>
      </c>
      <c r="F1519" s="832" t="s">
        <v>4397</v>
      </c>
      <c r="G1519" s="187">
        <v>3</v>
      </c>
      <c r="H1519" s="1">
        <v>100</v>
      </c>
      <c r="I1519" s="169">
        <f>Imput[[#This Row],[Cantidad]]*Imput[[#This Row],[Precio Unitario]]</f>
        <v>300</v>
      </c>
      <c r="J1519" s="11">
        <f>((Imput[[#This Row],[Sub total]])*(0.16))</f>
        <v>48</v>
      </c>
      <c r="K1519" s="11">
        <v>0</v>
      </c>
      <c r="L1519" s="169">
        <f>Imput[[#This Row],[Sub total]]+Imput[[#This Row],[IVA]]-Imput[[#This Row],[Retención / IEPS / Descuento]]</f>
        <v>348</v>
      </c>
      <c r="M1519" s="844">
        <v>0</v>
      </c>
      <c r="N1519" s="189" t="s">
        <v>123</v>
      </c>
      <c r="O1519" s="1"/>
      <c r="P1519" s="189" t="s">
        <v>4394</v>
      </c>
      <c r="Q1519" s="190" t="s">
        <v>4395</v>
      </c>
      <c r="R1519" s="188">
        <v>46029</v>
      </c>
      <c r="S1519" s="193" t="s">
        <v>126</v>
      </c>
      <c r="T1519" s="192"/>
      <c r="U1519" s="829"/>
      <c r="V1519" s="10"/>
      <c r="W1519" s="10"/>
      <c r="X1519" s="10"/>
      <c r="Y1519" s="10"/>
      <c r="Z1519" s="10"/>
      <c r="AA1519" s="11"/>
      <c r="AB1519" s="11"/>
    </row>
    <row r="1520" spans="2:28" x14ac:dyDescent="0.3">
      <c r="B1520" s="10" t="s">
        <v>403</v>
      </c>
      <c r="C1520" s="315"/>
      <c r="D1520" s="868" t="s">
        <v>4308</v>
      </c>
      <c r="E1520" s="837" t="str">
        <f>IFERROR(IF(_xlfn.XLOOKUP(Imput[[#This Row],[RFC]],'Alta Proveedor'!D:D,'Alta Proveedor'!E:E)=0,"",_xlfn.XLOOKUP(Imput[[#This Row],[RFC]],'Alta Proveedor'!D:D,'Alta Proveedor'!E:E)),"")</f>
        <v>MATERIALES SAN JUAN MATERIAL PARA CONTRUCCION, FERRETERIA, PLOMERIA Y MATERIAL ELECTRICO</v>
      </c>
      <c r="F1520" s="832" t="s">
        <v>4398</v>
      </c>
      <c r="G1520" s="187">
        <v>10</v>
      </c>
      <c r="H1520" s="1">
        <v>129.31</v>
      </c>
      <c r="I1520" s="169">
        <f>Imput[[#This Row],[Cantidad]]*Imput[[#This Row],[Precio Unitario]]</f>
        <v>1293.0999999999999</v>
      </c>
      <c r="J1520" s="11">
        <f>((Imput[[#This Row],[Sub total]])*(0.16))</f>
        <v>206.89599999999999</v>
      </c>
      <c r="K1520" s="11">
        <v>0</v>
      </c>
      <c r="L1520" s="169">
        <f>Imput[[#This Row],[Sub total]]+Imput[[#This Row],[IVA]]-Imput[[#This Row],[Retención / IEPS / Descuento]]</f>
        <v>1499.9959999999999</v>
      </c>
      <c r="M1520" s="844">
        <v>0</v>
      </c>
      <c r="N1520" s="189" t="s">
        <v>123</v>
      </c>
      <c r="O1520" s="1"/>
      <c r="P1520" s="189" t="s">
        <v>4394</v>
      </c>
      <c r="Q1520" s="190" t="s">
        <v>4395</v>
      </c>
      <c r="R1520" s="188">
        <v>46029</v>
      </c>
      <c r="S1520" s="193" t="s">
        <v>126</v>
      </c>
      <c r="T1520" s="192"/>
      <c r="U1520" s="829"/>
      <c r="V1520" s="10"/>
      <c r="W1520" s="10"/>
      <c r="X1520" s="10"/>
      <c r="Y1520" s="10"/>
      <c r="Z1520" s="10"/>
      <c r="AA1520" s="11"/>
      <c r="AB1520" s="11"/>
    </row>
    <row r="1521" spans="2:28" x14ac:dyDescent="0.3">
      <c r="B1521" s="10" t="s">
        <v>403</v>
      </c>
      <c r="C1521" s="315" t="s">
        <v>1767</v>
      </c>
      <c r="D1521" s="868" t="s">
        <v>4401</v>
      </c>
      <c r="E1521" s="837" t="str">
        <f>IFERROR(IF(_xlfn.XLOOKUP(Imput[[#This Row],[RFC]],'Alta Proveedor'!D:D,'Alta Proveedor'!E:E)=0,"",_xlfn.XLOOKUP(Imput[[#This Row],[RFC]],'Alta Proveedor'!D:D,'Alta Proveedor'!E:E)),"")</f>
        <v>DAVID SANCHEZ NOLASCO (DST CONNECTIVITY)</v>
      </c>
      <c r="F1521" s="832" t="s">
        <v>1145</v>
      </c>
      <c r="G1521" s="187">
        <v>76.046066999999994</v>
      </c>
      <c r="H1521" s="1">
        <f>1757.94/Imput[[#This Row],[Cantidad]]</f>
        <v>23.116777360754241</v>
      </c>
      <c r="I1521" s="169">
        <f>Imput[[#This Row],[Cantidad]]*Imput[[#This Row],[Precio Unitario]]</f>
        <v>1757.94</v>
      </c>
      <c r="J1521" s="11">
        <f>((1703.06)*(0.16))</f>
        <v>272.4896</v>
      </c>
      <c r="K1521" s="11">
        <v>0</v>
      </c>
      <c r="L1521" s="169">
        <f>Imput[[#This Row],[Sub total]]+Imput[[#This Row],[IVA]]-Imput[[#This Row],[Retención / IEPS / Descuento]]</f>
        <v>2030.4295999999999</v>
      </c>
      <c r="M1521" s="844">
        <v>2030.4295999999999</v>
      </c>
      <c r="N1521" s="189" t="s">
        <v>123</v>
      </c>
      <c r="O1521" s="1"/>
      <c r="P1521" s="189" t="s">
        <v>4399</v>
      </c>
      <c r="Q1521" s="190" t="s">
        <v>4400</v>
      </c>
      <c r="R1521" s="188">
        <v>46033</v>
      </c>
      <c r="S1521" s="193" t="s">
        <v>126</v>
      </c>
      <c r="T1521" s="192"/>
      <c r="U1521" s="829"/>
      <c r="V1521" s="10"/>
      <c r="W1521" s="10"/>
      <c r="X1521" s="10"/>
      <c r="Y1521" s="10"/>
      <c r="Z1521" s="10"/>
      <c r="AA1521" s="11"/>
      <c r="AB1521" s="11"/>
    </row>
    <row r="1522" spans="2:28" x14ac:dyDescent="0.3">
      <c r="B1522" s="10" t="s">
        <v>403</v>
      </c>
      <c r="C1522" s="315"/>
      <c r="D1522" s="868" t="s">
        <v>164</v>
      </c>
      <c r="E1522" s="837" t="str">
        <f>IFERROR(IF(_xlfn.XLOOKUP(Imput[[#This Row],[RFC]],'Alta Proveedor'!D:D,'Alta Proveedor'!E:E)=0,"",_xlfn.XLOOKUP(Imput[[#This Row],[RFC]],'Alta Proveedor'!D:D,'Alta Proveedor'!E:E)),"")</f>
        <v>HOME DEPOT MEXICO SUCURSAL THD-8730 TAMPICO</v>
      </c>
      <c r="F1522" s="832" t="s">
        <v>3850</v>
      </c>
      <c r="G1522" s="187">
        <v>5</v>
      </c>
      <c r="H1522" s="1">
        <f>172.41/Imput[[#This Row],[Cantidad]]</f>
        <v>34.481999999999999</v>
      </c>
      <c r="I1522" s="169">
        <f>Imput[[#This Row],[Cantidad]]*Imput[[#This Row],[Precio Unitario]]</f>
        <v>172.41</v>
      </c>
      <c r="J1522" s="11">
        <f>((Imput[[#This Row],[Sub total]]-17.24)*(0.16))+0.003</f>
        <v>24.830199999999998</v>
      </c>
      <c r="K1522" s="11">
        <v>17.239999999999998</v>
      </c>
      <c r="L1522" s="169">
        <f>Imput[[#This Row],[Sub total]]+Imput[[#This Row],[IVA]]-Imput[[#This Row],[Retención / IEPS / Descuento]]</f>
        <v>180.00019999999998</v>
      </c>
      <c r="M1522" s="844">
        <v>2612.4969999999998</v>
      </c>
      <c r="N1522" s="189" t="s">
        <v>123</v>
      </c>
      <c r="O1522" s="1"/>
      <c r="P1522" s="189" t="s">
        <v>4403</v>
      </c>
      <c r="Q1522" s="190" t="s">
        <v>4404</v>
      </c>
      <c r="R1522" s="188">
        <v>46034</v>
      </c>
      <c r="S1522" s="193" t="s">
        <v>126</v>
      </c>
      <c r="T1522" s="192"/>
      <c r="U1522" s="829"/>
      <c r="V1522" s="10"/>
      <c r="W1522" s="10"/>
      <c r="X1522" s="10"/>
      <c r="Y1522" s="10"/>
      <c r="Z1522" s="10"/>
      <c r="AA1522" s="11"/>
      <c r="AB1522" s="11"/>
    </row>
    <row r="1523" spans="2:28" x14ac:dyDescent="0.3">
      <c r="B1523" s="10" t="s">
        <v>403</v>
      </c>
      <c r="C1523" s="315"/>
      <c r="D1523" s="868" t="s">
        <v>164</v>
      </c>
      <c r="E1523" s="837" t="str">
        <f>IFERROR(IF(_xlfn.XLOOKUP(Imput[[#This Row],[RFC]],'Alta Proveedor'!D:D,'Alta Proveedor'!E:E)=0,"",_xlfn.XLOOKUP(Imput[[#This Row],[RFC]],'Alta Proveedor'!D:D,'Alta Proveedor'!E:E)),"")</f>
        <v>HOME DEPOT MEXICO SUCURSAL THD-8730 TAMPICO</v>
      </c>
      <c r="F1523" s="832" t="s">
        <v>3865</v>
      </c>
      <c r="G1523" s="187">
        <v>5</v>
      </c>
      <c r="H1523" s="1">
        <f>323.28/Imput[[#This Row],[Cantidad]]</f>
        <v>64.655999999999992</v>
      </c>
      <c r="I1523" s="169">
        <f>Imput[[#This Row],[Cantidad]]*Imput[[#This Row],[Precio Unitario]]</f>
        <v>323.27999999999997</v>
      </c>
      <c r="J1523" s="11">
        <f>((Imput[[#This Row],[Sub total]]-32.33)*(0.16))</f>
        <v>46.552</v>
      </c>
      <c r="K1523" s="11">
        <v>32.33</v>
      </c>
      <c r="L1523" s="169">
        <f>Imput[[#This Row],[Sub total]]+Imput[[#This Row],[IVA]]-Imput[[#This Row],[Retención / IEPS / Descuento]]</f>
        <v>337.50200000000001</v>
      </c>
      <c r="M1523" s="844">
        <v>0</v>
      </c>
      <c r="N1523" s="189" t="s">
        <v>123</v>
      </c>
      <c r="O1523" s="1"/>
      <c r="P1523" s="189" t="s">
        <v>4403</v>
      </c>
      <c r="Q1523" s="190" t="s">
        <v>4404</v>
      </c>
      <c r="R1523" s="188">
        <v>46034</v>
      </c>
      <c r="S1523" s="193" t="s">
        <v>126</v>
      </c>
      <c r="T1523" s="192"/>
      <c r="U1523" s="829"/>
      <c r="V1523" s="10"/>
      <c r="W1523" s="10"/>
      <c r="X1523" s="10"/>
      <c r="Y1523" s="10"/>
      <c r="Z1523" s="10"/>
      <c r="AA1523" s="11"/>
      <c r="AB1523" s="11"/>
    </row>
    <row r="1524" spans="2:28" x14ac:dyDescent="0.3">
      <c r="B1524" s="10" t="s">
        <v>403</v>
      </c>
      <c r="C1524" s="315"/>
      <c r="D1524" s="868" t="s">
        <v>164</v>
      </c>
      <c r="E1524" s="837" t="str">
        <f>IFERROR(IF(_xlfn.XLOOKUP(Imput[[#This Row],[RFC]],'Alta Proveedor'!D:D,'Alta Proveedor'!E:E)=0,"",_xlfn.XLOOKUP(Imput[[#This Row],[RFC]],'Alta Proveedor'!D:D,'Alta Proveedor'!E:E)),"")</f>
        <v>HOME DEPOT MEXICO SUCURSAL THD-8730 TAMPICO</v>
      </c>
      <c r="F1524" s="832" t="s">
        <v>4074</v>
      </c>
      <c r="G1524" s="187">
        <v>17</v>
      </c>
      <c r="H1524" s="1">
        <f>571.55/Imput[[#This Row],[Cantidad]]</f>
        <v>33.620588235294115</v>
      </c>
      <c r="I1524" s="169">
        <f>Imput[[#This Row],[Cantidad]]*Imput[[#This Row],[Precio Unitario]]</f>
        <v>571.54999999999995</v>
      </c>
      <c r="J1524" s="11">
        <f>((Imput[[#This Row],[Sub total]])*(0.16))</f>
        <v>91.447999999999993</v>
      </c>
      <c r="K1524" s="11">
        <v>0</v>
      </c>
      <c r="L1524" s="169">
        <f>Imput[[#This Row],[Sub total]]+Imput[[#This Row],[IVA]]-Imput[[#This Row],[Retención / IEPS / Descuento]]</f>
        <v>662.99799999999993</v>
      </c>
      <c r="M1524" s="844">
        <v>0</v>
      </c>
      <c r="N1524" s="189" t="s">
        <v>123</v>
      </c>
      <c r="O1524" s="1"/>
      <c r="P1524" s="189" t="s">
        <v>4403</v>
      </c>
      <c r="Q1524" s="190" t="s">
        <v>4404</v>
      </c>
      <c r="R1524" s="188">
        <v>46034</v>
      </c>
      <c r="S1524" s="193" t="s">
        <v>126</v>
      </c>
      <c r="T1524" s="192"/>
      <c r="U1524" s="829"/>
      <c r="V1524" s="10"/>
      <c r="W1524" s="10"/>
      <c r="X1524" s="10"/>
      <c r="Y1524" s="10"/>
      <c r="Z1524" s="10"/>
      <c r="AA1524" s="11"/>
      <c r="AB1524" s="11"/>
    </row>
    <row r="1525" spans="2:28" x14ac:dyDescent="0.3">
      <c r="B1525" s="10" t="s">
        <v>403</v>
      </c>
      <c r="C1525" s="315"/>
      <c r="D1525" s="868" t="s">
        <v>164</v>
      </c>
      <c r="E1525" s="837" t="str">
        <f>IFERROR(IF(_xlfn.XLOOKUP(Imput[[#This Row],[RFC]],'Alta Proveedor'!D:D,'Alta Proveedor'!E:E)=0,"",_xlfn.XLOOKUP(Imput[[#This Row],[RFC]],'Alta Proveedor'!D:D,'Alta Proveedor'!E:E)),"")</f>
        <v>HOME DEPOT MEXICO SUCURSAL THD-8730 TAMPICO</v>
      </c>
      <c r="F1525" s="832" t="s">
        <v>3848</v>
      </c>
      <c r="G1525" s="187">
        <v>17</v>
      </c>
      <c r="H1525" s="1">
        <f>234.48/Imput[[#This Row],[Cantidad]]</f>
        <v>13.792941176470588</v>
      </c>
      <c r="I1525" s="169">
        <f>Imput[[#This Row],[Cantidad]]*Imput[[#This Row],[Precio Unitario]]</f>
        <v>234.48</v>
      </c>
      <c r="J1525" s="11">
        <f>((Imput[[#This Row],[Sub total]])*(0.16))</f>
        <v>37.516799999999996</v>
      </c>
      <c r="K1525" s="11">
        <v>0</v>
      </c>
      <c r="L1525" s="169">
        <f>Imput[[#This Row],[Sub total]]+Imput[[#This Row],[IVA]]-Imput[[#This Row],[Retención / IEPS / Descuento]]</f>
        <v>271.99680000000001</v>
      </c>
      <c r="M1525" s="844">
        <v>0</v>
      </c>
      <c r="N1525" s="189" t="s">
        <v>123</v>
      </c>
      <c r="O1525" s="1"/>
      <c r="P1525" s="189" t="s">
        <v>4403</v>
      </c>
      <c r="Q1525" s="190" t="s">
        <v>4404</v>
      </c>
      <c r="R1525" s="188">
        <v>46034</v>
      </c>
      <c r="S1525" s="193" t="s">
        <v>126</v>
      </c>
      <c r="T1525" s="192"/>
      <c r="U1525" s="829"/>
      <c r="V1525" s="10"/>
      <c r="W1525" s="10"/>
      <c r="X1525" s="10"/>
      <c r="Y1525" s="10"/>
      <c r="Z1525" s="10"/>
      <c r="AA1525" s="11"/>
      <c r="AB1525" s="11"/>
    </row>
    <row r="1526" spans="2:28" x14ac:dyDescent="0.3">
      <c r="B1526" s="10" t="s">
        <v>403</v>
      </c>
      <c r="C1526" s="315"/>
      <c r="D1526" s="868" t="s">
        <v>164</v>
      </c>
      <c r="E1526" s="837" t="str">
        <f>IFERROR(IF(_xlfn.XLOOKUP(Imput[[#This Row],[RFC]],'Alta Proveedor'!D:D,'Alta Proveedor'!E:E)=0,"",_xlfn.XLOOKUP(Imput[[#This Row],[RFC]],'Alta Proveedor'!D:D,'Alta Proveedor'!E:E)),"")</f>
        <v>HOME DEPOT MEXICO SUCURSAL THD-8730 TAMPICO</v>
      </c>
      <c r="F1526" s="832" t="s">
        <v>4049</v>
      </c>
      <c r="G1526" s="187">
        <v>20</v>
      </c>
      <c r="H1526" s="1">
        <f>1000/Imput[[#This Row],[Cantidad]]</f>
        <v>50</v>
      </c>
      <c r="I1526" s="169">
        <f>Imput[[#This Row],[Cantidad]]*Imput[[#This Row],[Precio Unitario]]</f>
        <v>1000</v>
      </c>
      <c r="J1526" s="11">
        <f>((Imput[[#This Row],[Sub total]])*(0.16))</f>
        <v>160</v>
      </c>
      <c r="K1526" s="11">
        <v>0</v>
      </c>
      <c r="L1526" s="169">
        <f>Imput[[#This Row],[Sub total]]+Imput[[#This Row],[IVA]]-Imput[[#This Row],[Retención / IEPS / Descuento]]</f>
        <v>1160</v>
      </c>
      <c r="M1526" s="844">
        <v>0</v>
      </c>
      <c r="N1526" s="189" t="s">
        <v>123</v>
      </c>
      <c r="O1526" s="1"/>
      <c r="P1526" s="189" t="s">
        <v>4403</v>
      </c>
      <c r="Q1526" s="190" t="s">
        <v>4404</v>
      </c>
      <c r="R1526" s="188">
        <v>46034</v>
      </c>
      <c r="S1526" s="193" t="s">
        <v>126</v>
      </c>
      <c r="T1526" s="192"/>
      <c r="U1526" s="829"/>
      <c r="V1526" s="10"/>
      <c r="W1526" s="10"/>
      <c r="X1526" s="10"/>
      <c r="Y1526" s="10"/>
      <c r="Z1526" s="10"/>
      <c r="AA1526" s="11"/>
      <c r="AB1526" s="11"/>
    </row>
    <row r="1527" spans="2:28" x14ac:dyDescent="0.3">
      <c r="B1527" s="10" t="s">
        <v>403</v>
      </c>
      <c r="C1527" s="315" t="s">
        <v>1767</v>
      </c>
      <c r="D1527" s="868" t="s">
        <v>4407</v>
      </c>
      <c r="E1527" s="837" t="str">
        <f>IFERROR(IF(_xlfn.XLOOKUP(Imput[[#This Row],[RFC]],'Alta Proveedor'!D:D,'Alta Proveedor'!E:E)=0,"",_xlfn.XLOOKUP(Imput[[#This Row],[RFC]],'Alta Proveedor'!D:D,'Alta Proveedor'!E:E)),"")</f>
        <v>MULTISERVICIO LA PLATA</v>
      </c>
      <c r="F1527" s="832" t="s">
        <v>237</v>
      </c>
      <c r="G1527" s="187">
        <v>34.604999999999997</v>
      </c>
      <c r="H1527" s="1">
        <f>718.49/Imput[[#This Row],[Cantidad]]</f>
        <v>20.762606559745702</v>
      </c>
      <c r="I1527" s="169">
        <f>Imput[[#This Row],[Cantidad]]*Imput[[#This Row],[Precio Unitario]]</f>
        <v>718.49</v>
      </c>
      <c r="J1527" s="11">
        <v>111.68</v>
      </c>
      <c r="K1527" s="11">
        <v>0</v>
      </c>
      <c r="L1527" s="169">
        <f>Imput[[#This Row],[Sub total]]+Imput[[#This Row],[IVA]]-Imput[[#This Row],[Retención / IEPS / Descuento]]</f>
        <v>830.17000000000007</v>
      </c>
      <c r="M1527" s="844">
        <v>830.17000000000007</v>
      </c>
      <c r="N1527" s="189" t="s">
        <v>123</v>
      </c>
      <c r="O1527" s="1"/>
      <c r="P1527" s="189" t="s">
        <v>4405</v>
      </c>
      <c r="Q1527" s="190" t="s">
        <v>4406</v>
      </c>
      <c r="R1527" s="188">
        <v>46031</v>
      </c>
      <c r="S1527" s="193" t="s">
        <v>126</v>
      </c>
      <c r="T1527" s="192"/>
      <c r="U1527" s="829"/>
      <c r="V1527" s="10"/>
      <c r="W1527" s="10"/>
      <c r="X1527" s="10"/>
      <c r="Y1527" s="10"/>
      <c r="Z1527" s="10"/>
      <c r="AA1527" s="11"/>
      <c r="AB1527" s="11"/>
    </row>
    <row r="1528" spans="2:28" x14ac:dyDescent="0.3">
      <c r="B1528" s="10" t="s">
        <v>403</v>
      </c>
      <c r="C1528" s="315"/>
      <c r="D1528" s="868" t="s">
        <v>4411</v>
      </c>
      <c r="E1528" s="837" t="str">
        <f>IFERROR(IF(_xlfn.XLOOKUP(Imput[[#This Row],[RFC]],'Alta Proveedor'!D:D,'Alta Proveedor'!E:E)=0,"",_xlfn.XLOOKUP(Imput[[#This Row],[RFC]],'Alta Proveedor'!D:D,'Alta Proveedor'!E:E)),"")</f>
        <v>IMPULSORA RUDEL "TSNóminas"</v>
      </c>
      <c r="F1528" s="832" t="s">
        <v>4413</v>
      </c>
      <c r="G1528" s="187">
        <v>1</v>
      </c>
      <c r="H1528" s="1">
        <v>1163.789</v>
      </c>
      <c r="I1528" s="169">
        <f>Imput[[#This Row],[Cantidad]]*Imput[[#This Row],[Precio Unitario]]</f>
        <v>1163.789</v>
      </c>
      <c r="J1528" s="11">
        <f>((Imput[[#This Row],[Sub total]])*(0.16))</f>
        <v>186.20624000000001</v>
      </c>
      <c r="K1528" s="11">
        <v>0</v>
      </c>
      <c r="L1528" s="169">
        <f>Imput[[#This Row],[Sub total]]+Imput[[#This Row],[IVA]]-Imput[[#This Row],[Retención / IEPS / Descuento]]</f>
        <v>1349.99524</v>
      </c>
      <c r="M1528" s="844">
        <v>6920.9961600000006</v>
      </c>
      <c r="N1528" s="189" t="s">
        <v>123</v>
      </c>
      <c r="O1528" s="1"/>
      <c r="P1528" s="189" t="s">
        <v>4409</v>
      </c>
      <c r="Q1528" s="190" t="s">
        <v>4410</v>
      </c>
      <c r="R1528" s="188">
        <v>46032</v>
      </c>
      <c r="S1528" s="193" t="s">
        <v>126</v>
      </c>
      <c r="T1528" s="192"/>
      <c r="U1528" s="829"/>
      <c r="V1528" s="10"/>
      <c r="W1528" s="10"/>
      <c r="X1528" s="10"/>
      <c r="Y1528" s="10"/>
      <c r="Z1528" s="10"/>
      <c r="AA1528" s="11"/>
      <c r="AB1528" s="11"/>
    </row>
    <row r="1529" spans="2:28" x14ac:dyDescent="0.3">
      <c r="B1529" s="10" t="s">
        <v>403</v>
      </c>
      <c r="C1529" s="315"/>
      <c r="D1529" s="868" t="s">
        <v>4411</v>
      </c>
      <c r="E1529" s="837" t="str">
        <f>IFERROR(IF(_xlfn.XLOOKUP(Imput[[#This Row],[RFC]],'Alta Proveedor'!D:D,'Alta Proveedor'!E:E)=0,"",_xlfn.XLOOKUP(Imput[[#This Row],[RFC]],'Alta Proveedor'!D:D,'Alta Proveedor'!E:E)),"")</f>
        <v>IMPULSORA RUDEL "TSNóminas"</v>
      </c>
      <c r="F1529" s="832" t="s">
        <v>4414</v>
      </c>
      <c r="G1529" s="187">
        <v>1</v>
      </c>
      <c r="H1529" s="1">
        <v>1163.789</v>
      </c>
      <c r="I1529" s="169">
        <f>Imput[[#This Row],[Cantidad]]*Imput[[#This Row],[Precio Unitario]]</f>
        <v>1163.789</v>
      </c>
      <c r="J1529" s="11">
        <f>((Imput[[#This Row],[Sub total]])*(0.16))</f>
        <v>186.20624000000001</v>
      </c>
      <c r="K1529" s="11">
        <v>0</v>
      </c>
      <c r="L1529" s="169">
        <f>Imput[[#This Row],[Sub total]]+Imput[[#This Row],[IVA]]-Imput[[#This Row],[Retención / IEPS / Descuento]]</f>
        <v>1349.99524</v>
      </c>
      <c r="M1529" s="844">
        <v>0</v>
      </c>
      <c r="N1529" s="189" t="s">
        <v>123</v>
      </c>
      <c r="O1529" s="1"/>
      <c r="P1529" s="189" t="s">
        <v>4409</v>
      </c>
      <c r="Q1529" s="190" t="s">
        <v>4410</v>
      </c>
      <c r="R1529" s="188">
        <v>46032</v>
      </c>
      <c r="S1529" s="193" t="s">
        <v>126</v>
      </c>
      <c r="T1529" s="192"/>
      <c r="U1529" s="829"/>
      <c r="V1529" s="10"/>
      <c r="W1529" s="10"/>
      <c r="X1529" s="10"/>
      <c r="Y1529" s="10"/>
      <c r="Z1529" s="10"/>
      <c r="AA1529" s="11"/>
      <c r="AB1529" s="11"/>
    </row>
    <row r="1530" spans="2:28" x14ac:dyDescent="0.3">
      <c r="B1530" s="10" t="s">
        <v>403</v>
      </c>
      <c r="C1530" s="315"/>
      <c r="D1530" s="868" t="s">
        <v>4411</v>
      </c>
      <c r="E1530" s="837" t="str">
        <f>IFERROR(IF(_xlfn.XLOOKUP(Imput[[#This Row],[RFC]],'Alta Proveedor'!D:D,'Alta Proveedor'!E:E)=0,"",_xlfn.XLOOKUP(Imput[[#This Row],[RFC]],'Alta Proveedor'!D:D,'Alta Proveedor'!E:E)),"")</f>
        <v>IMPULSORA RUDEL "TSNóminas"</v>
      </c>
      <c r="F1530" s="832" t="s">
        <v>4415</v>
      </c>
      <c r="G1530" s="187">
        <v>30</v>
      </c>
      <c r="H1530" s="1">
        <v>116.379</v>
      </c>
      <c r="I1530" s="169">
        <f>Imput[[#This Row],[Cantidad]]*Imput[[#This Row],[Precio Unitario]]</f>
        <v>3491.3700000000003</v>
      </c>
      <c r="J1530" s="11">
        <f>((Imput[[#This Row],[Sub total]])*(0.16))</f>
        <v>558.61920000000009</v>
      </c>
      <c r="K1530" s="11">
        <v>0</v>
      </c>
      <c r="L1530" s="169">
        <f>Imput[[#This Row],[Sub total]]+Imput[[#This Row],[IVA]]-Imput[[#This Row],[Retención / IEPS / Descuento]]</f>
        <v>4049.9892000000004</v>
      </c>
      <c r="M1530" s="844">
        <v>0</v>
      </c>
      <c r="N1530" s="189" t="s">
        <v>123</v>
      </c>
      <c r="O1530" s="1"/>
      <c r="P1530" s="189" t="s">
        <v>4409</v>
      </c>
      <c r="Q1530" s="190" t="s">
        <v>4410</v>
      </c>
      <c r="R1530" s="188">
        <v>46032</v>
      </c>
      <c r="S1530" s="193" t="s">
        <v>126</v>
      </c>
      <c r="T1530" s="192"/>
      <c r="U1530" s="829"/>
      <c r="V1530" s="10"/>
      <c r="W1530" s="10"/>
      <c r="X1530" s="10"/>
      <c r="Y1530" s="10"/>
      <c r="Z1530" s="10"/>
      <c r="AA1530" s="11"/>
      <c r="AB1530" s="11"/>
    </row>
    <row r="1531" spans="2:28" x14ac:dyDescent="0.3">
      <c r="B1531" s="10" t="s">
        <v>403</v>
      </c>
      <c r="C1531" s="315"/>
      <c r="D1531" s="868" t="s">
        <v>4411</v>
      </c>
      <c r="E1531" s="837" t="str">
        <f>IFERROR(IF(_xlfn.XLOOKUP(Imput[[#This Row],[RFC]],'Alta Proveedor'!D:D,'Alta Proveedor'!E:E)=0,"",_xlfn.XLOOKUP(Imput[[#This Row],[RFC]],'Alta Proveedor'!D:D,'Alta Proveedor'!E:E)),"")</f>
        <v>IMPULSORA RUDEL "TSNóminas"</v>
      </c>
      <c r="F1531" s="832" t="s">
        <v>4416</v>
      </c>
      <c r="G1531" s="187">
        <v>2</v>
      </c>
      <c r="H1531" s="1">
        <v>73.713999999999999</v>
      </c>
      <c r="I1531" s="169">
        <f>Imput[[#This Row],[Cantidad]]*Imput[[#This Row],[Precio Unitario]]</f>
        <v>147.428</v>
      </c>
      <c r="J1531" s="11">
        <f>((Imput[[#This Row],[Sub total]])*(0.16))</f>
        <v>23.588480000000001</v>
      </c>
      <c r="K1531" s="11">
        <v>0</v>
      </c>
      <c r="L1531" s="169">
        <f>Imput[[#This Row],[Sub total]]+Imput[[#This Row],[IVA]]-Imput[[#This Row],[Retención / IEPS / Descuento]]</f>
        <v>171.01648</v>
      </c>
      <c r="M1531" s="844">
        <v>0</v>
      </c>
      <c r="N1531" s="189" t="s">
        <v>123</v>
      </c>
      <c r="O1531" s="1"/>
      <c r="P1531" s="189" t="s">
        <v>4409</v>
      </c>
      <c r="Q1531" s="190" t="s">
        <v>4410</v>
      </c>
      <c r="R1531" s="188">
        <v>46032</v>
      </c>
      <c r="S1531" s="193" t="s">
        <v>126</v>
      </c>
      <c r="T1531" s="192"/>
      <c r="U1531" s="829"/>
      <c r="V1531" s="10"/>
      <c r="W1531" s="10"/>
      <c r="X1531" s="10"/>
      <c r="Y1531" s="10"/>
      <c r="Z1531" s="10"/>
      <c r="AA1531" s="11"/>
      <c r="AB1531" s="11"/>
    </row>
    <row r="1532" spans="2:28" x14ac:dyDescent="0.3">
      <c r="B1532" s="10" t="s">
        <v>403</v>
      </c>
      <c r="C1532" s="315"/>
      <c r="D1532" s="868" t="s">
        <v>3920</v>
      </c>
      <c r="E1532" s="837" t="str">
        <f>IFERROR(IF(_xlfn.XLOOKUP(Imput[[#This Row],[RFC]],'Alta Proveedor'!D:D,'Alta Proveedor'!E:E)=0,"",_xlfn.XLOOKUP(Imput[[#This Row],[RFC]],'Alta Proveedor'!D:D,'Alta Proveedor'!E:E)),"")</f>
        <v>IRMA BEATRIZ ALVAREZ ZAMACONA</v>
      </c>
      <c r="F1532" s="832" t="s">
        <v>3924</v>
      </c>
      <c r="G1532" s="187">
        <v>10</v>
      </c>
      <c r="H1532" s="1">
        <v>254.31048999999999</v>
      </c>
      <c r="I1532" s="169">
        <f>Imput[[#This Row],[Cantidad]]*Imput[[#This Row],[Precio Unitario]]</f>
        <v>2543.1048999999998</v>
      </c>
      <c r="J1532" s="11">
        <f>((Imput[[#This Row],[Sub total]])*(0.16))</f>
        <v>406.89678399999997</v>
      </c>
      <c r="K1532" s="11">
        <v>0</v>
      </c>
      <c r="L1532" s="169">
        <f>Imput[[#This Row],[Sub total]]+Imput[[#This Row],[IVA]]-Imput[[#This Row],[Retención / IEPS / Descuento]]</f>
        <v>2950.0016839999998</v>
      </c>
      <c r="M1532" s="844">
        <v>5610.0023239999991</v>
      </c>
      <c r="N1532" s="189" t="s">
        <v>123</v>
      </c>
      <c r="O1532" s="1"/>
      <c r="P1532" s="189" t="s">
        <v>4417</v>
      </c>
      <c r="Q1532" s="190" t="s">
        <v>4418</v>
      </c>
      <c r="R1532" s="188">
        <v>46034</v>
      </c>
      <c r="S1532" s="193" t="s">
        <v>126</v>
      </c>
      <c r="T1532" s="192"/>
      <c r="U1532" s="829"/>
      <c r="V1532" s="10"/>
      <c r="W1532" s="10"/>
      <c r="X1532" s="10"/>
      <c r="Y1532" s="10"/>
      <c r="Z1532" s="10"/>
      <c r="AA1532" s="11"/>
      <c r="AB1532" s="11"/>
    </row>
    <row r="1533" spans="2:28" x14ac:dyDescent="0.3">
      <c r="B1533" s="10" t="s">
        <v>403</v>
      </c>
      <c r="C1533" s="315"/>
      <c r="D1533" s="868" t="s">
        <v>3920</v>
      </c>
      <c r="E1533" s="837" t="str">
        <f>IFERROR(IF(_xlfn.XLOOKUP(Imput[[#This Row],[RFC]],'Alta Proveedor'!D:D,'Alta Proveedor'!E:E)=0,"",_xlfn.XLOOKUP(Imput[[#This Row],[RFC]],'Alta Proveedor'!D:D,'Alta Proveedor'!E:E)),"")</f>
        <v>IRMA BEATRIZ ALVAREZ ZAMACONA</v>
      </c>
      <c r="F1533" s="832" t="s">
        <v>3926</v>
      </c>
      <c r="G1533" s="187">
        <v>20</v>
      </c>
      <c r="H1533" s="1">
        <v>114.65519999999999</v>
      </c>
      <c r="I1533" s="169">
        <f>Imput[[#This Row],[Cantidad]]*Imput[[#This Row],[Precio Unitario]]</f>
        <v>2293.1039999999998</v>
      </c>
      <c r="J1533" s="11">
        <f>((Imput[[#This Row],[Sub total]])*(0.16))</f>
        <v>366.89663999999999</v>
      </c>
      <c r="K1533" s="11">
        <v>0</v>
      </c>
      <c r="L1533" s="169">
        <f>Imput[[#This Row],[Sub total]]+Imput[[#This Row],[IVA]]-Imput[[#This Row],[Retención / IEPS / Descuento]]</f>
        <v>2660.0006399999997</v>
      </c>
      <c r="M1533" s="844">
        <v>0</v>
      </c>
      <c r="N1533" s="189" t="s">
        <v>123</v>
      </c>
      <c r="O1533" s="1"/>
      <c r="P1533" s="189" t="s">
        <v>4417</v>
      </c>
      <c r="Q1533" s="190" t="s">
        <v>4418</v>
      </c>
      <c r="R1533" s="188">
        <v>46034</v>
      </c>
      <c r="S1533" s="193" t="s">
        <v>126</v>
      </c>
      <c r="T1533" s="192"/>
      <c r="U1533" s="829"/>
      <c r="V1533" s="10"/>
      <c r="W1533" s="10"/>
      <c r="X1533" s="10"/>
      <c r="Y1533" s="10"/>
      <c r="Z1533" s="10"/>
      <c r="AA1533" s="11"/>
      <c r="AB1533" s="11"/>
    </row>
    <row r="1534" spans="2:28" x14ac:dyDescent="0.3">
      <c r="B1534" s="10" t="s">
        <v>403</v>
      </c>
      <c r="C1534" s="315"/>
      <c r="D1534" s="868" t="s">
        <v>1036</v>
      </c>
      <c r="E1534" s="837" t="str">
        <f>IFERROR(IF(_xlfn.XLOOKUP(Imput[[#This Row],[RFC]],'Alta Proveedor'!D:D,'Alta Proveedor'!E:E)=0,"",_xlfn.XLOOKUP(Imput[[#This Row],[RFC]],'Alta Proveedor'!D:D,'Alta Proveedor'!E:E)),"")</f>
        <v>AUTOZONE DE MEXICO</v>
      </c>
      <c r="F1534" s="832" t="s">
        <v>4421</v>
      </c>
      <c r="G1534" s="187">
        <v>1</v>
      </c>
      <c r="H1534" s="1">
        <v>82.41</v>
      </c>
      <c r="I1534" s="169">
        <f>Imput[[#This Row],[Cantidad]]*Imput[[#This Row],[Precio Unitario]]</f>
        <v>82.41</v>
      </c>
      <c r="J1534" s="11">
        <f>((Imput[[#This Row],[Sub total]])*(0.08))</f>
        <v>6.5927999999999995</v>
      </c>
      <c r="K1534" s="11">
        <v>0</v>
      </c>
      <c r="L1534" s="169">
        <f>Imput[[#This Row],[Sub total]]+Imput[[#This Row],[IVA]]-Imput[[#This Row],[Retención / IEPS / Descuento]]</f>
        <v>89.002799999999993</v>
      </c>
      <c r="M1534" s="844">
        <v>405.00079999999997</v>
      </c>
      <c r="N1534" s="189" t="s">
        <v>123</v>
      </c>
      <c r="O1534" s="1"/>
      <c r="P1534" s="189" t="s">
        <v>4419</v>
      </c>
      <c r="Q1534" s="190" t="s">
        <v>4420</v>
      </c>
      <c r="R1534" s="188">
        <v>46035</v>
      </c>
      <c r="S1534" s="193" t="s">
        <v>126</v>
      </c>
      <c r="T1534" s="192"/>
      <c r="U1534" s="829"/>
      <c r="V1534" s="10"/>
      <c r="W1534" s="10"/>
      <c r="X1534" s="10"/>
      <c r="Y1534" s="10"/>
      <c r="Z1534" s="10"/>
      <c r="AA1534" s="11"/>
      <c r="AB1534" s="11"/>
    </row>
    <row r="1535" spans="2:28" x14ac:dyDescent="0.3">
      <c r="B1535" s="10" t="s">
        <v>403</v>
      </c>
      <c r="C1535" s="315"/>
      <c r="D1535" s="868" t="s">
        <v>1036</v>
      </c>
      <c r="E1535" s="837" t="str">
        <f>IFERROR(IF(_xlfn.XLOOKUP(Imput[[#This Row],[RFC]],'Alta Proveedor'!D:D,'Alta Proveedor'!E:E)=0,"",_xlfn.XLOOKUP(Imput[[#This Row],[RFC]],'Alta Proveedor'!D:D,'Alta Proveedor'!E:E)),"")</f>
        <v>AUTOZONE DE MEXICO</v>
      </c>
      <c r="F1535" s="832" t="s">
        <v>4421</v>
      </c>
      <c r="G1535" s="187">
        <v>1</v>
      </c>
      <c r="H1535" s="1">
        <v>82.41</v>
      </c>
      <c r="I1535" s="169">
        <f>Imput[[#This Row],[Cantidad]]*Imput[[#This Row],[Precio Unitario]]</f>
        <v>82.41</v>
      </c>
      <c r="J1535" s="11">
        <f>((Imput[[#This Row],[Sub total]])*(0.08))</f>
        <v>6.5927999999999995</v>
      </c>
      <c r="K1535" s="11">
        <v>0</v>
      </c>
      <c r="L1535" s="169">
        <f>Imput[[#This Row],[Sub total]]+Imput[[#This Row],[IVA]]-Imput[[#This Row],[Retención / IEPS / Descuento]]</f>
        <v>89.002799999999993</v>
      </c>
      <c r="M1535" s="844">
        <v>0</v>
      </c>
      <c r="N1535" s="189" t="s">
        <v>123</v>
      </c>
      <c r="O1535" s="1"/>
      <c r="P1535" s="189" t="s">
        <v>4419</v>
      </c>
      <c r="Q1535" s="190" t="s">
        <v>4420</v>
      </c>
      <c r="R1535" s="188">
        <v>46035</v>
      </c>
      <c r="S1535" s="193" t="s">
        <v>126</v>
      </c>
      <c r="T1535" s="192"/>
      <c r="U1535" s="829"/>
      <c r="V1535" s="10"/>
      <c r="W1535" s="10"/>
      <c r="X1535" s="10"/>
      <c r="Y1535" s="10"/>
      <c r="Z1535" s="10"/>
      <c r="AA1535" s="11"/>
      <c r="AB1535" s="11"/>
    </row>
    <row r="1536" spans="2:28" x14ac:dyDescent="0.3">
      <c r="B1536" s="10" t="s">
        <v>403</v>
      </c>
      <c r="C1536" s="315"/>
      <c r="D1536" s="868" t="s">
        <v>1036</v>
      </c>
      <c r="E1536" s="837" t="str">
        <f>IFERROR(IF(_xlfn.XLOOKUP(Imput[[#This Row],[RFC]],'Alta Proveedor'!D:D,'Alta Proveedor'!E:E)=0,"",_xlfn.XLOOKUP(Imput[[#This Row],[RFC]],'Alta Proveedor'!D:D,'Alta Proveedor'!E:E)),"")</f>
        <v>AUTOZONE DE MEXICO</v>
      </c>
      <c r="F1536" s="832" t="s">
        <v>4421</v>
      </c>
      <c r="G1536" s="187">
        <v>1</v>
      </c>
      <c r="H1536" s="1">
        <v>82.41</v>
      </c>
      <c r="I1536" s="169">
        <f>Imput[[#This Row],[Cantidad]]*Imput[[#This Row],[Precio Unitario]]</f>
        <v>82.41</v>
      </c>
      <c r="J1536" s="11">
        <f>((Imput[[#This Row],[Sub total]])*(0.08))</f>
        <v>6.5927999999999995</v>
      </c>
      <c r="K1536" s="11">
        <v>0</v>
      </c>
      <c r="L1536" s="169">
        <f>Imput[[#This Row],[Sub total]]+Imput[[#This Row],[IVA]]-Imput[[#This Row],[Retención / IEPS / Descuento]]</f>
        <v>89.002799999999993</v>
      </c>
      <c r="M1536" s="844">
        <v>0</v>
      </c>
      <c r="N1536" s="189" t="s">
        <v>123</v>
      </c>
      <c r="O1536" s="1"/>
      <c r="P1536" s="189" t="s">
        <v>4419</v>
      </c>
      <c r="Q1536" s="190" t="s">
        <v>4420</v>
      </c>
      <c r="R1536" s="188">
        <v>46035</v>
      </c>
      <c r="S1536" s="193" t="s">
        <v>126</v>
      </c>
      <c r="T1536" s="192"/>
      <c r="U1536" s="829"/>
      <c r="V1536" s="10"/>
      <c r="W1536" s="10"/>
      <c r="X1536" s="10"/>
      <c r="Y1536" s="10"/>
      <c r="Z1536" s="10"/>
      <c r="AA1536" s="11"/>
      <c r="AB1536" s="11"/>
    </row>
    <row r="1537" spans="2:28" x14ac:dyDescent="0.3">
      <c r="B1537" s="10" t="s">
        <v>403</v>
      </c>
      <c r="C1537" s="315"/>
      <c r="D1537" s="868" t="s">
        <v>1036</v>
      </c>
      <c r="E1537" s="837" t="str">
        <f>IFERROR(IF(_xlfn.XLOOKUP(Imput[[#This Row],[RFC]],'Alta Proveedor'!D:D,'Alta Proveedor'!E:E)=0,"",_xlfn.XLOOKUP(Imput[[#This Row],[RFC]],'Alta Proveedor'!D:D,'Alta Proveedor'!E:E)),"")</f>
        <v>AUTOZONE DE MEXICO</v>
      </c>
      <c r="F1537" s="832" t="s">
        <v>4421</v>
      </c>
      <c r="G1537" s="187">
        <v>1</v>
      </c>
      <c r="H1537" s="1">
        <v>82.41</v>
      </c>
      <c r="I1537" s="169">
        <f>Imput[[#This Row],[Cantidad]]*Imput[[#This Row],[Precio Unitario]]</f>
        <v>82.41</v>
      </c>
      <c r="J1537" s="11">
        <f>((Imput[[#This Row],[Sub total]])*(0.08))</f>
        <v>6.5927999999999995</v>
      </c>
      <c r="K1537" s="11">
        <v>0</v>
      </c>
      <c r="L1537" s="169">
        <f>Imput[[#This Row],[Sub total]]+Imput[[#This Row],[IVA]]-Imput[[#This Row],[Retención / IEPS / Descuento]]</f>
        <v>89.002799999999993</v>
      </c>
      <c r="M1537" s="844">
        <v>0</v>
      </c>
      <c r="N1537" s="189" t="s">
        <v>123</v>
      </c>
      <c r="O1537" s="1"/>
      <c r="P1537" s="189" t="s">
        <v>4419</v>
      </c>
      <c r="Q1537" s="190" t="s">
        <v>4420</v>
      </c>
      <c r="R1537" s="188">
        <v>46035</v>
      </c>
      <c r="S1537" s="193" t="s">
        <v>126</v>
      </c>
      <c r="T1537" s="192"/>
      <c r="U1537" s="829"/>
      <c r="V1537" s="10"/>
      <c r="W1537" s="10"/>
      <c r="X1537" s="10"/>
      <c r="Y1537" s="10"/>
      <c r="Z1537" s="10"/>
      <c r="AA1537" s="11"/>
      <c r="AB1537" s="11"/>
    </row>
    <row r="1538" spans="2:28" x14ac:dyDescent="0.3">
      <c r="B1538" s="10" t="s">
        <v>403</v>
      </c>
      <c r="C1538" s="315"/>
      <c r="D1538" s="868" t="s">
        <v>1036</v>
      </c>
      <c r="E1538" s="837" t="str">
        <f>IFERROR(IF(_xlfn.XLOOKUP(Imput[[#This Row],[RFC]],'Alta Proveedor'!D:D,'Alta Proveedor'!E:E)=0,"",_xlfn.XLOOKUP(Imput[[#This Row],[RFC]],'Alta Proveedor'!D:D,'Alta Proveedor'!E:E)),"")</f>
        <v>AUTOZONE DE MEXICO</v>
      </c>
      <c r="F1538" s="832" t="s">
        <v>4422</v>
      </c>
      <c r="G1538" s="187">
        <v>1</v>
      </c>
      <c r="H1538" s="1">
        <v>45.37</v>
      </c>
      <c r="I1538" s="169">
        <f>Imput[[#This Row],[Cantidad]]*Imput[[#This Row],[Precio Unitario]]</f>
        <v>45.37</v>
      </c>
      <c r="J1538" s="11">
        <f>((Imput[[#This Row],[Sub total]])*(0.08))-0.01</f>
        <v>3.6196000000000002</v>
      </c>
      <c r="K1538" s="11">
        <v>0</v>
      </c>
      <c r="L1538" s="169">
        <f>Imput[[#This Row],[Sub total]]+Imput[[#This Row],[IVA]]-Imput[[#This Row],[Retención / IEPS / Descuento]]</f>
        <v>48.989599999999996</v>
      </c>
      <c r="M1538" s="844">
        <v>0</v>
      </c>
      <c r="N1538" s="189" t="s">
        <v>123</v>
      </c>
      <c r="O1538" s="1"/>
      <c r="P1538" s="189" t="s">
        <v>4419</v>
      </c>
      <c r="Q1538" s="190" t="s">
        <v>4420</v>
      </c>
      <c r="R1538" s="188">
        <v>46035</v>
      </c>
      <c r="S1538" s="193" t="s">
        <v>126</v>
      </c>
      <c r="T1538" s="192"/>
      <c r="U1538" s="829"/>
      <c r="V1538" s="10"/>
      <c r="W1538" s="10"/>
      <c r="X1538" s="10"/>
      <c r="Y1538" s="10"/>
      <c r="Z1538" s="10"/>
      <c r="AA1538" s="11"/>
      <c r="AB1538" s="11"/>
    </row>
    <row r="1539" spans="2:28" x14ac:dyDescent="0.3">
      <c r="B1539" s="10" t="s">
        <v>403</v>
      </c>
      <c r="C1539" s="315" t="s">
        <v>1806</v>
      </c>
      <c r="D1539" s="868" t="s">
        <v>4425</v>
      </c>
      <c r="E1539" s="837" t="str">
        <f>IFERROR(IF(_xlfn.XLOOKUP(Imput[[#This Row],[RFC]],'Alta Proveedor'!D:D,'Alta Proveedor'!E:E)=0,"",_xlfn.XLOOKUP(Imput[[#This Row],[RFC]],'Alta Proveedor'!D:D,'Alta Proveedor'!E:E)),"")</f>
        <v xml:space="preserve">POPEYES "LOUISIANA KITCHEN" JK CAPITAL </v>
      </c>
      <c r="F1539" s="832" t="s">
        <v>159</v>
      </c>
      <c r="G1539" s="187">
        <v>1</v>
      </c>
      <c r="H1539" s="1">
        <v>185.34399999999999</v>
      </c>
      <c r="I1539" s="169">
        <f>Imput[[#This Row],[Cantidad]]*Imput[[#This Row],[Precio Unitario]]</f>
        <v>185.34399999999999</v>
      </c>
      <c r="J1539" s="11">
        <f>((Imput[[#This Row],[Sub total]])*(0.16))</f>
        <v>29.65504</v>
      </c>
      <c r="K1539" s="11">
        <v>0</v>
      </c>
      <c r="L1539" s="169">
        <f>Imput[[#This Row],[Sub total]]+Imput[[#This Row],[IVA]]-Imput[[#This Row],[Retención / IEPS / Descuento]]</f>
        <v>214.99903999999998</v>
      </c>
      <c r="M1539" s="844">
        <v>214.99903999999998</v>
      </c>
      <c r="N1539" s="189" t="s">
        <v>123</v>
      </c>
      <c r="O1539" s="1"/>
      <c r="P1539" s="189" t="s">
        <v>4423</v>
      </c>
      <c r="Q1539" s="190" t="s">
        <v>4424</v>
      </c>
      <c r="R1539" s="188">
        <v>46031</v>
      </c>
      <c r="S1539" s="193" t="s">
        <v>126</v>
      </c>
      <c r="T1539" s="192"/>
      <c r="U1539" s="829"/>
      <c r="V1539" s="10"/>
      <c r="W1539" s="10"/>
      <c r="X1539" s="10"/>
      <c r="Y1539" s="10"/>
      <c r="Z1539" s="10"/>
      <c r="AA1539" s="11"/>
      <c r="AB1539" s="11"/>
    </row>
    <row r="1540" spans="2:28" x14ac:dyDescent="0.3">
      <c r="B1540" s="10" t="s">
        <v>403</v>
      </c>
      <c r="C1540" s="315" t="s">
        <v>1767</v>
      </c>
      <c r="D1540" s="868" t="s">
        <v>4429</v>
      </c>
      <c r="E1540" s="837" t="str">
        <f>IFERROR(IF(_xlfn.XLOOKUP(Imput[[#This Row],[RFC]],'Alta Proveedor'!D:D,'Alta Proveedor'!E:E)=0,"",_xlfn.XLOOKUP(Imput[[#This Row],[RFC]],'Alta Proveedor'!D:D,'Alta Proveedor'!E:E)),"")</f>
        <v>SUPER SERVICIO GALAXIA (COMBUSTIBLES)</v>
      </c>
      <c r="F1540" s="832" t="s">
        <v>237</v>
      </c>
      <c r="G1540" s="187">
        <v>71.357112000000001</v>
      </c>
      <c r="H1540" s="1">
        <f>1420.04/Imput[[#This Row],[Cantidad]]</f>
        <v>19.900469066068705</v>
      </c>
      <c r="I1540" s="169">
        <f>Imput[[#This Row],[Cantidad]]*Imput[[#This Row],[Precio Unitario]]</f>
        <v>1420.04</v>
      </c>
      <c r="J1540" s="11">
        <f>((1377.875)*(0.16))</f>
        <v>220.46</v>
      </c>
      <c r="K1540" s="11">
        <v>0</v>
      </c>
      <c r="L1540" s="169">
        <f>Imput[[#This Row],[Sub total]]+Imput[[#This Row],[IVA]]-Imput[[#This Row],[Retención / IEPS / Descuento]]</f>
        <v>1640.5</v>
      </c>
      <c r="M1540" s="844">
        <v>1640.5</v>
      </c>
      <c r="N1540" s="189" t="s">
        <v>123</v>
      </c>
      <c r="O1540" s="1"/>
      <c r="P1540" s="189" t="s">
        <v>4427</v>
      </c>
      <c r="Q1540" s="190" t="s">
        <v>4428</v>
      </c>
      <c r="R1540" s="188">
        <v>46032</v>
      </c>
      <c r="S1540" s="193" t="s">
        <v>126</v>
      </c>
      <c r="T1540" s="192"/>
      <c r="U1540" s="829"/>
      <c r="V1540" s="10"/>
      <c r="W1540" s="10"/>
      <c r="X1540" s="10"/>
      <c r="Y1540" s="10"/>
      <c r="Z1540" s="10"/>
      <c r="AA1540" s="11"/>
      <c r="AB1540" s="11"/>
    </row>
    <row r="1541" spans="2:28" x14ac:dyDescent="0.3">
      <c r="B1541" s="10" t="s">
        <v>403</v>
      </c>
      <c r="C1541" s="315"/>
      <c r="D1541" s="868" t="s">
        <v>4433</v>
      </c>
      <c r="E1541" s="837" t="str">
        <f>IFERROR(IF(_xlfn.XLOOKUP(Imput[[#This Row],[RFC]],'Alta Proveedor'!D:D,'Alta Proveedor'!E:E)=0,"",_xlfn.XLOOKUP(Imput[[#This Row],[RFC]],'Alta Proveedor'!D:D,'Alta Proveedor'!E:E)),"")</f>
        <v>TRANSPORTES CHIHUAHUENSES</v>
      </c>
      <c r="F1541" s="832" t="s">
        <v>4435</v>
      </c>
      <c r="G1541" s="187">
        <v>1</v>
      </c>
      <c r="H1541" s="1">
        <v>1560.3440000000001</v>
      </c>
      <c r="I1541" s="169">
        <f>Imput[[#This Row],[Cantidad]]*Imput[[#This Row],[Precio Unitario]]</f>
        <v>1560.3440000000001</v>
      </c>
      <c r="J1541" s="11">
        <f>((Imput[[#This Row],[Sub total]])*(0.16))</f>
        <v>249.65504000000001</v>
      </c>
      <c r="K1541" s="11">
        <v>0</v>
      </c>
      <c r="L1541" s="169">
        <f>Imput[[#This Row],[Sub total]]+Imput[[#This Row],[IVA]]-Imput[[#This Row],[Retención / IEPS / Descuento]]</f>
        <v>1809.9990400000002</v>
      </c>
      <c r="M1541" s="844">
        <v>1809.9990400000002</v>
      </c>
      <c r="N1541" s="189" t="s">
        <v>123</v>
      </c>
      <c r="O1541" s="1"/>
      <c r="P1541" s="189" t="s">
        <v>4431</v>
      </c>
      <c r="Q1541" s="190" t="s">
        <v>4432</v>
      </c>
      <c r="R1541" s="188">
        <v>46031</v>
      </c>
      <c r="S1541" s="193" t="s">
        <v>154</v>
      </c>
      <c r="T1541" s="192"/>
      <c r="U1541" s="829"/>
      <c r="V1541" s="10"/>
      <c r="W1541" s="10"/>
      <c r="X1541" s="10"/>
      <c r="Y1541" s="10"/>
      <c r="Z1541" s="10"/>
      <c r="AA1541" s="11"/>
      <c r="AB1541" s="11"/>
    </row>
    <row r="1542" spans="2:28" x14ac:dyDescent="0.3">
      <c r="B1542" s="10" t="s">
        <v>396</v>
      </c>
      <c r="C1542" s="315"/>
      <c r="D1542" s="868" t="s">
        <v>4439</v>
      </c>
      <c r="E1542" s="837" t="str">
        <f>IFERROR(IF(_xlfn.XLOOKUP(Imput[[#This Row],[RFC]],'Alta Proveedor'!D:D,'Alta Proveedor'!E:E)=0,"",_xlfn.XLOOKUP(Imput[[#This Row],[RFC]],'Alta Proveedor'!D:D,'Alta Proveedor'!E:E)),"")</f>
        <v>STARLINK SATELLITE SYSTEMS MEXICO</v>
      </c>
      <c r="F1542" s="832" t="s">
        <v>4440</v>
      </c>
      <c r="G1542" s="187">
        <v>1</v>
      </c>
      <c r="H1542" s="1">
        <v>47.41</v>
      </c>
      <c r="I1542" s="169">
        <f>Imput[[#This Row],[Cantidad]]*Imput[[#This Row],[Precio Unitario]]</f>
        <v>47.41</v>
      </c>
      <c r="J1542" s="11">
        <f>((Imput[[#This Row],[Sub total]])*(0.16))</f>
        <v>7.5855999999999995</v>
      </c>
      <c r="K1542" s="11">
        <v>0</v>
      </c>
      <c r="L1542" s="169">
        <f>Imput[[#This Row],[Sub total]]+Imput[[#This Row],[IVA]]-Imput[[#This Row],[Retención / IEPS / Descuento]]</f>
        <v>54.995599999999996</v>
      </c>
      <c r="M1542" s="844">
        <v>2054.998</v>
      </c>
      <c r="N1542" s="189" t="s">
        <v>123</v>
      </c>
      <c r="O1542" s="1"/>
      <c r="P1542" s="189" t="s">
        <v>4436</v>
      </c>
      <c r="Q1542" s="190" t="s">
        <v>4437</v>
      </c>
      <c r="R1542" s="188">
        <v>45974</v>
      </c>
      <c r="S1542" s="193" t="s">
        <v>126</v>
      </c>
      <c r="T1542" s="192"/>
      <c r="U1542" s="829"/>
      <c r="V1542" s="10"/>
      <c r="W1542" s="10"/>
      <c r="X1542" s="10"/>
      <c r="Y1542" s="10"/>
      <c r="Z1542" s="10"/>
      <c r="AA1542" s="11"/>
      <c r="AB1542" s="11"/>
    </row>
    <row r="1543" spans="2:28" x14ac:dyDescent="0.3">
      <c r="B1543" s="10" t="s">
        <v>396</v>
      </c>
      <c r="C1543" s="315"/>
      <c r="D1543" s="868" t="s">
        <v>4439</v>
      </c>
      <c r="E1543" s="837" t="str">
        <f>IFERROR(IF(_xlfn.XLOOKUP(Imput[[#This Row],[RFC]],'Alta Proveedor'!D:D,'Alta Proveedor'!E:E)=0,"",_xlfn.XLOOKUP(Imput[[#This Row],[RFC]],'Alta Proveedor'!D:D,'Alta Proveedor'!E:E)),"")</f>
        <v>STARLINK SATELLITE SYSTEMS MEXICO</v>
      </c>
      <c r="F1543" s="832" t="s">
        <v>4441</v>
      </c>
      <c r="G1543" s="187">
        <v>1</v>
      </c>
      <c r="H1543" s="1">
        <v>1724.14</v>
      </c>
      <c r="I1543" s="169">
        <f>Imput[[#This Row],[Cantidad]]*Imput[[#This Row],[Precio Unitario]]</f>
        <v>1724.14</v>
      </c>
      <c r="J1543" s="11">
        <f>((Imput[[#This Row],[Sub total]])*(0.16))</f>
        <v>275.86240000000004</v>
      </c>
      <c r="K1543" s="11">
        <v>0</v>
      </c>
      <c r="L1543" s="169">
        <f>Imput[[#This Row],[Sub total]]+Imput[[#This Row],[IVA]]-Imput[[#This Row],[Retención / IEPS / Descuento]]</f>
        <v>2000.0024000000001</v>
      </c>
      <c r="M1543" s="844">
        <v>0</v>
      </c>
      <c r="N1543" s="189" t="s">
        <v>123</v>
      </c>
      <c r="O1543" s="1"/>
      <c r="P1543" s="189" t="s">
        <v>4436</v>
      </c>
      <c r="Q1543" s="190" t="s">
        <v>4437</v>
      </c>
      <c r="R1543" s="188">
        <v>45974</v>
      </c>
      <c r="S1543" s="193" t="s">
        <v>126</v>
      </c>
      <c r="T1543" s="192"/>
      <c r="U1543" s="829"/>
      <c r="V1543" s="10"/>
      <c r="W1543" s="10"/>
      <c r="X1543" s="10"/>
      <c r="Y1543" s="10"/>
      <c r="Z1543" s="10"/>
      <c r="AA1543" s="11"/>
      <c r="AB1543" s="11"/>
    </row>
    <row r="1544" spans="2:28" x14ac:dyDescent="0.3">
      <c r="B1544" s="10" t="s">
        <v>400</v>
      </c>
      <c r="C1544" s="315"/>
      <c r="D1544" s="868" t="s">
        <v>4439</v>
      </c>
      <c r="E1544" s="837" t="str">
        <f>IFERROR(IF(_xlfn.XLOOKUP(Imput[[#This Row],[RFC]],'Alta Proveedor'!D:D,'Alta Proveedor'!E:E)=0,"",_xlfn.XLOOKUP(Imput[[#This Row],[RFC]],'Alta Proveedor'!D:D,'Alta Proveedor'!E:E)),"")</f>
        <v>STARLINK SATELLITE SYSTEMS MEXICO</v>
      </c>
      <c r="F1544" s="832" t="s">
        <v>4440</v>
      </c>
      <c r="G1544" s="187">
        <v>1</v>
      </c>
      <c r="H1544" s="1">
        <v>47.41</v>
      </c>
      <c r="I1544" s="169">
        <f>Imput[[#This Row],[Cantidad]]*Imput[[#This Row],[Precio Unitario]]</f>
        <v>47.41</v>
      </c>
      <c r="J1544" s="11">
        <f>((Imput[[#This Row],[Sub total]])*(0.16))</f>
        <v>7.5855999999999995</v>
      </c>
      <c r="K1544" s="11">
        <v>0</v>
      </c>
      <c r="L1544" s="169">
        <f>Imput[[#This Row],[Sub total]]+Imput[[#This Row],[IVA]]-Imput[[#This Row],[Retención / IEPS / Descuento]]</f>
        <v>54.995599999999996</v>
      </c>
      <c r="M1544" s="844">
        <v>2054.998</v>
      </c>
      <c r="N1544" s="189" t="s">
        <v>123</v>
      </c>
      <c r="O1544" s="1"/>
      <c r="P1544" s="189" t="s">
        <v>4442</v>
      </c>
      <c r="Q1544" s="190" t="s">
        <v>4443</v>
      </c>
      <c r="R1544" s="188">
        <v>46004</v>
      </c>
      <c r="S1544" s="193" t="s">
        <v>126</v>
      </c>
      <c r="T1544" s="192"/>
      <c r="U1544" s="829"/>
      <c r="V1544" s="10"/>
      <c r="W1544" s="10"/>
      <c r="X1544" s="10"/>
      <c r="Y1544" s="10"/>
      <c r="Z1544" s="10"/>
      <c r="AA1544" s="11"/>
      <c r="AB1544" s="11"/>
    </row>
    <row r="1545" spans="2:28" x14ac:dyDescent="0.3">
      <c r="B1545" s="10" t="s">
        <v>400</v>
      </c>
      <c r="C1545" s="315"/>
      <c r="D1545" s="868" t="s">
        <v>4439</v>
      </c>
      <c r="E1545" s="837" t="str">
        <f>IFERROR(IF(_xlfn.XLOOKUP(Imput[[#This Row],[RFC]],'Alta Proveedor'!D:D,'Alta Proveedor'!E:E)=0,"",_xlfn.XLOOKUP(Imput[[#This Row],[RFC]],'Alta Proveedor'!D:D,'Alta Proveedor'!E:E)),"")</f>
        <v>STARLINK SATELLITE SYSTEMS MEXICO</v>
      </c>
      <c r="F1545" s="832" t="s">
        <v>4441</v>
      </c>
      <c r="G1545" s="187">
        <v>1</v>
      </c>
      <c r="H1545" s="1">
        <v>1724.14</v>
      </c>
      <c r="I1545" s="169">
        <f>Imput[[#This Row],[Cantidad]]*Imput[[#This Row],[Precio Unitario]]</f>
        <v>1724.14</v>
      </c>
      <c r="J1545" s="11">
        <f>((Imput[[#This Row],[Sub total]])*(0.16))</f>
        <v>275.86240000000004</v>
      </c>
      <c r="K1545" s="11">
        <v>0</v>
      </c>
      <c r="L1545" s="169">
        <f>Imput[[#This Row],[Sub total]]+Imput[[#This Row],[IVA]]-Imput[[#This Row],[Retención / IEPS / Descuento]]</f>
        <v>2000.0024000000001</v>
      </c>
      <c r="M1545" s="844">
        <v>0</v>
      </c>
      <c r="N1545" s="189" t="s">
        <v>123</v>
      </c>
      <c r="O1545" s="1"/>
      <c r="P1545" s="189" t="s">
        <v>4442</v>
      </c>
      <c r="Q1545" s="190" t="s">
        <v>4443</v>
      </c>
      <c r="R1545" s="188">
        <v>46004</v>
      </c>
      <c r="S1545" s="193" t="s">
        <v>126</v>
      </c>
      <c r="T1545" s="192"/>
      <c r="U1545" s="829"/>
      <c r="V1545" s="10"/>
      <c r="W1545" s="10"/>
      <c r="X1545" s="10"/>
      <c r="Y1545" s="10"/>
      <c r="Z1545" s="10"/>
      <c r="AA1545" s="11"/>
      <c r="AB1545" s="11"/>
    </row>
    <row r="1546" spans="2:28" x14ac:dyDescent="0.3">
      <c r="B1546" s="10" t="s">
        <v>403</v>
      </c>
      <c r="C1546" s="315" t="s">
        <v>1767</v>
      </c>
      <c r="D1546" s="868" t="s">
        <v>1967</v>
      </c>
      <c r="E1546" s="837" t="str">
        <f>IFERROR(IF(_xlfn.XLOOKUP(Imput[[#This Row],[RFC]],'Alta Proveedor'!D:D,'Alta Proveedor'!E:E)=0,"",_xlfn.XLOOKUP(Imput[[#This Row],[RFC]],'Alta Proveedor'!D:D,'Alta Proveedor'!E:E)),"")</f>
        <v>14282 - PITS ABASTECIMIENTOS "GASOFAC" (COMBUSTIBLES)</v>
      </c>
      <c r="F1546" s="832" t="s">
        <v>237</v>
      </c>
      <c r="G1546" s="187">
        <v>26.01</v>
      </c>
      <c r="H1546" s="1">
        <f>540.03/Imput[[#This Row],[Cantidad]]</f>
        <v>20.762399077277969</v>
      </c>
      <c r="I1546" s="169">
        <f>Imput[[#This Row],[Cantidad]]*Imput[[#This Row],[Precio Unitario]]</f>
        <v>540.03</v>
      </c>
      <c r="J1546" s="11">
        <v>83.95</v>
      </c>
      <c r="K1546" s="11">
        <v>0</v>
      </c>
      <c r="L1546" s="169">
        <f>Imput[[#This Row],[Sub total]]+Imput[[#This Row],[IVA]]-Imput[[#This Row],[Retención / IEPS / Descuento]]</f>
        <v>623.98</v>
      </c>
      <c r="M1546" s="844">
        <v>623.98</v>
      </c>
      <c r="N1546" s="189" t="s">
        <v>123</v>
      </c>
      <c r="O1546" s="1"/>
      <c r="P1546" s="189" t="s">
        <v>4444</v>
      </c>
      <c r="Q1546" s="190" t="s">
        <v>4445</v>
      </c>
      <c r="R1546" s="188">
        <v>46031</v>
      </c>
      <c r="S1546" s="193" t="s">
        <v>126</v>
      </c>
      <c r="T1546" s="192"/>
      <c r="U1546" s="829"/>
      <c r="V1546" s="10"/>
      <c r="W1546" s="10"/>
      <c r="X1546" s="10"/>
      <c r="Y1546" s="10"/>
      <c r="Z1546" s="10"/>
      <c r="AA1546" s="11"/>
      <c r="AB1546" s="11"/>
    </row>
    <row r="1547" spans="2:28" x14ac:dyDescent="0.3">
      <c r="B1547" s="10" t="s">
        <v>403</v>
      </c>
      <c r="C1547" s="315"/>
      <c r="D1547" s="868" t="s">
        <v>4449</v>
      </c>
      <c r="E1547" s="837" t="str">
        <f>IFERROR(IF(_xlfn.XLOOKUP(Imput[[#This Row],[RFC]],'Alta Proveedor'!D:D,'Alta Proveedor'!E:E)=0,"",_xlfn.XLOOKUP(Imput[[#This Row],[RFC]],'Alta Proveedor'!D:D,'Alta Proveedor'!E:E)),"")</f>
        <v>PREMEZCLADOS LA JOYA</v>
      </c>
      <c r="F1547" s="832" t="s">
        <v>4450</v>
      </c>
      <c r="G1547" s="187">
        <v>4.5</v>
      </c>
      <c r="H1547" s="1">
        <v>4176.7241299999996</v>
      </c>
      <c r="I1547" s="169">
        <f>Imput[[#This Row],[Cantidad]]*Imput[[#This Row],[Precio Unitario]]</f>
        <v>18795.258585</v>
      </c>
      <c r="J1547" s="11">
        <f>((Imput[[#This Row],[Sub total]])*(0.16))</f>
        <v>3007.2413735999999</v>
      </c>
      <c r="K1547" s="11">
        <v>0</v>
      </c>
      <c r="L1547" s="169">
        <f>Imput[[#This Row],[Sub total]]+Imput[[#This Row],[IVA]]-Imput[[#This Row],[Retención / IEPS / Descuento]]</f>
        <v>21802.499958599998</v>
      </c>
      <c r="M1547" s="844">
        <v>21802.499958599998</v>
      </c>
      <c r="N1547" s="189" t="s">
        <v>123</v>
      </c>
      <c r="O1547" s="1"/>
      <c r="P1547" s="189" t="s">
        <v>4446</v>
      </c>
      <c r="Q1547" s="190" t="s">
        <v>4447</v>
      </c>
      <c r="R1547" s="188">
        <v>46034</v>
      </c>
      <c r="S1547" s="193" t="s">
        <v>215</v>
      </c>
      <c r="T1547" s="192"/>
      <c r="U1547" s="829"/>
      <c r="V1547" s="10"/>
      <c r="W1547" s="10"/>
      <c r="X1547" s="10"/>
      <c r="Y1547" s="10"/>
      <c r="Z1547" s="10"/>
      <c r="AA1547" s="11"/>
      <c r="AB1547" s="11"/>
    </row>
    <row r="1548" spans="2:28" x14ac:dyDescent="0.3">
      <c r="B1548" s="10" t="s">
        <v>403</v>
      </c>
      <c r="C1548" s="315"/>
      <c r="D1548" s="868" t="s">
        <v>4449</v>
      </c>
      <c r="E1548" s="837" t="str">
        <f>IFERROR(IF(_xlfn.XLOOKUP(Imput[[#This Row],[RFC]],'Alta Proveedor'!D:D,'Alta Proveedor'!E:E)=0,"",_xlfn.XLOOKUP(Imput[[#This Row],[RFC]],'Alta Proveedor'!D:D,'Alta Proveedor'!E:E)),"")</f>
        <v>PREMEZCLADOS LA JOYA</v>
      </c>
      <c r="F1548" s="832" t="s">
        <v>4450</v>
      </c>
      <c r="G1548" s="187">
        <v>6</v>
      </c>
      <c r="H1548" s="1">
        <v>4301.7241299999996</v>
      </c>
      <c r="I1548" s="169">
        <f>Imput[[#This Row],[Cantidad]]*Imput[[#This Row],[Precio Unitario]]</f>
        <v>25810.344779999999</v>
      </c>
      <c r="J1548" s="11">
        <f>((Imput[[#This Row],[Sub total]])*(0.16))</f>
        <v>4129.6551648000004</v>
      </c>
      <c r="K1548" s="11">
        <v>0</v>
      </c>
      <c r="L1548" s="169">
        <f>Imput[[#This Row],[Sub total]]+Imput[[#This Row],[IVA]]-Imput[[#This Row],[Retención / IEPS / Descuento]]</f>
        <v>29939.999944800002</v>
      </c>
      <c r="M1548" s="844">
        <v>29939.999944800002</v>
      </c>
      <c r="N1548" s="189" t="s">
        <v>123</v>
      </c>
      <c r="O1548" s="1"/>
      <c r="P1548" s="189" t="s">
        <v>4451</v>
      </c>
      <c r="Q1548" s="190" t="s">
        <v>4452</v>
      </c>
      <c r="R1548" s="188">
        <v>46034</v>
      </c>
      <c r="S1548" s="193" t="s">
        <v>215</v>
      </c>
      <c r="T1548" s="192"/>
      <c r="U1548" s="829"/>
      <c r="V1548" s="10"/>
      <c r="W1548" s="10"/>
      <c r="X1548" s="10"/>
      <c r="Y1548" s="10"/>
      <c r="Z1548" s="10"/>
      <c r="AA1548" s="11"/>
      <c r="AB1548" s="11"/>
    </row>
    <row r="1549" spans="2:28" x14ac:dyDescent="0.3">
      <c r="B1549" s="10" t="s">
        <v>403</v>
      </c>
      <c r="C1549" s="315"/>
      <c r="D1549" s="868" t="s">
        <v>264</v>
      </c>
      <c r="E1549" s="837" t="str">
        <f>IFERROR(IF(_xlfn.XLOOKUP(Imput[[#This Row],[RFC]],'Alta Proveedor'!D:D,'Alta Proveedor'!E:E)=0,"",_xlfn.XLOOKUP(Imput[[#This Row],[RFC]],'Alta Proveedor'!D:D,'Alta Proveedor'!E:E)),"")</f>
        <v>M.N. DEL GOLFO "HOME CENTER TU ASESOR CONFIABLE"</v>
      </c>
      <c r="F1549" s="832" t="s">
        <v>4196</v>
      </c>
      <c r="G1549" s="187">
        <v>20</v>
      </c>
      <c r="H1549" s="1">
        <v>59.48</v>
      </c>
      <c r="I1549" s="169">
        <f>Imput[[#This Row],[Cantidad]]*Imput[[#This Row],[Precio Unitario]]</f>
        <v>1189.5999999999999</v>
      </c>
      <c r="J1549" s="11">
        <f>((Imput[[#This Row],[Sub total]])*(0.16))</f>
        <v>190.33599999999998</v>
      </c>
      <c r="K1549" s="11">
        <v>0</v>
      </c>
      <c r="L1549" s="169">
        <f>Imput[[#This Row],[Sub total]]+Imput[[#This Row],[IVA]]-Imput[[#This Row],[Retención / IEPS / Descuento]]</f>
        <v>1379.9359999999999</v>
      </c>
      <c r="M1549" s="844">
        <v>1379.9359999999999</v>
      </c>
      <c r="N1549" s="189" t="s">
        <v>123</v>
      </c>
      <c r="O1549" s="1"/>
      <c r="P1549" s="189" t="s">
        <v>4453</v>
      </c>
      <c r="Q1549" s="190" t="s">
        <v>4454</v>
      </c>
      <c r="R1549" s="188">
        <v>46034</v>
      </c>
      <c r="S1549" s="193" t="s">
        <v>126</v>
      </c>
      <c r="T1549" s="192"/>
      <c r="U1549" s="829"/>
      <c r="V1549" s="10"/>
      <c r="W1549" s="10"/>
      <c r="X1549" s="10"/>
      <c r="Y1549" s="10"/>
      <c r="Z1549" s="10"/>
      <c r="AA1549" s="11"/>
      <c r="AB1549" s="11"/>
    </row>
    <row r="1550" spans="2:28" x14ac:dyDescent="0.3">
      <c r="B1550" s="10" t="s">
        <v>387</v>
      </c>
      <c r="C1550" s="315"/>
      <c r="D1550" s="868" t="s">
        <v>3225</v>
      </c>
      <c r="E1550" s="837" t="str">
        <f>IFERROR(IF(_xlfn.XLOOKUP(Imput[[#This Row],[RFC]],'Alta Proveedor'!D:D,'Alta Proveedor'!E:E)=0,"",_xlfn.XLOOKUP(Imput[[#This Row],[RFC]],'Alta Proveedor'!D:D,'Alta Proveedor'!E:E)),"")</f>
        <v>GASTOS SIN FACTURA</v>
      </c>
      <c r="F1550" s="832" t="s">
        <v>4455</v>
      </c>
      <c r="G1550" s="187">
        <v>1</v>
      </c>
      <c r="H1550" s="1">
        <v>2535</v>
      </c>
      <c r="I1550" s="169">
        <f>Imput[[#This Row],[Cantidad]]*Imput[[#This Row],[Precio Unitario]]</f>
        <v>2535</v>
      </c>
      <c r="J1550" s="11">
        <f>((Imput[[#This Row],[Sub total]])*(0.08))</f>
        <v>202.8</v>
      </c>
      <c r="K1550" s="11">
        <v>0</v>
      </c>
      <c r="L1550" s="169">
        <f>Imput[[#This Row],[Sub total]]+Imput[[#This Row],[IVA]]-Imput[[#This Row],[Retención / IEPS / Descuento]]</f>
        <v>2737.8</v>
      </c>
      <c r="M1550" s="844">
        <v>2737.8</v>
      </c>
      <c r="N1550" s="189"/>
      <c r="O1550" s="1"/>
      <c r="P1550" s="189"/>
      <c r="Q1550" s="190"/>
      <c r="R1550" s="188">
        <v>45911</v>
      </c>
      <c r="S1550" s="193"/>
      <c r="T1550" s="192"/>
      <c r="U1550" s="829" t="s">
        <v>3225</v>
      </c>
      <c r="V1550" s="10"/>
      <c r="W1550" s="10"/>
      <c r="X1550" s="902">
        <v>26</v>
      </c>
      <c r="Y1550" s="10"/>
      <c r="Z1550" s="10"/>
      <c r="AA1550" s="11"/>
      <c r="AB1550" s="11"/>
    </row>
    <row r="1551" spans="2:28" x14ac:dyDescent="0.3">
      <c r="B1551" s="10" t="s">
        <v>387</v>
      </c>
      <c r="C1551" s="315"/>
      <c r="D1551" s="868" t="s">
        <v>3225</v>
      </c>
      <c r="E1551" s="837" t="str">
        <f>IFERROR(IF(_xlfn.XLOOKUP(Imput[[#This Row],[RFC]],'Alta Proveedor'!D:D,'Alta Proveedor'!E:E)=0,"",_xlfn.XLOOKUP(Imput[[#This Row],[RFC]],'Alta Proveedor'!D:D,'Alta Proveedor'!E:E)),"")</f>
        <v>GASTOS SIN FACTURA</v>
      </c>
      <c r="F1551" s="832" t="s">
        <v>3196</v>
      </c>
      <c r="G1551" s="187">
        <v>1</v>
      </c>
      <c r="H1551" s="1">
        <v>9320</v>
      </c>
      <c r="I1551" s="169">
        <f>Imput[[#This Row],[Cantidad]]*Imput[[#This Row],[Precio Unitario]]</f>
        <v>9320</v>
      </c>
      <c r="J1551" s="11">
        <f>((Imput[[#This Row],[Sub total]])*(0.08))</f>
        <v>745.6</v>
      </c>
      <c r="K1551" s="11">
        <v>0</v>
      </c>
      <c r="L1551" s="169">
        <f>Imput[[#This Row],[Sub total]]+Imput[[#This Row],[IVA]]-Imput[[#This Row],[Retención / IEPS / Descuento]]</f>
        <v>10065.6</v>
      </c>
      <c r="M1551" s="844">
        <v>10065.6</v>
      </c>
      <c r="N1551" s="189"/>
      <c r="O1551" s="1"/>
      <c r="P1551" s="189"/>
      <c r="Q1551" s="190"/>
      <c r="R1551" s="188">
        <v>45911</v>
      </c>
      <c r="S1551" s="193"/>
      <c r="T1551" s="192"/>
      <c r="U1551" s="829" t="s">
        <v>3225</v>
      </c>
      <c r="V1551" s="10"/>
      <c r="W1551" s="10"/>
      <c r="X1551" s="902">
        <v>26</v>
      </c>
      <c r="Y1551" s="10"/>
      <c r="Z1551" s="10"/>
      <c r="AA1551" s="11"/>
      <c r="AB1551" s="11"/>
    </row>
    <row r="1552" spans="2:28" x14ac:dyDescent="0.3">
      <c r="B1552" s="10" t="s">
        <v>387</v>
      </c>
      <c r="C1552" s="315"/>
      <c r="D1552" s="868" t="s">
        <v>3225</v>
      </c>
      <c r="E1552" s="837" t="str">
        <f>IFERROR(IF(_xlfn.XLOOKUP(Imput[[#This Row],[RFC]],'Alta Proveedor'!D:D,'Alta Proveedor'!E:E)=0,"",_xlfn.XLOOKUP(Imput[[#This Row],[RFC]],'Alta Proveedor'!D:D,'Alta Proveedor'!E:E)),"")</f>
        <v>GASTOS SIN FACTURA</v>
      </c>
      <c r="F1552" s="832" t="s">
        <v>4456</v>
      </c>
      <c r="G1552" s="187">
        <v>1</v>
      </c>
      <c r="H1552" s="1">
        <v>15000</v>
      </c>
      <c r="I1552" s="169">
        <f>Imput[[#This Row],[Cantidad]]*Imput[[#This Row],[Precio Unitario]]</f>
        <v>15000</v>
      </c>
      <c r="J1552" s="11">
        <f>((Imput[[#This Row],[Sub total]])*(0.08))</f>
        <v>1200</v>
      </c>
      <c r="K1552" s="11">
        <v>0</v>
      </c>
      <c r="L1552" s="169">
        <f>Imput[[#This Row],[Sub total]]+Imput[[#This Row],[IVA]]-Imput[[#This Row],[Retención / IEPS / Descuento]]</f>
        <v>16200</v>
      </c>
      <c r="M1552" s="844">
        <v>16200</v>
      </c>
      <c r="N1552" s="189"/>
      <c r="O1552" s="1"/>
      <c r="P1552" s="189"/>
      <c r="Q1552" s="190"/>
      <c r="R1552" s="188">
        <v>45911</v>
      </c>
      <c r="S1552" s="193"/>
      <c r="T1552" s="192"/>
      <c r="U1552" s="829" t="s">
        <v>3225</v>
      </c>
      <c r="V1552" s="10"/>
      <c r="W1552" s="10"/>
      <c r="X1552" s="902">
        <v>26</v>
      </c>
      <c r="Y1552" s="10" t="s">
        <v>4525</v>
      </c>
      <c r="Z1552" s="10"/>
      <c r="AA1552" s="11"/>
      <c r="AB1552" s="11"/>
    </row>
    <row r="1553" spans="2:28" x14ac:dyDescent="0.3">
      <c r="B1553" s="10" t="s">
        <v>387</v>
      </c>
      <c r="C1553" s="315"/>
      <c r="D1553" s="868" t="s">
        <v>3225</v>
      </c>
      <c r="E1553" s="837" t="str">
        <f>IFERROR(IF(_xlfn.XLOOKUP(Imput[[#This Row],[RFC]],'Alta Proveedor'!D:D,'Alta Proveedor'!E:E)=0,"",_xlfn.XLOOKUP(Imput[[#This Row],[RFC]],'Alta Proveedor'!D:D,'Alta Proveedor'!E:E)),"")</f>
        <v>GASTOS SIN FACTURA</v>
      </c>
      <c r="F1553" s="832" t="s">
        <v>4457</v>
      </c>
      <c r="G1553" s="187">
        <v>1</v>
      </c>
      <c r="H1553" s="1">
        <v>23100</v>
      </c>
      <c r="I1553" s="169">
        <f>Imput[[#This Row],[Cantidad]]*Imput[[#This Row],[Precio Unitario]]</f>
        <v>23100</v>
      </c>
      <c r="J1553" s="11">
        <f>((Imput[[#This Row],[Sub total]])*(0.08))</f>
        <v>1848</v>
      </c>
      <c r="K1553" s="11">
        <v>0</v>
      </c>
      <c r="L1553" s="169">
        <f>Imput[[#This Row],[Sub total]]+Imput[[#This Row],[IVA]]-Imput[[#This Row],[Retención / IEPS / Descuento]]</f>
        <v>24948</v>
      </c>
      <c r="M1553" s="844">
        <v>24948</v>
      </c>
      <c r="N1553" s="189"/>
      <c r="O1553" s="1"/>
      <c r="P1553" s="189"/>
      <c r="Q1553" s="190"/>
      <c r="R1553" s="188">
        <v>45913</v>
      </c>
      <c r="S1553" s="193"/>
      <c r="T1553" s="192"/>
      <c r="U1553" s="829" t="s">
        <v>3225</v>
      </c>
      <c r="V1553" s="10"/>
      <c r="W1553" s="10"/>
      <c r="X1553" s="902">
        <v>26</v>
      </c>
      <c r="Y1553" s="10"/>
      <c r="Z1553" s="10"/>
      <c r="AA1553" s="11"/>
      <c r="AB1553" s="11"/>
    </row>
    <row r="1554" spans="2:28" x14ac:dyDescent="0.3">
      <c r="B1554" s="10" t="s">
        <v>387</v>
      </c>
      <c r="C1554" s="315"/>
      <c r="D1554" s="868" t="s">
        <v>3225</v>
      </c>
      <c r="E1554" s="837" t="str">
        <f>IFERROR(IF(_xlfn.XLOOKUP(Imput[[#This Row],[RFC]],'Alta Proveedor'!D:D,'Alta Proveedor'!E:E)=0,"",_xlfn.XLOOKUP(Imput[[#This Row],[RFC]],'Alta Proveedor'!D:D,'Alta Proveedor'!E:E)),"")</f>
        <v>GASTOS SIN FACTURA</v>
      </c>
      <c r="F1554" s="832" t="s">
        <v>3348</v>
      </c>
      <c r="G1554" s="187">
        <v>1</v>
      </c>
      <c r="H1554" s="1">
        <v>15863.93</v>
      </c>
      <c r="I1554" s="169">
        <f>Imput[[#This Row],[Cantidad]]*Imput[[#This Row],[Precio Unitario]]</f>
        <v>15863.93</v>
      </c>
      <c r="J1554" s="11">
        <f>((Imput[[#This Row],[Sub total]])*(0.08))</f>
        <v>1269.1144000000002</v>
      </c>
      <c r="K1554" s="11">
        <v>0</v>
      </c>
      <c r="L1554" s="169">
        <f>Imput[[#This Row],[Sub total]]+Imput[[#This Row],[IVA]]-Imput[[#This Row],[Retención / IEPS / Descuento]]</f>
        <v>17133.044399999999</v>
      </c>
      <c r="M1554" s="844">
        <v>17133.044399999999</v>
      </c>
      <c r="N1554" s="189"/>
      <c r="O1554" s="1"/>
      <c r="P1554" s="189"/>
      <c r="Q1554" s="190"/>
      <c r="R1554" s="188">
        <v>45913</v>
      </c>
      <c r="S1554" s="193"/>
      <c r="T1554" s="192"/>
      <c r="U1554" s="829" t="s">
        <v>3225</v>
      </c>
      <c r="V1554" s="10"/>
      <c r="W1554" s="10"/>
      <c r="X1554" s="902">
        <v>26</v>
      </c>
      <c r="Y1554" s="10"/>
      <c r="Z1554" s="10"/>
      <c r="AA1554" s="11"/>
      <c r="AB1554" s="11"/>
    </row>
    <row r="1555" spans="2:28" x14ac:dyDescent="0.3">
      <c r="B1555" s="10" t="s">
        <v>387</v>
      </c>
      <c r="C1555" s="315"/>
      <c r="D1555" s="868" t="s">
        <v>3225</v>
      </c>
      <c r="E1555" s="837" t="str">
        <f>IFERROR(IF(_xlfn.XLOOKUP(Imput[[#This Row],[RFC]],'Alta Proveedor'!D:D,'Alta Proveedor'!E:E)=0,"",_xlfn.XLOOKUP(Imput[[#This Row],[RFC]],'Alta Proveedor'!D:D,'Alta Proveedor'!E:E)),"")</f>
        <v>GASTOS SIN FACTURA</v>
      </c>
      <c r="F1555" s="832" t="s">
        <v>4458</v>
      </c>
      <c r="G1555" s="187">
        <v>1</v>
      </c>
      <c r="H1555" s="1">
        <v>3260</v>
      </c>
      <c r="I1555" s="169">
        <f>Imput[[#This Row],[Cantidad]]*Imput[[#This Row],[Precio Unitario]]</f>
        <v>3260</v>
      </c>
      <c r="J1555" s="11">
        <f>((Imput[[#This Row],[Sub total]])*(0.08))</f>
        <v>260.8</v>
      </c>
      <c r="K1555" s="11">
        <v>0</v>
      </c>
      <c r="L1555" s="169">
        <f>Imput[[#This Row],[Sub total]]+Imput[[#This Row],[IVA]]-Imput[[#This Row],[Retención / IEPS / Descuento]]</f>
        <v>3520.8</v>
      </c>
      <c r="M1555" s="844">
        <v>3520.8</v>
      </c>
      <c r="N1555" s="189"/>
      <c r="O1555" s="1"/>
      <c r="P1555" s="189"/>
      <c r="Q1555" s="190"/>
      <c r="R1555" s="188">
        <v>45913</v>
      </c>
      <c r="S1555" s="193"/>
      <c r="T1555" s="192"/>
      <c r="U1555" s="829" t="s">
        <v>3225</v>
      </c>
      <c r="V1555" s="10"/>
      <c r="W1555" s="10"/>
      <c r="X1555" s="902">
        <v>26</v>
      </c>
      <c r="Y1555" s="10"/>
      <c r="Z1555" s="10"/>
      <c r="AA1555" s="11"/>
      <c r="AB1555" s="11"/>
    </row>
    <row r="1556" spans="2:28" x14ac:dyDescent="0.3">
      <c r="B1556" s="10" t="s">
        <v>387</v>
      </c>
      <c r="C1556" s="315"/>
      <c r="D1556" s="868" t="s">
        <v>3119</v>
      </c>
      <c r="E1556" s="837" t="str">
        <f>IFERROR(IF(_xlfn.XLOOKUP(Imput[[#This Row],[RFC]],'Alta Proveedor'!D:D,'Alta Proveedor'!E:E)=0,"",_xlfn.XLOOKUP(Imput[[#This Row],[RFC]],'Alta Proveedor'!D:D,'Alta Proveedor'!E:E)),"")</f>
        <v>Nomina-OPERACIÓN</v>
      </c>
      <c r="F1556" s="832" t="s">
        <v>4459</v>
      </c>
      <c r="G1556" s="187">
        <v>1</v>
      </c>
      <c r="H1556" s="1">
        <v>1666</v>
      </c>
      <c r="I1556" s="169">
        <f>Imput[[#This Row],[Cantidad]]*Imput[[#This Row],[Precio Unitario]]</f>
        <v>1666</v>
      </c>
      <c r="J1556" s="11">
        <f>((Imput[[#This Row],[Sub total]])*(0.08))</f>
        <v>133.28</v>
      </c>
      <c r="K1556" s="11">
        <v>0</v>
      </c>
      <c r="L1556" s="169">
        <f>Imput[[#This Row],[Sub total]]+Imput[[#This Row],[IVA]]-Imput[[#This Row],[Retención / IEPS / Descuento]]</f>
        <v>1799.28</v>
      </c>
      <c r="M1556" s="844">
        <v>1799.28</v>
      </c>
      <c r="N1556" s="189"/>
      <c r="O1556" s="1"/>
      <c r="P1556" s="189"/>
      <c r="Q1556" s="190"/>
      <c r="R1556" s="188">
        <v>45913</v>
      </c>
      <c r="S1556" s="193"/>
      <c r="T1556" s="192"/>
      <c r="U1556" s="829" t="s">
        <v>3225</v>
      </c>
      <c r="V1556" s="10"/>
      <c r="W1556" s="10"/>
      <c r="X1556" s="902">
        <v>26</v>
      </c>
      <c r="Y1556" s="10"/>
      <c r="Z1556" s="10"/>
      <c r="AA1556" s="11"/>
      <c r="AB1556" s="11"/>
    </row>
    <row r="1557" spans="2:28" x14ac:dyDescent="0.3">
      <c r="B1557" s="10" t="s">
        <v>387</v>
      </c>
      <c r="C1557" s="315"/>
      <c r="D1557" s="868" t="s">
        <v>3119</v>
      </c>
      <c r="E1557" s="837" t="str">
        <f>IFERROR(IF(_xlfn.XLOOKUP(Imput[[#This Row],[RFC]],'Alta Proveedor'!D:D,'Alta Proveedor'!E:E)=0,"",_xlfn.XLOOKUP(Imput[[#This Row],[RFC]],'Alta Proveedor'!D:D,'Alta Proveedor'!E:E)),"")</f>
        <v>Nomina-OPERACIÓN</v>
      </c>
      <c r="F1557" s="832" t="s">
        <v>4460</v>
      </c>
      <c r="G1557" s="187">
        <v>1</v>
      </c>
      <c r="H1557" s="1">
        <v>1666</v>
      </c>
      <c r="I1557" s="169">
        <f>Imput[[#This Row],[Cantidad]]*Imput[[#This Row],[Precio Unitario]]</f>
        <v>1666</v>
      </c>
      <c r="J1557" s="11">
        <f>((Imput[[#This Row],[Sub total]])*(0.08))</f>
        <v>133.28</v>
      </c>
      <c r="K1557" s="11">
        <v>0</v>
      </c>
      <c r="L1557" s="169">
        <f>Imput[[#This Row],[Sub total]]+Imput[[#This Row],[IVA]]-Imput[[#This Row],[Retención / IEPS / Descuento]]</f>
        <v>1799.28</v>
      </c>
      <c r="M1557" s="844">
        <v>1799.28</v>
      </c>
      <c r="N1557" s="189"/>
      <c r="O1557" s="1"/>
      <c r="P1557" s="189"/>
      <c r="Q1557" s="190"/>
      <c r="R1557" s="188">
        <v>45913</v>
      </c>
      <c r="S1557" s="193"/>
      <c r="T1557" s="192"/>
      <c r="U1557" s="829" t="s">
        <v>3225</v>
      </c>
      <c r="V1557" s="10"/>
      <c r="W1557" s="10"/>
      <c r="X1557" s="902">
        <v>26</v>
      </c>
      <c r="Y1557" s="10"/>
      <c r="Z1557" s="10"/>
      <c r="AA1557" s="11"/>
      <c r="AB1557" s="11"/>
    </row>
    <row r="1558" spans="2:28" x14ac:dyDescent="0.3">
      <c r="B1558" s="10" t="s">
        <v>387</v>
      </c>
      <c r="C1558" s="315"/>
      <c r="D1558" s="868" t="s">
        <v>3225</v>
      </c>
      <c r="E1558" s="837" t="str">
        <f>IFERROR(IF(_xlfn.XLOOKUP(Imput[[#This Row],[RFC]],'Alta Proveedor'!D:D,'Alta Proveedor'!E:E)=0,"",_xlfn.XLOOKUP(Imput[[#This Row],[RFC]],'Alta Proveedor'!D:D,'Alta Proveedor'!E:E)),"")</f>
        <v>GASTOS SIN FACTURA</v>
      </c>
      <c r="F1558" s="832" t="s">
        <v>4461</v>
      </c>
      <c r="G1558" s="187">
        <v>1</v>
      </c>
      <c r="H1558" s="1">
        <v>5336</v>
      </c>
      <c r="I1558" s="169">
        <f>Imput[[#This Row],[Cantidad]]*Imput[[#This Row],[Precio Unitario]]</f>
        <v>5336</v>
      </c>
      <c r="J1558" s="11">
        <f>((Imput[[#This Row],[Sub total]])*(0.08))</f>
        <v>426.88</v>
      </c>
      <c r="K1558" s="11">
        <v>0</v>
      </c>
      <c r="L1558" s="169">
        <f>Imput[[#This Row],[Sub total]]+Imput[[#This Row],[IVA]]-Imput[[#This Row],[Retención / IEPS / Descuento]]</f>
        <v>5762.88</v>
      </c>
      <c r="M1558" s="844">
        <v>5762.88</v>
      </c>
      <c r="N1558" s="189"/>
      <c r="O1558" s="1"/>
      <c r="P1558" s="189"/>
      <c r="Q1558" s="190"/>
      <c r="R1558" s="188">
        <v>45913</v>
      </c>
      <c r="S1558" s="193"/>
      <c r="T1558" s="192"/>
      <c r="U1558" s="829" t="s">
        <v>3225</v>
      </c>
      <c r="V1558" s="10"/>
      <c r="W1558" s="10"/>
      <c r="X1558" s="902">
        <v>26</v>
      </c>
      <c r="Y1558" s="10"/>
      <c r="Z1558" s="10"/>
      <c r="AA1558" s="11"/>
      <c r="AB1558" s="11"/>
    </row>
    <row r="1559" spans="2:28" x14ac:dyDescent="0.3">
      <c r="B1559" s="10" t="s">
        <v>387</v>
      </c>
      <c r="C1559" s="315"/>
      <c r="D1559" s="868" t="s">
        <v>3225</v>
      </c>
      <c r="E1559" s="837" t="str">
        <f>IFERROR(IF(_xlfn.XLOOKUP(Imput[[#This Row],[RFC]],'Alta Proveedor'!D:D,'Alta Proveedor'!E:E)=0,"",_xlfn.XLOOKUP(Imput[[#This Row],[RFC]],'Alta Proveedor'!D:D,'Alta Proveedor'!E:E)),"")</f>
        <v>GASTOS SIN FACTURA</v>
      </c>
      <c r="F1559" s="832" t="s">
        <v>3332</v>
      </c>
      <c r="G1559" s="187">
        <v>1</v>
      </c>
      <c r="H1559" s="1">
        <v>4602.43</v>
      </c>
      <c r="I1559" s="169">
        <f>Imput[[#This Row],[Cantidad]]*Imput[[#This Row],[Precio Unitario]]</f>
        <v>4602.43</v>
      </c>
      <c r="J1559" s="11">
        <f>((Imput[[#This Row],[Sub total]])*(0.08))</f>
        <v>368.19440000000003</v>
      </c>
      <c r="K1559" s="11">
        <v>0</v>
      </c>
      <c r="L1559" s="169">
        <f>Imput[[#This Row],[Sub total]]+Imput[[#This Row],[IVA]]-Imput[[#This Row],[Retención / IEPS / Descuento]]</f>
        <v>4970.6244000000006</v>
      </c>
      <c r="M1559" s="844">
        <v>4970.6244000000006</v>
      </c>
      <c r="N1559" s="189"/>
      <c r="O1559" s="1"/>
      <c r="P1559" s="189"/>
      <c r="Q1559" s="190"/>
      <c r="R1559" s="188">
        <v>45913</v>
      </c>
      <c r="S1559" s="193"/>
      <c r="T1559" s="192"/>
      <c r="U1559" s="829" t="s">
        <v>3225</v>
      </c>
      <c r="V1559" s="10"/>
      <c r="W1559" s="10"/>
      <c r="X1559" s="902">
        <v>26</v>
      </c>
      <c r="Y1559" s="10"/>
      <c r="Z1559" s="10"/>
      <c r="AA1559" s="11"/>
      <c r="AB1559" s="11"/>
    </row>
    <row r="1560" spans="2:28" x14ac:dyDescent="0.3">
      <c r="B1560" s="10" t="s">
        <v>387</v>
      </c>
      <c r="C1560" s="315"/>
      <c r="D1560" s="868" t="s">
        <v>3119</v>
      </c>
      <c r="E1560" s="837" t="str">
        <f>IFERROR(IF(_xlfn.XLOOKUP(Imput[[#This Row],[RFC]],'Alta Proveedor'!D:D,'Alta Proveedor'!E:E)=0,"",_xlfn.XLOOKUP(Imput[[#This Row],[RFC]],'Alta Proveedor'!D:D,'Alta Proveedor'!E:E)),"")</f>
        <v>Nomina-OPERACIÓN</v>
      </c>
      <c r="F1560" s="832" t="s">
        <v>3347</v>
      </c>
      <c r="G1560" s="187">
        <v>1</v>
      </c>
      <c r="H1560" s="1">
        <v>4000</v>
      </c>
      <c r="I1560" s="169">
        <f>Imput[[#This Row],[Cantidad]]*Imput[[#This Row],[Precio Unitario]]</f>
        <v>4000</v>
      </c>
      <c r="J1560" s="11">
        <f>((Imput[[#This Row],[Sub total]])*(0.08))</f>
        <v>320</v>
      </c>
      <c r="K1560" s="11">
        <v>0</v>
      </c>
      <c r="L1560" s="169">
        <f>Imput[[#This Row],[Sub total]]+Imput[[#This Row],[IVA]]-Imput[[#This Row],[Retención / IEPS / Descuento]]</f>
        <v>4320</v>
      </c>
      <c r="M1560" s="844">
        <v>4320</v>
      </c>
      <c r="N1560" s="189"/>
      <c r="O1560" s="1"/>
      <c r="P1560" s="189"/>
      <c r="Q1560" s="190"/>
      <c r="R1560" s="188">
        <v>45913</v>
      </c>
      <c r="S1560" s="193"/>
      <c r="T1560" s="192"/>
      <c r="U1560" s="829" t="s">
        <v>3225</v>
      </c>
      <c r="V1560" s="10"/>
      <c r="W1560" s="10"/>
      <c r="X1560" s="902">
        <v>26</v>
      </c>
      <c r="Y1560" s="10"/>
      <c r="Z1560" s="10"/>
      <c r="AA1560" s="11"/>
      <c r="AB1560" s="11"/>
    </row>
    <row r="1561" spans="2:28" x14ac:dyDescent="0.3">
      <c r="B1561" s="10" t="s">
        <v>387</v>
      </c>
      <c r="C1561" s="315" t="s">
        <v>1743</v>
      </c>
      <c r="D1561" s="868" t="s">
        <v>3118</v>
      </c>
      <c r="E1561" s="837" t="str">
        <f>IFERROR(IF(_xlfn.XLOOKUP(Imput[[#This Row],[RFC]],'Alta Proveedor'!D:D,'Alta Proveedor'!E:E)=0,"",_xlfn.XLOOKUP(Imput[[#This Row],[RFC]],'Alta Proveedor'!D:D,'Alta Proveedor'!E:E)),"")</f>
        <v>Nomina-ADMON</v>
      </c>
      <c r="F1561" s="832" t="s">
        <v>4531</v>
      </c>
      <c r="G1561" s="187">
        <v>1</v>
      </c>
      <c r="H1561" s="1">
        <v>0</v>
      </c>
      <c r="I1561" s="169">
        <f>Imput[[#This Row],[Cantidad]]*Imput[[#This Row],[Precio Unitario]]</f>
        <v>0</v>
      </c>
      <c r="J1561" s="11">
        <f>Imput[[#This Row],[Sub total]]*0</f>
        <v>0</v>
      </c>
      <c r="K1561" s="11">
        <v>0</v>
      </c>
      <c r="L1561" s="169">
        <f>Imput[[#This Row],[Sub total]]+Imput[[#This Row],[IVA]]-Imput[[#This Row],[Retención / IEPS / Descuento]]</f>
        <v>0</v>
      </c>
      <c r="M1561" s="844">
        <v>0</v>
      </c>
      <c r="N1561" s="189"/>
      <c r="O1561" s="1"/>
      <c r="P1561" s="189"/>
      <c r="Q1561" s="190"/>
      <c r="R1561" s="188">
        <v>45915</v>
      </c>
      <c r="S1561" s="193"/>
      <c r="T1561" s="192"/>
      <c r="U1561" s="829" t="s">
        <v>3225</v>
      </c>
      <c r="V1561" s="10"/>
      <c r="W1561" s="10"/>
      <c r="X1561" s="902">
        <v>26</v>
      </c>
      <c r="Y1561" s="10"/>
      <c r="Z1561" s="10"/>
      <c r="AA1561" s="11"/>
      <c r="AB1561" s="11"/>
    </row>
    <row r="1562" spans="2:28" x14ac:dyDescent="0.3">
      <c r="B1562" s="10" t="s">
        <v>387</v>
      </c>
      <c r="C1562" s="315" t="s">
        <v>1773</v>
      </c>
      <c r="D1562" s="868" t="s">
        <v>3118</v>
      </c>
      <c r="E1562" s="837" t="str">
        <f>IFERROR(IF(_xlfn.XLOOKUP(Imput[[#This Row],[RFC]],'Alta Proveedor'!D:D,'Alta Proveedor'!E:E)=0,"",_xlfn.XLOOKUP(Imput[[#This Row],[RFC]],'Alta Proveedor'!D:D,'Alta Proveedor'!E:E)),"")</f>
        <v>Nomina-ADMON</v>
      </c>
      <c r="F1562" s="832" t="s">
        <v>4532</v>
      </c>
      <c r="G1562" s="187">
        <v>1</v>
      </c>
      <c r="H1562" s="1">
        <v>4182</v>
      </c>
      <c r="I1562" s="169">
        <f>Imput[[#This Row],[Cantidad]]*Imput[[#This Row],[Precio Unitario]]</f>
        <v>4182</v>
      </c>
      <c r="J1562" s="11">
        <f>Imput[[#This Row],[Sub total]]*0</f>
        <v>0</v>
      </c>
      <c r="K1562" s="11">
        <v>0</v>
      </c>
      <c r="L1562" s="169">
        <f>Imput[[#This Row],[Sub total]]+Imput[[#This Row],[IVA]]-Imput[[#This Row],[Retención / IEPS / Descuento]]</f>
        <v>4182</v>
      </c>
      <c r="M1562" s="844">
        <v>4182</v>
      </c>
      <c r="N1562" s="189"/>
      <c r="O1562" s="1"/>
      <c r="P1562" s="189"/>
      <c r="Q1562" s="190"/>
      <c r="R1562" s="188">
        <v>45915</v>
      </c>
      <c r="S1562" s="193"/>
      <c r="T1562" s="192"/>
      <c r="U1562" s="829" t="s">
        <v>3225</v>
      </c>
      <c r="V1562" s="10"/>
      <c r="W1562" s="10"/>
      <c r="X1562" s="902">
        <v>26</v>
      </c>
      <c r="Y1562" s="10"/>
      <c r="Z1562" s="10"/>
      <c r="AA1562" s="11"/>
      <c r="AB1562" s="11"/>
    </row>
    <row r="1563" spans="2:28" x14ac:dyDescent="0.3">
      <c r="B1563" s="10" t="s">
        <v>387</v>
      </c>
      <c r="C1563" s="315" t="s">
        <v>1784</v>
      </c>
      <c r="D1563" s="868" t="s">
        <v>3118</v>
      </c>
      <c r="E1563" s="837" t="str">
        <f>IFERROR(IF(_xlfn.XLOOKUP(Imput[[#This Row],[RFC]],'Alta Proveedor'!D:D,'Alta Proveedor'!E:E)=0,"",_xlfn.XLOOKUP(Imput[[#This Row],[RFC]],'Alta Proveedor'!D:D,'Alta Proveedor'!E:E)),"")</f>
        <v>Nomina-ADMON</v>
      </c>
      <c r="F1563" s="832" t="s">
        <v>4533</v>
      </c>
      <c r="G1563" s="187">
        <v>1</v>
      </c>
      <c r="H1563" s="1">
        <v>0</v>
      </c>
      <c r="I1563" s="169">
        <f>Imput[[#This Row],[Cantidad]]*Imput[[#This Row],[Precio Unitario]]</f>
        <v>0</v>
      </c>
      <c r="J1563" s="11">
        <f>Imput[[#This Row],[Sub total]]*0</f>
        <v>0</v>
      </c>
      <c r="K1563" s="11">
        <v>0</v>
      </c>
      <c r="L1563" s="169">
        <f>Imput[[#This Row],[Sub total]]+Imput[[#This Row],[IVA]]-Imput[[#This Row],[Retención / IEPS / Descuento]]</f>
        <v>0</v>
      </c>
      <c r="M1563" s="844">
        <v>0</v>
      </c>
      <c r="N1563" s="189"/>
      <c r="O1563" s="1"/>
      <c r="P1563" s="189"/>
      <c r="Q1563" s="190"/>
      <c r="R1563" s="188">
        <v>45915</v>
      </c>
      <c r="S1563" s="193"/>
      <c r="T1563" s="192"/>
      <c r="U1563" s="829" t="s">
        <v>3225</v>
      </c>
      <c r="V1563" s="10"/>
      <c r="W1563" s="10"/>
      <c r="X1563" s="902">
        <v>26</v>
      </c>
      <c r="Y1563" s="10"/>
      <c r="Z1563" s="10"/>
      <c r="AA1563" s="11"/>
      <c r="AB1563" s="11"/>
    </row>
    <row r="1564" spans="2:28" x14ac:dyDescent="0.3">
      <c r="B1564" s="10" t="s">
        <v>387</v>
      </c>
      <c r="C1564" s="315" t="s">
        <v>1756</v>
      </c>
      <c r="D1564" s="868" t="s">
        <v>3118</v>
      </c>
      <c r="E1564" s="837" t="str">
        <f>IFERROR(IF(_xlfn.XLOOKUP(Imput[[#This Row],[RFC]],'Alta Proveedor'!D:D,'Alta Proveedor'!E:E)=0,"",_xlfn.XLOOKUP(Imput[[#This Row],[RFC]],'Alta Proveedor'!D:D,'Alta Proveedor'!E:E)),"")</f>
        <v>Nomina-ADMON</v>
      </c>
      <c r="F1564" s="832" t="s">
        <v>4534</v>
      </c>
      <c r="G1564" s="187">
        <v>1</v>
      </c>
      <c r="H1564" s="1">
        <v>4182</v>
      </c>
      <c r="I1564" s="169">
        <f>Imput[[#This Row],[Cantidad]]*Imput[[#This Row],[Precio Unitario]]</f>
        <v>4182</v>
      </c>
      <c r="J1564" s="11">
        <f>Imput[[#This Row],[Sub total]]*0</f>
        <v>0</v>
      </c>
      <c r="K1564" s="11">
        <v>0</v>
      </c>
      <c r="L1564" s="169">
        <f>Imput[[#This Row],[Sub total]]+Imput[[#This Row],[IVA]]-Imput[[#This Row],[Retención / IEPS / Descuento]]</f>
        <v>4182</v>
      </c>
      <c r="M1564" s="844">
        <v>4182</v>
      </c>
      <c r="N1564" s="189"/>
      <c r="O1564" s="1"/>
      <c r="P1564" s="189"/>
      <c r="Q1564" s="190"/>
      <c r="R1564" s="188">
        <v>45915</v>
      </c>
      <c r="S1564" s="193"/>
      <c r="T1564" s="192"/>
      <c r="U1564" s="829" t="s">
        <v>3225</v>
      </c>
      <c r="V1564" s="10"/>
      <c r="W1564" s="10"/>
      <c r="X1564" s="902">
        <v>26</v>
      </c>
      <c r="Y1564" s="10"/>
      <c r="Z1564" s="10"/>
      <c r="AA1564" s="11"/>
      <c r="AB1564" s="11"/>
    </row>
    <row r="1565" spans="2:28" x14ac:dyDescent="0.3">
      <c r="B1565" s="10" t="s">
        <v>387</v>
      </c>
      <c r="C1565" s="315" t="s">
        <v>1774</v>
      </c>
      <c r="D1565" s="868" t="s">
        <v>3118</v>
      </c>
      <c r="E1565" s="837" t="str">
        <f>IFERROR(IF(_xlfn.XLOOKUP(Imput[[#This Row],[RFC]],'Alta Proveedor'!D:D,'Alta Proveedor'!E:E)=0,"",_xlfn.XLOOKUP(Imput[[#This Row],[RFC]],'Alta Proveedor'!D:D,'Alta Proveedor'!E:E)),"")</f>
        <v>Nomina-ADMON</v>
      </c>
      <c r="F1565" s="832" t="s">
        <v>4535</v>
      </c>
      <c r="G1565" s="187">
        <v>1</v>
      </c>
      <c r="H1565" s="1">
        <v>4182</v>
      </c>
      <c r="I1565" s="169">
        <f>Imput[[#This Row],[Cantidad]]*Imput[[#This Row],[Precio Unitario]]</f>
        <v>4182</v>
      </c>
      <c r="J1565" s="11">
        <f>Imput[[#This Row],[Sub total]]*0</f>
        <v>0</v>
      </c>
      <c r="K1565" s="11">
        <v>0</v>
      </c>
      <c r="L1565" s="169">
        <f>Imput[[#This Row],[Sub total]]+Imput[[#This Row],[IVA]]-Imput[[#This Row],[Retención / IEPS / Descuento]]</f>
        <v>4182</v>
      </c>
      <c r="M1565" s="844">
        <v>4182</v>
      </c>
      <c r="N1565" s="189"/>
      <c r="O1565" s="1"/>
      <c r="P1565" s="189"/>
      <c r="Q1565" s="190"/>
      <c r="R1565" s="188">
        <v>45915</v>
      </c>
      <c r="S1565" s="193"/>
      <c r="T1565" s="192"/>
      <c r="U1565" s="829" t="s">
        <v>3225</v>
      </c>
      <c r="V1565" s="10"/>
      <c r="W1565" s="10"/>
      <c r="X1565" s="902">
        <v>26</v>
      </c>
      <c r="Y1565" s="10"/>
      <c r="Z1565" s="10"/>
      <c r="AA1565" s="11"/>
      <c r="AB1565" s="11"/>
    </row>
    <row r="1566" spans="2:28" x14ac:dyDescent="0.3">
      <c r="B1566" s="10" t="s">
        <v>387</v>
      </c>
      <c r="C1566" s="315" t="s">
        <v>1754</v>
      </c>
      <c r="D1566" s="868" t="s">
        <v>3118</v>
      </c>
      <c r="E1566" s="837" t="str">
        <f>IFERROR(IF(_xlfn.XLOOKUP(Imput[[#This Row],[RFC]],'Alta Proveedor'!D:D,'Alta Proveedor'!E:E)=0,"",_xlfn.XLOOKUP(Imput[[#This Row],[RFC]],'Alta Proveedor'!D:D,'Alta Proveedor'!E:E)),"")</f>
        <v>Nomina-ADMON</v>
      </c>
      <c r="F1566" s="832" t="s">
        <v>4536</v>
      </c>
      <c r="G1566" s="187">
        <v>1</v>
      </c>
      <c r="H1566" s="1">
        <v>4182</v>
      </c>
      <c r="I1566" s="169">
        <f>Imput[[#This Row],[Cantidad]]*Imput[[#This Row],[Precio Unitario]]</f>
        <v>4182</v>
      </c>
      <c r="J1566" s="11">
        <f>Imput[[#This Row],[Sub total]]*0</f>
        <v>0</v>
      </c>
      <c r="K1566" s="11">
        <v>0</v>
      </c>
      <c r="L1566" s="169">
        <f>Imput[[#This Row],[Sub total]]+Imput[[#This Row],[IVA]]-Imput[[#This Row],[Retención / IEPS / Descuento]]</f>
        <v>4182</v>
      </c>
      <c r="M1566" s="844">
        <v>4182</v>
      </c>
      <c r="N1566" s="189"/>
      <c r="O1566" s="1"/>
      <c r="P1566" s="189"/>
      <c r="Q1566" s="190"/>
      <c r="R1566" s="188">
        <v>45915</v>
      </c>
      <c r="S1566" s="193"/>
      <c r="T1566" s="192"/>
      <c r="U1566" s="829" t="s">
        <v>3225</v>
      </c>
      <c r="V1566" s="10"/>
      <c r="W1566" s="10"/>
      <c r="X1566" s="902">
        <v>26</v>
      </c>
      <c r="Y1566" s="10"/>
      <c r="Z1566" s="10"/>
      <c r="AA1566" s="11"/>
      <c r="AB1566" s="11"/>
    </row>
    <row r="1567" spans="2:28" x14ac:dyDescent="0.3">
      <c r="B1567" s="10" t="s">
        <v>387</v>
      </c>
      <c r="C1567" s="315" t="s">
        <v>1743</v>
      </c>
      <c r="D1567" s="868" t="s">
        <v>3118</v>
      </c>
      <c r="E1567" s="837" t="str">
        <f>IFERROR(IF(_xlfn.XLOOKUP(Imput[[#This Row],[RFC]],'Alta Proveedor'!D:D,'Alta Proveedor'!E:E)=0,"",_xlfn.XLOOKUP(Imput[[#This Row],[RFC]],'Alta Proveedor'!D:D,'Alta Proveedor'!E:E)),"")</f>
        <v>Nomina-ADMON</v>
      </c>
      <c r="F1567" s="832" t="s">
        <v>4537</v>
      </c>
      <c r="G1567" s="187">
        <v>1</v>
      </c>
      <c r="H1567" s="1">
        <v>10000</v>
      </c>
      <c r="I1567" s="169">
        <f>Imput[[#This Row],[Cantidad]]*Imput[[#This Row],[Precio Unitario]]</f>
        <v>10000</v>
      </c>
      <c r="J1567" s="11">
        <f>Imput[[#This Row],[Sub total]]*0.08</f>
        <v>800</v>
      </c>
      <c r="K1567" s="11">
        <v>0</v>
      </c>
      <c r="L1567" s="169">
        <f>Imput[[#This Row],[Sub total]]+Imput[[#This Row],[IVA]]-Imput[[#This Row],[Retención / IEPS / Descuento]]</f>
        <v>10800</v>
      </c>
      <c r="M1567" s="844">
        <v>10800</v>
      </c>
      <c r="N1567" s="189"/>
      <c r="O1567" s="1"/>
      <c r="P1567" s="189"/>
      <c r="Q1567" s="190"/>
      <c r="R1567" s="188">
        <v>45915</v>
      </c>
      <c r="S1567" s="193"/>
      <c r="T1567" s="192"/>
      <c r="U1567" s="829" t="s">
        <v>3225</v>
      </c>
      <c r="V1567" s="10"/>
      <c r="W1567" s="10"/>
      <c r="X1567" s="902">
        <v>26</v>
      </c>
      <c r="Y1567" s="10"/>
      <c r="Z1567" s="10"/>
      <c r="AA1567" s="11"/>
      <c r="AB1567" s="11"/>
    </row>
    <row r="1568" spans="2:28" x14ac:dyDescent="0.3">
      <c r="B1568" s="10" t="s">
        <v>387</v>
      </c>
      <c r="C1568" s="315" t="s">
        <v>1773</v>
      </c>
      <c r="D1568" s="868" t="s">
        <v>3118</v>
      </c>
      <c r="E1568" s="837" t="str">
        <f>IFERROR(IF(_xlfn.XLOOKUP(Imput[[#This Row],[RFC]],'Alta Proveedor'!D:D,'Alta Proveedor'!E:E)=0,"",_xlfn.XLOOKUP(Imput[[#This Row],[RFC]],'Alta Proveedor'!D:D,'Alta Proveedor'!E:E)),"")</f>
        <v>Nomina-ADMON</v>
      </c>
      <c r="F1568" s="832" t="s">
        <v>4538</v>
      </c>
      <c r="G1568" s="187">
        <v>1</v>
      </c>
      <c r="H1568" s="1">
        <v>2318</v>
      </c>
      <c r="I1568" s="169">
        <f>Imput[[#This Row],[Cantidad]]*Imput[[#This Row],[Precio Unitario]]</f>
        <v>2318</v>
      </c>
      <c r="J1568" s="11">
        <f>Imput[[#This Row],[Sub total]]*0.08</f>
        <v>185.44</v>
      </c>
      <c r="K1568" s="11">
        <v>0</v>
      </c>
      <c r="L1568" s="169">
        <f>Imput[[#This Row],[Sub total]]+Imput[[#This Row],[IVA]]-Imput[[#This Row],[Retención / IEPS / Descuento]]</f>
        <v>2503.44</v>
      </c>
      <c r="M1568" s="844">
        <v>2503.44</v>
      </c>
      <c r="N1568" s="189"/>
      <c r="O1568" s="1"/>
      <c r="P1568" s="189"/>
      <c r="Q1568" s="190"/>
      <c r="R1568" s="188">
        <v>45915</v>
      </c>
      <c r="S1568" s="193"/>
      <c r="T1568" s="192"/>
      <c r="U1568" s="829" t="s">
        <v>3225</v>
      </c>
      <c r="V1568" s="10"/>
      <c r="W1568" s="10"/>
      <c r="X1568" s="902">
        <v>26</v>
      </c>
      <c r="Y1568" s="10"/>
      <c r="Z1568" s="10"/>
      <c r="AA1568" s="11"/>
      <c r="AB1568" s="11"/>
    </row>
    <row r="1569" spans="2:28" x14ac:dyDescent="0.3">
      <c r="B1569" s="10" t="s">
        <v>387</v>
      </c>
      <c r="C1569" s="315" t="s">
        <v>1784</v>
      </c>
      <c r="D1569" s="868" t="s">
        <v>3118</v>
      </c>
      <c r="E1569" s="837" t="str">
        <f>IFERROR(IF(_xlfn.XLOOKUP(Imput[[#This Row],[RFC]],'Alta Proveedor'!D:D,'Alta Proveedor'!E:E)=0,"",_xlfn.XLOOKUP(Imput[[#This Row],[RFC]],'Alta Proveedor'!D:D,'Alta Proveedor'!E:E)),"")</f>
        <v>Nomina-ADMON</v>
      </c>
      <c r="F1569" s="832" t="s">
        <v>4539</v>
      </c>
      <c r="G1569" s="187">
        <v>1</v>
      </c>
      <c r="H1569" s="1">
        <v>6000</v>
      </c>
      <c r="I1569" s="169">
        <f>Imput[[#This Row],[Cantidad]]*Imput[[#This Row],[Precio Unitario]]</f>
        <v>6000</v>
      </c>
      <c r="J1569" s="11">
        <f>Imput[[#This Row],[Sub total]]*0.08</f>
        <v>480</v>
      </c>
      <c r="K1569" s="11">
        <v>0</v>
      </c>
      <c r="L1569" s="169">
        <f>Imput[[#This Row],[Sub total]]+Imput[[#This Row],[IVA]]-Imput[[#This Row],[Retención / IEPS / Descuento]]</f>
        <v>6480</v>
      </c>
      <c r="M1569" s="844">
        <v>6480</v>
      </c>
      <c r="N1569" s="189"/>
      <c r="O1569" s="1"/>
      <c r="P1569" s="189"/>
      <c r="Q1569" s="190"/>
      <c r="R1569" s="188">
        <v>45915</v>
      </c>
      <c r="S1569" s="193"/>
      <c r="T1569" s="192"/>
      <c r="U1569" s="829" t="s">
        <v>3225</v>
      </c>
      <c r="V1569" s="10"/>
      <c r="W1569" s="10"/>
      <c r="X1569" s="902">
        <v>26</v>
      </c>
      <c r="Y1569" s="10"/>
      <c r="Z1569" s="10"/>
      <c r="AA1569" s="11"/>
      <c r="AB1569" s="11"/>
    </row>
    <row r="1570" spans="2:28" x14ac:dyDescent="0.3">
      <c r="B1570" s="10" t="s">
        <v>387</v>
      </c>
      <c r="C1570" s="315" t="s">
        <v>1756</v>
      </c>
      <c r="D1570" s="868" t="s">
        <v>3118</v>
      </c>
      <c r="E1570" s="837" t="str">
        <f>IFERROR(IF(_xlfn.XLOOKUP(Imput[[#This Row],[RFC]],'Alta Proveedor'!D:D,'Alta Proveedor'!E:E)=0,"",_xlfn.XLOOKUP(Imput[[#This Row],[RFC]],'Alta Proveedor'!D:D,'Alta Proveedor'!E:E)),"")</f>
        <v>Nomina-ADMON</v>
      </c>
      <c r="F1570" s="832" t="s">
        <v>4540</v>
      </c>
      <c r="G1570" s="187">
        <v>1</v>
      </c>
      <c r="H1570" s="1">
        <v>7033</v>
      </c>
      <c r="I1570" s="169">
        <f>Imput[[#This Row],[Cantidad]]*Imput[[#This Row],[Precio Unitario]]</f>
        <v>7033</v>
      </c>
      <c r="J1570" s="11">
        <f>Imput[[#This Row],[Sub total]]*0.08</f>
        <v>562.64</v>
      </c>
      <c r="K1570" s="11">
        <v>0</v>
      </c>
      <c r="L1570" s="169">
        <f>Imput[[#This Row],[Sub total]]+Imput[[#This Row],[IVA]]-Imput[[#This Row],[Retención / IEPS / Descuento]]</f>
        <v>7595.64</v>
      </c>
      <c r="M1570" s="844">
        <v>7595.64</v>
      </c>
      <c r="N1570" s="189"/>
      <c r="O1570" s="1"/>
      <c r="P1570" s="189"/>
      <c r="Q1570" s="190"/>
      <c r="R1570" s="188">
        <v>45915</v>
      </c>
      <c r="S1570" s="193"/>
      <c r="T1570" s="192"/>
      <c r="U1570" s="829" t="s">
        <v>3225</v>
      </c>
      <c r="V1570" s="10"/>
      <c r="W1570" s="10"/>
      <c r="X1570" s="902">
        <v>26</v>
      </c>
      <c r="Y1570" s="10"/>
      <c r="Z1570" s="10"/>
      <c r="AA1570" s="11"/>
      <c r="AB1570" s="11"/>
    </row>
    <row r="1571" spans="2:28" x14ac:dyDescent="0.3">
      <c r="B1571" s="10" t="s">
        <v>387</v>
      </c>
      <c r="C1571" s="315" t="s">
        <v>1774</v>
      </c>
      <c r="D1571" s="868" t="s">
        <v>3118</v>
      </c>
      <c r="E1571" s="837" t="str">
        <f>IFERROR(IF(_xlfn.XLOOKUP(Imput[[#This Row],[RFC]],'Alta Proveedor'!D:D,'Alta Proveedor'!E:E)=0,"",_xlfn.XLOOKUP(Imput[[#This Row],[RFC]],'Alta Proveedor'!D:D,'Alta Proveedor'!E:E)),"")</f>
        <v>Nomina-ADMON</v>
      </c>
      <c r="F1571" s="832" t="s">
        <v>4541</v>
      </c>
      <c r="G1571" s="187">
        <v>1</v>
      </c>
      <c r="H1571" s="1">
        <v>11313.6</v>
      </c>
      <c r="I1571" s="169">
        <f>Imput[[#This Row],[Cantidad]]*Imput[[#This Row],[Precio Unitario]]</f>
        <v>11313.6</v>
      </c>
      <c r="J1571" s="11">
        <f>Imput[[#This Row],[Sub total]]*0.08</f>
        <v>905.08800000000008</v>
      </c>
      <c r="K1571" s="11">
        <v>0</v>
      </c>
      <c r="L1571" s="169">
        <f>Imput[[#This Row],[Sub total]]+Imput[[#This Row],[IVA]]-Imput[[#This Row],[Retención / IEPS / Descuento]]</f>
        <v>12218.688</v>
      </c>
      <c r="M1571" s="844">
        <v>12218.688</v>
      </c>
      <c r="N1571" s="189"/>
      <c r="O1571" s="1"/>
      <c r="P1571" s="189"/>
      <c r="Q1571" s="190"/>
      <c r="R1571" s="188">
        <v>45915</v>
      </c>
      <c r="S1571" s="193"/>
      <c r="T1571" s="192"/>
      <c r="U1571" s="829" t="s">
        <v>3225</v>
      </c>
      <c r="V1571" s="10"/>
      <c r="W1571" s="10"/>
      <c r="X1571" s="902">
        <v>26</v>
      </c>
      <c r="Y1571" s="10"/>
      <c r="Z1571" s="10"/>
      <c r="AA1571" s="11"/>
      <c r="AB1571" s="11"/>
    </row>
    <row r="1572" spans="2:28" x14ac:dyDescent="0.3">
      <c r="B1572" s="10" t="s">
        <v>387</v>
      </c>
      <c r="C1572" s="315" t="s">
        <v>1754</v>
      </c>
      <c r="D1572" s="868" t="s">
        <v>3118</v>
      </c>
      <c r="E1572" s="837" t="str">
        <f>IFERROR(IF(_xlfn.XLOOKUP(Imput[[#This Row],[RFC]],'Alta Proveedor'!D:D,'Alta Proveedor'!E:E)=0,"",_xlfn.XLOOKUP(Imput[[#This Row],[RFC]],'Alta Proveedor'!D:D,'Alta Proveedor'!E:E)),"")</f>
        <v>Nomina-ADMON</v>
      </c>
      <c r="F1572" s="832" t="s">
        <v>4542</v>
      </c>
      <c r="G1572" s="187">
        <v>1</v>
      </c>
      <c r="H1572" s="1">
        <v>9818</v>
      </c>
      <c r="I1572" s="169">
        <f>Imput[[#This Row],[Cantidad]]*Imput[[#This Row],[Precio Unitario]]</f>
        <v>9818</v>
      </c>
      <c r="J1572" s="11">
        <f>Imput[[#This Row],[Sub total]]*0.08</f>
        <v>785.44</v>
      </c>
      <c r="K1572" s="11">
        <v>0</v>
      </c>
      <c r="L1572" s="169">
        <f>Imput[[#This Row],[Sub total]]+Imput[[#This Row],[IVA]]-Imput[[#This Row],[Retención / IEPS / Descuento]]</f>
        <v>10603.44</v>
      </c>
      <c r="M1572" s="844">
        <v>10603.44</v>
      </c>
      <c r="N1572" s="189"/>
      <c r="O1572" s="1"/>
      <c r="P1572" s="189"/>
      <c r="Q1572" s="190"/>
      <c r="R1572" s="188">
        <v>45915</v>
      </c>
      <c r="S1572" s="193"/>
      <c r="T1572" s="192"/>
      <c r="U1572" s="829" t="s">
        <v>3225</v>
      </c>
      <c r="V1572" s="10"/>
      <c r="W1572" s="10"/>
      <c r="X1572" s="902">
        <v>26</v>
      </c>
      <c r="Y1572" s="10"/>
      <c r="Z1572" s="10"/>
      <c r="AA1572" s="11"/>
      <c r="AB1572" s="11"/>
    </row>
    <row r="1573" spans="2:28" x14ac:dyDescent="0.3">
      <c r="B1573" s="10" t="s">
        <v>389</v>
      </c>
      <c r="C1573" s="315"/>
      <c r="D1573" s="868" t="s">
        <v>3119</v>
      </c>
      <c r="E1573" s="837" t="str">
        <f>IFERROR(IF(_xlfn.XLOOKUP(Imput[[#This Row],[RFC]],'Alta Proveedor'!D:D,'Alta Proveedor'!E:E)=0,"",_xlfn.XLOOKUP(Imput[[#This Row],[RFC]],'Alta Proveedor'!D:D,'Alta Proveedor'!E:E)),"")</f>
        <v>Nomina-OPERACIÓN</v>
      </c>
      <c r="F1573" s="832" t="s">
        <v>3347</v>
      </c>
      <c r="G1573" s="187">
        <v>1</v>
      </c>
      <c r="H1573" s="1">
        <v>3936</v>
      </c>
      <c r="I1573" s="169">
        <f>Imput[[#This Row],[Cantidad]]*Imput[[#This Row],[Precio Unitario]]</f>
        <v>3936</v>
      </c>
      <c r="J1573" s="11">
        <f>((Imput[[#This Row],[Sub total]])*(0.08))</f>
        <v>314.88</v>
      </c>
      <c r="K1573" s="11">
        <v>0</v>
      </c>
      <c r="L1573" s="169">
        <f>Imput[[#This Row],[Sub total]]+Imput[[#This Row],[IVA]]-Imput[[#This Row],[Retención / IEPS / Descuento]]</f>
        <v>4250.88</v>
      </c>
      <c r="M1573" s="844">
        <v>4250.88</v>
      </c>
      <c r="N1573" s="189"/>
      <c r="O1573" s="1"/>
      <c r="P1573" s="189"/>
      <c r="Q1573" s="190"/>
      <c r="R1573" s="188">
        <v>45920</v>
      </c>
      <c r="S1573" s="193"/>
      <c r="T1573" s="192"/>
      <c r="U1573" s="829" t="s">
        <v>3225</v>
      </c>
      <c r="V1573" s="10"/>
      <c r="W1573" s="10"/>
      <c r="X1573" s="902">
        <v>26</v>
      </c>
      <c r="Y1573" s="10"/>
      <c r="Z1573" s="10"/>
      <c r="AA1573" s="11"/>
      <c r="AB1573" s="11"/>
    </row>
    <row r="1574" spans="2:28" x14ac:dyDescent="0.3">
      <c r="B1574" s="10" t="s">
        <v>389</v>
      </c>
      <c r="C1574" s="315"/>
      <c r="D1574" s="868" t="s">
        <v>3119</v>
      </c>
      <c r="E1574" s="837" t="str">
        <f>IFERROR(IF(_xlfn.XLOOKUP(Imput[[#This Row],[RFC]],'Alta Proveedor'!D:D,'Alta Proveedor'!E:E)=0,"",_xlfn.XLOOKUP(Imput[[#This Row],[RFC]],'Alta Proveedor'!D:D,'Alta Proveedor'!E:E)),"")</f>
        <v>Nomina-OPERACIÓN</v>
      </c>
      <c r="F1574" s="832" t="s">
        <v>4462</v>
      </c>
      <c r="G1574" s="187">
        <v>1</v>
      </c>
      <c r="H1574" s="1">
        <v>4300</v>
      </c>
      <c r="I1574" s="169">
        <f>Imput[[#This Row],[Cantidad]]*Imput[[#This Row],[Precio Unitario]]</f>
        <v>4300</v>
      </c>
      <c r="J1574" s="11">
        <f>((Imput[[#This Row],[Sub total]])*(0.08))</f>
        <v>344</v>
      </c>
      <c r="K1574" s="11">
        <v>0</v>
      </c>
      <c r="L1574" s="169">
        <f>Imput[[#This Row],[Sub total]]+Imput[[#This Row],[IVA]]-Imput[[#This Row],[Retención / IEPS / Descuento]]</f>
        <v>4644</v>
      </c>
      <c r="M1574" s="844">
        <v>4644</v>
      </c>
      <c r="N1574" s="189"/>
      <c r="O1574" s="1"/>
      <c r="P1574" s="189"/>
      <c r="Q1574" s="190"/>
      <c r="R1574" s="188">
        <v>45920</v>
      </c>
      <c r="S1574" s="193"/>
      <c r="T1574" s="192"/>
      <c r="U1574" s="829" t="s">
        <v>3225</v>
      </c>
      <c r="V1574" s="10"/>
      <c r="W1574" s="10"/>
      <c r="X1574" s="902">
        <v>26</v>
      </c>
      <c r="Y1574" s="10"/>
      <c r="Z1574" s="10"/>
      <c r="AA1574" s="11"/>
      <c r="AB1574" s="11"/>
    </row>
    <row r="1575" spans="2:28" x14ac:dyDescent="0.3">
      <c r="B1575" s="10" t="s">
        <v>389</v>
      </c>
      <c r="C1575" s="315"/>
      <c r="D1575" s="868" t="s">
        <v>3119</v>
      </c>
      <c r="E1575" s="837" t="str">
        <f>IFERROR(IF(_xlfn.XLOOKUP(Imput[[#This Row],[RFC]],'Alta Proveedor'!D:D,'Alta Proveedor'!E:E)=0,"",_xlfn.XLOOKUP(Imput[[#This Row],[RFC]],'Alta Proveedor'!D:D,'Alta Proveedor'!E:E)),"")</f>
        <v>Nomina-OPERACIÓN</v>
      </c>
      <c r="F1575" s="832" t="s">
        <v>4463</v>
      </c>
      <c r="G1575" s="187">
        <v>1</v>
      </c>
      <c r="H1575" s="1">
        <v>4400</v>
      </c>
      <c r="I1575" s="169">
        <f>Imput[[#This Row],[Cantidad]]*Imput[[#This Row],[Precio Unitario]]</f>
        <v>4400</v>
      </c>
      <c r="J1575" s="11">
        <f>((Imput[[#This Row],[Sub total]])*(0.08))</f>
        <v>352</v>
      </c>
      <c r="K1575" s="11">
        <v>0</v>
      </c>
      <c r="L1575" s="169">
        <f>Imput[[#This Row],[Sub total]]+Imput[[#This Row],[IVA]]-Imput[[#This Row],[Retención / IEPS / Descuento]]</f>
        <v>4752</v>
      </c>
      <c r="M1575" s="844">
        <v>4752</v>
      </c>
      <c r="N1575" s="189"/>
      <c r="O1575" s="1"/>
      <c r="P1575" s="189"/>
      <c r="Q1575" s="190"/>
      <c r="R1575" s="188">
        <v>45920</v>
      </c>
      <c r="S1575" s="193"/>
      <c r="T1575" s="192"/>
      <c r="U1575" s="829" t="s">
        <v>3225</v>
      </c>
      <c r="V1575" s="10"/>
      <c r="W1575" s="10"/>
      <c r="X1575" s="902">
        <v>26</v>
      </c>
      <c r="Y1575" s="10" t="s">
        <v>4526</v>
      </c>
      <c r="Z1575" s="10"/>
      <c r="AA1575" s="11"/>
      <c r="AB1575" s="11"/>
    </row>
    <row r="1576" spans="2:28" x14ac:dyDescent="0.3">
      <c r="B1576" s="10" t="s">
        <v>389</v>
      </c>
      <c r="C1576" s="315"/>
      <c r="D1576" s="868" t="s">
        <v>3119</v>
      </c>
      <c r="E1576" s="837" t="str">
        <f>IFERROR(IF(_xlfn.XLOOKUP(Imput[[#This Row],[RFC]],'Alta Proveedor'!D:D,'Alta Proveedor'!E:E)=0,"",_xlfn.XLOOKUP(Imput[[#This Row],[RFC]],'Alta Proveedor'!D:D,'Alta Proveedor'!E:E)),"")</f>
        <v>Nomina-OPERACIÓN</v>
      </c>
      <c r="F1576" s="832" t="s">
        <v>4464</v>
      </c>
      <c r="G1576" s="187">
        <v>1</v>
      </c>
      <c r="H1576" s="1">
        <v>4900</v>
      </c>
      <c r="I1576" s="169">
        <f>Imput[[#This Row],[Cantidad]]*Imput[[#This Row],[Precio Unitario]]</f>
        <v>4900</v>
      </c>
      <c r="J1576" s="11">
        <f>((Imput[[#This Row],[Sub total]])*(0.08))</f>
        <v>392</v>
      </c>
      <c r="K1576" s="11">
        <v>0</v>
      </c>
      <c r="L1576" s="169">
        <f>Imput[[#This Row],[Sub total]]+Imput[[#This Row],[IVA]]-Imput[[#This Row],[Retención / IEPS / Descuento]]</f>
        <v>5292</v>
      </c>
      <c r="M1576" s="844">
        <v>5292</v>
      </c>
      <c r="N1576" s="189"/>
      <c r="O1576" s="1"/>
      <c r="P1576" s="189"/>
      <c r="Q1576" s="190"/>
      <c r="R1576" s="188">
        <v>45920</v>
      </c>
      <c r="S1576" s="193"/>
      <c r="T1576" s="192"/>
      <c r="U1576" s="829" t="s">
        <v>3225</v>
      </c>
      <c r="V1576" s="10"/>
      <c r="W1576" s="10"/>
      <c r="X1576" s="902">
        <v>26</v>
      </c>
      <c r="Y1576" s="10"/>
      <c r="Z1576" s="10"/>
      <c r="AA1576" s="11"/>
      <c r="AB1576" s="11"/>
    </row>
    <row r="1577" spans="2:28" x14ac:dyDescent="0.3">
      <c r="B1577" s="10" t="s">
        <v>389</v>
      </c>
      <c r="C1577" s="315"/>
      <c r="D1577" s="868" t="s">
        <v>3119</v>
      </c>
      <c r="E1577" s="837" t="str">
        <f>IFERROR(IF(_xlfn.XLOOKUP(Imput[[#This Row],[RFC]],'Alta Proveedor'!D:D,'Alta Proveedor'!E:E)=0,"",_xlfn.XLOOKUP(Imput[[#This Row],[RFC]],'Alta Proveedor'!D:D,'Alta Proveedor'!E:E)),"")</f>
        <v>Nomina-OPERACIÓN</v>
      </c>
      <c r="F1577" s="832" t="s">
        <v>4465</v>
      </c>
      <c r="G1577" s="187">
        <v>1</v>
      </c>
      <c r="H1577" s="1">
        <v>1200</v>
      </c>
      <c r="I1577" s="169">
        <f>Imput[[#This Row],[Cantidad]]*Imput[[#This Row],[Precio Unitario]]</f>
        <v>1200</v>
      </c>
      <c r="J1577" s="11">
        <f>((Imput[[#This Row],[Sub total]])*(0.08))</f>
        <v>96</v>
      </c>
      <c r="K1577" s="11">
        <v>0</v>
      </c>
      <c r="L1577" s="169">
        <f>Imput[[#This Row],[Sub total]]+Imput[[#This Row],[IVA]]-Imput[[#This Row],[Retención / IEPS / Descuento]]</f>
        <v>1296</v>
      </c>
      <c r="M1577" s="844">
        <v>1296</v>
      </c>
      <c r="N1577" s="189"/>
      <c r="O1577" s="1"/>
      <c r="P1577" s="189"/>
      <c r="Q1577" s="190"/>
      <c r="R1577" s="188">
        <v>45920</v>
      </c>
      <c r="S1577" s="193"/>
      <c r="T1577" s="192"/>
      <c r="U1577" s="829" t="s">
        <v>3225</v>
      </c>
      <c r="V1577" s="10"/>
      <c r="W1577" s="10"/>
      <c r="X1577" s="902">
        <v>26</v>
      </c>
      <c r="Y1577" s="10"/>
      <c r="Z1577" s="10"/>
      <c r="AA1577" s="11"/>
      <c r="AB1577" s="11"/>
    </row>
    <row r="1578" spans="2:28" x14ac:dyDescent="0.3">
      <c r="B1578" s="10" t="s">
        <v>389</v>
      </c>
      <c r="C1578" s="315"/>
      <c r="D1578" s="868" t="s">
        <v>3225</v>
      </c>
      <c r="E1578" s="837" t="str">
        <f>IFERROR(IF(_xlfn.XLOOKUP(Imput[[#This Row],[RFC]],'Alta Proveedor'!D:D,'Alta Proveedor'!E:E)=0,"",_xlfn.XLOOKUP(Imput[[#This Row],[RFC]],'Alta Proveedor'!D:D,'Alta Proveedor'!E:E)),"")</f>
        <v>GASTOS SIN FACTURA</v>
      </c>
      <c r="F1578" s="832" t="s">
        <v>3346</v>
      </c>
      <c r="G1578" s="187">
        <v>1</v>
      </c>
      <c r="H1578" s="1">
        <v>30000</v>
      </c>
      <c r="I1578" s="169">
        <f>Imput[[#This Row],[Cantidad]]*Imput[[#This Row],[Precio Unitario]]</f>
        <v>30000</v>
      </c>
      <c r="J1578" s="11">
        <f>((Imput[[#This Row],[Sub total]])*(0.08))</f>
        <v>2400</v>
      </c>
      <c r="K1578" s="11">
        <v>0</v>
      </c>
      <c r="L1578" s="169">
        <f>Imput[[#This Row],[Sub total]]+Imput[[#This Row],[IVA]]-Imput[[#This Row],[Retención / IEPS / Descuento]]</f>
        <v>32400</v>
      </c>
      <c r="M1578" s="844">
        <v>32400</v>
      </c>
      <c r="N1578" s="189"/>
      <c r="O1578" s="1"/>
      <c r="P1578" s="189"/>
      <c r="Q1578" s="190"/>
      <c r="R1578" s="188">
        <v>45920</v>
      </c>
      <c r="S1578" s="193"/>
      <c r="T1578" s="192"/>
      <c r="U1578" s="829" t="s">
        <v>3225</v>
      </c>
      <c r="V1578" s="10"/>
      <c r="W1578" s="10"/>
      <c r="X1578" s="902">
        <v>26</v>
      </c>
      <c r="Y1578" s="10"/>
      <c r="Z1578" s="10"/>
      <c r="AA1578" s="11"/>
      <c r="AB1578" s="11"/>
    </row>
    <row r="1579" spans="2:28" x14ac:dyDescent="0.3">
      <c r="B1579" s="10" t="s">
        <v>389</v>
      </c>
      <c r="C1579" s="315"/>
      <c r="D1579" s="868" t="s">
        <v>3119</v>
      </c>
      <c r="E1579" s="837" t="str">
        <f>IFERROR(IF(_xlfn.XLOOKUP(Imput[[#This Row],[RFC]],'Alta Proveedor'!D:D,'Alta Proveedor'!E:E)=0,"",_xlfn.XLOOKUP(Imput[[#This Row],[RFC]],'Alta Proveedor'!D:D,'Alta Proveedor'!E:E)),"")</f>
        <v>Nomina-OPERACIÓN</v>
      </c>
      <c r="F1579" s="832" t="s">
        <v>4466</v>
      </c>
      <c r="G1579" s="187">
        <v>1</v>
      </c>
      <c r="H1579" s="1">
        <v>2500</v>
      </c>
      <c r="I1579" s="169">
        <f>Imput[[#This Row],[Cantidad]]*Imput[[#This Row],[Precio Unitario]]</f>
        <v>2500</v>
      </c>
      <c r="J1579" s="11">
        <f>((Imput[[#This Row],[Sub total]])*(0.08))</f>
        <v>200</v>
      </c>
      <c r="K1579" s="11">
        <v>0</v>
      </c>
      <c r="L1579" s="169">
        <f>Imput[[#This Row],[Sub total]]+Imput[[#This Row],[IVA]]-Imput[[#This Row],[Retención / IEPS / Descuento]]</f>
        <v>2700</v>
      </c>
      <c r="M1579" s="844">
        <v>2700</v>
      </c>
      <c r="N1579" s="189"/>
      <c r="O1579" s="1"/>
      <c r="P1579" s="189"/>
      <c r="Q1579" s="190"/>
      <c r="R1579" s="188">
        <v>45920</v>
      </c>
      <c r="S1579" s="193"/>
      <c r="T1579" s="192"/>
      <c r="U1579" s="829" t="s">
        <v>3225</v>
      </c>
      <c r="V1579" s="10"/>
      <c r="W1579" s="10"/>
      <c r="X1579" s="902">
        <v>26</v>
      </c>
      <c r="Y1579" s="10"/>
      <c r="Z1579" s="10"/>
      <c r="AA1579" s="11"/>
      <c r="AB1579" s="11"/>
    </row>
    <row r="1580" spans="2:28" x14ac:dyDescent="0.3">
      <c r="B1580" s="10" t="s">
        <v>389</v>
      </c>
      <c r="C1580" s="315"/>
      <c r="D1580" s="868" t="s">
        <v>3225</v>
      </c>
      <c r="E1580" s="837" t="str">
        <f>IFERROR(IF(_xlfn.XLOOKUP(Imput[[#This Row],[RFC]],'Alta Proveedor'!D:D,'Alta Proveedor'!E:E)=0,"",_xlfn.XLOOKUP(Imput[[#This Row],[RFC]],'Alta Proveedor'!D:D,'Alta Proveedor'!E:E)),"")</f>
        <v>GASTOS SIN FACTURA</v>
      </c>
      <c r="F1580" s="832" t="s">
        <v>4467</v>
      </c>
      <c r="G1580" s="187">
        <v>1</v>
      </c>
      <c r="H1580" s="1">
        <v>6750</v>
      </c>
      <c r="I1580" s="169">
        <f>Imput[[#This Row],[Cantidad]]*Imput[[#This Row],[Precio Unitario]]</f>
        <v>6750</v>
      </c>
      <c r="J1580" s="11">
        <f>((Imput[[#This Row],[Sub total]])*(0.08))</f>
        <v>540</v>
      </c>
      <c r="K1580" s="11">
        <v>0</v>
      </c>
      <c r="L1580" s="169">
        <f>Imput[[#This Row],[Sub total]]+Imput[[#This Row],[IVA]]-Imput[[#This Row],[Retención / IEPS / Descuento]]</f>
        <v>7290</v>
      </c>
      <c r="M1580" s="844">
        <v>7290</v>
      </c>
      <c r="N1580" s="189"/>
      <c r="O1580" s="1"/>
      <c r="P1580" s="189"/>
      <c r="Q1580" s="190"/>
      <c r="R1580" s="188">
        <v>45922</v>
      </c>
      <c r="S1580" s="193"/>
      <c r="T1580" s="192"/>
      <c r="U1580" s="829" t="s">
        <v>3225</v>
      </c>
      <c r="V1580" s="10"/>
      <c r="W1580" s="10"/>
      <c r="X1580" s="902">
        <v>26</v>
      </c>
      <c r="Y1580" s="10"/>
      <c r="Z1580" s="10"/>
      <c r="AA1580" s="11"/>
      <c r="AB1580" s="11"/>
    </row>
    <row r="1581" spans="2:28" x14ac:dyDescent="0.3">
      <c r="B1581" s="10" t="s">
        <v>389</v>
      </c>
      <c r="C1581" s="315"/>
      <c r="D1581" s="868" t="s">
        <v>3119</v>
      </c>
      <c r="E1581" s="837" t="str">
        <f>IFERROR(IF(_xlfn.XLOOKUP(Imput[[#This Row],[RFC]],'Alta Proveedor'!D:D,'Alta Proveedor'!E:E)=0,"",_xlfn.XLOOKUP(Imput[[#This Row],[RFC]],'Alta Proveedor'!D:D,'Alta Proveedor'!E:E)),"")</f>
        <v>Nomina-OPERACIÓN</v>
      </c>
      <c r="F1581" s="832" t="s">
        <v>4468</v>
      </c>
      <c r="G1581" s="187">
        <v>1</v>
      </c>
      <c r="H1581" s="1">
        <v>1100</v>
      </c>
      <c r="I1581" s="169">
        <f>Imput[[#This Row],[Cantidad]]*Imput[[#This Row],[Precio Unitario]]</f>
        <v>1100</v>
      </c>
      <c r="J1581" s="11">
        <f>((Imput[[#This Row],[Sub total]])*(0.08))</f>
        <v>88</v>
      </c>
      <c r="K1581" s="11">
        <v>0</v>
      </c>
      <c r="L1581" s="169">
        <f>Imput[[#This Row],[Sub total]]+Imput[[#This Row],[IVA]]-Imput[[#This Row],[Retención / IEPS / Descuento]]</f>
        <v>1188</v>
      </c>
      <c r="M1581" s="844">
        <v>1188</v>
      </c>
      <c r="N1581" s="189"/>
      <c r="O1581" s="1"/>
      <c r="P1581" s="189"/>
      <c r="Q1581" s="190"/>
      <c r="R1581" s="188">
        <v>45923</v>
      </c>
      <c r="S1581" s="193"/>
      <c r="T1581" s="192"/>
      <c r="U1581" s="829" t="s">
        <v>3225</v>
      </c>
      <c r="V1581" s="10"/>
      <c r="W1581" s="10"/>
      <c r="X1581" s="902">
        <v>26</v>
      </c>
      <c r="Y1581" s="10"/>
      <c r="Z1581" s="10"/>
      <c r="AA1581" s="11"/>
      <c r="AB1581" s="11"/>
    </row>
    <row r="1582" spans="2:28" x14ac:dyDescent="0.3">
      <c r="B1582" s="10" t="s">
        <v>389</v>
      </c>
      <c r="C1582" s="315"/>
      <c r="D1582" s="868" t="s">
        <v>3225</v>
      </c>
      <c r="E1582" s="837" t="str">
        <f>IFERROR(IF(_xlfn.XLOOKUP(Imput[[#This Row],[RFC]],'Alta Proveedor'!D:D,'Alta Proveedor'!E:E)=0,"",_xlfn.XLOOKUP(Imput[[#This Row],[RFC]],'Alta Proveedor'!D:D,'Alta Proveedor'!E:E)),"")</f>
        <v>GASTOS SIN FACTURA</v>
      </c>
      <c r="F1582" s="832" t="s">
        <v>4469</v>
      </c>
      <c r="G1582" s="187">
        <v>1</v>
      </c>
      <c r="H1582" s="1">
        <v>135</v>
      </c>
      <c r="I1582" s="169">
        <f>Imput[[#This Row],[Cantidad]]*Imput[[#This Row],[Precio Unitario]]</f>
        <v>135</v>
      </c>
      <c r="J1582" s="11">
        <f>((Imput[[#This Row],[Sub total]])*(0.08))</f>
        <v>10.8</v>
      </c>
      <c r="K1582" s="11">
        <v>0</v>
      </c>
      <c r="L1582" s="169">
        <f>Imput[[#This Row],[Sub total]]+Imput[[#This Row],[IVA]]-Imput[[#This Row],[Retención / IEPS / Descuento]]</f>
        <v>145.80000000000001</v>
      </c>
      <c r="M1582" s="844">
        <v>145.80000000000001</v>
      </c>
      <c r="N1582" s="189"/>
      <c r="O1582" s="1"/>
      <c r="P1582" s="189"/>
      <c r="Q1582" s="190"/>
      <c r="R1582" s="188">
        <v>45927</v>
      </c>
      <c r="S1582" s="193"/>
      <c r="T1582" s="192"/>
      <c r="U1582" s="829" t="s">
        <v>3225</v>
      </c>
      <c r="V1582" s="10"/>
      <c r="W1582" s="10"/>
      <c r="X1582" s="902">
        <v>26</v>
      </c>
      <c r="Y1582" s="10"/>
      <c r="Z1582" s="10"/>
      <c r="AA1582" s="11"/>
      <c r="AB1582" s="11"/>
    </row>
    <row r="1583" spans="2:28" x14ac:dyDescent="0.3">
      <c r="B1583" s="10" t="s">
        <v>389</v>
      </c>
      <c r="C1583" s="315"/>
      <c r="D1583" s="868" t="s">
        <v>3119</v>
      </c>
      <c r="E1583" s="837" t="str">
        <f>IFERROR(IF(_xlfn.XLOOKUP(Imput[[#This Row],[RFC]],'Alta Proveedor'!D:D,'Alta Proveedor'!E:E)=0,"",_xlfn.XLOOKUP(Imput[[#This Row],[RFC]],'Alta Proveedor'!D:D,'Alta Proveedor'!E:E)),"")</f>
        <v>Nomina-OPERACIÓN</v>
      </c>
      <c r="F1583" s="832" t="s">
        <v>4470</v>
      </c>
      <c r="G1583" s="187">
        <v>1</v>
      </c>
      <c r="H1583" s="1">
        <v>2900</v>
      </c>
      <c r="I1583" s="169">
        <f>Imput[[#This Row],[Cantidad]]*Imput[[#This Row],[Precio Unitario]]</f>
        <v>2900</v>
      </c>
      <c r="J1583" s="11">
        <f>((Imput[[#This Row],[Sub total]])*(0.08))</f>
        <v>232</v>
      </c>
      <c r="K1583" s="11">
        <v>0</v>
      </c>
      <c r="L1583" s="169">
        <f>Imput[[#This Row],[Sub total]]+Imput[[#This Row],[IVA]]-Imput[[#This Row],[Retención / IEPS / Descuento]]</f>
        <v>3132</v>
      </c>
      <c r="M1583" s="844">
        <v>3132</v>
      </c>
      <c r="N1583" s="189"/>
      <c r="O1583" s="1"/>
      <c r="P1583" s="189"/>
      <c r="Q1583" s="190"/>
      <c r="R1583" s="188">
        <v>45927</v>
      </c>
      <c r="S1583" s="193"/>
      <c r="T1583" s="192"/>
      <c r="U1583" s="829" t="s">
        <v>3225</v>
      </c>
      <c r="V1583" s="10"/>
      <c r="W1583" s="10"/>
      <c r="X1583" s="902">
        <v>26</v>
      </c>
      <c r="Y1583" s="10"/>
      <c r="Z1583" s="10"/>
      <c r="AA1583" s="11"/>
      <c r="AB1583" s="11"/>
    </row>
    <row r="1584" spans="2:28" x14ac:dyDescent="0.3">
      <c r="B1584" s="10" t="s">
        <v>389</v>
      </c>
      <c r="C1584" s="315"/>
      <c r="D1584" s="868" t="s">
        <v>3119</v>
      </c>
      <c r="E1584" s="837" t="str">
        <f>IFERROR(IF(_xlfn.XLOOKUP(Imput[[#This Row],[RFC]],'Alta Proveedor'!D:D,'Alta Proveedor'!E:E)=0,"",_xlfn.XLOOKUP(Imput[[#This Row],[RFC]],'Alta Proveedor'!D:D,'Alta Proveedor'!E:E)),"")</f>
        <v>Nomina-OPERACIÓN</v>
      </c>
      <c r="F1584" s="832" t="s">
        <v>4471</v>
      </c>
      <c r="G1584" s="187">
        <v>1</v>
      </c>
      <c r="H1584" s="1">
        <v>4200</v>
      </c>
      <c r="I1584" s="169">
        <f>Imput[[#This Row],[Cantidad]]*Imput[[#This Row],[Precio Unitario]]</f>
        <v>4200</v>
      </c>
      <c r="J1584" s="11">
        <f>((Imput[[#This Row],[Sub total]])*(0.08))</f>
        <v>336</v>
      </c>
      <c r="K1584" s="11">
        <v>0</v>
      </c>
      <c r="L1584" s="169">
        <f>Imput[[#This Row],[Sub total]]+Imput[[#This Row],[IVA]]-Imput[[#This Row],[Retención / IEPS / Descuento]]</f>
        <v>4536</v>
      </c>
      <c r="M1584" s="844">
        <v>4536</v>
      </c>
      <c r="N1584" s="189"/>
      <c r="O1584" s="1"/>
      <c r="P1584" s="189"/>
      <c r="Q1584" s="190"/>
      <c r="R1584" s="188">
        <v>45927</v>
      </c>
      <c r="S1584" s="193"/>
      <c r="T1584" s="192"/>
      <c r="U1584" s="829" t="s">
        <v>3225</v>
      </c>
      <c r="V1584" s="10"/>
      <c r="W1584" s="10"/>
      <c r="X1584" s="902">
        <v>26</v>
      </c>
      <c r="Y1584" s="10"/>
      <c r="Z1584" s="10"/>
      <c r="AA1584" s="11"/>
      <c r="AB1584" s="11"/>
    </row>
    <row r="1585" spans="2:28" x14ac:dyDescent="0.3">
      <c r="B1585" s="10" t="s">
        <v>389</v>
      </c>
      <c r="C1585" s="315"/>
      <c r="D1585" s="868" t="s">
        <v>3119</v>
      </c>
      <c r="E1585" s="837" t="str">
        <f>IFERROR(IF(_xlfn.XLOOKUP(Imput[[#This Row],[RFC]],'Alta Proveedor'!D:D,'Alta Proveedor'!E:E)=0,"",_xlfn.XLOOKUP(Imput[[#This Row],[RFC]],'Alta Proveedor'!D:D,'Alta Proveedor'!E:E)),"")</f>
        <v>Nomina-OPERACIÓN</v>
      </c>
      <c r="F1585" s="832" t="s">
        <v>4472</v>
      </c>
      <c r="G1585" s="187">
        <v>1</v>
      </c>
      <c r="H1585" s="1">
        <v>2100</v>
      </c>
      <c r="I1585" s="169">
        <f>Imput[[#This Row],[Cantidad]]*Imput[[#This Row],[Precio Unitario]]</f>
        <v>2100</v>
      </c>
      <c r="J1585" s="11">
        <f>((Imput[[#This Row],[Sub total]])*(0.08))</f>
        <v>168</v>
      </c>
      <c r="K1585" s="11">
        <v>0</v>
      </c>
      <c r="L1585" s="169">
        <f>Imput[[#This Row],[Sub total]]+Imput[[#This Row],[IVA]]-Imput[[#This Row],[Retención / IEPS / Descuento]]</f>
        <v>2268</v>
      </c>
      <c r="M1585" s="844">
        <v>2268</v>
      </c>
      <c r="N1585" s="189"/>
      <c r="O1585" s="1"/>
      <c r="P1585" s="189"/>
      <c r="Q1585" s="190"/>
      <c r="R1585" s="188">
        <v>45927</v>
      </c>
      <c r="S1585" s="193"/>
      <c r="T1585" s="192"/>
      <c r="U1585" s="829" t="s">
        <v>3225</v>
      </c>
      <c r="V1585" s="10"/>
      <c r="W1585" s="10"/>
      <c r="X1585" s="902">
        <v>26</v>
      </c>
      <c r="Y1585" s="10"/>
      <c r="Z1585" s="10"/>
      <c r="AA1585" s="11"/>
      <c r="AB1585" s="11"/>
    </row>
    <row r="1586" spans="2:28" x14ac:dyDescent="0.3">
      <c r="B1586" s="10" t="s">
        <v>389</v>
      </c>
      <c r="C1586" s="315"/>
      <c r="D1586" s="868" t="s">
        <v>3119</v>
      </c>
      <c r="E1586" s="837" t="str">
        <f>IFERROR(IF(_xlfn.XLOOKUP(Imput[[#This Row],[RFC]],'Alta Proveedor'!D:D,'Alta Proveedor'!E:E)=0,"",_xlfn.XLOOKUP(Imput[[#This Row],[RFC]],'Alta Proveedor'!D:D,'Alta Proveedor'!E:E)),"")</f>
        <v>Nomina-OPERACIÓN</v>
      </c>
      <c r="F1586" s="832" t="s">
        <v>4473</v>
      </c>
      <c r="G1586" s="187">
        <v>1</v>
      </c>
      <c r="H1586" s="1">
        <v>2400</v>
      </c>
      <c r="I1586" s="169">
        <f>Imput[[#This Row],[Cantidad]]*Imput[[#This Row],[Precio Unitario]]</f>
        <v>2400</v>
      </c>
      <c r="J1586" s="11">
        <f>((Imput[[#This Row],[Sub total]])*(0.08))</f>
        <v>192</v>
      </c>
      <c r="K1586" s="11">
        <v>0</v>
      </c>
      <c r="L1586" s="169">
        <f>Imput[[#This Row],[Sub total]]+Imput[[#This Row],[IVA]]-Imput[[#This Row],[Retención / IEPS / Descuento]]</f>
        <v>2592</v>
      </c>
      <c r="M1586" s="844">
        <v>2592</v>
      </c>
      <c r="N1586" s="189"/>
      <c r="O1586" s="1"/>
      <c r="P1586" s="189"/>
      <c r="Q1586" s="190"/>
      <c r="R1586" s="188">
        <v>45927</v>
      </c>
      <c r="S1586" s="193"/>
      <c r="T1586" s="192"/>
      <c r="U1586" s="829" t="s">
        <v>3225</v>
      </c>
      <c r="V1586" s="10"/>
      <c r="W1586" s="10"/>
      <c r="X1586" s="902">
        <v>26</v>
      </c>
      <c r="Y1586" s="10"/>
      <c r="Z1586" s="10"/>
      <c r="AA1586" s="11"/>
      <c r="AB1586" s="11"/>
    </row>
    <row r="1587" spans="2:28" x14ac:dyDescent="0.3">
      <c r="B1587" s="10" t="s">
        <v>389</v>
      </c>
      <c r="C1587" s="315"/>
      <c r="D1587" s="868" t="s">
        <v>3119</v>
      </c>
      <c r="E1587" s="837" t="str">
        <f>IFERROR(IF(_xlfn.XLOOKUP(Imput[[#This Row],[RFC]],'Alta Proveedor'!D:D,'Alta Proveedor'!E:E)=0,"",_xlfn.XLOOKUP(Imput[[#This Row],[RFC]],'Alta Proveedor'!D:D,'Alta Proveedor'!E:E)),"")</f>
        <v>Nomina-OPERACIÓN</v>
      </c>
      <c r="F1587" s="832" t="s">
        <v>4474</v>
      </c>
      <c r="G1587" s="187">
        <v>1</v>
      </c>
      <c r="H1587" s="1">
        <v>1600</v>
      </c>
      <c r="I1587" s="169">
        <f>Imput[[#This Row],[Cantidad]]*Imput[[#This Row],[Precio Unitario]]</f>
        <v>1600</v>
      </c>
      <c r="J1587" s="11">
        <f>((Imput[[#This Row],[Sub total]])*(0.08))</f>
        <v>128</v>
      </c>
      <c r="K1587" s="11">
        <v>0</v>
      </c>
      <c r="L1587" s="169">
        <f>Imput[[#This Row],[Sub total]]+Imput[[#This Row],[IVA]]-Imput[[#This Row],[Retención / IEPS / Descuento]]</f>
        <v>1728</v>
      </c>
      <c r="M1587" s="844">
        <v>1728</v>
      </c>
      <c r="N1587" s="189"/>
      <c r="O1587" s="1"/>
      <c r="P1587" s="189"/>
      <c r="Q1587" s="190"/>
      <c r="R1587" s="188">
        <v>45927</v>
      </c>
      <c r="S1587" s="193"/>
      <c r="T1587" s="192"/>
      <c r="U1587" s="829" t="s">
        <v>3225</v>
      </c>
      <c r="V1587" s="10"/>
      <c r="W1587" s="10"/>
      <c r="X1587" s="902">
        <v>26</v>
      </c>
      <c r="Y1587" s="10"/>
      <c r="Z1587" s="10"/>
      <c r="AA1587" s="11"/>
      <c r="AB1587" s="11"/>
    </row>
    <row r="1588" spans="2:28" x14ac:dyDescent="0.3">
      <c r="B1588" s="10" t="s">
        <v>389</v>
      </c>
      <c r="C1588" s="315"/>
      <c r="D1588" s="868" t="s">
        <v>3119</v>
      </c>
      <c r="E1588" s="837" t="str">
        <f>IFERROR(IF(_xlfn.XLOOKUP(Imput[[#This Row],[RFC]],'Alta Proveedor'!D:D,'Alta Proveedor'!E:E)=0,"",_xlfn.XLOOKUP(Imput[[#This Row],[RFC]],'Alta Proveedor'!D:D,'Alta Proveedor'!E:E)),"")</f>
        <v>Nomina-OPERACIÓN</v>
      </c>
      <c r="F1588" s="832" t="s">
        <v>4475</v>
      </c>
      <c r="G1588" s="187">
        <v>1</v>
      </c>
      <c r="H1588" s="1">
        <v>2000</v>
      </c>
      <c r="I1588" s="169">
        <f>Imput[[#This Row],[Cantidad]]*Imput[[#This Row],[Precio Unitario]]</f>
        <v>2000</v>
      </c>
      <c r="J1588" s="11">
        <f>((Imput[[#This Row],[Sub total]])*(0.08))</f>
        <v>160</v>
      </c>
      <c r="K1588" s="11">
        <v>0</v>
      </c>
      <c r="L1588" s="169">
        <f>Imput[[#This Row],[Sub total]]+Imput[[#This Row],[IVA]]-Imput[[#This Row],[Retención / IEPS / Descuento]]</f>
        <v>2160</v>
      </c>
      <c r="M1588" s="844">
        <v>2160</v>
      </c>
      <c r="N1588" s="189"/>
      <c r="O1588" s="1"/>
      <c r="P1588" s="189"/>
      <c r="Q1588" s="190"/>
      <c r="R1588" s="188">
        <v>45927</v>
      </c>
      <c r="S1588" s="193"/>
      <c r="T1588" s="192"/>
      <c r="U1588" s="829" t="s">
        <v>3225</v>
      </c>
      <c r="V1588" s="10"/>
      <c r="W1588" s="10"/>
      <c r="X1588" s="902">
        <v>26</v>
      </c>
      <c r="Y1588" s="10"/>
      <c r="Z1588" s="10"/>
      <c r="AA1588" s="11"/>
      <c r="AB1588" s="11"/>
    </row>
    <row r="1589" spans="2:28" x14ac:dyDescent="0.3">
      <c r="B1589" s="10" t="s">
        <v>389</v>
      </c>
      <c r="C1589" s="315"/>
      <c r="D1589" s="868" t="s">
        <v>3119</v>
      </c>
      <c r="E1589" s="837" t="str">
        <f>IFERROR(IF(_xlfn.XLOOKUP(Imput[[#This Row],[RFC]],'Alta Proveedor'!D:D,'Alta Proveedor'!E:E)=0,"",_xlfn.XLOOKUP(Imput[[#This Row],[RFC]],'Alta Proveedor'!D:D,'Alta Proveedor'!E:E)),"")</f>
        <v>Nomina-OPERACIÓN</v>
      </c>
      <c r="F1589" s="832" t="s">
        <v>4463</v>
      </c>
      <c r="G1589" s="187">
        <v>1</v>
      </c>
      <c r="H1589" s="1">
        <v>3187.16</v>
      </c>
      <c r="I1589" s="169">
        <f>Imput[[#This Row],[Cantidad]]*Imput[[#This Row],[Precio Unitario]]</f>
        <v>3187.16</v>
      </c>
      <c r="J1589" s="11">
        <f>((Imput[[#This Row],[Sub total]])*(0.08))</f>
        <v>254.97280000000001</v>
      </c>
      <c r="K1589" s="11">
        <v>0</v>
      </c>
      <c r="L1589" s="169">
        <f>Imput[[#This Row],[Sub total]]+Imput[[#This Row],[IVA]]-Imput[[#This Row],[Retención / IEPS / Descuento]]</f>
        <v>3442.1327999999999</v>
      </c>
      <c r="M1589" s="844">
        <v>3442.1327999999999</v>
      </c>
      <c r="N1589" s="189"/>
      <c r="O1589" s="1"/>
      <c r="P1589" s="189"/>
      <c r="Q1589" s="190"/>
      <c r="R1589" s="188">
        <v>45927</v>
      </c>
      <c r="S1589" s="193"/>
      <c r="T1589" s="192"/>
      <c r="U1589" s="829" t="s">
        <v>3225</v>
      </c>
      <c r="V1589" s="10"/>
      <c r="W1589" s="10"/>
      <c r="X1589" s="902">
        <v>26</v>
      </c>
      <c r="Y1589" s="10"/>
      <c r="Z1589" s="10"/>
      <c r="AA1589" s="11"/>
      <c r="AB1589" s="11"/>
    </row>
    <row r="1590" spans="2:28" x14ac:dyDescent="0.3">
      <c r="B1590" s="10" t="s">
        <v>389</v>
      </c>
      <c r="C1590" s="315"/>
      <c r="D1590" s="868" t="s">
        <v>3119</v>
      </c>
      <c r="E1590" s="837" t="str">
        <f>IFERROR(IF(_xlfn.XLOOKUP(Imput[[#This Row],[RFC]],'Alta Proveedor'!D:D,'Alta Proveedor'!E:E)=0,"",_xlfn.XLOOKUP(Imput[[#This Row],[RFC]],'Alta Proveedor'!D:D,'Alta Proveedor'!E:E)),"")</f>
        <v>Nomina-OPERACIÓN</v>
      </c>
      <c r="F1590" s="832" t="s">
        <v>3347</v>
      </c>
      <c r="G1590" s="187">
        <v>1</v>
      </c>
      <c r="H1590" s="1">
        <v>4500</v>
      </c>
      <c r="I1590" s="169">
        <f>Imput[[#This Row],[Cantidad]]*Imput[[#This Row],[Precio Unitario]]</f>
        <v>4500</v>
      </c>
      <c r="J1590" s="11">
        <f>((Imput[[#This Row],[Sub total]])*(0.08))</f>
        <v>360</v>
      </c>
      <c r="K1590" s="11">
        <v>0</v>
      </c>
      <c r="L1590" s="169">
        <f>Imput[[#This Row],[Sub total]]+Imput[[#This Row],[IVA]]-Imput[[#This Row],[Retención / IEPS / Descuento]]</f>
        <v>4860</v>
      </c>
      <c r="M1590" s="844">
        <v>4860</v>
      </c>
      <c r="N1590" s="189"/>
      <c r="O1590" s="1"/>
      <c r="P1590" s="189"/>
      <c r="Q1590" s="190"/>
      <c r="R1590" s="188">
        <v>45927</v>
      </c>
      <c r="S1590" s="193"/>
      <c r="T1590" s="192"/>
      <c r="U1590" s="829" t="s">
        <v>3225</v>
      </c>
      <c r="V1590" s="10"/>
      <c r="W1590" s="10"/>
      <c r="X1590" s="902">
        <v>26</v>
      </c>
      <c r="Y1590" s="10"/>
      <c r="Z1590" s="10"/>
      <c r="AA1590" s="11"/>
      <c r="AB1590" s="11"/>
    </row>
    <row r="1591" spans="2:28" x14ac:dyDescent="0.3">
      <c r="B1591" s="10" t="s">
        <v>389</v>
      </c>
      <c r="C1591" s="315"/>
      <c r="D1591" s="868" t="s">
        <v>3225</v>
      </c>
      <c r="E1591" s="837" t="str">
        <f>IFERROR(IF(_xlfn.XLOOKUP(Imput[[#This Row],[RFC]],'Alta Proveedor'!D:D,'Alta Proveedor'!E:E)=0,"",_xlfn.XLOOKUP(Imput[[#This Row],[RFC]],'Alta Proveedor'!D:D,'Alta Proveedor'!E:E)),"")</f>
        <v>GASTOS SIN FACTURA</v>
      </c>
      <c r="F1591" s="832" t="s">
        <v>4476</v>
      </c>
      <c r="G1591" s="187">
        <v>1</v>
      </c>
      <c r="H1591" s="1">
        <v>7000</v>
      </c>
      <c r="I1591" s="169">
        <f>Imput[[#This Row],[Cantidad]]*Imput[[#This Row],[Precio Unitario]]</f>
        <v>7000</v>
      </c>
      <c r="J1591" s="11">
        <f>((Imput[[#This Row],[Sub total]])*(0.08))</f>
        <v>560</v>
      </c>
      <c r="K1591" s="11">
        <v>0</v>
      </c>
      <c r="L1591" s="169">
        <f>Imput[[#This Row],[Sub total]]+Imput[[#This Row],[IVA]]-Imput[[#This Row],[Retención / IEPS / Descuento]]</f>
        <v>7560</v>
      </c>
      <c r="M1591" s="844">
        <v>7560</v>
      </c>
      <c r="N1591" s="189"/>
      <c r="O1591" s="1"/>
      <c r="P1591" s="189"/>
      <c r="Q1591" s="190"/>
      <c r="R1591" s="188">
        <v>45930</v>
      </c>
      <c r="S1591" s="193"/>
      <c r="T1591" s="192"/>
      <c r="U1591" s="829" t="s">
        <v>3225</v>
      </c>
      <c r="V1591" s="10"/>
      <c r="W1591" s="10"/>
      <c r="X1591" s="902">
        <v>26</v>
      </c>
      <c r="Y1591" s="10"/>
      <c r="Z1591" s="10"/>
      <c r="AA1591" s="11"/>
      <c r="AB1591" s="11"/>
    </row>
    <row r="1592" spans="2:28" x14ac:dyDescent="0.3">
      <c r="B1592" s="10" t="s">
        <v>389</v>
      </c>
      <c r="C1592" s="315"/>
      <c r="D1592" s="868" t="s">
        <v>3225</v>
      </c>
      <c r="E1592" s="837" t="str">
        <f>IFERROR(IF(_xlfn.XLOOKUP(Imput[[#This Row],[RFC]],'Alta Proveedor'!D:D,'Alta Proveedor'!E:E)=0,"",_xlfn.XLOOKUP(Imput[[#This Row],[RFC]],'Alta Proveedor'!D:D,'Alta Proveedor'!E:E)),"")</f>
        <v>GASTOS SIN FACTURA</v>
      </c>
      <c r="F1592" s="832" t="s">
        <v>4477</v>
      </c>
      <c r="G1592" s="187">
        <v>1</v>
      </c>
      <c r="H1592" s="1">
        <v>20000</v>
      </c>
      <c r="I1592" s="169">
        <f>Imput[[#This Row],[Cantidad]]*Imput[[#This Row],[Precio Unitario]]</f>
        <v>20000</v>
      </c>
      <c r="J1592" s="11">
        <f>((Imput[[#This Row],[Sub total]])*(0.08))</f>
        <v>1600</v>
      </c>
      <c r="K1592" s="11">
        <v>0</v>
      </c>
      <c r="L1592" s="169">
        <f>Imput[[#This Row],[Sub total]]+Imput[[#This Row],[IVA]]-Imput[[#This Row],[Retención / IEPS / Descuento]]</f>
        <v>21600</v>
      </c>
      <c r="M1592" s="844">
        <v>21600</v>
      </c>
      <c r="N1592" s="189"/>
      <c r="O1592" s="1"/>
      <c r="P1592" s="189"/>
      <c r="Q1592" s="190"/>
      <c r="R1592" s="188">
        <v>45930</v>
      </c>
      <c r="S1592" s="193"/>
      <c r="T1592" s="192"/>
      <c r="U1592" s="829" t="s">
        <v>3225</v>
      </c>
      <c r="V1592" s="10"/>
      <c r="W1592" s="10"/>
      <c r="X1592" s="902">
        <v>26</v>
      </c>
      <c r="Y1592" s="10" t="s">
        <v>3804</v>
      </c>
      <c r="Z1592" s="10"/>
      <c r="AA1592" s="11"/>
      <c r="AB1592" s="11"/>
    </row>
    <row r="1593" spans="2:28" x14ac:dyDescent="0.3">
      <c r="B1593" s="10" t="s">
        <v>389</v>
      </c>
      <c r="C1593" s="315"/>
      <c r="D1593" s="868" t="s">
        <v>3225</v>
      </c>
      <c r="E1593" s="837" t="str">
        <f>IFERROR(IF(_xlfn.XLOOKUP(Imput[[#This Row],[RFC]],'Alta Proveedor'!D:D,'Alta Proveedor'!E:E)=0,"",_xlfn.XLOOKUP(Imput[[#This Row],[RFC]],'Alta Proveedor'!D:D,'Alta Proveedor'!E:E)),"")</f>
        <v>GASTOS SIN FACTURA</v>
      </c>
      <c r="F1593" s="832" t="s">
        <v>4478</v>
      </c>
      <c r="G1593" s="187">
        <v>1</v>
      </c>
      <c r="H1593" s="1">
        <v>2000</v>
      </c>
      <c r="I1593" s="169">
        <f>Imput[[#This Row],[Cantidad]]*Imput[[#This Row],[Precio Unitario]]</f>
        <v>2000</v>
      </c>
      <c r="J1593" s="11">
        <f>((Imput[[#This Row],[Sub total]])*(0.08))</f>
        <v>160</v>
      </c>
      <c r="K1593" s="11">
        <v>0</v>
      </c>
      <c r="L1593" s="169">
        <f>Imput[[#This Row],[Sub total]]+Imput[[#This Row],[IVA]]-Imput[[#This Row],[Retención / IEPS / Descuento]]</f>
        <v>2160</v>
      </c>
      <c r="M1593" s="844">
        <v>2160</v>
      </c>
      <c r="N1593" s="189"/>
      <c r="O1593" s="1"/>
      <c r="P1593" s="189"/>
      <c r="Q1593" s="190"/>
      <c r="R1593" s="188">
        <v>45930</v>
      </c>
      <c r="S1593" s="193"/>
      <c r="T1593" s="192"/>
      <c r="U1593" s="829" t="s">
        <v>3225</v>
      </c>
      <c r="V1593" s="10"/>
      <c r="W1593" s="10"/>
      <c r="X1593" s="902">
        <v>26</v>
      </c>
      <c r="Y1593" s="10"/>
      <c r="Z1593" s="10"/>
      <c r="AA1593" s="11"/>
      <c r="AB1593" s="11"/>
    </row>
    <row r="1594" spans="2:28" x14ac:dyDescent="0.3">
      <c r="B1594" s="10" t="s">
        <v>389</v>
      </c>
      <c r="C1594" s="315" t="s">
        <v>1743</v>
      </c>
      <c r="D1594" s="868" t="s">
        <v>3118</v>
      </c>
      <c r="E1594" s="837" t="str">
        <f>IFERROR(IF(_xlfn.XLOOKUP(Imput[[#This Row],[RFC]],'Alta Proveedor'!D:D,'Alta Proveedor'!E:E)=0,"",_xlfn.XLOOKUP(Imput[[#This Row],[RFC]],'Alta Proveedor'!D:D,'Alta Proveedor'!E:E)),"")</f>
        <v>Nomina-ADMON</v>
      </c>
      <c r="F1594" s="832" t="s">
        <v>4543</v>
      </c>
      <c r="G1594" s="187">
        <v>1</v>
      </c>
      <c r="H1594" s="1">
        <v>0</v>
      </c>
      <c r="I1594" s="169">
        <f>Imput[[#This Row],[Cantidad]]*Imput[[#This Row],[Precio Unitario]]</f>
        <v>0</v>
      </c>
      <c r="J1594" s="11">
        <f>Imput[[#This Row],[Sub total]]*0</f>
        <v>0</v>
      </c>
      <c r="K1594" s="11">
        <v>0</v>
      </c>
      <c r="L1594" s="169">
        <f>Imput[[#This Row],[Sub total]]+Imput[[#This Row],[IVA]]-Imput[[#This Row],[Retención / IEPS / Descuento]]</f>
        <v>0</v>
      </c>
      <c r="M1594" s="844">
        <v>0</v>
      </c>
      <c r="N1594" s="189"/>
      <c r="O1594" s="1"/>
      <c r="P1594" s="189"/>
      <c r="Q1594" s="190"/>
      <c r="R1594" s="188">
        <v>45930</v>
      </c>
      <c r="S1594" s="193"/>
      <c r="T1594" s="192"/>
      <c r="U1594" s="829" t="s">
        <v>3225</v>
      </c>
      <c r="V1594" s="10"/>
      <c r="W1594" s="10"/>
      <c r="X1594" s="902">
        <v>26</v>
      </c>
      <c r="Y1594" s="10"/>
      <c r="Z1594" s="10"/>
      <c r="AA1594" s="11"/>
      <c r="AB1594" s="11"/>
    </row>
    <row r="1595" spans="2:28" x14ac:dyDescent="0.3">
      <c r="B1595" s="10" t="s">
        <v>389</v>
      </c>
      <c r="C1595" s="315" t="s">
        <v>1773</v>
      </c>
      <c r="D1595" s="868" t="s">
        <v>3118</v>
      </c>
      <c r="E1595" s="837" t="str">
        <f>IFERROR(IF(_xlfn.XLOOKUP(Imput[[#This Row],[RFC]],'Alta Proveedor'!D:D,'Alta Proveedor'!E:E)=0,"",_xlfn.XLOOKUP(Imput[[#This Row],[RFC]],'Alta Proveedor'!D:D,'Alta Proveedor'!E:E)),"")</f>
        <v>Nomina-ADMON</v>
      </c>
      <c r="F1595" s="832" t="s">
        <v>4544</v>
      </c>
      <c r="G1595" s="187">
        <v>1</v>
      </c>
      <c r="H1595" s="1">
        <v>4182</v>
      </c>
      <c r="I1595" s="169">
        <f>Imput[[#This Row],[Cantidad]]*Imput[[#This Row],[Precio Unitario]]</f>
        <v>4182</v>
      </c>
      <c r="J1595" s="11">
        <f>Imput[[#This Row],[Sub total]]*0</f>
        <v>0</v>
      </c>
      <c r="K1595" s="11">
        <v>0</v>
      </c>
      <c r="L1595" s="169">
        <f>Imput[[#This Row],[Sub total]]+Imput[[#This Row],[IVA]]-Imput[[#This Row],[Retención / IEPS / Descuento]]</f>
        <v>4182</v>
      </c>
      <c r="M1595" s="844">
        <v>4182</v>
      </c>
      <c r="N1595" s="189"/>
      <c r="O1595" s="1"/>
      <c r="P1595" s="189"/>
      <c r="Q1595" s="190"/>
      <c r="R1595" s="188">
        <v>45930</v>
      </c>
      <c r="S1595" s="193"/>
      <c r="T1595" s="192"/>
      <c r="U1595" s="829" t="s">
        <v>3225</v>
      </c>
      <c r="V1595" s="10"/>
      <c r="W1595" s="10"/>
      <c r="X1595" s="902">
        <v>26</v>
      </c>
      <c r="Y1595" s="10"/>
      <c r="Z1595" s="10"/>
      <c r="AA1595" s="11"/>
      <c r="AB1595" s="11"/>
    </row>
    <row r="1596" spans="2:28" x14ac:dyDescent="0.3">
      <c r="B1596" s="10" t="s">
        <v>389</v>
      </c>
      <c r="C1596" s="315" t="s">
        <v>1784</v>
      </c>
      <c r="D1596" s="868" t="s">
        <v>3118</v>
      </c>
      <c r="E1596" s="837" t="str">
        <f>IFERROR(IF(_xlfn.XLOOKUP(Imput[[#This Row],[RFC]],'Alta Proveedor'!D:D,'Alta Proveedor'!E:E)=0,"",_xlfn.XLOOKUP(Imput[[#This Row],[RFC]],'Alta Proveedor'!D:D,'Alta Proveedor'!E:E)),"")</f>
        <v>Nomina-ADMON</v>
      </c>
      <c r="F1596" s="832" t="s">
        <v>4545</v>
      </c>
      <c r="G1596" s="187">
        <v>1</v>
      </c>
      <c r="H1596" s="1">
        <v>0</v>
      </c>
      <c r="I1596" s="169">
        <f>Imput[[#This Row],[Cantidad]]*Imput[[#This Row],[Precio Unitario]]</f>
        <v>0</v>
      </c>
      <c r="J1596" s="11">
        <f>Imput[[#This Row],[Sub total]]*0</f>
        <v>0</v>
      </c>
      <c r="K1596" s="11">
        <v>0</v>
      </c>
      <c r="L1596" s="169">
        <f>Imput[[#This Row],[Sub total]]+Imput[[#This Row],[IVA]]-Imput[[#This Row],[Retención / IEPS / Descuento]]</f>
        <v>0</v>
      </c>
      <c r="M1596" s="844">
        <v>0</v>
      </c>
      <c r="N1596" s="189"/>
      <c r="O1596" s="1"/>
      <c r="P1596" s="189"/>
      <c r="Q1596" s="190"/>
      <c r="R1596" s="188">
        <v>45930</v>
      </c>
      <c r="S1596" s="193"/>
      <c r="T1596" s="192"/>
      <c r="U1596" s="829" t="s">
        <v>3225</v>
      </c>
      <c r="V1596" s="10"/>
      <c r="W1596" s="10"/>
      <c r="X1596" s="902">
        <v>26</v>
      </c>
      <c r="Y1596" s="10"/>
      <c r="Z1596" s="10"/>
      <c r="AA1596" s="11"/>
      <c r="AB1596" s="11"/>
    </row>
    <row r="1597" spans="2:28" x14ac:dyDescent="0.3">
      <c r="B1597" s="10" t="s">
        <v>389</v>
      </c>
      <c r="C1597" s="315" t="s">
        <v>1756</v>
      </c>
      <c r="D1597" s="868" t="s">
        <v>3118</v>
      </c>
      <c r="E1597" s="837" t="str">
        <f>IFERROR(IF(_xlfn.XLOOKUP(Imput[[#This Row],[RFC]],'Alta Proveedor'!D:D,'Alta Proveedor'!E:E)=0,"",_xlfn.XLOOKUP(Imput[[#This Row],[RFC]],'Alta Proveedor'!D:D,'Alta Proveedor'!E:E)),"")</f>
        <v>Nomina-ADMON</v>
      </c>
      <c r="F1597" s="832" t="s">
        <v>4546</v>
      </c>
      <c r="G1597" s="187">
        <v>1</v>
      </c>
      <c r="H1597" s="1">
        <v>4182</v>
      </c>
      <c r="I1597" s="169">
        <f>Imput[[#This Row],[Cantidad]]*Imput[[#This Row],[Precio Unitario]]</f>
        <v>4182</v>
      </c>
      <c r="J1597" s="11">
        <f>Imput[[#This Row],[Sub total]]*0</f>
        <v>0</v>
      </c>
      <c r="K1597" s="11">
        <v>0</v>
      </c>
      <c r="L1597" s="169">
        <f>Imput[[#This Row],[Sub total]]+Imput[[#This Row],[IVA]]-Imput[[#This Row],[Retención / IEPS / Descuento]]</f>
        <v>4182</v>
      </c>
      <c r="M1597" s="844">
        <v>4182</v>
      </c>
      <c r="N1597" s="189"/>
      <c r="O1597" s="1"/>
      <c r="P1597" s="189"/>
      <c r="Q1597" s="190"/>
      <c r="R1597" s="188">
        <v>45930</v>
      </c>
      <c r="S1597" s="193"/>
      <c r="T1597" s="192"/>
      <c r="U1597" s="829" t="s">
        <v>3225</v>
      </c>
      <c r="V1597" s="10"/>
      <c r="W1597" s="10"/>
      <c r="X1597" s="902">
        <v>26</v>
      </c>
      <c r="Y1597" s="10"/>
      <c r="Z1597" s="10"/>
      <c r="AA1597" s="11"/>
      <c r="AB1597" s="11"/>
    </row>
    <row r="1598" spans="2:28" x14ac:dyDescent="0.3">
      <c r="B1598" s="10" t="s">
        <v>389</v>
      </c>
      <c r="C1598" s="315" t="s">
        <v>1774</v>
      </c>
      <c r="D1598" s="868" t="s">
        <v>3118</v>
      </c>
      <c r="E1598" s="837" t="str">
        <f>IFERROR(IF(_xlfn.XLOOKUP(Imput[[#This Row],[RFC]],'Alta Proveedor'!D:D,'Alta Proveedor'!E:E)=0,"",_xlfn.XLOOKUP(Imput[[#This Row],[RFC]],'Alta Proveedor'!D:D,'Alta Proveedor'!E:E)),"")</f>
        <v>Nomina-ADMON</v>
      </c>
      <c r="F1598" s="832" t="s">
        <v>4547</v>
      </c>
      <c r="G1598" s="187">
        <v>1</v>
      </c>
      <c r="H1598" s="1">
        <v>4182</v>
      </c>
      <c r="I1598" s="169">
        <f>Imput[[#This Row],[Cantidad]]*Imput[[#This Row],[Precio Unitario]]</f>
        <v>4182</v>
      </c>
      <c r="J1598" s="11">
        <f>Imput[[#This Row],[Sub total]]*0</f>
        <v>0</v>
      </c>
      <c r="K1598" s="11">
        <v>0</v>
      </c>
      <c r="L1598" s="169">
        <f>Imput[[#This Row],[Sub total]]+Imput[[#This Row],[IVA]]-Imput[[#This Row],[Retención / IEPS / Descuento]]</f>
        <v>4182</v>
      </c>
      <c r="M1598" s="844">
        <v>4182</v>
      </c>
      <c r="N1598" s="189"/>
      <c r="O1598" s="1"/>
      <c r="P1598" s="189"/>
      <c r="Q1598" s="190"/>
      <c r="R1598" s="188">
        <v>45930</v>
      </c>
      <c r="S1598" s="193"/>
      <c r="T1598" s="192"/>
      <c r="U1598" s="829" t="s">
        <v>3225</v>
      </c>
      <c r="V1598" s="10"/>
      <c r="W1598" s="10"/>
      <c r="X1598" s="902">
        <v>26</v>
      </c>
      <c r="Y1598" s="10"/>
      <c r="Z1598" s="10"/>
      <c r="AA1598" s="11"/>
      <c r="AB1598" s="11"/>
    </row>
    <row r="1599" spans="2:28" x14ac:dyDescent="0.3">
      <c r="B1599" s="10" t="s">
        <v>389</v>
      </c>
      <c r="C1599" s="315" t="s">
        <v>1754</v>
      </c>
      <c r="D1599" s="868" t="s">
        <v>3118</v>
      </c>
      <c r="E1599" s="837" t="str">
        <f>IFERROR(IF(_xlfn.XLOOKUP(Imput[[#This Row],[RFC]],'Alta Proveedor'!D:D,'Alta Proveedor'!E:E)=0,"",_xlfn.XLOOKUP(Imput[[#This Row],[RFC]],'Alta Proveedor'!D:D,'Alta Proveedor'!E:E)),"")</f>
        <v>Nomina-ADMON</v>
      </c>
      <c r="F1599" s="832" t="s">
        <v>4548</v>
      </c>
      <c r="G1599" s="187">
        <v>1</v>
      </c>
      <c r="H1599" s="1">
        <v>4182</v>
      </c>
      <c r="I1599" s="169">
        <f>Imput[[#This Row],[Cantidad]]*Imput[[#This Row],[Precio Unitario]]</f>
        <v>4182</v>
      </c>
      <c r="J1599" s="11">
        <f>Imput[[#This Row],[Sub total]]*0</f>
        <v>0</v>
      </c>
      <c r="K1599" s="11">
        <v>0</v>
      </c>
      <c r="L1599" s="169">
        <f>Imput[[#This Row],[Sub total]]+Imput[[#This Row],[IVA]]-Imput[[#This Row],[Retención / IEPS / Descuento]]</f>
        <v>4182</v>
      </c>
      <c r="M1599" s="844">
        <v>4182</v>
      </c>
      <c r="N1599" s="189"/>
      <c r="O1599" s="1"/>
      <c r="P1599" s="189"/>
      <c r="Q1599" s="190"/>
      <c r="R1599" s="188">
        <v>45930</v>
      </c>
      <c r="S1599" s="193"/>
      <c r="T1599" s="192"/>
      <c r="U1599" s="829" t="s">
        <v>3225</v>
      </c>
      <c r="V1599" s="10"/>
      <c r="W1599" s="10"/>
      <c r="X1599" s="902">
        <v>26</v>
      </c>
      <c r="Y1599" s="10"/>
      <c r="Z1599" s="10"/>
      <c r="AA1599" s="11"/>
      <c r="AB1599" s="11"/>
    </row>
    <row r="1600" spans="2:28" x14ac:dyDescent="0.3">
      <c r="B1600" s="10" t="s">
        <v>389</v>
      </c>
      <c r="C1600" s="315" t="s">
        <v>1743</v>
      </c>
      <c r="D1600" s="868" t="s">
        <v>3118</v>
      </c>
      <c r="E1600" s="837" t="str">
        <f>IFERROR(IF(_xlfn.XLOOKUP(Imput[[#This Row],[RFC]],'Alta Proveedor'!D:D,'Alta Proveedor'!E:E)=0,"",_xlfn.XLOOKUP(Imput[[#This Row],[RFC]],'Alta Proveedor'!D:D,'Alta Proveedor'!E:E)),"")</f>
        <v>Nomina-ADMON</v>
      </c>
      <c r="F1600" s="832" t="s">
        <v>4549</v>
      </c>
      <c r="G1600" s="187">
        <v>1</v>
      </c>
      <c r="H1600" s="1">
        <v>10000</v>
      </c>
      <c r="I1600" s="169">
        <f>Imput[[#This Row],[Cantidad]]*Imput[[#This Row],[Precio Unitario]]</f>
        <v>10000</v>
      </c>
      <c r="J1600" s="11">
        <f>Imput[[#This Row],[Sub total]]*0.08</f>
        <v>800</v>
      </c>
      <c r="K1600" s="11">
        <v>0</v>
      </c>
      <c r="L1600" s="169">
        <f>Imput[[#This Row],[Sub total]]+Imput[[#This Row],[IVA]]-Imput[[#This Row],[Retención / IEPS / Descuento]]</f>
        <v>10800</v>
      </c>
      <c r="M1600" s="844">
        <v>10800</v>
      </c>
      <c r="N1600" s="189"/>
      <c r="O1600" s="1"/>
      <c r="P1600" s="189"/>
      <c r="Q1600" s="190"/>
      <c r="R1600" s="188">
        <v>45930</v>
      </c>
      <c r="S1600" s="193"/>
      <c r="T1600" s="192"/>
      <c r="U1600" s="829" t="s">
        <v>3225</v>
      </c>
      <c r="V1600" s="10"/>
      <c r="W1600" s="10"/>
      <c r="X1600" s="902">
        <v>26</v>
      </c>
      <c r="Y1600" s="10"/>
      <c r="Z1600" s="10"/>
      <c r="AA1600" s="11"/>
      <c r="AB1600" s="11"/>
    </row>
    <row r="1601" spans="2:28" x14ac:dyDescent="0.3">
      <c r="B1601" s="10" t="s">
        <v>389</v>
      </c>
      <c r="C1601" s="315" t="s">
        <v>1773</v>
      </c>
      <c r="D1601" s="868" t="s">
        <v>3118</v>
      </c>
      <c r="E1601" s="837" t="str">
        <f>IFERROR(IF(_xlfn.XLOOKUP(Imput[[#This Row],[RFC]],'Alta Proveedor'!D:D,'Alta Proveedor'!E:E)=0,"",_xlfn.XLOOKUP(Imput[[#This Row],[RFC]],'Alta Proveedor'!D:D,'Alta Proveedor'!E:E)),"")</f>
        <v>Nomina-ADMON</v>
      </c>
      <c r="F1601" s="832" t="s">
        <v>4550</v>
      </c>
      <c r="G1601" s="187">
        <v>1</v>
      </c>
      <c r="H1601" s="1">
        <v>2318</v>
      </c>
      <c r="I1601" s="169">
        <f>Imput[[#This Row],[Cantidad]]*Imput[[#This Row],[Precio Unitario]]</f>
        <v>2318</v>
      </c>
      <c r="J1601" s="11">
        <f>Imput[[#This Row],[Sub total]]*0.08</f>
        <v>185.44</v>
      </c>
      <c r="K1601" s="11">
        <v>0</v>
      </c>
      <c r="L1601" s="169">
        <f>Imput[[#This Row],[Sub total]]+Imput[[#This Row],[IVA]]-Imput[[#This Row],[Retención / IEPS / Descuento]]</f>
        <v>2503.44</v>
      </c>
      <c r="M1601" s="844">
        <v>2503.44</v>
      </c>
      <c r="N1601" s="189"/>
      <c r="O1601" s="1"/>
      <c r="P1601" s="189"/>
      <c r="Q1601" s="190"/>
      <c r="R1601" s="188">
        <v>45930</v>
      </c>
      <c r="S1601" s="193"/>
      <c r="T1601" s="192"/>
      <c r="U1601" s="829" t="s">
        <v>3225</v>
      </c>
      <c r="V1601" s="10"/>
      <c r="W1601" s="10"/>
      <c r="X1601" s="902">
        <v>26</v>
      </c>
      <c r="Y1601" s="10"/>
      <c r="Z1601" s="10"/>
      <c r="AA1601" s="11"/>
      <c r="AB1601" s="11"/>
    </row>
    <row r="1602" spans="2:28" x14ac:dyDescent="0.3">
      <c r="B1602" s="10" t="s">
        <v>389</v>
      </c>
      <c r="C1602" s="315" t="s">
        <v>1784</v>
      </c>
      <c r="D1602" s="868" t="s">
        <v>3118</v>
      </c>
      <c r="E1602" s="837" t="str">
        <f>IFERROR(IF(_xlfn.XLOOKUP(Imput[[#This Row],[RFC]],'Alta Proveedor'!D:D,'Alta Proveedor'!E:E)=0,"",_xlfn.XLOOKUP(Imput[[#This Row],[RFC]],'Alta Proveedor'!D:D,'Alta Proveedor'!E:E)),"")</f>
        <v>Nomina-ADMON</v>
      </c>
      <c r="F1602" s="832" t="s">
        <v>4551</v>
      </c>
      <c r="G1602" s="187">
        <v>1</v>
      </c>
      <c r="H1602" s="1">
        <v>6000</v>
      </c>
      <c r="I1602" s="169">
        <f>Imput[[#This Row],[Cantidad]]*Imput[[#This Row],[Precio Unitario]]</f>
        <v>6000</v>
      </c>
      <c r="J1602" s="11">
        <f>Imput[[#This Row],[Sub total]]*0.08</f>
        <v>480</v>
      </c>
      <c r="K1602" s="11">
        <v>0</v>
      </c>
      <c r="L1602" s="169">
        <f>Imput[[#This Row],[Sub total]]+Imput[[#This Row],[IVA]]-Imput[[#This Row],[Retención / IEPS / Descuento]]</f>
        <v>6480</v>
      </c>
      <c r="M1602" s="844">
        <v>6480</v>
      </c>
      <c r="N1602" s="189"/>
      <c r="O1602" s="1"/>
      <c r="P1602" s="189"/>
      <c r="Q1602" s="190"/>
      <c r="R1602" s="188">
        <v>45930</v>
      </c>
      <c r="S1602" s="193"/>
      <c r="T1602" s="192"/>
      <c r="U1602" s="829" t="s">
        <v>3225</v>
      </c>
      <c r="V1602" s="10"/>
      <c r="W1602" s="10"/>
      <c r="X1602" s="902">
        <v>26</v>
      </c>
      <c r="Y1602" s="10"/>
      <c r="Z1602" s="10"/>
      <c r="AA1602" s="11"/>
      <c r="AB1602" s="11"/>
    </row>
    <row r="1603" spans="2:28" x14ac:dyDescent="0.3">
      <c r="B1603" s="10" t="s">
        <v>389</v>
      </c>
      <c r="C1603" s="315" t="s">
        <v>1756</v>
      </c>
      <c r="D1603" s="868" t="s">
        <v>3118</v>
      </c>
      <c r="E1603" s="837" t="str">
        <f>IFERROR(IF(_xlfn.XLOOKUP(Imput[[#This Row],[RFC]],'Alta Proveedor'!D:D,'Alta Proveedor'!E:E)=0,"",_xlfn.XLOOKUP(Imput[[#This Row],[RFC]],'Alta Proveedor'!D:D,'Alta Proveedor'!E:E)),"")</f>
        <v>Nomina-ADMON</v>
      </c>
      <c r="F1603" s="832" t="s">
        <v>4552</v>
      </c>
      <c r="G1603" s="187">
        <v>1</v>
      </c>
      <c r="H1603" s="1">
        <v>6533</v>
      </c>
      <c r="I1603" s="169">
        <f>Imput[[#This Row],[Cantidad]]*Imput[[#This Row],[Precio Unitario]]</f>
        <v>6533</v>
      </c>
      <c r="J1603" s="11">
        <f>Imput[[#This Row],[Sub total]]*0.08</f>
        <v>522.64</v>
      </c>
      <c r="K1603" s="11">
        <v>0</v>
      </c>
      <c r="L1603" s="169">
        <f>Imput[[#This Row],[Sub total]]+Imput[[#This Row],[IVA]]-Imput[[#This Row],[Retención / IEPS / Descuento]]</f>
        <v>7055.64</v>
      </c>
      <c r="M1603" s="844">
        <v>7055.64</v>
      </c>
      <c r="N1603" s="189"/>
      <c r="O1603" s="1"/>
      <c r="P1603" s="189"/>
      <c r="Q1603" s="190"/>
      <c r="R1603" s="188">
        <v>45930</v>
      </c>
      <c r="S1603" s="193"/>
      <c r="T1603" s="192"/>
      <c r="U1603" s="829" t="s">
        <v>3225</v>
      </c>
      <c r="V1603" s="10"/>
      <c r="W1603" s="10"/>
      <c r="X1603" s="902">
        <v>26</v>
      </c>
      <c r="Y1603" s="10"/>
      <c r="Z1603" s="10"/>
      <c r="AA1603" s="11"/>
      <c r="AB1603" s="11"/>
    </row>
    <row r="1604" spans="2:28" x14ac:dyDescent="0.3">
      <c r="B1604" s="10" t="s">
        <v>389</v>
      </c>
      <c r="C1604" s="315" t="s">
        <v>1774</v>
      </c>
      <c r="D1604" s="868" t="s">
        <v>3118</v>
      </c>
      <c r="E1604" s="837" t="str">
        <f>IFERROR(IF(_xlfn.XLOOKUP(Imput[[#This Row],[RFC]],'Alta Proveedor'!D:D,'Alta Proveedor'!E:E)=0,"",_xlfn.XLOOKUP(Imput[[#This Row],[RFC]],'Alta Proveedor'!D:D,'Alta Proveedor'!E:E)),"")</f>
        <v>Nomina-ADMON</v>
      </c>
      <c r="F1604" s="832" t="s">
        <v>4553</v>
      </c>
      <c r="G1604" s="187">
        <v>1</v>
      </c>
      <c r="H1604" s="1">
        <v>13313.6</v>
      </c>
      <c r="I1604" s="169">
        <f>Imput[[#This Row],[Cantidad]]*Imput[[#This Row],[Precio Unitario]]</f>
        <v>13313.6</v>
      </c>
      <c r="J1604" s="11">
        <f>Imput[[#This Row],[Sub total]]*0.08</f>
        <v>1065.088</v>
      </c>
      <c r="K1604" s="11">
        <v>0</v>
      </c>
      <c r="L1604" s="169">
        <f>Imput[[#This Row],[Sub total]]+Imput[[#This Row],[IVA]]-Imput[[#This Row],[Retención / IEPS / Descuento]]</f>
        <v>14378.688</v>
      </c>
      <c r="M1604" s="844">
        <v>14378.688</v>
      </c>
      <c r="N1604" s="189"/>
      <c r="O1604" s="1"/>
      <c r="P1604" s="189"/>
      <c r="Q1604" s="190"/>
      <c r="R1604" s="188">
        <v>45930</v>
      </c>
      <c r="S1604" s="193"/>
      <c r="T1604" s="192"/>
      <c r="U1604" s="829" t="s">
        <v>3225</v>
      </c>
      <c r="V1604" s="10"/>
      <c r="W1604" s="10"/>
      <c r="X1604" s="902">
        <v>26</v>
      </c>
      <c r="Y1604" s="10"/>
      <c r="Z1604" s="10"/>
      <c r="AA1604" s="11"/>
      <c r="AB1604" s="11"/>
    </row>
    <row r="1605" spans="2:28" x14ac:dyDescent="0.3">
      <c r="B1605" s="10" t="s">
        <v>389</v>
      </c>
      <c r="C1605" s="315" t="s">
        <v>1754</v>
      </c>
      <c r="D1605" s="868" t="s">
        <v>3118</v>
      </c>
      <c r="E1605" s="837" t="str">
        <f>IFERROR(IF(_xlfn.XLOOKUP(Imput[[#This Row],[RFC]],'Alta Proveedor'!D:D,'Alta Proveedor'!E:E)=0,"",_xlfn.XLOOKUP(Imput[[#This Row],[RFC]],'Alta Proveedor'!D:D,'Alta Proveedor'!E:E)),"")</f>
        <v>Nomina-ADMON</v>
      </c>
      <c r="F1605" s="832" t="s">
        <v>4554</v>
      </c>
      <c r="G1605" s="187">
        <v>1</v>
      </c>
      <c r="H1605" s="1">
        <v>9818</v>
      </c>
      <c r="I1605" s="169">
        <f>Imput[[#This Row],[Cantidad]]*Imput[[#This Row],[Precio Unitario]]</f>
        <v>9818</v>
      </c>
      <c r="J1605" s="11">
        <f>Imput[[#This Row],[Sub total]]*0.08</f>
        <v>785.44</v>
      </c>
      <c r="K1605" s="11">
        <v>0</v>
      </c>
      <c r="L1605" s="169">
        <f>Imput[[#This Row],[Sub total]]+Imput[[#This Row],[IVA]]-Imput[[#This Row],[Retención / IEPS / Descuento]]</f>
        <v>10603.44</v>
      </c>
      <c r="M1605" s="844">
        <v>10603.44</v>
      </c>
      <c r="N1605" s="189"/>
      <c r="O1605" s="1"/>
      <c r="P1605" s="189"/>
      <c r="Q1605" s="190"/>
      <c r="R1605" s="188">
        <v>45930</v>
      </c>
      <c r="S1605" s="193"/>
      <c r="T1605" s="192"/>
      <c r="U1605" s="829" t="s">
        <v>3225</v>
      </c>
      <c r="V1605" s="10"/>
      <c r="W1605" s="10"/>
      <c r="X1605" s="902">
        <v>26</v>
      </c>
      <c r="Y1605" s="10"/>
      <c r="Z1605" s="10"/>
      <c r="AA1605" s="11"/>
      <c r="AB1605" s="11"/>
    </row>
    <row r="1606" spans="2:28" x14ac:dyDescent="0.3">
      <c r="B1606" s="10" t="s">
        <v>392</v>
      </c>
      <c r="C1606" s="315"/>
      <c r="D1606" s="868" t="s">
        <v>3225</v>
      </c>
      <c r="E1606" s="837" t="str">
        <f>IFERROR(IF(_xlfn.XLOOKUP(Imput[[#This Row],[RFC]],'Alta Proveedor'!D:D,'Alta Proveedor'!E:E)=0,"",_xlfn.XLOOKUP(Imput[[#This Row],[RFC]],'Alta Proveedor'!D:D,'Alta Proveedor'!E:E)),"")</f>
        <v>GASTOS SIN FACTURA</v>
      </c>
      <c r="F1606" s="832" t="s">
        <v>4479</v>
      </c>
      <c r="G1606" s="187">
        <v>1</v>
      </c>
      <c r="H1606" s="1">
        <v>50000</v>
      </c>
      <c r="I1606" s="169">
        <f>Imput[[#This Row],[Cantidad]]*Imput[[#This Row],[Precio Unitario]]</f>
        <v>50000</v>
      </c>
      <c r="J1606" s="11">
        <f>((Imput[[#This Row],[Sub total]])*(0.08))</f>
        <v>4000</v>
      </c>
      <c r="K1606" s="11">
        <v>0</v>
      </c>
      <c r="L1606" s="169">
        <f>Imput[[#This Row],[Sub total]]+Imput[[#This Row],[IVA]]-Imput[[#This Row],[Retención / IEPS / Descuento]]</f>
        <v>54000</v>
      </c>
      <c r="M1606" s="844">
        <v>54000</v>
      </c>
      <c r="N1606" s="189"/>
      <c r="O1606" s="1"/>
      <c r="P1606" s="189"/>
      <c r="Q1606" s="190"/>
      <c r="R1606" s="188">
        <v>45933</v>
      </c>
      <c r="S1606" s="193"/>
      <c r="T1606" s="192"/>
      <c r="U1606" s="829" t="s">
        <v>3225</v>
      </c>
      <c r="V1606" s="10"/>
      <c r="W1606" s="10"/>
      <c r="X1606" s="902">
        <v>26</v>
      </c>
      <c r="Y1606" s="10"/>
      <c r="Z1606" s="10"/>
      <c r="AA1606" s="11"/>
      <c r="AB1606" s="11"/>
    </row>
    <row r="1607" spans="2:28" x14ac:dyDescent="0.3">
      <c r="B1607" s="10" t="s">
        <v>392</v>
      </c>
      <c r="C1607" s="315"/>
      <c r="D1607" s="868" t="s">
        <v>3119</v>
      </c>
      <c r="E1607" s="837" t="str">
        <f>IFERROR(IF(_xlfn.XLOOKUP(Imput[[#This Row],[RFC]],'Alta Proveedor'!D:D,'Alta Proveedor'!E:E)=0,"",_xlfn.XLOOKUP(Imput[[#This Row],[RFC]],'Alta Proveedor'!D:D,'Alta Proveedor'!E:E)),"")</f>
        <v>Nomina-OPERACIÓN</v>
      </c>
      <c r="F1607" s="832" t="s">
        <v>4480</v>
      </c>
      <c r="G1607" s="187">
        <v>1</v>
      </c>
      <c r="H1607" s="1">
        <v>1400</v>
      </c>
      <c r="I1607" s="169">
        <f>Imput[[#This Row],[Cantidad]]*Imput[[#This Row],[Precio Unitario]]</f>
        <v>1400</v>
      </c>
      <c r="J1607" s="11">
        <f>((Imput[[#This Row],[Sub total]])*(0.08))</f>
        <v>112</v>
      </c>
      <c r="K1607" s="11">
        <v>0</v>
      </c>
      <c r="L1607" s="169">
        <f>Imput[[#This Row],[Sub total]]+Imput[[#This Row],[IVA]]-Imput[[#This Row],[Retención / IEPS / Descuento]]</f>
        <v>1512</v>
      </c>
      <c r="M1607" s="844">
        <v>1512</v>
      </c>
      <c r="N1607" s="189"/>
      <c r="O1607" s="1"/>
      <c r="P1607" s="189"/>
      <c r="Q1607" s="190"/>
      <c r="R1607" s="188">
        <v>45934</v>
      </c>
      <c r="S1607" s="193"/>
      <c r="T1607" s="192"/>
      <c r="U1607" s="829" t="s">
        <v>3225</v>
      </c>
      <c r="V1607" s="10"/>
      <c r="W1607" s="10"/>
      <c r="X1607" s="902">
        <v>26</v>
      </c>
      <c r="Y1607" s="10"/>
      <c r="Z1607" s="10"/>
      <c r="AA1607" s="11"/>
      <c r="AB1607" s="11"/>
    </row>
    <row r="1608" spans="2:28" x14ac:dyDescent="0.3">
      <c r="B1608" s="10" t="s">
        <v>392</v>
      </c>
      <c r="C1608" s="315"/>
      <c r="D1608" s="868" t="s">
        <v>3119</v>
      </c>
      <c r="E1608" s="837" t="str">
        <f>IFERROR(IF(_xlfn.XLOOKUP(Imput[[#This Row],[RFC]],'Alta Proveedor'!D:D,'Alta Proveedor'!E:E)=0,"",_xlfn.XLOOKUP(Imput[[#This Row],[RFC]],'Alta Proveedor'!D:D,'Alta Proveedor'!E:E)),"")</f>
        <v>Nomina-OPERACIÓN</v>
      </c>
      <c r="F1608" s="832" t="s">
        <v>4481</v>
      </c>
      <c r="G1608" s="187">
        <v>1</v>
      </c>
      <c r="H1608" s="1">
        <v>720</v>
      </c>
      <c r="I1608" s="169">
        <f>Imput[[#This Row],[Cantidad]]*Imput[[#This Row],[Precio Unitario]]</f>
        <v>720</v>
      </c>
      <c r="J1608" s="11">
        <f>((Imput[[#This Row],[Sub total]])*(0.08))</f>
        <v>57.6</v>
      </c>
      <c r="K1608" s="11">
        <v>0</v>
      </c>
      <c r="L1608" s="169">
        <f>Imput[[#This Row],[Sub total]]+Imput[[#This Row],[IVA]]-Imput[[#This Row],[Retención / IEPS / Descuento]]</f>
        <v>777.6</v>
      </c>
      <c r="M1608" s="844">
        <v>777.6</v>
      </c>
      <c r="N1608" s="189"/>
      <c r="O1608" s="1"/>
      <c r="P1608" s="189"/>
      <c r="Q1608" s="190"/>
      <c r="R1608" s="188">
        <v>45934</v>
      </c>
      <c r="S1608" s="193"/>
      <c r="T1608" s="192"/>
      <c r="U1608" s="829" t="s">
        <v>3225</v>
      </c>
      <c r="V1608" s="10"/>
      <c r="W1608" s="10"/>
      <c r="X1608" s="902">
        <v>26</v>
      </c>
      <c r="Y1608" s="10"/>
      <c r="Z1608" s="10"/>
      <c r="AA1608" s="11"/>
      <c r="AB1608" s="11"/>
    </row>
    <row r="1609" spans="2:28" x14ac:dyDescent="0.3">
      <c r="B1609" s="10" t="s">
        <v>392</v>
      </c>
      <c r="C1609" s="315"/>
      <c r="D1609" s="868" t="s">
        <v>3119</v>
      </c>
      <c r="E1609" s="837" t="str">
        <f>IFERROR(IF(_xlfn.XLOOKUP(Imput[[#This Row],[RFC]],'Alta Proveedor'!D:D,'Alta Proveedor'!E:E)=0,"",_xlfn.XLOOKUP(Imput[[#This Row],[RFC]],'Alta Proveedor'!D:D,'Alta Proveedor'!E:E)),"")</f>
        <v>Nomina-OPERACIÓN</v>
      </c>
      <c r="F1609" s="832" t="s">
        <v>4473</v>
      </c>
      <c r="G1609" s="187">
        <v>1</v>
      </c>
      <c r="H1609" s="1">
        <v>2000</v>
      </c>
      <c r="I1609" s="169">
        <f>Imput[[#This Row],[Cantidad]]*Imput[[#This Row],[Precio Unitario]]</f>
        <v>2000</v>
      </c>
      <c r="J1609" s="11">
        <f>((Imput[[#This Row],[Sub total]])*(0.08))</f>
        <v>160</v>
      </c>
      <c r="K1609" s="11">
        <v>0</v>
      </c>
      <c r="L1609" s="169">
        <f>Imput[[#This Row],[Sub total]]+Imput[[#This Row],[IVA]]-Imput[[#This Row],[Retención / IEPS / Descuento]]</f>
        <v>2160</v>
      </c>
      <c r="M1609" s="844">
        <v>2160</v>
      </c>
      <c r="N1609" s="189"/>
      <c r="O1609" s="1"/>
      <c r="P1609" s="189"/>
      <c r="Q1609" s="190"/>
      <c r="R1609" s="188">
        <v>45934</v>
      </c>
      <c r="S1609" s="193"/>
      <c r="T1609" s="192"/>
      <c r="U1609" s="829" t="s">
        <v>3225</v>
      </c>
      <c r="V1609" s="10"/>
      <c r="W1609" s="10"/>
      <c r="X1609" s="902">
        <v>26</v>
      </c>
      <c r="Y1609" s="10"/>
      <c r="Z1609" s="10"/>
      <c r="AA1609" s="11"/>
      <c r="AB1609" s="11"/>
    </row>
    <row r="1610" spans="2:28" x14ac:dyDescent="0.3">
      <c r="B1610" s="10" t="s">
        <v>392</v>
      </c>
      <c r="C1610" s="315"/>
      <c r="D1610" s="868" t="s">
        <v>3119</v>
      </c>
      <c r="E1610" s="837" t="str">
        <f>IFERROR(IF(_xlfn.XLOOKUP(Imput[[#This Row],[RFC]],'Alta Proveedor'!D:D,'Alta Proveedor'!E:E)=0,"",_xlfn.XLOOKUP(Imput[[#This Row],[RFC]],'Alta Proveedor'!D:D,'Alta Proveedor'!E:E)),"")</f>
        <v>Nomina-OPERACIÓN</v>
      </c>
      <c r="F1610" s="832" t="s">
        <v>4470</v>
      </c>
      <c r="G1610" s="187">
        <v>1</v>
      </c>
      <c r="H1610" s="1">
        <v>4500</v>
      </c>
      <c r="I1610" s="169">
        <f>Imput[[#This Row],[Cantidad]]*Imput[[#This Row],[Precio Unitario]]</f>
        <v>4500</v>
      </c>
      <c r="J1610" s="11">
        <f>((Imput[[#This Row],[Sub total]])*(0.08))</f>
        <v>360</v>
      </c>
      <c r="K1610" s="11">
        <v>0</v>
      </c>
      <c r="L1610" s="169">
        <f>Imput[[#This Row],[Sub total]]+Imput[[#This Row],[IVA]]-Imput[[#This Row],[Retención / IEPS / Descuento]]</f>
        <v>4860</v>
      </c>
      <c r="M1610" s="844">
        <v>4860</v>
      </c>
      <c r="N1610" s="189"/>
      <c r="O1610" s="1"/>
      <c r="P1610" s="189"/>
      <c r="Q1610" s="190"/>
      <c r="R1610" s="188">
        <v>45934</v>
      </c>
      <c r="S1610" s="193"/>
      <c r="T1610" s="192"/>
      <c r="U1610" s="829" t="s">
        <v>3225</v>
      </c>
      <c r="V1610" s="10"/>
      <c r="W1610" s="10"/>
      <c r="X1610" s="902">
        <v>26</v>
      </c>
      <c r="Y1610" s="10"/>
      <c r="Z1610" s="10"/>
      <c r="AA1610" s="11"/>
      <c r="AB1610" s="11"/>
    </row>
    <row r="1611" spans="2:28" x14ac:dyDescent="0.3">
      <c r="B1611" s="10" t="s">
        <v>392</v>
      </c>
      <c r="C1611" s="315"/>
      <c r="D1611" s="868" t="s">
        <v>3119</v>
      </c>
      <c r="E1611" s="837" t="str">
        <f>IFERROR(IF(_xlfn.XLOOKUP(Imput[[#This Row],[RFC]],'Alta Proveedor'!D:D,'Alta Proveedor'!E:E)=0,"",_xlfn.XLOOKUP(Imput[[#This Row],[RFC]],'Alta Proveedor'!D:D,'Alta Proveedor'!E:E)),"")</f>
        <v>Nomina-OPERACIÓN</v>
      </c>
      <c r="F1611" s="832" t="s">
        <v>4475</v>
      </c>
      <c r="G1611" s="187">
        <v>1</v>
      </c>
      <c r="H1611" s="1">
        <v>3100</v>
      </c>
      <c r="I1611" s="169">
        <f>Imput[[#This Row],[Cantidad]]*Imput[[#This Row],[Precio Unitario]]</f>
        <v>3100</v>
      </c>
      <c r="J1611" s="11">
        <f>((Imput[[#This Row],[Sub total]])*(0.08))</f>
        <v>248</v>
      </c>
      <c r="K1611" s="11">
        <v>0</v>
      </c>
      <c r="L1611" s="169">
        <f>Imput[[#This Row],[Sub total]]+Imput[[#This Row],[IVA]]-Imput[[#This Row],[Retención / IEPS / Descuento]]</f>
        <v>3348</v>
      </c>
      <c r="M1611" s="844">
        <v>3348</v>
      </c>
      <c r="N1611" s="189"/>
      <c r="O1611" s="1"/>
      <c r="P1611" s="189"/>
      <c r="Q1611" s="190"/>
      <c r="R1611" s="188">
        <v>45934</v>
      </c>
      <c r="S1611" s="193"/>
      <c r="T1611" s="192"/>
      <c r="U1611" s="829" t="s">
        <v>3225</v>
      </c>
      <c r="V1611" s="10"/>
      <c r="W1611" s="10"/>
      <c r="X1611" s="902">
        <v>26</v>
      </c>
      <c r="Y1611" s="10"/>
      <c r="Z1611" s="10"/>
      <c r="AA1611" s="11"/>
      <c r="AB1611" s="11"/>
    </row>
    <row r="1612" spans="2:28" x14ac:dyDescent="0.3">
      <c r="B1612" s="10" t="s">
        <v>392</v>
      </c>
      <c r="C1612" s="315"/>
      <c r="D1612" s="868" t="s">
        <v>3119</v>
      </c>
      <c r="E1612" s="837" t="str">
        <f>IFERROR(IF(_xlfn.XLOOKUP(Imput[[#This Row],[RFC]],'Alta Proveedor'!D:D,'Alta Proveedor'!E:E)=0,"",_xlfn.XLOOKUP(Imput[[#This Row],[RFC]],'Alta Proveedor'!D:D,'Alta Proveedor'!E:E)),"")</f>
        <v>Nomina-OPERACIÓN</v>
      </c>
      <c r="F1612" s="832" t="s">
        <v>4471</v>
      </c>
      <c r="G1612" s="187">
        <v>1</v>
      </c>
      <c r="H1612" s="1">
        <v>2000</v>
      </c>
      <c r="I1612" s="169">
        <f>Imput[[#This Row],[Cantidad]]*Imput[[#This Row],[Precio Unitario]]</f>
        <v>2000</v>
      </c>
      <c r="J1612" s="11">
        <f>((Imput[[#This Row],[Sub total]])*(0.08))</f>
        <v>160</v>
      </c>
      <c r="K1612" s="11">
        <v>0</v>
      </c>
      <c r="L1612" s="169">
        <f>Imput[[#This Row],[Sub total]]+Imput[[#This Row],[IVA]]-Imput[[#This Row],[Retención / IEPS / Descuento]]</f>
        <v>2160</v>
      </c>
      <c r="M1612" s="844">
        <v>2160</v>
      </c>
      <c r="N1612" s="189"/>
      <c r="O1612" s="1"/>
      <c r="P1612" s="189"/>
      <c r="Q1612" s="190"/>
      <c r="R1612" s="188">
        <v>45934</v>
      </c>
      <c r="S1612" s="193"/>
      <c r="T1612" s="192"/>
      <c r="U1612" s="829" t="s">
        <v>3225</v>
      </c>
      <c r="V1612" s="10"/>
      <c r="W1612" s="10"/>
      <c r="X1612" s="902">
        <v>26</v>
      </c>
      <c r="Y1612" s="10" t="s">
        <v>4530</v>
      </c>
      <c r="Z1612" s="10"/>
      <c r="AA1612" s="11"/>
      <c r="AB1612" s="11"/>
    </row>
    <row r="1613" spans="2:28" x14ac:dyDescent="0.3">
      <c r="B1613" s="10" t="s">
        <v>392</v>
      </c>
      <c r="C1613" s="315"/>
      <c r="D1613" s="868" t="s">
        <v>3119</v>
      </c>
      <c r="E1613" s="837" t="str">
        <f>IFERROR(IF(_xlfn.XLOOKUP(Imput[[#This Row],[RFC]],'Alta Proveedor'!D:D,'Alta Proveedor'!E:E)=0,"",_xlfn.XLOOKUP(Imput[[#This Row],[RFC]],'Alta Proveedor'!D:D,'Alta Proveedor'!E:E)),"")</f>
        <v>Nomina-OPERACIÓN</v>
      </c>
      <c r="F1613" s="832" t="s">
        <v>4463</v>
      </c>
      <c r="G1613" s="187">
        <v>1</v>
      </c>
      <c r="H1613" s="1">
        <v>700</v>
      </c>
      <c r="I1613" s="169">
        <f>Imput[[#This Row],[Cantidad]]*Imput[[#This Row],[Precio Unitario]]</f>
        <v>700</v>
      </c>
      <c r="J1613" s="11">
        <f>((Imput[[#This Row],[Sub total]])*(0.08))</f>
        <v>56</v>
      </c>
      <c r="K1613" s="11">
        <v>0</v>
      </c>
      <c r="L1613" s="169">
        <f>Imput[[#This Row],[Sub total]]+Imput[[#This Row],[IVA]]-Imput[[#This Row],[Retención / IEPS / Descuento]]</f>
        <v>756</v>
      </c>
      <c r="M1613" s="844">
        <v>756</v>
      </c>
      <c r="N1613" s="189"/>
      <c r="O1613" s="1"/>
      <c r="P1613" s="189"/>
      <c r="Q1613" s="190"/>
      <c r="R1613" s="188">
        <v>45934</v>
      </c>
      <c r="S1613" s="193"/>
      <c r="T1613" s="192"/>
      <c r="U1613" s="829" t="s">
        <v>3225</v>
      </c>
      <c r="V1613" s="10"/>
      <c r="W1613" s="10"/>
      <c r="X1613" s="902">
        <v>26</v>
      </c>
      <c r="Y1613" s="10"/>
      <c r="Z1613" s="10"/>
      <c r="AA1613" s="11"/>
      <c r="AB1613" s="11"/>
    </row>
    <row r="1614" spans="2:28" x14ac:dyDescent="0.3">
      <c r="B1614" s="10" t="s">
        <v>392</v>
      </c>
      <c r="C1614" s="315"/>
      <c r="D1614" s="868" t="s">
        <v>3119</v>
      </c>
      <c r="E1614" s="837" t="str">
        <f>IFERROR(IF(_xlfn.XLOOKUP(Imput[[#This Row],[RFC]],'Alta Proveedor'!D:D,'Alta Proveedor'!E:E)=0,"",_xlfn.XLOOKUP(Imput[[#This Row],[RFC]],'Alta Proveedor'!D:D,'Alta Proveedor'!E:E)),"")</f>
        <v>Nomina-OPERACIÓN</v>
      </c>
      <c r="F1614" s="832" t="s">
        <v>3347</v>
      </c>
      <c r="G1614" s="187">
        <v>1</v>
      </c>
      <c r="H1614" s="1">
        <v>4000</v>
      </c>
      <c r="I1614" s="169">
        <f>Imput[[#This Row],[Cantidad]]*Imput[[#This Row],[Precio Unitario]]</f>
        <v>4000</v>
      </c>
      <c r="J1614" s="11">
        <f>((Imput[[#This Row],[Sub total]])*(0.08))</f>
        <v>320</v>
      </c>
      <c r="K1614" s="11">
        <v>0</v>
      </c>
      <c r="L1614" s="169">
        <f>Imput[[#This Row],[Sub total]]+Imput[[#This Row],[IVA]]-Imput[[#This Row],[Retención / IEPS / Descuento]]</f>
        <v>4320</v>
      </c>
      <c r="M1614" s="844">
        <v>4320</v>
      </c>
      <c r="N1614" s="189"/>
      <c r="O1614" s="1"/>
      <c r="P1614" s="189"/>
      <c r="Q1614" s="190"/>
      <c r="R1614" s="188">
        <v>45934</v>
      </c>
      <c r="S1614" s="193"/>
      <c r="T1614" s="192"/>
      <c r="U1614" s="829" t="s">
        <v>3225</v>
      </c>
      <c r="V1614" s="10"/>
      <c r="W1614" s="10"/>
      <c r="X1614" s="902">
        <v>26</v>
      </c>
      <c r="Y1614" s="10"/>
      <c r="Z1614" s="10"/>
      <c r="AA1614" s="11"/>
      <c r="AB1614" s="11"/>
    </row>
    <row r="1615" spans="2:28" x14ac:dyDescent="0.3">
      <c r="B1615" s="10" t="s">
        <v>392</v>
      </c>
      <c r="C1615" s="315"/>
      <c r="D1615" s="868" t="s">
        <v>3119</v>
      </c>
      <c r="E1615" s="837" t="str">
        <f>IFERROR(IF(_xlfn.XLOOKUP(Imput[[#This Row],[RFC]],'Alta Proveedor'!D:D,'Alta Proveedor'!E:E)=0,"",_xlfn.XLOOKUP(Imput[[#This Row],[RFC]],'Alta Proveedor'!D:D,'Alta Proveedor'!E:E)),"")</f>
        <v>Nomina-OPERACIÓN</v>
      </c>
      <c r="F1615" s="832" t="s">
        <v>3166</v>
      </c>
      <c r="G1615" s="187">
        <v>1</v>
      </c>
      <c r="H1615" s="1">
        <v>3700</v>
      </c>
      <c r="I1615" s="169">
        <f>Imput[[#This Row],[Cantidad]]*Imput[[#This Row],[Precio Unitario]]</f>
        <v>3700</v>
      </c>
      <c r="J1615" s="11">
        <f>((Imput[[#This Row],[Sub total]])*(0.08))</f>
        <v>296</v>
      </c>
      <c r="K1615" s="11">
        <v>0</v>
      </c>
      <c r="L1615" s="169">
        <f>Imput[[#This Row],[Sub total]]+Imput[[#This Row],[IVA]]-Imput[[#This Row],[Retención / IEPS / Descuento]]</f>
        <v>3996</v>
      </c>
      <c r="M1615" s="844">
        <v>3996</v>
      </c>
      <c r="N1615" s="189"/>
      <c r="O1615" s="1"/>
      <c r="P1615" s="189"/>
      <c r="Q1615" s="190"/>
      <c r="R1615" s="188">
        <v>45934</v>
      </c>
      <c r="S1615" s="193"/>
      <c r="T1615" s="192"/>
      <c r="U1615" s="829" t="s">
        <v>3225</v>
      </c>
      <c r="V1615" s="10"/>
      <c r="W1615" s="10"/>
      <c r="X1615" s="902">
        <v>26</v>
      </c>
      <c r="Y1615" s="10"/>
      <c r="Z1615" s="10"/>
      <c r="AA1615" s="11"/>
      <c r="AB1615" s="11"/>
    </row>
    <row r="1616" spans="2:28" x14ac:dyDescent="0.3">
      <c r="B1616" s="10" t="s">
        <v>392</v>
      </c>
      <c r="C1616" s="315"/>
      <c r="D1616" s="868" t="s">
        <v>3225</v>
      </c>
      <c r="E1616" s="837" t="str">
        <f>IFERROR(IF(_xlfn.XLOOKUP(Imput[[#This Row],[RFC]],'Alta Proveedor'!D:D,'Alta Proveedor'!E:E)=0,"",_xlfn.XLOOKUP(Imput[[#This Row],[RFC]],'Alta Proveedor'!D:D,'Alta Proveedor'!E:E)),"")</f>
        <v>GASTOS SIN FACTURA</v>
      </c>
      <c r="F1616" s="832" t="s">
        <v>4482</v>
      </c>
      <c r="G1616" s="187">
        <v>1</v>
      </c>
      <c r="H1616" s="1">
        <v>30000</v>
      </c>
      <c r="I1616" s="169">
        <f>Imput[[#This Row],[Cantidad]]*Imput[[#This Row],[Precio Unitario]]</f>
        <v>30000</v>
      </c>
      <c r="J1616" s="11">
        <f>((Imput[[#This Row],[Sub total]])*(0.08))</f>
        <v>2400</v>
      </c>
      <c r="K1616" s="11">
        <v>0</v>
      </c>
      <c r="L1616" s="169">
        <f>Imput[[#This Row],[Sub total]]+Imput[[#This Row],[IVA]]-Imput[[#This Row],[Retención / IEPS / Descuento]]</f>
        <v>32400</v>
      </c>
      <c r="M1616" s="844">
        <v>32400</v>
      </c>
      <c r="N1616" s="189"/>
      <c r="O1616" s="1"/>
      <c r="P1616" s="189"/>
      <c r="Q1616" s="190"/>
      <c r="R1616" s="188">
        <v>45934</v>
      </c>
      <c r="S1616" s="193"/>
      <c r="T1616" s="192"/>
      <c r="U1616" s="829" t="s">
        <v>3225</v>
      </c>
      <c r="V1616" s="10"/>
      <c r="W1616" s="10"/>
      <c r="X1616" s="902">
        <v>26</v>
      </c>
      <c r="Y1616" s="10" t="s">
        <v>3804</v>
      </c>
      <c r="Z1616" s="10"/>
      <c r="AA1616" s="11"/>
      <c r="AB1616" s="11"/>
    </row>
    <row r="1617" spans="2:28" x14ac:dyDescent="0.3">
      <c r="B1617" s="10" t="s">
        <v>392</v>
      </c>
      <c r="C1617" s="315"/>
      <c r="D1617" s="868" t="s">
        <v>3225</v>
      </c>
      <c r="E1617" s="837" t="str">
        <f>IFERROR(IF(_xlfn.XLOOKUP(Imput[[#This Row],[RFC]],'Alta Proveedor'!D:D,'Alta Proveedor'!E:E)=0,"",_xlfn.XLOOKUP(Imput[[#This Row],[RFC]],'Alta Proveedor'!D:D,'Alta Proveedor'!E:E)),"")</f>
        <v>GASTOS SIN FACTURA</v>
      </c>
      <c r="F1617" s="832" t="s">
        <v>4483</v>
      </c>
      <c r="G1617" s="187">
        <v>1</v>
      </c>
      <c r="H1617" s="1">
        <v>10000</v>
      </c>
      <c r="I1617" s="169">
        <f>Imput[[#This Row],[Cantidad]]*Imput[[#This Row],[Precio Unitario]]</f>
        <v>10000</v>
      </c>
      <c r="J1617" s="11">
        <f>((Imput[[#This Row],[Sub total]])*(0.08))</f>
        <v>800</v>
      </c>
      <c r="K1617" s="11">
        <v>0</v>
      </c>
      <c r="L1617" s="169">
        <f>Imput[[#This Row],[Sub total]]+Imput[[#This Row],[IVA]]-Imput[[#This Row],[Retención / IEPS / Descuento]]</f>
        <v>10800</v>
      </c>
      <c r="M1617" s="844">
        <v>10800</v>
      </c>
      <c r="N1617" s="189"/>
      <c r="O1617" s="1"/>
      <c r="P1617" s="189"/>
      <c r="Q1617" s="190"/>
      <c r="R1617" s="188">
        <v>45934</v>
      </c>
      <c r="S1617" s="193"/>
      <c r="T1617" s="192"/>
      <c r="U1617" s="829" t="s">
        <v>3225</v>
      </c>
      <c r="V1617" s="10"/>
      <c r="W1617" s="10"/>
      <c r="X1617" s="902">
        <v>26</v>
      </c>
      <c r="Y1617" s="10"/>
      <c r="Z1617" s="10"/>
      <c r="AA1617" s="11"/>
      <c r="AB1617" s="11"/>
    </row>
    <row r="1618" spans="2:28" x14ac:dyDescent="0.3">
      <c r="B1618" s="10" t="s">
        <v>392</v>
      </c>
      <c r="C1618" s="315"/>
      <c r="D1618" s="868" t="s">
        <v>3225</v>
      </c>
      <c r="E1618" s="837" t="str">
        <f>IFERROR(IF(_xlfn.XLOOKUP(Imput[[#This Row],[RFC]],'Alta Proveedor'!D:D,'Alta Proveedor'!E:E)=0,"",_xlfn.XLOOKUP(Imput[[#This Row],[RFC]],'Alta Proveedor'!D:D,'Alta Proveedor'!E:E)),"")</f>
        <v>GASTOS SIN FACTURA</v>
      </c>
      <c r="F1618" s="832" t="s">
        <v>4484</v>
      </c>
      <c r="G1618" s="187">
        <v>1</v>
      </c>
      <c r="H1618" s="1">
        <v>8300</v>
      </c>
      <c r="I1618" s="169">
        <f>Imput[[#This Row],[Cantidad]]*Imput[[#This Row],[Precio Unitario]]</f>
        <v>8300</v>
      </c>
      <c r="J1618" s="11">
        <f>((Imput[[#This Row],[Sub total]])*(0.08))</f>
        <v>664</v>
      </c>
      <c r="K1618" s="11">
        <v>0</v>
      </c>
      <c r="L1618" s="169">
        <f>Imput[[#This Row],[Sub total]]+Imput[[#This Row],[IVA]]-Imput[[#This Row],[Retención / IEPS / Descuento]]</f>
        <v>8964</v>
      </c>
      <c r="M1618" s="844">
        <v>8964</v>
      </c>
      <c r="N1618" s="189"/>
      <c r="O1618" s="1"/>
      <c r="P1618" s="189"/>
      <c r="Q1618" s="190"/>
      <c r="R1618" s="188">
        <v>45937</v>
      </c>
      <c r="S1618" s="193"/>
      <c r="T1618" s="192"/>
      <c r="U1618" s="829" t="s">
        <v>3225</v>
      </c>
      <c r="V1618" s="10"/>
      <c r="W1618" s="10"/>
      <c r="X1618" s="902">
        <v>26</v>
      </c>
      <c r="Y1618" s="10" t="s">
        <v>4527</v>
      </c>
      <c r="Z1618" s="10"/>
      <c r="AA1618" s="11"/>
      <c r="AB1618" s="11"/>
    </row>
    <row r="1619" spans="2:28" x14ac:dyDescent="0.3">
      <c r="B1619" s="10" t="s">
        <v>392</v>
      </c>
      <c r="C1619" s="315"/>
      <c r="D1619" s="868" t="s">
        <v>3225</v>
      </c>
      <c r="E1619" s="837" t="str">
        <f>IFERROR(IF(_xlfn.XLOOKUP(Imput[[#This Row],[RFC]],'Alta Proveedor'!D:D,'Alta Proveedor'!E:E)=0,"",_xlfn.XLOOKUP(Imput[[#This Row],[RFC]],'Alta Proveedor'!D:D,'Alta Proveedor'!E:E)),"")</f>
        <v>GASTOS SIN FACTURA</v>
      </c>
      <c r="F1619" s="832" t="s">
        <v>4485</v>
      </c>
      <c r="G1619" s="187">
        <v>1</v>
      </c>
      <c r="H1619" s="1">
        <v>9000</v>
      </c>
      <c r="I1619" s="169">
        <f>Imput[[#This Row],[Cantidad]]*Imput[[#This Row],[Precio Unitario]]</f>
        <v>9000</v>
      </c>
      <c r="J1619" s="11">
        <f>((Imput[[#This Row],[Sub total]])*(0.08))</f>
        <v>720</v>
      </c>
      <c r="K1619" s="11">
        <v>0</v>
      </c>
      <c r="L1619" s="169">
        <f>Imput[[#This Row],[Sub total]]+Imput[[#This Row],[IVA]]-Imput[[#This Row],[Retención / IEPS / Descuento]]</f>
        <v>9720</v>
      </c>
      <c r="M1619" s="844">
        <v>9720</v>
      </c>
      <c r="N1619" s="189"/>
      <c r="O1619" s="1"/>
      <c r="P1619" s="189"/>
      <c r="Q1619" s="190"/>
      <c r="R1619" s="188">
        <v>45937</v>
      </c>
      <c r="S1619" s="193"/>
      <c r="T1619" s="192"/>
      <c r="U1619" s="829" t="s">
        <v>3225</v>
      </c>
      <c r="V1619" s="10"/>
      <c r="W1619" s="10"/>
      <c r="X1619" s="902">
        <v>26</v>
      </c>
      <c r="Y1619" s="10"/>
      <c r="Z1619" s="10"/>
      <c r="AA1619" s="11"/>
      <c r="AB1619" s="11"/>
    </row>
    <row r="1620" spans="2:28" x14ac:dyDescent="0.3">
      <c r="B1620" s="10" t="s">
        <v>392</v>
      </c>
      <c r="C1620" s="315"/>
      <c r="D1620" s="868" t="s">
        <v>3119</v>
      </c>
      <c r="E1620" s="837" t="str">
        <f>IFERROR(IF(_xlfn.XLOOKUP(Imput[[#This Row],[RFC]],'Alta Proveedor'!D:D,'Alta Proveedor'!E:E)=0,"",_xlfn.XLOOKUP(Imput[[#This Row],[RFC]],'Alta Proveedor'!D:D,'Alta Proveedor'!E:E)),"")</f>
        <v>Nomina-OPERACIÓN</v>
      </c>
      <c r="F1620" s="832" t="s">
        <v>4486</v>
      </c>
      <c r="G1620" s="187">
        <v>1</v>
      </c>
      <c r="H1620" s="1">
        <v>6000</v>
      </c>
      <c r="I1620" s="169">
        <f>Imput[[#This Row],[Cantidad]]*Imput[[#This Row],[Precio Unitario]]</f>
        <v>6000</v>
      </c>
      <c r="J1620" s="11">
        <f>((Imput[[#This Row],[Sub total]])*(0.08))</f>
        <v>480</v>
      </c>
      <c r="K1620" s="11">
        <v>0</v>
      </c>
      <c r="L1620" s="169">
        <f>Imput[[#This Row],[Sub total]]+Imput[[#This Row],[IVA]]-Imput[[#This Row],[Retención / IEPS / Descuento]]</f>
        <v>6480</v>
      </c>
      <c r="M1620" s="844">
        <v>6480</v>
      </c>
      <c r="N1620" s="189"/>
      <c r="O1620" s="1"/>
      <c r="P1620" s="189"/>
      <c r="Q1620" s="190"/>
      <c r="R1620" s="188">
        <v>45941</v>
      </c>
      <c r="S1620" s="193"/>
      <c r="T1620" s="192"/>
      <c r="U1620" s="829" t="s">
        <v>3225</v>
      </c>
      <c r="V1620" s="10"/>
      <c r="W1620" s="10"/>
      <c r="X1620" s="902">
        <v>26</v>
      </c>
      <c r="Y1620" s="10"/>
      <c r="Z1620" s="10"/>
      <c r="AA1620" s="11"/>
      <c r="AB1620" s="11"/>
    </row>
    <row r="1621" spans="2:28" x14ac:dyDescent="0.3">
      <c r="B1621" s="10" t="s">
        <v>392</v>
      </c>
      <c r="C1621" s="315"/>
      <c r="D1621" s="868" t="s">
        <v>3119</v>
      </c>
      <c r="E1621" s="837" t="str">
        <f>IFERROR(IF(_xlfn.XLOOKUP(Imput[[#This Row],[RFC]],'Alta Proveedor'!D:D,'Alta Proveedor'!E:E)=0,"",_xlfn.XLOOKUP(Imput[[#This Row],[RFC]],'Alta Proveedor'!D:D,'Alta Proveedor'!E:E)),"")</f>
        <v>Nomina-OPERACIÓN</v>
      </c>
      <c r="F1621" s="832" t="s">
        <v>4470</v>
      </c>
      <c r="G1621" s="187">
        <v>1</v>
      </c>
      <c r="H1621" s="1">
        <v>5180</v>
      </c>
      <c r="I1621" s="169">
        <f>Imput[[#This Row],[Cantidad]]*Imput[[#This Row],[Precio Unitario]]</f>
        <v>5180</v>
      </c>
      <c r="J1621" s="11">
        <f>((Imput[[#This Row],[Sub total]])*(0.08))</f>
        <v>414.40000000000003</v>
      </c>
      <c r="K1621" s="11">
        <v>0</v>
      </c>
      <c r="L1621" s="169">
        <f>Imput[[#This Row],[Sub total]]+Imput[[#This Row],[IVA]]-Imput[[#This Row],[Retención / IEPS / Descuento]]</f>
        <v>5594.4</v>
      </c>
      <c r="M1621" s="844">
        <v>5594.4</v>
      </c>
      <c r="N1621" s="189"/>
      <c r="O1621" s="1"/>
      <c r="P1621" s="189"/>
      <c r="Q1621" s="190"/>
      <c r="R1621" s="188">
        <v>45941</v>
      </c>
      <c r="S1621" s="193"/>
      <c r="T1621" s="192"/>
      <c r="U1621" s="829" t="s">
        <v>3225</v>
      </c>
      <c r="V1621" s="10"/>
      <c r="W1621" s="10"/>
      <c r="X1621" s="902">
        <v>26</v>
      </c>
      <c r="Y1621" s="10"/>
      <c r="Z1621" s="10"/>
      <c r="AA1621" s="11"/>
      <c r="AB1621" s="11"/>
    </row>
    <row r="1622" spans="2:28" x14ac:dyDescent="0.3">
      <c r="B1622" s="10" t="s">
        <v>392</v>
      </c>
      <c r="C1622" s="315"/>
      <c r="D1622" s="868" t="s">
        <v>3119</v>
      </c>
      <c r="E1622" s="837" t="str">
        <f>IFERROR(IF(_xlfn.XLOOKUP(Imput[[#This Row],[RFC]],'Alta Proveedor'!D:D,'Alta Proveedor'!E:E)=0,"",_xlfn.XLOOKUP(Imput[[#This Row],[RFC]],'Alta Proveedor'!D:D,'Alta Proveedor'!E:E)),"")</f>
        <v>Nomina-OPERACIÓN</v>
      </c>
      <c r="F1622" s="832" t="s">
        <v>3166</v>
      </c>
      <c r="G1622" s="187">
        <v>1</v>
      </c>
      <c r="H1622" s="1">
        <v>6380</v>
      </c>
      <c r="I1622" s="169">
        <f>Imput[[#This Row],[Cantidad]]*Imput[[#This Row],[Precio Unitario]]</f>
        <v>6380</v>
      </c>
      <c r="J1622" s="11">
        <f>((Imput[[#This Row],[Sub total]])*(0.08))</f>
        <v>510.40000000000003</v>
      </c>
      <c r="K1622" s="11">
        <v>0</v>
      </c>
      <c r="L1622" s="169">
        <f>Imput[[#This Row],[Sub total]]+Imput[[#This Row],[IVA]]-Imput[[#This Row],[Retención / IEPS / Descuento]]</f>
        <v>6890.4</v>
      </c>
      <c r="M1622" s="844">
        <v>6890.4</v>
      </c>
      <c r="N1622" s="189"/>
      <c r="O1622" s="1"/>
      <c r="P1622" s="189"/>
      <c r="Q1622" s="190"/>
      <c r="R1622" s="188">
        <v>45941</v>
      </c>
      <c r="S1622" s="193"/>
      <c r="T1622" s="192"/>
      <c r="U1622" s="829" t="s">
        <v>3225</v>
      </c>
      <c r="V1622" s="10"/>
      <c r="W1622" s="10"/>
      <c r="X1622" s="902">
        <v>26</v>
      </c>
      <c r="Y1622" s="10"/>
      <c r="Z1622" s="10"/>
      <c r="AA1622" s="11"/>
      <c r="AB1622" s="11"/>
    </row>
    <row r="1623" spans="2:28" x14ac:dyDescent="0.3">
      <c r="B1623" s="10" t="s">
        <v>392</v>
      </c>
      <c r="C1623" s="315"/>
      <c r="D1623" s="868" t="s">
        <v>3119</v>
      </c>
      <c r="E1623" s="837" t="str">
        <f>IFERROR(IF(_xlfn.XLOOKUP(Imput[[#This Row],[RFC]],'Alta Proveedor'!D:D,'Alta Proveedor'!E:E)=0,"",_xlfn.XLOOKUP(Imput[[#This Row],[RFC]],'Alta Proveedor'!D:D,'Alta Proveedor'!E:E)),"")</f>
        <v>Nomina-OPERACIÓN</v>
      </c>
      <c r="F1623" s="832" t="s">
        <v>4475</v>
      </c>
      <c r="G1623" s="187">
        <v>1</v>
      </c>
      <c r="H1623" s="1">
        <v>2800</v>
      </c>
      <c r="I1623" s="169">
        <f>Imput[[#This Row],[Cantidad]]*Imput[[#This Row],[Precio Unitario]]</f>
        <v>2800</v>
      </c>
      <c r="J1623" s="11">
        <f>((Imput[[#This Row],[Sub total]])*(0.08))</f>
        <v>224</v>
      </c>
      <c r="K1623" s="11">
        <v>0</v>
      </c>
      <c r="L1623" s="169">
        <f>Imput[[#This Row],[Sub total]]+Imput[[#This Row],[IVA]]-Imput[[#This Row],[Retención / IEPS / Descuento]]</f>
        <v>3024</v>
      </c>
      <c r="M1623" s="844">
        <v>3024</v>
      </c>
      <c r="N1623" s="189"/>
      <c r="O1623" s="1"/>
      <c r="P1623" s="189"/>
      <c r="Q1623" s="190"/>
      <c r="R1623" s="188">
        <v>45941</v>
      </c>
      <c r="S1623" s="193"/>
      <c r="T1623" s="192"/>
      <c r="U1623" s="829" t="s">
        <v>3225</v>
      </c>
      <c r="V1623" s="10"/>
      <c r="W1623" s="10"/>
      <c r="X1623" s="902">
        <v>26</v>
      </c>
      <c r="Y1623" s="10"/>
      <c r="Z1623" s="10"/>
      <c r="AA1623" s="11"/>
      <c r="AB1623" s="11"/>
    </row>
    <row r="1624" spans="2:28" x14ac:dyDescent="0.3">
      <c r="B1624" s="10" t="s">
        <v>392</v>
      </c>
      <c r="C1624" s="315"/>
      <c r="D1624" s="868" t="s">
        <v>3119</v>
      </c>
      <c r="E1624" s="837" t="str">
        <f>IFERROR(IF(_xlfn.XLOOKUP(Imput[[#This Row],[RFC]],'Alta Proveedor'!D:D,'Alta Proveedor'!E:E)=0,"",_xlfn.XLOOKUP(Imput[[#This Row],[RFC]],'Alta Proveedor'!D:D,'Alta Proveedor'!E:E)),"")</f>
        <v>Nomina-OPERACIÓN</v>
      </c>
      <c r="F1624" s="832" t="s">
        <v>4462</v>
      </c>
      <c r="G1624" s="187">
        <v>1</v>
      </c>
      <c r="H1624" s="1">
        <v>2800</v>
      </c>
      <c r="I1624" s="169">
        <f>Imput[[#This Row],[Cantidad]]*Imput[[#This Row],[Precio Unitario]]</f>
        <v>2800</v>
      </c>
      <c r="J1624" s="11">
        <f>((Imput[[#This Row],[Sub total]])*(0.08))</f>
        <v>224</v>
      </c>
      <c r="K1624" s="11">
        <v>0</v>
      </c>
      <c r="L1624" s="169">
        <f>Imput[[#This Row],[Sub total]]+Imput[[#This Row],[IVA]]-Imput[[#This Row],[Retención / IEPS / Descuento]]</f>
        <v>3024</v>
      </c>
      <c r="M1624" s="844">
        <v>3024</v>
      </c>
      <c r="N1624" s="189"/>
      <c r="O1624" s="1"/>
      <c r="P1624" s="189"/>
      <c r="Q1624" s="190"/>
      <c r="R1624" s="188">
        <v>45941</v>
      </c>
      <c r="S1624" s="193"/>
      <c r="T1624" s="192"/>
      <c r="U1624" s="829" t="s">
        <v>3225</v>
      </c>
      <c r="V1624" s="10"/>
      <c r="W1624" s="10"/>
      <c r="X1624" s="902">
        <v>26</v>
      </c>
      <c r="Y1624" s="10"/>
      <c r="Z1624" s="10"/>
      <c r="AA1624" s="11"/>
      <c r="AB1624" s="11"/>
    </row>
    <row r="1625" spans="2:28" x14ac:dyDescent="0.3">
      <c r="B1625" s="10" t="s">
        <v>392</v>
      </c>
      <c r="C1625" s="315"/>
      <c r="D1625" s="868" t="s">
        <v>3225</v>
      </c>
      <c r="E1625" s="837" t="str">
        <f>IFERROR(IF(_xlfn.XLOOKUP(Imput[[#This Row],[RFC]],'Alta Proveedor'!D:D,'Alta Proveedor'!E:E)=0,"",_xlfn.XLOOKUP(Imput[[#This Row],[RFC]],'Alta Proveedor'!D:D,'Alta Proveedor'!E:E)),"")</f>
        <v>GASTOS SIN FACTURA</v>
      </c>
      <c r="F1625" s="832" t="s">
        <v>3214</v>
      </c>
      <c r="G1625" s="187">
        <v>1</v>
      </c>
      <c r="H1625" s="1">
        <v>30000</v>
      </c>
      <c r="I1625" s="169">
        <f>Imput[[#This Row],[Cantidad]]*Imput[[#This Row],[Precio Unitario]]</f>
        <v>30000</v>
      </c>
      <c r="J1625" s="11">
        <f>((Imput[[#This Row],[Sub total]])*(0.08))</f>
        <v>2400</v>
      </c>
      <c r="K1625" s="11">
        <v>0</v>
      </c>
      <c r="L1625" s="169">
        <f>Imput[[#This Row],[Sub total]]+Imput[[#This Row],[IVA]]-Imput[[#This Row],[Retención / IEPS / Descuento]]</f>
        <v>32400</v>
      </c>
      <c r="M1625" s="844">
        <v>32400</v>
      </c>
      <c r="N1625" s="189"/>
      <c r="O1625" s="1"/>
      <c r="P1625" s="189"/>
      <c r="Q1625" s="190"/>
      <c r="R1625" s="188">
        <v>45941</v>
      </c>
      <c r="S1625" s="193"/>
      <c r="T1625" s="192"/>
      <c r="U1625" s="829" t="s">
        <v>3225</v>
      </c>
      <c r="V1625" s="10"/>
      <c r="W1625" s="10"/>
      <c r="X1625" s="902">
        <v>26</v>
      </c>
      <c r="Y1625" s="10" t="s">
        <v>3804</v>
      </c>
      <c r="Z1625" s="10"/>
      <c r="AA1625" s="11"/>
      <c r="AB1625" s="11"/>
    </row>
    <row r="1626" spans="2:28" x14ac:dyDescent="0.3">
      <c r="B1626" s="10" t="s">
        <v>392</v>
      </c>
      <c r="C1626" s="315"/>
      <c r="D1626" s="868" t="s">
        <v>3119</v>
      </c>
      <c r="E1626" s="837" t="str">
        <f>IFERROR(IF(_xlfn.XLOOKUP(Imput[[#This Row],[RFC]],'Alta Proveedor'!D:D,'Alta Proveedor'!E:E)=0,"",_xlfn.XLOOKUP(Imput[[#This Row],[RFC]],'Alta Proveedor'!D:D,'Alta Proveedor'!E:E)),"")</f>
        <v>Nomina-OPERACIÓN</v>
      </c>
      <c r="F1626" s="832" t="s">
        <v>3347</v>
      </c>
      <c r="G1626" s="187">
        <v>1</v>
      </c>
      <c r="H1626" s="1">
        <v>4500</v>
      </c>
      <c r="I1626" s="169">
        <f>Imput[[#This Row],[Cantidad]]*Imput[[#This Row],[Precio Unitario]]</f>
        <v>4500</v>
      </c>
      <c r="J1626" s="11">
        <f>((Imput[[#This Row],[Sub total]])*(0.08))</f>
        <v>360</v>
      </c>
      <c r="K1626" s="11">
        <v>0</v>
      </c>
      <c r="L1626" s="169">
        <f>Imput[[#This Row],[Sub total]]+Imput[[#This Row],[IVA]]-Imput[[#This Row],[Retención / IEPS / Descuento]]</f>
        <v>4860</v>
      </c>
      <c r="M1626" s="844">
        <v>4860</v>
      </c>
      <c r="N1626" s="189"/>
      <c r="O1626" s="1"/>
      <c r="P1626" s="189"/>
      <c r="Q1626" s="190"/>
      <c r="R1626" s="188">
        <v>45941</v>
      </c>
      <c r="S1626" s="193"/>
      <c r="T1626" s="192"/>
      <c r="U1626" s="829" t="s">
        <v>3225</v>
      </c>
      <c r="V1626" s="10"/>
      <c r="W1626" s="10"/>
      <c r="X1626" s="902">
        <v>26</v>
      </c>
      <c r="Y1626" s="10"/>
      <c r="Z1626" s="10"/>
      <c r="AA1626" s="11"/>
      <c r="AB1626" s="11"/>
    </row>
    <row r="1627" spans="2:28" x14ac:dyDescent="0.3">
      <c r="B1627" s="10" t="s">
        <v>392</v>
      </c>
      <c r="C1627" s="315"/>
      <c r="D1627" s="868" t="s">
        <v>3225</v>
      </c>
      <c r="E1627" s="837" t="str">
        <f>IFERROR(IF(_xlfn.XLOOKUP(Imput[[#This Row],[RFC]],'Alta Proveedor'!D:D,'Alta Proveedor'!E:E)=0,"",_xlfn.XLOOKUP(Imput[[#This Row],[RFC]],'Alta Proveedor'!D:D,'Alta Proveedor'!E:E)),"")</f>
        <v>GASTOS SIN FACTURA</v>
      </c>
      <c r="F1627" s="832" t="s">
        <v>4469</v>
      </c>
      <c r="G1627" s="187">
        <v>1</v>
      </c>
      <c r="H1627" s="1">
        <v>75</v>
      </c>
      <c r="I1627" s="169">
        <f>Imput[[#This Row],[Cantidad]]*Imput[[#This Row],[Precio Unitario]]</f>
        <v>75</v>
      </c>
      <c r="J1627" s="11">
        <f>((Imput[[#This Row],[Sub total]])*(0.08))</f>
        <v>6</v>
      </c>
      <c r="K1627" s="11">
        <v>0</v>
      </c>
      <c r="L1627" s="169">
        <f>Imput[[#This Row],[Sub total]]+Imput[[#This Row],[IVA]]-Imput[[#This Row],[Retención / IEPS / Descuento]]</f>
        <v>81</v>
      </c>
      <c r="M1627" s="844">
        <v>81</v>
      </c>
      <c r="N1627" s="189"/>
      <c r="O1627" s="1"/>
      <c r="P1627" s="189"/>
      <c r="Q1627" s="190"/>
      <c r="R1627" s="188">
        <v>45941</v>
      </c>
      <c r="S1627" s="193"/>
      <c r="T1627" s="192"/>
      <c r="U1627" s="829" t="s">
        <v>3225</v>
      </c>
      <c r="V1627" s="10"/>
      <c r="W1627" s="10"/>
      <c r="X1627" s="902">
        <v>26</v>
      </c>
      <c r="Y1627" s="10"/>
      <c r="Z1627" s="10"/>
      <c r="AA1627" s="11"/>
      <c r="AB1627" s="11"/>
    </row>
    <row r="1628" spans="2:28" x14ac:dyDescent="0.3">
      <c r="B1628" s="10" t="s">
        <v>392</v>
      </c>
      <c r="C1628" s="315"/>
      <c r="D1628" s="868" t="s">
        <v>3225</v>
      </c>
      <c r="E1628" s="837" t="str">
        <f>IFERROR(IF(_xlfn.XLOOKUP(Imput[[#This Row],[RFC]],'Alta Proveedor'!D:D,'Alta Proveedor'!E:E)=0,"",_xlfn.XLOOKUP(Imput[[#This Row],[RFC]],'Alta Proveedor'!D:D,'Alta Proveedor'!E:E)),"")</f>
        <v>GASTOS SIN FACTURA</v>
      </c>
      <c r="F1628" s="832" t="s">
        <v>4487</v>
      </c>
      <c r="G1628" s="187">
        <v>1</v>
      </c>
      <c r="H1628" s="1">
        <v>300</v>
      </c>
      <c r="I1628" s="169">
        <f>Imput[[#This Row],[Cantidad]]*Imput[[#This Row],[Precio Unitario]]</f>
        <v>300</v>
      </c>
      <c r="J1628" s="11">
        <f>((Imput[[#This Row],[Sub total]])*(0.08))</f>
        <v>24</v>
      </c>
      <c r="K1628" s="11">
        <v>0</v>
      </c>
      <c r="L1628" s="169">
        <f>Imput[[#This Row],[Sub total]]+Imput[[#This Row],[IVA]]-Imput[[#This Row],[Retención / IEPS / Descuento]]</f>
        <v>324</v>
      </c>
      <c r="M1628" s="844">
        <v>324</v>
      </c>
      <c r="N1628" s="189"/>
      <c r="O1628" s="1"/>
      <c r="P1628" s="189"/>
      <c r="Q1628" s="190"/>
      <c r="R1628" s="188">
        <v>45943</v>
      </c>
      <c r="S1628" s="193"/>
      <c r="T1628" s="192"/>
      <c r="U1628" s="829" t="s">
        <v>3225</v>
      </c>
      <c r="V1628" s="10"/>
      <c r="W1628" s="10"/>
      <c r="X1628" s="902">
        <v>26</v>
      </c>
      <c r="Y1628" s="10"/>
      <c r="Z1628" s="10"/>
      <c r="AA1628" s="11"/>
      <c r="AB1628" s="11"/>
    </row>
    <row r="1629" spans="2:28" x14ac:dyDescent="0.3">
      <c r="B1629" s="10" t="s">
        <v>392</v>
      </c>
      <c r="C1629" s="315"/>
      <c r="D1629" s="868" t="s">
        <v>3225</v>
      </c>
      <c r="E1629" s="837" t="str">
        <f>IFERROR(IF(_xlfn.XLOOKUP(Imput[[#This Row],[RFC]],'Alta Proveedor'!D:D,'Alta Proveedor'!E:E)=0,"",_xlfn.XLOOKUP(Imput[[#This Row],[RFC]],'Alta Proveedor'!D:D,'Alta Proveedor'!E:E)),"")</f>
        <v>GASTOS SIN FACTURA</v>
      </c>
      <c r="F1629" s="832" t="s">
        <v>4488</v>
      </c>
      <c r="G1629" s="187">
        <v>1</v>
      </c>
      <c r="H1629" s="1">
        <v>2600</v>
      </c>
      <c r="I1629" s="169">
        <f>Imput[[#This Row],[Cantidad]]*Imput[[#This Row],[Precio Unitario]]</f>
        <v>2600</v>
      </c>
      <c r="J1629" s="11">
        <f>((Imput[[#This Row],[Sub total]])*(0.08))</f>
        <v>208</v>
      </c>
      <c r="K1629" s="11">
        <v>0</v>
      </c>
      <c r="L1629" s="169">
        <f>Imput[[#This Row],[Sub total]]+Imput[[#This Row],[IVA]]-Imput[[#This Row],[Retención / IEPS / Descuento]]</f>
        <v>2808</v>
      </c>
      <c r="M1629" s="844">
        <v>2808</v>
      </c>
      <c r="N1629" s="189"/>
      <c r="O1629" s="1"/>
      <c r="P1629" s="189"/>
      <c r="Q1629" s="190"/>
      <c r="R1629" s="188">
        <v>45943</v>
      </c>
      <c r="S1629" s="193"/>
      <c r="T1629" s="192"/>
      <c r="U1629" s="829" t="s">
        <v>3225</v>
      </c>
      <c r="V1629" s="10"/>
      <c r="W1629" s="10"/>
      <c r="X1629" s="902">
        <v>26</v>
      </c>
      <c r="Y1629" s="10" t="s">
        <v>4528</v>
      </c>
      <c r="Z1629" s="10"/>
      <c r="AA1629" s="11"/>
      <c r="AB1629" s="11"/>
    </row>
    <row r="1630" spans="2:28" x14ac:dyDescent="0.3">
      <c r="B1630" s="10" t="s">
        <v>392</v>
      </c>
      <c r="C1630" s="315"/>
      <c r="D1630" s="868" t="s">
        <v>3225</v>
      </c>
      <c r="E1630" s="837" t="str">
        <f>IFERROR(IF(_xlfn.XLOOKUP(Imput[[#This Row],[RFC]],'Alta Proveedor'!D:D,'Alta Proveedor'!E:E)=0,"",_xlfn.XLOOKUP(Imput[[#This Row],[RFC]],'Alta Proveedor'!D:D,'Alta Proveedor'!E:E)),"")</f>
        <v>GASTOS SIN FACTURA</v>
      </c>
      <c r="F1630" s="832" t="s">
        <v>4489</v>
      </c>
      <c r="G1630" s="187">
        <v>1</v>
      </c>
      <c r="H1630" s="1">
        <v>5540</v>
      </c>
      <c r="I1630" s="169">
        <f>Imput[[#This Row],[Cantidad]]*Imput[[#This Row],[Precio Unitario]]</f>
        <v>5540</v>
      </c>
      <c r="J1630" s="11">
        <f>((Imput[[#This Row],[Sub total]])*(0.08))</f>
        <v>443.2</v>
      </c>
      <c r="K1630" s="11">
        <v>0</v>
      </c>
      <c r="L1630" s="169">
        <f>Imput[[#This Row],[Sub total]]+Imput[[#This Row],[IVA]]-Imput[[#This Row],[Retención / IEPS / Descuento]]</f>
        <v>5983.2</v>
      </c>
      <c r="M1630" s="844">
        <v>5983.2</v>
      </c>
      <c r="N1630" s="189"/>
      <c r="O1630" s="1"/>
      <c r="P1630" s="189"/>
      <c r="Q1630" s="190"/>
      <c r="R1630" s="188">
        <v>45945</v>
      </c>
      <c r="S1630" s="193"/>
      <c r="T1630" s="192"/>
      <c r="U1630" s="829" t="s">
        <v>3225</v>
      </c>
      <c r="V1630" s="10"/>
      <c r="W1630" s="10"/>
      <c r="X1630" s="902">
        <v>26</v>
      </c>
      <c r="Y1630" s="10"/>
      <c r="Z1630" s="10"/>
      <c r="AA1630" s="11"/>
      <c r="AB1630" s="11"/>
    </row>
    <row r="1631" spans="2:28" x14ac:dyDescent="0.3">
      <c r="B1631" s="10" t="s">
        <v>392</v>
      </c>
      <c r="C1631" s="315" t="s">
        <v>1773</v>
      </c>
      <c r="D1631" s="868" t="s">
        <v>3118</v>
      </c>
      <c r="E1631" s="837" t="str">
        <f>IFERROR(IF(_xlfn.XLOOKUP(Imput[[#This Row],[RFC]],'Alta Proveedor'!D:D,'Alta Proveedor'!E:E)=0,"",_xlfn.XLOOKUP(Imput[[#This Row],[RFC]],'Alta Proveedor'!D:D,'Alta Proveedor'!E:E)),"")</f>
        <v>Nomina-ADMON</v>
      </c>
      <c r="F1631" s="832" t="s">
        <v>4555</v>
      </c>
      <c r="G1631" s="187">
        <v>1</v>
      </c>
      <c r="H1631" s="1">
        <v>4182</v>
      </c>
      <c r="I1631" s="169">
        <f>Imput[[#This Row],[Cantidad]]*Imput[[#This Row],[Precio Unitario]]</f>
        <v>4182</v>
      </c>
      <c r="J1631" s="11">
        <v>0</v>
      </c>
      <c r="K1631" s="11">
        <v>0</v>
      </c>
      <c r="L1631" s="169">
        <f>Imput[[#This Row],[Sub total]]+Imput[[#This Row],[IVA]]-Imput[[#This Row],[Retención / IEPS / Descuento]]</f>
        <v>4182</v>
      </c>
      <c r="M1631" s="844">
        <v>4182</v>
      </c>
      <c r="N1631" s="189"/>
      <c r="O1631" s="1"/>
      <c r="P1631" s="189"/>
      <c r="Q1631" s="190"/>
      <c r="R1631" s="188">
        <v>45945</v>
      </c>
      <c r="S1631" s="193"/>
      <c r="T1631" s="192"/>
      <c r="U1631" s="829" t="s">
        <v>3225</v>
      </c>
      <c r="V1631" s="10"/>
      <c r="W1631" s="10"/>
      <c r="X1631" s="902">
        <v>26</v>
      </c>
      <c r="Y1631" s="10"/>
      <c r="Z1631" s="10"/>
      <c r="AA1631" s="11"/>
      <c r="AB1631" s="11"/>
    </row>
    <row r="1632" spans="2:28" x14ac:dyDescent="0.3">
      <c r="B1632" s="10" t="s">
        <v>392</v>
      </c>
      <c r="C1632" s="315" t="s">
        <v>1756</v>
      </c>
      <c r="D1632" s="868" t="s">
        <v>3118</v>
      </c>
      <c r="E1632" s="837" t="str">
        <f>IFERROR(IF(_xlfn.XLOOKUP(Imput[[#This Row],[RFC]],'Alta Proveedor'!D:D,'Alta Proveedor'!E:E)=0,"",_xlfn.XLOOKUP(Imput[[#This Row],[RFC]],'Alta Proveedor'!D:D,'Alta Proveedor'!E:E)),"")</f>
        <v>Nomina-ADMON</v>
      </c>
      <c r="F1632" s="832" t="s">
        <v>4556</v>
      </c>
      <c r="G1632" s="187">
        <v>1</v>
      </c>
      <c r="H1632" s="1">
        <v>4182</v>
      </c>
      <c r="I1632" s="169">
        <f>Imput[[#This Row],[Cantidad]]*Imput[[#This Row],[Precio Unitario]]</f>
        <v>4182</v>
      </c>
      <c r="J1632" s="11">
        <v>0</v>
      </c>
      <c r="K1632" s="11">
        <v>0</v>
      </c>
      <c r="L1632" s="169">
        <f>Imput[[#This Row],[Sub total]]+Imput[[#This Row],[IVA]]-Imput[[#This Row],[Retención / IEPS / Descuento]]</f>
        <v>4182</v>
      </c>
      <c r="M1632" s="844">
        <v>4182</v>
      </c>
      <c r="N1632" s="189"/>
      <c r="O1632" s="1"/>
      <c r="P1632" s="189"/>
      <c r="Q1632" s="190"/>
      <c r="R1632" s="188">
        <v>45945</v>
      </c>
      <c r="S1632" s="193"/>
      <c r="T1632" s="192"/>
      <c r="U1632" s="829" t="s">
        <v>3225</v>
      </c>
      <c r="V1632" s="10"/>
      <c r="W1632" s="10"/>
      <c r="X1632" s="902">
        <v>26</v>
      </c>
      <c r="Y1632" s="10"/>
      <c r="Z1632" s="10"/>
      <c r="AA1632" s="11"/>
      <c r="AB1632" s="11"/>
    </row>
    <row r="1633" spans="2:28" x14ac:dyDescent="0.3">
      <c r="B1633" s="10" t="s">
        <v>392</v>
      </c>
      <c r="C1633" s="315" t="s">
        <v>1774</v>
      </c>
      <c r="D1633" s="868" t="s">
        <v>3118</v>
      </c>
      <c r="E1633" s="837" t="str">
        <f>IFERROR(IF(_xlfn.XLOOKUP(Imput[[#This Row],[RFC]],'Alta Proveedor'!D:D,'Alta Proveedor'!E:E)=0,"",_xlfn.XLOOKUP(Imput[[#This Row],[RFC]],'Alta Proveedor'!D:D,'Alta Proveedor'!E:E)),"")</f>
        <v>Nomina-ADMON</v>
      </c>
      <c r="F1633" s="832" t="s">
        <v>4557</v>
      </c>
      <c r="G1633" s="187">
        <v>1</v>
      </c>
      <c r="H1633" s="1">
        <v>4182</v>
      </c>
      <c r="I1633" s="169">
        <f>Imput[[#This Row],[Cantidad]]*Imput[[#This Row],[Precio Unitario]]</f>
        <v>4182</v>
      </c>
      <c r="J1633" s="11">
        <v>0</v>
      </c>
      <c r="K1633" s="11">
        <v>0</v>
      </c>
      <c r="L1633" s="169">
        <f>Imput[[#This Row],[Sub total]]+Imput[[#This Row],[IVA]]-Imput[[#This Row],[Retención / IEPS / Descuento]]</f>
        <v>4182</v>
      </c>
      <c r="M1633" s="844">
        <v>4182</v>
      </c>
      <c r="N1633" s="189"/>
      <c r="O1633" s="1"/>
      <c r="P1633" s="189"/>
      <c r="Q1633" s="190"/>
      <c r="R1633" s="188">
        <v>45945</v>
      </c>
      <c r="S1633" s="193"/>
      <c r="T1633" s="192"/>
      <c r="U1633" s="829" t="s">
        <v>3225</v>
      </c>
      <c r="V1633" s="10"/>
      <c r="W1633" s="10"/>
      <c r="X1633" s="902">
        <v>26</v>
      </c>
      <c r="Y1633" s="10"/>
      <c r="Z1633" s="10"/>
      <c r="AA1633" s="11"/>
      <c r="AB1633" s="11"/>
    </row>
    <row r="1634" spans="2:28" x14ac:dyDescent="0.3">
      <c r="B1634" s="10" t="s">
        <v>392</v>
      </c>
      <c r="C1634" s="315" t="s">
        <v>1754</v>
      </c>
      <c r="D1634" s="868" t="s">
        <v>3118</v>
      </c>
      <c r="E1634" s="837" t="str">
        <f>IFERROR(IF(_xlfn.XLOOKUP(Imput[[#This Row],[RFC]],'Alta Proveedor'!D:D,'Alta Proveedor'!E:E)=0,"",_xlfn.XLOOKUP(Imput[[#This Row],[RFC]],'Alta Proveedor'!D:D,'Alta Proveedor'!E:E)),"")</f>
        <v>Nomina-ADMON</v>
      </c>
      <c r="F1634" s="832" t="s">
        <v>4558</v>
      </c>
      <c r="G1634" s="187">
        <v>1</v>
      </c>
      <c r="H1634" s="1">
        <v>4182</v>
      </c>
      <c r="I1634" s="169">
        <f>Imput[[#This Row],[Cantidad]]*Imput[[#This Row],[Precio Unitario]]</f>
        <v>4182</v>
      </c>
      <c r="J1634" s="11">
        <v>0</v>
      </c>
      <c r="K1634" s="11">
        <v>0</v>
      </c>
      <c r="L1634" s="169">
        <f>Imput[[#This Row],[Sub total]]+Imput[[#This Row],[IVA]]-Imput[[#This Row],[Retención / IEPS / Descuento]]</f>
        <v>4182</v>
      </c>
      <c r="M1634" s="844">
        <v>4182</v>
      </c>
      <c r="N1634" s="189"/>
      <c r="O1634" s="1"/>
      <c r="P1634" s="189"/>
      <c r="Q1634" s="190"/>
      <c r="R1634" s="188">
        <v>45945</v>
      </c>
      <c r="S1634" s="193"/>
      <c r="T1634" s="192"/>
      <c r="U1634" s="829" t="s">
        <v>3225</v>
      </c>
      <c r="V1634" s="10"/>
      <c r="W1634" s="10"/>
      <c r="X1634" s="902">
        <v>26</v>
      </c>
      <c r="Y1634" s="10"/>
      <c r="Z1634" s="10"/>
      <c r="AA1634" s="11"/>
      <c r="AB1634" s="11"/>
    </row>
    <row r="1635" spans="2:28" x14ac:dyDescent="0.3">
      <c r="B1635" s="10" t="s">
        <v>392</v>
      </c>
      <c r="C1635" s="315" t="s">
        <v>1773</v>
      </c>
      <c r="D1635" s="868" t="s">
        <v>3118</v>
      </c>
      <c r="E1635" s="837" t="str">
        <f>IFERROR(IF(_xlfn.XLOOKUP(Imput[[#This Row],[RFC]],'Alta Proveedor'!D:D,'Alta Proveedor'!E:E)=0,"",_xlfn.XLOOKUP(Imput[[#This Row],[RFC]],'Alta Proveedor'!D:D,'Alta Proveedor'!E:E)),"")</f>
        <v>Nomina-ADMON</v>
      </c>
      <c r="F1635" s="832" t="s">
        <v>4559</v>
      </c>
      <c r="G1635" s="187">
        <v>1</v>
      </c>
      <c r="H1635" s="1">
        <v>2318</v>
      </c>
      <c r="I1635" s="169">
        <f>Imput[[#This Row],[Cantidad]]*Imput[[#This Row],[Precio Unitario]]</f>
        <v>2318</v>
      </c>
      <c r="J1635" s="11">
        <f>Imput[[#This Row],[Sub total]]*0.08</f>
        <v>185.44</v>
      </c>
      <c r="K1635" s="11">
        <v>0</v>
      </c>
      <c r="L1635" s="169">
        <f>Imput[[#This Row],[Sub total]]+Imput[[#This Row],[IVA]]-Imput[[#This Row],[Retención / IEPS / Descuento]]</f>
        <v>2503.44</v>
      </c>
      <c r="M1635" s="844">
        <v>2503.44</v>
      </c>
      <c r="N1635" s="189"/>
      <c r="O1635" s="1"/>
      <c r="P1635" s="189"/>
      <c r="Q1635" s="190"/>
      <c r="R1635" s="188">
        <v>45945</v>
      </c>
      <c r="S1635" s="193"/>
      <c r="T1635" s="192"/>
      <c r="U1635" s="829" t="s">
        <v>3225</v>
      </c>
      <c r="V1635" s="10"/>
      <c r="W1635" s="10"/>
      <c r="X1635" s="902">
        <v>26</v>
      </c>
      <c r="Y1635" s="10"/>
      <c r="Z1635" s="10"/>
      <c r="AA1635" s="11"/>
      <c r="AB1635" s="11"/>
    </row>
    <row r="1636" spans="2:28" x14ac:dyDescent="0.3">
      <c r="B1636" s="10" t="s">
        <v>392</v>
      </c>
      <c r="C1636" s="315" t="s">
        <v>1756</v>
      </c>
      <c r="D1636" s="868" t="s">
        <v>3118</v>
      </c>
      <c r="E1636" s="837" t="str">
        <f>IFERROR(IF(_xlfn.XLOOKUP(Imput[[#This Row],[RFC]],'Alta Proveedor'!D:D,'Alta Proveedor'!E:E)=0,"",_xlfn.XLOOKUP(Imput[[#This Row],[RFC]],'Alta Proveedor'!D:D,'Alta Proveedor'!E:E)),"")</f>
        <v>Nomina-ADMON</v>
      </c>
      <c r="F1636" s="832" t="s">
        <v>4560</v>
      </c>
      <c r="G1636" s="187">
        <v>1</v>
      </c>
      <c r="H1636" s="1">
        <v>6533</v>
      </c>
      <c r="I1636" s="169">
        <f>Imput[[#This Row],[Cantidad]]*Imput[[#This Row],[Precio Unitario]]</f>
        <v>6533</v>
      </c>
      <c r="J1636" s="11">
        <f>Imput[[#This Row],[Sub total]]*0.08</f>
        <v>522.64</v>
      </c>
      <c r="K1636" s="11">
        <v>0</v>
      </c>
      <c r="L1636" s="169">
        <f>Imput[[#This Row],[Sub total]]+Imput[[#This Row],[IVA]]-Imput[[#This Row],[Retención / IEPS / Descuento]]</f>
        <v>7055.64</v>
      </c>
      <c r="M1636" s="844">
        <v>7055.64</v>
      </c>
      <c r="N1636" s="189"/>
      <c r="O1636" s="1"/>
      <c r="P1636" s="189"/>
      <c r="Q1636" s="190"/>
      <c r="R1636" s="188">
        <v>45945</v>
      </c>
      <c r="S1636" s="193"/>
      <c r="T1636" s="192"/>
      <c r="U1636" s="829" t="s">
        <v>3225</v>
      </c>
      <c r="V1636" s="10"/>
      <c r="W1636" s="10"/>
      <c r="X1636" s="902">
        <v>26</v>
      </c>
      <c r="Y1636" s="10"/>
      <c r="Z1636" s="10"/>
      <c r="AA1636" s="11"/>
      <c r="AB1636" s="11"/>
    </row>
    <row r="1637" spans="2:28" x14ac:dyDescent="0.3">
      <c r="B1637" s="10" t="s">
        <v>392</v>
      </c>
      <c r="C1637" s="315" t="s">
        <v>1774</v>
      </c>
      <c r="D1637" s="868" t="s">
        <v>3118</v>
      </c>
      <c r="E1637" s="837" t="str">
        <f>IFERROR(IF(_xlfn.XLOOKUP(Imput[[#This Row],[RFC]],'Alta Proveedor'!D:D,'Alta Proveedor'!E:E)=0,"",_xlfn.XLOOKUP(Imput[[#This Row],[RFC]],'Alta Proveedor'!D:D,'Alta Proveedor'!E:E)),"")</f>
        <v>Nomina-ADMON</v>
      </c>
      <c r="F1637" s="832" t="s">
        <v>4561</v>
      </c>
      <c r="G1637" s="187">
        <v>1</v>
      </c>
      <c r="H1637" s="1">
        <v>11225.6</v>
      </c>
      <c r="I1637" s="169">
        <f>Imput[[#This Row],[Cantidad]]*Imput[[#This Row],[Precio Unitario]]</f>
        <v>11225.6</v>
      </c>
      <c r="J1637" s="11">
        <f>Imput[[#This Row],[Sub total]]*0.08</f>
        <v>898.048</v>
      </c>
      <c r="K1637" s="11">
        <v>0</v>
      </c>
      <c r="L1637" s="169">
        <f>Imput[[#This Row],[Sub total]]+Imput[[#This Row],[IVA]]-Imput[[#This Row],[Retención / IEPS / Descuento]]</f>
        <v>12123.648000000001</v>
      </c>
      <c r="M1637" s="844">
        <v>12123.648000000001</v>
      </c>
      <c r="N1637" s="189"/>
      <c r="O1637" s="1"/>
      <c r="P1637" s="189"/>
      <c r="Q1637" s="190"/>
      <c r="R1637" s="188">
        <v>45945</v>
      </c>
      <c r="S1637" s="193"/>
      <c r="T1637" s="192"/>
      <c r="U1637" s="829" t="s">
        <v>3225</v>
      </c>
      <c r="V1637" s="10"/>
      <c r="W1637" s="10"/>
      <c r="X1637" s="902">
        <v>26</v>
      </c>
      <c r="Y1637" s="10"/>
      <c r="Z1637" s="10"/>
      <c r="AA1637" s="11"/>
      <c r="AB1637" s="11"/>
    </row>
    <row r="1638" spans="2:28" x14ac:dyDescent="0.3">
      <c r="B1638" s="10" t="s">
        <v>392</v>
      </c>
      <c r="C1638" s="315" t="s">
        <v>1754</v>
      </c>
      <c r="D1638" s="868" t="s">
        <v>3118</v>
      </c>
      <c r="E1638" s="837" t="str">
        <f>IFERROR(IF(_xlfn.XLOOKUP(Imput[[#This Row],[RFC]],'Alta Proveedor'!D:D,'Alta Proveedor'!E:E)=0,"",_xlfn.XLOOKUP(Imput[[#This Row],[RFC]],'Alta Proveedor'!D:D,'Alta Proveedor'!E:E)),"")</f>
        <v>Nomina-ADMON</v>
      </c>
      <c r="F1638" s="832" t="s">
        <v>4562</v>
      </c>
      <c r="G1638" s="187">
        <v>1</v>
      </c>
      <c r="H1638" s="1">
        <v>9818</v>
      </c>
      <c r="I1638" s="169">
        <f>Imput[[#This Row],[Cantidad]]*Imput[[#This Row],[Precio Unitario]]</f>
        <v>9818</v>
      </c>
      <c r="J1638" s="11">
        <f>Imput[[#This Row],[Sub total]]*0.08</f>
        <v>785.44</v>
      </c>
      <c r="K1638" s="11">
        <v>0</v>
      </c>
      <c r="L1638" s="169">
        <f>Imput[[#This Row],[Sub total]]+Imput[[#This Row],[IVA]]-Imput[[#This Row],[Retención / IEPS / Descuento]]</f>
        <v>10603.44</v>
      </c>
      <c r="M1638" s="844">
        <v>10603.44</v>
      </c>
      <c r="N1638" s="189"/>
      <c r="O1638" s="1"/>
      <c r="P1638" s="189"/>
      <c r="Q1638" s="190"/>
      <c r="R1638" s="188">
        <v>45945</v>
      </c>
      <c r="S1638" s="193"/>
      <c r="T1638" s="192"/>
      <c r="U1638" s="829" t="s">
        <v>3225</v>
      </c>
      <c r="V1638" s="10"/>
      <c r="W1638" s="10"/>
      <c r="X1638" s="902">
        <v>26</v>
      </c>
      <c r="Y1638" s="10"/>
      <c r="Z1638" s="10"/>
      <c r="AA1638" s="11"/>
      <c r="AB1638" s="11"/>
    </row>
    <row r="1639" spans="2:28" x14ac:dyDescent="0.3">
      <c r="B1639" s="10" t="s">
        <v>394</v>
      </c>
      <c r="C1639" s="315"/>
      <c r="D1639" s="868" t="s">
        <v>3225</v>
      </c>
      <c r="E1639" s="837" t="str">
        <f>IFERROR(IF(_xlfn.XLOOKUP(Imput[[#This Row],[RFC]],'Alta Proveedor'!D:D,'Alta Proveedor'!E:E)=0,"",_xlfn.XLOOKUP(Imput[[#This Row],[RFC]],'Alta Proveedor'!D:D,'Alta Proveedor'!E:E)),"")</f>
        <v>GASTOS SIN FACTURA</v>
      </c>
      <c r="F1639" s="832" t="s">
        <v>4490</v>
      </c>
      <c r="G1639" s="187">
        <v>1</v>
      </c>
      <c r="H1639" s="1">
        <v>10000</v>
      </c>
      <c r="I1639" s="169">
        <f>Imput[[#This Row],[Cantidad]]*Imput[[#This Row],[Precio Unitario]]</f>
        <v>10000</v>
      </c>
      <c r="J1639" s="11">
        <f>((Imput[[#This Row],[Sub total]])*(0.08))</f>
        <v>800</v>
      </c>
      <c r="K1639" s="11">
        <v>0</v>
      </c>
      <c r="L1639" s="169">
        <f>Imput[[#This Row],[Sub total]]+Imput[[#This Row],[IVA]]-Imput[[#This Row],[Retención / IEPS / Descuento]]</f>
        <v>10800</v>
      </c>
      <c r="M1639" s="844">
        <v>10800</v>
      </c>
      <c r="N1639" s="189"/>
      <c r="O1639" s="1"/>
      <c r="P1639" s="189"/>
      <c r="Q1639" s="190"/>
      <c r="R1639" s="188">
        <v>45947</v>
      </c>
      <c r="S1639" s="193"/>
      <c r="T1639" s="192"/>
      <c r="U1639" s="829" t="s">
        <v>3225</v>
      </c>
      <c r="V1639" s="10"/>
      <c r="W1639" s="10"/>
      <c r="X1639" s="902">
        <v>26</v>
      </c>
      <c r="Y1639" s="10"/>
      <c r="Z1639" s="10"/>
      <c r="AA1639" s="11"/>
      <c r="AB1639" s="11"/>
    </row>
    <row r="1640" spans="2:28" x14ac:dyDescent="0.3">
      <c r="B1640" s="10" t="s">
        <v>394</v>
      </c>
      <c r="C1640" s="315"/>
      <c r="D1640" s="868" t="s">
        <v>3225</v>
      </c>
      <c r="E1640" s="837" t="str">
        <f>IFERROR(IF(_xlfn.XLOOKUP(Imput[[#This Row],[RFC]],'Alta Proveedor'!D:D,'Alta Proveedor'!E:E)=0,"",_xlfn.XLOOKUP(Imput[[#This Row],[RFC]],'Alta Proveedor'!D:D,'Alta Proveedor'!E:E)),"")</f>
        <v>GASTOS SIN FACTURA</v>
      </c>
      <c r="F1640" s="832" t="s">
        <v>4491</v>
      </c>
      <c r="G1640" s="187">
        <v>1</v>
      </c>
      <c r="H1640" s="1">
        <v>5000</v>
      </c>
      <c r="I1640" s="169">
        <f>Imput[[#This Row],[Cantidad]]*Imput[[#This Row],[Precio Unitario]]</f>
        <v>5000</v>
      </c>
      <c r="J1640" s="11">
        <f>((Imput[[#This Row],[Sub total]])*(0.08))</f>
        <v>400</v>
      </c>
      <c r="K1640" s="11">
        <v>0</v>
      </c>
      <c r="L1640" s="169">
        <f>Imput[[#This Row],[Sub total]]+Imput[[#This Row],[IVA]]-Imput[[#This Row],[Retención / IEPS / Descuento]]</f>
        <v>5400</v>
      </c>
      <c r="M1640" s="844">
        <v>5400</v>
      </c>
      <c r="N1640" s="189"/>
      <c r="O1640" s="1"/>
      <c r="P1640" s="189"/>
      <c r="Q1640" s="190"/>
      <c r="R1640" s="188">
        <v>45947</v>
      </c>
      <c r="S1640" s="193"/>
      <c r="T1640" s="192"/>
      <c r="U1640" s="829" t="s">
        <v>3225</v>
      </c>
      <c r="V1640" s="10"/>
      <c r="W1640" s="10"/>
      <c r="X1640" s="902">
        <v>26</v>
      </c>
      <c r="Y1640" s="10"/>
      <c r="Z1640" s="10"/>
      <c r="AA1640" s="11"/>
      <c r="AB1640" s="11"/>
    </row>
    <row r="1641" spans="2:28" x14ac:dyDescent="0.3">
      <c r="B1641" s="10" t="s">
        <v>394</v>
      </c>
      <c r="C1641" s="315"/>
      <c r="D1641" s="868" t="s">
        <v>3119</v>
      </c>
      <c r="E1641" s="837" t="str">
        <f>IFERROR(IF(_xlfn.XLOOKUP(Imput[[#This Row],[RFC]],'Alta Proveedor'!D:D,'Alta Proveedor'!E:E)=0,"",_xlfn.XLOOKUP(Imput[[#This Row],[RFC]],'Alta Proveedor'!D:D,'Alta Proveedor'!E:E)),"")</f>
        <v>Nomina-OPERACIÓN</v>
      </c>
      <c r="F1641" s="832" t="s">
        <v>4492</v>
      </c>
      <c r="G1641" s="187">
        <v>1</v>
      </c>
      <c r="H1641" s="1">
        <v>3650</v>
      </c>
      <c r="I1641" s="169">
        <f>Imput[[#This Row],[Cantidad]]*Imput[[#This Row],[Precio Unitario]]</f>
        <v>3650</v>
      </c>
      <c r="J1641" s="11">
        <f>((Imput[[#This Row],[Sub total]])*(0.08))</f>
        <v>292</v>
      </c>
      <c r="K1641" s="11">
        <v>0</v>
      </c>
      <c r="L1641" s="169">
        <f>Imput[[#This Row],[Sub total]]+Imput[[#This Row],[IVA]]-Imput[[#This Row],[Retención / IEPS / Descuento]]</f>
        <v>3942</v>
      </c>
      <c r="M1641" s="844">
        <v>3942</v>
      </c>
      <c r="N1641" s="189"/>
      <c r="O1641" s="1"/>
      <c r="P1641" s="189"/>
      <c r="Q1641" s="190"/>
      <c r="R1641" s="188">
        <v>45948</v>
      </c>
      <c r="S1641" s="193"/>
      <c r="T1641" s="192"/>
      <c r="U1641" s="829" t="s">
        <v>3225</v>
      </c>
      <c r="V1641" s="10"/>
      <c r="W1641" s="10"/>
      <c r="X1641" s="902">
        <v>26</v>
      </c>
      <c r="Y1641" s="10"/>
      <c r="Z1641" s="10"/>
      <c r="AA1641" s="11"/>
      <c r="AB1641" s="11"/>
    </row>
    <row r="1642" spans="2:28" x14ac:dyDescent="0.3">
      <c r="B1642" s="10" t="s">
        <v>394</v>
      </c>
      <c r="C1642" s="315"/>
      <c r="D1642" s="868" t="s">
        <v>3119</v>
      </c>
      <c r="E1642" s="837" t="str">
        <f>IFERROR(IF(_xlfn.XLOOKUP(Imput[[#This Row],[RFC]],'Alta Proveedor'!D:D,'Alta Proveedor'!E:E)=0,"",_xlfn.XLOOKUP(Imput[[#This Row],[RFC]],'Alta Proveedor'!D:D,'Alta Proveedor'!E:E)),"")</f>
        <v>Nomina-OPERACIÓN</v>
      </c>
      <c r="F1642" s="832" t="s">
        <v>4475</v>
      </c>
      <c r="G1642" s="187">
        <v>1</v>
      </c>
      <c r="H1642" s="1">
        <v>2650</v>
      </c>
      <c r="I1642" s="169">
        <f>Imput[[#This Row],[Cantidad]]*Imput[[#This Row],[Precio Unitario]]</f>
        <v>2650</v>
      </c>
      <c r="J1642" s="11">
        <f>((Imput[[#This Row],[Sub total]])*(0.08))</f>
        <v>212</v>
      </c>
      <c r="K1642" s="11">
        <v>0</v>
      </c>
      <c r="L1642" s="169">
        <f>Imput[[#This Row],[Sub total]]+Imput[[#This Row],[IVA]]-Imput[[#This Row],[Retención / IEPS / Descuento]]</f>
        <v>2862</v>
      </c>
      <c r="M1642" s="844">
        <v>2862</v>
      </c>
      <c r="N1642" s="189"/>
      <c r="O1642" s="1"/>
      <c r="P1642" s="189"/>
      <c r="Q1642" s="190"/>
      <c r="R1642" s="188">
        <v>45948</v>
      </c>
      <c r="S1642" s="193"/>
      <c r="T1642" s="192"/>
      <c r="U1642" s="829" t="s">
        <v>3225</v>
      </c>
      <c r="V1642" s="10"/>
      <c r="W1642" s="10"/>
      <c r="X1642" s="902">
        <v>26</v>
      </c>
      <c r="Y1642" s="10"/>
      <c r="Z1642" s="10"/>
      <c r="AA1642" s="11"/>
      <c r="AB1642" s="11"/>
    </row>
    <row r="1643" spans="2:28" x14ac:dyDescent="0.3">
      <c r="B1643" s="10" t="s">
        <v>394</v>
      </c>
      <c r="C1643" s="315"/>
      <c r="D1643" s="868" t="s">
        <v>3119</v>
      </c>
      <c r="E1643" s="837" t="str">
        <f>IFERROR(IF(_xlfn.XLOOKUP(Imput[[#This Row],[RFC]],'Alta Proveedor'!D:D,'Alta Proveedor'!E:E)=0,"",_xlfn.XLOOKUP(Imput[[#This Row],[RFC]],'Alta Proveedor'!D:D,'Alta Proveedor'!E:E)),"")</f>
        <v>Nomina-OPERACIÓN</v>
      </c>
      <c r="F1643" s="832" t="s">
        <v>3166</v>
      </c>
      <c r="G1643" s="187">
        <v>1</v>
      </c>
      <c r="H1643" s="1">
        <v>7400</v>
      </c>
      <c r="I1643" s="169">
        <f>Imput[[#This Row],[Cantidad]]*Imput[[#This Row],[Precio Unitario]]</f>
        <v>7400</v>
      </c>
      <c r="J1643" s="11">
        <f>((Imput[[#This Row],[Sub total]])*(0.08))</f>
        <v>592</v>
      </c>
      <c r="K1643" s="11">
        <v>0</v>
      </c>
      <c r="L1643" s="169">
        <f>Imput[[#This Row],[Sub total]]+Imput[[#This Row],[IVA]]-Imput[[#This Row],[Retención / IEPS / Descuento]]</f>
        <v>7992</v>
      </c>
      <c r="M1643" s="844">
        <v>7992</v>
      </c>
      <c r="N1643" s="189"/>
      <c r="O1643" s="1"/>
      <c r="P1643" s="189"/>
      <c r="Q1643" s="190"/>
      <c r="R1643" s="188">
        <v>45948</v>
      </c>
      <c r="S1643" s="193"/>
      <c r="T1643" s="192"/>
      <c r="U1643" s="829" t="s">
        <v>3225</v>
      </c>
      <c r="V1643" s="10"/>
      <c r="W1643" s="10"/>
      <c r="X1643" s="902">
        <v>26</v>
      </c>
      <c r="Y1643" s="10"/>
      <c r="Z1643" s="10"/>
      <c r="AA1643" s="11"/>
      <c r="AB1643" s="11"/>
    </row>
    <row r="1644" spans="2:28" x14ac:dyDescent="0.3">
      <c r="B1644" s="10" t="s">
        <v>394</v>
      </c>
      <c r="C1644" s="315"/>
      <c r="D1644" s="868" t="s">
        <v>3119</v>
      </c>
      <c r="E1644" s="837" t="str">
        <f>IFERROR(IF(_xlfn.XLOOKUP(Imput[[#This Row],[RFC]],'Alta Proveedor'!D:D,'Alta Proveedor'!E:E)=0,"",_xlfn.XLOOKUP(Imput[[#This Row],[RFC]],'Alta Proveedor'!D:D,'Alta Proveedor'!E:E)),"")</f>
        <v>Nomina-OPERACIÓN</v>
      </c>
      <c r="F1644" s="832" t="s">
        <v>4470</v>
      </c>
      <c r="G1644" s="187">
        <v>1</v>
      </c>
      <c r="H1644" s="1">
        <v>2500</v>
      </c>
      <c r="I1644" s="169">
        <f>Imput[[#This Row],[Cantidad]]*Imput[[#This Row],[Precio Unitario]]</f>
        <v>2500</v>
      </c>
      <c r="J1644" s="11">
        <f>((Imput[[#This Row],[Sub total]])*(0.08))</f>
        <v>200</v>
      </c>
      <c r="K1644" s="11">
        <v>0</v>
      </c>
      <c r="L1644" s="169">
        <f>Imput[[#This Row],[Sub total]]+Imput[[#This Row],[IVA]]-Imput[[#This Row],[Retención / IEPS / Descuento]]</f>
        <v>2700</v>
      </c>
      <c r="M1644" s="844">
        <v>2700</v>
      </c>
      <c r="N1644" s="189"/>
      <c r="O1644" s="1"/>
      <c r="P1644" s="189"/>
      <c r="Q1644" s="190"/>
      <c r="R1644" s="188">
        <v>45948</v>
      </c>
      <c r="S1644" s="193"/>
      <c r="T1644" s="192"/>
      <c r="U1644" s="829" t="s">
        <v>3225</v>
      </c>
      <c r="V1644" s="10"/>
      <c r="W1644" s="10"/>
      <c r="X1644" s="902">
        <v>26</v>
      </c>
      <c r="Y1644" s="10"/>
      <c r="Z1644" s="10"/>
      <c r="AA1644" s="11"/>
      <c r="AB1644" s="11"/>
    </row>
    <row r="1645" spans="2:28" x14ac:dyDescent="0.3">
      <c r="B1645" s="10" t="s">
        <v>394</v>
      </c>
      <c r="C1645" s="315"/>
      <c r="D1645" s="868" t="s">
        <v>3119</v>
      </c>
      <c r="E1645" s="837" t="str">
        <f>IFERROR(IF(_xlfn.XLOOKUP(Imput[[#This Row],[RFC]],'Alta Proveedor'!D:D,'Alta Proveedor'!E:E)=0,"",_xlfn.XLOOKUP(Imput[[#This Row],[RFC]],'Alta Proveedor'!D:D,'Alta Proveedor'!E:E)),"")</f>
        <v>Nomina-OPERACIÓN</v>
      </c>
      <c r="F1645" s="832" t="s">
        <v>4480</v>
      </c>
      <c r="G1645" s="187">
        <v>1</v>
      </c>
      <c r="H1645" s="1">
        <v>2300</v>
      </c>
      <c r="I1645" s="169">
        <f>Imput[[#This Row],[Cantidad]]*Imput[[#This Row],[Precio Unitario]]</f>
        <v>2300</v>
      </c>
      <c r="J1645" s="11">
        <f>((Imput[[#This Row],[Sub total]])*(0.08))</f>
        <v>184</v>
      </c>
      <c r="K1645" s="11">
        <v>0</v>
      </c>
      <c r="L1645" s="169">
        <f>Imput[[#This Row],[Sub total]]+Imput[[#This Row],[IVA]]-Imput[[#This Row],[Retención / IEPS / Descuento]]</f>
        <v>2484</v>
      </c>
      <c r="M1645" s="844">
        <v>2484</v>
      </c>
      <c r="N1645" s="189"/>
      <c r="O1645" s="1"/>
      <c r="P1645" s="189"/>
      <c r="Q1645" s="190"/>
      <c r="R1645" s="188">
        <v>45948</v>
      </c>
      <c r="S1645" s="193"/>
      <c r="T1645" s="192"/>
      <c r="U1645" s="829" t="s">
        <v>3225</v>
      </c>
      <c r="V1645" s="10"/>
      <c r="W1645" s="10"/>
      <c r="X1645" s="902">
        <v>26</v>
      </c>
      <c r="Y1645" s="10"/>
      <c r="Z1645" s="10"/>
      <c r="AA1645" s="11"/>
      <c r="AB1645" s="11"/>
    </row>
    <row r="1646" spans="2:28" x14ac:dyDescent="0.3">
      <c r="B1646" s="10" t="s">
        <v>394</v>
      </c>
      <c r="C1646" s="315"/>
      <c r="D1646" s="868" t="s">
        <v>3119</v>
      </c>
      <c r="E1646" s="837" t="str">
        <f>IFERROR(IF(_xlfn.XLOOKUP(Imput[[#This Row],[RFC]],'Alta Proveedor'!D:D,'Alta Proveedor'!E:E)=0,"",_xlfn.XLOOKUP(Imput[[#This Row],[RFC]],'Alta Proveedor'!D:D,'Alta Proveedor'!E:E)),"")</f>
        <v>Nomina-OPERACIÓN</v>
      </c>
      <c r="F1646" s="832" t="s">
        <v>4493</v>
      </c>
      <c r="G1646" s="187">
        <v>1</v>
      </c>
      <c r="H1646" s="1">
        <v>2300</v>
      </c>
      <c r="I1646" s="169">
        <f>Imput[[#This Row],[Cantidad]]*Imput[[#This Row],[Precio Unitario]]</f>
        <v>2300</v>
      </c>
      <c r="J1646" s="11">
        <f>((Imput[[#This Row],[Sub total]])*(0.08))</f>
        <v>184</v>
      </c>
      <c r="K1646" s="11">
        <v>0</v>
      </c>
      <c r="L1646" s="169">
        <f>Imput[[#This Row],[Sub total]]+Imput[[#This Row],[IVA]]-Imput[[#This Row],[Retención / IEPS / Descuento]]</f>
        <v>2484</v>
      </c>
      <c r="M1646" s="844">
        <v>2484</v>
      </c>
      <c r="N1646" s="189"/>
      <c r="O1646" s="1"/>
      <c r="P1646" s="189"/>
      <c r="Q1646" s="190"/>
      <c r="R1646" s="188">
        <v>45948</v>
      </c>
      <c r="S1646" s="193"/>
      <c r="T1646" s="192"/>
      <c r="U1646" s="829" t="s">
        <v>3225</v>
      </c>
      <c r="V1646" s="10"/>
      <c r="W1646" s="10"/>
      <c r="X1646" s="902">
        <v>26</v>
      </c>
      <c r="Y1646" s="10"/>
      <c r="Z1646" s="10"/>
      <c r="AA1646" s="11"/>
      <c r="AB1646" s="11"/>
    </row>
    <row r="1647" spans="2:28" x14ac:dyDescent="0.3">
      <c r="B1647" s="10" t="s">
        <v>394</v>
      </c>
      <c r="C1647" s="315"/>
      <c r="D1647" s="868" t="s">
        <v>3225</v>
      </c>
      <c r="E1647" s="837" t="str">
        <f>IFERROR(IF(_xlfn.XLOOKUP(Imput[[#This Row],[RFC]],'Alta Proveedor'!D:D,'Alta Proveedor'!E:E)=0,"",_xlfn.XLOOKUP(Imput[[#This Row],[RFC]],'Alta Proveedor'!D:D,'Alta Proveedor'!E:E)),"")</f>
        <v>GASTOS SIN FACTURA</v>
      </c>
      <c r="F1647" s="832" t="s">
        <v>3214</v>
      </c>
      <c r="G1647" s="187">
        <v>1</v>
      </c>
      <c r="H1647" s="1">
        <v>30000</v>
      </c>
      <c r="I1647" s="169">
        <f>Imput[[#This Row],[Cantidad]]*Imput[[#This Row],[Precio Unitario]]</f>
        <v>30000</v>
      </c>
      <c r="J1647" s="11">
        <f>((Imput[[#This Row],[Sub total]])*(0.08))</f>
        <v>2400</v>
      </c>
      <c r="K1647" s="11">
        <v>0</v>
      </c>
      <c r="L1647" s="169">
        <f>Imput[[#This Row],[Sub total]]+Imput[[#This Row],[IVA]]-Imput[[#This Row],[Retención / IEPS / Descuento]]</f>
        <v>32400</v>
      </c>
      <c r="M1647" s="844">
        <v>32400</v>
      </c>
      <c r="N1647" s="189"/>
      <c r="O1647" s="1"/>
      <c r="P1647" s="189"/>
      <c r="Q1647" s="190"/>
      <c r="R1647" s="188">
        <v>45948</v>
      </c>
      <c r="S1647" s="193"/>
      <c r="T1647" s="192"/>
      <c r="U1647" s="829" t="s">
        <v>3225</v>
      </c>
      <c r="V1647" s="10"/>
      <c r="W1647" s="10"/>
      <c r="X1647" s="902">
        <v>26</v>
      </c>
      <c r="Y1647" s="10" t="s">
        <v>3804</v>
      </c>
      <c r="Z1647" s="10"/>
      <c r="AA1647" s="11"/>
      <c r="AB1647" s="11"/>
    </row>
    <row r="1648" spans="2:28" x14ac:dyDescent="0.3">
      <c r="B1648" s="10" t="s">
        <v>394</v>
      </c>
      <c r="C1648" s="315"/>
      <c r="D1648" s="868" t="s">
        <v>3119</v>
      </c>
      <c r="E1648" s="837" t="str">
        <f>IFERROR(IF(_xlfn.XLOOKUP(Imput[[#This Row],[RFC]],'Alta Proveedor'!D:D,'Alta Proveedor'!E:E)=0,"",_xlfn.XLOOKUP(Imput[[#This Row],[RFC]],'Alta Proveedor'!D:D,'Alta Proveedor'!E:E)),"")</f>
        <v>Nomina-OPERACIÓN</v>
      </c>
      <c r="F1648" s="832" t="s">
        <v>4470</v>
      </c>
      <c r="G1648" s="187">
        <v>1</v>
      </c>
      <c r="H1648" s="1">
        <v>2550</v>
      </c>
      <c r="I1648" s="169">
        <f>Imput[[#This Row],[Cantidad]]*Imput[[#This Row],[Precio Unitario]]</f>
        <v>2550</v>
      </c>
      <c r="J1648" s="11">
        <f>((Imput[[#This Row],[Sub total]])*(0.08))</f>
        <v>204</v>
      </c>
      <c r="K1648" s="11">
        <v>0</v>
      </c>
      <c r="L1648" s="169">
        <f>Imput[[#This Row],[Sub total]]+Imput[[#This Row],[IVA]]-Imput[[#This Row],[Retención / IEPS / Descuento]]</f>
        <v>2754</v>
      </c>
      <c r="M1648" s="844">
        <v>2754</v>
      </c>
      <c r="N1648" s="189"/>
      <c r="O1648" s="1"/>
      <c r="P1648" s="189"/>
      <c r="Q1648" s="190"/>
      <c r="R1648" s="188">
        <v>45955</v>
      </c>
      <c r="S1648" s="193"/>
      <c r="T1648" s="192"/>
      <c r="U1648" s="829" t="s">
        <v>3225</v>
      </c>
      <c r="V1648" s="10"/>
      <c r="W1648" s="10"/>
      <c r="X1648" s="902">
        <v>26</v>
      </c>
      <c r="Y1648" s="10"/>
      <c r="Z1648" s="10"/>
      <c r="AA1648" s="11"/>
      <c r="AB1648" s="11"/>
    </row>
    <row r="1649" spans="2:28" x14ac:dyDescent="0.3">
      <c r="B1649" s="10" t="s">
        <v>394</v>
      </c>
      <c r="C1649" s="315"/>
      <c r="D1649" s="868" t="s">
        <v>3119</v>
      </c>
      <c r="E1649" s="837" t="str">
        <f>IFERROR(IF(_xlfn.XLOOKUP(Imput[[#This Row],[RFC]],'Alta Proveedor'!D:D,'Alta Proveedor'!E:E)=0,"",_xlfn.XLOOKUP(Imput[[#This Row],[RFC]],'Alta Proveedor'!D:D,'Alta Proveedor'!E:E)),"")</f>
        <v>Nomina-OPERACIÓN</v>
      </c>
      <c r="F1649" s="832" t="s">
        <v>4462</v>
      </c>
      <c r="G1649" s="187">
        <v>1</v>
      </c>
      <c r="H1649" s="1">
        <v>2530</v>
      </c>
      <c r="I1649" s="169">
        <f>Imput[[#This Row],[Cantidad]]*Imput[[#This Row],[Precio Unitario]]</f>
        <v>2530</v>
      </c>
      <c r="J1649" s="11">
        <f>((Imput[[#This Row],[Sub total]])*(0.08))</f>
        <v>202.4</v>
      </c>
      <c r="K1649" s="11">
        <v>0</v>
      </c>
      <c r="L1649" s="169">
        <f>Imput[[#This Row],[Sub total]]+Imput[[#This Row],[IVA]]-Imput[[#This Row],[Retención / IEPS / Descuento]]</f>
        <v>2732.4</v>
      </c>
      <c r="M1649" s="844">
        <v>2732.4</v>
      </c>
      <c r="N1649" s="189"/>
      <c r="O1649" s="1"/>
      <c r="P1649" s="189"/>
      <c r="Q1649" s="190"/>
      <c r="R1649" s="188">
        <v>45955</v>
      </c>
      <c r="S1649" s="193"/>
      <c r="T1649" s="192"/>
      <c r="U1649" s="829" t="s">
        <v>3225</v>
      </c>
      <c r="V1649" s="10"/>
      <c r="W1649" s="10"/>
      <c r="X1649" s="902">
        <v>26</v>
      </c>
      <c r="Y1649" s="10"/>
      <c r="Z1649" s="10"/>
      <c r="AA1649" s="11"/>
      <c r="AB1649" s="11"/>
    </row>
    <row r="1650" spans="2:28" x14ac:dyDescent="0.3">
      <c r="B1650" s="10" t="s">
        <v>394</v>
      </c>
      <c r="C1650" s="315"/>
      <c r="D1650" s="868" t="s">
        <v>3119</v>
      </c>
      <c r="E1650" s="837" t="str">
        <f>IFERROR(IF(_xlfn.XLOOKUP(Imput[[#This Row],[RFC]],'Alta Proveedor'!D:D,'Alta Proveedor'!E:E)=0,"",_xlfn.XLOOKUP(Imput[[#This Row],[RFC]],'Alta Proveedor'!D:D,'Alta Proveedor'!E:E)),"")</f>
        <v>Nomina-OPERACIÓN</v>
      </c>
      <c r="F1650" s="832" t="s">
        <v>4494</v>
      </c>
      <c r="G1650" s="187">
        <v>1</v>
      </c>
      <c r="H1650" s="1">
        <v>950</v>
      </c>
      <c r="I1650" s="169">
        <f>Imput[[#This Row],[Cantidad]]*Imput[[#This Row],[Precio Unitario]]</f>
        <v>950</v>
      </c>
      <c r="J1650" s="11">
        <f>((Imput[[#This Row],[Sub total]])*(0.08))</f>
        <v>76</v>
      </c>
      <c r="K1650" s="11">
        <v>0</v>
      </c>
      <c r="L1650" s="169">
        <f>Imput[[#This Row],[Sub total]]+Imput[[#This Row],[IVA]]-Imput[[#This Row],[Retención / IEPS / Descuento]]</f>
        <v>1026</v>
      </c>
      <c r="M1650" s="844">
        <v>1026</v>
      </c>
      <c r="N1650" s="189"/>
      <c r="O1650" s="1"/>
      <c r="P1650" s="189"/>
      <c r="Q1650" s="190"/>
      <c r="R1650" s="188">
        <v>45955</v>
      </c>
      <c r="S1650" s="193"/>
      <c r="T1650" s="192"/>
      <c r="U1650" s="829" t="s">
        <v>3225</v>
      </c>
      <c r="V1650" s="10"/>
      <c r="W1650" s="10"/>
      <c r="X1650" s="902">
        <v>26</v>
      </c>
      <c r="Y1650" s="10"/>
      <c r="Z1650" s="10"/>
      <c r="AA1650" s="11"/>
      <c r="AB1650" s="11"/>
    </row>
    <row r="1651" spans="2:28" x14ac:dyDescent="0.3">
      <c r="B1651" s="10" t="s">
        <v>394</v>
      </c>
      <c r="C1651" s="315"/>
      <c r="D1651" s="868" t="s">
        <v>3119</v>
      </c>
      <c r="E1651" s="837" t="str">
        <f>IFERROR(IF(_xlfn.XLOOKUP(Imput[[#This Row],[RFC]],'Alta Proveedor'!D:D,'Alta Proveedor'!E:E)=0,"",_xlfn.XLOOKUP(Imput[[#This Row],[RFC]],'Alta Proveedor'!D:D,'Alta Proveedor'!E:E)),"")</f>
        <v>Nomina-OPERACIÓN</v>
      </c>
      <c r="F1651" s="832" t="s">
        <v>4473</v>
      </c>
      <c r="G1651" s="187">
        <v>1</v>
      </c>
      <c r="H1651" s="1">
        <v>2850</v>
      </c>
      <c r="I1651" s="169">
        <f>Imput[[#This Row],[Cantidad]]*Imput[[#This Row],[Precio Unitario]]</f>
        <v>2850</v>
      </c>
      <c r="J1651" s="11">
        <f>((Imput[[#This Row],[Sub total]])*(0.08))</f>
        <v>228</v>
      </c>
      <c r="K1651" s="11">
        <v>0</v>
      </c>
      <c r="L1651" s="169">
        <f>Imput[[#This Row],[Sub total]]+Imput[[#This Row],[IVA]]-Imput[[#This Row],[Retención / IEPS / Descuento]]</f>
        <v>3078</v>
      </c>
      <c r="M1651" s="844">
        <v>3078</v>
      </c>
      <c r="N1651" s="189"/>
      <c r="O1651" s="1"/>
      <c r="P1651" s="189"/>
      <c r="Q1651" s="190"/>
      <c r="R1651" s="188">
        <v>45955</v>
      </c>
      <c r="S1651" s="193"/>
      <c r="T1651" s="192"/>
      <c r="U1651" s="829" t="s">
        <v>3225</v>
      </c>
      <c r="V1651" s="10"/>
      <c r="W1651" s="10"/>
      <c r="X1651" s="902">
        <v>26</v>
      </c>
      <c r="Y1651" s="10"/>
      <c r="Z1651" s="10"/>
      <c r="AA1651" s="11"/>
      <c r="AB1651" s="11"/>
    </row>
    <row r="1652" spans="2:28" x14ac:dyDescent="0.3">
      <c r="B1652" s="10" t="s">
        <v>394</v>
      </c>
      <c r="C1652" s="315"/>
      <c r="D1652" s="868" t="s">
        <v>3119</v>
      </c>
      <c r="E1652" s="837" t="str">
        <f>IFERROR(IF(_xlfn.XLOOKUP(Imput[[#This Row],[RFC]],'Alta Proveedor'!D:D,'Alta Proveedor'!E:E)=0,"",_xlfn.XLOOKUP(Imput[[#This Row],[RFC]],'Alta Proveedor'!D:D,'Alta Proveedor'!E:E)),"")</f>
        <v>Nomina-OPERACIÓN</v>
      </c>
      <c r="F1652" s="832" t="s">
        <v>3166</v>
      </c>
      <c r="G1652" s="187">
        <v>1</v>
      </c>
      <c r="H1652" s="1">
        <v>4450</v>
      </c>
      <c r="I1652" s="169">
        <f>Imput[[#This Row],[Cantidad]]*Imput[[#This Row],[Precio Unitario]]</f>
        <v>4450</v>
      </c>
      <c r="J1652" s="11">
        <f>((Imput[[#This Row],[Sub total]])*(0.08))</f>
        <v>356</v>
      </c>
      <c r="K1652" s="11">
        <v>0</v>
      </c>
      <c r="L1652" s="169">
        <f>Imput[[#This Row],[Sub total]]+Imput[[#This Row],[IVA]]-Imput[[#This Row],[Retención / IEPS / Descuento]]</f>
        <v>4806</v>
      </c>
      <c r="M1652" s="844">
        <v>4806</v>
      </c>
      <c r="N1652" s="189"/>
      <c r="O1652" s="1"/>
      <c r="P1652" s="189"/>
      <c r="Q1652" s="190"/>
      <c r="R1652" s="188">
        <v>45955</v>
      </c>
      <c r="S1652" s="193"/>
      <c r="T1652" s="192"/>
      <c r="U1652" s="829" t="s">
        <v>3225</v>
      </c>
      <c r="V1652" s="10"/>
      <c r="W1652" s="10"/>
      <c r="X1652" s="902">
        <v>26</v>
      </c>
      <c r="Y1652" s="10"/>
      <c r="Z1652" s="10"/>
      <c r="AA1652" s="11"/>
      <c r="AB1652" s="11"/>
    </row>
    <row r="1653" spans="2:28" x14ac:dyDescent="0.3">
      <c r="B1653" s="10" t="s">
        <v>394</v>
      </c>
      <c r="C1653" s="315"/>
      <c r="D1653" s="868" t="s">
        <v>3119</v>
      </c>
      <c r="E1653" s="837" t="str">
        <f>IFERROR(IF(_xlfn.XLOOKUP(Imput[[#This Row],[RFC]],'Alta Proveedor'!D:D,'Alta Proveedor'!E:E)=0,"",_xlfn.XLOOKUP(Imput[[#This Row],[RFC]],'Alta Proveedor'!D:D,'Alta Proveedor'!E:E)),"")</f>
        <v>Nomina-OPERACIÓN</v>
      </c>
      <c r="F1653" s="832" t="s">
        <v>4475</v>
      </c>
      <c r="G1653" s="187">
        <v>1</v>
      </c>
      <c r="H1653" s="1">
        <v>2530</v>
      </c>
      <c r="I1653" s="169">
        <f>Imput[[#This Row],[Cantidad]]*Imput[[#This Row],[Precio Unitario]]</f>
        <v>2530</v>
      </c>
      <c r="J1653" s="11">
        <f>((Imput[[#This Row],[Sub total]])*(0.08))</f>
        <v>202.4</v>
      </c>
      <c r="K1653" s="11">
        <v>0</v>
      </c>
      <c r="L1653" s="169">
        <f>Imput[[#This Row],[Sub total]]+Imput[[#This Row],[IVA]]-Imput[[#This Row],[Retención / IEPS / Descuento]]</f>
        <v>2732.4</v>
      </c>
      <c r="M1653" s="844">
        <v>2732.4</v>
      </c>
      <c r="N1653" s="189"/>
      <c r="O1653" s="1"/>
      <c r="P1653" s="189"/>
      <c r="Q1653" s="190"/>
      <c r="R1653" s="188">
        <v>45955</v>
      </c>
      <c r="S1653" s="193"/>
      <c r="T1653" s="192"/>
      <c r="U1653" s="829" t="s">
        <v>3225</v>
      </c>
      <c r="V1653" s="10"/>
      <c r="W1653" s="10"/>
      <c r="X1653" s="902">
        <v>26</v>
      </c>
      <c r="Y1653" s="10"/>
      <c r="Z1653" s="10"/>
      <c r="AA1653" s="11"/>
      <c r="AB1653" s="11"/>
    </row>
    <row r="1654" spans="2:28" x14ac:dyDescent="0.3">
      <c r="B1654" s="10" t="s">
        <v>394</v>
      </c>
      <c r="C1654" s="315"/>
      <c r="D1654" s="868" t="s">
        <v>3225</v>
      </c>
      <c r="E1654" s="837" t="str">
        <f>IFERROR(IF(_xlfn.XLOOKUP(Imput[[#This Row],[RFC]],'Alta Proveedor'!D:D,'Alta Proveedor'!E:E)=0,"",_xlfn.XLOOKUP(Imput[[#This Row],[RFC]],'Alta Proveedor'!D:D,'Alta Proveedor'!E:E)),"")</f>
        <v>GASTOS SIN FACTURA</v>
      </c>
      <c r="F1654" s="832" t="s">
        <v>3214</v>
      </c>
      <c r="G1654" s="187">
        <v>1</v>
      </c>
      <c r="H1654" s="1">
        <v>30000</v>
      </c>
      <c r="I1654" s="169">
        <f>Imput[[#This Row],[Cantidad]]*Imput[[#This Row],[Precio Unitario]]</f>
        <v>30000</v>
      </c>
      <c r="J1654" s="11">
        <f>((Imput[[#This Row],[Sub total]])*(0.08))</f>
        <v>2400</v>
      </c>
      <c r="K1654" s="11">
        <v>0</v>
      </c>
      <c r="L1654" s="169">
        <f>Imput[[#This Row],[Sub total]]+Imput[[#This Row],[IVA]]-Imput[[#This Row],[Retención / IEPS / Descuento]]</f>
        <v>32400</v>
      </c>
      <c r="M1654" s="844">
        <v>32400</v>
      </c>
      <c r="N1654" s="189"/>
      <c r="O1654" s="1"/>
      <c r="P1654" s="189"/>
      <c r="Q1654" s="190"/>
      <c r="R1654" s="188">
        <v>45955</v>
      </c>
      <c r="S1654" s="193"/>
      <c r="T1654" s="192"/>
      <c r="U1654" s="829" t="s">
        <v>3225</v>
      </c>
      <c r="V1654" s="10"/>
      <c r="W1654" s="10"/>
      <c r="X1654" s="902">
        <v>26</v>
      </c>
      <c r="Y1654" s="10" t="s">
        <v>3804</v>
      </c>
      <c r="Z1654" s="10"/>
      <c r="AA1654" s="11"/>
      <c r="AB1654" s="11"/>
    </row>
    <row r="1655" spans="2:28" x14ac:dyDescent="0.3">
      <c r="B1655" s="10" t="s">
        <v>394</v>
      </c>
      <c r="C1655" s="315"/>
      <c r="D1655" s="868" t="s">
        <v>3119</v>
      </c>
      <c r="E1655" s="837" t="str">
        <f>IFERROR(IF(_xlfn.XLOOKUP(Imput[[#This Row],[RFC]],'Alta Proveedor'!D:D,'Alta Proveedor'!E:E)=0,"",_xlfn.XLOOKUP(Imput[[#This Row],[RFC]],'Alta Proveedor'!D:D,'Alta Proveedor'!E:E)),"")</f>
        <v>Nomina-OPERACIÓN</v>
      </c>
      <c r="F1655" s="832" t="s">
        <v>4470</v>
      </c>
      <c r="G1655" s="187">
        <v>1</v>
      </c>
      <c r="H1655" s="1">
        <v>4948</v>
      </c>
      <c r="I1655" s="169">
        <f>Imput[[#This Row],[Cantidad]]*Imput[[#This Row],[Precio Unitario]]</f>
        <v>4948</v>
      </c>
      <c r="J1655" s="11">
        <f>((Imput[[#This Row],[Sub total]])*(0.08))</f>
        <v>395.84000000000003</v>
      </c>
      <c r="K1655" s="11">
        <v>0</v>
      </c>
      <c r="L1655" s="169">
        <f>Imput[[#This Row],[Sub total]]+Imput[[#This Row],[IVA]]-Imput[[#This Row],[Retención / IEPS / Descuento]]</f>
        <v>5343.84</v>
      </c>
      <c r="M1655" s="844">
        <v>5343.84</v>
      </c>
      <c r="N1655" s="189"/>
      <c r="O1655" s="1"/>
      <c r="P1655" s="189"/>
      <c r="Q1655" s="190"/>
      <c r="R1655" s="188">
        <v>45961</v>
      </c>
      <c r="S1655" s="193"/>
      <c r="T1655" s="192"/>
      <c r="U1655" s="829" t="s">
        <v>3225</v>
      </c>
      <c r="V1655" s="10"/>
      <c r="W1655" s="10"/>
      <c r="X1655" s="902">
        <v>26</v>
      </c>
      <c r="Y1655" s="10"/>
      <c r="Z1655" s="10"/>
      <c r="AA1655" s="11"/>
      <c r="AB1655" s="11"/>
    </row>
    <row r="1656" spans="2:28" x14ac:dyDescent="0.3">
      <c r="B1656" s="10" t="s">
        <v>394</v>
      </c>
      <c r="C1656" s="315"/>
      <c r="D1656" s="868" t="s">
        <v>3119</v>
      </c>
      <c r="E1656" s="837" t="str">
        <f>IFERROR(IF(_xlfn.XLOOKUP(Imput[[#This Row],[RFC]],'Alta Proveedor'!D:D,'Alta Proveedor'!E:E)=0,"",_xlfn.XLOOKUP(Imput[[#This Row],[RFC]],'Alta Proveedor'!D:D,'Alta Proveedor'!E:E)),"")</f>
        <v>Nomina-OPERACIÓN</v>
      </c>
      <c r="F1656" s="832" t="s">
        <v>4494</v>
      </c>
      <c r="G1656" s="187">
        <v>1</v>
      </c>
      <c r="H1656" s="1">
        <v>5600</v>
      </c>
      <c r="I1656" s="169">
        <f>Imput[[#This Row],[Cantidad]]*Imput[[#This Row],[Precio Unitario]]</f>
        <v>5600</v>
      </c>
      <c r="J1656" s="11">
        <f>((Imput[[#This Row],[Sub total]])*(0.08))</f>
        <v>448</v>
      </c>
      <c r="K1656" s="11">
        <v>0</v>
      </c>
      <c r="L1656" s="169">
        <f>Imput[[#This Row],[Sub total]]+Imput[[#This Row],[IVA]]-Imput[[#This Row],[Retención / IEPS / Descuento]]</f>
        <v>6048</v>
      </c>
      <c r="M1656" s="844">
        <v>6048</v>
      </c>
      <c r="N1656" s="189"/>
      <c r="O1656" s="1"/>
      <c r="P1656" s="189"/>
      <c r="Q1656" s="190"/>
      <c r="R1656" s="188">
        <v>45961</v>
      </c>
      <c r="S1656" s="193"/>
      <c r="T1656" s="192"/>
      <c r="U1656" s="829" t="s">
        <v>3225</v>
      </c>
      <c r="V1656" s="10"/>
      <c r="W1656" s="10"/>
      <c r="X1656" s="902">
        <v>26</v>
      </c>
      <c r="Y1656" s="10"/>
      <c r="Z1656" s="10"/>
      <c r="AA1656" s="11"/>
      <c r="AB1656" s="11"/>
    </row>
    <row r="1657" spans="2:28" x14ac:dyDescent="0.3">
      <c r="B1657" s="10" t="s">
        <v>394</v>
      </c>
      <c r="C1657" s="315"/>
      <c r="D1657" s="868" t="s">
        <v>3119</v>
      </c>
      <c r="E1657" s="837" t="str">
        <f>IFERROR(IF(_xlfn.XLOOKUP(Imput[[#This Row],[RFC]],'Alta Proveedor'!D:D,'Alta Proveedor'!E:E)=0,"",_xlfn.XLOOKUP(Imput[[#This Row],[RFC]],'Alta Proveedor'!D:D,'Alta Proveedor'!E:E)),"")</f>
        <v>Nomina-OPERACIÓN</v>
      </c>
      <c r="F1657" s="832" t="s">
        <v>4462</v>
      </c>
      <c r="G1657" s="187">
        <v>1</v>
      </c>
      <c r="H1657" s="1">
        <v>3120</v>
      </c>
      <c r="I1657" s="169">
        <f>Imput[[#This Row],[Cantidad]]*Imput[[#This Row],[Precio Unitario]]</f>
        <v>3120</v>
      </c>
      <c r="J1657" s="11">
        <f>((Imput[[#This Row],[Sub total]])*(0.08))</f>
        <v>249.6</v>
      </c>
      <c r="K1657" s="11">
        <v>0</v>
      </c>
      <c r="L1657" s="169">
        <f>Imput[[#This Row],[Sub total]]+Imput[[#This Row],[IVA]]-Imput[[#This Row],[Retención / IEPS / Descuento]]</f>
        <v>3369.6</v>
      </c>
      <c r="M1657" s="844">
        <v>3369.6</v>
      </c>
      <c r="N1657" s="189"/>
      <c r="O1657" s="1"/>
      <c r="P1657" s="189"/>
      <c r="Q1657" s="190"/>
      <c r="R1657" s="188">
        <v>45961</v>
      </c>
      <c r="S1657" s="193"/>
      <c r="T1657" s="192"/>
      <c r="U1657" s="829" t="s">
        <v>3225</v>
      </c>
      <c r="V1657" s="10"/>
      <c r="W1657" s="10"/>
      <c r="X1657" s="902">
        <v>26</v>
      </c>
      <c r="Y1657" s="10"/>
      <c r="Z1657" s="10"/>
      <c r="AA1657" s="11"/>
      <c r="AB1657" s="11"/>
    </row>
    <row r="1658" spans="2:28" x14ac:dyDescent="0.3">
      <c r="B1658" s="10" t="s">
        <v>394</v>
      </c>
      <c r="C1658" s="315"/>
      <c r="D1658" s="868" t="s">
        <v>3119</v>
      </c>
      <c r="E1658" s="837" t="str">
        <f>IFERROR(IF(_xlfn.XLOOKUP(Imput[[#This Row],[RFC]],'Alta Proveedor'!D:D,'Alta Proveedor'!E:E)=0,"",_xlfn.XLOOKUP(Imput[[#This Row],[RFC]],'Alta Proveedor'!D:D,'Alta Proveedor'!E:E)),"")</f>
        <v>Nomina-OPERACIÓN</v>
      </c>
      <c r="F1658" s="832" t="s">
        <v>4475</v>
      </c>
      <c r="G1658" s="187">
        <v>1</v>
      </c>
      <c r="H1658" s="1">
        <v>3120</v>
      </c>
      <c r="I1658" s="169">
        <f>Imput[[#This Row],[Cantidad]]*Imput[[#This Row],[Precio Unitario]]</f>
        <v>3120</v>
      </c>
      <c r="J1658" s="11">
        <f>((Imput[[#This Row],[Sub total]])*(0.08))</f>
        <v>249.6</v>
      </c>
      <c r="K1658" s="11">
        <v>0</v>
      </c>
      <c r="L1658" s="169">
        <f>Imput[[#This Row],[Sub total]]+Imput[[#This Row],[IVA]]-Imput[[#This Row],[Retención / IEPS / Descuento]]</f>
        <v>3369.6</v>
      </c>
      <c r="M1658" s="844">
        <v>3369.6</v>
      </c>
      <c r="N1658" s="189"/>
      <c r="O1658" s="1"/>
      <c r="P1658" s="189"/>
      <c r="Q1658" s="190"/>
      <c r="R1658" s="188">
        <v>45961</v>
      </c>
      <c r="S1658" s="193"/>
      <c r="T1658" s="192"/>
      <c r="U1658" s="829" t="s">
        <v>3225</v>
      </c>
      <c r="V1658" s="10"/>
      <c r="W1658" s="10"/>
      <c r="X1658" s="902">
        <v>26</v>
      </c>
      <c r="Y1658" s="10"/>
      <c r="Z1658" s="10"/>
      <c r="AA1658" s="11"/>
      <c r="AB1658" s="11"/>
    </row>
    <row r="1659" spans="2:28" x14ac:dyDescent="0.3">
      <c r="B1659" s="10" t="s">
        <v>394</v>
      </c>
      <c r="C1659" s="315"/>
      <c r="D1659" s="868" t="s">
        <v>3119</v>
      </c>
      <c r="E1659" s="837" t="str">
        <f>IFERROR(IF(_xlfn.XLOOKUP(Imput[[#This Row],[RFC]],'Alta Proveedor'!D:D,'Alta Proveedor'!E:E)=0,"",_xlfn.XLOOKUP(Imput[[#This Row],[RFC]],'Alta Proveedor'!D:D,'Alta Proveedor'!E:E)),"")</f>
        <v>Nomina-OPERACIÓN</v>
      </c>
      <c r="F1659" s="832" t="s">
        <v>4495</v>
      </c>
      <c r="G1659" s="187">
        <v>1</v>
      </c>
      <c r="H1659" s="1">
        <v>5548</v>
      </c>
      <c r="I1659" s="169">
        <f>Imput[[#This Row],[Cantidad]]*Imput[[#This Row],[Precio Unitario]]</f>
        <v>5548</v>
      </c>
      <c r="J1659" s="11">
        <f>((Imput[[#This Row],[Sub total]])*(0.08))</f>
        <v>443.84000000000003</v>
      </c>
      <c r="K1659" s="11">
        <v>0</v>
      </c>
      <c r="L1659" s="169">
        <f>Imput[[#This Row],[Sub total]]+Imput[[#This Row],[IVA]]-Imput[[#This Row],[Retención / IEPS / Descuento]]</f>
        <v>5991.84</v>
      </c>
      <c r="M1659" s="844">
        <v>5991.84</v>
      </c>
      <c r="N1659" s="189"/>
      <c r="O1659" s="1"/>
      <c r="P1659" s="189"/>
      <c r="Q1659" s="190"/>
      <c r="R1659" s="188">
        <v>45961</v>
      </c>
      <c r="S1659" s="193"/>
      <c r="T1659" s="192"/>
      <c r="U1659" s="829" t="s">
        <v>3225</v>
      </c>
      <c r="V1659" s="10"/>
      <c r="W1659" s="10"/>
      <c r="X1659" s="902">
        <v>26</v>
      </c>
      <c r="Y1659" s="10"/>
      <c r="Z1659" s="10"/>
      <c r="AA1659" s="11"/>
      <c r="AB1659" s="11"/>
    </row>
    <row r="1660" spans="2:28" x14ac:dyDescent="0.3">
      <c r="B1660" s="10" t="s">
        <v>394</v>
      </c>
      <c r="C1660" s="315" t="s">
        <v>1773</v>
      </c>
      <c r="D1660" s="868" t="s">
        <v>3118</v>
      </c>
      <c r="E1660" s="837" t="str">
        <f>IFERROR(IF(_xlfn.XLOOKUP(Imput[[#This Row],[RFC]],'Alta Proveedor'!D:D,'Alta Proveedor'!E:E)=0,"",_xlfn.XLOOKUP(Imput[[#This Row],[RFC]],'Alta Proveedor'!D:D,'Alta Proveedor'!E:E)),"")</f>
        <v>Nomina-ADMON</v>
      </c>
      <c r="F1660" s="832" t="s">
        <v>4563</v>
      </c>
      <c r="G1660" s="187">
        <v>1</v>
      </c>
      <c r="H1660" s="1">
        <v>4182</v>
      </c>
      <c r="I1660" s="169">
        <f>Imput[[#This Row],[Cantidad]]*Imput[[#This Row],[Precio Unitario]]</f>
        <v>4182</v>
      </c>
      <c r="J1660" s="11">
        <v>0</v>
      </c>
      <c r="K1660" s="11">
        <v>0</v>
      </c>
      <c r="L1660" s="169">
        <f>Imput[[#This Row],[Sub total]]+Imput[[#This Row],[IVA]]-Imput[[#This Row],[Retención / IEPS / Descuento]]</f>
        <v>4182</v>
      </c>
      <c r="M1660" s="844">
        <v>4182</v>
      </c>
      <c r="N1660" s="189"/>
      <c r="O1660" s="1"/>
      <c r="P1660" s="189"/>
      <c r="Q1660" s="190"/>
      <c r="R1660" s="188">
        <v>45961</v>
      </c>
      <c r="S1660" s="193"/>
      <c r="T1660" s="192"/>
      <c r="U1660" s="829" t="s">
        <v>3225</v>
      </c>
      <c r="V1660" s="10"/>
      <c r="W1660" s="10"/>
      <c r="X1660" s="902">
        <v>26</v>
      </c>
      <c r="Y1660" s="10"/>
      <c r="Z1660" s="10"/>
      <c r="AA1660" s="11"/>
      <c r="AB1660" s="11"/>
    </row>
    <row r="1661" spans="2:28" x14ac:dyDescent="0.3">
      <c r="B1661" s="10" t="s">
        <v>394</v>
      </c>
      <c r="C1661" s="315" t="s">
        <v>1756</v>
      </c>
      <c r="D1661" s="868" t="s">
        <v>3118</v>
      </c>
      <c r="E1661" s="837" t="str">
        <f>IFERROR(IF(_xlfn.XLOOKUP(Imput[[#This Row],[RFC]],'Alta Proveedor'!D:D,'Alta Proveedor'!E:E)=0,"",_xlfn.XLOOKUP(Imput[[#This Row],[RFC]],'Alta Proveedor'!D:D,'Alta Proveedor'!E:E)),"")</f>
        <v>Nomina-ADMON</v>
      </c>
      <c r="F1661" s="832" t="s">
        <v>4564</v>
      </c>
      <c r="G1661" s="187">
        <v>1</v>
      </c>
      <c r="H1661" s="1">
        <v>4182</v>
      </c>
      <c r="I1661" s="169">
        <f>Imput[[#This Row],[Cantidad]]*Imput[[#This Row],[Precio Unitario]]</f>
        <v>4182</v>
      </c>
      <c r="J1661" s="11">
        <v>0</v>
      </c>
      <c r="K1661" s="11">
        <v>0</v>
      </c>
      <c r="L1661" s="169">
        <f>Imput[[#This Row],[Sub total]]+Imput[[#This Row],[IVA]]-Imput[[#This Row],[Retención / IEPS / Descuento]]</f>
        <v>4182</v>
      </c>
      <c r="M1661" s="844">
        <v>4182</v>
      </c>
      <c r="N1661" s="189"/>
      <c r="O1661" s="1"/>
      <c r="P1661" s="189"/>
      <c r="Q1661" s="190"/>
      <c r="R1661" s="188">
        <v>45961</v>
      </c>
      <c r="S1661" s="193"/>
      <c r="T1661" s="192"/>
      <c r="U1661" s="829" t="s">
        <v>3225</v>
      </c>
      <c r="V1661" s="10"/>
      <c r="W1661" s="10"/>
      <c r="X1661" s="902">
        <v>26</v>
      </c>
      <c r="Y1661" s="10"/>
      <c r="Z1661" s="10"/>
      <c r="AA1661" s="11"/>
      <c r="AB1661" s="11"/>
    </row>
    <row r="1662" spans="2:28" x14ac:dyDescent="0.3">
      <c r="B1662" s="10" t="s">
        <v>394</v>
      </c>
      <c r="C1662" s="315" t="s">
        <v>1774</v>
      </c>
      <c r="D1662" s="868" t="s">
        <v>3118</v>
      </c>
      <c r="E1662" s="837" t="str">
        <f>IFERROR(IF(_xlfn.XLOOKUP(Imput[[#This Row],[RFC]],'Alta Proveedor'!D:D,'Alta Proveedor'!E:E)=0,"",_xlfn.XLOOKUP(Imput[[#This Row],[RFC]],'Alta Proveedor'!D:D,'Alta Proveedor'!E:E)),"")</f>
        <v>Nomina-ADMON</v>
      </c>
      <c r="F1662" s="832" t="s">
        <v>4565</v>
      </c>
      <c r="G1662" s="187">
        <v>1</v>
      </c>
      <c r="H1662" s="1">
        <v>4182</v>
      </c>
      <c r="I1662" s="169">
        <f>Imput[[#This Row],[Cantidad]]*Imput[[#This Row],[Precio Unitario]]</f>
        <v>4182</v>
      </c>
      <c r="J1662" s="11">
        <v>0</v>
      </c>
      <c r="K1662" s="11">
        <v>0</v>
      </c>
      <c r="L1662" s="169">
        <f>Imput[[#This Row],[Sub total]]+Imput[[#This Row],[IVA]]-Imput[[#This Row],[Retención / IEPS / Descuento]]</f>
        <v>4182</v>
      </c>
      <c r="M1662" s="844">
        <v>4182</v>
      </c>
      <c r="N1662" s="189"/>
      <c r="O1662" s="1"/>
      <c r="P1662" s="189"/>
      <c r="Q1662" s="190"/>
      <c r="R1662" s="188">
        <v>45961</v>
      </c>
      <c r="S1662" s="193"/>
      <c r="T1662" s="192"/>
      <c r="U1662" s="829" t="s">
        <v>3225</v>
      </c>
      <c r="V1662" s="10"/>
      <c r="W1662" s="10"/>
      <c r="X1662" s="902">
        <v>26</v>
      </c>
      <c r="Y1662" s="10"/>
      <c r="Z1662" s="10"/>
      <c r="AA1662" s="11"/>
      <c r="AB1662" s="11"/>
    </row>
    <row r="1663" spans="2:28" x14ac:dyDescent="0.3">
      <c r="B1663" s="10" t="s">
        <v>394</v>
      </c>
      <c r="C1663" s="315" t="s">
        <v>1754</v>
      </c>
      <c r="D1663" s="868" t="s">
        <v>3118</v>
      </c>
      <c r="E1663" s="837" t="str">
        <f>IFERROR(IF(_xlfn.XLOOKUP(Imput[[#This Row],[RFC]],'Alta Proveedor'!D:D,'Alta Proveedor'!E:E)=0,"",_xlfn.XLOOKUP(Imput[[#This Row],[RFC]],'Alta Proveedor'!D:D,'Alta Proveedor'!E:E)),"")</f>
        <v>Nomina-ADMON</v>
      </c>
      <c r="F1663" s="832" t="s">
        <v>4566</v>
      </c>
      <c r="G1663" s="187">
        <v>1</v>
      </c>
      <c r="H1663" s="1">
        <v>4182</v>
      </c>
      <c r="I1663" s="169">
        <f>Imput[[#This Row],[Cantidad]]*Imput[[#This Row],[Precio Unitario]]</f>
        <v>4182</v>
      </c>
      <c r="J1663" s="11">
        <v>0</v>
      </c>
      <c r="K1663" s="11">
        <v>0</v>
      </c>
      <c r="L1663" s="169">
        <f>Imput[[#This Row],[Sub total]]+Imput[[#This Row],[IVA]]-Imput[[#This Row],[Retención / IEPS / Descuento]]</f>
        <v>4182</v>
      </c>
      <c r="M1663" s="844">
        <v>4182</v>
      </c>
      <c r="N1663" s="189"/>
      <c r="O1663" s="1"/>
      <c r="P1663" s="189"/>
      <c r="Q1663" s="190"/>
      <c r="R1663" s="188">
        <v>45961</v>
      </c>
      <c r="S1663" s="193"/>
      <c r="T1663" s="192"/>
      <c r="U1663" s="829" t="s">
        <v>3225</v>
      </c>
      <c r="V1663" s="10"/>
      <c r="W1663" s="10"/>
      <c r="X1663" s="902">
        <v>26</v>
      </c>
      <c r="Y1663" s="10"/>
      <c r="Z1663" s="10"/>
      <c r="AA1663" s="11"/>
      <c r="AB1663" s="11"/>
    </row>
    <row r="1664" spans="2:28" x14ac:dyDescent="0.3">
      <c r="B1664" s="10" t="s">
        <v>394</v>
      </c>
      <c r="C1664" s="315" t="s">
        <v>1773</v>
      </c>
      <c r="D1664" s="868" t="s">
        <v>3118</v>
      </c>
      <c r="E1664" s="837" t="str">
        <f>IFERROR(IF(_xlfn.XLOOKUP(Imput[[#This Row],[RFC]],'Alta Proveedor'!D:D,'Alta Proveedor'!E:E)=0,"",_xlfn.XLOOKUP(Imput[[#This Row],[RFC]],'Alta Proveedor'!D:D,'Alta Proveedor'!E:E)),"")</f>
        <v>Nomina-ADMON</v>
      </c>
      <c r="F1664" s="832" t="s">
        <v>4567</v>
      </c>
      <c r="G1664" s="187">
        <v>1</v>
      </c>
      <c r="H1664" s="1">
        <v>2318</v>
      </c>
      <c r="I1664" s="169">
        <f>Imput[[#This Row],[Cantidad]]*Imput[[#This Row],[Precio Unitario]]</f>
        <v>2318</v>
      </c>
      <c r="J1664" s="11">
        <f>Imput[[#This Row],[Sub total]]*0.08</f>
        <v>185.44</v>
      </c>
      <c r="K1664" s="11">
        <v>0</v>
      </c>
      <c r="L1664" s="169">
        <f>Imput[[#This Row],[Sub total]]+Imput[[#This Row],[IVA]]-Imput[[#This Row],[Retención / IEPS / Descuento]]</f>
        <v>2503.44</v>
      </c>
      <c r="M1664" s="844">
        <v>2503.44</v>
      </c>
      <c r="N1664" s="189"/>
      <c r="O1664" s="1"/>
      <c r="P1664" s="189"/>
      <c r="Q1664" s="190"/>
      <c r="R1664" s="188">
        <v>45961</v>
      </c>
      <c r="S1664" s="193"/>
      <c r="T1664" s="192"/>
      <c r="U1664" s="829" t="s">
        <v>3225</v>
      </c>
      <c r="V1664" s="10"/>
      <c r="W1664" s="10"/>
      <c r="X1664" s="902">
        <v>26</v>
      </c>
      <c r="Y1664" s="10"/>
      <c r="Z1664" s="10"/>
      <c r="AA1664" s="11"/>
      <c r="AB1664" s="11"/>
    </row>
    <row r="1665" spans="2:28" x14ac:dyDescent="0.3">
      <c r="B1665" s="10" t="s">
        <v>394</v>
      </c>
      <c r="C1665" s="315" t="s">
        <v>1756</v>
      </c>
      <c r="D1665" s="868" t="s">
        <v>3118</v>
      </c>
      <c r="E1665" s="837" t="str">
        <f>IFERROR(IF(_xlfn.XLOOKUP(Imput[[#This Row],[RFC]],'Alta Proveedor'!D:D,'Alta Proveedor'!E:E)=0,"",_xlfn.XLOOKUP(Imput[[#This Row],[RFC]],'Alta Proveedor'!D:D,'Alta Proveedor'!E:E)),"")</f>
        <v>Nomina-ADMON</v>
      </c>
      <c r="F1665" s="832" t="s">
        <v>4568</v>
      </c>
      <c r="G1665" s="187">
        <v>1</v>
      </c>
      <c r="H1665" s="1">
        <v>8533</v>
      </c>
      <c r="I1665" s="169">
        <f>Imput[[#This Row],[Cantidad]]*Imput[[#This Row],[Precio Unitario]]</f>
        <v>8533</v>
      </c>
      <c r="J1665" s="11">
        <f>Imput[[#This Row],[Sub total]]*0.08</f>
        <v>682.64</v>
      </c>
      <c r="K1665" s="11">
        <v>0</v>
      </c>
      <c r="L1665" s="169">
        <f>Imput[[#This Row],[Sub total]]+Imput[[#This Row],[IVA]]-Imput[[#This Row],[Retención / IEPS / Descuento]]</f>
        <v>9215.64</v>
      </c>
      <c r="M1665" s="844">
        <v>9215.64</v>
      </c>
      <c r="N1665" s="189"/>
      <c r="O1665" s="1"/>
      <c r="P1665" s="189"/>
      <c r="Q1665" s="190"/>
      <c r="R1665" s="188">
        <v>45961</v>
      </c>
      <c r="S1665" s="193"/>
      <c r="T1665" s="192"/>
      <c r="U1665" s="829" t="s">
        <v>3225</v>
      </c>
      <c r="V1665" s="10"/>
      <c r="W1665" s="10"/>
      <c r="X1665" s="902">
        <v>26</v>
      </c>
      <c r="Y1665" s="10"/>
      <c r="Z1665" s="10"/>
      <c r="AA1665" s="11"/>
      <c r="AB1665" s="11"/>
    </row>
    <row r="1666" spans="2:28" x14ac:dyDescent="0.3">
      <c r="B1666" s="10" t="s">
        <v>394</v>
      </c>
      <c r="C1666" s="315" t="s">
        <v>1774</v>
      </c>
      <c r="D1666" s="868" t="s">
        <v>3118</v>
      </c>
      <c r="E1666" s="837" t="str">
        <f>IFERROR(IF(_xlfn.XLOOKUP(Imput[[#This Row],[RFC]],'Alta Proveedor'!D:D,'Alta Proveedor'!E:E)=0,"",_xlfn.XLOOKUP(Imput[[#This Row],[RFC]],'Alta Proveedor'!D:D,'Alta Proveedor'!E:E)),"")</f>
        <v>Nomina-ADMON</v>
      </c>
      <c r="F1666" s="832" t="s">
        <v>4569</v>
      </c>
      <c r="G1666" s="187">
        <v>1</v>
      </c>
      <c r="H1666" s="1">
        <v>11313.6</v>
      </c>
      <c r="I1666" s="169">
        <f>Imput[[#This Row],[Cantidad]]*Imput[[#This Row],[Precio Unitario]]</f>
        <v>11313.6</v>
      </c>
      <c r="J1666" s="11">
        <f>Imput[[#This Row],[Sub total]]*0.08</f>
        <v>905.08800000000008</v>
      </c>
      <c r="K1666" s="11">
        <v>0</v>
      </c>
      <c r="L1666" s="169">
        <f>Imput[[#This Row],[Sub total]]+Imput[[#This Row],[IVA]]-Imput[[#This Row],[Retención / IEPS / Descuento]]</f>
        <v>12218.688</v>
      </c>
      <c r="M1666" s="844">
        <v>12218.688</v>
      </c>
      <c r="N1666" s="189"/>
      <c r="O1666" s="1"/>
      <c r="P1666" s="189"/>
      <c r="Q1666" s="190"/>
      <c r="R1666" s="188">
        <v>45961</v>
      </c>
      <c r="S1666" s="193"/>
      <c r="T1666" s="192"/>
      <c r="U1666" s="829" t="s">
        <v>3225</v>
      </c>
      <c r="V1666" s="10"/>
      <c r="W1666" s="10"/>
      <c r="X1666" s="902">
        <v>26</v>
      </c>
      <c r="Y1666" s="10"/>
      <c r="Z1666" s="10"/>
      <c r="AA1666" s="11"/>
      <c r="AB1666" s="11"/>
    </row>
    <row r="1667" spans="2:28" x14ac:dyDescent="0.3">
      <c r="B1667" s="10" t="s">
        <v>394</v>
      </c>
      <c r="C1667" s="315" t="s">
        <v>1754</v>
      </c>
      <c r="D1667" s="868" t="s">
        <v>3118</v>
      </c>
      <c r="E1667" s="837" t="str">
        <f>IFERROR(IF(_xlfn.XLOOKUP(Imput[[#This Row],[RFC]],'Alta Proveedor'!D:D,'Alta Proveedor'!E:E)=0,"",_xlfn.XLOOKUP(Imput[[#This Row],[RFC]],'Alta Proveedor'!D:D,'Alta Proveedor'!E:E)),"")</f>
        <v>Nomina-ADMON</v>
      </c>
      <c r="F1667" s="832" t="s">
        <v>4570</v>
      </c>
      <c r="G1667" s="187">
        <v>1</v>
      </c>
      <c r="H1667" s="1">
        <v>9818</v>
      </c>
      <c r="I1667" s="169">
        <f>Imput[[#This Row],[Cantidad]]*Imput[[#This Row],[Precio Unitario]]</f>
        <v>9818</v>
      </c>
      <c r="J1667" s="11">
        <f>Imput[[#This Row],[Sub total]]*0.08</f>
        <v>785.44</v>
      </c>
      <c r="K1667" s="11">
        <v>0</v>
      </c>
      <c r="L1667" s="169">
        <f>Imput[[#This Row],[Sub total]]+Imput[[#This Row],[IVA]]-Imput[[#This Row],[Retención / IEPS / Descuento]]</f>
        <v>10603.44</v>
      </c>
      <c r="M1667" s="844">
        <v>10603.44</v>
      </c>
      <c r="N1667" s="189"/>
      <c r="O1667" s="1"/>
      <c r="P1667" s="189"/>
      <c r="Q1667" s="190"/>
      <c r="R1667" s="188">
        <v>45961</v>
      </c>
      <c r="S1667" s="193"/>
      <c r="T1667" s="192"/>
      <c r="U1667" s="829" t="s">
        <v>3225</v>
      </c>
      <c r="V1667" s="10"/>
      <c r="W1667" s="10"/>
      <c r="X1667" s="902">
        <v>26</v>
      </c>
      <c r="Y1667" s="10"/>
      <c r="Z1667" s="10"/>
      <c r="AA1667" s="11"/>
      <c r="AB1667" s="11"/>
    </row>
    <row r="1668" spans="2:28" x14ac:dyDescent="0.3">
      <c r="B1668" s="10" t="s">
        <v>396</v>
      </c>
      <c r="C1668" s="315"/>
      <c r="D1668" s="868" t="s">
        <v>3225</v>
      </c>
      <c r="E1668" s="837" t="str">
        <f>IFERROR(IF(_xlfn.XLOOKUP(Imput[[#This Row],[RFC]],'Alta Proveedor'!D:D,'Alta Proveedor'!E:E)=0,"",_xlfn.XLOOKUP(Imput[[#This Row],[RFC]],'Alta Proveedor'!D:D,'Alta Proveedor'!E:E)),"")</f>
        <v>GASTOS SIN FACTURA</v>
      </c>
      <c r="F1668" s="832" t="s">
        <v>3214</v>
      </c>
      <c r="G1668" s="187">
        <v>1</v>
      </c>
      <c r="H1668" s="1">
        <v>30000</v>
      </c>
      <c r="I1668" s="169">
        <f>Imput[[#This Row],[Cantidad]]*Imput[[#This Row],[Precio Unitario]]</f>
        <v>30000</v>
      </c>
      <c r="J1668" s="11">
        <f>((Imput[[#This Row],[Sub total]])*(0.08))</f>
        <v>2400</v>
      </c>
      <c r="K1668" s="11">
        <v>0</v>
      </c>
      <c r="L1668" s="169">
        <f>Imput[[#This Row],[Sub total]]+Imput[[#This Row],[IVA]]-Imput[[#This Row],[Retención / IEPS / Descuento]]</f>
        <v>32400</v>
      </c>
      <c r="M1668" s="844">
        <v>32400</v>
      </c>
      <c r="N1668" s="189"/>
      <c r="O1668" s="1"/>
      <c r="P1668" s="189"/>
      <c r="Q1668" s="190"/>
      <c r="R1668" s="188">
        <v>45962</v>
      </c>
      <c r="S1668" s="193"/>
      <c r="T1668" s="192"/>
      <c r="U1668" s="829" t="s">
        <v>3225</v>
      </c>
      <c r="V1668" s="10"/>
      <c r="W1668" s="10"/>
      <c r="X1668" s="902">
        <v>26</v>
      </c>
      <c r="Y1668" s="10"/>
      <c r="Z1668" s="10"/>
      <c r="AA1668" s="11"/>
      <c r="AB1668" s="11"/>
    </row>
    <row r="1669" spans="2:28" x14ac:dyDescent="0.3">
      <c r="B1669" s="10" t="s">
        <v>396</v>
      </c>
      <c r="C1669" s="315"/>
      <c r="D1669" s="868" t="s">
        <v>3225</v>
      </c>
      <c r="E1669" s="837" t="str">
        <f>IFERROR(IF(_xlfn.XLOOKUP(Imput[[#This Row],[RFC]],'Alta Proveedor'!D:D,'Alta Proveedor'!E:E)=0,"",_xlfn.XLOOKUP(Imput[[#This Row],[RFC]],'Alta Proveedor'!D:D,'Alta Proveedor'!E:E)),"")</f>
        <v>GASTOS SIN FACTURA</v>
      </c>
      <c r="F1669" s="832" t="s">
        <v>4496</v>
      </c>
      <c r="G1669" s="187">
        <v>1</v>
      </c>
      <c r="H1669" s="1">
        <v>2832.75</v>
      </c>
      <c r="I1669" s="169">
        <f>Imput[[#This Row],[Cantidad]]*Imput[[#This Row],[Precio Unitario]]</f>
        <v>2832.75</v>
      </c>
      <c r="J1669" s="11">
        <f>((Imput[[#This Row],[Sub total]])*(0.08))</f>
        <v>226.62</v>
      </c>
      <c r="K1669" s="11">
        <v>0</v>
      </c>
      <c r="L1669" s="169">
        <f>Imput[[#This Row],[Sub total]]+Imput[[#This Row],[IVA]]-Imput[[#This Row],[Retención / IEPS / Descuento]]</f>
        <v>3059.37</v>
      </c>
      <c r="M1669" s="844">
        <v>3059.37</v>
      </c>
      <c r="N1669" s="189"/>
      <c r="O1669" s="1"/>
      <c r="P1669" s="189"/>
      <c r="Q1669" s="190"/>
      <c r="R1669" s="188">
        <v>45967</v>
      </c>
      <c r="S1669" s="193"/>
      <c r="T1669" s="192"/>
      <c r="U1669" s="829" t="s">
        <v>3225</v>
      </c>
      <c r="V1669" s="10"/>
      <c r="W1669" s="10"/>
      <c r="X1669" s="902">
        <v>26</v>
      </c>
      <c r="Y1669" s="10"/>
      <c r="Z1669" s="10"/>
      <c r="AA1669" s="11"/>
      <c r="AB1669" s="11"/>
    </row>
    <row r="1670" spans="2:28" x14ac:dyDescent="0.3">
      <c r="B1670" s="10" t="s">
        <v>396</v>
      </c>
      <c r="C1670" s="315"/>
      <c r="D1670" s="868" t="s">
        <v>3119</v>
      </c>
      <c r="E1670" s="837" t="str">
        <f>IFERROR(IF(_xlfn.XLOOKUP(Imput[[#This Row],[RFC]],'Alta Proveedor'!D:D,'Alta Proveedor'!E:E)=0,"",_xlfn.XLOOKUP(Imput[[#This Row],[RFC]],'Alta Proveedor'!D:D,'Alta Proveedor'!E:E)),"")</f>
        <v>Nomina-OPERACIÓN</v>
      </c>
      <c r="F1670" s="832" t="s">
        <v>4497</v>
      </c>
      <c r="G1670" s="187">
        <v>1</v>
      </c>
      <c r="H1670" s="1">
        <v>1849.99</v>
      </c>
      <c r="I1670" s="169">
        <f>Imput[[#This Row],[Cantidad]]*Imput[[#This Row],[Precio Unitario]]</f>
        <v>1849.99</v>
      </c>
      <c r="J1670" s="11">
        <f>((Imput[[#This Row],[Sub total]])*(0.08))</f>
        <v>147.9992</v>
      </c>
      <c r="K1670" s="11">
        <v>0</v>
      </c>
      <c r="L1670" s="169">
        <f>Imput[[#This Row],[Sub total]]+Imput[[#This Row],[IVA]]-Imput[[#This Row],[Retención / IEPS / Descuento]]</f>
        <v>1997.9892</v>
      </c>
      <c r="M1670" s="844">
        <v>1997.9892</v>
      </c>
      <c r="N1670" s="189"/>
      <c r="O1670" s="1"/>
      <c r="P1670" s="189"/>
      <c r="Q1670" s="190"/>
      <c r="R1670" s="188">
        <v>45968</v>
      </c>
      <c r="S1670" s="193"/>
      <c r="T1670" s="192"/>
      <c r="U1670" s="829" t="s">
        <v>3225</v>
      </c>
      <c r="V1670" s="10"/>
      <c r="W1670" s="10"/>
      <c r="X1670" s="902">
        <v>26</v>
      </c>
      <c r="Y1670" s="10"/>
      <c r="Z1670" s="10"/>
      <c r="AA1670" s="11"/>
      <c r="AB1670" s="11"/>
    </row>
    <row r="1671" spans="2:28" x14ac:dyDescent="0.3">
      <c r="B1671" s="10" t="s">
        <v>396</v>
      </c>
      <c r="C1671" s="315"/>
      <c r="D1671" s="868" t="s">
        <v>3119</v>
      </c>
      <c r="E1671" s="837" t="str">
        <f>IFERROR(IF(_xlfn.XLOOKUP(Imput[[#This Row],[RFC]],'Alta Proveedor'!D:D,'Alta Proveedor'!E:E)=0,"",_xlfn.XLOOKUP(Imput[[#This Row],[RFC]],'Alta Proveedor'!D:D,'Alta Proveedor'!E:E)),"")</f>
        <v>Nomina-OPERACIÓN</v>
      </c>
      <c r="F1671" s="832" t="s">
        <v>4498</v>
      </c>
      <c r="G1671" s="187">
        <v>1</v>
      </c>
      <c r="H1671" s="1">
        <v>2029.99</v>
      </c>
      <c r="I1671" s="169">
        <f>Imput[[#This Row],[Cantidad]]*Imput[[#This Row],[Precio Unitario]]</f>
        <v>2029.99</v>
      </c>
      <c r="J1671" s="11">
        <f>((Imput[[#This Row],[Sub total]])*(0.08))</f>
        <v>162.39920000000001</v>
      </c>
      <c r="K1671" s="11">
        <v>0</v>
      </c>
      <c r="L1671" s="169">
        <f>Imput[[#This Row],[Sub total]]+Imput[[#This Row],[IVA]]-Imput[[#This Row],[Retención / IEPS / Descuento]]</f>
        <v>2192.3892000000001</v>
      </c>
      <c r="M1671" s="844">
        <v>2192.3892000000001</v>
      </c>
      <c r="N1671" s="189"/>
      <c r="O1671" s="1"/>
      <c r="P1671" s="189"/>
      <c r="Q1671" s="190"/>
      <c r="R1671" s="188">
        <v>45968</v>
      </c>
      <c r="S1671" s="193"/>
      <c r="T1671" s="192"/>
      <c r="U1671" s="829" t="s">
        <v>3225</v>
      </c>
      <c r="V1671" s="10"/>
      <c r="W1671" s="10"/>
      <c r="X1671" s="902">
        <v>26</v>
      </c>
      <c r="Y1671" s="10"/>
      <c r="Z1671" s="10"/>
      <c r="AA1671" s="11"/>
      <c r="AB1671" s="11"/>
    </row>
    <row r="1672" spans="2:28" x14ac:dyDescent="0.3">
      <c r="B1672" s="10" t="s">
        <v>396</v>
      </c>
      <c r="C1672" s="315"/>
      <c r="D1672" s="868" t="s">
        <v>3119</v>
      </c>
      <c r="E1672" s="837" t="str">
        <f>IFERROR(IF(_xlfn.XLOOKUP(Imput[[#This Row],[RFC]],'Alta Proveedor'!D:D,'Alta Proveedor'!E:E)=0,"",_xlfn.XLOOKUP(Imput[[#This Row],[RFC]],'Alta Proveedor'!D:D,'Alta Proveedor'!E:E)),"")</f>
        <v>Nomina-OPERACIÓN</v>
      </c>
      <c r="F1672" s="832" t="s">
        <v>4499</v>
      </c>
      <c r="G1672" s="187">
        <v>1</v>
      </c>
      <c r="H1672" s="1">
        <v>2029.99</v>
      </c>
      <c r="I1672" s="169">
        <f>Imput[[#This Row],[Cantidad]]*Imput[[#This Row],[Precio Unitario]]</f>
        <v>2029.99</v>
      </c>
      <c r="J1672" s="11">
        <f>((Imput[[#This Row],[Sub total]])*(0.08))</f>
        <v>162.39920000000001</v>
      </c>
      <c r="K1672" s="11">
        <v>0</v>
      </c>
      <c r="L1672" s="169">
        <f>Imput[[#This Row],[Sub total]]+Imput[[#This Row],[IVA]]-Imput[[#This Row],[Retención / IEPS / Descuento]]</f>
        <v>2192.3892000000001</v>
      </c>
      <c r="M1672" s="844">
        <v>2192.3892000000001</v>
      </c>
      <c r="N1672" s="189"/>
      <c r="O1672" s="1"/>
      <c r="P1672" s="189"/>
      <c r="Q1672" s="190"/>
      <c r="R1672" s="188">
        <v>45968</v>
      </c>
      <c r="S1672" s="193"/>
      <c r="T1672" s="192"/>
      <c r="U1672" s="829" t="s">
        <v>3225</v>
      </c>
      <c r="V1672" s="10"/>
      <c r="W1672" s="10"/>
      <c r="X1672" s="902">
        <v>26</v>
      </c>
      <c r="Y1672" s="10"/>
      <c r="Z1672" s="10"/>
      <c r="AA1672" s="11"/>
      <c r="AB1672" s="11"/>
    </row>
    <row r="1673" spans="2:28" x14ac:dyDescent="0.3">
      <c r="B1673" s="10" t="s">
        <v>396</v>
      </c>
      <c r="C1673" s="315"/>
      <c r="D1673" s="868" t="s">
        <v>3225</v>
      </c>
      <c r="E1673" s="837" t="str">
        <f>IFERROR(IF(_xlfn.XLOOKUP(Imput[[#This Row],[RFC]],'Alta Proveedor'!D:D,'Alta Proveedor'!E:E)=0,"",_xlfn.XLOOKUP(Imput[[#This Row],[RFC]],'Alta Proveedor'!D:D,'Alta Proveedor'!E:E)),"")</f>
        <v>GASTOS SIN FACTURA</v>
      </c>
      <c r="F1673" s="832" t="s">
        <v>3214</v>
      </c>
      <c r="G1673" s="187">
        <v>1</v>
      </c>
      <c r="H1673" s="1">
        <v>30000</v>
      </c>
      <c r="I1673" s="169">
        <f>Imput[[#This Row],[Cantidad]]*Imput[[#This Row],[Precio Unitario]]</f>
        <v>30000</v>
      </c>
      <c r="J1673" s="11">
        <f>((Imput[[#This Row],[Sub total]])*(0.08))</f>
        <v>2400</v>
      </c>
      <c r="K1673" s="11">
        <v>0</v>
      </c>
      <c r="L1673" s="169">
        <f>Imput[[#This Row],[Sub total]]+Imput[[#This Row],[IVA]]-Imput[[#This Row],[Retención / IEPS / Descuento]]</f>
        <v>32400</v>
      </c>
      <c r="M1673" s="844">
        <v>32400</v>
      </c>
      <c r="N1673" s="189"/>
      <c r="O1673" s="1"/>
      <c r="P1673" s="189"/>
      <c r="Q1673" s="190"/>
      <c r="R1673" s="188">
        <v>45968</v>
      </c>
      <c r="S1673" s="193"/>
      <c r="T1673" s="192"/>
      <c r="U1673" s="829" t="s">
        <v>3225</v>
      </c>
      <c r="V1673" s="10"/>
      <c r="W1673" s="10"/>
      <c r="X1673" s="902">
        <v>26</v>
      </c>
      <c r="Y1673" s="10"/>
      <c r="Z1673" s="10"/>
      <c r="AA1673" s="11"/>
      <c r="AB1673" s="11"/>
    </row>
    <row r="1674" spans="2:28" x14ac:dyDescent="0.3">
      <c r="B1674" s="10" t="s">
        <v>396</v>
      </c>
      <c r="C1674" s="315"/>
      <c r="D1674" s="868" t="s">
        <v>3119</v>
      </c>
      <c r="E1674" s="837" t="str">
        <f>IFERROR(IF(_xlfn.XLOOKUP(Imput[[#This Row],[RFC]],'Alta Proveedor'!D:D,'Alta Proveedor'!E:E)=0,"",_xlfn.XLOOKUP(Imput[[#This Row],[RFC]],'Alta Proveedor'!D:D,'Alta Proveedor'!E:E)),"")</f>
        <v>Nomina-OPERACIÓN</v>
      </c>
      <c r="F1674" s="832" t="s">
        <v>4462</v>
      </c>
      <c r="G1674" s="187">
        <v>1</v>
      </c>
      <c r="H1674" s="1">
        <v>4822</v>
      </c>
      <c r="I1674" s="169">
        <f>Imput[[#This Row],[Cantidad]]*Imput[[#This Row],[Precio Unitario]]</f>
        <v>4822</v>
      </c>
      <c r="J1674" s="11">
        <f>((Imput[[#This Row],[Sub total]])*(0.08))</f>
        <v>385.76</v>
      </c>
      <c r="K1674" s="11">
        <v>0</v>
      </c>
      <c r="L1674" s="169">
        <f>Imput[[#This Row],[Sub total]]+Imput[[#This Row],[IVA]]-Imput[[#This Row],[Retención / IEPS / Descuento]]</f>
        <v>5207.76</v>
      </c>
      <c r="M1674" s="844">
        <v>5207.76</v>
      </c>
      <c r="N1674" s="189"/>
      <c r="O1674" s="1"/>
      <c r="P1674" s="189"/>
      <c r="Q1674" s="190"/>
      <c r="R1674" s="188">
        <v>45968</v>
      </c>
      <c r="S1674" s="193"/>
      <c r="T1674" s="192"/>
      <c r="U1674" s="829" t="s">
        <v>3225</v>
      </c>
      <c r="V1674" s="10"/>
      <c r="W1674" s="10"/>
      <c r="X1674" s="902">
        <v>26</v>
      </c>
      <c r="Y1674" s="10"/>
      <c r="Z1674" s="10"/>
      <c r="AA1674" s="11"/>
      <c r="AB1674" s="11"/>
    </row>
    <row r="1675" spans="2:28" x14ac:dyDescent="0.3">
      <c r="B1675" s="10" t="s">
        <v>396</v>
      </c>
      <c r="C1675" s="315"/>
      <c r="D1675" s="868" t="s">
        <v>3119</v>
      </c>
      <c r="E1675" s="837" t="str">
        <f>IFERROR(IF(_xlfn.XLOOKUP(Imput[[#This Row],[RFC]],'Alta Proveedor'!D:D,'Alta Proveedor'!E:E)=0,"",_xlfn.XLOOKUP(Imput[[#This Row],[RFC]],'Alta Proveedor'!D:D,'Alta Proveedor'!E:E)),"")</f>
        <v>Nomina-OPERACIÓN</v>
      </c>
      <c r="F1675" s="832" t="s">
        <v>4475</v>
      </c>
      <c r="G1675" s="187">
        <v>1</v>
      </c>
      <c r="H1675" s="1">
        <v>4162</v>
      </c>
      <c r="I1675" s="169">
        <f>Imput[[#This Row],[Cantidad]]*Imput[[#This Row],[Precio Unitario]]</f>
        <v>4162</v>
      </c>
      <c r="J1675" s="11">
        <f>((Imput[[#This Row],[Sub total]])*(0.08))</f>
        <v>332.96</v>
      </c>
      <c r="K1675" s="11">
        <v>0</v>
      </c>
      <c r="L1675" s="169">
        <f>Imput[[#This Row],[Sub total]]+Imput[[#This Row],[IVA]]-Imput[[#This Row],[Retención / IEPS / Descuento]]</f>
        <v>4494.96</v>
      </c>
      <c r="M1675" s="844">
        <v>4494.96</v>
      </c>
      <c r="N1675" s="189"/>
      <c r="O1675" s="1"/>
      <c r="P1675" s="189"/>
      <c r="Q1675" s="190"/>
      <c r="R1675" s="188">
        <v>45968</v>
      </c>
      <c r="S1675" s="193"/>
      <c r="T1675" s="192"/>
      <c r="U1675" s="829" t="s">
        <v>3225</v>
      </c>
      <c r="V1675" s="10"/>
      <c r="W1675" s="10"/>
      <c r="X1675" s="902">
        <v>26</v>
      </c>
      <c r="Y1675" s="10"/>
      <c r="Z1675" s="10"/>
      <c r="AA1675" s="11"/>
      <c r="AB1675" s="11"/>
    </row>
    <row r="1676" spans="2:28" x14ac:dyDescent="0.3">
      <c r="B1676" s="10" t="s">
        <v>396</v>
      </c>
      <c r="C1676" s="315"/>
      <c r="D1676" s="868" t="s">
        <v>3119</v>
      </c>
      <c r="E1676" s="837" t="str">
        <f>IFERROR(IF(_xlfn.XLOOKUP(Imput[[#This Row],[RFC]],'Alta Proveedor'!D:D,'Alta Proveedor'!E:E)=0,"",_xlfn.XLOOKUP(Imput[[#This Row],[RFC]],'Alta Proveedor'!D:D,'Alta Proveedor'!E:E)),"")</f>
        <v>Nomina-OPERACIÓN</v>
      </c>
      <c r="F1676" s="832" t="s">
        <v>4473</v>
      </c>
      <c r="G1676" s="187">
        <v>1</v>
      </c>
      <c r="H1676" s="1">
        <v>5836</v>
      </c>
      <c r="I1676" s="169">
        <f>Imput[[#This Row],[Cantidad]]*Imput[[#This Row],[Precio Unitario]]</f>
        <v>5836</v>
      </c>
      <c r="J1676" s="11">
        <f>((Imput[[#This Row],[Sub total]])*(0.08))</f>
        <v>466.88</v>
      </c>
      <c r="K1676" s="11">
        <v>0</v>
      </c>
      <c r="L1676" s="169">
        <f>Imput[[#This Row],[Sub total]]+Imput[[#This Row],[IVA]]-Imput[[#This Row],[Retención / IEPS / Descuento]]</f>
        <v>6302.88</v>
      </c>
      <c r="M1676" s="844">
        <v>6302.88</v>
      </c>
      <c r="N1676" s="189"/>
      <c r="O1676" s="1"/>
      <c r="P1676" s="189"/>
      <c r="Q1676" s="190"/>
      <c r="R1676" s="188">
        <v>45968</v>
      </c>
      <c r="S1676" s="193"/>
      <c r="T1676" s="192"/>
      <c r="U1676" s="829" t="s">
        <v>3225</v>
      </c>
      <c r="V1676" s="10"/>
      <c r="W1676" s="10"/>
      <c r="X1676" s="902">
        <v>26</v>
      </c>
      <c r="Y1676" s="10"/>
      <c r="Z1676" s="10"/>
      <c r="AA1676" s="11"/>
      <c r="AB1676" s="11"/>
    </row>
    <row r="1677" spans="2:28" x14ac:dyDescent="0.3">
      <c r="B1677" s="10" t="s">
        <v>396</v>
      </c>
      <c r="C1677" s="315"/>
      <c r="D1677" s="868" t="s">
        <v>3119</v>
      </c>
      <c r="E1677" s="837" t="str">
        <f>IFERROR(IF(_xlfn.XLOOKUP(Imput[[#This Row],[RFC]],'Alta Proveedor'!D:D,'Alta Proveedor'!E:E)=0,"",_xlfn.XLOOKUP(Imput[[#This Row],[RFC]],'Alta Proveedor'!D:D,'Alta Proveedor'!E:E)),"")</f>
        <v>Nomina-OPERACIÓN</v>
      </c>
      <c r="F1677" s="832" t="s">
        <v>4494</v>
      </c>
      <c r="G1677" s="187">
        <v>1</v>
      </c>
      <c r="H1677" s="1">
        <v>7628</v>
      </c>
      <c r="I1677" s="169">
        <f>Imput[[#This Row],[Cantidad]]*Imput[[#This Row],[Precio Unitario]]</f>
        <v>7628</v>
      </c>
      <c r="J1677" s="11">
        <f>((Imput[[#This Row],[Sub total]])*(0.08))</f>
        <v>610.24</v>
      </c>
      <c r="K1677" s="11">
        <v>0</v>
      </c>
      <c r="L1677" s="169">
        <f>Imput[[#This Row],[Sub total]]+Imput[[#This Row],[IVA]]-Imput[[#This Row],[Retención / IEPS / Descuento]]</f>
        <v>8238.24</v>
      </c>
      <c r="M1677" s="844">
        <v>8238.24</v>
      </c>
      <c r="N1677" s="189"/>
      <c r="O1677" s="1"/>
      <c r="P1677" s="189"/>
      <c r="Q1677" s="190"/>
      <c r="R1677" s="188">
        <v>45968</v>
      </c>
      <c r="S1677" s="193"/>
      <c r="T1677" s="192"/>
      <c r="U1677" s="829" t="s">
        <v>3225</v>
      </c>
      <c r="V1677" s="10"/>
      <c r="W1677" s="10"/>
      <c r="X1677" s="902">
        <v>26</v>
      </c>
      <c r="Y1677" s="10"/>
      <c r="Z1677" s="10"/>
      <c r="AA1677" s="11"/>
      <c r="AB1677" s="11"/>
    </row>
    <row r="1678" spans="2:28" x14ac:dyDescent="0.3">
      <c r="B1678" s="10" t="s">
        <v>396</v>
      </c>
      <c r="C1678" s="315"/>
      <c r="D1678" s="868" t="s">
        <v>3119</v>
      </c>
      <c r="E1678" s="837" t="str">
        <f>IFERROR(IF(_xlfn.XLOOKUP(Imput[[#This Row],[RFC]],'Alta Proveedor'!D:D,'Alta Proveedor'!E:E)=0,"",_xlfn.XLOOKUP(Imput[[#This Row],[RFC]],'Alta Proveedor'!D:D,'Alta Proveedor'!E:E)),"")</f>
        <v>Nomina-OPERACIÓN</v>
      </c>
      <c r="F1678" s="832" t="s">
        <v>3166</v>
      </c>
      <c r="G1678" s="187">
        <v>1</v>
      </c>
      <c r="H1678" s="1">
        <v>8300</v>
      </c>
      <c r="I1678" s="169">
        <f>Imput[[#This Row],[Cantidad]]*Imput[[#This Row],[Precio Unitario]]</f>
        <v>8300</v>
      </c>
      <c r="J1678" s="11">
        <f>((Imput[[#This Row],[Sub total]])*(0.08))</f>
        <v>664</v>
      </c>
      <c r="K1678" s="11">
        <v>0</v>
      </c>
      <c r="L1678" s="169">
        <f>Imput[[#This Row],[Sub total]]+Imput[[#This Row],[IVA]]-Imput[[#This Row],[Retención / IEPS / Descuento]]</f>
        <v>8964</v>
      </c>
      <c r="M1678" s="844">
        <v>8964</v>
      </c>
      <c r="N1678" s="189"/>
      <c r="O1678" s="1"/>
      <c r="P1678" s="189"/>
      <c r="Q1678" s="190"/>
      <c r="R1678" s="188">
        <v>45968</v>
      </c>
      <c r="S1678" s="193"/>
      <c r="T1678" s="192"/>
      <c r="U1678" s="829" t="s">
        <v>3225</v>
      </c>
      <c r="V1678" s="10"/>
      <c r="W1678" s="10"/>
      <c r="X1678" s="902">
        <v>26</v>
      </c>
      <c r="Y1678" s="10"/>
      <c r="Z1678" s="10"/>
      <c r="AA1678" s="11"/>
      <c r="AB1678" s="11"/>
    </row>
    <row r="1679" spans="2:28" x14ac:dyDescent="0.3">
      <c r="B1679" s="10" t="s">
        <v>396</v>
      </c>
      <c r="C1679" s="315"/>
      <c r="D1679" s="868" t="s">
        <v>3119</v>
      </c>
      <c r="E1679" s="837" t="str">
        <f>IFERROR(IF(_xlfn.XLOOKUP(Imput[[#This Row],[RFC]],'Alta Proveedor'!D:D,'Alta Proveedor'!E:E)=0,"",_xlfn.XLOOKUP(Imput[[#This Row],[RFC]],'Alta Proveedor'!D:D,'Alta Proveedor'!E:E)),"")</f>
        <v>Nomina-OPERACIÓN</v>
      </c>
      <c r="F1679" s="832" t="s">
        <v>4470</v>
      </c>
      <c r="G1679" s="187">
        <v>1</v>
      </c>
      <c r="H1679" s="1">
        <v>6500</v>
      </c>
      <c r="I1679" s="169">
        <f>Imput[[#This Row],[Cantidad]]*Imput[[#This Row],[Precio Unitario]]</f>
        <v>6500</v>
      </c>
      <c r="J1679" s="11">
        <f>((Imput[[#This Row],[Sub total]])*(0.08))</f>
        <v>520</v>
      </c>
      <c r="K1679" s="11">
        <v>0</v>
      </c>
      <c r="L1679" s="169">
        <f>Imput[[#This Row],[Sub total]]+Imput[[#This Row],[IVA]]-Imput[[#This Row],[Retención / IEPS / Descuento]]</f>
        <v>7020</v>
      </c>
      <c r="M1679" s="844">
        <v>7020</v>
      </c>
      <c r="N1679" s="189"/>
      <c r="O1679" s="1"/>
      <c r="P1679" s="189"/>
      <c r="Q1679" s="190"/>
      <c r="R1679" s="188">
        <v>45968</v>
      </c>
      <c r="S1679" s="193"/>
      <c r="T1679" s="192"/>
      <c r="U1679" s="829" t="s">
        <v>3225</v>
      </c>
      <c r="V1679" s="10"/>
      <c r="W1679" s="10"/>
      <c r="X1679" s="902">
        <v>26</v>
      </c>
      <c r="Y1679" s="10"/>
      <c r="Z1679" s="10"/>
      <c r="AA1679" s="11"/>
      <c r="AB1679" s="11"/>
    </row>
    <row r="1680" spans="2:28" x14ac:dyDescent="0.3">
      <c r="B1680" s="10" t="s">
        <v>396</v>
      </c>
      <c r="C1680" s="315"/>
      <c r="D1680" s="868" t="s">
        <v>3119</v>
      </c>
      <c r="E1680" s="837" t="str">
        <f>IFERROR(IF(_xlfn.XLOOKUP(Imput[[#This Row],[RFC]],'Alta Proveedor'!D:D,'Alta Proveedor'!E:E)=0,"",_xlfn.XLOOKUP(Imput[[#This Row],[RFC]],'Alta Proveedor'!D:D,'Alta Proveedor'!E:E)),"")</f>
        <v>Nomina-OPERACIÓN</v>
      </c>
      <c r="F1680" s="832" t="s">
        <v>4500</v>
      </c>
      <c r="G1680" s="187">
        <v>1</v>
      </c>
      <c r="H1680" s="1">
        <v>3720</v>
      </c>
      <c r="I1680" s="169">
        <f>Imput[[#This Row],[Cantidad]]*Imput[[#This Row],[Precio Unitario]]</f>
        <v>3720</v>
      </c>
      <c r="J1680" s="11">
        <f>((Imput[[#This Row],[Sub total]])*(0.08))</f>
        <v>297.60000000000002</v>
      </c>
      <c r="K1680" s="11">
        <v>0</v>
      </c>
      <c r="L1680" s="169">
        <f>Imput[[#This Row],[Sub total]]+Imput[[#This Row],[IVA]]-Imput[[#This Row],[Retención / IEPS / Descuento]]</f>
        <v>4017.6</v>
      </c>
      <c r="M1680" s="844">
        <v>4017.6</v>
      </c>
      <c r="N1680" s="189"/>
      <c r="O1680" s="1"/>
      <c r="P1680" s="189"/>
      <c r="Q1680" s="190"/>
      <c r="R1680" s="188">
        <v>45968</v>
      </c>
      <c r="S1680" s="193"/>
      <c r="T1680" s="192"/>
      <c r="U1680" s="829" t="s">
        <v>3225</v>
      </c>
      <c r="V1680" s="10"/>
      <c r="W1680" s="10"/>
      <c r="X1680" s="902">
        <v>26</v>
      </c>
      <c r="Y1680" s="10"/>
      <c r="Z1680" s="10"/>
      <c r="AA1680" s="11"/>
      <c r="AB1680" s="11"/>
    </row>
    <row r="1681" spans="2:28" x14ac:dyDescent="0.3">
      <c r="B1681" s="10" t="s">
        <v>396</v>
      </c>
      <c r="C1681" s="315"/>
      <c r="D1681" s="868" t="s">
        <v>3119</v>
      </c>
      <c r="E1681" s="837" t="str">
        <f>IFERROR(IF(_xlfn.XLOOKUP(Imput[[#This Row],[RFC]],'Alta Proveedor'!D:D,'Alta Proveedor'!E:E)=0,"",_xlfn.XLOOKUP(Imput[[#This Row],[RFC]],'Alta Proveedor'!D:D,'Alta Proveedor'!E:E)),"")</f>
        <v>Nomina-OPERACIÓN</v>
      </c>
      <c r="F1681" s="832" t="s">
        <v>4473</v>
      </c>
      <c r="G1681" s="187">
        <v>1</v>
      </c>
      <c r="H1681" s="1">
        <v>3900</v>
      </c>
      <c r="I1681" s="169">
        <f>Imput[[#This Row],[Cantidad]]*Imput[[#This Row],[Precio Unitario]]</f>
        <v>3900</v>
      </c>
      <c r="J1681" s="11">
        <f>((Imput[[#This Row],[Sub total]])*(0.08))</f>
        <v>312</v>
      </c>
      <c r="K1681" s="11">
        <v>0</v>
      </c>
      <c r="L1681" s="169">
        <f>Imput[[#This Row],[Sub total]]+Imput[[#This Row],[IVA]]-Imput[[#This Row],[Retención / IEPS / Descuento]]</f>
        <v>4212</v>
      </c>
      <c r="M1681" s="844">
        <v>4212</v>
      </c>
      <c r="N1681" s="189"/>
      <c r="O1681" s="1"/>
      <c r="P1681" s="189"/>
      <c r="Q1681" s="190"/>
      <c r="R1681" s="188">
        <v>45975</v>
      </c>
      <c r="S1681" s="193"/>
      <c r="T1681" s="192"/>
      <c r="U1681" s="829" t="s">
        <v>3225</v>
      </c>
      <c r="V1681" s="10"/>
      <c r="W1681" s="10"/>
      <c r="X1681" s="902">
        <v>26</v>
      </c>
      <c r="Y1681" s="10"/>
      <c r="Z1681" s="10"/>
      <c r="AA1681" s="11"/>
      <c r="AB1681" s="11"/>
    </row>
    <row r="1682" spans="2:28" x14ac:dyDescent="0.3">
      <c r="B1682" s="10" t="s">
        <v>396</v>
      </c>
      <c r="C1682" s="315"/>
      <c r="D1682" s="868" t="s">
        <v>3119</v>
      </c>
      <c r="E1682" s="837" t="str">
        <f>IFERROR(IF(_xlfn.XLOOKUP(Imput[[#This Row],[RFC]],'Alta Proveedor'!D:D,'Alta Proveedor'!E:E)=0,"",_xlfn.XLOOKUP(Imput[[#This Row],[RFC]],'Alta Proveedor'!D:D,'Alta Proveedor'!E:E)),"")</f>
        <v>Nomina-OPERACIÓN</v>
      </c>
      <c r="F1682" s="832" t="s">
        <v>4475</v>
      </c>
      <c r="G1682" s="187">
        <v>1</v>
      </c>
      <c r="H1682" s="1">
        <v>3900</v>
      </c>
      <c r="I1682" s="169">
        <f>Imput[[#This Row],[Cantidad]]*Imput[[#This Row],[Precio Unitario]]</f>
        <v>3900</v>
      </c>
      <c r="J1682" s="11">
        <f>((Imput[[#This Row],[Sub total]])*(0.08))</f>
        <v>312</v>
      </c>
      <c r="K1682" s="11">
        <v>0</v>
      </c>
      <c r="L1682" s="169">
        <f>Imput[[#This Row],[Sub total]]+Imput[[#This Row],[IVA]]-Imput[[#This Row],[Retención / IEPS / Descuento]]</f>
        <v>4212</v>
      </c>
      <c r="M1682" s="844">
        <v>4212</v>
      </c>
      <c r="N1682" s="189"/>
      <c r="O1682" s="1"/>
      <c r="P1682" s="189"/>
      <c r="Q1682" s="190"/>
      <c r="R1682" s="188">
        <v>45975</v>
      </c>
      <c r="S1682" s="193"/>
      <c r="T1682" s="192"/>
      <c r="U1682" s="829" t="s">
        <v>3225</v>
      </c>
      <c r="V1682" s="10"/>
      <c r="W1682" s="10"/>
      <c r="X1682" s="902">
        <v>26</v>
      </c>
      <c r="Y1682" s="10"/>
      <c r="Z1682" s="10"/>
      <c r="AA1682" s="11"/>
      <c r="AB1682" s="11"/>
    </row>
    <row r="1683" spans="2:28" x14ac:dyDescent="0.3">
      <c r="B1683" s="10" t="s">
        <v>396</v>
      </c>
      <c r="C1683" s="315"/>
      <c r="D1683" s="868" t="s">
        <v>3119</v>
      </c>
      <c r="E1683" s="837" t="str">
        <f>IFERROR(IF(_xlfn.XLOOKUP(Imput[[#This Row],[RFC]],'Alta Proveedor'!D:D,'Alta Proveedor'!E:E)=0,"",_xlfn.XLOOKUP(Imput[[#This Row],[RFC]],'Alta Proveedor'!D:D,'Alta Proveedor'!E:E)),"")</f>
        <v>Nomina-OPERACIÓN</v>
      </c>
      <c r="F1683" s="832" t="s">
        <v>3166</v>
      </c>
      <c r="G1683" s="187">
        <v>1</v>
      </c>
      <c r="H1683" s="1">
        <v>6250</v>
      </c>
      <c r="I1683" s="169">
        <f>Imput[[#This Row],[Cantidad]]*Imput[[#This Row],[Precio Unitario]]</f>
        <v>6250</v>
      </c>
      <c r="J1683" s="11">
        <f>((Imput[[#This Row],[Sub total]])*(0.08))</f>
        <v>500</v>
      </c>
      <c r="K1683" s="11">
        <v>0</v>
      </c>
      <c r="L1683" s="169">
        <f>Imput[[#This Row],[Sub total]]+Imput[[#This Row],[IVA]]-Imput[[#This Row],[Retención / IEPS / Descuento]]</f>
        <v>6750</v>
      </c>
      <c r="M1683" s="844">
        <v>6750</v>
      </c>
      <c r="N1683" s="189"/>
      <c r="O1683" s="1"/>
      <c r="P1683" s="189"/>
      <c r="Q1683" s="190"/>
      <c r="R1683" s="188">
        <v>45975</v>
      </c>
      <c r="S1683" s="193"/>
      <c r="T1683" s="192"/>
      <c r="U1683" s="829" t="s">
        <v>3225</v>
      </c>
      <c r="V1683" s="10"/>
      <c r="W1683" s="10"/>
      <c r="X1683" s="902">
        <v>26</v>
      </c>
      <c r="Y1683" s="10"/>
      <c r="Z1683" s="10"/>
      <c r="AA1683" s="11"/>
      <c r="AB1683" s="11"/>
    </row>
    <row r="1684" spans="2:28" x14ac:dyDescent="0.3">
      <c r="B1684" s="10" t="s">
        <v>396</v>
      </c>
      <c r="C1684" s="315"/>
      <c r="D1684" s="868" t="s">
        <v>3119</v>
      </c>
      <c r="E1684" s="837" t="str">
        <f>IFERROR(IF(_xlfn.XLOOKUP(Imput[[#This Row],[RFC]],'Alta Proveedor'!D:D,'Alta Proveedor'!E:E)=0,"",_xlfn.XLOOKUP(Imput[[#This Row],[RFC]],'Alta Proveedor'!D:D,'Alta Proveedor'!E:E)),"")</f>
        <v>Nomina-OPERACIÓN</v>
      </c>
      <c r="F1684" s="832" t="s">
        <v>4499</v>
      </c>
      <c r="G1684" s="187">
        <v>1</v>
      </c>
      <c r="H1684" s="1">
        <v>2079.9899999999998</v>
      </c>
      <c r="I1684" s="169">
        <f>Imput[[#This Row],[Cantidad]]*Imput[[#This Row],[Precio Unitario]]</f>
        <v>2079.9899999999998</v>
      </c>
      <c r="J1684" s="11">
        <f>((Imput[[#This Row],[Sub total]])*(0.08))</f>
        <v>166.39919999999998</v>
      </c>
      <c r="K1684" s="11">
        <v>0</v>
      </c>
      <c r="L1684" s="169">
        <f>Imput[[#This Row],[Sub total]]+Imput[[#This Row],[IVA]]-Imput[[#This Row],[Retención / IEPS / Descuento]]</f>
        <v>2246.3891999999996</v>
      </c>
      <c r="M1684" s="844">
        <v>2246.3891999999996</v>
      </c>
      <c r="N1684" s="189"/>
      <c r="O1684" s="1"/>
      <c r="P1684" s="189"/>
      <c r="Q1684" s="190"/>
      <c r="R1684" s="188">
        <v>45975</v>
      </c>
      <c r="S1684" s="193"/>
      <c r="T1684" s="192"/>
      <c r="U1684" s="829" t="s">
        <v>3225</v>
      </c>
      <c r="V1684" s="10"/>
      <c r="W1684" s="10"/>
      <c r="X1684" s="902">
        <v>26</v>
      </c>
      <c r="Y1684" s="10"/>
      <c r="Z1684" s="10"/>
      <c r="AA1684" s="11"/>
      <c r="AB1684" s="11"/>
    </row>
    <row r="1685" spans="2:28" x14ac:dyDescent="0.3">
      <c r="B1685" s="10" t="s">
        <v>396</v>
      </c>
      <c r="C1685" s="315"/>
      <c r="D1685" s="868" t="s">
        <v>3119</v>
      </c>
      <c r="E1685" s="837" t="str">
        <f>IFERROR(IF(_xlfn.XLOOKUP(Imput[[#This Row],[RFC]],'Alta Proveedor'!D:D,'Alta Proveedor'!E:E)=0,"",_xlfn.XLOOKUP(Imput[[#This Row],[RFC]],'Alta Proveedor'!D:D,'Alta Proveedor'!E:E)),"")</f>
        <v>Nomina-OPERACIÓN</v>
      </c>
      <c r="F1685" s="832" t="s">
        <v>4497</v>
      </c>
      <c r="G1685" s="187">
        <v>1</v>
      </c>
      <c r="H1685" s="1">
        <v>1779.99</v>
      </c>
      <c r="I1685" s="169">
        <f>Imput[[#This Row],[Cantidad]]*Imput[[#This Row],[Precio Unitario]]</f>
        <v>1779.99</v>
      </c>
      <c r="J1685" s="11">
        <f>((Imput[[#This Row],[Sub total]])*(0.08))</f>
        <v>142.39920000000001</v>
      </c>
      <c r="K1685" s="11">
        <v>0</v>
      </c>
      <c r="L1685" s="169">
        <f>Imput[[#This Row],[Sub total]]+Imput[[#This Row],[IVA]]-Imput[[#This Row],[Retención / IEPS / Descuento]]</f>
        <v>1922.3892000000001</v>
      </c>
      <c r="M1685" s="844">
        <v>1922.3892000000001</v>
      </c>
      <c r="N1685" s="189"/>
      <c r="O1685" s="1"/>
      <c r="P1685" s="189"/>
      <c r="Q1685" s="190"/>
      <c r="R1685" s="188">
        <v>45975</v>
      </c>
      <c r="S1685" s="193"/>
      <c r="T1685" s="192"/>
      <c r="U1685" s="829" t="s">
        <v>3225</v>
      </c>
      <c r="V1685" s="10"/>
      <c r="W1685" s="10"/>
      <c r="X1685" s="902">
        <v>26</v>
      </c>
      <c r="Y1685" s="10"/>
      <c r="Z1685" s="10"/>
      <c r="AA1685" s="11"/>
      <c r="AB1685" s="11"/>
    </row>
    <row r="1686" spans="2:28" x14ac:dyDescent="0.3">
      <c r="B1686" s="10" t="s">
        <v>396</v>
      </c>
      <c r="C1686" s="315"/>
      <c r="D1686" s="868" t="s">
        <v>3119</v>
      </c>
      <c r="E1686" s="837" t="str">
        <f>IFERROR(IF(_xlfn.XLOOKUP(Imput[[#This Row],[RFC]],'Alta Proveedor'!D:D,'Alta Proveedor'!E:E)=0,"",_xlfn.XLOOKUP(Imput[[#This Row],[RFC]],'Alta Proveedor'!D:D,'Alta Proveedor'!E:E)),"")</f>
        <v>Nomina-OPERACIÓN</v>
      </c>
      <c r="F1686" s="832" t="s">
        <v>4498</v>
      </c>
      <c r="G1686" s="187">
        <v>1</v>
      </c>
      <c r="H1686" s="1">
        <v>2079.9899999999998</v>
      </c>
      <c r="I1686" s="169">
        <f>Imput[[#This Row],[Cantidad]]*Imput[[#This Row],[Precio Unitario]]</f>
        <v>2079.9899999999998</v>
      </c>
      <c r="J1686" s="11">
        <f>((Imput[[#This Row],[Sub total]])*(0.08))</f>
        <v>166.39919999999998</v>
      </c>
      <c r="K1686" s="11">
        <v>0</v>
      </c>
      <c r="L1686" s="169">
        <f>Imput[[#This Row],[Sub total]]+Imput[[#This Row],[IVA]]-Imput[[#This Row],[Retención / IEPS / Descuento]]</f>
        <v>2246.3891999999996</v>
      </c>
      <c r="M1686" s="844">
        <v>2246.3891999999996</v>
      </c>
      <c r="N1686" s="189"/>
      <c r="O1686" s="1"/>
      <c r="P1686" s="189"/>
      <c r="Q1686" s="190"/>
      <c r="R1686" s="188">
        <v>45975</v>
      </c>
      <c r="S1686" s="193"/>
      <c r="T1686" s="192"/>
      <c r="U1686" s="829" t="s">
        <v>3225</v>
      </c>
      <c r="V1686" s="10"/>
      <c r="W1686" s="10"/>
      <c r="X1686" s="902">
        <v>26</v>
      </c>
      <c r="Y1686" s="10"/>
      <c r="Z1686" s="10"/>
      <c r="AA1686" s="11"/>
      <c r="AB1686" s="11"/>
    </row>
    <row r="1687" spans="2:28" x14ac:dyDescent="0.3">
      <c r="B1687" s="10" t="s">
        <v>396</v>
      </c>
      <c r="C1687" s="315"/>
      <c r="D1687" s="868" t="s">
        <v>3119</v>
      </c>
      <c r="E1687" s="837" t="str">
        <f>IFERROR(IF(_xlfn.XLOOKUP(Imput[[#This Row],[RFC]],'Alta Proveedor'!D:D,'Alta Proveedor'!E:E)=0,"",_xlfn.XLOOKUP(Imput[[#This Row],[RFC]],'Alta Proveedor'!D:D,'Alta Proveedor'!E:E)),"")</f>
        <v>Nomina-OPERACIÓN</v>
      </c>
      <c r="F1687" s="832" t="s">
        <v>4494</v>
      </c>
      <c r="G1687" s="187">
        <v>1</v>
      </c>
      <c r="H1687" s="1">
        <v>3900</v>
      </c>
      <c r="I1687" s="169">
        <f>Imput[[#This Row],[Cantidad]]*Imput[[#This Row],[Precio Unitario]]</f>
        <v>3900</v>
      </c>
      <c r="J1687" s="11">
        <f>((Imput[[#This Row],[Sub total]])*(0.08))</f>
        <v>312</v>
      </c>
      <c r="K1687" s="11">
        <v>0</v>
      </c>
      <c r="L1687" s="169">
        <f>Imput[[#This Row],[Sub total]]+Imput[[#This Row],[IVA]]-Imput[[#This Row],[Retención / IEPS / Descuento]]</f>
        <v>4212</v>
      </c>
      <c r="M1687" s="844">
        <v>4212</v>
      </c>
      <c r="N1687" s="189"/>
      <c r="O1687" s="1"/>
      <c r="P1687" s="189"/>
      <c r="Q1687" s="190"/>
      <c r="R1687" s="188">
        <v>45975</v>
      </c>
      <c r="S1687" s="193"/>
      <c r="T1687" s="192"/>
      <c r="U1687" s="829" t="s">
        <v>3225</v>
      </c>
      <c r="V1687" s="10"/>
      <c r="W1687" s="10"/>
      <c r="X1687" s="902">
        <v>26</v>
      </c>
      <c r="Y1687" s="10"/>
      <c r="Z1687" s="10"/>
      <c r="AA1687" s="11"/>
      <c r="AB1687" s="11"/>
    </row>
    <row r="1688" spans="2:28" x14ac:dyDescent="0.3">
      <c r="B1688" s="10" t="s">
        <v>396</v>
      </c>
      <c r="C1688" s="315"/>
      <c r="D1688" s="868" t="s">
        <v>3119</v>
      </c>
      <c r="E1688" s="837" t="str">
        <f>IFERROR(IF(_xlfn.XLOOKUP(Imput[[#This Row],[RFC]],'Alta Proveedor'!D:D,'Alta Proveedor'!E:E)=0,"",_xlfn.XLOOKUP(Imput[[#This Row],[RFC]],'Alta Proveedor'!D:D,'Alta Proveedor'!E:E)),"")</f>
        <v>Nomina-OPERACIÓN</v>
      </c>
      <c r="F1688" s="832" t="s">
        <v>4470</v>
      </c>
      <c r="G1688" s="187">
        <v>1</v>
      </c>
      <c r="H1688" s="1">
        <v>5800</v>
      </c>
      <c r="I1688" s="169">
        <f>Imput[[#This Row],[Cantidad]]*Imput[[#This Row],[Precio Unitario]]</f>
        <v>5800</v>
      </c>
      <c r="J1688" s="11">
        <f>((Imput[[#This Row],[Sub total]])*(0.08))</f>
        <v>464</v>
      </c>
      <c r="K1688" s="11">
        <v>0</v>
      </c>
      <c r="L1688" s="169">
        <f>Imput[[#This Row],[Sub total]]+Imput[[#This Row],[IVA]]-Imput[[#This Row],[Retención / IEPS / Descuento]]</f>
        <v>6264</v>
      </c>
      <c r="M1688" s="844">
        <v>6264</v>
      </c>
      <c r="N1688" s="189"/>
      <c r="O1688" s="1"/>
      <c r="P1688" s="189"/>
      <c r="Q1688" s="190"/>
      <c r="R1688" s="188">
        <v>45975</v>
      </c>
      <c r="S1688" s="193"/>
      <c r="T1688" s="192"/>
      <c r="U1688" s="829" t="s">
        <v>3225</v>
      </c>
      <c r="V1688" s="10"/>
      <c r="W1688" s="10"/>
      <c r="X1688" s="902">
        <v>26</v>
      </c>
      <c r="Y1688" s="10"/>
      <c r="Z1688" s="10"/>
      <c r="AA1688" s="11"/>
      <c r="AB1688" s="11"/>
    </row>
    <row r="1689" spans="2:28" x14ac:dyDescent="0.3">
      <c r="B1689" s="10" t="s">
        <v>396</v>
      </c>
      <c r="C1689" s="315"/>
      <c r="D1689" s="868" t="s">
        <v>3119</v>
      </c>
      <c r="E1689" s="837" t="str">
        <f>IFERROR(IF(_xlfn.XLOOKUP(Imput[[#This Row],[RFC]],'Alta Proveedor'!D:D,'Alta Proveedor'!E:E)=0,"",_xlfn.XLOOKUP(Imput[[#This Row],[RFC]],'Alta Proveedor'!D:D,'Alta Proveedor'!E:E)),"")</f>
        <v>Nomina-OPERACIÓN</v>
      </c>
      <c r="F1689" s="832" t="s">
        <v>4462</v>
      </c>
      <c r="G1689" s="187">
        <v>1</v>
      </c>
      <c r="H1689" s="1">
        <v>3900</v>
      </c>
      <c r="I1689" s="169">
        <f>Imput[[#This Row],[Cantidad]]*Imput[[#This Row],[Precio Unitario]]</f>
        <v>3900</v>
      </c>
      <c r="J1689" s="11">
        <f>((Imput[[#This Row],[Sub total]])*(0.08))</f>
        <v>312</v>
      </c>
      <c r="K1689" s="11">
        <v>0</v>
      </c>
      <c r="L1689" s="169">
        <f>Imput[[#This Row],[Sub total]]+Imput[[#This Row],[IVA]]-Imput[[#This Row],[Retención / IEPS / Descuento]]</f>
        <v>4212</v>
      </c>
      <c r="M1689" s="844">
        <v>4212</v>
      </c>
      <c r="N1689" s="189"/>
      <c r="O1689" s="1"/>
      <c r="P1689" s="189"/>
      <c r="Q1689" s="190"/>
      <c r="R1689" s="188">
        <v>45975</v>
      </c>
      <c r="S1689" s="193"/>
      <c r="T1689" s="192"/>
      <c r="U1689" s="829" t="s">
        <v>3225</v>
      </c>
      <c r="V1689" s="10"/>
      <c r="W1689" s="10"/>
      <c r="X1689" s="902">
        <v>26</v>
      </c>
      <c r="Y1689" s="10"/>
      <c r="Z1689" s="10"/>
      <c r="AA1689" s="11"/>
      <c r="AB1689" s="11"/>
    </row>
    <row r="1690" spans="2:28" x14ac:dyDescent="0.3">
      <c r="B1690" s="10" t="s">
        <v>396</v>
      </c>
      <c r="C1690" s="315"/>
      <c r="D1690" s="868" t="s">
        <v>3119</v>
      </c>
      <c r="E1690" s="837" t="str">
        <f>IFERROR(IF(_xlfn.XLOOKUP(Imput[[#This Row],[RFC]],'Alta Proveedor'!D:D,'Alta Proveedor'!E:E)=0,"",_xlfn.XLOOKUP(Imput[[#This Row],[RFC]],'Alta Proveedor'!D:D,'Alta Proveedor'!E:E)),"")</f>
        <v>Nomina-OPERACIÓN</v>
      </c>
      <c r="F1690" s="832" t="s">
        <v>4500</v>
      </c>
      <c r="G1690" s="187">
        <v>1</v>
      </c>
      <c r="H1690" s="1">
        <v>4050</v>
      </c>
      <c r="I1690" s="169">
        <f>Imput[[#This Row],[Cantidad]]*Imput[[#This Row],[Precio Unitario]]</f>
        <v>4050</v>
      </c>
      <c r="J1690" s="11">
        <f>((Imput[[#This Row],[Sub total]])*(0.08))</f>
        <v>324</v>
      </c>
      <c r="K1690" s="11">
        <v>0</v>
      </c>
      <c r="L1690" s="169">
        <f>Imput[[#This Row],[Sub total]]+Imput[[#This Row],[IVA]]-Imput[[#This Row],[Retención / IEPS / Descuento]]</f>
        <v>4374</v>
      </c>
      <c r="M1690" s="844">
        <v>4374</v>
      </c>
      <c r="N1690" s="189"/>
      <c r="O1690" s="1"/>
      <c r="P1690" s="189"/>
      <c r="Q1690" s="190"/>
      <c r="R1690" s="188">
        <v>45975</v>
      </c>
      <c r="S1690" s="193"/>
      <c r="T1690" s="192"/>
      <c r="U1690" s="829" t="s">
        <v>3225</v>
      </c>
      <c r="V1690" s="10"/>
      <c r="W1690" s="10"/>
      <c r="X1690" s="902">
        <v>26</v>
      </c>
      <c r="Y1690" s="10"/>
      <c r="Z1690" s="10"/>
      <c r="AA1690" s="11"/>
      <c r="AB1690" s="11"/>
    </row>
    <row r="1691" spans="2:28" x14ac:dyDescent="0.3">
      <c r="B1691" s="10" t="s">
        <v>396</v>
      </c>
      <c r="C1691" s="315"/>
      <c r="D1691" s="868" t="s">
        <v>3225</v>
      </c>
      <c r="E1691" s="837" t="str">
        <f>IFERROR(IF(_xlfn.XLOOKUP(Imput[[#This Row],[RFC]],'Alta Proveedor'!D:D,'Alta Proveedor'!E:E)=0,"",_xlfn.XLOOKUP(Imput[[#This Row],[RFC]],'Alta Proveedor'!D:D,'Alta Proveedor'!E:E)),"")</f>
        <v>GASTOS SIN FACTURA</v>
      </c>
      <c r="F1691" s="832" t="s">
        <v>4501</v>
      </c>
      <c r="G1691" s="187">
        <v>1</v>
      </c>
      <c r="H1691" s="1">
        <v>2412</v>
      </c>
      <c r="I1691" s="169">
        <f>Imput[[#This Row],[Cantidad]]*Imput[[#This Row],[Precio Unitario]]</f>
        <v>2412</v>
      </c>
      <c r="J1691" s="11">
        <f>((Imput[[#This Row],[Sub total]])*(0.08))</f>
        <v>192.96</v>
      </c>
      <c r="K1691" s="11">
        <v>0</v>
      </c>
      <c r="L1691" s="169">
        <f>Imput[[#This Row],[Sub total]]+Imput[[#This Row],[IVA]]-Imput[[#This Row],[Retención / IEPS / Descuento]]</f>
        <v>2604.96</v>
      </c>
      <c r="M1691" s="844">
        <v>2604.96</v>
      </c>
      <c r="N1691" s="189"/>
      <c r="O1691" s="1"/>
      <c r="P1691" s="189"/>
      <c r="Q1691" s="190"/>
      <c r="R1691" s="188">
        <v>45976</v>
      </c>
      <c r="S1691" s="193"/>
      <c r="T1691" s="192"/>
      <c r="U1691" s="829" t="s">
        <v>3225</v>
      </c>
      <c r="V1691" s="10"/>
      <c r="W1691" s="10"/>
      <c r="X1691" s="902">
        <v>26</v>
      </c>
      <c r="Y1691" s="10"/>
      <c r="Z1691" s="10"/>
      <c r="AA1691" s="11"/>
      <c r="AB1691" s="11"/>
    </row>
    <row r="1692" spans="2:28" x14ac:dyDescent="0.3">
      <c r="B1692" s="10" t="s">
        <v>396</v>
      </c>
      <c r="C1692" s="315" t="s">
        <v>1743</v>
      </c>
      <c r="D1692" s="868" t="s">
        <v>3118</v>
      </c>
      <c r="E1692" s="837" t="str">
        <f>IFERROR(IF(_xlfn.XLOOKUP(Imput[[#This Row],[RFC]],'Alta Proveedor'!D:D,'Alta Proveedor'!E:E)=0,"",_xlfn.XLOOKUP(Imput[[#This Row],[RFC]],'Alta Proveedor'!D:D,'Alta Proveedor'!E:E)),"")</f>
        <v>Nomina-ADMON</v>
      </c>
      <c r="F1692" s="832" t="s">
        <v>4584</v>
      </c>
      <c r="G1692" s="187">
        <v>1</v>
      </c>
      <c r="H1692" s="1"/>
      <c r="I1692" s="169">
        <f>Imput[[#This Row],[Cantidad]]*Imput[[#This Row],[Precio Unitario]]</f>
        <v>0</v>
      </c>
      <c r="J1692" s="11">
        <f>Imput[[#This Row],[Sub total]]*0</f>
        <v>0</v>
      </c>
      <c r="K1692" s="11">
        <v>0</v>
      </c>
      <c r="L1692" s="169">
        <f>Imput[[#This Row],[Sub total]]+Imput[[#This Row],[IVA]]-Imput[[#This Row],[Retención / IEPS / Descuento]]</f>
        <v>0</v>
      </c>
      <c r="M1692" s="844">
        <v>0</v>
      </c>
      <c r="N1692" s="189"/>
      <c r="O1692" s="1"/>
      <c r="P1692" s="189"/>
      <c r="Q1692" s="190"/>
      <c r="R1692" s="188">
        <v>45976</v>
      </c>
      <c r="S1692" s="193"/>
      <c r="T1692" s="192"/>
      <c r="U1692" s="829" t="s">
        <v>3225</v>
      </c>
      <c r="V1692" s="10"/>
      <c r="W1692" s="10"/>
      <c r="X1692" s="902">
        <v>26</v>
      </c>
      <c r="Y1692" s="10"/>
      <c r="Z1692" s="10"/>
      <c r="AA1692" s="11"/>
      <c r="AB1692" s="11"/>
    </row>
    <row r="1693" spans="2:28" x14ac:dyDescent="0.3">
      <c r="B1693" s="10" t="s">
        <v>396</v>
      </c>
      <c r="C1693" s="315" t="s">
        <v>1773</v>
      </c>
      <c r="D1693" s="868" t="s">
        <v>3118</v>
      </c>
      <c r="E1693" s="837" t="str">
        <f>IFERROR(IF(_xlfn.XLOOKUP(Imput[[#This Row],[RFC]],'Alta Proveedor'!D:D,'Alta Proveedor'!E:E)=0,"",_xlfn.XLOOKUP(Imput[[#This Row],[RFC]],'Alta Proveedor'!D:D,'Alta Proveedor'!E:E)),"")</f>
        <v>Nomina-ADMON</v>
      </c>
      <c r="F1693" s="832" t="s">
        <v>4583</v>
      </c>
      <c r="G1693" s="187">
        <v>1</v>
      </c>
      <c r="H1693" s="1">
        <v>4182</v>
      </c>
      <c r="I1693" s="169">
        <f>Imput[[#This Row],[Cantidad]]*Imput[[#This Row],[Precio Unitario]]</f>
        <v>4182</v>
      </c>
      <c r="J1693" s="11">
        <f>Imput[[#This Row],[Sub total]]*0</f>
        <v>0</v>
      </c>
      <c r="K1693" s="11">
        <v>0</v>
      </c>
      <c r="L1693" s="169">
        <f>Imput[[#This Row],[Sub total]]+Imput[[#This Row],[IVA]]-Imput[[#This Row],[Retención / IEPS / Descuento]]</f>
        <v>4182</v>
      </c>
      <c r="M1693" s="844">
        <v>4182</v>
      </c>
      <c r="N1693" s="189"/>
      <c r="O1693" s="1"/>
      <c r="P1693" s="189"/>
      <c r="Q1693" s="190"/>
      <c r="R1693" s="188">
        <v>45976</v>
      </c>
      <c r="S1693" s="193"/>
      <c r="T1693" s="192"/>
      <c r="U1693" s="829" t="s">
        <v>3225</v>
      </c>
      <c r="V1693" s="10"/>
      <c r="W1693" s="10"/>
      <c r="X1693" s="902">
        <v>26</v>
      </c>
      <c r="Y1693" s="10"/>
      <c r="Z1693" s="10"/>
      <c r="AA1693" s="11"/>
      <c r="AB1693" s="11"/>
    </row>
    <row r="1694" spans="2:28" x14ac:dyDescent="0.3">
      <c r="B1694" s="10" t="s">
        <v>396</v>
      </c>
      <c r="C1694" s="315" t="s">
        <v>1784</v>
      </c>
      <c r="D1694" s="868" t="s">
        <v>3118</v>
      </c>
      <c r="E1694" s="837" t="str">
        <f>IFERROR(IF(_xlfn.XLOOKUP(Imput[[#This Row],[RFC]],'Alta Proveedor'!D:D,'Alta Proveedor'!E:E)=0,"",_xlfn.XLOOKUP(Imput[[#This Row],[RFC]],'Alta Proveedor'!D:D,'Alta Proveedor'!E:E)),"")</f>
        <v>Nomina-ADMON</v>
      </c>
      <c r="F1694" s="832" t="s">
        <v>4582</v>
      </c>
      <c r="G1694" s="187">
        <v>1</v>
      </c>
      <c r="H1694" s="1"/>
      <c r="I1694" s="169">
        <f>Imput[[#This Row],[Cantidad]]*Imput[[#This Row],[Precio Unitario]]</f>
        <v>0</v>
      </c>
      <c r="J1694" s="11">
        <f>Imput[[#This Row],[Sub total]]*0</f>
        <v>0</v>
      </c>
      <c r="K1694" s="11">
        <v>0</v>
      </c>
      <c r="L1694" s="169">
        <f>Imput[[#This Row],[Sub total]]+Imput[[#This Row],[IVA]]-Imput[[#This Row],[Retención / IEPS / Descuento]]</f>
        <v>0</v>
      </c>
      <c r="M1694" s="844">
        <v>0</v>
      </c>
      <c r="N1694" s="189"/>
      <c r="O1694" s="1"/>
      <c r="P1694" s="189"/>
      <c r="Q1694" s="190"/>
      <c r="R1694" s="188">
        <v>45976</v>
      </c>
      <c r="S1694" s="193"/>
      <c r="T1694" s="192"/>
      <c r="U1694" s="829" t="s">
        <v>3225</v>
      </c>
      <c r="V1694" s="10"/>
      <c r="W1694" s="10"/>
      <c r="X1694" s="902">
        <v>26</v>
      </c>
      <c r="Y1694" s="10"/>
      <c r="Z1694" s="10"/>
      <c r="AA1694" s="11"/>
      <c r="AB1694" s="11"/>
    </row>
    <row r="1695" spans="2:28" x14ac:dyDescent="0.3">
      <c r="B1695" s="10" t="s">
        <v>396</v>
      </c>
      <c r="C1695" s="315" t="s">
        <v>1756</v>
      </c>
      <c r="D1695" s="868" t="s">
        <v>3118</v>
      </c>
      <c r="E1695" s="837" t="str">
        <f>IFERROR(IF(_xlfn.XLOOKUP(Imput[[#This Row],[RFC]],'Alta Proveedor'!D:D,'Alta Proveedor'!E:E)=0,"",_xlfn.XLOOKUP(Imput[[#This Row],[RFC]],'Alta Proveedor'!D:D,'Alta Proveedor'!E:E)),"")</f>
        <v>Nomina-ADMON</v>
      </c>
      <c r="F1695" s="832" t="s">
        <v>4581</v>
      </c>
      <c r="G1695" s="187">
        <v>1</v>
      </c>
      <c r="H1695" s="1">
        <v>4182</v>
      </c>
      <c r="I1695" s="169">
        <f>Imput[[#This Row],[Cantidad]]*Imput[[#This Row],[Precio Unitario]]</f>
        <v>4182</v>
      </c>
      <c r="J1695" s="11">
        <f>Imput[[#This Row],[Sub total]]*0</f>
        <v>0</v>
      </c>
      <c r="K1695" s="11">
        <v>0</v>
      </c>
      <c r="L1695" s="169">
        <f>Imput[[#This Row],[Sub total]]+Imput[[#This Row],[IVA]]-Imput[[#This Row],[Retención / IEPS / Descuento]]</f>
        <v>4182</v>
      </c>
      <c r="M1695" s="844">
        <v>4182</v>
      </c>
      <c r="N1695" s="189"/>
      <c r="O1695" s="1"/>
      <c r="P1695" s="189"/>
      <c r="Q1695" s="190"/>
      <c r="R1695" s="188">
        <v>45976</v>
      </c>
      <c r="S1695" s="193"/>
      <c r="T1695" s="192"/>
      <c r="U1695" s="829" t="s">
        <v>3225</v>
      </c>
      <c r="V1695" s="10"/>
      <c r="W1695" s="10"/>
      <c r="X1695" s="902">
        <v>26</v>
      </c>
      <c r="Y1695" s="10"/>
      <c r="Z1695" s="10"/>
      <c r="AA1695" s="11"/>
      <c r="AB1695" s="11"/>
    </row>
    <row r="1696" spans="2:28" x14ac:dyDescent="0.3">
      <c r="B1696" s="10" t="s">
        <v>396</v>
      </c>
      <c r="C1696" s="315" t="s">
        <v>1774</v>
      </c>
      <c r="D1696" s="868" t="s">
        <v>3118</v>
      </c>
      <c r="E1696" s="837" t="str">
        <f>IFERROR(IF(_xlfn.XLOOKUP(Imput[[#This Row],[RFC]],'Alta Proveedor'!D:D,'Alta Proveedor'!E:E)=0,"",_xlfn.XLOOKUP(Imput[[#This Row],[RFC]],'Alta Proveedor'!D:D,'Alta Proveedor'!E:E)),"")</f>
        <v>Nomina-ADMON</v>
      </c>
      <c r="F1696" s="832" t="s">
        <v>4580</v>
      </c>
      <c r="G1696" s="187">
        <v>1</v>
      </c>
      <c r="H1696" s="1">
        <v>4182</v>
      </c>
      <c r="I1696" s="169">
        <f>Imput[[#This Row],[Cantidad]]*Imput[[#This Row],[Precio Unitario]]</f>
        <v>4182</v>
      </c>
      <c r="J1696" s="11">
        <f>Imput[[#This Row],[Sub total]]*0</f>
        <v>0</v>
      </c>
      <c r="K1696" s="11">
        <v>0</v>
      </c>
      <c r="L1696" s="169">
        <f>Imput[[#This Row],[Sub total]]+Imput[[#This Row],[IVA]]-Imput[[#This Row],[Retención / IEPS / Descuento]]</f>
        <v>4182</v>
      </c>
      <c r="M1696" s="844">
        <v>4182</v>
      </c>
      <c r="N1696" s="189"/>
      <c r="O1696" s="1"/>
      <c r="P1696" s="189"/>
      <c r="Q1696" s="190"/>
      <c r="R1696" s="188">
        <v>45976</v>
      </c>
      <c r="S1696" s="193"/>
      <c r="T1696" s="192"/>
      <c r="U1696" s="829" t="s">
        <v>3225</v>
      </c>
      <c r="V1696" s="10"/>
      <c r="W1696" s="10"/>
      <c r="X1696" s="902">
        <v>26</v>
      </c>
      <c r="Y1696" s="10"/>
      <c r="Z1696" s="10"/>
      <c r="AA1696" s="11"/>
      <c r="AB1696" s="11"/>
    </row>
    <row r="1697" spans="2:28" x14ac:dyDescent="0.3">
      <c r="B1697" s="10" t="s">
        <v>396</v>
      </c>
      <c r="C1697" s="315" t="s">
        <v>1754</v>
      </c>
      <c r="D1697" s="868" t="s">
        <v>3118</v>
      </c>
      <c r="E1697" s="837" t="str">
        <f>IFERROR(IF(_xlfn.XLOOKUP(Imput[[#This Row],[RFC]],'Alta Proveedor'!D:D,'Alta Proveedor'!E:E)=0,"",_xlfn.XLOOKUP(Imput[[#This Row],[RFC]],'Alta Proveedor'!D:D,'Alta Proveedor'!E:E)),"")</f>
        <v>Nomina-ADMON</v>
      </c>
      <c r="F1697" s="832" t="s">
        <v>4579</v>
      </c>
      <c r="G1697" s="187">
        <v>1</v>
      </c>
      <c r="H1697" s="1">
        <v>4182</v>
      </c>
      <c r="I1697" s="169">
        <f>Imput[[#This Row],[Cantidad]]*Imput[[#This Row],[Precio Unitario]]</f>
        <v>4182</v>
      </c>
      <c r="J1697" s="11">
        <f>Imput[[#This Row],[Sub total]]*0</f>
        <v>0</v>
      </c>
      <c r="K1697" s="11">
        <v>0</v>
      </c>
      <c r="L1697" s="169">
        <f>Imput[[#This Row],[Sub total]]+Imput[[#This Row],[IVA]]-Imput[[#This Row],[Retención / IEPS / Descuento]]</f>
        <v>4182</v>
      </c>
      <c r="M1697" s="844">
        <v>4182</v>
      </c>
      <c r="N1697" s="189"/>
      <c r="O1697" s="1"/>
      <c r="P1697" s="189"/>
      <c r="Q1697" s="190"/>
      <c r="R1697" s="188">
        <v>45976</v>
      </c>
      <c r="S1697" s="193"/>
      <c r="T1697" s="192"/>
      <c r="U1697" s="829" t="s">
        <v>3225</v>
      </c>
      <c r="V1697" s="10"/>
      <c r="W1697" s="10"/>
      <c r="X1697" s="902">
        <v>26</v>
      </c>
      <c r="Y1697" s="10"/>
      <c r="Z1697" s="10"/>
      <c r="AA1697" s="11"/>
      <c r="AB1697" s="11"/>
    </row>
    <row r="1698" spans="2:28" x14ac:dyDescent="0.3">
      <c r="B1698" s="10" t="s">
        <v>396</v>
      </c>
      <c r="C1698" s="315" t="s">
        <v>1775</v>
      </c>
      <c r="D1698" s="868" t="s">
        <v>3118</v>
      </c>
      <c r="E1698" s="837" t="str">
        <f>IFERROR(IF(_xlfn.XLOOKUP(Imput[[#This Row],[RFC]],'Alta Proveedor'!D:D,'Alta Proveedor'!E:E)=0,"",_xlfn.XLOOKUP(Imput[[#This Row],[RFC]],'Alta Proveedor'!D:D,'Alta Proveedor'!E:E)),"")</f>
        <v>Nomina-ADMON</v>
      </c>
      <c r="F1698" s="832" t="s">
        <v>4578</v>
      </c>
      <c r="G1698" s="187">
        <v>1</v>
      </c>
      <c r="H1698" s="1">
        <v>2788</v>
      </c>
      <c r="I1698" s="169">
        <f>Imput[[#This Row],[Cantidad]]*Imput[[#This Row],[Precio Unitario]]</f>
        <v>2788</v>
      </c>
      <c r="J1698" s="11">
        <f>Imput[[#This Row],[Sub total]]*0</f>
        <v>0</v>
      </c>
      <c r="K1698" s="11">
        <v>0</v>
      </c>
      <c r="L1698" s="169">
        <f>Imput[[#This Row],[Sub total]]+Imput[[#This Row],[IVA]]-Imput[[#This Row],[Retención / IEPS / Descuento]]</f>
        <v>2788</v>
      </c>
      <c r="M1698" s="844">
        <v>2788</v>
      </c>
      <c r="N1698" s="189"/>
      <c r="O1698" s="1"/>
      <c r="P1698" s="189"/>
      <c r="Q1698" s="190"/>
      <c r="R1698" s="188">
        <v>45976</v>
      </c>
      <c r="S1698" s="193"/>
      <c r="T1698" s="192"/>
      <c r="U1698" s="829" t="s">
        <v>3225</v>
      </c>
      <c r="V1698" s="10"/>
      <c r="W1698" s="10"/>
      <c r="X1698" s="902">
        <v>26</v>
      </c>
      <c r="Y1698" s="10"/>
      <c r="Z1698" s="10"/>
      <c r="AA1698" s="11"/>
      <c r="AB1698" s="11"/>
    </row>
    <row r="1699" spans="2:28" x14ac:dyDescent="0.3">
      <c r="B1699" s="10" t="s">
        <v>396</v>
      </c>
      <c r="C1699" s="315" t="s">
        <v>1743</v>
      </c>
      <c r="D1699" s="868" t="s">
        <v>3118</v>
      </c>
      <c r="E1699" s="837" t="str">
        <f>IFERROR(IF(_xlfn.XLOOKUP(Imput[[#This Row],[RFC]],'Alta Proveedor'!D:D,'Alta Proveedor'!E:E)=0,"",_xlfn.XLOOKUP(Imput[[#This Row],[RFC]],'Alta Proveedor'!D:D,'Alta Proveedor'!E:E)),"")</f>
        <v>Nomina-ADMON</v>
      </c>
      <c r="F1699" s="832" t="s">
        <v>4577</v>
      </c>
      <c r="G1699" s="187">
        <v>1</v>
      </c>
      <c r="H1699" s="1">
        <v>10000</v>
      </c>
      <c r="I1699" s="169">
        <f>Imput[[#This Row],[Cantidad]]*Imput[[#This Row],[Precio Unitario]]</f>
        <v>10000</v>
      </c>
      <c r="J1699" s="11">
        <f>Imput[[#This Row],[Sub total]]*0.08</f>
        <v>800</v>
      </c>
      <c r="K1699" s="11">
        <v>0</v>
      </c>
      <c r="L1699" s="169">
        <f>Imput[[#This Row],[Sub total]]+Imput[[#This Row],[IVA]]-Imput[[#This Row],[Retención / IEPS / Descuento]]</f>
        <v>10800</v>
      </c>
      <c r="M1699" s="844">
        <v>10800</v>
      </c>
      <c r="N1699" s="189"/>
      <c r="O1699" s="1"/>
      <c r="P1699" s="189"/>
      <c r="Q1699" s="190"/>
      <c r="R1699" s="188">
        <v>45976</v>
      </c>
      <c r="S1699" s="193"/>
      <c r="T1699" s="192"/>
      <c r="U1699" s="829" t="s">
        <v>3225</v>
      </c>
      <c r="V1699" s="10"/>
      <c r="W1699" s="10"/>
      <c r="X1699" s="902">
        <v>26</v>
      </c>
      <c r="Y1699" s="10"/>
      <c r="Z1699" s="10"/>
      <c r="AA1699" s="11"/>
      <c r="AB1699" s="11"/>
    </row>
    <row r="1700" spans="2:28" x14ac:dyDescent="0.3">
      <c r="B1700" s="10" t="s">
        <v>396</v>
      </c>
      <c r="C1700" s="315" t="s">
        <v>1773</v>
      </c>
      <c r="D1700" s="868" t="s">
        <v>3118</v>
      </c>
      <c r="E1700" s="837" t="str">
        <f>IFERROR(IF(_xlfn.XLOOKUP(Imput[[#This Row],[RFC]],'Alta Proveedor'!D:D,'Alta Proveedor'!E:E)=0,"",_xlfn.XLOOKUP(Imput[[#This Row],[RFC]],'Alta Proveedor'!D:D,'Alta Proveedor'!E:E)),"")</f>
        <v>Nomina-ADMON</v>
      </c>
      <c r="F1700" s="832" t="s">
        <v>4576</v>
      </c>
      <c r="G1700" s="187">
        <v>1</v>
      </c>
      <c r="H1700" s="1">
        <v>2318</v>
      </c>
      <c r="I1700" s="169">
        <f>Imput[[#This Row],[Cantidad]]*Imput[[#This Row],[Precio Unitario]]</f>
        <v>2318</v>
      </c>
      <c r="J1700" s="11">
        <f>Imput[[#This Row],[Sub total]]*0.08</f>
        <v>185.44</v>
      </c>
      <c r="K1700" s="11">
        <v>0</v>
      </c>
      <c r="L1700" s="169">
        <f>Imput[[#This Row],[Sub total]]+Imput[[#This Row],[IVA]]-Imput[[#This Row],[Retención / IEPS / Descuento]]</f>
        <v>2503.44</v>
      </c>
      <c r="M1700" s="844">
        <v>2503.44</v>
      </c>
      <c r="N1700" s="189"/>
      <c r="O1700" s="1"/>
      <c r="P1700" s="189"/>
      <c r="Q1700" s="190"/>
      <c r="R1700" s="188">
        <v>45976</v>
      </c>
      <c r="S1700" s="193"/>
      <c r="T1700" s="192"/>
      <c r="U1700" s="829" t="s">
        <v>3225</v>
      </c>
      <c r="V1700" s="10"/>
      <c r="W1700" s="10"/>
      <c r="X1700" s="902">
        <v>26</v>
      </c>
      <c r="Y1700" s="10"/>
      <c r="Z1700" s="10"/>
      <c r="AA1700" s="11"/>
      <c r="AB1700" s="11"/>
    </row>
    <row r="1701" spans="2:28" x14ac:dyDescent="0.3">
      <c r="B1701" s="10" t="s">
        <v>396</v>
      </c>
      <c r="C1701" s="315" t="s">
        <v>1784</v>
      </c>
      <c r="D1701" s="868" t="s">
        <v>3118</v>
      </c>
      <c r="E1701" s="837" t="str">
        <f>IFERROR(IF(_xlfn.XLOOKUP(Imput[[#This Row],[RFC]],'Alta Proveedor'!D:D,'Alta Proveedor'!E:E)=0,"",_xlfn.XLOOKUP(Imput[[#This Row],[RFC]],'Alta Proveedor'!D:D,'Alta Proveedor'!E:E)),"")</f>
        <v>Nomina-ADMON</v>
      </c>
      <c r="F1701" s="832" t="s">
        <v>4575</v>
      </c>
      <c r="G1701" s="187">
        <v>1</v>
      </c>
      <c r="H1701" s="1">
        <v>7500</v>
      </c>
      <c r="I1701" s="169">
        <f>Imput[[#This Row],[Cantidad]]*Imput[[#This Row],[Precio Unitario]]</f>
        <v>7500</v>
      </c>
      <c r="J1701" s="11">
        <f>Imput[[#This Row],[Sub total]]*0.08</f>
        <v>600</v>
      </c>
      <c r="K1701" s="11">
        <v>0</v>
      </c>
      <c r="L1701" s="169">
        <f>Imput[[#This Row],[Sub total]]+Imput[[#This Row],[IVA]]-Imput[[#This Row],[Retención / IEPS / Descuento]]</f>
        <v>8100</v>
      </c>
      <c r="M1701" s="844">
        <v>8100</v>
      </c>
      <c r="N1701" s="189"/>
      <c r="O1701" s="1"/>
      <c r="P1701" s="189"/>
      <c r="Q1701" s="190"/>
      <c r="R1701" s="188">
        <v>45976</v>
      </c>
      <c r="S1701" s="193"/>
      <c r="T1701" s="192"/>
      <c r="U1701" s="829" t="s">
        <v>3225</v>
      </c>
      <c r="V1701" s="10"/>
      <c r="W1701" s="10"/>
      <c r="X1701" s="902">
        <v>26</v>
      </c>
      <c r="Y1701" s="10"/>
      <c r="Z1701" s="10"/>
      <c r="AA1701" s="11"/>
      <c r="AB1701" s="11"/>
    </row>
    <row r="1702" spans="2:28" x14ac:dyDescent="0.3">
      <c r="B1702" s="10" t="s">
        <v>396</v>
      </c>
      <c r="C1702" s="315" t="s">
        <v>1756</v>
      </c>
      <c r="D1702" s="868" t="s">
        <v>3118</v>
      </c>
      <c r="E1702" s="837" t="str">
        <f>IFERROR(IF(_xlfn.XLOOKUP(Imput[[#This Row],[RFC]],'Alta Proveedor'!D:D,'Alta Proveedor'!E:E)=0,"",_xlfn.XLOOKUP(Imput[[#This Row],[RFC]],'Alta Proveedor'!D:D,'Alta Proveedor'!E:E)),"")</f>
        <v>Nomina-ADMON</v>
      </c>
      <c r="F1702" s="832" t="s">
        <v>4574</v>
      </c>
      <c r="G1702" s="187">
        <v>1</v>
      </c>
      <c r="H1702" s="1">
        <v>8533</v>
      </c>
      <c r="I1702" s="169">
        <f>Imput[[#This Row],[Cantidad]]*Imput[[#This Row],[Precio Unitario]]</f>
        <v>8533</v>
      </c>
      <c r="J1702" s="11">
        <f>Imput[[#This Row],[Sub total]]*0.08</f>
        <v>682.64</v>
      </c>
      <c r="K1702" s="11">
        <v>0</v>
      </c>
      <c r="L1702" s="169">
        <f>Imput[[#This Row],[Sub total]]+Imput[[#This Row],[IVA]]-Imput[[#This Row],[Retención / IEPS / Descuento]]</f>
        <v>9215.64</v>
      </c>
      <c r="M1702" s="844">
        <v>9215.64</v>
      </c>
      <c r="N1702" s="189"/>
      <c r="O1702" s="1"/>
      <c r="P1702" s="189"/>
      <c r="Q1702" s="190"/>
      <c r="R1702" s="188">
        <v>45976</v>
      </c>
      <c r="S1702" s="193"/>
      <c r="T1702" s="192"/>
      <c r="U1702" s="829" t="s">
        <v>3225</v>
      </c>
      <c r="V1702" s="10"/>
      <c r="W1702" s="10"/>
      <c r="X1702" s="902">
        <v>26</v>
      </c>
      <c r="Y1702" s="10"/>
      <c r="Z1702" s="10"/>
      <c r="AA1702" s="11"/>
      <c r="AB1702" s="11"/>
    </row>
    <row r="1703" spans="2:28" x14ac:dyDescent="0.3">
      <c r="B1703" s="10" t="s">
        <v>396</v>
      </c>
      <c r="C1703" s="315" t="s">
        <v>1774</v>
      </c>
      <c r="D1703" s="868" t="s">
        <v>3118</v>
      </c>
      <c r="E1703" s="837" t="str">
        <f>IFERROR(IF(_xlfn.XLOOKUP(Imput[[#This Row],[RFC]],'Alta Proveedor'!D:D,'Alta Proveedor'!E:E)=0,"",_xlfn.XLOOKUP(Imput[[#This Row],[RFC]],'Alta Proveedor'!D:D,'Alta Proveedor'!E:E)),"")</f>
        <v>Nomina-ADMON</v>
      </c>
      <c r="F1703" s="832" t="s">
        <v>4573</v>
      </c>
      <c r="G1703" s="187">
        <v>1</v>
      </c>
      <c r="H1703" s="1">
        <v>11313.6</v>
      </c>
      <c r="I1703" s="169">
        <f>Imput[[#This Row],[Cantidad]]*Imput[[#This Row],[Precio Unitario]]</f>
        <v>11313.6</v>
      </c>
      <c r="J1703" s="11">
        <f>Imput[[#This Row],[Sub total]]*0.08</f>
        <v>905.08800000000008</v>
      </c>
      <c r="K1703" s="11">
        <v>0</v>
      </c>
      <c r="L1703" s="169">
        <f>Imput[[#This Row],[Sub total]]+Imput[[#This Row],[IVA]]-Imput[[#This Row],[Retención / IEPS / Descuento]]</f>
        <v>12218.688</v>
      </c>
      <c r="M1703" s="844">
        <v>12218.688</v>
      </c>
      <c r="N1703" s="189"/>
      <c r="O1703" s="1"/>
      <c r="P1703" s="189"/>
      <c r="Q1703" s="190"/>
      <c r="R1703" s="188">
        <v>45976</v>
      </c>
      <c r="S1703" s="193"/>
      <c r="T1703" s="192"/>
      <c r="U1703" s="829" t="s">
        <v>3225</v>
      </c>
      <c r="V1703" s="10"/>
      <c r="W1703" s="10"/>
      <c r="X1703" s="902">
        <v>26</v>
      </c>
      <c r="Y1703" s="10"/>
      <c r="Z1703" s="10"/>
      <c r="AA1703" s="11"/>
      <c r="AB1703" s="11"/>
    </row>
    <row r="1704" spans="2:28" x14ac:dyDescent="0.3">
      <c r="B1704" s="10" t="s">
        <v>396</v>
      </c>
      <c r="C1704" s="315" t="s">
        <v>1754</v>
      </c>
      <c r="D1704" s="868" t="s">
        <v>3118</v>
      </c>
      <c r="E1704" s="837" t="str">
        <f>IFERROR(IF(_xlfn.XLOOKUP(Imput[[#This Row],[RFC]],'Alta Proveedor'!D:D,'Alta Proveedor'!E:E)=0,"",_xlfn.XLOOKUP(Imput[[#This Row],[RFC]],'Alta Proveedor'!D:D,'Alta Proveedor'!E:E)),"")</f>
        <v>Nomina-ADMON</v>
      </c>
      <c r="F1704" s="832" t="s">
        <v>4572</v>
      </c>
      <c r="G1704" s="187">
        <v>1</v>
      </c>
      <c r="H1704" s="1">
        <v>9818</v>
      </c>
      <c r="I1704" s="169">
        <f>Imput[[#This Row],[Cantidad]]*Imput[[#This Row],[Precio Unitario]]</f>
        <v>9818</v>
      </c>
      <c r="J1704" s="11">
        <f>Imput[[#This Row],[Sub total]]*0.08</f>
        <v>785.44</v>
      </c>
      <c r="K1704" s="11">
        <v>0</v>
      </c>
      <c r="L1704" s="169">
        <f>Imput[[#This Row],[Sub total]]+Imput[[#This Row],[IVA]]-Imput[[#This Row],[Retención / IEPS / Descuento]]</f>
        <v>10603.44</v>
      </c>
      <c r="M1704" s="844">
        <v>10603.44</v>
      </c>
      <c r="N1704" s="189"/>
      <c r="O1704" s="1"/>
      <c r="P1704" s="189"/>
      <c r="Q1704" s="190"/>
      <c r="R1704" s="188">
        <v>45976</v>
      </c>
      <c r="S1704" s="193"/>
      <c r="T1704" s="192"/>
      <c r="U1704" s="829" t="s">
        <v>3225</v>
      </c>
      <c r="V1704" s="10"/>
      <c r="W1704" s="10"/>
      <c r="X1704" s="902">
        <v>26</v>
      </c>
      <c r="Y1704" s="10"/>
      <c r="Z1704" s="10"/>
      <c r="AA1704" s="11"/>
      <c r="AB1704" s="11"/>
    </row>
    <row r="1705" spans="2:28" x14ac:dyDescent="0.3">
      <c r="B1705" s="10" t="s">
        <v>396</v>
      </c>
      <c r="C1705" s="315" t="s">
        <v>1775</v>
      </c>
      <c r="D1705" s="868" t="s">
        <v>3118</v>
      </c>
      <c r="E1705" s="837" t="str">
        <f>IFERROR(IF(_xlfn.XLOOKUP(Imput[[#This Row],[RFC]],'Alta Proveedor'!D:D,'Alta Proveedor'!E:E)=0,"",_xlfn.XLOOKUP(Imput[[#This Row],[RFC]],'Alta Proveedor'!D:D,'Alta Proveedor'!E:E)),"")</f>
        <v>Nomina-ADMON</v>
      </c>
      <c r="F1705" s="832" t="s">
        <v>4571</v>
      </c>
      <c r="G1705" s="187">
        <v>1</v>
      </c>
      <c r="H1705" s="1">
        <v>4545.3333333333339</v>
      </c>
      <c r="I1705" s="169">
        <f>Imput[[#This Row],[Cantidad]]*Imput[[#This Row],[Precio Unitario]]</f>
        <v>4545.3333333333339</v>
      </c>
      <c r="J1705" s="11">
        <f>Imput[[#This Row],[Sub total]]*0.08</f>
        <v>363.62666666666672</v>
      </c>
      <c r="K1705" s="11">
        <v>0</v>
      </c>
      <c r="L1705" s="169">
        <f>Imput[[#This Row],[Sub total]]+Imput[[#This Row],[IVA]]-Imput[[#This Row],[Retención / IEPS / Descuento]]</f>
        <v>4908.9600000000009</v>
      </c>
      <c r="M1705" s="844">
        <v>4908.9600000000009</v>
      </c>
      <c r="N1705" s="189"/>
      <c r="O1705" s="1"/>
      <c r="P1705" s="189"/>
      <c r="Q1705" s="190"/>
      <c r="R1705" s="188">
        <v>45976</v>
      </c>
      <c r="S1705" s="193"/>
      <c r="T1705" s="192"/>
      <c r="U1705" s="829" t="s">
        <v>3225</v>
      </c>
      <c r="V1705" s="10"/>
      <c r="W1705" s="10"/>
      <c r="X1705" s="902">
        <v>26</v>
      </c>
      <c r="Y1705" s="10"/>
      <c r="Z1705" s="10"/>
      <c r="AA1705" s="11"/>
      <c r="AB1705" s="11"/>
    </row>
    <row r="1706" spans="2:28" x14ac:dyDescent="0.3">
      <c r="B1706" s="10" t="s">
        <v>396</v>
      </c>
      <c r="C1706" s="315"/>
      <c r="D1706" s="868" t="s">
        <v>3225</v>
      </c>
      <c r="E1706" s="837" t="str">
        <f>IFERROR(IF(_xlfn.XLOOKUP(Imput[[#This Row],[RFC]],'Alta Proveedor'!D:D,'Alta Proveedor'!E:E)=0,"",_xlfn.XLOOKUP(Imput[[#This Row],[RFC]],'Alta Proveedor'!D:D,'Alta Proveedor'!E:E)),"")</f>
        <v>GASTOS SIN FACTURA</v>
      </c>
      <c r="F1706" s="832" t="s">
        <v>4502</v>
      </c>
      <c r="G1706" s="187">
        <v>1</v>
      </c>
      <c r="H1706" s="1">
        <v>2412</v>
      </c>
      <c r="I1706" s="169">
        <f>Imput[[#This Row],[Cantidad]]*Imput[[#This Row],[Precio Unitario]]</f>
        <v>2412</v>
      </c>
      <c r="J1706" s="11">
        <f>((Imput[[#This Row],[Sub total]])*(0.08))</f>
        <v>192.96</v>
      </c>
      <c r="K1706" s="11">
        <v>0</v>
      </c>
      <c r="L1706" s="169">
        <f>Imput[[#This Row],[Sub total]]+Imput[[#This Row],[IVA]]-Imput[[#This Row],[Retención / IEPS / Descuento]]</f>
        <v>2604.96</v>
      </c>
      <c r="M1706" s="844">
        <v>2604.96</v>
      </c>
      <c r="N1706" s="189"/>
      <c r="O1706" s="1"/>
      <c r="P1706" s="189"/>
      <c r="Q1706" s="190"/>
      <c r="R1706" s="188">
        <v>45976</v>
      </c>
      <c r="S1706" s="193"/>
      <c r="T1706" s="192"/>
      <c r="U1706" s="829" t="s">
        <v>3225</v>
      </c>
      <c r="V1706" s="10"/>
      <c r="W1706" s="10"/>
      <c r="X1706" s="902">
        <v>26</v>
      </c>
      <c r="Y1706" s="10"/>
      <c r="Z1706" s="10"/>
      <c r="AA1706" s="11"/>
      <c r="AB1706" s="11"/>
    </row>
    <row r="1707" spans="2:28" x14ac:dyDescent="0.3">
      <c r="B1707" s="10" t="s">
        <v>398</v>
      </c>
      <c r="C1707" s="315"/>
      <c r="D1707" s="868" t="s">
        <v>3225</v>
      </c>
      <c r="E1707" s="837" t="str">
        <f>IFERROR(IF(_xlfn.XLOOKUP(Imput[[#This Row],[RFC]],'Alta Proveedor'!D:D,'Alta Proveedor'!E:E)=0,"",_xlfn.XLOOKUP(Imput[[#This Row],[RFC]],'Alta Proveedor'!D:D,'Alta Proveedor'!E:E)),"")</f>
        <v>GASTOS SIN FACTURA</v>
      </c>
      <c r="F1707" s="832" t="s">
        <v>4503</v>
      </c>
      <c r="G1707" s="187">
        <v>1</v>
      </c>
      <c r="H1707" s="1">
        <v>10000</v>
      </c>
      <c r="I1707" s="169">
        <f>Imput[[#This Row],[Cantidad]]*Imput[[#This Row],[Precio Unitario]]</f>
        <v>10000</v>
      </c>
      <c r="J1707" s="11">
        <f>((Imput[[#This Row],[Sub total]])*(0.08))</f>
        <v>800</v>
      </c>
      <c r="K1707" s="11">
        <v>0</v>
      </c>
      <c r="L1707" s="169">
        <f>Imput[[#This Row],[Sub total]]+Imput[[#This Row],[IVA]]-Imput[[#This Row],[Retención / IEPS / Descuento]]</f>
        <v>10800</v>
      </c>
      <c r="M1707" s="844">
        <v>10800</v>
      </c>
      <c r="N1707" s="189"/>
      <c r="O1707" s="1"/>
      <c r="P1707" s="189"/>
      <c r="Q1707" s="190"/>
      <c r="R1707" s="188">
        <v>45981</v>
      </c>
      <c r="S1707" s="193"/>
      <c r="T1707" s="192"/>
      <c r="U1707" s="829" t="s">
        <v>3225</v>
      </c>
      <c r="V1707" s="10"/>
      <c r="W1707" s="10"/>
      <c r="X1707" s="902">
        <v>26</v>
      </c>
      <c r="Y1707" s="10"/>
      <c r="Z1707" s="10"/>
      <c r="AA1707" s="11"/>
      <c r="AB1707" s="11"/>
    </row>
    <row r="1708" spans="2:28" x14ac:dyDescent="0.3">
      <c r="B1708" s="10" t="s">
        <v>398</v>
      </c>
      <c r="C1708" s="315"/>
      <c r="D1708" s="868" t="s">
        <v>3119</v>
      </c>
      <c r="E1708" s="837" t="str">
        <f>IFERROR(IF(_xlfn.XLOOKUP(Imput[[#This Row],[RFC]],'Alta Proveedor'!D:D,'Alta Proveedor'!E:E)=0,"",_xlfn.XLOOKUP(Imput[[#This Row],[RFC]],'Alta Proveedor'!D:D,'Alta Proveedor'!E:E)),"")</f>
        <v>Nomina-OPERACIÓN</v>
      </c>
      <c r="F1708" s="832" t="s">
        <v>4462</v>
      </c>
      <c r="G1708" s="187">
        <v>1</v>
      </c>
      <c r="H1708" s="1">
        <v>3490</v>
      </c>
      <c r="I1708" s="169">
        <f>Imput[[#This Row],[Cantidad]]*Imput[[#This Row],[Precio Unitario]]</f>
        <v>3490</v>
      </c>
      <c r="J1708" s="11">
        <f>((Imput[[#This Row],[Sub total]])*(0.08))</f>
        <v>279.2</v>
      </c>
      <c r="K1708" s="11">
        <v>0</v>
      </c>
      <c r="L1708" s="169">
        <f>Imput[[#This Row],[Sub total]]+Imput[[#This Row],[IVA]]-Imput[[#This Row],[Retención / IEPS / Descuento]]</f>
        <v>3769.2</v>
      </c>
      <c r="M1708" s="844">
        <v>3769.2</v>
      </c>
      <c r="N1708" s="189"/>
      <c r="O1708" s="1"/>
      <c r="P1708" s="189"/>
      <c r="Q1708" s="190"/>
      <c r="R1708" s="188">
        <v>45981</v>
      </c>
      <c r="S1708" s="193"/>
      <c r="T1708" s="192"/>
      <c r="U1708" s="829" t="s">
        <v>3225</v>
      </c>
      <c r="V1708" s="10"/>
      <c r="W1708" s="10"/>
      <c r="X1708" s="902">
        <v>26</v>
      </c>
      <c r="Y1708" s="10"/>
      <c r="Z1708" s="10"/>
      <c r="AA1708" s="11"/>
      <c r="AB1708" s="11"/>
    </row>
    <row r="1709" spans="2:28" x14ac:dyDescent="0.3">
      <c r="B1709" s="10" t="s">
        <v>398</v>
      </c>
      <c r="C1709" s="315"/>
      <c r="D1709" s="868" t="s">
        <v>3119</v>
      </c>
      <c r="E1709" s="837" t="str">
        <f>IFERROR(IF(_xlfn.XLOOKUP(Imput[[#This Row],[RFC]],'Alta Proveedor'!D:D,'Alta Proveedor'!E:E)=0,"",_xlfn.XLOOKUP(Imput[[#This Row],[RFC]],'Alta Proveedor'!D:D,'Alta Proveedor'!E:E)),"")</f>
        <v>Nomina-OPERACIÓN</v>
      </c>
      <c r="F1709" s="832" t="s">
        <v>4475</v>
      </c>
      <c r="G1709" s="187">
        <v>1</v>
      </c>
      <c r="H1709" s="1">
        <v>3490</v>
      </c>
      <c r="I1709" s="169">
        <f>Imput[[#This Row],[Cantidad]]*Imput[[#This Row],[Precio Unitario]]</f>
        <v>3490</v>
      </c>
      <c r="J1709" s="11">
        <f>((Imput[[#This Row],[Sub total]])*(0.08))</f>
        <v>279.2</v>
      </c>
      <c r="K1709" s="11">
        <v>0</v>
      </c>
      <c r="L1709" s="169">
        <f>Imput[[#This Row],[Sub total]]+Imput[[#This Row],[IVA]]-Imput[[#This Row],[Retención / IEPS / Descuento]]</f>
        <v>3769.2</v>
      </c>
      <c r="M1709" s="844">
        <v>3769.2</v>
      </c>
      <c r="N1709" s="189"/>
      <c r="O1709" s="1"/>
      <c r="P1709" s="189"/>
      <c r="Q1709" s="190"/>
      <c r="R1709" s="188">
        <v>45981</v>
      </c>
      <c r="S1709" s="193"/>
      <c r="T1709" s="192"/>
      <c r="U1709" s="829" t="s">
        <v>3225</v>
      </c>
      <c r="V1709" s="10"/>
      <c r="W1709" s="10"/>
      <c r="X1709" s="902">
        <v>26</v>
      </c>
      <c r="Y1709" s="10"/>
      <c r="Z1709" s="10"/>
      <c r="AA1709" s="11"/>
      <c r="AB1709" s="11"/>
    </row>
    <row r="1710" spans="2:28" x14ac:dyDescent="0.3">
      <c r="B1710" s="10" t="s">
        <v>398</v>
      </c>
      <c r="C1710" s="315"/>
      <c r="D1710" s="868" t="s">
        <v>3119</v>
      </c>
      <c r="E1710" s="837" t="str">
        <f>IFERROR(IF(_xlfn.XLOOKUP(Imput[[#This Row],[RFC]],'Alta Proveedor'!D:D,'Alta Proveedor'!E:E)=0,"",_xlfn.XLOOKUP(Imput[[#This Row],[RFC]],'Alta Proveedor'!D:D,'Alta Proveedor'!E:E)),"")</f>
        <v>Nomina-OPERACIÓN</v>
      </c>
      <c r="F1710" s="832" t="s">
        <v>4473</v>
      </c>
      <c r="G1710" s="187">
        <v>1</v>
      </c>
      <c r="H1710" s="1">
        <v>3520</v>
      </c>
      <c r="I1710" s="169">
        <f>Imput[[#This Row],[Cantidad]]*Imput[[#This Row],[Precio Unitario]]</f>
        <v>3520</v>
      </c>
      <c r="J1710" s="11">
        <f>((Imput[[#This Row],[Sub total]])*(0.08))</f>
        <v>281.60000000000002</v>
      </c>
      <c r="K1710" s="11">
        <v>0</v>
      </c>
      <c r="L1710" s="169">
        <f>Imput[[#This Row],[Sub total]]+Imput[[#This Row],[IVA]]-Imput[[#This Row],[Retención / IEPS / Descuento]]</f>
        <v>3801.6</v>
      </c>
      <c r="M1710" s="844">
        <v>3801.6</v>
      </c>
      <c r="N1710" s="189"/>
      <c r="O1710" s="1"/>
      <c r="P1710" s="189"/>
      <c r="Q1710" s="190"/>
      <c r="R1710" s="188">
        <v>45981</v>
      </c>
      <c r="S1710" s="193"/>
      <c r="T1710" s="192"/>
      <c r="U1710" s="829" t="s">
        <v>3225</v>
      </c>
      <c r="V1710" s="10"/>
      <c r="W1710" s="10"/>
      <c r="X1710" s="902">
        <v>26</v>
      </c>
      <c r="Y1710" s="10"/>
      <c r="Z1710" s="10"/>
      <c r="AA1710" s="11"/>
      <c r="AB1710" s="11"/>
    </row>
    <row r="1711" spans="2:28" x14ac:dyDescent="0.3">
      <c r="B1711" s="10" t="s">
        <v>398</v>
      </c>
      <c r="C1711" s="315"/>
      <c r="D1711" s="868" t="s">
        <v>3119</v>
      </c>
      <c r="E1711" s="837" t="str">
        <f>IFERROR(IF(_xlfn.XLOOKUP(Imput[[#This Row],[RFC]],'Alta Proveedor'!D:D,'Alta Proveedor'!E:E)=0,"",_xlfn.XLOOKUP(Imput[[#This Row],[RFC]],'Alta Proveedor'!D:D,'Alta Proveedor'!E:E)),"")</f>
        <v>Nomina-OPERACIÓN</v>
      </c>
      <c r="F1711" s="832" t="s">
        <v>4494</v>
      </c>
      <c r="G1711" s="187">
        <v>1</v>
      </c>
      <c r="H1711" s="1">
        <v>500</v>
      </c>
      <c r="I1711" s="169">
        <f>Imput[[#This Row],[Cantidad]]*Imput[[#This Row],[Precio Unitario]]</f>
        <v>500</v>
      </c>
      <c r="J1711" s="11">
        <f>((Imput[[#This Row],[Sub total]])*(0.08))</f>
        <v>40</v>
      </c>
      <c r="K1711" s="11">
        <v>0</v>
      </c>
      <c r="L1711" s="169">
        <f>Imput[[#This Row],[Sub total]]+Imput[[#This Row],[IVA]]-Imput[[#This Row],[Retención / IEPS / Descuento]]</f>
        <v>540</v>
      </c>
      <c r="M1711" s="844">
        <v>540</v>
      </c>
      <c r="N1711" s="189"/>
      <c r="O1711" s="1"/>
      <c r="P1711" s="189"/>
      <c r="Q1711" s="190"/>
      <c r="R1711" s="188">
        <v>45981</v>
      </c>
      <c r="S1711" s="193"/>
      <c r="T1711" s="192"/>
      <c r="U1711" s="829" t="s">
        <v>3225</v>
      </c>
      <c r="V1711" s="10"/>
      <c r="W1711" s="10"/>
      <c r="X1711" s="902">
        <v>26</v>
      </c>
      <c r="Y1711" s="10"/>
      <c r="Z1711" s="10"/>
      <c r="AA1711" s="11"/>
      <c r="AB1711" s="11"/>
    </row>
    <row r="1712" spans="2:28" x14ac:dyDescent="0.3">
      <c r="B1712" s="10" t="s">
        <v>398</v>
      </c>
      <c r="C1712" s="315"/>
      <c r="D1712" s="868" t="s">
        <v>3119</v>
      </c>
      <c r="E1712" s="837" t="str">
        <f>IFERROR(IF(_xlfn.XLOOKUP(Imput[[#This Row],[RFC]],'Alta Proveedor'!D:D,'Alta Proveedor'!E:E)=0,"",_xlfn.XLOOKUP(Imput[[#This Row],[RFC]],'Alta Proveedor'!D:D,'Alta Proveedor'!E:E)),"")</f>
        <v>Nomina-OPERACIÓN</v>
      </c>
      <c r="F1712" s="832" t="s">
        <v>3166</v>
      </c>
      <c r="G1712" s="187">
        <v>1</v>
      </c>
      <c r="H1712" s="1">
        <v>4800</v>
      </c>
      <c r="I1712" s="169">
        <f>Imput[[#This Row],[Cantidad]]*Imput[[#This Row],[Precio Unitario]]</f>
        <v>4800</v>
      </c>
      <c r="J1712" s="11">
        <f>((Imput[[#This Row],[Sub total]])*(0.08))</f>
        <v>384</v>
      </c>
      <c r="K1712" s="11">
        <v>0</v>
      </c>
      <c r="L1712" s="169">
        <f>Imput[[#This Row],[Sub total]]+Imput[[#This Row],[IVA]]-Imput[[#This Row],[Retención / IEPS / Descuento]]</f>
        <v>5184</v>
      </c>
      <c r="M1712" s="844">
        <v>5184</v>
      </c>
      <c r="N1712" s="189"/>
      <c r="O1712" s="1"/>
      <c r="P1712" s="189"/>
      <c r="Q1712" s="190"/>
      <c r="R1712" s="188">
        <v>45981</v>
      </c>
      <c r="S1712" s="193"/>
      <c r="T1712" s="192"/>
      <c r="U1712" s="829" t="s">
        <v>3225</v>
      </c>
      <c r="V1712" s="10"/>
      <c r="W1712" s="10"/>
      <c r="X1712" s="902">
        <v>26</v>
      </c>
      <c r="Y1712" s="10"/>
      <c r="Z1712" s="10"/>
      <c r="AA1712" s="11"/>
      <c r="AB1712" s="11"/>
    </row>
    <row r="1713" spans="2:28" x14ac:dyDescent="0.3">
      <c r="B1713" s="10" t="s">
        <v>398</v>
      </c>
      <c r="C1713" s="315"/>
      <c r="D1713" s="868" t="s">
        <v>3119</v>
      </c>
      <c r="E1713" s="837" t="str">
        <f>IFERROR(IF(_xlfn.XLOOKUP(Imput[[#This Row],[RFC]],'Alta Proveedor'!D:D,'Alta Proveedor'!E:E)=0,"",_xlfn.XLOOKUP(Imput[[#This Row],[RFC]],'Alta Proveedor'!D:D,'Alta Proveedor'!E:E)),"")</f>
        <v>Nomina-OPERACIÓN</v>
      </c>
      <c r="F1713" s="832" t="s">
        <v>4470</v>
      </c>
      <c r="G1713" s="187">
        <v>1</v>
      </c>
      <c r="H1713" s="1">
        <v>3800</v>
      </c>
      <c r="I1713" s="169">
        <f>Imput[[#This Row],[Cantidad]]*Imput[[#This Row],[Precio Unitario]]</f>
        <v>3800</v>
      </c>
      <c r="J1713" s="11">
        <f>((Imput[[#This Row],[Sub total]])*(0.08))</f>
        <v>304</v>
      </c>
      <c r="K1713" s="11">
        <v>0</v>
      </c>
      <c r="L1713" s="169">
        <f>Imput[[#This Row],[Sub total]]+Imput[[#This Row],[IVA]]-Imput[[#This Row],[Retención / IEPS / Descuento]]</f>
        <v>4104</v>
      </c>
      <c r="M1713" s="844">
        <v>4104</v>
      </c>
      <c r="N1713" s="189"/>
      <c r="O1713" s="1"/>
      <c r="P1713" s="189"/>
      <c r="Q1713" s="190"/>
      <c r="R1713" s="188">
        <v>45981</v>
      </c>
      <c r="S1713" s="193"/>
      <c r="T1713" s="192"/>
      <c r="U1713" s="829" t="s">
        <v>3225</v>
      </c>
      <c r="V1713" s="10"/>
      <c r="W1713" s="10"/>
      <c r="X1713" s="902">
        <v>26</v>
      </c>
      <c r="Y1713" s="10"/>
      <c r="Z1713" s="10"/>
      <c r="AA1713" s="11"/>
      <c r="AB1713" s="11"/>
    </row>
    <row r="1714" spans="2:28" x14ac:dyDescent="0.3">
      <c r="B1714" s="10" t="s">
        <v>398</v>
      </c>
      <c r="C1714" s="315"/>
      <c r="D1714" s="868" t="s">
        <v>3119</v>
      </c>
      <c r="E1714" s="837" t="str">
        <f>IFERROR(IF(_xlfn.XLOOKUP(Imput[[#This Row],[RFC]],'Alta Proveedor'!D:D,'Alta Proveedor'!E:E)=0,"",_xlfn.XLOOKUP(Imput[[#This Row],[RFC]],'Alta Proveedor'!D:D,'Alta Proveedor'!E:E)),"")</f>
        <v>Nomina-OPERACIÓN</v>
      </c>
      <c r="F1714" s="832" t="s">
        <v>4500</v>
      </c>
      <c r="G1714" s="187">
        <v>1</v>
      </c>
      <c r="H1714" s="1">
        <v>2000</v>
      </c>
      <c r="I1714" s="169">
        <f>Imput[[#This Row],[Cantidad]]*Imput[[#This Row],[Precio Unitario]]</f>
        <v>2000</v>
      </c>
      <c r="J1714" s="11">
        <f>((Imput[[#This Row],[Sub total]])*(0.08))</f>
        <v>160</v>
      </c>
      <c r="K1714" s="11">
        <v>0</v>
      </c>
      <c r="L1714" s="169">
        <f>Imput[[#This Row],[Sub total]]+Imput[[#This Row],[IVA]]-Imput[[#This Row],[Retención / IEPS / Descuento]]</f>
        <v>2160</v>
      </c>
      <c r="M1714" s="844">
        <v>2160</v>
      </c>
      <c r="N1714" s="189"/>
      <c r="O1714" s="1"/>
      <c r="P1714" s="189"/>
      <c r="Q1714" s="190"/>
      <c r="R1714" s="188">
        <v>45981</v>
      </c>
      <c r="S1714" s="193"/>
      <c r="T1714" s="192"/>
      <c r="U1714" s="829" t="s">
        <v>3225</v>
      </c>
      <c r="V1714" s="10"/>
      <c r="W1714" s="10"/>
      <c r="X1714" s="902">
        <v>26</v>
      </c>
      <c r="Y1714" s="10"/>
      <c r="Z1714" s="10"/>
      <c r="AA1714" s="11"/>
      <c r="AB1714" s="11"/>
    </row>
    <row r="1715" spans="2:28" x14ac:dyDescent="0.3">
      <c r="B1715" s="10" t="s">
        <v>398</v>
      </c>
      <c r="C1715" s="315"/>
      <c r="D1715" s="868" t="s">
        <v>3119</v>
      </c>
      <c r="E1715" s="837" t="str">
        <f>IFERROR(IF(_xlfn.XLOOKUP(Imput[[#This Row],[RFC]],'Alta Proveedor'!D:D,'Alta Proveedor'!E:E)=0,"",_xlfn.XLOOKUP(Imput[[#This Row],[RFC]],'Alta Proveedor'!D:D,'Alta Proveedor'!E:E)),"")</f>
        <v>Nomina-OPERACIÓN</v>
      </c>
      <c r="F1715" s="832" t="s">
        <v>4497</v>
      </c>
      <c r="G1715" s="187">
        <v>1</v>
      </c>
      <c r="H1715" s="1">
        <v>171.7</v>
      </c>
      <c r="I1715" s="169">
        <f>Imput[[#This Row],[Cantidad]]*Imput[[#This Row],[Precio Unitario]]</f>
        <v>171.7</v>
      </c>
      <c r="J1715" s="11">
        <f>((Imput[[#This Row],[Sub total]])*(0.08))</f>
        <v>13.735999999999999</v>
      </c>
      <c r="K1715" s="11">
        <v>0</v>
      </c>
      <c r="L1715" s="169">
        <f>Imput[[#This Row],[Sub total]]+Imput[[#This Row],[IVA]]-Imput[[#This Row],[Retención / IEPS / Descuento]]</f>
        <v>185.43599999999998</v>
      </c>
      <c r="M1715" s="844">
        <v>185.43599999999998</v>
      </c>
      <c r="N1715" s="189"/>
      <c r="O1715" s="1"/>
      <c r="P1715" s="189"/>
      <c r="Q1715" s="190"/>
      <c r="R1715" s="188">
        <v>45981</v>
      </c>
      <c r="S1715" s="193"/>
      <c r="T1715" s="192"/>
      <c r="U1715" s="829" t="s">
        <v>3225</v>
      </c>
      <c r="V1715" s="10"/>
      <c r="W1715" s="10"/>
      <c r="X1715" s="902">
        <v>26</v>
      </c>
      <c r="Y1715" s="10"/>
      <c r="Z1715" s="10"/>
      <c r="AA1715" s="11"/>
      <c r="AB1715" s="11"/>
    </row>
    <row r="1716" spans="2:28" x14ac:dyDescent="0.3">
      <c r="B1716" s="10" t="s">
        <v>398</v>
      </c>
      <c r="C1716" s="315"/>
      <c r="D1716" s="868" t="s">
        <v>3119</v>
      </c>
      <c r="E1716" s="837" t="str">
        <f>IFERROR(IF(_xlfn.XLOOKUP(Imput[[#This Row],[RFC]],'Alta Proveedor'!D:D,'Alta Proveedor'!E:E)=0,"",_xlfn.XLOOKUP(Imput[[#This Row],[RFC]],'Alta Proveedor'!D:D,'Alta Proveedor'!E:E)),"")</f>
        <v>Nomina-OPERACIÓN</v>
      </c>
      <c r="F1716" s="832" t="s">
        <v>4498</v>
      </c>
      <c r="G1716" s="187">
        <v>1</v>
      </c>
      <c r="H1716" s="1">
        <v>329.99</v>
      </c>
      <c r="I1716" s="169">
        <f>Imput[[#This Row],[Cantidad]]*Imput[[#This Row],[Precio Unitario]]</f>
        <v>329.99</v>
      </c>
      <c r="J1716" s="11">
        <f>((Imput[[#This Row],[Sub total]])*(0.08))</f>
        <v>26.3992</v>
      </c>
      <c r="K1716" s="11">
        <v>0</v>
      </c>
      <c r="L1716" s="169">
        <f>Imput[[#This Row],[Sub total]]+Imput[[#This Row],[IVA]]-Imput[[#This Row],[Retención / IEPS / Descuento]]</f>
        <v>356.38920000000002</v>
      </c>
      <c r="M1716" s="844">
        <v>356.38920000000002</v>
      </c>
      <c r="N1716" s="189"/>
      <c r="O1716" s="1"/>
      <c r="P1716" s="189"/>
      <c r="Q1716" s="190"/>
      <c r="R1716" s="188">
        <v>45981</v>
      </c>
      <c r="S1716" s="193"/>
      <c r="T1716" s="192"/>
      <c r="U1716" s="829" t="s">
        <v>3225</v>
      </c>
      <c r="V1716" s="10"/>
      <c r="W1716" s="10"/>
      <c r="X1716" s="902">
        <v>26</v>
      </c>
      <c r="Y1716" s="10"/>
      <c r="Z1716" s="10"/>
      <c r="AA1716" s="11"/>
      <c r="AB1716" s="11"/>
    </row>
    <row r="1717" spans="2:28" x14ac:dyDescent="0.3">
      <c r="B1717" s="10" t="s">
        <v>398</v>
      </c>
      <c r="C1717" s="315"/>
      <c r="D1717" s="868" t="s">
        <v>3119</v>
      </c>
      <c r="E1717" s="837" t="str">
        <f>IFERROR(IF(_xlfn.XLOOKUP(Imput[[#This Row],[RFC]],'Alta Proveedor'!D:D,'Alta Proveedor'!E:E)=0,"",_xlfn.XLOOKUP(Imput[[#This Row],[RFC]],'Alta Proveedor'!D:D,'Alta Proveedor'!E:E)),"")</f>
        <v>Nomina-OPERACIÓN</v>
      </c>
      <c r="F1717" s="832" t="s">
        <v>4499</v>
      </c>
      <c r="G1717" s="187">
        <v>1</v>
      </c>
      <c r="H1717" s="1">
        <v>1329.99</v>
      </c>
      <c r="I1717" s="169">
        <f>Imput[[#This Row],[Cantidad]]*Imput[[#This Row],[Precio Unitario]]</f>
        <v>1329.99</v>
      </c>
      <c r="J1717" s="11">
        <f>((Imput[[#This Row],[Sub total]])*(0.08))</f>
        <v>106.39920000000001</v>
      </c>
      <c r="K1717" s="11">
        <v>0</v>
      </c>
      <c r="L1717" s="169">
        <f>Imput[[#This Row],[Sub total]]+Imput[[#This Row],[IVA]]-Imput[[#This Row],[Retención / IEPS / Descuento]]</f>
        <v>1436.3892000000001</v>
      </c>
      <c r="M1717" s="844">
        <v>1436.3892000000001</v>
      </c>
      <c r="N1717" s="189"/>
      <c r="O1717" s="1"/>
      <c r="P1717" s="189"/>
      <c r="Q1717" s="190"/>
      <c r="R1717" s="188">
        <v>45981</v>
      </c>
      <c r="S1717" s="193"/>
      <c r="T1717" s="192"/>
      <c r="U1717" s="829" t="s">
        <v>3225</v>
      </c>
      <c r="V1717" s="10"/>
      <c r="W1717" s="10"/>
      <c r="X1717" s="902">
        <v>26</v>
      </c>
      <c r="Y1717" s="10"/>
      <c r="Z1717" s="10"/>
      <c r="AA1717" s="11"/>
      <c r="AB1717" s="11"/>
    </row>
    <row r="1718" spans="2:28" x14ac:dyDescent="0.3">
      <c r="B1718" s="10" t="s">
        <v>398</v>
      </c>
      <c r="C1718" s="315"/>
      <c r="D1718" s="868" t="s">
        <v>3225</v>
      </c>
      <c r="E1718" s="837" t="str">
        <f>IFERROR(IF(_xlfn.XLOOKUP(Imput[[#This Row],[RFC]],'Alta Proveedor'!D:D,'Alta Proveedor'!E:E)=0,"",_xlfn.XLOOKUP(Imput[[#This Row],[RFC]],'Alta Proveedor'!D:D,'Alta Proveedor'!E:E)),"")</f>
        <v>GASTOS SIN FACTURA</v>
      </c>
      <c r="F1718" s="832" t="s">
        <v>4504</v>
      </c>
      <c r="G1718" s="187">
        <v>1</v>
      </c>
      <c r="H1718" s="1">
        <v>10000</v>
      </c>
      <c r="I1718" s="169">
        <f>Imput[[#This Row],[Cantidad]]*Imput[[#This Row],[Precio Unitario]]</f>
        <v>10000</v>
      </c>
      <c r="J1718" s="11">
        <f>((Imput[[#This Row],[Sub total]])*(0.08))</f>
        <v>800</v>
      </c>
      <c r="K1718" s="11">
        <v>0</v>
      </c>
      <c r="L1718" s="169">
        <f>Imput[[#This Row],[Sub total]]+Imput[[#This Row],[IVA]]-Imput[[#This Row],[Retención / IEPS / Descuento]]</f>
        <v>10800</v>
      </c>
      <c r="M1718" s="844">
        <v>10800</v>
      </c>
      <c r="N1718" s="189"/>
      <c r="O1718" s="1"/>
      <c r="P1718" s="189"/>
      <c r="Q1718" s="190"/>
      <c r="R1718" s="188">
        <v>45981</v>
      </c>
      <c r="S1718" s="193"/>
      <c r="T1718" s="192"/>
      <c r="U1718" s="829" t="s">
        <v>3225</v>
      </c>
      <c r="V1718" s="10"/>
      <c r="W1718" s="10"/>
      <c r="X1718" s="902">
        <v>26</v>
      </c>
      <c r="Y1718" s="10"/>
      <c r="Z1718" s="10"/>
      <c r="AA1718" s="11"/>
      <c r="AB1718" s="11"/>
    </row>
    <row r="1719" spans="2:28" x14ac:dyDescent="0.3">
      <c r="B1719" s="10" t="s">
        <v>398</v>
      </c>
      <c r="C1719" s="315"/>
      <c r="D1719" s="868" t="s">
        <v>3225</v>
      </c>
      <c r="E1719" s="837" t="str">
        <f>IFERROR(IF(_xlfn.XLOOKUP(Imput[[#This Row],[RFC]],'Alta Proveedor'!D:D,'Alta Proveedor'!E:E)=0,"",_xlfn.XLOOKUP(Imput[[#This Row],[RFC]],'Alta Proveedor'!D:D,'Alta Proveedor'!E:E)),"")</f>
        <v>GASTOS SIN FACTURA</v>
      </c>
      <c r="F1719" s="832" t="s">
        <v>4505</v>
      </c>
      <c r="G1719" s="187">
        <v>1</v>
      </c>
      <c r="H1719" s="1">
        <v>1000</v>
      </c>
      <c r="I1719" s="169">
        <f>Imput[[#This Row],[Cantidad]]*Imput[[#This Row],[Precio Unitario]]</f>
        <v>1000</v>
      </c>
      <c r="J1719" s="11">
        <f>((Imput[[#This Row],[Sub total]])*(0.08))</f>
        <v>80</v>
      </c>
      <c r="K1719" s="11">
        <v>0</v>
      </c>
      <c r="L1719" s="169">
        <f>Imput[[#This Row],[Sub total]]+Imput[[#This Row],[IVA]]-Imput[[#This Row],[Retención / IEPS / Descuento]]</f>
        <v>1080</v>
      </c>
      <c r="M1719" s="844">
        <v>1080</v>
      </c>
      <c r="N1719" s="189"/>
      <c r="O1719" s="1"/>
      <c r="P1719" s="189"/>
      <c r="Q1719" s="190"/>
      <c r="R1719" s="188">
        <v>45982</v>
      </c>
      <c r="S1719" s="193"/>
      <c r="T1719" s="192"/>
      <c r="U1719" s="829" t="s">
        <v>3225</v>
      </c>
      <c r="V1719" s="10"/>
      <c r="W1719" s="10"/>
      <c r="X1719" s="902">
        <v>26</v>
      </c>
      <c r="Y1719" s="10"/>
      <c r="Z1719" s="10"/>
      <c r="AA1719" s="11"/>
      <c r="AB1719" s="11"/>
    </row>
    <row r="1720" spans="2:28" x14ac:dyDescent="0.3">
      <c r="B1720" s="10" t="s">
        <v>398</v>
      </c>
      <c r="C1720" s="315"/>
      <c r="D1720" s="868" t="s">
        <v>3225</v>
      </c>
      <c r="E1720" s="837" t="str">
        <f>IFERROR(IF(_xlfn.XLOOKUP(Imput[[#This Row],[RFC]],'Alta Proveedor'!D:D,'Alta Proveedor'!E:E)=0,"",_xlfn.XLOOKUP(Imput[[#This Row],[RFC]],'Alta Proveedor'!D:D,'Alta Proveedor'!E:E)),"")</f>
        <v>GASTOS SIN FACTURA</v>
      </c>
      <c r="F1720" s="832" t="s">
        <v>4506</v>
      </c>
      <c r="G1720" s="187">
        <v>1</v>
      </c>
      <c r="H1720" s="1">
        <v>25000</v>
      </c>
      <c r="I1720" s="169">
        <f>Imput[[#This Row],[Cantidad]]*Imput[[#This Row],[Precio Unitario]]</f>
        <v>25000</v>
      </c>
      <c r="J1720" s="11">
        <f>((Imput[[#This Row],[Sub total]])*(0.08))</f>
        <v>2000</v>
      </c>
      <c r="K1720" s="11">
        <v>0</v>
      </c>
      <c r="L1720" s="169">
        <f>Imput[[#This Row],[Sub total]]+Imput[[#This Row],[IVA]]-Imput[[#This Row],[Retención / IEPS / Descuento]]</f>
        <v>27000</v>
      </c>
      <c r="M1720" s="844">
        <v>27000</v>
      </c>
      <c r="N1720" s="189"/>
      <c r="O1720" s="1"/>
      <c r="P1720" s="189"/>
      <c r="Q1720" s="190"/>
      <c r="R1720" s="188">
        <v>45982</v>
      </c>
      <c r="S1720" s="193"/>
      <c r="T1720" s="192"/>
      <c r="U1720" s="829" t="s">
        <v>3225</v>
      </c>
      <c r="V1720" s="10"/>
      <c r="W1720" s="10"/>
      <c r="X1720" s="902">
        <v>26</v>
      </c>
      <c r="Y1720" s="10"/>
      <c r="Z1720" s="10"/>
      <c r="AA1720" s="11"/>
      <c r="AB1720" s="11"/>
    </row>
    <row r="1721" spans="2:28" x14ac:dyDescent="0.3">
      <c r="B1721" s="10" t="s">
        <v>398</v>
      </c>
      <c r="C1721" s="315"/>
      <c r="D1721" s="868" t="s">
        <v>3225</v>
      </c>
      <c r="E1721" s="837" t="str">
        <f>IFERROR(IF(_xlfn.XLOOKUP(Imput[[#This Row],[RFC]],'Alta Proveedor'!D:D,'Alta Proveedor'!E:E)=0,"",_xlfn.XLOOKUP(Imput[[#This Row],[RFC]],'Alta Proveedor'!D:D,'Alta Proveedor'!E:E)),"")</f>
        <v>GASTOS SIN FACTURA</v>
      </c>
      <c r="F1721" s="832" t="s">
        <v>4507</v>
      </c>
      <c r="G1721" s="187">
        <v>1</v>
      </c>
      <c r="H1721" s="1">
        <v>1000</v>
      </c>
      <c r="I1721" s="169">
        <f>Imput[[#This Row],[Cantidad]]*Imput[[#This Row],[Precio Unitario]]</f>
        <v>1000</v>
      </c>
      <c r="J1721" s="11">
        <f>((Imput[[#This Row],[Sub total]])*(0.08))</f>
        <v>80</v>
      </c>
      <c r="K1721" s="11">
        <v>0</v>
      </c>
      <c r="L1721" s="169">
        <f>Imput[[#This Row],[Sub total]]+Imput[[#This Row],[IVA]]-Imput[[#This Row],[Retención / IEPS / Descuento]]</f>
        <v>1080</v>
      </c>
      <c r="M1721" s="844">
        <v>1080</v>
      </c>
      <c r="N1721" s="189"/>
      <c r="O1721" s="1"/>
      <c r="P1721" s="189"/>
      <c r="Q1721" s="190"/>
      <c r="R1721" s="188">
        <v>45982</v>
      </c>
      <c r="S1721" s="193"/>
      <c r="T1721" s="192"/>
      <c r="U1721" s="829" t="s">
        <v>3225</v>
      </c>
      <c r="V1721" s="10"/>
      <c r="W1721" s="10"/>
      <c r="X1721" s="902">
        <v>26</v>
      </c>
      <c r="Y1721" s="10"/>
      <c r="Z1721" s="10"/>
      <c r="AA1721" s="11"/>
      <c r="AB1721" s="11"/>
    </row>
    <row r="1722" spans="2:28" x14ac:dyDescent="0.3">
      <c r="B1722" s="10" t="s">
        <v>398</v>
      </c>
      <c r="C1722" s="315"/>
      <c r="D1722" s="868" t="s">
        <v>3225</v>
      </c>
      <c r="E1722" s="837" t="str">
        <f>IFERROR(IF(_xlfn.XLOOKUP(Imput[[#This Row],[RFC]],'Alta Proveedor'!D:D,'Alta Proveedor'!E:E)=0,"",_xlfn.XLOOKUP(Imput[[#This Row],[RFC]],'Alta Proveedor'!D:D,'Alta Proveedor'!E:E)),"")</f>
        <v>GASTOS SIN FACTURA</v>
      </c>
      <c r="F1722" s="832" t="s">
        <v>4508</v>
      </c>
      <c r="G1722" s="187">
        <v>1</v>
      </c>
      <c r="H1722" s="1">
        <v>25000</v>
      </c>
      <c r="I1722" s="169">
        <f>Imput[[#This Row],[Cantidad]]*Imput[[#This Row],[Precio Unitario]]</f>
        <v>25000</v>
      </c>
      <c r="J1722" s="11">
        <f>((Imput[[#This Row],[Sub total]])*(0.08))</f>
        <v>2000</v>
      </c>
      <c r="K1722" s="11">
        <v>0</v>
      </c>
      <c r="L1722" s="169">
        <f>Imput[[#This Row],[Sub total]]+Imput[[#This Row],[IVA]]-Imput[[#This Row],[Retención / IEPS / Descuento]]</f>
        <v>27000</v>
      </c>
      <c r="M1722" s="844">
        <v>27000</v>
      </c>
      <c r="N1722" s="189"/>
      <c r="O1722" s="1"/>
      <c r="P1722" s="189"/>
      <c r="Q1722" s="190"/>
      <c r="R1722" s="188">
        <v>45982</v>
      </c>
      <c r="S1722" s="193"/>
      <c r="T1722" s="192"/>
      <c r="U1722" s="829" t="s">
        <v>3225</v>
      </c>
      <c r="V1722" s="10"/>
      <c r="W1722" s="10"/>
      <c r="X1722" s="902">
        <v>26</v>
      </c>
      <c r="Y1722" s="10"/>
      <c r="Z1722" s="10"/>
      <c r="AA1722" s="11"/>
      <c r="AB1722" s="11"/>
    </row>
    <row r="1723" spans="2:28" x14ac:dyDescent="0.3">
      <c r="B1723" s="10" t="s">
        <v>398</v>
      </c>
      <c r="C1723" s="315"/>
      <c r="D1723" s="868" t="s">
        <v>3225</v>
      </c>
      <c r="E1723" s="837" t="str">
        <f>IFERROR(IF(_xlfn.XLOOKUP(Imput[[#This Row],[RFC]],'Alta Proveedor'!D:D,'Alta Proveedor'!E:E)=0,"",_xlfn.XLOOKUP(Imput[[#This Row],[RFC]],'Alta Proveedor'!D:D,'Alta Proveedor'!E:E)),"")</f>
        <v>GASTOS SIN FACTURA</v>
      </c>
      <c r="F1723" s="832" t="s">
        <v>4509</v>
      </c>
      <c r="G1723" s="187">
        <v>1</v>
      </c>
      <c r="H1723" s="1">
        <v>9000</v>
      </c>
      <c r="I1723" s="169">
        <f>Imput[[#This Row],[Cantidad]]*Imput[[#This Row],[Precio Unitario]]</f>
        <v>9000</v>
      </c>
      <c r="J1723" s="11">
        <f>((Imput[[#This Row],[Sub total]])*(0.08))</f>
        <v>720</v>
      </c>
      <c r="K1723" s="11">
        <v>0</v>
      </c>
      <c r="L1723" s="169">
        <f>Imput[[#This Row],[Sub total]]+Imput[[#This Row],[IVA]]-Imput[[#This Row],[Retención / IEPS / Descuento]]</f>
        <v>9720</v>
      </c>
      <c r="M1723" s="844">
        <v>9720</v>
      </c>
      <c r="N1723" s="189"/>
      <c r="O1723" s="1"/>
      <c r="P1723" s="189"/>
      <c r="Q1723" s="190"/>
      <c r="R1723" s="188">
        <v>45983</v>
      </c>
      <c r="S1723" s="193"/>
      <c r="T1723" s="192"/>
      <c r="U1723" s="829" t="s">
        <v>3225</v>
      </c>
      <c r="V1723" s="10"/>
      <c r="W1723" s="10"/>
      <c r="X1723" s="902">
        <v>26</v>
      </c>
      <c r="Y1723" s="10"/>
      <c r="Z1723" s="10"/>
      <c r="AA1723" s="11"/>
      <c r="AB1723" s="11"/>
    </row>
    <row r="1724" spans="2:28" x14ac:dyDescent="0.3">
      <c r="B1724" s="10" t="s">
        <v>398</v>
      </c>
      <c r="C1724" s="315"/>
      <c r="D1724" s="868" t="s">
        <v>3225</v>
      </c>
      <c r="E1724" s="837" t="str">
        <f>IFERROR(IF(_xlfn.XLOOKUP(Imput[[#This Row],[RFC]],'Alta Proveedor'!D:D,'Alta Proveedor'!E:E)=0,"",_xlfn.XLOOKUP(Imput[[#This Row],[RFC]],'Alta Proveedor'!D:D,'Alta Proveedor'!E:E)),"")</f>
        <v>GASTOS SIN FACTURA</v>
      </c>
      <c r="F1724" s="832" t="s">
        <v>4510</v>
      </c>
      <c r="G1724" s="187">
        <v>1</v>
      </c>
      <c r="H1724" s="1">
        <v>9000</v>
      </c>
      <c r="I1724" s="169">
        <f>Imput[[#This Row],[Cantidad]]*Imput[[#This Row],[Precio Unitario]]</f>
        <v>9000</v>
      </c>
      <c r="J1724" s="11">
        <f>((Imput[[#This Row],[Sub total]])*(0.08))</f>
        <v>720</v>
      </c>
      <c r="K1724" s="11">
        <v>0</v>
      </c>
      <c r="L1724" s="169">
        <f>Imput[[#This Row],[Sub total]]+Imput[[#This Row],[IVA]]-Imput[[#This Row],[Retención / IEPS / Descuento]]</f>
        <v>9720</v>
      </c>
      <c r="M1724" s="844">
        <v>9720</v>
      </c>
      <c r="N1724" s="189"/>
      <c r="O1724" s="1"/>
      <c r="P1724" s="189"/>
      <c r="Q1724" s="190"/>
      <c r="R1724" s="188">
        <v>45983</v>
      </c>
      <c r="S1724" s="193"/>
      <c r="T1724" s="192"/>
      <c r="U1724" s="829" t="s">
        <v>3225</v>
      </c>
      <c r="V1724" s="10"/>
      <c r="W1724" s="10"/>
      <c r="X1724" s="902">
        <v>26</v>
      </c>
      <c r="Y1724" s="10"/>
      <c r="Z1724" s="10"/>
      <c r="AA1724" s="11"/>
      <c r="AB1724" s="11"/>
    </row>
    <row r="1725" spans="2:28" x14ac:dyDescent="0.3">
      <c r="B1725" s="10" t="s">
        <v>398</v>
      </c>
      <c r="C1725" s="315"/>
      <c r="D1725" s="868" t="s">
        <v>3225</v>
      </c>
      <c r="E1725" s="837" t="str">
        <f>IFERROR(IF(_xlfn.XLOOKUP(Imput[[#This Row],[RFC]],'Alta Proveedor'!D:D,'Alta Proveedor'!E:E)=0,"",_xlfn.XLOOKUP(Imput[[#This Row],[RFC]],'Alta Proveedor'!D:D,'Alta Proveedor'!E:E)),"")</f>
        <v>GASTOS SIN FACTURA</v>
      </c>
      <c r="F1725" s="832" t="s">
        <v>4511</v>
      </c>
      <c r="G1725" s="187">
        <v>1</v>
      </c>
      <c r="H1725" s="1">
        <v>10000</v>
      </c>
      <c r="I1725" s="169">
        <f>Imput[[#This Row],[Cantidad]]*Imput[[#This Row],[Precio Unitario]]</f>
        <v>10000</v>
      </c>
      <c r="J1725" s="11">
        <f>((Imput[[#This Row],[Sub total]])*(0.08))</f>
        <v>800</v>
      </c>
      <c r="K1725" s="11">
        <v>0</v>
      </c>
      <c r="L1725" s="169">
        <f>Imput[[#This Row],[Sub total]]+Imput[[#This Row],[IVA]]-Imput[[#This Row],[Retención / IEPS / Descuento]]</f>
        <v>10800</v>
      </c>
      <c r="M1725" s="844">
        <v>10800</v>
      </c>
      <c r="N1725" s="189"/>
      <c r="O1725" s="1"/>
      <c r="P1725" s="189"/>
      <c r="Q1725" s="190"/>
      <c r="R1725" s="188">
        <v>45985</v>
      </c>
      <c r="S1725" s="193"/>
      <c r="T1725" s="192"/>
      <c r="U1725" s="829" t="s">
        <v>3225</v>
      </c>
      <c r="V1725" s="10"/>
      <c r="W1725" s="10"/>
      <c r="X1725" s="902">
        <v>26</v>
      </c>
      <c r="Y1725" s="10"/>
      <c r="Z1725" s="10"/>
      <c r="AA1725" s="11"/>
      <c r="AB1725" s="11"/>
    </row>
    <row r="1726" spans="2:28" x14ac:dyDescent="0.3">
      <c r="B1726" s="10" t="s">
        <v>398</v>
      </c>
      <c r="C1726" s="315"/>
      <c r="D1726" s="868" t="s">
        <v>3225</v>
      </c>
      <c r="E1726" s="837" t="str">
        <f>IFERROR(IF(_xlfn.XLOOKUP(Imput[[#This Row],[RFC]],'Alta Proveedor'!D:D,'Alta Proveedor'!E:E)=0,"",_xlfn.XLOOKUP(Imput[[#This Row],[RFC]],'Alta Proveedor'!D:D,'Alta Proveedor'!E:E)),"")</f>
        <v>GASTOS SIN FACTURA</v>
      </c>
      <c r="F1726" s="832" t="s">
        <v>4512</v>
      </c>
      <c r="G1726" s="187">
        <v>1</v>
      </c>
      <c r="H1726" s="1">
        <v>4950</v>
      </c>
      <c r="I1726" s="169">
        <f>Imput[[#This Row],[Cantidad]]*Imput[[#This Row],[Precio Unitario]]</f>
        <v>4950</v>
      </c>
      <c r="J1726" s="11">
        <f>((Imput[[#This Row],[Sub total]])*(0.08))</f>
        <v>396</v>
      </c>
      <c r="K1726" s="11">
        <v>0</v>
      </c>
      <c r="L1726" s="169">
        <f>Imput[[#This Row],[Sub total]]+Imput[[#This Row],[IVA]]-Imput[[#This Row],[Retención / IEPS / Descuento]]</f>
        <v>5346</v>
      </c>
      <c r="M1726" s="844">
        <v>5346</v>
      </c>
      <c r="N1726" s="189"/>
      <c r="O1726" s="1"/>
      <c r="P1726" s="189"/>
      <c r="Q1726" s="190"/>
      <c r="R1726" s="188">
        <v>45986</v>
      </c>
      <c r="S1726" s="193"/>
      <c r="T1726" s="192"/>
      <c r="U1726" s="829" t="s">
        <v>3225</v>
      </c>
      <c r="V1726" s="10"/>
      <c r="W1726" s="10"/>
      <c r="X1726" s="902">
        <v>26</v>
      </c>
      <c r="Y1726" s="10"/>
      <c r="Z1726" s="10"/>
      <c r="AA1726" s="11"/>
      <c r="AB1726" s="11"/>
    </row>
    <row r="1727" spans="2:28" x14ac:dyDescent="0.3">
      <c r="B1727" s="10" t="s">
        <v>398</v>
      </c>
      <c r="C1727" s="315"/>
      <c r="D1727" s="868" t="s">
        <v>3225</v>
      </c>
      <c r="E1727" s="837" t="str">
        <f>IFERROR(IF(_xlfn.XLOOKUP(Imput[[#This Row],[RFC]],'Alta Proveedor'!D:D,'Alta Proveedor'!E:E)=0,"",_xlfn.XLOOKUP(Imput[[#This Row],[RFC]],'Alta Proveedor'!D:D,'Alta Proveedor'!E:E)),"")</f>
        <v>GASTOS SIN FACTURA</v>
      </c>
      <c r="F1727" s="832" t="s">
        <v>4513</v>
      </c>
      <c r="G1727" s="187">
        <v>1</v>
      </c>
      <c r="H1727" s="1">
        <v>8420</v>
      </c>
      <c r="I1727" s="169">
        <f>Imput[[#This Row],[Cantidad]]*Imput[[#This Row],[Precio Unitario]]</f>
        <v>8420</v>
      </c>
      <c r="J1727" s="11">
        <f>((Imput[[#This Row],[Sub total]])*(0.08))</f>
        <v>673.6</v>
      </c>
      <c r="K1727" s="11">
        <v>0</v>
      </c>
      <c r="L1727" s="169">
        <f>Imput[[#This Row],[Sub total]]+Imput[[#This Row],[IVA]]-Imput[[#This Row],[Retención / IEPS / Descuento]]</f>
        <v>9093.6</v>
      </c>
      <c r="M1727" s="844">
        <v>9093.6</v>
      </c>
      <c r="N1727" s="189"/>
      <c r="O1727" s="1"/>
      <c r="P1727" s="189"/>
      <c r="Q1727" s="190"/>
      <c r="R1727" s="188">
        <v>45986</v>
      </c>
      <c r="S1727" s="193"/>
      <c r="T1727" s="192"/>
      <c r="U1727" s="829" t="s">
        <v>3225</v>
      </c>
      <c r="V1727" s="10"/>
      <c r="W1727" s="10"/>
      <c r="X1727" s="902">
        <v>26</v>
      </c>
      <c r="Y1727" s="10"/>
      <c r="Z1727" s="10"/>
      <c r="AA1727" s="11"/>
      <c r="AB1727" s="11"/>
    </row>
    <row r="1728" spans="2:28" x14ac:dyDescent="0.3">
      <c r="B1728" s="10" t="s">
        <v>398</v>
      </c>
      <c r="C1728" s="315"/>
      <c r="D1728" s="868" t="s">
        <v>3225</v>
      </c>
      <c r="E1728" s="837" t="str">
        <f>IFERROR(IF(_xlfn.XLOOKUP(Imput[[#This Row],[RFC]],'Alta Proveedor'!D:D,'Alta Proveedor'!E:E)=0,"",_xlfn.XLOOKUP(Imput[[#This Row],[RFC]],'Alta Proveedor'!D:D,'Alta Proveedor'!E:E)),"")</f>
        <v>GASTOS SIN FACTURA</v>
      </c>
      <c r="F1728" s="832" t="s">
        <v>4514</v>
      </c>
      <c r="G1728" s="187">
        <v>1</v>
      </c>
      <c r="H1728" s="1">
        <v>10450</v>
      </c>
      <c r="I1728" s="169">
        <f>Imput[[#This Row],[Cantidad]]*Imput[[#This Row],[Precio Unitario]]</f>
        <v>10450</v>
      </c>
      <c r="J1728" s="11">
        <f>((Imput[[#This Row],[Sub total]])*(0.08))</f>
        <v>836</v>
      </c>
      <c r="K1728" s="11">
        <v>0</v>
      </c>
      <c r="L1728" s="169">
        <f>Imput[[#This Row],[Sub total]]+Imput[[#This Row],[IVA]]-Imput[[#This Row],[Retención / IEPS / Descuento]]</f>
        <v>11286</v>
      </c>
      <c r="M1728" s="844">
        <v>11286</v>
      </c>
      <c r="N1728" s="189"/>
      <c r="O1728" s="1"/>
      <c r="P1728" s="189"/>
      <c r="Q1728" s="190"/>
      <c r="R1728" s="188">
        <v>45987</v>
      </c>
      <c r="S1728" s="193"/>
      <c r="T1728" s="192"/>
      <c r="U1728" s="829" t="s">
        <v>3225</v>
      </c>
      <c r="V1728" s="10"/>
      <c r="W1728" s="10"/>
      <c r="X1728" s="902">
        <v>26</v>
      </c>
      <c r="Y1728" s="10" t="s">
        <v>4529</v>
      </c>
      <c r="Z1728" s="10"/>
      <c r="AA1728" s="11"/>
      <c r="AB1728" s="11"/>
    </row>
    <row r="1729" spans="2:28" x14ac:dyDescent="0.3">
      <c r="B1729" s="10" t="s">
        <v>398</v>
      </c>
      <c r="C1729" s="315"/>
      <c r="D1729" s="868" t="s">
        <v>3225</v>
      </c>
      <c r="E1729" s="837" t="str">
        <f>IFERROR(IF(_xlfn.XLOOKUP(Imput[[#This Row],[RFC]],'Alta Proveedor'!D:D,'Alta Proveedor'!E:E)=0,"",_xlfn.XLOOKUP(Imput[[#This Row],[RFC]],'Alta Proveedor'!D:D,'Alta Proveedor'!E:E)),"")</f>
        <v>GASTOS SIN FACTURA</v>
      </c>
      <c r="F1729" s="832" t="s">
        <v>4515</v>
      </c>
      <c r="G1729" s="187">
        <v>1</v>
      </c>
      <c r="H1729" s="1">
        <v>50000</v>
      </c>
      <c r="I1729" s="169">
        <f>Imput[[#This Row],[Cantidad]]*Imput[[#This Row],[Precio Unitario]]</f>
        <v>50000</v>
      </c>
      <c r="J1729" s="11">
        <f>((Imput[[#This Row],[Sub total]])*(0.08))</f>
        <v>4000</v>
      </c>
      <c r="K1729" s="11">
        <v>0</v>
      </c>
      <c r="L1729" s="169">
        <f>Imput[[#This Row],[Sub total]]+Imput[[#This Row],[IVA]]-Imput[[#This Row],[Retención / IEPS / Descuento]]</f>
        <v>54000</v>
      </c>
      <c r="M1729" s="844">
        <v>54000</v>
      </c>
      <c r="N1729" s="189"/>
      <c r="O1729" s="1"/>
      <c r="P1729" s="189"/>
      <c r="Q1729" s="190"/>
      <c r="R1729" s="188">
        <v>45988</v>
      </c>
      <c r="S1729" s="193"/>
      <c r="T1729" s="192"/>
      <c r="U1729" s="829" t="s">
        <v>3225</v>
      </c>
      <c r="V1729" s="10"/>
      <c r="W1729" s="10"/>
      <c r="X1729" s="902">
        <v>26</v>
      </c>
      <c r="Y1729" s="10"/>
      <c r="Z1729" s="10"/>
      <c r="AA1729" s="11"/>
      <c r="AB1729" s="11"/>
    </row>
    <row r="1730" spans="2:28" x14ac:dyDescent="0.3">
      <c r="B1730" s="10" t="s">
        <v>398</v>
      </c>
      <c r="C1730" s="315"/>
      <c r="D1730" s="868" t="s">
        <v>3225</v>
      </c>
      <c r="E1730" s="837" t="str">
        <f>IFERROR(IF(_xlfn.XLOOKUP(Imput[[#This Row],[RFC]],'Alta Proveedor'!D:D,'Alta Proveedor'!E:E)=0,"",_xlfn.XLOOKUP(Imput[[#This Row],[RFC]],'Alta Proveedor'!D:D,'Alta Proveedor'!E:E)),"")</f>
        <v>GASTOS SIN FACTURA</v>
      </c>
      <c r="F1730" s="832" t="s">
        <v>4516</v>
      </c>
      <c r="G1730" s="187">
        <v>1</v>
      </c>
      <c r="H1730" s="1">
        <v>7500</v>
      </c>
      <c r="I1730" s="169">
        <f>Imput[[#This Row],[Cantidad]]*Imput[[#This Row],[Precio Unitario]]</f>
        <v>7500</v>
      </c>
      <c r="J1730" s="11">
        <f>((Imput[[#This Row],[Sub total]])*(0.08))</f>
        <v>600</v>
      </c>
      <c r="K1730" s="11">
        <v>0</v>
      </c>
      <c r="L1730" s="169">
        <f>Imput[[#This Row],[Sub total]]+Imput[[#This Row],[IVA]]-Imput[[#This Row],[Retención / IEPS / Descuento]]</f>
        <v>8100</v>
      </c>
      <c r="M1730" s="844">
        <v>8100</v>
      </c>
      <c r="N1730" s="189"/>
      <c r="O1730" s="1"/>
      <c r="P1730" s="189"/>
      <c r="Q1730" s="190"/>
      <c r="R1730" s="188">
        <v>45988</v>
      </c>
      <c r="S1730" s="193"/>
      <c r="T1730" s="192"/>
      <c r="U1730" s="829" t="s">
        <v>3225</v>
      </c>
      <c r="V1730" s="10"/>
      <c r="W1730" s="10"/>
      <c r="X1730" s="902">
        <v>26</v>
      </c>
      <c r="Y1730" s="10"/>
      <c r="Z1730" s="10"/>
      <c r="AA1730" s="11"/>
      <c r="AB1730" s="11"/>
    </row>
    <row r="1731" spans="2:28" x14ac:dyDescent="0.3">
      <c r="B1731" s="10" t="s">
        <v>400</v>
      </c>
      <c r="C1731" s="315"/>
      <c r="D1731" s="868" t="s">
        <v>3225</v>
      </c>
      <c r="E1731" s="837" t="str">
        <f>IFERROR(IF(_xlfn.XLOOKUP(Imput[[#This Row],[RFC]],'Alta Proveedor'!D:D,'Alta Proveedor'!E:E)=0,"",_xlfn.XLOOKUP(Imput[[#This Row],[RFC]],'Alta Proveedor'!D:D,'Alta Proveedor'!E:E)),"")</f>
        <v>GASTOS SIN FACTURA</v>
      </c>
      <c r="F1731" s="832" t="s">
        <v>4517</v>
      </c>
      <c r="G1731" s="187">
        <v>1</v>
      </c>
      <c r="H1731" s="1">
        <v>105549.44</v>
      </c>
      <c r="I1731" s="169">
        <f>Imput[[#This Row],[Cantidad]]*Imput[[#This Row],[Precio Unitario]]</f>
        <v>105549.44</v>
      </c>
      <c r="J1731" s="11">
        <f>((Imput[[#This Row],[Sub total]])*(0.08))</f>
        <v>8443.9552000000003</v>
      </c>
      <c r="K1731" s="11">
        <v>0</v>
      </c>
      <c r="L1731" s="169">
        <f>Imput[[#This Row],[Sub total]]+Imput[[#This Row],[IVA]]-Imput[[#This Row],[Retención / IEPS / Descuento]]</f>
        <v>113993.3952</v>
      </c>
      <c r="M1731" s="844">
        <v>113993.3952</v>
      </c>
      <c r="N1731" s="189"/>
      <c r="O1731" s="1"/>
      <c r="P1731" s="189"/>
      <c r="Q1731" s="190"/>
      <c r="R1731" s="188">
        <v>45992</v>
      </c>
      <c r="S1731" s="193"/>
      <c r="T1731" s="192"/>
      <c r="U1731" s="829" t="s">
        <v>3225</v>
      </c>
      <c r="V1731" s="10"/>
      <c r="W1731" s="10"/>
      <c r="X1731" s="902">
        <v>26</v>
      </c>
      <c r="Y1731" s="10"/>
      <c r="Z1731" s="10"/>
      <c r="AA1731" s="11"/>
      <c r="AB1731" s="11"/>
    </row>
    <row r="1732" spans="2:28" x14ac:dyDescent="0.3">
      <c r="B1732" s="10" t="s">
        <v>400</v>
      </c>
      <c r="C1732" s="315"/>
      <c r="D1732" s="868" t="s">
        <v>3225</v>
      </c>
      <c r="E1732" s="837" t="str">
        <f>IFERROR(IF(_xlfn.XLOOKUP(Imput[[#This Row],[RFC]],'Alta Proveedor'!D:D,'Alta Proveedor'!E:E)=0,"",_xlfn.XLOOKUP(Imput[[#This Row],[RFC]],'Alta Proveedor'!D:D,'Alta Proveedor'!E:E)),"")</f>
        <v>GASTOS SIN FACTURA</v>
      </c>
      <c r="F1732" s="832" t="s">
        <v>4518</v>
      </c>
      <c r="G1732" s="187">
        <v>1</v>
      </c>
      <c r="H1732" s="1">
        <v>498</v>
      </c>
      <c r="I1732" s="169">
        <f>Imput[[#This Row],[Cantidad]]*Imput[[#This Row],[Precio Unitario]]</f>
        <v>498</v>
      </c>
      <c r="J1732" s="11">
        <f>((Imput[[#This Row],[Sub total]])*(0.08))</f>
        <v>39.840000000000003</v>
      </c>
      <c r="K1732" s="11">
        <v>0</v>
      </c>
      <c r="L1732" s="169">
        <f>Imput[[#This Row],[Sub total]]+Imput[[#This Row],[IVA]]-Imput[[#This Row],[Retención / IEPS / Descuento]]</f>
        <v>537.84</v>
      </c>
      <c r="M1732" s="844">
        <v>537.84</v>
      </c>
      <c r="N1732" s="189"/>
      <c r="O1732" s="1"/>
      <c r="P1732" s="189"/>
      <c r="Q1732" s="190"/>
      <c r="R1732" s="188">
        <v>45992</v>
      </c>
      <c r="S1732" s="193"/>
      <c r="T1732" s="192"/>
      <c r="U1732" s="829" t="s">
        <v>3225</v>
      </c>
      <c r="V1732" s="10"/>
      <c r="W1732" s="10"/>
      <c r="X1732" s="902">
        <v>26</v>
      </c>
      <c r="Y1732" s="10"/>
      <c r="Z1732" s="10"/>
      <c r="AA1732" s="11"/>
      <c r="AB1732" s="11"/>
    </row>
    <row r="1733" spans="2:28" x14ac:dyDescent="0.3">
      <c r="B1733" s="10" t="s">
        <v>398</v>
      </c>
      <c r="C1733" s="315"/>
      <c r="D1733" s="868" t="s">
        <v>3119</v>
      </c>
      <c r="E1733" s="837" t="str">
        <f>IFERROR(IF(_xlfn.XLOOKUP(Imput[[#This Row],[RFC]],'Alta Proveedor'!D:D,'Alta Proveedor'!E:E)=0,"",_xlfn.XLOOKUP(Imput[[#This Row],[RFC]],'Alta Proveedor'!D:D,'Alta Proveedor'!E:E)),"")</f>
        <v>Nomina-OPERACIÓN</v>
      </c>
      <c r="F1733" s="832" t="s">
        <v>4462</v>
      </c>
      <c r="G1733" s="187">
        <v>1</v>
      </c>
      <c r="H1733" s="1">
        <v>4800</v>
      </c>
      <c r="I1733" s="169">
        <f>Imput[[#This Row],[Cantidad]]*Imput[[#This Row],[Precio Unitario]]</f>
        <v>4800</v>
      </c>
      <c r="J1733" s="11">
        <f>((Imput[[#This Row],[Sub total]])*(0.08))</f>
        <v>384</v>
      </c>
      <c r="K1733" s="11">
        <v>0</v>
      </c>
      <c r="L1733" s="169">
        <f>Imput[[#This Row],[Sub total]]+Imput[[#This Row],[IVA]]-Imput[[#This Row],[Retención / IEPS / Descuento]]</f>
        <v>5184</v>
      </c>
      <c r="M1733" s="844">
        <v>5184</v>
      </c>
      <c r="N1733" s="189"/>
      <c r="O1733" s="1"/>
      <c r="P1733" s="189"/>
      <c r="Q1733" s="190"/>
      <c r="R1733" s="188">
        <v>45988</v>
      </c>
      <c r="S1733" s="193"/>
      <c r="T1733" s="192"/>
      <c r="U1733" s="829" t="s">
        <v>3225</v>
      </c>
      <c r="V1733" s="10"/>
      <c r="W1733" s="10"/>
      <c r="X1733" s="902">
        <v>26</v>
      </c>
      <c r="Y1733" s="10"/>
      <c r="Z1733" s="10"/>
      <c r="AA1733" s="11"/>
      <c r="AB1733" s="11"/>
    </row>
    <row r="1734" spans="2:28" x14ac:dyDescent="0.3">
      <c r="B1734" s="10" t="s">
        <v>398</v>
      </c>
      <c r="C1734" s="315"/>
      <c r="D1734" s="868" t="s">
        <v>3119</v>
      </c>
      <c r="E1734" s="837" t="str">
        <f>IFERROR(IF(_xlfn.XLOOKUP(Imput[[#This Row],[RFC]],'Alta Proveedor'!D:D,'Alta Proveedor'!E:E)=0,"",_xlfn.XLOOKUP(Imput[[#This Row],[RFC]],'Alta Proveedor'!D:D,'Alta Proveedor'!E:E)),"")</f>
        <v>Nomina-OPERACIÓN</v>
      </c>
      <c r="F1734" s="832" t="s">
        <v>4475</v>
      </c>
      <c r="G1734" s="187">
        <v>1</v>
      </c>
      <c r="H1734" s="1">
        <v>5690</v>
      </c>
      <c r="I1734" s="169">
        <f>Imput[[#This Row],[Cantidad]]*Imput[[#This Row],[Precio Unitario]]</f>
        <v>5690</v>
      </c>
      <c r="J1734" s="11">
        <f>((Imput[[#This Row],[Sub total]])*(0.08))</f>
        <v>455.2</v>
      </c>
      <c r="K1734" s="11">
        <v>0</v>
      </c>
      <c r="L1734" s="169">
        <f>Imput[[#This Row],[Sub total]]+Imput[[#This Row],[IVA]]-Imput[[#This Row],[Retención / IEPS / Descuento]]</f>
        <v>6145.2</v>
      </c>
      <c r="M1734" s="844">
        <v>6145.2</v>
      </c>
      <c r="N1734" s="189"/>
      <c r="O1734" s="1"/>
      <c r="P1734" s="189"/>
      <c r="Q1734" s="190"/>
      <c r="R1734" s="188">
        <v>45988</v>
      </c>
      <c r="S1734" s="193"/>
      <c r="T1734" s="192"/>
      <c r="U1734" s="829" t="s">
        <v>3225</v>
      </c>
      <c r="V1734" s="10"/>
      <c r="W1734" s="10"/>
      <c r="X1734" s="902">
        <v>26</v>
      </c>
      <c r="Y1734" s="10"/>
      <c r="Z1734" s="10"/>
      <c r="AA1734" s="11"/>
      <c r="AB1734" s="11"/>
    </row>
    <row r="1735" spans="2:28" x14ac:dyDescent="0.3">
      <c r="B1735" s="10" t="s">
        <v>398</v>
      </c>
      <c r="C1735" s="315"/>
      <c r="D1735" s="868" t="s">
        <v>3119</v>
      </c>
      <c r="E1735" s="837" t="str">
        <f>IFERROR(IF(_xlfn.XLOOKUP(Imput[[#This Row],[RFC]],'Alta Proveedor'!D:D,'Alta Proveedor'!E:E)=0,"",_xlfn.XLOOKUP(Imput[[#This Row],[RFC]],'Alta Proveedor'!D:D,'Alta Proveedor'!E:E)),"")</f>
        <v>Nomina-OPERACIÓN</v>
      </c>
      <c r="F1735" s="832" t="s">
        <v>4473</v>
      </c>
      <c r="G1735" s="187">
        <v>1</v>
      </c>
      <c r="H1735" s="1">
        <v>2606</v>
      </c>
      <c r="I1735" s="169">
        <f>Imput[[#This Row],[Cantidad]]*Imput[[#This Row],[Precio Unitario]]</f>
        <v>2606</v>
      </c>
      <c r="J1735" s="11">
        <f>((Imput[[#This Row],[Sub total]])*(0.08))</f>
        <v>208.48000000000002</v>
      </c>
      <c r="K1735" s="11">
        <v>0</v>
      </c>
      <c r="L1735" s="169">
        <f>Imput[[#This Row],[Sub total]]+Imput[[#This Row],[IVA]]-Imput[[#This Row],[Retención / IEPS / Descuento]]</f>
        <v>2814.48</v>
      </c>
      <c r="M1735" s="844">
        <v>2814.48</v>
      </c>
      <c r="N1735" s="189"/>
      <c r="O1735" s="1"/>
      <c r="P1735" s="189"/>
      <c r="Q1735" s="190"/>
      <c r="R1735" s="188">
        <v>45988</v>
      </c>
      <c r="S1735" s="193"/>
      <c r="T1735" s="192"/>
      <c r="U1735" s="829" t="s">
        <v>3225</v>
      </c>
      <c r="V1735" s="10"/>
      <c r="W1735" s="10"/>
      <c r="X1735" s="902">
        <v>26</v>
      </c>
      <c r="Y1735" s="10"/>
      <c r="Z1735" s="10"/>
      <c r="AA1735" s="11"/>
      <c r="AB1735" s="11"/>
    </row>
    <row r="1736" spans="2:28" x14ac:dyDescent="0.3">
      <c r="B1736" s="10" t="s">
        <v>398</v>
      </c>
      <c r="C1736" s="315"/>
      <c r="D1736" s="868" t="s">
        <v>3119</v>
      </c>
      <c r="E1736" s="837" t="str">
        <f>IFERROR(IF(_xlfn.XLOOKUP(Imput[[#This Row],[RFC]],'Alta Proveedor'!D:D,'Alta Proveedor'!E:E)=0,"",_xlfn.XLOOKUP(Imput[[#This Row],[RFC]],'Alta Proveedor'!D:D,'Alta Proveedor'!E:E)),"")</f>
        <v>Nomina-OPERACIÓN</v>
      </c>
      <c r="F1736" s="832" t="s">
        <v>3166</v>
      </c>
      <c r="G1736" s="187">
        <v>1</v>
      </c>
      <c r="H1736" s="1">
        <v>5068</v>
      </c>
      <c r="I1736" s="169">
        <f>Imput[[#This Row],[Cantidad]]*Imput[[#This Row],[Precio Unitario]]</f>
        <v>5068</v>
      </c>
      <c r="J1736" s="11">
        <f>((Imput[[#This Row],[Sub total]])*(0.08))</f>
        <v>405.44</v>
      </c>
      <c r="K1736" s="11">
        <v>0</v>
      </c>
      <c r="L1736" s="169">
        <f>Imput[[#This Row],[Sub total]]+Imput[[#This Row],[IVA]]-Imput[[#This Row],[Retención / IEPS / Descuento]]</f>
        <v>5473.44</v>
      </c>
      <c r="M1736" s="844">
        <v>5473.44</v>
      </c>
      <c r="N1736" s="189"/>
      <c r="O1736" s="1"/>
      <c r="P1736" s="189"/>
      <c r="Q1736" s="190"/>
      <c r="R1736" s="188">
        <v>45988</v>
      </c>
      <c r="S1736" s="193"/>
      <c r="T1736" s="192"/>
      <c r="U1736" s="829" t="s">
        <v>3225</v>
      </c>
      <c r="V1736" s="10"/>
      <c r="W1736" s="10"/>
      <c r="X1736" s="902">
        <v>26</v>
      </c>
      <c r="Y1736" s="10"/>
      <c r="Z1736" s="10"/>
      <c r="AA1736" s="11"/>
      <c r="AB1736" s="11"/>
    </row>
    <row r="1737" spans="2:28" x14ac:dyDescent="0.3">
      <c r="B1737" s="10" t="s">
        <v>398</v>
      </c>
      <c r="C1737" s="315"/>
      <c r="D1737" s="868" t="s">
        <v>3119</v>
      </c>
      <c r="E1737" s="837" t="str">
        <f>IFERROR(IF(_xlfn.XLOOKUP(Imput[[#This Row],[RFC]],'Alta Proveedor'!D:D,'Alta Proveedor'!E:E)=0,"",_xlfn.XLOOKUP(Imput[[#This Row],[RFC]],'Alta Proveedor'!D:D,'Alta Proveedor'!E:E)),"")</f>
        <v>Nomina-OPERACIÓN</v>
      </c>
      <c r="F1737" s="832" t="s">
        <v>4470</v>
      </c>
      <c r="G1737" s="187">
        <v>1</v>
      </c>
      <c r="H1737" s="1">
        <v>5196</v>
      </c>
      <c r="I1737" s="169">
        <f>Imput[[#This Row],[Cantidad]]*Imput[[#This Row],[Precio Unitario]]</f>
        <v>5196</v>
      </c>
      <c r="J1737" s="11">
        <f>((Imput[[#This Row],[Sub total]])*(0.08))</f>
        <v>415.68</v>
      </c>
      <c r="K1737" s="11">
        <v>0</v>
      </c>
      <c r="L1737" s="169">
        <f>Imput[[#This Row],[Sub total]]+Imput[[#This Row],[IVA]]-Imput[[#This Row],[Retención / IEPS / Descuento]]</f>
        <v>5611.68</v>
      </c>
      <c r="M1737" s="844">
        <v>5611.68</v>
      </c>
      <c r="N1737" s="189"/>
      <c r="O1737" s="1"/>
      <c r="P1737" s="189"/>
      <c r="Q1737" s="190"/>
      <c r="R1737" s="188">
        <v>45988</v>
      </c>
      <c r="S1737" s="193"/>
      <c r="T1737" s="192"/>
      <c r="U1737" s="829" t="s">
        <v>3225</v>
      </c>
      <c r="V1737" s="10"/>
      <c r="W1737" s="10"/>
      <c r="X1737" s="902">
        <v>26</v>
      </c>
      <c r="Y1737" s="10"/>
      <c r="Z1737" s="10"/>
      <c r="AA1737" s="11"/>
      <c r="AB1737" s="11"/>
    </row>
    <row r="1738" spans="2:28" x14ac:dyDescent="0.3">
      <c r="B1738" s="10" t="s">
        <v>398</v>
      </c>
      <c r="C1738" s="315"/>
      <c r="D1738" s="868" t="s">
        <v>3119</v>
      </c>
      <c r="E1738" s="837" t="str">
        <f>IFERROR(IF(_xlfn.XLOOKUP(Imput[[#This Row],[RFC]],'Alta Proveedor'!D:D,'Alta Proveedor'!E:E)=0,"",_xlfn.XLOOKUP(Imput[[#This Row],[RFC]],'Alta Proveedor'!D:D,'Alta Proveedor'!E:E)),"")</f>
        <v>Nomina-OPERACIÓN</v>
      </c>
      <c r="F1738" s="832" t="s">
        <v>4500</v>
      </c>
      <c r="G1738" s="187">
        <v>1</v>
      </c>
      <c r="H1738" s="1">
        <v>5060</v>
      </c>
      <c r="I1738" s="169">
        <f>Imput[[#This Row],[Cantidad]]*Imput[[#This Row],[Precio Unitario]]</f>
        <v>5060</v>
      </c>
      <c r="J1738" s="11">
        <f>((Imput[[#This Row],[Sub total]])*(0.08))</f>
        <v>404.8</v>
      </c>
      <c r="K1738" s="11">
        <v>0</v>
      </c>
      <c r="L1738" s="169">
        <f>Imput[[#This Row],[Sub total]]+Imput[[#This Row],[IVA]]-Imput[[#This Row],[Retención / IEPS / Descuento]]</f>
        <v>5464.8</v>
      </c>
      <c r="M1738" s="844">
        <v>5464.8</v>
      </c>
      <c r="N1738" s="189"/>
      <c r="O1738" s="1"/>
      <c r="P1738" s="189"/>
      <c r="Q1738" s="190"/>
      <c r="R1738" s="188">
        <v>45988</v>
      </c>
      <c r="S1738" s="193"/>
      <c r="T1738" s="192"/>
      <c r="U1738" s="829" t="s">
        <v>3225</v>
      </c>
      <c r="V1738" s="10"/>
      <c r="W1738" s="10"/>
      <c r="X1738" s="902">
        <v>26</v>
      </c>
      <c r="Y1738" s="10"/>
      <c r="Z1738" s="10"/>
      <c r="AA1738" s="11"/>
      <c r="AB1738" s="11"/>
    </row>
    <row r="1739" spans="2:28" x14ac:dyDescent="0.3">
      <c r="B1739" s="10" t="s">
        <v>398</v>
      </c>
      <c r="C1739" s="315"/>
      <c r="D1739" s="868" t="s">
        <v>3119</v>
      </c>
      <c r="E1739" s="837" t="str">
        <f>IFERROR(IF(_xlfn.XLOOKUP(Imput[[#This Row],[RFC]],'Alta Proveedor'!D:D,'Alta Proveedor'!E:E)=0,"",_xlfn.XLOOKUP(Imput[[#This Row],[RFC]],'Alta Proveedor'!D:D,'Alta Proveedor'!E:E)),"")</f>
        <v>Nomina-OPERACIÓN</v>
      </c>
      <c r="F1739" s="832" t="s">
        <v>4519</v>
      </c>
      <c r="G1739" s="187">
        <v>1</v>
      </c>
      <c r="H1739" s="1">
        <v>1500</v>
      </c>
      <c r="I1739" s="169">
        <f>Imput[[#This Row],[Cantidad]]*Imput[[#This Row],[Precio Unitario]]</f>
        <v>1500</v>
      </c>
      <c r="J1739" s="11">
        <f>((Imput[[#This Row],[Sub total]])*(0.08))</f>
        <v>120</v>
      </c>
      <c r="K1739" s="11">
        <v>0</v>
      </c>
      <c r="L1739" s="169">
        <f>Imput[[#This Row],[Sub total]]+Imput[[#This Row],[IVA]]-Imput[[#This Row],[Retención / IEPS / Descuento]]</f>
        <v>1620</v>
      </c>
      <c r="M1739" s="844">
        <v>1620</v>
      </c>
      <c r="N1739" s="189"/>
      <c r="O1739" s="1"/>
      <c r="P1739" s="189"/>
      <c r="Q1739" s="190"/>
      <c r="R1739" s="188">
        <v>45988</v>
      </c>
      <c r="S1739" s="193"/>
      <c r="T1739" s="192"/>
      <c r="U1739" s="829" t="s">
        <v>3225</v>
      </c>
      <c r="V1739" s="10"/>
      <c r="W1739" s="10"/>
      <c r="X1739" s="902">
        <v>26</v>
      </c>
      <c r="Y1739" s="10"/>
      <c r="Z1739" s="10"/>
      <c r="AA1739" s="11"/>
      <c r="AB1739" s="11"/>
    </row>
    <row r="1740" spans="2:28" x14ac:dyDescent="0.3">
      <c r="B1740" s="10" t="s">
        <v>398</v>
      </c>
      <c r="C1740" s="315"/>
      <c r="D1740" s="868" t="s">
        <v>3119</v>
      </c>
      <c r="E1740" s="837" t="str">
        <f>IFERROR(IF(_xlfn.XLOOKUP(Imput[[#This Row],[RFC]],'Alta Proveedor'!D:D,'Alta Proveedor'!E:E)=0,"",_xlfn.XLOOKUP(Imput[[#This Row],[RFC]],'Alta Proveedor'!D:D,'Alta Proveedor'!E:E)),"")</f>
        <v>Nomina-OPERACIÓN</v>
      </c>
      <c r="F1740" s="832" t="s">
        <v>4520</v>
      </c>
      <c r="G1740" s="187">
        <v>1</v>
      </c>
      <c r="H1740" s="1">
        <v>2524.7600000000002</v>
      </c>
      <c r="I1740" s="169">
        <f>Imput[[#This Row],[Cantidad]]*Imput[[#This Row],[Precio Unitario]]</f>
        <v>2524.7600000000002</v>
      </c>
      <c r="J1740" s="11">
        <f>((Imput[[#This Row],[Sub total]])*(0.08))</f>
        <v>201.98080000000002</v>
      </c>
      <c r="K1740" s="11">
        <v>0</v>
      </c>
      <c r="L1740" s="169">
        <f>Imput[[#This Row],[Sub total]]+Imput[[#This Row],[IVA]]-Imput[[#This Row],[Retención / IEPS / Descuento]]</f>
        <v>2726.7408</v>
      </c>
      <c r="M1740" s="844">
        <v>2726.7408</v>
      </c>
      <c r="N1740" s="189"/>
      <c r="O1740" s="1"/>
      <c r="P1740" s="189"/>
      <c r="Q1740" s="190"/>
      <c r="R1740" s="188">
        <v>45988</v>
      </c>
      <c r="S1740" s="193"/>
      <c r="T1740" s="192"/>
      <c r="U1740" s="829" t="s">
        <v>3225</v>
      </c>
      <c r="V1740" s="10"/>
      <c r="W1740" s="10"/>
      <c r="X1740" s="902">
        <v>26</v>
      </c>
      <c r="Y1740" s="10"/>
      <c r="Z1740" s="10"/>
      <c r="AA1740" s="11"/>
      <c r="AB1740" s="11"/>
    </row>
    <row r="1741" spans="2:28" x14ac:dyDescent="0.3">
      <c r="B1741" s="10" t="s">
        <v>398</v>
      </c>
      <c r="C1741" s="315"/>
      <c r="D1741" s="868" t="s">
        <v>3119</v>
      </c>
      <c r="E1741" s="837" t="str">
        <f>IFERROR(IF(_xlfn.XLOOKUP(Imput[[#This Row],[RFC]],'Alta Proveedor'!D:D,'Alta Proveedor'!E:E)=0,"",_xlfn.XLOOKUP(Imput[[#This Row],[RFC]],'Alta Proveedor'!D:D,'Alta Proveedor'!E:E)),"")</f>
        <v>Nomina-OPERACIÓN</v>
      </c>
      <c r="F1741" s="832" t="s">
        <v>4521</v>
      </c>
      <c r="G1741" s="187">
        <v>1</v>
      </c>
      <c r="H1741" s="1">
        <v>5800</v>
      </c>
      <c r="I1741" s="169">
        <f>Imput[[#This Row],[Cantidad]]*Imput[[#This Row],[Precio Unitario]]</f>
        <v>5800</v>
      </c>
      <c r="J1741" s="11">
        <f>((Imput[[#This Row],[Sub total]])*(0.08))</f>
        <v>464</v>
      </c>
      <c r="K1741" s="11">
        <v>0</v>
      </c>
      <c r="L1741" s="169">
        <f>Imput[[#This Row],[Sub total]]+Imput[[#This Row],[IVA]]-Imput[[#This Row],[Retención / IEPS / Descuento]]</f>
        <v>6264</v>
      </c>
      <c r="M1741" s="844">
        <v>6264</v>
      </c>
      <c r="N1741" s="189"/>
      <c r="O1741" s="1"/>
      <c r="P1741" s="189"/>
      <c r="Q1741" s="190"/>
      <c r="R1741" s="188">
        <v>45988</v>
      </c>
      <c r="S1741" s="193"/>
      <c r="T1741" s="192"/>
      <c r="U1741" s="829" t="s">
        <v>3225</v>
      </c>
      <c r="V1741" s="10"/>
      <c r="W1741" s="10"/>
      <c r="X1741" s="902">
        <v>26</v>
      </c>
      <c r="Y1741" s="10"/>
      <c r="Z1741" s="10"/>
      <c r="AA1741" s="11"/>
      <c r="AB1741" s="11"/>
    </row>
    <row r="1742" spans="2:28" x14ac:dyDescent="0.3">
      <c r="B1742" s="10" t="s">
        <v>398</v>
      </c>
      <c r="C1742" s="315"/>
      <c r="D1742" s="868" t="s">
        <v>3119</v>
      </c>
      <c r="E1742" s="837" t="str">
        <f>IFERROR(IF(_xlfn.XLOOKUP(Imput[[#This Row],[RFC]],'Alta Proveedor'!D:D,'Alta Proveedor'!E:E)=0,"",_xlfn.XLOOKUP(Imput[[#This Row],[RFC]],'Alta Proveedor'!D:D,'Alta Proveedor'!E:E)),"")</f>
        <v>Nomina-OPERACIÓN</v>
      </c>
      <c r="F1742" s="832" t="s">
        <v>4522</v>
      </c>
      <c r="G1742" s="187">
        <v>1</v>
      </c>
      <c r="H1742" s="1">
        <v>2400</v>
      </c>
      <c r="I1742" s="169">
        <f>Imput[[#This Row],[Cantidad]]*Imput[[#This Row],[Precio Unitario]]</f>
        <v>2400</v>
      </c>
      <c r="J1742" s="11">
        <f>((Imput[[#This Row],[Sub total]])*(0.08))</f>
        <v>192</v>
      </c>
      <c r="K1742" s="11">
        <v>0</v>
      </c>
      <c r="L1742" s="169">
        <f>Imput[[#This Row],[Sub total]]+Imput[[#This Row],[IVA]]-Imput[[#This Row],[Retención / IEPS / Descuento]]</f>
        <v>2592</v>
      </c>
      <c r="M1742" s="844">
        <v>2592</v>
      </c>
      <c r="N1742" s="189"/>
      <c r="O1742" s="1"/>
      <c r="P1742" s="189"/>
      <c r="Q1742" s="190"/>
      <c r="R1742" s="188">
        <v>45988</v>
      </c>
      <c r="S1742" s="193"/>
      <c r="T1742" s="192"/>
      <c r="U1742" s="829" t="s">
        <v>3225</v>
      </c>
      <c r="V1742" s="10"/>
      <c r="W1742" s="10"/>
      <c r="X1742" s="902">
        <v>26</v>
      </c>
      <c r="Y1742" s="10"/>
      <c r="Z1742" s="10"/>
      <c r="AA1742" s="11"/>
      <c r="AB1742" s="11"/>
    </row>
    <row r="1743" spans="2:28" x14ac:dyDescent="0.3">
      <c r="B1743" s="10" t="s">
        <v>398</v>
      </c>
      <c r="C1743" s="315"/>
      <c r="D1743" s="868" t="s">
        <v>3119</v>
      </c>
      <c r="E1743" s="837" t="str">
        <f>IFERROR(IF(_xlfn.XLOOKUP(Imput[[#This Row],[RFC]],'Alta Proveedor'!D:D,'Alta Proveedor'!E:E)=0,"",_xlfn.XLOOKUP(Imput[[#This Row],[RFC]],'Alta Proveedor'!D:D,'Alta Proveedor'!E:E)),"")</f>
        <v>Nomina-OPERACIÓN</v>
      </c>
      <c r="F1743" s="832" t="s">
        <v>4523</v>
      </c>
      <c r="G1743" s="187">
        <v>1</v>
      </c>
      <c r="H1743" s="1">
        <v>5600</v>
      </c>
      <c r="I1743" s="169">
        <f>Imput[[#This Row],[Cantidad]]*Imput[[#This Row],[Precio Unitario]]</f>
        <v>5600</v>
      </c>
      <c r="J1743" s="11">
        <f>((Imput[[#This Row],[Sub total]])*(0.08))</f>
        <v>448</v>
      </c>
      <c r="K1743" s="11">
        <v>0</v>
      </c>
      <c r="L1743" s="169">
        <f>Imput[[#This Row],[Sub total]]+Imput[[#This Row],[IVA]]-Imput[[#This Row],[Retención / IEPS / Descuento]]</f>
        <v>6048</v>
      </c>
      <c r="M1743" s="844">
        <v>6048</v>
      </c>
      <c r="N1743" s="189"/>
      <c r="O1743" s="1"/>
      <c r="P1743" s="189"/>
      <c r="Q1743" s="190"/>
      <c r="R1743" s="188">
        <v>45988</v>
      </c>
      <c r="S1743" s="193"/>
      <c r="T1743" s="192"/>
      <c r="U1743" s="829" t="s">
        <v>3225</v>
      </c>
      <c r="V1743" s="10"/>
      <c r="W1743" s="10"/>
      <c r="X1743" s="902">
        <v>26</v>
      </c>
      <c r="Y1743" s="10"/>
      <c r="Z1743" s="10"/>
      <c r="AA1743" s="11"/>
      <c r="AB1743" s="11"/>
    </row>
    <row r="1744" spans="2:28" x14ac:dyDescent="0.3">
      <c r="B1744" s="10" t="s">
        <v>398</v>
      </c>
      <c r="C1744" s="315"/>
      <c r="D1744" s="868" t="s">
        <v>3119</v>
      </c>
      <c r="E1744" s="837" t="str">
        <f>IFERROR(IF(_xlfn.XLOOKUP(Imput[[#This Row],[RFC]],'Alta Proveedor'!D:D,'Alta Proveedor'!E:E)=0,"",_xlfn.XLOOKUP(Imput[[#This Row],[RFC]],'Alta Proveedor'!D:D,'Alta Proveedor'!E:E)),"")</f>
        <v>Nomina-OPERACIÓN</v>
      </c>
      <c r="F1744" s="832" t="s">
        <v>4524</v>
      </c>
      <c r="G1744" s="187">
        <v>1</v>
      </c>
      <c r="H1744" s="1">
        <v>8465.7199999999993</v>
      </c>
      <c r="I1744" s="169">
        <f>Imput[[#This Row],[Cantidad]]*Imput[[#This Row],[Precio Unitario]]</f>
        <v>8465.7199999999993</v>
      </c>
      <c r="J1744" s="11">
        <f>((Imput[[#This Row],[Sub total]])*(0.08))</f>
        <v>677.25759999999991</v>
      </c>
      <c r="K1744" s="11">
        <v>0</v>
      </c>
      <c r="L1744" s="169">
        <f>Imput[[#This Row],[Sub total]]+Imput[[#This Row],[IVA]]-Imput[[#This Row],[Retención / IEPS / Descuento]]</f>
        <v>9142.9775999999983</v>
      </c>
      <c r="M1744" s="844">
        <v>9142.9775999999983</v>
      </c>
      <c r="N1744" s="189"/>
      <c r="O1744" s="1"/>
      <c r="P1744" s="189"/>
      <c r="Q1744" s="190"/>
      <c r="R1744" s="188">
        <v>45988</v>
      </c>
      <c r="S1744" s="193"/>
      <c r="T1744" s="192"/>
      <c r="U1744" s="829" t="s">
        <v>3225</v>
      </c>
      <c r="V1744" s="10"/>
      <c r="W1744" s="10"/>
      <c r="X1744" s="902">
        <v>26</v>
      </c>
      <c r="Y1744" s="10"/>
      <c r="Z1744" s="10"/>
      <c r="AA1744" s="11"/>
      <c r="AB1744" s="11"/>
    </row>
    <row r="1745" spans="2:28" x14ac:dyDescent="0.3">
      <c r="B1745" s="10" t="s">
        <v>398</v>
      </c>
      <c r="C1745" s="315" t="s">
        <v>1743</v>
      </c>
      <c r="D1745" s="868" t="s">
        <v>3118</v>
      </c>
      <c r="E1745" s="837" t="str">
        <f>IFERROR(IF(_xlfn.XLOOKUP(Imput[[#This Row],[RFC]],'Alta Proveedor'!D:D,'Alta Proveedor'!E:E)=0,"",_xlfn.XLOOKUP(Imput[[#This Row],[RFC]],'Alta Proveedor'!D:D,'Alta Proveedor'!E:E)),"")</f>
        <v>Nomina-ADMON</v>
      </c>
      <c r="F1745" s="832" t="s">
        <v>4585</v>
      </c>
      <c r="G1745" s="187">
        <v>1</v>
      </c>
      <c r="H1745" s="1">
        <v>0</v>
      </c>
      <c r="I1745" s="169">
        <f>Imput[[#This Row],[Cantidad]]*Imput[[#This Row],[Precio Unitario]]</f>
        <v>0</v>
      </c>
      <c r="J1745" s="11">
        <f>((Imput[[#This Row],[Sub total]])*(0))</f>
        <v>0</v>
      </c>
      <c r="K1745" s="11">
        <v>0</v>
      </c>
      <c r="L1745" s="169">
        <f>Imput[[#This Row],[Sub total]]+Imput[[#This Row],[IVA]]-Imput[[#This Row],[Retención / IEPS / Descuento]]</f>
        <v>0</v>
      </c>
      <c r="M1745" s="844">
        <v>0</v>
      </c>
      <c r="N1745" s="189"/>
      <c r="O1745" s="1"/>
      <c r="P1745" s="189"/>
      <c r="Q1745" s="190"/>
      <c r="R1745" s="188">
        <v>45991</v>
      </c>
      <c r="S1745" s="193"/>
      <c r="T1745" s="192"/>
      <c r="U1745" s="829" t="s">
        <v>3225</v>
      </c>
      <c r="V1745" s="10"/>
      <c r="W1745" s="10"/>
      <c r="X1745" s="902">
        <v>26</v>
      </c>
      <c r="Y1745" s="10"/>
      <c r="Z1745" s="10"/>
      <c r="AA1745" s="11"/>
      <c r="AB1745" s="11"/>
    </row>
    <row r="1746" spans="2:28" x14ac:dyDescent="0.3">
      <c r="B1746" s="10" t="s">
        <v>398</v>
      </c>
      <c r="C1746" s="315" t="s">
        <v>1773</v>
      </c>
      <c r="D1746" s="868" t="s">
        <v>3118</v>
      </c>
      <c r="E1746" s="837" t="str">
        <f>IFERROR(IF(_xlfn.XLOOKUP(Imput[[#This Row],[RFC]],'Alta Proveedor'!D:D,'Alta Proveedor'!E:E)=0,"",_xlfn.XLOOKUP(Imput[[#This Row],[RFC]],'Alta Proveedor'!D:D,'Alta Proveedor'!E:E)),"")</f>
        <v>Nomina-ADMON</v>
      </c>
      <c r="F1746" s="832" t="s">
        <v>4586</v>
      </c>
      <c r="G1746" s="187">
        <v>1</v>
      </c>
      <c r="H1746" s="1">
        <v>4182</v>
      </c>
      <c r="I1746" s="169">
        <f>Imput[[#This Row],[Cantidad]]*Imput[[#This Row],[Precio Unitario]]</f>
        <v>4182</v>
      </c>
      <c r="J1746" s="11">
        <f>((Imput[[#This Row],[Sub total]])*(0))</f>
        <v>0</v>
      </c>
      <c r="K1746" s="11">
        <v>0</v>
      </c>
      <c r="L1746" s="169">
        <f>Imput[[#This Row],[Sub total]]+Imput[[#This Row],[IVA]]-Imput[[#This Row],[Retención / IEPS / Descuento]]</f>
        <v>4182</v>
      </c>
      <c r="M1746" s="844">
        <v>4182</v>
      </c>
      <c r="N1746" s="189"/>
      <c r="O1746" s="1"/>
      <c r="P1746" s="189"/>
      <c r="Q1746" s="190"/>
      <c r="R1746" s="188">
        <v>45991</v>
      </c>
      <c r="S1746" s="193"/>
      <c r="T1746" s="192"/>
      <c r="U1746" s="829" t="s">
        <v>3225</v>
      </c>
      <c r="V1746" s="10"/>
      <c r="W1746" s="10"/>
      <c r="X1746" s="902">
        <v>26</v>
      </c>
      <c r="Y1746" s="10"/>
      <c r="Z1746" s="10"/>
      <c r="AA1746" s="11"/>
      <c r="AB1746" s="11"/>
    </row>
    <row r="1747" spans="2:28" x14ac:dyDescent="0.3">
      <c r="B1747" s="10" t="s">
        <v>398</v>
      </c>
      <c r="C1747" s="315" t="s">
        <v>1784</v>
      </c>
      <c r="D1747" s="868" t="s">
        <v>3118</v>
      </c>
      <c r="E1747" s="837" t="str">
        <f>IFERROR(IF(_xlfn.XLOOKUP(Imput[[#This Row],[RFC]],'Alta Proveedor'!D:D,'Alta Proveedor'!E:E)=0,"",_xlfn.XLOOKUP(Imput[[#This Row],[RFC]],'Alta Proveedor'!D:D,'Alta Proveedor'!E:E)),"")</f>
        <v>Nomina-ADMON</v>
      </c>
      <c r="F1747" s="832" t="s">
        <v>4587</v>
      </c>
      <c r="G1747" s="187">
        <v>1</v>
      </c>
      <c r="H1747" s="1">
        <v>0</v>
      </c>
      <c r="I1747" s="169">
        <f>Imput[[#This Row],[Cantidad]]*Imput[[#This Row],[Precio Unitario]]</f>
        <v>0</v>
      </c>
      <c r="J1747" s="11">
        <f>((Imput[[#This Row],[Sub total]])*(0))</f>
        <v>0</v>
      </c>
      <c r="K1747" s="11">
        <v>0</v>
      </c>
      <c r="L1747" s="169">
        <f>Imput[[#This Row],[Sub total]]+Imput[[#This Row],[IVA]]-Imput[[#This Row],[Retención / IEPS / Descuento]]</f>
        <v>0</v>
      </c>
      <c r="M1747" s="844">
        <v>0</v>
      </c>
      <c r="N1747" s="189"/>
      <c r="O1747" s="1"/>
      <c r="P1747" s="189"/>
      <c r="Q1747" s="190"/>
      <c r="R1747" s="188">
        <v>45991</v>
      </c>
      <c r="S1747" s="193"/>
      <c r="T1747" s="192"/>
      <c r="U1747" s="829" t="s">
        <v>3225</v>
      </c>
      <c r="V1747" s="10"/>
      <c r="W1747" s="10"/>
      <c r="X1747" s="902">
        <v>26</v>
      </c>
      <c r="Y1747" s="10"/>
      <c r="Z1747" s="10"/>
      <c r="AA1747" s="11"/>
      <c r="AB1747" s="11"/>
    </row>
    <row r="1748" spans="2:28" x14ac:dyDescent="0.3">
      <c r="B1748" s="10" t="s">
        <v>398</v>
      </c>
      <c r="C1748" s="315" t="s">
        <v>1756</v>
      </c>
      <c r="D1748" s="868" t="s">
        <v>3118</v>
      </c>
      <c r="E1748" s="837" t="str">
        <f>IFERROR(IF(_xlfn.XLOOKUP(Imput[[#This Row],[RFC]],'Alta Proveedor'!D:D,'Alta Proveedor'!E:E)=0,"",_xlfn.XLOOKUP(Imput[[#This Row],[RFC]],'Alta Proveedor'!D:D,'Alta Proveedor'!E:E)),"")</f>
        <v>Nomina-ADMON</v>
      </c>
      <c r="F1748" s="832" t="s">
        <v>4588</v>
      </c>
      <c r="G1748" s="187">
        <v>1</v>
      </c>
      <c r="H1748" s="1">
        <v>4182</v>
      </c>
      <c r="I1748" s="169">
        <f>Imput[[#This Row],[Cantidad]]*Imput[[#This Row],[Precio Unitario]]</f>
        <v>4182</v>
      </c>
      <c r="J1748" s="11">
        <f>((Imput[[#This Row],[Sub total]])*(0))</f>
        <v>0</v>
      </c>
      <c r="K1748" s="11">
        <v>0</v>
      </c>
      <c r="L1748" s="169">
        <f>Imput[[#This Row],[Sub total]]+Imput[[#This Row],[IVA]]-Imput[[#This Row],[Retención / IEPS / Descuento]]</f>
        <v>4182</v>
      </c>
      <c r="M1748" s="844">
        <v>4182</v>
      </c>
      <c r="N1748" s="189"/>
      <c r="O1748" s="1"/>
      <c r="P1748" s="189"/>
      <c r="Q1748" s="190"/>
      <c r="R1748" s="188">
        <v>45991</v>
      </c>
      <c r="S1748" s="193"/>
      <c r="T1748" s="192"/>
      <c r="U1748" s="829" t="s">
        <v>3225</v>
      </c>
      <c r="V1748" s="10"/>
      <c r="W1748" s="10"/>
      <c r="X1748" s="902">
        <v>26</v>
      </c>
      <c r="Y1748" s="10"/>
      <c r="Z1748" s="10"/>
      <c r="AA1748" s="11"/>
      <c r="AB1748" s="11"/>
    </row>
    <row r="1749" spans="2:28" x14ac:dyDescent="0.3">
      <c r="B1749" s="10" t="s">
        <v>398</v>
      </c>
      <c r="C1749" s="315" t="s">
        <v>1774</v>
      </c>
      <c r="D1749" s="868" t="s">
        <v>3118</v>
      </c>
      <c r="E1749" s="837" t="str">
        <f>IFERROR(IF(_xlfn.XLOOKUP(Imput[[#This Row],[RFC]],'Alta Proveedor'!D:D,'Alta Proveedor'!E:E)=0,"",_xlfn.XLOOKUP(Imput[[#This Row],[RFC]],'Alta Proveedor'!D:D,'Alta Proveedor'!E:E)),"")</f>
        <v>Nomina-ADMON</v>
      </c>
      <c r="F1749" s="832" t="s">
        <v>4589</v>
      </c>
      <c r="G1749" s="187">
        <v>1</v>
      </c>
      <c r="H1749" s="1">
        <v>4182</v>
      </c>
      <c r="I1749" s="169">
        <f>Imput[[#This Row],[Cantidad]]*Imput[[#This Row],[Precio Unitario]]</f>
        <v>4182</v>
      </c>
      <c r="J1749" s="11">
        <f>((Imput[[#This Row],[Sub total]])*(0))</f>
        <v>0</v>
      </c>
      <c r="K1749" s="11">
        <v>0</v>
      </c>
      <c r="L1749" s="169">
        <f>Imput[[#This Row],[Sub total]]+Imput[[#This Row],[IVA]]-Imput[[#This Row],[Retención / IEPS / Descuento]]</f>
        <v>4182</v>
      </c>
      <c r="M1749" s="844">
        <v>4182</v>
      </c>
      <c r="N1749" s="189"/>
      <c r="O1749" s="1"/>
      <c r="P1749" s="189"/>
      <c r="Q1749" s="190"/>
      <c r="R1749" s="188">
        <v>45991</v>
      </c>
      <c r="S1749" s="193"/>
      <c r="T1749" s="192"/>
      <c r="U1749" s="829" t="s">
        <v>3225</v>
      </c>
      <c r="V1749" s="10"/>
      <c r="W1749" s="10"/>
      <c r="X1749" s="902">
        <v>26</v>
      </c>
      <c r="Y1749" s="10"/>
      <c r="Z1749" s="10"/>
      <c r="AA1749" s="11"/>
      <c r="AB1749" s="11"/>
    </row>
    <row r="1750" spans="2:28" x14ac:dyDescent="0.3">
      <c r="B1750" s="10" t="s">
        <v>398</v>
      </c>
      <c r="C1750" s="315" t="s">
        <v>1754</v>
      </c>
      <c r="D1750" s="868" t="s">
        <v>3118</v>
      </c>
      <c r="E1750" s="837" t="str">
        <f>IFERROR(IF(_xlfn.XLOOKUP(Imput[[#This Row],[RFC]],'Alta Proveedor'!D:D,'Alta Proveedor'!E:E)=0,"",_xlfn.XLOOKUP(Imput[[#This Row],[RFC]],'Alta Proveedor'!D:D,'Alta Proveedor'!E:E)),"")</f>
        <v>Nomina-ADMON</v>
      </c>
      <c r="F1750" s="832" t="s">
        <v>4590</v>
      </c>
      <c r="G1750" s="187">
        <v>1</v>
      </c>
      <c r="H1750" s="1">
        <v>4182</v>
      </c>
      <c r="I1750" s="169">
        <f>Imput[[#This Row],[Cantidad]]*Imput[[#This Row],[Precio Unitario]]</f>
        <v>4182</v>
      </c>
      <c r="J1750" s="11">
        <f>((Imput[[#This Row],[Sub total]])*(0))</f>
        <v>0</v>
      </c>
      <c r="K1750" s="11">
        <v>0</v>
      </c>
      <c r="L1750" s="169">
        <f>Imput[[#This Row],[Sub total]]+Imput[[#This Row],[IVA]]-Imput[[#This Row],[Retención / IEPS / Descuento]]</f>
        <v>4182</v>
      </c>
      <c r="M1750" s="844">
        <v>4182</v>
      </c>
      <c r="N1750" s="189"/>
      <c r="O1750" s="1"/>
      <c r="P1750" s="189"/>
      <c r="Q1750" s="190"/>
      <c r="R1750" s="188">
        <v>45991</v>
      </c>
      <c r="S1750" s="193"/>
      <c r="T1750" s="192"/>
      <c r="U1750" s="829" t="s">
        <v>3225</v>
      </c>
      <c r="V1750" s="10"/>
      <c r="W1750" s="10"/>
      <c r="X1750" s="902">
        <v>26</v>
      </c>
      <c r="Y1750" s="10"/>
      <c r="Z1750" s="10"/>
      <c r="AA1750" s="11"/>
      <c r="AB1750" s="11"/>
    </row>
    <row r="1751" spans="2:28" x14ac:dyDescent="0.3">
      <c r="B1751" s="10" t="s">
        <v>398</v>
      </c>
      <c r="C1751" s="315" t="s">
        <v>1775</v>
      </c>
      <c r="D1751" s="868" t="s">
        <v>3118</v>
      </c>
      <c r="E1751" s="837" t="str">
        <f>IFERROR(IF(_xlfn.XLOOKUP(Imput[[#This Row],[RFC]],'Alta Proveedor'!D:D,'Alta Proveedor'!E:E)=0,"",_xlfn.XLOOKUP(Imput[[#This Row],[RFC]],'Alta Proveedor'!D:D,'Alta Proveedor'!E:E)),"")</f>
        <v>Nomina-ADMON</v>
      </c>
      <c r="F1751" s="832" t="s">
        <v>4591</v>
      </c>
      <c r="G1751" s="187">
        <v>1</v>
      </c>
      <c r="H1751" s="1">
        <v>4182</v>
      </c>
      <c r="I1751" s="169">
        <f>Imput[[#This Row],[Cantidad]]*Imput[[#This Row],[Precio Unitario]]</f>
        <v>4182</v>
      </c>
      <c r="J1751" s="11">
        <f>((Imput[[#This Row],[Sub total]])*(0))</f>
        <v>0</v>
      </c>
      <c r="K1751" s="11">
        <v>0</v>
      </c>
      <c r="L1751" s="169">
        <f>Imput[[#This Row],[Sub total]]+Imput[[#This Row],[IVA]]-Imput[[#This Row],[Retención / IEPS / Descuento]]</f>
        <v>4182</v>
      </c>
      <c r="M1751" s="844">
        <v>4182</v>
      </c>
      <c r="N1751" s="189"/>
      <c r="O1751" s="1"/>
      <c r="P1751" s="189"/>
      <c r="Q1751" s="190"/>
      <c r="R1751" s="188">
        <v>45991</v>
      </c>
      <c r="S1751" s="193"/>
      <c r="T1751" s="192"/>
      <c r="U1751" s="829" t="s">
        <v>3225</v>
      </c>
      <c r="V1751" s="10"/>
      <c r="W1751" s="10"/>
      <c r="X1751" s="902">
        <v>26</v>
      </c>
      <c r="Y1751" s="10"/>
      <c r="Z1751" s="10"/>
      <c r="AA1751" s="11"/>
      <c r="AB1751" s="11"/>
    </row>
    <row r="1752" spans="2:28" x14ac:dyDescent="0.3">
      <c r="B1752" s="10" t="s">
        <v>398</v>
      </c>
      <c r="C1752" s="315" t="s">
        <v>1743</v>
      </c>
      <c r="D1752" s="868" t="s">
        <v>3118</v>
      </c>
      <c r="E1752" s="837" t="str">
        <f>IFERROR(IF(_xlfn.XLOOKUP(Imput[[#This Row],[RFC]],'Alta Proveedor'!D:D,'Alta Proveedor'!E:E)=0,"",_xlfn.XLOOKUP(Imput[[#This Row],[RFC]],'Alta Proveedor'!D:D,'Alta Proveedor'!E:E)),"")</f>
        <v>Nomina-ADMON</v>
      </c>
      <c r="F1752" s="832" t="s">
        <v>4592</v>
      </c>
      <c r="G1752" s="187">
        <v>1</v>
      </c>
      <c r="H1752" s="1">
        <v>10000</v>
      </c>
      <c r="I1752" s="169">
        <f>Imput[[#This Row],[Cantidad]]*Imput[[#This Row],[Precio Unitario]]</f>
        <v>10000</v>
      </c>
      <c r="J1752" s="11">
        <f>((Imput[[#This Row],[Sub total]])*(0.08))</f>
        <v>800</v>
      </c>
      <c r="K1752" s="11">
        <v>0</v>
      </c>
      <c r="L1752" s="169">
        <f>Imput[[#This Row],[Sub total]]+Imput[[#This Row],[IVA]]-Imput[[#This Row],[Retención / IEPS / Descuento]]</f>
        <v>10800</v>
      </c>
      <c r="M1752" s="844">
        <v>10800</v>
      </c>
      <c r="N1752" s="189"/>
      <c r="O1752" s="1"/>
      <c r="P1752" s="189"/>
      <c r="Q1752" s="190"/>
      <c r="R1752" s="188">
        <v>45991</v>
      </c>
      <c r="S1752" s="193"/>
      <c r="T1752" s="192"/>
      <c r="U1752" s="829" t="s">
        <v>3225</v>
      </c>
      <c r="V1752" s="10"/>
      <c r="W1752" s="10"/>
      <c r="X1752" s="902">
        <v>26</v>
      </c>
      <c r="Y1752" s="10"/>
      <c r="Z1752" s="10"/>
      <c r="AA1752" s="11"/>
      <c r="AB1752" s="11"/>
    </row>
    <row r="1753" spans="2:28" x14ac:dyDescent="0.3">
      <c r="B1753" s="10" t="s">
        <v>398</v>
      </c>
      <c r="C1753" s="315" t="s">
        <v>1773</v>
      </c>
      <c r="D1753" s="868" t="s">
        <v>3118</v>
      </c>
      <c r="E1753" s="837" t="str">
        <f>IFERROR(IF(_xlfn.XLOOKUP(Imput[[#This Row],[RFC]],'Alta Proveedor'!D:D,'Alta Proveedor'!E:E)=0,"",_xlfn.XLOOKUP(Imput[[#This Row],[RFC]],'Alta Proveedor'!D:D,'Alta Proveedor'!E:E)),"")</f>
        <v>Nomina-ADMON</v>
      </c>
      <c r="F1753" s="832" t="s">
        <v>4593</v>
      </c>
      <c r="G1753" s="187">
        <v>1</v>
      </c>
      <c r="H1753" s="1">
        <v>2318</v>
      </c>
      <c r="I1753" s="169">
        <f>Imput[[#This Row],[Cantidad]]*Imput[[#This Row],[Precio Unitario]]</f>
        <v>2318</v>
      </c>
      <c r="J1753" s="11">
        <f>((Imput[[#This Row],[Sub total]])*(0.08))</f>
        <v>185.44</v>
      </c>
      <c r="K1753" s="11">
        <v>0</v>
      </c>
      <c r="L1753" s="169">
        <f>Imput[[#This Row],[Sub total]]+Imput[[#This Row],[IVA]]-Imput[[#This Row],[Retención / IEPS / Descuento]]</f>
        <v>2503.44</v>
      </c>
      <c r="M1753" s="844">
        <v>2503.44</v>
      </c>
      <c r="N1753" s="189"/>
      <c r="O1753" s="1"/>
      <c r="P1753" s="189"/>
      <c r="Q1753" s="190"/>
      <c r="R1753" s="188">
        <v>45991</v>
      </c>
      <c r="S1753" s="193"/>
      <c r="T1753" s="192"/>
      <c r="U1753" s="829" t="s">
        <v>3225</v>
      </c>
      <c r="V1753" s="10"/>
      <c r="W1753" s="10"/>
      <c r="X1753" s="902">
        <v>26</v>
      </c>
      <c r="Y1753" s="10"/>
      <c r="Z1753" s="10"/>
      <c r="AA1753" s="11"/>
      <c r="AB1753" s="11"/>
    </row>
    <row r="1754" spans="2:28" x14ac:dyDescent="0.3">
      <c r="B1754" s="10" t="s">
        <v>398</v>
      </c>
      <c r="C1754" s="315" t="s">
        <v>1784</v>
      </c>
      <c r="D1754" s="868" t="s">
        <v>3118</v>
      </c>
      <c r="E1754" s="837" t="str">
        <f>IFERROR(IF(_xlfn.XLOOKUP(Imput[[#This Row],[RFC]],'Alta Proveedor'!D:D,'Alta Proveedor'!E:E)=0,"",_xlfn.XLOOKUP(Imput[[#This Row],[RFC]],'Alta Proveedor'!D:D,'Alta Proveedor'!E:E)),"")</f>
        <v>Nomina-ADMON</v>
      </c>
      <c r="F1754" s="832" t="s">
        <v>4594</v>
      </c>
      <c r="G1754" s="187">
        <v>1</v>
      </c>
      <c r="H1754" s="1">
        <v>7500</v>
      </c>
      <c r="I1754" s="169">
        <f>Imput[[#This Row],[Cantidad]]*Imput[[#This Row],[Precio Unitario]]</f>
        <v>7500</v>
      </c>
      <c r="J1754" s="11">
        <f>((Imput[[#This Row],[Sub total]])*(0.08))</f>
        <v>600</v>
      </c>
      <c r="K1754" s="11">
        <v>0</v>
      </c>
      <c r="L1754" s="169">
        <f>Imput[[#This Row],[Sub total]]+Imput[[#This Row],[IVA]]-Imput[[#This Row],[Retención / IEPS / Descuento]]</f>
        <v>8100</v>
      </c>
      <c r="M1754" s="844">
        <v>8100</v>
      </c>
      <c r="N1754" s="189"/>
      <c r="O1754" s="1"/>
      <c r="P1754" s="189"/>
      <c r="Q1754" s="190"/>
      <c r="R1754" s="188">
        <v>45991</v>
      </c>
      <c r="S1754" s="193"/>
      <c r="T1754" s="192"/>
      <c r="U1754" s="829" t="s">
        <v>3225</v>
      </c>
      <c r="V1754" s="10"/>
      <c r="W1754" s="10"/>
      <c r="X1754" s="902">
        <v>26</v>
      </c>
      <c r="Y1754" s="10"/>
      <c r="Z1754" s="10"/>
      <c r="AA1754" s="11"/>
      <c r="AB1754" s="11"/>
    </row>
    <row r="1755" spans="2:28" x14ac:dyDescent="0.3">
      <c r="B1755" s="10" t="s">
        <v>398</v>
      </c>
      <c r="C1755" s="315" t="s">
        <v>1756</v>
      </c>
      <c r="D1755" s="868" t="s">
        <v>3118</v>
      </c>
      <c r="E1755" s="837" t="str">
        <f>IFERROR(IF(_xlfn.XLOOKUP(Imput[[#This Row],[RFC]],'Alta Proveedor'!D:D,'Alta Proveedor'!E:E)=0,"",_xlfn.XLOOKUP(Imput[[#This Row],[RFC]],'Alta Proveedor'!D:D,'Alta Proveedor'!E:E)),"")</f>
        <v>Nomina-ADMON</v>
      </c>
      <c r="F1755" s="832" t="s">
        <v>4595</v>
      </c>
      <c r="G1755" s="187">
        <v>1</v>
      </c>
      <c r="H1755" s="1">
        <v>6533</v>
      </c>
      <c r="I1755" s="169">
        <f>Imput[[#This Row],[Cantidad]]*Imput[[#This Row],[Precio Unitario]]</f>
        <v>6533</v>
      </c>
      <c r="J1755" s="11">
        <f>((Imput[[#This Row],[Sub total]])*(0.08))</f>
        <v>522.64</v>
      </c>
      <c r="K1755" s="11">
        <v>0</v>
      </c>
      <c r="L1755" s="169">
        <f>Imput[[#This Row],[Sub total]]+Imput[[#This Row],[IVA]]-Imput[[#This Row],[Retención / IEPS / Descuento]]</f>
        <v>7055.64</v>
      </c>
      <c r="M1755" s="844">
        <v>7055.64</v>
      </c>
      <c r="N1755" s="189"/>
      <c r="O1755" s="1"/>
      <c r="P1755" s="189"/>
      <c r="Q1755" s="190"/>
      <c r="R1755" s="188">
        <v>45991</v>
      </c>
      <c r="S1755" s="193"/>
      <c r="T1755" s="192"/>
      <c r="U1755" s="829" t="s">
        <v>3225</v>
      </c>
      <c r="V1755" s="10"/>
      <c r="W1755" s="10"/>
      <c r="X1755" s="902">
        <v>26</v>
      </c>
      <c r="Y1755" s="10"/>
      <c r="Z1755" s="10"/>
      <c r="AA1755" s="11"/>
      <c r="AB1755" s="11"/>
    </row>
    <row r="1756" spans="2:28" x14ac:dyDescent="0.3">
      <c r="B1756" s="10" t="s">
        <v>398</v>
      </c>
      <c r="C1756" s="315" t="s">
        <v>1774</v>
      </c>
      <c r="D1756" s="868" t="s">
        <v>3118</v>
      </c>
      <c r="E1756" s="837" t="str">
        <f>IFERROR(IF(_xlfn.XLOOKUP(Imput[[#This Row],[RFC]],'Alta Proveedor'!D:D,'Alta Proveedor'!E:E)=0,"",_xlfn.XLOOKUP(Imput[[#This Row],[RFC]],'Alta Proveedor'!D:D,'Alta Proveedor'!E:E)),"")</f>
        <v>Nomina-ADMON</v>
      </c>
      <c r="F1756" s="832" t="s">
        <v>4596</v>
      </c>
      <c r="G1756" s="187">
        <v>1</v>
      </c>
      <c r="H1756" s="1">
        <v>11313.6</v>
      </c>
      <c r="I1756" s="169">
        <f>Imput[[#This Row],[Cantidad]]*Imput[[#This Row],[Precio Unitario]]</f>
        <v>11313.6</v>
      </c>
      <c r="J1756" s="11">
        <f>((Imput[[#This Row],[Sub total]])*(0.08))</f>
        <v>905.08800000000008</v>
      </c>
      <c r="K1756" s="11">
        <v>0</v>
      </c>
      <c r="L1756" s="169">
        <f>Imput[[#This Row],[Sub total]]+Imput[[#This Row],[IVA]]-Imput[[#This Row],[Retención / IEPS / Descuento]]</f>
        <v>12218.688</v>
      </c>
      <c r="M1756" s="844">
        <v>12218.688</v>
      </c>
      <c r="N1756" s="189"/>
      <c r="O1756" s="1"/>
      <c r="P1756" s="189"/>
      <c r="Q1756" s="190"/>
      <c r="R1756" s="188">
        <v>45991</v>
      </c>
      <c r="S1756" s="193"/>
      <c r="T1756" s="192"/>
      <c r="U1756" s="829" t="s">
        <v>3225</v>
      </c>
      <c r="V1756" s="10"/>
      <c r="W1756" s="10"/>
      <c r="X1756" s="902">
        <v>26</v>
      </c>
      <c r="Y1756" s="10"/>
      <c r="Z1756" s="10"/>
      <c r="AA1756" s="11"/>
      <c r="AB1756" s="11"/>
    </row>
    <row r="1757" spans="2:28" x14ac:dyDescent="0.3">
      <c r="B1757" s="10" t="s">
        <v>398</v>
      </c>
      <c r="C1757" s="315" t="s">
        <v>1754</v>
      </c>
      <c r="D1757" s="868" t="s">
        <v>3118</v>
      </c>
      <c r="E1757" s="837" t="str">
        <f>IFERROR(IF(_xlfn.XLOOKUP(Imput[[#This Row],[RFC]],'Alta Proveedor'!D:D,'Alta Proveedor'!E:E)=0,"",_xlfn.XLOOKUP(Imput[[#This Row],[RFC]],'Alta Proveedor'!D:D,'Alta Proveedor'!E:E)),"")</f>
        <v>Nomina-ADMON</v>
      </c>
      <c r="F1757" s="832" t="s">
        <v>4597</v>
      </c>
      <c r="G1757" s="187">
        <v>1</v>
      </c>
      <c r="H1757" s="1">
        <v>9818</v>
      </c>
      <c r="I1757" s="169">
        <f>Imput[[#This Row],[Cantidad]]*Imput[[#This Row],[Precio Unitario]]</f>
        <v>9818</v>
      </c>
      <c r="J1757" s="11">
        <f>((Imput[[#This Row],[Sub total]])*(0.08))</f>
        <v>785.44</v>
      </c>
      <c r="K1757" s="11">
        <v>0</v>
      </c>
      <c r="L1757" s="169">
        <f>Imput[[#This Row],[Sub total]]+Imput[[#This Row],[IVA]]-Imput[[#This Row],[Retención / IEPS / Descuento]]</f>
        <v>10603.44</v>
      </c>
      <c r="M1757" s="844">
        <v>10603.44</v>
      </c>
      <c r="N1757" s="189"/>
      <c r="O1757" s="1"/>
      <c r="P1757" s="189"/>
      <c r="Q1757" s="190"/>
      <c r="R1757" s="188">
        <v>45991</v>
      </c>
      <c r="S1757" s="193"/>
      <c r="T1757" s="192"/>
      <c r="U1757" s="829" t="s">
        <v>3225</v>
      </c>
      <c r="V1757" s="10"/>
      <c r="W1757" s="10"/>
      <c r="X1757" s="902">
        <v>26</v>
      </c>
      <c r="Y1757" s="10"/>
      <c r="Z1757" s="10"/>
      <c r="AA1757" s="11"/>
      <c r="AB1757" s="11"/>
    </row>
    <row r="1758" spans="2:28" x14ac:dyDescent="0.3">
      <c r="B1758" s="10" t="s">
        <v>398</v>
      </c>
      <c r="C1758" s="315" t="s">
        <v>1775</v>
      </c>
      <c r="D1758" s="868" t="s">
        <v>3118</v>
      </c>
      <c r="E1758" s="837" t="str">
        <f>IFERROR(IF(_xlfn.XLOOKUP(Imput[[#This Row],[RFC]],'Alta Proveedor'!D:D,'Alta Proveedor'!E:E)=0,"",_xlfn.XLOOKUP(Imput[[#This Row],[RFC]],'Alta Proveedor'!D:D,'Alta Proveedor'!E:E)),"")</f>
        <v>Nomina-ADMON</v>
      </c>
      <c r="F1758" s="832" t="s">
        <v>4598</v>
      </c>
      <c r="G1758" s="187">
        <v>1</v>
      </c>
      <c r="H1758" s="1">
        <v>6818</v>
      </c>
      <c r="I1758" s="169">
        <f>Imput[[#This Row],[Cantidad]]*Imput[[#This Row],[Precio Unitario]]</f>
        <v>6818</v>
      </c>
      <c r="J1758" s="11">
        <f>((Imput[[#This Row],[Sub total]])*(0.08))</f>
        <v>545.44000000000005</v>
      </c>
      <c r="K1758" s="11">
        <v>0</v>
      </c>
      <c r="L1758" s="169">
        <f>Imput[[#This Row],[Sub total]]+Imput[[#This Row],[IVA]]-Imput[[#This Row],[Retención / IEPS / Descuento]]</f>
        <v>7363.4400000000005</v>
      </c>
      <c r="M1758" s="844">
        <v>7363.4400000000005</v>
      </c>
      <c r="N1758" s="189"/>
      <c r="O1758" s="1"/>
      <c r="P1758" s="189"/>
      <c r="Q1758" s="190"/>
      <c r="R1758" s="188">
        <v>45991</v>
      </c>
      <c r="S1758" s="193"/>
      <c r="T1758" s="192"/>
      <c r="U1758" s="829" t="s">
        <v>3225</v>
      </c>
      <c r="V1758" s="10"/>
      <c r="W1758" s="10"/>
      <c r="X1758" s="902">
        <v>26</v>
      </c>
      <c r="Y1758" s="10"/>
      <c r="Z1758" s="10"/>
      <c r="AA1758" s="11"/>
      <c r="AB1758" s="11"/>
    </row>
    <row r="1759" spans="2:28" x14ac:dyDescent="0.3">
      <c r="B1759" s="10" t="s">
        <v>400</v>
      </c>
      <c r="C1759" s="315" t="s">
        <v>1743</v>
      </c>
      <c r="D1759" s="868" t="s">
        <v>3118</v>
      </c>
      <c r="E1759" s="837" t="str">
        <f>IFERROR(IF(_xlfn.XLOOKUP(Imput[[#This Row],[RFC]],'Alta Proveedor'!D:D,'Alta Proveedor'!E:E)=0,"",_xlfn.XLOOKUP(Imput[[#This Row],[RFC]],'Alta Proveedor'!D:D,'Alta Proveedor'!E:E)),"")</f>
        <v>Nomina-ADMON</v>
      </c>
      <c r="F1759" s="832" t="s">
        <v>4599</v>
      </c>
      <c r="G1759" s="187">
        <v>1</v>
      </c>
      <c r="H1759" s="1">
        <v>0</v>
      </c>
      <c r="I1759" s="169">
        <f>Imput[[#This Row],[Cantidad]]*Imput[[#This Row],[Precio Unitario]]</f>
        <v>0</v>
      </c>
      <c r="J1759" s="11">
        <f>((Imput[[#This Row],[Sub total]])*(0))</f>
        <v>0</v>
      </c>
      <c r="K1759" s="11">
        <v>0</v>
      </c>
      <c r="L1759" s="169">
        <f>Imput[[#This Row],[Sub total]]+Imput[[#This Row],[IVA]]-Imput[[#This Row],[Retención / IEPS / Descuento]]</f>
        <v>0</v>
      </c>
      <c r="M1759" s="844">
        <v>0</v>
      </c>
      <c r="N1759" s="189"/>
      <c r="O1759" s="1"/>
      <c r="P1759" s="189"/>
      <c r="Q1759" s="190"/>
      <c r="R1759" s="188">
        <v>46006</v>
      </c>
      <c r="S1759" s="193"/>
      <c r="T1759" s="192"/>
      <c r="U1759" s="829" t="s">
        <v>3225</v>
      </c>
      <c r="V1759" s="10"/>
      <c r="W1759" s="10"/>
      <c r="X1759" s="902"/>
      <c r="Y1759" s="10"/>
      <c r="Z1759" s="10"/>
      <c r="AA1759" s="11"/>
      <c r="AB1759" s="11"/>
    </row>
    <row r="1760" spans="2:28" x14ac:dyDescent="0.3">
      <c r="B1760" s="10" t="s">
        <v>400</v>
      </c>
      <c r="C1760" s="315" t="s">
        <v>1773</v>
      </c>
      <c r="D1760" s="868" t="s">
        <v>3118</v>
      </c>
      <c r="E1760" s="837" t="str">
        <f>IFERROR(IF(_xlfn.XLOOKUP(Imput[[#This Row],[RFC]],'Alta Proveedor'!D:D,'Alta Proveedor'!E:E)=0,"",_xlfn.XLOOKUP(Imput[[#This Row],[RFC]],'Alta Proveedor'!D:D,'Alta Proveedor'!E:E)),"")</f>
        <v>Nomina-ADMON</v>
      </c>
      <c r="F1760" s="832" t="s">
        <v>4600</v>
      </c>
      <c r="G1760" s="187">
        <v>1</v>
      </c>
      <c r="H1760" s="1">
        <v>4182</v>
      </c>
      <c r="I1760" s="169">
        <f>Imput[[#This Row],[Cantidad]]*Imput[[#This Row],[Precio Unitario]]</f>
        <v>4182</v>
      </c>
      <c r="J1760" s="11">
        <f>((Imput[[#This Row],[Sub total]])*(0))</f>
        <v>0</v>
      </c>
      <c r="K1760" s="11">
        <v>0</v>
      </c>
      <c r="L1760" s="169">
        <f>Imput[[#This Row],[Sub total]]+Imput[[#This Row],[IVA]]-Imput[[#This Row],[Retención / IEPS / Descuento]]</f>
        <v>4182</v>
      </c>
      <c r="M1760" s="844">
        <v>4182</v>
      </c>
      <c r="N1760" s="189"/>
      <c r="O1760" s="1"/>
      <c r="P1760" s="189"/>
      <c r="Q1760" s="190"/>
      <c r="R1760" s="188">
        <v>46006</v>
      </c>
      <c r="S1760" s="193"/>
      <c r="T1760" s="192"/>
      <c r="U1760" s="829" t="s">
        <v>3225</v>
      </c>
      <c r="V1760" s="10"/>
      <c r="W1760" s="10"/>
      <c r="X1760" s="902"/>
      <c r="Y1760" s="10"/>
      <c r="Z1760" s="10"/>
      <c r="AA1760" s="11"/>
      <c r="AB1760" s="11"/>
    </row>
    <row r="1761" spans="2:28" x14ac:dyDescent="0.3">
      <c r="B1761" s="10" t="s">
        <v>400</v>
      </c>
      <c r="C1761" s="315" t="s">
        <v>1784</v>
      </c>
      <c r="D1761" s="868" t="s">
        <v>3118</v>
      </c>
      <c r="E1761" s="837" t="str">
        <f>IFERROR(IF(_xlfn.XLOOKUP(Imput[[#This Row],[RFC]],'Alta Proveedor'!D:D,'Alta Proveedor'!E:E)=0,"",_xlfn.XLOOKUP(Imput[[#This Row],[RFC]],'Alta Proveedor'!D:D,'Alta Proveedor'!E:E)),"")</f>
        <v>Nomina-ADMON</v>
      </c>
      <c r="F1761" s="832" t="s">
        <v>4601</v>
      </c>
      <c r="G1761" s="187">
        <v>1</v>
      </c>
      <c r="H1761" s="1">
        <v>0</v>
      </c>
      <c r="I1761" s="169">
        <f>Imput[[#This Row],[Cantidad]]*Imput[[#This Row],[Precio Unitario]]</f>
        <v>0</v>
      </c>
      <c r="J1761" s="11">
        <f>((Imput[[#This Row],[Sub total]])*(0))</f>
        <v>0</v>
      </c>
      <c r="K1761" s="11">
        <v>0</v>
      </c>
      <c r="L1761" s="169">
        <f>Imput[[#This Row],[Sub total]]+Imput[[#This Row],[IVA]]-Imput[[#This Row],[Retención / IEPS / Descuento]]</f>
        <v>0</v>
      </c>
      <c r="M1761" s="844">
        <v>0</v>
      </c>
      <c r="N1761" s="189"/>
      <c r="O1761" s="1"/>
      <c r="P1761" s="189"/>
      <c r="Q1761" s="190"/>
      <c r="R1761" s="188">
        <v>46006</v>
      </c>
      <c r="S1761" s="193"/>
      <c r="T1761" s="192"/>
      <c r="U1761" s="829" t="s">
        <v>3225</v>
      </c>
      <c r="V1761" s="10"/>
      <c r="W1761" s="10"/>
      <c r="X1761" s="902"/>
      <c r="Y1761" s="10"/>
      <c r="Z1761" s="10"/>
      <c r="AA1761" s="11"/>
      <c r="AB1761" s="11"/>
    </row>
    <row r="1762" spans="2:28" x14ac:dyDescent="0.3">
      <c r="B1762" s="10" t="s">
        <v>400</v>
      </c>
      <c r="C1762" s="315" t="s">
        <v>1756</v>
      </c>
      <c r="D1762" s="868" t="s">
        <v>3118</v>
      </c>
      <c r="E1762" s="837" t="str">
        <f>IFERROR(IF(_xlfn.XLOOKUP(Imput[[#This Row],[RFC]],'Alta Proveedor'!D:D,'Alta Proveedor'!E:E)=0,"",_xlfn.XLOOKUP(Imput[[#This Row],[RFC]],'Alta Proveedor'!D:D,'Alta Proveedor'!E:E)),"")</f>
        <v>Nomina-ADMON</v>
      </c>
      <c r="F1762" s="832" t="s">
        <v>4602</v>
      </c>
      <c r="G1762" s="187">
        <v>1</v>
      </c>
      <c r="H1762" s="1">
        <v>4182</v>
      </c>
      <c r="I1762" s="169">
        <f>Imput[[#This Row],[Cantidad]]*Imput[[#This Row],[Precio Unitario]]</f>
        <v>4182</v>
      </c>
      <c r="J1762" s="11">
        <f>((Imput[[#This Row],[Sub total]])*(0))</f>
        <v>0</v>
      </c>
      <c r="K1762" s="11">
        <v>0</v>
      </c>
      <c r="L1762" s="169">
        <f>Imput[[#This Row],[Sub total]]+Imput[[#This Row],[IVA]]-Imput[[#This Row],[Retención / IEPS / Descuento]]</f>
        <v>4182</v>
      </c>
      <c r="M1762" s="844">
        <v>4182</v>
      </c>
      <c r="N1762" s="189"/>
      <c r="O1762" s="1"/>
      <c r="P1762" s="189"/>
      <c r="Q1762" s="190"/>
      <c r="R1762" s="188">
        <v>46006</v>
      </c>
      <c r="S1762" s="193"/>
      <c r="T1762" s="192"/>
      <c r="U1762" s="829" t="s">
        <v>3225</v>
      </c>
      <c r="V1762" s="10"/>
      <c r="W1762" s="10"/>
      <c r="X1762" s="902"/>
      <c r="Y1762" s="10"/>
      <c r="Z1762" s="10"/>
      <c r="AA1762" s="11"/>
      <c r="AB1762" s="11"/>
    </row>
    <row r="1763" spans="2:28" x14ac:dyDescent="0.3">
      <c r="B1763" s="10" t="s">
        <v>400</v>
      </c>
      <c r="C1763" s="315" t="s">
        <v>1774</v>
      </c>
      <c r="D1763" s="868" t="s">
        <v>3118</v>
      </c>
      <c r="E1763" s="837" t="str">
        <f>IFERROR(IF(_xlfn.XLOOKUP(Imput[[#This Row],[RFC]],'Alta Proveedor'!D:D,'Alta Proveedor'!E:E)=0,"",_xlfn.XLOOKUP(Imput[[#This Row],[RFC]],'Alta Proveedor'!D:D,'Alta Proveedor'!E:E)),"")</f>
        <v>Nomina-ADMON</v>
      </c>
      <c r="F1763" s="832" t="s">
        <v>4603</v>
      </c>
      <c r="G1763" s="187">
        <v>1</v>
      </c>
      <c r="H1763" s="1">
        <v>4182</v>
      </c>
      <c r="I1763" s="169">
        <f>Imput[[#This Row],[Cantidad]]*Imput[[#This Row],[Precio Unitario]]</f>
        <v>4182</v>
      </c>
      <c r="J1763" s="11">
        <f>((Imput[[#This Row],[Sub total]])*(0))</f>
        <v>0</v>
      </c>
      <c r="K1763" s="11">
        <v>0</v>
      </c>
      <c r="L1763" s="169">
        <f>Imput[[#This Row],[Sub total]]+Imput[[#This Row],[IVA]]-Imput[[#This Row],[Retención / IEPS / Descuento]]</f>
        <v>4182</v>
      </c>
      <c r="M1763" s="844">
        <v>4182</v>
      </c>
      <c r="N1763" s="189"/>
      <c r="O1763" s="1"/>
      <c r="P1763" s="189"/>
      <c r="Q1763" s="190"/>
      <c r="R1763" s="188">
        <v>46006</v>
      </c>
      <c r="S1763" s="193"/>
      <c r="T1763" s="192"/>
      <c r="U1763" s="829" t="s">
        <v>3225</v>
      </c>
      <c r="V1763" s="10"/>
      <c r="W1763" s="10"/>
      <c r="X1763" s="902"/>
      <c r="Y1763" s="10"/>
      <c r="Z1763" s="10"/>
      <c r="AA1763" s="11"/>
      <c r="AB1763" s="11"/>
    </row>
    <row r="1764" spans="2:28" x14ac:dyDescent="0.3">
      <c r="B1764" s="10" t="s">
        <v>400</v>
      </c>
      <c r="C1764" s="315" t="s">
        <v>1754</v>
      </c>
      <c r="D1764" s="868" t="s">
        <v>3118</v>
      </c>
      <c r="E1764" s="837" t="str">
        <f>IFERROR(IF(_xlfn.XLOOKUP(Imput[[#This Row],[RFC]],'Alta Proveedor'!D:D,'Alta Proveedor'!E:E)=0,"",_xlfn.XLOOKUP(Imput[[#This Row],[RFC]],'Alta Proveedor'!D:D,'Alta Proveedor'!E:E)),"")</f>
        <v>Nomina-ADMON</v>
      </c>
      <c r="F1764" s="832" t="s">
        <v>4604</v>
      </c>
      <c r="G1764" s="187">
        <v>1</v>
      </c>
      <c r="H1764" s="1">
        <v>4182</v>
      </c>
      <c r="I1764" s="169">
        <f>Imput[[#This Row],[Cantidad]]*Imput[[#This Row],[Precio Unitario]]</f>
        <v>4182</v>
      </c>
      <c r="J1764" s="11">
        <f>((Imput[[#This Row],[Sub total]])*(0))</f>
        <v>0</v>
      </c>
      <c r="K1764" s="11">
        <v>0</v>
      </c>
      <c r="L1764" s="169">
        <f>Imput[[#This Row],[Sub total]]+Imput[[#This Row],[IVA]]-Imput[[#This Row],[Retención / IEPS / Descuento]]</f>
        <v>4182</v>
      </c>
      <c r="M1764" s="844">
        <v>4182</v>
      </c>
      <c r="N1764" s="189"/>
      <c r="O1764" s="1"/>
      <c r="P1764" s="189"/>
      <c r="Q1764" s="190"/>
      <c r="R1764" s="188">
        <v>46006</v>
      </c>
      <c r="S1764" s="193"/>
      <c r="T1764" s="192"/>
      <c r="U1764" s="829" t="s">
        <v>3225</v>
      </c>
      <c r="V1764" s="10"/>
      <c r="W1764" s="10"/>
      <c r="X1764" s="902"/>
      <c r="Y1764" s="10"/>
      <c r="Z1764" s="10"/>
      <c r="AA1764" s="11"/>
      <c r="AB1764" s="11"/>
    </row>
    <row r="1765" spans="2:28" x14ac:dyDescent="0.3">
      <c r="B1765" s="10" t="s">
        <v>400</v>
      </c>
      <c r="C1765" s="315" t="s">
        <v>1775</v>
      </c>
      <c r="D1765" s="868" t="s">
        <v>3118</v>
      </c>
      <c r="E1765" s="837" t="str">
        <f>IFERROR(IF(_xlfn.XLOOKUP(Imput[[#This Row],[RFC]],'Alta Proveedor'!D:D,'Alta Proveedor'!E:E)=0,"",_xlfn.XLOOKUP(Imput[[#This Row],[RFC]],'Alta Proveedor'!D:D,'Alta Proveedor'!E:E)),"")</f>
        <v>Nomina-ADMON</v>
      </c>
      <c r="F1765" s="832" t="s">
        <v>4605</v>
      </c>
      <c r="G1765" s="187">
        <v>1</v>
      </c>
      <c r="H1765" s="1">
        <v>4182</v>
      </c>
      <c r="I1765" s="169">
        <f>Imput[[#This Row],[Cantidad]]*Imput[[#This Row],[Precio Unitario]]</f>
        <v>4182</v>
      </c>
      <c r="J1765" s="11">
        <f>((Imput[[#This Row],[Sub total]])*(0))</f>
        <v>0</v>
      </c>
      <c r="K1765" s="11">
        <v>0</v>
      </c>
      <c r="L1765" s="169">
        <f>Imput[[#This Row],[Sub total]]+Imput[[#This Row],[IVA]]-Imput[[#This Row],[Retención / IEPS / Descuento]]</f>
        <v>4182</v>
      </c>
      <c r="M1765" s="844">
        <v>4182</v>
      </c>
      <c r="N1765" s="189"/>
      <c r="O1765" s="1"/>
      <c r="P1765" s="189"/>
      <c r="Q1765" s="190"/>
      <c r="R1765" s="188">
        <v>46006</v>
      </c>
      <c r="S1765" s="193"/>
      <c r="T1765" s="192"/>
      <c r="U1765" s="829" t="s">
        <v>3225</v>
      </c>
      <c r="V1765" s="10"/>
      <c r="W1765" s="10"/>
      <c r="X1765" s="902"/>
      <c r="Y1765" s="10"/>
      <c r="Z1765" s="10"/>
      <c r="AA1765" s="11"/>
      <c r="AB1765" s="11"/>
    </row>
    <row r="1766" spans="2:28" x14ac:dyDescent="0.3">
      <c r="B1766" s="10" t="s">
        <v>400</v>
      </c>
      <c r="C1766" s="315" t="s">
        <v>1743</v>
      </c>
      <c r="D1766" s="868" t="s">
        <v>3118</v>
      </c>
      <c r="E1766" s="837" t="str">
        <f>IFERROR(IF(_xlfn.XLOOKUP(Imput[[#This Row],[RFC]],'Alta Proveedor'!D:D,'Alta Proveedor'!E:E)=0,"",_xlfn.XLOOKUP(Imput[[#This Row],[RFC]],'Alta Proveedor'!D:D,'Alta Proveedor'!E:E)),"")</f>
        <v>Nomina-ADMON</v>
      </c>
      <c r="F1766" s="832" t="s">
        <v>4606</v>
      </c>
      <c r="G1766" s="187">
        <v>1</v>
      </c>
      <c r="H1766" s="1">
        <v>10000</v>
      </c>
      <c r="I1766" s="169">
        <f>Imput[[#This Row],[Cantidad]]*Imput[[#This Row],[Precio Unitario]]</f>
        <v>10000</v>
      </c>
      <c r="J1766" s="11">
        <f>((Imput[[#This Row],[Sub total]])*(0.08))</f>
        <v>800</v>
      </c>
      <c r="K1766" s="11">
        <v>0</v>
      </c>
      <c r="L1766" s="169">
        <f>Imput[[#This Row],[Sub total]]+Imput[[#This Row],[IVA]]-Imput[[#This Row],[Retención / IEPS / Descuento]]</f>
        <v>10800</v>
      </c>
      <c r="M1766" s="844">
        <v>10800</v>
      </c>
      <c r="N1766" s="189"/>
      <c r="O1766" s="1"/>
      <c r="P1766" s="189"/>
      <c r="Q1766" s="190"/>
      <c r="R1766" s="188">
        <v>46006</v>
      </c>
      <c r="S1766" s="193"/>
      <c r="T1766" s="192"/>
      <c r="U1766" s="829" t="s">
        <v>3225</v>
      </c>
      <c r="V1766" s="10"/>
      <c r="W1766" s="10"/>
      <c r="X1766" s="902"/>
      <c r="Y1766" s="10"/>
      <c r="Z1766" s="10"/>
      <c r="AA1766" s="11"/>
      <c r="AB1766" s="11"/>
    </row>
    <row r="1767" spans="2:28" x14ac:dyDescent="0.3">
      <c r="B1767" s="10" t="s">
        <v>400</v>
      </c>
      <c r="C1767" s="315" t="s">
        <v>1773</v>
      </c>
      <c r="D1767" s="868" t="s">
        <v>3118</v>
      </c>
      <c r="E1767" s="837" t="str">
        <f>IFERROR(IF(_xlfn.XLOOKUP(Imput[[#This Row],[RFC]],'Alta Proveedor'!D:D,'Alta Proveedor'!E:E)=0,"",_xlfn.XLOOKUP(Imput[[#This Row],[RFC]],'Alta Proveedor'!D:D,'Alta Proveedor'!E:E)),"")</f>
        <v>Nomina-ADMON</v>
      </c>
      <c r="F1767" s="832" t="s">
        <v>4607</v>
      </c>
      <c r="G1767" s="187">
        <v>1</v>
      </c>
      <c r="H1767" s="1">
        <v>2318</v>
      </c>
      <c r="I1767" s="169">
        <f>Imput[[#This Row],[Cantidad]]*Imput[[#This Row],[Precio Unitario]]</f>
        <v>2318</v>
      </c>
      <c r="J1767" s="11">
        <f>((Imput[[#This Row],[Sub total]])*(0.08))</f>
        <v>185.44</v>
      </c>
      <c r="K1767" s="11">
        <v>0</v>
      </c>
      <c r="L1767" s="169">
        <f>Imput[[#This Row],[Sub total]]+Imput[[#This Row],[IVA]]-Imput[[#This Row],[Retención / IEPS / Descuento]]</f>
        <v>2503.44</v>
      </c>
      <c r="M1767" s="844">
        <v>2503.44</v>
      </c>
      <c r="N1767" s="189"/>
      <c r="O1767" s="1"/>
      <c r="P1767" s="189"/>
      <c r="Q1767" s="190"/>
      <c r="R1767" s="188">
        <v>46006</v>
      </c>
      <c r="S1767" s="193"/>
      <c r="T1767" s="192"/>
      <c r="U1767" s="829" t="s">
        <v>3225</v>
      </c>
      <c r="V1767" s="10"/>
      <c r="W1767" s="10"/>
      <c r="X1767" s="902"/>
      <c r="Y1767" s="10"/>
      <c r="Z1767" s="10"/>
      <c r="AA1767" s="11"/>
      <c r="AB1767" s="11"/>
    </row>
    <row r="1768" spans="2:28" x14ac:dyDescent="0.3">
      <c r="B1768" s="10" t="s">
        <v>400</v>
      </c>
      <c r="C1768" s="315" t="s">
        <v>1784</v>
      </c>
      <c r="D1768" s="868" t="s">
        <v>3118</v>
      </c>
      <c r="E1768" s="837" t="str">
        <f>IFERROR(IF(_xlfn.XLOOKUP(Imput[[#This Row],[RFC]],'Alta Proveedor'!D:D,'Alta Proveedor'!E:E)=0,"",_xlfn.XLOOKUP(Imput[[#This Row],[RFC]],'Alta Proveedor'!D:D,'Alta Proveedor'!E:E)),"")</f>
        <v>Nomina-ADMON</v>
      </c>
      <c r="F1768" s="832" t="s">
        <v>4608</v>
      </c>
      <c r="G1768" s="187">
        <v>1</v>
      </c>
      <c r="H1768" s="1">
        <v>7500</v>
      </c>
      <c r="I1768" s="169">
        <f>Imput[[#This Row],[Cantidad]]*Imput[[#This Row],[Precio Unitario]]</f>
        <v>7500</v>
      </c>
      <c r="J1768" s="11">
        <f>((Imput[[#This Row],[Sub total]])*(0.08))</f>
        <v>600</v>
      </c>
      <c r="K1768" s="11">
        <v>0</v>
      </c>
      <c r="L1768" s="169">
        <f>Imput[[#This Row],[Sub total]]+Imput[[#This Row],[IVA]]-Imput[[#This Row],[Retención / IEPS / Descuento]]</f>
        <v>8100</v>
      </c>
      <c r="M1768" s="844">
        <v>8100</v>
      </c>
      <c r="N1768" s="189"/>
      <c r="O1768" s="1"/>
      <c r="P1768" s="189"/>
      <c r="Q1768" s="190"/>
      <c r="R1768" s="188">
        <v>46006</v>
      </c>
      <c r="S1768" s="193"/>
      <c r="T1768" s="192"/>
      <c r="U1768" s="829" t="s">
        <v>3225</v>
      </c>
      <c r="V1768" s="10"/>
      <c r="W1768" s="10"/>
      <c r="X1768" s="902"/>
      <c r="Y1768" s="10"/>
      <c r="Z1768" s="10"/>
      <c r="AA1768" s="11"/>
      <c r="AB1768" s="11"/>
    </row>
    <row r="1769" spans="2:28" x14ac:dyDescent="0.3">
      <c r="B1769" s="10" t="s">
        <v>400</v>
      </c>
      <c r="C1769" s="315" t="s">
        <v>1756</v>
      </c>
      <c r="D1769" s="868" t="s">
        <v>3118</v>
      </c>
      <c r="E1769" s="837" t="str">
        <f>IFERROR(IF(_xlfn.XLOOKUP(Imput[[#This Row],[RFC]],'Alta Proveedor'!D:D,'Alta Proveedor'!E:E)=0,"",_xlfn.XLOOKUP(Imput[[#This Row],[RFC]],'Alta Proveedor'!D:D,'Alta Proveedor'!E:E)),"")</f>
        <v>Nomina-ADMON</v>
      </c>
      <c r="F1769" s="832" t="s">
        <v>4609</v>
      </c>
      <c r="G1769" s="187">
        <v>1</v>
      </c>
      <c r="H1769" s="1">
        <v>6533</v>
      </c>
      <c r="I1769" s="169">
        <f>Imput[[#This Row],[Cantidad]]*Imput[[#This Row],[Precio Unitario]]</f>
        <v>6533</v>
      </c>
      <c r="J1769" s="11">
        <f>((Imput[[#This Row],[Sub total]])*(0.08))</f>
        <v>522.64</v>
      </c>
      <c r="K1769" s="11">
        <v>0</v>
      </c>
      <c r="L1769" s="169">
        <f>Imput[[#This Row],[Sub total]]+Imput[[#This Row],[IVA]]-Imput[[#This Row],[Retención / IEPS / Descuento]]</f>
        <v>7055.64</v>
      </c>
      <c r="M1769" s="844">
        <v>7055.64</v>
      </c>
      <c r="N1769" s="189"/>
      <c r="O1769" s="1"/>
      <c r="P1769" s="189"/>
      <c r="Q1769" s="190"/>
      <c r="R1769" s="188">
        <v>46006</v>
      </c>
      <c r="S1769" s="193"/>
      <c r="T1769" s="192"/>
      <c r="U1769" s="829" t="s">
        <v>3225</v>
      </c>
      <c r="V1769" s="10"/>
      <c r="W1769" s="10"/>
      <c r="X1769" s="902"/>
      <c r="Y1769" s="10"/>
      <c r="Z1769" s="10"/>
      <c r="AA1769" s="11"/>
      <c r="AB1769" s="11"/>
    </row>
    <row r="1770" spans="2:28" x14ac:dyDescent="0.3">
      <c r="B1770" s="10" t="s">
        <v>400</v>
      </c>
      <c r="C1770" s="315" t="s">
        <v>1774</v>
      </c>
      <c r="D1770" s="868" t="s">
        <v>3118</v>
      </c>
      <c r="E1770" s="837" t="str">
        <f>IFERROR(IF(_xlfn.XLOOKUP(Imput[[#This Row],[RFC]],'Alta Proveedor'!D:D,'Alta Proveedor'!E:E)=0,"",_xlfn.XLOOKUP(Imput[[#This Row],[RFC]],'Alta Proveedor'!D:D,'Alta Proveedor'!E:E)),"")</f>
        <v>Nomina-ADMON</v>
      </c>
      <c r="F1770" s="832" t="s">
        <v>4610</v>
      </c>
      <c r="G1770" s="187">
        <v>1</v>
      </c>
      <c r="H1770" s="1">
        <v>11313.6</v>
      </c>
      <c r="I1770" s="169">
        <f>Imput[[#This Row],[Cantidad]]*Imput[[#This Row],[Precio Unitario]]</f>
        <v>11313.6</v>
      </c>
      <c r="J1770" s="11">
        <f>((Imput[[#This Row],[Sub total]])*(0.08))</f>
        <v>905.08800000000008</v>
      </c>
      <c r="K1770" s="11">
        <v>0</v>
      </c>
      <c r="L1770" s="169">
        <f>Imput[[#This Row],[Sub total]]+Imput[[#This Row],[IVA]]-Imput[[#This Row],[Retención / IEPS / Descuento]]</f>
        <v>12218.688</v>
      </c>
      <c r="M1770" s="844">
        <v>12218.688</v>
      </c>
      <c r="N1770" s="189"/>
      <c r="O1770" s="1"/>
      <c r="P1770" s="189"/>
      <c r="Q1770" s="190"/>
      <c r="R1770" s="188">
        <v>46006</v>
      </c>
      <c r="S1770" s="193"/>
      <c r="T1770" s="192"/>
      <c r="U1770" s="829" t="s">
        <v>3225</v>
      </c>
      <c r="V1770" s="10"/>
      <c r="W1770" s="10"/>
      <c r="X1770" s="902"/>
      <c r="Y1770" s="10"/>
      <c r="Z1770" s="10"/>
      <c r="AA1770" s="11"/>
      <c r="AB1770" s="11"/>
    </row>
    <row r="1771" spans="2:28" x14ac:dyDescent="0.3">
      <c r="B1771" s="10" t="s">
        <v>400</v>
      </c>
      <c r="C1771" s="315" t="s">
        <v>1754</v>
      </c>
      <c r="D1771" s="868" t="s">
        <v>3118</v>
      </c>
      <c r="E1771" s="837" t="str">
        <f>IFERROR(IF(_xlfn.XLOOKUP(Imput[[#This Row],[RFC]],'Alta Proveedor'!D:D,'Alta Proveedor'!E:E)=0,"",_xlfn.XLOOKUP(Imput[[#This Row],[RFC]],'Alta Proveedor'!D:D,'Alta Proveedor'!E:E)),"")</f>
        <v>Nomina-ADMON</v>
      </c>
      <c r="F1771" s="832" t="s">
        <v>4611</v>
      </c>
      <c r="G1771" s="187">
        <v>1</v>
      </c>
      <c r="H1771" s="1">
        <v>9818</v>
      </c>
      <c r="I1771" s="169">
        <f>Imput[[#This Row],[Cantidad]]*Imput[[#This Row],[Precio Unitario]]</f>
        <v>9818</v>
      </c>
      <c r="J1771" s="11">
        <f>((Imput[[#This Row],[Sub total]])*(0.08))</f>
        <v>785.44</v>
      </c>
      <c r="K1771" s="11">
        <v>0</v>
      </c>
      <c r="L1771" s="169">
        <f>Imput[[#This Row],[Sub total]]+Imput[[#This Row],[IVA]]-Imput[[#This Row],[Retención / IEPS / Descuento]]</f>
        <v>10603.44</v>
      </c>
      <c r="M1771" s="844">
        <v>10603.44</v>
      </c>
      <c r="N1771" s="189"/>
      <c r="O1771" s="1"/>
      <c r="P1771" s="189"/>
      <c r="Q1771" s="190"/>
      <c r="R1771" s="188">
        <v>46006</v>
      </c>
      <c r="S1771" s="193"/>
      <c r="T1771" s="192"/>
      <c r="U1771" s="829" t="s">
        <v>3225</v>
      </c>
      <c r="V1771" s="10"/>
      <c r="W1771" s="10"/>
      <c r="X1771" s="902"/>
      <c r="Y1771" s="10"/>
      <c r="Z1771" s="10"/>
      <c r="AA1771" s="11"/>
      <c r="AB1771" s="11"/>
    </row>
    <row r="1772" spans="2:28" x14ac:dyDescent="0.3">
      <c r="B1772" s="10" t="s">
        <v>400</v>
      </c>
      <c r="C1772" s="315" t="s">
        <v>1775</v>
      </c>
      <c r="D1772" s="868" t="s">
        <v>3118</v>
      </c>
      <c r="E1772" s="837" t="str">
        <f>IFERROR(IF(_xlfn.XLOOKUP(Imput[[#This Row],[RFC]],'Alta Proveedor'!D:D,'Alta Proveedor'!E:E)=0,"",_xlfn.XLOOKUP(Imput[[#This Row],[RFC]],'Alta Proveedor'!D:D,'Alta Proveedor'!E:E)),"")</f>
        <v>Nomina-ADMON</v>
      </c>
      <c r="F1772" s="832" t="s">
        <v>4612</v>
      </c>
      <c r="G1772" s="187">
        <v>1</v>
      </c>
      <c r="H1772" s="1">
        <v>6818</v>
      </c>
      <c r="I1772" s="169">
        <f>Imput[[#This Row],[Cantidad]]*Imput[[#This Row],[Precio Unitario]]</f>
        <v>6818</v>
      </c>
      <c r="J1772" s="11">
        <f>((Imput[[#This Row],[Sub total]])*(0.08))</f>
        <v>545.44000000000005</v>
      </c>
      <c r="K1772" s="11">
        <v>0</v>
      </c>
      <c r="L1772" s="169">
        <f>Imput[[#This Row],[Sub total]]+Imput[[#This Row],[IVA]]-Imput[[#This Row],[Retención / IEPS / Descuento]]</f>
        <v>7363.4400000000005</v>
      </c>
      <c r="M1772" s="844">
        <v>7363.4400000000005</v>
      </c>
      <c r="N1772" s="189"/>
      <c r="O1772" s="1"/>
      <c r="P1772" s="189"/>
      <c r="Q1772" s="190"/>
      <c r="R1772" s="188">
        <v>46006</v>
      </c>
      <c r="S1772" s="193"/>
      <c r="T1772" s="192"/>
      <c r="U1772" s="829" t="s">
        <v>3225</v>
      </c>
      <c r="V1772" s="10"/>
      <c r="W1772" s="10"/>
      <c r="X1772" s="902"/>
      <c r="Y1772" s="10"/>
      <c r="Z1772" s="10"/>
      <c r="AA1772" s="11"/>
      <c r="AB1772" s="11"/>
    </row>
    <row r="1773" spans="2:28" x14ac:dyDescent="0.3">
      <c r="B1773" s="10" t="s">
        <v>402</v>
      </c>
      <c r="C1773" s="315" t="s">
        <v>1743</v>
      </c>
      <c r="D1773" s="868" t="s">
        <v>3118</v>
      </c>
      <c r="E1773" s="837" t="str">
        <f>IFERROR(IF(_xlfn.XLOOKUP(Imput[[#This Row],[RFC]],'Alta Proveedor'!D:D,'Alta Proveedor'!E:E)=0,"",_xlfn.XLOOKUP(Imput[[#This Row],[RFC]],'Alta Proveedor'!D:D,'Alta Proveedor'!E:E)),"")</f>
        <v>Nomina-ADMON</v>
      </c>
      <c r="F1773" s="832" t="s">
        <v>4613</v>
      </c>
      <c r="G1773" s="187">
        <v>1</v>
      </c>
      <c r="H1773" s="1">
        <v>0</v>
      </c>
      <c r="I1773" s="169">
        <f>Imput[[#This Row],[Cantidad]]*Imput[[#This Row],[Precio Unitario]]</f>
        <v>0</v>
      </c>
      <c r="J1773" s="11">
        <f>((Imput[[#This Row],[Sub total]])*(0))</f>
        <v>0</v>
      </c>
      <c r="K1773" s="11">
        <v>0</v>
      </c>
      <c r="L1773" s="169">
        <f>Imput[[#This Row],[Sub total]]+Imput[[#This Row],[IVA]]-Imput[[#This Row],[Retención / IEPS / Descuento]]</f>
        <v>0</v>
      </c>
      <c r="M1773" s="844">
        <v>0</v>
      </c>
      <c r="N1773" s="189"/>
      <c r="O1773" s="1"/>
      <c r="P1773" s="189"/>
      <c r="Q1773" s="190"/>
      <c r="R1773" s="188">
        <v>46022</v>
      </c>
      <c r="S1773" s="193"/>
      <c r="T1773" s="192"/>
      <c r="U1773" s="829" t="s">
        <v>3225</v>
      </c>
      <c r="V1773" s="10"/>
      <c r="W1773" s="10"/>
      <c r="X1773" s="902"/>
      <c r="Y1773" s="10"/>
      <c r="Z1773" s="10"/>
      <c r="AA1773" s="11"/>
      <c r="AB1773" s="11"/>
    </row>
    <row r="1774" spans="2:28" x14ac:dyDescent="0.3">
      <c r="B1774" s="10" t="s">
        <v>402</v>
      </c>
      <c r="C1774" s="315" t="s">
        <v>1773</v>
      </c>
      <c r="D1774" s="868" t="s">
        <v>3118</v>
      </c>
      <c r="E1774" s="837" t="str">
        <f>IFERROR(IF(_xlfn.XLOOKUP(Imput[[#This Row],[RFC]],'Alta Proveedor'!D:D,'Alta Proveedor'!E:E)=0,"",_xlfn.XLOOKUP(Imput[[#This Row],[RFC]],'Alta Proveedor'!D:D,'Alta Proveedor'!E:E)),"")</f>
        <v>Nomina-ADMON</v>
      </c>
      <c r="F1774" s="832" t="s">
        <v>4614</v>
      </c>
      <c r="G1774" s="187">
        <v>1</v>
      </c>
      <c r="H1774" s="1">
        <v>4182</v>
      </c>
      <c r="I1774" s="169">
        <f>Imput[[#This Row],[Cantidad]]*Imput[[#This Row],[Precio Unitario]]</f>
        <v>4182</v>
      </c>
      <c r="J1774" s="11">
        <f>((Imput[[#This Row],[Sub total]])*(0))</f>
        <v>0</v>
      </c>
      <c r="K1774" s="11">
        <v>0</v>
      </c>
      <c r="L1774" s="169">
        <f>Imput[[#This Row],[Sub total]]+Imput[[#This Row],[IVA]]-Imput[[#This Row],[Retención / IEPS / Descuento]]</f>
        <v>4182</v>
      </c>
      <c r="M1774" s="844">
        <v>4182</v>
      </c>
      <c r="N1774" s="189"/>
      <c r="O1774" s="1"/>
      <c r="P1774" s="189"/>
      <c r="Q1774" s="190"/>
      <c r="R1774" s="188">
        <v>46022</v>
      </c>
      <c r="S1774" s="193"/>
      <c r="T1774" s="192"/>
      <c r="U1774" s="829" t="s">
        <v>3225</v>
      </c>
      <c r="V1774" s="10"/>
      <c r="W1774" s="10"/>
      <c r="X1774" s="902"/>
      <c r="Y1774" s="10"/>
      <c r="Z1774" s="10"/>
      <c r="AA1774" s="11"/>
      <c r="AB1774" s="11"/>
    </row>
    <row r="1775" spans="2:28" x14ac:dyDescent="0.3">
      <c r="B1775" s="10" t="s">
        <v>402</v>
      </c>
      <c r="C1775" s="315" t="s">
        <v>1784</v>
      </c>
      <c r="D1775" s="868" t="s">
        <v>3118</v>
      </c>
      <c r="E1775" s="837" t="str">
        <f>IFERROR(IF(_xlfn.XLOOKUP(Imput[[#This Row],[RFC]],'Alta Proveedor'!D:D,'Alta Proveedor'!E:E)=0,"",_xlfn.XLOOKUP(Imput[[#This Row],[RFC]],'Alta Proveedor'!D:D,'Alta Proveedor'!E:E)),"")</f>
        <v>Nomina-ADMON</v>
      </c>
      <c r="F1775" s="832" t="s">
        <v>4615</v>
      </c>
      <c r="G1775" s="187">
        <v>1</v>
      </c>
      <c r="H1775" s="1">
        <v>0</v>
      </c>
      <c r="I1775" s="169">
        <f>Imput[[#This Row],[Cantidad]]*Imput[[#This Row],[Precio Unitario]]</f>
        <v>0</v>
      </c>
      <c r="J1775" s="11">
        <f>((Imput[[#This Row],[Sub total]])*(0))</f>
        <v>0</v>
      </c>
      <c r="K1775" s="11">
        <v>0</v>
      </c>
      <c r="L1775" s="169">
        <f>Imput[[#This Row],[Sub total]]+Imput[[#This Row],[IVA]]-Imput[[#This Row],[Retención / IEPS / Descuento]]</f>
        <v>0</v>
      </c>
      <c r="M1775" s="844">
        <v>0</v>
      </c>
      <c r="N1775" s="189"/>
      <c r="O1775" s="1"/>
      <c r="P1775" s="189"/>
      <c r="Q1775" s="190"/>
      <c r="R1775" s="188">
        <v>46022</v>
      </c>
      <c r="S1775" s="193"/>
      <c r="T1775" s="192"/>
      <c r="U1775" s="829" t="s">
        <v>3225</v>
      </c>
      <c r="V1775" s="10"/>
      <c r="W1775" s="10"/>
      <c r="X1775" s="902"/>
      <c r="Y1775" s="10"/>
      <c r="Z1775" s="10"/>
      <c r="AA1775" s="11"/>
      <c r="AB1775" s="11"/>
    </row>
    <row r="1776" spans="2:28" x14ac:dyDescent="0.3">
      <c r="B1776" s="10" t="s">
        <v>402</v>
      </c>
      <c r="C1776" s="315" t="s">
        <v>1756</v>
      </c>
      <c r="D1776" s="868" t="s">
        <v>3118</v>
      </c>
      <c r="E1776" s="837" t="str">
        <f>IFERROR(IF(_xlfn.XLOOKUP(Imput[[#This Row],[RFC]],'Alta Proveedor'!D:D,'Alta Proveedor'!E:E)=0,"",_xlfn.XLOOKUP(Imput[[#This Row],[RFC]],'Alta Proveedor'!D:D,'Alta Proveedor'!E:E)),"")</f>
        <v>Nomina-ADMON</v>
      </c>
      <c r="F1776" s="832" t="s">
        <v>4616</v>
      </c>
      <c r="G1776" s="187">
        <v>1</v>
      </c>
      <c r="H1776" s="1">
        <v>4182</v>
      </c>
      <c r="I1776" s="169">
        <f>Imput[[#This Row],[Cantidad]]*Imput[[#This Row],[Precio Unitario]]</f>
        <v>4182</v>
      </c>
      <c r="J1776" s="11">
        <f>((Imput[[#This Row],[Sub total]])*(0))</f>
        <v>0</v>
      </c>
      <c r="K1776" s="11">
        <v>0</v>
      </c>
      <c r="L1776" s="169">
        <f>Imput[[#This Row],[Sub total]]+Imput[[#This Row],[IVA]]-Imput[[#This Row],[Retención / IEPS / Descuento]]</f>
        <v>4182</v>
      </c>
      <c r="M1776" s="844">
        <v>4182</v>
      </c>
      <c r="N1776" s="189"/>
      <c r="O1776" s="1"/>
      <c r="P1776" s="189"/>
      <c r="Q1776" s="190"/>
      <c r="R1776" s="188">
        <v>46022</v>
      </c>
      <c r="S1776" s="193"/>
      <c r="T1776" s="192"/>
      <c r="U1776" s="829" t="s">
        <v>3225</v>
      </c>
      <c r="V1776" s="10"/>
      <c r="W1776" s="10"/>
      <c r="X1776" s="902"/>
      <c r="Y1776" s="10"/>
      <c r="Z1776" s="10"/>
      <c r="AA1776" s="11"/>
      <c r="AB1776" s="11"/>
    </row>
    <row r="1777" spans="2:28" x14ac:dyDescent="0.3">
      <c r="B1777" s="10" t="s">
        <v>402</v>
      </c>
      <c r="C1777" s="315" t="s">
        <v>1774</v>
      </c>
      <c r="D1777" s="868" t="s">
        <v>3118</v>
      </c>
      <c r="E1777" s="837" t="str">
        <f>IFERROR(IF(_xlfn.XLOOKUP(Imput[[#This Row],[RFC]],'Alta Proveedor'!D:D,'Alta Proveedor'!E:E)=0,"",_xlfn.XLOOKUP(Imput[[#This Row],[RFC]],'Alta Proveedor'!D:D,'Alta Proveedor'!E:E)),"")</f>
        <v>Nomina-ADMON</v>
      </c>
      <c r="F1777" s="832" t="s">
        <v>4617</v>
      </c>
      <c r="G1777" s="187">
        <v>1</v>
      </c>
      <c r="H1777" s="1">
        <v>4182</v>
      </c>
      <c r="I1777" s="169">
        <f>Imput[[#This Row],[Cantidad]]*Imput[[#This Row],[Precio Unitario]]</f>
        <v>4182</v>
      </c>
      <c r="J1777" s="11">
        <f>((Imput[[#This Row],[Sub total]])*(0))</f>
        <v>0</v>
      </c>
      <c r="K1777" s="11">
        <v>0</v>
      </c>
      <c r="L1777" s="169">
        <f>Imput[[#This Row],[Sub total]]+Imput[[#This Row],[IVA]]-Imput[[#This Row],[Retención / IEPS / Descuento]]</f>
        <v>4182</v>
      </c>
      <c r="M1777" s="844">
        <v>4182</v>
      </c>
      <c r="N1777" s="189"/>
      <c r="O1777" s="1"/>
      <c r="P1777" s="189"/>
      <c r="Q1777" s="190"/>
      <c r="R1777" s="188">
        <v>46022</v>
      </c>
      <c r="S1777" s="193"/>
      <c r="T1777" s="192"/>
      <c r="U1777" s="829" t="s">
        <v>3225</v>
      </c>
      <c r="V1777" s="10"/>
      <c r="W1777" s="10"/>
      <c r="X1777" s="902"/>
      <c r="Y1777" s="10"/>
      <c r="Z1777" s="10"/>
      <c r="AA1777" s="11"/>
      <c r="AB1777" s="11"/>
    </row>
    <row r="1778" spans="2:28" x14ac:dyDescent="0.3">
      <c r="B1778" s="10" t="s">
        <v>402</v>
      </c>
      <c r="C1778" s="315" t="s">
        <v>1754</v>
      </c>
      <c r="D1778" s="868" t="s">
        <v>3118</v>
      </c>
      <c r="E1778" s="837" t="str">
        <f>IFERROR(IF(_xlfn.XLOOKUP(Imput[[#This Row],[RFC]],'Alta Proveedor'!D:D,'Alta Proveedor'!E:E)=0,"",_xlfn.XLOOKUP(Imput[[#This Row],[RFC]],'Alta Proveedor'!D:D,'Alta Proveedor'!E:E)),"")</f>
        <v>Nomina-ADMON</v>
      </c>
      <c r="F1778" s="832" t="s">
        <v>4618</v>
      </c>
      <c r="G1778" s="187">
        <v>1</v>
      </c>
      <c r="H1778" s="1">
        <v>4182</v>
      </c>
      <c r="I1778" s="169">
        <f>Imput[[#This Row],[Cantidad]]*Imput[[#This Row],[Precio Unitario]]</f>
        <v>4182</v>
      </c>
      <c r="J1778" s="11">
        <f>((Imput[[#This Row],[Sub total]])*(0))</f>
        <v>0</v>
      </c>
      <c r="K1778" s="11">
        <v>0</v>
      </c>
      <c r="L1778" s="169">
        <f>Imput[[#This Row],[Sub total]]+Imput[[#This Row],[IVA]]-Imput[[#This Row],[Retención / IEPS / Descuento]]</f>
        <v>4182</v>
      </c>
      <c r="M1778" s="844">
        <v>4182</v>
      </c>
      <c r="N1778" s="189"/>
      <c r="O1778" s="1"/>
      <c r="P1778" s="189"/>
      <c r="Q1778" s="190"/>
      <c r="R1778" s="188">
        <v>46022</v>
      </c>
      <c r="S1778" s="193"/>
      <c r="T1778" s="192"/>
      <c r="U1778" s="829" t="s">
        <v>3225</v>
      </c>
      <c r="V1778" s="10"/>
      <c r="W1778" s="10"/>
      <c r="X1778" s="902"/>
      <c r="Y1778" s="10"/>
      <c r="Z1778" s="10"/>
      <c r="AA1778" s="11"/>
      <c r="AB1778" s="11"/>
    </row>
    <row r="1779" spans="2:28" x14ac:dyDescent="0.3">
      <c r="B1779" s="10" t="s">
        <v>402</v>
      </c>
      <c r="C1779" s="315" t="s">
        <v>1775</v>
      </c>
      <c r="D1779" s="868" t="s">
        <v>3118</v>
      </c>
      <c r="E1779" s="837" t="str">
        <f>IFERROR(IF(_xlfn.XLOOKUP(Imput[[#This Row],[RFC]],'Alta Proveedor'!D:D,'Alta Proveedor'!E:E)=0,"",_xlfn.XLOOKUP(Imput[[#This Row],[RFC]],'Alta Proveedor'!D:D,'Alta Proveedor'!E:E)),"")</f>
        <v>Nomina-ADMON</v>
      </c>
      <c r="F1779" s="832" t="s">
        <v>4619</v>
      </c>
      <c r="G1779" s="187">
        <v>1</v>
      </c>
      <c r="H1779" s="1">
        <v>4182</v>
      </c>
      <c r="I1779" s="169">
        <f>Imput[[#This Row],[Cantidad]]*Imput[[#This Row],[Precio Unitario]]</f>
        <v>4182</v>
      </c>
      <c r="J1779" s="11">
        <f>((Imput[[#This Row],[Sub total]])*(0))</f>
        <v>0</v>
      </c>
      <c r="K1779" s="11">
        <v>0</v>
      </c>
      <c r="L1779" s="169">
        <f>Imput[[#This Row],[Sub total]]+Imput[[#This Row],[IVA]]-Imput[[#This Row],[Retención / IEPS / Descuento]]</f>
        <v>4182</v>
      </c>
      <c r="M1779" s="844">
        <v>4182</v>
      </c>
      <c r="N1779" s="189"/>
      <c r="O1779" s="1"/>
      <c r="P1779" s="189"/>
      <c r="Q1779" s="190"/>
      <c r="R1779" s="188">
        <v>46022</v>
      </c>
      <c r="S1779" s="193"/>
      <c r="T1779" s="192"/>
      <c r="U1779" s="829" t="s">
        <v>3225</v>
      </c>
      <c r="V1779" s="10"/>
      <c r="W1779" s="10"/>
      <c r="X1779" s="902"/>
      <c r="Y1779" s="10"/>
      <c r="Z1779" s="10"/>
      <c r="AA1779" s="11"/>
      <c r="AB1779" s="11"/>
    </row>
    <row r="1780" spans="2:28" x14ac:dyDescent="0.3">
      <c r="B1780" s="10" t="s">
        <v>402</v>
      </c>
      <c r="C1780" s="315" t="s">
        <v>1743</v>
      </c>
      <c r="D1780" s="868" t="s">
        <v>3118</v>
      </c>
      <c r="E1780" s="837" t="str">
        <f>IFERROR(IF(_xlfn.XLOOKUP(Imput[[#This Row],[RFC]],'Alta Proveedor'!D:D,'Alta Proveedor'!E:E)=0,"",_xlfn.XLOOKUP(Imput[[#This Row],[RFC]],'Alta Proveedor'!D:D,'Alta Proveedor'!E:E)),"")</f>
        <v>Nomina-ADMON</v>
      </c>
      <c r="F1780" s="832" t="s">
        <v>4620</v>
      </c>
      <c r="G1780" s="187">
        <v>1</v>
      </c>
      <c r="H1780" s="1">
        <v>10000</v>
      </c>
      <c r="I1780" s="169">
        <f>Imput[[#This Row],[Cantidad]]*Imput[[#This Row],[Precio Unitario]]</f>
        <v>10000</v>
      </c>
      <c r="J1780" s="11">
        <f>((Imput[[#This Row],[Sub total]])*(0.08))</f>
        <v>800</v>
      </c>
      <c r="K1780" s="11">
        <v>0</v>
      </c>
      <c r="L1780" s="169">
        <f>Imput[[#This Row],[Sub total]]+Imput[[#This Row],[IVA]]-Imput[[#This Row],[Retención / IEPS / Descuento]]</f>
        <v>10800</v>
      </c>
      <c r="M1780" s="844">
        <v>10800</v>
      </c>
      <c r="N1780" s="189"/>
      <c r="O1780" s="1"/>
      <c r="P1780" s="189"/>
      <c r="Q1780" s="190"/>
      <c r="R1780" s="188">
        <v>46022</v>
      </c>
      <c r="S1780" s="193"/>
      <c r="T1780" s="192"/>
      <c r="U1780" s="829" t="s">
        <v>3225</v>
      </c>
      <c r="V1780" s="10"/>
      <c r="W1780" s="10"/>
      <c r="X1780" s="902"/>
      <c r="Y1780" s="10"/>
      <c r="Z1780" s="10"/>
      <c r="AA1780" s="11"/>
      <c r="AB1780" s="11"/>
    </row>
    <row r="1781" spans="2:28" x14ac:dyDescent="0.3">
      <c r="B1781" s="10" t="s">
        <v>402</v>
      </c>
      <c r="C1781" s="315" t="s">
        <v>1773</v>
      </c>
      <c r="D1781" s="868" t="s">
        <v>3118</v>
      </c>
      <c r="E1781" s="837" t="str">
        <f>IFERROR(IF(_xlfn.XLOOKUP(Imput[[#This Row],[RFC]],'Alta Proveedor'!D:D,'Alta Proveedor'!E:E)=0,"",_xlfn.XLOOKUP(Imput[[#This Row],[RFC]],'Alta Proveedor'!D:D,'Alta Proveedor'!E:E)),"")</f>
        <v>Nomina-ADMON</v>
      </c>
      <c r="F1781" s="832" t="s">
        <v>4621</v>
      </c>
      <c r="G1781" s="187">
        <v>1</v>
      </c>
      <c r="H1781" s="1">
        <v>2318</v>
      </c>
      <c r="I1781" s="169">
        <f>Imput[[#This Row],[Cantidad]]*Imput[[#This Row],[Precio Unitario]]</f>
        <v>2318</v>
      </c>
      <c r="J1781" s="11">
        <f>((Imput[[#This Row],[Sub total]])*(0.08))</f>
        <v>185.44</v>
      </c>
      <c r="K1781" s="11">
        <v>0</v>
      </c>
      <c r="L1781" s="169">
        <f>Imput[[#This Row],[Sub total]]+Imput[[#This Row],[IVA]]-Imput[[#This Row],[Retención / IEPS / Descuento]]</f>
        <v>2503.44</v>
      </c>
      <c r="M1781" s="844">
        <v>2503.44</v>
      </c>
      <c r="N1781" s="189"/>
      <c r="O1781" s="1"/>
      <c r="P1781" s="189"/>
      <c r="Q1781" s="190"/>
      <c r="R1781" s="188">
        <v>46022</v>
      </c>
      <c r="S1781" s="193"/>
      <c r="T1781" s="192"/>
      <c r="U1781" s="829" t="s">
        <v>3225</v>
      </c>
      <c r="V1781" s="10"/>
      <c r="W1781" s="10"/>
      <c r="X1781" s="902"/>
      <c r="Y1781" s="10"/>
      <c r="Z1781" s="10"/>
      <c r="AA1781" s="11"/>
      <c r="AB1781" s="11"/>
    </row>
    <row r="1782" spans="2:28" x14ac:dyDescent="0.3">
      <c r="B1782" s="10" t="s">
        <v>402</v>
      </c>
      <c r="C1782" s="315" t="s">
        <v>1784</v>
      </c>
      <c r="D1782" s="868" t="s">
        <v>3118</v>
      </c>
      <c r="E1782" s="837" t="str">
        <f>IFERROR(IF(_xlfn.XLOOKUP(Imput[[#This Row],[RFC]],'Alta Proveedor'!D:D,'Alta Proveedor'!E:E)=0,"",_xlfn.XLOOKUP(Imput[[#This Row],[RFC]],'Alta Proveedor'!D:D,'Alta Proveedor'!E:E)),"")</f>
        <v>Nomina-ADMON</v>
      </c>
      <c r="F1782" s="832" t="s">
        <v>4622</v>
      </c>
      <c r="G1782" s="187">
        <v>1</v>
      </c>
      <c r="H1782" s="1">
        <v>7500</v>
      </c>
      <c r="I1782" s="169">
        <f>Imput[[#This Row],[Cantidad]]*Imput[[#This Row],[Precio Unitario]]</f>
        <v>7500</v>
      </c>
      <c r="J1782" s="11">
        <f>((Imput[[#This Row],[Sub total]])*(0.08))</f>
        <v>600</v>
      </c>
      <c r="K1782" s="11">
        <v>0</v>
      </c>
      <c r="L1782" s="169">
        <f>Imput[[#This Row],[Sub total]]+Imput[[#This Row],[IVA]]-Imput[[#This Row],[Retención / IEPS / Descuento]]</f>
        <v>8100</v>
      </c>
      <c r="M1782" s="844">
        <v>8100</v>
      </c>
      <c r="N1782" s="189"/>
      <c r="O1782" s="1"/>
      <c r="P1782" s="189"/>
      <c r="Q1782" s="190"/>
      <c r="R1782" s="188">
        <v>46022</v>
      </c>
      <c r="S1782" s="193"/>
      <c r="T1782" s="192"/>
      <c r="U1782" s="829" t="s">
        <v>3225</v>
      </c>
      <c r="V1782" s="10"/>
      <c r="W1782" s="10"/>
      <c r="X1782" s="902"/>
      <c r="Y1782" s="10"/>
      <c r="Z1782" s="10"/>
      <c r="AA1782" s="11"/>
      <c r="AB1782" s="11"/>
    </row>
    <row r="1783" spans="2:28" x14ac:dyDescent="0.3">
      <c r="B1783" s="10" t="s">
        <v>402</v>
      </c>
      <c r="C1783" s="315" t="s">
        <v>1756</v>
      </c>
      <c r="D1783" s="868" t="s">
        <v>3118</v>
      </c>
      <c r="E1783" s="837" t="str">
        <f>IFERROR(IF(_xlfn.XLOOKUP(Imput[[#This Row],[RFC]],'Alta Proveedor'!D:D,'Alta Proveedor'!E:E)=0,"",_xlfn.XLOOKUP(Imput[[#This Row],[RFC]],'Alta Proveedor'!D:D,'Alta Proveedor'!E:E)),"")</f>
        <v>Nomina-ADMON</v>
      </c>
      <c r="F1783" s="832" t="s">
        <v>4623</v>
      </c>
      <c r="G1783" s="187">
        <v>1</v>
      </c>
      <c r="H1783" s="1">
        <v>5708</v>
      </c>
      <c r="I1783" s="169">
        <f>Imput[[#This Row],[Cantidad]]*Imput[[#This Row],[Precio Unitario]]</f>
        <v>5708</v>
      </c>
      <c r="J1783" s="11">
        <f>((Imput[[#This Row],[Sub total]])*(0.08))</f>
        <v>456.64</v>
      </c>
      <c r="K1783" s="11">
        <v>0</v>
      </c>
      <c r="L1783" s="169">
        <f>Imput[[#This Row],[Sub total]]+Imput[[#This Row],[IVA]]-Imput[[#This Row],[Retención / IEPS / Descuento]]</f>
        <v>6164.64</v>
      </c>
      <c r="M1783" s="844">
        <v>6164.64</v>
      </c>
      <c r="N1783" s="189"/>
      <c r="O1783" s="1"/>
      <c r="P1783" s="189"/>
      <c r="Q1783" s="190"/>
      <c r="R1783" s="188">
        <v>46022</v>
      </c>
      <c r="S1783" s="193"/>
      <c r="T1783" s="192"/>
      <c r="U1783" s="829" t="s">
        <v>3225</v>
      </c>
      <c r="V1783" s="10"/>
      <c r="W1783" s="10"/>
      <c r="X1783" s="902"/>
      <c r="Y1783" s="10"/>
      <c r="Z1783" s="10"/>
      <c r="AA1783" s="11"/>
      <c r="AB1783" s="11"/>
    </row>
    <row r="1784" spans="2:28" x14ac:dyDescent="0.3">
      <c r="B1784" s="10" t="s">
        <v>402</v>
      </c>
      <c r="C1784" s="315" t="s">
        <v>1774</v>
      </c>
      <c r="D1784" s="868" t="s">
        <v>3118</v>
      </c>
      <c r="E1784" s="837" t="str">
        <f>IFERROR(IF(_xlfn.XLOOKUP(Imput[[#This Row],[RFC]],'Alta Proveedor'!D:D,'Alta Proveedor'!E:E)=0,"",_xlfn.XLOOKUP(Imput[[#This Row],[RFC]],'Alta Proveedor'!D:D,'Alta Proveedor'!E:E)),"")</f>
        <v>Nomina-ADMON</v>
      </c>
      <c r="F1784" s="832" t="s">
        <v>4624</v>
      </c>
      <c r="G1784" s="187">
        <v>1</v>
      </c>
      <c r="H1784" s="1">
        <v>10488.6</v>
      </c>
      <c r="I1784" s="169">
        <f>Imput[[#This Row],[Cantidad]]*Imput[[#This Row],[Precio Unitario]]</f>
        <v>10488.6</v>
      </c>
      <c r="J1784" s="11">
        <f>((Imput[[#This Row],[Sub total]])*(0.08))</f>
        <v>839.08800000000008</v>
      </c>
      <c r="K1784" s="11">
        <v>0</v>
      </c>
      <c r="L1784" s="169">
        <f>Imput[[#This Row],[Sub total]]+Imput[[#This Row],[IVA]]-Imput[[#This Row],[Retención / IEPS / Descuento]]</f>
        <v>11327.688</v>
      </c>
      <c r="M1784" s="844">
        <v>11327.688</v>
      </c>
      <c r="N1784" s="189"/>
      <c r="O1784" s="1"/>
      <c r="P1784" s="189"/>
      <c r="Q1784" s="190"/>
      <c r="R1784" s="188">
        <v>46022</v>
      </c>
      <c r="S1784" s="193"/>
      <c r="T1784" s="192"/>
      <c r="U1784" s="829" t="s">
        <v>3225</v>
      </c>
      <c r="V1784" s="10"/>
      <c r="W1784" s="10"/>
      <c r="X1784" s="902"/>
      <c r="Y1784" s="10"/>
      <c r="Z1784" s="10"/>
      <c r="AA1784" s="11"/>
      <c r="AB1784" s="11"/>
    </row>
    <row r="1785" spans="2:28" x14ac:dyDescent="0.3">
      <c r="B1785" s="10" t="s">
        <v>402</v>
      </c>
      <c r="C1785" s="315" t="s">
        <v>1754</v>
      </c>
      <c r="D1785" s="868" t="s">
        <v>3118</v>
      </c>
      <c r="E1785" s="837" t="str">
        <f>IFERROR(IF(_xlfn.XLOOKUP(Imput[[#This Row],[RFC]],'Alta Proveedor'!D:D,'Alta Proveedor'!E:E)=0,"",_xlfn.XLOOKUP(Imput[[#This Row],[RFC]],'Alta Proveedor'!D:D,'Alta Proveedor'!E:E)),"")</f>
        <v>Nomina-ADMON</v>
      </c>
      <c r="F1785" s="832" t="s">
        <v>4625</v>
      </c>
      <c r="G1785" s="187">
        <v>1</v>
      </c>
      <c r="H1785" s="1">
        <v>9818</v>
      </c>
      <c r="I1785" s="169">
        <f>Imput[[#This Row],[Cantidad]]*Imput[[#This Row],[Precio Unitario]]</f>
        <v>9818</v>
      </c>
      <c r="J1785" s="11">
        <f>((Imput[[#This Row],[Sub total]])*(0.08))</f>
        <v>785.44</v>
      </c>
      <c r="K1785" s="11">
        <v>0</v>
      </c>
      <c r="L1785" s="169">
        <f>Imput[[#This Row],[Sub total]]+Imput[[#This Row],[IVA]]-Imput[[#This Row],[Retención / IEPS / Descuento]]</f>
        <v>10603.44</v>
      </c>
      <c r="M1785" s="844">
        <v>10603.44</v>
      </c>
      <c r="N1785" s="189"/>
      <c r="O1785" s="1"/>
      <c r="P1785" s="189"/>
      <c r="Q1785" s="190"/>
      <c r="R1785" s="188">
        <v>46022</v>
      </c>
      <c r="S1785" s="193"/>
      <c r="T1785" s="192"/>
      <c r="U1785" s="829" t="s">
        <v>3225</v>
      </c>
      <c r="V1785" s="10"/>
      <c r="W1785" s="10"/>
      <c r="X1785" s="902"/>
      <c r="Y1785" s="10"/>
      <c r="Z1785" s="10"/>
      <c r="AA1785" s="11"/>
      <c r="AB1785" s="11"/>
    </row>
    <row r="1786" spans="2:28" x14ac:dyDescent="0.3">
      <c r="B1786" s="10" t="s">
        <v>402</v>
      </c>
      <c r="C1786" s="315" t="s">
        <v>1775</v>
      </c>
      <c r="D1786" s="868" t="s">
        <v>3118</v>
      </c>
      <c r="E1786" s="837" t="str">
        <f>IFERROR(IF(_xlfn.XLOOKUP(Imput[[#This Row],[RFC]],'Alta Proveedor'!D:D,'Alta Proveedor'!E:E)=0,"",_xlfn.XLOOKUP(Imput[[#This Row],[RFC]],'Alta Proveedor'!D:D,'Alta Proveedor'!E:E)),"")</f>
        <v>Nomina-ADMON</v>
      </c>
      <c r="F1786" s="832" t="s">
        <v>4626</v>
      </c>
      <c r="G1786" s="187">
        <v>1</v>
      </c>
      <c r="H1786" s="1">
        <v>6818</v>
      </c>
      <c r="I1786" s="169">
        <f>Imput[[#This Row],[Cantidad]]*Imput[[#This Row],[Precio Unitario]]</f>
        <v>6818</v>
      </c>
      <c r="J1786" s="11">
        <f>((Imput[[#This Row],[Sub total]])*(0.08))</f>
        <v>545.44000000000005</v>
      </c>
      <c r="K1786" s="11">
        <v>0</v>
      </c>
      <c r="L1786" s="169">
        <f>Imput[[#This Row],[Sub total]]+Imput[[#This Row],[IVA]]-Imput[[#This Row],[Retención / IEPS / Descuento]]</f>
        <v>7363.4400000000005</v>
      </c>
      <c r="M1786" s="844">
        <v>7363.4400000000005</v>
      </c>
      <c r="N1786" s="189"/>
      <c r="O1786" s="1"/>
      <c r="P1786" s="189"/>
      <c r="Q1786" s="190"/>
      <c r="R1786" s="188">
        <v>46022</v>
      </c>
      <c r="S1786" s="193"/>
      <c r="T1786" s="192"/>
      <c r="U1786" s="829" t="s">
        <v>3225</v>
      </c>
      <c r="V1786" s="10"/>
      <c r="W1786" s="10"/>
      <c r="X1786" s="902"/>
      <c r="Y1786" s="10"/>
      <c r="Z1786" s="10"/>
      <c r="AA1786" s="11"/>
      <c r="AB1786" s="11"/>
    </row>
    <row r="1787" spans="2:28" x14ac:dyDescent="0.3">
      <c r="B1787" s="10" t="s">
        <v>403</v>
      </c>
      <c r="C1787" s="315" t="s">
        <v>1743</v>
      </c>
      <c r="D1787" s="868" t="s">
        <v>3118</v>
      </c>
      <c r="E1787" s="837" t="str">
        <f>IFERROR(IF(_xlfn.XLOOKUP(Imput[[#This Row],[RFC]],'Alta Proveedor'!D:D,'Alta Proveedor'!E:E)=0,"",_xlfn.XLOOKUP(Imput[[#This Row],[RFC]],'Alta Proveedor'!D:D,'Alta Proveedor'!E:E)),"")</f>
        <v>Nomina-ADMON</v>
      </c>
      <c r="F1787" s="832" t="s">
        <v>4627</v>
      </c>
      <c r="G1787" s="187">
        <v>1</v>
      </c>
      <c r="H1787" s="1">
        <v>6819.12</v>
      </c>
      <c r="I1787" s="169">
        <f>Imput[[#This Row],[Cantidad]]*Imput[[#This Row],[Precio Unitario]]</f>
        <v>6819.12</v>
      </c>
      <c r="J1787" s="11">
        <f>((Imput[[#This Row],[Sub total]])*(0))</f>
        <v>0</v>
      </c>
      <c r="K1787" s="11">
        <v>0</v>
      </c>
      <c r="L1787" s="169">
        <f>Imput[[#This Row],[Sub total]]+Imput[[#This Row],[IVA]]-Imput[[#This Row],[Retención / IEPS / Descuento]]</f>
        <v>6819.12</v>
      </c>
      <c r="M1787" s="844">
        <v>6819.12</v>
      </c>
      <c r="N1787" s="189"/>
      <c r="O1787" s="1"/>
      <c r="P1787" s="189"/>
      <c r="Q1787" s="190"/>
      <c r="R1787" s="188">
        <v>46037</v>
      </c>
      <c r="S1787" s="193"/>
      <c r="T1787" s="192"/>
      <c r="U1787" s="829" t="s">
        <v>3225</v>
      </c>
      <c r="V1787" s="10"/>
      <c r="W1787" s="10"/>
      <c r="X1787" s="902"/>
      <c r="Y1787" s="10"/>
      <c r="Z1787" s="10"/>
      <c r="AA1787" s="11"/>
      <c r="AB1787" s="11"/>
    </row>
    <row r="1788" spans="2:28" x14ac:dyDescent="0.3">
      <c r="B1788" s="10" t="s">
        <v>403</v>
      </c>
      <c r="C1788" s="315" t="s">
        <v>1773</v>
      </c>
      <c r="D1788" s="868" t="s">
        <v>3118</v>
      </c>
      <c r="E1788" s="837" t="str">
        <f>IFERROR(IF(_xlfn.XLOOKUP(Imput[[#This Row],[RFC]],'Alta Proveedor'!D:D,'Alta Proveedor'!E:E)=0,"",_xlfn.XLOOKUP(Imput[[#This Row],[RFC]],'Alta Proveedor'!D:D,'Alta Proveedor'!E:E)),"")</f>
        <v>Nomina-ADMON</v>
      </c>
      <c r="F1788" s="832" t="s">
        <v>4628</v>
      </c>
      <c r="G1788" s="187">
        <v>1</v>
      </c>
      <c r="H1788" s="1">
        <v>4725.6000000000004</v>
      </c>
      <c r="I1788" s="169">
        <f>Imput[[#This Row],[Cantidad]]*Imput[[#This Row],[Precio Unitario]]</f>
        <v>4725.6000000000004</v>
      </c>
      <c r="J1788" s="11">
        <f>((Imput[[#This Row],[Sub total]])*(0))</f>
        <v>0</v>
      </c>
      <c r="K1788" s="11">
        <v>0</v>
      </c>
      <c r="L1788" s="169">
        <f>Imput[[#This Row],[Sub total]]+Imput[[#This Row],[IVA]]-Imput[[#This Row],[Retención / IEPS / Descuento]]</f>
        <v>4725.6000000000004</v>
      </c>
      <c r="M1788" s="844">
        <v>4725.6000000000004</v>
      </c>
      <c r="N1788" s="189"/>
      <c r="O1788" s="1"/>
      <c r="P1788" s="189"/>
      <c r="Q1788" s="190"/>
      <c r="R1788" s="188">
        <v>46037</v>
      </c>
      <c r="S1788" s="193"/>
      <c r="T1788" s="192"/>
      <c r="U1788" s="829" t="s">
        <v>3225</v>
      </c>
      <c r="V1788" s="10"/>
      <c r="W1788" s="10"/>
      <c r="X1788" s="902"/>
      <c r="Y1788" s="10"/>
      <c r="Z1788" s="10"/>
      <c r="AA1788" s="11"/>
      <c r="AB1788" s="11"/>
    </row>
    <row r="1789" spans="2:28" x14ac:dyDescent="0.3">
      <c r="B1789" s="10" t="s">
        <v>403</v>
      </c>
      <c r="C1789" s="315" t="s">
        <v>1784</v>
      </c>
      <c r="D1789" s="868" t="s">
        <v>3118</v>
      </c>
      <c r="E1789" s="837" t="str">
        <f>IFERROR(IF(_xlfn.XLOOKUP(Imput[[#This Row],[RFC]],'Alta Proveedor'!D:D,'Alta Proveedor'!E:E)=0,"",_xlfn.XLOOKUP(Imput[[#This Row],[RFC]],'Alta Proveedor'!D:D,'Alta Proveedor'!E:E)),"")</f>
        <v>Nomina-ADMON</v>
      </c>
      <c r="F1789" s="832" t="s">
        <v>4629</v>
      </c>
      <c r="G1789" s="187">
        <v>1</v>
      </c>
      <c r="H1789" s="1">
        <v>0</v>
      </c>
      <c r="I1789" s="169">
        <f>Imput[[#This Row],[Cantidad]]*Imput[[#This Row],[Precio Unitario]]</f>
        <v>0</v>
      </c>
      <c r="J1789" s="11">
        <f>((Imput[[#This Row],[Sub total]])*(0))</f>
        <v>0</v>
      </c>
      <c r="K1789" s="11">
        <v>0</v>
      </c>
      <c r="L1789" s="169">
        <f>Imput[[#This Row],[Sub total]]+Imput[[#This Row],[IVA]]-Imput[[#This Row],[Retención / IEPS / Descuento]]</f>
        <v>0</v>
      </c>
      <c r="M1789" s="844">
        <v>0</v>
      </c>
      <c r="N1789" s="189"/>
      <c r="O1789" s="1"/>
      <c r="P1789" s="189"/>
      <c r="Q1789" s="190"/>
      <c r="R1789" s="188">
        <v>46037</v>
      </c>
      <c r="S1789" s="193"/>
      <c r="T1789" s="192"/>
      <c r="U1789" s="829" t="s">
        <v>3225</v>
      </c>
      <c r="V1789" s="10"/>
      <c r="W1789" s="10"/>
      <c r="X1789" s="902"/>
      <c r="Y1789" s="10"/>
      <c r="Z1789" s="10"/>
      <c r="AA1789" s="11"/>
      <c r="AB1789" s="11"/>
    </row>
    <row r="1790" spans="2:28" x14ac:dyDescent="0.3">
      <c r="B1790" s="10" t="s">
        <v>403</v>
      </c>
      <c r="C1790" s="315" t="s">
        <v>1756</v>
      </c>
      <c r="D1790" s="868" t="s">
        <v>3118</v>
      </c>
      <c r="E1790" s="837" t="str">
        <f>IFERROR(IF(_xlfn.XLOOKUP(Imput[[#This Row],[RFC]],'Alta Proveedor'!D:D,'Alta Proveedor'!E:E)=0,"",_xlfn.XLOOKUP(Imput[[#This Row],[RFC]],'Alta Proveedor'!D:D,'Alta Proveedor'!E:E)),"")</f>
        <v>Nomina-ADMON</v>
      </c>
      <c r="F1790" s="832" t="s">
        <v>4630</v>
      </c>
      <c r="G1790" s="187">
        <v>1</v>
      </c>
      <c r="H1790" s="1">
        <v>4725.6000000000004</v>
      </c>
      <c r="I1790" s="169">
        <f>Imput[[#This Row],[Cantidad]]*Imput[[#This Row],[Precio Unitario]]</f>
        <v>4725.6000000000004</v>
      </c>
      <c r="J1790" s="11">
        <f>((Imput[[#This Row],[Sub total]])*(0))</f>
        <v>0</v>
      </c>
      <c r="K1790" s="11">
        <v>0</v>
      </c>
      <c r="L1790" s="169">
        <f>Imput[[#This Row],[Sub total]]+Imput[[#This Row],[IVA]]-Imput[[#This Row],[Retención / IEPS / Descuento]]</f>
        <v>4725.6000000000004</v>
      </c>
      <c r="M1790" s="844">
        <v>4725.6000000000004</v>
      </c>
      <c r="N1790" s="189"/>
      <c r="O1790" s="1"/>
      <c r="P1790" s="189"/>
      <c r="Q1790" s="190"/>
      <c r="R1790" s="188">
        <v>46037</v>
      </c>
      <c r="S1790" s="193"/>
      <c r="T1790" s="192"/>
      <c r="U1790" s="829" t="s">
        <v>3225</v>
      </c>
      <c r="V1790" s="10"/>
      <c r="W1790" s="10"/>
      <c r="X1790" s="902"/>
      <c r="Y1790" s="10"/>
      <c r="Z1790" s="10"/>
      <c r="AA1790" s="11"/>
      <c r="AB1790" s="11"/>
    </row>
    <row r="1791" spans="2:28" x14ac:dyDescent="0.3">
      <c r="B1791" s="10" t="s">
        <v>403</v>
      </c>
      <c r="C1791" s="315" t="s">
        <v>1774</v>
      </c>
      <c r="D1791" s="868" t="s">
        <v>3118</v>
      </c>
      <c r="E1791" s="837" t="str">
        <f>IFERROR(IF(_xlfn.XLOOKUP(Imput[[#This Row],[RFC]],'Alta Proveedor'!D:D,'Alta Proveedor'!E:E)=0,"",_xlfn.XLOOKUP(Imput[[#This Row],[RFC]],'Alta Proveedor'!D:D,'Alta Proveedor'!E:E)),"")</f>
        <v>Nomina-ADMON</v>
      </c>
      <c r="F1791" s="832" t="s">
        <v>4631</v>
      </c>
      <c r="G1791" s="187">
        <v>1</v>
      </c>
      <c r="H1791" s="1">
        <v>4725.6000000000004</v>
      </c>
      <c r="I1791" s="169">
        <f>Imput[[#This Row],[Cantidad]]*Imput[[#This Row],[Precio Unitario]]</f>
        <v>4725.6000000000004</v>
      </c>
      <c r="J1791" s="11">
        <f>((Imput[[#This Row],[Sub total]])*(0))</f>
        <v>0</v>
      </c>
      <c r="K1791" s="11">
        <v>0</v>
      </c>
      <c r="L1791" s="169">
        <f>Imput[[#This Row],[Sub total]]+Imput[[#This Row],[IVA]]-Imput[[#This Row],[Retención / IEPS / Descuento]]</f>
        <v>4725.6000000000004</v>
      </c>
      <c r="M1791" s="844">
        <v>4725.6000000000004</v>
      </c>
      <c r="N1791" s="189"/>
      <c r="O1791" s="1"/>
      <c r="P1791" s="189"/>
      <c r="Q1791" s="190"/>
      <c r="R1791" s="188">
        <v>46037</v>
      </c>
      <c r="S1791" s="193"/>
      <c r="T1791" s="192"/>
      <c r="U1791" s="829" t="s">
        <v>3225</v>
      </c>
      <c r="V1791" s="10"/>
      <c r="W1791" s="10"/>
      <c r="X1791" s="902"/>
      <c r="Y1791" s="10"/>
      <c r="Z1791" s="10"/>
      <c r="AA1791" s="11"/>
      <c r="AB1791" s="11"/>
    </row>
    <row r="1792" spans="2:28" x14ac:dyDescent="0.3">
      <c r="B1792" s="10" t="s">
        <v>403</v>
      </c>
      <c r="C1792" s="315" t="s">
        <v>1754</v>
      </c>
      <c r="D1792" s="868" t="s">
        <v>3118</v>
      </c>
      <c r="E1792" s="837" t="str">
        <f>IFERROR(IF(_xlfn.XLOOKUP(Imput[[#This Row],[RFC]],'Alta Proveedor'!D:D,'Alta Proveedor'!E:E)=0,"",_xlfn.XLOOKUP(Imput[[#This Row],[RFC]],'Alta Proveedor'!D:D,'Alta Proveedor'!E:E)),"")</f>
        <v>Nomina-ADMON</v>
      </c>
      <c r="F1792" s="832" t="s">
        <v>4632</v>
      </c>
      <c r="G1792" s="187">
        <v>1</v>
      </c>
      <c r="H1792" s="1">
        <v>4725.6000000000004</v>
      </c>
      <c r="I1792" s="169">
        <f>Imput[[#This Row],[Cantidad]]*Imput[[#This Row],[Precio Unitario]]</f>
        <v>4725.6000000000004</v>
      </c>
      <c r="J1792" s="11">
        <f>((Imput[[#This Row],[Sub total]])*(0))</f>
        <v>0</v>
      </c>
      <c r="K1792" s="11">
        <v>0</v>
      </c>
      <c r="L1792" s="169">
        <f>Imput[[#This Row],[Sub total]]+Imput[[#This Row],[IVA]]-Imput[[#This Row],[Retención / IEPS / Descuento]]</f>
        <v>4725.6000000000004</v>
      </c>
      <c r="M1792" s="844">
        <v>4725.6000000000004</v>
      </c>
      <c r="N1792" s="189"/>
      <c r="O1792" s="1"/>
      <c r="P1792" s="189"/>
      <c r="Q1792" s="190"/>
      <c r="R1792" s="188">
        <v>46037</v>
      </c>
      <c r="S1792" s="193"/>
      <c r="T1792" s="192"/>
      <c r="U1792" s="829" t="s">
        <v>3225</v>
      </c>
      <c r="V1792" s="10"/>
      <c r="W1792" s="10"/>
      <c r="X1792" s="902"/>
      <c r="Y1792" s="10"/>
      <c r="Z1792" s="10"/>
      <c r="AA1792" s="11"/>
      <c r="AB1792" s="11"/>
    </row>
    <row r="1793" spans="2:28" x14ac:dyDescent="0.3">
      <c r="B1793" s="10" t="s">
        <v>403</v>
      </c>
      <c r="C1793" s="315" t="s">
        <v>1775</v>
      </c>
      <c r="D1793" s="868" t="s">
        <v>3118</v>
      </c>
      <c r="E1793" s="837" t="str">
        <f>IFERROR(IF(_xlfn.XLOOKUP(Imput[[#This Row],[RFC]],'Alta Proveedor'!D:D,'Alta Proveedor'!E:E)=0,"",_xlfn.XLOOKUP(Imput[[#This Row],[RFC]],'Alta Proveedor'!D:D,'Alta Proveedor'!E:E)),"")</f>
        <v>Nomina-ADMON</v>
      </c>
      <c r="F1793" s="832" t="s">
        <v>4633</v>
      </c>
      <c r="G1793" s="187">
        <v>1</v>
      </c>
      <c r="H1793" s="1">
        <v>4725.6000000000004</v>
      </c>
      <c r="I1793" s="169">
        <f>Imput[[#This Row],[Cantidad]]*Imput[[#This Row],[Precio Unitario]]</f>
        <v>4725.6000000000004</v>
      </c>
      <c r="J1793" s="11">
        <f>((Imput[[#This Row],[Sub total]])*(0))</f>
        <v>0</v>
      </c>
      <c r="K1793" s="11">
        <v>0</v>
      </c>
      <c r="L1793" s="169">
        <f>Imput[[#This Row],[Sub total]]+Imput[[#This Row],[IVA]]-Imput[[#This Row],[Retención / IEPS / Descuento]]</f>
        <v>4725.6000000000004</v>
      </c>
      <c r="M1793" s="844">
        <v>4725.6000000000004</v>
      </c>
      <c r="N1793" s="189"/>
      <c r="O1793" s="1"/>
      <c r="P1793" s="189"/>
      <c r="Q1793" s="190"/>
      <c r="R1793" s="188">
        <v>46037</v>
      </c>
      <c r="S1793" s="193"/>
      <c r="T1793" s="192"/>
      <c r="U1793" s="829" t="s">
        <v>3225</v>
      </c>
      <c r="V1793" s="10"/>
      <c r="W1793" s="10"/>
      <c r="X1793" s="902"/>
      <c r="Y1793" s="10"/>
      <c r="Z1793" s="10"/>
      <c r="AA1793" s="11"/>
      <c r="AB1793" s="11"/>
    </row>
    <row r="1794" spans="2:28" x14ac:dyDescent="0.3">
      <c r="B1794" s="10" t="s">
        <v>403</v>
      </c>
      <c r="C1794" s="315" t="s">
        <v>1743</v>
      </c>
      <c r="D1794" s="868" t="s">
        <v>3118</v>
      </c>
      <c r="E1794" s="837" t="str">
        <f>IFERROR(IF(_xlfn.XLOOKUP(Imput[[#This Row],[RFC]],'Alta Proveedor'!D:D,'Alta Proveedor'!E:E)=0,"",_xlfn.XLOOKUP(Imput[[#This Row],[RFC]],'Alta Proveedor'!D:D,'Alta Proveedor'!E:E)),"")</f>
        <v>Nomina-ADMON</v>
      </c>
      <c r="F1794" s="832" t="s">
        <v>4634</v>
      </c>
      <c r="G1794" s="187">
        <v>1</v>
      </c>
      <c r="H1794" s="1">
        <v>5180.88</v>
      </c>
      <c r="I1794" s="169">
        <f>Imput[[#This Row],[Cantidad]]*Imput[[#This Row],[Precio Unitario]]</f>
        <v>5180.88</v>
      </c>
      <c r="J1794" s="11">
        <f>((Imput[[#This Row],[Sub total]])*(0.08))</f>
        <v>414.47040000000004</v>
      </c>
      <c r="K1794" s="11">
        <v>0</v>
      </c>
      <c r="L1794" s="169">
        <f>Imput[[#This Row],[Sub total]]+Imput[[#This Row],[IVA]]-Imput[[#This Row],[Retención / IEPS / Descuento]]</f>
        <v>5595.3504000000003</v>
      </c>
      <c r="M1794" s="844">
        <v>5595.3504000000003</v>
      </c>
      <c r="N1794" s="189"/>
      <c r="O1794" s="1"/>
      <c r="P1794" s="189"/>
      <c r="Q1794" s="190"/>
      <c r="R1794" s="188">
        <v>46037</v>
      </c>
      <c r="S1794" s="193"/>
      <c r="T1794" s="192"/>
      <c r="U1794" s="829" t="s">
        <v>3225</v>
      </c>
      <c r="V1794" s="10"/>
      <c r="W1794" s="10"/>
      <c r="X1794" s="902"/>
      <c r="Y1794" s="10"/>
      <c r="Z1794" s="10"/>
      <c r="AA1794" s="11"/>
      <c r="AB1794" s="11"/>
    </row>
    <row r="1795" spans="2:28" x14ac:dyDescent="0.3">
      <c r="B1795" s="10" t="s">
        <v>403</v>
      </c>
      <c r="C1795" s="315" t="s">
        <v>1773</v>
      </c>
      <c r="D1795" s="868" t="s">
        <v>3118</v>
      </c>
      <c r="E1795" s="837" t="str">
        <f>IFERROR(IF(_xlfn.XLOOKUP(Imput[[#This Row],[RFC]],'Alta Proveedor'!D:D,'Alta Proveedor'!E:E)=0,"",_xlfn.XLOOKUP(Imput[[#This Row],[RFC]],'Alta Proveedor'!D:D,'Alta Proveedor'!E:E)),"")</f>
        <v>Nomina-ADMON</v>
      </c>
      <c r="F1795" s="832" t="s">
        <v>4635</v>
      </c>
      <c r="G1795" s="187">
        <v>1</v>
      </c>
      <c r="H1795" s="1">
        <v>1774.3999999999996</v>
      </c>
      <c r="I1795" s="169">
        <f>Imput[[#This Row],[Cantidad]]*Imput[[#This Row],[Precio Unitario]]</f>
        <v>1774.3999999999996</v>
      </c>
      <c r="J1795" s="11">
        <f>((Imput[[#This Row],[Sub total]])*(0.08))</f>
        <v>141.95199999999997</v>
      </c>
      <c r="K1795" s="11">
        <v>0</v>
      </c>
      <c r="L1795" s="169">
        <f>Imput[[#This Row],[Sub total]]+Imput[[#This Row],[IVA]]-Imput[[#This Row],[Retención / IEPS / Descuento]]</f>
        <v>1916.3519999999996</v>
      </c>
      <c r="M1795" s="844">
        <v>1916.3519999999996</v>
      </c>
      <c r="N1795" s="189"/>
      <c r="O1795" s="1"/>
      <c r="P1795" s="189"/>
      <c r="Q1795" s="190"/>
      <c r="R1795" s="188">
        <v>46037</v>
      </c>
      <c r="S1795" s="193"/>
      <c r="T1795" s="192"/>
      <c r="U1795" s="829" t="s">
        <v>3225</v>
      </c>
      <c r="V1795" s="10"/>
      <c r="W1795" s="10"/>
      <c r="X1795" s="902"/>
      <c r="Y1795" s="10"/>
      <c r="Z1795" s="10"/>
      <c r="AA1795" s="11"/>
      <c r="AB1795" s="11"/>
    </row>
    <row r="1796" spans="2:28" x14ac:dyDescent="0.3">
      <c r="B1796" s="10" t="s">
        <v>403</v>
      </c>
      <c r="C1796" s="315" t="s">
        <v>1784</v>
      </c>
      <c r="D1796" s="868" t="s">
        <v>3118</v>
      </c>
      <c r="E1796" s="837" t="str">
        <f>IFERROR(IF(_xlfn.XLOOKUP(Imput[[#This Row],[RFC]],'Alta Proveedor'!D:D,'Alta Proveedor'!E:E)=0,"",_xlfn.XLOOKUP(Imput[[#This Row],[RFC]],'Alta Proveedor'!D:D,'Alta Proveedor'!E:E)),"")</f>
        <v>Nomina-ADMON</v>
      </c>
      <c r="F1796" s="832" t="s">
        <v>4636</v>
      </c>
      <c r="G1796" s="187">
        <v>1</v>
      </c>
      <c r="H1796" s="1">
        <v>7500</v>
      </c>
      <c r="I1796" s="169">
        <f>Imput[[#This Row],[Cantidad]]*Imput[[#This Row],[Precio Unitario]]</f>
        <v>7500</v>
      </c>
      <c r="J1796" s="11">
        <f>((Imput[[#This Row],[Sub total]])*(0.08))</f>
        <v>600</v>
      </c>
      <c r="K1796" s="11">
        <v>0</v>
      </c>
      <c r="L1796" s="169">
        <f>Imput[[#This Row],[Sub total]]+Imput[[#This Row],[IVA]]-Imput[[#This Row],[Retención / IEPS / Descuento]]</f>
        <v>8100</v>
      </c>
      <c r="M1796" s="844">
        <v>8100</v>
      </c>
      <c r="N1796" s="189"/>
      <c r="O1796" s="1"/>
      <c r="P1796" s="189"/>
      <c r="Q1796" s="190"/>
      <c r="R1796" s="188">
        <v>46037</v>
      </c>
      <c r="S1796" s="193"/>
      <c r="T1796" s="192"/>
      <c r="U1796" s="829" t="s">
        <v>3225</v>
      </c>
      <c r="V1796" s="10"/>
      <c r="W1796" s="10"/>
      <c r="X1796" s="902"/>
      <c r="Y1796" s="10"/>
      <c r="Z1796" s="10"/>
      <c r="AA1796" s="11"/>
      <c r="AB1796" s="11"/>
    </row>
    <row r="1797" spans="2:28" x14ac:dyDescent="0.3">
      <c r="B1797" s="10" t="s">
        <v>403</v>
      </c>
      <c r="C1797" s="315" t="s">
        <v>1756</v>
      </c>
      <c r="D1797" s="868" t="s">
        <v>3118</v>
      </c>
      <c r="E1797" s="837" t="str">
        <f>IFERROR(IF(_xlfn.XLOOKUP(Imput[[#This Row],[RFC]],'Alta Proveedor'!D:D,'Alta Proveedor'!E:E)=0,"",_xlfn.XLOOKUP(Imput[[#This Row],[RFC]],'Alta Proveedor'!D:D,'Alta Proveedor'!E:E)),"")</f>
        <v>Nomina-ADMON</v>
      </c>
      <c r="F1797" s="832" t="s">
        <v>4637</v>
      </c>
      <c r="G1797" s="187">
        <v>1</v>
      </c>
      <c r="H1797" s="1">
        <v>5714.4</v>
      </c>
      <c r="I1797" s="169">
        <f>Imput[[#This Row],[Cantidad]]*Imput[[#This Row],[Precio Unitario]]</f>
        <v>5714.4</v>
      </c>
      <c r="J1797" s="11">
        <f>((Imput[[#This Row],[Sub total]])*(0.08))</f>
        <v>457.15199999999999</v>
      </c>
      <c r="K1797" s="11">
        <v>0</v>
      </c>
      <c r="L1797" s="169">
        <f>Imput[[#This Row],[Sub total]]+Imput[[#This Row],[IVA]]-Imput[[#This Row],[Retención / IEPS / Descuento]]</f>
        <v>6171.5519999999997</v>
      </c>
      <c r="M1797" s="844">
        <v>6171.5519999999997</v>
      </c>
      <c r="N1797" s="189"/>
      <c r="O1797" s="1"/>
      <c r="P1797" s="189"/>
      <c r="Q1797" s="190"/>
      <c r="R1797" s="188">
        <v>46037</v>
      </c>
      <c r="S1797" s="193"/>
      <c r="T1797" s="192"/>
      <c r="U1797" s="829" t="s">
        <v>3225</v>
      </c>
      <c r="V1797" s="10"/>
      <c r="W1797" s="10"/>
      <c r="X1797" s="902"/>
      <c r="Y1797" s="10"/>
      <c r="Z1797" s="10"/>
      <c r="AA1797" s="11"/>
      <c r="AB1797" s="11"/>
    </row>
    <row r="1798" spans="2:28" x14ac:dyDescent="0.3">
      <c r="B1798" s="10" t="s">
        <v>403</v>
      </c>
      <c r="C1798" s="315" t="s">
        <v>1774</v>
      </c>
      <c r="D1798" s="868" t="s">
        <v>3118</v>
      </c>
      <c r="E1798" s="837" t="str">
        <f>IFERROR(IF(_xlfn.XLOOKUP(Imput[[#This Row],[RFC]],'Alta Proveedor'!D:D,'Alta Proveedor'!E:E)=0,"",_xlfn.XLOOKUP(Imput[[#This Row],[RFC]],'Alta Proveedor'!D:D,'Alta Proveedor'!E:E)),"")</f>
        <v>Nomina-ADMON</v>
      </c>
      <c r="F1798" s="832" t="s">
        <v>4638</v>
      </c>
      <c r="G1798" s="187">
        <v>1</v>
      </c>
      <c r="H1798" s="1">
        <v>10495</v>
      </c>
      <c r="I1798" s="169">
        <f>Imput[[#This Row],[Cantidad]]*Imput[[#This Row],[Precio Unitario]]</f>
        <v>10495</v>
      </c>
      <c r="J1798" s="11">
        <f>((Imput[[#This Row],[Sub total]])*(0.08))</f>
        <v>839.6</v>
      </c>
      <c r="K1798" s="11">
        <v>0</v>
      </c>
      <c r="L1798" s="169">
        <f>Imput[[#This Row],[Sub total]]+Imput[[#This Row],[IVA]]-Imput[[#This Row],[Retención / IEPS / Descuento]]</f>
        <v>11334.6</v>
      </c>
      <c r="M1798" s="844">
        <v>11334.6</v>
      </c>
      <c r="N1798" s="189"/>
      <c r="O1798" s="1"/>
      <c r="P1798" s="189"/>
      <c r="Q1798" s="190"/>
      <c r="R1798" s="188">
        <v>46037</v>
      </c>
      <c r="S1798" s="193"/>
      <c r="T1798" s="192"/>
      <c r="U1798" s="829" t="s">
        <v>3225</v>
      </c>
      <c r="V1798" s="10"/>
      <c r="W1798" s="10"/>
      <c r="X1798" s="902"/>
      <c r="Y1798" s="10"/>
      <c r="Z1798" s="10"/>
      <c r="AA1798" s="11"/>
      <c r="AB1798" s="11"/>
    </row>
    <row r="1799" spans="2:28" x14ac:dyDescent="0.3">
      <c r="B1799" s="10" t="s">
        <v>403</v>
      </c>
      <c r="C1799" s="315" t="s">
        <v>1754</v>
      </c>
      <c r="D1799" s="868" t="s">
        <v>3118</v>
      </c>
      <c r="E1799" s="837" t="str">
        <f>IFERROR(IF(_xlfn.XLOOKUP(Imput[[#This Row],[RFC]],'Alta Proveedor'!D:D,'Alta Proveedor'!E:E)=0,"",_xlfn.XLOOKUP(Imput[[#This Row],[RFC]],'Alta Proveedor'!D:D,'Alta Proveedor'!E:E)),"")</f>
        <v>Nomina-ADMON</v>
      </c>
      <c r="F1799" s="832" t="s">
        <v>4639</v>
      </c>
      <c r="G1799" s="187">
        <v>1</v>
      </c>
      <c r="H1799" s="1">
        <v>9274.4</v>
      </c>
      <c r="I1799" s="169">
        <f>Imput[[#This Row],[Cantidad]]*Imput[[#This Row],[Precio Unitario]]</f>
        <v>9274.4</v>
      </c>
      <c r="J1799" s="11">
        <f>((Imput[[#This Row],[Sub total]])*(0.08))</f>
        <v>741.952</v>
      </c>
      <c r="K1799" s="11">
        <v>0</v>
      </c>
      <c r="L1799" s="169">
        <f>Imput[[#This Row],[Sub total]]+Imput[[#This Row],[IVA]]-Imput[[#This Row],[Retención / IEPS / Descuento]]</f>
        <v>10016.351999999999</v>
      </c>
      <c r="M1799" s="844">
        <v>10016.351999999999</v>
      </c>
      <c r="N1799" s="189"/>
      <c r="O1799" s="1"/>
      <c r="P1799" s="189"/>
      <c r="Q1799" s="190"/>
      <c r="R1799" s="188">
        <v>46037</v>
      </c>
      <c r="S1799" s="193"/>
      <c r="T1799" s="192"/>
      <c r="U1799" s="829" t="s">
        <v>3225</v>
      </c>
      <c r="V1799" s="10"/>
      <c r="W1799" s="10"/>
      <c r="X1799" s="902"/>
      <c r="Y1799" s="10"/>
      <c r="Z1799" s="10"/>
      <c r="AA1799" s="11"/>
      <c r="AB1799" s="11"/>
    </row>
    <row r="1800" spans="2:28" x14ac:dyDescent="0.3">
      <c r="B1800" s="10" t="s">
        <v>403</v>
      </c>
      <c r="C1800" s="315" t="s">
        <v>1775</v>
      </c>
      <c r="D1800" s="868" t="s">
        <v>3118</v>
      </c>
      <c r="E1800" s="837" t="str">
        <f>IFERROR(IF(_xlfn.XLOOKUP(Imput[[#This Row],[RFC]],'Alta Proveedor'!D:D,'Alta Proveedor'!E:E)=0,"",_xlfn.XLOOKUP(Imput[[#This Row],[RFC]],'Alta Proveedor'!D:D,'Alta Proveedor'!E:E)),"")</f>
        <v>Nomina-ADMON</v>
      </c>
      <c r="F1800" s="832" t="s">
        <v>4640</v>
      </c>
      <c r="G1800" s="187">
        <v>1</v>
      </c>
      <c r="H1800" s="1">
        <v>6274.4</v>
      </c>
      <c r="I1800" s="169">
        <f>Imput[[#This Row],[Cantidad]]*Imput[[#This Row],[Precio Unitario]]</f>
        <v>6274.4</v>
      </c>
      <c r="J1800" s="11">
        <f>((Imput[[#This Row],[Sub total]])*(0.08))</f>
        <v>501.952</v>
      </c>
      <c r="K1800" s="11">
        <v>0</v>
      </c>
      <c r="L1800" s="169">
        <f>Imput[[#This Row],[Sub total]]+Imput[[#This Row],[IVA]]-Imput[[#This Row],[Retención / IEPS / Descuento]]</f>
        <v>6776.3519999999999</v>
      </c>
      <c r="M1800" s="844">
        <v>6776.3519999999999</v>
      </c>
      <c r="N1800" s="189"/>
      <c r="O1800" s="1"/>
      <c r="P1800" s="189"/>
      <c r="Q1800" s="190"/>
      <c r="R1800" s="188">
        <v>46037</v>
      </c>
      <c r="S1800" s="193"/>
      <c r="T1800" s="192"/>
      <c r="U1800" s="829" t="s">
        <v>3225</v>
      </c>
      <c r="V1800" s="10"/>
      <c r="W1800" s="10"/>
      <c r="X1800" s="902"/>
      <c r="Y1800" s="10"/>
      <c r="Z1800" s="10"/>
      <c r="AA1800" s="11"/>
      <c r="AB1800" s="11"/>
    </row>
    <row r="1801" spans="2:28" x14ac:dyDescent="0.3">
      <c r="B1801" s="10" t="s">
        <v>409</v>
      </c>
      <c r="C1801" s="315"/>
      <c r="D1801" s="868" t="s">
        <v>1036</v>
      </c>
      <c r="E1801" s="837" t="str">
        <f>IFERROR(IF(_xlfn.XLOOKUP(Imput[[#This Row],[RFC]],'Alta Proveedor'!D:D,'Alta Proveedor'!E:E)=0,"",_xlfn.XLOOKUP(Imput[[#This Row],[RFC]],'Alta Proveedor'!D:D,'Alta Proveedor'!E:E)),"")</f>
        <v>AUTOZONE DE MEXICO</v>
      </c>
      <c r="F1801" s="836" t="s">
        <v>4643</v>
      </c>
      <c r="G1801" s="187">
        <v>1</v>
      </c>
      <c r="H1801" s="1">
        <v>46.19</v>
      </c>
      <c r="I1801" s="169">
        <f>Imput[[#This Row],[Cantidad]]*Imput[[#This Row],[Precio Unitario]]</f>
        <v>46.19</v>
      </c>
      <c r="J1801" s="11">
        <f>((Imput[[#This Row],[Sub total]]-28.6051)*(0.16))</f>
        <v>2.8135839999999996</v>
      </c>
      <c r="K1801" s="11">
        <v>28.61</v>
      </c>
      <c r="L1801" s="169">
        <f>Imput[[#This Row],[Sub total]]+Imput[[#This Row],[IVA]]-Imput[[#This Row],[Retención / IEPS / Descuento]]</f>
        <v>20.393583999999997</v>
      </c>
      <c r="M1801" s="844">
        <v>98.996752000000001</v>
      </c>
      <c r="N1801" s="189" t="s">
        <v>123</v>
      </c>
      <c r="O1801" s="1"/>
      <c r="P1801" s="189" t="s">
        <v>4641</v>
      </c>
      <c r="Q1801" s="190" t="s">
        <v>4642</v>
      </c>
      <c r="R1801" s="188">
        <v>46073</v>
      </c>
      <c r="S1801" s="193" t="s">
        <v>126</v>
      </c>
      <c r="T1801" s="192"/>
      <c r="U1801" s="829"/>
      <c r="V1801" s="10"/>
      <c r="W1801" s="10"/>
      <c r="X1801" s="10"/>
      <c r="Y1801" s="10"/>
      <c r="Z1801" s="10"/>
      <c r="AA1801" s="11"/>
      <c r="AB1801" s="11"/>
    </row>
    <row r="1802" spans="2:28" x14ac:dyDescent="0.3">
      <c r="B1802" s="10" t="s">
        <v>409</v>
      </c>
      <c r="C1802" s="315"/>
      <c r="D1802" s="868" t="s">
        <v>1036</v>
      </c>
      <c r="E1802" s="837" t="str">
        <f>IFERROR(IF(_xlfn.XLOOKUP(Imput[[#This Row],[RFC]],'Alta Proveedor'!D:D,'Alta Proveedor'!E:E)=0,"",_xlfn.XLOOKUP(Imput[[#This Row],[RFC]],'Alta Proveedor'!D:D,'Alta Proveedor'!E:E)),"")</f>
        <v>AUTOZONE DE MEXICO</v>
      </c>
      <c r="F1802" s="836" t="s">
        <v>4644</v>
      </c>
      <c r="G1802" s="187">
        <v>1</v>
      </c>
      <c r="H1802" s="1">
        <v>65.98</v>
      </c>
      <c r="I1802" s="169">
        <f>Imput[[#This Row],[Cantidad]]*Imput[[#This Row],[Precio Unitario]]</f>
        <v>65.98</v>
      </c>
      <c r="J1802" s="11">
        <f>((Imput[[#This Row],[Sub total]]-40.8751)*(0.16))</f>
        <v>4.0167840000000004</v>
      </c>
      <c r="K1802" s="11">
        <v>40.880000000000003</v>
      </c>
      <c r="L1802" s="169">
        <f>Imput[[#This Row],[Sub total]]+Imput[[#This Row],[IVA]]-Imput[[#This Row],[Retención / IEPS / Descuento]]</f>
        <v>29.116784000000003</v>
      </c>
      <c r="M1802" s="844">
        <v>0</v>
      </c>
      <c r="N1802" s="189" t="s">
        <v>123</v>
      </c>
      <c r="O1802" s="1"/>
      <c r="P1802" s="189" t="s">
        <v>4641</v>
      </c>
      <c r="Q1802" s="190" t="s">
        <v>4642</v>
      </c>
      <c r="R1802" s="188">
        <v>46073</v>
      </c>
      <c r="S1802" s="193" t="s">
        <v>126</v>
      </c>
      <c r="T1802" s="192"/>
      <c r="U1802" s="829"/>
      <c r="V1802" s="10"/>
      <c r="W1802" s="10"/>
      <c r="X1802" s="10"/>
      <c r="Y1802" s="10"/>
      <c r="Z1802" s="10"/>
      <c r="AA1802" s="11"/>
      <c r="AB1802" s="11"/>
    </row>
    <row r="1803" spans="2:28" x14ac:dyDescent="0.3">
      <c r="B1803" s="10" t="s">
        <v>409</v>
      </c>
      <c r="C1803" s="315"/>
      <c r="D1803" s="868" t="s">
        <v>1036</v>
      </c>
      <c r="E1803" s="837" t="str">
        <f>IFERROR(IF(_xlfn.XLOOKUP(Imput[[#This Row],[RFC]],'Alta Proveedor'!D:D,'Alta Proveedor'!E:E)=0,"",_xlfn.XLOOKUP(Imput[[#This Row],[RFC]],'Alta Proveedor'!D:D,'Alta Proveedor'!E:E)),"")</f>
        <v>AUTOZONE DE MEXICO</v>
      </c>
      <c r="F1803" s="836" t="s">
        <v>4645</v>
      </c>
      <c r="G1803" s="187">
        <v>1</v>
      </c>
      <c r="H1803" s="1">
        <v>112.17</v>
      </c>
      <c r="I1803" s="169">
        <f>Imput[[#This Row],[Cantidad]]*Imput[[#This Row],[Precio Unitario]]</f>
        <v>112.17</v>
      </c>
      <c r="J1803" s="11">
        <f>((Imput[[#This Row],[Sub total]]-69.5051)*(0.16))</f>
        <v>6.8263840000000009</v>
      </c>
      <c r="K1803" s="11">
        <v>69.510000000000005</v>
      </c>
      <c r="L1803" s="169">
        <f>Imput[[#This Row],[Sub total]]+Imput[[#This Row],[IVA]]-Imput[[#This Row],[Retención / IEPS / Descuento]]</f>
        <v>49.486384000000001</v>
      </c>
      <c r="M1803" s="844">
        <v>0</v>
      </c>
      <c r="N1803" s="189" t="s">
        <v>123</v>
      </c>
      <c r="O1803" s="1"/>
      <c r="P1803" s="189" t="s">
        <v>4641</v>
      </c>
      <c r="Q1803" s="190" t="s">
        <v>4642</v>
      </c>
      <c r="R1803" s="188">
        <v>46073</v>
      </c>
      <c r="S1803" s="193" t="s">
        <v>126</v>
      </c>
      <c r="T1803" s="192"/>
      <c r="U1803" s="829"/>
      <c r="V1803" s="10"/>
      <c r="W1803" s="10"/>
      <c r="X1803" s="10"/>
      <c r="Y1803" s="10"/>
      <c r="Z1803" s="10"/>
      <c r="AA1803" s="11"/>
      <c r="AB1803" s="11"/>
    </row>
    <row r="1804" spans="2:28" x14ac:dyDescent="0.3">
      <c r="B1804" s="10" t="s">
        <v>409</v>
      </c>
      <c r="C1804" s="315"/>
      <c r="D1804" s="868" t="s">
        <v>1036</v>
      </c>
      <c r="E1804" s="837" t="str">
        <f>IFERROR(IF(_xlfn.XLOOKUP(Imput[[#This Row],[RFC]],'Alta Proveedor'!D:D,'Alta Proveedor'!E:E)=0,"",_xlfn.XLOOKUP(Imput[[#This Row],[RFC]],'Alta Proveedor'!D:D,'Alta Proveedor'!E:E)),"")</f>
        <v>AUTOZONE DE MEXICO</v>
      </c>
      <c r="F1804" s="832" t="s">
        <v>4648</v>
      </c>
      <c r="G1804" s="187">
        <v>1</v>
      </c>
      <c r="H1804" s="1">
        <v>111.21</v>
      </c>
      <c r="I1804" s="169">
        <f>Imput[[#This Row],[Cantidad]]*Imput[[#This Row],[Precio Unitario]]</f>
        <v>111.21</v>
      </c>
      <c r="J1804" s="11">
        <f>((Imput[[#This Row],[Sub total]])*(0.16))</f>
        <v>17.793599999999998</v>
      </c>
      <c r="K1804" s="11">
        <v>0</v>
      </c>
      <c r="L1804" s="169">
        <f>Imput[[#This Row],[Sub total]]+Imput[[#This Row],[IVA]]-Imput[[#This Row],[Retención / IEPS / Descuento]]</f>
        <v>129.00360000000001</v>
      </c>
      <c r="M1804" s="844">
        <v>129.00360000000001</v>
      </c>
      <c r="N1804" s="189" t="s">
        <v>123</v>
      </c>
      <c r="O1804" s="1"/>
      <c r="P1804" s="189" t="s">
        <v>4646</v>
      </c>
      <c r="Q1804" s="190" t="s">
        <v>4647</v>
      </c>
      <c r="R1804" s="188">
        <v>46073</v>
      </c>
      <c r="S1804" s="193" t="s">
        <v>126</v>
      </c>
      <c r="T1804" s="192"/>
      <c r="U1804" s="829"/>
      <c r="V1804" s="10"/>
      <c r="W1804" s="10"/>
      <c r="X1804" s="10"/>
      <c r="Y1804" s="10"/>
      <c r="Z1804" s="10"/>
      <c r="AA1804" s="11"/>
      <c r="AB1804" s="11"/>
    </row>
    <row r="1805" spans="2:28" x14ac:dyDescent="0.3">
      <c r="B1805" s="10" t="s">
        <v>409</v>
      </c>
      <c r="C1805" s="315"/>
      <c r="D1805" s="868" t="s">
        <v>4651</v>
      </c>
      <c r="E1805" s="837" t="str">
        <f>IFERROR(IF(_xlfn.XLOOKUP(Imput[[#This Row],[RFC]],'Alta Proveedor'!D:D,'Alta Proveedor'!E:E)=0,"",_xlfn.XLOOKUP(Imput[[#This Row],[RFC]],'Alta Proveedor'!D:D,'Alta Proveedor'!E:E)),"")</f>
        <v>FRANCISCO JAVIER FLORES PEÑA "MAX"</v>
      </c>
      <c r="F1805" s="832" t="s">
        <v>4653</v>
      </c>
      <c r="G1805" s="187">
        <v>6</v>
      </c>
      <c r="H1805" s="1">
        <v>73.266999999999996</v>
      </c>
      <c r="I1805" s="169">
        <f>Imput[[#This Row],[Cantidad]]*Imput[[#This Row],[Precio Unitario]]</f>
        <v>439.60199999999998</v>
      </c>
      <c r="J1805" s="11">
        <f>((Imput[[#This Row],[Sub total]])*(0.16))</f>
        <v>70.336320000000001</v>
      </c>
      <c r="K1805" s="11">
        <v>0</v>
      </c>
      <c r="L1805" s="169">
        <f>Imput[[#This Row],[Sub total]]+Imput[[#This Row],[IVA]]-Imput[[#This Row],[Retención / IEPS / Descuento]]</f>
        <v>509.93831999999998</v>
      </c>
      <c r="M1805" s="844">
        <v>509.93831999999998</v>
      </c>
      <c r="N1805" s="189" t="s">
        <v>123</v>
      </c>
      <c r="O1805" s="1"/>
      <c r="P1805" s="189" t="s">
        <v>4649</v>
      </c>
      <c r="Q1805" s="190" t="s">
        <v>4650</v>
      </c>
      <c r="R1805" s="188">
        <v>46073</v>
      </c>
      <c r="S1805" s="193" t="s">
        <v>126</v>
      </c>
      <c r="T1805" s="192"/>
      <c r="U1805" s="829"/>
      <c r="V1805" s="10"/>
      <c r="W1805" s="10"/>
      <c r="X1805" s="10"/>
      <c r="Y1805" s="10"/>
      <c r="Z1805" s="10"/>
      <c r="AA1805" s="11"/>
      <c r="AB1805" s="11"/>
    </row>
    <row r="1806" spans="2:28" x14ac:dyDescent="0.3">
      <c r="B1806" s="10" t="s">
        <v>409</v>
      </c>
      <c r="C1806" s="315"/>
      <c r="D1806" s="868" t="s">
        <v>1036</v>
      </c>
      <c r="E1806" s="837" t="str">
        <f>IFERROR(IF(_xlfn.XLOOKUP(Imput[[#This Row],[RFC]],'Alta Proveedor'!D:D,'Alta Proveedor'!E:E)=0,"",_xlfn.XLOOKUP(Imput[[#This Row],[RFC]],'Alta Proveedor'!D:D,'Alta Proveedor'!E:E)),"")</f>
        <v>AUTOZONE DE MEXICO</v>
      </c>
      <c r="F1806" s="832" t="s">
        <v>4656</v>
      </c>
      <c r="G1806" s="187">
        <v>1</v>
      </c>
      <c r="H1806" s="1">
        <v>369.44</v>
      </c>
      <c r="I1806" s="169">
        <f>Imput[[#This Row],[Cantidad]]*Imput[[#This Row],[Precio Unitario]]</f>
        <v>369.44</v>
      </c>
      <c r="J1806" s="11">
        <f>((Imput[[#This Row],[Sub total]])*(0.08001))</f>
        <v>29.5588944</v>
      </c>
      <c r="K1806" s="11">
        <v>0</v>
      </c>
      <c r="L1806" s="169">
        <f>Imput[[#This Row],[Sub total]]+Imput[[#This Row],[IVA]]-Imput[[#This Row],[Retención / IEPS / Descuento]]</f>
        <v>398.99889439999998</v>
      </c>
      <c r="M1806" s="844">
        <v>797.99778879999997</v>
      </c>
      <c r="N1806" s="189" t="s">
        <v>123</v>
      </c>
      <c r="O1806" s="1"/>
      <c r="P1806" s="189" t="s">
        <v>4654</v>
      </c>
      <c r="Q1806" s="190" t="s">
        <v>4655</v>
      </c>
      <c r="R1806" s="188">
        <v>46073</v>
      </c>
      <c r="S1806" s="193" t="s">
        <v>126</v>
      </c>
      <c r="T1806" s="192"/>
      <c r="U1806" s="829"/>
      <c r="V1806" s="10"/>
      <c r="W1806" s="10"/>
      <c r="X1806" s="10"/>
      <c r="Y1806" s="10"/>
      <c r="Z1806" s="10"/>
      <c r="AA1806" s="11"/>
      <c r="AB1806" s="11"/>
    </row>
    <row r="1807" spans="2:28" x14ac:dyDescent="0.3">
      <c r="B1807" s="10" t="s">
        <v>409</v>
      </c>
      <c r="C1807" s="315"/>
      <c r="D1807" s="868" t="s">
        <v>1036</v>
      </c>
      <c r="E1807" s="837" t="str">
        <f>IFERROR(IF(_xlfn.XLOOKUP(Imput[[#This Row],[RFC]],'Alta Proveedor'!D:D,'Alta Proveedor'!E:E)=0,"",_xlfn.XLOOKUP(Imput[[#This Row],[RFC]],'Alta Proveedor'!D:D,'Alta Proveedor'!E:E)),"")</f>
        <v>AUTOZONE DE MEXICO</v>
      </c>
      <c r="F1807" s="832" t="s">
        <v>4656</v>
      </c>
      <c r="G1807" s="187">
        <v>1</v>
      </c>
      <c r="H1807" s="1">
        <v>369.44</v>
      </c>
      <c r="I1807" s="169">
        <f>Imput[[#This Row],[Cantidad]]*Imput[[#This Row],[Precio Unitario]]</f>
        <v>369.44</v>
      </c>
      <c r="J1807" s="11">
        <f>((Imput[[#This Row],[Sub total]])*(0.08001))</f>
        <v>29.5588944</v>
      </c>
      <c r="K1807" s="11">
        <v>0</v>
      </c>
      <c r="L1807" s="169">
        <f>Imput[[#This Row],[Sub total]]+Imput[[#This Row],[IVA]]-Imput[[#This Row],[Retención / IEPS / Descuento]]</f>
        <v>398.99889439999998</v>
      </c>
      <c r="M1807" s="844">
        <v>0</v>
      </c>
      <c r="N1807" s="189" t="s">
        <v>123</v>
      </c>
      <c r="O1807" s="1"/>
      <c r="P1807" s="189" t="s">
        <v>4654</v>
      </c>
      <c r="Q1807" s="190" t="s">
        <v>4655</v>
      </c>
      <c r="R1807" s="188">
        <v>46073</v>
      </c>
      <c r="S1807" s="193" t="s">
        <v>126</v>
      </c>
      <c r="T1807" s="192"/>
      <c r="U1807" s="829"/>
      <c r="V1807" s="10"/>
      <c r="W1807" s="10"/>
      <c r="X1807" s="10"/>
      <c r="Y1807" s="10"/>
      <c r="Z1807" s="10"/>
      <c r="AA1807" s="11"/>
      <c r="AB1807" s="11"/>
    </row>
    <row r="1808" spans="2:28" x14ac:dyDescent="0.3">
      <c r="B1808" s="10" t="s">
        <v>409</v>
      </c>
      <c r="C1808" s="315"/>
      <c r="D1808" s="868" t="s">
        <v>4659</v>
      </c>
      <c r="E1808" s="837" t="str">
        <f>IFERROR(IF(_xlfn.XLOOKUP(Imput[[#This Row],[RFC]],'Alta Proveedor'!D:D,'Alta Proveedor'!E:E)=0,"",_xlfn.XLOOKUP(Imput[[#This Row],[RFC]],'Alta Proveedor'!D:D,'Alta Proveedor'!E:E)),"")</f>
        <v>GRUPO LUMANTUR "VITROCAR"</v>
      </c>
      <c r="F1808" s="832" t="s">
        <v>4661</v>
      </c>
      <c r="G1808" s="187">
        <v>1</v>
      </c>
      <c r="H1808" s="1">
        <v>324.07</v>
      </c>
      <c r="I1808" s="169">
        <f>Imput[[#This Row],[Cantidad]]*Imput[[#This Row],[Precio Unitario]]</f>
        <v>324.07</v>
      </c>
      <c r="J1808" s="11">
        <f>((Imput[[#This Row],[Sub total]])*(0.08))</f>
        <v>25.925599999999999</v>
      </c>
      <c r="K1808" s="11">
        <v>0</v>
      </c>
      <c r="L1808" s="169">
        <f>Imput[[#This Row],[Sub total]]+Imput[[#This Row],[IVA]]-Imput[[#This Row],[Retención / IEPS / Descuento]]</f>
        <v>349.99559999999997</v>
      </c>
      <c r="M1808" s="844">
        <v>349.99559999999997</v>
      </c>
      <c r="N1808" s="189" t="s">
        <v>123</v>
      </c>
      <c r="O1808" s="1"/>
      <c r="P1808" s="189" t="s">
        <v>4657</v>
      </c>
      <c r="Q1808" s="190" t="s">
        <v>4658</v>
      </c>
      <c r="R1808" s="188">
        <v>46071</v>
      </c>
      <c r="S1808" s="193" t="s">
        <v>126</v>
      </c>
      <c r="T1808" s="192"/>
      <c r="U1808" s="829"/>
      <c r="V1808" s="10"/>
      <c r="W1808" s="10"/>
      <c r="X1808" s="10"/>
      <c r="Y1808" s="10"/>
      <c r="Z1808" s="10"/>
      <c r="AA1808" s="11"/>
      <c r="AB1808" s="11"/>
    </row>
    <row r="1809" spans="2:28" x14ac:dyDescent="0.3">
      <c r="B1809" s="10" t="s">
        <v>409</v>
      </c>
      <c r="C1809" s="315"/>
      <c r="D1809" s="868" t="s">
        <v>4664</v>
      </c>
      <c r="E1809" s="837" t="str">
        <f>IFERROR(IF(_xlfn.XLOOKUP(Imput[[#This Row],[RFC]],'Alta Proveedor'!D:D,'Alta Proveedor'!E:E)=0,"",_xlfn.XLOOKUP(Imput[[#This Row],[RFC]],'Alta Proveedor'!D:D,'Alta Proveedor'!E:E)),"")</f>
        <v>HOME DEPOT MEXICO SUCURSAL 8754-TAPACHULA</v>
      </c>
      <c r="F1809" s="832" t="s">
        <v>4667</v>
      </c>
      <c r="G1809" s="187">
        <v>1</v>
      </c>
      <c r="H1809" s="1">
        <v>59.26</v>
      </c>
      <c r="I1809" s="169">
        <f>Imput[[#This Row],[Cantidad]]*Imput[[#This Row],[Precio Unitario]]</f>
        <v>59.26</v>
      </c>
      <c r="J1809" s="11">
        <f>((Imput[[#This Row],[Sub total]])*(0.08))</f>
        <v>4.7408000000000001</v>
      </c>
      <c r="K1809" s="11">
        <v>0</v>
      </c>
      <c r="L1809" s="169">
        <f>Imput[[#This Row],[Sub total]]+Imput[[#This Row],[IVA]]-Imput[[#This Row],[Retención / IEPS / Descuento]]</f>
        <v>64.000799999999998</v>
      </c>
      <c r="M1809" s="844">
        <v>223.99199999999999</v>
      </c>
      <c r="N1809" s="189" t="s">
        <v>123</v>
      </c>
      <c r="O1809" s="1"/>
      <c r="P1809" s="189" t="s">
        <v>4662</v>
      </c>
      <c r="Q1809" s="190" t="s">
        <v>4663</v>
      </c>
      <c r="R1809" s="188">
        <v>46071</v>
      </c>
      <c r="S1809" s="193" t="s">
        <v>126</v>
      </c>
      <c r="T1809" s="192"/>
      <c r="U1809" s="829"/>
      <c r="V1809" s="10"/>
      <c r="W1809" s="10"/>
      <c r="X1809" s="10"/>
      <c r="Y1809" s="10"/>
      <c r="Z1809" s="10"/>
      <c r="AA1809" s="11"/>
      <c r="AB1809" s="11"/>
    </row>
    <row r="1810" spans="2:28" x14ac:dyDescent="0.3">
      <c r="B1810" s="10" t="s">
        <v>409</v>
      </c>
      <c r="C1810" s="315"/>
      <c r="D1810" s="868" t="s">
        <v>4664</v>
      </c>
      <c r="E1810" s="837" t="str">
        <f>IFERROR(IF(_xlfn.XLOOKUP(Imput[[#This Row],[RFC]],'Alta Proveedor'!D:D,'Alta Proveedor'!E:E)=0,"",_xlfn.XLOOKUP(Imput[[#This Row],[RFC]],'Alta Proveedor'!D:D,'Alta Proveedor'!E:E)),"")</f>
        <v>HOME DEPOT MEXICO SUCURSAL 8754-TAPACHULA</v>
      </c>
      <c r="F1810" s="832" t="s">
        <v>4668</v>
      </c>
      <c r="G1810" s="187">
        <v>1</v>
      </c>
      <c r="H1810" s="1">
        <v>49.07</v>
      </c>
      <c r="I1810" s="169">
        <f>Imput[[#This Row],[Cantidad]]*Imput[[#This Row],[Precio Unitario]]</f>
        <v>49.07</v>
      </c>
      <c r="J1810" s="11">
        <f>((Imput[[#This Row],[Sub total]])*(0.08))</f>
        <v>3.9256000000000002</v>
      </c>
      <c r="K1810" s="11">
        <v>0</v>
      </c>
      <c r="L1810" s="169">
        <f>Imput[[#This Row],[Sub total]]+Imput[[#This Row],[IVA]]-Imput[[#This Row],[Retención / IEPS / Descuento]]</f>
        <v>52.995600000000003</v>
      </c>
      <c r="M1810" s="844">
        <v>0</v>
      </c>
      <c r="N1810" s="189" t="s">
        <v>123</v>
      </c>
      <c r="O1810" s="1"/>
      <c r="P1810" s="189" t="s">
        <v>4662</v>
      </c>
      <c r="Q1810" s="190" t="s">
        <v>4663</v>
      </c>
      <c r="R1810" s="188">
        <v>46071</v>
      </c>
      <c r="S1810" s="193" t="s">
        <v>126</v>
      </c>
      <c r="T1810" s="192"/>
      <c r="U1810" s="829"/>
      <c r="V1810" s="10"/>
      <c r="W1810" s="10"/>
      <c r="X1810" s="10"/>
      <c r="Y1810" s="10"/>
      <c r="Z1810" s="10"/>
      <c r="AA1810" s="11"/>
      <c r="AB1810" s="11"/>
    </row>
    <row r="1811" spans="2:28" x14ac:dyDescent="0.3">
      <c r="B1811" s="10" t="s">
        <v>409</v>
      </c>
      <c r="C1811" s="315"/>
      <c r="D1811" s="868" t="s">
        <v>4664</v>
      </c>
      <c r="E1811" s="837" t="str">
        <f>IFERROR(IF(_xlfn.XLOOKUP(Imput[[#This Row],[RFC]],'Alta Proveedor'!D:D,'Alta Proveedor'!E:E)=0,"",_xlfn.XLOOKUP(Imput[[#This Row],[RFC]],'Alta Proveedor'!D:D,'Alta Proveedor'!E:E)),"")</f>
        <v>HOME DEPOT MEXICO SUCURSAL 8754-TAPACHULA</v>
      </c>
      <c r="F1811" s="832" t="s">
        <v>4669</v>
      </c>
      <c r="G1811" s="187">
        <v>1</v>
      </c>
      <c r="H1811" s="1">
        <v>34.26</v>
      </c>
      <c r="I1811" s="169">
        <f>Imput[[#This Row],[Cantidad]]*Imput[[#This Row],[Precio Unitario]]</f>
        <v>34.26</v>
      </c>
      <c r="J1811" s="11">
        <f>((Imput[[#This Row],[Sub total]])*(0.08))</f>
        <v>2.7407999999999997</v>
      </c>
      <c r="K1811" s="11">
        <v>0</v>
      </c>
      <c r="L1811" s="169">
        <f>Imput[[#This Row],[Sub total]]+Imput[[#This Row],[IVA]]-Imput[[#This Row],[Retención / IEPS / Descuento]]</f>
        <v>37.000799999999998</v>
      </c>
      <c r="M1811" s="844">
        <v>0</v>
      </c>
      <c r="N1811" s="189" t="s">
        <v>123</v>
      </c>
      <c r="O1811" s="1"/>
      <c r="P1811" s="189" t="s">
        <v>4662</v>
      </c>
      <c r="Q1811" s="190" t="s">
        <v>4663</v>
      </c>
      <c r="R1811" s="188">
        <v>46071</v>
      </c>
      <c r="S1811" s="193" t="s">
        <v>126</v>
      </c>
      <c r="T1811" s="192"/>
      <c r="U1811" s="829"/>
      <c r="V1811" s="10"/>
      <c r="W1811" s="10"/>
      <c r="X1811" s="10"/>
      <c r="Y1811" s="10"/>
      <c r="Z1811" s="10"/>
      <c r="AA1811" s="11"/>
      <c r="AB1811" s="11"/>
    </row>
    <row r="1812" spans="2:28" x14ac:dyDescent="0.3">
      <c r="B1812" s="10" t="s">
        <v>409</v>
      </c>
      <c r="C1812" s="315"/>
      <c r="D1812" s="868" t="s">
        <v>4664</v>
      </c>
      <c r="E1812" s="837" t="str">
        <f>IFERROR(IF(_xlfn.XLOOKUP(Imput[[#This Row],[RFC]],'Alta Proveedor'!D:D,'Alta Proveedor'!E:E)=0,"",_xlfn.XLOOKUP(Imput[[#This Row],[RFC]],'Alta Proveedor'!D:D,'Alta Proveedor'!E:E)),"")</f>
        <v>HOME DEPOT MEXICO SUCURSAL 8754-TAPACHULA</v>
      </c>
      <c r="F1812" s="832" t="s">
        <v>4666</v>
      </c>
      <c r="G1812" s="187">
        <v>1</v>
      </c>
      <c r="H1812" s="1">
        <v>64.81</v>
      </c>
      <c r="I1812" s="169">
        <f>Imput[[#This Row],[Cantidad]]*Imput[[#This Row],[Precio Unitario]]</f>
        <v>64.81</v>
      </c>
      <c r="J1812" s="11">
        <f>((Imput[[#This Row],[Sub total]])*(0.08))</f>
        <v>5.1848000000000001</v>
      </c>
      <c r="K1812" s="11">
        <v>0</v>
      </c>
      <c r="L1812" s="169">
        <f>Imput[[#This Row],[Sub total]]+Imput[[#This Row],[IVA]]-Imput[[#This Row],[Retención / IEPS / Descuento]]</f>
        <v>69.994799999999998</v>
      </c>
      <c r="M1812" s="844">
        <v>0</v>
      </c>
      <c r="N1812" s="189" t="s">
        <v>123</v>
      </c>
      <c r="O1812" s="1"/>
      <c r="P1812" s="189" t="s">
        <v>4662</v>
      </c>
      <c r="Q1812" s="190" t="s">
        <v>4663</v>
      </c>
      <c r="R1812" s="188">
        <v>46071</v>
      </c>
      <c r="S1812" s="193" t="s">
        <v>126</v>
      </c>
      <c r="T1812" s="192"/>
      <c r="U1812" s="829"/>
      <c r="V1812" s="10"/>
      <c r="W1812" s="10"/>
      <c r="X1812" s="10"/>
      <c r="Y1812" s="10"/>
      <c r="Z1812" s="10"/>
      <c r="AA1812" s="11"/>
      <c r="AB1812" s="11"/>
    </row>
    <row r="1813" spans="2:28" x14ac:dyDescent="0.3">
      <c r="B1813" s="10" t="s">
        <v>407</v>
      </c>
      <c r="C1813" s="315"/>
      <c r="D1813" s="868" t="s">
        <v>4672</v>
      </c>
      <c r="E1813" s="837" t="str">
        <f>IFERROR(IF(_xlfn.XLOOKUP(Imput[[#This Row],[RFC]],'Alta Proveedor'!D:D,'Alta Proveedor'!E:E)=0,"",_xlfn.XLOOKUP(Imput[[#This Row],[RFC]],'Alta Proveedor'!D:D,'Alta Proveedor'!E:E)),"")</f>
        <v>PINTURAS Y LACAS DEL SUCHIATE "COMEX"</v>
      </c>
      <c r="F1813" s="832" t="s">
        <v>4674</v>
      </c>
      <c r="G1813" s="187">
        <v>1</v>
      </c>
      <c r="H1813" s="1">
        <v>974.07</v>
      </c>
      <c r="I1813" s="169">
        <f>Imput[[#This Row],[Cantidad]]*Imput[[#This Row],[Precio Unitario]]</f>
        <v>974.07</v>
      </c>
      <c r="J1813" s="11">
        <f>((Imput[[#This Row],[Sub total]])*(0.08))</f>
        <v>77.925600000000003</v>
      </c>
      <c r="K1813" s="11">
        <v>0</v>
      </c>
      <c r="L1813" s="169">
        <f>Imput[[#This Row],[Sub total]]+Imput[[#This Row],[IVA]]-Imput[[#This Row],[Retención / IEPS / Descuento]]</f>
        <v>1051.9956</v>
      </c>
      <c r="M1813" s="844">
        <v>2420.9711999999995</v>
      </c>
      <c r="N1813" s="189" t="s">
        <v>123</v>
      </c>
      <c r="O1813" s="1"/>
      <c r="P1813" s="189" t="s">
        <v>4670</v>
      </c>
      <c r="Q1813" s="190" t="s">
        <v>4671</v>
      </c>
      <c r="R1813" s="188">
        <v>46071</v>
      </c>
      <c r="S1813" s="193" t="s">
        <v>126</v>
      </c>
      <c r="T1813" s="192"/>
      <c r="U1813" s="829"/>
      <c r="V1813" s="10"/>
      <c r="W1813" s="10"/>
      <c r="X1813" s="10"/>
      <c r="Y1813" s="10"/>
      <c r="Z1813" s="10"/>
      <c r="AA1813" s="11"/>
      <c r="AB1813" s="11"/>
    </row>
    <row r="1814" spans="2:28" x14ac:dyDescent="0.3">
      <c r="B1814" s="10" t="s">
        <v>407</v>
      </c>
      <c r="C1814" s="315"/>
      <c r="D1814" s="868" t="s">
        <v>4672</v>
      </c>
      <c r="E1814" s="837" t="str">
        <f>IFERROR(IF(_xlfn.XLOOKUP(Imput[[#This Row],[RFC]],'Alta Proveedor'!D:D,'Alta Proveedor'!E:E)=0,"",_xlfn.XLOOKUP(Imput[[#This Row],[RFC]],'Alta Proveedor'!D:D,'Alta Proveedor'!E:E)),"")</f>
        <v>PINTURAS Y LACAS DEL SUCHIATE "COMEX"</v>
      </c>
      <c r="F1814" s="832" t="s">
        <v>4675</v>
      </c>
      <c r="G1814" s="187">
        <v>1</v>
      </c>
      <c r="H1814" s="1">
        <v>1139.81</v>
      </c>
      <c r="I1814" s="169">
        <f>Imput[[#This Row],[Cantidad]]*Imput[[#This Row],[Precio Unitario]]</f>
        <v>1139.81</v>
      </c>
      <c r="J1814" s="11">
        <f>((Imput[[#This Row],[Sub total]])*(0.08))</f>
        <v>91.184799999999996</v>
      </c>
      <c r="K1814" s="11">
        <v>0</v>
      </c>
      <c r="L1814" s="169">
        <f>Imput[[#This Row],[Sub total]]+Imput[[#This Row],[IVA]]-Imput[[#This Row],[Retención / IEPS / Descuento]]</f>
        <v>1230.9947999999999</v>
      </c>
      <c r="M1814" s="844">
        <v>0</v>
      </c>
      <c r="N1814" s="189" t="s">
        <v>123</v>
      </c>
      <c r="O1814" s="1"/>
      <c r="P1814" s="189" t="s">
        <v>4670</v>
      </c>
      <c r="Q1814" s="190" t="s">
        <v>4671</v>
      </c>
      <c r="R1814" s="188">
        <v>46071</v>
      </c>
      <c r="S1814" s="193" t="s">
        <v>126</v>
      </c>
      <c r="T1814" s="192"/>
      <c r="U1814" s="829"/>
      <c r="V1814" s="10"/>
      <c r="W1814" s="10"/>
      <c r="X1814" s="10"/>
      <c r="Y1814" s="10"/>
      <c r="Z1814" s="10"/>
      <c r="AA1814" s="11"/>
      <c r="AB1814" s="11"/>
    </row>
    <row r="1815" spans="2:28" x14ac:dyDescent="0.3">
      <c r="B1815" s="10" t="s">
        <v>407</v>
      </c>
      <c r="C1815" s="315"/>
      <c r="D1815" s="868" t="s">
        <v>4672</v>
      </c>
      <c r="E1815" s="837" t="str">
        <f>IFERROR(IF(_xlfn.XLOOKUP(Imput[[#This Row],[RFC]],'Alta Proveedor'!D:D,'Alta Proveedor'!E:E)=0,"",_xlfn.XLOOKUP(Imput[[#This Row],[RFC]],'Alta Proveedor'!D:D,'Alta Proveedor'!E:E)),"")</f>
        <v>PINTURAS Y LACAS DEL SUCHIATE "COMEX"</v>
      </c>
      <c r="F1815" s="832" t="s">
        <v>4676</v>
      </c>
      <c r="G1815" s="187">
        <v>4</v>
      </c>
      <c r="H1815" s="1">
        <v>31.94</v>
      </c>
      <c r="I1815" s="169">
        <f>Imput[[#This Row],[Cantidad]]*Imput[[#This Row],[Precio Unitario]]</f>
        <v>127.76</v>
      </c>
      <c r="J1815" s="11">
        <f>((Imput[[#This Row],[Sub total]])*(0.08))</f>
        <v>10.220800000000001</v>
      </c>
      <c r="K1815" s="11">
        <v>0</v>
      </c>
      <c r="L1815" s="169">
        <f>Imput[[#This Row],[Sub total]]+Imput[[#This Row],[IVA]]-Imput[[#This Row],[Retención / IEPS / Descuento]]</f>
        <v>137.98080000000002</v>
      </c>
      <c r="M1815" s="844">
        <v>0</v>
      </c>
      <c r="N1815" s="189" t="s">
        <v>123</v>
      </c>
      <c r="O1815" s="1"/>
      <c r="P1815" s="189" t="s">
        <v>4670</v>
      </c>
      <c r="Q1815" s="190" t="s">
        <v>4671</v>
      </c>
      <c r="R1815" s="188">
        <v>46071</v>
      </c>
      <c r="S1815" s="193" t="s">
        <v>126</v>
      </c>
      <c r="T1815" s="192"/>
      <c r="U1815" s="829"/>
      <c r="V1815" s="10"/>
      <c r="W1815" s="10"/>
      <c r="X1815" s="10"/>
      <c r="Y1815" s="10"/>
      <c r="Z1815" s="10"/>
      <c r="AA1815" s="11"/>
      <c r="AB1815" s="11"/>
    </row>
    <row r="1816" spans="2:28" x14ac:dyDescent="0.3">
      <c r="B1816" s="10" t="s">
        <v>409</v>
      </c>
      <c r="C1816" s="315"/>
      <c r="D1816" s="868" t="s">
        <v>4679</v>
      </c>
      <c r="E1816" s="837" t="str">
        <f>IFERROR(IF(_xlfn.XLOOKUP(Imput[[#This Row],[RFC]],'Alta Proveedor'!D:D,'Alta Proveedor'!E:E)=0,"",_xlfn.XLOOKUP(Imput[[#This Row],[RFC]],'Alta Proveedor'!D:D,'Alta Proveedor'!E:E)),"")</f>
        <v>CONCESIONARIA VUELA COMPAÑIA DE AVIACION "VOLARIS"</v>
      </c>
      <c r="F1816" s="832" t="s">
        <v>4681</v>
      </c>
      <c r="G1816" s="187">
        <v>1</v>
      </c>
      <c r="H1816" s="1">
        <v>1870</v>
      </c>
      <c r="I1816" s="169">
        <f>Imput[[#This Row],[Cantidad]]*Imput[[#This Row],[Precio Unitario]]</f>
        <v>1870</v>
      </c>
      <c r="J1816" s="11">
        <f>((400)*(0.16))</f>
        <v>64</v>
      </c>
      <c r="K1816" s="11">
        <v>0</v>
      </c>
      <c r="L1816" s="169">
        <f>Imput[[#This Row],[Sub total]]+Imput[[#This Row],[IVA]]-Imput[[#This Row],[Retención / IEPS / Descuento]]</f>
        <v>1934</v>
      </c>
      <c r="M1816" s="844">
        <v>1934</v>
      </c>
      <c r="N1816" s="189" t="s">
        <v>123</v>
      </c>
      <c r="O1816" s="1"/>
      <c r="P1816" s="189" t="s">
        <v>4677</v>
      </c>
      <c r="Q1816" s="190" t="s">
        <v>4678</v>
      </c>
      <c r="R1816" s="188">
        <v>46070</v>
      </c>
      <c r="S1816" s="193" t="s">
        <v>126</v>
      </c>
      <c r="T1816" s="192"/>
      <c r="U1816" s="829"/>
      <c r="V1816" s="10"/>
      <c r="W1816" s="10"/>
      <c r="X1816" s="10"/>
      <c r="Y1816" s="10"/>
      <c r="Z1816" s="10"/>
      <c r="AA1816" s="11"/>
      <c r="AB1816" s="11"/>
    </row>
    <row r="1817" spans="2:28" x14ac:dyDescent="0.3">
      <c r="B1817" s="10" t="s">
        <v>409</v>
      </c>
      <c r="C1817" s="315"/>
      <c r="D1817" s="868" t="s">
        <v>4685</v>
      </c>
      <c r="E1817" s="837" t="str">
        <f>IFERROR(IF(_xlfn.XLOOKUP(Imput[[#This Row],[RFC]],'Alta Proveedor'!D:D,'Alta Proveedor'!E:E)=0,"",_xlfn.XLOOKUP(Imput[[#This Row],[RFC]],'Alta Proveedor'!D:D,'Alta Proveedor'!E:E)),"")</f>
        <v>HOME DEPOT MEXICO SUCURSAL 8734-REYNOSA</v>
      </c>
      <c r="F1817" s="832" t="s">
        <v>4688</v>
      </c>
      <c r="G1817" s="187">
        <v>200</v>
      </c>
      <c r="H1817" s="1">
        <v>20.462949999999999</v>
      </c>
      <c r="I1817" s="169">
        <f>Imput[[#This Row],[Cantidad]]*Imput[[#This Row],[Precio Unitario]]</f>
        <v>4092.5899999999997</v>
      </c>
      <c r="J1817" s="11">
        <f>((Imput[[#This Row],[Sub total]])*(0.08))</f>
        <v>327.40719999999999</v>
      </c>
      <c r="K1817" s="11">
        <v>0</v>
      </c>
      <c r="L1817" s="169">
        <f>Imput[[#This Row],[Sub total]]+Imput[[#This Row],[IVA]]-Imput[[#This Row],[Retención / IEPS / Descuento]]</f>
        <v>4419.9971999999998</v>
      </c>
      <c r="M1817" s="844">
        <v>171794.0772</v>
      </c>
      <c r="N1817" s="189" t="s">
        <v>123</v>
      </c>
      <c r="O1817" s="1"/>
      <c r="P1817" s="189" t="s">
        <v>4682</v>
      </c>
      <c r="Q1817" s="190" t="s">
        <v>4683</v>
      </c>
      <c r="R1817" s="188">
        <v>46070</v>
      </c>
      <c r="S1817" s="193" t="s">
        <v>126</v>
      </c>
      <c r="T1817" s="192"/>
      <c r="U1817" s="829"/>
      <c r="V1817" s="10"/>
      <c r="W1817" s="10"/>
      <c r="X1817" s="10"/>
      <c r="Y1817" s="10"/>
      <c r="Z1817" s="10"/>
      <c r="AA1817" s="11"/>
      <c r="AB1817" s="11"/>
    </row>
    <row r="1818" spans="2:28" x14ac:dyDescent="0.3">
      <c r="B1818" s="10" t="s">
        <v>409</v>
      </c>
      <c r="C1818" s="315"/>
      <c r="D1818" s="868" t="s">
        <v>4685</v>
      </c>
      <c r="E1818" s="837" t="str">
        <f>IFERROR(IF(_xlfn.XLOOKUP(Imput[[#This Row],[RFC]],'Alta Proveedor'!D:D,'Alta Proveedor'!E:E)=0,"",_xlfn.XLOOKUP(Imput[[#This Row],[RFC]],'Alta Proveedor'!D:D,'Alta Proveedor'!E:E)),"")</f>
        <v>HOME DEPOT MEXICO SUCURSAL 8734-REYNOSA</v>
      </c>
      <c r="F1818" s="832" t="s">
        <v>4686</v>
      </c>
      <c r="G1818" s="187">
        <v>1.4159999999999999</v>
      </c>
      <c r="H1818" s="1">
        <v>16000</v>
      </c>
      <c r="I1818" s="169">
        <f>Imput[[#This Row],[Cantidad]]*Imput[[#This Row],[Precio Unitario]]</f>
        <v>22656</v>
      </c>
      <c r="J1818" s="11">
        <f>((Imput[[#This Row],[Sub total]])*(0.08))</f>
        <v>1812.48</v>
      </c>
      <c r="K1818" s="11">
        <v>0</v>
      </c>
      <c r="L1818" s="169">
        <f>Imput[[#This Row],[Sub total]]+Imput[[#This Row],[IVA]]-Imput[[#This Row],[Retención / IEPS / Descuento]]</f>
        <v>24468.48</v>
      </c>
      <c r="M1818" s="844">
        <v>0</v>
      </c>
      <c r="N1818" s="189" t="s">
        <v>123</v>
      </c>
      <c r="O1818" s="1"/>
      <c r="P1818" s="189" t="s">
        <v>4682</v>
      </c>
      <c r="Q1818" s="190" t="s">
        <v>4683</v>
      </c>
      <c r="R1818" s="188">
        <v>46070</v>
      </c>
      <c r="S1818" s="193" t="s">
        <v>126</v>
      </c>
      <c r="T1818" s="192"/>
      <c r="U1818" s="829"/>
      <c r="V1818" s="10"/>
      <c r="W1818" s="10"/>
      <c r="X1818" s="10"/>
      <c r="Y1818" s="10"/>
      <c r="Z1818" s="10"/>
      <c r="AA1818" s="11"/>
      <c r="AB1818" s="11"/>
    </row>
    <row r="1819" spans="2:28" x14ac:dyDescent="0.3">
      <c r="B1819" s="10" t="s">
        <v>409</v>
      </c>
      <c r="C1819" s="315"/>
      <c r="D1819" s="868" t="s">
        <v>4685</v>
      </c>
      <c r="E1819" s="837" t="str">
        <f>IFERROR(IF(_xlfn.XLOOKUP(Imput[[#This Row],[RFC]],'Alta Proveedor'!D:D,'Alta Proveedor'!E:E)=0,"",_xlfn.XLOOKUP(Imput[[#This Row],[RFC]],'Alta Proveedor'!D:D,'Alta Proveedor'!E:E)),"")</f>
        <v>HOME DEPOT MEXICO SUCURSAL 8734-REYNOSA</v>
      </c>
      <c r="F1819" s="832" t="s">
        <v>4687</v>
      </c>
      <c r="G1819" s="187">
        <v>8.27</v>
      </c>
      <c r="H1819" s="1">
        <v>16000</v>
      </c>
      <c r="I1819" s="169">
        <f>Imput[[#This Row],[Cantidad]]*Imput[[#This Row],[Precio Unitario]]</f>
        <v>132320</v>
      </c>
      <c r="J1819" s="11">
        <f>((Imput[[#This Row],[Sub total]])*(0.08))</f>
        <v>10585.6</v>
      </c>
      <c r="K1819" s="11">
        <v>0</v>
      </c>
      <c r="L1819" s="169">
        <f>Imput[[#This Row],[Sub total]]+Imput[[#This Row],[IVA]]-Imput[[#This Row],[Retención / IEPS / Descuento]]</f>
        <v>142905.60000000001</v>
      </c>
      <c r="M1819" s="844">
        <v>0</v>
      </c>
      <c r="N1819" s="189" t="s">
        <v>123</v>
      </c>
      <c r="O1819" s="1"/>
      <c r="P1819" s="189" t="s">
        <v>4682</v>
      </c>
      <c r="Q1819" s="190" t="s">
        <v>4683</v>
      </c>
      <c r="R1819" s="188">
        <v>46070</v>
      </c>
      <c r="S1819" s="193" t="s">
        <v>126</v>
      </c>
      <c r="T1819" s="192"/>
      <c r="U1819" s="829"/>
      <c r="V1819" s="10"/>
      <c r="W1819" s="10"/>
      <c r="X1819" s="10"/>
      <c r="Y1819" s="10"/>
      <c r="Z1819" s="10"/>
      <c r="AA1819" s="11"/>
      <c r="AB1819" s="11"/>
    </row>
    <row r="1820" spans="2:28" x14ac:dyDescent="0.3">
      <c r="B1820" s="10" t="s">
        <v>409</v>
      </c>
      <c r="C1820" s="315"/>
      <c r="D1820" s="868" t="s">
        <v>4685</v>
      </c>
      <c r="E1820" s="837" t="str">
        <f>IFERROR(IF(_xlfn.XLOOKUP(Imput[[#This Row],[RFC]],'Alta Proveedor'!D:D,'Alta Proveedor'!E:E)=0,"",_xlfn.XLOOKUP(Imput[[#This Row],[RFC]],'Alta Proveedor'!D:D,'Alta Proveedor'!E:E)),"")</f>
        <v>HOME DEPOT MEXICO SUCURSAL 8734-REYNOSA</v>
      </c>
      <c r="F1820" s="832" t="s">
        <v>4691</v>
      </c>
      <c r="G1820" s="187">
        <v>10</v>
      </c>
      <c r="H1820" s="1">
        <v>266.94400000000002</v>
      </c>
      <c r="I1820" s="169">
        <f>Imput[[#This Row],[Cantidad]]*Imput[[#This Row],[Precio Unitario]]</f>
        <v>2669.44</v>
      </c>
      <c r="J1820" s="11">
        <f>((Imput[[#This Row],[Sub total]])*(0.08))</f>
        <v>213.55520000000001</v>
      </c>
      <c r="K1820" s="11">
        <v>0</v>
      </c>
      <c r="L1820" s="169">
        <f>Imput[[#This Row],[Sub total]]+Imput[[#This Row],[IVA]]-Imput[[#This Row],[Retención / IEPS / Descuento]]</f>
        <v>2882.9952000000003</v>
      </c>
      <c r="M1820" s="844">
        <v>2882.9952000000003</v>
      </c>
      <c r="N1820" s="189" t="s">
        <v>123</v>
      </c>
      <c r="O1820" s="1"/>
      <c r="P1820" s="189" t="s">
        <v>4689</v>
      </c>
      <c r="Q1820" s="190" t="s">
        <v>4690</v>
      </c>
      <c r="R1820" s="188">
        <v>46070</v>
      </c>
      <c r="S1820" s="193" t="s">
        <v>126</v>
      </c>
      <c r="T1820" s="192"/>
      <c r="U1820" s="829"/>
      <c r="V1820" s="10"/>
      <c r="W1820" s="10"/>
      <c r="X1820" s="10"/>
      <c r="Y1820" s="10"/>
      <c r="Z1820" s="10"/>
      <c r="AA1820" s="11"/>
      <c r="AB1820" s="11"/>
    </row>
    <row r="1821" spans="2:28" x14ac:dyDescent="0.3">
      <c r="B1821" s="10" t="s">
        <v>409</v>
      </c>
      <c r="C1821" s="315"/>
      <c r="D1821" s="868" t="s">
        <v>4694</v>
      </c>
      <c r="E1821" s="837" t="str">
        <f>IFERROR(IF(_xlfn.XLOOKUP(Imput[[#This Row],[RFC]],'Alta Proveedor'!D:D,'Alta Proveedor'!E:E)=0,"",_xlfn.XLOOKUP(Imput[[#This Row],[RFC]],'Alta Proveedor'!D:D,'Alta Proveedor'!E:E)),"")</f>
        <v>CADECO, S.A. DE C.V.</v>
      </c>
      <c r="F1821" s="832" t="s">
        <v>4696</v>
      </c>
      <c r="G1821" s="187">
        <v>1</v>
      </c>
      <c r="H1821" s="1">
        <v>5.64</v>
      </c>
      <c r="I1821" s="169">
        <f>Imput[[#This Row],[Cantidad]]*Imput[[#This Row],[Precio Unitario]]</f>
        <v>5.64</v>
      </c>
      <c r="J1821" s="11">
        <f>((Imput[[#This Row],[Sub total]])*(0.08))</f>
        <v>0.45119999999999999</v>
      </c>
      <c r="K1821" s="11">
        <v>0</v>
      </c>
      <c r="L1821" s="169">
        <f>Imput[[#This Row],[Sub total]]+Imput[[#This Row],[IVA]]-Imput[[#This Row],[Retención / IEPS / Descuento]]</f>
        <v>6.0911999999999997</v>
      </c>
      <c r="M1821" s="844">
        <v>6.0911999999999997</v>
      </c>
      <c r="N1821" s="189" t="s">
        <v>123</v>
      </c>
      <c r="O1821" s="1"/>
      <c r="P1821" s="189" t="s">
        <v>4692</v>
      </c>
      <c r="Q1821" s="190" t="s">
        <v>4693</v>
      </c>
      <c r="R1821" s="188">
        <v>46070</v>
      </c>
      <c r="S1821" s="193" t="s">
        <v>126</v>
      </c>
      <c r="T1821" s="192"/>
      <c r="U1821" s="829"/>
      <c r="V1821" s="10"/>
      <c r="W1821" s="10"/>
      <c r="X1821" s="10"/>
      <c r="Y1821" s="10"/>
      <c r="Z1821" s="10"/>
      <c r="AA1821" s="11"/>
      <c r="AB1821" s="11"/>
    </row>
    <row r="1822" spans="2:28" x14ac:dyDescent="0.3">
      <c r="B1822" s="10" t="s">
        <v>409</v>
      </c>
      <c r="C1822" s="315"/>
      <c r="D1822" s="868" t="s">
        <v>1036</v>
      </c>
      <c r="E1822" s="837" t="str">
        <f>IFERROR(IF(_xlfn.XLOOKUP(Imput[[#This Row],[RFC]],'Alta Proveedor'!D:D,'Alta Proveedor'!E:E)=0,"",_xlfn.XLOOKUP(Imput[[#This Row],[RFC]],'Alta Proveedor'!D:D,'Alta Proveedor'!E:E)),"")</f>
        <v>AUTOZONE DE MEXICO</v>
      </c>
      <c r="F1822" s="832" t="s">
        <v>4699</v>
      </c>
      <c r="G1822" s="187">
        <v>1</v>
      </c>
      <c r="H1822" s="1">
        <v>184.26</v>
      </c>
      <c r="I1822" s="169">
        <f>Imput[[#This Row],[Cantidad]]*Imput[[#This Row],[Precio Unitario]]</f>
        <v>184.26</v>
      </c>
      <c r="J1822" s="11">
        <f>((Imput[[#This Row],[Sub total]])*(0.08))</f>
        <v>14.7408</v>
      </c>
      <c r="K1822" s="11">
        <v>0</v>
      </c>
      <c r="L1822" s="169">
        <f>Imput[[#This Row],[Sub total]]+Imput[[#This Row],[IVA]]-Imput[[#This Row],[Retención / IEPS / Descuento]]</f>
        <v>199.0008</v>
      </c>
      <c r="M1822" s="844">
        <v>199.0008</v>
      </c>
      <c r="N1822" s="189" t="s">
        <v>123</v>
      </c>
      <c r="O1822" s="1"/>
      <c r="P1822" s="189" t="s">
        <v>4697</v>
      </c>
      <c r="Q1822" s="190" t="s">
        <v>4698</v>
      </c>
      <c r="R1822" s="188">
        <v>46070</v>
      </c>
      <c r="S1822" s="193" t="s">
        <v>126</v>
      </c>
      <c r="T1822" s="192"/>
      <c r="U1822" s="829"/>
      <c r="V1822" s="10"/>
      <c r="W1822" s="10"/>
      <c r="X1822" s="10"/>
      <c r="Y1822" s="10"/>
      <c r="Z1822" s="10"/>
      <c r="AA1822" s="11"/>
      <c r="AB1822" s="11"/>
    </row>
    <row r="1823" spans="2:28" x14ac:dyDescent="0.3">
      <c r="B1823" s="10" t="s">
        <v>409</v>
      </c>
      <c r="C1823" s="315"/>
      <c r="D1823" s="868" t="s">
        <v>4704</v>
      </c>
      <c r="E1823" s="837" t="str">
        <f>IFERROR(IF(_xlfn.XLOOKUP(Imput[[#This Row],[RFC]],'Alta Proveedor'!D:D,'Alta Proveedor'!E:E)=0,"",_xlfn.XLOOKUP(Imput[[#This Row],[RFC]],'Alta Proveedor'!D:D,'Alta Proveedor'!E:E)),"")</f>
        <v>ALPEASA SERVICIOS</v>
      </c>
      <c r="F1823" s="832" t="s">
        <v>4706</v>
      </c>
      <c r="G1823" s="187">
        <v>1</v>
      </c>
      <c r="H1823" s="1">
        <v>8.6199999999999992</v>
      </c>
      <c r="I1823" s="169">
        <f>Imput[[#This Row],[Cantidad]]*Imput[[#This Row],[Precio Unitario]]</f>
        <v>8.6199999999999992</v>
      </c>
      <c r="J1823" s="11">
        <f>((Imput[[#This Row],[Sub total]])*(0.16))</f>
        <v>1.3792</v>
      </c>
      <c r="K1823" s="11">
        <v>0</v>
      </c>
      <c r="L1823" s="169">
        <f>Imput[[#This Row],[Sub total]]+Imput[[#This Row],[IVA]]-Imput[[#This Row],[Retención / IEPS / Descuento]]</f>
        <v>9.9991999999999983</v>
      </c>
      <c r="M1823" s="844">
        <v>9.9991999999999983</v>
      </c>
      <c r="N1823" s="189" t="s">
        <v>123</v>
      </c>
      <c r="O1823" s="1"/>
      <c r="P1823" s="189" t="s">
        <v>4700</v>
      </c>
      <c r="Q1823" s="190" t="s">
        <v>4701</v>
      </c>
      <c r="R1823" s="188">
        <v>46069</v>
      </c>
      <c r="S1823" s="193" t="s">
        <v>4702</v>
      </c>
      <c r="T1823" s="192"/>
      <c r="U1823" s="829"/>
      <c r="V1823" s="10"/>
      <c r="W1823" s="10"/>
      <c r="X1823" s="10"/>
      <c r="Y1823" s="10"/>
      <c r="Z1823" s="10"/>
      <c r="AA1823" s="11"/>
      <c r="AB1823" s="11"/>
    </row>
    <row r="1824" spans="2:28" x14ac:dyDescent="0.3">
      <c r="B1824" s="10" t="s">
        <v>407</v>
      </c>
      <c r="C1824" s="315"/>
      <c r="D1824" s="868" t="s">
        <v>3634</v>
      </c>
      <c r="E1824" s="837" t="str">
        <f>IFERROR(IF(_xlfn.XLOOKUP(Imput[[#This Row],[RFC]],'Alta Proveedor'!D:D,'Alta Proveedor'!E:E)=0,"",_xlfn.XLOOKUP(Imput[[#This Row],[RFC]],'Alta Proveedor'!D:D,'Alta Proveedor'!E:E)),"")</f>
        <v>INDUSTRIA MADERERA EL ROBLE</v>
      </c>
      <c r="F1824" s="832" t="s">
        <v>4709</v>
      </c>
      <c r="G1824" s="187">
        <v>533</v>
      </c>
      <c r="H1824" s="1">
        <v>18.100000000000001</v>
      </c>
      <c r="I1824" s="169">
        <f>Imput[[#This Row],[Cantidad]]*Imput[[#This Row],[Precio Unitario]]</f>
        <v>9647.3000000000011</v>
      </c>
      <c r="J1824" s="11">
        <f>((Imput[[#This Row],[Sub total]])*(0.16))</f>
        <v>1543.5680000000002</v>
      </c>
      <c r="K1824" s="11">
        <v>0</v>
      </c>
      <c r="L1824" s="169">
        <f>Imput[[#This Row],[Sub total]]+Imput[[#This Row],[IVA]]-Imput[[#This Row],[Retención / IEPS / Descuento]]</f>
        <v>11190.868000000002</v>
      </c>
      <c r="M1824" s="844">
        <v>11199.997200000002</v>
      </c>
      <c r="N1824" s="189" t="s">
        <v>123</v>
      </c>
      <c r="O1824" s="1"/>
      <c r="P1824" s="189" t="s">
        <v>4707</v>
      </c>
      <c r="Q1824" s="190" t="s">
        <v>4708</v>
      </c>
      <c r="R1824" s="188">
        <v>46067</v>
      </c>
      <c r="S1824" s="193" t="s">
        <v>126</v>
      </c>
      <c r="T1824" s="192"/>
      <c r="U1824" s="829"/>
      <c r="V1824" s="10"/>
      <c r="W1824" s="10"/>
      <c r="X1824" s="10"/>
      <c r="Y1824" s="10"/>
      <c r="Z1824" s="10"/>
      <c r="AA1824" s="11"/>
      <c r="AB1824" s="11"/>
    </row>
    <row r="1825" spans="2:28" x14ac:dyDescent="0.3">
      <c r="B1825" s="10" t="s">
        <v>407</v>
      </c>
      <c r="C1825" s="315"/>
      <c r="D1825" s="868" t="s">
        <v>3634</v>
      </c>
      <c r="E1825" s="837" t="str">
        <f>IFERROR(IF(_xlfn.XLOOKUP(Imput[[#This Row],[RFC]],'Alta Proveedor'!D:D,'Alta Proveedor'!E:E)=0,"",_xlfn.XLOOKUP(Imput[[#This Row],[RFC]],'Alta Proveedor'!D:D,'Alta Proveedor'!E:E)),"")</f>
        <v>INDUSTRIA MADERERA EL ROBLE</v>
      </c>
      <c r="F1825" s="832" t="s">
        <v>3637</v>
      </c>
      <c r="G1825" s="187">
        <v>1</v>
      </c>
      <c r="H1825" s="1">
        <v>7.87</v>
      </c>
      <c r="I1825" s="169">
        <f>Imput[[#This Row],[Cantidad]]*Imput[[#This Row],[Precio Unitario]]</f>
        <v>7.87</v>
      </c>
      <c r="J1825" s="11">
        <f>((Imput[[#This Row],[Sub total]])*(0.16))</f>
        <v>1.2592000000000001</v>
      </c>
      <c r="K1825" s="11">
        <v>0</v>
      </c>
      <c r="L1825" s="169">
        <f>Imput[[#This Row],[Sub total]]+Imput[[#This Row],[IVA]]-Imput[[#This Row],[Retención / IEPS / Descuento]]</f>
        <v>9.1292000000000009</v>
      </c>
      <c r="M1825" s="844">
        <v>0</v>
      </c>
      <c r="N1825" s="189" t="s">
        <v>123</v>
      </c>
      <c r="O1825" s="1"/>
      <c r="P1825" s="189" t="s">
        <v>4707</v>
      </c>
      <c r="Q1825" s="190" t="s">
        <v>4708</v>
      </c>
      <c r="R1825" s="188">
        <v>46067</v>
      </c>
      <c r="S1825" s="193" t="s">
        <v>126</v>
      </c>
      <c r="T1825" s="192"/>
      <c r="U1825" s="829"/>
      <c r="V1825" s="10"/>
      <c r="W1825" s="10"/>
      <c r="X1825" s="10"/>
      <c r="Y1825" s="10"/>
      <c r="Z1825" s="10"/>
      <c r="AA1825" s="11"/>
      <c r="AB1825" s="11"/>
    </row>
    <row r="1826" spans="2:28" x14ac:dyDescent="0.3">
      <c r="B1826" s="10" t="s">
        <v>407</v>
      </c>
      <c r="C1826" s="315"/>
      <c r="D1826" s="868" t="s">
        <v>4089</v>
      </c>
      <c r="E1826" s="837" t="str">
        <f>IFERROR(IF(_xlfn.XLOOKUP(Imput[[#This Row],[RFC]],'Alta Proveedor'!D:D,'Alta Proveedor'!E:E)=0,"",_xlfn.XLOOKUP(Imput[[#This Row],[RFC]],'Alta Proveedor'!D:D,'Alta Proveedor'!E:E)),"")</f>
        <v>HOME DEPOT MEXICO SUCURSAL 8757-CD.VICTORIA</v>
      </c>
      <c r="F1826" s="832" t="s">
        <v>4712</v>
      </c>
      <c r="G1826" s="187">
        <v>1</v>
      </c>
      <c r="H1826" s="1">
        <v>133.62</v>
      </c>
      <c r="I1826" s="169">
        <f>Imput[[#This Row],[Cantidad]]*Imput[[#This Row],[Precio Unitario]]</f>
        <v>133.62</v>
      </c>
      <c r="J1826" s="11">
        <f>((Imput[[#This Row],[Sub total]])*(0.16))</f>
        <v>21.379200000000001</v>
      </c>
      <c r="K1826" s="11">
        <v>0</v>
      </c>
      <c r="L1826" s="169">
        <f>Imput[[#This Row],[Sub total]]+Imput[[#This Row],[IVA]]-Imput[[#This Row],[Retención / IEPS / Descuento]]</f>
        <v>154.9992</v>
      </c>
      <c r="M1826" s="844">
        <v>623.00120000000004</v>
      </c>
      <c r="N1826" s="189" t="s">
        <v>123</v>
      </c>
      <c r="O1826" s="1"/>
      <c r="P1826" s="189" t="s">
        <v>4710</v>
      </c>
      <c r="Q1826" s="190" t="s">
        <v>4711</v>
      </c>
      <c r="R1826" s="188">
        <v>46068</v>
      </c>
      <c r="S1826" s="193" t="s">
        <v>126</v>
      </c>
      <c r="T1826" s="192"/>
      <c r="U1826" s="829"/>
      <c r="V1826" s="10"/>
      <c r="W1826" s="10"/>
      <c r="X1826" s="10"/>
      <c r="Y1826" s="10"/>
      <c r="Z1826" s="10"/>
      <c r="AA1826" s="11"/>
      <c r="AB1826" s="11"/>
    </row>
    <row r="1827" spans="2:28" x14ac:dyDescent="0.3">
      <c r="B1827" s="10" t="s">
        <v>407</v>
      </c>
      <c r="C1827" s="315"/>
      <c r="D1827" s="868" t="s">
        <v>4089</v>
      </c>
      <c r="E1827" s="837" t="str">
        <f>IFERROR(IF(_xlfn.XLOOKUP(Imput[[#This Row],[RFC]],'Alta Proveedor'!D:D,'Alta Proveedor'!E:E)=0,"",_xlfn.XLOOKUP(Imput[[#This Row],[RFC]],'Alta Proveedor'!D:D,'Alta Proveedor'!E:E)),"")</f>
        <v>HOME DEPOT MEXICO SUCURSAL 8757-CD.VICTORIA</v>
      </c>
      <c r="F1827" s="832" t="s">
        <v>4713</v>
      </c>
      <c r="G1827" s="187">
        <v>1</v>
      </c>
      <c r="H1827" s="1">
        <v>102.59</v>
      </c>
      <c r="I1827" s="169">
        <f>Imput[[#This Row],[Cantidad]]*Imput[[#This Row],[Precio Unitario]]</f>
        <v>102.59</v>
      </c>
      <c r="J1827" s="11">
        <f>((Imput[[#This Row],[Sub total]])*(0.16))</f>
        <v>16.414400000000001</v>
      </c>
      <c r="K1827" s="11">
        <v>0</v>
      </c>
      <c r="L1827" s="169">
        <f>Imput[[#This Row],[Sub total]]+Imput[[#This Row],[IVA]]-Imput[[#This Row],[Retención / IEPS / Descuento]]</f>
        <v>119.0044</v>
      </c>
      <c r="M1827" s="844">
        <v>0</v>
      </c>
      <c r="N1827" s="189" t="s">
        <v>123</v>
      </c>
      <c r="O1827" s="1"/>
      <c r="P1827" s="189" t="s">
        <v>4710</v>
      </c>
      <c r="Q1827" s="190" t="s">
        <v>4711</v>
      </c>
      <c r="R1827" s="188">
        <v>46068</v>
      </c>
      <c r="S1827" s="193" t="s">
        <v>126</v>
      </c>
      <c r="T1827" s="192"/>
      <c r="U1827" s="829"/>
      <c r="V1827" s="10"/>
      <c r="W1827" s="10"/>
      <c r="X1827" s="10"/>
      <c r="Y1827" s="10"/>
      <c r="Z1827" s="10"/>
      <c r="AA1827" s="11"/>
      <c r="AB1827" s="11"/>
    </row>
    <row r="1828" spans="2:28" x14ac:dyDescent="0.3">
      <c r="B1828" s="10" t="s">
        <v>407</v>
      </c>
      <c r="C1828" s="315"/>
      <c r="D1828" s="868" t="s">
        <v>4089</v>
      </c>
      <c r="E1828" s="837" t="str">
        <f>IFERROR(IF(_xlfn.XLOOKUP(Imput[[#This Row],[RFC]],'Alta Proveedor'!D:D,'Alta Proveedor'!E:E)=0,"",_xlfn.XLOOKUP(Imput[[#This Row],[RFC]],'Alta Proveedor'!D:D,'Alta Proveedor'!E:E)),"")</f>
        <v>HOME DEPOT MEXICO SUCURSAL 8757-CD.VICTORIA</v>
      </c>
      <c r="F1828" s="832" t="s">
        <v>4714</v>
      </c>
      <c r="G1828" s="187">
        <v>1</v>
      </c>
      <c r="H1828" s="1">
        <v>300.86</v>
      </c>
      <c r="I1828" s="169">
        <f>Imput[[#This Row],[Cantidad]]*Imput[[#This Row],[Precio Unitario]]</f>
        <v>300.86</v>
      </c>
      <c r="J1828" s="11">
        <f>((Imput[[#This Row],[Sub total]])*(0.16))</f>
        <v>48.137600000000006</v>
      </c>
      <c r="K1828" s="11">
        <v>0</v>
      </c>
      <c r="L1828" s="169">
        <f>Imput[[#This Row],[Sub total]]+Imput[[#This Row],[IVA]]-Imput[[#This Row],[Retención / IEPS / Descuento]]</f>
        <v>348.99760000000003</v>
      </c>
      <c r="M1828" s="844">
        <v>0</v>
      </c>
      <c r="N1828" s="189" t="s">
        <v>123</v>
      </c>
      <c r="O1828" s="1"/>
      <c r="P1828" s="189" t="s">
        <v>4710</v>
      </c>
      <c r="Q1828" s="190" t="s">
        <v>4711</v>
      </c>
      <c r="R1828" s="188">
        <v>46068</v>
      </c>
      <c r="S1828" s="193" t="s">
        <v>126</v>
      </c>
      <c r="T1828" s="192"/>
      <c r="U1828" s="829"/>
      <c r="V1828" s="10"/>
      <c r="W1828" s="10"/>
      <c r="X1828" s="10"/>
      <c r="Y1828" s="10"/>
      <c r="Z1828" s="10"/>
      <c r="AA1828" s="11"/>
      <c r="AB1828" s="11"/>
    </row>
    <row r="1829" spans="2:28" x14ac:dyDescent="0.3">
      <c r="B1829" s="10" t="s">
        <v>407</v>
      </c>
      <c r="C1829" s="315" t="s">
        <v>1767</v>
      </c>
      <c r="D1829" s="868" t="s">
        <v>4429</v>
      </c>
      <c r="E1829" s="837" t="str">
        <f>IFERROR(IF(_xlfn.XLOOKUP(Imput[[#This Row],[RFC]],'Alta Proveedor'!D:D,'Alta Proveedor'!E:E)=0,"",_xlfn.XLOOKUP(Imput[[#This Row],[RFC]],'Alta Proveedor'!D:D,'Alta Proveedor'!E:E)),"")</f>
        <v>SUPER SERVICIO GALAXIA (COMBUSTIBLES)</v>
      </c>
      <c r="F1829" s="832" t="s">
        <v>237</v>
      </c>
      <c r="G1829" s="187">
        <v>19.999963000000001</v>
      </c>
      <c r="H1829" s="1">
        <v>19.900537</v>
      </c>
      <c r="I1829" s="169">
        <f>Imput[[#This Row],[Cantidad]]*Imput[[#This Row],[Precio Unitario]]</f>
        <v>398.01000368013104</v>
      </c>
      <c r="J1829" s="11">
        <f>((386.19)*(0.16))</f>
        <v>61.790399999999998</v>
      </c>
      <c r="K1829" s="11">
        <v>0</v>
      </c>
      <c r="L1829" s="169">
        <f>Imput[[#This Row],[Sub total]]+Imput[[#This Row],[IVA]]-Imput[[#This Row],[Retención / IEPS / Descuento]]</f>
        <v>459.80040368013101</v>
      </c>
      <c r="M1829" s="844">
        <v>459.80040368013101</v>
      </c>
      <c r="N1829" s="189" t="s">
        <v>123</v>
      </c>
      <c r="O1829" s="1"/>
      <c r="P1829" s="189" t="s">
        <v>4715</v>
      </c>
      <c r="Q1829" s="190" t="s">
        <v>4716</v>
      </c>
      <c r="R1829" s="188">
        <v>46068</v>
      </c>
      <c r="S1829" s="193" t="s">
        <v>294</v>
      </c>
      <c r="T1829" s="192"/>
      <c r="U1829" s="829"/>
      <c r="V1829" s="10"/>
      <c r="W1829" s="10"/>
      <c r="X1829" s="10"/>
      <c r="Y1829" s="10"/>
      <c r="Z1829" s="10"/>
      <c r="AA1829" s="11"/>
      <c r="AB1829" s="11"/>
    </row>
    <row r="1830" spans="2:28" x14ac:dyDescent="0.3">
      <c r="B1830" s="10" t="s">
        <v>407</v>
      </c>
      <c r="C1830" s="315"/>
      <c r="D1830" s="868" t="s">
        <v>4664</v>
      </c>
      <c r="E1830" s="837" t="str">
        <f>IFERROR(IF(_xlfn.XLOOKUP(Imput[[#This Row],[RFC]],'Alta Proveedor'!D:D,'Alta Proveedor'!E:E)=0,"",_xlfn.XLOOKUP(Imput[[#This Row],[RFC]],'Alta Proveedor'!D:D,'Alta Proveedor'!E:E)),"")</f>
        <v>HOME DEPOT MEXICO SUCURSAL 8754-TAPACHULA</v>
      </c>
      <c r="F1830" s="832" t="s">
        <v>4719</v>
      </c>
      <c r="G1830" s="187">
        <v>1</v>
      </c>
      <c r="H1830" s="1">
        <v>110.19</v>
      </c>
      <c r="I1830" s="169">
        <f>Imput[[#This Row],[Cantidad]]*Imput[[#This Row],[Precio Unitario]]</f>
        <v>110.19</v>
      </c>
      <c r="J1830" s="11">
        <f>((Imput[[#This Row],[Sub total]])*(0.080005))</f>
        <v>8.81575095</v>
      </c>
      <c r="K1830" s="11">
        <v>0</v>
      </c>
      <c r="L1830" s="169">
        <f>Imput[[#This Row],[Sub total]]+Imput[[#This Row],[IVA]]-Imput[[#This Row],[Retención / IEPS / Descuento]]</f>
        <v>119.00575094999999</v>
      </c>
      <c r="M1830" s="844">
        <v>1683.6305945500001</v>
      </c>
      <c r="N1830" s="189" t="s">
        <v>123</v>
      </c>
      <c r="O1830" s="1"/>
      <c r="P1830" s="189" t="s">
        <v>4717</v>
      </c>
      <c r="Q1830" s="190" t="s">
        <v>4718</v>
      </c>
      <c r="R1830" s="188">
        <v>46067</v>
      </c>
      <c r="S1830" s="193" t="s">
        <v>126</v>
      </c>
      <c r="T1830" s="192"/>
      <c r="U1830" s="829"/>
      <c r="V1830" s="10"/>
      <c r="W1830" s="10"/>
      <c r="X1830" s="10"/>
      <c r="Y1830" s="10"/>
      <c r="Z1830" s="10"/>
      <c r="AA1830" s="11"/>
      <c r="AB1830" s="11"/>
    </row>
    <row r="1831" spans="2:28" x14ac:dyDescent="0.3">
      <c r="B1831" s="10" t="s">
        <v>407</v>
      </c>
      <c r="C1831" s="315"/>
      <c r="D1831" s="868" t="s">
        <v>4664</v>
      </c>
      <c r="E1831" s="837" t="str">
        <f>IFERROR(IF(_xlfn.XLOOKUP(Imput[[#This Row],[RFC]],'Alta Proveedor'!D:D,'Alta Proveedor'!E:E)=0,"",_xlfn.XLOOKUP(Imput[[#This Row],[RFC]],'Alta Proveedor'!D:D,'Alta Proveedor'!E:E)),"")</f>
        <v>HOME DEPOT MEXICO SUCURSAL 8754-TAPACHULA</v>
      </c>
      <c r="F1831" s="832" t="s">
        <v>4720</v>
      </c>
      <c r="G1831" s="187">
        <v>1</v>
      </c>
      <c r="H1831" s="1">
        <v>1282.4100000000001</v>
      </c>
      <c r="I1831" s="169">
        <f>Imput[[#This Row],[Cantidad]]*Imput[[#This Row],[Precio Unitario]]</f>
        <v>1282.4100000000001</v>
      </c>
      <c r="J1831" s="11">
        <f>((Imput[[#This Row],[Sub total]])*(0.080005))</f>
        <v>102.59921205000002</v>
      </c>
      <c r="K1831" s="11">
        <v>0</v>
      </c>
      <c r="L1831" s="169">
        <f>Imput[[#This Row],[Sub total]]+Imput[[#This Row],[IVA]]-Imput[[#This Row],[Retención / IEPS / Descuento]]</f>
        <v>1385.0092120500001</v>
      </c>
      <c r="M1831" s="844">
        <v>0</v>
      </c>
      <c r="N1831" s="189" t="s">
        <v>123</v>
      </c>
      <c r="O1831" s="1"/>
      <c r="P1831" s="189" t="s">
        <v>4717</v>
      </c>
      <c r="Q1831" s="190" t="s">
        <v>4718</v>
      </c>
      <c r="R1831" s="188">
        <v>46067</v>
      </c>
      <c r="S1831" s="193" t="s">
        <v>126</v>
      </c>
      <c r="T1831" s="192"/>
      <c r="U1831" s="829"/>
      <c r="V1831" s="10"/>
      <c r="W1831" s="10"/>
      <c r="X1831" s="10"/>
      <c r="Y1831" s="10"/>
      <c r="Z1831" s="10"/>
      <c r="AA1831" s="11"/>
      <c r="AB1831" s="11"/>
    </row>
    <row r="1832" spans="2:28" x14ac:dyDescent="0.3">
      <c r="B1832" s="10" t="s">
        <v>407</v>
      </c>
      <c r="C1832" s="315"/>
      <c r="D1832" s="868" t="s">
        <v>4664</v>
      </c>
      <c r="E1832" s="837" t="str">
        <f>IFERROR(IF(_xlfn.XLOOKUP(Imput[[#This Row],[RFC]],'Alta Proveedor'!D:D,'Alta Proveedor'!E:E)=0,"",_xlfn.XLOOKUP(Imput[[#This Row],[RFC]],'Alta Proveedor'!D:D,'Alta Proveedor'!E:E)),"")</f>
        <v>HOME DEPOT MEXICO SUCURSAL 8754-TAPACHULA</v>
      </c>
      <c r="F1832" s="832" t="s">
        <v>4721</v>
      </c>
      <c r="G1832" s="187">
        <v>1</v>
      </c>
      <c r="H1832" s="1">
        <v>142.24</v>
      </c>
      <c r="I1832" s="169">
        <f>Imput[[#This Row],[Cantidad]]*Imput[[#This Row],[Precio Unitario]]</f>
        <v>142.24</v>
      </c>
      <c r="J1832" s="11">
        <f>((Imput[[#This Row],[Sub total]])*(0.080005))</f>
        <v>11.379911200000002</v>
      </c>
      <c r="K1832" s="11">
        <v>0</v>
      </c>
      <c r="L1832" s="169">
        <f>Imput[[#This Row],[Sub total]]+Imput[[#This Row],[IVA]]-Imput[[#This Row],[Retención / IEPS / Descuento]]</f>
        <v>153.61991120000002</v>
      </c>
      <c r="M1832" s="844">
        <v>0</v>
      </c>
      <c r="N1832" s="189" t="s">
        <v>123</v>
      </c>
      <c r="O1832" s="1"/>
      <c r="P1832" s="189" t="s">
        <v>4717</v>
      </c>
      <c r="Q1832" s="190" t="s">
        <v>4718</v>
      </c>
      <c r="R1832" s="188">
        <v>46067</v>
      </c>
      <c r="S1832" s="193" t="s">
        <v>126</v>
      </c>
      <c r="T1832" s="192"/>
      <c r="U1832" s="829"/>
      <c r="V1832" s="10"/>
      <c r="W1832" s="10"/>
      <c r="X1832" s="10"/>
      <c r="Y1832" s="10"/>
      <c r="Z1832" s="10"/>
      <c r="AA1832" s="11"/>
      <c r="AB1832" s="11"/>
    </row>
    <row r="1833" spans="2:28" x14ac:dyDescent="0.3">
      <c r="B1833" s="10" t="s">
        <v>407</v>
      </c>
      <c r="C1833" s="315"/>
      <c r="D1833" s="868" t="s">
        <v>4664</v>
      </c>
      <c r="E1833" s="837" t="str">
        <f>IFERROR(IF(_xlfn.XLOOKUP(Imput[[#This Row],[RFC]],'Alta Proveedor'!D:D,'Alta Proveedor'!E:E)=0,"",_xlfn.XLOOKUP(Imput[[#This Row],[RFC]],'Alta Proveedor'!D:D,'Alta Proveedor'!E:E)),"")</f>
        <v>HOME DEPOT MEXICO SUCURSAL 8754-TAPACHULA</v>
      </c>
      <c r="F1833" s="832" t="s">
        <v>4722</v>
      </c>
      <c r="G1833" s="187">
        <v>1</v>
      </c>
      <c r="H1833" s="1">
        <v>24.07</v>
      </c>
      <c r="I1833" s="169">
        <f>Imput[[#This Row],[Cantidad]]*Imput[[#This Row],[Precio Unitario]]</f>
        <v>24.07</v>
      </c>
      <c r="J1833" s="11">
        <f>((Imput[[#This Row],[Sub total]])*(0.080005))</f>
        <v>1.9257203500000002</v>
      </c>
      <c r="K1833" s="11">
        <v>0</v>
      </c>
      <c r="L1833" s="169">
        <f>Imput[[#This Row],[Sub total]]+Imput[[#This Row],[IVA]]-Imput[[#This Row],[Retención / IEPS / Descuento]]</f>
        <v>25.995720349999999</v>
      </c>
      <c r="M1833" s="844">
        <v>0</v>
      </c>
      <c r="N1833" s="189" t="s">
        <v>123</v>
      </c>
      <c r="O1833" s="1"/>
      <c r="P1833" s="189" t="s">
        <v>4717</v>
      </c>
      <c r="Q1833" s="190" t="s">
        <v>4718</v>
      </c>
      <c r="R1833" s="188">
        <v>46067</v>
      </c>
      <c r="S1833" s="193" t="s">
        <v>126</v>
      </c>
      <c r="T1833" s="192"/>
      <c r="U1833" s="829"/>
      <c r="V1833" s="10"/>
      <c r="W1833" s="10"/>
      <c r="X1833" s="10"/>
      <c r="Y1833" s="10"/>
      <c r="Z1833" s="10"/>
      <c r="AA1833" s="11"/>
      <c r="AB1833" s="11"/>
    </row>
    <row r="1834" spans="2:28" x14ac:dyDescent="0.3">
      <c r="B1834" s="10" t="s">
        <v>407</v>
      </c>
      <c r="C1834" s="315"/>
      <c r="D1834" s="868" t="s">
        <v>4694</v>
      </c>
      <c r="E1834" s="837" t="str">
        <f>IFERROR(IF(_xlfn.XLOOKUP(Imput[[#This Row],[RFC]],'Alta Proveedor'!D:D,'Alta Proveedor'!E:E)=0,"",_xlfn.XLOOKUP(Imput[[#This Row],[RFC]],'Alta Proveedor'!D:D,'Alta Proveedor'!E:E)),"")</f>
        <v>CADECO, S.A. DE C.V.</v>
      </c>
      <c r="F1834" s="832" t="s">
        <v>4725</v>
      </c>
      <c r="G1834" s="187">
        <v>1</v>
      </c>
      <c r="H1834" s="1">
        <v>4839.8599999999997</v>
      </c>
      <c r="I1834" s="169">
        <f>Imput[[#This Row],[Cantidad]]*Imput[[#This Row],[Precio Unitario]]</f>
        <v>4839.8599999999997</v>
      </c>
      <c r="J1834" s="11">
        <f>((Imput[[#This Row],[Sub total]])*(0.08))</f>
        <v>387.18879999999996</v>
      </c>
      <c r="K1834" s="11">
        <v>0</v>
      </c>
      <c r="L1834" s="169">
        <f>Imput[[#This Row],[Sub total]]+Imput[[#This Row],[IVA]]-Imput[[#This Row],[Retención / IEPS / Descuento]]</f>
        <v>5227.0487999999996</v>
      </c>
      <c r="M1834" s="844">
        <v>5227.0487999999996</v>
      </c>
      <c r="N1834" s="189" t="s">
        <v>123</v>
      </c>
      <c r="O1834" s="1"/>
      <c r="P1834" s="189" t="s">
        <v>4723</v>
      </c>
      <c r="Q1834" s="190" t="s">
        <v>4724</v>
      </c>
      <c r="R1834" s="188">
        <v>46066</v>
      </c>
      <c r="S1834" s="193" t="s">
        <v>126</v>
      </c>
      <c r="T1834" s="192"/>
      <c r="U1834" s="829"/>
      <c r="V1834" s="10"/>
      <c r="W1834" s="10"/>
      <c r="X1834" s="10"/>
      <c r="Y1834" s="10"/>
      <c r="Z1834" s="10"/>
      <c r="AA1834" s="11"/>
      <c r="AB1834" s="11"/>
    </row>
    <row r="1835" spans="2:28" x14ac:dyDescent="0.3">
      <c r="B1835" s="10" t="s">
        <v>407</v>
      </c>
      <c r="C1835" s="315" t="s">
        <v>1767</v>
      </c>
      <c r="D1835" s="868" t="s">
        <v>3731</v>
      </c>
      <c r="E1835" s="837" t="str">
        <f>IFERROR(IF(_xlfn.XLOOKUP(Imput[[#This Row],[RFC]],'Alta Proveedor'!D:D,'Alta Proveedor'!E:E)=0,"",_xlfn.XLOOKUP(Imput[[#This Row],[RFC]],'Alta Proveedor'!D:D,'Alta Proveedor'!E:E)),"")</f>
        <v>GENSA AUTO SERVICIO EXPRESS "GRUPO BURGOS" (COMBUSTIBLES)</v>
      </c>
      <c r="F1835" s="832" t="s">
        <v>1114</v>
      </c>
      <c r="G1835" s="187">
        <v>60.134999999999998</v>
      </c>
      <c r="H1835" s="1">
        <v>23.165986</v>
      </c>
      <c r="I1835" s="169">
        <f>Imput[[#This Row],[Cantidad]]*Imput[[#This Row],[Precio Unitario]]</f>
        <v>1393.0865681099999</v>
      </c>
      <c r="J1835" s="11">
        <v>109.08</v>
      </c>
      <c r="K1835" s="11">
        <v>0</v>
      </c>
      <c r="L1835" s="169">
        <f>Imput[[#This Row],[Sub total]]+Imput[[#This Row],[IVA]]-Imput[[#This Row],[Retención / IEPS / Descuento]]</f>
        <v>1502.1665681099998</v>
      </c>
      <c r="M1835" s="844">
        <v>1502.1665681099998</v>
      </c>
      <c r="N1835" s="189" t="s">
        <v>123</v>
      </c>
      <c r="O1835" s="1"/>
      <c r="P1835" s="189" t="s">
        <v>4726</v>
      </c>
      <c r="Q1835" s="190" t="s">
        <v>4727</v>
      </c>
      <c r="R1835" s="188">
        <v>46066</v>
      </c>
      <c r="S1835" s="193" t="s">
        <v>126</v>
      </c>
      <c r="T1835" s="192"/>
      <c r="U1835" s="829"/>
      <c r="V1835" s="10"/>
      <c r="W1835" s="10"/>
      <c r="X1835" s="10"/>
      <c r="Y1835" s="10"/>
      <c r="Z1835" s="10"/>
      <c r="AA1835" s="11"/>
      <c r="AB1835" s="11"/>
    </row>
    <row r="1836" spans="2:28" x14ac:dyDescent="0.3">
      <c r="B1836" s="10" t="s">
        <v>407</v>
      </c>
      <c r="C1836" s="315"/>
      <c r="D1836" s="868" t="s">
        <v>4685</v>
      </c>
      <c r="E1836" s="837" t="str">
        <f>IFERROR(IF(_xlfn.XLOOKUP(Imput[[#This Row],[RFC]],'Alta Proveedor'!D:D,'Alta Proveedor'!E:E)=0,"",_xlfn.XLOOKUP(Imput[[#This Row],[RFC]],'Alta Proveedor'!D:D,'Alta Proveedor'!E:E)),"")</f>
        <v>HOME DEPOT MEXICO SUCURSAL 8734-REYNOSA</v>
      </c>
      <c r="F1836" s="832" t="s">
        <v>4730</v>
      </c>
      <c r="G1836" s="187">
        <v>3</v>
      </c>
      <c r="H1836" s="1">
        <v>24.5</v>
      </c>
      <c r="I1836" s="169">
        <f>Imput[[#This Row],[Cantidad]]*Imput[[#This Row],[Precio Unitario]]</f>
        <v>73.5</v>
      </c>
      <c r="J1836" s="11">
        <f>((Imput[[#This Row],[Sub total]])*(0.08))</f>
        <v>5.88</v>
      </c>
      <c r="K1836" s="11">
        <v>0</v>
      </c>
      <c r="L1836" s="169">
        <f>Imput[[#This Row],[Sub total]]+Imput[[#This Row],[IVA]]-Imput[[#This Row],[Retención / IEPS / Descuento]]</f>
        <v>79.38</v>
      </c>
      <c r="M1836" s="844">
        <v>280.28160000000003</v>
      </c>
      <c r="N1836" s="189" t="s">
        <v>123</v>
      </c>
      <c r="O1836" s="1"/>
      <c r="P1836" s="189" t="s">
        <v>4728</v>
      </c>
      <c r="Q1836" s="190" t="s">
        <v>4729</v>
      </c>
      <c r="R1836" s="188">
        <v>46066</v>
      </c>
      <c r="S1836" s="193" t="s">
        <v>126</v>
      </c>
      <c r="T1836" s="192"/>
      <c r="U1836" s="829"/>
      <c r="V1836" s="10"/>
      <c r="W1836" s="10"/>
      <c r="X1836" s="10"/>
      <c r="Y1836" s="10"/>
      <c r="Z1836" s="10"/>
      <c r="AA1836" s="11"/>
      <c r="AB1836" s="11"/>
    </row>
    <row r="1837" spans="2:28" x14ac:dyDescent="0.3">
      <c r="B1837" s="10" t="s">
        <v>407</v>
      </c>
      <c r="C1837" s="315"/>
      <c r="D1837" s="868" t="s">
        <v>4685</v>
      </c>
      <c r="E1837" s="837" t="str">
        <f>IFERROR(IF(_xlfn.XLOOKUP(Imput[[#This Row],[RFC]],'Alta Proveedor'!D:D,'Alta Proveedor'!E:E)=0,"",_xlfn.XLOOKUP(Imput[[#This Row],[RFC]],'Alta Proveedor'!D:D,'Alta Proveedor'!E:E)),"")</f>
        <v>HOME DEPOT MEXICO SUCURSAL 8734-REYNOSA</v>
      </c>
      <c r="F1837" s="832" t="s">
        <v>4731</v>
      </c>
      <c r="G1837" s="187">
        <v>1</v>
      </c>
      <c r="H1837" s="1">
        <v>186.02</v>
      </c>
      <c r="I1837" s="169">
        <f>Imput[[#This Row],[Cantidad]]*Imput[[#This Row],[Precio Unitario]]</f>
        <v>186.02</v>
      </c>
      <c r="J1837" s="11">
        <f>((Imput[[#This Row],[Sub total]])*(0.08))</f>
        <v>14.881600000000001</v>
      </c>
      <c r="K1837" s="11">
        <v>0</v>
      </c>
      <c r="L1837" s="169">
        <f>Imput[[#This Row],[Sub total]]+Imput[[#This Row],[IVA]]-Imput[[#This Row],[Retención / IEPS / Descuento]]</f>
        <v>200.9016</v>
      </c>
      <c r="M1837" s="844">
        <v>0</v>
      </c>
      <c r="N1837" s="189" t="s">
        <v>123</v>
      </c>
      <c r="O1837" s="1"/>
      <c r="P1837" s="189" t="s">
        <v>4728</v>
      </c>
      <c r="Q1837" s="190" t="s">
        <v>4729</v>
      </c>
      <c r="R1837" s="188">
        <v>46066</v>
      </c>
      <c r="S1837" s="193" t="s">
        <v>126</v>
      </c>
      <c r="T1837" s="192"/>
      <c r="U1837" s="829"/>
      <c r="V1837" s="10"/>
      <c r="W1837" s="10"/>
      <c r="X1837" s="10"/>
      <c r="Y1837" s="10"/>
      <c r="Z1837" s="10"/>
      <c r="AA1837" s="11"/>
      <c r="AB1837" s="11"/>
    </row>
    <row r="1838" spans="2:28" x14ac:dyDescent="0.3">
      <c r="B1838" s="10" t="s">
        <v>407</v>
      </c>
      <c r="C1838" s="315"/>
      <c r="D1838" s="868" t="s">
        <v>4685</v>
      </c>
      <c r="E1838" s="837" t="str">
        <f>IFERROR(IF(_xlfn.XLOOKUP(Imput[[#This Row],[RFC]],'Alta Proveedor'!D:D,'Alta Proveedor'!E:E)=0,"",_xlfn.XLOOKUP(Imput[[#This Row],[RFC]],'Alta Proveedor'!D:D,'Alta Proveedor'!E:E)),"")</f>
        <v>HOME DEPOT MEXICO SUCURSAL 8734-REYNOSA</v>
      </c>
      <c r="F1838" s="832" t="s">
        <v>4734</v>
      </c>
      <c r="G1838" s="187">
        <v>50</v>
      </c>
      <c r="H1838" s="1">
        <f>1031.94/Imput[[#This Row],[Cantidad]]</f>
        <v>20.6388</v>
      </c>
      <c r="I1838" s="169">
        <f>Imput[[#This Row],[Cantidad]]*Imput[[#This Row],[Precio Unitario]]</f>
        <v>1031.94</v>
      </c>
      <c r="J1838" s="11">
        <f>((Imput[[#This Row],[Sub total]])*(0.08))+0.003</f>
        <v>82.558199999999999</v>
      </c>
      <c r="K1838" s="11">
        <v>0</v>
      </c>
      <c r="L1838" s="169">
        <f>Imput[[#This Row],[Sub total]]+Imput[[#This Row],[IVA]]-Imput[[#This Row],[Retención / IEPS / Descuento]]</f>
        <v>1114.4982</v>
      </c>
      <c r="M1838" s="844">
        <v>4899.0450000000001</v>
      </c>
      <c r="N1838" s="189" t="s">
        <v>123</v>
      </c>
      <c r="O1838" s="1"/>
      <c r="P1838" s="189" t="s">
        <v>4732</v>
      </c>
      <c r="Q1838" s="190" t="s">
        <v>4733</v>
      </c>
      <c r="R1838" s="188">
        <v>46065</v>
      </c>
      <c r="S1838" s="193" t="s">
        <v>126</v>
      </c>
      <c r="T1838" s="192"/>
      <c r="U1838" s="829"/>
      <c r="V1838" s="10"/>
      <c r="W1838" s="10"/>
      <c r="X1838" s="10"/>
      <c r="Y1838" s="10"/>
      <c r="Z1838" s="10"/>
      <c r="AA1838" s="11"/>
      <c r="AB1838" s="11"/>
    </row>
    <row r="1839" spans="2:28" x14ac:dyDescent="0.3">
      <c r="B1839" s="10" t="s">
        <v>407</v>
      </c>
      <c r="C1839" s="315"/>
      <c r="D1839" s="868" t="s">
        <v>4685</v>
      </c>
      <c r="E1839" s="837" t="str">
        <f>IFERROR(IF(_xlfn.XLOOKUP(Imput[[#This Row],[RFC]],'Alta Proveedor'!D:D,'Alta Proveedor'!E:E)=0,"",_xlfn.XLOOKUP(Imput[[#This Row],[RFC]],'Alta Proveedor'!D:D,'Alta Proveedor'!E:E)),"")</f>
        <v>HOME DEPOT MEXICO SUCURSAL 8734-REYNOSA</v>
      </c>
      <c r="F1839" s="832" t="s">
        <v>4735</v>
      </c>
      <c r="G1839" s="187">
        <v>1</v>
      </c>
      <c r="H1839" s="1">
        <v>51.72</v>
      </c>
      <c r="I1839" s="169">
        <f>Imput[[#This Row],[Cantidad]]*Imput[[#This Row],[Precio Unitario]]</f>
        <v>51.72</v>
      </c>
      <c r="J1839" s="11">
        <f>((Imput[[#This Row],[Sub total]])*(0.08))</f>
        <v>4.1375999999999999</v>
      </c>
      <c r="K1839" s="11">
        <v>0</v>
      </c>
      <c r="L1839" s="169">
        <f>Imput[[#This Row],[Sub total]]+Imput[[#This Row],[IVA]]-Imput[[#This Row],[Retención / IEPS / Descuento]]</f>
        <v>55.857599999999998</v>
      </c>
      <c r="M1839" s="844">
        <v>0</v>
      </c>
      <c r="N1839" s="189" t="s">
        <v>123</v>
      </c>
      <c r="O1839" s="1"/>
      <c r="P1839" s="189" t="s">
        <v>4732</v>
      </c>
      <c r="Q1839" s="190" t="s">
        <v>4733</v>
      </c>
      <c r="R1839" s="188">
        <v>46065</v>
      </c>
      <c r="S1839" s="193" t="s">
        <v>126</v>
      </c>
      <c r="T1839" s="192"/>
      <c r="U1839" s="829"/>
      <c r="V1839" s="10"/>
      <c r="W1839" s="10"/>
      <c r="X1839" s="10"/>
      <c r="Y1839" s="10"/>
      <c r="Z1839" s="10"/>
      <c r="AA1839" s="11"/>
      <c r="AB1839" s="11"/>
    </row>
    <row r="1840" spans="2:28" x14ac:dyDescent="0.3">
      <c r="B1840" s="10" t="s">
        <v>407</v>
      </c>
      <c r="C1840" s="315"/>
      <c r="D1840" s="868" t="s">
        <v>4685</v>
      </c>
      <c r="E1840" s="837" t="str">
        <f>IFERROR(IF(_xlfn.XLOOKUP(Imput[[#This Row],[RFC]],'Alta Proveedor'!D:D,'Alta Proveedor'!E:E)=0,"",_xlfn.XLOOKUP(Imput[[#This Row],[RFC]],'Alta Proveedor'!D:D,'Alta Proveedor'!E:E)),"")</f>
        <v>HOME DEPOT MEXICO SUCURSAL 8734-REYNOSA</v>
      </c>
      <c r="F1840" s="832" t="s">
        <v>4736</v>
      </c>
      <c r="G1840" s="187">
        <v>1</v>
      </c>
      <c r="H1840" s="1">
        <v>72.59</v>
      </c>
      <c r="I1840" s="169">
        <f>Imput[[#This Row],[Cantidad]]*Imput[[#This Row],[Precio Unitario]]</f>
        <v>72.59</v>
      </c>
      <c r="J1840" s="11">
        <f>((Imput[[#This Row],[Sub total]])*(0.08))</f>
        <v>5.8072000000000008</v>
      </c>
      <c r="K1840" s="11">
        <v>0</v>
      </c>
      <c r="L1840" s="169">
        <f>Imput[[#This Row],[Sub total]]+Imput[[#This Row],[IVA]]-Imput[[#This Row],[Retención / IEPS / Descuento]]</f>
        <v>78.397199999999998</v>
      </c>
      <c r="M1840" s="844">
        <v>0</v>
      </c>
      <c r="N1840" s="189" t="s">
        <v>123</v>
      </c>
      <c r="O1840" s="1"/>
      <c r="P1840" s="189" t="s">
        <v>4732</v>
      </c>
      <c r="Q1840" s="190" t="s">
        <v>4733</v>
      </c>
      <c r="R1840" s="188">
        <v>46065</v>
      </c>
      <c r="S1840" s="193" t="s">
        <v>126</v>
      </c>
      <c r="T1840" s="192"/>
      <c r="U1840" s="829"/>
      <c r="V1840" s="10"/>
      <c r="W1840" s="10"/>
      <c r="X1840" s="10"/>
      <c r="Y1840" s="10"/>
      <c r="Z1840" s="10"/>
      <c r="AA1840" s="11"/>
      <c r="AB1840" s="11"/>
    </row>
    <row r="1841" spans="2:28" x14ac:dyDescent="0.3">
      <c r="B1841" s="10" t="s">
        <v>407</v>
      </c>
      <c r="C1841" s="315"/>
      <c r="D1841" s="868" t="s">
        <v>4685</v>
      </c>
      <c r="E1841" s="837" t="str">
        <f>IFERROR(IF(_xlfn.XLOOKUP(Imput[[#This Row],[RFC]],'Alta Proveedor'!D:D,'Alta Proveedor'!E:E)=0,"",_xlfn.XLOOKUP(Imput[[#This Row],[RFC]],'Alta Proveedor'!D:D,'Alta Proveedor'!E:E)),"")</f>
        <v>HOME DEPOT MEXICO SUCURSAL 8734-REYNOSA</v>
      </c>
      <c r="F1841" s="832" t="s">
        <v>4737</v>
      </c>
      <c r="G1841" s="187">
        <v>1</v>
      </c>
      <c r="H1841" s="1">
        <v>100.33</v>
      </c>
      <c r="I1841" s="169">
        <f>Imput[[#This Row],[Cantidad]]*Imput[[#This Row],[Precio Unitario]]</f>
        <v>100.33</v>
      </c>
      <c r="J1841" s="11">
        <f>((Imput[[#This Row],[Sub total]])*(0.08))</f>
        <v>8.0264000000000006</v>
      </c>
      <c r="K1841" s="11">
        <v>0</v>
      </c>
      <c r="L1841" s="169">
        <f>Imput[[#This Row],[Sub total]]+Imput[[#This Row],[IVA]]-Imput[[#This Row],[Retención / IEPS / Descuento]]</f>
        <v>108.35639999999999</v>
      </c>
      <c r="M1841" s="844">
        <v>0</v>
      </c>
      <c r="N1841" s="189" t="s">
        <v>123</v>
      </c>
      <c r="O1841" s="1"/>
      <c r="P1841" s="189" t="s">
        <v>4732</v>
      </c>
      <c r="Q1841" s="190" t="s">
        <v>4733</v>
      </c>
      <c r="R1841" s="188">
        <v>46065</v>
      </c>
      <c r="S1841" s="193" t="s">
        <v>126</v>
      </c>
      <c r="T1841" s="192"/>
      <c r="U1841" s="829"/>
      <c r="V1841" s="10"/>
      <c r="W1841" s="10"/>
      <c r="X1841" s="10"/>
      <c r="Y1841" s="10"/>
      <c r="Z1841" s="10"/>
      <c r="AA1841" s="11"/>
      <c r="AB1841" s="11"/>
    </row>
    <row r="1842" spans="2:28" x14ac:dyDescent="0.3">
      <c r="B1842" s="10" t="s">
        <v>407</v>
      </c>
      <c r="C1842" s="315"/>
      <c r="D1842" s="868" t="s">
        <v>4685</v>
      </c>
      <c r="E1842" s="837" t="str">
        <f>IFERROR(IF(_xlfn.XLOOKUP(Imput[[#This Row],[RFC]],'Alta Proveedor'!D:D,'Alta Proveedor'!E:E)=0,"",_xlfn.XLOOKUP(Imput[[#This Row],[RFC]],'Alta Proveedor'!D:D,'Alta Proveedor'!E:E)),"")</f>
        <v>HOME DEPOT MEXICO SUCURSAL 8734-REYNOSA</v>
      </c>
      <c r="F1842" s="832" t="s">
        <v>4738</v>
      </c>
      <c r="G1842" s="187">
        <v>1</v>
      </c>
      <c r="H1842" s="1">
        <v>235.02</v>
      </c>
      <c r="I1842" s="169">
        <f>Imput[[#This Row],[Cantidad]]*Imput[[#This Row],[Precio Unitario]]</f>
        <v>235.02</v>
      </c>
      <c r="J1842" s="11">
        <f>((Imput[[#This Row],[Sub total]])*(0.08))</f>
        <v>18.801600000000001</v>
      </c>
      <c r="K1842" s="11">
        <v>0</v>
      </c>
      <c r="L1842" s="169">
        <f>Imput[[#This Row],[Sub total]]+Imput[[#This Row],[IVA]]-Imput[[#This Row],[Retención / IEPS / Descuento]]</f>
        <v>253.82160000000002</v>
      </c>
      <c r="M1842" s="844">
        <v>0</v>
      </c>
      <c r="N1842" s="189" t="s">
        <v>123</v>
      </c>
      <c r="O1842" s="1"/>
      <c r="P1842" s="189" t="s">
        <v>4732</v>
      </c>
      <c r="Q1842" s="190" t="s">
        <v>4733</v>
      </c>
      <c r="R1842" s="188">
        <v>46065</v>
      </c>
      <c r="S1842" s="193" t="s">
        <v>126</v>
      </c>
      <c r="T1842" s="192"/>
      <c r="U1842" s="829"/>
      <c r="V1842" s="10"/>
      <c r="W1842" s="10"/>
      <c r="X1842" s="10"/>
      <c r="Y1842" s="10"/>
      <c r="Z1842" s="10"/>
      <c r="AA1842" s="11"/>
      <c r="AB1842" s="11"/>
    </row>
    <row r="1843" spans="2:28" x14ac:dyDescent="0.3">
      <c r="B1843" s="10" t="s">
        <v>407</v>
      </c>
      <c r="C1843" s="315"/>
      <c r="D1843" s="868" t="s">
        <v>4685</v>
      </c>
      <c r="E1843" s="837" t="str">
        <f>IFERROR(IF(_xlfn.XLOOKUP(Imput[[#This Row],[RFC]],'Alta Proveedor'!D:D,'Alta Proveedor'!E:E)=0,"",_xlfn.XLOOKUP(Imput[[#This Row],[RFC]],'Alta Proveedor'!D:D,'Alta Proveedor'!E:E)),"")</f>
        <v>HOME DEPOT MEXICO SUCURSAL 8734-REYNOSA</v>
      </c>
      <c r="F1843" s="832" t="s">
        <v>4739</v>
      </c>
      <c r="G1843" s="187">
        <v>1</v>
      </c>
      <c r="H1843" s="1">
        <v>113.43</v>
      </c>
      <c r="I1843" s="169">
        <f>Imput[[#This Row],[Cantidad]]*Imput[[#This Row],[Precio Unitario]]</f>
        <v>113.43</v>
      </c>
      <c r="J1843" s="11">
        <f>((Imput[[#This Row],[Sub total]])*(0.08))</f>
        <v>9.0744000000000007</v>
      </c>
      <c r="K1843" s="11">
        <v>0</v>
      </c>
      <c r="L1843" s="169">
        <f>Imput[[#This Row],[Sub total]]+Imput[[#This Row],[IVA]]-Imput[[#This Row],[Retención / IEPS / Descuento]]</f>
        <v>122.5044</v>
      </c>
      <c r="M1843" s="844">
        <v>0</v>
      </c>
      <c r="N1843" s="189" t="s">
        <v>123</v>
      </c>
      <c r="O1843" s="1"/>
      <c r="P1843" s="189" t="s">
        <v>4732</v>
      </c>
      <c r="Q1843" s="190" t="s">
        <v>4733</v>
      </c>
      <c r="R1843" s="188">
        <v>46065</v>
      </c>
      <c r="S1843" s="193" t="s">
        <v>126</v>
      </c>
      <c r="T1843" s="192"/>
      <c r="U1843" s="829"/>
      <c r="V1843" s="10"/>
      <c r="W1843" s="10"/>
      <c r="X1843" s="10"/>
      <c r="Y1843" s="10"/>
      <c r="Z1843" s="10"/>
      <c r="AA1843" s="11"/>
      <c r="AB1843" s="11"/>
    </row>
    <row r="1844" spans="2:28" x14ac:dyDescent="0.3">
      <c r="B1844" s="10" t="s">
        <v>407</v>
      </c>
      <c r="C1844" s="315"/>
      <c r="D1844" s="868" t="s">
        <v>4685</v>
      </c>
      <c r="E1844" s="837" t="str">
        <f>IFERROR(IF(_xlfn.XLOOKUP(Imput[[#This Row],[RFC]],'Alta Proveedor'!D:D,'Alta Proveedor'!E:E)=0,"",_xlfn.XLOOKUP(Imput[[#This Row],[RFC]],'Alta Proveedor'!D:D,'Alta Proveedor'!E:E)),"")</f>
        <v>HOME DEPOT MEXICO SUCURSAL 8734-REYNOSA</v>
      </c>
      <c r="F1844" s="832" t="s">
        <v>4740</v>
      </c>
      <c r="G1844" s="187">
        <v>1</v>
      </c>
      <c r="H1844" s="1">
        <v>19.149999999999999</v>
      </c>
      <c r="I1844" s="169">
        <f>Imput[[#This Row],[Cantidad]]*Imput[[#This Row],[Precio Unitario]]</f>
        <v>19.149999999999999</v>
      </c>
      <c r="J1844" s="11">
        <f>((Imput[[#This Row],[Sub total]])*(0.08))</f>
        <v>1.532</v>
      </c>
      <c r="K1844" s="11">
        <v>0</v>
      </c>
      <c r="L1844" s="169">
        <f>Imput[[#This Row],[Sub total]]+Imput[[#This Row],[IVA]]-Imput[[#This Row],[Retención / IEPS / Descuento]]</f>
        <v>20.681999999999999</v>
      </c>
      <c r="M1844" s="844">
        <v>0</v>
      </c>
      <c r="N1844" s="189" t="s">
        <v>123</v>
      </c>
      <c r="O1844" s="1"/>
      <c r="P1844" s="189" t="s">
        <v>4732</v>
      </c>
      <c r="Q1844" s="190" t="s">
        <v>4733</v>
      </c>
      <c r="R1844" s="188">
        <v>46065</v>
      </c>
      <c r="S1844" s="193" t="s">
        <v>126</v>
      </c>
      <c r="T1844" s="192"/>
      <c r="U1844" s="829"/>
      <c r="V1844" s="10"/>
      <c r="W1844" s="10"/>
      <c r="X1844" s="10"/>
      <c r="Y1844" s="10"/>
      <c r="Z1844" s="10"/>
      <c r="AA1844" s="11"/>
      <c r="AB1844" s="11"/>
    </row>
    <row r="1845" spans="2:28" x14ac:dyDescent="0.3">
      <c r="B1845" s="10" t="s">
        <v>407</v>
      </c>
      <c r="C1845" s="315"/>
      <c r="D1845" s="868" t="s">
        <v>4685</v>
      </c>
      <c r="E1845" s="837" t="str">
        <f>IFERROR(IF(_xlfn.XLOOKUP(Imput[[#This Row],[RFC]],'Alta Proveedor'!D:D,'Alta Proveedor'!E:E)=0,"",_xlfn.XLOOKUP(Imput[[#This Row],[RFC]],'Alta Proveedor'!D:D,'Alta Proveedor'!E:E)),"")</f>
        <v>HOME DEPOT MEXICO SUCURSAL 8734-REYNOSA</v>
      </c>
      <c r="F1845" s="832" t="s">
        <v>4744</v>
      </c>
      <c r="G1845" s="187">
        <v>1</v>
      </c>
      <c r="H1845" s="1">
        <v>46.28</v>
      </c>
      <c r="I1845" s="169">
        <f>Imput[[#This Row],[Cantidad]]*Imput[[#This Row],[Precio Unitario]]</f>
        <v>46.28</v>
      </c>
      <c r="J1845" s="11">
        <f>((Imput[[#This Row],[Sub total]])*(0.08))</f>
        <v>3.7024000000000004</v>
      </c>
      <c r="K1845" s="11">
        <v>0</v>
      </c>
      <c r="L1845" s="169">
        <f>Imput[[#This Row],[Sub total]]+Imput[[#This Row],[IVA]]-Imput[[#This Row],[Retención / IEPS / Descuento]]</f>
        <v>49.982399999999998</v>
      </c>
      <c r="M1845" s="844">
        <v>0</v>
      </c>
      <c r="N1845" s="189" t="s">
        <v>123</v>
      </c>
      <c r="O1845" s="1"/>
      <c r="P1845" s="189" t="s">
        <v>4732</v>
      </c>
      <c r="Q1845" s="190" t="s">
        <v>4733</v>
      </c>
      <c r="R1845" s="188">
        <v>46065</v>
      </c>
      <c r="S1845" s="193" t="s">
        <v>126</v>
      </c>
      <c r="T1845" s="192"/>
      <c r="U1845" s="829"/>
      <c r="V1845" s="10"/>
      <c r="W1845" s="10"/>
      <c r="X1845" s="10"/>
      <c r="Y1845" s="10"/>
      <c r="Z1845" s="10"/>
      <c r="AA1845" s="11"/>
      <c r="AB1845" s="11"/>
    </row>
    <row r="1846" spans="2:28" x14ac:dyDescent="0.3">
      <c r="B1846" s="10" t="s">
        <v>407</v>
      </c>
      <c r="C1846" s="315"/>
      <c r="D1846" s="868" t="s">
        <v>4685</v>
      </c>
      <c r="E1846" s="837" t="str">
        <f>IFERROR(IF(_xlfn.XLOOKUP(Imput[[#This Row],[RFC]],'Alta Proveedor'!D:D,'Alta Proveedor'!E:E)=0,"",_xlfn.XLOOKUP(Imput[[#This Row],[RFC]],'Alta Proveedor'!D:D,'Alta Proveedor'!E:E)),"")</f>
        <v>HOME DEPOT MEXICO SUCURSAL 8734-REYNOSA</v>
      </c>
      <c r="F1846" s="832" t="s">
        <v>4741</v>
      </c>
      <c r="G1846" s="187">
        <v>25</v>
      </c>
      <c r="H1846" s="1">
        <f>1425.69/Imput[[#This Row],[Cantidad]]</f>
        <v>57.0276</v>
      </c>
      <c r="I1846" s="169">
        <f>Imput[[#This Row],[Cantidad]]*Imput[[#This Row],[Precio Unitario]]</f>
        <v>1425.69</v>
      </c>
      <c r="J1846" s="11">
        <f>((Imput[[#This Row],[Sub total]])*(0.08))</f>
        <v>114.05520000000001</v>
      </c>
      <c r="K1846" s="11">
        <v>0</v>
      </c>
      <c r="L1846" s="169">
        <f>Imput[[#This Row],[Sub total]]+Imput[[#This Row],[IVA]]-Imput[[#This Row],[Retención / IEPS / Descuento]]</f>
        <v>1539.7452000000001</v>
      </c>
      <c r="M1846" s="844">
        <v>0</v>
      </c>
      <c r="N1846" s="189" t="s">
        <v>123</v>
      </c>
      <c r="O1846" s="1"/>
      <c r="P1846" s="189" t="s">
        <v>4732</v>
      </c>
      <c r="Q1846" s="190" t="s">
        <v>4733</v>
      </c>
      <c r="R1846" s="188">
        <v>46065</v>
      </c>
      <c r="S1846" s="193" t="s">
        <v>126</v>
      </c>
      <c r="T1846" s="192"/>
      <c r="U1846" s="829"/>
      <c r="V1846" s="10"/>
      <c r="W1846" s="10"/>
      <c r="X1846" s="10"/>
      <c r="Y1846" s="10"/>
      <c r="Z1846" s="10"/>
      <c r="AA1846" s="11"/>
      <c r="AB1846" s="11"/>
    </row>
    <row r="1847" spans="2:28" x14ac:dyDescent="0.3">
      <c r="B1847" s="10" t="s">
        <v>407</v>
      </c>
      <c r="C1847" s="315"/>
      <c r="D1847" s="868" t="s">
        <v>4685</v>
      </c>
      <c r="E1847" s="837" t="str">
        <f>IFERROR(IF(_xlfn.XLOOKUP(Imput[[#This Row],[RFC]],'Alta Proveedor'!D:D,'Alta Proveedor'!E:E)=0,"",_xlfn.XLOOKUP(Imput[[#This Row],[RFC]],'Alta Proveedor'!D:D,'Alta Proveedor'!E:E)),"")</f>
        <v>HOME DEPOT MEXICO SUCURSAL 8734-REYNOSA</v>
      </c>
      <c r="F1847" s="832" t="s">
        <v>4742</v>
      </c>
      <c r="G1847" s="187">
        <v>10</v>
      </c>
      <c r="H1847" s="1">
        <v>122.5</v>
      </c>
      <c r="I1847" s="169">
        <f>Imput[[#This Row],[Cantidad]]*Imput[[#This Row],[Precio Unitario]]</f>
        <v>1225</v>
      </c>
      <c r="J1847" s="11">
        <f>((Imput[[#This Row],[Sub total]])*(0.08))</f>
        <v>98</v>
      </c>
      <c r="K1847" s="11">
        <v>0</v>
      </c>
      <c r="L1847" s="169">
        <f>Imput[[#This Row],[Sub total]]+Imput[[#This Row],[IVA]]-Imput[[#This Row],[Retención / IEPS / Descuento]]</f>
        <v>1323</v>
      </c>
      <c r="M1847" s="844">
        <v>0</v>
      </c>
      <c r="N1847" s="189" t="s">
        <v>123</v>
      </c>
      <c r="O1847" s="1"/>
      <c r="P1847" s="189" t="s">
        <v>4732</v>
      </c>
      <c r="Q1847" s="190" t="s">
        <v>4733</v>
      </c>
      <c r="R1847" s="188">
        <v>46065</v>
      </c>
      <c r="S1847" s="193" t="s">
        <v>126</v>
      </c>
      <c r="T1847" s="192"/>
      <c r="U1847" s="829"/>
      <c r="V1847" s="10"/>
      <c r="W1847" s="10"/>
      <c r="X1847" s="10"/>
      <c r="Y1847" s="10"/>
      <c r="Z1847" s="10"/>
      <c r="AA1847" s="11"/>
      <c r="AB1847" s="11"/>
    </row>
    <row r="1848" spans="2:28" x14ac:dyDescent="0.3">
      <c r="B1848" s="10" t="s">
        <v>407</v>
      </c>
      <c r="C1848" s="315"/>
      <c r="D1848" s="868" t="s">
        <v>4685</v>
      </c>
      <c r="E1848" s="837" t="str">
        <f>IFERROR(IF(_xlfn.XLOOKUP(Imput[[#This Row],[RFC]],'Alta Proveedor'!D:D,'Alta Proveedor'!E:E)=0,"",_xlfn.XLOOKUP(Imput[[#This Row],[RFC]],'Alta Proveedor'!D:D,'Alta Proveedor'!E:E)),"")</f>
        <v>HOME DEPOT MEXICO SUCURSAL 8734-REYNOSA</v>
      </c>
      <c r="F1848" s="832" t="s">
        <v>4743</v>
      </c>
      <c r="G1848" s="187">
        <v>2</v>
      </c>
      <c r="H1848" s="1">
        <v>107.5</v>
      </c>
      <c r="I1848" s="169">
        <f>Imput[[#This Row],[Cantidad]]*Imput[[#This Row],[Precio Unitario]]</f>
        <v>215</v>
      </c>
      <c r="J1848" s="11">
        <f>((Imput[[#This Row],[Sub total]])*(0.08))</f>
        <v>17.2</v>
      </c>
      <c r="K1848" s="11">
        <v>0</v>
      </c>
      <c r="L1848" s="169">
        <f>Imput[[#This Row],[Sub total]]+Imput[[#This Row],[IVA]]-Imput[[#This Row],[Retención / IEPS / Descuento]]</f>
        <v>232.2</v>
      </c>
      <c r="M1848" s="844">
        <v>0</v>
      </c>
      <c r="N1848" s="189" t="s">
        <v>123</v>
      </c>
      <c r="O1848" s="1"/>
      <c r="P1848" s="189" t="s">
        <v>4732</v>
      </c>
      <c r="Q1848" s="190" t="s">
        <v>4733</v>
      </c>
      <c r="R1848" s="188">
        <v>46065</v>
      </c>
      <c r="S1848" s="193" t="s">
        <v>126</v>
      </c>
      <c r="T1848" s="192"/>
      <c r="U1848" s="829"/>
      <c r="V1848" s="10"/>
      <c r="W1848" s="10"/>
      <c r="X1848" s="10"/>
      <c r="Y1848" s="10"/>
      <c r="Z1848" s="10"/>
      <c r="AA1848" s="11"/>
      <c r="AB1848" s="11"/>
    </row>
    <row r="1849" spans="2:28" x14ac:dyDescent="0.3">
      <c r="B1849" s="10" t="s">
        <v>407</v>
      </c>
      <c r="C1849" s="315"/>
      <c r="D1849" s="868" t="s">
        <v>4089</v>
      </c>
      <c r="E1849" s="837" t="str">
        <f>IFERROR(IF(_xlfn.XLOOKUP(Imput[[#This Row],[RFC]],'Alta Proveedor'!D:D,'Alta Proveedor'!E:E)=0,"",_xlfn.XLOOKUP(Imput[[#This Row],[RFC]],'Alta Proveedor'!D:D,'Alta Proveedor'!E:E)),"")</f>
        <v>HOME DEPOT MEXICO SUCURSAL 8757-CD.VICTORIA</v>
      </c>
      <c r="F1849" s="832" t="s">
        <v>4747</v>
      </c>
      <c r="G1849" s="187">
        <v>2</v>
      </c>
      <c r="H1849" s="1">
        <f>1181.05/Imput[[#This Row],[Cantidad]]</f>
        <v>590.52499999999998</v>
      </c>
      <c r="I1849" s="169">
        <f>Imput[[#This Row],[Cantidad]]*Imput[[#This Row],[Precio Unitario]]</f>
        <v>1181.05</v>
      </c>
      <c r="J1849" s="11">
        <f>((Imput[[#This Row],[Sub total]])*(0.16))+0.003</f>
        <v>188.97099999999998</v>
      </c>
      <c r="K1849" s="11">
        <v>0</v>
      </c>
      <c r="L1849" s="169">
        <f>Imput[[#This Row],[Sub total]]+Imput[[#This Row],[IVA]]-Imput[[#This Row],[Retención / IEPS / Descuento]]</f>
        <v>1370.021</v>
      </c>
      <c r="M1849" s="844">
        <v>6271.6851999999999</v>
      </c>
      <c r="N1849" s="189" t="s">
        <v>123</v>
      </c>
      <c r="O1849" s="1"/>
      <c r="P1849" s="189" t="s">
        <v>4745</v>
      </c>
      <c r="Q1849" s="190" t="s">
        <v>4746</v>
      </c>
      <c r="R1849" s="188">
        <v>46065</v>
      </c>
      <c r="S1849" s="193" t="s">
        <v>126</v>
      </c>
      <c r="T1849" s="192"/>
      <c r="U1849" s="829"/>
      <c r="V1849" s="10"/>
      <c r="W1849" s="10"/>
      <c r="X1849" s="10"/>
      <c r="Y1849" s="10"/>
      <c r="Z1849" s="10"/>
      <c r="AA1849" s="11"/>
      <c r="AB1849" s="11"/>
    </row>
    <row r="1850" spans="2:28" x14ac:dyDescent="0.3">
      <c r="B1850" s="10" t="s">
        <v>407</v>
      </c>
      <c r="C1850" s="315"/>
      <c r="D1850" s="868" t="s">
        <v>4089</v>
      </c>
      <c r="E1850" s="837" t="str">
        <f>IFERROR(IF(_xlfn.XLOOKUP(Imput[[#This Row],[RFC]],'Alta Proveedor'!D:D,'Alta Proveedor'!E:E)=0,"",_xlfn.XLOOKUP(Imput[[#This Row],[RFC]],'Alta Proveedor'!D:D,'Alta Proveedor'!E:E)),"")</f>
        <v>HOME DEPOT MEXICO SUCURSAL 8757-CD.VICTORIA</v>
      </c>
      <c r="F1850" s="832" t="s">
        <v>3628</v>
      </c>
      <c r="G1850" s="187">
        <v>4</v>
      </c>
      <c r="H1850" s="1">
        <f>591.34/Imput[[#This Row],[Cantidad]]</f>
        <v>147.83500000000001</v>
      </c>
      <c r="I1850" s="169">
        <f>Imput[[#This Row],[Cantidad]]*Imput[[#This Row],[Precio Unitario]]</f>
        <v>591.34</v>
      </c>
      <c r="J1850" s="11">
        <f>((Imput[[#This Row],[Sub total]])*(0.16))</f>
        <v>94.614400000000003</v>
      </c>
      <c r="K1850" s="11">
        <v>0</v>
      </c>
      <c r="L1850" s="169">
        <f>Imput[[#This Row],[Sub total]]+Imput[[#This Row],[IVA]]-Imput[[#This Row],[Retención / IEPS / Descuento]]</f>
        <v>685.95440000000008</v>
      </c>
      <c r="M1850" s="844">
        <v>0</v>
      </c>
      <c r="N1850" s="189" t="s">
        <v>123</v>
      </c>
      <c r="O1850" s="1"/>
      <c r="P1850" s="189" t="s">
        <v>4745</v>
      </c>
      <c r="Q1850" s="190" t="s">
        <v>4746</v>
      </c>
      <c r="R1850" s="188">
        <v>46065</v>
      </c>
      <c r="S1850" s="193" t="s">
        <v>126</v>
      </c>
      <c r="T1850" s="192"/>
      <c r="U1850" s="829"/>
      <c r="V1850" s="10"/>
      <c r="W1850" s="10"/>
      <c r="X1850" s="10"/>
      <c r="Y1850" s="10"/>
      <c r="Z1850" s="10"/>
      <c r="AA1850" s="11"/>
      <c r="AB1850" s="11"/>
    </row>
    <row r="1851" spans="2:28" x14ac:dyDescent="0.3">
      <c r="B1851" s="10" t="s">
        <v>407</v>
      </c>
      <c r="C1851" s="315"/>
      <c r="D1851" s="868" t="s">
        <v>4089</v>
      </c>
      <c r="E1851" s="837" t="str">
        <f>IFERROR(IF(_xlfn.XLOOKUP(Imput[[#This Row],[RFC]],'Alta Proveedor'!D:D,'Alta Proveedor'!E:E)=0,"",_xlfn.XLOOKUP(Imput[[#This Row],[RFC]],'Alta Proveedor'!D:D,'Alta Proveedor'!E:E)),"")</f>
        <v>HOME DEPOT MEXICO SUCURSAL 8757-CD.VICTORIA</v>
      </c>
      <c r="F1851" s="832" t="s">
        <v>3850</v>
      </c>
      <c r="G1851" s="187">
        <v>14</v>
      </c>
      <c r="H1851" s="1">
        <f>482.76/Imput[[#This Row],[Cantidad]]</f>
        <v>34.482857142857142</v>
      </c>
      <c r="I1851" s="169">
        <f>Imput[[#This Row],[Cantidad]]*Imput[[#This Row],[Precio Unitario]]</f>
        <v>482.76</v>
      </c>
      <c r="J1851" s="11">
        <f>((Imput[[#This Row],[Sub total]]-48.28)*(0.16))</f>
        <v>69.516800000000003</v>
      </c>
      <c r="K1851" s="11">
        <v>48.28</v>
      </c>
      <c r="L1851" s="169">
        <f>Imput[[#This Row],[Sub total]]+Imput[[#This Row],[IVA]]-Imput[[#This Row],[Retención / IEPS / Descuento]]</f>
        <v>503.99680000000001</v>
      </c>
      <c r="M1851" s="844">
        <v>0</v>
      </c>
      <c r="N1851" s="189" t="s">
        <v>123</v>
      </c>
      <c r="O1851" s="1"/>
      <c r="P1851" s="189" t="s">
        <v>4745</v>
      </c>
      <c r="Q1851" s="190" t="s">
        <v>4746</v>
      </c>
      <c r="R1851" s="188">
        <v>46065</v>
      </c>
      <c r="S1851" s="193" t="s">
        <v>126</v>
      </c>
      <c r="T1851" s="192"/>
      <c r="U1851" s="829"/>
      <c r="V1851" s="10"/>
      <c r="W1851" s="10"/>
      <c r="X1851" s="10"/>
      <c r="Y1851" s="10"/>
      <c r="Z1851" s="10"/>
      <c r="AA1851" s="11"/>
      <c r="AB1851" s="11"/>
    </row>
    <row r="1852" spans="2:28" x14ac:dyDescent="0.3">
      <c r="B1852" s="10" t="s">
        <v>407</v>
      </c>
      <c r="C1852" s="315"/>
      <c r="D1852" s="868" t="s">
        <v>4089</v>
      </c>
      <c r="E1852" s="837" t="str">
        <f>IFERROR(IF(_xlfn.XLOOKUP(Imput[[#This Row],[RFC]],'Alta Proveedor'!D:D,'Alta Proveedor'!E:E)=0,"",_xlfn.XLOOKUP(Imput[[#This Row],[RFC]],'Alta Proveedor'!D:D,'Alta Proveedor'!E:E)),"")</f>
        <v>HOME DEPOT MEXICO SUCURSAL 8757-CD.VICTORIA</v>
      </c>
      <c r="F1852" s="832" t="s">
        <v>4748</v>
      </c>
      <c r="G1852" s="187">
        <v>1</v>
      </c>
      <c r="H1852" s="1">
        <f>757.76/Imput[[#This Row],[Cantidad]]</f>
        <v>757.76</v>
      </c>
      <c r="I1852" s="169">
        <f>Imput[[#This Row],[Cantidad]]*Imput[[#This Row],[Precio Unitario]]</f>
        <v>757.76</v>
      </c>
      <c r="J1852" s="11">
        <f>((Imput[[#This Row],[Sub total]]-227.59)*(0.16))</f>
        <v>84.827199999999991</v>
      </c>
      <c r="K1852" s="11">
        <v>227.59</v>
      </c>
      <c r="L1852" s="169">
        <f>Imput[[#This Row],[Sub total]]+Imput[[#This Row],[IVA]]-Imput[[#This Row],[Retención / IEPS / Descuento]]</f>
        <v>614.99719999999991</v>
      </c>
      <c r="M1852" s="844">
        <v>0</v>
      </c>
      <c r="N1852" s="189" t="s">
        <v>123</v>
      </c>
      <c r="O1852" s="1"/>
      <c r="P1852" s="189" t="s">
        <v>4745</v>
      </c>
      <c r="Q1852" s="190" t="s">
        <v>4746</v>
      </c>
      <c r="R1852" s="188">
        <v>46065</v>
      </c>
      <c r="S1852" s="193" t="s">
        <v>126</v>
      </c>
      <c r="T1852" s="192"/>
      <c r="U1852" s="829"/>
      <c r="V1852" s="10"/>
      <c r="W1852" s="10"/>
      <c r="X1852" s="10"/>
      <c r="Y1852" s="10"/>
      <c r="Z1852" s="10"/>
      <c r="AA1852" s="11"/>
      <c r="AB1852" s="11"/>
    </row>
    <row r="1853" spans="2:28" x14ac:dyDescent="0.3">
      <c r="B1853" s="10" t="s">
        <v>407</v>
      </c>
      <c r="C1853" s="315"/>
      <c r="D1853" s="868" t="s">
        <v>4089</v>
      </c>
      <c r="E1853" s="837" t="str">
        <f>IFERROR(IF(_xlfn.XLOOKUP(Imput[[#This Row],[RFC]],'Alta Proveedor'!D:D,'Alta Proveedor'!E:E)=0,"",_xlfn.XLOOKUP(Imput[[#This Row],[RFC]],'Alta Proveedor'!D:D,'Alta Proveedor'!E:E)),"")</f>
        <v>HOME DEPOT MEXICO SUCURSAL 8757-CD.VICTORIA</v>
      </c>
      <c r="F1853" s="832" t="s">
        <v>3865</v>
      </c>
      <c r="G1853" s="187">
        <v>14</v>
      </c>
      <c r="H1853" s="1">
        <f>905.17/Imput[[#This Row],[Cantidad]]</f>
        <v>64.655000000000001</v>
      </c>
      <c r="I1853" s="169">
        <f>Imput[[#This Row],[Cantidad]]*Imput[[#This Row],[Precio Unitario]]</f>
        <v>905.17000000000007</v>
      </c>
      <c r="J1853" s="11">
        <f>((Imput[[#This Row],[Sub total]]-90.51)*(0.16))+0.003</f>
        <v>130.3486</v>
      </c>
      <c r="K1853" s="11">
        <v>90.51</v>
      </c>
      <c r="L1853" s="169">
        <f>Imput[[#This Row],[Sub total]]+Imput[[#This Row],[IVA]]-Imput[[#This Row],[Retención / IEPS / Descuento]]</f>
        <v>945.00860000000011</v>
      </c>
      <c r="M1853" s="844">
        <v>0</v>
      </c>
      <c r="N1853" s="189" t="s">
        <v>123</v>
      </c>
      <c r="O1853" s="1"/>
      <c r="P1853" s="189" t="s">
        <v>4745</v>
      </c>
      <c r="Q1853" s="190" t="s">
        <v>4746</v>
      </c>
      <c r="R1853" s="188">
        <v>46065</v>
      </c>
      <c r="S1853" s="193" t="s">
        <v>126</v>
      </c>
      <c r="T1853" s="192"/>
      <c r="U1853" s="829"/>
      <c r="V1853" s="10"/>
      <c r="W1853" s="10"/>
      <c r="X1853" s="10"/>
      <c r="Y1853" s="10"/>
      <c r="Z1853" s="10"/>
      <c r="AA1853" s="11"/>
      <c r="AB1853" s="11"/>
    </row>
    <row r="1854" spans="2:28" x14ac:dyDescent="0.3">
      <c r="B1854" s="10" t="s">
        <v>407</v>
      </c>
      <c r="C1854" s="315"/>
      <c r="D1854" s="868" t="s">
        <v>4089</v>
      </c>
      <c r="E1854" s="837" t="str">
        <f>IFERROR(IF(_xlfn.XLOOKUP(Imput[[#This Row],[RFC]],'Alta Proveedor'!D:D,'Alta Proveedor'!E:E)=0,"",_xlfn.XLOOKUP(Imput[[#This Row],[RFC]],'Alta Proveedor'!D:D,'Alta Proveedor'!E:E)),"")</f>
        <v>HOME DEPOT MEXICO SUCURSAL 8757-CD.VICTORIA</v>
      </c>
      <c r="F1854" s="832" t="s">
        <v>3862</v>
      </c>
      <c r="G1854" s="187">
        <v>6</v>
      </c>
      <c r="H1854" s="1">
        <f>768.1/Imput[[#This Row],[Cantidad]]</f>
        <v>128.01666666666668</v>
      </c>
      <c r="I1854" s="169">
        <f>Imput[[#This Row],[Cantidad]]*Imput[[#This Row],[Precio Unitario]]</f>
        <v>768.10000000000014</v>
      </c>
      <c r="J1854" s="11">
        <f>((Imput[[#This Row],[Sub total]])*(0.16))</f>
        <v>122.89600000000003</v>
      </c>
      <c r="K1854" s="11">
        <v>0</v>
      </c>
      <c r="L1854" s="169">
        <f>Imput[[#This Row],[Sub total]]+Imput[[#This Row],[IVA]]-Imput[[#This Row],[Retención / IEPS / Descuento]]</f>
        <v>890.99600000000021</v>
      </c>
      <c r="M1854" s="844">
        <v>0</v>
      </c>
      <c r="N1854" s="189" t="s">
        <v>123</v>
      </c>
      <c r="O1854" s="1"/>
      <c r="P1854" s="189" t="s">
        <v>4745</v>
      </c>
      <c r="Q1854" s="190" t="s">
        <v>4746</v>
      </c>
      <c r="R1854" s="188">
        <v>46065</v>
      </c>
      <c r="S1854" s="193" t="s">
        <v>126</v>
      </c>
      <c r="T1854" s="192"/>
      <c r="U1854" s="829"/>
      <c r="V1854" s="10"/>
      <c r="W1854" s="10"/>
      <c r="X1854" s="10"/>
      <c r="Y1854" s="10"/>
      <c r="Z1854" s="10"/>
      <c r="AA1854" s="11"/>
      <c r="AB1854" s="11"/>
    </row>
    <row r="1855" spans="2:28" x14ac:dyDescent="0.3">
      <c r="B1855" s="10" t="s">
        <v>407</v>
      </c>
      <c r="C1855" s="315"/>
      <c r="D1855" s="868" t="s">
        <v>4089</v>
      </c>
      <c r="E1855" s="837" t="str">
        <f>IFERROR(IF(_xlfn.XLOOKUP(Imput[[#This Row],[RFC]],'Alta Proveedor'!D:D,'Alta Proveedor'!E:E)=0,"",_xlfn.XLOOKUP(Imput[[#This Row],[RFC]],'Alta Proveedor'!D:D,'Alta Proveedor'!E:E)),"")</f>
        <v>HOME DEPOT MEXICO SUCURSAL 8757-CD.VICTORIA</v>
      </c>
      <c r="F1855" s="832" t="s">
        <v>3848</v>
      </c>
      <c r="G1855" s="187">
        <v>14</v>
      </c>
      <c r="H1855" s="1">
        <f>183.45/Imput[[#This Row],[Cantidad]]</f>
        <v>13.103571428571428</v>
      </c>
      <c r="I1855" s="169">
        <f>Imput[[#This Row],[Cantidad]]*Imput[[#This Row],[Precio Unitario]]</f>
        <v>183.45</v>
      </c>
      <c r="J1855" s="11">
        <f>((Imput[[#This Row],[Sub total]])*(0.16))</f>
        <v>29.352</v>
      </c>
      <c r="K1855" s="11">
        <v>0</v>
      </c>
      <c r="L1855" s="169">
        <f>Imput[[#This Row],[Sub total]]+Imput[[#This Row],[IVA]]-Imput[[#This Row],[Retención / IEPS / Descuento]]</f>
        <v>212.80199999999999</v>
      </c>
      <c r="M1855" s="844">
        <v>0</v>
      </c>
      <c r="N1855" s="189" t="s">
        <v>123</v>
      </c>
      <c r="O1855" s="1"/>
      <c r="P1855" s="189" t="s">
        <v>4745</v>
      </c>
      <c r="Q1855" s="190" t="s">
        <v>4746</v>
      </c>
      <c r="R1855" s="188">
        <v>46065</v>
      </c>
      <c r="S1855" s="193" t="s">
        <v>126</v>
      </c>
      <c r="T1855" s="192"/>
      <c r="U1855" s="829"/>
      <c r="V1855" s="10"/>
      <c r="W1855" s="10"/>
      <c r="X1855" s="10"/>
      <c r="Y1855" s="10"/>
      <c r="Z1855" s="10"/>
      <c r="AA1855" s="11"/>
      <c r="AB1855" s="11"/>
    </row>
    <row r="1856" spans="2:28" x14ac:dyDescent="0.3">
      <c r="B1856" s="10" t="s">
        <v>407</v>
      </c>
      <c r="C1856" s="315"/>
      <c r="D1856" s="868" t="s">
        <v>4089</v>
      </c>
      <c r="E1856" s="837" t="str">
        <f>IFERROR(IF(_xlfn.XLOOKUP(Imput[[#This Row],[RFC]],'Alta Proveedor'!D:D,'Alta Proveedor'!E:E)=0,"",_xlfn.XLOOKUP(Imput[[#This Row],[RFC]],'Alta Proveedor'!D:D,'Alta Proveedor'!E:E)),"")</f>
        <v>HOME DEPOT MEXICO SUCURSAL 8757-CD.VICTORIA</v>
      </c>
      <c r="F1856" s="832" t="s">
        <v>4074</v>
      </c>
      <c r="G1856" s="187">
        <v>14</v>
      </c>
      <c r="H1856" s="1">
        <f>447.16/Imput[[#This Row],[Cantidad]]</f>
        <v>31.94</v>
      </c>
      <c r="I1856" s="169">
        <f>Imput[[#This Row],[Cantidad]]*Imput[[#This Row],[Precio Unitario]]</f>
        <v>447.16</v>
      </c>
      <c r="J1856" s="11">
        <f>((Imput[[#This Row],[Sub total]])*(0.16))</f>
        <v>71.545600000000007</v>
      </c>
      <c r="K1856" s="11">
        <v>0</v>
      </c>
      <c r="L1856" s="169">
        <f>Imput[[#This Row],[Sub total]]+Imput[[#This Row],[IVA]]-Imput[[#This Row],[Retención / IEPS / Descuento]]</f>
        <v>518.7056</v>
      </c>
      <c r="M1856" s="844">
        <v>0</v>
      </c>
      <c r="N1856" s="189" t="s">
        <v>123</v>
      </c>
      <c r="O1856" s="1"/>
      <c r="P1856" s="189" t="s">
        <v>4745</v>
      </c>
      <c r="Q1856" s="190" t="s">
        <v>4746</v>
      </c>
      <c r="R1856" s="188">
        <v>46065</v>
      </c>
      <c r="S1856" s="193" t="s">
        <v>126</v>
      </c>
      <c r="T1856" s="192"/>
      <c r="U1856" s="829"/>
      <c r="V1856" s="10"/>
      <c r="W1856" s="10"/>
      <c r="X1856" s="10"/>
      <c r="Y1856" s="10"/>
      <c r="Z1856" s="10"/>
      <c r="AA1856" s="11"/>
      <c r="AB1856" s="11"/>
    </row>
    <row r="1857" spans="2:28" x14ac:dyDescent="0.3">
      <c r="B1857" s="10" t="s">
        <v>407</v>
      </c>
      <c r="C1857" s="315"/>
      <c r="D1857" s="868" t="s">
        <v>4089</v>
      </c>
      <c r="E1857" s="837" t="str">
        <f>IFERROR(IF(_xlfn.XLOOKUP(Imput[[#This Row],[RFC]],'Alta Proveedor'!D:D,'Alta Proveedor'!E:E)=0,"",_xlfn.XLOOKUP(Imput[[#This Row],[RFC]],'Alta Proveedor'!D:D,'Alta Proveedor'!E:E)),"")</f>
        <v>HOME DEPOT MEXICO SUCURSAL 8757-CD.VICTORIA</v>
      </c>
      <c r="F1857" s="832" t="s">
        <v>4048</v>
      </c>
      <c r="G1857" s="187">
        <v>20</v>
      </c>
      <c r="H1857" s="1">
        <f>456.21/Imput[[#This Row],[Cantidad]]</f>
        <v>22.810499999999998</v>
      </c>
      <c r="I1857" s="169">
        <f>Imput[[#This Row],[Cantidad]]*Imput[[#This Row],[Precio Unitario]]</f>
        <v>456.20999999999992</v>
      </c>
      <c r="J1857" s="11">
        <f>((Imput[[#This Row],[Sub total]])*(0.16))</f>
        <v>72.993599999999986</v>
      </c>
      <c r="K1857" s="11">
        <v>0</v>
      </c>
      <c r="L1857" s="169">
        <f>Imput[[#This Row],[Sub total]]+Imput[[#This Row],[IVA]]-Imput[[#This Row],[Retención / IEPS / Descuento]]</f>
        <v>529.20359999999994</v>
      </c>
      <c r="M1857" s="844">
        <v>0</v>
      </c>
      <c r="N1857" s="189" t="s">
        <v>123</v>
      </c>
      <c r="O1857" s="1"/>
      <c r="P1857" s="189" t="s">
        <v>4745</v>
      </c>
      <c r="Q1857" s="190" t="s">
        <v>4746</v>
      </c>
      <c r="R1857" s="188">
        <v>46065</v>
      </c>
      <c r="S1857" s="193" t="s">
        <v>126</v>
      </c>
      <c r="T1857" s="192"/>
      <c r="U1857" s="829"/>
      <c r="V1857" s="10"/>
      <c r="W1857" s="10"/>
      <c r="X1857" s="10"/>
      <c r="Y1857" s="10"/>
      <c r="Z1857" s="10"/>
      <c r="AA1857" s="11"/>
      <c r="AB1857" s="11"/>
    </row>
    <row r="1858" spans="2:28" x14ac:dyDescent="0.3">
      <c r="B1858" s="10" t="s">
        <v>407</v>
      </c>
      <c r="C1858" s="315" t="s">
        <v>1767</v>
      </c>
      <c r="D1858" s="868" t="s">
        <v>4751</v>
      </c>
      <c r="E1858" s="837" t="str">
        <f>IFERROR(IF(_xlfn.XLOOKUP(Imput[[#This Row],[RFC]],'Alta Proveedor'!D:D,'Alta Proveedor'!E:E)=0,"",_xlfn.XLOOKUP(Imput[[#This Row],[RFC]],'Alta Proveedor'!D:D,'Alta Proveedor'!E:E)),"")</f>
        <v>TECNOGASOLINERA "GRUPO BURGOS" (COMBUSTIBLE)</v>
      </c>
      <c r="F1858" s="832" t="s">
        <v>1114</v>
      </c>
      <c r="G1858" s="187">
        <v>51.21</v>
      </c>
      <c r="H1858" s="1">
        <v>23.165986</v>
      </c>
      <c r="I1858" s="169">
        <f>Imput[[#This Row],[Cantidad]]*Imput[[#This Row],[Precio Unitario]]</f>
        <v>1186.33014306</v>
      </c>
      <c r="J1858" s="11">
        <v>92.9</v>
      </c>
      <c r="K1858" s="11">
        <v>0</v>
      </c>
      <c r="L1858" s="169">
        <f>Imput[[#This Row],[Sub total]]+Imput[[#This Row],[IVA]]-Imput[[#This Row],[Retención / IEPS / Descuento]]</f>
        <v>1279.23014306</v>
      </c>
      <c r="M1858" s="844">
        <v>1279.23014306</v>
      </c>
      <c r="N1858" s="189" t="s">
        <v>123</v>
      </c>
      <c r="O1858" s="1"/>
      <c r="P1858" s="189" t="s">
        <v>4749</v>
      </c>
      <c r="Q1858" s="190" t="s">
        <v>4750</v>
      </c>
      <c r="R1858" s="188">
        <v>46064</v>
      </c>
      <c r="S1858" s="193" t="s">
        <v>126</v>
      </c>
      <c r="T1858" s="192"/>
      <c r="U1858" s="829"/>
      <c r="V1858" s="10"/>
      <c r="W1858" s="10"/>
      <c r="X1858" s="10"/>
      <c r="Y1858" s="10"/>
      <c r="Z1858" s="10"/>
      <c r="AA1858" s="11"/>
      <c r="AB1858" s="11"/>
    </row>
    <row r="1859" spans="2:28" x14ac:dyDescent="0.3">
      <c r="B1859" s="10" t="s">
        <v>407</v>
      </c>
      <c r="C1859" s="315" t="s">
        <v>2903</v>
      </c>
      <c r="D1859" s="868" t="s">
        <v>3645</v>
      </c>
      <c r="E1859" s="837" t="str">
        <f>IFERROR(IF(_xlfn.XLOOKUP(Imput[[#This Row],[RFC]],'Alta Proveedor'!D:D,'Alta Proveedor'!E:E)=0,"",_xlfn.XLOOKUP(Imput[[#This Row],[RFC]],'Alta Proveedor'!D:D,'Alta Proveedor'!E:E)),"")</f>
        <v>MVG CONSULTING AND CONSTRUCTION</v>
      </c>
      <c r="F1859" s="832" t="s">
        <v>4756</v>
      </c>
      <c r="G1859" s="187">
        <v>1</v>
      </c>
      <c r="H1859" s="1">
        <v>20000</v>
      </c>
      <c r="I1859" s="169">
        <f>Imput[[#This Row],[Cantidad]]*Imput[[#This Row],[Precio Unitario]]</f>
        <v>20000</v>
      </c>
      <c r="J1859" s="11">
        <f>((Imput[[#This Row],[Sub total]])*(0.16))</f>
        <v>3200</v>
      </c>
      <c r="K1859" s="11">
        <v>0</v>
      </c>
      <c r="L1859" s="169">
        <f>Imput[[#This Row],[Sub total]]+Imput[[#This Row],[IVA]]-Imput[[#This Row],[Retención / IEPS / Descuento]]</f>
        <v>23200</v>
      </c>
      <c r="M1859" s="844">
        <f>Imput[[#This Row],[Importe Neto]]</f>
        <v>23200</v>
      </c>
      <c r="N1859" s="189" t="s">
        <v>123</v>
      </c>
      <c r="O1859" s="1"/>
      <c r="P1859" s="189" t="s">
        <v>4754</v>
      </c>
      <c r="Q1859" s="190" t="s">
        <v>4755</v>
      </c>
      <c r="R1859" s="188">
        <v>46063</v>
      </c>
      <c r="S1859" s="193" t="s">
        <v>371</v>
      </c>
      <c r="T1859" s="192"/>
      <c r="U1859" s="829"/>
      <c r="V1859" s="10"/>
      <c r="W1859" s="10"/>
      <c r="X1859" s="10"/>
      <c r="Y1859" s="10"/>
      <c r="Z1859" s="10"/>
      <c r="AA1859" s="11"/>
      <c r="AB1859" s="11"/>
    </row>
    <row r="1860" spans="2:28" x14ac:dyDescent="0.3">
      <c r="B1860" s="10" t="s">
        <v>407</v>
      </c>
      <c r="C1860" s="315"/>
      <c r="D1860" s="868" t="s">
        <v>3645</v>
      </c>
      <c r="E1860" s="837" t="str">
        <f>IFERROR(IF(_xlfn.XLOOKUP(Imput[[#This Row],[RFC]],'Alta Proveedor'!D:D,'Alta Proveedor'!E:E)=0,"",_xlfn.XLOOKUP(Imput[[#This Row],[RFC]],'Alta Proveedor'!D:D,'Alta Proveedor'!E:E)),"")</f>
        <v>MVG CONSULTING AND CONSTRUCTION</v>
      </c>
      <c r="F1860" s="832" t="s">
        <v>4759</v>
      </c>
      <c r="G1860" s="187">
        <v>1</v>
      </c>
      <c r="H1860" s="1">
        <v>6279.53</v>
      </c>
      <c r="I1860" s="169">
        <f>Imput[[#This Row],[Cantidad]]*Imput[[#This Row],[Precio Unitario]]</f>
        <v>6279.53</v>
      </c>
      <c r="J1860" s="11">
        <f>((Imput[[#This Row],[Sub total]])*(0.16))</f>
        <v>1004.7248</v>
      </c>
      <c r="K1860" s="11">
        <v>0</v>
      </c>
      <c r="L1860" s="169">
        <f>Imput[[#This Row],[Sub total]]+Imput[[#This Row],[IVA]]-Imput[[#This Row],[Retención / IEPS / Descuento]]</f>
        <v>7284.2547999999997</v>
      </c>
      <c r="M1860" s="844">
        <f>Imput[[#This Row],[Importe Neto]]</f>
        <v>7284.2547999999997</v>
      </c>
      <c r="N1860" s="189" t="s">
        <v>123</v>
      </c>
      <c r="O1860" s="1"/>
      <c r="P1860" s="189" t="s">
        <v>4757</v>
      </c>
      <c r="Q1860" s="190" t="s">
        <v>4758</v>
      </c>
      <c r="R1860" s="188">
        <v>46063</v>
      </c>
      <c r="S1860" s="193" t="s">
        <v>371</v>
      </c>
      <c r="T1860" s="192"/>
      <c r="U1860" s="829"/>
      <c r="V1860" s="10"/>
      <c r="W1860" s="10"/>
      <c r="X1860" s="10"/>
      <c r="Y1860" s="10"/>
      <c r="Z1860" s="10"/>
      <c r="AA1860" s="11"/>
      <c r="AB1860" s="11"/>
    </row>
    <row r="1861" spans="2:28" x14ac:dyDescent="0.3">
      <c r="B1861" s="10" t="s">
        <v>407</v>
      </c>
      <c r="C1861" s="315"/>
      <c r="D1861" s="868" t="s">
        <v>3645</v>
      </c>
      <c r="E1861" s="837" t="str">
        <f>IFERROR(IF(_xlfn.XLOOKUP(Imput[[#This Row],[RFC]],'Alta Proveedor'!D:D,'Alta Proveedor'!E:E)=0,"",_xlfn.XLOOKUP(Imput[[#This Row],[RFC]],'Alta Proveedor'!D:D,'Alta Proveedor'!E:E)),"")</f>
        <v>MVG CONSULTING AND CONSTRUCTION</v>
      </c>
      <c r="F1861" s="832" t="s">
        <v>4762</v>
      </c>
      <c r="G1861" s="187">
        <v>1</v>
      </c>
      <c r="H1861" s="1">
        <v>40000</v>
      </c>
      <c r="I1861" s="169">
        <f>Imput[[#This Row],[Cantidad]]*Imput[[#This Row],[Precio Unitario]]</f>
        <v>40000</v>
      </c>
      <c r="J1861" s="11">
        <f>((Imput[[#This Row],[Sub total]])*(0.16))</f>
        <v>6400</v>
      </c>
      <c r="K1861" s="11">
        <v>0</v>
      </c>
      <c r="L1861" s="169">
        <f>Imput[[#This Row],[Sub total]]+Imput[[#This Row],[IVA]]-Imput[[#This Row],[Retención / IEPS / Descuento]]</f>
        <v>46400</v>
      </c>
      <c r="M1861" s="844">
        <f>Imput[[#This Row],[Importe Neto]]</f>
        <v>46400</v>
      </c>
      <c r="N1861" s="189" t="s">
        <v>123</v>
      </c>
      <c r="O1861" s="1"/>
      <c r="P1861" s="189" t="s">
        <v>4760</v>
      </c>
      <c r="Q1861" s="190" t="s">
        <v>4761</v>
      </c>
      <c r="R1861" s="188">
        <v>46063</v>
      </c>
      <c r="S1861" s="193" t="s">
        <v>371</v>
      </c>
      <c r="T1861" s="192"/>
      <c r="U1861" s="829"/>
      <c r="V1861" s="10"/>
      <c r="W1861" s="10"/>
      <c r="X1861" s="10"/>
      <c r="Y1861" s="10"/>
      <c r="Z1861" s="10"/>
      <c r="AA1861" s="11"/>
      <c r="AB1861" s="11"/>
    </row>
    <row r="1862" spans="2:28" x14ac:dyDescent="0.3">
      <c r="B1862" s="10" t="s">
        <v>407</v>
      </c>
      <c r="C1862" s="315"/>
      <c r="D1862" s="868" t="s">
        <v>4685</v>
      </c>
      <c r="E1862" s="837" t="str">
        <f>IFERROR(IF(_xlfn.XLOOKUP(Imput[[#This Row],[RFC]],'Alta Proveedor'!D:D,'Alta Proveedor'!E:E)=0,"",_xlfn.XLOOKUP(Imput[[#This Row],[RFC]],'Alta Proveedor'!D:D,'Alta Proveedor'!E:E)),"")</f>
        <v>HOME DEPOT MEXICO SUCURSAL 8734-REYNOSA</v>
      </c>
      <c r="F1862" s="832" t="s">
        <v>4688</v>
      </c>
      <c r="G1862" s="187">
        <v>302</v>
      </c>
      <c r="H1862" s="1">
        <f>6232.94/Imput[[#This Row],[Cantidad]]</f>
        <v>20.638874172185428</v>
      </c>
      <c r="I1862" s="169">
        <f>Imput[[#This Row],[Cantidad]]*Imput[[#This Row],[Precio Unitario]]</f>
        <v>6232.94</v>
      </c>
      <c r="J1862" s="11">
        <f>((Imput[[#This Row],[Sub total]])*(0.08))+0.003</f>
        <v>498.63819999999998</v>
      </c>
      <c r="K1862" s="11">
        <v>0</v>
      </c>
      <c r="L1862" s="169">
        <f>Imput[[#This Row],[Sub total]]+Imput[[#This Row],[IVA]]-Imput[[#This Row],[Retención / IEPS / Descuento]]</f>
        <v>6731.5781999999999</v>
      </c>
      <c r="M1862" s="844">
        <f>+Imput[[#This Row],[Importe Neto]]+L1863+L1864</f>
        <v>310969.52520000003</v>
      </c>
      <c r="N1862" s="189" t="s">
        <v>123</v>
      </c>
      <c r="O1862" s="1"/>
      <c r="P1862" s="189" t="s">
        <v>4763</v>
      </c>
      <c r="Q1862" s="190" t="s">
        <v>4764</v>
      </c>
      <c r="R1862" s="188">
        <v>46064</v>
      </c>
      <c r="S1862" s="193" t="s">
        <v>126</v>
      </c>
      <c r="T1862" s="192"/>
      <c r="U1862" s="829"/>
      <c r="V1862" s="10"/>
      <c r="W1862" s="10"/>
      <c r="X1862" s="10"/>
      <c r="Y1862" s="10"/>
      <c r="Z1862" s="10"/>
      <c r="AA1862" s="11"/>
      <c r="AB1862" s="11"/>
    </row>
    <row r="1863" spans="2:28" x14ac:dyDescent="0.3">
      <c r="B1863" s="10" t="s">
        <v>407</v>
      </c>
      <c r="C1863" s="315"/>
      <c r="D1863" s="868" t="s">
        <v>4685</v>
      </c>
      <c r="E1863" s="837" t="str">
        <f>IFERROR(IF(_xlfn.XLOOKUP(Imput[[#This Row],[RFC]],'Alta Proveedor'!D:D,'Alta Proveedor'!E:E)=0,"",_xlfn.XLOOKUP(Imput[[#This Row],[RFC]],'Alta Proveedor'!D:D,'Alta Proveedor'!E:E)),"")</f>
        <v>HOME DEPOT MEXICO SUCURSAL 8734-REYNOSA</v>
      </c>
      <c r="F1863" s="832" t="s">
        <v>4686</v>
      </c>
      <c r="G1863" s="187">
        <v>2.5510000000000002</v>
      </c>
      <c r="H1863" s="1">
        <f>41326.2/Imput[[#This Row],[Cantidad]]</f>
        <v>16199.999999999998</v>
      </c>
      <c r="I1863" s="169">
        <f>Imput[[#This Row],[Cantidad]]*Imput[[#This Row],[Precio Unitario]]</f>
        <v>41326.199999999997</v>
      </c>
      <c r="J1863" s="11">
        <f>((Imput[[#This Row],[Sub total]])*(0.08))+0.003</f>
        <v>3306.0990000000002</v>
      </c>
      <c r="K1863" s="11">
        <v>0</v>
      </c>
      <c r="L1863" s="169">
        <f>Imput[[#This Row],[Sub total]]+Imput[[#This Row],[IVA]]-Imput[[#This Row],[Retención / IEPS / Descuento]]</f>
        <v>44632.298999999999</v>
      </c>
      <c r="M1863" s="844">
        <v>0</v>
      </c>
      <c r="N1863" s="189" t="s">
        <v>123</v>
      </c>
      <c r="O1863" s="1"/>
      <c r="P1863" s="189" t="s">
        <v>4763</v>
      </c>
      <c r="Q1863" s="190" t="s">
        <v>4764</v>
      </c>
      <c r="R1863" s="188">
        <v>46064</v>
      </c>
      <c r="S1863" s="193" t="s">
        <v>126</v>
      </c>
      <c r="T1863" s="192"/>
      <c r="U1863" s="829"/>
      <c r="V1863" s="10"/>
      <c r="W1863" s="10"/>
      <c r="X1863" s="10"/>
      <c r="Y1863" s="10"/>
      <c r="Z1863" s="10"/>
      <c r="AA1863" s="11"/>
      <c r="AB1863" s="11"/>
    </row>
    <row r="1864" spans="2:28" x14ac:dyDescent="0.3">
      <c r="B1864" s="10" t="s">
        <v>407</v>
      </c>
      <c r="C1864" s="315"/>
      <c r="D1864" s="868" t="s">
        <v>4685</v>
      </c>
      <c r="E1864" s="837" t="str">
        <f>IFERROR(IF(_xlfn.XLOOKUP(Imput[[#This Row],[RFC]],'Alta Proveedor'!D:D,'Alta Proveedor'!E:E)=0,"",_xlfn.XLOOKUP(Imput[[#This Row],[RFC]],'Alta Proveedor'!D:D,'Alta Proveedor'!E:E)),"")</f>
        <v>HOME DEPOT MEXICO SUCURSAL 8734-REYNOSA</v>
      </c>
      <c r="F1864" s="832" t="s">
        <v>4687</v>
      </c>
      <c r="G1864" s="187">
        <v>14.837999999999999</v>
      </c>
      <c r="H1864" s="1">
        <f>240375.6/Imput[[#This Row],[Cantidad]]</f>
        <v>16200.000000000002</v>
      </c>
      <c r="I1864" s="169">
        <f>Imput[[#This Row],[Cantidad]]*Imput[[#This Row],[Precio Unitario]]</f>
        <v>240375.6</v>
      </c>
      <c r="J1864" s="11">
        <f>((Imput[[#This Row],[Sub total]])*(0.08))</f>
        <v>19230.048000000003</v>
      </c>
      <c r="K1864" s="11">
        <v>0</v>
      </c>
      <c r="L1864" s="169">
        <f>Imput[[#This Row],[Sub total]]+Imput[[#This Row],[IVA]]-Imput[[#This Row],[Retención / IEPS / Descuento]]</f>
        <v>259605.64800000002</v>
      </c>
      <c r="M1864" s="844">
        <v>0</v>
      </c>
      <c r="N1864" s="189" t="s">
        <v>123</v>
      </c>
      <c r="O1864" s="1"/>
      <c r="P1864" s="189" t="s">
        <v>4763</v>
      </c>
      <c r="Q1864" s="190" t="s">
        <v>4764</v>
      </c>
      <c r="R1864" s="188">
        <v>46064</v>
      </c>
      <c r="S1864" s="193" t="s">
        <v>126</v>
      </c>
      <c r="T1864" s="192"/>
      <c r="U1864" s="829"/>
      <c r="V1864" s="10"/>
      <c r="W1864" s="10"/>
      <c r="X1864" s="10"/>
      <c r="Y1864" s="10"/>
      <c r="Z1864" s="10"/>
      <c r="AA1864" s="11"/>
      <c r="AB1864" s="11"/>
    </row>
    <row r="1865" spans="2:28" x14ac:dyDescent="0.3">
      <c r="B1865" s="10" t="s">
        <v>290</v>
      </c>
      <c r="C1865" s="315"/>
      <c r="D1865" s="868" t="s">
        <v>164</v>
      </c>
      <c r="E1865" s="837" t="str">
        <f>IFERROR(IF(_xlfn.XLOOKUP(Imput[[#This Row],[RFC]],'Alta Proveedor'!D:D,'Alta Proveedor'!E:E)=0,"",_xlfn.XLOOKUP(Imput[[#This Row],[RFC]],'Alta Proveedor'!D:D,'Alta Proveedor'!E:E)),"")</f>
        <v>HOME DEPOT MEXICO SUCURSAL THD-8730 TAMPICO</v>
      </c>
      <c r="F1865" s="832" t="s">
        <v>4767</v>
      </c>
      <c r="G1865" s="187">
        <v>1</v>
      </c>
      <c r="H1865" s="1">
        <v>930.17</v>
      </c>
      <c r="I1865" s="169">
        <f>Imput[[#This Row],[Cantidad]]*Imput[[#This Row],[Precio Unitario]]</f>
        <v>930.17</v>
      </c>
      <c r="J1865" s="11">
        <f>((Imput[[#This Row],[Sub total]])*(0.16))</f>
        <v>148.8272</v>
      </c>
      <c r="K1865" s="11">
        <v>0</v>
      </c>
      <c r="L1865" s="169">
        <f>Imput[[#This Row],[Sub total]]+Imput[[#This Row],[IVA]]-Imput[[#This Row],[Retención / IEPS / Descuento]]</f>
        <v>1078.9972</v>
      </c>
      <c r="M1865" s="844">
        <f>Imput[[#This Row],[Importe Neto]]</f>
        <v>1078.9972</v>
      </c>
      <c r="N1865" s="189" t="s">
        <v>123</v>
      </c>
      <c r="O1865" s="1"/>
      <c r="P1865" s="189" t="s">
        <v>4765</v>
      </c>
      <c r="Q1865" s="190" t="s">
        <v>4766</v>
      </c>
      <c r="R1865" s="188">
        <v>45867</v>
      </c>
      <c r="S1865" s="193" t="s">
        <v>126</v>
      </c>
      <c r="T1865" s="192"/>
      <c r="U1865" s="829"/>
      <c r="V1865" s="10"/>
      <c r="W1865" s="10"/>
      <c r="X1865" s="10"/>
      <c r="Y1865" s="10"/>
      <c r="Z1865" s="10"/>
      <c r="AA1865" s="11"/>
      <c r="AB1865" s="11"/>
    </row>
    <row r="1866" spans="2:28" x14ac:dyDescent="0.3">
      <c r="B1866" s="10" t="s">
        <v>405</v>
      </c>
      <c r="C1866" s="315" t="s">
        <v>1747</v>
      </c>
      <c r="D1866" s="868" t="s">
        <v>3915</v>
      </c>
      <c r="E1866" s="837" t="str">
        <f>IFERROR(IF(_xlfn.XLOOKUP(Imput[[#This Row],[RFC]],'Alta Proveedor'!D:D,'Alta Proveedor'!E:E)=0,"",_xlfn.XLOOKUP(Imput[[#This Row],[RFC]],'Alta Proveedor'!D:D,'Alta Proveedor'!E:E)),"")</f>
        <v>ATENOGENES URIEL ARAUJO VALENZUELA</v>
      </c>
      <c r="F1866" s="832" t="s">
        <v>4770</v>
      </c>
      <c r="G1866" s="187">
        <v>1</v>
      </c>
      <c r="H1866" s="1">
        <v>550</v>
      </c>
      <c r="I1866" s="169">
        <f>Imput[[#This Row],[Cantidad]]*Imput[[#This Row],[Precio Unitario]]</f>
        <v>550</v>
      </c>
      <c r="J1866" s="11">
        <f>((Imput[[#This Row],[Sub total]])*(0.16))+16.5</f>
        <v>104.5</v>
      </c>
      <c r="K1866" s="11">
        <v>0</v>
      </c>
      <c r="L1866" s="169">
        <f>Imput[[#This Row],[Sub total]]+Imput[[#This Row],[IVA]]-Imput[[#This Row],[Retención / IEPS / Descuento]]</f>
        <v>654.5</v>
      </c>
      <c r="M1866" s="844">
        <f>Imput[[#This Row],[Importe Neto]]</f>
        <v>654.5</v>
      </c>
      <c r="N1866" s="189" t="s">
        <v>123</v>
      </c>
      <c r="O1866" s="1"/>
      <c r="P1866" s="189" t="s">
        <v>4768</v>
      </c>
      <c r="Q1866" s="190" t="s">
        <v>4769</v>
      </c>
      <c r="R1866" s="188">
        <v>46048</v>
      </c>
      <c r="S1866" s="193" t="s">
        <v>294</v>
      </c>
      <c r="T1866" s="192"/>
      <c r="U1866" s="829"/>
      <c r="V1866" s="10"/>
      <c r="W1866" s="10"/>
      <c r="X1866" s="10"/>
      <c r="Y1866" s="10"/>
      <c r="Z1866" s="10"/>
      <c r="AA1866" s="11"/>
      <c r="AB1866" s="11"/>
    </row>
    <row r="1867" spans="2:28" x14ac:dyDescent="0.3">
      <c r="B1867" s="10" t="s">
        <v>405</v>
      </c>
      <c r="C1867" s="315" t="s">
        <v>1747</v>
      </c>
      <c r="D1867" s="868" t="s">
        <v>3915</v>
      </c>
      <c r="E1867" s="837" t="str">
        <f>IFERROR(IF(_xlfn.XLOOKUP(Imput[[#This Row],[RFC]],'Alta Proveedor'!D:D,'Alta Proveedor'!E:E)=0,"",_xlfn.XLOOKUP(Imput[[#This Row],[RFC]],'Alta Proveedor'!D:D,'Alta Proveedor'!E:E)),"")</f>
        <v>ATENOGENES URIEL ARAUJO VALENZUELA</v>
      </c>
      <c r="F1867" s="832" t="s">
        <v>4776</v>
      </c>
      <c r="G1867" s="187">
        <v>1</v>
      </c>
      <c r="H1867" s="1">
        <v>650</v>
      </c>
      <c r="I1867" s="169">
        <f>Imput[[#This Row],[Cantidad]]*Imput[[#This Row],[Precio Unitario]]</f>
        <v>650</v>
      </c>
      <c r="J1867" s="11">
        <f>((Imput[[#This Row],[Sub total]])*(0.16))+19.5</f>
        <v>123.5</v>
      </c>
      <c r="K1867" s="11">
        <v>0</v>
      </c>
      <c r="L1867" s="169">
        <f>Imput[[#This Row],[Sub total]]+Imput[[#This Row],[IVA]]-Imput[[#This Row],[Retención / IEPS / Descuento]]</f>
        <v>773.5</v>
      </c>
      <c r="M1867" s="844">
        <f>Imput[[#This Row],[Importe Neto]]</f>
        <v>773.5</v>
      </c>
      <c r="N1867" s="189" t="s">
        <v>123</v>
      </c>
      <c r="O1867" s="1"/>
      <c r="P1867" s="189" t="s">
        <v>4771</v>
      </c>
      <c r="Q1867" s="190" t="s">
        <v>4772</v>
      </c>
      <c r="R1867" s="188">
        <v>46048</v>
      </c>
      <c r="S1867" s="193" t="s">
        <v>294</v>
      </c>
      <c r="T1867" s="192"/>
      <c r="U1867" s="829"/>
      <c r="V1867" s="10"/>
      <c r="W1867" s="10"/>
      <c r="X1867" s="10"/>
      <c r="Y1867" s="10"/>
      <c r="Z1867" s="10"/>
      <c r="AA1867" s="11"/>
      <c r="AB1867" s="11"/>
    </row>
    <row r="1868" spans="2:28" x14ac:dyDescent="0.3">
      <c r="B1868" s="10" t="s">
        <v>405</v>
      </c>
      <c r="C1868" s="315" t="s">
        <v>1747</v>
      </c>
      <c r="D1868" s="868" t="s">
        <v>3915</v>
      </c>
      <c r="E1868" s="837" t="str">
        <f>IFERROR(IF(_xlfn.XLOOKUP(Imput[[#This Row],[RFC]],'Alta Proveedor'!D:D,'Alta Proveedor'!E:E)=0,"",_xlfn.XLOOKUP(Imput[[#This Row],[RFC]],'Alta Proveedor'!D:D,'Alta Proveedor'!E:E)),"")</f>
        <v>ATENOGENES URIEL ARAUJO VALENZUELA</v>
      </c>
      <c r="F1868" s="832" t="s">
        <v>4775</v>
      </c>
      <c r="G1868" s="187">
        <v>1</v>
      </c>
      <c r="H1868" s="1">
        <v>1800</v>
      </c>
      <c r="I1868" s="169">
        <f>Imput[[#This Row],[Cantidad]]*Imput[[#This Row],[Precio Unitario]]</f>
        <v>1800</v>
      </c>
      <c r="J1868" s="11">
        <f>((Imput[[#This Row],[Sub total]])*(0.16))+54</f>
        <v>342</v>
      </c>
      <c r="K1868" s="11">
        <v>0</v>
      </c>
      <c r="L1868" s="169">
        <f>Imput[[#This Row],[Sub total]]+Imput[[#This Row],[IVA]]-Imput[[#This Row],[Retención / IEPS / Descuento]]</f>
        <v>2142</v>
      </c>
      <c r="M1868" s="844">
        <f>Imput[[#This Row],[Importe Neto]]</f>
        <v>2142</v>
      </c>
      <c r="N1868" s="189" t="s">
        <v>123</v>
      </c>
      <c r="O1868" s="1"/>
      <c r="P1868" s="189" t="s">
        <v>4773</v>
      </c>
      <c r="Q1868" s="190" t="s">
        <v>4774</v>
      </c>
      <c r="R1868" s="188">
        <v>46048</v>
      </c>
      <c r="S1868" s="193" t="s">
        <v>294</v>
      </c>
      <c r="T1868" s="192"/>
      <c r="U1868" s="829"/>
      <c r="V1868" s="10"/>
      <c r="W1868" s="10"/>
      <c r="X1868" s="10"/>
      <c r="Y1868" s="10"/>
      <c r="Z1868" s="10"/>
      <c r="AA1868" s="11"/>
      <c r="AB1868" s="11"/>
    </row>
    <row r="1869" spans="2:28" x14ac:dyDescent="0.3">
      <c r="B1869" s="10" t="s">
        <v>403</v>
      </c>
      <c r="C1869" s="315"/>
      <c r="D1869" s="868" t="s">
        <v>1036</v>
      </c>
      <c r="E1869" s="837" t="str">
        <f>IFERROR(IF(_xlfn.XLOOKUP(Imput[[#This Row],[RFC]],'Alta Proveedor'!D:D,'Alta Proveedor'!E:E)=0,"",_xlfn.XLOOKUP(Imput[[#This Row],[RFC]],'Alta Proveedor'!D:D,'Alta Proveedor'!E:E)),"")</f>
        <v>AUTOZONE DE MEXICO</v>
      </c>
      <c r="F1869" s="832" t="s">
        <v>4779</v>
      </c>
      <c r="G1869" s="187">
        <v>1</v>
      </c>
      <c r="H1869" s="1">
        <v>680.17</v>
      </c>
      <c r="I1869" s="169">
        <f>Imput[[#This Row],[Cantidad]]*Imput[[#This Row],[Precio Unitario]]</f>
        <v>680.17</v>
      </c>
      <c r="J1869" s="11">
        <f>((Imput[[#This Row],[Sub total]])*(0.16))</f>
        <v>108.82719999999999</v>
      </c>
      <c r="K1869" s="11">
        <v>0</v>
      </c>
      <c r="L1869" s="169">
        <f>Imput[[#This Row],[Sub total]]+Imput[[#This Row],[IVA]]-Imput[[#This Row],[Retención / IEPS / Descuento]]</f>
        <v>788.99719999999991</v>
      </c>
      <c r="M1869" s="844">
        <f>+Imput[[#This Row],[Importe Neto]]+L1870</f>
        <v>1218</v>
      </c>
      <c r="N1869" s="189" t="s">
        <v>123</v>
      </c>
      <c r="O1869" s="1"/>
      <c r="P1869" s="189" t="s">
        <v>4777</v>
      </c>
      <c r="Q1869" s="190" t="s">
        <v>4778</v>
      </c>
      <c r="R1869" s="188">
        <v>46037</v>
      </c>
      <c r="S1869" s="193" t="s">
        <v>154</v>
      </c>
      <c r="T1869" s="192"/>
      <c r="U1869" s="829"/>
      <c r="V1869" s="10"/>
      <c r="W1869" s="10"/>
      <c r="X1869" s="10"/>
      <c r="Y1869" s="10"/>
      <c r="Z1869" s="10"/>
      <c r="AA1869" s="11"/>
      <c r="AB1869" s="11"/>
    </row>
    <row r="1870" spans="2:28" x14ac:dyDescent="0.3">
      <c r="B1870" s="10" t="s">
        <v>403</v>
      </c>
      <c r="C1870" s="315"/>
      <c r="D1870" s="868" t="s">
        <v>1036</v>
      </c>
      <c r="E1870" s="837" t="str">
        <f>IFERROR(IF(_xlfn.XLOOKUP(Imput[[#This Row],[RFC]],'Alta Proveedor'!D:D,'Alta Proveedor'!E:E)=0,"",_xlfn.XLOOKUP(Imput[[#This Row],[RFC]],'Alta Proveedor'!D:D,'Alta Proveedor'!E:E)),"")</f>
        <v>AUTOZONE DE MEXICO</v>
      </c>
      <c r="F1870" s="832" t="s">
        <v>4780</v>
      </c>
      <c r="G1870" s="187">
        <v>1</v>
      </c>
      <c r="H1870" s="1">
        <v>369.83</v>
      </c>
      <c r="I1870" s="169">
        <f>Imput[[#This Row],[Cantidad]]*Imput[[#This Row],[Precio Unitario]]</f>
        <v>369.83</v>
      </c>
      <c r="J1870" s="11">
        <f>((Imput[[#This Row],[Sub total]])*(0.16))</f>
        <v>59.172799999999995</v>
      </c>
      <c r="K1870" s="11">
        <v>0</v>
      </c>
      <c r="L1870" s="169">
        <f>Imput[[#This Row],[Sub total]]+Imput[[#This Row],[IVA]]-Imput[[#This Row],[Retención / IEPS / Descuento]]</f>
        <v>429.00279999999998</v>
      </c>
      <c r="M1870" s="844">
        <v>0</v>
      </c>
      <c r="N1870" s="189" t="s">
        <v>123</v>
      </c>
      <c r="O1870" s="1"/>
      <c r="P1870" s="189" t="s">
        <v>4777</v>
      </c>
      <c r="Q1870" s="190" t="s">
        <v>4778</v>
      </c>
      <c r="R1870" s="188">
        <v>46037</v>
      </c>
      <c r="S1870" s="193" t="s">
        <v>154</v>
      </c>
      <c r="T1870" s="192"/>
      <c r="U1870" s="829"/>
      <c r="V1870" s="10"/>
      <c r="W1870" s="10"/>
      <c r="X1870" s="10"/>
      <c r="Y1870" s="10"/>
      <c r="Z1870" s="10"/>
      <c r="AA1870" s="11"/>
      <c r="AB1870" s="11"/>
    </row>
    <row r="1871" spans="2:28" x14ac:dyDescent="0.3">
      <c r="B1871" s="10" t="s">
        <v>403</v>
      </c>
      <c r="C1871" s="315"/>
      <c r="D1871" s="868" t="s">
        <v>1036</v>
      </c>
      <c r="E1871" s="837" t="str">
        <f>IFERROR(IF(_xlfn.XLOOKUP(Imput[[#This Row],[RFC]],'Alta Proveedor'!D:D,'Alta Proveedor'!E:E)=0,"",_xlfn.XLOOKUP(Imput[[#This Row],[RFC]],'Alta Proveedor'!D:D,'Alta Proveedor'!E:E)),"")</f>
        <v>AUTOZONE DE MEXICO</v>
      </c>
      <c r="F1871" s="832" t="s">
        <v>4783</v>
      </c>
      <c r="G1871" s="187">
        <v>1</v>
      </c>
      <c r="H1871" s="1">
        <v>116.38</v>
      </c>
      <c r="I1871" s="169">
        <f>Imput[[#This Row],[Cantidad]]*Imput[[#This Row],[Precio Unitario]]</f>
        <v>116.38</v>
      </c>
      <c r="J1871" s="11">
        <f>((Imput[[#This Row],[Sub total]])*(0.16))</f>
        <v>18.620799999999999</v>
      </c>
      <c r="K1871" s="11">
        <v>0</v>
      </c>
      <c r="L1871" s="169">
        <f>Imput[[#This Row],[Sub total]]+Imput[[#This Row],[IVA]]-Imput[[#This Row],[Retención / IEPS / Descuento]]</f>
        <v>135.0008</v>
      </c>
      <c r="M1871" s="844">
        <f>+Imput[[#This Row],[Importe Neto]]+L1872</f>
        <v>233.99520000000001</v>
      </c>
      <c r="N1871" s="189" t="s">
        <v>123</v>
      </c>
      <c r="O1871" s="1"/>
      <c r="P1871" s="189" t="s">
        <v>4781</v>
      </c>
      <c r="Q1871" s="190" t="s">
        <v>4782</v>
      </c>
      <c r="R1871" s="188">
        <v>46037</v>
      </c>
      <c r="S1871" s="193" t="s">
        <v>154</v>
      </c>
      <c r="T1871" s="192"/>
      <c r="U1871" s="829"/>
      <c r="V1871" s="10"/>
      <c r="W1871" s="10"/>
      <c r="X1871" s="10"/>
      <c r="Y1871" s="10"/>
      <c r="Z1871" s="10"/>
      <c r="AA1871" s="11"/>
      <c r="AB1871" s="11"/>
    </row>
    <row r="1872" spans="2:28" x14ac:dyDescent="0.3">
      <c r="B1872" s="10" t="s">
        <v>403</v>
      </c>
      <c r="C1872" s="315"/>
      <c r="D1872" s="868" t="s">
        <v>1036</v>
      </c>
      <c r="E1872" s="837" t="str">
        <f>IFERROR(IF(_xlfn.XLOOKUP(Imput[[#This Row],[RFC]],'Alta Proveedor'!D:D,'Alta Proveedor'!E:E)=0,"",_xlfn.XLOOKUP(Imput[[#This Row],[RFC]],'Alta Proveedor'!D:D,'Alta Proveedor'!E:E)),"")</f>
        <v>AUTOZONE DE MEXICO</v>
      </c>
      <c r="F1872" s="832" t="s">
        <v>4784</v>
      </c>
      <c r="G1872" s="187">
        <v>1</v>
      </c>
      <c r="H1872" s="1">
        <v>85.34</v>
      </c>
      <c r="I1872" s="169">
        <f>Imput[[#This Row],[Cantidad]]*Imput[[#This Row],[Precio Unitario]]</f>
        <v>85.34</v>
      </c>
      <c r="J1872" s="11">
        <f>((Imput[[#This Row],[Sub total]])*(0.16))</f>
        <v>13.654400000000001</v>
      </c>
      <c r="K1872" s="11">
        <v>0</v>
      </c>
      <c r="L1872" s="169">
        <f>Imput[[#This Row],[Sub total]]+Imput[[#This Row],[IVA]]-Imput[[#This Row],[Retención / IEPS / Descuento]]</f>
        <v>98.994399999999999</v>
      </c>
      <c r="M1872" s="844">
        <v>0</v>
      </c>
      <c r="N1872" s="189" t="s">
        <v>123</v>
      </c>
      <c r="O1872" s="1"/>
      <c r="P1872" s="189" t="s">
        <v>4781</v>
      </c>
      <c r="Q1872" s="190" t="s">
        <v>4782</v>
      </c>
      <c r="R1872" s="188">
        <v>46037</v>
      </c>
      <c r="S1872" s="193" t="s">
        <v>154</v>
      </c>
      <c r="T1872" s="192"/>
      <c r="U1872" s="829"/>
      <c r="V1872" s="10"/>
      <c r="W1872" s="10"/>
      <c r="X1872" s="10"/>
      <c r="Y1872" s="10"/>
      <c r="Z1872" s="10"/>
      <c r="AA1872" s="11"/>
      <c r="AB1872" s="11"/>
    </row>
    <row r="1873" spans="2:28" x14ac:dyDescent="0.3">
      <c r="B1873" s="10" t="s">
        <v>405</v>
      </c>
      <c r="C1873" s="315"/>
      <c r="D1873" s="868" t="s">
        <v>1036</v>
      </c>
      <c r="E1873" s="837" t="str">
        <f>IFERROR(IF(_xlfn.XLOOKUP(Imput[[#This Row],[RFC]],'Alta Proveedor'!D:D,'Alta Proveedor'!E:E)=0,"",_xlfn.XLOOKUP(Imput[[#This Row],[RFC]],'Alta Proveedor'!D:D,'Alta Proveedor'!E:E)),"")</f>
        <v>AUTOZONE DE MEXICO</v>
      </c>
      <c r="F1873" s="832" t="s">
        <v>4422</v>
      </c>
      <c r="G1873" s="187">
        <v>1</v>
      </c>
      <c r="H1873" s="1">
        <v>45.37</v>
      </c>
      <c r="I1873" s="169">
        <f>Imput[[#This Row],[Cantidad]]*Imput[[#This Row],[Precio Unitario]]</f>
        <v>45.37</v>
      </c>
      <c r="J1873" s="11">
        <f>((Imput[[#This Row],[Sub total]])*(0.08))-0.002</f>
        <v>3.6276000000000002</v>
      </c>
      <c r="K1873" s="11">
        <v>0</v>
      </c>
      <c r="L1873" s="169">
        <f>Imput[[#This Row],[Sub total]]+Imput[[#This Row],[IVA]]-Imput[[#This Row],[Retención / IEPS / Descuento]]</f>
        <v>48.997599999999998</v>
      </c>
      <c r="M1873" s="844">
        <f>+Imput[[#This Row],[Importe Neto]]+L1874+L1875+L1876+L1877+L1878</f>
        <v>493.9962000000001</v>
      </c>
      <c r="N1873" s="189" t="s">
        <v>123</v>
      </c>
      <c r="O1873" s="1"/>
      <c r="P1873" s="189" t="s">
        <v>4785</v>
      </c>
      <c r="Q1873" s="190" t="s">
        <v>4786</v>
      </c>
      <c r="R1873" s="188">
        <v>46042</v>
      </c>
      <c r="S1873" s="193" t="s">
        <v>126</v>
      </c>
      <c r="T1873" s="192"/>
      <c r="U1873" s="829"/>
      <c r="V1873" s="10"/>
      <c r="W1873" s="10"/>
      <c r="X1873" s="10"/>
      <c r="Y1873" s="10"/>
      <c r="Z1873" s="10"/>
      <c r="AA1873" s="11"/>
      <c r="AB1873" s="11"/>
    </row>
    <row r="1874" spans="2:28" x14ac:dyDescent="0.3">
      <c r="B1874" s="10" t="s">
        <v>405</v>
      </c>
      <c r="C1874" s="315"/>
      <c r="D1874" s="868" t="s">
        <v>1036</v>
      </c>
      <c r="E1874" s="837" t="str">
        <f>IFERROR(IF(_xlfn.XLOOKUP(Imput[[#This Row],[RFC]],'Alta Proveedor'!D:D,'Alta Proveedor'!E:E)=0,"",_xlfn.XLOOKUP(Imput[[#This Row],[RFC]],'Alta Proveedor'!D:D,'Alta Proveedor'!E:E)),"")</f>
        <v>AUTOZONE DE MEXICO</v>
      </c>
      <c r="F1874" s="832" t="s">
        <v>4787</v>
      </c>
      <c r="G1874" s="187">
        <v>1</v>
      </c>
      <c r="H1874" s="1">
        <v>82.409000000000006</v>
      </c>
      <c r="I1874" s="169">
        <f>Imput[[#This Row],[Cantidad]]*Imput[[#This Row],[Precio Unitario]]</f>
        <v>82.409000000000006</v>
      </c>
      <c r="J1874" s="11">
        <f>((Imput[[#This Row],[Sub total]])*(0.08))-0.002</f>
        <v>6.590720000000001</v>
      </c>
      <c r="K1874" s="11">
        <v>0</v>
      </c>
      <c r="L1874" s="169">
        <f>Imput[[#This Row],[Sub total]]+Imput[[#This Row],[IVA]]-Imput[[#This Row],[Retención / IEPS / Descuento]]</f>
        <v>88.999720000000011</v>
      </c>
      <c r="M1874" s="844">
        <v>0</v>
      </c>
      <c r="N1874" s="189" t="s">
        <v>123</v>
      </c>
      <c r="O1874" s="1"/>
      <c r="P1874" s="189" t="s">
        <v>4785</v>
      </c>
      <c r="Q1874" s="190" t="s">
        <v>4786</v>
      </c>
      <c r="R1874" s="188">
        <v>46042</v>
      </c>
      <c r="S1874" s="193" t="s">
        <v>126</v>
      </c>
      <c r="T1874" s="192"/>
      <c r="U1874" s="829"/>
      <c r="V1874" s="10"/>
      <c r="W1874" s="10"/>
      <c r="X1874" s="10"/>
      <c r="Y1874" s="10"/>
      <c r="Z1874" s="10"/>
      <c r="AA1874" s="11"/>
      <c r="AB1874" s="11"/>
    </row>
    <row r="1875" spans="2:28" x14ac:dyDescent="0.3">
      <c r="B1875" s="10" t="s">
        <v>405</v>
      </c>
      <c r="C1875" s="315"/>
      <c r="D1875" s="868" t="s">
        <v>1036</v>
      </c>
      <c r="E1875" s="837" t="str">
        <f>IFERROR(IF(_xlfn.XLOOKUP(Imput[[#This Row],[RFC]],'Alta Proveedor'!D:D,'Alta Proveedor'!E:E)=0,"",_xlfn.XLOOKUP(Imput[[#This Row],[RFC]],'Alta Proveedor'!D:D,'Alta Proveedor'!E:E)),"")</f>
        <v>AUTOZONE DE MEXICO</v>
      </c>
      <c r="F1875" s="832" t="s">
        <v>4787</v>
      </c>
      <c r="G1875" s="187">
        <v>1</v>
      </c>
      <c r="H1875" s="1">
        <v>82.409000000000006</v>
      </c>
      <c r="I1875" s="169">
        <f>Imput[[#This Row],[Cantidad]]*Imput[[#This Row],[Precio Unitario]]</f>
        <v>82.409000000000006</v>
      </c>
      <c r="J1875" s="11">
        <f>((Imput[[#This Row],[Sub total]])*(0.08))-0.002</f>
        <v>6.590720000000001</v>
      </c>
      <c r="K1875" s="11">
        <v>0</v>
      </c>
      <c r="L1875" s="169">
        <f>Imput[[#This Row],[Sub total]]+Imput[[#This Row],[IVA]]-Imput[[#This Row],[Retención / IEPS / Descuento]]</f>
        <v>88.999720000000011</v>
      </c>
      <c r="M1875" s="844">
        <v>0</v>
      </c>
      <c r="N1875" s="189" t="s">
        <v>123</v>
      </c>
      <c r="O1875" s="1"/>
      <c r="P1875" s="189" t="s">
        <v>4785</v>
      </c>
      <c r="Q1875" s="190" t="s">
        <v>4786</v>
      </c>
      <c r="R1875" s="188">
        <v>46042</v>
      </c>
      <c r="S1875" s="193" t="s">
        <v>126</v>
      </c>
      <c r="T1875" s="192"/>
      <c r="U1875" s="829"/>
      <c r="V1875" s="10"/>
      <c r="W1875" s="10"/>
      <c r="X1875" s="10"/>
      <c r="Y1875" s="10"/>
      <c r="Z1875" s="10"/>
      <c r="AA1875" s="11"/>
      <c r="AB1875" s="11"/>
    </row>
    <row r="1876" spans="2:28" x14ac:dyDescent="0.3">
      <c r="B1876" s="10" t="s">
        <v>405</v>
      </c>
      <c r="C1876" s="315"/>
      <c r="D1876" s="868" t="s">
        <v>1036</v>
      </c>
      <c r="E1876" s="837" t="str">
        <f>IFERROR(IF(_xlfn.XLOOKUP(Imput[[#This Row],[RFC]],'Alta Proveedor'!D:D,'Alta Proveedor'!E:E)=0,"",_xlfn.XLOOKUP(Imput[[#This Row],[RFC]],'Alta Proveedor'!D:D,'Alta Proveedor'!E:E)),"")</f>
        <v>AUTOZONE DE MEXICO</v>
      </c>
      <c r="F1876" s="832" t="s">
        <v>4787</v>
      </c>
      <c r="G1876" s="187">
        <v>1</v>
      </c>
      <c r="H1876" s="1">
        <v>82.409000000000006</v>
      </c>
      <c r="I1876" s="169">
        <f>Imput[[#This Row],[Cantidad]]*Imput[[#This Row],[Precio Unitario]]</f>
        <v>82.409000000000006</v>
      </c>
      <c r="J1876" s="11">
        <f>((Imput[[#This Row],[Sub total]])*(0.08))-0.002</f>
        <v>6.590720000000001</v>
      </c>
      <c r="K1876" s="11">
        <v>0</v>
      </c>
      <c r="L1876" s="169">
        <f>Imput[[#This Row],[Sub total]]+Imput[[#This Row],[IVA]]-Imput[[#This Row],[Retención / IEPS / Descuento]]</f>
        <v>88.999720000000011</v>
      </c>
      <c r="M1876" s="844">
        <v>0</v>
      </c>
      <c r="N1876" s="189" t="s">
        <v>123</v>
      </c>
      <c r="O1876" s="1"/>
      <c r="P1876" s="189" t="s">
        <v>4785</v>
      </c>
      <c r="Q1876" s="190" t="s">
        <v>4786</v>
      </c>
      <c r="R1876" s="188">
        <v>46042</v>
      </c>
      <c r="S1876" s="193" t="s">
        <v>126</v>
      </c>
      <c r="T1876" s="192"/>
      <c r="U1876" s="829"/>
      <c r="V1876" s="10"/>
      <c r="W1876" s="10"/>
      <c r="X1876" s="10"/>
      <c r="Y1876" s="10"/>
      <c r="Z1876" s="10"/>
      <c r="AA1876" s="11"/>
      <c r="AB1876" s="11"/>
    </row>
    <row r="1877" spans="2:28" x14ac:dyDescent="0.3">
      <c r="B1877" s="10" t="s">
        <v>405</v>
      </c>
      <c r="C1877" s="315"/>
      <c r="D1877" s="868" t="s">
        <v>1036</v>
      </c>
      <c r="E1877" s="837" t="str">
        <f>IFERROR(IF(_xlfn.XLOOKUP(Imput[[#This Row],[RFC]],'Alta Proveedor'!D:D,'Alta Proveedor'!E:E)=0,"",_xlfn.XLOOKUP(Imput[[#This Row],[RFC]],'Alta Proveedor'!D:D,'Alta Proveedor'!E:E)),"")</f>
        <v>AUTOZONE DE MEXICO</v>
      </c>
      <c r="F1877" s="832" t="s">
        <v>4787</v>
      </c>
      <c r="G1877" s="187">
        <v>1</v>
      </c>
      <c r="H1877" s="1">
        <v>82.409000000000006</v>
      </c>
      <c r="I1877" s="169">
        <f>Imput[[#This Row],[Cantidad]]*Imput[[#This Row],[Precio Unitario]]</f>
        <v>82.409000000000006</v>
      </c>
      <c r="J1877" s="11">
        <f>((Imput[[#This Row],[Sub total]])*(0.08))-0.002</f>
        <v>6.590720000000001</v>
      </c>
      <c r="K1877" s="11">
        <v>0</v>
      </c>
      <c r="L1877" s="169">
        <f>Imput[[#This Row],[Sub total]]+Imput[[#This Row],[IVA]]-Imput[[#This Row],[Retención / IEPS / Descuento]]</f>
        <v>88.999720000000011</v>
      </c>
      <c r="M1877" s="844">
        <v>0</v>
      </c>
      <c r="N1877" s="189" t="s">
        <v>123</v>
      </c>
      <c r="O1877" s="1"/>
      <c r="P1877" s="189" t="s">
        <v>4785</v>
      </c>
      <c r="Q1877" s="190" t="s">
        <v>4786</v>
      </c>
      <c r="R1877" s="188">
        <v>46042</v>
      </c>
      <c r="S1877" s="193" t="s">
        <v>126</v>
      </c>
      <c r="T1877" s="192"/>
      <c r="U1877" s="829"/>
      <c r="V1877" s="10"/>
      <c r="W1877" s="10"/>
      <c r="X1877" s="10"/>
      <c r="Y1877" s="10"/>
      <c r="Z1877" s="10"/>
      <c r="AA1877" s="11"/>
      <c r="AB1877" s="11"/>
    </row>
    <row r="1878" spans="2:28" x14ac:dyDescent="0.3">
      <c r="B1878" s="10" t="s">
        <v>405</v>
      </c>
      <c r="C1878" s="315"/>
      <c r="D1878" s="868" t="s">
        <v>1036</v>
      </c>
      <c r="E1878" s="837" t="str">
        <f>IFERROR(IF(_xlfn.XLOOKUP(Imput[[#This Row],[RFC]],'Alta Proveedor'!D:D,'Alta Proveedor'!E:E)=0,"",_xlfn.XLOOKUP(Imput[[#This Row],[RFC]],'Alta Proveedor'!D:D,'Alta Proveedor'!E:E)),"")</f>
        <v>AUTOZONE DE MEXICO</v>
      </c>
      <c r="F1878" s="832" t="s">
        <v>4787</v>
      </c>
      <c r="G1878" s="187">
        <v>1</v>
      </c>
      <c r="H1878" s="1">
        <v>82.409000000000006</v>
      </c>
      <c r="I1878" s="169">
        <f>Imput[[#This Row],[Cantidad]]*Imput[[#This Row],[Precio Unitario]]</f>
        <v>82.409000000000006</v>
      </c>
      <c r="J1878" s="11">
        <f>((Imput[[#This Row],[Sub total]])*(0.08))-0.002</f>
        <v>6.590720000000001</v>
      </c>
      <c r="K1878" s="11">
        <v>0</v>
      </c>
      <c r="L1878" s="169">
        <f>Imput[[#This Row],[Sub total]]+Imput[[#This Row],[IVA]]-Imput[[#This Row],[Retención / IEPS / Descuento]]</f>
        <v>88.999720000000011</v>
      </c>
      <c r="M1878" s="844">
        <v>0</v>
      </c>
      <c r="N1878" s="189" t="s">
        <v>123</v>
      </c>
      <c r="O1878" s="1"/>
      <c r="P1878" s="189" t="s">
        <v>4785</v>
      </c>
      <c r="Q1878" s="190" t="s">
        <v>4786</v>
      </c>
      <c r="R1878" s="188">
        <v>46042</v>
      </c>
      <c r="S1878" s="193" t="s">
        <v>126</v>
      </c>
      <c r="T1878" s="192"/>
      <c r="U1878" s="829"/>
      <c r="V1878" s="10"/>
      <c r="W1878" s="10"/>
      <c r="X1878" s="10"/>
      <c r="Y1878" s="10"/>
      <c r="Z1878" s="10"/>
      <c r="AA1878" s="11"/>
      <c r="AB1878" s="11"/>
    </row>
    <row r="1879" spans="2:28" x14ac:dyDescent="0.3">
      <c r="B1879" s="10" t="s">
        <v>407</v>
      </c>
      <c r="C1879" s="315"/>
      <c r="D1879" s="868" t="s">
        <v>1036</v>
      </c>
      <c r="E1879" s="837" t="str">
        <f>IFERROR(IF(_xlfn.XLOOKUP(Imput[[#This Row],[RFC]],'Alta Proveedor'!D:D,'Alta Proveedor'!E:E)=0,"",_xlfn.XLOOKUP(Imput[[#This Row],[RFC]],'Alta Proveedor'!D:D,'Alta Proveedor'!E:E)),"")</f>
        <v>AUTOZONE DE MEXICO</v>
      </c>
      <c r="F1879" s="832" t="s">
        <v>4790</v>
      </c>
      <c r="G1879" s="187">
        <v>1</v>
      </c>
      <c r="H1879" s="1">
        <v>425</v>
      </c>
      <c r="I1879" s="169">
        <f>Imput[[#This Row],[Cantidad]]*Imput[[#This Row],[Precio Unitario]]</f>
        <v>425</v>
      </c>
      <c r="J1879" s="11">
        <f>((Imput[[#This Row],[Sub total]])*(0.08))</f>
        <v>34</v>
      </c>
      <c r="K1879" s="11">
        <v>0</v>
      </c>
      <c r="L1879" s="169">
        <f>Imput[[#This Row],[Sub total]]+Imput[[#This Row],[IVA]]-Imput[[#This Row],[Retención / IEPS / Descuento]]</f>
        <v>459</v>
      </c>
      <c r="M1879" s="844">
        <f>Imput[[#This Row],[Importe Neto]]+L1880</f>
        <v>658.00080000000003</v>
      </c>
      <c r="N1879" s="189" t="s">
        <v>123</v>
      </c>
      <c r="O1879" s="1"/>
      <c r="P1879" s="189" t="s">
        <v>4788</v>
      </c>
      <c r="Q1879" s="190" t="s">
        <v>4789</v>
      </c>
      <c r="R1879" s="188">
        <v>46058</v>
      </c>
      <c r="S1879" s="193" t="s">
        <v>126</v>
      </c>
      <c r="T1879" s="192"/>
      <c r="U1879" s="829"/>
      <c r="V1879" s="10"/>
      <c r="W1879" s="10"/>
      <c r="X1879" s="10"/>
      <c r="Y1879" s="10"/>
      <c r="Z1879" s="10"/>
      <c r="AA1879" s="11"/>
      <c r="AB1879" s="11"/>
    </row>
    <row r="1880" spans="2:28" x14ac:dyDescent="0.3">
      <c r="B1880" s="10" t="s">
        <v>407</v>
      </c>
      <c r="C1880" s="315"/>
      <c r="D1880" s="868" t="s">
        <v>1036</v>
      </c>
      <c r="E1880" s="837" t="str">
        <f>IFERROR(IF(_xlfn.XLOOKUP(Imput[[#This Row],[RFC]],'Alta Proveedor'!D:D,'Alta Proveedor'!E:E)=0,"",_xlfn.XLOOKUP(Imput[[#This Row],[RFC]],'Alta Proveedor'!D:D,'Alta Proveedor'!E:E)),"")</f>
        <v>AUTOZONE DE MEXICO</v>
      </c>
      <c r="F1880" s="832" t="s">
        <v>4791</v>
      </c>
      <c r="G1880" s="187">
        <v>1</v>
      </c>
      <c r="H1880" s="1">
        <v>184.26</v>
      </c>
      <c r="I1880" s="169">
        <f>Imput[[#This Row],[Cantidad]]*Imput[[#This Row],[Precio Unitario]]</f>
        <v>184.26</v>
      </c>
      <c r="J1880" s="11">
        <f>((Imput[[#This Row],[Sub total]])*(0.08))</f>
        <v>14.7408</v>
      </c>
      <c r="K1880" s="11">
        <v>0</v>
      </c>
      <c r="L1880" s="169">
        <f>Imput[[#This Row],[Sub total]]+Imput[[#This Row],[IVA]]-Imput[[#This Row],[Retención / IEPS / Descuento]]</f>
        <v>199.0008</v>
      </c>
      <c r="M1880" s="844">
        <v>0</v>
      </c>
      <c r="N1880" s="189" t="s">
        <v>123</v>
      </c>
      <c r="O1880" s="1"/>
      <c r="P1880" s="189" t="s">
        <v>4788</v>
      </c>
      <c r="Q1880" s="190" t="s">
        <v>4789</v>
      </c>
      <c r="R1880" s="188">
        <v>46058</v>
      </c>
      <c r="S1880" s="193" t="s">
        <v>126</v>
      </c>
      <c r="T1880" s="192"/>
      <c r="U1880" s="829"/>
      <c r="V1880" s="10"/>
      <c r="W1880" s="10"/>
      <c r="X1880" s="10"/>
      <c r="Y1880" s="10"/>
      <c r="Z1880" s="10"/>
      <c r="AA1880" s="11"/>
      <c r="AB1880" s="11"/>
    </row>
    <row r="1881" spans="2:28" x14ac:dyDescent="0.3">
      <c r="B1881" s="10" t="s">
        <v>407</v>
      </c>
      <c r="C1881" s="315"/>
      <c r="D1881" s="868" t="s">
        <v>1036</v>
      </c>
      <c r="E1881" s="837" t="str">
        <f>IFERROR(IF(_xlfn.XLOOKUP(Imput[[#This Row],[RFC]],'Alta Proveedor'!D:D,'Alta Proveedor'!E:E)=0,"",_xlfn.XLOOKUP(Imput[[#This Row],[RFC]],'Alta Proveedor'!D:D,'Alta Proveedor'!E:E)),"")</f>
        <v>AUTOZONE DE MEXICO</v>
      </c>
      <c r="F1881" s="832" t="s">
        <v>4794</v>
      </c>
      <c r="G1881" s="187">
        <v>1</v>
      </c>
      <c r="H1881" s="1">
        <v>393.97</v>
      </c>
      <c r="I1881" s="169">
        <f>Imput[[#This Row],[Cantidad]]*Imput[[#This Row],[Precio Unitario]]</f>
        <v>393.97</v>
      </c>
      <c r="J1881" s="11">
        <f>((Imput[[#This Row],[Sub total]]-50.009)*(0.16))</f>
        <v>55.033760000000001</v>
      </c>
      <c r="K1881" s="11">
        <v>50</v>
      </c>
      <c r="L1881" s="169">
        <f>Imput[[#This Row],[Sub total]]+Imput[[#This Row],[IVA]]-Imput[[#This Row],[Retención / IEPS / Descuento]]</f>
        <v>399.00376000000006</v>
      </c>
      <c r="M1881" s="844">
        <f>Imput[[#This Row],[Importe Neto]]</f>
        <v>399.00376000000006</v>
      </c>
      <c r="N1881" s="189" t="s">
        <v>123</v>
      </c>
      <c r="O1881" s="1"/>
      <c r="P1881" s="189" t="s">
        <v>4792</v>
      </c>
      <c r="Q1881" s="190" t="s">
        <v>4793</v>
      </c>
      <c r="R1881" s="188">
        <v>46061</v>
      </c>
      <c r="S1881" s="193" t="s">
        <v>126</v>
      </c>
      <c r="T1881" s="192"/>
      <c r="U1881" s="829"/>
      <c r="V1881" s="10"/>
      <c r="W1881" s="10"/>
      <c r="X1881" s="10"/>
      <c r="Y1881" s="10"/>
      <c r="Z1881" s="10"/>
      <c r="AA1881" s="11"/>
      <c r="AB1881" s="11"/>
    </row>
    <row r="1882" spans="2:28" x14ac:dyDescent="0.3">
      <c r="B1882" s="10" t="s">
        <v>405</v>
      </c>
      <c r="C1882" s="315"/>
      <c r="D1882" s="868"/>
      <c r="E1882" s="837" t="str">
        <f>IFERROR(IF(_xlfn.XLOOKUP(Imput[[#This Row],[RFC]],'Alta Proveedor'!D:D,'Alta Proveedor'!E:E)=0,"",_xlfn.XLOOKUP(Imput[[#This Row],[RFC]],'Alta Proveedor'!D:D,'Alta Proveedor'!E:E)),"")</f>
        <v/>
      </c>
      <c r="F1882" s="832"/>
      <c r="G1882" s="187"/>
      <c r="H1882" s="1"/>
      <c r="I1882" s="169">
        <f>Imput[[#This Row],[Cantidad]]*Imput[[#This Row],[Precio Unitario]]</f>
        <v>0</v>
      </c>
      <c r="J1882" s="11">
        <f>((Imput[[#This Row],[Sub total]])*(0.16))</f>
        <v>0</v>
      </c>
      <c r="K1882" s="11">
        <v>0</v>
      </c>
      <c r="L1882" s="169">
        <f>Imput[[#This Row],[Sub total]]+Imput[[#This Row],[IVA]]-Imput[[#This Row],[Retención / IEPS / Descuento]]</f>
        <v>0</v>
      </c>
      <c r="M1882" s="844">
        <v>0</v>
      </c>
      <c r="N1882" s="189" t="s">
        <v>123</v>
      </c>
      <c r="O1882" s="1"/>
      <c r="P1882" s="189" t="s">
        <v>4795</v>
      </c>
      <c r="Q1882" s="190" t="s">
        <v>4796</v>
      </c>
      <c r="R1882" s="188">
        <v>46050</v>
      </c>
      <c r="S1882" s="193" t="s">
        <v>126</v>
      </c>
      <c r="T1882" s="192"/>
      <c r="U1882" s="829"/>
      <c r="V1882" s="10"/>
      <c r="W1882" s="10"/>
      <c r="X1882" s="10"/>
      <c r="Y1882" s="10"/>
      <c r="Z1882" s="10"/>
      <c r="AA1882" s="11"/>
      <c r="AB1882" s="11"/>
    </row>
    <row r="1883" spans="2:28" x14ac:dyDescent="0.3">
      <c r="B1883" s="10"/>
      <c r="C1883" s="315"/>
      <c r="D1883" s="868"/>
      <c r="E1883" s="837" t="str">
        <f>IFERROR(IF(_xlfn.XLOOKUP(Imput[[#This Row],[RFC]],'Alta Proveedor'!D:D,'Alta Proveedor'!E:E)=0,"",_xlfn.XLOOKUP(Imput[[#This Row],[RFC]],'Alta Proveedor'!D:D,'Alta Proveedor'!E:E)),"")</f>
        <v/>
      </c>
      <c r="F1883" s="832"/>
      <c r="G1883" s="187"/>
      <c r="H1883" s="1"/>
      <c r="I1883" s="169">
        <f>Imput[[#This Row],[Cantidad]]*Imput[[#This Row],[Precio Unitario]]</f>
        <v>0</v>
      </c>
      <c r="J1883" s="11">
        <f>((Imput[[#This Row],[Sub total]])*(0.16))</f>
        <v>0</v>
      </c>
      <c r="K1883" s="11">
        <v>0</v>
      </c>
      <c r="L1883" s="169">
        <f>Imput[[#This Row],[Sub total]]+Imput[[#This Row],[IVA]]-Imput[[#This Row],[Retención / IEPS / Descuento]]</f>
        <v>0</v>
      </c>
      <c r="M1883" s="844">
        <v>0</v>
      </c>
      <c r="N1883" s="189"/>
      <c r="O1883" s="1"/>
      <c r="P1883" s="189"/>
      <c r="Q1883" s="190"/>
      <c r="R1883" s="188"/>
      <c r="S1883" s="193"/>
      <c r="T1883" s="192"/>
      <c r="U1883" s="829"/>
      <c r="V1883" s="10"/>
      <c r="W1883" s="10"/>
      <c r="X1883" s="10"/>
      <c r="Y1883" s="10"/>
      <c r="Z1883" s="10"/>
      <c r="AA1883" s="11"/>
      <c r="AB1883" s="11"/>
    </row>
    <row r="1884" spans="2:28" x14ac:dyDescent="0.3">
      <c r="B1884" s="10"/>
      <c r="C1884" s="315"/>
      <c r="D1884" s="868"/>
      <c r="E1884" s="837" t="str">
        <f>IFERROR(IF(_xlfn.XLOOKUP(Imput[[#This Row],[RFC]],'Alta Proveedor'!D:D,'Alta Proveedor'!E:E)=0,"",_xlfn.XLOOKUP(Imput[[#This Row],[RFC]],'Alta Proveedor'!D:D,'Alta Proveedor'!E:E)),"")</f>
        <v/>
      </c>
      <c r="F1884" s="832"/>
      <c r="G1884" s="187"/>
      <c r="H1884" s="1"/>
      <c r="I1884" s="169">
        <f>Imput[[#This Row],[Cantidad]]*Imput[[#This Row],[Precio Unitario]]</f>
        <v>0</v>
      </c>
      <c r="J1884" s="11">
        <f>((Imput[[#This Row],[Sub total]])*(0.16))</f>
        <v>0</v>
      </c>
      <c r="K1884" s="11">
        <v>0</v>
      </c>
      <c r="L1884" s="169">
        <f>Imput[[#This Row],[Sub total]]+Imput[[#This Row],[IVA]]-Imput[[#This Row],[Retención / IEPS / Descuento]]</f>
        <v>0</v>
      </c>
      <c r="M1884" s="844">
        <v>0</v>
      </c>
      <c r="N1884" s="189"/>
      <c r="O1884" s="1"/>
      <c r="P1884" s="189"/>
      <c r="Q1884" s="190"/>
      <c r="R1884" s="188"/>
      <c r="S1884" s="193"/>
      <c r="T1884" s="192"/>
      <c r="U1884" s="829"/>
      <c r="V1884" s="10"/>
      <c r="W1884" s="10"/>
      <c r="X1884" s="10"/>
      <c r="Y1884" s="10"/>
      <c r="Z1884" s="10"/>
      <c r="AA1884" s="11"/>
      <c r="AB1884" s="11"/>
    </row>
    <row r="1885" spans="2:28" x14ac:dyDescent="0.3">
      <c r="B1885" s="10"/>
      <c r="C1885" s="315"/>
      <c r="D1885" s="868"/>
      <c r="E1885" s="837" t="str">
        <f>IFERROR(IF(_xlfn.XLOOKUP(Imput[[#This Row],[RFC]],'Alta Proveedor'!D:D,'Alta Proveedor'!E:E)=0,"",_xlfn.XLOOKUP(Imput[[#This Row],[RFC]],'Alta Proveedor'!D:D,'Alta Proveedor'!E:E)),"")</f>
        <v/>
      </c>
      <c r="F1885" s="832"/>
      <c r="G1885" s="187"/>
      <c r="H1885" s="1"/>
      <c r="I1885" s="169">
        <f>Imput[[#This Row],[Cantidad]]*Imput[[#This Row],[Precio Unitario]]</f>
        <v>0</v>
      </c>
      <c r="J1885" s="11">
        <f>((Imput[[#This Row],[Sub total]])*(0.16))</f>
        <v>0</v>
      </c>
      <c r="K1885" s="11">
        <v>0</v>
      </c>
      <c r="L1885" s="169">
        <f>Imput[[#This Row],[Sub total]]+Imput[[#This Row],[IVA]]-Imput[[#This Row],[Retención / IEPS / Descuento]]</f>
        <v>0</v>
      </c>
      <c r="M1885" s="844">
        <v>0</v>
      </c>
      <c r="N1885" s="189"/>
      <c r="O1885" s="1"/>
      <c r="P1885" s="189"/>
      <c r="Q1885" s="190"/>
      <c r="R1885" s="188"/>
      <c r="S1885" s="193"/>
      <c r="T1885" s="192"/>
      <c r="U1885" s="829"/>
      <c r="V1885" s="10"/>
      <c r="W1885" s="10"/>
      <c r="X1885" s="10"/>
      <c r="Y1885" s="10"/>
      <c r="Z1885" s="10"/>
      <c r="AA1885" s="11"/>
      <c r="AB1885" s="11"/>
    </row>
    <row r="1886" spans="2:28" x14ac:dyDescent="0.3">
      <c r="B1886" s="10"/>
      <c r="C1886" s="315"/>
      <c r="D1886" s="868"/>
      <c r="E1886" s="837" t="str">
        <f>IFERROR(IF(_xlfn.XLOOKUP(Imput[[#This Row],[RFC]],'Alta Proveedor'!D:D,'Alta Proveedor'!E:E)=0,"",_xlfn.XLOOKUP(Imput[[#This Row],[RFC]],'Alta Proveedor'!D:D,'Alta Proveedor'!E:E)),"")</f>
        <v/>
      </c>
      <c r="F1886" s="832"/>
      <c r="G1886" s="187"/>
      <c r="H1886" s="1"/>
      <c r="I1886" s="169">
        <f>Imput[[#This Row],[Cantidad]]*Imput[[#This Row],[Precio Unitario]]</f>
        <v>0</v>
      </c>
      <c r="J1886" s="11">
        <f>((Imput[[#This Row],[Sub total]])*(0.16))</f>
        <v>0</v>
      </c>
      <c r="K1886" s="11">
        <v>0</v>
      </c>
      <c r="L1886" s="169">
        <f>Imput[[#This Row],[Sub total]]+Imput[[#This Row],[IVA]]-Imput[[#This Row],[Retención / IEPS / Descuento]]</f>
        <v>0</v>
      </c>
      <c r="M1886" s="844">
        <v>0</v>
      </c>
      <c r="N1886" s="189"/>
      <c r="O1886" s="1"/>
      <c r="P1886" s="189"/>
      <c r="Q1886" s="190"/>
      <c r="R1886" s="188"/>
      <c r="S1886" s="193"/>
      <c r="T1886" s="192"/>
      <c r="U1886" s="829"/>
      <c r="V1886" s="10"/>
      <c r="W1886" s="10"/>
      <c r="X1886" s="10"/>
      <c r="Y1886" s="10"/>
      <c r="Z1886" s="10"/>
      <c r="AA1886" s="11"/>
      <c r="AB1886" s="11"/>
    </row>
    <row r="1887" spans="2:28" x14ac:dyDescent="0.3">
      <c r="B1887" s="10"/>
      <c r="C1887" s="315"/>
      <c r="D1887" s="868"/>
      <c r="E1887" s="837" t="str">
        <f>IFERROR(IF(_xlfn.XLOOKUP(Imput[[#This Row],[RFC]],'Alta Proveedor'!D:D,'Alta Proveedor'!E:E)=0,"",_xlfn.XLOOKUP(Imput[[#This Row],[RFC]],'Alta Proveedor'!D:D,'Alta Proveedor'!E:E)),"")</f>
        <v/>
      </c>
      <c r="F1887" s="832"/>
      <c r="G1887" s="187"/>
      <c r="H1887" s="1"/>
      <c r="I1887" s="169">
        <f>Imput[[#This Row],[Cantidad]]*Imput[[#This Row],[Precio Unitario]]</f>
        <v>0</v>
      </c>
      <c r="J1887" s="11">
        <f>((Imput[[#This Row],[Sub total]])*(0.16))</f>
        <v>0</v>
      </c>
      <c r="K1887" s="11">
        <v>0</v>
      </c>
      <c r="L1887" s="169">
        <f>Imput[[#This Row],[Sub total]]+Imput[[#This Row],[IVA]]-Imput[[#This Row],[Retención / IEPS / Descuento]]</f>
        <v>0</v>
      </c>
      <c r="M1887" s="844">
        <v>0</v>
      </c>
      <c r="N1887" s="189"/>
      <c r="O1887" s="1"/>
      <c r="P1887" s="189"/>
      <c r="Q1887" s="190"/>
      <c r="R1887" s="188"/>
      <c r="S1887" s="193"/>
      <c r="T1887" s="192"/>
      <c r="U1887" s="829"/>
      <c r="V1887" s="10"/>
      <c r="W1887" s="10"/>
      <c r="X1887" s="10"/>
      <c r="Y1887" s="10"/>
      <c r="Z1887" s="10"/>
      <c r="AA1887" s="11"/>
      <c r="AB1887" s="11"/>
    </row>
    <row r="1888" spans="2:28" x14ac:dyDescent="0.3">
      <c r="B1888" s="10"/>
      <c r="C1888" s="315"/>
      <c r="D1888" s="868"/>
      <c r="E1888" s="837" t="str">
        <f>IFERROR(IF(_xlfn.XLOOKUP(Imput[[#This Row],[RFC]],'Alta Proveedor'!D:D,'Alta Proveedor'!E:E)=0,"",_xlfn.XLOOKUP(Imput[[#This Row],[RFC]],'Alta Proveedor'!D:D,'Alta Proveedor'!E:E)),"")</f>
        <v/>
      </c>
      <c r="F1888" s="832"/>
      <c r="G1888" s="187"/>
      <c r="H1888" s="1"/>
      <c r="I1888" s="169">
        <f>Imput[[#This Row],[Cantidad]]*Imput[[#This Row],[Precio Unitario]]</f>
        <v>0</v>
      </c>
      <c r="J1888" s="11">
        <f>((Imput[[#This Row],[Sub total]])*(0.16))</f>
        <v>0</v>
      </c>
      <c r="K1888" s="11">
        <v>0</v>
      </c>
      <c r="L1888" s="169">
        <f>Imput[[#This Row],[Sub total]]+Imput[[#This Row],[IVA]]-Imput[[#This Row],[Retención / IEPS / Descuento]]</f>
        <v>0</v>
      </c>
      <c r="M1888" s="844">
        <v>0</v>
      </c>
      <c r="N1888" s="189"/>
      <c r="O1888" s="1"/>
      <c r="P1888" s="189"/>
      <c r="Q1888" s="190"/>
      <c r="R1888" s="188"/>
      <c r="S1888" s="193"/>
      <c r="T1888" s="192"/>
      <c r="U1888" s="829"/>
      <c r="V1888" s="10"/>
      <c r="W1888" s="10"/>
      <c r="X1888" s="10"/>
      <c r="Y1888" s="10"/>
      <c r="Z1888" s="10"/>
      <c r="AA1888" s="11"/>
      <c r="AB1888" s="11"/>
    </row>
    <row r="1889" spans="2:28" x14ac:dyDescent="0.3">
      <c r="B1889" s="10"/>
      <c r="C1889" s="315"/>
      <c r="D1889" s="868"/>
      <c r="E1889" s="837" t="str">
        <f>IFERROR(IF(_xlfn.XLOOKUP(Imput[[#This Row],[RFC]],'Alta Proveedor'!D:D,'Alta Proveedor'!E:E)=0,"",_xlfn.XLOOKUP(Imput[[#This Row],[RFC]],'Alta Proveedor'!D:D,'Alta Proveedor'!E:E)),"")</f>
        <v/>
      </c>
      <c r="F1889" s="832"/>
      <c r="G1889" s="187"/>
      <c r="H1889" s="1"/>
      <c r="I1889" s="169">
        <f>Imput[[#This Row],[Cantidad]]*Imput[[#This Row],[Precio Unitario]]</f>
        <v>0</v>
      </c>
      <c r="J1889" s="11">
        <f>((Imput[[#This Row],[Sub total]])*(0.16))</f>
        <v>0</v>
      </c>
      <c r="K1889" s="11">
        <v>0</v>
      </c>
      <c r="L1889" s="169">
        <f>Imput[[#This Row],[Sub total]]+Imput[[#This Row],[IVA]]-Imput[[#This Row],[Retención / IEPS / Descuento]]</f>
        <v>0</v>
      </c>
      <c r="M1889" s="844">
        <v>0</v>
      </c>
      <c r="N1889" s="189"/>
      <c r="O1889" s="1"/>
      <c r="P1889" s="189"/>
      <c r="Q1889" s="190"/>
      <c r="R1889" s="188"/>
      <c r="S1889" s="193"/>
      <c r="T1889" s="192"/>
      <c r="U1889" s="829"/>
      <c r="V1889" s="10"/>
      <c r="W1889" s="10"/>
      <c r="X1889" s="10"/>
      <c r="Y1889" s="10"/>
      <c r="Z1889" s="10"/>
      <c r="AA1889" s="11"/>
      <c r="AB1889" s="11"/>
    </row>
    <row r="1890" spans="2:28" x14ac:dyDescent="0.3">
      <c r="B1890" s="10"/>
      <c r="C1890" s="315"/>
      <c r="D1890" s="868"/>
      <c r="E1890" s="837" t="str">
        <f>IFERROR(IF(_xlfn.XLOOKUP(Imput[[#This Row],[RFC]],'Alta Proveedor'!D:D,'Alta Proveedor'!E:E)=0,"",_xlfn.XLOOKUP(Imput[[#This Row],[RFC]],'Alta Proveedor'!D:D,'Alta Proveedor'!E:E)),"")</f>
        <v/>
      </c>
      <c r="F1890" s="832"/>
      <c r="G1890" s="187"/>
      <c r="H1890" s="1"/>
      <c r="I1890" s="169">
        <f>Imput[[#This Row],[Cantidad]]*Imput[[#This Row],[Precio Unitario]]</f>
        <v>0</v>
      </c>
      <c r="J1890" s="11">
        <f>((Imput[[#This Row],[Sub total]])*(0.16))</f>
        <v>0</v>
      </c>
      <c r="K1890" s="11">
        <v>0</v>
      </c>
      <c r="L1890" s="169">
        <f>Imput[[#This Row],[Sub total]]+Imput[[#This Row],[IVA]]-Imput[[#This Row],[Retención / IEPS / Descuento]]</f>
        <v>0</v>
      </c>
      <c r="M1890" s="844">
        <v>0</v>
      </c>
      <c r="N1890" s="189"/>
      <c r="O1890" s="1"/>
      <c r="P1890" s="189"/>
      <c r="Q1890" s="190"/>
      <c r="R1890" s="188"/>
      <c r="S1890" s="193"/>
      <c r="T1890" s="192"/>
      <c r="U1890" s="829"/>
      <c r="V1890" s="10"/>
      <c r="W1890" s="10"/>
      <c r="X1890" s="10"/>
      <c r="Y1890" s="10"/>
      <c r="Z1890" s="10"/>
      <c r="AA1890" s="11"/>
      <c r="AB1890" s="11"/>
    </row>
    <row r="1891" spans="2:28" x14ac:dyDescent="0.3">
      <c r="B1891" s="10"/>
      <c r="C1891" s="315"/>
      <c r="D1891" s="868"/>
      <c r="E1891" s="837" t="str">
        <f>IFERROR(IF(_xlfn.XLOOKUP(Imput[[#This Row],[RFC]],'Alta Proveedor'!D:D,'Alta Proveedor'!E:E)=0,"",_xlfn.XLOOKUP(Imput[[#This Row],[RFC]],'Alta Proveedor'!D:D,'Alta Proveedor'!E:E)),"")</f>
        <v/>
      </c>
      <c r="F1891" s="832"/>
      <c r="G1891" s="187"/>
      <c r="H1891" s="1"/>
      <c r="I1891" s="169">
        <f>Imput[[#This Row],[Cantidad]]*Imput[[#This Row],[Precio Unitario]]</f>
        <v>0</v>
      </c>
      <c r="J1891" s="11">
        <f>((Imput[[#This Row],[Sub total]])*(0.16))</f>
        <v>0</v>
      </c>
      <c r="K1891" s="11">
        <v>0</v>
      </c>
      <c r="L1891" s="169">
        <f>Imput[[#This Row],[Sub total]]+Imput[[#This Row],[IVA]]-Imput[[#This Row],[Retención / IEPS / Descuento]]</f>
        <v>0</v>
      </c>
      <c r="M1891" s="844">
        <v>0</v>
      </c>
      <c r="N1891" s="189"/>
      <c r="O1891" s="1"/>
      <c r="P1891" s="189"/>
      <c r="Q1891" s="190"/>
      <c r="R1891" s="188"/>
      <c r="S1891" s="193"/>
      <c r="T1891" s="192"/>
      <c r="U1891" s="829"/>
      <c r="V1891" s="10"/>
      <c r="W1891" s="10"/>
      <c r="X1891" s="10"/>
      <c r="Y1891" s="10"/>
      <c r="Z1891" s="10"/>
      <c r="AA1891" s="11"/>
      <c r="AB1891" s="11"/>
    </row>
    <row r="1892" spans="2:28" x14ac:dyDescent="0.3">
      <c r="B1892" s="10"/>
      <c r="C1892" s="315"/>
      <c r="D1892" s="868"/>
      <c r="E1892" s="837" t="str">
        <f>IFERROR(IF(_xlfn.XLOOKUP(Imput[[#This Row],[RFC]],'Alta Proveedor'!D:D,'Alta Proveedor'!E:E)=0,"",_xlfn.XLOOKUP(Imput[[#This Row],[RFC]],'Alta Proveedor'!D:D,'Alta Proveedor'!E:E)),"")</f>
        <v/>
      </c>
      <c r="F1892" s="832"/>
      <c r="G1892" s="187"/>
      <c r="H1892" s="1"/>
      <c r="I1892" s="169">
        <f>Imput[[#This Row],[Cantidad]]*Imput[[#This Row],[Precio Unitario]]</f>
        <v>0</v>
      </c>
      <c r="J1892" s="11">
        <f>((Imput[[#This Row],[Sub total]])*(0.16))</f>
        <v>0</v>
      </c>
      <c r="K1892" s="11">
        <v>0</v>
      </c>
      <c r="L1892" s="169">
        <f>Imput[[#This Row],[Sub total]]+Imput[[#This Row],[IVA]]-Imput[[#This Row],[Retención / IEPS / Descuento]]</f>
        <v>0</v>
      </c>
      <c r="M1892" s="844">
        <v>0</v>
      </c>
      <c r="N1892" s="189"/>
      <c r="O1892" s="1"/>
      <c r="P1892" s="189"/>
      <c r="Q1892" s="190"/>
      <c r="R1892" s="188"/>
      <c r="S1892" s="193"/>
      <c r="T1892" s="192"/>
      <c r="U1892" s="829"/>
      <c r="V1892" s="10"/>
      <c r="W1892" s="10"/>
      <c r="X1892" s="10"/>
      <c r="Y1892" s="10"/>
      <c r="Z1892" s="10"/>
      <c r="AA1892" s="11"/>
      <c r="AB1892" s="11"/>
    </row>
    <row r="1893" spans="2:28" x14ac:dyDescent="0.3">
      <c r="B1893" s="10"/>
      <c r="C1893" s="315"/>
      <c r="D1893" s="868"/>
      <c r="E1893" s="837" t="str">
        <f>IFERROR(IF(_xlfn.XLOOKUP(Imput[[#This Row],[RFC]],'Alta Proveedor'!D:D,'Alta Proveedor'!E:E)=0,"",_xlfn.XLOOKUP(Imput[[#This Row],[RFC]],'Alta Proveedor'!D:D,'Alta Proveedor'!E:E)),"")</f>
        <v/>
      </c>
      <c r="F1893" s="832"/>
      <c r="G1893" s="187"/>
      <c r="H1893" s="1"/>
      <c r="I1893" s="169">
        <f>Imput[[#This Row],[Cantidad]]*Imput[[#This Row],[Precio Unitario]]</f>
        <v>0</v>
      </c>
      <c r="J1893" s="11">
        <f>((Imput[[#This Row],[Sub total]])*(0.16))</f>
        <v>0</v>
      </c>
      <c r="K1893" s="11">
        <v>0</v>
      </c>
      <c r="L1893" s="169">
        <f>Imput[[#This Row],[Sub total]]+Imput[[#This Row],[IVA]]-Imput[[#This Row],[Retención / IEPS / Descuento]]</f>
        <v>0</v>
      </c>
      <c r="M1893" s="844">
        <v>0</v>
      </c>
      <c r="N1893" s="189"/>
      <c r="O1893" s="1"/>
      <c r="P1893" s="189"/>
      <c r="Q1893" s="190"/>
      <c r="R1893" s="188"/>
      <c r="S1893" s="193"/>
      <c r="T1893" s="192"/>
      <c r="U1893" s="829"/>
      <c r="V1893" s="10"/>
      <c r="W1893" s="10"/>
      <c r="X1893" s="10"/>
      <c r="Y1893" s="10"/>
      <c r="Z1893" s="10"/>
      <c r="AA1893" s="11"/>
      <c r="AB1893" s="11"/>
    </row>
    <row r="1894" spans="2:28" x14ac:dyDescent="0.3">
      <c r="B1894" s="10"/>
      <c r="C1894" s="315"/>
      <c r="D1894" s="868"/>
      <c r="E1894" s="837" t="str">
        <f>IFERROR(IF(_xlfn.XLOOKUP(Imput[[#This Row],[RFC]],'Alta Proveedor'!D:D,'Alta Proveedor'!E:E)=0,"",_xlfn.XLOOKUP(Imput[[#This Row],[RFC]],'Alta Proveedor'!D:D,'Alta Proveedor'!E:E)),"")</f>
        <v/>
      </c>
      <c r="F1894" s="832"/>
      <c r="G1894" s="187"/>
      <c r="H1894" s="1"/>
      <c r="I1894" s="169">
        <f>Imput[[#This Row],[Cantidad]]*Imput[[#This Row],[Precio Unitario]]</f>
        <v>0</v>
      </c>
      <c r="J1894" s="11">
        <f>((Imput[[#This Row],[Sub total]])*(0.16))</f>
        <v>0</v>
      </c>
      <c r="K1894" s="11">
        <v>0</v>
      </c>
      <c r="L1894" s="169">
        <f>Imput[[#This Row],[Sub total]]+Imput[[#This Row],[IVA]]-Imput[[#This Row],[Retención / IEPS / Descuento]]</f>
        <v>0</v>
      </c>
      <c r="M1894" s="844">
        <v>0</v>
      </c>
      <c r="N1894" s="189"/>
      <c r="O1894" s="1"/>
      <c r="P1894" s="189"/>
      <c r="Q1894" s="190"/>
      <c r="R1894" s="188"/>
      <c r="S1894" s="193"/>
      <c r="T1894" s="192"/>
      <c r="U1894" s="829"/>
      <c r="V1894" s="10"/>
      <c r="W1894" s="10"/>
      <c r="X1894" s="10"/>
      <c r="Y1894" s="10"/>
      <c r="Z1894" s="10"/>
      <c r="AA1894" s="11"/>
      <c r="AB1894" s="11"/>
    </row>
    <row r="1895" spans="2:28" x14ac:dyDescent="0.3">
      <c r="B1895" s="10"/>
      <c r="C1895" s="315"/>
      <c r="D1895" s="868"/>
      <c r="E1895" s="837" t="str">
        <f>IFERROR(IF(_xlfn.XLOOKUP(Imput[[#This Row],[RFC]],'Alta Proveedor'!D:D,'Alta Proveedor'!E:E)=0,"",_xlfn.XLOOKUP(Imput[[#This Row],[RFC]],'Alta Proveedor'!D:D,'Alta Proveedor'!E:E)),"")</f>
        <v/>
      </c>
      <c r="F1895" s="832"/>
      <c r="G1895" s="187"/>
      <c r="H1895" s="1"/>
      <c r="I1895" s="169">
        <f>Imput[[#This Row],[Cantidad]]*Imput[[#This Row],[Precio Unitario]]</f>
        <v>0</v>
      </c>
      <c r="J1895" s="11">
        <f>((Imput[[#This Row],[Sub total]])*(0.16))</f>
        <v>0</v>
      </c>
      <c r="K1895" s="11">
        <v>0</v>
      </c>
      <c r="L1895" s="169">
        <f>Imput[[#This Row],[Sub total]]+Imput[[#This Row],[IVA]]-Imput[[#This Row],[Retención / IEPS / Descuento]]</f>
        <v>0</v>
      </c>
      <c r="M1895" s="844">
        <v>0</v>
      </c>
      <c r="N1895" s="189"/>
      <c r="O1895" s="1"/>
      <c r="P1895" s="189"/>
      <c r="Q1895" s="190"/>
      <c r="R1895" s="188"/>
      <c r="S1895" s="193"/>
      <c r="T1895" s="192"/>
      <c r="U1895" s="829"/>
      <c r="V1895" s="10"/>
      <c r="W1895" s="10"/>
      <c r="X1895" s="10"/>
      <c r="Y1895" s="10"/>
      <c r="Z1895" s="10"/>
      <c r="AA1895" s="11"/>
      <c r="AB1895" s="11"/>
    </row>
    <row r="1896" spans="2:28" x14ac:dyDescent="0.3">
      <c r="B1896" s="10"/>
      <c r="C1896" s="315"/>
      <c r="D1896" s="868"/>
      <c r="E1896" s="837" t="str">
        <f>IFERROR(IF(_xlfn.XLOOKUP(Imput[[#This Row],[RFC]],'Alta Proveedor'!D:D,'Alta Proveedor'!E:E)=0,"",_xlfn.XLOOKUP(Imput[[#This Row],[RFC]],'Alta Proveedor'!D:D,'Alta Proveedor'!E:E)),"")</f>
        <v/>
      </c>
      <c r="F1896" s="832"/>
      <c r="G1896" s="187"/>
      <c r="H1896" s="1"/>
      <c r="I1896" s="169">
        <f>Imput[[#This Row],[Cantidad]]*Imput[[#This Row],[Precio Unitario]]</f>
        <v>0</v>
      </c>
      <c r="J1896" s="11">
        <f>((Imput[[#This Row],[Sub total]])*(0.16))</f>
        <v>0</v>
      </c>
      <c r="K1896" s="11">
        <v>0</v>
      </c>
      <c r="L1896" s="169">
        <f>Imput[[#This Row],[Sub total]]+Imput[[#This Row],[IVA]]-Imput[[#This Row],[Retención / IEPS / Descuento]]</f>
        <v>0</v>
      </c>
      <c r="M1896" s="844">
        <v>0</v>
      </c>
      <c r="N1896" s="189"/>
      <c r="O1896" s="1"/>
      <c r="P1896" s="189"/>
      <c r="Q1896" s="190"/>
      <c r="R1896" s="188"/>
      <c r="S1896" s="193"/>
      <c r="T1896" s="192"/>
      <c r="U1896" s="829"/>
      <c r="V1896" s="10"/>
      <c r="W1896" s="10"/>
      <c r="X1896" s="10"/>
      <c r="Y1896" s="10"/>
      <c r="Z1896" s="10"/>
      <c r="AA1896" s="11"/>
      <c r="AB1896" s="11"/>
    </row>
    <row r="1897" spans="2:28" x14ac:dyDescent="0.3">
      <c r="B1897" s="10"/>
      <c r="C1897" s="315"/>
      <c r="D1897" s="868"/>
      <c r="E1897" s="837" t="str">
        <f>IFERROR(IF(_xlfn.XLOOKUP(Imput[[#This Row],[RFC]],'Alta Proveedor'!D:D,'Alta Proveedor'!E:E)=0,"",_xlfn.XLOOKUP(Imput[[#This Row],[RFC]],'Alta Proveedor'!D:D,'Alta Proveedor'!E:E)),"")</f>
        <v/>
      </c>
      <c r="F1897" s="832"/>
      <c r="G1897" s="187"/>
      <c r="H1897" s="1"/>
      <c r="I1897" s="169">
        <f>Imput[[#This Row],[Cantidad]]*Imput[[#This Row],[Precio Unitario]]</f>
        <v>0</v>
      </c>
      <c r="J1897" s="11">
        <f>((Imput[[#This Row],[Sub total]])*(0.16))</f>
        <v>0</v>
      </c>
      <c r="K1897" s="11">
        <v>0</v>
      </c>
      <c r="L1897" s="169">
        <f>Imput[[#This Row],[Sub total]]+Imput[[#This Row],[IVA]]-Imput[[#This Row],[Retención / IEPS / Descuento]]</f>
        <v>0</v>
      </c>
      <c r="M1897" s="844">
        <v>0</v>
      </c>
      <c r="N1897" s="189"/>
      <c r="O1897" s="1"/>
      <c r="P1897" s="189"/>
      <c r="Q1897" s="190"/>
      <c r="R1897" s="188"/>
      <c r="S1897" s="193"/>
      <c r="T1897" s="192"/>
      <c r="U1897" s="829"/>
      <c r="V1897" s="10"/>
      <c r="W1897" s="10"/>
      <c r="X1897" s="10"/>
      <c r="Y1897" s="10"/>
      <c r="Z1897" s="10"/>
      <c r="AA1897" s="11"/>
      <c r="AB1897" s="11"/>
    </row>
    <row r="1898" spans="2:28" x14ac:dyDescent="0.3">
      <c r="B1898" s="10"/>
      <c r="C1898" s="315"/>
      <c r="D1898" s="868"/>
      <c r="E1898" s="837" t="str">
        <f>IFERROR(IF(_xlfn.XLOOKUP(Imput[[#This Row],[RFC]],'Alta Proveedor'!D:D,'Alta Proveedor'!E:E)=0,"",_xlfn.XLOOKUP(Imput[[#This Row],[RFC]],'Alta Proveedor'!D:D,'Alta Proveedor'!E:E)),"")</f>
        <v/>
      </c>
      <c r="F1898" s="832"/>
      <c r="G1898" s="187"/>
      <c r="H1898" s="1"/>
      <c r="I1898" s="169">
        <f>Imput[[#This Row],[Cantidad]]*Imput[[#This Row],[Precio Unitario]]</f>
        <v>0</v>
      </c>
      <c r="J1898" s="11">
        <f>((Imput[[#This Row],[Sub total]])*(0.16))</f>
        <v>0</v>
      </c>
      <c r="K1898" s="11">
        <v>0</v>
      </c>
      <c r="L1898" s="169">
        <f>Imput[[#This Row],[Sub total]]+Imput[[#This Row],[IVA]]-Imput[[#This Row],[Retención / IEPS / Descuento]]</f>
        <v>0</v>
      </c>
      <c r="M1898" s="844">
        <v>0</v>
      </c>
      <c r="N1898" s="189"/>
      <c r="O1898" s="1"/>
      <c r="P1898" s="189"/>
      <c r="Q1898" s="190"/>
      <c r="R1898" s="188"/>
      <c r="S1898" s="193"/>
      <c r="T1898" s="192"/>
      <c r="U1898" s="829"/>
      <c r="V1898" s="10"/>
      <c r="W1898" s="10"/>
      <c r="X1898" s="10"/>
      <c r="Y1898" s="10"/>
      <c r="Z1898" s="10"/>
      <c r="AA1898" s="11"/>
      <c r="AB1898" s="11"/>
    </row>
    <row r="1899" spans="2:28" x14ac:dyDescent="0.3">
      <c r="B1899" s="10"/>
      <c r="C1899" s="315"/>
      <c r="D1899" s="868"/>
      <c r="E1899" s="837" t="str">
        <f>IFERROR(IF(_xlfn.XLOOKUP(Imput[[#This Row],[RFC]],'Alta Proveedor'!D:D,'Alta Proveedor'!E:E)=0,"",_xlfn.XLOOKUP(Imput[[#This Row],[RFC]],'Alta Proveedor'!D:D,'Alta Proveedor'!E:E)),"")</f>
        <v/>
      </c>
      <c r="F1899" s="832"/>
      <c r="G1899" s="187"/>
      <c r="H1899" s="1"/>
      <c r="I1899" s="169">
        <f>Imput[[#This Row],[Cantidad]]*Imput[[#This Row],[Precio Unitario]]</f>
        <v>0</v>
      </c>
      <c r="J1899" s="11">
        <f>((Imput[[#This Row],[Sub total]])*(0.16))</f>
        <v>0</v>
      </c>
      <c r="K1899" s="11">
        <v>0</v>
      </c>
      <c r="L1899" s="169">
        <f>Imput[[#This Row],[Sub total]]+Imput[[#This Row],[IVA]]-Imput[[#This Row],[Retención / IEPS / Descuento]]</f>
        <v>0</v>
      </c>
      <c r="M1899" s="844">
        <v>0</v>
      </c>
      <c r="N1899" s="189"/>
      <c r="O1899" s="1"/>
      <c r="P1899" s="189"/>
      <c r="Q1899" s="190"/>
      <c r="R1899" s="188"/>
      <c r="S1899" s="193"/>
      <c r="T1899" s="192"/>
      <c r="U1899" s="829"/>
      <c r="V1899" s="10"/>
      <c r="W1899" s="10"/>
      <c r="X1899" s="10"/>
      <c r="Y1899" s="10"/>
      <c r="Z1899" s="10"/>
      <c r="AA1899" s="11"/>
      <c r="AB1899" s="11"/>
    </row>
    <row r="1900" spans="2:28" x14ac:dyDescent="0.3">
      <c r="B1900" s="10"/>
      <c r="C1900" s="315"/>
      <c r="D1900" s="868"/>
      <c r="E1900" s="837" t="str">
        <f>IFERROR(IF(_xlfn.XLOOKUP(Imput[[#This Row],[RFC]],'Alta Proveedor'!D:D,'Alta Proveedor'!E:E)=0,"",_xlfn.XLOOKUP(Imput[[#This Row],[RFC]],'Alta Proveedor'!D:D,'Alta Proveedor'!E:E)),"")</f>
        <v/>
      </c>
      <c r="F1900" s="832"/>
      <c r="G1900" s="187"/>
      <c r="H1900" s="1"/>
      <c r="I1900" s="169">
        <f>Imput[[#This Row],[Cantidad]]*Imput[[#This Row],[Precio Unitario]]</f>
        <v>0</v>
      </c>
      <c r="J1900" s="11">
        <f>((Imput[[#This Row],[Sub total]])*(0.16))</f>
        <v>0</v>
      </c>
      <c r="K1900" s="11">
        <v>0</v>
      </c>
      <c r="L1900" s="169">
        <f>Imput[[#This Row],[Sub total]]+Imput[[#This Row],[IVA]]-Imput[[#This Row],[Retención / IEPS / Descuento]]</f>
        <v>0</v>
      </c>
      <c r="M1900" s="844">
        <v>0</v>
      </c>
      <c r="N1900" s="189"/>
      <c r="O1900" s="1"/>
      <c r="P1900" s="189"/>
      <c r="Q1900" s="190"/>
      <c r="R1900" s="188"/>
      <c r="S1900" s="193"/>
      <c r="T1900" s="192"/>
      <c r="U1900" s="829"/>
      <c r="V1900" s="10"/>
      <c r="W1900" s="10"/>
      <c r="X1900" s="10"/>
      <c r="Y1900" s="10"/>
      <c r="Z1900" s="10"/>
      <c r="AA1900" s="11"/>
      <c r="AB1900" s="11"/>
    </row>
    <row r="1901" spans="2:28" x14ac:dyDescent="0.3">
      <c r="B1901" s="10"/>
      <c r="C1901" s="315"/>
      <c r="D1901" s="868"/>
      <c r="E1901" s="837" t="str">
        <f>IFERROR(IF(_xlfn.XLOOKUP(Imput[[#This Row],[RFC]],'Alta Proveedor'!D:D,'Alta Proveedor'!E:E)=0,"",_xlfn.XLOOKUP(Imput[[#This Row],[RFC]],'Alta Proveedor'!D:D,'Alta Proveedor'!E:E)),"")</f>
        <v/>
      </c>
      <c r="F1901" s="832"/>
      <c r="G1901" s="187"/>
      <c r="H1901" s="1"/>
      <c r="I1901" s="169">
        <f>Imput[[#This Row],[Cantidad]]*Imput[[#This Row],[Precio Unitario]]</f>
        <v>0</v>
      </c>
      <c r="J1901" s="11">
        <f>((Imput[[#This Row],[Sub total]])*(0.16))</f>
        <v>0</v>
      </c>
      <c r="K1901" s="11">
        <v>0</v>
      </c>
      <c r="L1901" s="169">
        <f>Imput[[#This Row],[Sub total]]+Imput[[#This Row],[IVA]]-Imput[[#This Row],[Retención / IEPS / Descuento]]</f>
        <v>0</v>
      </c>
      <c r="M1901" s="844">
        <v>0</v>
      </c>
      <c r="N1901" s="189"/>
      <c r="O1901" s="1"/>
      <c r="P1901" s="189"/>
      <c r="Q1901" s="190"/>
      <c r="R1901" s="188"/>
      <c r="S1901" s="193"/>
      <c r="T1901" s="192"/>
      <c r="U1901" s="829"/>
      <c r="V1901" s="10"/>
      <c r="W1901" s="10"/>
      <c r="X1901" s="10"/>
      <c r="Y1901" s="10"/>
      <c r="Z1901" s="10"/>
      <c r="AA1901" s="11"/>
      <c r="AB1901" s="11"/>
    </row>
    <row r="1902" spans="2:28" x14ac:dyDescent="0.3">
      <c r="B1902" s="10"/>
      <c r="C1902" s="315"/>
      <c r="D1902" s="868"/>
      <c r="E1902" s="837" t="str">
        <f>IFERROR(IF(_xlfn.XLOOKUP(Imput[[#This Row],[RFC]],'Alta Proveedor'!D:D,'Alta Proveedor'!E:E)=0,"",_xlfn.XLOOKUP(Imput[[#This Row],[RFC]],'Alta Proveedor'!D:D,'Alta Proveedor'!E:E)),"")</f>
        <v/>
      </c>
      <c r="F1902" s="832"/>
      <c r="G1902" s="187"/>
      <c r="H1902" s="1"/>
      <c r="I1902" s="169">
        <f>Imput[[#This Row],[Cantidad]]*Imput[[#This Row],[Precio Unitario]]</f>
        <v>0</v>
      </c>
      <c r="J1902" s="11">
        <f>((Imput[[#This Row],[Sub total]])*(0.16))</f>
        <v>0</v>
      </c>
      <c r="K1902" s="11">
        <v>0</v>
      </c>
      <c r="L1902" s="169">
        <f>Imput[[#This Row],[Sub total]]+Imput[[#This Row],[IVA]]-Imput[[#This Row],[Retención / IEPS / Descuento]]</f>
        <v>0</v>
      </c>
      <c r="M1902" s="844">
        <v>0</v>
      </c>
      <c r="N1902" s="189"/>
      <c r="O1902" s="1"/>
      <c r="P1902" s="189"/>
      <c r="Q1902" s="190"/>
      <c r="R1902" s="188"/>
      <c r="S1902" s="193"/>
      <c r="T1902" s="192"/>
      <c r="U1902" s="829"/>
      <c r="V1902" s="10"/>
      <c r="W1902" s="10"/>
      <c r="X1902" s="10"/>
      <c r="Y1902" s="10"/>
      <c r="Z1902" s="10"/>
      <c r="AA1902" s="11"/>
      <c r="AB1902" s="11"/>
    </row>
    <row r="1903" spans="2:28" x14ac:dyDescent="0.3">
      <c r="B1903" s="10"/>
      <c r="C1903" s="315"/>
      <c r="D1903" s="868"/>
      <c r="E1903" s="837" t="str">
        <f>IFERROR(IF(_xlfn.XLOOKUP(Imput[[#This Row],[RFC]],'Alta Proveedor'!D:D,'Alta Proveedor'!E:E)=0,"",_xlfn.XLOOKUP(Imput[[#This Row],[RFC]],'Alta Proveedor'!D:D,'Alta Proveedor'!E:E)),"")</f>
        <v/>
      </c>
      <c r="F1903" s="832"/>
      <c r="G1903" s="187"/>
      <c r="H1903" s="1"/>
      <c r="I1903" s="169">
        <f>Imput[[#This Row],[Cantidad]]*Imput[[#This Row],[Precio Unitario]]</f>
        <v>0</v>
      </c>
      <c r="J1903" s="11">
        <f>((Imput[[#This Row],[Sub total]])*(0.16))</f>
        <v>0</v>
      </c>
      <c r="K1903" s="11">
        <v>0</v>
      </c>
      <c r="L1903" s="169">
        <f>Imput[[#This Row],[Sub total]]+Imput[[#This Row],[IVA]]-Imput[[#This Row],[Retención / IEPS / Descuento]]</f>
        <v>0</v>
      </c>
      <c r="M1903" s="844">
        <v>0</v>
      </c>
      <c r="N1903" s="189"/>
      <c r="O1903" s="1"/>
      <c r="P1903" s="189"/>
      <c r="Q1903" s="190"/>
      <c r="R1903" s="188"/>
      <c r="S1903" s="193"/>
      <c r="T1903" s="192"/>
      <c r="U1903" s="829"/>
      <c r="V1903" s="10"/>
      <c r="W1903" s="10"/>
      <c r="X1903" s="10"/>
      <c r="Y1903" s="10"/>
      <c r="Z1903" s="10"/>
      <c r="AA1903" s="11"/>
      <c r="AB1903" s="11"/>
    </row>
    <row r="1904" spans="2:28" x14ac:dyDescent="0.3">
      <c r="B1904" s="10"/>
      <c r="C1904" s="315"/>
      <c r="D1904" s="868"/>
      <c r="E1904" s="837" t="str">
        <f>IFERROR(IF(_xlfn.XLOOKUP(Imput[[#This Row],[RFC]],'Alta Proveedor'!D:D,'Alta Proveedor'!E:E)=0,"",_xlfn.XLOOKUP(Imput[[#This Row],[RFC]],'Alta Proveedor'!D:D,'Alta Proveedor'!E:E)),"")</f>
        <v/>
      </c>
      <c r="F1904" s="832"/>
      <c r="G1904" s="187"/>
      <c r="H1904" s="1"/>
      <c r="I1904" s="169">
        <f>Imput[[#This Row],[Cantidad]]*Imput[[#This Row],[Precio Unitario]]</f>
        <v>0</v>
      </c>
      <c r="J1904" s="11">
        <f>((Imput[[#This Row],[Sub total]])*(0.16))</f>
        <v>0</v>
      </c>
      <c r="K1904" s="11">
        <v>0</v>
      </c>
      <c r="L1904" s="169">
        <f>Imput[[#This Row],[Sub total]]+Imput[[#This Row],[IVA]]-Imput[[#This Row],[Retención / IEPS / Descuento]]</f>
        <v>0</v>
      </c>
      <c r="M1904" s="844">
        <v>0</v>
      </c>
      <c r="N1904" s="189"/>
      <c r="O1904" s="1"/>
      <c r="P1904" s="189"/>
      <c r="Q1904" s="190"/>
      <c r="R1904" s="188"/>
      <c r="S1904" s="193"/>
      <c r="T1904" s="192"/>
      <c r="U1904" s="829"/>
      <c r="V1904" s="10"/>
      <c r="W1904" s="10"/>
      <c r="X1904" s="10"/>
      <c r="Y1904" s="10"/>
      <c r="Z1904" s="10"/>
      <c r="AA1904" s="11"/>
      <c r="AB1904" s="11"/>
    </row>
    <row r="1905" spans="2:28" x14ac:dyDescent="0.3">
      <c r="B1905" s="10"/>
      <c r="C1905" s="315"/>
      <c r="D1905" s="868"/>
      <c r="E1905" s="837" t="str">
        <f>IFERROR(IF(_xlfn.XLOOKUP(Imput[[#This Row],[RFC]],'Alta Proveedor'!D:D,'Alta Proveedor'!E:E)=0,"",_xlfn.XLOOKUP(Imput[[#This Row],[RFC]],'Alta Proveedor'!D:D,'Alta Proveedor'!E:E)),"")</f>
        <v/>
      </c>
      <c r="F1905" s="832"/>
      <c r="G1905" s="187"/>
      <c r="H1905" s="1"/>
      <c r="I1905" s="169">
        <f>Imput[[#This Row],[Cantidad]]*Imput[[#This Row],[Precio Unitario]]</f>
        <v>0</v>
      </c>
      <c r="J1905" s="11">
        <f>((Imput[[#This Row],[Sub total]])*(0.16))</f>
        <v>0</v>
      </c>
      <c r="K1905" s="11">
        <v>0</v>
      </c>
      <c r="L1905" s="169">
        <f>Imput[[#This Row],[Sub total]]+Imput[[#This Row],[IVA]]-Imput[[#This Row],[Retención / IEPS / Descuento]]</f>
        <v>0</v>
      </c>
      <c r="M1905" s="844">
        <v>0</v>
      </c>
      <c r="N1905" s="189"/>
      <c r="O1905" s="1"/>
      <c r="P1905" s="189"/>
      <c r="Q1905" s="190"/>
      <c r="R1905" s="188"/>
      <c r="S1905" s="193"/>
      <c r="T1905" s="192"/>
      <c r="U1905" s="829"/>
      <c r="V1905" s="10"/>
      <c r="W1905" s="10"/>
      <c r="X1905" s="10"/>
      <c r="Y1905" s="10"/>
      <c r="Z1905" s="10"/>
      <c r="AA1905" s="11"/>
      <c r="AB1905" s="11"/>
    </row>
    <row r="1906" spans="2:28" x14ac:dyDescent="0.3">
      <c r="B1906" s="10"/>
      <c r="C1906" s="315"/>
      <c r="D1906" s="868"/>
      <c r="E1906" s="837" t="str">
        <f>IFERROR(IF(_xlfn.XLOOKUP(Imput[[#This Row],[RFC]],'Alta Proveedor'!D:D,'Alta Proveedor'!E:E)=0,"",_xlfn.XLOOKUP(Imput[[#This Row],[RFC]],'Alta Proveedor'!D:D,'Alta Proveedor'!E:E)),"")</f>
        <v/>
      </c>
      <c r="F1906" s="832"/>
      <c r="G1906" s="187"/>
      <c r="H1906" s="1"/>
      <c r="I1906" s="169">
        <f>Imput[[#This Row],[Cantidad]]*Imput[[#This Row],[Precio Unitario]]</f>
        <v>0</v>
      </c>
      <c r="J1906" s="11">
        <f>((Imput[[#This Row],[Sub total]])*(0.16))</f>
        <v>0</v>
      </c>
      <c r="K1906" s="11">
        <v>0</v>
      </c>
      <c r="L1906" s="169">
        <f>Imput[[#This Row],[Sub total]]+Imput[[#This Row],[IVA]]-Imput[[#This Row],[Retención / IEPS / Descuento]]</f>
        <v>0</v>
      </c>
      <c r="M1906" s="844">
        <v>0</v>
      </c>
      <c r="N1906" s="189"/>
      <c r="O1906" s="1"/>
      <c r="P1906" s="189"/>
      <c r="Q1906" s="190"/>
      <c r="R1906" s="188"/>
      <c r="S1906" s="193"/>
      <c r="T1906" s="192"/>
      <c r="U1906" s="829"/>
      <c r="V1906" s="10"/>
      <c r="W1906" s="10"/>
      <c r="X1906" s="10"/>
      <c r="Y1906" s="10"/>
      <c r="Z1906" s="10"/>
      <c r="AA1906" s="11"/>
      <c r="AB1906" s="11"/>
    </row>
    <row r="1907" spans="2:28" x14ac:dyDescent="0.3">
      <c r="B1907" s="10"/>
      <c r="C1907" s="315"/>
      <c r="D1907" s="868"/>
      <c r="E1907" s="837" t="str">
        <f>IFERROR(IF(_xlfn.XLOOKUP(Imput[[#This Row],[RFC]],'Alta Proveedor'!D:D,'Alta Proveedor'!E:E)=0,"",_xlfn.XLOOKUP(Imput[[#This Row],[RFC]],'Alta Proveedor'!D:D,'Alta Proveedor'!E:E)),"")</f>
        <v/>
      </c>
      <c r="F1907" s="832"/>
      <c r="G1907" s="187"/>
      <c r="H1907" s="1"/>
      <c r="I1907" s="169">
        <f>Imput[[#This Row],[Cantidad]]*Imput[[#This Row],[Precio Unitario]]</f>
        <v>0</v>
      </c>
      <c r="J1907" s="11">
        <f>((Imput[[#This Row],[Sub total]])*(0.16))</f>
        <v>0</v>
      </c>
      <c r="K1907" s="11">
        <v>0</v>
      </c>
      <c r="L1907" s="169">
        <f>Imput[[#This Row],[Sub total]]+Imput[[#This Row],[IVA]]-Imput[[#This Row],[Retención / IEPS / Descuento]]</f>
        <v>0</v>
      </c>
      <c r="M1907" s="844">
        <v>0</v>
      </c>
      <c r="N1907" s="189"/>
      <c r="O1907" s="1"/>
      <c r="P1907" s="189"/>
      <c r="Q1907" s="190"/>
      <c r="R1907" s="188"/>
      <c r="S1907" s="193"/>
      <c r="T1907" s="192"/>
      <c r="U1907" s="829"/>
      <c r="V1907" s="10"/>
      <c r="W1907" s="10"/>
      <c r="X1907" s="10"/>
      <c r="Y1907" s="10"/>
      <c r="Z1907" s="10"/>
      <c r="AA1907" s="11"/>
      <c r="AB1907" s="11"/>
    </row>
    <row r="1908" spans="2:28" x14ac:dyDescent="0.3">
      <c r="B1908" s="10"/>
      <c r="C1908" s="315"/>
      <c r="D1908" s="868"/>
      <c r="E1908" s="837" t="str">
        <f>IFERROR(IF(_xlfn.XLOOKUP(Imput[[#This Row],[RFC]],'Alta Proveedor'!D:D,'Alta Proveedor'!E:E)=0,"",_xlfn.XLOOKUP(Imput[[#This Row],[RFC]],'Alta Proveedor'!D:D,'Alta Proveedor'!E:E)),"")</f>
        <v/>
      </c>
      <c r="F1908" s="832"/>
      <c r="G1908" s="187"/>
      <c r="H1908" s="1"/>
      <c r="I1908" s="169">
        <f>Imput[[#This Row],[Cantidad]]*Imput[[#This Row],[Precio Unitario]]</f>
        <v>0</v>
      </c>
      <c r="J1908" s="11">
        <f>((Imput[[#This Row],[Sub total]])*(0.16))</f>
        <v>0</v>
      </c>
      <c r="K1908" s="11">
        <v>0</v>
      </c>
      <c r="L1908" s="169">
        <f>Imput[[#This Row],[Sub total]]+Imput[[#This Row],[IVA]]-Imput[[#This Row],[Retención / IEPS / Descuento]]</f>
        <v>0</v>
      </c>
      <c r="M1908" s="844">
        <v>0</v>
      </c>
      <c r="N1908" s="189"/>
      <c r="O1908" s="1"/>
      <c r="P1908" s="189"/>
      <c r="Q1908" s="190"/>
      <c r="R1908" s="188"/>
      <c r="S1908" s="193"/>
      <c r="T1908" s="192"/>
      <c r="U1908" s="829"/>
      <c r="V1908" s="10"/>
      <c r="W1908" s="10"/>
      <c r="X1908" s="10"/>
      <c r="Y1908" s="10"/>
      <c r="Z1908" s="10"/>
      <c r="AA1908" s="11"/>
      <c r="AB1908" s="11"/>
    </row>
    <row r="1909" spans="2:28" x14ac:dyDescent="0.3">
      <c r="B1909" s="10"/>
      <c r="C1909" s="315"/>
      <c r="D1909" s="868"/>
      <c r="E1909" s="837" t="str">
        <f>IFERROR(IF(_xlfn.XLOOKUP(Imput[[#This Row],[RFC]],'Alta Proveedor'!D:D,'Alta Proveedor'!E:E)=0,"",_xlfn.XLOOKUP(Imput[[#This Row],[RFC]],'Alta Proveedor'!D:D,'Alta Proveedor'!E:E)),"")</f>
        <v/>
      </c>
      <c r="F1909" s="832"/>
      <c r="G1909" s="187"/>
      <c r="H1909" s="1"/>
      <c r="I1909" s="169">
        <f>Imput[[#This Row],[Cantidad]]*Imput[[#This Row],[Precio Unitario]]</f>
        <v>0</v>
      </c>
      <c r="J1909" s="11">
        <f>((Imput[[#This Row],[Sub total]])*(0.16))</f>
        <v>0</v>
      </c>
      <c r="K1909" s="11">
        <v>0</v>
      </c>
      <c r="L1909" s="169">
        <f>Imput[[#This Row],[Sub total]]+Imput[[#This Row],[IVA]]-Imput[[#This Row],[Retención / IEPS / Descuento]]</f>
        <v>0</v>
      </c>
      <c r="M1909" s="844">
        <v>0</v>
      </c>
      <c r="N1909" s="189"/>
      <c r="O1909" s="1"/>
      <c r="P1909" s="189"/>
      <c r="Q1909" s="190"/>
      <c r="R1909" s="188"/>
      <c r="S1909" s="193"/>
      <c r="T1909" s="192"/>
      <c r="U1909" s="829"/>
      <c r="V1909" s="10"/>
      <c r="W1909" s="10"/>
      <c r="X1909" s="10"/>
      <c r="Y1909" s="10"/>
      <c r="Z1909" s="10"/>
      <c r="AA1909" s="11"/>
      <c r="AB1909" s="11"/>
    </row>
    <row r="1910" spans="2:28" x14ac:dyDescent="0.3">
      <c r="B1910" s="10"/>
      <c r="C1910" s="315"/>
      <c r="D1910" s="868"/>
      <c r="E1910" s="837" t="str">
        <f>IFERROR(IF(_xlfn.XLOOKUP(Imput[[#This Row],[RFC]],'Alta Proveedor'!D:D,'Alta Proveedor'!E:E)=0,"",_xlfn.XLOOKUP(Imput[[#This Row],[RFC]],'Alta Proveedor'!D:D,'Alta Proveedor'!E:E)),"")</f>
        <v/>
      </c>
      <c r="F1910" s="832"/>
      <c r="G1910" s="187"/>
      <c r="H1910" s="1"/>
      <c r="I1910" s="169">
        <f>Imput[[#This Row],[Cantidad]]*Imput[[#This Row],[Precio Unitario]]</f>
        <v>0</v>
      </c>
      <c r="J1910" s="11">
        <f>((Imput[[#This Row],[Sub total]])*(0.16))</f>
        <v>0</v>
      </c>
      <c r="K1910" s="11">
        <v>0</v>
      </c>
      <c r="L1910" s="169">
        <f>Imput[[#This Row],[Sub total]]+Imput[[#This Row],[IVA]]-Imput[[#This Row],[Retención / IEPS / Descuento]]</f>
        <v>0</v>
      </c>
      <c r="M1910" s="844">
        <v>0</v>
      </c>
      <c r="N1910" s="189"/>
      <c r="O1910" s="1"/>
      <c r="P1910" s="189"/>
      <c r="Q1910" s="190"/>
      <c r="R1910" s="188"/>
      <c r="S1910" s="193"/>
      <c r="T1910" s="192"/>
      <c r="U1910" s="829"/>
      <c r="V1910" s="10"/>
      <c r="W1910" s="10"/>
      <c r="X1910" s="10"/>
      <c r="Y1910" s="10"/>
      <c r="Z1910" s="10"/>
      <c r="AA1910" s="11"/>
      <c r="AB1910" s="11"/>
    </row>
    <row r="1911" spans="2:28" x14ac:dyDescent="0.3">
      <c r="B1911" s="10"/>
      <c r="C1911" s="315"/>
      <c r="D1911" s="868"/>
      <c r="E1911" s="837" t="str">
        <f>IFERROR(IF(_xlfn.XLOOKUP(Imput[[#This Row],[RFC]],'Alta Proveedor'!D:D,'Alta Proveedor'!E:E)=0,"",_xlfn.XLOOKUP(Imput[[#This Row],[RFC]],'Alta Proveedor'!D:D,'Alta Proveedor'!E:E)),"")</f>
        <v/>
      </c>
      <c r="F1911" s="832"/>
      <c r="G1911" s="187"/>
      <c r="H1911" s="1"/>
      <c r="I1911" s="169">
        <f>Imput[[#This Row],[Cantidad]]*Imput[[#This Row],[Precio Unitario]]</f>
        <v>0</v>
      </c>
      <c r="J1911" s="11">
        <f>((Imput[[#This Row],[Sub total]])*(0.16))</f>
        <v>0</v>
      </c>
      <c r="K1911" s="11">
        <v>0</v>
      </c>
      <c r="L1911" s="169">
        <f>Imput[[#This Row],[Sub total]]+Imput[[#This Row],[IVA]]-Imput[[#This Row],[Retención / IEPS / Descuento]]</f>
        <v>0</v>
      </c>
      <c r="M1911" s="844">
        <v>0</v>
      </c>
      <c r="N1911" s="189"/>
      <c r="O1911" s="1"/>
      <c r="P1911" s="189"/>
      <c r="Q1911" s="190"/>
      <c r="R1911" s="188"/>
      <c r="S1911" s="193"/>
      <c r="T1911" s="192"/>
      <c r="U1911" s="829"/>
      <c r="V1911" s="10"/>
      <c r="W1911" s="10"/>
      <c r="X1911" s="10"/>
      <c r="Y1911" s="10"/>
      <c r="Z1911" s="10"/>
      <c r="AA1911" s="11"/>
      <c r="AB1911" s="11"/>
    </row>
    <row r="1912" spans="2:28" x14ac:dyDescent="0.3">
      <c r="B1912" s="10"/>
      <c r="C1912" s="315"/>
      <c r="D1912" s="868"/>
      <c r="E1912" s="837" t="str">
        <f>IFERROR(IF(_xlfn.XLOOKUP(Imput[[#This Row],[RFC]],'Alta Proveedor'!D:D,'Alta Proveedor'!E:E)=0,"",_xlfn.XLOOKUP(Imput[[#This Row],[RFC]],'Alta Proveedor'!D:D,'Alta Proveedor'!E:E)),"")</f>
        <v/>
      </c>
      <c r="F1912" s="832"/>
      <c r="G1912" s="187"/>
      <c r="H1912" s="1"/>
      <c r="I1912" s="169">
        <f>Imput[[#This Row],[Cantidad]]*Imput[[#This Row],[Precio Unitario]]</f>
        <v>0</v>
      </c>
      <c r="J1912" s="11">
        <f>((Imput[[#This Row],[Sub total]])*(0.16))</f>
        <v>0</v>
      </c>
      <c r="K1912" s="11">
        <v>0</v>
      </c>
      <c r="L1912" s="169">
        <f>Imput[[#This Row],[Sub total]]+Imput[[#This Row],[IVA]]-Imput[[#This Row],[Retención / IEPS / Descuento]]</f>
        <v>0</v>
      </c>
      <c r="M1912" s="844">
        <v>0</v>
      </c>
      <c r="N1912" s="189"/>
      <c r="O1912" s="1"/>
      <c r="P1912" s="189"/>
      <c r="Q1912" s="190"/>
      <c r="R1912" s="188"/>
      <c r="S1912" s="193"/>
      <c r="T1912" s="192"/>
      <c r="U1912" s="829"/>
      <c r="V1912" s="10"/>
      <c r="W1912" s="10"/>
      <c r="X1912" s="10"/>
      <c r="Y1912" s="10"/>
      <c r="Z1912" s="10"/>
      <c r="AA1912" s="11"/>
      <c r="AB1912" s="11"/>
    </row>
    <row r="1913" spans="2:28" x14ac:dyDescent="0.3">
      <c r="B1913" s="10"/>
      <c r="C1913" s="315"/>
      <c r="D1913" s="868"/>
      <c r="E1913" s="837" t="str">
        <f>IFERROR(IF(_xlfn.XLOOKUP(Imput[[#This Row],[RFC]],'Alta Proveedor'!D:D,'Alta Proveedor'!E:E)=0,"",_xlfn.XLOOKUP(Imput[[#This Row],[RFC]],'Alta Proveedor'!D:D,'Alta Proveedor'!E:E)),"")</f>
        <v/>
      </c>
      <c r="F1913" s="832"/>
      <c r="G1913" s="187"/>
      <c r="H1913" s="1"/>
      <c r="I1913" s="169">
        <f>Imput[[#This Row],[Cantidad]]*Imput[[#This Row],[Precio Unitario]]</f>
        <v>0</v>
      </c>
      <c r="J1913" s="11">
        <f>((Imput[[#This Row],[Sub total]])*(0.16))</f>
        <v>0</v>
      </c>
      <c r="K1913" s="11">
        <v>0</v>
      </c>
      <c r="L1913" s="169">
        <f>Imput[[#This Row],[Sub total]]+Imput[[#This Row],[IVA]]-Imput[[#This Row],[Retención / IEPS / Descuento]]</f>
        <v>0</v>
      </c>
      <c r="M1913" s="844">
        <v>0</v>
      </c>
      <c r="N1913" s="189"/>
      <c r="O1913" s="1"/>
      <c r="P1913" s="189"/>
      <c r="Q1913" s="190"/>
      <c r="R1913" s="188"/>
      <c r="S1913" s="193"/>
      <c r="T1913" s="192"/>
      <c r="U1913" s="829"/>
      <c r="V1913" s="10"/>
      <c r="W1913" s="10"/>
      <c r="X1913" s="10"/>
      <c r="Y1913" s="10"/>
      <c r="Z1913" s="10"/>
      <c r="AA1913" s="11"/>
      <c r="AB1913" s="11"/>
    </row>
    <row r="1914" spans="2:28" x14ac:dyDescent="0.3">
      <c r="B1914" s="10"/>
      <c r="C1914" s="315"/>
      <c r="D1914" s="868"/>
      <c r="E1914" s="837" t="str">
        <f>IFERROR(IF(_xlfn.XLOOKUP(Imput[[#This Row],[RFC]],'Alta Proveedor'!D:D,'Alta Proveedor'!E:E)=0,"",_xlfn.XLOOKUP(Imput[[#This Row],[RFC]],'Alta Proveedor'!D:D,'Alta Proveedor'!E:E)),"")</f>
        <v/>
      </c>
      <c r="F1914" s="832"/>
      <c r="G1914" s="187"/>
      <c r="H1914" s="1"/>
      <c r="I1914" s="169">
        <f>Imput[[#This Row],[Cantidad]]*Imput[[#This Row],[Precio Unitario]]</f>
        <v>0</v>
      </c>
      <c r="J1914" s="11">
        <f>((Imput[[#This Row],[Sub total]])*(0.16))</f>
        <v>0</v>
      </c>
      <c r="K1914" s="11">
        <v>0</v>
      </c>
      <c r="L1914" s="169">
        <f>Imput[[#This Row],[Sub total]]+Imput[[#This Row],[IVA]]-Imput[[#This Row],[Retención / IEPS / Descuento]]</f>
        <v>0</v>
      </c>
      <c r="M1914" s="844">
        <v>0</v>
      </c>
      <c r="N1914" s="189"/>
      <c r="O1914" s="1"/>
      <c r="P1914" s="189"/>
      <c r="Q1914" s="190"/>
      <c r="R1914" s="188"/>
      <c r="S1914" s="193"/>
      <c r="T1914" s="192"/>
      <c r="U1914" s="829"/>
      <c r="V1914" s="10"/>
      <c r="W1914" s="10"/>
      <c r="X1914" s="10"/>
      <c r="Y1914" s="10"/>
      <c r="Z1914" s="10"/>
      <c r="AA1914" s="11"/>
      <c r="AB1914" s="11"/>
    </row>
    <row r="1915" spans="2:28" x14ac:dyDescent="0.3">
      <c r="B1915" s="10"/>
      <c r="C1915" s="315"/>
      <c r="D1915" s="868"/>
      <c r="E1915" s="837" t="str">
        <f>IFERROR(IF(_xlfn.XLOOKUP(Imput[[#This Row],[RFC]],'Alta Proveedor'!D:D,'Alta Proveedor'!E:E)=0,"",_xlfn.XLOOKUP(Imput[[#This Row],[RFC]],'Alta Proveedor'!D:D,'Alta Proveedor'!E:E)),"")</f>
        <v/>
      </c>
      <c r="F1915" s="832"/>
      <c r="G1915" s="187"/>
      <c r="H1915" s="1"/>
      <c r="I1915" s="169">
        <f>Imput[[#This Row],[Cantidad]]*Imput[[#This Row],[Precio Unitario]]</f>
        <v>0</v>
      </c>
      <c r="J1915" s="11">
        <f>((Imput[[#This Row],[Sub total]])*(0.16))</f>
        <v>0</v>
      </c>
      <c r="K1915" s="11">
        <v>0</v>
      </c>
      <c r="L1915" s="169">
        <f>Imput[[#This Row],[Sub total]]+Imput[[#This Row],[IVA]]-Imput[[#This Row],[Retención / IEPS / Descuento]]</f>
        <v>0</v>
      </c>
      <c r="M1915" s="844">
        <v>0</v>
      </c>
      <c r="N1915" s="189"/>
      <c r="O1915" s="1"/>
      <c r="P1915" s="189"/>
      <c r="Q1915" s="190"/>
      <c r="R1915" s="188"/>
      <c r="S1915" s="193"/>
      <c r="T1915" s="192"/>
      <c r="U1915" s="829"/>
      <c r="V1915" s="10"/>
      <c r="W1915" s="10"/>
      <c r="X1915" s="10"/>
      <c r="Y1915" s="10"/>
      <c r="Z1915" s="10"/>
      <c r="AA1915" s="11"/>
      <c r="AB1915" s="11"/>
    </row>
    <row r="1916" spans="2:28" x14ac:dyDescent="0.3">
      <c r="B1916" s="10"/>
      <c r="C1916" s="315"/>
      <c r="D1916" s="868"/>
      <c r="E1916" s="837" t="str">
        <f>IFERROR(IF(_xlfn.XLOOKUP(Imput[[#This Row],[RFC]],'Alta Proveedor'!D:D,'Alta Proveedor'!E:E)=0,"",_xlfn.XLOOKUP(Imput[[#This Row],[RFC]],'Alta Proveedor'!D:D,'Alta Proveedor'!E:E)),"")</f>
        <v/>
      </c>
      <c r="F1916" s="832"/>
      <c r="G1916" s="187"/>
      <c r="H1916" s="1"/>
      <c r="I1916" s="169">
        <f>Imput[[#This Row],[Cantidad]]*Imput[[#This Row],[Precio Unitario]]</f>
        <v>0</v>
      </c>
      <c r="J1916" s="11">
        <f>((Imput[[#This Row],[Sub total]])*(0.16))</f>
        <v>0</v>
      </c>
      <c r="K1916" s="11">
        <v>0</v>
      </c>
      <c r="L1916" s="169">
        <f>Imput[[#This Row],[Sub total]]+Imput[[#This Row],[IVA]]-Imput[[#This Row],[Retención / IEPS / Descuento]]</f>
        <v>0</v>
      </c>
      <c r="M1916" s="844">
        <v>0</v>
      </c>
      <c r="N1916" s="189"/>
      <c r="O1916" s="1"/>
      <c r="P1916" s="189"/>
      <c r="Q1916" s="190"/>
      <c r="R1916" s="188"/>
      <c r="S1916" s="193"/>
      <c r="T1916" s="192"/>
      <c r="U1916" s="829"/>
      <c r="V1916" s="10"/>
      <c r="W1916" s="10"/>
      <c r="X1916" s="10"/>
      <c r="Y1916" s="10"/>
      <c r="Z1916" s="10"/>
      <c r="AA1916" s="11"/>
      <c r="AB1916" s="11"/>
    </row>
    <row r="1917" spans="2:28" x14ac:dyDescent="0.3">
      <c r="B1917" s="10"/>
      <c r="C1917" s="315"/>
      <c r="D1917" s="868"/>
      <c r="E1917" s="837" t="str">
        <f>IFERROR(IF(_xlfn.XLOOKUP(Imput[[#This Row],[RFC]],'Alta Proveedor'!D:D,'Alta Proveedor'!E:E)=0,"",_xlfn.XLOOKUP(Imput[[#This Row],[RFC]],'Alta Proveedor'!D:D,'Alta Proveedor'!E:E)),"")</f>
        <v/>
      </c>
      <c r="F1917" s="832"/>
      <c r="G1917" s="187"/>
      <c r="H1917" s="1"/>
      <c r="I1917" s="169">
        <f>Imput[[#This Row],[Cantidad]]*Imput[[#This Row],[Precio Unitario]]</f>
        <v>0</v>
      </c>
      <c r="J1917" s="11">
        <f>((Imput[[#This Row],[Sub total]])*(0.16))</f>
        <v>0</v>
      </c>
      <c r="K1917" s="11">
        <v>0</v>
      </c>
      <c r="L1917" s="169">
        <f>Imput[[#This Row],[Sub total]]+Imput[[#This Row],[IVA]]-Imput[[#This Row],[Retención / IEPS / Descuento]]</f>
        <v>0</v>
      </c>
      <c r="M1917" s="844">
        <v>0</v>
      </c>
      <c r="N1917" s="189"/>
      <c r="O1917" s="1"/>
      <c r="P1917" s="189"/>
      <c r="Q1917" s="190"/>
      <c r="R1917" s="188"/>
      <c r="S1917" s="193"/>
      <c r="T1917" s="192"/>
      <c r="U1917" s="829"/>
      <c r="V1917" s="10"/>
      <c r="W1917" s="10"/>
      <c r="X1917" s="10"/>
      <c r="Y1917" s="10"/>
      <c r="Z1917" s="10"/>
      <c r="AA1917" s="11"/>
      <c r="AB1917" s="11"/>
    </row>
    <row r="1918" spans="2:28" x14ac:dyDescent="0.3">
      <c r="B1918" s="10"/>
      <c r="C1918" s="315"/>
      <c r="D1918" s="868"/>
      <c r="E1918" s="837" t="str">
        <f>IFERROR(IF(_xlfn.XLOOKUP(Imput[[#This Row],[RFC]],'Alta Proveedor'!D:D,'Alta Proveedor'!E:E)=0,"",_xlfn.XLOOKUP(Imput[[#This Row],[RFC]],'Alta Proveedor'!D:D,'Alta Proveedor'!E:E)),"")</f>
        <v/>
      </c>
      <c r="F1918" s="832"/>
      <c r="G1918" s="187"/>
      <c r="H1918" s="1"/>
      <c r="I1918" s="169">
        <f>Imput[[#This Row],[Cantidad]]*Imput[[#This Row],[Precio Unitario]]</f>
        <v>0</v>
      </c>
      <c r="J1918" s="11">
        <f>((Imput[[#This Row],[Sub total]])*(0.16))</f>
        <v>0</v>
      </c>
      <c r="K1918" s="11">
        <v>0</v>
      </c>
      <c r="L1918" s="169">
        <f>Imput[[#This Row],[Sub total]]+Imput[[#This Row],[IVA]]-Imput[[#This Row],[Retención / IEPS / Descuento]]</f>
        <v>0</v>
      </c>
      <c r="M1918" s="844">
        <v>0</v>
      </c>
      <c r="N1918" s="189"/>
      <c r="O1918" s="1"/>
      <c r="P1918" s="189"/>
      <c r="Q1918" s="190"/>
      <c r="R1918" s="188"/>
      <c r="S1918" s="193"/>
      <c r="T1918" s="192"/>
      <c r="U1918" s="829"/>
      <c r="V1918" s="10"/>
      <c r="W1918" s="10"/>
      <c r="X1918" s="10"/>
      <c r="Y1918" s="10"/>
      <c r="Z1918" s="10"/>
      <c r="AA1918" s="11"/>
      <c r="AB1918" s="11"/>
    </row>
    <row r="1919" spans="2:28" x14ac:dyDescent="0.3">
      <c r="B1919" s="10"/>
      <c r="C1919" s="315"/>
      <c r="D1919" s="868"/>
      <c r="E1919" s="837" t="str">
        <f>IFERROR(IF(_xlfn.XLOOKUP(Imput[[#This Row],[RFC]],'Alta Proveedor'!D:D,'Alta Proveedor'!E:E)=0,"",_xlfn.XLOOKUP(Imput[[#This Row],[RFC]],'Alta Proveedor'!D:D,'Alta Proveedor'!E:E)),"")</f>
        <v/>
      </c>
      <c r="F1919" s="832"/>
      <c r="G1919" s="187"/>
      <c r="H1919" s="1"/>
      <c r="I1919" s="169">
        <f>Imput[[#This Row],[Cantidad]]*Imput[[#This Row],[Precio Unitario]]</f>
        <v>0</v>
      </c>
      <c r="J1919" s="11">
        <f>((Imput[[#This Row],[Sub total]])*(0.16))</f>
        <v>0</v>
      </c>
      <c r="K1919" s="11">
        <v>0</v>
      </c>
      <c r="L1919" s="169">
        <f>Imput[[#This Row],[Sub total]]+Imput[[#This Row],[IVA]]-Imput[[#This Row],[Retención / IEPS / Descuento]]</f>
        <v>0</v>
      </c>
      <c r="M1919" s="844">
        <v>0</v>
      </c>
      <c r="N1919" s="189"/>
      <c r="O1919" s="1"/>
      <c r="P1919" s="189"/>
      <c r="Q1919" s="190"/>
      <c r="R1919" s="188"/>
      <c r="S1919" s="193"/>
      <c r="T1919" s="192"/>
      <c r="U1919" s="829"/>
      <c r="V1919" s="10"/>
      <c r="W1919" s="10"/>
      <c r="X1919" s="10"/>
      <c r="Y1919" s="10"/>
      <c r="Z1919" s="10"/>
      <c r="AA1919" s="11"/>
      <c r="AB1919" s="11"/>
    </row>
    <row r="1920" spans="2:28" x14ac:dyDescent="0.3">
      <c r="B1920" s="10"/>
      <c r="C1920" s="315"/>
      <c r="D1920" s="868"/>
      <c r="E1920" s="837" t="str">
        <f>IFERROR(IF(_xlfn.XLOOKUP(Imput[[#This Row],[RFC]],'Alta Proveedor'!D:D,'Alta Proveedor'!E:E)=0,"",_xlfn.XLOOKUP(Imput[[#This Row],[RFC]],'Alta Proveedor'!D:D,'Alta Proveedor'!E:E)),"")</f>
        <v/>
      </c>
      <c r="F1920" s="832"/>
      <c r="G1920" s="187"/>
      <c r="H1920" s="1"/>
      <c r="I1920" s="169">
        <f>Imput[[#This Row],[Cantidad]]*Imput[[#This Row],[Precio Unitario]]</f>
        <v>0</v>
      </c>
      <c r="J1920" s="11">
        <f>((Imput[[#This Row],[Sub total]])*(0.16))</f>
        <v>0</v>
      </c>
      <c r="K1920" s="11">
        <v>0</v>
      </c>
      <c r="L1920" s="169">
        <f>Imput[[#This Row],[Sub total]]+Imput[[#This Row],[IVA]]-Imput[[#This Row],[Retención / IEPS / Descuento]]</f>
        <v>0</v>
      </c>
      <c r="M1920" s="844">
        <v>0</v>
      </c>
      <c r="N1920" s="189"/>
      <c r="O1920" s="1"/>
      <c r="P1920" s="189"/>
      <c r="Q1920" s="190"/>
      <c r="R1920" s="188"/>
      <c r="S1920" s="193"/>
      <c r="T1920" s="192"/>
      <c r="U1920" s="829"/>
      <c r="V1920" s="10"/>
      <c r="W1920" s="10"/>
      <c r="X1920" s="10"/>
      <c r="Y1920" s="10"/>
      <c r="Z1920" s="10"/>
      <c r="AA1920" s="11"/>
      <c r="AB1920" s="11"/>
    </row>
    <row r="1921" spans="2:28" x14ac:dyDescent="0.3">
      <c r="B1921" s="10"/>
      <c r="C1921" s="315"/>
      <c r="D1921" s="868"/>
      <c r="E1921" s="837" t="str">
        <f>IFERROR(IF(_xlfn.XLOOKUP(Imput[[#This Row],[RFC]],'Alta Proveedor'!D:D,'Alta Proveedor'!E:E)=0,"",_xlfn.XLOOKUP(Imput[[#This Row],[RFC]],'Alta Proveedor'!D:D,'Alta Proveedor'!E:E)),"")</f>
        <v/>
      </c>
      <c r="F1921" s="832"/>
      <c r="G1921" s="187"/>
      <c r="H1921" s="1"/>
      <c r="I1921" s="169">
        <f>Imput[[#This Row],[Cantidad]]*Imput[[#This Row],[Precio Unitario]]</f>
        <v>0</v>
      </c>
      <c r="J1921" s="11">
        <f>((Imput[[#This Row],[Sub total]])*(0.16))</f>
        <v>0</v>
      </c>
      <c r="K1921" s="11">
        <v>0</v>
      </c>
      <c r="L1921" s="169">
        <f>Imput[[#This Row],[Sub total]]+Imput[[#This Row],[IVA]]-Imput[[#This Row],[Retención / IEPS / Descuento]]</f>
        <v>0</v>
      </c>
      <c r="M1921" s="844">
        <v>0</v>
      </c>
      <c r="N1921" s="189"/>
      <c r="O1921" s="1"/>
      <c r="P1921" s="189"/>
      <c r="Q1921" s="190"/>
      <c r="R1921" s="188"/>
      <c r="S1921" s="193"/>
      <c r="T1921" s="192"/>
      <c r="U1921" s="829"/>
      <c r="V1921" s="10"/>
      <c r="W1921" s="10"/>
      <c r="X1921" s="10"/>
      <c r="Y1921" s="10"/>
      <c r="Z1921" s="10"/>
      <c r="AA1921" s="11"/>
      <c r="AB1921" s="11"/>
    </row>
    <row r="1922" spans="2:28" x14ac:dyDescent="0.3">
      <c r="B1922" s="10"/>
      <c r="C1922" s="315"/>
      <c r="D1922" s="868"/>
      <c r="E1922" s="837" t="str">
        <f>IFERROR(IF(_xlfn.XLOOKUP(Imput[[#This Row],[RFC]],'Alta Proveedor'!D:D,'Alta Proveedor'!E:E)=0,"",_xlfn.XLOOKUP(Imput[[#This Row],[RFC]],'Alta Proveedor'!D:D,'Alta Proveedor'!E:E)),"")</f>
        <v/>
      </c>
      <c r="F1922" s="832"/>
      <c r="G1922" s="187"/>
      <c r="H1922" s="1"/>
      <c r="I1922" s="169">
        <f>Imput[[#This Row],[Cantidad]]*Imput[[#This Row],[Precio Unitario]]</f>
        <v>0</v>
      </c>
      <c r="J1922" s="11">
        <f>((Imput[[#This Row],[Sub total]])*(0.16))</f>
        <v>0</v>
      </c>
      <c r="K1922" s="11">
        <v>0</v>
      </c>
      <c r="L1922" s="169">
        <f>Imput[[#This Row],[Sub total]]+Imput[[#This Row],[IVA]]-Imput[[#This Row],[Retención / IEPS / Descuento]]</f>
        <v>0</v>
      </c>
      <c r="M1922" s="844">
        <v>0</v>
      </c>
      <c r="N1922" s="189"/>
      <c r="O1922" s="1"/>
      <c r="P1922" s="189"/>
      <c r="Q1922" s="190"/>
      <c r="R1922" s="188"/>
      <c r="S1922" s="193"/>
      <c r="T1922" s="192"/>
      <c r="U1922" s="829"/>
      <c r="V1922" s="10"/>
      <c r="W1922" s="10"/>
      <c r="X1922" s="10"/>
      <c r="Y1922" s="10"/>
      <c r="Z1922" s="10"/>
      <c r="AA1922" s="11"/>
      <c r="AB1922" s="11"/>
    </row>
    <row r="1923" spans="2:28" x14ac:dyDescent="0.3">
      <c r="B1923" s="10"/>
      <c r="C1923" s="315"/>
      <c r="D1923" s="868"/>
      <c r="E1923" s="837" t="str">
        <f>IFERROR(IF(_xlfn.XLOOKUP(Imput[[#This Row],[RFC]],'Alta Proveedor'!D:D,'Alta Proveedor'!E:E)=0,"",_xlfn.XLOOKUP(Imput[[#This Row],[RFC]],'Alta Proveedor'!D:D,'Alta Proveedor'!E:E)),"")</f>
        <v/>
      </c>
      <c r="F1923" s="832"/>
      <c r="G1923" s="187"/>
      <c r="H1923" s="1"/>
      <c r="I1923" s="169">
        <f>Imput[[#This Row],[Cantidad]]*Imput[[#This Row],[Precio Unitario]]</f>
        <v>0</v>
      </c>
      <c r="J1923" s="11">
        <f>((Imput[[#This Row],[Sub total]])*(0.16))</f>
        <v>0</v>
      </c>
      <c r="K1923" s="11">
        <v>0</v>
      </c>
      <c r="L1923" s="169">
        <f>Imput[[#This Row],[Sub total]]+Imput[[#This Row],[IVA]]-Imput[[#This Row],[Retención / IEPS / Descuento]]</f>
        <v>0</v>
      </c>
      <c r="M1923" s="844">
        <v>0</v>
      </c>
      <c r="N1923" s="189"/>
      <c r="O1923" s="1"/>
      <c r="P1923" s="189"/>
      <c r="Q1923" s="190"/>
      <c r="R1923" s="188"/>
      <c r="S1923" s="193"/>
      <c r="T1923" s="192"/>
      <c r="U1923" s="829"/>
      <c r="V1923" s="10"/>
      <c r="W1923" s="10"/>
      <c r="X1923" s="10"/>
      <c r="Y1923" s="10"/>
      <c r="Z1923" s="10"/>
      <c r="AA1923" s="11"/>
      <c r="AB1923" s="11"/>
    </row>
    <row r="1924" spans="2:28" x14ac:dyDescent="0.3">
      <c r="B1924" s="10"/>
      <c r="C1924" s="315"/>
      <c r="D1924" s="868"/>
      <c r="E1924" s="837" t="str">
        <f>IFERROR(IF(_xlfn.XLOOKUP(Imput[[#This Row],[RFC]],'Alta Proveedor'!D:D,'Alta Proveedor'!E:E)=0,"",_xlfn.XLOOKUP(Imput[[#This Row],[RFC]],'Alta Proveedor'!D:D,'Alta Proveedor'!E:E)),"")</f>
        <v/>
      </c>
      <c r="F1924" s="832"/>
      <c r="G1924" s="187"/>
      <c r="H1924" s="1"/>
      <c r="I1924" s="169">
        <f>Imput[[#This Row],[Cantidad]]*Imput[[#This Row],[Precio Unitario]]</f>
        <v>0</v>
      </c>
      <c r="J1924" s="11">
        <f>((Imput[[#This Row],[Sub total]])*(0.16))</f>
        <v>0</v>
      </c>
      <c r="K1924" s="11">
        <v>0</v>
      </c>
      <c r="L1924" s="169">
        <f>Imput[[#This Row],[Sub total]]+Imput[[#This Row],[IVA]]-Imput[[#This Row],[Retención / IEPS / Descuento]]</f>
        <v>0</v>
      </c>
      <c r="M1924" s="844">
        <v>0</v>
      </c>
      <c r="N1924" s="189"/>
      <c r="O1924" s="1"/>
      <c r="P1924" s="189"/>
      <c r="Q1924" s="190"/>
      <c r="R1924" s="188"/>
      <c r="S1924" s="193"/>
      <c r="T1924" s="192"/>
      <c r="U1924" s="829"/>
      <c r="V1924" s="10"/>
      <c r="W1924" s="10"/>
      <c r="X1924" s="10"/>
      <c r="Y1924" s="10"/>
      <c r="Z1924" s="10"/>
      <c r="AA1924" s="11"/>
      <c r="AB1924" s="11"/>
    </row>
    <row r="1925" spans="2:28" x14ac:dyDescent="0.3">
      <c r="B1925" s="10"/>
      <c r="C1925" s="315"/>
      <c r="D1925" s="868"/>
      <c r="E1925" s="837" t="str">
        <f>IFERROR(IF(_xlfn.XLOOKUP(Imput[[#This Row],[RFC]],'Alta Proveedor'!D:D,'Alta Proveedor'!E:E)=0,"",_xlfn.XLOOKUP(Imput[[#This Row],[RFC]],'Alta Proveedor'!D:D,'Alta Proveedor'!E:E)),"")</f>
        <v/>
      </c>
      <c r="F1925" s="832"/>
      <c r="G1925" s="187"/>
      <c r="H1925" s="1"/>
      <c r="I1925" s="169">
        <f>Imput[[#This Row],[Cantidad]]*Imput[[#This Row],[Precio Unitario]]</f>
        <v>0</v>
      </c>
      <c r="J1925" s="11">
        <f>((Imput[[#This Row],[Sub total]])*(0.16))</f>
        <v>0</v>
      </c>
      <c r="K1925" s="11">
        <v>0</v>
      </c>
      <c r="L1925" s="169">
        <f>Imput[[#This Row],[Sub total]]+Imput[[#This Row],[IVA]]-Imput[[#This Row],[Retención / IEPS / Descuento]]</f>
        <v>0</v>
      </c>
      <c r="M1925" s="844">
        <v>0</v>
      </c>
      <c r="N1925" s="189"/>
      <c r="O1925" s="1"/>
      <c r="P1925" s="189"/>
      <c r="Q1925" s="190"/>
      <c r="R1925" s="188"/>
      <c r="S1925" s="193"/>
      <c r="T1925" s="192"/>
      <c r="U1925" s="829"/>
      <c r="V1925" s="10"/>
      <c r="W1925" s="10"/>
      <c r="X1925" s="10"/>
      <c r="Y1925" s="10"/>
      <c r="Z1925" s="10"/>
      <c r="AA1925" s="11"/>
      <c r="AB1925" s="11"/>
    </row>
    <row r="1926" spans="2:28" x14ac:dyDescent="0.3">
      <c r="B1926" s="10"/>
      <c r="C1926" s="315"/>
      <c r="D1926" s="868"/>
      <c r="E1926" s="837" t="str">
        <f>IFERROR(IF(_xlfn.XLOOKUP(Imput[[#This Row],[RFC]],'Alta Proveedor'!D:D,'Alta Proveedor'!E:E)=0,"",_xlfn.XLOOKUP(Imput[[#This Row],[RFC]],'Alta Proveedor'!D:D,'Alta Proveedor'!E:E)),"")</f>
        <v/>
      </c>
      <c r="F1926" s="832"/>
      <c r="G1926" s="187"/>
      <c r="H1926" s="1"/>
      <c r="I1926" s="169">
        <f>Imput[[#This Row],[Cantidad]]*Imput[[#This Row],[Precio Unitario]]</f>
        <v>0</v>
      </c>
      <c r="J1926" s="11">
        <f>((Imput[[#This Row],[Sub total]])*(0.16))</f>
        <v>0</v>
      </c>
      <c r="K1926" s="11">
        <v>0</v>
      </c>
      <c r="L1926" s="169">
        <f>Imput[[#This Row],[Sub total]]+Imput[[#This Row],[IVA]]-Imput[[#This Row],[Retención / IEPS / Descuento]]</f>
        <v>0</v>
      </c>
      <c r="M1926" s="844">
        <v>0</v>
      </c>
      <c r="N1926" s="189"/>
      <c r="O1926" s="1"/>
      <c r="P1926" s="189"/>
      <c r="Q1926" s="190"/>
      <c r="R1926" s="188"/>
      <c r="S1926" s="193"/>
      <c r="T1926" s="192"/>
      <c r="U1926" s="829"/>
      <c r="V1926" s="10"/>
      <c r="W1926" s="10"/>
      <c r="X1926" s="10"/>
      <c r="Y1926" s="10"/>
      <c r="Z1926" s="10"/>
      <c r="AA1926" s="11"/>
      <c r="AB1926" s="11"/>
    </row>
    <row r="1927" spans="2:28" x14ac:dyDescent="0.3">
      <c r="B1927" s="10"/>
      <c r="C1927" s="315"/>
      <c r="D1927" s="868"/>
      <c r="E1927" s="837" t="str">
        <f>IFERROR(IF(_xlfn.XLOOKUP(Imput[[#This Row],[RFC]],'Alta Proveedor'!D:D,'Alta Proveedor'!E:E)=0,"",_xlfn.XLOOKUP(Imput[[#This Row],[RFC]],'Alta Proveedor'!D:D,'Alta Proveedor'!E:E)),"")</f>
        <v/>
      </c>
      <c r="F1927" s="832"/>
      <c r="G1927" s="187"/>
      <c r="H1927" s="1"/>
      <c r="I1927" s="169">
        <f>Imput[[#This Row],[Cantidad]]*Imput[[#This Row],[Precio Unitario]]</f>
        <v>0</v>
      </c>
      <c r="J1927" s="11">
        <f>((Imput[[#This Row],[Sub total]])*(0.16))</f>
        <v>0</v>
      </c>
      <c r="K1927" s="11">
        <v>0</v>
      </c>
      <c r="L1927" s="169">
        <f>Imput[[#This Row],[Sub total]]+Imput[[#This Row],[IVA]]-Imput[[#This Row],[Retención / IEPS / Descuento]]</f>
        <v>0</v>
      </c>
      <c r="M1927" s="844">
        <v>0</v>
      </c>
      <c r="N1927" s="189"/>
      <c r="O1927" s="1"/>
      <c r="P1927" s="189"/>
      <c r="Q1927" s="190"/>
      <c r="R1927" s="188"/>
      <c r="S1927" s="193"/>
      <c r="T1927" s="192"/>
      <c r="U1927" s="829"/>
      <c r="V1927" s="10"/>
      <c r="W1927" s="10"/>
      <c r="X1927" s="10"/>
      <c r="Y1927" s="10"/>
      <c r="Z1927" s="10"/>
      <c r="AA1927" s="11"/>
      <c r="AB1927" s="11"/>
    </row>
    <row r="1928" spans="2:28" x14ac:dyDescent="0.3">
      <c r="B1928" s="10"/>
      <c r="C1928" s="315"/>
      <c r="D1928" s="868"/>
      <c r="E1928" s="837" t="str">
        <f>IFERROR(IF(_xlfn.XLOOKUP(Imput[[#This Row],[RFC]],'Alta Proveedor'!D:D,'Alta Proveedor'!E:E)=0,"",_xlfn.XLOOKUP(Imput[[#This Row],[RFC]],'Alta Proveedor'!D:D,'Alta Proveedor'!E:E)),"")</f>
        <v/>
      </c>
      <c r="F1928" s="832"/>
      <c r="G1928" s="187"/>
      <c r="H1928" s="1"/>
      <c r="I1928" s="169">
        <f>Imput[[#This Row],[Cantidad]]*Imput[[#This Row],[Precio Unitario]]</f>
        <v>0</v>
      </c>
      <c r="J1928" s="11">
        <f>((Imput[[#This Row],[Sub total]])*(0.16))</f>
        <v>0</v>
      </c>
      <c r="K1928" s="11">
        <v>0</v>
      </c>
      <c r="L1928" s="169">
        <f>Imput[[#This Row],[Sub total]]+Imput[[#This Row],[IVA]]-Imput[[#This Row],[Retención / IEPS / Descuento]]</f>
        <v>0</v>
      </c>
      <c r="M1928" s="844">
        <v>0</v>
      </c>
      <c r="N1928" s="189"/>
      <c r="O1928" s="1"/>
      <c r="P1928" s="189"/>
      <c r="Q1928" s="190"/>
      <c r="R1928" s="188"/>
      <c r="S1928" s="193"/>
      <c r="T1928" s="192"/>
      <c r="U1928" s="829"/>
      <c r="V1928" s="10"/>
      <c r="W1928" s="10"/>
      <c r="X1928" s="10"/>
      <c r="Y1928" s="10"/>
      <c r="Z1928" s="10"/>
      <c r="AA1928" s="11"/>
      <c r="AB1928" s="11"/>
    </row>
    <row r="1929" spans="2:28" x14ac:dyDescent="0.3">
      <c r="B1929" s="10"/>
      <c r="C1929" s="315"/>
      <c r="D1929" s="868"/>
      <c r="E1929" s="837" t="str">
        <f>IFERROR(IF(_xlfn.XLOOKUP(Imput[[#This Row],[RFC]],'Alta Proveedor'!D:D,'Alta Proveedor'!E:E)=0,"",_xlfn.XLOOKUP(Imput[[#This Row],[RFC]],'Alta Proveedor'!D:D,'Alta Proveedor'!E:E)),"")</f>
        <v/>
      </c>
      <c r="F1929" s="832"/>
      <c r="G1929" s="187"/>
      <c r="H1929" s="1"/>
      <c r="I1929" s="169">
        <f>Imput[[#This Row],[Cantidad]]*Imput[[#This Row],[Precio Unitario]]</f>
        <v>0</v>
      </c>
      <c r="J1929" s="11">
        <f>((Imput[[#This Row],[Sub total]])*(0.16))</f>
        <v>0</v>
      </c>
      <c r="K1929" s="11">
        <v>0</v>
      </c>
      <c r="L1929" s="169">
        <f>Imput[[#This Row],[Sub total]]+Imput[[#This Row],[IVA]]-Imput[[#This Row],[Retención / IEPS / Descuento]]</f>
        <v>0</v>
      </c>
      <c r="M1929" s="844">
        <v>0</v>
      </c>
      <c r="N1929" s="189"/>
      <c r="O1929" s="1"/>
      <c r="P1929" s="189"/>
      <c r="Q1929" s="190"/>
      <c r="R1929" s="188"/>
      <c r="S1929" s="193"/>
      <c r="T1929" s="192"/>
      <c r="U1929" s="829"/>
      <c r="V1929" s="10"/>
      <c r="W1929" s="10"/>
      <c r="X1929" s="10"/>
      <c r="Y1929" s="10"/>
      <c r="Z1929" s="10"/>
      <c r="AA1929" s="11"/>
      <c r="AB1929" s="11"/>
    </row>
    <row r="1930" spans="2:28" x14ac:dyDescent="0.3">
      <c r="B1930" s="10"/>
      <c r="C1930" s="315"/>
      <c r="D1930" s="868"/>
      <c r="E1930" s="837" t="str">
        <f>IFERROR(IF(_xlfn.XLOOKUP(Imput[[#This Row],[RFC]],'Alta Proveedor'!D:D,'Alta Proveedor'!E:E)=0,"",_xlfn.XLOOKUP(Imput[[#This Row],[RFC]],'Alta Proveedor'!D:D,'Alta Proveedor'!E:E)),"")</f>
        <v/>
      </c>
      <c r="F1930" s="832"/>
      <c r="G1930" s="187"/>
      <c r="H1930" s="1"/>
      <c r="I1930" s="169">
        <f>Imput[[#This Row],[Cantidad]]*Imput[[#This Row],[Precio Unitario]]</f>
        <v>0</v>
      </c>
      <c r="J1930" s="11">
        <f>((Imput[[#This Row],[Sub total]])*(0.16))</f>
        <v>0</v>
      </c>
      <c r="K1930" s="11">
        <v>0</v>
      </c>
      <c r="L1930" s="169">
        <f>Imput[[#This Row],[Sub total]]+Imput[[#This Row],[IVA]]-Imput[[#This Row],[Retención / IEPS / Descuento]]</f>
        <v>0</v>
      </c>
      <c r="M1930" s="844">
        <v>0</v>
      </c>
      <c r="N1930" s="189"/>
      <c r="O1930" s="1"/>
      <c r="P1930" s="189"/>
      <c r="Q1930" s="190"/>
      <c r="R1930" s="188"/>
      <c r="S1930" s="193"/>
      <c r="T1930" s="192"/>
      <c r="U1930" s="829"/>
      <c r="V1930" s="10"/>
      <c r="W1930" s="10"/>
      <c r="X1930" s="10"/>
      <c r="Y1930" s="10"/>
      <c r="Z1930" s="10"/>
      <c r="AA1930" s="11"/>
      <c r="AB1930" s="11"/>
    </row>
    <row r="1931" spans="2:28" x14ac:dyDescent="0.3">
      <c r="B1931" s="10"/>
      <c r="C1931" s="315"/>
      <c r="D1931" s="868"/>
      <c r="E1931" s="837" t="str">
        <f>IFERROR(IF(_xlfn.XLOOKUP(Imput[[#This Row],[RFC]],'Alta Proveedor'!D:D,'Alta Proveedor'!E:E)=0,"",_xlfn.XLOOKUP(Imput[[#This Row],[RFC]],'Alta Proveedor'!D:D,'Alta Proveedor'!E:E)),"")</f>
        <v/>
      </c>
      <c r="F1931" s="832"/>
      <c r="G1931" s="187"/>
      <c r="H1931" s="1"/>
      <c r="I1931" s="169">
        <f>Imput[[#This Row],[Cantidad]]*Imput[[#This Row],[Precio Unitario]]</f>
        <v>0</v>
      </c>
      <c r="J1931" s="11">
        <f>((Imput[[#This Row],[Sub total]])*(0.16))</f>
        <v>0</v>
      </c>
      <c r="K1931" s="11">
        <v>0</v>
      </c>
      <c r="L1931" s="169">
        <f>Imput[[#This Row],[Sub total]]+Imput[[#This Row],[IVA]]-Imput[[#This Row],[Retención / IEPS / Descuento]]</f>
        <v>0</v>
      </c>
      <c r="M1931" s="844">
        <v>0</v>
      </c>
      <c r="N1931" s="189"/>
      <c r="O1931" s="1"/>
      <c r="P1931" s="189"/>
      <c r="Q1931" s="190"/>
      <c r="R1931" s="188"/>
      <c r="S1931" s="193"/>
      <c r="T1931" s="192"/>
      <c r="U1931" s="829"/>
      <c r="V1931" s="10"/>
      <c r="W1931" s="10"/>
      <c r="X1931" s="10"/>
      <c r="Y1931" s="10"/>
      <c r="Z1931" s="10"/>
      <c r="AA1931" s="11"/>
      <c r="AB1931" s="11"/>
    </row>
    <row r="1932" spans="2:28" x14ac:dyDescent="0.3">
      <c r="B1932" s="10"/>
      <c r="C1932" s="315"/>
      <c r="D1932" s="868"/>
      <c r="E1932" s="837" t="str">
        <f>IFERROR(IF(_xlfn.XLOOKUP(Imput[[#This Row],[RFC]],'Alta Proveedor'!D:D,'Alta Proveedor'!E:E)=0,"",_xlfn.XLOOKUP(Imput[[#This Row],[RFC]],'Alta Proveedor'!D:D,'Alta Proveedor'!E:E)),"")</f>
        <v/>
      </c>
      <c r="F1932" s="832"/>
      <c r="G1932" s="187"/>
      <c r="H1932" s="1"/>
      <c r="I1932" s="169">
        <f>Imput[[#This Row],[Cantidad]]*Imput[[#This Row],[Precio Unitario]]</f>
        <v>0</v>
      </c>
      <c r="J1932" s="11">
        <f>((Imput[[#This Row],[Sub total]])*(0.16))</f>
        <v>0</v>
      </c>
      <c r="K1932" s="11">
        <v>0</v>
      </c>
      <c r="L1932" s="169">
        <f>Imput[[#This Row],[Sub total]]+Imput[[#This Row],[IVA]]-Imput[[#This Row],[Retención / IEPS / Descuento]]</f>
        <v>0</v>
      </c>
      <c r="M1932" s="844">
        <v>0</v>
      </c>
      <c r="N1932" s="189"/>
      <c r="O1932" s="1"/>
      <c r="P1932" s="189"/>
      <c r="Q1932" s="190"/>
      <c r="R1932" s="188"/>
      <c r="S1932" s="193"/>
      <c r="T1932" s="192"/>
      <c r="U1932" s="829"/>
      <c r="V1932" s="10"/>
      <c r="W1932" s="10"/>
      <c r="X1932" s="10"/>
      <c r="Y1932" s="10"/>
      <c r="Z1932" s="10"/>
      <c r="AA1932" s="11"/>
      <c r="AB1932" s="11"/>
    </row>
    <row r="1933" spans="2:28" x14ac:dyDescent="0.3">
      <c r="B1933" s="10"/>
      <c r="C1933" s="315"/>
      <c r="D1933" s="868"/>
      <c r="E1933" s="837" t="str">
        <f>IFERROR(IF(_xlfn.XLOOKUP(Imput[[#This Row],[RFC]],'Alta Proveedor'!D:D,'Alta Proveedor'!E:E)=0,"",_xlfn.XLOOKUP(Imput[[#This Row],[RFC]],'Alta Proveedor'!D:D,'Alta Proveedor'!E:E)),"")</f>
        <v/>
      </c>
      <c r="F1933" s="832"/>
      <c r="G1933" s="187"/>
      <c r="H1933" s="1"/>
      <c r="I1933" s="169">
        <f>Imput[[#This Row],[Cantidad]]*Imput[[#This Row],[Precio Unitario]]</f>
        <v>0</v>
      </c>
      <c r="J1933" s="11">
        <f>((Imput[[#This Row],[Sub total]])*(0.16))</f>
        <v>0</v>
      </c>
      <c r="K1933" s="11">
        <v>0</v>
      </c>
      <c r="L1933" s="169">
        <f>Imput[[#This Row],[Sub total]]+Imput[[#This Row],[IVA]]-Imput[[#This Row],[Retención / IEPS / Descuento]]</f>
        <v>0</v>
      </c>
      <c r="M1933" s="844">
        <v>0</v>
      </c>
      <c r="N1933" s="189"/>
      <c r="O1933" s="1"/>
      <c r="P1933" s="189"/>
      <c r="Q1933" s="190"/>
      <c r="R1933" s="188"/>
      <c r="S1933" s="193"/>
      <c r="T1933" s="192"/>
      <c r="U1933" s="829"/>
      <c r="V1933" s="10"/>
      <c r="W1933" s="10"/>
      <c r="X1933" s="10"/>
      <c r="Y1933" s="10"/>
      <c r="Z1933" s="10"/>
      <c r="AA1933" s="11"/>
      <c r="AB1933" s="11"/>
    </row>
    <row r="1934" spans="2:28" x14ac:dyDescent="0.3">
      <c r="B1934" s="10"/>
      <c r="C1934" s="315"/>
      <c r="D1934" s="868"/>
      <c r="E1934" s="837" t="str">
        <f>IFERROR(IF(_xlfn.XLOOKUP(Imput[[#This Row],[RFC]],'Alta Proveedor'!D:D,'Alta Proveedor'!E:E)=0,"",_xlfn.XLOOKUP(Imput[[#This Row],[RFC]],'Alta Proveedor'!D:D,'Alta Proveedor'!E:E)),"")</f>
        <v/>
      </c>
      <c r="F1934" s="832"/>
      <c r="G1934" s="187"/>
      <c r="H1934" s="1"/>
      <c r="I1934" s="169">
        <f>Imput[[#This Row],[Cantidad]]*Imput[[#This Row],[Precio Unitario]]</f>
        <v>0</v>
      </c>
      <c r="J1934" s="11">
        <f>((Imput[[#This Row],[Sub total]])*(0.16))</f>
        <v>0</v>
      </c>
      <c r="K1934" s="11">
        <v>0</v>
      </c>
      <c r="L1934" s="169">
        <f>Imput[[#This Row],[Sub total]]+Imput[[#This Row],[IVA]]-Imput[[#This Row],[Retención / IEPS / Descuento]]</f>
        <v>0</v>
      </c>
      <c r="M1934" s="844">
        <v>0</v>
      </c>
      <c r="N1934" s="189"/>
      <c r="O1934" s="1"/>
      <c r="P1934" s="189"/>
      <c r="Q1934" s="190"/>
      <c r="R1934" s="188"/>
      <c r="S1934" s="193"/>
      <c r="T1934" s="192"/>
      <c r="U1934" s="829"/>
      <c r="V1934" s="10"/>
      <c r="W1934" s="10"/>
      <c r="X1934" s="10"/>
      <c r="Y1934" s="10"/>
      <c r="Z1934" s="10"/>
      <c r="AA1934" s="11"/>
      <c r="AB1934" s="11"/>
    </row>
    <row r="1935" spans="2:28" x14ac:dyDescent="0.3">
      <c r="B1935" s="10"/>
      <c r="C1935" s="315"/>
      <c r="D1935" s="868"/>
      <c r="E1935" s="837" t="str">
        <f>IFERROR(IF(_xlfn.XLOOKUP(Imput[[#This Row],[RFC]],'Alta Proveedor'!D:D,'Alta Proveedor'!E:E)=0,"",_xlfn.XLOOKUP(Imput[[#This Row],[RFC]],'Alta Proveedor'!D:D,'Alta Proveedor'!E:E)),"")</f>
        <v/>
      </c>
      <c r="F1935" s="832"/>
      <c r="G1935" s="187"/>
      <c r="H1935" s="1"/>
      <c r="I1935" s="169">
        <f>Imput[[#This Row],[Cantidad]]*Imput[[#This Row],[Precio Unitario]]</f>
        <v>0</v>
      </c>
      <c r="J1935" s="11">
        <f>((Imput[[#This Row],[Sub total]])*(0.16))</f>
        <v>0</v>
      </c>
      <c r="K1935" s="11">
        <v>0</v>
      </c>
      <c r="L1935" s="169">
        <f>Imput[[#This Row],[Sub total]]+Imput[[#This Row],[IVA]]-Imput[[#This Row],[Retención / IEPS / Descuento]]</f>
        <v>0</v>
      </c>
      <c r="M1935" s="844">
        <v>0</v>
      </c>
      <c r="N1935" s="189"/>
      <c r="O1935" s="1"/>
      <c r="P1935" s="189"/>
      <c r="Q1935" s="190"/>
      <c r="R1935" s="188"/>
      <c r="S1935" s="193"/>
      <c r="T1935" s="192"/>
      <c r="U1935" s="829"/>
      <c r="V1935" s="10"/>
      <c r="W1935" s="10"/>
      <c r="X1935" s="10"/>
      <c r="Y1935" s="10"/>
      <c r="Z1935" s="10"/>
      <c r="AA1935" s="11"/>
      <c r="AB1935" s="11"/>
    </row>
    <row r="1936" spans="2:28" x14ac:dyDescent="0.3">
      <c r="B1936" s="10"/>
      <c r="C1936" s="315"/>
      <c r="D1936" s="868"/>
      <c r="E1936" s="837" t="str">
        <f>IFERROR(IF(_xlfn.XLOOKUP(Imput[[#This Row],[RFC]],'Alta Proveedor'!D:D,'Alta Proveedor'!E:E)=0,"",_xlfn.XLOOKUP(Imput[[#This Row],[RFC]],'Alta Proveedor'!D:D,'Alta Proveedor'!E:E)),"")</f>
        <v/>
      </c>
      <c r="F1936" s="832"/>
      <c r="G1936" s="187"/>
      <c r="H1936" s="1"/>
      <c r="I1936" s="169">
        <f>Imput[[#This Row],[Cantidad]]*Imput[[#This Row],[Precio Unitario]]</f>
        <v>0</v>
      </c>
      <c r="J1936" s="11">
        <f>((Imput[[#This Row],[Sub total]])*(0.16))</f>
        <v>0</v>
      </c>
      <c r="K1936" s="11">
        <v>0</v>
      </c>
      <c r="L1936" s="169">
        <f>Imput[[#This Row],[Sub total]]+Imput[[#This Row],[IVA]]-Imput[[#This Row],[Retención / IEPS / Descuento]]</f>
        <v>0</v>
      </c>
      <c r="M1936" s="844">
        <v>0</v>
      </c>
      <c r="N1936" s="189"/>
      <c r="O1936" s="1"/>
      <c r="P1936" s="189"/>
      <c r="Q1936" s="190"/>
      <c r="R1936" s="188"/>
      <c r="S1936" s="193"/>
      <c r="T1936" s="192"/>
      <c r="U1936" s="829"/>
      <c r="V1936" s="10"/>
      <c r="W1936" s="10"/>
      <c r="X1936" s="10"/>
      <c r="Y1936" s="10"/>
      <c r="Z1936" s="10"/>
      <c r="AA1936" s="11"/>
      <c r="AB1936" s="11"/>
    </row>
    <row r="1937" spans="2:28" x14ac:dyDescent="0.3">
      <c r="B1937" s="10"/>
      <c r="C1937" s="315"/>
      <c r="D1937" s="868"/>
      <c r="E1937" s="837" t="str">
        <f>IFERROR(IF(_xlfn.XLOOKUP(Imput[[#This Row],[RFC]],'Alta Proveedor'!D:D,'Alta Proveedor'!E:E)=0,"",_xlfn.XLOOKUP(Imput[[#This Row],[RFC]],'Alta Proveedor'!D:D,'Alta Proveedor'!E:E)),"")</f>
        <v/>
      </c>
      <c r="F1937" s="832"/>
      <c r="G1937" s="187"/>
      <c r="H1937" s="1"/>
      <c r="I1937" s="169">
        <f>Imput[[#This Row],[Cantidad]]*Imput[[#This Row],[Precio Unitario]]</f>
        <v>0</v>
      </c>
      <c r="J1937" s="11">
        <f>((Imput[[#This Row],[Sub total]])*(0.16))</f>
        <v>0</v>
      </c>
      <c r="K1937" s="11">
        <v>0</v>
      </c>
      <c r="L1937" s="169">
        <f>Imput[[#This Row],[Sub total]]+Imput[[#This Row],[IVA]]-Imput[[#This Row],[Retención / IEPS / Descuento]]</f>
        <v>0</v>
      </c>
      <c r="M1937" s="844">
        <v>0</v>
      </c>
      <c r="N1937" s="189"/>
      <c r="O1937" s="1"/>
      <c r="P1937" s="189"/>
      <c r="Q1937" s="190"/>
      <c r="R1937" s="188"/>
      <c r="S1937" s="193"/>
      <c r="T1937" s="192"/>
      <c r="U1937" s="829"/>
      <c r="V1937" s="10"/>
      <c r="W1937" s="10"/>
      <c r="X1937" s="10"/>
      <c r="Y1937" s="10"/>
      <c r="Z1937" s="10"/>
      <c r="AA1937" s="11"/>
      <c r="AB1937" s="11"/>
    </row>
    <row r="1938" spans="2:28" x14ac:dyDescent="0.3">
      <c r="B1938" s="10"/>
      <c r="C1938" s="315"/>
      <c r="D1938" s="868"/>
      <c r="E1938" s="837" t="str">
        <f>IFERROR(IF(_xlfn.XLOOKUP(Imput[[#This Row],[RFC]],'Alta Proveedor'!D:D,'Alta Proveedor'!E:E)=0,"",_xlfn.XLOOKUP(Imput[[#This Row],[RFC]],'Alta Proveedor'!D:D,'Alta Proveedor'!E:E)),"")</f>
        <v/>
      </c>
      <c r="F1938" s="832"/>
      <c r="G1938" s="187"/>
      <c r="H1938" s="1"/>
      <c r="I1938" s="169">
        <f>Imput[[#This Row],[Cantidad]]*Imput[[#This Row],[Precio Unitario]]</f>
        <v>0</v>
      </c>
      <c r="J1938" s="11">
        <f>((Imput[[#This Row],[Sub total]])*(0.16))</f>
        <v>0</v>
      </c>
      <c r="K1938" s="11">
        <v>0</v>
      </c>
      <c r="L1938" s="169">
        <f>Imput[[#This Row],[Sub total]]+Imput[[#This Row],[IVA]]-Imput[[#This Row],[Retención / IEPS / Descuento]]</f>
        <v>0</v>
      </c>
      <c r="M1938" s="844">
        <v>0</v>
      </c>
      <c r="N1938" s="189"/>
      <c r="O1938" s="1"/>
      <c r="P1938" s="189"/>
      <c r="Q1938" s="190"/>
      <c r="R1938" s="188"/>
      <c r="S1938" s="193"/>
      <c r="T1938" s="192"/>
      <c r="U1938" s="829"/>
      <c r="V1938" s="10"/>
      <c r="W1938" s="10"/>
      <c r="X1938" s="10"/>
      <c r="Y1938" s="10"/>
      <c r="Z1938" s="10"/>
      <c r="AA1938" s="11"/>
      <c r="AB1938" s="11"/>
    </row>
    <row r="1939" spans="2:28" x14ac:dyDescent="0.3">
      <c r="B1939" s="10"/>
      <c r="C1939" s="315"/>
      <c r="D1939" s="868"/>
      <c r="E1939" s="837" t="str">
        <f>IFERROR(IF(_xlfn.XLOOKUP(Imput[[#This Row],[RFC]],'Alta Proveedor'!D:D,'Alta Proveedor'!E:E)=0,"",_xlfn.XLOOKUP(Imput[[#This Row],[RFC]],'Alta Proveedor'!D:D,'Alta Proveedor'!E:E)),"")</f>
        <v/>
      </c>
      <c r="F1939" s="832"/>
      <c r="G1939" s="187"/>
      <c r="H1939" s="1"/>
      <c r="I1939" s="169">
        <f>Imput[[#This Row],[Cantidad]]*Imput[[#This Row],[Precio Unitario]]</f>
        <v>0</v>
      </c>
      <c r="J1939" s="11">
        <f>((Imput[[#This Row],[Sub total]])*(0.16))</f>
        <v>0</v>
      </c>
      <c r="K1939" s="11">
        <v>0</v>
      </c>
      <c r="L1939" s="169">
        <f>Imput[[#This Row],[Sub total]]+Imput[[#This Row],[IVA]]-Imput[[#This Row],[Retención / IEPS / Descuento]]</f>
        <v>0</v>
      </c>
      <c r="M1939" s="844">
        <v>0</v>
      </c>
      <c r="N1939" s="189"/>
      <c r="O1939" s="1"/>
      <c r="P1939" s="189"/>
      <c r="Q1939" s="190"/>
      <c r="R1939" s="188"/>
      <c r="S1939" s="193"/>
      <c r="T1939" s="192"/>
      <c r="U1939" s="829"/>
      <c r="V1939" s="10"/>
      <c r="W1939" s="10"/>
      <c r="X1939" s="10"/>
      <c r="Y1939" s="10"/>
      <c r="Z1939" s="10"/>
      <c r="AA1939" s="11"/>
      <c r="AB1939" s="11"/>
    </row>
    <row r="1940" spans="2:28" x14ac:dyDescent="0.3">
      <c r="B1940" s="10"/>
      <c r="C1940" s="315"/>
      <c r="D1940" s="868"/>
      <c r="E1940" s="837" t="str">
        <f>IFERROR(IF(_xlfn.XLOOKUP(Imput[[#This Row],[RFC]],'Alta Proveedor'!D:D,'Alta Proveedor'!E:E)=0,"",_xlfn.XLOOKUP(Imput[[#This Row],[RFC]],'Alta Proveedor'!D:D,'Alta Proveedor'!E:E)),"")</f>
        <v/>
      </c>
      <c r="F1940" s="832"/>
      <c r="G1940" s="187"/>
      <c r="H1940" s="1"/>
      <c r="I1940" s="169">
        <f>Imput[[#This Row],[Cantidad]]*Imput[[#This Row],[Precio Unitario]]</f>
        <v>0</v>
      </c>
      <c r="J1940" s="11">
        <f>((Imput[[#This Row],[Sub total]])*(0.16))</f>
        <v>0</v>
      </c>
      <c r="K1940" s="11">
        <v>0</v>
      </c>
      <c r="L1940" s="169">
        <f>Imput[[#This Row],[Sub total]]+Imput[[#This Row],[IVA]]-Imput[[#This Row],[Retención / IEPS / Descuento]]</f>
        <v>0</v>
      </c>
      <c r="M1940" s="844">
        <v>0</v>
      </c>
      <c r="N1940" s="189"/>
      <c r="O1940" s="1"/>
      <c r="P1940" s="189"/>
      <c r="Q1940" s="190"/>
      <c r="R1940" s="188"/>
      <c r="S1940" s="193"/>
      <c r="T1940" s="192"/>
      <c r="U1940" s="829"/>
      <c r="V1940" s="10"/>
      <c r="W1940" s="10"/>
      <c r="X1940" s="10"/>
      <c r="Y1940" s="10"/>
      <c r="Z1940" s="10"/>
      <c r="AA1940" s="11"/>
      <c r="AB1940" s="11"/>
    </row>
    <row r="1941" spans="2:28" x14ac:dyDescent="0.3">
      <c r="B1941" s="10"/>
      <c r="C1941" s="315"/>
      <c r="D1941" s="868"/>
      <c r="E1941" s="837" t="str">
        <f>IFERROR(IF(_xlfn.XLOOKUP(Imput[[#This Row],[RFC]],'Alta Proveedor'!D:D,'Alta Proveedor'!E:E)=0,"",_xlfn.XLOOKUP(Imput[[#This Row],[RFC]],'Alta Proveedor'!D:D,'Alta Proveedor'!E:E)),"")</f>
        <v/>
      </c>
      <c r="F1941" s="832"/>
      <c r="G1941" s="187"/>
      <c r="H1941" s="1"/>
      <c r="I1941" s="169">
        <f>Imput[[#This Row],[Cantidad]]*Imput[[#This Row],[Precio Unitario]]</f>
        <v>0</v>
      </c>
      <c r="J1941" s="11">
        <f>((Imput[[#This Row],[Sub total]])*(0.16))</f>
        <v>0</v>
      </c>
      <c r="K1941" s="11">
        <v>0</v>
      </c>
      <c r="L1941" s="169">
        <f>Imput[[#This Row],[Sub total]]+Imput[[#This Row],[IVA]]-Imput[[#This Row],[Retención / IEPS / Descuento]]</f>
        <v>0</v>
      </c>
      <c r="M1941" s="844">
        <v>0</v>
      </c>
      <c r="N1941" s="189"/>
      <c r="O1941" s="1"/>
      <c r="P1941" s="189"/>
      <c r="Q1941" s="190"/>
      <c r="R1941" s="188"/>
      <c r="S1941" s="193"/>
      <c r="T1941" s="192"/>
      <c r="U1941" s="829"/>
      <c r="V1941" s="10"/>
      <c r="W1941" s="10"/>
      <c r="X1941" s="10"/>
      <c r="Y1941" s="10"/>
      <c r="Z1941" s="10"/>
      <c r="AA1941" s="11"/>
      <c r="AB1941" s="11"/>
    </row>
    <row r="1942" spans="2:28" x14ac:dyDescent="0.3">
      <c r="B1942" s="10"/>
      <c r="C1942" s="315"/>
      <c r="D1942" s="868"/>
      <c r="E1942" s="837" t="str">
        <f>IFERROR(IF(_xlfn.XLOOKUP(Imput[[#This Row],[RFC]],'Alta Proveedor'!D:D,'Alta Proveedor'!E:E)=0,"",_xlfn.XLOOKUP(Imput[[#This Row],[RFC]],'Alta Proveedor'!D:D,'Alta Proveedor'!E:E)),"")</f>
        <v/>
      </c>
      <c r="F1942" s="832"/>
      <c r="G1942" s="187"/>
      <c r="H1942" s="1"/>
      <c r="I1942" s="169">
        <f>Imput[[#This Row],[Cantidad]]*Imput[[#This Row],[Precio Unitario]]</f>
        <v>0</v>
      </c>
      <c r="J1942" s="11">
        <f>((Imput[[#This Row],[Sub total]])*(0.16))</f>
        <v>0</v>
      </c>
      <c r="K1942" s="11">
        <v>0</v>
      </c>
      <c r="L1942" s="169">
        <f>Imput[[#This Row],[Sub total]]+Imput[[#This Row],[IVA]]-Imput[[#This Row],[Retención / IEPS / Descuento]]</f>
        <v>0</v>
      </c>
      <c r="M1942" s="844">
        <v>0</v>
      </c>
      <c r="N1942" s="189"/>
      <c r="O1942" s="1"/>
      <c r="P1942" s="189"/>
      <c r="Q1942" s="190"/>
      <c r="R1942" s="188"/>
      <c r="S1942" s="193"/>
      <c r="T1942" s="192"/>
      <c r="U1942" s="829"/>
      <c r="V1942" s="10"/>
      <c r="W1942" s="10"/>
      <c r="X1942" s="10"/>
      <c r="Y1942" s="10"/>
      <c r="Z1942" s="10"/>
      <c r="AA1942" s="11"/>
      <c r="AB1942" s="11"/>
    </row>
    <row r="1943" spans="2:28" x14ac:dyDescent="0.3">
      <c r="B1943" s="10"/>
      <c r="C1943" s="315"/>
      <c r="D1943" s="868"/>
      <c r="E1943" s="837" t="str">
        <f>IFERROR(IF(_xlfn.XLOOKUP(Imput[[#This Row],[RFC]],'Alta Proveedor'!D:D,'Alta Proveedor'!E:E)=0,"",_xlfn.XLOOKUP(Imput[[#This Row],[RFC]],'Alta Proveedor'!D:D,'Alta Proveedor'!E:E)),"")</f>
        <v/>
      </c>
      <c r="F1943" s="832"/>
      <c r="G1943" s="187"/>
      <c r="H1943" s="1"/>
      <c r="I1943" s="169">
        <f>Imput[[#This Row],[Cantidad]]*Imput[[#This Row],[Precio Unitario]]</f>
        <v>0</v>
      </c>
      <c r="J1943" s="11">
        <f>((Imput[[#This Row],[Sub total]])*(0.16))</f>
        <v>0</v>
      </c>
      <c r="K1943" s="11">
        <v>0</v>
      </c>
      <c r="L1943" s="169">
        <f>Imput[[#This Row],[Sub total]]+Imput[[#This Row],[IVA]]-Imput[[#This Row],[Retención / IEPS / Descuento]]</f>
        <v>0</v>
      </c>
      <c r="M1943" s="844">
        <v>0</v>
      </c>
      <c r="N1943" s="189"/>
      <c r="O1943" s="1"/>
      <c r="P1943" s="189"/>
      <c r="Q1943" s="190"/>
      <c r="R1943" s="188"/>
      <c r="S1943" s="193"/>
      <c r="T1943" s="192"/>
      <c r="U1943" s="829"/>
      <c r="V1943" s="10"/>
      <c r="W1943" s="10"/>
      <c r="X1943" s="10"/>
      <c r="Y1943" s="10"/>
      <c r="Z1943" s="10"/>
      <c r="AA1943" s="11"/>
      <c r="AB1943" s="11"/>
    </row>
    <row r="1944" spans="2:28" x14ac:dyDescent="0.3">
      <c r="B1944" s="10"/>
      <c r="C1944" s="315"/>
      <c r="D1944" s="868"/>
      <c r="E1944" s="837" t="str">
        <f>IFERROR(IF(_xlfn.XLOOKUP(Imput[[#This Row],[RFC]],'Alta Proveedor'!D:D,'Alta Proveedor'!E:E)=0,"",_xlfn.XLOOKUP(Imput[[#This Row],[RFC]],'Alta Proveedor'!D:D,'Alta Proveedor'!E:E)),"")</f>
        <v/>
      </c>
      <c r="F1944" s="832"/>
      <c r="G1944" s="187"/>
      <c r="H1944" s="1"/>
      <c r="I1944" s="169">
        <f>Imput[[#This Row],[Cantidad]]*Imput[[#This Row],[Precio Unitario]]</f>
        <v>0</v>
      </c>
      <c r="J1944" s="11">
        <f>((Imput[[#This Row],[Sub total]])*(0.16))</f>
        <v>0</v>
      </c>
      <c r="K1944" s="11">
        <v>0</v>
      </c>
      <c r="L1944" s="169">
        <f>Imput[[#This Row],[Sub total]]+Imput[[#This Row],[IVA]]-Imput[[#This Row],[Retención / IEPS / Descuento]]</f>
        <v>0</v>
      </c>
      <c r="M1944" s="844">
        <v>0</v>
      </c>
      <c r="N1944" s="189"/>
      <c r="O1944" s="1"/>
      <c r="P1944" s="189"/>
      <c r="Q1944" s="190"/>
      <c r="R1944" s="188"/>
      <c r="S1944" s="193"/>
      <c r="T1944" s="192"/>
      <c r="U1944" s="829"/>
      <c r="V1944" s="10"/>
      <c r="W1944" s="10"/>
      <c r="X1944" s="10"/>
      <c r="Y1944" s="10"/>
      <c r="Z1944" s="10"/>
      <c r="AA1944" s="11"/>
      <c r="AB1944" s="11"/>
    </row>
    <row r="1945" spans="2:28" x14ac:dyDescent="0.3">
      <c r="B1945" s="10"/>
      <c r="C1945" s="315"/>
      <c r="D1945" s="868"/>
      <c r="E1945" s="837" t="str">
        <f>IFERROR(IF(_xlfn.XLOOKUP(Imput[[#This Row],[RFC]],'Alta Proveedor'!D:D,'Alta Proveedor'!E:E)=0,"",_xlfn.XLOOKUP(Imput[[#This Row],[RFC]],'Alta Proveedor'!D:D,'Alta Proveedor'!E:E)),"")</f>
        <v/>
      </c>
      <c r="F1945" s="832"/>
      <c r="G1945" s="187"/>
      <c r="H1945" s="1"/>
      <c r="I1945" s="169">
        <f>Imput[[#This Row],[Cantidad]]*Imput[[#This Row],[Precio Unitario]]</f>
        <v>0</v>
      </c>
      <c r="J1945" s="11">
        <f>((Imput[[#This Row],[Sub total]])*(0.16))</f>
        <v>0</v>
      </c>
      <c r="K1945" s="11">
        <v>0</v>
      </c>
      <c r="L1945" s="169">
        <f>Imput[[#This Row],[Sub total]]+Imput[[#This Row],[IVA]]-Imput[[#This Row],[Retención / IEPS / Descuento]]</f>
        <v>0</v>
      </c>
      <c r="M1945" s="844">
        <v>0</v>
      </c>
      <c r="N1945" s="189"/>
      <c r="O1945" s="1"/>
      <c r="P1945" s="189"/>
      <c r="Q1945" s="190"/>
      <c r="R1945" s="188"/>
      <c r="S1945" s="193"/>
      <c r="T1945" s="192"/>
      <c r="U1945" s="829"/>
      <c r="V1945" s="10"/>
      <c r="W1945" s="10"/>
      <c r="X1945" s="10"/>
      <c r="Y1945" s="10"/>
      <c r="Z1945" s="10"/>
      <c r="AA1945" s="11"/>
      <c r="AB1945" s="11"/>
    </row>
    <row r="1946" spans="2:28" x14ac:dyDescent="0.3">
      <c r="B1946" s="10"/>
      <c r="C1946" s="315"/>
      <c r="D1946" s="868"/>
      <c r="E1946" s="837" t="str">
        <f>IFERROR(IF(_xlfn.XLOOKUP(Imput[[#This Row],[RFC]],'Alta Proveedor'!D:D,'Alta Proveedor'!E:E)=0,"",_xlfn.XLOOKUP(Imput[[#This Row],[RFC]],'Alta Proveedor'!D:D,'Alta Proveedor'!E:E)),"")</f>
        <v/>
      </c>
      <c r="F1946" s="832"/>
      <c r="G1946" s="187"/>
      <c r="H1946" s="1"/>
      <c r="I1946" s="169">
        <f>Imput[[#This Row],[Cantidad]]*Imput[[#This Row],[Precio Unitario]]</f>
        <v>0</v>
      </c>
      <c r="J1946" s="11">
        <f>((Imput[[#This Row],[Sub total]])*(0.16))</f>
        <v>0</v>
      </c>
      <c r="K1946" s="11">
        <v>0</v>
      </c>
      <c r="L1946" s="169">
        <f>Imput[[#This Row],[Sub total]]+Imput[[#This Row],[IVA]]-Imput[[#This Row],[Retención / IEPS / Descuento]]</f>
        <v>0</v>
      </c>
      <c r="M1946" s="844">
        <v>0</v>
      </c>
      <c r="N1946" s="189"/>
      <c r="O1946" s="1"/>
      <c r="P1946" s="189"/>
      <c r="Q1946" s="190"/>
      <c r="R1946" s="188"/>
      <c r="S1946" s="193"/>
      <c r="T1946" s="192"/>
      <c r="U1946" s="829"/>
      <c r="V1946" s="10"/>
      <c r="W1946" s="10"/>
      <c r="X1946" s="10"/>
      <c r="Y1946" s="10"/>
      <c r="Z1946" s="10"/>
      <c r="AA1946" s="11"/>
      <c r="AB1946" s="11"/>
    </row>
    <row r="1947" spans="2:28" x14ac:dyDescent="0.3">
      <c r="B1947" s="10"/>
      <c r="C1947" s="315"/>
      <c r="D1947" s="868"/>
      <c r="E1947" s="837" t="str">
        <f>IFERROR(IF(_xlfn.XLOOKUP(Imput[[#This Row],[RFC]],'Alta Proveedor'!D:D,'Alta Proveedor'!E:E)=0,"",_xlfn.XLOOKUP(Imput[[#This Row],[RFC]],'Alta Proveedor'!D:D,'Alta Proveedor'!E:E)),"")</f>
        <v/>
      </c>
      <c r="F1947" s="832"/>
      <c r="G1947" s="187"/>
      <c r="H1947" s="1"/>
      <c r="I1947" s="169">
        <f>Imput[[#This Row],[Cantidad]]*Imput[[#This Row],[Precio Unitario]]</f>
        <v>0</v>
      </c>
      <c r="J1947" s="11">
        <f>((Imput[[#This Row],[Sub total]])*(0.16))</f>
        <v>0</v>
      </c>
      <c r="K1947" s="11">
        <v>0</v>
      </c>
      <c r="L1947" s="169">
        <f>Imput[[#This Row],[Sub total]]+Imput[[#This Row],[IVA]]-Imput[[#This Row],[Retención / IEPS / Descuento]]</f>
        <v>0</v>
      </c>
      <c r="M1947" s="844">
        <v>0</v>
      </c>
      <c r="N1947" s="189"/>
      <c r="O1947" s="1"/>
      <c r="P1947" s="189"/>
      <c r="Q1947" s="190"/>
      <c r="R1947" s="188"/>
      <c r="S1947" s="193"/>
      <c r="T1947" s="192"/>
      <c r="U1947" s="829"/>
      <c r="V1947" s="10"/>
      <c r="W1947" s="10"/>
      <c r="X1947" s="10"/>
      <c r="Y1947" s="10"/>
      <c r="Z1947" s="10"/>
      <c r="AA1947" s="11"/>
      <c r="AB1947" s="11"/>
    </row>
    <row r="1948" spans="2:28" x14ac:dyDescent="0.3">
      <c r="B1948" s="10"/>
      <c r="C1948" s="315"/>
      <c r="D1948" s="868"/>
      <c r="E1948" s="837" t="str">
        <f>IFERROR(IF(_xlfn.XLOOKUP(Imput[[#This Row],[RFC]],'Alta Proveedor'!D:D,'Alta Proveedor'!E:E)=0,"",_xlfn.XLOOKUP(Imput[[#This Row],[RFC]],'Alta Proveedor'!D:D,'Alta Proveedor'!E:E)),"")</f>
        <v/>
      </c>
      <c r="F1948" s="832"/>
      <c r="G1948" s="187"/>
      <c r="H1948" s="1"/>
      <c r="I1948" s="169">
        <f>Imput[[#This Row],[Cantidad]]*Imput[[#This Row],[Precio Unitario]]</f>
        <v>0</v>
      </c>
      <c r="J1948" s="11">
        <f>((Imput[[#This Row],[Sub total]])*(0.16))</f>
        <v>0</v>
      </c>
      <c r="K1948" s="11">
        <v>0</v>
      </c>
      <c r="L1948" s="169">
        <f>Imput[[#This Row],[Sub total]]+Imput[[#This Row],[IVA]]-Imput[[#This Row],[Retención / IEPS / Descuento]]</f>
        <v>0</v>
      </c>
      <c r="M1948" s="844">
        <v>0</v>
      </c>
      <c r="N1948" s="189"/>
      <c r="O1948" s="1"/>
      <c r="P1948" s="189"/>
      <c r="Q1948" s="190"/>
      <c r="R1948" s="188"/>
      <c r="S1948" s="193"/>
      <c r="T1948" s="192"/>
      <c r="U1948" s="829"/>
      <c r="V1948" s="10"/>
      <c r="W1948" s="10"/>
      <c r="X1948" s="10"/>
      <c r="Y1948" s="10"/>
      <c r="Z1948" s="10"/>
      <c r="AA1948" s="11"/>
      <c r="AB1948" s="11"/>
    </row>
    <row r="1949" spans="2:28" x14ac:dyDescent="0.3">
      <c r="B1949" s="10"/>
      <c r="C1949" s="315"/>
      <c r="D1949" s="868"/>
      <c r="E1949" s="837" t="str">
        <f>IFERROR(IF(_xlfn.XLOOKUP(Imput[[#This Row],[RFC]],'Alta Proveedor'!D:D,'Alta Proveedor'!E:E)=0,"",_xlfn.XLOOKUP(Imput[[#This Row],[RFC]],'Alta Proveedor'!D:D,'Alta Proveedor'!E:E)),"")</f>
        <v/>
      </c>
      <c r="F1949" s="832"/>
      <c r="G1949" s="187"/>
      <c r="H1949" s="1"/>
      <c r="I1949" s="169">
        <f>Imput[[#This Row],[Cantidad]]*Imput[[#This Row],[Precio Unitario]]</f>
        <v>0</v>
      </c>
      <c r="J1949" s="11">
        <f>((Imput[[#This Row],[Sub total]])*(0.16))</f>
        <v>0</v>
      </c>
      <c r="K1949" s="11">
        <v>0</v>
      </c>
      <c r="L1949" s="169">
        <f>Imput[[#This Row],[Sub total]]+Imput[[#This Row],[IVA]]-Imput[[#This Row],[Retención / IEPS / Descuento]]</f>
        <v>0</v>
      </c>
      <c r="M1949" s="844">
        <v>0</v>
      </c>
      <c r="N1949" s="189"/>
      <c r="O1949" s="1"/>
      <c r="P1949" s="189"/>
      <c r="Q1949" s="190"/>
      <c r="R1949" s="188"/>
      <c r="S1949" s="193"/>
      <c r="T1949" s="192"/>
      <c r="U1949" s="829"/>
      <c r="V1949" s="10"/>
      <c r="W1949" s="10"/>
      <c r="X1949" s="10"/>
      <c r="Y1949" s="10"/>
      <c r="Z1949" s="10"/>
      <c r="AA1949" s="11"/>
      <c r="AB1949" s="11"/>
    </row>
    <row r="1950" spans="2:28" x14ac:dyDescent="0.3">
      <c r="B1950" s="10"/>
      <c r="C1950" s="315"/>
      <c r="D1950" s="868"/>
      <c r="E1950" s="837" t="str">
        <f>IFERROR(IF(_xlfn.XLOOKUP(Imput[[#This Row],[RFC]],'Alta Proveedor'!D:D,'Alta Proveedor'!E:E)=0,"",_xlfn.XLOOKUP(Imput[[#This Row],[RFC]],'Alta Proveedor'!D:D,'Alta Proveedor'!E:E)),"")</f>
        <v/>
      </c>
      <c r="F1950" s="832"/>
      <c r="G1950" s="187"/>
      <c r="H1950" s="1"/>
      <c r="I1950" s="169">
        <f>Imput[[#This Row],[Cantidad]]*Imput[[#This Row],[Precio Unitario]]</f>
        <v>0</v>
      </c>
      <c r="J1950" s="11">
        <f>((Imput[[#This Row],[Sub total]])*(0.16))</f>
        <v>0</v>
      </c>
      <c r="K1950" s="11">
        <v>0</v>
      </c>
      <c r="L1950" s="169">
        <f>Imput[[#This Row],[Sub total]]+Imput[[#This Row],[IVA]]-Imput[[#This Row],[Retención / IEPS / Descuento]]</f>
        <v>0</v>
      </c>
      <c r="M1950" s="844">
        <v>0</v>
      </c>
      <c r="N1950" s="189"/>
      <c r="O1950" s="1"/>
      <c r="P1950" s="189"/>
      <c r="Q1950" s="190"/>
      <c r="R1950" s="188"/>
      <c r="S1950" s="193"/>
      <c r="T1950" s="192"/>
      <c r="U1950" s="829"/>
      <c r="V1950" s="10"/>
      <c r="W1950" s="10"/>
      <c r="X1950" s="10"/>
      <c r="Y1950" s="10"/>
      <c r="Z1950" s="10"/>
      <c r="AA1950" s="11"/>
      <c r="AB1950" s="11"/>
    </row>
    <row r="1951" spans="2:28" x14ac:dyDescent="0.3">
      <c r="B1951" s="10"/>
      <c r="C1951" s="315"/>
      <c r="D1951" s="868"/>
      <c r="E1951" s="837" t="str">
        <f>IFERROR(IF(_xlfn.XLOOKUP(Imput[[#This Row],[RFC]],'Alta Proveedor'!D:D,'Alta Proveedor'!E:E)=0,"",_xlfn.XLOOKUP(Imput[[#This Row],[RFC]],'Alta Proveedor'!D:D,'Alta Proveedor'!E:E)),"")</f>
        <v/>
      </c>
      <c r="F1951" s="832"/>
      <c r="G1951" s="187"/>
      <c r="H1951" s="1"/>
      <c r="I1951" s="169">
        <f>Imput[[#This Row],[Cantidad]]*Imput[[#This Row],[Precio Unitario]]</f>
        <v>0</v>
      </c>
      <c r="J1951" s="11">
        <f>((Imput[[#This Row],[Sub total]])*(0.16))</f>
        <v>0</v>
      </c>
      <c r="K1951" s="11">
        <v>0</v>
      </c>
      <c r="L1951" s="169">
        <f>Imput[[#This Row],[Sub total]]+Imput[[#This Row],[IVA]]-Imput[[#This Row],[Retención / IEPS / Descuento]]</f>
        <v>0</v>
      </c>
      <c r="M1951" s="844">
        <v>0</v>
      </c>
      <c r="N1951" s="189"/>
      <c r="O1951" s="1"/>
      <c r="P1951" s="189"/>
      <c r="Q1951" s="190"/>
      <c r="R1951" s="188"/>
      <c r="S1951" s="193"/>
      <c r="T1951" s="192"/>
      <c r="U1951" s="829"/>
      <c r="V1951" s="10"/>
      <c r="W1951" s="10"/>
      <c r="X1951" s="10"/>
      <c r="Y1951" s="10"/>
      <c r="Z1951" s="10"/>
      <c r="AA1951" s="11"/>
      <c r="AB1951" s="11"/>
    </row>
    <row r="1952" spans="2:28" x14ac:dyDescent="0.3">
      <c r="B1952" s="10"/>
      <c r="C1952" s="315"/>
      <c r="D1952" s="868"/>
      <c r="E1952" s="837" t="str">
        <f>IFERROR(IF(_xlfn.XLOOKUP(Imput[[#This Row],[RFC]],'Alta Proveedor'!D:D,'Alta Proveedor'!E:E)=0,"",_xlfn.XLOOKUP(Imput[[#This Row],[RFC]],'Alta Proveedor'!D:D,'Alta Proveedor'!E:E)),"")</f>
        <v/>
      </c>
      <c r="F1952" s="832"/>
      <c r="G1952" s="187"/>
      <c r="H1952" s="1"/>
      <c r="I1952" s="169">
        <f>Imput[[#This Row],[Cantidad]]*Imput[[#This Row],[Precio Unitario]]</f>
        <v>0</v>
      </c>
      <c r="J1952" s="11">
        <f>((Imput[[#This Row],[Sub total]])*(0.16))</f>
        <v>0</v>
      </c>
      <c r="K1952" s="11">
        <v>0</v>
      </c>
      <c r="L1952" s="169">
        <f>Imput[[#This Row],[Sub total]]+Imput[[#This Row],[IVA]]-Imput[[#This Row],[Retención / IEPS / Descuento]]</f>
        <v>0</v>
      </c>
      <c r="M1952" s="844">
        <v>0</v>
      </c>
      <c r="N1952" s="189"/>
      <c r="O1952" s="1"/>
      <c r="P1952" s="189"/>
      <c r="Q1952" s="190"/>
      <c r="R1952" s="188"/>
      <c r="S1952" s="193"/>
      <c r="T1952" s="192"/>
      <c r="U1952" s="829"/>
      <c r="V1952" s="10"/>
      <c r="W1952" s="10"/>
      <c r="X1952" s="10"/>
      <c r="Y1952" s="10"/>
      <c r="Z1952" s="10"/>
      <c r="AA1952" s="11"/>
      <c r="AB1952" s="11"/>
    </row>
    <row r="1953" spans="2:28" x14ac:dyDescent="0.3">
      <c r="B1953" s="10"/>
      <c r="C1953" s="315"/>
      <c r="D1953" s="868"/>
      <c r="E1953" s="837" t="str">
        <f>IFERROR(IF(_xlfn.XLOOKUP(Imput[[#This Row],[RFC]],'Alta Proveedor'!D:D,'Alta Proveedor'!E:E)=0,"",_xlfn.XLOOKUP(Imput[[#This Row],[RFC]],'Alta Proveedor'!D:D,'Alta Proveedor'!E:E)),"")</f>
        <v/>
      </c>
      <c r="F1953" s="832"/>
      <c r="G1953" s="187"/>
      <c r="H1953" s="1"/>
      <c r="I1953" s="169">
        <f>Imput[[#This Row],[Cantidad]]*Imput[[#This Row],[Precio Unitario]]</f>
        <v>0</v>
      </c>
      <c r="J1953" s="11">
        <f>((Imput[[#This Row],[Sub total]])*(0.16))</f>
        <v>0</v>
      </c>
      <c r="K1953" s="11">
        <v>0</v>
      </c>
      <c r="L1953" s="169">
        <f>Imput[[#This Row],[Sub total]]+Imput[[#This Row],[IVA]]-Imput[[#This Row],[Retención / IEPS / Descuento]]</f>
        <v>0</v>
      </c>
      <c r="M1953" s="844">
        <v>0</v>
      </c>
      <c r="N1953" s="189"/>
      <c r="O1953" s="1"/>
      <c r="P1953" s="189"/>
      <c r="Q1953" s="190"/>
      <c r="R1953" s="188"/>
      <c r="S1953" s="193"/>
      <c r="T1953" s="192"/>
      <c r="U1953" s="829"/>
      <c r="V1953" s="10"/>
      <c r="W1953" s="10"/>
      <c r="X1953" s="10"/>
      <c r="Y1953" s="10"/>
      <c r="Z1953" s="10"/>
      <c r="AA1953" s="11"/>
      <c r="AB1953" s="11"/>
    </row>
    <row r="1954" spans="2:28" x14ac:dyDescent="0.3">
      <c r="B1954" s="10"/>
      <c r="C1954" s="315"/>
      <c r="D1954" s="868"/>
      <c r="E1954" s="837" t="str">
        <f>IFERROR(IF(_xlfn.XLOOKUP(Imput[[#This Row],[RFC]],'Alta Proveedor'!D:D,'Alta Proveedor'!E:E)=0,"",_xlfn.XLOOKUP(Imput[[#This Row],[RFC]],'Alta Proveedor'!D:D,'Alta Proveedor'!E:E)),"")</f>
        <v/>
      </c>
      <c r="F1954" s="832"/>
      <c r="G1954" s="187"/>
      <c r="H1954" s="1"/>
      <c r="I1954" s="169">
        <f>Imput[[#This Row],[Cantidad]]*Imput[[#This Row],[Precio Unitario]]</f>
        <v>0</v>
      </c>
      <c r="J1954" s="11">
        <f>((Imput[[#This Row],[Sub total]])*(0.16))</f>
        <v>0</v>
      </c>
      <c r="K1954" s="11">
        <v>0</v>
      </c>
      <c r="L1954" s="169">
        <f>Imput[[#This Row],[Sub total]]+Imput[[#This Row],[IVA]]-Imput[[#This Row],[Retención / IEPS / Descuento]]</f>
        <v>0</v>
      </c>
      <c r="M1954" s="844">
        <v>0</v>
      </c>
      <c r="N1954" s="189"/>
      <c r="O1954" s="1"/>
      <c r="P1954" s="189"/>
      <c r="Q1954" s="190"/>
      <c r="R1954" s="188"/>
      <c r="S1954" s="193"/>
      <c r="T1954" s="192"/>
      <c r="U1954" s="829"/>
      <c r="V1954" s="10"/>
      <c r="W1954" s="10"/>
      <c r="X1954" s="10"/>
      <c r="Y1954" s="10"/>
      <c r="Z1954" s="10"/>
      <c r="AA1954" s="11"/>
      <c r="AB1954" s="11"/>
    </row>
    <row r="1955" spans="2:28" x14ac:dyDescent="0.3">
      <c r="B1955" s="10"/>
      <c r="C1955" s="315"/>
      <c r="D1955" s="868"/>
      <c r="E1955" s="837" t="str">
        <f>IFERROR(IF(_xlfn.XLOOKUP(Imput[[#This Row],[RFC]],'Alta Proveedor'!D:D,'Alta Proveedor'!E:E)=0,"",_xlfn.XLOOKUP(Imput[[#This Row],[RFC]],'Alta Proveedor'!D:D,'Alta Proveedor'!E:E)),"")</f>
        <v/>
      </c>
      <c r="F1955" s="832"/>
      <c r="G1955" s="187"/>
      <c r="H1955" s="1"/>
      <c r="I1955" s="169">
        <f>Imput[[#This Row],[Cantidad]]*Imput[[#This Row],[Precio Unitario]]</f>
        <v>0</v>
      </c>
      <c r="J1955" s="11">
        <f>((Imput[[#This Row],[Sub total]])*(0.16))</f>
        <v>0</v>
      </c>
      <c r="K1955" s="11">
        <v>0</v>
      </c>
      <c r="L1955" s="169">
        <f>Imput[[#This Row],[Sub total]]+Imput[[#This Row],[IVA]]-Imput[[#This Row],[Retención / IEPS / Descuento]]</f>
        <v>0</v>
      </c>
      <c r="M1955" s="844">
        <v>0</v>
      </c>
      <c r="N1955" s="189"/>
      <c r="O1955" s="1"/>
      <c r="P1955" s="189"/>
      <c r="Q1955" s="190"/>
      <c r="R1955" s="188"/>
      <c r="S1955" s="193"/>
      <c r="T1955" s="192"/>
      <c r="U1955" s="829"/>
      <c r="V1955" s="10"/>
      <c r="W1955" s="10"/>
      <c r="X1955" s="10"/>
      <c r="Y1955" s="10"/>
      <c r="Z1955" s="10"/>
      <c r="AA1955" s="11"/>
      <c r="AB1955" s="11"/>
    </row>
    <row r="1956" spans="2:28" x14ac:dyDescent="0.3">
      <c r="B1956" s="10"/>
      <c r="C1956" s="315"/>
      <c r="D1956" s="868"/>
      <c r="E1956" s="837" t="str">
        <f>IFERROR(IF(_xlfn.XLOOKUP(Imput[[#This Row],[RFC]],'Alta Proveedor'!D:D,'Alta Proveedor'!E:E)=0,"",_xlfn.XLOOKUP(Imput[[#This Row],[RFC]],'Alta Proveedor'!D:D,'Alta Proveedor'!E:E)),"")</f>
        <v/>
      </c>
      <c r="F1956" s="832"/>
      <c r="G1956" s="187"/>
      <c r="H1956" s="1"/>
      <c r="I1956" s="169">
        <f>Imput[[#This Row],[Cantidad]]*Imput[[#This Row],[Precio Unitario]]</f>
        <v>0</v>
      </c>
      <c r="J1956" s="11">
        <f>((Imput[[#This Row],[Sub total]])*(0.16))</f>
        <v>0</v>
      </c>
      <c r="K1956" s="11">
        <v>0</v>
      </c>
      <c r="L1956" s="169">
        <f>Imput[[#This Row],[Sub total]]+Imput[[#This Row],[IVA]]-Imput[[#This Row],[Retención / IEPS / Descuento]]</f>
        <v>0</v>
      </c>
      <c r="M1956" s="844">
        <v>0</v>
      </c>
      <c r="N1956" s="189"/>
      <c r="O1956" s="1"/>
      <c r="P1956" s="189"/>
      <c r="Q1956" s="190"/>
      <c r="R1956" s="188"/>
      <c r="S1956" s="193"/>
      <c r="T1956" s="192"/>
      <c r="U1956" s="829"/>
      <c r="V1956" s="10"/>
      <c r="W1956" s="10"/>
      <c r="X1956" s="10"/>
      <c r="Y1956" s="10"/>
      <c r="Z1956" s="10"/>
      <c r="AA1956" s="11"/>
      <c r="AB1956" s="11"/>
    </row>
    <row r="1957" spans="2:28" x14ac:dyDescent="0.3">
      <c r="B1957" s="10"/>
      <c r="C1957" s="315"/>
      <c r="D1957" s="868"/>
      <c r="E1957" s="837" t="str">
        <f>IFERROR(IF(_xlfn.XLOOKUP(Imput[[#This Row],[RFC]],'Alta Proveedor'!D:D,'Alta Proveedor'!E:E)=0,"",_xlfn.XLOOKUP(Imput[[#This Row],[RFC]],'Alta Proveedor'!D:D,'Alta Proveedor'!E:E)),"")</f>
        <v/>
      </c>
      <c r="F1957" s="832"/>
      <c r="G1957" s="187"/>
      <c r="H1957" s="1"/>
      <c r="I1957" s="169">
        <f>Imput[[#This Row],[Cantidad]]*Imput[[#This Row],[Precio Unitario]]</f>
        <v>0</v>
      </c>
      <c r="J1957" s="11">
        <f>((Imput[[#This Row],[Sub total]])*(0.16))</f>
        <v>0</v>
      </c>
      <c r="K1957" s="11">
        <v>0</v>
      </c>
      <c r="L1957" s="169">
        <f>Imput[[#This Row],[Sub total]]+Imput[[#This Row],[IVA]]-Imput[[#This Row],[Retención / IEPS / Descuento]]</f>
        <v>0</v>
      </c>
      <c r="M1957" s="844">
        <v>0</v>
      </c>
      <c r="N1957" s="189"/>
      <c r="O1957" s="1"/>
      <c r="P1957" s="189"/>
      <c r="Q1957" s="190"/>
      <c r="R1957" s="188"/>
      <c r="S1957" s="193"/>
      <c r="T1957" s="192"/>
      <c r="U1957" s="829"/>
      <c r="V1957" s="10"/>
      <c r="W1957" s="10"/>
      <c r="X1957" s="10"/>
      <c r="Y1957" s="10"/>
      <c r="Z1957" s="10"/>
      <c r="AA1957" s="11"/>
      <c r="AB1957" s="11"/>
    </row>
    <row r="1958" spans="2:28" x14ac:dyDescent="0.3">
      <c r="B1958" s="10"/>
      <c r="C1958" s="315"/>
      <c r="D1958" s="868"/>
      <c r="E1958" s="837" t="str">
        <f>IFERROR(IF(_xlfn.XLOOKUP(Imput[[#This Row],[RFC]],'Alta Proveedor'!D:D,'Alta Proveedor'!E:E)=0,"",_xlfn.XLOOKUP(Imput[[#This Row],[RFC]],'Alta Proveedor'!D:D,'Alta Proveedor'!E:E)),"")</f>
        <v/>
      </c>
      <c r="F1958" s="832"/>
      <c r="G1958" s="187"/>
      <c r="H1958" s="1"/>
      <c r="I1958" s="169">
        <f>Imput[[#This Row],[Cantidad]]*Imput[[#This Row],[Precio Unitario]]</f>
        <v>0</v>
      </c>
      <c r="J1958" s="11">
        <f>((Imput[[#This Row],[Sub total]])*(0.16))</f>
        <v>0</v>
      </c>
      <c r="K1958" s="11">
        <v>0</v>
      </c>
      <c r="L1958" s="169">
        <f>Imput[[#This Row],[Sub total]]+Imput[[#This Row],[IVA]]-Imput[[#This Row],[Retención / IEPS / Descuento]]</f>
        <v>0</v>
      </c>
      <c r="M1958" s="844">
        <v>0</v>
      </c>
      <c r="N1958" s="189"/>
      <c r="O1958" s="1"/>
      <c r="P1958" s="189"/>
      <c r="Q1958" s="190"/>
      <c r="R1958" s="188"/>
      <c r="S1958" s="193"/>
      <c r="T1958" s="192"/>
      <c r="U1958" s="829"/>
      <c r="V1958" s="10"/>
      <c r="W1958" s="10"/>
      <c r="X1958" s="10"/>
      <c r="Y1958" s="10"/>
      <c r="Z1958" s="10"/>
      <c r="AA1958" s="11"/>
      <c r="AB1958" s="11"/>
    </row>
    <row r="1959" spans="2:28" x14ac:dyDescent="0.3">
      <c r="B1959" s="10"/>
      <c r="C1959" s="315"/>
      <c r="D1959" s="868"/>
      <c r="E1959" s="837" t="str">
        <f>IFERROR(IF(_xlfn.XLOOKUP(Imput[[#This Row],[RFC]],'Alta Proveedor'!D:D,'Alta Proveedor'!E:E)=0,"",_xlfn.XLOOKUP(Imput[[#This Row],[RFC]],'Alta Proveedor'!D:D,'Alta Proveedor'!E:E)),"")</f>
        <v/>
      </c>
      <c r="F1959" s="832"/>
      <c r="G1959" s="187"/>
      <c r="H1959" s="1"/>
      <c r="I1959" s="169">
        <f>Imput[[#This Row],[Cantidad]]*Imput[[#This Row],[Precio Unitario]]</f>
        <v>0</v>
      </c>
      <c r="J1959" s="11">
        <f>((Imput[[#This Row],[Sub total]])*(0.16))</f>
        <v>0</v>
      </c>
      <c r="K1959" s="11">
        <v>0</v>
      </c>
      <c r="L1959" s="169">
        <f>Imput[[#This Row],[Sub total]]+Imput[[#This Row],[IVA]]-Imput[[#This Row],[Retención / IEPS / Descuento]]</f>
        <v>0</v>
      </c>
      <c r="M1959" s="844">
        <v>0</v>
      </c>
      <c r="N1959" s="189"/>
      <c r="O1959" s="1"/>
      <c r="P1959" s="189"/>
      <c r="Q1959" s="190"/>
      <c r="R1959" s="188"/>
      <c r="S1959" s="193"/>
      <c r="T1959" s="192"/>
      <c r="U1959" s="829"/>
      <c r="V1959" s="10"/>
      <c r="W1959" s="10"/>
      <c r="X1959" s="10"/>
      <c r="Y1959" s="10"/>
      <c r="Z1959" s="10"/>
      <c r="AA1959" s="11"/>
      <c r="AB1959" s="11"/>
    </row>
    <row r="1960" spans="2:28" x14ac:dyDescent="0.3">
      <c r="B1960" s="10"/>
      <c r="C1960" s="315"/>
      <c r="D1960" s="868"/>
      <c r="E1960" s="837" t="str">
        <f>IFERROR(IF(_xlfn.XLOOKUP(Imput[[#This Row],[RFC]],'Alta Proveedor'!D:D,'Alta Proveedor'!E:E)=0,"",_xlfn.XLOOKUP(Imput[[#This Row],[RFC]],'Alta Proveedor'!D:D,'Alta Proveedor'!E:E)),"")</f>
        <v/>
      </c>
      <c r="F1960" s="832"/>
      <c r="G1960" s="187"/>
      <c r="H1960" s="1"/>
      <c r="I1960" s="169">
        <f>Imput[[#This Row],[Cantidad]]*Imput[[#This Row],[Precio Unitario]]</f>
        <v>0</v>
      </c>
      <c r="J1960" s="11">
        <f>((Imput[[#This Row],[Sub total]])*(0.16))</f>
        <v>0</v>
      </c>
      <c r="K1960" s="11">
        <v>0</v>
      </c>
      <c r="L1960" s="169">
        <f>Imput[[#This Row],[Sub total]]+Imput[[#This Row],[IVA]]-Imput[[#This Row],[Retención / IEPS / Descuento]]</f>
        <v>0</v>
      </c>
      <c r="M1960" s="844">
        <v>0</v>
      </c>
      <c r="N1960" s="189"/>
      <c r="O1960" s="1"/>
      <c r="P1960" s="189"/>
      <c r="Q1960" s="190"/>
      <c r="R1960" s="188"/>
      <c r="S1960" s="193"/>
      <c r="T1960" s="192"/>
      <c r="U1960" s="829"/>
      <c r="V1960" s="10"/>
      <c r="W1960" s="10"/>
      <c r="X1960" s="10"/>
      <c r="Y1960" s="10"/>
      <c r="Z1960" s="10"/>
      <c r="AA1960" s="11"/>
      <c r="AB1960" s="11"/>
    </row>
    <row r="1961" spans="2:28" x14ac:dyDescent="0.3">
      <c r="B1961" s="10"/>
      <c r="C1961" s="315"/>
      <c r="D1961" s="868"/>
      <c r="E1961" s="837" t="str">
        <f>IFERROR(IF(_xlfn.XLOOKUP(Imput[[#This Row],[RFC]],'Alta Proveedor'!D:D,'Alta Proveedor'!E:E)=0,"",_xlfn.XLOOKUP(Imput[[#This Row],[RFC]],'Alta Proveedor'!D:D,'Alta Proveedor'!E:E)),"")</f>
        <v/>
      </c>
      <c r="F1961" s="832"/>
      <c r="G1961" s="187"/>
      <c r="H1961" s="1"/>
      <c r="I1961" s="169">
        <f>Imput[[#This Row],[Cantidad]]*Imput[[#This Row],[Precio Unitario]]</f>
        <v>0</v>
      </c>
      <c r="J1961" s="11">
        <f>((Imput[[#This Row],[Sub total]])*(0.16))</f>
        <v>0</v>
      </c>
      <c r="K1961" s="11">
        <v>0</v>
      </c>
      <c r="L1961" s="169">
        <f>Imput[[#This Row],[Sub total]]+Imput[[#This Row],[IVA]]-Imput[[#This Row],[Retención / IEPS / Descuento]]</f>
        <v>0</v>
      </c>
      <c r="M1961" s="844">
        <v>0</v>
      </c>
      <c r="N1961" s="189"/>
      <c r="O1961" s="1"/>
      <c r="P1961" s="189"/>
      <c r="Q1961" s="190"/>
      <c r="R1961" s="188"/>
      <c r="S1961" s="193"/>
      <c r="T1961" s="192"/>
      <c r="U1961" s="829"/>
      <c r="V1961" s="10"/>
      <c r="W1961" s="10"/>
      <c r="X1961" s="10"/>
      <c r="Y1961" s="10"/>
      <c r="Z1961" s="10"/>
      <c r="AA1961" s="11"/>
      <c r="AB1961" s="11"/>
    </row>
    <row r="1962" spans="2:28" x14ac:dyDescent="0.3">
      <c r="B1962" s="10"/>
      <c r="C1962" s="315"/>
      <c r="D1962" s="868"/>
      <c r="E1962" s="837" t="str">
        <f>IFERROR(IF(_xlfn.XLOOKUP(Imput[[#This Row],[RFC]],'Alta Proveedor'!D:D,'Alta Proveedor'!E:E)=0,"",_xlfn.XLOOKUP(Imput[[#This Row],[RFC]],'Alta Proveedor'!D:D,'Alta Proveedor'!E:E)),"")</f>
        <v/>
      </c>
      <c r="F1962" s="832"/>
      <c r="G1962" s="187"/>
      <c r="H1962" s="1"/>
      <c r="I1962" s="169">
        <f>Imput[[#This Row],[Cantidad]]*Imput[[#This Row],[Precio Unitario]]</f>
        <v>0</v>
      </c>
      <c r="J1962" s="11">
        <f>((Imput[[#This Row],[Sub total]])*(0.16))</f>
        <v>0</v>
      </c>
      <c r="K1962" s="11">
        <v>0</v>
      </c>
      <c r="L1962" s="169">
        <f>Imput[[#This Row],[Sub total]]+Imput[[#This Row],[IVA]]-Imput[[#This Row],[Retención / IEPS / Descuento]]</f>
        <v>0</v>
      </c>
      <c r="M1962" s="844">
        <v>0</v>
      </c>
      <c r="N1962" s="189"/>
      <c r="O1962" s="1"/>
      <c r="P1962" s="189"/>
      <c r="Q1962" s="190"/>
      <c r="R1962" s="188"/>
      <c r="S1962" s="193"/>
      <c r="T1962" s="192"/>
      <c r="U1962" s="829"/>
      <c r="V1962" s="10"/>
      <c r="W1962" s="10"/>
      <c r="X1962" s="10"/>
      <c r="Y1962" s="10"/>
      <c r="Z1962" s="10"/>
      <c r="AA1962" s="11"/>
      <c r="AB1962" s="11"/>
    </row>
    <row r="1963" spans="2:28" x14ac:dyDescent="0.3">
      <c r="B1963" s="10"/>
      <c r="C1963" s="315"/>
      <c r="D1963" s="868"/>
      <c r="E1963" s="837" t="str">
        <f>IFERROR(IF(_xlfn.XLOOKUP(Imput[[#This Row],[RFC]],'Alta Proveedor'!D:D,'Alta Proveedor'!E:E)=0,"",_xlfn.XLOOKUP(Imput[[#This Row],[RFC]],'Alta Proveedor'!D:D,'Alta Proveedor'!E:E)),"")</f>
        <v/>
      </c>
      <c r="F1963" s="832"/>
      <c r="G1963" s="187"/>
      <c r="H1963" s="1"/>
      <c r="I1963" s="169">
        <f>Imput[[#This Row],[Cantidad]]*Imput[[#This Row],[Precio Unitario]]</f>
        <v>0</v>
      </c>
      <c r="J1963" s="11">
        <f>((Imput[[#This Row],[Sub total]])*(0.16))</f>
        <v>0</v>
      </c>
      <c r="K1963" s="11">
        <v>0</v>
      </c>
      <c r="L1963" s="169">
        <f>Imput[[#This Row],[Sub total]]+Imput[[#This Row],[IVA]]-Imput[[#This Row],[Retención / IEPS / Descuento]]</f>
        <v>0</v>
      </c>
      <c r="M1963" s="844">
        <v>0</v>
      </c>
      <c r="N1963" s="189"/>
      <c r="O1963" s="1"/>
      <c r="P1963" s="189"/>
      <c r="Q1963" s="190"/>
      <c r="R1963" s="188"/>
      <c r="S1963" s="193"/>
      <c r="T1963" s="192"/>
      <c r="U1963" s="829"/>
      <c r="V1963" s="10"/>
      <c r="W1963" s="10"/>
      <c r="X1963" s="10"/>
      <c r="Y1963" s="10"/>
      <c r="Z1963" s="10"/>
      <c r="AA1963" s="11"/>
      <c r="AB1963" s="11"/>
    </row>
    <row r="1964" spans="2:28" x14ac:dyDescent="0.3">
      <c r="B1964" s="10"/>
      <c r="C1964" s="315"/>
      <c r="D1964" s="868"/>
      <c r="E1964" s="837" t="str">
        <f>IFERROR(IF(_xlfn.XLOOKUP(Imput[[#This Row],[RFC]],'Alta Proveedor'!D:D,'Alta Proveedor'!E:E)=0,"",_xlfn.XLOOKUP(Imput[[#This Row],[RFC]],'Alta Proveedor'!D:D,'Alta Proveedor'!E:E)),"")</f>
        <v/>
      </c>
      <c r="F1964" s="832"/>
      <c r="G1964" s="187"/>
      <c r="H1964" s="1"/>
      <c r="I1964" s="169">
        <f>Imput[[#This Row],[Cantidad]]*Imput[[#This Row],[Precio Unitario]]</f>
        <v>0</v>
      </c>
      <c r="J1964" s="11">
        <f>((Imput[[#This Row],[Sub total]])*(0.16))</f>
        <v>0</v>
      </c>
      <c r="K1964" s="11">
        <v>0</v>
      </c>
      <c r="L1964" s="169">
        <f>Imput[[#This Row],[Sub total]]+Imput[[#This Row],[IVA]]-Imput[[#This Row],[Retención / IEPS / Descuento]]</f>
        <v>0</v>
      </c>
      <c r="M1964" s="844">
        <v>0</v>
      </c>
      <c r="N1964" s="189"/>
      <c r="O1964" s="1"/>
      <c r="P1964" s="189"/>
      <c r="Q1964" s="190"/>
      <c r="R1964" s="188"/>
      <c r="S1964" s="193"/>
      <c r="T1964" s="192"/>
      <c r="U1964" s="829"/>
      <c r="V1964" s="10"/>
      <c r="W1964" s="10"/>
      <c r="X1964" s="10"/>
      <c r="Y1964" s="10"/>
      <c r="Z1964" s="10"/>
      <c r="AA1964" s="11"/>
      <c r="AB1964" s="11"/>
    </row>
    <row r="1965" spans="2:28" x14ac:dyDescent="0.3">
      <c r="B1965" s="10"/>
      <c r="C1965" s="315"/>
      <c r="D1965" s="868"/>
      <c r="E1965" s="837" t="str">
        <f>IFERROR(IF(_xlfn.XLOOKUP(Imput[[#This Row],[RFC]],'Alta Proveedor'!D:D,'Alta Proveedor'!E:E)=0,"",_xlfn.XLOOKUP(Imput[[#This Row],[RFC]],'Alta Proveedor'!D:D,'Alta Proveedor'!E:E)),"")</f>
        <v/>
      </c>
      <c r="F1965" s="832"/>
      <c r="G1965" s="187"/>
      <c r="H1965" s="1"/>
      <c r="I1965" s="169">
        <f>Imput[[#This Row],[Cantidad]]*Imput[[#This Row],[Precio Unitario]]</f>
        <v>0</v>
      </c>
      <c r="J1965" s="11">
        <f>((Imput[[#This Row],[Sub total]])*(0.16))</f>
        <v>0</v>
      </c>
      <c r="K1965" s="11">
        <v>0</v>
      </c>
      <c r="L1965" s="169">
        <f>Imput[[#This Row],[Sub total]]+Imput[[#This Row],[IVA]]-Imput[[#This Row],[Retención / IEPS / Descuento]]</f>
        <v>0</v>
      </c>
      <c r="M1965" s="844">
        <v>0</v>
      </c>
      <c r="N1965" s="189"/>
      <c r="O1965" s="1"/>
      <c r="P1965" s="189"/>
      <c r="Q1965" s="190"/>
      <c r="R1965" s="188"/>
      <c r="S1965" s="193"/>
      <c r="T1965" s="192"/>
      <c r="U1965" s="829"/>
      <c r="V1965" s="10"/>
      <c r="W1965" s="10"/>
      <c r="X1965" s="10"/>
      <c r="Y1965" s="10"/>
      <c r="Z1965" s="10"/>
      <c r="AA1965" s="11"/>
      <c r="AB1965" s="11"/>
    </row>
    <row r="1966" spans="2:28" x14ac:dyDescent="0.3">
      <c r="B1966" s="10"/>
      <c r="C1966" s="315"/>
      <c r="D1966" s="868"/>
      <c r="E1966" s="837" t="str">
        <f>IFERROR(IF(_xlfn.XLOOKUP(Imput[[#This Row],[RFC]],'Alta Proveedor'!D:D,'Alta Proveedor'!E:E)=0,"",_xlfn.XLOOKUP(Imput[[#This Row],[RFC]],'Alta Proveedor'!D:D,'Alta Proveedor'!E:E)),"")</f>
        <v/>
      </c>
      <c r="F1966" s="832"/>
      <c r="G1966" s="187"/>
      <c r="H1966" s="1"/>
      <c r="I1966" s="169">
        <f>Imput[[#This Row],[Cantidad]]*Imput[[#This Row],[Precio Unitario]]</f>
        <v>0</v>
      </c>
      <c r="J1966" s="11">
        <f>((Imput[[#This Row],[Sub total]])*(0.16))</f>
        <v>0</v>
      </c>
      <c r="K1966" s="11">
        <v>0</v>
      </c>
      <c r="L1966" s="169">
        <f>Imput[[#This Row],[Sub total]]+Imput[[#This Row],[IVA]]-Imput[[#This Row],[Retención / IEPS / Descuento]]</f>
        <v>0</v>
      </c>
      <c r="M1966" s="844">
        <v>0</v>
      </c>
      <c r="N1966" s="189"/>
      <c r="O1966" s="1"/>
      <c r="P1966" s="189"/>
      <c r="Q1966" s="190"/>
      <c r="R1966" s="188"/>
      <c r="S1966" s="193"/>
      <c r="T1966" s="192"/>
      <c r="U1966" s="829"/>
      <c r="V1966" s="10"/>
      <c r="W1966" s="10"/>
      <c r="X1966" s="10"/>
      <c r="Y1966" s="10"/>
      <c r="Z1966" s="10"/>
      <c r="AA1966" s="11"/>
      <c r="AB1966" s="11"/>
    </row>
    <row r="1967" spans="2:28" x14ac:dyDescent="0.3">
      <c r="B1967" s="10"/>
      <c r="C1967" s="315"/>
      <c r="D1967" s="868"/>
      <c r="E1967" s="837" t="str">
        <f>IFERROR(IF(_xlfn.XLOOKUP(Imput[[#This Row],[RFC]],'Alta Proveedor'!D:D,'Alta Proveedor'!E:E)=0,"",_xlfn.XLOOKUP(Imput[[#This Row],[RFC]],'Alta Proveedor'!D:D,'Alta Proveedor'!E:E)),"")</f>
        <v/>
      </c>
      <c r="F1967" s="832"/>
      <c r="G1967" s="187"/>
      <c r="H1967" s="1"/>
      <c r="I1967" s="169">
        <f>Imput[[#This Row],[Cantidad]]*Imput[[#This Row],[Precio Unitario]]</f>
        <v>0</v>
      </c>
      <c r="J1967" s="11">
        <f>((Imput[[#This Row],[Sub total]])*(0.16))</f>
        <v>0</v>
      </c>
      <c r="K1967" s="11">
        <v>0</v>
      </c>
      <c r="L1967" s="169">
        <f>Imput[[#This Row],[Sub total]]+Imput[[#This Row],[IVA]]-Imput[[#This Row],[Retención / IEPS / Descuento]]</f>
        <v>0</v>
      </c>
      <c r="M1967" s="844">
        <v>0</v>
      </c>
      <c r="N1967" s="189"/>
      <c r="O1967" s="1"/>
      <c r="P1967" s="189"/>
      <c r="Q1967" s="190"/>
      <c r="R1967" s="188"/>
      <c r="S1967" s="193"/>
      <c r="T1967" s="192"/>
      <c r="U1967" s="829"/>
      <c r="V1967" s="10"/>
      <c r="W1967" s="10"/>
      <c r="X1967" s="10"/>
      <c r="Y1967" s="10"/>
      <c r="Z1967" s="10"/>
      <c r="AA1967" s="11"/>
      <c r="AB1967" s="11"/>
    </row>
    <row r="1968" spans="2:28" x14ac:dyDescent="0.3">
      <c r="B1968" s="10"/>
      <c r="C1968" s="315"/>
      <c r="D1968" s="868"/>
      <c r="E1968" s="837" t="str">
        <f>IFERROR(IF(_xlfn.XLOOKUP(Imput[[#This Row],[RFC]],'Alta Proveedor'!D:D,'Alta Proveedor'!E:E)=0,"",_xlfn.XLOOKUP(Imput[[#This Row],[RFC]],'Alta Proveedor'!D:D,'Alta Proveedor'!E:E)),"")</f>
        <v/>
      </c>
      <c r="F1968" s="832"/>
      <c r="G1968" s="187"/>
      <c r="H1968" s="1"/>
      <c r="I1968" s="169">
        <f>Imput[[#This Row],[Cantidad]]*Imput[[#This Row],[Precio Unitario]]</f>
        <v>0</v>
      </c>
      <c r="J1968" s="11">
        <f>((Imput[[#This Row],[Sub total]])*(0.16))</f>
        <v>0</v>
      </c>
      <c r="K1968" s="11">
        <v>0</v>
      </c>
      <c r="L1968" s="169">
        <f>Imput[[#This Row],[Sub total]]+Imput[[#This Row],[IVA]]-Imput[[#This Row],[Retención / IEPS / Descuento]]</f>
        <v>0</v>
      </c>
      <c r="M1968" s="844">
        <v>0</v>
      </c>
      <c r="N1968" s="189"/>
      <c r="O1968" s="1"/>
      <c r="P1968" s="189"/>
      <c r="Q1968" s="190"/>
      <c r="R1968" s="188"/>
      <c r="S1968" s="193"/>
      <c r="T1968" s="192"/>
      <c r="U1968" s="829"/>
      <c r="V1968" s="10"/>
      <c r="W1968" s="10"/>
      <c r="X1968" s="10"/>
      <c r="Y1968" s="10"/>
      <c r="Z1968" s="10"/>
      <c r="AA1968" s="11"/>
      <c r="AB1968" s="11"/>
    </row>
    <row r="1969" spans="2:28" x14ac:dyDescent="0.3">
      <c r="B1969" s="10"/>
      <c r="C1969" s="315"/>
      <c r="D1969" s="868"/>
      <c r="E1969" s="837" t="str">
        <f>IFERROR(IF(_xlfn.XLOOKUP(Imput[[#This Row],[RFC]],'Alta Proveedor'!D:D,'Alta Proveedor'!E:E)=0,"",_xlfn.XLOOKUP(Imput[[#This Row],[RFC]],'Alta Proveedor'!D:D,'Alta Proveedor'!E:E)),"")</f>
        <v/>
      </c>
      <c r="F1969" s="832"/>
      <c r="G1969" s="187"/>
      <c r="H1969" s="1"/>
      <c r="I1969" s="169">
        <f>Imput[[#This Row],[Cantidad]]*Imput[[#This Row],[Precio Unitario]]</f>
        <v>0</v>
      </c>
      <c r="J1969" s="11">
        <f>((Imput[[#This Row],[Sub total]])*(0.16))</f>
        <v>0</v>
      </c>
      <c r="K1969" s="11">
        <v>0</v>
      </c>
      <c r="L1969" s="169">
        <f>Imput[[#This Row],[Sub total]]+Imput[[#This Row],[IVA]]-Imput[[#This Row],[Retención / IEPS / Descuento]]</f>
        <v>0</v>
      </c>
      <c r="M1969" s="844">
        <v>0</v>
      </c>
      <c r="N1969" s="189"/>
      <c r="O1969" s="1"/>
      <c r="P1969" s="189"/>
      <c r="Q1969" s="190"/>
      <c r="R1969" s="188"/>
      <c r="S1969" s="193"/>
      <c r="T1969" s="192"/>
      <c r="U1969" s="829"/>
      <c r="V1969" s="10"/>
      <c r="W1969" s="10"/>
      <c r="X1969" s="10"/>
      <c r="Y1969" s="10"/>
      <c r="Z1969" s="10"/>
      <c r="AA1969" s="11"/>
      <c r="AB1969" s="11"/>
    </row>
    <row r="1970" spans="2:28" x14ac:dyDescent="0.3">
      <c r="B1970" s="10"/>
      <c r="C1970" s="315"/>
      <c r="D1970" s="868"/>
      <c r="E1970" s="837" t="str">
        <f>IFERROR(IF(_xlfn.XLOOKUP(Imput[[#This Row],[RFC]],'Alta Proveedor'!D:D,'Alta Proveedor'!E:E)=0,"",_xlfn.XLOOKUP(Imput[[#This Row],[RFC]],'Alta Proveedor'!D:D,'Alta Proveedor'!E:E)),"")</f>
        <v/>
      </c>
      <c r="F1970" s="832"/>
      <c r="G1970" s="187"/>
      <c r="H1970" s="1"/>
      <c r="I1970" s="169">
        <f>Imput[[#This Row],[Cantidad]]*Imput[[#This Row],[Precio Unitario]]</f>
        <v>0</v>
      </c>
      <c r="J1970" s="11">
        <f>((Imput[[#This Row],[Sub total]])*(0.16))</f>
        <v>0</v>
      </c>
      <c r="K1970" s="11">
        <v>0</v>
      </c>
      <c r="L1970" s="169">
        <f>Imput[[#This Row],[Sub total]]+Imput[[#This Row],[IVA]]-Imput[[#This Row],[Retención / IEPS / Descuento]]</f>
        <v>0</v>
      </c>
      <c r="M1970" s="844">
        <v>0</v>
      </c>
      <c r="N1970" s="189"/>
      <c r="O1970" s="1"/>
      <c r="P1970" s="189"/>
      <c r="Q1970" s="190"/>
      <c r="R1970" s="188"/>
      <c r="S1970" s="193"/>
      <c r="T1970" s="192"/>
      <c r="U1970" s="829"/>
      <c r="V1970" s="10"/>
      <c r="W1970" s="10"/>
      <c r="X1970" s="10"/>
      <c r="Y1970" s="10"/>
      <c r="Z1970" s="10"/>
      <c r="AA1970" s="11"/>
      <c r="AB1970" s="11"/>
    </row>
    <row r="1971" spans="2:28" x14ac:dyDescent="0.3">
      <c r="B1971" s="10"/>
      <c r="C1971" s="315"/>
      <c r="D1971" s="868"/>
      <c r="E1971" s="837" t="str">
        <f>IFERROR(IF(_xlfn.XLOOKUP(Imput[[#This Row],[RFC]],'Alta Proveedor'!D:D,'Alta Proveedor'!E:E)=0,"",_xlfn.XLOOKUP(Imput[[#This Row],[RFC]],'Alta Proveedor'!D:D,'Alta Proveedor'!E:E)),"")</f>
        <v/>
      </c>
      <c r="F1971" s="832"/>
      <c r="G1971" s="187"/>
      <c r="H1971" s="1"/>
      <c r="I1971" s="169">
        <f>Imput[[#This Row],[Cantidad]]*Imput[[#This Row],[Precio Unitario]]</f>
        <v>0</v>
      </c>
      <c r="J1971" s="11">
        <f>((Imput[[#This Row],[Sub total]])*(0.16))</f>
        <v>0</v>
      </c>
      <c r="K1971" s="11">
        <v>0</v>
      </c>
      <c r="L1971" s="169">
        <f>Imput[[#This Row],[Sub total]]+Imput[[#This Row],[IVA]]-Imput[[#This Row],[Retención / IEPS / Descuento]]</f>
        <v>0</v>
      </c>
      <c r="M1971" s="844">
        <v>0</v>
      </c>
      <c r="N1971" s="189"/>
      <c r="O1971" s="1"/>
      <c r="P1971" s="189"/>
      <c r="Q1971" s="190"/>
      <c r="R1971" s="188"/>
      <c r="S1971" s="193"/>
      <c r="T1971" s="192"/>
      <c r="U1971" s="829"/>
      <c r="V1971" s="10"/>
      <c r="W1971" s="10"/>
      <c r="X1971" s="10"/>
      <c r="Y1971" s="10"/>
      <c r="Z1971" s="10"/>
      <c r="AA1971" s="11"/>
      <c r="AB1971" s="11"/>
    </row>
    <row r="1972" spans="2:28" x14ac:dyDescent="0.3">
      <c r="B1972" s="10"/>
      <c r="C1972" s="315"/>
      <c r="D1972" s="868"/>
      <c r="E1972" s="837" t="str">
        <f>IFERROR(IF(_xlfn.XLOOKUP(Imput[[#This Row],[RFC]],'Alta Proveedor'!D:D,'Alta Proveedor'!E:E)=0,"",_xlfn.XLOOKUP(Imput[[#This Row],[RFC]],'Alta Proveedor'!D:D,'Alta Proveedor'!E:E)),"")</f>
        <v/>
      </c>
      <c r="F1972" s="832"/>
      <c r="G1972" s="187"/>
      <c r="H1972" s="1"/>
      <c r="I1972" s="169">
        <f>Imput[[#This Row],[Cantidad]]*Imput[[#This Row],[Precio Unitario]]</f>
        <v>0</v>
      </c>
      <c r="J1972" s="11">
        <f>((Imput[[#This Row],[Sub total]])*(0.16))</f>
        <v>0</v>
      </c>
      <c r="K1972" s="11">
        <v>0</v>
      </c>
      <c r="L1972" s="169">
        <f>Imput[[#This Row],[Sub total]]+Imput[[#This Row],[IVA]]-Imput[[#This Row],[Retención / IEPS / Descuento]]</f>
        <v>0</v>
      </c>
      <c r="M1972" s="844">
        <v>0</v>
      </c>
      <c r="N1972" s="189"/>
      <c r="O1972" s="1"/>
      <c r="P1972" s="189"/>
      <c r="Q1972" s="190"/>
      <c r="R1972" s="188"/>
      <c r="S1972" s="193"/>
      <c r="T1972" s="192"/>
      <c r="U1972" s="829"/>
      <c r="V1972" s="10"/>
      <c r="W1972" s="10"/>
      <c r="X1972" s="10"/>
      <c r="Y1972" s="10"/>
      <c r="Z1972" s="10"/>
      <c r="AA1972" s="11"/>
      <c r="AB1972" s="11"/>
    </row>
    <row r="1973" spans="2:28" x14ac:dyDescent="0.3">
      <c r="B1973" s="10"/>
      <c r="C1973" s="315"/>
      <c r="D1973" s="868"/>
      <c r="E1973" s="837" t="str">
        <f>IFERROR(IF(_xlfn.XLOOKUP(Imput[[#This Row],[RFC]],'Alta Proveedor'!D:D,'Alta Proveedor'!E:E)=0,"",_xlfn.XLOOKUP(Imput[[#This Row],[RFC]],'Alta Proveedor'!D:D,'Alta Proveedor'!E:E)),"")</f>
        <v/>
      </c>
      <c r="F1973" s="832"/>
      <c r="G1973" s="187"/>
      <c r="H1973" s="1"/>
      <c r="I1973" s="169">
        <f>Imput[[#This Row],[Cantidad]]*Imput[[#This Row],[Precio Unitario]]</f>
        <v>0</v>
      </c>
      <c r="J1973" s="11">
        <f>((Imput[[#This Row],[Sub total]])*(0.16))</f>
        <v>0</v>
      </c>
      <c r="K1973" s="11">
        <v>0</v>
      </c>
      <c r="L1973" s="169">
        <f>Imput[[#This Row],[Sub total]]+Imput[[#This Row],[IVA]]-Imput[[#This Row],[Retención / IEPS / Descuento]]</f>
        <v>0</v>
      </c>
      <c r="M1973" s="844">
        <v>0</v>
      </c>
      <c r="N1973" s="189"/>
      <c r="O1973" s="1"/>
      <c r="P1973" s="189"/>
      <c r="Q1973" s="190"/>
      <c r="R1973" s="188"/>
      <c r="S1973" s="193"/>
      <c r="T1973" s="192"/>
      <c r="U1973" s="829"/>
      <c r="V1973" s="10"/>
      <c r="W1973" s="10"/>
      <c r="X1973" s="10"/>
      <c r="Y1973" s="10"/>
      <c r="Z1973" s="10"/>
      <c r="AA1973" s="11"/>
      <c r="AB1973" s="11"/>
    </row>
    <row r="1974" spans="2:28" x14ac:dyDescent="0.3">
      <c r="B1974" s="10"/>
      <c r="C1974" s="315"/>
      <c r="D1974" s="868"/>
      <c r="E1974" s="837" t="str">
        <f>IFERROR(IF(_xlfn.XLOOKUP(Imput[[#This Row],[RFC]],'Alta Proveedor'!D:D,'Alta Proveedor'!E:E)=0,"",_xlfn.XLOOKUP(Imput[[#This Row],[RFC]],'Alta Proveedor'!D:D,'Alta Proveedor'!E:E)),"")</f>
        <v/>
      </c>
      <c r="F1974" s="832"/>
      <c r="G1974" s="187"/>
      <c r="H1974" s="1"/>
      <c r="I1974" s="169">
        <f>Imput[[#This Row],[Cantidad]]*Imput[[#This Row],[Precio Unitario]]</f>
        <v>0</v>
      </c>
      <c r="J1974" s="11">
        <f>((Imput[[#This Row],[Sub total]])*(0.16))</f>
        <v>0</v>
      </c>
      <c r="K1974" s="11">
        <v>0</v>
      </c>
      <c r="L1974" s="169">
        <f>Imput[[#This Row],[Sub total]]+Imput[[#This Row],[IVA]]-Imput[[#This Row],[Retención / IEPS / Descuento]]</f>
        <v>0</v>
      </c>
      <c r="M1974" s="844">
        <v>0</v>
      </c>
      <c r="N1974" s="189"/>
      <c r="O1974" s="1"/>
      <c r="P1974" s="189"/>
      <c r="Q1974" s="190"/>
      <c r="R1974" s="188"/>
      <c r="S1974" s="193"/>
      <c r="T1974" s="192"/>
      <c r="U1974" s="829"/>
      <c r="V1974" s="10"/>
      <c r="W1974" s="10"/>
      <c r="X1974" s="10"/>
      <c r="Y1974" s="10"/>
      <c r="Z1974" s="10"/>
      <c r="AA1974" s="11"/>
      <c r="AB1974" s="11"/>
    </row>
    <row r="1975" spans="2:28" x14ac:dyDescent="0.3">
      <c r="B1975" s="10"/>
      <c r="C1975" s="315"/>
      <c r="D1975" s="868"/>
      <c r="E1975" s="837" t="str">
        <f>IFERROR(IF(_xlfn.XLOOKUP(Imput[[#This Row],[RFC]],'Alta Proveedor'!D:D,'Alta Proveedor'!E:E)=0,"",_xlfn.XLOOKUP(Imput[[#This Row],[RFC]],'Alta Proveedor'!D:D,'Alta Proveedor'!E:E)),"")</f>
        <v/>
      </c>
      <c r="F1975" s="832"/>
      <c r="G1975" s="187"/>
      <c r="H1975" s="1"/>
      <c r="I1975" s="169">
        <f>Imput[[#This Row],[Cantidad]]*Imput[[#This Row],[Precio Unitario]]</f>
        <v>0</v>
      </c>
      <c r="J1975" s="11">
        <f>((Imput[[#This Row],[Sub total]])*(0.16))</f>
        <v>0</v>
      </c>
      <c r="K1975" s="11">
        <v>0</v>
      </c>
      <c r="L1975" s="169">
        <f>Imput[[#This Row],[Sub total]]+Imput[[#This Row],[IVA]]-Imput[[#This Row],[Retención / IEPS / Descuento]]</f>
        <v>0</v>
      </c>
      <c r="M1975" s="844">
        <v>0</v>
      </c>
      <c r="N1975" s="189"/>
      <c r="O1975" s="1"/>
      <c r="P1975" s="189"/>
      <c r="Q1975" s="190"/>
      <c r="R1975" s="188"/>
      <c r="S1975" s="193"/>
      <c r="T1975" s="192"/>
      <c r="U1975" s="829"/>
      <c r="V1975" s="10"/>
      <c r="W1975" s="10"/>
      <c r="X1975" s="10"/>
      <c r="Y1975" s="10"/>
      <c r="Z1975" s="10"/>
      <c r="AA1975" s="11"/>
      <c r="AB1975" s="11"/>
    </row>
    <row r="1976" spans="2:28" x14ac:dyDescent="0.3">
      <c r="B1976" s="10"/>
      <c r="C1976" s="315"/>
      <c r="D1976" s="868"/>
      <c r="E1976" s="837" t="str">
        <f>IFERROR(IF(_xlfn.XLOOKUP(Imput[[#This Row],[RFC]],'Alta Proveedor'!D:D,'Alta Proveedor'!E:E)=0,"",_xlfn.XLOOKUP(Imput[[#This Row],[RFC]],'Alta Proveedor'!D:D,'Alta Proveedor'!E:E)),"")</f>
        <v/>
      </c>
      <c r="F1976" s="832"/>
      <c r="G1976" s="187"/>
      <c r="H1976" s="1"/>
      <c r="I1976" s="169">
        <f>Imput[[#This Row],[Cantidad]]*Imput[[#This Row],[Precio Unitario]]</f>
        <v>0</v>
      </c>
      <c r="J1976" s="11">
        <f>((Imput[[#This Row],[Sub total]])*(0.16))</f>
        <v>0</v>
      </c>
      <c r="K1976" s="11">
        <v>0</v>
      </c>
      <c r="L1976" s="169">
        <f>Imput[[#This Row],[Sub total]]+Imput[[#This Row],[IVA]]-Imput[[#This Row],[Retención / IEPS / Descuento]]</f>
        <v>0</v>
      </c>
      <c r="M1976" s="844">
        <v>0</v>
      </c>
      <c r="N1976" s="189"/>
      <c r="O1976" s="1"/>
      <c r="P1976" s="189"/>
      <c r="Q1976" s="190"/>
      <c r="R1976" s="188"/>
      <c r="S1976" s="193"/>
      <c r="T1976" s="192"/>
      <c r="U1976" s="829"/>
      <c r="V1976" s="10"/>
      <c r="W1976" s="10"/>
      <c r="X1976" s="10"/>
      <c r="Y1976" s="10"/>
      <c r="Z1976" s="10"/>
      <c r="AA1976" s="11"/>
      <c r="AB1976" s="11"/>
    </row>
    <row r="1977" spans="2:28" x14ac:dyDescent="0.3">
      <c r="B1977" s="10"/>
      <c r="C1977" s="315"/>
      <c r="D1977" s="868"/>
      <c r="E1977" s="837" t="str">
        <f>IFERROR(IF(_xlfn.XLOOKUP(Imput[[#This Row],[RFC]],'Alta Proveedor'!D:D,'Alta Proveedor'!E:E)=0,"",_xlfn.XLOOKUP(Imput[[#This Row],[RFC]],'Alta Proveedor'!D:D,'Alta Proveedor'!E:E)),"")</f>
        <v/>
      </c>
      <c r="F1977" s="832"/>
      <c r="G1977" s="187"/>
      <c r="H1977" s="1"/>
      <c r="I1977" s="169">
        <f>Imput[[#This Row],[Cantidad]]*Imput[[#This Row],[Precio Unitario]]</f>
        <v>0</v>
      </c>
      <c r="J1977" s="11">
        <f>((Imput[[#This Row],[Sub total]])*(0.16))</f>
        <v>0</v>
      </c>
      <c r="K1977" s="11">
        <v>0</v>
      </c>
      <c r="L1977" s="169">
        <f>Imput[[#This Row],[Sub total]]+Imput[[#This Row],[IVA]]-Imput[[#This Row],[Retención / IEPS / Descuento]]</f>
        <v>0</v>
      </c>
      <c r="M1977" s="844">
        <v>0</v>
      </c>
      <c r="N1977" s="189"/>
      <c r="O1977" s="1"/>
      <c r="P1977" s="189"/>
      <c r="Q1977" s="190"/>
      <c r="R1977" s="188"/>
      <c r="S1977" s="193"/>
      <c r="T1977" s="192"/>
      <c r="U1977" s="829"/>
      <c r="V1977" s="10"/>
      <c r="W1977" s="10"/>
      <c r="X1977" s="10"/>
      <c r="Y1977" s="10"/>
      <c r="Z1977" s="10"/>
      <c r="AA1977" s="11"/>
      <c r="AB1977" s="11"/>
    </row>
    <row r="1978" spans="2:28" x14ac:dyDescent="0.3">
      <c r="B1978" s="10"/>
      <c r="C1978" s="315"/>
      <c r="D1978" s="868"/>
      <c r="E1978" s="837" t="str">
        <f>IFERROR(IF(_xlfn.XLOOKUP(Imput[[#This Row],[RFC]],'Alta Proveedor'!D:D,'Alta Proveedor'!E:E)=0,"",_xlfn.XLOOKUP(Imput[[#This Row],[RFC]],'Alta Proveedor'!D:D,'Alta Proveedor'!E:E)),"")</f>
        <v/>
      </c>
      <c r="F1978" s="832"/>
      <c r="G1978" s="187"/>
      <c r="H1978" s="1"/>
      <c r="I1978" s="169">
        <f>Imput[[#This Row],[Cantidad]]*Imput[[#This Row],[Precio Unitario]]</f>
        <v>0</v>
      </c>
      <c r="J1978" s="11">
        <f>((Imput[[#This Row],[Sub total]])*(0.16))</f>
        <v>0</v>
      </c>
      <c r="K1978" s="11">
        <v>0</v>
      </c>
      <c r="L1978" s="169">
        <f>Imput[[#This Row],[Sub total]]+Imput[[#This Row],[IVA]]-Imput[[#This Row],[Retención / IEPS / Descuento]]</f>
        <v>0</v>
      </c>
      <c r="M1978" s="844">
        <v>0</v>
      </c>
      <c r="N1978" s="189"/>
      <c r="O1978" s="1"/>
      <c r="P1978" s="189"/>
      <c r="Q1978" s="190"/>
      <c r="R1978" s="188"/>
      <c r="S1978" s="193"/>
      <c r="T1978" s="192"/>
      <c r="U1978" s="829"/>
      <c r="V1978" s="10"/>
      <c r="W1978" s="10"/>
      <c r="X1978" s="10"/>
      <c r="Y1978" s="10"/>
      <c r="Z1978" s="10"/>
      <c r="AA1978" s="11"/>
      <c r="AB1978" s="11"/>
    </row>
    <row r="1979" spans="2:28" x14ac:dyDescent="0.3">
      <c r="B1979" s="10"/>
      <c r="C1979" s="315"/>
      <c r="D1979" s="868"/>
      <c r="E1979" s="837" t="str">
        <f>IFERROR(IF(_xlfn.XLOOKUP(Imput[[#This Row],[RFC]],'Alta Proveedor'!D:D,'Alta Proveedor'!E:E)=0,"",_xlfn.XLOOKUP(Imput[[#This Row],[RFC]],'Alta Proveedor'!D:D,'Alta Proveedor'!E:E)),"")</f>
        <v/>
      </c>
      <c r="F1979" s="832"/>
      <c r="G1979" s="187"/>
      <c r="H1979" s="1"/>
      <c r="I1979" s="169">
        <f>Imput[[#This Row],[Cantidad]]*Imput[[#This Row],[Precio Unitario]]</f>
        <v>0</v>
      </c>
      <c r="J1979" s="11">
        <f>((Imput[[#This Row],[Sub total]])*(0.16))</f>
        <v>0</v>
      </c>
      <c r="K1979" s="11">
        <v>0</v>
      </c>
      <c r="L1979" s="169">
        <f>Imput[[#This Row],[Sub total]]+Imput[[#This Row],[IVA]]-Imput[[#This Row],[Retención / IEPS / Descuento]]</f>
        <v>0</v>
      </c>
      <c r="M1979" s="844">
        <v>0</v>
      </c>
      <c r="N1979" s="189"/>
      <c r="O1979" s="1"/>
      <c r="P1979" s="189"/>
      <c r="Q1979" s="190"/>
      <c r="R1979" s="188"/>
      <c r="S1979" s="193"/>
      <c r="T1979" s="192"/>
      <c r="U1979" s="829"/>
      <c r="V1979" s="10"/>
      <c r="W1979" s="10"/>
      <c r="X1979" s="10"/>
      <c r="Y1979" s="10"/>
      <c r="Z1979" s="10"/>
      <c r="AA1979" s="11"/>
      <c r="AB1979" s="11"/>
    </row>
    <row r="1980" spans="2:28" x14ac:dyDescent="0.3">
      <c r="B1980" s="10"/>
      <c r="C1980" s="315"/>
      <c r="D1980" s="868"/>
      <c r="E1980" s="837" t="str">
        <f>IFERROR(IF(_xlfn.XLOOKUP(Imput[[#This Row],[RFC]],'Alta Proveedor'!D:D,'Alta Proveedor'!E:E)=0,"",_xlfn.XLOOKUP(Imput[[#This Row],[RFC]],'Alta Proveedor'!D:D,'Alta Proveedor'!E:E)),"")</f>
        <v/>
      </c>
      <c r="F1980" s="832"/>
      <c r="G1980" s="187"/>
      <c r="H1980" s="1"/>
      <c r="I1980" s="169">
        <f>Imput[[#This Row],[Cantidad]]*Imput[[#This Row],[Precio Unitario]]</f>
        <v>0</v>
      </c>
      <c r="J1980" s="11">
        <f>((Imput[[#This Row],[Sub total]])*(0.16))</f>
        <v>0</v>
      </c>
      <c r="K1980" s="11">
        <v>0</v>
      </c>
      <c r="L1980" s="169">
        <f>Imput[[#This Row],[Sub total]]+Imput[[#This Row],[IVA]]-Imput[[#This Row],[Retención / IEPS / Descuento]]</f>
        <v>0</v>
      </c>
      <c r="M1980" s="844">
        <v>0</v>
      </c>
      <c r="N1980" s="189"/>
      <c r="O1980" s="1"/>
      <c r="P1980" s="189"/>
      <c r="Q1980" s="190"/>
      <c r="R1980" s="188"/>
      <c r="S1980" s="193"/>
      <c r="T1980" s="192"/>
      <c r="U1980" s="829"/>
      <c r="V1980" s="10"/>
      <c r="W1980" s="10"/>
      <c r="X1980" s="10"/>
      <c r="Y1980" s="10"/>
      <c r="Z1980" s="10"/>
      <c r="AA1980" s="11"/>
      <c r="AB1980" s="11"/>
    </row>
    <row r="1981" spans="2:28" x14ac:dyDescent="0.3">
      <c r="B1981" s="10"/>
      <c r="C1981" s="315"/>
      <c r="D1981" s="868"/>
      <c r="E1981" s="837" t="str">
        <f>IFERROR(IF(_xlfn.XLOOKUP(Imput[[#This Row],[RFC]],'Alta Proveedor'!D:D,'Alta Proveedor'!E:E)=0,"",_xlfn.XLOOKUP(Imput[[#This Row],[RFC]],'Alta Proveedor'!D:D,'Alta Proveedor'!E:E)),"")</f>
        <v/>
      </c>
      <c r="F1981" s="832"/>
      <c r="G1981" s="187"/>
      <c r="H1981" s="1"/>
      <c r="I1981" s="169">
        <f>Imput[[#This Row],[Cantidad]]*Imput[[#This Row],[Precio Unitario]]</f>
        <v>0</v>
      </c>
      <c r="J1981" s="11">
        <f>((Imput[[#This Row],[Sub total]])*(0.16))</f>
        <v>0</v>
      </c>
      <c r="K1981" s="11">
        <v>0</v>
      </c>
      <c r="L1981" s="169">
        <f>Imput[[#This Row],[Sub total]]+Imput[[#This Row],[IVA]]-Imput[[#This Row],[Retención / IEPS / Descuento]]</f>
        <v>0</v>
      </c>
      <c r="M1981" s="844">
        <v>0</v>
      </c>
      <c r="N1981" s="189"/>
      <c r="O1981" s="1"/>
      <c r="P1981" s="189"/>
      <c r="Q1981" s="190"/>
      <c r="R1981" s="188"/>
      <c r="S1981" s="193"/>
      <c r="T1981" s="192"/>
      <c r="U1981" s="829"/>
      <c r="V1981" s="10"/>
      <c r="W1981" s="10"/>
      <c r="X1981" s="10"/>
      <c r="Y1981" s="10"/>
      <c r="Z1981" s="10"/>
      <c r="AA1981" s="11"/>
      <c r="AB1981" s="11"/>
    </row>
    <row r="1982" spans="2:28" x14ac:dyDescent="0.3">
      <c r="B1982" s="10"/>
      <c r="C1982" s="315"/>
      <c r="D1982" s="868"/>
      <c r="E1982" s="837" t="str">
        <f>IFERROR(IF(_xlfn.XLOOKUP(Imput[[#This Row],[RFC]],'Alta Proveedor'!D:D,'Alta Proveedor'!E:E)=0,"",_xlfn.XLOOKUP(Imput[[#This Row],[RFC]],'Alta Proveedor'!D:D,'Alta Proveedor'!E:E)),"")</f>
        <v/>
      </c>
      <c r="F1982" s="832"/>
      <c r="G1982" s="187"/>
      <c r="H1982" s="1"/>
      <c r="I1982" s="169">
        <f>Imput[[#This Row],[Cantidad]]*Imput[[#This Row],[Precio Unitario]]</f>
        <v>0</v>
      </c>
      <c r="J1982" s="11">
        <f>((Imput[[#This Row],[Sub total]])*(0.16))</f>
        <v>0</v>
      </c>
      <c r="K1982" s="11">
        <v>0</v>
      </c>
      <c r="L1982" s="169">
        <f>Imput[[#This Row],[Sub total]]+Imput[[#This Row],[IVA]]-Imput[[#This Row],[Retención / IEPS / Descuento]]</f>
        <v>0</v>
      </c>
      <c r="M1982" s="844">
        <v>0</v>
      </c>
      <c r="N1982" s="189"/>
      <c r="O1982" s="1"/>
      <c r="P1982" s="189"/>
      <c r="Q1982" s="190"/>
      <c r="R1982" s="188"/>
      <c r="S1982" s="193"/>
      <c r="T1982" s="192"/>
      <c r="U1982" s="829"/>
      <c r="V1982" s="10"/>
      <c r="W1982" s="10"/>
      <c r="X1982" s="10"/>
      <c r="Y1982" s="10"/>
      <c r="Z1982" s="10"/>
      <c r="AA1982" s="11"/>
      <c r="AB1982" s="11"/>
    </row>
    <row r="1983" spans="2:28" x14ac:dyDescent="0.3">
      <c r="B1983" s="10"/>
      <c r="C1983" s="315"/>
      <c r="D1983" s="868"/>
      <c r="E1983" s="837" t="str">
        <f>IFERROR(IF(_xlfn.XLOOKUP(Imput[[#This Row],[RFC]],'Alta Proveedor'!D:D,'Alta Proveedor'!E:E)=0,"",_xlfn.XLOOKUP(Imput[[#This Row],[RFC]],'Alta Proveedor'!D:D,'Alta Proveedor'!E:E)),"")</f>
        <v/>
      </c>
      <c r="F1983" s="832"/>
      <c r="G1983" s="187"/>
      <c r="H1983" s="1"/>
      <c r="I1983" s="169">
        <f>Imput[[#This Row],[Cantidad]]*Imput[[#This Row],[Precio Unitario]]</f>
        <v>0</v>
      </c>
      <c r="J1983" s="11">
        <f>((Imput[[#This Row],[Sub total]])*(0.16))</f>
        <v>0</v>
      </c>
      <c r="K1983" s="11">
        <v>0</v>
      </c>
      <c r="L1983" s="169">
        <f>Imput[[#This Row],[Sub total]]+Imput[[#This Row],[IVA]]-Imput[[#This Row],[Retención / IEPS / Descuento]]</f>
        <v>0</v>
      </c>
      <c r="M1983" s="844">
        <v>0</v>
      </c>
      <c r="N1983" s="189"/>
      <c r="O1983" s="1"/>
      <c r="P1983" s="189"/>
      <c r="Q1983" s="190"/>
      <c r="R1983" s="188"/>
      <c r="S1983" s="193"/>
      <c r="T1983" s="192"/>
      <c r="U1983" s="829"/>
      <c r="V1983" s="10"/>
      <c r="W1983" s="10"/>
      <c r="X1983" s="10"/>
      <c r="Y1983" s="10"/>
      <c r="Z1983" s="10"/>
      <c r="AA1983" s="11"/>
      <c r="AB1983" s="11"/>
    </row>
    <row r="1984" spans="2:28" x14ac:dyDescent="0.3">
      <c r="B1984" s="10"/>
      <c r="C1984" s="315"/>
      <c r="D1984" s="868"/>
      <c r="E1984" s="837" t="str">
        <f>IFERROR(IF(_xlfn.XLOOKUP(Imput[[#This Row],[RFC]],'Alta Proveedor'!D:D,'Alta Proveedor'!E:E)=0,"",_xlfn.XLOOKUP(Imput[[#This Row],[RFC]],'Alta Proveedor'!D:D,'Alta Proveedor'!E:E)),"")</f>
        <v/>
      </c>
      <c r="F1984" s="832"/>
      <c r="G1984" s="187"/>
      <c r="H1984" s="1"/>
      <c r="I1984" s="169">
        <f>Imput[[#This Row],[Cantidad]]*Imput[[#This Row],[Precio Unitario]]</f>
        <v>0</v>
      </c>
      <c r="J1984" s="11">
        <f>((Imput[[#This Row],[Sub total]])*(0.16))</f>
        <v>0</v>
      </c>
      <c r="K1984" s="11">
        <v>0</v>
      </c>
      <c r="L1984" s="169">
        <f>Imput[[#This Row],[Sub total]]+Imput[[#This Row],[IVA]]-Imput[[#This Row],[Retención / IEPS / Descuento]]</f>
        <v>0</v>
      </c>
      <c r="M1984" s="844">
        <v>0</v>
      </c>
      <c r="N1984" s="189"/>
      <c r="O1984" s="1"/>
      <c r="P1984" s="189"/>
      <c r="Q1984" s="190"/>
      <c r="R1984" s="188"/>
      <c r="S1984" s="193"/>
      <c r="T1984" s="192"/>
      <c r="U1984" s="829"/>
      <c r="V1984" s="10"/>
      <c r="W1984" s="10"/>
      <c r="X1984" s="10"/>
      <c r="Y1984" s="10"/>
      <c r="Z1984" s="10"/>
      <c r="AA1984" s="11"/>
      <c r="AB1984" s="11"/>
    </row>
    <row r="1985" spans="2:28" x14ac:dyDescent="0.3">
      <c r="B1985" s="10"/>
      <c r="C1985" s="315"/>
      <c r="D1985" s="868"/>
      <c r="E1985" s="837" t="str">
        <f>IFERROR(IF(_xlfn.XLOOKUP(Imput[[#This Row],[RFC]],'Alta Proveedor'!D:D,'Alta Proveedor'!E:E)=0,"",_xlfn.XLOOKUP(Imput[[#This Row],[RFC]],'Alta Proveedor'!D:D,'Alta Proveedor'!E:E)),"")</f>
        <v/>
      </c>
      <c r="F1985" s="832"/>
      <c r="G1985" s="187"/>
      <c r="H1985" s="1"/>
      <c r="I1985" s="169">
        <f>Imput[[#This Row],[Cantidad]]*Imput[[#This Row],[Precio Unitario]]</f>
        <v>0</v>
      </c>
      <c r="J1985" s="11">
        <f>((Imput[[#This Row],[Sub total]])*(0.16))</f>
        <v>0</v>
      </c>
      <c r="K1985" s="11">
        <v>0</v>
      </c>
      <c r="L1985" s="169">
        <f>Imput[[#This Row],[Sub total]]+Imput[[#This Row],[IVA]]-Imput[[#This Row],[Retención / IEPS / Descuento]]</f>
        <v>0</v>
      </c>
      <c r="M1985" s="844">
        <v>0</v>
      </c>
      <c r="N1985" s="189"/>
      <c r="O1985" s="1"/>
      <c r="P1985" s="189"/>
      <c r="Q1985" s="190"/>
      <c r="R1985" s="188"/>
      <c r="S1985" s="193"/>
      <c r="T1985" s="192"/>
      <c r="U1985" s="829"/>
      <c r="V1985" s="10"/>
      <c r="W1985" s="10"/>
      <c r="X1985" s="10"/>
      <c r="Y1985" s="10"/>
      <c r="Z1985" s="10"/>
      <c r="AA1985" s="11"/>
      <c r="AB1985" s="11"/>
    </row>
    <row r="1986" spans="2:28" x14ac:dyDescent="0.3">
      <c r="B1986" s="10"/>
      <c r="C1986" s="315"/>
      <c r="D1986" s="868"/>
      <c r="E1986" s="837" t="str">
        <f>IFERROR(IF(_xlfn.XLOOKUP(Imput[[#This Row],[RFC]],'Alta Proveedor'!D:D,'Alta Proveedor'!E:E)=0,"",_xlfn.XLOOKUP(Imput[[#This Row],[RFC]],'Alta Proveedor'!D:D,'Alta Proveedor'!E:E)),"")</f>
        <v/>
      </c>
      <c r="F1986" s="832"/>
      <c r="G1986" s="187"/>
      <c r="H1986" s="1"/>
      <c r="I1986" s="169">
        <f>Imput[[#This Row],[Cantidad]]*Imput[[#This Row],[Precio Unitario]]</f>
        <v>0</v>
      </c>
      <c r="J1986" s="11">
        <f>((Imput[[#This Row],[Sub total]])*(0.16))</f>
        <v>0</v>
      </c>
      <c r="K1986" s="11">
        <v>0</v>
      </c>
      <c r="L1986" s="169">
        <f>Imput[[#This Row],[Sub total]]+Imput[[#This Row],[IVA]]-Imput[[#This Row],[Retención / IEPS / Descuento]]</f>
        <v>0</v>
      </c>
      <c r="M1986" s="844">
        <v>0</v>
      </c>
      <c r="N1986" s="189"/>
      <c r="O1986" s="1"/>
      <c r="P1986" s="189"/>
      <c r="Q1986" s="190"/>
      <c r="R1986" s="188"/>
      <c r="S1986" s="193"/>
      <c r="T1986" s="192"/>
      <c r="U1986" s="829"/>
      <c r="V1986" s="10"/>
      <c r="W1986" s="10"/>
      <c r="X1986" s="10"/>
      <c r="Y1986" s="10"/>
      <c r="Z1986" s="10"/>
      <c r="AA1986" s="11"/>
      <c r="AB1986" s="11"/>
    </row>
    <row r="1987" spans="2:28" x14ac:dyDescent="0.3">
      <c r="B1987" s="10"/>
      <c r="C1987" s="315"/>
      <c r="D1987" s="868"/>
      <c r="E1987" s="837" t="str">
        <f>IFERROR(IF(_xlfn.XLOOKUP(Imput[[#This Row],[RFC]],'Alta Proveedor'!D:D,'Alta Proveedor'!E:E)=0,"",_xlfn.XLOOKUP(Imput[[#This Row],[RFC]],'Alta Proveedor'!D:D,'Alta Proveedor'!E:E)),"")</f>
        <v/>
      </c>
      <c r="F1987" s="832"/>
      <c r="G1987" s="187"/>
      <c r="H1987" s="1"/>
      <c r="I1987" s="169">
        <f>Imput[[#This Row],[Cantidad]]*Imput[[#This Row],[Precio Unitario]]</f>
        <v>0</v>
      </c>
      <c r="J1987" s="11">
        <f>((Imput[[#This Row],[Sub total]])*(0.16))</f>
        <v>0</v>
      </c>
      <c r="K1987" s="11">
        <v>0</v>
      </c>
      <c r="L1987" s="169">
        <f>Imput[[#This Row],[Sub total]]+Imput[[#This Row],[IVA]]-Imput[[#This Row],[Retención / IEPS / Descuento]]</f>
        <v>0</v>
      </c>
      <c r="M1987" s="844">
        <v>0</v>
      </c>
      <c r="N1987" s="189"/>
      <c r="O1987" s="1"/>
      <c r="P1987" s="189"/>
      <c r="Q1987" s="190"/>
      <c r="R1987" s="188"/>
      <c r="S1987" s="193"/>
      <c r="T1987" s="192"/>
      <c r="U1987" s="829"/>
      <c r="V1987" s="10"/>
      <c r="W1987" s="10"/>
      <c r="X1987" s="10"/>
      <c r="Y1987" s="10"/>
      <c r="Z1987" s="10"/>
      <c r="AA1987" s="11"/>
      <c r="AB1987" s="11"/>
    </row>
    <row r="1988" spans="2:28" x14ac:dyDescent="0.3">
      <c r="B1988" s="10"/>
      <c r="C1988" s="315"/>
      <c r="D1988" s="868"/>
      <c r="E1988" s="837" t="str">
        <f>IFERROR(IF(_xlfn.XLOOKUP(Imput[[#This Row],[RFC]],'Alta Proveedor'!D:D,'Alta Proveedor'!E:E)=0,"",_xlfn.XLOOKUP(Imput[[#This Row],[RFC]],'Alta Proveedor'!D:D,'Alta Proveedor'!E:E)),"")</f>
        <v/>
      </c>
      <c r="F1988" s="832"/>
      <c r="G1988" s="187"/>
      <c r="H1988" s="1"/>
      <c r="I1988" s="169">
        <f>Imput[[#This Row],[Cantidad]]*Imput[[#This Row],[Precio Unitario]]</f>
        <v>0</v>
      </c>
      <c r="J1988" s="11">
        <f>((Imput[[#This Row],[Sub total]])*(0.16))</f>
        <v>0</v>
      </c>
      <c r="K1988" s="11">
        <v>0</v>
      </c>
      <c r="L1988" s="169">
        <f>Imput[[#This Row],[Sub total]]+Imput[[#This Row],[IVA]]-Imput[[#This Row],[Retención / IEPS / Descuento]]</f>
        <v>0</v>
      </c>
      <c r="M1988" s="844">
        <v>0</v>
      </c>
      <c r="N1988" s="189"/>
      <c r="O1988" s="1"/>
      <c r="P1988" s="189"/>
      <c r="Q1988" s="190"/>
      <c r="R1988" s="188"/>
      <c r="S1988" s="193"/>
      <c r="T1988" s="192"/>
      <c r="U1988" s="829"/>
      <c r="V1988" s="10"/>
      <c r="W1988" s="10"/>
      <c r="X1988" s="10"/>
      <c r="Y1988" s="10"/>
      <c r="Z1988" s="10"/>
      <c r="AA1988" s="11"/>
      <c r="AB1988" s="11"/>
    </row>
    <row r="1989" spans="2:28" x14ac:dyDescent="0.3">
      <c r="B1989" s="10"/>
      <c r="C1989" s="315"/>
      <c r="D1989" s="868"/>
      <c r="E1989" s="837" t="str">
        <f>IFERROR(IF(_xlfn.XLOOKUP(Imput[[#This Row],[RFC]],'Alta Proveedor'!D:D,'Alta Proveedor'!E:E)=0,"",_xlfn.XLOOKUP(Imput[[#This Row],[RFC]],'Alta Proveedor'!D:D,'Alta Proveedor'!E:E)),"")</f>
        <v/>
      </c>
      <c r="F1989" s="832"/>
      <c r="G1989" s="187"/>
      <c r="H1989" s="1"/>
      <c r="I1989" s="169">
        <f>Imput[[#This Row],[Cantidad]]*Imput[[#This Row],[Precio Unitario]]</f>
        <v>0</v>
      </c>
      <c r="J1989" s="11">
        <f>((Imput[[#This Row],[Sub total]])*(0.16))</f>
        <v>0</v>
      </c>
      <c r="K1989" s="11">
        <v>0</v>
      </c>
      <c r="L1989" s="169">
        <f>Imput[[#This Row],[Sub total]]+Imput[[#This Row],[IVA]]-Imput[[#This Row],[Retención / IEPS / Descuento]]</f>
        <v>0</v>
      </c>
      <c r="M1989" s="844">
        <v>0</v>
      </c>
      <c r="N1989" s="189"/>
      <c r="O1989" s="1"/>
      <c r="P1989" s="189"/>
      <c r="Q1989" s="190"/>
      <c r="R1989" s="188"/>
      <c r="S1989" s="193"/>
      <c r="T1989" s="192"/>
      <c r="U1989" s="829"/>
      <c r="V1989" s="10"/>
      <c r="W1989" s="10"/>
      <c r="X1989" s="10"/>
      <c r="Y1989" s="10"/>
      <c r="Z1989" s="10"/>
      <c r="AA1989" s="11"/>
      <c r="AB1989" s="11"/>
    </row>
    <row r="1990" spans="2:28" x14ac:dyDescent="0.3">
      <c r="B1990" s="10"/>
      <c r="C1990" s="315"/>
      <c r="D1990" s="868"/>
      <c r="E1990" s="837" t="str">
        <f>IFERROR(IF(_xlfn.XLOOKUP(Imput[[#This Row],[RFC]],'Alta Proveedor'!D:D,'Alta Proveedor'!E:E)=0,"",_xlfn.XLOOKUP(Imput[[#This Row],[RFC]],'Alta Proveedor'!D:D,'Alta Proveedor'!E:E)),"")</f>
        <v/>
      </c>
      <c r="F1990" s="832"/>
      <c r="G1990" s="187"/>
      <c r="H1990" s="1"/>
      <c r="I1990" s="169">
        <f>Imput[[#This Row],[Cantidad]]*Imput[[#This Row],[Precio Unitario]]</f>
        <v>0</v>
      </c>
      <c r="J1990" s="11">
        <f>((Imput[[#This Row],[Sub total]])*(0.16))</f>
        <v>0</v>
      </c>
      <c r="K1990" s="11">
        <v>0</v>
      </c>
      <c r="L1990" s="169">
        <f>Imput[[#This Row],[Sub total]]+Imput[[#This Row],[IVA]]-Imput[[#This Row],[Retención / IEPS / Descuento]]</f>
        <v>0</v>
      </c>
      <c r="M1990" s="844">
        <v>0</v>
      </c>
      <c r="N1990" s="189"/>
      <c r="O1990" s="1"/>
      <c r="P1990" s="189"/>
      <c r="Q1990" s="190"/>
      <c r="R1990" s="188"/>
      <c r="S1990" s="193"/>
      <c r="T1990" s="192"/>
      <c r="U1990" s="829"/>
      <c r="V1990" s="10"/>
      <c r="W1990" s="10"/>
      <c r="X1990" s="10"/>
      <c r="Y1990" s="10"/>
      <c r="Z1990" s="10"/>
      <c r="AA1990" s="11"/>
      <c r="AB1990" s="11"/>
    </row>
    <row r="1991" spans="2:28" x14ac:dyDescent="0.3">
      <c r="B1991" s="10"/>
      <c r="C1991" s="315"/>
      <c r="D1991" s="868"/>
      <c r="E1991" s="837" t="str">
        <f>IFERROR(IF(_xlfn.XLOOKUP(Imput[[#This Row],[RFC]],'Alta Proveedor'!D:D,'Alta Proveedor'!E:E)=0,"",_xlfn.XLOOKUP(Imput[[#This Row],[RFC]],'Alta Proveedor'!D:D,'Alta Proveedor'!E:E)),"")</f>
        <v/>
      </c>
      <c r="F1991" s="832"/>
      <c r="G1991" s="187"/>
      <c r="H1991" s="1"/>
      <c r="I1991" s="169">
        <f>Imput[[#This Row],[Cantidad]]*Imput[[#This Row],[Precio Unitario]]</f>
        <v>0</v>
      </c>
      <c r="J1991" s="11">
        <f>((Imput[[#This Row],[Sub total]])*(0.16))</f>
        <v>0</v>
      </c>
      <c r="K1991" s="11">
        <v>0</v>
      </c>
      <c r="L1991" s="169">
        <f>Imput[[#This Row],[Sub total]]+Imput[[#This Row],[IVA]]-Imput[[#This Row],[Retención / IEPS / Descuento]]</f>
        <v>0</v>
      </c>
      <c r="M1991" s="844">
        <v>0</v>
      </c>
      <c r="N1991" s="189"/>
      <c r="O1991" s="1"/>
      <c r="P1991" s="189"/>
      <c r="Q1991" s="190"/>
      <c r="R1991" s="188"/>
      <c r="S1991" s="193"/>
      <c r="T1991" s="192"/>
      <c r="U1991" s="829"/>
      <c r="V1991" s="10"/>
      <c r="W1991" s="10"/>
      <c r="X1991" s="10"/>
      <c r="Y1991" s="10"/>
      <c r="Z1991" s="10"/>
      <c r="AA1991" s="11"/>
      <c r="AB1991" s="11"/>
    </row>
    <row r="1992" spans="2:28" x14ac:dyDescent="0.3">
      <c r="B1992" s="10"/>
      <c r="C1992" s="315"/>
      <c r="D1992" s="868"/>
      <c r="E1992" s="837" t="str">
        <f>IFERROR(IF(_xlfn.XLOOKUP(Imput[[#This Row],[RFC]],'Alta Proveedor'!D:D,'Alta Proveedor'!E:E)=0,"",_xlfn.XLOOKUP(Imput[[#This Row],[RFC]],'Alta Proveedor'!D:D,'Alta Proveedor'!E:E)),"")</f>
        <v/>
      </c>
      <c r="F1992" s="832"/>
      <c r="G1992" s="187"/>
      <c r="H1992" s="1"/>
      <c r="I1992" s="169">
        <f>Imput[[#This Row],[Cantidad]]*Imput[[#This Row],[Precio Unitario]]</f>
        <v>0</v>
      </c>
      <c r="J1992" s="11">
        <f>((Imput[[#This Row],[Sub total]])*(0.16))</f>
        <v>0</v>
      </c>
      <c r="K1992" s="11">
        <v>0</v>
      </c>
      <c r="L1992" s="169">
        <f>Imput[[#This Row],[Sub total]]+Imput[[#This Row],[IVA]]-Imput[[#This Row],[Retención / IEPS / Descuento]]</f>
        <v>0</v>
      </c>
      <c r="M1992" s="844">
        <v>0</v>
      </c>
      <c r="N1992" s="189"/>
      <c r="O1992" s="1"/>
      <c r="P1992" s="189"/>
      <c r="Q1992" s="190"/>
      <c r="R1992" s="188"/>
      <c r="S1992" s="193"/>
      <c r="T1992" s="192"/>
      <c r="U1992" s="829"/>
      <c r="V1992" s="10"/>
      <c r="W1992" s="10"/>
      <c r="X1992" s="10"/>
      <c r="Y1992" s="10"/>
      <c r="Z1992" s="10"/>
      <c r="AA1992" s="11"/>
      <c r="AB1992" s="11"/>
    </row>
    <row r="1993" spans="2:28" x14ac:dyDescent="0.3">
      <c r="B1993" s="10"/>
      <c r="C1993" s="315"/>
      <c r="D1993" s="868"/>
      <c r="E1993" s="837" t="str">
        <f>IFERROR(IF(_xlfn.XLOOKUP(Imput[[#This Row],[RFC]],'Alta Proveedor'!D:D,'Alta Proveedor'!E:E)=0,"",_xlfn.XLOOKUP(Imput[[#This Row],[RFC]],'Alta Proveedor'!D:D,'Alta Proveedor'!E:E)),"")</f>
        <v/>
      </c>
      <c r="F1993" s="832"/>
      <c r="G1993" s="187"/>
      <c r="H1993" s="1"/>
      <c r="I1993" s="169">
        <f>Imput[[#This Row],[Cantidad]]*Imput[[#This Row],[Precio Unitario]]</f>
        <v>0</v>
      </c>
      <c r="J1993" s="11">
        <f>((Imput[[#This Row],[Sub total]])*(0.16))</f>
        <v>0</v>
      </c>
      <c r="K1993" s="11">
        <v>0</v>
      </c>
      <c r="L1993" s="169">
        <f>Imput[[#This Row],[Sub total]]+Imput[[#This Row],[IVA]]-Imput[[#This Row],[Retención / IEPS / Descuento]]</f>
        <v>0</v>
      </c>
      <c r="M1993" s="844">
        <v>0</v>
      </c>
      <c r="N1993" s="189"/>
      <c r="O1993" s="1"/>
      <c r="P1993" s="189"/>
      <c r="Q1993" s="190"/>
      <c r="R1993" s="188"/>
      <c r="S1993" s="193"/>
      <c r="T1993" s="192"/>
      <c r="U1993" s="829"/>
      <c r="V1993" s="10"/>
      <c r="W1993" s="10"/>
      <c r="X1993" s="10"/>
      <c r="Y1993" s="10"/>
      <c r="Z1993" s="10"/>
      <c r="AA1993" s="11"/>
      <c r="AB1993" s="11"/>
    </row>
    <row r="1994" spans="2:28" x14ac:dyDescent="0.3">
      <c r="B1994" s="10"/>
      <c r="C1994" s="315"/>
      <c r="D1994" s="868"/>
      <c r="E1994" s="837" t="str">
        <f>IFERROR(IF(_xlfn.XLOOKUP(Imput[[#This Row],[RFC]],'Alta Proveedor'!D:D,'Alta Proveedor'!E:E)=0,"",_xlfn.XLOOKUP(Imput[[#This Row],[RFC]],'Alta Proveedor'!D:D,'Alta Proveedor'!E:E)),"")</f>
        <v/>
      </c>
      <c r="F1994" s="832"/>
      <c r="G1994" s="187"/>
      <c r="H1994" s="1"/>
      <c r="I1994" s="169">
        <f>Imput[[#This Row],[Cantidad]]*Imput[[#This Row],[Precio Unitario]]</f>
        <v>0</v>
      </c>
      <c r="J1994" s="11">
        <f>((Imput[[#This Row],[Sub total]])*(0.16))</f>
        <v>0</v>
      </c>
      <c r="K1994" s="11">
        <v>0</v>
      </c>
      <c r="L1994" s="169">
        <f>Imput[[#This Row],[Sub total]]+Imput[[#This Row],[IVA]]-Imput[[#This Row],[Retención / IEPS / Descuento]]</f>
        <v>0</v>
      </c>
      <c r="M1994" s="844">
        <v>0</v>
      </c>
      <c r="N1994" s="189"/>
      <c r="O1994" s="1"/>
      <c r="P1994" s="189"/>
      <c r="Q1994" s="190"/>
      <c r="R1994" s="188"/>
      <c r="S1994" s="193"/>
      <c r="T1994" s="192"/>
      <c r="U1994" s="829"/>
      <c r="V1994" s="10"/>
      <c r="W1994" s="10"/>
      <c r="X1994" s="10"/>
      <c r="Y1994" s="10"/>
      <c r="Z1994" s="10"/>
      <c r="AA1994" s="11"/>
      <c r="AB1994" s="11"/>
    </row>
    <row r="1995" spans="2:28" x14ac:dyDescent="0.3">
      <c r="B1995" s="10"/>
      <c r="C1995" s="315"/>
      <c r="D1995" s="868"/>
      <c r="E1995" s="837" t="str">
        <f>IFERROR(IF(_xlfn.XLOOKUP(Imput[[#This Row],[RFC]],'Alta Proveedor'!D:D,'Alta Proveedor'!E:E)=0,"",_xlfn.XLOOKUP(Imput[[#This Row],[RFC]],'Alta Proveedor'!D:D,'Alta Proveedor'!E:E)),"")</f>
        <v/>
      </c>
      <c r="F1995" s="832"/>
      <c r="G1995" s="187"/>
      <c r="H1995" s="1"/>
      <c r="I1995" s="169">
        <f>Imput[[#This Row],[Cantidad]]*Imput[[#This Row],[Precio Unitario]]</f>
        <v>0</v>
      </c>
      <c r="J1995" s="11">
        <f>((Imput[[#This Row],[Sub total]])*(0.16))</f>
        <v>0</v>
      </c>
      <c r="K1995" s="11">
        <v>0</v>
      </c>
      <c r="L1995" s="169">
        <f>Imput[[#This Row],[Sub total]]+Imput[[#This Row],[IVA]]-Imput[[#This Row],[Retención / IEPS / Descuento]]</f>
        <v>0</v>
      </c>
      <c r="M1995" s="844">
        <v>0</v>
      </c>
      <c r="N1995" s="189"/>
      <c r="O1995" s="1"/>
      <c r="P1995" s="189"/>
      <c r="Q1995" s="190"/>
      <c r="R1995" s="188"/>
      <c r="S1995" s="193"/>
      <c r="T1995" s="192"/>
      <c r="U1995" s="829"/>
      <c r="V1995" s="10"/>
      <c r="W1995" s="10"/>
      <c r="X1995" s="10"/>
      <c r="Y1995" s="10"/>
      <c r="Z1995" s="10"/>
      <c r="AA1995" s="11"/>
      <c r="AB1995" s="11"/>
    </row>
    <row r="1996" spans="2:28" x14ac:dyDescent="0.3">
      <c r="B1996" s="10"/>
      <c r="C1996" s="315"/>
      <c r="D1996" s="868"/>
      <c r="E1996" s="837" t="str">
        <f>IFERROR(IF(_xlfn.XLOOKUP(Imput[[#This Row],[RFC]],'Alta Proveedor'!D:D,'Alta Proveedor'!E:E)=0,"",_xlfn.XLOOKUP(Imput[[#This Row],[RFC]],'Alta Proveedor'!D:D,'Alta Proveedor'!E:E)),"")</f>
        <v/>
      </c>
      <c r="F1996" s="832"/>
      <c r="G1996" s="187"/>
      <c r="H1996" s="1"/>
      <c r="I1996" s="169">
        <f>Imput[[#This Row],[Cantidad]]*Imput[[#This Row],[Precio Unitario]]</f>
        <v>0</v>
      </c>
      <c r="J1996" s="11">
        <f>((Imput[[#This Row],[Sub total]])*(0.16))</f>
        <v>0</v>
      </c>
      <c r="K1996" s="11">
        <v>0</v>
      </c>
      <c r="L1996" s="169">
        <f>Imput[[#This Row],[Sub total]]+Imput[[#This Row],[IVA]]-Imput[[#This Row],[Retención / IEPS / Descuento]]</f>
        <v>0</v>
      </c>
      <c r="M1996" s="844">
        <v>0</v>
      </c>
      <c r="N1996" s="189"/>
      <c r="O1996" s="1"/>
      <c r="P1996" s="189"/>
      <c r="Q1996" s="190"/>
      <c r="R1996" s="188"/>
      <c r="S1996" s="193"/>
      <c r="T1996" s="192"/>
      <c r="U1996" s="829"/>
      <c r="V1996" s="10"/>
      <c r="W1996" s="10"/>
      <c r="X1996" s="10"/>
      <c r="Y1996" s="10"/>
      <c r="Z1996" s="10"/>
      <c r="AA1996" s="11"/>
      <c r="AB1996" s="11"/>
    </row>
    <row r="1997" spans="2:28" x14ac:dyDescent="0.3">
      <c r="B1997" s="10"/>
      <c r="C1997" s="315"/>
      <c r="D1997" s="868"/>
      <c r="E1997" s="837" t="str">
        <f>IFERROR(IF(_xlfn.XLOOKUP(Imput[[#This Row],[RFC]],'Alta Proveedor'!D:D,'Alta Proveedor'!E:E)=0,"",_xlfn.XLOOKUP(Imput[[#This Row],[RFC]],'Alta Proveedor'!D:D,'Alta Proveedor'!E:E)),"")</f>
        <v/>
      </c>
      <c r="F1997" s="832"/>
      <c r="G1997" s="187"/>
      <c r="H1997" s="1"/>
      <c r="I1997" s="169">
        <f>Imput[[#This Row],[Cantidad]]*Imput[[#This Row],[Precio Unitario]]</f>
        <v>0</v>
      </c>
      <c r="J1997" s="11">
        <f>((Imput[[#This Row],[Sub total]])*(0.16))</f>
        <v>0</v>
      </c>
      <c r="K1997" s="11">
        <v>0</v>
      </c>
      <c r="L1997" s="169">
        <f>Imput[[#This Row],[Sub total]]+Imput[[#This Row],[IVA]]-Imput[[#This Row],[Retención / IEPS / Descuento]]</f>
        <v>0</v>
      </c>
      <c r="M1997" s="844">
        <v>0</v>
      </c>
      <c r="N1997" s="189"/>
      <c r="O1997" s="1"/>
      <c r="P1997" s="189"/>
      <c r="Q1997" s="190"/>
      <c r="R1997" s="188"/>
      <c r="S1997" s="193"/>
      <c r="T1997" s="192"/>
      <c r="U1997" s="829"/>
      <c r="V1997" s="10"/>
      <c r="W1997" s="10"/>
      <c r="X1997" s="10"/>
      <c r="Y1997" s="10"/>
      <c r="Z1997" s="10"/>
      <c r="AA1997" s="11"/>
      <c r="AB1997" s="11"/>
    </row>
    <row r="1998" spans="2:28" x14ac:dyDescent="0.3">
      <c r="B1998" s="10"/>
      <c r="C1998" s="315"/>
      <c r="D1998" s="868"/>
      <c r="E1998" s="837" t="str">
        <f>IFERROR(IF(_xlfn.XLOOKUP(Imput[[#This Row],[RFC]],'Alta Proveedor'!D:D,'Alta Proveedor'!E:E)=0,"",_xlfn.XLOOKUP(Imput[[#This Row],[RFC]],'Alta Proveedor'!D:D,'Alta Proveedor'!E:E)),"")</f>
        <v/>
      </c>
      <c r="F1998" s="832"/>
      <c r="G1998" s="187"/>
      <c r="H1998" s="1"/>
      <c r="I1998" s="169">
        <f>Imput[[#This Row],[Cantidad]]*Imput[[#This Row],[Precio Unitario]]</f>
        <v>0</v>
      </c>
      <c r="J1998" s="11">
        <f>((Imput[[#This Row],[Sub total]])*(0.16))</f>
        <v>0</v>
      </c>
      <c r="K1998" s="11">
        <v>0</v>
      </c>
      <c r="L1998" s="169">
        <f>Imput[[#This Row],[Sub total]]+Imput[[#This Row],[IVA]]-Imput[[#This Row],[Retención / IEPS / Descuento]]</f>
        <v>0</v>
      </c>
      <c r="M1998" s="844">
        <v>0</v>
      </c>
      <c r="N1998" s="189"/>
      <c r="O1998" s="1"/>
      <c r="P1998" s="189"/>
      <c r="Q1998" s="190"/>
      <c r="R1998" s="188"/>
      <c r="S1998" s="193"/>
      <c r="T1998" s="192"/>
      <c r="U1998" s="829"/>
      <c r="V1998" s="10"/>
      <c r="W1998" s="10"/>
      <c r="X1998" s="10"/>
      <c r="Y1998" s="10"/>
      <c r="Z1998" s="10"/>
      <c r="AA1998" s="11"/>
      <c r="AB1998" s="11"/>
    </row>
    <row r="1999" spans="2:28" x14ac:dyDescent="0.3">
      <c r="B1999" s="10"/>
      <c r="C1999" s="315"/>
      <c r="D1999" s="868"/>
      <c r="E1999" s="837" t="str">
        <f>IFERROR(IF(_xlfn.XLOOKUP(Imput[[#This Row],[RFC]],'Alta Proveedor'!D:D,'Alta Proveedor'!E:E)=0,"",_xlfn.XLOOKUP(Imput[[#This Row],[RFC]],'Alta Proveedor'!D:D,'Alta Proveedor'!E:E)),"")</f>
        <v/>
      </c>
      <c r="F1999" s="832"/>
      <c r="G1999" s="187"/>
      <c r="H1999" s="1"/>
      <c r="I1999" s="169">
        <f>Imput[[#This Row],[Cantidad]]*Imput[[#This Row],[Precio Unitario]]</f>
        <v>0</v>
      </c>
      <c r="J1999" s="11">
        <f>((Imput[[#This Row],[Sub total]])*(0.16))</f>
        <v>0</v>
      </c>
      <c r="K1999" s="11">
        <v>0</v>
      </c>
      <c r="L1999" s="169">
        <f>Imput[[#This Row],[Sub total]]+Imput[[#This Row],[IVA]]-Imput[[#This Row],[Retención / IEPS / Descuento]]</f>
        <v>0</v>
      </c>
      <c r="M1999" s="844">
        <v>0</v>
      </c>
      <c r="N1999" s="189"/>
      <c r="O1999" s="1"/>
      <c r="P1999" s="189"/>
      <c r="Q1999" s="190"/>
      <c r="R1999" s="188"/>
      <c r="S1999" s="193"/>
      <c r="T1999" s="192"/>
      <c r="U1999" s="829"/>
      <c r="V1999" s="10"/>
      <c r="W1999" s="10"/>
      <c r="X1999" s="10"/>
      <c r="Y1999" s="10"/>
      <c r="Z1999" s="10"/>
      <c r="AA1999" s="11"/>
      <c r="AB1999" s="11"/>
    </row>
    <row r="2000" spans="2:28" x14ac:dyDescent="0.3">
      <c r="B2000" s="10"/>
      <c r="C2000" s="315"/>
      <c r="D2000" s="868"/>
      <c r="E2000" s="837" t="str">
        <f>IFERROR(IF(_xlfn.XLOOKUP(Imput[[#This Row],[RFC]],'Alta Proveedor'!D:D,'Alta Proveedor'!E:E)=0,"",_xlfn.XLOOKUP(Imput[[#This Row],[RFC]],'Alta Proveedor'!D:D,'Alta Proveedor'!E:E)),"")</f>
        <v/>
      </c>
      <c r="F2000" s="832"/>
      <c r="G2000" s="187"/>
      <c r="H2000" s="1"/>
      <c r="I2000" s="169">
        <f>Imput[[#This Row],[Cantidad]]*Imput[[#This Row],[Precio Unitario]]</f>
        <v>0</v>
      </c>
      <c r="J2000" s="11">
        <f>((Imput[[#This Row],[Sub total]])*(0.16))</f>
        <v>0</v>
      </c>
      <c r="K2000" s="11">
        <v>0</v>
      </c>
      <c r="L2000" s="169">
        <f>Imput[[#This Row],[Sub total]]+Imput[[#This Row],[IVA]]-Imput[[#This Row],[Retención / IEPS / Descuento]]</f>
        <v>0</v>
      </c>
      <c r="M2000" s="844">
        <v>0</v>
      </c>
      <c r="N2000" s="189"/>
      <c r="O2000" s="1"/>
      <c r="P2000" s="189"/>
      <c r="Q2000" s="190"/>
      <c r="R2000" s="188"/>
      <c r="S2000" s="193"/>
      <c r="T2000" s="192"/>
      <c r="U2000" s="829"/>
      <c r="V2000" s="10"/>
      <c r="W2000" s="10"/>
      <c r="X2000" s="10"/>
      <c r="Y2000" s="10"/>
      <c r="Z2000" s="10"/>
      <c r="AA2000" s="11"/>
      <c r="AB2000" s="11"/>
    </row>
    <row r="2001" spans="2:28" x14ac:dyDescent="0.3">
      <c r="B2001" s="10"/>
      <c r="C2001" s="315"/>
      <c r="D2001" s="868"/>
      <c r="E2001" s="837" t="str">
        <f>IFERROR(IF(_xlfn.XLOOKUP(Imput[[#This Row],[RFC]],'Alta Proveedor'!D:D,'Alta Proveedor'!E:E)=0,"",_xlfn.XLOOKUP(Imput[[#This Row],[RFC]],'Alta Proveedor'!D:D,'Alta Proveedor'!E:E)),"")</f>
        <v/>
      </c>
      <c r="F2001" s="832"/>
      <c r="G2001" s="187"/>
      <c r="H2001" s="1"/>
      <c r="I2001" s="169">
        <f>Imput[[#This Row],[Cantidad]]*Imput[[#This Row],[Precio Unitario]]</f>
        <v>0</v>
      </c>
      <c r="J2001" s="11">
        <f>((Imput[[#This Row],[Sub total]])*(0.16))</f>
        <v>0</v>
      </c>
      <c r="K2001" s="11">
        <v>0</v>
      </c>
      <c r="L2001" s="169">
        <f>Imput[[#This Row],[Sub total]]+Imput[[#This Row],[IVA]]-Imput[[#This Row],[Retención / IEPS / Descuento]]</f>
        <v>0</v>
      </c>
      <c r="M2001" s="844">
        <v>0</v>
      </c>
      <c r="N2001" s="189"/>
      <c r="O2001" s="1"/>
      <c r="P2001" s="189"/>
      <c r="Q2001" s="190"/>
      <c r="R2001" s="188"/>
      <c r="S2001" s="193"/>
      <c r="T2001" s="192"/>
      <c r="U2001" s="829"/>
      <c r="V2001" s="10"/>
      <c r="W2001" s="10"/>
      <c r="X2001" s="10"/>
      <c r="Y2001" s="10"/>
      <c r="Z2001" s="10"/>
      <c r="AA2001" s="11"/>
      <c r="AB2001" s="11"/>
    </row>
    <row r="2002" spans="2:28" x14ac:dyDescent="0.3">
      <c r="B2002" s="10"/>
      <c r="C2002" s="315"/>
      <c r="D2002" s="868"/>
      <c r="E2002" s="837" t="str">
        <f>IFERROR(IF(_xlfn.XLOOKUP(Imput[[#This Row],[RFC]],'Alta Proveedor'!D:D,'Alta Proveedor'!E:E)=0,"",_xlfn.XLOOKUP(Imput[[#This Row],[RFC]],'Alta Proveedor'!D:D,'Alta Proveedor'!E:E)),"")</f>
        <v/>
      </c>
      <c r="F2002" s="832"/>
      <c r="G2002" s="187"/>
      <c r="H2002" s="1"/>
      <c r="I2002" s="169">
        <f>Imput[[#This Row],[Cantidad]]*Imput[[#This Row],[Precio Unitario]]</f>
        <v>0</v>
      </c>
      <c r="J2002" s="11">
        <f>((Imput[[#This Row],[Sub total]])*(0.16))</f>
        <v>0</v>
      </c>
      <c r="K2002" s="11">
        <v>0</v>
      </c>
      <c r="L2002" s="169">
        <f>Imput[[#This Row],[Sub total]]+Imput[[#This Row],[IVA]]-Imput[[#This Row],[Retención / IEPS / Descuento]]</f>
        <v>0</v>
      </c>
      <c r="M2002" s="844">
        <v>0</v>
      </c>
      <c r="N2002" s="189"/>
      <c r="O2002" s="1"/>
      <c r="P2002" s="189"/>
      <c r="Q2002" s="190"/>
      <c r="R2002" s="188"/>
      <c r="S2002" s="193"/>
      <c r="T2002" s="192"/>
      <c r="U2002" s="829"/>
      <c r="V2002" s="10"/>
      <c r="W2002" s="10"/>
      <c r="X2002" s="10"/>
      <c r="Y2002" s="10"/>
      <c r="Z2002" s="10"/>
      <c r="AA2002" s="11"/>
      <c r="AB2002" s="11"/>
    </row>
    <row r="2003" spans="2:28" x14ac:dyDescent="0.3">
      <c r="B2003" s="10"/>
      <c r="C2003" s="315"/>
      <c r="D2003" s="868"/>
      <c r="E2003" s="837" t="str">
        <f>IFERROR(IF(_xlfn.XLOOKUP(Imput[[#This Row],[RFC]],'Alta Proveedor'!D:D,'Alta Proveedor'!E:E)=0,"",_xlfn.XLOOKUP(Imput[[#This Row],[RFC]],'Alta Proveedor'!D:D,'Alta Proveedor'!E:E)),"")</f>
        <v/>
      </c>
      <c r="F2003" s="832"/>
      <c r="G2003" s="187"/>
      <c r="H2003" s="1"/>
      <c r="I2003" s="169">
        <f>Imput[[#This Row],[Cantidad]]*Imput[[#This Row],[Precio Unitario]]</f>
        <v>0</v>
      </c>
      <c r="J2003" s="11">
        <f>((Imput[[#This Row],[Sub total]])*(0.16))</f>
        <v>0</v>
      </c>
      <c r="K2003" s="11">
        <v>0</v>
      </c>
      <c r="L2003" s="169">
        <f>Imput[[#This Row],[Sub total]]+Imput[[#This Row],[IVA]]-Imput[[#This Row],[Retención / IEPS / Descuento]]</f>
        <v>0</v>
      </c>
      <c r="M2003" s="844">
        <v>0</v>
      </c>
      <c r="N2003" s="189"/>
      <c r="O2003" s="1"/>
      <c r="P2003" s="189"/>
      <c r="Q2003" s="190"/>
      <c r="R2003" s="188"/>
      <c r="S2003" s="193"/>
      <c r="T2003" s="192"/>
      <c r="U2003" s="829"/>
      <c r="V2003" s="10"/>
      <c r="W2003" s="10"/>
      <c r="X2003" s="10"/>
      <c r="Y2003" s="10"/>
      <c r="Z2003" s="10"/>
      <c r="AA2003" s="11"/>
      <c r="AB2003" s="11"/>
    </row>
    <row r="2004" spans="2:28" x14ac:dyDescent="0.3">
      <c r="B2004" s="10"/>
      <c r="C2004" s="315"/>
      <c r="D2004" s="868"/>
      <c r="E2004" s="837" t="str">
        <f>IFERROR(IF(_xlfn.XLOOKUP(Imput[[#This Row],[RFC]],'Alta Proveedor'!D:D,'Alta Proveedor'!E:E)=0,"",_xlfn.XLOOKUP(Imput[[#This Row],[RFC]],'Alta Proveedor'!D:D,'Alta Proveedor'!E:E)),"")</f>
        <v/>
      </c>
      <c r="F2004" s="832"/>
      <c r="G2004" s="187"/>
      <c r="H2004" s="1"/>
      <c r="I2004" s="169">
        <f>Imput[[#This Row],[Cantidad]]*Imput[[#This Row],[Precio Unitario]]</f>
        <v>0</v>
      </c>
      <c r="J2004" s="11">
        <f>((Imput[[#This Row],[Sub total]])*(0.16))</f>
        <v>0</v>
      </c>
      <c r="K2004" s="11">
        <v>0</v>
      </c>
      <c r="L2004" s="169">
        <f>Imput[[#This Row],[Sub total]]+Imput[[#This Row],[IVA]]-Imput[[#This Row],[Retención / IEPS / Descuento]]</f>
        <v>0</v>
      </c>
      <c r="M2004" s="844">
        <v>0</v>
      </c>
      <c r="N2004" s="189"/>
      <c r="O2004" s="1"/>
      <c r="P2004" s="189"/>
      <c r="Q2004" s="190"/>
      <c r="R2004" s="188"/>
      <c r="S2004" s="193"/>
      <c r="T2004" s="192"/>
      <c r="U2004" s="829"/>
      <c r="V2004" s="10"/>
      <c r="W2004" s="10"/>
      <c r="X2004" s="10"/>
      <c r="Y2004" s="10"/>
      <c r="Z2004" s="10"/>
      <c r="AA2004" s="11"/>
      <c r="AB2004" s="11"/>
    </row>
    <row r="2005" spans="2:28" x14ac:dyDescent="0.3">
      <c r="B2005" s="10"/>
      <c r="C2005" s="315"/>
      <c r="D2005" s="868"/>
      <c r="E2005" s="837" t="str">
        <f>IFERROR(IF(_xlfn.XLOOKUP(Imput[[#This Row],[RFC]],'Alta Proveedor'!D:D,'Alta Proveedor'!E:E)=0,"",_xlfn.XLOOKUP(Imput[[#This Row],[RFC]],'Alta Proveedor'!D:D,'Alta Proveedor'!E:E)),"")</f>
        <v/>
      </c>
      <c r="F2005" s="832"/>
      <c r="G2005" s="187"/>
      <c r="H2005" s="1"/>
      <c r="I2005" s="169">
        <f>Imput[[#This Row],[Cantidad]]*Imput[[#This Row],[Precio Unitario]]</f>
        <v>0</v>
      </c>
      <c r="J2005" s="11">
        <f>((Imput[[#This Row],[Sub total]])*(0.16))</f>
        <v>0</v>
      </c>
      <c r="K2005" s="11">
        <v>0</v>
      </c>
      <c r="L2005" s="169">
        <f>Imput[[#This Row],[Sub total]]+Imput[[#This Row],[IVA]]-Imput[[#This Row],[Retención / IEPS / Descuento]]</f>
        <v>0</v>
      </c>
      <c r="M2005" s="844">
        <v>0</v>
      </c>
      <c r="N2005" s="189"/>
      <c r="O2005" s="1"/>
      <c r="P2005" s="189"/>
      <c r="Q2005" s="190"/>
      <c r="R2005" s="188"/>
      <c r="S2005" s="193"/>
      <c r="T2005" s="192"/>
      <c r="U2005" s="829"/>
      <c r="V2005" s="10"/>
      <c r="W2005" s="10"/>
      <c r="X2005" s="10"/>
      <c r="Y2005" s="10"/>
      <c r="Z2005" s="10"/>
      <c r="AA2005" s="11"/>
      <c r="AB2005" s="11"/>
    </row>
    <row r="2006" spans="2:28" x14ac:dyDescent="0.3">
      <c r="B2006" s="10"/>
      <c r="C2006" s="315"/>
      <c r="D2006" s="868"/>
      <c r="E2006" s="837" t="str">
        <f>IFERROR(IF(_xlfn.XLOOKUP(Imput[[#This Row],[RFC]],'Alta Proveedor'!D:D,'Alta Proveedor'!E:E)=0,"",_xlfn.XLOOKUP(Imput[[#This Row],[RFC]],'Alta Proveedor'!D:D,'Alta Proveedor'!E:E)),"")</f>
        <v/>
      </c>
      <c r="F2006" s="832"/>
      <c r="G2006" s="187"/>
      <c r="H2006" s="1"/>
      <c r="I2006" s="169">
        <f>Imput[[#This Row],[Cantidad]]*Imput[[#This Row],[Precio Unitario]]</f>
        <v>0</v>
      </c>
      <c r="J2006" s="11">
        <f>((Imput[[#This Row],[Sub total]])*(0.16))</f>
        <v>0</v>
      </c>
      <c r="K2006" s="11">
        <v>0</v>
      </c>
      <c r="L2006" s="169">
        <f>Imput[[#This Row],[Sub total]]+Imput[[#This Row],[IVA]]-Imput[[#This Row],[Retención / IEPS / Descuento]]</f>
        <v>0</v>
      </c>
      <c r="M2006" s="844">
        <v>0</v>
      </c>
      <c r="N2006" s="189"/>
      <c r="O2006" s="1"/>
      <c r="P2006" s="189"/>
      <c r="Q2006" s="190"/>
      <c r="R2006" s="188"/>
      <c r="S2006" s="193"/>
      <c r="T2006" s="192"/>
      <c r="U2006" s="829"/>
      <c r="V2006" s="10"/>
      <c r="W2006" s="10"/>
      <c r="X2006" s="10"/>
      <c r="Y2006" s="10"/>
      <c r="Z2006" s="10"/>
      <c r="AA2006" s="11"/>
      <c r="AB2006" s="11"/>
    </row>
    <row r="2007" spans="2:28" x14ac:dyDescent="0.3">
      <c r="B2007" s="10"/>
      <c r="C2007" s="315"/>
      <c r="D2007" s="868"/>
      <c r="E2007" s="837" t="str">
        <f>IFERROR(IF(_xlfn.XLOOKUP(Imput[[#This Row],[RFC]],'Alta Proveedor'!D:D,'Alta Proveedor'!E:E)=0,"",_xlfn.XLOOKUP(Imput[[#This Row],[RFC]],'Alta Proveedor'!D:D,'Alta Proveedor'!E:E)),"")</f>
        <v/>
      </c>
      <c r="F2007" s="832"/>
      <c r="G2007" s="187"/>
      <c r="H2007" s="1"/>
      <c r="I2007" s="169">
        <f>Imput[[#This Row],[Cantidad]]*Imput[[#This Row],[Precio Unitario]]</f>
        <v>0</v>
      </c>
      <c r="J2007" s="11">
        <f>((Imput[[#This Row],[Sub total]])*(0.16))</f>
        <v>0</v>
      </c>
      <c r="K2007" s="11">
        <v>0</v>
      </c>
      <c r="L2007" s="169">
        <f>Imput[[#This Row],[Sub total]]+Imput[[#This Row],[IVA]]-Imput[[#This Row],[Retención / IEPS / Descuento]]</f>
        <v>0</v>
      </c>
      <c r="M2007" s="844">
        <v>0</v>
      </c>
      <c r="N2007" s="189"/>
      <c r="O2007" s="1"/>
      <c r="P2007" s="189"/>
      <c r="Q2007" s="190"/>
      <c r="R2007" s="188"/>
      <c r="S2007" s="193"/>
      <c r="T2007" s="192"/>
      <c r="U2007" s="829"/>
      <c r="V2007" s="10"/>
      <c r="W2007" s="10"/>
      <c r="X2007" s="10"/>
      <c r="Y2007" s="10"/>
      <c r="Z2007" s="10"/>
      <c r="AA2007" s="11"/>
      <c r="AB2007" s="11"/>
    </row>
    <row r="2008" spans="2:28" x14ac:dyDescent="0.3">
      <c r="B2008" s="10"/>
      <c r="C2008" s="315"/>
      <c r="D2008" s="868"/>
      <c r="E2008" s="837" t="str">
        <f>IFERROR(IF(_xlfn.XLOOKUP(Imput[[#This Row],[RFC]],'Alta Proveedor'!D:D,'Alta Proveedor'!E:E)=0,"",_xlfn.XLOOKUP(Imput[[#This Row],[RFC]],'Alta Proveedor'!D:D,'Alta Proveedor'!E:E)),"")</f>
        <v/>
      </c>
      <c r="F2008" s="832"/>
      <c r="G2008" s="187"/>
      <c r="H2008" s="1"/>
      <c r="I2008" s="169">
        <f>Imput[[#This Row],[Cantidad]]*Imput[[#This Row],[Precio Unitario]]</f>
        <v>0</v>
      </c>
      <c r="J2008" s="11">
        <f>((Imput[[#This Row],[Sub total]])*(0.16))</f>
        <v>0</v>
      </c>
      <c r="K2008" s="11">
        <v>0</v>
      </c>
      <c r="L2008" s="169">
        <f>Imput[[#This Row],[Sub total]]+Imput[[#This Row],[IVA]]-Imput[[#This Row],[Retención / IEPS / Descuento]]</f>
        <v>0</v>
      </c>
      <c r="M2008" s="844">
        <v>0</v>
      </c>
      <c r="N2008" s="189"/>
      <c r="O2008" s="1"/>
      <c r="P2008" s="189"/>
      <c r="Q2008" s="190"/>
      <c r="R2008" s="188"/>
      <c r="S2008" s="193"/>
      <c r="T2008" s="192"/>
      <c r="U2008" s="829"/>
      <c r="V2008" s="10"/>
      <c r="W2008" s="10"/>
      <c r="X2008" s="10"/>
      <c r="Y2008" s="10"/>
      <c r="Z2008" s="10"/>
      <c r="AA2008" s="11"/>
      <c r="AB2008" s="11"/>
    </row>
    <row r="2009" spans="2:28" x14ac:dyDescent="0.3">
      <c r="B2009" s="10"/>
      <c r="C2009" s="315"/>
      <c r="D2009" s="868"/>
      <c r="E2009" s="837" t="str">
        <f>IFERROR(IF(_xlfn.XLOOKUP(Imput[[#This Row],[RFC]],'Alta Proveedor'!D:D,'Alta Proveedor'!E:E)=0,"",_xlfn.XLOOKUP(Imput[[#This Row],[RFC]],'Alta Proveedor'!D:D,'Alta Proveedor'!E:E)),"")</f>
        <v/>
      </c>
      <c r="F2009" s="832"/>
      <c r="G2009" s="187"/>
      <c r="H2009" s="1"/>
      <c r="I2009" s="169">
        <f>Imput[[#This Row],[Cantidad]]*Imput[[#This Row],[Precio Unitario]]</f>
        <v>0</v>
      </c>
      <c r="J2009" s="11">
        <f>((Imput[[#This Row],[Sub total]])*(0.16))</f>
        <v>0</v>
      </c>
      <c r="K2009" s="11">
        <v>0</v>
      </c>
      <c r="L2009" s="169">
        <f>Imput[[#This Row],[Sub total]]+Imput[[#This Row],[IVA]]-Imput[[#This Row],[Retención / IEPS / Descuento]]</f>
        <v>0</v>
      </c>
      <c r="M2009" s="844">
        <v>0</v>
      </c>
      <c r="N2009" s="189"/>
      <c r="O2009" s="1"/>
      <c r="P2009" s="189"/>
      <c r="Q2009" s="190"/>
      <c r="R2009" s="188"/>
      <c r="S2009" s="193"/>
      <c r="T2009" s="192"/>
      <c r="U2009" s="829"/>
      <c r="V2009" s="10"/>
      <c r="W2009" s="10"/>
      <c r="X2009" s="10"/>
      <c r="Y2009" s="10"/>
      <c r="Z2009" s="10"/>
      <c r="AA2009" s="11"/>
      <c r="AB2009" s="11"/>
    </row>
    <row r="2010" spans="2:28" x14ac:dyDescent="0.3">
      <c r="B2010" s="10"/>
      <c r="C2010" s="315"/>
      <c r="D2010" s="868"/>
      <c r="E2010" s="837" t="str">
        <f>IFERROR(IF(_xlfn.XLOOKUP(Imput[[#This Row],[RFC]],'Alta Proveedor'!D:D,'Alta Proveedor'!E:E)=0,"",_xlfn.XLOOKUP(Imput[[#This Row],[RFC]],'Alta Proveedor'!D:D,'Alta Proveedor'!E:E)),"")</f>
        <v/>
      </c>
      <c r="F2010" s="832"/>
      <c r="G2010" s="187"/>
      <c r="H2010" s="1"/>
      <c r="I2010" s="169">
        <f>Imput[[#This Row],[Cantidad]]*Imput[[#This Row],[Precio Unitario]]</f>
        <v>0</v>
      </c>
      <c r="J2010" s="11">
        <f>((Imput[[#This Row],[Sub total]])*(0.16))</f>
        <v>0</v>
      </c>
      <c r="K2010" s="11">
        <v>0</v>
      </c>
      <c r="L2010" s="169">
        <f>Imput[[#This Row],[Sub total]]+Imput[[#This Row],[IVA]]-Imput[[#This Row],[Retención / IEPS / Descuento]]</f>
        <v>0</v>
      </c>
      <c r="M2010" s="844">
        <v>0</v>
      </c>
      <c r="N2010" s="189"/>
      <c r="O2010" s="1"/>
      <c r="P2010" s="189"/>
      <c r="Q2010" s="190"/>
      <c r="R2010" s="188"/>
      <c r="S2010" s="193"/>
      <c r="T2010" s="192"/>
      <c r="U2010" s="829"/>
      <c r="V2010" s="10"/>
      <c r="W2010" s="10"/>
      <c r="X2010" s="10"/>
      <c r="Y2010" s="10"/>
      <c r="Z2010" s="10"/>
      <c r="AA2010" s="11"/>
      <c r="AB2010" s="11"/>
    </row>
    <row r="2011" spans="2:28" x14ac:dyDescent="0.3">
      <c r="B2011" s="10"/>
      <c r="C2011" s="315"/>
      <c r="D2011" s="868"/>
      <c r="E2011" s="837" t="str">
        <f>IFERROR(IF(_xlfn.XLOOKUP(Imput[[#This Row],[RFC]],'Alta Proveedor'!D:D,'Alta Proveedor'!E:E)=0,"",_xlfn.XLOOKUP(Imput[[#This Row],[RFC]],'Alta Proveedor'!D:D,'Alta Proveedor'!E:E)),"")</f>
        <v/>
      </c>
      <c r="F2011" s="832"/>
      <c r="G2011" s="187"/>
      <c r="H2011" s="1"/>
      <c r="I2011" s="169">
        <f>Imput[[#This Row],[Cantidad]]*Imput[[#This Row],[Precio Unitario]]</f>
        <v>0</v>
      </c>
      <c r="J2011" s="11">
        <f>((Imput[[#This Row],[Sub total]])*(0.16))</f>
        <v>0</v>
      </c>
      <c r="K2011" s="11">
        <v>0</v>
      </c>
      <c r="L2011" s="169">
        <f>Imput[[#This Row],[Sub total]]+Imput[[#This Row],[IVA]]-Imput[[#This Row],[Retención / IEPS / Descuento]]</f>
        <v>0</v>
      </c>
      <c r="M2011" s="844">
        <v>0</v>
      </c>
      <c r="N2011" s="189"/>
      <c r="O2011" s="1"/>
      <c r="P2011" s="189"/>
      <c r="Q2011" s="190"/>
      <c r="R2011" s="188"/>
      <c r="S2011" s="193"/>
      <c r="T2011" s="192"/>
      <c r="U2011" s="829"/>
      <c r="V2011" s="10"/>
      <c r="W2011" s="10"/>
      <c r="X2011" s="10"/>
      <c r="Y2011" s="10"/>
      <c r="Z2011" s="10"/>
      <c r="AA2011" s="11"/>
      <c r="AB2011" s="11"/>
    </row>
    <row r="2012" spans="2:28" x14ac:dyDescent="0.3">
      <c r="B2012" s="10"/>
      <c r="C2012" s="315"/>
      <c r="D2012" s="868"/>
      <c r="E2012" s="837" t="str">
        <f>IFERROR(IF(_xlfn.XLOOKUP(Imput[[#This Row],[RFC]],'Alta Proveedor'!D:D,'Alta Proveedor'!E:E)=0,"",_xlfn.XLOOKUP(Imput[[#This Row],[RFC]],'Alta Proveedor'!D:D,'Alta Proveedor'!E:E)),"")</f>
        <v/>
      </c>
      <c r="F2012" s="832"/>
      <c r="G2012" s="187"/>
      <c r="H2012" s="1"/>
      <c r="I2012" s="169">
        <f>Imput[[#This Row],[Cantidad]]*Imput[[#This Row],[Precio Unitario]]</f>
        <v>0</v>
      </c>
      <c r="J2012" s="11">
        <f>((Imput[[#This Row],[Sub total]])*(0.16))</f>
        <v>0</v>
      </c>
      <c r="K2012" s="11">
        <v>0</v>
      </c>
      <c r="L2012" s="169">
        <f>Imput[[#This Row],[Sub total]]+Imput[[#This Row],[IVA]]-Imput[[#This Row],[Retención / IEPS / Descuento]]</f>
        <v>0</v>
      </c>
      <c r="M2012" s="844">
        <v>0</v>
      </c>
      <c r="N2012" s="189"/>
      <c r="O2012" s="1"/>
      <c r="P2012" s="189"/>
      <c r="Q2012" s="190"/>
      <c r="R2012" s="188"/>
      <c r="S2012" s="193"/>
      <c r="T2012" s="192"/>
      <c r="U2012" s="829"/>
      <c r="V2012" s="10"/>
      <c r="W2012" s="10"/>
      <c r="X2012" s="10"/>
      <c r="Y2012" s="10"/>
      <c r="Z2012" s="10"/>
      <c r="AA2012" s="11"/>
      <c r="AB2012" s="11"/>
    </row>
    <row r="2013" spans="2:28" x14ac:dyDescent="0.3">
      <c r="B2013" s="10"/>
      <c r="C2013" s="315"/>
      <c r="D2013" s="868"/>
      <c r="E2013" s="837" t="str">
        <f>IFERROR(IF(_xlfn.XLOOKUP(Imput[[#This Row],[RFC]],'Alta Proveedor'!D:D,'Alta Proveedor'!E:E)=0,"",_xlfn.XLOOKUP(Imput[[#This Row],[RFC]],'Alta Proveedor'!D:D,'Alta Proveedor'!E:E)),"")</f>
        <v/>
      </c>
      <c r="F2013" s="832"/>
      <c r="G2013" s="187"/>
      <c r="H2013" s="1"/>
      <c r="I2013" s="169">
        <f>Imput[[#This Row],[Cantidad]]*Imput[[#This Row],[Precio Unitario]]</f>
        <v>0</v>
      </c>
      <c r="J2013" s="11">
        <f>((Imput[[#This Row],[Sub total]])*(0.16))</f>
        <v>0</v>
      </c>
      <c r="K2013" s="11">
        <v>0</v>
      </c>
      <c r="L2013" s="169">
        <f>Imput[[#This Row],[Sub total]]+Imput[[#This Row],[IVA]]-Imput[[#This Row],[Retención / IEPS / Descuento]]</f>
        <v>0</v>
      </c>
      <c r="M2013" s="844">
        <v>0</v>
      </c>
      <c r="N2013" s="189"/>
      <c r="O2013" s="1"/>
      <c r="P2013" s="189"/>
      <c r="Q2013" s="190"/>
      <c r="R2013" s="188"/>
      <c r="S2013" s="193"/>
      <c r="T2013" s="192"/>
      <c r="U2013" s="829"/>
      <c r="V2013" s="10"/>
      <c r="W2013" s="10"/>
      <c r="X2013" s="10"/>
      <c r="Y2013" s="10"/>
      <c r="Z2013" s="10"/>
      <c r="AA2013" s="11"/>
      <c r="AB2013" s="11"/>
    </row>
    <row r="2014" spans="2:28" x14ac:dyDescent="0.3">
      <c r="B2014" s="10"/>
      <c r="C2014" s="315"/>
      <c r="D2014" s="868"/>
      <c r="E2014" s="837" t="str">
        <f>IFERROR(IF(_xlfn.XLOOKUP(Imput[[#This Row],[RFC]],'Alta Proveedor'!D:D,'Alta Proveedor'!E:E)=0,"",_xlfn.XLOOKUP(Imput[[#This Row],[RFC]],'Alta Proveedor'!D:D,'Alta Proveedor'!E:E)),"")</f>
        <v/>
      </c>
      <c r="F2014" s="832"/>
      <c r="G2014" s="187"/>
      <c r="H2014" s="1"/>
      <c r="I2014" s="169">
        <f>Imput[[#This Row],[Cantidad]]*Imput[[#This Row],[Precio Unitario]]</f>
        <v>0</v>
      </c>
      <c r="J2014" s="11">
        <f>((Imput[[#This Row],[Sub total]])*(0.16))</f>
        <v>0</v>
      </c>
      <c r="K2014" s="11">
        <v>0</v>
      </c>
      <c r="L2014" s="169">
        <f>Imput[[#This Row],[Sub total]]+Imput[[#This Row],[IVA]]-Imput[[#This Row],[Retención / IEPS / Descuento]]</f>
        <v>0</v>
      </c>
      <c r="M2014" s="844">
        <v>0</v>
      </c>
      <c r="N2014" s="189"/>
      <c r="O2014" s="1"/>
      <c r="P2014" s="189"/>
      <c r="Q2014" s="190"/>
      <c r="R2014" s="188"/>
      <c r="S2014" s="193"/>
      <c r="T2014" s="192"/>
      <c r="U2014" s="829"/>
      <c r="V2014" s="10"/>
      <c r="W2014" s="10"/>
      <c r="X2014" s="10"/>
      <c r="Y2014" s="10"/>
      <c r="Z2014" s="10"/>
      <c r="AA2014" s="11"/>
      <c r="AB2014" s="11"/>
    </row>
    <row r="2015" spans="2:28" x14ac:dyDescent="0.3">
      <c r="B2015" s="10"/>
      <c r="C2015" s="315"/>
      <c r="D2015" s="868"/>
      <c r="E2015" s="837" t="str">
        <f>IFERROR(IF(_xlfn.XLOOKUP(Imput[[#This Row],[RFC]],'Alta Proveedor'!D:D,'Alta Proveedor'!E:E)=0,"",_xlfn.XLOOKUP(Imput[[#This Row],[RFC]],'Alta Proveedor'!D:D,'Alta Proveedor'!E:E)),"")</f>
        <v/>
      </c>
      <c r="F2015" s="832"/>
      <c r="G2015" s="187"/>
      <c r="H2015" s="1"/>
      <c r="I2015" s="169">
        <f>Imput[[#This Row],[Cantidad]]*Imput[[#This Row],[Precio Unitario]]</f>
        <v>0</v>
      </c>
      <c r="J2015" s="11">
        <f>((Imput[[#This Row],[Sub total]])*(0.16))</f>
        <v>0</v>
      </c>
      <c r="K2015" s="11">
        <v>0</v>
      </c>
      <c r="L2015" s="169">
        <f>Imput[[#This Row],[Sub total]]+Imput[[#This Row],[IVA]]-Imput[[#This Row],[Retención / IEPS / Descuento]]</f>
        <v>0</v>
      </c>
      <c r="M2015" s="844">
        <v>0</v>
      </c>
      <c r="N2015" s="189"/>
      <c r="O2015" s="1"/>
      <c r="P2015" s="189"/>
      <c r="Q2015" s="190"/>
      <c r="R2015" s="188"/>
      <c r="S2015" s="193"/>
      <c r="T2015" s="192"/>
      <c r="U2015" s="829"/>
      <c r="V2015" s="10"/>
      <c r="W2015" s="10"/>
      <c r="X2015" s="10"/>
      <c r="Y2015" s="10"/>
      <c r="Z2015" s="10"/>
      <c r="AA2015" s="11"/>
      <c r="AB2015" s="11"/>
    </row>
    <row r="2016" spans="2:28" x14ac:dyDescent="0.3">
      <c r="B2016" s="10"/>
      <c r="C2016" s="315"/>
      <c r="D2016" s="868"/>
      <c r="E2016" s="837" t="str">
        <f>IFERROR(IF(_xlfn.XLOOKUP(Imput[[#This Row],[RFC]],'Alta Proveedor'!D:D,'Alta Proveedor'!E:E)=0,"",_xlfn.XLOOKUP(Imput[[#This Row],[RFC]],'Alta Proveedor'!D:D,'Alta Proveedor'!E:E)),"")</f>
        <v/>
      </c>
      <c r="F2016" s="832"/>
      <c r="G2016" s="187"/>
      <c r="H2016" s="1"/>
      <c r="I2016" s="169">
        <f>Imput[[#This Row],[Cantidad]]*Imput[[#This Row],[Precio Unitario]]</f>
        <v>0</v>
      </c>
      <c r="J2016" s="11">
        <f>((Imput[[#This Row],[Sub total]])*(0.16))</f>
        <v>0</v>
      </c>
      <c r="K2016" s="11">
        <v>0</v>
      </c>
      <c r="L2016" s="169">
        <f>Imput[[#This Row],[Sub total]]+Imput[[#This Row],[IVA]]-Imput[[#This Row],[Retención / IEPS / Descuento]]</f>
        <v>0</v>
      </c>
      <c r="M2016" s="844">
        <v>0</v>
      </c>
      <c r="N2016" s="189"/>
      <c r="O2016" s="1"/>
      <c r="P2016" s="189"/>
      <c r="Q2016" s="190"/>
      <c r="R2016" s="188"/>
      <c r="S2016" s="193"/>
      <c r="T2016" s="192"/>
      <c r="U2016" s="829"/>
      <c r="V2016" s="10"/>
      <c r="W2016" s="10"/>
      <c r="X2016" s="10"/>
      <c r="Y2016" s="10"/>
      <c r="Z2016" s="10"/>
      <c r="AA2016" s="11"/>
      <c r="AB2016" s="11"/>
    </row>
    <row r="2017" spans="2:28" x14ac:dyDescent="0.3">
      <c r="B2017" s="10"/>
      <c r="C2017" s="315"/>
      <c r="D2017" s="868"/>
      <c r="E2017" s="837" t="str">
        <f>IFERROR(IF(_xlfn.XLOOKUP(Imput[[#This Row],[RFC]],'Alta Proveedor'!D:D,'Alta Proveedor'!E:E)=0,"",_xlfn.XLOOKUP(Imput[[#This Row],[RFC]],'Alta Proveedor'!D:D,'Alta Proveedor'!E:E)),"")</f>
        <v/>
      </c>
      <c r="F2017" s="832"/>
      <c r="G2017" s="187"/>
      <c r="H2017" s="1"/>
      <c r="I2017" s="169">
        <f>Imput[[#This Row],[Cantidad]]*Imput[[#This Row],[Precio Unitario]]</f>
        <v>0</v>
      </c>
      <c r="J2017" s="11">
        <f>((Imput[[#This Row],[Sub total]])*(0.16))</f>
        <v>0</v>
      </c>
      <c r="K2017" s="11">
        <v>0</v>
      </c>
      <c r="L2017" s="169">
        <f>Imput[[#This Row],[Sub total]]+Imput[[#This Row],[IVA]]-Imput[[#This Row],[Retención / IEPS / Descuento]]</f>
        <v>0</v>
      </c>
      <c r="M2017" s="844">
        <v>0</v>
      </c>
      <c r="N2017" s="189"/>
      <c r="O2017" s="1"/>
      <c r="P2017" s="189"/>
      <c r="Q2017" s="190"/>
      <c r="R2017" s="188"/>
      <c r="S2017" s="193"/>
      <c r="T2017" s="192"/>
      <c r="U2017" s="829"/>
      <c r="V2017" s="10"/>
      <c r="W2017" s="10"/>
      <c r="X2017" s="10"/>
      <c r="Y2017" s="10"/>
      <c r="Z2017" s="10"/>
      <c r="AA2017" s="11"/>
      <c r="AB2017" s="11"/>
    </row>
    <row r="2018" spans="2:28" x14ac:dyDescent="0.3">
      <c r="B2018" s="10"/>
      <c r="C2018" s="315"/>
      <c r="D2018" s="868"/>
      <c r="E2018" s="837" t="str">
        <f>IFERROR(IF(_xlfn.XLOOKUP(Imput[[#This Row],[RFC]],'Alta Proveedor'!D:D,'Alta Proveedor'!E:E)=0,"",_xlfn.XLOOKUP(Imput[[#This Row],[RFC]],'Alta Proveedor'!D:D,'Alta Proveedor'!E:E)),"")</f>
        <v/>
      </c>
      <c r="F2018" s="832"/>
      <c r="G2018" s="187"/>
      <c r="H2018" s="1"/>
      <c r="I2018" s="169">
        <f>Imput[[#This Row],[Cantidad]]*Imput[[#This Row],[Precio Unitario]]</f>
        <v>0</v>
      </c>
      <c r="J2018" s="11">
        <f>((Imput[[#This Row],[Sub total]])*(0.16))</f>
        <v>0</v>
      </c>
      <c r="K2018" s="11">
        <v>0</v>
      </c>
      <c r="L2018" s="169">
        <f>Imput[[#This Row],[Sub total]]+Imput[[#This Row],[IVA]]-Imput[[#This Row],[Retención / IEPS / Descuento]]</f>
        <v>0</v>
      </c>
      <c r="M2018" s="844">
        <v>0</v>
      </c>
      <c r="N2018" s="189"/>
      <c r="O2018" s="1"/>
      <c r="P2018" s="189"/>
      <c r="Q2018" s="190"/>
      <c r="R2018" s="188"/>
      <c r="S2018" s="193"/>
      <c r="T2018" s="192"/>
      <c r="U2018" s="829"/>
      <c r="V2018" s="10"/>
      <c r="W2018" s="10"/>
      <c r="X2018" s="10"/>
      <c r="Y2018" s="10"/>
      <c r="Z2018" s="10"/>
      <c r="AA2018" s="11"/>
      <c r="AB2018" s="11"/>
    </row>
    <row r="2019" spans="2:28" x14ac:dyDescent="0.3">
      <c r="B2019" s="10"/>
      <c r="C2019" s="315"/>
      <c r="D2019" s="868"/>
      <c r="E2019" s="837" t="str">
        <f>IFERROR(IF(_xlfn.XLOOKUP(Imput[[#This Row],[RFC]],'Alta Proveedor'!D:D,'Alta Proveedor'!E:E)=0,"",_xlfn.XLOOKUP(Imput[[#This Row],[RFC]],'Alta Proveedor'!D:D,'Alta Proveedor'!E:E)),"")</f>
        <v/>
      </c>
      <c r="F2019" s="832"/>
      <c r="G2019" s="187"/>
      <c r="H2019" s="1"/>
      <c r="I2019" s="169">
        <f>Imput[[#This Row],[Cantidad]]*Imput[[#This Row],[Precio Unitario]]</f>
        <v>0</v>
      </c>
      <c r="J2019" s="11">
        <f>((Imput[[#This Row],[Sub total]])*(0.16))</f>
        <v>0</v>
      </c>
      <c r="K2019" s="11">
        <v>0</v>
      </c>
      <c r="L2019" s="169">
        <f>Imput[[#This Row],[Sub total]]+Imput[[#This Row],[IVA]]-Imput[[#This Row],[Retención / IEPS / Descuento]]</f>
        <v>0</v>
      </c>
      <c r="M2019" s="844">
        <v>0</v>
      </c>
      <c r="N2019" s="189"/>
      <c r="O2019" s="1"/>
      <c r="P2019" s="189"/>
      <c r="Q2019" s="190"/>
      <c r="R2019" s="188"/>
      <c r="S2019" s="193"/>
      <c r="T2019" s="192"/>
      <c r="U2019" s="829"/>
      <c r="V2019" s="10"/>
      <c r="W2019" s="10"/>
      <c r="X2019" s="10"/>
      <c r="Y2019" s="10"/>
      <c r="Z2019" s="10"/>
      <c r="AA2019" s="11"/>
      <c r="AB2019" s="11"/>
    </row>
    <row r="2020" spans="2:28" x14ac:dyDescent="0.3">
      <c r="B2020" s="10"/>
      <c r="C2020" s="315"/>
      <c r="D2020" s="868"/>
      <c r="E2020" s="837" t="str">
        <f>IFERROR(IF(_xlfn.XLOOKUP(Imput[[#This Row],[RFC]],'Alta Proveedor'!D:D,'Alta Proveedor'!E:E)=0,"",_xlfn.XLOOKUP(Imput[[#This Row],[RFC]],'Alta Proveedor'!D:D,'Alta Proveedor'!E:E)),"")</f>
        <v/>
      </c>
      <c r="F2020" s="832"/>
      <c r="G2020" s="187"/>
      <c r="H2020" s="1"/>
      <c r="I2020" s="169">
        <f>Imput[[#This Row],[Cantidad]]*Imput[[#This Row],[Precio Unitario]]</f>
        <v>0</v>
      </c>
      <c r="J2020" s="11">
        <f>((Imput[[#This Row],[Sub total]])*(0.16))</f>
        <v>0</v>
      </c>
      <c r="K2020" s="11">
        <v>0</v>
      </c>
      <c r="L2020" s="169">
        <f>Imput[[#This Row],[Sub total]]+Imput[[#This Row],[IVA]]-Imput[[#This Row],[Retención / IEPS / Descuento]]</f>
        <v>0</v>
      </c>
      <c r="M2020" s="844">
        <v>0</v>
      </c>
      <c r="N2020" s="189"/>
      <c r="O2020" s="1"/>
      <c r="P2020" s="189"/>
      <c r="Q2020" s="190"/>
      <c r="R2020" s="188"/>
      <c r="S2020" s="193"/>
      <c r="T2020" s="192"/>
      <c r="U2020" s="829"/>
      <c r="V2020" s="10"/>
      <c r="W2020" s="10"/>
      <c r="X2020" s="10"/>
      <c r="Y2020" s="10"/>
      <c r="Z2020" s="10"/>
      <c r="AA2020" s="11"/>
      <c r="AB2020" s="11"/>
    </row>
    <row r="2021" spans="2:28" x14ac:dyDescent="0.3">
      <c r="B2021" s="10"/>
      <c r="C2021" s="315"/>
      <c r="D2021" s="868"/>
      <c r="E2021" s="837" t="str">
        <f>IFERROR(IF(_xlfn.XLOOKUP(Imput[[#This Row],[RFC]],'Alta Proveedor'!D:D,'Alta Proveedor'!E:E)=0,"",_xlfn.XLOOKUP(Imput[[#This Row],[RFC]],'Alta Proveedor'!D:D,'Alta Proveedor'!E:E)),"")</f>
        <v/>
      </c>
      <c r="F2021" s="832"/>
      <c r="G2021" s="187"/>
      <c r="H2021" s="1"/>
      <c r="I2021" s="169">
        <f>Imput[[#This Row],[Cantidad]]*Imput[[#This Row],[Precio Unitario]]</f>
        <v>0</v>
      </c>
      <c r="J2021" s="11">
        <f>((Imput[[#This Row],[Sub total]])*(0.16))</f>
        <v>0</v>
      </c>
      <c r="K2021" s="11">
        <v>0</v>
      </c>
      <c r="L2021" s="169">
        <f>Imput[[#This Row],[Sub total]]+Imput[[#This Row],[IVA]]-Imput[[#This Row],[Retención / IEPS / Descuento]]</f>
        <v>0</v>
      </c>
      <c r="M2021" s="844">
        <v>0</v>
      </c>
      <c r="N2021" s="189"/>
      <c r="O2021" s="1"/>
      <c r="P2021" s="189"/>
      <c r="Q2021" s="190"/>
      <c r="R2021" s="188"/>
      <c r="S2021" s="193"/>
      <c r="T2021" s="192"/>
      <c r="U2021" s="829"/>
      <c r="V2021" s="10"/>
      <c r="W2021" s="10"/>
      <c r="X2021" s="10"/>
      <c r="Y2021" s="10"/>
      <c r="Z2021" s="10"/>
      <c r="AA2021" s="11"/>
      <c r="AB2021" s="11"/>
    </row>
    <row r="2022" spans="2:28" x14ac:dyDescent="0.3">
      <c r="B2022" s="10"/>
      <c r="C2022" s="315"/>
      <c r="D2022" s="868"/>
      <c r="E2022" s="837" t="str">
        <f>IFERROR(IF(_xlfn.XLOOKUP(Imput[[#This Row],[RFC]],'Alta Proveedor'!D:D,'Alta Proveedor'!E:E)=0,"",_xlfn.XLOOKUP(Imput[[#This Row],[RFC]],'Alta Proveedor'!D:D,'Alta Proveedor'!E:E)),"")</f>
        <v/>
      </c>
      <c r="F2022" s="832"/>
      <c r="G2022" s="187"/>
      <c r="H2022" s="1"/>
      <c r="I2022" s="169">
        <f>Imput[[#This Row],[Cantidad]]*Imput[[#This Row],[Precio Unitario]]</f>
        <v>0</v>
      </c>
      <c r="J2022" s="11">
        <f>((Imput[[#This Row],[Sub total]])*(0.16))</f>
        <v>0</v>
      </c>
      <c r="K2022" s="11">
        <v>0</v>
      </c>
      <c r="L2022" s="169">
        <f>Imput[[#This Row],[Sub total]]+Imput[[#This Row],[IVA]]-Imput[[#This Row],[Retención / IEPS / Descuento]]</f>
        <v>0</v>
      </c>
      <c r="M2022" s="844">
        <v>0</v>
      </c>
      <c r="N2022" s="189"/>
      <c r="O2022" s="1"/>
      <c r="P2022" s="189"/>
      <c r="Q2022" s="190"/>
      <c r="R2022" s="188"/>
      <c r="S2022" s="193"/>
      <c r="T2022" s="192"/>
      <c r="U2022" s="829"/>
      <c r="V2022" s="10"/>
      <c r="W2022" s="10"/>
      <c r="X2022" s="10"/>
      <c r="Y2022" s="10"/>
      <c r="Z2022" s="10"/>
      <c r="AA2022" s="11"/>
      <c r="AB2022" s="11"/>
    </row>
    <row r="2023" spans="2:28" x14ac:dyDescent="0.3">
      <c r="B2023" s="10"/>
      <c r="C2023" s="315"/>
      <c r="D2023" s="868"/>
      <c r="E2023" s="837" t="str">
        <f>IFERROR(IF(_xlfn.XLOOKUP(Imput[[#This Row],[RFC]],'Alta Proveedor'!D:D,'Alta Proveedor'!E:E)=0,"",_xlfn.XLOOKUP(Imput[[#This Row],[RFC]],'Alta Proveedor'!D:D,'Alta Proveedor'!E:E)),"")</f>
        <v/>
      </c>
      <c r="F2023" s="832"/>
      <c r="G2023" s="187"/>
      <c r="H2023" s="1"/>
      <c r="I2023" s="169">
        <f>Imput[[#This Row],[Cantidad]]*Imput[[#This Row],[Precio Unitario]]</f>
        <v>0</v>
      </c>
      <c r="J2023" s="11">
        <f>((Imput[[#This Row],[Sub total]])*(0.16))</f>
        <v>0</v>
      </c>
      <c r="K2023" s="11">
        <v>0</v>
      </c>
      <c r="L2023" s="169">
        <f>Imput[[#This Row],[Sub total]]+Imput[[#This Row],[IVA]]-Imput[[#This Row],[Retención / IEPS / Descuento]]</f>
        <v>0</v>
      </c>
      <c r="M2023" s="844">
        <v>0</v>
      </c>
      <c r="N2023" s="189"/>
      <c r="O2023" s="1"/>
      <c r="P2023" s="189"/>
      <c r="Q2023" s="190"/>
      <c r="R2023" s="188"/>
      <c r="S2023" s="193"/>
      <c r="T2023" s="192"/>
      <c r="U2023" s="829"/>
      <c r="V2023" s="10"/>
      <c r="W2023" s="10"/>
      <c r="X2023" s="10"/>
      <c r="Y2023" s="10"/>
      <c r="Z2023" s="10"/>
      <c r="AA2023" s="11"/>
      <c r="AB2023" s="11"/>
    </row>
    <row r="2024" spans="2:28" x14ac:dyDescent="0.3">
      <c r="B2024" s="10"/>
      <c r="C2024" s="315"/>
      <c r="D2024" s="868"/>
      <c r="E2024" s="837" t="str">
        <f>IFERROR(IF(_xlfn.XLOOKUP(Imput[[#This Row],[RFC]],'Alta Proveedor'!D:D,'Alta Proveedor'!E:E)=0,"",_xlfn.XLOOKUP(Imput[[#This Row],[RFC]],'Alta Proveedor'!D:D,'Alta Proveedor'!E:E)),"")</f>
        <v/>
      </c>
      <c r="F2024" s="832"/>
      <c r="G2024" s="187"/>
      <c r="H2024" s="1"/>
      <c r="I2024" s="169">
        <f>Imput[[#This Row],[Cantidad]]*Imput[[#This Row],[Precio Unitario]]</f>
        <v>0</v>
      </c>
      <c r="J2024" s="11">
        <f>((Imput[[#This Row],[Sub total]])*(0.16))</f>
        <v>0</v>
      </c>
      <c r="K2024" s="11">
        <v>0</v>
      </c>
      <c r="L2024" s="169">
        <f>Imput[[#This Row],[Sub total]]+Imput[[#This Row],[IVA]]-Imput[[#This Row],[Retención / IEPS / Descuento]]</f>
        <v>0</v>
      </c>
      <c r="M2024" s="844">
        <v>0</v>
      </c>
      <c r="N2024" s="189"/>
      <c r="O2024" s="1"/>
      <c r="P2024" s="189"/>
      <c r="Q2024" s="190"/>
      <c r="R2024" s="188"/>
      <c r="S2024" s="193"/>
      <c r="T2024" s="192"/>
      <c r="U2024" s="829"/>
      <c r="V2024" s="10"/>
      <c r="W2024" s="10"/>
      <c r="X2024" s="10"/>
      <c r="Y2024" s="10"/>
      <c r="Z2024" s="10"/>
      <c r="AA2024" s="11"/>
      <c r="AB2024" s="11"/>
    </row>
    <row r="2025" spans="2:28" x14ac:dyDescent="0.3">
      <c r="B2025" s="10"/>
      <c r="C2025" s="315"/>
      <c r="D2025" s="868"/>
      <c r="E2025" s="837" t="str">
        <f>IFERROR(IF(_xlfn.XLOOKUP(Imput[[#This Row],[RFC]],'Alta Proveedor'!D:D,'Alta Proveedor'!E:E)=0,"",_xlfn.XLOOKUP(Imput[[#This Row],[RFC]],'Alta Proveedor'!D:D,'Alta Proveedor'!E:E)),"")</f>
        <v/>
      </c>
      <c r="F2025" s="832"/>
      <c r="G2025" s="187"/>
      <c r="H2025" s="1"/>
      <c r="I2025" s="169">
        <f>Imput[[#This Row],[Cantidad]]*Imput[[#This Row],[Precio Unitario]]</f>
        <v>0</v>
      </c>
      <c r="J2025" s="11">
        <f>((Imput[[#This Row],[Sub total]])*(0.16))</f>
        <v>0</v>
      </c>
      <c r="K2025" s="11">
        <v>0</v>
      </c>
      <c r="L2025" s="169">
        <f>Imput[[#This Row],[Sub total]]+Imput[[#This Row],[IVA]]-Imput[[#This Row],[Retención / IEPS / Descuento]]</f>
        <v>0</v>
      </c>
      <c r="M2025" s="844">
        <v>0</v>
      </c>
      <c r="N2025" s="189"/>
      <c r="O2025" s="1"/>
      <c r="P2025" s="189"/>
      <c r="Q2025" s="190"/>
      <c r="R2025" s="188"/>
      <c r="S2025" s="193"/>
      <c r="T2025" s="192"/>
      <c r="U2025" s="829"/>
      <c r="V2025" s="10"/>
      <c r="W2025" s="10"/>
      <c r="X2025" s="10"/>
      <c r="Y2025" s="10"/>
      <c r="Z2025" s="10"/>
      <c r="AA2025" s="11"/>
      <c r="AB2025" s="11"/>
    </row>
    <row r="2026" spans="2:28" x14ac:dyDescent="0.3">
      <c r="B2026" s="10"/>
      <c r="C2026" s="315"/>
      <c r="D2026" s="868"/>
      <c r="E2026" s="837" t="str">
        <f>IFERROR(IF(_xlfn.XLOOKUP(Imput[[#This Row],[RFC]],'Alta Proveedor'!D:D,'Alta Proveedor'!E:E)=0,"",_xlfn.XLOOKUP(Imput[[#This Row],[RFC]],'Alta Proveedor'!D:D,'Alta Proveedor'!E:E)),"")</f>
        <v/>
      </c>
      <c r="F2026" s="832"/>
      <c r="G2026" s="187"/>
      <c r="H2026" s="1"/>
      <c r="I2026" s="169">
        <f>Imput[[#This Row],[Cantidad]]*Imput[[#This Row],[Precio Unitario]]</f>
        <v>0</v>
      </c>
      <c r="J2026" s="11">
        <f>((Imput[[#This Row],[Sub total]])*(0.16))</f>
        <v>0</v>
      </c>
      <c r="K2026" s="11">
        <v>0</v>
      </c>
      <c r="L2026" s="169">
        <f>Imput[[#This Row],[Sub total]]+Imput[[#This Row],[IVA]]-Imput[[#This Row],[Retención / IEPS / Descuento]]</f>
        <v>0</v>
      </c>
      <c r="M2026" s="844">
        <v>0</v>
      </c>
      <c r="N2026" s="189"/>
      <c r="O2026" s="1"/>
      <c r="P2026" s="189"/>
      <c r="Q2026" s="190"/>
      <c r="R2026" s="188"/>
      <c r="S2026" s="193"/>
      <c r="T2026" s="192"/>
      <c r="U2026" s="829"/>
      <c r="V2026" s="10"/>
      <c r="W2026" s="10"/>
      <c r="X2026" s="10"/>
      <c r="Y2026" s="10"/>
      <c r="Z2026" s="10"/>
      <c r="AA2026" s="11"/>
      <c r="AB2026" s="11"/>
    </row>
    <row r="2027" spans="2:28" x14ac:dyDescent="0.3">
      <c r="B2027" s="10"/>
      <c r="C2027" s="315"/>
      <c r="D2027" s="868"/>
      <c r="E2027" s="837" t="str">
        <f>IFERROR(IF(_xlfn.XLOOKUP(Imput[[#This Row],[RFC]],'Alta Proveedor'!D:D,'Alta Proveedor'!E:E)=0,"",_xlfn.XLOOKUP(Imput[[#This Row],[RFC]],'Alta Proveedor'!D:D,'Alta Proveedor'!E:E)),"")</f>
        <v/>
      </c>
      <c r="F2027" s="832"/>
      <c r="G2027" s="187"/>
      <c r="H2027" s="1"/>
      <c r="I2027" s="169">
        <f>Imput[[#This Row],[Cantidad]]*Imput[[#This Row],[Precio Unitario]]</f>
        <v>0</v>
      </c>
      <c r="J2027" s="11">
        <f>((Imput[[#This Row],[Sub total]])*(0.16))</f>
        <v>0</v>
      </c>
      <c r="K2027" s="11">
        <v>0</v>
      </c>
      <c r="L2027" s="169">
        <f>Imput[[#This Row],[Sub total]]+Imput[[#This Row],[IVA]]-Imput[[#This Row],[Retención / IEPS / Descuento]]</f>
        <v>0</v>
      </c>
      <c r="M2027" s="844">
        <v>0</v>
      </c>
      <c r="N2027" s="189"/>
      <c r="O2027" s="1"/>
      <c r="P2027" s="189"/>
      <c r="Q2027" s="190"/>
      <c r="R2027" s="188"/>
      <c r="S2027" s="193"/>
      <c r="T2027" s="192"/>
      <c r="U2027" s="829"/>
      <c r="V2027" s="10"/>
      <c r="W2027" s="10"/>
      <c r="X2027" s="10"/>
      <c r="Y2027" s="10"/>
      <c r="Z2027" s="10"/>
      <c r="AA2027" s="11"/>
      <c r="AB2027" s="11"/>
    </row>
    <row r="2028" spans="2:28" x14ac:dyDescent="0.3">
      <c r="B2028" s="10"/>
      <c r="C2028" s="315"/>
      <c r="D2028" s="868"/>
      <c r="E2028" s="837" t="str">
        <f>IFERROR(IF(_xlfn.XLOOKUP(Imput[[#This Row],[RFC]],'Alta Proveedor'!D:D,'Alta Proveedor'!E:E)=0,"",_xlfn.XLOOKUP(Imput[[#This Row],[RFC]],'Alta Proveedor'!D:D,'Alta Proveedor'!E:E)),"")</f>
        <v/>
      </c>
      <c r="F2028" s="832"/>
      <c r="G2028" s="187"/>
      <c r="H2028" s="1"/>
      <c r="I2028" s="169">
        <f>Imput[[#This Row],[Cantidad]]*Imput[[#This Row],[Precio Unitario]]</f>
        <v>0</v>
      </c>
      <c r="J2028" s="11">
        <f>((Imput[[#This Row],[Sub total]])*(0.16))</f>
        <v>0</v>
      </c>
      <c r="K2028" s="11">
        <v>0</v>
      </c>
      <c r="L2028" s="169">
        <f>Imput[[#This Row],[Sub total]]+Imput[[#This Row],[IVA]]-Imput[[#This Row],[Retención / IEPS / Descuento]]</f>
        <v>0</v>
      </c>
      <c r="M2028" s="844">
        <v>0</v>
      </c>
      <c r="N2028" s="189"/>
      <c r="O2028" s="1"/>
      <c r="P2028" s="189"/>
      <c r="Q2028" s="190"/>
      <c r="R2028" s="188"/>
      <c r="S2028" s="193"/>
      <c r="T2028" s="192"/>
      <c r="U2028" s="829"/>
      <c r="V2028" s="10"/>
      <c r="W2028" s="10"/>
      <c r="X2028" s="10"/>
      <c r="Y2028" s="10"/>
      <c r="Z2028" s="10"/>
      <c r="AA2028" s="11"/>
      <c r="AB2028" s="11"/>
    </row>
    <row r="2029" spans="2:28" x14ac:dyDescent="0.3">
      <c r="B2029" s="10"/>
      <c r="C2029" s="315"/>
      <c r="D2029" s="868"/>
      <c r="E2029" s="837" t="str">
        <f>IFERROR(IF(_xlfn.XLOOKUP(Imput[[#This Row],[RFC]],'Alta Proveedor'!D:D,'Alta Proveedor'!E:E)=0,"",_xlfn.XLOOKUP(Imput[[#This Row],[RFC]],'Alta Proveedor'!D:D,'Alta Proveedor'!E:E)),"")</f>
        <v/>
      </c>
      <c r="F2029" s="832"/>
      <c r="G2029" s="187"/>
      <c r="H2029" s="1"/>
      <c r="I2029" s="169">
        <f>Imput[[#This Row],[Cantidad]]*Imput[[#This Row],[Precio Unitario]]</f>
        <v>0</v>
      </c>
      <c r="J2029" s="11">
        <f>((Imput[[#This Row],[Sub total]])*(0.16))</f>
        <v>0</v>
      </c>
      <c r="K2029" s="11">
        <v>0</v>
      </c>
      <c r="L2029" s="169">
        <f>Imput[[#This Row],[Sub total]]+Imput[[#This Row],[IVA]]-Imput[[#This Row],[Retención / IEPS / Descuento]]</f>
        <v>0</v>
      </c>
      <c r="M2029" s="844">
        <v>0</v>
      </c>
      <c r="N2029" s="189"/>
      <c r="O2029" s="1"/>
      <c r="P2029" s="189"/>
      <c r="Q2029" s="190"/>
      <c r="R2029" s="188"/>
      <c r="S2029" s="193"/>
      <c r="T2029" s="192"/>
      <c r="U2029" s="829"/>
      <c r="V2029" s="10"/>
      <c r="W2029" s="10"/>
      <c r="X2029" s="10"/>
      <c r="Y2029" s="10"/>
      <c r="Z2029" s="10"/>
      <c r="AA2029" s="11"/>
      <c r="AB2029" s="11"/>
    </row>
    <row r="2030" spans="2:28" x14ac:dyDescent="0.3">
      <c r="B2030" s="10"/>
      <c r="C2030" s="315"/>
      <c r="D2030" s="868"/>
      <c r="E2030" s="837" t="str">
        <f>IFERROR(IF(_xlfn.XLOOKUP(Imput[[#This Row],[RFC]],'Alta Proveedor'!D:D,'Alta Proveedor'!E:E)=0,"",_xlfn.XLOOKUP(Imput[[#This Row],[RFC]],'Alta Proveedor'!D:D,'Alta Proveedor'!E:E)),"")</f>
        <v/>
      </c>
      <c r="F2030" s="832"/>
      <c r="G2030" s="187"/>
      <c r="H2030" s="1"/>
      <c r="I2030" s="169">
        <f>Imput[[#This Row],[Cantidad]]*Imput[[#This Row],[Precio Unitario]]</f>
        <v>0</v>
      </c>
      <c r="J2030" s="11">
        <f>((Imput[[#This Row],[Sub total]])*(0.16))</f>
        <v>0</v>
      </c>
      <c r="K2030" s="11">
        <v>0</v>
      </c>
      <c r="L2030" s="169">
        <f>Imput[[#This Row],[Sub total]]+Imput[[#This Row],[IVA]]-Imput[[#This Row],[Retención / IEPS / Descuento]]</f>
        <v>0</v>
      </c>
      <c r="M2030" s="844">
        <v>0</v>
      </c>
      <c r="N2030" s="189"/>
      <c r="O2030" s="1"/>
      <c r="P2030" s="189"/>
      <c r="Q2030" s="190"/>
      <c r="R2030" s="188"/>
      <c r="S2030" s="193"/>
      <c r="T2030" s="192"/>
      <c r="U2030" s="829"/>
      <c r="V2030" s="10"/>
      <c r="W2030" s="10"/>
      <c r="X2030" s="10"/>
      <c r="Y2030" s="10"/>
      <c r="Z2030" s="10"/>
      <c r="AA2030" s="11"/>
      <c r="AB2030" s="11"/>
    </row>
    <row r="2031" spans="2:28" x14ac:dyDescent="0.3">
      <c r="B2031" s="10"/>
      <c r="C2031" s="315"/>
      <c r="D2031" s="868"/>
      <c r="E2031" s="837" t="str">
        <f>IFERROR(IF(_xlfn.XLOOKUP(Imput[[#This Row],[RFC]],'Alta Proveedor'!D:D,'Alta Proveedor'!E:E)=0,"",_xlfn.XLOOKUP(Imput[[#This Row],[RFC]],'Alta Proveedor'!D:D,'Alta Proveedor'!E:E)),"")</f>
        <v/>
      </c>
      <c r="F2031" s="832"/>
      <c r="G2031" s="187"/>
      <c r="H2031" s="1"/>
      <c r="I2031" s="169">
        <f>Imput[[#This Row],[Cantidad]]*Imput[[#This Row],[Precio Unitario]]</f>
        <v>0</v>
      </c>
      <c r="J2031" s="11">
        <f>((Imput[[#This Row],[Sub total]])*(0.16))</f>
        <v>0</v>
      </c>
      <c r="K2031" s="11">
        <v>0</v>
      </c>
      <c r="L2031" s="169">
        <f>Imput[[#This Row],[Sub total]]+Imput[[#This Row],[IVA]]-Imput[[#This Row],[Retención / IEPS / Descuento]]</f>
        <v>0</v>
      </c>
      <c r="M2031" s="844">
        <v>0</v>
      </c>
      <c r="N2031" s="189"/>
      <c r="O2031" s="1"/>
      <c r="P2031" s="189"/>
      <c r="Q2031" s="190"/>
      <c r="R2031" s="188"/>
      <c r="S2031" s="193"/>
      <c r="T2031" s="192"/>
      <c r="U2031" s="829"/>
      <c r="V2031" s="10"/>
      <c r="W2031" s="10"/>
      <c r="X2031" s="10"/>
      <c r="Y2031" s="10"/>
      <c r="Z2031" s="10"/>
      <c r="AA2031" s="11"/>
      <c r="AB2031" s="11"/>
    </row>
    <row r="2032" spans="2:28" x14ac:dyDescent="0.3">
      <c r="B2032" s="10"/>
      <c r="C2032" s="315"/>
      <c r="D2032" s="868"/>
      <c r="E2032" s="837" t="str">
        <f>IFERROR(IF(_xlfn.XLOOKUP(Imput[[#This Row],[RFC]],'Alta Proveedor'!D:D,'Alta Proveedor'!E:E)=0,"",_xlfn.XLOOKUP(Imput[[#This Row],[RFC]],'Alta Proveedor'!D:D,'Alta Proveedor'!E:E)),"")</f>
        <v/>
      </c>
      <c r="F2032" s="832"/>
      <c r="G2032" s="187"/>
      <c r="H2032" s="1"/>
      <c r="I2032" s="169">
        <f>Imput[[#This Row],[Cantidad]]*Imput[[#This Row],[Precio Unitario]]</f>
        <v>0</v>
      </c>
      <c r="J2032" s="11">
        <f>((Imput[[#This Row],[Sub total]])*(0.16))</f>
        <v>0</v>
      </c>
      <c r="K2032" s="11">
        <v>0</v>
      </c>
      <c r="L2032" s="169">
        <f>Imput[[#This Row],[Sub total]]+Imput[[#This Row],[IVA]]-Imput[[#This Row],[Retención / IEPS / Descuento]]</f>
        <v>0</v>
      </c>
      <c r="M2032" s="844">
        <v>0</v>
      </c>
      <c r="N2032" s="189"/>
      <c r="O2032" s="1"/>
      <c r="P2032" s="189"/>
      <c r="Q2032" s="190"/>
      <c r="R2032" s="188"/>
      <c r="S2032" s="193"/>
      <c r="T2032" s="192"/>
      <c r="U2032" s="829"/>
      <c r="V2032" s="10"/>
      <c r="W2032" s="10"/>
      <c r="X2032" s="10"/>
      <c r="Y2032" s="10"/>
      <c r="Z2032" s="10"/>
      <c r="AA2032" s="11"/>
      <c r="AB2032" s="11"/>
    </row>
    <row r="2033" spans="2:28" x14ac:dyDescent="0.3">
      <c r="B2033" s="10"/>
      <c r="C2033" s="315"/>
      <c r="D2033" s="868"/>
      <c r="E2033" s="837" t="str">
        <f>IFERROR(IF(_xlfn.XLOOKUP(Imput[[#This Row],[RFC]],'Alta Proveedor'!D:D,'Alta Proveedor'!E:E)=0,"",_xlfn.XLOOKUP(Imput[[#This Row],[RFC]],'Alta Proveedor'!D:D,'Alta Proveedor'!E:E)),"")</f>
        <v/>
      </c>
      <c r="F2033" s="832"/>
      <c r="G2033" s="187"/>
      <c r="H2033" s="1"/>
      <c r="I2033" s="169">
        <f>Imput[[#This Row],[Cantidad]]*Imput[[#This Row],[Precio Unitario]]</f>
        <v>0</v>
      </c>
      <c r="J2033" s="11">
        <f>((Imput[[#This Row],[Sub total]])*(0.16))</f>
        <v>0</v>
      </c>
      <c r="K2033" s="11">
        <v>0</v>
      </c>
      <c r="L2033" s="169">
        <f>Imput[[#This Row],[Sub total]]+Imput[[#This Row],[IVA]]-Imput[[#This Row],[Retención / IEPS / Descuento]]</f>
        <v>0</v>
      </c>
      <c r="M2033" s="844">
        <v>0</v>
      </c>
      <c r="N2033" s="189"/>
      <c r="O2033" s="1"/>
      <c r="P2033" s="189"/>
      <c r="Q2033" s="190"/>
      <c r="R2033" s="188"/>
      <c r="S2033" s="193"/>
      <c r="T2033" s="192"/>
      <c r="U2033" s="829"/>
      <c r="V2033" s="10"/>
      <c r="W2033" s="10"/>
      <c r="X2033" s="10"/>
      <c r="Y2033" s="10"/>
      <c r="Z2033" s="10"/>
      <c r="AA2033" s="11"/>
      <c r="AB2033" s="11"/>
    </row>
    <row r="2034" spans="2:28" x14ac:dyDescent="0.3">
      <c r="B2034" s="10"/>
      <c r="C2034" s="315"/>
      <c r="D2034" s="868"/>
      <c r="E2034" s="837" t="str">
        <f>IFERROR(IF(_xlfn.XLOOKUP(Imput[[#This Row],[RFC]],'Alta Proveedor'!D:D,'Alta Proveedor'!E:E)=0,"",_xlfn.XLOOKUP(Imput[[#This Row],[RFC]],'Alta Proveedor'!D:D,'Alta Proveedor'!E:E)),"")</f>
        <v/>
      </c>
      <c r="F2034" s="832"/>
      <c r="G2034" s="187"/>
      <c r="H2034" s="1"/>
      <c r="I2034" s="169">
        <f>Imput[[#This Row],[Cantidad]]*Imput[[#This Row],[Precio Unitario]]</f>
        <v>0</v>
      </c>
      <c r="J2034" s="11">
        <f>((Imput[[#This Row],[Sub total]])*(0.16))</f>
        <v>0</v>
      </c>
      <c r="K2034" s="11">
        <v>0</v>
      </c>
      <c r="L2034" s="169">
        <f>Imput[[#This Row],[Sub total]]+Imput[[#This Row],[IVA]]-Imput[[#This Row],[Retención / IEPS / Descuento]]</f>
        <v>0</v>
      </c>
      <c r="M2034" s="844">
        <v>0</v>
      </c>
      <c r="N2034" s="189"/>
      <c r="O2034" s="1"/>
      <c r="P2034" s="189"/>
      <c r="Q2034" s="190"/>
      <c r="R2034" s="188"/>
      <c r="S2034" s="193"/>
      <c r="T2034" s="192"/>
      <c r="U2034" s="829"/>
      <c r="V2034" s="10"/>
      <c r="W2034" s="10"/>
      <c r="X2034" s="10"/>
      <c r="Y2034" s="10"/>
      <c r="Z2034" s="10"/>
      <c r="AA2034" s="11"/>
      <c r="AB2034" s="11"/>
    </row>
    <row r="2035" spans="2:28" x14ac:dyDescent="0.3">
      <c r="B2035" s="10"/>
      <c r="C2035" s="315"/>
      <c r="D2035" s="868"/>
      <c r="E2035" s="837" t="str">
        <f>IFERROR(IF(_xlfn.XLOOKUP(Imput[[#This Row],[RFC]],'Alta Proveedor'!D:D,'Alta Proveedor'!E:E)=0,"",_xlfn.XLOOKUP(Imput[[#This Row],[RFC]],'Alta Proveedor'!D:D,'Alta Proveedor'!E:E)),"")</f>
        <v/>
      </c>
      <c r="F2035" s="832"/>
      <c r="G2035" s="187"/>
      <c r="H2035" s="1"/>
      <c r="I2035" s="169">
        <f>Imput[[#This Row],[Cantidad]]*Imput[[#This Row],[Precio Unitario]]</f>
        <v>0</v>
      </c>
      <c r="J2035" s="11">
        <f>((Imput[[#This Row],[Sub total]])*(0.16))</f>
        <v>0</v>
      </c>
      <c r="K2035" s="11">
        <v>0</v>
      </c>
      <c r="L2035" s="169">
        <f>Imput[[#This Row],[Sub total]]+Imput[[#This Row],[IVA]]-Imput[[#This Row],[Retención / IEPS / Descuento]]</f>
        <v>0</v>
      </c>
      <c r="M2035" s="844">
        <v>0</v>
      </c>
      <c r="N2035" s="189"/>
      <c r="O2035" s="1"/>
      <c r="P2035" s="189"/>
      <c r="Q2035" s="190"/>
      <c r="R2035" s="188"/>
      <c r="S2035" s="193"/>
      <c r="T2035" s="192"/>
      <c r="U2035" s="829"/>
      <c r="V2035" s="10"/>
      <c r="W2035" s="10"/>
      <c r="X2035" s="10"/>
      <c r="Y2035" s="10"/>
      <c r="Z2035" s="10"/>
      <c r="AA2035" s="11"/>
      <c r="AB2035" s="11"/>
    </row>
    <row r="2036" spans="2:28" x14ac:dyDescent="0.3">
      <c r="B2036" s="10"/>
      <c r="C2036" s="315"/>
      <c r="D2036" s="868"/>
      <c r="E2036" s="837" t="str">
        <f>IFERROR(IF(_xlfn.XLOOKUP(Imput[[#This Row],[RFC]],'Alta Proveedor'!D:D,'Alta Proveedor'!E:E)=0,"",_xlfn.XLOOKUP(Imput[[#This Row],[RFC]],'Alta Proveedor'!D:D,'Alta Proveedor'!E:E)),"")</f>
        <v/>
      </c>
      <c r="F2036" s="832"/>
      <c r="G2036" s="187"/>
      <c r="H2036" s="1"/>
      <c r="I2036" s="169">
        <f>Imput[[#This Row],[Cantidad]]*Imput[[#This Row],[Precio Unitario]]</f>
        <v>0</v>
      </c>
      <c r="J2036" s="11">
        <f>((Imput[[#This Row],[Sub total]])*(0.16))</f>
        <v>0</v>
      </c>
      <c r="K2036" s="11">
        <v>0</v>
      </c>
      <c r="L2036" s="169">
        <f>Imput[[#This Row],[Sub total]]+Imput[[#This Row],[IVA]]-Imput[[#This Row],[Retención / IEPS / Descuento]]</f>
        <v>0</v>
      </c>
      <c r="M2036" s="844">
        <v>0</v>
      </c>
      <c r="N2036" s="189"/>
      <c r="O2036" s="1"/>
      <c r="P2036" s="189"/>
      <c r="Q2036" s="190"/>
      <c r="R2036" s="188"/>
      <c r="S2036" s="193"/>
      <c r="T2036" s="192"/>
      <c r="U2036" s="829"/>
      <c r="V2036" s="10"/>
      <c r="W2036" s="10"/>
      <c r="X2036" s="10"/>
      <c r="Y2036" s="10"/>
      <c r="Z2036" s="10"/>
      <c r="AA2036" s="11"/>
      <c r="AB2036" s="11"/>
    </row>
    <row r="2037" spans="2:28" x14ac:dyDescent="0.3">
      <c r="B2037" s="10"/>
      <c r="C2037" s="315"/>
      <c r="D2037" s="868"/>
      <c r="E2037" s="837" t="str">
        <f>IFERROR(IF(_xlfn.XLOOKUP(Imput[[#This Row],[RFC]],'Alta Proveedor'!D:D,'Alta Proveedor'!E:E)=0,"",_xlfn.XLOOKUP(Imput[[#This Row],[RFC]],'Alta Proveedor'!D:D,'Alta Proveedor'!E:E)),"")</f>
        <v/>
      </c>
      <c r="F2037" s="832"/>
      <c r="G2037" s="187"/>
      <c r="H2037" s="1"/>
      <c r="I2037" s="169">
        <f>Imput[[#This Row],[Cantidad]]*Imput[[#This Row],[Precio Unitario]]</f>
        <v>0</v>
      </c>
      <c r="J2037" s="11">
        <f>((Imput[[#This Row],[Sub total]])*(0.16))</f>
        <v>0</v>
      </c>
      <c r="K2037" s="11">
        <v>0</v>
      </c>
      <c r="L2037" s="169">
        <f>Imput[[#This Row],[Sub total]]+Imput[[#This Row],[IVA]]-Imput[[#This Row],[Retención / IEPS / Descuento]]</f>
        <v>0</v>
      </c>
      <c r="M2037" s="844">
        <v>0</v>
      </c>
      <c r="N2037" s="189"/>
      <c r="O2037" s="1"/>
      <c r="P2037" s="189"/>
      <c r="Q2037" s="190"/>
      <c r="R2037" s="188"/>
      <c r="S2037" s="193"/>
      <c r="T2037" s="192"/>
      <c r="U2037" s="829"/>
      <c r="V2037" s="10"/>
      <c r="W2037" s="10"/>
      <c r="X2037" s="10"/>
      <c r="Y2037" s="10"/>
      <c r="Z2037" s="10"/>
      <c r="AA2037" s="11"/>
      <c r="AB2037" s="11"/>
    </row>
    <row r="2038" spans="2:28" x14ac:dyDescent="0.3">
      <c r="B2038" s="10"/>
      <c r="C2038" s="315"/>
      <c r="D2038" s="868"/>
      <c r="E2038" s="837" t="str">
        <f>IFERROR(IF(_xlfn.XLOOKUP(Imput[[#This Row],[RFC]],'Alta Proveedor'!D:D,'Alta Proveedor'!E:E)=0,"",_xlfn.XLOOKUP(Imput[[#This Row],[RFC]],'Alta Proveedor'!D:D,'Alta Proveedor'!E:E)),"")</f>
        <v/>
      </c>
      <c r="F2038" s="832"/>
      <c r="G2038" s="187"/>
      <c r="H2038" s="1"/>
      <c r="I2038" s="169">
        <f>Imput[[#This Row],[Cantidad]]*Imput[[#This Row],[Precio Unitario]]</f>
        <v>0</v>
      </c>
      <c r="J2038" s="11">
        <f>((Imput[[#This Row],[Sub total]])*(0.16))</f>
        <v>0</v>
      </c>
      <c r="K2038" s="11">
        <v>0</v>
      </c>
      <c r="L2038" s="169">
        <f>Imput[[#This Row],[Sub total]]+Imput[[#This Row],[IVA]]-Imput[[#This Row],[Retención / IEPS / Descuento]]</f>
        <v>0</v>
      </c>
      <c r="M2038" s="844">
        <v>0</v>
      </c>
      <c r="N2038" s="189"/>
      <c r="O2038" s="1"/>
      <c r="P2038" s="189"/>
      <c r="Q2038" s="190"/>
      <c r="R2038" s="188"/>
      <c r="S2038" s="193"/>
      <c r="T2038" s="192"/>
      <c r="U2038" s="829"/>
      <c r="V2038" s="10"/>
      <c r="W2038" s="10"/>
      <c r="X2038" s="10"/>
      <c r="Y2038" s="10"/>
      <c r="Z2038" s="10"/>
      <c r="AA2038" s="11"/>
      <c r="AB2038" s="11"/>
    </row>
    <row r="2039" spans="2:28" x14ac:dyDescent="0.3">
      <c r="B2039" s="10"/>
      <c r="C2039" s="315"/>
      <c r="D2039" s="868"/>
      <c r="E2039" s="837" t="str">
        <f>IFERROR(IF(_xlfn.XLOOKUP(Imput[[#This Row],[RFC]],'Alta Proveedor'!D:D,'Alta Proveedor'!E:E)=0,"",_xlfn.XLOOKUP(Imput[[#This Row],[RFC]],'Alta Proveedor'!D:D,'Alta Proveedor'!E:E)),"")</f>
        <v/>
      </c>
      <c r="F2039" s="832"/>
      <c r="G2039" s="187"/>
      <c r="H2039" s="1"/>
      <c r="I2039" s="169">
        <f>Imput[[#This Row],[Cantidad]]*Imput[[#This Row],[Precio Unitario]]</f>
        <v>0</v>
      </c>
      <c r="J2039" s="11">
        <f>((Imput[[#This Row],[Sub total]])*(0.16))</f>
        <v>0</v>
      </c>
      <c r="K2039" s="11">
        <v>0</v>
      </c>
      <c r="L2039" s="169">
        <f>Imput[[#This Row],[Sub total]]+Imput[[#This Row],[IVA]]-Imput[[#This Row],[Retención / IEPS / Descuento]]</f>
        <v>0</v>
      </c>
      <c r="M2039" s="844">
        <v>0</v>
      </c>
      <c r="N2039" s="189"/>
      <c r="O2039" s="1"/>
      <c r="P2039" s="189"/>
      <c r="Q2039" s="190"/>
      <c r="R2039" s="188"/>
      <c r="S2039" s="193"/>
      <c r="T2039" s="192"/>
      <c r="U2039" s="829"/>
      <c r="V2039" s="10"/>
      <c r="W2039" s="10"/>
      <c r="X2039" s="10"/>
      <c r="Y2039" s="10"/>
      <c r="Z2039" s="10"/>
      <c r="AA2039" s="11"/>
      <c r="AB2039" s="11"/>
    </row>
    <row r="2040" spans="2:28" x14ac:dyDescent="0.3">
      <c r="B2040" s="10"/>
      <c r="C2040" s="315"/>
      <c r="D2040" s="868"/>
      <c r="E2040" s="837" t="str">
        <f>IFERROR(IF(_xlfn.XLOOKUP(Imput[[#This Row],[RFC]],'Alta Proveedor'!D:D,'Alta Proveedor'!E:E)=0,"",_xlfn.XLOOKUP(Imput[[#This Row],[RFC]],'Alta Proveedor'!D:D,'Alta Proveedor'!E:E)),"")</f>
        <v/>
      </c>
      <c r="F2040" s="832"/>
      <c r="G2040" s="187"/>
      <c r="H2040" s="1"/>
      <c r="I2040" s="169">
        <f>Imput[[#This Row],[Cantidad]]*Imput[[#This Row],[Precio Unitario]]</f>
        <v>0</v>
      </c>
      <c r="J2040" s="11">
        <f>((Imput[[#This Row],[Sub total]])*(0.16))</f>
        <v>0</v>
      </c>
      <c r="K2040" s="11">
        <v>0</v>
      </c>
      <c r="L2040" s="169">
        <f>Imput[[#This Row],[Sub total]]+Imput[[#This Row],[IVA]]-Imput[[#This Row],[Retención / IEPS / Descuento]]</f>
        <v>0</v>
      </c>
      <c r="M2040" s="844">
        <v>0</v>
      </c>
      <c r="N2040" s="189"/>
      <c r="O2040" s="1"/>
      <c r="P2040" s="189"/>
      <c r="Q2040" s="190"/>
      <c r="R2040" s="188"/>
      <c r="S2040" s="193"/>
      <c r="T2040" s="192"/>
      <c r="U2040" s="829"/>
      <c r="V2040" s="10"/>
      <c r="W2040" s="10"/>
      <c r="X2040" s="10"/>
      <c r="Y2040" s="10"/>
      <c r="Z2040" s="10"/>
      <c r="AA2040" s="11"/>
      <c r="AB2040" s="11"/>
    </row>
    <row r="2041" spans="2:28" x14ac:dyDescent="0.3">
      <c r="B2041" s="10"/>
      <c r="C2041" s="315"/>
      <c r="D2041" s="868"/>
      <c r="E2041" s="837" t="str">
        <f>IFERROR(IF(_xlfn.XLOOKUP(Imput[[#This Row],[RFC]],'Alta Proveedor'!D:D,'Alta Proveedor'!E:E)=0,"",_xlfn.XLOOKUP(Imput[[#This Row],[RFC]],'Alta Proveedor'!D:D,'Alta Proveedor'!E:E)),"")</f>
        <v/>
      </c>
      <c r="F2041" s="832"/>
      <c r="G2041" s="187"/>
      <c r="H2041" s="1"/>
      <c r="I2041" s="169">
        <f>Imput[[#This Row],[Cantidad]]*Imput[[#This Row],[Precio Unitario]]</f>
        <v>0</v>
      </c>
      <c r="J2041" s="11">
        <f>((Imput[[#This Row],[Sub total]])*(0.16))</f>
        <v>0</v>
      </c>
      <c r="K2041" s="11">
        <v>0</v>
      </c>
      <c r="L2041" s="169">
        <f>Imput[[#This Row],[Sub total]]+Imput[[#This Row],[IVA]]-Imput[[#This Row],[Retención / IEPS / Descuento]]</f>
        <v>0</v>
      </c>
      <c r="M2041" s="844">
        <v>0</v>
      </c>
      <c r="N2041" s="189"/>
      <c r="O2041" s="1"/>
      <c r="P2041" s="189"/>
      <c r="Q2041" s="190"/>
      <c r="R2041" s="188"/>
      <c r="S2041" s="193"/>
      <c r="T2041" s="192"/>
      <c r="U2041" s="829"/>
      <c r="V2041" s="10"/>
      <c r="W2041" s="10"/>
      <c r="X2041" s="10"/>
      <c r="Y2041" s="10"/>
      <c r="Z2041" s="10"/>
      <c r="AA2041" s="11"/>
      <c r="AB2041" s="11"/>
    </row>
    <row r="2042" spans="2:28" x14ac:dyDescent="0.3">
      <c r="B2042" s="10"/>
      <c r="C2042" s="315"/>
      <c r="D2042" s="868"/>
      <c r="E2042" s="837" t="str">
        <f>IFERROR(IF(_xlfn.XLOOKUP(Imput[[#This Row],[RFC]],'Alta Proveedor'!D:D,'Alta Proveedor'!E:E)=0,"",_xlfn.XLOOKUP(Imput[[#This Row],[RFC]],'Alta Proveedor'!D:D,'Alta Proveedor'!E:E)),"")</f>
        <v/>
      </c>
      <c r="F2042" s="832"/>
      <c r="G2042" s="187"/>
      <c r="H2042" s="1"/>
      <c r="I2042" s="169">
        <f>Imput[[#This Row],[Cantidad]]*Imput[[#This Row],[Precio Unitario]]</f>
        <v>0</v>
      </c>
      <c r="J2042" s="11">
        <f>((Imput[[#This Row],[Sub total]])*(0.16))</f>
        <v>0</v>
      </c>
      <c r="K2042" s="11">
        <v>0</v>
      </c>
      <c r="L2042" s="169">
        <f>Imput[[#This Row],[Sub total]]+Imput[[#This Row],[IVA]]-Imput[[#This Row],[Retención / IEPS / Descuento]]</f>
        <v>0</v>
      </c>
      <c r="M2042" s="844">
        <v>0</v>
      </c>
      <c r="N2042" s="189"/>
      <c r="O2042" s="1"/>
      <c r="P2042" s="189"/>
      <c r="Q2042" s="190"/>
      <c r="R2042" s="188"/>
      <c r="S2042" s="193"/>
      <c r="T2042" s="192"/>
      <c r="U2042" s="829"/>
      <c r="V2042" s="10"/>
      <c r="W2042" s="10"/>
      <c r="X2042" s="10"/>
      <c r="Y2042" s="10"/>
      <c r="Z2042" s="10"/>
      <c r="AA2042" s="11"/>
      <c r="AB2042" s="11"/>
    </row>
    <row r="2043" spans="2:28" x14ac:dyDescent="0.3">
      <c r="B2043" s="10"/>
      <c r="C2043" s="315"/>
      <c r="D2043" s="868"/>
      <c r="E2043" s="837" t="str">
        <f>IFERROR(IF(_xlfn.XLOOKUP(Imput[[#This Row],[RFC]],'Alta Proveedor'!D:D,'Alta Proveedor'!E:E)=0,"",_xlfn.XLOOKUP(Imput[[#This Row],[RFC]],'Alta Proveedor'!D:D,'Alta Proveedor'!E:E)),"")</f>
        <v/>
      </c>
      <c r="F2043" s="832"/>
      <c r="G2043" s="187"/>
      <c r="H2043" s="1"/>
      <c r="I2043" s="169">
        <f>Imput[[#This Row],[Cantidad]]*Imput[[#This Row],[Precio Unitario]]</f>
        <v>0</v>
      </c>
      <c r="J2043" s="11">
        <f>((Imput[[#This Row],[Sub total]])*(0.16))</f>
        <v>0</v>
      </c>
      <c r="K2043" s="11">
        <v>0</v>
      </c>
      <c r="L2043" s="169">
        <f>Imput[[#This Row],[Sub total]]+Imput[[#This Row],[IVA]]-Imput[[#This Row],[Retención / IEPS / Descuento]]</f>
        <v>0</v>
      </c>
      <c r="M2043" s="844">
        <v>0</v>
      </c>
      <c r="N2043" s="189"/>
      <c r="O2043" s="1"/>
      <c r="P2043" s="189"/>
      <c r="Q2043" s="190"/>
      <c r="R2043" s="188"/>
      <c r="S2043" s="193"/>
      <c r="T2043" s="192"/>
      <c r="U2043" s="829"/>
      <c r="V2043" s="10"/>
      <c r="W2043" s="10"/>
      <c r="X2043" s="10"/>
      <c r="Y2043" s="10"/>
      <c r="Z2043" s="10"/>
      <c r="AA2043" s="11"/>
      <c r="AB2043" s="11"/>
    </row>
    <row r="2044" spans="2:28" x14ac:dyDescent="0.3">
      <c r="B2044" s="10"/>
      <c r="C2044" s="315"/>
      <c r="D2044" s="868"/>
      <c r="E2044" s="837" t="str">
        <f>IFERROR(IF(_xlfn.XLOOKUP(Imput[[#This Row],[RFC]],'Alta Proveedor'!D:D,'Alta Proveedor'!E:E)=0,"",_xlfn.XLOOKUP(Imput[[#This Row],[RFC]],'Alta Proveedor'!D:D,'Alta Proveedor'!E:E)),"")</f>
        <v/>
      </c>
      <c r="F2044" s="832"/>
      <c r="G2044" s="187"/>
      <c r="H2044" s="1"/>
      <c r="I2044" s="169">
        <f>Imput[[#This Row],[Cantidad]]*Imput[[#This Row],[Precio Unitario]]</f>
        <v>0</v>
      </c>
      <c r="J2044" s="11">
        <f>((Imput[[#This Row],[Sub total]])*(0.16))</f>
        <v>0</v>
      </c>
      <c r="K2044" s="11">
        <v>0</v>
      </c>
      <c r="L2044" s="169">
        <f>Imput[[#This Row],[Sub total]]+Imput[[#This Row],[IVA]]-Imput[[#This Row],[Retención / IEPS / Descuento]]</f>
        <v>0</v>
      </c>
      <c r="M2044" s="844">
        <v>0</v>
      </c>
      <c r="N2044" s="189"/>
      <c r="O2044" s="1"/>
      <c r="P2044" s="189"/>
      <c r="Q2044" s="190"/>
      <c r="R2044" s="188"/>
      <c r="S2044" s="193"/>
      <c r="T2044" s="192"/>
      <c r="U2044" s="829"/>
      <c r="V2044" s="10"/>
      <c r="W2044" s="10"/>
      <c r="X2044" s="10"/>
      <c r="Y2044" s="10"/>
      <c r="Z2044" s="10"/>
      <c r="AA2044" s="11"/>
      <c r="AB2044" s="11"/>
    </row>
    <row r="2045" spans="2:28" x14ac:dyDescent="0.3">
      <c r="B2045" s="10"/>
      <c r="C2045" s="315"/>
      <c r="D2045" s="868"/>
      <c r="E2045" s="837" t="str">
        <f>IFERROR(IF(_xlfn.XLOOKUP(Imput[[#This Row],[RFC]],'Alta Proveedor'!D:D,'Alta Proveedor'!E:E)=0,"",_xlfn.XLOOKUP(Imput[[#This Row],[RFC]],'Alta Proveedor'!D:D,'Alta Proveedor'!E:E)),"")</f>
        <v/>
      </c>
      <c r="F2045" s="832"/>
      <c r="G2045" s="187"/>
      <c r="H2045" s="1"/>
      <c r="I2045" s="169">
        <f>Imput[[#This Row],[Cantidad]]*Imput[[#This Row],[Precio Unitario]]</f>
        <v>0</v>
      </c>
      <c r="J2045" s="11">
        <f>((Imput[[#This Row],[Sub total]])*(0.16))</f>
        <v>0</v>
      </c>
      <c r="K2045" s="11">
        <v>0</v>
      </c>
      <c r="L2045" s="169">
        <f>Imput[[#This Row],[Sub total]]+Imput[[#This Row],[IVA]]-Imput[[#This Row],[Retención / IEPS / Descuento]]</f>
        <v>0</v>
      </c>
      <c r="M2045" s="844">
        <v>0</v>
      </c>
      <c r="N2045" s="189"/>
      <c r="O2045" s="1"/>
      <c r="P2045" s="189"/>
      <c r="Q2045" s="190"/>
      <c r="R2045" s="188"/>
      <c r="S2045" s="193"/>
      <c r="T2045" s="192"/>
      <c r="U2045" s="829"/>
      <c r="V2045" s="10"/>
      <c r="W2045" s="10"/>
      <c r="X2045" s="10"/>
      <c r="Y2045" s="10"/>
      <c r="Z2045" s="10"/>
      <c r="AA2045" s="11"/>
      <c r="AB2045" s="11"/>
    </row>
    <row r="2046" spans="2:28" x14ac:dyDescent="0.3">
      <c r="B2046" s="10"/>
      <c r="C2046" s="315"/>
      <c r="D2046" s="868"/>
      <c r="E2046" s="837" t="str">
        <f>IFERROR(IF(_xlfn.XLOOKUP(Imput[[#This Row],[RFC]],'Alta Proveedor'!D:D,'Alta Proveedor'!E:E)=0,"",_xlfn.XLOOKUP(Imput[[#This Row],[RFC]],'Alta Proveedor'!D:D,'Alta Proveedor'!E:E)),"")</f>
        <v/>
      </c>
      <c r="F2046" s="832"/>
      <c r="G2046" s="187"/>
      <c r="H2046" s="1"/>
      <c r="I2046" s="169">
        <f>Imput[[#This Row],[Cantidad]]*Imput[[#This Row],[Precio Unitario]]</f>
        <v>0</v>
      </c>
      <c r="J2046" s="11">
        <f>((Imput[[#This Row],[Sub total]])*(0.16))</f>
        <v>0</v>
      </c>
      <c r="K2046" s="11">
        <v>0</v>
      </c>
      <c r="L2046" s="169">
        <f>Imput[[#This Row],[Sub total]]+Imput[[#This Row],[IVA]]-Imput[[#This Row],[Retención / IEPS / Descuento]]</f>
        <v>0</v>
      </c>
      <c r="M2046" s="844">
        <v>0</v>
      </c>
      <c r="N2046" s="189"/>
      <c r="O2046" s="1"/>
      <c r="P2046" s="189"/>
      <c r="Q2046" s="190"/>
      <c r="R2046" s="188"/>
      <c r="S2046" s="193"/>
      <c r="T2046" s="192"/>
      <c r="U2046" s="829"/>
      <c r="V2046" s="10"/>
      <c r="W2046" s="10"/>
      <c r="X2046" s="10"/>
      <c r="Y2046" s="10"/>
      <c r="Z2046" s="10"/>
      <c r="AA2046" s="11"/>
      <c r="AB2046" s="11"/>
    </row>
    <row r="2047" spans="2:28" x14ac:dyDescent="0.3">
      <c r="B2047" s="10"/>
      <c r="C2047" s="315"/>
      <c r="D2047" s="868"/>
      <c r="E2047" s="837" t="str">
        <f>IFERROR(IF(_xlfn.XLOOKUP(Imput[[#This Row],[RFC]],'Alta Proveedor'!D:D,'Alta Proveedor'!E:E)=0,"",_xlfn.XLOOKUP(Imput[[#This Row],[RFC]],'Alta Proveedor'!D:D,'Alta Proveedor'!E:E)),"")</f>
        <v/>
      </c>
      <c r="F2047" s="832"/>
      <c r="G2047" s="187"/>
      <c r="H2047" s="1"/>
      <c r="I2047" s="169">
        <f>Imput[[#This Row],[Cantidad]]*Imput[[#This Row],[Precio Unitario]]</f>
        <v>0</v>
      </c>
      <c r="J2047" s="11">
        <f>((Imput[[#This Row],[Sub total]])*(0.16))</f>
        <v>0</v>
      </c>
      <c r="K2047" s="11">
        <v>0</v>
      </c>
      <c r="L2047" s="169">
        <f>Imput[[#This Row],[Sub total]]+Imput[[#This Row],[IVA]]-Imput[[#This Row],[Retención / IEPS / Descuento]]</f>
        <v>0</v>
      </c>
      <c r="M2047" s="844">
        <v>0</v>
      </c>
      <c r="N2047" s="189"/>
      <c r="O2047" s="1"/>
      <c r="P2047" s="189"/>
      <c r="Q2047" s="190"/>
      <c r="R2047" s="188"/>
      <c r="S2047" s="193"/>
      <c r="T2047" s="192"/>
      <c r="U2047" s="829"/>
      <c r="V2047" s="10"/>
      <c r="W2047" s="10"/>
      <c r="X2047" s="10"/>
      <c r="Y2047" s="10"/>
      <c r="Z2047" s="10"/>
      <c r="AA2047" s="11"/>
      <c r="AB2047" s="11"/>
    </row>
    <row r="2048" spans="2:28" x14ac:dyDescent="0.3">
      <c r="B2048" s="10"/>
      <c r="C2048" s="315"/>
      <c r="D2048" s="868"/>
      <c r="E2048" s="837" t="str">
        <f>IFERROR(IF(_xlfn.XLOOKUP(Imput[[#This Row],[RFC]],'Alta Proveedor'!D:D,'Alta Proveedor'!E:E)=0,"",_xlfn.XLOOKUP(Imput[[#This Row],[RFC]],'Alta Proveedor'!D:D,'Alta Proveedor'!E:E)),"")</f>
        <v/>
      </c>
      <c r="F2048" s="832"/>
      <c r="G2048" s="187"/>
      <c r="H2048" s="1"/>
      <c r="I2048" s="169">
        <f>Imput[[#This Row],[Cantidad]]*Imput[[#This Row],[Precio Unitario]]</f>
        <v>0</v>
      </c>
      <c r="J2048" s="11">
        <f>((Imput[[#This Row],[Sub total]])*(0.16))</f>
        <v>0</v>
      </c>
      <c r="K2048" s="11">
        <v>0</v>
      </c>
      <c r="L2048" s="169">
        <f>Imput[[#This Row],[Sub total]]+Imput[[#This Row],[IVA]]-Imput[[#This Row],[Retención / IEPS / Descuento]]</f>
        <v>0</v>
      </c>
      <c r="M2048" s="844">
        <v>0</v>
      </c>
      <c r="N2048" s="189"/>
      <c r="O2048" s="1"/>
      <c r="P2048" s="189"/>
      <c r="Q2048" s="190"/>
      <c r="R2048" s="188"/>
      <c r="S2048" s="193"/>
      <c r="T2048" s="192"/>
      <c r="U2048" s="829"/>
      <c r="V2048" s="10"/>
      <c r="W2048" s="10"/>
      <c r="X2048" s="10"/>
      <c r="Y2048" s="10"/>
      <c r="Z2048" s="10"/>
      <c r="AA2048" s="11"/>
      <c r="AB2048" s="11"/>
    </row>
    <row r="2049" spans="2:28" x14ac:dyDescent="0.3">
      <c r="B2049" s="10"/>
      <c r="C2049" s="315"/>
      <c r="D2049" s="868"/>
      <c r="E2049" s="837" t="str">
        <f>IFERROR(IF(_xlfn.XLOOKUP(Imput[[#This Row],[RFC]],'Alta Proveedor'!D:D,'Alta Proveedor'!E:E)=0,"",_xlfn.XLOOKUP(Imput[[#This Row],[RFC]],'Alta Proveedor'!D:D,'Alta Proveedor'!E:E)),"")</f>
        <v/>
      </c>
      <c r="F2049" s="832"/>
      <c r="G2049" s="187"/>
      <c r="H2049" s="1"/>
      <c r="I2049" s="169">
        <f>Imput[[#This Row],[Cantidad]]*Imput[[#This Row],[Precio Unitario]]</f>
        <v>0</v>
      </c>
      <c r="J2049" s="11">
        <f>((Imput[[#This Row],[Sub total]])*(0.16))</f>
        <v>0</v>
      </c>
      <c r="K2049" s="11">
        <v>0</v>
      </c>
      <c r="L2049" s="169">
        <f>Imput[[#This Row],[Sub total]]+Imput[[#This Row],[IVA]]-Imput[[#This Row],[Retención / IEPS / Descuento]]</f>
        <v>0</v>
      </c>
      <c r="M2049" s="844">
        <v>0</v>
      </c>
      <c r="N2049" s="189"/>
      <c r="O2049" s="1"/>
      <c r="P2049" s="189"/>
      <c r="Q2049" s="190"/>
      <c r="R2049" s="188"/>
      <c r="S2049" s="193"/>
      <c r="T2049" s="192"/>
      <c r="U2049" s="829"/>
      <c r="V2049" s="10"/>
      <c r="W2049" s="10"/>
      <c r="X2049" s="10"/>
      <c r="Y2049" s="10"/>
      <c r="Z2049" s="10"/>
      <c r="AA2049" s="11"/>
      <c r="AB2049" s="11"/>
    </row>
    <row r="2050" spans="2:28" x14ac:dyDescent="0.3">
      <c r="B2050" s="10"/>
      <c r="C2050" s="315"/>
      <c r="D2050" s="868"/>
      <c r="E2050" s="837" t="str">
        <f>IFERROR(IF(_xlfn.XLOOKUP(Imput[[#This Row],[RFC]],'Alta Proveedor'!D:D,'Alta Proveedor'!E:E)=0,"",_xlfn.XLOOKUP(Imput[[#This Row],[RFC]],'Alta Proveedor'!D:D,'Alta Proveedor'!E:E)),"")</f>
        <v/>
      </c>
      <c r="F2050" s="832"/>
      <c r="G2050" s="187"/>
      <c r="H2050" s="1"/>
      <c r="I2050" s="169">
        <f>Imput[[#This Row],[Cantidad]]*Imput[[#This Row],[Precio Unitario]]</f>
        <v>0</v>
      </c>
      <c r="J2050" s="11">
        <f>((Imput[[#This Row],[Sub total]])*(0.16))</f>
        <v>0</v>
      </c>
      <c r="K2050" s="11">
        <v>0</v>
      </c>
      <c r="L2050" s="169">
        <f>Imput[[#This Row],[Sub total]]+Imput[[#This Row],[IVA]]-Imput[[#This Row],[Retención / IEPS / Descuento]]</f>
        <v>0</v>
      </c>
      <c r="M2050" s="844">
        <v>0</v>
      </c>
      <c r="N2050" s="189"/>
      <c r="O2050" s="1"/>
      <c r="P2050" s="189"/>
      <c r="Q2050" s="190"/>
      <c r="R2050" s="188"/>
      <c r="S2050" s="193"/>
      <c r="T2050" s="192"/>
      <c r="U2050" s="829"/>
      <c r="V2050" s="10"/>
      <c r="W2050" s="10"/>
      <c r="X2050" s="10"/>
      <c r="Y2050" s="10"/>
      <c r="Z2050" s="10"/>
      <c r="AA2050" s="11"/>
      <c r="AB2050" s="11"/>
    </row>
    <row r="2051" spans="2:28" x14ac:dyDescent="0.3">
      <c r="B2051" s="10"/>
      <c r="C2051" s="315"/>
      <c r="D2051" s="868"/>
      <c r="E2051" s="837" t="str">
        <f>IFERROR(IF(_xlfn.XLOOKUP(Imput[[#This Row],[RFC]],'Alta Proveedor'!D:D,'Alta Proveedor'!E:E)=0,"",_xlfn.XLOOKUP(Imput[[#This Row],[RFC]],'Alta Proveedor'!D:D,'Alta Proveedor'!E:E)),"")</f>
        <v/>
      </c>
      <c r="F2051" s="832"/>
      <c r="G2051" s="187"/>
      <c r="H2051" s="1"/>
      <c r="I2051" s="169">
        <f>Imput[[#This Row],[Cantidad]]*Imput[[#This Row],[Precio Unitario]]</f>
        <v>0</v>
      </c>
      <c r="J2051" s="11">
        <f>((Imput[[#This Row],[Sub total]])*(0.16))</f>
        <v>0</v>
      </c>
      <c r="K2051" s="11">
        <v>0</v>
      </c>
      <c r="L2051" s="169">
        <f>Imput[[#This Row],[Sub total]]+Imput[[#This Row],[IVA]]-Imput[[#This Row],[Retención / IEPS / Descuento]]</f>
        <v>0</v>
      </c>
      <c r="M2051" s="844">
        <v>0</v>
      </c>
      <c r="N2051" s="189"/>
      <c r="O2051" s="1"/>
      <c r="P2051" s="189"/>
      <c r="Q2051" s="190"/>
      <c r="R2051" s="188"/>
      <c r="S2051" s="193"/>
      <c r="T2051" s="192"/>
      <c r="U2051" s="829"/>
      <c r="V2051" s="10"/>
      <c r="W2051" s="10"/>
      <c r="X2051" s="10"/>
      <c r="Y2051" s="10"/>
      <c r="Z2051" s="10"/>
      <c r="AA2051" s="11"/>
      <c r="AB2051" s="11"/>
    </row>
    <row r="2052" spans="2:28" x14ac:dyDescent="0.3">
      <c r="B2052" s="10"/>
      <c r="C2052" s="315"/>
      <c r="D2052" s="868"/>
      <c r="E2052" s="837" t="str">
        <f>IFERROR(IF(_xlfn.XLOOKUP(Imput[[#This Row],[RFC]],'Alta Proveedor'!D:D,'Alta Proveedor'!E:E)=0,"",_xlfn.XLOOKUP(Imput[[#This Row],[RFC]],'Alta Proveedor'!D:D,'Alta Proveedor'!E:E)),"")</f>
        <v/>
      </c>
      <c r="F2052" s="832"/>
      <c r="G2052" s="187"/>
      <c r="H2052" s="1"/>
      <c r="I2052" s="169">
        <f>Imput[[#This Row],[Cantidad]]*Imput[[#This Row],[Precio Unitario]]</f>
        <v>0</v>
      </c>
      <c r="J2052" s="11">
        <f>((Imput[[#This Row],[Sub total]])*(0.16))</f>
        <v>0</v>
      </c>
      <c r="K2052" s="11">
        <v>0</v>
      </c>
      <c r="L2052" s="169">
        <f>Imput[[#This Row],[Sub total]]+Imput[[#This Row],[IVA]]-Imput[[#This Row],[Retención / IEPS / Descuento]]</f>
        <v>0</v>
      </c>
      <c r="M2052" s="844">
        <v>0</v>
      </c>
      <c r="N2052" s="189"/>
      <c r="O2052" s="1"/>
      <c r="P2052" s="189"/>
      <c r="Q2052" s="190"/>
      <c r="R2052" s="188"/>
      <c r="S2052" s="193"/>
      <c r="T2052" s="192"/>
      <c r="U2052" s="829"/>
      <c r="V2052" s="10"/>
      <c r="W2052" s="10"/>
      <c r="X2052" s="10"/>
      <c r="Y2052" s="10"/>
      <c r="Z2052" s="10"/>
      <c r="AA2052" s="11"/>
      <c r="AB2052" s="11"/>
    </row>
    <row r="2053" spans="2:28" x14ac:dyDescent="0.3">
      <c r="B2053" s="10"/>
      <c r="C2053" s="315"/>
      <c r="D2053" s="868"/>
      <c r="E2053" s="837" t="str">
        <f>IFERROR(IF(_xlfn.XLOOKUP(Imput[[#This Row],[RFC]],'Alta Proveedor'!D:D,'Alta Proveedor'!E:E)=0,"",_xlfn.XLOOKUP(Imput[[#This Row],[RFC]],'Alta Proveedor'!D:D,'Alta Proveedor'!E:E)),"")</f>
        <v/>
      </c>
      <c r="F2053" s="832"/>
      <c r="G2053" s="187"/>
      <c r="H2053" s="1"/>
      <c r="I2053" s="169">
        <f>Imput[[#This Row],[Cantidad]]*Imput[[#This Row],[Precio Unitario]]</f>
        <v>0</v>
      </c>
      <c r="J2053" s="11">
        <f>((Imput[[#This Row],[Sub total]])*(0.16))</f>
        <v>0</v>
      </c>
      <c r="K2053" s="11">
        <v>0</v>
      </c>
      <c r="L2053" s="169">
        <f>Imput[[#This Row],[Sub total]]+Imput[[#This Row],[IVA]]-Imput[[#This Row],[Retención / IEPS / Descuento]]</f>
        <v>0</v>
      </c>
      <c r="M2053" s="844">
        <v>0</v>
      </c>
      <c r="N2053" s="189"/>
      <c r="O2053" s="1"/>
      <c r="P2053" s="189"/>
      <c r="Q2053" s="190"/>
      <c r="R2053" s="188"/>
      <c r="S2053" s="193"/>
      <c r="T2053" s="192"/>
      <c r="U2053" s="829"/>
      <c r="V2053" s="10"/>
      <c r="W2053" s="10"/>
      <c r="X2053" s="10"/>
      <c r="Y2053" s="10"/>
      <c r="Z2053" s="10"/>
      <c r="AA2053" s="11"/>
      <c r="AB2053" s="11"/>
    </row>
    <row r="2054" spans="2:28" x14ac:dyDescent="0.3">
      <c r="B2054" s="10"/>
      <c r="C2054" s="315"/>
      <c r="D2054" s="868"/>
      <c r="E2054" s="837" t="str">
        <f>IFERROR(IF(_xlfn.XLOOKUP(Imput[[#This Row],[RFC]],'Alta Proveedor'!D:D,'Alta Proveedor'!E:E)=0,"",_xlfn.XLOOKUP(Imput[[#This Row],[RFC]],'Alta Proveedor'!D:D,'Alta Proveedor'!E:E)),"")</f>
        <v/>
      </c>
      <c r="F2054" s="832"/>
      <c r="G2054" s="187"/>
      <c r="H2054" s="1"/>
      <c r="I2054" s="169">
        <f>Imput[[#This Row],[Cantidad]]*Imput[[#This Row],[Precio Unitario]]</f>
        <v>0</v>
      </c>
      <c r="J2054" s="11">
        <f>((Imput[[#This Row],[Sub total]])*(0.16))</f>
        <v>0</v>
      </c>
      <c r="K2054" s="11">
        <v>0</v>
      </c>
      <c r="L2054" s="169">
        <f>Imput[[#This Row],[Sub total]]+Imput[[#This Row],[IVA]]-Imput[[#This Row],[Retención / IEPS / Descuento]]</f>
        <v>0</v>
      </c>
      <c r="M2054" s="844">
        <v>0</v>
      </c>
      <c r="N2054" s="189"/>
      <c r="O2054" s="1"/>
      <c r="P2054" s="189"/>
      <c r="Q2054" s="190"/>
      <c r="R2054" s="188"/>
      <c r="S2054" s="193"/>
      <c r="T2054" s="192"/>
      <c r="U2054" s="829"/>
      <c r="V2054" s="10"/>
      <c r="W2054" s="10"/>
      <c r="X2054" s="10"/>
      <c r="Y2054" s="10"/>
      <c r="Z2054" s="10"/>
      <c r="AA2054" s="11"/>
      <c r="AB2054" s="11"/>
    </row>
    <row r="2055" spans="2:28" x14ac:dyDescent="0.3">
      <c r="B2055" s="10"/>
      <c r="C2055" s="315"/>
      <c r="D2055" s="868"/>
      <c r="E2055" s="837" t="str">
        <f>IFERROR(IF(_xlfn.XLOOKUP(Imput[[#This Row],[RFC]],'Alta Proveedor'!D:D,'Alta Proveedor'!E:E)=0,"",_xlfn.XLOOKUP(Imput[[#This Row],[RFC]],'Alta Proveedor'!D:D,'Alta Proveedor'!E:E)),"")</f>
        <v/>
      </c>
      <c r="F2055" s="832"/>
      <c r="G2055" s="187"/>
      <c r="H2055" s="1"/>
      <c r="I2055" s="169">
        <f>Imput[[#This Row],[Cantidad]]*Imput[[#This Row],[Precio Unitario]]</f>
        <v>0</v>
      </c>
      <c r="J2055" s="11">
        <f>((Imput[[#This Row],[Sub total]])*(0.16))</f>
        <v>0</v>
      </c>
      <c r="K2055" s="11">
        <v>0</v>
      </c>
      <c r="L2055" s="169">
        <f>Imput[[#This Row],[Sub total]]+Imput[[#This Row],[IVA]]-Imput[[#This Row],[Retención / IEPS / Descuento]]</f>
        <v>0</v>
      </c>
      <c r="M2055" s="844">
        <v>0</v>
      </c>
      <c r="N2055" s="189"/>
      <c r="O2055" s="1"/>
      <c r="P2055" s="189"/>
      <c r="Q2055" s="190"/>
      <c r="R2055" s="188"/>
      <c r="S2055" s="193"/>
      <c r="T2055" s="192"/>
      <c r="U2055" s="829"/>
      <c r="V2055" s="10"/>
      <c r="W2055" s="10"/>
      <c r="X2055" s="10"/>
      <c r="Y2055" s="10"/>
      <c r="Z2055" s="10"/>
      <c r="AA2055" s="11"/>
      <c r="AB2055" s="11"/>
    </row>
    <row r="2056" spans="2:28" x14ac:dyDescent="0.3">
      <c r="B2056" s="10"/>
      <c r="C2056" s="315"/>
      <c r="D2056" s="868"/>
      <c r="E2056" s="837" t="str">
        <f>IFERROR(IF(_xlfn.XLOOKUP(Imput[[#This Row],[RFC]],'Alta Proveedor'!D:D,'Alta Proveedor'!E:E)=0,"",_xlfn.XLOOKUP(Imput[[#This Row],[RFC]],'Alta Proveedor'!D:D,'Alta Proveedor'!E:E)),"")</f>
        <v/>
      </c>
      <c r="F2056" s="832"/>
      <c r="G2056" s="187"/>
      <c r="H2056" s="1"/>
      <c r="I2056" s="169">
        <f>Imput[[#This Row],[Cantidad]]*Imput[[#This Row],[Precio Unitario]]</f>
        <v>0</v>
      </c>
      <c r="J2056" s="11">
        <f>((Imput[[#This Row],[Sub total]])*(0.16))</f>
        <v>0</v>
      </c>
      <c r="K2056" s="11">
        <v>0</v>
      </c>
      <c r="L2056" s="169">
        <f>Imput[[#This Row],[Sub total]]+Imput[[#This Row],[IVA]]-Imput[[#This Row],[Retención / IEPS / Descuento]]</f>
        <v>0</v>
      </c>
      <c r="M2056" s="844">
        <v>0</v>
      </c>
      <c r="N2056" s="189"/>
      <c r="O2056" s="1"/>
      <c r="P2056" s="189"/>
      <c r="Q2056" s="190"/>
      <c r="R2056" s="188"/>
      <c r="S2056" s="193"/>
      <c r="T2056" s="192"/>
      <c r="U2056" s="829"/>
      <c r="V2056" s="10"/>
      <c r="W2056" s="10"/>
      <c r="X2056" s="10"/>
      <c r="Y2056" s="10"/>
      <c r="Z2056" s="10"/>
      <c r="AA2056" s="11"/>
      <c r="AB2056" s="11"/>
    </row>
    <row r="2057" spans="2:28" x14ac:dyDescent="0.3">
      <c r="B2057" s="10"/>
      <c r="C2057" s="315"/>
      <c r="D2057" s="868"/>
      <c r="E2057" s="837" t="str">
        <f>IFERROR(IF(_xlfn.XLOOKUP(Imput[[#This Row],[RFC]],'Alta Proveedor'!D:D,'Alta Proveedor'!E:E)=0,"",_xlfn.XLOOKUP(Imput[[#This Row],[RFC]],'Alta Proveedor'!D:D,'Alta Proveedor'!E:E)),"")</f>
        <v/>
      </c>
      <c r="F2057" s="832"/>
      <c r="G2057" s="187"/>
      <c r="H2057" s="1"/>
      <c r="I2057" s="169">
        <f>Imput[[#This Row],[Cantidad]]*Imput[[#This Row],[Precio Unitario]]</f>
        <v>0</v>
      </c>
      <c r="J2057" s="11">
        <f>((Imput[[#This Row],[Sub total]])*(0.16))</f>
        <v>0</v>
      </c>
      <c r="K2057" s="11">
        <v>0</v>
      </c>
      <c r="L2057" s="169">
        <f>Imput[[#This Row],[Sub total]]+Imput[[#This Row],[IVA]]-Imput[[#This Row],[Retención / IEPS / Descuento]]</f>
        <v>0</v>
      </c>
      <c r="M2057" s="844">
        <v>0</v>
      </c>
      <c r="N2057" s="189"/>
      <c r="O2057" s="1"/>
      <c r="P2057" s="189"/>
      <c r="Q2057" s="190"/>
      <c r="R2057" s="188"/>
      <c r="S2057" s="193"/>
      <c r="T2057" s="192"/>
      <c r="U2057" s="829"/>
      <c r="V2057" s="10"/>
      <c r="W2057" s="10"/>
      <c r="X2057" s="10"/>
      <c r="Y2057" s="10"/>
      <c r="Z2057" s="10"/>
      <c r="AA2057" s="11"/>
      <c r="AB2057" s="11"/>
    </row>
    <row r="2058" spans="2:28" x14ac:dyDescent="0.3">
      <c r="B2058" s="10"/>
      <c r="C2058" s="315"/>
      <c r="D2058" s="868"/>
      <c r="E2058" s="837" t="str">
        <f>IFERROR(IF(_xlfn.XLOOKUP(Imput[[#This Row],[RFC]],'Alta Proveedor'!D:D,'Alta Proveedor'!E:E)=0,"",_xlfn.XLOOKUP(Imput[[#This Row],[RFC]],'Alta Proveedor'!D:D,'Alta Proveedor'!E:E)),"")</f>
        <v/>
      </c>
      <c r="F2058" s="832"/>
      <c r="G2058" s="187"/>
      <c r="H2058" s="1"/>
      <c r="I2058" s="169">
        <f>Imput[[#This Row],[Cantidad]]*Imput[[#This Row],[Precio Unitario]]</f>
        <v>0</v>
      </c>
      <c r="J2058" s="11">
        <f>((Imput[[#This Row],[Sub total]])*(0.16))</f>
        <v>0</v>
      </c>
      <c r="K2058" s="11">
        <v>0</v>
      </c>
      <c r="L2058" s="169">
        <f>Imput[[#This Row],[Sub total]]+Imput[[#This Row],[IVA]]-Imput[[#This Row],[Retención / IEPS / Descuento]]</f>
        <v>0</v>
      </c>
      <c r="M2058" s="844">
        <v>0</v>
      </c>
      <c r="N2058" s="189"/>
      <c r="O2058" s="1"/>
      <c r="P2058" s="189"/>
      <c r="Q2058" s="190"/>
      <c r="R2058" s="188"/>
      <c r="S2058" s="193"/>
      <c r="T2058" s="192"/>
      <c r="U2058" s="829"/>
      <c r="V2058" s="10"/>
      <c r="W2058" s="10"/>
      <c r="X2058" s="10"/>
      <c r="Y2058" s="10"/>
      <c r="Z2058" s="10"/>
      <c r="AA2058" s="11"/>
      <c r="AB2058" s="11"/>
    </row>
    <row r="2059" spans="2:28" x14ac:dyDescent="0.3">
      <c r="B2059" s="10"/>
      <c r="C2059" s="315"/>
      <c r="D2059" s="868"/>
      <c r="E2059" s="837" t="str">
        <f>IFERROR(IF(_xlfn.XLOOKUP(Imput[[#This Row],[RFC]],'Alta Proveedor'!D:D,'Alta Proveedor'!E:E)=0,"",_xlfn.XLOOKUP(Imput[[#This Row],[RFC]],'Alta Proveedor'!D:D,'Alta Proveedor'!E:E)),"")</f>
        <v/>
      </c>
      <c r="F2059" s="832"/>
      <c r="G2059" s="187"/>
      <c r="H2059" s="1"/>
      <c r="I2059" s="169">
        <f>Imput[[#This Row],[Cantidad]]*Imput[[#This Row],[Precio Unitario]]</f>
        <v>0</v>
      </c>
      <c r="J2059" s="11">
        <f>((Imput[[#This Row],[Sub total]])*(0.16))</f>
        <v>0</v>
      </c>
      <c r="K2059" s="11">
        <v>0</v>
      </c>
      <c r="L2059" s="169">
        <f>Imput[[#This Row],[Sub total]]+Imput[[#This Row],[IVA]]-Imput[[#This Row],[Retención / IEPS / Descuento]]</f>
        <v>0</v>
      </c>
      <c r="M2059" s="844">
        <v>0</v>
      </c>
      <c r="N2059" s="189"/>
      <c r="O2059" s="1"/>
      <c r="P2059" s="189"/>
      <c r="Q2059" s="190"/>
      <c r="R2059" s="188"/>
      <c r="S2059" s="193"/>
      <c r="T2059" s="192"/>
      <c r="U2059" s="829"/>
      <c r="V2059" s="10"/>
      <c r="W2059" s="10"/>
      <c r="X2059" s="10"/>
      <c r="Y2059" s="10"/>
      <c r="Z2059" s="10"/>
      <c r="AA2059" s="11"/>
      <c r="AB2059" s="11"/>
    </row>
    <row r="2060" spans="2:28" x14ac:dyDescent="0.3">
      <c r="B2060" s="10"/>
      <c r="C2060" s="315"/>
      <c r="D2060" s="868"/>
      <c r="E2060" s="837" t="str">
        <f>IFERROR(IF(_xlfn.XLOOKUP(Imput[[#This Row],[RFC]],'Alta Proveedor'!D:D,'Alta Proveedor'!E:E)=0,"",_xlfn.XLOOKUP(Imput[[#This Row],[RFC]],'Alta Proveedor'!D:D,'Alta Proveedor'!E:E)),"")</f>
        <v/>
      </c>
      <c r="F2060" s="832"/>
      <c r="G2060" s="187"/>
      <c r="H2060" s="1"/>
      <c r="I2060" s="169">
        <f>Imput[[#This Row],[Cantidad]]*Imput[[#This Row],[Precio Unitario]]</f>
        <v>0</v>
      </c>
      <c r="J2060" s="11">
        <f>((Imput[[#This Row],[Sub total]])*(0.16))</f>
        <v>0</v>
      </c>
      <c r="K2060" s="11">
        <v>0</v>
      </c>
      <c r="L2060" s="169">
        <f>Imput[[#This Row],[Sub total]]+Imput[[#This Row],[IVA]]-Imput[[#This Row],[Retención / IEPS / Descuento]]</f>
        <v>0</v>
      </c>
      <c r="M2060" s="844">
        <v>0</v>
      </c>
      <c r="N2060" s="189"/>
      <c r="O2060" s="1"/>
      <c r="P2060" s="189"/>
      <c r="Q2060" s="190"/>
      <c r="R2060" s="188"/>
      <c r="S2060" s="193"/>
      <c r="T2060" s="192"/>
      <c r="U2060" s="829"/>
      <c r="V2060" s="10"/>
      <c r="W2060" s="10"/>
      <c r="X2060" s="10"/>
      <c r="Y2060" s="10"/>
      <c r="Z2060" s="10"/>
      <c r="AA2060" s="11"/>
      <c r="AB2060" s="11"/>
    </row>
    <row r="2061" spans="2:28" x14ac:dyDescent="0.3">
      <c r="B2061" s="10"/>
      <c r="C2061" s="315"/>
      <c r="D2061" s="868"/>
      <c r="E2061" s="837" t="str">
        <f>IFERROR(IF(_xlfn.XLOOKUP(Imput[[#This Row],[RFC]],'Alta Proveedor'!D:D,'Alta Proveedor'!E:E)=0,"",_xlfn.XLOOKUP(Imput[[#This Row],[RFC]],'Alta Proveedor'!D:D,'Alta Proveedor'!E:E)),"")</f>
        <v/>
      </c>
      <c r="F2061" s="832"/>
      <c r="G2061" s="187"/>
      <c r="H2061" s="1"/>
      <c r="I2061" s="169">
        <f>Imput[[#This Row],[Cantidad]]*Imput[[#This Row],[Precio Unitario]]</f>
        <v>0</v>
      </c>
      <c r="J2061" s="11">
        <f>((Imput[[#This Row],[Sub total]])*(0.16))</f>
        <v>0</v>
      </c>
      <c r="K2061" s="11">
        <v>0</v>
      </c>
      <c r="L2061" s="169">
        <f>Imput[[#This Row],[Sub total]]+Imput[[#This Row],[IVA]]-Imput[[#This Row],[Retención / IEPS / Descuento]]</f>
        <v>0</v>
      </c>
      <c r="M2061" s="844">
        <v>0</v>
      </c>
      <c r="N2061" s="189"/>
      <c r="O2061" s="1"/>
      <c r="P2061" s="189"/>
      <c r="Q2061" s="190"/>
      <c r="R2061" s="188"/>
      <c r="S2061" s="193"/>
      <c r="T2061" s="192"/>
      <c r="U2061" s="829"/>
      <c r="V2061" s="10"/>
      <c r="W2061" s="10"/>
      <c r="X2061" s="10"/>
      <c r="Y2061" s="10"/>
      <c r="Z2061" s="10"/>
      <c r="AA2061" s="11"/>
      <c r="AB2061" s="11"/>
    </row>
    <row r="2062" spans="2:28" x14ac:dyDescent="0.3">
      <c r="B2062" s="10"/>
      <c r="C2062" s="315"/>
      <c r="D2062" s="868"/>
      <c r="E2062" s="837" t="str">
        <f>IFERROR(IF(_xlfn.XLOOKUP(Imput[[#This Row],[RFC]],'Alta Proveedor'!D:D,'Alta Proveedor'!E:E)=0,"",_xlfn.XLOOKUP(Imput[[#This Row],[RFC]],'Alta Proveedor'!D:D,'Alta Proveedor'!E:E)),"")</f>
        <v/>
      </c>
      <c r="F2062" s="832"/>
      <c r="G2062" s="187"/>
      <c r="H2062" s="1"/>
      <c r="I2062" s="169">
        <f>Imput[[#This Row],[Cantidad]]*Imput[[#This Row],[Precio Unitario]]</f>
        <v>0</v>
      </c>
      <c r="J2062" s="11">
        <f>((Imput[[#This Row],[Sub total]])*(0.16))</f>
        <v>0</v>
      </c>
      <c r="K2062" s="11">
        <v>0</v>
      </c>
      <c r="L2062" s="169">
        <f>Imput[[#This Row],[Sub total]]+Imput[[#This Row],[IVA]]-Imput[[#This Row],[Retención / IEPS / Descuento]]</f>
        <v>0</v>
      </c>
      <c r="M2062" s="844">
        <v>0</v>
      </c>
      <c r="N2062" s="189"/>
      <c r="O2062" s="1"/>
      <c r="P2062" s="189"/>
      <c r="Q2062" s="190"/>
      <c r="R2062" s="188"/>
      <c r="S2062" s="193"/>
      <c r="T2062" s="192"/>
      <c r="U2062" s="829"/>
      <c r="V2062" s="10"/>
      <c r="W2062" s="10"/>
      <c r="X2062" s="10"/>
      <c r="Y2062" s="10"/>
      <c r="Z2062" s="10"/>
      <c r="AA2062" s="11"/>
      <c r="AB2062" s="11"/>
    </row>
    <row r="2063" spans="2:28" x14ac:dyDescent="0.3">
      <c r="B2063" s="10"/>
      <c r="C2063" s="315"/>
      <c r="D2063" s="868"/>
      <c r="E2063" s="837" t="str">
        <f>IFERROR(IF(_xlfn.XLOOKUP(Imput[[#This Row],[RFC]],'Alta Proveedor'!D:D,'Alta Proveedor'!E:E)=0,"",_xlfn.XLOOKUP(Imput[[#This Row],[RFC]],'Alta Proveedor'!D:D,'Alta Proveedor'!E:E)),"")</f>
        <v/>
      </c>
      <c r="F2063" s="832"/>
      <c r="G2063" s="187"/>
      <c r="H2063" s="1"/>
      <c r="I2063" s="169">
        <f>Imput[[#This Row],[Cantidad]]*Imput[[#This Row],[Precio Unitario]]</f>
        <v>0</v>
      </c>
      <c r="J2063" s="11">
        <f>((Imput[[#This Row],[Sub total]])*(0.16))</f>
        <v>0</v>
      </c>
      <c r="K2063" s="11">
        <v>0</v>
      </c>
      <c r="L2063" s="169">
        <f>Imput[[#This Row],[Sub total]]+Imput[[#This Row],[IVA]]-Imput[[#This Row],[Retención / IEPS / Descuento]]</f>
        <v>0</v>
      </c>
      <c r="M2063" s="844">
        <v>0</v>
      </c>
      <c r="N2063" s="189"/>
      <c r="O2063" s="1"/>
      <c r="P2063" s="189"/>
      <c r="Q2063" s="190"/>
      <c r="R2063" s="188"/>
      <c r="S2063" s="193"/>
      <c r="T2063" s="192"/>
      <c r="U2063" s="829"/>
      <c r="V2063" s="10"/>
      <c r="W2063" s="10"/>
      <c r="X2063" s="10"/>
      <c r="Y2063" s="10"/>
      <c r="Z2063" s="10"/>
      <c r="AA2063" s="11"/>
      <c r="AB2063" s="11"/>
    </row>
    <row r="2064" spans="2:28" x14ac:dyDescent="0.3">
      <c r="B2064" s="10"/>
      <c r="C2064" s="315"/>
      <c r="D2064" s="868"/>
      <c r="E2064" s="837" t="str">
        <f>IFERROR(IF(_xlfn.XLOOKUP(Imput[[#This Row],[RFC]],'Alta Proveedor'!D:D,'Alta Proveedor'!E:E)=0,"",_xlfn.XLOOKUP(Imput[[#This Row],[RFC]],'Alta Proveedor'!D:D,'Alta Proveedor'!E:E)),"")</f>
        <v/>
      </c>
      <c r="F2064" s="832"/>
      <c r="G2064" s="187"/>
      <c r="H2064" s="1"/>
      <c r="I2064" s="169">
        <f>Imput[[#This Row],[Cantidad]]*Imput[[#This Row],[Precio Unitario]]</f>
        <v>0</v>
      </c>
      <c r="J2064" s="11">
        <f>((Imput[[#This Row],[Sub total]])*(0.16))</f>
        <v>0</v>
      </c>
      <c r="K2064" s="11">
        <v>0</v>
      </c>
      <c r="L2064" s="169">
        <f>Imput[[#This Row],[Sub total]]+Imput[[#This Row],[IVA]]-Imput[[#This Row],[Retención / IEPS / Descuento]]</f>
        <v>0</v>
      </c>
      <c r="M2064" s="844">
        <v>0</v>
      </c>
      <c r="N2064" s="189"/>
      <c r="O2064" s="1"/>
      <c r="P2064" s="189"/>
      <c r="Q2064" s="190"/>
      <c r="R2064" s="188"/>
      <c r="S2064" s="193"/>
      <c r="T2064" s="192"/>
      <c r="U2064" s="829"/>
      <c r="V2064" s="10"/>
      <c r="W2064" s="10"/>
      <c r="X2064" s="10"/>
      <c r="Y2064" s="10"/>
      <c r="Z2064" s="10"/>
      <c r="AA2064" s="11"/>
      <c r="AB2064" s="11"/>
    </row>
    <row r="2065" spans="2:28" x14ac:dyDescent="0.3">
      <c r="B2065" s="10"/>
      <c r="C2065" s="315"/>
      <c r="D2065" s="868"/>
      <c r="E2065" s="837" t="str">
        <f>IFERROR(IF(_xlfn.XLOOKUP(Imput[[#This Row],[RFC]],'Alta Proveedor'!D:D,'Alta Proveedor'!E:E)=0,"",_xlfn.XLOOKUP(Imput[[#This Row],[RFC]],'Alta Proveedor'!D:D,'Alta Proveedor'!E:E)),"")</f>
        <v/>
      </c>
      <c r="F2065" s="832"/>
      <c r="G2065" s="187"/>
      <c r="H2065" s="1"/>
      <c r="I2065" s="169">
        <f>Imput[[#This Row],[Cantidad]]*Imput[[#This Row],[Precio Unitario]]</f>
        <v>0</v>
      </c>
      <c r="J2065" s="11">
        <f>((Imput[[#This Row],[Sub total]])*(0.16))</f>
        <v>0</v>
      </c>
      <c r="K2065" s="11">
        <v>0</v>
      </c>
      <c r="L2065" s="169">
        <f>Imput[[#This Row],[Sub total]]+Imput[[#This Row],[IVA]]-Imput[[#This Row],[Retención / IEPS / Descuento]]</f>
        <v>0</v>
      </c>
      <c r="M2065" s="844">
        <v>0</v>
      </c>
      <c r="N2065" s="189"/>
      <c r="O2065" s="1"/>
      <c r="P2065" s="189"/>
      <c r="Q2065" s="190"/>
      <c r="R2065" s="188"/>
      <c r="S2065" s="193"/>
      <c r="T2065" s="192"/>
      <c r="U2065" s="829"/>
      <c r="V2065" s="10"/>
      <c r="W2065" s="10"/>
      <c r="X2065" s="10"/>
      <c r="Y2065" s="10"/>
      <c r="Z2065" s="10"/>
      <c r="AA2065" s="11"/>
      <c r="AB2065" s="11"/>
    </row>
    <row r="2066" spans="2:28" x14ac:dyDescent="0.3">
      <c r="B2066" s="10"/>
      <c r="C2066" s="315"/>
      <c r="D2066" s="868"/>
      <c r="E2066" s="837" t="str">
        <f>IFERROR(IF(_xlfn.XLOOKUP(Imput[[#This Row],[RFC]],'Alta Proveedor'!D:D,'Alta Proveedor'!E:E)=0,"",_xlfn.XLOOKUP(Imput[[#This Row],[RFC]],'Alta Proveedor'!D:D,'Alta Proveedor'!E:E)),"")</f>
        <v/>
      </c>
      <c r="F2066" s="832"/>
      <c r="G2066" s="187"/>
      <c r="H2066" s="1"/>
      <c r="I2066" s="169">
        <f>Imput[[#This Row],[Cantidad]]*Imput[[#This Row],[Precio Unitario]]</f>
        <v>0</v>
      </c>
      <c r="J2066" s="11">
        <f>((Imput[[#This Row],[Sub total]])*(0.16))</f>
        <v>0</v>
      </c>
      <c r="K2066" s="11">
        <v>0</v>
      </c>
      <c r="L2066" s="169">
        <f>Imput[[#This Row],[Sub total]]+Imput[[#This Row],[IVA]]-Imput[[#This Row],[Retención / IEPS / Descuento]]</f>
        <v>0</v>
      </c>
      <c r="M2066" s="844">
        <v>0</v>
      </c>
      <c r="N2066" s="189"/>
      <c r="O2066" s="1"/>
      <c r="P2066" s="189"/>
      <c r="Q2066" s="190"/>
      <c r="R2066" s="188"/>
      <c r="S2066" s="193"/>
      <c r="T2066" s="192"/>
      <c r="U2066" s="829"/>
      <c r="V2066" s="10"/>
      <c r="W2066" s="10"/>
      <c r="X2066" s="10"/>
      <c r="Y2066" s="10"/>
      <c r="Z2066" s="10"/>
      <c r="AA2066" s="11"/>
      <c r="AB2066" s="11"/>
    </row>
    <row r="2067" spans="2:28" x14ac:dyDescent="0.3">
      <c r="B2067" s="10"/>
      <c r="C2067" s="315"/>
      <c r="D2067" s="868"/>
      <c r="E2067" s="837" t="str">
        <f>IFERROR(IF(_xlfn.XLOOKUP(Imput[[#This Row],[RFC]],'Alta Proveedor'!D:D,'Alta Proveedor'!E:E)=0,"",_xlfn.XLOOKUP(Imput[[#This Row],[RFC]],'Alta Proveedor'!D:D,'Alta Proveedor'!E:E)),"")</f>
        <v/>
      </c>
      <c r="F2067" s="832"/>
      <c r="G2067" s="187"/>
      <c r="H2067" s="1"/>
      <c r="I2067" s="169">
        <f>Imput[[#This Row],[Cantidad]]*Imput[[#This Row],[Precio Unitario]]</f>
        <v>0</v>
      </c>
      <c r="J2067" s="11">
        <f>((Imput[[#This Row],[Sub total]])*(0.16))</f>
        <v>0</v>
      </c>
      <c r="K2067" s="11">
        <v>0</v>
      </c>
      <c r="L2067" s="169">
        <f>Imput[[#This Row],[Sub total]]+Imput[[#This Row],[IVA]]-Imput[[#This Row],[Retención / IEPS / Descuento]]</f>
        <v>0</v>
      </c>
      <c r="M2067" s="844">
        <v>0</v>
      </c>
      <c r="N2067" s="189"/>
      <c r="O2067" s="1"/>
      <c r="P2067" s="189"/>
      <c r="Q2067" s="190"/>
      <c r="R2067" s="188"/>
      <c r="S2067" s="193"/>
      <c r="T2067" s="192"/>
      <c r="U2067" s="829"/>
      <c r="V2067" s="10"/>
      <c r="W2067" s="10"/>
      <c r="X2067" s="10"/>
      <c r="Y2067" s="10"/>
      <c r="Z2067" s="10"/>
      <c r="AA2067" s="11"/>
      <c r="AB2067" s="11"/>
    </row>
    <row r="2068" spans="2:28" x14ac:dyDescent="0.3">
      <c r="B2068" s="10"/>
      <c r="C2068" s="315"/>
      <c r="D2068" s="868"/>
      <c r="E2068" s="837" t="str">
        <f>IFERROR(IF(_xlfn.XLOOKUP(Imput[[#This Row],[RFC]],'Alta Proveedor'!D:D,'Alta Proveedor'!E:E)=0,"",_xlfn.XLOOKUP(Imput[[#This Row],[RFC]],'Alta Proveedor'!D:D,'Alta Proveedor'!E:E)),"")</f>
        <v/>
      </c>
      <c r="F2068" s="832"/>
      <c r="G2068" s="187"/>
      <c r="H2068" s="1"/>
      <c r="I2068" s="169">
        <f>Imput[[#This Row],[Cantidad]]*Imput[[#This Row],[Precio Unitario]]</f>
        <v>0</v>
      </c>
      <c r="J2068" s="11">
        <f>((Imput[[#This Row],[Sub total]])*(0.16))</f>
        <v>0</v>
      </c>
      <c r="K2068" s="11">
        <v>0</v>
      </c>
      <c r="L2068" s="169">
        <f>Imput[[#This Row],[Sub total]]+Imput[[#This Row],[IVA]]-Imput[[#This Row],[Retención / IEPS / Descuento]]</f>
        <v>0</v>
      </c>
      <c r="M2068" s="844">
        <v>0</v>
      </c>
      <c r="N2068" s="189"/>
      <c r="O2068" s="1"/>
      <c r="P2068" s="189"/>
      <c r="Q2068" s="190"/>
      <c r="R2068" s="188"/>
      <c r="S2068" s="193"/>
      <c r="T2068" s="192"/>
      <c r="U2068" s="829"/>
      <c r="V2068" s="10"/>
      <c r="W2068" s="10"/>
      <c r="X2068" s="10"/>
      <c r="Y2068" s="10"/>
      <c r="Z2068" s="10"/>
      <c r="AA2068" s="11"/>
      <c r="AB2068" s="11"/>
    </row>
    <row r="2069" spans="2:28" x14ac:dyDescent="0.3">
      <c r="B2069" s="10"/>
      <c r="C2069" s="315"/>
      <c r="D2069" s="868"/>
      <c r="E2069" s="837" t="str">
        <f>IFERROR(IF(_xlfn.XLOOKUP(Imput[[#This Row],[RFC]],'Alta Proveedor'!D:D,'Alta Proveedor'!E:E)=0,"",_xlfn.XLOOKUP(Imput[[#This Row],[RFC]],'Alta Proveedor'!D:D,'Alta Proveedor'!E:E)),"")</f>
        <v/>
      </c>
      <c r="F2069" s="832"/>
      <c r="G2069" s="187"/>
      <c r="H2069" s="1"/>
      <c r="I2069" s="169">
        <f>Imput[[#This Row],[Cantidad]]*Imput[[#This Row],[Precio Unitario]]</f>
        <v>0</v>
      </c>
      <c r="J2069" s="11">
        <f>((Imput[[#This Row],[Sub total]])*(0.16))</f>
        <v>0</v>
      </c>
      <c r="K2069" s="11">
        <v>0</v>
      </c>
      <c r="L2069" s="169">
        <f>Imput[[#This Row],[Sub total]]+Imput[[#This Row],[IVA]]-Imput[[#This Row],[Retención / IEPS / Descuento]]</f>
        <v>0</v>
      </c>
      <c r="M2069" s="844">
        <v>0</v>
      </c>
      <c r="N2069" s="189"/>
      <c r="O2069" s="1"/>
      <c r="P2069" s="189"/>
      <c r="Q2069" s="190"/>
      <c r="R2069" s="188"/>
      <c r="S2069" s="193"/>
      <c r="T2069" s="192"/>
      <c r="U2069" s="829"/>
      <c r="V2069" s="10"/>
      <c r="W2069" s="10"/>
      <c r="X2069" s="10"/>
      <c r="Y2069" s="10"/>
      <c r="Z2069" s="10"/>
      <c r="AA2069" s="11"/>
      <c r="AB2069" s="11"/>
    </row>
    <row r="2070" spans="2:28" x14ac:dyDescent="0.3">
      <c r="B2070" s="10"/>
      <c r="C2070" s="315"/>
      <c r="D2070" s="868"/>
      <c r="E2070" s="837" t="str">
        <f>IFERROR(IF(_xlfn.XLOOKUP(Imput[[#This Row],[RFC]],'Alta Proveedor'!D:D,'Alta Proveedor'!E:E)=0,"",_xlfn.XLOOKUP(Imput[[#This Row],[RFC]],'Alta Proveedor'!D:D,'Alta Proveedor'!E:E)),"")</f>
        <v/>
      </c>
      <c r="F2070" s="832"/>
      <c r="G2070" s="187"/>
      <c r="H2070" s="1"/>
      <c r="I2070" s="169">
        <f>Imput[[#This Row],[Cantidad]]*Imput[[#This Row],[Precio Unitario]]</f>
        <v>0</v>
      </c>
      <c r="J2070" s="11">
        <f>((Imput[[#This Row],[Sub total]])*(0.16))</f>
        <v>0</v>
      </c>
      <c r="K2070" s="11">
        <v>0</v>
      </c>
      <c r="L2070" s="169">
        <f>Imput[[#This Row],[Sub total]]+Imput[[#This Row],[IVA]]-Imput[[#This Row],[Retención / IEPS / Descuento]]</f>
        <v>0</v>
      </c>
      <c r="M2070" s="844">
        <v>0</v>
      </c>
      <c r="N2070" s="189"/>
      <c r="O2070" s="1"/>
      <c r="P2070" s="189"/>
      <c r="Q2070" s="190"/>
      <c r="R2070" s="188"/>
      <c r="S2070" s="193"/>
      <c r="T2070" s="192"/>
      <c r="U2070" s="829"/>
      <c r="V2070" s="10"/>
      <c r="W2070" s="10"/>
      <c r="X2070" s="10"/>
      <c r="Y2070" s="10"/>
      <c r="Z2070" s="10"/>
      <c r="AA2070" s="11"/>
      <c r="AB2070" s="11"/>
    </row>
    <row r="2071" spans="2:28" x14ac:dyDescent="0.3">
      <c r="B2071" s="10"/>
      <c r="C2071" s="315"/>
      <c r="D2071" s="868"/>
      <c r="E2071" s="837" t="str">
        <f>IFERROR(IF(_xlfn.XLOOKUP(Imput[[#This Row],[RFC]],'Alta Proveedor'!D:D,'Alta Proveedor'!E:E)=0,"",_xlfn.XLOOKUP(Imput[[#This Row],[RFC]],'Alta Proveedor'!D:D,'Alta Proveedor'!E:E)),"")</f>
        <v/>
      </c>
      <c r="F2071" s="832"/>
      <c r="G2071" s="187"/>
      <c r="H2071" s="1"/>
      <c r="I2071" s="169">
        <f>Imput[[#This Row],[Cantidad]]*Imput[[#This Row],[Precio Unitario]]</f>
        <v>0</v>
      </c>
      <c r="J2071" s="11">
        <f>((Imput[[#This Row],[Sub total]])*(0.16))</f>
        <v>0</v>
      </c>
      <c r="K2071" s="11">
        <v>0</v>
      </c>
      <c r="L2071" s="169">
        <f>Imput[[#This Row],[Sub total]]+Imput[[#This Row],[IVA]]-Imput[[#This Row],[Retención / IEPS / Descuento]]</f>
        <v>0</v>
      </c>
      <c r="M2071" s="844">
        <v>0</v>
      </c>
      <c r="N2071" s="189"/>
      <c r="O2071" s="1"/>
      <c r="P2071" s="189"/>
      <c r="Q2071" s="190"/>
      <c r="R2071" s="188"/>
      <c r="S2071" s="193"/>
      <c r="T2071" s="192"/>
      <c r="U2071" s="829"/>
      <c r="V2071" s="10"/>
      <c r="W2071" s="10"/>
      <c r="X2071" s="10"/>
      <c r="Y2071" s="10"/>
      <c r="Z2071" s="10"/>
      <c r="AA2071" s="11"/>
      <c r="AB2071" s="11"/>
    </row>
    <row r="2072" spans="2:28" x14ac:dyDescent="0.3">
      <c r="B2072" s="10"/>
      <c r="C2072" s="315"/>
      <c r="D2072" s="868"/>
      <c r="E2072" s="837" t="str">
        <f>IFERROR(IF(_xlfn.XLOOKUP(Imput[[#This Row],[RFC]],'Alta Proveedor'!D:D,'Alta Proveedor'!E:E)=0,"",_xlfn.XLOOKUP(Imput[[#This Row],[RFC]],'Alta Proveedor'!D:D,'Alta Proveedor'!E:E)),"")</f>
        <v/>
      </c>
      <c r="F2072" s="832"/>
      <c r="G2072" s="187"/>
      <c r="H2072" s="1"/>
      <c r="I2072" s="169">
        <f>Imput[[#This Row],[Cantidad]]*Imput[[#This Row],[Precio Unitario]]</f>
        <v>0</v>
      </c>
      <c r="J2072" s="11">
        <f>((Imput[[#This Row],[Sub total]])*(0.16))</f>
        <v>0</v>
      </c>
      <c r="K2072" s="11">
        <v>0</v>
      </c>
      <c r="L2072" s="169">
        <f>Imput[[#This Row],[Sub total]]+Imput[[#This Row],[IVA]]-Imput[[#This Row],[Retención / IEPS / Descuento]]</f>
        <v>0</v>
      </c>
      <c r="M2072" s="844">
        <v>0</v>
      </c>
      <c r="N2072" s="189"/>
      <c r="O2072" s="1"/>
      <c r="P2072" s="189"/>
      <c r="Q2072" s="190"/>
      <c r="R2072" s="188"/>
      <c r="S2072" s="193"/>
      <c r="T2072" s="192"/>
      <c r="U2072" s="829"/>
      <c r="V2072" s="10"/>
      <c r="W2072" s="10"/>
      <c r="X2072" s="10"/>
      <c r="Y2072" s="10"/>
      <c r="Z2072" s="10"/>
      <c r="AA2072" s="11"/>
      <c r="AB2072" s="11"/>
    </row>
    <row r="2073" spans="2:28" x14ac:dyDescent="0.3">
      <c r="B2073" s="10"/>
      <c r="C2073" s="315"/>
      <c r="D2073" s="868"/>
      <c r="E2073" s="837" t="str">
        <f>IFERROR(IF(_xlfn.XLOOKUP(Imput[[#This Row],[RFC]],'Alta Proveedor'!D:D,'Alta Proveedor'!E:E)=0,"",_xlfn.XLOOKUP(Imput[[#This Row],[RFC]],'Alta Proveedor'!D:D,'Alta Proveedor'!E:E)),"")</f>
        <v/>
      </c>
      <c r="F2073" s="832"/>
      <c r="G2073" s="187"/>
      <c r="H2073" s="1"/>
      <c r="I2073" s="169">
        <f>Imput[[#This Row],[Cantidad]]*Imput[[#This Row],[Precio Unitario]]</f>
        <v>0</v>
      </c>
      <c r="J2073" s="11">
        <f>((Imput[[#This Row],[Sub total]])*(0.16))</f>
        <v>0</v>
      </c>
      <c r="K2073" s="11">
        <v>0</v>
      </c>
      <c r="L2073" s="169">
        <f>Imput[[#This Row],[Sub total]]+Imput[[#This Row],[IVA]]-Imput[[#This Row],[Retención / IEPS / Descuento]]</f>
        <v>0</v>
      </c>
      <c r="M2073" s="844">
        <v>0</v>
      </c>
      <c r="N2073" s="189"/>
      <c r="O2073" s="1"/>
      <c r="P2073" s="189"/>
      <c r="Q2073" s="190"/>
      <c r="R2073" s="188"/>
      <c r="S2073" s="193"/>
      <c r="T2073" s="192"/>
      <c r="U2073" s="829"/>
      <c r="V2073" s="10"/>
      <c r="W2073" s="10"/>
      <c r="X2073" s="10"/>
      <c r="Y2073" s="10"/>
      <c r="Z2073" s="10"/>
      <c r="AA2073" s="11"/>
      <c r="AB2073" s="11"/>
    </row>
    <row r="2074" spans="2:28" x14ac:dyDescent="0.3">
      <c r="B2074" s="10"/>
      <c r="C2074" s="315"/>
      <c r="D2074" s="868"/>
      <c r="E2074" s="837" t="str">
        <f>IFERROR(IF(_xlfn.XLOOKUP(Imput[[#This Row],[RFC]],'Alta Proveedor'!D:D,'Alta Proveedor'!E:E)=0,"",_xlfn.XLOOKUP(Imput[[#This Row],[RFC]],'Alta Proveedor'!D:D,'Alta Proveedor'!E:E)),"")</f>
        <v/>
      </c>
      <c r="F2074" s="832"/>
      <c r="G2074" s="187"/>
      <c r="H2074" s="1"/>
      <c r="I2074" s="169">
        <f>Imput[[#This Row],[Cantidad]]*Imput[[#This Row],[Precio Unitario]]</f>
        <v>0</v>
      </c>
      <c r="J2074" s="11">
        <f>((Imput[[#This Row],[Sub total]])*(0.16))</f>
        <v>0</v>
      </c>
      <c r="K2074" s="11">
        <v>0</v>
      </c>
      <c r="L2074" s="169">
        <f>Imput[[#This Row],[Sub total]]+Imput[[#This Row],[IVA]]-Imput[[#This Row],[Retención / IEPS / Descuento]]</f>
        <v>0</v>
      </c>
      <c r="M2074" s="844">
        <v>0</v>
      </c>
      <c r="N2074" s="189"/>
      <c r="O2074" s="1"/>
      <c r="P2074" s="189"/>
      <c r="Q2074" s="190"/>
      <c r="R2074" s="188"/>
      <c r="S2074" s="193"/>
      <c r="T2074" s="192"/>
      <c r="U2074" s="829"/>
      <c r="V2074" s="10"/>
      <c r="W2074" s="10"/>
      <c r="X2074" s="10"/>
      <c r="Y2074" s="10"/>
      <c r="Z2074" s="10"/>
      <c r="AA2074" s="11"/>
      <c r="AB2074" s="11"/>
    </row>
    <row r="2075" spans="2:28" x14ac:dyDescent="0.3">
      <c r="B2075" s="10"/>
      <c r="C2075" s="315"/>
      <c r="D2075" s="868"/>
      <c r="E2075" s="837" t="str">
        <f>IFERROR(IF(_xlfn.XLOOKUP(Imput[[#This Row],[RFC]],'Alta Proveedor'!D:D,'Alta Proveedor'!E:E)=0,"",_xlfn.XLOOKUP(Imput[[#This Row],[RFC]],'Alta Proveedor'!D:D,'Alta Proveedor'!E:E)),"")</f>
        <v/>
      </c>
      <c r="F2075" s="832"/>
      <c r="G2075" s="187"/>
      <c r="H2075" s="1"/>
      <c r="I2075" s="169">
        <f>Imput[[#This Row],[Cantidad]]*Imput[[#This Row],[Precio Unitario]]</f>
        <v>0</v>
      </c>
      <c r="J2075" s="11">
        <f>((Imput[[#This Row],[Sub total]])*(0.16))</f>
        <v>0</v>
      </c>
      <c r="K2075" s="11">
        <v>0</v>
      </c>
      <c r="L2075" s="169">
        <f>Imput[[#This Row],[Sub total]]+Imput[[#This Row],[IVA]]-Imput[[#This Row],[Retención / IEPS / Descuento]]</f>
        <v>0</v>
      </c>
      <c r="M2075" s="844">
        <v>0</v>
      </c>
      <c r="N2075" s="189"/>
      <c r="O2075" s="1"/>
      <c r="P2075" s="189"/>
      <c r="Q2075" s="190"/>
      <c r="R2075" s="188"/>
      <c r="S2075" s="193"/>
      <c r="T2075" s="192"/>
      <c r="U2075" s="829"/>
      <c r="V2075" s="10"/>
      <c r="W2075" s="10"/>
      <c r="X2075" s="10"/>
      <c r="Y2075" s="10"/>
      <c r="Z2075" s="10"/>
      <c r="AA2075" s="11"/>
      <c r="AB2075" s="11"/>
    </row>
    <row r="2076" spans="2:28" x14ac:dyDescent="0.3">
      <c r="B2076" s="10"/>
      <c r="C2076" s="315"/>
      <c r="D2076" s="868"/>
      <c r="E2076" s="837" t="str">
        <f>IFERROR(IF(_xlfn.XLOOKUP(Imput[[#This Row],[RFC]],'Alta Proveedor'!D:D,'Alta Proveedor'!E:E)=0,"",_xlfn.XLOOKUP(Imput[[#This Row],[RFC]],'Alta Proveedor'!D:D,'Alta Proveedor'!E:E)),"")</f>
        <v/>
      </c>
      <c r="F2076" s="832"/>
      <c r="G2076" s="187"/>
      <c r="H2076" s="1"/>
      <c r="I2076" s="169">
        <f>Imput[[#This Row],[Cantidad]]*Imput[[#This Row],[Precio Unitario]]</f>
        <v>0</v>
      </c>
      <c r="J2076" s="11">
        <f>((Imput[[#This Row],[Sub total]])*(0.16))</f>
        <v>0</v>
      </c>
      <c r="K2076" s="11">
        <v>0</v>
      </c>
      <c r="L2076" s="169">
        <f>Imput[[#This Row],[Sub total]]+Imput[[#This Row],[IVA]]-Imput[[#This Row],[Retención / IEPS / Descuento]]</f>
        <v>0</v>
      </c>
      <c r="M2076" s="844">
        <v>0</v>
      </c>
      <c r="N2076" s="189"/>
      <c r="O2076" s="1"/>
      <c r="P2076" s="189"/>
      <c r="Q2076" s="190"/>
      <c r="R2076" s="188"/>
      <c r="S2076" s="193"/>
      <c r="T2076" s="192"/>
      <c r="U2076" s="829"/>
      <c r="V2076" s="10"/>
      <c r="W2076" s="10"/>
      <c r="X2076" s="10"/>
      <c r="Y2076" s="10"/>
      <c r="Z2076" s="10"/>
      <c r="AA2076" s="11"/>
      <c r="AB2076" s="11"/>
    </row>
    <row r="2077" spans="2:28" x14ac:dyDescent="0.3">
      <c r="B2077" s="10"/>
      <c r="C2077" s="315"/>
      <c r="D2077" s="868"/>
      <c r="E2077" s="837" t="str">
        <f>IFERROR(IF(_xlfn.XLOOKUP(Imput[[#This Row],[RFC]],'Alta Proveedor'!D:D,'Alta Proveedor'!E:E)=0,"",_xlfn.XLOOKUP(Imput[[#This Row],[RFC]],'Alta Proveedor'!D:D,'Alta Proveedor'!E:E)),"")</f>
        <v/>
      </c>
      <c r="F2077" s="832"/>
      <c r="G2077" s="187"/>
      <c r="H2077" s="1"/>
      <c r="I2077" s="169">
        <f>Imput[[#This Row],[Cantidad]]*Imput[[#This Row],[Precio Unitario]]</f>
        <v>0</v>
      </c>
      <c r="J2077" s="11">
        <f>((Imput[[#This Row],[Sub total]])*(0.16))</f>
        <v>0</v>
      </c>
      <c r="K2077" s="11">
        <v>0</v>
      </c>
      <c r="L2077" s="169">
        <f>Imput[[#This Row],[Sub total]]+Imput[[#This Row],[IVA]]-Imput[[#This Row],[Retención / IEPS / Descuento]]</f>
        <v>0</v>
      </c>
      <c r="M2077" s="844">
        <v>0</v>
      </c>
      <c r="N2077" s="189"/>
      <c r="O2077" s="1"/>
      <c r="P2077" s="189"/>
      <c r="Q2077" s="190"/>
      <c r="R2077" s="188"/>
      <c r="S2077" s="193"/>
      <c r="T2077" s="192"/>
      <c r="U2077" s="829"/>
      <c r="V2077" s="10"/>
      <c r="W2077" s="10"/>
      <c r="X2077" s="10"/>
      <c r="Y2077" s="10"/>
      <c r="Z2077" s="10"/>
      <c r="AA2077" s="11"/>
      <c r="AB2077" s="11"/>
    </row>
    <row r="2078" spans="2:28" x14ac:dyDescent="0.3">
      <c r="B2078" s="10"/>
      <c r="C2078" s="315"/>
      <c r="D2078" s="868"/>
      <c r="E2078" s="837" t="str">
        <f>IFERROR(IF(_xlfn.XLOOKUP(Imput[[#This Row],[RFC]],'Alta Proveedor'!D:D,'Alta Proveedor'!E:E)=0,"",_xlfn.XLOOKUP(Imput[[#This Row],[RFC]],'Alta Proveedor'!D:D,'Alta Proveedor'!E:E)),"")</f>
        <v/>
      </c>
      <c r="F2078" s="832"/>
      <c r="G2078" s="187"/>
      <c r="H2078" s="1"/>
      <c r="I2078" s="169">
        <f>Imput[[#This Row],[Cantidad]]*Imput[[#This Row],[Precio Unitario]]</f>
        <v>0</v>
      </c>
      <c r="J2078" s="11">
        <f>((Imput[[#This Row],[Sub total]])*(0.16))</f>
        <v>0</v>
      </c>
      <c r="K2078" s="11">
        <v>0</v>
      </c>
      <c r="L2078" s="169">
        <f>Imput[[#This Row],[Sub total]]+Imput[[#This Row],[IVA]]-Imput[[#This Row],[Retención / IEPS / Descuento]]</f>
        <v>0</v>
      </c>
      <c r="M2078" s="844">
        <v>0</v>
      </c>
      <c r="N2078" s="189"/>
      <c r="O2078" s="1"/>
      <c r="P2078" s="189"/>
      <c r="Q2078" s="190"/>
      <c r="R2078" s="188"/>
      <c r="S2078" s="193"/>
      <c r="T2078" s="192"/>
      <c r="U2078" s="829"/>
      <c r="V2078" s="10"/>
      <c r="W2078" s="10"/>
      <c r="X2078" s="10"/>
      <c r="Y2078" s="10"/>
      <c r="Z2078" s="10"/>
      <c r="AA2078" s="11"/>
      <c r="AB2078" s="11"/>
    </row>
    <row r="2079" spans="2:28" x14ac:dyDescent="0.3">
      <c r="B2079" s="10"/>
      <c r="C2079" s="315"/>
      <c r="D2079" s="868"/>
      <c r="E2079" s="837" t="str">
        <f>IFERROR(IF(_xlfn.XLOOKUP(Imput[[#This Row],[RFC]],'Alta Proveedor'!D:D,'Alta Proveedor'!E:E)=0,"",_xlfn.XLOOKUP(Imput[[#This Row],[RFC]],'Alta Proveedor'!D:D,'Alta Proveedor'!E:E)),"")</f>
        <v/>
      </c>
      <c r="F2079" s="832"/>
      <c r="G2079" s="187"/>
      <c r="H2079" s="1"/>
      <c r="I2079" s="169">
        <f>Imput[[#This Row],[Cantidad]]*Imput[[#This Row],[Precio Unitario]]</f>
        <v>0</v>
      </c>
      <c r="J2079" s="11">
        <f>((Imput[[#This Row],[Sub total]])*(0.16))</f>
        <v>0</v>
      </c>
      <c r="K2079" s="11">
        <v>0</v>
      </c>
      <c r="L2079" s="169">
        <f>Imput[[#This Row],[Sub total]]+Imput[[#This Row],[IVA]]-Imput[[#This Row],[Retención / IEPS / Descuento]]</f>
        <v>0</v>
      </c>
      <c r="M2079" s="844">
        <v>0</v>
      </c>
      <c r="N2079" s="189"/>
      <c r="O2079" s="1"/>
      <c r="P2079" s="189"/>
      <c r="Q2079" s="190"/>
      <c r="R2079" s="188"/>
      <c r="S2079" s="193"/>
      <c r="T2079" s="192"/>
      <c r="U2079" s="829"/>
      <c r="V2079" s="10"/>
      <c r="W2079" s="10"/>
      <c r="X2079" s="10"/>
      <c r="Y2079" s="10"/>
      <c r="Z2079" s="10"/>
      <c r="AA2079" s="11"/>
      <c r="AB2079" s="11"/>
    </row>
    <row r="2080" spans="2:28" x14ac:dyDescent="0.3">
      <c r="B2080" s="10"/>
      <c r="C2080" s="315"/>
      <c r="D2080" s="868"/>
      <c r="E2080" s="837" t="str">
        <f>IFERROR(IF(_xlfn.XLOOKUP(Imput[[#This Row],[RFC]],'Alta Proveedor'!D:D,'Alta Proveedor'!E:E)=0,"",_xlfn.XLOOKUP(Imput[[#This Row],[RFC]],'Alta Proveedor'!D:D,'Alta Proveedor'!E:E)),"")</f>
        <v/>
      </c>
      <c r="F2080" s="832"/>
      <c r="G2080" s="187"/>
      <c r="H2080" s="1"/>
      <c r="I2080" s="169">
        <f>Imput[[#This Row],[Cantidad]]*Imput[[#This Row],[Precio Unitario]]</f>
        <v>0</v>
      </c>
      <c r="J2080" s="11">
        <f>((Imput[[#This Row],[Sub total]])*(0.16))</f>
        <v>0</v>
      </c>
      <c r="K2080" s="11">
        <v>0</v>
      </c>
      <c r="L2080" s="169">
        <f>Imput[[#This Row],[Sub total]]+Imput[[#This Row],[IVA]]-Imput[[#This Row],[Retención / IEPS / Descuento]]</f>
        <v>0</v>
      </c>
      <c r="M2080" s="844">
        <v>0</v>
      </c>
      <c r="N2080" s="189"/>
      <c r="O2080" s="1"/>
      <c r="P2080" s="189"/>
      <c r="Q2080" s="190"/>
      <c r="R2080" s="188"/>
      <c r="S2080" s="193"/>
      <c r="T2080" s="192"/>
      <c r="U2080" s="829"/>
      <c r="V2080" s="10"/>
      <c r="W2080" s="10"/>
      <c r="X2080" s="10"/>
      <c r="Y2080" s="10"/>
      <c r="Z2080" s="10"/>
      <c r="AA2080" s="11"/>
      <c r="AB2080" s="11"/>
    </row>
    <row r="2081" spans="2:28" x14ac:dyDescent="0.3">
      <c r="B2081" s="10"/>
      <c r="C2081" s="315"/>
      <c r="D2081" s="868"/>
      <c r="E2081" s="837" t="str">
        <f>IFERROR(IF(_xlfn.XLOOKUP(Imput[[#This Row],[RFC]],'Alta Proveedor'!D:D,'Alta Proveedor'!E:E)=0,"",_xlfn.XLOOKUP(Imput[[#This Row],[RFC]],'Alta Proveedor'!D:D,'Alta Proveedor'!E:E)),"")</f>
        <v/>
      </c>
      <c r="F2081" s="832"/>
      <c r="G2081" s="187"/>
      <c r="H2081" s="1"/>
      <c r="I2081" s="169">
        <f>Imput[[#This Row],[Cantidad]]*Imput[[#This Row],[Precio Unitario]]</f>
        <v>0</v>
      </c>
      <c r="J2081" s="11">
        <f>((Imput[[#This Row],[Sub total]])*(0.16))</f>
        <v>0</v>
      </c>
      <c r="K2081" s="11">
        <v>0</v>
      </c>
      <c r="L2081" s="169">
        <f>Imput[[#This Row],[Sub total]]+Imput[[#This Row],[IVA]]-Imput[[#This Row],[Retención / IEPS / Descuento]]</f>
        <v>0</v>
      </c>
      <c r="M2081" s="844">
        <v>0</v>
      </c>
      <c r="N2081" s="189"/>
      <c r="O2081" s="1"/>
      <c r="P2081" s="189"/>
      <c r="Q2081" s="190"/>
      <c r="R2081" s="188"/>
      <c r="S2081" s="193"/>
      <c r="T2081" s="192"/>
      <c r="U2081" s="829"/>
      <c r="V2081" s="10"/>
      <c r="W2081" s="10"/>
      <c r="X2081" s="10"/>
      <c r="Y2081" s="10"/>
      <c r="Z2081" s="10"/>
      <c r="AA2081" s="11"/>
      <c r="AB2081" s="11"/>
    </row>
    <row r="2082" spans="2:28" x14ac:dyDescent="0.3">
      <c r="B2082" s="10"/>
      <c r="C2082" s="315"/>
      <c r="D2082" s="868"/>
      <c r="E2082" s="837" t="str">
        <f>IFERROR(IF(_xlfn.XLOOKUP(Imput[[#This Row],[RFC]],'Alta Proveedor'!D:D,'Alta Proveedor'!E:E)=0,"",_xlfn.XLOOKUP(Imput[[#This Row],[RFC]],'Alta Proveedor'!D:D,'Alta Proveedor'!E:E)),"")</f>
        <v/>
      </c>
      <c r="F2082" s="832"/>
      <c r="G2082" s="187"/>
      <c r="H2082" s="1"/>
      <c r="I2082" s="169">
        <f>Imput[[#This Row],[Cantidad]]*Imput[[#This Row],[Precio Unitario]]</f>
        <v>0</v>
      </c>
      <c r="J2082" s="11">
        <f>((Imput[[#This Row],[Sub total]])*(0.16))</f>
        <v>0</v>
      </c>
      <c r="K2082" s="11">
        <v>0</v>
      </c>
      <c r="L2082" s="169">
        <f>Imput[[#This Row],[Sub total]]+Imput[[#This Row],[IVA]]-Imput[[#This Row],[Retención / IEPS / Descuento]]</f>
        <v>0</v>
      </c>
      <c r="M2082" s="844">
        <v>0</v>
      </c>
      <c r="N2082" s="189"/>
      <c r="O2082" s="1"/>
      <c r="P2082" s="189"/>
      <c r="Q2082" s="190"/>
      <c r="R2082" s="188"/>
      <c r="S2082" s="193"/>
      <c r="T2082" s="192"/>
      <c r="U2082" s="829"/>
      <c r="V2082" s="10"/>
      <c r="W2082" s="10"/>
      <c r="X2082" s="10"/>
      <c r="Y2082" s="10"/>
      <c r="Z2082" s="10"/>
      <c r="AA2082" s="11"/>
      <c r="AB2082" s="11"/>
    </row>
    <row r="2083" spans="2:28" x14ac:dyDescent="0.3">
      <c r="B2083" s="10"/>
      <c r="C2083" s="315"/>
      <c r="D2083" s="868"/>
      <c r="E2083" s="837" t="str">
        <f>IFERROR(IF(_xlfn.XLOOKUP(Imput[[#This Row],[RFC]],'Alta Proveedor'!D:D,'Alta Proveedor'!E:E)=0,"",_xlfn.XLOOKUP(Imput[[#This Row],[RFC]],'Alta Proveedor'!D:D,'Alta Proveedor'!E:E)),"")</f>
        <v/>
      </c>
      <c r="F2083" s="832"/>
      <c r="G2083" s="187"/>
      <c r="H2083" s="1"/>
      <c r="I2083" s="169">
        <f>Imput[[#This Row],[Cantidad]]*Imput[[#This Row],[Precio Unitario]]</f>
        <v>0</v>
      </c>
      <c r="J2083" s="11">
        <f>((Imput[[#This Row],[Sub total]])*(0.16))</f>
        <v>0</v>
      </c>
      <c r="K2083" s="11">
        <v>0</v>
      </c>
      <c r="L2083" s="169">
        <f>Imput[[#This Row],[Sub total]]+Imput[[#This Row],[IVA]]-Imput[[#This Row],[Retención / IEPS / Descuento]]</f>
        <v>0</v>
      </c>
      <c r="M2083" s="844">
        <v>0</v>
      </c>
      <c r="N2083" s="189"/>
      <c r="O2083" s="1"/>
      <c r="P2083" s="189"/>
      <c r="Q2083" s="190"/>
      <c r="R2083" s="188"/>
      <c r="S2083" s="193"/>
      <c r="T2083" s="192"/>
      <c r="U2083" s="829"/>
      <c r="V2083" s="10"/>
      <c r="W2083" s="10"/>
      <c r="X2083" s="10"/>
      <c r="Y2083" s="10"/>
      <c r="Z2083" s="10"/>
      <c r="AA2083" s="11"/>
      <c r="AB2083" s="11"/>
    </row>
    <row r="2084" spans="2:28" x14ac:dyDescent="0.3">
      <c r="B2084" s="10"/>
      <c r="C2084" s="315"/>
      <c r="D2084" s="868"/>
      <c r="E2084" s="837" t="str">
        <f>IFERROR(IF(_xlfn.XLOOKUP(Imput[[#This Row],[RFC]],'Alta Proveedor'!D:D,'Alta Proveedor'!E:E)=0,"",_xlfn.XLOOKUP(Imput[[#This Row],[RFC]],'Alta Proveedor'!D:D,'Alta Proveedor'!E:E)),"")</f>
        <v/>
      </c>
      <c r="F2084" s="832"/>
      <c r="G2084" s="187"/>
      <c r="H2084" s="1"/>
      <c r="I2084" s="169">
        <f>Imput[[#This Row],[Cantidad]]*Imput[[#This Row],[Precio Unitario]]</f>
        <v>0</v>
      </c>
      <c r="J2084" s="11">
        <f>((Imput[[#This Row],[Sub total]])*(0.16))</f>
        <v>0</v>
      </c>
      <c r="K2084" s="11">
        <v>0</v>
      </c>
      <c r="L2084" s="169">
        <f>Imput[[#This Row],[Sub total]]+Imput[[#This Row],[IVA]]-Imput[[#This Row],[Retención / IEPS / Descuento]]</f>
        <v>0</v>
      </c>
      <c r="M2084" s="844">
        <v>0</v>
      </c>
      <c r="N2084" s="189"/>
      <c r="O2084" s="1"/>
      <c r="P2084" s="189"/>
      <c r="Q2084" s="190"/>
      <c r="R2084" s="188"/>
      <c r="S2084" s="193"/>
      <c r="T2084" s="192"/>
      <c r="U2084" s="829"/>
      <c r="V2084" s="10"/>
      <c r="W2084" s="10"/>
      <c r="X2084" s="10"/>
      <c r="Y2084" s="10"/>
      <c r="Z2084" s="10"/>
      <c r="AA2084" s="11"/>
      <c r="AB2084" s="11"/>
    </row>
    <row r="2085" spans="2:28" x14ac:dyDescent="0.3">
      <c r="B2085" s="10"/>
      <c r="C2085" s="315"/>
      <c r="D2085" s="868"/>
      <c r="E2085" s="837" t="str">
        <f>IFERROR(IF(_xlfn.XLOOKUP(Imput[[#This Row],[RFC]],'Alta Proveedor'!D:D,'Alta Proveedor'!E:E)=0,"",_xlfn.XLOOKUP(Imput[[#This Row],[RFC]],'Alta Proveedor'!D:D,'Alta Proveedor'!E:E)),"")</f>
        <v/>
      </c>
      <c r="F2085" s="832"/>
      <c r="G2085" s="187"/>
      <c r="H2085" s="1"/>
      <c r="I2085" s="169">
        <f>Imput[[#This Row],[Cantidad]]*Imput[[#This Row],[Precio Unitario]]</f>
        <v>0</v>
      </c>
      <c r="J2085" s="11">
        <f>((Imput[[#This Row],[Sub total]])*(0.16))</f>
        <v>0</v>
      </c>
      <c r="K2085" s="11">
        <v>0</v>
      </c>
      <c r="L2085" s="169">
        <f>Imput[[#This Row],[Sub total]]+Imput[[#This Row],[IVA]]-Imput[[#This Row],[Retención / IEPS / Descuento]]</f>
        <v>0</v>
      </c>
      <c r="M2085" s="844">
        <v>0</v>
      </c>
      <c r="N2085" s="189"/>
      <c r="O2085" s="1"/>
      <c r="P2085" s="189"/>
      <c r="Q2085" s="190"/>
      <c r="R2085" s="188"/>
      <c r="S2085" s="193"/>
      <c r="T2085" s="192"/>
      <c r="U2085" s="829"/>
      <c r="V2085" s="10"/>
      <c r="W2085" s="10"/>
      <c r="X2085" s="10"/>
      <c r="Y2085" s="10"/>
      <c r="Z2085" s="10"/>
      <c r="AA2085" s="11"/>
      <c r="AB2085" s="11"/>
    </row>
    <row r="2086" spans="2:28" x14ac:dyDescent="0.3">
      <c r="B2086" s="10"/>
      <c r="C2086" s="315"/>
      <c r="D2086" s="868"/>
      <c r="E2086" s="837" t="str">
        <f>IFERROR(IF(_xlfn.XLOOKUP(Imput[[#This Row],[RFC]],'Alta Proveedor'!D:D,'Alta Proveedor'!E:E)=0,"",_xlfn.XLOOKUP(Imput[[#This Row],[RFC]],'Alta Proveedor'!D:D,'Alta Proveedor'!E:E)),"")</f>
        <v/>
      </c>
      <c r="F2086" s="832"/>
      <c r="G2086" s="187"/>
      <c r="H2086" s="1"/>
      <c r="I2086" s="169">
        <f>Imput[[#This Row],[Cantidad]]*Imput[[#This Row],[Precio Unitario]]</f>
        <v>0</v>
      </c>
      <c r="J2086" s="11">
        <f>((Imput[[#This Row],[Sub total]])*(0.16))</f>
        <v>0</v>
      </c>
      <c r="K2086" s="11">
        <v>0</v>
      </c>
      <c r="L2086" s="169">
        <f>Imput[[#This Row],[Sub total]]+Imput[[#This Row],[IVA]]-Imput[[#This Row],[Retención / IEPS / Descuento]]</f>
        <v>0</v>
      </c>
      <c r="M2086" s="844">
        <v>0</v>
      </c>
      <c r="N2086" s="189"/>
      <c r="O2086" s="1"/>
      <c r="P2086" s="189"/>
      <c r="Q2086" s="190"/>
      <c r="R2086" s="188"/>
      <c r="S2086" s="193"/>
      <c r="T2086" s="192"/>
      <c r="U2086" s="829"/>
      <c r="V2086" s="10"/>
      <c r="W2086" s="10"/>
      <c r="X2086" s="10"/>
      <c r="Y2086" s="10"/>
      <c r="Z2086" s="10"/>
      <c r="AA2086" s="11"/>
      <c r="AB2086" s="11"/>
    </row>
    <row r="2087" spans="2:28" x14ac:dyDescent="0.3">
      <c r="B2087" s="10"/>
      <c r="C2087" s="315"/>
      <c r="D2087" s="868"/>
      <c r="E2087" s="837" t="str">
        <f>IFERROR(IF(_xlfn.XLOOKUP(Imput[[#This Row],[RFC]],'Alta Proveedor'!D:D,'Alta Proveedor'!E:E)=0,"",_xlfn.XLOOKUP(Imput[[#This Row],[RFC]],'Alta Proveedor'!D:D,'Alta Proveedor'!E:E)),"")</f>
        <v/>
      </c>
      <c r="F2087" s="832"/>
      <c r="G2087" s="187"/>
      <c r="H2087" s="1"/>
      <c r="I2087" s="169">
        <f>Imput[[#This Row],[Cantidad]]*Imput[[#This Row],[Precio Unitario]]</f>
        <v>0</v>
      </c>
      <c r="J2087" s="11">
        <f>((Imput[[#This Row],[Sub total]])*(0.16))</f>
        <v>0</v>
      </c>
      <c r="K2087" s="11">
        <v>0</v>
      </c>
      <c r="L2087" s="169">
        <f>Imput[[#This Row],[Sub total]]+Imput[[#This Row],[IVA]]-Imput[[#This Row],[Retención / IEPS / Descuento]]</f>
        <v>0</v>
      </c>
      <c r="M2087" s="844">
        <v>0</v>
      </c>
      <c r="N2087" s="189"/>
      <c r="O2087" s="1"/>
      <c r="P2087" s="189"/>
      <c r="Q2087" s="190"/>
      <c r="R2087" s="188"/>
      <c r="S2087" s="193"/>
      <c r="T2087" s="192"/>
      <c r="U2087" s="829"/>
      <c r="V2087" s="10"/>
      <c r="W2087" s="10"/>
      <c r="X2087" s="10"/>
      <c r="Y2087" s="10"/>
      <c r="Z2087" s="10"/>
      <c r="AA2087" s="11"/>
      <c r="AB2087" s="11"/>
    </row>
    <row r="2088" spans="2:28" x14ac:dyDescent="0.3">
      <c r="B2088" s="10"/>
      <c r="C2088" s="315"/>
      <c r="D2088" s="868"/>
      <c r="E2088" s="837" t="str">
        <f>IFERROR(IF(_xlfn.XLOOKUP(Imput[[#This Row],[RFC]],'Alta Proveedor'!D:D,'Alta Proveedor'!E:E)=0,"",_xlfn.XLOOKUP(Imput[[#This Row],[RFC]],'Alta Proveedor'!D:D,'Alta Proveedor'!E:E)),"")</f>
        <v/>
      </c>
      <c r="F2088" s="832"/>
      <c r="G2088" s="187"/>
      <c r="H2088" s="1"/>
      <c r="I2088" s="169">
        <f>Imput[[#This Row],[Cantidad]]*Imput[[#This Row],[Precio Unitario]]</f>
        <v>0</v>
      </c>
      <c r="J2088" s="11">
        <f>((Imput[[#This Row],[Sub total]])*(0.16))</f>
        <v>0</v>
      </c>
      <c r="K2088" s="11">
        <v>0</v>
      </c>
      <c r="L2088" s="169">
        <f>Imput[[#This Row],[Sub total]]+Imput[[#This Row],[IVA]]-Imput[[#This Row],[Retención / IEPS / Descuento]]</f>
        <v>0</v>
      </c>
      <c r="M2088" s="844">
        <v>0</v>
      </c>
      <c r="N2088" s="189"/>
      <c r="O2088" s="1"/>
      <c r="P2088" s="189"/>
      <c r="Q2088" s="190"/>
      <c r="R2088" s="188"/>
      <c r="S2088" s="193"/>
      <c r="T2088" s="192"/>
      <c r="U2088" s="829"/>
      <c r="V2088" s="10"/>
      <c r="W2088" s="10"/>
      <c r="X2088" s="10"/>
      <c r="Y2088" s="10"/>
      <c r="Z2088" s="10"/>
      <c r="AA2088" s="11"/>
      <c r="AB2088" s="11"/>
    </row>
    <row r="2089" spans="2:28" x14ac:dyDescent="0.3">
      <c r="B2089" s="10"/>
      <c r="C2089" s="315"/>
      <c r="D2089" s="868"/>
      <c r="E2089" s="837" t="str">
        <f>IFERROR(IF(_xlfn.XLOOKUP(Imput[[#This Row],[RFC]],'Alta Proveedor'!D:D,'Alta Proveedor'!E:E)=0,"",_xlfn.XLOOKUP(Imput[[#This Row],[RFC]],'Alta Proveedor'!D:D,'Alta Proveedor'!E:E)),"")</f>
        <v/>
      </c>
      <c r="F2089" s="832"/>
      <c r="G2089" s="187"/>
      <c r="H2089" s="1"/>
      <c r="I2089" s="169">
        <f>Imput[[#This Row],[Cantidad]]*Imput[[#This Row],[Precio Unitario]]</f>
        <v>0</v>
      </c>
      <c r="J2089" s="11">
        <f>((Imput[[#This Row],[Sub total]])*(0.16))</f>
        <v>0</v>
      </c>
      <c r="K2089" s="11">
        <v>0</v>
      </c>
      <c r="L2089" s="169">
        <f>Imput[[#This Row],[Sub total]]+Imput[[#This Row],[IVA]]-Imput[[#This Row],[Retención / IEPS / Descuento]]</f>
        <v>0</v>
      </c>
      <c r="M2089" s="844">
        <v>0</v>
      </c>
      <c r="N2089" s="189"/>
      <c r="O2089" s="1"/>
      <c r="P2089" s="189"/>
      <c r="Q2089" s="190"/>
      <c r="R2089" s="188"/>
      <c r="S2089" s="193"/>
      <c r="T2089" s="192"/>
      <c r="U2089" s="829"/>
      <c r="V2089" s="10"/>
      <c r="W2089" s="10"/>
      <c r="X2089" s="10"/>
      <c r="Y2089" s="10"/>
      <c r="Z2089" s="10"/>
      <c r="AA2089" s="11"/>
      <c r="AB2089" s="11"/>
    </row>
    <row r="2090" spans="2:28" x14ac:dyDescent="0.3">
      <c r="B2090" s="10"/>
      <c r="C2090" s="315"/>
      <c r="D2090" s="868"/>
      <c r="E2090" s="837" t="str">
        <f>IFERROR(IF(_xlfn.XLOOKUP(Imput[[#This Row],[RFC]],'Alta Proveedor'!D:D,'Alta Proveedor'!E:E)=0,"",_xlfn.XLOOKUP(Imput[[#This Row],[RFC]],'Alta Proveedor'!D:D,'Alta Proveedor'!E:E)),"")</f>
        <v/>
      </c>
      <c r="F2090" s="832"/>
      <c r="G2090" s="187"/>
      <c r="H2090" s="1"/>
      <c r="I2090" s="169">
        <f>Imput[[#This Row],[Cantidad]]*Imput[[#This Row],[Precio Unitario]]</f>
        <v>0</v>
      </c>
      <c r="J2090" s="11">
        <f>((Imput[[#This Row],[Sub total]])*(0.16))</f>
        <v>0</v>
      </c>
      <c r="K2090" s="11">
        <v>0</v>
      </c>
      <c r="L2090" s="169">
        <f>Imput[[#This Row],[Sub total]]+Imput[[#This Row],[IVA]]-Imput[[#This Row],[Retención / IEPS / Descuento]]</f>
        <v>0</v>
      </c>
      <c r="M2090" s="844">
        <v>0</v>
      </c>
      <c r="N2090" s="189"/>
      <c r="O2090" s="1"/>
      <c r="P2090" s="189"/>
      <c r="Q2090" s="190"/>
      <c r="R2090" s="188"/>
      <c r="S2090" s="193"/>
      <c r="T2090" s="192"/>
      <c r="U2090" s="829"/>
      <c r="V2090" s="10"/>
      <c r="W2090" s="10"/>
      <c r="X2090" s="10"/>
      <c r="Y2090" s="10"/>
      <c r="Z2090" s="10"/>
      <c r="AA2090" s="11"/>
      <c r="AB2090" s="11"/>
    </row>
    <row r="2091" spans="2:28" x14ac:dyDescent="0.3">
      <c r="B2091" s="10"/>
      <c r="C2091" s="315"/>
      <c r="D2091" s="868"/>
      <c r="E2091" s="837" t="str">
        <f>IFERROR(IF(_xlfn.XLOOKUP(Imput[[#This Row],[RFC]],'Alta Proveedor'!D:D,'Alta Proveedor'!E:E)=0,"",_xlfn.XLOOKUP(Imput[[#This Row],[RFC]],'Alta Proveedor'!D:D,'Alta Proveedor'!E:E)),"")</f>
        <v/>
      </c>
      <c r="F2091" s="832"/>
      <c r="G2091" s="187"/>
      <c r="H2091" s="1"/>
      <c r="I2091" s="169">
        <f>Imput[[#This Row],[Cantidad]]*Imput[[#This Row],[Precio Unitario]]</f>
        <v>0</v>
      </c>
      <c r="J2091" s="11">
        <f>((Imput[[#This Row],[Sub total]])*(0.16))</f>
        <v>0</v>
      </c>
      <c r="K2091" s="11">
        <v>0</v>
      </c>
      <c r="L2091" s="169">
        <f>Imput[[#This Row],[Sub total]]+Imput[[#This Row],[IVA]]-Imput[[#This Row],[Retención / IEPS / Descuento]]</f>
        <v>0</v>
      </c>
      <c r="M2091" s="844">
        <v>0</v>
      </c>
      <c r="N2091" s="189"/>
      <c r="O2091" s="1"/>
      <c r="P2091" s="189"/>
      <c r="Q2091" s="190"/>
      <c r="R2091" s="188"/>
      <c r="S2091" s="193"/>
      <c r="T2091" s="192"/>
      <c r="U2091" s="829"/>
      <c r="V2091" s="10"/>
      <c r="W2091" s="10"/>
      <c r="X2091" s="10"/>
      <c r="Y2091" s="10"/>
      <c r="Z2091" s="10"/>
      <c r="AA2091" s="11"/>
      <c r="AB2091" s="11"/>
    </row>
    <row r="2092" spans="2:28" x14ac:dyDescent="0.3">
      <c r="B2092" s="10"/>
      <c r="C2092" s="315"/>
      <c r="D2092" s="868"/>
      <c r="E2092" s="837" t="str">
        <f>IFERROR(IF(_xlfn.XLOOKUP(Imput[[#This Row],[RFC]],'Alta Proveedor'!D:D,'Alta Proveedor'!E:E)=0,"",_xlfn.XLOOKUP(Imput[[#This Row],[RFC]],'Alta Proveedor'!D:D,'Alta Proveedor'!E:E)),"")</f>
        <v/>
      </c>
      <c r="F2092" s="832"/>
      <c r="G2092" s="187"/>
      <c r="H2092" s="1"/>
      <c r="I2092" s="169">
        <f>Imput[[#This Row],[Cantidad]]*Imput[[#This Row],[Precio Unitario]]</f>
        <v>0</v>
      </c>
      <c r="J2092" s="11">
        <f>((Imput[[#This Row],[Sub total]])*(0.16))</f>
        <v>0</v>
      </c>
      <c r="K2092" s="11">
        <v>0</v>
      </c>
      <c r="L2092" s="169">
        <f>Imput[[#This Row],[Sub total]]+Imput[[#This Row],[IVA]]-Imput[[#This Row],[Retención / IEPS / Descuento]]</f>
        <v>0</v>
      </c>
      <c r="M2092" s="844">
        <v>0</v>
      </c>
      <c r="N2092" s="189"/>
      <c r="O2092" s="1"/>
      <c r="P2092" s="189"/>
      <c r="Q2092" s="190"/>
      <c r="R2092" s="188"/>
      <c r="S2092" s="193"/>
      <c r="T2092" s="192"/>
      <c r="U2092" s="829"/>
      <c r="V2092" s="10"/>
      <c r="W2092" s="10"/>
      <c r="X2092" s="10"/>
      <c r="Y2092" s="10"/>
      <c r="Z2092" s="10"/>
      <c r="AA2092" s="11"/>
      <c r="AB2092" s="11"/>
    </row>
    <row r="2093" spans="2:28" x14ac:dyDescent="0.3">
      <c r="B2093" s="10"/>
      <c r="C2093" s="315"/>
      <c r="D2093" s="868"/>
      <c r="E2093" s="837" t="str">
        <f>IFERROR(IF(_xlfn.XLOOKUP(Imput[[#This Row],[RFC]],'Alta Proveedor'!D:D,'Alta Proveedor'!E:E)=0,"",_xlfn.XLOOKUP(Imput[[#This Row],[RFC]],'Alta Proveedor'!D:D,'Alta Proveedor'!E:E)),"")</f>
        <v/>
      </c>
      <c r="F2093" s="832"/>
      <c r="G2093" s="187"/>
      <c r="H2093" s="1"/>
      <c r="I2093" s="169">
        <f>Imput[[#This Row],[Cantidad]]*Imput[[#This Row],[Precio Unitario]]</f>
        <v>0</v>
      </c>
      <c r="J2093" s="11">
        <f>((Imput[[#This Row],[Sub total]])*(0.16))</f>
        <v>0</v>
      </c>
      <c r="K2093" s="11">
        <v>0</v>
      </c>
      <c r="L2093" s="169">
        <f>Imput[[#This Row],[Sub total]]+Imput[[#This Row],[IVA]]-Imput[[#This Row],[Retención / IEPS / Descuento]]</f>
        <v>0</v>
      </c>
      <c r="M2093" s="844">
        <v>0</v>
      </c>
      <c r="N2093" s="189"/>
      <c r="O2093" s="1"/>
      <c r="P2093" s="189"/>
      <c r="Q2093" s="190"/>
      <c r="R2093" s="188"/>
      <c r="S2093" s="193"/>
      <c r="T2093" s="192"/>
      <c r="U2093" s="829"/>
      <c r="V2093" s="10"/>
      <c r="W2093" s="10"/>
      <c r="X2093" s="10"/>
      <c r="Y2093" s="10"/>
      <c r="Z2093" s="10"/>
      <c r="AA2093" s="11"/>
      <c r="AB2093" s="11"/>
    </row>
    <row r="2094" spans="2:28" x14ac:dyDescent="0.3">
      <c r="B2094" s="10"/>
      <c r="C2094" s="315"/>
      <c r="D2094" s="868"/>
      <c r="E2094" s="837" t="str">
        <f>IFERROR(IF(_xlfn.XLOOKUP(Imput[[#This Row],[RFC]],'Alta Proveedor'!D:D,'Alta Proveedor'!E:E)=0,"",_xlfn.XLOOKUP(Imput[[#This Row],[RFC]],'Alta Proveedor'!D:D,'Alta Proveedor'!E:E)),"")</f>
        <v/>
      </c>
      <c r="F2094" s="832"/>
      <c r="G2094" s="187"/>
      <c r="H2094" s="1"/>
      <c r="I2094" s="169">
        <f>Imput[[#This Row],[Cantidad]]*Imput[[#This Row],[Precio Unitario]]</f>
        <v>0</v>
      </c>
      <c r="J2094" s="11">
        <f>((Imput[[#This Row],[Sub total]])*(0.16))</f>
        <v>0</v>
      </c>
      <c r="K2094" s="11">
        <v>0</v>
      </c>
      <c r="L2094" s="169">
        <f>Imput[[#This Row],[Sub total]]+Imput[[#This Row],[IVA]]-Imput[[#This Row],[Retención / IEPS / Descuento]]</f>
        <v>0</v>
      </c>
      <c r="M2094" s="844">
        <v>0</v>
      </c>
      <c r="N2094" s="189"/>
      <c r="O2094" s="1"/>
      <c r="P2094" s="189"/>
      <c r="Q2094" s="190"/>
      <c r="R2094" s="188"/>
      <c r="S2094" s="193"/>
      <c r="T2094" s="192"/>
      <c r="U2094" s="829"/>
      <c r="V2094" s="10"/>
      <c r="W2094" s="10"/>
      <c r="X2094" s="10"/>
      <c r="Y2094" s="10"/>
      <c r="Z2094" s="10"/>
      <c r="AA2094" s="11"/>
      <c r="AB2094" s="11"/>
    </row>
    <row r="2095" spans="2:28" x14ac:dyDescent="0.3">
      <c r="B2095" s="10"/>
      <c r="C2095" s="315"/>
      <c r="D2095" s="868"/>
      <c r="E2095" s="837" t="str">
        <f>IFERROR(IF(_xlfn.XLOOKUP(Imput[[#This Row],[RFC]],'Alta Proveedor'!D:D,'Alta Proveedor'!E:E)=0,"",_xlfn.XLOOKUP(Imput[[#This Row],[RFC]],'Alta Proveedor'!D:D,'Alta Proveedor'!E:E)),"")</f>
        <v/>
      </c>
      <c r="F2095" s="832"/>
      <c r="G2095" s="187"/>
      <c r="H2095" s="1"/>
      <c r="I2095" s="169">
        <f>Imput[[#This Row],[Cantidad]]*Imput[[#This Row],[Precio Unitario]]</f>
        <v>0</v>
      </c>
      <c r="J2095" s="11">
        <f>((Imput[[#This Row],[Sub total]])*(0.16))</f>
        <v>0</v>
      </c>
      <c r="K2095" s="11">
        <v>0</v>
      </c>
      <c r="L2095" s="169">
        <f>Imput[[#This Row],[Sub total]]+Imput[[#This Row],[IVA]]-Imput[[#This Row],[Retención / IEPS / Descuento]]</f>
        <v>0</v>
      </c>
      <c r="M2095" s="844">
        <v>0</v>
      </c>
      <c r="N2095" s="189"/>
      <c r="O2095" s="1"/>
      <c r="P2095" s="189"/>
      <c r="Q2095" s="190"/>
      <c r="R2095" s="188"/>
      <c r="S2095" s="193"/>
      <c r="T2095" s="192"/>
      <c r="U2095" s="829"/>
      <c r="V2095" s="10"/>
      <c r="W2095" s="10"/>
      <c r="X2095" s="10"/>
      <c r="Y2095" s="10"/>
      <c r="Z2095" s="10"/>
      <c r="AA2095" s="11"/>
      <c r="AB2095" s="11"/>
    </row>
    <row r="2096" spans="2:28" x14ac:dyDescent="0.3">
      <c r="B2096" s="10"/>
      <c r="C2096" s="315"/>
      <c r="D2096" s="868"/>
      <c r="E2096" s="837" t="str">
        <f>IFERROR(IF(_xlfn.XLOOKUP(Imput[[#This Row],[RFC]],'Alta Proveedor'!D:D,'Alta Proveedor'!E:E)=0,"",_xlfn.XLOOKUP(Imput[[#This Row],[RFC]],'Alta Proveedor'!D:D,'Alta Proveedor'!E:E)),"")</f>
        <v/>
      </c>
      <c r="F2096" s="832"/>
      <c r="G2096" s="187"/>
      <c r="H2096" s="1"/>
      <c r="I2096" s="169">
        <f>Imput[[#This Row],[Cantidad]]*Imput[[#This Row],[Precio Unitario]]</f>
        <v>0</v>
      </c>
      <c r="J2096" s="11">
        <f>((Imput[[#This Row],[Sub total]])*(0.16))</f>
        <v>0</v>
      </c>
      <c r="K2096" s="11">
        <v>0</v>
      </c>
      <c r="L2096" s="169">
        <f>Imput[[#This Row],[Sub total]]+Imput[[#This Row],[IVA]]-Imput[[#This Row],[Retención / IEPS / Descuento]]</f>
        <v>0</v>
      </c>
      <c r="M2096" s="844">
        <v>0</v>
      </c>
      <c r="N2096" s="189"/>
      <c r="O2096" s="1"/>
      <c r="P2096" s="189"/>
      <c r="Q2096" s="190"/>
      <c r="R2096" s="188"/>
      <c r="S2096" s="193"/>
      <c r="T2096" s="192"/>
      <c r="U2096" s="829"/>
      <c r="V2096" s="10"/>
      <c r="W2096" s="10"/>
      <c r="X2096" s="10"/>
      <c r="Y2096" s="10"/>
      <c r="Z2096" s="10"/>
      <c r="AA2096" s="11"/>
      <c r="AB2096" s="11"/>
    </row>
    <row r="2097" spans="2:28" x14ac:dyDescent="0.3">
      <c r="B2097" s="10"/>
      <c r="C2097" s="315"/>
      <c r="D2097" s="868"/>
      <c r="E2097" s="837" t="str">
        <f>IFERROR(IF(_xlfn.XLOOKUP(Imput[[#This Row],[RFC]],'Alta Proveedor'!D:D,'Alta Proveedor'!E:E)=0,"",_xlfn.XLOOKUP(Imput[[#This Row],[RFC]],'Alta Proveedor'!D:D,'Alta Proveedor'!E:E)),"")</f>
        <v/>
      </c>
      <c r="F2097" s="832"/>
      <c r="G2097" s="187"/>
      <c r="H2097" s="1"/>
      <c r="I2097" s="169">
        <f>Imput[[#This Row],[Cantidad]]*Imput[[#This Row],[Precio Unitario]]</f>
        <v>0</v>
      </c>
      <c r="J2097" s="11">
        <f>((Imput[[#This Row],[Sub total]])*(0.16))</f>
        <v>0</v>
      </c>
      <c r="K2097" s="11">
        <v>0</v>
      </c>
      <c r="L2097" s="169">
        <f>Imput[[#This Row],[Sub total]]+Imput[[#This Row],[IVA]]-Imput[[#This Row],[Retención / IEPS / Descuento]]</f>
        <v>0</v>
      </c>
      <c r="M2097" s="844">
        <v>0</v>
      </c>
      <c r="N2097" s="189"/>
      <c r="O2097" s="1"/>
      <c r="P2097" s="189"/>
      <c r="Q2097" s="190"/>
      <c r="R2097" s="188"/>
      <c r="S2097" s="193"/>
      <c r="T2097" s="192"/>
      <c r="U2097" s="829"/>
      <c r="V2097" s="10"/>
      <c r="W2097" s="10"/>
      <c r="X2097" s="10"/>
      <c r="Y2097" s="10"/>
      <c r="Z2097" s="10"/>
      <c r="AA2097" s="11"/>
      <c r="AB2097" s="11"/>
    </row>
    <row r="2098" spans="2:28" x14ac:dyDescent="0.3">
      <c r="B2098" s="10"/>
      <c r="C2098" s="315"/>
      <c r="D2098" s="868"/>
      <c r="E2098" s="837" t="str">
        <f>IFERROR(IF(_xlfn.XLOOKUP(Imput[[#This Row],[RFC]],'Alta Proveedor'!D:D,'Alta Proveedor'!E:E)=0,"",_xlfn.XLOOKUP(Imput[[#This Row],[RFC]],'Alta Proveedor'!D:D,'Alta Proveedor'!E:E)),"")</f>
        <v/>
      </c>
      <c r="F2098" s="832"/>
      <c r="G2098" s="187"/>
      <c r="H2098" s="1"/>
      <c r="I2098" s="169">
        <f>Imput[[#This Row],[Cantidad]]*Imput[[#This Row],[Precio Unitario]]</f>
        <v>0</v>
      </c>
      <c r="J2098" s="11">
        <f>((Imput[[#This Row],[Sub total]])*(0.16))</f>
        <v>0</v>
      </c>
      <c r="K2098" s="11">
        <v>0</v>
      </c>
      <c r="L2098" s="169">
        <f>Imput[[#This Row],[Sub total]]+Imput[[#This Row],[IVA]]-Imput[[#This Row],[Retención / IEPS / Descuento]]</f>
        <v>0</v>
      </c>
      <c r="M2098" s="844">
        <v>0</v>
      </c>
      <c r="N2098" s="189"/>
      <c r="O2098" s="1"/>
      <c r="P2098" s="189"/>
      <c r="Q2098" s="190"/>
      <c r="R2098" s="188"/>
      <c r="S2098" s="193"/>
      <c r="T2098" s="192"/>
      <c r="U2098" s="829"/>
      <c r="V2098" s="10"/>
      <c r="W2098" s="10"/>
      <c r="X2098" s="10"/>
      <c r="Y2098" s="10"/>
      <c r="Z2098" s="10"/>
      <c r="AA2098" s="11"/>
      <c r="AB2098" s="11"/>
    </row>
    <row r="2099" spans="2:28" x14ac:dyDescent="0.3">
      <c r="B2099" s="10"/>
      <c r="C2099" s="315"/>
      <c r="D2099" s="868"/>
      <c r="E2099" s="837" t="str">
        <f>IFERROR(IF(_xlfn.XLOOKUP(Imput[[#This Row],[RFC]],'Alta Proveedor'!D:D,'Alta Proveedor'!E:E)=0,"",_xlfn.XLOOKUP(Imput[[#This Row],[RFC]],'Alta Proveedor'!D:D,'Alta Proveedor'!E:E)),"")</f>
        <v/>
      </c>
      <c r="F2099" s="832"/>
      <c r="G2099" s="187"/>
      <c r="H2099" s="1"/>
      <c r="I2099" s="169">
        <f>Imput[[#This Row],[Cantidad]]*Imput[[#This Row],[Precio Unitario]]</f>
        <v>0</v>
      </c>
      <c r="J2099" s="11">
        <f>((Imput[[#This Row],[Sub total]])*(0.16))</f>
        <v>0</v>
      </c>
      <c r="K2099" s="11">
        <v>0</v>
      </c>
      <c r="L2099" s="169">
        <f>Imput[[#This Row],[Sub total]]+Imput[[#This Row],[IVA]]-Imput[[#This Row],[Retención / IEPS / Descuento]]</f>
        <v>0</v>
      </c>
      <c r="M2099" s="844">
        <v>0</v>
      </c>
      <c r="N2099" s="189"/>
      <c r="O2099" s="1"/>
      <c r="P2099" s="189"/>
      <c r="Q2099" s="190"/>
      <c r="R2099" s="188"/>
      <c r="S2099" s="193"/>
      <c r="T2099" s="192"/>
      <c r="U2099" s="829"/>
      <c r="V2099" s="10"/>
      <c r="W2099" s="10"/>
      <c r="X2099" s="10"/>
      <c r="Y2099" s="10"/>
      <c r="Z2099" s="10"/>
      <c r="AA2099" s="11"/>
      <c r="AB2099" s="11"/>
    </row>
    <row r="2100" spans="2:28" x14ac:dyDescent="0.3">
      <c r="B2100" s="10"/>
      <c r="C2100" s="315"/>
      <c r="D2100" s="868"/>
      <c r="E2100" s="837" t="str">
        <f>IFERROR(IF(_xlfn.XLOOKUP(Imput[[#This Row],[RFC]],'Alta Proveedor'!D:D,'Alta Proveedor'!E:E)=0,"",_xlfn.XLOOKUP(Imput[[#This Row],[RFC]],'Alta Proveedor'!D:D,'Alta Proveedor'!E:E)),"")</f>
        <v/>
      </c>
      <c r="F2100" s="832"/>
      <c r="G2100" s="187"/>
      <c r="H2100" s="1"/>
      <c r="I2100" s="169">
        <f>Imput[[#This Row],[Cantidad]]*Imput[[#This Row],[Precio Unitario]]</f>
        <v>0</v>
      </c>
      <c r="J2100" s="11">
        <f>((Imput[[#This Row],[Sub total]])*(0.16))</f>
        <v>0</v>
      </c>
      <c r="K2100" s="11">
        <v>0</v>
      </c>
      <c r="L2100" s="169">
        <f>Imput[[#This Row],[Sub total]]+Imput[[#This Row],[IVA]]-Imput[[#This Row],[Retención / IEPS / Descuento]]</f>
        <v>0</v>
      </c>
      <c r="M2100" s="844">
        <v>0</v>
      </c>
      <c r="N2100" s="189"/>
      <c r="O2100" s="1"/>
      <c r="P2100" s="189"/>
      <c r="Q2100" s="190"/>
      <c r="R2100" s="188"/>
      <c r="S2100" s="193"/>
      <c r="T2100" s="192"/>
      <c r="U2100" s="829"/>
      <c r="V2100" s="10"/>
      <c r="W2100" s="10"/>
      <c r="X2100" s="10"/>
      <c r="Y2100" s="10"/>
      <c r="Z2100" s="10"/>
      <c r="AA2100" s="11"/>
      <c r="AB2100" s="11"/>
    </row>
    <row r="2101" spans="2:28" x14ac:dyDescent="0.3">
      <c r="B2101" s="10"/>
      <c r="C2101" s="315"/>
      <c r="D2101" s="868"/>
      <c r="E2101" s="837" t="str">
        <f>IFERROR(IF(_xlfn.XLOOKUP(Imput[[#This Row],[RFC]],'Alta Proveedor'!D:D,'Alta Proveedor'!E:E)=0,"",_xlfn.XLOOKUP(Imput[[#This Row],[RFC]],'Alta Proveedor'!D:D,'Alta Proveedor'!E:E)),"")</f>
        <v/>
      </c>
      <c r="F2101" s="832"/>
      <c r="G2101" s="187"/>
      <c r="H2101" s="1"/>
      <c r="I2101" s="169">
        <f>Imput[[#This Row],[Cantidad]]*Imput[[#This Row],[Precio Unitario]]</f>
        <v>0</v>
      </c>
      <c r="J2101" s="11">
        <f>((Imput[[#This Row],[Sub total]])*(0.16))</f>
        <v>0</v>
      </c>
      <c r="K2101" s="11">
        <v>0</v>
      </c>
      <c r="L2101" s="169">
        <f>Imput[[#This Row],[Sub total]]+Imput[[#This Row],[IVA]]-Imput[[#This Row],[Retención / IEPS / Descuento]]</f>
        <v>0</v>
      </c>
      <c r="M2101" s="844">
        <v>0</v>
      </c>
      <c r="N2101" s="189"/>
      <c r="O2101" s="1"/>
      <c r="P2101" s="189"/>
      <c r="Q2101" s="190"/>
      <c r="R2101" s="188"/>
      <c r="S2101" s="193"/>
      <c r="T2101" s="192"/>
      <c r="U2101" s="829"/>
      <c r="V2101" s="10"/>
      <c r="W2101" s="10"/>
      <c r="X2101" s="10"/>
      <c r="Y2101" s="10"/>
      <c r="Z2101" s="10"/>
      <c r="AA2101" s="11"/>
      <c r="AB2101" s="11"/>
    </row>
    <row r="2102" spans="2:28" x14ac:dyDescent="0.3">
      <c r="B2102" s="10"/>
      <c r="C2102" s="315"/>
      <c r="D2102" s="868"/>
      <c r="E2102" s="837" t="str">
        <f>IFERROR(IF(_xlfn.XLOOKUP(Imput[[#This Row],[RFC]],'Alta Proveedor'!D:D,'Alta Proveedor'!E:E)=0,"",_xlfn.XLOOKUP(Imput[[#This Row],[RFC]],'Alta Proveedor'!D:D,'Alta Proveedor'!E:E)),"")</f>
        <v/>
      </c>
      <c r="F2102" s="832"/>
      <c r="G2102" s="187"/>
      <c r="H2102" s="1"/>
      <c r="I2102" s="169">
        <f>Imput[[#This Row],[Cantidad]]*Imput[[#This Row],[Precio Unitario]]</f>
        <v>0</v>
      </c>
      <c r="J2102" s="11">
        <f>((Imput[[#This Row],[Sub total]])*(0.16))</f>
        <v>0</v>
      </c>
      <c r="K2102" s="11">
        <v>0</v>
      </c>
      <c r="L2102" s="169">
        <f>Imput[[#This Row],[Sub total]]+Imput[[#This Row],[IVA]]-Imput[[#This Row],[Retención / IEPS / Descuento]]</f>
        <v>0</v>
      </c>
      <c r="M2102" s="844">
        <v>0</v>
      </c>
      <c r="N2102" s="189"/>
      <c r="O2102" s="1"/>
      <c r="P2102" s="189"/>
      <c r="Q2102" s="190"/>
      <c r="R2102" s="188"/>
      <c r="S2102" s="193"/>
      <c r="T2102" s="192"/>
      <c r="U2102" s="829"/>
      <c r="V2102" s="10"/>
      <c r="W2102" s="10"/>
      <c r="X2102" s="10"/>
      <c r="Y2102" s="10"/>
      <c r="Z2102" s="10"/>
      <c r="AA2102" s="11"/>
      <c r="AB2102" s="11"/>
    </row>
    <row r="2103" spans="2:28" x14ac:dyDescent="0.3">
      <c r="B2103" s="10"/>
      <c r="C2103" s="315"/>
      <c r="D2103" s="868"/>
      <c r="E2103" s="837" t="str">
        <f>IFERROR(IF(_xlfn.XLOOKUP(Imput[[#This Row],[RFC]],'Alta Proveedor'!D:D,'Alta Proveedor'!E:E)=0,"",_xlfn.XLOOKUP(Imput[[#This Row],[RFC]],'Alta Proveedor'!D:D,'Alta Proveedor'!E:E)),"")</f>
        <v/>
      </c>
      <c r="F2103" s="832"/>
      <c r="G2103" s="187"/>
      <c r="H2103" s="1"/>
      <c r="I2103" s="169">
        <f>Imput[[#This Row],[Cantidad]]*Imput[[#This Row],[Precio Unitario]]</f>
        <v>0</v>
      </c>
      <c r="J2103" s="11">
        <f>((Imput[[#This Row],[Sub total]])*(0.16))</f>
        <v>0</v>
      </c>
      <c r="K2103" s="11">
        <v>0</v>
      </c>
      <c r="L2103" s="169">
        <f>Imput[[#This Row],[Sub total]]+Imput[[#This Row],[IVA]]-Imput[[#This Row],[Retención / IEPS / Descuento]]</f>
        <v>0</v>
      </c>
      <c r="M2103" s="844">
        <v>0</v>
      </c>
      <c r="N2103" s="189"/>
      <c r="O2103" s="1"/>
      <c r="P2103" s="189"/>
      <c r="Q2103" s="190"/>
      <c r="R2103" s="188"/>
      <c r="S2103" s="193"/>
      <c r="T2103" s="192"/>
      <c r="U2103" s="829"/>
      <c r="V2103" s="10"/>
      <c r="W2103" s="10"/>
      <c r="X2103" s="10"/>
      <c r="Y2103" s="10"/>
      <c r="Z2103" s="10"/>
      <c r="AA2103" s="11"/>
      <c r="AB2103" s="11"/>
    </row>
    <row r="2104" spans="2:28" x14ac:dyDescent="0.3">
      <c r="B2104" s="10"/>
      <c r="C2104" s="315"/>
      <c r="D2104" s="868"/>
      <c r="E2104" s="837" t="str">
        <f>IFERROR(IF(_xlfn.XLOOKUP(Imput[[#This Row],[RFC]],'Alta Proveedor'!D:D,'Alta Proveedor'!E:E)=0,"",_xlfn.XLOOKUP(Imput[[#This Row],[RFC]],'Alta Proveedor'!D:D,'Alta Proveedor'!E:E)),"")</f>
        <v/>
      </c>
      <c r="F2104" s="832"/>
      <c r="G2104" s="187"/>
      <c r="H2104" s="1"/>
      <c r="I2104" s="169">
        <f>Imput[[#This Row],[Cantidad]]*Imput[[#This Row],[Precio Unitario]]</f>
        <v>0</v>
      </c>
      <c r="J2104" s="11">
        <f>((Imput[[#This Row],[Sub total]])*(0.16))</f>
        <v>0</v>
      </c>
      <c r="K2104" s="11">
        <v>0</v>
      </c>
      <c r="L2104" s="169">
        <f>Imput[[#This Row],[Sub total]]+Imput[[#This Row],[IVA]]-Imput[[#This Row],[Retención / IEPS / Descuento]]</f>
        <v>0</v>
      </c>
      <c r="M2104" s="844">
        <v>0</v>
      </c>
      <c r="N2104" s="189"/>
      <c r="O2104" s="1"/>
      <c r="P2104" s="189"/>
      <c r="Q2104" s="190"/>
      <c r="R2104" s="188"/>
      <c r="S2104" s="193"/>
      <c r="T2104" s="192"/>
      <c r="U2104" s="829"/>
      <c r="V2104" s="10"/>
      <c r="W2104" s="10"/>
      <c r="X2104" s="10"/>
      <c r="Y2104" s="10"/>
      <c r="Z2104" s="10"/>
      <c r="AA2104" s="11"/>
      <c r="AB2104" s="11"/>
    </row>
    <row r="2105" spans="2:28" x14ac:dyDescent="0.3">
      <c r="B2105" s="10"/>
      <c r="C2105" s="315"/>
      <c r="D2105" s="868"/>
      <c r="E2105" s="837" t="str">
        <f>IFERROR(IF(_xlfn.XLOOKUP(Imput[[#This Row],[RFC]],'Alta Proveedor'!D:D,'Alta Proveedor'!E:E)=0,"",_xlfn.XLOOKUP(Imput[[#This Row],[RFC]],'Alta Proveedor'!D:D,'Alta Proveedor'!E:E)),"")</f>
        <v/>
      </c>
      <c r="F2105" s="832"/>
      <c r="G2105" s="187"/>
      <c r="H2105" s="1"/>
      <c r="I2105" s="169">
        <f>Imput[[#This Row],[Cantidad]]*Imput[[#This Row],[Precio Unitario]]</f>
        <v>0</v>
      </c>
      <c r="J2105" s="11">
        <f>((Imput[[#This Row],[Sub total]])*(0.16))</f>
        <v>0</v>
      </c>
      <c r="K2105" s="11">
        <v>0</v>
      </c>
      <c r="L2105" s="169">
        <f>Imput[[#This Row],[Sub total]]+Imput[[#This Row],[IVA]]-Imput[[#This Row],[Retención / IEPS / Descuento]]</f>
        <v>0</v>
      </c>
      <c r="M2105" s="844">
        <v>0</v>
      </c>
      <c r="N2105" s="189"/>
      <c r="O2105" s="1"/>
      <c r="P2105" s="189"/>
      <c r="Q2105" s="190"/>
      <c r="R2105" s="188"/>
      <c r="S2105" s="193"/>
      <c r="T2105" s="192"/>
      <c r="U2105" s="829"/>
      <c r="V2105" s="10"/>
      <c r="W2105" s="10"/>
      <c r="X2105" s="10"/>
      <c r="Y2105" s="10"/>
      <c r="Z2105" s="10"/>
      <c r="AA2105" s="11"/>
      <c r="AB2105" s="11"/>
    </row>
    <row r="2106" spans="2:28" x14ac:dyDescent="0.3">
      <c r="B2106" s="10"/>
      <c r="C2106" s="315"/>
      <c r="D2106" s="868"/>
      <c r="E2106" s="837" t="str">
        <f>IFERROR(IF(_xlfn.XLOOKUP(Imput[[#This Row],[RFC]],'Alta Proveedor'!D:D,'Alta Proveedor'!E:E)=0,"",_xlfn.XLOOKUP(Imput[[#This Row],[RFC]],'Alta Proveedor'!D:D,'Alta Proveedor'!E:E)),"")</f>
        <v/>
      </c>
      <c r="F2106" s="832"/>
      <c r="G2106" s="187"/>
      <c r="H2106" s="1"/>
      <c r="I2106" s="169">
        <f>Imput[[#This Row],[Cantidad]]*Imput[[#This Row],[Precio Unitario]]</f>
        <v>0</v>
      </c>
      <c r="J2106" s="11">
        <f>((Imput[[#This Row],[Sub total]])*(0.16))</f>
        <v>0</v>
      </c>
      <c r="K2106" s="11">
        <v>0</v>
      </c>
      <c r="L2106" s="169">
        <f>Imput[[#This Row],[Sub total]]+Imput[[#This Row],[IVA]]-Imput[[#This Row],[Retención / IEPS / Descuento]]</f>
        <v>0</v>
      </c>
      <c r="M2106" s="844">
        <v>0</v>
      </c>
      <c r="N2106" s="189"/>
      <c r="O2106" s="1"/>
      <c r="P2106" s="189"/>
      <c r="Q2106" s="190"/>
      <c r="R2106" s="188"/>
      <c r="S2106" s="193"/>
      <c r="T2106" s="192"/>
      <c r="U2106" s="829"/>
      <c r="V2106" s="10"/>
      <c r="W2106" s="10"/>
      <c r="X2106" s="10"/>
      <c r="Y2106" s="10"/>
      <c r="Z2106" s="10"/>
      <c r="AA2106" s="11"/>
      <c r="AB2106" s="11"/>
    </row>
    <row r="2107" spans="2:28" x14ac:dyDescent="0.3">
      <c r="B2107" s="10"/>
      <c r="C2107" s="315"/>
      <c r="D2107" s="868"/>
      <c r="E2107" s="837" t="str">
        <f>IFERROR(IF(_xlfn.XLOOKUP(Imput[[#This Row],[RFC]],'Alta Proveedor'!D:D,'Alta Proveedor'!E:E)=0,"",_xlfn.XLOOKUP(Imput[[#This Row],[RFC]],'Alta Proveedor'!D:D,'Alta Proveedor'!E:E)),"")</f>
        <v/>
      </c>
      <c r="F2107" s="832"/>
      <c r="G2107" s="187"/>
      <c r="H2107" s="1"/>
      <c r="I2107" s="169">
        <f>Imput[[#This Row],[Cantidad]]*Imput[[#This Row],[Precio Unitario]]</f>
        <v>0</v>
      </c>
      <c r="J2107" s="11">
        <f>((Imput[[#This Row],[Sub total]])*(0.16))</f>
        <v>0</v>
      </c>
      <c r="K2107" s="11">
        <v>0</v>
      </c>
      <c r="L2107" s="169">
        <f>Imput[[#This Row],[Sub total]]+Imput[[#This Row],[IVA]]-Imput[[#This Row],[Retención / IEPS / Descuento]]</f>
        <v>0</v>
      </c>
      <c r="M2107" s="844">
        <v>0</v>
      </c>
      <c r="N2107" s="189"/>
      <c r="O2107" s="1"/>
      <c r="P2107" s="189"/>
      <c r="Q2107" s="190"/>
      <c r="R2107" s="188"/>
      <c r="S2107" s="193"/>
      <c r="T2107" s="192"/>
      <c r="U2107" s="829"/>
      <c r="V2107" s="10"/>
      <c r="W2107" s="10"/>
      <c r="X2107" s="10"/>
      <c r="Y2107" s="10"/>
      <c r="Z2107" s="10"/>
      <c r="AA2107" s="11"/>
      <c r="AB2107" s="11"/>
    </row>
    <row r="2108" spans="2:28" x14ac:dyDescent="0.3">
      <c r="B2108" s="10"/>
      <c r="C2108" s="315"/>
      <c r="D2108" s="868"/>
      <c r="E2108" s="837" t="str">
        <f>IFERROR(IF(_xlfn.XLOOKUP(Imput[[#This Row],[RFC]],'Alta Proveedor'!D:D,'Alta Proveedor'!E:E)=0,"",_xlfn.XLOOKUP(Imput[[#This Row],[RFC]],'Alta Proveedor'!D:D,'Alta Proveedor'!E:E)),"")</f>
        <v/>
      </c>
      <c r="F2108" s="832"/>
      <c r="G2108" s="187"/>
      <c r="H2108" s="1"/>
      <c r="I2108" s="169">
        <f>Imput[[#This Row],[Cantidad]]*Imput[[#This Row],[Precio Unitario]]</f>
        <v>0</v>
      </c>
      <c r="J2108" s="11">
        <f>((Imput[[#This Row],[Sub total]])*(0.16))</f>
        <v>0</v>
      </c>
      <c r="K2108" s="11">
        <v>0</v>
      </c>
      <c r="L2108" s="169">
        <f>Imput[[#This Row],[Sub total]]+Imput[[#This Row],[IVA]]-Imput[[#This Row],[Retención / IEPS / Descuento]]</f>
        <v>0</v>
      </c>
      <c r="M2108" s="844">
        <v>0</v>
      </c>
      <c r="N2108" s="189"/>
      <c r="O2108" s="1"/>
      <c r="P2108" s="189"/>
      <c r="Q2108" s="190"/>
      <c r="R2108" s="188"/>
      <c r="S2108" s="193"/>
      <c r="T2108" s="192"/>
      <c r="U2108" s="829"/>
      <c r="V2108" s="10"/>
      <c r="W2108" s="10"/>
      <c r="X2108" s="10"/>
      <c r="Y2108" s="10"/>
      <c r="Z2108" s="10"/>
      <c r="AA2108" s="11"/>
      <c r="AB2108" s="11"/>
    </row>
    <row r="2109" spans="2:28" x14ac:dyDescent="0.3">
      <c r="B2109" s="10"/>
      <c r="C2109" s="315"/>
      <c r="D2109" s="868"/>
      <c r="E2109" s="837" t="str">
        <f>IFERROR(IF(_xlfn.XLOOKUP(Imput[[#This Row],[RFC]],'Alta Proveedor'!D:D,'Alta Proveedor'!E:E)=0,"",_xlfn.XLOOKUP(Imput[[#This Row],[RFC]],'Alta Proveedor'!D:D,'Alta Proveedor'!E:E)),"")</f>
        <v/>
      </c>
      <c r="F2109" s="832"/>
      <c r="G2109" s="187"/>
      <c r="H2109" s="1"/>
      <c r="I2109" s="169">
        <f>Imput[[#This Row],[Cantidad]]*Imput[[#This Row],[Precio Unitario]]</f>
        <v>0</v>
      </c>
      <c r="J2109" s="11">
        <f>((Imput[[#This Row],[Sub total]])*(0.16))</f>
        <v>0</v>
      </c>
      <c r="K2109" s="11">
        <v>0</v>
      </c>
      <c r="L2109" s="169">
        <f>Imput[[#This Row],[Sub total]]+Imput[[#This Row],[IVA]]-Imput[[#This Row],[Retención / IEPS / Descuento]]</f>
        <v>0</v>
      </c>
      <c r="M2109" s="844">
        <v>0</v>
      </c>
      <c r="N2109" s="189"/>
      <c r="O2109" s="1"/>
      <c r="P2109" s="189"/>
      <c r="Q2109" s="190"/>
      <c r="R2109" s="188"/>
      <c r="S2109" s="193"/>
      <c r="T2109" s="192"/>
      <c r="U2109" s="829"/>
      <c r="V2109" s="10"/>
      <c r="W2109" s="10"/>
      <c r="X2109" s="10"/>
      <c r="Y2109" s="10"/>
      <c r="Z2109" s="10"/>
      <c r="AA2109" s="11"/>
      <c r="AB2109" s="11"/>
    </row>
    <row r="2110" spans="2:28" x14ac:dyDescent="0.3">
      <c r="B2110" s="10"/>
      <c r="C2110" s="315"/>
      <c r="D2110" s="868"/>
      <c r="E2110" s="837" t="str">
        <f>IFERROR(IF(_xlfn.XLOOKUP(Imput[[#This Row],[RFC]],'Alta Proveedor'!D:D,'Alta Proveedor'!E:E)=0,"",_xlfn.XLOOKUP(Imput[[#This Row],[RFC]],'Alta Proveedor'!D:D,'Alta Proveedor'!E:E)),"")</f>
        <v/>
      </c>
      <c r="F2110" s="832"/>
      <c r="G2110" s="187"/>
      <c r="H2110" s="1"/>
      <c r="I2110" s="169">
        <f>Imput[[#This Row],[Cantidad]]*Imput[[#This Row],[Precio Unitario]]</f>
        <v>0</v>
      </c>
      <c r="J2110" s="11">
        <f>((Imput[[#This Row],[Sub total]])*(0.16))</f>
        <v>0</v>
      </c>
      <c r="K2110" s="11">
        <v>0</v>
      </c>
      <c r="L2110" s="169">
        <f>Imput[[#This Row],[Sub total]]+Imput[[#This Row],[IVA]]-Imput[[#This Row],[Retención / IEPS / Descuento]]</f>
        <v>0</v>
      </c>
      <c r="M2110" s="844">
        <v>0</v>
      </c>
      <c r="N2110" s="189"/>
      <c r="O2110" s="1"/>
      <c r="P2110" s="189"/>
      <c r="Q2110" s="190"/>
      <c r="R2110" s="188"/>
      <c r="S2110" s="193"/>
      <c r="T2110" s="192"/>
      <c r="U2110" s="829"/>
      <c r="V2110" s="10"/>
      <c r="W2110" s="10"/>
      <c r="X2110" s="10"/>
      <c r="Y2110" s="10"/>
      <c r="Z2110" s="10"/>
      <c r="AA2110" s="11"/>
      <c r="AB2110" s="11"/>
    </row>
    <row r="2111" spans="2:28" x14ac:dyDescent="0.3">
      <c r="B2111" s="10"/>
      <c r="C2111" s="315"/>
      <c r="D2111" s="868"/>
      <c r="E2111" s="837" t="str">
        <f>IFERROR(IF(_xlfn.XLOOKUP(Imput[[#This Row],[RFC]],'Alta Proveedor'!D:D,'Alta Proveedor'!E:E)=0,"",_xlfn.XLOOKUP(Imput[[#This Row],[RFC]],'Alta Proveedor'!D:D,'Alta Proveedor'!E:E)),"")</f>
        <v/>
      </c>
      <c r="F2111" s="832"/>
      <c r="G2111" s="187"/>
      <c r="H2111" s="1"/>
      <c r="I2111" s="169">
        <f>Imput[[#This Row],[Cantidad]]*Imput[[#This Row],[Precio Unitario]]</f>
        <v>0</v>
      </c>
      <c r="J2111" s="11">
        <f>((Imput[[#This Row],[Sub total]])*(0.16))</f>
        <v>0</v>
      </c>
      <c r="K2111" s="11">
        <v>0</v>
      </c>
      <c r="L2111" s="169">
        <f>Imput[[#This Row],[Sub total]]+Imput[[#This Row],[IVA]]-Imput[[#This Row],[Retención / IEPS / Descuento]]</f>
        <v>0</v>
      </c>
      <c r="M2111" s="844">
        <v>0</v>
      </c>
      <c r="N2111" s="189"/>
      <c r="O2111" s="1"/>
      <c r="P2111" s="189"/>
      <c r="Q2111" s="190"/>
      <c r="R2111" s="188"/>
      <c r="S2111" s="193"/>
      <c r="T2111" s="192"/>
      <c r="U2111" s="829"/>
      <c r="V2111" s="10"/>
      <c r="W2111" s="10"/>
      <c r="X2111" s="10"/>
      <c r="Y2111" s="10"/>
      <c r="Z2111" s="10"/>
      <c r="AA2111" s="11"/>
      <c r="AB2111" s="11"/>
    </row>
    <row r="2112" spans="2:28" x14ac:dyDescent="0.3">
      <c r="B2112" s="10"/>
      <c r="C2112" s="315"/>
      <c r="D2112" s="868"/>
      <c r="E2112" s="837" t="str">
        <f>IFERROR(IF(_xlfn.XLOOKUP(Imput[[#This Row],[RFC]],'Alta Proveedor'!D:D,'Alta Proveedor'!E:E)=0,"",_xlfn.XLOOKUP(Imput[[#This Row],[RFC]],'Alta Proveedor'!D:D,'Alta Proveedor'!E:E)),"")</f>
        <v/>
      </c>
      <c r="F2112" s="832"/>
      <c r="G2112" s="187"/>
      <c r="H2112" s="1"/>
      <c r="I2112" s="169">
        <f>Imput[[#This Row],[Cantidad]]*Imput[[#This Row],[Precio Unitario]]</f>
        <v>0</v>
      </c>
      <c r="J2112" s="11">
        <f>((Imput[[#This Row],[Sub total]])*(0.16))</f>
        <v>0</v>
      </c>
      <c r="K2112" s="11">
        <v>0</v>
      </c>
      <c r="L2112" s="169">
        <f>Imput[[#This Row],[Sub total]]+Imput[[#This Row],[IVA]]-Imput[[#This Row],[Retención / IEPS / Descuento]]</f>
        <v>0</v>
      </c>
      <c r="M2112" s="844">
        <v>0</v>
      </c>
      <c r="N2112" s="189"/>
      <c r="O2112" s="1"/>
      <c r="P2112" s="189"/>
      <c r="Q2112" s="190"/>
      <c r="R2112" s="188"/>
      <c r="S2112" s="193"/>
      <c r="T2112" s="192"/>
      <c r="U2112" s="829"/>
      <c r="V2112" s="10"/>
      <c r="W2112" s="10"/>
      <c r="X2112" s="10"/>
      <c r="Y2112" s="10"/>
      <c r="Z2112" s="10"/>
      <c r="AA2112" s="11"/>
      <c r="AB2112" s="11"/>
    </row>
    <row r="2113" spans="2:28" x14ac:dyDescent="0.3">
      <c r="B2113" s="10"/>
      <c r="C2113" s="315"/>
      <c r="D2113" s="868"/>
      <c r="E2113" s="837" t="str">
        <f>IFERROR(IF(_xlfn.XLOOKUP(Imput[[#This Row],[RFC]],'Alta Proveedor'!D:D,'Alta Proveedor'!E:E)=0,"",_xlfn.XLOOKUP(Imput[[#This Row],[RFC]],'Alta Proveedor'!D:D,'Alta Proveedor'!E:E)),"")</f>
        <v/>
      </c>
      <c r="F2113" s="832"/>
      <c r="G2113" s="187"/>
      <c r="H2113" s="1"/>
      <c r="I2113" s="169">
        <f>Imput[[#This Row],[Cantidad]]*Imput[[#This Row],[Precio Unitario]]</f>
        <v>0</v>
      </c>
      <c r="J2113" s="11">
        <f>((Imput[[#This Row],[Sub total]])*(0.16))</f>
        <v>0</v>
      </c>
      <c r="K2113" s="11">
        <v>0</v>
      </c>
      <c r="L2113" s="169">
        <f>Imput[[#This Row],[Sub total]]+Imput[[#This Row],[IVA]]-Imput[[#This Row],[Retención / IEPS / Descuento]]</f>
        <v>0</v>
      </c>
      <c r="M2113" s="844">
        <v>0</v>
      </c>
      <c r="N2113" s="189"/>
      <c r="O2113" s="1"/>
      <c r="P2113" s="189"/>
      <c r="Q2113" s="190"/>
      <c r="R2113" s="188"/>
      <c r="S2113" s="193"/>
      <c r="T2113" s="192"/>
      <c r="U2113" s="829"/>
      <c r="V2113" s="10"/>
      <c r="W2113" s="10"/>
      <c r="X2113" s="10"/>
      <c r="Y2113" s="10"/>
      <c r="Z2113" s="10"/>
      <c r="AA2113" s="11"/>
      <c r="AB2113" s="11"/>
    </row>
    <row r="2114" spans="2:28" x14ac:dyDescent="0.3">
      <c r="B2114" s="10"/>
      <c r="C2114" s="315"/>
      <c r="D2114" s="868"/>
      <c r="E2114" s="837" t="str">
        <f>IFERROR(IF(_xlfn.XLOOKUP(Imput[[#This Row],[RFC]],'Alta Proveedor'!D:D,'Alta Proveedor'!E:E)=0,"",_xlfn.XLOOKUP(Imput[[#This Row],[RFC]],'Alta Proveedor'!D:D,'Alta Proveedor'!E:E)),"")</f>
        <v/>
      </c>
      <c r="F2114" s="832"/>
      <c r="G2114" s="187"/>
      <c r="H2114" s="1"/>
      <c r="I2114" s="169">
        <f>Imput[[#This Row],[Cantidad]]*Imput[[#This Row],[Precio Unitario]]</f>
        <v>0</v>
      </c>
      <c r="J2114" s="11">
        <f>((Imput[[#This Row],[Sub total]])*(0.16))</f>
        <v>0</v>
      </c>
      <c r="K2114" s="11">
        <v>0</v>
      </c>
      <c r="L2114" s="169">
        <f>Imput[[#This Row],[Sub total]]+Imput[[#This Row],[IVA]]-Imput[[#This Row],[Retención / IEPS / Descuento]]</f>
        <v>0</v>
      </c>
      <c r="M2114" s="844">
        <v>0</v>
      </c>
      <c r="N2114" s="189"/>
      <c r="O2114" s="1"/>
      <c r="P2114" s="189"/>
      <c r="Q2114" s="190"/>
      <c r="R2114" s="188"/>
      <c r="S2114" s="193"/>
      <c r="T2114" s="192"/>
      <c r="U2114" s="829"/>
      <c r="V2114" s="10"/>
      <c r="W2114" s="10"/>
      <c r="X2114" s="10"/>
      <c r="Y2114" s="10"/>
      <c r="Z2114" s="10"/>
      <c r="AA2114" s="11"/>
      <c r="AB2114" s="11"/>
    </row>
    <row r="2115" spans="2:28" x14ac:dyDescent="0.3">
      <c r="B2115" s="10"/>
      <c r="C2115" s="315"/>
      <c r="D2115" s="868"/>
      <c r="E2115" s="837" t="str">
        <f>IFERROR(IF(_xlfn.XLOOKUP(Imput[[#This Row],[RFC]],'Alta Proveedor'!D:D,'Alta Proveedor'!E:E)=0,"",_xlfn.XLOOKUP(Imput[[#This Row],[RFC]],'Alta Proveedor'!D:D,'Alta Proveedor'!E:E)),"")</f>
        <v/>
      </c>
      <c r="F2115" s="832"/>
      <c r="G2115" s="187"/>
      <c r="H2115" s="1"/>
      <c r="I2115" s="169">
        <f>Imput[[#This Row],[Cantidad]]*Imput[[#This Row],[Precio Unitario]]</f>
        <v>0</v>
      </c>
      <c r="J2115" s="11">
        <f>((Imput[[#This Row],[Sub total]])*(0.16))</f>
        <v>0</v>
      </c>
      <c r="K2115" s="11">
        <v>0</v>
      </c>
      <c r="L2115" s="169">
        <f>Imput[[#This Row],[Sub total]]+Imput[[#This Row],[IVA]]-Imput[[#This Row],[Retención / IEPS / Descuento]]</f>
        <v>0</v>
      </c>
      <c r="M2115" s="844">
        <v>0</v>
      </c>
      <c r="N2115" s="189"/>
      <c r="O2115" s="1"/>
      <c r="P2115" s="189"/>
      <c r="Q2115" s="190"/>
      <c r="R2115" s="188"/>
      <c r="S2115" s="193"/>
      <c r="T2115" s="192"/>
      <c r="U2115" s="829"/>
      <c r="V2115" s="10"/>
      <c r="W2115" s="10"/>
      <c r="X2115" s="10"/>
      <c r="Y2115" s="10"/>
      <c r="Z2115" s="10"/>
      <c r="AA2115" s="11"/>
      <c r="AB2115" s="11"/>
    </row>
    <row r="2116" spans="2:28" x14ac:dyDescent="0.3">
      <c r="B2116" s="10"/>
      <c r="C2116" s="315"/>
      <c r="D2116" s="868"/>
      <c r="E2116" s="837" t="str">
        <f>IFERROR(IF(_xlfn.XLOOKUP(Imput[[#This Row],[RFC]],'Alta Proveedor'!D:D,'Alta Proveedor'!E:E)=0,"",_xlfn.XLOOKUP(Imput[[#This Row],[RFC]],'Alta Proveedor'!D:D,'Alta Proveedor'!E:E)),"")</f>
        <v/>
      </c>
      <c r="F2116" s="832"/>
      <c r="G2116" s="187"/>
      <c r="H2116" s="1"/>
      <c r="I2116" s="169">
        <f>Imput[[#This Row],[Cantidad]]*Imput[[#This Row],[Precio Unitario]]</f>
        <v>0</v>
      </c>
      <c r="J2116" s="11">
        <f>((Imput[[#This Row],[Sub total]])*(0.16))</f>
        <v>0</v>
      </c>
      <c r="K2116" s="11">
        <v>0</v>
      </c>
      <c r="L2116" s="169">
        <f>Imput[[#This Row],[Sub total]]+Imput[[#This Row],[IVA]]-Imput[[#This Row],[Retención / IEPS / Descuento]]</f>
        <v>0</v>
      </c>
      <c r="M2116" s="844">
        <v>0</v>
      </c>
      <c r="N2116" s="189"/>
      <c r="O2116" s="1"/>
      <c r="P2116" s="189"/>
      <c r="Q2116" s="190"/>
      <c r="R2116" s="188"/>
      <c r="S2116" s="193"/>
      <c r="T2116" s="192"/>
      <c r="U2116" s="829"/>
      <c r="V2116" s="10"/>
      <c r="W2116" s="10"/>
      <c r="X2116" s="10"/>
      <c r="Y2116" s="10"/>
      <c r="Z2116" s="10"/>
      <c r="AA2116" s="11"/>
      <c r="AB2116" s="11"/>
    </row>
    <row r="2117" spans="2:28" x14ac:dyDescent="0.3">
      <c r="B2117" s="10"/>
      <c r="C2117" s="315"/>
      <c r="D2117" s="868"/>
      <c r="E2117" s="837" t="str">
        <f>IFERROR(IF(_xlfn.XLOOKUP(Imput[[#This Row],[RFC]],'Alta Proveedor'!D:D,'Alta Proveedor'!E:E)=0,"",_xlfn.XLOOKUP(Imput[[#This Row],[RFC]],'Alta Proveedor'!D:D,'Alta Proveedor'!E:E)),"")</f>
        <v/>
      </c>
      <c r="F2117" s="832"/>
      <c r="G2117" s="187"/>
      <c r="H2117" s="1"/>
      <c r="I2117" s="169">
        <f>Imput[[#This Row],[Cantidad]]*Imput[[#This Row],[Precio Unitario]]</f>
        <v>0</v>
      </c>
      <c r="J2117" s="11">
        <f>((Imput[[#This Row],[Sub total]])*(0.16))</f>
        <v>0</v>
      </c>
      <c r="K2117" s="11">
        <v>0</v>
      </c>
      <c r="L2117" s="169">
        <f>Imput[[#This Row],[Sub total]]+Imput[[#This Row],[IVA]]-Imput[[#This Row],[Retención / IEPS / Descuento]]</f>
        <v>0</v>
      </c>
      <c r="M2117" s="844">
        <v>0</v>
      </c>
      <c r="N2117" s="189"/>
      <c r="O2117" s="1"/>
      <c r="P2117" s="189"/>
      <c r="Q2117" s="190"/>
      <c r="R2117" s="188"/>
      <c r="S2117" s="193"/>
      <c r="T2117" s="192"/>
      <c r="U2117" s="829"/>
      <c r="V2117" s="10"/>
      <c r="W2117" s="10"/>
      <c r="X2117" s="10"/>
      <c r="Y2117" s="10"/>
      <c r="Z2117" s="10"/>
      <c r="AA2117" s="11"/>
      <c r="AB2117" s="11"/>
    </row>
    <row r="2118" spans="2:28" x14ac:dyDescent="0.3">
      <c r="B2118" s="10"/>
      <c r="C2118" s="315"/>
      <c r="D2118" s="868"/>
      <c r="E2118" s="837" t="str">
        <f>IFERROR(IF(_xlfn.XLOOKUP(Imput[[#This Row],[RFC]],'Alta Proveedor'!D:D,'Alta Proveedor'!E:E)=0,"",_xlfn.XLOOKUP(Imput[[#This Row],[RFC]],'Alta Proveedor'!D:D,'Alta Proveedor'!E:E)),"")</f>
        <v/>
      </c>
      <c r="F2118" s="832"/>
      <c r="G2118" s="187"/>
      <c r="H2118" s="1"/>
      <c r="I2118" s="169">
        <f>Imput[[#This Row],[Cantidad]]*Imput[[#This Row],[Precio Unitario]]</f>
        <v>0</v>
      </c>
      <c r="J2118" s="11">
        <f>((Imput[[#This Row],[Sub total]])*(0.16))</f>
        <v>0</v>
      </c>
      <c r="K2118" s="11">
        <v>0</v>
      </c>
      <c r="L2118" s="169">
        <f>Imput[[#This Row],[Sub total]]+Imput[[#This Row],[IVA]]-Imput[[#This Row],[Retención / IEPS / Descuento]]</f>
        <v>0</v>
      </c>
      <c r="M2118" s="844">
        <v>0</v>
      </c>
      <c r="N2118" s="189"/>
      <c r="O2118" s="1"/>
      <c r="P2118" s="189"/>
      <c r="Q2118" s="190"/>
      <c r="R2118" s="188"/>
      <c r="S2118" s="193"/>
      <c r="T2118" s="192"/>
      <c r="U2118" s="829"/>
      <c r="V2118" s="10"/>
      <c r="W2118" s="10"/>
      <c r="X2118" s="10"/>
      <c r="Y2118" s="10"/>
      <c r="Z2118" s="10"/>
      <c r="AA2118" s="11"/>
      <c r="AB2118" s="11"/>
    </row>
    <row r="2119" spans="2:28" x14ac:dyDescent="0.3">
      <c r="B2119" s="10"/>
      <c r="C2119" s="315"/>
      <c r="D2119" s="868"/>
      <c r="E2119" s="837" t="str">
        <f>IFERROR(IF(_xlfn.XLOOKUP(Imput[[#This Row],[RFC]],'Alta Proveedor'!D:D,'Alta Proveedor'!E:E)=0,"",_xlfn.XLOOKUP(Imput[[#This Row],[RFC]],'Alta Proveedor'!D:D,'Alta Proveedor'!E:E)),"")</f>
        <v/>
      </c>
      <c r="F2119" s="832"/>
      <c r="G2119" s="187"/>
      <c r="H2119" s="1"/>
      <c r="I2119" s="169">
        <f>Imput[[#This Row],[Cantidad]]*Imput[[#This Row],[Precio Unitario]]</f>
        <v>0</v>
      </c>
      <c r="J2119" s="11">
        <f>((Imput[[#This Row],[Sub total]])*(0.16))</f>
        <v>0</v>
      </c>
      <c r="K2119" s="11">
        <v>0</v>
      </c>
      <c r="L2119" s="169">
        <f>Imput[[#This Row],[Sub total]]+Imput[[#This Row],[IVA]]-Imput[[#This Row],[Retención / IEPS / Descuento]]</f>
        <v>0</v>
      </c>
      <c r="M2119" s="844">
        <v>0</v>
      </c>
      <c r="N2119" s="189"/>
      <c r="O2119" s="1"/>
      <c r="P2119" s="189"/>
      <c r="Q2119" s="190"/>
      <c r="R2119" s="188"/>
      <c r="S2119" s="193"/>
      <c r="T2119" s="192"/>
      <c r="U2119" s="829"/>
      <c r="V2119" s="10"/>
      <c r="W2119" s="10"/>
      <c r="X2119" s="10"/>
      <c r="Y2119" s="10"/>
      <c r="Z2119" s="10"/>
      <c r="AA2119" s="11"/>
      <c r="AB2119" s="11"/>
    </row>
    <row r="2120" spans="2:28" x14ac:dyDescent="0.3">
      <c r="B2120" s="10"/>
      <c r="C2120" s="315"/>
      <c r="D2120" s="868"/>
      <c r="E2120" s="837" t="str">
        <f>IFERROR(IF(_xlfn.XLOOKUP(Imput[[#This Row],[RFC]],'Alta Proveedor'!D:D,'Alta Proveedor'!E:E)=0,"",_xlfn.XLOOKUP(Imput[[#This Row],[RFC]],'Alta Proveedor'!D:D,'Alta Proveedor'!E:E)),"")</f>
        <v/>
      </c>
      <c r="F2120" s="832"/>
      <c r="G2120" s="187"/>
      <c r="H2120" s="1"/>
      <c r="I2120" s="169">
        <f>Imput[[#This Row],[Cantidad]]*Imput[[#This Row],[Precio Unitario]]</f>
        <v>0</v>
      </c>
      <c r="J2120" s="11">
        <f>((Imput[[#This Row],[Sub total]])*(0.16))</f>
        <v>0</v>
      </c>
      <c r="K2120" s="11">
        <v>0</v>
      </c>
      <c r="L2120" s="169">
        <f>Imput[[#This Row],[Sub total]]+Imput[[#This Row],[IVA]]-Imput[[#This Row],[Retención / IEPS / Descuento]]</f>
        <v>0</v>
      </c>
      <c r="M2120" s="844">
        <v>0</v>
      </c>
      <c r="N2120" s="189"/>
      <c r="O2120" s="1"/>
      <c r="P2120" s="189"/>
      <c r="Q2120" s="190"/>
      <c r="R2120" s="188"/>
      <c r="S2120" s="193"/>
      <c r="T2120" s="192"/>
      <c r="U2120" s="829"/>
      <c r="V2120" s="10"/>
      <c r="W2120" s="10"/>
      <c r="X2120" s="10"/>
      <c r="Y2120" s="10"/>
      <c r="Z2120" s="10"/>
      <c r="AA2120" s="11"/>
      <c r="AB2120" s="11"/>
    </row>
    <row r="2121" spans="2:28" x14ac:dyDescent="0.3">
      <c r="B2121" s="10"/>
      <c r="C2121" s="315"/>
      <c r="D2121" s="868"/>
      <c r="E2121" s="837" t="str">
        <f>IFERROR(IF(_xlfn.XLOOKUP(Imput[[#This Row],[RFC]],'Alta Proveedor'!D:D,'Alta Proveedor'!E:E)=0,"",_xlfn.XLOOKUP(Imput[[#This Row],[RFC]],'Alta Proveedor'!D:D,'Alta Proveedor'!E:E)),"")</f>
        <v/>
      </c>
      <c r="F2121" s="832"/>
      <c r="G2121" s="187"/>
      <c r="H2121" s="1"/>
      <c r="I2121" s="169">
        <f>Imput[[#This Row],[Cantidad]]*Imput[[#This Row],[Precio Unitario]]</f>
        <v>0</v>
      </c>
      <c r="J2121" s="11">
        <f>((Imput[[#This Row],[Sub total]])*(0.16))</f>
        <v>0</v>
      </c>
      <c r="K2121" s="11">
        <v>0</v>
      </c>
      <c r="L2121" s="169">
        <f>Imput[[#This Row],[Sub total]]+Imput[[#This Row],[IVA]]-Imput[[#This Row],[Retención / IEPS / Descuento]]</f>
        <v>0</v>
      </c>
      <c r="M2121" s="844">
        <v>0</v>
      </c>
      <c r="N2121" s="189"/>
      <c r="O2121" s="1"/>
      <c r="P2121" s="189"/>
      <c r="Q2121" s="190"/>
      <c r="R2121" s="188"/>
      <c r="S2121" s="193"/>
      <c r="T2121" s="192"/>
      <c r="U2121" s="829"/>
      <c r="V2121" s="10"/>
      <c r="W2121" s="10"/>
      <c r="X2121" s="10"/>
      <c r="Y2121" s="10"/>
      <c r="Z2121" s="10"/>
      <c r="AA2121" s="11"/>
      <c r="AB2121" s="11"/>
    </row>
    <row r="2122" spans="2:28" x14ac:dyDescent="0.3">
      <c r="B2122" s="10"/>
      <c r="C2122" s="315"/>
      <c r="D2122" s="868"/>
      <c r="E2122" s="837" t="str">
        <f>IFERROR(IF(_xlfn.XLOOKUP(Imput[[#This Row],[RFC]],'Alta Proveedor'!D:D,'Alta Proveedor'!E:E)=0,"",_xlfn.XLOOKUP(Imput[[#This Row],[RFC]],'Alta Proveedor'!D:D,'Alta Proveedor'!E:E)),"")</f>
        <v/>
      </c>
      <c r="F2122" s="832"/>
      <c r="G2122" s="187"/>
      <c r="H2122" s="1"/>
      <c r="I2122" s="169">
        <f>Imput[[#This Row],[Cantidad]]*Imput[[#This Row],[Precio Unitario]]</f>
        <v>0</v>
      </c>
      <c r="J2122" s="11">
        <f>((Imput[[#This Row],[Sub total]])*(0.16))</f>
        <v>0</v>
      </c>
      <c r="K2122" s="11">
        <v>0</v>
      </c>
      <c r="L2122" s="169">
        <f>Imput[[#This Row],[Sub total]]+Imput[[#This Row],[IVA]]-Imput[[#This Row],[Retención / IEPS / Descuento]]</f>
        <v>0</v>
      </c>
      <c r="M2122" s="844">
        <v>0</v>
      </c>
      <c r="N2122" s="189"/>
      <c r="O2122" s="1"/>
      <c r="P2122" s="189"/>
      <c r="Q2122" s="190"/>
      <c r="R2122" s="188"/>
      <c r="S2122" s="193"/>
      <c r="T2122" s="192"/>
      <c r="U2122" s="829"/>
      <c r="V2122" s="10"/>
      <c r="W2122" s="10"/>
      <c r="X2122" s="10"/>
      <c r="Y2122" s="10"/>
      <c r="Z2122" s="10"/>
      <c r="AA2122" s="11"/>
      <c r="AB2122" s="11"/>
    </row>
    <row r="2123" spans="2:28" x14ac:dyDescent="0.3">
      <c r="B2123" s="10"/>
      <c r="C2123" s="315"/>
      <c r="D2123" s="868"/>
      <c r="E2123" s="837" t="str">
        <f>IFERROR(IF(_xlfn.XLOOKUP(Imput[[#This Row],[RFC]],'Alta Proveedor'!D:D,'Alta Proveedor'!E:E)=0,"",_xlfn.XLOOKUP(Imput[[#This Row],[RFC]],'Alta Proveedor'!D:D,'Alta Proveedor'!E:E)),"")</f>
        <v/>
      </c>
      <c r="F2123" s="832"/>
      <c r="G2123" s="187"/>
      <c r="H2123" s="1"/>
      <c r="I2123" s="169">
        <f>Imput[[#This Row],[Cantidad]]*Imput[[#This Row],[Precio Unitario]]</f>
        <v>0</v>
      </c>
      <c r="J2123" s="11">
        <f>((Imput[[#This Row],[Sub total]])*(0.16))</f>
        <v>0</v>
      </c>
      <c r="K2123" s="11">
        <v>0</v>
      </c>
      <c r="L2123" s="169">
        <f>Imput[[#This Row],[Sub total]]+Imput[[#This Row],[IVA]]-Imput[[#This Row],[Retención / IEPS / Descuento]]</f>
        <v>0</v>
      </c>
      <c r="M2123" s="844">
        <v>0</v>
      </c>
      <c r="N2123" s="189"/>
      <c r="O2123" s="1"/>
      <c r="P2123" s="189"/>
      <c r="Q2123" s="190"/>
      <c r="R2123" s="188"/>
      <c r="S2123" s="193"/>
      <c r="T2123" s="192"/>
      <c r="U2123" s="829"/>
      <c r="V2123" s="10"/>
      <c r="W2123" s="10"/>
      <c r="X2123" s="10"/>
      <c r="Y2123" s="10"/>
      <c r="Z2123" s="10"/>
      <c r="AA2123" s="11"/>
      <c r="AB2123" s="11"/>
    </row>
    <row r="2124" spans="2:28" x14ac:dyDescent="0.3">
      <c r="B2124" s="10"/>
      <c r="C2124" s="315"/>
      <c r="D2124" s="868"/>
      <c r="E2124" s="837" t="str">
        <f>IFERROR(IF(_xlfn.XLOOKUP(Imput[[#This Row],[RFC]],'Alta Proveedor'!D:D,'Alta Proveedor'!E:E)=0,"",_xlfn.XLOOKUP(Imput[[#This Row],[RFC]],'Alta Proveedor'!D:D,'Alta Proveedor'!E:E)),"")</f>
        <v/>
      </c>
      <c r="F2124" s="832"/>
      <c r="G2124" s="187"/>
      <c r="H2124" s="1"/>
      <c r="I2124" s="169">
        <f>Imput[[#This Row],[Cantidad]]*Imput[[#This Row],[Precio Unitario]]</f>
        <v>0</v>
      </c>
      <c r="J2124" s="11">
        <f>((Imput[[#This Row],[Sub total]])*(0.16))</f>
        <v>0</v>
      </c>
      <c r="K2124" s="11">
        <v>0</v>
      </c>
      <c r="L2124" s="169">
        <f>Imput[[#This Row],[Sub total]]+Imput[[#This Row],[IVA]]-Imput[[#This Row],[Retención / IEPS / Descuento]]</f>
        <v>0</v>
      </c>
      <c r="M2124" s="844">
        <v>0</v>
      </c>
      <c r="N2124" s="189"/>
      <c r="O2124" s="1"/>
      <c r="P2124" s="189"/>
      <c r="Q2124" s="190"/>
      <c r="R2124" s="188"/>
      <c r="S2124" s="193"/>
      <c r="T2124" s="192"/>
      <c r="U2124" s="829"/>
      <c r="V2124" s="10"/>
      <c r="W2124" s="10"/>
      <c r="X2124" s="10"/>
      <c r="Y2124" s="10"/>
      <c r="Z2124" s="10"/>
      <c r="AA2124" s="11"/>
      <c r="AB2124" s="11"/>
    </row>
    <row r="2125" spans="2:28" x14ac:dyDescent="0.3">
      <c r="B2125" s="10"/>
      <c r="C2125" s="315"/>
      <c r="D2125" s="868"/>
      <c r="E2125" s="837" t="str">
        <f>IFERROR(IF(_xlfn.XLOOKUP(Imput[[#This Row],[RFC]],'Alta Proveedor'!D:D,'Alta Proveedor'!E:E)=0,"",_xlfn.XLOOKUP(Imput[[#This Row],[RFC]],'Alta Proveedor'!D:D,'Alta Proveedor'!E:E)),"")</f>
        <v/>
      </c>
      <c r="F2125" s="832"/>
      <c r="G2125" s="187"/>
      <c r="H2125" s="1"/>
      <c r="I2125" s="169">
        <f>Imput[[#This Row],[Cantidad]]*Imput[[#This Row],[Precio Unitario]]</f>
        <v>0</v>
      </c>
      <c r="J2125" s="11">
        <f>((Imput[[#This Row],[Sub total]])*(0.16))</f>
        <v>0</v>
      </c>
      <c r="K2125" s="11">
        <v>0</v>
      </c>
      <c r="L2125" s="169">
        <f>Imput[[#This Row],[Sub total]]+Imput[[#This Row],[IVA]]-Imput[[#This Row],[Retención / IEPS / Descuento]]</f>
        <v>0</v>
      </c>
      <c r="M2125" s="844">
        <v>0</v>
      </c>
      <c r="N2125" s="189"/>
      <c r="O2125" s="1"/>
      <c r="P2125" s="189"/>
      <c r="Q2125" s="190"/>
      <c r="R2125" s="188"/>
      <c r="S2125" s="193"/>
      <c r="T2125" s="192"/>
      <c r="U2125" s="829"/>
      <c r="V2125" s="10"/>
      <c r="W2125" s="10"/>
      <c r="X2125" s="10"/>
      <c r="Y2125" s="10"/>
      <c r="Z2125" s="10"/>
      <c r="AA2125" s="11"/>
      <c r="AB2125" s="11"/>
    </row>
    <row r="2126" spans="2:28" x14ac:dyDescent="0.3">
      <c r="B2126" s="10"/>
      <c r="C2126" s="315"/>
      <c r="D2126" s="868"/>
      <c r="E2126" s="837" t="str">
        <f>IFERROR(IF(_xlfn.XLOOKUP(Imput[[#This Row],[RFC]],'Alta Proveedor'!D:D,'Alta Proveedor'!E:E)=0,"",_xlfn.XLOOKUP(Imput[[#This Row],[RFC]],'Alta Proveedor'!D:D,'Alta Proveedor'!E:E)),"")</f>
        <v/>
      </c>
      <c r="F2126" s="832"/>
      <c r="G2126" s="187"/>
      <c r="H2126" s="1"/>
      <c r="I2126" s="169">
        <f>Imput[[#This Row],[Cantidad]]*Imput[[#This Row],[Precio Unitario]]</f>
        <v>0</v>
      </c>
      <c r="J2126" s="11">
        <f>((Imput[[#This Row],[Sub total]])*(0.16))</f>
        <v>0</v>
      </c>
      <c r="K2126" s="11">
        <v>0</v>
      </c>
      <c r="L2126" s="169">
        <f>Imput[[#This Row],[Sub total]]+Imput[[#This Row],[IVA]]-Imput[[#This Row],[Retención / IEPS / Descuento]]</f>
        <v>0</v>
      </c>
      <c r="M2126" s="844">
        <v>0</v>
      </c>
      <c r="N2126" s="189"/>
      <c r="O2126" s="1"/>
      <c r="P2126" s="189"/>
      <c r="Q2126" s="190"/>
      <c r="R2126" s="188"/>
      <c r="S2126" s="193"/>
      <c r="T2126" s="192"/>
      <c r="U2126" s="829"/>
      <c r="V2126" s="10"/>
      <c r="W2126" s="10"/>
      <c r="X2126" s="10"/>
      <c r="Y2126" s="10"/>
      <c r="Z2126" s="10"/>
      <c r="AA2126" s="11"/>
      <c r="AB2126" s="11"/>
    </row>
    <row r="2127" spans="2:28" x14ac:dyDescent="0.3">
      <c r="B2127" s="10"/>
      <c r="C2127" s="315"/>
      <c r="D2127" s="868"/>
      <c r="E2127" s="837" t="str">
        <f>IFERROR(IF(_xlfn.XLOOKUP(Imput[[#This Row],[RFC]],'Alta Proveedor'!D:D,'Alta Proveedor'!E:E)=0,"",_xlfn.XLOOKUP(Imput[[#This Row],[RFC]],'Alta Proveedor'!D:D,'Alta Proveedor'!E:E)),"")</f>
        <v/>
      </c>
      <c r="F2127" s="832"/>
      <c r="G2127" s="187"/>
      <c r="H2127" s="1"/>
      <c r="I2127" s="169">
        <f>Imput[[#This Row],[Cantidad]]*Imput[[#This Row],[Precio Unitario]]</f>
        <v>0</v>
      </c>
      <c r="J2127" s="11">
        <f>((Imput[[#This Row],[Sub total]])*(0.16))</f>
        <v>0</v>
      </c>
      <c r="K2127" s="11">
        <v>0</v>
      </c>
      <c r="L2127" s="169">
        <f>Imput[[#This Row],[Sub total]]+Imput[[#This Row],[IVA]]-Imput[[#This Row],[Retención / IEPS / Descuento]]</f>
        <v>0</v>
      </c>
      <c r="M2127" s="844">
        <v>0</v>
      </c>
      <c r="N2127" s="189"/>
      <c r="O2127" s="1"/>
      <c r="P2127" s="189"/>
      <c r="Q2127" s="190"/>
      <c r="R2127" s="188"/>
      <c r="S2127" s="193"/>
      <c r="T2127" s="192"/>
      <c r="U2127" s="829"/>
      <c r="V2127" s="10"/>
      <c r="W2127" s="10"/>
      <c r="X2127" s="10"/>
      <c r="Y2127" s="10"/>
      <c r="Z2127" s="10"/>
      <c r="AA2127" s="11"/>
      <c r="AB2127" s="11"/>
    </row>
    <row r="2128" spans="2:28" x14ac:dyDescent="0.3">
      <c r="B2128" s="10"/>
      <c r="C2128" s="315"/>
      <c r="D2128" s="868"/>
      <c r="E2128" s="837" t="str">
        <f>IFERROR(IF(_xlfn.XLOOKUP(Imput[[#This Row],[RFC]],'Alta Proveedor'!D:D,'Alta Proveedor'!E:E)=0,"",_xlfn.XLOOKUP(Imput[[#This Row],[RFC]],'Alta Proveedor'!D:D,'Alta Proveedor'!E:E)),"")</f>
        <v/>
      </c>
      <c r="F2128" s="832"/>
      <c r="G2128" s="187"/>
      <c r="H2128" s="1"/>
      <c r="I2128" s="169">
        <f>Imput[[#This Row],[Cantidad]]*Imput[[#This Row],[Precio Unitario]]</f>
        <v>0</v>
      </c>
      <c r="J2128" s="11">
        <f>((Imput[[#This Row],[Sub total]])*(0.16))</f>
        <v>0</v>
      </c>
      <c r="K2128" s="11">
        <v>0</v>
      </c>
      <c r="L2128" s="169">
        <f>Imput[[#This Row],[Sub total]]+Imput[[#This Row],[IVA]]-Imput[[#This Row],[Retención / IEPS / Descuento]]</f>
        <v>0</v>
      </c>
      <c r="M2128" s="844">
        <v>0</v>
      </c>
      <c r="N2128" s="189"/>
      <c r="O2128" s="1"/>
      <c r="P2128" s="189"/>
      <c r="Q2128" s="190"/>
      <c r="R2128" s="188"/>
      <c r="S2128" s="193"/>
      <c r="T2128" s="192"/>
      <c r="U2128" s="829"/>
      <c r="V2128" s="10"/>
      <c r="W2128" s="10"/>
      <c r="X2128" s="10"/>
      <c r="Y2128" s="10"/>
      <c r="Z2128" s="10"/>
      <c r="AA2128" s="11"/>
      <c r="AB2128" s="11"/>
    </row>
    <row r="2129" spans="2:28" x14ac:dyDescent="0.3">
      <c r="B2129" s="10"/>
      <c r="C2129" s="315"/>
      <c r="D2129" s="868"/>
      <c r="E2129" s="837" t="str">
        <f>IFERROR(IF(_xlfn.XLOOKUP(Imput[[#This Row],[RFC]],'Alta Proveedor'!D:D,'Alta Proveedor'!E:E)=0,"",_xlfn.XLOOKUP(Imput[[#This Row],[RFC]],'Alta Proveedor'!D:D,'Alta Proveedor'!E:E)),"")</f>
        <v/>
      </c>
      <c r="F2129" s="832"/>
      <c r="G2129" s="187"/>
      <c r="H2129" s="1"/>
      <c r="I2129" s="169">
        <f>Imput[[#This Row],[Cantidad]]*Imput[[#This Row],[Precio Unitario]]</f>
        <v>0</v>
      </c>
      <c r="J2129" s="11">
        <f>((Imput[[#This Row],[Sub total]])*(0.16))</f>
        <v>0</v>
      </c>
      <c r="K2129" s="11">
        <v>0</v>
      </c>
      <c r="L2129" s="169">
        <f>Imput[[#This Row],[Sub total]]+Imput[[#This Row],[IVA]]-Imput[[#This Row],[Retención / IEPS / Descuento]]</f>
        <v>0</v>
      </c>
      <c r="M2129" s="844">
        <v>0</v>
      </c>
      <c r="N2129" s="189"/>
      <c r="O2129" s="1"/>
      <c r="P2129" s="189"/>
      <c r="Q2129" s="190"/>
      <c r="R2129" s="188"/>
      <c r="S2129" s="193"/>
      <c r="T2129" s="192"/>
      <c r="U2129" s="829"/>
      <c r="V2129" s="10"/>
      <c r="W2129" s="10"/>
      <c r="X2129" s="10"/>
      <c r="Y2129" s="10"/>
      <c r="Z2129" s="10"/>
      <c r="AA2129" s="11"/>
      <c r="AB2129" s="11"/>
    </row>
    <row r="2130" spans="2:28" x14ac:dyDescent="0.3">
      <c r="B2130" s="10"/>
      <c r="C2130" s="315"/>
      <c r="D2130" s="868"/>
      <c r="E2130" s="837" t="str">
        <f>IFERROR(IF(_xlfn.XLOOKUP(Imput[[#This Row],[RFC]],'Alta Proveedor'!D:D,'Alta Proveedor'!E:E)=0,"",_xlfn.XLOOKUP(Imput[[#This Row],[RFC]],'Alta Proveedor'!D:D,'Alta Proveedor'!E:E)),"")</f>
        <v/>
      </c>
      <c r="F2130" s="832"/>
      <c r="G2130" s="187"/>
      <c r="H2130" s="1"/>
      <c r="I2130" s="169">
        <f>Imput[[#This Row],[Cantidad]]*Imput[[#This Row],[Precio Unitario]]</f>
        <v>0</v>
      </c>
      <c r="J2130" s="11">
        <f>((Imput[[#This Row],[Sub total]])*(0.16))</f>
        <v>0</v>
      </c>
      <c r="K2130" s="11">
        <v>0</v>
      </c>
      <c r="L2130" s="169">
        <f>Imput[[#This Row],[Sub total]]+Imput[[#This Row],[IVA]]-Imput[[#This Row],[Retención / IEPS / Descuento]]</f>
        <v>0</v>
      </c>
      <c r="M2130" s="844">
        <v>0</v>
      </c>
      <c r="N2130" s="189"/>
      <c r="O2130" s="1"/>
      <c r="P2130" s="189"/>
      <c r="Q2130" s="190"/>
      <c r="R2130" s="188"/>
      <c r="S2130" s="193"/>
      <c r="T2130" s="192"/>
      <c r="U2130" s="829"/>
      <c r="V2130" s="10"/>
      <c r="W2130" s="10"/>
      <c r="X2130" s="10"/>
      <c r="Y2130" s="10"/>
      <c r="Z2130" s="10"/>
      <c r="AA2130" s="11"/>
      <c r="AB2130" s="11"/>
    </row>
    <row r="2131" spans="2:28" x14ac:dyDescent="0.3">
      <c r="B2131" s="10"/>
      <c r="C2131" s="315"/>
      <c r="D2131" s="868"/>
      <c r="E2131" s="837" t="str">
        <f>IFERROR(IF(_xlfn.XLOOKUP(Imput[[#This Row],[RFC]],'Alta Proveedor'!D:D,'Alta Proveedor'!E:E)=0,"",_xlfn.XLOOKUP(Imput[[#This Row],[RFC]],'Alta Proveedor'!D:D,'Alta Proveedor'!E:E)),"")</f>
        <v/>
      </c>
      <c r="F2131" s="832"/>
      <c r="G2131" s="187"/>
      <c r="H2131" s="1"/>
      <c r="I2131" s="169">
        <f>Imput[[#This Row],[Cantidad]]*Imput[[#This Row],[Precio Unitario]]</f>
        <v>0</v>
      </c>
      <c r="J2131" s="11">
        <f>((Imput[[#This Row],[Sub total]])*(0.16))</f>
        <v>0</v>
      </c>
      <c r="K2131" s="11">
        <v>0</v>
      </c>
      <c r="L2131" s="169">
        <f>Imput[[#This Row],[Sub total]]+Imput[[#This Row],[IVA]]-Imput[[#This Row],[Retención / IEPS / Descuento]]</f>
        <v>0</v>
      </c>
      <c r="M2131" s="844">
        <v>0</v>
      </c>
      <c r="N2131" s="189"/>
      <c r="O2131" s="1"/>
      <c r="P2131" s="189"/>
      <c r="Q2131" s="190"/>
      <c r="R2131" s="188"/>
      <c r="S2131" s="193"/>
      <c r="T2131" s="192"/>
      <c r="U2131" s="829"/>
      <c r="V2131" s="10"/>
      <c r="W2131" s="10"/>
      <c r="X2131" s="10"/>
      <c r="Y2131" s="10"/>
      <c r="Z2131" s="10"/>
      <c r="AA2131" s="11"/>
      <c r="AB2131" s="11"/>
    </row>
    <row r="2132" spans="2:28" x14ac:dyDescent="0.3">
      <c r="B2132" s="10"/>
      <c r="C2132" s="315"/>
      <c r="D2132" s="868"/>
      <c r="E2132" s="837" t="str">
        <f>IFERROR(IF(_xlfn.XLOOKUP(Imput[[#This Row],[RFC]],'Alta Proveedor'!D:D,'Alta Proveedor'!E:E)=0,"",_xlfn.XLOOKUP(Imput[[#This Row],[RFC]],'Alta Proveedor'!D:D,'Alta Proveedor'!E:E)),"")</f>
        <v/>
      </c>
      <c r="F2132" s="832"/>
      <c r="G2132" s="187"/>
      <c r="H2132" s="1"/>
      <c r="I2132" s="169">
        <f>Imput[[#This Row],[Cantidad]]*Imput[[#This Row],[Precio Unitario]]</f>
        <v>0</v>
      </c>
      <c r="J2132" s="11">
        <f>((Imput[[#This Row],[Sub total]])*(0.16))</f>
        <v>0</v>
      </c>
      <c r="K2132" s="11">
        <v>0</v>
      </c>
      <c r="L2132" s="169">
        <f>Imput[[#This Row],[Sub total]]+Imput[[#This Row],[IVA]]-Imput[[#This Row],[Retención / IEPS / Descuento]]</f>
        <v>0</v>
      </c>
      <c r="M2132" s="844">
        <v>0</v>
      </c>
      <c r="N2132" s="189"/>
      <c r="O2132" s="1"/>
      <c r="P2132" s="189"/>
      <c r="Q2132" s="190"/>
      <c r="R2132" s="188"/>
      <c r="S2132" s="193"/>
      <c r="T2132" s="192"/>
      <c r="U2132" s="829"/>
      <c r="V2132" s="10"/>
      <c r="W2132" s="10"/>
      <c r="X2132" s="10"/>
      <c r="Y2132" s="10"/>
      <c r="Z2132" s="10"/>
      <c r="AA2132" s="11"/>
      <c r="AB2132" s="11"/>
    </row>
    <row r="2133" spans="2:28" x14ac:dyDescent="0.3">
      <c r="B2133" s="10"/>
      <c r="C2133" s="315"/>
      <c r="D2133" s="868"/>
      <c r="E2133" s="837" t="str">
        <f>IFERROR(IF(_xlfn.XLOOKUP(Imput[[#This Row],[RFC]],'Alta Proveedor'!D:D,'Alta Proveedor'!E:E)=0,"",_xlfn.XLOOKUP(Imput[[#This Row],[RFC]],'Alta Proveedor'!D:D,'Alta Proveedor'!E:E)),"")</f>
        <v/>
      </c>
      <c r="F2133" s="832"/>
      <c r="G2133" s="187"/>
      <c r="H2133" s="1"/>
      <c r="I2133" s="169">
        <f>Imput[[#This Row],[Cantidad]]*Imput[[#This Row],[Precio Unitario]]</f>
        <v>0</v>
      </c>
      <c r="J2133" s="11">
        <f>((Imput[[#This Row],[Sub total]])*(0.16))</f>
        <v>0</v>
      </c>
      <c r="K2133" s="11">
        <v>0</v>
      </c>
      <c r="L2133" s="169">
        <f>Imput[[#This Row],[Sub total]]+Imput[[#This Row],[IVA]]-Imput[[#This Row],[Retención / IEPS / Descuento]]</f>
        <v>0</v>
      </c>
      <c r="M2133" s="844">
        <v>0</v>
      </c>
      <c r="N2133" s="189"/>
      <c r="O2133" s="1"/>
      <c r="P2133" s="189"/>
      <c r="Q2133" s="190"/>
      <c r="R2133" s="188"/>
      <c r="S2133" s="193"/>
      <c r="T2133" s="192"/>
      <c r="U2133" s="829"/>
      <c r="V2133" s="10"/>
      <c r="W2133" s="10"/>
      <c r="X2133" s="10"/>
      <c r="Y2133" s="10"/>
      <c r="Z2133" s="10"/>
      <c r="AA2133" s="11"/>
      <c r="AB2133" s="11"/>
    </row>
    <row r="2134" spans="2:28" x14ac:dyDescent="0.3">
      <c r="B2134" s="10"/>
      <c r="C2134" s="315"/>
      <c r="D2134" s="868"/>
      <c r="E2134" s="837" t="str">
        <f>IFERROR(IF(_xlfn.XLOOKUP(Imput[[#This Row],[RFC]],'Alta Proveedor'!D:D,'Alta Proveedor'!E:E)=0,"",_xlfn.XLOOKUP(Imput[[#This Row],[RFC]],'Alta Proveedor'!D:D,'Alta Proveedor'!E:E)),"")</f>
        <v/>
      </c>
      <c r="F2134" s="832"/>
      <c r="G2134" s="187"/>
      <c r="H2134" s="1"/>
      <c r="I2134" s="169">
        <f>Imput[[#This Row],[Cantidad]]*Imput[[#This Row],[Precio Unitario]]</f>
        <v>0</v>
      </c>
      <c r="J2134" s="11">
        <f>((Imput[[#This Row],[Sub total]])*(0.16))</f>
        <v>0</v>
      </c>
      <c r="K2134" s="11">
        <v>0</v>
      </c>
      <c r="L2134" s="169">
        <f>Imput[[#This Row],[Sub total]]+Imput[[#This Row],[IVA]]-Imput[[#This Row],[Retención / IEPS / Descuento]]</f>
        <v>0</v>
      </c>
      <c r="M2134" s="844">
        <v>0</v>
      </c>
      <c r="N2134" s="189"/>
      <c r="O2134" s="1"/>
      <c r="P2134" s="189"/>
      <c r="Q2134" s="190"/>
      <c r="R2134" s="188"/>
      <c r="S2134" s="193"/>
      <c r="T2134" s="192"/>
      <c r="U2134" s="829"/>
      <c r="V2134" s="10"/>
      <c r="W2134" s="10"/>
      <c r="X2134" s="10"/>
      <c r="Y2134" s="10"/>
      <c r="Z2134" s="10"/>
      <c r="AA2134" s="11"/>
      <c r="AB2134" s="11"/>
    </row>
    <row r="2135" spans="2:28" x14ac:dyDescent="0.3">
      <c r="B2135" s="10"/>
      <c r="C2135" s="315"/>
      <c r="D2135" s="868"/>
      <c r="E2135" s="837" t="str">
        <f>IFERROR(IF(_xlfn.XLOOKUP(Imput[[#This Row],[RFC]],'Alta Proveedor'!D:D,'Alta Proveedor'!E:E)=0,"",_xlfn.XLOOKUP(Imput[[#This Row],[RFC]],'Alta Proveedor'!D:D,'Alta Proveedor'!E:E)),"")</f>
        <v/>
      </c>
      <c r="F2135" s="832"/>
      <c r="G2135" s="187"/>
      <c r="H2135" s="1"/>
      <c r="I2135" s="169">
        <f>Imput[[#This Row],[Cantidad]]*Imput[[#This Row],[Precio Unitario]]</f>
        <v>0</v>
      </c>
      <c r="J2135" s="11">
        <f>((Imput[[#This Row],[Sub total]])*(0.16))</f>
        <v>0</v>
      </c>
      <c r="K2135" s="11">
        <v>0</v>
      </c>
      <c r="L2135" s="169">
        <f>Imput[[#This Row],[Sub total]]+Imput[[#This Row],[IVA]]-Imput[[#This Row],[Retención / IEPS / Descuento]]</f>
        <v>0</v>
      </c>
      <c r="M2135" s="844">
        <v>0</v>
      </c>
      <c r="N2135" s="189"/>
      <c r="O2135" s="1"/>
      <c r="P2135" s="189"/>
      <c r="Q2135" s="190"/>
      <c r="R2135" s="188"/>
      <c r="S2135" s="193"/>
      <c r="T2135" s="192"/>
      <c r="U2135" s="829"/>
      <c r="V2135" s="10"/>
      <c r="W2135" s="10"/>
      <c r="X2135" s="10"/>
      <c r="Y2135" s="10"/>
      <c r="Z2135" s="10"/>
      <c r="AA2135" s="11"/>
      <c r="AB2135" s="11"/>
    </row>
    <row r="2136" spans="2:28" x14ac:dyDescent="0.3">
      <c r="B2136" s="10"/>
      <c r="C2136" s="315"/>
      <c r="D2136" s="868"/>
      <c r="E2136" s="837" t="str">
        <f>IFERROR(IF(_xlfn.XLOOKUP(Imput[[#This Row],[RFC]],'Alta Proveedor'!D:D,'Alta Proveedor'!E:E)=0,"",_xlfn.XLOOKUP(Imput[[#This Row],[RFC]],'Alta Proveedor'!D:D,'Alta Proveedor'!E:E)),"")</f>
        <v/>
      </c>
      <c r="F2136" s="832"/>
      <c r="G2136" s="187"/>
      <c r="H2136" s="1"/>
      <c r="I2136" s="169">
        <f>Imput[[#This Row],[Cantidad]]*Imput[[#This Row],[Precio Unitario]]</f>
        <v>0</v>
      </c>
      <c r="J2136" s="11">
        <f>((Imput[[#This Row],[Sub total]])*(0.16))</f>
        <v>0</v>
      </c>
      <c r="K2136" s="11">
        <v>0</v>
      </c>
      <c r="L2136" s="169">
        <f>Imput[[#This Row],[Sub total]]+Imput[[#This Row],[IVA]]-Imput[[#This Row],[Retención / IEPS / Descuento]]</f>
        <v>0</v>
      </c>
      <c r="M2136" s="844">
        <v>0</v>
      </c>
      <c r="N2136" s="189"/>
      <c r="O2136" s="1"/>
      <c r="P2136" s="189"/>
      <c r="Q2136" s="190"/>
      <c r="R2136" s="188"/>
      <c r="S2136" s="193"/>
      <c r="T2136" s="192"/>
      <c r="U2136" s="829"/>
      <c r="V2136" s="10"/>
      <c r="W2136" s="10"/>
      <c r="X2136" s="10"/>
      <c r="Y2136" s="10"/>
      <c r="Z2136" s="10"/>
      <c r="AA2136" s="11"/>
      <c r="AB2136" s="11"/>
    </row>
    <row r="2137" spans="2:28" x14ac:dyDescent="0.3">
      <c r="B2137" s="10"/>
      <c r="C2137" s="315"/>
      <c r="D2137" s="868"/>
      <c r="E2137" s="837" t="str">
        <f>IFERROR(IF(_xlfn.XLOOKUP(Imput[[#This Row],[RFC]],'Alta Proveedor'!D:D,'Alta Proveedor'!E:E)=0,"",_xlfn.XLOOKUP(Imput[[#This Row],[RFC]],'Alta Proveedor'!D:D,'Alta Proveedor'!E:E)),"")</f>
        <v/>
      </c>
      <c r="F2137" s="832"/>
      <c r="G2137" s="187"/>
      <c r="H2137" s="1"/>
      <c r="I2137" s="169">
        <f>Imput[[#This Row],[Cantidad]]*Imput[[#This Row],[Precio Unitario]]</f>
        <v>0</v>
      </c>
      <c r="J2137" s="11">
        <f>((Imput[[#This Row],[Sub total]])*(0.16))</f>
        <v>0</v>
      </c>
      <c r="K2137" s="11">
        <v>0</v>
      </c>
      <c r="L2137" s="169">
        <f>Imput[[#This Row],[Sub total]]+Imput[[#This Row],[IVA]]-Imput[[#This Row],[Retención / IEPS / Descuento]]</f>
        <v>0</v>
      </c>
      <c r="M2137" s="844">
        <v>0</v>
      </c>
      <c r="N2137" s="189"/>
      <c r="O2137" s="1"/>
      <c r="P2137" s="189"/>
      <c r="Q2137" s="190"/>
      <c r="R2137" s="188"/>
      <c r="S2137" s="193"/>
      <c r="T2137" s="192"/>
      <c r="U2137" s="829"/>
      <c r="V2137" s="10"/>
      <c r="W2137" s="10"/>
      <c r="X2137" s="10"/>
      <c r="Y2137" s="10"/>
      <c r="Z2137" s="10"/>
      <c r="AA2137" s="11"/>
      <c r="AB2137" s="11"/>
    </row>
    <row r="2138" spans="2:28" x14ac:dyDescent="0.3">
      <c r="B2138" s="10"/>
      <c r="C2138" s="315"/>
      <c r="D2138" s="868"/>
      <c r="E2138" s="837" t="str">
        <f>IFERROR(IF(_xlfn.XLOOKUP(Imput[[#This Row],[RFC]],'Alta Proveedor'!D:D,'Alta Proveedor'!E:E)=0,"",_xlfn.XLOOKUP(Imput[[#This Row],[RFC]],'Alta Proveedor'!D:D,'Alta Proveedor'!E:E)),"")</f>
        <v/>
      </c>
      <c r="F2138" s="832"/>
      <c r="G2138" s="187"/>
      <c r="H2138" s="1"/>
      <c r="I2138" s="169">
        <f>Imput[[#This Row],[Cantidad]]*Imput[[#This Row],[Precio Unitario]]</f>
        <v>0</v>
      </c>
      <c r="J2138" s="11">
        <f>((Imput[[#This Row],[Sub total]])*(0.16))</f>
        <v>0</v>
      </c>
      <c r="K2138" s="11">
        <v>0</v>
      </c>
      <c r="L2138" s="169">
        <f>Imput[[#This Row],[Sub total]]+Imput[[#This Row],[IVA]]-Imput[[#This Row],[Retención / IEPS / Descuento]]</f>
        <v>0</v>
      </c>
      <c r="M2138" s="844">
        <v>0</v>
      </c>
      <c r="N2138" s="189"/>
      <c r="O2138" s="1"/>
      <c r="P2138" s="189"/>
      <c r="Q2138" s="190"/>
      <c r="R2138" s="188"/>
      <c r="S2138" s="193"/>
      <c r="T2138" s="192"/>
      <c r="U2138" s="829"/>
      <c r="V2138" s="10"/>
      <c r="W2138" s="10"/>
      <c r="X2138" s="10"/>
      <c r="Y2138" s="10"/>
      <c r="Z2138" s="10"/>
      <c r="AA2138" s="11"/>
      <c r="AB2138" s="11"/>
    </row>
    <row r="2139" spans="2:28" x14ac:dyDescent="0.3">
      <c r="B2139" s="10"/>
      <c r="C2139" s="315"/>
      <c r="D2139" s="868"/>
      <c r="E2139" s="837" t="str">
        <f>IFERROR(IF(_xlfn.XLOOKUP(Imput[[#This Row],[RFC]],'Alta Proveedor'!D:D,'Alta Proveedor'!E:E)=0,"",_xlfn.XLOOKUP(Imput[[#This Row],[RFC]],'Alta Proveedor'!D:D,'Alta Proveedor'!E:E)),"")</f>
        <v/>
      </c>
      <c r="F2139" s="832"/>
      <c r="G2139" s="187"/>
      <c r="H2139" s="1"/>
      <c r="I2139" s="169">
        <f>Imput[[#This Row],[Cantidad]]*Imput[[#This Row],[Precio Unitario]]</f>
        <v>0</v>
      </c>
      <c r="J2139" s="11">
        <f>((Imput[[#This Row],[Sub total]])*(0.16))</f>
        <v>0</v>
      </c>
      <c r="K2139" s="11">
        <v>0</v>
      </c>
      <c r="L2139" s="169">
        <f>Imput[[#This Row],[Sub total]]+Imput[[#This Row],[IVA]]-Imput[[#This Row],[Retención / IEPS / Descuento]]</f>
        <v>0</v>
      </c>
      <c r="M2139" s="844">
        <v>0</v>
      </c>
      <c r="N2139" s="189"/>
      <c r="O2139" s="1"/>
      <c r="P2139" s="189"/>
      <c r="Q2139" s="190"/>
      <c r="R2139" s="188"/>
      <c r="S2139" s="193"/>
      <c r="T2139" s="192"/>
      <c r="U2139" s="829"/>
      <c r="V2139" s="10"/>
      <c r="W2139" s="10"/>
      <c r="X2139" s="10"/>
      <c r="Y2139" s="10"/>
      <c r="Z2139" s="10"/>
      <c r="AA2139" s="11"/>
      <c r="AB2139" s="11"/>
    </row>
    <row r="2140" spans="2:28" x14ac:dyDescent="0.3">
      <c r="B2140" s="10"/>
      <c r="C2140" s="315"/>
      <c r="D2140" s="868"/>
      <c r="E2140" s="837" t="str">
        <f>IFERROR(IF(_xlfn.XLOOKUP(Imput[[#This Row],[RFC]],'Alta Proveedor'!D:D,'Alta Proveedor'!E:E)=0,"",_xlfn.XLOOKUP(Imput[[#This Row],[RFC]],'Alta Proveedor'!D:D,'Alta Proveedor'!E:E)),"")</f>
        <v/>
      </c>
      <c r="F2140" s="832"/>
      <c r="G2140" s="187"/>
      <c r="H2140" s="1"/>
      <c r="I2140" s="169">
        <f>Imput[[#This Row],[Cantidad]]*Imput[[#This Row],[Precio Unitario]]</f>
        <v>0</v>
      </c>
      <c r="J2140" s="11">
        <f>((Imput[[#This Row],[Sub total]])*(0.16))</f>
        <v>0</v>
      </c>
      <c r="K2140" s="11">
        <v>0</v>
      </c>
      <c r="L2140" s="169">
        <f>Imput[[#This Row],[Sub total]]+Imput[[#This Row],[IVA]]-Imput[[#This Row],[Retención / IEPS / Descuento]]</f>
        <v>0</v>
      </c>
      <c r="M2140" s="844">
        <v>0</v>
      </c>
      <c r="N2140" s="189"/>
      <c r="O2140" s="1"/>
      <c r="P2140" s="189"/>
      <c r="Q2140" s="190"/>
      <c r="R2140" s="188"/>
      <c r="S2140" s="193"/>
      <c r="T2140" s="192"/>
      <c r="U2140" s="829"/>
      <c r="V2140" s="10"/>
      <c r="W2140" s="10"/>
      <c r="X2140" s="10"/>
      <c r="Y2140" s="10"/>
      <c r="Z2140" s="10"/>
      <c r="AA2140" s="11"/>
      <c r="AB2140" s="11"/>
    </row>
    <row r="2141" spans="2:28" x14ac:dyDescent="0.3">
      <c r="B2141" s="10"/>
      <c r="C2141" s="315"/>
      <c r="D2141" s="868"/>
      <c r="E2141" s="837" t="str">
        <f>IFERROR(IF(_xlfn.XLOOKUP(Imput[[#This Row],[RFC]],'Alta Proveedor'!D:D,'Alta Proveedor'!E:E)=0,"",_xlfn.XLOOKUP(Imput[[#This Row],[RFC]],'Alta Proveedor'!D:D,'Alta Proveedor'!E:E)),"")</f>
        <v/>
      </c>
      <c r="F2141" s="832"/>
      <c r="G2141" s="187"/>
      <c r="H2141" s="1"/>
      <c r="I2141" s="169">
        <f>Imput[[#This Row],[Cantidad]]*Imput[[#This Row],[Precio Unitario]]</f>
        <v>0</v>
      </c>
      <c r="J2141" s="11">
        <f>((Imput[[#This Row],[Sub total]])*(0.16))</f>
        <v>0</v>
      </c>
      <c r="K2141" s="11">
        <v>0</v>
      </c>
      <c r="L2141" s="169">
        <f>Imput[[#This Row],[Sub total]]+Imput[[#This Row],[IVA]]-Imput[[#This Row],[Retención / IEPS / Descuento]]</f>
        <v>0</v>
      </c>
      <c r="M2141" s="844">
        <v>0</v>
      </c>
      <c r="N2141" s="189"/>
      <c r="O2141" s="1"/>
      <c r="P2141" s="189"/>
      <c r="Q2141" s="190"/>
      <c r="R2141" s="188"/>
      <c r="S2141" s="193"/>
      <c r="T2141" s="192"/>
      <c r="U2141" s="829"/>
      <c r="V2141" s="10"/>
      <c r="W2141" s="10"/>
      <c r="X2141" s="10"/>
      <c r="Y2141" s="10"/>
      <c r="Z2141" s="10"/>
      <c r="AA2141" s="11"/>
      <c r="AB2141" s="11"/>
    </row>
    <row r="2142" spans="2:28" x14ac:dyDescent="0.3">
      <c r="B2142" s="10"/>
      <c r="C2142" s="315"/>
      <c r="D2142" s="868"/>
      <c r="E2142" s="837" t="str">
        <f>IFERROR(IF(_xlfn.XLOOKUP(Imput[[#This Row],[RFC]],'Alta Proveedor'!D:D,'Alta Proveedor'!E:E)=0,"",_xlfn.XLOOKUP(Imput[[#This Row],[RFC]],'Alta Proveedor'!D:D,'Alta Proveedor'!E:E)),"")</f>
        <v/>
      </c>
      <c r="F2142" s="832"/>
      <c r="G2142" s="187"/>
      <c r="H2142" s="1"/>
      <c r="I2142" s="169">
        <f>Imput[[#This Row],[Cantidad]]*Imput[[#This Row],[Precio Unitario]]</f>
        <v>0</v>
      </c>
      <c r="J2142" s="11">
        <f>((Imput[[#This Row],[Sub total]])*(0.16))</f>
        <v>0</v>
      </c>
      <c r="K2142" s="11">
        <v>0</v>
      </c>
      <c r="L2142" s="169">
        <f>Imput[[#This Row],[Sub total]]+Imput[[#This Row],[IVA]]-Imput[[#This Row],[Retención / IEPS / Descuento]]</f>
        <v>0</v>
      </c>
      <c r="M2142" s="844">
        <v>0</v>
      </c>
      <c r="N2142" s="189"/>
      <c r="O2142" s="1"/>
      <c r="P2142" s="189"/>
      <c r="Q2142" s="190"/>
      <c r="R2142" s="188"/>
      <c r="S2142" s="193"/>
      <c r="T2142" s="192"/>
      <c r="U2142" s="829"/>
      <c r="V2142" s="10"/>
      <c r="W2142" s="10"/>
      <c r="X2142" s="10"/>
      <c r="Y2142" s="10"/>
      <c r="Z2142" s="10"/>
      <c r="AA2142" s="11"/>
      <c r="AB2142" s="11"/>
    </row>
    <row r="2143" spans="2:28" x14ac:dyDescent="0.3">
      <c r="B2143" s="10"/>
      <c r="C2143" s="315"/>
      <c r="D2143" s="868"/>
      <c r="E2143" s="837" t="str">
        <f>IFERROR(IF(_xlfn.XLOOKUP(Imput[[#This Row],[RFC]],'Alta Proveedor'!D:D,'Alta Proveedor'!E:E)=0,"",_xlfn.XLOOKUP(Imput[[#This Row],[RFC]],'Alta Proveedor'!D:D,'Alta Proveedor'!E:E)),"")</f>
        <v/>
      </c>
      <c r="F2143" s="832"/>
      <c r="G2143" s="187"/>
      <c r="H2143" s="1"/>
      <c r="I2143" s="169">
        <f>Imput[[#This Row],[Cantidad]]*Imput[[#This Row],[Precio Unitario]]</f>
        <v>0</v>
      </c>
      <c r="J2143" s="11">
        <f>((Imput[[#This Row],[Sub total]])*(0.16))</f>
        <v>0</v>
      </c>
      <c r="K2143" s="11">
        <v>0</v>
      </c>
      <c r="L2143" s="169">
        <f>Imput[[#This Row],[Sub total]]+Imput[[#This Row],[IVA]]-Imput[[#This Row],[Retención / IEPS / Descuento]]</f>
        <v>0</v>
      </c>
      <c r="M2143" s="844">
        <v>0</v>
      </c>
      <c r="N2143" s="189"/>
      <c r="O2143" s="1"/>
      <c r="P2143" s="189"/>
      <c r="Q2143" s="190"/>
      <c r="R2143" s="188"/>
      <c r="S2143" s="193"/>
      <c r="T2143" s="192"/>
      <c r="U2143" s="829"/>
      <c r="V2143" s="10"/>
      <c r="W2143" s="10"/>
      <c r="X2143" s="10"/>
      <c r="Y2143" s="10"/>
      <c r="Z2143" s="10"/>
      <c r="AA2143" s="11"/>
      <c r="AB2143" s="11"/>
    </row>
    <row r="2144" spans="2:28" x14ac:dyDescent="0.3">
      <c r="B2144" s="10"/>
      <c r="C2144" s="315"/>
      <c r="D2144" s="868"/>
      <c r="E2144" s="837" t="str">
        <f>IFERROR(IF(_xlfn.XLOOKUP(Imput[[#This Row],[RFC]],'Alta Proveedor'!D:D,'Alta Proveedor'!E:E)=0,"",_xlfn.XLOOKUP(Imput[[#This Row],[RFC]],'Alta Proveedor'!D:D,'Alta Proveedor'!E:E)),"")</f>
        <v/>
      </c>
      <c r="F2144" s="832"/>
      <c r="G2144" s="187"/>
      <c r="H2144" s="1"/>
      <c r="I2144" s="169">
        <f>Imput[[#This Row],[Cantidad]]*Imput[[#This Row],[Precio Unitario]]</f>
        <v>0</v>
      </c>
      <c r="J2144" s="11">
        <f>((Imput[[#This Row],[Sub total]])*(0.16))</f>
        <v>0</v>
      </c>
      <c r="K2144" s="11">
        <v>0</v>
      </c>
      <c r="L2144" s="169">
        <f>Imput[[#This Row],[Sub total]]+Imput[[#This Row],[IVA]]-Imput[[#This Row],[Retención / IEPS / Descuento]]</f>
        <v>0</v>
      </c>
      <c r="M2144" s="844">
        <v>0</v>
      </c>
      <c r="N2144" s="189"/>
      <c r="O2144" s="1"/>
      <c r="P2144" s="189"/>
      <c r="Q2144" s="190"/>
      <c r="R2144" s="188"/>
      <c r="S2144" s="193"/>
      <c r="T2144" s="192"/>
      <c r="U2144" s="829"/>
      <c r="V2144" s="10"/>
      <c r="W2144" s="10"/>
      <c r="X2144" s="10"/>
      <c r="Y2144" s="10"/>
      <c r="Z2144" s="10"/>
      <c r="AA2144" s="11"/>
      <c r="AB2144" s="11"/>
    </row>
    <row r="2145" spans="2:28" x14ac:dyDescent="0.3">
      <c r="B2145" s="10"/>
      <c r="C2145" s="315"/>
      <c r="D2145" s="868"/>
      <c r="E2145" s="837" t="str">
        <f>IFERROR(IF(_xlfn.XLOOKUP(Imput[[#This Row],[RFC]],'Alta Proveedor'!D:D,'Alta Proveedor'!E:E)=0,"",_xlfn.XLOOKUP(Imput[[#This Row],[RFC]],'Alta Proveedor'!D:D,'Alta Proveedor'!E:E)),"")</f>
        <v/>
      </c>
      <c r="F2145" s="832"/>
      <c r="G2145" s="187"/>
      <c r="H2145" s="1"/>
      <c r="I2145" s="169">
        <f>Imput[[#This Row],[Cantidad]]*Imput[[#This Row],[Precio Unitario]]</f>
        <v>0</v>
      </c>
      <c r="J2145" s="11">
        <f>((Imput[[#This Row],[Sub total]])*(0.16))</f>
        <v>0</v>
      </c>
      <c r="K2145" s="11">
        <v>0</v>
      </c>
      <c r="L2145" s="169">
        <f>Imput[[#This Row],[Sub total]]+Imput[[#This Row],[IVA]]-Imput[[#This Row],[Retención / IEPS / Descuento]]</f>
        <v>0</v>
      </c>
      <c r="M2145" s="844">
        <v>0</v>
      </c>
      <c r="N2145" s="189"/>
      <c r="O2145" s="1"/>
      <c r="P2145" s="189"/>
      <c r="Q2145" s="190"/>
      <c r="R2145" s="188"/>
      <c r="S2145" s="193"/>
      <c r="T2145" s="192"/>
      <c r="U2145" s="829"/>
      <c r="V2145" s="10"/>
      <c r="W2145" s="10"/>
      <c r="X2145" s="10"/>
      <c r="Y2145" s="10"/>
      <c r="Z2145" s="10"/>
      <c r="AA2145" s="11"/>
      <c r="AB2145" s="11"/>
    </row>
    <row r="2146" spans="2:28" x14ac:dyDescent="0.3">
      <c r="B2146" s="10"/>
      <c r="C2146" s="315"/>
      <c r="D2146" s="868"/>
      <c r="E2146" s="837" t="str">
        <f>IFERROR(IF(_xlfn.XLOOKUP(Imput[[#This Row],[RFC]],'Alta Proveedor'!D:D,'Alta Proveedor'!E:E)=0,"",_xlfn.XLOOKUP(Imput[[#This Row],[RFC]],'Alta Proveedor'!D:D,'Alta Proveedor'!E:E)),"")</f>
        <v/>
      </c>
      <c r="F2146" s="832"/>
      <c r="G2146" s="187"/>
      <c r="H2146" s="1"/>
      <c r="I2146" s="169">
        <f>Imput[[#This Row],[Cantidad]]*Imput[[#This Row],[Precio Unitario]]</f>
        <v>0</v>
      </c>
      <c r="J2146" s="11">
        <f>((Imput[[#This Row],[Sub total]])*(0.16))</f>
        <v>0</v>
      </c>
      <c r="K2146" s="11">
        <v>0</v>
      </c>
      <c r="L2146" s="169">
        <f>Imput[[#This Row],[Sub total]]+Imput[[#This Row],[IVA]]-Imput[[#This Row],[Retención / IEPS / Descuento]]</f>
        <v>0</v>
      </c>
      <c r="M2146" s="844">
        <v>0</v>
      </c>
      <c r="N2146" s="189"/>
      <c r="O2146" s="1"/>
      <c r="P2146" s="189"/>
      <c r="Q2146" s="190"/>
      <c r="R2146" s="188"/>
      <c r="S2146" s="193"/>
      <c r="T2146" s="192"/>
      <c r="U2146" s="829"/>
      <c r="V2146" s="10"/>
      <c r="W2146" s="10"/>
      <c r="X2146" s="10"/>
      <c r="Y2146" s="10"/>
      <c r="Z2146" s="10"/>
      <c r="AA2146" s="11"/>
      <c r="AB2146" s="11"/>
    </row>
    <row r="2147" spans="2:28" x14ac:dyDescent="0.3">
      <c r="B2147" s="10"/>
      <c r="C2147" s="315"/>
      <c r="D2147" s="868"/>
      <c r="E2147" s="837" t="str">
        <f>IFERROR(IF(_xlfn.XLOOKUP(Imput[[#This Row],[RFC]],'Alta Proveedor'!D:D,'Alta Proveedor'!E:E)=0,"",_xlfn.XLOOKUP(Imput[[#This Row],[RFC]],'Alta Proveedor'!D:D,'Alta Proveedor'!E:E)),"")</f>
        <v/>
      </c>
      <c r="F2147" s="832"/>
      <c r="G2147" s="187"/>
      <c r="H2147" s="1"/>
      <c r="I2147" s="169">
        <f>Imput[[#This Row],[Cantidad]]*Imput[[#This Row],[Precio Unitario]]</f>
        <v>0</v>
      </c>
      <c r="J2147" s="11">
        <f>((Imput[[#This Row],[Sub total]])*(0.16))</f>
        <v>0</v>
      </c>
      <c r="K2147" s="11">
        <v>0</v>
      </c>
      <c r="L2147" s="169">
        <f>Imput[[#This Row],[Sub total]]+Imput[[#This Row],[IVA]]-Imput[[#This Row],[Retención / IEPS / Descuento]]</f>
        <v>0</v>
      </c>
      <c r="M2147" s="844">
        <v>0</v>
      </c>
      <c r="N2147" s="189"/>
      <c r="O2147" s="1"/>
      <c r="P2147" s="189"/>
      <c r="Q2147" s="190"/>
      <c r="R2147" s="188"/>
      <c r="S2147" s="193"/>
      <c r="T2147" s="192"/>
      <c r="U2147" s="829"/>
      <c r="V2147" s="10"/>
      <c r="W2147" s="10"/>
      <c r="X2147" s="10"/>
      <c r="Y2147" s="10"/>
      <c r="Z2147" s="10"/>
      <c r="AA2147" s="11"/>
      <c r="AB2147" s="11"/>
    </row>
    <row r="2148" spans="2:28" x14ac:dyDescent="0.3">
      <c r="B2148" s="10"/>
      <c r="C2148" s="315"/>
      <c r="D2148" s="868"/>
      <c r="E2148" s="837" t="str">
        <f>IFERROR(IF(_xlfn.XLOOKUP(Imput[[#This Row],[RFC]],'Alta Proveedor'!D:D,'Alta Proveedor'!E:E)=0,"",_xlfn.XLOOKUP(Imput[[#This Row],[RFC]],'Alta Proveedor'!D:D,'Alta Proveedor'!E:E)),"")</f>
        <v/>
      </c>
      <c r="F2148" s="832"/>
      <c r="G2148" s="187"/>
      <c r="H2148" s="1"/>
      <c r="I2148" s="169">
        <f>Imput[[#This Row],[Cantidad]]*Imput[[#This Row],[Precio Unitario]]</f>
        <v>0</v>
      </c>
      <c r="J2148" s="11">
        <f>((Imput[[#This Row],[Sub total]])*(0.16))</f>
        <v>0</v>
      </c>
      <c r="K2148" s="11">
        <v>0</v>
      </c>
      <c r="L2148" s="169">
        <f>Imput[[#This Row],[Sub total]]+Imput[[#This Row],[IVA]]-Imput[[#This Row],[Retención / IEPS / Descuento]]</f>
        <v>0</v>
      </c>
      <c r="M2148" s="844">
        <v>0</v>
      </c>
      <c r="N2148" s="189"/>
      <c r="O2148" s="1"/>
      <c r="P2148" s="189"/>
      <c r="Q2148" s="190"/>
      <c r="R2148" s="188"/>
      <c r="S2148" s="193"/>
      <c r="T2148" s="192"/>
      <c r="U2148" s="829"/>
      <c r="V2148" s="10"/>
      <c r="W2148" s="10"/>
      <c r="X2148" s="10"/>
      <c r="Y2148" s="10"/>
      <c r="Z2148" s="10"/>
      <c r="AA2148" s="11"/>
      <c r="AB2148" s="11"/>
    </row>
    <row r="2149" spans="2:28" x14ac:dyDescent="0.3">
      <c r="B2149" s="10"/>
      <c r="C2149" s="315"/>
      <c r="D2149" s="868"/>
      <c r="E2149" s="837" t="str">
        <f>IFERROR(IF(_xlfn.XLOOKUP(Imput[[#This Row],[RFC]],'Alta Proveedor'!D:D,'Alta Proveedor'!E:E)=0,"",_xlfn.XLOOKUP(Imput[[#This Row],[RFC]],'Alta Proveedor'!D:D,'Alta Proveedor'!E:E)),"")</f>
        <v/>
      </c>
      <c r="F2149" s="832"/>
      <c r="G2149" s="187"/>
      <c r="H2149" s="1"/>
      <c r="I2149" s="169">
        <f>Imput[[#This Row],[Cantidad]]*Imput[[#This Row],[Precio Unitario]]</f>
        <v>0</v>
      </c>
      <c r="J2149" s="11">
        <f>((Imput[[#This Row],[Sub total]])*(0.16))</f>
        <v>0</v>
      </c>
      <c r="K2149" s="11">
        <v>0</v>
      </c>
      <c r="L2149" s="169">
        <f>Imput[[#This Row],[Sub total]]+Imput[[#This Row],[IVA]]-Imput[[#This Row],[Retención / IEPS / Descuento]]</f>
        <v>0</v>
      </c>
      <c r="M2149" s="844">
        <v>0</v>
      </c>
      <c r="N2149" s="189"/>
      <c r="O2149" s="1"/>
      <c r="P2149" s="189"/>
      <c r="Q2149" s="190"/>
      <c r="R2149" s="188"/>
      <c r="S2149" s="193"/>
      <c r="T2149" s="192"/>
      <c r="U2149" s="829"/>
      <c r="V2149" s="10"/>
      <c r="W2149" s="10"/>
      <c r="X2149" s="10"/>
      <c r="Y2149" s="10"/>
      <c r="Z2149" s="10"/>
      <c r="AA2149" s="11"/>
      <c r="AB2149" s="11"/>
    </row>
    <row r="2150" spans="2:28" x14ac:dyDescent="0.3">
      <c r="B2150" s="10"/>
      <c r="C2150" s="315"/>
      <c r="D2150" s="868"/>
      <c r="E2150" s="837" t="str">
        <f>IFERROR(IF(_xlfn.XLOOKUP(Imput[[#This Row],[RFC]],'Alta Proveedor'!D:D,'Alta Proveedor'!E:E)=0,"",_xlfn.XLOOKUP(Imput[[#This Row],[RFC]],'Alta Proveedor'!D:D,'Alta Proveedor'!E:E)),"")</f>
        <v/>
      </c>
      <c r="F2150" s="832"/>
      <c r="G2150" s="187"/>
      <c r="H2150" s="1"/>
      <c r="I2150" s="169">
        <f>Imput[[#This Row],[Cantidad]]*Imput[[#This Row],[Precio Unitario]]</f>
        <v>0</v>
      </c>
      <c r="J2150" s="11">
        <f>((Imput[[#This Row],[Sub total]])*(0.16))</f>
        <v>0</v>
      </c>
      <c r="K2150" s="11">
        <v>0</v>
      </c>
      <c r="L2150" s="169">
        <f>Imput[[#This Row],[Sub total]]+Imput[[#This Row],[IVA]]-Imput[[#This Row],[Retención / IEPS / Descuento]]</f>
        <v>0</v>
      </c>
      <c r="M2150" s="844">
        <v>0</v>
      </c>
      <c r="N2150" s="189"/>
      <c r="O2150" s="1"/>
      <c r="P2150" s="189"/>
      <c r="Q2150" s="190"/>
      <c r="R2150" s="188"/>
      <c r="S2150" s="193"/>
      <c r="T2150" s="192"/>
      <c r="U2150" s="829"/>
      <c r="V2150" s="10"/>
      <c r="W2150" s="10"/>
      <c r="X2150" s="10"/>
      <c r="Y2150" s="10"/>
      <c r="Z2150" s="10"/>
      <c r="AA2150" s="11"/>
      <c r="AB2150" s="11"/>
    </row>
    <row r="2151" spans="2:28" x14ac:dyDescent="0.3">
      <c r="B2151" s="10"/>
      <c r="C2151" s="315"/>
      <c r="D2151" s="868"/>
      <c r="E2151" s="837" t="str">
        <f>IFERROR(IF(_xlfn.XLOOKUP(Imput[[#This Row],[RFC]],'Alta Proveedor'!D:D,'Alta Proveedor'!E:E)=0,"",_xlfn.XLOOKUP(Imput[[#This Row],[RFC]],'Alta Proveedor'!D:D,'Alta Proveedor'!E:E)),"")</f>
        <v/>
      </c>
      <c r="F2151" s="832"/>
      <c r="G2151" s="187"/>
      <c r="H2151" s="1"/>
      <c r="I2151" s="169">
        <f>Imput[[#This Row],[Cantidad]]*Imput[[#This Row],[Precio Unitario]]</f>
        <v>0</v>
      </c>
      <c r="J2151" s="11">
        <f>((Imput[[#This Row],[Sub total]])*(0.16))</f>
        <v>0</v>
      </c>
      <c r="K2151" s="11">
        <v>0</v>
      </c>
      <c r="L2151" s="169">
        <f>Imput[[#This Row],[Sub total]]+Imput[[#This Row],[IVA]]-Imput[[#This Row],[Retención / IEPS / Descuento]]</f>
        <v>0</v>
      </c>
      <c r="M2151" s="844">
        <v>0</v>
      </c>
      <c r="N2151" s="189"/>
      <c r="O2151" s="1"/>
      <c r="P2151" s="189"/>
      <c r="Q2151" s="190"/>
      <c r="R2151" s="188"/>
      <c r="S2151" s="193"/>
      <c r="T2151" s="192"/>
      <c r="U2151" s="829"/>
      <c r="V2151" s="10"/>
      <c r="W2151" s="10"/>
      <c r="X2151" s="10"/>
      <c r="Y2151" s="10"/>
      <c r="Z2151" s="10"/>
      <c r="AA2151" s="11"/>
      <c r="AB2151" s="11"/>
    </row>
    <row r="2152" spans="2:28" x14ac:dyDescent="0.3">
      <c r="B2152" s="10"/>
      <c r="C2152" s="315"/>
      <c r="D2152" s="868"/>
      <c r="E2152" s="837" t="str">
        <f>IFERROR(IF(_xlfn.XLOOKUP(Imput[[#This Row],[RFC]],'Alta Proveedor'!D:D,'Alta Proveedor'!E:E)=0,"",_xlfn.XLOOKUP(Imput[[#This Row],[RFC]],'Alta Proveedor'!D:D,'Alta Proveedor'!E:E)),"")</f>
        <v/>
      </c>
      <c r="F2152" s="832"/>
      <c r="G2152" s="187"/>
      <c r="H2152" s="1"/>
      <c r="I2152" s="169">
        <f>Imput[[#This Row],[Cantidad]]*Imput[[#This Row],[Precio Unitario]]</f>
        <v>0</v>
      </c>
      <c r="J2152" s="11">
        <f>((Imput[[#This Row],[Sub total]])*(0.16))</f>
        <v>0</v>
      </c>
      <c r="K2152" s="11">
        <v>0</v>
      </c>
      <c r="L2152" s="169">
        <f>Imput[[#This Row],[Sub total]]+Imput[[#This Row],[IVA]]-Imput[[#This Row],[Retención / IEPS / Descuento]]</f>
        <v>0</v>
      </c>
      <c r="M2152" s="844">
        <v>0</v>
      </c>
      <c r="N2152" s="189"/>
      <c r="O2152" s="1"/>
      <c r="P2152" s="189"/>
      <c r="Q2152" s="190"/>
      <c r="R2152" s="188"/>
      <c r="S2152" s="193"/>
      <c r="T2152" s="192"/>
      <c r="U2152" s="829"/>
      <c r="V2152" s="10"/>
      <c r="W2152" s="10"/>
      <c r="X2152" s="10"/>
      <c r="Y2152" s="10"/>
      <c r="Z2152" s="10"/>
      <c r="AA2152" s="11"/>
      <c r="AB2152" s="11"/>
    </row>
    <row r="2153" spans="2:28" x14ac:dyDescent="0.3">
      <c r="B2153" s="10"/>
      <c r="C2153" s="315"/>
      <c r="D2153" s="868"/>
      <c r="E2153" s="837" t="str">
        <f>IFERROR(IF(_xlfn.XLOOKUP(Imput[[#This Row],[RFC]],'Alta Proveedor'!D:D,'Alta Proveedor'!E:E)=0,"",_xlfn.XLOOKUP(Imput[[#This Row],[RFC]],'Alta Proveedor'!D:D,'Alta Proveedor'!E:E)),"")</f>
        <v/>
      </c>
      <c r="F2153" s="832"/>
      <c r="G2153" s="187"/>
      <c r="H2153" s="1"/>
      <c r="I2153" s="169">
        <f>Imput[[#This Row],[Cantidad]]*Imput[[#This Row],[Precio Unitario]]</f>
        <v>0</v>
      </c>
      <c r="J2153" s="11">
        <f>((Imput[[#This Row],[Sub total]])*(0.16))</f>
        <v>0</v>
      </c>
      <c r="K2153" s="11">
        <v>0</v>
      </c>
      <c r="L2153" s="169">
        <f>Imput[[#This Row],[Sub total]]+Imput[[#This Row],[IVA]]-Imput[[#This Row],[Retención / IEPS / Descuento]]</f>
        <v>0</v>
      </c>
      <c r="M2153" s="844">
        <v>0</v>
      </c>
      <c r="N2153" s="189"/>
      <c r="O2153" s="1"/>
      <c r="P2153" s="189"/>
      <c r="Q2153" s="190"/>
      <c r="R2153" s="188"/>
      <c r="S2153" s="193"/>
      <c r="T2153" s="192"/>
      <c r="U2153" s="829"/>
      <c r="V2153" s="10"/>
      <c r="W2153" s="10"/>
      <c r="X2153" s="10"/>
      <c r="Y2153" s="10"/>
      <c r="Z2153" s="10"/>
      <c r="AA2153" s="11"/>
      <c r="AB2153" s="11"/>
    </row>
    <row r="2154" spans="2:28" x14ac:dyDescent="0.3">
      <c r="B2154" s="10"/>
      <c r="C2154" s="315"/>
      <c r="D2154" s="868"/>
      <c r="E2154" s="837" t="str">
        <f>IFERROR(IF(_xlfn.XLOOKUP(Imput[[#This Row],[RFC]],'Alta Proveedor'!D:D,'Alta Proveedor'!E:E)=0,"",_xlfn.XLOOKUP(Imput[[#This Row],[RFC]],'Alta Proveedor'!D:D,'Alta Proveedor'!E:E)),"")</f>
        <v/>
      </c>
      <c r="F2154" s="832"/>
      <c r="G2154" s="187"/>
      <c r="H2154" s="1"/>
      <c r="I2154" s="169">
        <f>Imput[[#This Row],[Cantidad]]*Imput[[#This Row],[Precio Unitario]]</f>
        <v>0</v>
      </c>
      <c r="J2154" s="11">
        <f>((Imput[[#This Row],[Sub total]])*(0.16))</f>
        <v>0</v>
      </c>
      <c r="K2154" s="11">
        <v>0</v>
      </c>
      <c r="L2154" s="169">
        <f>Imput[[#This Row],[Sub total]]+Imput[[#This Row],[IVA]]-Imput[[#This Row],[Retención / IEPS / Descuento]]</f>
        <v>0</v>
      </c>
      <c r="M2154" s="844">
        <v>0</v>
      </c>
      <c r="N2154" s="189"/>
      <c r="O2154" s="1"/>
      <c r="P2154" s="189"/>
      <c r="Q2154" s="190"/>
      <c r="R2154" s="188"/>
      <c r="S2154" s="193"/>
      <c r="T2154" s="192"/>
      <c r="U2154" s="829"/>
      <c r="V2154" s="10"/>
      <c r="W2154" s="10"/>
      <c r="X2154" s="10"/>
      <c r="Y2154" s="10"/>
      <c r="Z2154" s="10"/>
      <c r="AA2154" s="11"/>
      <c r="AB2154" s="11"/>
    </row>
    <row r="2155" spans="2:28" x14ac:dyDescent="0.3">
      <c r="B2155" s="10"/>
      <c r="C2155" s="315"/>
      <c r="D2155" s="868"/>
      <c r="E2155" s="837" t="str">
        <f>IFERROR(IF(_xlfn.XLOOKUP(Imput[[#This Row],[RFC]],'Alta Proveedor'!D:D,'Alta Proveedor'!E:E)=0,"",_xlfn.XLOOKUP(Imput[[#This Row],[RFC]],'Alta Proveedor'!D:D,'Alta Proveedor'!E:E)),"")</f>
        <v/>
      </c>
      <c r="F2155" s="832"/>
      <c r="G2155" s="187"/>
      <c r="H2155" s="1"/>
      <c r="I2155" s="169">
        <f>Imput[[#This Row],[Cantidad]]*Imput[[#This Row],[Precio Unitario]]</f>
        <v>0</v>
      </c>
      <c r="J2155" s="11">
        <f>((Imput[[#This Row],[Sub total]])*(0.16))</f>
        <v>0</v>
      </c>
      <c r="K2155" s="11">
        <v>0</v>
      </c>
      <c r="L2155" s="169">
        <f>Imput[[#This Row],[Sub total]]+Imput[[#This Row],[IVA]]-Imput[[#This Row],[Retención / IEPS / Descuento]]</f>
        <v>0</v>
      </c>
      <c r="M2155" s="844">
        <v>0</v>
      </c>
      <c r="N2155" s="189"/>
      <c r="O2155" s="1"/>
      <c r="P2155" s="189"/>
      <c r="Q2155" s="190"/>
      <c r="R2155" s="188"/>
      <c r="S2155" s="193"/>
      <c r="T2155" s="192"/>
      <c r="U2155" s="829"/>
      <c r="V2155" s="10"/>
      <c r="W2155" s="10"/>
      <c r="X2155" s="10"/>
      <c r="Y2155" s="10"/>
      <c r="Z2155" s="10"/>
      <c r="AA2155" s="11"/>
      <c r="AB2155" s="11"/>
    </row>
    <row r="2156" spans="2:28" x14ac:dyDescent="0.3">
      <c r="B2156" s="10"/>
      <c r="C2156" s="315"/>
      <c r="D2156" s="868"/>
      <c r="E2156" s="837" t="str">
        <f>IFERROR(IF(_xlfn.XLOOKUP(Imput[[#This Row],[RFC]],'Alta Proveedor'!D:D,'Alta Proveedor'!E:E)=0,"",_xlfn.XLOOKUP(Imput[[#This Row],[RFC]],'Alta Proveedor'!D:D,'Alta Proveedor'!E:E)),"")</f>
        <v/>
      </c>
      <c r="F2156" s="832"/>
      <c r="G2156" s="187"/>
      <c r="H2156" s="1"/>
      <c r="I2156" s="169">
        <f>Imput[[#This Row],[Cantidad]]*Imput[[#This Row],[Precio Unitario]]</f>
        <v>0</v>
      </c>
      <c r="J2156" s="11">
        <f>((Imput[[#This Row],[Sub total]])*(0.16))</f>
        <v>0</v>
      </c>
      <c r="K2156" s="11">
        <v>0</v>
      </c>
      <c r="L2156" s="169">
        <f>Imput[[#This Row],[Sub total]]+Imput[[#This Row],[IVA]]-Imput[[#This Row],[Retención / IEPS / Descuento]]</f>
        <v>0</v>
      </c>
      <c r="M2156" s="844">
        <v>0</v>
      </c>
      <c r="N2156" s="189"/>
      <c r="O2156" s="1"/>
      <c r="P2156" s="189"/>
      <c r="Q2156" s="190"/>
      <c r="R2156" s="188"/>
      <c r="S2156" s="193"/>
      <c r="T2156" s="192"/>
      <c r="U2156" s="829"/>
      <c r="V2156" s="10"/>
      <c r="W2156" s="10"/>
      <c r="X2156" s="10"/>
      <c r="Y2156" s="10"/>
      <c r="Z2156" s="10"/>
      <c r="AA2156" s="11"/>
      <c r="AB2156" s="11"/>
    </row>
    <row r="2157" spans="2:28" x14ac:dyDescent="0.3">
      <c r="B2157" s="10"/>
      <c r="C2157" s="315"/>
      <c r="D2157" s="868"/>
      <c r="E2157" s="837" t="str">
        <f>IFERROR(IF(_xlfn.XLOOKUP(Imput[[#This Row],[RFC]],'Alta Proveedor'!D:D,'Alta Proveedor'!E:E)=0,"",_xlfn.XLOOKUP(Imput[[#This Row],[RFC]],'Alta Proveedor'!D:D,'Alta Proveedor'!E:E)),"")</f>
        <v/>
      </c>
      <c r="F2157" s="832"/>
      <c r="G2157" s="187"/>
      <c r="H2157" s="1"/>
      <c r="I2157" s="169">
        <f>Imput[[#This Row],[Cantidad]]*Imput[[#This Row],[Precio Unitario]]</f>
        <v>0</v>
      </c>
      <c r="J2157" s="11">
        <f>((Imput[[#This Row],[Sub total]])*(0.16))</f>
        <v>0</v>
      </c>
      <c r="K2157" s="11">
        <v>0</v>
      </c>
      <c r="L2157" s="169">
        <f>Imput[[#This Row],[Sub total]]+Imput[[#This Row],[IVA]]-Imput[[#This Row],[Retención / IEPS / Descuento]]</f>
        <v>0</v>
      </c>
      <c r="M2157" s="844">
        <v>0</v>
      </c>
      <c r="N2157" s="189"/>
      <c r="O2157" s="1"/>
      <c r="P2157" s="189"/>
      <c r="Q2157" s="190"/>
      <c r="R2157" s="188"/>
      <c r="S2157" s="193"/>
      <c r="T2157" s="192"/>
      <c r="U2157" s="829"/>
      <c r="V2157" s="10"/>
      <c r="W2157" s="10"/>
      <c r="X2157" s="10"/>
      <c r="Y2157" s="10"/>
      <c r="Z2157" s="10"/>
      <c r="AA2157" s="11"/>
      <c r="AB2157" s="11"/>
    </row>
    <row r="2158" spans="2:28" x14ac:dyDescent="0.3">
      <c r="B2158" s="10"/>
      <c r="C2158" s="315"/>
      <c r="D2158" s="868"/>
      <c r="E2158" s="837" t="str">
        <f>IFERROR(IF(_xlfn.XLOOKUP(Imput[[#This Row],[RFC]],'Alta Proveedor'!D:D,'Alta Proveedor'!E:E)=0,"",_xlfn.XLOOKUP(Imput[[#This Row],[RFC]],'Alta Proveedor'!D:D,'Alta Proveedor'!E:E)),"")</f>
        <v/>
      </c>
      <c r="F2158" s="832"/>
      <c r="G2158" s="187"/>
      <c r="H2158" s="1"/>
      <c r="I2158" s="169">
        <f>Imput[[#This Row],[Cantidad]]*Imput[[#This Row],[Precio Unitario]]</f>
        <v>0</v>
      </c>
      <c r="J2158" s="11">
        <f>((Imput[[#This Row],[Sub total]])*(0.16))</f>
        <v>0</v>
      </c>
      <c r="K2158" s="11">
        <v>0</v>
      </c>
      <c r="L2158" s="169">
        <f>Imput[[#This Row],[Sub total]]+Imput[[#This Row],[IVA]]-Imput[[#This Row],[Retención / IEPS / Descuento]]</f>
        <v>0</v>
      </c>
      <c r="M2158" s="844">
        <v>0</v>
      </c>
      <c r="N2158" s="189"/>
      <c r="O2158" s="1"/>
      <c r="P2158" s="189"/>
      <c r="Q2158" s="190"/>
      <c r="R2158" s="188"/>
      <c r="S2158" s="193"/>
      <c r="T2158" s="192"/>
      <c r="U2158" s="829"/>
      <c r="V2158" s="10"/>
      <c r="W2158" s="10"/>
      <c r="X2158" s="10"/>
      <c r="Y2158" s="10"/>
      <c r="Z2158" s="10"/>
      <c r="AA2158" s="11"/>
      <c r="AB2158" s="11"/>
    </row>
    <row r="2159" spans="2:28" x14ac:dyDescent="0.3">
      <c r="B2159" s="10"/>
      <c r="C2159" s="315"/>
      <c r="D2159" s="868"/>
      <c r="E2159" s="837" t="str">
        <f>IFERROR(IF(_xlfn.XLOOKUP(Imput[[#This Row],[RFC]],'Alta Proveedor'!D:D,'Alta Proveedor'!E:E)=0,"",_xlfn.XLOOKUP(Imput[[#This Row],[RFC]],'Alta Proveedor'!D:D,'Alta Proveedor'!E:E)),"")</f>
        <v/>
      </c>
      <c r="F2159" s="832"/>
      <c r="G2159" s="187"/>
      <c r="H2159" s="1"/>
      <c r="I2159" s="169">
        <f>Imput[[#This Row],[Cantidad]]*Imput[[#This Row],[Precio Unitario]]</f>
        <v>0</v>
      </c>
      <c r="J2159" s="11">
        <f>((Imput[[#This Row],[Sub total]])*(0.16))</f>
        <v>0</v>
      </c>
      <c r="K2159" s="11">
        <v>0</v>
      </c>
      <c r="L2159" s="169">
        <f>Imput[[#This Row],[Sub total]]+Imput[[#This Row],[IVA]]-Imput[[#This Row],[Retención / IEPS / Descuento]]</f>
        <v>0</v>
      </c>
      <c r="M2159" s="844">
        <v>0</v>
      </c>
      <c r="N2159" s="189"/>
      <c r="O2159" s="1"/>
      <c r="P2159" s="189"/>
      <c r="Q2159" s="190"/>
      <c r="R2159" s="188"/>
      <c r="S2159" s="193"/>
      <c r="T2159" s="192"/>
      <c r="U2159" s="829"/>
      <c r="V2159" s="10"/>
      <c r="W2159" s="10"/>
      <c r="X2159" s="10"/>
      <c r="Y2159" s="10"/>
      <c r="Z2159" s="10"/>
      <c r="AA2159" s="11"/>
      <c r="AB2159" s="11"/>
    </row>
    <row r="2160" spans="2:28" x14ac:dyDescent="0.3">
      <c r="B2160" s="10"/>
      <c r="C2160" s="315"/>
      <c r="D2160" s="868"/>
      <c r="E2160" s="837" t="str">
        <f>IFERROR(IF(_xlfn.XLOOKUP(Imput[[#This Row],[RFC]],'Alta Proveedor'!D:D,'Alta Proveedor'!E:E)=0,"",_xlfn.XLOOKUP(Imput[[#This Row],[RFC]],'Alta Proveedor'!D:D,'Alta Proveedor'!E:E)),"")</f>
        <v/>
      </c>
      <c r="F2160" s="832"/>
      <c r="G2160" s="187"/>
      <c r="H2160" s="1"/>
      <c r="I2160" s="169">
        <f>Imput[[#This Row],[Cantidad]]*Imput[[#This Row],[Precio Unitario]]</f>
        <v>0</v>
      </c>
      <c r="J2160" s="11">
        <f>((Imput[[#This Row],[Sub total]])*(0.16))</f>
        <v>0</v>
      </c>
      <c r="K2160" s="11">
        <v>0</v>
      </c>
      <c r="L2160" s="169">
        <f>Imput[[#This Row],[Sub total]]+Imput[[#This Row],[IVA]]-Imput[[#This Row],[Retención / IEPS / Descuento]]</f>
        <v>0</v>
      </c>
      <c r="M2160" s="844">
        <v>0</v>
      </c>
      <c r="N2160" s="189"/>
      <c r="O2160" s="1"/>
      <c r="P2160" s="189"/>
      <c r="Q2160" s="190"/>
      <c r="R2160" s="188"/>
      <c r="S2160" s="193"/>
      <c r="T2160" s="192"/>
      <c r="U2160" s="829"/>
      <c r="V2160" s="10"/>
      <c r="W2160" s="10"/>
      <c r="X2160" s="10"/>
      <c r="Y2160" s="10"/>
      <c r="Z2160" s="10"/>
      <c r="AA2160" s="11"/>
      <c r="AB2160" s="11"/>
    </row>
    <row r="2161" spans="2:28" x14ac:dyDescent="0.3">
      <c r="B2161" s="10"/>
      <c r="C2161" s="315"/>
      <c r="D2161" s="868"/>
      <c r="E2161" s="837" t="str">
        <f>IFERROR(IF(_xlfn.XLOOKUP(Imput[[#This Row],[RFC]],'Alta Proveedor'!D:D,'Alta Proveedor'!E:E)=0,"",_xlfn.XLOOKUP(Imput[[#This Row],[RFC]],'Alta Proveedor'!D:D,'Alta Proveedor'!E:E)),"")</f>
        <v/>
      </c>
      <c r="F2161" s="832"/>
      <c r="G2161" s="187"/>
      <c r="H2161" s="1"/>
      <c r="I2161" s="169">
        <f>Imput[[#This Row],[Cantidad]]*Imput[[#This Row],[Precio Unitario]]</f>
        <v>0</v>
      </c>
      <c r="J2161" s="11">
        <f>((Imput[[#This Row],[Sub total]])*(0.16))</f>
        <v>0</v>
      </c>
      <c r="K2161" s="11">
        <v>0</v>
      </c>
      <c r="L2161" s="169">
        <f>Imput[[#This Row],[Sub total]]+Imput[[#This Row],[IVA]]-Imput[[#This Row],[Retención / IEPS / Descuento]]</f>
        <v>0</v>
      </c>
      <c r="M2161" s="844">
        <v>0</v>
      </c>
      <c r="N2161" s="189"/>
      <c r="O2161" s="1"/>
      <c r="P2161" s="189"/>
      <c r="Q2161" s="190"/>
      <c r="R2161" s="188"/>
      <c r="S2161" s="193"/>
      <c r="T2161" s="192"/>
      <c r="U2161" s="829"/>
      <c r="V2161" s="10"/>
      <c r="W2161" s="10"/>
      <c r="X2161" s="10"/>
      <c r="Y2161" s="10"/>
      <c r="Z2161" s="10"/>
      <c r="AA2161" s="11"/>
      <c r="AB2161" s="11"/>
    </row>
    <row r="2162" spans="2:28" x14ac:dyDescent="0.3">
      <c r="B2162" s="10"/>
      <c r="C2162" s="315"/>
      <c r="D2162" s="868"/>
      <c r="E2162" s="837" t="str">
        <f>IFERROR(IF(_xlfn.XLOOKUP(Imput[[#This Row],[RFC]],'Alta Proveedor'!D:D,'Alta Proveedor'!E:E)=0,"",_xlfn.XLOOKUP(Imput[[#This Row],[RFC]],'Alta Proveedor'!D:D,'Alta Proveedor'!E:E)),"")</f>
        <v/>
      </c>
      <c r="F2162" s="832"/>
      <c r="G2162" s="187"/>
      <c r="H2162" s="1"/>
      <c r="I2162" s="169">
        <f>Imput[[#This Row],[Cantidad]]*Imput[[#This Row],[Precio Unitario]]</f>
        <v>0</v>
      </c>
      <c r="J2162" s="11">
        <f>((Imput[[#This Row],[Sub total]])*(0.16))</f>
        <v>0</v>
      </c>
      <c r="K2162" s="11">
        <v>0</v>
      </c>
      <c r="L2162" s="169">
        <f>Imput[[#This Row],[Sub total]]+Imput[[#This Row],[IVA]]-Imput[[#This Row],[Retención / IEPS / Descuento]]</f>
        <v>0</v>
      </c>
      <c r="M2162" s="844">
        <v>0</v>
      </c>
      <c r="N2162" s="189"/>
      <c r="O2162" s="1"/>
      <c r="P2162" s="189"/>
      <c r="Q2162" s="190"/>
      <c r="R2162" s="188"/>
      <c r="S2162" s="193"/>
      <c r="T2162" s="192"/>
      <c r="U2162" s="829"/>
      <c r="V2162" s="10"/>
      <c r="W2162" s="10"/>
      <c r="X2162" s="10"/>
      <c r="Y2162" s="10"/>
      <c r="Z2162" s="10"/>
      <c r="AA2162" s="11"/>
      <c r="AB2162" s="11"/>
    </row>
    <row r="2163" spans="2:28" x14ac:dyDescent="0.3">
      <c r="B2163" s="10"/>
      <c r="C2163" s="315"/>
      <c r="D2163" s="868"/>
      <c r="E2163" s="837" t="str">
        <f>IFERROR(IF(_xlfn.XLOOKUP(Imput[[#This Row],[RFC]],'Alta Proveedor'!D:D,'Alta Proveedor'!E:E)=0,"",_xlfn.XLOOKUP(Imput[[#This Row],[RFC]],'Alta Proveedor'!D:D,'Alta Proveedor'!E:E)),"")</f>
        <v/>
      </c>
      <c r="F2163" s="832"/>
      <c r="G2163" s="187"/>
      <c r="H2163" s="1"/>
      <c r="I2163" s="169">
        <f>Imput[[#This Row],[Cantidad]]*Imput[[#This Row],[Precio Unitario]]</f>
        <v>0</v>
      </c>
      <c r="J2163" s="11">
        <f>((Imput[[#This Row],[Sub total]])*(0.16))</f>
        <v>0</v>
      </c>
      <c r="K2163" s="11">
        <v>0</v>
      </c>
      <c r="L2163" s="169">
        <f>Imput[[#This Row],[Sub total]]+Imput[[#This Row],[IVA]]-Imput[[#This Row],[Retención / IEPS / Descuento]]</f>
        <v>0</v>
      </c>
      <c r="M2163" s="844">
        <v>0</v>
      </c>
      <c r="N2163" s="189"/>
      <c r="O2163" s="1"/>
      <c r="P2163" s="189"/>
      <c r="Q2163" s="190"/>
      <c r="R2163" s="188"/>
      <c r="S2163" s="193"/>
      <c r="T2163" s="192"/>
      <c r="U2163" s="829"/>
      <c r="V2163" s="10"/>
      <c r="W2163" s="10"/>
      <c r="X2163" s="10"/>
      <c r="Y2163" s="10"/>
      <c r="Z2163" s="10"/>
      <c r="AA2163" s="11"/>
      <c r="AB2163" s="11"/>
    </row>
    <row r="2164" spans="2:28" x14ac:dyDescent="0.3">
      <c r="B2164" s="10"/>
      <c r="C2164" s="315"/>
      <c r="D2164" s="868"/>
      <c r="E2164" s="837" t="str">
        <f>IFERROR(IF(_xlfn.XLOOKUP(Imput[[#This Row],[RFC]],'Alta Proveedor'!D:D,'Alta Proveedor'!E:E)=0,"",_xlfn.XLOOKUP(Imput[[#This Row],[RFC]],'Alta Proveedor'!D:D,'Alta Proveedor'!E:E)),"")</f>
        <v/>
      </c>
      <c r="F2164" s="832"/>
      <c r="G2164" s="187"/>
      <c r="H2164" s="1"/>
      <c r="I2164" s="169">
        <f>Imput[[#This Row],[Cantidad]]*Imput[[#This Row],[Precio Unitario]]</f>
        <v>0</v>
      </c>
      <c r="J2164" s="11">
        <f>((Imput[[#This Row],[Sub total]])*(0.16))</f>
        <v>0</v>
      </c>
      <c r="K2164" s="11">
        <v>0</v>
      </c>
      <c r="L2164" s="169">
        <f>Imput[[#This Row],[Sub total]]+Imput[[#This Row],[IVA]]-Imput[[#This Row],[Retención / IEPS / Descuento]]</f>
        <v>0</v>
      </c>
      <c r="M2164" s="844">
        <v>0</v>
      </c>
      <c r="N2164" s="189"/>
      <c r="O2164" s="1"/>
      <c r="P2164" s="189"/>
      <c r="Q2164" s="190"/>
      <c r="R2164" s="188"/>
      <c r="S2164" s="193"/>
      <c r="T2164" s="192"/>
      <c r="U2164" s="829"/>
      <c r="V2164" s="10"/>
      <c r="W2164" s="10"/>
      <c r="X2164" s="10"/>
      <c r="Y2164" s="10"/>
      <c r="Z2164" s="10"/>
      <c r="AA2164" s="11"/>
      <c r="AB2164" s="11"/>
    </row>
    <row r="2165" spans="2:28" x14ac:dyDescent="0.3">
      <c r="B2165" s="10"/>
      <c r="C2165" s="315"/>
      <c r="D2165" s="868"/>
      <c r="E2165" s="837" t="str">
        <f>IFERROR(IF(_xlfn.XLOOKUP(Imput[[#This Row],[RFC]],'Alta Proveedor'!D:D,'Alta Proveedor'!E:E)=0,"",_xlfn.XLOOKUP(Imput[[#This Row],[RFC]],'Alta Proveedor'!D:D,'Alta Proveedor'!E:E)),"")</f>
        <v/>
      </c>
      <c r="F2165" s="832"/>
      <c r="G2165" s="187"/>
      <c r="H2165" s="1"/>
      <c r="I2165" s="169">
        <f>Imput[[#This Row],[Cantidad]]*Imput[[#This Row],[Precio Unitario]]</f>
        <v>0</v>
      </c>
      <c r="J2165" s="11">
        <f>((Imput[[#This Row],[Sub total]])*(0.16))</f>
        <v>0</v>
      </c>
      <c r="K2165" s="11">
        <v>0</v>
      </c>
      <c r="L2165" s="169">
        <f>Imput[[#This Row],[Sub total]]+Imput[[#This Row],[IVA]]-Imput[[#This Row],[Retención / IEPS / Descuento]]</f>
        <v>0</v>
      </c>
      <c r="M2165" s="844">
        <v>0</v>
      </c>
      <c r="N2165" s="189"/>
      <c r="O2165" s="1"/>
      <c r="P2165" s="189"/>
      <c r="Q2165" s="190"/>
      <c r="R2165" s="188"/>
      <c r="S2165" s="193"/>
      <c r="T2165" s="192"/>
      <c r="U2165" s="829"/>
      <c r="V2165" s="10"/>
      <c r="W2165" s="10"/>
      <c r="X2165" s="10"/>
      <c r="Y2165" s="10"/>
      <c r="Z2165" s="10"/>
      <c r="AA2165" s="11"/>
      <c r="AB2165" s="11"/>
    </row>
    <row r="2166" spans="2:28" x14ac:dyDescent="0.3">
      <c r="B2166" s="10"/>
      <c r="C2166" s="315"/>
      <c r="D2166" s="868"/>
      <c r="E2166" s="837" t="str">
        <f>IFERROR(IF(_xlfn.XLOOKUP(Imput[[#This Row],[RFC]],'Alta Proveedor'!D:D,'Alta Proveedor'!E:E)=0,"",_xlfn.XLOOKUP(Imput[[#This Row],[RFC]],'Alta Proveedor'!D:D,'Alta Proveedor'!E:E)),"")</f>
        <v/>
      </c>
      <c r="F2166" s="832"/>
      <c r="G2166" s="187"/>
      <c r="H2166" s="1"/>
      <c r="I2166" s="169">
        <f>Imput[[#This Row],[Cantidad]]*Imput[[#This Row],[Precio Unitario]]</f>
        <v>0</v>
      </c>
      <c r="J2166" s="11">
        <f>((Imput[[#This Row],[Sub total]])*(0.16))</f>
        <v>0</v>
      </c>
      <c r="K2166" s="11">
        <v>0</v>
      </c>
      <c r="L2166" s="169">
        <f>Imput[[#This Row],[Sub total]]+Imput[[#This Row],[IVA]]-Imput[[#This Row],[Retención / IEPS / Descuento]]</f>
        <v>0</v>
      </c>
      <c r="M2166" s="844">
        <v>0</v>
      </c>
      <c r="N2166" s="189"/>
      <c r="O2166" s="1"/>
      <c r="P2166" s="189"/>
      <c r="Q2166" s="190"/>
      <c r="R2166" s="188"/>
      <c r="S2166" s="193"/>
      <c r="T2166" s="192"/>
      <c r="U2166" s="829"/>
      <c r="V2166" s="10"/>
      <c r="W2166" s="10"/>
      <c r="X2166" s="10"/>
      <c r="Y2166" s="10"/>
      <c r="Z2166" s="10"/>
      <c r="AA2166" s="11"/>
      <c r="AB2166" s="11"/>
    </row>
    <row r="2167" spans="2:28" x14ac:dyDescent="0.3">
      <c r="B2167" s="10"/>
      <c r="C2167" s="315"/>
      <c r="D2167" s="868"/>
      <c r="E2167" s="837" t="str">
        <f>IFERROR(IF(_xlfn.XLOOKUP(Imput[[#This Row],[RFC]],'Alta Proveedor'!D:D,'Alta Proveedor'!E:E)=0,"",_xlfn.XLOOKUP(Imput[[#This Row],[RFC]],'Alta Proveedor'!D:D,'Alta Proveedor'!E:E)),"")</f>
        <v/>
      </c>
      <c r="F2167" s="832"/>
      <c r="G2167" s="187"/>
      <c r="H2167" s="1"/>
      <c r="I2167" s="169">
        <f>Imput[[#This Row],[Cantidad]]*Imput[[#This Row],[Precio Unitario]]</f>
        <v>0</v>
      </c>
      <c r="J2167" s="11">
        <f>((Imput[[#This Row],[Sub total]])*(0.16))</f>
        <v>0</v>
      </c>
      <c r="K2167" s="11">
        <v>0</v>
      </c>
      <c r="L2167" s="169">
        <f>Imput[[#This Row],[Sub total]]+Imput[[#This Row],[IVA]]-Imput[[#This Row],[Retención / IEPS / Descuento]]</f>
        <v>0</v>
      </c>
      <c r="M2167" s="844">
        <v>0</v>
      </c>
      <c r="N2167" s="189"/>
      <c r="O2167" s="1"/>
      <c r="P2167" s="189"/>
      <c r="Q2167" s="190"/>
      <c r="R2167" s="188"/>
      <c r="S2167" s="193"/>
      <c r="T2167" s="192"/>
      <c r="U2167" s="829"/>
      <c r="V2167" s="10"/>
      <c r="W2167" s="10"/>
      <c r="X2167" s="10"/>
      <c r="Y2167" s="10"/>
      <c r="Z2167" s="10"/>
      <c r="AA2167" s="11"/>
      <c r="AB2167" s="11"/>
    </row>
    <row r="2168" spans="2:28" x14ac:dyDescent="0.3">
      <c r="B2168" s="10"/>
      <c r="C2168" s="315"/>
      <c r="D2168" s="868"/>
      <c r="E2168" s="837" t="str">
        <f>IFERROR(IF(_xlfn.XLOOKUP(Imput[[#This Row],[RFC]],'Alta Proveedor'!D:D,'Alta Proveedor'!E:E)=0,"",_xlfn.XLOOKUP(Imput[[#This Row],[RFC]],'Alta Proveedor'!D:D,'Alta Proveedor'!E:E)),"")</f>
        <v/>
      </c>
      <c r="F2168" s="832"/>
      <c r="G2168" s="187"/>
      <c r="H2168" s="1"/>
      <c r="I2168" s="169">
        <f>Imput[[#This Row],[Cantidad]]*Imput[[#This Row],[Precio Unitario]]</f>
        <v>0</v>
      </c>
      <c r="J2168" s="11">
        <f>((Imput[[#This Row],[Sub total]])*(0.16))</f>
        <v>0</v>
      </c>
      <c r="K2168" s="11">
        <v>0</v>
      </c>
      <c r="L2168" s="169">
        <f>Imput[[#This Row],[Sub total]]+Imput[[#This Row],[IVA]]-Imput[[#This Row],[Retención / IEPS / Descuento]]</f>
        <v>0</v>
      </c>
      <c r="M2168" s="844">
        <v>0</v>
      </c>
      <c r="N2168" s="189"/>
      <c r="O2168" s="1"/>
      <c r="P2168" s="189"/>
      <c r="Q2168" s="190"/>
      <c r="R2168" s="188"/>
      <c r="S2168" s="193"/>
      <c r="T2168" s="192"/>
      <c r="U2168" s="829"/>
      <c r="V2168" s="10"/>
      <c r="W2168" s="10"/>
      <c r="X2168" s="10"/>
      <c r="Y2168" s="10"/>
      <c r="Z2168" s="10"/>
      <c r="AA2168" s="11"/>
      <c r="AB2168" s="11"/>
    </row>
    <row r="2169" spans="2:28" x14ac:dyDescent="0.3">
      <c r="B2169" s="10"/>
      <c r="C2169" s="315"/>
      <c r="D2169" s="868"/>
      <c r="E2169" s="837" t="str">
        <f>IFERROR(IF(_xlfn.XLOOKUP(Imput[[#This Row],[RFC]],'Alta Proveedor'!D:D,'Alta Proveedor'!E:E)=0,"",_xlfn.XLOOKUP(Imput[[#This Row],[RFC]],'Alta Proveedor'!D:D,'Alta Proveedor'!E:E)),"")</f>
        <v/>
      </c>
      <c r="F2169" s="832"/>
      <c r="G2169" s="187"/>
      <c r="H2169" s="1"/>
      <c r="I2169" s="169">
        <f>Imput[[#This Row],[Cantidad]]*Imput[[#This Row],[Precio Unitario]]</f>
        <v>0</v>
      </c>
      <c r="J2169" s="11">
        <f>((Imput[[#This Row],[Sub total]])*(0.16))</f>
        <v>0</v>
      </c>
      <c r="K2169" s="11">
        <v>0</v>
      </c>
      <c r="L2169" s="169">
        <f>Imput[[#This Row],[Sub total]]+Imput[[#This Row],[IVA]]-Imput[[#This Row],[Retención / IEPS / Descuento]]</f>
        <v>0</v>
      </c>
      <c r="M2169" s="844">
        <v>0</v>
      </c>
      <c r="N2169" s="189"/>
      <c r="O2169" s="1"/>
      <c r="P2169" s="189"/>
      <c r="Q2169" s="190"/>
      <c r="R2169" s="188"/>
      <c r="S2169" s="193"/>
      <c r="T2169" s="192"/>
      <c r="U2169" s="829"/>
      <c r="V2169" s="10"/>
      <c r="W2169" s="10"/>
      <c r="X2169" s="10"/>
      <c r="Y2169" s="10"/>
      <c r="Z2169" s="10"/>
      <c r="AA2169" s="11"/>
      <c r="AB2169" s="11"/>
    </row>
    <row r="2170" spans="2:28" x14ac:dyDescent="0.3">
      <c r="B2170" s="10"/>
      <c r="C2170" s="315"/>
      <c r="D2170" s="868"/>
      <c r="E2170" s="837" t="str">
        <f>IFERROR(IF(_xlfn.XLOOKUP(Imput[[#This Row],[RFC]],'Alta Proveedor'!D:D,'Alta Proveedor'!E:E)=0,"",_xlfn.XLOOKUP(Imput[[#This Row],[RFC]],'Alta Proveedor'!D:D,'Alta Proveedor'!E:E)),"")</f>
        <v/>
      </c>
      <c r="F2170" s="832"/>
      <c r="G2170" s="187"/>
      <c r="H2170" s="1"/>
      <c r="I2170" s="169">
        <f>Imput[[#This Row],[Cantidad]]*Imput[[#This Row],[Precio Unitario]]</f>
        <v>0</v>
      </c>
      <c r="J2170" s="11">
        <f>((Imput[[#This Row],[Sub total]])*(0.16))</f>
        <v>0</v>
      </c>
      <c r="K2170" s="11">
        <v>0</v>
      </c>
      <c r="L2170" s="169">
        <f>Imput[[#This Row],[Sub total]]+Imput[[#This Row],[IVA]]-Imput[[#This Row],[Retención / IEPS / Descuento]]</f>
        <v>0</v>
      </c>
      <c r="M2170" s="844">
        <v>0</v>
      </c>
      <c r="N2170" s="189"/>
      <c r="O2170" s="1"/>
      <c r="P2170" s="189"/>
      <c r="Q2170" s="190"/>
      <c r="R2170" s="188"/>
      <c r="S2170" s="193"/>
      <c r="T2170" s="192"/>
      <c r="U2170" s="829"/>
      <c r="V2170" s="10"/>
      <c r="W2170" s="10"/>
      <c r="X2170" s="10"/>
      <c r="Y2170" s="10"/>
      <c r="Z2170" s="10"/>
      <c r="AA2170" s="11"/>
      <c r="AB2170" s="11"/>
    </row>
    <row r="2171" spans="2:28" x14ac:dyDescent="0.3">
      <c r="B2171" s="10"/>
      <c r="C2171" s="315"/>
      <c r="D2171" s="868"/>
      <c r="E2171" s="837" t="str">
        <f>IFERROR(IF(_xlfn.XLOOKUP(Imput[[#This Row],[RFC]],'Alta Proveedor'!D:D,'Alta Proveedor'!E:E)=0,"",_xlfn.XLOOKUP(Imput[[#This Row],[RFC]],'Alta Proveedor'!D:D,'Alta Proveedor'!E:E)),"")</f>
        <v/>
      </c>
      <c r="F2171" s="832"/>
      <c r="G2171" s="187"/>
      <c r="H2171" s="1"/>
      <c r="I2171" s="169">
        <f>Imput[[#This Row],[Cantidad]]*Imput[[#This Row],[Precio Unitario]]</f>
        <v>0</v>
      </c>
      <c r="J2171" s="11">
        <f>((Imput[[#This Row],[Sub total]])*(0.16))</f>
        <v>0</v>
      </c>
      <c r="K2171" s="11">
        <v>0</v>
      </c>
      <c r="L2171" s="169">
        <f>Imput[[#This Row],[Sub total]]+Imput[[#This Row],[IVA]]-Imput[[#This Row],[Retención / IEPS / Descuento]]</f>
        <v>0</v>
      </c>
      <c r="M2171" s="844">
        <v>0</v>
      </c>
      <c r="N2171" s="189"/>
      <c r="O2171" s="1"/>
      <c r="P2171" s="189"/>
      <c r="Q2171" s="190"/>
      <c r="R2171" s="188"/>
      <c r="S2171" s="193"/>
      <c r="T2171" s="192"/>
      <c r="U2171" s="829"/>
      <c r="V2171" s="10"/>
      <c r="W2171" s="10"/>
      <c r="X2171" s="10"/>
      <c r="Y2171" s="10"/>
      <c r="Z2171" s="10"/>
      <c r="AA2171" s="11"/>
      <c r="AB2171" s="11"/>
    </row>
    <row r="2172" spans="2:28" x14ac:dyDescent="0.3">
      <c r="B2172" s="10"/>
      <c r="C2172" s="315"/>
      <c r="D2172" s="868"/>
      <c r="E2172" s="837" t="str">
        <f>IFERROR(IF(_xlfn.XLOOKUP(Imput[[#This Row],[RFC]],'Alta Proveedor'!D:D,'Alta Proveedor'!E:E)=0,"",_xlfn.XLOOKUP(Imput[[#This Row],[RFC]],'Alta Proveedor'!D:D,'Alta Proveedor'!E:E)),"")</f>
        <v/>
      </c>
      <c r="F2172" s="832"/>
      <c r="G2172" s="187"/>
      <c r="H2172" s="1"/>
      <c r="I2172" s="169">
        <f>Imput[[#This Row],[Cantidad]]*Imput[[#This Row],[Precio Unitario]]</f>
        <v>0</v>
      </c>
      <c r="J2172" s="11">
        <f>((Imput[[#This Row],[Sub total]])*(0.16))</f>
        <v>0</v>
      </c>
      <c r="K2172" s="11">
        <v>0</v>
      </c>
      <c r="L2172" s="169">
        <f>Imput[[#This Row],[Sub total]]+Imput[[#This Row],[IVA]]-Imput[[#This Row],[Retención / IEPS / Descuento]]</f>
        <v>0</v>
      </c>
      <c r="M2172" s="844">
        <v>0</v>
      </c>
      <c r="N2172" s="189"/>
      <c r="O2172" s="1"/>
      <c r="P2172" s="189"/>
      <c r="Q2172" s="190"/>
      <c r="R2172" s="188"/>
      <c r="S2172" s="193"/>
      <c r="T2172" s="192"/>
      <c r="U2172" s="829"/>
      <c r="V2172" s="10"/>
      <c r="W2172" s="10"/>
      <c r="X2172" s="10"/>
      <c r="Y2172" s="10"/>
      <c r="Z2172" s="10"/>
      <c r="AA2172" s="11"/>
      <c r="AB2172" s="11"/>
    </row>
    <row r="2173" spans="2:28" x14ac:dyDescent="0.3">
      <c r="B2173" s="10"/>
      <c r="C2173" s="315"/>
      <c r="D2173" s="868"/>
      <c r="E2173" s="837" t="str">
        <f>IFERROR(IF(_xlfn.XLOOKUP(Imput[[#This Row],[RFC]],'Alta Proveedor'!D:D,'Alta Proveedor'!E:E)=0,"",_xlfn.XLOOKUP(Imput[[#This Row],[RFC]],'Alta Proveedor'!D:D,'Alta Proveedor'!E:E)),"")</f>
        <v/>
      </c>
      <c r="F2173" s="832"/>
      <c r="G2173" s="187"/>
      <c r="H2173" s="1"/>
      <c r="I2173" s="169">
        <f>Imput[[#This Row],[Cantidad]]*Imput[[#This Row],[Precio Unitario]]</f>
        <v>0</v>
      </c>
      <c r="J2173" s="11">
        <f>((Imput[[#This Row],[Sub total]])*(0.16))</f>
        <v>0</v>
      </c>
      <c r="K2173" s="11">
        <v>0</v>
      </c>
      <c r="L2173" s="169">
        <f>Imput[[#This Row],[Sub total]]+Imput[[#This Row],[IVA]]-Imput[[#This Row],[Retención / IEPS / Descuento]]</f>
        <v>0</v>
      </c>
      <c r="M2173" s="844">
        <v>0</v>
      </c>
      <c r="N2173" s="189"/>
      <c r="O2173" s="1"/>
      <c r="P2173" s="189"/>
      <c r="Q2173" s="190"/>
      <c r="R2173" s="188"/>
      <c r="S2173" s="193"/>
      <c r="T2173" s="192"/>
      <c r="U2173" s="829"/>
      <c r="V2173" s="10"/>
      <c r="W2173" s="10"/>
      <c r="X2173" s="10"/>
      <c r="Y2173" s="10"/>
      <c r="Z2173" s="10"/>
      <c r="AA2173" s="11"/>
      <c r="AB2173" s="11"/>
    </row>
    <row r="2174" spans="2:28" x14ac:dyDescent="0.3">
      <c r="B2174" s="10"/>
      <c r="C2174" s="315"/>
      <c r="D2174" s="868"/>
      <c r="E2174" s="837" t="str">
        <f>IFERROR(IF(_xlfn.XLOOKUP(Imput[[#This Row],[RFC]],'Alta Proveedor'!D:D,'Alta Proveedor'!E:E)=0,"",_xlfn.XLOOKUP(Imput[[#This Row],[RFC]],'Alta Proveedor'!D:D,'Alta Proveedor'!E:E)),"")</f>
        <v/>
      </c>
      <c r="F2174" s="832"/>
      <c r="G2174" s="187"/>
      <c r="H2174" s="1"/>
      <c r="I2174" s="169">
        <f>Imput[[#This Row],[Cantidad]]*Imput[[#This Row],[Precio Unitario]]</f>
        <v>0</v>
      </c>
      <c r="J2174" s="11">
        <f>((Imput[[#This Row],[Sub total]])*(0.16))</f>
        <v>0</v>
      </c>
      <c r="K2174" s="11">
        <v>0</v>
      </c>
      <c r="L2174" s="169">
        <f>Imput[[#This Row],[Sub total]]+Imput[[#This Row],[IVA]]-Imput[[#This Row],[Retención / IEPS / Descuento]]</f>
        <v>0</v>
      </c>
      <c r="M2174" s="844">
        <v>0</v>
      </c>
      <c r="N2174" s="189"/>
      <c r="O2174" s="1"/>
      <c r="P2174" s="189"/>
      <c r="Q2174" s="190"/>
      <c r="R2174" s="188"/>
      <c r="S2174" s="193"/>
      <c r="T2174" s="192"/>
      <c r="U2174" s="829"/>
      <c r="V2174" s="10"/>
      <c r="W2174" s="10"/>
      <c r="X2174" s="10"/>
      <c r="Y2174" s="10"/>
      <c r="Z2174" s="10"/>
      <c r="AA2174" s="11"/>
      <c r="AB2174" s="11"/>
    </row>
    <row r="2175" spans="2:28" x14ac:dyDescent="0.3">
      <c r="B2175" s="10"/>
      <c r="C2175" s="315"/>
      <c r="D2175" s="868"/>
      <c r="E2175" s="837" t="str">
        <f>IFERROR(IF(_xlfn.XLOOKUP(Imput[[#This Row],[RFC]],'Alta Proveedor'!D:D,'Alta Proveedor'!E:E)=0,"",_xlfn.XLOOKUP(Imput[[#This Row],[RFC]],'Alta Proveedor'!D:D,'Alta Proveedor'!E:E)),"")</f>
        <v/>
      </c>
      <c r="F2175" s="832"/>
      <c r="G2175" s="187"/>
      <c r="H2175" s="1"/>
      <c r="I2175" s="169">
        <f>Imput[[#This Row],[Cantidad]]*Imput[[#This Row],[Precio Unitario]]</f>
        <v>0</v>
      </c>
      <c r="J2175" s="11">
        <f>((Imput[[#This Row],[Sub total]])*(0.16))</f>
        <v>0</v>
      </c>
      <c r="K2175" s="11">
        <v>0</v>
      </c>
      <c r="L2175" s="169">
        <f>Imput[[#This Row],[Sub total]]+Imput[[#This Row],[IVA]]-Imput[[#This Row],[Retención / IEPS / Descuento]]</f>
        <v>0</v>
      </c>
      <c r="M2175" s="844">
        <v>0</v>
      </c>
      <c r="N2175" s="189"/>
      <c r="O2175" s="1"/>
      <c r="P2175" s="189"/>
      <c r="Q2175" s="190"/>
      <c r="R2175" s="188"/>
      <c r="S2175" s="193"/>
      <c r="T2175" s="192"/>
      <c r="U2175" s="829"/>
      <c r="V2175" s="10"/>
      <c r="W2175" s="10"/>
      <c r="X2175" s="10"/>
      <c r="Y2175" s="10"/>
      <c r="Z2175" s="10"/>
      <c r="AA2175" s="11"/>
      <c r="AB2175" s="11"/>
    </row>
    <row r="2176" spans="2:28" x14ac:dyDescent="0.3">
      <c r="B2176" s="10"/>
      <c r="C2176" s="315"/>
      <c r="D2176" s="868"/>
      <c r="E2176" s="837" t="str">
        <f>IFERROR(IF(_xlfn.XLOOKUP(Imput[[#This Row],[RFC]],'Alta Proveedor'!D:D,'Alta Proveedor'!E:E)=0,"",_xlfn.XLOOKUP(Imput[[#This Row],[RFC]],'Alta Proveedor'!D:D,'Alta Proveedor'!E:E)),"")</f>
        <v/>
      </c>
      <c r="F2176" s="832"/>
      <c r="G2176" s="187"/>
      <c r="H2176" s="1"/>
      <c r="I2176" s="169">
        <f>Imput[[#This Row],[Cantidad]]*Imput[[#This Row],[Precio Unitario]]</f>
        <v>0</v>
      </c>
      <c r="J2176" s="11">
        <f>((Imput[[#This Row],[Sub total]])*(0.16))</f>
        <v>0</v>
      </c>
      <c r="K2176" s="11">
        <v>0</v>
      </c>
      <c r="L2176" s="169">
        <f>Imput[[#This Row],[Sub total]]+Imput[[#This Row],[IVA]]-Imput[[#This Row],[Retención / IEPS / Descuento]]</f>
        <v>0</v>
      </c>
      <c r="M2176" s="844">
        <v>0</v>
      </c>
      <c r="N2176" s="189"/>
      <c r="O2176" s="1"/>
      <c r="P2176" s="189"/>
      <c r="Q2176" s="190"/>
      <c r="R2176" s="188"/>
      <c r="S2176" s="193"/>
      <c r="T2176" s="192"/>
      <c r="U2176" s="829"/>
      <c r="V2176" s="10"/>
      <c r="W2176" s="10"/>
      <c r="X2176" s="10"/>
      <c r="Y2176" s="10"/>
      <c r="Z2176" s="10"/>
      <c r="AA2176" s="11"/>
      <c r="AB2176" s="11"/>
    </row>
    <row r="2177" spans="2:28" x14ac:dyDescent="0.3">
      <c r="B2177" s="10"/>
      <c r="C2177" s="315"/>
      <c r="D2177" s="868"/>
      <c r="E2177" s="837" t="str">
        <f>IFERROR(IF(_xlfn.XLOOKUP(Imput[[#This Row],[RFC]],'Alta Proveedor'!D:D,'Alta Proveedor'!E:E)=0,"",_xlfn.XLOOKUP(Imput[[#This Row],[RFC]],'Alta Proveedor'!D:D,'Alta Proveedor'!E:E)),"")</f>
        <v/>
      </c>
      <c r="F2177" s="832"/>
      <c r="G2177" s="187"/>
      <c r="H2177" s="1"/>
      <c r="I2177" s="169">
        <f>Imput[[#This Row],[Cantidad]]*Imput[[#This Row],[Precio Unitario]]</f>
        <v>0</v>
      </c>
      <c r="J2177" s="11">
        <f>((Imput[[#This Row],[Sub total]])*(0.16))</f>
        <v>0</v>
      </c>
      <c r="K2177" s="11">
        <v>0</v>
      </c>
      <c r="L2177" s="169">
        <f>Imput[[#This Row],[Sub total]]+Imput[[#This Row],[IVA]]-Imput[[#This Row],[Retención / IEPS / Descuento]]</f>
        <v>0</v>
      </c>
      <c r="M2177" s="844">
        <v>0</v>
      </c>
      <c r="N2177" s="189"/>
      <c r="O2177" s="1"/>
      <c r="P2177" s="189"/>
      <c r="Q2177" s="190"/>
      <c r="R2177" s="188"/>
      <c r="S2177" s="193"/>
      <c r="T2177" s="192"/>
      <c r="U2177" s="829"/>
      <c r="V2177" s="10"/>
      <c r="W2177" s="10"/>
      <c r="X2177" s="10"/>
      <c r="Y2177" s="10"/>
      <c r="Z2177" s="10"/>
      <c r="AA2177" s="11"/>
      <c r="AB2177" s="11"/>
    </row>
    <row r="2178" spans="2:28" x14ac:dyDescent="0.3">
      <c r="B2178" s="10"/>
      <c r="C2178" s="315"/>
      <c r="D2178" s="868"/>
      <c r="E2178" s="837" t="str">
        <f>IFERROR(IF(_xlfn.XLOOKUP(Imput[[#This Row],[RFC]],'Alta Proveedor'!D:D,'Alta Proveedor'!E:E)=0,"",_xlfn.XLOOKUP(Imput[[#This Row],[RFC]],'Alta Proveedor'!D:D,'Alta Proveedor'!E:E)),"")</f>
        <v/>
      </c>
      <c r="F2178" s="832"/>
      <c r="G2178" s="187"/>
      <c r="H2178" s="1"/>
      <c r="I2178" s="169">
        <f>Imput[[#This Row],[Cantidad]]*Imput[[#This Row],[Precio Unitario]]</f>
        <v>0</v>
      </c>
      <c r="J2178" s="11">
        <f>((Imput[[#This Row],[Sub total]])*(0.16))</f>
        <v>0</v>
      </c>
      <c r="K2178" s="11">
        <v>0</v>
      </c>
      <c r="L2178" s="169">
        <f>Imput[[#This Row],[Sub total]]+Imput[[#This Row],[IVA]]-Imput[[#This Row],[Retención / IEPS / Descuento]]</f>
        <v>0</v>
      </c>
      <c r="M2178" s="844">
        <v>0</v>
      </c>
      <c r="N2178" s="189"/>
      <c r="O2178" s="1"/>
      <c r="P2178" s="189"/>
      <c r="Q2178" s="190"/>
      <c r="R2178" s="188"/>
      <c r="S2178" s="193"/>
      <c r="T2178" s="192"/>
      <c r="U2178" s="829"/>
      <c r="V2178" s="10"/>
      <c r="W2178" s="10"/>
      <c r="X2178" s="10"/>
      <c r="Y2178" s="10"/>
      <c r="Z2178" s="10"/>
      <c r="AA2178" s="11"/>
      <c r="AB2178" s="11"/>
    </row>
    <row r="2179" spans="2:28" x14ac:dyDescent="0.3">
      <c r="B2179" s="10"/>
      <c r="C2179" s="315"/>
      <c r="D2179" s="868"/>
      <c r="E2179" s="837" t="str">
        <f>IFERROR(IF(_xlfn.XLOOKUP(Imput[[#This Row],[RFC]],'Alta Proveedor'!D:D,'Alta Proveedor'!E:E)=0,"",_xlfn.XLOOKUP(Imput[[#This Row],[RFC]],'Alta Proveedor'!D:D,'Alta Proveedor'!E:E)),"")</f>
        <v/>
      </c>
      <c r="F2179" s="832"/>
      <c r="G2179" s="187"/>
      <c r="H2179" s="1"/>
      <c r="I2179" s="169">
        <f>Imput[[#This Row],[Cantidad]]*Imput[[#This Row],[Precio Unitario]]</f>
        <v>0</v>
      </c>
      <c r="J2179" s="11">
        <f>((Imput[[#This Row],[Sub total]])*(0.16))</f>
        <v>0</v>
      </c>
      <c r="K2179" s="11">
        <v>0</v>
      </c>
      <c r="L2179" s="169">
        <f>Imput[[#This Row],[Sub total]]+Imput[[#This Row],[IVA]]-Imput[[#This Row],[Retención / IEPS / Descuento]]</f>
        <v>0</v>
      </c>
      <c r="M2179" s="844">
        <v>0</v>
      </c>
      <c r="N2179" s="189"/>
      <c r="O2179" s="1"/>
      <c r="P2179" s="189"/>
      <c r="Q2179" s="190"/>
      <c r="R2179" s="188"/>
      <c r="S2179" s="193"/>
      <c r="T2179" s="192"/>
      <c r="U2179" s="829"/>
      <c r="V2179" s="10"/>
      <c r="W2179" s="10"/>
      <c r="X2179" s="10"/>
      <c r="Y2179" s="10"/>
      <c r="Z2179" s="10"/>
      <c r="AA2179" s="11"/>
      <c r="AB2179" s="11"/>
    </row>
    <row r="2180" spans="2:28" x14ac:dyDescent="0.3">
      <c r="B2180" s="10"/>
      <c r="C2180" s="315"/>
      <c r="D2180" s="868"/>
      <c r="E2180" s="837" t="str">
        <f>IFERROR(IF(_xlfn.XLOOKUP(Imput[[#This Row],[RFC]],'Alta Proveedor'!D:D,'Alta Proveedor'!E:E)=0,"",_xlfn.XLOOKUP(Imput[[#This Row],[RFC]],'Alta Proveedor'!D:D,'Alta Proveedor'!E:E)),"")</f>
        <v/>
      </c>
      <c r="F2180" s="832"/>
      <c r="G2180" s="187"/>
      <c r="H2180" s="1"/>
      <c r="I2180" s="169">
        <f>Imput[[#This Row],[Cantidad]]*Imput[[#This Row],[Precio Unitario]]</f>
        <v>0</v>
      </c>
      <c r="J2180" s="11">
        <f>((Imput[[#This Row],[Sub total]])*(0.16))</f>
        <v>0</v>
      </c>
      <c r="K2180" s="11">
        <v>0</v>
      </c>
      <c r="L2180" s="169">
        <f>Imput[[#This Row],[Sub total]]+Imput[[#This Row],[IVA]]-Imput[[#This Row],[Retención / IEPS / Descuento]]</f>
        <v>0</v>
      </c>
      <c r="M2180" s="844">
        <v>0</v>
      </c>
      <c r="N2180" s="189"/>
      <c r="O2180" s="1"/>
      <c r="P2180" s="189"/>
      <c r="Q2180" s="190"/>
      <c r="R2180" s="188"/>
      <c r="S2180" s="193"/>
      <c r="T2180" s="192"/>
      <c r="U2180" s="829"/>
      <c r="V2180" s="10"/>
      <c r="W2180" s="10"/>
      <c r="X2180" s="10"/>
      <c r="Y2180" s="10"/>
      <c r="Z2180" s="10"/>
      <c r="AA2180" s="11"/>
      <c r="AB2180" s="11"/>
    </row>
    <row r="2181" spans="2:28" x14ac:dyDescent="0.3">
      <c r="B2181" s="10"/>
      <c r="C2181" s="315"/>
      <c r="D2181" s="868"/>
      <c r="E2181" s="837" t="str">
        <f>IFERROR(IF(_xlfn.XLOOKUP(Imput[[#This Row],[RFC]],'Alta Proveedor'!D:D,'Alta Proveedor'!E:E)=0,"",_xlfn.XLOOKUP(Imput[[#This Row],[RFC]],'Alta Proveedor'!D:D,'Alta Proveedor'!E:E)),"")</f>
        <v/>
      </c>
      <c r="F2181" s="832"/>
      <c r="G2181" s="187"/>
      <c r="H2181" s="1"/>
      <c r="I2181" s="169">
        <f>Imput[[#This Row],[Cantidad]]*Imput[[#This Row],[Precio Unitario]]</f>
        <v>0</v>
      </c>
      <c r="J2181" s="11">
        <f>((Imput[[#This Row],[Sub total]])*(0.16))</f>
        <v>0</v>
      </c>
      <c r="K2181" s="11">
        <v>0</v>
      </c>
      <c r="L2181" s="169">
        <f>Imput[[#This Row],[Sub total]]+Imput[[#This Row],[IVA]]-Imput[[#This Row],[Retención / IEPS / Descuento]]</f>
        <v>0</v>
      </c>
      <c r="M2181" s="844">
        <v>0</v>
      </c>
      <c r="N2181" s="189"/>
      <c r="O2181" s="1"/>
      <c r="P2181" s="189"/>
      <c r="Q2181" s="190"/>
      <c r="R2181" s="188"/>
      <c r="S2181" s="193"/>
      <c r="T2181" s="192"/>
      <c r="U2181" s="829"/>
      <c r="V2181" s="10"/>
      <c r="W2181" s="10"/>
      <c r="X2181" s="10"/>
      <c r="Y2181" s="10"/>
      <c r="Z2181" s="10"/>
      <c r="AA2181" s="11"/>
      <c r="AB2181" s="11"/>
    </row>
    <row r="2182" spans="2:28" x14ac:dyDescent="0.3">
      <c r="B2182" s="10"/>
      <c r="C2182" s="315"/>
      <c r="D2182" s="868"/>
      <c r="E2182" s="837" t="str">
        <f>IFERROR(IF(_xlfn.XLOOKUP(Imput[[#This Row],[RFC]],'Alta Proveedor'!D:D,'Alta Proveedor'!E:E)=0,"",_xlfn.XLOOKUP(Imput[[#This Row],[RFC]],'Alta Proveedor'!D:D,'Alta Proveedor'!E:E)),"")</f>
        <v/>
      </c>
      <c r="F2182" s="832"/>
      <c r="G2182" s="187"/>
      <c r="H2182" s="1"/>
      <c r="I2182" s="169">
        <f>Imput[[#This Row],[Cantidad]]*Imput[[#This Row],[Precio Unitario]]</f>
        <v>0</v>
      </c>
      <c r="J2182" s="11">
        <f>((Imput[[#This Row],[Sub total]])*(0.16))</f>
        <v>0</v>
      </c>
      <c r="K2182" s="11">
        <v>0</v>
      </c>
      <c r="L2182" s="169">
        <f>Imput[[#This Row],[Sub total]]+Imput[[#This Row],[IVA]]-Imput[[#This Row],[Retención / IEPS / Descuento]]</f>
        <v>0</v>
      </c>
      <c r="M2182" s="844">
        <v>0</v>
      </c>
      <c r="N2182" s="189"/>
      <c r="O2182" s="1"/>
      <c r="P2182" s="189"/>
      <c r="Q2182" s="190"/>
      <c r="R2182" s="188"/>
      <c r="S2182" s="193"/>
      <c r="T2182" s="192"/>
      <c r="U2182" s="829"/>
      <c r="V2182" s="10"/>
      <c r="W2182" s="10"/>
      <c r="X2182" s="10"/>
      <c r="Y2182" s="10"/>
      <c r="Z2182" s="10"/>
      <c r="AA2182" s="11"/>
      <c r="AB2182" s="11"/>
    </row>
    <row r="2183" spans="2:28" x14ac:dyDescent="0.3">
      <c r="B2183" s="10"/>
      <c r="C2183" s="315"/>
      <c r="D2183" s="868"/>
      <c r="E2183" s="837" t="str">
        <f>IFERROR(IF(_xlfn.XLOOKUP(Imput[[#This Row],[RFC]],'Alta Proveedor'!D:D,'Alta Proveedor'!E:E)=0,"",_xlfn.XLOOKUP(Imput[[#This Row],[RFC]],'Alta Proveedor'!D:D,'Alta Proveedor'!E:E)),"")</f>
        <v/>
      </c>
      <c r="F2183" s="832"/>
      <c r="G2183" s="187"/>
      <c r="H2183" s="1"/>
      <c r="I2183" s="169">
        <f>Imput[[#This Row],[Cantidad]]*Imput[[#This Row],[Precio Unitario]]</f>
        <v>0</v>
      </c>
      <c r="J2183" s="11">
        <f>((Imput[[#This Row],[Sub total]])*(0.16))</f>
        <v>0</v>
      </c>
      <c r="K2183" s="11">
        <v>0</v>
      </c>
      <c r="L2183" s="169">
        <f>Imput[[#This Row],[Sub total]]+Imput[[#This Row],[IVA]]-Imput[[#This Row],[Retención / IEPS / Descuento]]</f>
        <v>0</v>
      </c>
      <c r="M2183" s="844">
        <v>0</v>
      </c>
      <c r="N2183" s="189"/>
      <c r="O2183" s="1"/>
      <c r="P2183" s="189"/>
      <c r="Q2183" s="190"/>
      <c r="R2183" s="188"/>
      <c r="S2183" s="193"/>
      <c r="T2183" s="192"/>
      <c r="U2183" s="829"/>
      <c r="V2183" s="10"/>
      <c r="W2183" s="10"/>
      <c r="X2183" s="10"/>
      <c r="Y2183" s="10"/>
      <c r="Z2183" s="10"/>
      <c r="AA2183" s="11"/>
      <c r="AB2183" s="11"/>
    </row>
    <row r="2184" spans="2:28" x14ac:dyDescent="0.3">
      <c r="B2184" s="10"/>
      <c r="C2184" s="315"/>
      <c r="D2184" s="868"/>
      <c r="E2184" s="837" t="str">
        <f>IFERROR(IF(_xlfn.XLOOKUP(Imput[[#This Row],[RFC]],'Alta Proveedor'!D:D,'Alta Proveedor'!E:E)=0,"",_xlfn.XLOOKUP(Imput[[#This Row],[RFC]],'Alta Proveedor'!D:D,'Alta Proveedor'!E:E)),"")</f>
        <v/>
      </c>
      <c r="F2184" s="832"/>
      <c r="G2184" s="187"/>
      <c r="H2184" s="1"/>
      <c r="I2184" s="169">
        <f>Imput[[#This Row],[Cantidad]]*Imput[[#This Row],[Precio Unitario]]</f>
        <v>0</v>
      </c>
      <c r="J2184" s="11">
        <f>((Imput[[#This Row],[Sub total]])*(0.16))</f>
        <v>0</v>
      </c>
      <c r="K2184" s="11">
        <v>0</v>
      </c>
      <c r="L2184" s="169">
        <f>Imput[[#This Row],[Sub total]]+Imput[[#This Row],[IVA]]-Imput[[#This Row],[Retención / IEPS / Descuento]]</f>
        <v>0</v>
      </c>
      <c r="M2184" s="844">
        <v>0</v>
      </c>
      <c r="N2184" s="189"/>
      <c r="O2184" s="1"/>
      <c r="P2184" s="189"/>
      <c r="Q2184" s="190"/>
      <c r="R2184" s="188"/>
      <c r="S2184" s="193"/>
      <c r="T2184" s="192"/>
      <c r="U2184" s="829"/>
      <c r="V2184" s="10"/>
      <c r="W2184" s="10"/>
      <c r="X2184" s="10"/>
      <c r="Y2184" s="10"/>
      <c r="Z2184" s="10"/>
      <c r="AA2184" s="11"/>
      <c r="AB2184" s="11"/>
    </row>
    <row r="2185" spans="2:28" x14ac:dyDescent="0.3">
      <c r="B2185" s="10"/>
      <c r="C2185" s="315"/>
      <c r="D2185" s="868"/>
      <c r="E2185" s="837" t="str">
        <f>IFERROR(IF(_xlfn.XLOOKUP(Imput[[#This Row],[RFC]],'Alta Proveedor'!D:D,'Alta Proveedor'!E:E)=0,"",_xlfn.XLOOKUP(Imput[[#This Row],[RFC]],'Alta Proveedor'!D:D,'Alta Proveedor'!E:E)),"")</f>
        <v/>
      </c>
      <c r="F2185" s="832"/>
      <c r="G2185" s="187"/>
      <c r="H2185" s="1"/>
      <c r="I2185" s="169">
        <f>Imput[[#This Row],[Cantidad]]*Imput[[#This Row],[Precio Unitario]]</f>
        <v>0</v>
      </c>
      <c r="J2185" s="11">
        <f>((Imput[[#This Row],[Sub total]])*(0.16))</f>
        <v>0</v>
      </c>
      <c r="K2185" s="11">
        <v>0</v>
      </c>
      <c r="L2185" s="169">
        <f>Imput[[#This Row],[Sub total]]+Imput[[#This Row],[IVA]]-Imput[[#This Row],[Retención / IEPS / Descuento]]</f>
        <v>0</v>
      </c>
      <c r="M2185" s="844">
        <v>0</v>
      </c>
      <c r="N2185" s="189"/>
      <c r="O2185" s="1"/>
      <c r="P2185" s="189"/>
      <c r="Q2185" s="190"/>
      <c r="R2185" s="188"/>
      <c r="S2185" s="193"/>
      <c r="T2185" s="192"/>
      <c r="U2185" s="829"/>
      <c r="V2185" s="10"/>
      <c r="W2185" s="10"/>
      <c r="X2185" s="10"/>
      <c r="Y2185" s="10"/>
      <c r="Z2185" s="10"/>
      <c r="AA2185" s="11"/>
      <c r="AB2185" s="11"/>
    </row>
    <row r="2186" spans="2:28" x14ac:dyDescent="0.3">
      <c r="B2186" s="10"/>
      <c r="C2186" s="315"/>
      <c r="D2186" s="868"/>
      <c r="E2186" s="837" t="str">
        <f>IFERROR(IF(_xlfn.XLOOKUP(Imput[[#This Row],[RFC]],'Alta Proveedor'!D:D,'Alta Proveedor'!E:E)=0,"",_xlfn.XLOOKUP(Imput[[#This Row],[RFC]],'Alta Proveedor'!D:D,'Alta Proveedor'!E:E)),"")</f>
        <v/>
      </c>
      <c r="F2186" s="832"/>
      <c r="G2186" s="187"/>
      <c r="H2186" s="1"/>
      <c r="I2186" s="169">
        <f>Imput[[#This Row],[Cantidad]]*Imput[[#This Row],[Precio Unitario]]</f>
        <v>0</v>
      </c>
      <c r="J2186" s="11">
        <f>((Imput[[#This Row],[Sub total]])*(0.16))</f>
        <v>0</v>
      </c>
      <c r="K2186" s="11">
        <v>0</v>
      </c>
      <c r="L2186" s="169">
        <f>Imput[[#This Row],[Sub total]]+Imput[[#This Row],[IVA]]-Imput[[#This Row],[Retención / IEPS / Descuento]]</f>
        <v>0</v>
      </c>
      <c r="M2186" s="844">
        <v>0</v>
      </c>
      <c r="N2186" s="189"/>
      <c r="O2186" s="1"/>
      <c r="P2186" s="189"/>
      <c r="Q2186" s="190"/>
      <c r="R2186" s="188"/>
      <c r="S2186" s="193"/>
      <c r="T2186" s="192"/>
      <c r="U2186" s="829"/>
      <c r="V2186" s="10"/>
      <c r="W2186" s="10"/>
      <c r="X2186" s="10"/>
      <c r="Y2186" s="10"/>
      <c r="Z2186" s="10"/>
      <c r="AA2186" s="11"/>
      <c r="AB2186" s="11"/>
    </row>
    <row r="2187" spans="2:28" x14ac:dyDescent="0.3">
      <c r="B2187" s="10"/>
      <c r="C2187" s="315"/>
      <c r="D2187" s="868"/>
      <c r="E2187" s="837" t="str">
        <f>IFERROR(IF(_xlfn.XLOOKUP(Imput[[#This Row],[RFC]],'Alta Proveedor'!D:D,'Alta Proveedor'!E:E)=0,"",_xlfn.XLOOKUP(Imput[[#This Row],[RFC]],'Alta Proveedor'!D:D,'Alta Proveedor'!E:E)),"")</f>
        <v/>
      </c>
      <c r="F2187" s="832"/>
      <c r="G2187" s="187"/>
      <c r="H2187" s="1"/>
      <c r="I2187" s="169">
        <f>Imput[[#This Row],[Cantidad]]*Imput[[#This Row],[Precio Unitario]]</f>
        <v>0</v>
      </c>
      <c r="J2187" s="11">
        <f>((Imput[[#This Row],[Sub total]])*(0.16))</f>
        <v>0</v>
      </c>
      <c r="K2187" s="11">
        <v>0</v>
      </c>
      <c r="L2187" s="169">
        <f>Imput[[#This Row],[Sub total]]+Imput[[#This Row],[IVA]]-Imput[[#This Row],[Retención / IEPS / Descuento]]</f>
        <v>0</v>
      </c>
      <c r="M2187" s="844">
        <v>0</v>
      </c>
      <c r="N2187" s="189"/>
      <c r="O2187" s="1"/>
      <c r="P2187" s="189"/>
      <c r="Q2187" s="190"/>
      <c r="R2187" s="188"/>
      <c r="S2187" s="193"/>
      <c r="T2187" s="192"/>
      <c r="U2187" s="829"/>
      <c r="V2187" s="10"/>
      <c r="W2187" s="10"/>
      <c r="X2187" s="10"/>
      <c r="Y2187" s="10"/>
      <c r="Z2187" s="10"/>
      <c r="AA2187" s="11"/>
      <c r="AB2187" s="11"/>
    </row>
    <row r="2188" spans="2:28" x14ac:dyDescent="0.3">
      <c r="B2188" s="10"/>
      <c r="C2188" s="315"/>
      <c r="D2188" s="868"/>
      <c r="E2188" s="837" t="str">
        <f>IFERROR(IF(_xlfn.XLOOKUP(Imput[[#This Row],[RFC]],'Alta Proveedor'!D:D,'Alta Proveedor'!E:E)=0,"",_xlfn.XLOOKUP(Imput[[#This Row],[RFC]],'Alta Proveedor'!D:D,'Alta Proveedor'!E:E)),"")</f>
        <v/>
      </c>
      <c r="F2188" s="832"/>
      <c r="G2188" s="187"/>
      <c r="H2188" s="1"/>
      <c r="I2188" s="169">
        <f>Imput[[#This Row],[Cantidad]]*Imput[[#This Row],[Precio Unitario]]</f>
        <v>0</v>
      </c>
      <c r="J2188" s="11">
        <f>((Imput[[#This Row],[Sub total]])*(0.16))</f>
        <v>0</v>
      </c>
      <c r="K2188" s="11">
        <v>0</v>
      </c>
      <c r="L2188" s="169">
        <f>Imput[[#This Row],[Sub total]]+Imput[[#This Row],[IVA]]-Imput[[#This Row],[Retención / IEPS / Descuento]]</f>
        <v>0</v>
      </c>
      <c r="M2188" s="844">
        <v>0</v>
      </c>
      <c r="N2188" s="189"/>
      <c r="O2188" s="1"/>
      <c r="P2188" s="189"/>
      <c r="Q2188" s="190"/>
      <c r="R2188" s="188"/>
      <c r="S2188" s="193"/>
      <c r="T2188" s="192"/>
      <c r="U2188" s="829"/>
      <c r="V2188" s="10"/>
      <c r="W2188" s="10"/>
      <c r="X2188" s="10"/>
      <c r="Y2188" s="10"/>
      <c r="Z2188" s="10"/>
      <c r="AA2188" s="11"/>
      <c r="AB2188" s="11"/>
    </row>
    <row r="2189" spans="2:28" x14ac:dyDescent="0.3">
      <c r="B2189" s="10"/>
      <c r="C2189" s="315"/>
      <c r="D2189" s="868"/>
      <c r="E2189" s="837" t="str">
        <f>IFERROR(IF(_xlfn.XLOOKUP(Imput[[#This Row],[RFC]],'Alta Proveedor'!D:D,'Alta Proveedor'!E:E)=0,"",_xlfn.XLOOKUP(Imput[[#This Row],[RFC]],'Alta Proveedor'!D:D,'Alta Proveedor'!E:E)),"")</f>
        <v/>
      </c>
      <c r="F2189" s="832"/>
      <c r="G2189" s="187"/>
      <c r="H2189" s="1"/>
      <c r="I2189" s="169">
        <f>Imput[[#This Row],[Cantidad]]*Imput[[#This Row],[Precio Unitario]]</f>
        <v>0</v>
      </c>
      <c r="J2189" s="11">
        <f>((Imput[[#This Row],[Sub total]])*(0.16))</f>
        <v>0</v>
      </c>
      <c r="K2189" s="11">
        <v>0</v>
      </c>
      <c r="L2189" s="169">
        <f>Imput[[#This Row],[Sub total]]+Imput[[#This Row],[IVA]]-Imput[[#This Row],[Retención / IEPS / Descuento]]</f>
        <v>0</v>
      </c>
      <c r="M2189" s="844">
        <v>0</v>
      </c>
      <c r="N2189" s="189"/>
      <c r="O2189" s="1"/>
      <c r="P2189" s="189"/>
      <c r="Q2189" s="190"/>
      <c r="R2189" s="188"/>
      <c r="S2189" s="193"/>
      <c r="T2189" s="192"/>
      <c r="U2189" s="829"/>
      <c r="V2189" s="10"/>
      <c r="W2189" s="10"/>
      <c r="X2189" s="10"/>
      <c r="Y2189" s="10"/>
      <c r="Z2189" s="10"/>
      <c r="AA2189" s="11"/>
      <c r="AB2189" s="11"/>
    </row>
    <row r="2190" spans="2:28" x14ac:dyDescent="0.3">
      <c r="B2190" s="10"/>
      <c r="C2190" s="315"/>
      <c r="D2190" s="868"/>
      <c r="E2190" s="837" t="str">
        <f>IFERROR(IF(_xlfn.XLOOKUP(Imput[[#This Row],[RFC]],'Alta Proveedor'!D:D,'Alta Proveedor'!E:E)=0,"",_xlfn.XLOOKUP(Imput[[#This Row],[RFC]],'Alta Proveedor'!D:D,'Alta Proveedor'!E:E)),"")</f>
        <v/>
      </c>
      <c r="F2190" s="832"/>
      <c r="G2190" s="187"/>
      <c r="H2190" s="1"/>
      <c r="I2190" s="169">
        <f>Imput[[#This Row],[Cantidad]]*Imput[[#This Row],[Precio Unitario]]</f>
        <v>0</v>
      </c>
      <c r="J2190" s="11">
        <f>((Imput[[#This Row],[Sub total]])*(0.16))</f>
        <v>0</v>
      </c>
      <c r="K2190" s="11">
        <v>0</v>
      </c>
      <c r="L2190" s="169">
        <f>Imput[[#This Row],[Sub total]]+Imput[[#This Row],[IVA]]-Imput[[#This Row],[Retención / IEPS / Descuento]]</f>
        <v>0</v>
      </c>
      <c r="M2190" s="844">
        <v>0</v>
      </c>
      <c r="N2190" s="189"/>
      <c r="O2190" s="1"/>
      <c r="P2190" s="189"/>
      <c r="Q2190" s="190"/>
      <c r="R2190" s="188"/>
      <c r="S2190" s="193"/>
      <c r="T2190" s="192"/>
      <c r="U2190" s="829"/>
      <c r="V2190" s="10"/>
      <c r="W2190" s="10"/>
      <c r="X2190" s="10"/>
      <c r="Y2190" s="10"/>
      <c r="Z2190" s="10"/>
      <c r="AA2190" s="11"/>
      <c r="AB2190" s="11"/>
    </row>
    <row r="2191" spans="2:28" x14ac:dyDescent="0.3">
      <c r="B2191" s="10"/>
      <c r="C2191" s="315"/>
      <c r="D2191" s="868"/>
      <c r="E2191" s="837" t="str">
        <f>IFERROR(IF(_xlfn.XLOOKUP(Imput[[#This Row],[RFC]],'Alta Proveedor'!D:D,'Alta Proveedor'!E:E)=0,"",_xlfn.XLOOKUP(Imput[[#This Row],[RFC]],'Alta Proveedor'!D:D,'Alta Proveedor'!E:E)),"")</f>
        <v/>
      </c>
      <c r="F2191" s="832"/>
      <c r="G2191" s="187"/>
      <c r="H2191" s="1"/>
      <c r="I2191" s="169">
        <f>Imput[[#This Row],[Cantidad]]*Imput[[#This Row],[Precio Unitario]]</f>
        <v>0</v>
      </c>
      <c r="J2191" s="11">
        <f>((Imput[[#This Row],[Sub total]])*(0.16))</f>
        <v>0</v>
      </c>
      <c r="K2191" s="11">
        <v>0</v>
      </c>
      <c r="L2191" s="169">
        <f>Imput[[#This Row],[Sub total]]+Imput[[#This Row],[IVA]]-Imput[[#This Row],[Retención / IEPS / Descuento]]</f>
        <v>0</v>
      </c>
      <c r="M2191" s="844">
        <v>0</v>
      </c>
      <c r="N2191" s="189"/>
      <c r="O2191" s="1"/>
      <c r="P2191" s="189"/>
      <c r="Q2191" s="190"/>
      <c r="R2191" s="188"/>
      <c r="S2191" s="193"/>
      <c r="T2191" s="192"/>
      <c r="U2191" s="829"/>
      <c r="V2191" s="10"/>
      <c r="W2191" s="10"/>
      <c r="X2191" s="10"/>
      <c r="Y2191" s="10"/>
      <c r="Z2191" s="10"/>
      <c r="AA2191" s="11"/>
      <c r="AB2191" s="11"/>
    </row>
    <row r="2192" spans="2:28" x14ac:dyDescent="0.3">
      <c r="B2192" s="10"/>
      <c r="C2192" s="315"/>
      <c r="D2192" s="868"/>
      <c r="E2192" s="837" t="str">
        <f>IFERROR(IF(_xlfn.XLOOKUP(Imput[[#This Row],[RFC]],'Alta Proveedor'!D:D,'Alta Proveedor'!E:E)=0,"",_xlfn.XLOOKUP(Imput[[#This Row],[RFC]],'Alta Proveedor'!D:D,'Alta Proveedor'!E:E)),"")</f>
        <v/>
      </c>
      <c r="F2192" s="832"/>
      <c r="G2192" s="187"/>
      <c r="H2192" s="1"/>
      <c r="I2192" s="169">
        <f>Imput[[#This Row],[Cantidad]]*Imput[[#This Row],[Precio Unitario]]</f>
        <v>0</v>
      </c>
      <c r="J2192" s="11">
        <f>((Imput[[#This Row],[Sub total]])*(0.16))</f>
        <v>0</v>
      </c>
      <c r="K2192" s="11">
        <v>0</v>
      </c>
      <c r="L2192" s="169">
        <f>Imput[[#This Row],[Sub total]]+Imput[[#This Row],[IVA]]-Imput[[#This Row],[Retención / IEPS / Descuento]]</f>
        <v>0</v>
      </c>
      <c r="M2192" s="844">
        <v>0</v>
      </c>
      <c r="N2192" s="189"/>
      <c r="O2192" s="1"/>
      <c r="P2192" s="189"/>
      <c r="Q2192" s="190"/>
      <c r="R2192" s="188"/>
      <c r="S2192" s="193"/>
      <c r="T2192" s="192"/>
      <c r="U2192" s="829"/>
      <c r="V2192" s="10"/>
      <c r="W2192" s="10"/>
      <c r="X2192" s="10"/>
      <c r="Y2192" s="10"/>
      <c r="Z2192" s="10"/>
      <c r="AA2192" s="11"/>
      <c r="AB2192" s="11"/>
    </row>
    <row r="2193" spans="2:28" x14ac:dyDescent="0.3">
      <c r="B2193" s="10"/>
      <c r="C2193" s="315"/>
      <c r="D2193" s="868"/>
      <c r="E2193" s="837" t="str">
        <f>IFERROR(IF(_xlfn.XLOOKUP(Imput[[#This Row],[RFC]],'Alta Proveedor'!D:D,'Alta Proveedor'!E:E)=0,"",_xlfn.XLOOKUP(Imput[[#This Row],[RFC]],'Alta Proveedor'!D:D,'Alta Proveedor'!E:E)),"")</f>
        <v/>
      </c>
      <c r="F2193" s="832"/>
      <c r="G2193" s="187"/>
      <c r="H2193" s="1"/>
      <c r="I2193" s="169">
        <f>Imput[[#This Row],[Cantidad]]*Imput[[#This Row],[Precio Unitario]]</f>
        <v>0</v>
      </c>
      <c r="J2193" s="11">
        <f>((Imput[[#This Row],[Sub total]])*(0.16))</f>
        <v>0</v>
      </c>
      <c r="K2193" s="11">
        <v>0</v>
      </c>
      <c r="L2193" s="169">
        <f>Imput[[#This Row],[Sub total]]+Imput[[#This Row],[IVA]]-Imput[[#This Row],[Retención / IEPS / Descuento]]</f>
        <v>0</v>
      </c>
      <c r="M2193" s="844">
        <v>0</v>
      </c>
      <c r="N2193" s="189"/>
      <c r="O2193" s="1"/>
      <c r="P2193" s="189"/>
      <c r="Q2193" s="190"/>
      <c r="R2193" s="188"/>
      <c r="S2193" s="193"/>
      <c r="T2193" s="192"/>
      <c r="U2193" s="829"/>
      <c r="V2193" s="10"/>
      <c r="W2193" s="10"/>
      <c r="X2193" s="10"/>
      <c r="Y2193" s="10"/>
      <c r="Z2193" s="10"/>
      <c r="AA2193" s="11"/>
      <c r="AB2193" s="11"/>
    </row>
    <row r="2194" spans="2:28" x14ac:dyDescent="0.3">
      <c r="B2194" s="10"/>
      <c r="C2194" s="315"/>
      <c r="D2194" s="868"/>
      <c r="E2194" s="837" t="str">
        <f>IFERROR(IF(_xlfn.XLOOKUP(Imput[[#This Row],[RFC]],'Alta Proveedor'!D:D,'Alta Proveedor'!E:E)=0,"",_xlfn.XLOOKUP(Imput[[#This Row],[RFC]],'Alta Proveedor'!D:D,'Alta Proveedor'!E:E)),"")</f>
        <v/>
      </c>
      <c r="F2194" s="832"/>
      <c r="G2194" s="187"/>
      <c r="H2194" s="1"/>
      <c r="I2194" s="169">
        <f>Imput[[#This Row],[Cantidad]]*Imput[[#This Row],[Precio Unitario]]</f>
        <v>0</v>
      </c>
      <c r="J2194" s="11">
        <f>((Imput[[#This Row],[Sub total]])*(0.16))</f>
        <v>0</v>
      </c>
      <c r="K2194" s="11">
        <v>0</v>
      </c>
      <c r="L2194" s="169">
        <f>Imput[[#This Row],[Sub total]]+Imput[[#This Row],[IVA]]-Imput[[#This Row],[Retención / IEPS / Descuento]]</f>
        <v>0</v>
      </c>
      <c r="M2194" s="844">
        <v>0</v>
      </c>
      <c r="N2194" s="189"/>
      <c r="O2194" s="1"/>
      <c r="P2194" s="189"/>
      <c r="Q2194" s="190"/>
      <c r="R2194" s="188"/>
      <c r="S2194" s="193"/>
      <c r="T2194" s="192"/>
      <c r="U2194" s="829"/>
      <c r="V2194" s="10"/>
      <c r="W2194" s="10"/>
      <c r="X2194" s="10"/>
      <c r="Y2194" s="10"/>
      <c r="Z2194" s="10"/>
      <c r="AA2194" s="11"/>
      <c r="AB2194" s="11"/>
    </row>
    <row r="2195" spans="2:28" x14ac:dyDescent="0.3">
      <c r="B2195" s="10"/>
      <c r="C2195" s="315"/>
      <c r="D2195" s="868"/>
      <c r="E2195" s="837" t="str">
        <f>IFERROR(IF(_xlfn.XLOOKUP(Imput[[#This Row],[RFC]],'Alta Proveedor'!D:D,'Alta Proveedor'!E:E)=0,"",_xlfn.XLOOKUP(Imput[[#This Row],[RFC]],'Alta Proveedor'!D:D,'Alta Proveedor'!E:E)),"")</f>
        <v/>
      </c>
      <c r="F2195" s="832"/>
      <c r="G2195" s="187"/>
      <c r="H2195" s="1"/>
      <c r="I2195" s="169">
        <f>Imput[[#This Row],[Cantidad]]*Imput[[#This Row],[Precio Unitario]]</f>
        <v>0</v>
      </c>
      <c r="J2195" s="11">
        <f>((Imput[[#This Row],[Sub total]])*(0.16))</f>
        <v>0</v>
      </c>
      <c r="K2195" s="11">
        <v>0</v>
      </c>
      <c r="L2195" s="169">
        <f>Imput[[#This Row],[Sub total]]+Imput[[#This Row],[IVA]]-Imput[[#This Row],[Retención / IEPS / Descuento]]</f>
        <v>0</v>
      </c>
      <c r="M2195" s="844">
        <v>0</v>
      </c>
      <c r="N2195" s="189"/>
      <c r="O2195" s="1"/>
      <c r="P2195" s="189"/>
      <c r="Q2195" s="190"/>
      <c r="R2195" s="188"/>
      <c r="S2195" s="193"/>
      <c r="T2195" s="192"/>
      <c r="U2195" s="829"/>
      <c r="V2195" s="10"/>
      <c r="W2195" s="10"/>
      <c r="X2195" s="10"/>
      <c r="Y2195" s="10"/>
      <c r="Z2195" s="10"/>
      <c r="AA2195" s="11"/>
      <c r="AB2195" s="11"/>
    </row>
    <row r="2196" spans="2:28" x14ac:dyDescent="0.3">
      <c r="B2196" s="10"/>
      <c r="C2196" s="315"/>
      <c r="D2196" s="868"/>
      <c r="E2196" s="837" t="str">
        <f>IFERROR(IF(_xlfn.XLOOKUP(Imput[[#This Row],[RFC]],'Alta Proveedor'!D:D,'Alta Proveedor'!E:E)=0,"",_xlfn.XLOOKUP(Imput[[#This Row],[RFC]],'Alta Proveedor'!D:D,'Alta Proveedor'!E:E)),"")</f>
        <v/>
      </c>
      <c r="F2196" s="832"/>
      <c r="G2196" s="187"/>
      <c r="H2196" s="1"/>
      <c r="I2196" s="169">
        <f>Imput[[#This Row],[Cantidad]]*Imput[[#This Row],[Precio Unitario]]</f>
        <v>0</v>
      </c>
      <c r="J2196" s="11">
        <f>((Imput[[#This Row],[Sub total]])*(0.16))</f>
        <v>0</v>
      </c>
      <c r="K2196" s="11">
        <v>0</v>
      </c>
      <c r="L2196" s="169">
        <f>Imput[[#This Row],[Sub total]]+Imput[[#This Row],[IVA]]-Imput[[#This Row],[Retención / IEPS / Descuento]]</f>
        <v>0</v>
      </c>
      <c r="M2196" s="844">
        <v>0</v>
      </c>
      <c r="N2196" s="189"/>
      <c r="O2196" s="1"/>
      <c r="P2196" s="189"/>
      <c r="Q2196" s="190"/>
      <c r="R2196" s="188"/>
      <c r="S2196" s="193"/>
      <c r="T2196" s="192"/>
      <c r="U2196" s="829"/>
      <c r="V2196" s="10"/>
      <c r="W2196" s="10"/>
      <c r="X2196" s="10"/>
      <c r="Y2196" s="10"/>
      <c r="Z2196" s="10"/>
      <c r="AA2196" s="11"/>
      <c r="AB2196" s="11"/>
    </row>
    <row r="2197" spans="2:28" x14ac:dyDescent="0.3">
      <c r="B2197" s="10"/>
      <c r="C2197" s="315"/>
      <c r="D2197" s="868"/>
      <c r="E2197" s="837" t="str">
        <f>IFERROR(IF(_xlfn.XLOOKUP(Imput[[#This Row],[RFC]],'Alta Proveedor'!D:D,'Alta Proveedor'!E:E)=0,"",_xlfn.XLOOKUP(Imput[[#This Row],[RFC]],'Alta Proveedor'!D:D,'Alta Proveedor'!E:E)),"")</f>
        <v/>
      </c>
      <c r="F2197" s="832"/>
      <c r="G2197" s="187"/>
      <c r="H2197" s="1"/>
      <c r="I2197" s="169">
        <f>Imput[[#This Row],[Cantidad]]*Imput[[#This Row],[Precio Unitario]]</f>
        <v>0</v>
      </c>
      <c r="J2197" s="11">
        <f>((Imput[[#This Row],[Sub total]])*(0.16))</f>
        <v>0</v>
      </c>
      <c r="K2197" s="11">
        <v>0</v>
      </c>
      <c r="L2197" s="169">
        <f>Imput[[#This Row],[Sub total]]+Imput[[#This Row],[IVA]]-Imput[[#This Row],[Retención / IEPS / Descuento]]</f>
        <v>0</v>
      </c>
      <c r="M2197" s="844">
        <v>0</v>
      </c>
      <c r="N2197" s="189"/>
      <c r="O2197" s="1"/>
      <c r="P2197" s="189"/>
      <c r="Q2197" s="190"/>
      <c r="R2197" s="188"/>
      <c r="S2197" s="193"/>
      <c r="T2197" s="192"/>
      <c r="U2197" s="829"/>
      <c r="V2197" s="10"/>
      <c r="W2197" s="10"/>
      <c r="X2197" s="10"/>
      <c r="Y2197" s="10"/>
      <c r="Z2197" s="10"/>
      <c r="AA2197" s="11"/>
      <c r="AB2197" s="11"/>
    </row>
    <row r="2198" spans="2:28" x14ac:dyDescent="0.3">
      <c r="B2198" s="10"/>
      <c r="C2198" s="315"/>
      <c r="D2198" s="868"/>
      <c r="E2198" s="837" t="str">
        <f>IFERROR(IF(_xlfn.XLOOKUP(Imput[[#This Row],[RFC]],'Alta Proveedor'!D:D,'Alta Proveedor'!E:E)=0,"",_xlfn.XLOOKUP(Imput[[#This Row],[RFC]],'Alta Proveedor'!D:D,'Alta Proveedor'!E:E)),"")</f>
        <v/>
      </c>
      <c r="F2198" s="832"/>
      <c r="G2198" s="187"/>
      <c r="H2198" s="1"/>
      <c r="I2198" s="169">
        <f>Imput[[#This Row],[Cantidad]]*Imput[[#This Row],[Precio Unitario]]</f>
        <v>0</v>
      </c>
      <c r="J2198" s="11">
        <f>((Imput[[#This Row],[Sub total]])*(0.16))</f>
        <v>0</v>
      </c>
      <c r="K2198" s="11">
        <v>0</v>
      </c>
      <c r="L2198" s="169">
        <f>Imput[[#This Row],[Sub total]]+Imput[[#This Row],[IVA]]-Imput[[#This Row],[Retención / IEPS / Descuento]]</f>
        <v>0</v>
      </c>
      <c r="M2198" s="844">
        <v>0</v>
      </c>
      <c r="N2198" s="189"/>
      <c r="O2198" s="1"/>
      <c r="P2198" s="189"/>
      <c r="Q2198" s="190"/>
      <c r="R2198" s="188"/>
      <c r="S2198" s="193"/>
      <c r="T2198" s="192"/>
      <c r="U2198" s="829"/>
      <c r="V2198" s="10"/>
      <c r="W2198" s="10"/>
      <c r="X2198" s="10"/>
      <c r="Y2198" s="10"/>
      <c r="Z2198" s="10"/>
      <c r="AA2198" s="11"/>
      <c r="AB2198" s="11"/>
    </row>
    <row r="2199" spans="2:28" x14ac:dyDescent="0.3">
      <c r="B2199" s="10"/>
      <c r="C2199" s="315"/>
      <c r="D2199" s="868"/>
      <c r="E2199" s="837" t="str">
        <f>IFERROR(IF(_xlfn.XLOOKUP(Imput[[#This Row],[RFC]],'Alta Proveedor'!D:D,'Alta Proveedor'!E:E)=0,"",_xlfn.XLOOKUP(Imput[[#This Row],[RFC]],'Alta Proveedor'!D:D,'Alta Proveedor'!E:E)),"")</f>
        <v/>
      </c>
      <c r="F2199" s="832"/>
      <c r="G2199" s="187"/>
      <c r="H2199" s="1"/>
      <c r="I2199" s="169">
        <f>Imput[[#This Row],[Cantidad]]*Imput[[#This Row],[Precio Unitario]]</f>
        <v>0</v>
      </c>
      <c r="J2199" s="11">
        <f>((Imput[[#This Row],[Sub total]])*(0.16))</f>
        <v>0</v>
      </c>
      <c r="K2199" s="11">
        <v>0</v>
      </c>
      <c r="L2199" s="169">
        <f>Imput[[#This Row],[Sub total]]+Imput[[#This Row],[IVA]]-Imput[[#This Row],[Retención / IEPS / Descuento]]</f>
        <v>0</v>
      </c>
      <c r="M2199" s="844">
        <v>0</v>
      </c>
      <c r="N2199" s="189"/>
      <c r="O2199" s="1"/>
      <c r="P2199" s="189"/>
      <c r="Q2199" s="190"/>
      <c r="R2199" s="188"/>
      <c r="S2199" s="193"/>
      <c r="T2199" s="192"/>
      <c r="U2199" s="829"/>
      <c r="V2199" s="10"/>
      <c r="W2199" s="10"/>
      <c r="X2199" s="10"/>
      <c r="Y2199" s="10"/>
      <c r="Z2199" s="10"/>
      <c r="AA2199" s="11"/>
      <c r="AB2199" s="11"/>
    </row>
    <row r="2200" spans="2:28" x14ac:dyDescent="0.3">
      <c r="B2200" s="10"/>
      <c r="C2200" s="315"/>
      <c r="D2200" s="868"/>
      <c r="E2200" s="837" t="str">
        <f>IFERROR(IF(_xlfn.XLOOKUP(Imput[[#This Row],[RFC]],'Alta Proveedor'!D:D,'Alta Proveedor'!E:E)=0,"",_xlfn.XLOOKUP(Imput[[#This Row],[RFC]],'Alta Proveedor'!D:D,'Alta Proveedor'!E:E)),"")</f>
        <v/>
      </c>
      <c r="F2200" s="832"/>
      <c r="G2200" s="187"/>
      <c r="H2200" s="1"/>
      <c r="I2200" s="169">
        <f>Imput[[#This Row],[Cantidad]]*Imput[[#This Row],[Precio Unitario]]</f>
        <v>0</v>
      </c>
      <c r="J2200" s="11">
        <f>((Imput[[#This Row],[Sub total]])*(0.16))</f>
        <v>0</v>
      </c>
      <c r="K2200" s="11">
        <v>0</v>
      </c>
      <c r="L2200" s="169">
        <f>Imput[[#This Row],[Sub total]]+Imput[[#This Row],[IVA]]-Imput[[#This Row],[Retención / IEPS / Descuento]]</f>
        <v>0</v>
      </c>
      <c r="M2200" s="844">
        <v>0</v>
      </c>
      <c r="N2200" s="189"/>
      <c r="O2200" s="1"/>
      <c r="P2200" s="189"/>
      <c r="Q2200" s="190"/>
      <c r="R2200" s="188"/>
      <c r="S2200" s="193"/>
      <c r="T2200" s="192"/>
      <c r="U2200" s="829"/>
      <c r="V2200" s="10"/>
      <c r="W2200" s="10"/>
      <c r="X2200" s="10"/>
      <c r="Y2200" s="10"/>
      <c r="Z2200" s="10"/>
      <c r="AA2200" s="11"/>
      <c r="AB2200" s="11"/>
    </row>
    <row r="2201" spans="2:28" x14ac:dyDescent="0.3">
      <c r="B2201" s="10"/>
      <c r="C2201" s="315"/>
      <c r="D2201" s="868"/>
      <c r="E2201" s="837" t="str">
        <f>IFERROR(IF(_xlfn.XLOOKUP(Imput[[#This Row],[RFC]],'Alta Proveedor'!D:D,'Alta Proveedor'!E:E)=0,"",_xlfn.XLOOKUP(Imput[[#This Row],[RFC]],'Alta Proveedor'!D:D,'Alta Proveedor'!E:E)),"")</f>
        <v/>
      </c>
      <c r="F2201" s="832"/>
      <c r="G2201" s="187"/>
      <c r="H2201" s="1"/>
      <c r="I2201" s="169">
        <f>Imput[[#This Row],[Cantidad]]*Imput[[#This Row],[Precio Unitario]]</f>
        <v>0</v>
      </c>
      <c r="J2201" s="11">
        <f>((Imput[[#This Row],[Sub total]])*(0.16))</f>
        <v>0</v>
      </c>
      <c r="K2201" s="11">
        <v>0</v>
      </c>
      <c r="L2201" s="169">
        <f>Imput[[#This Row],[Sub total]]+Imput[[#This Row],[IVA]]-Imput[[#This Row],[Retención / IEPS / Descuento]]</f>
        <v>0</v>
      </c>
      <c r="M2201" s="844">
        <v>0</v>
      </c>
      <c r="N2201" s="189"/>
      <c r="O2201" s="1"/>
      <c r="P2201" s="189"/>
      <c r="Q2201" s="190"/>
      <c r="R2201" s="188"/>
      <c r="S2201" s="193"/>
      <c r="T2201" s="192"/>
      <c r="U2201" s="829"/>
      <c r="V2201" s="10"/>
      <c r="W2201" s="10"/>
      <c r="X2201" s="10"/>
      <c r="Y2201" s="10"/>
      <c r="Z2201" s="10"/>
      <c r="AA2201" s="11"/>
      <c r="AB2201" s="11"/>
    </row>
    <row r="2202" spans="2:28" x14ac:dyDescent="0.3">
      <c r="B2202" s="10"/>
      <c r="C2202" s="315"/>
      <c r="D2202" s="868"/>
      <c r="E2202" s="837" t="str">
        <f>IFERROR(IF(_xlfn.XLOOKUP(Imput[[#This Row],[RFC]],'Alta Proveedor'!D:D,'Alta Proveedor'!E:E)=0,"",_xlfn.XLOOKUP(Imput[[#This Row],[RFC]],'Alta Proveedor'!D:D,'Alta Proveedor'!E:E)),"")</f>
        <v/>
      </c>
      <c r="F2202" s="832"/>
      <c r="G2202" s="187"/>
      <c r="H2202" s="1"/>
      <c r="I2202" s="169">
        <f>Imput[[#This Row],[Cantidad]]*Imput[[#This Row],[Precio Unitario]]</f>
        <v>0</v>
      </c>
      <c r="J2202" s="11">
        <f>((Imput[[#This Row],[Sub total]])*(0.16))</f>
        <v>0</v>
      </c>
      <c r="K2202" s="11">
        <v>0</v>
      </c>
      <c r="L2202" s="169">
        <f>Imput[[#This Row],[Sub total]]+Imput[[#This Row],[IVA]]-Imput[[#This Row],[Retención / IEPS / Descuento]]</f>
        <v>0</v>
      </c>
      <c r="M2202" s="844">
        <v>0</v>
      </c>
      <c r="N2202" s="189"/>
      <c r="O2202" s="1"/>
      <c r="P2202" s="189"/>
      <c r="Q2202" s="190"/>
      <c r="R2202" s="188"/>
      <c r="S2202" s="193"/>
      <c r="T2202" s="192"/>
      <c r="U2202" s="829"/>
      <c r="V2202" s="10"/>
      <c r="W2202" s="10"/>
      <c r="X2202" s="10"/>
      <c r="Y2202" s="10"/>
      <c r="Z2202" s="10"/>
      <c r="AA2202" s="11"/>
      <c r="AB2202" s="11"/>
    </row>
    <row r="2203" spans="2:28" x14ac:dyDescent="0.3">
      <c r="B2203" s="10"/>
      <c r="C2203" s="315"/>
      <c r="D2203" s="868"/>
      <c r="E2203" s="837" t="str">
        <f>IFERROR(IF(_xlfn.XLOOKUP(Imput[[#This Row],[RFC]],'Alta Proveedor'!D:D,'Alta Proveedor'!E:E)=0,"",_xlfn.XLOOKUP(Imput[[#This Row],[RFC]],'Alta Proveedor'!D:D,'Alta Proveedor'!E:E)),"")</f>
        <v/>
      </c>
      <c r="F2203" s="832"/>
      <c r="G2203" s="187"/>
      <c r="H2203" s="1"/>
      <c r="I2203" s="169">
        <f>Imput[[#This Row],[Cantidad]]*Imput[[#This Row],[Precio Unitario]]</f>
        <v>0</v>
      </c>
      <c r="J2203" s="11">
        <f>((Imput[[#This Row],[Sub total]])*(0.16))</f>
        <v>0</v>
      </c>
      <c r="K2203" s="11">
        <v>0</v>
      </c>
      <c r="L2203" s="169">
        <f>Imput[[#This Row],[Sub total]]+Imput[[#This Row],[IVA]]-Imput[[#This Row],[Retención / IEPS / Descuento]]</f>
        <v>0</v>
      </c>
      <c r="M2203" s="844">
        <v>0</v>
      </c>
      <c r="N2203" s="189"/>
      <c r="O2203" s="1"/>
      <c r="P2203" s="189"/>
      <c r="Q2203" s="190"/>
      <c r="R2203" s="188"/>
      <c r="S2203" s="193"/>
      <c r="T2203" s="192"/>
      <c r="U2203" s="829"/>
      <c r="V2203" s="10"/>
      <c r="W2203" s="10"/>
      <c r="X2203" s="10"/>
      <c r="Y2203" s="10"/>
      <c r="Z2203" s="10"/>
      <c r="AA2203" s="11"/>
      <c r="AB2203" s="11"/>
    </row>
    <row r="2204" spans="2:28" x14ac:dyDescent="0.3">
      <c r="B2204" s="10"/>
      <c r="C2204" s="315"/>
      <c r="D2204" s="868"/>
      <c r="E2204" s="837" t="str">
        <f>IFERROR(IF(_xlfn.XLOOKUP(Imput[[#This Row],[RFC]],'Alta Proveedor'!D:D,'Alta Proveedor'!E:E)=0,"",_xlfn.XLOOKUP(Imput[[#This Row],[RFC]],'Alta Proveedor'!D:D,'Alta Proveedor'!E:E)),"")</f>
        <v/>
      </c>
      <c r="F2204" s="832"/>
      <c r="G2204" s="187"/>
      <c r="H2204" s="1"/>
      <c r="I2204" s="169">
        <f>Imput[[#This Row],[Cantidad]]*Imput[[#This Row],[Precio Unitario]]</f>
        <v>0</v>
      </c>
      <c r="J2204" s="11">
        <f>((Imput[[#This Row],[Sub total]])*(0.16))</f>
        <v>0</v>
      </c>
      <c r="K2204" s="11">
        <v>0</v>
      </c>
      <c r="L2204" s="169">
        <f>Imput[[#This Row],[Sub total]]+Imput[[#This Row],[IVA]]-Imput[[#This Row],[Retención / IEPS / Descuento]]</f>
        <v>0</v>
      </c>
      <c r="M2204" s="844">
        <v>0</v>
      </c>
      <c r="N2204" s="189"/>
      <c r="O2204" s="1"/>
      <c r="P2204" s="189"/>
      <c r="Q2204" s="190"/>
      <c r="R2204" s="188"/>
      <c r="S2204" s="193"/>
      <c r="T2204" s="192"/>
      <c r="U2204" s="829"/>
      <c r="V2204" s="10"/>
      <c r="W2204" s="10"/>
      <c r="X2204" s="10"/>
      <c r="Y2204" s="10"/>
      <c r="Z2204" s="10"/>
      <c r="AA2204" s="11"/>
      <c r="AB2204" s="11"/>
    </row>
    <row r="2205" spans="2:28" x14ac:dyDescent="0.3">
      <c r="B2205" s="10"/>
      <c r="C2205" s="315"/>
      <c r="D2205" s="868"/>
      <c r="E2205" s="837" t="str">
        <f>IFERROR(IF(_xlfn.XLOOKUP(Imput[[#This Row],[RFC]],'Alta Proveedor'!D:D,'Alta Proveedor'!E:E)=0,"",_xlfn.XLOOKUP(Imput[[#This Row],[RFC]],'Alta Proveedor'!D:D,'Alta Proveedor'!E:E)),"")</f>
        <v/>
      </c>
      <c r="F2205" s="832"/>
      <c r="G2205" s="187"/>
      <c r="H2205" s="1"/>
      <c r="I2205" s="169">
        <f>Imput[[#This Row],[Cantidad]]*Imput[[#This Row],[Precio Unitario]]</f>
        <v>0</v>
      </c>
      <c r="J2205" s="11">
        <f>((Imput[[#This Row],[Sub total]])*(0.16))</f>
        <v>0</v>
      </c>
      <c r="K2205" s="11">
        <v>0</v>
      </c>
      <c r="L2205" s="169">
        <f>Imput[[#This Row],[Sub total]]+Imput[[#This Row],[IVA]]-Imput[[#This Row],[Retención / IEPS / Descuento]]</f>
        <v>0</v>
      </c>
      <c r="M2205" s="844">
        <v>0</v>
      </c>
      <c r="N2205" s="189"/>
      <c r="O2205" s="1"/>
      <c r="P2205" s="189"/>
      <c r="Q2205" s="190"/>
      <c r="R2205" s="188"/>
      <c r="S2205" s="193"/>
      <c r="T2205" s="192"/>
      <c r="U2205" s="829"/>
      <c r="V2205" s="10"/>
      <c r="W2205" s="10"/>
      <c r="X2205" s="10"/>
      <c r="Y2205" s="10"/>
      <c r="Z2205" s="10"/>
      <c r="AA2205" s="11"/>
      <c r="AB2205" s="11"/>
    </row>
    <row r="2206" spans="2:28" x14ac:dyDescent="0.3">
      <c r="B2206" s="10"/>
      <c r="C2206" s="315"/>
      <c r="D2206" s="868"/>
      <c r="E2206" s="837" t="str">
        <f>IFERROR(IF(_xlfn.XLOOKUP(Imput[[#This Row],[RFC]],'Alta Proveedor'!D:D,'Alta Proveedor'!E:E)=0,"",_xlfn.XLOOKUP(Imput[[#This Row],[RFC]],'Alta Proveedor'!D:D,'Alta Proveedor'!E:E)),"")</f>
        <v/>
      </c>
      <c r="F2206" s="832"/>
      <c r="G2206" s="187"/>
      <c r="H2206" s="1"/>
      <c r="I2206" s="169">
        <f>Imput[[#This Row],[Cantidad]]*Imput[[#This Row],[Precio Unitario]]</f>
        <v>0</v>
      </c>
      <c r="J2206" s="11">
        <f>((Imput[[#This Row],[Sub total]])*(0.16))</f>
        <v>0</v>
      </c>
      <c r="K2206" s="11">
        <v>0</v>
      </c>
      <c r="L2206" s="169">
        <f>Imput[[#This Row],[Sub total]]+Imput[[#This Row],[IVA]]-Imput[[#This Row],[Retención / IEPS / Descuento]]</f>
        <v>0</v>
      </c>
      <c r="M2206" s="844">
        <v>0</v>
      </c>
      <c r="N2206" s="189"/>
      <c r="O2206" s="1"/>
      <c r="P2206" s="189"/>
      <c r="Q2206" s="190"/>
      <c r="R2206" s="188"/>
      <c r="S2206" s="193"/>
      <c r="T2206" s="192"/>
      <c r="U2206" s="829"/>
      <c r="V2206" s="10"/>
      <c r="W2206" s="10"/>
      <c r="X2206" s="10"/>
      <c r="Y2206" s="10"/>
      <c r="Z2206" s="10"/>
      <c r="AA2206" s="11"/>
      <c r="AB2206" s="11"/>
    </row>
    <row r="2207" spans="2:28" x14ac:dyDescent="0.3">
      <c r="B2207" s="10"/>
      <c r="C2207" s="315"/>
      <c r="D2207" s="868"/>
      <c r="E2207" s="837" t="str">
        <f>IFERROR(IF(_xlfn.XLOOKUP(Imput[[#This Row],[RFC]],'Alta Proveedor'!D:D,'Alta Proveedor'!E:E)=0,"",_xlfn.XLOOKUP(Imput[[#This Row],[RFC]],'Alta Proveedor'!D:D,'Alta Proveedor'!E:E)),"")</f>
        <v/>
      </c>
      <c r="F2207" s="832"/>
      <c r="G2207" s="187"/>
      <c r="H2207" s="1"/>
      <c r="I2207" s="169">
        <f>Imput[[#This Row],[Cantidad]]*Imput[[#This Row],[Precio Unitario]]</f>
        <v>0</v>
      </c>
      <c r="J2207" s="11">
        <f>((Imput[[#This Row],[Sub total]])*(0.16))</f>
        <v>0</v>
      </c>
      <c r="K2207" s="11">
        <v>0</v>
      </c>
      <c r="L2207" s="169">
        <f>Imput[[#This Row],[Sub total]]+Imput[[#This Row],[IVA]]-Imput[[#This Row],[Retención / IEPS / Descuento]]</f>
        <v>0</v>
      </c>
      <c r="M2207" s="844">
        <v>0</v>
      </c>
      <c r="N2207" s="189"/>
      <c r="O2207" s="1"/>
      <c r="P2207" s="189"/>
      <c r="Q2207" s="190"/>
      <c r="R2207" s="188"/>
      <c r="S2207" s="193"/>
      <c r="T2207" s="192"/>
      <c r="U2207" s="829"/>
      <c r="V2207" s="10"/>
      <c r="W2207" s="10"/>
      <c r="X2207" s="10"/>
      <c r="Y2207" s="10"/>
      <c r="Z2207" s="10"/>
      <c r="AA2207" s="11"/>
      <c r="AB2207" s="11"/>
    </row>
    <row r="2208" spans="2:28" x14ac:dyDescent="0.3">
      <c r="B2208" s="10"/>
      <c r="C2208" s="315"/>
      <c r="D2208" s="868"/>
      <c r="E2208" s="837" t="str">
        <f>IFERROR(IF(_xlfn.XLOOKUP(Imput[[#This Row],[RFC]],'Alta Proveedor'!D:D,'Alta Proveedor'!E:E)=0,"",_xlfn.XLOOKUP(Imput[[#This Row],[RFC]],'Alta Proveedor'!D:D,'Alta Proveedor'!E:E)),"")</f>
        <v/>
      </c>
      <c r="F2208" s="832"/>
      <c r="G2208" s="187"/>
      <c r="H2208" s="1"/>
      <c r="I2208" s="169">
        <f>Imput[[#This Row],[Cantidad]]*Imput[[#This Row],[Precio Unitario]]</f>
        <v>0</v>
      </c>
      <c r="J2208" s="11">
        <f>((Imput[[#This Row],[Sub total]])*(0.16))</f>
        <v>0</v>
      </c>
      <c r="K2208" s="11">
        <v>0</v>
      </c>
      <c r="L2208" s="169">
        <f>Imput[[#This Row],[Sub total]]+Imput[[#This Row],[IVA]]-Imput[[#This Row],[Retención / IEPS / Descuento]]</f>
        <v>0</v>
      </c>
      <c r="M2208" s="844">
        <v>0</v>
      </c>
      <c r="N2208" s="189"/>
      <c r="O2208" s="1"/>
      <c r="P2208" s="189"/>
      <c r="Q2208" s="190"/>
      <c r="R2208" s="188"/>
      <c r="S2208" s="193"/>
      <c r="T2208" s="192"/>
      <c r="U2208" s="829"/>
      <c r="V2208" s="10"/>
      <c r="W2208" s="10"/>
      <c r="X2208" s="10"/>
      <c r="Y2208" s="10"/>
      <c r="Z2208" s="10"/>
      <c r="AA2208" s="11"/>
      <c r="AB2208" s="11"/>
    </row>
    <row r="2209" spans="2:28" x14ac:dyDescent="0.3">
      <c r="B2209" s="10"/>
      <c r="C2209" s="315"/>
      <c r="D2209" s="868"/>
      <c r="E2209" s="837" t="str">
        <f>IFERROR(IF(_xlfn.XLOOKUP(Imput[[#This Row],[RFC]],'Alta Proveedor'!D:D,'Alta Proveedor'!E:E)=0,"",_xlfn.XLOOKUP(Imput[[#This Row],[RFC]],'Alta Proveedor'!D:D,'Alta Proveedor'!E:E)),"")</f>
        <v/>
      </c>
      <c r="F2209" s="832"/>
      <c r="G2209" s="187"/>
      <c r="H2209" s="1"/>
      <c r="I2209" s="169">
        <f>Imput[[#This Row],[Cantidad]]*Imput[[#This Row],[Precio Unitario]]</f>
        <v>0</v>
      </c>
      <c r="J2209" s="11">
        <f>((Imput[[#This Row],[Sub total]])*(0.16))</f>
        <v>0</v>
      </c>
      <c r="K2209" s="11">
        <v>0</v>
      </c>
      <c r="L2209" s="169">
        <f>Imput[[#This Row],[Sub total]]+Imput[[#This Row],[IVA]]-Imput[[#This Row],[Retención / IEPS / Descuento]]</f>
        <v>0</v>
      </c>
      <c r="M2209" s="844">
        <v>0</v>
      </c>
      <c r="N2209" s="189"/>
      <c r="O2209" s="1"/>
      <c r="P2209" s="189"/>
      <c r="Q2209" s="190"/>
      <c r="R2209" s="188"/>
      <c r="S2209" s="193"/>
      <c r="T2209" s="192"/>
      <c r="U2209" s="829"/>
      <c r="V2209" s="10"/>
      <c r="W2209" s="10"/>
      <c r="X2209" s="10"/>
      <c r="Y2209" s="10"/>
      <c r="Z2209" s="10"/>
      <c r="AA2209" s="11"/>
      <c r="AB2209" s="11"/>
    </row>
    <row r="2210" spans="2:28" x14ac:dyDescent="0.3">
      <c r="B2210" s="10"/>
      <c r="C2210" s="315"/>
      <c r="D2210" s="868"/>
      <c r="E2210" s="837" t="str">
        <f>IFERROR(IF(_xlfn.XLOOKUP(Imput[[#This Row],[RFC]],'Alta Proveedor'!D:D,'Alta Proveedor'!E:E)=0,"",_xlfn.XLOOKUP(Imput[[#This Row],[RFC]],'Alta Proveedor'!D:D,'Alta Proveedor'!E:E)),"")</f>
        <v/>
      </c>
      <c r="F2210" s="832"/>
      <c r="G2210" s="187"/>
      <c r="H2210" s="1"/>
      <c r="I2210" s="169">
        <f>Imput[[#This Row],[Cantidad]]*Imput[[#This Row],[Precio Unitario]]</f>
        <v>0</v>
      </c>
      <c r="J2210" s="11">
        <f>((Imput[[#This Row],[Sub total]])*(0.16))</f>
        <v>0</v>
      </c>
      <c r="K2210" s="11">
        <v>0</v>
      </c>
      <c r="L2210" s="169">
        <f>Imput[[#This Row],[Sub total]]+Imput[[#This Row],[IVA]]-Imput[[#This Row],[Retención / IEPS / Descuento]]</f>
        <v>0</v>
      </c>
      <c r="M2210" s="844">
        <v>0</v>
      </c>
      <c r="N2210" s="189"/>
      <c r="O2210" s="1"/>
      <c r="P2210" s="189"/>
      <c r="Q2210" s="190"/>
      <c r="R2210" s="188"/>
      <c r="S2210" s="193"/>
      <c r="T2210" s="192"/>
      <c r="U2210" s="829"/>
      <c r="V2210" s="10"/>
      <c r="W2210" s="10"/>
      <c r="X2210" s="10"/>
      <c r="Y2210" s="10"/>
      <c r="Z2210" s="10"/>
      <c r="AA2210" s="11"/>
      <c r="AB2210" s="11"/>
    </row>
    <row r="2211" spans="2:28" x14ac:dyDescent="0.3">
      <c r="B2211" s="10"/>
      <c r="C2211" s="315"/>
      <c r="D2211" s="868"/>
      <c r="E2211" s="837" t="str">
        <f>IFERROR(IF(_xlfn.XLOOKUP(Imput[[#This Row],[RFC]],'Alta Proveedor'!D:D,'Alta Proveedor'!E:E)=0,"",_xlfn.XLOOKUP(Imput[[#This Row],[RFC]],'Alta Proveedor'!D:D,'Alta Proveedor'!E:E)),"")</f>
        <v/>
      </c>
      <c r="F2211" s="832"/>
      <c r="G2211" s="187"/>
      <c r="H2211" s="1"/>
      <c r="I2211" s="169">
        <f>Imput[[#This Row],[Cantidad]]*Imput[[#This Row],[Precio Unitario]]</f>
        <v>0</v>
      </c>
      <c r="J2211" s="11">
        <f>((Imput[[#This Row],[Sub total]])*(0.16))</f>
        <v>0</v>
      </c>
      <c r="K2211" s="11">
        <v>0</v>
      </c>
      <c r="L2211" s="169">
        <f>Imput[[#This Row],[Sub total]]+Imput[[#This Row],[IVA]]-Imput[[#This Row],[Retención / IEPS / Descuento]]</f>
        <v>0</v>
      </c>
      <c r="M2211" s="844">
        <v>0</v>
      </c>
      <c r="N2211" s="189"/>
      <c r="O2211" s="1"/>
      <c r="P2211" s="189"/>
      <c r="Q2211" s="190"/>
      <c r="R2211" s="188"/>
      <c r="S2211" s="193"/>
      <c r="T2211" s="192"/>
      <c r="U2211" s="829"/>
      <c r="V2211" s="10"/>
      <c r="W2211" s="10"/>
      <c r="X2211" s="10"/>
      <c r="Y2211" s="10"/>
      <c r="Z2211" s="10"/>
      <c r="AA2211" s="11"/>
      <c r="AB2211" s="11"/>
    </row>
    <row r="2212" spans="2:28" x14ac:dyDescent="0.3">
      <c r="B2212" s="10"/>
      <c r="C2212" s="315"/>
      <c r="D2212" s="868"/>
      <c r="E2212" s="837" t="str">
        <f>IFERROR(IF(_xlfn.XLOOKUP(Imput[[#This Row],[RFC]],'Alta Proveedor'!D:D,'Alta Proveedor'!E:E)=0,"",_xlfn.XLOOKUP(Imput[[#This Row],[RFC]],'Alta Proveedor'!D:D,'Alta Proveedor'!E:E)),"")</f>
        <v/>
      </c>
      <c r="F2212" s="832"/>
      <c r="G2212" s="187"/>
      <c r="H2212" s="1"/>
      <c r="I2212" s="169">
        <f>Imput[[#This Row],[Cantidad]]*Imput[[#This Row],[Precio Unitario]]</f>
        <v>0</v>
      </c>
      <c r="J2212" s="11">
        <f>((Imput[[#This Row],[Sub total]])*(0.16))</f>
        <v>0</v>
      </c>
      <c r="K2212" s="11">
        <v>0</v>
      </c>
      <c r="L2212" s="169">
        <f>Imput[[#This Row],[Sub total]]+Imput[[#This Row],[IVA]]-Imput[[#This Row],[Retención / IEPS / Descuento]]</f>
        <v>0</v>
      </c>
      <c r="M2212" s="844">
        <v>0</v>
      </c>
      <c r="N2212" s="189"/>
      <c r="O2212" s="1"/>
      <c r="P2212" s="189"/>
      <c r="Q2212" s="190"/>
      <c r="R2212" s="188"/>
      <c r="S2212" s="193"/>
      <c r="T2212" s="192"/>
      <c r="U2212" s="829"/>
      <c r="V2212" s="10"/>
      <c r="W2212" s="10"/>
      <c r="X2212" s="10"/>
      <c r="Y2212" s="10"/>
      <c r="Z2212" s="10"/>
      <c r="AA2212" s="11"/>
      <c r="AB2212" s="11"/>
    </row>
    <row r="2213" spans="2:28" x14ac:dyDescent="0.3">
      <c r="B2213" s="10"/>
      <c r="C2213" s="315"/>
      <c r="D2213" s="868"/>
      <c r="E2213" s="837" t="str">
        <f>IFERROR(IF(_xlfn.XLOOKUP(Imput[[#This Row],[RFC]],'Alta Proveedor'!D:D,'Alta Proveedor'!E:E)=0,"",_xlfn.XLOOKUP(Imput[[#This Row],[RFC]],'Alta Proveedor'!D:D,'Alta Proveedor'!E:E)),"")</f>
        <v/>
      </c>
      <c r="F2213" s="832"/>
      <c r="G2213" s="187"/>
      <c r="H2213" s="1"/>
      <c r="I2213" s="169">
        <f>Imput[[#This Row],[Cantidad]]*Imput[[#This Row],[Precio Unitario]]</f>
        <v>0</v>
      </c>
      <c r="J2213" s="11">
        <f>((Imput[[#This Row],[Sub total]])*(0.16))</f>
        <v>0</v>
      </c>
      <c r="K2213" s="11">
        <v>0</v>
      </c>
      <c r="L2213" s="169">
        <f>Imput[[#This Row],[Sub total]]+Imput[[#This Row],[IVA]]-Imput[[#This Row],[Retención / IEPS / Descuento]]</f>
        <v>0</v>
      </c>
      <c r="M2213" s="844">
        <v>0</v>
      </c>
      <c r="N2213" s="189"/>
      <c r="O2213" s="1"/>
      <c r="P2213" s="189"/>
      <c r="Q2213" s="190"/>
      <c r="R2213" s="188"/>
      <c r="S2213" s="193"/>
      <c r="T2213" s="192"/>
      <c r="U2213" s="829"/>
      <c r="V2213" s="10"/>
      <c r="W2213" s="10"/>
      <c r="X2213" s="10"/>
      <c r="Y2213" s="10"/>
      <c r="Z2213" s="10"/>
      <c r="AA2213" s="11"/>
      <c r="AB2213" s="11"/>
    </row>
    <row r="2214" spans="2:28" x14ac:dyDescent="0.3">
      <c r="B2214" s="10"/>
      <c r="C2214" s="315"/>
      <c r="D2214" s="868"/>
      <c r="E2214" s="837" t="str">
        <f>IFERROR(IF(_xlfn.XLOOKUP(Imput[[#This Row],[RFC]],'Alta Proveedor'!D:D,'Alta Proveedor'!E:E)=0,"",_xlfn.XLOOKUP(Imput[[#This Row],[RFC]],'Alta Proveedor'!D:D,'Alta Proveedor'!E:E)),"")</f>
        <v/>
      </c>
      <c r="F2214" s="832"/>
      <c r="G2214" s="187"/>
      <c r="H2214" s="1"/>
      <c r="I2214" s="169">
        <f>Imput[[#This Row],[Cantidad]]*Imput[[#This Row],[Precio Unitario]]</f>
        <v>0</v>
      </c>
      <c r="J2214" s="11">
        <f>((Imput[[#This Row],[Sub total]])*(0.16))</f>
        <v>0</v>
      </c>
      <c r="K2214" s="11">
        <v>0</v>
      </c>
      <c r="L2214" s="169">
        <f>Imput[[#This Row],[Sub total]]+Imput[[#This Row],[IVA]]-Imput[[#This Row],[Retención / IEPS / Descuento]]</f>
        <v>0</v>
      </c>
      <c r="M2214" s="844">
        <v>0</v>
      </c>
      <c r="N2214" s="189"/>
      <c r="O2214" s="1"/>
      <c r="P2214" s="189"/>
      <c r="Q2214" s="190"/>
      <c r="R2214" s="188"/>
      <c r="S2214" s="193"/>
      <c r="T2214" s="192"/>
      <c r="U2214" s="829"/>
      <c r="V2214" s="10"/>
      <c r="W2214" s="10"/>
      <c r="X2214" s="10"/>
      <c r="Y2214" s="10"/>
      <c r="Z2214" s="10"/>
      <c r="AA2214" s="11"/>
      <c r="AB2214" s="11"/>
    </row>
    <row r="2215" spans="2:28" x14ac:dyDescent="0.3">
      <c r="B2215" s="10"/>
      <c r="C2215" s="315"/>
      <c r="D2215" s="868"/>
      <c r="E2215" s="837" t="str">
        <f>IFERROR(IF(_xlfn.XLOOKUP(Imput[[#This Row],[RFC]],'Alta Proveedor'!D:D,'Alta Proveedor'!E:E)=0,"",_xlfn.XLOOKUP(Imput[[#This Row],[RFC]],'Alta Proveedor'!D:D,'Alta Proveedor'!E:E)),"")</f>
        <v/>
      </c>
      <c r="F2215" s="832"/>
      <c r="G2215" s="187"/>
      <c r="H2215" s="1"/>
      <c r="I2215" s="169">
        <f>Imput[[#This Row],[Cantidad]]*Imput[[#This Row],[Precio Unitario]]</f>
        <v>0</v>
      </c>
      <c r="J2215" s="11">
        <f>((Imput[[#This Row],[Sub total]])*(0.16))</f>
        <v>0</v>
      </c>
      <c r="K2215" s="11">
        <v>0</v>
      </c>
      <c r="L2215" s="169">
        <f>Imput[[#This Row],[Sub total]]+Imput[[#This Row],[IVA]]-Imput[[#This Row],[Retención / IEPS / Descuento]]</f>
        <v>0</v>
      </c>
      <c r="M2215" s="844">
        <v>0</v>
      </c>
      <c r="N2215" s="189"/>
      <c r="O2215" s="1"/>
      <c r="P2215" s="189"/>
      <c r="Q2215" s="190"/>
      <c r="R2215" s="188"/>
      <c r="S2215" s="193"/>
      <c r="T2215" s="192"/>
      <c r="U2215" s="829"/>
      <c r="V2215" s="10"/>
      <c r="W2215" s="10"/>
      <c r="X2215" s="10"/>
      <c r="Y2215" s="10"/>
      <c r="Z2215" s="10"/>
      <c r="AA2215" s="11"/>
      <c r="AB2215" s="11"/>
    </row>
    <row r="2216" spans="2:28" x14ac:dyDescent="0.3">
      <c r="B2216" s="10"/>
      <c r="C2216" s="315"/>
      <c r="D2216" s="868"/>
      <c r="E2216" s="837" t="str">
        <f>IFERROR(IF(_xlfn.XLOOKUP(Imput[[#This Row],[RFC]],'Alta Proveedor'!D:D,'Alta Proveedor'!E:E)=0,"",_xlfn.XLOOKUP(Imput[[#This Row],[RFC]],'Alta Proveedor'!D:D,'Alta Proveedor'!E:E)),"")</f>
        <v/>
      </c>
      <c r="F2216" s="832"/>
      <c r="G2216" s="187"/>
      <c r="H2216" s="1"/>
      <c r="I2216" s="169">
        <f>Imput[[#This Row],[Cantidad]]*Imput[[#This Row],[Precio Unitario]]</f>
        <v>0</v>
      </c>
      <c r="J2216" s="11">
        <f>((Imput[[#This Row],[Sub total]])*(0.16))</f>
        <v>0</v>
      </c>
      <c r="K2216" s="11">
        <v>0</v>
      </c>
      <c r="L2216" s="169">
        <f>Imput[[#This Row],[Sub total]]+Imput[[#This Row],[IVA]]-Imput[[#This Row],[Retención / IEPS / Descuento]]</f>
        <v>0</v>
      </c>
      <c r="M2216" s="844">
        <v>0</v>
      </c>
      <c r="N2216" s="189"/>
      <c r="O2216" s="1"/>
      <c r="P2216" s="189"/>
      <c r="Q2216" s="190"/>
      <c r="R2216" s="188"/>
      <c r="S2216" s="193"/>
      <c r="T2216" s="192"/>
      <c r="U2216" s="829"/>
      <c r="V2216" s="10"/>
      <c r="W2216" s="10"/>
      <c r="X2216" s="10"/>
      <c r="Y2216" s="10"/>
      <c r="Z2216" s="10"/>
      <c r="AA2216" s="11"/>
      <c r="AB2216" s="11"/>
    </row>
    <row r="2217" spans="2:28" x14ac:dyDescent="0.3">
      <c r="B2217" s="10"/>
      <c r="C2217" s="315"/>
      <c r="D2217" s="868"/>
      <c r="E2217" s="837" t="str">
        <f>IFERROR(IF(_xlfn.XLOOKUP(Imput[[#This Row],[RFC]],'Alta Proveedor'!D:D,'Alta Proveedor'!E:E)=0,"",_xlfn.XLOOKUP(Imput[[#This Row],[RFC]],'Alta Proveedor'!D:D,'Alta Proveedor'!E:E)),"")</f>
        <v/>
      </c>
      <c r="F2217" s="832"/>
      <c r="G2217" s="187"/>
      <c r="H2217" s="1"/>
      <c r="I2217" s="169">
        <f>Imput[[#This Row],[Cantidad]]*Imput[[#This Row],[Precio Unitario]]</f>
        <v>0</v>
      </c>
      <c r="J2217" s="11">
        <f>((Imput[[#This Row],[Sub total]])*(0.16))</f>
        <v>0</v>
      </c>
      <c r="K2217" s="11">
        <v>0</v>
      </c>
      <c r="L2217" s="169">
        <f>Imput[[#This Row],[Sub total]]+Imput[[#This Row],[IVA]]-Imput[[#This Row],[Retención / IEPS / Descuento]]</f>
        <v>0</v>
      </c>
      <c r="M2217" s="844">
        <v>0</v>
      </c>
      <c r="N2217" s="189"/>
      <c r="O2217" s="1"/>
      <c r="P2217" s="189"/>
      <c r="Q2217" s="190"/>
      <c r="R2217" s="188"/>
      <c r="S2217" s="193"/>
      <c r="T2217" s="192"/>
      <c r="U2217" s="829"/>
      <c r="V2217" s="10"/>
      <c r="W2217" s="10"/>
      <c r="X2217" s="10"/>
      <c r="Y2217" s="10"/>
      <c r="Z2217" s="10"/>
      <c r="AA2217" s="11"/>
      <c r="AB2217" s="11"/>
    </row>
    <row r="2218" spans="2:28" x14ac:dyDescent="0.3">
      <c r="B2218" s="10"/>
      <c r="C2218" s="315"/>
      <c r="D2218" s="868"/>
      <c r="E2218" s="837" t="str">
        <f>IFERROR(IF(_xlfn.XLOOKUP(Imput[[#This Row],[RFC]],'Alta Proveedor'!D:D,'Alta Proveedor'!E:E)=0,"",_xlfn.XLOOKUP(Imput[[#This Row],[RFC]],'Alta Proveedor'!D:D,'Alta Proveedor'!E:E)),"")</f>
        <v/>
      </c>
      <c r="F2218" s="832"/>
      <c r="G2218" s="187"/>
      <c r="H2218" s="1"/>
      <c r="I2218" s="169">
        <f>Imput[[#This Row],[Cantidad]]*Imput[[#This Row],[Precio Unitario]]</f>
        <v>0</v>
      </c>
      <c r="J2218" s="11">
        <f>((Imput[[#This Row],[Sub total]])*(0.16))</f>
        <v>0</v>
      </c>
      <c r="K2218" s="11">
        <v>0</v>
      </c>
      <c r="L2218" s="169">
        <f>Imput[[#This Row],[Sub total]]+Imput[[#This Row],[IVA]]-Imput[[#This Row],[Retención / IEPS / Descuento]]</f>
        <v>0</v>
      </c>
      <c r="M2218" s="844">
        <v>0</v>
      </c>
      <c r="N2218" s="189"/>
      <c r="O2218" s="1"/>
      <c r="P2218" s="189"/>
      <c r="Q2218" s="190"/>
      <c r="R2218" s="188"/>
      <c r="S2218" s="193"/>
      <c r="T2218" s="192"/>
      <c r="U2218" s="829"/>
      <c r="V2218" s="10"/>
      <c r="W2218" s="10"/>
      <c r="X2218" s="10"/>
      <c r="Y2218" s="10"/>
      <c r="Z2218" s="10"/>
      <c r="AA2218" s="11"/>
      <c r="AB2218" s="11"/>
    </row>
    <row r="2219" spans="2:28" x14ac:dyDescent="0.3">
      <c r="B2219" s="10"/>
      <c r="C2219" s="315"/>
      <c r="D2219" s="868"/>
      <c r="E2219" s="837" t="str">
        <f>IFERROR(IF(_xlfn.XLOOKUP(Imput[[#This Row],[RFC]],'Alta Proveedor'!D:D,'Alta Proveedor'!E:E)=0,"",_xlfn.XLOOKUP(Imput[[#This Row],[RFC]],'Alta Proveedor'!D:D,'Alta Proveedor'!E:E)),"")</f>
        <v/>
      </c>
      <c r="F2219" s="832"/>
      <c r="G2219" s="187"/>
      <c r="H2219" s="1"/>
      <c r="I2219" s="169">
        <f>Imput[[#This Row],[Cantidad]]*Imput[[#This Row],[Precio Unitario]]</f>
        <v>0</v>
      </c>
      <c r="J2219" s="11">
        <f>((Imput[[#This Row],[Sub total]])*(0.16))</f>
        <v>0</v>
      </c>
      <c r="K2219" s="11">
        <v>0</v>
      </c>
      <c r="L2219" s="169">
        <f>Imput[[#This Row],[Sub total]]+Imput[[#This Row],[IVA]]-Imput[[#This Row],[Retención / IEPS / Descuento]]</f>
        <v>0</v>
      </c>
      <c r="M2219" s="844">
        <v>0</v>
      </c>
      <c r="N2219" s="189"/>
      <c r="O2219" s="1"/>
      <c r="P2219" s="189"/>
      <c r="Q2219" s="190"/>
      <c r="R2219" s="188"/>
      <c r="S2219" s="193"/>
      <c r="T2219" s="192"/>
      <c r="U2219" s="829"/>
      <c r="V2219" s="10"/>
      <c r="W2219" s="10"/>
      <c r="X2219" s="10"/>
      <c r="Y2219" s="10"/>
      <c r="Z2219" s="10"/>
      <c r="AA2219" s="11"/>
      <c r="AB2219" s="11"/>
    </row>
    <row r="2220" spans="2:28" x14ac:dyDescent="0.3">
      <c r="B2220" s="10"/>
      <c r="C2220" s="315"/>
      <c r="D2220" s="868"/>
      <c r="E2220" s="837" t="str">
        <f>IFERROR(IF(_xlfn.XLOOKUP(Imput[[#This Row],[RFC]],'Alta Proveedor'!D:D,'Alta Proveedor'!E:E)=0,"",_xlfn.XLOOKUP(Imput[[#This Row],[RFC]],'Alta Proveedor'!D:D,'Alta Proveedor'!E:E)),"")</f>
        <v/>
      </c>
      <c r="F2220" s="832"/>
      <c r="G2220" s="187"/>
      <c r="H2220" s="1"/>
      <c r="I2220" s="169">
        <f>Imput[[#This Row],[Cantidad]]*Imput[[#This Row],[Precio Unitario]]</f>
        <v>0</v>
      </c>
      <c r="J2220" s="11">
        <f>((Imput[[#This Row],[Sub total]])*(0.16))</f>
        <v>0</v>
      </c>
      <c r="K2220" s="11">
        <v>0</v>
      </c>
      <c r="L2220" s="169">
        <f>Imput[[#This Row],[Sub total]]+Imput[[#This Row],[IVA]]-Imput[[#This Row],[Retención / IEPS / Descuento]]</f>
        <v>0</v>
      </c>
      <c r="M2220" s="844">
        <v>0</v>
      </c>
      <c r="N2220" s="189"/>
      <c r="O2220" s="1"/>
      <c r="P2220" s="189"/>
      <c r="Q2220" s="190"/>
      <c r="R2220" s="188"/>
      <c r="S2220" s="193"/>
      <c r="T2220" s="192"/>
      <c r="U2220" s="829"/>
      <c r="V2220" s="10"/>
      <c r="W2220" s="10"/>
      <c r="X2220" s="10"/>
      <c r="Y2220" s="10"/>
      <c r="Z2220" s="10"/>
      <c r="AA2220" s="11"/>
      <c r="AB2220" s="11"/>
    </row>
    <row r="2221" spans="2:28" x14ac:dyDescent="0.3">
      <c r="B2221" s="10"/>
      <c r="C2221" s="315"/>
      <c r="D2221" s="868"/>
      <c r="E2221" s="837" t="str">
        <f>IFERROR(IF(_xlfn.XLOOKUP(Imput[[#This Row],[RFC]],'Alta Proveedor'!D:D,'Alta Proveedor'!E:E)=0,"",_xlfn.XLOOKUP(Imput[[#This Row],[RFC]],'Alta Proveedor'!D:D,'Alta Proveedor'!E:E)),"")</f>
        <v/>
      </c>
      <c r="F2221" s="832"/>
      <c r="G2221" s="187"/>
      <c r="H2221" s="1"/>
      <c r="I2221" s="169">
        <f>Imput[[#This Row],[Cantidad]]*Imput[[#This Row],[Precio Unitario]]</f>
        <v>0</v>
      </c>
      <c r="J2221" s="11">
        <f>((Imput[[#This Row],[Sub total]])*(0.16))</f>
        <v>0</v>
      </c>
      <c r="K2221" s="11">
        <v>0</v>
      </c>
      <c r="L2221" s="169">
        <f>Imput[[#This Row],[Sub total]]+Imput[[#This Row],[IVA]]-Imput[[#This Row],[Retención / IEPS / Descuento]]</f>
        <v>0</v>
      </c>
      <c r="M2221" s="844">
        <v>0</v>
      </c>
      <c r="N2221" s="189"/>
      <c r="O2221" s="1"/>
      <c r="P2221" s="189"/>
      <c r="Q2221" s="190"/>
      <c r="R2221" s="188"/>
      <c r="S2221" s="193"/>
      <c r="T2221" s="192"/>
      <c r="U2221" s="829"/>
      <c r="V2221" s="10"/>
      <c r="W2221" s="10"/>
      <c r="X2221" s="10"/>
      <c r="Y2221" s="10"/>
      <c r="Z2221" s="10"/>
      <c r="AA2221" s="11"/>
      <c r="AB2221" s="11"/>
    </row>
    <row r="2222" spans="2:28" x14ac:dyDescent="0.3">
      <c r="B2222" s="10"/>
      <c r="C2222" s="315"/>
      <c r="D2222" s="868"/>
      <c r="E2222" s="837" t="str">
        <f>IFERROR(IF(_xlfn.XLOOKUP(Imput[[#This Row],[RFC]],'Alta Proveedor'!D:D,'Alta Proveedor'!E:E)=0,"",_xlfn.XLOOKUP(Imput[[#This Row],[RFC]],'Alta Proveedor'!D:D,'Alta Proveedor'!E:E)),"")</f>
        <v/>
      </c>
      <c r="F2222" s="832"/>
      <c r="G2222" s="187"/>
      <c r="H2222" s="1"/>
      <c r="I2222" s="169">
        <f>Imput[[#This Row],[Cantidad]]*Imput[[#This Row],[Precio Unitario]]</f>
        <v>0</v>
      </c>
      <c r="J2222" s="11">
        <f>((Imput[[#This Row],[Sub total]])*(0.16))</f>
        <v>0</v>
      </c>
      <c r="K2222" s="11">
        <v>0</v>
      </c>
      <c r="L2222" s="169">
        <f>Imput[[#This Row],[Sub total]]+Imput[[#This Row],[IVA]]-Imput[[#This Row],[Retención / IEPS / Descuento]]</f>
        <v>0</v>
      </c>
      <c r="M2222" s="844">
        <v>0</v>
      </c>
      <c r="N2222" s="189"/>
      <c r="O2222" s="1"/>
      <c r="P2222" s="189"/>
      <c r="Q2222" s="190"/>
      <c r="R2222" s="188"/>
      <c r="S2222" s="193"/>
      <c r="T2222" s="192"/>
      <c r="U2222" s="829"/>
      <c r="V2222" s="10"/>
      <c r="W2222" s="10"/>
      <c r="X2222" s="10"/>
      <c r="Y2222" s="10"/>
      <c r="Z2222" s="10"/>
      <c r="AA2222" s="11"/>
      <c r="AB2222" s="11"/>
    </row>
    <row r="2223" spans="2:28" x14ac:dyDescent="0.3">
      <c r="B2223" s="10"/>
      <c r="C2223" s="315"/>
      <c r="D2223" s="868"/>
      <c r="E2223" s="837" t="str">
        <f>IFERROR(IF(_xlfn.XLOOKUP(Imput[[#This Row],[RFC]],'Alta Proveedor'!D:D,'Alta Proveedor'!E:E)=0,"",_xlfn.XLOOKUP(Imput[[#This Row],[RFC]],'Alta Proveedor'!D:D,'Alta Proveedor'!E:E)),"")</f>
        <v/>
      </c>
      <c r="F2223" s="832"/>
      <c r="G2223" s="187"/>
      <c r="H2223" s="1"/>
      <c r="I2223" s="169">
        <f>Imput[[#This Row],[Cantidad]]*Imput[[#This Row],[Precio Unitario]]</f>
        <v>0</v>
      </c>
      <c r="J2223" s="11">
        <f>((Imput[[#This Row],[Sub total]])*(0.16))</f>
        <v>0</v>
      </c>
      <c r="K2223" s="11">
        <v>0</v>
      </c>
      <c r="L2223" s="169">
        <f>Imput[[#This Row],[Sub total]]+Imput[[#This Row],[IVA]]-Imput[[#This Row],[Retención / IEPS / Descuento]]</f>
        <v>0</v>
      </c>
      <c r="M2223" s="844">
        <v>0</v>
      </c>
      <c r="N2223" s="189"/>
      <c r="O2223" s="1"/>
      <c r="P2223" s="189"/>
      <c r="Q2223" s="190"/>
      <c r="R2223" s="188"/>
      <c r="S2223" s="193"/>
      <c r="T2223" s="192"/>
      <c r="U2223" s="829"/>
      <c r="V2223" s="10"/>
      <c r="W2223" s="10"/>
      <c r="X2223" s="10"/>
      <c r="Y2223" s="10"/>
      <c r="Z2223" s="10"/>
      <c r="AA2223" s="11"/>
      <c r="AB2223" s="11"/>
    </row>
    <row r="2224" spans="2:28" x14ac:dyDescent="0.3">
      <c r="B2224" s="10"/>
      <c r="C2224" s="315"/>
      <c r="D2224" s="868"/>
      <c r="E2224" s="837" t="str">
        <f>IFERROR(IF(_xlfn.XLOOKUP(Imput[[#This Row],[RFC]],'Alta Proveedor'!D:D,'Alta Proveedor'!E:E)=0,"",_xlfn.XLOOKUP(Imput[[#This Row],[RFC]],'Alta Proveedor'!D:D,'Alta Proveedor'!E:E)),"")</f>
        <v/>
      </c>
      <c r="F2224" s="832"/>
      <c r="G2224" s="187"/>
      <c r="H2224" s="1"/>
      <c r="I2224" s="169">
        <f>Imput[[#This Row],[Cantidad]]*Imput[[#This Row],[Precio Unitario]]</f>
        <v>0</v>
      </c>
      <c r="J2224" s="11">
        <f>((Imput[[#This Row],[Sub total]])*(0.16))</f>
        <v>0</v>
      </c>
      <c r="K2224" s="11">
        <v>0</v>
      </c>
      <c r="L2224" s="169">
        <f>Imput[[#This Row],[Sub total]]+Imput[[#This Row],[IVA]]-Imput[[#This Row],[Retención / IEPS / Descuento]]</f>
        <v>0</v>
      </c>
      <c r="M2224" s="844">
        <v>0</v>
      </c>
      <c r="N2224" s="189"/>
      <c r="O2224" s="1"/>
      <c r="P2224" s="189"/>
      <c r="Q2224" s="190"/>
      <c r="R2224" s="188"/>
      <c r="S2224" s="193"/>
      <c r="T2224" s="192"/>
      <c r="U2224" s="829"/>
      <c r="V2224" s="10"/>
      <c r="W2224" s="10"/>
      <c r="X2224" s="10"/>
      <c r="Y2224" s="10"/>
      <c r="Z2224" s="10"/>
      <c r="AA2224" s="11"/>
      <c r="AB2224" s="11"/>
    </row>
    <row r="2225" spans="2:28" x14ac:dyDescent="0.3">
      <c r="B2225" s="10"/>
      <c r="C2225" s="315"/>
      <c r="D2225" s="868"/>
      <c r="E2225" s="837" t="str">
        <f>IFERROR(IF(_xlfn.XLOOKUP(Imput[[#This Row],[RFC]],'Alta Proveedor'!D:D,'Alta Proveedor'!E:E)=0,"",_xlfn.XLOOKUP(Imput[[#This Row],[RFC]],'Alta Proveedor'!D:D,'Alta Proveedor'!E:E)),"")</f>
        <v/>
      </c>
      <c r="F2225" s="832"/>
      <c r="G2225" s="187"/>
      <c r="H2225" s="1"/>
      <c r="I2225" s="169">
        <f>Imput[[#This Row],[Cantidad]]*Imput[[#This Row],[Precio Unitario]]</f>
        <v>0</v>
      </c>
      <c r="J2225" s="11">
        <f>((Imput[[#This Row],[Sub total]])*(0.16))</f>
        <v>0</v>
      </c>
      <c r="K2225" s="11">
        <v>0</v>
      </c>
      <c r="L2225" s="169">
        <f>Imput[[#This Row],[Sub total]]+Imput[[#This Row],[IVA]]-Imput[[#This Row],[Retención / IEPS / Descuento]]</f>
        <v>0</v>
      </c>
      <c r="M2225" s="844">
        <v>0</v>
      </c>
      <c r="N2225" s="189"/>
      <c r="O2225" s="1"/>
      <c r="P2225" s="189"/>
      <c r="Q2225" s="190"/>
      <c r="R2225" s="188"/>
      <c r="S2225" s="193"/>
      <c r="T2225" s="192"/>
      <c r="U2225" s="829"/>
      <c r="V2225" s="10"/>
      <c r="W2225" s="10"/>
      <c r="X2225" s="10"/>
      <c r="Y2225" s="10"/>
      <c r="Z2225" s="10"/>
      <c r="AA2225" s="11"/>
      <c r="AB2225" s="11"/>
    </row>
    <row r="2226" spans="2:28" x14ac:dyDescent="0.3">
      <c r="B2226" s="10"/>
      <c r="C2226" s="315"/>
      <c r="D2226" s="868"/>
      <c r="E2226" s="837" t="str">
        <f>IFERROR(IF(_xlfn.XLOOKUP(Imput[[#This Row],[RFC]],'Alta Proveedor'!D:D,'Alta Proveedor'!E:E)=0,"",_xlfn.XLOOKUP(Imput[[#This Row],[RFC]],'Alta Proveedor'!D:D,'Alta Proveedor'!E:E)),"")</f>
        <v/>
      </c>
      <c r="F2226" s="832"/>
      <c r="G2226" s="187"/>
      <c r="H2226" s="1"/>
      <c r="I2226" s="169">
        <f>Imput[[#This Row],[Cantidad]]*Imput[[#This Row],[Precio Unitario]]</f>
        <v>0</v>
      </c>
      <c r="J2226" s="11">
        <f>((Imput[[#This Row],[Sub total]])*(0.16))</f>
        <v>0</v>
      </c>
      <c r="K2226" s="11">
        <v>0</v>
      </c>
      <c r="L2226" s="169">
        <f>Imput[[#This Row],[Sub total]]+Imput[[#This Row],[IVA]]-Imput[[#This Row],[Retención / IEPS / Descuento]]</f>
        <v>0</v>
      </c>
      <c r="M2226" s="844">
        <v>0</v>
      </c>
      <c r="N2226" s="189"/>
      <c r="O2226" s="1"/>
      <c r="P2226" s="189"/>
      <c r="Q2226" s="190"/>
      <c r="R2226" s="188"/>
      <c r="S2226" s="193"/>
      <c r="T2226" s="192"/>
      <c r="U2226" s="829"/>
      <c r="V2226" s="10"/>
      <c r="W2226" s="10"/>
      <c r="X2226" s="10"/>
      <c r="Y2226" s="10"/>
      <c r="Z2226" s="10"/>
      <c r="AA2226" s="11"/>
      <c r="AB2226" s="11"/>
    </row>
    <row r="2227" spans="2:28" x14ac:dyDescent="0.3">
      <c r="B2227" s="10"/>
      <c r="C2227" s="315"/>
      <c r="D2227" s="868"/>
      <c r="E2227" s="837" t="str">
        <f>IFERROR(IF(_xlfn.XLOOKUP(Imput[[#This Row],[RFC]],'Alta Proveedor'!D:D,'Alta Proveedor'!E:E)=0,"",_xlfn.XLOOKUP(Imput[[#This Row],[RFC]],'Alta Proveedor'!D:D,'Alta Proveedor'!E:E)),"")</f>
        <v/>
      </c>
      <c r="F2227" s="832"/>
      <c r="G2227" s="187"/>
      <c r="H2227" s="1"/>
      <c r="I2227" s="169">
        <f>Imput[[#This Row],[Cantidad]]*Imput[[#This Row],[Precio Unitario]]</f>
        <v>0</v>
      </c>
      <c r="J2227" s="11">
        <f>((Imput[[#This Row],[Sub total]])*(0.16))</f>
        <v>0</v>
      </c>
      <c r="K2227" s="11">
        <v>0</v>
      </c>
      <c r="L2227" s="169">
        <f>Imput[[#This Row],[Sub total]]+Imput[[#This Row],[IVA]]-Imput[[#This Row],[Retención / IEPS / Descuento]]</f>
        <v>0</v>
      </c>
      <c r="M2227" s="844">
        <v>0</v>
      </c>
      <c r="N2227" s="189"/>
      <c r="O2227" s="1"/>
      <c r="P2227" s="189"/>
      <c r="Q2227" s="190"/>
      <c r="R2227" s="188"/>
      <c r="S2227" s="193"/>
      <c r="T2227" s="192"/>
      <c r="U2227" s="829"/>
      <c r="V2227" s="10"/>
      <c r="W2227" s="10"/>
      <c r="X2227" s="10"/>
      <c r="Y2227" s="10"/>
      <c r="Z2227" s="10"/>
      <c r="AA2227" s="11"/>
      <c r="AB2227" s="11"/>
    </row>
    <row r="2228" spans="2:28" x14ac:dyDescent="0.3">
      <c r="B2228" s="10"/>
      <c r="C2228" s="315"/>
      <c r="D2228" s="868"/>
      <c r="E2228" s="837" t="str">
        <f>IFERROR(IF(_xlfn.XLOOKUP(Imput[[#This Row],[RFC]],'Alta Proveedor'!D:D,'Alta Proveedor'!E:E)=0,"",_xlfn.XLOOKUP(Imput[[#This Row],[RFC]],'Alta Proveedor'!D:D,'Alta Proveedor'!E:E)),"")</f>
        <v/>
      </c>
      <c r="F2228" s="832"/>
      <c r="G2228" s="187"/>
      <c r="H2228" s="1"/>
      <c r="I2228" s="169">
        <f>Imput[[#This Row],[Cantidad]]*Imput[[#This Row],[Precio Unitario]]</f>
        <v>0</v>
      </c>
      <c r="J2228" s="11">
        <f>((Imput[[#This Row],[Sub total]])*(0.16))</f>
        <v>0</v>
      </c>
      <c r="K2228" s="11">
        <v>0</v>
      </c>
      <c r="L2228" s="169">
        <f>Imput[[#This Row],[Sub total]]+Imput[[#This Row],[IVA]]-Imput[[#This Row],[Retención / IEPS / Descuento]]</f>
        <v>0</v>
      </c>
      <c r="M2228" s="844">
        <v>0</v>
      </c>
      <c r="N2228" s="189"/>
      <c r="O2228" s="1"/>
      <c r="P2228" s="189"/>
      <c r="Q2228" s="190"/>
      <c r="R2228" s="188"/>
      <c r="S2228" s="193"/>
      <c r="T2228" s="192"/>
      <c r="U2228" s="829"/>
      <c r="V2228" s="10"/>
      <c r="W2228" s="10"/>
      <c r="X2228" s="10"/>
      <c r="Y2228" s="10"/>
      <c r="Z2228" s="10"/>
      <c r="AA2228" s="11"/>
      <c r="AB2228" s="11"/>
    </row>
    <row r="2229" spans="2:28" x14ac:dyDescent="0.3">
      <c r="B2229" s="10"/>
      <c r="C2229" s="315"/>
      <c r="D2229" s="868"/>
      <c r="E2229" s="837" t="str">
        <f>IFERROR(IF(_xlfn.XLOOKUP(Imput[[#This Row],[RFC]],'Alta Proveedor'!D:D,'Alta Proveedor'!E:E)=0,"",_xlfn.XLOOKUP(Imput[[#This Row],[RFC]],'Alta Proveedor'!D:D,'Alta Proveedor'!E:E)),"")</f>
        <v/>
      </c>
      <c r="F2229" s="832"/>
      <c r="G2229" s="187"/>
      <c r="H2229" s="1"/>
      <c r="I2229" s="169">
        <f>Imput[[#This Row],[Cantidad]]*Imput[[#This Row],[Precio Unitario]]</f>
        <v>0</v>
      </c>
      <c r="J2229" s="11">
        <f>((Imput[[#This Row],[Sub total]])*(0.16))</f>
        <v>0</v>
      </c>
      <c r="K2229" s="11">
        <v>0</v>
      </c>
      <c r="L2229" s="169">
        <f>Imput[[#This Row],[Sub total]]+Imput[[#This Row],[IVA]]-Imput[[#This Row],[Retención / IEPS / Descuento]]</f>
        <v>0</v>
      </c>
      <c r="M2229" s="844">
        <v>0</v>
      </c>
      <c r="N2229" s="189"/>
      <c r="O2229" s="1"/>
      <c r="P2229" s="189"/>
      <c r="Q2229" s="190"/>
      <c r="R2229" s="188"/>
      <c r="S2229" s="193"/>
      <c r="T2229" s="192"/>
      <c r="U2229" s="829"/>
      <c r="V2229" s="10"/>
      <c r="W2229" s="10"/>
      <c r="X2229" s="10"/>
      <c r="Y2229" s="10"/>
      <c r="Z2229" s="10"/>
      <c r="AA2229" s="11"/>
      <c r="AB2229" s="11"/>
    </row>
    <row r="2230" spans="2:28" x14ac:dyDescent="0.3">
      <c r="B2230" s="10"/>
      <c r="C2230" s="315"/>
      <c r="D2230" s="868"/>
      <c r="E2230" s="837" t="str">
        <f>IFERROR(IF(_xlfn.XLOOKUP(Imput[[#This Row],[RFC]],'Alta Proveedor'!D:D,'Alta Proveedor'!E:E)=0,"",_xlfn.XLOOKUP(Imput[[#This Row],[RFC]],'Alta Proveedor'!D:D,'Alta Proveedor'!E:E)),"")</f>
        <v/>
      </c>
      <c r="F2230" s="832"/>
      <c r="G2230" s="187"/>
      <c r="H2230" s="1"/>
      <c r="I2230" s="169">
        <f>Imput[[#This Row],[Cantidad]]*Imput[[#This Row],[Precio Unitario]]</f>
        <v>0</v>
      </c>
      <c r="J2230" s="11">
        <f>((Imput[[#This Row],[Sub total]])*(0.16))</f>
        <v>0</v>
      </c>
      <c r="K2230" s="11">
        <v>0</v>
      </c>
      <c r="L2230" s="169">
        <f>Imput[[#This Row],[Sub total]]+Imput[[#This Row],[IVA]]-Imput[[#This Row],[Retención / IEPS / Descuento]]</f>
        <v>0</v>
      </c>
      <c r="M2230" s="844">
        <v>0</v>
      </c>
      <c r="N2230" s="189"/>
      <c r="O2230" s="1"/>
      <c r="P2230" s="189"/>
      <c r="Q2230" s="190"/>
      <c r="R2230" s="188"/>
      <c r="S2230" s="193"/>
      <c r="T2230" s="192"/>
      <c r="U2230" s="829"/>
      <c r="V2230" s="10"/>
      <c r="W2230" s="10"/>
      <c r="X2230" s="10"/>
      <c r="Y2230" s="10"/>
      <c r="Z2230" s="10"/>
      <c r="AA2230" s="11"/>
      <c r="AB2230" s="11"/>
    </row>
    <row r="2231" spans="2:28" x14ac:dyDescent="0.3">
      <c r="B2231" s="10"/>
      <c r="C2231" s="315"/>
      <c r="D2231" s="868"/>
      <c r="E2231" s="837" t="str">
        <f>IFERROR(IF(_xlfn.XLOOKUP(Imput[[#This Row],[RFC]],'Alta Proveedor'!D:D,'Alta Proveedor'!E:E)=0,"",_xlfn.XLOOKUP(Imput[[#This Row],[RFC]],'Alta Proveedor'!D:D,'Alta Proveedor'!E:E)),"")</f>
        <v/>
      </c>
      <c r="F2231" s="832"/>
      <c r="G2231" s="187"/>
      <c r="H2231" s="1"/>
      <c r="I2231" s="169">
        <f>Imput[[#This Row],[Cantidad]]*Imput[[#This Row],[Precio Unitario]]</f>
        <v>0</v>
      </c>
      <c r="J2231" s="11">
        <f>((Imput[[#This Row],[Sub total]])*(0.16))</f>
        <v>0</v>
      </c>
      <c r="K2231" s="11">
        <v>0</v>
      </c>
      <c r="L2231" s="169">
        <f>Imput[[#This Row],[Sub total]]+Imput[[#This Row],[IVA]]-Imput[[#This Row],[Retención / IEPS / Descuento]]</f>
        <v>0</v>
      </c>
      <c r="M2231" s="844">
        <v>0</v>
      </c>
      <c r="N2231" s="189"/>
      <c r="O2231" s="1"/>
      <c r="P2231" s="189"/>
      <c r="Q2231" s="190"/>
      <c r="R2231" s="188"/>
      <c r="S2231" s="193"/>
      <c r="T2231" s="192"/>
      <c r="U2231" s="829"/>
      <c r="V2231" s="10"/>
      <c r="W2231" s="10"/>
      <c r="X2231" s="10"/>
      <c r="Y2231" s="10"/>
      <c r="Z2231" s="10"/>
      <c r="AA2231" s="11"/>
      <c r="AB2231" s="11"/>
    </row>
    <row r="2232" spans="2:28" x14ac:dyDescent="0.3">
      <c r="B2232" s="10"/>
      <c r="C2232" s="315"/>
      <c r="D2232" s="868"/>
      <c r="E2232" s="837" t="str">
        <f>IFERROR(IF(_xlfn.XLOOKUP(Imput[[#This Row],[RFC]],'Alta Proveedor'!D:D,'Alta Proveedor'!E:E)=0,"",_xlfn.XLOOKUP(Imput[[#This Row],[RFC]],'Alta Proveedor'!D:D,'Alta Proveedor'!E:E)),"")</f>
        <v/>
      </c>
      <c r="F2232" s="832"/>
      <c r="G2232" s="187"/>
      <c r="H2232" s="1"/>
      <c r="I2232" s="169">
        <f>Imput[[#This Row],[Cantidad]]*Imput[[#This Row],[Precio Unitario]]</f>
        <v>0</v>
      </c>
      <c r="J2232" s="11">
        <f>((Imput[[#This Row],[Sub total]])*(0.16))</f>
        <v>0</v>
      </c>
      <c r="K2232" s="11">
        <v>0</v>
      </c>
      <c r="L2232" s="169">
        <f>Imput[[#This Row],[Sub total]]+Imput[[#This Row],[IVA]]-Imput[[#This Row],[Retención / IEPS / Descuento]]</f>
        <v>0</v>
      </c>
      <c r="M2232" s="844">
        <v>0</v>
      </c>
      <c r="N2232" s="189"/>
      <c r="O2232" s="1"/>
      <c r="P2232" s="189"/>
      <c r="Q2232" s="190"/>
      <c r="R2232" s="188"/>
      <c r="S2232" s="193"/>
      <c r="T2232" s="192"/>
      <c r="U2232" s="829"/>
      <c r="V2232" s="10"/>
      <c r="W2232" s="10"/>
      <c r="X2232" s="10"/>
      <c r="Y2232" s="10"/>
      <c r="Z2232" s="10"/>
      <c r="AA2232" s="11"/>
      <c r="AB2232" s="11"/>
    </row>
    <row r="2233" spans="2:28" x14ac:dyDescent="0.3">
      <c r="B2233" s="10"/>
      <c r="C2233" s="315"/>
      <c r="D2233" s="868"/>
      <c r="E2233" s="837" t="str">
        <f>IFERROR(IF(_xlfn.XLOOKUP(Imput[[#This Row],[RFC]],'Alta Proveedor'!D:D,'Alta Proveedor'!E:E)=0,"",_xlfn.XLOOKUP(Imput[[#This Row],[RFC]],'Alta Proveedor'!D:D,'Alta Proveedor'!E:E)),"")</f>
        <v/>
      </c>
      <c r="F2233" s="832"/>
      <c r="G2233" s="187"/>
      <c r="H2233" s="1"/>
      <c r="I2233" s="169">
        <f>Imput[[#This Row],[Cantidad]]*Imput[[#This Row],[Precio Unitario]]</f>
        <v>0</v>
      </c>
      <c r="J2233" s="11">
        <f>((Imput[[#This Row],[Sub total]])*(0.16))</f>
        <v>0</v>
      </c>
      <c r="K2233" s="11">
        <v>0</v>
      </c>
      <c r="L2233" s="169">
        <f>Imput[[#This Row],[Sub total]]+Imput[[#This Row],[IVA]]-Imput[[#This Row],[Retención / IEPS / Descuento]]</f>
        <v>0</v>
      </c>
      <c r="M2233" s="844">
        <v>0</v>
      </c>
      <c r="N2233" s="189"/>
      <c r="O2233" s="1"/>
      <c r="P2233" s="189"/>
      <c r="Q2233" s="190"/>
      <c r="R2233" s="188"/>
      <c r="S2233" s="193"/>
      <c r="T2233" s="192"/>
      <c r="U2233" s="829"/>
      <c r="V2233" s="10"/>
      <c r="W2233" s="10"/>
      <c r="X2233" s="10"/>
      <c r="Y2233" s="10"/>
      <c r="Z2233" s="10"/>
      <c r="AA2233" s="11"/>
      <c r="AB2233" s="11"/>
    </row>
    <row r="2234" spans="2:28" x14ac:dyDescent="0.3">
      <c r="B2234" s="10"/>
      <c r="C2234" s="315"/>
      <c r="D2234" s="868"/>
      <c r="E2234" s="837" t="str">
        <f>IFERROR(IF(_xlfn.XLOOKUP(Imput[[#This Row],[RFC]],'Alta Proveedor'!D:D,'Alta Proveedor'!E:E)=0,"",_xlfn.XLOOKUP(Imput[[#This Row],[RFC]],'Alta Proveedor'!D:D,'Alta Proveedor'!E:E)),"")</f>
        <v/>
      </c>
      <c r="F2234" s="832"/>
      <c r="G2234" s="187"/>
      <c r="H2234" s="1"/>
      <c r="I2234" s="169">
        <f>Imput[[#This Row],[Cantidad]]*Imput[[#This Row],[Precio Unitario]]</f>
        <v>0</v>
      </c>
      <c r="J2234" s="11">
        <f>((Imput[[#This Row],[Sub total]])*(0.16))</f>
        <v>0</v>
      </c>
      <c r="K2234" s="11">
        <v>0</v>
      </c>
      <c r="L2234" s="169">
        <f>Imput[[#This Row],[Sub total]]+Imput[[#This Row],[IVA]]-Imput[[#This Row],[Retención / IEPS / Descuento]]</f>
        <v>0</v>
      </c>
      <c r="M2234" s="844">
        <v>0</v>
      </c>
      <c r="N2234" s="189"/>
      <c r="O2234" s="1"/>
      <c r="P2234" s="189"/>
      <c r="Q2234" s="190"/>
      <c r="R2234" s="188"/>
      <c r="S2234" s="193"/>
      <c r="T2234" s="192"/>
      <c r="U2234" s="829"/>
      <c r="V2234" s="10"/>
      <c r="W2234" s="10"/>
      <c r="X2234" s="10"/>
      <c r="Y2234" s="10"/>
      <c r="Z2234" s="10"/>
      <c r="AA2234" s="11"/>
      <c r="AB2234" s="11"/>
    </row>
    <row r="2235" spans="2:28" x14ac:dyDescent="0.3">
      <c r="B2235" s="10"/>
      <c r="C2235" s="315"/>
      <c r="D2235" s="868"/>
      <c r="E2235" s="837" t="str">
        <f>IFERROR(IF(_xlfn.XLOOKUP(Imput[[#This Row],[RFC]],'Alta Proveedor'!D:D,'Alta Proveedor'!E:E)=0,"",_xlfn.XLOOKUP(Imput[[#This Row],[RFC]],'Alta Proveedor'!D:D,'Alta Proveedor'!E:E)),"")</f>
        <v/>
      </c>
      <c r="F2235" s="832"/>
      <c r="G2235" s="187"/>
      <c r="H2235" s="1"/>
      <c r="I2235" s="169">
        <f>Imput[[#This Row],[Cantidad]]*Imput[[#This Row],[Precio Unitario]]</f>
        <v>0</v>
      </c>
      <c r="J2235" s="11">
        <f>((Imput[[#This Row],[Sub total]])*(0.16))</f>
        <v>0</v>
      </c>
      <c r="K2235" s="11">
        <v>0</v>
      </c>
      <c r="L2235" s="169">
        <f>Imput[[#This Row],[Sub total]]+Imput[[#This Row],[IVA]]-Imput[[#This Row],[Retención / IEPS / Descuento]]</f>
        <v>0</v>
      </c>
      <c r="M2235" s="844">
        <v>0</v>
      </c>
      <c r="N2235" s="189"/>
      <c r="O2235" s="1"/>
      <c r="P2235" s="189"/>
      <c r="Q2235" s="190"/>
      <c r="R2235" s="188"/>
      <c r="S2235" s="193"/>
      <c r="T2235" s="192"/>
      <c r="U2235" s="829"/>
      <c r="V2235" s="10"/>
      <c r="W2235" s="10"/>
      <c r="X2235" s="10"/>
      <c r="Y2235" s="10"/>
      <c r="Z2235" s="10"/>
      <c r="AA2235" s="11"/>
      <c r="AB2235" s="11"/>
    </row>
    <row r="2236" spans="2:28" x14ac:dyDescent="0.3">
      <c r="B2236" s="10"/>
      <c r="C2236" s="315"/>
      <c r="D2236" s="868"/>
      <c r="E2236" s="837" t="str">
        <f>IFERROR(IF(_xlfn.XLOOKUP(Imput[[#This Row],[RFC]],'Alta Proveedor'!D:D,'Alta Proveedor'!E:E)=0,"",_xlfn.XLOOKUP(Imput[[#This Row],[RFC]],'Alta Proveedor'!D:D,'Alta Proveedor'!E:E)),"")</f>
        <v/>
      </c>
      <c r="F2236" s="832"/>
      <c r="G2236" s="187"/>
      <c r="H2236" s="1"/>
      <c r="I2236" s="169">
        <f>Imput[[#This Row],[Cantidad]]*Imput[[#This Row],[Precio Unitario]]</f>
        <v>0</v>
      </c>
      <c r="J2236" s="11">
        <f>((Imput[[#This Row],[Sub total]])*(0.16))</f>
        <v>0</v>
      </c>
      <c r="K2236" s="11">
        <v>0</v>
      </c>
      <c r="L2236" s="169">
        <f>Imput[[#This Row],[Sub total]]+Imput[[#This Row],[IVA]]-Imput[[#This Row],[Retención / IEPS / Descuento]]</f>
        <v>0</v>
      </c>
      <c r="M2236" s="844">
        <v>0</v>
      </c>
      <c r="N2236" s="189"/>
      <c r="O2236" s="1"/>
      <c r="P2236" s="189"/>
      <c r="Q2236" s="190"/>
      <c r="R2236" s="188"/>
      <c r="S2236" s="193"/>
      <c r="T2236" s="192"/>
      <c r="U2236" s="829"/>
      <c r="V2236" s="10"/>
      <c r="W2236" s="10"/>
      <c r="X2236" s="10"/>
      <c r="Y2236" s="10"/>
      <c r="Z2236" s="10"/>
      <c r="AA2236" s="11"/>
      <c r="AB2236" s="11"/>
    </row>
    <row r="2237" spans="2:28" x14ac:dyDescent="0.3">
      <c r="B2237" s="10"/>
      <c r="C2237" s="315"/>
      <c r="D2237" s="868"/>
      <c r="E2237" s="837" t="str">
        <f>IFERROR(IF(_xlfn.XLOOKUP(Imput[[#This Row],[RFC]],'Alta Proveedor'!D:D,'Alta Proveedor'!E:E)=0,"",_xlfn.XLOOKUP(Imput[[#This Row],[RFC]],'Alta Proveedor'!D:D,'Alta Proveedor'!E:E)),"")</f>
        <v/>
      </c>
      <c r="F2237" s="832"/>
      <c r="G2237" s="187"/>
      <c r="H2237" s="1"/>
      <c r="I2237" s="169">
        <f>Imput[[#This Row],[Cantidad]]*Imput[[#This Row],[Precio Unitario]]</f>
        <v>0</v>
      </c>
      <c r="J2237" s="11">
        <f>((Imput[[#This Row],[Sub total]])*(0.16))</f>
        <v>0</v>
      </c>
      <c r="K2237" s="11">
        <v>0</v>
      </c>
      <c r="L2237" s="169">
        <f>Imput[[#This Row],[Sub total]]+Imput[[#This Row],[IVA]]-Imput[[#This Row],[Retención / IEPS / Descuento]]</f>
        <v>0</v>
      </c>
      <c r="M2237" s="844">
        <v>0</v>
      </c>
      <c r="N2237" s="189"/>
      <c r="O2237" s="1"/>
      <c r="P2237" s="189"/>
      <c r="Q2237" s="190"/>
      <c r="R2237" s="188"/>
      <c r="S2237" s="193"/>
      <c r="T2237" s="192"/>
      <c r="U2237" s="829"/>
      <c r="V2237" s="10"/>
      <c r="W2237" s="10"/>
      <c r="X2237" s="10"/>
      <c r="Y2237" s="10"/>
      <c r="Z2237" s="10"/>
      <c r="AA2237" s="11"/>
      <c r="AB2237" s="11"/>
    </row>
    <row r="2238" spans="2:28" x14ac:dyDescent="0.3">
      <c r="B2238" s="10"/>
      <c r="C2238" s="315"/>
      <c r="D2238" s="868"/>
      <c r="E2238" s="837" t="str">
        <f>IFERROR(IF(_xlfn.XLOOKUP(Imput[[#This Row],[RFC]],'Alta Proveedor'!D:D,'Alta Proveedor'!E:E)=0,"",_xlfn.XLOOKUP(Imput[[#This Row],[RFC]],'Alta Proveedor'!D:D,'Alta Proveedor'!E:E)),"")</f>
        <v/>
      </c>
      <c r="F2238" s="832"/>
      <c r="G2238" s="187"/>
      <c r="H2238" s="1"/>
      <c r="I2238" s="169">
        <f>Imput[[#This Row],[Cantidad]]*Imput[[#This Row],[Precio Unitario]]</f>
        <v>0</v>
      </c>
      <c r="J2238" s="11">
        <f>((Imput[[#This Row],[Sub total]])*(0.16))</f>
        <v>0</v>
      </c>
      <c r="K2238" s="11">
        <v>0</v>
      </c>
      <c r="L2238" s="169">
        <f>Imput[[#This Row],[Sub total]]+Imput[[#This Row],[IVA]]-Imput[[#This Row],[Retención / IEPS / Descuento]]</f>
        <v>0</v>
      </c>
      <c r="M2238" s="844">
        <v>0</v>
      </c>
      <c r="N2238" s="189"/>
      <c r="O2238" s="1"/>
      <c r="P2238" s="189"/>
      <c r="Q2238" s="190"/>
      <c r="R2238" s="188"/>
      <c r="S2238" s="193"/>
      <c r="T2238" s="192"/>
      <c r="U2238" s="829"/>
      <c r="V2238" s="10"/>
      <c r="W2238" s="10"/>
      <c r="X2238" s="10"/>
      <c r="Y2238" s="10"/>
      <c r="Z2238" s="10"/>
      <c r="AA2238" s="11"/>
      <c r="AB2238" s="11"/>
    </row>
    <row r="2239" spans="2:28" x14ac:dyDescent="0.3">
      <c r="B2239" s="10"/>
      <c r="C2239" s="315"/>
      <c r="D2239" s="868"/>
      <c r="E2239" s="837" t="str">
        <f>IFERROR(IF(_xlfn.XLOOKUP(Imput[[#This Row],[RFC]],'Alta Proveedor'!D:D,'Alta Proveedor'!E:E)=0,"",_xlfn.XLOOKUP(Imput[[#This Row],[RFC]],'Alta Proveedor'!D:D,'Alta Proveedor'!E:E)),"")</f>
        <v/>
      </c>
      <c r="F2239" s="832"/>
      <c r="G2239" s="187"/>
      <c r="H2239" s="1"/>
      <c r="I2239" s="169">
        <f>Imput[[#This Row],[Cantidad]]*Imput[[#This Row],[Precio Unitario]]</f>
        <v>0</v>
      </c>
      <c r="J2239" s="11">
        <f>((Imput[[#This Row],[Sub total]])*(0.16))</f>
        <v>0</v>
      </c>
      <c r="K2239" s="11">
        <v>0</v>
      </c>
      <c r="L2239" s="169">
        <f>Imput[[#This Row],[Sub total]]+Imput[[#This Row],[IVA]]-Imput[[#This Row],[Retención / IEPS / Descuento]]</f>
        <v>0</v>
      </c>
      <c r="M2239" s="844">
        <v>0</v>
      </c>
      <c r="N2239" s="189"/>
      <c r="O2239" s="1"/>
      <c r="P2239" s="189"/>
      <c r="Q2239" s="190"/>
      <c r="R2239" s="188"/>
      <c r="S2239" s="193"/>
      <c r="T2239" s="192"/>
      <c r="U2239" s="829"/>
      <c r="V2239" s="10"/>
      <c r="W2239" s="10"/>
      <c r="X2239" s="10"/>
      <c r="Y2239" s="10"/>
      <c r="Z2239" s="10"/>
      <c r="AA2239" s="11"/>
      <c r="AB2239" s="11"/>
    </row>
    <row r="2240" spans="2:28" x14ac:dyDescent="0.3">
      <c r="B2240" s="10"/>
      <c r="C2240" s="315"/>
      <c r="D2240" s="868"/>
      <c r="E2240" s="837" t="str">
        <f>IFERROR(IF(_xlfn.XLOOKUP(Imput[[#This Row],[RFC]],'Alta Proveedor'!D:D,'Alta Proveedor'!E:E)=0,"",_xlfn.XLOOKUP(Imput[[#This Row],[RFC]],'Alta Proveedor'!D:D,'Alta Proveedor'!E:E)),"")</f>
        <v/>
      </c>
      <c r="F2240" s="832"/>
      <c r="G2240" s="187"/>
      <c r="H2240" s="1"/>
      <c r="I2240" s="169">
        <f>Imput[[#This Row],[Cantidad]]*Imput[[#This Row],[Precio Unitario]]</f>
        <v>0</v>
      </c>
      <c r="J2240" s="11">
        <f>((Imput[[#This Row],[Sub total]])*(0.16))</f>
        <v>0</v>
      </c>
      <c r="K2240" s="11">
        <v>0</v>
      </c>
      <c r="L2240" s="169">
        <f>Imput[[#This Row],[Sub total]]+Imput[[#This Row],[IVA]]-Imput[[#This Row],[Retención / IEPS / Descuento]]</f>
        <v>0</v>
      </c>
      <c r="M2240" s="844">
        <v>0</v>
      </c>
      <c r="N2240" s="189"/>
      <c r="O2240" s="1"/>
      <c r="P2240" s="189"/>
      <c r="Q2240" s="190"/>
      <c r="R2240" s="188"/>
      <c r="S2240" s="193"/>
      <c r="T2240" s="192"/>
      <c r="U2240" s="829"/>
      <c r="V2240" s="10"/>
      <c r="W2240" s="10"/>
      <c r="X2240" s="10"/>
      <c r="Y2240" s="10"/>
      <c r="Z2240" s="10"/>
      <c r="AA2240" s="11"/>
      <c r="AB2240" s="11"/>
    </row>
    <row r="2241" spans="2:28" x14ac:dyDescent="0.3">
      <c r="B2241" s="10"/>
      <c r="C2241" s="315"/>
      <c r="D2241" s="868"/>
      <c r="E2241" s="837" t="str">
        <f>IFERROR(IF(_xlfn.XLOOKUP(Imput[[#This Row],[RFC]],'Alta Proveedor'!D:D,'Alta Proveedor'!E:E)=0,"",_xlfn.XLOOKUP(Imput[[#This Row],[RFC]],'Alta Proveedor'!D:D,'Alta Proveedor'!E:E)),"")</f>
        <v/>
      </c>
      <c r="F2241" s="832"/>
      <c r="G2241" s="187"/>
      <c r="H2241" s="1"/>
      <c r="I2241" s="169">
        <f>Imput[[#This Row],[Cantidad]]*Imput[[#This Row],[Precio Unitario]]</f>
        <v>0</v>
      </c>
      <c r="J2241" s="11">
        <f>((Imput[[#This Row],[Sub total]])*(0.16))</f>
        <v>0</v>
      </c>
      <c r="K2241" s="11">
        <v>0</v>
      </c>
      <c r="L2241" s="169">
        <f>Imput[[#This Row],[Sub total]]+Imput[[#This Row],[IVA]]-Imput[[#This Row],[Retención / IEPS / Descuento]]</f>
        <v>0</v>
      </c>
      <c r="M2241" s="844">
        <v>0</v>
      </c>
      <c r="N2241" s="189"/>
      <c r="O2241" s="1"/>
      <c r="P2241" s="189"/>
      <c r="Q2241" s="190"/>
      <c r="R2241" s="188"/>
      <c r="S2241" s="193"/>
      <c r="T2241" s="192"/>
      <c r="U2241" s="829"/>
      <c r="V2241" s="10"/>
      <c r="W2241" s="10"/>
      <c r="X2241" s="10"/>
      <c r="Y2241" s="10"/>
      <c r="Z2241" s="10"/>
      <c r="AA2241" s="11"/>
      <c r="AB2241" s="11"/>
    </row>
    <row r="2242" spans="2:28" x14ac:dyDescent="0.3">
      <c r="B2242" s="10"/>
      <c r="C2242" s="315"/>
      <c r="D2242" s="868"/>
      <c r="E2242" s="837" t="str">
        <f>IFERROR(IF(_xlfn.XLOOKUP(Imput[[#This Row],[RFC]],'Alta Proveedor'!D:D,'Alta Proveedor'!E:E)=0,"",_xlfn.XLOOKUP(Imput[[#This Row],[RFC]],'Alta Proveedor'!D:D,'Alta Proveedor'!E:E)),"")</f>
        <v/>
      </c>
      <c r="F2242" s="832"/>
      <c r="G2242" s="187"/>
      <c r="H2242" s="1"/>
      <c r="I2242" s="169">
        <f>Imput[[#This Row],[Cantidad]]*Imput[[#This Row],[Precio Unitario]]</f>
        <v>0</v>
      </c>
      <c r="J2242" s="11">
        <f>((Imput[[#This Row],[Sub total]])*(0.16))</f>
        <v>0</v>
      </c>
      <c r="K2242" s="11">
        <v>0</v>
      </c>
      <c r="L2242" s="169">
        <f>Imput[[#This Row],[Sub total]]+Imput[[#This Row],[IVA]]-Imput[[#This Row],[Retención / IEPS / Descuento]]</f>
        <v>0</v>
      </c>
      <c r="M2242" s="844">
        <v>0</v>
      </c>
      <c r="N2242" s="189"/>
      <c r="O2242" s="1"/>
      <c r="P2242" s="189"/>
      <c r="Q2242" s="190"/>
      <c r="R2242" s="188"/>
      <c r="S2242" s="193"/>
      <c r="T2242" s="192"/>
      <c r="U2242" s="829"/>
      <c r="V2242" s="10"/>
      <c r="W2242" s="10"/>
      <c r="X2242" s="10"/>
      <c r="Y2242" s="10"/>
      <c r="Z2242" s="10"/>
      <c r="AA2242" s="11"/>
      <c r="AB2242" s="11"/>
    </row>
    <row r="2243" spans="2:28" x14ac:dyDescent="0.3">
      <c r="B2243" s="10"/>
      <c r="C2243" s="315"/>
      <c r="D2243" s="868"/>
      <c r="E2243" s="837" t="str">
        <f>IFERROR(IF(_xlfn.XLOOKUP(Imput[[#This Row],[RFC]],'Alta Proveedor'!D:D,'Alta Proveedor'!E:E)=0,"",_xlfn.XLOOKUP(Imput[[#This Row],[RFC]],'Alta Proveedor'!D:D,'Alta Proveedor'!E:E)),"")</f>
        <v/>
      </c>
      <c r="F2243" s="832"/>
      <c r="G2243" s="187"/>
      <c r="H2243" s="1"/>
      <c r="I2243" s="169">
        <f>Imput[[#This Row],[Cantidad]]*Imput[[#This Row],[Precio Unitario]]</f>
        <v>0</v>
      </c>
      <c r="J2243" s="11">
        <f>((Imput[[#This Row],[Sub total]])*(0.16))</f>
        <v>0</v>
      </c>
      <c r="K2243" s="11">
        <v>0</v>
      </c>
      <c r="L2243" s="169">
        <f>Imput[[#This Row],[Sub total]]+Imput[[#This Row],[IVA]]-Imput[[#This Row],[Retención / IEPS / Descuento]]</f>
        <v>0</v>
      </c>
      <c r="M2243" s="844">
        <v>0</v>
      </c>
      <c r="N2243" s="189"/>
      <c r="O2243" s="1"/>
      <c r="P2243" s="189"/>
      <c r="Q2243" s="190"/>
      <c r="R2243" s="188"/>
      <c r="S2243" s="193"/>
      <c r="T2243" s="192"/>
      <c r="U2243" s="829"/>
      <c r="V2243" s="10"/>
      <c r="W2243" s="10"/>
      <c r="X2243" s="10"/>
      <c r="Y2243" s="10"/>
      <c r="Z2243" s="10"/>
      <c r="AA2243" s="11"/>
      <c r="AB2243" s="11"/>
    </row>
    <row r="2244" spans="2:28" x14ac:dyDescent="0.3">
      <c r="B2244" s="10"/>
      <c r="C2244" s="315"/>
      <c r="D2244" s="868"/>
      <c r="E2244" s="837" t="str">
        <f>IFERROR(IF(_xlfn.XLOOKUP(Imput[[#This Row],[RFC]],'Alta Proveedor'!D:D,'Alta Proveedor'!E:E)=0,"",_xlfn.XLOOKUP(Imput[[#This Row],[RFC]],'Alta Proveedor'!D:D,'Alta Proveedor'!E:E)),"")</f>
        <v/>
      </c>
      <c r="F2244" s="832"/>
      <c r="G2244" s="187"/>
      <c r="H2244" s="1"/>
      <c r="I2244" s="169">
        <f>Imput[[#This Row],[Cantidad]]*Imput[[#This Row],[Precio Unitario]]</f>
        <v>0</v>
      </c>
      <c r="J2244" s="11">
        <f>((Imput[[#This Row],[Sub total]])*(0.16))</f>
        <v>0</v>
      </c>
      <c r="K2244" s="11">
        <v>0</v>
      </c>
      <c r="L2244" s="169">
        <f>Imput[[#This Row],[Sub total]]+Imput[[#This Row],[IVA]]-Imput[[#This Row],[Retención / IEPS / Descuento]]</f>
        <v>0</v>
      </c>
      <c r="M2244" s="844">
        <v>0</v>
      </c>
      <c r="N2244" s="189"/>
      <c r="O2244" s="1"/>
      <c r="P2244" s="189"/>
      <c r="Q2244" s="190"/>
      <c r="R2244" s="188"/>
      <c r="S2244" s="193"/>
      <c r="T2244" s="192"/>
      <c r="U2244" s="829"/>
      <c r="V2244" s="10"/>
      <c r="W2244" s="10"/>
      <c r="X2244" s="10"/>
      <c r="Y2244" s="10"/>
      <c r="Z2244" s="10"/>
      <c r="AA2244" s="11"/>
      <c r="AB2244" s="11"/>
    </row>
    <row r="2245" spans="2:28" x14ac:dyDescent="0.3">
      <c r="B2245" s="10"/>
      <c r="C2245" s="315"/>
      <c r="D2245" s="868"/>
      <c r="E2245" s="837" t="str">
        <f>IFERROR(IF(_xlfn.XLOOKUP(Imput[[#This Row],[RFC]],'Alta Proveedor'!D:D,'Alta Proveedor'!E:E)=0,"",_xlfn.XLOOKUP(Imput[[#This Row],[RFC]],'Alta Proveedor'!D:D,'Alta Proveedor'!E:E)),"")</f>
        <v/>
      </c>
      <c r="F2245" s="832"/>
      <c r="G2245" s="187"/>
      <c r="H2245" s="1"/>
      <c r="I2245" s="169">
        <f>Imput[[#This Row],[Cantidad]]*Imput[[#This Row],[Precio Unitario]]</f>
        <v>0</v>
      </c>
      <c r="J2245" s="11">
        <f>((Imput[[#This Row],[Sub total]])*(0.16))</f>
        <v>0</v>
      </c>
      <c r="K2245" s="11">
        <v>0</v>
      </c>
      <c r="L2245" s="169">
        <f>Imput[[#This Row],[Sub total]]+Imput[[#This Row],[IVA]]-Imput[[#This Row],[Retención / IEPS / Descuento]]</f>
        <v>0</v>
      </c>
      <c r="M2245" s="844">
        <v>0</v>
      </c>
      <c r="N2245" s="189"/>
      <c r="O2245" s="1"/>
      <c r="P2245" s="189"/>
      <c r="Q2245" s="190"/>
      <c r="R2245" s="188"/>
      <c r="S2245" s="193"/>
      <c r="T2245" s="192"/>
      <c r="U2245" s="829"/>
      <c r="V2245" s="10"/>
      <c r="W2245" s="10"/>
      <c r="X2245" s="10"/>
      <c r="Y2245" s="10"/>
      <c r="Z2245" s="10"/>
      <c r="AA2245" s="11"/>
      <c r="AB2245" s="11"/>
    </row>
    <row r="2246" spans="2:28" x14ac:dyDescent="0.3">
      <c r="B2246" s="10"/>
      <c r="C2246" s="315"/>
      <c r="D2246" s="868"/>
      <c r="E2246" s="837" t="str">
        <f>IFERROR(IF(_xlfn.XLOOKUP(Imput[[#This Row],[RFC]],'Alta Proveedor'!D:D,'Alta Proveedor'!E:E)=0,"",_xlfn.XLOOKUP(Imput[[#This Row],[RFC]],'Alta Proveedor'!D:D,'Alta Proveedor'!E:E)),"")</f>
        <v/>
      </c>
      <c r="F2246" s="832"/>
      <c r="G2246" s="187"/>
      <c r="H2246" s="1"/>
      <c r="I2246" s="169">
        <f>Imput[[#This Row],[Cantidad]]*Imput[[#This Row],[Precio Unitario]]</f>
        <v>0</v>
      </c>
      <c r="J2246" s="11">
        <f>((Imput[[#This Row],[Sub total]])*(0.16))</f>
        <v>0</v>
      </c>
      <c r="K2246" s="11">
        <v>0</v>
      </c>
      <c r="L2246" s="169">
        <f>Imput[[#This Row],[Sub total]]+Imput[[#This Row],[IVA]]-Imput[[#This Row],[Retención / IEPS / Descuento]]</f>
        <v>0</v>
      </c>
      <c r="M2246" s="844">
        <v>0</v>
      </c>
      <c r="N2246" s="189"/>
      <c r="O2246" s="1"/>
      <c r="P2246" s="189"/>
      <c r="Q2246" s="190"/>
      <c r="R2246" s="188"/>
      <c r="S2246" s="193"/>
      <c r="T2246" s="192"/>
      <c r="U2246" s="829"/>
      <c r="V2246" s="10"/>
      <c r="W2246" s="10"/>
      <c r="X2246" s="10"/>
      <c r="Y2246" s="10"/>
      <c r="Z2246" s="10"/>
      <c r="AA2246" s="11"/>
      <c r="AB2246" s="11"/>
    </row>
    <row r="2247" spans="2:28" x14ac:dyDescent="0.3">
      <c r="B2247" s="10"/>
      <c r="C2247" s="315"/>
      <c r="D2247" s="868"/>
      <c r="E2247" s="837" t="str">
        <f>IFERROR(IF(_xlfn.XLOOKUP(Imput[[#This Row],[RFC]],'Alta Proveedor'!D:D,'Alta Proveedor'!E:E)=0,"",_xlfn.XLOOKUP(Imput[[#This Row],[RFC]],'Alta Proveedor'!D:D,'Alta Proveedor'!E:E)),"")</f>
        <v/>
      </c>
      <c r="F2247" s="832"/>
      <c r="G2247" s="187"/>
      <c r="H2247" s="1"/>
      <c r="I2247" s="169">
        <f>Imput[[#This Row],[Cantidad]]*Imput[[#This Row],[Precio Unitario]]</f>
        <v>0</v>
      </c>
      <c r="J2247" s="11">
        <f>((Imput[[#This Row],[Sub total]])*(0.16))</f>
        <v>0</v>
      </c>
      <c r="K2247" s="11">
        <v>0</v>
      </c>
      <c r="L2247" s="169">
        <f>Imput[[#This Row],[Sub total]]+Imput[[#This Row],[IVA]]-Imput[[#This Row],[Retención / IEPS / Descuento]]</f>
        <v>0</v>
      </c>
      <c r="M2247" s="844">
        <v>0</v>
      </c>
      <c r="N2247" s="189"/>
      <c r="O2247" s="1"/>
      <c r="P2247" s="189"/>
      <c r="Q2247" s="190"/>
      <c r="R2247" s="188"/>
      <c r="S2247" s="193"/>
      <c r="T2247" s="192"/>
      <c r="U2247" s="829"/>
      <c r="V2247" s="10"/>
      <c r="W2247" s="10"/>
      <c r="X2247" s="10"/>
      <c r="Y2247" s="10"/>
      <c r="Z2247" s="10"/>
      <c r="AA2247" s="11"/>
      <c r="AB2247" s="11"/>
    </row>
    <row r="2248" spans="2:28" x14ac:dyDescent="0.3">
      <c r="B2248" s="10"/>
      <c r="C2248" s="315"/>
      <c r="D2248" s="868"/>
      <c r="E2248" s="837" t="str">
        <f>IFERROR(IF(_xlfn.XLOOKUP(Imput[[#This Row],[RFC]],'Alta Proveedor'!D:D,'Alta Proveedor'!E:E)=0,"",_xlfn.XLOOKUP(Imput[[#This Row],[RFC]],'Alta Proveedor'!D:D,'Alta Proveedor'!E:E)),"")</f>
        <v/>
      </c>
      <c r="F2248" s="832"/>
      <c r="G2248" s="187"/>
      <c r="H2248" s="1"/>
      <c r="I2248" s="169">
        <f>Imput[[#This Row],[Cantidad]]*Imput[[#This Row],[Precio Unitario]]</f>
        <v>0</v>
      </c>
      <c r="J2248" s="11">
        <f>((Imput[[#This Row],[Sub total]])*(0.16))</f>
        <v>0</v>
      </c>
      <c r="K2248" s="11">
        <v>0</v>
      </c>
      <c r="L2248" s="169">
        <f>Imput[[#This Row],[Sub total]]+Imput[[#This Row],[IVA]]-Imput[[#This Row],[Retención / IEPS / Descuento]]</f>
        <v>0</v>
      </c>
      <c r="M2248" s="844">
        <v>0</v>
      </c>
      <c r="N2248" s="189"/>
      <c r="O2248" s="1"/>
      <c r="P2248" s="189"/>
      <c r="Q2248" s="190"/>
      <c r="R2248" s="188"/>
      <c r="S2248" s="193"/>
      <c r="T2248" s="192"/>
      <c r="U2248" s="829"/>
      <c r="V2248" s="10"/>
      <c r="W2248" s="10"/>
      <c r="X2248" s="10"/>
      <c r="Y2248" s="10"/>
      <c r="Z2248" s="10"/>
      <c r="AA2248" s="11"/>
      <c r="AB2248" s="11"/>
    </row>
    <row r="2249" spans="2:28" x14ac:dyDescent="0.3">
      <c r="B2249" s="10"/>
      <c r="C2249" s="315"/>
      <c r="D2249" s="868"/>
      <c r="E2249" s="837" t="str">
        <f>IFERROR(IF(_xlfn.XLOOKUP(Imput[[#This Row],[RFC]],'Alta Proveedor'!D:D,'Alta Proveedor'!E:E)=0,"",_xlfn.XLOOKUP(Imput[[#This Row],[RFC]],'Alta Proveedor'!D:D,'Alta Proveedor'!E:E)),"")</f>
        <v/>
      </c>
      <c r="F2249" s="832"/>
      <c r="G2249" s="187"/>
      <c r="H2249" s="1"/>
      <c r="I2249" s="169">
        <f>Imput[[#This Row],[Cantidad]]*Imput[[#This Row],[Precio Unitario]]</f>
        <v>0</v>
      </c>
      <c r="J2249" s="11">
        <f>((Imput[[#This Row],[Sub total]])*(0.16))</f>
        <v>0</v>
      </c>
      <c r="K2249" s="11">
        <v>0</v>
      </c>
      <c r="L2249" s="169">
        <f>Imput[[#This Row],[Sub total]]+Imput[[#This Row],[IVA]]-Imput[[#This Row],[Retención / IEPS / Descuento]]</f>
        <v>0</v>
      </c>
      <c r="M2249" s="844">
        <v>0</v>
      </c>
      <c r="N2249" s="189"/>
      <c r="O2249" s="1"/>
      <c r="P2249" s="189"/>
      <c r="Q2249" s="190"/>
      <c r="R2249" s="188"/>
      <c r="S2249" s="193"/>
      <c r="T2249" s="192"/>
      <c r="U2249" s="829"/>
      <c r="V2249" s="10"/>
      <c r="W2249" s="10"/>
      <c r="X2249" s="10"/>
      <c r="Y2249" s="10"/>
      <c r="Z2249" s="10"/>
      <c r="AA2249" s="11"/>
      <c r="AB2249" s="11"/>
    </row>
    <row r="2250" spans="2:28" x14ac:dyDescent="0.3">
      <c r="B2250" s="10"/>
      <c r="C2250" s="315"/>
      <c r="D2250" s="868"/>
      <c r="E2250" s="837" t="str">
        <f>IFERROR(IF(_xlfn.XLOOKUP(Imput[[#This Row],[RFC]],'Alta Proveedor'!D:D,'Alta Proveedor'!E:E)=0,"",_xlfn.XLOOKUP(Imput[[#This Row],[RFC]],'Alta Proveedor'!D:D,'Alta Proveedor'!E:E)),"")</f>
        <v/>
      </c>
      <c r="F2250" s="832"/>
      <c r="G2250" s="187"/>
      <c r="H2250" s="1"/>
      <c r="I2250" s="169">
        <f>Imput[[#This Row],[Cantidad]]*Imput[[#This Row],[Precio Unitario]]</f>
        <v>0</v>
      </c>
      <c r="J2250" s="11">
        <f>((Imput[[#This Row],[Sub total]])*(0.16))</f>
        <v>0</v>
      </c>
      <c r="K2250" s="11">
        <v>0</v>
      </c>
      <c r="L2250" s="169">
        <f>Imput[[#This Row],[Sub total]]+Imput[[#This Row],[IVA]]-Imput[[#This Row],[Retención / IEPS / Descuento]]</f>
        <v>0</v>
      </c>
      <c r="M2250" s="844">
        <v>0</v>
      </c>
      <c r="N2250" s="189"/>
      <c r="O2250" s="1"/>
      <c r="P2250" s="189"/>
      <c r="Q2250" s="190"/>
      <c r="R2250" s="188"/>
      <c r="S2250" s="193"/>
      <c r="T2250" s="192"/>
      <c r="U2250" s="829"/>
      <c r="V2250" s="10"/>
      <c r="W2250" s="10"/>
      <c r="X2250" s="10"/>
      <c r="Y2250" s="10"/>
      <c r="Z2250" s="10"/>
      <c r="AA2250" s="11"/>
      <c r="AB2250" s="11"/>
    </row>
    <row r="2251" spans="2:28" x14ac:dyDescent="0.3">
      <c r="B2251" s="10"/>
      <c r="C2251" s="315"/>
      <c r="D2251" s="868"/>
      <c r="E2251" s="837" t="str">
        <f>IFERROR(IF(_xlfn.XLOOKUP(Imput[[#This Row],[RFC]],'Alta Proveedor'!D:D,'Alta Proveedor'!E:E)=0,"",_xlfn.XLOOKUP(Imput[[#This Row],[RFC]],'Alta Proveedor'!D:D,'Alta Proveedor'!E:E)),"")</f>
        <v/>
      </c>
      <c r="F2251" s="832"/>
      <c r="G2251" s="187"/>
      <c r="H2251" s="1"/>
      <c r="I2251" s="169">
        <f>Imput[[#This Row],[Cantidad]]*Imput[[#This Row],[Precio Unitario]]</f>
        <v>0</v>
      </c>
      <c r="J2251" s="11">
        <f>((Imput[[#This Row],[Sub total]])*(0.16))</f>
        <v>0</v>
      </c>
      <c r="K2251" s="11">
        <v>0</v>
      </c>
      <c r="L2251" s="169">
        <f>Imput[[#This Row],[Sub total]]+Imput[[#This Row],[IVA]]-Imput[[#This Row],[Retención / IEPS / Descuento]]</f>
        <v>0</v>
      </c>
      <c r="M2251" s="844">
        <v>0</v>
      </c>
      <c r="N2251" s="189"/>
      <c r="O2251" s="1"/>
      <c r="P2251" s="189"/>
      <c r="Q2251" s="190"/>
      <c r="R2251" s="188"/>
      <c r="S2251" s="193"/>
      <c r="T2251" s="192"/>
      <c r="U2251" s="829"/>
      <c r="V2251" s="10"/>
      <c r="W2251" s="10"/>
      <c r="X2251" s="10"/>
      <c r="Y2251" s="10"/>
      <c r="Z2251" s="10"/>
      <c r="AA2251" s="11"/>
      <c r="AB2251" s="11"/>
    </row>
    <row r="2252" spans="2:28" x14ac:dyDescent="0.3">
      <c r="B2252" s="10"/>
      <c r="C2252" s="315"/>
      <c r="D2252" s="868"/>
      <c r="E2252" s="837" t="str">
        <f>IFERROR(IF(_xlfn.XLOOKUP(Imput[[#This Row],[RFC]],'Alta Proveedor'!D:D,'Alta Proveedor'!E:E)=0,"",_xlfn.XLOOKUP(Imput[[#This Row],[RFC]],'Alta Proveedor'!D:D,'Alta Proveedor'!E:E)),"")</f>
        <v/>
      </c>
      <c r="F2252" s="832"/>
      <c r="G2252" s="187"/>
      <c r="H2252" s="1"/>
      <c r="I2252" s="169">
        <f>Imput[[#This Row],[Cantidad]]*Imput[[#This Row],[Precio Unitario]]</f>
        <v>0</v>
      </c>
      <c r="J2252" s="11">
        <f>((Imput[[#This Row],[Sub total]])*(0.16))</f>
        <v>0</v>
      </c>
      <c r="K2252" s="11">
        <v>0</v>
      </c>
      <c r="L2252" s="169">
        <f>Imput[[#This Row],[Sub total]]+Imput[[#This Row],[IVA]]-Imput[[#This Row],[Retención / IEPS / Descuento]]</f>
        <v>0</v>
      </c>
      <c r="M2252" s="844">
        <v>0</v>
      </c>
      <c r="N2252" s="189"/>
      <c r="O2252" s="1"/>
      <c r="P2252" s="189"/>
      <c r="Q2252" s="190"/>
      <c r="R2252" s="188"/>
      <c r="S2252" s="193"/>
      <c r="T2252" s="192"/>
      <c r="U2252" s="829"/>
      <c r="V2252" s="10"/>
      <c r="W2252" s="10"/>
      <c r="X2252" s="10"/>
      <c r="Y2252" s="10"/>
      <c r="Z2252" s="10"/>
      <c r="AA2252" s="11"/>
      <c r="AB2252" s="11"/>
    </row>
    <row r="2253" spans="2:28" x14ac:dyDescent="0.3">
      <c r="B2253" s="10"/>
      <c r="C2253" s="315"/>
      <c r="D2253" s="868"/>
      <c r="E2253" s="837" t="str">
        <f>IFERROR(IF(_xlfn.XLOOKUP(Imput[[#This Row],[RFC]],'Alta Proveedor'!D:D,'Alta Proveedor'!E:E)=0,"",_xlfn.XLOOKUP(Imput[[#This Row],[RFC]],'Alta Proveedor'!D:D,'Alta Proveedor'!E:E)),"")</f>
        <v/>
      </c>
      <c r="F2253" s="832"/>
      <c r="G2253" s="187"/>
      <c r="H2253" s="1"/>
      <c r="I2253" s="169">
        <f>Imput[[#This Row],[Cantidad]]*Imput[[#This Row],[Precio Unitario]]</f>
        <v>0</v>
      </c>
      <c r="J2253" s="11">
        <f>((Imput[[#This Row],[Sub total]])*(0.16))</f>
        <v>0</v>
      </c>
      <c r="K2253" s="11">
        <v>0</v>
      </c>
      <c r="L2253" s="169">
        <f>Imput[[#This Row],[Sub total]]+Imput[[#This Row],[IVA]]-Imput[[#This Row],[Retención / IEPS / Descuento]]</f>
        <v>0</v>
      </c>
      <c r="M2253" s="844">
        <v>0</v>
      </c>
      <c r="N2253" s="189"/>
      <c r="O2253" s="1"/>
      <c r="P2253" s="189"/>
      <c r="Q2253" s="190"/>
      <c r="R2253" s="188"/>
      <c r="S2253" s="193"/>
      <c r="T2253" s="192"/>
      <c r="U2253" s="829"/>
      <c r="V2253" s="10"/>
      <c r="W2253" s="10"/>
      <c r="X2253" s="10"/>
      <c r="Y2253" s="10"/>
      <c r="Z2253" s="10"/>
      <c r="AA2253" s="11"/>
      <c r="AB2253" s="11"/>
    </row>
    <row r="2254" spans="2:28" x14ac:dyDescent="0.3">
      <c r="B2254" s="10"/>
      <c r="C2254" s="315"/>
      <c r="D2254" s="868"/>
      <c r="E2254" s="837" t="str">
        <f>IFERROR(IF(_xlfn.XLOOKUP(Imput[[#This Row],[RFC]],'Alta Proveedor'!D:D,'Alta Proveedor'!E:E)=0,"",_xlfn.XLOOKUP(Imput[[#This Row],[RFC]],'Alta Proveedor'!D:D,'Alta Proveedor'!E:E)),"")</f>
        <v/>
      </c>
      <c r="F2254" s="832"/>
      <c r="G2254" s="187"/>
      <c r="H2254" s="1"/>
      <c r="I2254" s="169">
        <f>Imput[[#This Row],[Cantidad]]*Imput[[#This Row],[Precio Unitario]]</f>
        <v>0</v>
      </c>
      <c r="J2254" s="11">
        <f>((Imput[[#This Row],[Sub total]])*(0.16))</f>
        <v>0</v>
      </c>
      <c r="K2254" s="11">
        <v>0</v>
      </c>
      <c r="L2254" s="169">
        <f>Imput[[#This Row],[Sub total]]+Imput[[#This Row],[IVA]]-Imput[[#This Row],[Retención / IEPS / Descuento]]</f>
        <v>0</v>
      </c>
      <c r="M2254" s="844">
        <v>0</v>
      </c>
      <c r="N2254" s="189"/>
      <c r="O2254" s="1"/>
      <c r="P2254" s="189"/>
      <c r="Q2254" s="190"/>
      <c r="R2254" s="188"/>
      <c r="S2254" s="193"/>
      <c r="T2254" s="192"/>
      <c r="U2254" s="829"/>
      <c r="V2254" s="10"/>
      <c r="W2254" s="10"/>
      <c r="X2254" s="10"/>
      <c r="Y2254" s="10"/>
      <c r="Z2254" s="10"/>
      <c r="AA2254" s="11"/>
      <c r="AB2254" s="11"/>
    </row>
    <row r="2255" spans="2:28" x14ac:dyDescent="0.3">
      <c r="B2255" s="10"/>
      <c r="C2255" s="315"/>
      <c r="D2255" s="868"/>
      <c r="E2255" s="837" t="str">
        <f>IFERROR(IF(_xlfn.XLOOKUP(Imput[[#This Row],[RFC]],'Alta Proveedor'!D:D,'Alta Proveedor'!E:E)=0,"",_xlfn.XLOOKUP(Imput[[#This Row],[RFC]],'Alta Proveedor'!D:D,'Alta Proveedor'!E:E)),"")</f>
        <v/>
      </c>
      <c r="F2255" s="832"/>
      <c r="G2255" s="187"/>
      <c r="H2255" s="1"/>
      <c r="I2255" s="169">
        <f>Imput[[#This Row],[Cantidad]]*Imput[[#This Row],[Precio Unitario]]</f>
        <v>0</v>
      </c>
      <c r="J2255" s="11">
        <f>((Imput[[#This Row],[Sub total]])*(0.16))</f>
        <v>0</v>
      </c>
      <c r="K2255" s="11">
        <v>0</v>
      </c>
      <c r="L2255" s="169">
        <f>Imput[[#This Row],[Sub total]]+Imput[[#This Row],[IVA]]-Imput[[#This Row],[Retención / IEPS / Descuento]]</f>
        <v>0</v>
      </c>
      <c r="M2255" s="844">
        <v>0</v>
      </c>
      <c r="N2255" s="189"/>
      <c r="O2255" s="1"/>
      <c r="P2255" s="189"/>
      <c r="Q2255" s="190"/>
      <c r="R2255" s="188"/>
      <c r="S2255" s="193"/>
      <c r="T2255" s="192"/>
      <c r="U2255" s="829"/>
      <c r="V2255" s="10"/>
      <c r="W2255" s="10"/>
      <c r="X2255" s="10"/>
      <c r="Y2255" s="10"/>
      <c r="Z2255" s="10"/>
      <c r="AA2255" s="11"/>
      <c r="AB2255" s="11"/>
    </row>
    <row r="2256" spans="2:28" x14ac:dyDescent="0.3">
      <c r="B2256" s="10"/>
      <c r="C2256" s="315"/>
      <c r="D2256" s="868"/>
      <c r="E2256" s="837" t="str">
        <f>IFERROR(IF(_xlfn.XLOOKUP(Imput[[#This Row],[RFC]],'Alta Proveedor'!D:D,'Alta Proveedor'!E:E)=0,"",_xlfn.XLOOKUP(Imput[[#This Row],[RFC]],'Alta Proveedor'!D:D,'Alta Proveedor'!E:E)),"")</f>
        <v/>
      </c>
      <c r="F2256" s="832"/>
      <c r="G2256" s="187"/>
      <c r="H2256" s="1"/>
      <c r="I2256" s="169">
        <f>Imput[[#This Row],[Cantidad]]*Imput[[#This Row],[Precio Unitario]]</f>
        <v>0</v>
      </c>
      <c r="J2256" s="11">
        <f>((Imput[[#This Row],[Sub total]])*(0.16))</f>
        <v>0</v>
      </c>
      <c r="K2256" s="11">
        <v>0</v>
      </c>
      <c r="L2256" s="169">
        <f>Imput[[#This Row],[Sub total]]+Imput[[#This Row],[IVA]]-Imput[[#This Row],[Retención / IEPS / Descuento]]</f>
        <v>0</v>
      </c>
      <c r="M2256" s="844">
        <v>0</v>
      </c>
      <c r="N2256" s="189"/>
      <c r="O2256" s="1"/>
      <c r="P2256" s="189"/>
      <c r="Q2256" s="190"/>
      <c r="R2256" s="188"/>
      <c r="S2256" s="193"/>
      <c r="T2256" s="192"/>
      <c r="U2256" s="829"/>
      <c r="V2256" s="10"/>
      <c r="W2256" s="10"/>
      <c r="X2256" s="10"/>
      <c r="Y2256" s="10"/>
      <c r="Z2256" s="10"/>
      <c r="AA2256" s="11"/>
      <c r="AB2256" s="11"/>
    </row>
    <row r="2257" spans="2:28" x14ac:dyDescent="0.3">
      <c r="B2257" s="10"/>
      <c r="C2257" s="315"/>
      <c r="D2257" s="868"/>
      <c r="E2257" s="837" t="str">
        <f>IFERROR(IF(_xlfn.XLOOKUP(Imput[[#This Row],[RFC]],'Alta Proveedor'!D:D,'Alta Proveedor'!E:E)=0,"",_xlfn.XLOOKUP(Imput[[#This Row],[RFC]],'Alta Proveedor'!D:D,'Alta Proveedor'!E:E)),"")</f>
        <v/>
      </c>
      <c r="F2257" s="832"/>
      <c r="G2257" s="187"/>
      <c r="H2257" s="1"/>
      <c r="I2257" s="169">
        <f>Imput[[#This Row],[Cantidad]]*Imput[[#This Row],[Precio Unitario]]</f>
        <v>0</v>
      </c>
      <c r="J2257" s="11">
        <f>((Imput[[#This Row],[Sub total]])*(0.16))</f>
        <v>0</v>
      </c>
      <c r="K2257" s="11">
        <v>0</v>
      </c>
      <c r="L2257" s="169">
        <f>Imput[[#This Row],[Sub total]]+Imput[[#This Row],[IVA]]-Imput[[#This Row],[Retención / IEPS / Descuento]]</f>
        <v>0</v>
      </c>
      <c r="M2257" s="844">
        <v>0</v>
      </c>
      <c r="N2257" s="189"/>
      <c r="O2257" s="1"/>
      <c r="P2257" s="189"/>
      <c r="Q2257" s="190"/>
      <c r="R2257" s="188"/>
      <c r="S2257" s="193"/>
      <c r="T2257" s="192"/>
      <c r="U2257" s="829"/>
      <c r="V2257" s="10"/>
      <c r="W2257" s="10"/>
      <c r="X2257" s="10"/>
      <c r="Y2257" s="10"/>
      <c r="Z2257" s="10"/>
      <c r="AA2257" s="11"/>
      <c r="AB2257" s="11"/>
    </row>
    <row r="2258" spans="2:28" x14ac:dyDescent="0.3">
      <c r="B2258" s="10"/>
      <c r="C2258" s="315"/>
      <c r="D2258" s="868"/>
      <c r="E2258" s="837" t="str">
        <f>IFERROR(IF(_xlfn.XLOOKUP(Imput[[#This Row],[RFC]],'Alta Proveedor'!D:D,'Alta Proveedor'!E:E)=0,"",_xlfn.XLOOKUP(Imput[[#This Row],[RFC]],'Alta Proveedor'!D:D,'Alta Proveedor'!E:E)),"")</f>
        <v/>
      </c>
      <c r="F2258" s="832"/>
      <c r="G2258" s="187"/>
      <c r="H2258" s="1"/>
      <c r="I2258" s="169">
        <f>Imput[[#This Row],[Cantidad]]*Imput[[#This Row],[Precio Unitario]]</f>
        <v>0</v>
      </c>
      <c r="J2258" s="11">
        <f>((Imput[[#This Row],[Sub total]])*(0.16))</f>
        <v>0</v>
      </c>
      <c r="K2258" s="11">
        <v>0</v>
      </c>
      <c r="L2258" s="169">
        <f>Imput[[#This Row],[Sub total]]+Imput[[#This Row],[IVA]]-Imput[[#This Row],[Retención / IEPS / Descuento]]</f>
        <v>0</v>
      </c>
      <c r="M2258" s="844">
        <v>0</v>
      </c>
      <c r="N2258" s="189"/>
      <c r="O2258" s="1"/>
      <c r="P2258" s="189"/>
      <c r="Q2258" s="190"/>
      <c r="R2258" s="188"/>
      <c r="S2258" s="193"/>
      <c r="T2258" s="192"/>
      <c r="U2258" s="829"/>
      <c r="V2258" s="10"/>
      <c r="W2258" s="10"/>
      <c r="X2258" s="10"/>
      <c r="Y2258" s="10"/>
      <c r="Z2258" s="10"/>
      <c r="AA2258" s="11"/>
      <c r="AB2258" s="11"/>
    </row>
    <row r="2259" spans="2:28" x14ac:dyDescent="0.3">
      <c r="B2259" s="10"/>
      <c r="C2259" s="315"/>
      <c r="D2259" s="868"/>
      <c r="E2259" s="837" t="str">
        <f>IFERROR(IF(_xlfn.XLOOKUP(Imput[[#This Row],[RFC]],'Alta Proveedor'!D:D,'Alta Proveedor'!E:E)=0,"",_xlfn.XLOOKUP(Imput[[#This Row],[RFC]],'Alta Proveedor'!D:D,'Alta Proveedor'!E:E)),"")</f>
        <v/>
      </c>
      <c r="F2259" s="832"/>
      <c r="G2259" s="187"/>
      <c r="H2259" s="1"/>
      <c r="I2259" s="169">
        <f>Imput[[#This Row],[Cantidad]]*Imput[[#This Row],[Precio Unitario]]</f>
        <v>0</v>
      </c>
      <c r="J2259" s="11">
        <f>((Imput[[#This Row],[Sub total]])*(0.16))</f>
        <v>0</v>
      </c>
      <c r="K2259" s="11">
        <v>0</v>
      </c>
      <c r="L2259" s="169">
        <f>Imput[[#This Row],[Sub total]]+Imput[[#This Row],[IVA]]-Imput[[#This Row],[Retención / IEPS / Descuento]]</f>
        <v>0</v>
      </c>
      <c r="M2259" s="844">
        <v>0</v>
      </c>
      <c r="N2259" s="189"/>
      <c r="O2259" s="1"/>
      <c r="P2259" s="189"/>
      <c r="Q2259" s="190"/>
      <c r="R2259" s="188"/>
      <c r="S2259" s="193"/>
      <c r="T2259" s="192"/>
      <c r="U2259" s="829"/>
      <c r="V2259" s="10"/>
      <c r="W2259" s="10"/>
      <c r="X2259" s="10"/>
      <c r="Y2259" s="10"/>
      <c r="Z2259" s="10"/>
      <c r="AA2259" s="11"/>
      <c r="AB2259" s="11"/>
    </row>
    <row r="2260" spans="2:28" x14ac:dyDescent="0.3">
      <c r="B2260" s="10"/>
      <c r="C2260" s="315"/>
      <c r="D2260" s="868"/>
      <c r="E2260" s="837" t="str">
        <f>IFERROR(IF(_xlfn.XLOOKUP(Imput[[#This Row],[RFC]],'Alta Proveedor'!D:D,'Alta Proveedor'!E:E)=0,"",_xlfn.XLOOKUP(Imput[[#This Row],[RFC]],'Alta Proveedor'!D:D,'Alta Proveedor'!E:E)),"")</f>
        <v/>
      </c>
      <c r="F2260" s="832"/>
      <c r="G2260" s="187"/>
      <c r="H2260" s="1"/>
      <c r="I2260" s="169">
        <f>Imput[[#This Row],[Cantidad]]*Imput[[#This Row],[Precio Unitario]]</f>
        <v>0</v>
      </c>
      <c r="J2260" s="11">
        <f>((Imput[[#This Row],[Sub total]])*(0.16))</f>
        <v>0</v>
      </c>
      <c r="K2260" s="11">
        <v>0</v>
      </c>
      <c r="L2260" s="169">
        <f>Imput[[#This Row],[Sub total]]+Imput[[#This Row],[IVA]]-Imput[[#This Row],[Retención / IEPS / Descuento]]</f>
        <v>0</v>
      </c>
      <c r="M2260" s="844">
        <v>0</v>
      </c>
      <c r="N2260" s="189"/>
      <c r="O2260" s="1"/>
      <c r="P2260" s="189"/>
      <c r="Q2260" s="190"/>
      <c r="R2260" s="188"/>
      <c r="S2260" s="193"/>
      <c r="T2260" s="192"/>
      <c r="U2260" s="829"/>
      <c r="V2260" s="10"/>
      <c r="W2260" s="10"/>
      <c r="X2260" s="10"/>
      <c r="Y2260" s="10"/>
      <c r="Z2260" s="10"/>
      <c r="AA2260" s="11"/>
      <c r="AB2260" s="11"/>
    </row>
    <row r="2261" spans="2:28" x14ac:dyDescent="0.3">
      <c r="B2261" s="10"/>
      <c r="C2261" s="315"/>
      <c r="D2261" s="868"/>
      <c r="E2261" s="837" t="str">
        <f>IFERROR(IF(_xlfn.XLOOKUP(Imput[[#This Row],[RFC]],'Alta Proveedor'!D:D,'Alta Proveedor'!E:E)=0,"",_xlfn.XLOOKUP(Imput[[#This Row],[RFC]],'Alta Proveedor'!D:D,'Alta Proveedor'!E:E)),"")</f>
        <v/>
      </c>
      <c r="F2261" s="832"/>
      <c r="G2261" s="187"/>
      <c r="H2261" s="1"/>
      <c r="I2261" s="169">
        <f>Imput[[#This Row],[Cantidad]]*Imput[[#This Row],[Precio Unitario]]</f>
        <v>0</v>
      </c>
      <c r="J2261" s="11">
        <f>((Imput[[#This Row],[Sub total]])*(0.16))</f>
        <v>0</v>
      </c>
      <c r="K2261" s="11">
        <v>0</v>
      </c>
      <c r="L2261" s="169">
        <f>Imput[[#This Row],[Sub total]]+Imput[[#This Row],[IVA]]-Imput[[#This Row],[Retención / IEPS / Descuento]]</f>
        <v>0</v>
      </c>
      <c r="M2261" s="844">
        <v>0</v>
      </c>
      <c r="N2261" s="189"/>
      <c r="O2261" s="1"/>
      <c r="P2261" s="189"/>
      <c r="Q2261" s="190"/>
      <c r="R2261" s="188"/>
      <c r="S2261" s="193"/>
      <c r="T2261" s="192"/>
      <c r="U2261" s="829"/>
      <c r="V2261" s="10"/>
      <c r="W2261" s="10"/>
      <c r="X2261" s="10"/>
      <c r="Y2261" s="10"/>
      <c r="Z2261" s="10"/>
      <c r="AA2261" s="11"/>
      <c r="AB2261" s="11"/>
    </row>
    <row r="2262" spans="2:28" x14ac:dyDescent="0.3">
      <c r="B2262" s="10"/>
      <c r="C2262" s="315"/>
      <c r="D2262" s="868"/>
      <c r="E2262" s="837" t="str">
        <f>IFERROR(IF(_xlfn.XLOOKUP(Imput[[#This Row],[RFC]],'Alta Proveedor'!D:D,'Alta Proveedor'!E:E)=0,"",_xlfn.XLOOKUP(Imput[[#This Row],[RFC]],'Alta Proveedor'!D:D,'Alta Proveedor'!E:E)),"")</f>
        <v/>
      </c>
      <c r="F2262" s="832"/>
      <c r="G2262" s="187"/>
      <c r="H2262" s="1"/>
      <c r="I2262" s="169">
        <f>Imput[[#This Row],[Cantidad]]*Imput[[#This Row],[Precio Unitario]]</f>
        <v>0</v>
      </c>
      <c r="J2262" s="11">
        <f>((Imput[[#This Row],[Sub total]])*(0.16))</f>
        <v>0</v>
      </c>
      <c r="K2262" s="11">
        <v>0</v>
      </c>
      <c r="L2262" s="169">
        <f>Imput[[#This Row],[Sub total]]+Imput[[#This Row],[IVA]]-Imput[[#This Row],[Retención / IEPS / Descuento]]</f>
        <v>0</v>
      </c>
      <c r="M2262" s="844">
        <v>0</v>
      </c>
      <c r="N2262" s="189"/>
      <c r="O2262" s="1"/>
      <c r="P2262" s="189"/>
      <c r="Q2262" s="190"/>
      <c r="R2262" s="188"/>
      <c r="S2262" s="193"/>
      <c r="T2262" s="192"/>
      <c r="U2262" s="829"/>
      <c r="V2262" s="10"/>
      <c r="W2262" s="10"/>
      <c r="X2262" s="10"/>
      <c r="Y2262" s="10"/>
      <c r="Z2262" s="10"/>
      <c r="AA2262" s="11"/>
      <c r="AB2262" s="11"/>
    </row>
    <row r="2263" spans="2:28" x14ac:dyDescent="0.3">
      <c r="B2263" s="10"/>
      <c r="C2263" s="315"/>
      <c r="D2263" s="868"/>
      <c r="E2263" s="837" t="str">
        <f>IFERROR(IF(_xlfn.XLOOKUP(Imput[[#This Row],[RFC]],'Alta Proveedor'!D:D,'Alta Proveedor'!E:E)=0,"",_xlfn.XLOOKUP(Imput[[#This Row],[RFC]],'Alta Proveedor'!D:D,'Alta Proveedor'!E:E)),"")</f>
        <v/>
      </c>
      <c r="F2263" s="832"/>
      <c r="G2263" s="187"/>
      <c r="H2263" s="1"/>
      <c r="I2263" s="169">
        <f>Imput[[#This Row],[Cantidad]]*Imput[[#This Row],[Precio Unitario]]</f>
        <v>0</v>
      </c>
      <c r="J2263" s="11">
        <f>((Imput[[#This Row],[Sub total]])*(0.16))</f>
        <v>0</v>
      </c>
      <c r="K2263" s="11">
        <v>0</v>
      </c>
      <c r="L2263" s="169">
        <f>Imput[[#This Row],[Sub total]]+Imput[[#This Row],[IVA]]-Imput[[#This Row],[Retención / IEPS / Descuento]]</f>
        <v>0</v>
      </c>
      <c r="M2263" s="844">
        <v>0</v>
      </c>
      <c r="N2263" s="189"/>
      <c r="O2263" s="1"/>
      <c r="P2263" s="189"/>
      <c r="Q2263" s="190"/>
      <c r="R2263" s="188"/>
      <c r="S2263" s="193"/>
      <c r="T2263" s="192"/>
      <c r="U2263" s="829"/>
      <c r="V2263" s="10"/>
      <c r="W2263" s="10"/>
      <c r="X2263" s="10"/>
      <c r="Y2263" s="10"/>
      <c r="Z2263" s="10"/>
      <c r="AA2263" s="11"/>
      <c r="AB2263" s="11"/>
    </row>
    <row r="2264" spans="2:28" x14ac:dyDescent="0.3">
      <c r="B2264" s="10"/>
      <c r="C2264" s="315"/>
      <c r="D2264" s="868"/>
      <c r="E2264" s="837" t="str">
        <f>IFERROR(IF(_xlfn.XLOOKUP(Imput[[#This Row],[RFC]],'Alta Proveedor'!D:D,'Alta Proveedor'!E:E)=0,"",_xlfn.XLOOKUP(Imput[[#This Row],[RFC]],'Alta Proveedor'!D:D,'Alta Proveedor'!E:E)),"")</f>
        <v/>
      </c>
      <c r="F2264" s="832"/>
      <c r="G2264" s="187"/>
      <c r="H2264" s="1"/>
      <c r="I2264" s="169">
        <f>Imput[[#This Row],[Cantidad]]*Imput[[#This Row],[Precio Unitario]]</f>
        <v>0</v>
      </c>
      <c r="J2264" s="11">
        <f>((Imput[[#This Row],[Sub total]])*(0.16))</f>
        <v>0</v>
      </c>
      <c r="K2264" s="11">
        <v>0</v>
      </c>
      <c r="L2264" s="169">
        <f>Imput[[#This Row],[Sub total]]+Imput[[#This Row],[IVA]]-Imput[[#This Row],[Retención / IEPS / Descuento]]</f>
        <v>0</v>
      </c>
      <c r="M2264" s="844">
        <v>0</v>
      </c>
      <c r="N2264" s="189"/>
      <c r="O2264" s="1"/>
      <c r="P2264" s="189"/>
      <c r="Q2264" s="190"/>
      <c r="R2264" s="188"/>
      <c r="S2264" s="193"/>
      <c r="T2264" s="192"/>
      <c r="U2264" s="829"/>
      <c r="V2264" s="10"/>
      <c r="W2264" s="10"/>
      <c r="X2264" s="10"/>
      <c r="Y2264" s="10"/>
      <c r="Z2264" s="10"/>
      <c r="AA2264" s="11"/>
      <c r="AB2264" s="11"/>
    </row>
    <row r="2265" spans="2:28" x14ac:dyDescent="0.3">
      <c r="B2265" s="10"/>
      <c r="C2265" s="315"/>
      <c r="D2265" s="868"/>
      <c r="E2265" s="837" t="str">
        <f>IFERROR(IF(_xlfn.XLOOKUP(Imput[[#This Row],[RFC]],'Alta Proveedor'!D:D,'Alta Proveedor'!E:E)=0,"",_xlfn.XLOOKUP(Imput[[#This Row],[RFC]],'Alta Proveedor'!D:D,'Alta Proveedor'!E:E)),"")</f>
        <v/>
      </c>
      <c r="F2265" s="832"/>
      <c r="G2265" s="187"/>
      <c r="H2265" s="1"/>
      <c r="I2265" s="169">
        <f>Imput[[#This Row],[Cantidad]]*Imput[[#This Row],[Precio Unitario]]</f>
        <v>0</v>
      </c>
      <c r="J2265" s="11">
        <f>((Imput[[#This Row],[Sub total]])*(0.16))</f>
        <v>0</v>
      </c>
      <c r="K2265" s="11">
        <v>0</v>
      </c>
      <c r="L2265" s="169">
        <f>Imput[[#This Row],[Sub total]]+Imput[[#This Row],[IVA]]-Imput[[#This Row],[Retención / IEPS / Descuento]]</f>
        <v>0</v>
      </c>
      <c r="M2265" s="844">
        <v>0</v>
      </c>
      <c r="N2265" s="189"/>
      <c r="O2265" s="1"/>
      <c r="P2265" s="189"/>
      <c r="Q2265" s="190"/>
      <c r="R2265" s="188"/>
      <c r="S2265" s="193"/>
      <c r="T2265" s="192"/>
      <c r="U2265" s="829"/>
      <c r="V2265" s="10"/>
      <c r="W2265" s="10"/>
      <c r="X2265" s="10"/>
      <c r="Y2265" s="10"/>
      <c r="Z2265" s="10"/>
      <c r="AA2265" s="11"/>
      <c r="AB2265" s="11"/>
    </row>
    <row r="2266" spans="2:28" x14ac:dyDescent="0.3">
      <c r="B2266" s="10"/>
      <c r="C2266" s="315"/>
      <c r="D2266" s="868"/>
      <c r="E2266" s="837" t="str">
        <f>IFERROR(IF(_xlfn.XLOOKUP(Imput[[#This Row],[RFC]],'Alta Proveedor'!D:D,'Alta Proveedor'!E:E)=0,"",_xlfn.XLOOKUP(Imput[[#This Row],[RFC]],'Alta Proveedor'!D:D,'Alta Proveedor'!E:E)),"")</f>
        <v/>
      </c>
      <c r="F2266" s="832"/>
      <c r="G2266" s="187"/>
      <c r="H2266" s="1"/>
      <c r="I2266" s="169">
        <f>Imput[[#This Row],[Cantidad]]*Imput[[#This Row],[Precio Unitario]]</f>
        <v>0</v>
      </c>
      <c r="J2266" s="11">
        <f>((Imput[[#This Row],[Sub total]])*(0.16))</f>
        <v>0</v>
      </c>
      <c r="K2266" s="11">
        <v>0</v>
      </c>
      <c r="L2266" s="169">
        <f>Imput[[#This Row],[Sub total]]+Imput[[#This Row],[IVA]]-Imput[[#This Row],[Retención / IEPS / Descuento]]</f>
        <v>0</v>
      </c>
      <c r="M2266" s="844">
        <v>0</v>
      </c>
      <c r="N2266" s="189"/>
      <c r="O2266" s="1"/>
      <c r="P2266" s="189"/>
      <c r="Q2266" s="190"/>
      <c r="R2266" s="188"/>
      <c r="S2266" s="193"/>
      <c r="T2266" s="192"/>
      <c r="U2266" s="829"/>
      <c r="V2266" s="10"/>
      <c r="W2266" s="10"/>
      <c r="X2266" s="10"/>
      <c r="Y2266" s="10"/>
      <c r="Z2266" s="10"/>
      <c r="AA2266" s="11"/>
      <c r="AB2266" s="11"/>
    </row>
    <row r="2267" spans="2:28" x14ac:dyDescent="0.3">
      <c r="B2267" s="10"/>
      <c r="C2267" s="315"/>
      <c r="D2267" s="868"/>
      <c r="E2267" s="837" t="str">
        <f>IFERROR(IF(_xlfn.XLOOKUP(Imput[[#This Row],[RFC]],'Alta Proveedor'!D:D,'Alta Proveedor'!E:E)=0,"",_xlfn.XLOOKUP(Imput[[#This Row],[RFC]],'Alta Proveedor'!D:D,'Alta Proveedor'!E:E)),"")</f>
        <v/>
      </c>
      <c r="F2267" s="832"/>
      <c r="G2267" s="187"/>
      <c r="H2267" s="1"/>
      <c r="I2267" s="169">
        <f>Imput[[#This Row],[Cantidad]]*Imput[[#This Row],[Precio Unitario]]</f>
        <v>0</v>
      </c>
      <c r="J2267" s="11">
        <f>((Imput[[#This Row],[Sub total]])*(0.16))</f>
        <v>0</v>
      </c>
      <c r="K2267" s="11">
        <v>0</v>
      </c>
      <c r="L2267" s="169">
        <f>Imput[[#This Row],[Sub total]]+Imput[[#This Row],[IVA]]-Imput[[#This Row],[Retención / IEPS / Descuento]]</f>
        <v>0</v>
      </c>
      <c r="M2267" s="844">
        <v>0</v>
      </c>
      <c r="N2267" s="189"/>
      <c r="O2267" s="1"/>
      <c r="P2267" s="189"/>
      <c r="Q2267" s="190"/>
      <c r="R2267" s="188"/>
      <c r="S2267" s="193"/>
      <c r="T2267" s="192"/>
      <c r="U2267" s="829"/>
      <c r="V2267" s="10"/>
      <c r="W2267" s="10"/>
      <c r="X2267" s="10"/>
      <c r="Y2267" s="10"/>
      <c r="Z2267" s="10"/>
      <c r="AA2267" s="11"/>
      <c r="AB2267" s="11"/>
    </row>
    <row r="2268" spans="2:28" x14ac:dyDescent="0.3">
      <c r="B2268" s="10"/>
      <c r="C2268" s="315"/>
      <c r="D2268" s="868"/>
      <c r="E2268" s="837" t="str">
        <f>IFERROR(IF(_xlfn.XLOOKUP(Imput[[#This Row],[RFC]],'Alta Proveedor'!D:D,'Alta Proveedor'!E:E)=0,"",_xlfn.XLOOKUP(Imput[[#This Row],[RFC]],'Alta Proveedor'!D:D,'Alta Proveedor'!E:E)),"")</f>
        <v/>
      </c>
      <c r="F2268" s="832"/>
      <c r="G2268" s="187"/>
      <c r="H2268" s="1"/>
      <c r="I2268" s="169">
        <f>Imput[[#This Row],[Cantidad]]*Imput[[#This Row],[Precio Unitario]]</f>
        <v>0</v>
      </c>
      <c r="J2268" s="11">
        <f>((Imput[[#This Row],[Sub total]])*(0.16))</f>
        <v>0</v>
      </c>
      <c r="K2268" s="11">
        <v>0</v>
      </c>
      <c r="L2268" s="169">
        <f>Imput[[#This Row],[Sub total]]+Imput[[#This Row],[IVA]]-Imput[[#This Row],[Retención / IEPS / Descuento]]</f>
        <v>0</v>
      </c>
      <c r="M2268" s="844">
        <v>0</v>
      </c>
      <c r="N2268" s="189"/>
      <c r="O2268" s="1"/>
      <c r="P2268" s="189"/>
      <c r="Q2268" s="190"/>
      <c r="R2268" s="188"/>
      <c r="S2268" s="193"/>
      <c r="T2268" s="192"/>
      <c r="U2268" s="829"/>
      <c r="V2268" s="10"/>
      <c r="W2268" s="10"/>
      <c r="X2268" s="10"/>
      <c r="Y2268" s="10"/>
      <c r="Z2268" s="10"/>
      <c r="AA2268" s="11"/>
      <c r="AB2268" s="11"/>
    </row>
    <row r="2269" spans="2:28" x14ac:dyDescent="0.3">
      <c r="B2269" s="10"/>
      <c r="C2269" s="315"/>
      <c r="D2269" s="868"/>
      <c r="E2269" s="837" t="str">
        <f>IFERROR(IF(_xlfn.XLOOKUP(Imput[[#This Row],[RFC]],'Alta Proveedor'!D:D,'Alta Proveedor'!E:E)=0,"",_xlfn.XLOOKUP(Imput[[#This Row],[RFC]],'Alta Proveedor'!D:D,'Alta Proveedor'!E:E)),"")</f>
        <v/>
      </c>
      <c r="F2269" s="832"/>
      <c r="G2269" s="187"/>
      <c r="H2269" s="1"/>
      <c r="I2269" s="169">
        <f>Imput[[#This Row],[Cantidad]]*Imput[[#This Row],[Precio Unitario]]</f>
        <v>0</v>
      </c>
      <c r="J2269" s="11">
        <f>((Imput[[#This Row],[Sub total]])*(0.16))</f>
        <v>0</v>
      </c>
      <c r="K2269" s="11">
        <v>0</v>
      </c>
      <c r="L2269" s="169">
        <f>Imput[[#This Row],[Sub total]]+Imput[[#This Row],[IVA]]-Imput[[#This Row],[Retención / IEPS / Descuento]]</f>
        <v>0</v>
      </c>
      <c r="M2269" s="844">
        <v>0</v>
      </c>
      <c r="N2269" s="189"/>
      <c r="O2269" s="1"/>
      <c r="P2269" s="189"/>
      <c r="Q2269" s="190"/>
      <c r="R2269" s="188"/>
      <c r="S2269" s="193"/>
      <c r="T2269" s="192"/>
      <c r="U2269" s="829"/>
      <c r="V2269" s="10"/>
      <c r="W2269" s="10"/>
      <c r="X2269" s="10"/>
      <c r="Y2269" s="10"/>
      <c r="Z2269" s="10"/>
      <c r="AA2269" s="11"/>
      <c r="AB2269" s="11"/>
    </row>
    <row r="2270" spans="2:28" x14ac:dyDescent="0.3">
      <c r="B2270" s="10"/>
      <c r="C2270" s="315"/>
      <c r="D2270" s="868"/>
      <c r="E2270" s="837" t="str">
        <f>IFERROR(IF(_xlfn.XLOOKUP(Imput[[#This Row],[RFC]],'Alta Proveedor'!D:D,'Alta Proveedor'!E:E)=0,"",_xlfn.XLOOKUP(Imput[[#This Row],[RFC]],'Alta Proveedor'!D:D,'Alta Proveedor'!E:E)),"")</f>
        <v/>
      </c>
      <c r="F2270" s="832"/>
      <c r="G2270" s="187"/>
      <c r="H2270" s="1"/>
      <c r="I2270" s="169">
        <f>Imput[[#This Row],[Cantidad]]*Imput[[#This Row],[Precio Unitario]]</f>
        <v>0</v>
      </c>
      <c r="J2270" s="11">
        <f>((Imput[[#This Row],[Sub total]])*(0.16))</f>
        <v>0</v>
      </c>
      <c r="K2270" s="11">
        <v>0</v>
      </c>
      <c r="L2270" s="169">
        <f>Imput[[#This Row],[Sub total]]+Imput[[#This Row],[IVA]]-Imput[[#This Row],[Retención / IEPS / Descuento]]</f>
        <v>0</v>
      </c>
      <c r="M2270" s="844">
        <v>0</v>
      </c>
      <c r="N2270" s="189"/>
      <c r="O2270" s="1"/>
      <c r="P2270" s="189"/>
      <c r="Q2270" s="190"/>
      <c r="R2270" s="188"/>
      <c r="S2270" s="193"/>
      <c r="T2270" s="192"/>
      <c r="U2270" s="829"/>
      <c r="V2270" s="10"/>
      <c r="W2270" s="10"/>
      <c r="X2270" s="10"/>
      <c r="Y2270" s="10"/>
      <c r="Z2270" s="10"/>
      <c r="AA2270" s="11"/>
      <c r="AB2270" s="11"/>
    </row>
    <row r="2271" spans="2:28" x14ac:dyDescent="0.3">
      <c r="B2271" s="10"/>
      <c r="C2271" s="315"/>
      <c r="D2271" s="868"/>
      <c r="E2271" s="837" t="str">
        <f>IFERROR(IF(_xlfn.XLOOKUP(Imput[[#This Row],[RFC]],'Alta Proveedor'!D:D,'Alta Proveedor'!E:E)=0,"",_xlfn.XLOOKUP(Imput[[#This Row],[RFC]],'Alta Proveedor'!D:D,'Alta Proveedor'!E:E)),"")</f>
        <v/>
      </c>
      <c r="F2271" s="832"/>
      <c r="G2271" s="187"/>
      <c r="H2271" s="1"/>
      <c r="I2271" s="169">
        <f>Imput[[#This Row],[Cantidad]]*Imput[[#This Row],[Precio Unitario]]</f>
        <v>0</v>
      </c>
      <c r="J2271" s="11">
        <f>((Imput[[#This Row],[Sub total]])*(0.16))</f>
        <v>0</v>
      </c>
      <c r="K2271" s="11">
        <v>0</v>
      </c>
      <c r="L2271" s="169">
        <f>Imput[[#This Row],[Sub total]]+Imput[[#This Row],[IVA]]-Imput[[#This Row],[Retención / IEPS / Descuento]]</f>
        <v>0</v>
      </c>
      <c r="M2271" s="844">
        <v>0</v>
      </c>
      <c r="N2271" s="189"/>
      <c r="O2271" s="1"/>
      <c r="P2271" s="189"/>
      <c r="Q2271" s="190"/>
      <c r="R2271" s="188"/>
      <c r="S2271" s="193"/>
      <c r="T2271" s="192"/>
      <c r="U2271" s="829"/>
      <c r="V2271" s="10"/>
      <c r="W2271" s="10"/>
      <c r="X2271" s="10"/>
      <c r="Y2271" s="10"/>
      <c r="Z2271" s="10"/>
      <c r="AA2271" s="11"/>
      <c r="AB2271" s="11"/>
    </row>
    <row r="2272" spans="2:28" x14ac:dyDescent="0.3">
      <c r="B2272" s="10"/>
      <c r="C2272" s="315"/>
      <c r="D2272" s="868"/>
      <c r="E2272" s="837" t="str">
        <f>IFERROR(IF(_xlfn.XLOOKUP(Imput[[#This Row],[RFC]],'Alta Proveedor'!D:D,'Alta Proveedor'!E:E)=0,"",_xlfn.XLOOKUP(Imput[[#This Row],[RFC]],'Alta Proveedor'!D:D,'Alta Proveedor'!E:E)),"")</f>
        <v/>
      </c>
      <c r="F2272" s="832"/>
      <c r="G2272" s="187"/>
      <c r="H2272" s="1"/>
      <c r="I2272" s="169">
        <f>Imput[[#This Row],[Cantidad]]*Imput[[#This Row],[Precio Unitario]]</f>
        <v>0</v>
      </c>
      <c r="J2272" s="11">
        <f>((Imput[[#This Row],[Sub total]])*(0.16))</f>
        <v>0</v>
      </c>
      <c r="K2272" s="11">
        <v>0</v>
      </c>
      <c r="L2272" s="169">
        <f>Imput[[#This Row],[Sub total]]+Imput[[#This Row],[IVA]]-Imput[[#This Row],[Retención / IEPS / Descuento]]</f>
        <v>0</v>
      </c>
      <c r="M2272" s="844">
        <v>0</v>
      </c>
      <c r="N2272" s="189"/>
      <c r="O2272" s="1"/>
      <c r="P2272" s="189"/>
      <c r="Q2272" s="190"/>
      <c r="R2272" s="188"/>
      <c r="S2272" s="193"/>
      <c r="T2272" s="192"/>
      <c r="U2272" s="829"/>
      <c r="V2272" s="10"/>
      <c r="W2272" s="10"/>
      <c r="X2272" s="10"/>
      <c r="Y2272" s="10"/>
      <c r="Z2272" s="10"/>
      <c r="AA2272" s="11"/>
      <c r="AB2272" s="11"/>
    </row>
    <row r="2273" spans="2:28" x14ac:dyDescent="0.3">
      <c r="B2273" s="10"/>
      <c r="C2273" s="315"/>
      <c r="D2273" s="868"/>
      <c r="E2273" s="837" t="str">
        <f>IFERROR(IF(_xlfn.XLOOKUP(Imput[[#This Row],[RFC]],'Alta Proveedor'!D:D,'Alta Proveedor'!E:E)=0,"",_xlfn.XLOOKUP(Imput[[#This Row],[RFC]],'Alta Proveedor'!D:D,'Alta Proveedor'!E:E)),"")</f>
        <v/>
      </c>
      <c r="F2273" s="832"/>
      <c r="G2273" s="187"/>
      <c r="H2273" s="1"/>
      <c r="I2273" s="169">
        <f>Imput[[#This Row],[Cantidad]]*Imput[[#This Row],[Precio Unitario]]</f>
        <v>0</v>
      </c>
      <c r="J2273" s="11">
        <f>((Imput[[#This Row],[Sub total]])*(0.16))</f>
        <v>0</v>
      </c>
      <c r="K2273" s="11">
        <v>0</v>
      </c>
      <c r="L2273" s="169">
        <f>Imput[[#This Row],[Sub total]]+Imput[[#This Row],[IVA]]-Imput[[#This Row],[Retención / IEPS / Descuento]]</f>
        <v>0</v>
      </c>
      <c r="M2273" s="844">
        <v>0</v>
      </c>
      <c r="N2273" s="189"/>
      <c r="O2273" s="1"/>
      <c r="P2273" s="189"/>
      <c r="Q2273" s="190"/>
      <c r="R2273" s="188"/>
      <c r="S2273" s="193"/>
      <c r="T2273" s="192"/>
      <c r="U2273" s="829"/>
      <c r="V2273" s="10"/>
      <c r="W2273" s="10"/>
      <c r="X2273" s="10"/>
      <c r="Y2273" s="10"/>
      <c r="Z2273" s="10"/>
      <c r="AA2273" s="11"/>
      <c r="AB2273" s="11"/>
    </row>
    <row r="2274" spans="2:28" x14ac:dyDescent="0.3">
      <c r="B2274" s="10"/>
      <c r="C2274" s="315"/>
      <c r="D2274" s="868"/>
      <c r="E2274" s="837" t="str">
        <f>IFERROR(IF(_xlfn.XLOOKUP(Imput[[#This Row],[RFC]],'Alta Proveedor'!D:D,'Alta Proveedor'!E:E)=0,"",_xlfn.XLOOKUP(Imput[[#This Row],[RFC]],'Alta Proveedor'!D:D,'Alta Proveedor'!E:E)),"")</f>
        <v/>
      </c>
      <c r="F2274" s="832"/>
      <c r="G2274" s="187"/>
      <c r="H2274" s="1"/>
      <c r="I2274" s="169">
        <f>Imput[[#This Row],[Cantidad]]*Imput[[#This Row],[Precio Unitario]]</f>
        <v>0</v>
      </c>
      <c r="J2274" s="11">
        <f>((Imput[[#This Row],[Sub total]])*(0.16))</f>
        <v>0</v>
      </c>
      <c r="K2274" s="11">
        <v>0</v>
      </c>
      <c r="L2274" s="169">
        <f>Imput[[#This Row],[Sub total]]+Imput[[#This Row],[IVA]]-Imput[[#This Row],[Retención / IEPS / Descuento]]</f>
        <v>0</v>
      </c>
      <c r="M2274" s="844">
        <v>0</v>
      </c>
      <c r="N2274" s="189"/>
      <c r="O2274" s="1"/>
      <c r="P2274" s="189"/>
      <c r="Q2274" s="190"/>
      <c r="R2274" s="188"/>
      <c r="S2274" s="193"/>
      <c r="T2274" s="192"/>
      <c r="U2274" s="829"/>
      <c r="V2274" s="10"/>
      <c r="W2274" s="10"/>
      <c r="X2274" s="10"/>
      <c r="Y2274" s="10"/>
      <c r="Z2274" s="10"/>
      <c r="AA2274" s="11"/>
      <c r="AB2274" s="11"/>
    </row>
    <row r="2275" spans="2:28" x14ac:dyDescent="0.3">
      <c r="B2275" s="10"/>
      <c r="C2275" s="315"/>
      <c r="D2275" s="868"/>
      <c r="E2275" s="837" t="str">
        <f>IFERROR(IF(_xlfn.XLOOKUP(Imput[[#This Row],[RFC]],'Alta Proveedor'!D:D,'Alta Proveedor'!E:E)=0,"",_xlfn.XLOOKUP(Imput[[#This Row],[RFC]],'Alta Proveedor'!D:D,'Alta Proveedor'!E:E)),"")</f>
        <v/>
      </c>
      <c r="F2275" s="832"/>
      <c r="G2275" s="187"/>
      <c r="H2275" s="1"/>
      <c r="I2275" s="169">
        <f>Imput[[#This Row],[Cantidad]]*Imput[[#This Row],[Precio Unitario]]</f>
        <v>0</v>
      </c>
      <c r="J2275" s="11">
        <f>((Imput[[#This Row],[Sub total]])*(0.16))</f>
        <v>0</v>
      </c>
      <c r="K2275" s="11">
        <v>0</v>
      </c>
      <c r="L2275" s="169">
        <f>Imput[[#This Row],[Sub total]]+Imput[[#This Row],[IVA]]-Imput[[#This Row],[Retención / IEPS / Descuento]]</f>
        <v>0</v>
      </c>
      <c r="M2275" s="844">
        <v>0</v>
      </c>
      <c r="N2275" s="189"/>
      <c r="O2275" s="1"/>
      <c r="P2275" s="189"/>
      <c r="Q2275" s="190"/>
      <c r="R2275" s="188"/>
      <c r="S2275" s="193"/>
      <c r="T2275" s="192"/>
      <c r="U2275" s="829"/>
      <c r="V2275" s="10"/>
      <c r="W2275" s="10"/>
      <c r="X2275" s="10"/>
      <c r="Y2275" s="10"/>
      <c r="Z2275" s="10"/>
      <c r="AA2275" s="11"/>
      <c r="AB2275" s="11"/>
    </row>
    <row r="2276" spans="2:28" x14ac:dyDescent="0.3">
      <c r="B2276" s="10"/>
      <c r="C2276" s="315"/>
      <c r="D2276" s="868"/>
      <c r="E2276" s="837" t="str">
        <f>IFERROR(IF(_xlfn.XLOOKUP(Imput[[#This Row],[RFC]],'Alta Proveedor'!D:D,'Alta Proveedor'!E:E)=0,"",_xlfn.XLOOKUP(Imput[[#This Row],[RFC]],'Alta Proveedor'!D:D,'Alta Proveedor'!E:E)),"")</f>
        <v/>
      </c>
      <c r="F2276" s="832"/>
      <c r="G2276" s="187"/>
      <c r="H2276" s="1"/>
      <c r="I2276" s="169">
        <f>Imput[[#This Row],[Cantidad]]*Imput[[#This Row],[Precio Unitario]]</f>
        <v>0</v>
      </c>
      <c r="J2276" s="11">
        <f>((Imput[[#This Row],[Sub total]])*(0.16))</f>
        <v>0</v>
      </c>
      <c r="K2276" s="11">
        <v>0</v>
      </c>
      <c r="L2276" s="169">
        <f>Imput[[#This Row],[Sub total]]+Imput[[#This Row],[IVA]]-Imput[[#This Row],[Retención / IEPS / Descuento]]</f>
        <v>0</v>
      </c>
      <c r="M2276" s="844">
        <v>0</v>
      </c>
      <c r="N2276" s="189"/>
      <c r="O2276" s="1"/>
      <c r="P2276" s="189"/>
      <c r="Q2276" s="190"/>
      <c r="R2276" s="188"/>
      <c r="S2276" s="193"/>
      <c r="T2276" s="192"/>
      <c r="U2276" s="829"/>
      <c r="V2276" s="10"/>
      <c r="W2276" s="10"/>
      <c r="X2276" s="10"/>
      <c r="Y2276" s="10"/>
      <c r="Z2276" s="10"/>
      <c r="AA2276" s="11"/>
      <c r="AB2276" s="11"/>
    </row>
    <row r="2277" spans="2:28" x14ac:dyDescent="0.3">
      <c r="B2277" s="10"/>
      <c r="C2277" s="315"/>
      <c r="D2277" s="868"/>
      <c r="E2277" s="837" t="str">
        <f>IFERROR(IF(_xlfn.XLOOKUP(Imput[[#This Row],[RFC]],'Alta Proveedor'!D:D,'Alta Proveedor'!E:E)=0,"",_xlfn.XLOOKUP(Imput[[#This Row],[RFC]],'Alta Proveedor'!D:D,'Alta Proveedor'!E:E)),"")</f>
        <v/>
      </c>
      <c r="F2277" s="832"/>
      <c r="G2277" s="187"/>
      <c r="H2277" s="1"/>
      <c r="I2277" s="169">
        <f>Imput[[#This Row],[Cantidad]]*Imput[[#This Row],[Precio Unitario]]</f>
        <v>0</v>
      </c>
      <c r="J2277" s="11">
        <f>((Imput[[#This Row],[Sub total]])*(0.16))</f>
        <v>0</v>
      </c>
      <c r="K2277" s="11">
        <v>0</v>
      </c>
      <c r="L2277" s="169">
        <f>Imput[[#This Row],[Sub total]]+Imput[[#This Row],[IVA]]-Imput[[#This Row],[Retención / IEPS / Descuento]]</f>
        <v>0</v>
      </c>
      <c r="M2277" s="844">
        <v>0</v>
      </c>
      <c r="N2277" s="189"/>
      <c r="O2277" s="1"/>
      <c r="P2277" s="189"/>
      <c r="Q2277" s="190"/>
      <c r="R2277" s="188"/>
      <c r="S2277" s="193"/>
      <c r="T2277" s="192"/>
      <c r="U2277" s="829"/>
      <c r="V2277" s="10"/>
      <c r="W2277" s="10"/>
      <c r="X2277" s="10"/>
      <c r="Y2277" s="10"/>
      <c r="Z2277" s="10"/>
      <c r="AA2277" s="11"/>
      <c r="AB2277" s="11"/>
    </row>
    <row r="2278" spans="2:28" x14ac:dyDescent="0.3">
      <c r="B2278" s="10"/>
      <c r="C2278" s="315"/>
      <c r="D2278" s="868"/>
      <c r="E2278" s="837" t="str">
        <f>IFERROR(IF(_xlfn.XLOOKUP(Imput[[#This Row],[RFC]],'Alta Proveedor'!D:D,'Alta Proveedor'!E:E)=0,"",_xlfn.XLOOKUP(Imput[[#This Row],[RFC]],'Alta Proveedor'!D:D,'Alta Proveedor'!E:E)),"")</f>
        <v/>
      </c>
      <c r="F2278" s="832"/>
      <c r="G2278" s="187"/>
      <c r="H2278" s="1"/>
      <c r="I2278" s="169">
        <f>Imput[[#This Row],[Cantidad]]*Imput[[#This Row],[Precio Unitario]]</f>
        <v>0</v>
      </c>
      <c r="J2278" s="11">
        <f>((Imput[[#This Row],[Sub total]])*(0.16))</f>
        <v>0</v>
      </c>
      <c r="K2278" s="11">
        <v>0</v>
      </c>
      <c r="L2278" s="169">
        <f>Imput[[#This Row],[Sub total]]+Imput[[#This Row],[IVA]]-Imput[[#This Row],[Retención / IEPS / Descuento]]</f>
        <v>0</v>
      </c>
      <c r="M2278" s="844">
        <v>0</v>
      </c>
      <c r="N2278" s="189"/>
      <c r="O2278" s="1"/>
      <c r="P2278" s="189"/>
      <c r="Q2278" s="190"/>
      <c r="R2278" s="188"/>
      <c r="S2278" s="193"/>
      <c r="T2278" s="192"/>
      <c r="U2278" s="829"/>
      <c r="V2278" s="10"/>
      <c r="W2278" s="10"/>
      <c r="X2278" s="10"/>
      <c r="Y2278" s="10"/>
      <c r="Z2278" s="10"/>
      <c r="AA2278" s="11"/>
      <c r="AB2278" s="11"/>
    </row>
    <row r="2279" spans="2:28" x14ac:dyDescent="0.3">
      <c r="B2279" s="10"/>
      <c r="C2279" s="315"/>
      <c r="D2279" s="868"/>
      <c r="E2279" s="837" t="str">
        <f>IFERROR(IF(_xlfn.XLOOKUP(Imput[[#This Row],[RFC]],'Alta Proveedor'!D:D,'Alta Proveedor'!E:E)=0,"",_xlfn.XLOOKUP(Imput[[#This Row],[RFC]],'Alta Proveedor'!D:D,'Alta Proveedor'!E:E)),"")</f>
        <v/>
      </c>
      <c r="F2279" s="832"/>
      <c r="G2279" s="187"/>
      <c r="H2279" s="1"/>
      <c r="I2279" s="169">
        <f>Imput[[#This Row],[Cantidad]]*Imput[[#This Row],[Precio Unitario]]</f>
        <v>0</v>
      </c>
      <c r="J2279" s="11">
        <f>((Imput[[#This Row],[Sub total]])*(0.16))</f>
        <v>0</v>
      </c>
      <c r="K2279" s="11">
        <v>0</v>
      </c>
      <c r="L2279" s="169">
        <f>Imput[[#This Row],[Sub total]]+Imput[[#This Row],[IVA]]-Imput[[#This Row],[Retención / IEPS / Descuento]]</f>
        <v>0</v>
      </c>
      <c r="M2279" s="844">
        <v>0</v>
      </c>
      <c r="N2279" s="189"/>
      <c r="O2279" s="1"/>
      <c r="P2279" s="189"/>
      <c r="Q2279" s="190"/>
      <c r="R2279" s="188"/>
      <c r="S2279" s="193"/>
      <c r="T2279" s="192"/>
      <c r="U2279" s="829"/>
      <c r="V2279" s="10"/>
      <c r="W2279" s="10"/>
      <c r="X2279" s="10"/>
      <c r="Y2279" s="10"/>
      <c r="Z2279" s="10"/>
      <c r="AA2279" s="11"/>
      <c r="AB2279" s="11"/>
    </row>
    <row r="2280" spans="2:28" x14ac:dyDescent="0.3">
      <c r="B2280" s="10"/>
      <c r="C2280" s="315"/>
      <c r="D2280" s="868"/>
      <c r="E2280" s="837" t="str">
        <f>IFERROR(IF(_xlfn.XLOOKUP(Imput[[#This Row],[RFC]],'Alta Proveedor'!D:D,'Alta Proveedor'!E:E)=0,"",_xlfn.XLOOKUP(Imput[[#This Row],[RFC]],'Alta Proveedor'!D:D,'Alta Proveedor'!E:E)),"")</f>
        <v/>
      </c>
      <c r="F2280" s="832"/>
      <c r="G2280" s="187"/>
      <c r="H2280" s="1"/>
      <c r="I2280" s="169">
        <f>Imput[[#This Row],[Cantidad]]*Imput[[#This Row],[Precio Unitario]]</f>
        <v>0</v>
      </c>
      <c r="J2280" s="11">
        <f>((Imput[[#This Row],[Sub total]])*(0.16))</f>
        <v>0</v>
      </c>
      <c r="K2280" s="11">
        <v>0</v>
      </c>
      <c r="L2280" s="169">
        <f>Imput[[#This Row],[Sub total]]+Imput[[#This Row],[IVA]]-Imput[[#This Row],[Retención / IEPS / Descuento]]</f>
        <v>0</v>
      </c>
      <c r="M2280" s="844">
        <v>0</v>
      </c>
      <c r="N2280" s="189"/>
      <c r="O2280" s="1"/>
      <c r="P2280" s="189"/>
      <c r="Q2280" s="190"/>
      <c r="R2280" s="188"/>
      <c r="S2280" s="193"/>
      <c r="T2280" s="192"/>
      <c r="U2280" s="829"/>
      <c r="V2280" s="10"/>
      <c r="W2280" s="10"/>
      <c r="X2280" s="10"/>
      <c r="Y2280" s="10"/>
      <c r="Z2280" s="10"/>
      <c r="AA2280" s="11"/>
      <c r="AB2280" s="11"/>
    </row>
    <row r="2281" spans="2:28" x14ac:dyDescent="0.3">
      <c r="B2281" s="10"/>
      <c r="C2281" s="315"/>
      <c r="D2281" s="868"/>
      <c r="E2281" s="837" t="str">
        <f>IFERROR(IF(_xlfn.XLOOKUP(Imput[[#This Row],[RFC]],'Alta Proveedor'!D:D,'Alta Proveedor'!E:E)=0,"",_xlfn.XLOOKUP(Imput[[#This Row],[RFC]],'Alta Proveedor'!D:D,'Alta Proveedor'!E:E)),"")</f>
        <v/>
      </c>
      <c r="F2281" s="832"/>
      <c r="G2281" s="187"/>
      <c r="H2281" s="1"/>
      <c r="I2281" s="169">
        <f>Imput[[#This Row],[Cantidad]]*Imput[[#This Row],[Precio Unitario]]</f>
        <v>0</v>
      </c>
      <c r="J2281" s="11">
        <f>((Imput[[#This Row],[Sub total]])*(0.16))</f>
        <v>0</v>
      </c>
      <c r="K2281" s="11">
        <v>0</v>
      </c>
      <c r="L2281" s="169">
        <f>Imput[[#This Row],[Sub total]]+Imput[[#This Row],[IVA]]-Imput[[#This Row],[Retención / IEPS / Descuento]]</f>
        <v>0</v>
      </c>
      <c r="M2281" s="844">
        <v>0</v>
      </c>
      <c r="N2281" s="189"/>
      <c r="O2281" s="1"/>
      <c r="P2281" s="189"/>
      <c r="Q2281" s="190"/>
      <c r="R2281" s="188"/>
      <c r="S2281" s="193"/>
      <c r="T2281" s="192"/>
      <c r="U2281" s="829"/>
      <c r="V2281" s="10"/>
      <c r="W2281" s="10"/>
      <c r="X2281" s="10"/>
      <c r="Y2281" s="10"/>
      <c r="Z2281" s="10"/>
      <c r="AA2281" s="11"/>
      <c r="AB2281" s="11"/>
    </row>
    <row r="2282" spans="2:28" x14ac:dyDescent="0.3">
      <c r="B2282" s="10"/>
      <c r="C2282" s="315"/>
      <c r="D2282" s="868"/>
      <c r="E2282" s="837" t="str">
        <f>IFERROR(IF(_xlfn.XLOOKUP(Imput[[#This Row],[RFC]],'Alta Proveedor'!D:D,'Alta Proveedor'!E:E)=0,"",_xlfn.XLOOKUP(Imput[[#This Row],[RFC]],'Alta Proveedor'!D:D,'Alta Proveedor'!E:E)),"")</f>
        <v/>
      </c>
      <c r="F2282" s="832"/>
      <c r="G2282" s="187"/>
      <c r="H2282" s="1"/>
      <c r="I2282" s="169">
        <f>Imput[[#This Row],[Cantidad]]*Imput[[#This Row],[Precio Unitario]]</f>
        <v>0</v>
      </c>
      <c r="J2282" s="11">
        <f>((Imput[[#This Row],[Sub total]])*(0.16))</f>
        <v>0</v>
      </c>
      <c r="K2282" s="11">
        <v>0</v>
      </c>
      <c r="L2282" s="169">
        <f>Imput[[#This Row],[Sub total]]+Imput[[#This Row],[IVA]]-Imput[[#This Row],[Retención / IEPS / Descuento]]</f>
        <v>0</v>
      </c>
      <c r="M2282" s="844">
        <v>0</v>
      </c>
      <c r="N2282" s="189"/>
      <c r="O2282" s="1"/>
      <c r="P2282" s="189"/>
      <c r="Q2282" s="190"/>
      <c r="R2282" s="188"/>
      <c r="S2282" s="193"/>
      <c r="T2282" s="192"/>
      <c r="U2282" s="829"/>
      <c r="V2282" s="10"/>
      <c r="W2282" s="10"/>
      <c r="X2282" s="10"/>
      <c r="Y2282" s="10"/>
      <c r="Z2282" s="10"/>
      <c r="AA2282" s="11"/>
      <c r="AB2282" s="11"/>
    </row>
    <row r="2283" spans="2:28" x14ac:dyDescent="0.3">
      <c r="B2283" s="10"/>
      <c r="C2283" s="315"/>
      <c r="D2283" s="868"/>
      <c r="E2283" s="837" t="str">
        <f>IFERROR(IF(_xlfn.XLOOKUP(Imput[[#This Row],[RFC]],'Alta Proveedor'!D:D,'Alta Proveedor'!E:E)=0,"",_xlfn.XLOOKUP(Imput[[#This Row],[RFC]],'Alta Proveedor'!D:D,'Alta Proveedor'!E:E)),"")</f>
        <v/>
      </c>
      <c r="F2283" s="832"/>
      <c r="G2283" s="187"/>
      <c r="H2283" s="1"/>
      <c r="I2283" s="169">
        <f>Imput[[#This Row],[Cantidad]]*Imput[[#This Row],[Precio Unitario]]</f>
        <v>0</v>
      </c>
      <c r="J2283" s="11">
        <f>((Imput[[#This Row],[Sub total]])*(0.16))</f>
        <v>0</v>
      </c>
      <c r="K2283" s="11">
        <v>0</v>
      </c>
      <c r="L2283" s="169">
        <f>Imput[[#This Row],[Sub total]]+Imput[[#This Row],[IVA]]-Imput[[#This Row],[Retención / IEPS / Descuento]]</f>
        <v>0</v>
      </c>
      <c r="M2283" s="844">
        <v>0</v>
      </c>
      <c r="N2283" s="189"/>
      <c r="O2283" s="1"/>
      <c r="P2283" s="189"/>
      <c r="Q2283" s="190"/>
      <c r="R2283" s="188"/>
      <c r="S2283" s="193"/>
      <c r="T2283" s="192"/>
      <c r="U2283" s="829"/>
      <c r="V2283" s="10"/>
      <c r="W2283" s="10"/>
      <c r="X2283" s="10"/>
      <c r="Y2283" s="10"/>
      <c r="Z2283" s="10"/>
      <c r="AA2283" s="11"/>
      <c r="AB2283" s="11"/>
    </row>
    <row r="2284" spans="2:28" x14ac:dyDescent="0.3">
      <c r="B2284" s="10"/>
      <c r="C2284" s="315"/>
      <c r="D2284" s="868"/>
      <c r="E2284" s="837" t="str">
        <f>IFERROR(IF(_xlfn.XLOOKUP(Imput[[#This Row],[RFC]],'Alta Proveedor'!D:D,'Alta Proveedor'!E:E)=0,"",_xlfn.XLOOKUP(Imput[[#This Row],[RFC]],'Alta Proveedor'!D:D,'Alta Proveedor'!E:E)),"")</f>
        <v/>
      </c>
      <c r="F2284" s="832"/>
      <c r="G2284" s="187"/>
      <c r="H2284" s="1"/>
      <c r="I2284" s="169">
        <f>Imput[[#This Row],[Cantidad]]*Imput[[#This Row],[Precio Unitario]]</f>
        <v>0</v>
      </c>
      <c r="J2284" s="11">
        <f>((Imput[[#This Row],[Sub total]])*(0.16))</f>
        <v>0</v>
      </c>
      <c r="K2284" s="11">
        <v>0</v>
      </c>
      <c r="L2284" s="169">
        <f>Imput[[#This Row],[Sub total]]+Imput[[#This Row],[IVA]]-Imput[[#This Row],[Retención / IEPS / Descuento]]</f>
        <v>0</v>
      </c>
      <c r="M2284" s="844">
        <v>0</v>
      </c>
      <c r="N2284" s="189"/>
      <c r="O2284" s="1"/>
      <c r="P2284" s="189"/>
      <c r="Q2284" s="190"/>
      <c r="R2284" s="188"/>
      <c r="S2284" s="193"/>
      <c r="T2284" s="192"/>
      <c r="U2284" s="829"/>
      <c r="V2284" s="10"/>
      <c r="W2284" s="10"/>
      <c r="X2284" s="10"/>
      <c r="Y2284" s="10"/>
      <c r="Z2284" s="10"/>
      <c r="AA2284" s="11"/>
      <c r="AB2284" s="11"/>
    </row>
    <row r="2285" spans="2:28" x14ac:dyDescent="0.3">
      <c r="B2285" s="10"/>
      <c r="C2285" s="315"/>
      <c r="D2285" s="868"/>
      <c r="E2285" s="837" t="str">
        <f>IFERROR(IF(_xlfn.XLOOKUP(Imput[[#This Row],[RFC]],'Alta Proveedor'!D:D,'Alta Proveedor'!E:E)=0,"",_xlfn.XLOOKUP(Imput[[#This Row],[RFC]],'Alta Proveedor'!D:D,'Alta Proveedor'!E:E)),"")</f>
        <v/>
      </c>
      <c r="F2285" s="832"/>
      <c r="G2285" s="187"/>
      <c r="H2285" s="1"/>
      <c r="I2285" s="169">
        <f>Imput[[#This Row],[Cantidad]]*Imput[[#This Row],[Precio Unitario]]</f>
        <v>0</v>
      </c>
      <c r="J2285" s="11">
        <f>((Imput[[#This Row],[Sub total]])*(0.16))</f>
        <v>0</v>
      </c>
      <c r="K2285" s="11">
        <v>0</v>
      </c>
      <c r="L2285" s="169">
        <f>Imput[[#This Row],[Sub total]]+Imput[[#This Row],[IVA]]-Imput[[#This Row],[Retención / IEPS / Descuento]]</f>
        <v>0</v>
      </c>
      <c r="M2285" s="844">
        <v>0</v>
      </c>
      <c r="N2285" s="189"/>
      <c r="O2285" s="1"/>
      <c r="P2285" s="189"/>
      <c r="Q2285" s="190"/>
      <c r="R2285" s="188"/>
      <c r="S2285" s="193"/>
      <c r="T2285" s="192"/>
      <c r="U2285" s="829"/>
      <c r="V2285" s="10"/>
      <c r="W2285" s="10"/>
      <c r="X2285" s="10"/>
      <c r="Y2285" s="10"/>
      <c r="Z2285" s="10"/>
      <c r="AA2285" s="11"/>
      <c r="AB2285" s="11"/>
    </row>
    <row r="2286" spans="2:28" x14ac:dyDescent="0.3">
      <c r="B2286" s="10"/>
      <c r="C2286" s="315"/>
      <c r="D2286" s="868"/>
      <c r="E2286" s="837" t="str">
        <f>IFERROR(IF(_xlfn.XLOOKUP(Imput[[#This Row],[RFC]],'Alta Proveedor'!D:D,'Alta Proveedor'!E:E)=0,"",_xlfn.XLOOKUP(Imput[[#This Row],[RFC]],'Alta Proveedor'!D:D,'Alta Proveedor'!E:E)),"")</f>
        <v/>
      </c>
      <c r="F2286" s="832"/>
      <c r="G2286" s="187"/>
      <c r="H2286" s="1"/>
      <c r="I2286" s="169">
        <f>Imput[[#This Row],[Cantidad]]*Imput[[#This Row],[Precio Unitario]]</f>
        <v>0</v>
      </c>
      <c r="J2286" s="11">
        <f>((Imput[[#This Row],[Sub total]])*(0.16))</f>
        <v>0</v>
      </c>
      <c r="K2286" s="11">
        <v>0</v>
      </c>
      <c r="L2286" s="169">
        <f>Imput[[#This Row],[Sub total]]+Imput[[#This Row],[IVA]]-Imput[[#This Row],[Retención / IEPS / Descuento]]</f>
        <v>0</v>
      </c>
      <c r="M2286" s="844">
        <v>0</v>
      </c>
      <c r="N2286" s="189"/>
      <c r="O2286" s="1"/>
      <c r="P2286" s="189"/>
      <c r="Q2286" s="190"/>
      <c r="R2286" s="188"/>
      <c r="S2286" s="193"/>
      <c r="T2286" s="192"/>
      <c r="U2286" s="829"/>
      <c r="V2286" s="10"/>
      <c r="W2286" s="10"/>
      <c r="X2286" s="10"/>
      <c r="Y2286" s="10"/>
      <c r="Z2286" s="10"/>
      <c r="AA2286" s="11"/>
      <c r="AB2286" s="11"/>
    </row>
    <row r="2287" spans="2:28" x14ac:dyDescent="0.3">
      <c r="B2287" s="10"/>
      <c r="C2287" s="315"/>
      <c r="D2287" s="868"/>
      <c r="E2287" s="837" t="str">
        <f>IFERROR(IF(_xlfn.XLOOKUP(Imput[[#This Row],[RFC]],'Alta Proveedor'!D:D,'Alta Proveedor'!E:E)=0,"",_xlfn.XLOOKUP(Imput[[#This Row],[RFC]],'Alta Proveedor'!D:D,'Alta Proveedor'!E:E)),"")</f>
        <v/>
      </c>
      <c r="F2287" s="832"/>
      <c r="G2287" s="187"/>
      <c r="H2287" s="1"/>
      <c r="I2287" s="169">
        <f>Imput[[#This Row],[Cantidad]]*Imput[[#This Row],[Precio Unitario]]</f>
        <v>0</v>
      </c>
      <c r="J2287" s="11">
        <f>((Imput[[#This Row],[Sub total]])*(0.16))</f>
        <v>0</v>
      </c>
      <c r="K2287" s="11">
        <v>0</v>
      </c>
      <c r="L2287" s="169">
        <f>Imput[[#This Row],[Sub total]]+Imput[[#This Row],[IVA]]-Imput[[#This Row],[Retención / IEPS / Descuento]]</f>
        <v>0</v>
      </c>
      <c r="M2287" s="844">
        <v>0</v>
      </c>
      <c r="N2287" s="189"/>
      <c r="O2287" s="1"/>
      <c r="P2287" s="189"/>
      <c r="Q2287" s="190"/>
      <c r="R2287" s="188"/>
      <c r="S2287" s="193"/>
      <c r="T2287" s="192"/>
      <c r="U2287" s="829"/>
      <c r="V2287" s="10"/>
      <c r="W2287" s="10"/>
      <c r="X2287" s="10"/>
      <c r="Y2287" s="10"/>
      <c r="Z2287" s="10"/>
      <c r="AA2287" s="11"/>
      <c r="AB2287" s="11"/>
    </row>
    <row r="2288" spans="2:28" x14ac:dyDescent="0.3">
      <c r="B2288" s="10"/>
      <c r="C2288" s="315"/>
      <c r="D2288" s="868"/>
      <c r="E2288" s="837" t="str">
        <f>IFERROR(IF(_xlfn.XLOOKUP(Imput[[#This Row],[RFC]],'Alta Proveedor'!D:D,'Alta Proveedor'!E:E)=0,"",_xlfn.XLOOKUP(Imput[[#This Row],[RFC]],'Alta Proveedor'!D:D,'Alta Proveedor'!E:E)),"")</f>
        <v/>
      </c>
      <c r="F2288" s="832"/>
      <c r="G2288" s="187"/>
      <c r="H2288" s="1"/>
      <c r="I2288" s="169">
        <f>Imput[[#This Row],[Cantidad]]*Imput[[#This Row],[Precio Unitario]]</f>
        <v>0</v>
      </c>
      <c r="J2288" s="11">
        <f>((Imput[[#This Row],[Sub total]])*(0.16))</f>
        <v>0</v>
      </c>
      <c r="K2288" s="11">
        <v>0</v>
      </c>
      <c r="L2288" s="169">
        <f>Imput[[#This Row],[Sub total]]+Imput[[#This Row],[IVA]]-Imput[[#This Row],[Retención / IEPS / Descuento]]</f>
        <v>0</v>
      </c>
      <c r="M2288" s="844">
        <v>0</v>
      </c>
      <c r="N2288" s="189"/>
      <c r="O2288" s="1"/>
      <c r="P2288" s="189"/>
      <c r="Q2288" s="190"/>
      <c r="R2288" s="188"/>
      <c r="S2288" s="193"/>
      <c r="T2288" s="192"/>
      <c r="U2288" s="829"/>
      <c r="V2288" s="10"/>
      <c r="W2288" s="10"/>
      <c r="X2288" s="10"/>
      <c r="Y2288" s="10"/>
      <c r="Z2288" s="10"/>
      <c r="AA2288" s="11"/>
      <c r="AB2288" s="11"/>
    </row>
    <row r="2289" spans="2:28" x14ac:dyDescent="0.3">
      <c r="B2289" s="10"/>
      <c r="C2289" s="315"/>
      <c r="D2289" s="868"/>
      <c r="E2289" s="837" t="str">
        <f>IFERROR(IF(_xlfn.XLOOKUP(Imput[[#This Row],[RFC]],'Alta Proveedor'!D:D,'Alta Proveedor'!E:E)=0,"",_xlfn.XLOOKUP(Imput[[#This Row],[RFC]],'Alta Proveedor'!D:D,'Alta Proveedor'!E:E)),"")</f>
        <v/>
      </c>
      <c r="F2289" s="832"/>
      <c r="G2289" s="187"/>
      <c r="H2289" s="1"/>
      <c r="I2289" s="169">
        <f>Imput[[#This Row],[Cantidad]]*Imput[[#This Row],[Precio Unitario]]</f>
        <v>0</v>
      </c>
      <c r="J2289" s="11">
        <f>((Imput[[#This Row],[Sub total]])*(0.16))</f>
        <v>0</v>
      </c>
      <c r="K2289" s="11">
        <v>0</v>
      </c>
      <c r="L2289" s="169">
        <f>Imput[[#This Row],[Sub total]]+Imput[[#This Row],[IVA]]-Imput[[#This Row],[Retención / IEPS / Descuento]]</f>
        <v>0</v>
      </c>
      <c r="M2289" s="844">
        <v>0</v>
      </c>
      <c r="N2289" s="189"/>
      <c r="O2289" s="1"/>
      <c r="P2289" s="189"/>
      <c r="Q2289" s="190"/>
      <c r="R2289" s="188"/>
      <c r="S2289" s="193"/>
      <c r="T2289" s="192"/>
      <c r="U2289" s="829"/>
      <c r="V2289" s="10"/>
      <c r="W2289" s="10"/>
      <c r="X2289" s="10"/>
      <c r="Y2289" s="10"/>
      <c r="Z2289" s="10"/>
      <c r="AA2289" s="11"/>
      <c r="AB2289" s="11"/>
    </row>
    <row r="2290" spans="2:28" x14ac:dyDescent="0.3">
      <c r="B2290" s="10"/>
      <c r="C2290" s="315"/>
      <c r="D2290" s="868"/>
      <c r="E2290" s="837" t="str">
        <f>IFERROR(IF(_xlfn.XLOOKUP(Imput[[#This Row],[RFC]],'Alta Proveedor'!D:D,'Alta Proveedor'!E:E)=0,"",_xlfn.XLOOKUP(Imput[[#This Row],[RFC]],'Alta Proveedor'!D:D,'Alta Proveedor'!E:E)),"")</f>
        <v/>
      </c>
      <c r="F2290" s="832"/>
      <c r="G2290" s="187"/>
      <c r="H2290" s="1"/>
      <c r="I2290" s="169">
        <f>Imput[[#This Row],[Cantidad]]*Imput[[#This Row],[Precio Unitario]]</f>
        <v>0</v>
      </c>
      <c r="J2290" s="11">
        <f>((Imput[[#This Row],[Sub total]])*(0.16))</f>
        <v>0</v>
      </c>
      <c r="K2290" s="11">
        <v>0</v>
      </c>
      <c r="L2290" s="169">
        <f>Imput[[#This Row],[Sub total]]+Imput[[#This Row],[IVA]]-Imput[[#This Row],[Retención / IEPS / Descuento]]</f>
        <v>0</v>
      </c>
      <c r="M2290" s="844">
        <v>0</v>
      </c>
      <c r="N2290" s="189"/>
      <c r="O2290" s="1"/>
      <c r="P2290" s="189"/>
      <c r="Q2290" s="190"/>
      <c r="R2290" s="188"/>
      <c r="S2290" s="193"/>
      <c r="T2290" s="192"/>
      <c r="U2290" s="829"/>
      <c r="V2290" s="10"/>
      <c r="W2290" s="10"/>
      <c r="X2290" s="10"/>
      <c r="Y2290" s="10"/>
      <c r="Z2290" s="10"/>
      <c r="AA2290" s="11"/>
      <c r="AB2290" s="11"/>
    </row>
    <row r="2291" spans="2:28" x14ac:dyDescent="0.3">
      <c r="B2291" s="10"/>
      <c r="C2291" s="315"/>
      <c r="D2291" s="868"/>
      <c r="E2291" s="837" t="str">
        <f>IFERROR(IF(_xlfn.XLOOKUP(Imput[[#This Row],[RFC]],'Alta Proveedor'!D:D,'Alta Proveedor'!E:E)=0,"",_xlfn.XLOOKUP(Imput[[#This Row],[RFC]],'Alta Proveedor'!D:D,'Alta Proveedor'!E:E)),"")</f>
        <v/>
      </c>
      <c r="F2291" s="832"/>
      <c r="G2291" s="187"/>
      <c r="H2291" s="1"/>
      <c r="I2291" s="169">
        <f>Imput[[#This Row],[Cantidad]]*Imput[[#This Row],[Precio Unitario]]</f>
        <v>0</v>
      </c>
      <c r="J2291" s="11">
        <f>((Imput[[#This Row],[Sub total]])*(0.16))</f>
        <v>0</v>
      </c>
      <c r="K2291" s="11">
        <v>0</v>
      </c>
      <c r="L2291" s="169">
        <f>Imput[[#This Row],[Sub total]]+Imput[[#This Row],[IVA]]-Imput[[#This Row],[Retención / IEPS / Descuento]]</f>
        <v>0</v>
      </c>
      <c r="M2291" s="844">
        <v>0</v>
      </c>
      <c r="N2291" s="189"/>
      <c r="O2291" s="1"/>
      <c r="P2291" s="189"/>
      <c r="Q2291" s="190"/>
      <c r="R2291" s="188"/>
      <c r="S2291" s="193"/>
      <c r="T2291" s="192"/>
      <c r="U2291" s="829"/>
      <c r="V2291" s="10"/>
      <c r="W2291" s="10"/>
      <c r="X2291" s="10"/>
      <c r="Y2291" s="10"/>
      <c r="Z2291" s="10"/>
      <c r="AA2291" s="11"/>
      <c r="AB2291" s="11"/>
    </row>
    <row r="2292" spans="2:28" x14ac:dyDescent="0.3">
      <c r="B2292" s="10"/>
      <c r="C2292" s="315"/>
      <c r="D2292" s="868"/>
      <c r="E2292" s="837" t="str">
        <f>IFERROR(IF(_xlfn.XLOOKUP(Imput[[#This Row],[RFC]],'Alta Proveedor'!D:D,'Alta Proveedor'!E:E)=0,"",_xlfn.XLOOKUP(Imput[[#This Row],[RFC]],'Alta Proveedor'!D:D,'Alta Proveedor'!E:E)),"")</f>
        <v/>
      </c>
      <c r="F2292" s="832"/>
      <c r="G2292" s="187"/>
      <c r="H2292" s="1"/>
      <c r="I2292" s="169">
        <f>Imput[[#This Row],[Cantidad]]*Imput[[#This Row],[Precio Unitario]]</f>
        <v>0</v>
      </c>
      <c r="J2292" s="11">
        <f>((Imput[[#This Row],[Sub total]])*(0.16))</f>
        <v>0</v>
      </c>
      <c r="K2292" s="11">
        <v>0</v>
      </c>
      <c r="L2292" s="169">
        <f>Imput[[#This Row],[Sub total]]+Imput[[#This Row],[IVA]]-Imput[[#This Row],[Retención / IEPS / Descuento]]</f>
        <v>0</v>
      </c>
      <c r="M2292" s="844">
        <v>0</v>
      </c>
      <c r="N2292" s="189"/>
      <c r="O2292" s="1"/>
      <c r="P2292" s="189"/>
      <c r="Q2292" s="190"/>
      <c r="R2292" s="188"/>
      <c r="S2292" s="193"/>
      <c r="T2292" s="192"/>
      <c r="U2292" s="829"/>
      <c r="V2292" s="10"/>
      <c r="W2292" s="10"/>
      <c r="X2292" s="10"/>
      <c r="Y2292" s="10"/>
      <c r="Z2292" s="10"/>
      <c r="AA2292" s="11"/>
      <c r="AB2292" s="11"/>
    </row>
    <row r="2293" spans="2:28" x14ac:dyDescent="0.3">
      <c r="B2293" s="10"/>
      <c r="C2293" s="315"/>
      <c r="D2293" s="868"/>
      <c r="E2293" s="837" t="str">
        <f>IFERROR(IF(_xlfn.XLOOKUP(Imput[[#This Row],[RFC]],'Alta Proveedor'!D:D,'Alta Proveedor'!E:E)=0,"",_xlfn.XLOOKUP(Imput[[#This Row],[RFC]],'Alta Proveedor'!D:D,'Alta Proveedor'!E:E)),"")</f>
        <v/>
      </c>
      <c r="F2293" s="832"/>
      <c r="G2293" s="187"/>
      <c r="H2293" s="1"/>
      <c r="I2293" s="169">
        <f>Imput[[#This Row],[Cantidad]]*Imput[[#This Row],[Precio Unitario]]</f>
        <v>0</v>
      </c>
      <c r="J2293" s="11">
        <f>((Imput[[#This Row],[Sub total]])*(0.16))</f>
        <v>0</v>
      </c>
      <c r="K2293" s="11">
        <v>0</v>
      </c>
      <c r="L2293" s="169">
        <f>Imput[[#This Row],[Sub total]]+Imput[[#This Row],[IVA]]-Imput[[#This Row],[Retención / IEPS / Descuento]]</f>
        <v>0</v>
      </c>
      <c r="M2293" s="844">
        <v>0</v>
      </c>
      <c r="N2293" s="189"/>
      <c r="O2293" s="1"/>
      <c r="P2293" s="189"/>
      <c r="Q2293" s="190"/>
      <c r="R2293" s="188"/>
      <c r="S2293" s="193"/>
      <c r="T2293" s="192"/>
      <c r="U2293" s="829"/>
      <c r="V2293" s="10"/>
      <c r="W2293" s="10"/>
      <c r="X2293" s="10"/>
      <c r="Y2293" s="10"/>
      <c r="Z2293" s="10"/>
      <c r="AA2293" s="11"/>
      <c r="AB2293" s="11"/>
    </row>
    <row r="2294" spans="2:28" x14ac:dyDescent="0.3">
      <c r="B2294" s="10"/>
      <c r="C2294" s="315"/>
      <c r="D2294" s="868"/>
      <c r="E2294" s="837" t="str">
        <f>IFERROR(IF(_xlfn.XLOOKUP(Imput[[#This Row],[RFC]],'Alta Proveedor'!D:D,'Alta Proveedor'!E:E)=0,"",_xlfn.XLOOKUP(Imput[[#This Row],[RFC]],'Alta Proveedor'!D:D,'Alta Proveedor'!E:E)),"")</f>
        <v/>
      </c>
      <c r="F2294" s="832"/>
      <c r="G2294" s="187"/>
      <c r="H2294" s="1"/>
      <c r="I2294" s="169">
        <f>Imput[[#This Row],[Cantidad]]*Imput[[#This Row],[Precio Unitario]]</f>
        <v>0</v>
      </c>
      <c r="J2294" s="11">
        <f>((Imput[[#This Row],[Sub total]])*(0.16))</f>
        <v>0</v>
      </c>
      <c r="K2294" s="11">
        <v>0</v>
      </c>
      <c r="L2294" s="169">
        <f>Imput[[#This Row],[Sub total]]+Imput[[#This Row],[IVA]]-Imput[[#This Row],[Retención / IEPS / Descuento]]</f>
        <v>0</v>
      </c>
      <c r="M2294" s="844">
        <v>0</v>
      </c>
      <c r="N2294" s="189"/>
      <c r="O2294" s="1"/>
      <c r="P2294" s="189"/>
      <c r="Q2294" s="190"/>
      <c r="R2294" s="188"/>
      <c r="S2294" s="193"/>
      <c r="T2294" s="192"/>
      <c r="U2294" s="829"/>
      <c r="V2294" s="10"/>
      <c r="W2294" s="10"/>
      <c r="X2294" s="10"/>
      <c r="Y2294" s="10"/>
      <c r="Z2294" s="10"/>
      <c r="AA2294" s="11"/>
      <c r="AB2294" s="11"/>
    </row>
    <row r="2295" spans="2:28" x14ac:dyDescent="0.3">
      <c r="B2295" s="10"/>
      <c r="C2295" s="315"/>
      <c r="D2295" s="868"/>
      <c r="E2295" s="837" t="str">
        <f>IFERROR(IF(_xlfn.XLOOKUP(Imput[[#This Row],[RFC]],'Alta Proveedor'!D:D,'Alta Proveedor'!E:E)=0,"",_xlfn.XLOOKUP(Imput[[#This Row],[RFC]],'Alta Proveedor'!D:D,'Alta Proveedor'!E:E)),"")</f>
        <v/>
      </c>
      <c r="F2295" s="832"/>
      <c r="G2295" s="187"/>
      <c r="H2295" s="1"/>
      <c r="I2295" s="169">
        <f>Imput[[#This Row],[Cantidad]]*Imput[[#This Row],[Precio Unitario]]</f>
        <v>0</v>
      </c>
      <c r="J2295" s="11">
        <f>((Imput[[#This Row],[Sub total]])*(0.16))</f>
        <v>0</v>
      </c>
      <c r="K2295" s="11">
        <v>0</v>
      </c>
      <c r="L2295" s="169">
        <f>Imput[[#This Row],[Sub total]]+Imput[[#This Row],[IVA]]-Imput[[#This Row],[Retención / IEPS / Descuento]]</f>
        <v>0</v>
      </c>
      <c r="M2295" s="844">
        <v>0</v>
      </c>
      <c r="N2295" s="189"/>
      <c r="O2295" s="1"/>
      <c r="P2295" s="189"/>
      <c r="Q2295" s="190"/>
      <c r="R2295" s="188"/>
      <c r="S2295" s="193"/>
      <c r="T2295" s="192"/>
      <c r="U2295" s="829"/>
      <c r="V2295" s="10"/>
      <c r="W2295" s="10"/>
      <c r="X2295" s="10"/>
      <c r="Y2295" s="10"/>
      <c r="Z2295" s="10"/>
      <c r="AA2295" s="11"/>
      <c r="AB2295" s="11"/>
    </row>
    <row r="2296" spans="2:28" x14ac:dyDescent="0.3">
      <c r="B2296" s="10"/>
      <c r="C2296" s="315"/>
      <c r="D2296" s="868"/>
      <c r="E2296" s="837" t="str">
        <f>IFERROR(IF(_xlfn.XLOOKUP(Imput[[#This Row],[RFC]],'Alta Proveedor'!D:D,'Alta Proveedor'!E:E)=0,"",_xlfn.XLOOKUP(Imput[[#This Row],[RFC]],'Alta Proveedor'!D:D,'Alta Proveedor'!E:E)),"")</f>
        <v/>
      </c>
      <c r="F2296" s="832"/>
      <c r="G2296" s="187"/>
      <c r="H2296" s="1"/>
      <c r="I2296" s="169">
        <f>Imput[[#This Row],[Cantidad]]*Imput[[#This Row],[Precio Unitario]]</f>
        <v>0</v>
      </c>
      <c r="J2296" s="11">
        <f>((Imput[[#This Row],[Sub total]])*(0.16))</f>
        <v>0</v>
      </c>
      <c r="K2296" s="11">
        <v>0</v>
      </c>
      <c r="L2296" s="169">
        <f>Imput[[#This Row],[Sub total]]+Imput[[#This Row],[IVA]]-Imput[[#This Row],[Retención / IEPS / Descuento]]</f>
        <v>0</v>
      </c>
      <c r="M2296" s="844">
        <v>0</v>
      </c>
      <c r="N2296" s="189"/>
      <c r="O2296" s="1"/>
      <c r="P2296" s="189"/>
      <c r="Q2296" s="190"/>
      <c r="R2296" s="188"/>
      <c r="S2296" s="193"/>
      <c r="T2296" s="192"/>
      <c r="U2296" s="829"/>
      <c r="V2296" s="10"/>
      <c r="W2296" s="10"/>
      <c r="X2296" s="10"/>
      <c r="Y2296" s="10"/>
      <c r="Z2296" s="10"/>
      <c r="AA2296" s="11"/>
      <c r="AB2296" s="11"/>
    </row>
    <row r="2297" spans="2:28" x14ac:dyDescent="0.3">
      <c r="B2297" s="10"/>
      <c r="C2297" s="315"/>
      <c r="D2297" s="868"/>
      <c r="E2297" s="837" t="str">
        <f>IFERROR(IF(_xlfn.XLOOKUP(Imput[[#This Row],[RFC]],'Alta Proveedor'!D:D,'Alta Proveedor'!E:E)=0,"",_xlfn.XLOOKUP(Imput[[#This Row],[RFC]],'Alta Proveedor'!D:D,'Alta Proveedor'!E:E)),"")</f>
        <v/>
      </c>
      <c r="F2297" s="832"/>
      <c r="G2297" s="187"/>
      <c r="H2297" s="1"/>
      <c r="I2297" s="169">
        <f>Imput[[#This Row],[Cantidad]]*Imput[[#This Row],[Precio Unitario]]</f>
        <v>0</v>
      </c>
      <c r="J2297" s="11">
        <f>((Imput[[#This Row],[Sub total]])*(0.16))</f>
        <v>0</v>
      </c>
      <c r="K2297" s="11">
        <v>0</v>
      </c>
      <c r="L2297" s="169">
        <f>Imput[[#This Row],[Sub total]]+Imput[[#This Row],[IVA]]-Imput[[#This Row],[Retención / IEPS / Descuento]]</f>
        <v>0</v>
      </c>
      <c r="M2297" s="844">
        <v>0</v>
      </c>
      <c r="N2297" s="189"/>
      <c r="O2297" s="1"/>
      <c r="P2297" s="189"/>
      <c r="Q2297" s="190"/>
      <c r="R2297" s="188"/>
      <c r="S2297" s="193"/>
      <c r="T2297" s="192"/>
      <c r="U2297" s="829"/>
      <c r="V2297" s="10"/>
      <c r="W2297" s="10"/>
      <c r="X2297" s="10"/>
      <c r="Y2297" s="10"/>
      <c r="Z2297" s="10"/>
      <c r="AA2297" s="11"/>
      <c r="AB2297" s="11"/>
    </row>
    <row r="2298" spans="2:28" x14ac:dyDescent="0.3">
      <c r="B2298" s="10"/>
      <c r="C2298" s="315"/>
      <c r="D2298" s="868"/>
      <c r="E2298" s="837" t="str">
        <f>IFERROR(IF(_xlfn.XLOOKUP(Imput[[#This Row],[RFC]],'Alta Proveedor'!D:D,'Alta Proveedor'!E:E)=0,"",_xlfn.XLOOKUP(Imput[[#This Row],[RFC]],'Alta Proveedor'!D:D,'Alta Proveedor'!E:E)),"")</f>
        <v/>
      </c>
      <c r="F2298" s="832"/>
      <c r="G2298" s="187"/>
      <c r="H2298" s="1"/>
      <c r="I2298" s="169">
        <f>Imput[[#This Row],[Cantidad]]*Imput[[#This Row],[Precio Unitario]]</f>
        <v>0</v>
      </c>
      <c r="J2298" s="11">
        <f>((Imput[[#This Row],[Sub total]])*(0.16))</f>
        <v>0</v>
      </c>
      <c r="K2298" s="11">
        <v>0</v>
      </c>
      <c r="L2298" s="169">
        <f>Imput[[#This Row],[Sub total]]+Imput[[#This Row],[IVA]]-Imput[[#This Row],[Retención / IEPS / Descuento]]</f>
        <v>0</v>
      </c>
      <c r="M2298" s="844">
        <v>0</v>
      </c>
      <c r="N2298" s="189"/>
      <c r="O2298" s="1"/>
      <c r="P2298" s="189"/>
      <c r="Q2298" s="190"/>
      <c r="R2298" s="188"/>
      <c r="S2298" s="193"/>
      <c r="T2298" s="192"/>
      <c r="U2298" s="829"/>
      <c r="V2298" s="10"/>
      <c r="W2298" s="10"/>
      <c r="X2298" s="10"/>
      <c r="Y2298" s="10"/>
      <c r="Z2298" s="10"/>
      <c r="AA2298" s="11"/>
      <c r="AB2298" s="11"/>
    </row>
    <row r="2299" spans="2:28" x14ac:dyDescent="0.3">
      <c r="B2299" s="10"/>
      <c r="C2299" s="315"/>
      <c r="D2299" s="868"/>
      <c r="E2299" s="837" t="str">
        <f>IFERROR(IF(_xlfn.XLOOKUP(Imput[[#This Row],[RFC]],'Alta Proveedor'!D:D,'Alta Proveedor'!E:E)=0,"",_xlfn.XLOOKUP(Imput[[#This Row],[RFC]],'Alta Proveedor'!D:D,'Alta Proveedor'!E:E)),"")</f>
        <v/>
      </c>
      <c r="F2299" s="832"/>
      <c r="G2299" s="187"/>
      <c r="H2299" s="1"/>
      <c r="I2299" s="169">
        <f>Imput[[#This Row],[Cantidad]]*Imput[[#This Row],[Precio Unitario]]</f>
        <v>0</v>
      </c>
      <c r="J2299" s="11">
        <f>((Imput[[#This Row],[Sub total]])*(0.16))</f>
        <v>0</v>
      </c>
      <c r="K2299" s="11">
        <v>0</v>
      </c>
      <c r="L2299" s="169">
        <f>Imput[[#This Row],[Sub total]]+Imput[[#This Row],[IVA]]-Imput[[#This Row],[Retención / IEPS / Descuento]]</f>
        <v>0</v>
      </c>
      <c r="M2299" s="844">
        <v>0</v>
      </c>
      <c r="N2299" s="189"/>
      <c r="O2299" s="1"/>
      <c r="P2299" s="189"/>
      <c r="Q2299" s="190"/>
      <c r="R2299" s="188"/>
      <c r="S2299" s="193"/>
      <c r="T2299" s="192"/>
      <c r="U2299" s="829"/>
      <c r="V2299" s="10"/>
      <c r="W2299" s="10"/>
      <c r="X2299" s="10"/>
      <c r="Y2299" s="10"/>
      <c r="Z2299" s="10"/>
      <c r="AA2299" s="11"/>
      <c r="AB2299" s="11"/>
    </row>
    <row r="2300" spans="2:28" x14ac:dyDescent="0.3">
      <c r="B2300" s="10"/>
      <c r="C2300" s="315"/>
      <c r="D2300" s="868"/>
      <c r="E2300" s="837" t="str">
        <f>IFERROR(IF(_xlfn.XLOOKUP(Imput[[#This Row],[RFC]],'Alta Proveedor'!D:D,'Alta Proveedor'!E:E)=0,"",_xlfn.XLOOKUP(Imput[[#This Row],[RFC]],'Alta Proveedor'!D:D,'Alta Proveedor'!E:E)),"")</f>
        <v/>
      </c>
      <c r="F2300" s="832"/>
      <c r="G2300" s="187"/>
      <c r="H2300" s="1"/>
      <c r="I2300" s="169">
        <f>Imput[[#This Row],[Cantidad]]*Imput[[#This Row],[Precio Unitario]]</f>
        <v>0</v>
      </c>
      <c r="J2300" s="11">
        <f>((Imput[[#This Row],[Sub total]])*(0.16))</f>
        <v>0</v>
      </c>
      <c r="K2300" s="11">
        <v>0</v>
      </c>
      <c r="L2300" s="169">
        <f>Imput[[#This Row],[Sub total]]+Imput[[#This Row],[IVA]]-Imput[[#This Row],[Retención / IEPS / Descuento]]</f>
        <v>0</v>
      </c>
      <c r="M2300" s="844">
        <v>0</v>
      </c>
      <c r="N2300" s="189"/>
      <c r="O2300" s="1"/>
      <c r="P2300" s="189"/>
      <c r="Q2300" s="190"/>
      <c r="R2300" s="188"/>
      <c r="S2300" s="193"/>
      <c r="T2300" s="192"/>
      <c r="U2300" s="829"/>
      <c r="V2300" s="10"/>
      <c r="W2300" s="10"/>
      <c r="X2300" s="10"/>
      <c r="Y2300" s="10"/>
      <c r="Z2300" s="10"/>
      <c r="AA2300" s="11"/>
      <c r="AB2300" s="11"/>
    </row>
    <row r="2301" spans="2:28" x14ac:dyDescent="0.3">
      <c r="B2301" s="10"/>
      <c r="C2301" s="315"/>
      <c r="D2301" s="868"/>
      <c r="E2301" s="837" t="str">
        <f>IFERROR(IF(_xlfn.XLOOKUP(Imput[[#This Row],[RFC]],'Alta Proveedor'!D:D,'Alta Proveedor'!E:E)=0,"",_xlfn.XLOOKUP(Imput[[#This Row],[RFC]],'Alta Proveedor'!D:D,'Alta Proveedor'!E:E)),"")</f>
        <v/>
      </c>
      <c r="F2301" s="832"/>
      <c r="G2301" s="187"/>
      <c r="H2301" s="1"/>
      <c r="I2301" s="169">
        <f>Imput[[#This Row],[Cantidad]]*Imput[[#This Row],[Precio Unitario]]</f>
        <v>0</v>
      </c>
      <c r="J2301" s="11">
        <f>((Imput[[#This Row],[Sub total]])*(0.16))</f>
        <v>0</v>
      </c>
      <c r="K2301" s="11">
        <v>0</v>
      </c>
      <c r="L2301" s="169">
        <f>Imput[[#This Row],[Sub total]]+Imput[[#This Row],[IVA]]-Imput[[#This Row],[Retención / IEPS / Descuento]]</f>
        <v>0</v>
      </c>
      <c r="M2301" s="844">
        <v>0</v>
      </c>
      <c r="N2301" s="189"/>
      <c r="O2301" s="1"/>
      <c r="P2301" s="189"/>
      <c r="Q2301" s="190"/>
      <c r="R2301" s="188"/>
      <c r="S2301" s="193"/>
      <c r="T2301" s="192"/>
      <c r="U2301" s="829"/>
      <c r="V2301" s="10"/>
      <c r="W2301" s="10"/>
      <c r="X2301" s="10"/>
      <c r="Y2301" s="10"/>
      <c r="Z2301" s="10"/>
      <c r="AA2301" s="11"/>
      <c r="AB2301" s="11"/>
    </row>
    <row r="2302" spans="2:28" x14ac:dyDescent="0.3">
      <c r="B2302" s="10"/>
      <c r="C2302" s="315"/>
      <c r="D2302" s="868"/>
      <c r="E2302" s="837" t="str">
        <f>IFERROR(IF(_xlfn.XLOOKUP(Imput[[#This Row],[RFC]],'Alta Proveedor'!D:D,'Alta Proveedor'!E:E)=0,"",_xlfn.XLOOKUP(Imput[[#This Row],[RFC]],'Alta Proveedor'!D:D,'Alta Proveedor'!E:E)),"")</f>
        <v/>
      </c>
      <c r="F2302" s="832"/>
      <c r="G2302" s="187"/>
      <c r="H2302" s="1"/>
      <c r="I2302" s="169">
        <f>Imput[[#This Row],[Cantidad]]*Imput[[#This Row],[Precio Unitario]]</f>
        <v>0</v>
      </c>
      <c r="J2302" s="11">
        <f>((Imput[[#This Row],[Sub total]])*(0.16))</f>
        <v>0</v>
      </c>
      <c r="K2302" s="11">
        <v>0</v>
      </c>
      <c r="L2302" s="169">
        <f>Imput[[#This Row],[Sub total]]+Imput[[#This Row],[IVA]]-Imput[[#This Row],[Retención / IEPS / Descuento]]</f>
        <v>0</v>
      </c>
      <c r="M2302" s="844">
        <v>0</v>
      </c>
      <c r="N2302" s="189"/>
      <c r="O2302" s="1"/>
      <c r="P2302" s="189"/>
      <c r="Q2302" s="190"/>
      <c r="R2302" s="188"/>
      <c r="S2302" s="193"/>
      <c r="T2302" s="192"/>
      <c r="U2302" s="829"/>
      <c r="V2302" s="10"/>
      <c r="W2302" s="10"/>
      <c r="X2302" s="10"/>
      <c r="Y2302" s="10"/>
      <c r="Z2302" s="10"/>
      <c r="AA2302" s="11"/>
      <c r="AB2302" s="11"/>
    </row>
    <row r="2303" spans="2:28" x14ac:dyDescent="0.3">
      <c r="B2303" s="10"/>
      <c r="C2303" s="315"/>
      <c r="D2303" s="868"/>
      <c r="E2303" s="837" t="str">
        <f>IFERROR(IF(_xlfn.XLOOKUP(Imput[[#This Row],[RFC]],'Alta Proveedor'!D:D,'Alta Proveedor'!E:E)=0,"",_xlfn.XLOOKUP(Imput[[#This Row],[RFC]],'Alta Proveedor'!D:D,'Alta Proveedor'!E:E)),"")</f>
        <v/>
      </c>
      <c r="F2303" s="832"/>
      <c r="G2303" s="187"/>
      <c r="H2303" s="1"/>
      <c r="I2303" s="169">
        <f>Imput[[#This Row],[Cantidad]]*Imput[[#This Row],[Precio Unitario]]</f>
        <v>0</v>
      </c>
      <c r="J2303" s="11">
        <f>((Imput[[#This Row],[Sub total]])*(0.16))</f>
        <v>0</v>
      </c>
      <c r="K2303" s="11">
        <v>0</v>
      </c>
      <c r="L2303" s="169">
        <f>Imput[[#This Row],[Sub total]]+Imput[[#This Row],[IVA]]-Imput[[#This Row],[Retención / IEPS / Descuento]]</f>
        <v>0</v>
      </c>
      <c r="M2303" s="844">
        <v>0</v>
      </c>
      <c r="N2303" s="189"/>
      <c r="O2303" s="1"/>
      <c r="P2303" s="189"/>
      <c r="Q2303" s="190"/>
      <c r="R2303" s="188"/>
      <c r="S2303" s="193"/>
      <c r="T2303" s="192"/>
      <c r="U2303" s="829"/>
      <c r="V2303" s="10"/>
      <c r="W2303" s="10"/>
      <c r="X2303" s="10"/>
      <c r="Y2303" s="10"/>
      <c r="Z2303" s="10"/>
      <c r="AA2303" s="11"/>
      <c r="AB2303" s="11"/>
    </row>
    <row r="2304" spans="2:28" x14ac:dyDescent="0.3">
      <c r="B2304" s="10"/>
      <c r="C2304" s="315"/>
      <c r="D2304" s="868"/>
      <c r="E2304" s="837" t="str">
        <f>IFERROR(IF(_xlfn.XLOOKUP(Imput[[#This Row],[RFC]],'Alta Proveedor'!D:D,'Alta Proveedor'!E:E)=0,"",_xlfn.XLOOKUP(Imput[[#This Row],[RFC]],'Alta Proveedor'!D:D,'Alta Proveedor'!E:E)),"")</f>
        <v/>
      </c>
      <c r="F2304" s="832"/>
      <c r="G2304" s="187"/>
      <c r="H2304" s="1"/>
      <c r="I2304" s="169">
        <f>Imput[[#This Row],[Cantidad]]*Imput[[#This Row],[Precio Unitario]]</f>
        <v>0</v>
      </c>
      <c r="J2304" s="11">
        <f>((Imput[[#This Row],[Sub total]])*(0.16))</f>
        <v>0</v>
      </c>
      <c r="K2304" s="11">
        <v>0</v>
      </c>
      <c r="L2304" s="169">
        <f>Imput[[#This Row],[Sub total]]+Imput[[#This Row],[IVA]]-Imput[[#This Row],[Retención / IEPS / Descuento]]</f>
        <v>0</v>
      </c>
      <c r="M2304" s="844">
        <v>0</v>
      </c>
      <c r="N2304" s="189"/>
      <c r="O2304" s="1"/>
      <c r="P2304" s="189"/>
      <c r="Q2304" s="190"/>
      <c r="R2304" s="188"/>
      <c r="S2304" s="193"/>
      <c r="T2304" s="192"/>
      <c r="U2304" s="829"/>
      <c r="V2304" s="10"/>
      <c r="W2304" s="10"/>
      <c r="X2304" s="10"/>
      <c r="Y2304" s="10"/>
      <c r="Z2304" s="10"/>
      <c r="AA2304" s="11"/>
      <c r="AB2304" s="11"/>
    </row>
    <row r="2305" spans="2:28" x14ac:dyDescent="0.3">
      <c r="B2305" s="10"/>
      <c r="C2305" s="315"/>
      <c r="D2305" s="868"/>
      <c r="E2305" s="837" t="str">
        <f>IFERROR(IF(_xlfn.XLOOKUP(Imput[[#This Row],[RFC]],'Alta Proveedor'!D:D,'Alta Proveedor'!E:E)=0,"",_xlfn.XLOOKUP(Imput[[#This Row],[RFC]],'Alta Proveedor'!D:D,'Alta Proveedor'!E:E)),"")</f>
        <v/>
      </c>
      <c r="F2305" s="832"/>
      <c r="G2305" s="187"/>
      <c r="H2305" s="1"/>
      <c r="I2305" s="169">
        <f>Imput[[#This Row],[Cantidad]]*Imput[[#This Row],[Precio Unitario]]</f>
        <v>0</v>
      </c>
      <c r="J2305" s="11">
        <f>((Imput[[#This Row],[Sub total]])*(0.16))</f>
        <v>0</v>
      </c>
      <c r="K2305" s="11">
        <v>0</v>
      </c>
      <c r="L2305" s="169">
        <f>Imput[[#This Row],[Sub total]]+Imput[[#This Row],[IVA]]-Imput[[#This Row],[Retención / IEPS / Descuento]]</f>
        <v>0</v>
      </c>
      <c r="M2305" s="844">
        <v>0</v>
      </c>
      <c r="N2305" s="189"/>
      <c r="O2305" s="1"/>
      <c r="P2305" s="189"/>
      <c r="Q2305" s="190"/>
      <c r="R2305" s="188"/>
      <c r="S2305" s="193"/>
      <c r="T2305" s="192"/>
      <c r="U2305" s="829"/>
      <c r="V2305" s="10"/>
      <c r="W2305" s="10"/>
      <c r="X2305" s="10"/>
      <c r="Y2305" s="10"/>
      <c r="Z2305" s="10"/>
      <c r="AA2305" s="11"/>
      <c r="AB2305" s="11"/>
    </row>
    <row r="2306" spans="2:28" x14ac:dyDescent="0.3">
      <c r="B2306" s="10"/>
      <c r="C2306" s="315"/>
      <c r="D2306" s="868"/>
      <c r="E2306" s="837" t="str">
        <f>IFERROR(IF(_xlfn.XLOOKUP(Imput[[#This Row],[RFC]],'Alta Proveedor'!D:D,'Alta Proveedor'!E:E)=0,"",_xlfn.XLOOKUP(Imput[[#This Row],[RFC]],'Alta Proveedor'!D:D,'Alta Proveedor'!E:E)),"")</f>
        <v/>
      </c>
      <c r="F2306" s="832"/>
      <c r="G2306" s="187"/>
      <c r="H2306" s="1"/>
      <c r="I2306" s="169">
        <f>Imput[[#This Row],[Cantidad]]*Imput[[#This Row],[Precio Unitario]]</f>
        <v>0</v>
      </c>
      <c r="J2306" s="11">
        <f>((Imput[[#This Row],[Sub total]])*(0.16))</f>
        <v>0</v>
      </c>
      <c r="K2306" s="11">
        <v>0</v>
      </c>
      <c r="L2306" s="169">
        <f>Imput[[#This Row],[Sub total]]+Imput[[#This Row],[IVA]]-Imput[[#This Row],[Retención / IEPS / Descuento]]</f>
        <v>0</v>
      </c>
      <c r="M2306" s="844">
        <v>0</v>
      </c>
      <c r="N2306" s="189"/>
      <c r="O2306" s="1"/>
      <c r="P2306" s="189"/>
      <c r="Q2306" s="190"/>
      <c r="R2306" s="188"/>
      <c r="S2306" s="193"/>
      <c r="T2306" s="192"/>
      <c r="U2306" s="829"/>
      <c r="V2306" s="10"/>
      <c r="W2306" s="10"/>
      <c r="X2306" s="10"/>
      <c r="Y2306" s="10"/>
      <c r="Z2306" s="10"/>
      <c r="AA2306" s="11"/>
      <c r="AB2306" s="11"/>
    </row>
    <row r="2307" spans="2:28" x14ac:dyDescent="0.3">
      <c r="B2307" s="10"/>
      <c r="C2307" s="315"/>
      <c r="D2307" s="868"/>
      <c r="E2307" s="837" t="str">
        <f>IFERROR(IF(_xlfn.XLOOKUP(Imput[[#This Row],[RFC]],'Alta Proveedor'!D:D,'Alta Proveedor'!E:E)=0,"",_xlfn.XLOOKUP(Imput[[#This Row],[RFC]],'Alta Proveedor'!D:D,'Alta Proveedor'!E:E)),"")</f>
        <v/>
      </c>
      <c r="F2307" s="832"/>
      <c r="G2307" s="187"/>
      <c r="H2307" s="1"/>
      <c r="I2307" s="169">
        <f>Imput[[#This Row],[Cantidad]]*Imput[[#This Row],[Precio Unitario]]</f>
        <v>0</v>
      </c>
      <c r="J2307" s="11">
        <f>((Imput[[#This Row],[Sub total]])*(0.16))</f>
        <v>0</v>
      </c>
      <c r="K2307" s="11">
        <v>0</v>
      </c>
      <c r="L2307" s="169">
        <f>Imput[[#This Row],[Sub total]]+Imput[[#This Row],[IVA]]-Imput[[#This Row],[Retención / IEPS / Descuento]]</f>
        <v>0</v>
      </c>
      <c r="M2307" s="844">
        <v>0</v>
      </c>
      <c r="N2307" s="189"/>
      <c r="O2307" s="1"/>
      <c r="P2307" s="189"/>
      <c r="Q2307" s="190"/>
      <c r="R2307" s="188"/>
      <c r="S2307" s="193"/>
      <c r="T2307" s="192"/>
      <c r="U2307" s="829"/>
      <c r="V2307" s="10"/>
      <c r="W2307" s="10"/>
      <c r="X2307" s="10"/>
      <c r="Y2307" s="10"/>
      <c r="Z2307" s="10"/>
      <c r="AA2307" s="11"/>
      <c r="AB2307" s="11"/>
    </row>
    <row r="2308" spans="2:28" x14ac:dyDescent="0.3">
      <c r="B2308" s="10"/>
      <c r="C2308" s="315"/>
      <c r="D2308" s="868"/>
      <c r="E2308" s="837" t="str">
        <f>IFERROR(IF(_xlfn.XLOOKUP(Imput[[#This Row],[RFC]],'Alta Proveedor'!D:D,'Alta Proveedor'!E:E)=0,"",_xlfn.XLOOKUP(Imput[[#This Row],[RFC]],'Alta Proveedor'!D:D,'Alta Proveedor'!E:E)),"")</f>
        <v/>
      </c>
      <c r="F2308" s="832"/>
      <c r="G2308" s="187"/>
      <c r="H2308" s="1"/>
      <c r="I2308" s="169">
        <f>Imput[[#This Row],[Cantidad]]*Imput[[#This Row],[Precio Unitario]]</f>
        <v>0</v>
      </c>
      <c r="J2308" s="11">
        <f>((Imput[[#This Row],[Sub total]])*(0.16))</f>
        <v>0</v>
      </c>
      <c r="K2308" s="11">
        <v>0</v>
      </c>
      <c r="L2308" s="169">
        <f>Imput[[#This Row],[Sub total]]+Imput[[#This Row],[IVA]]-Imput[[#This Row],[Retención / IEPS / Descuento]]</f>
        <v>0</v>
      </c>
      <c r="M2308" s="844">
        <v>0</v>
      </c>
      <c r="N2308" s="189"/>
      <c r="O2308" s="1"/>
      <c r="P2308" s="189"/>
      <c r="Q2308" s="190"/>
      <c r="R2308" s="188"/>
      <c r="S2308" s="193"/>
      <c r="T2308" s="192"/>
      <c r="U2308" s="829"/>
      <c r="V2308" s="10"/>
      <c r="W2308" s="10"/>
      <c r="X2308" s="10"/>
      <c r="Y2308" s="10"/>
      <c r="Z2308" s="10"/>
      <c r="AA2308" s="11"/>
      <c r="AB2308" s="11"/>
    </row>
    <row r="2309" spans="2:28" x14ac:dyDescent="0.3">
      <c r="B2309" s="10"/>
      <c r="C2309" s="315"/>
      <c r="D2309" s="868"/>
      <c r="E2309" s="837" t="str">
        <f>IFERROR(IF(_xlfn.XLOOKUP(Imput[[#This Row],[RFC]],'Alta Proveedor'!D:D,'Alta Proveedor'!E:E)=0,"",_xlfn.XLOOKUP(Imput[[#This Row],[RFC]],'Alta Proveedor'!D:D,'Alta Proveedor'!E:E)),"")</f>
        <v/>
      </c>
      <c r="F2309" s="832"/>
      <c r="G2309" s="187"/>
      <c r="H2309" s="1"/>
      <c r="I2309" s="169">
        <f>Imput[[#This Row],[Cantidad]]*Imput[[#This Row],[Precio Unitario]]</f>
        <v>0</v>
      </c>
      <c r="J2309" s="11">
        <f>((Imput[[#This Row],[Sub total]])*(0.16))</f>
        <v>0</v>
      </c>
      <c r="K2309" s="11">
        <v>0</v>
      </c>
      <c r="L2309" s="169">
        <f>Imput[[#This Row],[Sub total]]+Imput[[#This Row],[IVA]]-Imput[[#This Row],[Retención / IEPS / Descuento]]</f>
        <v>0</v>
      </c>
      <c r="M2309" s="844">
        <v>0</v>
      </c>
      <c r="N2309" s="189"/>
      <c r="O2309" s="1"/>
      <c r="P2309" s="189"/>
      <c r="Q2309" s="190"/>
      <c r="R2309" s="188"/>
      <c r="S2309" s="193"/>
      <c r="T2309" s="192"/>
      <c r="U2309" s="829"/>
      <c r="V2309" s="10"/>
      <c r="W2309" s="10"/>
      <c r="X2309" s="10"/>
      <c r="Y2309" s="10"/>
      <c r="Z2309" s="10"/>
      <c r="AA2309" s="11"/>
      <c r="AB2309" s="11"/>
    </row>
    <row r="2310" spans="2:28" x14ac:dyDescent="0.3">
      <c r="B2310" s="10"/>
      <c r="C2310" s="315"/>
      <c r="D2310" s="868"/>
      <c r="E2310" s="837" t="str">
        <f>IFERROR(IF(_xlfn.XLOOKUP(Imput[[#This Row],[RFC]],'Alta Proveedor'!D:D,'Alta Proveedor'!E:E)=0,"",_xlfn.XLOOKUP(Imput[[#This Row],[RFC]],'Alta Proveedor'!D:D,'Alta Proveedor'!E:E)),"")</f>
        <v/>
      </c>
      <c r="F2310" s="832"/>
      <c r="G2310" s="187"/>
      <c r="H2310" s="1"/>
      <c r="I2310" s="169">
        <f>Imput[[#This Row],[Cantidad]]*Imput[[#This Row],[Precio Unitario]]</f>
        <v>0</v>
      </c>
      <c r="J2310" s="11">
        <f>((Imput[[#This Row],[Sub total]])*(0.16))</f>
        <v>0</v>
      </c>
      <c r="K2310" s="11">
        <v>0</v>
      </c>
      <c r="L2310" s="169">
        <f>Imput[[#This Row],[Sub total]]+Imput[[#This Row],[IVA]]-Imput[[#This Row],[Retención / IEPS / Descuento]]</f>
        <v>0</v>
      </c>
      <c r="M2310" s="844">
        <v>0</v>
      </c>
      <c r="N2310" s="189"/>
      <c r="O2310" s="1"/>
      <c r="P2310" s="189"/>
      <c r="Q2310" s="190"/>
      <c r="R2310" s="188"/>
      <c r="S2310" s="193"/>
      <c r="T2310" s="192"/>
      <c r="U2310" s="829"/>
      <c r="V2310" s="10"/>
      <c r="W2310" s="10"/>
      <c r="X2310" s="10"/>
      <c r="Y2310" s="10"/>
      <c r="Z2310" s="10"/>
      <c r="AA2310" s="11"/>
      <c r="AB2310" s="11"/>
    </row>
    <row r="2311" spans="2:28" x14ac:dyDescent="0.3">
      <c r="B2311" s="10"/>
      <c r="C2311" s="315"/>
      <c r="D2311" s="868"/>
      <c r="E2311" s="837" t="str">
        <f>IFERROR(IF(_xlfn.XLOOKUP(Imput[[#This Row],[RFC]],'Alta Proveedor'!D:D,'Alta Proveedor'!E:E)=0,"",_xlfn.XLOOKUP(Imput[[#This Row],[RFC]],'Alta Proveedor'!D:D,'Alta Proveedor'!E:E)),"")</f>
        <v/>
      </c>
      <c r="F2311" s="832"/>
      <c r="G2311" s="187"/>
      <c r="H2311" s="1"/>
      <c r="I2311" s="169">
        <f>Imput[[#This Row],[Cantidad]]*Imput[[#This Row],[Precio Unitario]]</f>
        <v>0</v>
      </c>
      <c r="J2311" s="11">
        <f>((Imput[[#This Row],[Sub total]])*(0.16))</f>
        <v>0</v>
      </c>
      <c r="K2311" s="11">
        <v>0</v>
      </c>
      <c r="L2311" s="169">
        <f>Imput[[#This Row],[Sub total]]+Imput[[#This Row],[IVA]]-Imput[[#This Row],[Retención / IEPS / Descuento]]</f>
        <v>0</v>
      </c>
      <c r="M2311" s="844">
        <v>0</v>
      </c>
      <c r="N2311" s="189"/>
      <c r="O2311" s="1"/>
      <c r="P2311" s="189"/>
      <c r="Q2311" s="190"/>
      <c r="R2311" s="188"/>
      <c r="S2311" s="193"/>
      <c r="T2311" s="192"/>
      <c r="U2311" s="829"/>
      <c r="V2311" s="10"/>
      <c r="W2311" s="10"/>
      <c r="X2311" s="10"/>
      <c r="Y2311" s="10"/>
      <c r="Z2311" s="10"/>
      <c r="AA2311" s="11"/>
      <c r="AB2311" s="11"/>
    </row>
    <row r="2312" spans="2:28" x14ac:dyDescent="0.3">
      <c r="B2312" s="10"/>
      <c r="C2312" s="315"/>
      <c r="D2312" s="868"/>
      <c r="E2312" s="837" t="str">
        <f>IFERROR(IF(_xlfn.XLOOKUP(Imput[[#This Row],[RFC]],'Alta Proveedor'!D:D,'Alta Proveedor'!E:E)=0,"",_xlfn.XLOOKUP(Imput[[#This Row],[RFC]],'Alta Proveedor'!D:D,'Alta Proveedor'!E:E)),"")</f>
        <v/>
      </c>
      <c r="F2312" s="832"/>
      <c r="G2312" s="187"/>
      <c r="H2312" s="1"/>
      <c r="I2312" s="169">
        <f>Imput[[#This Row],[Cantidad]]*Imput[[#This Row],[Precio Unitario]]</f>
        <v>0</v>
      </c>
      <c r="J2312" s="11">
        <f>((Imput[[#This Row],[Sub total]])*(0.16))</f>
        <v>0</v>
      </c>
      <c r="K2312" s="11">
        <v>0</v>
      </c>
      <c r="L2312" s="169">
        <f>Imput[[#This Row],[Sub total]]+Imput[[#This Row],[IVA]]-Imput[[#This Row],[Retención / IEPS / Descuento]]</f>
        <v>0</v>
      </c>
      <c r="M2312" s="844">
        <v>0</v>
      </c>
      <c r="N2312" s="189"/>
      <c r="O2312" s="1"/>
      <c r="P2312" s="189"/>
      <c r="Q2312" s="190"/>
      <c r="R2312" s="188"/>
      <c r="S2312" s="193"/>
      <c r="T2312" s="192"/>
      <c r="U2312" s="829"/>
      <c r="V2312" s="10"/>
      <c r="W2312" s="10"/>
      <c r="X2312" s="10"/>
      <c r="Y2312" s="10"/>
      <c r="Z2312" s="10"/>
      <c r="AA2312" s="11"/>
      <c r="AB2312" s="11"/>
    </row>
    <row r="2313" spans="2:28" x14ac:dyDescent="0.3">
      <c r="B2313" s="10"/>
      <c r="C2313" s="315"/>
      <c r="D2313" s="868"/>
      <c r="E2313" s="837" t="str">
        <f>IFERROR(IF(_xlfn.XLOOKUP(Imput[[#This Row],[RFC]],'Alta Proveedor'!D:D,'Alta Proveedor'!E:E)=0,"",_xlfn.XLOOKUP(Imput[[#This Row],[RFC]],'Alta Proveedor'!D:D,'Alta Proveedor'!E:E)),"")</f>
        <v/>
      </c>
      <c r="F2313" s="832"/>
      <c r="G2313" s="187"/>
      <c r="H2313" s="1"/>
      <c r="I2313" s="169">
        <f>Imput[[#This Row],[Cantidad]]*Imput[[#This Row],[Precio Unitario]]</f>
        <v>0</v>
      </c>
      <c r="J2313" s="11">
        <f>((Imput[[#This Row],[Sub total]])*(0.16))</f>
        <v>0</v>
      </c>
      <c r="K2313" s="11">
        <v>0</v>
      </c>
      <c r="L2313" s="169">
        <f>Imput[[#This Row],[Sub total]]+Imput[[#This Row],[IVA]]-Imput[[#This Row],[Retención / IEPS / Descuento]]</f>
        <v>0</v>
      </c>
      <c r="M2313" s="844">
        <v>0</v>
      </c>
      <c r="N2313" s="189"/>
      <c r="O2313" s="1"/>
      <c r="P2313" s="189"/>
      <c r="Q2313" s="190"/>
      <c r="R2313" s="188"/>
      <c r="S2313" s="193"/>
      <c r="T2313" s="192"/>
      <c r="U2313" s="829"/>
      <c r="V2313" s="10"/>
      <c r="W2313" s="10"/>
      <c r="X2313" s="10"/>
      <c r="Y2313" s="10"/>
      <c r="Z2313" s="10"/>
      <c r="AA2313" s="11"/>
      <c r="AB2313" s="11"/>
    </row>
    <row r="2314" spans="2:28" x14ac:dyDescent="0.3">
      <c r="B2314" s="10"/>
      <c r="C2314" s="315"/>
      <c r="D2314" s="868"/>
      <c r="E2314" s="837" t="str">
        <f>IFERROR(IF(_xlfn.XLOOKUP(Imput[[#This Row],[RFC]],'Alta Proveedor'!D:D,'Alta Proveedor'!E:E)=0,"",_xlfn.XLOOKUP(Imput[[#This Row],[RFC]],'Alta Proveedor'!D:D,'Alta Proveedor'!E:E)),"")</f>
        <v/>
      </c>
      <c r="F2314" s="832"/>
      <c r="G2314" s="187"/>
      <c r="H2314" s="1"/>
      <c r="I2314" s="169">
        <f>Imput[[#This Row],[Cantidad]]*Imput[[#This Row],[Precio Unitario]]</f>
        <v>0</v>
      </c>
      <c r="J2314" s="11">
        <f>((Imput[[#This Row],[Sub total]])*(0.16))</f>
        <v>0</v>
      </c>
      <c r="K2314" s="11">
        <v>0</v>
      </c>
      <c r="L2314" s="169">
        <f>Imput[[#This Row],[Sub total]]+Imput[[#This Row],[IVA]]-Imput[[#This Row],[Retención / IEPS / Descuento]]</f>
        <v>0</v>
      </c>
      <c r="M2314" s="844">
        <v>0</v>
      </c>
      <c r="N2314" s="189"/>
      <c r="O2314" s="1"/>
      <c r="P2314" s="189"/>
      <c r="Q2314" s="190"/>
      <c r="R2314" s="188"/>
      <c r="S2314" s="193"/>
      <c r="T2314" s="192"/>
      <c r="U2314" s="829"/>
      <c r="V2314" s="10"/>
      <c r="W2314" s="10"/>
      <c r="X2314" s="10"/>
      <c r="Y2314" s="10"/>
      <c r="Z2314" s="10"/>
      <c r="AA2314" s="11"/>
      <c r="AB2314" s="11"/>
    </row>
    <row r="2315" spans="2:28" x14ac:dyDescent="0.3">
      <c r="B2315" s="10"/>
      <c r="C2315" s="315"/>
      <c r="D2315" s="868"/>
      <c r="E2315" s="837" t="str">
        <f>IFERROR(IF(_xlfn.XLOOKUP(Imput[[#This Row],[RFC]],'Alta Proveedor'!D:D,'Alta Proveedor'!E:E)=0,"",_xlfn.XLOOKUP(Imput[[#This Row],[RFC]],'Alta Proveedor'!D:D,'Alta Proveedor'!E:E)),"")</f>
        <v/>
      </c>
      <c r="F2315" s="832"/>
      <c r="G2315" s="187"/>
      <c r="H2315" s="1"/>
      <c r="I2315" s="169">
        <f>Imput[[#This Row],[Cantidad]]*Imput[[#This Row],[Precio Unitario]]</f>
        <v>0</v>
      </c>
      <c r="J2315" s="11">
        <f>((Imput[[#This Row],[Sub total]])*(0.16))</f>
        <v>0</v>
      </c>
      <c r="K2315" s="11">
        <v>0</v>
      </c>
      <c r="L2315" s="169">
        <f>Imput[[#This Row],[Sub total]]+Imput[[#This Row],[IVA]]-Imput[[#This Row],[Retención / IEPS / Descuento]]</f>
        <v>0</v>
      </c>
      <c r="M2315" s="844">
        <v>0</v>
      </c>
      <c r="N2315" s="189"/>
      <c r="O2315" s="1"/>
      <c r="P2315" s="189"/>
      <c r="Q2315" s="190"/>
      <c r="R2315" s="188"/>
      <c r="S2315" s="193"/>
      <c r="T2315" s="192"/>
      <c r="U2315" s="829"/>
      <c r="V2315" s="10"/>
      <c r="W2315" s="10"/>
      <c r="X2315" s="10"/>
      <c r="Y2315" s="10"/>
      <c r="Z2315" s="10"/>
      <c r="AA2315" s="11"/>
      <c r="AB2315" s="11"/>
    </row>
    <row r="2316" spans="2:28" x14ac:dyDescent="0.3">
      <c r="B2316" s="10"/>
      <c r="C2316" s="315"/>
      <c r="D2316" s="868"/>
      <c r="E2316" s="837" t="str">
        <f>IFERROR(IF(_xlfn.XLOOKUP(Imput[[#This Row],[RFC]],'Alta Proveedor'!D:D,'Alta Proveedor'!E:E)=0,"",_xlfn.XLOOKUP(Imput[[#This Row],[RFC]],'Alta Proveedor'!D:D,'Alta Proveedor'!E:E)),"")</f>
        <v/>
      </c>
      <c r="F2316" s="832"/>
      <c r="G2316" s="187"/>
      <c r="H2316" s="1"/>
      <c r="I2316" s="169">
        <f>Imput[[#This Row],[Cantidad]]*Imput[[#This Row],[Precio Unitario]]</f>
        <v>0</v>
      </c>
      <c r="J2316" s="11">
        <f>((Imput[[#This Row],[Sub total]])*(0.16))</f>
        <v>0</v>
      </c>
      <c r="K2316" s="11">
        <v>0</v>
      </c>
      <c r="L2316" s="169">
        <f>Imput[[#This Row],[Sub total]]+Imput[[#This Row],[IVA]]-Imput[[#This Row],[Retención / IEPS / Descuento]]</f>
        <v>0</v>
      </c>
      <c r="M2316" s="844">
        <v>0</v>
      </c>
      <c r="N2316" s="189"/>
      <c r="O2316" s="1"/>
      <c r="P2316" s="189"/>
      <c r="Q2316" s="190"/>
      <c r="R2316" s="188"/>
      <c r="S2316" s="193"/>
      <c r="T2316" s="192"/>
      <c r="U2316" s="829"/>
      <c r="V2316" s="10"/>
      <c r="W2316" s="10"/>
      <c r="X2316" s="10"/>
      <c r="Y2316" s="10"/>
      <c r="Z2316" s="10"/>
      <c r="AA2316" s="11"/>
      <c r="AB2316" s="11"/>
    </row>
    <row r="2317" spans="2:28" x14ac:dyDescent="0.3">
      <c r="B2317" s="10"/>
      <c r="C2317" s="315"/>
      <c r="D2317" s="868"/>
      <c r="E2317" s="837" t="str">
        <f>IFERROR(IF(_xlfn.XLOOKUP(Imput[[#This Row],[RFC]],'Alta Proveedor'!D:D,'Alta Proveedor'!E:E)=0,"",_xlfn.XLOOKUP(Imput[[#This Row],[RFC]],'Alta Proveedor'!D:D,'Alta Proveedor'!E:E)),"")</f>
        <v/>
      </c>
      <c r="F2317" s="832"/>
      <c r="G2317" s="187"/>
      <c r="H2317" s="1"/>
      <c r="I2317" s="169">
        <f>Imput[[#This Row],[Cantidad]]*Imput[[#This Row],[Precio Unitario]]</f>
        <v>0</v>
      </c>
      <c r="J2317" s="11">
        <f>((Imput[[#This Row],[Sub total]])*(0.16))</f>
        <v>0</v>
      </c>
      <c r="K2317" s="11">
        <v>0</v>
      </c>
      <c r="L2317" s="169">
        <f>Imput[[#This Row],[Sub total]]+Imput[[#This Row],[IVA]]-Imput[[#This Row],[Retención / IEPS / Descuento]]</f>
        <v>0</v>
      </c>
      <c r="M2317" s="844">
        <v>0</v>
      </c>
      <c r="N2317" s="189"/>
      <c r="O2317" s="1"/>
      <c r="P2317" s="189"/>
      <c r="Q2317" s="190"/>
      <c r="R2317" s="188"/>
      <c r="S2317" s="193"/>
      <c r="T2317" s="192"/>
      <c r="U2317" s="829"/>
      <c r="V2317" s="10"/>
      <c r="W2317" s="10"/>
      <c r="X2317" s="10"/>
      <c r="Y2317" s="10"/>
      <c r="Z2317" s="10"/>
      <c r="AA2317" s="11"/>
      <c r="AB2317" s="11"/>
    </row>
    <row r="2318" spans="2:28" x14ac:dyDescent="0.3">
      <c r="B2318" s="10"/>
      <c r="C2318" s="315"/>
      <c r="D2318" s="868"/>
      <c r="E2318" s="837" t="str">
        <f>IFERROR(IF(_xlfn.XLOOKUP(Imput[[#This Row],[RFC]],'Alta Proveedor'!D:D,'Alta Proveedor'!E:E)=0,"",_xlfn.XLOOKUP(Imput[[#This Row],[RFC]],'Alta Proveedor'!D:D,'Alta Proveedor'!E:E)),"")</f>
        <v/>
      </c>
      <c r="F2318" s="832"/>
      <c r="G2318" s="187"/>
      <c r="H2318" s="1"/>
      <c r="I2318" s="169">
        <f>Imput[[#This Row],[Cantidad]]*Imput[[#This Row],[Precio Unitario]]</f>
        <v>0</v>
      </c>
      <c r="J2318" s="11">
        <f>((Imput[[#This Row],[Sub total]])*(0.16))</f>
        <v>0</v>
      </c>
      <c r="K2318" s="11">
        <v>0</v>
      </c>
      <c r="L2318" s="169">
        <f>Imput[[#This Row],[Sub total]]+Imput[[#This Row],[IVA]]-Imput[[#This Row],[Retención / IEPS / Descuento]]</f>
        <v>0</v>
      </c>
      <c r="M2318" s="844">
        <v>0</v>
      </c>
      <c r="N2318" s="189"/>
      <c r="O2318" s="1"/>
      <c r="P2318" s="189"/>
      <c r="Q2318" s="190"/>
      <c r="R2318" s="188"/>
      <c r="S2318" s="193"/>
      <c r="T2318" s="192"/>
      <c r="U2318" s="829"/>
      <c r="V2318" s="10"/>
      <c r="W2318" s="10"/>
      <c r="X2318" s="10"/>
      <c r="Y2318" s="10"/>
      <c r="Z2318" s="10"/>
      <c r="AA2318" s="11"/>
      <c r="AB2318" s="11"/>
    </row>
    <row r="2319" spans="2:28" x14ac:dyDescent="0.3">
      <c r="B2319" s="10"/>
      <c r="C2319" s="315"/>
      <c r="D2319" s="868"/>
      <c r="E2319" s="837" t="str">
        <f>IFERROR(IF(_xlfn.XLOOKUP(Imput[[#This Row],[RFC]],'Alta Proveedor'!D:D,'Alta Proveedor'!E:E)=0,"",_xlfn.XLOOKUP(Imput[[#This Row],[RFC]],'Alta Proveedor'!D:D,'Alta Proveedor'!E:E)),"")</f>
        <v/>
      </c>
      <c r="F2319" s="832"/>
      <c r="G2319" s="187"/>
      <c r="H2319" s="1"/>
      <c r="I2319" s="169">
        <f>Imput[[#This Row],[Cantidad]]*Imput[[#This Row],[Precio Unitario]]</f>
        <v>0</v>
      </c>
      <c r="J2319" s="11">
        <f>((Imput[[#This Row],[Sub total]])*(0.16))</f>
        <v>0</v>
      </c>
      <c r="K2319" s="11">
        <v>0</v>
      </c>
      <c r="L2319" s="169">
        <f>Imput[[#This Row],[Sub total]]+Imput[[#This Row],[IVA]]-Imput[[#This Row],[Retención / IEPS / Descuento]]</f>
        <v>0</v>
      </c>
      <c r="M2319" s="844">
        <v>0</v>
      </c>
      <c r="N2319" s="189"/>
      <c r="O2319" s="1"/>
      <c r="P2319" s="189"/>
      <c r="Q2319" s="190"/>
      <c r="R2319" s="188"/>
      <c r="S2319" s="193"/>
      <c r="T2319" s="192"/>
      <c r="U2319" s="829"/>
      <c r="V2319" s="10"/>
      <c r="W2319" s="10"/>
      <c r="X2319" s="10"/>
      <c r="Y2319" s="10"/>
      <c r="Z2319" s="10"/>
      <c r="AA2319" s="11"/>
      <c r="AB2319" s="11"/>
    </row>
    <row r="2320" spans="2:28" x14ac:dyDescent="0.3">
      <c r="B2320" s="10"/>
      <c r="C2320" s="315"/>
      <c r="D2320" s="868"/>
      <c r="E2320" s="837" t="str">
        <f>IFERROR(IF(_xlfn.XLOOKUP(Imput[[#This Row],[RFC]],'Alta Proveedor'!D:D,'Alta Proveedor'!E:E)=0,"",_xlfn.XLOOKUP(Imput[[#This Row],[RFC]],'Alta Proveedor'!D:D,'Alta Proveedor'!E:E)),"")</f>
        <v/>
      </c>
      <c r="F2320" s="832"/>
      <c r="G2320" s="187"/>
      <c r="H2320" s="1"/>
      <c r="I2320" s="169">
        <f>Imput[[#This Row],[Cantidad]]*Imput[[#This Row],[Precio Unitario]]</f>
        <v>0</v>
      </c>
      <c r="J2320" s="11">
        <f>((Imput[[#This Row],[Sub total]])*(0.16))</f>
        <v>0</v>
      </c>
      <c r="K2320" s="11">
        <v>0</v>
      </c>
      <c r="L2320" s="169">
        <f>Imput[[#This Row],[Sub total]]+Imput[[#This Row],[IVA]]-Imput[[#This Row],[Retención / IEPS / Descuento]]</f>
        <v>0</v>
      </c>
      <c r="M2320" s="844">
        <v>0</v>
      </c>
      <c r="N2320" s="189"/>
      <c r="O2320" s="1"/>
      <c r="P2320" s="189"/>
      <c r="Q2320" s="190"/>
      <c r="R2320" s="188"/>
      <c r="S2320" s="193"/>
      <c r="T2320" s="192"/>
      <c r="U2320" s="829"/>
      <c r="V2320" s="10"/>
      <c r="W2320" s="10"/>
      <c r="X2320" s="10"/>
      <c r="Y2320" s="10"/>
      <c r="Z2320" s="10"/>
      <c r="AA2320" s="11"/>
      <c r="AB2320" s="11"/>
    </row>
    <row r="2321" spans="2:28" x14ac:dyDescent="0.3">
      <c r="B2321" s="10"/>
      <c r="C2321" s="315"/>
      <c r="D2321" s="868"/>
      <c r="E2321" s="837" t="str">
        <f>IFERROR(IF(_xlfn.XLOOKUP(Imput[[#This Row],[RFC]],'Alta Proveedor'!D:D,'Alta Proveedor'!E:E)=0,"",_xlfn.XLOOKUP(Imput[[#This Row],[RFC]],'Alta Proveedor'!D:D,'Alta Proveedor'!E:E)),"")</f>
        <v/>
      </c>
      <c r="F2321" s="832"/>
      <c r="G2321" s="187"/>
      <c r="H2321" s="1"/>
      <c r="I2321" s="169">
        <f>Imput[[#This Row],[Cantidad]]*Imput[[#This Row],[Precio Unitario]]</f>
        <v>0</v>
      </c>
      <c r="J2321" s="11">
        <f>((Imput[[#This Row],[Sub total]])*(0.16))</f>
        <v>0</v>
      </c>
      <c r="K2321" s="11">
        <v>0</v>
      </c>
      <c r="L2321" s="169">
        <f>Imput[[#This Row],[Sub total]]+Imput[[#This Row],[IVA]]-Imput[[#This Row],[Retención / IEPS / Descuento]]</f>
        <v>0</v>
      </c>
      <c r="M2321" s="844">
        <v>0</v>
      </c>
      <c r="N2321" s="189"/>
      <c r="O2321" s="1"/>
      <c r="P2321" s="189"/>
      <c r="Q2321" s="190"/>
      <c r="R2321" s="188"/>
      <c r="S2321" s="193"/>
      <c r="T2321" s="192"/>
      <c r="U2321" s="829"/>
      <c r="V2321" s="10"/>
      <c r="W2321" s="10"/>
      <c r="X2321" s="10"/>
      <c r="Y2321" s="10"/>
      <c r="Z2321" s="10"/>
      <c r="AA2321" s="11"/>
      <c r="AB2321" s="11"/>
    </row>
    <row r="2322" spans="2:28" x14ac:dyDescent="0.3">
      <c r="B2322" s="10"/>
      <c r="C2322" s="315"/>
      <c r="D2322" s="868"/>
      <c r="E2322" s="837" t="str">
        <f>IFERROR(IF(_xlfn.XLOOKUP(Imput[[#This Row],[RFC]],'Alta Proveedor'!D:D,'Alta Proveedor'!E:E)=0,"",_xlfn.XLOOKUP(Imput[[#This Row],[RFC]],'Alta Proveedor'!D:D,'Alta Proveedor'!E:E)),"")</f>
        <v/>
      </c>
      <c r="F2322" s="832"/>
      <c r="G2322" s="187"/>
      <c r="H2322" s="1"/>
      <c r="I2322" s="169">
        <f>Imput[[#This Row],[Cantidad]]*Imput[[#This Row],[Precio Unitario]]</f>
        <v>0</v>
      </c>
      <c r="J2322" s="11">
        <f>((Imput[[#This Row],[Sub total]])*(0.16))</f>
        <v>0</v>
      </c>
      <c r="K2322" s="11">
        <v>0</v>
      </c>
      <c r="L2322" s="169">
        <f>Imput[[#This Row],[Sub total]]+Imput[[#This Row],[IVA]]-Imput[[#This Row],[Retención / IEPS / Descuento]]</f>
        <v>0</v>
      </c>
      <c r="M2322" s="844">
        <v>0</v>
      </c>
      <c r="N2322" s="189"/>
      <c r="O2322" s="1"/>
      <c r="P2322" s="189"/>
      <c r="Q2322" s="190"/>
      <c r="R2322" s="188"/>
      <c r="S2322" s="193"/>
      <c r="T2322" s="192"/>
      <c r="U2322" s="829"/>
      <c r="V2322" s="10"/>
      <c r="W2322" s="10"/>
      <c r="X2322" s="10"/>
      <c r="Y2322" s="10"/>
      <c r="Z2322" s="10"/>
      <c r="AA2322" s="11"/>
      <c r="AB2322" s="11"/>
    </row>
    <row r="2323" spans="2:28" x14ac:dyDescent="0.3">
      <c r="B2323" s="10"/>
      <c r="C2323" s="315"/>
      <c r="D2323" s="868"/>
      <c r="E2323" s="837" t="str">
        <f>IFERROR(IF(_xlfn.XLOOKUP(Imput[[#This Row],[RFC]],'Alta Proveedor'!D:D,'Alta Proveedor'!E:E)=0,"",_xlfn.XLOOKUP(Imput[[#This Row],[RFC]],'Alta Proveedor'!D:D,'Alta Proveedor'!E:E)),"")</f>
        <v/>
      </c>
      <c r="F2323" s="832"/>
      <c r="G2323" s="187"/>
      <c r="H2323" s="1"/>
      <c r="I2323" s="169">
        <f>Imput[[#This Row],[Cantidad]]*Imput[[#This Row],[Precio Unitario]]</f>
        <v>0</v>
      </c>
      <c r="J2323" s="11">
        <f>((Imput[[#This Row],[Sub total]])*(0.16))</f>
        <v>0</v>
      </c>
      <c r="K2323" s="11">
        <v>0</v>
      </c>
      <c r="L2323" s="169">
        <f>Imput[[#This Row],[Sub total]]+Imput[[#This Row],[IVA]]-Imput[[#This Row],[Retención / IEPS / Descuento]]</f>
        <v>0</v>
      </c>
      <c r="M2323" s="844">
        <v>0</v>
      </c>
      <c r="N2323" s="189"/>
      <c r="O2323" s="1"/>
      <c r="P2323" s="189"/>
      <c r="Q2323" s="190"/>
      <c r="R2323" s="188"/>
      <c r="S2323" s="193"/>
      <c r="T2323" s="192"/>
      <c r="U2323" s="829"/>
      <c r="V2323" s="10"/>
      <c r="W2323" s="10"/>
      <c r="X2323" s="10"/>
      <c r="Y2323" s="10"/>
      <c r="Z2323" s="10"/>
      <c r="AA2323" s="11"/>
      <c r="AB2323" s="11"/>
    </row>
    <row r="2324" spans="2:28" x14ac:dyDescent="0.3">
      <c r="B2324" s="10"/>
      <c r="C2324" s="315"/>
      <c r="D2324" s="868"/>
      <c r="E2324" s="837" t="str">
        <f>IFERROR(IF(_xlfn.XLOOKUP(Imput[[#This Row],[RFC]],'Alta Proveedor'!D:D,'Alta Proveedor'!E:E)=0,"",_xlfn.XLOOKUP(Imput[[#This Row],[RFC]],'Alta Proveedor'!D:D,'Alta Proveedor'!E:E)),"")</f>
        <v/>
      </c>
      <c r="F2324" s="832"/>
      <c r="G2324" s="187"/>
      <c r="H2324" s="1"/>
      <c r="I2324" s="169">
        <f>Imput[[#This Row],[Cantidad]]*Imput[[#This Row],[Precio Unitario]]</f>
        <v>0</v>
      </c>
      <c r="J2324" s="11">
        <f>((Imput[[#This Row],[Sub total]])*(0.16))</f>
        <v>0</v>
      </c>
      <c r="K2324" s="11">
        <v>0</v>
      </c>
      <c r="L2324" s="169">
        <f>Imput[[#This Row],[Sub total]]+Imput[[#This Row],[IVA]]-Imput[[#This Row],[Retención / IEPS / Descuento]]</f>
        <v>0</v>
      </c>
      <c r="M2324" s="844">
        <v>0</v>
      </c>
      <c r="N2324" s="189"/>
      <c r="O2324" s="1"/>
      <c r="P2324" s="189"/>
      <c r="Q2324" s="190"/>
      <c r="R2324" s="188"/>
      <c r="S2324" s="193"/>
      <c r="T2324" s="192"/>
      <c r="U2324" s="829"/>
      <c r="V2324" s="10"/>
      <c r="W2324" s="10"/>
      <c r="X2324" s="10"/>
      <c r="Y2324" s="10"/>
      <c r="Z2324" s="10"/>
      <c r="AA2324" s="11"/>
      <c r="AB2324" s="11"/>
    </row>
    <row r="2325" spans="2:28" x14ac:dyDescent="0.3">
      <c r="B2325" s="10"/>
      <c r="C2325" s="315"/>
      <c r="D2325" s="868"/>
      <c r="E2325" s="837" t="str">
        <f>IFERROR(IF(_xlfn.XLOOKUP(Imput[[#This Row],[RFC]],'Alta Proveedor'!D:D,'Alta Proveedor'!E:E)=0,"",_xlfn.XLOOKUP(Imput[[#This Row],[RFC]],'Alta Proveedor'!D:D,'Alta Proveedor'!E:E)),"")</f>
        <v/>
      </c>
      <c r="F2325" s="832"/>
      <c r="G2325" s="187"/>
      <c r="H2325" s="1"/>
      <c r="I2325" s="169">
        <f>Imput[[#This Row],[Cantidad]]*Imput[[#This Row],[Precio Unitario]]</f>
        <v>0</v>
      </c>
      <c r="J2325" s="11">
        <f>((Imput[[#This Row],[Sub total]])*(0.16))</f>
        <v>0</v>
      </c>
      <c r="K2325" s="11">
        <v>0</v>
      </c>
      <c r="L2325" s="169">
        <f>Imput[[#This Row],[Sub total]]+Imput[[#This Row],[IVA]]-Imput[[#This Row],[Retención / IEPS / Descuento]]</f>
        <v>0</v>
      </c>
      <c r="M2325" s="844">
        <v>0</v>
      </c>
      <c r="N2325" s="189"/>
      <c r="O2325" s="1"/>
      <c r="P2325" s="189"/>
      <c r="Q2325" s="190"/>
      <c r="R2325" s="188"/>
      <c r="S2325" s="193"/>
      <c r="T2325" s="192"/>
      <c r="U2325" s="829"/>
      <c r="V2325" s="10"/>
      <c r="W2325" s="10"/>
      <c r="X2325" s="10"/>
      <c r="Y2325" s="10"/>
      <c r="Z2325" s="10"/>
      <c r="AA2325" s="11"/>
      <c r="AB2325" s="11"/>
    </row>
    <row r="2326" spans="2:28" x14ac:dyDescent="0.3">
      <c r="B2326" s="10"/>
      <c r="C2326" s="315"/>
      <c r="D2326" s="868"/>
      <c r="E2326" s="837" t="str">
        <f>IFERROR(IF(_xlfn.XLOOKUP(Imput[[#This Row],[RFC]],'Alta Proveedor'!D:D,'Alta Proveedor'!E:E)=0,"",_xlfn.XLOOKUP(Imput[[#This Row],[RFC]],'Alta Proveedor'!D:D,'Alta Proveedor'!E:E)),"")</f>
        <v/>
      </c>
      <c r="F2326" s="832"/>
      <c r="G2326" s="187"/>
      <c r="H2326" s="1"/>
      <c r="I2326" s="169">
        <f>Imput[[#This Row],[Cantidad]]*Imput[[#This Row],[Precio Unitario]]</f>
        <v>0</v>
      </c>
      <c r="J2326" s="11">
        <f>((Imput[[#This Row],[Sub total]])*(0.16))</f>
        <v>0</v>
      </c>
      <c r="K2326" s="11">
        <v>0</v>
      </c>
      <c r="L2326" s="169">
        <f>Imput[[#This Row],[Sub total]]+Imput[[#This Row],[IVA]]-Imput[[#This Row],[Retención / IEPS / Descuento]]</f>
        <v>0</v>
      </c>
      <c r="M2326" s="844">
        <v>0</v>
      </c>
      <c r="N2326" s="189"/>
      <c r="O2326" s="1"/>
      <c r="P2326" s="189"/>
      <c r="Q2326" s="190"/>
      <c r="R2326" s="188"/>
      <c r="S2326" s="193"/>
      <c r="T2326" s="192"/>
      <c r="U2326" s="829"/>
      <c r="V2326" s="10"/>
      <c r="W2326" s="10"/>
      <c r="X2326" s="10"/>
      <c r="Y2326" s="10"/>
      <c r="Z2326" s="10"/>
      <c r="AA2326" s="11"/>
      <c r="AB2326" s="11"/>
    </row>
    <row r="2327" spans="2:28" x14ac:dyDescent="0.3">
      <c r="B2327" s="10"/>
      <c r="C2327" s="315"/>
      <c r="D2327" s="868"/>
      <c r="E2327" s="837" t="str">
        <f>IFERROR(IF(_xlfn.XLOOKUP(Imput[[#This Row],[RFC]],'Alta Proveedor'!D:D,'Alta Proveedor'!E:E)=0,"",_xlfn.XLOOKUP(Imput[[#This Row],[RFC]],'Alta Proveedor'!D:D,'Alta Proveedor'!E:E)),"")</f>
        <v/>
      </c>
      <c r="F2327" s="832"/>
      <c r="G2327" s="187"/>
      <c r="H2327" s="1"/>
      <c r="I2327" s="169">
        <f>Imput[[#This Row],[Cantidad]]*Imput[[#This Row],[Precio Unitario]]</f>
        <v>0</v>
      </c>
      <c r="J2327" s="11">
        <f>((Imput[[#This Row],[Sub total]])*(0.16))</f>
        <v>0</v>
      </c>
      <c r="K2327" s="11">
        <v>0</v>
      </c>
      <c r="L2327" s="169">
        <f>Imput[[#This Row],[Sub total]]+Imput[[#This Row],[IVA]]-Imput[[#This Row],[Retención / IEPS / Descuento]]</f>
        <v>0</v>
      </c>
      <c r="M2327" s="844">
        <v>0</v>
      </c>
      <c r="N2327" s="189"/>
      <c r="O2327" s="1"/>
      <c r="P2327" s="189"/>
      <c r="Q2327" s="190"/>
      <c r="R2327" s="188"/>
      <c r="S2327" s="193"/>
      <c r="T2327" s="192"/>
      <c r="U2327" s="829"/>
      <c r="V2327" s="10"/>
      <c r="W2327" s="10"/>
      <c r="X2327" s="10"/>
      <c r="Y2327" s="10"/>
      <c r="Z2327" s="10"/>
      <c r="AA2327" s="11"/>
      <c r="AB2327" s="11"/>
    </row>
    <row r="2328" spans="2:28" x14ac:dyDescent="0.3">
      <c r="B2328" s="10"/>
      <c r="C2328" s="315"/>
      <c r="D2328" s="868"/>
      <c r="E2328" s="837" t="str">
        <f>IFERROR(IF(_xlfn.XLOOKUP(Imput[[#This Row],[RFC]],'Alta Proveedor'!D:D,'Alta Proveedor'!E:E)=0,"",_xlfn.XLOOKUP(Imput[[#This Row],[RFC]],'Alta Proveedor'!D:D,'Alta Proveedor'!E:E)),"")</f>
        <v/>
      </c>
      <c r="F2328" s="832"/>
      <c r="G2328" s="187"/>
      <c r="H2328" s="1"/>
      <c r="I2328" s="169">
        <f>Imput[[#This Row],[Cantidad]]*Imput[[#This Row],[Precio Unitario]]</f>
        <v>0</v>
      </c>
      <c r="J2328" s="11">
        <f>((Imput[[#This Row],[Sub total]])*(0.16))</f>
        <v>0</v>
      </c>
      <c r="K2328" s="11">
        <v>0</v>
      </c>
      <c r="L2328" s="169">
        <f>Imput[[#This Row],[Sub total]]+Imput[[#This Row],[IVA]]-Imput[[#This Row],[Retención / IEPS / Descuento]]</f>
        <v>0</v>
      </c>
      <c r="M2328" s="844">
        <v>0</v>
      </c>
      <c r="N2328" s="189"/>
      <c r="O2328" s="1"/>
      <c r="P2328" s="189"/>
      <c r="Q2328" s="190"/>
      <c r="R2328" s="188"/>
      <c r="S2328" s="193"/>
      <c r="T2328" s="192"/>
      <c r="U2328" s="829"/>
      <c r="V2328" s="10"/>
      <c r="W2328" s="10"/>
      <c r="X2328" s="10"/>
      <c r="Y2328" s="10"/>
      <c r="Z2328" s="10"/>
      <c r="AA2328" s="11"/>
      <c r="AB2328" s="11"/>
    </row>
    <row r="2329" spans="2:28" x14ac:dyDescent="0.3">
      <c r="B2329" s="10"/>
      <c r="C2329" s="315"/>
      <c r="D2329" s="868"/>
      <c r="E2329" s="837" t="str">
        <f>IFERROR(IF(_xlfn.XLOOKUP(Imput[[#This Row],[RFC]],'Alta Proveedor'!D:D,'Alta Proveedor'!E:E)=0,"",_xlfn.XLOOKUP(Imput[[#This Row],[RFC]],'Alta Proveedor'!D:D,'Alta Proveedor'!E:E)),"")</f>
        <v/>
      </c>
      <c r="F2329" s="832"/>
      <c r="G2329" s="187"/>
      <c r="H2329" s="1"/>
      <c r="I2329" s="169">
        <f>Imput[[#This Row],[Cantidad]]*Imput[[#This Row],[Precio Unitario]]</f>
        <v>0</v>
      </c>
      <c r="J2329" s="11">
        <f>((Imput[[#This Row],[Sub total]])*(0.16))</f>
        <v>0</v>
      </c>
      <c r="K2329" s="11">
        <v>0</v>
      </c>
      <c r="L2329" s="169">
        <f>Imput[[#This Row],[Sub total]]+Imput[[#This Row],[IVA]]-Imput[[#This Row],[Retención / IEPS / Descuento]]</f>
        <v>0</v>
      </c>
      <c r="M2329" s="844">
        <v>0</v>
      </c>
      <c r="N2329" s="189"/>
      <c r="O2329" s="1"/>
      <c r="P2329" s="189"/>
      <c r="Q2329" s="190"/>
      <c r="R2329" s="188"/>
      <c r="S2329" s="193"/>
      <c r="T2329" s="192"/>
      <c r="U2329" s="829"/>
      <c r="V2329" s="10"/>
      <c r="W2329" s="10"/>
      <c r="X2329" s="10"/>
      <c r="Y2329" s="10"/>
      <c r="Z2329" s="10"/>
      <c r="AA2329" s="11"/>
      <c r="AB2329" s="11"/>
    </row>
    <row r="2330" spans="2:28" x14ac:dyDescent="0.3">
      <c r="B2330" s="10"/>
      <c r="C2330" s="315"/>
      <c r="D2330" s="868"/>
      <c r="E2330" s="837" t="str">
        <f>IFERROR(IF(_xlfn.XLOOKUP(Imput[[#This Row],[RFC]],'Alta Proveedor'!D:D,'Alta Proveedor'!E:E)=0,"",_xlfn.XLOOKUP(Imput[[#This Row],[RFC]],'Alta Proveedor'!D:D,'Alta Proveedor'!E:E)),"")</f>
        <v/>
      </c>
      <c r="F2330" s="832"/>
      <c r="G2330" s="187"/>
      <c r="H2330" s="1"/>
      <c r="I2330" s="169">
        <f>Imput[[#This Row],[Cantidad]]*Imput[[#This Row],[Precio Unitario]]</f>
        <v>0</v>
      </c>
      <c r="J2330" s="11">
        <f>((Imput[[#This Row],[Sub total]])*(0.16))</f>
        <v>0</v>
      </c>
      <c r="K2330" s="11">
        <v>0</v>
      </c>
      <c r="L2330" s="169">
        <f>Imput[[#This Row],[Sub total]]+Imput[[#This Row],[IVA]]-Imput[[#This Row],[Retención / IEPS / Descuento]]</f>
        <v>0</v>
      </c>
      <c r="M2330" s="844">
        <v>0</v>
      </c>
      <c r="N2330" s="189"/>
      <c r="O2330" s="1"/>
      <c r="P2330" s="189"/>
      <c r="Q2330" s="190"/>
      <c r="R2330" s="188"/>
      <c r="S2330" s="193"/>
      <c r="T2330" s="192"/>
      <c r="U2330" s="829"/>
      <c r="V2330" s="10"/>
      <c r="W2330" s="10"/>
      <c r="X2330" s="10"/>
      <c r="Y2330" s="10"/>
      <c r="Z2330" s="10"/>
      <c r="AA2330" s="11"/>
      <c r="AB2330" s="11"/>
    </row>
    <row r="2331" spans="2:28" x14ac:dyDescent="0.3">
      <c r="B2331" s="10"/>
      <c r="C2331" s="315"/>
      <c r="D2331" s="868"/>
      <c r="E2331" s="837" t="str">
        <f>IFERROR(IF(_xlfn.XLOOKUP(Imput[[#This Row],[RFC]],'Alta Proveedor'!D:D,'Alta Proveedor'!E:E)=0,"",_xlfn.XLOOKUP(Imput[[#This Row],[RFC]],'Alta Proveedor'!D:D,'Alta Proveedor'!E:E)),"")</f>
        <v/>
      </c>
      <c r="F2331" s="832"/>
      <c r="G2331" s="187"/>
      <c r="H2331" s="1"/>
      <c r="I2331" s="169">
        <f>Imput[[#This Row],[Cantidad]]*Imput[[#This Row],[Precio Unitario]]</f>
        <v>0</v>
      </c>
      <c r="J2331" s="11">
        <f>((Imput[[#This Row],[Sub total]])*(0.16))</f>
        <v>0</v>
      </c>
      <c r="K2331" s="11">
        <v>0</v>
      </c>
      <c r="L2331" s="169">
        <f>Imput[[#This Row],[Sub total]]+Imput[[#This Row],[IVA]]-Imput[[#This Row],[Retención / IEPS / Descuento]]</f>
        <v>0</v>
      </c>
      <c r="M2331" s="844">
        <v>0</v>
      </c>
      <c r="N2331" s="189"/>
      <c r="O2331" s="1"/>
      <c r="P2331" s="189"/>
      <c r="Q2331" s="190"/>
      <c r="R2331" s="188"/>
      <c r="S2331" s="193"/>
      <c r="T2331" s="192"/>
      <c r="U2331" s="829"/>
      <c r="V2331" s="10"/>
      <c r="W2331" s="10"/>
      <c r="X2331" s="10"/>
      <c r="Y2331" s="10"/>
      <c r="Z2331" s="10"/>
      <c r="AA2331" s="11"/>
      <c r="AB2331" s="11"/>
    </row>
    <row r="2332" spans="2:28" x14ac:dyDescent="0.3">
      <c r="B2332" s="10"/>
      <c r="C2332" s="315"/>
      <c r="D2332" s="868"/>
      <c r="E2332" s="837" t="str">
        <f>IFERROR(IF(_xlfn.XLOOKUP(Imput[[#This Row],[RFC]],'Alta Proveedor'!D:D,'Alta Proveedor'!E:E)=0,"",_xlfn.XLOOKUP(Imput[[#This Row],[RFC]],'Alta Proveedor'!D:D,'Alta Proveedor'!E:E)),"")</f>
        <v/>
      </c>
      <c r="F2332" s="832"/>
      <c r="G2332" s="187"/>
      <c r="H2332" s="1"/>
      <c r="I2332" s="169">
        <f>Imput[[#This Row],[Cantidad]]*Imput[[#This Row],[Precio Unitario]]</f>
        <v>0</v>
      </c>
      <c r="J2332" s="11">
        <f>((Imput[[#This Row],[Sub total]])*(0.16))</f>
        <v>0</v>
      </c>
      <c r="K2332" s="11">
        <v>0</v>
      </c>
      <c r="L2332" s="169">
        <f>Imput[[#This Row],[Sub total]]+Imput[[#This Row],[IVA]]-Imput[[#This Row],[Retención / IEPS / Descuento]]</f>
        <v>0</v>
      </c>
      <c r="M2332" s="844">
        <v>0</v>
      </c>
      <c r="N2332" s="189"/>
      <c r="O2332" s="1"/>
      <c r="P2332" s="189"/>
      <c r="Q2332" s="190"/>
      <c r="R2332" s="188"/>
      <c r="S2332" s="193"/>
      <c r="T2332" s="192"/>
      <c r="U2332" s="829"/>
      <c r="V2332" s="10"/>
      <c r="W2332" s="10"/>
      <c r="X2332" s="10"/>
      <c r="Y2332" s="10"/>
      <c r="Z2332" s="10"/>
      <c r="AA2332" s="11"/>
      <c r="AB2332" s="11"/>
    </row>
    <row r="2333" spans="2:28" x14ac:dyDescent="0.3">
      <c r="B2333" s="10"/>
      <c r="C2333" s="315"/>
      <c r="D2333" s="868"/>
      <c r="E2333" s="837" t="str">
        <f>IFERROR(IF(_xlfn.XLOOKUP(Imput[[#This Row],[RFC]],'Alta Proveedor'!D:D,'Alta Proveedor'!E:E)=0,"",_xlfn.XLOOKUP(Imput[[#This Row],[RFC]],'Alta Proveedor'!D:D,'Alta Proveedor'!E:E)),"")</f>
        <v/>
      </c>
      <c r="F2333" s="832"/>
      <c r="G2333" s="187"/>
      <c r="H2333" s="1"/>
      <c r="I2333" s="169">
        <f>Imput[[#This Row],[Cantidad]]*Imput[[#This Row],[Precio Unitario]]</f>
        <v>0</v>
      </c>
      <c r="J2333" s="11">
        <f>((Imput[[#This Row],[Sub total]])*(0.16))</f>
        <v>0</v>
      </c>
      <c r="K2333" s="11">
        <v>0</v>
      </c>
      <c r="L2333" s="169">
        <f>Imput[[#This Row],[Sub total]]+Imput[[#This Row],[IVA]]-Imput[[#This Row],[Retención / IEPS / Descuento]]</f>
        <v>0</v>
      </c>
      <c r="M2333" s="844">
        <v>0</v>
      </c>
      <c r="N2333" s="189"/>
      <c r="O2333" s="1"/>
      <c r="P2333" s="189"/>
      <c r="Q2333" s="190"/>
      <c r="R2333" s="188"/>
      <c r="S2333" s="193"/>
      <c r="T2333" s="192"/>
      <c r="U2333" s="829"/>
      <c r="V2333" s="10"/>
      <c r="W2333" s="10"/>
      <c r="X2333" s="10"/>
      <c r="Y2333" s="10"/>
      <c r="Z2333" s="10"/>
      <c r="AA2333" s="11"/>
      <c r="AB2333" s="11"/>
    </row>
    <row r="2334" spans="2:28" x14ac:dyDescent="0.3">
      <c r="B2334" s="10"/>
      <c r="C2334" s="315"/>
      <c r="D2334" s="868"/>
      <c r="E2334" s="837" t="str">
        <f>IFERROR(IF(_xlfn.XLOOKUP(Imput[[#This Row],[RFC]],'Alta Proveedor'!D:D,'Alta Proveedor'!E:E)=0,"",_xlfn.XLOOKUP(Imput[[#This Row],[RFC]],'Alta Proveedor'!D:D,'Alta Proveedor'!E:E)),"")</f>
        <v/>
      </c>
      <c r="F2334" s="832"/>
      <c r="G2334" s="187"/>
      <c r="H2334" s="1"/>
      <c r="I2334" s="169">
        <f>Imput[[#This Row],[Cantidad]]*Imput[[#This Row],[Precio Unitario]]</f>
        <v>0</v>
      </c>
      <c r="J2334" s="11">
        <f>((Imput[[#This Row],[Sub total]])*(0.16))</f>
        <v>0</v>
      </c>
      <c r="K2334" s="11">
        <v>0</v>
      </c>
      <c r="L2334" s="169">
        <f>Imput[[#This Row],[Sub total]]+Imput[[#This Row],[IVA]]-Imput[[#This Row],[Retención / IEPS / Descuento]]</f>
        <v>0</v>
      </c>
      <c r="M2334" s="844">
        <v>0</v>
      </c>
      <c r="N2334" s="189"/>
      <c r="O2334" s="1"/>
      <c r="P2334" s="189"/>
      <c r="Q2334" s="190"/>
      <c r="R2334" s="188"/>
      <c r="S2334" s="193"/>
      <c r="T2334" s="192"/>
      <c r="U2334" s="829"/>
      <c r="V2334" s="10"/>
      <c r="W2334" s="10"/>
      <c r="X2334" s="10"/>
      <c r="Y2334" s="10"/>
      <c r="Z2334" s="10"/>
      <c r="AA2334" s="11"/>
      <c r="AB2334" s="11"/>
    </row>
    <row r="2335" spans="2:28" x14ac:dyDescent="0.3">
      <c r="B2335" s="10"/>
      <c r="C2335" s="315"/>
      <c r="D2335" s="868"/>
      <c r="E2335" s="837" t="str">
        <f>IFERROR(IF(_xlfn.XLOOKUP(Imput[[#This Row],[RFC]],'Alta Proveedor'!D:D,'Alta Proveedor'!E:E)=0,"",_xlfn.XLOOKUP(Imput[[#This Row],[RFC]],'Alta Proveedor'!D:D,'Alta Proveedor'!E:E)),"")</f>
        <v/>
      </c>
      <c r="F2335" s="832"/>
      <c r="G2335" s="187"/>
      <c r="H2335" s="1"/>
      <c r="I2335" s="169">
        <f>Imput[[#This Row],[Cantidad]]*Imput[[#This Row],[Precio Unitario]]</f>
        <v>0</v>
      </c>
      <c r="J2335" s="11">
        <f>((Imput[[#This Row],[Sub total]])*(0.16))</f>
        <v>0</v>
      </c>
      <c r="K2335" s="11">
        <v>0</v>
      </c>
      <c r="L2335" s="169">
        <f>Imput[[#This Row],[Sub total]]+Imput[[#This Row],[IVA]]-Imput[[#This Row],[Retención / IEPS / Descuento]]</f>
        <v>0</v>
      </c>
      <c r="M2335" s="844">
        <v>0</v>
      </c>
      <c r="N2335" s="189"/>
      <c r="O2335" s="1"/>
      <c r="P2335" s="189"/>
      <c r="Q2335" s="190"/>
      <c r="R2335" s="188"/>
      <c r="S2335" s="193"/>
      <c r="T2335" s="192"/>
      <c r="U2335" s="829"/>
      <c r="V2335" s="10"/>
      <c r="W2335" s="10"/>
      <c r="X2335" s="10"/>
      <c r="Y2335" s="10"/>
      <c r="Z2335" s="10"/>
      <c r="AA2335" s="11"/>
      <c r="AB2335" s="11"/>
    </row>
    <row r="2336" spans="2:28" x14ac:dyDescent="0.3">
      <c r="B2336" s="10"/>
      <c r="C2336" s="315"/>
      <c r="D2336" s="868"/>
      <c r="E2336" s="837" t="str">
        <f>IFERROR(IF(_xlfn.XLOOKUP(Imput[[#This Row],[RFC]],'Alta Proveedor'!D:D,'Alta Proveedor'!E:E)=0,"",_xlfn.XLOOKUP(Imput[[#This Row],[RFC]],'Alta Proveedor'!D:D,'Alta Proveedor'!E:E)),"")</f>
        <v/>
      </c>
      <c r="F2336" s="832"/>
      <c r="G2336" s="187"/>
      <c r="H2336" s="1"/>
      <c r="I2336" s="169">
        <f>Imput[[#This Row],[Cantidad]]*Imput[[#This Row],[Precio Unitario]]</f>
        <v>0</v>
      </c>
      <c r="J2336" s="11">
        <f>((Imput[[#This Row],[Sub total]])*(0.16))</f>
        <v>0</v>
      </c>
      <c r="K2336" s="11">
        <v>0</v>
      </c>
      <c r="L2336" s="169">
        <f>Imput[[#This Row],[Sub total]]+Imput[[#This Row],[IVA]]-Imput[[#This Row],[Retención / IEPS / Descuento]]</f>
        <v>0</v>
      </c>
      <c r="M2336" s="844">
        <v>0</v>
      </c>
      <c r="N2336" s="189"/>
      <c r="O2336" s="1"/>
      <c r="P2336" s="189"/>
      <c r="Q2336" s="190"/>
      <c r="R2336" s="188"/>
      <c r="S2336" s="193"/>
      <c r="T2336" s="192"/>
      <c r="U2336" s="829"/>
      <c r="V2336" s="10"/>
      <c r="W2336" s="10"/>
      <c r="X2336" s="10"/>
      <c r="Y2336" s="10"/>
      <c r="Z2336" s="10"/>
      <c r="AA2336" s="11"/>
      <c r="AB2336" s="11"/>
    </row>
    <row r="2337" spans="2:28" x14ac:dyDescent="0.3">
      <c r="B2337" s="10"/>
      <c r="C2337" s="315"/>
      <c r="D2337" s="868"/>
      <c r="E2337" s="837" t="str">
        <f>IFERROR(IF(_xlfn.XLOOKUP(Imput[[#This Row],[RFC]],'Alta Proveedor'!D:D,'Alta Proveedor'!E:E)=0,"",_xlfn.XLOOKUP(Imput[[#This Row],[RFC]],'Alta Proveedor'!D:D,'Alta Proveedor'!E:E)),"")</f>
        <v/>
      </c>
      <c r="F2337" s="832"/>
      <c r="G2337" s="187"/>
      <c r="H2337" s="1"/>
      <c r="I2337" s="169">
        <f>Imput[[#This Row],[Cantidad]]*Imput[[#This Row],[Precio Unitario]]</f>
        <v>0</v>
      </c>
      <c r="J2337" s="11">
        <f>((Imput[[#This Row],[Sub total]])*(0.16))</f>
        <v>0</v>
      </c>
      <c r="K2337" s="11">
        <v>0</v>
      </c>
      <c r="L2337" s="169">
        <f>Imput[[#This Row],[Sub total]]+Imput[[#This Row],[IVA]]-Imput[[#This Row],[Retención / IEPS / Descuento]]</f>
        <v>0</v>
      </c>
      <c r="M2337" s="844">
        <v>0</v>
      </c>
      <c r="N2337" s="189"/>
      <c r="O2337" s="1"/>
      <c r="P2337" s="189"/>
      <c r="Q2337" s="190"/>
      <c r="R2337" s="188"/>
      <c r="S2337" s="193"/>
      <c r="T2337" s="192"/>
      <c r="U2337" s="829"/>
      <c r="V2337" s="10"/>
      <c r="W2337" s="10"/>
      <c r="X2337" s="10"/>
      <c r="Y2337" s="10"/>
      <c r="Z2337" s="10"/>
      <c r="AA2337" s="11"/>
      <c r="AB2337" s="11"/>
    </row>
    <row r="2338" spans="2:28" x14ac:dyDescent="0.3">
      <c r="B2338" s="10"/>
      <c r="C2338" s="315"/>
      <c r="D2338" s="868"/>
      <c r="E2338" s="837" t="str">
        <f>IFERROR(IF(_xlfn.XLOOKUP(Imput[[#This Row],[RFC]],'Alta Proveedor'!D:D,'Alta Proveedor'!E:E)=0,"",_xlfn.XLOOKUP(Imput[[#This Row],[RFC]],'Alta Proveedor'!D:D,'Alta Proveedor'!E:E)),"")</f>
        <v/>
      </c>
      <c r="F2338" s="832"/>
      <c r="G2338" s="187"/>
      <c r="H2338" s="1"/>
      <c r="I2338" s="169">
        <f>Imput[[#This Row],[Cantidad]]*Imput[[#This Row],[Precio Unitario]]</f>
        <v>0</v>
      </c>
      <c r="J2338" s="11">
        <f>((Imput[[#This Row],[Sub total]])*(0.16))</f>
        <v>0</v>
      </c>
      <c r="K2338" s="11">
        <v>0</v>
      </c>
      <c r="L2338" s="169">
        <f>Imput[[#This Row],[Sub total]]+Imput[[#This Row],[IVA]]-Imput[[#This Row],[Retención / IEPS / Descuento]]</f>
        <v>0</v>
      </c>
      <c r="M2338" s="844">
        <v>0</v>
      </c>
      <c r="N2338" s="189"/>
      <c r="O2338" s="1"/>
      <c r="P2338" s="189"/>
      <c r="Q2338" s="190"/>
      <c r="R2338" s="188"/>
      <c r="S2338" s="193"/>
      <c r="T2338" s="192"/>
      <c r="U2338" s="829"/>
      <c r="V2338" s="10"/>
      <c r="W2338" s="10"/>
      <c r="X2338" s="10"/>
      <c r="Y2338" s="10"/>
      <c r="Z2338" s="10"/>
      <c r="AA2338" s="11"/>
      <c r="AB2338" s="11"/>
    </row>
    <row r="2339" spans="2:28" x14ac:dyDescent="0.3">
      <c r="B2339" s="10"/>
      <c r="C2339" s="315"/>
      <c r="D2339" s="868"/>
      <c r="E2339" s="837" t="str">
        <f>IFERROR(IF(_xlfn.XLOOKUP(Imput[[#This Row],[RFC]],'Alta Proveedor'!D:D,'Alta Proveedor'!E:E)=0,"",_xlfn.XLOOKUP(Imput[[#This Row],[RFC]],'Alta Proveedor'!D:D,'Alta Proveedor'!E:E)),"")</f>
        <v/>
      </c>
      <c r="F2339" s="832"/>
      <c r="G2339" s="187"/>
      <c r="H2339" s="1"/>
      <c r="I2339" s="169">
        <f>Imput[[#This Row],[Cantidad]]*Imput[[#This Row],[Precio Unitario]]</f>
        <v>0</v>
      </c>
      <c r="J2339" s="11">
        <f>((Imput[[#This Row],[Sub total]])*(0.16))</f>
        <v>0</v>
      </c>
      <c r="K2339" s="11">
        <v>0</v>
      </c>
      <c r="L2339" s="169">
        <f>Imput[[#This Row],[Sub total]]+Imput[[#This Row],[IVA]]-Imput[[#This Row],[Retención / IEPS / Descuento]]</f>
        <v>0</v>
      </c>
      <c r="M2339" s="844">
        <v>0</v>
      </c>
      <c r="N2339" s="189"/>
      <c r="O2339" s="1"/>
      <c r="P2339" s="189"/>
      <c r="Q2339" s="190"/>
      <c r="R2339" s="188"/>
      <c r="S2339" s="193"/>
      <c r="T2339" s="192"/>
      <c r="U2339" s="829"/>
      <c r="V2339" s="10"/>
      <c r="W2339" s="10"/>
      <c r="X2339" s="10"/>
      <c r="Y2339" s="10"/>
      <c r="Z2339" s="10"/>
      <c r="AA2339" s="11"/>
      <c r="AB2339" s="11"/>
    </row>
    <row r="2340" spans="2:28" x14ac:dyDescent="0.3">
      <c r="B2340" s="10"/>
      <c r="C2340" s="315"/>
      <c r="D2340" s="868"/>
      <c r="E2340" s="837" t="str">
        <f>IFERROR(IF(_xlfn.XLOOKUP(Imput[[#This Row],[RFC]],'Alta Proveedor'!D:D,'Alta Proveedor'!E:E)=0,"",_xlfn.XLOOKUP(Imput[[#This Row],[RFC]],'Alta Proveedor'!D:D,'Alta Proveedor'!E:E)),"")</f>
        <v/>
      </c>
      <c r="F2340" s="832"/>
      <c r="G2340" s="187"/>
      <c r="H2340" s="1"/>
      <c r="I2340" s="169">
        <f>Imput[[#This Row],[Cantidad]]*Imput[[#This Row],[Precio Unitario]]</f>
        <v>0</v>
      </c>
      <c r="J2340" s="11">
        <f>((Imput[[#This Row],[Sub total]])*(0.16))</f>
        <v>0</v>
      </c>
      <c r="K2340" s="11">
        <v>0</v>
      </c>
      <c r="L2340" s="169">
        <f>Imput[[#This Row],[Sub total]]+Imput[[#This Row],[IVA]]-Imput[[#This Row],[Retención / IEPS / Descuento]]</f>
        <v>0</v>
      </c>
      <c r="M2340" s="844">
        <v>0</v>
      </c>
      <c r="N2340" s="189"/>
      <c r="O2340" s="1"/>
      <c r="P2340" s="189"/>
      <c r="Q2340" s="190"/>
      <c r="R2340" s="188"/>
      <c r="S2340" s="193"/>
      <c r="T2340" s="192"/>
      <c r="U2340" s="829"/>
      <c r="V2340" s="10"/>
      <c r="W2340" s="10"/>
      <c r="X2340" s="10"/>
      <c r="Y2340" s="10"/>
      <c r="Z2340" s="10"/>
      <c r="AA2340" s="11"/>
      <c r="AB2340" s="11"/>
    </row>
    <row r="2341" spans="2:28" x14ac:dyDescent="0.3">
      <c r="B2341" s="10"/>
      <c r="C2341" s="315"/>
      <c r="D2341" s="868"/>
      <c r="E2341" s="837" t="str">
        <f>IFERROR(IF(_xlfn.XLOOKUP(Imput[[#This Row],[RFC]],'Alta Proveedor'!D:D,'Alta Proveedor'!E:E)=0,"",_xlfn.XLOOKUP(Imput[[#This Row],[RFC]],'Alta Proveedor'!D:D,'Alta Proveedor'!E:E)),"")</f>
        <v/>
      </c>
      <c r="F2341" s="832"/>
      <c r="G2341" s="187"/>
      <c r="H2341" s="1"/>
      <c r="I2341" s="169">
        <f>Imput[[#This Row],[Cantidad]]*Imput[[#This Row],[Precio Unitario]]</f>
        <v>0</v>
      </c>
      <c r="J2341" s="11">
        <f>((Imput[[#This Row],[Sub total]])*(0.16))</f>
        <v>0</v>
      </c>
      <c r="K2341" s="11">
        <v>0</v>
      </c>
      <c r="L2341" s="169">
        <f>Imput[[#This Row],[Sub total]]+Imput[[#This Row],[IVA]]-Imput[[#This Row],[Retención / IEPS / Descuento]]</f>
        <v>0</v>
      </c>
      <c r="M2341" s="844">
        <v>0</v>
      </c>
      <c r="N2341" s="189"/>
      <c r="O2341" s="1"/>
      <c r="P2341" s="189"/>
      <c r="Q2341" s="190"/>
      <c r="R2341" s="188"/>
      <c r="S2341" s="193"/>
      <c r="T2341" s="192"/>
      <c r="U2341" s="829"/>
      <c r="V2341" s="10"/>
      <c r="W2341" s="10"/>
      <c r="X2341" s="10"/>
      <c r="Y2341" s="10"/>
      <c r="Z2341" s="10"/>
      <c r="AA2341" s="11"/>
      <c r="AB2341" s="11"/>
    </row>
    <row r="2342" spans="2:28" x14ac:dyDescent="0.3">
      <c r="B2342" s="10"/>
      <c r="C2342" s="315"/>
      <c r="D2342" s="868"/>
      <c r="E2342" s="837" t="str">
        <f>IFERROR(IF(_xlfn.XLOOKUP(Imput[[#This Row],[RFC]],'Alta Proveedor'!D:D,'Alta Proveedor'!E:E)=0,"",_xlfn.XLOOKUP(Imput[[#This Row],[RFC]],'Alta Proveedor'!D:D,'Alta Proveedor'!E:E)),"")</f>
        <v/>
      </c>
      <c r="F2342" s="832"/>
      <c r="G2342" s="187"/>
      <c r="H2342" s="1"/>
      <c r="I2342" s="169">
        <f>Imput[[#This Row],[Cantidad]]*Imput[[#This Row],[Precio Unitario]]</f>
        <v>0</v>
      </c>
      <c r="J2342" s="11">
        <f>((Imput[[#This Row],[Sub total]])*(0.16))</f>
        <v>0</v>
      </c>
      <c r="K2342" s="11">
        <v>0</v>
      </c>
      <c r="L2342" s="169">
        <f>Imput[[#This Row],[Sub total]]+Imput[[#This Row],[IVA]]-Imput[[#This Row],[Retención / IEPS / Descuento]]</f>
        <v>0</v>
      </c>
      <c r="M2342" s="844">
        <v>0</v>
      </c>
      <c r="N2342" s="189"/>
      <c r="O2342" s="1"/>
      <c r="P2342" s="189"/>
      <c r="Q2342" s="190"/>
      <c r="R2342" s="188"/>
      <c r="S2342" s="193"/>
      <c r="T2342" s="192"/>
      <c r="U2342" s="829"/>
      <c r="V2342" s="10"/>
      <c r="W2342" s="10"/>
      <c r="X2342" s="10"/>
      <c r="Y2342" s="10"/>
      <c r="Z2342" s="10"/>
      <c r="AA2342" s="11"/>
      <c r="AB2342" s="11"/>
    </row>
    <row r="2343" spans="2:28" x14ac:dyDescent="0.3">
      <c r="B2343" s="10"/>
      <c r="C2343" s="315"/>
      <c r="D2343" s="868"/>
      <c r="E2343" s="837" t="str">
        <f>IFERROR(IF(_xlfn.XLOOKUP(Imput[[#This Row],[RFC]],'Alta Proveedor'!D:D,'Alta Proveedor'!E:E)=0,"",_xlfn.XLOOKUP(Imput[[#This Row],[RFC]],'Alta Proveedor'!D:D,'Alta Proveedor'!E:E)),"")</f>
        <v/>
      </c>
      <c r="F2343" s="832"/>
      <c r="G2343" s="187"/>
      <c r="H2343" s="1"/>
      <c r="I2343" s="169">
        <f>Imput[[#This Row],[Cantidad]]*Imput[[#This Row],[Precio Unitario]]</f>
        <v>0</v>
      </c>
      <c r="J2343" s="11">
        <f>((Imput[[#This Row],[Sub total]])*(0.16))</f>
        <v>0</v>
      </c>
      <c r="K2343" s="11">
        <v>0</v>
      </c>
      <c r="L2343" s="169">
        <f>Imput[[#This Row],[Sub total]]+Imput[[#This Row],[IVA]]-Imput[[#This Row],[Retención / IEPS / Descuento]]</f>
        <v>0</v>
      </c>
      <c r="M2343" s="844">
        <v>0</v>
      </c>
      <c r="N2343" s="189"/>
      <c r="O2343" s="1"/>
      <c r="P2343" s="189"/>
      <c r="Q2343" s="190"/>
      <c r="R2343" s="188"/>
      <c r="S2343" s="193"/>
      <c r="T2343" s="192"/>
      <c r="U2343" s="829"/>
      <c r="V2343" s="10"/>
      <c r="W2343" s="10"/>
      <c r="X2343" s="10"/>
      <c r="Y2343" s="10"/>
      <c r="Z2343" s="10"/>
      <c r="AA2343" s="11"/>
      <c r="AB2343" s="11"/>
    </row>
    <row r="2344" spans="2:28" x14ac:dyDescent="0.3">
      <c r="B2344" s="10"/>
      <c r="C2344" s="315"/>
      <c r="D2344" s="868"/>
      <c r="E2344" s="837" t="str">
        <f>IFERROR(IF(_xlfn.XLOOKUP(Imput[[#This Row],[RFC]],'Alta Proveedor'!D:D,'Alta Proveedor'!E:E)=0,"",_xlfn.XLOOKUP(Imput[[#This Row],[RFC]],'Alta Proveedor'!D:D,'Alta Proveedor'!E:E)),"")</f>
        <v/>
      </c>
      <c r="F2344" s="832"/>
      <c r="G2344" s="187"/>
      <c r="H2344" s="1"/>
      <c r="I2344" s="169">
        <f>Imput[[#This Row],[Cantidad]]*Imput[[#This Row],[Precio Unitario]]</f>
        <v>0</v>
      </c>
      <c r="J2344" s="11">
        <f>((Imput[[#This Row],[Sub total]])*(0.16))</f>
        <v>0</v>
      </c>
      <c r="K2344" s="11">
        <v>0</v>
      </c>
      <c r="L2344" s="169">
        <f>Imput[[#This Row],[Sub total]]+Imput[[#This Row],[IVA]]-Imput[[#This Row],[Retención / IEPS / Descuento]]</f>
        <v>0</v>
      </c>
      <c r="M2344" s="844">
        <v>0</v>
      </c>
      <c r="N2344" s="189"/>
      <c r="O2344" s="1"/>
      <c r="P2344" s="189"/>
      <c r="Q2344" s="190"/>
      <c r="R2344" s="188"/>
      <c r="S2344" s="193"/>
      <c r="T2344" s="192"/>
      <c r="U2344" s="829"/>
      <c r="V2344" s="10"/>
      <c r="W2344" s="10"/>
      <c r="X2344" s="10"/>
      <c r="Y2344" s="10"/>
      <c r="Z2344" s="10"/>
      <c r="AA2344" s="11"/>
      <c r="AB2344" s="11"/>
    </row>
    <row r="2345" spans="2:28" x14ac:dyDescent="0.3">
      <c r="B2345" s="10"/>
      <c r="C2345" s="315"/>
      <c r="D2345" s="868"/>
      <c r="E2345" s="837" t="str">
        <f>IFERROR(IF(_xlfn.XLOOKUP(Imput[[#This Row],[RFC]],'Alta Proveedor'!D:D,'Alta Proveedor'!E:E)=0,"",_xlfn.XLOOKUP(Imput[[#This Row],[RFC]],'Alta Proveedor'!D:D,'Alta Proveedor'!E:E)),"")</f>
        <v/>
      </c>
      <c r="F2345" s="832"/>
      <c r="G2345" s="187"/>
      <c r="H2345" s="1"/>
      <c r="I2345" s="169">
        <f>Imput[[#This Row],[Cantidad]]*Imput[[#This Row],[Precio Unitario]]</f>
        <v>0</v>
      </c>
      <c r="J2345" s="11">
        <f>((Imput[[#This Row],[Sub total]])*(0.16))</f>
        <v>0</v>
      </c>
      <c r="K2345" s="11">
        <v>0</v>
      </c>
      <c r="L2345" s="169">
        <f>Imput[[#This Row],[Sub total]]+Imput[[#This Row],[IVA]]-Imput[[#This Row],[Retención / IEPS / Descuento]]</f>
        <v>0</v>
      </c>
      <c r="M2345" s="844">
        <v>0</v>
      </c>
      <c r="N2345" s="189"/>
      <c r="O2345" s="1"/>
      <c r="P2345" s="189"/>
      <c r="Q2345" s="190"/>
      <c r="R2345" s="188"/>
      <c r="S2345" s="193"/>
      <c r="T2345" s="192"/>
      <c r="U2345" s="829"/>
      <c r="V2345" s="10"/>
      <c r="W2345" s="10"/>
      <c r="X2345" s="10"/>
      <c r="Y2345" s="10"/>
      <c r="Z2345" s="10"/>
      <c r="AA2345" s="11"/>
      <c r="AB2345" s="11"/>
    </row>
    <row r="2346" spans="2:28" x14ac:dyDescent="0.3">
      <c r="B2346" s="10"/>
      <c r="C2346" s="315"/>
      <c r="D2346" s="868"/>
      <c r="E2346" s="837" t="str">
        <f>IFERROR(IF(_xlfn.XLOOKUP(Imput[[#This Row],[RFC]],'Alta Proveedor'!D:D,'Alta Proveedor'!E:E)=0,"",_xlfn.XLOOKUP(Imput[[#This Row],[RFC]],'Alta Proveedor'!D:D,'Alta Proveedor'!E:E)),"")</f>
        <v/>
      </c>
      <c r="F2346" s="832"/>
      <c r="G2346" s="187"/>
      <c r="H2346" s="1"/>
      <c r="I2346" s="169">
        <f>Imput[[#This Row],[Cantidad]]*Imput[[#This Row],[Precio Unitario]]</f>
        <v>0</v>
      </c>
      <c r="J2346" s="11">
        <f>((Imput[[#This Row],[Sub total]])*(0.16))</f>
        <v>0</v>
      </c>
      <c r="K2346" s="11">
        <v>0</v>
      </c>
      <c r="L2346" s="169">
        <f>Imput[[#This Row],[Sub total]]+Imput[[#This Row],[IVA]]-Imput[[#This Row],[Retención / IEPS / Descuento]]</f>
        <v>0</v>
      </c>
      <c r="M2346" s="844">
        <v>0</v>
      </c>
      <c r="N2346" s="189"/>
      <c r="O2346" s="1"/>
      <c r="P2346" s="189"/>
      <c r="Q2346" s="190"/>
      <c r="R2346" s="188"/>
      <c r="S2346" s="193"/>
      <c r="T2346" s="192"/>
      <c r="U2346" s="829"/>
      <c r="V2346" s="10"/>
      <c r="W2346" s="10"/>
      <c r="X2346" s="10"/>
      <c r="Y2346" s="10"/>
      <c r="Z2346" s="10"/>
      <c r="AA2346" s="11"/>
      <c r="AB2346" s="11"/>
    </row>
    <row r="2347" spans="2:28" x14ac:dyDescent="0.3">
      <c r="B2347" s="10"/>
      <c r="C2347" s="315"/>
      <c r="D2347" s="868"/>
      <c r="E2347" s="837" t="str">
        <f>IFERROR(IF(_xlfn.XLOOKUP(Imput[[#This Row],[RFC]],'Alta Proveedor'!D:D,'Alta Proveedor'!E:E)=0,"",_xlfn.XLOOKUP(Imput[[#This Row],[RFC]],'Alta Proveedor'!D:D,'Alta Proveedor'!E:E)),"")</f>
        <v/>
      </c>
      <c r="F2347" s="832"/>
      <c r="G2347" s="187"/>
      <c r="H2347" s="1"/>
      <c r="I2347" s="169">
        <f>Imput[[#This Row],[Cantidad]]*Imput[[#This Row],[Precio Unitario]]</f>
        <v>0</v>
      </c>
      <c r="J2347" s="11">
        <f>((Imput[[#This Row],[Sub total]])*(0.16))</f>
        <v>0</v>
      </c>
      <c r="K2347" s="11">
        <v>0</v>
      </c>
      <c r="L2347" s="169">
        <f>Imput[[#This Row],[Sub total]]+Imput[[#This Row],[IVA]]-Imput[[#This Row],[Retención / IEPS / Descuento]]</f>
        <v>0</v>
      </c>
      <c r="M2347" s="844">
        <v>0</v>
      </c>
      <c r="N2347" s="189"/>
      <c r="O2347" s="1"/>
      <c r="P2347" s="189"/>
      <c r="Q2347" s="190"/>
      <c r="R2347" s="188"/>
      <c r="S2347" s="193"/>
      <c r="T2347" s="192"/>
      <c r="U2347" s="829"/>
      <c r="V2347" s="10"/>
      <c r="W2347" s="10"/>
      <c r="X2347" s="10"/>
      <c r="Y2347" s="10"/>
      <c r="Z2347" s="10"/>
      <c r="AA2347" s="11"/>
      <c r="AB2347" s="11"/>
    </row>
    <row r="2348" spans="2:28" x14ac:dyDescent="0.3">
      <c r="B2348" s="10"/>
      <c r="C2348" s="315"/>
      <c r="D2348" s="868"/>
      <c r="E2348" s="837" t="str">
        <f>IFERROR(IF(_xlfn.XLOOKUP(Imput[[#This Row],[RFC]],'Alta Proveedor'!D:D,'Alta Proveedor'!E:E)=0,"",_xlfn.XLOOKUP(Imput[[#This Row],[RFC]],'Alta Proveedor'!D:D,'Alta Proveedor'!E:E)),"")</f>
        <v/>
      </c>
      <c r="F2348" s="832"/>
      <c r="G2348" s="187"/>
      <c r="H2348" s="1"/>
      <c r="I2348" s="169">
        <f>Imput[[#This Row],[Cantidad]]*Imput[[#This Row],[Precio Unitario]]</f>
        <v>0</v>
      </c>
      <c r="J2348" s="11">
        <f>((Imput[[#This Row],[Sub total]])*(0.16))</f>
        <v>0</v>
      </c>
      <c r="K2348" s="11">
        <v>0</v>
      </c>
      <c r="L2348" s="169">
        <f>Imput[[#This Row],[Sub total]]+Imput[[#This Row],[IVA]]-Imput[[#This Row],[Retención / IEPS / Descuento]]</f>
        <v>0</v>
      </c>
      <c r="M2348" s="844">
        <v>0</v>
      </c>
      <c r="N2348" s="189"/>
      <c r="O2348" s="1"/>
      <c r="P2348" s="189"/>
      <c r="Q2348" s="190"/>
      <c r="R2348" s="188"/>
      <c r="S2348" s="193"/>
      <c r="T2348" s="192"/>
      <c r="U2348" s="829"/>
      <c r="V2348" s="10"/>
      <c r="W2348" s="10"/>
      <c r="X2348" s="10"/>
      <c r="Y2348" s="10"/>
      <c r="Z2348" s="10"/>
      <c r="AA2348" s="11"/>
      <c r="AB2348" s="11"/>
    </row>
    <row r="2349" spans="2:28" x14ac:dyDescent="0.3">
      <c r="B2349" s="10"/>
      <c r="C2349" s="315"/>
      <c r="D2349" s="868"/>
      <c r="E2349" s="837" t="str">
        <f>IFERROR(IF(_xlfn.XLOOKUP(Imput[[#This Row],[RFC]],'Alta Proveedor'!D:D,'Alta Proveedor'!E:E)=0,"",_xlfn.XLOOKUP(Imput[[#This Row],[RFC]],'Alta Proveedor'!D:D,'Alta Proveedor'!E:E)),"")</f>
        <v/>
      </c>
      <c r="F2349" s="832"/>
      <c r="G2349" s="187"/>
      <c r="H2349" s="1"/>
      <c r="I2349" s="169">
        <f>Imput[[#This Row],[Cantidad]]*Imput[[#This Row],[Precio Unitario]]</f>
        <v>0</v>
      </c>
      <c r="J2349" s="11">
        <f>((Imput[[#This Row],[Sub total]])*(0.16))</f>
        <v>0</v>
      </c>
      <c r="K2349" s="11">
        <v>0</v>
      </c>
      <c r="L2349" s="169">
        <f>Imput[[#This Row],[Sub total]]+Imput[[#This Row],[IVA]]-Imput[[#This Row],[Retención / IEPS / Descuento]]</f>
        <v>0</v>
      </c>
      <c r="M2349" s="844">
        <v>0</v>
      </c>
      <c r="N2349" s="189"/>
      <c r="O2349" s="1"/>
      <c r="P2349" s="189"/>
      <c r="Q2349" s="190"/>
      <c r="R2349" s="188"/>
      <c r="S2349" s="193"/>
      <c r="T2349" s="192"/>
      <c r="U2349" s="829"/>
      <c r="V2349" s="10"/>
      <c r="W2349" s="10"/>
      <c r="X2349" s="10"/>
      <c r="Y2349" s="10"/>
      <c r="Z2349" s="10"/>
      <c r="AA2349" s="11"/>
      <c r="AB2349" s="11"/>
    </row>
    <row r="2350" spans="2:28" x14ac:dyDescent="0.3">
      <c r="B2350" s="10"/>
      <c r="C2350" s="315"/>
      <c r="D2350" s="868"/>
      <c r="E2350" s="837" t="str">
        <f>IFERROR(IF(_xlfn.XLOOKUP(Imput[[#This Row],[RFC]],'Alta Proveedor'!D:D,'Alta Proveedor'!E:E)=0,"",_xlfn.XLOOKUP(Imput[[#This Row],[RFC]],'Alta Proveedor'!D:D,'Alta Proveedor'!E:E)),"")</f>
        <v/>
      </c>
      <c r="F2350" s="832"/>
      <c r="G2350" s="187"/>
      <c r="H2350" s="1"/>
      <c r="I2350" s="169">
        <f>Imput[[#This Row],[Cantidad]]*Imput[[#This Row],[Precio Unitario]]</f>
        <v>0</v>
      </c>
      <c r="J2350" s="11">
        <f>((Imput[[#This Row],[Sub total]])*(0.16))</f>
        <v>0</v>
      </c>
      <c r="K2350" s="11">
        <v>0</v>
      </c>
      <c r="L2350" s="169">
        <f>Imput[[#This Row],[Sub total]]+Imput[[#This Row],[IVA]]-Imput[[#This Row],[Retención / IEPS / Descuento]]</f>
        <v>0</v>
      </c>
      <c r="M2350" s="844">
        <v>0</v>
      </c>
      <c r="N2350" s="189"/>
      <c r="O2350" s="1"/>
      <c r="P2350" s="189"/>
      <c r="Q2350" s="190"/>
      <c r="R2350" s="188"/>
      <c r="S2350" s="193"/>
      <c r="T2350" s="192"/>
      <c r="U2350" s="829"/>
      <c r="V2350" s="10"/>
      <c r="W2350" s="10"/>
      <c r="X2350" s="10"/>
      <c r="Y2350" s="10"/>
      <c r="Z2350" s="10"/>
      <c r="AA2350" s="11"/>
      <c r="AB2350" s="11"/>
    </row>
    <row r="2351" spans="2:28" x14ac:dyDescent="0.3">
      <c r="B2351" s="10"/>
      <c r="C2351" s="315"/>
      <c r="D2351" s="868"/>
      <c r="E2351" s="837" t="str">
        <f>IFERROR(IF(_xlfn.XLOOKUP(Imput[[#This Row],[RFC]],'Alta Proveedor'!D:D,'Alta Proveedor'!E:E)=0,"",_xlfn.XLOOKUP(Imput[[#This Row],[RFC]],'Alta Proveedor'!D:D,'Alta Proveedor'!E:E)),"")</f>
        <v/>
      </c>
      <c r="F2351" s="832"/>
      <c r="G2351" s="187"/>
      <c r="H2351" s="1"/>
      <c r="I2351" s="169">
        <f>Imput[[#This Row],[Cantidad]]*Imput[[#This Row],[Precio Unitario]]</f>
        <v>0</v>
      </c>
      <c r="J2351" s="11">
        <f>((Imput[[#This Row],[Sub total]])*(0.16))</f>
        <v>0</v>
      </c>
      <c r="K2351" s="11">
        <v>0</v>
      </c>
      <c r="L2351" s="169">
        <f>Imput[[#This Row],[Sub total]]+Imput[[#This Row],[IVA]]-Imput[[#This Row],[Retención / IEPS / Descuento]]</f>
        <v>0</v>
      </c>
      <c r="M2351" s="844">
        <v>0</v>
      </c>
      <c r="N2351" s="189"/>
      <c r="O2351" s="1"/>
      <c r="P2351" s="189"/>
      <c r="Q2351" s="190"/>
      <c r="R2351" s="188"/>
      <c r="S2351" s="193"/>
      <c r="T2351" s="192"/>
      <c r="U2351" s="829"/>
      <c r="V2351" s="10"/>
      <c r="W2351" s="10"/>
      <c r="X2351" s="10"/>
      <c r="Y2351" s="10"/>
      <c r="Z2351" s="10"/>
      <c r="AA2351" s="11"/>
      <c r="AB2351" s="11"/>
    </row>
    <row r="2352" spans="2:28" x14ac:dyDescent="0.3">
      <c r="B2352" s="10"/>
      <c r="C2352" s="315"/>
      <c r="D2352" s="868"/>
      <c r="E2352" s="837" t="str">
        <f>IFERROR(IF(_xlfn.XLOOKUP(Imput[[#This Row],[RFC]],'Alta Proveedor'!D:D,'Alta Proveedor'!E:E)=0,"",_xlfn.XLOOKUP(Imput[[#This Row],[RFC]],'Alta Proveedor'!D:D,'Alta Proveedor'!E:E)),"")</f>
        <v/>
      </c>
      <c r="F2352" s="832"/>
      <c r="G2352" s="187"/>
      <c r="H2352" s="1"/>
      <c r="I2352" s="169">
        <f>Imput[[#This Row],[Cantidad]]*Imput[[#This Row],[Precio Unitario]]</f>
        <v>0</v>
      </c>
      <c r="J2352" s="11">
        <f>((Imput[[#This Row],[Sub total]])*(0.16))</f>
        <v>0</v>
      </c>
      <c r="K2352" s="11">
        <v>0</v>
      </c>
      <c r="L2352" s="169">
        <f>Imput[[#This Row],[Sub total]]+Imput[[#This Row],[IVA]]-Imput[[#This Row],[Retención / IEPS / Descuento]]</f>
        <v>0</v>
      </c>
      <c r="M2352" s="844">
        <v>0</v>
      </c>
      <c r="N2352" s="189"/>
      <c r="O2352" s="1"/>
      <c r="P2352" s="189"/>
      <c r="Q2352" s="190"/>
      <c r="R2352" s="188"/>
      <c r="S2352" s="193"/>
      <c r="T2352" s="192"/>
      <c r="U2352" s="829"/>
      <c r="V2352" s="10"/>
      <c r="W2352" s="10"/>
      <c r="X2352" s="10"/>
      <c r="Y2352" s="10"/>
      <c r="Z2352" s="10"/>
      <c r="AA2352" s="11"/>
      <c r="AB2352" s="11"/>
    </row>
    <row r="2353" spans="2:28" x14ac:dyDescent="0.3">
      <c r="B2353" s="10"/>
      <c r="C2353" s="315"/>
      <c r="D2353" s="868"/>
      <c r="E2353" s="837" t="str">
        <f>IFERROR(IF(_xlfn.XLOOKUP(Imput[[#This Row],[RFC]],'Alta Proveedor'!D:D,'Alta Proveedor'!E:E)=0,"",_xlfn.XLOOKUP(Imput[[#This Row],[RFC]],'Alta Proveedor'!D:D,'Alta Proveedor'!E:E)),"")</f>
        <v/>
      </c>
      <c r="F2353" s="832"/>
      <c r="G2353" s="187"/>
      <c r="H2353" s="1"/>
      <c r="I2353" s="169">
        <f>Imput[[#This Row],[Cantidad]]*Imput[[#This Row],[Precio Unitario]]</f>
        <v>0</v>
      </c>
      <c r="J2353" s="11">
        <f>((Imput[[#This Row],[Sub total]])*(0.16))</f>
        <v>0</v>
      </c>
      <c r="K2353" s="11">
        <v>0</v>
      </c>
      <c r="L2353" s="169">
        <f>Imput[[#This Row],[Sub total]]+Imput[[#This Row],[IVA]]-Imput[[#This Row],[Retención / IEPS / Descuento]]</f>
        <v>0</v>
      </c>
      <c r="M2353" s="844">
        <v>0</v>
      </c>
      <c r="N2353" s="189"/>
      <c r="O2353" s="1"/>
      <c r="P2353" s="189"/>
      <c r="Q2353" s="190"/>
      <c r="R2353" s="188"/>
      <c r="S2353" s="193"/>
      <c r="T2353" s="192"/>
      <c r="U2353" s="829"/>
      <c r="V2353" s="10"/>
      <c r="W2353" s="10"/>
      <c r="X2353" s="10"/>
      <c r="Y2353" s="10"/>
      <c r="Z2353" s="10"/>
      <c r="AA2353" s="11"/>
      <c r="AB2353" s="11"/>
    </row>
    <row r="2354" spans="2:28" x14ac:dyDescent="0.3">
      <c r="B2354" s="10"/>
      <c r="C2354" s="315"/>
      <c r="D2354" s="868"/>
      <c r="E2354" s="837" t="str">
        <f>IFERROR(IF(_xlfn.XLOOKUP(Imput[[#This Row],[RFC]],'Alta Proveedor'!D:D,'Alta Proveedor'!E:E)=0,"",_xlfn.XLOOKUP(Imput[[#This Row],[RFC]],'Alta Proveedor'!D:D,'Alta Proveedor'!E:E)),"")</f>
        <v/>
      </c>
      <c r="F2354" s="832"/>
      <c r="G2354" s="187"/>
      <c r="H2354" s="1"/>
      <c r="I2354" s="169">
        <f>Imput[[#This Row],[Cantidad]]*Imput[[#This Row],[Precio Unitario]]</f>
        <v>0</v>
      </c>
      <c r="J2354" s="11">
        <f>((Imput[[#This Row],[Sub total]])*(0.16))</f>
        <v>0</v>
      </c>
      <c r="K2354" s="11">
        <v>0</v>
      </c>
      <c r="L2354" s="169">
        <f>Imput[[#This Row],[Sub total]]+Imput[[#This Row],[IVA]]-Imput[[#This Row],[Retención / IEPS / Descuento]]</f>
        <v>0</v>
      </c>
      <c r="M2354" s="844">
        <v>0</v>
      </c>
      <c r="N2354" s="189"/>
      <c r="O2354" s="1"/>
      <c r="P2354" s="189"/>
      <c r="Q2354" s="190"/>
      <c r="R2354" s="188"/>
      <c r="S2354" s="193"/>
      <c r="T2354" s="192"/>
      <c r="U2354" s="829"/>
      <c r="V2354" s="10"/>
      <c r="W2354" s="10"/>
      <c r="X2354" s="10"/>
      <c r="Y2354" s="10"/>
      <c r="Z2354" s="10"/>
      <c r="AA2354" s="11"/>
      <c r="AB2354" s="11"/>
    </row>
    <row r="2355" spans="2:28" x14ac:dyDescent="0.3">
      <c r="B2355" s="10"/>
      <c r="C2355" s="315"/>
      <c r="D2355" s="868"/>
      <c r="E2355" s="837" t="str">
        <f>IFERROR(IF(_xlfn.XLOOKUP(Imput[[#This Row],[RFC]],'Alta Proveedor'!D:D,'Alta Proveedor'!E:E)=0,"",_xlfn.XLOOKUP(Imput[[#This Row],[RFC]],'Alta Proveedor'!D:D,'Alta Proveedor'!E:E)),"")</f>
        <v/>
      </c>
      <c r="F2355" s="832"/>
      <c r="G2355" s="187"/>
      <c r="H2355" s="1"/>
      <c r="I2355" s="169">
        <f>Imput[[#This Row],[Cantidad]]*Imput[[#This Row],[Precio Unitario]]</f>
        <v>0</v>
      </c>
      <c r="J2355" s="11">
        <f>((Imput[[#This Row],[Sub total]])*(0.16))</f>
        <v>0</v>
      </c>
      <c r="K2355" s="11">
        <v>0</v>
      </c>
      <c r="L2355" s="169">
        <f>Imput[[#This Row],[Sub total]]+Imput[[#This Row],[IVA]]-Imput[[#This Row],[Retención / IEPS / Descuento]]</f>
        <v>0</v>
      </c>
      <c r="M2355" s="844">
        <v>0</v>
      </c>
      <c r="N2355" s="189"/>
      <c r="O2355" s="1"/>
      <c r="P2355" s="189"/>
      <c r="Q2355" s="190"/>
      <c r="R2355" s="188"/>
      <c r="S2355" s="193"/>
      <c r="T2355" s="192"/>
      <c r="U2355" s="829"/>
      <c r="V2355" s="10"/>
      <c r="W2355" s="10"/>
      <c r="X2355" s="10"/>
      <c r="Y2355" s="10"/>
      <c r="Z2355" s="10"/>
      <c r="AA2355" s="11"/>
      <c r="AB2355" s="11"/>
    </row>
    <row r="2356" spans="2:28" x14ac:dyDescent="0.3">
      <c r="B2356" s="10"/>
      <c r="C2356" s="315"/>
      <c r="D2356" s="868"/>
      <c r="E2356" s="837" t="str">
        <f>IFERROR(IF(_xlfn.XLOOKUP(Imput[[#This Row],[RFC]],'Alta Proveedor'!D:D,'Alta Proveedor'!E:E)=0,"",_xlfn.XLOOKUP(Imput[[#This Row],[RFC]],'Alta Proveedor'!D:D,'Alta Proveedor'!E:E)),"")</f>
        <v/>
      </c>
      <c r="F2356" s="832"/>
      <c r="G2356" s="187"/>
      <c r="H2356" s="1"/>
      <c r="I2356" s="169">
        <f>Imput[[#This Row],[Cantidad]]*Imput[[#This Row],[Precio Unitario]]</f>
        <v>0</v>
      </c>
      <c r="J2356" s="11">
        <f>((Imput[[#This Row],[Sub total]])*(0.16))</f>
        <v>0</v>
      </c>
      <c r="K2356" s="11">
        <v>0</v>
      </c>
      <c r="L2356" s="169">
        <f>Imput[[#This Row],[Sub total]]+Imput[[#This Row],[IVA]]-Imput[[#This Row],[Retención / IEPS / Descuento]]</f>
        <v>0</v>
      </c>
      <c r="M2356" s="844">
        <v>0</v>
      </c>
      <c r="N2356" s="189"/>
      <c r="O2356" s="1"/>
      <c r="P2356" s="189"/>
      <c r="Q2356" s="190"/>
      <c r="R2356" s="188"/>
      <c r="S2356" s="193"/>
      <c r="T2356" s="192"/>
      <c r="U2356" s="829"/>
      <c r="V2356" s="10"/>
      <c r="W2356" s="10"/>
      <c r="X2356" s="10"/>
      <c r="Y2356" s="10"/>
      <c r="Z2356" s="10"/>
      <c r="AA2356" s="11"/>
      <c r="AB2356" s="11"/>
    </row>
    <row r="2357" spans="2:28" x14ac:dyDescent="0.3">
      <c r="B2357" s="10"/>
      <c r="C2357" s="315"/>
      <c r="D2357" s="868"/>
      <c r="E2357" s="837" t="str">
        <f>IFERROR(IF(_xlfn.XLOOKUP(Imput[[#This Row],[RFC]],'Alta Proveedor'!D:D,'Alta Proveedor'!E:E)=0,"",_xlfn.XLOOKUP(Imput[[#This Row],[RFC]],'Alta Proveedor'!D:D,'Alta Proveedor'!E:E)),"")</f>
        <v/>
      </c>
      <c r="F2357" s="832"/>
      <c r="G2357" s="187"/>
      <c r="H2357" s="1"/>
      <c r="I2357" s="169">
        <f>Imput[[#This Row],[Cantidad]]*Imput[[#This Row],[Precio Unitario]]</f>
        <v>0</v>
      </c>
      <c r="J2357" s="11">
        <f>((Imput[[#This Row],[Sub total]])*(0.16))</f>
        <v>0</v>
      </c>
      <c r="K2357" s="11">
        <v>0</v>
      </c>
      <c r="L2357" s="169">
        <f>Imput[[#This Row],[Sub total]]+Imput[[#This Row],[IVA]]-Imput[[#This Row],[Retención / IEPS / Descuento]]</f>
        <v>0</v>
      </c>
      <c r="M2357" s="844">
        <v>0</v>
      </c>
      <c r="N2357" s="189"/>
      <c r="O2357" s="1"/>
      <c r="P2357" s="189"/>
      <c r="Q2357" s="190"/>
      <c r="R2357" s="188"/>
      <c r="S2357" s="193"/>
      <c r="T2357" s="192"/>
      <c r="U2357" s="829"/>
      <c r="V2357" s="10"/>
      <c r="W2357" s="10"/>
      <c r="X2357" s="10"/>
      <c r="Y2357" s="10"/>
      <c r="Z2357" s="10"/>
      <c r="AA2357" s="11"/>
      <c r="AB2357" s="11"/>
    </row>
    <row r="2358" spans="2:28" x14ac:dyDescent="0.3">
      <c r="B2358" s="10"/>
      <c r="C2358" s="315"/>
      <c r="D2358" s="868"/>
      <c r="E2358" s="837" t="str">
        <f>IFERROR(IF(_xlfn.XLOOKUP(Imput[[#This Row],[RFC]],'Alta Proveedor'!D:D,'Alta Proveedor'!E:E)=0,"",_xlfn.XLOOKUP(Imput[[#This Row],[RFC]],'Alta Proveedor'!D:D,'Alta Proveedor'!E:E)),"")</f>
        <v/>
      </c>
      <c r="F2358" s="832"/>
      <c r="G2358" s="187"/>
      <c r="H2358" s="1"/>
      <c r="I2358" s="169">
        <f>Imput[[#This Row],[Cantidad]]*Imput[[#This Row],[Precio Unitario]]</f>
        <v>0</v>
      </c>
      <c r="J2358" s="11">
        <f>((Imput[[#This Row],[Sub total]])*(0.16))</f>
        <v>0</v>
      </c>
      <c r="K2358" s="11">
        <v>0</v>
      </c>
      <c r="L2358" s="169">
        <f>Imput[[#This Row],[Sub total]]+Imput[[#This Row],[IVA]]-Imput[[#This Row],[Retención / IEPS / Descuento]]</f>
        <v>0</v>
      </c>
      <c r="M2358" s="844">
        <v>0</v>
      </c>
      <c r="N2358" s="189"/>
      <c r="O2358" s="1"/>
      <c r="P2358" s="189"/>
      <c r="Q2358" s="190"/>
      <c r="R2358" s="188"/>
      <c r="S2358" s="193"/>
      <c r="T2358" s="192"/>
      <c r="U2358" s="829"/>
      <c r="V2358" s="10"/>
      <c r="W2358" s="10"/>
      <c r="X2358" s="10"/>
      <c r="Y2358" s="10"/>
      <c r="Z2358" s="10"/>
      <c r="AA2358" s="11"/>
      <c r="AB2358" s="11"/>
    </row>
    <row r="2359" spans="2:28" x14ac:dyDescent="0.3">
      <c r="B2359" s="10"/>
      <c r="C2359" s="315"/>
      <c r="D2359" s="868"/>
      <c r="E2359" s="837" t="str">
        <f>IFERROR(IF(_xlfn.XLOOKUP(Imput[[#This Row],[RFC]],'Alta Proveedor'!D:D,'Alta Proveedor'!E:E)=0,"",_xlfn.XLOOKUP(Imput[[#This Row],[RFC]],'Alta Proveedor'!D:D,'Alta Proveedor'!E:E)),"")</f>
        <v/>
      </c>
      <c r="F2359" s="832"/>
      <c r="G2359" s="187"/>
      <c r="H2359" s="1"/>
      <c r="I2359" s="169">
        <f>Imput[[#This Row],[Cantidad]]*Imput[[#This Row],[Precio Unitario]]</f>
        <v>0</v>
      </c>
      <c r="J2359" s="11">
        <f>((Imput[[#This Row],[Sub total]])*(0.16))</f>
        <v>0</v>
      </c>
      <c r="K2359" s="11">
        <v>0</v>
      </c>
      <c r="L2359" s="169">
        <f>Imput[[#This Row],[Sub total]]+Imput[[#This Row],[IVA]]-Imput[[#This Row],[Retención / IEPS / Descuento]]</f>
        <v>0</v>
      </c>
      <c r="M2359" s="844">
        <v>0</v>
      </c>
      <c r="N2359" s="189"/>
      <c r="O2359" s="1"/>
      <c r="P2359" s="189"/>
      <c r="Q2359" s="190"/>
      <c r="R2359" s="188"/>
      <c r="S2359" s="193"/>
      <c r="T2359" s="192"/>
      <c r="U2359" s="829"/>
      <c r="V2359" s="10"/>
      <c r="W2359" s="10"/>
      <c r="X2359" s="10"/>
      <c r="Y2359" s="10"/>
      <c r="Z2359" s="10"/>
      <c r="AA2359" s="11"/>
      <c r="AB2359" s="11"/>
    </row>
    <row r="2360" spans="2:28" x14ac:dyDescent="0.3">
      <c r="B2360" s="10"/>
      <c r="C2360" s="315"/>
      <c r="D2360" s="868"/>
      <c r="E2360" s="837" t="str">
        <f>IFERROR(IF(_xlfn.XLOOKUP(Imput[[#This Row],[RFC]],'Alta Proveedor'!D:D,'Alta Proveedor'!E:E)=0,"",_xlfn.XLOOKUP(Imput[[#This Row],[RFC]],'Alta Proveedor'!D:D,'Alta Proveedor'!E:E)),"")</f>
        <v/>
      </c>
      <c r="F2360" s="832"/>
      <c r="G2360" s="187"/>
      <c r="H2360" s="1"/>
      <c r="I2360" s="169">
        <f>Imput[[#This Row],[Cantidad]]*Imput[[#This Row],[Precio Unitario]]</f>
        <v>0</v>
      </c>
      <c r="J2360" s="11">
        <f>((Imput[[#This Row],[Sub total]])*(0.16))</f>
        <v>0</v>
      </c>
      <c r="K2360" s="11">
        <v>0</v>
      </c>
      <c r="L2360" s="169">
        <f>Imput[[#This Row],[Sub total]]+Imput[[#This Row],[IVA]]-Imput[[#This Row],[Retención / IEPS / Descuento]]</f>
        <v>0</v>
      </c>
      <c r="M2360" s="844">
        <v>0</v>
      </c>
      <c r="N2360" s="189"/>
      <c r="O2360" s="1"/>
      <c r="P2360" s="189"/>
      <c r="Q2360" s="190"/>
      <c r="R2360" s="188"/>
      <c r="S2360" s="193"/>
      <c r="T2360" s="192"/>
      <c r="U2360" s="829"/>
      <c r="V2360" s="10"/>
      <c r="W2360" s="10"/>
      <c r="X2360" s="10"/>
      <c r="Y2360" s="10"/>
      <c r="Z2360" s="10"/>
      <c r="AA2360" s="11"/>
      <c r="AB2360" s="11"/>
    </row>
    <row r="2361" spans="2:28" x14ac:dyDescent="0.3">
      <c r="B2361" s="10"/>
      <c r="C2361" s="315"/>
      <c r="D2361" s="868"/>
      <c r="E2361" s="837" t="str">
        <f>IFERROR(IF(_xlfn.XLOOKUP(Imput[[#This Row],[RFC]],'Alta Proveedor'!D:D,'Alta Proveedor'!E:E)=0,"",_xlfn.XLOOKUP(Imput[[#This Row],[RFC]],'Alta Proveedor'!D:D,'Alta Proveedor'!E:E)),"")</f>
        <v/>
      </c>
      <c r="F2361" s="832"/>
      <c r="G2361" s="187"/>
      <c r="H2361" s="1"/>
      <c r="I2361" s="169">
        <f>Imput[[#This Row],[Cantidad]]*Imput[[#This Row],[Precio Unitario]]</f>
        <v>0</v>
      </c>
      <c r="J2361" s="11">
        <f>((Imput[[#This Row],[Sub total]])*(0.16))</f>
        <v>0</v>
      </c>
      <c r="K2361" s="11">
        <v>0</v>
      </c>
      <c r="L2361" s="169">
        <f>Imput[[#This Row],[Sub total]]+Imput[[#This Row],[IVA]]-Imput[[#This Row],[Retención / IEPS / Descuento]]</f>
        <v>0</v>
      </c>
      <c r="M2361" s="844">
        <v>0</v>
      </c>
      <c r="N2361" s="189"/>
      <c r="O2361" s="1"/>
      <c r="P2361" s="189"/>
      <c r="Q2361" s="190"/>
      <c r="R2361" s="188"/>
      <c r="S2361" s="193"/>
      <c r="T2361" s="192"/>
      <c r="U2361" s="829"/>
      <c r="V2361" s="10"/>
      <c r="W2361" s="10"/>
      <c r="X2361" s="10"/>
      <c r="Y2361" s="10"/>
      <c r="Z2361" s="10"/>
      <c r="AA2361" s="11"/>
      <c r="AB2361" s="11"/>
    </row>
    <row r="2362" spans="2:28" x14ac:dyDescent="0.3">
      <c r="B2362" s="10"/>
      <c r="C2362" s="315"/>
      <c r="D2362" s="868"/>
      <c r="E2362" s="837" t="str">
        <f>IFERROR(IF(_xlfn.XLOOKUP(Imput[[#This Row],[RFC]],'Alta Proveedor'!D:D,'Alta Proveedor'!E:E)=0,"",_xlfn.XLOOKUP(Imput[[#This Row],[RFC]],'Alta Proveedor'!D:D,'Alta Proveedor'!E:E)),"")</f>
        <v/>
      </c>
      <c r="F2362" s="832"/>
      <c r="G2362" s="187"/>
      <c r="H2362" s="1"/>
      <c r="I2362" s="169">
        <f>Imput[[#This Row],[Cantidad]]*Imput[[#This Row],[Precio Unitario]]</f>
        <v>0</v>
      </c>
      <c r="J2362" s="11">
        <f>((Imput[[#This Row],[Sub total]])*(0.16))</f>
        <v>0</v>
      </c>
      <c r="K2362" s="11">
        <v>0</v>
      </c>
      <c r="L2362" s="169">
        <f>Imput[[#This Row],[Sub total]]+Imput[[#This Row],[IVA]]-Imput[[#This Row],[Retención / IEPS / Descuento]]</f>
        <v>0</v>
      </c>
      <c r="M2362" s="844">
        <v>0</v>
      </c>
      <c r="N2362" s="189"/>
      <c r="O2362" s="1"/>
      <c r="P2362" s="189"/>
      <c r="Q2362" s="190"/>
      <c r="R2362" s="188"/>
      <c r="S2362" s="193"/>
      <c r="T2362" s="192"/>
      <c r="U2362" s="829"/>
      <c r="V2362" s="10"/>
      <c r="W2362" s="10"/>
      <c r="X2362" s="10"/>
      <c r="Y2362" s="10"/>
      <c r="Z2362" s="10"/>
      <c r="AA2362" s="11"/>
      <c r="AB2362" s="11"/>
    </row>
    <row r="2363" spans="2:28" x14ac:dyDescent="0.3">
      <c r="B2363" s="10"/>
      <c r="C2363" s="315"/>
      <c r="D2363" s="868"/>
      <c r="E2363" s="837" t="str">
        <f>IFERROR(IF(_xlfn.XLOOKUP(Imput[[#This Row],[RFC]],'Alta Proveedor'!D:D,'Alta Proveedor'!E:E)=0,"",_xlfn.XLOOKUP(Imput[[#This Row],[RFC]],'Alta Proveedor'!D:D,'Alta Proveedor'!E:E)),"")</f>
        <v/>
      </c>
      <c r="F2363" s="832"/>
      <c r="G2363" s="187"/>
      <c r="H2363" s="1"/>
      <c r="I2363" s="169">
        <f>Imput[[#This Row],[Cantidad]]*Imput[[#This Row],[Precio Unitario]]</f>
        <v>0</v>
      </c>
      <c r="J2363" s="11">
        <f>((Imput[[#This Row],[Sub total]])*(0.16))</f>
        <v>0</v>
      </c>
      <c r="K2363" s="11">
        <v>0</v>
      </c>
      <c r="L2363" s="169">
        <f>Imput[[#This Row],[Sub total]]+Imput[[#This Row],[IVA]]-Imput[[#This Row],[Retención / IEPS / Descuento]]</f>
        <v>0</v>
      </c>
      <c r="M2363" s="844">
        <v>0</v>
      </c>
      <c r="N2363" s="189"/>
      <c r="O2363" s="1"/>
      <c r="P2363" s="189"/>
      <c r="Q2363" s="190"/>
      <c r="R2363" s="188"/>
      <c r="S2363" s="193"/>
      <c r="T2363" s="192"/>
      <c r="U2363" s="829"/>
      <c r="V2363" s="10"/>
      <c r="W2363" s="10"/>
      <c r="X2363" s="10"/>
      <c r="Y2363" s="10"/>
      <c r="Z2363" s="10"/>
      <c r="AA2363" s="11"/>
      <c r="AB2363" s="11"/>
    </row>
    <row r="2364" spans="2:28" x14ac:dyDescent="0.3">
      <c r="B2364" s="10"/>
      <c r="C2364" s="315"/>
      <c r="D2364" s="868"/>
      <c r="E2364" s="837" t="str">
        <f>IFERROR(IF(_xlfn.XLOOKUP(Imput[[#This Row],[RFC]],'Alta Proveedor'!D:D,'Alta Proveedor'!E:E)=0,"",_xlfn.XLOOKUP(Imput[[#This Row],[RFC]],'Alta Proveedor'!D:D,'Alta Proveedor'!E:E)),"")</f>
        <v/>
      </c>
      <c r="F2364" s="832"/>
      <c r="G2364" s="187"/>
      <c r="H2364" s="1"/>
      <c r="I2364" s="169">
        <f>Imput[[#This Row],[Cantidad]]*Imput[[#This Row],[Precio Unitario]]</f>
        <v>0</v>
      </c>
      <c r="J2364" s="11">
        <f>((Imput[[#This Row],[Sub total]])*(0.16))</f>
        <v>0</v>
      </c>
      <c r="K2364" s="11">
        <v>0</v>
      </c>
      <c r="L2364" s="169">
        <f>Imput[[#This Row],[Sub total]]+Imput[[#This Row],[IVA]]-Imput[[#This Row],[Retención / IEPS / Descuento]]</f>
        <v>0</v>
      </c>
      <c r="M2364" s="844">
        <v>0</v>
      </c>
      <c r="N2364" s="189"/>
      <c r="O2364" s="1"/>
      <c r="P2364" s="189"/>
      <c r="Q2364" s="190"/>
      <c r="R2364" s="188"/>
      <c r="S2364" s="193"/>
      <c r="T2364" s="192"/>
      <c r="U2364" s="829"/>
      <c r="V2364" s="10"/>
      <c r="W2364" s="10"/>
      <c r="X2364" s="10"/>
      <c r="Y2364" s="10"/>
      <c r="Z2364" s="10"/>
      <c r="AA2364" s="11"/>
      <c r="AB2364" s="11"/>
    </row>
    <row r="2365" spans="2:28" x14ac:dyDescent="0.3">
      <c r="B2365" s="10"/>
      <c r="C2365" s="315"/>
      <c r="D2365" s="868"/>
      <c r="E2365" s="837" t="str">
        <f>IFERROR(IF(_xlfn.XLOOKUP(Imput[[#This Row],[RFC]],'Alta Proveedor'!D:D,'Alta Proveedor'!E:E)=0,"",_xlfn.XLOOKUP(Imput[[#This Row],[RFC]],'Alta Proveedor'!D:D,'Alta Proveedor'!E:E)),"")</f>
        <v/>
      </c>
      <c r="F2365" s="832"/>
      <c r="G2365" s="187"/>
      <c r="H2365" s="1"/>
      <c r="I2365" s="169">
        <f>Imput[[#This Row],[Cantidad]]*Imput[[#This Row],[Precio Unitario]]</f>
        <v>0</v>
      </c>
      <c r="J2365" s="11">
        <f>((Imput[[#This Row],[Sub total]])*(0.16))</f>
        <v>0</v>
      </c>
      <c r="K2365" s="11">
        <v>0</v>
      </c>
      <c r="L2365" s="169">
        <f>Imput[[#This Row],[Sub total]]+Imput[[#This Row],[IVA]]-Imput[[#This Row],[Retención / IEPS / Descuento]]</f>
        <v>0</v>
      </c>
      <c r="M2365" s="844">
        <v>0</v>
      </c>
      <c r="N2365" s="189"/>
      <c r="O2365" s="1"/>
      <c r="P2365" s="189"/>
      <c r="Q2365" s="190"/>
      <c r="R2365" s="188"/>
      <c r="S2365" s="193"/>
      <c r="T2365" s="192"/>
      <c r="U2365" s="829"/>
      <c r="V2365" s="10"/>
      <c r="W2365" s="10"/>
      <c r="X2365" s="10"/>
      <c r="Y2365" s="10"/>
      <c r="Z2365" s="10"/>
      <c r="AA2365" s="11"/>
      <c r="AB2365" s="11"/>
    </row>
    <row r="2366" spans="2:28" x14ac:dyDescent="0.3">
      <c r="B2366" s="10"/>
      <c r="C2366" s="315"/>
      <c r="D2366" s="868"/>
      <c r="E2366" s="837" t="str">
        <f>IFERROR(IF(_xlfn.XLOOKUP(Imput[[#This Row],[RFC]],'Alta Proveedor'!D:D,'Alta Proveedor'!E:E)=0,"",_xlfn.XLOOKUP(Imput[[#This Row],[RFC]],'Alta Proveedor'!D:D,'Alta Proveedor'!E:E)),"")</f>
        <v/>
      </c>
      <c r="F2366" s="832"/>
      <c r="G2366" s="187"/>
      <c r="H2366" s="1"/>
      <c r="I2366" s="169">
        <f>Imput[[#This Row],[Cantidad]]*Imput[[#This Row],[Precio Unitario]]</f>
        <v>0</v>
      </c>
      <c r="J2366" s="11">
        <f>((Imput[[#This Row],[Sub total]])*(0.16))</f>
        <v>0</v>
      </c>
      <c r="K2366" s="11">
        <v>0</v>
      </c>
      <c r="L2366" s="169">
        <f>Imput[[#This Row],[Sub total]]+Imput[[#This Row],[IVA]]-Imput[[#This Row],[Retención / IEPS / Descuento]]</f>
        <v>0</v>
      </c>
      <c r="M2366" s="844">
        <v>0</v>
      </c>
      <c r="N2366" s="189"/>
      <c r="O2366" s="1"/>
      <c r="P2366" s="189"/>
      <c r="Q2366" s="190"/>
      <c r="R2366" s="188"/>
      <c r="S2366" s="193"/>
      <c r="T2366" s="192"/>
      <c r="U2366" s="829"/>
      <c r="V2366" s="10"/>
      <c r="W2366" s="10"/>
      <c r="X2366" s="10"/>
      <c r="Y2366" s="10"/>
      <c r="Z2366" s="10"/>
      <c r="AA2366" s="11"/>
      <c r="AB2366" s="11"/>
    </row>
    <row r="2367" spans="2:28" x14ac:dyDescent="0.3">
      <c r="B2367" s="10"/>
      <c r="C2367" s="315"/>
      <c r="D2367" s="868"/>
      <c r="E2367" s="837" t="str">
        <f>IFERROR(IF(_xlfn.XLOOKUP(Imput[[#This Row],[RFC]],'Alta Proveedor'!D:D,'Alta Proveedor'!E:E)=0,"",_xlfn.XLOOKUP(Imput[[#This Row],[RFC]],'Alta Proveedor'!D:D,'Alta Proveedor'!E:E)),"")</f>
        <v/>
      </c>
      <c r="F2367" s="832"/>
      <c r="G2367" s="187"/>
      <c r="H2367" s="1"/>
      <c r="I2367" s="169">
        <f>Imput[[#This Row],[Cantidad]]*Imput[[#This Row],[Precio Unitario]]</f>
        <v>0</v>
      </c>
      <c r="J2367" s="11">
        <f>((Imput[[#This Row],[Sub total]])*(0.16))</f>
        <v>0</v>
      </c>
      <c r="K2367" s="11">
        <v>0</v>
      </c>
      <c r="L2367" s="169">
        <f>Imput[[#This Row],[Sub total]]+Imput[[#This Row],[IVA]]-Imput[[#This Row],[Retención / IEPS / Descuento]]</f>
        <v>0</v>
      </c>
      <c r="M2367" s="844">
        <v>0</v>
      </c>
      <c r="N2367" s="189"/>
      <c r="O2367" s="1"/>
      <c r="P2367" s="189"/>
      <c r="Q2367" s="190"/>
      <c r="R2367" s="188"/>
      <c r="S2367" s="193"/>
      <c r="T2367" s="192"/>
      <c r="U2367" s="829"/>
      <c r="V2367" s="10"/>
      <c r="W2367" s="10"/>
      <c r="X2367" s="10"/>
      <c r="Y2367" s="10"/>
      <c r="Z2367" s="10"/>
      <c r="AA2367" s="11"/>
      <c r="AB2367" s="11"/>
    </row>
    <row r="2368" spans="2:28" x14ac:dyDescent="0.3">
      <c r="B2368" s="10"/>
      <c r="C2368" s="315"/>
      <c r="D2368" s="868"/>
      <c r="E2368" s="837" t="str">
        <f>IFERROR(IF(_xlfn.XLOOKUP(Imput[[#This Row],[RFC]],'Alta Proveedor'!D:D,'Alta Proveedor'!E:E)=0,"",_xlfn.XLOOKUP(Imput[[#This Row],[RFC]],'Alta Proveedor'!D:D,'Alta Proveedor'!E:E)),"")</f>
        <v/>
      </c>
      <c r="F2368" s="832"/>
      <c r="G2368" s="187"/>
      <c r="H2368" s="1"/>
      <c r="I2368" s="169">
        <f>Imput[[#This Row],[Cantidad]]*Imput[[#This Row],[Precio Unitario]]</f>
        <v>0</v>
      </c>
      <c r="J2368" s="11">
        <f>((Imput[[#This Row],[Sub total]])*(0.16))</f>
        <v>0</v>
      </c>
      <c r="K2368" s="11">
        <v>0</v>
      </c>
      <c r="L2368" s="169">
        <f>Imput[[#This Row],[Sub total]]+Imput[[#This Row],[IVA]]-Imput[[#This Row],[Retención / IEPS / Descuento]]</f>
        <v>0</v>
      </c>
      <c r="M2368" s="844">
        <v>0</v>
      </c>
      <c r="N2368" s="189"/>
      <c r="O2368" s="1"/>
      <c r="P2368" s="189"/>
      <c r="Q2368" s="190"/>
      <c r="R2368" s="188"/>
      <c r="S2368" s="193"/>
      <c r="T2368" s="192"/>
      <c r="U2368" s="829"/>
      <c r="V2368" s="10"/>
      <c r="W2368" s="10"/>
      <c r="X2368" s="10"/>
      <c r="Y2368" s="10"/>
      <c r="Z2368" s="10"/>
      <c r="AA2368" s="11"/>
      <c r="AB2368" s="11"/>
    </row>
    <row r="2369" spans="2:28" x14ac:dyDescent="0.3">
      <c r="B2369" s="10"/>
      <c r="C2369" s="315"/>
      <c r="D2369" s="868"/>
      <c r="E2369" s="837" t="str">
        <f>IFERROR(IF(_xlfn.XLOOKUP(Imput[[#This Row],[RFC]],'Alta Proveedor'!D:D,'Alta Proveedor'!E:E)=0,"",_xlfn.XLOOKUP(Imput[[#This Row],[RFC]],'Alta Proveedor'!D:D,'Alta Proveedor'!E:E)),"")</f>
        <v/>
      </c>
      <c r="F2369" s="832"/>
      <c r="G2369" s="187"/>
      <c r="H2369" s="1"/>
      <c r="I2369" s="169">
        <f>Imput[[#This Row],[Cantidad]]*Imput[[#This Row],[Precio Unitario]]</f>
        <v>0</v>
      </c>
      <c r="J2369" s="11">
        <f>((Imput[[#This Row],[Sub total]])*(0.16))</f>
        <v>0</v>
      </c>
      <c r="K2369" s="11">
        <v>0</v>
      </c>
      <c r="L2369" s="169">
        <f>Imput[[#This Row],[Sub total]]+Imput[[#This Row],[IVA]]-Imput[[#This Row],[Retención / IEPS / Descuento]]</f>
        <v>0</v>
      </c>
      <c r="M2369" s="844">
        <v>0</v>
      </c>
      <c r="N2369" s="189"/>
      <c r="O2369" s="1"/>
      <c r="P2369" s="189"/>
      <c r="Q2369" s="190"/>
      <c r="R2369" s="188"/>
      <c r="S2369" s="193"/>
      <c r="T2369" s="192"/>
      <c r="U2369" s="829"/>
      <c r="V2369" s="10"/>
      <c r="W2369" s="10"/>
      <c r="X2369" s="10"/>
      <c r="Y2369" s="10"/>
      <c r="Z2369" s="10"/>
      <c r="AA2369" s="11"/>
      <c r="AB2369" s="11"/>
    </row>
    <row r="2370" spans="2:28" x14ac:dyDescent="0.3">
      <c r="B2370" s="10"/>
      <c r="C2370" s="315"/>
      <c r="D2370" s="868"/>
      <c r="E2370" s="837" t="str">
        <f>IFERROR(IF(_xlfn.XLOOKUP(Imput[[#This Row],[RFC]],'Alta Proveedor'!D:D,'Alta Proveedor'!E:E)=0,"",_xlfn.XLOOKUP(Imput[[#This Row],[RFC]],'Alta Proveedor'!D:D,'Alta Proveedor'!E:E)),"")</f>
        <v/>
      </c>
      <c r="F2370" s="832"/>
      <c r="G2370" s="187"/>
      <c r="H2370" s="1"/>
      <c r="I2370" s="169">
        <f>Imput[[#This Row],[Cantidad]]*Imput[[#This Row],[Precio Unitario]]</f>
        <v>0</v>
      </c>
      <c r="J2370" s="11">
        <f>((Imput[[#This Row],[Sub total]])*(0.16))</f>
        <v>0</v>
      </c>
      <c r="K2370" s="11">
        <v>0</v>
      </c>
      <c r="L2370" s="169">
        <f>Imput[[#This Row],[Sub total]]+Imput[[#This Row],[IVA]]-Imput[[#This Row],[Retención / IEPS / Descuento]]</f>
        <v>0</v>
      </c>
      <c r="M2370" s="844">
        <v>0</v>
      </c>
      <c r="N2370" s="189"/>
      <c r="O2370" s="1"/>
      <c r="P2370" s="189"/>
      <c r="Q2370" s="190"/>
      <c r="R2370" s="188"/>
      <c r="S2370" s="193"/>
      <c r="T2370" s="192"/>
      <c r="U2370" s="829"/>
      <c r="V2370" s="10"/>
      <c r="W2370" s="10"/>
      <c r="X2370" s="10"/>
      <c r="Y2370" s="10"/>
      <c r="Z2370" s="10"/>
      <c r="AA2370" s="11"/>
      <c r="AB2370" s="11"/>
    </row>
    <row r="2371" spans="2:28" x14ac:dyDescent="0.3">
      <c r="B2371" s="10"/>
      <c r="C2371" s="315"/>
      <c r="D2371" s="868"/>
      <c r="E2371" s="837" t="str">
        <f>IFERROR(IF(_xlfn.XLOOKUP(Imput[[#This Row],[RFC]],'Alta Proveedor'!D:D,'Alta Proveedor'!E:E)=0,"",_xlfn.XLOOKUP(Imput[[#This Row],[RFC]],'Alta Proveedor'!D:D,'Alta Proveedor'!E:E)),"")</f>
        <v/>
      </c>
      <c r="F2371" s="832"/>
      <c r="G2371" s="187"/>
      <c r="H2371" s="1"/>
      <c r="I2371" s="169">
        <f>Imput[[#This Row],[Cantidad]]*Imput[[#This Row],[Precio Unitario]]</f>
        <v>0</v>
      </c>
      <c r="J2371" s="11">
        <f>((Imput[[#This Row],[Sub total]])*(0.16))</f>
        <v>0</v>
      </c>
      <c r="K2371" s="11">
        <v>0</v>
      </c>
      <c r="L2371" s="169">
        <f>Imput[[#This Row],[Sub total]]+Imput[[#This Row],[IVA]]-Imput[[#This Row],[Retención / IEPS / Descuento]]</f>
        <v>0</v>
      </c>
      <c r="M2371" s="844">
        <v>0</v>
      </c>
      <c r="N2371" s="189"/>
      <c r="O2371" s="1"/>
      <c r="P2371" s="189"/>
      <c r="Q2371" s="190"/>
      <c r="R2371" s="188"/>
      <c r="S2371" s="193"/>
      <c r="T2371" s="192"/>
      <c r="U2371" s="829"/>
      <c r="V2371" s="10"/>
      <c r="W2371" s="10"/>
      <c r="X2371" s="10"/>
      <c r="Y2371" s="10"/>
      <c r="Z2371" s="10"/>
      <c r="AA2371" s="11"/>
      <c r="AB2371" s="11"/>
    </row>
    <row r="2372" spans="2:28" x14ac:dyDescent="0.3">
      <c r="B2372" s="10"/>
      <c r="C2372" s="315"/>
      <c r="D2372" s="868"/>
      <c r="E2372" s="837" t="str">
        <f>IFERROR(IF(_xlfn.XLOOKUP(Imput[[#This Row],[RFC]],'Alta Proveedor'!D:D,'Alta Proveedor'!E:E)=0,"",_xlfn.XLOOKUP(Imput[[#This Row],[RFC]],'Alta Proveedor'!D:D,'Alta Proveedor'!E:E)),"")</f>
        <v/>
      </c>
      <c r="F2372" s="832"/>
      <c r="G2372" s="187"/>
      <c r="H2372" s="1"/>
      <c r="I2372" s="169">
        <f>Imput[[#This Row],[Cantidad]]*Imput[[#This Row],[Precio Unitario]]</f>
        <v>0</v>
      </c>
      <c r="J2372" s="11">
        <f>((Imput[[#This Row],[Sub total]])*(0.16))</f>
        <v>0</v>
      </c>
      <c r="K2372" s="11">
        <v>0</v>
      </c>
      <c r="L2372" s="169">
        <f>Imput[[#This Row],[Sub total]]+Imput[[#This Row],[IVA]]-Imput[[#This Row],[Retención / IEPS / Descuento]]</f>
        <v>0</v>
      </c>
      <c r="M2372" s="844">
        <v>0</v>
      </c>
      <c r="N2372" s="189"/>
      <c r="O2372" s="1"/>
      <c r="P2372" s="189"/>
      <c r="Q2372" s="190"/>
      <c r="R2372" s="188"/>
      <c r="S2372" s="193"/>
      <c r="T2372" s="192"/>
      <c r="U2372" s="829"/>
      <c r="V2372" s="10"/>
      <c r="W2372" s="10"/>
      <c r="X2372" s="10"/>
      <c r="Y2372" s="10"/>
      <c r="Z2372" s="10"/>
      <c r="AA2372" s="11"/>
      <c r="AB2372" s="11"/>
    </row>
    <row r="2373" spans="2:28" x14ac:dyDescent="0.3">
      <c r="B2373" s="10"/>
      <c r="C2373" s="315"/>
      <c r="D2373" s="868"/>
      <c r="E2373" s="837" t="str">
        <f>IFERROR(IF(_xlfn.XLOOKUP(Imput[[#This Row],[RFC]],'Alta Proveedor'!D:D,'Alta Proveedor'!E:E)=0,"",_xlfn.XLOOKUP(Imput[[#This Row],[RFC]],'Alta Proveedor'!D:D,'Alta Proveedor'!E:E)),"")</f>
        <v/>
      </c>
      <c r="F2373" s="832"/>
      <c r="G2373" s="187"/>
      <c r="H2373" s="1"/>
      <c r="I2373" s="169">
        <f>Imput[[#This Row],[Cantidad]]*Imput[[#This Row],[Precio Unitario]]</f>
        <v>0</v>
      </c>
      <c r="J2373" s="11">
        <f>((Imput[[#This Row],[Sub total]])*(0.16))</f>
        <v>0</v>
      </c>
      <c r="K2373" s="11">
        <v>0</v>
      </c>
      <c r="L2373" s="169">
        <f>Imput[[#This Row],[Sub total]]+Imput[[#This Row],[IVA]]-Imput[[#This Row],[Retención / IEPS / Descuento]]</f>
        <v>0</v>
      </c>
      <c r="M2373" s="844">
        <v>0</v>
      </c>
      <c r="N2373" s="189"/>
      <c r="O2373" s="1"/>
      <c r="P2373" s="189"/>
      <c r="Q2373" s="190"/>
      <c r="R2373" s="188"/>
      <c r="S2373" s="193"/>
      <c r="T2373" s="192"/>
      <c r="U2373" s="829"/>
      <c r="V2373" s="10"/>
      <c r="W2373" s="10"/>
      <c r="X2373" s="10"/>
      <c r="Y2373" s="10"/>
      <c r="Z2373" s="10"/>
      <c r="AA2373" s="11"/>
      <c r="AB2373" s="11"/>
    </row>
    <row r="2374" spans="2:28" x14ac:dyDescent="0.3">
      <c r="B2374" s="10"/>
      <c r="C2374" s="315"/>
      <c r="D2374" s="868"/>
      <c r="E2374" s="837" t="str">
        <f>IFERROR(IF(_xlfn.XLOOKUP(Imput[[#This Row],[RFC]],'Alta Proveedor'!D:D,'Alta Proveedor'!E:E)=0,"",_xlfn.XLOOKUP(Imput[[#This Row],[RFC]],'Alta Proveedor'!D:D,'Alta Proveedor'!E:E)),"")</f>
        <v/>
      </c>
      <c r="F2374" s="832"/>
      <c r="G2374" s="187"/>
      <c r="H2374" s="1"/>
      <c r="I2374" s="169">
        <f>Imput[[#This Row],[Cantidad]]*Imput[[#This Row],[Precio Unitario]]</f>
        <v>0</v>
      </c>
      <c r="J2374" s="11">
        <f>((Imput[[#This Row],[Sub total]])*(0.16))</f>
        <v>0</v>
      </c>
      <c r="K2374" s="11">
        <v>0</v>
      </c>
      <c r="L2374" s="169">
        <f>Imput[[#This Row],[Sub total]]+Imput[[#This Row],[IVA]]-Imput[[#This Row],[Retención / IEPS / Descuento]]</f>
        <v>0</v>
      </c>
      <c r="M2374" s="844">
        <v>0</v>
      </c>
      <c r="N2374" s="189"/>
      <c r="O2374" s="1"/>
      <c r="P2374" s="189"/>
      <c r="Q2374" s="190"/>
      <c r="R2374" s="188"/>
      <c r="S2374" s="193"/>
      <c r="T2374" s="192"/>
      <c r="U2374" s="829"/>
      <c r="V2374" s="10"/>
      <c r="W2374" s="10"/>
      <c r="X2374" s="10"/>
      <c r="Y2374" s="10"/>
      <c r="Z2374" s="10"/>
      <c r="AA2374" s="11"/>
      <c r="AB2374" s="11"/>
    </row>
    <row r="2375" spans="2:28" x14ac:dyDescent="0.3">
      <c r="B2375" s="10"/>
      <c r="C2375" s="315"/>
      <c r="D2375" s="868"/>
      <c r="E2375" s="837" t="str">
        <f>IFERROR(IF(_xlfn.XLOOKUP(Imput[[#This Row],[RFC]],'Alta Proveedor'!D:D,'Alta Proveedor'!E:E)=0,"",_xlfn.XLOOKUP(Imput[[#This Row],[RFC]],'Alta Proveedor'!D:D,'Alta Proveedor'!E:E)),"")</f>
        <v/>
      </c>
      <c r="F2375" s="832"/>
      <c r="G2375" s="187"/>
      <c r="H2375" s="1"/>
      <c r="I2375" s="169">
        <f>Imput[[#This Row],[Cantidad]]*Imput[[#This Row],[Precio Unitario]]</f>
        <v>0</v>
      </c>
      <c r="J2375" s="11">
        <f>((Imput[[#This Row],[Sub total]])*(0.16))</f>
        <v>0</v>
      </c>
      <c r="K2375" s="11">
        <v>0</v>
      </c>
      <c r="L2375" s="169">
        <f>Imput[[#This Row],[Sub total]]+Imput[[#This Row],[IVA]]-Imput[[#This Row],[Retención / IEPS / Descuento]]</f>
        <v>0</v>
      </c>
      <c r="M2375" s="844">
        <v>0</v>
      </c>
      <c r="N2375" s="189"/>
      <c r="O2375" s="1"/>
      <c r="P2375" s="189"/>
      <c r="Q2375" s="190"/>
      <c r="R2375" s="188"/>
      <c r="S2375" s="193"/>
      <c r="T2375" s="192"/>
      <c r="U2375" s="829"/>
      <c r="V2375" s="10"/>
      <c r="W2375" s="10"/>
      <c r="X2375" s="10"/>
      <c r="Y2375" s="10"/>
      <c r="Z2375" s="10"/>
      <c r="AA2375" s="11"/>
      <c r="AB2375" s="11"/>
    </row>
    <row r="2376" spans="2:28" x14ac:dyDescent="0.3">
      <c r="B2376" s="10"/>
      <c r="C2376" s="315"/>
      <c r="D2376" s="868"/>
      <c r="E2376" s="837" t="str">
        <f>IFERROR(IF(_xlfn.XLOOKUP(Imput[[#This Row],[RFC]],'Alta Proveedor'!D:D,'Alta Proveedor'!E:E)=0,"",_xlfn.XLOOKUP(Imput[[#This Row],[RFC]],'Alta Proveedor'!D:D,'Alta Proveedor'!E:E)),"")</f>
        <v/>
      </c>
      <c r="F2376" s="832"/>
      <c r="G2376" s="187"/>
      <c r="H2376" s="1"/>
      <c r="I2376" s="169">
        <f>Imput[[#This Row],[Cantidad]]*Imput[[#This Row],[Precio Unitario]]</f>
        <v>0</v>
      </c>
      <c r="J2376" s="11">
        <f>((Imput[[#This Row],[Sub total]])*(0.16))</f>
        <v>0</v>
      </c>
      <c r="K2376" s="11">
        <v>0</v>
      </c>
      <c r="L2376" s="169">
        <f>Imput[[#This Row],[Sub total]]+Imput[[#This Row],[IVA]]-Imput[[#This Row],[Retención / IEPS / Descuento]]</f>
        <v>0</v>
      </c>
      <c r="M2376" s="844">
        <v>0</v>
      </c>
      <c r="N2376" s="189"/>
      <c r="O2376" s="1"/>
      <c r="P2376" s="189"/>
      <c r="Q2376" s="190"/>
      <c r="R2376" s="188"/>
      <c r="S2376" s="193"/>
      <c r="T2376" s="192"/>
      <c r="U2376" s="829"/>
      <c r="V2376" s="10"/>
      <c r="W2376" s="10"/>
      <c r="X2376" s="10"/>
      <c r="Y2376" s="10"/>
      <c r="Z2376" s="10"/>
      <c r="AA2376" s="11"/>
      <c r="AB2376" s="11"/>
    </row>
    <row r="2377" spans="2:28" x14ac:dyDescent="0.3">
      <c r="B2377" s="10"/>
      <c r="C2377" s="315"/>
      <c r="D2377" s="868"/>
      <c r="E2377" s="837" t="str">
        <f>IFERROR(IF(_xlfn.XLOOKUP(Imput[[#This Row],[RFC]],'Alta Proveedor'!D:D,'Alta Proveedor'!E:E)=0,"",_xlfn.XLOOKUP(Imput[[#This Row],[RFC]],'Alta Proveedor'!D:D,'Alta Proveedor'!E:E)),"")</f>
        <v/>
      </c>
      <c r="F2377" s="832"/>
      <c r="G2377" s="187"/>
      <c r="H2377" s="1"/>
      <c r="I2377" s="169">
        <f>Imput[[#This Row],[Cantidad]]*Imput[[#This Row],[Precio Unitario]]</f>
        <v>0</v>
      </c>
      <c r="J2377" s="11">
        <f>((Imput[[#This Row],[Sub total]])*(0.16))</f>
        <v>0</v>
      </c>
      <c r="K2377" s="11">
        <v>0</v>
      </c>
      <c r="L2377" s="169">
        <f>Imput[[#This Row],[Sub total]]+Imput[[#This Row],[IVA]]-Imput[[#This Row],[Retención / IEPS / Descuento]]</f>
        <v>0</v>
      </c>
      <c r="M2377" s="844">
        <v>0</v>
      </c>
      <c r="N2377" s="189"/>
      <c r="O2377" s="1"/>
      <c r="P2377" s="189"/>
      <c r="Q2377" s="190"/>
      <c r="R2377" s="188"/>
      <c r="S2377" s="193"/>
      <c r="T2377" s="192"/>
      <c r="U2377" s="829"/>
      <c r="V2377" s="10"/>
      <c r="W2377" s="10"/>
      <c r="X2377" s="10"/>
      <c r="Y2377" s="10"/>
      <c r="Z2377" s="10"/>
      <c r="AA2377" s="11"/>
      <c r="AB2377" s="11"/>
    </row>
    <row r="2378" spans="2:28" x14ac:dyDescent="0.3">
      <c r="B2378" s="10"/>
      <c r="C2378" s="315"/>
      <c r="D2378" s="868"/>
      <c r="E2378" s="837" t="str">
        <f>IFERROR(IF(_xlfn.XLOOKUP(Imput[[#This Row],[RFC]],'Alta Proveedor'!D:D,'Alta Proveedor'!E:E)=0,"",_xlfn.XLOOKUP(Imput[[#This Row],[RFC]],'Alta Proveedor'!D:D,'Alta Proveedor'!E:E)),"")</f>
        <v/>
      </c>
      <c r="F2378" s="832"/>
      <c r="G2378" s="187"/>
      <c r="H2378" s="1"/>
      <c r="I2378" s="169">
        <f>Imput[[#This Row],[Cantidad]]*Imput[[#This Row],[Precio Unitario]]</f>
        <v>0</v>
      </c>
      <c r="J2378" s="11">
        <f>((Imput[[#This Row],[Sub total]])*(0.16))</f>
        <v>0</v>
      </c>
      <c r="K2378" s="11">
        <v>0</v>
      </c>
      <c r="L2378" s="169">
        <f>Imput[[#This Row],[Sub total]]+Imput[[#This Row],[IVA]]-Imput[[#This Row],[Retención / IEPS / Descuento]]</f>
        <v>0</v>
      </c>
      <c r="M2378" s="844">
        <v>0</v>
      </c>
      <c r="N2378" s="189"/>
      <c r="O2378" s="1"/>
      <c r="P2378" s="189"/>
      <c r="Q2378" s="190"/>
      <c r="R2378" s="188"/>
      <c r="S2378" s="193"/>
      <c r="T2378" s="192"/>
      <c r="U2378" s="829"/>
      <c r="V2378" s="10"/>
      <c r="W2378" s="10"/>
      <c r="X2378" s="10"/>
      <c r="Y2378" s="10"/>
      <c r="Z2378" s="10"/>
      <c r="AA2378" s="11"/>
      <c r="AB2378" s="11"/>
    </row>
    <row r="2379" spans="2:28" x14ac:dyDescent="0.3">
      <c r="B2379" s="10"/>
      <c r="C2379" s="315"/>
      <c r="D2379" s="868"/>
      <c r="E2379" s="837" t="str">
        <f>IFERROR(IF(_xlfn.XLOOKUP(Imput[[#This Row],[RFC]],'Alta Proveedor'!D:D,'Alta Proveedor'!E:E)=0,"",_xlfn.XLOOKUP(Imput[[#This Row],[RFC]],'Alta Proveedor'!D:D,'Alta Proveedor'!E:E)),"")</f>
        <v/>
      </c>
      <c r="F2379" s="832"/>
      <c r="G2379" s="187"/>
      <c r="H2379" s="1"/>
      <c r="I2379" s="169">
        <f>Imput[[#This Row],[Cantidad]]*Imput[[#This Row],[Precio Unitario]]</f>
        <v>0</v>
      </c>
      <c r="J2379" s="11">
        <f>((Imput[[#This Row],[Sub total]])*(0.16))</f>
        <v>0</v>
      </c>
      <c r="K2379" s="11">
        <v>0</v>
      </c>
      <c r="L2379" s="169">
        <f>Imput[[#This Row],[Sub total]]+Imput[[#This Row],[IVA]]-Imput[[#This Row],[Retención / IEPS / Descuento]]</f>
        <v>0</v>
      </c>
      <c r="M2379" s="844">
        <v>0</v>
      </c>
      <c r="N2379" s="189"/>
      <c r="O2379" s="1"/>
      <c r="P2379" s="189"/>
      <c r="Q2379" s="190"/>
      <c r="R2379" s="188"/>
      <c r="S2379" s="193"/>
      <c r="T2379" s="192"/>
      <c r="U2379" s="829"/>
      <c r="V2379" s="10"/>
      <c r="W2379" s="10"/>
      <c r="X2379" s="10"/>
      <c r="Y2379" s="10"/>
      <c r="Z2379" s="10"/>
      <c r="AA2379" s="11"/>
      <c r="AB2379" s="11"/>
    </row>
    <row r="2380" spans="2:28" x14ac:dyDescent="0.3">
      <c r="B2380" s="10"/>
      <c r="C2380" s="315"/>
      <c r="D2380" s="868"/>
      <c r="E2380" s="837" t="str">
        <f>IFERROR(IF(_xlfn.XLOOKUP(Imput[[#This Row],[RFC]],'Alta Proveedor'!D:D,'Alta Proveedor'!E:E)=0,"",_xlfn.XLOOKUP(Imput[[#This Row],[RFC]],'Alta Proveedor'!D:D,'Alta Proveedor'!E:E)),"")</f>
        <v/>
      </c>
      <c r="F2380" s="832"/>
      <c r="G2380" s="187"/>
      <c r="H2380" s="1"/>
      <c r="I2380" s="169">
        <f>Imput[[#This Row],[Cantidad]]*Imput[[#This Row],[Precio Unitario]]</f>
        <v>0</v>
      </c>
      <c r="J2380" s="11">
        <f>((Imput[[#This Row],[Sub total]])*(0.16))</f>
        <v>0</v>
      </c>
      <c r="K2380" s="11">
        <v>0</v>
      </c>
      <c r="L2380" s="169">
        <f>Imput[[#This Row],[Sub total]]+Imput[[#This Row],[IVA]]-Imput[[#This Row],[Retención / IEPS / Descuento]]</f>
        <v>0</v>
      </c>
      <c r="M2380" s="844">
        <v>0</v>
      </c>
      <c r="N2380" s="189"/>
      <c r="O2380" s="1"/>
      <c r="P2380" s="189"/>
      <c r="Q2380" s="190"/>
      <c r="R2380" s="188"/>
      <c r="S2380" s="193"/>
      <c r="T2380" s="192"/>
      <c r="U2380" s="829"/>
      <c r="V2380" s="10"/>
      <c r="W2380" s="10"/>
      <c r="X2380" s="10"/>
      <c r="Y2380" s="10"/>
      <c r="Z2380" s="10"/>
      <c r="AA2380" s="11"/>
      <c r="AB2380" s="11"/>
    </row>
    <row r="2381" spans="2:28" x14ac:dyDescent="0.3">
      <c r="B2381" s="10"/>
      <c r="C2381" s="315"/>
      <c r="D2381" s="868"/>
      <c r="E2381" s="837" t="str">
        <f>IFERROR(IF(_xlfn.XLOOKUP(Imput[[#This Row],[RFC]],'Alta Proveedor'!D:D,'Alta Proveedor'!E:E)=0,"",_xlfn.XLOOKUP(Imput[[#This Row],[RFC]],'Alta Proveedor'!D:D,'Alta Proveedor'!E:E)),"")</f>
        <v/>
      </c>
      <c r="F2381" s="832"/>
      <c r="G2381" s="187"/>
      <c r="H2381" s="1"/>
      <c r="I2381" s="169">
        <f>Imput[[#This Row],[Cantidad]]*Imput[[#This Row],[Precio Unitario]]</f>
        <v>0</v>
      </c>
      <c r="J2381" s="11">
        <f>((Imput[[#This Row],[Sub total]])*(0.16))</f>
        <v>0</v>
      </c>
      <c r="K2381" s="11">
        <v>0</v>
      </c>
      <c r="L2381" s="169">
        <f>Imput[[#This Row],[Sub total]]+Imput[[#This Row],[IVA]]-Imput[[#This Row],[Retención / IEPS / Descuento]]</f>
        <v>0</v>
      </c>
      <c r="M2381" s="844">
        <v>0</v>
      </c>
      <c r="N2381" s="189"/>
      <c r="O2381" s="1"/>
      <c r="P2381" s="189"/>
      <c r="Q2381" s="190"/>
      <c r="R2381" s="188"/>
      <c r="S2381" s="193"/>
      <c r="T2381" s="192"/>
      <c r="U2381" s="829"/>
      <c r="V2381" s="10"/>
      <c r="W2381" s="10"/>
      <c r="X2381" s="10"/>
      <c r="Y2381" s="10"/>
      <c r="Z2381" s="10"/>
      <c r="AA2381" s="11"/>
      <c r="AB2381" s="11"/>
    </row>
    <row r="2382" spans="2:28" x14ac:dyDescent="0.3">
      <c r="B2382" s="10"/>
      <c r="C2382" s="315"/>
      <c r="D2382" s="868"/>
      <c r="E2382" s="837" t="str">
        <f>IFERROR(IF(_xlfn.XLOOKUP(Imput[[#This Row],[RFC]],'Alta Proveedor'!D:D,'Alta Proveedor'!E:E)=0,"",_xlfn.XLOOKUP(Imput[[#This Row],[RFC]],'Alta Proveedor'!D:D,'Alta Proveedor'!E:E)),"")</f>
        <v/>
      </c>
      <c r="F2382" s="832"/>
      <c r="G2382" s="187"/>
      <c r="H2382" s="1"/>
      <c r="I2382" s="169">
        <f>Imput[[#This Row],[Cantidad]]*Imput[[#This Row],[Precio Unitario]]</f>
        <v>0</v>
      </c>
      <c r="J2382" s="11">
        <f>((Imput[[#This Row],[Sub total]])*(0.16))</f>
        <v>0</v>
      </c>
      <c r="K2382" s="11">
        <v>0</v>
      </c>
      <c r="L2382" s="169">
        <f>Imput[[#This Row],[Sub total]]+Imput[[#This Row],[IVA]]-Imput[[#This Row],[Retención / IEPS / Descuento]]</f>
        <v>0</v>
      </c>
      <c r="M2382" s="844">
        <v>0</v>
      </c>
      <c r="N2382" s="189"/>
      <c r="O2382" s="1"/>
      <c r="P2382" s="189"/>
      <c r="Q2382" s="190"/>
      <c r="R2382" s="188"/>
      <c r="S2382" s="193"/>
      <c r="T2382" s="192"/>
      <c r="U2382" s="829"/>
      <c r="V2382" s="10"/>
      <c r="W2382" s="10"/>
      <c r="X2382" s="10"/>
      <c r="Y2382" s="10"/>
      <c r="Z2382" s="10"/>
      <c r="AA2382" s="11"/>
      <c r="AB2382" s="11"/>
    </row>
    <row r="2383" spans="2:28" x14ac:dyDescent="0.3">
      <c r="B2383" s="10"/>
      <c r="C2383" s="315"/>
      <c r="D2383" s="868"/>
      <c r="E2383" s="837" t="str">
        <f>IFERROR(IF(_xlfn.XLOOKUP(Imput[[#This Row],[RFC]],'Alta Proveedor'!D:D,'Alta Proveedor'!E:E)=0,"",_xlfn.XLOOKUP(Imput[[#This Row],[RFC]],'Alta Proveedor'!D:D,'Alta Proveedor'!E:E)),"")</f>
        <v/>
      </c>
      <c r="F2383" s="832"/>
      <c r="G2383" s="187"/>
      <c r="H2383" s="1"/>
      <c r="I2383" s="169">
        <f>Imput[[#This Row],[Cantidad]]*Imput[[#This Row],[Precio Unitario]]</f>
        <v>0</v>
      </c>
      <c r="J2383" s="11">
        <f>((Imput[[#This Row],[Sub total]])*(0.16))</f>
        <v>0</v>
      </c>
      <c r="K2383" s="11">
        <v>0</v>
      </c>
      <c r="L2383" s="169">
        <f>Imput[[#This Row],[Sub total]]+Imput[[#This Row],[IVA]]-Imput[[#This Row],[Retención / IEPS / Descuento]]</f>
        <v>0</v>
      </c>
      <c r="M2383" s="844">
        <v>0</v>
      </c>
      <c r="N2383" s="189"/>
      <c r="O2383" s="1"/>
      <c r="P2383" s="189"/>
      <c r="Q2383" s="190"/>
      <c r="R2383" s="188"/>
      <c r="S2383" s="193"/>
      <c r="T2383" s="192"/>
      <c r="U2383" s="829"/>
      <c r="V2383" s="10"/>
      <c r="W2383" s="10"/>
      <c r="X2383" s="10"/>
      <c r="Y2383" s="10"/>
      <c r="Z2383" s="10"/>
      <c r="AA2383" s="11"/>
      <c r="AB2383" s="11"/>
    </row>
    <row r="2384" spans="2:28" x14ac:dyDescent="0.3">
      <c r="B2384" s="10"/>
      <c r="C2384" s="315"/>
      <c r="D2384" s="868"/>
      <c r="E2384" s="837" t="str">
        <f>IFERROR(IF(_xlfn.XLOOKUP(Imput[[#This Row],[RFC]],'Alta Proveedor'!D:D,'Alta Proveedor'!E:E)=0,"",_xlfn.XLOOKUP(Imput[[#This Row],[RFC]],'Alta Proveedor'!D:D,'Alta Proveedor'!E:E)),"")</f>
        <v/>
      </c>
      <c r="F2384" s="832"/>
      <c r="G2384" s="187"/>
      <c r="H2384" s="1"/>
      <c r="I2384" s="169">
        <f>Imput[[#This Row],[Cantidad]]*Imput[[#This Row],[Precio Unitario]]</f>
        <v>0</v>
      </c>
      <c r="J2384" s="11">
        <f>((Imput[[#This Row],[Sub total]])*(0.16))</f>
        <v>0</v>
      </c>
      <c r="K2384" s="11">
        <v>0</v>
      </c>
      <c r="L2384" s="169">
        <f>Imput[[#This Row],[Sub total]]+Imput[[#This Row],[IVA]]-Imput[[#This Row],[Retención / IEPS / Descuento]]</f>
        <v>0</v>
      </c>
      <c r="M2384" s="844">
        <v>0</v>
      </c>
      <c r="N2384" s="189"/>
      <c r="O2384" s="1"/>
      <c r="P2384" s="189"/>
      <c r="Q2384" s="190"/>
      <c r="R2384" s="188"/>
      <c r="S2384" s="193"/>
      <c r="T2384" s="192"/>
      <c r="U2384" s="829"/>
      <c r="V2384" s="10"/>
      <c r="W2384" s="10"/>
      <c r="X2384" s="10"/>
      <c r="Y2384" s="10"/>
      <c r="Z2384" s="10"/>
      <c r="AA2384" s="11"/>
      <c r="AB2384" s="11"/>
    </row>
    <row r="2385" spans="2:28" x14ac:dyDescent="0.3">
      <c r="B2385" s="10"/>
      <c r="C2385" s="315"/>
      <c r="D2385" s="868"/>
      <c r="E2385" s="837" t="str">
        <f>IFERROR(IF(_xlfn.XLOOKUP(Imput[[#This Row],[RFC]],'Alta Proveedor'!D:D,'Alta Proveedor'!E:E)=0,"",_xlfn.XLOOKUP(Imput[[#This Row],[RFC]],'Alta Proveedor'!D:D,'Alta Proveedor'!E:E)),"")</f>
        <v/>
      </c>
      <c r="F2385" s="832"/>
      <c r="G2385" s="187"/>
      <c r="H2385" s="1"/>
      <c r="I2385" s="169">
        <f>Imput[[#This Row],[Cantidad]]*Imput[[#This Row],[Precio Unitario]]</f>
        <v>0</v>
      </c>
      <c r="J2385" s="11">
        <f>((Imput[[#This Row],[Sub total]])*(0.16))</f>
        <v>0</v>
      </c>
      <c r="K2385" s="11">
        <v>0</v>
      </c>
      <c r="L2385" s="169">
        <f>Imput[[#This Row],[Sub total]]+Imput[[#This Row],[IVA]]-Imput[[#This Row],[Retención / IEPS / Descuento]]</f>
        <v>0</v>
      </c>
      <c r="M2385" s="844">
        <v>0</v>
      </c>
      <c r="N2385" s="189"/>
      <c r="O2385" s="1"/>
      <c r="P2385" s="189"/>
      <c r="Q2385" s="190"/>
      <c r="R2385" s="188"/>
      <c r="S2385" s="193"/>
      <c r="T2385" s="192"/>
      <c r="U2385" s="829"/>
      <c r="V2385" s="10"/>
      <c r="W2385" s="10"/>
      <c r="X2385" s="10"/>
      <c r="Y2385" s="10"/>
      <c r="Z2385" s="10"/>
      <c r="AA2385" s="11"/>
      <c r="AB2385" s="11"/>
    </row>
    <row r="2386" spans="2:28" x14ac:dyDescent="0.3">
      <c r="B2386" s="10"/>
      <c r="C2386" s="315"/>
      <c r="D2386" s="868"/>
      <c r="E2386" s="837" t="str">
        <f>IFERROR(IF(_xlfn.XLOOKUP(Imput[[#This Row],[RFC]],'Alta Proveedor'!D:D,'Alta Proveedor'!E:E)=0,"",_xlfn.XLOOKUP(Imput[[#This Row],[RFC]],'Alta Proveedor'!D:D,'Alta Proveedor'!E:E)),"")</f>
        <v/>
      </c>
      <c r="F2386" s="832"/>
      <c r="G2386" s="187"/>
      <c r="H2386" s="1"/>
      <c r="I2386" s="169">
        <f>Imput[[#This Row],[Cantidad]]*Imput[[#This Row],[Precio Unitario]]</f>
        <v>0</v>
      </c>
      <c r="J2386" s="11">
        <f>((Imput[[#This Row],[Sub total]])*(0.16))</f>
        <v>0</v>
      </c>
      <c r="K2386" s="11">
        <v>0</v>
      </c>
      <c r="L2386" s="169">
        <f>Imput[[#This Row],[Sub total]]+Imput[[#This Row],[IVA]]-Imput[[#This Row],[Retención / IEPS / Descuento]]</f>
        <v>0</v>
      </c>
      <c r="M2386" s="844">
        <v>0</v>
      </c>
      <c r="N2386" s="189"/>
      <c r="O2386" s="1"/>
      <c r="P2386" s="189"/>
      <c r="Q2386" s="190"/>
      <c r="R2386" s="188"/>
      <c r="S2386" s="193"/>
      <c r="T2386" s="192"/>
      <c r="U2386" s="829"/>
      <c r="V2386" s="10"/>
      <c r="W2386" s="10"/>
      <c r="X2386" s="10"/>
      <c r="Y2386" s="10"/>
      <c r="Z2386" s="10"/>
      <c r="AA2386" s="11"/>
      <c r="AB2386" s="11"/>
    </row>
    <row r="2387" spans="2:28" x14ac:dyDescent="0.3">
      <c r="B2387" s="10"/>
      <c r="C2387" s="315"/>
      <c r="D2387" s="868"/>
      <c r="E2387" s="837" t="str">
        <f>IFERROR(IF(_xlfn.XLOOKUP(Imput[[#This Row],[RFC]],'Alta Proveedor'!D:D,'Alta Proveedor'!E:E)=0,"",_xlfn.XLOOKUP(Imput[[#This Row],[RFC]],'Alta Proveedor'!D:D,'Alta Proveedor'!E:E)),"")</f>
        <v/>
      </c>
      <c r="F2387" s="832"/>
      <c r="G2387" s="187"/>
      <c r="H2387" s="1"/>
      <c r="I2387" s="169">
        <f>Imput[[#This Row],[Cantidad]]*Imput[[#This Row],[Precio Unitario]]</f>
        <v>0</v>
      </c>
      <c r="J2387" s="11">
        <f>((Imput[[#This Row],[Sub total]])*(0.16))</f>
        <v>0</v>
      </c>
      <c r="K2387" s="11">
        <v>0</v>
      </c>
      <c r="L2387" s="169">
        <f>Imput[[#This Row],[Sub total]]+Imput[[#This Row],[IVA]]-Imput[[#This Row],[Retención / IEPS / Descuento]]</f>
        <v>0</v>
      </c>
      <c r="M2387" s="844">
        <v>0</v>
      </c>
      <c r="N2387" s="189"/>
      <c r="O2387" s="1"/>
      <c r="P2387" s="189"/>
      <c r="Q2387" s="190"/>
      <c r="R2387" s="188"/>
      <c r="S2387" s="193"/>
      <c r="T2387" s="192"/>
      <c r="U2387" s="829"/>
      <c r="V2387" s="10"/>
      <c r="W2387" s="10"/>
      <c r="X2387" s="10"/>
      <c r="Y2387" s="10"/>
      <c r="Z2387" s="10"/>
      <c r="AA2387" s="11"/>
      <c r="AB2387" s="11"/>
    </row>
    <row r="2388" spans="2:28" x14ac:dyDescent="0.3">
      <c r="B2388" s="10"/>
      <c r="C2388" s="315"/>
      <c r="D2388" s="868"/>
      <c r="E2388" s="837" t="str">
        <f>IFERROR(IF(_xlfn.XLOOKUP(Imput[[#This Row],[RFC]],'Alta Proveedor'!D:D,'Alta Proveedor'!E:E)=0,"",_xlfn.XLOOKUP(Imput[[#This Row],[RFC]],'Alta Proveedor'!D:D,'Alta Proveedor'!E:E)),"")</f>
        <v/>
      </c>
      <c r="F2388" s="832"/>
      <c r="G2388" s="187"/>
      <c r="H2388" s="1"/>
      <c r="I2388" s="169">
        <f>Imput[[#This Row],[Cantidad]]*Imput[[#This Row],[Precio Unitario]]</f>
        <v>0</v>
      </c>
      <c r="J2388" s="11">
        <f>((Imput[[#This Row],[Sub total]])*(0.16))</f>
        <v>0</v>
      </c>
      <c r="K2388" s="11">
        <v>0</v>
      </c>
      <c r="L2388" s="169">
        <f>Imput[[#This Row],[Sub total]]+Imput[[#This Row],[IVA]]-Imput[[#This Row],[Retención / IEPS / Descuento]]</f>
        <v>0</v>
      </c>
      <c r="M2388" s="844">
        <v>0</v>
      </c>
      <c r="N2388" s="189"/>
      <c r="O2388" s="1"/>
      <c r="P2388" s="189"/>
      <c r="Q2388" s="190"/>
      <c r="R2388" s="188"/>
      <c r="S2388" s="193"/>
      <c r="T2388" s="192"/>
      <c r="U2388" s="829"/>
      <c r="V2388" s="10"/>
      <c r="W2388" s="10"/>
      <c r="X2388" s="10"/>
      <c r="Y2388" s="10"/>
      <c r="Z2388" s="10"/>
      <c r="AA2388" s="11"/>
      <c r="AB2388" s="11"/>
    </row>
    <row r="2389" spans="2:28" x14ac:dyDescent="0.3">
      <c r="B2389" s="10"/>
      <c r="C2389" s="315"/>
      <c r="D2389" s="868"/>
      <c r="E2389" s="837" t="str">
        <f>IFERROR(IF(_xlfn.XLOOKUP(Imput[[#This Row],[RFC]],'Alta Proveedor'!D:D,'Alta Proveedor'!E:E)=0,"",_xlfn.XLOOKUP(Imput[[#This Row],[RFC]],'Alta Proveedor'!D:D,'Alta Proveedor'!E:E)),"")</f>
        <v/>
      </c>
      <c r="F2389" s="832"/>
      <c r="G2389" s="187"/>
      <c r="H2389" s="1"/>
      <c r="I2389" s="169">
        <f>Imput[[#This Row],[Cantidad]]*Imput[[#This Row],[Precio Unitario]]</f>
        <v>0</v>
      </c>
      <c r="J2389" s="11">
        <f>((Imput[[#This Row],[Sub total]])*(0.16))</f>
        <v>0</v>
      </c>
      <c r="K2389" s="11">
        <v>0</v>
      </c>
      <c r="L2389" s="169">
        <f>Imput[[#This Row],[Sub total]]+Imput[[#This Row],[IVA]]-Imput[[#This Row],[Retención / IEPS / Descuento]]</f>
        <v>0</v>
      </c>
      <c r="M2389" s="844">
        <v>0</v>
      </c>
      <c r="N2389" s="189"/>
      <c r="O2389" s="1"/>
      <c r="P2389" s="189"/>
      <c r="Q2389" s="190"/>
      <c r="R2389" s="188"/>
      <c r="S2389" s="193"/>
      <c r="T2389" s="192"/>
      <c r="U2389" s="829"/>
      <c r="V2389" s="10"/>
      <c r="W2389" s="10"/>
      <c r="X2389" s="10"/>
      <c r="Y2389" s="10"/>
      <c r="Z2389" s="10"/>
      <c r="AA2389" s="11"/>
      <c r="AB2389" s="11"/>
    </row>
    <row r="2390" spans="2:28" x14ac:dyDescent="0.3">
      <c r="B2390" s="10"/>
      <c r="C2390" s="315"/>
      <c r="D2390" s="868"/>
      <c r="E2390" s="837" t="str">
        <f>IFERROR(IF(_xlfn.XLOOKUP(Imput[[#This Row],[RFC]],'Alta Proveedor'!D:D,'Alta Proveedor'!E:E)=0,"",_xlfn.XLOOKUP(Imput[[#This Row],[RFC]],'Alta Proveedor'!D:D,'Alta Proveedor'!E:E)),"")</f>
        <v/>
      </c>
      <c r="F2390" s="832"/>
      <c r="G2390" s="187"/>
      <c r="H2390" s="1"/>
      <c r="I2390" s="169">
        <f>Imput[[#This Row],[Cantidad]]*Imput[[#This Row],[Precio Unitario]]</f>
        <v>0</v>
      </c>
      <c r="J2390" s="11">
        <f>((Imput[[#This Row],[Sub total]])*(0.16))</f>
        <v>0</v>
      </c>
      <c r="K2390" s="11">
        <v>0</v>
      </c>
      <c r="L2390" s="169">
        <f>Imput[[#This Row],[Sub total]]+Imput[[#This Row],[IVA]]-Imput[[#This Row],[Retención / IEPS / Descuento]]</f>
        <v>0</v>
      </c>
      <c r="M2390" s="844">
        <v>0</v>
      </c>
      <c r="N2390" s="189"/>
      <c r="O2390" s="1"/>
      <c r="P2390" s="189"/>
      <c r="Q2390" s="190"/>
      <c r="R2390" s="188"/>
      <c r="S2390" s="193"/>
      <c r="T2390" s="192"/>
      <c r="U2390" s="829"/>
      <c r="V2390" s="10"/>
      <c r="W2390" s="10"/>
      <c r="X2390" s="10"/>
      <c r="Y2390" s="10"/>
      <c r="Z2390" s="10"/>
      <c r="AA2390" s="11"/>
      <c r="AB2390" s="11"/>
    </row>
    <row r="2391" spans="2:28" x14ac:dyDescent="0.3">
      <c r="B2391" s="10"/>
      <c r="C2391" s="315"/>
      <c r="D2391" s="868"/>
      <c r="E2391" s="837" t="str">
        <f>IFERROR(IF(_xlfn.XLOOKUP(Imput[[#This Row],[RFC]],'Alta Proveedor'!D:D,'Alta Proveedor'!E:E)=0,"",_xlfn.XLOOKUP(Imput[[#This Row],[RFC]],'Alta Proveedor'!D:D,'Alta Proveedor'!E:E)),"")</f>
        <v/>
      </c>
      <c r="F2391" s="832"/>
      <c r="G2391" s="187"/>
      <c r="H2391" s="1"/>
      <c r="I2391" s="169">
        <f>Imput[[#This Row],[Cantidad]]*Imput[[#This Row],[Precio Unitario]]</f>
        <v>0</v>
      </c>
      <c r="J2391" s="11">
        <f>((Imput[[#This Row],[Sub total]])*(0.16))</f>
        <v>0</v>
      </c>
      <c r="K2391" s="11">
        <v>0</v>
      </c>
      <c r="L2391" s="169">
        <f>Imput[[#This Row],[Sub total]]+Imput[[#This Row],[IVA]]-Imput[[#This Row],[Retención / IEPS / Descuento]]</f>
        <v>0</v>
      </c>
      <c r="M2391" s="844">
        <v>0</v>
      </c>
      <c r="N2391" s="189"/>
      <c r="O2391" s="1"/>
      <c r="P2391" s="189"/>
      <c r="Q2391" s="190"/>
      <c r="R2391" s="188"/>
      <c r="S2391" s="193"/>
      <c r="T2391" s="192"/>
      <c r="U2391" s="829"/>
      <c r="V2391" s="10"/>
      <c r="W2391" s="10"/>
      <c r="X2391" s="10"/>
      <c r="Y2391" s="10"/>
      <c r="Z2391" s="10"/>
      <c r="AA2391" s="11"/>
      <c r="AB2391" s="11"/>
    </row>
    <row r="2392" spans="2:28" x14ac:dyDescent="0.3">
      <c r="B2392" s="10"/>
      <c r="C2392" s="315"/>
      <c r="D2392" s="868"/>
      <c r="E2392" s="837" t="str">
        <f>IFERROR(IF(_xlfn.XLOOKUP(Imput[[#This Row],[RFC]],'Alta Proveedor'!D:D,'Alta Proveedor'!E:E)=0,"",_xlfn.XLOOKUP(Imput[[#This Row],[RFC]],'Alta Proveedor'!D:D,'Alta Proveedor'!E:E)),"")</f>
        <v/>
      </c>
      <c r="F2392" s="832"/>
      <c r="G2392" s="187"/>
      <c r="H2392" s="1"/>
      <c r="I2392" s="169">
        <f>Imput[[#This Row],[Cantidad]]*Imput[[#This Row],[Precio Unitario]]</f>
        <v>0</v>
      </c>
      <c r="J2392" s="11">
        <f>((Imput[[#This Row],[Sub total]])*(0.16))</f>
        <v>0</v>
      </c>
      <c r="K2392" s="11">
        <v>0</v>
      </c>
      <c r="L2392" s="169">
        <f>Imput[[#This Row],[Sub total]]+Imput[[#This Row],[IVA]]-Imput[[#This Row],[Retención / IEPS / Descuento]]</f>
        <v>0</v>
      </c>
      <c r="M2392" s="844">
        <v>0</v>
      </c>
      <c r="N2392" s="189"/>
      <c r="O2392" s="1"/>
      <c r="P2392" s="189"/>
      <c r="Q2392" s="190"/>
      <c r="R2392" s="188"/>
      <c r="S2392" s="193"/>
      <c r="T2392" s="192"/>
      <c r="U2392" s="829"/>
      <c r="V2392" s="10"/>
      <c r="W2392" s="10"/>
      <c r="X2392" s="10"/>
      <c r="Y2392" s="10"/>
      <c r="Z2392" s="10"/>
      <c r="AA2392" s="11"/>
      <c r="AB2392" s="11"/>
    </row>
    <row r="2393" spans="2:28" x14ac:dyDescent="0.3">
      <c r="B2393" s="10"/>
      <c r="C2393" s="315"/>
      <c r="D2393" s="868"/>
      <c r="E2393" s="837" t="str">
        <f>IFERROR(IF(_xlfn.XLOOKUP(Imput[[#This Row],[RFC]],'Alta Proveedor'!D:D,'Alta Proveedor'!E:E)=0,"",_xlfn.XLOOKUP(Imput[[#This Row],[RFC]],'Alta Proveedor'!D:D,'Alta Proveedor'!E:E)),"")</f>
        <v/>
      </c>
      <c r="F2393" s="832"/>
      <c r="G2393" s="187"/>
      <c r="H2393" s="1"/>
      <c r="I2393" s="169">
        <f>Imput[[#This Row],[Cantidad]]*Imput[[#This Row],[Precio Unitario]]</f>
        <v>0</v>
      </c>
      <c r="J2393" s="11">
        <f>((Imput[[#This Row],[Sub total]])*(0.16))</f>
        <v>0</v>
      </c>
      <c r="K2393" s="11">
        <v>0</v>
      </c>
      <c r="L2393" s="169">
        <f>Imput[[#This Row],[Sub total]]+Imput[[#This Row],[IVA]]-Imput[[#This Row],[Retención / IEPS / Descuento]]</f>
        <v>0</v>
      </c>
      <c r="M2393" s="844">
        <v>0</v>
      </c>
      <c r="N2393" s="189"/>
      <c r="O2393" s="1"/>
      <c r="P2393" s="189"/>
      <c r="Q2393" s="190"/>
      <c r="R2393" s="188"/>
      <c r="S2393" s="193"/>
      <c r="T2393" s="192"/>
      <c r="U2393" s="829"/>
      <c r="V2393" s="10"/>
      <c r="W2393" s="10"/>
      <c r="X2393" s="10"/>
      <c r="Y2393" s="10"/>
      <c r="Z2393" s="10"/>
      <c r="AA2393" s="11"/>
      <c r="AB2393" s="11"/>
    </row>
    <row r="2394" spans="2:28" x14ac:dyDescent="0.3">
      <c r="B2394" s="10"/>
      <c r="C2394" s="315"/>
      <c r="D2394" s="868"/>
      <c r="E2394" s="837" t="str">
        <f>IFERROR(IF(_xlfn.XLOOKUP(Imput[[#This Row],[RFC]],'Alta Proveedor'!D:D,'Alta Proveedor'!E:E)=0,"",_xlfn.XLOOKUP(Imput[[#This Row],[RFC]],'Alta Proveedor'!D:D,'Alta Proveedor'!E:E)),"")</f>
        <v/>
      </c>
      <c r="F2394" s="832"/>
      <c r="G2394" s="187"/>
      <c r="H2394" s="1"/>
      <c r="I2394" s="169">
        <f>Imput[[#This Row],[Cantidad]]*Imput[[#This Row],[Precio Unitario]]</f>
        <v>0</v>
      </c>
      <c r="J2394" s="11">
        <f>((Imput[[#This Row],[Sub total]])*(0.16))</f>
        <v>0</v>
      </c>
      <c r="K2394" s="11">
        <v>0</v>
      </c>
      <c r="L2394" s="169">
        <f>Imput[[#This Row],[Sub total]]+Imput[[#This Row],[IVA]]-Imput[[#This Row],[Retención / IEPS / Descuento]]</f>
        <v>0</v>
      </c>
      <c r="M2394" s="844">
        <v>0</v>
      </c>
      <c r="N2394" s="189"/>
      <c r="O2394" s="1"/>
      <c r="P2394" s="189"/>
      <c r="Q2394" s="190"/>
      <c r="R2394" s="188"/>
      <c r="S2394" s="193"/>
      <c r="T2394" s="192"/>
      <c r="U2394" s="829"/>
      <c r="V2394" s="10"/>
      <c r="W2394" s="10"/>
      <c r="X2394" s="10"/>
      <c r="Y2394" s="10"/>
      <c r="Z2394" s="10"/>
      <c r="AA2394" s="11"/>
      <c r="AB2394" s="11"/>
    </row>
    <row r="2395" spans="2:28" x14ac:dyDescent="0.3">
      <c r="B2395" s="10"/>
      <c r="C2395" s="315"/>
      <c r="D2395" s="868"/>
      <c r="E2395" s="837" t="str">
        <f>IFERROR(IF(_xlfn.XLOOKUP(Imput[[#This Row],[RFC]],'Alta Proveedor'!D:D,'Alta Proveedor'!E:E)=0,"",_xlfn.XLOOKUP(Imput[[#This Row],[RFC]],'Alta Proveedor'!D:D,'Alta Proveedor'!E:E)),"")</f>
        <v/>
      </c>
      <c r="F2395" s="832"/>
      <c r="G2395" s="187"/>
      <c r="H2395" s="1"/>
      <c r="I2395" s="169">
        <f>Imput[[#This Row],[Cantidad]]*Imput[[#This Row],[Precio Unitario]]</f>
        <v>0</v>
      </c>
      <c r="J2395" s="11">
        <f>((Imput[[#This Row],[Sub total]])*(0.16))</f>
        <v>0</v>
      </c>
      <c r="K2395" s="11">
        <v>0</v>
      </c>
      <c r="L2395" s="169">
        <f>Imput[[#This Row],[Sub total]]+Imput[[#This Row],[IVA]]-Imput[[#This Row],[Retención / IEPS / Descuento]]</f>
        <v>0</v>
      </c>
      <c r="M2395" s="844">
        <v>0</v>
      </c>
      <c r="N2395" s="189"/>
      <c r="O2395" s="1"/>
      <c r="P2395" s="189"/>
      <c r="Q2395" s="190"/>
      <c r="R2395" s="188"/>
      <c r="S2395" s="193"/>
      <c r="T2395" s="192"/>
      <c r="U2395" s="829"/>
      <c r="V2395" s="10"/>
      <c r="W2395" s="10"/>
      <c r="X2395" s="10"/>
      <c r="Y2395" s="10"/>
      <c r="Z2395" s="10"/>
      <c r="AA2395" s="11"/>
      <c r="AB2395" s="11"/>
    </row>
    <row r="2396" spans="2:28" x14ac:dyDescent="0.3">
      <c r="B2396" s="10"/>
      <c r="C2396" s="315"/>
      <c r="D2396" s="868"/>
      <c r="E2396" s="837" t="str">
        <f>IFERROR(IF(_xlfn.XLOOKUP(Imput[[#This Row],[RFC]],'Alta Proveedor'!D:D,'Alta Proveedor'!E:E)=0,"",_xlfn.XLOOKUP(Imput[[#This Row],[RFC]],'Alta Proveedor'!D:D,'Alta Proveedor'!E:E)),"")</f>
        <v/>
      </c>
      <c r="F2396" s="832"/>
      <c r="G2396" s="187"/>
      <c r="H2396" s="1"/>
      <c r="I2396" s="169">
        <f>Imput[[#This Row],[Cantidad]]*Imput[[#This Row],[Precio Unitario]]</f>
        <v>0</v>
      </c>
      <c r="J2396" s="11">
        <f>((Imput[[#This Row],[Sub total]])*(0.16))</f>
        <v>0</v>
      </c>
      <c r="K2396" s="11">
        <v>0</v>
      </c>
      <c r="L2396" s="169">
        <f>Imput[[#This Row],[Sub total]]+Imput[[#This Row],[IVA]]-Imput[[#This Row],[Retención / IEPS / Descuento]]</f>
        <v>0</v>
      </c>
      <c r="M2396" s="844">
        <v>0</v>
      </c>
      <c r="N2396" s="189"/>
      <c r="O2396" s="1"/>
      <c r="P2396" s="189"/>
      <c r="Q2396" s="190"/>
      <c r="R2396" s="188"/>
      <c r="S2396" s="193"/>
      <c r="T2396" s="192"/>
      <c r="U2396" s="829"/>
      <c r="V2396" s="10"/>
      <c r="W2396" s="10"/>
      <c r="X2396" s="10"/>
      <c r="Y2396" s="10"/>
      <c r="Z2396" s="10"/>
      <c r="AA2396" s="11"/>
      <c r="AB2396" s="11"/>
    </row>
    <row r="2397" spans="2:28" x14ac:dyDescent="0.3">
      <c r="B2397" s="10"/>
      <c r="C2397" s="315"/>
      <c r="D2397" s="868"/>
      <c r="E2397" s="837" t="str">
        <f>IFERROR(IF(_xlfn.XLOOKUP(Imput[[#This Row],[RFC]],'Alta Proveedor'!D:D,'Alta Proveedor'!E:E)=0,"",_xlfn.XLOOKUP(Imput[[#This Row],[RFC]],'Alta Proveedor'!D:D,'Alta Proveedor'!E:E)),"")</f>
        <v/>
      </c>
      <c r="F2397" s="832"/>
      <c r="G2397" s="187"/>
      <c r="H2397" s="1"/>
      <c r="I2397" s="169">
        <f>Imput[[#This Row],[Cantidad]]*Imput[[#This Row],[Precio Unitario]]</f>
        <v>0</v>
      </c>
      <c r="J2397" s="11">
        <f>((Imput[[#This Row],[Sub total]])*(0.16))</f>
        <v>0</v>
      </c>
      <c r="K2397" s="11">
        <v>0</v>
      </c>
      <c r="L2397" s="169">
        <f>Imput[[#This Row],[Sub total]]+Imput[[#This Row],[IVA]]-Imput[[#This Row],[Retención / IEPS / Descuento]]</f>
        <v>0</v>
      </c>
      <c r="M2397" s="844">
        <v>0</v>
      </c>
      <c r="N2397" s="189"/>
      <c r="O2397" s="1"/>
      <c r="P2397" s="189"/>
      <c r="Q2397" s="190"/>
      <c r="R2397" s="188"/>
      <c r="S2397" s="193"/>
      <c r="T2397" s="192"/>
      <c r="U2397" s="829"/>
      <c r="V2397" s="10"/>
      <c r="W2397" s="10"/>
      <c r="X2397" s="10"/>
      <c r="Y2397" s="10"/>
      <c r="Z2397" s="10"/>
      <c r="AA2397" s="11"/>
      <c r="AB2397" s="11"/>
    </row>
    <row r="2398" spans="2:28" x14ac:dyDescent="0.3">
      <c r="B2398" s="10"/>
      <c r="C2398" s="315"/>
      <c r="D2398" s="868"/>
      <c r="E2398" s="837" t="str">
        <f>IFERROR(IF(_xlfn.XLOOKUP(Imput[[#This Row],[RFC]],'Alta Proveedor'!D:D,'Alta Proveedor'!E:E)=0,"",_xlfn.XLOOKUP(Imput[[#This Row],[RFC]],'Alta Proveedor'!D:D,'Alta Proveedor'!E:E)),"")</f>
        <v/>
      </c>
      <c r="F2398" s="832"/>
      <c r="G2398" s="187"/>
      <c r="H2398" s="1"/>
      <c r="I2398" s="169">
        <f>Imput[[#This Row],[Cantidad]]*Imput[[#This Row],[Precio Unitario]]</f>
        <v>0</v>
      </c>
      <c r="J2398" s="11">
        <f>((Imput[[#This Row],[Sub total]])*(0.16))</f>
        <v>0</v>
      </c>
      <c r="K2398" s="11">
        <v>0</v>
      </c>
      <c r="L2398" s="169">
        <f>Imput[[#This Row],[Sub total]]+Imput[[#This Row],[IVA]]-Imput[[#This Row],[Retención / IEPS / Descuento]]</f>
        <v>0</v>
      </c>
      <c r="M2398" s="844">
        <v>0</v>
      </c>
      <c r="N2398" s="189"/>
      <c r="O2398" s="1"/>
      <c r="P2398" s="189"/>
      <c r="Q2398" s="190"/>
      <c r="R2398" s="188"/>
      <c r="S2398" s="193"/>
      <c r="T2398" s="192"/>
      <c r="U2398" s="829"/>
      <c r="V2398" s="10"/>
      <c r="W2398" s="10"/>
      <c r="X2398" s="10"/>
      <c r="Y2398" s="10"/>
      <c r="Z2398" s="10"/>
      <c r="AA2398" s="11"/>
      <c r="AB2398" s="11"/>
    </row>
    <row r="2399" spans="2:28" x14ac:dyDescent="0.3">
      <c r="B2399" s="10"/>
      <c r="C2399" s="315"/>
      <c r="D2399" s="868"/>
      <c r="E2399" s="837" t="str">
        <f>IFERROR(IF(_xlfn.XLOOKUP(Imput[[#This Row],[RFC]],'Alta Proveedor'!D:D,'Alta Proveedor'!E:E)=0,"",_xlfn.XLOOKUP(Imput[[#This Row],[RFC]],'Alta Proveedor'!D:D,'Alta Proveedor'!E:E)),"")</f>
        <v/>
      </c>
      <c r="F2399" s="832"/>
      <c r="G2399" s="187"/>
      <c r="H2399" s="1"/>
      <c r="I2399" s="169">
        <f>Imput[[#This Row],[Cantidad]]*Imput[[#This Row],[Precio Unitario]]</f>
        <v>0</v>
      </c>
      <c r="J2399" s="11">
        <f>((Imput[[#This Row],[Sub total]])*(0.16))</f>
        <v>0</v>
      </c>
      <c r="K2399" s="11">
        <v>0</v>
      </c>
      <c r="L2399" s="169">
        <f>Imput[[#This Row],[Sub total]]+Imput[[#This Row],[IVA]]-Imput[[#This Row],[Retención / IEPS / Descuento]]</f>
        <v>0</v>
      </c>
      <c r="M2399" s="844">
        <v>0</v>
      </c>
      <c r="N2399" s="189"/>
      <c r="O2399" s="1"/>
      <c r="P2399" s="189"/>
      <c r="Q2399" s="190"/>
      <c r="R2399" s="188"/>
      <c r="S2399" s="193"/>
      <c r="T2399" s="192"/>
      <c r="U2399" s="829"/>
      <c r="V2399" s="10"/>
      <c r="W2399" s="10"/>
      <c r="X2399" s="10"/>
      <c r="Y2399" s="10"/>
      <c r="Z2399" s="10"/>
      <c r="AA2399" s="11"/>
      <c r="AB2399" s="11"/>
    </row>
    <row r="2400" spans="2:28" x14ac:dyDescent="0.3">
      <c r="B2400" s="10"/>
      <c r="C2400" s="315"/>
      <c r="D2400" s="868"/>
      <c r="E2400" s="837" t="str">
        <f>IFERROR(IF(_xlfn.XLOOKUP(Imput[[#This Row],[RFC]],'Alta Proveedor'!D:D,'Alta Proveedor'!E:E)=0,"",_xlfn.XLOOKUP(Imput[[#This Row],[RFC]],'Alta Proveedor'!D:D,'Alta Proveedor'!E:E)),"")</f>
        <v/>
      </c>
      <c r="F2400" s="832"/>
      <c r="G2400" s="187"/>
      <c r="H2400" s="1"/>
      <c r="I2400" s="169">
        <f>Imput[[#This Row],[Cantidad]]*Imput[[#This Row],[Precio Unitario]]</f>
        <v>0</v>
      </c>
      <c r="J2400" s="11">
        <f>((Imput[[#This Row],[Sub total]])*(0.16))</f>
        <v>0</v>
      </c>
      <c r="K2400" s="11">
        <v>0</v>
      </c>
      <c r="L2400" s="169">
        <f>Imput[[#This Row],[Sub total]]+Imput[[#This Row],[IVA]]-Imput[[#This Row],[Retención / IEPS / Descuento]]</f>
        <v>0</v>
      </c>
      <c r="M2400" s="844">
        <v>0</v>
      </c>
      <c r="N2400" s="189"/>
      <c r="O2400" s="1"/>
      <c r="P2400" s="189"/>
      <c r="Q2400" s="190"/>
      <c r="R2400" s="188"/>
      <c r="S2400" s="193"/>
      <c r="T2400" s="192"/>
      <c r="U2400" s="829"/>
      <c r="V2400" s="10"/>
      <c r="W2400" s="10"/>
      <c r="X2400" s="10"/>
      <c r="Y2400" s="10"/>
      <c r="Z2400" s="10"/>
      <c r="AA2400" s="11"/>
      <c r="AB2400" s="11"/>
    </row>
    <row r="2401" spans="2:28" x14ac:dyDescent="0.3">
      <c r="B2401" s="10"/>
      <c r="C2401" s="315"/>
      <c r="D2401" s="868"/>
      <c r="E2401" s="837" t="str">
        <f>IFERROR(IF(_xlfn.XLOOKUP(Imput[[#This Row],[RFC]],'Alta Proveedor'!D:D,'Alta Proveedor'!E:E)=0,"",_xlfn.XLOOKUP(Imput[[#This Row],[RFC]],'Alta Proveedor'!D:D,'Alta Proveedor'!E:E)),"")</f>
        <v/>
      </c>
      <c r="F2401" s="832"/>
      <c r="G2401" s="187"/>
      <c r="H2401" s="1"/>
      <c r="I2401" s="169">
        <f>Imput[[#This Row],[Cantidad]]*Imput[[#This Row],[Precio Unitario]]</f>
        <v>0</v>
      </c>
      <c r="J2401" s="11">
        <f>((Imput[[#This Row],[Sub total]])*(0.16))</f>
        <v>0</v>
      </c>
      <c r="K2401" s="11">
        <v>0</v>
      </c>
      <c r="L2401" s="169">
        <f>Imput[[#This Row],[Sub total]]+Imput[[#This Row],[IVA]]-Imput[[#This Row],[Retención / IEPS / Descuento]]</f>
        <v>0</v>
      </c>
      <c r="M2401" s="844">
        <v>0</v>
      </c>
      <c r="N2401" s="189"/>
      <c r="O2401" s="1"/>
      <c r="P2401" s="189"/>
      <c r="Q2401" s="190"/>
      <c r="R2401" s="188"/>
      <c r="S2401" s="193"/>
      <c r="T2401" s="192"/>
      <c r="U2401" s="829"/>
      <c r="V2401" s="10"/>
      <c r="W2401" s="10"/>
      <c r="X2401" s="10"/>
      <c r="Y2401" s="10"/>
      <c r="Z2401" s="10"/>
      <c r="AA2401" s="11"/>
      <c r="AB2401" s="11"/>
    </row>
    <row r="2402" spans="2:28" x14ac:dyDescent="0.3">
      <c r="B2402" s="10"/>
      <c r="C2402" s="315"/>
      <c r="D2402" s="868"/>
      <c r="E2402" s="837" t="str">
        <f>IFERROR(IF(_xlfn.XLOOKUP(Imput[[#This Row],[RFC]],'Alta Proveedor'!D:D,'Alta Proveedor'!E:E)=0,"",_xlfn.XLOOKUP(Imput[[#This Row],[RFC]],'Alta Proveedor'!D:D,'Alta Proveedor'!E:E)),"")</f>
        <v/>
      </c>
      <c r="F2402" s="832"/>
      <c r="G2402" s="187"/>
      <c r="H2402" s="1"/>
      <c r="I2402" s="169">
        <f>Imput[[#This Row],[Cantidad]]*Imput[[#This Row],[Precio Unitario]]</f>
        <v>0</v>
      </c>
      <c r="J2402" s="11">
        <f>((Imput[[#This Row],[Sub total]])*(0.16))</f>
        <v>0</v>
      </c>
      <c r="K2402" s="11">
        <v>0</v>
      </c>
      <c r="L2402" s="169">
        <f>Imput[[#This Row],[Sub total]]+Imput[[#This Row],[IVA]]-Imput[[#This Row],[Retención / IEPS / Descuento]]</f>
        <v>0</v>
      </c>
      <c r="M2402" s="844">
        <v>0</v>
      </c>
      <c r="N2402" s="189"/>
      <c r="O2402" s="1"/>
      <c r="P2402" s="189"/>
      <c r="Q2402" s="190"/>
      <c r="R2402" s="188"/>
      <c r="S2402" s="193"/>
      <c r="T2402" s="192"/>
      <c r="U2402" s="829"/>
      <c r="V2402" s="10"/>
      <c r="W2402" s="10"/>
      <c r="X2402" s="10"/>
      <c r="Y2402" s="10"/>
      <c r="Z2402" s="10"/>
      <c r="AA2402" s="11"/>
      <c r="AB2402" s="11"/>
    </row>
    <row r="2403" spans="2:28" x14ac:dyDescent="0.3">
      <c r="B2403" s="10"/>
      <c r="C2403" s="315"/>
      <c r="D2403" s="868"/>
      <c r="E2403" s="837" t="str">
        <f>IFERROR(IF(_xlfn.XLOOKUP(Imput[[#This Row],[RFC]],'Alta Proveedor'!D:D,'Alta Proveedor'!E:E)=0,"",_xlfn.XLOOKUP(Imput[[#This Row],[RFC]],'Alta Proveedor'!D:D,'Alta Proveedor'!E:E)),"")</f>
        <v/>
      </c>
      <c r="F2403" s="832"/>
      <c r="G2403" s="187"/>
      <c r="H2403" s="1"/>
      <c r="I2403" s="169">
        <f>Imput[[#This Row],[Cantidad]]*Imput[[#This Row],[Precio Unitario]]</f>
        <v>0</v>
      </c>
      <c r="J2403" s="11">
        <f>((Imput[[#This Row],[Sub total]])*(0.16))</f>
        <v>0</v>
      </c>
      <c r="K2403" s="11">
        <v>0</v>
      </c>
      <c r="L2403" s="169">
        <f>Imput[[#This Row],[Sub total]]+Imput[[#This Row],[IVA]]-Imput[[#This Row],[Retención / IEPS / Descuento]]</f>
        <v>0</v>
      </c>
      <c r="M2403" s="844">
        <v>0</v>
      </c>
      <c r="N2403" s="189"/>
      <c r="O2403" s="1"/>
      <c r="P2403" s="189"/>
      <c r="Q2403" s="190"/>
      <c r="R2403" s="188"/>
      <c r="S2403" s="193"/>
      <c r="T2403" s="192"/>
      <c r="U2403" s="829"/>
      <c r="V2403" s="10"/>
      <c r="W2403" s="10"/>
      <c r="X2403" s="10"/>
      <c r="Y2403" s="10"/>
      <c r="Z2403" s="10"/>
      <c r="AA2403" s="11"/>
      <c r="AB2403" s="11"/>
    </row>
    <row r="2404" spans="2:28" x14ac:dyDescent="0.3">
      <c r="B2404" s="10"/>
      <c r="C2404" s="315"/>
      <c r="D2404" s="868"/>
      <c r="E2404" s="837" t="str">
        <f>IFERROR(IF(_xlfn.XLOOKUP(Imput[[#This Row],[RFC]],'Alta Proveedor'!D:D,'Alta Proveedor'!E:E)=0,"",_xlfn.XLOOKUP(Imput[[#This Row],[RFC]],'Alta Proveedor'!D:D,'Alta Proveedor'!E:E)),"")</f>
        <v/>
      </c>
      <c r="F2404" s="832"/>
      <c r="G2404" s="187"/>
      <c r="H2404" s="1"/>
      <c r="I2404" s="169">
        <f>Imput[[#This Row],[Cantidad]]*Imput[[#This Row],[Precio Unitario]]</f>
        <v>0</v>
      </c>
      <c r="J2404" s="11">
        <f>((Imput[[#This Row],[Sub total]])*(0.16))</f>
        <v>0</v>
      </c>
      <c r="K2404" s="11">
        <v>0</v>
      </c>
      <c r="L2404" s="169">
        <f>Imput[[#This Row],[Sub total]]+Imput[[#This Row],[IVA]]-Imput[[#This Row],[Retención / IEPS / Descuento]]</f>
        <v>0</v>
      </c>
      <c r="M2404" s="844">
        <v>0</v>
      </c>
      <c r="N2404" s="189"/>
      <c r="O2404" s="1"/>
      <c r="P2404" s="189"/>
      <c r="Q2404" s="190"/>
      <c r="R2404" s="188"/>
      <c r="S2404" s="193"/>
      <c r="T2404" s="192"/>
      <c r="U2404" s="829"/>
      <c r="V2404" s="10"/>
      <c r="W2404" s="10"/>
      <c r="X2404" s="10"/>
      <c r="Y2404" s="10"/>
      <c r="Z2404" s="10"/>
      <c r="AA2404" s="11"/>
      <c r="AB2404" s="11"/>
    </row>
    <row r="2405" spans="2:28" x14ac:dyDescent="0.3">
      <c r="B2405" s="10"/>
      <c r="C2405" s="315"/>
      <c r="D2405" s="868"/>
      <c r="E2405" s="837" t="str">
        <f>IFERROR(IF(_xlfn.XLOOKUP(Imput[[#This Row],[RFC]],'Alta Proveedor'!D:D,'Alta Proveedor'!E:E)=0,"",_xlfn.XLOOKUP(Imput[[#This Row],[RFC]],'Alta Proveedor'!D:D,'Alta Proveedor'!E:E)),"")</f>
        <v/>
      </c>
      <c r="F2405" s="832"/>
      <c r="G2405" s="187"/>
      <c r="H2405" s="1"/>
      <c r="I2405" s="169">
        <f>Imput[[#This Row],[Cantidad]]*Imput[[#This Row],[Precio Unitario]]</f>
        <v>0</v>
      </c>
      <c r="J2405" s="11">
        <f>((Imput[[#This Row],[Sub total]])*(0.16))</f>
        <v>0</v>
      </c>
      <c r="K2405" s="11">
        <v>0</v>
      </c>
      <c r="L2405" s="169">
        <f>Imput[[#This Row],[Sub total]]+Imput[[#This Row],[IVA]]-Imput[[#This Row],[Retención / IEPS / Descuento]]</f>
        <v>0</v>
      </c>
      <c r="M2405" s="844">
        <v>0</v>
      </c>
      <c r="N2405" s="189"/>
      <c r="O2405" s="1"/>
      <c r="P2405" s="189"/>
      <c r="Q2405" s="190"/>
      <c r="R2405" s="188"/>
      <c r="S2405" s="193"/>
      <c r="T2405" s="192"/>
      <c r="U2405" s="829"/>
      <c r="V2405" s="10"/>
      <c r="W2405" s="10"/>
      <c r="X2405" s="10"/>
      <c r="Y2405" s="10"/>
      <c r="Z2405" s="10"/>
      <c r="AA2405" s="11"/>
      <c r="AB2405" s="11"/>
    </row>
    <row r="2406" spans="2:28" x14ac:dyDescent="0.3">
      <c r="B2406" s="10"/>
      <c r="C2406" s="315"/>
      <c r="D2406" s="868"/>
      <c r="E2406" s="837" t="str">
        <f>IFERROR(IF(_xlfn.XLOOKUP(Imput[[#This Row],[RFC]],'Alta Proveedor'!D:D,'Alta Proveedor'!E:E)=0,"",_xlfn.XLOOKUP(Imput[[#This Row],[RFC]],'Alta Proveedor'!D:D,'Alta Proveedor'!E:E)),"")</f>
        <v/>
      </c>
      <c r="F2406" s="832"/>
      <c r="G2406" s="187"/>
      <c r="H2406" s="1"/>
      <c r="I2406" s="169">
        <f>Imput[[#This Row],[Cantidad]]*Imput[[#This Row],[Precio Unitario]]</f>
        <v>0</v>
      </c>
      <c r="J2406" s="11">
        <f>((Imput[[#This Row],[Sub total]])*(0.16))</f>
        <v>0</v>
      </c>
      <c r="K2406" s="11">
        <v>0</v>
      </c>
      <c r="L2406" s="169">
        <f>Imput[[#This Row],[Sub total]]+Imput[[#This Row],[IVA]]-Imput[[#This Row],[Retención / IEPS / Descuento]]</f>
        <v>0</v>
      </c>
      <c r="M2406" s="844">
        <v>0</v>
      </c>
      <c r="N2406" s="189"/>
      <c r="O2406" s="1"/>
      <c r="P2406" s="189"/>
      <c r="Q2406" s="190"/>
      <c r="R2406" s="188"/>
      <c r="S2406" s="193"/>
      <c r="T2406" s="192"/>
      <c r="U2406" s="829"/>
      <c r="V2406" s="10"/>
      <c r="W2406" s="10"/>
      <c r="X2406" s="10"/>
      <c r="Y2406" s="10"/>
      <c r="Z2406" s="10"/>
      <c r="AA2406" s="11"/>
      <c r="AB2406" s="11"/>
    </row>
    <row r="2407" spans="2:28" x14ac:dyDescent="0.3">
      <c r="B2407" s="10"/>
      <c r="C2407" s="315"/>
      <c r="D2407" s="868"/>
      <c r="E2407" s="837" t="str">
        <f>IFERROR(IF(_xlfn.XLOOKUP(Imput[[#This Row],[RFC]],'Alta Proveedor'!D:D,'Alta Proveedor'!E:E)=0,"",_xlfn.XLOOKUP(Imput[[#This Row],[RFC]],'Alta Proveedor'!D:D,'Alta Proveedor'!E:E)),"")</f>
        <v/>
      </c>
      <c r="F2407" s="832"/>
      <c r="G2407" s="187"/>
      <c r="H2407" s="1"/>
      <c r="I2407" s="169">
        <f>Imput[[#This Row],[Cantidad]]*Imput[[#This Row],[Precio Unitario]]</f>
        <v>0</v>
      </c>
      <c r="J2407" s="11">
        <f>((Imput[[#This Row],[Sub total]])*(0.16))</f>
        <v>0</v>
      </c>
      <c r="K2407" s="11">
        <v>0</v>
      </c>
      <c r="L2407" s="169">
        <f>Imput[[#This Row],[Sub total]]+Imput[[#This Row],[IVA]]-Imput[[#This Row],[Retención / IEPS / Descuento]]</f>
        <v>0</v>
      </c>
      <c r="M2407" s="844">
        <v>0</v>
      </c>
      <c r="N2407" s="189"/>
      <c r="O2407" s="1"/>
      <c r="P2407" s="189"/>
      <c r="Q2407" s="190"/>
      <c r="R2407" s="188"/>
      <c r="S2407" s="193"/>
      <c r="T2407" s="192"/>
      <c r="U2407" s="829"/>
      <c r="V2407" s="10"/>
      <c r="W2407" s="10"/>
      <c r="X2407" s="10"/>
      <c r="Y2407" s="10"/>
      <c r="Z2407" s="10"/>
      <c r="AA2407" s="11"/>
      <c r="AB2407" s="11"/>
    </row>
    <row r="2408" spans="2:28" x14ac:dyDescent="0.3">
      <c r="B2408" s="10"/>
      <c r="C2408" s="315"/>
      <c r="D2408" s="868"/>
      <c r="E2408" s="837" t="str">
        <f>IFERROR(IF(_xlfn.XLOOKUP(Imput[[#This Row],[RFC]],'Alta Proveedor'!D:D,'Alta Proveedor'!E:E)=0,"",_xlfn.XLOOKUP(Imput[[#This Row],[RFC]],'Alta Proveedor'!D:D,'Alta Proveedor'!E:E)),"")</f>
        <v/>
      </c>
      <c r="F2408" s="832"/>
      <c r="G2408" s="187"/>
      <c r="H2408" s="1"/>
      <c r="I2408" s="169">
        <f>Imput[[#This Row],[Cantidad]]*Imput[[#This Row],[Precio Unitario]]</f>
        <v>0</v>
      </c>
      <c r="J2408" s="11">
        <f>((Imput[[#This Row],[Sub total]])*(0.16))</f>
        <v>0</v>
      </c>
      <c r="K2408" s="11">
        <v>0</v>
      </c>
      <c r="L2408" s="169">
        <f>Imput[[#This Row],[Sub total]]+Imput[[#This Row],[IVA]]-Imput[[#This Row],[Retención / IEPS / Descuento]]</f>
        <v>0</v>
      </c>
      <c r="M2408" s="844">
        <v>0</v>
      </c>
      <c r="N2408" s="189"/>
      <c r="O2408" s="1"/>
      <c r="P2408" s="189"/>
      <c r="Q2408" s="190"/>
      <c r="R2408" s="188"/>
      <c r="S2408" s="193"/>
      <c r="T2408" s="192"/>
      <c r="U2408" s="829"/>
      <c r="V2408" s="10"/>
      <c r="W2408" s="10"/>
      <c r="X2408" s="10"/>
      <c r="Y2408" s="10"/>
      <c r="Z2408" s="10"/>
      <c r="AA2408" s="11"/>
      <c r="AB2408" s="11"/>
    </row>
    <row r="2409" spans="2:28" x14ac:dyDescent="0.3">
      <c r="B2409" s="10"/>
      <c r="C2409" s="315"/>
      <c r="D2409" s="868"/>
      <c r="E2409" s="837" t="str">
        <f>IFERROR(IF(_xlfn.XLOOKUP(Imput[[#This Row],[RFC]],'Alta Proveedor'!D:D,'Alta Proveedor'!E:E)=0,"",_xlfn.XLOOKUP(Imput[[#This Row],[RFC]],'Alta Proveedor'!D:D,'Alta Proveedor'!E:E)),"")</f>
        <v/>
      </c>
      <c r="F2409" s="832"/>
      <c r="G2409" s="187"/>
      <c r="H2409" s="1"/>
      <c r="I2409" s="169">
        <f>Imput[[#This Row],[Cantidad]]*Imput[[#This Row],[Precio Unitario]]</f>
        <v>0</v>
      </c>
      <c r="J2409" s="11">
        <f>((Imput[[#This Row],[Sub total]])*(0.16))</f>
        <v>0</v>
      </c>
      <c r="K2409" s="11">
        <v>0</v>
      </c>
      <c r="L2409" s="169">
        <f>Imput[[#This Row],[Sub total]]+Imput[[#This Row],[IVA]]-Imput[[#This Row],[Retención / IEPS / Descuento]]</f>
        <v>0</v>
      </c>
      <c r="M2409" s="844">
        <v>0</v>
      </c>
      <c r="N2409" s="189"/>
      <c r="O2409" s="1"/>
      <c r="P2409" s="189"/>
      <c r="Q2409" s="190"/>
      <c r="R2409" s="188"/>
      <c r="S2409" s="193"/>
      <c r="T2409" s="192"/>
      <c r="U2409" s="829"/>
      <c r="V2409" s="10"/>
      <c r="W2409" s="10"/>
      <c r="X2409" s="10"/>
      <c r="Y2409" s="10"/>
      <c r="Z2409" s="10"/>
      <c r="AA2409" s="11"/>
      <c r="AB2409" s="11"/>
    </row>
    <row r="2410" spans="2:28" x14ac:dyDescent="0.3">
      <c r="B2410" s="10"/>
      <c r="C2410" s="315"/>
      <c r="D2410" s="868"/>
      <c r="E2410" s="837" t="str">
        <f>IFERROR(IF(_xlfn.XLOOKUP(Imput[[#This Row],[RFC]],'Alta Proveedor'!D:D,'Alta Proveedor'!E:E)=0,"",_xlfn.XLOOKUP(Imput[[#This Row],[RFC]],'Alta Proveedor'!D:D,'Alta Proveedor'!E:E)),"")</f>
        <v/>
      </c>
      <c r="F2410" s="832"/>
      <c r="G2410" s="187"/>
      <c r="H2410" s="1"/>
      <c r="I2410" s="169">
        <f>Imput[[#This Row],[Cantidad]]*Imput[[#This Row],[Precio Unitario]]</f>
        <v>0</v>
      </c>
      <c r="J2410" s="11">
        <f>((Imput[[#This Row],[Sub total]])*(0.16))</f>
        <v>0</v>
      </c>
      <c r="K2410" s="11">
        <v>0</v>
      </c>
      <c r="L2410" s="169">
        <f>Imput[[#This Row],[Sub total]]+Imput[[#This Row],[IVA]]-Imput[[#This Row],[Retención / IEPS / Descuento]]</f>
        <v>0</v>
      </c>
      <c r="M2410" s="844">
        <v>0</v>
      </c>
      <c r="N2410" s="189"/>
      <c r="O2410" s="1"/>
      <c r="P2410" s="189"/>
      <c r="Q2410" s="190"/>
      <c r="R2410" s="188"/>
      <c r="S2410" s="193"/>
      <c r="T2410" s="192"/>
      <c r="U2410" s="829"/>
      <c r="V2410" s="10"/>
      <c r="W2410" s="10"/>
      <c r="X2410" s="10"/>
      <c r="Y2410" s="10"/>
      <c r="Z2410" s="10"/>
      <c r="AA2410" s="11"/>
      <c r="AB2410" s="11"/>
    </row>
    <row r="2411" spans="2:28" x14ac:dyDescent="0.3">
      <c r="B2411" s="10"/>
      <c r="C2411" s="315"/>
      <c r="D2411" s="868"/>
      <c r="E2411" s="837" t="str">
        <f>IFERROR(IF(_xlfn.XLOOKUP(Imput[[#This Row],[RFC]],'Alta Proveedor'!D:D,'Alta Proveedor'!E:E)=0,"",_xlfn.XLOOKUP(Imput[[#This Row],[RFC]],'Alta Proveedor'!D:D,'Alta Proveedor'!E:E)),"")</f>
        <v/>
      </c>
      <c r="F2411" s="832"/>
      <c r="G2411" s="187"/>
      <c r="H2411" s="1"/>
      <c r="I2411" s="169">
        <f>Imput[[#This Row],[Cantidad]]*Imput[[#This Row],[Precio Unitario]]</f>
        <v>0</v>
      </c>
      <c r="J2411" s="11">
        <f>((Imput[[#This Row],[Sub total]])*(0.16))</f>
        <v>0</v>
      </c>
      <c r="K2411" s="11">
        <v>0</v>
      </c>
      <c r="L2411" s="169">
        <f>Imput[[#This Row],[Sub total]]+Imput[[#This Row],[IVA]]-Imput[[#This Row],[Retención / IEPS / Descuento]]</f>
        <v>0</v>
      </c>
      <c r="M2411" s="844">
        <v>0</v>
      </c>
      <c r="N2411" s="189"/>
      <c r="O2411" s="1"/>
      <c r="P2411" s="189"/>
      <c r="Q2411" s="190"/>
      <c r="R2411" s="188"/>
      <c r="S2411" s="193"/>
      <c r="T2411" s="192"/>
      <c r="U2411" s="829"/>
      <c r="V2411" s="10"/>
      <c r="W2411" s="10"/>
      <c r="X2411" s="10"/>
      <c r="Y2411" s="10"/>
      <c r="Z2411" s="10"/>
      <c r="AA2411" s="11"/>
      <c r="AB2411" s="11"/>
    </row>
    <row r="2412" spans="2:28" x14ac:dyDescent="0.3">
      <c r="B2412" s="10"/>
      <c r="C2412" s="315"/>
      <c r="D2412" s="868"/>
      <c r="E2412" s="837" t="str">
        <f>IFERROR(IF(_xlfn.XLOOKUP(Imput[[#This Row],[RFC]],'Alta Proveedor'!D:D,'Alta Proveedor'!E:E)=0,"",_xlfn.XLOOKUP(Imput[[#This Row],[RFC]],'Alta Proveedor'!D:D,'Alta Proveedor'!E:E)),"")</f>
        <v/>
      </c>
      <c r="F2412" s="832"/>
      <c r="G2412" s="187"/>
      <c r="H2412" s="1"/>
      <c r="I2412" s="169">
        <f>Imput[[#This Row],[Cantidad]]*Imput[[#This Row],[Precio Unitario]]</f>
        <v>0</v>
      </c>
      <c r="J2412" s="11">
        <f>((Imput[[#This Row],[Sub total]])*(0.16))</f>
        <v>0</v>
      </c>
      <c r="K2412" s="11">
        <v>0</v>
      </c>
      <c r="L2412" s="169">
        <f>Imput[[#This Row],[Sub total]]+Imput[[#This Row],[IVA]]-Imput[[#This Row],[Retención / IEPS / Descuento]]</f>
        <v>0</v>
      </c>
      <c r="M2412" s="844">
        <v>0</v>
      </c>
      <c r="N2412" s="189"/>
      <c r="O2412" s="1"/>
      <c r="P2412" s="189"/>
      <c r="Q2412" s="190"/>
      <c r="R2412" s="188"/>
      <c r="S2412" s="193"/>
      <c r="T2412" s="192"/>
      <c r="U2412" s="829"/>
      <c r="V2412" s="10"/>
      <c r="W2412" s="10"/>
      <c r="X2412" s="10"/>
      <c r="Y2412" s="10"/>
      <c r="Z2412" s="10"/>
      <c r="AA2412" s="11"/>
      <c r="AB2412" s="11"/>
    </row>
    <row r="2413" spans="2:28" x14ac:dyDescent="0.3">
      <c r="B2413" s="10"/>
      <c r="C2413" s="315"/>
      <c r="D2413" s="868"/>
      <c r="E2413" s="837" t="str">
        <f>IFERROR(IF(_xlfn.XLOOKUP(Imput[[#This Row],[RFC]],'Alta Proveedor'!D:D,'Alta Proveedor'!E:E)=0,"",_xlfn.XLOOKUP(Imput[[#This Row],[RFC]],'Alta Proveedor'!D:D,'Alta Proveedor'!E:E)),"")</f>
        <v/>
      </c>
      <c r="F2413" s="832"/>
      <c r="G2413" s="187"/>
      <c r="H2413" s="1"/>
      <c r="I2413" s="169">
        <f>Imput[[#This Row],[Cantidad]]*Imput[[#This Row],[Precio Unitario]]</f>
        <v>0</v>
      </c>
      <c r="J2413" s="11">
        <f>((Imput[[#This Row],[Sub total]])*(0.16))</f>
        <v>0</v>
      </c>
      <c r="K2413" s="11">
        <v>0</v>
      </c>
      <c r="L2413" s="169">
        <f>Imput[[#This Row],[Sub total]]+Imput[[#This Row],[IVA]]-Imput[[#This Row],[Retención / IEPS / Descuento]]</f>
        <v>0</v>
      </c>
      <c r="M2413" s="844">
        <v>0</v>
      </c>
      <c r="N2413" s="189"/>
      <c r="O2413" s="1"/>
      <c r="P2413" s="189"/>
      <c r="Q2413" s="190"/>
      <c r="R2413" s="188"/>
      <c r="S2413" s="193"/>
      <c r="T2413" s="192"/>
      <c r="U2413" s="829"/>
      <c r="V2413" s="10"/>
      <c r="W2413" s="10"/>
      <c r="X2413" s="10"/>
      <c r="Y2413" s="10"/>
      <c r="Z2413" s="10"/>
      <c r="AA2413" s="11"/>
      <c r="AB2413" s="11"/>
    </row>
    <row r="2414" spans="2:28" x14ac:dyDescent="0.3">
      <c r="B2414" s="10"/>
      <c r="C2414" s="315"/>
      <c r="D2414" s="868"/>
      <c r="E2414" s="837" t="str">
        <f>IFERROR(IF(_xlfn.XLOOKUP(Imput[[#This Row],[RFC]],'Alta Proveedor'!D:D,'Alta Proveedor'!E:E)=0,"",_xlfn.XLOOKUP(Imput[[#This Row],[RFC]],'Alta Proveedor'!D:D,'Alta Proveedor'!E:E)),"")</f>
        <v/>
      </c>
      <c r="F2414" s="832"/>
      <c r="G2414" s="187"/>
      <c r="H2414" s="1"/>
      <c r="I2414" s="169">
        <f>Imput[[#This Row],[Cantidad]]*Imput[[#This Row],[Precio Unitario]]</f>
        <v>0</v>
      </c>
      <c r="J2414" s="11">
        <f>((Imput[[#This Row],[Sub total]])*(0.16))</f>
        <v>0</v>
      </c>
      <c r="K2414" s="11">
        <v>0</v>
      </c>
      <c r="L2414" s="169">
        <f>Imput[[#This Row],[Sub total]]+Imput[[#This Row],[IVA]]-Imput[[#This Row],[Retención / IEPS / Descuento]]</f>
        <v>0</v>
      </c>
      <c r="M2414" s="844">
        <v>0</v>
      </c>
      <c r="N2414" s="189"/>
      <c r="O2414" s="1"/>
      <c r="P2414" s="189"/>
      <c r="Q2414" s="190"/>
      <c r="R2414" s="188"/>
      <c r="S2414" s="193"/>
      <c r="T2414" s="192"/>
      <c r="U2414" s="829"/>
      <c r="V2414" s="10"/>
      <c r="W2414" s="10"/>
      <c r="X2414" s="10"/>
      <c r="Y2414" s="10"/>
      <c r="Z2414" s="10"/>
      <c r="AA2414" s="11"/>
      <c r="AB2414" s="11"/>
    </row>
    <row r="2415" spans="2:28" x14ac:dyDescent="0.3">
      <c r="B2415" s="10"/>
      <c r="C2415" s="315"/>
      <c r="D2415" s="868"/>
      <c r="E2415" s="837" t="str">
        <f>IFERROR(IF(_xlfn.XLOOKUP(Imput[[#This Row],[RFC]],'Alta Proveedor'!D:D,'Alta Proveedor'!E:E)=0,"",_xlfn.XLOOKUP(Imput[[#This Row],[RFC]],'Alta Proveedor'!D:D,'Alta Proveedor'!E:E)),"")</f>
        <v/>
      </c>
      <c r="F2415" s="832"/>
      <c r="G2415" s="187"/>
      <c r="H2415" s="1"/>
      <c r="I2415" s="169">
        <f>Imput[[#This Row],[Cantidad]]*Imput[[#This Row],[Precio Unitario]]</f>
        <v>0</v>
      </c>
      <c r="J2415" s="11">
        <f>((Imput[[#This Row],[Sub total]])*(0.16))</f>
        <v>0</v>
      </c>
      <c r="K2415" s="11">
        <v>0</v>
      </c>
      <c r="L2415" s="169">
        <f>Imput[[#This Row],[Sub total]]+Imput[[#This Row],[IVA]]-Imput[[#This Row],[Retención / IEPS / Descuento]]</f>
        <v>0</v>
      </c>
      <c r="M2415" s="844">
        <v>0</v>
      </c>
      <c r="N2415" s="189"/>
      <c r="O2415" s="1"/>
      <c r="P2415" s="189"/>
      <c r="Q2415" s="190"/>
      <c r="R2415" s="188"/>
      <c r="S2415" s="193"/>
      <c r="T2415" s="192"/>
      <c r="U2415" s="829"/>
      <c r="V2415" s="10"/>
      <c r="W2415" s="10"/>
      <c r="X2415" s="10"/>
      <c r="Y2415" s="10"/>
      <c r="Z2415" s="10"/>
      <c r="AA2415" s="11"/>
      <c r="AB2415" s="11"/>
    </row>
    <row r="2416" spans="2:28" x14ac:dyDescent="0.3">
      <c r="B2416" s="10"/>
      <c r="C2416" s="315"/>
      <c r="D2416" s="868"/>
      <c r="E2416" s="837" t="str">
        <f>IFERROR(IF(_xlfn.XLOOKUP(Imput[[#This Row],[RFC]],'Alta Proveedor'!D:D,'Alta Proveedor'!E:E)=0,"",_xlfn.XLOOKUP(Imput[[#This Row],[RFC]],'Alta Proveedor'!D:D,'Alta Proveedor'!E:E)),"")</f>
        <v/>
      </c>
      <c r="F2416" s="832"/>
      <c r="G2416" s="187"/>
      <c r="H2416" s="1"/>
      <c r="I2416" s="169">
        <f>Imput[[#This Row],[Cantidad]]*Imput[[#This Row],[Precio Unitario]]</f>
        <v>0</v>
      </c>
      <c r="J2416" s="11">
        <f>((Imput[[#This Row],[Sub total]])*(0.16))</f>
        <v>0</v>
      </c>
      <c r="K2416" s="11">
        <v>0</v>
      </c>
      <c r="L2416" s="169">
        <f>Imput[[#This Row],[Sub total]]+Imput[[#This Row],[IVA]]-Imput[[#This Row],[Retención / IEPS / Descuento]]</f>
        <v>0</v>
      </c>
      <c r="M2416" s="844">
        <v>0</v>
      </c>
      <c r="N2416" s="189"/>
      <c r="O2416" s="1"/>
      <c r="P2416" s="189"/>
      <c r="Q2416" s="190"/>
      <c r="R2416" s="188"/>
      <c r="S2416" s="193"/>
      <c r="T2416" s="192"/>
      <c r="U2416" s="829"/>
      <c r="V2416" s="10"/>
      <c r="W2416" s="10"/>
      <c r="X2416" s="10"/>
      <c r="Y2416" s="10"/>
      <c r="Z2416" s="10"/>
      <c r="AA2416" s="11"/>
      <c r="AB2416" s="11"/>
    </row>
    <row r="2417" spans="2:28" x14ac:dyDescent="0.3">
      <c r="B2417" s="10"/>
      <c r="C2417" s="315"/>
      <c r="D2417" s="868"/>
      <c r="E2417" s="837" t="str">
        <f>IFERROR(IF(_xlfn.XLOOKUP(Imput[[#This Row],[RFC]],'Alta Proveedor'!D:D,'Alta Proveedor'!E:E)=0,"",_xlfn.XLOOKUP(Imput[[#This Row],[RFC]],'Alta Proveedor'!D:D,'Alta Proveedor'!E:E)),"")</f>
        <v/>
      </c>
      <c r="F2417" s="832"/>
      <c r="G2417" s="187"/>
      <c r="H2417" s="1"/>
      <c r="I2417" s="169">
        <f>Imput[[#This Row],[Cantidad]]*Imput[[#This Row],[Precio Unitario]]</f>
        <v>0</v>
      </c>
      <c r="J2417" s="11">
        <f>((Imput[[#This Row],[Sub total]])*(0.16))</f>
        <v>0</v>
      </c>
      <c r="K2417" s="11">
        <v>0</v>
      </c>
      <c r="L2417" s="169">
        <f>Imput[[#This Row],[Sub total]]+Imput[[#This Row],[IVA]]-Imput[[#This Row],[Retención / IEPS / Descuento]]</f>
        <v>0</v>
      </c>
      <c r="M2417" s="844">
        <v>0</v>
      </c>
      <c r="N2417" s="189"/>
      <c r="O2417" s="1"/>
      <c r="P2417" s="189"/>
      <c r="Q2417" s="190"/>
      <c r="R2417" s="188"/>
      <c r="S2417" s="193"/>
      <c r="T2417" s="192"/>
      <c r="U2417" s="829"/>
      <c r="V2417" s="10"/>
      <c r="W2417" s="10"/>
      <c r="X2417" s="10"/>
      <c r="Y2417" s="10"/>
      <c r="Z2417" s="10"/>
      <c r="AA2417" s="11"/>
      <c r="AB2417" s="11"/>
    </row>
    <row r="2418" spans="2:28" x14ac:dyDescent="0.3">
      <c r="B2418" s="10"/>
      <c r="C2418" s="315"/>
      <c r="D2418" s="868"/>
      <c r="E2418" s="837" t="str">
        <f>IFERROR(IF(_xlfn.XLOOKUP(Imput[[#This Row],[RFC]],'Alta Proveedor'!D:D,'Alta Proveedor'!E:E)=0,"",_xlfn.XLOOKUP(Imput[[#This Row],[RFC]],'Alta Proveedor'!D:D,'Alta Proveedor'!E:E)),"")</f>
        <v/>
      </c>
      <c r="F2418" s="832"/>
      <c r="G2418" s="187"/>
      <c r="H2418" s="1"/>
      <c r="I2418" s="169">
        <f>Imput[[#This Row],[Cantidad]]*Imput[[#This Row],[Precio Unitario]]</f>
        <v>0</v>
      </c>
      <c r="J2418" s="11">
        <f>((Imput[[#This Row],[Sub total]])*(0.16))</f>
        <v>0</v>
      </c>
      <c r="K2418" s="11">
        <v>0</v>
      </c>
      <c r="L2418" s="169">
        <f>Imput[[#This Row],[Sub total]]+Imput[[#This Row],[IVA]]-Imput[[#This Row],[Retención / IEPS / Descuento]]</f>
        <v>0</v>
      </c>
      <c r="M2418" s="844">
        <v>0</v>
      </c>
      <c r="N2418" s="189"/>
      <c r="O2418" s="1"/>
      <c r="P2418" s="189"/>
      <c r="Q2418" s="190"/>
      <c r="R2418" s="188"/>
      <c r="S2418" s="193"/>
      <c r="T2418" s="192"/>
      <c r="U2418" s="829"/>
      <c r="V2418" s="10"/>
      <c r="W2418" s="10"/>
      <c r="X2418" s="10"/>
      <c r="Y2418" s="10"/>
      <c r="Z2418" s="10"/>
      <c r="AA2418" s="11"/>
      <c r="AB2418" s="11"/>
    </row>
    <row r="2419" spans="2:28" x14ac:dyDescent="0.3">
      <c r="B2419" s="10"/>
      <c r="C2419" s="315"/>
      <c r="D2419" s="868"/>
      <c r="E2419" s="837" t="str">
        <f>IFERROR(IF(_xlfn.XLOOKUP(Imput[[#This Row],[RFC]],'Alta Proveedor'!D:D,'Alta Proveedor'!E:E)=0,"",_xlfn.XLOOKUP(Imput[[#This Row],[RFC]],'Alta Proveedor'!D:D,'Alta Proveedor'!E:E)),"")</f>
        <v/>
      </c>
      <c r="F2419" s="832"/>
      <c r="G2419" s="187"/>
      <c r="H2419" s="1"/>
      <c r="I2419" s="169">
        <f>Imput[[#This Row],[Cantidad]]*Imput[[#This Row],[Precio Unitario]]</f>
        <v>0</v>
      </c>
      <c r="J2419" s="11">
        <f>((Imput[[#This Row],[Sub total]])*(0.16))</f>
        <v>0</v>
      </c>
      <c r="K2419" s="11">
        <v>0</v>
      </c>
      <c r="L2419" s="169">
        <f>Imput[[#This Row],[Sub total]]+Imput[[#This Row],[IVA]]-Imput[[#This Row],[Retención / IEPS / Descuento]]</f>
        <v>0</v>
      </c>
      <c r="M2419" s="844">
        <v>0</v>
      </c>
      <c r="N2419" s="189"/>
      <c r="O2419" s="1"/>
      <c r="P2419" s="189"/>
      <c r="Q2419" s="190"/>
      <c r="R2419" s="188"/>
      <c r="S2419" s="193"/>
      <c r="T2419" s="192"/>
      <c r="U2419" s="829"/>
      <c r="V2419" s="10"/>
      <c r="W2419" s="10"/>
      <c r="X2419" s="10"/>
      <c r="Y2419" s="10"/>
      <c r="Z2419" s="10"/>
      <c r="AA2419" s="11"/>
      <c r="AB2419" s="11"/>
    </row>
    <row r="2420" spans="2:28" x14ac:dyDescent="0.3">
      <c r="B2420" s="10"/>
      <c r="C2420" s="315"/>
      <c r="D2420" s="868"/>
      <c r="E2420" s="837" t="str">
        <f>IFERROR(IF(_xlfn.XLOOKUP(Imput[[#This Row],[RFC]],'Alta Proveedor'!D:D,'Alta Proveedor'!E:E)=0,"",_xlfn.XLOOKUP(Imput[[#This Row],[RFC]],'Alta Proveedor'!D:D,'Alta Proveedor'!E:E)),"")</f>
        <v/>
      </c>
      <c r="F2420" s="832"/>
      <c r="G2420" s="187"/>
      <c r="H2420" s="1"/>
      <c r="I2420" s="169">
        <f>Imput[[#This Row],[Cantidad]]*Imput[[#This Row],[Precio Unitario]]</f>
        <v>0</v>
      </c>
      <c r="J2420" s="11">
        <f>((Imput[[#This Row],[Sub total]])*(0.16))</f>
        <v>0</v>
      </c>
      <c r="K2420" s="11">
        <v>0</v>
      </c>
      <c r="L2420" s="169">
        <f>Imput[[#This Row],[Sub total]]+Imput[[#This Row],[IVA]]-Imput[[#This Row],[Retención / IEPS / Descuento]]</f>
        <v>0</v>
      </c>
      <c r="M2420" s="844">
        <v>0</v>
      </c>
      <c r="N2420" s="189"/>
      <c r="O2420" s="1"/>
      <c r="P2420" s="189"/>
      <c r="Q2420" s="190"/>
      <c r="R2420" s="188"/>
      <c r="S2420" s="193"/>
      <c r="T2420" s="192"/>
      <c r="U2420" s="829"/>
      <c r="V2420" s="10"/>
      <c r="W2420" s="10"/>
      <c r="X2420" s="10"/>
      <c r="Y2420" s="10"/>
      <c r="Z2420" s="10"/>
      <c r="AA2420" s="11"/>
      <c r="AB2420" s="11"/>
    </row>
    <row r="2421" spans="2:28" x14ac:dyDescent="0.3">
      <c r="B2421" s="10"/>
      <c r="C2421" s="315"/>
      <c r="D2421" s="868"/>
      <c r="E2421" s="837" t="str">
        <f>IFERROR(IF(_xlfn.XLOOKUP(Imput[[#This Row],[RFC]],'Alta Proveedor'!D:D,'Alta Proveedor'!E:E)=0,"",_xlfn.XLOOKUP(Imput[[#This Row],[RFC]],'Alta Proveedor'!D:D,'Alta Proveedor'!E:E)),"")</f>
        <v/>
      </c>
      <c r="F2421" s="832"/>
      <c r="G2421" s="187"/>
      <c r="H2421" s="1"/>
      <c r="I2421" s="169">
        <f>Imput[[#This Row],[Cantidad]]*Imput[[#This Row],[Precio Unitario]]</f>
        <v>0</v>
      </c>
      <c r="J2421" s="11">
        <f>((Imput[[#This Row],[Sub total]])*(0.16))</f>
        <v>0</v>
      </c>
      <c r="K2421" s="11">
        <v>0</v>
      </c>
      <c r="L2421" s="169">
        <f>Imput[[#This Row],[Sub total]]+Imput[[#This Row],[IVA]]-Imput[[#This Row],[Retención / IEPS / Descuento]]</f>
        <v>0</v>
      </c>
      <c r="M2421" s="844">
        <v>0</v>
      </c>
      <c r="N2421" s="189"/>
      <c r="O2421" s="1"/>
      <c r="P2421" s="189"/>
      <c r="Q2421" s="190"/>
      <c r="R2421" s="188"/>
      <c r="S2421" s="193"/>
      <c r="T2421" s="192"/>
      <c r="U2421" s="829"/>
      <c r="V2421" s="10"/>
      <c r="W2421" s="10"/>
      <c r="X2421" s="10"/>
      <c r="Y2421" s="10"/>
      <c r="Z2421" s="10"/>
      <c r="AA2421" s="11"/>
      <c r="AB2421" s="11"/>
    </row>
    <row r="2422" spans="2:28" x14ac:dyDescent="0.3">
      <c r="B2422" s="10"/>
      <c r="C2422" s="315"/>
      <c r="D2422" s="868"/>
      <c r="E2422" s="837" t="str">
        <f>IFERROR(IF(_xlfn.XLOOKUP(Imput[[#This Row],[RFC]],'Alta Proveedor'!D:D,'Alta Proveedor'!E:E)=0,"",_xlfn.XLOOKUP(Imput[[#This Row],[RFC]],'Alta Proveedor'!D:D,'Alta Proveedor'!E:E)),"")</f>
        <v/>
      </c>
      <c r="F2422" s="832"/>
      <c r="G2422" s="187"/>
      <c r="H2422" s="1"/>
      <c r="I2422" s="169">
        <f>Imput[[#This Row],[Cantidad]]*Imput[[#This Row],[Precio Unitario]]</f>
        <v>0</v>
      </c>
      <c r="J2422" s="11">
        <f>((Imput[[#This Row],[Sub total]])*(0.16))</f>
        <v>0</v>
      </c>
      <c r="K2422" s="11">
        <v>0</v>
      </c>
      <c r="L2422" s="169">
        <f>Imput[[#This Row],[Sub total]]+Imput[[#This Row],[IVA]]-Imput[[#This Row],[Retención / IEPS / Descuento]]</f>
        <v>0</v>
      </c>
      <c r="M2422" s="844">
        <v>0</v>
      </c>
      <c r="N2422" s="189"/>
      <c r="O2422" s="1"/>
      <c r="P2422" s="189"/>
      <c r="Q2422" s="190"/>
      <c r="R2422" s="188"/>
      <c r="S2422" s="193"/>
      <c r="T2422" s="192"/>
      <c r="U2422" s="829"/>
      <c r="V2422" s="10"/>
      <c r="W2422" s="10"/>
      <c r="X2422" s="10"/>
      <c r="Y2422" s="10"/>
      <c r="Z2422" s="10"/>
      <c r="AA2422" s="11"/>
      <c r="AB2422" s="11"/>
    </row>
    <row r="2423" spans="2:28" x14ac:dyDescent="0.3">
      <c r="B2423" s="10"/>
      <c r="C2423" s="315"/>
      <c r="D2423" s="868"/>
      <c r="E2423" s="837" t="str">
        <f>IFERROR(IF(_xlfn.XLOOKUP(Imput[[#This Row],[RFC]],'Alta Proveedor'!D:D,'Alta Proveedor'!E:E)=0,"",_xlfn.XLOOKUP(Imput[[#This Row],[RFC]],'Alta Proveedor'!D:D,'Alta Proveedor'!E:E)),"")</f>
        <v/>
      </c>
      <c r="F2423" s="832"/>
      <c r="G2423" s="187"/>
      <c r="H2423" s="1"/>
      <c r="I2423" s="169">
        <f>Imput[[#This Row],[Cantidad]]*Imput[[#This Row],[Precio Unitario]]</f>
        <v>0</v>
      </c>
      <c r="J2423" s="11">
        <f>((Imput[[#This Row],[Sub total]])*(0.16))</f>
        <v>0</v>
      </c>
      <c r="K2423" s="11">
        <v>0</v>
      </c>
      <c r="L2423" s="169">
        <f>Imput[[#This Row],[Sub total]]+Imput[[#This Row],[IVA]]-Imput[[#This Row],[Retención / IEPS / Descuento]]</f>
        <v>0</v>
      </c>
      <c r="M2423" s="844">
        <v>0</v>
      </c>
      <c r="N2423" s="189"/>
      <c r="O2423" s="1"/>
      <c r="P2423" s="189"/>
      <c r="Q2423" s="190"/>
      <c r="R2423" s="188"/>
      <c r="S2423" s="193"/>
      <c r="T2423" s="192"/>
      <c r="U2423" s="829"/>
      <c r="V2423" s="10"/>
      <c r="W2423" s="10"/>
      <c r="X2423" s="10"/>
      <c r="Y2423" s="10"/>
      <c r="Z2423" s="10"/>
      <c r="AA2423" s="11"/>
      <c r="AB2423" s="11"/>
    </row>
    <row r="2424" spans="2:28" x14ac:dyDescent="0.3">
      <c r="B2424" s="10"/>
      <c r="C2424" s="315"/>
      <c r="D2424" s="868"/>
      <c r="E2424" s="837" t="str">
        <f>IFERROR(IF(_xlfn.XLOOKUP(Imput[[#This Row],[RFC]],'Alta Proveedor'!D:D,'Alta Proveedor'!E:E)=0,"",_xlfn.XLOOKUP(Imput[[#This Row],[RFC]],'Alta Proveedor'!D:D,'Alta Proveedor'!E:E)),"")</f>
        <v/>
      </c>
      <c r="F2424" s="832"/>
      <c r="G2424" s="187"/>
      <c r="H2424" s="1"/>
      <c r="I2424" s="169">
        <f>Imput[[#This Row],[Cantidad]]*Imput[[#This Row],[Precio Unitario]]</f>
        <v>0</v>
      </c>
      <c r="J2424" s="11">
        <f>((Imput[[#This Row],[Sub total]])*(0.16))</f>
        <v>0</v>
      </c>
      <c r="K2424" s="11">
        <v>0</v>
      </c>
      <c r="L2424" s="169">
        <f>Imput[[#This Row],[Sub total]]+Imput[[#This Row],[IVA]]-Imput[[#This Row],[Retención / IEPS / Descuento]]</f>
        <v>0</v>
      </c>
      <c r="M2424" s="844">
        <v>0</v>
      </c>
      <c r="N2424" s="189"/>
      <c r="O2424" s="1"/>
      <c r="P2424" s="189"/>
      <c r="Q2424" s="190"/>
      <c r="R2424" s="188"/>
      <c r="S2424" s="193"/>
      <c r="T2424" s="192"/>
      <c r="U2424" s="829"/>
      <c r="V2424" s="10"/>
      <c r="W2424" s="10"/>
      <c r="X2424" s="10"/>
      <c r="Y2424" s="10"/>
      <c r="Z2424" s="10"/>
      <c r="AA2424" s="11"/>
      <c r="AB2424" s="11"/>
    </row>
    <row r="2425" spans="2:28" x14ac:dyDescent="0.3">
      <c r="B2425" s="10"/>
      <c r="C2425" s="315"/>
      <c r="D2425" s="868"/>
      <c r="E2425" s="837" t="str">
        <f>IFERROR(IF(_xlfn.XLOOKUP(Imput[[#This Row],[RFC]],'Alta Proveedor'!D:D,'Alta Proveedor'!E:E)=0,"",_xlfn.XLOOKUP(Imput[[#This Row],[RFC]],'Alta Proveedor'!D:D,'Alta Proveedor'!E:E)),"")</f>
        <v/>
      </c>
      <c r="F2425" s="832"/>
      <c r="G2425" s="187"/>
      <c r="H2425" s="1"/>
      <c r="I2425" s="169">
        <f>Imput[[#This Row],[Cantidad]]*Imput[[#This Row],[Precio Unitario]]</f>
        <v>0</v>
      </c>
      <c r="J2425" s="11">
        <f>((Imput[[#This Row],[Sub total]])*(0.16))</f>
        <v>0</v>
      </c>
      <c r="K2425" s="11">
        <v>0</v>
      </c>
      <c r="L2425" s="169">
        <f>Imput[[#This Row],[Sub total]]+Imput[[#This Row],[IVA]]-Imput[[#This Row],[Retención / IEPS / Descuento]]</f>
        <v>0</v>
      </c>
      <c r="M2425" s="844">
        <v>0</v>
      </c>
      <c r="N2425" s="189"/>
      <c r="O2425" s="1"/>
      <c r="P2425" s="189"/>
      <c r="Q2425" s="190"/>
      <c r="R2425" s="188"/>
      <c r="S2425" s="193"/>
      <c r="T2425" s="192"/>
      <c r="U2425" s="829"/>
      <c r="V2425" s="10"/>
      <c r="W2425" s="10"/>
      <c r="X2425" s="10"/>
      <c r="Y2425" s="10"/>
      <c r="Z2425" s="10"/>
      <c r="AA2425" s="11"/>
      <c r="AB2425" s="11"/>
    </row>
    <row r="2426" spans="2:28" x14ac:dyDescent="0.3">
      <c r="B2426" s="10"/>
      <c r="C2426" s="315"/>
      <c r="D2426" s="868"/>
      <c r="E2426" s="837" t="str">
        <f>IFERROR(IF(_xlfn.XLOOKUP(Imput[[#This Row],[RFC]],'Alta Proveedor'!D:D,'Alta Proveedor'!E:E)=0,"",_xlfn.XLOOKUP(Imput[[#This Row],[RFC]],'Alta Proveedor'!D:D,'Alta Proveedor'!E:E)),"")</f>
        <v/>
      </c>
      <c r="F2426" s="832"/>
      <c r="G2426" s="187"/>
      <c r="H2426" s="1"/>
      <c r="I2426" s="169">
        <f>Imput[[#This Row],[Cantidad]]*Imput[[#This Row],[Precio Unitario]]</f>
        <v>0</v>
      </c>
      <c r="J2426" s="11">
        <f>((Imput[[#This Row],[Sub total]])*(0.16))</f>
        <v>0</v>
      </c>
      <c r="K2426" s="11">
        <v>0</v>
      </c>
      <c r="L2426" s="169">
        <f>Imput[[#This Row],[Sub total]]+Imput[[#This Row],[IVA]]-Imput[[#This Row],[Retención / IEPS / Descuento]]</f>
        <v>0</v>
      </c>
      <c r="M2426" s="844">
        <v>0</v>
      </c>
      <c r="N2426" s="189"/>
      <c r="O2426" s="1"/>
      <c r="P2426" s="189"/>
      <c r="Q2426" s="190"/>
      <c r="R2426" s="188"/>
      <c r="S2426" s="193"/>
      <c r="T2426" s="192"/>
      <c r="U2426" s="829"/>
      <c r="V2426" s="10"/>
      <c r="W2426" s="10"/>
      <c r="X2426" s="10"/>
      <c r="Y2426" s="10"/>
      <c r="Z2426" s="10"/>
      <c r="AA2426" s="11"/>
      <c r="AB2426" s="11"/>
    </row>
    <row r="2427" spans="2:28" x14ac:dyDescent="0.3">
      <c r="B2427" s="10"/>
      <c r="C2427" s="315"/>
      <c r="D2427" s="868"/>
      <c r="E2427" s="837" t="str">
        <f>IFERROR(IF(_xlfn.XLOOKUP(Imput[[#This Row],[RFC]],'Alta Proveedor'!D:D,'Alta Proveedor'!E:E)=0,"",_xlfn.XLOOKUP(Imput[[#This Row],[RFC]],'Alta Proveedor'!D:D,'Alta Proveedor'!E:E)),"")</f>
        <v/>
      </c>
      <c r="F2427" s="832"/>
      <c r="G2427" s="187"/>
      <c r="H2427" s="1"/>
      <c r="I2427" s="169">
        <f>Imput[[#This Row],[Cantidad]]*Imput[[#This Row],[Precio Unitario]]</f>
        <v>0</v>
      </c>
      <c r="J2427" s="11">
        <f>((Imput[[#This Row],[Sub total]])*(0.16))</f>
        <v>0</v>
      </c>
      <c r="K2427" s="11">
        <v>0</v>
      </c>
      <c r="L2427" s="169">
        <f>Imput[[#This Row],[Sub total]]+Imput[[#This Row],[IVA]]-Imput[[#This Row],[Retención / IEPS / Descuento]]</f>
        <v>0</v>
      </c>
      <c r="M2427" s="844">
        <v>0</v>
      </c>
      <c r="N2427" s="189"/>
      <c r="O2427" s="1"/>
      <c r="P2427" s="189"/>
      <c r="Q2427" s="190"/>
      <c r="R2427" s="188"/>
      <c r="S2427" s="193"/>
      <c r="T2427" s="192"/>
      <c r="U2427" s="829"/>
      <c r="V2427" s="10"/>
      <c r="W2427" s="10"/>
      <c r="X2427" s="10"/>
      <c r="Y2427" s="10"/>
      <c r="Z2427" s="10"/>
      <c r="AA2427" s="11"/>
      <c r="AB2427" s="11"/>
    </row>
    <row r="2428" spans="2:28" x14ac:dyDescent="0.3">
      <c r="B2428" s="10"/>
      <c r="C2428" s="315"/>
      <c r="D2428" s="868"/>
      <c r="E2428" s="837" t="str">
        <f>IFERROR(IF(_xlfn.XLOOKUP(Imput[[#This Row],[RFC]],'Alta Proveedor'!D:D,'Alta Proveedor'!E:E)=0,"",_xlfn.XLOOKUP(Imput[[#This Row],[RFC]],'Alta Proveedor'!D:D,'Alta Proveedor'!E:E)),"")</f>
        <v/>
      </c>
      <c r="F2428" s="832"/>
      <c r="G2428" s="187"/>
      <c r="H2428" s="1"/>
      <c r="I2428" s="169">
        <f>Imput[[#This Row],[Cantidad]]*Imput[[#This Row],[Precio Unitario]]</f>
        <v>0</v>
      </c>
      <c r="J2428" s="11">
        <f>((Imput[[#This Row],[Sub total]])*(0.16))</f>
        <v>0</v>
      </c>
      <c r="K2428" s="11">
        <v>0</v>
      </c>
      <c r="L2428" s="169">
        <f>Imput[[#This Row],[Sub total]]+Imput[[#This Row],[IVA]]-Imput[[#This Row],[Retención / IEPS / Descuento]]</f>
        <v>0</v>
      </c>
      <c r="M2428" s="844">
        <v>0</v>
      </c>
      <c r="N2428" s="189"/>
      <c r="O2428" s="1"/>
      <c r="P2428" s="189"/>
      <c r="Q2428" s="190"/>
      <c r="R2428" s="188"/>
      <c r="S2428" s="193"/>
      <c r="T2428" s="192"/>
      <c r="U2428" s="829"/>
      <c r="V2428" s="10"/>
      <c r="W2428" s="10"/>
      <c r="X2428" s="10"/>
      <c r="Y2428" s="10"/>
      <c r="Z2428" s="10"/>
      <c r="AA2428" s="11"/>
      <c r="AB2428" s="11"/>
    </row>
    <row r="2429" spans="2:28" x14ac:dyDescent="0.3">
      <c r="B2429" s="10"/>
      <c r="C2429" s="315"/>
      <c r="D2429" s="868"/>
      <c r="E2429" s="837" t="str">
        <f>IFERROR(IF(_xlfn.XLOOKUP(Imput[[#This Row],[RFC]],'Alta Proveedor'!D:D,'Alta Proveedor'!E:E)=0,"",_xlfn.XLOOKUP(Imput[[#This Row],[RFC]],'Alta Proveedor'!D:D,'Alta Proveedor'!E:E)),"")</f>
        <v/>
      </c>
      <c r="F2429" s="832"/>
      <c r="G2429" s="187"/>
      <c r="H2429" s="1"/>
      <c r="I2429" s="169">
        <f>Imput[[#This Row],[Cantidad]]*Imput[[#This Row],[Precio Unitario]]</f>
        <v>0</v>
      </c>
      <c r="J2429" s="11">
        <f>((Imput[[#This Row],[Sub total]])*(0.16))</f>
        <v>0</v>
      </c>
      <c r="K2429" s="11">
        <v>0</v>
      </c>
      <c r="L2429" s="169">
        <f>Imput[[#This Row],[Sub total]]+Imput[[#This Row],[IVA]]-Imput[[#This Row],[Retención / IEPS / Descuento]]</f>
        <v>0</v>
      </c>
      <c r="M2429" s="844">
        <v>0</v>
      </c>
      <c r="N2429" s="189"/>
      <c r="O2429" s="1"/>
      <c r="P2429" s="189"/>
      <c r="Q2429" s="190"/>
      <c r="R2429" s="188"/>
      <c r="S2429" s="193"/>
      <c r="T2429" s="192"/>
      <c r="U2429" s="829"/>
      <c r="V2429" s="10"/>
      <c r="W2429" s="10"/>
      <c r="X2429" s="10"/>
      <c r="Y2429" s="10"/>
      <c r="Z2429" s="10"/>
      <c r="AA2429" s="11"/>
      <c r="AB2429" s="11"/>
    </row>
    <row r="2430" spans="2:28" x14ac:dyDescent="0.3">
      <c r="B2430" s="10"/>
      <c r="C2430" s="315"/>
      <c r="D2430" s="868"/>
      <c r="E2430" s="837" t="str">
        <f>IFERROR(IF(_xlfn.XLOOKUP(Imput[[#This Row],[RFC]],'Alta Proveedor'!D:D,'Alta Proveedor'!E:E)=0,"",_xlfn.XLOOKUP(Imput[[#This Row],[RFC]],'Alta Proveedor'!D:D,'Alta Proveedor'!E:E)),"")</f>
        <v/>
      </c>
      <c r="F2430" s="832"/>
      <c r="G2430" s="187"/>
      <c r="H2430" s="1"/>
      <c r="I2430" s="169">
        <f>Imput[[#This Row],[Cantidad]]*Imput[[#This Row],[Precio Unitario]]</f>
        <v>0</v>
      </c>
      <c r="J2430" s="11">
        <f>((Imput[[#This Row],[Sub total]])*(0.16))</f>
        <v>0</v>
      </c>
      <c r="K2430" s="11">
        <v>0</v>
      </c>
      <c r="L2430" s="169">
        <f>Imput[[#This Row],[Sub total]]+Imput[[#This Row],[IVA]]-Imput[[#This Row],[Retención / IEPS / Descuento]]</f>
        <v>0</v>
      </c>
      <c r="M2430" s="844">
        <v>0</v>
      </c>
      <c r="N2430" s="189"/>
      <c r="O2430" s="1"/>
      <c r="P2430" s="189"/>
      <c r="Q2430" s="190"/>
      <c r="R2430" s="188"/>
      <c r="S2430" s="193"/>
      <c r="T2430" s="192"/>
      <c r="U2430" s="829"/>
      <c r="V2430" s="10"/>
      <c r="W2430" s="10"/>
      <c r="X2430" s="10"/>
      <c r="Y2430" s="10"/>
      <c r="Z2430" s="10"/>
      <c r="AA2430" s="11"/>
      <c r="AB2430" s="11"/>
    </row>
    <row r="2431" spans="2:28" x14ac:dyDescent="0.3">
      <c r="B2431" s="10"/>
      <c r="C2431" s="315"/>
      <c r="D2431" s="868"/>
      <c r="E2431" s="837" t="str">
        <f>IFERROR(IF(_xlfn.XLOOKUP(Imput[[#This Row],[RFC]],'Alta Proveedor'!D:D,'Alta Proveedor'!E:E)=0,"",_xlfn.XLOOKUP(Imput[[#This Row],[RFC]],'Alta Proveedor'!D:D,'Alta Proveedor'!E:E)),"")</f>
        <v/>
      </c>
      <c r="F2431" s="832"/>
      <c r="G2431" s="187"/>
      <c r="H2431" s="1"/>
      <c r="I2431" s="169">
        <f>Imput[[#This Row],[Cantidad]]*Imput[[#This Row],[Precio Unitario]]</f>
        <v>0</v>
      </c>
      <c r="J2431" s="11">
        <f>((Imput[[#This Row],[Sub total]])*(0.16))</f>
        <v>0</v>
      </c>
      <c r="K2431" s="11">
        <v>0</v>
      </c>
      <c r="L2431" s="169">
        <f>Imput[[#This Row],[Sub total]]+Imput[[#This Row],[IVA]]-Imput[[#This Row],[Retención / IEPS / Descuento]]</f>
        <v>0</v>
      </c>
      <c r="M2431" s="844">
        <v>0</v>
      </c>
      <c r="N2431" s="189"/>
      <c r="O2431" s="1"/>
      <c r="P2431" s="189"/>
      <c r="Q2431" s="190"/>
      <c r="R2431" s="188"/>
      <c r="S2431" s="193"/>
      <c r="T2431" s="192"/>
      <c r="U2431" s="829"/>
      <c r="V2431" s="10"/>
      <c r="W2431" s="10"/>
      <c r="X2431" s="10"/>
      <c r="Y2431" s="10"/>
      <c r="Z2431" s="10"/>
      <c r="AA2431" s="11"/>
      <c r="AB2431" s="11"/>
    </row>
    <row r="2432" spans="2:28" x14ac:dyDescent="0.3">
      <c r="B2432" s="10"/>
      <c r="C2432" s="315"/>
      <c r="D2432" s="868"/>
      <c r="E2432" s="837" t="str">
        <f>IFERROR(IF(_xlfn.XLOOKUP(Imput[[#This Row],[RFC]],'Alta Proveedor'!D:D,'Alta Proveedor'!E:E)=0,"",_xlfn.XLOOKUP(Imput[[#This Row],[RFC]],'Alta Proveedor'!D:D,'Alta Proveedor'!E:E)),"")</f>
        <v/>
      </c>
      <c r="F2432" s="832"/>
      <c r="G2432" s="187"/>
      <c r="H2432" s="1"/>
      <c r="I2432" s="169">
        <f>Imput[[#This Row],[Cantidad]]*Imput[[#This Row],[Precio Unitario]]</f>
        <v>0</v>
      </c>
      <c r="J2432" s="11">
        <f>((Imput[[#This Row],[Sub total]])*(0.16))</f>
        <v>0</v>
      </c>
      <c r="K2432" s="11">
        <v>0</v>
      </c>
      <c r="L2432" s="169">
        <f>Imput[[#This Row],[Sub total]]+Imput[[#This Row],[IVA]]-Imput[[#This Row],[Retención / IEPS / Descuento]]</f>
        <v>0</v>
      </c>
      <c r="M2432" s="844">
        <v>0</v>
      </c>
      <c r="N2432" s="189"/>
      <c r="O2432" s="1"/>
      <c r="P2432" s="189"/>
      <c r="Q2432" s="190"/>
      <c r="R2432" s="188"/>
      <c r="S2432" s="193"/>
      <c r="T2432" s="192"/>
      <c r="U2432" s="829"/>
      <c r="V2432" s="10"/>
      <c r="W2432" s="10"/>
      <c r="X2432" s="10"/>
      <c r="Y2432" s="10"/>
      <c r="Z2432" s="10"/>
      <c r="AA2432" s="11"/>
      <c r="AB2432" s="11"/>
    </row>
    <row r="2433" spans="2:28" x14ac:dyDescent="0.3">
      <c r="B2433" s="10"/>
      <c r="C2433" s="315"/>
      <c r="D2433" s="868"/>
      <c r="E2433" s="837" t="str">
        <f>IFERROR(IF(_xlfn.XLOOKUP(Imput[[#This Row],[RFC]],'Alta Proveedor'!D:D,'Alta Proveedor'!E:E)=0,"",_xlfn.XLOOKUP(Imput[[#This Row],[RFC]],'Alta Proveedor'!D:D,'Alta Proveedor'!E:E)),"")</f>
        <v/>
      </c>
      <c r="F2433" s="832"/>
      <c r="G2433" s="187"/>
      <c r="H2433" s="1"/>
      <c r="I2433" s="169">
        <f>Imput[[#This Row],[Cantidad]]*Imput[[#This Row],[Precio Unitario]]</f>
        <v>0</v>
      </c>
      <c r="J2433" s="11">
        <f>((Imput[[#This Row],[Sub total]])*(0.16))</f>
        <v>0</v>
      </c>
      <c r="K2433" s="11">
        <v>0</v>
      </c>
      <c r="L2433" s="169">
        <f>Imput[[#This Row],[Sub total]]+Imput[[#This Row],[IVA]]-Imput[[#This Row],[Retención / IEPS / Descuento]]</f>
        <v>0</v>
      </c>
      <c r="M2433" s="844">
        <v>0</v>
      </c>
      <c r="N2433" s="189"/>
      <c r="O2433" s="1"/>
      <c r="P2433" s="189"/>
      <c r="Q2433" s="190"/>
      <c r="R2433" s="188"/>
      <c r="S2433" s="193"/>
      <c r="T2433" s="192"/>
      <c r="U2433" s="829"/>
      <c r="V2433" s="10"/>
      <c r="W2433" s="10"/>
      <c r="X2433" s="10"/>
      <c r="Y2433" s="10"/>
      <c r="Z2433" s="10"/>
      <c r="AA2433" s="11"/>
      <c r="AB2433" s="11"/>
    </row>
    <row r="2434" spans="2:28" x14ac:dyDescent="0.3">
      <c r="B2434" s="10"/>
      <c r="C2434" s="315"/>
      <c r="D2434" s="868"/>
      <c r="E2434" s="837" t="str">
        <f>IFERROR(IF(_xlfn.XLOOKUP(Imput[[#This Row],[RFC]],'Alta Proveedor'!D:D,'Alta Proveedor'!E:E)=0,"",_xlfn.XLOOKUP(Imput[[#This Row],[RFC]],'Alta Proveedor'!D:D,'Alta Proveedor'!E:E)),"")</f>
        <v/>
      </c>
      <c r="F2434" s="832"/>
      <c r="G2434" s="187"/>
      <c r="H2434" s="1"/>
      <c r="I2434" s="169">
        <f>Imput[[#This Row],[Cantidad]]*Imput[[#This Row],[Precio Unitario]]</f>
        <v>0</v>
      </c>
      <c r="J2434" s="11">
        <f>((Imput[[#This Row],[Sub total]])*(0.16))</f>
        <v>0</v>
      </c>
      <c r="K2434" s="11">
        <v>0</v>
      </c>
      <c r="L2434" s="169">
        <f>Imput[[#This Row],[Sub total]]+Imput[[#This Row],[IVA]]-Imput[[#This Row],[Retención / IEPS / Descuento]]</f>
        <v>0</v>
      </c>
      <c r="M2434" s="844">
        <v>0</v>
      </c>
      <c r="N2434" s="189"/>
      <c r="O2434" s="1"/>
      <c r="P2434" s="189"/>
      <c r="Q2434" s="190"/>
      <c r="R2434" s="188"/>
      <c r="S2434" s="193"/>
      <c r="T2434" s="192"/>
      <c r="U2434" s="829"/>
      <c r="V2434" s="10"/>
      <c r="W2434" s="10"/>
      <c r="X2434" s="10"/>
      <c r="Y2434" s="10"/>
      <c r="Z2434" s="10"/>
      <c r="AA2434" s="11"/>
      <c r="AB2434" s="11"/>
    </row>
    <row r="2435" spans="2:28" x14ac:dyDescent="0.3">
      <c r="B2435" s="10"/>
      <c r="C2435" s="315"/>
      <c r="D2435" s="868"/>
      <c r="E2435" s="837" t="str">
        <f>IFERROR(IF(_xlfn.XLOOKUP(Imput[[#This Row],[RFC]],'Alta Proveedor'!D:D,'Alta Proveedor'!E:E)=0,"",_xlfn.XLOOKUP(Imput[[#This Row],[RFC]],'Alta Proveedor'!D:D,'Alta Proveedor'!E:E)),"")</f>
        <v/>
      </c>
      <c r="F2435" s="832"/>
      <c r="G2435" s="187"/>
      <c r="H2435" s="1"/>
      <c r="I2435" s="169">
        <f>Imput[[#This Row],[Cantidad]]*Imput[[#This Row],[Precio Unitario]]</f>
        <v>0</v>
      </c>
      <c r="J2435" s="11">
        <f>((Imput[[#This Row],[Sub total]])*(0.16))</f>
        <v>0</v>
      </c>
      <c r="K2435" s="11">
        <v>0</v>
      </c>
      <c r="L2435" s="169">
        <f>Imput[[#This Row],[Sub total]]+Imput[[#This Row],[IVA]]-Imput[[#This Row],[Retención / IEPS / Descuento]]</f>
        <v>0</v>
      </c>
      <c r="M2435" s="844">
        <v>0</v>
      </c>
      <c r="N2435" s="189"/>
      <c r="O2435" s="1"/>
      <c r="P2435" s="189"/>
      <c r="Q2435" s="190"/>
      <c r="R2435" s="188"/>
      <c r="S2435" s="193"/>
      <c r="T2435" s="192"/>
      <c r="U2435" s="829"/>
      <c r="V2435" s="10"/>
      <c r="W2435" s="10"/>
      <c r="X2435" s="10"/>
      <c r="Y2435" s="10"/>
      <c r="Z2435" s="10"/>
      <c r="AA2435" s="11"/>
      <c r="AB2435" s="11"/>
    </row>
    <row r="2436" spans="2:28" x14ac:dyDescent="0.3">
      <c r="B2436" s="10"/>
      <c r="C2436" s="315"/>
      <c r="D2436" s="868"/>
      <c r="E2436" s="837" t="str">
        <f>IFERROR(IF(_xlfn.XLOOKUP(Imput[[#This Row],[RFC]],'Alta Proveedor'!D:D,'Alta Proveedor'!E:E)=0,"",_xlfn.XLOOKUP(Imput[[#This Row],[RFC]],'Alta Proveedor'!D:D,'Alta Proveedor'!E:E)),"")</f>
        <v/>
      </c>
      <c r="F2436" s="832"/>
      <c r="G2436" s="187"/>
      <c r="H2436" s="1"/>
      <c r="I2436" s="169">
        <f>Imput[[#This Row],[Cantidad]]*Imput[[#This Row],[Precio Unitario]]</f>
        <v>0</v>
      </c>
      <c r="J2436" s="11">
        <f>((Imput[[#This Row],[Sub total]])*(0.16))</f>
        <v>0</v>
      </c>
      <c r="K2436" s="11">
        <v>0</v>
      </c>
      <c r="L2436" s="169">
        <f>Imput[[#This Row],[Sub total]]+Imput[[#This Row],[IVA]]-Imput[[#This Row],[Retención / IEPS / Descuento]]</f>
        <v>0</v>
      </c>
      <c r="M2436" s="844">
        <v>0</v>
      </c>
      <c r="N2436" s="189"/>
      <c r="O2436" s="1"/>
      <c r="P2436" s="189"/>
      <c r="Q2436" s="190"/>
      <c r="R2436" s="188"/>
      <c r="S2436" s="193"/>
      <c r="T2436" s="192"/>
      <c r="U2436" s="829"/>
      <c r="V2436" s="10"/>
      <c r="W2436" s="10"/>
      <c r="X2436" s="10"/>
      <c r="Y2436" s="10"/>
      <c r="Z2436" s="10"/>
      <c r="AA2436" s="11"/>
      <c r="AB2436" s="11"/>
    </row>
    <row r="2437" spans="2:28" x14ac:dyDescent="0.3">
      <c r="B2437" s="10"/>
      <c r="C2437" s="315"/>
      <c r="D2437" s="868"/>
      <c r="E2437" s="837" t="str">
        <f>IFERROR(IF(_xlfn.XLOOKUP(Imput[[#This Row],[RFC]],'Alta Proveedor'!D:D,'Alta Proveedor'!E:E)=0,"",_xlfn.XLOOKUP(Imput[[#This Row],[RFC]],'Alta Proveedor'!D:D,'Alta Proveedor'!E:E)),"")</f>
        <v/>
      </c>
      <c r="F2437" s="832"/>
      <c r="G2437" s="187"/>
      <c r="H2437" s="1"/>
      <c r="I2437" s="169">
        <f>Imput[[#This Row],[Cantidad]]*Imput[[#This Row],[Precio Unitario]]</f>
        <v>0</v>
      </c>
      <c r="J2437" s="11">
        <f>((Imput[[#This Row],[Sub total]])*(0.16))</f>
        <v>0</v>
      </c>
      <c r="K2437" s="11">
        <v>0</v>
      </c>
      <c r="L2437" s="169">
        <f>Imput[[#This Row],[Sub total]]+Imput[[#This Row],[IVA]]-Imput[[#This Row],[Retención / IEPS / Descuento]]</f>
        <v>0</v>
      </c>
      <c r="M2437" s="844">
        <v>0</v>
      </c>
      <c r="N2437" s="189"/>
      <c r="O2437" s="1"/>
      <c r="P2437" s="189"/>
      <c r="Q2437" s="190"/>
      <c r="R2437" s="188"/>
      <c r="S2437" s="193"/>
      <c r="T2437" s="192"/>
      <c r="U2437" s="829"/>
      <c r="V2437" s="10"/>
      <c r="W2437" s="10"/>
      <c r="X2437" s="10"/>
      <c r="Y2437" s="10"/>
      <c r="Z2437" s="10"/>
      <c r="AA2437" s="11"/>
      <c r="AB2437" s="11"/>
    </row>
    <row r="2438" spans="2:28" x14ac:dyDescent="0.3">
      <c r="B2438" s="10"/>
      <c r="C2438" s="315"/>
      <c r="D2438" s="868"/>
      <c r="E2438" s="837" t="str">
        <f>IFERROR(IF(_xlfn.XLOOKUP(Imput[[#This Row],[RFC]],'Alta Proveedor'!D:D,'Alta Proveedor'!E:E)=0,"",_xlfn.XLOOKUP(Imput[[#This Row],[RFC]],'Alta Proveedor'!D:D,'Alta Proveedor'!E:E)),"")</f>
        <v/>
      </c>
      <c r="F2438" s="832"/>
      <c r="G2438" s="187"/>
      <c r="H2438" s="1"/>
      <c r="I2438" s="169">
        <f>Imput[[#This Row],[Cantidad]]*Imput[[#This Row],[Precio Unitario]]</f>
        <v>0</v>
      </c>
      <c r="J2438" s="11">
        <f>((Imput[[#This Row],[Sub total]])*(0.16))</f>
        <v>0</v>
      </c>
      <c r="K2438" s="11">
        <v>0</v>
      </c>
      <c r="L2438" s="169">
        <f>Imput[[#This Row],[Sub total]]+Imput[[#This Row],[IVA]]-Imput[[#This Row],[Retención / IEPS / Descuento]]</f>
        <v>0</v>
      </c>
      <c r="M2438" s="844">
        <v>0</v>
      </c>
      <c r="N2438" s="189"/>
      <c r="O2438" s="1"/>
      <c r="P2438" s="189"/>
      <c r="Q2438" s="190"/>
      <c r="R2438" s="188"/>
      <c r="S2438" s="193"/>
      <c r="T2438" s="192"/>
      <c r="U2438" s="829"/>
      <c r="V2438" s="10"/>
      <c r="W2438" s="10"/>
      <c r="X2438" s="10"/>
      <c r="Y2438" s="10"/>
      <c r="Z2438" s="10"/>
      <c r="AA2438" s="11"/>
      <c r="AB2438" s="11"/>
    </row>
    <row r="2439" spans="2:28" x14ac:dyDescent="0.3">
      <c r="B2439" s="10"/>
      <c r="C2439" s="315"/>
      <c r="D2439" s="868"/>
      <c r="E2439" s="837" t="str">
        <f>IFERROR(IF(_xlfn.XLOOKUP(Imput[[#This Row],[RFC]],'Alta Proveedor'!D:D,'Alta Proveedor'!E:E)=0,"",_xlfn.XLOOKUP(Imput[[#This Row],[RFC]],'Alta Proveedor'!D:D,'Alta Proveedor'!E:E)),"")</f>
        <v/>
      </c>
      <c r="F2439" s="832"/>
      <c r="G2439" s="187"/>
      <c r="H2439" s="1"/>
      <c r="I2439" s="169">
        <f>Imput[[#This Row],[Cantidad]]*Imput[[#This Row],[Precio Unitario]]</f>
        <v>0</v>
      </c>
      <c r="J2439" s="11">
        <f>((Imput[[#This Row],[Sub total]])*(0.16))</f>
        <v>0</v>
      </c>
      <c r="K2439" s="11">
        <v>0</v>
      </c>
      <c r="L2439" s="169">
        <f>Imput[[#This Row],[Sub total]]+Imput[[#This Row],[IVA]]-Imput[[#This Row],[Retención / IEPS / Descuento]]</f>
        <v>0</v>
      </c>
      <c r="M2439" s="844">
        <v>0</v>
      </c>
      <c r="N2439" s="189"/>
      <c r="O2439" s="1"/>
      <c r="P2439" s="189"/>
      <c r="Q2439" s="190"/>
      <c r="R2439" s="188"/>
      <c r="S2439" s="193"/>
      <c r="T2439" s="192"/>
      <c r="U2439" s="829"/>
      <c r="V2439" s="10"/>
      <c r="W2439" s="10"/>
      <c r="X2439" s="10"/>
      <c r="Y2439" s="10"/>
      <c r="Z2439" s="10"/>
      <c r="AA2439" s="11"/>
      <c r="AB2439" s="11"/>
    </row>
    <row r="2440" spans="2:28" x14ac:dyDescent="0.3">
      <c r="B2440" s="10"/>
      <c r="C2440" s="315"/>
      <c r="D2440" s="868"/>
      <c r="E2440" s="837" t="str">
        <f>IFERROR(IF(_xlfn.XLOOKUP(Imput[[#This Row],[RFC]],'Alta Proveedor'!D:D,'Alta Proveedor'!E:E)=0,"",_xlfn.XLOOKUP(Imput[[#This Row],[RFC]],'Alta Proveedor'!D:D,'Alta Proveedor'!E:E)),"")</f>
        <v/>
      </c>
      <c r="F2440" s="832"/>
      <c r="G2440" s="187"/>
      <c r="H2440" s="1"/>
      <c r="I2440" s="169">
        <f>Imput[[#This Row],[Cantidad]]*Imput[[#This Row],[Precio Unitario]]</f>
        <v>0</v>
      </c>
      <c r="J2440" s="11">
        <f>((Imput[[#This Row],[Sub total]])*(0.16))</f>
        <v>0</v>
      </c>
      <c r="K2440" s="11">
        <v>0</v>
      </c>
      <c r="L2440" s="169">
        <f>Imput[[#This Row],[Sub total]]+Imput[[#This Row],[IVA]]-Imput[[#This Row],[Retención / IEPS / Descuento]]</f>
        <v>0</v>
      </c>
      <c r="M2440" s="844">
        <v>0</v>
      </c>
      <c r="N2440" s="189"/>
      <c r="O2440" s="1"/>
      <c r="P2440" s="189"/>
      <c r="Q2440" s="190"/>
      <c r="R2440" s="188"/>
      <c r="S2440" s="193"/>
      <c r="T2440" s="192"/>
      <c r="U2440" s="829"/>
      <c r="V2440" s="10"/>
      <c r="W2440" s="10"/>
      <c r="X2440" s="10"/>
      <c r="Y2440" s="10"/>
      <c r="Z2440" s="10"/>
      <c r="AA2440" s="11"/>
      <c r="AB2440" s="11"/>
    </row>
    <row r="2441" spans="2:28" x14ac:dyDescent="0.3">
      <c r="B2441" s="10"/>
      <c r="C2441" s="315"/>
      <c r="D2441" s="868"/>
      <c r="E2441" s="837" t="str">
        <f>IFERROR(IF(_xlfn.XLOOKUP(Imput[[#This Row],[RFC]],'Alta Proveedor'!D:D,'Alta Proveedor'!E:E)=0,"",_xlfn.XLOOKUP(Imput[[#This Row],[RFC]],'Alta Proveedor'!D:D,'Alta Proveedor'!E:E)),"")</f>
        <v/>
      </c>
      <c r="F2441" s="832"/>
      <c r="G2441" s="187"/>
      <c r="H2441" s="1"/>
      <c r="I2441" s="169">
        <f>Imput[[#This Row],[Cantidad]]*Imput[[#This Row],[Precio Unitario]]</f>
        <v>0</v>
      </c>
      <c r="J2441" s="11">
        <f>((Imput[[#This Row],[Sub total]])*(0.16))</f>
        <v>0</v>
      </c>
      <c r="K2441" s="11">
        <v>0</v>
      </c>
      <c r="L2441" s="169">
        <f>Imput[[#This Row],[Sub total]]+Imput[[#This Row],[IVA]]-Imput[[#This Row],[Retención / IEPS / Descuento]]</f>
        <v>0</v>
      </c>
      <c r="M2441" s="844">
        <v>0</v>
      </c>
      <c r="N2441" s="189"/>
      <c r="O2441" s="1"/>
      <c r="P2441" s="189"/>
      <c r="Q2441" s="190"/>
      <c r="R2441" s="188"/>
      <c r="S2441" s="193"/>
      <c r="T2441" s="192"/>
      <c r="U2441" s="829"/>
      <c r="V2441" s="10"/>
      <c r="W2441" s="10"/>
      <c r="X2441" s="10"/>
      <c r="Y2441" s="10"/>
      <c r="Z2441" s="10"/>
      <c r="AA2441" s="11"/>
      <c r="AB2441" s="11"/>
    </row>
    <row r="2442" spans="2:28" x14ac:dyDescent="0.3">
      <c r="B2442" s="10"/>
      <c r="C2442" s="315"/>
      <c r="D2442" s="868"/>
      <c r="E2442" s="837" t="str">
        <f>IFERROR(IF(_xlfn.XLOOKUP(Imput[[#This Row],[RFC]],'Alta Proveedor'!D:D,'Alta Proveedor'!E:E)=0,"",_xlfn.XLOOKUP(Imput[[#This Row],[RFC]],'Alta Proveedor'!D:D,'Alta Proveedor'!E:E)),"")</f>
        <v/>
      </c>
      <c r="F2442" s="832"/>
      <c r="G2442" s="187"/>
      <c r="H2442" s="1"/>
      <c r="I2442" s="169">
        <f>Imput[[#This Row],[Cantidad]]*Imput[[#This Row],[Precio Unitario]]</f>
        <v>0</v>
      </c>
      <c r="J2442" s="11">
        <f>((Imput[[#This Row],[Sub total]])*(0.16))</f>
        <v>0</v>
      </c>
      <c r="K2442" s="11">
        <v>0</v>
      </c>
      <c r="L2442" s="169">
        <f>Imput[[#This Row],[Sub total]]+Imput[[#This Row],[IVA]]-Imput[[#This Row],[Retención / IEPS / Descuento]]</f>
        <v>0</v>
      </c>
      <c r="M2442" s="844">
        <v>0</v>
      </c>
      <c r="N2442" s="189"/>
      <c r="O2442" s="1"/>
      <c r="P2442" s="189"/>
      <c r="Q2442" s="190"/>
      <c r="R2442" s="188"/>
      <c r="S2442" s="193"/>
      <c r="T2442" s="192"/>
      <c r="U2442" s="829"/>
      <c r="V2442" s="10"/>
      <c r="W2442" s="10"/>
      <c r="X2442" s="10"/>
      <c r="Y2442" s="10"/>
      <c r="Z2442" s="10"/>
      <c r="AA2442" s="11"/>
      <c r="AB2442" s="11"/>
    </row>
    <row r="2443" spans="2:28" x14ac:dyDescent="0.3">
      <c r="B2443" s="10"/>
      <c r="C2443" s="315"/>
      <c r="D2443" s="868"/>
      <c r="E2443" s="837" t="str">
        <f>IFERROR(IF(_xlfn.XLOOKUP(Imput[[#This Row],[RFC]],'Alta Proveedor'!D:D,'Alta Proveedor'!E:E)=0,"",_xlfn.XLOOKUP(Imput[[#This Row],[RFC]],'Alta Proveedor'!D:D,'Alta Proveedor'!E:E)),"")</f>
        <v/>
      </c>
      <c r="F2443" s="832"/>
      <c r="G2443" s="187"/>
      <c r="H2443" s="1"/>
      <c r="I2443" s="169">
        <f>Imput[[#This Row],[Cantidad]]*Imput[[#This Row],[Precio Unitario]]</f>
        <v>0</v>
      </c>
      <c r="J2443" s="11">
        <f>((Imput[[#This Row],[Sub total]])*(0.16))</f>
        <v>0</v>
      </c>
      <c r="K2443" s="11">
        <v>0</v>
      </c>
      <c r="L2443" s="169">
        <f>Imput[[#This Row],[Sub total]]+Imput[[#This Row],[IVA]]-Imput[[#This Row],[Retención / IEPS / Descuento]]</f>
        <v>0</v>
      </c>
      <c r="M2443" s="844">
        <v>0</v>
      </c>
      <c r="N2443" s="189"/>
      <c r="O2443" s="1"/>
      <c r="P2443" s="189"/>
      <c r="Q2443" s="190"/>
      <c r="R2443" s="188"/>
      <c r="S2443" s="193"/>
      <c r="T2443" s="192"/>
      <c r="U2443" s="829"/>
      <c r="V2443" s="10"/>
      <c r="W2443" s="10"/>
      <c r="X2443" s="10"/>
      <c r="Y2443" s="10"/>
      <c r="Z2443" s="10"/>
      <c r="AA2443" s="11"/>
      <c r="AB2443" s="11"/>
    </row>
    <row r="2444" spans="2:28" x14ac:dyDescent="0.3">
      <c r="B2444" s="10"/>
      <c r="C2444" s="315"/>
      <c r="D2444" s="868"/>
      <c r="E2444" s="837" t="str">
        <f>IFERROR(IF(_xlfn.XLOOKUP(Imput[[#This Row],[RFC]],'Alta Proveedor'!D:D,'Alta Proveedor'!E:E)=0,"",_xlfn.XLOOKUP(Imput[[#This Row],[RFC]],'Alta Proveedor'!D:D,'Alta Proveedor'!E:E)),"")</f>
        <v/>
      </c>
      <c r="F2444" s="832"/>
      <c r="G2444" s="187"/>
      <c r="H2444" s="1"/>
      <c r="I2444" s="169">
        <f>Imput[[#This Row],[Cantidad]]*Imput[[#This Row],[Precio Unitario]]</f>
        <v>0</v>
      </c>
      <c r="J2444" s="11">
        <f>((Imput[[#This Row],[Sub total]])*(0.16))</f>
        <v>0</v>
      </c>
      <c r="K2444" s="11">
        <v>0</v>
      </c>
      <c r="L2444" s="169">
        <f>Imput[[#This Row],[Sub total]]+Imput[[#This Row],[IVA]]-Imput[[#This Row],[Retención / IEPS / Descuento]]</f>
        <v>0</v>
      </c>
      <c r="M2444" s="844">
        <v>0</v>
      </c>
      <c r="N2444" s="189"/>
      <c r="O2444" s="1"/>
      <c r="P2444" s="189"/>
      <c r="Q2444" s="190"/>
      <c r="R2444" s="188"/>
      <c r="S2444" s="193"/>
      <c r="T2444" s="192"/>
      <c r="U2444" s="829"/>
      <c r="V2444" s="10"/>
      <c r="W2444" s="10"/>
      <c r="X2444" s="10"/>
      <c r="Y2444" s="10"/>
      <c r="Z2444" s="10"/>
      <c r="AA2444" s="11"/>
      <c r="AB2444" s="11"/>
    </row>
    <row r="2445" spans="2:28" x14ac:dyDescent="0.3">
      <c r="B2445" s="10"/>
      <c r="C2445" s="315"/>
      <c r="D2445" s="868"/>
      <c r="E2445" s="837" t="str">
        <f>IFERROR(IF(_xlfn.XLOOKUP(Imput[[#This Row],[RFC]],'Alta Proveedor'!D:D,'Alta Proveedor'!E:E)=0,"",_xlfn.XLOOKUP(Imput[[#This Row],[RFC]],'Alta Proveedor'!D:D,'Alta Proveedor'!E:E)),"")</f>
        <v/>
      </c>
      <c r="F2445" s="832"/>
      <c r="G2445" s="187"/>
      <c r="H2445" s="1"/>
      <c r="I2445" s="169">
        <f>Imput[[#This Row],[Cantidad]]*Imput[[#This Row],[Precio Unitario]]</f>
        <v>0</v>
      </c>
      <c r="J2445" s="11">
        <f>((Imput[[#This Row],[Sub total]])*(0.16))</f>
        <v>0</v>
      </c>
      <c r="K2445" s="11">
        <v>0</v>
      </c>
      <c r="L2445" s="169">
        <f>Imput[[#This Row],[Sub total]]+Imput[[#This Row],[IVA]]-Imput[[#This Row],[Retención / IEPS / Descuento]]</f>
        <v>0</v>
      </c>
      <c r="M2445" s="844">
        <v>0</v>
      </c>
      <c r="N2445" s="189"/>
      <c r="O2445" s="1"/>
      <c r="P2445" s="189"/>
      <c r="Q2445" s="190"/>
      <c r="R2445" s="188"/>
      <c r="S2445" s="193"/>
      <c r="T2445" s="192"/>
      <c r="U2445" s="829"/>
      <c r="V2445" s="10"/>
      <c r="W2445" s="10"/>
      <c r="X2445" s="10"/>
      <c r="Y2445" s="10"/>
      <c r="Z2445" s="10"/>
      <c r="AA2445" s="11"/>
      <c r="AB2445" s="11"/>
    </row>
    <row r="2446" spans="2:28" x14ac:dyDescent="0.3">
      <c r="B2446" s="10"/>
      <c r="C2446" s="315"/>
      <c r="D2446" s="868"/>
      <c r="E2446" s="837" t="str">
        <f>IFERROR(IF(_xlfn.XLOOKUP(Imput[[#This Row],[RFC]],'Alta Proveedor'!D:D,'Alta Proveedor'!E:E)=0,"",_xlfn.XLOOKUP(Imput[[#This Row],[RFC]],'Alta Proveedor'!D:D,'Alta Proveedor'!E:E)),"")</f>
        <v/>
      </c>
      <c r="F2446" s="832"/>
      <c r="G2446" s="187"/>
      <c r="H2446" s="1"/>
      <c r="I2446" s="169">
        <f>Imput[[#This Row],[Cantidad]]*Imput[[#This Row],[Precio Unitario]]</f>
        <v>0</v>
      </c>
      <c r="J2446" s="11">
        <f>((Imput[[#This Row],[Sub total]])*(0.16))</f>
        <v>0</v>
      </c>
      <c r="K2446" s="11">
        <v>0</v>
      </c>
      <c r="L2446" s="169">
        <f>Imput[[#This Row],[Sub total]]+Imput[[#This Row],[IVA]]-Imput[[#This Row],[Retención / IEPS / Descuento]]</f>
        <v>0</v>
      </c>
      <c r="M2446" s="844">
        <v>0</v>
      </c>
      <c r="N2446" s="189"/>
      <c r="O2446" s="1"/>
      <c r="P2446" s="189"/>
      <c r="Q2446" s="190"/>
      <c r="R2446" s="188"/>
      <c r="S2446" s="193"/>
      <c r="T2446" s="192"/>
      <c r="U2446" s="829"/>
      <c r="V2446" s="10"/>
      <c r="W2446" s="10"/>
      <c r="X2446" s="10"/>
      <c r="Y2446" s="10"/>
      <c r="Z2446" s="10"/>
      <c r="AA2446" s="11"/>
      <c r="AB2446" s="11"/>
    </row>
    <row r="2447" spans="2:28" x14ac:dyDescent="0.3">
      <c r="B2447" s="10"/>
      <c r="C2447" s="315"/>
      <c r="D2447" s="868"/>
      <c r="E2447" s="837" t="str">
        <f>IFERROR(IF(_xlfn.XLOOKUP(Imput[[#This Row],[RFC]],'Alta Proveedor'!D:D,'Alta Proveedor'!E:E)=0,"",_xlfn.XLOOKUP(Imput[[#This Row],[RFC]],'Alta Proveedor'!D:D,'Alta Proveedor'!E:E)),"")</f>
        <v/>
      </c>
      <c r="F2447" s="832"/>
      <c r="G2447" s="187"/>
      <c r="H2447" s="1"/>
      <c r="I2447" s="169">
        <f>Imput[[#This Row],[Cantidad]]*Imput[[#This Row],[Precio Unitario]]</f>
        <v>0</v>
      </c>
      <c r="J2447" s="11">
        <f>((Imput[[#This Row],[Sub total]])*(0.16))</f>
        <v>0</v>
      </c>
      <c r="K2447" s="11">
        <v>0</v>
      </c>
      <c r="L2447" s="169">
        <f>Imput[[#This Row],[Sub total]]+Imput[[#This Row],[IVA]]-Imput[[#This Row],[Retención / IEPS / Descuento]]</f>
        <v>0</v>
      </c>
      <c r="M2447" s="844">
        <v>0</v>
      </c>
      <c r="N2447" s="189"/>
      <c r="O2447" s="1"/>
      <c r="P2447" s="189"/>
      <c r="Q2447" s="190"/>
      <c r="R2447" s="188"/>
      <c r="S2447" s="193"/>
      <c r="T2447" s="192"/>
      <c r="U2447" s="829"/>
      <c r="V2447" s="10"/>
      <c r="W2447" s="10"/>
      <c r="X2447" s="10"/>
      <c r="Y2447" s="10"/>
      <c r="Z2447" s="10"/>
      <c r="AA2447" s="11"/>
      <c r="AB2447" s="11"/>
    </row>
    <row r="2448" spans="2:28" x14ac:dyDescent="0.3">
      <c r="B2448" s="10"/>
      <c r="C2448" s="315"/>
      <c r="D2448" s="868"/>
      <c r="E2448" s="837" t="str">
        <f>IFERROR(IF(_xlfn.XLOOKUP(Imput[[#This Row],[RFC]],'Alta Proveedor'!D:D,'Alta Proveedor'!E:E)=0,"",_xlfn.XLOOKUP(Imput[[#This Row],[RFC]],'Alta Proveedor'!D:D,'Alta Proveedor'!E:E)),"")</f>
        <v/>
      </c>
      <c r="F2448" s="832"/>
      <c r="G2448" s="187"/>
      <c r="H2448" s="1"/>
      <c r="I2448" s="169">
        <f>Imput[[#This Row],[Cantidad]]*Imput[[#This Row],[Precio Unitario]]</f>
        <v>0</v>
      </c>
      <c r="J2448" s="11">
        <f>((Imput[[#This Row],[Sub total]])*(0.16))</f>
        <v>0</v>
      </c>
      <c r="K2448" s="11">
        <v>0</v>
      </c>
      <c r="L2448" s="169">
        <f>Imput[[#This Row],[Sub total]]+Imput[[#This Row],[IVA]]-Imput[[#This Row],[Retención / IEPS / Descuento]]</f>
        <v>0</v>
      </c>
      <c r="M2448" s="844">
        <v>0</v>
      </c>
      <c r="N2448" s="189"/>
      <c r="O2448" s="1"/>
      <c r="P2448" s="189"/>
      <c r="Q2448" s="190"/>
      <c r="R2448" s="188"/>
      <c r="S2448" s="193"/>
      <c r="T2448" s="192"/>
      <c r="U2448" s="829"/>
      <c r="V2448" s="10"/>
      <c r="W2448" s="10"/>
      <c r="X2448" s="10"/>
      <c r="Y2448" s="10"/>
      <c r="Z2448" s="10"/>
      <c r="AA2448" s="11"/>
      <c r="AB2448" s="11"/>
    </row>
    <row r="2449" spans="2:28" x14ac:dyDescent="0.3">
      <c r="B2449" s="10"/>
      <c r="C2449" s="315"/>
      <c r="D2449" s="868"/>
      <c r="E2449" s="837" t="str">
        <f>IFERROR(IF(_xlfn.XLOOKUP(Imput[[#This Row],[RFC]],'Alta Proveedor'!D:D,'Alta Proveedor'!E:E)=0,"",_xlfn.XLOOKUP(Imput[[#This Row],[RFC]],'Alta Proveedor'!D:D,'Alta Proveedor'!E:E)),"")</f>
        <v/>
      </c>
      <c r="F2449" s="832"/>
      <c r="G2449" s="187"/>
      <c r="H2449" s="1"/>
      <c r="I2449" s="169">
        <f>Imput[[#This Row],[Cantidad]]*Imput[[#This Row],[Precio Unitario]]</f>
        <v>0</v>
      </c>
      <c r="J2449" s="11">
        <f>((Imput[[#This Row],[Sub total]])*(0.16))</f>
        <v>0</v>
      </c>
      <c r="K2449" s="11">
        <v>0</v>
      </c>
      <c r="L2449" s="169">
        <f>Imput[[#This Row],[Sub total]]+Imput[[#This Row],[IVA]]-Imput[[#This Row],[Retención / IEPS / Descuento]]</f>
        <v>0</v>
      </c>
      <c r="M2449" s="844">
        <v>0</v>
      </c>
      <c r="N2449" s="189"/>
      <c r="O2449" s="1"/>
      <c r="P2449" s="189"/>
      <c r="Q2449" s="190"/>
      <c r="R2449" s="188"/>
      <c r="S2449" s="193"/>
      <c r="T2449" s="192"/>
      <c r="U2449" s="829"/>
      <c r="V2449" s="10"/>
      <c r="W2449" s="10"/>
      <c r="X2449" s="10"/>
      <c r="Y2449" s="10"/>
      <c r="Z2449" s="10"/>
      <c r="AA2449" s="11"/>
      <c r="AB2449" s="11"/>
    </row>
    <row r="2450" spans="2:28" x14ac:dyDescent="0.3">
      <c r="B2450" s="10"/>
      <c r="C2450" s="315"/>
      <c r="D2450" s="868"/>
      <c r="E2450" s="837" t="str">
        <f>IFERROR(IF(_xlfn.XLOOKUP(Imput[[#This Row],[RFC]],'Alta Proveedor'!D:D,'Alta Proveedor'!E:E)=0,"",_xlfn.XLOOKUP(Imput[[#This Row],[RFC]],'Alta Proveedor'!D:D,'Alta Proveedor'!E:E)),"")</f>
        <v/>
      </c>
      <c r="F2450" s="832"/>
      <c r="G2450" s="187"/>
      <c r="H2450" s="1"/>
      <c r="I2450" s="169">
        <f>Imput[[#This Row],[Cantidad]]*Imput[[#This Row],[Precio Unitario]]</f>
        <v>0</v>
      </c>
      <c r="J2450" s="11">
        <f>((Imput[[#This Row],[Sub total]])*(0.16))</f>
        <v>0</v>
      </c>
      <c r="K2450" s="11">
        <v>0</v>
      </c>
      <c r="L2450" s="169">
        <f>Imput[[#This Row],[Sub total]]+Imput[[#This Row],[IVA]]-Imput[[#This Row],[Retención / IEPS / Descuento]]</f>
        <v>0</v>
      </c>
      <c r="M2450" s="844">
        <v>0</v>
      </c>
      <c r="N2450" s="189"/>
      <c r="O2450" s="1"/>
      <c r="P2450" s="189"/>
      <c r="Q2450" s="190"/>
      <c r="R2450" s="188"/>
      <c r="S2450" s="193"/>
      <c r="T2450" s="192"/>
      <c r="U2450" s="829"/>
      <c r="V2450" s="10"/>
      <c r="W2450" s="10"/>
      <c r="X2450" s="10"/>
      <c r="Y2450" s="10"/>
      <c r="Z2450" s="10"/>
      <c r="AA2450" s="11"/>
      <c r="AB2450" s="11"/>
    </row>
    <row r="2451" spans="2:28" x14ac:dyDescent="0.3">
      <c r="B2451" s="10"/>
      <c r="C2451" s="315"/>
      <c r="D2451" s="868"/>
      <c r="E2451" s="837" t="str">
        <f>IFERROR(IF(_xlfn.XLOOKUP(Imput[[#This Row],[RFC]],'Alta Proveedor'!D:D,'Alta Proveedor'!E:E)=0,"",_xlfn.XLOOKUP(Imput[[#This Row],[RFC]],'Alta Proveedor'!D:D,'Alta Proveedor'!E:E)),"")</f>
        <v/>
      </c>
      <c r="F2451" s="832"/>
      <c r="G2451" s="187"/>
      <c r="H2451" s="1"/>
      <c r="I2451" s="169">
        <f>Imput[[#This Row],[Cantidad]]*Imput[[#This Row],[Precio Unitario]]</f>
        <v>0</v>
      </c>
      <c r="J2451" s="11">
        <f>((Imput[[#This Row],[Sub total]])*(0.16))</f>
        <v>0</v>
      </c>
      <c r="K2451" s="11">
        <v>0</v>
      </c>
      <c r="L2451" s="169">
        <f>Imput[[#This Row],[Sub total]]+Imput[[#This Row],[IVA]]-Imput[[#This Row],[Retención / IEPS / Descuento]]</f>
        <v>0</v>
      </c>
      <c r="M2451" s="844">
        <v>0</v>
      </c>
      <c r="N2451" s="189"/>
      <c r="O2451" s="1"/>
      <c r="P2451" s="189"/>
      <c r="Q2451" s="190"/>
      <c r="R2451" s="188"/>
      <c r="S2451" s="193"/>
      <c r="T2451" s="192"/>
      <c r="U2451" s="829"/>
      <c r="V2451" s="10"/>
      <c r="W2451" s="10"/>
      <c r="X2451" s="10"/>
      <c r="Y2451" s="10"/>
      <c r="Z2451" s="10"/>
      <c r="AA2451" s="11"/>
      <c r="AB2451" s="11"/>
    </row>
    <row r="2452" spans="2:28" x14ac:dyDescent="0.3">
      <c r="B2452" s="10"/>
      <c r="C2452" s="315"/>
      <c r="D2452" s="868"/>
      <c r="E2452" s="837" t="str">
        <f>IFERROR(IF(_xlfn.XLOOKUP(Imput[[#This Row],[RFC]],'Alta Proveedor'!D:D,'Alta Proveedor'!E:E)=0,"",_xlfn.XLOOKUP(Imput[[#This Row],[RFC]],'Alta Proveedor'!D:D,'Alta Proveedor'!E:E)),"")</f>
        <v/>
      </c>
      <c r="F2452" s="832"/>
      <c r="G2452" s="187"/>
      <c r="H2452" s="1"/>
      <c r="I2452" s="169">
        <f>Imput[[#This Row],[Cantidad]]*Imput[[#This Row],[Precio Unitario]]</f>
        <v>0</v>
      </c>
      <c r="J2452" s="11">
        <f>((Imput[[#This Row],[Sub total]])*(0.16))</f>
        <v>0</v>
      </c>
      <c r="K2452" s="11">
        <v>0</v>
      </c>
      <c r="L2452" s="169">
        <f>Imput[[#This Row],[Sub total]]+Imput[[#This Row],[IVA]]-Imput[[#This Row],[Retención / IEPS / Descuento]]</f>
        <v>0</v>
      </c>
      <c r="M2452" s="844">
        <v>0</v>
      </c>
      <c r="N2452" s="189"/>
      <c r="O2452" s="1"/>
      <c r="P2452" s="189"/>
      <c r="Q2452" s="190"/>
      <c r="R2452" s="188"/>
      <c r="S2452" s="193"/>
      <c r="T2452" s="192"/>
      <c r="U2452" s="829"/>
      <c r="V2452" s="10"/>
      <c r="W2452" s="10"/>
      <c r="X2452" s="10"/>
      <c r="Y2452" s="10"/>
      <c r="Z2452" s="10"/>
      <c r="AA2452" s="11"/>
      <c r="AB2452" s="11"/>
    </row>
    <row r="2453" spans="2:28" x14ac:dyDescent="0.3">
      <c r="B2453" s="10"/>
      <c r="C2453" s="315"/>
      <c r="D2453" s="868"/>
      <c r="E2453" s="837" t="str">
        <f>IFERROR(IF(_xlfn.XLOOKUP(Imput[[#This Row],[RFC]],'Alta Proveedor'!D:D,'Alta Proveedor'!E:E)=0,"",_xlfn.XLOOKUP(Imput[[#This Row],[RFC]],'Alta Proveedor'!D:D,'Alta Proveedor'!E:E)),"")</f>
        <v/>
      </c>
      <c r="F2453" s="832"/>
      <c r="G2453" s="187"/>
      <c r="H2453" s="1"/>
      <c r="I2453" s="169">
        <f>Imput[[#This Row],[Cantidad]]*Imput[[#This Row],[Precio Unitario]]</f>
        <v>0</v>
      </c>
      <c r="J2453" s="11">
        <f>((Imput[[#This Row],[Sub total]])*(0.16))</f>
        <v>0</v>
      </c>
      <c r="K2453" s="11">
        <v>0</v>
      </c>
      <c r="L2453" s="169">
        <f>Imput[[#This Row],[Sub total]]+Imput[[#This Row],[IVA]]-Imput[[#This Row],[Retención / IEPS / Descuento]]</f>
        <v>0</v>
      </c>
      <c r="M2453" s="844">
        <v>0</v>
      </c>
      <c r="N2453" s="189"/>
      <c r="O2453" s="1"/>
      <c r="P2453" s="189"/>
      <c r="Q2453" s="190"/>
      <c r="R2453" s="188"/>
      <c r="S2453" s="193"/>
      <c r="T2453" s="192"/>
      <c r="U2453" s="829"/>
      <c r="V2453" s="10"/>
      <c r="W2453" s="10"/>
      <c r="X2453" s="10"/>
      <c r="Y2453" s="10"/>
      <c r="Z2453" s="10"/>
      <c r="AA2453" s="11"/>
      <c r="AB2453" s="11"/>
    </row>
    <row r="2454" spans="2:28" x14ac:dyDescent="0.3">
      <c r="B2454" s="10"/>
      <c r="C2454" s="315"/>
      <c r="D2454" s="868"/>
      <c r="E2454" s="837" t="str">
        <f>IFERROR(IF(_xlfn.XLOOKUP(Imput[[#This Row],[RFC]],'Alta Proveedor'!D:D,'Alta Proveedor'!E:E)=0,"",_xlfn.XLOOKUP(Imput[[#This Row],[RFC]],'Alta Proveedor'!D:D,'Alta Proveedor'!E:E)),"")</f>
        <v/>
      </c>
      <c r="F2454" s="832"/>
      <c r="G2454" s="187"/>
      <c r="H2454" s="1"/>
      <c r="I2454" s="169">
        <f>Imput[[#This Row],[Cantidad]]*Imput[[#This Row],[Precio Unitario]]</f>
        <v>0</v>
      </c>
      <c r="J2454" s="11">
        <f>((Imput[[#This Row],[Sub total]])*(0.16))</f>
        <v>0</v>
      </c>
      <c r="K2454" s="11">
        <v>0</v>
      </c>
      <c r="L2454" s="169">
        <f>Imput[[#This Row],[Sub total]]+Imput[[#This Row],[IVA]]-Imput[[#This Row],[Retención / IEPS / Descuento]]</f>
        <v>0</v>
      </c>
      <c r="M2454" s="844">
        <v>0</v>
      </c>
      <c r="N2454" s="189"/>
      <c r="O2454" s="1"/>
      <c r="P2454" s="189"/>
      <c r="Q2454" s="190"/>
      <c r="R2454" s="188"/>
      <c r="S2454" s="193"/>
      <c r="T2454" s="192"/>
      <c r="U2454" s="829"/>
      <c r="V2454" s="10"/>
      <c r="W2454" s="10"/>
      <c r="X2454" s="10"/>
      <c r="Y2454" s="10"/>
      <c r="Z2454" s="10"/>
      <c r="AA2454" s="11"/>
      <c r="AB2454" s="11"/>
    </row>
    <row r="2455" spans="2:28" x14ac:dyDescent="0.3">
      <c r="B2455" s="10"/>
      <c r="C2455" s="315"/>
      <c r="D2455" s="868"/>
      <c r="E2455" s="837" t="str">
        <f>IFERROR(IF(_xlfn.XLOOKUP(Imput[[#This Row],[RFC]],'Alta Proveedor'!D:D,'Alta Proveedor'!E:E)=0,"",_xlfn.XLOOKUP(Imput[[#This Row],[RFC]],'Alta Proveedor'!D:D,'Alta Proveedor'!E:E)),"")</f>
        <v/>
      </c>
      <c r="F2455" s="832"/>
      <c r="G2455" s="187"/>
      <c r="H2455" s="1"/>
      <c r="I2455" s="169">
        <f>Imput[[#This Row],[Cantidad]]*Imput[[#This Row],[Precio Unitario]]</f>
        <v>0</v>
      </c>
      <c r="J2455" s="11">
        <f>((Imput[[#This Row],[Sub total]])*(0.16))</f>
        <v>0</v>
      </c>
      <c r="K2455" s="11">
        <v>0</v>
      </c>
      <c r="L2455" s="169">
        <f>Imput[[#This Row],[Sub total]]+Imput[[#This Row],[IVA]]-Imput[[#This Row],[Retención / IEPS / Descuento]]</f>
        <v>0</v>
      </c>
      <c r="M2455" s="844">
        <v>0</v>
      </c>
      <c r="N2455" s="189"/>
      <c r="O2455" s="1"/>
      <c r="P2455" s="189"/>
      <c r="Q2455" s="190"/>
      <c r="R2455" s="188"/>
      <c r="S2455" s="193"/>
      <c r="T2455" s="192"/>
      <c r="U2455" s="829"/>
      <c r="V2455" s="10"/>
      <c r="W2455" s="10"/>
      <c r="X2455" s="10"/>
      <c r="Y2455" s="10"/>
      <c r="Z2455" s="10"/>
      <c r="AA2455" s="11"/>
      <c r="AB2455" s="11"/>
    </row>
    <row r="2456" spans="2:28" x14ac:dyDescent="0.3">
      <c r="B2456" s="10"/>
      <c r="C2456" s="315"/>
      <c r="D2456" s="868"/>
      <c r="E2456" s="837" t="str">
        <f>IFERROR(IF(_xlfn.XLOOKUP(Imput[[#This Row],[RFC]],'Alta Proveedor'!D:D,'Alta Proveedor'!E:E)=0,"",_xlfn.XLOOKUP(Imput[[#This Row],[RFC]],'Alta Proveedor'!D:D,'Alta Proveedor'!E:E)),"")</f>
        <v/>
      </c>
      <c r="F2456" s="832"/>
      <c r="G2456" s="187"/>
      <c r="H2456" s="1"/>
      <c r="I2456" s="169">
        <f>Imput[[#This Row],[Cantidad]]*Imput[[#This Row],[Precio Unitario]]</f>
        <v>0</v>
      </c>
      <c r="J2456" s="11">
        <f>((Imput[[#This Row],[Sub total]])*(0.16))</f>
        <v>0</v>
      </c>
      <c r="K2456" s="11">
        <v>0</v>
      </c>
      <c r="L2456" s="169">
        <f>Imput[[#This Row],[Sub total]]+Imput[[#This Row],[IVA]]-Imput[[#This Row],[Retención / IEPS / Descuento]]</f>
        <v>0</v>
      </c>
      <c r="M2456" s="844">
        <v>0</v>
      </c>
      <c r="N2456" s="189"/>
      <c r="O2456" s="1"/>
      <c r="P2456" s="189"/>
      <c r="Q2456" s="190"/>
      <c r="R2456" s="188"/>
      <c r="S2456" s="193"/>
      <c r="T2456" s="192"/>
      <c r="U2456" s="829"/>
      <c r="V2456" s="10"/>
      <c r="W2456" s="10"/>
      <c r="X2456" s="10"/>
      <c r="Y2456" s="10"/>
      <c r="Z2456" s="10"/>
      <c r="AA2456" s="11"/>
      <c r="AB2456" s="11"/>
    </row>
    <row r="2457" spans="2:28" x14ac:dyDescent="0.3">
      <c r="B2457" s="10"/>
      <c r="C2457" s="315"/>
      <c r="D2457" s="868"/>
      <c r="E2457" s="837" t="str">
        <f>IFERROR(IF(_xlfn.XLOOKUP(Imput[[#This Row],[RFC]],'Alta Proveedor'!D:D,'Alta Proveedor'!E:E)=0,"",_xlfn.XLOOKUP(Imput[[#This Row],[RFC]],'Alta Proveedor'!D:D,'Alta Proveedor'!E:E)),"")</f>
        <v/>
      </c>
      <c r="F2457" s="832"/>
      <c r="G2457" s="187"/>
      <c r="H2457" s="1"/>
      <c r="I2457" s="169">
        <f>Imput[[#This Row],[Cantidad]]*Imput[[#This Row],[Precio Unitario]]</f>
        <v>0</v>
      </c>
      <c r="J2457" s="11">
        <f>((Imput[[#This Row],[Sub total]])*(0.16))</f>
        <v>0</v>
      </c>
      <c r="K2457" s="11">
        <v>0</v>
      </c>
      <c r="L2457" s="169">
        <f>Imput[[#This Row],[Sub total]]+Imput[[#This Row],[IVA]]-Imput[[#This Row],[Retención / IEPS / Descuento]]</f>
        <v>0</v>
      </c>
      <c r="M2457" s="844">
        <v>0</v>
      </c>
      <c r="N2457" s="189"/>
      <c r="O2457" s="1"/>
      <c r="P2457" s="189"/>
      <c r="Q2457" s="190"/>
      <c r="R2457" s="188"/>
      <c r="S2457" s="193"/>
      <c r="T2457" s="192"/>
      <c r="U2457" s="829"/>
      <c r="V2457" s="10"/>
      <c r="W2457" s="10"/>
      <c r="X2457" s="10"/>
      <c r="Y2457" s="10"/>
      <c r="Z2457" s="10"/>
      <c r="AA2457" s="11"/>
      <c r="AB2457" s="11"/>
    </row>
    <row r="2458" spans="2:28" x14ac:dyDescent="0.3">
      <c r="B2458" s="10"/>
      <c r="C2458" s="315"/>
      <c r="D2458" s="868"/>
      <c r="E2458" s="837" t="str">
        <f>IFERROR(IF(_xlfn.XLOOKUP(Imput[[#This Row],[RFC]],'Alta Proveedor'!D:D,'Alta Proveedor'!E:E)=0,"",_xlfn.XLOOKUP(Imput[[#This Row],[RFC]],'Alta Proveedor'!D:D,'Alta Proveedor'!E:E)),"")</f>
        <v/>
      </c>
      <c r="F2458" s="832"/>
      <c r="G2458" s="187"/>
      <c r="H2458" s="1"/>
      <c r="I2458" s="169">
        <f>Imput[[#This Row],[Cantidad]]*Imput[[#This Row],[Precio Unitario]]</f>
        <v>0</v>
      </c>
      <c r="J2458" s="11">
        <f>((Imput[[#This Row],[Sub total]])*(0.16))</f>
        <v>0</v>
      </c>
      <c r="K2458" s="11">
        <v>0</v>
      </c>
      <c r="L2458" s="169">
        <f>Imput[[#This Row],[Sub total]]+Imput[[#This Row],[IVA]]-Imput[[#This Row],[Retención / IEPS / Descuento]]</f>
        <v>0</v>
      </c>
      <c r="M2458" s="844">
        <v>0</v>
      </c>
      <c r="N2458" s="189"/>
      <c r="O2458" s="1"/>
      <c r="P2458" s="189"/>
      <c r="Q2458" s="190"/>
      <c r="R2458" s="188"/>
      <c r="S2458" s="193"/>
      <c r="T2458" s="192"/>
      <c r="U2458" s="829"/>
      <c r="V2458" s="10"/>
      <c r="W2458" s="10"/>
      <c r="X2458" s="10"/>
      <c r="Y2458" s="10"/>
      <c r="Z2458" s="10"/>
      <c r="AA2458" s="11"/>
      <c r="AB2458" s="11"/>
    </row>
    <row r="2459" spans="2:28" x14ac:dyDescent="0.3">
      <c r="B2459" s="10"/>
      <c r="C2459" s="315"/>
      <c r="D2459" s="868"/>
      <c r="E2459" s="837" t="str">
        <f>IFERROR(IF(_xlfn.XLOOKUP(Imput[[#This Row],[RFC]],'Alta Proveedor'!D:D,'Alta Proveedor'!E:E)=0,"",_xlfn.XLOOKUP(Imput[[#This Row],[RFC]],'Alta Proveedor'!D:D,'Alta Proveedor'!E:E)),"")</f>
        <v/>
      </c>
      <c r="F2459" s="832"/>
      <c r="G2459" s="187"/>
      <c r="H2459" s="1"/>
      <c r="I2459" s="169">
        <f>Imput[[#This Row],[Cantidad]]*Imput[[#This Row],[Precio Unitario]]</f>
        <v>0</v>
      </c>
      <c r="J2459" s="11">
        <f>((Imput[[#This Row],[Sub total]])*(0.16))</f>
        <v>0</v>
      </c>
      <c r="K2459" s="11">
        <v>0</v>
      </c>
      <c r="L2459" s="169">
        <f>Imput[[#This Row],[Sub total]]+Imput[[#This Row],[IVA]]-Imput[[#This Row],[Retención / IEPS / Descuento]]</f>
        <v>0</v>
      </c>
      <c r="M2459" s="844">
        <v>0</v>
      </c>
      <c r="N2459" s="189"/>
      <c r="O2459" s="1"/>
      <c r="P2459" s="189"/>
      <c r="Q2459" s="190"/>
      <c r="R2459" s="188"/>
      <c r="S2459" s="193"/>
      <c r="T2459" s="192"/>
      <c r="U2459" s="829"/>
      <c r="V2459" s="10"/>
      <c r="W2459" s="10"/>
      <c r="X2459" s="10"/>
      <c r="Y2459" s="10"/>
      <c r="Z2459" s="10"/>
      <c r="AA2459" s="11"/>
      <c r="AB2459" s="11"/>
    </row>
    <row r="2460" spans="2:28" x14ac:dyDescent="0.3">
      <c r="B2460" s="10"/>
      <c r="C2460" s="315"/>
      <c r="D2460" s="868"/>
      <c r="E2460" s="837" t="str">
        <f>IFERROR(IF(_xlfn.XLOOKUP(Imput[[#This Row],[RFC]],'Alta Proveedor'!D:D,'Alta Proveedor'!E:E)=0,"",_xlfn.XLOOKUP(Imput[[#This Row],[RFC]],'Alta Proveedor'!D:D,'Alta Proveedor'!E:E)),"")</f>
        <v/>
      </c>
      <c r="F2460" s="832"/>
      <c r="G2460" s="187"/>
      <c r="H2460" s="1"/>
      <c r="I2460" s="169">
        <f>Imput[[#This Row],[Cantidad]]*Imput[[#This Row],[Precio Unitario]]</f>
        <v>0</v>
      </c>
      <c r="J2460" s="11">
        <f>((Imput[[#This Row],[Sub total]])*(0.16))</f>
        <v>0</v>
      </c>
      <c r="K2460" s="11">
        <v>0</v>
      </c>
      <c r="L2460" s="169">
        <f>Imput[[#This Row],[Sub total]]+Imput[[#This Row],[IVA]]-Imput[[#This Row],[Retención / IEPS / Descuento]]</f>
        <v>0</v>
      </c>
      <c r="M2460" s="844">
        <v>0</v>
      </c>
      <c r="N2460" s="189"/>
      <c r="O2460" s="1"/>
      <c r="P2460" s="189"/>
      <c r="Q2460" s="190"/>
      <c r="R2460" s="188"/>
      <c r="S2460" s="193"/>
      <c r="T2460" s="192"/>
      <c r="U2460" s="829"/>
      <c r="V2460" s="10"/>
      <c r="W2460" s="10"/>
      <c r="X2460" s="10"/>
      <c r="Y2460" s="10"/>
      <c r="Z2460" s="10"/>
      <c r="AA2460" s="11"/>
      <c r="AB2460" s="11"/>
    </row>
    <row r="2461" spans="2:28" x14ac:dyDescent="0.3">
      <c r="B2461" s="10"/>
      <c r="C2461" s="315"/>
      <c r="D2461" s="868"/>
      <c r="E2461" s="837" t="str">
        <f>IFERROR(IF(_xlfn.XLOOKUP(Imput[[#This Row],[RFC]],'Alta Proveedor'!D:D,'Alta Proveedor'!E:E)=0,"",_xlfn.XLOOKUP(Imput[[#This Row],[RFC]],'Alta Proveedor'!D:D,'Alta Proveedor'!E:E)),"")</f>
        <v/>
      </c>
      <c r="F2461" s="832"/>
      <c r="G2461" s="187"/>
      <c r="H2461" s="1"/>
      <c r="I2461" s="169">
        <f>Imput[[#This Row],[Cantidad]]*Imput[[#This Row],[Precio Unitario]]</f>
        <v>0</v>
      </c>
      <c r="J2461" s="11">
        <f>((Imput[[#This Row],[Sub total]])*(0.16))</f>
        <v>0</v>
      </c>
      <c r="K2461" s="11">
        <v>0</v>
      </c>
      <c r="L2461" s="169">
        <f>Imput[[#This Row],[Sub total]]+Imput[[#This Row],[IVA]]-Imput[[#This Row],[Retención / IEPS / Descuento]]</f>
        <v>0</v>
      </c>
      <c r="M2461" s="844">
        <v>0</v>
      </c>
      <c r="N2461" s="189"/>
      <c r="O2461" s="1"/>
      <c r="P2461" s="189"/>
      <c r="Q2461" s="190"/>
      <c r="R2461" s="188"/>
      <c r="S2461" s="193"/>
      <c r="T2461" s="192"/>
      <c r="U2461" s="829"/>
      <c r="V2461" s="10"/>
      <c r="W2461" s="10"/>
      <c r="X2461" s="10"/>
      <c r="Y2461" s="10"/>
      <c r="Z2461" s="10"/>
      <c r="AA2461" s="11"/>
      <c r="AB2461" s="11"/>
    </row>
    <row r="2462" spans="2:28" x14ac:dyDescent="0.3">
      <c r="B2462" s="10"/>
      <c r="C2462" s="315"/>
      <c r="D2462" s="868"/>
      <c r="E2462" s="837" t="str">
        <f>IFERROR(IF(_xlfn.XLOOKUP(Imput[[#This Row],[RFC]],'Alta Proveedor'!D:D,'Alta Proveedor'!E:E)=0,"",_xlfn.XLOOKUP(Imput[[#This Row],[RFC]],'Alta Proveedor'!D:D,'Alta Proveedor'!E:E)),"")</f>
        <v/>
      </c>
      <c r="F2462" s="832"/>
      <c r="G2462" s="187"/>
      <c r="H2462" s="1"/>
      <c r="I2462" s="169">
        <f>Imput[[#This Row],[Cantidad]]*Imput[[#This Row],[Precio Unitario]]</f>
        <v>0</v>
      </c>
      <c r="J2462" s="11">
        <f>((Imput[[#This Row],[Sub total]])*(0.16))</f>
        <v>0</v>
      </c>
      <c r="K2462" s="11">
        <v>0</v>
      </c>
      <c r="L2462" s="169">
        <f>Imput[[#This Row],[Sub total]]+Imput[[#This Row],[IVA]]-Imput[[#This Row],[Retención / IEPS / Descuento]]</f>
        <v>0</v>
      </c>
      <c r="M2462" s="844">
        <v>0</v>
      </c>
      <c r="N2462" s="189"/>
      <c r="O2462" s="1"/>
      <c r="P2462" s="189"/>
      <c r="Q2462" s="190"/>
      <c r="R2462" s="188"/>
      <c r="S2462" s="193"/>
      <c r="T2462" s="192"/>
      <c r="U2462" s="829"/>
      <c r="V2462" s="10"/>
      <c r="W2462" s="10"/>
      <c r="X2462" s="10"/>
      <c r="Y2462" s="10"/>
      <c r="Z2462" s="10"/>
      <c r="AA2462" s="11"/>
      <c r="AB2462" s="11"/>
    </row>
    <row r="2463" spans="2:28" x14ac:dyDescent="0.3">
      <c r="B2463" s="10"/>
      <c r="C2463" s="315"/>
      <c r="D2463" s="868"/>
      <c r="E2463" s="837" t="str">
        <f>IFERROR(IF(_xlfn.XLOOKUP(Imput[[#This Row],[RFC]],'Alta Proveedor'!D:D,'Alta Proveedor'!E:E)=0,"",_xlfn.XLOOKUP(Imput[[#This Row],[RFC]],'Alta Proveedor'!D:D,'Alta Proveedor'!E:E)),"")</f>
        <v/>
      </c>
      <c r="F2463" s="832"/>
      <c r="G2463" s="187"/>
      <c r="H2463" s="1"/>
      <c r="I2463" s="169">
        <f>Imput[[#This Row],[Cantidad]]*Imput[[#This Row],[Precio Unitario]]</f>
        <v>0</v>
      </c>
      <c r="J2463" s="11">
        <f>((Imput[[#This Row],[Sub total]])*(0.16))</f>
        <v>0</v>
      </c>
      <c r="K2463" s="11">
        <v>0</v>
      </c>
      <c r="L2463" s="169">
        <f>Imput[[#This Row],[Sub total]]+Imput[[#This Row],[IVA]]-Imput[[#This Row],[Retención / IEPS / Descuento]]</f>
        <v>0</v>
      </c>
      <c r="M2463" s="844">
        <v>0</v>
      </c>
      <c r="N2463" s="189"/>
      <c r="O2463" s="1"/>
      <c r="P2463" s="189"/>
      <c r="Q2463" s="190"/>
      <c r="R2463" s="188"/>
      <c r="S2463" s="193"/>
      <c r="T2463" s="192"/>
      <c r="U2463" s="829"/>
      <c r="V2463" s="10"/>
      <c r="W2463" s="10"/>
      <c r="X2463" s="10"/>
      <c r="Y2463" s="10"/>
      <c r="Z2463" s="10"/>
      <c r="AA2463" s="11"/>
      <c r="AB2463" s="11"/>
    </row>
    <row r="2464" spans="2:28" x14ac:dyDescent="0.3">
      <c r="B2464" s="10"/>
      <c r="C2464" s="315"/>
      <c r="D2464" s="868"/>
      <c r="E2464" s="837" t="str">
        <f>IFERROR(IF(_xlfn.XLOOKUP(Imput[[#This Row],[RFC]],'Alta Proveedor'!D:D,'Alta Proveedor'!E:E)=0,"",_xlfn.XLOOKUP(Imput[[#This Row],[RFC]],'Alta Proveedor'!D:D,'Alta Proveedor'!E:E)),"")</f>
        <v/>
      </c>
      <c r="F2464" s="832"/>
      <c r="G2464" s="187"/>
      <c r="H2464" s="1"/>
      <c r="I2464" s="169">
        <f>Imput[[#This Row],[Cantidad]]*Imput[[#This Row],[Precio Unitario]]</f>
        <v>0</v>
      </c>
      <c r="J2464" s="11">
        <f>((Imput[[#This Row],[Sub total]])*(0.16))</f>
        <v>0</v>
      </c>
      <c r="K2464" s="11">
        <v>0</v>
      </c>
      <c r="L2464" s="169">
        <f>Imput[[#This Row],[Sub total]]+Imput[[#This Row],[IVA]]-Imput[[#This Row],[Retención / IEPS / Descuento]]</f>
        <v>0</v>
      </c>
      <c r="M2464" s="844">
        <v>0</v>
      </c>
      <c r="N2464" s="189"/>
      <c r="O2464" s="1"/>
      <c r="P2464" s="189"/>
      <c r="Q2464" s="190"/>
      <c r="R2464" s="188"/>
      <c r="S2464" s="193"/>
      <c r="T2464" s="192"/>
      <c r="U2464" s="829"/>
      <c r="V2464" s="10"/>
      <c r="W2464" s="10"/>
      <c r="X2464" s="10"/>
      <c r="Y2464" s="10"/>
      <c r="Z2464" s="10"/>
      <c r="AA2464" s="11"/>
      <c r="AB2464" s="11"/>
    </row>
    <row r="2465" spans="2:28" x14ac:dyDescent="0.3">
      <c r="B2465" s="10"/>
      <c r="C2465" s="315"/>
      <c r="D2465" s="868"/>
      <c r="E2465" s="837" t="str">
        <f>IFERROR(IF(_xlfn.XLOOKUP(Imput[[#This Row],[RFC]],'Alta Proveedor'!D:D,'Alta Proveedor'!E:E)=0,"",_xlfn.XLOOKUP(Imput[[#This Row],[RFC]],'Alta Proveedor'!D:D,'Alta Proveedor'!E:E)),"")</f>
        <v/>
      </c>
      <c r="F2465" s="832"/>
      <c r="G2465" s="187"/>
      <c r="H2465" s="1"/>
      <c r="I2465" s="169">
        <f>Imput[[#This Row],[Cantidad]]*Imput[[#This Row],[Precio Unitario]]</f>
        <v>0</v>
      </c>
      <c r="J2465" s="11">
        <f>((Imput[[#This Row],[Sub total]])*(0.16))</f>
        <v>0</v>
      </c>
      <c r="K2465" s="11">
        <v>0</v>
      </c>
      <c r="L2465" s="169">
        <f>Imput[[#This Row],[Sub total]]+Imput[[#This Row],[IVA]]-Imput[[#This Row],[Retención / IEPS / Descuento]]</f>
        <v>0</v>
      </c>
      <c r="M2465" s="844">
        <v>0</v>
      </c>
      <c r="N2465" s="189"/>
      <c r="O2465" s="1"/>
      <c r="P2465" s="189"/>
      <c r="Q2465" s="190"/>
      <c r="R2465" s="188"/>
      <c r="S2465" s="193"/>
      <c r="T2465" s="192"/>
      <c r="U2465" s="829"/>
      <c r="V2465" s="10"/>
      <c r="W2465" s="10"/>
      <c r="X2465" s="10"/>
      <c r="Y2465" s="10"/>
      <c r="Z2465" s="10"/>
      <c r="AA2465" s="11"/>
      <c r="AB2465" s="11"/>
    </row>
    <row r="2466" spans="2:28" x14ac:dyDescent="0.3">
      <c r="B2466" s="10"/>
      <c r="C2466" s="315"/>
      <c r="D2466" s="868"/>
      <c r="E2466" s="837" t="str">
        <f>IFERROR(IF(_xlfn.XLOOKUP(Imput[[#This Row],[RFC]],'Alta Proveedor'!D:D,'Alta Proveedor'!E:E)=0,"",_xlfn.XLOOKUP(Imput[[#This Row],[RFC]],'Alta Proveedor'!D:D,'Alta Proveedor'!E:E)),"")</f>
        <v/>
      </c>
      <c r="F2466" s="832"/>
      <c r="G2466" s="187"/>
      <c r="H2466" s="1"/>
      <c r="I2466" s="169">
        <f>Imput[[#This Row],[Cantidad]]*Imput[[#This Row],[Precio Unitario]]</f>
        <v>0</v>
      </c>
      <c r="J2466" s="11">
        <f>((Imput[[#This Row],[Sub total]])*(0.16))</f>
        <v>0</v>
      </c>
      <c r="K2466" s="11">
        <v>0</v>
      </c>
      <c r="L2466" s="169">
        <f>Imput[[#This Row],[Sub total]]+Imput[[#This Row],[IVA]]-Imput[[#This Row],[Retención / IEPS / Descuento]]</f>
        <v>0</v>
      </c>
      <c r="M2466" s="844">
        <v>0</v>
      </c>
      <c r="N2466" s="189"/>
      <c r="O2466" s="1"/>
      <c r="P2466" s="189"/>
      <c r="Q2466" s="190"/>
      <c r="R2466" s="188"/>
      <c r="S2466" s="193"/>
      <c r="T2466" s="192"/>
      <c r="U2466" s="829"/>
      <c r="V2466" s="10"/>
      <c r="W2466" s="10"/>
      <c r="X2466" s="10"/>
      <c r="Y2466" s="10"/>
      <c r="Z2466" s="10"/>
      <c r="AA2466" s="11"/>
      <c r="AB2466" s="11"/>
    </row>
    <row r="2467" spans="2:28" x14ac:dyDescent="0.3">
      <c r="B2467" s="10"/>
      <c r="C2467" s="315"/>
      <c r="D2467" s="868"/>
      <c r="E2467" s="837" t="str">
        <f>IFERROR(IF(_xlfn.XLOOKUP(Imput[[#This Row],[RFC]],'Alta Proveedor'!D:D,'Alta Proveedor'!E:E)=0,"",_xlfn.XLOOKUP(Imput[[#This Row],[RFC]],'Alta Proveedor'!D:D,'Alta Proveedor'!E:E)),"")</f>
        <v/>
      </c>
      <c r="F2467" s="832"/>
      <c r="G2467" s="187"/>
      <c r="H2467" s="1"/>
      <c r="I2467" s="169">
        <f>Imput[[#This Row],[Cantidad]]*Imput[[#This Row],[Precio Unitario]]</f>
        <v>0</v>
      </c>
      <c r="J2467" s="11">
        <f>((Imput[[#This Row],[Sub total]])*(0.16))</f>
        <v>0</v>
      </c>
      <c r="K2467" s="11">
        <v>0</v>
      </c>
      <c r="L2467" s="169">
        <f>Imput[[#This Row],[Sub total]]+Imput[[#This Row],[IVA]]-Imput[[#This Row],[Retención / IEPS / Descuento]]</f>
        <v>0</v>
      </c>
      <c r="M2467" s="844">
        <v>0</v>
      </c>
      <c r="N2467" s="189"/>
      <c r="O2467" s="1"/>
      <c r="P2467" s="189"/>
      <c r="Q2467" s="190"/>
      <c r="R2467" s="188"/>
      <c r="S2467" s="193"/>
      <c r="T2467" s="192"/>
      <c r="U2467" s="829"/>
      <c r="V2467" s="10"/>
      <c r="W2467" s="10"/>
      <c r="X2467" s="10"/>
      <c r="Y2467" s="10"/>
      <c r="Z2467" s="10"/>
      <c r="AA2467" s="11"/>
      <c r="AB2467" s="11"/>
    </row>
    <row r="2468" spans="2:28" x14ac:dyDescent="0.3">
      <c r="B2468" s="10"/>
      <c r="C2468" s="315"/>
      <c r="D2468" s="868"/>
      <c r="E2468" s="837" t="str">
        <f>IFERROR(IF(_xlfn.XLOOKUP(Imput[[#This Row],[RFC]],'Alta Proveedor'!D:D,'Alta Proveedor'!E:E)=0,"",_xlfn.XLOOKUP(Imput[[#This Row],[RFC]],'Alta Proveedor'!D:D,'Alta Proveedor'!E:E)),"")</f>
        <v/>
      </c>
      <c r="F2468" s="832"/>
      <c r="G2468" s="187"/>
      <c r="H2468" s="1"/>
      <c r="I2468" s="169">
        <f>Imput[[#This Row],[Cantidad]]*Imput[[#This Row],[Precio Unitario]]</f>
        <v>0</v>
      </c>
      <c r="J2468" s="11">
        <f>((Imput[[#This Row],[Sub total]])*(0.16))</f>
        <v>0</v>
      </c>
      <c r="K2468" s="11">
        <v>0</v>
      </c>
      <c r="L2468" s="169">
        <f>Imput[[#This Row],[Sub total]]+Imput[[#This Row],[IVA]]-Imput[[#This Row],[Retención / IEPS / Descuento]]</f>
        <v>0</v>
      </c>
      <c r="M2468" s="844">
        <v>0</v>
      </c>
      <c r="N2468" s="189"/>
      <c r="O2468" s="1"/>
      <c r="P2468" s="189"/>
      <c r="Q2468" s="190"/>
      <c r="R2468" s="188"/>
      <c r="S2468" s="193"/>
      <c r="T2468" s="192"/>
      <c r="U2468" s="829"/>
      <c r="V2468" s="10"/>
      <c r="W2468" s="10"/>
      <c r="X2468" s="10"/>
      <c r="Y2468" s="10"/>
      <c r="Z2468" s="10"/>
      <c r="AA2468" s="11"/>
      <c r="AB2468" s="11"/>
    </row>
    <row r="2469" spans="2:28" x14ac:dyDescent="0.3">
      <c r="B2469" s="10"/>
      <c r="C2469" s="315"/>
      <c r="D2469" s="868"/>
      <c r="E2469" s="837" t="str">
        <f>IFERROR(IF(_xlfn.XLOOKUP(Imput[[#This Row],[RFC]],'Alta Proveedor'!D:D,'Alta Proveedor'!E:E)=0,"",_xlfn.XLOOKUP(Imput[[#This Row],[RFC]],'Alta Proveedor'!D:D,'Alta Proveedor'!E:E)),"")</f>
        <v/>
      </c>
      <c r="F2469" s="832"/>
      <c r="G2469" s="187"/>
      <c r="H2469" s="1"/>
      <c r="I2469" s="169">
        <f>Imput[[#This Row],[Cantidad]]*Imput[[#This Row],[Precio Unitario]]</f>
        <v>0</v>
      </c>
      <c r="J2469" s="11">
        <f>((Imput[[#This Row],[Sub total]])*(0.16))</f>
        <v>0</v>
      </c>
      <c r="K2469" s="11">
        <v>0</v>
      </c>
      <c r="L2469" s="169">
        <f>Imput[[#This Row],[Sub total]]+Imput[[#This Row],[IVA]]-Imput[[#This Row],[Retención / IEPS / Descuento]]</f>
        <v>0</v>
      </c>
      <c r="M2469" s="844">
        <v>0</v>
      </c>
      <c r="N2469" s="189"/>
      <c r="O2469" s="1"/>
      <c r="P2469" s="189"/>
      <c r="Q2469" s="190"/>
      <c r="R2469" s="188"/>
      <c r="S2469" s="193"/>
      <c r="T2469" s="192"/>
      <c r="U2469" s="829"/>
      <c r="V2469" s="10"/>
      <c r="W2469" s="10"/>
      <c r="X2469" s="10"/>
      <c r="Y2469" s="10"/>
      <c r="Z2469" s="10"/>
      <c r="AA2469" s="11"/>
      <c r="AB2469" s="11"/>
    </row>
    <row r="2470" spans="2:28" x14ac:dyDescent="0.3">
      <c r="B2470" s="10"/>
      <c r="C2470" s="315"/>
      <c r="D2470" s="868"/>
      <c r="E2470" s="837" t="str">
        <f>IFERROR(IF(_xlfn.XLOOKUP(Imput[[#This Row],[RFC]],'Alta Proveedor'!D:D,'Alta Proveedor'!E:E)=0,"",_xlfn.XLOOKUP(Imput[[#This Row],[RFC]],'Alta Proveedor'!D:D,'Alta Proveedor'!E:E)),"")</f>
        <v/>
      </c>
      <c r="F2470" s="832"/>
      <c r="G2470" s="187"/>
      <c r="H2470" s="1"/>
      <c r="I2470" s="169">
        <f>Imput[[#This Row],[Cantidad]]*Imput[[#This Row],[Precio Unitario]]</f>
        <v>0</v>
      </c>
      <c r="J2470" s="11">
        <f>((Imput[[#This Row],[Sub total]])*(0.16))</f>
        <v>0</v>
      </c>
      <c r="K2470" s="11">
        <v>0</v>
      </c>
      <c r="L2470" s="169">
        <f>Imput[[#This Row],[Sub total]]+Imput[[#This Row],[IVA]]-Imput[[#This Row],[Retención / IEPS / Descuento]]</f>
        <v>0</v>
      </c>
      <c r="M2470" s="844">
        <v>0</v>
      </c>
      <c r="N2470" s="189"/>
      <c r="O2470" s="1"/>
      <c r="P2470" s="189"/>
      <c r="Q2470" s="190"/>
      <c r="R2470" s="188"/>
      <c r="S2470" s="193"/>
      <c r="T2470" s="192"/>
      <c r="U2470" s="829"/>
      <c r="V2470" s="10"/>
      <c r="W2470" s="10"/>
      <c r="X2470" s="10"/>
      <c r="Y2470" s="10"/>
      <c r="Z2470" s="10"/>
      <c r="AA2470" s="11"/>
      <c r="AB2470" s="11"/>
    </row>
    <row r="2471" spans="2:28" x14ac:dyDescent="0.3">
      <c r="B2471" s="10"/>
      <c r="C2471" s="315"/>
      <c r="D2471" s="868"/>
      <c r="E2471" s="837" t="str">
        <f>IFERROR(IF(_xlfn.XLOOKUP(Imput[[#This Row],[RFC]],'Alta Proveedor'!D:D,'Alta Proveedor'!E:E)=0,"",_xlfn.XLOOKUP(Imput[[#This Row],[RFC]],'Alta Proveedor'!D:D,'Alta Proveedor'!E:E)),"")</f>
        <v/>
      </c>
      <c r="F2471" s="832"/>
      <c r="G2471" s="187"/>
      <c r="H2471" s="1"/>
      <c r="I2471" s="169">
        <f>Imput[[#This Row],[Cantidad]]*Imput[[#This Row],[Precio Unitario]]</f>
        <v>0</v>
      </c>
      <c r="J2471" s="11">
        <f>((Imput[[#This Row],[Sub total]])*(0.16))</f>
        <v>0</v>
      </c>
      <c r="K2471" s="11">
        <v>0</v>
      </c>
      <c r="L2471" s="169">
        <f>Imput[[#This Row],[Sub total]]+Imput[[#This Row],[IVA]]-Imput[[#This Row],[Retención / IEPS / Descuento]]</f>
        <v>0</v>
      </c>
      <c r="M2471" s="844">
        <v>0</v>
      </c>
      <c r="N2471" s="189"/>
      <c r="O2471" s="1"/>
      <c r="P2471" s="189"/>
      <c r="Q2471" s="190"/>
      <c r="R2471" s="188"/>
      <c r="S2471" s="193"/>
      <c r="T2471" s="192"/>
      <c r="U2471" s="829"/>
      <c r="V2471" s="10"/>
      <c r="W2471" s="10"/>
      <c r="X2471" s="10"/>
      <c r="Y2471" s="10"/>
      <c r="Z2471" s="10"/>
      <c r="AA2471" s="11"/>
      <c r="AB2471" s="11"/>
    </row>
    <row r="2472" spans="2:28" x14ac:dyDescent="0.3">
      <c r="B2472" s="10"/>
      <c r="C2472" s="315"/>
      <c r="D2472" s="868"/>
      <c r="E2472" s="837" t="str">
        <f>IFERROR(IF(_xlfn.XLOOKUP(Imput[[#This Row],[RFC]],'Alta Proveedor'!D:D,'Alta Proveedor'!E:E)=0,"",_xlfn.XLOOKUP(Imput[[#This Row],[RFC]],'Alta Proveedor'!D:D,'Alta Proveedor'!E:E)),"")</f>
        <v/>
      </c>
      <c r="F2472" s="832"/>
      <c r="G2472" s="187"/>
      <c r="H2472" s="1"/>
      <c r="I2472" s="169">
        <f>Imput[[#This Row],[Cantidad]]*Imput[[#This Row],[Precio Unitario]]</f>
        <v>0</v>
      </c>
      <c r="J2472" s="11">
        <f>((Imput[[#This Row],[Sub total]])*(0.16))</f>
        <v>0</v>
      </c>
      <c r="K2472" s="11">
        <v>0</v>
      </c>
      <c r="L2472" s="169">
        <f>Imput[[#This Row],[Sub total]]+Imput[[#This Row],[IVA]]-Imput[[#This Row],[Retención / IEPS / Descuento]]</f>
        <v>0</v>
      </c>
      <c r="M2472" s="844">
        <v>0</v>
      </c>
      <c r="N2472" s="189"/>
      <c r="O2472" s="1"/>
      <c r="P2472" s="189"/>
      <c r="Q2472" s="190"/>
      <c r="R2472" s="188"/>
      <c r="S2472" s="193"/>
      <c r="T2472" s="192"/>
      <c r="U2472" s="829"/>
      <c r="V2472" s="10"/>
      <c r="W2472" s="10"/>
      <c r="X2472" s="10"/>
      <c r="Y2472" s="10"/>
      <c r="Z2472" s="10"/>
      <c r="AA2472" s="11"/>
      <c r="AB2472" s="11"/>
    </row>
    <row r="2473" spans="2:28" x14ac:dyDescent="0.3">
      <c r="B2473" s="10"/>
      <c r="C2473" s="315"/>
      <c r="D2473" s="868"/>
      <c r="E2473" s="837" t="str">
        <f>IFERROR(IF(_xlfn.XLOOKUP(Imput[[#This Row],[RFC]],'Alta Proveedor'!D:D,'Alta Proveedor'!E:E)=0,"",_xlfn.XLOOKUP(Imput[[#This Row],[RFC]],'Alta Proveedor'!D:D,'Alta Proveedor'!E:E)),"")</f>
        <v/>
      </c>
      <c r="F2473" s="832"/>
      <c r="G2473" s="187"/>
      <c r="H2473" s="1"/>
      <c r="I2473" s="169">
        <f>Imput[[#This Row],[Cantidad]]*Imput[[#This Row],[Precio Unitario]]</f>
        <v>0</v>
      </c>
      <c r="J2473" s="11">
        <f>((Imput[[#This Row],[Sub total]])*(0.16))</f>
        <v>0</v>
      </c>
      <c r="K2473" s="11">
        <v>0</v>
      </c>
      <c r="L2473" s="169">
        <f>Imput[[#This Row],[Sub total]]+Imput[[#This Row],[IVA]]-Imput[[#This Row],[Retención / IEPS / Descuento]]</f>
        <v>0</v>
      </c>
      <c r="M2473" s="844">
        <v>0</v>
      </c>
      <c r="N2473" s="189"/>
      <c r="O2473" s="1"/>
      <c r="P2473" s="189"/>
      <c r="Q2473" s="190"/>
      <c r="R2473" s="188"/>
      <c r="S2473" s="193"/>
      <c r="T2473" s="192"/>
      <c r="U2473" s="829"/>
      <c r="V2473" s="10"/>
      <c r="W2473" s="10"/>
      <c r="X2473" s="10"/>
      <c r="Y2473" s="10"/>
      <c r="Z2473" s="10"/>
      <c r="AA2473" s="11"/>
      <c r="AB2473" s="11"/>
    </row>
    <row r="2474" spans="2:28" x14ac:dyDescent="0.3">
      <c r="B2474" s="10"/>
      <c r="C2474" s="315"/>
      <c r="D2474" s="868"/>
      <c r="E2474" s="837" t="str">
        <f>IFERROR(IF(_xlfn.XLOOKUP(Imput[[#This Row],[RFC]],'Alta Proveedor'!D:D,'Alta Proveedor'!E:E)=0,"",_xlfn.XLOOKUP(Imput[[#This Row],[RFC]],'Alta Proveedor'!D:D,'Alta Proveedor'!E:E)),"")</f>
        <v/>
      </c>
      <c r="F2474" s="832"/>
      <c r="G2474" s="187"/>
      <c r="H2474" s="1"/>
      <c r="I2474" s="169">
        <f>Imput[[#This Row],[Cantidad]]*Imput[[#This Row],[Precio Unitario]]</f>
        <v>0</v>
      </c>
      <c r="J2474" s="11">
        <f>((Imput[[#This Row],[Sub total]])*(0.16))</f>
        <v>0</v>
      </c>
      <c r="K2474" s="11">
        <v>0</v>
      </c>
      <c r="L2474" s="169">
        <f>Imput[[#This Row],[Sub total]]+Imput[[#This Row],[IVA]]-Imput[[#This Row],[Retención / IEPS / Descuento]]</f>
        <v>0</v>
      </c>
      <c r="M2474" s="844">
        <v>0</v>
      </c>
      <c r="N2474" s="189"/>
      <c r="O2474" s="1"/>
      <c r="P2474" s="189"/>
      <c r="Q2474" s="190"/>
      <c r="R2474" s="188"/>
      <c r="S2474" s="193"/>
      <c r="T2474" s="192"/>
      <c r="U2474" s="829"/>
      <c r="V2474" s="10"/>
      <c r="W2474" s="10"/>
      <c r="X2474" s="10"/>
      <c r="Y2474" s="10"/>
      <c r="Z2474" s="10"/>
      <c r="AA2474" s="11"/>
      <c r="AB2474" s="11"/>
    </row>
    <row r="2475" spans="2:28" x14ac:dyDescent="0.3">
      <c r="B2475" s="10"/>
      <c r="C2475" s="315"/>
      <c r="D2475" s="868"/>
      <c r="E2475" s="837" t="str">
        <f>IFERROR(IF(_xlfn.XLOOKUP(Imput[[#This Row],[RFC]],'Alta Proveedor'!D:D,'Alta Proveedor'!E:E)=0,"",_xlfn.XLOOKUP(Imput[[#This Row],[RFC]],'Alta Proveedor'!D:D,'Alta Proveedor'!E:E)),"")</f>
        <v/>
      </c>
      <c r="F2475" s="832"/>
      <c r="G2475" s="187"/>
      <c r="H2475" s="1"/>
      <c r="I2475" s="169">
        <f>Imput[[#This Row],[Cantidad]]*Imput[[#This Row],[Precio Unitario]]</f>
        <v>0</v>
      </c>
      <c r="J2475" s="11">
        <f>((Imput[[#This Row],[Sub total]])*(0.16))</f>
        <v>0</v>
      </c>
      <c r="K2475" s="11">
        <v>0</v>
      </c>
      <c r="L2475" s="169">
        <f>Imput[[#This Row],[Sub total]]+Imput[[#This Row],[IVA]]-Imput[[#This Row],[Retención / IEPS / Descuento]]</f>
        <v>0</v>
      </c>
      <c r="M2475" s="844">
        <v>0</v>
      </c>
      <c r="N2475" s="189"/>
      <c r="O2475" s="1"/>
      <c r="P2475" s="189"/>
      <c r="Q2475" s="190"/>
      <c r="R2475" s="188"/>
      <c r="S2475" s="193"/>
      <c r="T2475" s="192"/>
      <c r="U2475" s="829"/>
      <c r="V2475" s="10"/>
      <c r="W2475" s="10"/>
      <c r="X2475" s="10"/>
      <c r="Y2475" s="10"/>
      <c r="Z2475" s="10"/>
      <c r="AA2475" s="11"/>
      <c r="AB2475" s="11"/>
    </row>
    <row r="2476" spans="2:28" x14ac:dyDescent="0.3">
      <c r="B2476" s="10"/>
      <c r="C2476" s="315"/>
      <c r="D2476" s="868"/>
      <c r="E2476" s="837" t="str">
        <f>IFERROR(IF(_xlfn.XLOOKUP(Imput[[#This Row],[RFC]],'Alta Proveedor'!D:D,'Alta Proveedor'!E:E)=0,"",_xlfn.XLOOKUP(Imput[[#This Row],[RFC]],'Alta Proveedor'!D:D,'Alta Proveedor'!E:E)),"")</f>
        <v/>
      </c>
      <c r="F2476" s="832"/>
      <c r="G2476" s="187"/>
      <c r="H2476" s="1"/>
      <c r="I2476" s="169">
        <f>Imput[[#This Row],[Cantidad]]*Imput[[#This Row],[Precio Unitario]]</f>
        <v>0</v>
      </c>
      <c r="J2476" s="11">
        <f>((Imput[[#This Row],[Sub total]])*(0.16))</f>
        <v>0</v>
      </c>
      <c r="K2476" s="11">
        <v>0</v>
      </c>
      <c r="L2476" s="169">
        <f>Imput[[#This Row],[Sub total]]+Imput[[#This Row],[IVA]]-Imput[[#This Row],[Retención / IEPS / Descuento]]</f>
        <v>0</v>
      </c>
      <c r="M2476" s="844">
        <v>0</v>
      </c>
      <c r="N2476" s="189"/>
      <c r="O2476" s="1"/>
      <c r="P2476" s="189"/>
      <c r="Q2476" s="190"/>
      <c r="R2476" s="188"/>
      <c r="S2476" s="193"/>
      <c r="T2476" s="192"/>
      <c r="U2476" s="829"/>
      <c r="V2476" s="10"/>
      <c r="W2476" s="10"/>
      <c r="X2476" s="10"/>
      <c r="Y2476" s="10"/>
      <c r="Z2476" s="10"/>
      <c r="AA2476" s="11"/>
      <c r="AB2476" s="11"/>
    </row>
    <row r="2477" spans="2:28" x14ac:dyDescent="0.3">
      <c r="B2477" s="10"/>
      <c r="C2477" s="315"/>
      <c r="D2477" s="868"/>
      <c r="E2477" s="837" t="str">
        <f>IFERROR(IF(_xlfn.XLOOKUP(Imput[[#This Row],[RFC]],'Alta Proveedor'!D:D,'Alta Proveedor'!E:E)=0,"",_xlfn.XLOOKUP(Imput[[#This Row],[RFC]],'Alta Proveedor'!D:D,'Alta Proveedor'!E:E)),"")</f>
        <v/>
      </c>
      <c r="F2477" s="832"/>
      <c r="G2477" s="187"/>
      <c r="H2477" s="1"/>
      <c r="I2477" s="169">
        <f>Imput[[#This Row],[Cantidad]]*Imput[[#This Row],[Precio Unitario]]</f>
        <v>0</v>
      </c>
      <c r="J2477" s="11">
        <f>((Imput[[#This Row],[Sub total]])*(0.16))</f>
        <v>0</v>
      </c>
      <c r="K2477" s="11">
        <v>0</v>
      </c>
      <c r="L2477" s="169">
        <f>Imput[[#This Row],[Sub total]]+Imput[[#This Row],[IVA]]-Imput[[#This Row],[Retención / IEPS / Descuento]]</f>
        <v>0</v>
      </c>
      <c r="M2477" s="844">
        <v>0</v>
      </c>
      <c r="N2477" s="189"/>
      <c r="O2477" s="1"/>
      <c r="P2477" s="189"/>
      <c r="Q2477" s="190"/>
      <c r="R2477" s="188"/>
      <c r="S2477" s="193"/>
      <c r="T2477" s="192"/>
      <c r="U2477" s="829"/>
      <c r="V2477" s="10"/>
      <c r="W2477" s="10"/>
      <c r="X2477" s="10"/>
      <c r="Y2477" s="10"/>
      <c r="Z2477" s="10"/>
      <c r="AA2477" s="11"/>
      <c r="AB2477" s="11"/>
    </row>
    <row r="2478" spans="2:28" x14ac:dyDescent="0.3">
      <c r="B2478" s="10"/>
      <c r="C2478" s="315"/>
      <c r="D2478" s="868"/>
      <c r="E2478" s="837" t="str">
        <f>IFERROR(IF(_xlfn.XLOOKUP(Imput[[#This Row],[RFC]],'Alta Proveedor'!D:D,'Alta Proveedor'!E:E)=0,"",_xlfn.XLOOKUP(Imput[[#This Row],[RFC]],'Alta Proveedor'!D:D,'Alta Proveedor'!E:E)),"")</f>
        <v/>
      </c>
      <c r="F2478" s="832"/>
      <c r="G2478" s="187"/>
      <c r="H2478" s="1"/>
      <c r="I2478" s="169">
        <f>Imput[[#This Row],[Cantidad]]*Imput[[#This Row],[Precio Unitario]]</f>
        <v>0</v>
      </c>
      <c r="J2478" s="11">
        <f>((Imput[[#This Row],[Sub total]])*(0.16))</f>
        <v>0</v>
      </c>
      <c r="K2478" s="11">
        <v>0</v>
      </c>
      <c r="L2478" s="169">
        <f>Imput[[#This Row],[Sub total]]+Imput[[#This Row],[IVA]]-Imput[[#This Row],[Retención / IEPS / Descuento]]</f>
        <v>0</v>
      </c>
      <c r="M2478" s="844">
        <v>0</v>
      </c>
      <c r="N2478" s="189"/>
      <c r="O2478" s="1"/>
      <c r="P2478" s="189"/>
      <c r="Q2478" s="190"/>
      <c r="R2478" s="188"/>
      <c r="S2478" s="193"/>
      <c r="T2478" s="192"/>
      <c r="U2478" s="829"/>
      <c r="V2478" s="10"/>
      <c r="W2478" s="10"/>
      <c r="X2478" s="10"/>
      <c r="Y2478" s="10"/>
      <c r="Z2478" s="10"/>
      <c r="AA2478" s="11"/>
      <c r="AB2478" s="11"/>
    </row>
    <row r="2479" spans="2:28" x14ac:dyDescent="0.3">
      <c r="B2479" s="10"/>
      <c r="C2479" s="315"/>
      <c r="D2479" s="868"/>
      <c r="E2479" s="837" t="str">
        <f>IFERROR(IF(_xlfn.XLOOKUP(Imput[[#This Row],[RFC]],'Alta Proveedor'!D:D,'Alta Proveedor'!E:E)=0,"",_xlfn.XLOOKUP(Imput[[#This Row],[RFC]],'Alta Proveedor'!D:D,'Alta Proveedor'!E:E)),"")</f>
        <v/>
      </c>
      <c r="F2479" s="832"/>
      <c r="G2479" s="187"/>
      <c r="H2479" s="1"/>
      <c r="I2479" s="169">
        <f>Imput[[#This Row],[Cantidad]]*Imput[[#This Row],[Precio Unitario]]</f>
        <v>0</v>
      </c>
      <c r="J2479" s="11">
        <f>((Imput[[#This Row],[Sub total]])*(0.16))</f>
        <v>0</v>
      </c>
      <c r="K2479" s="11">
        <v>0</v>
      </c>
      <c r="L2479" s="169">
        <f>Imput[[#This Row],[Sub total]]+Imput[[#This Row],[IVA]]-Imput[[#This Row],[Retención / IEPS / Descuento]]</f>
        <v>0</v>
      </c>
      <c r="M2479" s="844">
        <v>0</v>
      </c>
      <c r="N2479" s="189"/>
      <c r="O2479" s="1"/>
      <c r="P2479" s="189"/>
      <c r="Q2479" s="190"/>
      <c r="R2479" s="188"/>
      <c r="S2479" s="193"/>
      <c r="T2479" s="192"/>
      <c r="U2479" s="829"/>
      <c r="V2479" s="10"/>
      <c r="W2479" s="10"/>
      <c r="X2479" s="10"/>
      <c r="Y2479" s="10"/>
      <c r="Z2479" s="10"/>
      <c r="AA2479" s="11"/>
      <c r="AB2479" s="11"/>
    </row>
    <row r="2480" spans="2:28" x14ac:dyDescent="0.3">
      <c r="B2480" s="10"/>
      <c r="C2480" s="315"/>
      <c r="D2480" s="868"/>
      <c r="E2480" s="837" t="str">
        <f>IFERROR(IF(_xlfn.XLOOKUP(Imput[[#This Row],[RFC]],'Alta Proveedor'!D:D,'Alta Proveedor'!E:E)=0,"",_xlfn.XLOOKUP(Imput[[#This Row],[RFC]],'Alta Proveedor'!D:D,'Alta Proveedor'!E:E)),"")</f>
        <v/>
      </c>
      <c r="F2480" s="832"/>
      <c r="G2480" s="187"/>
      <c r="H2480" s="1"/>
      <c r="I2480" s="169">
        <f>Imput[[#This Row],[Cantidad]]*Imput[[#This Row],[Precio Unitario]]</f>
        <v>0</v>
      </c>
      <c r="J2480" s="11">
        <f>((Imput[[#This Row],[Sub total]])*(0.16))</f>
        <v>0</v>
      </c>
      <c r="K2480" s="11">
        <v>0</v>
      </c>
      <c r="L2480" s="169">
        <f>Imput[[#This Row],[Sub total]]+Imput[[#This Row],[IVA]]-Imput[[#This Row],[Retención / IEPS / Descuento]]</f>
        <v>0</v>
      </c>
      <c r="M2480" s="844">
        <v>0</v>
      </c>
      <c r="N2480" s="189"/>
      <c r="O2480" s="1"/>
      <c r="P2480" s="189"/>
      <c r="Q2480" s="190"/>
      <c r="R2480" s="188"/>
      <c r="S2480" s="193"/>
      <c r="T2480" s="192"/>
      <c r="U2480" s="829"/>
      <c r="V2480" s="10"/>
      <c r="W2480" s="10"/>
      <c r="X2480" s="10"/>
      <c r="Y2480" s="10"/>
      <c r="Z2480" s="10"/>
      <c r="AA2480" s="11"/>
      <c r="AB2480" s="11"/>
    </row>
    <row r="2481" spans="2:28" x14ac:dyDescent="0.3">
      <c r="B2481" s="10"/>
      <c r="C2481" s="315"/>
      <c r="D2481" s="868"/>
      <c r="E2481" s="837" t="str">
        <f>IFERROR(IF(_xlfn.XLOOKUP(Imput[[#This Row],[RFC]],'Alta Proveedor'!D:D,'Alta Proveedor'!E:E)=0,"",_xlfn.XLOOKUP(Imput[[#This Row],[RFC]],'Alta Proveedor'!D:D,'Alta Proveedor'!E:E)),"")</f>
        <v/>
      </c>
      <c r="F2481" s="832"/>
      <c r="G2481" s="187"/>
      <c r="H2481" s="1"/>
      <c r="I2481" s="169">
        <f>Imput[[#This Row],[Cantidad]]*Imput[[#This Row],[Precio Unitario]]</f>
        <v>0</v>
      </c>
      <c r="J2481" s="11">
        <f>((Imput[[#This Row],[Sub total]])*(0.16))</f>
        <v>0</v>
      </c>
      <c r="K2481" s="11">
        <v>0</v>
      </c>
      <c r="L2481" s="169">
        <f>Imput[[#This Row],[Sub total]]+Imput[[#This Row],[IVA]]-Imput[[#This Row],[Retención / IEPS / Descuento]]</f>
        <v>0</v>
      </c>
      <c r="M2481" s="844">
        <v>0</v>
      </c>
      <c r="N2481" s="189"/>
      <c r="O2481" s="1"/>
      <c r="P2481" s="189"/>
      <c r="Q2481" s="190"/>
      <c r="R2481" s="188"/>
      <c r="S2481" s="193"/>
      <c r="T2481" s="192"/>
      <c r="U2481" s="829"/>
      <c r="V2481" s="10"/>
      <c r="W2481" s="10"/>
      <c r="X2481" s="10"/>
      <c r="Y2481" s="10"/>
      <c r="Z2481" s="10"/>
      <c r="AA2481" s="11"/>
      <c r="AB2481" s="11"/>
    </row>
    <row r="2482" spans="2:28" x14ac:dyDescent="0.3">
      <c r="B2482" s="10"/>
      <c r="C2482" s="315"/>
      <c r="D2482" s="868"/>
      <c r="E2482" s="837" t="str">
        <f>IFERROR(IF(_xlfn.XLOOKUP(Imput[[#This Row],[RFC]],'Alta Proveedor'!D:D,'Alta Proveedor'!E:E)=0,"",_xlfn.XLOOKUP(Imput[[#This Row],[RFC]],'Alta Proveedor'!D:D,'Alta Proveedor'!E:E)),"")</f>
        <v/>
      </c>
      <c r="F2482" s="832"/>
      <c r="G2482" s="187"/>
      <c r="H2482" s="1"/>
      <c r="I2482" s="169">
        <f>Imput[[#This Row],[Cantidad]]*Imput[[#This Row],[Precio Unitario]]</f>
        <v>0</v>
      </c>
      <c r="J2482" s="11">
        <f>((Imput[[#This Row],[Sub total]])*(0.16))</f>
        <v>0</v>
      </c>
      <c r="K2482" s="11">
        <v>0</v>
      </c>
      <c r="L2482" s="169">
        <f>Imput[[#This Row],[Sub total]]+Imput[[#This Row],[IVA]]-Imput[[#This Row],[Retención / IEPS / Descuento]]</f>
        <v>0</v>
      </c>
      <c r="M2482" s="844">
        <v>0</v>
      </c>
      <c r="N2482" s="189"/>
      <c r="O2482" s="1"/>
      <c r="P2482" s="189"/>
      <c r="Q2482" s="190"/>
      <c r="R2482" s="188"/>
      <c r="S2482" s="193"/>
      <c r="T2482" s="192"/>
      <c r="U2482" s="829"/>
      <c r="V2482" s="10"/>
      <c r="W2482" s="10"/>
      <c r="X2482" s="10"/>
      <c r="Y2482" s="10"/>
      <c r="Z2482" s="10"/>
      <c r="AA2482" s="11"/>
      <c r="AB2482" s="11"/>
    </row>
    <row r="2483" spans="2:28" x14ac:dyDescent="0.3">
      <c r="B2483" s="10"/>
      <c r="C2483" s="315"/>
      <c r="D2483" s="868"/>
      <c r="E2483" s="837" t="str">
        <f>IFERROR(IF(_xlfn.XLOOKUP(Imput[[#This Row],[RFC]],'Alta Proveedor'!D:D,'Alta Proveedor'!E:E)=0,"",_xlfn.XLOOKUP(Imput[[#This Row],[RFC]],'Alta Proveedor'!D:D,'Alta Proveedor'!E:E)),"")</f>
        <v/>
      </c>
      <c r="F2483" s="832"/>
      <c r="G2483" s="187"/>
      <c r="H2483" s="1"/>
      <c r="I2483" s="169">
        <f>Imput[[#This Row],[Cantidad]]*Imput[[#This Row],[Precio Unitario]]</f>
        <v>0</v>
      </c>
      <c r="J2483" s="11">
        <f>((Imput[[#This Row],[Sub total]])*(0.16))</f>
        <v>0</v>
      </c>
      <c r="K2483" s="11">
        <v>0</v>
      </c>
      <c r="L2483" s="169">
        <f>Imput[[#This Row],[Sub total]]+Imput[[#This Row],[IVA]]-Imput[[#This Row],[Retención / IEPS / Descuento]]</f>
        <v>0</v>
      </c>
      <c r="M2483" s="844">
        <v>0</v>
      </c>
      <c r="N2483" s="189"/>
      <c r="O2483" s="1"/>
      <c r="P2483" s="189"/>
      <c r="Q2483" s="190"/>
      <c r="R2483" s="188"/>
      <c r="S2483" s="193"/>
      <c r="T2483" s="192"/>
      <c r="U2483" s="829"/>
      <c r="V2483" s="10"/>
      <c r="W2483" s="10"/>
      <c r="X2483" s="10"/>
      <c r="Y2483" s="10"/>
      <c r="Z2483" s="10"/>
      <c r="AA2483" s="11"/>
      <c r="AB2483" s="11"/>
    </row>
    <row r="2484" spans="2:28" x14ac:dyDescent="0.3">
      <c r="B2484" s="10"/>
      <c r="C2484" s="315"/>
      <c r="D2484" s="868"/>
      <c r="E2484" s="837" t="str">
        <f>IFERROR(IF(_xlfn.XLOOKUP(Imput[[#This Row],[RFC]],'Alta Proveedor'!D:D,'Alta Proveedor'!E:E)=0,"",_xlfn.XLOOKUP(Imput[[#This Row],[RFC]],'Alta Proveedor'!D:D,'Alta Proveedor'!E:E)),"")</f>
        <v/>
      </c>
      <c r="F2484" s="832"/>
      <c r="G2484" s="187"/>
      <c r="H2484" s="1"/>
      <c r="I2484" s="169">
        <f>Imput[[#This Row],[Cantidad]]*Imput[[#This Row],[Precio Unitario]]</f>
        <v>0</v>
      </c>
      <c r="J2484" s="11">
        <f>((Imput[[#This Row],[Sub total]])*(0.16))</f>
        <v>0</v>
      </c>
      <c r="K2484" s="11">
        <v>0</v>
      </c>
      <c r="L2484" s="169">
        <f>Imput[[#This Row],[Sub total]]+Imput[[#This Row],[IVA]]-Imput[[#This Row],[Retención / IEPS / Descuento]]</f>
        <v>0</v>
      </c>
      <c r="M2484" s="844">
        <v>0</v>
      </c>
      <c r="N2484" s="189"/>
      <c r="O2484" s="1"/>
      <c r="P2484" s="189"/>
      <c r="Q2484" s="190"/>
      <c r="R2484" s="188"/>
      <c r="S2484" s="193"/>
      <c r="T2484" s="192"/>
      <c r="U2484" s="829"/>
      <c r="V2484" s="10"/>
      <c r="W2484" s="10"/>
      <c r="X2484" s="10"/>
      <c r="Y2484" s="10"/>
      <c r="Z2484" s="10"/>
      <c r="AA2484" s="11"/>
      <c r="AB2484" s="11"/>
    </row>
    <row r="2485" spans="2:28" x14ac:dyDescent="0.3">
      <c r="B2485" s="10"/>
      <c r="C2485" s="315"/>
      <c r="D2485" s="868"/>
      <c r="E2485" s="837" t="str">
        <f>IFERROR(IF(_xlfn.XLOOKUP(Imput[[#This Row],[RFC]],'Alta Proveedor'!D:D,'Alta Proveedor'!E:E)=0,"",_xlfn.XLOOKUP(Imput[[#This Row],[RFC]],'Alta Proveedor'!D:D,'Alta Proveedor'!E:E)),"")</f>
        <v/>
      </c>
      <c r="F2485" s="832"/>
      <c r="G2485" s="187"/>
      <c r="H2485" s="1"/>
      <c r="I2485" s="169">
        <f>Imput[[#This Row],[Cantidad]]*Imput[[#This Row],[Precio Unitario]]</f>
        <v>0</v>
      </c>
      <c r="J2485" s="11">
        <f>((Imput[[#This Row],[Sub total]])*(0.16))</f>
        <v>0</v>
      </c>
      <c r="K2485" s="11">
        <v>0</v>
      </c>
      <c r="L2485" s="169">
        <f>Imput[[#This Row],[Sub total]]+Imput[[#This Row],[IVA]]-Imput[[#This Row],[Retención / IEPS / Descuento]]</f>
        <v>0</v>
      </c>
      <c r="M2485" s="844">
        <v>0</v>
      </c>
      <c r="N2485" s="189"/>
      <c r="O2485" s="1"/>
      <c r="P2485" s="189"/>
      <c r="Q2485" s="190"/>
      <c r="R2485" s="188"/>
      <c r="S2485" s="193"/>
      <c r="T2485" s="192"/>
      <c r="U2485" s="829"/>
      <c r="V2485" s="10"/>
      <c r="W2485" s="10"/>
      <c r="X2485" s="10"/>
      <c r="Y2485" s="10"/>
      <c r="Z2485" s="10"/>
      <c r="AA2485" s="11"/>
      <c r="AB2485" s="11"/>
    </row>
    <row r="2486" spans="2:28" x14ac:dyDescent="0.3">
      <c r="B2486" s="10"/>
      <c r="C2486" s="315"/>
      <c r="D2486" s="868"/>
      <c r="E2486" s="837" t="str">
        <f>IFERROR(IF(_xlfn.XLOOKUP(Imput[[#This Row],[RFC]],'Alta Proveedor'!D:D,'Alta Proveedor'!E:E)=0,"",_xlfn.XLOOKUP(Imput[[#This Row],[RFC]],'Alta Proveedor'!D:D,'Alta Proveedor'!E:E)),"")</f>
        <v/>
      </c>
      <c r="F2486" s="832"/>
      <c r="G2486" s="187"/>
      <c r="H2486" s="1"/>
      <c r="I2486" s="169">
        <f>Imput[[#This Row],[Cantidad]]*Imput[[#This Row],[Precio Unitario]]</f>
        <v>0</v>
      </c>
      <c r="J2486" s="11">
        <f>((Imput[[#This Row],[Sub total]])*(0.16))</f>
        <v>0</v>
      </c>
      <c r="K2486" s="11">
        <v>0</v>
      </c>
      <c r="L2486" s="169">
        <f>Imput[[#This Row],[Sub total]]+Imput[[#This Row],[IVA]]-Imput[[#This Row],[Retención / IEPS / Descuento]]</f>
        <v>0</v>
      </c>
      <c r="M2486" s="844">
        <v>0</v>
      </c>
      <c r="N2486" s="189"/>
      <c r="O2486" s="1"/>
      <c r="P2486" s="189"/>
      <c r="Q2486" s="190"/>
      <c r="R2486" s="188"/>
      <c r="S2486" s="193"/>
      <c r="T2486" s="192"/>
      <c r="U2486" s="829"/>
      <c r="V2486" s="10"/>
      <c r="W2486" s="10"/>
      <c r="X2486" s="10"/>
      <c r="Y2486" s="10"/>
      <c r="Z2486" s="10"/>
      <c r="AA2486" s="11"/>
      <c r="AB2486" s="11"/>
    </row>
    <row r="2487" spans="2:28" x14ac:dyDescent="0.3">
      <c r="B2487" s="10"/>
      <c r="C2487" s="315"/>
      <c r="D2487" s="868"/>
      <c r="E2487" s="837" t="str">
        <f>IFERROR(IF(_xlfn.XLOOKUP(Imput[[#This Row],[RFC]],'Alta Proveedor'!D:D,'Alta Proveedor'!E:E)=0,"",_xlfn.XLOOKUP(Imput[[#This Row],[RFC]],'Alta Proveedor'!D:D,'Alta Proveedor'!E:E)),"")</f>
        <v/>
      </c>
      <c r="F2487" s="832"/>
      <c r="G2487" s="187"/>
      <c r="H2487" s="1"/>
      <c r="I2487" s="169">
        <f>Imput[[#This Row],[Cantidad]]*Imput[[#This Row],[Precio Unitario]]</f>
        <v>0</v>
      </c>
      <c r="J2487" s="11">
        <f>((Imput[[#This Row],[Sub total]])*(0.16))</f>
        <v>0</v>
      </c>
      <c r="K2487" s="11">
        <v>0</v>
      </c>
      <c r="L2487" s="169">
        <f>Imput[[#This Row],[Sub total]]+Imput[[#This Row],[IVA]]-Imput[[#This Row],[Retención / IEPS / Descuento]]</f>
        <v>0</v>
      </c>
      <c r="M2487" s="844">
        <v>0</v>
      </c>
      <c r="N2487" s="189"/>
      <c r="O2487" s="1"/>
      <c r="P2487" s="189"/>
      <c r="Q2487" s="190"/>
      <c r="R2487" s="188"/>
      <c r="S2487" s="193"/>
      <c r="T2487" s="192"/>
      <c r="U2487" s="829"/>
      <c r="V2487" s="10"/>
      <c r="W2487" s="10"/>
      <c r="X2487" s="10"/>
      <c r="Y2487" s="10"/>
      <c r="Z2487" s="10"/>
      <c r="AA2487" s="11"/>
      <c r="AB2487" s="11"/>
    </row>
    <row r="2488" spans="2:28" x14ac:dyDescent="0.3">
      <c r="B2488" s="10"/>
      <c r="C2488" s="315"/>
      <c r="D2488" s="868"/>
      <c r="E2488" s="837" t="str">
        <f>IFERROR(IF(_xlfn.XLOOKUP(Imput[[#This Row],[RFC]],'Alta Proveedor'!D:D,'Alta Proveedor'!E:E)=0,"",_xlfn.XLOOKUP(Imput[[#This Row],[RFC]],'Alta Proveedor'!D:D,'Alta Proveedor'!E:E)),"")</f>
        <v/>
      </c>
      <c r="F2488" s="832"/>
      <c r="G2488" s="187"/>
      <c r="H2488" s="1"/>
      <c r="I2488" s="169">
        <f>Imput[[#This Row],[Cantidad]]*Imput[[#This Row],[Precio Unitario]]</f>
        <v>0</v>
      </c>
      <c r="J2488" s="11">
        <f>((Imput[[#This Row],[Sub total]])*(0.16))</f>
        <v>0</v>
      </c>
      <c r="K2488" s="11">
        <v>0</v>
      </c>
      <c r="L2488" s="169">
        <f>Imput[[#This Row],[Sub total]]+Imput[[#This Row],[IVA]]-Imput[[#This Row],[Retención / IEPS / Descuento]]</f>
        <v>0</v>
      </c>
      <c r="M2488" s="844">
        <v>0</v>
      </c>
      <c r="N2488" s="189"/>
      <c r="O2488" s="1"/>
      <c r="P2488" s="189"/>
      <c r="Q2488" s="190"/>
      <c r="R2488" s="188"/>
      <c r="S2488" s="193"/>
      <c r="T2488" s="192"/>
      <c r="U2488" s="829"/>
      <c r="V2488" s="10"/>
      <c r="W2488" s="10"/>
      <c r="X2488" s="10"/>
      <c r="Y2488" s="10"/>
      <c r="Z2488" s="10"/>
      <c r="AA2488" s="11"/>
      <c r="AB2488" s="11"/>
    </row>
    <row r="2489" spans="2:28" x14ac:dyDescent="0.3">
      <c r="B2489" s="10"/>
      <c r="C2489" s="315"/>
      <c r="D2489" s="868"/>
      <c r="E2489" s="837" t="str">
        <f>IFERROR(IF(_xlfn.XLOOKUP(Imput[[#This Row],[RFC]],'Alta Proveedor'!D:D,'Alta Proveedor'!E:E)=0,"",_xlfn.XLOOKUP(Imput[[#This Row],[RFC]],'Alta Proveedor'!D:D,'Alta Proveedor'!E:E)),"")</f>
        <v/>
      </c>
      <c r="F2489" s="832"/>
      <c r="G2489" s="187"/>
      <c r="H2489" s="1"/>
      <c r="I2489" s="169">
        <f>Imput[[#This Row],[Cantidad]]*Imput[[#This Row],[Precio Unitario]]</f>
        <v>0</v>
      </c>
      <c r="J2489" s="11">
        <f>((Imput[[#This Row],[Sub total]])*(0.16))</f>
        <v>0</v>
      </c>
      <c r="K2489" s="11">
        <v>0</v>
      </c>
      <c r="L2489" s="169">
        <f>Imput[[#This Row],[Sub total]]+Imput[[#This Row],[IVA]]-Imput[[#This Row],[Retención / IEPS / Descuento]]</f>
        <v>0</v>
      </c>
      <c r="M2489" s="844">
        <v>0</v>
      </c>
      <c r="N2489" s="189"/>
      <c r="O2489" s="1"/>
      <c r="P2489" s="189"/>
      <c r="Q2489" s="190"/>
      <c r="R2489" s="188"/>
      <c r="S2489" s="193"/>
      <c r="T2489" s="192"/>
      <c r="U2489" s="829"/>
      <c r="V2489" s="10"/>
      <c r="W2489" s="10"/>
      <c r="X2489" s="10"/>
      <c r="Y2489" s="10"/>
      <c r="Z2489" s="10"/>
      <c r="AA2489" s="11"/>
      <c r="AB2489" s="11"/>
    </row>
    <row r="2490" spans="2:28" x14ac:dyDescent="0.3">
      <c r="B2490" s="10"/>
      <c r="C2490" s="315"/>
      <c r="D2490" s="868"/>
      <c r="E2490" s="837" t="str">
        <f>IFERROR(IF(_xlfn.XLOOKUP(Imput[[#This Row],[RFC]],'Alta Proveedor'!D:D,'Alta Proveedor'!E:E)=0,"",_xlfn.XLOOKUP(Imput[[#This Row],[RFC]],'Alta Proveedor'!D:D,'Alta Proveedor'!E:E)),"")</f>
        <v/>
      </c>
      <c r="F2490" s="832"/>
      <c r="G2490" s="187"/>
      <c r="H2490" s="1"/>
      <c r="I2490" s="169">
        <f>Imput[[#This Row],[Cantidad]]*Imput[[#This Row],[Precio Unitario]]</f>
        <v>0</v>
      </c>
      <c r="J2490" s="11">
        <f>((Imput[[#This Row],[Sub total]])*(0.16))</f>
        <v>0</v>
      </c>
      <c r="K2490" s="11">
        <v>0</v>
      </c>
      <c r="L2490" s="169">
        <f>Imput[[#This Row],[Sub total]]+Imput[[#This Row],[IVA]]-Imput[[#This Row],[Retención / IEPS / Descuento]]</f>
        <v>0</v>
      </c>
      <c r="M2490" s="844">
        <v>0</v>
      </c>
      <c r="N2490" s="189"/>
      <c r="O2490" s="1"/>
      <c r="P2490" s="189"/>
      <c r="Q2490" s="190"/>
      <c r="R2490" s="188"/>
      <c r="S2490" s="193"/>
      <c r="T2490" s="192"/>
      <c r="U2490" s="829"/>
      <c r="V2490" s="10"/>
      <c r="W2490" s="10"/>
      <c r="X2490" s="10"/>
      <c r="Y2490" s="10"/>
      <c r="Z2490" s="10"/>
      <c r="AA2490" s="11"/>
      <c r="AB2490" s="11"/>
    </row>
    <row r="2491" spans="2:28" x14ac:dyDescent="0.3">
      <c r="B2491" s="10"/>
      <c r="C2491" s="315"/>
      <c r="D2491" s="868"/>
      <c r="E2491" s="837" t="str">
        <f>IFERROR(IF(_xlfn.XLOOKUP(Imput[[#This Row],[RFC]],'Alta Proveedor'!D:D,'Alta Proveedor'!E:E)=0,"",_xlfn.XLOOKUP(Imput[[#This Row],[RFC]],'Alta Proveedor'!D:D,'Alta Proveedor'!E:E)),"")</f>
        <v/>
      </c>
      <c r="F2491" s="832"/>
      <c r="G2491" s="187"/>
      <c r="H2491" s="1"/>
      <c r="I2491" s="169">
        <f>Imput[[#This Row],[Cantidad]]*Imput[[#This Row],[Precio Unitario]]</f>
        <v>0</v>
      </c>
      <c r="J2491" s="11">
        <f>((Imput[[#This Row],[Sub total]])*(0.16))</f>
        <v>0</v>
      </c>
      <c r="K2491" s="11">
        <v>0</v>
      </c>
      <c r="L2491" s="169">
        <f>Imput[[#This Row],[Sub total]]+Imput[[#This Row],[IVA]]-Imput[[#This Row],[Retención / IEPS / Descuento]]</f>
        <v>0</v>
      </c>
      <c r="M2491" s="844">
        <v>0</v>
      </c>
      <c r="N2491" s="189"/>
      <c r="O2491" s="1"/>
      <c r="P2491" s="189"/>
      <c r="Q2491" s="190"/>
      <c r="R2491" s="188"/>
      <c r="S2491" s="193"/>
      <c r="T2491" s="192"/>
      <c r="U2491" s="829"/>
      <c r="V2491" s="10"/>
      <c r="W2491" s="10"/>
      <c r="X2491" s="10"/>
      <c r="Y2491" s="10"/>
      <c r="Z2491" s="10"/>
      <c r="AA2491" s="11"/>
      <c r="AB2491" s="11"/>
    </row>
    <row r="2492" spans="2:28" x14ac:dyDescent="0.3">
      <c r="B2492" s="10"/>
      <c r="C2492" s="315"/>
      <c r="D2492" s="868"/>
      <c r="E2492" s="837" t="str">
        <f>IFERROR(IF(_xlfn.XLOOKUP(Imput[[#This Row],[RFC]],'Alta Proveedor'!D:D,'Alta Proveedor'!E:E)=0,"",_xlfn.XLOOKUP(Imput[[#This Row],[RFC]],'Alta Proveedor'!D:D,'Alta Proveedor'!E:E)),"")</f>
        <v/>
      </c>
      <c r="F2492" s="832"/>
      <c r="G2492" s="187"/>
      <c r="H2492" s="1"/>
      <c r="I2492" s="169">
        <f>Imput[[#This Row],[Cantidad]]*Imput[[#This Row],[Precio Unitario]]</f>
        <v>0</v>
      </c>
      <c r="J2492" s="11">
        <f>((Imput[[#This Row],[Sub total]])*(0.16))</f>
        <v>0</v>
      </c>
      <c r="K2492" s="11">
        <v>0</v>
      </c>
      <c r="L2492" s="169">
        <f>Imput[[#This Row],[Sub total]]+Imput[[#This Row],[IVA]]-Imput[[#This Row],[Retención / IEPS / Descuento]]</f>
        <v>0</v>
      </c>
      <c r="M2492" s="844">
        <v>0</v>
      </c>
      <c r="N2492" s="189"/>
      <c r="O2492" s="1"/>
      <c r="P2492" s="189"/>
      <c r="Q2492" s="190"/>
      <c r="R2492" s="188"/>
      <c r="S2492" s="193"/>
      <c r="T2492" s="192"/>
      <c r="U2492" s="829"/>
      <c r="V2492" s="10"/>
      <c r="W2492" s="10"/>
      <c r="X2492" s="10"/>
      <c r="Y2492" s="10"/>
      <c r="Z2492" s="10"/>
      <c r="AA2492" s="11"/>
      <c r="AB2492" s="11"/>
    </row>
    <row r="2493" spans="2:28" x14ac:dyDescent="0.3">
      <c r="B2493" s="10"/>
      <c r="C2493" s="315"/>
      <c r="D2493" s="868"/>
      <c r="E2493" s="837" t="str">
        <f>IFERROR(IF(_xlfn.XLOOKUP(Imput[[#This Row],[RFC]],'Alta Proveedor'!D:D,'Alta Proveedor'!E:E)=0,"",_xlfn.XLOOKUP(Imput[[#This Row],[RFC]],'Alta Proveedor'!D:D,'Alta Proveedor'!E:E)),"")</f>
        <v/>
      </c>
      <c r="F2493" s="832"/>
      <c r="G2493" s="187"/>
      <c r="H2493" s="1"/>
      <c r="I2493" s="169">
        <f>Imput[[#This Row],[Cantidad]]*Imput[[#This Row],[Precio Unitario]]</f>
        <v>0</v>
      </c>
      <c r="J2493" s="11">
        <f>((Imput[[#This Row],[Sub total]])*(0.16))</f>
        <v>0</v>
      </c>
      <c r="K2493" s="11">
        <v>0</v>
      </c>
      <c r="L2493" s="169">
        <f>Imput[[#This Row],[Sub total]]+Imput[[#This Row],[IVA]]-Imput[[#This Row],[Retención / IEPS / Descuento]]</f>
        <v>0</v>
      </c>
      <c r="M2493" s="844">
        <v>0</v>
      </c>
      <c r="N2493" s="189"/>
      <c r="O2493" s="1"/>
      <c r="P2493" s="189"/>
      <c r="Q2493" s="190"/>
      <c r="R2493" s="188"/>
      <c r="S2493" s="193"/>
      <c r="T2493" s="192"/>
      <c r="U2493" s="829"/>
      <c r="V2493" s="10"/>
      <c r="W2493" s="10"/>
      <c r="X2493" s="10"/>
      <c r="Y2493" s="10"/>
      <c r="Z2493" s="10"/>
      <c r="AA2493" s="11"/>
      <c r="AB2493" s="11"/>
    </row>
    <row r="2494" spans="2:28" x14ac:dyDescent="0.3">
      <c r="B2494" s="10"/>
      <c r="C2494" s="315"/>
      <c r="D2494" s="868"/>
      <c r="E2494" s="837" t="str">
        <f>IFERROR(IF(_xlfn.XLOOKUP(Imput[[#This Row],[RFC]],'Alta Proveedor'!D:D,'Alta Proveedor'!E:E)=0,"",_xlfn.XLOOKUP(Imput[[#This Row],[RFC]],'Alta Proveedor'!D:D,'Alta Proveedor'!E:E)),"")</f>
        <v/>
      </c>
      <c r="F2494" s="832"/>
      <c r="G2494" s="187"/>
      <c r="H2494" s="1"/>
      <c r="I2494" s="169">
        <f>Imput[[#This Row],[Cantidad]]*Imput[[#This Row],[Precio Unitario]]</f>
        <v>0</v>
      </c>
      <c r="J2494" s="11">
        <f>((Imput[[#This Row],[Sub total]])*(0.16))</f>
        <v>0</v>
      </c>
      <c r="K2494" s="11">
        <v>0</v>
      </c>
      <c r="L2494" s="169">
        <f>Imput[[#This Row],[Sub total]]+Imput[[#This Row],[IVA]]-Imput[[#This Row],[Retención / IEPS / Descuento]]</f>
        <v>0</v>
      </c>
      <c r="M2494" s="844">
        <v>0</v>
      </c>
      <c r="N2494" s="189"/>
      <c r="O2494" s="1"/>
      <c r="P2494" s="189"/>
      <c r="Q2494" s="190"/>
      <c r="R2494" s="188"/>
      <c r="S2494" s="193"/>
      <c r="T2494" s="192"/>
      <c r="U2494" s="829"/>
      <c r="V2494" s="10"/>
      <c r="W2494" s="10"/>
      <c r="X2494" s="10"/>
      <c r="Y2494" s="10"/>
      <c r="Z2494" s="10"/>
      <c r="AA2494" s="11"/>
      <c r="AB2494" s="11"/>
    </row>
    <row r="2495" spans="2:28" x14ac:dyDescent="0.3">
      <c r="B2495" s="10"/>
      <c r="C2495" s="315"/>
      <c r="D2495" s="868"/>
      <c r="E2495" s="837" t="str">
        <f>IFERROR(IF(_xlfn.XLOOKUP(Imput[[#This Row],[RFC]],'Alta Proveedor'!D:D,'Alta Proveedor'!E:E)=0,"",_xlfn.XLOOKUP(Imput[[#This Row],[RFC]],'Alta Proveedor'!D:D,'Alta Proveedor'!E:E)),"")</f>
        <v/>
      </c>
      <c r="F2495" s="832"/>
      <c r="G2495" s="187"/>
      <c r="H2495" s="1"/>
      <c r="I2495" s="169">
        <f>Imput[[#This Row],[Cantidad]]*Imput[[#This Row],[Precio Unitario]]</f>
        <v>0</v>
      </c>
      <c r="J2495" s="11">
        <f>((Imput[[#This Row],[Sub total]])*(0.16))</f>
        <v>0</v>
      </c>
      <c r="K2495" s="11">
        <v>0</v>
      </c>
      <c r="L2495" s="169">
        <f>Imput[[#This Row],[Sub total]]+Imput[[#This Row],[IVA]]-Imput[[#This Row],[Retención / IEPS / Descuento]]</f>
        <v>0</v>
      </c>
      <c r="M2495" s="844">
        <v>0</v>
      </c>
      <c r="N2495" s="189"/>
      <c r="O2495" s="1"/>
      <c r="P2495" s="189"/>
      <c r="Q2495" s="190"/>
      <c r="R2495" s="188"/>
      <c r="S2495" s="193"/>
      <c r="T2495" s="192"/>
      <c r="U2495" s="829"/>
      <c r="V2495" s="10"/>
      <c r="W2495" s="10"/>
      <c r="X2495" s="10"/>
      <c r="Y2495" s="10"/>
      <c r="Z2495" s="10"/>
      <c r="AA2495" s="11"/>
      <c r="AB2495" s="11"/>
    </row>
    <row r="2496" spans="2:28" x14ac:dyDescent="0.3">
      <c r="B2496" s="10"/>
      <c r="C2496" s="315"/>
      <c r="D2496" s="868"/>
      <c r="E2496" s="837" t="str">
        <f>IFERROR(IF(_xlfn.XLOOKUP(Imput[[#This Row],[RFC]],'Alta Proveedor'!D:D,'Alta Proveedor'!E:E)=0,"",_xlfn.XLOOKUP(Imput[[#This Row],[RFC]],'Alta Proveedor'!D:D,'Alta Proveedor'!E:E)),"")</f>
        <v/>
      </c>
      <c r="F2496" s="832"/>
      <c r="G2496" s="187"/>
      <c r="H2496" s="1"/>
      <c r="I2496" s="169">
        <f>Imput[[#This Row],[Cantidad]]*Imput[[#This Row],[Precio Unitario]]</f>
        <v>0</v>
      </c>
      <c r="J2496" s="11">
        <f>((Imput[[#This Row],[Sub total]])*(0.16))</f>
        <v>0</v>
      </c>
      <c r="K2496" s="11">
        <v>0</v>
      </c>
      <c r="L2496" s="169">
        <f>Imput[[#This Row],[Sub total]]+Imput[[#This Row],[IVA]]-Imput[[#This Row],[Retención / IEPS / Descuento]]</f>
        <v>0</v>
      </c>
      <c r="M2496" s="844">
        <v>0</v>
      </c>
      <c r="N2496" s="189"/>
      <c r="O2496" s="1"/>
      <c r="P2496" s="189"/>
      <c r="Q2496" s="190"/>
      <c r="R2496" s="188"/>
      <c r="S2496" s="193"/>
      <c r="T2496" s="192"/>
      <c r="U2496" s="829"/>
      <c r="V2496" s="10"/>
      <c r="W2496" s="10"/>
      <c r="X2496" s="10"/>
      <c r="Y2496" s="10"/>
      <c r="Z2496" s="10"/>
      <c r="AA2496" s="11"/>
      <c r="AB2496" s="11"/>
    </row>
    <row r="2497" spans="2:28" x14ac:dyDescent="0.3">
      <c r="B2497" s="10"/>
      <c r="C2497" s="315"/>
      <c r="D2497" s="868"/>
      <c r="E2497" s="837" t="str">
        <f>IFERROR(IF(_xlfn.XLOOKUP(Imput[[#This Row],[RFC]],'Alta Proveedor'!D:D,'Alta Proveedor'!E:E)=0,"",_xlfn.XLOOKUP(Imput[[#This Row],[RFC]],'Alta Proveedor'!D:D,'Alta Proveedor'!E:E)),"")</f>
        <v/>
      </c>
      <c r="F2497" s="832"/>
      <c r="G2497" s="187"/>
      <c r="H2497" s="1"/>
      <c r="I2497" s="169">
        <f>Imput[[#This Row],[Cantidad]]*Imput[[#This Row],[Precio Unitario]]</f>
        <v>0</v>
      </c>
      <c r="J2497" s="11">
        <f>((Imput[[#This Row],[Sub total]])*(0.16))</f>
        <v>0</v>
      </c>
      <c r="K2497" s="11">
        <v>0</v>
      </c>
      <c r="L2497" s="169">
        <f>Imput[[#This Row],[Sub total]]+Imput[[#This Row],[IVA]]-Imput[[#This Row],[Retención / IEPS / Descuento]]</f>
        <v>0</v>
      </c>
      <c r="M2497" s="844">
        <v>0</v>
      </c>
      <c r="N2497" s="189"/>
      <c r="O2497" s="1"/>
      <c r="P2497" s="189"/>
      <c r="Q2497" s="190"/>
      <c r="R2497" s="188"/>
      <c r="S2497" s="193"/>
      <c r="T2497" s="192"/>
      <c r="U2497" s="829"/>
      <c r="V2497" s="10"/>
      <c r="W2497" s="10"/>
      <c r="X2497" s="10"/>
      <c r="Y2497" s="10"/>
      <c r="Z2497" s="10"/>
      <c r="AA2497" s="11"/>
      <c r="AB2497" s="11"/>
    </row>
    <row r="2498" spans="2:28" x14ac:dyDescent="0.3">
      <c r="B2498" s="10"/>
      <c r="C2498" s="315"/>
      <c r="D2498" s="868"/>
      <c r="E2498" s="837" t="str">
        <f>IFERROR(IF(_xlfn.XLOOKUP(Imput[[#This Row],[RFC]],'Alta Proveedor'!D:D,'Alta Proveedor'!E:E)=0,"",_xlfn.XLOOKUP(Imput[[#This Row],[RFC]],'Alta Proveedor'!D:D,'Alta Proveedor'!E:E)),"")</f>
        <v/>
      </c>
      <c r="F2498" s="832"/>
      <c r="G2498" s="187"/>
      <c r="H2498" s="1"/>
      <c r="I2498" s="169">
        <f>Imput[[#This Row],[Cantidad]]*Imput[[#This Row],[Precio Unitario]]</f>
        <v>0</v>
      </c>
      <c r="J2498" s="11">
        <f>((Imput[[#This Row],[Sub total]])*(0.16))</f>
        <v>0</v>
      </c>
      <c r="K2498" s="11">
        <v>0</v>
      </c>
      <c r="L2498" s="169">
        <f>Imput[[#This Row],[Sub total]]+Imput[[#This Row],[IVA]]-Imput[[#This Row],[Retención / IEPS / Descuento]]</f>
        <v>0</v>
      </c>
      <c r="M2498" s="844">
        <v>0</v>
      </c>
      <c r="N2498" s="189"/>
      <c r="O2498" s="1"/>
      <c r="P2498" s="189"/>
      <c r="Q2498" s="190"/>
      <c r="R2498" s="188"/>
      <c r="S2498" s="193"/>
      <c r="T2498" s="192"/>
      <c r="U2498" s="829"/>
      <c r="V2498" s="10"/>
      <c r="W2498" s="10"/>
      <c r="X2498" s="10"/>
      <c r="Y2498" s="10"/>
      <c r="Z2498" s="10"/>
      <c r="AA2498" s="11"/>
      <c r="AB2498" s="11"/>
    </row>
    <row r="2499" spans="2:28" x14ac:dyDescent="0.3">
      <c r="B2499" s="10"/>
      <c r="C2499" s="315"/>
      <c r="D2499" s="868"/>
      <c r="E2499" s="837" t="str">
        <f>IFERROR(IF(_xlfn.XLOOKUP(Imput[[#This Row],[RFC]],'Alta Proveedor'!D:D,'Alta Proveedor'!E:E)=0,"",_xlfn.XLOOKUP(Imput[[#This Row],[RFC]],'Alta Proveedor'!D:D,'Alta Proveedor'!E:E)),"")</f>
        <v/>
      </c>
      <c r="F2499" s="832"/>
      <c r="G2499" s="187"/>
      <c r="H2499" s="1"/>
      <c r="I2499" s="169">
        <f>Imput[[#This Row],[Cantidad]]*Imput[[#This Row],[Precio Unitario]]</f>
        <v>0</v>
      </c>
      <c r="J2499" s="11">
        <f>((Imput[[#This Row],[Sub total]])*(0.16))</f>
        <v>0</v>
      </c>
      <c r="K2499" s="11">
        <v>0</v>
      </c>
      <c r="L2499" s="169">
        <f>Imput[[#This Row],[Sub total]]+Imput[[#This Row],[IVA]]-Imput[[#This Row],[Retención / IEPS / Descuento]]</f>
        <v>0</v>
      </c>
      <c r="M2499" s="844">
        <v>0</v>
      </c>
      <c r="N2499" s="189"/>
      <c r="O2499" s="1"/>
      <c r="P2499" s="189"/>
      <c r="Q2499" s="190"/>
      <c r="R2499" s="188"/>
      <c r="S2499" s="193"/>
      <c r="T2499" s="192"/>
      <c r="U2499" s="829"/>
      <c r="V2499" s="10"/>
      <c r="W2499" s="10"/>
      <c r="X2499" s="10"/>
      <c r="Y2499" s="10"/>
      <c r="Z2499" s="10"/>
      <c r="AA2499" s="11"/>
      <c r="AB2499" s="11"/>
    </row>
    <row r="2500" spans="2:28" x14ac:dyDescent="0.3">
      <c r="B2500" s="10"/>
      <c r="C2500" s="315"/>
      <c r="D2500" s="868"/>
      <c r="E2500" s="837" t="str">
        <f>IFERROR(IF(_xlfn.XLOOKUP(Imput[[#This Row],[RFC]],'Alta Proveedor'!D:D,'Alta Proveedor'!E:E)=0,"",_xlfn.XLOOKUP(Imput[[#This Row],[RFC]],'Alta Proveedor'!D:D,'Alta Proveedor'!E:E)),"")</f>
        <v/>
      </c>
      <c r="F2500" s="832"/>
      <c r="G2500" s="187"/>
      <c r="H2500" s="1"/>
      <c r="I2500" s="169">
        <f>Imput[[#This Row],[Cantidad]]*Imput[[#This Row],[Precio Unitario]]</f>
        <v>0</v>
      </c>
      <c r="J2500" s="11">
        <f>((Imput[[#This Row],[Sub total]])*(0.16))</f>
        <v>0</v>
      </c>
      <c r="K2500" s="11">
        <v>0</v>
      </c>
      <c r="L2500" s="169">
        <f>Imput[[#This Row],[Sub total]]+Imput[[#This Row],[IVA]]-Imput[[#This Row],[Retención / IEPS / Descuento]]</f>
        <v>0</v>
      </c>
      <c r="M2500" s="844">
        <v>0</v>
      </c>
      <c r="N2500" s="189"/>
      <c r="O2500" s="1"/>
      <c r="P2500" s="189"/>
      <c r="Q2500" s="190"/>
      <c r="R2500" s="188"/>
      <c r="S2500" s="193"/>
      <c r="T2500" s="192"/>
      <c r="U2500" s="829"/>
      <c r="V2500" s="10"/>
      <c r="W2500" s="10"/>
      <c r="X2500" s="10"/>
      <c r="Y2500" s="10"/>
      <c r="Z2500" s="10"/>
      <c r="AA2500" s="11"/>
      <c r="AB2500" s="11"/>
    </row>
    <row r="2501" spans="2:28" x14ac:dyDescent="0.3">
      <c r="B2501" s="10"/>
      <c r="C2501" s="315"/>
      <c r="D2501" s="868"/>
      <c r="E2501" s="837" t="str">
        <f>IFERROR(IF(_xlfn.XLOOKUP(Imput[[#This Row],[RFC]],'Alta Proveedor'!D:D,'Alta Proveedor'!E:E)=0,"",_xlfn.XLOOKUP(Imput[[#This Row],[RFC]],'Alta Proveedor'!D:D,'Alta Proveedor'!E:E)),"")</f>
        <v/>
      </c>
      <c r="F2501" s="832"/>
      <c r="G2501" s="187"/>
      <c r="H2501" s="1"/>
      <c r="I2501" s="169">
        <f>Imput[[#This Row],[Cantidad]]*Imput[[#This Row],[Precio Unitario]]</f>
        <v>0</v>
      </c>
      <c r="J2501" s="11">
        <f>((Imput[[#This Row],[Sub total]])*(0.16))</f>
        <v>0</v>
      </c>
      <c r="K2501" s="11">
        <v>0</v>
      </c>
      <c r="L2501" s="169">
        <f>Imput[[#This Row],[Sub total]]+Imput[[#This Row],[IVA]]-Imput[[#This Row],[Retención / IEPS / Descuento]]</f>
        <v>0</v>
      </c>
      <c r="M2501" s="844">
        <v>0</v>
      </c>
      <c r="N2501" s="189"/>
      <c r="O2501" s="1"/>
      <c r="P2501" s="189"/>
      <c r="Q2501" s="190"/>
      <c r="R2501" s="188"/>
      <c r="S2501" s="193"/>
      <c r="T2501" s="192"/>
      <c r="U2501" s="829"/>
      <c r="V2501" s="10"/>
      <c r="W2501" s="10"/>
      <c r="X2501" s="10"/>
      <c r="Y2501" s="10"/>
      <c r="Z2501" s="10"/>
      <c r="AA2501" s="11"/>
      <c r="AB2501" s="11"/>
    </row>
    <row r="2502" spans="2:28" x14ac:dyDescent="0.3">
      <c r="B2502" s="10"/>
      <c r="C2502" s="315"/>
      <c r="D2502" s="868"/>
      <c r="E2502" s="837" t="str">
        <f>IFERROR(IF(_xlfn.XLOOKUP(Imput[[#This Row],[RFC]],'Alta Proveedor'!D:D,'Alta Proveedor'!E:E)=0,"",_xlfn.XLOOKUP(Imput[[#This Row],[RFC]],'Alta Proveedor'!D:D,'Alta Proveedor'!E:E)),"")</f>
        <v/>
      </c>
      <c r="F2502" s="832"/>
      <c r="G2502" s="187"/>
      <c r="H2502" s="1"/>
      <c r="I2502" s="169">
        <f>Imput[[#This Row],[Cantidad]]*Imput[[#This Row],[Precio Unitario]]</f>
        <v>0</v>
      </c>
      <c r="J2502" s="11">
        <f>((Imput[[#This Row],[Sub total]])*(0.16))</f>
        <v>0</v>
      </c>
      <c r="K2502" s="11">
        <v>0</v>
      </c>
      <c r="L2502" s="169">
        <f>Imput[[#This Row],[Sub total]]+Imput[[#This Row],[IVA]]-Imput[[#This Row],[Retención / IEPS / Descuento]]</f>
        <v>0</v>
      </c>
      <c r="M2502" s="844">
        <v>0</v>
      </c>
      <c r="N2502" s="189"/>
      <c r="O2502" s="1"/>
      <c r="P2502" s="189"/>
      <c r="Q2502" s="190"/>
      <c r="R2502" s="188"/>
      <c r="S2502" s="193"/>
      <c r="T2502" s="192"/>
      <c r="U2502" s="829"/>
      <c r="V2502" s="10"/>
      <c r="W2502" s="10"/>
      <c r="X2502" s="10"/>
      <c r="Y2502" s="10"/>
      <c r="Z2502" s="10"/>
      <c r="AA2502" s="11"/>
      <c r="AB2502" s="11"/>
    </row>
    <row r="2503" spans="2:28" x14ac:dyDescent="0.3">
      <c r="B2503" s="10"/>
      <c r="C2503" s="315"/>
      <c r="D2503" s="868"/>
      <c r="E2503" s="837" t="str">
        <f>IFERROR(IF(_xlfn.XLOOKUP(Imput[[#This Row],[RFC]],'Alta Proveedor'!D:D,'Alta Proveedor'!E:E)=0,"",_xlfn.XLOOKUP(Imput[[#This Row],[RFC]],'Alta Proveedor'!D:D,'Alta Proveedor'!E:E)),"")</f>
        <v/>
      </c>
      <c r="F2503" s="832"/>
      <c r="G2503" s="187"/>
      <c r="H2503" s="1"/>
      <c r="I2503" s="169">
        <f>Imput[[#This Row],[Cantidad]]*Imput[[#This Row],[Precio Unitario]]</f>
        <v>0</v>
      </c>
      <c r="J2503" s="11">
        <f>((Imput[[#This Row],[Sub total]])*(0.16))</f>
        <v>0</v>
      </c>
      <c r="K2503" s="11">
        <v>0</v>
      </c>
      <c r="L2503" s="169">
        <f>Imput[[#This Row],[Sub total]]+Imput[[#This Row],[IVA]]-Imput[[#This Row],[Retención / IEPS / Descuento]]</f>
        <v>0</v>
      </c>
      <c r="M2503" s="844">
        <v>0</v>
      </c>
      <c r="N2503" s="189"/>
      <c r="O2503" s="1"/>
      <c r="P2503" s="189"/>
      <c r="Q2503" s="190"/>
      <c r="R2503" s="188"/>
      <c r="S2503" s="193"/>
      <c r="T2503" s="192"/>
      <c r="U2503" s="829"/>
      <c r="V2503" s="10"/>
      <c r="W2503" s="10"/>
      <c r="X2503" s="10"/>
      <c r="Y2503" s="10"/>
      <c r="Z2503" s="10"/>
      <c r="AA2503" s="11"/>
      <c r="AB2503" s="11"/>
    </row>
    <row r="2504" spans="2:28" x14ac:dyDescent="0.3">
      <c r="B2504" s="10"/>
      <c r="C2504" s="315"/>
      <c r="D2504" s="868"/>
      <c r="E2504" s="837" t="str">
        <f>IFERROR(IF(_xlfn.XLOOKUP(Imput[[#This Row],[RFC]],'Alta Proveedor'!D:D,'Alta Proveedor'!E:E)=0,"",_xlfn.XLOOKUP(Imput[[#This Row],[RFC]],'Alta Proveedor'!D:D,'Alta Proveedor'!E:E)),"")</f>
        <v/>
      </c>
      <c r="F2504" s="832"/>
      <c r="G2504" s="187"/>
      <c r="H2504" s="1"/>
      <c r="I2504" s="169">
        <f>Imput[[#This Row],[Cantidad]]*Imput[[#This Row],[Precio Unitario]]</f>
        <v>0</v>
      </c>
      <c r="J2504" s="11">
        <f>((Imput[[#This Row],[Sub total]])*(0.16))</f>
        <v>0</v>
      </c>
      <c r="K2504" s="11">
        <v>0</v>
      </c>
      <c r="L2504" s="169">
        <f>Imput[[#This Row],[Sub total]]+Imput[[#This Row],[IVA]]-Imput[[#This Row],[Retención / IEPS / Descuento]]</f>
        <v>0</v>
      </c>
      <c r="M2504" s="844">
        <v>0</v>
      </c>
      <c r="N2504" s="189"/>
      <c r="O2504" s="1"/>
      <c r="P2504" s="189"/>
      <c r="Q2504" s="190"/>
      <c r="R2504" s="188"/>
      <c r="S2504" s="193"/>
      <c r="T2504" s="192"/>
      <c r="U2504" s="829"/>
      <c r="V2504" s="10"/>
      <c r="W2504" s="10"/>
      <c r="X2504" s="10"/>
      <c r="Y2504" s="10"/>
      <c r="Z2504" s="10"/>
      <c r="AA2504" s="11"/>
      <c r="AB2504" s="11"/>
    </row>
    <row r="2505" spans="2:28" x14ac:dyDescent="0.3">
      <c r="B2505" s="10"/>
      <c r="C2505" s="315"/>
      <c r="D2505" s="868"/>
      <c r="E2505" s="837" t="str">
        <f>IFERROR(IF(_xlfn.XLOOKUP(Imput[[#This Row],[RFC]],'Alta Proveedor'!D:D,'Alta Proveedor'!E:E)=0,"",_xlfn.XLOOKUP(Imput[[#This Row],[RFC]],'Alta Proveedor'!D:D,'Alta Proveedor'!E:E)),"")</f>
        <v/>
      </c>
      <c r="F2505" s="832"/>
      <c r="G2505" s="187"/>
      <c r="H2505" s="1"/>
      <c r="I2505" s="169">
        <f>Imput[[#This Row],[Cantidad]]*Imput[[#This Row],[Precio Unitario]]</f>
        <v>0</v>
      </c>
      <c r="J2505" s="11">
        <f>((Imput[[#This Row],[Sub total]])*(0.16))</f>
        <v>0</v>
      </c>
      <c r="K2505" s="11">
        <v>0</v>
      </c>
      <c r="L2505" s="169">
        <f>Imput[[#This Row],[Sub total]]+Imput[[#This Row],[IVA]]-Imput[[#This Row],[Retención / IEPS / Descuento]]</f>
        <v>0</v>
      </c>
      <c r="M2505" s="844">
        <v>0</v>
      </c>
      <c r="N2505" s="189"/>
      <c r="O2505" s="1"/>
      <c r="P2505" s="189"/>
      <c r="Q2505" s="190"/>
      <c r="R2505" s="188"/>
      <c r="S2505" s="193"/>
      <c r="T2505" s="192"/>
      <c r="U2505" s="829"/>
      <c r="V2505" s="10"/>
      <c r="W2505" s="10"/>
      <c r="X2505" s="10"/>
      <c r="Y2505" s="10"/>
      <c r="Z2505" s="10"/>
      <c r="AA2505" s="11"/>
      <c r="AB2505" s="11"/>
    </row>
    <row r="2506" spans="2:28" x14ac:dyDescent="0.3">
      <c r="B2506" s="10"/>
      <c r="C2506" s="315"/>
      <c r="D2506" s="868"/>
      <c r="E2506" s="837" t="str">
        <f>IFERROR(IF(_xlfn.XLOOKUP(Imput[[#This Row],[RFC]],'Alta Proveedor'!D:D,'Alta Proveedor'!E:E)=0,"",_xlfn.XLOOKUP(Imput[[#This Row],[RFC]],'Alta Proveedor'!D:D,'Alta Proveedor'!E:E)),"")</f>
        <v/>
      </c>
      <c r="F2506" s="832"/>
      <c r="G2506" s="187"/>
      <c r="H2506" s="1"/>
      <c r="I2506" s="169">
        <f>Imput[[#This Row],[Cantidad]]*Imput[[#This Row],[Precio Unitario]]</f>
        <v>0</v>
      </c>
      <c r="J2506" s="11">
        <f>((Imput[[#This Row],[Sub total]])*(0.16))</f>
        <v>0</v>
      </c>
      <c r="K2506" s="11">
        <v>0</v>
      </c>
      <c r="L2506" s="169">
        <f>Imput[[#This Row],[Sub total]]+Imput[[#This Row],[IVA]]-Imput[[#This Row],[Retención / IEPS / Descuento]]</f>
        <v>0</v>
      </c>
      <c r="M2506" s="844">
        <v>0</v>
      </c>
      <c r="N2506" s="189"/>
      <c r="O2506" s="1"/>
      <c r="P2506" s="189"/>
      <c r="Q2506" s="190"/>
      <c r="R2506" s="188"/>
      <c r="S2506" s="193"/>
      <c r="T2506" s="192"/>
      <c r="U2506" s="829"/>
      <c r="V2506" s="10"/>
      <c r="W2506" s="10"/>
      <c r="X2506" s="10"/>
      <c r="Y2506" s="10"/>
      <c r="Z2506" s="10"/>
      <c r="AA2506" s="11"/>
      <c r="AB2506" s="11"/>
    </row>
    <row r="2507" spans="2:28" x14ac:dyDescent="0.3">
      <c r="B2507" s="10"/>
      <c r="C2507" s="315"/>
      <c r="D2507" s="868"/>
      <c r="E2507" s="837" t="str">
        <f>IFERROR(IF(_xlfn.XLOOKUP(Imput[[#This Row],[RFC]],'Alta Proveedor'!D:D,'Alta Proveedor'!E:E)=0,"",_xlfn.XLOOKUP(Imput[[#This Row],[RFC]],'Alta Proveedor'!D:D,'Alta Proveedor'!E:E)),"")</f>
        <v/>
      </c>
      <c r="F2507" s="832"/>
      <c r="G2507" s="187"/>
      <c r="H2507" s="1"/>
      <c r="I2507" s="169">
        <f>Imput[[#This Row],[Cantidad]]*Imput[[#This Row],[Precio Unitario]]</f>
        <v>0</v>
      </c>
      <c r="J2507" s="11">
        <f>((Imput[[#This Row],[Sub total]])*(0.16))</f>
        <v>0</v>
      </c>
      <c r="K2507" s="11">
        <v>0</v>
      </c>
      <c r="L2507" s="169">
        <f>Imput[[#This Row],[Sub total]]+Imput[[#This Row],[IVA]]-Imput[[#This Row],[Retención / IEPS / Descuento]]</f>
        <v>0</v>
      </c>
      <c r="M2507" s="844">
        <v>0</v>
      </c>
      <c r="N2507" s="189"/>
      <c r="O2507" s="1"/>
      <c r="P2507" s="189"/>
      <c r="Q2507" s="190"/>
      <c r="R2507" s="188"/>
      <c r="S2507" s="193"/>
      <c r="T2507" s="192"/>
      <c r="U2507" s="829"/>
      <c r="V2507" s="10"/>
      <c r="W2507" s="10"/>
      <c r="X2507" s="10"/>
      <c r="Y2507" s="10"/>
      <c r="Z2507" s="10"/>
      <c r="AA2507" s="11"/>
      <c r="AB2507" s="11"/>
    </row>
    <row r="2508" spans="2:28" x14ac:dyDescent="0.3">
      <c r="B2508" s="10"/>
      <c r="C2508" s="315"/>
      <c r="D2508" s="868"/>
      <c r="E2508" s="837" t="str">
        <f>IFERROR(IF(_xlfn.XLOOKUP(Imput[[#This Row],[RFC]],'Alta Proveedor'!D:D,'Alta Proveedor'!E:E)=0,"",_xlfn.XLOOKUP(Imput[[#This Row],[RFC]],'Alta Proveedor'!D:D,'Alta Proveedor'!E:E)),"")</f>
        <v/>
      </c>
      <c r="F2508" s="832"/>
      <c r="G2508" s="187"/>
      <c r="H2508" s="1"/>
      <c r="I2508" s="169">
        <f>Imput[[#This Row],[Cantidad]]*Imput[[#This Row],[Precio Unitario]]</f>
        <v>0</v>
      </c>
      <c r="J2508" s="11">
        <f>((Imput[[#This Row],[Sub total]])*(0.16))</f>
        <v>0</v>
      </c>
      <c r="K2508" s="11">
        <v>0</v>
      </c>
      <c r="L2508" s="169">
        <f>Imput[[#This Row],[Sub total]]+Imput[[#This Row],[IVA]]-Imput[[#This Row],[Retención / IEPS / Descuento]]</f>
        <v>0</v>
      </c>
      <c r="M2508" s="844">
        <v>0</v>
      </c>
      <c r="N2508" s="189"/>
      <c r="O2508" s="1"/>
      <c r="P2508" s="189"/>
      <c r="Q2508" s="190"/>
      <c r="R2508" s="188"/>
      <c r="S2508" s="193"/>
      <c r="T2508" s="192"/>
      <c r="U2508" s="829"/>
      <c r="V2508" s="10"/>
      <c r="W2508" s="10"/>
      <c r="X2508" s="10"/>
      <c r="Y2508" s="10"/>
      <c r="Z2508" s="10"/>
      <c r="AA2508" s="11"/>
      <c r="AB2508" s="11"/>
    </row>
    <row r="2509" spans="2:28" x14ac:dyDescent="0.3">
      <c r="B2509" s="10"/>
      <c r="C2509" s="315"/>
      <c r="D2509" s="868"/>
      <c r="E2509" s="837" t="str">
        <f>IFERROR(IF(_xlfn.XLOOKUP(Imput[[#This Row],[RFC]],'Alta Proveedor'!D:D,'Alta Proveedor'!E:E)=0,"",_xlfn.XLOOKUP(Imput[[#This Row],[RFC]],'Alta Proveedor'!D:D,'Alta Proveedor'!E:E)),"")</f>
        <v/>
      </c>
      <c r="F2509" s="832"/>
      <c r="G2509" s="187"/>
      <c r="H2509" s="1"/>
      <c r="I2509" s="169">
        <f>Imput[[#This Row],[Cantidad]]*Imput[[#This Row],[Precio Unitario]]</f>
        <v>0</v>
      </c>
      <c r="J2509" s="11">
        <f>((Imput[[#This Row],[Sub total]])*(0.16))</f>
        <v>0</v>
      </c>
      <c r="K2509" s="11">
        <v>0</v>
      </c>
      <c r="L2509" s="169">
        <f>Imput[[#This Row],[Sub total]]+Imput[[#This Row],[IVA]]-Imput[[#This Row],[Retención / IEPS / Descuento]]</f>
        <v>0</v>
      </c>
      <c r="M2509" s="844">
        <v>0</v>
      </c>
      <c r="N2509" s="189"/>
      <c r="O2509" s="1"/>
      <c r="P2509" s="189"/>
      <c r="Q2509" s="190"/>
      <c r="R2509" s="188"/>
      <c r="S2509" s="193"/>
      <c r="T2509" s="192"/>
      <c r="U2509" s="829"/>
      <c r="V2509" s="10"/>
      <c r="W2509" s="10"/>
      <c r="X2509" s="10"/>
      <c r="Y2509" s="10"/>
      <c r="Z2509" s="10"/>
      <c r="AA2509" s="11"/>
      <c r="AB2509" s="11"/>
    </row>
    <row r="2510" spans="2:28" x14ac:dyDescent="0.3">
      <c r="B2510" s="10"/>
      <c r="C2510" s="315"/>
      <c r="D2510" s="868"/>
      <c r="E2510" s="837" t="str">
        <f>IFERROR(IF(_xlfn.XLOOKUP(Imput[[#This Row],[RFC]],'Alta Proveedor'!D:D,'Alta Proveedor'!E:E)=0,"",_xlfn.XLOOKUP(Imput[[#This Row],[RFC]],'Alta Proveedor'!D:D,'Alta Proveedor'!E:E)),"")</f>
        <v/>
      </c>
      <c r="F2510" s="832"/>
      <c r="G2510" s="187"/>
      <c r="H2510" s="1"/>
      <c r="I2510" s="169">
        <f>Imput[[#This Row],[Cantidad]]*Imput[[#This Row],[Precio Unitario]]</f>
        <v>0</v>
      </c>
      <c r="J2510" s="11">
        <f>((Imput[[#This Row],[Sub total]])*(0.16))</f>
        <v>0</v>
      </c>
      <c r="K2510" s="11">
        <v>0</v>
      </c>
      <c r="L2510" s="169">
        <f>Imput[[#This Row],[Sub total]]+Imput[[#This Row],[IVA]]-Imput[[#This Row],[Retención / IEPS / Descuento]]</f>
        <v>0</v>
      </c>
      <c r="M2510" s="844">
        <v>0</v>
      </c>
      <c r="N2510" s="189"/>
      <c r="O2510" s="1"/>
      <c r="P2510" s="189"/>
      <c r="Q2510" s="190"/>
      <c r="R2510" s="188"/>
      <c r="S2510" s="193"/>
      <c r="T2510" s="192"/>
      <c r="U2510" s="829"/>
      <c r="V2510" s="10"/>
      <c r="W2510" s="10"/>
      <c r="X2510" s="10"/>
      <c r="Y2510" s="10"/>
      <c r="Z2510" s="10"/>
      <c r="AA2510" s="11"/>
      <c r="AB2510" s="11"/>
    </row>
    <row r="2511" spans="2:28" x14ac:dyDescent="0.3">
      <c r="B2511" s="10"/>
      <c r="C2511" s="315"/>
      <c r="D2511" s="868"/>
      <c r="E2511" s="837" t="str">
        <f>IFERROR(IF(_xlfn.XLOOKUP(Imput[[#This Row],[RFC]],'Alta Proveedor'!D:D,'Alta Proveedor'!E:E)=0,"",_xlfn.XLOOKUP(Imput[[#This Row],[RFC]],'Alta Proveedor'!D:D,'Alta Proveedor'!E:E)),"")</f>
        <v/>
      </c>
      <c r="F2511" s="832"/>
      <c r="G2511" s="187"/>
      <c r="H2511" s="1"/>
      <c r="I2511" s="169">
        <f>Imput[[#This Row],[Cantidad]]*Imput[[#This Row],[Precio Unitario]]</f>
        <v>0</v>
      </c>
      <c r="J2511" s="11">
        <f>((Imput[[#This Row],[Sub total]])*(0.16))</f>
        <v>0</v>
      </c>
      <c r="K2511" s="11">
        <v>0</v>
      </c>
      <c r="L2511" s="169">
        <f>Imput[[#This Row],[Sub total]]+Imput[[#This Row],[IVA]]-Imput[[#This Row],[Retención / IEPS / Descuento]]</f>
        <v>0</v>
      </c>
      <c r="M2511" s="844">
        <v>0</v>
      </c>
      <c r="N2511" s="189"/>
      <c r="O2511" s="1"/>
      <c r="P2511" s="189"/>
      <c r="Q2511" s="190"/>
      <c r="R2511" s="188"/>
      <c r="S2511" s="193"/>
      <c r="T2511" s="192"/>
      <c r="U2511" s="829"/>
      <c r="V2511" s="10"/>
      <c r="W2511" s="10"/>
      <c r="X2511" s="10"/>
      <c r="Y2511" s="10"/>
      <c r="Z2511" s="10"/>
      <c r="AA2511" s="11"/>
      <c r="AB2511" s="11"/>
    </row>
    <row r="2512" spans="2:28" x14ac:dyDescent="0.3">
      <c r="B2512" s="10"/>
      <c r="C2512" s="315"/>
      <c r="D2512" s="868"/>
      <c r="E2512" s="837" t="str">
        <f>IFERROR(IF(_xlfn.XLOOKUP(Imput[[#This Row],[RFC]],'Alta Proveedor'!D:D,'Alta Proveedor'!E:E)=0,"",_xlfn.XLOOKUP(Imput[[#This Row],[RFC]],'Alta Proveedor'!D:D,'Alta Proveedor'!E:E)),"")</f>
        <v/>
      </c>
      <c r="F2512" s="832"/>
      <c r="G2512" s="187"/>
      <c r="H2512" s="1"/>
      <c r="I2512" s="169">
        <f>Imput[[#This Row],[Cantidad]]*Imput[[#This Row],[Precio Unitario]]</f>
        <v>0</v>
      </c>
      <c r="J2512" s="11">
        <f>((Imput[[#This Row],[Sub total]])*(0.16))</f>
        <v>0</v>
      </c>
      <c r="K2512" s="11">
        <v>0</v>
      </c>
      <c r="L2512" s="169">
        <f>Imput[[#This Row],[Sub total]]+Imput[[#This Row],[IVA]]-Imput[[#This Row],[Retención / IEPS / Descuento]]</f>
        <v>0</v>
      </c>
      <c r="M2512" s="844">
        <v>0</v>
      </c>
      <c r="N2512" s="189"/>
      <c r="O2512" s="1"/>
      <c r="P2512" s="189"/>
      <c r="Q2512" s="190"/>
      <c r="R2512" s="188"/>
      <c r="S2512" s="193"/>
      <c r="T2512" s="192"/>
      <c r="U2512" s="829"/>
      <c r="V2512" s="10"/>
      <c r="W2512" s="10"/>
      <c r="X2512" s="10"/>
      <c r="Y2512" s="10"/>
      <c r="Z2512" s="10"/>
      <c r="AA2512" s="11"/>
      <c r="AB2512" s="11"/>
    </row>
    <row r="2513" spans="2:28" x14ac:dyDescent="0.3">
      <c r="B2513" s="10"/>
      <c r="C2513" s="315"/>
      <c r="D2513" s="868"/>
      <c r="E2513" s="837" t="str">
        <f>IFERROR(IF(_xlfn.XLOOKUP(Imput[[#This Row],[RFC]],'Alta Proveedor'!D:D,'Alta Proveedor'!E:E)=0,"",_xlfn.XLOOKUP(Imput[[#This Row],[RFC]],'Alta Proveedor'!D:D,'Alta Proveedor'!E:E)),"")</f>
        <v/>
      </c>
      <c r="F2513" s="832"/>
      <c r="G2513" s="187"/>
      <c r="H2513" s="1"/>
      <c r="I2513" s="169">
        <f>Imput[[#This Row],[Cantidad]]*Imput[[#This Row],[Precio Unitario]]</f>
        <v>0</v>
      </c>
      <c r="J2513" s="11">
        <f>((Imput[[#This Row],[Sub total]])*(0.16))</f>
        <v>0</v>
      </c>
      <c r="K2513" s="11">
        <v>0</v>
      </c>
      <c r="L2513" s="169">
        <f>Imput[[#This Row],[Sub total]]+Imput[[#This Row],[IVA]]-Imput[[#This Row],[Retención / IEPS / Descuento]]</f>
        <v>0</v>
      </c>
      <c r="M2513" s="844">
        <v>0</v>
      </c>
      <c r="N2513" s="189"/>
      <c r="O2513" s="1"/>
      <c r="P2513" s="189"/>
      <c r="Q2513" s="190"/>
      <c r="R2513" s="188"/>
      <c r="S2513" s="193"/>
      <c r="T2513" s="192"/>
      <c r="U2513" s="829"/>
      <c r="V2513" s="10"/>
      <c r="W2513" s="10"/>
      <c r="X2513" s="10"/>
      <c r="Y2513" s="10"/>
      <c r="Z2513" s="10"/>
      <c r="AA2513" s="11"/>
      <c r="AB2513" s="11"/>
    </row>
    <row r="2514" spans="2:28" x14ac:dyDescent="0.3">
      <c r="B2514" s="10"/>
      <c r="C2514" s="315"/>
      <c r="D2514" s="868"/>
      <c r="E2514" s="837" t="str">
        <f>IFERROR(IF(_xlfn.XLOOKUP(Imput[[#This Row],[RFC]],'Alta Proveedor'!D:D,'Alta Proveedor'!E:E)=0,"",_xlfn.XLOOKUP(Imput[[#This Row],[RFC]],'Alta Proveedor'!D:D,'Alta Proveedor'!E:E)),"")</f>
        <v/>
      </c>
      <c r="F2514" s="832"/>
      <c r="G2514" s="187"/>
      <c r="H2514" s="1"/>
      <c r="I2514" s="169">
        <f>Imput[[#This Row],[Cantidad]]*Imput[[#This Row],[Precio Unitario]]</f>
        <v>0</v>
      </c>
      <c r="J2514" s="11">
        <f>((Imput[[#This Row],[Sub total]])*(0.16))</f>
        <v>0</v>
      </c>
      <c r="K2514" s="11">
        <v>0</v>
      </c>
      <c r="L2514" s="169">
        <f>Imput[[#This Row],[Sub total]]+Imput[[#This Row],[IVA]]-Imput[[#This Row],[Retención / IEPS / Descuento]]</f>
        <v>0</v>
      </c>
      <c r="M2514" s="844">
        <v>0</v>
      </c>
      <c r="N2514" s="189"/>
      <c r="O2514" s="1"/>
      <c r="P2514" s="189"/>
      <c r="Q2514" s="190"/>
      <c r="R2514" s="188"/>
      <c r="S2514" s="193"/>
      <c r="T2514" s="192"/>
      <c r="U2514" s="829"/>
      <c r="V2514" s="10"/>
      <c r="W2514" s="10"/>
      <c r="X2514" s="10"/>
      <c r="Y2514" s="10"/>
      <c r="Z2514" s="10"/>
      <c r="AA2514" s="11"/>
      <c r="AB2514" s="11"/>
    </row>
    <row r="2515" spans="2:28" x14ac:dyDescent="0.3">
      <c r="B2515" s="10"/>
      <c r="C2515" s="315"/>
      <c r="D2515" s="868"/>
      <c r="E2515" s="837" t="str">
        <f>IFERROR(IF(_xlfn.XLOOKUP(Imput[[#This Row],[RFC]],'Alta Proveedor'!D:D,'Alta Proveedor'!E:E)=0,"",_xlfn.XLOOKUP(Imput[[#This Row],[RFC]],'Alta Proveedor'!D:D,'Alta Proveedor'!E:E)),"")</f>
        <v/>
      </c>
      <c r="F2515" s="832"/>
      <c r="G2515" s="187"/>
      <c r="H2515" s="1"/>
      <c r="I2515" s="169">
        <f>Imput[[#This Row],[Cantidad]]*Imput[[#This Row],[Precio Unitario]]</f>
        <v>0</v>
      </c>
      <c r="J2515" s="11">
        <f>((Imput[[#This Row],[Sub total]])*(0.16))</f>
        <v>0</v>
      </c>
      <c r="K2515" s="11">
        <v>0</v>
      </c>
      <c r="L2515" s="169">
        <f>Imput[[#This Row],[Sub total]]+Imput[[#This Row],[IVA]]-Imput[[#This Row],[Retención / IEPS / Descuento]]</f>
        <v>0</v>
      </c>
      <c r="M2515" s="844">
        <v>0</v>
      </c>
      <c r="N2515" s="189"/>
      <c r="O2515" s="1"/>
      <c r="P2515" s="189"/>
      <c r="Q2515" s="190"/>
      <c r="R2515" s="188"/>
      <c r="S2515" s="193"/>
      <c r="T2515" s="192"/>
      <c r="U2515" s="829"/>
      <c r="V2515" s="10"/>
      <c r="W2515" s="10"/>
      <c r="X2515" s="10"/>
      <c r="Y2515" s="10"/>
      <c r="Z2515" s="10"/>
      <c r="AA2515" s="11"/>
      <c r="AB2515" s="11"/>
    </row>
    <row r="2516" spans="2:28" x14ac:dyDescent="0.3">
      <c r="B2516" s="10"/>
      <c r="C2516" s="315"/>
      <c r="D2516" s="868"/>
      <c r="E2516" s="837" t="str">
        <f>IFERROR(IF(_xlfn.XLOOKUP(Imput[[#This Row],[RFC]],'Alta Proveedor'!D:D,'Alta Proveedor'!E:E)=0,"",_xlfn.XLOOKUP(Imput[[#This Row],[RFC]],'Alta Proveedor'!D:D,'Alta Proveedor'!E:E)),"")</f>
        <v/>
      </c>
      <c r="F2516" s="832"/>
      <c r="G2516" s="187"/>
      <c r="H2516" s="1"/>
      <c r="I2516" s="169">
        <f>Imput[[#This Row],[Cantidad]]*Imput[[#This Row],[Precio Unitario]]</f>
        <v>0</v>
      </c>
      <c r="J2516" s="11">
        <f>((Imput[[#This Row],[Sub total]])*(0.16))</f>
        <v>0</v>
      </c>
      <c r="K2516" s="11">
        <v>0</v>
      </c>
      <c r="L2516" s="169">
        <f>Imput[[#This Row],[Sub total]]+Imput[[#This Row],[IVA]]-Imput[[#This Row],[Retención / IEPS / Descuento]]</f>
        <v>0</v>
      </c>
      <c r="M2516" s="844">
        <v>0</v>
      </c>
      <c r="N2516" s="189"/>
      <c r="O2516" s="1"/>
      <c r="P2516" s="189"/>
      <c r="Q2516" s="190"/>
      <c r="R2516" s="188"/>
      <c r="S2516" s="193"/>
      <c r="T2516" s="192"/>
      <c r="U2516" s="829"/>
      <c r="V2516" s="10"/>
      <c r="W2516" s="10"/>
      <c r="X2516" s="10"/>
      <c r="Y2516" s="10"/>
      <c r="Z2516" s="10"/>
      <c r="AA2516" s="11"/>
      <c r="AB2516" s="11"/>
    </row>
    <row r="2517" spans="2:28" x14ac:dyDescent="0.3">
      <c r="B2517" s="10"/>
      <c r="C2517" s="315"/>
      <c r="D2517" s="868"/>
      <c r="E2517" s="837" t="str">
        <f>IFERROR(IF(_xlfn.XLOOKUP(Imput[[#This Row],[RFC]],'Alta Proveedor'!D:D,'Alta Proveedor'!E:E)=0,"",_xlfn.XLOOKUP(Imput[[#This Row],[RFC]],'Alta Proveedor'!D:D,'Alta Proveedor'!E:E)),"")</f>
        <v/>
      </c>
      <c r="F2517" s="832"/>
      <c r="G2517" s="187"/>
      <c r="H2517" s="1"/>
      <c r="I2517" s="169">
        <f>Imput[[#This Row],[Cantidad]]*Imput[[#This Row],[Precio Unitario]]</f>
        <v>0</v>
      </c>
      <c r="J2517" s="11">
        <f>((Imput[[#This Row],[Sub total]])*(0.16))</f>
        <v>0</v>
      </c>
      <c r="K2517" s="11">
        <v>0</v>
      </c>
      <c r="L2517" s="169">
        <f>Imput[[#This Row],[Sub total]]+Imput[[#This Row],[IVA]]-Imput[[#This Row],[Retención / IEPS / Descuento]]</f>
        <v>0</v>
      </c>
      <c r="M2517" s="844">
        <v>0</v>
      </c>
      <c r="N2517" s="189"/>
      <c r="O2517" s="1"/>
      <c r="P2517" s="189"/>
      <c r="Q2517" s="190"/>
      <c r="R2517" s="188"/>
      <c r="S2517" s="193"/>
      <c r="T2517" s="192"/>
      <c r="U2517" s="829"/>
      <c r="V2517" s="10"/>
      <c r="W2517" s="10"/>
      <c r="X2517" s="10"/>
      <c r="Y2517" s="10"/>
      <c r="Z2517" s="10"/>
      <c r="AA2517" s="11"/>
      <c r="AB2517" s="11"/>
    </row>
    <row r="2518" spans="2:28" x14ac:dyDescent="0.3">
      <c r="B2518" s="10"/>
      <c r="C2518" s="315"/>
      <c r="D2518" s="868"/>
      <c r="E2518" s="837" t="str">
        <f>IFERROR(IF(_xlfn.XLOOKUP(Imput[[#This Row],[RFC]],'Alta Proveedor'!D:D,'Alta Proveedor'!E:E)=0,"",_xlfn.XLOOKUP(Imput[[#This Row],[RFC]],'Alta Proveedor'!D:D,'Alta Proveedor'!E:E)),"")</f>
        <v/>
      </c>
      <c r="F2518" s="832"/>
      <c r="G2518" s="187"/>
      <c r="H2518" s="1"/>
      <c r="I2518" s="169">
        <f>Imput[[#This Row],[Cantidad]]*Imput[[#This Row],[Precio Unitario]]</f>
        <v>0</v>
      </c>
      <c r="J2518" s="11">
        <f>((Imput[[#This Row],[Sub total]])*(0.16))</f>
        <v>0</v>
      </c>
      <c r="K2518" s="11">
        <v>0</v>
      </c>
      <c r="L2518" s="169">
        <f>Imput[[#This Row],[Sub total]]+Imput[[#This Row],[IVA]]-Imput[[#This Row],[Retención / IEPS / Descuento]]</f>
        <v>0</v>
      </c>
      <c r="M2518" s="844">
        <v>0</v>
      </c>
      <c r="N2518" s="189"/>
      <c r="O2518" s="1"/>
      <c r="P2518" s="189"/>
      <c r="Q2518" s="190"/>
      <c r="R2518" s="188"/>
      <c r="S2518" s="193"/>
      <c r="T2518" s="192"/>
      <c r="U2518" s="829"/>
      <c r="V2518" s="10"/>
      <c r="W2518" s="10"/>
      <c r="X2518" s="10"/>
      <c r="Y2518" s="10"/>
      <c r="Z2518" s="10"/>
      <c r="AA2518" s="11"/>
      <c r="AB2518" s="11"/>
    </row>
    <row r="2519" spans="2:28" x14ac:dyDescent="0.3">
      <c r="B2519" s="10"/>
      <c r="C2519" s="315"/>
      <c r="D2519" s="868"/>
      <c r="E2519" s="837" t="str">
        <f>IFERROR(IF(_xlfn.XLOOKUP(Imput[[#This Row],[RFC]],'Alta Proveedor'!D:D,'Alta Proveedor'!E:E)=0,"",_xlfn.XLOOKUP(Imput[[#This Row],[RFC]],'Alta Proveedor'!D:D,'Alta Proveedor'!E:E)),"")</f>
        <v/>
      </c>
      <c r="F2519" s="832"/>
      <c r="G2519" s="187"/>
      <c r="H2519" s="1"/>
      <c r="I2519" s="169">
        <f>Imput[[#This Row],[Cantidad]]*Imput[[#This Row],[Precio Unitario]]</f>
        <v>0</v>
      </c>
      <c r="J2519" s="11">
        <f>((Imput[[#This Row],[Sub total]])*(0.16))</f>
        <v>0</v>
      </c>
      <c r="K2519" s="11">
        <v>0</v>
      </c>
      <c r="L2519" s="169">
        <f>Imput[[#This Row],[Sub total]]+Imput[[#This Row],[IVA]]-Imput[[#This Row],[Retención / IEPS / Descuento]]</f>
        <v>0</v>
      </c>
      <c r="M2519" s="844">
        <v>0</v>
      </c>
      <c r="N2519" s="189"/>
      <c r="O2519" s="1"/>
      <c r="P2519" s="189"/>
      <c r="Q2519" s="190"/>
      <c r="R2519" s="188"/>
      <c r="S2519" s="193"/>
      <c r="T2519" s="192"/>
      <c r="U2519" s="829"/>
      <c r="V2519" s="10"/>
      <c r="W2519" s="10"/>
      <c r="X2519" s="10"/>
      <c r="Y2519" s="10"/>
      <c r="Z2519" s="10"/>
      <c r="AA2519" s="11"/>
      <c r="AB2519" s="11"/>
    </row>
    <row r="2520" spans="2:28" x14ac:dyDescent="0.3">
      <c r="B2520" s="10"/>
      <c r="C2520" s="315"/>
      <c r="D2520" s="868"/>
      <c r="E2520" s="837" t="str">
        <f>IFERROR(IF(_xlfn.XLOOKUP(Imput[[#This Row],[RFC]],'Alta Proveedor'!D:D,'Alta Proveedor'!E:E)=0,"",_xlfn.XLOOKUP(Imput[[#This Row],[RFC]],'Alta Proveedor'!D:D,'Alta Proveedor'!E:E)),"")</f>
        <v/>
      </c>
      <c r="F2520" s="832"/>
      <c r="G2520" s="187"/>
      <c r="H2520" s="1"/>
      <c r="I2520" s="169">
        <f>Imput[[#This Row],[Cantidad]]*Imput[[#This Row],[Precio Unitario]]</f>
        <v>0</v>
      </c>
      <c r="J2520" s="11">
        <f>((Imput[[#This Row],[Sub total]])*(0.16))</f>
        <v>0</v>
      </c>
      <c r="K2520" s="11">
        <v>0</v>
      </c>
      <c r="L2520" s="169">
        <f>Imput[[#This Row],[Sub total]]+Imput[[#This Row],[IVA]]-Imput[[#This Row],[Retención / IEPS / Descuento]]</f>
        <v>0</v>
      </c>
      <c r="M2520" s="844">
        <v>0</v>
      </c>
      <c r="N2520" s="189"/>
      <c r="O2520" s="1"/>
      <c r="P2520" s="189"/>
      <c r="Q2520" s="190"/>
      <c r="R2520" s="188"/>
      <c r="S2520" s="193"/>
      <c r="T2520" s="192"/>
      <c r="U2520" s="829"/>
      <c r="V2520" s="10"/>
      <c r="W2520" s="10"/>
      <c r="X2520" s="10"/>
      <c r="Y2520" s="10"/>
      <c r="Z2520" s="10"/>
      <c r="AA2520" s="11"/>
      <c r="AB2520" s="11"/>
    </row>
    <row r="2521" spans="2:28" x14ac:dyDescent="0.3">
      <c r="B2521" s="10"/>
      <c r="C2521" s="315"/>
      <c r="D2521" s="868"/>
      <c r="E2521" s="837" t="str">
        <f>IFERROR(IF(_xlfn.XLOOKUP(Imput[[#This Row],[RFC]],'Alta Proveedor'!D:D,'Alta Proveedor'!E:E)=0,"",_xlfn.XLOOKUP(Imput[[#This Row],[RFC]],'Alta Proveedor'!D:D,'Alta Proveedor'!E:E)),"")</f>
        <v/>
      </c>
      <c r="F2521" s="832"/>
      <c r="G2521" s="187"/>
      <c r="H2521" s="1"/>
      <c r="I2521" s="169">
        <f>Imput[[#This Row],[Cantidad]]*Imput[[#This Row],[Precio Unitario]]</f>
        <v>0</v>
      </c>
      <c r="J2521" s="11">
        <f>((Imput[[#This Row],[Sub total]])*(0.16))</f>
        <v>0</v>
      </c>
      <c r="K2521" s="11">
        <v>0</v>
      </c>
      <c r="L2521" s="169">
        <f>Imput[[#This Row],[Sub total]]+Imput[[#This Row],[IVA]]-Imput[[#This Row],[Retención / IEPS / Descuento]]</f>
        <v>0</v>
      </c>
      <c r="M2521" s="844">
        <v>0</v>
      </c>
      <c r="N2521" s="189"/>
      <c r="O2521" s="1"/>
      <c r="P2521" s="189"/>
      <c r="Q2521" s="190"/>
      <c r="R2521" s="188"/>
      <c r="S2521" s="193"/>
      <c r="T2521" s="192"/>
      <c r="U2521" s="829"/>
      <c r="V2521" s="10"/>
      <c r="W2521" s="10"/>
      <c r="X2521" s="10"/>
      <c r="Y2521" s="10"/>
      <c r="Z2521" s="10"/>
      <c r="AA2521" s="11"/>
      <c r="AB2521" s="11"/>
    </row>
    <row r="2522" spans="2:28" x14ac:dyDescent="0.3">
      <c r="B2522" s="10"/>
      <c r="C2522" s="315"/>
      <c r="D2522" s="868"/>
      <c r="E2522" s="837" t="str">
        <f>IFERROR(IF(_xlfn.XLOOKUP(Imput[[#This Row],[RFC]],'Alta Proveedor'!D:D,'Alta Proveedor'!E:E)=0,"",_xlfn.XLOOKUP(Imput[[#This Row],[RFC]],'Alta Proveedor'!D:D,'Alta Proveedor'!E:E)),"")</f>
        <v/>
      </c>
      <c r="F2522" s="832"/>
      <c r="G2522" s="187"/>
      <c r="H2522" s="1"/>
      <c r="I2522" s="169">
        <f>Imput[[#This Row],[Cantidad]]*Imput[[#This Row],[Precio Unitario]]</f>
        <v>0</v>
      </c>
      <c r="J2522" s="11">
        <f>((Imput[[#This Row],[Sub total]])*(0.16))</f>
        <v>0</v>
      </c>
      <c r="K2522" s="11">
        <v>0</v>
      </c>
      <c r="L2522" s="169">
        <f>Imput[[#This Row],[Sub total]]+Imput[[#This Row],[IVA]]-Imput[[#This Row],[Retención / IEPS / Descuento]]</f>
        <v>0</v>
      </c>
      <c r="M2522" s="844">
        <v>0</v>
      </c>
      <c r="N2522" s="189"/>
      <c r="O2522" s="1"/>
      <c r="P2522" s="189"/>
      <c r="Q2522" s="190"/>
      <c r="R2522" s="188"/>
      <c r="S2522" s="193"/>
      <c r="T2522" s="192"/>
      <c r="U2522" s="829"/>
      <c r="V2522" s="10"/>
      <c r="W2522" s="10"/>
      <c r="X2522" s="10"/>
      <c r="Y2522" s="10"/>
      <c r="Z2522" s="10"/>
      <c r="AA2522" s="11"/>
      <c r="AB2522" s="11"/>
    </row>
    <row r="2523" spans="2:28" x14ac:dyDescent="0.3">
      <c r="B2523" s="10"/>
      <c r="C2523" s="315"/>
      <c r="D2523" s="868"/>
      <c r="E2523" s="837" t="str">
        <f>IFERROR(IF(_xlfn.XLOOKUP(Imput[[#This Row],[RFC]],'Alta Proveedor'!D:D,'Alta Proveedor'!E:E)=0,"",_xlfn.XLOOKUP(Imput[[#This Row],[RFC]],'Alta Proveedor'!D:D,'Alta Proveedor'!E:E)),"")</f>
        <v/>
      </c>
      <c r="F2523" s="832"/>
      <c r="G2523" s="187"/>
      <c r="H2523" s="1"/>
      <c r="I2523" s="169">
        <f>Imput[[#This Row],[Cantidad]]*Imput[[#This Row],[Precio Unitario]]</f>
        <v>0</v>
      </c>
      <c r="J2523" s="11">
        <f>((Imput[[#This Row],[Sub total]])*(0.16))</f>
        <v>0</v>
      </c>
      <c r="K2523" s="11">
        <v>0</v>
      </c>
      <c r="L2523" s="169">
        <f>Imput[[#This Row],[Sub total]]+Imput[[#This Row],[IVA]]-Imput[[#This Row],[Retención / IEPS / Descuento]]</f>
        <v>0</v>
      </c>
      <c r="M2523" s="844">
        <v>0</v>
      </c>
      <c r="N2523" s="189"/>
      <c r="O2523" s="1"/>
      <c r="P2523" s="189"/>
      <c r="Q2523" s="190"/>
      <c r="R2523" s="188"/>
      <c r="S2523" s="193"/>
      <c r="T2523" s="192"/>
      <c r="U2523" s="829"/>
      <c r="V2523" s="10"/>
      <c r="W2523" s="10"/>
      <c r="X2523" s="10"/>
      <c r="Y2523" s="10"/>
      <c r="Z2523" s="10"/>
      <c r="AA2523" s="11"/>
      <c r="AB2523" s="11"/>
    </row>
    <row r="2524" spans="2:28" x14ac:dyDescent="0.3">
      <c r="B2524" s="10"/>
      <c r="C2524" s="315"/>
      <c r="D2524" s="868"/>
      <c r="E2524" s="837" t="str">
        <f>IFERROR(IF(_xlfn.XLOOKUP(Imput[[#This Row],[RFC]],'Alta Proveedor'!D:D,'Alta Proveedor'!E:E)=0,"",_xlfn.XLOOKUP(Imput[[#This Row],[RFC]],'Alta Proveedor'!D:D,'Alta Proveedor'!E:E)),"")</f>
        <v/>
      </c>
      <c r="F2524" s="832"/>
      <c r="G2524" s="187"/>
      <c r="H2524" s="1"/>
      <c r="I2524" s="169">
        <f>Imput[[#This Row],[Cantidad]]*Imput[[#This Row],[Precio Unitario]]</f>
        <v>0</v>
      </c>
      <c r="J2524" s="11">
        <f>((Imput[[#This Row],[Sub total]])*(0.16))</f>
        <v>0</v>
      </c>
      <c r="K2524" s="11">
        <v>0</v>
      </c>
      <c r="L2524" s="169">
        <f>Imput[[#This Row],[Sub total]]+Imput[[#This Row],[IVA]]-Imput[[#This Row],[Retención / IEPS / Descuento]]</f>
        <v>0</v>
      </c>
      <c r="M2524" s="844">
        <v>0</v>
      </c>
      <c r="N2524" s="189"/>
      <c r="O2524" s="1"/>
      <c r="P2524" s="189"/>
      <c r="Q2524" s="190"/>
      <c r="R2524" s="188"/>
      <c r="S2524" s="193"/>
      <c r="T2524" s="192"/>
      <c r="U2524" s="829"/>
      <c r="V2524" s="10"/>
      <c r="W2524" s="10"/>
      <c r="X2524" s="10"/>
      <c r="Y2524" s="10"/>
      <c r="Z2524" s="10"/>
      <c r="AA2524" s="11"/>
      <c r="AB2524" s="11"/>
    </row>
    <row r="2525" spans="2:28" x14ac:dyDescent="0.3">
      <c r="B2525" s="10"/>
      <c r="C2525" s="315"/>
      <c r="D2525" s="868"/>
      <c r="E2525" s="837" t="str">
        <f>IFERROR(IF(_xlfn.XLOOKUP(Imput[[#This Row],[RFC]],'Alta Proveedor'!D:D,'Alta Proveedor'!E:E)=0,"",_xlfn.XLOOKUP(Imput[[#This Row],[RFC]],'Alta Proveedor'!D:D,'Alta Proveedor'!E:E)),"")</f>
        <v/>
      </c>
      <c r="F2525" s="832"/>
      <c r="G2525" s="187"/>
      <c r="H2525" s="1"/>
      <c r="I2525" s="169">
        <f>Imput[[#This Row],[Cantidad]]*Imput[[#This Row],[Precio Unitario]]</f>
        <v>0</v>
      </c>
      <c r="J2525" s="11">
        <f>((Imput[[#This Row],[Sub total]])*(0.16))</f>
        <v>0</v>
      </c>
      <c r="K2525" s="11">
        <v>0</v>
      </c>
      <c r="L2525" s="169">
        <f>Imput[[#This Row],[Sub total]]+Imput[[#This Row],[IVA]]-Imput[[#This Row],[Retención / IEPS / Descuento]]</f>
        <v>0</v>
      </c>
      <c r="M2525" s="844">
        <v>0</v>
      </c>
      <c r="N2525" s="189"/>
      <c r="O2525" s="1"/>
      <c r="P2525" s="189"/>
      <c r="Q2525" s="190"/>
      <c r="R2525" s="188"/>
      <c r="S2525" s="193"/>
      <c r="T2525" s="192"/>
      <c r="U2525" s="829"/>
      <c r="V2525" s="10"/>
      <c r="W2525" s="10"/>
      <c r="X2525" s="10"/>
      <c r="Y2525" s="10"/>
      <c r="Z2525" s="10"/>
      <c r="AA2525" s="11"/>
      <c r="AB2525" s="11"/>
    </row>
    <row r="2526" spans="2:28" x14ac:dyDescent="0.3">
      <c r="B2526" s="10"/>
      <c r="C2526" s="315"/>
      <c r="D2526" s="868"/>
      <c r="E2526" s="837" t="str">
        <f>IFERROR(IF(_xlfn.XLOOKUP(Imput[[#This Row],[RFC]],'Alta Proveedor'!D:D,'Alta Proveedor'!E:E)=0,"",_xlfn.XLOOKUP(Imput[[#This Row],[RFC]],'Alta Proveedor'!D:D,'Alta Proveedor'!E:E)),"")</f>
        <v/>
      </c>
      <c r="F2526" s="832"/>
      <c r="G2526" s="187"/>
      <c r="H2526" s="1"/>
      <c r="I2526" s="169">
        <f>Imput[[#This Row],[Cantidad]]*Imput[[#This Row],[Precio Unitario]]</f>
        <v>0</v>
      </c>
      <c r="J2526" s="11">
        <f>((Imput[[#This Row],[Sub total]])*(0.16))</f>
        <v>0</v>
      </c>
      <c r="K2526" s="11">
        <v>0</v>
      </c>
      <c r="L2526" s="169">
        <f>Imput[[#This Row],[Sub total]]+Imput[[#This Row],[IVA]]-Imput[[#This Row],[Retención / IEPS / Descuento]]</f>
        <v>0</v>
      </c>
      <c r="M2526" s="844">
        <v>0</v>
      </c>
      <c r="N2526" s="189"/>
      <c r="O2526" s="1"/>
      <c r="P2526" s="189"/>
      <c r="Q2526" s="190"/>
      <c r="R2526" s="188"/>
      <c r="S2526" s="193"/>
      <c r="T2526" s="192"/>
      <c r="U2526" s="829"/>
      <c r="V2526" s="10"/>
      <c r="W2526" s="10"/>
      <c r="X2526" s="10"/>
      <c r="Y2526" s="10"/>
      <c r="Z2526" s="10"/>
      <c r="AA2526" s="11"/>
      <c r="AB2526" s="11"/>
    </row>
    <row r="2527" spans="2:28" x14ac:dyDescent="0.3">
      <c r="B2527" s="10"/>
      <c r="C2527" s="315"/>
      <c r="D2527" s="868"/>
      <c r="E2527" s="837" t="str">
        <f>IFERROR(IF(_xlfn.XLOOKUP(Imput[[#This Row],[RFC]],'Alta Proveedor'!D:D,'Alta Proveedor'!E:E)=0,"",_xlfn.XLOOKUP(Imput[[#This Row],[RFC]],'Alta Proveedor'!D:D,'Alta Proveedor'!E:E)),"")</f>
        <v/>
      </c>
      <c r="F2527" s="832"/>
      <c r="G2527" s="187"/>
      <c r="H2527" s="1"/>
      <c r="I2527" s="169">
        <f>Imput[[#This Row],[Cantidad]]*Imput[[#This Row],[Precio Unitario]]</f>
        <v>0</v>
      </c>
      <c r="J2527" s="11">
        <f>((Imput[[#This Row],[Sub total]])*(0.16))</f>
        <v>0</v>
      </c>
      <c r="K2527" s="11">
        <v>0</v>
      </c>
      <c r="L2527" s="169">
        <f>Imput[[#This Row],[Sub total]]+Imput[[#This Row],[IVA]]-Imput[[#This Row],[Retención / IEPS / Descuento]]</f>
        <v>0</v>
      </c>
      <c r="M2527" s="844">
        <v>0</v>
      </c>
      <c r="N2527" s="189"/>
      <c r="O2527" s="1"/>
      <c r="P2527" s="189"/>
      <c r="Q2527" s="190"/>
      <c r="R2527" s="188"/>
      <c r="S2527" s="193"/>
      <c r="T2527" s="192"/>
      <c r="U2527" s="829"/>
      <c r="V2527" s="10"/>
      <c r="W2527" s="10"/>
      <c r="X2527" s="10"/>
      <c r="Y2527" s="10"/>
      <c r="Z2527" s="10"/>
      <c r="AA2527" s="11"/>
      <c r="AB2527" s="11"/>
    </row>
    <row r="2528" spans="2:28" x14ac:dyDescent="0.3">
      <c r="B2528" s="10"/>
      <c r="C2528" s="315"/>
      <c r="D2528" s="868"/>
      <c r="E2528" s="837" t="str">
        <f>IFERROR(IF(_xlfn.XLOOKUP(Imput[[#This Row],[RFC]],'Alta Proveedor'!D:D,'Alta Proveedor'!E:E)=0,"",_xlfn.XLOOKUP(Imput[[#This Row],[RFC]],'Alta Proveedor'!D:D,'Alta Proveedor'!E:E)),"")</f>
        <v/>
      </c>
      <c r="F2528" s="832"/>
      <c r="G2528" s="187"/>
      <c r="H2528" s="1"/>
      <c r="I2528" s="169">
        <f>Imput[[#This Row],[Cantidad]]*Imput[[#This Row],[Precio Unitario]]</f>
        <v>0</v>
      </c>
      <c r="J2528" s="11">
        <f>((Imput[[#This Row],[Sub total]])*(0.16))</f>
        <v>0</v>
      </c>
      <c r="K2528" s="11">
        <v>0</v>
      </c>
      <c r="L2528" s="169">
        <f>Imput[[#This Row],[Sub total]]+Imput[[#This Row],[IVA]]-Imput[[#This Row],[Retención / IEPS / Descuento]]</f>
        <v>0</v>
      </c>
      <c r="M2528" s="844">
        <v>0</v>
      </c>
      <c r="N2528" s="189"/>
      <c r="O2528" s="1"/>
      <c r="P2528" s="189"/>
      <c r="Q2528" s="190"/>
      <c r="R2528" s="188"/>
      <c r="S2528" s="193"/>
      <c r="T2528" s="192"/>
      <c r="U2528" s="829"/>
      <c r="V2528" s="10"/>
      <c r="W2528" s="10"/>
      <c r="X2528" s="10"/>
      <c r="Y2528" s="10"/>
      <c r="Z2528" s="10"/>
      <c r="AA2528" s="11"/>
      <c r="AB2528" s="11"/>
    </row>
    <row r="2529" spans="2:28" x14ac:dyDescent="0.3">
      <c r="B2529" s="10"/>
      <c r="C2529" s="315"/>
      <c r="D2529" s="868"/>
      <c r="E2529" s="837" t="str">
        <f>IFERROR(IF(_xlfn.XLOOKUP(Imput[[#This Row],[RFC]],'Alta Proveedor'!D:D,'Alta Proveedor'!E:E)=0,"",_xlfn.XLOOKUP(Imput[[#This Row],[RFC]],'Alta Proveedor'!D:D,'Alta Proveedor'!E:E)),"")</f>
        <v/>
      </c>
      <c r="F2529" s="832"/>
      <c r="G2529" s="187"/>
      <c r="H2529" s="1"/>
      <c r="I2529" s="169">
        <f>Imput[[#This Row],[Cantidad]]*Imput[[#This Row],[Precio Unitario]]</f>
        <v>0</v>
      </c>
      <c r="J2529" s="11">
        <f>((Imput[[#This Row],[Sub total]])*(0.16))</f>
        <v>0</v>
      </c>
      <c r="K2529" s="11">
        <v>0</v>
      </c>
      <c r="L2529" s="169">
        <f>Imput[[#This Row],[Sub total]]+Imput[[#This Row],[IVA]]-Imput[[#This Row],[Retención / IEPS / Descuento]]</f>
        <v>0</v>
      </c>
      <c r="M2529" s="844">
        <v>0</v>
      </c>
      <c r="N2529" s="189"/>
      <c r="O2529" s="1"/>
      <c r="P2529" s="189"/>
      <c r="Q2529" s="190"/>
      <c r="R2529" s="188"/>
      <c r="S2529" s="193"/>
      <c r="T2529" s="192"/>
      <c r="U2529" s="829"/>
      <c r="V2529" s="10"/>
      <c r="W2529" s="10"/>
      <c r="X2529" s="10"/>
      <c r="Y2529" s="10"/>
      <c r="Z2529" s="10"/>
      <c r="AA2529" s="11"/>
      <c r="AB2529" s="11"/>
    </row>
    <row r="2530" spans="2:28" x14ac:dyDescent="0.3">
      <c r="B2530" s="10"/>
      <c r="C2530" s="315"/>
      <c r="D2530" s="868"/>
      <c r="E2530" s="837" t="str">
        <f>IFERROR(IF(_xlfn.XLOOKUP(Imput[[#This Row],[RFC]],'Alta Proveedor'!D:D,'Alta Proveedor'!E:E)=0,"",_xlfn.XLOOKUP(Imput[[#This Row],[RFC]],'Alta Proveedor'!D:D,'Alta Proveedor'!E:E)),"")</f>
        <v/>
      </c>
      <c r="F2530" s="832"/>
      <c r="G2530" s="187"/>
      <c r="H2530" s="1"/>
      <c r="I2530" s="169">
        <f>Imput[[#This Row],[Cantidad]]*Imput[[#This Row],[Precio Unitario]]</f>
        <v>0</v>
      </c>
      <c r="J2530" s="11">
        <f>((Imput[[#This Row],[Sub total]])*(0.16))</f>
        <v>0</v>
      </c>
      <c r="K2530" s="11">
        <v>0</v>
      </c>
      <c r="L2530" s="169">
        <f>Imput[[#This Row],[Sub total]]+Imput[[#This Row],[IVA]]-Imput[[#This Row],[Retención / IEPS / Descuento]]</f>
        <v>0</v>
      </c>
      <c r="M2530" s="844">
        <v>0</v>
      </c>
      <c r="N2530" s="189"/>
      <c r="O2530" s="1"/>
      <c r="P2530" s="189"/>
      <c r="Q2530" s="190"/>
      <c r="R2530" s="188"/>
      <c r="S2530" s="193"/>
      <c r="T2530" s="192"/>
      <c r="U2530" s="829"/>
      <c r="V2530" s="10"/>
      <c r="W2530" s="10"/>
      <c r="X2530" s="10"/>
      <c r="Y2530" s="10"/>
      <c r="Z2530" s="10"/>
      <c r="AA2530" s="11"/>
      <c r="AB2530" s="11"/>
    </row>
    <row r="2531" spans="2:28" x14ac:dyDescent="0.3">
      <c r="B2531" s="10"/>
      <c r="C2531" s="315"/>
      <c r="D2531" s="868"/>
      <c r="E2531" s="837" t="str">
        <f>IFERROR(IF(_xlfn.XLOOKUP(Imput[[#This Row],[RFC]],'Alta Proveedor'!D:D,'Alta Proveedor'!E:E)=0,"",_xlfn.XLOOKUP(Imput[[#This Row],[RFC]],'Alta Proveedor'!D:D,'Alta Proveedor'!E:E)),"")</f>
        <v/>
      </c>
      <c r="F2531" s="832"/>
      <c r="G2531" s="187"/>
      <c r="H2531" s="1"/>
      <c r="I2531" s="169">
        <f>Imput[[#This Row],[Cantidad]]*Imput[[#This Row],[Precio Unitario]]</f>
        <v>0</v>
      </c>
      <c r="J2531" s="11">
        <f>((Imput[[#This Row],[Sub total]])*(0.16))</f>
        <v>0</v>
      </c>
      <c r="K2531" s="11">
        <v>0</v>
      </c>
      <c r="L2531" s="169">
        <f>Imput[[#This Row],[Sub total]]+Imput[[#This Row],[IVA]]-Imput[[#This Row],[Retención / IEPS / Descuento]]</f>
        <v>0</v>
      </c>
      <c r="M2531" s="844">
        <v>0</v>
      </c>
      <c r="N2531" s="189"/>
      <c r="O2531" s="1"/>
      <c r="P2531" s="189"/>
      <c r="Q2531" s="190"/>
      <c r="R2531" s="188"/>
      <c r="S2531" s="193"/>
      <c r="T2531" s="192"/>
      <c r="U2531" s="829"/>
      <c r="V2531" s="10"/>
      <c r="W2531" s="10"/>
      <c r="X2531" s="10"/>
      <c r="Y2531" s="10"/>
      <c r="Z2531" s="10"/>
      <c r="AA2531" s="11"/>
      <c r="AB2531" s="11"/>
    </row>
    <row r="2532" spans="2:28" x14ac:dyDescent="0.3">
      <c r="B2532" s="10"/>
      <c r="C2532" s="315"/>
      <c r="D2532" s="868"/>
      <c r="E2532" s="837" t="str">
        <f>IFERROR(IF(_xlfn.XLOOKUP(Imput[[#This Row],[RFC]],'Alta Proveedor'!D:D,'Alta Proveedor'!E:E)=0,"",_xlfn.XLOOKUP(Imput[[#This Row],[RFC]],'Alta Proveedor'!D:D,'Alta Proveedor'!E:E)),"")</f>
        <v/>
      </c>
      <c r="F2532" s="832"/>
      <c r="G2532" s="187"/>
      <c r="H2532" s="1"/>
      <c r="I2532" s="169">
        <f>Imput[[#This Row],[Cantidad]]*Imput[[#This Row],[Precio Unitario]]</f>
        <v>0</v>
      </c>
      <c r="J2532" s="11">
        <f>((Imput[[#This Row],[Sub total]])*(0.16))</f>
        <v>0</v>
      </c>
      <c r="K2532" s="11">
        <v>0</v>
      </c>
      <c r="L2532" s="169">
        <f>Imput[[#This Row],[Sub total]]+Imput[[#This Row],[IVA]]-Imput[[#This Row],[Retención / IEPS / Descuento]]</f>
        <v>0</v>
      </c>
      <c r="M2532" s="844">
        <v>0</v>
      </c>
      <c r="N2532" s="189"/>
      <c r="O2532" s="1"/>
      <c r="P2532" s="189"/>
      <c r="Q2532" s="190"/>
      <c r="R2532" s="188"/>
      <c r="S2532" s="193"/>
      <c r="T2532" s="192"/>
      <c r="U2532" s="829"/>
      <c r="V2532" s="10"/>
      <c r="W2532" s="10"/>
      <c r="X2532" s="10"/>
      <c r="Y2532" s="10"/>
      <c r="Z2532" s="10"/>
      <c r="AA2532" s="11"/>
      <c r="AB2532" s="11"/>
    </row>
    <row r="2533" spans="2:28" x14ac:dyDescent="0.3">
      <c r="B2533" s="10"/>
      <c r="C2533" s="315"/>
      <c r="D2533" s="868"/>
      <c r="E2533" s="837" t="str">
        <f>IFERROR(IF(_xlfn.XLOOKUP(Imput[[#This Row],[RFC]],'Alta Proveedor'!D:D,'Alta Proveedor'!E:E)=0,"",_xlfn.XLOOKUP(Imput[[#This Row],[RFC]],'Alta Proveedor'!D:D,'Alta Proveedor'!E:E)),"")</f>
        <v/>
      </c>
      <c r="F2533" s="832"/>
      <c r="G2533" s="187"/>
      <c r="H2533" s="1"/>
      <c r="I2533" s="169">
        <f>Imput[[#This Row],[Cantidad]]*Imput[[#This Row],[Precio Unitario]]</f>
        <v>0</v>
      </c>
      <c r="J2533" s="11">
        <f>((Imput[[#This Row],[Sub total]])*(0.16))</f>
        <v>0</v>
      </c>
      <c r="K2533" s="11">
        <v>0</v>
      </c>
      <c r="L2533" s="169">
        <f>Imput[[#This Row],[Sub total]]+Imput[[#This Row],[IVA]]-Imput[[#This Row],[Retención / IEPS / Descuento]]</f>
        <v>0</v>
      </c>
      <c r="M2533" s="844">
        <v>0</v>
      </c>
      <c r="N2533" s="189"/>
      <c r="O2533" s="1"/>
      <c r="P2533" s="189"/>
      <c r="Q2533" s="190"/>
      <c r="R2533" s="188"/>
      <c r="S2533" s="193"/>
      <c r="T2533" s="192"/>
      <c r="U2533" s="829"/>
      <c r="V2533" s="10"/>
      <c r="W2533" s="10"/>
      <c r="X2533" s="10"/>
      <c r="Y2533" s="10"/>
      <c r="Z2533" s="10"/>
      <c r="AA2533" s="11"/>
      <c r="AB2533" s="11"/>
    </row>
    <row r="2534" spans="2:28" x14ac:dyDescent="0.3">
      <c r="B2534" s="10"/>
      <c r="C2534" s="315"/>
      <c r="D2534" s="868"/>
      <c r="E2534" s="837" t="str">
        <f>IFERROR(IF(_xlfn.XLOOKUP(Imput[[#This Row],[RFC]],'Alta Proveedor'!D:D,'Alta Proveedor'!E:E)=0,"",_xlfn.XLOOKUP(Imput[[#This Row],[RFC]],'Alta Proveedor'!D:D,'Alta Proveedor'!E:E)),"")</f>
        <v/>
      </c>
      <c r="F2534" s="832"/>
      <c r="G2534" s="187"/>
      <c r="H2534" s="1"/>
      <c r="I2534" s="169">
        <f>Imput[[#This Row],[Cantidad]]*Imput[[#This Row],[Precio Unitario]]</f>
        <v>0</v>
      </c>
      <c r="J2534" s="11">
        <f>((Imput[[#This Row],[Sub total]])*(0.16))</f>
        <v>0</v>
      </c>
      <c r="K2534" s="11">
        <v>0</v>
      </c>
      <c r="L2534" s="169">
        <f>Imput[[#This Row],[Sub total]]+Imput[[#This Row],[IVA]]-Imput[[#This Row],[Retención / IEPS / Descuento]]</f>
        <v>0</v>
      </c>
      <c r="M2534" s="844">
        <v>0</v>
      </c>
      <c r="N2534" s="189"/>
      <c r="O2534" s="1"/>
      <c r="P2534" s="189"/>
      <c r="Q2534" s="190"/>
      <c r="R2534" s="188"/>
      <c r="S2534" s="193"/>
      <c r="T2534" s="192"/>
      <c r="U2534" s="829"/>
      <c r="V2534" s="10"/>
      <c r="W2534" s="10"/>
      <c r="X2534" s="10"/>
      <c r="Y2534" s="10"/>
      <c r="Z2534" s="10"/>
      <c r="AA2534" s="11"/>
      <c r="AB2534" s="11"/>
    </row>
    <row r="2535" spans="2:28" x14ac:dyDescent="0.3">
      <c r="B2535" s="10"/>
      <c r="C2535" s="315"/>
      <c r="D2535" s="868"/>
      <c r="E2535" s="837" t="str">
        <f>IFERROR(IF(_xlfn.XLOOKUP(Imput[[#This Row],[RFC]],'Alta Proveedor'!D:D,'Alta Proveedor'!E:E)=0,"",_xlfn.XLOOKUP(Imput[[#This Row],[RFC]],'Alta Proveedor'!D:D,'Alta Proveedor'!E:E)),"")</f>
        <v/>
      </c>
      <c r="F2535" s="832"/>
      <c r="G2535" s="187"/>
      <c r="H2535" s="1"/>
      <c r="I2535" s="169">
        <f>Imput[[#This Row],[Cantidad]]*Imput[[#This Row],[Precio Unitario]]</f>
        <v>0</v>
      </c>
      <c r="J2535" s="11">
        <f>((Imput[[#This Row],[Sub total]])*(0.16))</f>
        <v>0</v>
      </c>
      <c r="K2535" s="11">
        <v>0</v>
      </c>
      <c r="L2535" s="169">
        <f>Imput[[#This Row],[Sub total]]+Imput[[#This Row],[IVA]]-Imput[[#This Row],[Retención / IEPS / Descuento]]</f>
        <v>0</v>
      </c>
      <c r="M2535" s="844">
        <v>0</v>
      </c>
      <c r="N2535" s="189"/>
      <c r="O2535" s="1"/>
      <c r="P2535" s="189"/>
      <c r="Q2535" s="190"/>
      <c r="R2535" s="188"/>
      <c r="S2535" s="193"/>
      <c r="T2535" s="192"/>
      <c r="U2535" s="829"/>
      <c r="V2535" s="10"/>
      <c r="W2535" s="10"/>
      <c r="X2535" s="10"/>
      <c r="Y2535" s="10"/>
      <c r="Z2535" s="10"/>
      <c r="AA2535" s="11"/>
      <c r="AB2535" s="11"/>
    </row>
    <row r="2536" spans="2:28" x14ac:dyDescent="0.3">
      <c r="B2536" s="10"/>
      <c r="C2536" s="315"/>
      <c r="D2536" s="868"/>
      <c r="E2536" s="837" t="str">
        <f>IFERROR(IF(_xlfn.XLOOKUP(Imput[[#This Row],[RFC]],'Alta Proveedor'!D:D,'Alta Proveedor'!E:E)=0,"",_xlfn.XLOOKUP(Imput[[#This Row],[RFC]],'Alta Proveedor'!D:D,'Alta Proveedor'!E:E)),"")</f>
        <v/>
      </c>
      <c r="F2536" s="832"/>
      <c r="G2536" s="187"/>
      <c r="H2536" s="1"/>
      <c r="I2536" s="169">
        <f>Imput[[#This Row],[Cantidad]]*Imput[[#This Row],[Precio Unitario]]</f>
        <v>0</v>
      </c>
      <c r="J2536" s="11">
        <f>((Imput[[#This Row],[Sub total]])*(0.16))</f>
        <v>0</v>
      </c>
      <c r="K2536" s="11">
        <v>0</v>
      </c>
      <c r="L2536" s="169">
        <f>Imput[[#This Row],[Sub total]]+Imput[[#This Row],[IVA]]-Imput[[#This Row],[Retención / IEPS / Descuento]]</f>
        <v>0</v>
      </c>
      <c r="M2536" s="844">
        <v>0</v>
      </c>
      <c r="N2536" s="189"/>
      <c r="O2536" s="1"/>
      <c r="P2536" s="189"/>
      <c r="Q2536" s="190"/>
      <c r="R2536" s="188"/>
      <c r="S2536" s="193"/>
      <c r="T2536" s="192"/>
      <c r="U2536" s="829"/>
      <c r="V2536" s="10"/>
      <c r="W2536" s="10"/>
      <c r="X2536" s="10"/>
      <c r="Y2536" s="10"/>
      <c r="Z2536" s="10"/>
      <c r="AA2536" s="11"/>
      <c r="AB2536" s="11"/>
    </row>
    <row r="2537" spans="2:28" x14ac:dyDescent="0.3">
      <c r="B2537" s="10"/>
      <c r="C2537" s="315"/>
      <c r="D2537" s="868"/>
      <c r="E2537" s="837" t="str">
        <f>IFERROR(IF(_xlfn.XLOOKUP(Imput[[#This Row],[RFC]],'Alta Proveedor'!D:D,'Alta Proveedor'!E:E)=0,"",_xlfn.XLOOKUP(Imput[[#This Row],[RFC]],'Alta Proveedor'!D:D,'Alta Proveedor'!E:E)),"")</f>
        <v/>
      </c>
      <c r="F2537" s="832"/>
      <c r="G2537" s="187"/>
      <c r="H2537" s="1"/>
      <c r="I2537" s="169">
        <f>Imput[[#This Row],[Cantidad]]*Imput[[#This Row],[Precio Unitario]]</f>
        <v>0</v>
      </c>
      <c r="J2537" s="11">
        <f>((Imput[[#This Row],[Sub total]])*(0.16))</f>
        <v>0</v>
      </c>
      <c r="K2537" s="11">
        <v>0</v>
      </c>
      <c r="L2537" s="169">
        <f>Imput[[#This Row],[Sub total]]+Imput[[#This Row],[IVA]]-Imput[[#This Row],[Retención / IEPS / Descuento]]</f>
        <v>0</v>
      </c>
      <c r="M2537" s="844">
        <v>0</v>
      </c>
      <c r="N2537" s="189"/>
      <c r="O2537" s="1"/>
      <c r="P2537" s="189"/>
      <c r="Q2537" s="190"/>
      <c r="R2537" s="188"/>
      <c r="S2537" s="193"/>
      <c r="T2537" s="192"/>
      <c r="U2537" s="829"/>
      <c r="V2537" s="10"/>
      <c r="W2537" s="10"/>
      <c r="X2537" s="10"/>
      <c r="Y2537" s="10"/>
      <c r="Z2537" s="10"/>
      <c r="AA2537" s="11"/>
      <c r="AB2537" s="11"/>
    </row>
    <row r="2538" spans="2:28" x14ac:dyDescent="0.3">
      <c r="B2538" s="10"/>
      <c r="C2538" s="315"/>
      <c r="D2538" s="868"/>
      <c r="E2538" s="837" t="str">
        <f>IFERROR(IF(_xlfn.XLOOKUP(Imput[[#This Row],[RFC]],'Alta Proveedor'!D:D,'Alta Proveedor'!E:E)=0,"",_xlfn.XLOOKUP(Imput[[#This Row],[RFC]],'Alta Proveedor'!D:D,'Alta Proveedor'!E:E)),"")</f>
        <v/>
      </c>
      <c r="F2538" s="832"/>
      <c r="G2538" s="187"/>
      <c r="H2538" s="1"/>
      <c r="I2538" s="169">
        <f>Imput[[#This Row],[Cantidad]]*Imput[[#This Row],[Precio Unitario]]</f>
        <v>0</v>
      </c>
      <c r="J2538" s="11">
        <f>((Imput[[#This Row],[Sub total]])*(0.16))</f>
        <v>0</v>
      </c>
      <c r="K2538" s="11">
        <v>0</v>
      </c>
      <c r="L2538" s="169">
        <f>Imput[[#This Row],[Sub total]]+Imput[[#This Row],[IVA]]-Imput[[#This Row],[Retención / IEPS / Descuento]]</f>
        <v>0</v>
      </c>
      <c r="M2538" s="844">
        <v>0</v>
      </c>
      <c r="N2538" s="189"/>
      <c r="O2538" s="1"/>
      <c r="P2538" s="189"/>
      <c r="Q2538" s="190"/>
      <c r="R2538" s="188"/>
      <c r="S2538" s="193"/>
      <c r="T2538" s="192"/>
      <c r="U2538" s="829"/>
      <c r="V2538" s="10"/>
      <c r="W2538" s="10"/>
      <c r="X2538" s="10"/>
      <c r="Y2538" s="10"/>
      <c r="Z2538" s="10"/>
      <c r="AA2538" s="11"/>
      <c r="AB2538" s="11"/>
    </row>
    <row r="2539" spans="2:28" x14ac:dyDescent="0.3">
      <c r="B2539" s="10"/>
      <c r="C2539" s="315"/>
      <c r="D2539" s="868"/>
      <c r="E2539" s="837" t="str">
        <f>IFERROR(IF(_xlfn.XLOOKUP(Imput[[#This Row],[RFC]],'Alta Proveedor'!D:D,'Alta Proveedor'!E:E)=0,"",_xlfn.XLOOKUP(Imput[[#This Row],[RFC]],'Alta Proveedor'!D:D,'Alta Proveedor'!E:E)),"")</f>
        <v/>
      </c>
      <c r="F2539" s="832"/>
      <c r="G2539" s="187"/>
      <c r="H2539" s="1"/>
      <c r="I2539" s="169">
        <f>Imput[[#This Row],[Cantidad]]*Imput[[#This Row],[Precio Unitario]]</f>
        <v>0</v>
      </c>
      <c r="J2539" s="11">
        <f>((Imput[[#This Row],[Sub total]])*(0.16))</f>
        <v>0</v>
      </c>
      <c r="K2539" s="11">
        <v>0</v>
      </c>
      <c r="L2539" s="169">
        <f>Imput[[#This Row],[Sub total]]+Imput[[#This Row],[IVA]]-Imput[[#This Row],[Retención / IEPS / Descuento]]</f>
        <v>0</v>
      </c>
      <c r="M2539" s="844">
        <v>0</v>
      </c>
      <c r="N2539" s="189"/>
      <c r="O2539" s="1"/>
      <c r="P2539" s="189"/>
      <c r="Q2539" s="190"/>
      <c r="R2539" s="188"/>
      <c r="S2539" s="193"/>
      <c r="T2539" s="192"/>
      <c r="U2539" s="829"/>
      <c r="V2539" s="10"/>
      <c r="W2539" s="10"/>
      <c r="X2539" s="10"/>
      <c r="Y2539" s="10"/>
      <c r="Z2539" s="10"/>
      <c r="AA2539" s="11"/>
      <c r="AB2539" s="11"/>
    </row>
    <row r="2540" spans="2:28" x14ac:dyDescent="0.3">
      <c r="B2540" s="10"/>
      <c r="C2540" s="315"/>
      <c r="D2540" s="868"/>
      <c r="E2540" s="837" t="str">
        <f>IFERROR(IF(_xlfn.XLOOKUP(Imput[[#This Row],[RFC]],'Alta Proveedor'!D:D,'Alta Proveedor'!E:E)=0,"",_xlfn.XLOOKUP(Imput[[#This Row],[RFC]],'Alta Proveedor'!D:D,'Alta Proveedor'!E:E)),"")</f>
        <v/>
      </c>
      <c r="F2540" s="832"/>
      <c r="G2540" s="187"/>
      <c r="H2540" s="1"/>
      <c r="I2540" s="169">
        <f>Imput[[#This Row],[Cantidad]]*Imput[[#This Row],[Precio Unitario]]</f>
        <v>0</v>
      </c>
      <c r="J2540" s="11">
        <f>((Imput[[#This Row],[Sub total]])*(0.16))</f>
        <v>0</v>
      </c>
      <c r="K2540" s="11">
        <v>0</v>
      </c>
      <c r="L2540" s="169">
        <f>Imput[[#This Row],[Sub total]]+Imput[[#This Row],[IVA]]-Imput[[#This Row],[Retención / IEPS / Descuento]]</f>
        <v>0</v>
      </c>
      <c r="M2540" s="844">
        <v>0</v>
      </c>
      <c r="N2540" s="189"/>
      <c r="O2540" s="1"/>
      <c r="P2540" s="189"/>
      <c r="Q2540" s="190"/>
      <c r="R2540" s="188"/>
      <c r="S2540" s="193"/>
      <c r="T2540" s="192"/>
      <c r="U2540" s="829"/>
      <c r="V2540" s="10"/>
      <c r="W2540" s="10"/>
      <c r="X2540" s="10"/>
      <c r="Y2540" s="10"/>
      <c r="Z2540" s="10"/>
      <c r="AA2540" s="11"/>
      <c r="AB2540" s="11"/>
    </row>
    <row r="2541" spans="2:28" x14ac:dyDescent="0.3">
      <c r="B2541" s="10"/>
      <c r="C2541" s="315"/>
      <c r="D2541" s="868"/>
      <c r="E2541" s="837" t="str">
        <f>IFERROR(IF(_xlfn.XLOOKUP(Imput[[#This Row],[RFC]],'Alta Proveedor'!D:D,'Alta Proveedor'!E:E)=0,"",_xlfn.XLOOKUP(Imput[[#This Row],[RFC]],'Alta Proveedor'!D:D,'Alta Proveedor'!E:E)),"")</f>
        <v/>
      </c>
      <c r="F2541" s="832"/>
      <c r="G2541" s="187"/>
      <c r="H2541" s="1"/>
      <c r="I2541" s="169">
        <f>Imput[[#This Row],[Cantidad]]*Imput[[#This Row],[Precio Unitario]]</f>
        <v>0</v>
      </c>
      <c r="J2541" s="11">
        <f>((Imput[[#This Row],[Sub total]])*(0.16))</f>
        <v>0</v>
      </c>
      <c r="K2541" s="11">
        <v>0</v>
      </c>
      <c r="L2541" s="169">
        <f>Imput[[#This Row],[Sub total]]+Imput[[#This Row],[IVA]]-Imput[[#This Row],[Retención / IEPS / Descuento]]</f>
        <v>0</v>
      </c>
      <c r="M2541" s="844">
        <v>0</v>
      </c>
      <c r="N2541" s="189"/>
      <c r="O2541" s="1"/>
      <c r="P2541" s="189"/>
      <c r="Q2541" s="190"/>
      <c r="R2541" s="188"/>
      <c r="S2541" s="193"/>
      <c r="T2541" s="192"/>
      <c r="U2541" s="829"/>
      <c r="V2541" s="10"/>
      <c r="W2541" s="10"/>
      <c r="X2541" s="10"/>
      <c r="Y2541" s="10"/>
      <c r="Z2541" s="10"/>
      <c r="AA2541" s="11"/>
      <c r="AB2541" s="11"/>
    </row>
    <row r="2542" spans="2:28" x14ac:dyDescent="0.3">
      <c r="B2542" s="10"/>
      <c r="C2542" s="315"/>
      <c r="D2542" s="868"/>
      <c r="E2542" s="837" t="str">
        <f>IFERROR(IF(_xlfn.XLOOKUP(Imput[[#This Row],[RFC]],'Alta Proveedor'!D:D,'Alta Proveedor'!E:E)=0,"",_xlfn.XLOOKUP(Imput[[#This Row],[RFC]],'Alta Proveedor'!D:D,'Alta Proveedor'!E:E)),"")</f>
        <v/>
      </c>
      <c r="F2542" s="832"/>
      <c r="G2542" s="187"/>
      <c r="H2542" s="1"/>
      <c r="I2542" s="169">
        <f>Imput[[#This Row],[Cantidad]]*Imput[[#This Row],[Precio Unitario]]</f>
        <v>0</v>
      </c>
      <c r="J2542" s="11">
        <f>((Imput[[#This Row],[Sub total]])*(0.16))</f>
        <v>0</v>
      </c>
      <c r="K2542" s="11">
        <v>0</v>
      </c>
      <c r="L2542" s="169">
        <f>Imput[[#This Row],[Sub total]]+Imput[[#This Row],[IVA]]-Imput[[#This Row],[Retención / IEPS / Descuento]]</f>
        <v>0</v>
      </c>
      <c r="M2542" s="844">
        <v>0</v>
      </c>
      <c r="N2542" s="189"/>
      <c r="O2542" s="1"/>
      <c r="P2542" s="189"/>
      <c r="Q2542" s="190"/>
      <c r="R2542" s="188"/>
      <c r="S2542" s="193"/>
      <c r="T2542" s="192"/>
      <c r="U2542" s="829"/>
      <c r="V2542" s="10"/>
      <c r="W2542" s="10"/>
      <c r="X2542" s="10"/>
      <c r="Y2542" s="10"/>
      <c r="Z2542" s="10"/>
      <c r="AA2542" s="11"/>
      <c r="AB2542" s="11"/>
    </row>
    <row r="2543" spans="2:28" x14ac:dyDescent="0.3">
      <c r="B2543" s="10"/>
      <c r="C2543" s="315"/>
      <c r="D2543" s="868"/>
      <c r="E2543" s="837" t="str">
        <f>IFERROR(IF(_xlfn.XLOOKUP(Imput[[#This Row],[RFC]],'Alta Proveedor'!D:D,'Alta Proveedor'!E:E)=0,"",_xlfn.XLOOKUP(Imput[[#This Row],[RFC]],'Alta Proveedor'!D:D,'Alta Proveedor'!E:E)),"")</f>
        <v/>
      </c>
      <c r="F2543" s="832"/>
      <c r="G2543" s="187"/>
      <c r="H2543" s="1"/>
      <c r="I2543" s="169">
        <f>Imput[[#This Row],[Cantidad]]*Imput[[#This Row],[Precio Unitario]]</f>
        <v>0</v>
      </c>
      <c r="J2543" s="11">
        <f>((Imput[[#This Row],[Sub total]])*(0.16))</f>
        <v>0</v>
      </c>
      <c r="K2543" s="11">
        <v>0</v>
      </c>
      <c r="L2543" s="169">
        <f>Imput[[#This Row],[Sub total]]+Imput[[#This Row],[IVA]]-Imput[[#This Row],[Retención / IEPS / Descuento]]</f>
        <v>0</v>
      </c>
      <c r="M2543" s="844">
        <v>0</v>
      </c>
      <c r="N2543" s="189"/>
      <c r="O2543" s="1"/>
      <c r="P2543" s="189"/>
      <c r="Q2543" s="190"/>
      <c r="R2543" s="188"/>
      <c r="S2543" s="193"/>
      <c r="T2543" s="192"/>
      <c r="U2543" s="829"/>
      <c r="V2543" s="10"/>
      <c r="W2543" s="10"/>
      <c r="X2543" s="10"/>
      <c r="Y2543" s="10"/>
      <c r="Z2543" s="10"/>
      <c r="AA2543" s="11"/>
      <c r="AB2543" s="11"/>
    </row>
    <row r="2544" spans="2:28" x14ac:dyDescent="0.3">
      <c r="B2544" s="10"/>
      <c r="C2544" s="315"/>
      <c r="D2544" s="868"/>
      <c r="E2544" s="837" t="str">
        <f>IFERROR(IF(_xlfn.XLOOKUP(Imput[[#This Row],[RFC]],'Alta Proveedor'!D:D,'Alta Proveedor'!E:E)=0,"",_xlfn.XLOOKUP(Imput[[#This Row],[RFC]],'Alta Proveedor'!D:D,'Alta Proveedor'!E:E)),"")</f>
        <v/>
      </c>
      <c r="F2544" s="832"/>
      <c r="G2544" s="187"/>
      <c r="H2544" s="1"/>
      <c r="I2544" s="169">
        <f>Imput[[#This Row],[Cantidad]]*Imput[[#This Row],[Precio Unitario]]</f>
        <v>0</v>
      </c>
      <c r="J2544" s="11">
        <f>((Imput[[#This Row],[Sub total]])*(0.16))</f>
        <v>0</v>
      </c>
      <c r="K2544" s="11">
        <v>0</v>
      </c>
      <c r="L2544" s="169">
        <f>Imput[[#This Row],[Sub total]]+Imput[[#This Row],[IVA]]-Imput[[#This Row],[Retención / IEPS / Descuento]]</f>
        <v>0</v>
      </c>
      <c r="M2544" s="844">
        <v>0</v>
      </c>
      <c r="N2544" s="189"/>
      <c r="O2544" s="1"/>
      <c r="P2544" s="189"/>
      <c r="Q2544" s="190"/>
      <c r="R2544" s="188"/>
      <c r="S2544" s="193"/>
      <c r="T2544" s="192"/>
      <c r="U2544" s="829"/>
      <c r="V2544" s="10"/>
      <c r="W2544" s="10"/>
      <c r="X2544" s="10"/>
      <c r="Y2544" s="10"/>
      <c r="Z2544" s="10"/>
      <c r="AA2544" s="11"/>
      <c r="AB2544" s="11"/>
    </row>
    <row r="2545" spans="2:28" x14ac:dyDescent="0.3">
      <c r="B2545" s="10"/>
      <c r="C2545" s="315"/>
      <c r="D2545" s="868"/>
      <c r="E2545" s="837" t="str">
        <f>IFERROR(IF(_xlfn.XLOOKUP(Imput[[#This Row],[RFC]],'Alta Proveedor'!D:D,'Alta Proveedor'!E:E)=0,"",_xlfn.XLOOKUP(Imput[[#This Row],[RFC]],'Alta Proveedor'!D:D,'Alta Proveedor'!E:E)),"")</f>
        <v/>
      </c>
      <c r="F2545" s="832"/>
      <c r="G2545" s="187"/>
      <c r="H2545" s="1"/>
      <c r="I2545" s="169">
        <f>Imput[[#This Row],[Cantidad]]*Imput[[#This Row],[Precio Unitario]]</f>
        <v>0</v>
      </c>
      <c r="J2545" s="11">
        <f>((Imput[[#This Row],[Sub total]])*(0.16))</f>
        <v>0</v>
      </c>
      <c r="K2545" s="11">
        <v>0</v>
      </c>
      <c r="L2545" s="169">
        <f>Imput[[#This Row],[Sub total]]+Imput[[#This Row],[IVA]]-Imput[[#This Row],[Retención / IEPS / Descuento]]</f>
        <v>0</v>
      </c>
      <c r="M2545" s="844">
        <v>0</v>
      </c>
      <c r="N2545" s="189"/>
      <c r="O2545" s="1"/>
      <c r="P2545" s="189"/>
      <c r="Q2545" s="190"/>
      <c r="R2545" s="188"/>
      <c r="S2545" s="193"/>
      <c r="T2545" s="192"/>
      <c r="U2545" s="829"/>
      <c r="V2545" s="10"/>
      <c r="W2545" s="10"/>
      <c r="X2545" s="10"/>
      <c r="Y2545" s="10"/>
      <c r="Z2545" s="10"/>
      <c r="AA2545" s="11"/>
      <c r="AB2545" s="11"/>
    </row>
    <row r="2546" spans="2:28" x14ac:dyDescent="0.3">
      <c r="B2546" s="10"/>
      <c r="C2546" s="315"/>
      <c r="D2546" s="868"/>
      <c r="E2546" s="837" t="str">
        <f>IFERROR(IF(_xlfn.XLOOKUP(Imput[[#This Row],[RFC]],'Alta Proveedor'!D:D,'Alta Proveedor'!E:E)=0,"",_xlfn.XLOOKUP(Imput[[#This Row],[RFC]],'Alta Proveedor'!D:D,'Alta Proveedor'!E:E)),"")</f>
        <v/>
      </c>
      <c r="F2546" s="832"/>
      <c r="G2546" s="187"/>
      <c r="H2546" s="1"/>
      <c r="I2546" s="169">
        <f>Imput[[#This Row],[Cantidad]]*Imput[[#This Row],[Precio Unitario]]</f>
        <v>0</v>
      </c>
      <c r="J2546" s="11">
        <f>((Imput[[#This Row],[Sub total]])*(0.16))</f>
        <v>0</v>
      </c>
      <c r="K2546" s="11">
        <v>0</v>
      </c>
      <c r="L2546" s="169">
        <f>Imput[[#This Row],[Sub total]]+Imput[[#This Row],[IVA]]-Imput[[#This Row],[Retención / IEPS / Descuento]]</f>
        <v>0</v>
      </c>
      <c r="M2546" s="844">
        <v>0</v>
      </c>
      <c r="N2546" s="189"/>
      <c r="O2546" s="1"/>
      <c r="P2546" s="189"/>
      <c r="Q2546" s="190"/>
      <c r="R2546" s="188"/>
      <c r="S2546" s="193"/>
      <c r="T2546" s="192"/>
      <c r="U2546" s="829"/>
      <c r="V2546" s="10"/>
      <c r="W2546" s="10"/>
      <c r="X2546" s="10"/>
      <c r="Y2546" s="10"/>
      <c r="Z2546" s="10"/>
      <c r="AA2546" s="11"/>
      <c r="AB2546" s="11"/>
    </row>
    <row r="2547" spans="2:28" x14ac:dyDescent="0.3">
      <c r="B2547" s="10"/>
      <c r="C2547" s="315"/>
      <c r="D2547" s="868"/>
      <c r="E2547" s="837" t="str">
        <f>IFERROR(IF(_xlfn.XLOOKUP(Imput[[#This Row],[RFC]],'Alta Proveedor'!D:D,'Alta Proveedor'!E:E)=0,"",_xlfn.XLOOKUP(Imput[[#This Row],[RFC]],'Alta Proveedor'!D:D,'Alta Proveedor'!E:E)),"")</f>
        <v/>
      </c>
      <c r="F2547" s="832"/>
      <c r="G2547" s="187"/>
      <c r="H2547" s="1"/>
      <c r="I2547" s="169">
        <f>Imput[[#This Row],[Cantidad]]*Imput[[#This Row],[Precio Unitario]]</f>
        <v>0</v>
      </c>
      <c r="J2547" s="11">
        <f>((Imput[[#This Row],[Sub total]])*(0.16))</f>
        <v>0</v>
      </c>
      <c r="K2547" s="11">
        <v>0</v>
      </c>
      <c r="L2547" s="169">
        <f>Imput[[#This Row],[Sub total]]+Imput[[#This Row],[IVA]]-Imput[[#This Row],[Retención / IEPS / Descuento]]</f>
        <v>0</v>
      </c>
      <c r="M2547" s="844">
        <v>0</v>
      </c>
      <c r="N2547" s="189"/>
      <c r="O2547" s="1"/>
      <c r="P2547" s="189"/>
      <c r="Q2547" s="190"/>
      <c r="R2547" s="188"/>
      <c r="S2547" s="193"/>
      <c r="T2547" s="192"/>
      <c r="U2547" s="829"/>
      <c r="V2547" s="10"/>
      <c r="W2547" s="10"/>
      <c r="X2547" s="10"/>
      <c r="Y2547" s="10"/>
      <c r="Z2547" s="10"/>
      <c r="AA2547" s="11"/>
      <c r="AB2547" s="11"/>
    </row>
    <row r="2548" spans="2:28" x14ac:dyDescent="0.3">
      <c r="B2548" s="10"/>
      <c r="C2548" s="315"/>
      <c r="D2548" s="868"/>
      <c r="E2548" s="837" t="str">
        <f>IFERROR(IF(_xlfn.XLOOKUP(Imput[[#This Row],[RFC]],'Alta Proveedor'!D:D,'Alta Proveedor'!E:E)=0,"",_xlfn.XLOOKUP(Imput[[#This Row],[RFC]],'Alta Proveedor'!D:D,'Alta Proveedor'!E:E)),"")</f>
        <v/>
      </c>
      <c r="F2548" s="832"/>
      <c r="G2548" s="187"/>
      <c r="H2548" s="1"/>
      <c r="I2548" s="169">
        <f>Imput[[#This Row],[Cantidad]]*Imput[[#This Row],[Precio Unitario]]</f>
        <v>0</v>
      </c>
      <c r="J2548" s="11">
        <f>((Imput[[#This Row],[Sub total]])*(0.16))</f>
        <v>0</v>
      </c>
      <c r="K2548" s="11">
        <v>0</v>
      </c>
      <c r="L2548" s="169">
        <f>Imput[[#This Row],[Sub total]]+Imput[[#This Row],[IVA]]-Imput[[#This Row],[Retención / IEPS / Descuento]]</f>
        <v>0</v>
      </c>
      <c r="M2548" s="844">
        <v>0</v>
      </c>
      <c r="N2548" s="189"/>
      <c r="O2548" s="1"/>
      <c r="P2548" s="189"/>
      <c r="Q2548" s="190"/>
      <c r="R2548" s="188"/>
      <c r="S2548" s="193"/>
      <c r="T2548" s="192"/>
      <c r="U2548" s="829"/>
      <c r="V2548" s="10"/>
      <c r="W2548" s="10"/>
      <c r="X2548" s="10"/>
      <c r="Y2548" s="10"/>
      <c r="Z2548" s="10"/>
      <c r="AA2548" s="11"/>
      <c r="AB2548" s="11"/>
    </row>
    <row r="2549" spans="2:28" x14ac:dyDescent="0.3">
      <c r="B2549" s="10"/>
      <c r="C2549" s="315"/>
      <c r="D2549" s="868"/>
      <c r="E2549" s="837" t="str">
        <f>IFERROR(IF(_xlfn.XLOOKUP(Imput[[#This Row],[RFC]],'Alta Proveedor'!D:D,'Alta Proveedor'!E:E)=0,"",_xlfn.XLOOKUP(Imput[[#This Row],[RFC]],'Alta Proveedor'!D:D,'Alta Proveedor'!E:E)),"")</f>
        <v/>
      </c>
      <c r="F2549" s="832"/>
      <c r="G2549" s="187"/>
      <c r="H2549" s="1"/>
      <c r="I2549" s="169">
        <f>Imput[[#This Row],[Cantidad]]*Imput[[#This Row],[Precio Unitario]]</f>
        <v>0</v>
      </c>
      <c r="J2549" s="11">
        <f>((Imput[[#This Row],[Sub total]])*(0.16))</f>
        <v>0</v>
      </c>
      <c r="K2549" s="11">
        <v>0</v>
      </c>
      <c r="L2549" s="169">
        <f>Imput[[#This Row],[Sub total]]+Imput[[#This Row],[IVA]]-Imput[[#This Row],[Retención / IEPS / Descuento]]</f>
        <v>0</v>
      </c>
      <c r="M2549" s="844">
        <v>0</v>
      </c>
      <c r="N2549" s="189"/>
      <c r="O2549" s="1"/>
      <c r="P2549" s="189"/>
      <c r="Q2549" s="190"/>
      <c r="R2549" s="188"/>
      <c r="S2549" s="193"/>
      <c r="T2549" s="192"/>
      <c r="U2549" s="829"/>
      <c r="V2549" s="10"/>
      <c r="W2549" s="10"/>
      <c r="X2549" s="10"/>
      <c r="Y2549" s="10"/>
      <c r="Z2549" s="10"/>
      <c r="AA2549" s="11"/>
      <c r="AB2549" s="11"/>
    </row>
    <row r="2550" spans="2:28" x14ac:dyDescent="0.3">
      <c r="B2550" s="10"/>
      <c r="C2550" s="315"/>
      <c r="D2550" s="868"/>
      <c r="E2550" s="837" t="str">
        <f>IFERROR(IF(_xlfn.XLOOKUP(Imput[[#This Row],[RFC]],'Alta Proveedor'!D:D,'Alta Proveedor'!E:E)=0,"",_xlfn.XLOOKUP(Imput[[#This Row],[RFC]],'Alta Proveedor'!D:D,'Alta Proveedor'!E:E)),"")</f>
        <v/>
      </c>
      <c r="F2550" s="832"/>
      <c r="G2550" s="187"/>
      <c r="H2550" s="1"/>
      <c r="I2550" s="169">
        <f>Imput[[#This Row],[Cantidad]]*Imput[[#This Row],[Precio Unitario]]</f>
        <v>0</v>
      </c>
      <c r="J2550" s="11">
        <f>((Imput[[#This Row],[Sub total]])*(0.16))</f>
        <v>0</v>
      </c>
      <c r="K2550" s="11">
        <v>0</v>
      </c>
      <c r="L2550" s="169">
        <f>Imput[[#This Row],[Sub total]]+Imput[[#This Row],[IVA]]-Imput[[#This Row],[Retención / IEPS / Descuento]]</f>
        <v>0</v>
      </c>
      <c r="M2550" s="844">
        <v>0</v>
      </c>
      <c r="N2550" s="189"/>
      <c r="O2550" s="1"/>
      <c r="P2550" s="189"/>
      <c r="Q2550" s="190"/>
      <c r="R2550" s="188"/>
      <c r="S2550" s="193"/>
      <c r="T2550" s="192"/>
      <c r="U2550" s="829"/>
      <c r="V2550" s="10"/>
      <c r="W2550" s="10"/>
      <c r="X2550" s="10"/>
      <c r="Y2550" s="10"/>
      <c r="Z2550" s="10"/>
      <c r="AA2550" s="11"/>
      <c r="AB2550" s="11"/>
    </row>
    <row r="2551" spans="2:28" x14ac:dyDescent="0.3">
      <c r="B2551" s="10"/>
      <c r="C2551" s="315"/>
      <c r="D2551" s="868"/>
      <c r="E2551" s="837" t="str">
        <f>IFERROR(IF(_xlfn.XLOOKUP(Imput[[#This Row],[RFC]],'Alta Proveedor'!D:D,'Alta Proveedor'!E:E)=0,"",_xlfn.XLOOKUP(Imput[[#This Row],[RFC]],'Alta Proveedor'!D:D,'Alta Proveedor'!E:E)),"")</f>
        <v/>
      </c>
      <c r="F2551" s="832"/>
      <c r="G2551" s="187"/>
      <c r="H2551" s="1"/>
      <c r="I2551" s="169">
        <f>Imput[[#This Row],[Cantidad]]*Imput[[#This Row],[Precio Unitario]]</f>
        <v>0</v>
      </c>
      <c r="J2551" s="11">
        <f>((Imput[[#This Row],[Sub total]])*(0.16))</f>
        <v>0</v>
      </c>
      <c r="K2551" s="11">
        <v>0</v>
      </c>
      <c r="L2551" s="169">
        <f>Imput[[#This Row],[Sub total]]+Imput[[#This Row],[IVA]]-Imput[[#This Row],[Retención / IEPS / Descuento]]</f>
        <v>0</v>
      </c>
      <c r="M2551" s="844">
        <v>0</v>
      </c>
      <c r="N2551" s="189"/>
      <c r="O2551" s="1"/>
      <c r="P2551" s="189"/>
      <c r="Q2551" s="190"/>
      <c r="R2551" s="188"/>
      <c r="S2551" s="193"/>
      <c r="T2551" s="192"/>
      <c r="U2551" s="829"/>
      <c r="V2551" s="10"/>
      <c r="W2551" s="10"/>
      <c r="X2551" s="10"/>
      <c r="Y2551" s="10"/>
      <c r="Z2551" s="10"/>
      <c r="AA2551" s="11"/>
      <c r="AB2551" s="11"/>
    </row>
    <row r="2552" spans="2:28" x14ac:dyDescent="0.3">
      <c r="B2552" s="10"/>
      <c r="C2552" s="315"/>
      <c r="D2552" s="868"/>
      <c r="E2552" s="837" t="str">
        <f>IFERROR(IF(_xlfn.XLOOKUP(Imput[[#This Row],[RFC]],'Alta Proveedor'!D:D,'Alta Proveedor'!E:E)=0,"",_xlfn.XLOOKUP(Imput[[#This Row],[RFC]],'Alta Proveedor'!D:D,'Alta Proveedor'!E:E)),"")</f>
        <v/>
      </c>
      <c r="F2552" s="832"/>
      <c r="G2552" s="187"/>
      <c r="H2552" s="1"/>
      <c r="I2552" s="169">
        <f>Imput[[#This Row],[Cantidad]]*Imput[[#This Row],[Precio Unitario]]</f>
        <v>0</v>
      </c>
      <c r="J2552" s="11">
        <f>((Imput[[#This Row],[Sub total]])*(0.16))</f>
        <v>0</v>
      </c>
      <c r="K2552" s="11">
        <v>0</v>
      </c>
      <c r="L2552" s="169">
        <f>Imput[[#This Row],[Sub total]]+Imput[[#This Row],[IVA]]-Imput[[#This Row],[Retención / IEPS / Descuento]]</f>
        <v>0</v>
      </c>
      <c r="M2552" s="844">
        <v>0</v>
      </c>
      <c r="N2552" s="189"/>
      <c r="O2552" s="1"/>
      <c r="P2552" s="189"/>
      <c r="Q2552" s="190"/>
      <c r="R2552" s="188"/>
      <c r="S2552" s="193"/>
      <c r="T2552" s="192"/>
      <c r="U2552" s="829"/>
      <c r="V2552" s="10"/>
      <c r="W2552" s="10"/>
      <c r="X2552" s="10"/>
      <c r="Y2552" s="10"/>
      <c r="Z2552" s="10"/>
      <c r="AA2552" s="11"/>
      <c r="AB2552" s="11"/>
    </row>
    <row r="2553" spans="2:28" x14ac:dyDescent="0.3">
      <c r="B2553" s="10"/>
      <c r="C2553" s="315"/>
      <c r="D2553" s="868"/>
      <c r="E2553" s="837" t="str">
        <f>IFERROR(IF(_xlfn.XLOOKUP(Imput[[#This Row],[RFC]],'Alta Proveedor'!D:D,'Alta Proveedor'!E:E)=0,"",_xlfn.XLOOKUP(Imput[[#This Row],[RFC]],'Alta Proveedor'!D:D,'Alta Proveedor'!E:E)),"")</f>
        <v/>
      </c>
      <c r="F2553" s="832"/>
      <c r="G2553" s="187"/>
      <c r="H2553" s="1"/>
      <c r="I2553" s="169">
        <f>Imput[[#This Row],[Cantidad]]*Imput[[#This Row],[Precio Unitario]]</f>
        <v>0</v>
      </c>
      <c r="J2553" s="11">
        <f>((Imput[[#This Row],[Sub total]])*(0.16))</f>
        <v>0</v>
      </c>
      <c r="K2553" s="11">
        <v>0</v>
      </c>
      <c r="L2553" s="169">
        <f>Imput[[#This Row],[Sub total]]+Imput[[#This Row],[IVA]]-Imput[[#This Row],[Retención / IEPS / Descuento]]</f>
        <v>0</v>
      </c>
      <c r="M2553" s="844">
        <v>0</v>
      </c>
      <c r="N2553" s="189"/>
      <c r="O2553" s="1"/>
      <c r="P2553" s="189"/>
      <c r="Q2553" s="190"/>
      <c r="R2553" s="188"/>
      <c r="S2553" s="193"/>
      <c r="T2553" s="192"/>
      <c r="U2553" s="829"/>
      <c r="V2553" s="10"/>
      <c r="W2553" s="10"/>
      <c r="X2553" s="10"/>
      <c r="Y2553" s="10"/>
      <c r="Z2553" s="10"/>
      <c r="AA2553" s="11"/>
      <c r="AB2553" s="11"/>
    </row>
    <row r="2554" spans="2:28" x14ac:dyDescent="0.3">
      <c r="B2554" s="10"/>
      <c r="C2554" s="315"/>
      <c r="D2554" s="868"/>
      <c r="E2554" s="837" t="str">
        <f>IFERROR(IF(_xlfn.XLOOKUP(Imput[[#This Row],[RFC]],'Alta Proveedor'!D:D,'Alta Proveedor'!E:E)=0,"",_xlfn.XLOOKUP(Imput[[#This Row],[RFC]],'Alta Proveedor'!D:D,'Alta Proveedor'!E:E)),"")</f>
        <v/>
      </c>
      <c r="F2554" s="832"/>
      <c r="G2554" s="187"/>
      <c r="H2554" s="1"/>
      <c r="I2554" s="169">
        <f>Imput[[#This Row],[Cantidad]]*Imput[[#This Row],[Precio Unitario]]</f>
        <v>0</v>
      </c>
      <c r="J2554" s="11">
        <f>((Imput[[#This Row],[Sub total]])*(0.16))</f>
        <v>0</v>
      </c>
      <c r="K2554" s="11">
        <v>0</v>
      </c>
      <c r="L2554" s="169">
        <f>Imput[[#This Row],[Sub total]]+Imput[[#This Row],[IVA]]-Imput[[#This Row],[Retención / IEPS / Descuento]]</f>
        <v>0</v>
      </c>
      <c r="M2554" s="844">
        <v>0</v>
      </c>
      <c r="N2554" s="189"/>
      <c r="O2554" s="1"/>
      <c r="P2554" s="189"/>
      <c r="Q2554" s="190"/>
      <c r="R2554" s="188"/>
      <c r="S2554" s="193"/>
      <c r="T2554" s="192"/>
      <c r="U2554" s="829"/>
      <c r="V2554" s="10"/>
      <c r="W2554" s="10"/>
      <c r="X2554" s="10"/>
      <c r="Y2554" s="10"/>
      <c r="Z2554" s="10"/>
      <c r="AA2554" s="11"/>
      <c r="AB2554" s="11"/>
    </row>
    <row r="2555" spans="2:28" x14ac:dyDescent="0.3">
      <c r="B2555" s="10"/>
      <c r="C2555" s="315"/>
      <c r="D2555" s="868"/>
      <c r="E2555" s="837" t="str">
        <f>IFERROR(IF(_xlfn.XLOOKUP(Imput[[#This Row],[RFC]],'Alta Proveedor'!D:D,'Alta Proveedor'!E:E)=0,"",_xlfn.XLOOKUP(Imput[[#This Row],[RFC]],'Alta Proveedor'!D:D,'Alta Proveedor'!E:E)),"")</f>
        <v/>
      </c>
      <c r="F2555" s="832"/>
      <c r="G2555" s="187"/>
      <c r="H2555" s="1"/>
      <c r="I2555" s="169">
        <f>Imput[[#This Row],[Cantidad]]*Imput[[#This Row],[Precio Unitario]]</f>
        <v>0</v>
      </c>
      <c r="J2555" s="11">
        <f>((Imput[[#This Row],[Sub total]])*(0.16))</f>
        <v>0</v>
      </c>
      <c r="K2555" s="11">
        <v>0</v>
      </c>
      <c r="L2555" s="169">
        <f>Imput[[#This Row],[Sub total]]+Imput[[#This Row],[IVA]]-Imput[[#This Row],[Retención / IEPS / Descuento]]</f>
        <v>0</v>
      </c>
      <c r="M2555" s="844">
        <v>0</v>
      </c>
      <c r="N2555" s="189"/>
      <c r="O2555" s="1"/>
      <c r="P2555" s="189"/>
      <c r="Q2555" s="190"/>
      <c r="R2555" s="188"/>
      <c r="S2555" s="193"/>
      <c r="T2555" s="192"/>
      <c r="U2555" s="829"/>
      <c r="V2555" s="10"/>
      <c r="W2555" s="10"/>
      <c r="X2555" s="10"/>
      <c r="Y2555" s="10"/>
      <c r="Z2555" s="10"/>
      <c r="AA2555" s="11"/>
      <c r="AB2555" s="11"/>
    </row>
    <row r="2556" spans="2:28" x14ac:dyDescent="0.3">
      <c r="B2556" s="10"/>
      <c r="C2556" s="315"/>
      <c r="D2556" s="868"/>
      <c r="E2556" s="837" t="str">
        <f>IFERROR(IF(_xlfn.XLOOKUP(Imput[[#This Row],[RFC]],'Alta Proveedor'!D:D,'Alta Proveedor'!E:E)=0,"",_xlfn.XLOOKUP(Imput[[#This Row],[RFC]],'Alta Proveedor'!D:D,'Alta Proveedor'!E:E)),"")</f>
        <v/>
      </c>
      <c r="F2556" s="832"/>
      <c r="G2556" s="187"/>
      <c r="H2556" s="1"/>
      <c r="I2556" s="169">
        <f>Imput[[#This Row],[Cantidad]]*Imput[[#This Row],[Precio Unitario]]</f>
        <v>0</v>
      </c>
      <c r="J2556" s="11">
        <f>((Imput[[#This Row],[Sub total]])*(0.16))</f>
        <v>0</v>
      </c>
      <c r="K2556" s="11">
        <v>0</v>
      </c>
      <c r="L2556" s="169">
        <f>Imput[[#This Row],[Sub total]]+Imput[[#This Row],[IVA]]-Imput[[#This Row],[Retención / IEPS / Descuento]]</f>
        <v>0</v>
      </c>
      <c r="M2556" s="844">
        <v>0</v>
      </c>
      <c r="N2556" s="189"/>
      <c r="O2556" s="1"/>
      <c r="P2556" s="189"/>
      <c r="Q2556" s="190"/>
      <c r="R2556" s="188"/>
      <c r="S2556" s="193"/>
      <c r="T2556" s="192"/>
      <c r="U2556" s="829"/>
      <c r="V2556" s="10"/>
      <c r="W2556" s="10"/>
      <c r="X2556" s="10"/>
      <c r="Y2556" s="10"/>
      <c r="Z2556" s="10"/>
      <c r="AA2556" s="11"/>
      <c r="AB2556" s="11"/>
    </row>
    <row r="2557" spans="2:28" x14ac:dyDescent="0.3">
      <c r="B2557" s="10"/>
      <c r="C2557" s="315"/>
      <c r="D2557" s="868"/>
      <c r="E2557" s="837" t="str">
        <f>IFERROR(IF(_xlfn.XLOOKUP(Imput[[#This Row],[RFC]],'Alta Proveedor'!D:D,'Alta Proveedor'!E:E)=0,"",_xlfn.XLOOKUP(Imput[[#This Row],[RFC]],'Alta Proveedor'!D:D,'Alta Proveedor'!E:E)),"")</f>
        <v/>
      </c>
      <c r="F2557" s="832"/>
      <c r="G2557" s="187"/>
      <c r="H2557" s="1"/>
      <c r="I2557" s="169">
        <f>Imput[[#This Row],[Cantidad]]*Imput[[#This Row],[Precio Unitario]]</f>
        <v>0</v>
      </c>
      <c r="J2557" s="11">
        <f>((Imput[[#This Row],[Sub total]])*(0.16))</f>
        <v>0</v>
      </c>
      <c r="K2557" s="11">
        <v>0</v>
      </c>
      <c r="L2557" s="169">
        <f>Imput[[#This Row],[Sub total]]+Imput[[#This Row],[IVA]]-Imput[[#This Row],[Retención / IEPS / Descuento]]</f>
        <v>0</v>
      </c>
      <c r="M2557" s="844">
        <v>0</v>
      </c>
      <c r="N2557" s="189"/>
      <c r="O2557" s="1"/>
      <c r="P2557" s="189"/>
      <c r="Q2557" s="190"/>
      <c r="R2557" s="188"/>
      <c r="S2557" s="193"/>
      <c r="T2557" s="192"/>
      <c r="U2557" s="829"/>
      <c r="V2557" s="10"/>
      <c r="W2557" s="10"/>
      <c r="X2557" s="10"/>
      <c r="Y2557" s="10"/>
      <c r="Z2557" s="10"/>
      <c r="AA2557" s="11"/>
      <c r="AB2557" s="11"/>
    </row>
    <row r="2558" spans="2:28" x14ac:dyDescent="0.3">
      <c r="B2558" s="10"/>
      <c r="C2558" s="315"/>
      <c r="D2558" s="868"/>
      <c r="E2558" s="837" t="str">
        <f>IFERROR(IF(_xlfn.XLOOKUP(Imput[[#This Row],[RFC]],'Alta Proveedor'!D:D,'Alta Proveedor'!E:E)=0,"",_xlfn.XLOOKUP(Imput[[#This Row],[RFC]],'Alta Proveedor'!D:D,'Alta Proveedor'!E:E)),"")</f>
        <v/>
      </c>
      <c r="F2558" s="832"/>
      <c r="G2558" s="187"/>
      <c r="H2558" s="1"/>
      <c r="I2558" s="169">
        <f>Imput[[#This Row],[Cantidad]]*Imput[[#This Row],[Precio Unitario]]</f>
        <v>0</v>
      </c>
      <c r="J2558" s="11">
        <f>((Imput[[#This Row],[Sub total]])*(0.16))</f>
        <v>0</v>
      </c>
      <c r="K2558" s="11">
        <v>0</v>
      </c>
      <c r="L2558" s="169">
        <f>Imput[[#This Row],[Sub total]]+Imput[[#This Row],[IVA]]-Imput[[#This Row],[Retención / IEPS / Descuento]]</f>
        <v>0</v>
      </c>
      <c r="M2558" s="844">
        <v>0</v>
      </c>
      <c r="N2558" s="189"/>
      <c r="O2558" s="1"/>
      <c r="P2558" s="189"/>
      <c r="Q2558" s="190"/>
      <c r="R2558" s="188"/>
      <c r="S2558" s="193"/>
      <c r="T2558" s="192"/>
      <c r="U2558" s="829"/>
      <c r="V2558" s="10"/>
      <c r="W2558" s="10"/>
      <c r="X2558" s="10"/>
      <c r="Y2558" s="10"/>
      <c r="Z2558" s="10"/>
      <c r="AA2558" s="11"/>
      <c r="AB2558" s="11"/>
    </row>
    <row r="2559" spans="2:28" x14ac:dyDescent="0.3">
      <c r="B2559" s="10"/>
      <c r="C2559" s="315"/>
      <c r="D2559" s="868"/>
      <c r="E2559" s="837" t="str">
        <f>IFERROR(IF(_xlfn.XLOOKUP(Imput[[#This Row],[RFC]],'Alta Proveedor'!D:D,'Alta Proveedor'!E:E)=0,"",_xlfn.XLOOKUP(Imput[[#This Row],[RFC]],'Alta Proveedor'!D:D,'Alta Proveedor'!E:E)),"")</f>
        <v/>
      </c>
      <c r="F2559" s="832"/>
      <c r="G2559" s="187"/>
      <c r="H2559" s="1"/>
      <c r="I2559" s="169">
        <f>Imput[[#This Row],[Cantidad]]*Imput[[#This Row],[Precio Unitario]]</f>
        <v>0</v>
      </c>
      <c r="J2559" s="11">
        <f>((Imput[[#This Row],[Sub total]])*(0.16))</f>
        <v>0</v>
      </c>
      <c r="K2559" s="11">
        <v>0</v>
      </c>
      <c r="L2559" s="169">
        <f>Imput[[#This Row],[Sub total]]+Imput[[#This Row],[IVA]]-Imput[[#This Row],[Retención / IEPS / Descuento]]</f>
        <v>0</v>
      </c>
      <c r="M2559" s="844">
        <v>0</v>
      </c>
      <c r="N2559" s="189"/>
      <c r="O2559" s="1"/>
      <c r="P2559" s="189"/>
      <c r="Q2559" s="190"/>
      <c r="R2559" s="188"/>
      <c r="S2559" s="193"/>
      <c r="T2559" s="192"/>
      <c r="U2559" s="829"/>
      <c r="V2559" s="10"/>
      <c r="W2559" s="10"/>
      <c r="X2559" s="10"/>
      <c r="Y2559" s="10"/>
      <c r="Z2559" s="10"/>
      <c r="AA2559" s="11"/>
      <c r="AB2559" s="11"/>
    </row>
    <row r="2560" spans="2:28" x14ac:dyDescent="0.3">
      <c r="B2560" s="10"/>
      <c r="C2560" s="315"/>
      <c r="D2560" s="868"/>
      <c r="E2560" s="837" t="str">
        <f>IFERROR(IF(_xlfn.XLOOKUP(Imput[[#This Row],[RFC]],'Alta Proveedor'!D:D,'Alta Proveedor'!E:E)=0,"",_xlfn.XLOOKUP(Imput[[#This Row],[RFC]],'Alta Proveedor'!D:D,'Alta Proveedor'!E:E)),"")</f>
        <v/>
      </c>
      <c r="F2560" s="832"/>
      <c r="G2560" s="187"/>
      <c r="H2560" s="1"/>
      <c r="I2560" s="169">
        <f>Imput[[#This Row],[Cantidad]]*Imput[[#This Row],[Precio Unitario]]</f>
        <v>0</v>
      </c>
      <c r="J2560" s="11">
        <f>((Imput[[#This Row],[Sub total]])*(0.16))</f>
        <v>0</v>
      </c>
      <c r="K2560" s="11">
        <v>0</v>
      </c>
      <c r="L2560" s="169">
        <f>Imput[[#This Row],[Sub total]]+Imput[[#This Row],[IVA]]-Imput[[#This Row],[Retención / IEPS / Descuento]]</f>
        <v>0</v>
      </c>
      <c r="M2560" s="844">
        <v>0</v>
      </c>
      <c r="N2560" s="189"/>
      <c r="O2560" s="1"/>
      <c r="P2560" s="189"/>
      <c r="Q2560" s="190"/>
      <c r="R2560" s="188"/>
      <c r="S2560" s="193"/>
      <c r="T2560" s="192"/>
      <c r="U2560" s="829"/>
      <c r="V2560" s="10"/>
      <c r="W2560" s="10"/>
      <c r="X2560" s="10"/>
      <c r="Y2560" s="10"/>
      <c r="Z2560" s="10"/>
      <c r="AA2560" s="11"/>
      <c r="AB2560" s="11"/>
    </row>
    <row r="2561" spans="2:28" x14ac:dyDescent="0.3">
      <c r="B2561" s="10"/>
      <c r="C2561" s="315"/>
      <c r="D2561" s="868"/>
      <c r="E2561" s="837" t="str">
        <f>IFERROR(IF(_xlfn.XLOOKUP(Imput[[#This Row],[RFC]],'Alta Proveedor'!D:D,'Alta Proveedor'!E:E)=0,"",_xlfn.XLOOKUP(Imput[[#This Row],[RFC]],'Alta Proveedor'!D:D,'Alta Proveedor'!E:E)),"")</f>
        <v/>
      </c>
      <c r="F2561" s="832"/>
      <c r="G2561" s="187"/>
      <c r="H2561" s="1"/>
      <c r="I2561" s="169">
        <f>Imput[[#This Row],[Cantidad]]*Imput[[#This Row],[Precio Unitario]]</f>
        <v>0</v>
      </c>
      <c r="J2561" s="11">
        <f>((Imput[[#This Row],[Sub total]])*(0.16))</f>
        <v>0</v>
      </c>
      <c r="K2561" s="11">
        <v>0</v>
      </c>
      <c r="L2561" s="169">
        <f>Imput[[#This Row],[Sub total]]+Imput[[#This Row],[IVA]]-Imput[[#This Row],[Retención / IEPS / Descuento]]</f>
        <v>0</v>
      </c>
      <c r="M2561" s="844">
        <v>0</v>
      </c>
      <c r="N2561" s="189"/>
      <c r="O2561" s="1"/>
      <c r="P2561" s="189"/>
      <c r="Q2561" s="190"/>
      <c r="R2561" s="188"/>
      <c r="S2561" s="193"/>
      <c r="T2561" s="192"/>
      <c r="U2561" s="829"/>
      <c r="V2561" s="10"/>
      <c r="W2561" s="10"/>
      <c r="X2561" s="10"/>
      <c r="Y2561" s="10"/>
      <c r="Z2561" s="10"/>
      <c r="AA2561" s="11"/>
      <c r="AB2561" s="11"/>
    </row>
    <row r="2562" spans="2:28" x14ac:dyDescent="0.3">
      <c r="B2562" s="10"/>
      <c r="C2562" s="315"/>
      <c r="D2562" s="868"/>
      <c r="E2562" s="837" t="str">
        <f>IFERROR(IF(_xlfn.XLOOKUP(Imput[[#This Row],[RFC]],'Alta Proveedor'!D:D,'Alta Proveedor'!E:E)=0,"",_xlfn.XLOOKUP(Imput[[#This Row],[RFC]],'Alta Proveedor'!D:D,'Alta Proveedor'!E:E)),"")</f>
        <v/>
      </c>
      <c r="F2562" s="832"/>
      <c r="G2562" s="187"/>
      <c r="H2562" s="1"/>
      <c r="I2562" s="169">
        <f>Imput[[#This Row],[Cantidad]]*Imput[[#This Row],[Precio Unitario]]</f>
        <v>0</v>
      </c>
      <c r="J2562" s="11">
        <f>((Imput[[#This Row],[Sub total]])*(0.16))</f>
        <v>0</v>
      </c>
      <c r="K2562" s="11">
        <v>0</v>
      </c>
      <c r="L2562" s="169">
        <f>Imput[[#This Row],[Sub total]]+Imput[[#This Row],[IVA]]-Imput[[#This Row],[Retención / IEPS / Descuento]]</f>
        <v>0</v>
      </c>
      <c r="M2562" s="844">
        <v>0</v>
      </c>
      <c r="N2562" s="189"/>
      <c r="O2562" s="1"/>
      <c r="P2562" s="189"/>
      <c r="Q2562" s="190"/>
      <c r="R2562" s="188"/>
      <c r="S2562" s="193"/>
      <c r="T2562" s="192"/>
      <c r="U2562" s="829"/>
      <c r="V2562" s="10"/>
      <c r="W2562" s="10"/>
      <c r="X2562" s="10"/>
      <c r="Y2562" s="10"/>
      <c r="Z2562" s="10"/>
      <c r="AA2562" s="11"/>
      <c r="AB2562" s="11"/>
    </row>
    <row r="2563" spans="2:28" x14ac:dyDescent="0.3">
      <c r="B2563" s="10"/>
      <c r="C2563" s="315"/>
      <c r="D2563" s="868"/>
      <c r="E2563" s="837" t="str">
        <f>IFERROR(IF(_xlfn.XLOOKUP(Imput[[#This Row],[RFC]],'Alta Proveedor'!D:D,'Alta Proveedor'!E:E)=0,"",_xlfn.XLOOKUP(Imput[[#This Row],[RFC]],'Alta Proveedor'!D:D,'Alta Proveedor'!E:E)),"")</f>
        <v/>
      </c>
      <c r="F2563" s="832"/>
      <c r="G2563" s="187"/>
      <c r="H2563" s="1"/>
      <c r="I2563" s="169">
        <f>Imput[[#This Row],[Cantidad]]*Imput[[#This Row],[Precio Unitario]]</f>
        <v>0</v>
      </c>
      <c r="J2563" s="11">
        <f>((Imput[[#This Row],[Sub total]])*(0.16))</f>
        <v>0</v>
      </c>
      <c r="K2563" s="11">
        <v>0</v>
      </c>
      <c r="L2563" s="169">
        <f>Imput[[#This Row],[Sub total]]+Imput[[#This Row],[IVA]]-Imput[[#This Row],[Retención / IEPS / Descuento]]</f>
        <v>0</v>
      </c>
      <c r="M2563" s="844">
        <v>0</v>
      </c>
      <c r="N2563" s="189"/>
      <c r="O2563" s="1"/>
      <c r="P2563" s="189"/>
      <c r="Q2563" s="190"/>
      <c r="R2563" s="188"/>
      <c r="S2563" s="193"/>
      <c r="T2563" s="192"/>
      <c r="U2563" s="829"/>
      <c r="V2563" s="10"/>
      <c r="W2563" s="10"/>
      <c r="X2563" s="10"/>
      <c r="Y2563" s="10"/>
      <c r="Z2563" s="10"/>
      <c r="AA2563" s="11"/>
      <c r="AB2563" s="11"/>
    </row>
    <row r="2564" spans="2:28" x14ac:dyDescent="0.3">
      <c r="B2564" s="10"/>
      <c r="C2564" s="315"/>
      <c r="D2564" s="868"/>
      <c r="E2564" s="837" t="str">
        <f>IFERROR(IF(_xlfn.XLOOKUP(Imput[[#This Row],[RFC]],'Alta Proveedor'!D:D,'Alta Proveedor'!E:E)=0,"",_xlfn.XLOOKUP(Imput[[#This Row],[RFC]],'Alta Proveedor'!D:D,'Alta Proveedor'!E:E)),"")</f>
        <v/>
      </c>
      <c r="F2564" s="832"/>
      <c r="G2564" s="187"/>
      <c r="H2564" s="1"/>
      <c r="I2564" s="169">
        <f>Imput[[#This Row],[Cantidad]]*Imput[[#This Row],[Precio Unitario]]</f>
        <v>0</v>
      </c>
      <c r="J2564" s="11">
        <f>((Imput[[#This Row],[Sub total]])*(0.16))</f>
        <v>0</v>
      </c>
      <c r="K2564" s="11">
        <v>0</v>
      </c>
      <c r="L2564" s="169">
        <f>Imput[[#This Row],[Sub total]]+Imput[[#This Row],[IVA]]-Imput[[#This Row],[Retención / IEPS / Descuento]]</f>
        <v>0</v>
      </c>
      <c r="M2564" s="844">
        <v>0</v>
      </c>
      <c r="N2564" s="189"/>
      <c r="O2564" s="1"/>
      <c r="P2564" s="189"/>
      <c r="Q2564" s="190"/>
      <c r="R2564" s="188"/>
      <c r="S2564" s="193"/>
      <c r="T2564" s="192"/>
      <c r="U2564" s="829"/>
      <c r="V2564" s="10"/>
      <c r="W2564" s="10"/>
      <c r="X2564" s="10"/>
      <c r="Y2564" s="10"/>
      <c r="Z2564" s="10"/>
      <c r="AA2564" s="11"/>
      <c r="AB2564" s="11"/>
    </row>
    <row r="2565" spans="2:28" x14ac:dyDescent="0.3">
      <c r="B2565" s="10"/>
      <c r="C2565" s="315"/>
      <c r="D2565" s="868"/>
      <c r="E2565" s="837" t="str">
        <f>IFERROR(IF(_xlfn.XLOOKUP(Imput[[#This Row],[RFC]],'Alta Proveedor'!D:D,'Alta Proveedor'!E:E)=0,"",_xlfn.XLOOKUP(Imput[[#This Row],[RFC]],'Alta Proveedor'!D:D,'Alta Proveedor'!E:E)),"")</f>
        <v/>
      </c>
      <c r="F2565" s="832"/>
      <c r="G2565" s="187"/>
      <c r="H2565" s="1"/>
      <c r="I2565" s="169">
        <f>Imput[[#This Row],[Cantidad]]*Imput[[#This Row],[Precio Unitario]]</f>
        <v>0</v>
      </c>
      <c r="J2565" s="11">
        <f>((Imput[[#This Row],[Sub total]])*(0.16))</f>
        <v>0</v>
      </c>
      <c r="K2565" s="11">
        <v>0</v>
      </c>
      <c r="L2565" s="169">
        <f>Imput[[#This Row],[Sub total]]+Imput[[#This Row],[IVA]]-Imput[[#This Row],[Retención / IEPS / Descuento]]</f>
        <v>0</v>
      </c>
      <c r="M2565" s="844">
        <v>0</v>
      </c>
      <c r="N2565" s="189"/>
      <c r="O2565" s="1"/>
      <c r="P2565" s="189"/>
      <c r="Q2565" s="190"/>
      <c r="R2565" s="188"/>
      <c r="S2565" s="193"/>
      <c r="T2565" s="192"/>
      <c r="U2565" s="829"/>
      <c r="V2565" s="10"/>
      <c r="W2565" s="10"/>
      <c r="X2565" s="10"/>
      <c r="Y2565" s="10"/>
      <c r="Z2565" s="10"/>
      <c r="AA2565" s="11"/>
      <c r="AB2565" s="11"/>
    </row>
    <row r="2566" spans="2:28" x14ac:dyDescent="0.3">
      <c r="B2566" s="10"/>
      <c r="C2566" s="315"/>
      <c r="D2566" s="868"/>
      <c r="E2566" s="837" t="str">
        <f>IFERROR(IF(_xlfn.XLOOKUP(Imput[[#This Row],[RFC]],'Alta Proveedor'!D:D,'Alta Proveedor'!E:E)=0,"",_xlfn.XLOOKUP(Imput[[#This Row],[RFC]],'Alta Proveedor'!D:D,'Alta Proveedor'!E:E)),"")</f>
        <v/>
      </c>
      <c r="F2566" s="832"/>
      <c r="G2566" s="187"/>
      <c r="H2566" s="1"/>
      <c r="I2566" s="169">
        <f>Imput[[#This Row],[Cantidad]]*Imput[[#This Row],[Precio Unitario]]</f>
        <v>0</v>
      </c>
      <c r="J2566" s="11">
        <f>((Imput[[#This Row],[Sub total]])*(0.16))</f>
        <v>0</v>
      </c>
      <c r="K2566" s="11">
        <v>0</v>
      </c>
      <c r="L2566" s="169">
        <f>Imput[[#This Row],[Sub total]]+Imput[[#This Row],[IVA]]-Imput[[#This Row],[Retención / IEPS / Descuento]]</f>
        <v>0</v>
      </c>
      <c r="M2566" s="844">
        <v>0</v>
      </c>
      <c r="N2566" s="189"/>
      <c r="O2566" s="1"/>
      <c r="P2566" s="189"/>
      <c r="Q2566" s="190"/>
      <c r="R2566" s="188"/>
      <c r="S2566" s="193"/>
      <c r="T2566" s="192"/>
      <c r="U2566" s="829"/>
      <c r="V2566" s="10"/>
      <c r="W2566" s="10"/>
      <c r="X2566" s="10"/>
      <c r="Y2566" s="10"/>
      <c r="Z2566" s="10"/>
      <c r="AA2566" s="11"/>
      <c r="AB2566" s="11"/>
    </row>
    <row r="2567" spans="2:28" x14ac:dyDescent="0.3">
      <c r="B2567" s="10"/>
      <c r="C2567" s="315"/>
      <c r="D2567" s="868"/>
      <c r="E2567" s="837" t="str">
        <f>IFERROR(IF(_xlfn.XLOOKUP(Imput[[#This Row],[RFC]],'Alta Proveedor'!D:D,'Alta Proveedor'!E:E)=0,"",_xlfn.XLOOKUP(Imput[[#This Row],[RFC]],'Alta Proveedor'!D:D,'Alta Proveedor'!E:E)),"")</f>
        <v/>
      </c>
      <c r="F2567" s="832"/>
      <c r="G2567" s="187"/>
      <c r="H2567" s="1"/>
      <c r="I2567" s="169">
        <f>Imput[[#This Row],[Cantidad]]*Imput[[#This Row],[Precio Unitario]]</f>
        <v>0</v>
      </c>
      <c r="J2567" s="11">
        <f>((Imput[[#This Row],[Sub total]])*(0.16))</f>
        <v>0</v>
      </c>
      <c r="K2567" s="11">
        <v>0</v>
      </c>
      <c r="L2567" s="169">
        <f>Imput[[#This Row],[Sub total]]+Imput[[#This Row],[IVA]]-Imput[[#This Row],[Retención / IEPS / Descuento]]</f>
        <v>0</v>
      </c>
      <c r="M2567" s="844">
        <v>0</v>
      </c>
      <c r="N2567" s="189"/>
      <c r="O2567" s="1"/>
      <c r="P2567" s="189"/>
      <c r="Q2567" s="190"/>
      <c r="R2567" s="188"/>
      <c r="S2567" s="193"/>
      <c r="T2567" s="192"/>
      <c r="U2567" s="829"/>
      <c r="V2567" s="10"/>
      <c r="W2567" s="10"/>
      <c r="X2567" s="10"/>
      <c r="Y2567" s="10"/>
      <c r="Z2567" s="10"/>
      <c r="AA2567" s="11"/>
      <c r="AB2567" s="11"/>
    </row>
    <row r="2568" spans="2:28" x14ac:dyDescent="0.3">
      <c r="B2568" s="10"/>
      <c r="C2568" s="315"/>
      <c r="D2568" s="868"/>
      <c r="E2568" s="837" t="str">
        <f>IFERROR(IF(_xlfn.XLOOKUP(Imput[[#This Row],[RFC]],'Alta Proveedor'!D:D,'Alta Proveedor'!E:E)=0,"",_xlfn.XLOOKUP(Imput[[#This Row],[RFC]],'Alta Proveedor'!D:D,'Alta Proveedor'!E:E)),"")</f>
        <v/>
      </c>
      <c r="F2568" s="832"/>
      <c r="G2568" s="187"/>
      <c r="H2568" s="1"/>
      <c r="I2568" s="169">
        <f>Imput[[#This Row],[Cantidad]]*Imput[[#This Row],[Precio Unitario]]</f>
        <v>0</v>
      </c>
      <c r="J2568" s="11">
        <f>((Imput[[#This Row],[Sub total]])*(0.16))</f>
        <v>0</v>
      </c>
      <c r="K2568" s="11">
        <v>0</v>
      </c>
      <c r="L2568" s="169">
        <f>Imput[[#This Row],[Sub total]]+Imput[[#This Row],[IVA]]-Imput[[#This Row],[Retención / IEPS / Descuento]]</f>
        <v>0</v>
      </c>
      <c r="M2568" s="844">
        <v>0</v>
      </c>
      <c r="N2568" s="189"/>
      <c r="O2568" s="1"/>
      <c r="P2568" s="189"/>
      <c r="Q2568" s="190"/>
      <c r="R2568" s="188"/>
      <c r="S2568" s="193"/>
      <c r="T2568" s="192"/>
      <c r="U2568" s="829"/>
      <c r="V2568" s="10"/>
      <c r="W2568" s="10"/>
      <c r="X2568" s="10"/>
      <c r="Y2568" s="10"/>
      <c r="Z2568" s="10"/>
      <c r="AA2568" s="11"/>
      <c r="AB2568" s="11"/>
    </row>
    <row r="2569" spans="2:28" x14ac:dyDescent="0.3">
      <c r="B2569" s="10"/>
      <c r="C2569" s="315"/>
      <c r="D2569" s="868"/>
      <c r="E2569" s="837" t="str">
        <f>IFERROR(IF(_xlfn.XLOOKUP(Imput[[#This Row],[RFC]],'Alta Proveedor'!D:D,'Alta Proveedor'!E:E)=0,"",_xlfn.XLOOKUP(Imput[[#This Row],[RFC]],'Alta Proveedor'!D:D,'Alta Proveedor'!E:E)),"")</f>
        <v/>
      </c>
      <c r="F2569" s="832"/>
      <c r="G2569" s="187"/>
      <c r="H2569" s="1"/>
      <c r="I2569" s="169">
        <f>Imput[[#This Row],[Cantidad]]*Imput[[#This Row],[Precio Unitario]]</f>
        <v>0</v>
      </c>
      <c r="J2569" s="11">
        <f>((Imput[[#This Row],[Sub total]])*(0.16))</f>
        <v>0</v>
      </c>
      <c r="K2569" s="11">
        <v>0</v>
      </c>
      <c r="L2569" s="169">
        <f>Imput[[#This Row],[Sub total]]+Imput[[#This Row],[IVA]]-Imput[[#This Row],[Retención / IEPS / Descuento]]</f>
        <v>0</v>
      </c>
      <c r="M2569" s="844">
        <v>0</v>
      </c>
      <c r="N2569" s="189"/>
      <c r="O2569" s="1"/>
      <c r="P2569" s="189"/>
      <c r="Q2569" s="190"/>
      <c r="R2569" s="188"/>
      <c r="S2569" s="193"/>
      <c r="T2569" s="192"/>
      <c r="U2569" s="829"/>
      <c r="V2569" s="10"/>
      <c r="W2569" s="10"/>
      <c r="X2569" s="10"/>
      <c r="Y2569" s="10"/>
      <c r="Z2569" s="10"/>
      <c r="AA2569" s="11"/>
      <c r="AB2569" s="11"/>
    </row>
    <row r="2570" spans="2:28" x14ac:dyDescent="0.3">
      <c r="B2570" s="10"/>
      <c r="C2570" s="315"/>
      <c r="D2570" s="868"/>
      <c r="E2570" s="837" t="str">
        <f>IFERROR(IF(_xlfn.XLOOKUP(Imput[[#This Row],[RFC]],'Alta Proveedor'!D:D,'Alta Proveedor'!E:E)=0,"",_xlfn.XLOOKUP(Imput[[#This Row],[RFC]],'Alta Proveedor'!D:D,'Alta Proveedor'!E:E)),"")</f>
        <v/>
      </c>
      <c r="F2570" s="832"/>
      <c r="G2570" s="187"/>
      <c r="H2570" s="1"/>
      <c r="I2570" s="169">
        <f>Imput[[#This Row],[Cantidad]]*Imput[[#This Row],[Precio Unitario]]</f>
        <v>0</v>
      </c>
      <c r="J2570" s="11">
        <f>((Imput[[#This Row],[Sub total]])*(0.16))</f>
        <v>0</v>
      </c>
      <c r="K2570" s="11">
        <v>0</v>
      </c>
      <c r="L2570" s="169">
        <f>Imput[[#This Row],[Sub total]]+Imput[[#This Row],[IVA]]-Imput[[#This Row],[Retención / IEPS / Descuento]]</f>
        <v>0</v>
      </c>
      <c r="M2570" s="844">
        <v>0</v>
      </c>
      <c r="N2570" s="189"/>
      <c r="O2570" s="1"/>
      <c r="P2570" s="189"/>
      <c r="Q2570" s="190"/>
      <c r="R2570" s="188"/>
      <c r="S2570" s="193"/>
      <c r="T2570" s="192"/>
      <c r="U2570" s="829"/>
      <c r="V2570" s="10"/>
      <c r="W2570" s="10"/>
      <c r="X2570" s="10"/>
      <c r="Y2570" s="10"/>
      <c r="Z2570" s="10"/>
      <c r="AA2570" s="11"/>
      <c r="AB2570" s="11"/>
    </row>
    <row r="2571" spans="2:28" x14ac:dyDescent="0.3">
      <c r="B2571" s="10"/>
      <c r="C2571" s="315"/>
      <c r="D2571" s="868"/>
      <c r="E2571" s="837" t="str">
        <f>IFERROR(IF(_xlfn.XLOOKUP(Imput[[#This Row],[RFC]],'Alta Proveedor'!D:D,'Alta Proveedor'!E:E)=0,"",_xlfn.XLOOKUP(Imput[[#This Row],[RFC]],'Alta Proveedor'!D:D,'Alta Proveedor'!E:E)),"")</f>
        <v/>
      </c>
      <c r="F2571" s="832"/>
      <c r="G2571" s="187"/>
      <c r="H2571" s="1"/>
      <c r="I2571" s="169">
        <f>Imput[[#This Row],[Cantidad]]*Imput[[#This Row],[Precio Unitario]]</f>
        <v>0</v>
      </c>
      <c r="J2571" s="11">
        <f>((Imput[[#This Row],[Sub total]])*(0.16))</f>
        <v>0</v>
      </c>
      <c r="K2571" s="11">
        <v>0</v>
      </c>
      <c r="L2571" s="169">
        <f>Imput[[#This Row],[Sub total]]+Imput[[#This Row],[IVA]]-Imput[[#This Row],[Retención / IEPS / Descuento]]</f>
        <v>0</v>
      </c>
      <c r="M2571" s="844">
        <v>0</v>
      </c>
      <c r="N2571" s="189"/>
      <c r="O2571" s="1"/>
      <c r="P2571" s="189"/>
      <c r="Q2571" s="190"/>
      <c r="R2571" s="188"/>
      <c r="S2571" s="193"/>
      <c r="T2571" s="192"/>
      <c r="U2571" s="829"/>
      <c r="V2571" s="10"/>
      <c r="W2571" s="10"/>
      <c r="X2571" s="10"/>
      <c r="Y2571" s="10"/>
      <c r="Z2571" s="10"/>
      <c r="AA2571" s="11"/>
      <c r="AB2571" s="11"/>
    </row>
    <row r="2572" spans="2:28" x14ac:dyDescent="0.3">
      <c r="B2572" s="10"/>
      <c r="C2572" s="315"/>
      <c r="D2572" s="868"/>
      <c r="E2572" s="837" t="str">
        <f>IFERROR(IF(_xlfn.XLOOKUP(Imput[[#This Row],[RFC]],'Alta Proveedor'!D:D,'Alta Proveedor'!E:E)=0,"",_xlfn.XLOOKUP(Imput[[#This Row],[RFC]],'Alta Proveedor'!D:D,'Alta Proveedor'!E:E)),"")</f>
        <v/>
      </c>
      <c r="F2572" s="832"/>
      <c r="G2572" s="187"/>
      <c r="H2572" s="1"/>
      <c r="I2572" s="169">
        <f>Imput[[#This Row],[Cantidad]]*Imput[[#This Row],[Precio Unitario]]</f>
        <v>0</v>
      </c>
      <c r="J2572" s="11">
        <f>((Imput[[#This Row],[Sub total]])*(0.16))</f>
        <v>0</v>
      </c>
      <c r="K2572" s="11">
        <v>0</v>
      </c>
      <c r="L2572" s="169">
        <f>Imput[[#This Row],[Sub total]]+Imput[[#This Row],[IVA]]-Imput[[#This Row],[Retención / IEPS / Descuento]]</f>
        <v>0</v>
      </c>
      <c r="M2572" s="844">
        <v>0</v>
      </c>
      <c r="N2572" s="189"/>
      <c r="O2572" s="1"/>
      <c r="P2572" s="189"/>
      <c r="Q2572" s="190"/>
      <c r="R2572" s="188"/>
      <c r="S2572" s="193"/>
      <c r="T2572" s="192"/>
      <c r="U2572" s="829"/>
      <c r="V2572" s="10"/>
      <c r="W2572" s="10"/>
      <c r="X2572" s="10"/>
      <c r="Y2572" s="10"/>
      <c r="Z2572" s="10"/>
      <c r="AA2572" s="11"/>
      <c r="AB2572" s="11"/>
    </row>
    <row r="2573" spans="2:28" x14ac:dyDescent="0.3">
      <c r="B2573" s="10"/>
      <c r="C2573" s="315"/>
      <c r="D2573" s="868"/>
      <c r="E2573" s="837" t="str">
        <f>IFERROR(IF(_xlfn.XLOOKUP(Imput[[#This Row],[RFC]],'Alta Proveedor'!D:D,'Alta Proveedor'!E:E)=0,"",_xlfn.XLOOKUP(Imput[[#This Row],[RFC]],'Alta Proveedor'!D:D,'Alta Proveedor'!E:E)),"")</f>
        <v/>
      </c>
      <c r="F2573" s="832"/>
      <c r="G2573" s="187"/>
      <c r="H2573" s="1"/>
      <c r="I2573" s="169">
        <f>Imput[[#This Row],[Cantidad]]*Imput[[#This Row],[Precio Unitario]]</f>
        <v>0</v>
      </c>
      <c r="J2573" s="11">
        <f>((Imput[[#This Row],[Sub total]])*(0.16))</f>
        <v>0</v>
      </c>
      <c r="K2573" s="11">
        <v>0</v>
      </c>
      <c r="L2573" s="169">
        <f>Imput[[#This Row],[Sub total]]+Imput[[#This Row],[IVA]]-Imput[[#This Row],[Retención / IEPS / Descuento]]</f>
        <v>0</v>
      </c>
      <c r="M2573" s="844">
        <v>0</v>
      </c>
      <c r="N2573" s="189"/>
      <c r="O2573" s="1"/>
      <c r="P2573" s="189"/>
      <c r="Q2573" s="190"/>
      <c r="R2573" s="188"/>
      <c r="S2573" s="193"/>
      <c r="T2573" s="192"/>
      <c r="U2573" s="829"/>
      <c r="V2573" s="10"/>
      <c r="W2573" s="10"/>
      <c r="X2573" s="10"/>
      <c r="Y2573" s="10"/>
      <c r="Z2573" s="10"/>
      <c r="AA2573" s="11"/>
      <c r="AB2573" s="11"/>
    </row>
    <row r="2574" spans="2:28" x14ac:dyDescent="0.3">
      <c r="B2574" s="10"/>
      <c r="C2574" s="315"/>
      <c r="D2574" s="868"/>
      <c r="E2574" s="837" t="str">
        <f>IFERROR(IF(_xlfn.XLOOKUP(Imput[[#This Row],[RFC]],'Alta Proveedor'!D:D,'Alta Proveedor'!E:E)=0,"",_xlfn.XLOOKUP(Imput[[#This Row],[RFC]],'Alta Proveedor'!D:D,'Alta Proveedor'!E:E)),"")</f>
        <v/>
      </c>
      <c r="F2574" s="832"/>
      <c r="G2574" s="187"/>
      <c r="H2574" s="1"/>
      <c r="I2574" s="169">
        <f>Imput[[#This Row],[Cantidad]]*Imput[[#This Row],[Precio Unitario]]</f>
        <v>0</v>
      </c>
      <c r="J2574" s="11">
        <f>((Imput[[#This Row],[Sub total]])*(0.16))</f>
        <v>0</v>
      </c>
      <c r="K2574" s="11">
        <v>0</v>
      </c>
      <c r="L2574" s="169">
        <f>Imput[[#This Row],[Sub total]]+Imput[[#This Row],[IVA]]-Imput[[#This Row],[Retención / IEPS / Descuento]]</f>
        <v>0</v>
      </c>
      <c r="M2574" s="844">
        <v>0</v>
      </c>
      <c r="N2574" s="189"/>
      <c r="O2574" s="1"/>
      <c r="P2574" s="189"/>
      <c r="Q2574" s="190"/>
      <c r="R2574" s="188"/>
      <c r="S2574" s="193"/>
      <c r="T2574" s="192"/>
      <c r="U2574" s="829"/>
      <c r="V2574" s="10"/>
      <c r="W2574" s="10"/>
      <c r="X2574" s="10"/>
      <c r="Y2574" s="10"/>
      <c r="Z2574" s="10"/>
      <c r="AA2574" s="11"/>
      <c r="AB2574" s="11"/>
    </row>
    <row r="2575" spans="2:28" x14ac:dyDescent="0.3">
      <c r="B2575" s="10"/>
      <c r="C2575" s="315"/>
      <c r="D2575" s="868"/>
      <c r="E2575" s="837" t="str">
        <f>IFERROR(IF(_xlfn.XLOOKUP(Imput[[#This Row],[RFC]],'Alta Proveedor'!D:D,'Alta Proveedor'!E:E)=0,"",_xlfn.XLOOKUP(Imput[[#This Row],[RFC]],'Alta Proveedor'!D:D,'Alta Proveedor'!E:E)),"")</f>
        <v/>
      </c>
      <c r="F2575" s="832"/>
      <c r="G2575" s="187"/>
      <c r="H2575" s="1"/>
      <c r="I2575" s="169">
        <f>Imput[[#This Row],[Cantidad]]*Imput[[#This Row],[Precio Unitario]]</f>
        <v>0</v>
      </c>
      <c r="J2575" s="11">
        <f>((Imput[[#This Row],[Sub total]])*(0.16))</f>
        <v>0</v>
      </c>
      <c r="K2575" s="11">
        <v>0</v>
      </c>
      <c r="L2575" s="169">
        <f>Imput[[#This Row],[Sub total]]+Imput[[#This Row],[IVA]]-Imput[[#This Row],[Retención / IEPS / Descuento]]</f>
        <v>0</v>
      </c>
      <c r="M2575" s="844">
        <v>0</v>
      </c>
      <c r="N2575" s="189"/>
      <c r="O2575" s="1"/>
      <c r="P2575" s="189"/>
      <c r="Q2575" s="190"/>
      <c r="R2575" s="188"/>
      <c r="S2575" s="193"/>
      <c r="T2575" s="192"/>
      <c r="U2575" s="829"/>
      <c r="V2575" s="10"/>
      <c r="W2575" s="10"/>
      <c r="X2575" s="10"/>
      <c r="Y2575" s="10"/>
      <c r="Z2575" s="10"/>
      <c r="AA2575" s="11"/>
      <c r="AB2575" s="11"/>
    </row>
    <row r="2576" spans="2:28" x14ac:dyDescent="0.3">
      <c r="B2576" s="10"/>
      <c r="C2576" s="315"/>
      <c r="D2576" s="868"/>
      <c r="E2576" s="837" t="str">
        <f>IFERROR(IF(_xlfn.XLOOKUP(Imput[[#This Row],[RFC]],'Alta Proveedor'!D:D,'Alta Proveedor'!E:E)=0,"",_xlfn.XLOOKUP(Imput[[#This Row],[RFC]],'Alta Proveedor'!D:D,'Alta Proveedor'!E:E)),"")</f>
        <v/>
      </c>
      <c r="F2576" s="832"/>
      <c r="G2576" s="187"/>
      <c r="H2576" s="1"/>
      <c r="I2576" s="169">
        <f>Imput[[#This Row],[Cantidad]]*Imput[[#This Row],[Precio Unitario]]</f>
        <v>0</v>
      </c>
      <c r="J2576" s="11">
        <f>((Imput[[#This Row],[Sub total]])*(0.16))</f>
        <v>0</v>
      </c>
      <c r="K2576" s="11">
        <v>0</v>
      </c>
      <c r="L2576" s="169">
        <f>Imput[[#This Row],[Sub total]]+Imput[[#This Row],[IVA]]-Imput[[#This Row],[Retención / IEPS / Descuento]]</f>
        <v>0</v>
      </c>
      <c r="M2576" s="844">
        <v>0</v>
      </c>
      <c r="N2576" s="189"/>
      <c r="O2576" s="1"/>
      <c r="P2576" s="189"/>
      <c r="Q2576" s="190"/>
      <c r="R2576" s="188"/>
      <c r="S2576" s="193"/>
      <c r="T2576" s="192"/>
      <c r="U2576" s="829"/>
      <c r="V2576" s="10"/>
      <c r="W2576" s="10"/>
      <c r="X2576" s="10"/>
      <c r="Y2576" s="10"/>
      <c r="Z2576" s="10"/>
      <c r="AA2576" s="11"/>
      <c r="AB2576" s="11"/>
    </row>
    <row r="2577" spans="2:28" x14ac:dyDescent="0.3">
      <c r="B2577" s="10"/>
      <c r="C2577" s="315"/>
      <c r="D2577" s="868"/>
      <c r="E2577" s="837" t="str">
        <f>IFERROR(IF(_xlfn.XLOOKUP(Imput[[#This Row],[RFC]],'Alta Proveedor'!D:D,'Alta Proveedor'!E:E)=0,"",_xlfn.XLOOKUP(Imput[[#This Row],[RFC]],'Alta Proveedor'!D:D,'Alta Proveedor'!E:E)),"")</f>
        <v/>
      </c>
      <c r="F2577" s="832"/>
      <c r="G2577" s="187"/>
      <c r="H2577" s="1"/>
      <c r="I2577" s="169">
        <f>Imput[[#This Row],[Cantidad]]*Imput[[#This Row],[Precio Unitario]]</f>
        <v>0</v>
      </c>
      <c r="J2577" s="11">
        <f>((Imput[[#This Row],[Sub total]])*(0.16))</f>
        <v>0</v>
      </c>
      <c r="K2577" s="11">
        <v>0</v>
      </c>
      <c r="L2577" s="169">
        <f>Imput[[#This Row],[Sub total]]+Imput[[#This Row],[IVA]]-Imput[[#This Row],[Retención / IEPS / Descuento]]</f>
        <v>0</v>
      </c>
      <c r="M2577" s="844">
        <v>0</v>
      </c>
      <c r="N2577" s="189"/>
      <c r="O2577" s="1"/>
      <c r="P2577" s="189"/>
      <c r="Q2577" s="190"/>
      <c r="R2577" s="188"/>
      <c r="S2577" s="193"/>
      <c r="T2577" s="192"/>
      <c r="U2577" s="829"/>
      <c r="V2577" s="10"/>
      <c r="W2577" s="10"/>
      <c r="X2577" s="10"/>
      <c r="Y2577" s="10"/>
      <c r="Z2577" s="10"/>
      <c r="AA2577" s="11"/>
      <c r="AB2577" s="11"/>
    </row>
    <row r="2578" spans="2:28" x14ac:dyDescent="0.3">
      <c r="B2578" s="10"/>
      <c r="C2578" s="315"/>
      <c r="D2578" s="868"/>
      <c r="E2578" s="837" t="str">
        <f>IFERROR(IF(_xlfn.XLOOKUP(Imput[[#This Row],[RFC]],'Alta Proveedor'!D:D,'Alta Proveedor'!E:E)=0,"",_xlfn.XLOOKUP(Imput[[#This Row],[RFC]],'Alta Proveedor'!D:D,'Alta Proveedor'!E:E)),"")</f>
        <v/>
      </c>
      <c r="F2578" s="832"/>
      <c r="G2578" s="187"/>
      <c r="H2578" s="1"/>
      <c r="I2578" s="169">
        <f>Imput[[#This Row],[Cantidad]]*Imput[[#This Row],[Precio Unitario]]</f>
        <v>0</v>
      </c>
      <c r="J2578" s="11">
        <f>((Imput[[#This Row],[Sub total]])*(0.16))</f>
        <v>0</v>
      </c>
      <c r="K2578" s="11">
        <v>0</v>
      </c>
      <c r="L2578" s="169">
        <f>Imput[[#This Row],[Sub total]]+Imput[[#This Row],[IVA]]-Imput[[#This Row],[Retención / IEPS / Descuento]]</f>
        <v>0</v>
      </c>
      <c r="M2578" s="844">
        <v>0</v>
      </c>
      <c r="N2578" s="189"/>
      <c r="O2578" s="1"/>
      <c r="P2578" s="189"/>
      <c r="Q2578" s="190"/>
      <c r="R2578" s="188"/>
      <c r="S2578" s="193"/>
      <c r="T2578" s="192"/>
      <c r="U2578" s="829"/>
      <c r="V2578" s="10"/>
      <c r="W2578" s="10"/>
      <c r="X2578" s="10"/>
      <c r="Y2578" s="10"/>
      <c r="Z2578" s="10"/>
      <c r="AA2578" s="11"/>
      <c r="AB2578" s="11"/>
    </row>
    <row r="2579" spans="2:28" x14ac:dyDescent="0.3">
      <c r="B2579" s="10"/>
      <c r="C2579" s="315"/>
      <c r="D2579" s="868"/>
      <c r="E2579" s="837" t="str">
        <f>IFERROR(IF(_xlfn.XLOOKUP(Imput[[#This Row],[RFC]],'Alta Proveedor'!D:D,'Alta Proveedor'!E:E)=0,"",_xlfn.XLOOKUP(Imput[[#This Row],[RFC]],'Alta Proveedor'!D:D,'Alta Proveedor'!E:E)),"")</f>
        <v/>
      </c>
      <c r="F2579" s="832"/>
      <c r="G2579" s="187"/>
      <c r="H2579" s="1"/>
      <c r="I2579" s="169">
        <f>Imput[[#This Row],[Cantidad]]*Imput[[#This Row],[Precio Unitario]]</f>
        <v>0</v>
      </c>
      <c r="J2579" s="11">
        <f>((Imput[[#This Row],[Sub total]])*(0.16))</f>
        <v>0</v>
      </c>
      <c r="K2579" s="11">
        <v>0</v>
      </c>
      <c r="L2579" s="169">
        <f>Imput[[#This Row],[Sub total]]+Imput[[#This Row],[IVA]]-Imput[[#This Row],[Retención / IEPS / Descuento]]</f>
        <v>0</v>
      </c>
      <c r="M2579" s="844">
        <v>0</v>
      </c>
      <c r="N2579" s="189"/>
      <c r="O2579" s="1"/>
      <c r="P2579" s="189"/>
      <c r="Q2579" s="190"/>
      <c r="R2579" s="188"/>
      <c r="S2579" s="193"/>
      <c r="T2579" s="192"/>
      <c r="U2579" s="829"/>
      <c r="V2579" s="10"/>
      <c r="W2579" s="10"/>
      <c r="X2579" s="10"/>
      <c r="Y2579" s="10"/>
      <c r="Z2579" s="10"/>
      <c r="AA2579" s="11"/>
      <c r="AB2579" s="11"/>
    </row>
    <row r="2580" spans="2:28" x14ac:dyDescent="0.3">
      <c r="B2580" s="10"/>
      <c r="C2580" s="315"/>
      <c r="D2580" s="868"/>
      <c r="E2580" s="837" t="str">
        <f>IFERROR(IF(_xlfn.XLOOKUP(Imput[[#This Row],[RFC]],'Alta Proveedor'!D:D,'Alta Proveedor'!E:E)=0,"",_xlfn.XLOOKUP(Imput[[#This Row],[RFC]],'Alta Proveedor'!D:D,'Alta Proveedor'!E:E)),"")</f>
        <v/>
      </c>
      <c r="F2580" s="832"/>
      <c r="G2580" s="187"/>
      <c r="H2580" s="1"/>
      <c r="I2580" s="169">
        <f>Imput[[#This Row],[Cantidad]]*Imput[[#This Row],[Precio Unitario]]</f>
        <v>0</v>
      </c>
      <c r="J2580" s="11">
        <f>((Imput[[#This Row],[Sub total]])*(0.16))</f>
        <v>0</v>
      </c>
      <c r="K2580" s="11">
        <v>0</v>
      </c>
      <c r="L2580" s="169">
        <f>Imput[[#This Row],[Sub total]]+Imput[[#This Row],[IVA]]-Imput[[#This Row],[Retención / IEPS / Descuento]]</f>
        <v>0</v>
      </c>
      <c r="M2580" s="844">
        <v>0</v>
      </c>
      <c r="N2580" s="189"/>
      <c r="O2580" s="1"/>
      <c r="P2580" s="189"/>
      <c r="Q2580" s="190"/>
      <c r="R2580" s="188"/>
      <c r="S2580" s="193"/>
      <c r="T2580" s="192"/>
      <c r="U2580" s="829"/>
      <c r="V2580" s="10"/>
      <c r="W2580" s="10"/>
      <c r="X2580" s="10"/>
      <c r="Y2580" s="10"/>
      <c r="Z2580" s="10"/>
      <c r="AA2580" s="11"/>
      <c r="AB2580" s="11"/>
    </row>
    <row r="2581" spans="2:28" x14ac:dyDescent="0.3">
      <c r="B2581" s="10"/>
      <c r="C2581" s="315"/>
      <c r="D2581" s="868"/>
      <c r="E2581" s="837" t="str">
        <f>IFERROR(IF(_xlfn.XLOOKUP(Imput[[#This Row],[RFC]],'Alta Proveedor'!D:D,'Alta Proveedor'!E:E)=0,"",_xlfn.XLOOKUP(Imput[[#This Row],[RFC]],'Alta Proveedor'!D:D,'Alta Proveedor'!E:E)),"")</f>
        <v/>
      </c>
      <c r="F2581" s="832"/>
      <c r="G2581" s="187"/>
      <c r="H2581" s="1"/>
      <c r="I2581" s="169">
        <f>Imput[[#This Row],[Cantidad]]*Imput[[#This Row],[Precio Unitario]]</f>
        <v>0</v>
      </c>
      <c r="J2581" s="11">
        <f>((Imput[[#This Row],[Sub total]])*(0.16))</f>
        <v>0</v>
      </c>
      <c r="K2581" s="11">
        <v>0</v>
      </c>
      <c r="L2581" s="169">
        <f>Imput[[#This Row],[Sub total]]+Imput[[#This Row],[IVA]]-Imput[[#This Row],[Retención / IEPS / Descuento]]</f>
        <v>0</v>
      </c>
      <c r="M2581" s="844">
        <v>0</v>
      </c>
      <c r="N2581" s="189"/>
      <c r="O2581" s="1"/>
      <c r="P2581" s="189"/>
      <c r="Q2581" s="190"/>
      <c r="R2581" s="188"/>
      <c r="S2581" s="193"/>
      <c r="T2581" s="192"/>
      <c r="U2581" s="829"/>
      <c r="V2581" s="10"/>
      <c r="W2581" s="10"/>
      <c r="X2581" s="10"/>
      <c r="Y2581" s="10"/>
      <c r="Z2581" s="10"/>
      <c r="AA2581" s="11"/>
      <c r="AB2581" s="11"/>
    </row>
    <row r="2582" spans="2:28" x14ac:dyDescent="0.3">
      <c r="B2582" s="10"/>
      <c r="C2582" s="315"/>
      <c r="D2582" s="868"/>
      <c r="E2582" s="837" t="str">
        <f>IFERROR(IF(_xlfn.XLOOKUP(Imput[[#This Row],[RFC]],'Alta Proveedor'!D:D,'Alta Proveedor'!E:E)=0,"",_xlfn.XLOOKUP(Imput[[#This Row],[RFC]],'Alta Proveedor'!D:D,'Alta Proveedor'!E:E)),"")</f>
        <v/>
      </c>
      <c r="F2582" s="832"/>
      <c r="G2582" s="187"/>
      <c r="H2582" s="1"/>
      <c r="I2582" s="169">
        <f>Imput[[#This Row],[Cantidad]]*Imput[[#This Row],[Precio Unitario]]</f>
        <v>0</v>
      </c>
      <c r="J2582" s="11">
        <f>((Imput[[#This Row],[Sub total]])*(0.16))</f>
        <v>0</v>
      </c>
      <c r="K2582" s="11">
        <v>0</v>
      </c>
      <c r="L2582" s="169">
        <f>Imput[[#This Row],[Sub total]]+Imput[[#This Row],[IVA]]-Imput[[#This Row],[Retención / IEPS / Descuento]]</f>
        <v>0</v>
      </c>
      <c r="M2582" s="844">
        <v>0</v>
      </c>
      <c r="N2582" s="189"/>
      <c r="O2582" s="1"/>
      <c r="P2582" s="189"/>
      <c r="Q2582" s="190"/>
      <c r="R2582" s="188"/>
      <c r="S2582" s="193"/>
      <c r="T2582" s="192"/>
      <c r="U2582" s="829"/>
      <c r="V2582" s="10"/>
      <c r="W2582" s="10"/>
      <c r="X2582" s="10"/>
      <c r="Y2582" s="10"/>
      <c r="Z2582" s="10"/>
      <c r="AA2582" s="11"/>
      <c r="AB2582" s="11"/>
    </row>
    <row r="2583" spans="2:28" x14ac:dyDescent="0.3">
      <c r="B2583" s="10"/>
      <c r="C2583" s="315"/>
      <c r="D2583" s="868"/>
      <c r="E2583" s="837" t="str">
        <f>IFERROR(IF(_xlfn.XLOOKUP(Imput[[#This Row],[RFC]],'Alta Proveedor'!D:D,'Alta Proveedor'!E:E)=0,"",_xlfn.XLOOKUP(Imput[[#This Row],[RFC]],'Alta Proveedor'!D:D,'Alta Proveedor'!E:E)),"")</f>
        <v/>
      </c>
      <c r="F2583" s="832"/>
      <c r="G2583" s="187"/>
      <c r="H2583" s="1"/>
      <c r="I2583" s="169">
        <f>Imput[[#This Row],[Cantidad]]*Imput[[#This Row],[Precio Unitario]]</f>
        <v>0</v>
      </c>
      <c r="J2583" s="11">
        <f>((Imput[[#This Row],[Sub total]])*(0.16))</f>
        <v>0</v>
      </c>
      <c r="K2583" s="11">
        <v>0</v>
      </c>
      <c r="L2583" s="169">
        <f>Imput[[#This Row],[Sub total]]+Imput[[#This Row],[IVA]]-Imput[[#This Row],[Retención / IEPS / Descuento]]</f>
        <v>0</v>
      </c>
      <c r="M2583" s="844">
        <v>0</v>
      </c>
      <c r="N2583" s="189"/>
      <c r="O2583" s="1"/>
      <c r="P2583" s="189"/>
      <c r="Q2583" s="190"/>
      <c r="R2583" s="188"/>
      <c r="S2583" s="193"/>
      <c r="T2583" s="192"/>
      <c r="U2583" s="829"/>
      <c r="V2583" s="10"/>
      <c r="W2583" s="10"/>
      <c r="X2583" s="10"/>
      <c r="Y2583" s="10"/>
      <c r="Z2583" s="10"/>
      <c r="AA2583" s="11"/>
      <c r="AB2583" s="11"/>
    </row>
    <row r="2584" spans="2:28" x14ac:dyDescent="0.3">
      <c r="B2584" s="10"/>
      <c r="C2584" s="315"/>
      <c r="D2584" s="868"/>
      <c r="E2584" s="837" t="str">
        <f>IFERROR(IF(_xlfn.XLOOKUP(Imput[[#This Row],[RFC]],'Alta Proveedor'!D:D,'Alta Proveedor'!E:E)=0,"",_xlfn.XLOOKUP(Imput[[#This Row],[RFC]],'Alta Proveedor'!D:D,'Alta Proveedor'!E:E)),"")</f>
        <v/>
      </c>
      <c r="F2584" s="832"/>
      <c r="G2584" s="187"/>
      <c r="H2584" s="1"/>
      <c r="I2584" s="169">
        <f>Imput[[#This Row],[Cantidad]]*Imput[[#This Row],[Precio Unitario]]</f>
        <v>0</v>
      </c>
      <c r="J2584" s="11">
        <f>((Imput[[#This Row],[Sub total]])*(0.16))</f>
        <v>0</v>
      </c>
      <c r="K2584" s="11">
        <v>0</v>
      </c>
      <c r="L2584" s="169">
        <f>Imput[[#This Row],[Sub total]]+Imput[[#This Row],[IVA]]-Imput[[#This Row],[Retención / IEPS / Descuento]]</f>
        <v>0</v>
      </c>
      <c r="M2584" s="844">
        <v>0</v>
      </c>
      <c r="N2584" s="189"/>
      <c r="O2584" s="1"/>
      <c r="P2584" s="189"/>
      <c r="Q2584" s="190"/>
      <c r="R2584" s="188"/>
      <c r="S2584" s="193"/>
      <c r="T2584" s="192"/>
      <c r="U2584" s="829"/>
      <c r="V2584" s="10"/>
      <c r="W2584" s="10"/>
      <c r="X2584" s="10"/>
      <c r="Y2584" s="10"/>
      <c r="Z2584" s="10"/>
      <c r="AA2584" s="11"/>
      <c r="AB2584" s="11"/>
    </row>
    <row r="2585" spans="2:28" x14ac:dyDescent="0.3">
      <c r="B2585" s="10"/>
      <c r="C2585" s="315"/>
      <c r="D2585" s="868"/>
      <c r="E2585" s="837" t="str">
        <f>IFERROR(IF(_xlfn.XLOOKUP(Imput[[#This Row],[RFC]],'Alta Proveedor'!D:D,'Alta Proveedor'!E:E)=0,"",_xlfn.XLOOKUP(Imput[[#This Row],[RFC]],'Alta Proveedor'!D:D,'Alta Proveedor'!E:E)),"")</f>
        <v/>
      </c>
      <c r="F2585" s="832"/>
      <c r="G2585" s="187"/>
      <c r="H2585" s="1"/>
      <c r="I2585" s="169">
        <f>Imput[[#This Row],[Cantidad]]*Imput[[#This Row],[Precio Unitario]]</f>
        <v>0</v>
      </c>
      <c r="J2585" s="11">
        <f>((Imput[[#This Row],[Sub total]])*(0.16))</f>
        <v>0</v>
      </c>
      <c r="K2585" s="11">
        <v>0</v>
      </c>
      <c r="L2585" s="169">
        <f>Imput[[#This Row],[Sub total]]+Imput[[#This Row],[IVA]]-Imput[[#This Row],[Retención / IEPS / Descuento]]</f>
        <v>0</v>
      </c>
      <c r="M2585" s="844">
        <v>0</v>
      </c>
      <c r="N2585" s="189"/>
      <c r="O2585" s="1"/>
      <c r="P2585" s="189"/>
      <c r="Q2585" s="190"/>
      <c r="R2585" s="188"/>
      <c r="S2585" s="193"/>
      <c r="T2585" s="192"/>
      <c r="U2585" s="829"/>
      <c r="V2585" s="10"/>
      <c r="W2585" s="10"/>
      <c r="X2585" s="10"/>
      <c r="Y2585" s="10"/>
      <c r="Z2585" s="10"/>
      <c r="AA2585" s="11"/>
      <c r="AB2585" s="11"/>
    </row>
    <row r="2586" spans="2:28" x14ac:dyDescent="0.3">
      <c r="B2586" s="10"/>
      <c r="C2586" s="315"/>
      <c r="D2586" s="868"/>
      <c r="E2586" s="837" t="str">
        <f>IFERROR(IF(_xlfn.XLOOKUP(Imput[[#This Row],[RFC]],'Alta Proveedor'!D:D,'Alta Proveedor'!E:E)=0,"",_xlfn.XLOOKUP(Imput[[#This Row],[RFC]],'Alta Proveedor'!D:D,'Alta Proveedor'!E:E)),"")</f>
        <v/>
      </c>
      <c r="F2586" s="832"/>
      <c r="G2586" s="187"/>
      <c r="H2586" s="1"/>
      <c r="I2586" s="169">
        <f>Imput[[#This Row],[Cantidad]]*Imput[[#This Row],[Precio Unitario]]</f>
        <v>0</v>
      </c>
      <c r="J2586" s="11">
        <f>((Imput[[#This Row],[Sub total]])*(0.16))</f>
        <v>0</v>
      </c>
      <c r="K2586" s="11">
        <v>0</v>
      </c>
      <c r="L2586" s="169">
        <f>Imput[[#This Row],[Sub total]]+Imput[[#This Row],[IVA]]-Imput[[#This Row],[Retención / IEPS / Descuento]]</f>
        <v>0</v>
      </c>
      <c r="M2586" s="844">
        <v>0</v>
      </c>
      <c r="N2586" s="189"/>
      <c r="O2586" s="1"/>
      <c r="P2586" s="189"/>
      <c r="Q2586" s="190"/>
      <c r="R2586" s="188"/>
      <c r="S2586" s="193"/>
      <c r="T2586" s="192"/>
      <c r="U2586" s="829"/>
      <c r="V2586" s="10"/>
      <c r="W2586" s="10"/>
      <c r="X2586" s="10"/>
      <c r="Y2586" s="10"/>
      <c r="Z2586" s="10"/>
      <c r="AA2586" s="11"/>
      <c r="AB2586" s="11"/>
    </row>
    <row r="2587" spans="2:28" x14ac:dyDescent="0.3">
      <c r="B2587" s="10"/>
      <c r="C2587" s="315"/>
      <c r="D2587" s="868"/>
      <c r="E2587" s="837" t="str">
        <f>IFERROR(IF(_xlfn.XLOOKUP(Imput[[#This Row],[RFC]],'Alta Proveedor'!D:D,'Alta Proveedor'!E:E)=0,"",_xlfn.XLOOKUP(Imput[[#This Row],[RFC]],'Alta Proveedor'!D:D,'Alta Proveedor'!E:E)),"")</f>
        <v/>
      </c>
      <c r="F2587" s="832"/>
      <c r="G2587" s="187"/>
      <c r="H2587" s="1"/>
      <c r="I2587" s="169">
        <f>Imput[[#This Row],[Cantidad]]*Imput[[#This Row],[Precio Unitario]]</f>
        <v>0</v>
      </c>
      <c r="J2587" s="11">
        <f>((Imput[[#This Row],[Sub total]])*(0.16))</f>
        <v>0</v>
      </c>
      <c r="K2587" s="11">
        <v>0</v>
      </c>
      <c r="L2587" s="169">
        <f>Imput[[#This Row],[Sub total]]+Imput[[#This Row],[IVA]]-Imput[[#This Row],[Retención / IEPS / Descuento]]</f>
        <v>0</v>
      </c>
      <c r="M2587" s="844">
        <v>0</v>
      </c>
      <c r="N2587" s="189"/>
      <c r="O2587" s="1"/>
      <c r="P2587" s="189"/>
      <c r="Q2587" s="190"/>
      <c r="R2587" s="188"/>
      <c r="S2587" s="193"/>
      <c r="T2587" s="192"/>
      <c r="U2587" s="829"/>
      <c r="V2587" s="10"/>
      <c r="W2587" s="10"/>
      <c r="X2587" s="10"/>
      <c r="Y2587" s="10"/>
      <c r="Z2587" s="10"/>
      <c r="AA2587" s="11"/>
      <c r="AB2587" s="11"/>
    </row>
    <row r="2588" spans="2:28" x14ac:dyDescent="0.3">
      <c r="B2588" s="10"/>
      <c r="C2588" s="315"/>
      <c r="D2588" s="868"/>
      <c r="E2588" s="837" t="str">
        <f>IFERROR(IF(_xlfn.XLOOKUP(Imput[[#This Row],[RFC]],'Alta Proveedor'!D:D,'Alta Proveedor'!E:E)=0,"",_xlfn.XLOOKUP(Imput[[#This Row],[RFC]],'Alta Proveedor'!D:D,'Alta Proveedor'!E:E)),"")</f>
        <v/>
      </c>
      <c r="F2588" s="832"/>
      <c r="G2588" s="187"/>
      <c r="H2588" s="1"/>
      <c r="I2588" s="169">
        <f>Imput[[#This Row],[Cantidad]]*Imput[[#This Row],[Precio Unitario]]</f>
        <v>0</v>
      </c>
      <c r="J2588" s="11">
        <f>((Imput[[#This Row],[Sub total]])*(0.16))</f>
        <v>0</v>
      </c>
      <c r="K2588" s="11">
        <v>0</v>
      </c>
      <c r="L2588" s="169">
        <f>Imput[[#This Row],[Sub total]]+Imput[[#This Row],[IVA]]-Imput[[#This Row],[Retención / IEPS / Descuento]]</f>
        <v>0</v>
      </c>
      <c r="M2588" s="844">
        <v>0</v>
      </c>
      <c r="N2588" s="189"/>
      <c r="O2588" s="1"/>
      <c r="P2588" s="189"/>
      <c r="Q2588" s="190"/>
      <c r="R2588" s="188"/>
      <c r="S2588" s="193"/>
      <c r="T2588" s="192"/>
      <c r="U2588" s="829"/>
      <c r="V2588" s="10"/>
      <c r="W2588" s="10"/>
      <c r="X2588" s="10"/>
      <c r="Y2588" s="10"/>
      <c r="Z2588" s="10"/>
      <c r="AA2588" s="11"/>
      <c r="AB2588" s="11"/>
    </row>
    <row r="2589" spans="2:28" x14ac:dyDescent="0.3">
      <c r="B2589" s="10"/>
      <c r="C2589" s="315"/>
      <c r="D2589" s="868"/>
      <c r="E2589" s="837" t="str">
        <f>IFERROR(IF(_xlfn.XLOOKUP(Imput[[#This Row],[RFC]],'Alta Proveedor'!D:D,'Alta Proveedor'!E:E)=0,"",_xlfn.XLOOKUP(Imput[[#This Row],[RFC]],'Alta Proveedor'!D:D,'Alta Proveedor'!E:E)),"")</f>
        <v/>
      </c>
      <c r="F2589" s="832"/>
      <c r="G2589" s="187"/>
      <c r="H2589" s="1"/>
      <c r="I2589" s="169">
        <f>Imput[[#This Row],[Cantidad]]*Imput[[#This Row],[Precio Unitario]]</f>
        <v>0</v>
      </c>
      <c r="J2589" s="11">
        <f>((Imput[[#This Row],[Sub total]])*(0.16))</f>
        <v>0</v>
      </c>
      <c r="K2589" s="11">
        <v>0</v>
      </c>
      <c r="L2589" s="169">
        <f>Imput[[#This Row],[Sub total]]+Imput[[#This Row],[IVA]]-Imput[[#This Row],[Retención / IEPS / Descuento]]</f>
        <v>0</v>
      </c>
      <c r="M2589" s="844">
        <v>0</v>
      </c>
      <c r="N2589" s="189"/>
      <c r="O2589" s="1"/>
      <c r="P2589" s="189"/>
      <c r="Q2589" s="190"/>
      <c r="R2589" s="188"/>
      <c r="S2589" s="193"/>
      <c r="T2589" s="192"/>
      <c r="U2589" s="829"/>
      <c r="V2589" s="10"/>
      <c r="W2589" s="10"/>
      <c r="X2589" s="10"/>
      <c r="Y2589" s="10"/>
      <c r="Z2589" s="10"/>
      <c r="AA2589" s="11"/>
      <c r="AB2589" s="11"/>
    </row>
    <row r="2590" spans="2:28" x14ac:dyDescent="0.3">
      <c r="B2590" s="10"/>
      <c r="C2590" s="315"/>
      <c r="D2590" s="868"/>
      <c r="E2590" s="837" t="str">
        <f>IFERROR(IF(_xlfn.XLOOKUP(Imput[[#This Row],[RFC]],'Alta Proveedor'!D:D,'Alta Proveedor'!E:E)=0,"",_xlfn.XLOOKUP(Imput[[#This Row],[RFC]],'Alta Proveedor'!D:D,'Alta Proveedor'!E:E)),"")</f>
        <v/>
      </c>
      <c r="F2590" s="832"/>
      <c r="G2590" s="187"/>
      <c r="H2590" s="1"/>
      <c r="I2590" s="169">
        <f>Imput[[#This Row],[Cantidad]]*Imput[[#This Row],[Precio Unitario]]</f>
        <v>0</v>
      </c>
      <c r="J2590" s="11">
        <f>((Imput[[#This Row],[Sub total]])*(0.16))</f>
        <v>0</v>
      </c>
      <c r="K2590" s="11">
        <v>0</v>
      </c>
      <c r="L2590" s="169">
        <f>Imput[[#This Row],[Sub total]]+Imput[[#This Row],[IVA]]-Imput[[#This Row],[Retención / IEPS / Descuento]]</f>
        <v>0</v>
      </c>
      <c r="M2590" s="844">
        <v>0</v>
      </c>
      <c r="N2590" s="189"/>
      <c r="O2590" s="1"/>
      <c r="P2590" s="189"/>
      <c r="Q2590" s="190"/>
      <c r="R2590" s="188"/>
      <c r="S2590" s="193"/>
      <c r="T2590" s="192"/>
      <c r="U2590" s="829"/>
      <c r="V2590" s="10"/>
      <c r="W2590" s="10"/>
      <c r="X2590" s="10"/>
      <c r="Y2590" s="10"/>
      <c r="Z2590" s="10"/>
      <c r="AA2590" s="11"/>
      <c r="AB2590" s="11"/>
    </row>
    <row r="2591" spans="2:28" x14ac:dyDescent="0.3">
      <c r="B2591" s="10"/>
      <c r="C2591" s="315"/>
      <c r="D2591" s="868"/>
      <c r="E2591" s="837" t="str">
        <f>IFERROR(IF(_xlfn.XLOOKUP(Imput[[#This Row],[RFC]],'Alta Proveedor'!D:D,'Alta Proveedor'!E:E)=0,"",_xlfn.XLOOKUP(Imput[[#This Row],[RFC]],'Alta Proveedor'!D:D,'Alta Proveedor'!E:E)),"")</f>
        <v/>
      </c>
      <c r="F2591" s="832"/>
      <c r="G2591" s="187"/>
      <c r="H2591" s="1"/>
      <c r="I2591" s="169">
        <f>Imput[[#This Row],[Cantidad]]*Imput[[#This Row],[Precio Unitario]]</f>
        <v>0</v>
      </c>
      <c r="J2591" s="11">
        <f>((Imput[[#This Row],[Sub total]])*(0.16))</f>
        <v>0</v>
      </c>
      <c r="K2591" s="11">
        <v>0</v>
      </c>
      <c r="L2591" s="169">
        <f>Imput[[#This Row],[Sub total]]+Imput[[#This Row],[IVA]]-Imput[[#This Row],[Retención / IEPS / Descuento]]</f>
        <v>0</v>
      </c>
      <c r="M2591" s="844">
        <v>0</v>
      </c>
      <c r="N2591" s="189"/>
      <c r="O2591" s="1"/>
      <c r="P2591" s="189"/>
      <c r="Q2591" s="190"/>
      <c r="R2591" s="188"/>
      <c r="S2591" s="193"/>
      <c r="T2591" s="192"/>
      <c r="U2591" s="829"/>
      <c r="V2591" s="10"/>
      <c r="W2591" s="10"/>
      <c r="X2591" s="10"/>
      <c r="Y2591" s="10"/>
      <c r="Z2591" s="10"/>
      <c r="AA2591" s="11"/>
      <c r="AB2591" s="11"/>
    </row>
    <row r="2592" spans="2:28" x14ac:dyDescent="0.3">
      <c r="B2592" s="10"/>
      <c r="C2592" s="315"/>
      <c r="D2592" s="868"/>
      <c r="E2592" s="837" t="str">
        <f>IFERROR(IF(_xlfn.XLOOKUP(Imput[[#This Row],[RFC]],'Alta Proveedor'!D:D,'Alta Proveedor'!E:E)=0,"",_xlfn.XLOOKUP(Imput[[#This Row],[RFC]],'Alta Proveedor'!D:D,'Alta Proveedor'!E:E)),"")</f>
        <v/>
      </c>
      <c r="F2592" s="832"/>
      <c r="G2592" s="187"/>
      <c r="H2592" s="1"/>
      <c r="I2592" s="169">
        <f>Imput[[#This Row],[Cantidad]]*Imput[[#This Row],[Precio Unitario]]</f>
        <v>0</v>
      </c>
      <c r="J2592" s="11">
        <f>((Imput[[#This Row],[Sub total]])*(0.16))</f>
        <v>0</v>
      </c>
      <c r="K2592" s="11">
        <v>0</v>
      </c>
      <c r="L2592" s="169">
        <f>Imput[[#This Row],[Sub total]]+Imput[[#This Row],[IVA]]-Imput[[#This Row],[Retención / IEPS / Descuento]]</f>
        <v>0</v>
      </c>
      <c r="M2592" s="844">
        <v>0</v>
      </c>
      <c r="N2592" s="189"/>
      <c r="O2592" s="1"/>
      <c r="P2592" s="189"/>
      <c r="Q2592" s="190"/>
      <c r="R2592" s="188"/>
      <c r="S2592" s="193"/>
      <c r="T2592" s="192"/>
      <c r="U2592" s="829"/>
      <c r="V2592" s="10"/>
      <c r="W2592" s="10"/>
      <c r="X2592" s="10"/>
      <c r="Y2592" s="10"/>
      <c r="Z2592" s="10"/>
      <c r="AA2592" s="11"/>
      <c r="AB2592" s="11"/>
    </row>
    <row r="2593" spans="2:28" x14ac:dyDescent="0.3">
      <c r="B2593" s="10"/>
      <c r="C2593" s="315"/>
      <c r="D2593" s="868"/>
      <c r="E2593" s="837" t="str">
        <f>IFERROR(IF(_xlfn.XLOOKUP(Imput[[#This Row],[RFC]],'Alta Proveedor'!D:D,'Alta Proveedor'!E:E)=0,"",_xlfn.XLOOKUP(Imput[[#This Row],[RFC]],'Alta Proveedor'!D:D,'Alta Proveedor'!E:E)),"")</f>
        <v/>
      </c>
      <c r="F2593" s="832"/>
      <c r="G2593" s="187"/>
      <c r="H2593" s="1"/>
      <c r="I2593" s="169">
        <f>Imput[[#This Row],[Cantidad]]*Imput[[#This Row],[Precio Unitario]]</f>
        <v>0</v>
      </c>
      <c r="J2593" s="11">
        <f>((Imput[[#This Row],[Sub total]])*(0.16))</f>
        <v>0</v>
      </c>
      <c r="K2593" s="11">
        <v>0</v>
      </c>
      <c r="L2593" s="169">
        <f>Imput[[#This Row],[Sub total]]+Imput[[#This Row],[IVA]]-Imput[[#This Row],[Retención / IEPS / Descuento]]</f>
        <v>0</v>
      </c>
      <c r="M2593" s="844">
        <v>0</v>
      </c>
      <c r="N2593" s="189"/>
      <c r="O2593" s="1"/>
      <c r="P2593" s="189"/>
      <c r="Q2593" s="190"/>
      <c r="R2593" s="188"/>
      <c r="S2593" s="193"/>
      <c r="T2593" s="192"/>
      <c r="U2593" s="829"/>
      <c r="V2593" s="10"/>
      <c r="W2593" s="10"/>
      <c r="X2593" s="10"/>
      <c r="Y2593" s="10"/>
      <c r="Z2593" s="10"/>
      <c r="AA2593" s="11"/>
      <c r="AB2593" s="11"/>
    </row>
    <row r="2594" spans="2:28" x14ac:dyDescent="0.3">
      <c r="B2594" s="10"/>
      <c r="C2594" s="315"/>
      <c r="D2594" s="868"/>
      <c r="E2594" s="837" t="str">
        <f>IFERROR(IF(_xlfn.XLOOKUP(Imput[[#This Row],[RFC]],'Alta Proveedor'!D:D,'Alta Proveedor'!E:E)=0,"",_xlfn.XLOOKUP(Imput[[#This Row],[RFC]],'Alta Proveedor'!D:D,'Alta Proveedor'!E:E)),"")</f>
        <v/>
      </c>
      <c r="F2594" s="832"/>
      <c r="G2594" s="187"/>
      <c r="H2594" s="1"/>
      <c r="I2594" s="169">
        <f>Imput[[#This Row],[Cantidad]]*Imput[[#This Row],[Precio Unitario]]</f>
        <v>0</v>
      </c>
      <c r="J2594" s="11">
        <f>((Imput[[#This Row],[Sub total]])*(0.16))</f>
        <v>0</v>
      </c>
      <c r="K2594" s="11">
        <v>0</v>
      </c>
      <c r="L2594" s="169">
        <f>Imput[[#This Row],[Sub total]]+Imput[[#This Row],[IVA]]-Imput[[#This Row],[Retención / IEPS / Descuento]]</f>
        <v>0</v>
      </c>
      <c r="M2594" s="844">
        <v>0</v>
      </c>
      <c r="N2594" s="189"/>
      <c r="O2594" s="1"/>
      <c r="P2594" s="189"/>
      <c r="Q2594" s="190"/>
      <c r="R2594" s="188"/>
      <c r="S2594" s="193"/>
      <c r="T2594" s="192"/>
      <c r="U2594" s="829"/>
      <c r="V2594" s="10"/>
      <c r="W2594" s="10"/>
      <c r="X2594" s="10"/>
      <c r="Y2594" s="10"/>
      <c r="Z2594" s="10"/>
      <c r="AA2594" s="11"/>
      <c r="AB2594" s="11"/>
    </row>
    <row r="2595" spans="2:28" x14ac:dyDescent="0.3">
      <c r="B2595" s="10"/>
      <c r="C2595" s="315"/>
      <c r="D2595" s="868"/>
      <c r="E2595" s="837" t="str">
        <f>IFERROR(IF(_xlfn.XLOOKUP(Imput[[#This Row],[RFC]],'Alta Proveedor'!D:D,'Alta Proveedor'!E:E)=0,"",_xlfn.XLOOKUP(Imput[[#This Row],[RFC]],'Alta Proveedor'!D:D,'Alta Proveedor'!E:E)),"")</f>
        <v/>
      </c>
      <c r="F2595" s="832"/>
      <c r="G2595" s="187"/>
      <c r="H2595" s="1"/>
      <c r="I2595" s="169">
        <f>Imput[[#This Row],[Cantidad]]*Imput[[#This Row],[Precio Unitario]]</f>
        <v>0</v>
      </c>
      <c r="J2595" s="11">
        <f>((Imput[[#This Row],[Sub total]])*(0.16))</f>
        <v>0</v>
      </c>
      <c r="K2595" s="11">
        <v>0</v>
      </c>
      <c r="L2595" s="169">
        <f>Imput[[#This Row],[Sub total]]+Imput[[#This Row],[IVA]]-Imput[[#This Row],[Retención / IEPS / Descuento]]</f>
        <v>0</v>
      </c>
      <c r="M2595" s="844">
        <v>0</v>
      </c>
      <c r="N2595" s="189"/>
      <c r="O2595" s="1"/>
      <c r="P2595" s="189"/>
      <c r="Q2595" s="190"/>
      <c r="R2595" s="188"/>
      <c r="S2595" s="193"/>
      <c r="T2595" s="192"/>
      <c r="U2595" s="829"/>
      <c r="V2595" s="10"/>
      <c r="W2595" s="10"/>
      <c r="X2595" s="10"/>
      <c r="Y2595" s="10"/>
      <c r="Z2595" s="10"/>
      <c r="AA2595" s="11"/>
      <c r="AB2595" s="11"/>
    </row>
    <row r="2596" spans="2:28" x14ac:dyDescent="0.3">
      <c r="B2596" s="10"/>
      <c r="C2596" s="315"/>
      <c r="D2596" s="868"/>
      <c r="E2596" s="837" t="str">
        <f>IFERROR(IF(_xlfn.XLOOKUP(Imput[[#This Row],[RFC]],'Alta Proveedor'!D:D,'Alta Proveedor'!E:E)=0,"",_xlfn.XLOOKUP(Imput[[#This Row],[RFC]],'Alta Proveedor'!D:D,'Alta Proveedor'!E:E)),"")</f>
        <v/>
      </c>
      <c r="F2596" s="832"/>
      <c r="G2596" s="187"/>
      <c r="H2596" s="1"/>
      <c r="I2596" s="169">
        <f>Imput[[#This Row],[Cantidad]]*Imput[[#This Row],[Precio Unitario]]</f>
        <v>0</v>
      </c>
      <c r="J2596" s="11">
        <f>((Imput[[#This Row],[Sub total]])*(0.16))</f>
        <v>0</v>
      </c>
      <c r="K2596" s="11">
        <v>0</v>
      </c>
      <c r="L2596" s="169">
        <f>Imput[[#This Row],[Sub total]]+Imput[[#This Row],[IVA]]-Imput[[#This Row],[Retención / IEPS / Descuento]]</f>
        <v>0</v>
      </c>
      <c r="M2596" s="844">
        <v>0</v>
      </c>
      <c r="N2596" s="189"/>
      <c r="O2596" s="1"/>
      <c r="P2596" s="189"/>
      <c r="Q2596" s="190"/>
      <c r="R2596" s="188"/>
      <c r="S2596" s="193"/>
      <c r="T2596" s="192"/>
      <c r="U2596" s="829"/>
      <c r="V2596" s="10"/>
      <c r="W2596" s="10"/>
      <c r="X2596" s="10"/>
      <c r="Y2596" s="10"/>
      <c r="Z2596" s="10"/>
      <c r="AA2596" s="11"/>
      <c r="AB2596" s="11"/>
    </row>
    <row r="2597" spans="2:28" x14ac:dyDescent="0.3">
      <c r="B2597" s="10"/>
      <c r="C2597" s="315"/>
      <c r="D2597" s="868"/>
      <c r="E2597" s="837" t="str">
        <f>IFERROR(IF(_xlfn.XLOOKUP(Imput[[#This Row],[RFC]],'Alta Proveedor'!D:D,'Alta Proveedor'!E:E)=0,"",_xlfn.XLOOKUP(Imput[[#This Row],[RFC]],'Alta Proveedor'!D:D,'Alta Proveedor'!E:E)),"")</f>
        <v/>
      </c>
      <c r="F2597" s="832"/>
      <c r="G2597" s="187"/>
      <c r="H2597" s="1"/>
      <c r="I2597" s="169">
        <f>Imput[[#This Row],[Cantidad]]*Imput[[#This Row],[Precio Unitario]]</f>
        <v>0</v>
      </c>
      <c r="J2597" s="11">
        <f>((Imput[[#This Row],[Sub total]])*(0.16))</f>
        <v>0</v>
      </c>
      <c r="K2597" s="11">
        <v>0</v>
      </c>
      <c r="L2597" s="169">
        <f>Imput[[#This Row],[Sub total]]+Imput[[#This Row],[IVA]]-Imput[[#This Row],[Retención / IEPS / Descuento]]</f>
        <v>0</v>
      </c>
      <c r="M2597" s="844">
        <v>0</v>
      </c>
      <c r="N2597" s="189"/>
      <c r="O2597" s="1"/>
      <c r="P2597" s="189"/>
      <c r="Q2597" s="190"/>
      <c r="R2597" s="188"/>
      <c r="S2597" s="193"/>
      <c r="T2597" s="192"/>
      <c r="U2597" s="829"/>
      <c r="V2597" s="10"/>
      <c r="W2597" s="10"/>
      <c r="X2597" s="10"/>
      <c r="Y2597" s="10"/>
      <c r="Z2597" s="10"/>
      <c r="AA2597" s="11"/>
      <c r="AB2597" s="11"/>
    </row>
    <row r="2598" spans="2:28" x14ac:dyDescent="0.3">
      <c r="B2598" s="10"/>
      <c r="C2598" s="315"/>
      <c r="D2598" s="868"/>
      <c r="E2598" s="837" t="str">
        <f>IFERROR(IF(_xlfn.XLOOKUP(Imput[[#This Row],[RFC]],'Alta Proveedor'!D:D,'Alta Proveedor'!E:E)=0,"",_xlfn.XLOOKUP(Imput[[#This Row],[RFC]],'Alta Proveedor'!D:D,'Alta Proveedor'!E:E)),"")</f>
        <v/>
      </c>
      <c r="F2598" s="832"/>
      <c r="G2598" s="187"/>
      <c r="H2598" s="1"/>
      <c r="I2598" s="169">
        <f>Imput[[#This Row],[Cantidad]]*Imput[[#This Row],[Precio Unitario]]</f>
        <v>0</v>
      </c>
      <c r="J2598" s="11">
        <f>((Imput[[#This Row],[Sub total]])*(0.16))</f>
        <v>0</v>
      </c>
      <c r="K2598" s="11">
        <v>0</v>
      </c>
      <c r="L2598" s="169">
        <f>Imput[[#This Row],[Sub total]]+Imput[[#This Row],[IVA]]-Imput[[#This Row],[Retención / IEPS / Descuento]]</f>
        <v>0</v>
      </c>
      <c r="M2598" s="844">
        <v>0</v>
      </c>
      <c r="N2598" s="189"/>
      <c r="O2598" s="1"/>
      <c r="P2598" s="189"/>
      <c r="Q2598" s="190"/>
      <c r="R2598" s="188"/>
      <c r="S2598" s="193"/>
      <c r="T2598" s="192"/>
      <c r="U2598" s="829"/>
      <c r="V2598" s="10"/>
      <c r="W2598" s="10"/>
      <c r="X2598" s="10"/>
      <c r="Y2598" s="10"/>
      <c r="Z2598" s="10"/>
      <c r="AA2598" s="11"/>
      <c r="AB2598" s="11"/>
    </row>
    <row r="2599" spans="2:28" x14ac:dyDescent="0.3">
      <c r="B2599" s="10"/>
      <c r="C2599" s="315"/>
      <c r="D2599" s="868"/>
      <c r="E2599" s="837" t="str">
        <f>IFERROR(IF(_xlfn.XLOOKUP(Imput[[#This Row],[RFC]],'Alta Proveedor'!D:D,'Alta Proveedor'!E:E)=0,"",_xlfn.XLOOKUP(Imput[[#This Row],[RFC]],'Alta Proveedor'!D:D,'Alta Proveedor'!E:E)),"")</f>
        <v/>
      </c>
      <c r="F2599" s="832"/>
      <c r="G2599" s="187"/>
      <c r="H2599" s="1"/>
      <c r="I2599" s="169">
        <f>Imput[[#This Row],[Cantidad]]*Imput[[#This Row],[Precio Unitario]]</f>
        <v>0</v>
      </c>
      <c r="J2599" s="11">
        <f>((Imput[[#This Row],[Sub total]])*(0.16))</f>
        <v>0</v>
      </c>
      <c r="K2599" s="11">
        <v>0</v>
      </c>
      <c r="L2599" s="169">
        <f>Imput[[#This Row],[Sub total]]+Imput[[#This Row],[IVA]]-Imput[[#This Row],[Retención / IEPS / Descuento]]</f>
        <v>0</v>
      </c>
      <c r="M2599" s="844">
        <v>0</v>
      </c>
      <c r="N2599" s="189"/>
      <c r="O2599" s="1"/>
      <c r="P2599" s="189"/>
      <c r="Q2599" s="190"/>
      <c r="R2599" s="188"/>
      <c r="S2599" s="193"/>
      <c r="T2599" s="192"/>
      <c r="U2599" s="829"/>
      <c r="V2599" s="10"/>
      <c r="W2599" s="10"/>
      <c r="X2599" s="10"/>
      <c r="Y2599" s="10"/>
      <c r="Z2599" s="10"/>
      <c r="AA2599" s="11"/>
      <c r="AB2599" s="11"/>
    </row>
    <row r="2600" spans="2:28" x14ac:dyDescent="0.3">
      <c r="B2600" s="10"/>
      <c r="C2600" s="315"/>
      <c r="D2600" s="868"/>
      <c r="E2600" s="837" t="str">
        <f>IFERROR(IF(_xlfn.XLOOKUP(Imput[[#This Row],[RFC]],'Alta Proveedor'!D:D,'Alta Proveedor'!E:E)=0,"",_xlfn.XLOOKUP(Imput[[#This Row],[RFC]],'Alta Proveedor'!D:D,'Alta Proveedor'!E:E)),"")</f>
        <v/>
      </c>
      <c r="F2600" s="832"/>
      <c r="G2600" s="187"/>
      <c r="H2600" s="1"/>
      <c r="I2600" s="169">
        <f>Imput[[#This Row],[Cantidad]]*Imput[[#This Row],[Precio Unitario]]</f>
        <v>0</v>
      </c>
      <c r="J2600" s="11">
        <f>((Imput[[#This Row],[Sub total]])*(0.16))</f>
        <v>0</v>
      </c>
      <c r="K2600" s="11">
        <v>0</v>
      </c>
      <c r="L2600" s="169">
        <f>Imput[[#This Row],[Sub total]]+Imput[[#This Row],[IVA]]-Imput[[#This Row],[Retención / IEPS / Descuento]]</f>
        <v>0</v>
      </c>
      <c r="M2600" s="844">
        <v>0</v>
      </c>
      <c r="N2600" s="189"/>
      <c r="O2600" s="1"/>
      <c r="P2600" s="189"/>
      <c r="Q2600" s="190"/>
      <c r="R2600" s="188"/>
      <c r="S2600" s="193"/>
      <c r="T2600" s="192"/>
      <c r="U2600" s="829"/>
      <c r="V2600" s="10"/>
      <c r="W2600" s="10"/>
      <c r="X2600" s="10"/>
      <c r="Y2600" s="10"/>
      <c r="Z2600" s="10"/>
      <c r="AA2600" s="11"/>
      <c r="AB2600" s="11"/>
    </row>
    <row r="2601" spans="2:28" x14ac:dyDescent="0.3">
      <c r="B2601" s="10"/>
      <c r="C2601" s="315"/>
      <c r="D2601" s="868"/>
      <c r="E2601" s="837" t="str">
        <f>IFERROR(IF(_xlfn.XLOOKUP(Imput[[#This Row],[RFC]],'Alta Proveedor'!D:D,'Alta Proveedor'!E:E)=0,"",_xlfn.XLOOKUP(Imput[[#This Row],[RFC]],'Alta Proveedor'!D:D,'Alta Proveedor'!E:E)),"")</f>
        <v/>
      </c>
      <c r="F2601" s="832"/>
      <c r="G2601" s="187"/>
      <c r="H2601" s="1"/>
      <c r="I2601" s="169">
        <f>Imput[[#This Row],[Cantidad]]*Imput[[#This Row],[Precio Unitario]]</f>
        <v>0</v>
      </c>
      <c r="J2601" s="11">
        <f>((Imput[[#This Row],[Sub total]])*(0.16))</f>
        <v>0</v>
      </c>
      <c r="K2601" s="11">
        <v>0</v>
      </c>
      <c r="L2601" s="169">
        <f>Imput[[#This Row],[Sub total]]+Imput[[#This Row],[IVA]]-Imput[[#This Row],[Retención / IEPS / Descuento]]</f>
        <v>0</v>
      </c>
      <c r="M2601" s="844">
        <v>0</v>
      </c>
      <c r="N2601" s="189"/>
      <c r="O2601" s="1"/>
      <c r="P2601" s="189"/>
      <c r="Q2601" s="190"/>
      <c r="R2601" s="188"/>
      <c r="S2601" s="193"/>
      <c r="T2601" s="192"/>
      <c r="U2601" s="829"/>
      <c r="V2601" s="10"/>
      <c r="W2601" s="10"/>
      <c r="X2601" s="10"/>
      <c r="Y2601" s="10"/>
      <c r="Z2601" s="10"/>
      <c r="AA2601" s="11"/>
      <c r="AB2601" s="11"/>
    </row>
    <row r="2602" spans="2:28" x14ac:dyDescent="0.3">
      <c r="B2602" s="10"/>
      <c r="C2602" s="315"/>
      <c r="D2602" s="868"/>
      <c r="E2602" s="837" t="str">
        <f>IFERROR(IF(_xlfn.XLOOKUP(Imput[[#This Row],[RFC]],'Alta Proveedor'!D:D,'Alta Proveedor'!E:E)=0,"",_xlfn.XLOOKUP(Imput[[#This Row],[RFC]],'Alta Proveedor'!D:D,'Alta Proveedor'!E:E)),"")</f>
        <v/>
      </c>
      <c r="F2602" s="832"/>
      <c r="G2602" s="187"/>
      <c r="H2602" s="1"/>
      <c r="I2602" s="169">
        <f>Imput[[#This Row],[Cantidad]]*Imput[[#This Row],[Precio Unitario]]</f>
        <v>0</v>
      </c>
      <c r="J2602" s="11">
        <f>((Imput[[#This Row],[Sub total]])*(0.16))</f>
        <v>0</v>
      </c>
      <c r="K2602" s="11">
        <v>0</v>
      </c>
      <c r="L2602" s="169">
        <f>Imput[[#This Row],[Sub total]]+Imput[[#This Row],[IVA]]-Imput[[#This Row],[Retención / IEPS / Descuento]]</f>
        <v>0</v>
      </c>
      <c r="M2602" s="844">
        <v>0</v>
      </c>
      <c r="N2602" s="189"/>
      <c r="O2602" s="1"/>
      <c r="P2602" s="189"/>
      <c r="Q2602" s="190"/>
      <c r="R2602" s="188"/>
      <c r="S2602" s="193"/>
      <c r="T2602" s="192"/>
      <c r="U2602" s="829"/>
      <c r="V2602" s="10"/>
      <c r="W2602" s="10"/>
      <c r="X2602" s="10"/>
      <c r="Y2602" s="10"/>
      <c r="Z2602" s="10"/>
      <c r="AA2602" s="11"/>
      <c r="AB2602" s="11"/>
    </row>
    <row r="2603" spans="2:28" x14ac:dyDescent="0.3">
      <c r="B2603" s="10"/>
      <c r="C2603" s="315"/>
      <c r="D2603" s="868"/>
      <c r="E2603" s="837" t="str">
        <f>IFERROR(IF(_xlfn.XLOOKUP(Imput[[#This Row],[RFC]],'Alta Proveedor'!D:D,'Alta Proveedor'!E:E)=0,"",_xlfn.XLOOKUP(Imput[[#This Row],[RFC]],'Alta Proveedor'!D:D,'Alta Proveedor'!E:E)),"")</f>
        <v/>
      </c>
      <c r="F2603" s="832"/>
      <c r="G2603" s="187"/>
      <c r="H2603" s="1"/>
      <c r="I2603" s="169">
        <f>Imput[[#This Row],[Cantidad]]*Imput[[#This Row],[Precio Unitario]]</f>
        <v>0</v>
      </c>
      <c r="J2603" s="11">
        <f>((Imput[[#This Row],[Sub total]])*(0.16))</f>
        <v>0</v>
      </c>
      <c r="K2603" s="11">
        <v>0</v>
      </c>
      <c r="L2603" s="169">
        <f>Imput[[#This Row],[Sub total]]+Imput[[#This Row],[IVA]]-Imput[[#This Row],[Retención / IEPS / Descuento]]</f>
        <v>0</v>
      </c>
      <c r="M2603" s="844">
        <v>0</v>
      </c>
      <c r="N2603" s="189"/>
      <c r="O2603" s="1"/>
      <c r="P2603" s="189"/>
      <c r="Q2603" s="190"/>
      <c r="R2603" s="188"/>
      <c r="S2603" s="193"/>
      <c r="T2603" s="192"/>
      <c r="U2603" s="829"/>
      <c r="V2603" s="10"/>
      <c r="W2603" s="10"/>
      <c r="X2603" s="10"/>
      <c r="Y2603" s="10"/>
      <c r="Z2603" s="10"/>
      <c r="AA2603" s="11"/>
      <c r="AB2603" s="11"/>
    </row>
    <row r="2604" spans="2:28" x14ac:dyDescent="0.3">
      <c r="B2604" s="10"/>
      <c r="C2604" s="315"/>
      <c r="D2604" s="868"/>
      <c r="E2604" s="837" t="str">
        <f>IFERROR(IF(_xlfn.XLOOKUP(Imput[[#This Row],[RFC]],'Alta Proveedor'!D:D,'Alta Proveedor'!E:E)=0,"",_xlfn.XLOOKUP(Imput[[#This Row],[RFC]],'Alta Proveedor'!D:D,'Alta Proveedor'!E:E)),"")</f>
        <v/>
      </c>
      <c r="F2604" s="832"/>
      <c r="G2604" s="187"/>
      <c r="H2604" s="1"/>
      <c r="I2604" s="169">
        <f>Imput[[#This Row],[Cantidad]]*Imput[[#This Row],[Precio Unitario]]</f>
        <v>0</v>
      </c>
      <c r="J2604" s="11">
        <f>((Imput[[#This Row],[Sub total]])*(0.16))</f>
        <v>0</v>
      </c>
      <c r="K2604" s="11">
        <v>0</v>
      </c>
      <c r="L2604" s="169">
        <f>Imput[[#This Row],[Sub total]]+Imput[[#This Row],[IVA]]-Imput[[#This Row],[Retención / IEPS / Descuento]]</f>
        <v>0</v>
      </c>
      <c r="M2604" s="844">
        <v>0</v>
      </c>
      <c r="N2604" s="189"/>
      <c r="O2604" s="1"/>
      <c r="P2604" s="189"/>
      <c r="Q2604" s="190"/>
      <c r="R2604" s="188"/>
      <c r="S2604" s="193"/>
      <c r="T2604" s="192"/>
      <c r="U2604" s="829"/>
      <c r="V2604" s="10"/>
      <c r="W2604" s="10"/>
      <c r="X2604" s="10"/>
      <c r="Y2604" s="10"/>
      <c r="Z2604" s="10"/>
      <c r="AA2604" s="11"/>
      <c r="AB2604" s="11"/>
    </row>
    <row r="2605" spans="2:28" x14ac:dyDescent="0.3">
      <c r="B2605" s="10"/>
      <c r="C2605" s="315"/>
      <c r="D2605" s="868"/>
      <c r="E2605" s="837" t="str">
        <f>IFERROR(IF(_xlfn.XLOOKUP(Imput[[#This Row],[RFC]],'Alta Proveedor'!D:D,'Alta Proveedor'!E:E)=0,"",_xlfn.XLOOKUP(Imput[[#This Row],[RFC]],'Alta Proveedor'!D:D,'Alta Proveedor'!E:E)),"")</f>
        <v/>
      </c>
      <c r="F2605" s="832"/>
      <c r="G2605" s="187"/>
      <c r="H2605" s="1"/>
      <c r="I2605" s="169">
        <f>Imput[[#This Row],[Cantidad]]*Imput[[#This Row],[Precio Unitario]]</f>
        <v>0</v>
      </c>
      <c r="J2605" s="11">
        <f>((Imput[[#This Row],[Sub total]])*(0.16))</f>
        <v>0</v>
      </c>
      <c r="K2605" s="11">
        <v>0</v>
      </c>
      <c r="L2605" s="169">
        <f>Imput[[#This Row],[Sub total]]+Imput[[#This Row],[IVA]]-Imput[[#This Row],[Retención / IEPS / Descuento]]</f>
        <v>0</v>
      </c>
      <c r="M2605" s="844">
        <v>0</v>
      </c>
      <c r="N2605" s="189"/>
      <c r="O2605" s="1"/>
      <c r="P2605" s="189"/>
      <c r="Q2605" s="190"/>
      <c r="R2605" s="188"/>
      <c r="S2605" s="193"/>
      <c r="T2605" s="192"/>
      <c r="U2605" s="829"/>
      <c r="V2605" s="10"/>
      <c r="W2605" s="10"/>
      <c r="X2605" s="10"/>
      <c r="Y2605" s="10"/>
      <c r="Z2605" s="10"/>
      <c r="AA2605" s="11"/>
      <c r="AB2605" s="11"/>
    </row>
    <row r="2606" spans="2:28" x14ac:dyDescent="0.3">
      <c r="B2606" s="10"/>
      <c r="C2606" s="315"/>
      <c r="D2606" s="868"/>
      <c r="E2606" s="837" t="str">
        <f>IFERROR(IF(_xlfn.XLOOKUP(Imput[[#This Row],[RFC]],'Alta Proveedor'!D:D,'Alta Proveedor'!E:E)=0,"",_xlfn.XLOOKUP(Imput[[#This Row],[RFC]],'Alta Proveedor'!D:D,'Alta Proveedor'!E:E)),"")</f>
        <v/>
      </c>
      <c r="F2606" s="832"/>
      <c r="G2606" s="187"/>
      <c r="H2606" s="1"/>
      <c r="I2606" s="169">
        <f>Imput[[#This Row],[Cantidad]]*Imput[[#This Row],[Precio Unitario]]</f>
        <v>0</v>
      </c>
      <c r="J2606" s="11">
        <f>((Imput[[#This Row],[Sub total]])*(0.16))</f>
        <v>0</v>
      </c>
      <c r="K2606" s="11">
        <v>0</v>
      </c>
      <c r="L2606" s="169">
        <f>Imput[[#This Row],[Sub total]]+Imput[[#This Row],[IVA]]-Imput[[#This Row],[Retención / IEPS / Descuento]]</f>
        <v>0</v>
      </c>
      <c r="M2606" s="844">
        <v>0</v>
      </c>
      <c r="N2606" s="189"/>
      <c r="O2606" s="1"/>
      <c r="P2606" s="189"/>
      <c r="Q2606" s="190"/>
      <c r="R2606" s="188"/>
      <c r="S2606" s="193"/>
      <c r="T2606" s="192"/>
      <c r="U2606" s="829"/>
      <c r="V2606" s="10"/>
      <c r="W2606" s="10"/>
      <c r="X2606" s="10"/>
      <c r="Y2606" s="10"/>
      <c r="Z2606" s="10"/>
      <c r="AA2606" s="11"/>
      <c r="AB2606" s="11"/>
    </row>
    <row r="2607" spans="2:28" x14ac:dyDescent="0.3">
      <c r="B2607" s="10"/>
      <c r="C2607" s="315"/>
      <c r="D2607" s="868"/>
      <c r="E2607" s="837" t="str">
        <f>IFERROR(IF(_xlfn.XLOOKUP(Imput[[#This Row],[RFC]],'Alta Proveedor'!D:D,'Alta Proveedor'!E:E)=0,"",_xlfn.XLOOKUP(Imput[[#This Row],[RFC]],'Alta Proveedor'!D:D,'Alta Proveedor'!E:E)),"")</f>
        <v/>
      </c>
      <c r="F2607" s="832"/>
      <c r="G2607" s="187"/>
      <c r="H2607" s="1"/>
      <c r="I2607" s="169">
        <f>Imput[[#This Row],[Cantidad]]*Imput[[#This Row],[Precio Unitario]]</f>
        <v>0</v>
      </c>
      <c r="J2607" s="11">
        <f>((Imput[[#This Row],[Sub total]])*(0.16))</f>
        <v>0</v>
      </c>
      <c r="K2607" s="11">
        <v>0</v>
      </c>
      <c r="L2607" s="169">
        <f>Imput[[#This Row],[Sub total]]+Imput[[#This Row],[IVA]]-Imput[[#This Row],[Retención / IEPS / Descuento]]</f>
        <v>0</v>
      </c>
      <c r="M2607" s="844">
        <v>0</v>
      </c>
      <c r="N2607" s="189"/>
      <c r="O2607" s="1"/>
      <c r="P2607" s="189"/>
      <c r="Q2607" s="190"/>
      <c r="R2607" s="188"/>
      <c r="S2607" s="193"/>
      <c r="T2607" s="192"/>
      <c r="U2607" s="829"/>
      <c r="V2607" s="10"/>
      <c r="W2607" s="10"/>
      <c r="X2607" s="10"/>
      <c r="Y2607" s="10"/>
      <c r="Z2607" s="10"/>
      <c r="AA2607" s="11"/>
      <c r="AB2607" s="11"/>
    </row>
    <row r="2608" spans="2:28" x14ac:dyDescent="0.3">
      <c r="B2608" s="10"/>
      <c r="C2608" s="315"/>
      <c r="D2608" s="868"/>
      <c r="E2608" s="837" t="str">
        <f>IFERROR(IF(_xlfn.XLOOKUP(Imput[[#This Row],[RFC]],'Alta Proveedor'!D:D,'Alta Proveedor'!E:E)=0,"",_xlfn.XLOOKUP(Imput[[#This Row],[RFC]],'Alta Proveedor'!D:D,'Alta Proveedor'!E:E)),"")</f>
        <v/>
      </c>
      <c r="F2608" s="832"/>
      <c r="G2608" s="187"/>
      <c r="H2608" s="1"/>
      <c r="I2608" s="169">
        <f>Imput[[#This Row],[Cantidad]]*Imput[[#This Row],[Precio Unitario]]</f>
        <v>0</v>
      </c>
      <c r="J2608" s="11">
        <f>((Imput[[#This Row],[Sub total]])*(0.16))</f>
        <v>0</v>
      </c>
      <c r="K2608" s="11">
        <v>0</v>
      </c>
      <c r="L2608" s="169">
        <f>Imput[[#This Row],[Sub total]]+Imput[[#This Row],[IVA]]-Imput[[#This Row],[Retención / IEPS / Descuento]]</f>
        <v>0</v>
      </c>
      <c r="M2608" s="844">
        <v>0</v>
      </c>
      <c r="N2608" s="189"/>
      <c r="O2608" s="1"/>
      <c r="P2608" s="189"/>
      <c r="Q2608" s="190"/>
      <c r="R2608" s="188"/>
      <c r="S2608" s="193"/>
      <c r="T2608" s="192"/>
      <c r="U2608" s="829"/>
      <c r="V2608" s="10"/>
      <c r="W2608" s="10"/>
      <c r="X2608" s="10"/>
      <c r="Y2608" s="10"/>
      <c r="Z2608" s="10"/>
      <c r="AA2608" s="11"/>
      <c r="AB2608" s="11"/>
    </row>
    <row r="2609" spans="2:28" x14ac:dyDescent="0.3">
      <c r="B2609" s="10"/>
      <c r="C2609" s="315"/>
      <c r="D2609" s="868"/>
      <c r="E2609" s="837" t="str">
        <f>IFERROR(IF(_xlfn.XLOOKUP(Imput[[#This Row],[RFC]],'Alta Proveedor'!D:D,'Alta Proveedor'!E:E)=0,"",_xlfn.XLOOKUP(Imput[[#This Row],[RFC]],'Alta Proveedor'!D:D,'Alta Proveedor'!E:E)),"")</f>
        <v/>
      </c>
      <c r="F2609" s="832"/>
      <c r="G2609" s="187"/>
      <c r="H2609" s="1"/>
      <c r="I2609" s="169">
        <f>Imput[[#This Row],[Cantidad]]*Imput[[#This Row],[Precio Unitario]]</f>
        <v>0</v>
      </c>
      <c r="J2609" s="11">
        <f>((Imput[[#This Row],[Sub total]])*(0.16))</f>
        <v>0</v>
      </c>
      <c r="K2609" s="11">
        <v>0</v>
      </c>
      <c r="L2609" s="169">
        <f>Imput[[#This Row],[Sub total]]+Imput[[#This Row],[IVA]]-Imput[[#This Row],[Retención / IEPS / Descuento]]</f>
        <v>0</v>
      </c>
      <c r="M2609" s="844">
        <v>0</v>
      </c>
      <c r="N2609" s="189"/>
      <c r="O2609" s="1"/>
      <c r="P2609" s="189"/>
      <c r="Q2609" s="190"/>
      <c r="R2609" s="188"/>
      <c r="S2609" s="193"/>
      <c r="T2609" s="192"/>
      <c r="U2609" s="829"/>
      <c r="V2609" s="10"/>
      <c r="W2609" s="10"/>
      <c r="X2609" s="10"/>
      <c r="Y2609" s="10"/>
      <c r="Z2609" s="10"/>
      <c r="AA2609" s="11"/>
      <c r="AB2609" s="11"/>
    </row>
    <row r="2610" spans="2:28" x14ac:dyDescent="0.3">
      <c r="B2610" s="10"/>
      <c r="C2610" s="315"/>
      <c r="D2610" s="868"/>
      <c r="E2610" s="837" t="str">
        <f>IFERROR(IF(_xlfn.XLOOKUP(Imput[[#This Row],[RFC]],'Alta Proveedor'!D:D,'Alta Proveedor'!E:E)=0,"",_xlfn.XLOOKUP(Imput[[#This Row],[RFC]],'Alta Proveedor'!D:D,'Alta Proveedor'!E:E)),"")</f>
        <v/>
      </c>
      <c r="F2610" s="832"/>
      <c r="G2610" s="187"/>
      <c r="H2610" s="1"/>
      <c r="I2610" s="169">
        <f>Imput[[#This Row],[Cantidad]]*Imput[[#This Row],[Precio Unitario]]</f>
        <v>0</v>
      </c>
      <c r="J2610" s="11">
        <f>((Imput[[#This Row],[Sub total]])*(0.16))</f>
        <v>0</v>
      </c>
      <c r="K2610" s="11">
        <v>0</v>
      </c>
      <c r="L2610" s="169">
        <f>Imput[[#This Row],[Sub total]]+Imput[[#This Row],[IVA]]-Imput[[#This Row],[Retención / IEPS / Descuento]]</f>
        <v>0</v>
      </c>
      <c r="M2610" s="844">
        <v>0</v>
      </c>
      <c r="N2610" s="189"/>
      <c r="O2610" s="1"/>
      <c r="P2610" s="189"/>
      <c r="Q2610" s="190"/>
      <c r="R2610" s="188"/>
      <c r="S2610" s="193"/>
      <c r="T2610" s="192"/>
      <c r="U2610" s="829"/>
      <c r="V2610" s="10"/>
      <c r="W2610" s="10"/>
      <c r="X2610" s="10"/>
      <c r="Y2610" s="10"/>
      <c r="Z2610" s="10"/>
      <c r="AA2610" s="11"/>
      <c r="AB2610" s="11"/>
    </row>
    <row r="2611" spans="2:28" x14ac:dyDescent="0.3">
      <c r="B2611" s="10"/>
      <c r="C2611" s="315"/>
      <c r="D2611" s="868"/>
      <c r="E2611" s="837" t="str">
        <f>IFERROR(IF(_xlfn.XLOOKUP(Imput[[#This Row],[RFC]],'Alta Proveedor'!D:D,'Alta Proveedor'!E:E)=0,"",_xlfn.XLOOKUP(Imput[[#This Row],[RFC]],'Alta Proveedor'!D:D,'Alta Proveedor'!E:E)),"")</f>
        <v/>
      </c>
      <c r="F2611" s="832"/>
      <c r="G2611" s="187"/>
      <c r="H2611" s="1"/>
      <c r="I2611" s="169">
        <f>Imput[[#This Row],[Cantidad]]*Imput[[#This Row],[Precio Unitario]]</f>
        <v>0</v>
      </c>
      <c r="J2611" s="11">
        <f>((Imput[[#This Row],[Sub total]])*(0.16))</f>
        <v>0</v>
      </c>
      <c r="K2611" s="11">
        <v>0</v>
      </c>
      <c r="L2611" s="169">
        <f>Imput[[#This Row],[Sub total]]+Imput[[#This Row],[IVA]]-Imput[[#This Row],[Retención / IEPS / Descuento]]</f>
        <v>0</v>
      </c>
      <c r="M2611" s="844">
        <v>0</v>
      </c>
      <c r="N2611" s="189"/>
      <c r="O2611" s="1"/>
      <c r="P2611" s="189"/>
      <c r="Q2611" s="190"/>
      <c r="R2611" s="188"/>
      <c r="S2611" s="193"/>
      <c r="T2611" s="192"/>
      <c r="U2611" s="829"/>
      <c r="V2611" s="10"/>
      <c r="W2611" s="10"/>
      <c r="X2611" s="10"/>
      <c r="Y2611" s="10"/>
      <c r="Z2611" s="10"/>
      <c r="AA2611" s="11"/>
      <c r="AB2611" s="11"/>
    </row>
    <row r="2612" spans="2:28" x14ac:dyDescent="0.3">
      <c r="B2612" s="10"/>
      <c r="C2612" s="315"/>
      <c r="D2612" s="868"/>
      <c r="E2612" s="837" t="str">
        <f>IFERROR(IF(_xlfn.XLOOKUP(Imput[[#This Row],[RFC]],'Alta Proveedor'!D:D,'Alta Proveedor'!E:E)=0,"",_xlfn.XLOOKUP(Imput[[#This Row],[RFC]],'Alta Proveedor'!D:D,'Alta Proveedor'!E:E)),"")</f>
        <v/>
      </c>
      <c r="F2612" s="832"/>
      <c r="G2612" s="187"/>
      <c r="H2612" s="1"/>
      <c r="I2612" s="169">
        <f>Imput[[#This Row],[Cantidad]]*Imput[[#This Row],[Precio Unitario]]</f>
        <v>0</v>
      </c>
      <c r="J2612" s="11">
        <f>((Imput[[#This Row],[Sub total]])*(0.16))</f>
        <v>0</v>
      </c>
      <c r="K2612" s="11">
        <v>0</v>
      </c>
      <c r="L2612" s="169">
        <f>Imput[[#This Row],[Sub total]]+Imput[[#This Row],[IVA]]-Imput[[#This Row],[Retención / IEPS / Descuento]]</f>
        <v>0</v>
      </c>
      <c r="M2612" s="844">
        <v>0</v>
      </c>
      <c r="N2612" s="189"/>
      <c r="O2612" s="1"/>
      <c r="P2612" s="189"/>
      <c r="Q2612" s="190"/>
      <c r="R2612" s="188"/>
      <c r="S2612" s="193"/>
      <c r="T2612" s="192"/>
      <c r="U2612" s="829"/>
      <c r="V2612" s="10"/>
      <c r="W2612" s="10"/>
      <c r="X2612" s="10"/>
      <c r="Y2612" s="10"/>
      <c r="Z2612" s="10"/>
      <c r="AA2612" s="11"/>
      <c r="AB2612" s="11"/>
    </row>
    <row r="2613" spans="2:28" x14ac:dyDescent="0.3">
      <c r="B2613" s="10"/>
      <c r="C2613" s="315"/>
      <c r="D2613" s="868"/>
      <c r="E2613" s="837" t="str">
        <f>IFERROR(IF(_xlfn.XLOOKUP(Imput[[#This Row],[RFC]],'Alta Proveedor'!D:D,'Alta Proveedor'!E:E)=0,"",_xlfn.XLOOKUP(Imput[[#This Row],[RFC]],'Alta Proveedor'!D:D,'Alta Proveedor'!E:E)),"")</f>
        <v/>
      </c>
      <c r="F2613" s="832"/>
      <c r="G2613" s="187"/>
      <c r="H2613" s="1"/>
      <c r="I2613" s="169">
        <f>Imput[[#This Row],[Cantidad]]*Imput[[#This Row],[Precio Unitario]]</f>
        <v>0</v>
      </c>
      <c r="J2613" s="11">
        <f>((Imput[[#This Row],[Sub total]])*(0.16))</f>
        <v>0</v>
      </c>
      <c r="K2613" s="11">
        <v>0</v>
      </c>
      <c r="L2613" s="169">
        <f>Imput[[#This Row],[Sub total]]+Imput[[#This Row],[IVA]]-Imput[[#This Row],[Retención / IEPS / Descuento]]</f>
        <v>0</v>
      </c>
      <c r="M2613" s="844">
        <v>0</v>
      </c>
      <c r="N2613" s="189"/>
      <c r="O2613" s="1"/>
      <c r="P2613" s="189"/>
      <c r="Q2613" s="190"/>
      <c r="R2613" s="188"/>
      <c r="S2613" s="193"/>
      <c r="T2613" s="192"/>
      <c r="U2613" s="829"/>
      <c r="V2613" s="10"/>
      <c r="W2613" s="10"/>
      <c r="X2613" s="10"/>
      <c r="Y2613" s="10"/>
      <c r="Z2613" s="10"/>
      <c r="AA2613" s="11"/>
      <c r="AB2613" s="11"/>
    </row>
    <row r="2614" spans="2:28" x14ac:dyDescent="0.3">
      <c r="B2614" s="10"/>
      <c r="C2614" s="315"/>
      <c r="D2614" s="868"/>
      <c r="E2614" s="837" t="str">
        <f>IFERROR(IF(_xlfn.XLOOKUP(Imput[[#This Row],[RFC]],'Alta Proveedor'!D:D,'Alta Proveedor'!E:E)=0,"",_xlfn.XLOOKUP(Imput[[#This Row],[RFC]],'Alta Proveedor'!D:D,'Alta Proveedor'!E:E)),"")</f>
        <v/>
      </c>
      <c r="F2614" s="832"/>
      <c r="G2614" s="187"/>
      <c r="H2614" s="1"/>
      <c r="I2614" s="169">
        <f>Imput[[#This Row],[Cantidad]]*Imput[[#This Row],[Precio Unitario]]</f>
        <v>0</v>
      </c>
      <c r="J2614" s="11">
        <f>((Imput[[#This Row],[Sub total]])*(0.16))</f>
        <v>0</v>
      </c>
      <c r="K2614" s="11">
        <v>0</v>
      </c>
      <c r="L2614" s="169">
        <f>Imput[[#This Row],[Sub total]]+Imput[[#This Row],[IVA]]-Imput[[#This Row],[Retención / IEPS / Descuento]]</f>
        <v>0</v>
      </c>
      <c r="M2614" s="844">
        <v>0</v>
      </c>
      <c r="N2614" s="189"/>
      <c r="O2614" s="1"/>
      <c r="P2614" s="189"/>
      <c r="Q2614" s="190"/>
      <c r="R2614" s="188"/>
      <c r="S2614" s="193"/>
      <c r="T2614" s="192"/>
      <c r="U2614" s="829"/>
      <c r="V2614" s="10"/>
      <c r="W2614" s="10"/>
      <c r="X2614" s="10"/>
      <c r="Y2614" s="10"/>
      <c r="Z2614" s="10"/>
      <c r="AA2614" s="11"/>
      <c r="AB2614" s="11"/>
    </row>
    <row r="2615" spans="2:28" x14ac:dyDescent="0.3">
      <c r="B2615" s="10"/>
      <c r="C2615" s="315"/>
      <c r="D2615" s="868"/>
      <c r="E2615" s="837" t="str">
        <f>IFERROR(IF(_xlfn.XLOOKUP(Imput[[#This Row],[RFC]],'Alta Proveedor'!D:D,'Alta Proveedor'!E:E)=0,"",_xlfn.XLOOKUP(Imput[[#This Row],[RFC]],'Alta Proveedor'!D:D,'Alta Proveedor'!E:E)),"")</f>
        <v/>
      </c>
      <c r="F2615" s="832"/>
      <c r="G2615" s="187"/>
      <c r="H2615" s="1"/>
      <c r="I2615" s="169">
        <f>Imput[[#This Row],[Cantidad]]*Imput[[#This Row],[Precio Unitario]]</f>
        <v>0</v>
      </c>
      <c r="J2615" s="11">
        <f>((Imput[[#This Row],[Sub total]])*(0.16))</f>
        <v>0</v>
      </c>
      <c r="K2615" s="11">
        <v>0</v>
      </c>
      <c r="L2615" s="169">
        <f>Imput[[#This Row],[Sub total]]+Imput[[#This Row],[IVA]]-Imput[[#This Row],[Retención / IEPS / Descuento]]</f>
        <v>0</v>
      </c>
      <c r="M2615" s="844">
        <v>0</v>
      </c>
      <c r="N2615" s="189"/>
      <c r="O2615" s="1"/>
      <c r="P2615" s="189"/>
      <c r="Q2615" s="190"/>
      <c r="R2615" s="188"/>
      <c r="S2615" s="193"/>
      <c r="T2615" s="192"/>
      <c r="U2615" s="829"/>
      <c r="V2615" s="10"/>
      <c r="W2615" s="10"/>
      <c r="X2615" s="10"/>
      <c r="Y2615" s="10"/>
      <c r="Z2615" s="10"/>
      <c r="AA2615" s="11"/>
      <c r="AB2615" s="11"/>
    </row>
    <row r="2616" spans="2:28" x14ac:dyDescent="0.3">
      <c r="B2616" s="10"/>
      <c r="C2616" s="315"/>
      <c r="D2616" s="868"/>
      <c r="E2616" s="837" t="str">
        <f>IFERROR(IF(_xlfn.XLOOKUP(Imput[[#This Row],[RFC]],'Alta Proveedor'!D:D,'Alta Proveedor'!E:E)=0,"",_xlfn.XLOOKUP(Imput[[#This Row],[RFC]],'Alta Proveedor'!D:D,'Alta Proveedor'!E:E)),"")</f>
        <v/>
      </c>
      <c r="F2616" s="832"/>
      <c r="G2616" s="187"/>
      <c r="H2616" s="1"/>
      <c r="I2616" s="169">
        <f>Imput[[#This Row],[Cantidad]]*Imput[[#This Row],[Precio Unitario]]</f>
        <v>0</v>
      </c>
      <c r="J2616" s="11">
        <f>((Imput[[#This Row],[Sub total]])*(0.16))</f>
        <v>0</v>
      </c>
      <c r="K2616" s="11">
        <v>0</v>
      </c>
      <c r="L2616" s="169">
        <f>Imput[[#This Row],[Sub total]]+Imput[[#This Row],[IVA]]-Imput[[#This Row],[Retención / IEPS / Descuento]]</f>
        <v>0</v>
      </c>
      <c r="M2616" s="844">
        <v>0</v>
      </c>
      <c r="N2616" s="189"/>
      <c r="O2616" s="1"/>
      <c r="P2616" s="189"/>
      <c r="Q2616" s="190"/>
      <c r="R2616" s="188"/>
      <c r="S2616" s="193"/>
      <c r="T2616" s="192"/>
      <c r="U2616" s="829"/>
      <c r="V2616" s="10"/>
      <c r="W2616" s="10"/>
      <c r="X2616" s="10"/>
      <c r="Y2616" s="10"/>
      <c r="Z2616" s="10"/>
      <c r="AA2616" s="11"/>
      <c r="AB2616" s="11"/>
    </row>
    <row r="2617" spans="2:28" x14ac:dyDescent="0.3">
      <c r="B2617" s="10"/>
      <c r="C2617" s="315"/>
      <c r="D2617" s="868"/>
      <c r="E2617" s="837" t="str">
        <f>IFERROR(IF(_xlfn.XLOOKUP(Imput[[#This Row],[RFC]],'Alta Proveedor'!D:D,'Alta Proveedor'!E:E)=0,"",_xlfn.XLOOKUP(Imput[[#This Row],[RFC]],'Alta Proveedor'!D:D,'Alta Proveedor'!E:E)),"")</f>
        <v/>
      </c>
      <c r="F2617" s="832"/>
      <c r="G2617" s="187"/>
      <c r="H2617" s="1"/>
      <c r="I2617" s="169">
        <f>Imput[[#This Row],[Cantidad]]*Imput[[#This Row],[Precio Unitario]]</f>
        <v>0</v>
      </c>
      <c r="J2617" s="11">
        <f>((Imput[[#This Row],[Sub total]])*(0.16))</f>
        <v>0</v>
      </c>
      <c r="K2617" s="11">
        <v>0</v>
      </c>
      <c r="L2617" s="169">
        <f>Imput[[#This Row],[Sub total]]+Imput[[#This Row],[IVA]]-Imput[[#This Row],[Retención / IEPS / Descuento]]</f>
        <v>0</v>
      </c>
      <c r="M2617" s="844">
        <v>0</v>
      </c>
      <c r="N2617" s="189"/>
      <c r="O2617" s="1"/>
      <c r="P2617" s="189"/>
      <c r="Q2617" s="190"/>
      <c r="R2617" s="188"/>
      <c r="S2617" s="193"/>
      <c r="T2617" s="192"/>
      <c r="U2617" s="829"/>
      <c r="V2617" s="10"/>
      <c r="W2617" s="10"/>
      <c r="X2617" s="10"/>
      <c r="Y2617" s="10"/>
      <c r="Z2617" s="10"/>
      <c r="AA2617" s="11"/>
      <c r="AB2617" s="11"/>
    </row>
    <row r="2618" spans="2:28" x14ac:dyDescent="0.3">
      <c r="B2618" s="10"/>
      <c r="C2618" s="315"/>
      <c r="D2618" s="868"/>
      <c r="E2618" s="837" t="str">
        <f>IFERROR(IF(_xlfn.XLOOKUP(Imput[[#This Row],[RFC]],'Alta Proveedor'!D:D,'Alta Proveedor'!E:E)=0,"",_xlfn.XLOOKUP(Imput[[#This Row],[RFC]],'Alta Proveedor'!D:D,'Alta Proveedor'!E:E)),"")</f>
        <v/>
      </c>
      <c r="F2618" s="832"/>
      <c r="G2618" s="187"/>
      <c r="H2618" s="1"/>
      <c r="I2618" s="169">
        <f>Imput[[#This Row],[Cantidad]]*Imput[[#This Row],[Precio Unitario]]</f>
        <v>0</v>
      </c>
      <c r="J2618" s="11">
        <f>((Imput[[#This Row],[Sub total]])*(0.16))</f>
        <v>0</v>
      </c>
      <c r="K2618" s="11">
        <v>0</v>
      </c>
      <c r="L2618" s="169">
        <f>Imput[[#This Row],[Sub total]]+Imput[[#This Row],[IVA]]-Imput[[#This Row],[Retención / IEPS / Descuento]]</f>
        <v>0</v>
      </c>
      <c r="M2618" s="844">
        <v>0</v>
      </c>
      <c r="N2618" s="189"/>
      <c r="O2618" s="1"/>
      <c r="P2618" s="189"/>
      <c r="Q2618" s="190"/>
      <c r="R2618" s="188"/>
      <c r="S2618" s="193"/>
      <c r="T2618" s="192"/>
      <c r="U2618" s="829"/>
      <c r="V2618" s="10"/>
      <c r="W2618" s="10"/>
      <c r="X2618" s="10"/>
      <c r="Y2618" s="10"/>
      <c r="Z2618" s="10"/>
      <c r="AA2618" s="11"/>
      <c r="AB2618" s="11"/>
    </row>
    <row r="2619" spans="2:28" x14ac:dyDescent="0.3">
      <c r="B2619" s="10"/>
      <c r="C2619" s="315"/>
      <c r="D2619" s="868"/>
      <c r="E2619" s="837" t="str">
        <f>IFERROR(IF(_xlfn.XLOOKUP(Imput[[#This Row],[RFC]],'Alta Proveedor'!D:D,'Alta Proveedor'!E:E)=0,"",_xlfn.XLOOKUP(Imput[[#This Row],[RFC]],'Alta Proveedor'!D:D,'Alta Proveedor'!E:E)),"")</f>
        <v/>
      </c>
      <c r="F2619" s="832"/>
      <c r="G2619" s="187"/>
      <c r="H2619" s="1"/>
      <c r="I2619" s="169">
        <f>Imput[[#This Row],[Cantidad]]*Imput[[#This Row],[Precio Unitario]]</f>
        <v>0</v>
      </c>
      <c r="J2619" s="11">
        <f>((Imput[[#This Row],[Sub total]])*(0.16))</f>
        <v>0</v>
      </c>
      <c r="K2619" s="11">
        <v>0</v>
      </c>
      <c r="L2619" s="169">
        <f>Imput[[#This Row],[Sub total]]+Imput[[#This Row],[IVA]]-Imput[[#This Row],[Retención / IEPS / Descuento]]</f>
        <v>0</v>
      </c>
      <c r="M2619" s="844">
        <v>0</v>
      </c>
      <c r="N2619" s="189"/>
      <c r="O2619" s="1"/>
      <c r="P2619" s="189"/>
      <c r="Q2619" s="190"/>
      <c r="R2619" s="188"/>
      <c r="S2619" s="193"/>
      <c r="T2619" s="192"/>
      <c r="U2619" s="829"/>
      <c r="V2619" s="10"/>
      <c r="W2619" s="10"/>
      <c r="X2619" s="10"/>
      <c r="Y2619" s="10"/>
      <c r="Z2619" s="10"/>
      <c r="AA2619" s="11"/>
      <c r="AB2619" s="11"/>
    </row>
    <row r="2620" spans="2:28" x14ac:dyDescent="0.3">
      <c r="B2620" s="10"/>
      <c r="C2620" s="315"/>
      <c r="D2620" s="868"/>
      <c r="E2620" s="837" t="str">
        <f>IFERROR(IF(_xlfn.XLOOKUP(Imput[[#This Row],[RFC]],'Alta Proveedor'!D:D,'Alta Proveedor'!E:E)=0,"",_xlfn.XLOOKUP(Imput[[#This Row],[RFC]],'Alta Proveedor'!D:D,'Alta Proveedor'!E:E)),"")</f>
        <v/>
      </c>
      <c r="F2620" s="832"/>
      <c r="G2620" s="187"/>
      <c r="H2620" s="1"/>
      <c r="I2620" s="169">
        <f>Imput[[#This Row],[Cantidad]]*Imput[[#This Row],[Precio Unitario]]</f>
        <v>0</v>
      </c>
      <c r="J2620" s="11">
        <f>((Imput[[#This Row],[Sub total]])*(0.16))</f>
        <v>0</v>
      </c>
      <c r="K2620" s="11">
        <v>0</v>
      </c>
      <c r="L2620" s="169">
        <f>Imput[[#This Row],[Sub total]]+Imput[[#This Row],[IVA]]-Imput[[#This Row],[Retención / IEPS / Descuento]]</f>
        <v>0</v>
      </c>
      <c r="M2620" s="844">
        <v>0</v>
      </c>
      <c r="N2620" s="189"/>
      <c r="O2620" s="1"/>
      <c r="P2620" s="189"/>
      <c r="Q2620" s="190"/>
      <c r="R2620" s="188"/>
      <c r="S2620" s="193"/>
      <c r="T2620" s="192"/>
      <c r="U2620" s="829"/>
      <c r="V2620" s="10"/>
      <c r="W2620" s="10"/>
      <c r="X2620" s="10"/>
      <c r="Y2620" s="10"/>
      <c r="Z2620" s="10"/>
      <c r="AA2620" s="11"/>
      <c r="AB2620" s="11"/>
    </row>
    <row r="2621" spans="2:28" x14ac:dyDescent="0.3">
      <c r="B2621" s="10"/>
      <c r="C2621" s="315"/>
      <c r="D2621" s="868"/>
      <c r="E2621" s="837" t="str">
        <f>IFERROR(IF(_xlfn.XLOOKUP(Imput[[#This Row],[RFC]],'Alta Proveedor'!D:D,'Alta Proveedor'!E:E)=0,"",_xlfn.XLOOKUP(Imput[[#This Row],[RFC]],'Alta Proveedor'!D:D,'Alta Proveedor'!E:E)),"")</f>
        <v/>
      </c>
      <c r="F2621" s="832"/>
      <c r="G2621" s="187"/>
      <c r="H2621" s="1"/>
      <c r="I2621" s="169">
        <f>Imput[[#This Row],[Cantidad]]*Imput[[#This Row],[Precio Unitario]]</f>
        <v>0</v>
      </c>
      <c r="J2621" s="11">
        <f>((Imput[[#This Row],[Sub total]])*(0.16))</f>
        <v>0</v>
      </c>
      <c r="K2621" s="11">
        <v>0</v>
      </c>
      <c r="L2621" s="169">
        <f>Imput[[#This Row],[Sub total]]+Imput[[#This Row],[IVA]]-Imput[[#This Row],[Retención / IEPS / Descuento]]</f>
        <v>0</v>
      </c>
      <c r="M2621" s="844">
        <v>0</v>
      </c>
      <c r="N2621" s="189"/>
      <c r="O2621" s="1"/>
      <c r="P2621" s="189"/>
      <c r="Q2621" s="190"/>
      <c r="R2621" s="188"/>
      <c r="S2621" s="193"/>
      <c r="T2621" s="192"/>
      <c r="U2621" s="829"/>
      <c r="V2621" s="10"/>
      <c r="W2621" s="10"/>
      <c r="X2621" s="10"/>
      <c r="Y2621" s="10"/>
      <c r="Z2621" s="10"/>
      <c r="AA2621" s="11"/>
      <c r="AB2621" s="11"/>
    </row>
    <row r="2622" spans="2:28" x14ac:dyDescent="0.3">
      <c r="B2622" s="10"/>
      <c r="C2622" s="315"/>
      <c r="D2622" s="868"/>
      <c r="E2622" s="837" t="str">
        <f>IFERROR(IF(_xlfn.XLOOKUP(Imput[[#This Row],[RFC]],'Alta Proveedor'!D:D,'Alta Proveedor'!E:E)=0,"",_xlfn.XLOOKUP(Imput[[#This Row],[RFC]],'Alta Proveedor'!D:D,'Alta Proveedor'!E:E)),"")</f>
        <v/>
      </c>
      <c r="F2622" s="832"/>
      <c r="G2622" s="187"/>
      <c r="H2622" s="1"/>
      <c r="I2622" s="169">
        <f>Imput[[#This Row],[Cantidad]]*Imput[[#This Row],[Precio Unitario]]</f>
        <v>0</v>
      </c>
      <c r="J2622" s="11">
        <f>((Imput[[#This Row],[Sub total]])*(0.16))</f>
        <v>0</v>
      </c>
      <c r="K2622" s="11">
        <v>0</v>
      </c>
      <c r="L2622" s="169">
        <f>Imput[[#This Row],[Sub total]]+Imput[[#This Row],[IVA]]-Imput[[#This Row],[Retención / IEPS / Descuento]]</f>
        <v>0</v>
      </c>
      <c r="M2622" s="844">
        <v>0</v>
      </c>
      <c r="N2622" s="189"/>
      <c r="O2622" s="1"/>
      <c r="P2622" s="189"/>
      <c r="Q2622" s="190"/>
      <c r="R2622" s="188"/>
      <c r="S2622" s="193"/>
      <c r="T2622" s="192"/>
      <c r="U2622" s="829"/>
      <c r="V2622" s="10"/>
      <c r="W2622" s="10"/>
      <c r="X2622" s="10"/>
      <c r="Y2622" s="10"/>
      <c r="Z2622" s="10"/>
      <c r="AA2622" s="11"/>
      <c r="AB2622" s="11"/>
    </row>
    <row r="2623" spans="2:28" x14ac:dyDescent="0.3">
      <c r="B2623" s="10"/>
      <c r="C2623" s="315"/>
      <c r="D2623" s="868"/>
      <c r="E2623" s="837" t="str">
        <f>IFERROR(IF(_xlfn.XLOOKUP(Imput[[#This Row],[RFC]],'Alta Proveedor'!D:D,'Alta Proveedor'!E:E)=0,"",_xlfn.XLOOKUP(Imput[[#This Row],[RFC]],'Alta Proveedor'!D:D,'Alta Proveedor'!E:E)),"")</f>
        <v/>
      </c>
      <c r="F2623" s="832"/>
      <c r="G2623" s="187"/>
      <c r="H2623" s="1"/>
      <c r="I2623" s="169">
        <f>Imput[[#This Row],[Cantidad]]*Imput[[#This Row],[Precio Unitario]]</f>
        <v>0</v>
      </c>
      <c r="J2623" s="11">
        <f>((Imput[[#This Row],[Sub total]])*(0.16))</f>
        <v>0</v>
      </c>
      <c r="K2623" s="11">
        <v>0</v>
      </c>
      <c r="L2623" s="169">
        <f>Imput[[#This Row],[Sub total]]+Imput[[#This Row],[IVA]]-Imput[[#This Row],[Retención / IEPS / Descuento]]</f>
        <v>0</v>
      </c>
      <c r="M2623" s="844">
        <v>0</v>
      </c>
      <c r="N2623" s="189"/>
      <c r="O2623" s="1"/>
      <c r="P2623" s="189"/>
      <c r="Q2623" s="190"/>
      <c r="R2623" s="188"/>
      <c r="S2623" s="193"/>
      <c r="T2623" s="192"/>
      <c r="U2623" s="829"/>
      <c r="V2623" s="10"/>
      <c r="W2623" s="10"/>
      <c r="X2623" s="10"/>
      <c r="Y2623" s="10"/>
      <c r="Z2623" s="10"/>
      <c r="AA2623" s="11"/>
      <c r="AB2623" s="11"/>
    </row>
    <row r="2624" spans="2:28" x14ac:dyDescent="0.3">
      <c r="B2624" s="10"/>
      <c r="C2624" s="315"/>
      <c r="D2624" s="868"/>
      <c r="E2624" s="837" t="str">
        <f>IFERROR(IF(_xlfn.XLOOKUP(Imput[[#This Row],[RFC]],'Alta Proveedor'!D:D,'Alta Proveedor'!E:E)=0,"",_xlfn.XLOOKUP(Imput[[#This Row],[RFC]],'Alta Proveedor'!D:D,'Alta Proveedor'!E:E)),"")</f>
        <v/>
      </c>
      <c r="F2624" s="832"/>
      <c r="G2624" s="187"/>
      <c r="H2624" s="1"/>
      <c r="I2624" s="169">
        <f>Imput[[#This Row],[Cantidad]]*Imput[[#This Row],[Precio Unitario]]</f>
        <v>0</v>
      </c>
      <c r="J2624" s="11">
        <f>((Imput[[#This Row],[Sub total]])*(0.16))</f>
        <v>0</v>
      </c>
      <c r="K2624" s="11">
        <v>0</v>
      </c>
      <c r="L2624" s="169">
        <f>Imput[[#This Row],[Sub total]]+Imput[[#This Row],[IVA]]-Imput[[#This Row],[Retención / IEPS / Descuento]]</f>
        <v>0</v>
      </c>
      <c r="M2624" s="844">
        <v>0</v>
      </c>
      <c r="N2624" s="189"/>
      <c r="O2624" s="1"/>
      <c r="P2624" s="189"/>
      <c r="Q2624" s="190"/>
      <c r="R2624" s="188"/>
      <c r="S2624" s="193"/>
      <c r="T2624" s="192"/>
      <c r="U2624" s="829"/>
      <c r="V2624" s="10"/>
      <c r="W2624" s="10"/>
      <c r="X2624" s="10"/>
      <c r="Y2624" s="10"/>
      <c r="Z2624" s="10"/>
      <c r="AA2624" s="11"/>
      <c r="AB2624" s="11"/>
    </row>
    <row r="2625" spans="2:28" x14ac:dyDescent="0.3">
      <c r="B2625" s="10"/>
      <c r="C2625" s="315"/>
      <c r="D2625" s="868"/>
      <c r="E2625" s="837" t="str">
        <f>IFERROR(IF(_xlfn.XLOOKUP(Imput[[#This Row],[RFC]],'Alta Proveedor'!D:D,'Alta Proveedor'!E:E)=0,"",_xlfn.XLOOKUP(Imput[[#This Row],[RFC]],'Alta Proveedor'!D:D,'Alta Proveedor'!E:E)),"")</f>
        <v/>
      </c>
      <c r="F2625" s="832"/>
      <c r="G2625" s="187"/>
      <c r="H2625" s="1"/>
      <c r="I2625" s="169">
        <f>Imput[[#This Row],[Cantidad]]*Imput[[#This Row],[Precio Unitario]]</f>
        <v>0</v>
      </c>
      <c r="J2625" s="11">
        <f>((Imput[[#This Row],[Sub total]])*(0.16))</f>
        <v>0</v>
      </c>
      <c r="K2625" s="11">
        <v>0</v>
      </c>
      <c r="L2625" s="169">
        <f>Imput[[#This Row],[Sub total]]+Imput[[#This Row],[IVA]]-Imput[[#This Row],[Retención / IEPS / Descuento]]</f>
        <v>0</v>
      </c>
      <c r="M2625" s="844">
        <v>0</v>
      </c>
      <c r="N2625" s="189"/>
      <c r="O2625" s="1"/>
      <c r="P2625" s="189"/>
      <c r="Q2625" s="190"/>
      <c r="R2625" s="188"/>
      <c r="S2625" s="193"/>
      <c r="T2625" s="192"/>
      <c r="U2625" s="829"/>
      <c r="V2625" s="10"/>
      <c r="W2625" s="10"/>
      <c r="X2625" s="10"/>
      <c r="Y2625" s="10"/>
      <c r="Z2625" s="10"/>
      <c r="AA2625" s="11"/>
      <c r="AB2625" s="11"/>
    </row>
    <row r="2626" spans="2:28" x14ac:dyDescent="0.3">
      <c r="B2626" s="10"/>
      <c r="C2626" s="315"/>
      <c r="D2626" s="868"/>
      <c r="E2626" s="837" t="str">
        <f>IFERROR(IF(_xlfn.XLOOKUP(Imput[[#This Row],[RFC]],'Alta Proveedor'!D:D,'Alta Proveedor'!E:E)=0,"",_xlfn.XLOOKUP(Imput[[#This Row],[RFC]],'Alta Proveedor'!D:D,'Alta Proveedor'!E:E)),"")</f>
        <v/>
      </c>
      <c r="F2626" s="832"/>
      <c r="G2626" s="187"/>
      <c r="H2626" s="1"/>
      <c r="I2626" s="169">
        <f>Imput[[#This Row],[Cantidad]]*Imput[[#This Row],[Precio Unitario]]</f>
        <v>0</v>
      </c>
      <c r="J2626" s="11">
        <f>((Imput[[#This Row],[Sub total]])*(0.16))</f>
        <v>0</v>
      </c>
      <c r="K2626" s="11">
        <v>0</v>
      </c>
      <c r="L2626" s="169">
        <f>Imput[[#This Row],[Sub total]]+Imput[[#This Row],[IVA]]-Imput[[#This Row],[Retención / IEPS / Descuento]]</f>
        <v>0</v>
      </c>
      <c r="M2626" s="844">
        <v>0</v>
      </c>
      <c r="N2626" s="189"/>
      <c r="O2626" s="1"/>
      <c r="P2626" s="189"/>
      <c r="Q2626" s="190"/>
      <c r="R2626" s="188"/>
      <c r="S2626" s="193"/>
      <c r="T2626" s="192"/>
      <c r="U2626" s="829"/>
      <c r="V2626" s="10"/>
      <c r="W2626" s="10"/>
      <c r="X2626" s="10"/>
      <c r="Y2626" s="10"/>
      <c r="Z2626" s="10"/>
      <c r="AA2626" s="11"/>
      <c r="AB2626" s="11"/>
    </row>
    <row r="2627" spans="2:28" x14ac:dyDescent="0.3">
      <c r="B2627" s="10"/>
      <c r="C2627" s="315"/>
      <c r="D2627" s="868"/>
      <c r="E2627" s="837" t="str">
        <f>IFERROR(IF(_xlfn.XLOOKUP(Imput[[#This Row],[RFC]],'Alta Proveedor'!D:D,'Alta Proveedor'!E:E)=0,"",_xlfn.XLOOKUP(Imput[[#This Row],[RFC]],'Alta Proveedor'!D:D,'Alta Proveedor'!E:E)),"")</f>
        <v/>
      </c>
      <c r="F2627" s="832"/>
      <c r="G2627" s="187"/>
      <c r="H2627" s="1"/>
      <c r="I2627" s="169">
        <f>Imput[[#This Row],[Cantidad]]*Imput[[#This Row],[Precio Unitario]]</f>
        <v>0</v>
      </c>
      <c r="J2627" s="11">
        <f>((Imput[[#This Row],[Sub total]])*(0.16))</f>
        <v>0</v>
      </c>
      <c r="K2627" s="11">
        <v>0</v>
      </c>
      <c r="L2627" s="169">
        <f>Imput[[#This Row],[Sub total]]+Imput[[#This Row],[IVA]]-Imput[[#This Row],[Retención / IEPS / Descuento]]</f>
        <v>0</v>
      </c>
      <c r="M2627" s="844">
        <v>0</v>
      </c>
      <c r="N2627" s="189"/>
      <c r="O2627" s="1"/>
      <c r="P2627" s="189"/>
      <c r="Q2627" s="190"/>
      <c r="R2627" s="188"/>
      <c r="S2627" s="193"/>
      <c r="T2627" s="192"/>
      <c r="U2627" s="829"/>
      <c r="V2627" s="10"/>
      <c r="W2627" s="10"/>
      <c r="X2627" s="10"/>
      <c r="Y2627" s="10"/>
      <c r="Z2627" s="10"/>
      <c r="AA2627" s="11"/>
      <c r="AB2627" s="11"/>
    </row>
    <row r="2628" spans="2:28" x14ac:dyDescent="0.3">
      <c r="B2628" s="10"/>
      <c r="C2628" s="315"/>
      <c r="D2628" s="868"/>
      <c r="E2628" s="837" t="str">
        <f>IFERROR(IF(_xlfn.XLOOKUP(Imput[[#This Row],[RFC]],'Alta Proveedor'!D:D,'Alta Proveedor'!E:E)=0,"",_xlfn.XLOOKUP(Imput[[#This Row],[RFC]],'Alta Proveedor'!D:D,'Alta Proveedor'!E:E)),"")</f>
        <v/>
      </c>
      <c r="F2628" s="832"/>
      <c r="G2628" s="187"/>
      <c r="H2628" s="1"/>
      <c r="I2628" s="169">
        <f>Imput[[#This Row],[Cantidad]]*Imput[[#This Row],[Precio Unitario]]</f>
        <v>0</v>
      </c>
      <c r="J2628" s="11">
        <f>((Imput[[#This Row],[Sub total]])*(0.16))</f>
        <v>0</v>
      </c>
      <c r="K2628" s="11">
        <v>0</v>
      </c>
      <c r="L2628" s="169">
        <f>Imput[[#This Row],[Sub total]]+Imput[[#This Row],[IVA]]-Imput[[#This Row],[Retención / IEPS / Descuento]]</f>
        <v>0</v>
      </c>
      <c r="M2628" s="844">
        <v>0</v>
      </c>
      <c r="N2628" s="189"/>
      <c r="O2628" s="1"/>
      <c r="P2628" s="189"/>
      <c r="Q2628" s="190"/>
      <c r="R2628" s="188"/>
      <c r="S2628" s="193"/>
      <c r="T2628" s="192"/>
      <c r="U2628" s="829"/>
      <c r="V2628" s="10"/>
      <c r="W2628" s="10"/>
      <c r="X2628" s="10"/>
      <c r="Y2628" s="10"/>
      <c r="Z2628" s="10"/>
      <c r="AA2628" s="11"/>
      <c r="AB2628" s="11"/>
    </row>
    <row r="2629" spans="2:28" x14ac:dyDescent="0.3">
      <c r="B2629" s="10"/>
      <c r="C2629" s="315"/>
      <c r="D2629" s="868"/>
      <c r="E2629" s="837" t="str">
        <f>IFERROR(IF(_xlfn.XLOOKUP(Imput[[#This Row],[RFC]],'Alta Proveedor'!D:D,'Alta Proveedor'!E:E)=0,"",_xlfn.XLOOKUP(Imput[[#This Row],[RFC]],'Alta Proveedor'!D:D,'Alta Proveedor'!E:E)),"")</f>
        <v/>
      </c>
      <c r="F2629" s="832"/>
      <c r="G2629" s="187"/>
      <c r="H2629" s="1"/>
      <c r="I2629" s="169">
        <f>Imput[[#This Row],[Cantidad]]*Imput[[#This Row],[Precio Unitario]]</f>
        <v>0</v>
      </c>
      <c r="J2629" s="11">
        <f>((Imput[[#This Row],[Sub total]])*(0.16))</f>
        <v>0</v>
      </c>
      <c r="K2629" s="11">
        <v>0</v>
      </c>
      <c r="L2629" s="169">
        <f>Imput[[#This Row],[Sub total]]+Imput[[#This Row],[IVA]]-Imput[[#This Row],[Retención / IEPS / Descuento]]</f>
        <v>0</v>
      </c>
      <c r="M2629" s="844">
        <v>0</v>
      </c>
      <c r="N2629" s="189"/>
      <c r="O2629" s="1"/>
      <c r="P2629" s="189"/>
      <c r="Q2629" s="190"/>
      <c r="R2629" s="188"/>
      <c r="S2629" s="193"/>
      <c r="T2629" s="192"/>
      <c r="U2629" s="829"/>
      <c r="V2629" s="10"/>
      <c r="W2629" s="10"/>
      <c r="X2629" s="10"/>
      <c r="Y2629" s="10"/>
      <c r="Z2629" s="10"/>
      <c r="AA2629" s="11"/>
      <c r="AB2629" s="11"/>
    </row>
    <row r="2630" spans="2:28" x14ac:dyDescent="0.3">
      <c r="B2630" s="10"/>
      <c r="C2630" s="315"/>
      <c r="D2630" s="868"/>
      <c r="E2630" s="837" t="str">
        <f>IFERROR(IF(_xlfn.XLOOKUP(Imput[[#This Row],[RFC]],'Alta Proveedor'!D:D,'Alta Proveedor'!E:E)=0,"",_xlfn.XLOOKUP(Imput[[#This Row],[RFC]],'Alta Proveedor'!D:D,'Alta Proveedor'!E:E)),"")</f>
        <v/>
      </c>
      <c r="F2630" s="832"/>
      <c r="G2630" s="187"/>
      <c r="H2630" s="1"/>
      <c r="I2630" s="169">
        <f>Imput[[#This Row],[Cantidad]]*Imput[[#This Row],[Precio Unitario]]</f>
        <v>0</v>
      </c>
      <c r="J2630" s="11">
        <f>((Imput[[#This Row],[Sub total]])*(0.16))</f>
        <v>0</v>
      </c>
      <c r="K2630" s="11">
        <v>0</v>
      </c>
      <c r="L2630" s="169">
        <f>Imput[[#This Row],[Sub total]]+Imput[[#This Row],[IVA]]-Imput[[#This Row],[Retención / IEPS / Descuento]]</f>
        <v>0</v>
      </c>
      <c r="M2630" s="844">
        <v>0</v>
      </c>
      <c r="N2630" s="189"/>
      <c r="O2630" s="1"/>
      <c r="P2630" s="189"/>
      <c r="Q2630" s="190"/>
      <c r="R2630" s="188"/>
      <c r="S2630" s="193"/>
      <c r="T2630" s="192"/>
      <c r="U2630" s="829"/>
      <c r="V2630" s="10"/>
      <c r="W2630" s="10"/>
      <c r="X2630" s="10"/>
      <c r="Y2630" s="10"/>
      <c r="Z2630" s="10"/>
      <c r="AA2630" s="11"/>
      <c r="AB2630" s="11"/>
    </row>
    <row r="2631" spans="2:28" x14ac:dyDescent="0.3">
      <c r="B2631" s="10"/>
      <c r="C2631" s="315"/>
      <c r="D2631" s="868"/>
      <c r="E2631" s="837" t="str">
        <f>IFERROR(IF(_xlfn.XLOOKUP(Imput[[#This Row],[RFC]],'Alta Proveedor'!D:D,'Alta Proveedor'!E:E)=0,"",_xlfn.XLOOKUP(Imput[[#This Row],[RFC]],'Alta Proveedor'!D:D,'Alta Proveedor'!E:E)),"")</f>
        <v/>
      </c>
      <c r="F2631" s="832"/>
      <c r="G2631" s="187"/>
      <c r="H2631" s="1"/>
      <c r="I2631" s="169">
        <f>Imput[[#This Row],[Cantidad]]*Imput[[#This Row],[Precio Unitario]]</f>
        <v>0</v>
      </c>
      <c r="J2631" s="11">
        <f>((Imput[[#This Row],[Sub total]])*(0.16))</f>
        <v>0</v>
      </c>
      <c r="K2631" s="11">
        <v>0</v>
      </c>
      <c r="L2631" s="169">
        <f>Imput[[#This Row],[Sub total]]+Imput[[#This Row],[IVA]]-Imput[[#This Row],[Retención / IEPS / Descuento]]</f>
        <v>0</v>
      </c>
      <c r="M2631" s="844">
        <v>0</v>
      </c>
      <c r="N2631" s="189"/>
      <c r="O2631" s="1"/>
      <c r="P2631" s="189"/>
      <c r="Q2631" s="190"/>
      <c r="R2631" s="188"/>
      <c r="S2631" s="193"/>
      <c r="T2631" s="192"/>
      <c r="U2631" s="829"/>
      <c r="V2631" s="10"/>
      <c r="W2631" s="10"/>
      <c r="X2631" s="10"/>
      <c r="Y2631" s="10"/>
      <c r="Z2631" s="10"/>
      <c r="AA2631" s="11"/>
      <c r="AB2631" s="11"/>
    </row>
    <row r="2632" spans="2:28" x14ac:dyDescent="0.3">
      <c r="B2632" s="10"/>
      <c r="C2632" s="315"/>
      <c r="D2632" s="868"/>
      <c r="E2632" s="837" t="str">
        <f>IFERROR(IF(_xlfn.XLOOKUP(Imput[[#This Row],[RFC]],'Alta Proveedor'!D:D,'Alta Proveedor'!E:E)=0,"",_xlfn.XLOOKUP(Imput[[#This Row],[RFC]],'Alta Proveedor'!D:D,'Alta Proveedor'!E:E)),"")</f>
        <v/>
      </c>
      <c r="F2632" s="832"/>
      <c r="G2632" s="187"/>
      <c r="H2632" s="1"/>
      <c r="I2632" s="169">
        <f>Imput[[#This Row],[Cantidad]]*Imput[[#This Row],[Precio Unitario]]</f>
        <v>0</v>
      </c>
      <c r="J2632" s="11">
        <f>((Imput[[#This Row],[Sub total]])*(0.16))</f>
        <v>0</v>
      </c>
      <c r="K2632" s="11">
        <v>0</v>
      </c>
      <c r="L2632" s="169">
        <f>Imput[[#This Row],[Sub total]]+Imput[[#This Row],[IVA]]-Imput[[#This Row],[Retención / IEPS / Descuento]]</f>
        <v>0</v>
      </c>
      <c r="M2632" s="844">
        <v>0</v>
      </c>
      <c r="N2632" s="189"/>
      <c r="O2632" s="1"/>
      <c r="P2632" s="189"/>
      <c r="Q2632" s="190"/>
      <c r="R2632" s="188"/>
      <c r="S2632" s="193"/>
      <c r="T2632" s="192"/>
      <c r="U2632" s="829"/>
      <c r="V2632" s="10"/>
      <c r="W2632" s="10"/>
      <c r="X2632" s="10"/>
      <c r="Y2632" s="10"/>
      <c r="Z2632" s="10"/>
      <c r="AA2632" s="11"/>
      <c r="AB2632" s="11"/>
    </row>
    <row r="2633" spans="2:28" x14ac:dyDescent="0.3">
      <c r="B2633" s="10"/>
      <c r="C2633" s="315"/>
      <c r="D2633" s="868"/>
      <c r="E2633" s="837" t="str">
        <f>IFERROR(IF(_xlfn.XLOOKUP(Imput[[#This Row],[RFC]],'Alta Proveedor'!D:D,'Alta Proveedor'!E:E)=0,"",_xlfn.XLOOKUP(Imput[[#This Row],[RFC]],'Alta Proveedor'!D:D,'Alta Proveedor'!E:E)),"")</f>
        <v/>
      </c>
      <c r="F2633" s="832"/>
      <c r="G2633" s="187"/>
      <c r="H2633" s="1"/>
      <c r="I2633" s="169">
        <f>Imput[[#This Row],[Cantidad]]*Imput[[#This Row],[Precio Unitario]]</f>
        <v>0</v>
      </c>
      <c r="J2633" s="11">
        <f>((Imput[[#This Row],[Sub total]])*(0.16))</f>
        <v>0</v>
      </c>
      <c r="K2633" s="11">
        <v>0</v>
      </c>
      <c r="L2633" s="169">
        <f>Imput[[#This Row],[Sub total]]+Imput[[#This Row],[IVA]]-Imput[[#This Row],[Retención / IEPS / Descuento]]</f>
        <v>0</v>
      </c>
      <c r="M2633" s="844">
        <v>0</v>
      </c>
      <c r="N2633" s="189"/>
      <c r="O2633" s="1"/>
      <c r="P2633" s="189"/>
      <c r="Q2633" s="190"/>
      <c r="R2633" s="188"/>
      <c r="S2633" s="193"/>
      <c r="T2633" s="192"/>
      <c r="U2633" s="829"/>
      <c r="V2633" s="10"/>
      <c r="W2633" s="10"/>
      <c r="X2633" s="10"/>
      <c r="Y2633" s="10"/>
      <c r="Z2633" s="10"/>
      <c r="AA2633" s="11"/>
      <c r="AB2633" s="11"/>
    </row>
    <row r="2634" spans="2:28" x14ac:dyDescent="0.3">
      <c r="B2634" s="10"/>
      <c r="C2634" s="315"/>
      <c r="D2634" s="868"/>
      <c r="E2634" s="837" t="str">
        <f>IFERROR(IF(_xlfn.XLOOKUP(Imput[[#This Row],[RFC]],'Alta Proveedor'!D:D,'Alta Proveedor'!E:E)=0,"",_xlfn.XLOOKUP(Imput[[#This Row],[RFC]],'Alta Proveedor'!D:D,'Alta Proveedor'!E:E)),"")</f>
        <v/>
      </c>
      <c r="F2634" s="832"/>
      <c r="G2634" s="187"/>
      <c r="H2634" s="1"/>
      <c r="I2634" s="169">
        <f>Imput[[#This Row],[Cantidad]]*Imput[[#This Row],[Precio Unitario]]</f>
        <v>0</v>
      </c>
      <c r="J2634" s="11">
        <f>((Imput[[#This Row],[Sub total]])*(0.16))</f>
        <v>0</v>
      </c>
      <c r="K2634" s="11">
        <v>0</v>
      </c>
      <c r="L2634" s="169">
        <f>Imput[[#This Row],[Sub total]]+Imput[[#This Row],[IVA]]-Imput[[#This Row],[Retención / IEPS / Descuento]]</f>
        <v>0</v>
      </c>
      <c r="M2634" s="844">
        <v>0</v>
      </c>
      <c r="N2634" s="189"/>
      <c r="O2634" s="1"/>
      <c r="P2634" s="189"/>
      <c r="Q2634" s="190"/>
      <c r="R2634" s="188"/>
      <c r="S2634" s="193"/>
      <c r="T2634" s="192"/>
      <c r="U2634" s="829"/>
      <c r="V2634" s="10"/>
      <c r="W2634" s="10"/>
      <c r="X2634" s="10"/>
      <c r="Y2634" s="10"/>
      <c r="Z2634" s="10"/>
      <c r="AA2634" s="11"/>
      <c r="AB2634" s="11"/>
    </row>
    <row r="2635" spans="2:28" x14ac:dyDescent="0.3">
      <c r="B2635" s="10"/>
      <c r="C2635" s="315"/>
      <c r="D2635" s="868"/>
      <c r="E2635" s="837" t="str">
        <f>IFERROR(IF(_xlfn.XLOOKUP(Imput[[#This Row],[RFC]],'Alta Proveedor'!D:D,'Alta Proveedor'!E:E)=0,"",_xlfn.XLOOKUP(Imput[[#This Row],[RFC]],'Alta Proveedor'!D:D,'Alta Proveedor'!E:E)),"")</f>
        <v/>
      </c>
      <c r="F2635" s="832"/>
      <c r="G2635" s="187"/>
      <c r="H2635" s="1"/>
      <c r="I2635" s="169">
        <f>Imput[[#This Row],[Cantidad]]*Imput[[#This Row],[Precio Unitario]]</f>
        <v>0</v>
      </c>
      <c r="J2635" s="11">
        <f>((Imput[[#This Row],[Sub total]])*(0.16))</f>
        <v>0</v>
      </c>
      <c r="K2635" s="11">
        <v>0</v>
      </c>
      <c r="L2635" s="169">
        <f>Imput[[#This Row],[Sub total]]+Imput[[#This Row],[IVA]]-Imput[[#This Row],[Retención / IEPS / Descuento]]</f>
        <v>0</v>
      </c>
      <c r="M2635" s="844">
        <v>0</v>
      </c>
      <c r="N2635" s="189"/>
      <c r="O2635" s="1"/>
      <c r="P2635" s="189"/>
      <c r="Q2635" s="190"/>
      <c r="R2635" s="188"/>
      <c r="S2635" s="193"/>
      <c r="T2635" s="192"/>
      <c r="U2635" s="829"/>
      <c r="V2635" s="10"/>
      <c r="W2635" s="10"/>
      <c r="X2635" s="10"/>
      <c r="Y2635" s="10"/>
      <c r="Z2635" s="10"/>
      <c r="AA2635" s="11"/>
      <c r="AB2635" s="11"/>
    </row>
    <row r="2636" spans="2:28" x14ac:dyDescent="0.3">
      <c r="B2636" s="10"/>
      <c r="C2636" s="315"/>
      <c r="D2636" s="868"/>
      <c r="E2636" s="837" t="str">
        <f>IFERROR(IF(_xlfn.XLOOKUP(Imput[[#This Row],[RFC]],'Alta Proveedor'!D:D,'Alta Proveedor'!E:E)=0,"",_xlfn.XLOOKUP(Imput[[#This Row],[RFC]],'Alta Proveedor'!D:D,'Alta Proveedor'!E:E)),"")</f>
        <v/>
      </c>
      <c r="F2636" s="832"/>
      <c r="G2636" s="187"/>
      <c r="H2636" s="1"/>
      <c r="I2636" s="169">
        <f>Imput[[#This Row],[Cantidad]]*Imput[[#This Row],[Precio Unitario]]</f>
        <v>0</v>
      </c>
      <c r="J2636" s="11">
        <f>((Imput[[#This Row],[Sub total]])*(0.16))</f>
        <v>0</v>
      </c>
      <c r="K2636" s="11">
        <v>0</v>
      </c>
      <c r="L2636" s="169">
        <f>Imput[[#This Row],[Sub total]]+Imput[[#This Row],[IVA]]-Imput[[#This Row],[Retención / IEPS / Descuento]]</f>
        <v>0</v>
      </c>
      <c r="M2636" s="844">
        <v>0</v>
      </c>
      <c r="N2636" s="189"/>
      <c r="O2636" s="1"/>
      <c r="P2636" s="189"/>
      <c r="Q2636" s="190"/>
      <c r="R2636" s="188"/>
      <c r="S2636" s="193"/>
      <c r="T2636" s="192"/>
      <c r="U2636" s="829"/>
      <c r="V2636" s="10"/>
      <c r="W2636" s="10"/>
      <c r="X2636" s="10"/>
      <c r="Y2636" s="10"/>
      <c r="Z2636" s="10"/>
      <c r="AA2636" s="11"/>
      <c r="AB2636" s="11"/>
    </row>
    <row r="2637" spans="2:28" x14ac:dyDescent="0.3">
      <c r="B2637" s="10"/>
      <c r="C2637" s="315"/>
      <c r="D2637" s="868"/>
      <c r="E2637" s="837" t="str">
        <f>IFERROR(IF(_xlfn.XLOOKUP(Imput[[#This Row],[RFC]],'Alta Proveedor'!D:D,'Alta Proveedor'!E:E)=0,"",_xlfn.XLOOKUP(Imput[[#This Row],[RFC]],'Alta Proveedor'!D:D,'Alta Proveedor'!E:E)),"")</f>
        <v/>
      </c>
      <c r="F2637" s="832"/>
      <c r="G2637" s="187"/>
      <c r="H2637" s="1"/>
      <c r="I2637" s="169">
        <f>Imput[[#This Row],[Cantidad]]*Imput[[#This Row],[Precio Unitario]]</f>
        <v>0</v>
      </c>
      <c r="J2637" s="11">
        <f>((Imput[[#This Row],[Sub total]])*(0.16))</f>
        <v>0</v>
      </c>
      <c r="K2637" s="11">
        <v>0</v>
      </c>
      <c r="L2637" s="169">
        <f>Imput[[#This Row],[Sub total]]+Imput[[#This Row],[IVA]]-Imput[[#This Row],[Retención / IEPS / Descuento]]</f>
        <v>0</v>
      </c>
      <c r="M2637" s="844">
        <v>0</v>
      </c>
      <c r="N2637" s="189"/>
      <c r="O2637" s="1"/>
      <c r="P2637" s="189"/>
      <c r="Q2637" s="190"/>
      <c r="R2637" s="188"/>
      <c r="S2637" s="193"/>
      <c r="T2637" s="192"/>
      <c r="U2637" s="829"/>
      <c r="V2637" s="10"/>
      <c r="W2637" s="10"/>
      <c r="X2637" s="10"/>
      <c r="Y2637" s="10"/>
      <c r="Z2637" s="10"/>
      <c r="AA2637" s="11"/>
      <c r="AB2637" s="11"/>
    </row>
    <row r="2638" spans="2:28" x14ac:dyDescent="0.3">
      <c r="B2638" s="10"/>
      <c r="C2638" s="315"/>
      <c r="D2638" s="868"/>
      <c r="E2638" s="837" t="str">
        <f>IFERROR(IF(_xlfn.XLOOKUP(Imput[[#This Row],[RFC]],'Alta Proveedor'!D:D,'Alta Proveedor'!E:E)=0,"",_xlfn.XLOOKUP(Imput[[#This Row],[RFC]],'Alta Proveedor'!D:D,'Alta Proveedor'!E:E)),"")</f>
        <v/>
      </c>
      <c r="F2638" s="832"/>
      <c r="G2638" s="187"/>
      <c r="H2638" s="1"/>
      <c r="I2638" s="169">
        <f>Imput[[#This Row],[Cantidad]]*Imput[[#This Row],[Precio Unitario]]</f>
        <v>0</v>
      </c>
      <c r="J2638" s="11">
        <f>((Imput[[#This Row],[Sub total]])*(0.16))</f>
        <v>0</v>
      </c>
      <c r="K2638" s="11">
        <v>0</v>
      </c>
      <c r="L2638" s="169">
        <f>Imput[[#This Row],[Sub total]]+Imput[[#This Row],[IVA]]-Imput[[#This Row],[Retención / IEPS / Descuento]]</f>
        <v>0</v>
      </c>
      <c r="M2638" s="844">
        <v>0</v>
      </c>
      <c r="N2638" s="189"/>
      <c r="O2638" s="1"/>
      <c r="P2638" s="189"/>
      <c r="Q2638" s="190"/>
      <c r="R2638" s="188"/>
      <c r="S2638" s="193"/>
      <c r="T2638" s="192"/>
      <c r="U2638" s="829"/>
      <c r="V2638" s="10"/>
      <c r="W2638" s="10"/>
      <c r="X2638" s="10"/>
      <c r="Y2638" s="10"/>
      <c r="Z2638" s="10"/>
      <c r="AA2638" s="11"/>
      <c r="AB2638" s="11"/>
    </row>
    <row r="2639" spans="2:28" x14ac:dyDescent="0.3">
      <c r="B2639" s="10"/>
      <c r="C2639" s="315"/>
      <c r="D2639" s="868"/>
      <c r="E2639" s="837" t="str">
        <f>IFERROR(IF(_xlfn.XLOOKUP(Imput[[#This Row],[RFC]],'Alta Proveedor'!D:D,'Alta Proveedor'!E:E)=0,"",_xlfn.XLOOKUP(Imput[[#This Row],[RFC]],'Alta Proveedor'!D:D,'Alta Proveedor'!E:E)),"")</f>
        <v/>
      </c>
      <c r="F2639" s="832"/>
      <c r="G2639" s="187"/>
      <c r="H2639" s="1"/>
      <c r="I2639" s="169">
        <f>Imput[[#This Row],[Cantidad]]*Imput[[#This Row],[Precio Unitario]]</f>
        <v>0</v>
      </c>
      <c r="J2639" s="11">
        <f>((Imput[[#This Row],[Sub total]])*(0.16))</f>
        <v>0</v>
      </c>
      <c r="K2639" s="11">
        <v>0</v>
      </c>
      <c r="L2639" s="169">
        <f>Imput[[#This Row],[Sub total]]+Imput[[#This Row],[IVA]]-Imput[[#This Row],[Retención / IEPS / Descuento]]</f>
        <v>0</v>
      </c>
      <c r="M2639" s="844">
        <v>0</v>
      </c>
      <c r="N2639" s="189"/>
      <c r="O2639" s="1"/>
      <c r="P2639" s="189"/>
      <c r="Q2639" s="190"/>
      <c r="R2639" s="188"/>
      <c r="S2639" s="193"/>
      <c r="T2639" s="192"/>
      <c r="U2639" s="829"/>
      <c r="V2639" s="10"/>
      <c r="W2639" s="10"/>
      <c r="X2639" s="10"/>
      <c r="Y2639" s="10"/>
      <c r="Z2639" s="10"/>
      <c r="AA2639" s="11"/>
      <c r="AB2639" s="11"/>
    </row>
    <row r="2640" spans="2:28" x14ac:dyDescent="0.3">
      <c r="B2640" s="10"/>
      <c r="C2640" s="315"/>
      <c r="D2640" s="868"/>
      <c r="E2640" s="837" t="str">
        <f>IFERROR(IF(_xlfn.XLOOKUP(Imput[[#This Row],[RFC]],'Alta Proveedor'!D:D,'Alta Proveedor'!E:E)=0,"",_xlfn.XLOOKUP(Imput[[#This Row],[RFC]],'Alta Proveedor'!D:D,'Alta Proveedor'!E:E)),"")</f>
        <v/>
      </c>
      <c r="F2640" s="832"/>
      <c r="G2640" s="187"/>
      <c r="H2640" s="1"/>
      <c r="I2640" s="169">
        <f>Imput[[#This Row],[Cantidad]]*Imput[[#This Row],[Precio Unitario]]</f>
        <v>0</v>
      </c>
      <c r="J2640" s="11">
        <f>((Imput[[#This Row],[Sub total]])*(0.16))</f>
        <v>0</v>
      </c>
      <c r="K2640" s="11">
        <v>0</v>
      </c>
      <c r="L2640" s="169">
        <f>Imput[[#This Row],[Sub total]]+Imput[[#This Row],[IVA]]-Imput[[#This Row],[Retención / IEPS / Descuento]]</f>
        <v>0</v>
      </c>
      <c r="M2640" s="844">
        <v>0</v>
      </c>
      <c r="N2640" s="189"/>
      <c r="O2640" s="1"/>
      <c r="P2640" s="189"/>
      <c r="Q2640" s="190"/>
      <c r="R2640" s="188"/>
      <c r="S2640" s="193"/>
      <c r="T2640" s="192"/>
      <c r="U2640" s="829"/>
      <c r="V2640" s="10"/>
      <c r="W2640" s="10"/>
      <c r="X2640" s="10"/>
      <c r="Y2640" s="10"/>
      <c r="Z2640" s="10"/>
      <c r="AA2640" s="11"/>
      <c r="AB2640" s="11"/>
    </row>
    <row r="2641" spans="2:28" x14ac:dyDescent="0.3">
      <c r="B2641" s="10"/>
      <c r="C2641" s="315"/>
      <c r="D2641" s="868"/>
      <c r="E2641" s="837" t="str">
        <f>IFERROR(IF(_xlfn.XLOOKUP(Imput[[#This Row],[RFC]],'Alta Proveedor'!D:D,'Alta Proveedor'!E:E)=0,"",_xlfn.XLOOKUP(Imput[[#This Row],[RFC]],'Alta Proveedor'!D:D,'Alta Proveedor'!E:E)),"")</f>
        <v/>
      </c>
      <c r="F2641" s="832"/>
      <c r="G2641" s="187"/>
      <c r="H2641" s="1"/>
      <c r="I2641" s="169">
        <f>Imput[[#This Row],[Cantidad]]*Imput[[#This Row],[Precio Unitario]]</f>
        <v>0</v>
      </c>
      <c r="J2641" s="11">
        <f>((Imput[[#This Row],[Sub total]])*(0.16))</f>
        <v>0</v>
      </c>
      <c r="K2641" s="11">
        <v>0</v>
      </c>
      <c r="L2641" s="169">
        <f>Imput[[#This Row],[Sub total]]+Imput[[#This Row],[IVA]]-Imput[[#This Row],[Retención / IEPS / Descuento]]</f>
        <v>0</v>
      </c>
      <c r="M2641" s="844">
        <v>0</v>
      </c>
      <c r="N2641" s="189"/>
      <c r="O2641" s="1"/>
      <c r="P2641" s="189"/>
      <c r="Q2641" s="190"/>
      <c r="R2641" s="188"/>
      <c r="S2641" s="193"/>
      <c r="T2641" s="192"/>
      <c r="U2641" s="829"/>
      <c r="V2641" s="10"/>
      <c r="W2641" s="10"/>
      <c r="X2641" s="10"/>
      <c r="Y2641" s="10"/>
      <c r="Z2641" s="10"/>
      <c r="AA2641" s="11"/>
      <c r="AB2641" s="11"/>
    </row>
    <row r="2642" spans="2:28" x14ac:dyDescent="0.3">
      <c r="B2642" s="10"/>
      <c r="C2642" s="315"/>
      <c r="D2642" s="868"/>
      <c r="E2642" s="837" t="str">
        <f>IFERROR(IF(_xlfn.XLOOKUP(Imput[[#This Row],[RFC]],'Alta Proveedor'!D:D,'Alta Proveedor'!E:E)=0,"",_xlfn.XLOOKUP(Imput[[#This Row],[RFC]],'Alta Proveedor'!D:D,'Alta Proveedor'!E:E)),"")</f>
        <v/>
      </c>
      <c r="F2642" s="832"/>
      <c r="G2642" s="187"/>
      <c r="H2642" s="1"/>
      <c r="I2642" s="169">
        <f>Imput[[#This Row],[Cantidad]]*Imput[[#This Row],[Precio Unitario]]</f>
        <v>0</v>
      </c>
      <c r="J2642" s="11">
        <f>((Imput[[#This Row],[Sub total]])*(0.16))</f>
        <v>0</v>
      </c>
      <c r="K2642" s="11">
        <v>0</v>
      </c>
      <c r="L2642" s="169">
        <f>Imput[[#This Row],[Sub total]]+Imput[[#This Row],[IVA]]-Imput[[#This Row],[Retención / IEPS / Descuento]]</f>
        <v>0</v>
      </c>
      <c r="M2642" s="844">
        <v>0</v>
      </c>
      <c r="N2642" s="189"/>
      <c r="O2642" s="1"/>
      <c r="P2642" s="189"/>
      <c r="Q2642" s="190"/>
      <c r="R2642" s="188"/>
      <c r="S2642" s="193"/>
      <c r="T2642" s="192"/>
      <c r="U2642" s="829"/>
      <c r="V2642" s="10"/>
      <c r="W2642" s="10"/>
      <c r="X2642" s="10"/>
      <c r="Y2642" s="10"/>
      <c r="Z2642" s="10"/>
      <c r="AA2642" s="11"/>
      <c r="AB2642" s="11"/>
    </row>
    <row r="2643" spans="2:28" x14ac:dyDescent="0.3">
      <c r="B2643" s="10"/>
      <c r="C2643" s="315"/>
      <c r="D2643" s="868"/>
      <c r="E2643" s="837" t="str">
        <f>IFERROR(IF(_xlfn.XLOOKUP(Imput[[#This Row],[RFC]],'Alta Proveedor'!D:D,'Alta Proveedor'!E:E)=0,"",_xlfn.XLOOKUP(Imput[[#This Row],[RFC]],'Alta Proveedor'!D:D,'Alta Proveedor'!E:E)),"")</f>
        <v/>
      </c>
      <c r="F2643" s="832"/>
      <c r="G2643" s="187"/>
      <c r="H2643" s="1"/>
      <c r="I2643" s="169">
        <f>Imput[[#This Row],[Cantidad]]*Imput[[#This Row],[Precio Unitario]]</f>
        <v>0</v>
      </c>
      <c r="J2643" s="11">
        <f>((Imput[[#This Row],[Sub total]])*(0.16))</f>
        <v>0</v>
      </c>
      <c r="K2643" s="11">
        <v>0</v>
      </c>
      <c r="L2643" s="169">
        <f>Imput[[#This Row],[Sub total]]+Imput[[#This Row],[IVA]]-Imput[[#This Row],[Retención / IEPS / Descuento]]</f>
        <v>0</v>
      </c>
      <c r="M2643" s="844">
        <v>0</v>
      </c>
      <c r="N2643" s="189"/>
      <c r="O2643" s="1"/>
      <c r="P2643" s="189"/>
      <c r="Q2643" s="190"/>
      <c r="R2643" s="188"/>
      <c r="S2643" s="193"/>
      <c r="T2643" s="192"/>
      <c r="U2643" s="829"/>
      <c r="V2643" s="10"/>
      <c r="W2643" s="10"/>
      <c r="X2643" s="10"/>
      <c r="Y2643" s="10"/>
      <c r="Z2643" s="10"/>
      <c r="AA2643" s="11"/>
      <c r="AB2643" s="11"/>
    </row>
    <row r="2644" spans="2:28" x14ac:dyDescent="0.3">
      <c r="B2644" s="10"/>
      <c r="C2644" s="315"/>
      <c r="D2644" s="868"/>
      <c r="E2644" s="837" t="str">
        <f>IFERROR(IF(_xlfn.XLOOKUP(Imput[[#This Row],[RFC]],'Alta Proveedor'!D:D,'Alta Proveedor'!E:E)=0,"",_xlfn.XLOOKUP(Imput[[#This Row],[RFC]],'Alta Proveedor'!D:D,'Alta Proveedor'!E:E)),"")</f>
        <v/>
      </c>
      <c r="F2644" s="832"/>
      <c r="G2644" s="187"/>
      <c r="H2644" s="1"/>
      <c r="I2644" s="169">
        <f>Imput[[#This Row],[Cantidad]]*Imput[[#This Row],[Precio Unitario]]</f>
        <v>0</v>
      </c>
      <c r="J2644" s="11">
        <f>((Imput[[#This Row],[Sub total]])*(0.16))</f>
        <v>0</v>
      </c>
      <c r="K2644" s="11">
        <v>0</v>
      </c>
      <c r="L2644" s="169">
        <f>Imput[[#This Row],[Sub total]]+Imput[[#This Row],[IVA]]-Imput[[#This Row],[Retención / IEPS / Descuento]]</f>
        <v>0</v>
      </c>
      <c r="M2644" s="844">
        <v>0</v>
      </c>
      <c r="N2644" s="189"/>
      <c r="O2644" s="1"/>
      <c r="P2644" s="189"/>
      <c r="Q2644" s="190"/>
      <c r="R2644" s="188"/>
      <c r="S2644" s="193"/>
      <c r="T2644" s="192"/>
      <c r="U2644" s="829"/>
      <c r="V2644" s="10"/>
      <c r="W2644" s="10"/>
      <c r="X2644" s="10"/>
      <c r="Y2644" s="10"/>
      <c r="Z2644" s="10"/>
      <c r="AA2644" s="11"/>
      <c r="AB2644" s="11"/>
    </row>
    <row r="2645" spans="2:28" x14ac:dyDescent="0.3">
      <c r="B2645" s="10"/>
      <c r="C2645" s="315"/>
      <c r="D2645" s="868"/>
      <c r="E2645" s="837" t="str">
        <f>IFERROR(IF(_xlfn.XLOOKUP(Imput[[#This Row],[RFC]],'Alta Proveedor'!D:D,'Alta Proveedor'!E:E)=0,"",_xlfn.XLOOKUP(Imput[[#This Row],[RFC]],'Alta Proveedor'!D:D,'Alta Proveedor'!E:E)),"")</f>
        <v/>
      </c>
      <c r="F2645" s="832"/>
      <c r="G2645" s="187"/>
      <c r="H2645" s="1"/>
      <c r="I2645" s="169">
        <f>Imput[[#This Row],[Cantidad]]*Imput[[#This Row],[Precio Unitario]]</f>
        <v>0</v>
      </c>
      <c r="J2645" s="11">
        <f>((Imput[[#This Row],[Sub total]])*(0.16))</f>
        <v>0</v>
      </c>
      <c r="K2645" s="11">
        <v>0</v>
      </c>
      <c r="L2645" s="169">
        <f>Imput[[#This Row],[Sub total]]+Imput[[#This Row],[IVA]]-Imput[[#This Row],[Retención / IEPS / Descuento]]</f>
        <v>0</v>
      </c>
      <c r="M2645" s="844">
        <v>0</v>
      </c>
      <c r="N2645" s="189"/>
      <c r="O2645" s="1"/>
      <c r="P2645" s="189"/>
      <c r="Q2645" s="190"/>
      <c r="R2645" s="188"/>
      <c r="S2645" s="193"/>
      <c r="T2645" s="192"/>
      <c r="U2645" s="829"/>
      <c r="V2645" s="10"/>
      <c r="W2645" s="10"/>
      <c r="X2645" s="10"/>
      <c r="Y2645" s="10"/>
      <c r="Z2645" s="10"/>
      <c r="AA2645" s="11"/>
      <c r="AB2645" s="11"/>
    </row>
    <row r="2646" spans="2:28" x14ac:dyDescent="0.3">
      <c r="B2646" s="10"/>
      <c r="C2646" s="315"/>
      <c r="D2646" s="868"/>
      <c r="E2646" s="837" t="str">
        <f>IFERROR(IF(_xlfn.XLOOKUP(Imput[[#This Row],[RFC]],'Alta Proveedor'!D:D,'Alta Proveedor'!E:E)=0,"",_xlfn.XLOOKUP(Imput[[#This Row],[RFC]],'Alta Proveedor'!D:D,'Alta Proveedor'!E:E)),"")</f>
        <v/>
      </c>
      <c r="F2646" s="832"/>
      <c r="G2646" s="187"/>
      <c r="H2646" s="1"/>
      <c r="I2646" s="169">
        <f>Imput[[#This Row],[Cantidad]]*Imput[[#This Row],[Precio Unitario]]</f>
        <v>0</v>
      </c>
      <c r="J2646" s="11">
        <f>((Imput[[#This Row],[Sub total]])*(0.16))</f>
        <v>0</v>
      </c>
      <c r="K2646" s="11">
        <v>0</v>
      </c>
      <c r="L2646" s="169">
        <f>Imput[[#This Row],[Sub total]]+Imput[[#This Row],[IVA]]-Imput[[#This Row],[Retención / IEPS / Descuento]]</f>
        <v>0</v>
      </c>
      <c r="M2646" s="844">
        <v>0</v>
      </c>
      <c r="N2646" s="189"/>
      <c r="O2646" s="1"/>
      <c r="P2646" s="189"/>
      <c r="Q2646" s="190"/>
      <c r="R2646" s="188"/>
      <c r="S2646" s="193"/>
      <c r="T2646" s="192"/>
      <c r="U2646" s="829"/>
      <c r="V2646" s="10"/>
      <c r="W2646" s="10"/>
      <c r="X2646" s="10"/>
      <c r="Y2646" s="10"/>
      <c r="Z2646" s="10"/>
      <c r="AA2646" s="11"/>
      <c r="AB2646" s="11"/>
    </row>
    <row r="2647" spans="2:28" x14ac:dyDescent="0.3">
      <c r="B2647" s="10"/>
      <c r="C2647" s="315"/>
      <c r="D2647" s="868"/>
      <c r="E2647" s="837" t="str">
        <f>IFERROR(IF(_xlfn.XLOOKUP(Imput[[#This Row],[RFC]],'Alta Proveedor'!D:D,'Alta Proveedor'!E:E)=0,"",_xlfn.XLOOKUP(Imput[[#This Row],[RFC]],'Alta Proveedor'!D:D,'Alta Proveedor'!E:E)),"")</f>
        <v/>
      </c>
      <c r="F2647" s="832"/>
      <c r="G2647" s="187"/>
      <c r="H2647" s="1"/>
      <c r="I2647" s="169">
        <f>Imput[[#This Row],[Cantidad]]*Imput[[#This Row],[Precio Unitario]]</f>
        <v>0</v>
      </c>
      <c r="J2647" s="11">
        <f>((Imput[[#This Row],[Sub total]])*(0.16))</f>
        <v>0</v>
      </c>
      <c r="K2647" s="11">
        <v>0</v>
      </c>
      <c r="L2647" s="169">
        <f>Imput[[#This Row],[Sub total]]+Imput[[#This Row],[IVA]]-Imput[[#This Row],[Retención / IEPS / Descuento]]</f>
        <v>0</v>
      </c>
      <c r="M2647" s="844">
        <v>0</v>
      </c>
      <c r="N2647" s="189"/>
      <c r="O2647" s="1"/>
      <c r="P2647" s="189"/>
      <c r="Q2647" s="190"/>
      <c r="R2647" s="188"/>
      <c r="S2647" s="193"/>
      <c r="T2647" s="192"/>
      <c r="U2647" s="829"/>
      <c r="V2647" s="10"/>
      <c r="W2647" s="10"/>
      <c r="X2647" s="10"/>
      <c r="Y2647" s="10"/>
      <c r="Z2647" s="10"/>
      <c r="AA2647" s="11"/>
      <c r="AB2647" s="11"/>
    </row>
    <row r="2648" spans="2:28" x14ac:dyDescent="0.3">
      <c r="B2648" s="10"/>
      <c r="C2648" s="315"/>
      <c r="D2648" s="868"/>
      <c r="E2648" s="837" t="str">
        <f>IFERROR(IF(_xlfn.XLOOKUP(Imput[[#This Row],[RFC]],'Alta Proveedor'!D:D,'Alta Proveedor'!E:E)=0,"",_xlfn.XLOOKUP(Imput[[#This Row],[RFC]],'Alta Proveedor'!D:D,'Alta Proveedor'!E:E)),"")</f>
        <v/>
      </c>
      <c r="F2648" s="832"/>
      <c r="G2648" s="187"/>
      <c r="H2648" s="1"/>
      <c r="I2648" s="169">
        <f>Imput[[#This Row],[Cantidad]]*Imput[[#This Row],[Precio Unitario]]</f>
        <v>0</v>
      </c>
      <c r="J2648" s="11">
        <f>((Imput[[#This Row],[Sub total]])*(0.16))</f>
        <v>0</v>
      </c>
      <c r="K2648" s="11">
        <v>0</v>
      </c>
      <c r="L2648" s="169">
        <f>Imput[[#This Row],[Sub total]]+Imput[[#This Row],[IVA]]-Imput[[#This Row],[Retención / IEPS / Descuento]]</f>
        <v>0</v>
      </c>
      <c r="M2648" s="844">
        <v>0</v>
      </c>
      <c r="N2648" s="189"/>
      <c r="O2648" s="1"/>
      <c r="P2648" s="189"/>
      <c r="Q2648" s="190"/>
      <c r="R2648" s="188"/>
      <c r="S2648" s="193"/>
      <c r="T2648" s="192"/>
      <c r="U2648" s="829"/>
      <c r="V2648" s="10"/>
      <c r="W2648" s="10"/>
      <c r="X2648" s="10"/>
      <c r="Y2648" s="10"/>
      <c r="Z2648" s="10"/>
      <c r="AA2648" s="11"/>
      <c r="AB2648" s="11"/>
    </row>
    <row r="2649" spans="2:28" x14ac:dyDescent="0.3">
      <c r="B2649" s="10"/>
      <c r="C2649" s="315"/>
      <c r="D2649" s="868"/>
      <c r="E2649" s="837" t="str">
        <f>IFERROR(IF(_xlfn.XLOOKUP(Imput[[#This Row],[RFC]],'Alta Proveedor'!D:D,'Alta Proveedor'!E:E)=0,"",_xlfn.XLOOKUP(Imput[[#This Row],[RFC]],'Alta Proveedor'!D:D,'Alta Proveedor'!E:E)),"")</f>
        <v/>
      </c>
      <c r="F2649" s="832"/>
      <c r="G2649" s="187"/>
      <c r="H2649" s="1"/>
      <c r="I2649" s="169">
        <f>Imput[[#This Row],[Cantidad]]*Imput[[#This Row],[Precio Unitario]]</f>
        <v>0</v>
      </c>
      <c r="J2649" s="11">
        <f>((Imput[[#This Row],[Sub total]])*(0.16))</f>
        <v>0</v>
      </c>
      <c r="K2649" s="11">
        <v>0</v>
      </c>
      <c r="L2649" s="169">
        <f>Imput[[#This Row],[Sub total]]+Imput[[#This Row],[IVA]]-Imput[[#This Row],[Retención / IEPS / Descuento]]</f>
        <v>0</v>
      </c>
      <c r="M2649" s="844">
        <v>0</v>
      </c>
      <c r="N2649" s="189"/>
      <c r="O2649" s="1"/>
      <c r="P2649" s="189"/>
      <c r="Q2649" s="190"/>
      <c r="R2649" s="188"/>
      <c r="S2649" s="193"/>
      <c r="T2649" s="192"/>
      <c r="U2649" s="829"/>
      <c r="V2649" s="10"/>
      <c r="W2649" s="10"/>
      <c r="X2649" s="10"/>
      <c r="Y2649" s="10"/>
      <c r="Z2649" s="10"/>
      <c r="AA2649" s="11"/>
      <c r="AB2649" s="11"/>
    </row>
    <row r="2650" spans="2:28" x14ac:dyDescent="0.3">
      <c r="B2650" s="10"/>
      <c r="C2650" s="315"/>
      <c r="D2650" s="868"/>
      <c r="E2650" s="837" t="str">
        <f>IFERROR(IF(_xlfn.XLOOKUP(Imput[[#This Row],[RFC]],'Alta Proveedor'!D:D,'Alta Proveedor'!E:E)=0,"",_xlfn.XLOOKUP(Imput[[#This Row],[RFC]],'Alta Proveedor'!D:D,'Alta Proveedor'!E:E)),"")</f>
        <v/>
      </c>
      <c r="F2650" s="832"/>
      <c r="G2650" s="187"/>
      <c r="H2650" s="1"/>
      <c r="I2650" s="169">
        <f>Imput[[#This Row],[Cantidad]]*Imput[[#This Row],[Precio Unitario]]</f>
        <v>0</v>
      </c>
      <c r="J2650" s="11">
        <f>((Imput[[#This Row],[Sub total]])*(0.16))</f>
        <v>0</v>
      </c>
      <c r="K2650" s="11">
        <v>0</v>
      </c>
      <c r="L2650" s="169">
        <f>Imput[[#This Row],[Sub total]]+Imput[[#This Row],[IVA]]-Imput[[#This Row],[Retención / IEPS / Descuento]]</f>
        <v>0</v>
      </c>
      <c r="M2650" s="844">
        <v>0</v>
      </c>
      <c r="N2650" s="189"/>
      <c r="O2650" s="1"/>
      <c r="P2650" s="189"/>
      <c r="Q2650" s="190"/>
      <c r="R2650" s="188"/>
      <c r="S2650" s="193"/>
      <c r="T2650" s="192"/>
      <c r="U2650" s="829"/>
      <c r="V2650" s="10"/>
      <c r="W2650" s="10"/>
      <c r="X2650" s="10"/>
      <c r="Y2650" s="10"/>
      <c r="Z2650" s="10"/>
      <c r="AA2650" s="11"/>
      <c r="AB2650" s="11"/>
    </row>
    <row r="2651" spans="2:28" x14ac:dyDescent="0.3">
      <c r="B2651" s="10"/>
      <c r="C2651" s="315"/>
      <c r="D2651" s="868"/>
      <c r="E2651" s="837" t="str">
        <f>IFERROR(IF(_xlfn.XLOOKUP(Imput[[#This Row],[RFC]],'Alta Proveedor'!D:D,'Alta Proveedor'!E:E)=0,"",_xlfn.XLOOKUP(Imput[[#This Row],[RFC]],'Alta Proveedor'!D:D,'Alta Proveedor'!E:E)),"")</f>
        <v/>
      </c>
      <c r="F2651" s="832"/>
      <c r="G2651" s="187"/>
      <c r="H2651" s="1"/>
      <c r="I2651" s="169">
        <f>Imput[[#This Row],[Cantidad]]*Imput[[#This Row],[Precio Unitario]]</f>
        <v>0</v>
      </c>
      <c r="J2651" s="11">
        <f>((Imput[[#This Row],[Sub total]])*(0.16))</f>
        <v>0</v>
      </c>
      <c r="K2651" s="11">
        <v>0</v>
      </c>
      <c r="L2651" s="169">
        <f>Imput[[#This Row],[Sub total]]+Imput[[#This Row],[IVA]]-Imput[[#This Row],[Retención / IEPS / Descuento]]</f>
        <v>0</v>
      </c>
      <c r="M2651" s="844">
        <v>0</v>
      </c>
      <c r="N2651" s="189"/>
      <c r="O2651" s="1"/>
      <c r="P2651" s="189"/>
      <c r="Q2651" s="190"/>
      <c r="R2651" s="188"/>
      <c r="S2651" s="193"/>
      <c r="T2651" s="192"/>
      <c r="U2651" s="829"/>
      <c r="V2651" s="10"/>
      <c r="W2651" s="10"/>
      <c r="X2651" s="10"/>
      <c r="Y2651" s="10"/>
      <c r="Z2651" s="10"/>
      <c r="AA2651" s="11"/>
      <c r="AB2651" s="11"/>
    </row>
    <row r="2652" spans="2:28" x14ac:dyDescent="0.3">
      <c r="B2652" s="10"/>
      <c r="C2652" s="315"/>
      <c r="D2652" s="868"/>
      <c r="E2652" s="837" t="str">
        <f>IFERROR(IF(_xlfn.XLOOKUP(Imput[[#This Row],[RFC]],'Alta Proveedor'!D:D,'Alta Proveedor'!E:E)=0,"",_xlfn.XLOOKUP(Imput[[#This Row],[RFC]],'Alta Proveedor'!D:D,'Alta Proveedor'!E:E)),"")</f>
        <v/>
      </c>
      <c r="F2652" s="832"/>
      <c r="G2652" s="187"/>
      <c r="H2652" s="1"/>
      <c r="I2652" s="169">
        <f>Imput[[#This Row],[Cantidad]]*Imput[[#This Row],[Precio Unitario]]</f>
        <v>0</v>
      </c>
      <c r="J2652" s="11">
        <f>((Imput[[#This Row],[Sub total]])*(0.16))</f>
        <v>0</v>
      </c>
      <c r="K2652" s="11">
        <v>0</v>
      </c>
      <c r="L2652" s="169">
        <f>Imput[[#This Row],[Sub total]]+Imput[[#This Row],[IVA]]-Imput[[#This Row],[Retención / IEPS / Descuento]]</f>
        <v>0</v>
      </c>
      <c r="M2652" s="844">
        <v>0</v>
      </c>
      <c r="N2652" s="189"/>
      <c r="O2652" s="1"/>
      <c r="P2652" s="189"/>
      <c r="Q2652" s="190"/>
      <c r="R2652" s="188"/>
      <c r="S2652" s="193"/>
      <c r="T2652" s="192"/>
      <c r="U2652" s="829"/>
      <c r="V2652" s="10"/>
      <c r="W2652" s="10"/>
      <c r="X2652" s="10"/>
      <c r="Y2652" s="10"/>
      <c r="Z2652" s="10"/>
      <c r="AA2652" s="11"/>
      <c r="AB2652" s="11"/>
    </row>
    <row r="2653" spans="2:28" x14ac:dyDescent="0.3">
      <c r="B2653" s="10"/>
      <c r="C2653" s="315"/>
      <c r="D2653" s="868"/>
      <c r="E2653" s="837" t="str">
        <f>IFERROR(IF(_xlfn.XLOOKUP(Imput[[#This Row],[RFC]],'Alta Proveedor'!D:D,'Alta Proveedor'!E:E)=0,"",_xlfn.XLOOKUP(Imput[[#This Row],[RFC]],'Alta Proveedor'!D:D,'Alta Proveedor'!E:E)),"")</f>
        <v/>
      </c>
      <c r="F2653" s="832"/>
      <c r="G2653" s="187"/>
      <c r="H2653" s="1"/>
      <c r="I2653" s="169">
        <f>Imput[[#This Row],[Cantidad]]*Imput[[#This Row],[Precio Unitario]]</f>
        <v>0</v>
      </c>
      <c r="J2653" s="11">
        <f>((Imput[[#This Row],[Sub total]])*(0.16))</f>
        <v>0</v>
      </c>
      <c r="K2653" s="11">
        <v>0</v>
      </c>
      <c r="L2653" s="169">
        <f>Imput[[#This Row],[Sub total]]+Imput[[#This Row],[IVA]]-Imput[[#This Row],[Retención / IEPS / Descuento]]</f>
        <v>0</v>
      </c>
      <c r="M2653" s="844">
        <v>0</v>
      </c>
      <c r="N2653" s="189"/>
      <c r="O2653" s="1"/>
      <c r="P2653" s="189"/>
      <c r="Q2653" s="190"/>
      <c r="R2653" s="188"/>
      <c r="S2653" s="193"/>
      <c r="T2653" s="192"/>
      <c r="U2653" s="829"/>
      <c r="V2653" s="10"/>
      <c r="W2653" s="10"/>
      <c r="X2653" s="10"/>
      <c r="Y2653" s="10"/>
      <c r="Z2653" s="10"/>
      <c r="AA2653" s="11"/>
      <c r="AB2653" s="11"/>
    </row>
    <row r="2654" spans="2:28" x14ac:dyDescent="0.3">
      <c r="B2654" s="10"/>
      <c r="C2654" s="315"/>
      <c r="D2654" s="868"/>
      <c r="E2654" s="837" t="str">
        <f>IFERROR(IF(_xlfn.XLOOKUP(Imput[[#This Row],[RFC]],'Alta Proveedor'!D:D,'Alta Proveedor'!E:E)=0,"",_xlfn.XLOOKUP(Imput[[#This Row],[RFC]],'Alta Proveedor'!D:D,'Alta Proveedor'!E:E)),"")</f>
        <v/>
      </c>
      <c r="F2654" s="832"/>
      <c r="G2654" s="187"/>
      <c r="H2654" s="1"/>
      <c r="I2654" s="169">
        <f>Imput[[#This Row],[Cantidad]]*Imput[[#This Row],[Precio Unitario]]</f>
        <v>0</v>
      </c>
      <c r="J2654" s="11">
        <f>((Imput[[#This Row],[Sub total]])*(0.16))</f>
        <v>0</v>
      </c>
      <c r="K2654" s="11">
        <v>0</v>
      </c>
      <c r="L2654" s="169">
        <f>Imput[[#This Row],[Sub total]]+Imput[[#This Row],[IVA]]-Imput[[#This Row],[Retención / IEPS / Descuento]]</f>
        <v>0</v>
      </c>
      <c r="M2654" s="844">
        <v>0</v>
      </c>
      <c r="N2654" s="189"/>
      <c r="O2654" s="1"/>
      <c r="P2654" s="189"/>
      <c r="Q2654" s="190"/>
      <c r="R2654" s="188"/>
      <c r="S2654" s="193"/>
      <c r="T2654" s="192"/>
      <c r="U2654" s="829"/>
      <c r="V2654" s="10"/>
      <c r="W2654" s="10"/>
      <c r="X2654" s="10"/>
      <c r="Y2654" s="10"/>
      <c r="Z2654" s="10"/>
      <c r="AA2654" s="11"/>
      <c r="AB2654" s="11"/>
    </row>
    <row r="2655" spans="2:28" x14ac:dyDescent="0.3">
      <c r="B2655" s="10"/>
      <c r="C2655" s="315"/>
      <c r="D2655" s="868"/>
      <c r="E2655" s="837" t="str">
        <f>IFERROR(IF(_xlfn.XLOOKUP(Imput[[#This Row],[RFC]],'Alta Proveedor'!D:D,'Alta Proveedor'!E:E)=0,"",_xlfn.XLOOKUP(Imput[[#This Row],[RFC]],'Alta Proveedor'!D:D,'Alta Proveedor'!E:E)),"")</f>
        <v/>
      </c>
      <c r="F2655" s="832"/>
      <c r="G2655" s="187"/>
      <c r="H2655" s="1"/>
      <c r="I2655" s="169">
        <f>Imput[[#This Row],[Cantidad]]*Imput[[#This Row],[Precio Unitario]]</f>
        <v>0</v>
      </c>
      <c r="J2655" s="11">
        <f>((Imput[[#This Row],[Sub total]])*(0.16))</f>
        <v>0</v>
      </c>
      <c r="K2655" s="11">
        <v>0</v>
      </c>
      <c r="L2655" s="169">
        <f>Imput[[#This Row],[Sub total]]+Imput[[#This Row],[IVA]]-Imput[[#This Row],[Retención / IEPS / Descuento]]</f>
        <v>0</v>
      </c>
      <c r="M2655" s="844">
        <v>0</v>
      </c>
      <c r="N2655" s="189"/>
      <c r="O2655" s="1"/>
      <c r="P2655" s="189"/>
      <c r="Q2655" s="190"/>
      <c r="R2655" s="188"/>
      <c r="S2655" s="193"/>
      <c r="T2655" s="192"/>
      <c r="U2655" s="829"/>
      <c r="V2655" s="10"/>
      <c r="W2655" s="10"/>
      <c r="X2655" s="10"/>
      <c r="Y2655" s="10"/>
      <c r="Z2655" s="10"/>
      <c r="AA2655" s="11"/>
      <c r="AB2655" s="11"/>
    </row>
    <row r="2656" spans="2:28" x14ac:dyDescent="0.3">
      <c r="B2656" s="10"/>
      <c r="C2656" s="315"/>
      <c r="D2656" s="868"/>
      <c r="E2656" s="837" t="str">
        <f>IFERROR(IF(_xlfn.XLOOKUP(Imput[[#This Row],[RFC]],'Alta Proveedor'!D:D,'Alta Proveedor'!E:E)=0,"",_xlfn.XLOOKUP(Imput[[#This Row],[RFC]],'Alta Proveedor'!D:D,'Alta Proveedor'!E:E)),"")</f>
        <v/>
      </c>
      <c r="F2656" s="832"/>
      <c r="G2656" s="187"/>
      <c r="H2656" s="1"/>
      <c r="I2656" s="169">
        <f>Imput[[#This Row],[Cantidad]]*Imput[[#This Row],[Precio Unitario]]</f>
        <v>0</v>
      </c>
      <c r="J2656" s="11">
        <f>((Imput[[#This Row],[Sub total]])*(0.16))</f>
        <v>0</v>
      </c>
      <c r="K2656" s="11">
        <v>0</v>
      </c>
      <c r="L2656" s="169">
        <f>Imput[[#This Row],[Sub total]]+Imput[[#This Row],[IVA]]-Imput[[#This Row],[Retención / IEPS / Descuento]]</f>
        <v>0</v>
      </c>
      <c r="M2656" s="844">
        <v>0</v>
      </c>
      <c r="N2656" s="189"/>
      <c r="O2656" s="1"/>
      <c r="P2656" s="189"/>
      <c r="Q2656" s="190"/>
      <c r="R2656" s="188"/>
      <c r="S2656" s="193"/>
      <c r="T2656" s="192"/>
      <c r="U2656" s="829"/>
      <c r="V2656" s="10"/>
      <c r="W2656" s="10"/>
      <c r="X2656" s="10"/>
      <c r="Y2656" s="10"/>
      <c r="Z2656" s="10"/>
      <c r="AA2656" s="11"/>
      <c r="AB2656" s="11"/>
    </row>
    <row r="2657" spans="2:28" x14ac:dyDescent="0.3">
      <c r="B2657" s="10"/>
      <c r="C2657" s="315"/>
      <c r="D2657" s="868"/>
      <c r="E2657" s="837" t="str">
        <f>IFERROR(IF(_xlfn.XLOOKUP(Imput[[#This Row],[RFC]],'Alta Proveedor'!D:D,'Alta Proveedor'!E:E)=0,"",_xlfn.XLOOKUP(Imput[[#This Row],[RFC]],'Alta Proveedor'!D:D,'Alta Proveedor'!E:E)),"")</f>
        <v/>
      </c>
      <c r="F2657" s="832"/>
      <c r="G2657" s="187"/>
      <c r="H2657" s="1"/>
      <c r="I2657" s="169">
        <f>Imput[[#This Row],[Cantidad]]*Imput[[#This Row],[Precio Unitario]]</f>
        <v>0</v>
      </c>
      <c r="J2657" s="11">
        <f>((Imput[[#This Row],[Sub total]])*(0.16))</f>
        <v>0</v>
      </c>
      <c r="K2657" s="11">
        <v>0</v>
      </c>
      <c r="L2657" s="169">
        <f>Imput[[#This Row],[Sub total]]+Imput[[#This Row],[IVA]]-Imput[[#This Row],[Retención / IEPS / Descuento]]</f>
        <v>0</v>
      </c>
      <c r="M2657" s="844">
        <v>0</v>
      </c>
      <c r="N2657" s="189"/>
      <c r="O2657" s="1"/>
      <c r="P2657" s="189"/>
      <c r="Q2657" s="190"/>
      <c r="R2657" s="188"/>
      <c r="S2657" s="193"/>
      <c r="T2657" s="192"/>
      <c r="U2657" s="829"/>
      <c r="V2657" s="10"/>
      <c r="W2657" s="10"/>
      <c r="X2657" s="10"/>
      <c r="Y2657" s="10"/>
      <c r="Z2657" s="10"/>
      <c r="AA2657" s="11"/>
      <c r="AB2657" s="11"/>
    </row>
    <row r="2658" spans="2:28" x14ac:dyDescent="0.3">
      <c r="B2658" s="10"/>
      <c r="C2658" s="315"/>
      <c r="D2658" s="868"/>
      <c r="E2658" s="837" t="str">
        <f>IFERROR(IF(_xlfn.XLOOKUP(Imput[[#This Row],[RFC]],'Alta Proveedor'!D:D,'Alta Proveedor'!E:E)=0,"",_xlfn.XLOOKUP(Imput[[#This Row],[RFC]],'Alta Proveedor'!D:D,'Alta Proveedor'!E:E)),"")</f>
        <v/>
      </c>
      <c r="F2658" s="832"/>
      <c r="G2658" s="187"/>
      <c r="H2658" s="1"/>
      <c r="I2658" s="169">
        <f>Imput[[#This Row],[Cantidad]]*Imput[[#This Row],[Precio Unitario]]</f>
        <v>0</v>
      </c>
      <c r="J2658" s="11">
        <f>((Imput[[#This Row],[Sub total]])*(0.16))</f>
        <v>0</v>
      </c>
      <c r="K2658" s="11">
        <v>0</v>
      </c>
      <c r="L2658" s="169">
        <f>Imput[[#This Row],[Sub total]]+Imput[[#This Row],[IVA]]-Imput[[#This Row],[Retención / IEPS / Descuento]]</f>
        <v>0</v>
      </c>
      <c r="M2658" s="844">
        <v>0</v>
      </c>
      <c r="N2658" s="189"/>
      <c r="O2658" s="1"/>
      <c r="P2658" s="189"/>
      <c r="Q2658" s="190"/>
      <c r="R2658" s="188"/>
      <c r="S2658" s="193"/>
      <c r="T2658" s="192"/>
      <c r="U2658" s="829"/>
      <c r="V2658" s="10"/>
      <c r="W2658" s="10"/>
      <c r="X2658" s="10"/>
      <c r="Y2658" s="10"/>
      <c r="Z2658" s="10"/>
      <c r="AA2658" s="11"/>
      <c r="AB2658" s="11"/>
    </row>
    <row r="2659" spans="2:28" x14ac:dyDescent="0.3">
      <c r="B2659" s="10"/>
      <c r="C2659" s="315"/>
      <c r="D2659" s="868"/>
      <c r="E2659" s="837" t="str">
        <f>IFERROR(IF(_xlfn.XLOOKUP(Imput[[#This Row],[RFC]],'Alta Proveedor'!D:D,'Alta Proveedor'!E:E)=0,"",_xlfn.XLOOKUP(Imput[[#This Row],[RFC]],'Alta Proveedor'!D:D,'Alta Proveedor'!E:E)),"")</f>
        <v/>
      </c>
      <c r="F2659" s="832"/>
      <c r="G2659" s="187"/>
      <c r="H2659" s="1"/>
      <c r="I2659" s="169">
        <f>Imput[[#This Row],[Cantidad]]*Imput[[#This Row],[Precio Unitario]]</f>
        <v>0</v>
      </c>
      <c r="J2659" s="11">
        <f>((Imput[[#This Row],[Sub total]])*(0.16))</f>
        <v>0</v>
      </c>
      <c r="K2659" s="11">
        <v>0</v>
      </c>
      <c r="L2659" s="169">
        <f>Imput[[#This Row],[Sub total]]+Imput[[#This Row],[IVA]]-Imput[[#This Row],[Retención / IEPS / Descuento]]</f>
        <v>0</v>
      </c>
      <c r="M2659" s="844">
        <v>0</v>
      </c>
      <c r="N2659" s="189"/>
      <c r="O2659" s="1"/>
      <c r="P2659" s="189"/>
      <c r="Q2659" s="190"/>
      <c r="R2659" s="188"/>
      <c r="S2659" s="193"/>
      <c r="T2659" s="192"/>
      <c r="U2659" s="829"/>
      <c r="V2659" s="10"/>
      <c r="W2659" s="10"/>
      <c r="X2659" s="10"/>
      <c r="Y2659" s="10"/>
      <c r="Z2659" s="10"/>
      <c r="AA2659" s="11"/>
      <c r="AB2659" s="11"/>
    </row>
    <row r="2660" spans="2:28" x14ac:dyDescent="0.3">
      <c r="B2660" s="10"/>
      <c r="C2660" s="315"/>
      <c r="D2660" s="868"/>
      <c r="E2660" s="837" t="str">
        <f>IFERROR(IF(_xlfn.XLOOKUP(Imput[[#This Row],[RFC]],'Alta Proveedor'!D:D,'Alta Proveedor'!E:E)=0,"",_xlfn.XLOOKUP(Imput[[#This Row],[RFC]],'Alta Proveedor'!D:D,'Alta Proveedor'!E:E)),"")</f>
        <v/>
      </c>
      <c r="F2660" s="832"/>
      <c r="G2660" s="187"/>
      <c r="H2660" s="1"/>
      <c r="I2660" s="169">
        <f>Imput[[#This Row],[Cantidad]]*Imput[[#This Row],[Precio Unitario]]</f>
        <v>0</v>
      </c>
      <c r="J2660" s="11">
        <f>((Imput[[#This Row],[Sub total]])*(0.16))</f>
        <v>0</v>
      </c>
      <c r="K2660" s="11">
        <v>0</v>
      </c>
      <c r="L2660" s="169">
        <f>Imput[[#This Row],[Sub total]]+Imput[[#This Row],[IVA]]-Imput[[#This Row],[Retención / IEPS / Descuento]]</f>
        <v>0</v>
      </c>
      <c r="M2660" s="844">
        <v>0</v>
      </c>
      <c r="N2660" s="189"/>
      <c r="O2660" s="1"/>
      <c r="P2660" s="189"/>
      <c r="Q2660" s="190"/>
      <c r="R2660" s="188"/>
      <c r="S2660" s="193"/>
      <c r="T2660" s="192"/>
      <c r="U2660" s="829"/>
      <c r="V2660" s="10"/>
      <c r="W2660" s="10"/>
      <c r="X2660" s="10"/>
      <c r="Y2660" s="10"/>
      <c r="Z2660" s="10"/>
      <c r="AA2660" s="11"/>
      <c r="AB2660" s="11"/>
    </row>
    <row r="2661" spans="2:28" x14ac:dyDescent="0.3">
      <c r="B2661" s="10"/>
      <c r="C2661" s="315"/>
      <c r="D2661" s="868"/>
      <c r="E2661" s="837" t="str">
        <f>IFERROR(IF(_xlfn.XLOOKUP(Imput[[#This Row],[RFC]],'Alta Proveedor'!D:D,'Alta Proveedor'!E:E)=0,"",_xlfn.XLOOKUP(Imput[[#This Row],[RFC]],'Alta Proveedor'!D:D,'Alta Proveedor'!E:E)),"")</f>
        <v/>
      </c>
      <c r="F2661" s="832"/>
      <c r="G2661" s="187"/>
      <c r="H2661" s="1"/>
      <c r="I2661" s="169">
        <f>Imput[[#This Row],[Cantidad]]*Imput[[#This Row],[Precio Unitario]]</f>
        <v>0</v>
      </c>
      <c r="J2661" s="11">
        <f>((Imput[[#This Row],[Sub total]])*(0.16))</f>
        <v>0</v>
      </c>
      <c r="K2661" s="11">
        <v>0</v>
      </c>
      <c r="L2661" s="169">
        <f>Imput[[#This Row],[Sub total]]+Imput[[#This Row],[IVA]]-Imput[[#This Row],[Retención / IEPS / Descuento]]</f>
        <v>0</v>
      </c>
      <c r="M2661" s="844">
        <v>0</v>
      </c>
      <c r="N2661" s="189"/>
      <c r="O2661" s="1"/>
      <c r="P2661" s="189"/>
      <c r="Q2661" s="190"/>
      <c r="R2661" s="188"/>
      <c r="S2661" s="193"/>
      <c r="T2661" s="192"/>
      <c r="U2661" s="829"/>
      <c r="V2661" s="10"/>
      <c r="W2661" s="10"/>
      <c r="X2661" s="10"/>
      <c r="Y2661" s="10"/>
      <c r="Z2661" s="10"/>
      <c r="AA2661" s="11"/>
      <c r="AB2661" s="11"/>
    </row>
    <row r="2662" spans="2:28" x14ac:dyDescent="0.3">
      <c r="B2662" s="10"/>
      <c r="C2662" s="315"/>
      <c r="D2662" s="868"/>
      <c r="E2662" s="837" t="str">
        <f>IFERROR(IF(_xlfn.XLOOKUP(Imput[[#This Row],[RFC]],'Alta Proveedor'!D:D,'Alta Proveedor'!E:E)=0,"",_xlfn.XLOOKUP(Imput[[#This Row],[RFC]],'Alta Proveedor'!D:D,'Alta Proveedor'!E:E)),"")</f>
        <v/>
      </c>
      <c r="F2662" s="832"/>
      <c r="G2662" s="187"/>
      <c r="H2662" s="1"/>
      <c r="I2662" s="169">
        <f>Imput[[#This Row],[Cantidad]]*Imput[[#This Row],[Precio Unitario]]</f>
        <v>0</v>
      </c>
      <c r="J2662" s="11">
        <f>((Imput[[#This Row],[Sub total]])*(0.16))</f>
        <v>0</v>
      </c>
      <c r="K2662" s="11">
        <v>0</v>
      </c>
      <c r="L2662" s="169">
        <f>Imput[[#This Row],[Sub total]]+Imput[[#This Row],[IVA]]-Imput[[#This Row],[Retención / IEPS / Descuento]]</f>
        <v>0</v>
      </c>
      <c r="M2662" s="844">
        <v>0</v>
      </c>
      <c r="N2662" s="189"/>
      <c r="O2662" s="1"/>
      <c r="P2662" s="189"/>
      <c r="Q2662" s="190"/>
      <c r="R2662" s="188"/>
      <c r="S2662" s="193"/>
      <c r="T2662" s="192"/>
      <c r="U2662" s="829"/>
      <c r="V2662" s="10"/>
      <c r="W2662" s="10"/>
      <c r="X2662" s="10"/>
      <c r="Y2662" s="10"/>
      <c r="Z2662" s="10"/>
      <c r="AA2662" s="11"/>
      <c r="AB2662" s="11"/>
    </row>
    <row r="2663" spans="2:28" x14ac:dyDescent="0.3">
      <c r="B2663" s="10"/>
      <c r="C2663" s="315"/>
      <c r="D2663" s="868"/>
      <c r="E2663" s="837" t="str">
        <f>IFERROR(IF(_xlfn.XLOOKUP(Imput[[#This Row],[RFC]],'Alta Proveedor'!D:D,'Alta Proveedor'!E:E)=0,"",_xlfn.XLOOKUP(Imput[[#This Row],[RFC]],'Alta Proveedor'!D:D,'Alta Proveedor'!E:E)),"")</f>
        <v/>
      </c>
      <c r="F2663" s="832"/>
      <c r="G2663" s="187"/>
      <c r="H2663" s="1"/>
      <c r="I2663" s="169">
        <f>Imput[[#This Row],[Cantidad]]*Imput[[#This Row],[Precio Unitario]]</f>
        <v>0</v>
      </c>
      <c r="J2663" s="11">
        <f>((Imput[[#This Row],[Sub total]])*(0.16))</f>
        <v>0</v>
      </c>
      <c r="K2663" s="11">
        <v>0</v>
      </c>
      <c r="L2663" s="169">
        <f>Imput[[#This Row],[Sub total]]+Imput[[#This Row],[IVA]]-Imput[[#This Row],[Retención / IEPS / Descuento]]</f>
        <v>0</v>
      </c>
      <c r="M2663" s="844">
        <v>0</v>
      </c>
      <c r="N2663" s="189"/>
      <c r="O2663" s="1"/>
      <c r="P2663" s="189"/>
      <c r="Q2663" s="190"/>
      <c r="R2663" s="188"/>
      <c r="S2663" s="193"/>
      <c r="T2663" s="192"/>
      <c r="U2663" s="829"/>
      <c r="V2663" s="10"/>
      <c r="W2663" s="10"/>
      <c r="X2663" s="10"/>
      <c r="Y2663" s="10"/>
      <c r="Z2663" s="10"/>
      <c r="AA2663" s="11"/>
      <c r="AB2663" s="11"/>
    </row>
    <row r="2664" spans="2:28" x14ac:dyDescent="0.3">
      <c r="B2664" s="10"/>
      <c r="C2664" s="315"/>
      <c r="D2664" s="868"/>
      <c r="E2664" s="837" t="str">
        <f>IFERROR(IF(_xlfn.XLOOKUP(Imput[[#This Row],[RFC]],'Alta Proveedor'!D:D,'Alta Proveedor'!E:E)=0,"",_xlfn.XLOOKUP(Imput[[#This Row],[RFC]],'Alta Proveedor'!D:D,'Alta Proveedor'!E:E)),"")</f>
        <v/>
      </c>
      <c r="F2664" s="832"/>
      <c r="G2664" s="187"/>
      <c r="H2664" s="1"/>
      <c r="I2664" s="169">
        <f>Imput[[#This Row],[Cantidad]]*Imput[[#This Row],[Precio Unitario]]</f>
        <v>0</v>
      </c>
      <c r="J2664" s="11">
        <f>((Imput[[#This Row],[Sub total]])*(0.16))</f>
        <v>0</v>
      </c>
      <c r="K2664" s="11">
        <v>0</v>
      </c>
      <c r="L2664" s="169">
        <f>Imput[[#This Row],[Sub total]]+Imput[[#This Row],[IVA]]-Imput[[#This Row],[Retención / IEPS / Descuento]]</f>
        <v>0</v>
      </c>
      <c r="M2664" s="844">
        <v>0</v>
      </c>
      <c r="N2664" s="189"/>
      <c r="O2664" s="1"/>
      <c r="P2664" s="189"/>
      <c r="Q2664" s="190"/>
      <c r="R2664" s="188"/>
      <c r="S2664" s="193"/>
      <c r="T2664" s="192"/>
      <c r="U2664" s="829"/>
      <c r="V2664" s="10"/>
      <c r="W2664" s="10"/>
      <c r="X2664" s="10"/>
      <c r="Y2664" s="10"/>
      <c r="Z2664" s="10"/>
      <c r="AA2664" s="11"/>
      <c r="AB2664" s="11"/>
    </row>
    <row r="2665" spans="2:28" x14ac:dyDescent="0.3">
      <c r="B2665" s="10"/>
      <c r="C2665" s="315"/>
      <c r="D2665" s="868"/>
      <c r="E2665" s="837" t="str">
        <f>IFERROR(IF(_xlfn.XLOOKUP(Imput[[#This Row],[RFC]],'Alta Proveedor'!D:D,'Alta Proveedor'!E:E)=0,"",_xlfn.XLOOKUP(Imput[[#This Row],[RFC]],'Alta Proveedor'!D:D,'Alta Proveedor'!E:E)),"")</f>
        <v/>
      </c>
      <c r="F2665" s="832"/>
      <c r="G2665" s="187"/>
      <c r="H2665" s="1"/>
      <c r="I2665" s="169">
        <f>Imput[[#This Row],[Cantidad]]*Imput[[#This Row],[Precio Unitario]]</f>
        <v>0</v>
      </c>
      <c r="J2665" s="11">
        <f>((Imput[[#This Row],[Sub total]])*(0.16))</f>
        <v>0</v>
      </c>
      <c r="K2665" s="11">
        <v>0</v>
      </c>
      <c r="L2665" s="169">
        <f>Imput[[#This Row],[Sub total]]+Imput[[#This Row],[IVA]]-Imput[[#This Row],[Retención / IEPS / Descuento]]</f>
        <v>0</v>
      </c>
      <c r="M2665" s="844">
        <v>0</v>
      </c>
      <c r="N2665" s="189"/>
      <c r="O2665" s="1"/>
      <c r="P2665" s="189"/>
      <c r="Q2665" s="190"/>
      <c r="R2665" s="188"/>
      <c r="S2665" s="193"/>
      <c r="T2665" s="192"/>
      <c r="U2665" s="829"/>
      <c r="V2665" s="10"/>
      <c r="W2665" s="10"/>
      <c r="X2665" s="10"/>
      <c r="Y2665" s="10"/>
      <c r="Z2665" s="10"/>
      <c r="AA2665" s="11"/>
      <c r="AB2665" s="11"/>
    </row>
    <row r="2666" spans="2:28" x14ac:dyDescent="0.3">
      <c r="B2666" s="10"/>
      <c r="C2666" s="315"/>
      <c r="D2666" s="868"/>
      <c r="E2666" s="837" t="str">
        <f>IFERROR(IF(_xlfn.XLOOKUP(Imput[[#This Row],[RFC]],'Alta Proveedor'!D:D,'Alta Proveedor'!E:E)=0,"",_xlfn.XLOOKUP(Imput[[#This Row],[RFC]],'Alta Proveedor'!D:D,'Alta Proveedor'!E:E)),"")</f>
        <v/>
      </c>
      <c r="F2666" s="832"/>
      <c r="G2666" s="187"/>
      <c r="H2666" s="1"/>
      <c r="I2666" s="169">
        <f>Imput[[#This Row],[Cantidad]]*Imput[[#This Row],[Precio Unitario]]</f>
        <v>0</v>
      </c>
      <c r="J2666" s="11">
        <f>((Imput[[#This Row],[Sub total]])*(0.16))</f>
        <v>0</v>
      </c>
      <c r="K2666" s="11">
        <v>0</v>
      </c>
      <c r="L2666" s="169">
        <f>Imput[[#This Row],[Sub total]]+Imput[[#This Row],[IVA]]-Imput[[#This Row],[Retención / IEPS / Descuento]]</f>
        <v>0</v>
      </c>
      <c r="M2666" s="844">
        <v>0</v>
      </c>
      <c r="N2666" s="189"/>
      <c r="O2666" s="1"/>
      <c r="P2666" s="189"/>
      <c r="Q2666" s="190"/>
      <c r="R2666" s="188"/>
      <c r="S2666" s="193"/>
      <c r="T2666" s="192"/>
      <c r="U2666" s="829"/>
      <c r="V2666" s="10"/>
      <c r="W2666" s="10"/>
      <c r="X2666" s="10"/>
      <c r="Y2666" s="10"/>
      <c r="Z2666" s="10"/>
      <c r="AA2666" s="11"/>
      <c r="AB2666" s="11"/>
    </row>
    <row r="2667" spans="2:28" x14ac:dyDescent="0.3">
      <c r="B2667" s="10"/>
      <c r="C2667" s="315"/>
      <c r="D2667" s="868"/>
      <c r="E2667" s="837" t="str">
        <f>IFERROR(IF(_xlfn.XLOOKUP(Imput[[#This Row],[RFC]],'Alta Proveedor'!D:D,'Alta Proveedor'!E:E)=0,"",_xlfn.XLOOKUP(Imput[[#This Row],[RFC]],'Alta Proveedor'!D:D,'Alta Proveedor'!E:E)),"")</f>
        <v/>
      </c>
      <c r="F2667" s="832"/>
      <c r="G2667" s="187"/>
      <c r="H2667" s="1"/>
      <c r="I2667" s="169">
        <f>Imput[[#This Row],[Cantidad]]*Imput[[#This Row],[Precio Unitario]]</f>
        <v>0</v>
      </c>
      <c r="J2667" s="11">
        <f>((Imput[[#This Row],[Sub total]])*(0.16))</f>
        <v>0</v>
      </c>
      <c r="K2667" s="11">
        <v>0</v>
      </c>
      <c r="L2667" s="169">
        <f>Imput[[#This Row],[Sub total]]+Imput[[#This Row],[IVA]]-Imput[[#This Row],[Retención / IEPS / Descuento]]</f>
        <v>0</v>
      </c>
      <c r="M2667" s="844">
        <v>0</v>
      </c>
      <c r="N2667" s="189"/>
      <c r="O2667" s="1"/>
      <c r="P2667" s="189"/>
      <c r="Q2667" s="190"/>
      <c r="R2667" s="188"/>
      <c r="S2667" s="193"/>
      <c r="T2667" s="192"/>
      <c r="U2667" s="829"/>
      <c r="V2667" s="10"/>
      <c r="W2667" s="10"/>
      <c r="X2667" s="10"/>
      <c r="Y2667" s="10"/>
      <c r="Z2667" s="10"/>
      <c r="AA2667" s="11"/>
      <c r="AB2667" s="11"/>
    </row>
    <row r="2668" spans="2:28" x14ac:dyDescent="0.3">
      <c r="B2668" s="10"/>
      <c r="C2668" s="315"/>
      <c r="D2668" s="868"/>
      <c r="E2668" s="837" t="str">
        <f>IFERROR(IF(_xlfn.XLOOKUP(Imput[[#This Row],[RFC]],'Alta Proveedor'!D:D,'Alta Proveedor'!E:E)=0,"",_xlfn.XLOOKUP(Imput[[#This Row],[RFC]],'Alta Proveedor'!D:D,'Alta Proveedor'!E:E)),"")</f>
        <v/>
      </c>
      <c r="F2668" s="832"/>
      <c r="G2668" s="187"/>
      <c r="H2668" s="1"/>
      <c r="I2668" s="169">
        <f>Imput[[#This Row],[Cantidad]]*Imput[[#This Row],[Precio Unitario]]</f>
        <v>0</v>
      </c>
      <c r="J2668" s="11">
        <f>((Imput[[#This Row],[Sub total]])*(0.16))</f>
        <v>0</v>
      </c>
      <c r="K2668" s="11">
        <v>0</v>
      </c>
      <c r="L2668" s="169">
        <f>Imput[[#This Row],[Sub total]]+Imput[[#This Row],[IVA]]-Imput[[#This Row],[Retención / IEPS / Descuento]]</f>
        <v>0</v>
      </c>
      <c r="M2668" s="844">
        <v>0</v>
      </c>
      <c r="N2668" s="189"/>
      <c r="O2668" s="1"/>
      <c r="P2668" s="189"/>
      <c r="Q2668" s="190"/>
      <c r="R2668" s="188"/>
      <c r="S2668" s="193"/>
      <c r="T2668" s="192"/>
      <c r="U2668" s="829"/>
      <c r="V2668" s="10"/>
      <c r="W2668" s="10"/>
      <c r="X2668" s="10"/>
      <c r="Y2668" s="10"/>
      <c r="Z2668" s="10"/>
      <c r="AA2668" s="11"/>
      <c r="AB2668" s="11"/>
    </row>
    <row r="2669" spans="2:28" x14ac:dyDescent="0.3">
      <c r="B2669" s="10"/>
      <c r="C2669" s="315"/>
      <c r="D2669" s="868"/>
      <c r="E2669" s="837" t="str">
        <f>IFERROR(IF(_xlfn.XLOOKUP(Imput[[#This Row],[RFC]],'Alta Proveedor'!D:D,'Alta Proveedor'!E:E)=0,"",_xlfn.XLOOKUP(Imput[[#This Row],[RFC]],'Alta Proveedor'!D:D,'Alta Proveedor'!E:E)),"")</f>
        <v/>
      </c>
      <c r="F2669" s="832"/>
      <c r="G2669" s="187"/>
      <c r="H2669" s="1"/>
      <c r="I2669" s="169">
        <f>Imput[[#This Row],[Cantidad]]*Imput[[#This Row],[Precio Unitario]]</f>
        <v>0</v>
      </c>
      <c r="J2669" s="11">
        <f>((Imput[[#This Row],[Sub total]])*(0.16))</f>
        <v>0</v>
      </c>
      <c r="K2669" s="11">
        <v>0</v>
      </c>
      <c r="L2669" s="169">
        <f>Imput[[#This Row],[Sub total]]+Imput[[#This Row],[IVA]]-Imput[[#This Row],[Retención / IEPS / Descuento]]</f>
        <v>0</v>
      </c>
      <c r="M2669" s="844">
        <v>0</v>
      </c>
      <c r="N2669" s="189"/>
      <c r="O2669" s="1"/>
      <c r="P2669" s="189"/>
      <c r="Q2669" s="190"/>
      <c r="R2669" s="188"/>
      <c r="S2669" s="193"/>
      <c r="T2669" s="192"/>
      <c r="U2669" s="829"/>
      <c r="V2669" s="10"/>
      <c r="W2669" s="10"/>
      <c r="X2669" s="10"/>
      <c r="Y2669" s="10"/>
      <c r="Z2669" s="10"/>
      <c r="AA2669" s="11"/>
      <c r="AB2669" s="11"/>
    </row>
    <row r="2670" spans="2:28" x14ac:dyDescent="0.3">
      <c r="B2670" s="10"/>
      <c r="C2670" s="315"/>
      <c r="D2670" s="868"/>
      <c r="E2670" s="837" t="str">
        <f>IFERROR(IF(_xlfn.XLOOKUP(Imput[[#This Row],[RFC]],'Alta Proveedor'!D:D,'Alta Proveedor'!E:E)=0,"",_xlfn.XLOOKUP(Imput[[#This Row],[RFC]],'Alta Proveedor'!D:D,'Alta Proveedor'!E:E)),"")</f>
        <v/>
      </c>
      <c r="F2670" s="832"/>
      <c r="G2670" s="187"/>
      <c r="H2670" s="1"/>
      <c r="I2670" s="169">
        <f>Imput[[#This Row],[Cantidad]]*Imput[[#This Row],[Precio Unitario]]</f>
        <v>0</v>
      </c>
      <c r="J2670" s="11">
        <f>((Imput[[#This Row],[Sub total]])*(0.16))</f>
        <v>0</v>
      </c>
      <c r="K2670" s="11">
        <v>0</v>
      </c>
      <c r="L2670" s="169">
        <f>Imput[[#This Row],[Sub total]]+Imput[[#This Row],[IVA]]-Imput[[#This Row],[Retención / IEPS / Descuento]]</f>
        <v>0</v>
      </c>
      <c r="M2670" s="844">
        <v>0</v>
      </c>
      <c r="N2670" s="189"/>
      <c r="O2670" s="1"/>
      <c r="P2670" s="189"/>
      <c r="Q2670" s="190"/>
      <c r="R2670" s="188"/>
      <c r="S2670" s="193"/>
      <c r="T2670" s="192"/>
      <c r="U2670" s="829"/>
      <c r="V2670" s="10"/>
      <c r="W2670" s="10"/>
      <c r="X2670" s="10"/>
      <c r="Y2670" s="10"/>
      <c r="Z2670" s="10"/>
      <c r="AA2670" s="11"/>
      <c r="AB2670" s="11"/>
    </row>
    <row r="2671" spans="2:28" x14ac:dyDescent="0.3">
      <c r="B2671" s="10"/>
      <c r="C2671" s="315"/>
      <c r="D2671" s="868"/>
      <c r="E2671" s="837" t="str">
        <f>IFERROR(IF(_xlfn.XLOOKUP(Imput[[#This Row],[RFC]],'Alta Proveedor'!D:D,'Alta Proveedor'!E:E)=0,"",_xlfn.XLOOKUP(Imput[[#This Row],[RFC]],'Alta Proveedor'!D:D,'Alta Proveedor'!E:E)),"")</f>
        <v/>
      </c>
      <c r="F2671" s="832"/>
      <c r="G2671" s="187"/>
      <c r="H2671" s="1"/>
      <c r="I2671" s="169">
        <f>Imput[[#This Row],[Cantidad]]*Imput[[#This Row],[Precio Unitario]]</f>
        <v>0</v>
      </c>
      <c r="J2671" s="11">
        <f>((Imput[[#This Row],[Sub total]])*(0.16))</f>
        <v>0</v>
      </c>
      <c r="K2671" s="11">
        <v>0</v>
      </c>
      <c r="L2671" s="169">
        <f>Imput[[#This Row],[Sub total]]+Imput[[#This Row],[IVA]]-Imput[[#This Row],[Retención / IEPS / Descuento]]</f>
        <v>0</v>
      </c>
      <c r="M2671" s="844">
        <v>0</v>
      </c>
      <c r="N2671" s="189"/>
      <c r="O2671" s="1"/>
      <c r="P2671" s="189"/>
      <c r="Q2671" s="190"/>
      <c r="R2671" s="188"/>
      <c r="S2671" s="193"/>
      <c r="T2671" s="192"/>
      <c r="U2671" s="829"/>
      <c r="V2671" s="10"/>
      <c r="W2671" s="10"/>
      <c r="X2671" s="10"/>
      <c r="Y2671" s="10"/>
      <c r="Z2671" s="10"/>
      <c r="AA2671" s="11"/>
      <c r="AB2671" s="11"/>
    </row>
    <row r="2672" spans="2:28" x14ac:dyDescent="0.3">
      <c r="B2672" s="10"/>
      <c r="C2672" s="315"/>
      <c r="D2672" s="868"/>
      <c r="E2672" s="837" t="str">
        <f>IFERROR(IF(_xlfn.XLOOKUP(Imput[[#This Row],[RFC]],'Alta Proveedor'!D:D,'Alta Proveedor'!E:E)=0,"",_xlfn.XLOOKUP(Imput[[#This Row],[RFC]],'Alta Proveedor'!D:D,'Alta Proveedor'!E:E)),"")</f>
        <v/>
      </c>
      <c r="F2672" s="832"/>
      <c r="G2672" s="187"/>
      <c r="H2672" s="1"/>
      <c r="I2672" s="169">
        <f>Imput[[#This Row],[Cantidad]]*Imput[[#This Row],[Precio Unitario]]</f>
        <v>0</v>
      </c>
      <c r="J2672" s="11">
        <f>((Imput[[#This Row],[Sub total]])*(0.16))</f>
        <v>0</v>
      </c>
      <c r="K2672" s="11">
        <v>0</v>
      </c>
      <c r="L2672" s="169">
        <f>Imput[[#This Row],[Sub total]]+Imput[[#This Row],[IVA]]-Imput[[#This Row],[Retención / IEPS / Descuento]]</f>
        <v>0</v>
      </c>
      <c r="M2672" s="844">
        <v>0</v>
      </c>
      <c r="N2672" s="189"/>
      <c r="O2672" s="1"/>
      <c r="P2672" s="189"/>
      <c r="Q2672" s="190"/>
      <c r="R2672" s="188"/>
      <c r="S2672" s="193"/>
      <c r="T2672" s="192"/>
      <c r="U2672" s="829"/>
      <c r="V2672" s="10"/>
      <c r="W2672" s="10"/>
      <c r="X2672" s="10"/>
      <c r="Y2672" s="10"/>
      <c r="Z2672" s="10"/>
      <c r="AA2672" s="11"/>
      <c r="AB2672" s="11"/>
    </row>
    <row r="2673" spans="2:28" x14ac:dyDescent="0.3">
      <c r="B2673" s="10"/>
      <c r="C2673" s="315"/>
      <c r="D2673" s="868"/>
      <c r="E2673" s="837" t="str">
        <f>IFERROR(IF(_xlfn.XLOOKUP(Imput[[#This Row],[RFC]],'Alta Proveedor'!D:D,'Alta Proveedor'!E:E)=0,"",_xlfn.XLOOKUP(Imput[[#This Row],[RFC]],'Alta Proveedor'!D:D,'Alta Proveedor'!E:E)),"")</f>
        <v/>
      </c>
      <c r="F2673" s="832"/>
      <c r="G2673" s="187"/>
      <c r="H2673" s="1"/>
      <c r="I2673" s="169">
        <f>Imput[[#This Row],[Cantidad]]*Imput[[#This Row],[Precio Unitario]]</f>
        <v>0</v>
      </c>
      <c r="J2673" s="11">
        <f>((Imput[[#This Row],[Sub total]])*(0.16))</f>
        <v>0</v>
      </c>
      <c r="K2673" s="11">
        <v>0</v>
      </c>
      <c r="L2673" s="169">
        <f>Imput[[#This Row],[Sub total]]+Imput[[#This Row],[IVA]]-Imput[[#This Row],[Retención / IEPS / Descuento]]</f>
        <v>0</v>
      </c>
      <c r="M2673" s="844">
        <v>0</v>
      </c>
      <c r="N2673" s="189"/>
      <c r="O2673" s="1"/>
      <c r="P2673" s="189"/>
      <c r="Q2673" s="190"/>
      <c r="R2673" s="188"/>
      <c r="S2673" s="193"/>
      <c r="T2673" s="192"/>
      <c r="U2673" s="829"/>
      <c r="V2673" s="10"/>
      <c r="W2673" s="10"/>
      <c r="X2673" s="10"/>
      <c r="Y2673" s="10"/>
      <c r="Z2673" s="10"/>
      <c r="AA2673" s="11"/>
      <c r="AB2673" s="11"/>
    </row>
    <row r="2674" spans="2:28" x14ac:dyDescent="0.3">
      <c r="B2674" s="10"/>
      <c r="C2674" s="315"/>
      <c r="D2674" s="868"/>
      <c r="E2674" s="837" t="str">
        <f>IFERROR(IF(_xlfn.XLOOKUP(Imput[[#This Row],[RFC]],'Alta Proveedor'!D:D,'Alta Proveedor'!E:E)=0,"",_xlfn.XLOOKUP(Imput[[#This Row],[RFC]],'Alta Proveedor'!D:D,'Alta Proveedor'!E:E)),"")</f>
        <v/>
      </c>
      <c r="F2674" s="832"/>
      <c r="G2674" s="187"/>
      <c r="H2674" s="1"/>
      <c r="I2674" s="169">
        <f>Imput[[#This Row],[Cantidad]]*Imput[[#This Row],[Precio Unitario]]</f>
        <v>0</v>
      </c>
      <c r="J2674" s="11">
        <f>((Imput[[#This Row],[Sub total]])*(0.16))</f>
        <v>0</v>
      </c>
      <c r="K2674" s="11">
        <v>0</v>
      </c>
      <c r="L2674" s="169">
        <f>Imput[[#This Row],[Sub total]]+Imput[[#This Row],[IVA]]-Imput[[#This Row],[Retención / IEPS / Descuento]]</f>
        <v>0</v>
      </c>
      <c r="M2674" s="844">
        <v>0</v>
      </c>
      <c r="N2674" s="189"/>
      <c r="O2674" s="1"/>
      <c r="P2674" s="189"/>
      <c r="Q2674" s="190"/>
      <c r="R2674" s="188"/>
      <c r="S2674" s="193"/>
      <c r="T2674" s="192"/>
      <c r="U2674" s="829"/>
      <c r="V2674" s="10"/>
      <c r="W2674" s="10"/>
      <c r="X2674" s="10"/>
      <c r="Y2674" s="10"/>
      <c r="Z2674" s="10"/>
      <c r="AA2674" s="11"/>
      <c r="AB2674" s="11"/>
    </row>
    <row r="2675" spans="2:28" x14ac:dyDescent="0.3">
      <c r="B2675" s="10"/>
      <c r="C2675" s="315"/>
      <c r="D2675" s="868"/>
      <c r="E2675" s="837" t="str">
        <f>IFERROR(IF(_xlfn.XLOOKUP(Imput[[#This Row],[RFC]],'Alta Proveedor'!D:D,'Alta Proveedor'!E:E)=0,"",_xlfn.XLOOKUP(Imput[[#This Row],[RFC]],'Alta Proveedor'!D:D,'Alta Proveedor'!E:E)),"")</f>
        <v/>
      </c>
      <c r="F2675" s="832"/>
      <c r="G2675" s="187"/>
      <c r="H2675" s="1"/>
      <c r="I2675" s="169">
        <f>Imput[[#This Row],[Cantidad]]*Imput[[#This Row],[Precio Unitario]]</f>
        <v>0</v>
      </c>
      <c r="J2675" s="11">
        <f>((Imput[[#This Row],[Sub total]])*(0.16))</f>
        <v>0</v>
      </c>
      <c r="K2675" s="11">
        <v>0</v>
      </c>
      <c r="L2675" s="169">
        <f>Imput[[#This Row],[Sub total]]+Imput[[#This Row],[IVA]]-Imput[[#This Row],[Retención / IEPS / Descuento]]</f>
        <v>0</v>
      </c>
      <c r="M2675" s="844">
        <v>0</v>
      </c>
      <c r="N2675" s="189"/>
      <c r="O2675" s="1"/>
      <c r="P2675" s="189"/>
      <c r="Q2675" s="190"/>
      <c r="R2675" s="188"/>
      <c r="S2675" s="193"/>
      <c r="T2675" s="192"/>
      <c r="U2675" s="829"/>
      <c r="V2675" s="10"/>
      <c r="W2675" s="10"/>
      <c r="X2675" s="10"/>
      <c r="Y2675" s="10"/>
      <c r="Z2675" s="10"/>
      <c r="AA2675" s="11"/>
      <c r="AB2675" s="11"/>
    </row>
    <row r="2676" spans="2:28" x14ac:dyDescent="0.3">
      <c r="B2676" s="10"/>
      <c r="C2676" s="315"/>
      <c r="D2676" s="868"/>
      <c r="E2676" s="837" t="str">
        <f>IFERROR(IF(_xlfn.XLOOKUP(Imput[[#This Row],[RFC]],'Alta Proveedor'!D:D,'Alta Proveedor'!E:E)=0,"",_xlfn.XLOOKUP(Imput[[#This Row],[RFC]],'Alta Proveedor'!D:D,'Alta Proveedor'!E:E)),"")</f>
        <v/>
      </c>
      <c r="F2676" s="832"/>
      <c r="G2676" s="187"/>
      <c r="H2676" s="1"/>
      <c r="I2676" s="169">
        <f>Imput[[#This Row],[Cantidad]]*Imput[[#This Row],[Precio Unitario]]</f>
        <v>0</v>
      </c>
      <c r="J2676" s="11">
        <f>((Imput[[#This Row],[Sub total]])*(0.16))</f>
        <v>0</v>
      </c>
      <c r="K2676" s="11">
        <v>0</v>
      </c>
      <c r="L2676" s="169">
        <f>Imput[[#This Row],[Sub total]]+Imput[[#This Row],[IVA]]-Imput[[#This Row],[Retención / IEPS / Descuento]]</f>
        <v>0</v>
      </c>
      <c r="M2676" s="844">
        <v>0</v>
      </c>
      <c r="N2676" s="189"/>
      <c r="O2676" s="1"/>
      <c r="P2676" s="189"/>
      <c r="Q2676" s="190"/>
      <c r="R2676" s="188"/>
      <c r="S2676" s="193"/>
      <c r="T2676" s="192"/>
      <c r="U2676" s="829"/>
      <c r="V2676" s="10"/>
      <c r="W2676" s="10"/>
      <c r="X2676" s="10"/>
      <c r="Y2676" s="10"/>
      <c r="Z2676" s="10"/>
      <c r="AA2676" s="11"/>
      <c r="AB2676" s="11"/>
    </row>
    <row r="2677" spans="2:28" x14ac:dyDescent="0.3">
      <c r="B2677" s="10"/>
      <c r="C2677" s="315"/>
      <c r="D2677" s="868"/>
      <c r="E2677" s="837" t="str">
        <f>IFERROR(IF(_xlfn.XLOOKUP(Imput[[#This Row],[RFC]],'Alta Proveedor'!D:D,'Alta Proveedor'!E:E)=0,"",_xlfn.XLOOKUP(Imput[[#This Row],[RFC]],'Alta Proveedor'!D:D,'Alta Proveedor'!E:E)),"")</f>
        <v/>
      </c>
      <c r="F2677" s="832"/>
      <c r="G2677" s="187"/>
      <c r="H2677" s="1"/>
      <c r="I2677" s="169">
        <f>Imput[[#This Row],[Cantidad]]*Imput[[#This Row],[Precio Unitario]]</f>
        <v>0</v>
      </c>
      <c r="J2677" s="11">
        <f>((Imput[[#This Row],[Sub total]])*(0.16))</f>
        <v>0</v>
      </c>
      <c r="K2677" s="11">
        <v>0</v>
      </c>
      <c r="L2677" s="169">
        <f>Imput[[#This Row],[Sub total]]+Imput[[#This Row],[IVA]]-Imput[[#This Row],[Retención / IEPS / Descuento]]</f>
        <v>0</v>
      </c>
      <c r="M2677" s="844">
        <v>0</v>
      </c>
      <c r="N2677" s="189"/>
      <c r="O2677" s="1"/>
      <c r="P2677" s="189"/>
      <c r="Q2677" s="190"/>
      <c r="R2677" s="188"/>
      <c r="S2677" s="193"/>
      <c r="T2677" s="192"/>
      <c r="U2677" s="829"/>
      <c r="V2677" s="10"/>
      <c r="W2677" s="10"/>
      <c r="X2677" s="10"/>
      <c r="Y2677" s="10"/>
      <c r="Z2677" s="10"/>
      <c r="AA2677" s="11"/>
      <c r="AB2677" s="11"/>
    </row>
    <row r="2678" spans="2:28" x14ac:dyDescent="0.3">
      <c r="B2678" s="10"/>
      <c r="C2678" s="315"/>
      <c r="D2678" s="868"/>
      <c r="E2678" s="837" t="str">
        <f>IFERROR(IF(_xlfn.XLOOKUP(Imput[[#This Row],[RFC]],'Alta Proveedor'!D:D,'Alta Proveedor'!E:E)=0,"",_xlfn.XLOOKUP(Imput[[#This Row],[RFC]],'Alta Proveedor'!D:D,'Alta Proveedor'!E:E)),"")</f>
        <v/>
      </c>
      <c r="F2678" s="832"/>
      <c r="G2678" s="187"/>
      <c r="H2678" s="1"/>
      <c r="I2678" s="169">
        <f>Imput[[#This Row],[Cantidad]]*Imput[[#This Row],[Precio Unitario]]</f>
        <v>0</v>
      </c>
      <c r="J2678" s="11">
        <f>((Imput[[#This Row],[Sub total]])*(0.16))</f>
        <v>0</v>
      </c>
      <c r="K2678" s="11">
        <v>0</v>
      </c>
      <c r="L2678" s="169">
        <f>Imput[[#This Row],[Sub total]]+Imput[[#This Row],[IVA]]-Imput[[#This Row],[Retención / IEPS / Descuento]]</f>
        <v>0</v>
      </c>
      <c r="M2678" s="844">
        <v>0</v>
      </c>
      <c r="N2678" s="189"/>
      <c r="O2678" s="1"/>
      <c r="P2678" s="189"/>
      <c r="Q2678" s="190"/>
      <c r="R2678" s="188"/>
      <c r="S2678" s="193"/>
      <c r="T2678" s="192"/>
      <c r="U2678" s="829"/>
      <c r="V2678" s="10"/>
      <c r="W2678" s="10"/>
      <c r="X2678" s="10"/>
      <c r="Y2678" s="10"/>
      <c r="Z2678" s="10"/>
      <c r="AA2678" s="11"/>
      <c r="AB2678" s="11"/>
    </row>
    <row r="2679" spans="2:28" x14ac:dyDescent="0.3">
      <c r="B2679" s="10"/>
      <c r="C2679" s="315"/>
      <c r="D2679" s="868"/>
      <c r="E2679" s="837" t="str">
        <f>IFERROR(IF(_xlfn.XLOOKUP(Imput[[#This Row],[RFC]],'Alta Proveedor'!D:D,'Alta Proveedor'!E:E)=0,"",_xlfn.XLOOKUP(Imput[[#This Row],[RFC]],'Alta Proveedor'!D:D,'Alta Proveedor'!E:E)),"")</f>
        <v/>
      </c>
      <c r="F2679" s="832"/>
      <c r="G2679" s="187"/>
      <c r="H2679" s="1"/>
      <c r="I2679" s="169">
        <f>Imput[[#This Row],[Cantidad]]*Imput[[#This Row],[Precio Unitario]]</f>
        <v>0</v>
      </c>
      <c r="J2679" s="11">
        <f>((Imput[[#This Row],[Sub total]])*(0.16))</f>
        <v>0</v>
      </c>
      <c r="K2679" s="11">
        <v>0</v>
      </c>
      <c r="L2679" s="169">
        <f>Imput[[#This Row],[Sub total]]+Imput[[#This Row],[IVA]]-Imput[[#This Row],[Retención / IEPS / Descuento]]</f>
        <v>0</v>
      </c>
      <c r="M2679" s="844">
        <v>0</v>
      </c>
      <c r="N2679" s="189"/>
      <c r="O2679" s="1"/>
      <c r="P2679" s="189"/>
      <c r="Q2679" s="190"/>
      <c r="R2679" s="188"/>
      <c r="S2679" s="193"/>
      <c r="T2679" s="192"/>
      <c r="U2679" s="829"/>
      <c r="V2679" s="10"/>
      <c r="W2679" s="10"/>
      <c r="X2679" s="10"/>
      <c r="Y2679" s="10"/>
      <c r="Z2679" s="10"/>
      <c r="AA2679" s="11"/>
      <c r="AB2679" s="11"/>
    </row>
    <row r="2680" spans="2:28" x14ac:dyDescent="0.3">
      <c r="B2680" s="10"/>
      <c r="C2680" s="315"/>
      <c r="D2680" s="868"/>
      <c r="E2680" s="837" t="str">
        <f>IFERROR(IF(_xlfn.XLOOKUP(Imput[[#This Row],[RFC]],'Alta Proveedor'!D:D,'Alta Proveedor'!E:E)=0,"",_xlfn.XLOOKUP(Imput[[#This Row],[RFC]],'Alta Proveedor'!D:D,'Alta Proveedor'!E:E)),"")</f>
        <v/>
      </c>
      <c r="F2680" s="832"/>
      <c r="G2680" s="187"/>
      <c r="H2680" s="1"/>
      <c r="I2680" s="169">
        <f>Imput[[#This Row],[Cantidad]]*Imput[[#This Row],[Precio Unitario]]</f>
        <v>0</v>
      </c>
      <c r="J2680" s="11">
        <f>((Imput[[#This Row],[Sub total]])*(0.16))</f>
        <v>0</v>
      </c>
      <c r="K2680" s="11">
        <v>0</v>
      </c>
      <c r="L2680" s="169">
        <f>Imput[[#This Row],[Sub total]]+Imput[[#This Row],[IVA]]-Imput[[#This Row],[Retención / IEPS / Descuento]]</f>
        <v>0</v>
      </c>
      <c r="M2680" s="844">
        <v>0</v>
      </c>
      <c r="N2680" s="189"/>
      <c r="O2680" s="1"/>
      <c r="P2680" s="189"/>
      <c r="Q2680" s="190"/>
      <c r="R2680" s="188"/>
      <c r="S2680" s="193"/>
      <c r="T2680" s="192"/>
      <c r="U2680" s="829"/>
      <c r="V2680" s="10"/>
      <c r="W2680" s="10"/>
      <c r="X2680" s="10"/>
      <c r="Y2680" s="10"/>
      <c r="Z2680" s="10"/>
      <c r="AA2680" s="11"/>
      <c r="AB2680" s="11"/>
    </row>
    <row r="2681" spans="2:28" x14ac:dyDescent="0.3">
      <c r="B2681" s="10"/>
      <c r="C2681" s="315"/>
      <c r="D2681" s="868"/>
      <c r="E2681" s="837" t="str">
        <f>IFERROR(IF(_xlfn.XLOOKUP(Imput[[#This Row],[RFC]],'Alta Proveedor'!D:D,'Alta Proveedor'!E:E)=0,"",_xlfn.XLOOKUP(Imput[[#This Row],[RFC]],'Alta Proveedor'!D:D,'Alta Proveedor'!E:E)),"")</f>
        <v/>
      </c>
      <c r="F2681" s="832"/>
      <c r="G2681" s="187"/>
      <c r="H2681" s="1"/>
      <c r="I2681" s="169">
        <f>Imput[[#This Row],[Cantidad]]*Imput[[#This Row],[Precio Unitario]]</f>
        <v>0</v>
      </c>
      <c r="J2681" s="11">
        <f>((Imput[[#This Row],[Sub total]])*(0.16))</f>
        <v>0</v>
      </c>
      <c r="K2681" s="11">
        <v>0</v>
      </c>
      <c r="L2681" s="169">
        <f>Imput[[#This Row],[Sub total]]+Imput[[#This Row],[IVA]]-Imput[[#This Row],[Retención / IEPS / Descuento]]</f>
        <v>0</v>
      </c>
      <c r="M2681" s="844">
        <v>0</v>
      </c>
      <c r="N2681" s="189"/>
      <c r="O2681" s="1"/>
      <c r="P2681" s="189"/>
      <c r="Q2681" s="190"/>
      <c r="R2681" s="188"/>
      <c r="S2681" s="193"/>
      <c r="T2681" s="192"/>
      <c r="U2681" s="829"/>
      <c r="V2681" s="10"/>
      <c r="W2681" s="10"/>
      <c r="X2681" s="10"/>
      <c r="Y2681" s="10"/>
      <c r="Z2681" s="10"/>
      <c r="AA2681" s="11"/>
      <c r="AB2681" s="11"/>
    </row>
    <row r="2682" spans="2:28" x14ac:dyDescent="0.3">
      <c r="B2682" s="10"/>
      <c r="C2682" s="315"/>
      <c r="D2682" s="868"/>
      <c r="E2682" s="837" t="str">
        <f>IFERROR(IF(_xlfn.XLOOKUP(Imput[[#This Row],[RFC]],'Alta Proveedor'!D:D,'Alta Proveedor'!E:E)=0,"",_xlfn.XLOOKUP(Imput[[#This Row],[RFC]],'Alta Proveedor'!D:D,'Alta Proveedor'!E:E)),"")</f>
        <v/>
      </c>
      <c r="F2682" s="832"/>
      <c r="G2682" s="187"/>
      <c r="H2682" s="1"/>
      <c r="I2682" s="169">
        <f>Imput[[#This Row],[Cantidad]]*Imput[[#This Row],[Precio Unitario]]</f>
        <v>0</v>
      </c>
      <c r="J2682" s="11">
        <f>((Imput[[#This Row],[Sub total]])*(0.16))</f>
        <v>0</v>
      </c>
      <c r="K2682" s="11">
        <v>0</v>
      </c>
      <c r="L2682" s="169">
        <f>Imput[[#This Row],[Sub total]]+Imput[[#This Row],[IVA]]-Imput[[#This Row],[Retención / IEPS / Descuento]]</f>
        <v>0</v>
      </c>
      <c r="M2682" s="844">
        <v>0</v>
      </c>
      <c r="N2682" s="189"/>
      <c r="O2682" s="1"/>
      <c r="P2682" s="189"/>
      <c r="Q2682" s="190"/>
      <c r="R2682" s="188"/>
      <c r="S2682" s="193"/>
      <c r="T2682" s="192"/>
      <c r="U2682" s="829"/>
      <c r="V2682" s="10"/>
      <c r="W2682" s="10"/>
      <c r="X2682" s="10"/>
      <c r="Y2682" s="10"/>
      <c r="Z2682" s="10"/>
      <c r="AA2682" s="11"/>
      <c r="AB2682" s="11"/>
    </row>
    <row r="2683" spans="2:28" x14ac:dyDescent="0.3">
      <c r="B2683" s="10"/>
      <c r="C2683" s="315"/>
      <c r="D2683" s="868"/>
      <c r="E2683" s="837" t="str">
        <f>IFERROR(IF(_xlfn.XLOOKUP(Imput[[#This Row],[RFC]],'Alta Proveedor'!D:D,'Alta Proveedor'!E:E)=0,"",_xlfn.XLOOKUP(Imput[[#This Row],[RFC]],'Alta Proveedor'!D:D,'Alta Proveedor'!E:E)),"")</f>
        <v/>
      </c>
      <c r="F2683" s="832"/>
      <c r="G2683" s="187"/>
      <c r="H2683" s="1"/>
      <c r="I2683" s="169">
        <f>Imput[[#This Row],[Cantidad]]*Imput[[#This Row],[Precio Unitario]]</f>
        <v>0</v>
      </c>
      <c r="J2683" s="11">
        <f>((Imput[[#This Row],[Sub total]])*(0.16))</f>
        <v>0</v>
      </c>
      <c r="K2683" s="11">
        <v>0</v>
      </c>
      <c r="L2683" s="169">
        <f>Imput[[#This Row],[Sub total]]+Imput[[#This Row],[IVA]]-Imput[[#This Row],[Retención / IEPS / Descuento]]</f>
        <v>0</v>
      </c>
      <c r="M2683" s="844">
        <v>0</v>
      </c>
      <c r="N2683" s="189"/>
      <c r="O2683" s="1"/>
      <c r="P2683" s="189"/>
      <c r="Q2683" s="190"/>
      <c r="R2683" s="188"/>
      <c r="S2683" s="193"/>
      <c r="T2683" s="192"/>
      <c r="U2683" s="829"/>
      <c r="V2683" s="10"/>
      <c r="W2683" s="10"/>
      <c r="X2683" s="10"/>
      <c r="Y2683" s="10"/>
      <c r="Z2683" s="10"/>
      <c r="AA2683" s="11"/>
      <c r="AB2683" s="11"/>
    </row>
    <row r="2684" spans="2:28" x14ac:dyDescent="0.3">
      <c r="B2684" s="10"/>
      <c r="C2684" s="315"/>
      <c r="D2684" s="868"/>
      <c r="E2684" s="837" t="str">
        <f>IFERROR(IF(_xlfn.XLOOKUP(Imput[[#This Row],[RFC]],'Alta Proveedor'!D:D,'Alta Proveedor'!E:E)=0,"",_xlfn.XLOOKUP(Imput[[#This Row],[RFC]],'Alta Proveedor'!D:D,'Alta Proveedor'!E:E)),"")</f>
        <v/>
      </c>
      <c r="F2684" s="832"/>
      <c r="G2684" s="187"/>
      <c r="H2684" s="1"/>
      <c r="I2684" s="169">
        <f>Imput[[#This Row],[Cantidad]]*Imput[[#This Row],[Precio Unitario]]</f>
        <v>0</v>
      </c>
      <c r="J2684" s="11">
        <f>((Imput[[#This Row],[Sub total]])*(0.16))</f>
        <v>0</v>
      </c>
      <c r="K2684" s="11">
        <v>0</v>
      </c>
      <c r="L2684" s="169">
        <f>Imput[[#This Row],[Sub total]]+Imput[[#This Row],[IVA]]-Imput[[#This Row],[Retención / IEPS / Descuento]]</f>
        <v>0</v>
      </c>
      <c r="M2684" s="844">
        <v>0</v>
      </c>
      <c r="N2684" s="189"/>
      <c r="O2684" s="1"/>
      <c r="P2684" s="189"/>
      <c r="Q2684" s="190"/>
      <c r="R2684" s="188"/>
      <c r="S2684" s="193"/>
      <c r="T2684" s="192"/>
      <c r="U2684" s="829"/>
      <c r="V2684" s="10"/>
      <c r="W2684" s="10"/>
      <c r="X2684" s="10"/>
      <c r="Y2684" s="10"/>
      <c r="Z2684" s="10"/>
      <c r="AA2684" s="11"/>
      <c r="AB2684" s="11"/>
    </row>
    <row r="2685" spans="2:28" x14ac:dyDescent="0.3">
      <c r="B2685" s="10"/>
      <c r="C2685" s="315"/>
      <c r="D2685" s="868"/>
      <c r="E2685" s="837" t="str">
        <f>IFERROR(IF(_xlfn.XLOOKUP(Imput[[#This Row],[RFC]],'Alta Proveedor'!D:D,'Alta Proveedor'!E:E)=0,"",_xlfn.XLOOKUP(Imput[[#This Row],[RFC]],'Alta Proveedor'!D:D,'Alta Proveedor'!E:E)),"")</f>
        <v/>
      </c>
      <c r="F2685" s="832"/>
      <c r="G2685" s="187"/>
      <c r="H2685" s="1"/>
      <c r="I2685" s="169">
        <f>Imput[[#This Row],[Cantidad]]*Imput[[#This Row],[Precio Unitario]]</f>
        <v>0</v>
      </c>
      <c r="J2685" s="11">
        <f>((Imput[[#This Row],[Sub total]])*(0.16))</f>
        <v>0</v>
      </c>
      <c r="K2685" s="11">
        <v>0</v>
      </c>
      <c r="L2685" s="169">
        <f>Imput[[#This Row],[Sub total]]+Imput[[#This Row],[IVA]]-Imput[[#This Row],[Retención / IEPS / Descuento]]</f>
        <v>0</v>
      </c>
      <c r="M2685" s="844">
        <v>0</v>
      </c>
      <c r="N2685" s="189"/>
      <c r="O2685" s="1"/>
      <c r="P2685" s="189"/>
      <c r="Q2685" s="190"/>
      <c r="R2685" s="188"/>
      <c r="S2685" s="193"/>
      <c r="T2685" s="192"/>
      <c r="U2685" s="829"/>
      <c r="V2685" s="10"/>
      <c r="W2685" s="10"/>
      <c r="X2685" s="10"/>
      <c r="Y2685" s="10"/>
      <c r="Z2685" s="10"/>
      <c r="AA2685" s="11"/>
      <c r="AB2685" s="11"/>
    </row>
    <row r="2686" spans="2:28" x14ac:dyDescent="0.3">
      <c r="B2686" s="10"/>
      <c r="C2686" s="315"/>
      <c r="D2686" s="868"/>
      <c r="E2686" s="837" t="str">
        <f>IFERROR(IF(_xlfn.XLOOKUP(Imput[[#This Row],[RFC]],'Alta Proveedor'!D:D,'Alta Proveedor'!E:E)=0,"",_xlfn.XLOOKUP(Imput[[#This Row],[RFC]],'Alta Proveedor'!D:D,'Alta Proveedor'!E:E)),"")</f>
        <v/>
      </c>
      <c r="F2686" s="832"/>
      <c r="G2686" s="187"/>
      <c r="H2686" s="1"/>
      <c r="I2686" s="169">
        <f>Imput[[#This Row],[Cantidad]]*Imput[[#This Row],[Precio Unitario]]</f>
        <v>0</v>
      </c>
      <c r="J2686" s="11">
        <f>((Imput[[#This Row],[Sub total]])*(0.16))</f>
        <v>0</v>
      </c>
      <c r="K2686" s="11">
        <v>0</v>
      </c>
      <c r="L2686" s="169">
        <f>Imput[[#This Row],[Sub total]]+Imput[[#This Row],[IVA]]-Imput[[#This Row],[Retención / IEPS / Descuento]]</f>
        <v>0</v>
      </c>
      <c r="M2686" s="844">
        <v>0</v>
      </c>
      <c r="N2686" s="189"/>
      <c r="O2686" s="1"/>
      <c r="P2686" s="189"/>
      <c r="Q2686" s="190"/>
      <c r="R2686" s="188"/>
      <c r="S2686" s="193"/>
      <c r="T2686" s="192"/>
      <c r="U2686" s="829"/>
      <c r="V2686" s="10"/>
      <c r="W2686" s="10"/>
      <c r="X2686" s="10"/>
      <c r="Y2686" s="10"/>
      <c r="Z2686" s="10"/>
      <c r="AA2686" s="11"/>
      <c r="AB2686" s="11"/>
    </row>
    <row r="2687" spans="2:28" x14ac:dyDescent="0.3">
      <c r="B2687" s="10"/>
      <c r="C2687" s="315"/>
      <c r="D2687" s="868"/>
      <c r="E2687" s="837" t="str">
        <f>IFERROR(IF(_xlfn.XLOOKUP(Imput[[#This Row],[RFC]],'Alta Proveedor'!D:D,'Alta Proveedor'!E:E)=0,"",_xlfn.XLOOKUP(Imput[[#This Row],[RFC]],'Alta Proveedor'!D:D,'Alta Proveedor'!E:E)),"")</f>
        <v/>
      </c>
      <c r="F2687" s="832"/>
      <c r="G2687" s="187"/>
      <c r="H2687" s="1"/>
      <c r="I2687" s="169">
        <f>Imput[[#This Row],[Cantidad]]*Imput[[#This Row],[Precio Unitario]]</f>
        <v>0</v>
      </c>
      <c r="J2687" s="11">
        <f>((Imput[[#This Row],[Sub total]])*(0.16))</f>
        <v>0</v>
      </c>
      <c r="K2687" s="11">
        <v>0</v>
      </c>
      <c r="L2687" s="169">
        <f>Imput[[#This Row],[Sub total]]+Imput[[#This Row],[IVA]]-Imput[[#This Row],[Retención / IEPS / Descuento]]</f>
        <v>0</v>
      </c>
      <c r="M2687" s="844">
        <v>0</v>
      </c>
      <c r="N2687" s="189"/>
      <c r="O2687" s="1"/>
      <c r="P2687" s="189"/>
      <c r="Q2687" s="190"/>
      <c r="R2687" s="188"/>
      <c r="S2687" s="193"/>
      <c r="T2687" s="192"/>
      <c r="U2687" s="829"/>
      <c r="V2687" s="10"/>
      <c r="W2687" s="10"/>
      <c r="X2687" s="10"/>
      <c r="Y2687" s="10"/>
      <c r="Z2687" s="10"/>
      <c r="AA2687" s="11"/>
      <c r="AB2687" s="11"/>
    </row>
    <row r="2688" spans="2:28" x14ac:dyDescent="0.3">
      <c r="B2688" s="10"/>
      <c r="C2688" s="315"/>
      <c r="D2688" s="868"/>
      <c r="E2688" s="837" t="str">
        <f>IFERROR(IF(_xlfn.XLOOKUP(Imput[[#This Row],[RFC]],'Alta Proveedor'!D:D,'Alta Proveedor'!E:E)=0,"",_xlfn.XLOOKUP(Imput[[#This Row],[RFC]],'Alta Proveedor'!D:D,'Alta Proveedor'!E:E)),"")</f>
        <v/>
      </c>
      <c r="F2688" s="832"/>
      <c r="G2688" s="187"/>
      <c r="H2688" s="1"/>
      <c r="I2688" s="169">
        <f>Imput[[#This Row],[Cantidad]]*Imput[[#This Row],[Precio Unitario]]</f>
        <v>0</v>
      </c>
      <c r="J2688" s="11">
        <f>((Imput[[#This Row],[Sub total]])*(0.16))</f>
        <v>0</v>
      </c>
      <c r="K2688" s="11">
        <v>0</v>
      </c>
      <c r="L2688" s="169">
        <f>Imput[[#This Row],[Sub total]]+Imput[[#This Row],[IVA]]-Imput[[#This Row],[Retención / IEPS / Descuento]]</f>
        <v>0</v>
      </c>
      <c r="M2688" s="844">
        <v>0</v>
      </c>
      <c r="N2688" s="189"/>
      <c r="O2688" s="1"/>
      <c r="P2688" s="189"/>
      <c r="Q2688" s="190"/>
      <c r="R2688" s="188"/>
      <c r="S2688" s="193"/>
      <c r="T2688" s="192"/>
      <c r="U2688" s="829"/>
      <c r="V2688" s="10"/>
      <c r="W2688" s="10"/>
      <c r="X2688" s="10"/>
      <c r="Y2688" s="10"/>
      <c r="Z2688" s="10"/>
      <c r="AA2688" s="11"/>
      <c r="AB2688" s="11"/>
    </row>
    <row r="2689" spans="2:28" x14ac:dyDescent="0.3">
      <c r="B2689" s="10"/>
      <c r="C2689" s="315"/>
      <c r="D2689" s="868"/>
      <c r="E2689" s="837" t="str">
        <f>IFERROR(IF(_xlfn.XLOOKUP(Imput[[#This Row],[RFC]],'Alta Proveedor'!D:D,'Alta Proveedor'!E:E)=0,"",_xlfn.XLOOKUP(Imput[[#This Row],[RFC]],'Alta Proveedor'!D:D,'Alta Proveedor'!E:E)),"")</f>
        <v/>
      </c>
      <c r="F2689" s="832"/>
      <c r="G2689" s="187"/>
      <c r="H2689" s="1"/>
      <c r="I2689" s="169">
        <f>Imput[[#This Row],[Cantidad]]*Imput[[#This Row],[Precio Unitario]]</f>
        <v>0</v>
      </c>
      <c r="J2689" s="11">
        <f>((Imput[[#This Row],[Sub total]])*(0.16))</f>
        <v>0</v>
      </c>
      <c r="K2689" s="11">
        <v>0</v>
      </c>
      <c r="L2689" s="169">
        <f>Imput[[#This Row],[Sub total]]+Imput[[#This Row],[IVA]]-Imput[[#This Row],[Retención / IEPS / Descuento]]</f>
        <v>0</v>
      </c>
      <c r="M2689" s="844">
        <v>0</v>
      </c>
      <c r="N2689" s="189"/>
      <c r="O2689" s="1"/>
      <c r="P2689" s="189"/>
      <c r="Q2689" s="190"/>
      <c r="R2689" s="188"/>
      <c r="S2689" s="193"/>
      <c r="T2689" s="192"/>
      <c r="U2689" s="829"/>
      <c r="V2689" s="10"/>
      <c r="W2689" s="10"/>
      <c r="X2689" s="10"/>
      <c r="Y2689" s="10"/>
      <c r="Z2689" s="10"/>
      <c r="AA2689" s="11"/>
      <c r="AB2689" s="11"/>
    </row>
    <row r="2690" spans="2:28" x14ac:dyDescent="0.3">
      <c r="B2690" s="10"/>
      <c r="C2690" s="315"/>
      <c r="D2690" s="868"/>
      <c r="E2690" s="837" t="str">
        <f>IFERROR(IF(_xlfn.XLOOKUP(Imput[[#This Row],[RFC]],'Alta Proveedor'!D:D,'Alta Proveedor'!E:E)=0,"",_xlfn.XLOOKUP(Imput[[#This Row],[RFC]],'Alta Proveedor'!D:D,'Alta Proveedor'!E:E)),"")</f>
        <v/>
      </c>
      <c r="F2690" s="832"/>
      <c r="G2690" s="187"/>
      <c r="H2690" s="1"/>
      <c r="I2690" s="169">
        <f>Imput[[#This Row],[Cantidad]]*Imput[[#This Row],[Precio Unitario]]</f>
        <v>0</v>
      </c>
      <c r="J2690" s="11">
        <f>((Imput[[#This Row],[Sub total]])*(0.16))</f>
        <v>0</v>
      </c>
      <c r="K2690" s="11">
        <v>0</v>
      </c>
      <c r="L2690" s="169">
        <f>Imput[[#This Row],[Sub total]]+Imput[[#This Row],[IVA]]-Imput[[#This Row],[Retención / IEPS / Descuento]]</f>
        <v>0</v>
      </c>
      <c r="M2690" s="844">
        <v>0</v>
      </c>
      <c r="N2690" s="189"/>
      <c r="O2690" s="1"/>
      <c r="P2690" s="189"/>
      <c r="Q2690" s="190"/>
      <c r="R2690" s="188"/>
      <c r="S2690" s="193"/>
      <c r="T2690" s="192"/>
      <c r="U2690" s="829"/>
      <c r="V2690" s="10"/>
      <c r="W2690" s="10"/>
      <c r="X2690" s="10"/>
      <c r="Y2690" s="10"/>
      <c r="Z2690" s="10"/>
      <c r="AA2690" s="11"/>
      <c r="AB2690" s="11"/>
    </row>
    <row r="2691" spans="2:28" x14ac:dyDescent="0.3">
      <c r="B2691" s="10"/>
      <c r="C2691" s="315"/>
      <c r="D2691" s="868"/>
      <c r="E2691" s="837" t="str">
        <f>IFERROR(IF(_xlfn.XLOOKUP(Imput[[#This Row],[RFC]],'Alta Proveedor'!D:D,'Alta Proveedor'!E:E)=0,"",_xlfn.XLOOKUP(Imput[[#This Row],[RFC]],'Alta Proveedor'!D:D,'Alta Proveedor'!E:E)),"")</f>
        <v/>
      </c>
      <c r="F2691" s="832"/>
      <c r="G2691" s="187"/>
      <c r="H2691" s="1"/>
      <c r="I2691" s="169">
        <f>Imput[[#This Row],[Cantidad]]*Imput[[#This Row],[Precio Unitario]]</f>
        <v>0</v>
      </c>
      <c r="J2691" s="11">
        <f>((Imput[[#This Row],[Sub total]])*(0.16))</f>
        <v>0</v>
      </c>
      <c r="K2691" s="11">
        <v>0</v>
      </c>
      <c r="L2691" s="169">
        <f>Imput[[#This Row],[Sub total]]+Imput[[#This Row],[IVA]]-Imput[[#This Row],[Retención / IEPS / Descuento]]</f>
        <v>0</v>
      </c>
      <c r="M2691" s="844">
        <v>0</v>
      </c>
      <c r="N2691" s="189"/>
      <c r="O2691" s="1"/>
      <c r="P2691" s="189"/>
      <c r="Q2691" s="190"/>
      <c r="R2691" s="188"/>
      <c r="S2691" s="193"/>
      <c r="T2691" s="192"/>
      <c r="U2691" s="829"/>
      <c r="V2691" s="10"/>
      <c r="W2691" s="10"/>
      <c r="X2691" s="10"/>
      <c r="Y2691" s="10"/>
      <c r="Z2691" s="10"/>
      <c r="AA2691" s="11"/>
      <c r="AB2691" s="11"/>
    </row>
    <row r="2692" spans="2:28" x14ac:dyDescent="0.3">
      <c r="B2692" s="10"/>
      <c r="C2692" s="315"/>
      <c r="D2692" s="868"/>
      <c r="E2692" s="837" t="str">
        <f>IFERROR(IF(_xlfn.XLOOKUP(Imput[[#This Row],[RFC]],'Alta Proveedor'!D:D,'Alta Proveedor'!E:E)=0,"",_xlfn.XLOOKUP(Imput[[#This Row],[RFC]],'Alta Proveedor'!D:D,'Alta Proveedor'!E:E)),"")</f>
        <v/>
      </c>
      <c r="F2692" s="832"/>
      <c r="G2692" s="187"/>
      <c r="H2692" s="1"/>
      <c r="I2692" s="169">
        <f>Imput[[#This Row],[Cantidad]]*Imput[[#This Row],[Precio Unitario]]</f>
        <v>0</v>
      </c>
      <c r="J2692" s="11">
        <f>((Imput[[#This Row],[Sub total]])*(0.16))</f>
        <v>0</v>
      </c>
      <c r="K2692" s="11">
        <v>0</v>
      </c>
      <c r="L2692" s="169">
        <f>Imput[[#This Row],[Sub total]]+Imput[[#This Row],[IVA]]-Imput[[#This Row],[Retención / IEPS / Descuento]]</f>
        <v>0</v>
      </c>
      <c r="M2692" s="844">
        <v>0</v>
      </c>
      <c r="N2692" s="189"/>
      <c r="O2692" s="1"/>
      <c r="P2692" s="189"/>
      <c r="Q2692" s="190"/>
      <c r="R2692" s="188"/>
      <c r="S2692" s="193"/>
      <c r="T2692" s="192"/>
      <c r="U2692" s="829"/>
      <c r="V2692" s="10"/>
      <c r="W2692" s="10"/>
      <c r="X2692" s="10"/>
      <c r="Y2692" s="10"/>
      <c r="Z2692" s="10"/>
      <c r="AA2692" s="11"/>
      <c r="AB2692" s="11"/>
    </row>
    <row r="2693" spans="2:28" x14ac:dyDescent="0.3">
      <c r="B2693" s="10"/>
      <c r="C2693" s="315"/>
      <c r="D2693" s="868"/>
      <c r="E2693" s="837" t="str">
        <f>IFERROR(IF(_xlfn.XLOOKUP(Imput[[#This Row],[RFC]],'Alta Proveedor'!D:D,'Alta Proveedor'!E:E)=0,"",_xlfn.XLOOKUP(Imput[[#This Row],[RFC]],'Alta Proveedor'!D:D,'Alta Proveedor'!E:E)),"")</f>
        <v/>
      </c>
      <c r="F2693" s="832"/>
      <c r="G2693" s="187"/>
      <c r="H2693" s="1"/>
      <c r="I2693" s="169">
        <f>Imput[[#This Row],[Cantidad]]*Imput[[#This Row],[Precio Unitario]]</f>
        <v>0</v>
      </c>
      <c r="J2693" s="11">
        <f>((Imput[[#This Row],[Sub total]])*(0.16))</f>
        <v>0</v>
      </c>
      <c r="K2693" s="11">
        <v>0</v>
      </c>
      <c r="L2693" s="169">
        <f>Imput[[#This Row],[Sub total]]+Imput[[#This Row],[IVA]]-Imput[[#This Row],[Retención / IEPS / Descuento]]</f>
        <v>0</v>
      </c>
      <c r="M2693" s="844">
        <v>0</v>
      </c>
      <c r="N2693" s="189"/>
      <c r="O2693" s="1"/>
      <c r="P2693" s="189"/>
      <c r="Q2693" s="190"/>
      <c r="R2693" s="188"/>
      <c r="S2693" s="193"/>
      <c r="T2693" s="192"/>
      <c r="U2693" s="829"/>
      <c r="V2693" s="10"/>
      <c r="W2693" s="10"/>
      <c r="X2693" s="10"/>
      <c r="Y2693" s="10"/>
      <c r="Z2693" s="10"/>
      <c r="AA2693" s="11"/>
      <c r="AB2693" s="11"/>
    </row>
    <row r="2694" spans="2:28" x14ac:dyDescent="0.3">
      <c r="B2694" s="10"/>
      <c r="C2694" s="315"/>
      <c r="D2694" s="868"/>
      <c r="E2694" s="837" t="str">
        <f>IFERROR(IF(_xlfn.XLOOKUP(Imput[[#This Row],[RFC]],'Alta Proveedor'!D:D,'Alta Proveedor'!E:E)=0,"",_xlfn.XLOOKUP(Imput[[#This Row],[RFC]],'Alta Proveedor'!D:D,'Alta Proveedor'!E:E)),"")</f>
        <v/>
      </c>
      <c r="F2694" s="832"/>
      <c r="G2694" s="187"/>
      <c r="H2694" s="1"/>
      <c r="I2694" s="169">
        <f>Imput[[#This Row],[Cantidad]]*Imput[[#This Row],[Precio Unitario]]</f>
        <v>0</v>
      </c>
      <c r="J2694" s="11">
        <f>((Imput[[#This Row],[Sub total]])*(0.16))</f>
        <v>0</v>
      </c>
      <c r="K2694" s="11">
        <v>0</v>
      </c>
      <c r="L2694" s="169">
        <f>Imput[[#This Row],[Sub total]]+Imput[[#This Row],[IVA]]-Imput[[#This Row],[Retención / IEPS / Descuento]]</f>
        <v>0</v>
      </c>
      <c r="M2694" s="844">
        <v>0</v>
      </c>
      <c r="N2694" s="189"/>
      <c r="O2694" s="1"/>
      <c r="P2694" s="189"/>
      <c r="Q2694" s="190"/>
      <c r="R2694" s="188"/>
      <c r="S2694" s="193"/>
      <c r="T2694" s="192"/>
      <c r="U2694" s="829"/>
      <c r="V2694" s="10"/>
      <c r="W2694" s="10"/>
      <c r="X2694" s="10"/>
      <c r="Y2694" s="10"/>
      <c r="Z2694" s="10"/>
      <c r="AA2694" s="11"/>
      <c r="AB2694" s="11"/>
    </row>
    <row r="2695" spans="2:28" x14ac:dyDescent="0.3">
      <c r="B2695" s="10"/>
      <c r="C2695" s="315"/>
      <c r="D2695" s="868"/>
      <c r="E2695" s="837" t="str">
        <f>IFERROR(IF(_xlfn.XLOOKUP(Imput[[#This Row],[RFC]],'Alta Proveedor'!D:D,'Alta Proveedor'!E:E)=0,"",_xlfn.XLOOKUP(Imput[[#This Row],[RFC]],'Alta Proveedor'!D:D,'Alta Proveedor'!E:E)),"")</f>
        <v/>
      </c>
      <c r="F2695" s="832"/>
      <c r="G2695" s="187"/>
      <c r="H2695" s="1"/>
      <c r="I2695" s="169">
        <f>Imput[[#This Row],[Cantidad]]*Imput[[#This Row],[Precio Unitario]]</f>
        <v>0</v>
      </c>
      <c r="J2695" s="11">
        <f>((Imput[[#This Row],[Sub total]])*(0.16))</f>
        <v>0</v>
      </c>
      <c r="K2695" s="11">
        <v>0</v>
      </c>
      <c r="L2695" s="169">
        <f>Imput[[#This Row],[Sub total]]+Imput[[#This Row],[IVA]]-Imput[[#This Row],[Retención / IEPS / Descuento]]</f>
        <v>0</v>
      </c>
      <c r="M2695" s="844">
        <v>0</v>
      </c>
      <c r="N2695" s="189"/>
      <c r="O2695" s="1"/>
      <c r="P2695" s="189"/>
      <c r="Q2695" s="190"/>
      <c r="R2695" s="188"/>
      <c r="S2695" s="193"/>
      <c r="T2695" s="192"/>
      <c r="U2695" s="829"/>
      <c r="V2695" s="10"/>
      <c r="W2695" s="10"/>
      <c r="X2695" s="10"/>
      <c r="Y2695" s="10"/>
      <c r="Z2695" s="10"/>
      <c r="AA2695" s="11"/>
      <c r="AB2695" s="11"/>
    </row>
    <row r="2696" spans="2:28" x14ac:dyDescent="0.3">
      <c r="B2696" s="10"/>
      <c r="C2696" s="315"/>
      <c r="D2696" s="868"/>
      <c r="E2696" s="837" t="str">
        <f>IFERROR(IF(_xlfn.XLOOKUP(Imput[[#This Row],[RFC]],'Alta Proveedor'!D:D,'Alta Proveedor'!E:E)=0,"",_xlfn.XLOOKUP(Imput[[#This Row],[RFC]],'Alta Proveedor'!D:D,'Alta Proveedor'!E:E)),"")</f>
        <v/>
      </c>
      <c r="F2696" s="832"/>
      <c r="G2696" s="187"/>
      <c r="H2696" s="1"/>
      <c r="I2696" s="169">
        <f>Imput[[#This Row],[Cantidad]]*Imput[[#This Row],[Precio Unitario]]</f>
        <v>0</v>
      </c>
      <c r="J2696" s="11">
        <f>((Imput[[#This Row],[Sub total]])*(0.16))</f>
        <v>0</v>
      </c>
      <c r="K2696" s="11">
        <v>0</v>
      </c>
      <c r="L2696" s="169">
        <f>Imput[[#This Row],[Sub total]]+Imput[[#This Row],[IVA]]-Imput[[#This Row],[Retención / IEPS / Descuento]]</f>
        <v>0</v>
      </c>
      <c r="M2696" s="844">
        <v>0</v>
      </c>
      <c r="N2696" s="189"/>
      <c r="O2696" s="1"/>
      <c r="P2696" s="189"/>
      <c r="Q2696" s="190"/>
      <c r="R2696" s="188"/>
      <c r="S2696" s="193"/>
      <c r="T2696" s="192"/>
      <c r="U2696" s="829"/>
      <c r="V2696" s="10"/>
      <c r="W2696" s="10"/>
      <c r="X2696" s="10"/>
      <c r="Y2696" s="10"/>
      <c r="Z2696" s="10"/>
      <c r="AA2696" s="11"/>
      <c r="AB2696" s="11"/>
    </row>
    <row r="2697" spans="2:28" x14ac:dyDescent="0.3">
      <c r="B2697" s="10"/>
      <c r="C2697" s="315"/>
      <c r="D2697" s="868"/>
      <c r="E2697" s="837" t="str">
        <f>IFERROR(IF(_xlfn.XLOOKUP(Imput[[#This Row],[RFC]],'Alta Proveedor'!D:D,'Alta Proveedor'!E:E)=0,"",_xlfn.XLOOKUP(Imput[[#This Row],[RFC]],'Alta Proveedor'!D:D,'Alta Proveedor'!E:E)),"")</f>
        <v/>
      </c>
      <c r="F2697" s="832"/>
      <c r="G2697" s="187"/>
      <c r="H2697" s="1"/>
      <c r="I2697" s="169">
        <f>Imput[[#This Row],[Cantidad]]*Imput[[#This Row],[Precio Unitario]]</f>
        <v>0</v>
      </c>
      <c r="J2697" s="11">
        <f>((Imput[[#This Row],[Sub total]])*(0.16))</f>
        <v>0</v>
      </c>
      <c r="K2697" s="11">
        <v>0</v>
      </c>
      <c r="L2697" s="169">
        <f>Imput[[#This Row],[Sub total]]+Imput[[#This Row],[IVA]]-Imput[[#This Row],[Retención / IEPS / Descuento]]</f>
        <v>0</v>
      </c>
      <c r="M2697" s="844">
        <v>0</v>
      </c>
      <c r="N2697" s="189"/>
      <c r="O2697" s="1"/>
      <c r="P2697" s="189"/>
      <c r="Q2697" s="190"/>
      <c r="R2697" s="188"/>
      <c r="S2697" s="193"/>
      <c r="T2697" s="192"/>
      <c r="U2697" s="829"/>
      <c r="V2697" s="10"/>
      <c r="W2697" s="10"/>
      <c r="X2697" s="10"/>
      <c r="Y2697" s="10"/>
      <c r="Z2697" s="10"/>
      <c r="AA2697" s="11"/>
      <c r="AB2697" s="11"/>
    </row>
    <row r="2698" spans="2:28" x14ac:dyDescent="0.3">
      <c r="B2698" s="10"/>
      <c r="C2698" s="315"/>
      <c r="D2698" s="868"/>
      <c r="E2698" s="837" t="str">
        <f>IFERROR(IF(_xlfn.XLOOKUP(Imput[[#This Row],[RFC]],'Alta Proveedor'!D:D,'Alta Proveedor'!E:E)=0,"",_xlfn.XLOOKUP(Imput[[#This Row],[RFC]],'Alta Proveedor'!D:D,'Alta Proveedor'!E:E)),"")</f>
        <v/>
      </c>
      <c r="F2698" s="832"/>
      <c r="G2698" s="187"/>
      <c r="H2698" s="1"/>
      <c r="I2698" s="169">
        <f>Imput[[#This Row],[Cantidad]]*Imput[[#This Row],[Precio Unitario]]</f>
        <v>0</v>
      </c>
      <c r="J2698" s="11">
        <f>((Imput[[#This Row],[Sub total]])*(0.16))</f>
        <v>0</v>
      </c>
      <c r="K2698" s="11">
        <v>0</v>
      </c>
      <c r="L2698" s="169">
        <f>Imput[[#This Row],[Sub total]]+Imput[[#This Row],[IVA]]-Imput[[#This Row],[Retención / IEPS / Descuento]]</f>
        <v>0</v>
      </c>
      <c r="M2698" s="844">
        <v>0</v>
      </c>
      <c r="N2698" s="189"/>
      <c r="O2698" s="1"/>
      <c r="P2698" s="189"/>
      <c r="Q2698" s="190"/>
      <c r="R2698" s="188"/>
      <c r="S2698" s="193"/>
      <c r="T2698" s="192"/>
      <c r="U2698" s="829"/>
      <c r="V2698" s="10"/>
      <c r="W2698" s="10"/>
      <c r="X2698" s="10"/>
      <c r="Y2698" s="10"/>
      <c r="Z2698" s="10"/>
      <c r="AA2698" s="11"/>
      <c r="AB2698" s="11"/>
    </row>
    <row r="2699" spans="2:28" x14ac:dyDescent="0.3">
      <c r="B2699" s="10"/>
      <c r="C2699" s="315"/>
      <c r="D2699" s="868"/>
      <c r="E2699" s="837" t="str">
        <f>IFERROR(IF(_xlfn.XLOOKUP(Imput[[#This Row],[RFC]],'Alta Proveedor'!D:D,'Alta Proveedor'!E:E)=0,"",_xlfn.XLOOKUP(Imput[[#This Row],[RFC]],'Alta Proveedor'!D:D,'Alta Proveedor'!E:E)),"")</f>
        <v/>
      </c>
      <c r="F2699" s="832"/>
      <c r="G2699" s="187"/>
      <c r="H2699" s="1"/>
      <c r="I2699" s="169">
        <f>Imput[[#This Row],[Cantidad]]*Imput[[#This Row],[Precio Unitario]]</f>
        <v>0</v>
      </c>
      <c r="J2699" s="11">
        <f>((Imput[[#This Row],[Sub total]])*(0.16))</f>
        <v>0</v>
      </c>
      <c r="K2699" s="11">
        <v>0</v>
      </c>
      <c r="L2699" s="169">
        <f>Imput[[#This Row],[Sub total]]+Imput[[#This Row],[IVA]]-Imput[[#This Row],[Retención / IEPS / Descuento]]</f>
        <v>0</v>
      </c>
      <c r="M2699" s="844">
        <v>0</v>
      </c>
      <c r="N2699" s="189"/>
      <c r="O2699" s="1"/>
      <c r="P2699" s="189"/>
      <c r="Q2699" s="190"/>
      <c r="R2699" s="188"/>
      <c r="S2699" s="193"/>
      <c r="T2699" s="192"/>
      <c r="U2699" s="829"/>
      <c r="V2699" s="10"/>
      <c r="W2699" s="10"/>
      <c r="X2699" s="10"/>
      <c r="Y2699" s="10"/>
      <c r="Z2699" s="10"/>
      <c r="AA2699" s="11"/>
      <c r="AB2699" s="11"/>
    </row>
    <row r="2700" spans="2:28" x14ac:dyDescent="0.3">
      <c r="B2700" s="10"/>
      <c r="C2700" s="315"/>
      <c r="D2700" s="868"/>
      <c r="E2700" s="837" t="str">
        <f>IFERROR(IF(_xlfn.XLOOKUP(Imput[[#This Row],[RFC]],'Alta Proveedor'!D:D,'Alta Proveedor'!E:E)=0,"",_xlfn.XLOOKUP(Imput[[#This Row],[RFC]],'Alta Proveedor'!D:D,'Alta Proveedor'!E:E)),"")</f>
        <v/>
      </c>
      <c r="F2700" s="832"/>
      <c r="G2700" s="187"/>
      <c r="H2700" s="1"/>
      <c r="I2700" s="169">
        <f>Imput[[#This Row],[Cantidad]]*Imput[[#This Row],[Precio Unitario]]</f>
        <v>0</v>
      </c>
      <c r="J2700" s="11">
        <f>((Imput[[#This Row],[Sub total]])*(0.16))</f>
        <v>0</v>
      </c>
      <c r="K2700" s="11">
        <v>0</v>
      </c>
      <c r="L2700" s="169">
        <f>Imput[[#This Row],[Sub total]]+Imput[[#This Row],[IVA]]-Imput[[#This Row],[Retención / IEPS / Descuento]]</f>
        <v>0</v>
      </c>
      <c r="M2700" s="844">
        <v>0</v>
      </c>
      <c r="N2700" s="189"/>
      <c r="O2700" s="1"/>
      <c r="P2700" s="189"/>
      <c r="Q2700" s="190"/>
      <c r="R2700" s="188"/>
      <c r="S2700" s="193"/>
      <c r="T2700" s="192"/>
      <c r="U2700" s="829"/>
      <c r="V2700" s="10"/>
      <c r="W2700" s="10"/>
      <c r="X2700" s="10"/>
      <c r="Y2700" s="10"/>
      <c r="Z2700" s="10"/>
      <c r="AA2700" s="11"/>
      <c r="AB2700" s="11"/>
    </row>
    <row r="2701" spans="2:28" x14ac:dyDescent="0.3">
      <c r="B2701" s="10"/>
      <c r="C2701" s="315"/>
      <c r="D2701" s="868"/>
      <c r="E2701" s="837" t="str">
        <f>IFERROR(IF(_xlfn.XLOOKUP(Imput[[#This Row],[RFC]],'Alta Proveedor'!D:D,'Alta Proveedor'!E:E)=0,"",_xlfn.XLOOKUP(Imput[[#This Row],[RFC]],'Alta Proveedor'!D:D,'Alta Proveedor'!E:E)),"")</f>
        <v/>
      </c>
      <c r="F2701" s="832"/>
      <c r="G2701" s="187"/>
      <c r="H2701" s="1"/>
      <c r="I2701" s="169">
        <f>Imput[[#This Row],[Cantidad]]*Imput[[#This Row],[Precio Unitario]]</f>
        <v>0</v>
      </c>
      <c r="J2701" s="11">
        <f>((Imput[[#This Row],[Sub total]])*(0.16))</f>
        <v>0</v>
      </c>
      <c r="K2701" s="11">
        <v>0</v>
      </c>
      <c r="L2701" s="169">
        <f>Imput[[#This Row],[Sub total]]+Imput[[#This Row],[IVA]]-Imput[[#This Row],[Retención / IEPS / Descuento]]</f>
        <v>0</v>
      </c>
      <c r="M2701" s="844">
        <v>0</v>
      </c>
      <c r="N2701" s="189"/>
      <c r="O2701" s="1"/>
      <c r="P2701" s="189"/>
      <c r="Q2701" s="190"/>
      <c r="R2701" s="188"/>
      <c r="S2701" s="193"/>
      <c r="T2701" s="192"/>
      <c r="U2701" s="829"/>
      <c r="V2701" s="10"/>
      <c r="W2701" s="10"/>
      <c r="X2701" s="10"/>
      <c r="Y2701" s="10"/>
      <c r="Z2701" s="10"/>
      <c r="AA2701" s="11"/>
      <c r="AB2701" s="11"/>
    </row>
    <row r="2702" spans="2:28" x14ac:dyDescent="0.3">
      <c r="B2702" s="10"/>
      <c r="C2702" s="315"/>
      <c r="D2702" s="868"/>
      <c r="E2702" s="837" t="str">
        <f>IFERROR(IF(_xlfn.XLOOKUP(Imput[[#This Row],[RFC]],'Alta Proveedor'!D:D,'Alta Proveedor'!E:E)=0,"",_xlfn.XLOOKUP(Imput[[#This Row],[RFC]],'Alta Proveedor'!D:D,'Alta Proveedor'!E:E)),"")</f>
        <v/>
      </c>
      <c r="F2702" s="832"/>
      <c r="G2702" s="187"/>
      <c r="H2702" s="1"/>
      <c r="I2702" s="169">
        <f>Imput[[#This Row],[Cantidad]]*Imput[[#This Row],[Precio Unitario]]</f>
        <v>0</v>
      </c>
      <c r="J2702" s="11">
        <f>((Imput[[#This Row],[Sub total]])*(0.16))</f>
        <v>0</v>
      </c>
      <c r="K2702" s="11">
        <v>0</v>
      </c>
      <c r="L2702" s="169">
        <f>Imput[[#This Row],[Sub total]]+Imput[[#This Row],[IVA]]-Imput[[#This Row],[Retención / IEPS / Descuento]]</f>
        <v>0</v>
      </c>
      <c r="M2702" s="844">
        <v>0</v>
      </c>
      <c r="N2702" s="189"/>
      <c r="O2702" s="1"/>
      <c r="P2702" s="189"/>
      <c r="Q2702" s="190"/>
      <c r="R2702" s="188"/>
      <c r="S2702" s="193"/>
      <c r="T2702" s="192"/>
      <c r="U2702" s="829"/>
      <c r="V2702" s="10"/>
      <c r="W2702" s="10"/>
      <c r="X2702" s="10"/>
      <c r="Y2702" s="10"/>
      <c r="Z2702" s="10"/>
      <c r="AA2702" s="11"/>
      <c r="AB2702" s="11"/>
    </row>
    <row r="2703" spans="2:28" x14ac:dyDescent="0.3">
      <c r="B2703" s="10"/>
      <c r="C2703" s="315"/>
      <c r="D2703" s="868"/>
      <c r="E2703" s="837" t="str">
        <f>IFERROR(IF(_xlfn.XLOOKUP(Imput[[#This Row],[RFC]],'Alta Proveedor'!D:D,'Alta Proveedor'!E:E)=0,"",_xlfn.XLOOKUP(Imput[[#This Row],[RFC]],'Alta Proveedor'!D:D,'Alta Proveedor'!E:E)),"")</f>
        <v/>
      </c>
      <c r="F2703" s="832"/>
      <c r="G2703" s="187"/>
      <c r="H2703" s="1"/>
      <c r="I2703" s="169">
        <f>Imput[[#This Row],[Cantidad]]*Imput[[#This Row],[Precio Unitario]]</f>
        <v>0</v>
      </c>
      <c r="J2703" s="11">
        <f>((Imput[[#This Row],[Sub total]])*(0.16))</f>
        <v>0</v>
      </c>
      <c r="K2703" s="11">
        <v>0</v>
      </c>
      <c r="L2703" s="169">
        <f>Imput[[#This Row],[Sub total]]+Imput[[#This Row],[IVA]]-Imput[[#This Row],[Retención / IEPS / Descuento]]</f>
        <v>0</v>
      </c>
      <c r="M2703" s="844">
        <v>0</v>
      </c>
      <c r="N2703" s="189"/>
      <c r="O2703" s="1"/>
      <c r="P2703" s="189"/>
      <c r="Q2703" s="190"/>
      <c r="R2703" s="188"/>
      <c r="S2703" s="193"/>
      <c r="T2703" s="192"/>
      <c r="U2703" s="829"/>
      <c r="V2703" s="10"/>
      <c r="W2703" s="10"/>
      <c r="X2703" s="10"/>
      <c r="Y2703" s="10"/>
      <c r="Z2703" s="10"/>
      <c r="AA2703" s="11"/>
      <c r="AB2703" s="11"/>
    </row>
    <row r="2704" spans="2:28" x14ac:dyDescent="0.3">
      <c r="B2704" s="10"/>
      <c r="C2704" s="315"/>
      <c r="D2704" s="868"/>
      <c r="E2704" s="837" t="str">
        <f>IFERROR(IF(_xlfn.XLOOKUP(Imput[[#This Row],[RFC]],'Alta Proveedor'!D:D,'Alta Proveedor'!E:E)=0,"",_xlfn.XLOOKUP(Imput[[#This Row],[RFC]],'Alta Proveedor'!D:D,'Alta Proveedor'!E:E)),"")</f>
        <v/>
      </c>
      <c r="F2704" s="832"/>
      <c r="G2704" s="187"/>
      <c r="H2704" s="1"/>
      <c r="I2704" s="169">
        <f>Imput[[#This Row],[Cantidad]]*Imput[[#This Row],[Precio Unitario]]</f>
        <v>0</v>
      </c>
      <c r="J2704" s="11">
        <f>((Imput[[#This Row],[Sub total]])*(0.16))</f>
        <v>0</v>
      </c>
      <c r="K2704" s="11">
        <v>0</v>
      </c>
      <c r="L2704" s="169">
        <f>Imput[[#This Row],[Sub total]]+Imput[[#This Row],[IVA]]-Imput[[#This Row],[Retención / IEPS / Descuento]]</f>
        <v>0</v>
      </c>
      <c r="M2704" s="844">
        <v>0</v>
      </c>
      <c r="N2704" s="189"/>
      <c r="O2704" s="1"/>
      <c r="P2704" s="189"/>
      <c r="Q2704" s="190"/>
      <c r="R2704" s="188"/>
      <c r="S2704" s="193"/>
      <c r="T2704" s="192"/>
      <c r="U2704" s="829"/>
      <c r="V2704" s="10"/>
      <c r="W2704" s="10"/>
      <c r="X2704" s="10"/>
      <c r="Y2704" s="10"/>
      <c r="Z2704" s="10"/>
      <c r="AA2704" s="11"/>
      <c r="AB2704" s="11"/>
    </row>
    <row r="2705" spans="2:28" x14ac:dyDescent="0.3">
      <c r="B2705" s="10"/>
      <c r="C2705" s="315"/>
      <c r="D2705" s="868"/>
      <c r="E2705" s="837" t="str">
        <f>IFERROR(IF(_xlfn.XLOOKUP(Imput[[#This Row],[RFC]],'Alta Proveedor'!D:D,'Alta Proveedor'!E:E)=0,"",_xlfn.XLOOKUP(Imput[[#This Row],[RFC]],'Alta Proveedor'!D:D,'Alta Proveedor'!E:E)),"")</f>
        <v/>
      </c>
      <c r="F2705" s="832"/>
      <c r="G2705" s="187"/>
      <c r="H2705" s="1"/>
      <c r="I2705" s="169">
        <f>Imput[[#This Row],[Cantidad]]*Imput[[#This Row],[Precio Unitario]]</f>
        <v>0</v>
      </c>
      <c r="J2705" s="11">
        <f>((Imput[[#This Row],[Sub total]])*(0.16))</f>
        <v>0</v>
      </c>
      <c r="K2705" s="11">
        <v>0</v>
      </c>
      <c r="L2705" s="169">
        <f>Imput[[#This Row],[Sub total]]+Imput[[#This Row],[IVA]]-Imput[[#This Row],[Retención / IEPS / Descuento]]</f>
        <v>0</v>
      </c>
      <c r="M2705" s="844">
        <v>0</v>
      </c>
      <c r="N2705" s="189"/>
      <c r="O2705" s="1"/>
      <c r="P2705" s="189"/>
      <c r="Q2705" s="190"/>
      <c r="R2705" s="188"/>
      <c r="S2705" s="193"/>
      <c r="T2705" s="192"/>
      <c r="U2705" s="829"/>
      <c r="V2705" s="10"/>
      <c r="W2705" s="10"/>
      <c r="X2705" s="10"/>
      <c r="Y2705" s="10"/>
      <c r="Z2705" s="10"/>
      <c r="AA2705" s="11"/>
      <c r="AB2705" s="11"/>
    </row>
    <row r="2706" spans="2:28" x14ac:dyDescent="0.3">
      <c r="B2706" s="10"/>
      <c r="C2706" s="315"/>
      <c r="D2706" s="868"/>
      <c r="E2706" s="837" t="str">
        <f>IFERROR(IF(_xlfn.XLOOKUP(Imput[[#This Row],[RFC]],'Alta Proveedor'!D:D,'Alta Proveedor'!E:E)=0,"",_xlfn.XLOOKUP(Imput[[#This Row],[RFC]],'Alta Proveedor'!D:D,'Alta Proveedor'!E:E)),"")</f>
        <v/>
      </c>
      <c r="F2706" s="832"/>
      <c r="G2706" s="187"/>
      <c r="H2706" s="1"/>
      <c r="I2706" s="169">
        <f>Imput[[#This Row],[Cantidad]]*Imput[[#This Row],[Precio Unitario]]</f>
        <v>0</v>
      </c>
      <c r="J2706" s="11">
        <f>((Imput[[#This Row],[Sub total]])*(0.16))</f>
        <v>0</v>
      </c>
      <c r="K2706" s="11">
        <v>0</v>
      </c>
      <c r="L2706" s="169">
        <f>Imput[[#This Row],[Sub total]]+Imput[[#This Row],[IVA]]-Imput[[#This Row],[Retención / IEPS / Descuento]]</f>
        <v>0</v>
      </c>
      <c r="M2706" s="844">
        <v>0</v>
      </c>
      <c r="N2706" s="189"/>
      <c r="O2706" s="1"/>
      <c r="P2706" s="189"/>
      <c r="Q2706" s="190"/>
      <c r="R2706" s="188"/>
      <c r="S2706" s="193"/>
      <c r="T2706" s="192"/>
      <c r="U2706" s="829"/>
      <c r="V2706" s="10"/>
      <c r="W2706" s="10"/>
      <c r="X2706" s="10"/>
      <c r="Y2706" s="10"/>
      <c r="Z2706" s="10"/>
      <c r="AA2706" s="11"/>
      <c r="AB2706" s="11"/>
    </row>
    <row r="2707" spans="2:28" x14ac:dyDescent="0.3">
      <c r="B2707" s="10"/>
      <c r="C2707" s="315"/>
      <c r="D2707" s="868"/>
      <c r="E2707" s="837" t="str">
        <f>IFERROR(IF(_xlfn.XLOOKUP(Imput[[#This Row],[RFC]],'Alta Proveedor'!D:D,'Alta Proveedor'!E:E)=0,"",_xlfn.XLOOKUP(Imput[[#This Row],[RFC]],'Alta Proveedor'!D:D,'Alta Proveedor'!E:E)),"")</f>
        <v/>
      </c>
      <c r="F2707" s="832"/>
      <c r="G2707" s="187"/>
      <c r="H2707" s="1"/>
      <c r="I2707" s="169">
        <f>Imput[[#This Row],[Cantidad]]*Imput[[#This Row],[Precio Unitario]]</f>
        <v>0</v>
      </c>
      <c r="J2707" s="11">
        <f>((Imput[[#This Row],[Sub total]])*(0.16))</f>
        <v>0</v>
      </c>
      <c r="K2707" s="11">
        <v>0</v>
      </c>
      <c r="L2707" s="169">
        <f>Imput[[#This Row],[Sub total]]+Imput[[#This Row],[IVA]]-Imput[[#This Row],[Retención / IEPS / Descuento]]</f>
        <v>0</v>
      </c>
      <c r="M2707" s="844">
        <v>0</v>
      </c>
      <c r="N2707" s="189"/>
      <c r="O2707" s="1"/>
      <c r="P2707" s="189"/>
      <c r="Q2707" s="190"/>
      <c r="R2707" s="188"/>
      <c r="S2707" s="193"/>
      <c r="T2707" s="192"/>
      <c r="U2707" s="829"/>
      <c r="V2707" s="10"/>
      <c r="W2707" s="10"/>
      <c r="X2707" s="10"/>
      <c r="Y2707" s="10"/>
      <c r="Z2707" s="10"/>
      <c r="AA2707" s="11"/>
      <c r="AB2707" s="11"/>
    </row>
    <row r="2708" spans="2:28" x14ac:dyDescent="0.3">
      <c r="B2708" s="10"/>
      <c r="C2708" s="315"/>
      <c r="D2708" s="868"/>
      <c r="E2708" s="837" t="str">
        <f>IFERROR(IF(_xlfn.XLOOKUP(Imput[[#This Row],[RFC]],'Alta Proveedor'!D:D,'Alta Proveedor'!E:E)=0,"",_xlfn.XLOOKUP(Imput[[#This Row],[RFC]],'Alta Proveedor'!D:D,'Alta Proveedor'!E:E)),"")</f>
        <v/>
      </c>
      <c r="F2708" s="832"/>
      <c r="G2708" s="187"/>
      <c r="H2708" s="1"/>
      <c r="I2708" s="169">
        <f>Imput[[#This Row],[Cantidad]]*Imput[[#This Row],[Precio Unitario]]</f>
        <v>0</v>
      </c>
      <c r="J2708" s="11">
        <f>((Imput[[#This Row],[Sub total]])*(0.16))</f>
        <v>0</v>
      </c>
      <c r="K2708" s="11">
        <v>0</v>
      </c>
      <c r="L2708" s="169">
        <f>Imput[[#This Row],[Sub total]]+Imput[[#This Row],[IVA]]-Imput[[#This Row],[Retención / IEPS / Descuento]]</f>
        <v>0</v>
      </c>
      <c r="M2708" s="844">
        <v>0</v>
      </c>
      <c r="N2708" s="189"/>
      <c r="O2708" s="1"/>
      <c r="P2708" s="189"/>
      <c r="Q2708" s="190"/>
      <c r="R2708" s="188"/>
      <c r="S2708" s="193"/>
      <c r="T2708" s="192"/>
      <c r="U2708" s="829"/>
      <c r="V2708" s="10"/>
      <c r="W2708" s="10"/>
      <c r="X2708" s="10"/>
      <c r="Y2708" s="10"/>
      <c r="Z2708" s="10"/>
      <c r="AA2708" s="11"/>
      <c r="AB2708" s="11"/>
    </row>
    <row r="2709" spans="2:28" x14ac:dyDescent="0.3">
      <c r="B2709" s="10"/>
      <c r="C2709" s="315"/>
      <c r="D2709" s="868"/>
      <c r="E2709" s="837" t="str">
        <f>IFERROR(IF(_xlfn.XLOOKUP(Imput[[#This Row],[RFC]],'Alta Proveedor'!D:D,'Alta Proveedor'!E:E)=0,"",_xlfn.XLOOKUP(Imput[[#This Row],[RFC]],'Alta Proveedor'!D:D,'Alta Proveedor'!E:E)),"")</f>
        <v/>
      </c>
      <c r="F2709" s="832"/>
      <c r="G2709" s="187"/>
      <c r="H2709" s="1"/>
      <c r="I2709" s="169">
        <f>Imput[[#This Row],[Cantidad]]*Imput[[#This Row],[Precio Unitario]]</f>
        <v>0</v>
      </c>
      <c r="J2709" s="11">
        <f>((Imput[[#This Row],[Sub total]])*(0.16))</f>
        <v>0</v>
      </c>
      <c r="K2709" s="11">
        <v>0</v>
      </c>
      <c r="L2709" s="169">
        <f>Imput[[#This Row],[Sub total]]+Imput[[#This Row],[IVA]]-Imput[[#This Row],[Retención / IEPS / Descuento]]</f>
        <v>0</v>
      </c>
      <c r="M2709" s="844">
        <v>0</v>
      </c>
      <c r="N2709" s="189"/>
      <c r="O2709" s="1"/>
      <c r="P2709" s="189"/>
      <c r="Q2709" s="190"/>
      <c r="R2709" s="188"/>
      <c r="S2709" s="193"/>
      <c r="T2709" s="192"/>
      <c r="U2709" s="829"/>
      <c r="V2709" s="10"/>
      <c r="W2709" s="10"/>
      <c r="X2709" s="10"/>
      <c r="Y2709" s="10"/>
      <c r="Z2709" s="10"/>
      <c r="AA2709" s="11"/>
      <c r="AB2709" s="11"/>
    </row>
    <row r="2710" spans="2:28" x14ac:dyDescent="0.3">
      <c r="B2710" s="10"/>
      <c r="C2710" s="315"/>
      <c r="D2710" s="868"/>
      <c r="E2710" s="837" t="str">
        <f>IFERROR(IF(_xlfn.XLOOKUP(Imput[[#This Row],[RFC]],'Alta Proveedor'!D:D,'Alta Proveedor'!E:E)=0,"",_xlfn.XLOOKUP(Imput[[#This Row],[RFC]],'Alta Proveedor'!D:D,'Alta Proveedor'!E:E)),"")</f>
        <v/>
      </c>
      <c r="F2710" s="832"/>
      <c r="G2710" s="187"/>
      <c r="H2710" s="1"/>
      <c r="I2710" s="169">
        <f>Imput[[#This Row],[Cantidad]]*Imput[[#This Row],[Precio Unitario]]</f>
        <v>0</v>
      </c>
      <c r="J2710" s="11">
        <f>((Imput[[#This Row],[Sub total]])*(0.16))</f>
        <v>0</v>
      </c>
      <c r="K2710" s="11">
        <v>0</v>
      </c>
      <c r="L2710" s="169">
        <f>Imput[[#This Row],[Sub total]]+Imput[[#This Row],[IVA]]-Imput[[#This Row],[Retención / IEPS / Descuento]]</f>
        <v>0</v>
      </c>
      <c r="M2710" s="844">
        <v>0</v>
      </c>
      <c r="N2710" s="189"/>
      <c r="O2710" s="1"/>
      <c r="P2710" s="189"/>
      <c r="Q2710" s="190"/>
      <c r="R2710" s="188"/>
      <c r="S2710" s="193"/>
      <c r="T2710" s="192"/>
      <c r="U2710" s="829"/>
      <c r="V2710" s="10"/>
      <c r="W2710" s="10"/>
      <c r="X2710" s="10"/>
      <c r="Y2710" s="10"/>
      <c r="Z2710" s="10"/>
      <c r="AA2710" s="11"/>
      <c r="AB2710" s="11"/>
    </row>
    <row r="2711" spans="2:28" x14ac:dyDescent="0.3">
      <c r="B2711" s="10"/>
      <c r="C2711" s="315"/>
      <c r="D2711" s="868"/>
      <c r="E2711" s="837" t="str">
        <f>IFERROR(IF(_xlfn.XLOOKUP(Imput[[#This Row],[RFC]],'Alta Proveedor'!D:D,'Alta Proveedor'!E:E)=0,"",_xlfn.XLOOKUP(Imput[[#This Row],[RFC]],'Alta Proveedor'!D:D,'Alta Proveedor'!E:E)),"")</f>
        <v/>
      </c>
      <c r="F2711" s="832"/>
      <c r="G2711" s="187"/>
      <c r="H2711" s="1"/>
      <c r="I2711" s="169">
        <f>Imput[[#This Row],[Cantidad]]*Imput[[#This Row],[Precio Unitario]]</f>
        <v>0</v>
      </c>
      <c r="J2711" s="11">
        <f>((Imput[[#This Row],[Sub total]])*(0.16))</f>
        <v>0</v>
      </c>
      <c r="K2711" s="11">
        <v>0</v>
      </c>
      <c r="L2711" s="169">
        <f>Imput[[#This Row],[Sub total]]+Imput[[#This Row],[IVA]]-Imput[[#This Row],[Retención / IEPS / Descuento]]</f>
        <v>0</v>
      </c>
      <c r="M2711" s="844">
        <v>0</v>
      </c>
      <c r="N2711" s="189"/>
      <c r="O2711" s="1"/>
      <c r="P2711" s="189"/>
      <c r="Q2711" s="190"/>
      <c r="R2711" s="188"/>
      <c r="S2711" s="193"/>
      <c r="T2711" s="192"/>
      <c r="U2711" s="829"/>
      <c r="V2711" s="10"/>
      <c r="W2711" s="10"/>
      <c r="X2711" s="10"/>
      <c r="Y2711" s="10"/>
      <c r="Z2711" s="10"/>
      <c r="AA2711" s="11"/>
      <c r="AB2711" s="11"/>
    </row>
    <row r="2712" spans="2:28" x14ac:dyDescent="0.3">
      <c r="B2712" s="10"/>
      <c r="C2712" s="315"/>
      <c r="D2712" s="868"/>
      <c r="E2712" s="837" t="str">
        <f>IFERROR(IF(_xlfn.XLOOKUP(Imput[[#This Row],[RFC]],'Alta Proveedor'!D:D,'Alta Proveedor'!E:E)=0,"",_xlfn.XLOOKUP(Imput[[#This Row],[RFC]],'Alta Proveedor'!D:D,'Alta Proveedor'!E:E)),"")</f>
        <v/>
      </c>
      <c r="F2712" s="832"/>
      <c r="G2712" s="187"/>
      <c r="H2712" s="1"/>
      <c r="I2712" s="169">
        <f>Imput[[#This Row],[Cantidad]]*Imput[[#This Row],[Precio Unitario]]</f>
        <v>0</v>
      </c>
      <c r="J2712" s="11">
        <f>((Imput[[#This Row],[Sub total]])*(0.16))</f>
        <v>0</v>
      </c>
      <c r="K2712" s="11">
        <v>0</v>
      </c>
      <c r="L2712" s="169">
        <f>Imput[[#This Row],[Sub total]]+Imput[[#This Row],[IVA]]-Imput[[#This Row],[Retención / IEPS / Descuento]]</f>
        <v>0</v>
      </c>
      <c r="M2712" s="844">
        <v>0</v>
      </c>
      <c r="N2712" s="189"/>
      <c r="O2712" s="1"/>
      <c r="P2712" s="189"/>
      <c r="Q2712" s="190"/>
      <c r="R2712" s="188"/>
      <c r="S2712" s="193"/>
      <c r="T2712" s="192"/>
      <c r="U2712" s="829"/>
      <c r="V2712" s="10"/>
      <c r="W2712" s="10"/>
      <c r="X2712" s="10"/>
      <c r="Y2712" s="10"/>
      <c r="Z2712" s="10"/>
      <c r="AA2712" s="11"/>
      <c r="AB2712" s="11"/>
    </row>
    <row r="2713" spans="2:28" x14ac:dyDescent="0.3">
      <c r="B2713" s="10"/>
      <c r="C2713" s="315"/>
      <c r="D2713" s="868"/>
      <c r="E2713" s="837" t="str">
        <f>IFERROR(IF(_xlfn.XLOOKUP(Imput[[#This Row],[RFC]],'Alta Proveedor'!D:D,'Alta Proveedor'!E:E)=0,"",_xlfn.XLOOKUP(Imput[[#This Row],[RFC]],'Alta Proveedor'!D:D,'Alta Proveedor'!E:E)),"")</f>
        <v/>
      </c>
      <c r="F2713" s="832"/>
      <c r="G2713" s="187"/>
      <c r="H2713" s="1"/>
      <c r="I2713" s="169">
        <f>Imput[[#This Row],[Cantidad]]*Imput[[#This Row],[Precio Unitario]]</f>
        <v>0</v>
      </c>
      <c r="J2713" s="11">
        <f>((Imput[[#This Row],[Sub total]])*(0.16))</f>
        <v>0</v>
      </c>
      <c r="K2713" s="11">
        <v>0</v>
      </c>
      <c r="L2713" s="169">
        <f>Imput[[#This Row],[Sub total]]+Imput[[#This Row],[IVA]]-Imput[[#This Row],[Retención / IEPS / Descuento]]</f>
        <v>0</v>
      </c>
      <c r="M2713" s="844">
        <v>0</v>
      </c>
      <c r="N2713" s="189"/>
      <c r="O2713" s="1"/>
      <c r="P2713" s="189"/>
      <c r="Q2713" s="190"/>
      <c r="R2713" s="188"/>
      <c r="S2713" s="193"/>
      <c r="T2713" s="192"/>
      <c r="U2713" s="829"/>
      <c r="V2713" s="10"/>
      <c r="W2713" s="10"/>
      <c r="X2713" s="10"/>
      <c r="Y2713" s="10"/>
      <c r="Z2713" s="10"/>
      <c r="AA2713" s="11"/>
      <c r="AB2713" s="11"/>
    </row>
    <row r="2714" spans="2:28" x14ac:dyDescent="0.3">
      <c r="B2714" s="10"/>
      <c r="C2714" s="315"/>
      <c r="D2714" s="868"/>
      <c r="E2714" s="837" t="str">
        <f>IFERROR(IF(_xlfn.XLOOKUP(Imput[[#This Row],[RFC]],'Alta Proveedor'!D:D,'Alta Proveedor'!E:E)=0,"",_xlfn.XLOOKUP(Imput[[#This Row],[RFC]],'Alta Proveedor'!D:D,'Alta Proveedor'!E:E)),"")</f>
        <v/>
      </c>
      <c r="F2714" s="832"/>
      <c r="G2714" s="187"/>
      <c r="H2714" s="1"/>
      <c r="I2714" s="169">
        <f>Imput[[#This Row],[Cantidad]]*Imput[[#This Row],[Precio Unitario]]</f>
        <v>0</v>
      </c>
      <c r="J2714" s="11">
        <f>((Imput[[#This Row],[Sub total]])*(0.16))</f>
        <v>0</v>
      </c>
      <c r="K2714" s="11">
        <v>0</v>
      </c>
      <c r="L2714" s="169">
        <f>Imput[[#This Row],[Sub total]]+Imput[[#This Row],[IVA]]-Imput[[#This Row],[Retención / IEPS / Descuento]]</f>
        <v>0</v>
      </c>
      <c r="M2714" s="844">
        <v>0</v>
      </c>
      <c r="N2714" s="189"/>
      <c r="O2714" s="1"/>
      <c r="P2714" s="189"/>
      <c r="Q2714" s="190"/>
      <c r="R2714" s="188"/>
      <c r="S2714" s="193"/>
      <c r="T2714" s="192"/>
      <c r="U2714" s="829"/>
      <c r="V2714" s="10"/>
      <c r="W2714" s="10"/>
      <c r="X2714" s="10"/>
      <c r="Y2714" s="10"/>
      <c r="Z2714" s="10"/>
      <c r="AA2714" s="11"/>
      <c r="AB2714" s="11"/>
    </row>
    <row r="2715" spans="2:28" x14ac:dyDescent="0.3">
      <c r="B2715" s="10"/>
      <c r="C2715" s="315"/>
      <c r="D2715" s="868"/>
      <c r="E2715" s="837" t="str">
        <f>IFERROR(IF(_xlfn.XLOOKUP(Imput[[#This Row],[RFC]],'Alta Proveedor'!D:D,'Alta Proveedor'!E:E)=0,"",_xlfn.XLOOKUP(Imput[[#This Row],[RFC]],'Alta Proveedor'!D:D,'Alta Proveedor'!E:E)),"")</f>
        <v/>
      </c>
      <c r="F2715" s="832"/>
      <c r="G2715" s="187"/>
      <c r="H2715" s="1"/>
      <c r="I2715" s="169">
        <f>Imput[[#This Row],[Cantidad]]*Imput[[#This Row],[Precio Unitario]]</f>
        <v>0</v>
      </c>
      <c r="J2715" s="11">
        <f>((Imput[[#This Row],[Sub total]])*(0.16))</f>
        <v>0</v>
      </c>
      <c r="K2715" s="11">
        <v>0</v>
      </c>
      <c r="L2715" s="169">
        <f>Imput[[#This Row],[Sub total]]+Imput[[#This Row],[IVA]]-Imput[[#This Row],[Retención / IEPS / Descuento]]</f>
        <v>0</v>
      </c>
      <c r="M2715" s="844">
        <v>0</v>
      </c>
      <c r="N2715" s="189"/>
      <c r="O2715" s="1"/>
      <c r="P2715" s="189"/>
      <c r="Q2715" s="190"/>
      <c r="R2715" s="188"/>
      <c r="S2715" s="193"/>
      <c r="T2715" s="192"/>
      <c r="U2715" s="829"/>
      <c r="V2715" s="10"/>
      <c r="W2715" s="10"/>
      <c r="X2715" s="10"/>
      <c r="Y2715" s="10"/>
      <c r="Z2715" s="10"/>
      <c r="AA2715" s="11"/>
      <c r="AB2715" s="11"/>
    </row>
    <row r="2716" spans="2:28" x14ac:dyDescent="0.3">
      <c r="B2716" s="10"/>
      <c r="C2716" s="315"/>
      <c r="D2716" s="868"/>
      <c r="E2716" s="837" t="str">
        <f>IFERROR(IF(_xlfn.XLOOKUP(Imput[[#This Row],[RFC]],'Alta Proveedor'!D:D,'Alta Proveedor'!E:E)=0,"",_xlfn.XLOOKUP(Imput[[#This Row],[RFC]],'Alta Proveedor'!D:D,'Alta Proveedor'!E:E)),"")</f>
        <v/>
      </c>
      <c r="F2716" s="832"/>
      <c r="G2716" s="187"/>
      <c r="H2716" s="1"/>
      <c r="I2716" s="169">
        <f>Imput[[#This Row],[Cantidad]]*Imput[[#This Row],[Precio Unitario]]</f>
        <v>0</v>
      </c>
      <c r="J2716" s="11">
        <f>((Imput[[#This Row],[Sub total]])*(0.16))</f>
        <v>0</v>
      </c>
      <c r="K2716" s="11">
        <v>0</v>
      </c>
      <c r="L2716" s="169">
        <f>Imput[[#This Row],[Sub total]]+Imput[[#This Row],[IVA]]-Imput[[#This Row],[Retención / IEPS / Descuento]]</f>
        <v>0</v>
      </c>
      <c r="M2716" s="844">
        <v>0</v>
      </c>
      <c r="N2716" s="189"/>
      <c r="O2716" s="1"/>
      <c r="P2716" s="189"/>
      <c r="Q2716" s="190"/>
      <c r="R2716" s="188"/>
      <c r="S2716" s="193"/>
      <c r="T2716" s="192"/>
      <c r="U2716" s="829"/>
      <c r="V2716" s="10"/>
      <c r="W2716" s="10"/>
      <c r="X2716" s="10"/>
      <c r="Y2716" s="10"/>
      <c r="Z2716" s="10"/>
      <c r="AA2716" s="11"/>
      <c r="AB2716" s="11"/>
    </row>
    <row r="2717" spans="2:28" x14ac:dyDescent="0.3">
      <c r="B2717" s="10"/>
      <c r="C2717" s="315"/>
      <c r="D2717" s="868"/>
      <c r="E2717" s="837" t="str">
        <f>IFERROR(IF(_xlfn.XLOOKUP(Imput[[#This Row],[RFC]],'Alta Proveedor'!D:D,'Alta Proveedor'!E:E)=0,"",_xlfn.XLOOKUP(Imput[[#This Row],[RFC]],'Alta Proveedor'!D:D,'Alta Proveedor'!E:E)),"")</f>
        <v/>
      </c>
      <c r="F2717" s="832"/>
      <c r="G2717" s="187"/>
      <c r="H2717" s="1"/>
      <c r="I2717" s="169">
        <f>Imput[[#This Row],[Cantidad]]*Imput[[#This Row],[Precio Unitario]]</f>
        <v>0</v>
      </c>
      <c r="J2717" s="11">
        <f>((Imput[[#This Row],[Sub total]])*(0.16))</f>
        <v>0</v>
      </c>
      <c r="K2717" s="11">
        <v>0</v>
      </c>
      <c r="L2717" s="169">
        <f>Imput[[#This Row],[Sub total]]+Imput[[#This Row],[IVA]]-Imput[[#This Row],[Retención / IEPS / Descuento]]</f>
        <v>0</v>
      </c>
      <c r="M2717" s="844">
        <v>0</v>
      </c>
      <c r="N2717" s="189"/>
      <c r="O2717" s="1"/>
      <c r="P2717" s="189"/>
      <c r="Q2717" s="190"/>
      <c r="R2717" s="188"/>
      <c r="S2717" s="193"/>
      <c r="T2717" s="192"/>
      <c r="U2717" s="829"/>
      <c r="V2717" s="10"/>
      <c r="W2717" s="10"/>
      <c r="X2717" s="10"/>
      <c r="Y2717" s="10"/>
      <c r="Z2717" s="10"/>
      <c r="AA2717" s="11"/>
      <c r="AB2717" s="11"/>
    </row>
    <row r="2718" spans="2:28" x14ac:dyDescent="0.3">
      <c r="B2718" s="10"/>
      <c r="C2718" s="315"/>
      <c r="D2718" s="868"/>
      <c r="E2718" s="837" t="str">
        <f>IFERROR(IF(_xlfn.XLOOKUP(Imput[[#This Row],[RFC]],'Alta Proveedor'!D:D,'Alta Proveedor'!E:E)=0,"",_xlfn.XLOOKUP(Imput[[#This Row],[RFC]],'Alta Proveedor'!D:D,'Alta Proveedor'!E:E)),"")</f>
        <v/>
      </c>
      <c r="F2718" s="832"/>
      <c r="G2718" s="187"/>
      <c r="H2718" s="1"/>
      <c r="I2718" s="169">
        <f>Imput[[#This Row],[Cantidad]]*Imput[[#This Row],[Precio Unitario]]</f>
        <v>0</v>
      </c>
      <c r="J2718" s="11">
        <f>((Imput[[#This Row],[Sub total]])*(0.16))</f>
        <v>0</v>
      </c>
      <c r="K2718" s="11">
        <v>0</v>
      </c>
      <c r="L2718" s="169">
        <f>Imput[[#This Row],[Sub total]]+Imput[[#This Row],[IVA]]-Imput[[#This Row],[Retención / IEPS / Descuento]]</f>
        <v>0</v>
      </c>
      <c r="M2718" s="844">
        <v>0</v>
      </c>
      <c r="N2718" s="189"/>
      <c r="O2718" s="1"/>
      <c r="P2718" s="189"/>
      <c r="Q2718" s="190"/>
      <c r="R2718" s="188"/>
      <c r="S2718" s="193"/>
      <c r="T2718" s="192"/>
      <c r="U2718" s="829"/>
      <c r="V2718" s="10"/>
      <c r="W2718" s="10"/>
      <c r="X2718" s="10"/>
      <c r="Y2718" s="10"/>
      <c r="Z2718" s="10"/>
      <c r="AA2718" s="11"/>
      <c r="AB2718" s="11"/>
    </row>
    <row r="2719" spans="2:28" x14ac:dyDescent="0.3">
      <c r="B2719" s="10"/>
      <c r="C2719" s="315"/>
      <c r="D2719" s="868"/>
      <c r="E2719" s="837" t="str">
        <f>IFERROR(IF(_xlfn.XLOOKUP(Imput[[#This Row],[RFC]],'Alta Proveedor'!D:D,'Alta Proveedor'!E:E)=0,"",_xlfn.XLOOKUP(Imput[[#This Row],[RFC]],'Alta Proveedor'!D:D,'Alta Proveedor'!E:E)),"")</f>
        <v/>
      </c>
      <c r="F2719" s="832"/>
      <c r="G2719" s="187"/>
      <c r="H2719" s="1"/>
      <c r="I2719" s="169">
        <f>Imput[[#This Row],[Cantidad]]*Imput[[#This Row],[Precio Unitario]]</f>
        <v>0</v>
      </c>
      <c r="J2719" s="11">
        <f>((Imput[[#This Row],[Sub total]])*(0.16))</f>
        <v>0</v>
      </c>
      <c r="K2719" s="11">
        <v>0</v>
      </c>
      <c r="L2719" s="169">
        <f>Imput[[#This Row],[Sub total]]+Imput[[#This Row],[IVA]]-Imput[[#This Row],[Retención / IEPS / Descuento]]</f>
        <v>0</v>
      </c>
      <c r="M2719" s="844">
        <v>0</v>
      </c>
      <c r="N2719" s="189"/>
      <c r="O2719" s="1"/>
      <c r="P2719" s="189"/>
      <c r="Q2719" s="190"/>
      <c r="R2719" s="188"/>
      <c r="S2719" s="193"/>
      <c r="T2719" s="192"/>
      <c r="U2719" s="829"/>
      <c r="V2719" s="10"/>
      <c r="W2719" s="10"/>
      <c r="X2719" s="10"/>
      <c r="Y2719" s="10"/>
      <c r="Z2719" s="10"/>
      <c r="AA2719" s="11"/>
      <c r="AB2719" s="11"/>
    </row>
    <row r="2720" spans="2:28" x14ac:dyDescent="0.3">
      <c r="B2720" s="10"/>
      <c r="C2720" s="315"/>
      <c r="D2720" s="868"/>
      <c r="E2720" s="837" t="str">
        <f>IFERROR(IF(_xlfn.XLOOKUP(Imput[[#This Row],[RFC]],'Alta Proveedor'!D:D,'Alta Proveedor'!E:E)=0,"",_xlfn.XLOOKUP(Imput[[#This Row],[RFC]],'Alta Proveedor'!D:D,'Alta Proveedor'!E:E)),"")</f>
        <v/>
      </c>
      <c r="F2720" s="832"/>
      <c r="G2720" s="187"/>
      <c r="H2720" s="1"/>
      <c r="I2720" s="169">
        <f>Imput[[#This Row],[Cantidad]]*Imput[[#This Row],[Precio Unitario]]</f>
        <v>0</v>
      </c>
      <c r="J2720" s="11">
        <f>((Imput[[#This Row],[Sub total]])*(0.16))</f>
        <v>0</v>
      </c>
      <c r="K2720" s="11">
        <v>0</v>
      </c>
      <c r="L2720" s="169">
        <f>Imput[[#This Row],[Sub total]]+Imput[[#This Row],[IVA]]-Imput[[#This Row],[Retención / IEPS / Descuento]]</f>
        <v>0</v>
      </c>
      <c r="M2720" s="844">
        <v>0</v>
      </c>
      <c r="N2720" s="189"/>
      <c r="O2720" s="1"/>
      <c r="P2720" s="189"/>
      <c r="Q2720" s="190"/>
      <c r="R2720" s="188"/>
      <c r="S2720" s="193"/>
      <c r="T2720" s="192"/>
      <c r="U2720" s="829"/>
      <c r="V2720" s="10"/>
      <c r="W2720" s="10"/>
      <c r="X2720" s="10"/>
      <c r="Y2720" s="10"/>
      <c r="Z2720" s="10"/>
      <c r="AA2720" s="11"/>
      <c r="AB2720" s="11"/>
    </row>
    <row r="2721" spans="2:28" x14ac:dyDescent="0.3">
      <c r="B2721" s="10"/>
      <c r="C2721" s="315"/>
      <c r="D2721" s="868"/>
      <c r="E2721" s="837" t="str">
        <f>IFERROR(IF(_xlfn.XLOOKUP(Imput[[#This Row],[RFC]],'Alta Proveedor'!D:D,'Alta Proveedor'!E:E)=0,"",_xlfn.XLOOKUP(Imput[[#This Row],[RFC]],'Alta Proveedor'!D:D,'Alta Proveedor'!E:E)),"")</f>
        <v/>
      </c>
      <c r="F2721" s="832"/>
      <c r="G2721" s="187"/>
      <c r="H2721" s="1"/>
      <c r="I2721" s="169">
        <f>Imput[[#This Row],[Cantidad]]*Imput[[#This Row],[Precio Unitario]]</f>
        <v>0</v>
      </c>
      <c r="J2721" s="11">
        <f>((Imput[[#This Row],[Sub total]])*(0.16))</f>
        <v>0</v>
      </c>
      <c r="K2721" s="11">
        <v>0</v>
      </c>
      <c r="L2721" s="169">
        <f>Imput[[#This Row],[Sub total]]+Imput[[#This Row],[IVA]]-Imput[[#This Row],[Retención / IEPS / Descuento]]</f>
        <v>0</v>
      </c>
      <c r="M2721" s="844">
        <v>0</v>
      </c>
      <c r="N2721" s="189"/>
      <c r="O2721" s="1"/>
      <c r="P2721" s="189"/>
      <c r="Q2721" s="190"/>
      <c r="R2721" s="188"/>
      <c r="S2721" s="193"/>
      <c r="T2721" s="192"/>
      <c r="U2721" s="829"/>
      <c r="V2721" s="10"/>
      <c r="W2721" s="10"/>
      <c r="X2721" s="10"/>
      <c r="Y2721" s="10"/>
      <c r="Z2721" s="10"/>
      <c r="AA2721" s="11"/>
      <c r="AB2721" s="11"/>
    </row>
    <row r="2722" spans="2:28" x14ac:dyDescent="0.3">
      <c r="B2722" s="10"/>
      <c r="C2722" s="315"/>
      <c r="D2722" s="868"/>
      <c r="E2722" s="837" t="str">
        <f>IFERROR(IF(_xlfn.XLOOKUP(Imput[[#This Row],[RFC]],'Alta Proveedor'!D:D,'Alta Proveedor'!E:E)=0,"",_xlfn.XLOOKUP(Imput[[#This Row],[RFC]],'Alta Proveedor'!D:D,'Alta Proveedor'!E:E)),"")</f>
        <v/>
      </c>
      <c r="F2722" s="832"/>
      <c r="G2722" s="187"/>
      <c r="H2722" s="1"/>
      <c r="I2722" s="169">
        <f>Imput[[#This Row],[Cantidad]]*Imput[[#This Row],[Precio Unitario]]</f>
        <v>0</v>
      </c>
      <c r="J2722" s="11">
        <f>((Imput[[#This Row],[Sub total]])*(0.16))</f>
        <v>0</v>
      </c>
      <c r="K2722" s="11">
        <v>0</v>
      </c>
      <c r="L2722" s="169">
        <f>Imput[[#This Row],[Sub total]]+Imput[[#This Row],[IVA]]-Imput[[#This Row],[Retención / IEPS / Descuento]]</f>
        <v>0</v>
      </c>
      <c r="M2722" s="844">
        <v>0</v>
      </c>
      <c r="N2722" s="189"/>
      <c r="O2722" s="1"/>
      <c r="P2722" s="189"/>
      <c r="Q2722" s="190"/>
      <c r="R2722" s="188"/>
      <c r="S2722" s="193"/>
      <c r="T2722" s="192"/>
      <c r="U2722" s="829"/>
      <c r="V2722" s="10"/>
      <c r="W2722" s="10"/>
      <c r="X2722" s="10"/>
      <c r="Y2722" s="10"/>
      <c r="Z2722" s="10"/>
      <c r="AA2722" s="11"/>
      <c r="AB2722" s="11"/>
    </row>
    <row r="2723" spans="2:28" x14ac:dyDescent="0.3">
      <c r="B2723" s="10"/>
      <c r="C2723" s="315"/>
      <c r="D2723" s="868"/>
      <c r="E2723" s="837" t="str">
        <f>IFERROR(IF(_xlfn.XLOOKUP(Imput[[#This Row],[RFC]],'Alta Proveedor'!D:D,'Alta Proveedor'!E:E)=0,"",_xlfn.XLOOKUP(Imput[[#This Row],[RFC]],'Alta Proveedor'!D:D,'Alta Proveedor'!E:E)),"")</f>
        <v/>
      </c>
      <c r="F2723" s="832"/>
      <c r="G2723" s="187"/>
      <c r="H2723" s="1"/>
      <c r="I2723" s="169">
        <f>Imput[[#This Row],[Cantidad]]*Imput[[#This Row],[Precio Unitario]]</f>
        <v>0</v>
      </c>
      <c r="J2723" s="11">
        <f>((Imput[[#This Row],[Sub total]])*(0.16))</f>
        <v>0</v>
      </c>
      <c r="K2723" s="11">
        <v>0</v>
      </c>
      <c r="L2723" s="169">
        <f>Imput[[#This Row],[Sub total]]+Imput[[#This Row],[IVA]]-Imput[[#This Row],[Retención / IEPS / Descuento]]</f>
        <v>0</v>
      </c>
      <c r="M2723" s="844">
        <v>0</v>
      </c>
      <c r="N2723" s="189"/>
      <c r="O2723" s="1"/>
      <c r="P2723" s="189"/>
      <c r="Q2723" s="190"/>
      <c r="R2723" s="188"/>
      <c r="S2723" s="193"/>
      <c r="T2723" s="192"/>
      <c r="U2723" s="829"/>
      <c r="V2723" s="10"/>
      <c r="W2723" s="10"/>
      <c r="X2723" s="10"/>
      <c r="Y2723" s="10"/>
      <c r="Z2723" s="10"/>
      <c r="AA2723" s="11"/>
      <c r="AB2723" s="11"/>
    </row>
    <row r="2724" spans="2:28" x14ac:dyDescent="0.3">
      <c r="B2724" s="10"/>
      <c r="C2724" s="315"/>
      <c r="D2724" s="868"/>
      <c r="E2724" s="837" t="str">
        <f>IFERROR(IF(_xlfn.XLOOKUP(Imput[[#This Row],[RFC]],'Alta Proveedor'!D:D,'Alta Proveedor'!E:E)=0,"",_xlfn.XLOOKUP(Imput[[#This Row],[RFC]],'Alta Proveedor'!D:D,'Alta Proveedor'!E:E)),"")</f>
        <v/>
      </c>
      <c r="F2724" s="832"/>
      <c r="G2724" s="187"/>
      <c r="H2724" s="1"/>
      <c r="I2724" s="169">
        <f>Imput[[#This Row],[Cantidad]]*Imput[[#This Row],[Precio Unitario]]</f>
        <v>0</v>
      </c>
      <c r="J2724" s="11">
        <f>((Imput[[#This Row],[Sub total]])*(0.16))</f>
        <v>0</v>
      </c>
      <c r="K2724" s="11">
        <v>0</v>
      </c>
      <c r="L2724" s="169">
        <f>Imput[[#This Row],[Sub total]]+Imput[[#This Row],[IVA]]-Imput[[#This Row],[Retención / IEPS / Descuento]]</f>
        <v>0</v>
      </c>
      <c r="M2724" s="844">
        <v>0</v>
      </c>
      <c r="N2724" s="189"/>
      <c r="O2724" s="1"/>
      <c r="P2724" s="189"/>
      <c r="Q2724" s="190"/>
      <c r="R2724" s="188"/>
      <c r="S2724" s="193"/>
      <c r="T2724" s="192"/>
      <c r="U2724" s="829"/>
      <c r="V2724" s="10"/>
      <c r="W2724" s="10"/>
      <c r="X2724" s="10"/>
      <c r="Y2724" s="10"/>
      <c r="Z2724" s="10"/>
      <c r="AA2724" s="11"/>
      <c r="AB2724" s="11"/>
    </row>
    <row r="2725" spans="2:28" x14ac:dyDescent="0.3">
      <c r="B2725" s="10"/>
      <c r="C2725" s="315"/>
      <c r="D2725" s="868"/>
      <c r="E2725" s="837" t="str">
        <f>IFERROR(IF(_xlfn.XLOOKUP(Imput[[#This Row],[RFC]],'Alta Proveedor'!D:D,'Alta Proveedor'!E:E)=0,"",_xlfn.XLOOKUP(Imput[[#This Row],[RFC]],'Alta Proveedor'!D:D,'Alta Proveedor'!E:E)),"")</f>
        <v/>
      </c>
      <c r="F2725" s="832"/>
      <c r="G2725" s="187"/>
      <c r="H2725" s="1"/>
      <c r="I2725" s="169">
        <f>Imput[[#This Row],[Cantidad]]*Imput[[#This Row],[Precio Unitario]]</f>
        <v>0</v>
      </c>
      <c r="J2725" s="11">
        <f>((Imput[[#This Row],[Sub total]])*(0.16))</f>
        <v>0</v>
      </c>
      <c r="K2725" s="11">
        <v>0</v>
      </c>
      <c r="L2725" s="169">
        <f>Imput[[#This Row],[Sub total]]+Imput[[#This Row],[IVA]]-Imput[[#This Row],[Retención / IEPS / Descuento]]</f>
        <v>0</v>
      </c>
      <c r="M2725" s="844">
        <v>0</v>
      </c>
      <c r="N2725" s="189"/>
      <c r="O2725" s="1"/>
      <c r="P2725" s="189"/>
      <c r="Q2725" s="190"/>
      <c r="R2725" s="188"/>
      <c r="S2725" s="193"/>
      <c r="T2725" s="192"/>
      <c r="U2725" s="829"/>
      <c r="V2725" s="10"/>
      <c r="W2725" s="10"/>
      <c r="X2725" s="10"/>
      <c r="Y2725" s="10"/>
      <c r="Z2725" s="10"/>
      <c r="AA2725" s="11"/>
      <c r="AB2725" s="11"/>
    </row>
    <row r="2726" spans="2:28" x14ac:dyDescent="0.3">
      <c r="B2726" s="10"/>
      <c r="C2726" s="315"/>
      <c r="D2726" s="868"/>
      <c r="E2726" s="837" t="str">
        <f>IFERROR(IF(_xlfn.XLOOKUP(Imput[[#This Row],[RFC]],'Alta Proveedor'!D:D,'Alta Proveedor'!E:E)=0,"",_xlfn.XLOOKUP(Imput[[#This Row],[RFC]],'Alta Proveedor'!D:D,'Alta Proveedor'!E:E)),"")</f>
        <v/>
      </c>
      <c r="F2726" s="832"/>
      <c r="G2726" s="187"/>
      <c r="H2726" s="1"/>
      <c r="I2726" s="169">
        <f>Imput[[#This Row],[Cantidad]]*Imput[[#This Row],[Precio Unitario]]</f>
        <v>0</v>
      </c>
      <c r="J2726" s="11">
        <f>((Imput[[#This Row],[Sub total]])*(0.16))</f>
        <v>0</v>
      </c>
      <c r="K2726" s="11">
        <v>0</v>
      </c>
      <c r="L2726" s="169">
        <f>Imput[[#This Row],[Sub total]]+Imput[[#This Row],[IVA]]-Imput[[#This Row],[Retención / IEPS / Descuento]]</f>
        <v>0</v>
      </c>
      <c r="M2726" s="844">
        <v>0</v>
      </c>
      <c r="N2726" s="189"/>
      <c r="O2726" s="1"/>
      <c r="P2726" s="189"/>
      <c r="Q2726" s="190"/>
      <c r="R2726" s="188"/>
      <c r="S2726" s="193"/>
      <c r="T2726" s="192"/>
      <c r="U2726" s="829"/>
      <c r="V2726" s="10"/>
      <c r="W2726" s="10"/>
      <c r="X2726" s="10"/>
      <c r="Y2726" s="10"/>
      <c r="Z2726" s="10"/>
      <c r="AA2726" s="11"/>
      <c r="AB2726" s="11"/>
    </row>
    <row r="2727" spans="2:28" x14ac:dyDescent="0.3">
      <c r="B2727" s="10"/>
      <c r="C2727" s="315"/>
      <c r="D2727" s="868"/>
      <c r="E2727" s="837" t="str">
        <f>IFERROR(IF(_xlfn.XLOOKUP(Imput[[#This Row],[RFC]],'Alta Proveedor'!D:D,'Alta Proveedor'!E:E)=0,"",_xlfn.XLOOKUP(Imput[[#This Row],[RFC]],'Alta Proveedor'!D:D,'Alta Proveedor'!E:E)),"")</f>
        <v/>
      </c>
      <c r="F2727" s="832"/>
      <c r="G2727" s="187"/>
      <c r="H2727" s="1"/>
      <c r="I2727" s="169">
        <f>Imput[[#This Row],[Cantidad]]*Imput[[#This Row],[Precio Unitario]]</f>
        <v>0</v>
      </c>
      <c r="J2727" s="11">
        <f>((Imput[[#This Row],[Sub total]])*(0.16))</f>
        <v>0</v>
      </c>
      <c r="K2727" s="11">
        <v>0</v>
      </c>
      <c r="L2727" s="169">
        <f>Imput[[#This Row],[Sub total]]+Imput[[#This Row],[IVA]]-Imput[[#This Row],[Retención / IEPS / Descuento]]</f>
        <v>0</v>
      </c>
      <c r="M2727" s="844">
        <v>0</v>
      </c>
      <c r="N2727" s="189"/>
      <c r="O2727" s="1"/>
      <c r="P2727" s="189"/>
      <c r="Q2727" s="190"/>
      <c r="R2727" s="188"/>
      <c r="S2727" s="193"/>
      <c r="T2727" s="192"/>
      <c r="U2727" s="829"/>
      <c r="V2727" s="10"/>
      <c r="W2727" s="10"/>
      <c r="X2727" s="10"/>
      <c r="Y2727" s="10"/>
      <c r="Z2727" s="10"/>
      <c r="AA2727" s="11"/>
      <c r="AB2727" s="11"/>
    </row>
    <row r="2728" spans="2:28" x14ac:dyDescent="0.3">
      <c r="B2728" s="10"/>
      <c r="C2728" s="315"/>
      <c r="D2728" s="868"/>
      <c r="E2728" s="837" t="str">
        <f>IFERROR(IF(_xlfn.XLOOKUP(Imput[[#This Row],[RFC]],'Alta Proveedor'!D:D,'Alta Proveedor'!E:E)=0,"",_xlfn.XLOOKUP(Imput[[#This Row],[RFC]],'Alta Proveedor'!D:D,'Alta Proveedor'!E:E)),"")</f>
        <v/>
      </c>
      <c r="F2728" s="832"/>
      <c r="G2728" s="187"/>
      <c r="H2728" s="1"/>
      <c r="I2728" s="169">
        <f>Imput[[#This Row],[Cantidad]]*Imput[[#This Row],[Precio Unitario]]</f>
        <v>0</v>
      </c>
      <c r="J2728" s="11">
        <f>((Imput[[#This Row],[Sub total]])*(0.16))</f>
        <v>0</v>
      </c>
      <c r="K2728" s="11">
        <v>0</v>
      </c>
      <c r="L2728" s="169">
        <f>Imput[[#This Row],[Sub total]]+Imput[[#This Row],[IVA]]-Imput[[#This Row],[Retención / IEPS / Descuento]]</f>
        <v>0</v>
      </c>
      <c r="M2728" s="844">
        <v>0</v>
      </c>
      <c r="N2728" s="189"/>
      <c r="O2728" s="1"/>
      <c r="P2728" s="189"/>
      <c r="Q2728" s="190"/>
      <c r="R2728" s="188"/>
      <c r="S2728" s="193"/>
      <c r="T2728" s="192"/>
      <c r="U2728" s="829"/>
      <c r="V2728" s="10"/>
      <c r="W2728" s="10"/>
      <c r="X2728" s="10"/>
      <c r="Y2728" s="10"/>
      <c r="Z2728" s="10"/>
      <c r="AA2728" s="11"/>
      <c r="AB2728" s="11"/>
    </row>
    <row r="2729" spans="2:28" x14ac:dyDescent="0.3">
      <c r="B2729" s="10"/>
      <c r="C2729" s="315"/>
      <c r="D2729" s="868"/>
      <c r="E2729" s="837" t="str">
        <f>IFERROR(IF(_xlfn.XLOOKUP(Imput[[#This Row],[RFC]],'Alta Proveedor'!D:D,'Alta Proveedor'!E:E)=0,"",_xlfn.XLOOKUP(Imput[[#This Row],[RFC]],'Alta Proveedor'!D:D,'Alta Proveedor'!E:E)),"")</f>
        <v/>
      </c>
      <c r="F2729" s="832"/>
      <c r="G2729" s="187"/>
      <c r="H2729" s="1"/>
      <c r="I2729" s="169">
        <f>Imput[[#This Row],[Cantidad]]*Imput[[#This Row],[Precio Unitario]]</f>
        <v>0</v>
      </c>
      <c r="J2729" s="11">
        <f>((Imput[[#This Row],[Sub total]])*(0.16))</f>
        <v>0</v>
      </c>
      <c r="K2729" s="11">
        <v>0</v>
      </c>
      <c r="L2729" s="169">
        <f>Imput[[#This Row],[Sub total]]+Imput[[#This Row],[IVA]]-Imput[[#This Row],[Retención / IEPS / Descuento]]</f>
        <v>0</v>
      </c>
      <c r="M2729" s="844">
        <v>0</v>
      </c>
      <c r="N2729" s="189"/>
      <c r="O2729" s="1"/>
      <c r="P2729" s="189"/>
      <c r="Q2729" s="190"/>
      <c r="R2729" s="188"/>
      <c r="S2729" s="193"/>
      <c r="T2729" s="192"/>
      <c r="U2729" s="829"/>
      <c r="V2729" s="10"/>
      <c r="W2729" s="10"/>
      <c r="X2729" s="10"/>
      <c r="Y2729" s="10"/>
      <c r="Z2729" s="10"/>
      <c r="AA2729" s="11"/>
      <c r="AB2729" s="11"/>
    </row>
    <row r="2730" spans="2:28" x14ac:dyDescent="0.3">
      <c r="B2730" s="10"/>
      <c r="C2730" s="315"/>
      <c r="D2730" s="868"/>
      <c r="E2730" s="837" t="str">
        <f>IFERROR(IF(_xlfn.XLOOKUP(Imput[[#This Row],[RFC]],'Alta Proveedor'!D:D,'Alta Proveedor'!E:E)=0,"",_xlfn.XLOOKUP(Imput[[#This Row],[RFC]],'Alta Proveedor'!D:D,'Alta Proveedor'!E:E)),"")</f>
        <v/>
      </c>
      <c r="F2730" s="832"/>
      <c r="G2730" s="187"/>
      <c r="H2730" s="1"/>
      <c r="I2730" s="169">
        <f>Imput[[#This Row],[Cantidad]]*Imput[[#This Row],[Precio Unitario]]</f>
        <v>0</v>
      </c>
      <c r="J2730" s="11">
        <f>((Imput[[#This Row],[Sub total]])*(0.16))</f>
        <v>0</v>
      </c>
      <c r="K2730" s="11">
        <v>0</v>
      </c>
      <c r="L2730" s="169">
        <f>Imput[[#This Row],[Sub total]]+Imput[[#This Row],[IVA]]-Imput[[#This Row],[Retención / IEPS / Descuento]]</f>
        <v>0</v>
      </c>
      <c r="M2730" s="844">
        <v>0</v>
      </c>
      <c r="N2730" s="189"/>
      <c r="O2730" s="1"/>
      <c r="P2730" s="189"/>
      <c r="Q2730" s="190"/>
      <c r="R2730" s="188"/>
      <c r="S2730" s="193"/>
      <c r="T2730" s="192"/>
      <c r="U2730" s="829"/>
      <c r="V2730" s="10"/>
      <c r="W2730" s="10"/>
      <c r="X2730" s="10"/>
      <c r="Y2730" s="10"/>
      <c r="Z2730" s="10"/>
      <c r="AA2730" s="11"/>
      <c r="AB2730" s="11"/>
    </row>
    <row r="2731" spans="2:28" x14ac:dyDescent="0.3">
      <c r="B2731" s="10"/>
      <c r="C2731" s="315"/>
      <c r="D2731" s="868"/>
      <c r="E2731" s="837" t="str">
        <f>IFERROR(IF(_xlfn.XLOOKUP(Imput[[#This Row],[RFC]],'Alta Proveedor'!D:D,'Alta Proveedor'!E:E)=0,"",_xlfn.XLOOKUP(Imput[[#This Row],[RFC]],'Alta Proveedor'!D:D,'Alta Proveedor'!E:E)),"")</f>
        <v/>
      </c>
      <c r="F2731" s="832"/>
      <c r="G2731" s="187"/>
      <c r="H2731" s="1"/>
      <c r="I2731" s="169">
        <f>Imput[[#This Row],[Cantidad]]*Imput[[#This Row],[Precio Unitario]]</f>
        <v>0</v>
      </c>
      <c r="J2731" s="11">
        <f>((Imput[[#This Row],[Sub total]])*(0.16))</f>
        <v>0</v>
      </c>
      <c r="K2731" s="11">
        <v>0</v>
      </c>
      <c r="L2731" s="169">
        <f>Imput[[#This Row],[Sub total]]+Imput[[#This Row],[IVA]]-Imput[[#This Row],[Retención / IEPS / Descuento]]</f>
        <v>0</v>
      </c>
      <c r="M2731" s="844">
        <v>0</v>
      </c>
      <c r="N2731" s="189"/>
      <c r="O2731" s="1"/>
      <c r="P2731" s="189"/>
      <c r="Q2731" s="190"/>
      <c r="R2731" s="188"/>
      <c r="S2731" s="193"/>
      <c r="T2731" s="192"/>
      <c r="U2731" s="829"/>
      <c r="V2731" s="10"/>
      <c r="W2731" s="10"/>
      <c r="X2731" s="10"/>
      <c r="Y2731" s="10"/>
      <c r="Z2731" s="10"/>
      <c r="AA2731" s="11"/>
      <c r="AB2731" s="11"/>
    </row>
    <row r="2732" spans="2:28" x14ac:dyDescent="0.3">
      <c r="B2732" s="10"/>
      <c r="C2732" s="315"/>
      <c r="D2732" s="868"/>
      <c r="E2732" s="837" t="str">
        <f>IFERROR(IF(_xlfn.XLOOKUP(Imput[[#This Row],[RFC]],'Alta Proveedor'!D:D,'Alta Proveedor'!E:E)=0,"",_xlfn.XLOOKUP(Imput[[#This Row],[RFC]],'Alta Proveedor'!D:D,'Alta Proveedor'!E:E)),"")</f>
        <v/>
      </c>
      <c r="F2732" s="832"/>
      <c r="G2732" s="187"/>
      <c r="H2732" s="1"/>
      <c r="I2732" s="169">
        <f>Imput[[#This Row],[Cantidad]]*Imput[[#This Row],[Precio Unitario]]</f>
        <v>0</v>
      </c>
      <c r="J2732" s="11">
        <f>((Imput[[#This Row],[Sub total]])*(0.16))</f>
        <v>0</v>
      </c>
      <c r="K2732" s="11">
        <v>0</v>
      </c>
      <c r="L2732" s="169">
        <f>Imput[[#This Row],[Sub total]]+Imput[[#This Row],[IVA]]-Imput[[#This Row],[Retención / IEPS / Descuento]]</f>
        <v>0</v>
      </c>
      <c r="M2732" s="844">
        <v>0</v>
      </c>
      <c r="N2732" s="189"/>
      <c r="O2732" s="1"/>
      <c r="P2732" s="189"/>
      <c r="Q2732" s="190"/>
      <c r="R2732" s="188"/>
      <c r="S2732" s="193"/>
      <c r="T2732" s="192"/>
      <c r="U2732" s="829"/>
      <c r="V2732" s="10"/>
      <c r="W2732" s="10"/>
      <c r="X2732" s="10"/>
      <c r="Y2732" s="10"/>
      <c r="Z2732" s="10"/>
      <c r="AA2732" s="11"/>
      <c r="AB2732" s="11"/>
    </row>
    <row r="2733" spans="2:28" x14ac:dyDescent="0.3">
      <c r="B2733" s="10"/>
      <c r="C2733" s="315"/>
      <c r="D2733" s="868"/>
      <c r="E2733" s="837" t="str">
        <f>IFERROR(IF(_xlfn.XLOOKUP(Imput[[#This Row],[RFC]],'Alta Proveedor'!D:D,'Alta Proveedor'!E:E)=0,"",_xlfn.XLOOKUP(Imput[[#This Row],[RFC]],'Alta Proveedor'!D:D,'Alta Proveedor'!E:E)),"")</f>
        <v/>
      </c>
      <c r="F2733" s="832"/>
      <c r="G2733" s="187"/>
      <c r="H2733" s="1"/>
      <c r="I2733" s="169">
        <f>Imput[[#This Row],[Cantidad]]*Imput[[#This Row],[Precio Unitario]]</f>
        <v>0</v>
      </c>
      <c r="J2733" s="11">
        <f>((Imput[[#This Row],[Sub total]])*(0.16))</f>
        <v>0</v>
      </c>
      <c r="K2733" s="11">
        <v>0</v>
      </c>
      <c r="L2733" s="169">
        <f>Imput[[#This Row],[Sub total]]+Imput[[#This Row],[IVA]]-Imput[[#This Row],[Retención / IEPS / Descuento]]</f>
        <v>0</v>
      </c>
      <c r="M2733" s="844">
        <v>0</v>
      </c>
      <c r="N2733" s="189"/>
      <c r="O2733" s="1"/>
      <c r="P2733" s="189"/>
      <c r="Q2733" s="190"/>
      <c r="R2733" s="188"/>
      <c r="S2733" s="193"/>
      <c r="T2733" s="192"/>
      <c r="U2733" s="829"/>
      <c r="V2733" s="10"/>
      <c r="W2733" s="10"/>
      <c r="X2733" s="10"/>
      <c r="Y2733" s="10"/>
      <c r="Z2733" s="10"/>
      <c r="AA2733" s="11"/>
      <c r="AB2733" s="11"/>
    </row>
    <row r="2734" spans="2:28" x14ac:dyDescent="0.3">
      <c r="B2734" s="10"/>
      <c r="C2734" s="315"/>
      <c r="D2734" s="868"/>
      <c r="E2734" s="837" t="str">
        <f>IFERROR(IF(_xlfn.XLOOKUP(Imput[[#This Row],[RFC]],'Alta Proveedor'!D:D,'Alta Proveedor'!E:E)=0,"",_xlfn.XLOOKUP(Imput[[#This Row],[RFC]],'Alta Proveedor'!D:D,'Alta Proveedor'!E:E)),"")</f>
        <v/>
      </c>
      <c r="F2734" s="832"/>
      <c r="G2734" s="187"/>
      <c r="H2734" s="1"/>
      <c r="I2734" s="169">
        <f>Imput[[#This Row],[Cantidad]]*Imput[[#This Row],[Precio Unitario]]</f>
        <v>0</v>
      </c>
      <c r="J2734" s="11">
        <f>((Imput[[#This Row],[Sub total]])*(0.16))</f>
        <v>0</v>
      </c>
      <c r="K2734" s="11">
        <v>0</v>
      </c>
      <c r="L2734" s="169">
        <f>Imput[[#This Row],[Sub total]]+Imput[[#This Row],[IVA]]-Imput[[#This Row],[Retención / IEPS / Descuento]]</f>
        <v>0</v>
      </c>
      <c r="M2734" s="844">
        <v>0</v>
      </c>
      <c r="N2734" s="189"/>
      <c r="O2734" s="1"/>
      <c r="P2734" s="189"/>
      <c r="Q2734" s="190"/>
      <c r="R2734" s="188"/>
      <c r="S2734" s="193"/>
      <c r="T2734" s="192"/>
      <c r="U2734" s="829"/>
      <c r="V2734" s="10"/>
      <c r="W2734" s="10"/>
      <c r="X2734" s="10"/>
      <c r="Y2734" s="10"/>
      <c r="Z2734" s="10"/>
      <c r="AA2734" s="11"/>
      <c r="AB2734" s="11"/>
    </row>
    <row r="2735" spans="2:28" x14ac:dyDescent="0.3">
      <c r="B2735" s="10"/>
      <c r="C2735" s="315"/>
      <c r="D2735" s="868"/>
      <c r="E2735" s="837" t="str">
        <f>IFERROR(IF(_xlfn.XLOOKUP(Imput[[#This Row],[RFC]],'Alta Proveedor'!D:D,'Alta Proveedor'!E:E)=0,"",_xlfn.XLOOKUP(Imput[[#This Row],[RFC]],'Alta Proveedor'!D:D,'Alta Proveedor'!E:E)),"")</f>
        <v/>
      </c>
      <c r="F2735" s="832"/>
      <c r="G2735" s="187"/>
      <c r="H2735" s="1"/>
      <c r="I2735" s="169">
        <f>Imput[[#This Row],[Cantidad]]*Imput[[#This Row],[Precio Unitario]]</f>
        <v>0</v>
      </c>
      <c r="J2735" s="11">
        <f>((Imput[[#This Row],[Sub total]])*(0.16))</f>
        <v>0</v>
      </c>
      <c r="K2735" s="11">
        <v>0</v>
      </c>
      <c r="L2735" s="169">
        <f>Imput[[#This Row],[Sub total]]+Imput[[#This Row],[IVA]]-Imput[[#This Row],[Retención / IEPS / Descuento]]</f>
        <v>0</v>
      </c>
      <c r="M2735" s="844">
        <v>0</v>
      </c>
      <c r="N2735" s="189"/>
      <c r="O2735" s="1"/>
      <c r="P2735" s="189"/>
      <c r="Q2735" s="190"/>
      <c r="R2735" s="188"/>
      <c r="S2735" s="193"/>
      <c r="T2735" s="192"/>
      <c r="U2735" s="829"/>
      <c r="V2735" s="10"/>
      <c r="W2735" s="10"/>
      <c r="X2735" s="10"/>
      <c r="Y2735" s="10"/>
      <c r="Z2735" s="10"/>
      <c r="AA2735" s="11"/>
      <c r="AB2735" s="11"/>
    </row>
    <row r="2736" spans="2:28" x14ac:dyDescent="0.3">
      <c r="B2736" s="10"/>
      <c r="C2736" s="315"/>
      <c r="D2736" s="868"/>
      <c r="E2736" s="837" t="str">
        <f>IFERROR(IF(_xlfn.XLOOKUP(Imput[[#This Row],[RFC]],'Alta Proveedor'!D:D,'Alta Proveedor'!E:E)=0,"",_xlfn.XLOOKUP(Imput[[#This Row],[RFC]],'Alta Proveedor'!D:D,'Alta Proveedor'!E:E)),"")</f>
        <v/>
      </c>
      <c r="F2736" s="832"/>
      <c r="G2736" s="187"/>
      <c r="H2736" s="1"/>
      <c r="I2736" s="169">
        <f>Imput[[#This Row],[Cantidad]]*Imput[[#This Row],[Precio Unitario]]</f>
        <v>0</v>
      </c>
      <c r="J2736" s="11">
        <f>((Imput[[#This Row],[Sub total]])*(0.16))</f>
        <v>0</v>
      </c>
      <c r="K2736" s="11">
        <v>0</v>
      </c>
      <c r="L2736" s="169">
        <f>Imput[[#This Row],[Sub total]]+Imput[[#This Row],[IVA]]-Imput[[#This Row],[Retención / IEPS / Descuento]]</f>
        <v>0</v>
      </c>
      <c r="M2736" s="844">
        <v>0</v>
      </c>
      <c r="N2736" s="189"/>
      <c r="O2736" s="1"/>
      <c r="P2736" s="189"/>
      <c r="Q2736" s="190"/>
      <c r="R2736" s="188"/>
      <c r="S2736" s="193"/>
      <c r="T2736" s="192"/>
      <c r="U2736" s="829"/>
      <c r="V2736" s="10"/>
      <c r="W2736" s="10"/>
      <c r="X2736" s="10"/>
      <c r="Y2736" s="10"/>
      <c r="Z2736" s="10"/>
      <c r="AA2736" s="11"/>
      <c r="AB2736" s="11"/>
    </row>
    <row r="2737" spans="2:28" x14ac:dyDescent="0.3">
      <c r="B2737" s="10"/>
      <c r="C2737" s="315"/>
      <c r="D2737" s="868"/>
      <c r="E2737" s="837" t="str">
        <f>IFERROR(IF(_xlfn.XLOOKUP(Imput[[#This Row],[RFC]],'Alta Proveedor'!D:D,'Alta Proveedor'!E:E)=0,"",_xlfn.XLOOKUP(Imput[[#This Row],[RFC]],'Alta Proveedor'!D:D,'Alta Proveedor'!E:E)),"")</f>
        <v/>
      </c>
      <c r="F2737" s="832"/>
      <c r="G2737" s="187"/>
      <c r="H2737" s="1"/>
      <c r="I2737" s="169">
        <f>Imput[[#This Row],[Cantidad]]*Imput[[#This Row],[Precio Unitario]]</f>
        <v>0</v>
      </c>
      <c r="J2737" s="11">
        <f>((Imput[[#This Row],[Sub total]])*(0.16))</f>
        <v>0</v>
      </c>
      <c r="K2737" s="11">
        <v>0</v>
      </c>
      <c r="L2737" s="169">
        <f>Imput[[#This Row],[Sub total]]+Imput[[#This Row],[IVA]]-Imput[[#This Row],[Retención / IEPS / Descuento]]</f>
        <v>0</v>
      </c>
      <c r="M2737" s="844">
        <v>0</v>
      </c>
      <c r="N2737" s="189"/>
      <c r="O2737" s="1"/>
      <c r="P2737" s="189"/>
      <c r="Q2737" s="190"/>
      <c r="R2737" s="188"/>
      <c r="S2737" s="193"/>
      <c r="T2737" s="192"/>
      <c r="U2737" s="829"/>
      <c r="V2737" s="10"/>
      <c r="W2737" s="10"/>
      <c r="X2737" s="10"/>
      <c r="Y2737" s="10"/>
      <c r="Z2737" s="10"/>
      <c r="AA2737" s="11"/>
      <c r="AB2737" s="11"/>
    </row>
    <row r="2738" spans="2:28" x14ac:dyDescent="0.3">
      <c r="B2738" s="10"/>
      <c r="C2738" s="315"/>
      <c r="D2738" s="868"/>
      <c r="E2738" s="837" t="str">
        <f>IFERROR(IF(_xlfn.XLOOKUP(Imput[[#This Row],[RFC]],'Alta Proveedor'!D:D,'Alta Proveedor'!E:E)=0,"",_xlfn.XLOOKUP(Imput[[#This Row],[RFC]],'Alta Proveedor'!D:D,'Alta Proveedor'!E:E)),"")</f>
        <v/>
      </c>
      <c r="F2738" s="832"/>
      <c r="G2738" s="187"/>
      <c r="H2738" s="1"/>
      <c r="I2738" s="169">
        <f>Imput[[#This Row],[Cantidad]]*Imput[[#This Row],[Precio Unitario]]</f>
        <v>0</v>
      </c>
      <c r="J2738" s="11">
        <f>((Imput[[#This Row],[Sub total]])*(0.16))</f>
        <v>0</v>
      </c>
      <c r="K2738" s="11">
        <v>0</v>
      </c>
      <c r="L2738" s="169">
        <f>Imput[[#This Row],[Sub total]]+Imput[[#This Row],[IVA]]-Imput[[#This Row],[Retención / IEPS / Descuento]]</f>
        <v>0</v>
      </c>
      <c r="M2738" s="844">
        <v>0</v>
      </c>
      <c r="N2738" s="189"/>
      <c r="O2738" s="1"/>
      <c r="P2738" s="189"/>
      <c r="Q2738" s="190"/>
      <c r="R2738" s="188"/>
      <c r="S2738" s="193"/>
      <c r="T2738" s="192"/>
      <c r="U2738" s="829"/>
      <c r="V2738" s="10"/>
      <c r="W2738" s="10"/>
      <c r="X2738" s="10"/>
      <c r="Y2738" s="10"/>
      <c r="Z2738" s="10"/>
      <c r="AA2738" s="11"/>
      <c r="AB2738" s="11"/>
    </row>
    <row r="2739" spans="2:28" x14ac:dyDescent="0.3">
      <c r="B2739" s="10"/>
      <c r="C2739" s="315"/>
      <c r="D2739" s="868"/>
      <c r="E2739" s="837" t="str">
        <f>IFERROR(IF(_xlfn.XLOOKUP(Imput[[#This Row],[RFC]],'Alta Proveedor'!D:D,'Alta Proveedor'!E:E)=0,"",_xlfn.XLOOKUP(Imput[[#This Row],[RFC]],'Alta Proveedor'!D:D,'Alta Proveedor'!E:E)),"")</f>
        <v/>
      </c>
      <c r="F2739" s="832"/>
      <c r="G2739" s="187"/>
      <c r="H2739" s="1"/>
      <c r="I2739" s="169">
        <f>Imput[[#This Row],[Cantidad]]*Imput[[#This Row],[Precio Unitario]]</f>
        <v>0</v>
      </c>
      <c r="J2739" s="11">
        <f>((Imput[[#This Row],[Sub total]])*(0.16))</f>
        <v>0</v>
      </c>
      <c r="K2739" s="11">
        <v>0</v>
      </c>
      <c r="L2739" s="169">
        <f>Imput[[#This Row],[Sub total]]+Imput[[#This Row],[IVA]]-Imput[[#This Row],[Retención / IEPS / Descuento]]</f>
        <v>0</v>
      </c>
      <c r="M2739" s="844">
        <v>0</v>
      </c>
      <c r="N2739" s="189"/>
      <c r="O2739" s="1"/>
      <c r="P2739" s="189"/>
      <c r="Q2739" s="190"/>
      <c r="R2739" s="188"/>
      <c r="S2739" s="193"/>
      <c r="T2739" s="192"/>
      <c r="U2739" s="829"/>
      <c r="V2739" s="10"/>
      <c r="W2739" s="10"/>
      <c r="X2739" s="10"/>
      <c r="Y2739" s="10"/>
      <c r="Z2739" s="10"/>
      <c r="AA2739" s="11"/>
      <c r="AB2739" s="11"/>
    </row>
    <row r="2740" spans="2:28" x14ac:dyDescent="0.3">
      <c r="B2740" s="10"/>
      <c r="C2740" s="315"/>
      <c r="D2740" s="868"/>
      <c r="E2740" s="837" t="str">
        <f>IFERROR(IF(_xlfn.XLOOKUP(Imput[[#This Row],[RFC]],'Alta Proveedor'!D:D,'Alta Proveedor'!E:E)=0,"",_xlfn.XLOOKUP(Imput[[#This Row],[RFC]],'Alta Proveedor'!D:D,'Alta Proveedor'!E:E)),"")</f>
        <v/>
      </c>
      <c r="F2740" s="832"/>
      <c r="G2740" s="187"/>
      <c r="H2740" s="1"/>
      <c r="I2740" s="169">
        <f>Imput[[#This Row],[Cantidad]]*Imput[[#This Row],[Precio Unitario]]</f>
        <v>0</v>
      </c>
      <c r="J2740" s="11">
        <f>((Imput[[#This Row],[Sub total]])*(0.16))</f>
        <v>0</v>
      </c>
      <c r="K2740" s="11">
        <v>0</v>
      </c>
      <c r="L2740" s="169">
        <f>Imput[[#This Row],[Sub total]]+Imput[[#This Row],[IVA]]-Imput[[#This Row],[Retención / IEPS / Descuento]]</f>
        <v>0</v>
      </c>
      <c r="M2740" s="844">
        <v>0</v>
      </c>
      <c r="N2740" s="189"/>
      <c r="O2740" s="1"/>
      <c r="P2740" s="189"/>
      <c r="Q2740" s="190"/>
      <c r="R2740" s="188"/>
      <c r="S2740" s="193"/>
      <c r="T2740" s="192"/>
      <c r="U2740" s="829"/>
      <c r="V2740" s="10"/>
      <c r="W2740" s="10"/>
      <c r="X2740" s="10"/>
      <c r="Y2740" s="10"/>
      <c r="Z2740" s="10"/>
      <c r="AA2740" s="11"/>
      <c r="AB2740" s="11"/>
    </row>
    <row r="2741" spans="2:28" x14ac:dyDescent="0.3">
      <c r="B2741" s="10"/>
      <c r="C2741" s="315"/>
      <c r="D2741" s="868"/>
      <c r="E2741" s="837" t="str">
        <f>IFERROR(IF(_xlfn.XLOOKUP(Imput[[#This Row],[RFC]],'Alta Proveedor'!D:D,'Alta Proveedor'!E:E)=0,"",_xlfn.XLOOKUP(Imput[[#This Row],[RFC]],'Alta Proveedor'!D:D,'Alta Proveedor'!E:E)),"")</f>
        <v/>
      </c>
      <c r="F2741" s="832"/>
      <c r="G2741" s="187"/>
      <c r="H2741" s="1"/>
      <c r="I2741" s="169">
        <f>Imput[[#This Row],[Cantidad]]*Imput[[#This Row],[Precio Unitario]]</f>
        <v>0</v>
      </c>
      <c r="J2741" s="11">
        <f>((Imput[[#This Row],[Sub total]])*(0.16))</f>
        <v>0</v>
      </c>
      <c r="K2741" s="11">
        <v>0</v>
      </c>
      <c r="L2741" s="169">
        <f>Imput[[#This Row],[Sub total]]+Imput[[#This Row],[IVA]]-Imput[[#This Row],[Retención / IEPS / Descuento]]</f>
        <v>0</v>
      </c>
      <c r="M2741" s="844">
        <v>0</v>
      </c>
      <c r="N2741" s="189"/>
      <c r="O2741" s="1"/>
      <c r="P2741" s="189"/>
      <c r="Q2741" s="190"/>
      <c r="R2741" s="188"/>
      <c r="S2741" s="193"/>
      <c r="T2741" s="192"/>
      <c r="U2741" s="829"/>
      <c r="V2741" s="10"/>
      <c r="W2741" s="10"/>
      <c r="X2741" s="10"/>
      <c r="Y2741" s="10"/>
      <c r="Z2741" s="10"/>
      <c r="AA2741" s="11"/>
      <c r="AB2741" s="11"/>
    </row>
    <row r="2742" spans="2:28" x14ac:dyDescent="0.3">
      <c r="B2742" s="10"/>
      <c r="C2742" s="315"/>
      <c r="D2742" s="868"/>
      <c r="E2742" s="837" t="str">
        <f>IFERROR(IF(_xlfn.XLOOKUP(Imput[[#This Row],[RFC]],'Alta Proveedor'!D:D,'Alta Proveedor'!E:E)=0,"",_xlfn.XLOOKUP(Imput[[#This Row],[RFC]],'Alta Proveedor'!D:D,'Alta Proveedor'!E:E)),"")</f>
        <v/>
      </c>
      <c r="F2742" s="832"/>
      <c r="G2742" s="187"/>
      <c r="H2742" s="1"/>
      <c r="I2742" s="169">
        <f>Imput[[#This Row],[Cantidad]]*Imput[[#This Row],[Precio Unitario]]</f>
        <v>0</v>
      </c>
      <c r="J2742" s="11">
        <f>((Imput[[#This Row],[Sub total]])*(0.16))</f>
        <v>0</v>
      </c>
      <c r="K2742" s="11">
        <v>0</v>
      </c>
      <c r="L2742" s="169">
        <f>Imput[[#This Row],[Sub total]]+Imput[[#This Row],[IVA]]-Imput[[#This Row],[Retención / IEPS / Descuento]]</f>
        <v>0</v>
      </c>
      <c r="M2742" s="844">
        <v>0</v>
      </c>
      <c r="N2742" s="189"/>
      <c r="O2742" s="1"/>
      <c r="P2742" s="189"/>
      <c r="Q2742" s="190"/>
      <c r="R2742" s="188"/>
      <c r="S2742" s="193"/>
      <c r="T2742" s="192"/>
      <c r="U2742" s="829"/>
      <c r="V2742" s="10"/>
      <c r="W2742" s="10"/>
      <c r="X2742" s="10"/>
      <c r="Y2742" s="10"/>
      <c r="Z2742" s="10"/>
      <c r="AA2742" s="11"/>
      <c r="AB2742" s="11"/>
    </row>
    <row r="2743" spans="2:28" x14ac:dyDescent="0.3">
      <c r="B2743" s="10"/>
      <c r="C2743" s="315"/>
      <c r="D2743" s="868"/>
      <c r="E2743" s="837" t="str">
        <f>IFERROR(IF(_xlfn.XLOOKUP(Imput[[#This Row],[RFC]],'Alta Proveedor'!D:D,'Alta Proveedor'!E:E)=0,"",_xlfn.XLOOKUP(Imput[[#This Row],[RFC]],'Alta Proveedor'!D:D,'Alta Proveedor'!E:E)),"")</f>
        <v/>
      </c>
      <c r="F2743" s="832"/>
      <c r="G2743" s="187"/>
      <c r="H2743" s="1"/>
      <c r="I2743" s="169">
        <f>Imput[[#This Row],[Cantidad]]*Imput[[#This Row],[Precio Unitario]]</f>
        <v>0</v>
      </c>
      <c r="J2743" s="11">
        <f>((Imput[[#This Row],[Sub total]])*(0.16))</f>
        <v>0</v>
      </c>
      <c r="K2743" s="11">
        <v>0</v>
      </c>
      <c r="L2743" s="169">
        <f>Imput[[#This Row],[Sub total]]+Imput[[#This Row],[IVA]]-Imput[[#This Row],[Retención / IEPS / Descuento]]</f>
        <v>0</v>
      </c>
      <c r="M2743" s="844">
        <v>0</v>
      </c>
      <c r="N2743" s="189"/>
      <c r="O2743" s="1"/>
      <c r="P2743" s="189"/>
      <c r="Q2743" s="190"/>
      <c r="R2743" s="188"/>
      <c r="S2743" s="193"/>
      <c r="T2743" s="192"/>
      <c r="U2743" s="829"/>
      <c r="V2743" s="10"/>
      <c r="W2743" s="10"/>
      <c r="X2743" s="10"/>
      <c r="Y2743" s="10"/>
      <c r="Z2743" s="10"/>
      <c r="AA2743" s="11"/>
      <c r="AB2743" s="11"/>
    </row>
    <row r="2744" spans="2:28" x14ac:dyDescent="0.3">
      <c r="B2744" s="10"/>
      <c r="C2744" s="315"/>
      <c r="D2744" s="868"/>
      <c r="E2744" s="837" t="str">
        <f>IFERROR(IF(_xlfn.XLOOKUP(Imput[[#This Row],[RFC]],'Alta Proveedor'!D:D,'Alta Proveedor'!E:E)=0,"",_xlfn.XLOOKUP(Imput[[#This Row],[RFC]],'Alta Proveedor'!D:D,'Alta Proveedor'!E:E)),"")</f>
        <v/>
      </c>
      <c r="F2744" s="832"/>
      <c r="G2744" s="187"/>
      <c r="H2744" s="1"/>
      <c r="I2744" s="169">
        <f>Imput[[#This Row],[Cantidad]]*Imput[[#This Row],[Precio Unitario]]</f>
        <v>0</v>
      </c>
      <c r="J2744" s="11">
        <f>((Imput[[#This Row],[Sub total]])*(0.16))</f>
        <v>0</v>
      </c>
      <c r="K2744" s="11">
        <v>0</v>
      </c>
      <c r="L2744" s="169">
        <f>Imput[[#This Row],[Sub total]]+Imput[[#This Row],[IVA]]-Imput[[#This Row],[Retención / IEPS / Descuento]]</f>
        <v>0</v>
      </c>
      <c r="M2744" s="844">
        <v>0</v>
      </c>
      <c r="N2744" s="189"/>
      <c r="O2744" s="1"/>
      <c r="P2744" s="189"/>
      <c r="Q2744" s="190"/>
      <c r="R2744" s="188"/>
      <c r="S2744" s="193"/>
      <c r="T2744" s="192"/>
      <c r="U2744" s="829"/>
      <c r="V2744" s="10"/>
      <c r="W2744" s="10"/>
      <c r="X2744" s="10"/>
      <c r="Y2744" s="10"/>
      <c r="Z2744" s="10"/>
      <c r="AA2744" s="11"/>
      <c r="AB2744" s="11"/>
    </row>
    <row r="2745" spans="2:28" x14ac:dyDescent="0.3">
      <c r="B2745" s="10"/>
      <c r="C2745" s="315"/>
      <c r="D2745" s="868"/>
      <c r="E2745" s="837" t="str">
        <f>IFERROR(IF(_xlfn.XLOOKUP(Imput[[#This Row],[RFC]],'Alta Proveedor'!D:D,'Alta Proveedor'!E:E)=0,"",_xlfn.XLOOKUP(Imput[[#This Row],[RFC]],'Alta Proveedor'!D:D,'Alta Proveedor'!E:E)),"")</f>
        <v/>
      </c>
      <c r="F2745" s="832"/>
      <c r="G2745" s="187"/>
      <c r="H2745" s="1"/>
      <c r="I2745" s="169">
        <f>Imput[[#This Row],[Cantidad]]*Imput[[#This Row],[Precio Unitario]]</f>
        <v>0</v>
      </c>
      <c r="J2745" s="11">
        <f>((Imput[[#This Row],[Sub total]])*(0.16))</f>
        <v>0</v>
      </c>
      <c r="K2745" s="11">
        <v>0</v>
      </c>
      <c r="L2745" s="169">
        <f>Imput[[#This Row],[Sub total]]+Imput[[#This Row],[IVA]]-Imput[[#This Row],[Retención / IEPS / Descuento]]</f>
        <v>0</v>
      </c>
      <c r="M2745" s="844">
        <v>0</v>
      </c>
      <c r="N2745" s="189"/>
      <c r="O2745" s="1"/>
      <c r="P2745" s="189"/>
      <c r="Q2745" s="190"/>
      <c r="R2745" s="188"/>
      <c r="S2745" s="193"/>
      <c r="T2745" s="192"/>
      <c r="U2745" s="829"/>
      <c r="V2745" s="10"/>
      <c r="W2745" s="10"/>
      <c r="X2745" s="10"/>
      <c r="Y2745" s="10"/>
      <c r="Z2745" s="10"/>
      <c r="AA2745" s="11"/>
      <c r="AB2745" s="11"/>
    </row>
    <row r="2746" spans="2:28" x14ac:dyDescent="0.3">
      <c r="B2746" s="10"/>
      <c r="C2746" s="315"/>
      <c r="D2746" s="868"/>
      <c r="E2746" s="837" t="str">
        <f>IFERROR(IF(_xlfn.XLOOKUP(Imput[[#This Row],[RFC]],'Alta Proveedor'!D:D,'Alta Proveedor'!E:E)=0,"",_xlfn.XLOOKUP(Imput[[#This Row],[RFC]],'Alta Proveedor'!D:D,'Alta Proveedor'!E:E)),"")</f>
        <v/>
      </c>
      <c r="F2746" s="832"/>
      <c r="G2746" s="187"/>
      <c r="H2746" s="1"/>
      <c r="I2746" s="169">
        <f>Imput[[#This Row],[Cantidad]]*Imput[[#This Row],[Precio Unitario]]</f>
        <v>0</v>
      </c>
      <c r="J2746" s="11">
        <f>((Imput[[#This Row],[Sub total]])*(0.16))</f>
        <v>0</v>
      </c>
      <c r="K2746" s="11">
        <v>0</v>
      </c>
      <c r="L2746" s="169">
        <f>Imput[[#This Row],[Sub total]]+Imput[[#This Row],[IVA]]-Imput[[#This Row],[Retención / IEPS / Descuento]]</f>
        <v>0</v>
      </c>
      <c r="M2746" s="844">
        <v>0</v>
      </c>
      <c r="N2746" s="189"/>
      <c r="O2746" s="1"/>
      <c r="P2746" s="189"/>
      <c r="Q2746" s="190"/>
      <c r="R2746" s="188"/>
      <c r="S2746" s="193"/>
      <c r="T2746" s="192"/>
      <c r="U2746" s="829"/>
      <c r="V2746" s="10"/>
      <c r="W2746" s="10"/>
      <c r="X2746" s="10"/>
      <c r="Y2746" s="10"/>
      <c r="Z2746" s="10"/>
      <c r="AA2746" s="11"/>
      <c r="AB2746" s="11"/>
    </row>
    <row r="2747" spans="2:28" x14ac:dyDescent="0.3">
      <c r="B2747" s="10"/>
      <c r="C2747" s="315"/>
      <c r="D2747" s="868"/>
      <c r="E2747" s="837" t="str">
        <f>IFERROR(IF(_xlfn.XLOOKUP(Imput[[#This Row],[RFC]],'Alta Proveedor'!D:D,'Alta Proveedor'!E:E)=0,"",_xlfn.XLOOKUP(Imput[[#This Row],[RFC]],'Alta Proveedor'!D:D,'Alta Proveedor'!E:E)),"")</f>
        <v/>
      </c>
      <c r="F2747" s="832"/>
      <c r="G2747" s="187"/>
      <c r="H2747" s="1"/>
      <c r="I2747" s="169">
        <f>Imput[[#This Row],[Cantidad]]*Imput[[#This Row],[Precio Unitario]]</f>
        <v>0</v>
      </c>
      <c r="J2747" s="11">
        <f>((Imput[[#This Row],[Sub total]])*(0.16))</f>
        <v>0</v>
      </c>
      <c r="K2747" s="11">
        <v>0</v>
      </c>
      <c r="L2747" s="169">
        <f>Imput[[#This Row],[Sub total]]+Imput[[#This Row],[IVA]]-Imput[[#This Row],[Retención / IEPS / Descuento]]</f>
        <v>0</v>
      </c>
      <c r="M2747" s="844">
        <v>0</v>
      </c>
      <c r="N2747" s="189"/>
      <c r="O2747" s="1"/>
      <c r="P2747" s="189"/>
      <c r="Q2747" s="190"/>
      <c r="R2747" s="188"/>
      <c r="S2747" s="193"/>
      <c r="T2747" s="192"/>
      <c r="U2747" s="829"/>
      <c r="V2747" s="10"/>
      <c r="W2747" s="10"/>
      <c r="X2747" s="10"/>
      <c r="Y2747" s="10"/>
      <c r="Z2747" s="10"/>
      <c r="AA2747" s="11"/>
      <c r="AB2747" s="11"/>
    </row>
    <row r="2748" spans="2:28" x14ac:dyDescent="0.3">
      <c r="B2748" s="10"/>
      <c r="C2748" s="315"/>
      <c r="D2748" s="868"/>
      <c r="E2748" s="837" t="str">
        <f>IFERROR(IF(_xlfn.XLOOKUP(Imput[[#This Row],[RFC]],'Alta Proveedor'!D:D,'Alta Proveedor'!E:E)=0,"",_xlfn.XLOOKUP(Imput[[#This Row],[RFC]],'Alta Proveedor'!D:D,'Alta Proveedor'!E:E)),"")</f>
        <v/>
      </c>
      <c r="F2748" s="832"/>
      <c r="G2748" s="187"/>
      <c r="H2748" s="1"/>
      <c r="I2748" s="169">
        <f>Imput[[#This Row],[Cantidad]]*Imput[[#This Row],[Precio Unitario]]</f>
        <v>0</v>
      </c>
      <c r="J2748" s="11">
        <f>((Imput[[#This Row],[Sub total]])*(0.16))</f>
        <v>0</v>
      </c>
      <c r="K2748" s="11">
        <v>0</v>
      </c>
      <c r="L2748" s="169">
        <f>Imput[[#This Row],[Sub total]]+Imput[[#This Row],[IVA]]-Imput[[#This Row],[Retención / IEPS / Descuento]]</f>
        <v>0</v>
      </c>
      <c r="M2748" s="844">
        <v>0</v>
      </c>
      <c r="N2748" s="189"/>
      <c r="O2748" s="1"/>
      <c r="P2748" s="189"/>
      <c r="Q2748" s="190"/>
      <c r="R2748" s="188"/>
      <c r="S2748" s="193"/>
      <c r="T2748" s="192"/>
      <c r="U2748" s="829"/>
      <c r="V2748" s="10"/>
      <c r="W2748" s="10"/>
      <c r="X2748" s="10"/>
      <c r="Y2748" s="10"/>
      <c r="Z2748" s="10"/>
      <c r="AA2748" s="11"/>
      <c r="AB2748" s="11"/>
    </row>
    <row r="2749" spans="2:28" x14ac:dyDescent="0.3">
      <c r="B2749" s="10"/>
      <c r="C2749" s="315"/>
      <c r="D2749" s="868"/>
      <c r="E2749" s="837" t="str">
        <f>IFERROR(IF(_xlfn.XLOOKUP(Imput[[#This Row],[RFC]],'Alta Proveedor'!D:D,'Alta Proveedor'!E:E)=0,"",_xlfn.XLOOKUP(Imput[[#This Row],[RFC]],'Alta Proveedor'!D:D,'Alta Proveedor'!E:E)),"")</f>
        <v/>
      </c>
      <c r="F2749" s="832"/>
      <c r="G2749" s="187"/>
      <c r="H2749" s="1"/>
      <c r="I2749" s="169">
        <f>Imput[[#This Row],[Cantidad]]*Imput[[#This Row],[Precio Unitario]]</f>
        <v>0</v>
      </c>
      <c r="J2749" s="11">
        <f>((Imput[[#This Row],[Sub total]])*(0.16))</f>
        <v>0</v>
      </c>
      <c r="K2749" s="11">
        <v>0</v>
      </c>
      <c r="L2749" s="169">
        <f>Imput[[#This Row],[Sub total]]+Imput[[#This Row],[IVA]]-Imput[[#This Row],[Retención / IEPS / Descuento]]</f>
        <v>0</v>
      </c>
      <c r="M2749" s="844">
        <v>0</v>
      </c>
      <c r="N2749" s="189"/>
      <c r="O2749" s="1"/>
      <c r="P2749" s="189"/>
      <c r="Q2749" s="190"/>
      <c r="R2749" s="188"/>
      <c r="S2749" s="193"/>
      <c r="T2749" s="192"/>
      <c r="U2749" s="829"/>
      <c r="V2749" s="10"/>
      <c r="W2749" s="10"/>
      <c r="X2749" s="10"/>
      <c r="Y2749" s="10"/>
      <c r="Z2749" s="10"/>
      <c r="AA2749" s="11"/>
      <c r="AB2749" s="11"/>
    </row>
    <row r="2750" spans="2:28" x14ac:dyDescent="0.3">
      <c r="B2750" s="10"/>
      <c r="C2750" s="315"/>
      <c r="D2750" s="868"/>
      <c r="E2750" s="837" t="str">
        <f>IFERROR(IF(_xlfn.XLOOKUP(Imput[[#This Row],[RFC]],'Alta Proveedor'!D:D,'Alta Proveedor'!E:E)=0,"",_xlfn.XLOOKUP(Imput[[#This Row],[RFC]],'Alta Proveedor'!D:D,'Alta Proveedor'!E:E)),"")</f>
        <v/>
      </c>
      <c r="F2750" s="832"/>
      <c r="G2750" s="187"/>
      <c r="H2750" s="1"/>
      <c r="I2750" s="169">
        <f>Imput[[#This Row],[Cantidad]]*Imput[[#This Row],[Precio Unitario]]</f>
        <v>0</v>
      </c>
      <c r="J2750" s="11">
        <f>((Imput[[#This Row],[Sub total]])*(0.16))</f>
        <v>0</v>
      </c>
      <c r="K2750" s="11">
        <v>0</v>
      </c>
      <c r="L2750" s="169">
        <f>Imput[[#This Row],[Sub total]]+Imput[[#This Row],[IVA]]-Imput[[#This Row],[Retención / IEPS / Descuento]]</f>
        <v>0</v>
      </c>
      <c r="M2750" s="844">
        <v>0</v>
      </c>
      <c r="N2750" s="189"/>
      <c r="O2750" s="1"/>
      <c r="P2750" s="189"/>
      <c r="Q2750" s="190"/>
      <c r="R2750" s="188"/>
      <c r="S2750" s="193"/>
      <c r="T2750" s="192"/>
      <c r="U2750" s="829"/>
      <c r="V2750" s="10"/>
      <c r="W2750" s="10"/>
      <c r="X2750" s="10"/>
      <c r="Y2750" s="10"/>
      <c r="Z2750" s="10"/>
      <c r="AA2750" s="11"/>
      <c r="AB2750" s="11"/>
    </row>
    <row r="2751" spans="2:28" x14ac:dyDescent="0.3">
      <c r="B2751" s="10"/>
      <c r="C2751" s="315"/>
      <c r="D2751" s="868"/>
      <c r="E2751" s="837" t="str">
        <f>IFERROR(IF(_xlfn.XLOOKUP(Imput[[#This Row],[RFC]],'Alta Proveedor'!D:D,'Alta Proveedor'!E:E)=0,"",_xlfn.XLOOKUP(Imput[[#This Row],[RFC]],'Alta Proveedor'!D:D,'Alta Proveedor'!E:E)),"")</f>
        <v/>
      </c>
      <c r="F2751" s="832"/>
      <c r="G2751" s="187"/>
      <c r="H2751" s="1"/>
      <c r="I2751" s="169">
        <f>Imput[[#This Row],[Cantidad]]*Imput[[#This Row],[Precio Unitario]]</f>
        <v>0</v>
      </c>
      <c r="J2751" s="11">
        <f>((Imput[[#This Row],[Sub total]])*(0.16))</f>
        <v>0</v>
      </c>
      <c r="K2751" s="11">
        <v>0</v>
      </c>
      <c r="L2751" s="169">
        <f>Imput[[#This Row],[Sub total]]+Imput[[#This Row],[IVA]]-Imput[[#This Row],[Retención / IEPS / Descuento]]</f>
        <v>0</v>
      </c>
      <c r="M2751" s="844">
        <v>0</v>
      </c>
      <c r="N2751" s="189"/>
      <c r="O2751" s="1"/>
      <c r="P2751" s="189"/>
      <c r="Q2751" s="190"/>
      <c r="R2751" s="188"/>
      <c r="S2751" s="193"/>
      <c r="T2751" s="192"/>
      <c r="U2751" s="829"/>
      <c r="V2751" s="10"/>
      <c r="W2751" s="10"/>
      <c r="X2751" s="10"/>
      <c r="Y2751" s="10"/>
      <c r="Z2751" s="10"/>
      <c r="AA2751" s="11"/>
      <c r="AB2751" s="11"/>
    </row>
    <row r="2752" spans="2:28" x14ac:dyDescent="0.3">
      <c r="B2752" s="10"/>
      <c r="C2752" s="315"/>
      <c r="D2752" s="868"/>
      <c r="E2752" s="837" t="str">
        <f>IFERROR(IF(_xlfn.XLOOKUP(Imput[[#This Row],[RFC]],'Alta Proveedor'!D:D,'Alta Proveedor'!E:E)=0,"",_xlfn.XLOOKUP(Imput[[#This Row],[RFC]],'Alta Proveedor'!D:D,'Alta Proveedor'!E:E)),"")</f>
        <v/>
      </c>
      <c r="F2752" s="832"/>
      <c r="G2752" s="187"/>
      <c r="H2752" s="1"/>
      <c r="I2752" s="169">
        <f>Imput[[#This Row],[Cantidad]]*Imput[[#This Row],[Precio Unitario]]</f>
        <v>0</v>
      </c>
      <c r="J2752" s="11">
        <f>((Imput[[#This Row],[Sub total]])*(0.16))</f>
        <v>0</v>
      </c>
      <c r="K2752" s="11">
        <v>0</v>
      </c>
      <c r="L2752" s="169">
        <f>Imput[[#This Row],[Sub total]]+Imput[[#This Row],[IVA]]-Imput[[#This Row],[Retención / IEPS / Descuento]]</f>
        <v>0</v>
      </c>
      <c r="M2752" s="844">
        <v>0</v>
      </c>
      <c r="N2752" s="189"/>
      <c r="O2752" s="1"/>
      <c r="P2752" s="189"/>
      <c r="Q2752" s="190"/>
      <c r="R2752" s="188"/>
      <c r="S2752" s="193"/>
      <c r="T2752" s="192"/>
      <c r="U2752" s="829"/>
      <c r="V2752" s="10"/>
      <c r="W2752" s="10"/>
      <c r="X2752" s="10"/>
      <c r="Y2752" s="10"/>
      <c r="Z2752" s="10"/>
      <c r="AA2752" s="11"/>
      <c r="AB2752" s="11"/>
    </row>
    <row r="2753" spans="2:28" x14ac:dyDescent="0.3">
      <c r="B2753" s="10"/>
      <c r="C2753" s="315"/>
      <c r="D2753" s="868"/>
      <c r="E2753" s="837" t="str">
        <f>IFERROR(IF(_xlfn.XLOOKUP(Imput[[#This Row],[RFC]],'Alta Proveedor'!D:D,'Alta Proveedor'!E:E)=0,"",_xlfn.XLOOKUP(Imput[[#This Row],[RFC]],'Alta Proveedor'!D:D,'Alta Proveedor'!E:E)),"")</f>
        <v/>
      </c>
      <c r="F2753" s="832"/>
      <c r="G2753" s="187"/>
      <c r="H2753" s="1"/>
      <c r="I2753" s="169">
        <f>Imput[[#This Row],[Cantidad]]*Imput[[#This Row],[Precio Unitario]]</f>
        <v>0</v>
      </c>
      <c r="J2753" s="11">
        <f>((Imput[[#This Row],[Sub total]])*(0.16))</f>
        <v>0</v>
      </c>
      <c r="K2753" s="11">
        <v>0</v>
      </c>
      <c r="L2753" s="169">
        <f>Imput[[#This Row],[Sub total]]+Imput[[#This Row],[IVA]]-Imput[[#This Row],[Retención / IEPS / Descuento]]</f>
        <v>0</v>
      </c>
      <c r="M2753" s="844">
        <v>0</v>
      </c>
      <c r="N2753" s="189"/>
      <c r="O2753" s="1"/>
      <c r="P2753" s="189"/>
      <c r="Q2753" s="190"/>
      <c r="R2753" s="188"/>
      <c r="S2753" s="193"/>
      <c r="T2753" s="192"/>
      <c r="U2753" s="829"/>
      <c r="V2753" s="10"/>
      <c r="W2753" s="10"/>
      <c r="X2753" s="10"/>
      <c r="Y2753" s="10"/>
      <c r="Z2753" s="10"/>
      <c r="AA2753" s="11"/>
      <c r="AB2753" s="11"/>
    </row>
    <row r="2754" spans="2:28" x14ac:dyDescent="0.3">
      <c r="B2754" s="10"/>
      <c r="C2754" s="315"/>
      <c r="D2754" s="868"/>
      <c r="E2754" s="837" t="str">
        <f>IFERROR(IF(_xlfn.XLOOKUP(Imput[[#This Row],[RFC]],'Alta Proveedor'!D:D,'Alta Proveedor'!E:E)=0,"",_xlfn.XLOOKUP(Imput[[#This Row],[RFC]],'Alta Proveedor'!D:D,'Alta Proveedor'!E:E)),"")</f>
        <v/>
      </c>
      <c r="F2754" s="832"/>
      <c r="G2754" s="187"/>
      <c r="H2754" s="1"/>
      <c r="I2754" s="169">
        <f>Imput[[#This Row],[Cantidad]]*Imput[[#This Row],[Precio Unitario]]</f>
        <v>0</v>
      </c>
      <c r="J2754" s="11">
        <f>((Imput[[#This Row],[Sub total]])*(0.16))</f>
        <v>0</v>
      </c>
      <c r="K2754" s="11">
        <v>0</v>
      </c>
      <c r="L2754" s="169">
        <f>Imput[[#This Row],[Sub total]]+Imput[[#This Row],[IVA]]-Imput[[#This Row],[Retención / IEPS / Descuento]]</f>
        <v>0</v>
      </c>
      <c r="M2754" s="844">
        <v>0</v>
      </c>
      <c r="N2754" s="189"/>
      <c r="O2754" s="1"/>
      <c r="P2754" s="189"/>
      <c r="Q2754" s="190"/>
      <c r="R2754" s="188"/>
      <c r="S2754" s="193"/>
      <c r="T2754" s="192"/>
      <c r="U2754" s="829"/>
      <c r="V2754" s="10"/>
      <c r="W2754" s="10"/>
      <c r="X2754" s="10"/>
      <c r="Y2754" s="10"/>
      <c r="Z2754" s="10"/>
      <c r="AA2754" s="11"/>
      <c r="AB2754" s="11"/>
    </row>
    <row r="2755" spans="2:28" x14ac:dyDescent="0.3">
      <c r="B2755" s="10"/>
      <c r="C2755" s="315"/>
      <c r="D2755" s="868"/>
      <c r="E2755" s="837" t="str">
        <f>IFERROR(IF(_xlfn.XLOOKUP(Imput[[#This Row],[RFC]],'Alta Proveedor'!D:D,'Alta Proveedor'!E:E)=0,"",_xlfn.XLOOKUP(Imput[[#This Row],[RFC]],'Alta Proveedor'!D:D,'Alta Proveedor'!E:E)),"")</f>
        <v/>
      </c>
      <c r="F2755" s="832"/>
      <c r="G2755" s="187"/>
      <c r="H2755" s="1"/>
      <c r="I2755" s="169">
        <f>Imput[[#This Row],[Cantidad]]*Imput[[#This Row],[Precio Unitario]]</f>
        <v>0</v>
      </c>
      <c r="J2755" s="11">
        <f>((Imput[[#This Row],[Sub total]])*(0.16))</f>
        <v>0</v>
      </c>
      <c r="K2755" s="11">
        <v>0</v>
      </c>
      <c r="L2755" s="169">
        <f>Imput[[#This Row],[Sub total]]+Imput[[#This Row],[IVA]]-Imput[[#This Row],[Retención / IEPS / Descuento]]</f>
        <v>0</v>
      </c>
      <c r="M2755" s="844">
        <v>0</v>
      </c>
      <c r="N2755" s="189"/>
      <c r="O2755" s="1"/>
      <c r="P2755" s="189"/>
      <c r="Q2755" s="190"/>
      <c r="R2755" s="188"/>
      <c r="S2755" s="193"/>
      <c r="T2755" s="192"/>
      <c r="U2755" s="829"/>
      <c r="V2755" s="10"/>
      <c r="W2755" s="10"/>
      <c r="X2755" s="10"/>
      <c r="Y2755" s="10"/>
      <c r="Z2755" s="10"/>
      <c r="AA2755" s="11"/>
      <c r="AB2755" s="11"/>
    </row>
    <row r="2756" spans="2:28" x14ac:dyDescent="0.3">
      <c r="B2756" s="10"/>
      <c r="C2756" s="315"/>
      <c r="D2756" s="868"/>
      <c r="E2756" s="837" t="str">
        <f>IFERROR(IF(_xlfn.XLOOKUP(Imput[[#This Row],[RFC]],'Alta Proveedor'!D:D,'Alta Proveedor'!E:E)=0,"",_xlfn.XLOOKUP(Imput[[#This Row],[RFC]],'Alta Proveedor'!D:D,'Alta Proveedor'!E:E)),"")</f>
        <v/>
      </c>
      <c r="F2756" s="832"/>
      <c r="G2756" s="187"/>
      <c r="H2756" s="1"/>
      <c r="I2756" s="169">
        <f>Imput[[#This Row],[Cantidad]]*Imput[[#This Row],[Precio Unitario]]</f>
        <v>0</v>
      </c>
      <c r="J2756" s="11">
        <f>((Imput[[#This Row],[Sub total]])*(0.16))</f>
        <v>0</v>
      </c>
      <c r="K2756" s="11">
        <v>0</v>
      </c>
      <c r="L2756" s="169">
        <f>Imput[[#This Row],[Sub total]]+Imput[[#This Row],[IVA]]-Imput[[#This Row],[Retención / IEPS / Descuento]]</f>
        <v>0</v>
      </c>
      <c r="M2756" s="844">
        <v>0</v>
      </c>
      <c r="N2756" s="189"/>
      <c r="O2756" s="1"/>
      <c r="P2756" s="189"/>
      <c r="Q2756" s="190"/>
      <c r="R2756" s="188"/>
      <c r="S2756" s="193"/>
      <c r="T2756" s="192"/>
      <c r="U2756" s="829"/>
      <c r="V2756" s="10"/>
      <c r="W2756" s="10"/>
      <c r="X2756" s="10"/>
      <c r="Y2756" s="10"/>
      <c r="Z2756" s="10"/>
      <c r="AA2756" s="11"/>
      <c r="AB2756" s="11"/>
    </row>
    <row r="2757" spans="2:28" x14ac:dyDescent="0.3">
      <c r="B2757" s="10"/>
      <c r="C2757" s="315"/>
      <c r="D2757" s="868"/>
      <c r="E2757" s="837" t="str">
        <f>IFERROR(IF(_xlfn.XLOOKUP(Imput[[#This Row],[RFC]],'Alta Proveedor'!D:D,'Alta Proveedor'!E:E)=0,"",_xlfn.XLOOKUP(Imput[[#This Row],[RFC]],'Alta Proveedor'!D:D,'Alta Proveedor'!E:E)),"")</f>
        <v/>
      </c>
      <c r="F2757" s="832"/>
      <c r="G2757" s="187"/>
      <c r="H2757" s="1"/>
      <c r="I2757" s="169">
        <f>Imput[[#This Row],[Cantidad]]*Imput[[#This Row],[Precio Unitario]]</f>
        <v>0</v>
      </c>
      <c r="J2757" s="11">
        <f>((Imput[[#This Row],[Sub total]])*(0.16))</f>
        <v>0</v>
      </c>
      <c r="K2757" s="11">
        <v>0</v>
      </c>
      <c r="L2757" s="169">
        <f>Imput[[#This Row],[Sub total]]+Imput[[#This Row],[IVA]]-Imput[[#This Row],[Retención / IEPS / Descuento]]</f>
        <v>0</v>
      </c>
      <c r="M2757" s="844">
        <v>0</v>
      </c>
      <c r="N2757" s="189"/>
      <c r="O2757" s="1"/>
      <c r="P2757" s="189"/>
      <c r="Q2757" s="190"/>
      <c r="R2757" s="188"/>
      <c r="S2757" s="193"/>
      <c r="T2757" s="192"/>
      <c r="U2757" s="829"/>
      <c r="V2757" s="10"/>
      <c r="W2757" s="10"/>
      <c r="X2757" s="10"/>
      <c r="Y2757" s="10"/>
      <c r="Z2757" s="10"/>
      <c r="AA2757" s="11"/>
      <c r="AB2757" s="11"/>
    </row>
    <row r="2758" spans="2:28" x14ac:dyDescent="0.3">
      <c r="B2758" s="10"/>
      <c r="C2758" s="315"/>
      <c r="D2758" s="868"/>
      <c r="E2758" s="837" t="str">
        <f>IFERROR(IF(_xlfn.XLOOKUP(Imput[[#This Row],[RFC]],'Alta Proveedor'!D:D,'Alta Proveedor'!E:E)=0,"",_xlfn.XLOOKUP(Imput[[#This Row],[RFC]],'Alta Proveedor'!D:D,'Alta Proveedor'!E:E)),"")</f>
        <v/>
      </c>
      <c r="F2758" s="832"/>
      <c r="G2758" s="187"/>
      <c r="H2758" s="1"/>
      <c r="I2758" s="169">
        <f>Imput[[#This Row],[Cantidad]]*Imput[[#This Row],[Precio Unitario]]</f>
        <v>0</v>
      </c>
      <c r="J2758" s="11">
        <f>((Imput[[#This Row],[Sub total]])*(0.16))</f>
        <v>0</v>
      </c>
      <c r="K2758" s="11">
        <v>0</v>
      </c>
      <c r="L2758" s="169">
        <f>Imput[[#This Row],[Sub total]]+Imput[[#This Row],[IVA]]-Imput[[#This Row],[Retención / IEPS / Descuento]]</f>
        <v>0</v>
      </c>
      <c r="M2758" s="844">
        <v>0</v>
      </c>
      <c r="N2758" s="189"/>
      <c r="O2758" s="1"/>
      <c r="P2758" s="189"/>
      <c r="Q2758" s="190"/>
      <c r="R2758" s="188"/>
      <c r="S2758" s="193"/>
      <c r="T2758" s="192"/>
      <c r="U2758" s="829"/>
      <c r="V2758" s="10"/>
      <c r="W2758" s="10"/>
      <c r="X2758" s="10"/>
      <c r="Y2758" s="10"/>
      <c r="Z2758" s="10"/>
      <c r="AA2758" s="11"/>
      <c r="AB2758" s="11"/>
    </row>
    <row r="2759" spans="2:28" x14ac:dyDescent="0.3">
      <c r="B2759" s="10"/>
      <c r="C2759" s="315"/>
      <c r="D2759" s="868"/>
      <c r="E2759" s="837" t="str">
        <f>IFERROR(IF(_xlfn.XLOOKUP(Imput[[#This Row],[RFC]],'Alta Proveedor'!D:D,'Alta Proveedor'!E:E)=0,"",_xlfn.XLOOKUP(Imput[[#This Row],[RFC]],'Alta Proveedor'!D:D,'Alta Proveedor'!E:E)),"")</f>
        <v/>
      </c>
      <c r="F2759" s="832"/>
      <c r="G2759" s="187"/>
      <c r="H2759" s="1"/>
      <c r="I2759" s="169">
        <f>Imput[[#This Row],[Cantidad]]*Imput[[#This Row],[Precio Unitario]]</f>
        <v>0</v>
      </c>
      <c r="J2759" s="11">
        <f>((Imput[[#This Row],[Sub total]])*(0.16))</f>
        <v>0</v>
      </c>
      <c r="K2759" s="11">
        <v>0</v>
      </c>
      <c r="L2759" s="169">
        <f>Imput[[#This Row],[Sub total]]+Imput[[#This Row],[IVA]]-Imput[[#This Row],[Retención / IEPS / Descuento]]</f>
        <v>0</v>
      </c>
      <c r="M2759" s="844">
        <v>0</v>
      </c>
      <c r="N2759" s="189"/>
      <c r="O2759" s="1"/>
      <c r="P2759" s="189"/>
      <c r="Q2759" s="190"/>
      <c r="R2759" s="188"/>
      <c r="S2759" s="193"/>
      <c r="T2759" s="192"/>
      <c r="U2759" s="829"/>
      <c r="V2759" s="10"/>
      <c r="W2759" s="10"/>
      <c r="X2759" s="10"/>
      <c r="Y2759" s="10"/>
      <c r="Z2759" s="10"/>
      <c r="AA2759" s="11"/>
      <c r="AB2759" s="11"/>
    </row>
    <row r="2760" spans="2:28" x14ac:dyDescent="0.3">
      <c r="B2760" s="10"/>
      <c r="C2760" s="315"/>
      <c r="D2760" s="868"/>
      <c r="E2760" s="837" t="str">
        <f>IFERROR(IF(_xlfn.XLOOKUP(Imput[[#This Row],[RFC]],'Alta Proveedor'!D:D,'Alta Proveedor'!E:E)=0,"",_xlfn.XLOOKUP(Imput[[#This Row],[RFC]],'Alta Proveedor'!D:D,'Alta Proveedor'!E:E)),"")</f>
        <v/>
      </c>
      <c r="F2760" s="832"/>
      <c r="G2760" s="187"/>
      <c r="H2760" s="1"/>
      <c r="I2760" s="169">
        <f>Imput[[#This Row],[Cantidad]]*Imput[[#This Row],[Precio Unitario]]</f>
        <v>0</v>
      </c>
      <c r="J2760" s="11">
        <f>((Imput[[#This Row],[Sub total]])*(0.16))</f>
        <v>0</v>
      </c>
      <c r="K2760" s="11">
        <v>0</v>
      </c>
      <c r="L2760" s="169">
        <f>Imput[[#This Row],[Sub total]]+Imput[[#This Row],[IVA]]-Imput[[#This Row],[Retención / IEPS / Descuento]]</f>
        <v>0</v>
      </c>
      <c r="M2760" s="844">
        <v>0</v>
      </c>
      <c r="N2760" s="189"/>
      <c r="O2760" s="1"/>
      <c r="P2760" s="189"/>
      <c r="Q2760" s="190"/>
      <c r="R2760" s="188"/>
      <c r="S2760" s="193"/>
      <c r="T2760" s="192"/>
      <c r="U2760" s="829"/>
      <c r="V2760" s="10"/>
      <c r="W2760" s="10"/>
      <c r="X2760" s="10"/>
      <c r="Y2760" s="10"/>
      <c r="Z2760" s="10"/>
      <c r="AA2760" s="11"/>
      <c r="AB2760" s="11"/>
    </row>
    <row r="2761" spans="2:28" x14ac:dyDescent="0.3">
      <c r="B2761" s="10"/>
      <c r="C2761" s="315"/>
      <c r="D2761" s="868"/>
      <c r="E2761" s="837" t="str">
        <f>IFERROR(IF(_xlfn.XLOOKUP(Imput[[#This Row],[RFC]],'Alta Proveedor'!D:D,'Alta Proveedor'!E:E)=0,"",_xlfn.XLOOKUP(Imput[[#This Row],[RFC]],'Alta Proveedor'!D:D,'Alta Proveedor'!E:E)),"")</f>
        <v/>
      </c>
      <c r="F2761" s="832"/>
      <c r="G2761" s="187"/>
      <c r="H2761" s="1"/>
      <c r="I2761" s="169">
        <f>Imput[[#This Row],[Cantidad]]*Imput[[#This Row],[Precio Unitario]]</f>
        <v>0</v>
      </c>
      <c r="J2761" s="11">
        <f>((Imput[[#This Row],[Sub total]])*(0.16))</f>
        <v>0</v>
      </c>
      <c r="K2761" s="11">
        <v>0</v>
      </c>
      <c r="L2761" s="169">
        <f>Imput[[#This Row],[Sub total]]+Imput[[#This Row],[IVA]]-Imput[[#This Row],[Retención / IEPS / Descuento]]</f>
        <v>0</v>
      </c>
      <c r="M2761" s="844">
        <v>0</v>
      </c>
      <c r="N2761" s="189"/>
      <c r="O2761" s="1"/>
      <c r="P2761" s="189"/>
      <c r="Q2761" s="190"/>
      <c r="R2761" s="188"/>
      <c r="S2761" s="193"/>
      <c r="T2761" s="192"/>
      <c r="U2761" s="829"/>
      <c r="V2761" s="10"/>
      <c r="W2761" s="10"/>
      <c r="X2761" s="10"/>
      <c r="Y2761" s="10"/>
      <c r="Z2761" s="10"/>
      <c r="AA2761" s="11"/>
      <c r="AB2761" s="11"/>
    </row>
    <row r="2762" spans="2:28" x14ac:dyDescent="0.3">
      <c r="B2762" s="10"/>
      <c r="C2762" s="315"/>
      <c r="D2762" s="868"/>
      <c r="E2762" s="837" t="str">
        <f>IFERROR(IF(_xlfn.XLOOKUP(Imput[[#This Row],[RFC]],'Alta Proveedor'!D:D,'Alta Proveedor'!E:E)=0,"",_xlfn.XLOOKUP(Imput[[#This Row],[RFC]],'Alta Proveedor'!D:D,'Alta Proveedor'!E:E)),"")</f>
        <v/>
      </c>
      <c r="F2762" s="832"/>
      <c r="G2762" s="187"/>
      <c r="H2762" s="1"/>
      <c r="I2762" s="169">
        <f>Imput[[#This Row],[Cantidad]]*Imput[[#This Row],[Precio Unitario]]</f>
        <v>0</v>
      </c>
      <c r="J2762" s="11">
        <f>((Imput[[#This Row],[Sub total]])*(0.16))</f>
        <v>0</v>
      </c>
      <c r="K2762" s="11">
        <v>0</v>
      </c>
      <c r="L2762" s="169">
        <f>Imput[[#This Row],[Sub total]]+Imput[[#This Row],[IVA]]-Imput[[#This Row],[Retención / IEPS / Descuento]]</f>
        <v>0</v>
      </c>
      <c r="M2762" s="844">
        <v>0</v>
      </c>
      <c r="N2762" s="189"/>
      <c r="O2762" s="1"/>
      <c r="P2762" s="189"/>
      <c r="Q2762" s="190"/>
      <c r="R2762" s="188"/>
      <c r="S2762" s="193"/>
      <c r="T2762" s="192"/>
      <c r="U2762" s="829"/>
      <c r="V2762" s="10"/>
      <c r="W2762" s="10"/>
      <c r="X2762" s="10"/>
      <c r="Y2762" s="10"/>
      <c r="Z2762" s="10"/>
      <c r="AA2762" s="11"/>
      <c r="AB2762" s="11"/>
    </row>
    <row r="2763" spans="2:28" x14ac:dyDescent="0.3">
      <c r="B2763" s="10"/>
      <c r="C2763" s="315"/>
      <c r="D2763" s="868"/>
      <c r="E2763" s="837" t="str">
        <f>IFERROR(IF(_xlfn.XLOOKUP(Imput[[#This Row],[RFC]],'Alta Proveedor'!D:D,'Alta Proveedor'!E:E)=0,"",_xlfn.XLOOKUP(Imput[[#This Row],[RFC]],'Alta Proveedor'!D:D,'Alta Proveedor'!E:E)),"")</f>
        <v/>
      </c>
      <c r="F2763" s="832"/>
      <c r="G2763" s="187"/>
      <c r="H2763" s="1"/>
      <c r="I2763" s="169">
        <f>Imput[[#This Row],[Cantidad]]*Imput[[#This Row],[Precio Unitario]]</f>
        <v>0</v>
      </c>
      <c r="J2763" s="11">
        <f>((Imput[[#This Row],[Sub total]])*(0.16))</f>
        <v>0</v>
      </c>
      <c r="K2763" s="11">
        <v>0</v>
      </c>
      <c r="L2763" s="169">
        <f>Imput[[#This Row],[Sub total]]+Imput[[#This Row],[IVA]]-Imput[[#This Row],[Retención / IEPS / Descuento]]</f>
        <v>0</v>
      </c>
      <c r="M2763" s="844">
        <v>0</v>
      </c>
      <c r="N2763" s="189"/>
      <c r="O2763" s="1"/>
      <c r="P2763" s="189"/>
      <c r="Q2763" s="190"/>
      <c r="R2763" s="188"/>
      <c r="S2763" s="193"/>
      <c r="T2763" s="192"/>
      <c r="U2763" s="829"/>
      <c r="V2763" s="10"/>
      <c r="W2763" s="10"/>
      <c r="X2763" s="10"/>
      <c r="Y2763" s="10"/>
      <c r="Z2763" s="10"/>
      <c r="AA2763" s="11"/>
      <c r="AB2763" s="11"/>
    </row>
    <row r="2764" spans="2:28" x14ac:dyDescent="0.3">
      <c r="B2764" s="10"/>
      <c r="C2764" s="315"/>
      <c r="D2764" s="868"/>
      <c r="E2764" s="837" t="str">
        <f>IFERROR(IF(_xlfn.XLOOKUP(Imput[[#This Row],[RFC]],'Alta Proveedor'!D:D,'Alta Proveedor'!E:E)=0,"",_xlfn.XLOOKUP(Imput[[#This Row],[RFC]],'Alta Proveedor'!D:D,'Alta Proveedor'!E:E)),"")</f>
        <v/>
      </c>
      <c r="F2764" s="832"/>
      <c r="G2764" s="187"/>
      <c r="H2764" s="1"/>
      <c r="I2764" s="169">
        <f>Imput[[#This Row],[Cantidad]]*Imput[[#This Row],[Precio Unitario]]</f>
        <v>0</v>
      </c>
      <c r="J2764" s="11">
        <f>((Imput[[#This Row],[Sub total]])*(0.16))</f>
        <v>0</v>
      </c>
      <c r="K2764" s="11">
        <v>0</v>
      </c>
      <c r="L2764" s="169">
        <f>Imput[[#This Row],[Sub total]]+Imput[[#This Row],[IVA]]-Imput[[#This Row],[Retención / IEPS / Descuento]]</f>
        <v>0</v>
      </c>
      <c r="M2764" s="844">
        <v>0</v>
      </c>
      <c r="N2764" s="189"/>
      <c r="O2764" s="1"/>
      <c r="P2764" s="189"/>
      <c r="Q2764" s="190"/>
      <c r="R2764" s="188"/>
      <c r="S2764" s="193"/>
      <c r="T2764" s="192"/>
      <c r="U2764" s="829"/>
      <c r="V2764" s="10"/>
      <c r="W2764" s="10"/>
      <c r="X2764" s="10"/>
      <c r="Y2764" s="10"/>
      <c r="Z2764" s="10"/>
      <c r="AA2764" s="11"/>
      <c r="AB2764" s="11"/>
    </row>
    <row r="2765" spans="2:28" x14ac:dyDescent="0.3">
      <c r="B2765" s="10"/>
      <c r="C2765" s="315"/>
      <c r="D2765" s="868"/>
      <c r="E2765" s="837" t="str">
        <f>IFERROR(IF(_xlfn.XLOOKUP(Imput[[#This Row],[RFC]],'Alta Proveedor'!D:D,'Alta Proveedor'!E:E)=0,"",_xlfn.XLOOKUP(Imput[[#This Row],[RFC]],'Alta Proveedor'!D:D,'Alta Proveedor'!E:E)),"")</f>
        <v/>
      </c>
      <c r="F2765" s="832"/>
      <c r="G2765" s="187"/>
      <c r="H2765" s="1"/>
      <c r="I2765" s="169">
        <f>Imput[[#This Row],[Cantidad]]*Imput[[#This Row],[Precio Unitario]]</f>
        <v>0</v>
      </c>
      <c r="J2765" s="11">
        <f>((Imput[[#This Row],[Sub total]])*(0.16))</f>
        <v>0</v>
      </c>
      <c r="K2765" s="11">
        <v>0</v>
      </c>
      <c r="L2765" s="169">
        <f>Imput[[#This Row],[Sub total]]+Imput[[#This Row],[IVA]]-Imput[[#This Row],[Retención / IEPS / Descuento]]</f>
        <v>0</v>
      </c>
      <c r="M2765" s="844">
        <v>0</v>
      </c>
      <c r="N2765" s="189"/>
      <c r="O2765" s="1"/>
      <c r="P2765" s="189"/>
      <c r="Q2765" s="190"/>
      <c r="R2765" s="188"/>
      <c r="S2765" s="193"/>
      <c r="T2765" s="192"/>
      <c r="U2765" s="829"/>
      <c r="V2765" s="10"/>
      <c r="W2765" s="10"/>
      <c r="X2765" s="10"/>
      <c r="Y2765" s="10"/>
      <c r="Z2765" s="10"/>
      <c r="AA2765" s="11"/>
      <c r="AB2765" s="11"/>
    </row>
    <row r="2766" spans="2:28" x14ac:dyDescent="0.3">
      <c r="B2766" s="10"/>
      <c r="C2766" s="315"/>
      <c r="D2766" s="868"/>
      <c r="E2766" s="837" t="str">
        <f>IFERROR(IF(_xlfn.XLOOKUP(Imput[[#This Row],[RFC]],'Alta Proveedor'!D:D,'Alta Proveedor'!E:E)=0,"",_xlfn.XLOOKUP(Imput[[#This Row],[RFC]],'Alta Proveedor'!D:D,'Alta Proveedor'!E:E)),"")</f>
        <v/>
      </c>
      <c r="F2766" s="832"/>
      <c r="G2766" s="187"/>
      <c r="H2766" s="1"/>
      <c r="I2766" s="169">
        <f>Imput[[#This Row],[Cantidad]]*Imput[[#This Row],[Precio Unitario]]</f>
        <v>0</v>
      </c>
      <c r="J2766" s="11">
        <f>((Imput[[#This Row],[Sub total]])*(0.16))</f>
        <v>0</v>
      </c>
      <c r="K2766" s="11">
        <v>0</v>
      </c>
      <c r="L2766" s="169">
        <f>Imput[[#This Row],[Sub total]]+Imput[[#This Row],[IVA]]-Imput[[#This Row],[Retención / IEPS / Descuento]]</f>
        <v>0</v>
      </c>
      <c r="M2766" s="844">
        <v>0</v>
      </c>
      <c r="N2766" s="189"/>
      <c r="O2766" s="1"/>
      <c r="P2766" s="189"/>
      <c r="Q2766" s="190"/>
      <c r="R2766" s="188"/>
      <c r="S2766" s="193"/>
      <c r="T2766" s="192"/>
      <c r="U2766" s="829"/>
      <c r="V2766" s="10"/>
      <c r="W2766" s="10"/>
      <c r="X2766" s="10"/>
      <c r="Y2766" s="10"/>
      <c r="Z2766" s="10"/>
      <c r="AA2766" s="11"/>
      <c r="AB2766" s="11"/>
    </row>
    <row r="2767" spans="2:28" x14ac:dyDescent="0.3">
      <c r="B2767" s="10"/>
      <c r="C2767" s="315"/>
      <c r="D2767" s="868"/>
      <c r="E2767" s="837" t="str">
        <f>IFERROR(IF(_xlfn.XLOOKUP(Imput[[#This Row],[RFC]],'Alta Proveedor'!D:D,'Alta Proveedor'!E:E)=0,"",_xlfn.XLOOKUP(Imput[[#This Row],[RFC]],'Alta Proveedor'!D:D,'Alta Proveedor'!E:E)),"")</f>
        <v/>
      </c>
      <c r="F2767" s="832"/>
      <c r="G2767" s="187"/>
      <c r="H2767" s="1"/>
      <c r="I2767" s="169">
        <f>Imput[[#This Row],[Cantidad]]*Imput[[#This Row],[Precio Unitario]]</f>
        <v>0</v>
      </c>
      <c r="J2767" s="11">
        <f>((Imput[[#This Row],[Sub total]])*(0.16))</f>
        <v>0</v>
      </c>
      <c r="K2767" s="11">
        <v>0</v>
      </c>
      <c r="L2767" s="169">
        <f>Imput[[#This Row],[Sub total]]+Imput[[#This Row],[IVA]]-Imput[[#This Row],[Retención / IEPS / Descuento]]</f>
        <v>0</v>
      </c>
      <c r="M2767" s="844">
        <v>0</v>
      </c>
      <c r="N2767" s="189"/>
      <c r="O2767" s="1"/>
      <c r="P2767" s="189"/>
      <c r="Q2767" s="190"/>
      <c r="R2767" s="188"/>
      <c r="S2767" s="193"/>
      <c r="T2767" s="192"/>
      <c r="U2767" s="829"/>
      <c r="V2767" s="10"/>
      <c r="W2767" s="10"/>
      <c r="X2767" s="10"/>
      <c r="Y2767" s="10"/>
      <c r="Z2767" s="10"/>
      <c r="AA2767" s="11"/>
      <c r="AB2767" s="11"/>
    </row>
    <row r="2768" spans="2:28" x14ac:dyDescent="0.3">
      <c r="B2768" s="10"/>
      <c r="C2768" s="315"/>
      <c r="D2768" s="868"/>
      <c r="E2768" s="837" t="str">
        <f>IFERROR(IF(_xlfn.XLOOKUP(Imput[[#This Row],[RFC]],'Alta Proveedor'!D:D,'Alta Proveedor'!E:E)=0,"",_xlfn.XLOOKUP(Imput[[#This Row],[RFC]],'Alta Proveedor'!D:D,'Alta Proveedor'!E:E)),"")</f>
        <v/>
      </c>
      <c r="F2768" s="832"/>
      <c r="G2768" s="187"/>
      <c r="H2768" s="1"/>
      <c r="I2768" s="169">
        <f>Imput[[#This Row],[Cantidad]]*Imput[[#This Row],[Precio Unitario]]</f>
        <v>0</v>
      </c>
      <c r="J2768" s="11">
        <f>((Imput[[#This Row],[Sub total]])*(0.16))</f>
        <v>0</v>
      </c>
      <c r="K2768" s="11">
        <v>0</v>
      </c>
      <c r="L2768" s="169">
        <f>Imput[[#This Row],[Sub total]]+Imput[[#This Row],[IVA]]-Imput[[#This Row],[Retención / IEPS / Descuento]]</f>
        <v>0</v>
      </c>
      <c r="M2768" s="844">
        <v>0</v>
      </c>
      <c r="N2768" s="189"/>
      <c r="O2768" s="1"/>
      <c r="P2768" s="189"/>
      <c r="Q2768" s="190"/>
      <c r="R2768" s="188"/>
      <c r="S2768" s="193"/>
      <c r="T2768" s="192"/>
      <c r="U2768" s="829"/>
      <c r="V2768" s="10"/>
      <c r="W2768" s="10"/>
      <c r="X2768" s="10"/>
      <c r="Y2768" s="10"/>
      <c r="Z2768" s="10"/>
      <c r="AA2768" s="11"/>
      <c r="AB2768" s="11"/>
    </row>
    <row r="2769" spans="2:28" x14ac:dyDescent="0.3">
      <c r="B2769" s="10"/>
      <c r="C2769" s="315"/>
      <c r="D2769" s="868"/>
      <c r="E2769" s="837" t="str">
        <f>IFERROR(IF(_xlfn.XLOOKUP(Imput[[#This Row],[RFC]],'Alta Proveedor'!D:D,'Alta Proveedor'!E:E)=0,"",_xlfn.XLOOKUP(Imput[[#This Row],[RFC]],'Alta Proveedor'!D:D,'Alta Proveedor'!E:E)),"")</f>
        <v/>
      </c>
      <c r="F2769" s="832"/>
      <c r="G2769" s="187"/>
      <c r="H2769" s="1"/>
      <c r="I2769" s="169">
        <f>Imput[[#This Row],[Cantidad]]*Imput[[#This Row],[Precio Unitario]]</f>
        <v>0</v>
      </c>
      <c r="J2769" s="11">
        <f>((Imput[[#This Row],[Sub total]])*(0.16))</f>
        <v>0</v>
      </c>
      <c r="K2769" s="11">
        <v>0</v>
      </c>
      <c r="L2769" s="169">
        <f>Imput[[#This Row],[Sub total]]+Imput[[#This Row],[IVA]]-Imput[[#This Row],[Retención / IEPS / Descuento]]</f>
        <v>0</v>
      </c>
      <c r="M2769" s="844">
        <v>0</v>
      </c>
      <c r="N2769" s="189"/>
      <c r="O2769" s="1"/>
      <c r="P2769" s="189"/>
      <c r="Q2769" s="190"/>
      <c r="R2769" s="188"/>
      <c r="S2769" s="193"/>
      <c r="T2769" s="192"/>
      <c r="U2769" s="829"/>
      <c r="V2769" s="10"/>
      <c r="W2769" s="10"/>
      <c r="X2769" s="10"/>
      <c r="Y2769" s="10"/>
      <c r="Z2769" s="10"/>
      <c r="AA2769" s="11"/>
      <c r="AB2769" s="11"/>
    </row>
    <row r="2770" spans="2:28" x14ac:dyDescent="0.3">
      <c r="B2770" s="10"/>
      <c r="C2770" s="315"/>
      <c r="D2770" s="868"/>
      <c r="E2770" s="837" t="str">
        <f>IFERROR(IF(_xlfn.XLOOKUP(Imput[[#This Row],[RFC]],'Alta Proveedor'!D:D,'Alta Proveedor'!E:E)=0,"",_xlfn.XLOOKUP(Imput[[#This Row],[RFC]],'Alta Proveedor'!D:D,'Alta Proveedor'!E:E)),"")</f>
        <v/>
      </c>
      <c r="F2770" s="832"/>
      <c r="G2770" s="187"/>
      <c r="H2770" s="1"/>
      <c r="I2770" s="169">
        <f>Imput[[#This Row],[Cantidad]]*Imput[[#This Row],[Precio Unitario]]</f>
        <v>0</v>
      </c>
      <c r="J2770" s="11">
        <f>((Imput[[#This Row],[Sub total]])*(0.16))</f>
        <v>0</v>
      </c>
      <c r="K2770" s="11">
        <v>0</v>
      </c>
      <c r="L2770" s="169">
        <f>Imput[[#This Row],[Sub total]]+Imput[[#This Row],[IVA]]-Imput[[#This Row],[Retención / IEPS / Descuento]]</f>
        <v>0</v>
      </c>
      <c r="M2770" s="844">
        <v>0</v>
      </c>
      <c r="N2770" s="189"/>
      <c r="O2770" s="1"/>
      <c r="P2770" s="189"/>
      <c r="Q2770" s="190"/>
      <c r="R2770" s="188"/>
      <c r="S2770" s="193"/>
      <c r="T2770" s="192"/>
      <c r="U2770" s="829"/>
      <c r="V2770" s="10"/>
      <c r="W2770" s="10"/>
      <c r="X2770" s="10"/>
      <c r="Y2770" s="10"/>
      <c r="Z2770" s="10"/>
      <c r="AA2770" s="11"/>
      <c r="AB2770" s="11"/>
    </row>
    <row r="2771" spans="2:28" x14ac:dyDescent="0.3">
      <c r="B2771" s="10"/>
      <c r="C2771" s="315"/>
      <c r="D2771" s="868"/>
      <c r="E2771" s="837" t="str">
        <f>IFERROR(IF(_xlfn.XLOOKUP(Imput[[#This Row],[RFC]],'Alta Proveedor'!D:D,'Alta Proveedor'!E:E)=0,"",_xlfn.XLOOKUP(Imput[[#This Row],[RFC]],'Alta Proveedor'!D:D,'Alta Proveedor'!E:E)),"")</f>
        <v/>
      </c>
      <c r="F2771" s="832"/>
      <c r="G2771" s="187"/>
      <c r="H2771" s="1"/>
      <c r="I2771" s="169">
        <f>Imput[[#This Row],[Cantidad]]*Imput[[#This Row],[Precio Unitario]]</f>
        <v>0</v>
      </c>
      <c r="J2771" s="11">
        <f>((Imput[[#This Row],[Sub total]])*(0.16))</f>
        <v>0</v>
      </c>
      <c r="K2771" s="11">
        <v>0</v>
      </c>
      <c r="L2771" s="169">
        <f>Imput[[#This Row],[Sub total]]+Imput[[#This Row],[IVA]]-Imput[[#This Row],[Retención / IEPS / Descuento]]</f>
        <v>0</v>
      </c>
      <c r="M2771" s="844">
        <v>0</v>
      </c>
      <c r="N2771" s="189"/>
      <c r="O2771" s="1"/>
      <c r="P2771" s="189"/>
      <c r="Q2771" s="190"/>
      <c r="R2771" s="188"/>
      <c r="S2771" s="193"/>
      <c r="T2771" s="192"/>
      <c r="U2771" s="829"/>
      <c r="V2771" s="10"/>
      <c r="W2771" s="10"/>
      <c r="X2771" s="10"/>
      <c r="Y2771" s="10"/>
      <c r="Z2771" s="10"/>
      <c r="AA2771" s="11"/>
      <c r="AB2771" s="11"/>
    </row>
    <row r="2772" spans="2:28" x14ac:dyDescent="0.3">
      <c r="B2772" s="10"/>
      <c r="C2772" s="315"/>
      <c r="D2772" s="868"/>
      <c r="E2772" s="837" t="str">
        <f>IFERROR(IF(_xlfn.XLOOKUP(Imput[[#This Row],[RFC]],'Alta Proveedor'!D:D,'Alta Proveedor'!E:E)=0,"",_xlfn.XLOOKUP(Imput[[#This Row],[RFC]],'Alta Proveedor'!D:D,'Alta Proveedor'!E:E)),"")</f>
        <v/>
      </c>
      <c r="F2772" s="832"/>
      <c r="G2772" s="187"/>
      <c r="H2772" s="1"/>
      <c r="I2772" s="169">
        <f>Imput[[#This Row],[Cantidad]]*Imput[[#This Row],[Precio Unitario]]</f>
        <v>0</v>
      </c>
      <c r="J2772" s="11">
        <f>((Imput[[#This Row],[Sub total]])*(0.16))</f>
        <v>0</v>
      </c>
      <c r="K2772" s="11">
        <v>0</v>
      </c>
      <c r="L2772" s="169">
        <f>Imput[[#This Row],[Sub total]]+Imput[[#This Row],[IVA]]-Imput[[#This Row],[Retención / IEPS / Descuento]]</f>
        <v>0</v>
      </c>
      <c r="M2772" s="844">
        <v>0</v>
      </c>
      <c r="N2772" s="189"/>
      <c r="O2772" s="1"/>
      <c r="P2772" s="189"/>
      <c r="Q2772" s="190"/>
      <c r="R2772" s="188"/>
      <c r="S2772" s="193"/>
      <c r="T2772" s="192"/>
      <c r="U2772" s="829"/>
      <c r="V2772" s="10"/>
      <c r="W2772" s="10"/>
      <c r="X2772" s="10"/>
      <c r="Y2772" s="10"/>
      <c r="Z2772" s="10"/>
      <c r="AA2772" s="11"/>
      <c r="AB2772" s="11"/>
    </row>
    <row r="2773" spans="2:28" x14ac:dyDescent="0.3">
      <c r="B2773" s="10"/>
      <c r="C2773" s="315"/>
      <c r="D2773" s="868"/>
      <c r="E2773" s="837" t="str">
        <f>IFERROR(IF(_xlfn.XLOOKUP(Imput[[#This Row],[RFC]],'Alta Proveedor'!D:D,'Alta Proveedor'!E:E)=0,"",_xlfn.XLOOKUP(Imput[[#This Row],[RFC]],'Alta Proveedor'!D:D,'Alta Proveedor'!E:E)),"")</f>
        <v/>
      </c>
      <c r="F2773" s="832"/>
      <c r="G2773" s="187"/>
      <c r="H2773" s="1"/>
      <c r="I2773" s="169">
        <f>Imput[[#This Row],[Cantidad]]*Imput[[#This Row],[Precio Unitario]]</f>
        <v>0</v>
      </c>
      <c r="J2773" s="11">
        <f>((Imput[[#This Row],[Sub total]])*(0.16))</f>
        <v>0</v>
      </c>
      <c r="K2773" s="11">
        <v>0</v>
      </c>
      <c r="L2773" s="169">
        <f>Imput[[#This Row],[Sub total]]+Imput[[#This Row],[IVA]]-Imput[[#This Row],[Retención / IEPS / Descuento]]</f>
        <v>0</v>
      </c>
      <c r="M2773" s="844">
        <v>0</v>
      </c>
      <c r="N2773" s="189"/>
      <c r="O2773" s="1"/>
      <c r="P2773" s="189"/>
      <c r="Q2773" s="190"/>
      <c r="R2773" s="188"/>
      <c r="S2773" s="193"/>
      <c r="T2773" s="192"/>
      <c r="U2773" s="829"/>
      <c r="V2773" s="10"/>
      <c r="W2773" s="10"/>
      <c r="X2773" s="10"/>
      <c r="Y2773" s="10"/>
      <c r="Z2773" s="10"/>
      <c r="AA2773" s="11"/>
      <c r="AB2773" s="11"/>
    </row>
    <row r="2774" spans="2:28" x14ac:dyDescent="0.3">
      <c r="B2774" s="10"/>
      <c r="C2774" s="315"/>
      <c r="D2774" s="868"/>
      <c r="E2774" s="837" t="str">
        <f>IFERROR(IF(_xlfn.XLOOKUP(Imput[[#This Row],[RFC]],'Alta Proveedor'!D:D,'Alta Proveedor'!E:E)=0,"",_xlfn.XLOOKUP(Imput[[#This Row],[RFC]],'Alta Proveedor'!D:D,'Alta Proveedor'!E:E)),"")</f>
        <v/>
      </c>
      <c r="F2774" s="832"/>
      <c r="G2774" s="187"/>
      <c r="H2774" s="1"/>
      <c r="I2774" s="169">
        <f>Imput[[#This Row],[Cantidad]]*Imput[[#This Row],[Precio Unitario]]</f>
        <v>0</v>
      </c>
      <c r="J2774" s="11">
        <f>((Imput[[#This Row],[Sub total]])*(0.16))</f>
        <v>0</v>
      </c>
      <c r="K2774" s="11">
        <v>0</v>
      </c>
      <c r="L2774" s="169">
        <f>Imput[[#This Row],[Sub total]]+Imput[[#This Row],[IVA]]-Imput[[#This Row],[Retención / IEPS / Descuento]]</f>
        <v>0</v>
      </c>
      <c r="M2774" s="844">
        <v>0</v>
      </c>
      <c r="N2774" s="189"/>
      <c r="O2774" s="1"/>
      <c r="P2774" s="189"/>
      <c r="Q2774" s="190"/>
      <c r="R2774" s="188"/>
      <c r="S2774" s="193"/>
      <c r="T2774" s="192"/>
      <c r="U2774" s="829"/>
      <c r="V2774" s="10"/>
      <c r="W2774" s="10"/>
      <c r="X2774" s="10"/>
      <c r="Y2774" s="10"/>
      <c r="Z2774" s="10"/>
      <c r="AA2774" s="11"/>
      <c r="AB2774" s="11"/>
    </row>
    <row r="2775" spans="2:28" x14ac:dyDescent="0.3">
      <c r="B2775" s="10"/>
      <c r="C2775" s="315"/>
      <c r="D2775" s="868"/>
      <c r="E2775" s="837" t="str">
        <f>IFERROR(IF(_xlfn.XLOOKUP(Imput[[#This Row],[RFC]],'Alta Proveedor'!D:D,'Alta Proveedor'!E:E)=0,"",_xlfn.XLOOKUP(Imput[[#This Row],[RFC]],'Alta Proveedor'!D:D,'Alta Proveedor'!E:E)),"")</f>
        <v/>
      </c>
      <c r="F2775" s="832"/>
      <c r="G2775" s="187"/>
      <c r="H2775" s="1"/>
      <c r="I2775" s="169">
        <f>Imput[[#This Row],[Cantidad]]*Imput[[#This Row],[Precio Unitario]]</f>
        <v>0</v>
      </c>
      <c r="J2775" s="11">
        <f>((Imput[[#This Row],[Sub total]])*(0.16))</f>
        <v>0</v>
      </c>
      <c r="K2775" s="11">
        <v>0</v>
      </c>
      <c r="L2775" s="169">
        <f>Imput[[#This Row],[Sub total]]+Imput[[#This Row],[IVA]]-Imput[[#This Row],[Retención / IEPS / Descuento]]</f>
        <v>0</v>
      </c>
      <c r="M2775" s="844">
        <v>0</v>
      </c>
      <c r="N2775" s="189"/>
      <c r="O2775" s="1"/>
      <c r="P2775" s="189"/>
      <c r="Q2775" s="190"/>
      <c r="R2775" s="188"/>
      <c r="S2775" s="193"/>
      <c r="T2775" s="192"/>
      <c r="U2775" s="829"/>
      <c r="V2775" s="10"/>
      <c r="W2775" s="10"/>
      <c r="X2775" s="10"/>
      <c r="Y2775" s="10"/>
      <c r="Z2775" s="10"/>
      <c r="AA2775" s="11"/>
      <c r="AB2775" s="11"/>
    </row>
    <row r="2776" spans="2:28" x14ac:dyDescent="0.3">
      <c r="B2776" s="10"/>
      <c r="C2776" s="315"/>
      <c r="D2776" s="868"/>
      <c r="E2776" s="837" t="str">
        <f>IFERROR(IF(_xlfn.XLOOKUP(Imput[[#This Row],[RFC]],'Alta Proveedor'!D:D,'Alta Proveedor'!E:E)=0,"",_xlfn.XLOOKUP(Imput[[#This Row],[RFC]],'Alta Proveedor'!D:D,'Alta Proveedor'!E:E)),"")</f>
        <v/>
      </c>
      <c r="F2776" s="832"/>
      <c r="G2776" s="187"/>
      <c r="H2776" s="1"/>
      <c r="I2776" s="169">
        <f>Imput[[#This Row],[Cantidad]]*Imput[[#This Row],[Precio Unitario]]</f>
        <v>0</v>
      </c>
      <c r="J2776" s="11">
        <f>((Imput[[#This Row],[Sub total]])*(0.16))</f>
        <v>0</v>
      </c>
      <c r="K2776" s="11">
        <v>0</v>
      </c>
      <c r="L2776" s="169">
        <f>Imput[[#This Row],[Sub total]]+Imput[[#This Row],[IVA]]-Imput[[#This Row],[Retención / IEPS / Descuento]]</f>
        <v>0</v>
      </c>
      <c r="M2776" s="844">
        <v>0</v>
      </c>
      <c r="N2776" s="189"/>
      <c r="O2776" s="1"/>
      <c r="P2776" s="189"/>
      <c r="Q2776" s="190"/>
      <c r="R2776" s="188"/>
      <c r="S2776" s="193"/>
      <c r="T2776" s="192"/>
      <c r="U2776" s="829"/>
      <c r="V2776" s="10"/>
      <c r="W2776" s="10"/>
      <c r="X2776" s="10"/>
      <c r="Y2776" s="10"/>
      <c r="Z2776" s="10"/>
      <c r="AA2776" s="11"/>
      <c r="AB2776" s="11"/>
    </row>
    <row r="2777" spans="2:28" x14ac:dyDescent="0.3">
      <c r="B2777" s="10"/>
      <c r="C2777" s="315"/>
      <c r="D2777" s="868"/>
      <c r="E2777" s="837" t="str">
        <f>IFERROR(IF(_xlfn.XLOOKUP(Imput[[#This Row],[RFC]],'Alta Proveedor'!D:D,'Alta Proveedor'!E:E)=0,"",_xlfn.XLOOKUP(Imput[[#This Row],[RFC]],'Alta Proveedor'!D:D,'Alta Proveedor'!E:E)),"")</f>
        <v/>
      </c>
      <c r="F2777" s="832"/>
      <c r="G2777" s="187"/>
      <c r="H2777" s="1"/>
      <c r="I2777" s="169">
        <f>Imput[[#This Row],[Cantidad]]*Imput[[#This Row],[Precio Unitario]]</f>
        <v>0</v>
      </c>
      <c r="J2777" s="11">
        <f>((Imput[[#This Row],[Sub total]])*(0.16))</f>
        <v>0</v>
      </c>
      <c r="K2777" s="11">
        <v>0</v>
      </c>
      <c r="L2777" s="169">
        <f>Imput[[#This Row],[Sub total]]+Imput[[#This Row],[IVA]]-Imput[[#This Row],[Retención / IEPS / Descuento]]</f>
        <v>0</v>
      </c>
      <c r="M2777" s="844">
        <v>0</v>
      </c>
      <c r="N2777" s="189"/>
      <c r="O2777" s="1"/>
      <c r="P2777" s="189"/>
      <c r="Q2777" s="190"/>
      <c r="R2777" s="188"/>
      <c r="S2777" s="193"/>
      <c r="T2777" s="192"/>
      <c r="U2777" s="829"/>
      <c r="V2777" s="10"/>
      <c r="W2777" s="10"/>
      <c r="X2777" s="10"/>
      <c r="Y2777" s="10"/>
      <c r="Z2777" s="10"/>
      <c r="AA2777" s="11"/>
      <c r="AB2777" s="11"/>
    </row>
    <row r="2778" spans="2:28" x14ac:dyDescent="0.3">
      <c r="B2778" s="10"/>
      <c r="C2778" s="315"/>
      <c r="D2778" s="868"/>
      <c r="E2778" s="837" t="str">
        <f>IFERROR(IF(_xlfn.XLOOKUP(Imput[[#This Row],[RFC]],'Alta Proveedor'!D:D,'Alta Proveedor'!E:E)=0,"",_xlfn.XLOOKUP(Imput[[#This Row],[RFC]],'Alta Proveedor'!D:D,'Alta Proveedor'!E:E)),"")</f>
        <v/>
      </c>
      <c r="F2778" s="832"/>
      <c r="G2778" s="187"/>
      <c r="H2778" s="1"/>
      <c r="I2778" s="169">
        <f>Imput[[#This Row],[Cantidad]]*Imput[[#This Row],[Precio Unitario]]</f>
        <v>0</v>
      </c>
      <c r="J2778" s="11">
        <f>((Imput[[#This Row],[Sub total]])*(0.16))</f>
        <v>0</v>
      </c>
      <c r="K2778" s="11">
        <v>0</v>
      </c>
      <c r="L2778" s="169">
        <f>Imput[[#This Row],[Sub total]]+Imput[[#This Row],[IVA]]-Imput[[#This Row],[Retención / IEPS / Descuento]]</f>
        <v>0</v>
      </c>
      <c r="M2778" s="844">
        <v>0</v>
      </c>
      <c r="N2778" s="189"/>
      <c r="O2778" s="1"/>
      <c r="P2778" s="189"/>
      <c r="Q2778" s="190"/>
      <c r="R2778" s="188"/>
      <c r="S2778" s="193"/>
      <c r="T2778" s="192"/>
      <c r="U2778" s="829"/>
      <c r="V2778" s="10"/>
      <c r="W2778" s="10"/>
      <c r="X2778" s="10"/>
      <c r="Y2778" s="10"/>
      <c r="Z2778" s="10"/>
      <c r="AA2778" s="11"/>
      <c r="AB2778" s="11"/>
    </row>
    <row r="2779" spans="2:28" x14ac:dyDescent="0.3">
      <c r="B2779" s="10"/>
      <c r="C2779" s="315"/>
      <c r="D2779" s="868"/>
      <c r="E2779" s="837" t="str">
        <f>IFERROR(IF(_xlfn.XLOOKUP(Imput[[#This Row],[RFC]],'Alta Proveedor'!D:D,'Alta Proveedor'!E:E)=0,"",_xlfn.XLOOKUP(Imput[[#This Row],[RFC]],'Alta Proveedor'!D:D,'Alta Proveedor'!E:E)),"")</f>
        <v/>
      </c>
      <c r="F2779" s="832"/>
      <c r="G2779" s="187"/>
      <c r="H2779" s="1"/>
      <c r="I2779" s="169">
        <f>Imput[[#This Row],[Cantidad]]*Imput[[#This Row],[Precio Unitario]]</f>
        <v>0</v>
      </c>
      <c r="J2779" s="11">
        <f>((Imput[[#This Row],[Sub total]])*(0.16))</f>
        <v>0</v>
      </c>
      <c r="K2779" s="11">
        <v>0</v>
      </c>
      <c r="L2779" s="169">
        <f>Imput[[#This Row],[Sub total]]+Imput[[#This Row],[IVA]]-Imput[[#This Row],[Retención / IEPS / Descuento]]</f>
        <v>0</v>
      </c>
      <c r="M2779" s="844">
        <v>0</v>
      </c>
      <c r="N2779" s="189"/>
      <c r="O2779" s="1"/>
      <c r="P2779" s="189"/>
      <c r="Q2779" s="190"/>
      <c r="R2779" s="188"/>
      <c r="S2779" s="193"/>
      <c r="T2779" s="192"/>
      <c r="U2779" s="829"/>
      <c r="V2779" s="10"/>
      <c r="W2779" s="10"/>
      <c r="X2779" s="10"/>
      <c r="Y2779" s="10"/>
      <c r="Z2779" s="10"/>
      <c r="AA2779" s="11"/>
      <c r="AB2779" s="11"/>
    </row>
    <row r="2780" spans="2:28" x14ac:dyDescent="0.3">
      <c r="B2780" s="10"/>
      <c r="C2780" s="315"/>
      <c r="D2780" s="868"/>
      <c r="E2780" s="837" t="str">
        <f>IFERROR(IF(_xlfn.XLOOKUP(Imput[[#This Row],[RFC]],'Alta Proveedor'!D:D,'Alta Proveedor'!E:E)=0,"",_xlfn.XLOOKUP(Imput[[#This Row],[RFC]],'Alta Proveedor'!D:D,'Alta Proveedor'!E:E)),"")</f>
        <v/>
      </c>
      <c r="F2780" s="832"/>
      <c r="G2780" s="187"/>
      <c r="H2780" s="1"/>
      <c r="I2780" s="169">
        <f>Imput[[#This Row],[Cantidad]]*Imput[[#This Row],[Precio Unitario]]</f>
        <v>0</v>
      </c>
      <c r="J2780" s="11">
        <f>((Imput[[#This Row],[Sub total]])*(0.16))</f>
        <v>0</v>
      </c>
      <c r="K2780" s="11">
        <v>0</v>
      </c>
      <c r="L2780" s="169">
        <f>Imput[[#This Row],[Sub total]]+Imput[[#This Row],[IVA]]-Imput[[#This Row],[Retención / IEPS / Descuento]]</f>
        <v>0</v>
      </c>
      <c r="M2780" s="844">
        <v>0</v>
      </c>
      <c r="N2780" s="189"/>
      <c r="O2780" s="1"/>
      <c r="P2780" s="189"/>
      <c r="Q2780" s="190"/>
      <c r="R2780" s="188"/>
      <c r="S2780" s="193"/>
      <c r="T2780" s="192"/>
      <c r="U2780" s="829"/>
      <c r="V2780" s="10"/>
      <c r="W2780" s="10"/>
      <c r="X2780" s="10"/>
      <c r="Y2780" s="10"/>
      <c r="Z2780" s="10"/>
      <c r="AA2780" s="11"/>
      <c r="AB2780" s="11"/>
    </row>
    <row r="2781" spans="2:28" x14ac:dyDescent="0.3">
      <c r="B2781" s="10"/>
      <c r="C2781" s="315"/>
      <c r="D2781" s="868"/>
      <c r="E2781" s="837" t="str">
        <f>IFERROR(IF(_xlfn.XLOOKUP(Imput[[#This Row],[RFC]],'Alta Proveedor'!D:D,'Alta Proveedor'!E:E)=0,"",_xlfn.XLOOKUP(Imput[[#This Row],[RFC]],'Alta Proveedor'!D:D,'Alta Proveedor'!E:E)),"")</f>
        <v/>
      </c>
      <c r="F2781" s="832"/>
      <c r="G2781" s="187"/>
      <c r="H2781" s="1"/>
      <c r="I2781" s="169">
        <f>Imput[[#This Row],[Cantidad]]*Imput[[#This Row],[Precio Unitario]]</f>
        <v>0</v>
      </c>
      <c r="J2781" s="11">
        <f>((Imput[[#This Row],[Sub total]])*(0.16))</f>
        <v>0</v>
      </c>
      <c r="K2781" s="11">
        <v>0</v>
      </c>
      <c r="L2781" s="169">
        <f>Imput[[#This Row],[Sub total]]+Imput[[#This Row],[IVA]]-Imput[[#This Row],[Retención / IEPS / Descuento]]</f>
        <v>0</v>
      </c>
      <c r="M2781" s="844">
        <v>0</v>
      </c>
      <c r="N2781" s="189"/>
      <c r="O2781" s="1"/>
      <c r="P2781" s="189"/>
      <c r="Q2781" s="190"/>
      <c r="R2781" s="188"/>
      <c r="S2781" s="193"/>
      <c r="T2781" s="192"/>
      <c r="U2781" s="829"/>
      <c r="V2781" s="10"/>
      <c r="W2781" s="10"/>
      <c r="X2781" s="10"/>
      <c r="Y2781" s="10"/>
      <c r="Z2781" s="10"/>
      <c r="AA2781" s="11"/>
      <c r="AB2781" s="11"/>
    </row>
    <row r="2782" spans="2:28" x14ac:dyDescent="0.3">
      <c r="B2782" s="10"/>
      <c r="C2782" s="315"/>
      <c r="D2782" s="868"/>
      <c r="E2782" s="837" t="str">
        <f>IFERROR(IF(_xlfn.XLOOKUP(Imput[[#This Row],[RFC]],'Alta Proveedor'!D:D,'Alta Proveedor'!E:E)=0,"",_xlfn.XLOOKUP(Imput[[#This Row],[RFC]],'Alta Proveedor'!D:D,'Alta Proveedor'!E:E)),"")</f>
        <v/>
      </c>
      <c r="F2782" s="832"/>
      <c r="G2782" s="187"/>
      <c r="H2782" s="1"/>
      <c r="I2782" s="169">
        <f>Imput[[#This Row],[Cantidad]]*Imput[[#This Row],[Precio Unitario]]</f>
        <v>0</v>
      </c>
      <c r="J2782" s="11">
        <f>((Imput[[#This Row],[Sub total]])*(0.16))</f>
        <v>0</v>
      </c>
      <c r="K2782" s="11">
        <v>0</v>
      </c>
      <c r="L2782" s="169">
        <f>Imput[[#This Row],[Sub total]]+Imput[[#This Row],[IVA]]-Imput[[#This Row],[Retención / IEPS / Descuento]]</f>
        <v>0</v>
      </c>
      <c r="M2782" s="844">
        <v>0</v>
      </c>
      <c r="N2782" s="189"/>
      <c r="O2782" s="1"/>
      <c r="P2782" s="189"/>
      <c r="Q2782" s="190"/>
      <c r="R2782" s="188"/>
      <c r="S2782" s="193"/>
      <c r="T2782" s="192"/>
      <c r="U2782" s="829"/>
      <c r="V2782" s="10"/>
      <c r="W2782" s="10"/>
      <c r="X2782" s="10"/>
      <c r="Y2782" s="10"/>
      <c r="Z2782" s="10"/>
      <c r="AA2782" s="11"/>
      <c r="AB2782" s="11"/>
    </row>
    <row r="2783" spans="2:28" x14ac:dyDescent="0.3">
      <c r="B2783" s="10"/>
      <c r="C2783" s="315"/>
      <c r="D2783" s="868"/>
      <c r="E2783" s="837" t="str">
        <f>IFERROR(IF(_xlfn.XLOOKUP(Imput[[#This Row],[RFC]],'Alta Proveedor'!D:D,'Alta Proveedor'!E:E)=0,"",_xlfn.XLOOKUP(Imput[[#This Row],[RFC]],'Alta Proveedor'!D:D,'Alta Proveedor'!E:E)),"")</f>
        <v/>
      </c>
      <c r="F2783" s="832"/>
      <c r="G2783" s="187"/>
      <c r="H2783" s="1"/>
      <c r="I2783" s="169">
        <f>Imput[[#This Row],[Cantidad]]*Imput[[#This Row],[Precio Unitario]]</f>
        <v>0</v>
      </c>
      <c r="J2783" s="11">
        <f>((Imput[[#This Row],[Sub total]])*(0.16))</f>
        <v>0</v>
      </c>
      <c r="K2783" s="11">
        <v>0</v>
      </c>
      <c r="L2783" s="169">
        <f>Imput[[#This Row],[Sub total]]+Imput[[#This Row],[IVA]]-Imput[[#This Row],[Retención / IEPS / Descuento]]</f>
        <v>0</v>
      </c>
      <c r="M2783" s="844">
        <v>0</v>
      </c>
      <c r="N2783" s="189"/>
      <c r="O2783" s="1"/>
      <c r="P2783" s="189"/>
      <c r="Q2783" s="190"/>
      <c r="R2783" s="188"/>
      <c r="S2783" s="193"/>
      <c r="T2783" s="192"/>
      <c r="U2783" s="829"/>
      <c r="V2783" s="10"/>
      <c r="W2783" s="10"/>
      <c r="X2783" s="10"/>
      <c r="Y2783" s="10"/>
      <c r="Z2783" s="10"/>
      <c r="AA2783" s="11"/>
      <c r="AB2783" s="11"/>
    </row>
    <row r="2784" spans="2:28" x14ac:dyDescent="0.3">
      <c r="B2784" s="10"/>
      <c r="C2784" s="315"/>
      <c r="D2784" s="868"/>
      <c r="E2784" s="837" t="str">
        <f>IFERROR(IF(_xlfn.XLOOKUP(Imput[[#This Row],[RFC]],'Alta Proveedor'!D:D,'Alta Proveedor'!E:E)=0,"",_xlfn.XLOOKUP(Imput[[#This Row],[RFC]],'Alta Proveedor'!D:D,'Alta Proveedor'!E:E)),"")</f>
        <v/>
      </c>
      <c r="F2784" s="832"/>
      <c r="G2784" s="187"/>
      <c r="H2784" s="1"/>
      <c r="I2784" s="169">
        <f>Imput[[#This Row],[Cantidad]]*Imput[[#This Row],[Precio Unitario]]</f>
        <v>0</v>
      </c>
      <c r="J2784" s="11">
        <f>((Imput[[#This Row],[Sub total]])*(0.16))</f>
        <v>0</v>
      </c>
      <c r="K2784" s="11">
        <v>0</v>
      </c>
      <c r="L2784" s="169">
        <f>Imput[[#This Row],[Sub total]]+Imput[[#This Row],[IVA]]-Imput[[#This Row],[Retención / IEPS / Descuento]]</f>
        <v>0</v>
      </c>
      <c r="M2784" s="844">
        <v>0</v>
      </c>
      <c r="N2784" s="189"/>
      <c r="O2784" s="1"/>
      <c r="P2784" s="189"/>
      <c r="Q2784" s="190"/>
      <c r="R2784" s="188"/>
      <c r="S2784" s="193"/>
      <c r="T2784" s="192"/>
      <c r="U2784" s="829"/>
      <c r="V2784" s="10"/>
      <c r="W2784" s="10"/>
      <c r="X2784" s="10"/>
      <c r="Y2784" s="10"/>
      <c r="Z2784" s="10"/>
      <c r="AA2784" s="11"/>
      <c r="AB2784" s="11"/>
    </row>
    <row r="2785" spans="2:28" x14ac:dyDescent="0.3">
      <c r="B2785" s="10"/>
      <c r="C2785" s="315"/>
      <c r="D2785" s="868"/>
      <c r="E2785" s="837" t="str">
        <f>IFERROR(IF(_xlfn.XLOOKUP(Imput[[#This Row],[RFC]],'Alta Proveedor'!D:D,'Alta Proveedor'!E:E)=0,"",_xlfn.XLOOKUP(Imput[[#This Row],[RFC]],'Alta Proveedor'!D:D,'Alta Proveedor'!E:E)),"")</f>
        <v/>
      </c>
      <c r="F2785" s="832"/>
      <c r="G2785" s="187"/>
      <c r="H2785" s="1"/>
      <c r="I2785" s="169">
        <f>Imput[[#This Row],[Cantidad]]*Imput[[#This Row],[Precio Unitario]]</f>
        <v>0</v>
      </c>
      <c r="J2785" s="11">
        <f>((Imput[[#This Row],[Sub total]])*(0.16))</f>
        <v>0</v>
      </c>
      <c r="K2785" s="11">
        <v>0</v>
      </c>
      <c r="L2785" s="169">
        <f>Imput[[#This Row],[Sub total]]+Imput[[#This Row],[IVA]]-Imput[[#This Row],[Retención / IEPS / Descuento]]</f>
        <v>0</v>
      </c>
      <c r="M2785" s="844">
        <v>0</v>
      </c>
      <c r="N2785" s="189"/>
      <c r="O2785" s="1"/>
      <c r="P2785" s="189"/>
      <c r="Q2785" s="190"/>
      <c r="R2785" s="188"/>
      <c r="S2785" s="193"/>
      <c r="T2785" s="192"/>
      <c r="U2785" s="829"/>
      <c r="V2785" s="10"/>
      <c r="W2785" s="10"/>
      <c r="X2785" s="10"/>
      <c r="Y2785" s="10"/>
      <c r="Z2785" s="10"/>
      <c r="AA2785" s="11"/>
      <c r="AB2785" s="11"/>
    </row>
    <row r="2786" spans="2:28" x14ac:dyDescent="0.3">
      <c r="B2786" s="10"/>
      <c r="C2786" s="315"/>
      <c r="D2786" s="868"/>
      <c r="E2786" s="837" t="str">
        <f>IFERROR(IF(_xlfn.XLOOKUP(Imput[[#This Row],[RFC]],'Alta Proveedor'!D:D,'Alta Proveedor'!E:E)=0,"",_xlfn.XLOOKUP(Imput[[#This Row],[RFC]],'Alta Proveedor'!D:D,'Alta Proveedor'!E:E)),"")</f>
        <v/>
      </c>
      <c r="F2786" s="832"/>
      <c r="G2786" s="187"/>
      <c r="H2786" s="1"/>
      <c r="I2786" s="169">
        <f>Imput[[#This Row],[Cantidad]]*Imput[[#This Row],[Precio Unitario]]</f>
        <v>0</v>
      </c>
      <c r="J2786" s="11">
        <f>((Imput[[#This Row],[Sub total]])*(0.16))</f>
        <v>0</v>
      </c>
      <c r="K2786" s="11">
        <v>0</v>
      </c>
      <c r="L2786" s="169">
        <f>Imput[[#This Row],[Sub total]]+Imput[[#This Row],[IVA]]-Imput[[#This Row],[Retención / IEPS / Descuento]]</f>
        <v>0</v>
      </c>
      <c r="M2786" s="844">
        <v>0</v>
      </c>
      <c r="N2786" s="189"/>
      <c r="O2786" s="1"/>
      <c r="P2786" s="189"/>
      <c r="Q2786" s="190"/>
      <c r="R2786" s="188"/>
      <c r="S2786" s="193"/>
      <c r="T2786" s="192"/>
      <c r="U2786" s="829"/>
      <c r="V2786" s="10"/>
      <c r="W2786" s="10"/>
      <c r="X2786" s="10"/>
      <c r="Y2786" s="10"/>
      <c r="Z2786" s="10"/>
      <c r="AA2786" s="11"/>
      <c r="AB2786" s="11"/>
    </row>
    <row r="2787" spans="2:28" x14ac:dyDescent="0.3">
      <c r="B2787" s="10"/>
      <c r="C2787" s="315"/>
      <c r="D2787" s="868"/>
      <c r="E2787" s="837" t="str">
        <f>IFERROR(IF(_xlfn.XLOOKUP(Imput[[#This Row],[RFC]],'Alta Proveedor'!D:D,'Alta Proveedor'!E:E)=0,"",_xlfn.XLOOKUP(Imput[[#This Row],[RFC]],'Alta Proveedor'!D:D,'Alta Proveedor'!E:E)),"")</f>
        <v/>
      </c>
      <c r="F2787" s="832"/>
      <c r="G2787" s="187"/>
      <c r="H2787" s="1"/>
      <c r="I2787" s="169">
        <f>Imput[[#This Row],[Cantidad]]*Imput[[#This Row],[Precio Unitario]]</f>
        <v>0</v>
      </c>
      <c r="J2787" s="11">
        <f>((Imput[[#This Row],[Sub total]])*(0.16))</f>
        <v>0</v>
      </c>
      <c r="K2787" s="11">
        <v>0</v>
      </c>
      <c r="L2787" s="169">
        <f>Imput[[#This Row],[Sub total]]+Imput[[#This Row],[IVA]]-Imput[[#This Row],[Retención / IEPS / Descuento]]</f>
        <v>0</v>
      </c>
      <c r="M2787" s="844">
        <v>0</v>
      </c>
      <c r="N2787" s="189"/>
      <c r="O2787" s="1"/>
      <c r="P2787" s="189"/>
      <c r="Q2787" s="190"/>
      <c r="R2787" s="188"/>
      <c r="S2787" s="193"/>
      <c r="T2787" s="192"/>
      <c r="U2787" s="829"/>
      <c r="V2787" s="10"/>
      <c r="W2787" s="10"/>
      <c r="X2787" s="10"/>
      <c r="Y2787" s="10"/>
      <c r="Z2787" s="10"/>
      <c r="AA2787" s="11"/>
      <c r="AB2787" s="11"/>
    </row>
    <row r="2788" spans="2:28" x14ac:dyDescent="0.3">
      <c r="B2788" s="10"/>
      <c r="C2788" s="315"/>
      <c r="D2788" s="868"/>
      <c r="E2788" s="837" t="str">
        <f>IFERROR(IF(_xlfn.XLOOKUP(Imput[[#This Row],[RFC]],'Alta Proveedor'!D:D,'Alta Proveedor'!E:E)=0,"",_xlfn.XLOOKUP(Imput[[#This Row],[RFC]],'Alta Proveedor'!D:D,'Alta Proveedor'!E:E)),"")</f>
        <v/>
      </c>
      <c r="F2788" s="832"/>
      <c r="G2788" s="187"/>
      <c r="H2788" s="1"/>
      <c r="I2788" s="169">
        <f>Imput[[#This Row],[Cantidad]]*Imput[[#This Row],[Precio Unitario]]</f>
        <v>0</v>
      </c>
      <c r="J2788" s="11">
        <f>((Imput[[#This Row],[Sub total]])*(0.16))</f>
        <v>0</v>
      </c>
      <c r="K2788" s="11">
        <v>0</v>
      </c>
      <c r="L2788" s="169">
        <f>Imput[[#This Row],[Sub total]]+Imput[[#This Row],[IVA]]-Imput[[#This Row],[Retención / IEPS / Descuento]]</f>
        <v>0</v>
      </c>
      <c r="M2788" s="844">
        <v>0</v>
      </c>
      <c r="N2788" s="189"/>
      <c r="O2788" s="1"/>
      <c r="P2788" s="189"/>
      <c r="Q2788" s="190"/>
      <c r="R2788" s="188"/>
      <c r="S2788" s="193"/>
      <c r="T2788" s="192"/>
      <c r="U2788" s="829"/>
      <c r="V2788" s="10"/>
      <c r="W2788" s="10"/>
      <c r="X2788" s="10"/>
      <c r="Y2788" s="10"/>
      <c r="Z2788" s="10"/>
      <c r="AA2788" s="11"/>
      <c r="AB2788" s="11"/>
    </row>
    <row r="2789" spans="2:28" x14ac:dyDescent="0.3">
      <c r="B2789" s="10"/>
      <c r="C2789" s="315"/>
      <c r="D2789" s="868"/>
      <c r="E2789" s="837" t="str">
        <f>IFERROR(IF(_xlfn.XLOOKUP(Imput[[#This Row],[RFC]],'Alta Proveedor'!D:D,'Alta Proveedor'!E:E)=0,"",_xlfn.XLOOKUP(Imput[[#This Row],[RFC]],'Alta Proveedor'!D:D,'Alta Proveedor'!E:E)),"")</f>
        <v/>
      </c>
      <c r="F2789" s="832"/>
      <c r="G2789" s="187"/>
      <c r="H2789" s="1"/>
      <c r="I2789" s="169">
        <f>Imput[[#This Row],[Cantidad]]*Imput[[#This Row],[Precio Unitario]]</f>
        <v>0</v>
      </c>
      <c r="J2789" s="11">
        <f>((Imput[[#This Row],[Sub total]])*(0.16))</f>
        <v>0</v>
      </c>
      <c r="K2789" s="11">
        <v>0</v>
      </c>
      <c r="L2789" s="169">
        <f>Imput[[#This Row],[Sub total]]+Imput[[#This Row],[IVA]]-Imput[[#This Row],[Retención / IEPS / Descuento]]</f>
        <v>0</v>
      </c>
      <c r="M2789" s="844">
        <v>0</v>
      </c>
      <c r="N2789" s="189"/>
      <c r="O2789" s="1"/>
      <c r="P2789" s="189"/>
      <c r="Q2789" s="190"/>
      <c r="R2789" s="188"/>
      <c r="S2789" s="193"/>
      <c r="T2789" s="192"/>
      <c r="U2789" s="829"/>
      <c r="V2789" s="10"/>
      <c r="W2789" s="10"/>
      <c r="X2789" s="10"/>
      <c r="Y2789" s="10"/>
      <c r="Z2789" s="10"/>
      <c r="AA2789" s="11"/>
      <c r="AB2789" s="11"/>
    </row>
    <row r="2790" spans="2:28" x14ac:dyDescent="0.3">
      <c r="B2790" s="10"/>
      <c r="C2790" s="315"/>
      <c r="D2790" s="868"/>
      <c r="E2790" s="837" t="str">
        <f>IFERROR(IF(_xlfn.XLOOKUP(Imput[[#This Row],[RFC]],'Alta Proveedor'!D:D,'Alta Proveedor'!E:E)=0,"",_xlfn.XLOOKUP(Imput[[#This Row],[RFC]],'Alta Proveedor'!D:D,'Alta Proveedor'!E:E)),"")</f>
        <v/>
      </c>
      <c r="F2790" s="832"/>
      <c r="G2790" s="187"/>
      <c r="H2790" s="1"/>
      <c r="I2790" s="169">
        <f>Imput[[#This Row],[Cantidad]]*Imput[[#This Row],[Precio Unitario]]</f>
        <v>0</v>
      </c>
      <c r="J2790" s="11">
        <f>((Imput[[#This Row],[Sub total]])*(0.16))</f>
        <v>0</v>
      </c>
      <c r="K2790" s="11">
        <v>0</v>
      </c>
      <c r="L2790" s="169">
        <f>Imput[[#This Row],[Sub total]]+Imput[[#This Row],[IVA]]-Imput[[#This Row],[Retención / IEPS / Descuento]]</f>
        <v>0</v>
      </c>
      <c r="M2790" s="844">
        <v>0</v>
      </c>
      <c r="N2790" s="189"/>
      <c r="O2790" s="1"/>
      <c r="P2790" s="189"/>
      <c r="Q2790" s="190"/>
      <c r="R2790" s="188"/>
      <c r="S2790" s="193"/>
      <c r="T2790" s="192"/>
      <c r="U2790" s="829"/>
      <c r="V2790" s="10"/>
      <c r="W2790" s="10"/>
      <c r="X2790" s="10"/>
      <c r="Y2790" s="10"/>
      <c r="Z2790" s="10"/>
      <c r="AA2790" s="11"/>
      <c r="AB2790" s="11"/>
    </row>
    <row r="2791" spans="2:28" x14ac:dyDescent="0.3">
      <c r="B2791" s="10"/>
      <c r="C2791" s="315"/>
      <c r="D2791" s="868"/>
      <c r="E2791" s="837" t="str">
        <f>IFERROR(IF(_xlfn.XLOOKUP(Imput[[#This Row],[RFC]],'Alta Proveedor'!D:D,'Alta Proveedor'!E:E)=0,"",_xlfn.XLOOKUP(Imput[[#This Row],[RFC]],'Alta Proveedor'!D:D,'Alta Proveedor'!E:E)),"")</f>
        <v/>
      </c>
      <c r="F2791" s="832"/>
      <c r="G2791" s="187"/>
      <c r="H2791" s="1"/>
      <c r="I2791" s="169">
        <f>Imput[[#This Row],[Cantidad]]*Imput[[#This Row],[Precio Unitario]]</f>
        <v>0</v>
      </c>
      <c r="J2791" s="11">
        <f>((Imput[[#This Row],[Sub total]])*(0.16))</f>
        <v>0</v>
      </c>
      <c r="K2791" s="11">
        <v>0</v>
      </c>
      <c r="L2791" s="169">
        <f>Imput[[#This Row],[Sub total]]+Imput[[#This Row],[IVA]]-Imput[[#This Row],[Retención / IEPS / Descuento]]</f>
        <v>0</v>
      </c>
      <c r="M2791" s="844">
        <v>0</v>
      </c>
      <c r="N2791" s="189"/>
      <c r="O2791" s="1"/>
      <c r="P2791" s="189"/>
      <c r="Q2791" s="190"/>
      <c r="R2791" s="188"/>
      <c r="S2791" s="193"/>
      <c r="T2791" s="192"/>
      <c r="U2791" s="829"/>
      <c r="V2791" s="10"/>
      <c r="W2791" s="10"/>
      <c r="X2791" s="10"/>
      <c r="Y2791" s="10"/>
      <c r="Z2791" s="10"/>
      <c r="AA2791" s="11"/>
      <c r="AB2791" s="11"/>
    </row>
    <row r="2792" spans="2:28" x14ac:dyDescent="0.3">
      <c r="B2792" s="10"/>
      <c r="C2792" s="315"/>
      <c r="D2792" s="868"/>
      <c r="E2792" s="837" t="str">
        <f>IFERROR(IF(_xlfn.XLOOKUP(Imput[[#This Row],[RFC]],'Alta Proveedor'!D:D,'Alta Proveedor'!E:E)=0,"",_xlfn.XLOOKUP(Imput[[#This Row],[RFC]],'Alta Proveedor'!D:D,'Alta Proveedor'!E:E)),"")</f>
        <v/>
      </c>
      <c r="F2792" s="832"/>
      <c r="G2792" s="187"/>
      <c r="H2792" s="1"/>
      <c r="I2792" s="169">
        <f>Imput[[#This Row],[Cantidad]]*Imput[[#This Row],[Precio Unitario]]</f>
        <v>0</v>
      </c>
      <c r="J2792" s="11">
        <f>((Imput[[#This Row],[Sub total]])*(0.16))</f>
        <v>0</v>
      </c>
      <c r="K2792" s="11">
        <v>0</v>
      </c>
      <c r="L2792" s="169">
        <f>Imput[[#This Row],[Sub total]]+Imput[[#This Row],[IVA]]-Imput[[#This Row],[Retención / IEPS / Descuento]]</f>
        <v>0</v>
      </c>
      <c r="M2792" s="844">
        <v>0</v>
      </c>
      <c r="N2792" s="189"/>
      <c r="O2792" s="1"/>
      <c r="P2792" s="189"/>
      <c r="Q2792" s="190"/>
      <c r="R2792" s="188"/>
      <c r="S2792" s="193"/>
      <c r="T2792" s="192"/>
      <c r="U2792" s="829"/>
      <c r="V2792" s="10"/>
      <c r="W2792" s="10"/>
      <c r="X2792" s="10"/>
      <c r="Y2792" s="10"/>
      <c r="Z2792" s="10"/>
      <c r="AA2792" s="11"/>
      <c r="AB2792" s="11"/>
    </row>
    <row r="2793" spans="2:28" x14ac:dyDescent="0.3">
      <c r="B2793" s="10"/>
      <c r="C2793" s="315"/>
      <c r="D2793" s="868"/>
      <c r="E2793" s="837" t="str">
        <f>IFERROR(IF(_xlfn.XLOOKUP(Imput[[#This Row],[RFC]],'Alta Proveedor'!D:D,'Alta Proveedor'!E:E)=0,"",_xlfn.XLOOKUP(Imput[[#This Row],[RFC]],'Alta Proveedor'!D:D,'Alta Proveedor'!E:E)),"")</f>
        <v/>
      </c>
      <c r="F2793" s="832"/>
      <c r="G2793" s="187"/>
      <c r="H2793" s="1"/>
      <c r="I2793" s="169">
        <f>Imput[[#This Row],[Cantidad]]*Imput[[#This Row],[Precio Unitario]]</f>
        <v>0</v>
      </c>
      <c r="J2793" s="11">
        <f>((Imput[[#This Row],[Sub total]])*(0.16))</f>
        <v>0</v>
      </c>
      <c r="K2793" s="11">
        <v>0</v>
      </c>
      <c r="L2793" s="169">
        <f>Imput[[#This Row],[Sub total]]+Imput[[#This Row],[IVA]]-Imput[[#This Row],[Retención / IEPS / Descuento]]</f>
        <v>0</v>
      </c>
      <c r="M2793" s="844">
        <v>0</v>
      </c>
      <c r="N2793" s="189"/>
      <c r="O2793" s="1"/>
      <c r="P2793" s="189"/>
      <c r="Q2793" s="190"/>
      <c r="R2793" s="188"/>
      <c r="S2793" s="193"/>
      <c r="T2793" s="192"/>
      <c r="U2793" s="829"/>
      <c r="V2793" s="10"/>
      <c r="W2793" s="10"/>
      <c r="X2793" s="10"/>
      <c r="Y2793" s="10"/>
      <c r="Z2793" s="10"/>
      <c r="AA2793" s="11"/>
      <c r="AB2793" s="11"/>
    </row>
    <row r="2794" spans="2:28" x14ac:dyDescent="0.3">
      <c r="B2794" s="10"/>
      <c r="C2794" s="315"/>
      <c r="D2794" s="868"/>
      <c r="E2794" s="837" t="str">
        <f>IFERROR(IF(_xlfn.XLOOKUP(Imput[[#This Row],[RFC]],'Alta Proveedor'!D:D,'Alta Proveedor'!E:E)=0,"",_xlfn.XLOOKUP(Imput[[#This Row],[RFC]],'Alta Proveedor'!D:D,'Alta Proveedor'!E:E)),"")</f>
        <v/>
      </c>
      <c r="F2794" s="832"/>
      <c r="G2794" s="187"/>
      <c r="H2794" s="1"/>
      <c r="I2794" s="169">
        <f>Imput[[#This Row],[Cantidad]]*Imput[[#This Row],[Precio Unitario]]</f>
        <v>0</v>
      </c>
      <c r="J2794" s="11">
        <f>((Imput[[#This Row],[Sub total]])*(0.16))</f>
        <v>0</v>
      </c>
      <c r="K2794" s="11">
        <v>0</v>
      </c>
      <c r="L2794" s="169">
        <f>Imput[[#This Row],[Sub total]]+Imput[[#This Row],[IVA]]-Imput[[#This Row],[Retención / IEPS / Descuento]]</f>
        <v>0</v>
      </c>
      <c r="M2794" s="844">
        <v>0</v>
      </c>
      <c r="N2794" s="189"/>
      <c r="O2794" s="1"/>
      <c r="P2794" s="189"/>
      <c r="Q2794" s="190"/>
      <c r="R2794" s="188"/>
      <c r="S2794" s="193"/>
      <c r="T2794" s="192"/>
      <c r="U2794" s="829"/>
      <c r="V2794" s="10"/>
      <c r="W2794" s="10"/>
      <c r="X2794" s="10"/>
      <c r="Y2794" s="10"/>
      <c r="Z2794" s="10"/>
      <c r="AA2794" s="11"/>
      <c r="AB2794" s="11"/>
    </row>
    <row r="2795" spans="2:28" x14ac:dyDescent="0.3">
      <c r="B2795" s="10"/>
      <c r="C2795" s="315"/>
      <c r="D2795" s="868"/>
      <c r="E2795" s="837" t="str">
        <f>IFERROR(IF(_xlfn.XLOOKUP(Imput[[#This Row],[RFC]],'Alta Proveedor'!D:D,'Alta Proveedor'!E:E)=0,"",_xlfn.XLOOKUP(Imput[[#This Row],[RFC]],'Alta Proveedor'!D:D,'Alta Proveedor'!E:E)),"")</f>
        <v/>
      </c>
      <c r="F2795" s="832"/>
      <c r="G2795" s="187"/>
      <c r="H2795" s="1"/>
      <c r="I2795" s="169">
        <f>Imput[[#This Row],[Cantidad]]*Imput[[#This Row],[Precio Unitario]]</f>
        <v>0</v>
      </c>
      <c r="J2795" s="11">
        <f>((Imput[[#This Row],[Sub total]])*(0.16))</f>
        <v>0</v>
      </c>
      <c r="K2795" s="11">
        <v>0</v>
      </c>
      <c r="L2795" s="169">
        <f>Imput[[#This Row],[Sub total]]+Imput[[#This Row],[IVA]]-Imput[[#This Row],[Retención / IEPS / Descuento]]</f>
        <v>0</v>
      </c>
      <c r="M2795" s="844">
        <v>0</v>
      </c>
      <c r="N2795" s="189"/>
      <c r="O2795" s="1"/>
      <c r="P2795" s="189"/>
      <c r="Q2795" s="190"/>
      <c r="R2795" s="188"/>
      <c r="S2795" s="193"/>
      <c r="T2795" s="192"/>
      <c r="U2795" s="829"/>
      <c r="V2795" s="10"/>
      <c r="W2795" s="10"/>
      <c r="X2795" s="10"/>
      <c r="Y2795" s="10"/>
      <c r="Z2795" s="10"/>
      <c r="AA2795" s="11"/>
      <c r="AB2795" s="11"/>
    </row>
    <row r="2796" spans="2:28" x14ac:dyDescent="0.3">
      <c r="B2796" s="10"/>
      <c r="C2796" s="315"/>
      <c r="D2796" s="868"/>
      <c r="E2796" s="837" t="str">
        <f>IFERROR(IF(_xlfn.XLOOKUP(Imput[[#This Row],[RFC]],'Alta Proveedor'!D:D,'Alta Proveedor'!E:E)=0,"",_xlfn.XLOOKUP(Imput[[#This Row],[RFC]],'Alta Proveedor'!D:D,'Alta Proveedor'!E:E)),"")</f>
        <v/>
      </c>
      <c r="F2796" s="832"/>
      <c r="G2796" s="187"/>
      <c r="H2796" s="1"/>
      <c r="I2796" s="169">
        <f>Imput[[#This Row],[Cantidad]]*Imput[[#This Row],[Precio Unitario]]</f>
        <v>0</v>
      </c>
      <c r="J2796" s="11">
        <f>((Imput[[#This Row],[Sub total]])*(0.16))</f>
        <v>0</v>
      </c>
      <c r="K2796" s="11">
        <v>0</v>
      </c>
      <c r="L2796" s="169">
        <f>Imput[[#This Row],[Sub total]]+Imput[[#This Row],[IVA]]-Imput[[#This Row],[Retención / IEPS / Descuento]]</f>
        <v>0</v>
      </c>
      <c r="M2796" s="844">
        <v>0</v>
      </c>
      <c r="N2796" s="189"/>
      <c r="O2796" s="1"/>
      <c r="P2796" s="189"/>
      <c r="Q2796" s="190"/>
      <c r="R2796" s="188"/>
      <c r="S2796" s="193"/>
      <c r="T2796" s="192"/>
      <c r="U2796" s="829"/>
      <c r="V2796" s="10"/>
      <c r="W2796" s="10"/>
      <c r="X2796" s="10"/>
      <c r="Y2796" s="10"/>
      <c r="Z2796" s="10"/>
      <c r="AA2796" s="11"/>
      <c r="AB2796" s="11"/>
    </row>
    <row r="2797" spans="2:28" x14ac:dyDescent="0.3">
      <c r="B2797" s="10"/>
      <c r="C2797" s="315"/>
      <c r="D2797" s="868"/>
      <c r="E2797" s="837" t="str">
        <f>IFERROR(IF(_xlfn.XLOOKUP(Imput[[#This Row],[RFC]],'Alta Proveedor'!D:D,'Alta Proveedor'!E:E)=0,"",_xlfn.XLOOKUP(Imput[[#This Row],[RFC]],'Alta Proveedor'!D:D,'Alta Proveedor'!E:E)),"")</f>
        <v/>
      </c>
      <c r="F2797" s="832"/>
      <c r="G2797" s="187"/>
      <c r="H2797" s="1"/>
      <c r="I2797" s="169">
        <f>Imput[[#This Row],[Cantidad]]*Imput[[#This Row],[Precio Unitario]]</f>
        <v>0</v>
      </c>
      <c r="J2797" s="11">
        <f>((Imput[[#This Row],[Sub total]])*(0.16))</f>
        <v>0</v>
      </c>
      <c r="K2797" s="11">
        <v>0</v>
      </c>
      <c r="L2797" s="169">
        <f>Imput[[#This Row],[Sub total]]+Imput[[#This Row],[IVA]]-Imput[[#This Row],[Retención / IEPS / Descuento]]</f>
        <v>0</v>
      </c>
      <c r="M2797" s="844">
        <v>0</v>
      </c>
      <c r="N2797" s="189"/>
      <c r="O2797" s="1"/>
      <c r="P2797" s="189"/>
      <c r="Q2797" s="190"/>
      <c r="R2797" s="188"/>
      <c r="S2797" s="193"/>
      <c r="T2797" s="192"/>
      <c r="U2797" s="829"/>
      <c r="V2797" s="10"/>
      <c r="W2797" s="10"/>
      <c r="X2797" s="10"/>
      <c r="Y2797" s="10"/>
      <c r="Z2797" s="10"/>
      <c r="AA2797" s="11"/>
      <c r="AB2797" s="11"/>
    </row>
    <row r="2798" spans="2:28" x14ac:dyDescent="0.3">
      <c r="B2798" s="10"/>
      <c r="C2798" s="315"/>
      <c r="D2798" s="868"/>
      <c r="E2798" s="837" t="str">
        <f>IFERROR(IF(_xlfn.XLOOKUP(Imput[[#This Row],[RFC]],'Alta Proveedor'!D:D,'Alta Proveedor'!E:E)=0,"",_xlfn.XLOOKUP(Imput[[#This Row],[RFC]],'Alta Proveedor'!D:D,'Alta Proveedor'!E:E)),"")</f>
        <v/>
      </c>
      <c r="F2798" s="832"/>
      <c r="G2798" s="187"/>
      <c r="H2798" s="1"/>
      <c r="I2798" s="169">
        <f>Imput[[#This Row],[Cantidad]]*Imput[[#This Row],[Precio Unitario]]</f>
        <v>0</v>
      </c>
      <c r="J2798" s="11">
        <f>((Imput[[#This Row],[Sub total]])*(0.16))</f>
        <v>0</v>
      </c>
      <c r="K2798" s="11">
        <v>0</v>
      </c>
      <c r="L2798" s="169">
        <f>Imput[[#This Row],[Sub total]]+Imput[[#This Row],[IVA]]-Imput[[#This Row],[Retención / IEPS / Descuento]]</f>
        <v>0</v>
      </c>
      <c r="M2798" s="844">
        <v>0</v>
      </c>
      <c r="N2798" s="189"/>
      <c r="O2798" s="1"/>
      <c r="P2798" s="189"/>
      <c r="Q2798" s="190"/>
      <c r="R2798" s="188"/>
      <c r="S2798" s="193"/>
      <c r="T2798" s="192"/>
      <c r="U2798" s="829"/>
      <c r="V2798" s="10"/>
      <c r="W2798" s="10"/>
      <c r="X2798" s="10"/>
      <c r="Y2798" s="10"/>
      <c r="Z2798" s="10"/>
      <c r="AA2798" s="11"/>
      <c r="AB2798" s="11"/>
    </row>
    <row r="2799" spans="2:28" x14ac:dyDescent="0.3">
      <c r="B2799" s="10"/>
      <c r="C2799" s="315"/>
      <c r="D2799" s="868"/>
      <c r="E2799" s="837" t="str">
        <f>IFERROR(IF(_xlfn.XLOOKUP(Imput[[#This Row],[RFC]],'Alta Proveedor'!D:D,'Alta Proveedor'!E:E)=0,"",_xlfn.XLOOKUP(Imput[[#This Row],[RFC]],'Alta Proveedor'!D:D,'Alta Proveedor'!E:E)),"")</f>
        <v/>
      </c>
      <c r="F2799" s="832"/>
      <c r="G2799" s="187"/>
      <c r="H2799" s="1"/>
      <c r="I2799" s="169">
        <f>Imput[[#This Row],[Cantidad]]*Imput[[#This Row],[Precio Unitario]]</f>
        <v>0</v>
      </c>
      <c r="J2799" s="11">
        <f>((Imput[[#This Row],[Sub total]])*(0.16))</f>
        <v>0</v>
      </c>
      <c r="K2799" s="11">
        <v>0</v>
      </c>
      <c r="L2799" s="169">
        <f>Imput[[#This Row],[Sub total]]+Imput[[#This Row],[IVA]]-Imput[[#This Row],[Retención / IEPS / Descuento]]</f>
        <v>0</v>
      </c>
      <c r="M2799" s="844">
        <v>0</v>
      </c>
      <c r="N2799" s="189"/>
      <c r="O2799" s="1"/>
      <c r="P2799" s="189"/>
      <c r="Q2799" s="190"/>
      <c r="R2799" s="188"/>
      <c r="S2799" s="193"/>
      <c r="T2799" s="192"/>
      <c r="U2799" s="829"/>
      <c r="V2799" s="10"/>
      <c r="W2799" s="10"/>
      <c r="X2799" s="10"/>
      <c r="Y2799" s="10"/>
      <c r="Z2799" s="10"/>
      <c r="AA2799" s="11"/>
      <c r="AB2799" s="11"/>
    </row>
    <row r="2800" spans="2:28" x14ac:dyDescent="0.3">
      <c r="B2800" s="10"/>
      <c r="C2800" s="315"/>
      <c r="D2800" s="868"/>
      <c r="E2800" s="837" t="str">
        <f>IFERROR(IF(_xlfn.XLOOKUP(Imput[[#This Row],[RFC]],'Alta Proveedor'!D:D,'Alta Proveedor'!E:E)=0,"",_xlfn.XLOOKUP(Imput[[#This Row],[RFC]],'Alta Proveedor'!D:D,'Alta Proveedor'!E:E)),"")</f>
        <v/>
      </c>
      <c r="F2800" s="832"/>
      <c r="G2800" s="187"/>
      <c r="H2800" s="1"/>
      <c r="I2800" s="169">
        <f>Imput[[#This Row],[Cantidad]]*Imput[[#This Row],[Precio Unitario]]</f>
        <v>0</v>
      </c>
      <c r="J2800" s="11">
        <f>((Imput[[#This Row],[Sub total]])*(0.16))</f>
        <v>0</v>
      </c>
      <c r="K2800" s="11">
        <v>0</v>
      </c>
      <c r="L2800" s="169">
        <f>Imput[[#This Row],[Sub total]]+Imput[[#This Row],[IVA]]-Imput[[#This Row],[Retención / IEPS / Descuento]]</f>
        <v>0</v>
      </c>
      <c r="M2800" s="844">
        <v>0</v>
      </c>
      <c r="N2800" s="189"/>
      <c r="O2800" s="1"/>
      <c r="P2800" s="189"/>
      <c r="Q2800" s="190"/>
      <c r="R2800" s="188"/>
      <c r="S2800" s="193"/>
      <c r="T2800" s="192"/>
      <c r="U2800" s="829"/>
      <c r="V2800" s="10"/>
      <c r="W2800" s="10"/>
      <c r="X2800" s="10"/>
      <c r="Y2800" s="10"/>
      <c r="Z2800" s="10"/>
      <c r="AA2800" s="11"/>
      <c r="AB2800" s="11"/>
    </row>
    <row r="2801" spans="2:28" x14ac:dyDescent="0.3">
      <c r="B2801" s="10"/>
      <c r="C2801" s="315"/>
      <c r="D2801" s="868"/>
      <c r="E2801" s="837" t="str">
        <f>IFERROR(IF(_xlfn.XLOOKUP(Imput[[#This Row],[RFC]],'Alta Proveedor'!D:D,'Alta Proveedor'!E:E)=0,"",_xlfn.XLOOKUP(Imput[[#This Row],[RFC]],'Alta Proveedor'!D:D,'Alta Proveedor'!E:E)),"")</f>
        <v/>
      </c>
      <c r="F2801" s="832"/>
      <c r="G2801" s="187"/>
      <c r="H2801" s="1"/>
      <c r="I2801" s="169">
        <f>Imput[[#This Row],[Cantidad]]*Imput[[#This Row],[Precio Unitario]]</f>
        <v>0</v>
      </c>
      <c r="J2801" s="11">
        <f>((Imput[[#This Row],[Sub total]])*(0.16))</f>
        <v>0</v>
      </c>
      <c r="K2801" s="11">
        <v>0</v>
      </c>
      <c r="L2801" s="169">
        <f>Imput[[#This Row],[Sub total]]+Imput[[#This Row],[IVA]]-Imput[[#This Row],[Retención / IEPS / Descuento]]</f>
        <v>0</v>
      </c>
      <c r="M2801" s="844">
        <v>0</v>
      </c>
      <c r="N2801" s="189"/>
      <c r="O2801" s="1"/>
      <c r="P2801" s="189"/>
      <c r="Q2801" s="190"/>
      <c r="R2801" s="188"/>
      <c r="S2801" s="193"/>
      <c r="T2801" s="192"/>
      <c r="U2801" s="829"/>
      <c r="V2801" s="10"/>
      <c r="W2801" s="10"/>
      <c r="X2801" s="10"/>
      <c r="Y2801" s="10"/>
      <c r="Z2801" s="10"/>
      <c r="AA2801" s="11"/>
      <c r="AB2801" s="11"/>
    </row>
    <row r="2802" spans="2:28" x14ac:dyDescent="0.3">
      <c r="B2802" s="10"/>
      <c r="C2802" s="315"/>
      <c r="D2802" s="868"/>
      <c r="E2802" s="837" t="str">
        <f>IFERROR(IF(_xlfn.XLOOKUP(Imput[[#This Row],[RFC]],'Alta Proveedor'!D:D,'Alta Proveedor'!E:E)=0,"",_xlfn.XLOOKUP(Imput[[#This Row],[RFC]],'Alta Proveedor'!D:D,'Alta Proveedor'!E:E)),"")</f>
        <v/>
      </c>
      <c r="F2802" s="832"/>
      <c r="G2802" s="187"/>
      <c r="H2802" s="1"/>
      <c r="I2802" s="169">
        <f>Imput[[#This Row],[Cantidad]]*Imput[[#This Row],[Precio Unitario]]</f>
        <v>0</v>
      </c>
      <c r="J2802" s="11">
        <f>((Imput[[#This Row],[Sub total]])*(0.16))</f>
        <v>0</v>
      </c>
      <c r="K2802" s="11">
        <v>0</v>
      </c>
      <c r="L2802" s="169">
        <f>Imput[[#This Row],[Sub total]]+Imput[[#This Row],[IVA]]-Imput[[#This Row],[Retención / IEPS / Descuento]]</f>
        <v>0</v>
      </c>
      <c r="M2802" s="844">
        <v>0</v>
      </c>
      <c r="N2802" s="189"/>
      <c r="O2802" s="1"/>
      <c r="P2802" s="189"/>
      <c r="Q2802" s="190"/>
      <c r="R2802" s="188"/>
      <c r="S2802" s="193"/>
      <c r="T2802" s="192"/>
      <c r="U2802" s="829"/>
      <c r="V2802" s="10"/>
      <c r="W2802" s="10"/>
      <c r="X2802" s="10"/>
      <c r="Y2802" s="10"/>
      <c r="Z2802" s="10"/>
      <c r="AA2802" s="11"/>
      <c r="AB2802" s="11"/>
    </row>
    <row r="2803" spans="2:28" x14ac:dyDescent="0.3">
      <c r="B2803" s="10"/>
      <c r="C2803" s="315"/>
      <c r="D2803" s="868"/>
      <c r="E2803" s="837" t="str">
        <f>IFERROR(IF(_xlfn.XLOOKUP(Imput[[#This Row],[RFC]],'Alta Proveedor'!D:D,'Alta Proveedor'!E:E)=0,"",_xlfn.XLOOKUP(Imput[[#This Row],[RFC]],'Alta Proveedor'!D:D,'Alta Proveedor'!E:E)),"")</f>
        <v/>
      </c>
      <c r="F2803" s="832"/>
      <c r="G2803" s="187"/>
      <c r="H2803" s="1"/>
      <c r="I2803" s="169">
        <f>Imput[[#This Row],[Cantidad]]*Imput[[#This Row],[Precio Unitario]]</f>
        <v>0</v>
      </c>
      <c r="J2803" s="11">
        <f>((Imput[[#This Row],[Sub total]])*(0.16))</f>
        <v>0</v>
      </c>
      <c r="K2803" s="11">
        <v>0</v>
      </c>
      <c r="L2803" s="169">
        <f>Imput[[#This Row],[Sub total]]+Imput[[#This Row],[IVA]]-Imput[[#This Row],[Retención / IEPS / Descuento]]</f>
        <v>0</v>
      </c>
      <c r="M2803" s="844">
        <v>0</v>
      </c>
      <c r="N2803" s="189"/>
      <c r="O2803" s="1"/>
      <c r="P2803" s="189"/>
      <c r="Q2803" s="190"/>
      <c r="R2803" s="188"/>
      <c r="S2803" s="193"/>
      <c r="T2803" s="192"/>
      <c r="U2803" s="829"/>
      <c r="V2803" s="10"/>
      <c r="W2803" s="10"/>
      <c r="X2803" s="10"/>
      <c r="Y2803" s="10"/>
      <c r="Z2803" s="10"/>
      <c r="AA2803" s="11"/>
      <c r="AB2803" s="11"/>
    </row>
    <row r="2804" spans="2:28" x14ac:dyDescent="0.3">
      <c r="B2804" s="10"/>
      <c r="C2804" s="315"/>
      <c r="D2804" s="868"/>
      <c r="E2804" s="837" t="str">
        <f>IFERROR(IF(_xlfn.XLOOKUP(Imput[[#This Row],[RFC]],'Alta Proveedor'!D:D,'Alta Proveedor'!E:E)=0,"",_xlfn.XLOOKUP(Imput[[#This Row],[RFC]],'Alta Proveedor'!D:D,'Alta Proveedor'!E:E)),"")</f>
        <v/>
      </c>
      <c r="F2804" s="832"/>
      <c r="G2804" s="187"/>
      <c r="H2804" s="1"/>
      <c r="I2804" s="169">
        <f>Imput[[#This Row],[Cantidad]]*Imput[[#This Row],[Precio Unitario]]</f>
        <v>0</v>
      </c>
      <c r="J2804" s="11">
        <f>((Imput[[#This Row],[Sub total]])*(0.16))</f>
        <v>0</v>
      </c>
      <c r="K2804" s="11">
        <v>0</v>
      </c>
      <c r="L2804" s="169">
        <f>Imput[[#This Row],[Sub total]]+Imput[[#This Row],[IVA]]-Imput[[#This Row],[Retención / IEPS / Descuento]]</f>
        <v>0</v>
      </c>
      <c r="M2804" s="844">
        <v>0</v>
      </c>
      <c r="N2804" s="189"/>
      <c r="O2804" s="1"/>
      <c r="P2804" s="189"/>
      <c r="Q2804" s="190"/>
      <c r="R2804" s="188"/>
      <c r="S2804" s="193"/>
      <c r="T2804" s="192"/>
      <c r="U2804" s="829"/>
      <c r="V2804" s="10"/>
      <c r="W2804" s="10"/>
      <c r="X2804" s="10"/>
      <c r="Y2804" s="10"/>
      <c r="Z2804" s="10"/>
      <c r="AA2804" s="11"/>
      <c r="AB2804" s="11"/>
    </row>
    <row r="2805" spans="2:28" x14ac:dyDescent="0.3">
      <c r="B2805" s="10"/>
      <c r="C2805" s="315"/>
      <c r="D2805" s="868"/>
      <c r="E2805" s="837" t="str">
        <f>IFERROR(IF(_xlfn.XLOOKUP(Imput[[#This Row],[RFC]],'Alta Proveedor'!D:D,'Alta Proveedor'!E:E)=0,"",_xlfn.XLOOKUP(Imput[[#This Row],[RFC]],'Alta Proveedor'!D:D,'Alta Proveedor'!E:E)),"")</f>
        <v/>
      </c>
      <c r="F2805" s="832"/>
      <c r="G2805" s="187"/>
      <c r="H2805" s="1"/>
      <c r="I2805" s="169">
        <f>Imput[[#This Row],[Cantidad]]*Imput[[#This Row],[Precio Unitario]]</f>
        <v>0</v>
      </c>
      <c r="J2805" s="11">
        <f>((Imput[[#This Row],[Sub total]])*(0.16))</f>
        <v>0</v>
      </c>
      <c r="K2805" s="11">
        <v>0</v>
      </c>
      <c r="L2805" s="169">
        <f>Imput[[#This Row],[Sub total]]+Imput[[#This Row],[IVA]]-Imput[[#This Row],[Retención / IEPS / Descuento]]</f>
        <v>0</v>
      </c>
      <c r="M2805" s="844">
        <v>0</v>
      </c>
      <c r="N2805" s="189"/>
      <c r="O2805" s="1"/>
      <c r="P2805" s="189"/>
      <c r="Q2805" s="190"/>
      <c r="R2805" s="188"/>
      <c r="S2805" s="193"/>
      <c r="T2805" s="192"/>
      <c r="U2805" s="829"/>
      <c r="V2805" s="10"/>
      <c r="W2805" s="10"/>
      <c r="X2805" s="10"/>
      <c r="Y2805" s="10"/>
      <c r="Z2805" s="10"/>
      <c r="AA2805" s="11"/>
      <c r="AB2805" s="11"/>
    </row>
    <row r="2806" spans="2:28" x14ac:dyDescent="0.3">
      <c r="B2806" s="10"/>
      <c r="C2806" s="315"/>
      <c r="D2806" s="868"/>
      <c r="E2806" s="837" t="str">
        <f>IFERROR(IF(_xlfn.XLOOKUP(Imput[[#This Row],[RFC]],'Alta Proveedor'!D:D,'Alta Proveedor'!E:E)=0,"",_xlfn.XLOOKUP(Imput[[#This Row],[RFC]],'Alta Proveedor'!D:D,'Alta Proveedor'!E:E)),"")</f>
        <v/>
      </c>
      <c r="F2806" s="832"/>
      <c r="G2806" s="187"/>
      <c r="H2806" s="1"/>
      <c r="I2806" s="169">
        <f>Imput[[#This Row],[Cantidad]]*Imput[[#This Row],[Precio Unitario]]</f>
        <v>0</v>
      </c>
      <c r="J2806" s="11">
        <f>((Imput[[#This Row],[Sub total]])*(0.16))</f>
        <v>0</v>
      </c>
      <c r="K2806" s="11">
        <v>0</v>
      </c>
      <c r="L2806" s="169">
        <f>Imput[[#This Row],[Sub total]]+Imput[[#This Row],[IVA]]-Imput[[#This Row],[Retención / IEPS / Descuento]]</f>
        <v>0</v>
      </c>
      <c r="M2806" s="844">
        <v>0</v>
      </c>
      <c r="N2806" s="189"/>
      <c r="O2806" s="1"/>
      <c r="P2806" s="189"/>
      <c r="Q2806" s="190"/>
      <c r="R2806" s="188"/>
      <c r="S2806" s="193"/>
      <c r="T2806" s="192"/>
      <c r="U2806" s="829"/>
      <c r="V2806" s="10"/>
      <c r="W2806" s="10"/>
      <c r="X2806" s="10"/>
      <c r="Y2806" s="10"/>
      <c r="Z2806" s="10"/>
      <c r="AA2806" s="11"/>
      <c r="AB2806" s="11"/>
    </row>
    <row r="2807" spans="2:28" x14ac:dyDescent="0.3">
      <c r="B2807" s="10"/>
      <c r="C2807" s="315"/>
      <c r="D2807" s="868"/>
      <c r="E2807" s="837" t="str">
        <f>IFERROR(IF(_xlfn.XLOOKUP(Imput[[#This Row],[RFC]],'Alta Proveedor'!D:D,'Alta Proveedor'!E:E)=0,"",_xlfn.XLOOKUP(Imput[[#This Row],[RFC]],'Alta Proveedor'!D:D,'Alta Proveedor'!E:E)),"")</f>
        <v/>
      </c>
      <c r="F2807" s="832"/>
      <c r="G2807" s="187"/>
      <c r="H2807" s="1"/>
      <c r="I2807" s="169">
        <f>Imput[[#This Row],[Cantidad]]*Imput[[#This Row],[Precio Unitario]]</f>
        <v>0</v>
      </c>
      <c r="J2807" s="11">
        <f>((Imput[[#This Row],[Sub total]])*(0.16))</f>
        <v>0</v>
      </c>
      <c r="K2807" s="11">
        <v>0</v>
      </c>
      <c r="L2807" s="169">
        <f>Imput[[#This Row],[Sub total]]+Imput[[#This Row],[IVA]]-Imput[[#This Row],[Retención / IEPS / Descuento]]</f>
        <v>0</v>
      </c>
      <c r="M2807" s="844">
        <v>0</v>
      </c>
      <c r="N2807" s="189"/>
      <c r="O2807" s="1"/>
      <c r="P2807" s="189"/>
      <c r="Q2807" s="190"/>
      <c r="R2807" s="188"/>
      <c r="S2807" s="193"/>
      <c r="T2807" s="192"/>
      <c r="U2807" s="829"/>
      <c r="V2807" s="10"/>
      <c r="W2807" s="10"/>
      <c r="X2807" s="10"/>
      <c r="Y2807" s="10"/>
      <c r="Z2807" s="10"/>
      <c r="AA2807" s="11"/>
      <c r="AB2807" s="11"/>
    </row>
    <row r="2808" spans="2:28" x14ac:dyDescent="0.3">
      <c r="B2808" s="10"/>
      <c r="C2808" s="315"/>
      <c r="D2808" s="868"/>
      <c r="E2808" s="837" t="str">
        <f>IFERROR(IF(_xlfn.XLOOKUP(Imput[[#This Row],[RFC]],'Alta Proveedor'!D:D,'Alta Proveedor'!E:E)=0,"",_xlfn.XLOOKUP(Imput[[#This Row],[RFC]],'Alta Proveedor'!D:D,'Alta Proveedor'!E:E)),"")</f>
        <v/>
      </c>
      <c r="F2808" s="832"/>
      <c r="G2808" s="187"/>
      <c r="H2808" s="1"/>
      <c r="I2808" s="169">
        <f>Imput[[#This Row],[Cantidad]]*Imput[[#This Row],[Precio Unitario]]</f>
        <v>0</v>
      </c>
      <c r="J2808" s="11">
        <f>((Imput[[#This Row],[Sub total]])*(0.16))</f>
        <v>0</v>
      </c>
      <c r="K2808" s="11">
        <v>0</v>
      </c>
      <c r="L2808" s="169">
        <f>Imput[[#This Row],[Sub total]]+Imput[[#This Row],[IVA]]-Imput[[#This Row],[Retención / IEPS / Descuento]]</f>
        <v>0</v>
      </c>
      <c r="M2808" s="844">
        <v>0</v>
      </c>
      <c r="N2808" s="189"/>
      <c r="O2808" s="1"/>
      <c r="P2808" s="189"/>
      <c r="Q2808" s="190"/>
      <c r="R2808" s="188"/>
      <c r="S2808" s="193"/>
      <c r="T2808" s="192"/>
      <c r="U2808" s="829"/>
      <c r="V2808" s="10"/>
      <c r="W2808" s="10"/>
      <c r="X2808" s="10"/>
      <c r="Y2808" s="10"/>
      <c r="Z2808" s="10"/>
      <c r="AA2808" s="11"/>
      <c r="AB2808" s="11"/>
    </row>
    <row r="2809" spans="2:28" x14ac:dyDescent="0.3">
      <c r="B2809" s="10"/>
      <c r="C2809" s="315"/>
      <c r="D2809" s="868"/>
      <c r="E2809" s="837" t="str">
        <f>IFERROR(IF(_xlfn.XLOOKUP(Imput[[#This Row],[RFC]],'Alta Proveedor'!D:D,'Alta Proveedor'!E:E)=0,"",_xlfn.XLOOKUP(Imput[[#This Row],[RFC]],'Alta Proveedor'!D:D,'Alta Proveedor'!E:E)),"")</f>
        <v/>
      </c>
      <c r="F2809" s="832"/>
      <c r="G2809" s="187"/>
      <c r="H2809" s="1"/>
      <c r="I2809" s="169">
        <f>Imput[[#This Row],[Cantidad]]*Imput[[#This Row],[Precio Unitario]]</f>
        <v>0</v>
      </c>
      <c r="J2809" s="11">
        <f>((Imput[[#This Row],[Sub total]])*(0.16))</f>
        <v>0</v>
      </c>
      <c r="K2809" s="11">
        <v>0</v>
      </c>
      <c r="L2809" s="169">
        <f>Imput[[#This Row],[Sub total]]+Imput[[#This Row],[IVA]]-Imput[[#This Row],[Retención / IEPS / Descuento]]</f>
        <v>0</v>
      </c>
      <c r="M2809" s="844">
        <v>0</v>
      </c>
      <c r="N2809" s="189"/>
      <c r="O2809" s="1"/>
      <c r="P2809" s="189"/>
      <c r="Q2809" s="190"/>
      <c r="R2809" s="188"/>
      <c r="S2809" s="193"/>
      <c r="T2809" s="192"/>
      <c r="U2809" s="829"/>
      <c r="V2809" s="10"/>
      <c r="W2809" s="10"/>
      <c r="X2809" s="10"/>
      <c r="Y2809" s="10"/>
      <c r="Z2809" s="10"/>
      <c r="AA2809" s="11"/>
      <c r="AB2809" s="11"/>
    </row>
    <row r="2810" spans="2:28" x14ac:dyDescent="0.3">
      <c r="B2810" s="10"/>
      <c r="C2810" s="315"/>
      <c r="D2810" s="868"/>
      <c r="E2810" s="837" t="str">
        <f>IFERROR(IF(_xlfn.XLOOKUP(Imput[[#This Row],[RFC]],'Alta Proveedor'!D:D,'Alta Proveedor'!E:E)=0,"",_xlfn.XLOOKUP(Imput[[#This Row],[RFC]],'Alta Proveedor'!D:D,'Alta Proveedor'!E:E)),"")</f>
        <v/>
      </c>
      <c r="F2810" s="832"/>
      <c r="G2810" s="187"/>
      <c r="H2810" s="1"/>
      <c r="I2810" s="169">
        <f>Imput[[#This Row],[Cantidad]]*Imput[[#This Row],[Precio Unitario]]</f>
        <v>0</v>
      </c>
      <c r="J2810" s="11">
        <f>((Imput[[#This Row],[Sub total]])*(0.16))</f>
        <v>0</v>
      </c>
      <c r="K2810" s="11">
        <v>0</v>
      </c>
      <c r="L2810" s="169">
        <f>Imput[[#This Row],[Sub total]]+Imput[[#This Row],[IVA]]-Imput[[#This Row],[Retención / IEPS / Descuento]]</f>
        <v>0</v>
      </c>
      <c r="M2810" s="844">
        <v>0</v>
      </c>
      <c r="N2810" s="189"/>
      <c r="O2810" s="1"/>
      <c r="P2810" s="189"/>
      <c r="Q2810" s="190"/>
      <c r="R2810" s="188"/>
      <c r="S2810" s="193"/>
      <c r="T2810" s="192"/>
      <c r="U2810" s="829"/>
      <c r="V2810" s="10"/>
      <c r="W2810" s="10"/>
      <c r="X2810" s="10"/>
      <c r="Y2810" s="10"/>
      <c r="Z2810" s="10"/>
      <c r="AA2810" s="11"/>
      <c r="AB2810" s="11"/>
    </row>
    <row r="2811" spans="2:28" x14ac:dyDescent="0.3">
      <c r="B2811" s="10"/>
      <c r="C2811" s="315"/>
      <c r="D2811" s="868"/>
      <c r="E2811" s="837" t="str">
        <f>IFERROR(IF(_xlfn.XLOOKUP(Imput[[#This Row],[RFC]],'Alta Proveedor'!D:D,'Alta Proveedor'!E:E)=0,"",_xlfn.XLOOKUP(Imput[[#This Row],[RFC]],'Alta Proveedor'!D:D,'Alta Proveedor'!E:E)),"")</f>
        <v/>
      </c>
      <c r="F2811" s="832"/>
      <c r="G2811" s="187"/>
      <c r="H2811" s="1"/>
      <c r="I2811" s="169">
        <f>Imput[[#This Row],[Cantidad]]*Imput[[#This Row],[Precio Unitario]]</f>
        <v>0</v>
      </c>
      <c r="J2811" s="11">
        <f>((Imput[[#This Row],[Sub total]])*(0.16))</f>
        <v>0</v>
      </c>
      <c r="K2811" s="11">
        <v>0</v>
      </c>
      <c r="L2811" s="169">
        <f>Imput[[#This Row],[Sub total]]+Imput[[#This Row],[IVA]]-Imput[[#This Row],[Retención / IEPS / Descuento]]</f>
        <v>0</v>
      </c>
      <c r="M2811" s="844">
        <v>0</v>
      </c>
      <c r="N2811" s="189"/>
      <c r="O2811" s="1"/>
      <c r="P2811" s="189"/>
      <c r="Q2811" s="190"/>
      <c r="R2811" s="188"/>
      <c r="S2811" s="193"/>
      <c r="T2811" s="192"/>
      <c r="U2811" s="829"/>
      <c r="V2811" s="10"/>
      <c r="W2811" s="10"/>
      <c r="X2811" s="10"/>
      <c r="Y2811" s="10"/>
      <c r="Z2811" s="10"/>
      <c r="AA2811" s="11"/>
      <c r="AB2811" s="11"/>
    </row>
    <row r="2812" spans="2:28" x14ac:dyDescent="0.3">
      <c r="B2812" s="10"/>
      <c r="C2812" s="315"/>
      <c r="D2812" s="868"/>
      <c r="E2812" s="837" t="str">
        <f>IFERROR(IF(_xlfn.XLOOKUP(Imput[[#This Row],[RFC]],'Alta Proveedor'!D:D,'Alta Proveedor'!E:E)=0,"",_xlfn.XLOOKUP(Imput[[#This Row],[RFC]],'Alta Proveedor'!D:D,'Alta Proveedor'!E:E)),"")</f>
        <v/>
      </c>
      <c r="F2812" s="832"/>
      <c r="G2812" s="187"/>
      <c r="H2812" s="1"/>
      <c r="I2812" s="169">
        <f>Imput[[#This Row],[Cantidad]]*Imput[[#This Row],[Precio Unitario]]</f>
        <v>0</v>
      </c>
      <c r="J2812" s="11">
        <f>((Imput[[#This Row],[Sub total]])*(0.16))</f>
        <v>0</v>
      </c>
      <c r="K2812" s="11">
        <v>0</v>
      </c>
      <c r="L2812" s="169">
        <f>Imput[[#This Row],[Sub total]]+Imput[[#This Row],[IVA]]-Imput[[#This Row],[Retención / IEPS / Descuento]]</f>
        <v>0</v>
      </c>
      <c r="M2812" s="844">
        <v>0</v>
      </c>
      <c r="N2812" s="189"/>
      <c r="O2812" s="1"/>
      <c r="P2812" s="189"/>
      <c r="Q2812" s="190"/>
      <c r="R2812" s="188"/>
      <c r="S2812" s="193"/>
      <c r="T2812" s="192"/>
      <c r="U2812" s="829"/>
      <c r="V2812" s="10"/>
      <c r="W2812" s="10"/>
      <c r="X2812" s="10"/>
      <c r="Y2812" s="10"/>
      <c r="Z2812" s="10"/>
      <c r="AA2812" s="11"/>
      <c r="AB2812" s="11"/>
    </row>
    <row r="2813" spans="2:28" x14ac:dyDescent="0.3">
      <c r="B2813" s="10"/>
      <c r="C2813" s="315"/>
      <c r="D2813" s="868"/>
      <c r="E2813" s="837" t="str">
        <f>IFERROR(IF(_xlfn.XLOOKUP(Imput[[#This Row],[RFC]],'Alta Proveedor'!D:D,'Alta Proveedor'!E:E)=0,"",_xlfn.XLOOKUP(Imput[[#This Row],[RFC]],'Alta Proveedor'!D:D,'Alta Proveedor'!E:E)),"")</f>
        <v/>
      </c>
      <c r="F2813" s="832"/>
      <c r="G2813" s="187"/>
      <c r="H2813" s="1"/>
      <c r="I2813" s="169">
        <f>Imput[[#This Row],[Cantidad]]*Imput[[#This Row],[Precio Unitario]]</f>
        <v>0</v>
      </c>
      <c r="J2813" s="11">
        <f>((Imput[[#This Row],[Sub total]])*(0.16))</f>
        <v>0</v>
      </c>
      <c r="K2813" s="11">
        <v>0</v>
      </c>
      <c r="L2813" s="169">
        <f>Imput[[#This Row],[Sub total]]+Imput[[#This Row],[IVA]]-Imput[[#This Row],[Retención / IEPS / Descuento]]</f>
        <v>0</v>
      </c>
      <c r="M2813" s="844">
        <v>0</v>
      </c>
      <c r="N2813" s="189"/>
      <c r="O2813" s="1"/>
      <c r="P2813" s="189"/>
      <c r="Q2813" s="190"/>
      <c r="R2813" s="188"/>
      <c r="S2813" s="193"/>
      <c r="T2813" s="192"/>
      <c r="U2813" s="829"/>
      <c r="V2813" s="10"/>
      <c r="W2813" s="10"/>
      <c r="X2813" s="10"/>
      <c r="Y2813" s="10"/>
      <c r="Z2813" s="10"/>
      <c r="AA2813" s="11"/>
      <c r="AB2813" s="11"/>
    </row>
    <row r="2814" spans="2:28" x14ac:dyDescent="0.3">
      <c r="B2814" s="10"/>
      <c r="C2814" s="315"/>
      <c r="D2814" s="868"/>
      <c r="E2814" s="837" t="str">
        <f>IFERROR(IF(_xlfn.XLOOKUP(Imput[[#This Row],[RFC]],'Alta Proveedor'!D:D,'Alta Proveedor'!E:E)=0,"",_xlfn.XLOOKUP(Imput[[#This Row],[RFC]],'Alta Proveedor'!D:D,'Alta Proveedor'!E:E)),"")</f>
        <v/>
      </c>
      <c r="F2814" s="832"/>
      <c r="G2814" s="187"/>
      <c r="H2814" s="1"/>
      <c r="I2814" s="169">
        <f>Imput[[#This Row],[Cantidad]]*Imput[[#This Row],[Precio Unitario]]</f>
        <v>0</v>
      </c>
      <c r="J2814" s="11">
        <f>((Imput[[#This Row],[Sub total]])*(0.16))</f>
        <v>0</v>
      </c>
      <c r="K2814" s="11">
        <v>0</v>
      </c>
      <c r="L2814" s="169">
        <f>Imput[[#This Row],[Sub total]]+Imput[[#This Row],[IVA]]-Imput[[#This Row],[Retención / IEPS / Descuento]]</f>
        <v>0</v>
      </c>
      <c r="M2814" s="844">
        <v>0</v>
      </c>
      <c r="N2814" s="189"/>
      <c r="O2814" s="1"/>
      <c r="P2814" s="189"/>
      <c r="Q2814" s="190"/>
      <c r="R2814" s="188"/>
      <c r="S2814" s="193"/>
      <c r="T2814" s="192"/>
      <c r="U2814" s="829"/>
      <c r="V2814" s="10"/>
      <c r="W2814" s="10"/>
      <c r="X2814" s="10"/>
      <c r="Y2814" s="10"/>
      <c r="Z2814" s="10"/>
      <c r="AA2814" s="11"/>
      <c r="AB2814" s="11"/>
    </row>
    <row r="2815" spans="2:28" x14ac:dyDescent="0.3">
      <c r="B2815" s="10"/>
      <c r="C2815" s="315"/>
      <c r="D2815" s="868"/>
      <c r="E2815" s="837" t="str">
        <f>IFERROR(IF(_xlfn.XLOOKUP(Imput[[#This Row],[RFC]],'Alta Proveedor'!D:D,'Alta Proveedor'!E:E)=0,"",_xlfn.XLOOKUP(Imput[[#This Row],[RFC]],'Alta Proveedor'!D:D,'Alta Proveedor'!E:E)),"")</f>
        <v/>
      </c>
      <c r="F2815" s="832"/>
      <c r="G2815" s="187"/>
      <c r="H2815" s="1"/>
      <c r="I2815" s="169">
        <f>Imput[[#This Row],[Cantidad]]*Imput[[#This Row],[Precio Unitario]]</f>
        <v>0</v>
      </c>
      <c r="J2815" s="11">
        <f>((Imput[[#This Row],[Sub total]])*(0.16))</f>
        <v>0</v>
      </c>
      <c r="K2815" s="11">
        <v>0</v>
      </c>
      <c r="L2815" s="169">
        <f>Imput[[#This Row],[Sub total]]+Imput[[#This Row],[IVA]]-Imput[[#This Row],[Retención / IEPS / Descuento]]</f>
        <v>0</v>
      </c>
      <c r="M2815" s="844">
        <v>0</v>
      </c>
      <c r="N2815" s="189"/>
      <c r="O2815" s="1"/>
      <c r="P2815" s="189"/>
      <c r="Q2815" s="190"/>
      <c r="R2815" s="188"/>
      <c r="S2815" s="193"/>
      <c r="T2815" s="192"/>
      <c r="U2815" s="829"/>
      <c r="V2815" s="10"/>
      <c r="W2815" s="10"/>
      <c r="X2815" s="10"/>
      <c r="Y2815" s="10"/>
      <c r="Z2815" s="10"/>
      <c r="AA2815" s="11"/>
      <c r="AB2815" s="11"/>
    </row>
    <row r="2816" spans="2:28" x14ac:dyDescent="0.3">
      <c r="B2816" s="10"/>
      <c r="C2816" s="315"/>
      <c r="D2816" s="868"/>
      <c r="E2816" s="837" t="str">
        <f>IFERROR(IF(_xlfn.XLOOKUP(Imput[[#This Row],[RFC]],'Alta Proveedor'!D:D,'Alta Proveedor'!E:E)=0,"",_xlfn.XLOOKUP(Imput[[#This Row],[RFC]],'Alta Proveedor'!D:D,'Alta Proveedor'!E:E)),"")</f>
        <v/>
      </c>
      <c r="F2816" s="832"/>
      <c r="G2816" s="187"/>
      <c r="H2816" s="1"/>
      <c r="I2816" s="169">
        <f>Imput[[#This Row],[Cantidad]]*Imput[[#This Row],[Precio Unitario]]</f>
        <v>0</v>
      </c>
      <c r="J2816" s="11">
        <f>((Imput[[#This Row],[Sub total]])*(0.16))</f>
        <v>0</v>
      </c>
      <c r="K2816" s="11">
        <v>0</v>
      </c>
      <c r="L2816" s="169">
        <f>Imput[[#This Row],[Sub total]]+Imput[[#This Row],[IVA]]-Imput[[#This Row],[Retención / IEPS / Descuento]]</f>
        <v>0</v>
      </c>
      <c r="M2816" s="844">
        <v>0</v>
      </c>
      <c r="N2816" s="189"/>
      <c r="O2816" s="1"/>
      <c r="P2816" s="189"/>
      <c r="Q2816" s="190"/>
      <c r="R2816" s="188"/>
      <c r="S2816" s="193"/>
      <c r="T2816" s="192"/>
      <c r="U2816" s="829"/>
      <c r="V2816" s="10"/>
      <c r="W2816" s="10"/>
      <c r="X2816" s="10"/>
      <c r="Y2816" s="10"/>
      <c r="Z2816" s="10"/>
      <c r="AA2816" s="11"/>
      <c r="AB2816" s="11"/>
    </row>
    <row r="2817" spans="2:28" x14ac:dyDescent="0.3">
      <c r="B2817" s="10"/>
      <c r="C2817" s="315"/>
      <c r="D2817" s="868"/>
      <c r="E2817" s="837" t="str">
        <f>IFERROR(IF(_xlfn.XLOOKUP(Imput[[#This Row],[RFC]],'Alta Proveedor'!D:D,'Alta Proveedor'!E:E)=0,"",_xlfn.XLOOKUP(Imput[[#This Row],[RFC]],'Alta Proveedor'!D:D,'Alta Proveedor'!E:E)),"")</f>
        <v/>
      </c>
      <c r="F2817" s="832"/>
      <c r="G2817" s="187"/>
      <c r="H2817" s="1"/>
      <c r="I2817" s="169">
        <f>Imput[[#This Row],[Cantidad]]*Imput[[#This Row],[Precio Unitario]]</f>
        <v>0</v>
      </c>
      <c r="J2817" s="11">
        <f>((Imput[[#This Row],[Sub total]])*(0.16))</f>
        <v>0</v>
      </c>
      <c r="K2817" s="11">
        <v>0</v>
      </c>
      <c r="L2817" s="169">
        <f>Imput[[#This Row],[Sub total]]+Imput[[#This Row],[IVA]]-Imput[[#This Row],[Retención / IEPS / Descuento]]</f>
        <v>0</v>
      </c>
      <c r="M2817" s="844">
        <v>0</v>
      </c>
      <c r="N2817" s="189"/>
      <c r="O2817" s="1"/>
      <c r="P2817" s="189"/>
      <c r="Q2817" s="190"/>
      <c r="R2817" s="188"/>
      <c r="S2817" s="193"/>
      <c r="T2817" s="192"/>
      <c r="U2817" s="829"/>
      <c r="V2817" s="10"/>
      <c r="W2817" s="10"/>
      <c r="X2817" s="10"/>
      <c r="Y2817" s="10"/>
      <c r="Z2817" s="10"/>
      <c r="AA2817" s="11"/>
      <c r="AB2817" s="11"/>
    </row>
    <row r="2818" spans="2:28" x14ac:dyDescent="0.3">
      <c r="B2818" s="10"/>
      <c r="C2818" s="315"/>
      <c r="D2818" s="868"/>
      <c r="E2818" s="837" t="str">
        <f>IFERROR(IF(_xlfn.XLOOKUP(Imput[[#This Row],[RFC]],'Alta Proveedor'!D:D,'Alta Proveedor'!E:E)=0,"",_xlfn.XLOOKUP(Imput[[#This Row],[RFC]],'Alta Proveedor'!D:D,'Alta Proveedor'!E:E)),"")</f>
        <v/>
      </c>
      <c r="F2818" s="832"/>
      <c r="G2818" s="187"/>
      <c r="H2818" s="1"/>
      <c r="I2818" s="169">
        <f>Imput[[#This Row],[Cantidad]]*Imput[[#This Row],[Precio Unitario]]</f>
        <v>0</v>
      </c>
      <c r="J2818" s="11">
        <f>((Imput[[#This Row],[Sub total]])*(0.16))</f>
        <v>0</v>
      </c>
      <c r="K2818" s="11">
        <v>0</v>
      </c>
      <c r="L2818" s="169">
        <f>Imput[[#This Row],[Sub total]]+Imput[[#This Row],[IVA]]-Imput[[#This Row],[Retención / IEPS / Descuento]]</f>
        <v>0</v>
      </c>
      <c r="M2818" s="844">
        <v>0</v>
      </c>
      <c r="N2818" s="189"/>
      <c r="O2818" s="1"/>
      <c r="P2818" s="189"/>
      <c r="Q2818" s="190"/>
      <c r="R2818" s="188"/>
      <c r="S2818" s="193"/>
      <c r="T2818" s="192"/>
      <c r="U2818" s="829"/>
      <c r="V2818" s="10"/>
      <c r="W2818" s="10"/>
      <c r="X2818" s="10"/>
      <c r="Y2818" s="10"/>
      <c r="Z2818" s="10"/>
      <c r="AA2818" s="11"/>
      <c r="AB2818" s="11"/>
    </row>
    <row r="2819" spans="2:28" x14ac:dyDescent="0.3">
      <c r="B2819" s="10"/>
      <c r="C2819" s="315"/>
      <c r="D2819" s="868"/>
      <c r="E2819" s="837" t="str">
        <f>IFERROR(IF(_xlfn.XLOOKUP(Imput[[#This Row],[RFC]],'Alta Proveedor'!D:D,'Alta Proveedor'!E:E)=0,"",_xlfn.XLOOKUP(Imput[[#This Row],[RFC]],'Alta Proveedor'!D:D,'Alta Proveedor'!E:E)),"")</f>
        <v/>
      </c>
      <c r="F2819" s="832"/>
      <c r="G2819" s="187"/>
      <c r="H2819" s="1"/>
      <c r="I2819" s="169">
        <f>Imput[[#This Row],[Cantidad]]*Imput[[#This Row],[Precio Unitario]]</f>
        <v>0</v>
      </c>
      <c r="J2819" s="11">
        <f>((Imput[[#This Row],[Sub total]])*(0.16))</f>
        <v>0</v>
      </c>
      <c r="K2819" s="11">
        <v>0</v>
      </c>
      <c r="L2819" s="169">
        <f>Imput[[#This Row],[Sub total]]+Imput[[#This Row],[IVA]]-Imput[[#This Row],[Retención / IEPS / Descuento]]</f>
        <v>0</v>
      </c>
      <c r="M2819" s="844">
        <v>0</v>
      </c>
      <c r="N2819" s="189"/>
      <c r="O2819" s="1"/>
      <c r="P2819" s="189"/>
      <c r="Q2819" s="190"/>
      <c r="R2819" s="188"/>
      <c r="S2819" s="193"/>
      <c r="T2819" s="192"/>
      <c r="U2819" s="829"/>
      <c r="V2819" s="10"/>
      <c r="W2819" s="10"/>
      <c r="X2819" s="10"/>
      <c r="Y2819" s="10"/>
      <c r="Z2819" s="10"/>
      <c r="AA2819" s="11"/>
      <c r="AB2819" s="11"/>
    </row>
    <row r="2820" spans="2:28" x14ac:dyDescent="0.3">
      <c r="B2820" s="10"/>
      <c r="C2820" s="315"/>
      <c r="D2820" s="868"/>
      <c r="E2820" s="837" t="str">
        <f>IFERROR(IF(_xlfn.XLOOKUP(Imput[[#This Row],[RFC]],'Alta Proveedor'!D:D,'Alta Proveedor'!E:E)=0,"",_xlfn.XLOOKUP(Imput[[#This Row],[RFC]],'Alta Proveedor'!D:D,'Alta Proveedor'!E:E)),"")</f>
        <v/>
      </c>
      <c r="F2820" s="832"/>
      <c r="G2820" s="187"/>
      <c r="H2820" s="1"/>
      <c r="I2820" s="169">
        <f>Imput[[#This Row],[Cantidad]]*Imput[[#This Row],[Precio Unitario]]</f>
        <v>0</v>
      </c>
      <c r="J2820" s="11">
        <f>((Imput[[#This Row],[Sub total]])*(0.16))</f>
        <v>0</v>
      </c>
      <c r="K2820" s="11">
        <v>0</v>
      </c>
      <c r="L2820" s="169">
        <f>Imput[[#This Row],[Sub total]]+Imput[[#This Row],[IVA]]-Imput[[#This Row],[Retención / IEPS / Descuento]]</f>
        <v>0</v>
      </c>
      <c r="M2820" s="844">
        <v>0</v>
      </c>
      <c r="N2820" s="189"/>
      <c r="O2820" s="1"/>
      <c r="P2820" s="189"/>
      <c r="Q2820" s="190"/>
      <c r="R2820" s="188"/>
      <c r="S2820" s="193"/>
      <c r="T2820" s="192"/>
      <c r="U2820" s="829"/>
      <c r="V2820" s="10"/>
      <c r="W2820" s="10"/>
      <c r="X2820" s="10"/>
      <c r="Y2820" s="10"/>
      <c r="Z2820" s="10"/>
      <c r="AA2820" s="11"/>
      <c r="AB2820" s="11"/>
    </row>
    <row r="2821" spans="2:28" x14ac:dyDescent="0.3">
      <c r="B2821" s="10"/>
      <c r="C2821" s="315"/>
      <c r="D2821" s="868"/>
      <c r="E2821" s="837" t="str">
        <f>IFERROR(IF(_xlfn.XLOOKUP(Imput[[#This Row],[RFC]],'Alta Proveedor'!D:D,'Alta Proveedor'!E:E)=0,"",_xlfn.XLOOKUP(Imput[[#This Row],[RFC]],'Alta Proveedor'!D:D,'Alta Proveedor'!E:E)),"")</f>
        <v/>
      </c>
      <c r="F2821" s="832"/>
      <c r="G2821" s="187"/>
      <c r="H2821" s="1"/>
      <c r="I2821" s="169">
        <f>Imput[[#This Row],[Cantidad]]*Imput[[#This Row],[Precio Unitario]]</f>
        <v>0</v>
      </c>
      <c r="J2821" s="11">
        <f>((Imput[[#This Row],[Sub total]])*(0.16))</f>
        <v>0</v>
      </c>
      <c r="K2821" s="11">
        <v>0</v>
      </c>
      <c r="L2821" s="169">
        <f>Imput[[#This Row],[Sub total]]+Imput[[#This Row],[IVA]]-Imput[[#This Row],[Retención / IEPS / Descuento]]</f>
        <v>0</v>
      </c>
      <c r="M2821" s="844">
        <v>0</v>
      </c>
      <c r="N2821" s="189"/>
      <c r="O2821" s="1"/>
      <c r="P2821" s="189"/>
      <c r="Q2821" s="190"/>
      <c r="R2821" s="188"/>
      <c r="S2821" s="193"/>
      <c r="T2821" s="192"/>
      <c r="U2821" s="829"/>
      <c r="V2821" s="10"/>
      <c r="W2821" s="10"/>
      <c r="X2821" s="10"/>
      <c r="Y2821" s="10"/>
      <c r="Z2821" s="10"/>
      <c r="AA2821" s="11"/>
      <c r="AB2821" s="11"/>
    </row>
    <row r="2822" spans="2:28" x14ac:dyDescent="0.3">
      <c r="B2822" s="10"/>
      <c r="C2822" s="315"/>
      <c r="D2822" s="868"/>
      <c r="E2822" s="837" t="str">
        <f>IFERROR(IF(_xlfn.XLOOKUP(Imput[[#This Row],[RFC]],'Alta Proveedor'!D:D,'Alta Proveedor'!E:E)=0,"",_xlfn.XLOOKUP(Imput[[#This Row],[RFC]],'Alta Proveedor'!D:D,'Alta Proveedor'!E:E)),"")</f>
        <v/>
      </c>
      <c r="F2822" s="832"/>
      <c r="G2822" s="187"/>
      <c r="H2822" s="1"/>
      <c r="I2822" s="169">
        <f>Imput[[#This Row],[Cantidad]]*Imput[[#This Row],[Precio Unitario]]</f>
        <v>0</v>
      </c>
      <c r="J2822" s="11">
        <f>((Imput[[#This Row],[Sub total]])*(0.16))</f>
        <v>0</v>
      </c>
      <c r="K2822" s="11">
        <v>0</v>
      </c>
      <c r="L2822" s="169">
        <f>Imput[[#This Row],[Sub total]]+Imput[[#This Row],[IVA]]-Imput[[#This Row],[Retención / IEPS / Descuento]]</f>
        <v>0</v>
      </c>
      <c r="M2822" s="844">
        <v>0</v>
      </c>
      <c r="N2822" s="189"/>
      <c r="O2822" s="1"/>
      <c r="P2822" s="189"/>
      <c r="Q2822" s="190"/>
      <c r="R2822" s="188"/>
      <c r="S2822" s="193"/>
      <c r="T2822" s="192"/>
      <c r="U2822" s="829"/>
      <c r="V2822" s="10"/>
      <c r="W2822" s="10"/>
      <c r="X2822" s="10"/>
      <c r="Y2822" s="10"/>
      <c r="Z2822" s="10"/>
      <c r="AA2822" s="11"/>
      <c r="AB2822" s="11"/>
    </row>
    <row r="2823" spans="2:28" x14ac:dyDescent="0.3">
      <c r="B2823" s="10"/>
      <c r="C2823" s="315"/>
      <c r="D2823" s="868"/>
      <c r="E2823" s="837" t="str">
        <f>IFERROR(IF(_xlfn.XLOOKUP(Imput[[#This Row],[RFC]],'Alta Proveedor'!D:D,'Alta Proveedor'!E:E)=0,"",_xlfn.XLOOKUP(Imput[[#This Row],[RFC]],'Alta Proveedor'!D:D,'Alta Proveedor'!E:E)),"")</f>
        <v/>
      </c>
      <c r="F2823" s="832"/>
      <c r="G2823" s="187"/>
      <c r="H2823" s="1"/>
      <c r="I2823" s="169">
        <f>Imput[[#This Row],[Cantidad]]*Imput[[#This Row],[Precio Unitario]]</f>
        <v>0</v>
      </c>
      <c r="J2823" s="11">
        <f>((Imput[[#This Row],[Sub total]])*(0.16))</f>
        <v>0</v>
      </c>
      <c r="K2823" s="11">
        <v>0</v>
      </c>
      <c r="L2823" s="169">
        <f>Imput[[#This Row],[Sub total]]+Imput[[#This Row],[IVA]]-Imput[[#This Row],[Retención / IEPS / Descuento]]</f>
        <v>0</v>
      </c>
      <c r="M2823" s="844">
        <v>0</v>
      </c>
      <c r="N2823" s="189"/>
      <c r="O2823" s="1"/>
      <c r="P2823" s="189"/>
      <c r="Q2823" s="190"/>
      <c r="R2823" s="188"/>
      <c r="S2823" s="193"/>
      <c r="T2823" s="192"/>
      <c r="U2823" s="829"/>
      <c r="V2823" s="10"/>
      <c r="W2823" s="10"/>
      <c r="X2823" s="10"/>
      <c r="Y2823" s="10"/>
      <c r="Z2823" s="10"/>
      <c r="AA2823" s="11"/>
      <c r="AB2823" s="11"/>
    </row>
    <row r="2824" spans="2:28" x14ac:dyDescent="0.3">
      <c r="B2824" s="10"/>
      <c r="C2824" s="315"/>
      <c r="D2824" s="868"/>
      <c r="E2824" s="837" t="str">
        <f>IFERROR(IF(_xlfn.XLOOKUP(Imput[[#This Row],[RFC]],'Alta Proveedor'!D:D,'Alta Proveedor'!E:E)=0,"",_xlfn.XLOOKUP(Imput[[#This Row],[RFC]],'Alta Proveedor'!D:D,'Alta Proveedor'!E:E)),"")</f>
        <v/>
      </c>
      <c r="F2824" s="832"/>
      <c r="G2824" s="187"/>
      <c r="H2824" s="1"/>
      <c r="I2824" s="169">
        <f>Imput[[#This Row],[Cantidad]]*Imput[[#This Row],[Precio Unitario]]</f>
        <v>0</v>
      </c>
      <c r="J2824" s="11">
        <f>((Imput[[#This Row],[Sub total]])*(0.16))</f>
        <v>0</v>
      </c>
      <c r="K2824" s="11">
        <v>0</v>
      </c>
      <c r="L2824" s="169">
        <f>Imput[[#This Row],[Sub total]]+Imput[[#This Row],[IVA]]-Imput[[#This Row],[Retención / IEPS / Descuento]]</f>
        <v>0</v>
      </c>
      <c r="M2824" s="844">
        <v>0</v>
      </c>
      <c r="N2824" s="189"/>
      <c r="O2824" s="1"/>
      <c r="P2824" s="189"/>
      <c r="Q2824" s="190"/>
      <c r="R2824" s="188"/>
      <c r="S2824" s="193"/>
      <c r="T2824" s="192"/>
      <c r="U2824" s="829"/>
      <c r="V2824" s="10"/>
      <c r="W2824" s="10"/>
      <c r="X2824" s="10"/>
      <c r="Y2824" s="10"/>
      <c r="Z2824" s="10"/>
      <c r="AA2824" s="11"/>
      <c r="AB2824" s="11"/>
    </row>
    <row r="2825" spans="2:28" x14ac:dyDescent="0.3">
      <c r="B2825" s="10"/>
      <c r="C2825" s="315"/>
      <c r="D2825" s="868"/>
      <c r="E2825" s="837" t="str">
        <f>IFERROR(IF(_xlfn.XLOOKUP(Imput[[#This Row],[RFC]],'Alta Proveedor'!D:D,'Alta Proveedor'!E:E)=0,"",_xlfn.XLOOKUP(Imput[[#This Row],[RFC]],'Alta Proveedor'!D:D,'Alta Proveedor'!E:E)),"")</f>
        <v/>
      </c>
      <c r="F2825" s="832"/>
      <c r="G2825" s="187"/>
      <c r="H2825" s="1"/>
      <c r="I2825" s="169">
        <f>Imput[[#This Row],[Cantidad]]*Imput[[#This Row],[Precio Unitario]]</f>
        <v>0</v>
      </c>
      <c r="J2825" s="11">
        <f>((Imput[[#This Row],[Sub total]])*(0.16))</f>
        <v>0</v>
      </c>
      <c r="K2825" s="11">
        <v>0</v>
      </c>
      <c r="L2825" s="169">
        <f>Imput[[#This Row],[Sub total]]+Imput[[#This Row],[IVA]]-Imput[[#This Row],[Retención / IEPS / Descuento]]</f>
        <v>0</v>
      </c>
      <c r="M2825" s="844">
        <v>0</v>
      </c>
      <c r="N2825" s="189"/>
      <c r="O2825" s="1"/>
      <c r="P2825" s="189"/>
      <c r="Q2825" s="190"/>
      <c r="R2825" s="188"/>
      <c r="S2825" s="193"/>
      <c r="T2825" s="192"/>
      <c r="U2825" s="829"/>
      <c r="V2825" s="10"/>
      <c r="W2825" s="10"/>
      <c r="X2825" s="10"/>
      <c r="Y2825" s="10"/>
      <c r="Z2825" s="10"/>
      <c r="AA2825" s="11"/>
      <c r="AB2825" s="11"/>
    </row>
    <row r="2826" spans="2:28" x14ac:dyDescent="0.3">
      <c r="B2826" s="10"/>
      <c r="C2826" s="315"/>
      <c r="D2826" s="868"/>
      <c r="E2826" s="837" t="str">
        <f>IFERROR(IF(_xlfn.XLOOKUP(Imput[[#This Row],[RFC]],'Alta Proveedor'!D:D,'Alta Proveedor'!E:E)=0,"",_xlfn.XLOOKUP(Imput[[#This Row],[RFC]],'Alta Proveedor'!D:D,'Alta Proveedor'!E:E)),"")</f>
        <v/>
      </c>
      <c r="F2826" s="832"/>
      <c r="G2826" s="187"/>
      <c r="H2826" s="1"/>
      <c r="I2826" s="169">
        <f>Imput[[#This Row],[Cantidad]]*Imput[[#This Row],[Precio Unitario]]</f>
        <v>0</v>
      </c>
      <c r="J2826" s="11">
        <f>((Imput[[#This Row],[Sub total]])*(0.16))</f>
        <v>0</v>
      </c>
      <c r="K2826" s="11">
        <v>0</v>
      </c>
      <c r="L2826" s="169">
        <f>Imput[[#This Row],[Sub total]]+Imput[[#This Row],[IVA]]-Imput[[#This Row],[Retención / IEPS / Descuento]]</f>
        <v>0</v>
      </c>
      <c r="M2826" s="844">
        <v>0</v>
      </c>
      <c r="N2826" s="189"/>
      <c r="O2826" s="1"/>
      <c r="P2826" s="189"/>
      <c r="Q2826" s="190"/>
      <c r="R2826" s="188"/>
      <c r="S2826" s="193"/>
      <c r="T2826" s="192"/>
      <c r="U2826" s="829"/>
      <c r="V2826" s="10"/>
      <c r="W2826" s="10"/>
      <c r="X2826" s="10"/>
      <c r="Y2826" s="10"/>
      <c r="Z2826" s="10"/>
      <c r="AA2826" s="11"/>
      <c r="AB2826" s="11"/>
    </row>
    <row r="2827" spans="2:28" x14ac:dyDescent="0.3">
      <c r="B2827" s="10"/>
      <c r="C2827" s="315"/>
      <c r="D2827" s="868"/>
      <c r="E2827" s="837" t="str">
        <f>IFERROR(IF(_xlfn.XLOOKUP(Imput[[#This Row],[RFC]],'Alta Proveedor'!D:D,'Alta Proveedor'!E:E)=0,"",_xlfn.XLOOKUP(Imput[[#This Row],[RFC]],'Alta Proveedor'!D:D,'Alta Proveedor'!E:E)),"")</f>
        <v/>
      </c>
      <c r="F2827" s="832"/>
      <c r="G2827" s="187"/>
      <c r="H2827" s="1"/>
      <c r="I2827" s="169">
        <f>Imput[[#This Row],[Cantidad]]*Imput[[#This Row],[Precio Unitario]]</f>
        <v>0</v>
      </c>
      <c r="J2827" s="11">
        <f>((Imput[[#This Row],[Sub total]])*(0.16))</f>
        <v>0</v>
      </c>
      <c r="K2827" s="11">
        <v>0</v>
      </c>
      <c r="L2827" s="169">
        <f>Imput[[#This Row],[Sub total]]+Imput[[#This Row],[IVA]]-Imput[[#This Row],[Retención / IEPS / Descuento]]</f>
        <v>0</v>
      </c>
      <c r="M2827" s="844">
        <v>0</v>
      </c>
      <c r="N2827" s="189"/>
      <c r="O2827" s="1"/>
      <c r="P2827" s="189"/>
      <c r="Q2827" s="190"/>
      <c r="R2827" s="188"/>
      <c r="S2827" s="193"/>
      <c r="T2827" s="192"/>
      <c r="U2827" s="829"/>
      <c r="V2827" s="10"/>
      <c r="W2827" s="10"/>
      <c r="X2827" s="10"/>
      <c r="Y2827" s="10"/>
      <c r="Z2827" s="10"/>
      <c r="AA2827" s="11"/>
      <c r="AB2827" s="11"/>
    </row>
    <row r="2828" spans="2:28" x14ac:dyDescent="0.3">
      <c r="B2828" s="10"/>
      <c r="C2828" s="315"/>
      <c r="D2828" s="868"/>
      <c r="E2828" s="837" t="str">
        <f>IFERROR(IF(_xlfn.XLOOKUP(Imput[[#This Row],[RFC]],'Alta Proveedor'!D:D,'Alta Proveedor'!E:E)=0,"",_xlfn.XLOOKUP(Imput[[#This Row],[RFC]],'Alta Proveedor'!D:D,'Alta Proveedor'!E:E)),"")</f>
        <v/>
      </c>
      <c r="F2828" s="832"/>
      <c r="G2828" s="187"/>
      <c r="H2828" s="1"/>
      <c r="I2828" s="169">
        <f>Imput[[#This Row],[Cantidad]]*Imput[[#This Row],[Precio Unitario]]</f>
        <v>0</v>
      </c>
      <c r="J2828" s="11">
        <f>((Imput[[#This Row],[Sub total]])*(0.16))</f>
        <v>0</v>
      </c>
      <c r="K2828" s="11">
        <v>0</v>
      </c>
      <c r="L2828" s="169">
        <f>Imput[[#This Row],[Sub total]]+Imput[[#This Row],[IVA]]-Imput[[#This Row],[Retención / IEPS / Descuento]]</f>
        <v>0</v>
      </c>
      <c r="M2828" s="844">
        <v>0</v>
      </c>
      <c r="N2828" s="189"/>
      <c r="O2828" s="1"/>
      <c r="P2828" s="189"/>
      <c r="Q2828" s="190"/>
      <c r="R2828" s="188"/>
      <c r="S2828" s="193"/>
      <c r="T2828" s="192"/>
      <c r="U2828" s="829"/>
      <c r="V2828" s="10"/>
      <c r="W2828" s="10"/>
      <c r="X2828" s="10"/>
      <c r="Y2828" s="10"/>
      <c r="Z2828" s="10"/>
      <c r="AA2828" s="11"/>
      <c r="AB2828" s="11"/>
    </row>
    <row r="2829" spans="2:28" x14ac:dyDescent="0.3">
      <c r="B2829" s="10"/>
      <c r="C2829" s="315"/>
      <c r="D2829" s="868"/>
      <c r="E2829" s="837" t="str">
        <f>IFERROR(IF(_xlfn.XLOOKUP(Imput[[#This Row],[RFC]],'Alta Proveedor'!D:D,'Alta Proveedor'!E:E)=0,"",_xlfn.XLOOKUP(Imput[[#This Row],[RFC]],'Alta Proveedor'!D:D,'Alta Proveedor'!E:E)),"")</f>
        <v/>
      </c>
      <c r="F2829" s="832"/>
      <c r="G2829" s="187"/>
      <c r="H2829" s="1"/>
      <c r="I2829" s="169">
        <f>Imput[[#This Row],[Cantidad]]*Imput[[#This Row],[Precio Unitario]]</f>
        <v>0</v>
      </c>
      <c r="J2829" s="11">
        <f>((Imput[[#This Row],[Sub total]])*(0.16))</f>
        <v>0</v>
      </c>
      <c r="K2829" s="11">
        <v>0</v>
      </c>
      <c r="L2829" s="169">
        <f>Imput[[#This Row],[Sub total]]+Imput[[#This Row],[IVA]]-Imput[[#This Row],[Retención / IEPS / Descuento]]</f>
        <v>0</v>
      </c>
      <c r="M2829" s="844">
        <v>0</v>
      </c>
      <c r="N2829" s="189"/>
      <c r="O2829" s="1"/>
      <c r="P2829" s="189"/>
      <c r="Q2829" s="190"/>
      <c r="R2829" s="188"/>
      <c r="S2829" s="193"/>
      <c r="T2829" s="192"/>
      <c r="U2829" s="829"/>
      <c r="V2829" s="10"/>
      <c r="W2829" s="10"/>
      <c r="X2829" s="10"/>
      <c r="Y2829" s="10"/>
      <c r="Z2829" s="10"/>
      <c r="AA2829" s="11"/>
      <c r="AB2829" s="11"/>
    </row>
    <row r="2830" spans="2:28" x14ac:dyDescent="0.3">
      <c r="B2830" s="10"/>
      <c r="C2830" s="315"/>
      <c r="D2830" s="868"/>
      <c r="E2830" s="837" t="str">
        <f>IFERROR(IF(_xlfn.XLOOKUP(Imput[[#This Row],[RFC]],'Alta Proveedor'!D:D,'Alta Proveedor'!E:E)=0,"",_xlfn.XLOOKUP(Imput[[#This Row],[RFC]],'Alta Proveedor'!D:D,'Alta Proveedor'!E:E)),"")</f>
        <v/>
      </c>
      <c r="F2830" s="832"/>
      <c r="G2830" s="187"/>
      <c r="H2830" s="1"/>
      <c r="I2830" s="169">
        <f>Imput[[#This Row],[Cantidad]]*Imput[[#This Row],[Precio Unitario]]</f>
        <v>0</v>
      </c>
      <c r="J2830" s="11">
        <f>((Imput[[#This Row],[Sub total]])*(0.16))</f>
        <v>0</v>
      </c>
      <c r="K2830" s="11">
        <v>0</v>
      </c>
      <c r="L2830" s="169">
        <f>Imput[[#This Row],[Sub total]]+Imput[[#This Row],[IVA]]-Imput[[#This Row],[Retención / IEPS / Descuento]]</f>
        <v>0</v>
      </c>
      <c r="M2830" s="844">
        <v>0</v>
      </c>
      <c r="N2830" s="189"/>
      <c r="O2830" s="1"/>
      <c r="P2830" s="189"/>
      <c r="Q2830" s="190"/>
      <c r="R2830" s="188"/>
      <c r="S2830" s="193"/>
      <c r="T2830" s="192"/>
      <c r="U2830" s="829"/>
      <c r="V2830" s="10"/>
      <c r="W2830" s="10"/>
      <c r="X2830" s="10"/>
      <c r="Y2830" s="10"/>
      <c r="Z2830" s="10"/>
      <c r="AA2830" s="11"/>
      <c r="AB2830" s="11"/>
    </row>
    <row r="2831" spans="2:28" x14ac:dyDescent="0.3">
      <c r="B2831" s="10"/>
      <c r="C2831" s="315"/>
      <c r="D2831" s="868"/>
      <c r="E2831" s="837" t="str">
        <f>IFERROR(IF(_xlfn.XLOOKUP(Imput[[#This Row],[RFC]],'Alta Proveedor'!D:D,'Alta Proveedor'!E:E)=0,"",_xlfn.XLOOKUP(Imput[[#This Row],[RFC]],'Alta Proveedor'!D:D,'Alta Proveedor'!E:E)),"")</f>
        <v/>
      </c>
      <c r="F2831" s="832"/>
      <c r="G2831" s="187"/>
      <c r="H2831" s="1"/>
      <c r="I2831" s="169">
        <f>Imput[[#This Row],[Cantidad]]*Imput[[#This Row],[Precio Unitario]]</f>
        <v>0</v>
      </c>
      <c r="J2831" s="11">
        <f>((Imput[[#This Row],[Sub total]])*(0.16))</f>
        <v>0</v>
      </c>
      <c r="K2831" s="11">
        <v>0</v>
      </c>
      <c r="L2831" s="169">
        <f>Imput[[#This Row],[Sub total]]+Imput[[#This Row],[IVA]]-Imput[[#This Row],[Retención / IEPS / Descuento]]</f>
        <v>0</v>
      </c>
      <c r="M2831" s="844">
        <v>0</v>
      </c>
      <c r="N2831" s="189"/>
      <c r="O2831" s="1"/>
      <c r="P2831" s="189"/>
      <c r="Q2831" s="190"/>
      <c r="R2831" s="188"/>
      <c r="S2831" s="193"/>
      <c r="T2831" s="192"/>
      <c r="U2831" s="829"/>
      <c r="V2831" s="10"/>
      <c r="W2831" s="10"/>
      <c r="X2831" s="10"/>
      <c r="Y2831" s="10"/>
      <c r="Z2831" s="10"/>
      <c r="AA2831" s="11"/>
      <c r="AB2831" s="11"/>
    </row>
    <row r="2832" spans="2:28" x14ac:dyDescent="0.3">
      <c r="B2832" s="10"/>
      <c r="C2832" s="315"/>
      <c r="D2832" s="868"/>
      <c r="E2832" s="837" t="str">
        <f>IFERROR(IF(_xlfn.XLOOKUP(Imput[[#This Row],[RFC]],'Alta Proveedor'!D:D,'Alta Proveedor'!E:E)=0,"",_xlfn.XLOOKUP(Imput[[#This Row],[RFC]],'Alta Proveedor'!D:D,'Alta Proveedor'!E:E)),"")</f>
        <v/>
      </c>
      <c r="F2832" s="832"/>
      <c r="G2832" s="187"/>
      <c r="H2832" s="1"/>
      <c r="I2832" s="169">
        <f>Imput[[#This Row],[Cantidad]]*Imput[[#This Row],[Precio Unitario]]</f>
        <v>0</v>
      </c>
      <c r="J2832" s="11">
        <f>((Imput[[#This Row],[Sub total]])*(0.16))</f>
        <v>0</v>
      </c>
      <c r="K2832" s="11">
        <v>0</v>
      </c>
      <c r="L2832" s="169">
        <f>Imput[[#This Row],[Sub total]]+Imput[[#This Row],[IVA]]-Imput[[#This Row],[Retención / IEPS / Descuento]]</f>
        <v>0</v>
      </c>
      <c r="M2832" s="844">
        <v>0</v>
      </c>
      <c r="N2832" s="189"/>
      <c r="O2832" s="1"/>
      <c r="P2832" s="189"/>
      <c r="Q2832" s="190"/>
      <c r="R2832" s="188"/>
      <c r="S2832" s="193"/>
      <c r="T2832" s="192"/>
      <c r="U2832" s="829"/>
      <c r="V2832" s="10"/>
      <c r="W2832" s="10"/>
      <c r="X2832" s="10"/>
      <c r="Y2832" s="10"/>
      <c r="Z2832" s="10"/>
      <c r="AA2832" s="11"/>
      <c r="AB2832" s="11"/>
    </row>
    <row r="2833" spans="2:28" x14ac:dyDescent="0.3">
      <c r="B2833" s="10"/>
      <c r="C2833" s="315"/>
      <c r="D2833" s="868"/>
      <c r="E2833" s="837" t="str">
        <f>IFERROR(IF(_xlfn.XLOOKUP(Imput[[#This Row],[RFC]],'Alta Proveedor'!D:D,'Alta Proveedor'!E:E)=0,"",_xlfn.XLOOKUP(Imput[[#This Row],[RFC]],'Alta Proveedor'!D:D,'Alta Proveedor'!E:E)),"")</f>
        <v/>
      </c>
      <c r="F2833" s="832"/>
      <c r="G2833" s="187"/>
      <c r="H2833" s="1"/>
      <c r="I2833" s="169">
        <f>Imput[[#This Row],[Cantidad]]*Imput[[#This Row],[Precio Unitario]]</f>
        <v>0</v>
      </c>
      <c r="J2833" s="11">
        <f>((Imput[[#This Row],[Sub total]])*(0.16))</f>
        <v>0</v>
      </c>
      <c r="K2833" s="11">
        <v>0</v>
      </c>
      <c r="L2833" s="169">
        <f>Imput[[#This Row],[Sub total]]+Imput[[#This Row],[IVA]]-Imput[[#This Row],[Retención / IEPS / Descuento]]</f>
        <v>0</v>
      </c>
      <c r="M2833" s="844">
        <v>0</v>
      </c>
      <c r="N2833" s="189"/>
      <c r="O2833" s="1"/>
      <c r="P2833" s="189"/>
      <c r="Q2833" s="190"/>
      <c r="R2833" s="188"/>
      <c r="S2833" s="193"/>
      <c r="T2833" s="192"/>
      <c r="U2833" s="829"/>
      <c r="V2833" s="10"/>
      <c r="W2833" s="10"/>
      <c r="X2833" s="10"/>
      <c r="Y2833" s="10"/>
      <c r="Z2833" s="10"/>
      <c r="AA2833" s="11"/>
      <c r="AB2833" s="11"/>
    </row>
    <row r="2834" spans="2:28" x14ac:dyDescent="0.3">
      <c r="B2834" s="10"/>
      <c r="C2834" s="315"/>
      <c r="D2834" s="868"/>
      <c r="E2834" s="837" t="str">
        <f>IFERROR(IF(_xlfn.XLOOKUP(Imput[[#This Row],[RFC]],'Alta Proveedor'!D:D,'Alta Proveedor'!E:E)=0,"",_xlfn.XLOOKUP(Imput[[#This Row],[RFC]],'Alta Proveedor'!D:D,'Alta Proveedor'!E:E)),"")</f>
        <v/>
      </c>
      <c r="F2834" s="832"/>
      <c r="G2834" s="187"/>
      <c r="H2834" s="1"/>
      <c r="I2834" s="169">
        <f>Imput[[#This Row],[Cantidad]]*Imput[[#This Row],[Precio Unitario]]</f>
        <v>0</v>
      </c>
      <c r="J2834" s="11">
        <f>((Imput[[#This Row],[Sub total]])*(0.16))</f>
        <v>0</v>
      </c>
      <c r="K2834" s="11">
        <v>0</v>
      </c>
      <c r="L2834" s="169">
        <f>Imput[[#This Row],[Sub total]]+Imput[[#This Row],[IVA]]-Imput[[#This Row],[Retención / IEPS / Descuento]]</f>
        <v>0</v>
      </c>
      <c r="M2834" s="844">
        <v>0</v>
      </c>
      <c r="N2834" s="189"/>
      <c r="O2834" s="1"/>
      <c r="P2834" s="189"/>
      <c r="Q2834" s="190"/>
      <c r="R2834" s="188"/>
      <c r="S2834" s="193"/>
      <c r="T2834" s="192"/>
      <c r="U2834" s="829"/>
      <c r="V2834" s="10"/>
      <c r="W2834" s="10"/>
      <c r="X2834" s="10"/>
      <c r="Y2834" s="10"/>
      <c r="Z2834" s="10"/>
      <c r="AA2834" s="11"/>
      <c r="AB2834" s="11"/>
    </row>
    <row r="2835" spans="2:28" x14ac:dyDescent="0.3">
      <c r="B2835" s="10"/>
      <c r="C2835" s="315"/>
      <c r="D2835" s="868"/>
      <c r="E2835" s="837" t="str">
        <f>IFERROR(IF(_xlfn.XLOOKUP(Imput[[#This Row],[RFC]],'Alta Proveedor'!D:D,'Alta Proveedor'!E:E)=0,"",_xlfn.XLOOKUP(Imput[[#This Row],[RFC]],'Alta Proveedor'!D:D,'Alta Proveedor'!E:E)),"")</f>
        <v/>
      </c>
      <c r="F2835" s="832"/>
      <c r="G2835" s="187"/>
      <c r="H2835" s="1"/>
      <c r="I2835" s="169">
        <f>Imput[[#This Row],[Cantidad]]*Imput[[#This Row],[Precio Unitario]]</f>
        <v>0</v>
      </c>
      <c r="J2835" s="11">
        <f>((Imput[[#This Row],[Sub total]])*(0.16))</f>
        <v>0</v>
      </c>
      <c r="K2835" s="11">
        <v>0</v>
      </c>
      <c r="L2835" s="169">
        <f>Imput[[#This Row],[Sub total]]+Imput[[#This Row],[IVA]]-Imput[[#This Row],[Retención / IEPS / Descuento]]</f>
        <v>0</v>
      </c>
      <c r="M2835" s="844">
        <v>0</v>
      </c>
      <c r="N2835" s="189"/>
      <c r="O2835" s="1"/>
      <c r="P2835" s="189"/>
      <c r="Q2835" s="190"/>
      <c r="R2835" s="188"/>
      <c r="S2835" s="193"/>
      <c r="T2835" s="192"/>
      <c r="U2835" s="829"/>
      <c r="V2835" s="10"/>
      <c r="W2835" s="10"/>
      <c r="X2835" s="10"/>
      <c r="Y2835" s="10"/>
      <c r="Z2835" s="10"/>
      <c r="AA2835" s="11"/>
      <c r="AB2835" s="11"/>
    </row>
    <row r="2836" spans="2:28" x14ac:dyDescent="0.3">
      <c r="B2836" s="10"/>
      <c r="C2836" s="315"/>
      <c r="D2836" s="868"/>
      <c r="E2836" s="837" t="str">
        <f>IFERROR(IF(_xlfn.XLOOKUP(Imput[[#This Row],[RFC]],'Alta Proveedor'!D:D,'Alta Proveedor'!E:E)=0,"",_xlfn.XLOOKUP(Imput[[#This Row],[RFC]],'Alta Proveedor'!D:D,'Alta Proveedor'!E:E)),"")</f>
        <v/>
      </c>
      <c r="F2836" s="832"/>
      <c r="G2836" s="187"/>
      <c r="H2836" s="1"/>
      <c r="I2836" s="169">
        <f>Imput[[#This Row],[Cantidad]]*Imput[[#This Row],[Precio Unitario]]</f>
        <v>0</v>
      </c>
      <c r="J2836" s="11">
        <f>((Imput[[#This Row],[Sub total]])*(0.16))</f>
        <v>0</v>
      </c>
      <c r="K2836" s="11">
        <v>0</v>
      </c>
      <c r="L2836" s="169">
        <f>Imput[[#This Row],[Sub total]]+Imput[[#This Row],[IVA]]-Imput[[#This Row],[Retención / IEPS / Descuento]]</f>
        <v>0</v>
      </c>
      <c r="M2836" s="844">
        <v>0</v>
      </c>
      <c r="N2836" s="189"/>
      <c r="O2836" s="1"/>
      <c r="P2836" s="189"/>
      <c r="Q2836" s="190"/>
      <c r="R2836" s="188"/>
      <c r="S2836" s="193"/>
      <c r="T2836" s="192"/>
      <c r="U2836" s="829"/>
      <c r="V2836" s="10"/>
      <c r="W2836" s="10"/>
      <c r="X2836" s="10"/>
      <c r="Y2836" s="10"/>
      <c r="Z2836" s="10"/>
      <c r="AA2836" s="11"/>
      <c r="AB2836" s="11"/>
    </row>
    <row r="2837" spans="2:28" x14ac:dyDescent="0.3">
      <c r="B2837" s="10"/>
      <c r="C2837" s="315"/>
      <c r="D2837" s="868"/>
      <c r="E2837" s="837" t="str">
        <f>IFERROR(IF(_xlfn.XLOOKUP(Imput[[#This Row],[RFC]],'Alta Proveedor'!D:D,'Alta Proveedor'!E:E)=0,"",_xlfn.XLOOKUP(Imput[[#This Row],[RFC]],'Alta Proveedor'!D:D,'Alta Proveedor'!E:E)),"")</f>
        <v/>
      </c>
      <c r="F2837" s="832"/>
      <c r="G2837" s="187"/>
      <c r="H2837" s="1"/>
      <c r="I2837" s="169">
        <f>Imput[[#This Row],[Cantidad]]*Imput[[#This Row],[Precio Unitario]]</f>
        <v>0</v>
      </c>
      <c r="J2837" s="11">
        <f>((Imput[[#This Row],[Sub total]])*(0.16))</f>
        <v>0</v>
      </c>
      <c r="K2837" s="11">
        <v>0</v>
      </c>
      <c r="L2837" s="169">
        <f>Imput[[#This Row],[Sub total]]+Imput[[#This Row],[IVA]]-Imput[[#This Row],[Retención / IEPS / Descuento]]</f>
        <v>0</v>
      </c>
      <c r="M2837" s="844">
        <v>0</v>
      </c>
      <c r="N2837" s="189"/>
      <c r="O2837" s="1"/>
      <c r="P2837" s="189"/>
      <c r="Q2837" s="190"/>
      <c r="R2837" s="188"/>
      <c r="S2837" s="193"/>
      <c r="T2837" s="192"/>
      <c r="U2837" s="829"/>
      <c r="V2837" s="10"/>
      <c r="W2837" s="10"/>
      <c r="X2837" s="10"/>
      <c r="Y2837" s="10"/>
      <c r="Z2837" s="10"/>
      <c r="AA2837" s="11"/>
      <c r="AB2837" s="11"/>
    </row>
    <row r="2838" spans="2:28" x14ac:dyDescent="0.3">
      <c r="B2838" s="10"/>
      <c r="C2838" s="315"/>
      <c r="D2838" s="868"/>
      <c r="E2838" s="837" t="str">
        <f>IFERROR(IF(_xlfn.XLOOKUP(Imput[[#This Row],[RFC]],'Alta Proveedor'!D:D,'Alta Proveedor'!E:E)=0,"",_xlfn.XLOOKUP(Imput[[#This Row],[RFC]],'Alta Proveedor'!D:D,'Alta Proveedor'!E:E)),"")</f>
        <v/>
      </c>
      <c r="F2838" s="832"/>
      <c r="G2838" s="187"/>
      <c r="H2838" s="1"/>
      <c r="I2838" s="169">
        <f>Imput[[#This Row],[Cantidad]]*Imput[[#This Row],[Precio Unitario]]</f>
        <v>0</v>
      </c>
      <c r="J2838" s="11">
        <f>((Imput[[#This Row],[Sub total]])*(0.16))</f>
        <v>0</v>
      </c>
      <c r="K2838" s="11">
        <v>0</v>
      </c>
      <c r="L2838" s="169">
        <f>Imput[[#This Row],[Sub total]]+Imput[[#This Row],[IVA]]-Imput[[#This Row],[Retención / IEPS / Descuento]]</f>
        <v>0</v>
      </c>
      <c r="M2838" s="844">
        <v>0</v>
      </c>
      <c r="N2838" s="189"/>
      <c r="O2838" s="1"/>
      <c r="P2838" s="189"/>
      <c r="Q2838" s="190"/>
      <c r="R2838" s="188"/>
      <c r="S2838" s="193"/>
      <c r="T2838" s="192"/>
      <c r="U2838" s="829"/>
      <c r="V2838" s="10"/>
      <c r="W2838" s="10"/>
      <c r="X2838" s="10"/>
      <c r="Y2838" s="10"/>
      <c r="Z2838" s="10"/>
      <c r="AA2838" s="11"/>
      <c r="AB2838" s="11"/>
    </row>
    <row r="2839" spans="2:28" x14ac:dyDescent="0.3">
      <c r="B2839" s="10"/>
      <c r="C2839" s="315"/>
      <c r="D2839" s="868"/>
      <c r="E2839" s="837" t="str">
        <f>IFERROR(IF(_xlfn.XLOOKUP(Imput[[#This Row],[RFC]],'Alta Proveedor'!D:D,'Alta Proveedor'!E:E)=0,"",_xlfn.XLOOKUP(Imput[[#This Row],[RFC]],'Alta Proveedor'!D:D,'Alta Proveedor'!E:E)),"")</f>
        <v/>
      </c>
      <c r="F2839" s="832"/>
      <c r="G2839" s="187"/>
      <c r="H2839" s="1"/>
      <c r="I2839" s="169">
        <f>Imput[[#This Row],[Cantidad]]*Imput[[#This Row],[Precio Unitario]]</f>
        <v>0</v>
      </c>
      <c r="J2839" s="11">
        <f>((Imput[[#This Row],[Sub total]])*(0.16))</f>
        <v>0</v>
      </c>
      <c r="K2839" s="11">
        <v>0</v>
      </c>
      <c r="L2839" s="169">
        <f>Imput[[#This Row],[Sub total]]+Imput[[#This Row],[IVA]]-Imput[[#This Row],[Retención / IEPS / Descuento]]</f>
        <v>0</v>
      </c>
      <c r="M2839" s="844">
        <v>0</v>
      </c>
      <c r="N2839" s="189"/>
      <c r="O2839" s="1"/>
      <c r="P2839" s="189"/>
      <c r="Q2839" s="190"/>
      <c r="R2839" s="188"/>
      <c r="S2839" s="193"/>
      <c r="T2839" s="192"/>
      <c r="U2839" s="829"/>
      <c r="V2839" s="10"/>
      <c r="W2839" s="10"/>
      <c r="X2839" s="10"/>
      <c r="Y2839" s="10"/>
      <c r="Z2839" s="10"/>
      <c r="AA2839" s="11"/>
      <c r="AB2839" s="11"/>
    </row>
    <row r="2840" spans="2:28" x14ac:dyDescent="0.3">
      <c r="B2840" s="10"/>
      <c r="C2840" s="315"/>
      <c r="D2840" s="868"/>
      <c r="E2840" s="837" t="str">
        <f>IFERROR(IF(_xlfn.XLOOKUP(Imput[[#This Row],[RFC]],'Alta Proveedor'!D:D,'Alta Proveedor'!E:E)=0,"",_xlfn.XLOOKUP(Imput[[#This Row],[RFC]],'Alta Proveedor'!D:D,'Alta Proveedor'!E:E)),"")</f>
        <v/>
      </c>
      <c r="F2840" s="832"/>
      <c r="G2840" s="187"/>
      <c r="H2840" s="1"/>
      <c r="I2840" s="169">
        <f>Imput[[#This Row],[Cantidad]]*Imput[[#This Row],[Precio Unitario]]</f>
        <v>0</v>
      </c>
      <c r="J2840" s="11">
        <f>((Imput[[#This Row],[Sub total]])*(0.16))</f>
        <v>0</v>
      </c>
      <c r="K2840" s="11">
        <v>0</v>
      </c>
      <c r="L2840" s="169">
        <f>Imput[[#This Row],[Sub total]]+Imput[[#This Row],[IVA]]-Imput[[#This Row],[Retención / IEPS / Descuento]]</f>
        <v>0</v>
      </c>
      <c r="M2840" s="844">
        <v>0</v>
      </c>
      <c r="N2840" s="189"/>
      <c r="O2840" s="1"/>
      <c r="P2840" s="189"/>
      <c r="Q2840" s="190"/>
      <c r="R2840" s="188"/>
      <c r="S2840" s="193"/>
      <c r="T2840" s="192"/>
      <c r="U2840" s="829"/>
      <c r="V2840" s="10"/>
      <c r="W2840" s="10"/>
      <c r="X2840" s="10"/>
      <c r="Y2840" s="10"/>
      <c r="Z2840" s="10"/>
      <c r="AA2840" s="11"/>
      <c r="AB2840" s="11"/>
    </row>
    <row r="2841" spans="2:28" x14ac:dyDescent="0.3">
      <c r="B2841" s="10"/>
      <c r="C2841" s="315"/>
      <c r="D2841" s="868"/>
      <c r="E2841" s="837" t="str">
        <f>IFERROR(IF(_xlfn.XLOOKUP(Imput[[#This Row],[RFC]],'Alta Proveedor'!D:D,'Alta Proveedor'!E:E)=0,"",_xlfn.XLOOKUP(Imput[[#This Row],[RFC]],'Alta Proveedor'!D:D,'Alta Proveedor'!E:E)),"")</f>
        <v/>
      </c>
      <c r="F2841" s="832"/>
      <c r="G2841" s="187"/>
      <c r="H2841" s="1"/>
      <c r="I2841" s="169">
        <f>Imput[[#This Row],[Cantidad]]*Imput[[#This Row],[Precio Unitario]]</f>
        <v>0</v>
      </c>
      <c r="J2841" s="11">
        <f>((Imput[[#This Row],[Sub total]])*(0.16))</f>
        <v>0</v>
      </c>
      <c r="K2841" s="11">
        <v>0</v>
      </c>
      <c r="L2841" s="169">
        <f>Imput[[#This Row],[Sub total]]+Imput[[#This Row],[IVA]]-Imput[[#This Row],[Retención / IEPS / Descuento]]</f>
        <v>0</v>
      </c>
      <c r="M2841" s="844">
        <v>0</v>
      </c>
      <c r="N2841" s="189"/>
      <c r="O2841" s="1"/>
      <c r="P2841" s="189"/>
      <c r="Q2841" s="190"/>
      <c r="R2841" s="188"/>
      <c r="S2841" s="193"/>
      <c r="T2841" s="192"/>
      <c r="U2841" s="829"/>
      <c r="V2841" s="10"/>
      <c r="W2841" s="10"/>
      <c r="X2841" s="10"/>
      <c r="Y2841" s="10"/>
      <c r="Z2841" s="10"/>
      <c r="AA2841" s="11"/>
      <c r="AB2841" s="11"/>
    </row>
    <row r="2842" spans="2:28" x14ac:dyDescent="0.3">
      <c r="B2842" s="10"/>
      <c r="C2842" s="315"/>
      <c r="D2842" s="868"/>
      <c r="E2842" s="837" t="str">
        <f>IFERROR(IF(_xlfn.XLOOKUP(Imput[[#This Row],[RFC]],'Alta Proveedor'!D:D,'Alta Proveedor'!E:E)=0,"",_xlfn.XLOOKUP(Imput[[#This Row],[RFC]],'Alta Proveedor'!D:D,'Alta Proveedor'!E:E)),"")</f>
        <v/>
      </c>
      <c r="F2842" s="832"/>
      <c r="G2842" s="187"/>
      <c r="H2842" s="1"/>
      <c r="I2842" s="169">
        <f>Imput[[#This Row],[Cantidad]]*Imput[[#This Row],[Precio Unitario]]</f>
        <v>0</v>
      </c>
      <c r="J2842" s="11">
        <f>((Imput[[#This Row],[Sub total]])*(0.16))</f>
        <v>0</v>
      </c>
      <c r="K2842" s="11">
        <v>0</v>
      </c>
      <c r="L2842" s="169">
        <f>Imput[[#This Row],[Sub total]]+Imput[[#This Row],[IVA]]-Imput[[#This Row],[Retención / IEPS / Descuento]]</f>
        <v>0</v>
      </c>
      <c r="M2842" s="844">
        <v>0</v>
      </c>
      <c r="N2842" s="189"/>
      <c r="O2842" s="1"/>
      <c r="P2842" s="189"/>
      <c r="Q2842" s="190"/>
      <c r="R2842" s="188"/>
      <c r="S2842" s="193"/>
      <c r="T2842" s="192"/>
      <c r="U2842" s="829"/>
      <c r="V2842" s="10"/>
      <c r="W2842" s="10"/>
      <c r="X2842" s="10"/>
      <c r="Y2842" s="10"/>
      <c r="Z2842" s="10"/>
      <c r="AA2842" s="11"/>
      <c r="AB2842" s="11"/>
    </row>
    <row r="2843" spans="2:28" x14ac:dyDescent="0.3">
      <c r="B2843" s="10"/>
      <c r="C2843" s="315"/>
      <c r="D2843" s="868"/>
      <c r="E2843" s="837" t="str">
        <f>IFERROR(IF(_xlfn.XLOOKUP(Imput[[#This Row],[RFC]],'Alta Proveedor'!D:D,'Alta Proveedor'!E:E)=0,"",_xlfn.XLOOKUP(Imput[[#This Row],[RFC]],'Alta Proveedor'!D:D,'Alta Proveedor'!E:E)),"")</f>
        <v/>
      </c>
      <c r="F2843" s="832"/>
      <c r="G2843" s="187"/>
      <c r="H2843" s="1"/>
      <c r="I2843" s="169">
        <f>Imput[[#This Row],[Cantidad]]*Imput[[#This Row],[Precio Unitario]]</f>
        <v>0</v>
      </c>
      <c r="J2843" s="11">
        <f>((Imput[[#This Row],[Sub total]])*(0.16))</f>
        <v>0</v>
      </c>
      <c r="K2843" s="11">
        <v>0</v>
      </c>
      <c r="L2843" s="169">
        <f>Imput[[#This Row],[Sub total]]+Imput[[#This Row],[IVA]]-Imput[[#This Row],[Retención / IEPS / Descuento]]</f>
        <v>0</v>
      </c>
      <c r="M2843" s="844">
        <v>0</v>
      </c>
      <c r="N2843" s="189"/>
      <c r="O2843" s="1"/>
      <c r="P2843" s="189"/>
      <c r="Q2843" s="190"/>
      <c r="R2843" s="188"/>
      <c r="S2843" s="193"/>
      <c r="T2843" s="192"/>
      <c r="U2843" s="829"/>
      <c r="V2843" s="10"/>
      <c r="W2843" s="10"/>
      <c r="X2843" s="10"/>
      <c r="Y2843" s="10"/>
      <c r="Z2843" s="10"/>
      <c r="AA2843" s="11"/>
      <c r="AB2843" s="11"/>
    </row>
    <row r="2844" spans="2:28" s="429" customFormat="1" x14ac:dyDescent="0.3">
      <c r="B2844" s="10"/>
      <c r="C2844" s="315"/>
      <c r="D2844" s="868"/>
      <c r="E2844" s="837" t="str">
        <f>IFERROR(IF(_xlfn.XLOOKUP(Imput[[#This Row],[RFC]],'Alta Proveedor'!D:D,'Alta Proveedor'!E:E)=0,"",_xlfn.XLOOKUP(Imput[[#This Row],[RFC]],'Alta Proveedor'!D:D,'Alta Proveedor'!E:E)),"")</f>
        <v/>
      </c>
      <c r="F2844" s="832"/>
      <c r="G2844" s="187"/>
      <c r="H2844" s="1"/>
      <c r="I2844" s="169">
        <f>Imput[[#This Row],[Cantidad]]*Imput[[#This Row],[Precio Unitario]]</f>
        <v>0</v>
      </c>
      <c r="J2844" s="11">
        <f>((Imput[[#This Row],[Sub total]])*(0.16))</f>
        <v>0</v>
      </c>
      <c r="K2844" s="11">
        <v>0</v>
      </c>
      <c r="L2844" s="169">
        <f>Imput[[#This Row],[Sub total]]+Imput[[#This Row],[IVA]]-Imput[[#This Row],[Retención / IEPS / Descuento]]</f>
        <v>0</v>
      </c>
      <c r="M2844" s="844">
        <v>0</v>
      </c>
      <c r="N2844" s="189"/>
      <c r="O2844" s="1"/>
      <c r="P2844" s="189"/>
      <c r="Q2844" s="190"/>
      <c r="R2844" s="188"/>
      <c r="S2844" s="193"/>
      <c r="T2844" s="192"/>
      <c r="U2844" s="829"/>
      <c r="V2844" s="10"/>
      <c r="W2844" s="10"/>
      <c r="X2844" s="10"/>
      <c r="Y2844" s="10"/>
      <c r="Z2844" s="10"/>
      <c r="AA2844" s="11"/>
      <c r="AB2844" s="11"/>
    </row>
    <row r="2845" spans="2:28" x14ac:dyDescent="0.3">
      <c r="B2845" s="10"/>
      <c r="C2845" s="315"/>
      <c r="D2845" s="868"/>
      <c r="E2845" s="837" t="str">
        <f>IFERROR(IF(_xlfn.XLOOKUP(Imput[[#This Row],[RFC]],'Alta Proveedor'!D:D,'Alta Proveedor'!E:E)=0,"",_xlfn.XLOOKUP(Imput[[#This Row],[RFC]],'Alta Proveedor'!D:D,'Alta Proveedor'!E:E)),"")</f>
        <v/>
      </c>
      <c r="F2845" s="832"/>
      <c r="G2845" s="187"/>
      <c r="H2845" s="1"/>
      <c r="I2845" s="169">
        <f>Imput[[#This Row],[Cantidad]]*Imput[[#This Row],[Precio Unitario]]</f>
        <v>0</v>
      </c>
      <c r="J2845" s="11">
        <f>((Imput[[#This Row],[Sub total]])*(0.16))</f>
        <v>0</v>
      </c>
      <c r="K2845" s="11">
        <v>0</v>
      </c>
      <c r="L2845" s="169">
        <f>Imput[[#This Row],[Sub total]]+Imput[[#This Row],[IVA]]-Imput[[#This Row],[Retención / IEPS / Descuento]]</f>
        <v>0</v>
      </c>
      <c r="M2845" s="844">
        <v>0</v>
      </c>
      <c r="N2845" s="189"/>
      <c r="O2845" s="1"/>
      <c r="P2845" s="189"/>
      <c r="Q2845" s="190"/>
      <c r="R2845" s="188"/>
      <c r="S2845" s="193"/>
      <c r="T2845" s="192"/>
      <c r="U2845" s="829"/>
      <c r="V2845" s="10"/>
      <c r="W2845" s="10"/>
      <c r="X2845" s="10"/>
      <c r="Y2845" s="10"/>
      <c r="Z2845" s="10"/>
      <c r="AA2845" s="11"/>
      <c r="AB2845" s="11"/>
    </row>
    <row r="2846" spans="2:28" x14ac:dyDescent="0.3">
      <c r="B2846" s="10"/>
      <c r="C2846" s="315"/>
      <c r="D2846" s="868"/>
      <c r="E2846" s="837" t="str">
        <f>IFERROR(IF(_xlfn.XLOOKUP(Imput[[#This Row],[RFC]],'Alta Proveedor'!D:D,'Alta Proveedor'!E:E)=0,"",_xlfn.XLOOKUP(Imput[[#This Row],[RFC]],'Alta Proveedor'!D:D,'Alta Proveedor'!E:E)),"")</f>
        <v/>
      </c>
      <c r="F2846" s="832"/>
      <c r="G2846" s="187"/>
      <c r="H2846" s="1"/>
      <c r="I2846" s="169">
        <f>Imput[[#This Row],[Cantidad]]*Imput[[#This Row],[Precio Unitario]]</f>
        <v>0</v>
      </c>
      <c r="J2846" s="11">
        <f>((Imput[[#This Row],[Sub total]])*(0.16))</f>
        <v>0</v>
      </c>
      <c r="K2846" s="11">
        <v>0</v>
      </c>
      <c r="L2846" s="169">
        <f>Imput[[#This Row],[Sub total]]+Imput[[#This Row],[IVA]]-Imput[[#This Row],[Retención / IEPS / Descuento]]</f>
        <v>0</v>
      </c>
      <c r="M2846" s="844">
        <v>0</v>
      </c>
      <c r="N2846" s="189"/>
      <c r="O2846" s="1"/>
      <c r="P2846" s="189"/>
      <c r="Q2846" s="190"/>
      <c r="R2846" s="188"/>
      <c r="S2846" s="193"/>
      <c r="T2846" s="192"/>
      <c r="U2846" s="829"/>
      <c r="V2846" s="10"/>
      <c r="W2846" s="10"/>
      <c r="X2846" s="10"/>
      <c r="Y2846" s="10"/>
      <c r="Z2846" s="10"/>
      <c r="AA2846" s="11"/>
      <c r="AB2846" s="11"/>
    </row>
    <row r="2847" spans="2:28" x14ac:dyDescent="0.3">
      <c r="B2847" s="10"/>
      <c r="C2847" s="315"/>
      <c r="D2847" s="868"/>
      <c r="E2847" s="837" t="str">
        <f>IFERROR(IF(_xlfn.XLOOKUP(Imput[[#This Row],[RFC]],'Alta Proveedor'!D:D,'Alta Proveedor'!E:E)=0,"",_xlfn.XLOOKUP(Imput[[#This Row],[RFC]],'Alta Proveedor'!D:D,'Alta Proveedor'!E:E)),"")</f>
        <v/>
      </c>
      <c r="F2847" s="832"/>
      <c r="G2847" s="187"/>
      <c r="H2847" s="1"/>
      <c r="I2847" s="169">
        <f>Imput[[#This Row],[Cantidad]]*Imput[[#This Row],[Precio Unitario]]</f>
        <v>0</v>
      </c>
      <c r="J2847" s="11">
        <f>((Imput[[#This Row],[Sub total]])*(0.16))</f>
        <v>0</v>
      </c>
      <c r="K2847" s="11">
        <v>0</v>
      </c>
      <c r="L2847" s="169">
        <f>Imput[[#This Row],[Sub total]]+Imput[[#This Row],[IVA]]-Imput[[#This Row],[Retención / IEPS / Descuento]]</f>
        <v>0</v>
      </c>
      <c r="M2847" s="844">
        <v>0</v>
      </c>
      <c r="N2847" s="189"/>
      <c r="O2847" s="1"/>
      <c r="P2847" s="189"/>
      <c r="Q2847" s="190"/>
      <c r="R2847" s="188"/>
      <c r="S2847" s="193"/>
      <c r="T2847" s="192"/>
      <c r="U2847" s="829"/>
      <c r="V2847" s="10"/>
      <c r="W2847" s="10"/>
      <c r="X2847" s="10"/>
      <c r="Y2847" s="10"/>
      <c r="Z2847" s="10"/>
      <c r="AA2847" s="11"/>
      <c r="AB2847" s="11"/>
    </row>
    <row r="2848" spans="2:28" x14ac:dyDescent="0.3">
      <c r="B2848" s="10"/>
      <c r="C2848" s="315"/>
      <c r="D2848" s="868"/>
      <c r="E2848" s="837" t="str">
        <f>IFERROR(IF(_xlfn.XLOOKUP(Imput[[#This Row],[RFC]],'Alta Proveedor'!D:D,'Alta Proveedor'!E:E)=0,"",_xlfn.XLOOKUP(Imput[[#This Row],[RFC]],'Alta Proveedor'!D:D,'Alta Proveedor'!E:E)),"")</f>
        <v/>
      </c>
      <c r="F2848" s="832"/>
      <c r="G2848" s="187"/>
      <c r="H2848" s="1"/>
      <c r="I2848" s="169">
        <f>Imput[[#This Row],[Cantidad]]*Imput[[#This Row],[Precio Unitario]]</f>
        <v>0</v>
      </c>
      <c r="J2848" s="11">
        <f>((Imput[[#This Row],[Sub total]])*(0.16))</f>
        <v>0</v>
      </c>
      <c r="K2848" s="11">
        <v>0</v>
      </c>
      <c r="L2848" s="169">
        <f>Imput[[#This Row],[Sub total]]+Imput[[#This Row],[IVA]]-Imput[[#This Row],[Retención / IEPS / Descuento]]</f>
        <v>0</v>
      </c>
      <c r="M2848" s="844">
        <v>0</v>
      </c>
      <c r="N2848" s="189"/>
      <c r="O2848" s="1"/>
      <c r="P2848" s="189"/>
      <c r="Q2848" s="190"/>
      <c r="R2848" s="188"/>
      <c r="S2848" s="193"/>
      <c r="T2848" s="192"/>
      <c r="U2848" s="829"/>
      <c r="V2848" s="10"/>
      <c r="W2848" s="10"/>
      <c r="X2848" s="10"/>
      <c r="Y2848" s="10"/>
      <c r="Z2848" s="10"/>
      <c r="AA2848" s="11"/>
      <c r="AB2848" s="11"/>
    </row>
    <row r="2849" spans="2:28" x14ac:dyDescent="0.3">
      <c r="B2849" s="10"/>
      <c r="C2849" s="315"/>
      <c r="D2849" s="868"/>
      <c r="E2849" s="837" t="str">
        <f>IFERROR(IF(_xlfn.XLOOKUP(Imput[[#This Row],[RFC]],'Alta Proveedor'!D:D,'Alta Proveedor'!E:E)=0,"",_xlfn.XLOOKUP(Imput[[#This Row],[RFC]],'Alta Proveedor'!D:D,'Alta Proveedor'!E:E)),"")</f>
        <v/>
      </c>
      <c r="F2849" s="832"/>
      <c r="G2849" s="187"/>
      <c r="H2849" s="1"/>
      <c r="I2849" s="169">
        <f>Imput[[#This Row],[Cantidad]]*Imput[[#This Row],[Precio Unitario]]</f>
        <v>0</v>
      </c>
      <c r="J2849" s="11">
        <f>((Imput[[#This Row],[Sub total]])*(0.16))</f>
        <v>0</v>
      </c>
      <c r="K2849" s="11">
        <v>0</v>
      </c>
      <c r="L2849" s="169">
        <f>Imput[[#This Row],[Sub total]]+Imput[[#This Row],[IVA]]-Imput[[#This Row],[Retención / IEPS / Descuento]]</f>
        <v>0</v>
      </c>
      <c r="M2849" s="844">
        <v>0</v>
      </c>
      <c r="N2849" s="189"/>
      <c r="O2849" s="1"/>
      <c r="P2849" s="189"/>
      <c r="Q2849" s="190"/>
      <c r="R2849" s="188"/>
      <c r="S2849" s="193"/>
      <c r="T2849" s="192"/>
      <c r="U2849" s="829"/>
      <c r="V2849" s="10"/>
      <c r="W2849" s="10"/>
      <c r="X2849" s="10"/>
      <c r="Y2849" s="10"/>
      <c r="Z2849" s="10"/>
      <c r="AA2849" s="11"/>
      <c r="AB2849" s="11"/>
    </row>
    <row r="2850" spans="2:28" x14ac:dyDescent="0.3">
      <c r="B2850" s="10"/>
      <c r="C2850" s="315"/>
      <c r="D2850" s="868"/>
      <c r="E2850" s="837" t="str">
        <f>IFERROR(IF(_xlfn.XLOOKUP(Imput[[#This Row],[RFC]],'Alta Proveedor'!D:D,'Alta Proveedor'!E:E)=0,"",_xlfn.XLOOKUP(Imput[[#This Row],[RFC]],'Alta Proveedor'!D:D,'Alta Proveedor'!E:E)),"")</f>
        <v/>
      </c>
      <c r="F2850" s="832"/>
      <c r="G2850" s="187"/>
      <c r="H2850" s="1"/>
      <c r="I2850" s="169">
        <f>Imput[[#This Row],[Cantidad]]*Imput[[#This Row],[Precio Unitario]]</f>
        <v>0</v>
      </c>
      <c r="J2850" s="11">
        <f>((Imput[[#This Row],[Sub total]])*(0.16))</f>
        <v>0</v>
      </c>
      <c r="K2850" s="11">
        <v>0</v>
      </c>
      <c r="L2850" s="169">
        <f>Imput[[#This Row],[Sub total]]+Imput[[#This Row],[IVA]]-Imput[[#This Row],[Retención / IEPS / Descuento]]</f>
        <v>0</v>
      </c>
      <c r="M2850" s="844">
        <v>0</v>
      </c>
      <c r="N2850" s="189"/>
      <c r="O2850" s="1"/>
      <c r="P2850" s="189"/>
      <c r="Q2850" s="190"/>
      <c r="R2850" s="188"/>
      <c r="S2850" s="193"/>
      <c r="T2850" s="192"/>
      <c r="U2850" s="829"/>
      <c r="V2850" s="10"/>
      <c r="W2850" s="10"/>
      <c r="X2850" s="10"/>
      <c r="Y2850" s="10"/>
      <c r="Z2850" s="10"/>
      <c r="AA2850" s="11"/>
      <c r="AB2850" s="11"/>
    </row>
    <row r="2851" spans="2:28" x14ac:dyDescent="0.3">
      <c r="B2851" s="10"/>
      <c r="C2851" s="315"/>
      <c r="D2851" s="868"/>
      <c r="E2851" s="837" t="str">
        <f>IFERROR(IF(_xlfn.XLOOKUP(Imput[[#This Row],[RFC]],'Alta Proveedor'!D:D,'Alta Proveedor'!E:E)=0,"",_xlfn.XLOOKUP(Imput[[#This Row],[RFC]],'Alta Proveedor'!D:D,'Alta Proveedor'!E:E)),"")</f>
        <v/>
      </c>
      <c r="F2851" s="832"/>
      <c r="G2851" s="187"/>
      <c r="H2851" s="1"/>
      <c r="I2851" s="169">
        <f>Imput[[#This Row],[Cantidad]]*Imput[[#This Row],[Precio Unitario]]</f>
        <v>0</v>
      </c>
      <c r="J2851" s="11">
        <f>((Imput[[#This Row],[Sub total]])*(0.16))</f>
        <v>0</v>
      </c>
      <c r="K2851" s="11">
        <v>0</v>
      </c>
      <c r="L2851" s="169">
        <f>Imput[[#This Row],[Sub total]]+Imput[[#This Row],[IVA]]-Imput[[#This Row],[Retención / IEPS / Descuento]]</f>
        <v>0</v>
      </c>
      <c r="M2851" s="844">
        <v>0</v>
      </c>
      <c r="N2851" s="189"/>
      <c r="O2851" s="1"/>
      <c r="P2851" s="189"/>
      <c r="Q2851" s="190"/>
      <c r="R2851" s="188"/>
      <c r="S2851" s="193"/>
      <c r="T2851" s="192"/>
      <c r="U2851" s="829"/>
      <c r="V2851" s="10"/>
      <c r="W2851" s="10"/>
      <c r="X2851" s="10"/>
      <c r="Y2851" s="10"/>
      <c r="Z2851" s="10"/>
      <c r="AA2851" s="11"/>
      <c r="AB2851" s="11"/>
    </row>
    <row r="2852" spans="2:28" x14ac:dyDescent="0.3">
      <c r="B2852" s="10"/>
      <c r="C2852" s="315"/>
      <c r="D2852" s="868"/>
      <c r="E2852" s="837" t="str">
        <f>IFERROR(IF(_xlfn.XLOOKUP(Imput[[#This Row],[RFC]],'Alta Proveedor'!D:D,'Alta Proveedor'!E:E)=0,"",_xlfn.XLOOKUP(Imput[[#This Row],[RFC]],'Alta Proveedor'!D:D,'Alta Proveedor'!E:E)),"")</f>
        <v/>
      </c>
      <c r="F2852" s="832"/>
      <c r="G2852" s="187"/>
      <c r="H2852" s="1"/>
      <c r="I2852" s="169">
        <f>Imput[[#This Row],[Cantidad]]*Imput[[#This Row],[Precio Unitario]]</f>
        <v>0</v>
      </c>
      <c r="J2852" s="11">
        <f>((Imput[[#This Row],[Sub total]])*(0.16))</f>
        <v>0</v>
      </c>
      <c r="K2852" s="11">
        <v>0</v>
      </c>
      <c r="L2852" s="169">
        <f>Imput[[#This Row],[Sub total]]+Imput[[#This Row],[IVA]]-Imput[[#This Row],[Retención / IEPS / Descuento]]</f>
        <v>0</v>
      </c>
      <c r="M2852" s="844">
        <v>0</v>
      </c>
      <c r="N2852" s="189"/>
      <c r="O2852" s="1"/>
      <c r="P2852" s="189"/>
      <c r="Q2852" s="190"/>
      <c r="R2852" s="188"/>
      <c r="S2852" s="193"/>
      <c r="T2852" s="192"/>
      <c r="U2852" s="829"/>
      <c r="V2852" s="10"/>
      <c r="W2852" s="10"/>
      <c r="X2852" s="10"/>
      <c r="Y2852" s="10"/>
      <c r="Z2852" s="10"/>
      <c r="AA2852" s="11"/>
      <c r="AB2852" s="11"/>
    </row>
    <row r="2853" spans="2:28" x14ac:dyDescent="0.3">
      <c r="B2853" s="10"/>
      <c r="C2853" s="315"/>
      <c r="D2853" s="868"/>
      <c r="E2853" s="837" t="str">
        <f>IFERROR(IF(_xlfn.XLOOKUP(Imput[[#This Row],[RFC]],'Alta Proveedor'!D:D,'Alta Proveedor'!E:E)=0,"",_xlfn.XLOOKUP(Imput[[#This Row],[RFC]],'Alta Proveedor'!D:D,'Alta Proveedor'!E:E)),"")</f>
        <v/>
      </c>
      <c r="F2853" s="832"/>
      <c r="G2853" s="187"/>
      <c r="H2853" s="1"/>
      <c r="I2853" s="169">
        <f>Imput[[#This Row],[Cantidad]]*Imput[[#This Row],[Precio Unitario]]</f>
        <v>0</v>
      </c>
      <c r="J2853" s="11">
        <f>((Imput[[#This Row],[Sub total]])*(0.16))</f>
        <v>0</v>
      </c>
      <c r="K2853" s="11">
        <v>0</v>
      </c>
      <c r="L2853" s="169">
        <f>Imput[[#This Row],[Sub total]]+Imput[[#This Row],[IVA]]-Imput[[#This Row],[Retención / IEPS / Descuento]]</f>
        <v>0</v>
      </c>
      <c r="M2853" s="844">
        <v>0</v>
      </c>
      <c r="N2853" s="189"/>
      <c r="O2853" s="1"/>
      <c r="P2853" s="189"/>
      <c r="Q2853" s="190"/>
      <c r="R2853" s="188"/>
      <c r="S2853" s="193"/>
      <c r="T2853" s="192"/>
      <c r="U2853" s="829"/>
      <c r="V2853" s="10"/>
      <c r="W2853" s="10"/>
      <c r="X2853" s="10"/>
      <c r="Y2853" s="10"/>
      <c r="Z2853" s="10"/>
      <c r="AA2853" s="11"/>
      <c r="AB2853" s="11"/>
    </row>
    <row r="2854" spans="2:28" x14ac:dyDescent="0.3">
      <c r="B2854" s="10"/>
      <c r="C2854" s="315"/>
      <c r="D2854" s="868"/>
      <c r="E2854" s="837" t="str">
        <f>IFERROR(IF(_xlfn.XLOOKUP(Imput[[#This Row],[RFC]],'Alta Proveedor'!D:D,'Alta Proveedor'!E:E)=0,"",_xlfn.XLOOKUP(Imput[[#This Row],[RFC]],'Alta Proveedor'!D:D,'Alta Proveedor'!E:E)),"")</f>
        <v/>
      </c>
      <c r="F2854" s="832"/>
      <c r="G2854" s="187"/>
      <c r="H2854" s="1"/>
      <c r="I2854" s="169">
        <f>Imput[[#This Row],[Cantidad]]*Imput[[#This Row],[Precio Unitario]]</f>
        <v>0</v>
      </c>
      <c r="J2854" s="11">
        <f>((Imput[[#This Row],[Sub total]])*(0.16))</f>
        <v>0</v>
      </c>
      <c r="K2854" s="11">
        <v>0</v>
      </c>
      <c r="L2854" s="169">
        <f>Imput[[#This Row],[Sub total]]+Imput[[#This Row],[IVA]]-Imput[[#This Row],[Retención / IEPS / Descuento]]</f>
        <v>0</v>
      </c>
      <c r="M2854" s="844">
        <v>0</v>
      </c>
      <c r="N2854" s="189"/>
      <c r="O2854" s="1"/>
      <c r="P2854" s="189"/>
      <c r="Q2854" s="190"/>
      <c r="R2854" s="188"/>
      <c r="S2854" s="193"/>
      <c r="T2854" s="192"/>
      <c r="U2854" s="829"/>
      <c r="V2854" s="10"/>
      <c r="W2854" s="10"/>
      <c r="X2854" s="10"/>
      <c r="Y2854" s="10"/>
      <c r="Z2854" s="10"/>
      <c r="AA2854" s="11"/>
      <c r="AB2854" s="11"/>
    </row>
    <row r="2855" spans="2:28" x14ac:dyDescent="0.3">
      <c r="B2855" s="10"/>
      <c r="C2855" s="315"/>
      <c r="D2855" s="868"/>
      <c r="E2855" s="837" t="str">
        <f>IFERROR(IF(_xlfn.XLOOKUP(Imput[[#This Row],[RFC]],'Alta Proveedor'!D:D,'Alta Proveedor'!E:E)=0,"",_xlfn.XLOOKUP(Imput[[#This Row],[RFC]],'Alta Proveedor'!D:D,'Alta Proveedor'!E:E)),"")</f>
        <v/>
      </c>
      <c r="F2855" s="832"/>
      <c r="G2855" s="187"/>
      <c r="H2855" s="1"/>
      <c r="I2855" s="169">
        <f>Imput[[#This Row],[Cantidad]]*Imput[[#This Row],[Precio Unitario]]</f>
        <v>0</v>
      </c>
      <c r="J2855" s="11">
        <f>((Imput[[#This Row],[Sub total]])*(0.16))</f>
        <v>0</v>
      </c>
      <c r="K2855" s="11">
        <v>0</v>
      </c>
      <c r="L2855" s="169">
        <f>Imput[[#This Row],[Sub total]]+Imput[[#This Row],[IVA]]-Imput[[#This Row],[Retención / IEPS / Descuento]]</f>
        <v>0</v>
      </c>
      <c r="M2855" s="844">
        <v>0</v>
      </c>
      <c r="N2855" s="189"/>
      <c r="O2855" s="1"/>
      <c r="P2855" s="189"/>
      <c r="Q2855" s="190"/>
      <c r="R2855" s="188"/>
      <c r="S2855" s="193"/>
      <c r="T2855" s="192"/>
      <c r="U2855" s="829"/>
      <c r="V2855" s="10"/>
      <c r="W2855" s="10"/>
      <c r="X2855" s="10"/>
      <c r="Y2855" s="10"/>
      <c r="Z2855" s="10"/>
      <c r="AA2855" s="11"/>
      <c r="AB2855" s="11"/>
    </row>
    <row r="2856" spans="2:28" x14ac:dyDescent="0.3">
      <c r="B2856" s="10"/>
      <c r="C2856" s="315"/>
      <c r="D2856" s="868"/>
      <c r="E2856" s="837" t="str">
        <f>IFERROR(IF(_xlfn.XLOOKUP(Imput[[#This Row],[RFC]],'Alta Proveedor'!D:D,'Alta Proveedor'!E:E)=0,"",_xlfn.XLOOKUP(Imput[[#This Row],[RFC]],'Alta Proveedor'!D:D,'Alta Proveedor'!E:E)),"")</f>
        <v/>
      </c>
      <c r="F2856" s="832"/>
      <c r="G2856" s="187"/>
      <c r="H2856" s="1"/>
      <c r="I2856" s="169">
        <f>Imput[[#This Row],[Cantidad]]*Imput[[#This Row],[Precio Unitario]]</f>
        <v>0</v>
      </c>
      <c r="J2856" s="11">
        <f>((Imput[[#This Row],[Sub total]])*(0.16))</f>
        <v>0</v>
      </c>
      <c r="K2856" s="11">
        <v>0</v>
      </c>
      <c r="L2856" s="169">
        <f>Imput[[#This Row],[Sub total]]+Imput[[#This Row],[IVA]]-Imput[[#This Row],[Retención / IEPS / Descuento]]</f>
        <v>0</v>
      </c>
      <c r="M2856" s="844">
        <v>0</v>
      </c>
      <c r="N2856" s="189"/>
      <c r="O2856" s="1"/>
      <c r="P2856" s="189"/>
      <c r="Q2856" s="190"/>
      <c r="R2856" s="188"/>
      <c r="S2856" s="193"/>
      <c r="T2856" s="192"/>
      <c r="U2856" s="829"/>
      <c r="V2856" s="10"/>
      <c r="W2856" s="10"/>
      <c r="X2856" s="10"/>
      <c r="Y2856" s="10"/>
      <c r="Z2856" s="10"/>
      <c r="AA2856" s="11"/>
      <c r="AB2856" s="11"/>
    </row>
    <row r="2857" spans="2:28" x14ac:dyDescent="0.3">
      <c r="B2857" s="10"/>
      <c r="C2857" s="315"/>
      <c r="D2857" s="868"/>
      <c r="E2857" s="837" t="str">
        <f>IFERROR(IF(_xlfn.XLOOKUP(Imput[[#This Row],[RFC]],'Alta Proveedor'!D:D,'Alta Proveedor'!E:E)=0,"",_xlfn.XLOOKUP(Imput[[#This Row],[RFC]],'Alta Proveedor'!D:D,'Alta Proveedor'!E:E)),"")</f>
        <v/>
      </c>
      <c r="F2857" s="832"/>
      <c r="G2857" s="187"/>
      <c r="H2857" s="1"/>
      <c r="I2857" s="169">
        <f>Imput[[#This Row],[Cantidad]]*Imput[[#This Row],[Precio Unitario]]</f>
        <v>0</v>
      </c>
      <c r="J2857" s="11">
        <f>((Imput[[#This Row],[Sub total]])*(0.16))</f>
        <v>0</v>
      </c>
      <c r="K2857" s="11">
        <v>0</v>
      </c>
      <c r="L2857" s="169">
        <f>Imput[[#This Row],[Sub total]]+Imput[[#This Row],[IVA]]-Imput[[#This Row],[Retención / IEPS / Descuento]]</f>
        <v>0</v>
      </c>
      <c r="M2857" s="844">
        <v>0</v>
      </c>
      <c r="N2857" s="189"/>
      <c r="O2857" s="1"/>
      <c r="P2857" s="189"/>
      <c r="Q2857" s="190"/>
      <c r="R2857" s="188"/>
      <c r="S2857" s="193"/>
      <c r="T2857" s="192"/>
      <c r="U2857" s="829"/>
      <c r="V2857" s="10"/>
      <c r="W2857" s="10"/>
      <c r="X2857" s="10"/>
      <c r="Y2857" s="10"/>
      <c r="Z2857" s="10"/>
      <c r="AA2857" s="11"/>
      <c r="AB2857" s="11"/>
    </row>
    <row r="2858" spans="2:28" x14ac:dyDescent="0.3">
      <c r="B2858" s="10"/>
      <c r="C2858" s="315"/>
      <c r="D2858" s="868"/>
      <c r="E2858" s="837" t="str">
        <f>IFERROR(IF(_xlfn.XLOOKUP(Imput[[#This Row],[RFC]],'Alta Proveedor'!D:D,'Alta Proveedor'!E:E)=0,"",_xlfn.XLOOKUP(Imput[[#This Row],[RFC]],'Alta Proveedor'!D:D,'Alta Proveedor'!E:E)),"")</f>
        <v/>
      </c>
      <c r="F2858" s="832"/>
      <c r="G2858" s="187"/>
      <c r="H2858" s="1"/>
      <c r="I2858" s="169">
        <f>Imput[[#This Row],[Cantidad]]*Imput[[#This Row],[Precio Unitario]]</f>
        <v>0</v>
      </c>
      <c r="J2858" s="11">
        <f>((Imput[[#This Row],[Sub total]])*(0.16))</f>
        <v>0</v>
      </c>
      <c r="K2858" s="11">
        <v>0</v>
      </c>
      <c r="L2858" s="169">
        <f>Imput[[#This Row],[Sub total]]+Imput[[#This Row],[IVA]]-Imput[[#This Row],[Retención / IEPS / Descuento]]</f>
        <v>0</v>
      </c>
      <c r="M2858" s="844">
        <v>0</v>
      </c>
      <c r="N2858" s="189"/>
      <c r="O2858" s="1"/>
      <c r="P2858" s="189"/>
      <c r="Q2858" s="190"/>
      <c r="R2858" s="188"/>
      <c r="S2858" s="193"/>
      <c r="T2858" s="192"/>
      <c r="U2858" s="829"/>
      <c r="V2858" s="10"/>
      <c r="W2858" s="10"/>
      <c r="X2858" s="10"/>
      <c r="Y2858" s="10"/>
      <c r="Z2858" s="10"/>
      <c r="AA2858" s="11"/>
      <c r="AB2858" s="11"/>
    </row>
    <row r="2859" spans="2:28" x14ac:dyDescent="0.3">
      <c r="B2859" s="10"/>
      <c r="C2859" s="315"/>
      <c r="D2859" s="868"/>
      <c r="E2859" s="837" t="str">
        <f>IFERROR(IF(_xlfn.XLOOKUP(Imput[[#This Row],[RFC]],'Alta Proveedor'!D:D,'Alta Proveedor'!E:E)=0,"",_xlfn.XLOOKUP(Imput[[#This Row],[RFC]],'Alta Proveedor'!D:D,'Alta Proveedor'!E:E)),"")</f>
        <v/>
      </c>
      <c r="F2859" s="832"/>
      <c r="G2859" s="187"/>
      <c r="H2859" s="1"/>
      <c r="I2859" s="169">
        <f>Imput[[#This Row],[Cantidad]]*Imput[[#This Row],[Precio Unitario]]</f>
        <v>0</v>
      </c>
      <c r="J2859" s="11">
        <f>((Imput[[#This Row],[Sub total]])*(0.16))</f>
        <v>0</v>
      </c>
      <c r="K2859" s="11">
        <v>0</v>
      </c>
      <c r="L2859" s="169">
        <f>Imput[[#This Row],[Sub total]]+Imput[[#This Row],[IVA]]-Imput[[#This Row],[Retención / IEPS / Descuento]]</f>
        <v>0</v>
      </c>
      <c r="M2859" s="844">
        <v>0</v>
      </c>
      <c r="N2859" s="189"/>
      <c r="O2859" s="1"/>
      <c r="P2859" s="189"/>
      <c r="Q2859" s="190"/>
      <c r="R2859" s="188"/>
      <c r="S2859" s="193"/>
      <c r="T2859" s="192"/>
      <c r="U2859" s="829"/>
      <c r="V2859" s="10"/>
      <c r="W2859" s="10"/>
      <c r="X2859" s="10"/>
      <c r="Y2859" s="10"/>
      <c r="Z2859" s="10"/>
      <c r="AA2859" s="11"/>
      <c r="AB2859" s="11"/>
    </row>
    <row r="2860" spans="2:28" x14ac:dyDescent="0.3">
      <c r="B2860" s="10"/>
      <c r="C2860" s="315"/>
      <c r="D2860" s="868"/>
      <c r="E2860" s="837" t="str">
        <f>IFERROR(IF(_xlfn.XLOOKUP(Imput[[#This Row],[RFC]],'Alta Proveedor'!D:D,'Alta Proveedor'!E:E)=0,"",_xlfn.XLOOKUP(Imput[[#This Row],[RFC]],'Alta Proveedor'!D:D,'Alta Proveedor'!E:E)),"")</f>
        <v/>
      </c>
      <c r="F2860" s="832"/>
      <c r="G2860" s="187"/>
      <c r="H2860" s="1"/>
      <c r="I2860" s="169">
        <f>Imput[[#This Row],[Cantidad]]*Imput[[#This Row],[Precio Unitario]]</f>
        <v>0</v>
      </c>
      <c r="J2860" s="11">
        <f>((Imput[[#This Row],[Sub total]])*(0.16))</f>
        <v>0</v>
      </c>
      <c r="K2860" s="11">
        <v>0</v>
      </c>
      <c r="L2860" s="169">
        <f>Imput[[#This Row],[Sub total]]+Imput[[#This Row],[IVA]]-Imput[[#This Row],[Retención / IEPS / Descuento]]</f>
        <v>0</v>
      </c>
      <c r="M2860" s="844">
        <v>0</v>
      </c>
      <c r="N2860" s="189"/>
      <c r="O2860" s="1"/>
      <c r="P2860" s="189"/>
      <c r="Q2860" s="190"/>
      <c r="R2860" s="188"/>
      <c r="S2860" s="193"/>
      <c r="T2860" s="192"/>
      <c r="U2860" s="829"/>
      <c r="V2860" s="10"/>
      <c r="W2860" s="10"/>
      <c r="X2860" s="10"/>
      <c r="Y2860" s="10"/>
      <c r="Z2860" s="10"/>
      <c r="AA2860" s="11"/>
      <c r="AB2860" s="11"/>
    </row>
    <row r="2861" spans="2:28" x14ac:dyDescent="0.3">
      <c r="B2861" s="10"/>
      <c r="C2861" s="315"/>
      <c r="D2861" s="868"/>
      <c r="E2861" s="837" t="str">
        <f>IFERROR(IF(_xlfn.XLOOKUP(Imput[[#This Row],[RFC]],'Alta Proveedor'!D:D,'Alta Proveedor'!E:E)=0,"",_xlfn.XLOOKUP(Imput[[#This Row],[RFC]],'Alta Proveedor'!D:D,'Alta Proveedor'!E:E)),"")</f>
        <v/>
      </c>
      <c r="F2861" s="832"/>
      <c r="G2861" s="187"/>
      <c r="H2861" s="1"/>
      <c r="I2861" s="169">
        <f>Imput[[#This Row],[Cantidad]]*Imput[[#This Row],[Precio Unitario]]</f>
        <v>0</v>
      </c>
      <c r="J2861" s="11">
        <f>((Imput[[#This Row],[Sub total]])*(0.16))</f>
        <v>0</v>
      </c>
      <c r="K2861" s="11">
        <v>0</v>
      </c>
      <c r="L2861" s="169">
        <f>Imput[[#This Row],[Sub total]]+Imput[[#This Row],[IVA]]-Imput[[#This Row],[Retención / IEPS / Descuento]]</f>
        <v>0</v>
      </c>
      <c r="M2861" s="844">
        <v>0</v>
      </c>
      <c r="N2861" s="189"/>
      <c r="O2861" s="1"/>
      <c r="P2861" s="189"/>
      <c r="Q2861" s="190"/>
      <c r="R2861" s="188"/>
      <c r="S2861" s="193"/>
      <c r="T2861" s="192"/>
      <c r="U2861" s="829"/>
      <c r="V2861" s="10"/>
      <c r="W2861" s="10"/>
      <c r="X2861" s="10"/>
      <c r="Y2861" s="10"/>
      <c r="Z2861" s="10"/>
      <c r="AA2861" s="11"/>
      <c r="AB2861" s="11"/>
    </row>
    <row r="2862" spans="2:28" x14ac:dyDescent="0.3">
      <c r="B2862" s="10"/>
      <c r="C2862" s="315"/>
      <c r="D2862" s="868"/>
      <c r="E2862" s="837" t="str">
        <f>IFERROR(IF(_xlfn.XLOOKUP(Imput[[#This Row],[RFC]],'Alta Proveedor'!D:D,'Alta Proveedor'!E:E)=0,"",_xlfn.XLOOKUP(Imput[[#This Row],[RFC]],'Alta Proveedor'!D:D,'Alta Proveedor'!E:E)),"")</f>
        <v/>
      </c>
      <c r="F2862" s="832"/>
      <c r="G2862" s="187"/>
      <c r="H2862" s="1"/>
      <c r="I2862" s="169">
        <f>Imput[[#This Row],[Cantidad]]*Imput[[#This Row],[Precio Unitario]]</f>
        <v>0</v>
      </c>
      <c r="J2862" s="11">
        <f>((Imput[[#This Row],[Sub total]])*(0.16))</f>
        <v>0</v>
      </c>
      <c r="K2862" s="11">
        <v>0</v>
      </c>
      <c r="L2862" s="169">
        <f>Imput[[#This Row],[Sub total]]+Imput[[#This Row],[IVA]]-Imput[[#This Row],[Retención / IEPS / Descuento]]</f>
        <v>0</v>
      </c>
      <c r="M2862" s="844">
        <v>0</v>
      </c>
      <c r="N2862" s="189"/>
      <c r="O2862" s="1"/>
      <c r="P2862" s="189"/>
      <c r="Q2862" s="190"/>
      <c r="R2862" s="188"/>
      <c r="S2862" s="193"/>
      <c r="T2862" s="192"/>
      <c r="U2862" s="829"/>
      <c r="V2862" s="10"/>
      <c r="W2862" s="10"/>
      <c r="X2862" s="10"/>
      <c r="Y2862" s="10"/>
      <c r="Z2862" s="10"/>
      <c r="AA2862" s="11"/>
      <c r="AB2862" s="11"/>
    </row>
    <row r="2863" spans="2:28" x14ac:dyDescent="0.3">
      <c r="B2863" s="10"/>
      <c r="C2863" s="315"/>
      <c r="D2863" s="868"/>
      <c r="E2863" s="837" t="str">
        <f>IFERROR(IF(_xlfn.XLOOKUP(Imput[[#This Row],[RFC]],'Alta Proveedor'!D:D,'Alta Proveedor'!E:E)=0,"",_xlfn.XLOOKUP(Imput[[#This Row],[RFC]],'Alta Proveedor'!D:D,'Alta Proveedor'!E:E)),"")</f>
        <v/>
      </c>
      <c r="F2863" s="832"/>
      <c r="G2863" s="187"/>
      <c r="H2863" s="1"/>
      <c r="I2863" s="169">
        <f>Imput[[#This Row],[Cantidad]]*Imput[[#This Row],[Precio Unitario]]</f>
        <v>0</v>
      </c>
      <c r="J2863" s="11">
        <f>((Imput[[#This Row],[Sub total]])*(0.16))</f>
        <v>0</v>
      </c>
      <c r="K2863" s="11">
        <v>0</v>
      </c>
      <c r="L2863" s="169">
        <f>Imput[[#This Row],[Sub total]]+Imput[[#This Row],[IVA]]-Imput[[#This Row],[Retención / IEPS / Descuento]]</f>
        <v>0</v>
      </c>
      <c r="M2863" s="844">
        <v>0</v>
      </c>
      <c r="N2863" s="189"/>
      <c r="O2863" s="1"/>
      <c r="P2863" s="189"/>
      <c r="Q2863" s="190"/>
      <c r="R2863" s="188"/>
      <c r="S2863" s="193"/>
      <c r="T2863" s="192"/>
      <c r="U2863" s="829"/>
      <c r="V2863" s="10"/>
      <c r="W2863" s="10"/>
      <c r="X2863" s="10"/>
      <c r="Y2863" s="10"/>
      <c r="Z2863" s="10"/>
      <c r="AA2863" s="11"/>
      <c r="AB2863" s="11"/>
    </row>
    <row r="2864" spans="2:28" x14ac:dyDescent="0.3">
      <c r="B2864" s="10"/>
      <c r="C2864" s="315"/>
      <c r="D2864" s="868"/>
      <c r="E2864" s="837" t="str">
        <f>IFERROR(IF(_xlfn.XLOOKUP(Imput[[#This Row],[RFC]],'Alta Proveedor'!D:D,'Alta Proveedor'!E:E)=0,"",_xlfn.XLOOKUP(Imput[[#This Row],[RFC]],'Alta Proveedor'!D:D,'Alta Proveedor'!E:E)),"")</f>
        <v/>
      </c>
      <c r="F2864" s="832"/>
      <c r="G2864" s="187"/>
      <c r="H2864" s="1"/>
      <c r="I2864" s="169">
        <f>Imput[[#This Row],[Cantidad]]*Imput[[#This Row],[Precio Unitario]]</f>
        <v>0</v>
      </c>
      <c r="J2864" s="11">
        <f>((Imput[[#This Row],[Sub total]])*(0.16))</f>
        <v>0</v>
      </c>
      <c r="K2864" s="11">
        <v>0</v>
      </c>
      <c r="L2864" s="169">
        <f>Imput[[#This Row],[Sub total]]+Imput[[#This Row],[IVA]]-Imput[[#This Row],[Retención / IEPS / Descuento]]</f>
        <v>0</v>
      </c>
      <c r="M2864" s="844">
        <v>0</v>
      </c>
      <c r="N2864" s="189"/>
      <c r="O2864" s="1"/>
      <c r="P2864" s="189"/>
      <c r="Q2864" s="190"/>
      <c r="R2864" s="188"/>
      <c r="S2864" s="193"/>
      <c r="T2864" s="192"/>
      <c r="U2864" s="829"/>
      <c r="V2864" s="10"/>
      <c r="W2864" s="10"/>
      <c r="X2864" s="10"/>
      <c r="Y2864" s="10"/>
      <c r="Z2864" s="10"/>
      <c r="AA2864" s="11"/>
      <c r="AB2864" s="11"/>
    </row>
    <row r="2865" spans="2:28" x14ac:dyDescent="0.3">
      <c r="B2865" s="10"/>
      <c r="C2865" s="315"/>
      <c r="D2865" s="868"/>
      <c r="E2865" s="837" t="str">
        <f>IFERROR(IF(_xlfn.XLOOKUP(Imput[[#This Row],[RFC]],'Alta Proveedor'!D:D,'Alta Proveedor'!E:E)=0,"",_xlfn.XLOOKUP(Imput[[#This Row],[RFC]],'Alta Proveedor'!D:D,'Alta Proveedor'!E:E)),"")</f>
        <v/>
      </c>
      <c r="F2865" s="832"/>
      <c r="G2865" s="187"/>
      <c r="H2865" s="1"/>
      <c r="I2865" s="169">
        <f>Imput[[#This Row],[Cantidad]]*Imput[[#This Row],[Precio Unitario]]</f>
        <v>0</v>
      </c>
      <c r="J2865" s="11">
        <f>((Imput[[#This Row],[Sub total]])*(0.16))</f>
        <v>0</v>
      </c>
      <c r="K2865" s="11">
        <v>0</v>
      </c>
      <c r="L2865" s="169">
        <f>Imput[[#This Row],[Sub total]]+Imput[[#This Row],[IVA]]-Imput[[#This Row],[Retención / IEPS / Descuento]]</f>
        <v>0</v>
      </c>
      <c r="M2865" s="844">
        <v>0</v>
      </c>
      <c r="N2865" s="189"/>
      <c r="O2865" s="1"/>
      <c r="P2865" s="189"/>
      <c r="Q2865" s="190"/>
      <c r="R2865" s="188"/>
      <c r="S2865" s="193"/>
      <c r="T2865" s="192"/>
      <c r="U2865" s="829"/>
      <c r="V2865" s="10"/>
      <c r="W2865" s="10"/>
      <c r="X2865" s="10"/>
      <c r="Y2865" s="10"/>
      <c r="Z2865" s="10"/>
      <c r="AA2865" s="11"/>
      <c r="AB2865" s="11"/>
    </row>
    <row r="2866" spans="2:28" x14ac:dyDescent="0.3">
      <c r="B2866" s="10"/>
      <c r="C2866" s="315"/>
      <c r="D2866" s="868"/>
      <c r="E2866" s="837" t="str">
        <f>IFERROR(IF(_xlfn.XLOOKUP(Imput[[#This Row],[RFC]],'Alta Proveedor'!D:D,'Alta Proveedor'!E:E)=0,"",_xlfn.XLOOKUP(Imput[[#This Row],[RFC]],'Alta Proveedor'!D:D,'Alta Proveedor'!E:E)),"")</f>
        <v/>
      </c>
      <c r="F2866" s="832"/>
      <c r="G2866" s="187"/>
      <c r="H2866" s="1"/>
      <c r="I2866" s="169">
        <f>Imput[[#This Row],[Cantidad]]*Imput[[#This Row],[Precio Unitario]]</f>
        <v>0</v>
      </c>
      <c r="J2866" s="11">
        <f>((Imput[[#This Row],[Sub total]])*(0.16))</f>
        <v>0</v>
      </c>
      <c r="K2866" s="11">
        <v>0</v>
      </c>
      <c r="L2866" s="169">
        <f>Imput[[#This Row],[Sub total]]+Imput[[#This Row],[IVA]]-Imput[[#This Row],[Retención / IEPS / Descuento]]</f>
        <v>0</v>
      </c>
      <c r="M2866" s="844">
        <v>0</v>
      </c>
      <c r="N2866" s="189"/>
      <c r="O2866" s="1"/>
      <c r="P2866" s="189"/>
      <c r="Q2866" s="190"/>
      <c r="R2866" s="188"/>
      <c r="S2866" s="193"/>
      <c r="T2866" s="192"/>
      <c r="U2866" s="829"/>
      <c r="V2866" s="10"/>
      <c r="W2866" s="10"/>
      <c r="X2866" s="10"/>
      <c r="Y2866" s="10"/>
      <c r="Z2866" s="10"/>
      <c r="AA2866" s="11"/>
      <c r="AB2866" s="11"/>
    </row>
    <row r="2867" spans="2:28" x14ac:dyDescent="0.3">
      <c r="B2867" s="10"/>
      <c r="C2867" s="315"/>
      <c r="D2867" s="868"/>
      <c r="E2867" s="837" t="str">
        <f>IFERROR(IF(_xlfn.XLOOKUP(Imput[[#This Row],[RFC]],'Alta Proveedor'!D:D,'Alta Proveedor'!E:E)=0,"",_xlfn.XLOOKUP(Imput[[#This Row],[RFC]],'Alta Proveedor'!D:D,'Alta Proveedor'!E:E)),"")</f>
        <v/>
      </c>
      <c r="F2867" s="832"/>
      <c r="G2867" s="187"/>
      <c r="H2867" s="1"/>
      <c r="I2867" s="169">
        <f>Imput[[#This Row],[Cantidad]]*Imput[[#This Row],[Precio Unitario]]</f>
        <v>0</v>
      </c>
      <c r="J2867" s="11">
        <f>((Imput[[#This Row],[Sub total]])*(0.16))</f>
        <v>0</v>
      </c>
      <c r="K2867" s="11">
        <v>0</v>
      </c>
      <c r="L2867" s="169">
        <f>Imput[[#This Row],[Sub total]]+Imput[[#This Row],[IVA]]-Imput[[#This Row],[Retención / IEPS / Descuento]]</f>
        <v>0</v>
      </c>
      <c r="M2867" s="844">
        <v>0</v>
      </c>
      <c r="N2867" s="189"/>
      <c r="O2867" s="1"/>
      <c r="P2867" s="189"/>
      <c r="Q2867" s="190"/>
      <c r="R2867" s="188"/>
      <c r="S2867" s="193"/>
      <c r="T2867" s="192"/>
      <c r="U2867" s="829"/>
      <c r="V2867" s="10"/>
      <c r="W2867" s="10"/>
      <c r="X2867" s="10"/>
      <c r="Y2867" s="10"/>
      <c r="Z2867" s="10"/>
      <c r="AA2867" s="11"/>
      <c r="AB2867" s="11"/>
    </row>
    <row r="2868" spans="2:28" x14ac:dyDescent="0.3">
      <c r="B2868" s="10"/>
      <c r="C2868" s="315"/>
      <c r="D2868" s="868"/>
      <c r="E2868" s="837" t="str">
        <f>IFERROR(IF(_xlfn.XLOOKUP(Imput[[#This Row],[RFC]],'Alta Proveedor'!D:D,'Alta Proveedor'!E:E)=0,"",_xlfn.XLOOKUP(Imput[[#This Row],[RFC]],'Alta Proveedor'!D:D,'Alta Proveedor'!E:E)),"")</f>
        <v/>
      </c>
      <c r="F2868" s="832"/>
      <c r="G2868" s="187"/>
      <c r="H2868" s="1"/>
      <c r="I2868" s="169">
        <f>Imput[[#This Row],[Cantidad]]*Imput[[#This Row],[Precio Unitario]]</f>
        <v>0</v>
      </c>
      <c r="J2868" s="11">
        <f>((Imput[[#This Row],[Sub total]])*(0.16))</f>
        <v>0</v>
      </c>
      <c r="K2868" s="11">
        <v>0</v>
      </c>
      <c r="L2868" s="169">
        <f>Imput[[#This Row],[Sub total]]+Imput[[#This Row],[IVA]]-Imput[[#This Row],[Retención / IEPS / Descuento]]</f>
        <v>0</v>
      </c>
      <c r="M2868" s="844">
        <v>0</v>
      </c>
      <c r="N2868" s="189"/>
      <c r="O2868" s="1"/>
      <c r="P2868" s="189"/>
      <c r="Q2868" s="190"/>
      <c r="R2868" s="188"/>
      <c r="S2868" s="193"/>
      <c r="T2868" s="192"/>
      <c r="U2868" s="829"/>
      <c r="V2868" s="10"/>
      <c r="W2868" s="10"/>
      <c r="X2868" s="10"/>
      <c r="Y2868" s="10"/>
      <c r="Z2868" s="10"/>
      <c r="AA2868" s="11"/>
      <c r="AB2868" s="11"/>
    </row>
    <row r="2869" spans="2:28" x14ac:dyDescent="0.3">
      <c r="B2869" s="10"/>
      <c r="C2869" s="315"/>
      <c r="D2869" s="868"/>
      <c r="E2869" s="837" t="str">
        <f>IFERROR(IF(_xlfn.XLOOKUP(Imput[[#This Row],[RFC]],'Alta Proveedor'!D:D,'Alta Proveedor'!E:E)=0,"",_xlfn.XLOOKUP(Imput[[#This Row],[RFC]],'Alta Proveedor'!D:D,'Alta Proveedor'!E:E)),"")</f>
        <v/>
      </c>
      <c r="F2869" s="832"/>
      <c r="G2869" s="187"/>
      <c r="H2869" s="1"/>
      <c r="I2869" s="169">
        <f>Imput[[#This Row],[Cantidad]]*Imput[[#This Row],[Precio Unitario]]</f>
        <v>0</v>
      </c>
      <c r="J2869" s="11">
        <f>((Imput[[#This Row],[Sub total]])*(0.16))</f>
        <v>0</v>
      </c>
      <c r="K2869" s="11">
        <v>0</v>
      </c>
      <c r="L2869" s="169">
        <f>Imput[[#This Row],[Sub total]]+Imput[[#This Row],[IVA]]-Imput[[#This Row],[Retención / IEPS / Descuento]]</f>
        <v>0</v>
      </c>
      <c r="M2869" s="844">
        <v>0</v>
      </c>
      <c r="N2869" s="189"/>
      <c r="O2869" s="1"/>
      <c r="P2869" s="189"/>
      <c r="Q2869" s="190"/>
      <c r="R2869" s="188"/>
      <c r="S2869" s="193"/>
      <c r="T2869" s="192"/>
      <c r="U2869" s="829"/>
      <c r="V2869" s="10"/>
      <c r="W2869" s="10"/>
      <c r="X2869" s="10"/>
      <c r="Y2869" s="10"/>
      <c r="Z2869" s="10"/>
      <c r="AA2869" s="11"/>
      <c r="AB2869" s="11"/>
    </row>
    <row r="2870" spans="2:28" x14ac:dyDescent="0.3">
      <c r="B2870" s="10"/>
      <c r="C2870" s="315"/>
      <c r="D2870" s="868"/>
      <c r="E2870" s="837" t="str">
        <f>IFERROR(IF(_xlfn.XLOOKUP(Imput[[#This Row],[RFC]],'Alta Proveedor'!D:D,'Alta Proveedor'!E:E)=0,"",_xlfn.XLOOKUP(Imput[[#This Row],[RFC]],'Alta Proveedor'!D:D,'Alta Proveedor'!E:E)),"")</f>
        <v/>
      </c>
      <c r="F2870" s="832"/>
      <c r="G2870" s="187"/>
      <c r="H2870" s="1"/>
      <c r="I2870" s="169">
        <f>Imput[[#This Row],[Cantidad]]*Imput[[#This Row],[Precio Unitario]]</f>
        <v>0</v>
      </c>
      <c r="J2870" s="11">
        <f>((Imput[[#This Row],[Sub total]])*(0.16))</f>
        <v>0</v>
      </c>
      <c r="K2870" s="11">
        <v>0</v>
      </c>
      <c r="L2870" s="169">
        <f>Imput[[#This Row],[Sub total]]+Imput[[#This Row],[IVA]]-Imput[[#This Row],[Retención / IEPS / Descuento]]</f>
        <v>0</v>
      </c>
      <c r="M2870" s="844">
        <v>0</v>
      </c>
      <c r="N2870" s="189"/>
      <c r="O2870" s="1"/>
      <c r="P2870" s="189"/>
      <c r="Q2870" s="190"/>
      <c r="R2870" s="188"/>
      <c r="S2870" s="193"/>
      <c r="T2870" s="192"/>
      <c r="U2870" s="829"/>
      <c r="V2870" s="10"/>
      <c r="W2870" s="10"/>
      <c r="X2870" s="10"/>
      <c r="Y2870" s="10"/>
      <c r="Z2870" s="10"/>
      <c r="AA2870" s="11"/>
      <c r="AB2870" s="11"/>
    </row>
    <row r="2871" spans="2:28" x14ac:dyDescent="0.3">
      <c r="B2871" s="10"/>
      <c r="C2871" s="315"/>
      <c r="D2871" s="868"/>
      <c r="E2871" s="837" t="str">
        <f>IFERROR(IF(_xlfn.XLOOKUP(Imput[[#This Row],[RFC]],'Alta Proveedor'!D:D,'Alta Proveedor'!E:E)=0,"",_xlfn.XLOOKUP(Imput[[#This Row],[RFC]],'Alta Proveedor'!D:D,'Alta Proveedor'!E:E)),"")</f>
        <v/>
      </c>
      <c r="F2871" s="832"/>
      <c r="G2871" s="187"/>
      <c r="H2871" s="1"/>
      <c r="I2871" s="169">
        <f>Imput[[#This Row],[Cantidad]]*Imput[[#This Row],[Precio Unitario]]</f>
        <v>0</v>
      </c>
      <c r="J2871" s="11">
        <f>((Imput[[#This Row],[Sub total]])*(0.16))</f>
        <v>0</v>
      </c>
      <c r="K2871" s="11">
        <v>0</v>
      </c>
      <c r="L2871" s="169">
        <f>Imput[[#This Row],[Sub total]]+Imput[[#This Row],[IVA]]-Imput[[#This Row],[Retención / IEPS / Descuento]]</f>
        <v>0</v>
      </c>
      <c r="M2871" s="844">
        <v>0</v>
      </c>
      <c r="N2871" s="189"/>
      <c r="O2871" s="1"/>
      <c r="P2871" s="189"/>
      <c r="Q2871" s="190"/>
      <c r="R2871" s="188"/>
      <c r="S2871" s="193"/>
      <c r="T2871" s="192"/>
      <c r="U2871" s="829"/>
      <c r="V2871" s="10"/>
      <c r="W2871" s="10"/>
      <c r="X2871" s="10"/>
      <c r="Y2871" s="10"/>
      <c r="Z2871" s="10"/>
      <c r="AA2871" s="11"/>
      <c r="AB2871" s="11"/>
    </row>
    <row r="2872" spans="2:28" x14ac:dyDescent="0.3">
      <c r="B2872" s="10"/>
      <c r="C2872" s="315"/>
      <c r="D2872" s="868"/>
      <c r="E2872" s="837" t="str">
        <f>IFERROR(IF(_xlfn.XLOOKUP(Imput[[#This Row],[RFC]],'Alta Proveedor'!D:D,'Alta Proveedor'!E:E)=0,"",_xlfn.XLOOKUP(Imput[[#This Row],[RFC]],'Alta Proveedor'!D:D,'Alta Proveedor'!E:E)),"")</f>
        <v/>
      </c>
      <c r="F2872" s="832"/>
      <c r="G2872" s="187"/>
      <c r="H2872" s="1"/>
      <c r="I2872" s="169">
        <f>Imput[[#This Row],[Cantidad]]*Imput[[#This Row],[Precio Unitario]]</f>
        <v>0</v>
      </c>
      <c r="J2872" s="11">
        <f>((Imput[[#This Row],[Sub total]])*(0.16))</f>
        <v>0</v>
      </c>
      <c r="K2872" s="11">
        <v>0</v>
      </c>
      <c r="L2872" s="169">
        <f>Imput[[#This Row],[Sub total]]+Imput[[#This Row],[IVA]]-Imput[[#This Row],[Retención / IEPS / Descuento]]</f>
        <v>0</v>
      </c>
      <c r="M2872" s="844">
        <v>0</v>
      </c>
      <c r="N2872" s="189"/>
      <c r="O2872" s="1"/>
      <c r="P2872" s="189"/>
      <c r="Q2872" s="190"/>
      <c r="R2872" s="188"/>
      <c r="S2872" s="193"/>
      <c r="T2872" s="192"/>
      <c r="U2872" s="829"/>
      <c r="V2872" s="10"/>
      <c r="W2872" s="10"/>
      <c r="X2872" s="10"/>
      <c r="Y2872" s="10"/>
      <c r="Z2872" s="10"/>
      <c r="AA2872" s="11"/>
      <c r="AB2872" s="11"/>
    </row>
    <row r="2873" spans="2:28" x14ac:dyDescent="0.3">
      <c r="B2873" s="10"/>
      <c r="C2873" s="315"/>
      <c r="D2873" s="868"/>
      <c r="E2873" s="837" t="str">
        <f>IFERROR(IF(_xlfn.XLOOKUP(Imput[[#This Row],[RFC]],'Alta Proveedor'!D:D,'Alta Proveedor'!E:E)=0,"",_xlfn.XLOOKUP(Imput[[#This Row],[RFC]],'Alta Proveedor'!D:D,'Alta Proveedor'!E:E)),"")</f>
        <v/>
      </c>
      <c r="F2873" s="832"/>
      <c r="G2873" s="187"/>
      <c r="H2873" s="1"/>
      <c r="I2873" s="169">
        <f>Imput[[#This Row],[Cantidad]]*Imput[[#This Row],[Precio Unitario]]</f>
        <v>0</v>
      </c>
      <c r="J2873" s="11">
        <f>((Imput[[#This Row],[Sub total]])*(0.16))</f>
        <v>0</v>
      </c>
      <c r="K2873" s="11">
        <v>0</v>
      </c>
      <c r="L2873" s="169">
        <f>Imput[[#This Row],[Sub total]]+Imput[[#This Row],[IVA]]-Imput[[#This Row],[Retención / IEPS / Descuento]]</f>
        <v>0</v>
      </c>
      <c r="M2873" s="844">
        <v>0</v>
      </c>
      <c r="N2873" s="189"/>
      <c r="O2873" s="1"/>
      <c r="P2873" s="189"/>
      <c r="Q2873" s="190"/>
      <c r="R2873" s="188"/>
      <c r="S2873" s="193"/>
      <c r="T2873" s="192"/>
      <c r="U2873" s="829"/>
      <c r="V2873" s="10"/>
      <c r="W2873" s="10"/>
      <c r="X2873" s="10"/>
      <c r="Y2873" s="10"/>
      <c r="Z2873" s="10"/>
      <c r="AA2873" s="11"/>
      <c r="AB2873" s="11"/>
    </row>
    <row r="2874" spans="2:28" x14ac:dyDescent="0.3">
      <c r="B2874" s="10"/>
      <c r="C2874" s="315"/>
      <c r="D2874" s="868"/>
      <c r="E2874" s="837" t="str">
        <f>IFERROR(IF(_xlfn.XLOOKUP(Imput[[#This Row],[RFC]],'Alta Proveedor'!D:D,'Alta Proveedor'!E:E)=0,"",_xlfn.XLOOKUP(Imput[[#This Row],[RFC]],'Alta Proveedor'!D:D,'Alta Proveedor'!E:E)),"")</f>
        <v/>
      </c>
      <c r="F2874" s="832"/>
      <c r="G2874" s="187"/>
      <c r="H2874" s="1"/>
      <c r="I2874" s="169">
        <f>Imput[[#This Row],[Cantidad]]*Imput[[#This Row],[Precio Unitario]]</f>
        <v>0</v>
      </c>
      <c r="J2874" s="11">
        <f>((Imput[[#This Row],[Sub total]])*(0.16))</f>
        <v>0</v>
      </c>
      <c r="K2874" s="11">
        <v>0</v>
      </c>
      <c r="L2874" s="169">
        <f>Imput[[#This Row],[Sub total]]+Imput[[#This Row],[IVA]]-Imput[[#This Row],[Retención / IEPS / Descuento]]</f>
        <v>0</v>
      </c>
      <c r="M2874" s="844">
        <v>0</v>
      </c>
      <c r="N2874" s="189"/>
      <c r="O2874" s="1"/>
      <c r="P2874" s="189"/>
      <c r="Q2874" s="190"/>
      <c r="R2874" s="188"/>
      <c r="S2874" s="193"/>
      <c r="T2874" s="192"/>
      <c r="U2874" s="829"/>
      <c r="V2874" s="10"/>
      <c r="W2874" s="10"/>
      <c r="X2874" s="10"/>
      <c r="Y2874" s="10"/>
      <c r="Z2874" s="10"/>
      <c r="AA2874" s="11"/>
      <c r="AB2874" s="11"/>
    </row>
    <row r="2875" spans="2:28" x14ac:dyDescent="0.3">
      <c r="B2875" s="10"/>
      <c r="C2875" s="315"/>
      <c r="D2875" s="868"/>
      <c r="E2875" s="837" t="str">
        <f>IFERROR(IF(_xlfn.XLOOKUP(Imput[[#This Row],[RFC]],'Alta Proveedor'!D:D,'Alta Proveedor'!E:E)=0,"",_xlfn.XLOOKUP(Imput[[#This Row],[RFC]],'Alta Proveedor'!D:D,'Alta Proveedor'!E:E)),"")</f>
        <v/>
      </c>
      <c r="F2875" s="832"/>
      <c r="G2875" s="187"/>
      <c r="H2875" s="1"/>
      <c r="I2875" s="169">
        <f>Imput[[#This Row],[Cantidad]]*Imput[[#This Row],[Precio Unitario]]</f>
        <v>0</v>
      </c>
      <c r="J2875" s="11">
        <f>((Imput[[#This Row],[Sub total]])*(0.16))</f>
        <v>0</v>
      </c>
      <c r="K2875" s="11">
        <v>0</v>
      </c>
      <c r="L2875" s="169">
        <f>Imput[[#This Row],[Sub total]]+Imput[[#This Row],[IVA]]-Imput[[#This Row],[Retención / IEPS / Descuento]]</f>
        <v>0</v>
      </c>
      <c r="M2875" s="844">
        <v>0</v>
      </c>
      <c r="N2875" s="189"/>
      <c r="O2875" s="1"/>
      <c r="P2875" s="189"/>
      <c r="Q2875" s="190"/>
      <c r="R2875" s="188"/>
      <c r="S2875" s="193"/>
      <c r="T2875" s="192"/>
      <c r="U2875" s="829"/>
      <c r="V2875" s="10"/>
      <c r="W2875" s="10"/>
      <c r="X2875" s="10"/>
      <c r="Y2875" s="10"/>
      <c r="Z2875" s="10"/>
      <c r="AA2875" s="11"/>
      <c r="AB2875" s="11"/>
    </row>
    <row r="2876" spans="2:28" x14ac:dyDescent="0.3">
      <c r="B2876" s="10"/>
      <c r="C2876" s="315"/>
      <c r="D2876" s="868"/>
      <c r="E2876" s="837" t="str">
        <f>IFERROR(IF(_xlfn.XLOOKUP(Imput[[#This Row],[RFC]],'Alta Proveedor'!D:D,'Alta Proveedor'!E:E)=0,"",_xlfn.XLOOKUP(Imput[[#This Row],[RFC]],'Alta Proveedor'!D:D,'Alta Proveedor'!E:E)),"")</f>
        <v/>
      </c>
      <c r="F2876" s="832"/>
      <c r="G2876" s="187"/>
      <c r="H2876" s="1"/>
      <c r="I2876" s="169">
        <f>Imput[[#This Row],[Cantidad]]*Imput[[#This Row],[Precio Unitario]]</f>
        <v>0</v>
      </c>
      <c r="J2876" s="11">
        <f>((Imput[[#This Row],[Sub total]])*(0.16))</f>
        <v>0</v>
      </c>
      <c r="K2876" s="11">
        <v>0</v>
      </c>
      <c r="L2876" s="169">
        <f>Imput[[#This Row],[Sub total]]+Imput[[#This Row],[IVA]]-Imput[[#This Row],[Retención / IEPS / Descuento]]</f>
        <v>0</v>
      </c>
      <c r="M2876" s="844">
        <v>0</v>
      </c>
      <c r="N2876" s="189"/>
      <c r="O2876" s="1"/>
      <c r="P2876" s="189"/>
      <c r="Q2876" s="190"/>
      <c r="R2876" s="188"/>
      <c r="S2876" s="193"/>
      <c r="T2876" s="192"/>
      <c r="U2876" s="829"/>
      <c r="V2876" s="10"/>
      <c r="W2876" s="10"/>
      <c r="X2876" s="10"/>
      <c r="Y2876" s="10"/>
      <c r="Z2876" s="10"/>
      <c r="AA2876" s="11"/>
      <c r="AB2876" s="11"/>
    </row>
    <row r="2877" spans="2:28" x14ac:dyDescent="0.3">
      <c r="B2877" s="10"/>
      <c r="C2877" s="315"/>
      <c r="D2877" s="868"/>
      <c r="E2877" s="837" t="str">
        <f>IFERROR(IF(_xlfn.XLOOKUP(Imput[[#This Row],[RFC]],'Alta Proveedor'!D:D,'Alta Proveedor'!E:E)=0,"",_xlfn.XLOOKUP(Imput[[#This Row],[RFC]],'Alta Proveedor'!D:D,'Alta Proveedor'!E:E)),"")</f>
        <v/>
      </c>
      <c r="F2877" s="832"/>
      <c r="G2877" s="187"/>
      <c r="H2877" s="1"/>
      <c r="I2877" s="169">
        <f>Imput[[#This Row],[Cantidad]]*Imput[[#This Row],[Precio Unitario]]</f>
        <v>0</v>
      </c>
      <c r="J2877" s="11">
        <f>((Imput[[#This Row],[Sub total]])*(0.16))</f>
        <v>0</v>
      </c>
      <c r="K2877" s="11">
        <v>0</v>
      </c>
      <c r="L2877" s="169">
        <f>Imput[[#This Row],[Sub total]]+Imput[[#This Row],[IVA]]-Imput[[#This Row],[Retención / IEPS / Descuento]]</f>
        <v>0</v>
      </c>
      <c r="M2877" s="844">
        <v>0</v>
      </c>
      <c r="N2877" s="189"/>
      <c r="O2877" s="1"/>
      <c r="P2877" s="189"/>
      <c r="Q2877" s="190"/>
      <c r="R2877" s="188"/>
      <c r="S2877" s="193"/>
      <c r="T2877" s="192"/>
      <c r="U2877" s="829"/>
      <c r="V2877" s="10"/>
      <c r="W2877" s="10"/>
      <c r="X2877" s="10"/>
      <c r="Y2877" s="10"/>
      <c r="Z2877" s="10"/>
      <c r="AA2877" s="11"/>
      <c r="AB2877" s="11"/>
    </row>
    <row r="2878" spans="2:28" x14ac:dyDescent="0.3">
      <c r="B2878" s="10"/>
      <c r="C2878" s="315"/>
      <c r="D2878" s="868"/>
      <c r="E2878" s="837" t="str">
        <f>IFERROR(IF(_xlfn.XLOOKUP(Imput[[#This Row],[RFC]],'Alta Proveedor'!D:D,'Alta Proveedor'!E:E)=0,"",_xlfn.XLOOKUP(Imput[[#This Row],[RFC]],'Alta Proveedor'!D:D,'Alta Proveedor'!E:E)),"")</f>
        <v/>
      </c>
      <c r="F2878" s="832"/>
      <c r="G2878" s="187"/>
      <c r="H2878" s="1"/>
      <c r="I2878" s="169">
        <f>Imput[[#This Row],[Cantidad]]*Imput[[#This Row],[Precio Unitario]]</f>
        <v>0</v>
      </c>
      <c r="J2878" s="11">
        <f>((Imput[[#This Row],[Sub total]])*(0.16))</f>
        <v>0</v>
      </c>
      <c r="K2878" s="11">
        <v>0</v>
      </c>
      <c r="L2878" s="169">
        <f>Imput[[#This Row],[Sub total]]+Imput[[#This Row],[IVA]]-Imput[[#This Row],[Retención / IEPS / Descuento]]</f>
        <v>0</v>
      </c>
      <c r="M2878" s="844">
        <v>0</v>
      </c>
      <c r="N2878" s="189"/>
      <c r="O2878" s="1"/>
      <c r="P2878" s="189"/>
      <c r="Q2878" s="190"/>
      <c r="R2878" s="188"/>
      <c r="S2878" s="193"/>
      <c r="T2878" s="192"/>
      <c r="U2878" s="829"/>
      <c r="V2878" s="10"/>
      <c r="W2878" s="10"/>
      <c r="X2878" s="10"/>
      <c r="Y2878" s="10"/>
      <c r="Z2878" s="10"/>
      <c r="AA2878" s="11"/>
      <c r="AB2878" s="11"/>
    </row>
    <row r="2879" spans="2:28" x14ac:dyDescent="0.3">
      <c r="B2879" s="10"/>
      <c r="C2879" s="315"/>
      <c r="D2879" s="868"/>
      <c r="E2879" s="837" t="str">
        <f>IFERROR(IF(_xlfn.XLOOKUP(Imput[[#This Row],[RFC]],'Alta Proveedor'!D:D,'Alta Proveedor'!E:E)=0,"",_xlfn.XLOOKUP(Imput[[#This Row],[RFC]],'Alta Proveedor'!D:D,'Alta Proveedor'!E:E)),"")</f>
        <v/>
      </c>
      <c r="F2879" s="832"/>
      <c r="G2879" s="187"/>
      <c r="H2879" s="1"/>
      <c r="I2879" s="169">
        <f>Imput[[#This Row],[Cantidad]]*Imput[[#This Row],[Precio Unitario]]</f>
        <v>0</v>
      </c>
      <c r="J2879" s="11">
        <f>((Imput[[#This Row],[Sub total]])*(0.16))</f>
        <v>0</v>
      </c>
      <c r="K2879" s="11">
        <v>0</v>
      </c>
      <c r="L2879" s="169">
        <f>Imput[[#This Row],[Sub total]]+Imput[[#This Row],[IVA]]-Imput[[#This Row],[Retención / IEPS / Descuento]]</f>
        <v>0</v>
      </c>
      <c r="M2879" s="844">
        <v>0</v>
      </c>
      <c r="N2879" s="189"/>
      <c r="O2879" s="1"/>
      <c r="P2879" s="189"/>
      <c r="Q2879" s="190"/>
      <c r="R2879" s="188"/>
      <c r="S2879" s="193"/>
      <c r="T2879" s="192"/>
      <c r="U2879" s="829"/>
      <c r="V2879" s="10"/>
      <c r="W2879" s="10"/>
      <c r="X2879" s="10"/>
      <c r="Y2879" s="10"/>
      <c r="Z2879" s="10"/>
      <c r="AA2879" s="11"/>
      <c r="AB2879" s="11"/>
    </row>
    <row r="2880" spans="2:28" x14ac:dyDescent="0.3">
      <c r="B2880" s="10"/>
      <c r="C2880" s="315"/>
      <c r="D2880" s="868"/>
      <c r="E2880" s="837" t="str">
        <f>IFERROR(IF(_xlfn.XLOOKUP(Imput[[#This Row],[RFC]],'Alta Proveedor'!D:D,'Alta Proveedor'!E:E)=0,"",_xlfn.XLOOKUP(Imput[[#This Row],[RFC]],'Alta Proveedor'!D:D,'Alta Proveedor'!E:E)),"")</f>
        <v/>
      </c>
      <c r="F2880" s="832"/>
      <c r="G2880" s="187"/>
      <c r="H2880" s="1"/>
      <c r="I2880" s="169">
        <f>Imput[[#This Row],[Cantidad]]*Imput[[#This Row],[Precio Unitario]]</f>
        <v>0</v>
      </c>
      <c r="J2880" s="11">
        <f>((Imput[[#This Row],[Sub total]])*(0.16))</f>
        <v>0</v>
      </c>
      <c r="K2880" s="11">
        <v>0</v>
      </c>
      <c r="L2880" s="169">
        <f>Imput[[#This Row],[Sub total]]+Imput[[#This Row],[IVA]]-Imput[[#This Row],[Retención / IEPS / Descuento]]</f>
        <v>0</v>
      </c>
      <c r="M2880" s="844">
        <v>0</v>
      </c>
      <c r="N2880" s="189"/>
      <c r="O2880" s="1"/>
      <c r="P2880" s="189"/>
      <c r="Q2880" s="190"/>
      <c r="R2880" s="188"/>
      <c r="S2880" s="193"/>
      <c r="T2880" s="192"/>
      <c r="U2880" s="829"/>
      <c r="V2880" s="10"/>
      <c r="W2880" s="10"/>
      <c r="X2880" s="10"/>
      <c r="Y2880" s="10"/>
      <c r="Z2880" s="10"/>
      <c r="AA2880" s="11"/>
      <c r="AB2880" s="11"/>
    </row>
    <row r="2881" spans="2:28" x14ac:dyDescent="0.3">
      <c r="B2881" s="10"/>
      <c r="C2881" s="315"/>
      <c r="D2881" s="868"/>
      <c r="E2881" s="837" t="str">
        <f>IFERROR(IF(_xlfn.XLOOKUP(Imput[[#This Row],[RFC]],'Alta Proveedor'!D:D,'Alta Proveedor'!E:E)=0,"",_xlfn.XLOOKUP(Imput[[#This Row],[RFC]],'Alta Proveedor'!D:D,'Alta Proveedor'!E:E)),"")</f>
        <v/>
      </c>
      <c r="F2881" s="832"/>
      <c r="G2881" s="187"/>
      <c r="H2881" s="1"/>
      <c r="I2881" s="169">
        <f>Imput[[#This Row],[Cantidad]]*Imput[[#This Row],[Precio Unitario]]</f>
        <v>0</v>
      </c>
      <c r="J2881" s="11">
        <f>((Imput[[#This Row],[Sub total]])*(0.16))</f>
        <v>0</v>
      </c>
      <c r="K2881" s="11">
        <v>0</v>
      </c>
      <c r="L2881" s="169">
        <f>Imput[[#This Row],[Sub total]]+Imput[[#This Row],[IVA]]-Imput[[#This Row],[Retención / IEPS / Descuento]]</f>
        <v>0</v>
      </c>
      <c r="M2881" s="844">
        <v>0</v>
      </c>
      <c r="N2881" s="189"/>
      <c r="O2881" s="1"/>
      <c r="P2881" s="189"/>
      <c r="Q2881" s="190"/>
      <c r="R2881" s="188"/>
      <c r="S2881" s="193"/>
      <c r="T2881" s="192"/>
      <c r="U2881" s="829"/>
      <c r="V2881" s="10"/>
      <c r="W2881" s="10"/>
      <c r="X2881" s="10"/>
      <c r="Y2881" s="10"/>
      <c r="Z2881" s="10"/>
      <c r="AA2881" s="11"/>
      <c r="AB2881" s="11"/>
    </row>
    <row r="2882" spans="2:28" x14ac:dyDescent="0.3">
      <c r="B2882" s="10"/>
      <c r="C2882" s="315"/>
      <c r="D2882" s="868"/>
      <c r="E2882" s="837" t="str">
        <f>IFERROR(IF(_xlfn.XLOOKUP(Imput[[#This Row],[RFC]],'Alta Proveedor'!D:D,'Alta Proveedor'!E:E)=0,"",_xlfn.XLOOKUP(Imput[[#This Row],[RFC]],'Alta Proveedor'!D:D,'Alta Proveedor'!E:E)),"")</f>
        <v/>
      </c>
      <c r="F2882" s="832"/>
      <c r="G2882" s="187"/>
      <c r="H2882" s="1"/>
      <c r="I2882" s="169">
        <f>Imput[[#This Row],[Cantidad]]*Imput[[#This Row],[Precio Unitario]]</f>
        <v>0</v>
      </c>
      <c r="J2882" s="11">
        <f>((Imput[[#This Row],[Sub total]])*(0.16))</f>
        <v>0</v>
      </c>
      <c r="K2882" s="11">
        <v>0</v>
      </c>
      <c r="L2882" s="169">
        <f>Imput[[#This Row],[Sub total]]+Imput[[#This Row],[IVA]]-Imput[[#This Row],[Retención / IEPS / Descuento]]</f>
        <v>0</v>
      </c>
      <c r="M2882" s="844">
        <v>0</v>
      </c>
      <c r="N2882" s="189"/>
      <c r="O2882" s="1"/>
      <c r="P2882" s="189"/>
      <c r="Q2882" s="190"/>
      <c r="R2882" s="188"/>
      <c r="S2882" s="193"/>
      <c r="T2882" s="192"/>
      <c r="U2882" s="829"/>
      <c r="V2882" s="10"/>
      <c r="W2882" s="10"/>
      <c r="X2882" s="10"/>
      <c r="Y2882" s="10"/>
      <c r="Z2882" s="10"/>
      <c r="AA2882" s="11"/>
      <c r="AB2882" s="11"/>
    </row>
    <row r="2883" spans="2:28" x14ac:dyDescent="0.3">
      <c r="B2883" s="10"/>
      <c r="C2883" s="315"/>
      <c r="D2883" s="868"/>
      <c r="E2883" s="837" t="str">
        <f>IFERROR(IF(_xlfn.XLOOKUP(Imput[[#This Row],[RFC]],'Alta Proveedor'!D:D,'Alta Proveedor'!E:E)=0,"",_xlfn.XLOOKUP(Imput[[#This Row],[RFC]],'Alta Proveedor'!D:D,'Alta Proveedor'!E:E)),"")</f>
        <v/>
      </c>
      <c r="F2883" s="832"/>
      <c r="G2883" s="187"/>
      <c r="H2883" s="1"/>
      <c r="I2883" s="169">
        <f>Imput[[#This Row],[Cantidad]]*Imput[[#This Row],[Precio Unitario]]</f>
        <v>0</v>
      </c>
      <c r="J2883" s="11">
        <f>((Imput[[#This Row],[Sub total]])*(0.16))</f>
        <v>0</v>
      </c>
      <c r="K2883" s="11">
        <v>0</v>
      </c>
      <c r="L2883" s="169">
        <f>Imput[[#This Row],[Sub total]]+Imput[[#This Row],[IVA]]-Imput[[#This Row],[Retención / IEPS / Descuento]]</f>
        <v>0</v>
      </c>
      <c r="M2883" s="844">
        <v>0</v>
      </c>
      <c r="N2883" s="189"/>
      <c r="O2883" s="1"/>
      <c r="P2883" s="189"/>
      <c r="Q2883" s="190"/>
      <c r="R2883" s="188"/>
      <c r="S2883" s="193"/>
      <c r="T2883" s="192"/>
      <c r="U2883" s="829"/>
      <c r="V2883" s="10"/>
      <c r="W2883" s="10"/>
      <c r="X2883" s="10"/>
      <c r="Y2883" s="10"/>
      <c r="Z2883" s="10"/>
      <c r="AA2883" s="11"/>
      <c r="AB2883" s="11"/>
    </row>
    <row r="2884" spans="2:28" x14ac:dyDescent="0.3">
      <c r="B2884" s="10"/>
      <c r="C2884" s="315"/>
      <c r="D2884" s="868"/>
      <c r="E2884" s="837" t="str">
        <f>IFERROR(IF(_xlfn.XLOOKUP(Imput[[#This Row],[RFC]],'Alta Proveedor'!D:D,'Alta Proveedor'!E:E)=0,"",_xlfn.XLOOKUP(Imput[[#This Row],[RFC]],'Alta Proveedor'!D:D,'Alta Proveedor'!E:E)),"")</f>
        <v/>
      </c>
      <c r="F2884" s="832"/>
      <c r="G2884" s="187"/>
      <c r="H2884" s="1"/>
      <c r="I2884" s="169">
        <f>Imput[[#This Row],[Cantidad]]*Imput[[#This Row],[Precio Unitario]]</f>
        <v>0</v>
      </c>
      <c r="J2884" s="11">
        <f>((Imput[[#This Row],[Sub total]])*(0.16))</f>
        <v>0</v>
      </c>
      <c r="K2884" s="11">
        <v>0</v>
      </c>
      <c r="L2884" s="169">
        <f>Imput[[#This Row],[Sub total]]+Imput[[#This Row],[IVA]]-Imput[[#This Row],[Retención / IEPS / Descuento]]</f>
        <v>0</v>
      </c>
      <c r="M2884" s="844">
        <v>0</v>
      </c>
      <c r="N2884" s="189"/>
      <c r="O2884" s="1"/>
      <c r="P2884" s="189"/>
      <c r="Q2884" s="190"/>
      <c r="R2884" s="188"/>
      <c r="S2884" s="193"/>
      <c r="T2884" s="192"/>
      <c r="U2884" s="829"/>
      <c r="V2884" s="10"/>
      <c r="W2884" s="10"/>
      <c r="X2884" s="10"/>
      <c r="Y2884" s="10"/>
      <c r="Z2884" s="10"/>
      <c r="AA2884" s="11"/>
      <c r="AB2884" s="11"/>
    </row>
    <row r="2885" spans="2:28" x14ac:dyDescent="0.3">
      <c r="B2885" s="10"/>
      <c r="C2885" s="315"/>
      <c r="D2885" s="868"/>
      <c r="E2885" s="837" t="str">
        <f>IFERROR(IF(_xlfn.XLOOKUP(Imput[[#This Row],[RFC]],'Alta Proveedor'!D:D,'Alta Proveedor'!E:E)=0,"",_xlfn.XLOOKUP(Imput[[#This Row],[RFC]],'Alta Proveedor'!D:D,'Alta Proveedor'!E:E)),"")</f>
        <v/>
      </c>
      <c r="F2885" s="832"/>
      <c r="G2885" s="187"/>
      <c r="H2885" s="1"/>
      <c r="I2885" s="169">
        <f>Imput[[#This Row],[Cantidad]]*Imput[[#This Row],[Precio Unitario]]</f>
        <v>0</v>
      </c>
      <c r="J2885" s="11">
        <f>((Imput[[#This Row],[Sub total]])*(0.16))</f>
        <v>0</v>
      </c>
      <c r="K2885" s="11">
        <v>0</v>
      </c>
      <c r="L2885" s="169">
        <f>Imput[[#This Row],[Sub total]]+Imput[[#This Row],[IVA]]-Imput[[#This Row],[Retención / IEPS / Descuento]]</f>
        <v>0</v>
      </c>
      <c r="M2885" s="844">
        <v>0</v>
      </c>
      <c r="N2885" s="189"/>
      <c r="O2885" s="1"/>
      <c r="P2885" s="189"/>
      <c r="Q2885" s="190"/>
      <c r="R2885" s="188"/>
      <c r="S2885" s="193"/>
      <c r="T2885" s="192"/>
      <c r="U2885" s="829"/>
      <c r="V2885" s="10"/>
      <c r="W2885" s="10"/>
      <c r="X2885" s="10"/>
      <c r="Y2885" s="10"/>
      <c r="Z2885" s="10"/>
      <c r="AA2885" s="11"/>
      <c r="AB2885" s="11"/>
    </row>
    <row r="2886" spans="2:28" x14ac:dyDescent="0.3">
      <c r="B2886" s="10"/>
      <c r="C2886" s="315"/>
      <c r="D2886" s="868"/>
      <c r="E2886" s="837" t="str">
        <f>IFERROR(IF(_xlfn.XLOOKUP(Imput[[#This Row],[RFC]],'Alta Proveedor'!D:D,'Alta Proveedor'!E:E)=0,"",_xlfn.XLOOKUP(Imput[[#This Row],[RFC]],'Alta Proveedor'!D:D,'Alta Proveedor'!E:E)),"")</f>
        <v/>
      </c>
      <c r="F2886" s="832"/>
      <c r="G2886" s="187"/>
      <c r="H2886" s="1"/>
      <c r="I2886" s="169">
        <f>Imput[[#This Row],[Cantidad]]*Imput[[#This Row],[Precio Unitario]]</f>
        <v>0</v>
      </c>
      <c r="J2886" s="11">
        <f>((Imput[[#This Row],[Sub total]])*(0.16))</f>
        <v>0</v>
      </c>
      <c r="K2886" s="11">
        <v>0</v>
      </c>
      <c r="L2886" s="169">
        <f>Imput[[#This Row],[Sub total]]+Imput[[#This Row],[IVA]]-Imput[[#This Row],[Retención / IEPS / Descuento]]</f>
        <v>0</v>
      </c>
      <c r="M2886" s="844">
        <v>0</v>
      </c>
      <c r="N2886" s="189"/>
      <c r="O2886" s="1"/>
      <c r="P2886" s="189"/>
      <c r="Q2886" s="190"/>
      <c r="R2886" s="188"/>
      <c r="S2886" s="193"/>
      <c r="T2886" s="192"/>
      <c r="U2886" s="829"/>
      <c r="V2886" s="10"/>
      <c r="W2886" s="10"/>
      <c r="X2886" s="10"/>
      <c r="Y2886" s="10"/>
      <c r="Z2886" s="10"/>
      <c r="AA2886" s="11"/>
      <c r="AB2886" s="11"/>
    </row>
    <row r="2887" spans="2:28" x14ac:dyDescent="0.3">
      <c r="B2887" s="10"/>
      <c r="C2887" s="315"/>
      <c r="D2887" s="868"/>
      <c r="E2887" s="837" t="str">
        <f>IFERROR(IF(_xlfn.XLOOKUP(Imput[[#This Row],[RFC]],'Alta Proveedor'!D:D,'Alta Proveedor'!E:E)=0,"",_xlfn.XLOOKUP(Imput[[#This Row],[RFC]],'Alta Proveedor'!D:D,'Alta Proveedor'!E:E)),"")</f>
        <v/>
      </c>
      <c r="F2887" s="832"/>
      <c r="G2887" s="187"/>
      <c r="H2887" s="1"/>
      <c r="I2887" s="169">
        <f>Imput[[#This Row],[Cantidad]]*Imput[[#This Row],[Precio Unitario]]</f>
        <v>0</v>
      </c>
      <c r="J2887" s="11">
        <f>((Imput[[#This Row],[Sub total]])*(0.16))</f>
        <v>0</v>
      </c>
      <c r="K2887" s="11">
        <v>0</v>
      </c>
      <c r="L2887" s="169">
        <f>Imput[[#This Row],[Sub total]]+Imput[[#This Row],[IVA]]-Imput[[#This Row],[Retención / IEPS / Descuento]]</f>
        <v>0</v>
      </c>
      <c r="M2887" s="844">
        <v>0</v>
      </c>
      <c r="N2887" s="189"/>
      <c r="O2887" s="1"/>
      <c r="P2887" s="189"/>
      <c r="Q2887" s="190"/>
      <c r="R2887" s="188"/>
      <c r="S2887" s="193"/>
      <c r="T2887" s="192"/>
      <c r="U2887" s="829"/>
      <c r="V2887" s="10"/>
      <c r="W2887" s="10"/>
      <c r="X2887" s="10"/>
      <c r="Y2887" s="10"/>
      <c r="Z2887" s="10"/>
      <c r="AA2887" s="11"/>
      <c r="AB2887" s="11"/>
    </row>
    <row r="2888" spans="2:28" x14ac:dyDescent="0.3">
      <c r="B2888" s="10"/>
      <c r="C2888" s="315"/>
      <c r="D2888" s="868"/>
      <c r="E2888" s="837" t="str">
        <f>IFERROR(IF(_xlfn.XLOOKUP(Imput[[#This Row],[RFC]],'Alta Proveedor'!D:D,'Alta Proveedor'!E:E)=0,"",_xlfn.XLOOKUP(Imput[[#This Row],[RFC]],'Alta Proveedor'!D:D,'Alta Proveedor'!E:E)),"")</f>
        <v/>
      </c>
      <c r="F2888" s="832"/>
      <c r="G2888" s="187"/>
      <c r="H2888" s="1"/>
      <c r="I2888" s="169">
        <f>Imput[[#This Row],[Cantidad]]*Imput[[#This Row],[Precio Unitario]]</f>
        <v>0</v>
      </c>
      <c r="J2888" s="11">
        <f>((Imput[[#This Row],[Sub total]])*(0.16))</f>
        <v>0</v>
      </c>
      <c r="K2888" s="11">
        <v>0</v>
      </c>
      <c r="L2888" s="169">
        <f>Imput[[#This Row],[Sub total]]+Imput[[#This Row],[IVA]]-Imput[[#This Row],[Retención / IEPS / Descuento]]</f>
        <v>0</v>
      </c>
      <c r="M2888" s="844">
        <v>0</v>
      </c>
      <c r="N2888" s="189"/>
      <c r="O2888" s="1"/>
      <c r="P2888" s="189"/>
      <c r="Q2888" s="190"/>
      <c r="R2888" s="188"/>
      <c r="S2888" s="193"/>
      <c r="T2888" s="192"/>
      <c r="U2888" s="829"/>
      <c r="V2888" s="10"/>
      <c r="W2888" s="10"/>
      <c r="X2888" s="10"/>
      <c r="Y2888" s="10"/>
      <c r="Z2888" s="10"/>
      <c r="AA2888" s="11"/>
      <c r="AB2888" s="11"/>
    </row>
    <row r="2889" spans="2:28" x14ac:dyDescent="0.3">
      <c r="B2889" s="10"/>
      <c r="C2889" s="315"/>
      <c r="D2889" s="868"/>
      <c r="E2889" s="837" t="str">
        <f>IFERROR(IF(_xlfn.XLOOKUP(Imput[[#This Row],[RFC]],'Alta Proveedor'!D:D,'Alta Proveedor'!E:E)=0,"",_xlfn.XLOOKUP(Imput[[#This Row],[RFC]],'Alta Proveedor'!D:D,'Alta Proveedor'!E:E)),"")</f>
        <v/>
      </c>
      <c r="F2889" s="832"/>
      <c r="G2889" s="187"/>
      <c r="H2889" s="1"/>
      <c r="I2889" s="169">
        <f>Imput[[#This Row],[Cantidad]]*Imput[[#This Row],[Precio Unitario]]</f>
        <v>0</v>
      </c>
      <c r="J2889" s="11">
        <f>((Imput[[#This Row],[Sub total]])*(0.16))</f>
        <v>0</v>
      </c>
      <c r="K2889" s="11">
        <v>0</v>
      </c>
      <c r="L2889" s="169">
        <f>Imput[[#This Row],[Sub total]]+Imput[[#This Row],[IVA]]-Imput[[#This Row],[Retención / IEPS / Descuento]]</f>
        <v>0</v>
      </c>
      <c r="M2889" s="844">
        <v>0</v>
      </c>
      <c r="N2889" s="189"/>
      <c r="O2889" s="1"/>
      <c r="P2889" s="189"/>
      <c r="Q2889" s="190"/>
      <c r="R2889" s="188"/>
      <c r="S2889" s="193"/>
      <c r="T2889" s="192"/>
      <c r="U2889" s="829"/>
      <c r="V2889" s="10"/>
      <c r="W2889" s="10"/>
      <c r="X2889" s="10"/>
      <c r="Y2889" s="10"/>
      <c r="Z2889" s="10"/>
      <c r="AA2889" s="11"/>
      <c r="AB2889" s="11"/>
    </row>
    <row r="2890" spans="2:28" x14ac:dyDescent="0.3">
      <c r="B2890" s="10"/>
      <c r="C2890" s="315"/>
      <c r="D2890" s="868"/>
      <c r="E2890" s="837" t="str">
        <f>IFERROR(IF(_xlfn.XLOOKUP(Imput[[#This Row],[RFC]],'Alta Proveedor'!D:D,'Alta Proveedor'!E:E)=0,"",_xlfn.XLOOKUP(Imput[[#This Row],[RFC]],'Alta Proveedor'!D:D,'Alta Proveedor'!E:E)),"")</f>
        <v/>
      </c>
      <c r="F2890" s="832"/>
      <c r="G2890" s="187"/>
      <c r="H2890" s="1"/>
      <c r="I2890" s="169">
        <f>Imput[[#This Row],[Cantidad]]*Imput[[#This Row],[Precio Unitario]]</f>
        <v>0</v>
      </c>
      <c r="J2890" s="11">
        <f>((Imput[[#This Row],[Sub total]])*(0.16))</f>
        <v>0</v>
      </c>
      <c r="K2890" s="11">
        <v>0</v>
      </c>
      <c r="L2890" s="169">
        <f>Imput[[#This Row],[Sub total]]+Imput[[#This Row],[IVA]]-Imput[[#This Row],[Retención / IEPS / Descuento]]</f>
        <v>0</v>
      </c>
      <c r="M2890" s="844">
        <v>0</v>
      </c>
      <c r="N2890" s="189"/>
      <c r="O2890" s="1"/>
      <c r="P2890" s="189"/>
      <c r="Q2890" s="190"/>
      <c r="R2890" s="188"/>
      <c r="S2890" s="193"/>
      <c r="T2890" s="192"/>
      <c r="U2890" s="829"/>
      <c r="V2890" s="10"/>
      <c r="W2890" s="10"/>
      <c r="X2890" s="10"/>
      <c r="Y2890" s="10"/>
      <c r="Z2890" s="10"/>
      <c r="AA2890" s="11"/>
      <c r="AB2890" s="11"/>
    </row>
    <row r="2891" spans="2:28" x14ac:dyDescent="0.3">
      <c r="B2891" s="10"/>
      <c r="C2891" s="315"/>
      <c r="D2891" s="868"/>
      <c r="E2891" s="837" t="str">
        <f>IFERROR(IF(_xlfn.XLOOKUP(Imput[[#This Row],[RFC]],'Alta Proveedor'!D:D,'Alta Proveedor'!E:E)=0,"",_xlfn.XLOOKUP(Imput[[#This Row],[RFC]],'Alta Proveedor'!D:D,'Alta Proveedor'!E:E)),"")</f>
        <v/>
      </c>
      <c r="F2891" s="832"/>
      <c r="G2891" s="187"/>
      <c r="H2891" s="1"/>
      <c r="I2891" s="169">
        <f>Imput[[#This Row],[Cantidad]]*Imput[[#This Row],[Precio Unitario]]</f>
        <v>0</v>
      </c>
      <c r="J2891" s="11">
        <f>((Imput[[#This Row],[Sub total]])*(0.16))</f>
        <v>0</v>
      </c>
      <c r="K2891" s="11">
        <v>0</v>
      </c>
      <c r="L2891" s="169">
        <f>Imput[[#This Row],[Sub total]]+Imput[[#This Row],[IVA]]-Imput[[#This Row],[Retención / IEPS / Descuento]]</f>
        <v>0</v>
      </c>
      <c r="M2891" s="844">
        <v>0</v>
      </c>
      <c r="N2891" s="189"/>
      <c r="O2891" s="1"/>
      <c r="P2891" s="189"/>
      <c r="Q2891" s="190"/>
      <c r="R2891" s="188"/>
      <c r="S2891" s="193"/>
      <c r="T2891" s="192"/>
      <c r="U2891" s="829"/>
      <c r="V2891" s="10"/>
      <c r="W2891" s="10"/>
      <c r="X2891" s="10"/>
      <c r="Y2891" s="10"/>
      <c r="Z2891" s="10"/>
      <c r="AA2891" s="11"/>
      <c r="AB2891" s="11"/>
    </row>
    <row r="2892" spans="2:28" x14ac:dyDescent="0.3">
      <c r="B2892" s="10"/>
      <c r="C2892" s="315"/>
      <c r="D2892" s="868"/>
      <c r="E2892" s="837" t="str">
        <f>IFERROR(IF(_xlfn.XLOOKUP(Imput[[#This Row],[RFC]],'Alta Proveedor'!D:D,'Alta Proveedor'!E:E)=0,"",_xlfn.XLOOKUP(Imput[[#This Row],[RFC]],'Alta Proveedor'!D:D,'Alta Proveedor'!E:E)),"")</f>
        <v/>
      </c>
      <c r="F2892" s="832"/>
      <c r="G2892" s="187"/>
      <c r="H2892" s="1"/>
      <c r="I2892" s="169">
        <f>Imput[[#This Row],[Cantidad]]*Imput[[#This Row],[Precio Unitario]]</f>
        <v>0</v>
      </c>
      <c r="J2892" s="11">
        <f>((Imput[[#This Row],[Sub total]])*(0.16))</f>
        <v>0</v>
      </c>
      <c r="K2892" s="11">
        <v>0</v>
      </c>
      <c r="L2892" s="169">
        <f>Imput[[#This Row],[Sub total]]+Imput[[#This Row],[IVA]]-Imput[[#This Row],[Retención / IEPS / Descuento]]</f>
        <v>0</v>
      </c>
      <c r="M2892" s="844">
        <v>0</v>
      </c>
      <c r="N2892" s="189"/>
      <c r="O2892" s="1"/>
      <c r="P2892" s="189"/>
      <c r="Q2892" s="190"/>
      <c r="R2892" s="188"/>
      <c r="S2892" s="193"/>
      <c r="T2892" s="192"/>
      <c r="U2892" s="829"/>
      <c r="V2892" s="10"/>
      <c r="W2892" s="10"/>
      <c r="X2892" s="10"/>
      <c r="Y2892" s="10"/>
      <c r="Z2892" s="10"/>
      <c r="AA2892" s="11"/>
      <c r="AB2892" s="11"/>
    </row>
    <row r="2893" spans="2:28" x14ac:dyDescent="0.3">
      <c r="B2893" s="10"/>
      <c r="C2893" s="315"/>
      <c r="D2893" s="868"/>
      <c r="E2893" s="837" t="str">
        <f>IFERROR(IF(_xlfn.XLOOKUP(Imput[[#This Row],[RFC]],'Alta Proveedor'!D:D,'Alta Proveedor'!E:E)=0,"",_xlfn.XLOOKUP(Imput[[#This Row],[RFC]],'Alta Proveedor'!D:D,'Alta Proveedor'!E:E)),"")</f>
        <v/>
      </c>
      <c r="F2893" s="832"/>
      <c r="G2893" s="187"/>
      <c r="H2893" s="1"/>
      <c r="I2893" s="169">
        <f>Imput[[#This Row],[Cantidad]]*Imput[[#This Row],[Precio Unitario]]</f>
        <v>0</v>
      </c>
      <c r="J2893" s="11">
        <f>((Imput[[#This Row],[Sub total]])*(0.16))</f>
        <v>0</v>
      </c>
      <c r="K2893" s="11">
        <v>0</v>
      </c>
      <c r="L2893" s="169">
        <f>Imput[[#This Row],[Sub total]]+Imput[[#This Row],[IVA]]-Imput[[#This Row],[Retención / IEPS / Descuento]]</f>
        <v>0</v>
      </c>
      <c r="M2893" s="844">
        <v>0</v>
      </c>
      <c r="N2893" s="189"/>
      <c r="O2893" s="1"/>
      <c r="P2893" s="189"/>
      <c r="Q2893" s="190"/>
      <c r="R2893" s="188"/>
      <c r="S2893" s="193"/>
      <c r="T2893" s="192"/>
      <c r="U2893" s="829"/>
      <c r="V2893" s="10"/>
      <c r="W2893" s="10"/>
      <c r="X2893" s="10"/>
      <c r="Y2893" s="10"/>
      <c r="Z2893" s="10"/>
      <c r="AA2893" s="11"/>
      <c r="AB2893" s="11"/>
    </row>
    <row r="2894" spans="2:28" x14ac:dyDescent="0.3">
      <c r="B2894" s="10"/>
      <c r="C2894" s="315"/>
      <c r="D2894" s="868"/>
      <c r="E2894" s="837" t="str">
        <f>IFERROR(IF(_xlfn.XLOOKUP(Imput[[#This Row],[RFC]],'Alta Proveedor'!D:D,'Alta Proveedor'!E:E)=0,"",_xlfn.XLOOKUP(Imput[[#This Row],[RFC]],'Alta Proveedor'!D:D,'Alta Proveedor'!E:E)),"")</f>
        <v/>
      </c>
      <c r="F2894" s="832"/>
      <c r="G2894" s="187"/>
      <c r="H2894" s="1"/>
      <c r="I2894" s="169">
        <f>Imput[[#This Row],[Cantidad]]*Imput[[#This Row],[Precio Unitario]]</f>
        <v>0</v>
      </c>
      <c r="J2894" s="11">
        <f>((Imput[[#This Row],[Sub total]])*(0.16))</f>
        <v>0</v>
      </c>
      <c r="K2894" s="11">
        <v>0</v>
      </c>
      <c r="L2894" s="169">
        <f>Imput[[#This Row],[Sub total]]+Imput[[#This Row],[IVA]]-Imput[[#This Row],[Retención / IEPS / Descuento]]</f>
        <v>0</v>
      </c>
      <c r="M2894" s="844">
        <v>0</v>
      </c>
      <c r="N2894" s="189"/>
      <c r="O2894" s="1"/>
      <c r="P2894" s="189"/>
      <c r="Q2894" s="190"/>
      <c r="R2894" s="188"/>
      <c r="S2894" s="193"/>
      <c r="T2894" s="192"/>
      <c r="U2894" s="829"/>
      <c r="V2894" s="10"/>
      <c r="W2894" s="10"/>
      <c r="X2894" s="10"/>
      <c r="Y2894" s="10"/>
      <c r="Z2894" s="10"/>
      <c r="AA2894" s="11"/>
      <c r="AB2894" s="11"/>
    </row>
    <row r="2895" spans="2:28" x14ac:dyDescent="0.3">
      <c r="B2895" s="10"/>
      <c r="C2895" s="315"/>
      <c r="D2895" s="868"/>
      <c r="E2895" s="837" t="str">
        <f>IFERROR(IF(_xlfn.XLOOKUP(Imput[[#This Row],[RFC]],'Alta Proveedor'!D:D,'Alta Proveedor'!E:E)=0,"",_xlfn.XLOOKUP(Imput[[#This Row],[RFC]],'Alta Proveedor'!D:D,'Alta Proveedor'!E:E)),"")</f>
        <v/>
      </c>
      <c r="F2895" s="832"/>
      <c r="G2895" s="187"/>
      <c r="H2895" s="1"/>
      <c r="I2895" s="169">
        <f>Imput[[#This Row],[Cantidad]]*Imput[[#This Row],[Precio Unitario]]</f>
        <v>0</v>
      </c>
      <c r="J2895" s="11">
        <f>((Imput[[#This Row],[Sub total]])*(0.16))</f>
        <v>0</v>
      </c>
      <c r="K2895" s="11">
        <v>0</v>
      </c>
      <c r="L2895" s="169">
        <f>Imput[[#This Row],[Sub total]]+Imput[[#This Row],[IVA]]-Imput[[#This Row],[Retención / IEPS / Descuento]]</f>
        <v>0</v>
      </c>
      <c r="M2895" s="844">
        <v>0</v>
      </c>
      <c r="N2895" s="189"/>
      <c r="O2895" s="1"/>
      <c r="P2895" s="189"/>
      <c r="Q2895" s="190"/>
      <c r="R2895" s="188"/>
      <c r="S2895" s="193"/>
      <c r="T2895" s="192"/>
      <c r="U2895" s="829"/>
      <c r="V2895" s="10"/>
      <c r="W2895" s="10"/>
      <c r="X2895" s="10"/>
      <c r="Y2895" s="10"/>
      <c r="Z2895" s="10"/>
      <c r="AA2895" s="11"/>
      <c r="AB2895" s="11"/>
    </row>
    <row r="2896" spans="2:28" x14ac:dyDescent="0.3">
      <c r="B2896" s="10"/>
      <c r="C2896" s="315"/>
      <c r="D2896" s="868"/>
      <c r="E2896" s="837" t="str">
        <f>IFERROR(IF(_xlfn.XLOOKUP(Imput[[#This Row],[RFC]],'Alta Proveedor'!D:D,'Alta Proveedor'!E:E)=0,"",_xlfn.XLOOKUP(Imput[[#This Row],[RFC]],'Alta Proveedor'!D:D,'Alta Proveedor'!E:E)),"")</f>
        <v/>
      </c>
      <c r="F2896" s="832"/>
      <c r="G2896" s="187"/>
      <c r="H2896" s="1"/>
      <c r="I2896" s="169">
        <f>Imput[[#This Row],[Cantidad]]*Imput[[#This Row],[Precio Unitario]]</f>
        <v>0</v>
      </c>
      <c r="J2896" s="11">
        <f>((Imput[[#This Row],[Sub total]])*(0.16))</f>
        <v>0</v>
      </c>
      <c r="K2896" s="11">
        <v>0</v>
      </c>
      <c r="L2896" s="169">
        <f>Imput[[#This Row],[Sub total]]+Imput[[#This Row],[IVA]]-Imput[[#This Row],[Retención / IEPS / Descuento]]</f>
        <v>0</v>
      </c>
      <c r="M2896" s="844">
        <v>0</v>
      </c>
      <c r="N2896" s="189"/>
      <c r="O2896" s="1"/>
      <c r="P2896" s="189"/>
      <c r="Q2896" s="190"/>
      <c r="R2896" s="188"/>
      <c r="S2896" s="193"/>
      <c r="T2896" s="192"/>
      <c r="U2896" s="829"/>
      <c r="V2896" s="10"/>
      <c r="W2896" s="10"/>
      <c r="X2896" s="10"/>
      <c r="Y2896" s="10"/>
      <c r="Z2896" s="10"/>
      <c r="AA2896" s="11"/>
      <c r="AB2896" s="11"/>
    </row>
    <row r="2897" spans="2:28" x14ac:dyDescent="0.3">
      <c r="B2897" s="10"/>
      <c r="C2897" s="315"/>
      <c r="D2897" s="868"/>
      <c r="E2897" s="837" t="str">
        <f>IFERROR(IF(_xlfn.XLOOKUP(Imput[[#This Row],[RFC]],'Alta Proveedor'!D:D,'Alta Proveedor'!E:E)=0,"",_xlfn.XLOOKUP(Imput[[#This Row],[RFC]],'Alta Proveedor'!D:D,'Alta Proveedor'!E:E)),"")</f>
        <v/>
      </c>
      <c r="F2897" s="832"/>
      <c r="G2897" s="187"/>
      <c r="H2897" s="1"/>
      <c r="I2897" s="169">
        <f>Imput[[#This Row],[Cantidad]]*Imput[[#This Row],[Precio Unitario]]</f>
        <v>0</v>
      </c>
      <c r="J2897" s="11">
        <f>((Imput[[#This Row],[Sub total]])*(0.16))</f>
        <v>0</v>
      </c>
      <c r="K2897" s="11">
        <v>0</v>
      </c>
      <c r="L2897" s="169">
        <f>Imput[[#This Row],[Sub total]]+Imput[[#This Row],[IVA]]-Imput[[#This Row],[Retención / IEPS / Descuento]]</f>
        <v>0</v>
      </c>
      <c r="M2897" s="844">
        <v>0</v>
      </c>
      <c r="N2897" s="189"/>
      <c r="O2897" s="1"/>
      <c r="P2897" s="189"/>
      <c r="Q2897" s="190"/>
      <c r="R2897" s="188"/>
      <c r="S2897" s="193"/>
      <c r="T2897" s="192"/>
      <c r="U2897" s="829"/>
      <c r="V2897" s="10"/>
      <c r="W2897" s="10"/>
      <c r="X2897" s="10"/>
      <c r="Y2897" s="10"/>
      <c r="Z2897" s="10"/>
      <c r="AA2897" s="11"/>
      <c r="AB2897" s="11"/>
    </row>
    <row r="2898" spans="2:28" x14ac:dyDescent="0.3">
      <c r="B2898" s="10"/>
      <c r="C2898" s="315"/>
      <c r="D2898" s="868"/>
      <c r="E2898" s="837" t="str">
        <f>IFERROR(IF(_xlfn.XLOOKUP(Imput[[#This Row],[RFC]],'Alta Proveedor'!D:D,'Alta Proveedor'!E:E)=0,"",_xlfn.XLOOKUP(Imput[[#This Row],[RFC]],'Alta Proveedor'!D:D,'Alta Proveedor'!E:E)),"")</f>
        <v/>
      </c>
      <c r="F2898" s="832"/>
      <c r="G2898" s="187"/>
      <c r="H2898" s="1"/>
      <c r="I2898" s="169">
        <f>Imput[[#This Row],[Cantidad]]*Imput[[#This Row],[Precio Unitario]]</f>
        <v>0</v>
      </c>
      <c r="J2898" s="11">
        <f>((Imput[[#This Row],[Sub total]])*(0.16))</f>
        <v>0</v>
      </c>
      <c r="K2898" s="11">
        <v>0</v>
      </c>
      <c r="L2898" s="169">
        <f>Imput[[#This Row],[Sub total]]+Imput[[#This Row],[IVA]]-Imput[[#This Row],[Retención / IEPS / Descuento]]</f>
        <v>0</v>
      </c>
      <c r="M2898" s="844">
        <v>0</v>
      </c>
      <c r="N2898" s="189"/>
      <c r="O2898" s="1"/>
      <c r="P2898" s="189"/>
      <c r="Q2898" s="190"/>
      <c r="R2898" s="188"/>
      <c r="S2898" s="193"/>
      <c r="T2898" s="192"/>
      <c r="U2898" s="829"/>
      <c r="V2898" s="10"/>
      <c r="W2898" s="10"/>
      <c r="X2898" s="10"/>
      <c r="Y2898" s="10"/>
      <c r="Z2898" s="10"/>
      <c r="AA2898" s="11"/>
      <c r="AB2898" s="11"/>
    </row>
    <row r="2899" spans="2:28" x14ac:dyDescent="0.3">
      <c r="B2899" s="10"/>
      <c r="C2899" s="315"/>
      <c r="D2899" s="868"/>
      <c r="E2899" s="837" t="str">
        <f>IFERROR(IF(_xlfn.XLOOKUP(Imput[[#This Row],[RFC]],'Alta Proveedor'!D:D,'Alta Proveedor'!E:E)=0,"",_xlfn.XLOOKUP(Imput[[#This Row],[RFC]],'Alta Proveedor'!D:D,'Alta Proveedor'!E:E)),"")</f>
        <v/>
      </c>
      <c r="F2899" s="832"/>
      <c r="G2899" s="187"/>
      <c r="H2899" s="1"/>
      <c r="I2899" s="169">
        <f>Imput[[#This Row],[Cantidad]]*Imput[[#This Row],[Precio Unitario]]</f>
        <v>0</v>
      </c>
      <c r="J2899" s="11">
        <f>((Imput[[#This Row],[Sub total]])*(0.16))</f>
        <v>0</v>
      </c>
      <c r="K2899" s="11">
        <v>0</v>
      </c>
      <c r="L2899" s="169">
        <f>Imput[[#This Row],[Sub total]]+Imput[[#This Row],[IVA]]-Imput[[#This Row],[Retención / IEPS / Descuento]]</f>
        <v>0</v>
      </c>
      <c r="M2899" s="844">
        <v>0</v>
      </c>
      <c r="N2899" s="189"/>
      <c r="O2899" s="1"/>
      <c r="P2899" s="189"/>
      <c r="Q2899" s="190"/>
      <c r="R2899" s="188"/>
      <c r="S2899" s="193"/>
      <c r="T2899" s="192"/>
      <c r="U2899" s="829"/>
      <c r="V2899" s="10"/>
      <c r="W2899" s="10"/>
      <c r="X2899" s="10"/>
      <c r="Y2899" s="10"/>
      <c r="Z2899" s="10"/>
      <c r="AA2899" s="11"/>
      <c r="AB2899" s="11"/>
    </row>
    <row r="2900" spans="2:28" x14ac:dyDescent="0.3">
      <c r="B2900" s="10"/>
      <c r="C2900" s="315"/>
      <c r="D2900" s="868"/>
      <c r="E2900" s="837" t="str">
        <f>IFERROR(IF(_xlfn.XLOOKUP(Imput[[#This Row],[RFC]],'Alta Proveedor'!D:D,'Alta Proveedor'!E:E)=0,"",_xlfn.XLOOKUP(Imput[[#This Row],[RFC]],'Alta Proveedor'!D:D,'Alta Proveedor'!E:E)),"")</f>
        <v/>
      </c>
      <c r="F2900" s="832"/>
      <c r="G2900" s="187"/>
      <c r="H2900" s="1"/>
      <c r="I2900" s="169">
        <f>Imput[[#This Row],[Cantidad]]*Imput[[#This Row],[Precio Unitario]]</f>
        <v>0</v>
      </c>
      <c r="J2900" s="11">
        <f>((Imput[[#This Row],[Sub total]])*(0.16))</f>
        <v>0</v>
      </c>
      <c r="K2900" s="11">
        <v>0</v>
      </c>
      <c r="L2900" s="169">
        <f>Imput[[#This Row],[Sub total]]+Imput[[#This Row],[IVA]]-Imput[[#This Row],[Retención / IEPS / Descuento]]</f>
        <v>0</v>
      </c>
      <c r="M2900" s="844">
        <v>0</v>
      </c>
      <c r="N2900" s="189"/>
      <c r="O2900" s="1"/>
      <c r="P2900" s="189"/>
      <c r="Q2900" s="190"/>
      <c r="R2900" s="188"/>
      <c r="S2900" s="193"/>
      <c r="T2900" s="192"/>
      <c r="U2900" s="829"/>
      <c r="V2900" s="10"/>
      <c r="W2900" s="10"/>
      <c r="X2900" s="10"/>
      <c r="Y2900" s="10"/>
      <c r="Z2900" s="10"/>
      <c r="AA2900" s="11"/>
      <c r="AB2900" s="11"/>
    </row>
    <row r="2901" spans="2:28" x14ac:dyDescent="0.3">
      <c r="B2901" s="10"/>
      <c r="C2901" s="315"/>
      <c r="D2901" s="868"/>
      <c r="E2901" s="837" t="str">
        <f>IFERROR(IF(_xlfn.XLOOKUP(Imput[[#This Row],[RFC]],'Alta Proveedor'!D:D,'Alta Proveedor'!E:E)=0,"",_xlfn.XLOOKUP(Imput[[#This Row],[RFC]],'Alta Proveedor'!D:D,'Alta Proveedor'!E:E)),"")</f>
        <v/>
      </c>
      <c r="F2901" s="832"/>
      <c r="G2901" s="187"/>
      <c r="H2901" s="1"/>
      <c r="I2901" s="169">
        <f>Imput[[#This Row],[Cantidad]]*Imput[[#This Row],[Precio Unitario]]</f>
        <v>0</v>
      </c>
      <c r="J2901" s="11">
        <f>((Imput[[#This Row],[Sub total]])*(0.16))</f>
        <v>0</v>
      </c>
      <c r="K2901" s="11">
        <v>0</v>
      </c>
      <c r="L2901" s="169">
        <f>Imput[[#This Row],[Sub total]]+Imput[[#This Row],[IVA]]-Imput[[#This Row],[Retención / IEPS / Descuento]]</f>
        <v>0</v>
      </c>
      <c r="M2901" s="844">
        <v>0</v>
      </c>
      <c r="N2901" s="189"/>
      <c r="O2901" s="1"/>
      <c r="P2901" s="189"/>
      <c r="Q2901" s="190"/>
      <c r="R2901" s="188"/>
      <c r="S2901" s="193"/>
      <c r="T2901" s="192"/>
      <c r="U2901" s="829"/>
      <c r="V2901" s="10"/>
      <c r="W2901" s="10"/>
      <c r="X2901" s="10"/>
      <c r="Y2901" s="10"/>
      <c r="Z2901" s="10"/>
      <c r="AA2901" s="11"/>
      <c r="AB2901" s="11"/>
    </row>
    <row r="2902" spans="2:28" x14ac:dyDescent="0.3">
      <c r="B2902" s="10"/>
      <c r="C2902" s="315"/>
      <c r="D2902" s="868"/>
      <c r="E2902" s="837" t="str">
        <f>IFERROR(IF(_xlfn.XLOOKUP(Imput[[#This Row],[RFC]],'Alta Proveedor'!D:D,'Alta Proveedor'!E:E)=0,"",_xlfn.XLOOKUP(Imput[[#This Row],[RFC]],'Alta Proveedor'!D:D,'Alta Proveedor'!E:E)),"")</f>
        <v/>
      </c>
      <c r="F2902" s="832"/>
      <c r="G2902" s="187"/>
      <c r="H2902" s="1"/>
      <c r="I2902" s="169">
        <f>Imput[[#This Row],[Cantidad]]*Imput[[#This Row],[Precio Unitario]]</f>
        <v>0</v>
      </c>
      <c r="J2902" s="11">
        <f>((Imput[[#This Row],[Sub total]])*(0.16))</f>
        <v>0</v>
      </c>
      <c r="K2902" s="11">
        <v>0</v>
      </c>
      <c r="L2902" s="169">
        <f>Imput[[#This Row],[Sub total]]+Imput[[#This Row],[IVA]]-Imput[[#This Row],[Retención / IEPS / Descuento]]</f>
        <v>0</v>
      </c>
      <c r="M2902" s="844">
        <v>0</v>
      </c>
      <c r="N2902" s="189"/>
      <c r="O2902" s="1"/>
      <c r="P2902" s="189"/>
      <c r="Q2902" s="190"/>
      <c r="R2902" s="188"/>
      <c r="S2902" s="193"/>
      <c r="T2902" s="192"/>
      <c r="U2902" s="829"/>
      <c r="V2902" s="10"/>
      <c r="W2902" s="10"/>
      <c r="X2902" s="10"/>
      <c r="Y2902" s="10"/>
      <c r="Z2902" s="10"/>
      <c r="AA2902" s="11"/>
      <c r="AB2902" s="11"/>
    </row>
    <row r="2903" spans="2:28" x14ac:dyDescent="0.3">
      <c r="B2903" s="10"/>
      <c r="C2903" s="315"/>
      <c r="D2903" s="868"/>
      <c r="E2903" s="837" t="str">
        <f>IFERROR(IF(_xlfn.XLOOKUP(Imput[[#This Row],[RFC]],'Alta Proveedor'!D:D,'Alta Proveedor'!E:E)=0,"",_xlfn.XLOOKUP(Imput[[#This Row],[RFC]],'Alta Proveedor'!D:D,'Alta Proveedor'!E:E)),"")</f>
        <v/>
      </c>
      <c r="F2903" s="832"/>
      <c r="G2903" s="187"/>
      <c r="H2903" s="1"/>
      <c r="I2903" s="169">
        <f>Imput[[#This Row],[Cantidad]]*Imput[[#This Row],[Precio Unitario]]</f>
        <v>0</v>
      </c>
      <c r="J2903" s="11">
        <f>((Imput[[#This Row],[Sub total]])*(0.16))</f>
        <v>0</v>
      </c>
      <c r="K2903" s="11">
        <v>0</v>
      </c>
      <c r="L2903" s="169">
        <f>Imput[[#This Row],[Sub total]]+Imput[[#This Row],[IVA]]-Imput[[#This Row],[Retención / IEPS / Descuento]]</f>
        <v>0</v>
      </c>
      <c r="M2903" s="844">
        <v>0</v>
      </c>
      <c r="N2903" s="189"/>
      <c r="O2903" s="1"/>
      <c r="P2903" s="189"/>
      <c r="Q2903" s="190"/>
      <c r="R2903" s="188"/>
      <c r="S2903" s="193"/>
      <c r="T2903" s="192"/>
      <c r="U2903" s="829"/>
      <c r="V2903" s="10"/>
      <c r="W2903" s="10"/>
      <c r="X2903" s="10"/>
      <c r="Y2903" s="10"/>
      <c r="Z2903" s="10"/>
      <c r="AA2903" s="11"/>
      <c r="AB2903" s="11"/>
    </row>
    <row r="2904" spans="2:28" x14ac:dyDescent="0.3">
      <c r="B2904" s="10"/>
      <c r="C2904" s="315"/>
      <c r="D2904" s="868"/>
      <c r="E2904" s="837" t="str">
        <f>IFERROR(IF(_xlfn.XLOOKUP(Imput[[#This Row],[RFC]],'Alta Proveedor'!D:D,'Alta Proveedor'!E:E)=0,"",_xlfn.XLOOKUP(Imput[[#This Row],[RFC]],'Alta Proveedor'!D:D,'Alta Proveedor'!E:E)),"")</f>
        <v/>
      </c>
      <c r="F2904" s="832"/>
      <c r="G2904" s="187"/>
      <c r="H2904" s="1"/>
      <c r="I2904" s="169">
        <f>Imput[[#This Row],[Cantidad]]*Imput[[#This Row],[Precio Unitario]]</f>
        <v>0</v>
      </c>
      <c r="J2904" s="11">
        <f>((Imput[[#This Row],[Sub total]])*(0.16))</f>
        <v>0</v>
      </c>
      <c r="K2904" s="11">
        <v>0</v>
      </c>
      <c r="L2904" s="169">
        <f>Imput[[#This Row],[Sub total]]+Imput[[#This Row],[IVA]]-Imput[[#This Row],[Retención / IEPS / Descuento]]</f>
        <v>0</v>
      </c>
      <c r="M2904" s="844">
        <v>0</v>
      </c>
      <c r="N2904" s="189"/>
      <c r="O2904" s="1"/>
      <c r="P2904" s="189"/>
      <c r="Q2904" s="190"/>
      <c r="R2904" s="188"/>
      <c r="S2904" s="193"/>
      <c r="T2904" s="192"/>
      <c r="U2904" s="829"/>
      <c r="V2904" s="10"/>
      <c r="W2904" s="10"/>
      <c r="X2904" s="10"/>
      <c r="Y2904" s="10"/>
      <c r="Z2904" s="10"/>
      <c r="AA2904" s="11"/>
      <c r="AB2904" s="11"/>
    </row>
    <row r="2905" spans="2:28" x14ac:dyDescent="0.3">
      <c r="B2905" s="10"/>
      <c r="C2905" s="315"/>
      <c r="D2905" s="868"/>
      <c r="E2905" s="837" t="str">
        <f>IFERROR(IF(_xlfn.XLOOKUP(Imput[[#This Row],[RFC]],'Alta Proveedor'!D:D,'Alta Proveedor'!E:E)=0,"",_xlfn.XLOOKUP(Imput[[#This Row],[RFC]],'Alta Proveedor'!D:D,'Alta Proveedor'!E:E)),"")</f>
        <v/>
      </c>
      <c r="F2905" s="832"/>
      <c r="G2905" s="187"/>
      <c r="H2905" s="1"/>
      <c r="I2905" s="169">
        <f>Imput[[#This Row],[Cantidad]]*Imput[[#This Row],[Precio Unitario]]</f>
        <v>0</v>
      </c>
      <c r="J2905" s="11">
        <f>((Imput[[#This Row],[Sub total]])*(0.16))</f>
        <v>0</v>
      </c>
      <c r="K2905" s="11">
        <v>0</v>
      </c>
      <c r="L2905" s="169">
        <f>Imput[[#This Row],[Sub total]]+Imput[[#This Row],[IVA]]-Imput[[#This Row],[Retención / IEPS / Descuento]]</f>
        <v>0</v>
      </c>
      <c r="M2905" s="844">
        <v>0</v>
      </c>
      <c r="N2905" s="189"/>
      <c r="O2905" s="1"/>
      <c r="P2905" s="189"/>
      <c r="Q2905" s="190"/>
      <c r="R2905" s="188"/>
      <c r="S2905" s="193"/>
      <c r="T2905" s="192"/>
      <c r="U2905" s="829"/>
      <c r="V2905" s="10"/>
      <c r="W2905" s="10"/>
      <c r="X2905" s="10"/>
      <c r="Y2905" s="10"/>
      <c r="Z2905" s="10"/>
      <c r="AA2905" s="11"/>
      <c r="AB2905" s="11"/>
    </row>
    <row r="2906" spans="2:28" x14ac:dyDescent="0.3">
      <c r="B2906" s="10"/>
      <c r="C2906" s="315"/>
      <c r="D2906" s="868"/>
      <c r="E2906" s="837" t="str">
        <f>IFERROR(IF(_xlfn.XLOOKUP(Imput[[#This Row],[RFC]],'Alta Proveedor'!D:D,'Alta Proveedor'!E:E)=0,"",_xlfn.XLOOKUP(Imput[[#This Row],[RFC]],'Alta Proveedor'!D:D,'Alta Proveedor'!E:E)),"")</f>
        <v/>
      </c>
      <c r="F2906" s="832"/>
      <c r="G2906" s="187"/>
      <c r="H2906" s="1"/>
      <c r="I2906" s="169">
        <f>Imput[[#This Row],[Cantidad]]*Imput[[#This Row],[Precio Unitario]]</f>
        <v>0</v>
      </c>
      <c r="J2906" s="11">
        <f>((Imput[[#This Row],[Sub total]])*(0.16))</f>
        <v>0</v>
      </c>
      <c r="K2906" s="11">
        <v>0</v>
      </c>
      <c r="L2906" s="169">
        <f>Imput[[#This Row],[Sub total]]+Imput[[#This Row],[IVA]]-Imput[[#This Row],[Retención / IEPS / Descuento]]</f>
        <v>0</v>
      </c>
      <c r="M2906" s="844">
        <v>0</v>
      </c>
      <c r="N2906" s="189"/>
      <c r="O2906" s="1"/>
      <c r="P2906" s="189"/>
      <c r="Q2906" s="190"/>
      <c r="R2906" s="188"/>
      <c r="S2906" s="193"/>
      <c r="T2906" s="192"/>
      <c r="U2906" s="829"/>
      <c r="V2906" s="10"/>
      <c r="W2906" s="10"/>
      <c r="X2906" s="10"/>
      <c r="Y2906" s="10"/>
      <c r="Z2906" s="10"/>
      <c r="AA2906" s="11"/>
      <c r="AB2906" s="11"/>
    </row>
    <row r="2907" spans="2:28" x14ac:dyDescent="0.3">
      <c r="B2907" s="10"/>
      <c r="C2907" s="315"/>
      <c r="D2907" s="868"/>
      <c r="E2907" s="837" t="str">
        <f>IFERROR(IF(_xlfn.XLOOKUP(Imput[[#This Row],[RFC]],'Alta Proveedor'!D:D,'Alta Proveedor'!E:E)=0,"",_xlfn.XLOOKUP(Imput[[#This Row],[RFC]],'Alta Proveedor'!D:D,'Alta Proveedor'!E:E)),"")</f>
        <v/>
      </c>
      <c r="F2907" s="832"/>
      <c r="G2907" s="187"/>
      <c r="H2907" s="1"/>
      <c r="I2907" s="169">
        <f>Imput[[#This Row],[Cantidad]]*Imput[[#This Row],[Precio Unitario]]</f>
        <v>0</v>
      </c>
      <c r="J2907" s="11">
        <f>((Imput[[#This Row],[Sub total]])*(0.16))</f>
        <v>0</v>
      </c>
      <c r="K2907" s="11">
        <v>0</v>
      </c>
      <c r="L2907" s="169">
        <f>Imput[[#This Row],[Sub total]]+Imput[[#This Row],[IVA]]-Imput[[#This Row],[Retención / IEPS / Descuento]]</f>
        <v>0</v>
      </c>
      <c r="M2907" s="844">
        <v>0</v>
      </c>
      <c r="N2907" s="189"/>
      <c r="O2907" s="1"/>
      <c r="P2907" s="189"/>
      <c r="Q2907" s="190"/>
      <c r="R2907" s="188"/>
      <c r="S2907" s="193"/>
      <c r="T2907" s="192"/>
      <c r="U2907" s="829"/>
      <c r="V2907" s="10"/>
      <c r="W2907" s="10"/>
      <c r="X2907" s="10"/>
      <c r="Y2907" s="10"/>
      <c r="Z2907" s="10"/>
      <c r="AA2907" s="11"/>
      <c r="AB2907" s="11"/>
    </row>
    <row r="2908" spans="2:28" x14ac:dyDescent="0.3">
      <c r="B2908" s="10"/>
      <c r="C2908" s="315"/>
      <c r="D2908" s="868"/>
      <c r="E2908" s="837" t="str">
        <f>IFERROR(IF(_xlfn.XLOOKUP(Imput[[#This Row],[RFC]],'Alta Proveedor'!D:D,'Alta Proveedor'!E:E)=0,"",_xlfn.XLOOKUP(Imput[[#This Row],[RFC]],'Alta Proveedor'!D:D,'Alta Proveedor'!E:E)),"")</f>
        <v/>
      </c>
      <c r="F2908" s="832"/>
      <c r="G2908" s="187"/>
      <c r="H2908" s="1"/>
      <c r="I2908" s="169">
        <f>Imput[[#This Row],[Cantidad]]*Imput[[#This Row],[Precio Unitario]]</f>
        <v>0</v>
      </c>
      <c r="J2908" s="11">
        <f>((Imput[[#This Row],[Sub total]])*(0.16))</f>
        <v>0</v>
      </c>
      <c r="K2908" s="11">
        <v>0</v>
      </c>
      <c r="L2908" s="169">
        <f>Imput[[#This Row],[Sub total]]+Imput[[#This Row],[IVA]]-Imput[[#This Row],[Retención / IEPS / Descuento]]</f>
        <v>0</v>
      </c>
      <c r="M2908" s="844">
        <v>0</v>
      </c>
      <c r="N2908" s="189"/>
      <c r="O2908" s="1"/>
      <c r="P2908" s="189"/>
      <c r="Q2908" s="190"/>
      <c r="R2908" s="188"/>
      <c r="S2908" s="193"/>
      <c r="T2908" s="192"/>
      <c r="U2908" s="829"/>
      <c r="V2908" s="10"/>
      <c r="W2908" s="10"/>
      <c r="X2908" s="10"/>
      <c r="Y2908" s="10"/>
      <c r="Z2908" s="10"/>
      <c r="AA2908" s="11"/>
      <c r="AB2908" s="11"/>
    </row>
    <row r="2909" spans="2:28" x14ac:dyDescent="0.3">
      <c r="B2909" s="10"/>
      <c r="C2909" s="315"/>
      <c r="D2909" s="868"/>
      <c r="E2909" s="837" t="str">
        <f>IFERROR(IF(_xlfn.XLOOKUP(Imput[[#This Row],[RFC]],'Alta Proveedor'!D:D,'Alta Proveedor'!E:E)=0,"",_xlfn.XLOOKUP(Imput[[#This Row],[RFC]],'Alta Proveedor'!D:D,'Alta Proveedor'!E:E)),"")</f>
        <v/>
      </c>
      <c r="F2909" s="832"/>
      <c r="G2909" s="187"/>
      <c r="H2909" s="1"/>
      <c r="I2909" s="169">
        <f>Imput[[#This Row],[Cantidad]]*Imput[[#This Row],[Precio Unitario]]</f>
        <v>0</v>
      </c>
      <c r="J2909" s="11">
        <f>((Imput[[#This Row],[Sub total]])*(0.16))</f>
        <v>0</v>
      </c>
      <c r="K2909" s="11">
        <v>0</v>
      </c>
      <c r="L2909" s="169">
        <f>Imput[[#This Row],[Sub total]]+Imput[[#This Row],[IVA]]-Imput[[#This Row],[Retención / IEPS / Descuento]]</f>
        <v>0</v>
      </c>
      <c r="M2909" s="844">
        <v>0</v>
      </c>
      <c r="N2909" s="189"/>
      <c r="O2909" s="1"/>
      <c r="P2909" s="189"/>
      <c r="Q2909" s="190"/>
      <c r="R2909" s="188"/>
      <c r="S2909" s="193"/>
      <c r="T2909" s="192"/>
      <c r="U2909" s="829"/>
      <c r="V2909" s="10"/>
      <c r="W2909" s="10"/>
      <c r="X2909" s="10"/>
      <c r="Y2909" s="10"/>
      <c r="Z2909" s="10"/>
      <c r="AA2909" s="11"/>
      <c r="AB2909" s="11"/>
    </row>
    <row r="2910" spans="2:28" x14ac:dyDescent="0.3">
      <c r="B2910" s="10"/>
      <c r="C2910" s="315"/>
      <c r="D2910" s="868"/>
      <c r="E2910" s="837" t="str">
        <f>IFERROR(IF(_xlfn.XLOOKUP(Imput[[#This Row],[RFC]],'Alta Proveedor'!D:D,'Alta Proveedor'!E:E)=0,"",_xlfn.XLOOKUP(Imput[[#This Row],[RFC]],'Alta Proveedor'!D:D,'Alta Proveedor'!E:E)),"")</f>
        <v/>
      </c>
      <c r="F2910" s="832"/>
      <c r="G2910" s="187"/>
      <c r="H2910" s="1"/>
      <c r="I2910" s="169">
        <f>Imput[[#This Row],[Cantidad]]*Imput[[#This Row],[Precio Unitario]]</f>
        <v>0</v>
      </c>
      <c r="J2910" s="11">
        <f>((Imput[[#This Row],[Sub total]])*(0.16))</f>
        <v>0</v>
      </c>
      <c r="K2910" s="11">
        <v>0</v>
      </c>
      <c r="L2910" s="169">
        <f>Imput[[#This Row],[Sub total]]+Imput[[#This Row],[IVA]]-Imput[[#This Row],[Retención / IEPS / Descuento]]</f>
        <v>0</v>
      </c>
      <c r="M2910" s="844">
        <v>0</v>
      </c>
      <c r="N2910" s="189"/>
      <c r="O2910" s="1"/>
      <c r="P2910" s="189"/>
      <c r="Q2910" s="190"/>
      <c r="R2910" s="188"/>
      <c r="S2910" s="193"/>
      <c r="T2910" s="192"/>
      <c r="U2910" s="829"/>
      <c r="V2910" s="10"/>
      <c r="W2910" s="10"/>
      <c r="X2910" s="10"/>
      <c r="Y2910" s="10"/>
      <c r="Z2910" s="10"/>
      <c r="AA2910" s="11"/>
      <c r="AB2910" s="11"/>
    </row>
    <row r="2911" spans="2:28" x14ac:dyDescent="0.3">
      <c r="B2911" s="10"/>
      <c r="C2911" s="315"/>
      <c r="D2911" s="868"/>
      <c r="E2911" s="837" t="str">
        <f>IFERROR(IF(_xlfn.XLOOKUP(Imput[[#This Row],[RFC]],'Alta Proveedor'!D:D,'Alta Proveedor'!E:E)=0,"",_xlfn.XLOOKUP(Imput[[#This Row],[RFC]],'Alta Proveedor'!D:D,'Alta Proveedor'!E:E)),"")</f>
        <v/>
      </c>
      <c r="F2911" s="832"/>
      <c r="G2911" s="187"/>
      <c r="H2911" s="1"/>
      <c r="I2911" s="169">
        <f>Imput[[#This Row],[Cantidad]]*Imput[[#This Row],[Precio Unitario]]</f>
        <v>0</v>
      </c>
      <c r="J2911" s="11">
        <f>((Imput[[#This Row],[Sub total]])*(0.16))</f>
        <v>0</v>
      </c>
      <c r="K2911" s="11">
        <v>0</v>
      </c>
      <c r="L2911" s="169">
        <f>Imput[[#This Row],[Sub total]]+Imput[[#This Row],[IVA]]-Imput[[#This Row],[Retención / IEPS / Descuento]]</f>
        <v>0</v>
      </c>
      <c r="M2911" s="844">
        <v>0</v>
      </c>
      <c r="N2911" s="189"/>
      <c r="O2911" s="1"/>
      <c r="P2911" s="189"/>
      <c r="Q2911" s="190"/>
      <c r="R2911" s="188"/>
      <c r="S2911" s="193"/>
      <c r="T2911" s="192"/>
      <c r="U2911" s="829"/>
      <c r="V2911" s="10"/>
      <c r="W2911" s="10"/>
      <c r="X2911" s="10"/>
      <c r="Y2911" s="10"/>
      <c r="Z2911" s="10"/>
      <c r="AA2911" s="11"/>
      <c r="AB2911" s="11"/>
    </row>
    <row r="2912" spans="2:28" x14ac:dyDescent="0.3">
      <c r="B2912" s="10"/>
      <c r="C2912" s="315"/>
      <c r="D2912" s="868"/>
      <c r="E2912" s="837" t="str">
        <f>IFERROR(IF(_xlfn.XLOOKUP(Imput[[#This Row],[RFC]],'Alta Proveedor'!D:D,'Alta Proveedor'!E:E)=0,"",_xlfn.XLOOKUP(Imput[[#This Row],[RFC]],'Alta Proveedor'!D:D,'Alta Proveedor'!E:E)),"")</f>
        <v/>
      </c>
      <c r="F2912" s="832"/>
      <c r="G2912" s="187"/>
      <c r="H2912" s="1"/>
      <c r="I2912" s="169">
        <f>Imput[[#This Row],[Cantidad]]*Imput[[#This Row],[Precio Unitario]]</f>
        <v>0</v>
      </c>
      <c r="J2912" s="11">
        <f>((Imput[[#This Row],[Sub total]])*(0.16))</f>
        <v>0</v>
      </c>
      <c r="K2912" s="11">
        <v>0</v>
      </c>
      <c r="L2912" s="169">
        <f>Imput[[#This Row],[Sub total]]+Imput[[#This Row],[IVA]]-Imput[[#This Row],[Retención / IEPS / Descuento]]</f>
        <v>0</v>
      </c>
      <c r="M2912" s="844">
        <v>0</v>
      </c>
      <c r="N2912" s="189"/>
      <c r="O2912" s="1"/>
      <c r="P2912" s="189"/>
      <c r="Q2912" s="190"/>
      <c r="R2912" s="188"/>
      <c r="S2912" s="193"/>
      <c r="T2912" s="192"/>
      <c r="U2912" s="829"/>
      <c r="V2912" s="10"/>
      <c r="W2912" s="10"/>
      <c r="X2912" s="10"/>
      <c r="Y2912" s="10"/>
      <c r="Z2912" s="10"/>
      <c r="AA2912" s="11"/>
      <c r="AB2912" s="11"/>
    </row>
    <row r="2913" spans="2:28" x14ac:dyDescent="0.3">
      <c r="B2913" s="10"/>
      <c r="C2913" s="315"/>
      <c r="D2913" s="868"/>
      <c r="E2913" s="837" t="str">
        <f>IFERROR(IF(_xlfn.XLOOKUP(Imput[[#This Row],[RFC]],'Alta Proveedor'!D:D,'Alta Proveedor'!E:E)=0,"",_xlfn.XLOOKUP(Imput[[#This Row],[RFC]],'Alta Proveedor'!D:D,'Alta Proveedor'!E:E)),"")</f>
        <v/>
      </c>
      <c r="F2913" s="832"/>
      <c r="G2913" s="187"/>
      <c r="H2913" s="1"/>
      <c r="I2913" s="169">
        <f>Imput[[#This Row],[Cantidad]]*Imput[[#This Row],[Precio Unitario]]</f>
        <v>0</v>
      </c>
      <c r="J2913" s="11">
        <f>((Imput[[#This Row],[Sub total]])*(0.16))</f>
        <v>0</v>
      </c>
      <c r="K2913" s="11">
        <v>0</v>
      </c>
      <c r="L2913" s="169">
        <f>Imput[[#This Row],[Sub total]]+Imput[[#This Row],[IVA]]-Imput[[#This Row],[Retención / IEPS / Descuento]]</f>
        <v>0</v>
      </c>
      <c r="M2913" s="844">
        <v>0</v>
      </c>
      <c r="N2913" s="189"/>
      <c r="O2913" s="1"/>
      <c r="P2913" s="189"/>
      <c r="Q2913" s="190"/>
      <c r="R2913" s="188"/>
      <c r="S2913" s="193"/>
      <c r="T2913" s="192"/>
      <c r="U2913" s="829"/>
      <c r="V2913" s="10"/>
      <c r="W2913" s="10"/>
      <c r="X2913" s="10"/>
      <c r="Y2913" s="10"/>
      <c r="Z2913" s="10"/>
      <c r="AA2913" s="11"/>
      <c r="AB2913" s="11"/>
    </row>
    <row r="2914" spans="2:28" x14ac:dyDescent="0.3">
      <c r="B2914" s="10"/>
      <c r="C2914" s="315"/>
      <c r="D2914" s="868"/>
      <c r="E2914" s="837" t="str">
        <f>IFERROR(IF(_xlfn.XLOOKUP(Imput[[#This Row],[RFC]],'Alta Proveedor'!D:D,'Alta Proveedor'!E:E)=0,"",_xlfn.XLOOKUP(Imput[[#This Row],[RFC]],'Alta Proveedor'!D:D,'Alta Proveedor'!E:E)),"")</f>
        <v/>
      </c>
      <c r="F2914" s="832"/>
      <c r="G2914" s="187"/>
      <c r="H2914" s="1"/>
      <c r="I2914" s="169">
        <f>Imput[[#This Row],[Cantidad]]*Imput[[#This Row],[Precio Unitario]]</f>
        <v>0</v>
      </c>
      <c r="J2914" s="11">
        <f>((Imput[[#This Row],[Sub total]])*(0.16))</f>
        <v>0</v>
      </c>
      <c r="K2914" s="11">
        <v>0</v>
      </c>
      <c r="L2914" s="169">
        <f>Imput[[#This Row],[Sub total]]+Imput[[#This Row],[IVA]]-Imput[[#This Row],[Retención / IEPS / Descuento]]</f>
        <v>0</v>
      </c>
      <c r="M2914" s="844">
        <v>0</v>
      </c>
      <c r="N2914" s="189"/>
      <c r="O2914" s="1"/>
      <c r="P2914" s="189"/>
      <c r="Q2914" s="190"/>
      <c r="R2914" s="188"/>
      <c r="S2914" s="193"/>
      <c r="T2914" s="192"/>
      <c r="U2914" s="829"/>
      <c r="V2914" s="10"/>
      <c r="W2914" s="10"/>
      <c r="X2914" s="10"/>
      <c r="Y2914" s="10"/>
      <c r="Z2914" s="10"/>
      <c r="AA2914" s="11"/>
      <c r="AB2914" s="11"/>
    </row>
    <row r="2915" spans="2:28" x14ac:dyDescent="0.3">
      <c r="B2915" s="10"/>
      <c r="C2915" s="315"/>
      <c r="D2915" s="868"/>
      <c r="E2915" s="837" t="str">
        <f>IFERROR(IF(_xlfn.XLOOKUP(Imput[[#This Row],[RFC]],'Alta Proveedor'!D:D,'Alta Proveedor'!E:E)=0,"",_xlfn.XLOOKUP(Imput[[#This Row],[RFC]],'Alta Proveedor'!D:D,'Alta Proveedor'!E:E)),"")</f>
        <v/>
      </c>
      <c r="F2915" s="832"/>
      <c r="G2915" s="187"/>
      <c r="H2915" s="1"/>
      <c r="I2915" s="169">
        <f>Imput[[#This Row],[Cantidad]]*Imput[[#This Row],[Precio Unitario]]</f>
        <v>0</v>
      </c>
      <c r="J2915" s="11">
        <f>((Imput[[#This Row],[Sub total]])*(0.16))</f>
        <v>0</v>
      </c>
      <c r="K2915" s="11">
        <v>0</v>
      </c>
      <c r="L2915" s="169">
        <f>Imput[[#This Row],[Sub total]]+Imput[[#This Row],[IVA]]-Imput[[#This Row],[Retención / IEPS / Descuento]]</f>
        <v>0</v>
      </c>
      <c r="M2915" s="844">
        <v>0</v>
      </c>
      <c r="N2915" s="189"/>
      <c r="O2915" s="1"/>
      <c r="P2915" s="189"/>
      <c r="Q2915" s="190"/>
      <c r="R2915" s="188"/>
      <c r="S2915" s="193"/>
      <c r="T2915" s="192"/>
      <c r="U2915" s="829"/>
      <c r="V2915" s="10"/>
      <c r="W2915" s="10"/>
      <c r="X2915" s="10"/>
      <c r="Y2915" s="10"/>
      <c r="Z2915" s="10"/>
      <c r="AA2915" s="11"/>
      <c r="AB2915" s="11"/>
    </row>
    <row r="2916" spans="2:28" x14ac:dyDescent="0.3">
      <c r="B2916" s="10"/>
      <c r="C2916" s="315"/>
      <c r="D2916" s="868"/>
      <c r="E2916" s="837" t="str">
        <f>IFERROR(IF(_xlfn.XLOOKUP(Imput[[#This Row],[RFC]],'Alta Proveedor'!D:D,'Alta Proveedor'!E:E)=0,"",_xlfn.XLOOKUP(Imput[[#This Row],[RFC]],'Alta Proveedor'!D:D,'Alta Proveedor'!E:E)),"")</f>
        <v/>
      </c>
      <c r="F2916" s="832"/>
      <c r="G2916" s="187"/>
      <c r="H2916" s="1"/>
      <c r="I2916" s="169">
        <f>Imput[[#This Row],[Cantidad]]*Imput[[#This Row],[Precio Unitario]]</f>
        <v>0</v>
      </c>
      <c r="J2916" s="11">
        <f>((Imput[[#This Row],[Sub total]])*(0.16))</f>
        <v>0</v>
      </c>
      <c r="K2916" s="11">
        <v>0</v>
      </c>
      <c r="L2916" s="169">
        <f>Imput[[#This Row],[Sub total]]+Imput[[#This Row],[IVA]]-Imput[[#This Row],[Retención / IEPS / Descuento]]</f>
        <v>0</v>
      </c>
      <c r="M2916" s="844">
        <v>0</v>
      </c>
      <c r="N2916" s="189"/>
      <c r="O2916" s="1"/>
      <c r="P2916" s="189"/>
      <c r="Q2916" s="190"/>
      <c r="R2916" s="188"/>
      <c r="S2916" s="193"/>
      <c r="T2916" s="192"/>
      <c r="U2916" s="829"/>
      <c r="V2916" s="10"/>
      <c r="W2916" s="10"/>
      <c r="X2916" s="10"/>
      <c r="Y2916" s="10"/>
      <c r="Z2916" s="10"/>
      <c r="AA2916" s="11"/>
      <c r="AB2916" s="11"/>
    </row>
    <row r="2917" spans="2:28" x14ac:dyDescent="0.3">
      <c r="B2917" s="10"/>
      <c r="C2917" s="315"/>
      <c r="D2917" s="868"/>
      <c r="E2917" s="837" t="str">
        <f>IFERROR(IF(_xlfn.XLOOKUP(Imput[[#This Row],[RFC]],'Alta Proveedor'!D:D,'Alta Proveedor'!E:E)=0,"",_xlfn.XLOOKUP(Imput[[#This Row],[RFC]],'Alta Proveedor'!D:D,'Alta Proveedor'!E:E)),"")</f>
        <v/>
      </c>
      <c r="F2917" s="832"/>
      <c r="G2917" s="187"/>
      <c r="H2917" s="1"/>
      <c r="I2917" s="169">
        <f>Imput[[#This Row],[Cantidad]]*Imput[[#This Row],[Precio Unitario]]</f>
        <v>0</v>
      </c>
      <c r="J2917" s="11">
        <f>((Imput[[#This Row],[Sub total]])*(0.16))</f>
        <v>0</v>
      </c>
      <c r="K2917" s="11">
        <v>0</v>
      </c>
      <c r="L2917" s="169">
        <f>Imput[[#This Row],[Sub total]]+Imput[[#This Row],[IVA]]-Imput[[#This Row],[Retención / IEPS / Descuento]]</f>
        <v>0</v>
      </c>
      <c r="M2917" s="844">
        <v>0</v>
      </c>
      <c r="N2917" s="189"/>
      <c r="O2917" s="1"/>
      <c r="P2917" s="189"/>
      <c r="Q2917" s="190"/>
      <c r="R2917" s="188"/>
      <c r="S2917" s="193"/>
      <c r="T2917" s="192"/>
      <c r="U2917" s="829"/>
      <c r="V2917" s="10"/>
      <c r="W2917" s="10"/>
      <c r="X2917" s="10"/>
      <c r="Y2917" s="10"/>
      <c r="Z2917" s="10"/>
      <c r="AA2917" s="11"/>
      <c r="AB2917" s="11"/>
    </row>
    <row r="2918" spans="2:28" x14ac:dyDescent="0.3">
      <c r="B2918" s="10"/>
      <c r="C2918" s="315"/>
      <c r="D2918" s="868"/>
      <c r="E2918" s="837" t="str">
        <f>IFERROR(IF(_xlfn.XLOOKUP(Imput[[#This Row],[RFC]],'Alta Proveedor'!D:D,'Alta Proveedor'!E:E)=0,"",_xlfn.XLOOKUP(Imput[[#This Row],[RFC]],'Alta Proveedor'!D:D,'Alta Proveedor'!E:E)),"")</f>
        <v/>
      </c>
      <c r="F2918" s="832"/>
      <c r="G2918" s="187"/>
      <c r="H2918" s="1"/>
      <c r="I2918" s="169">
        <f>Imput[[#This Row],[Cantidad]]*Imput[[#This Row],[Precio Unitario]]</f>
        <v>0</v>
      </c>
      <c r="J2918" s="11">
        <f>((Imput[[#This Row],[Sub total]])*(0.16))</f>
        <v>0</v>
      </c>
      <c r="K2918" s="11">
        <v>0</v>
      </c>
      <c r="L2918" s="169">
        <f>Imput[[#This Row],[Sub total]]+Imput[[#This Row],[IVA]]-Imput[[#This Row],[Retención / IEPS / Descuento]]</f>
        <v>0</v>
      </c>
      <c r="M2918" s="844">
        <v>0</v>
      </c>
      <c r="N2918" s="189"/>
      <c r="O2918" s="1"/>
      <c r="P2918" s="189"/>
      <c r="Q2918" s="190"/>
      <c r="R2918" s="188"/>
      <c r="S2918" s="193"/>
      <c r="T2918" s="192"/>
      <c r="U2918" s="829"/>
      <c r="V2918" s="10"/>
      <c r="W2918" s="10"/>
      <c r="X2918" s="10"/>
      <c r="Y2918" s="10"/>
      <c r="Z2918" s="10"/>
      <c r="AA2918" s="11"/>
      <c r="AB2918" s="11"/>
    </row>
    <row r="2919" spans="2:28" x14ac:dyDescent="0.3">
      <c r="B2919" s="10"/>
      <c r="C2919" s="315"/>
      <c r="D2919" s="868"/>
      <c r="E2919" s="837" t="str">
        <f>IFERROR(IF(_xlfn.XLOOKUP(Imput[[#This Row],[RFC]],'Alta Proveedor'!D:D,'Alta Proveedor'!E:E)=0,"",_xlfn.XLOOKUP(Imput[[#This Row],[RFC]],'Alta Proveedor'!D:D,'Alta Proveedor'!E:E)),"")</f>
        <v/>
      </c>
      <c r="F2919" s="832"/>
      <c r="G2919" s="187"/>
      <c r="H2919" s="1"/>
      <c r="I2919" s="169">
        <f>Imput[[#This Row],[Cantidad]]*Imput[[#This Row],[Precio Unitario]]</f>
        <v>0</v>
      </c>
      <c r="J2919" s="11">
        <f>((Imput[[#This Row],[Sub total]])*(0.16))</f>
        <v>0</v>
      </c>
      <c r="K2919" s="11">
        <v>0</v>
      </c>
      <c r="L2919" s="169">
        <f>Imput[[#This Row],[Sub total]]+Imput[[#This Row],[IVA]]-Imput[[#This Row],[Retención / IEPS / Descuento]]</f>
        <v>0</v>
      </c>
      <c r="M2919" s="844">
        <v>0</v>
      </c>
      <c r="N2919" s="189"/>
      <c r="O2919" s="1"/>
      <c r="P2919" s="189"/>
      <c r="Q2919" s="190"/>
      <c r="R2919" s="188"/>
      <c r="S2919" s="193"/>
      <c r="T2919" s="192"/>
      <c r="U2919" s="829"/>
      <c r="V2919" s="10"/>
      <c r="W2919" s="10"/>
      <c r="X2919" s="10"/>
      <c r="Y2919" s="10"/>
      <c r="Z2919" s="10"/>
      <c r="AA2919" s="11"/>
      <c r="AB2919" s="11"/>
    </row>
    <row r="2920" spans="2:28" x14ac:dyDescent="0.3">
      <c r="B2920" s="10"/>
      <c r="C2920" s="315"/>
      <c r="D2920" s="868"/>
      <c r="E2920" s="837" t="str">
        <f>IFERROR(IF(_xlfn.XLOOKUP(Imput[[#This Row],[RFC]],'Alta Proveedor'!D:D,'Alta Proveedor'!E:E)=0,"",_xlfn.XLOOKUP(Imput[[#This Row],[RFC]],'Alta Proveedor'!D:D,'Alta Proveedor'!E:E)),"")</f>
        <v/>
      </c>
      <c r="F2920" s="832"/>
      <c r="G2920" s="187"/>
      <c r="H2920" s="1"/>
      <c r="I2920" s="169">
        <f>Imput[[#This Row],[Cantidad]]*Imput[[#This Row],[Precio Unitario]]</f>
        <v>0</v>
      </c>
      <c r="J2920" s="11">
        <f>((Imput[[#This Row],[Sub total]])*(0.16))</f>
        <v>0</v>
      </c>
      <c r="K2920" s="11">
        <v>0</v>
      </c>
      <c r="L2920" s="169">
        <f>Imput[[#This Row],[Sub total]]+Imput[[#This Row],[IVA]]-Imput[[#This Row],[Retención / IEPS / Descuento]]</f>
        <v>0</v>
      </c>
      <c r="M2920" s="844">
        <v>0</v>
      </c>
      <c r="N2920" s="189"/>
      <c r="O2920" s="1"/>
      <c r="P2920" s="189"/>
      <c r="Q2920" s="190"/>
      <c r="R2920" s="188"/>
      <c r="S2920" s="193"/>
      <c r="T2920" s="192"/>
      <c r="U2920" s="829"/>
      <c r="V2920" s="10"/>
      <c r="W2920" s="10"/>
      <c r="X2920" s="10"/>
      <c r="Y2920" s="10"/>
      <c r="Z2920" s="10"/>
      <c r="AA2920" s="11"/>
      <c r="AB2920" s="11"/>
    </row>
    <row r="2921" spans="2:28" x14ac:dyDescent="0.3">
      <c r="B2921" s="10"/>
      <c r="C2921" s="315"/>
      <c r="D2921" s="868"/>
      <c r="E2921" s="837" t="str">
        <f>IFERROR(IF(_xlfn.XLOOKUP(Imput[[#This Row],[RFC]],'Alta Proveedor'!D:D,'Alta Proveedor'!E:E)=0,"",_xlfn.XLOOKUP(Imput[[#This Row],[RFC]],'Alta Proveedor'!D:D,'Alta Proveedor'!E:E)),"")</f>
        <v/>
      </c>
      <c r="F2921" s="832"/>
      <c r="G2921" s="187"/>
      <c r="H2921" s="1"/>
      <c r="I2921" s="169">
        <f>Imput[[#This Row],[Cantidad]]*Imput[[#This Row],[Precio Unitario]]</f>
        <v>0</v>
      </c>
      <c r="J2921" s="11">
        <f>((Imput[[#This Row],[Sub total]])*(0.16))</f>
        <v>0</v>
      </c>
      <c r="K2921" s="11">
        <v>0</v>
      </c>
      <c r="L2921" s="169">
        <f>Imput[[#This Row],[Sub total]]+Imput[[#This Row],[IVA]]-Imput[[#This Row],[Retención / IEPS / Descuento]]</f>
        <v>0</v>
      </c>
      <c r="M2921" s="844">
        <v>0</v>
      </c>
      <c r="N2921" s="189"/>
      <c r="O2921" s="1"/>
      <c r="P2921" s="189"/>
      <c r="Q2921" s="190"/>
      <c r="R2921" s="188"/>
      <c r="S2921" s="193"/>
      <c r="T2921" s="192"/>
      <c r="U2921" s="829"/>
      <c r="V2921" s="10"/>
      <c r="W2921" s="10"/>
      <c r="X2921" s="10"/>
      <c r="Y2921" s="10"/>
      <c r="Z2921" s="10"/>
      <c r="AA2921" s="11"/>
      <c r="AB2921" s="11"/>
    </row>
    <row r="2922" spans="2:28" x14ac:dyDescent="0.3">
      <c r="B2922" s="10"/>
      <c r="C2922" s="315"/>
      <c r="D2922" s="868"/>
      <c r="E2922" s="837" t="str">
        <f>IFERROR(IF(_xlfn.XLOOKUP(Imput[[#This Row],[RFC]],'Alta Proveedor'!D:D,'Alta Proveedor'!E:E)=0,"",_xlfn.XLOOKUP(Imput[[#This Row],[RFC]],'Alta Proveedor'!D:D,'Alta Proveedor'!E:E)),"")</f>
        <v/>
      </c>
      <c r="F2922" s="832"/>
      <c r="G2922" s="187"/>
      <c r="H2922" s="1"/>
      <c r="I2922" s="169">
        <f>Imput[[#This Row],[Cantidad]]*Imput[[#This Row],[Precio Unitario]]</f>
        <v>0</v>
      </c>
      <c r="J2922" s="11">
        <f>((Imput[[#This Row],[Sub total]])*(0.16))</f>
        <v>0</v>
      </c>
      <c r="K2922" s="11">
        <v>0</v>
      </c>
      <c r="L2922" s="169">
        <f>Imput[[#This Row],[Sub total]]+Imput[[#This Row],[IVA]]-Imput[[#This Row],[Retención / IEPS / Descuento]]</f>
        <v>0</v>
      </c>
      <c r="M2922" s="844">
        <v>0</v>
      </c>
      <c r="N2922" s="189"/>
      <c r="O2922" s="1"/>
      <c r="P2922" s="189"/>
      <c r="Q2922" s="190"/>
      <c r="R2922" s="188"/>
      <c r="S2922" s="193"/>
      <c r="T2922" s="192"/>
      <c r="U2922" s="829"/>
      <c r="V2922" s="10"/>
      <c r="W2922" s="10"/>
      <c r="X2922" s="10"/>
      <c r="Y2922" s="10"/>
      <c r="Z2922" s="10"/>
      <c r="AA2922" s="11"/>
      <c r="AB2922" s="11"/>
    </row>
    <row r="2923" spans="2:28" x14ac:dyDescent="0.3">
      <c r="B2923" s="10"/>
      <c r="C2923" s="315"/>
      <c r="D2923" s="868"/>
      <c r="E2923" s="837" t="str">
        <f>IFERROR(IF(_xlfn.XLOOKUP(Imput[[#This Row],[RFC]],'Alta Proveedor'!D:D,'Alta Proveedor'!E:E)=0,"",_xlfn.XLOOKUP(Imput[[#This Row],[RFC]],'Alta Proveedor'!D:D,'Alta Proveedor'!E:E)),"")</f>
        <v/>
      </c>
      <c r="F2923" s="832"/>
      <c r="G2923" s="187"/>
      <c r="H2923" s="1"/>
      <c r="I2923" s="169">
        <f>Imput[[#This Row],[Cantidad]]*Imput[[#This Row],[Precio Unitario]]</f>
        <v>0</v>
      </c>
      <c r="J2923" s="11">
        <f>((Imput[[#This Row],[Sub total]])*(0.16))</f>
        <v>0</v>
      </c>
      <c r="K2923" s="11">
        <v>0</v>
      </c>
      <c r="L2923" s="169">
        <f>Imput[[#This Row],[Sub total]]+Imput[[#This Row],[IVA]]-Imput[[#This Row],[Retención / IEPS / Descuento]]</f>
        <v>0</v>
      </c>
      <c r="M2923" s="844">
        <v>0</v>
      </c>
      <c r="N2923" s="189"/>
      <c r="O2923" s="1"/>
      <c r="P2923" s="189"/>
      <c r="Q2923" s="190"/>
      <c r="R2923" s="188"/>
      <c r="S2923" s="193"/>
      <c r="T2923" s="192"/>
      <c r="U2923" s="829"/>
      <c r="V2923" s="10"/>
      <c r="W2923" s="10"/>
      <c r="X2923" s="10"/>
      <c r="Y2923" s="10"/>
      <c r="Z2923" s="10"/>
      <c r="AA2923" s="11"/>
      <c r="AB2923" s="11"/>
    </row>
    <row r="2924" spans="2:28" x14ac:dyDescent="0.3">
      <c r="B2924" s="10"/>
      <c r="C2924" s="315"/>
      <c r="D2924" s="868"/>
      <c r="E2924" s="837" t="str">
        <f>IFERROR(IF(_xlfn.XLOOKUP(Imput[[#This Row],[RFC]],'Alta Proveedor'!D:D,'Alta Proveedor'!E:E)=0,"",_xlfn.XLOOKUP(Imput[[#This Row],[RFC]],'Alta Proveedor'!D:D,'Alta Proveedor'!E:E)),"")</f>
        <v/>
      </c>
      <c r="F2924" s="832"/>
      <c r="G2924" s="187"/>
      <c r="H2924" s="1"/>
      <c r="I2924" s="169">
        <f>Imput[[#This Row],[Cantidad]]*Imput[[#This Row],[Precio Unitario]]</f>
        <v>0</v>
      </c>
      <c r="J2924" s="11">
        <f>((Imput[[#This Row],[Sub total]])*(0.16))</f>
        <v>0</v>
      </c>
      <c r="K2924" s="11">
        <v>0</v>
      </c>
      <c r="L2924" s="169">
        <f>Imput[[#This Row],[Sub total]]+Imput[[#This Row],[IVA]]-Imput[[#This Row],[Retención / IEPS / Descuento]]</f>
        <v>0</v>
      </c>
      <c r="M2924" s="844">
        <v>0</v>
      </c>
      <c r="N2924" s="189"/>
      <c r="O2924" s="1"/>
      <c r="P2924" s="189"/>
      <c r="Q2924" s="190"/>
      <c r="R2924" s="188"/>
      <c r="S2924" s="193"/>
      <c r="T2924" s="192"/>
      <c r="U2924" s="829"/>
      <c r="V2924" s="10"/>
      <c r="W2924" s="10"/>
      <c r="X2924" s="10"/>
      <c r="Y2924" s="10"/>
      <c r="Z2924" s="10"/>
      <c r="AA2924" s="11"/>
      <c r="AB2924" s="11"/>
    </row>
    <row r="2925" spans="2:28" x14ac:dyDescent="0.3">
      <c r="B2925" s="10"/>
      <c r="C2925" s="315"/>
      <c r="D2925" s="868"/>
      <c r="E2925" s="837" t="str">
        <f>IFERROR(IF(_xlfn.XLOOKUP(Imput[[#This Row],[RFC]],'Alta Proveedor'!D:D,'Alta Proveedor'!E:E)=0,"",_xlfn.XLOOKUP(Imput[[#This Row],[RFC]],'Alta Proveedor'!D:D,'Alta Proveedor'!E:E)),"")</f>
        <v/>
      </c>
      <c r="F2925" s="832"/>
      <c r="G2925" s="187"/>
      <c r="H2925" s="1"/>
      <c r="I2925" s="169">
        <f>Imput[[#This Row],[Cantidad]]*Imput[[#This Row],[Precio Unitario]]</f>
        <v>0</v>
      </c>
      <c r="J2925" s="11">
        <f>((Imput[[#This Row],[Sub total]])*(0.16))</f>
        <v>0</v>
      </c>
      <c r="K2925" s="11">
        <v>0</v>
      </c>
      <c r="L2925" s="169">
        <f>Imput[[#This Row],[Sub total]]+Imput[[#This Row],[IVA]]-Imput[[#This Row],[Retención / IEPS / Descuento]]</f>
        <v>0</v>
      </c>
      <c r="M2925" s="844">
        <v>0</v>
      </c>
      <c r="N2925" s="189"/>
      <c r="O2925" s="1"/>
      <c r="P2925" s="189"/>
      <c r="Q2925" s="190"/>
      <c r="R2925" s="188"/>
      <c r="S2925" s="193"/>
      <c r="T2925" s="192"/>
      <c r="U2925" s="829"/>
      <c r="V2925" s="10"/>
      <c r="W2925" s="10"/>
      <c r="X2925" s="10"/>
      <c r="Y2925" s="10"/>
      <c r="Z2925" s="10"/>
      <c r="AA2925" s="11"/>
      <c r="AB2925" s="11"/>
    </row>
    <row r="2926" spans="2:28" x14ac:dyDescent="0.3">
      <c r="B2926" s="10"/>
      <c r="C2926" s="315"/>
      <c r="D2926" s="868"/>
      <c r="E2926" s="837" t="str">
        <f>IFERROR(IF(_xlfn.XLOOKUP(Imput[[#This Row],[RFC]],'Alta Proveedor'!D:D,'Alta Proveedor'!E:E)=0,"",_xlfn.XLOOKUP(Imput[[#This Row],[RFC]],'Alta Proveedor'!D:D,'Alta Proveedor'!E:E)),"")</f>
        <v/>
      </c>
      <c r="F2926" s="832"/>
      <c r="G2926" s="187"/>
      <c r="H2926" s="1"/>
      <c r="I2926" s="169">
        <f>Imput[[#This Row],[Cantidad]]*Imput[[#This Row],[Precio Unitario]]</f>
        <v>0</v>
      </c>
      <c r="J2926" s="11">
        <f>((Imput[[#This Row],[Sub total]])*(0.16))</f>
        <v>0</v>
      </c>
      <c r="K2926" s="11">
        <v>0</v>
      </c>
      <c r="L2926" s="169">
        <f>Imput[[#This Row],[Sub total]]+Imput[[#This Row],[IVA]]-Imput[[#This Row],[Retención / IEPS / Descuento]]</f>
        <v>0</v>
      </c>
      <c r="M2926" s="844">
        <v>0</v>
      </c>
      <c r="N2926" s="189"/>
      <c r="O2926" s="1"/>
      <c r="P2926" s="189"/>
      <c r="Q2926" s="190"/>
      <c r="R2926" s="188"/>
      <c r="S2926" s="193"/>
      <c r="T2926" s="192"/>
      <c r="U2926" s="829"/>
      <c r="V2926" s="10"/>
      <c r="W2926" s="10"/>
      <c r="X2926" s="10"/>
      <c r="Y2926" s="10"/>
      <c r="Z2926" s="10"/>
      <c r="AA2926" s="11"/>
      <c r="AB2926" s="11"/>
    </row>
    <row r="2927" spans="2:28" x14ac:dyDescent="0.3">
      <c r="B2927" s="10"/>
      <c r="C2927" s="315"/>
      <c r="D2927" s="868"/>
      <c r="E2927" s="837" t="str">
        <f>IFERROR(IF(_xlfn.XLOOKUP(Imput[[#This Row],[RFC]],'Alta Proveedor'!D:D,'Alta Proveedor'!E:E)=0,"",_xlfn.XLOOKUP(Imput[[#This Row],[RFC]],'Alta Proveedor'!D:D,'Alta Proveedor'!E:E)),"")</f>
        <v/>
      </c>
      <c r="F2927" s="832"/>
      <c r="G2927" s="187"/>
      <c r="H2927" s="1"/>
      <c r="I2927" s="169">
        <f>Imput[[#This Row],[Cantidad]]*Imput[[#This Row],[Precio Unitario]]</f>
        <v>0</v>
      </c>
      <c r="J2927" s="11">
        <f>((Imput[[#This Row],[Sub total]])*(0.16))</f>
        <v>0</v>
      </c>
      <c r="K2927" s="11">
        <v>0</v>
      </c>
      <c r="L2927" s="169">
        <f>Imput[[#This Row],[Sub total]]+Imput[[#This Row],[IVA]]-Imput[[#This Row],[Retención / IEPS / Descuento]]</f>
        <v>0</v>
      </c>
      <c r="M2927" s="844">
        <v>0</v>
      </c>
      <c r="N2927" s="189"/>
      <c r="O2927" s="1"/>
      <c r="P2927" s="189"/>
      <c r="Q2927" s="190"/>
      <c r="R2927" s="188"/>
      <c r="S2927" s="193"/>
      <c r="T2927" s="192"/>
      <c r="U2927" s="829"/>
      <c r="V2927" s="10"/>
      <c r="W2927" s="10"/>
      <c r="X2927" s="10"/>
      <c r="Y2927" s="10"/>
      <c r="Z2927" s="10"/>
      <c r="AA2927" s="11"/>
      <c r="AB2927" s="11"/>
    </row>
    <row r="2928" spans="2:28" x14ac:dyDescent="0.3">
      <c r="B2928" s="10"/>
      <c r="C2928" s="315"/>
      <c r="D2928" s="868"/>
      <c r="E2928" s="837" t="str">
        <f>IFERROR(IF(_xlfn.XLOOKUP(Imput[[#This Row],[RFC]],'Alta Proveedor'!D:D,'Alta Proveedor'!E:E)=0,"",_xlfn.XLOOKUP(Imput[[#This Row],[RFC]],'Alta Proveedor'!D:D,'Alta Proveedor'!E:E)),"")</f>
        <v/>
      </c>
      <c r="F2928" s="832"/>
      <c r="G2928" s="187"/>
      <c r="H2928" s="1"/>
      <c r="I2928" s="169">
        <f>Imput[[#This Row],[Cantidad]]*Imput[[#This Row],[Precio Unitario]]</f>
        <v>0</v>
      </c>
      <c r="J2928" s="11">
        <f>((Imput[[#This Row],[Sub total]])*(0.16))</f>
        <v>0</v>
      </c>
      <c r="K2928" s="11">
        <v>0</v>
      </c>
      <c r="L2928" s="169">
        <f>Imput[[#This Row],[Sub total]]+Imput[[#This Row],[IVA]]-Imput[[#This Row],[Retención / IEPS / Descuento]]</f>
        <v>0</v>
      </c>
      <c r="M2928" s="844">
        <v>0</v>
      </c>
      <c r="N2928" s="189"/>
      <c r="O2928" s="1"/>
      <c r="P2928" s="189"/>
      <c r="Q2928" s="190"/>
      <c r="R2928" s="188"/>
      <c r="S2928" s="193"/>
      <c r="T2928" s="192"/>
      <c r="U2928" s="829"/>
      <c r="V2928" s="10"/>
      <c r="W2928" s="10"/>
      <c r="X2928" s="10"/>
      <c r="Y2928" s="10"/>
      <c r="Z2928" s="10"/>
      <c r="AA2928" s="11"/>
      <c r="AB2928" s="11"/>
    </row>
    <row r="2929" spans="2:28" x14ac:dyDescent="0.3">
      <c r="B2929" s="10"/>
      <c r="C2929" s="315"/>
      <c r="D2929" s="868"/>
      <c r="E2929" s="837" t="str">
        <f>IFERROR(IF(_xlfn.XLOOKUP(Imput[[#This Row],[RFC]],'Alta Proveedor'!D:D,'Alta Proveedor'!E:E)=0,"",_xlfn.XLOOKUP(Imput[[#This Row],[RFC]],'Alta Proveedor'!D:D,'Alta Proveedor'!E:E)),"")</f>
        <v/>
      </c>
      <c r="F2929" s="832"/>
      <c r="G2929" s="187"/>
      <c r="H2929" s="1"/>
      <c r="I2929" s="169">
        <f>Imput[[#This Row],[Cantidad]]*Imput[[#This Row],[Precio Unitario]]</f>
        <v>0</v>
      </c>
      <c r="J2929" s="11">
        <f>((Imput[[#This Row],[Sub total]])*(0.16))</f>
        <v>0</v>
      </c>
      <c r="K2929" s="11">
        <v>0</v>
      </c>
      <c r="L2929" s="169">
        <f>Imput[[#This Row],[Sub total]]+Imput[[#This Row],[IVA]]-Imput[[#This Row],[Retención / IEPS / Descuento]]</f>
        <v>0</v>
      </c>
      <c r="M2929" s="844">
        <v>0</v>
      </c>
      <c r="N2929" s="189"/>
      <c r="O2929" s="1"/>
      <c r="P2929" s="189"/>
      <c r="Q2929" s="190"/>
      <c r="R2929" s="188"/>
      <c r="S2929" s="193"/>
      <c r="T2929" s="192"/>
      <c r="U2929" s="829"/>
      <c r="V2929" s="10"/>
      <c r="W2929" s="10"/>
      <c r="X2929" s="10"/>
      <c r="Y2929" s="10"/>
      <c r="Z2929" s="10"/>
      <c r="AA2929" s="11"/>
      <c r="AB2929" s="11"/>
    </row>
    <row r="2930" spans="2:28" x14ac:dyDescent="0.3">
      <c r="B2930" s="10"/>
      <c r="C2930" s="315"/>
      <c r="D2930" s="868"/>
      <c r="E2930" s="837" t="str">
        <f>IFERROR(IF(_xlfn.XLOOKUP(Imput[[#This Row],[RFC]],'Alta Proveedor'!D:D,'Alta Proveedor'!E:E)=0,"",_xlfn.XLOOKUP(Imput[[#This Row],[RFC]],'Alta Proveedor'!D:D,'Alta Proveedor'!E:E)),"")</f>
        <v/>
      </c>
      <c r="F2930" s="832"/>
      <c r="G2930" s="187"/>
      <c r="H2930" s="1"/>
      <c r="I2930" s="169">
        <f>Imput[[#This Row],[Cantidad]]*Imput[[#This Row],[Precio Unitario]]</f>
        <v>0</v>
      </c>
      <c r="J2930" s="11">
        <f>((Imput[[#This Row],[Sub total]])*(0.16))</f>
        <v>0</v>
      </c>
      <c r="K2930" s="11">
        <v>0</v>
      </c>
      <c r="L2930" s="169">
        <f>Imput[[#This Row],[Sub total]]+Imput[[#This Row],[IVA]]-Imput[[#This Row],[Retención / IEPS / Descuento]]</f>
        <v>0</v>
      </c>
      <c r="M2930" s="844">
        <v>0</v>
      </c>
      <c r="N2930" s="189"/>
      <c r="O2930" s="1"/>
      <c r="P2930" s="189"/>
      <c r="Q2930" s="190"/>
      <c r="R2930" s="188"/>
      <c r="S2930" s="193"/>
      <c r="T2930" s="192"/>
      <c r="U2930" s="829"/>
      <c r="V2930" s="10"/>
      <c r="W2930" s="10"/>
      <c r="X2930" s="10"/>
      <c r="Y2930" s="10"/>
      <c r="Z2930" s="10"/>
      <c r="AA2930" s="11"/>
      <c r="AB2930" s="11"/>
    </row>
    <row r="2931" spans="2:28" x14ac:dyDescent="0.3">
      <c r="B2931" s="10"/>
      <c r="C2931" s="315"/>
      <c r="D2931" s="868"/>
      <c r="E2931" s="837" t="str">
        <f>IFERROR(IF(_xlfn.XLOOKUP(Imput[[#This Row],[RFC]],'Alta Proveedor'!D:D,'Alta Proveedor'!E:E)=0,"",_xlfn.XLOOKUP(Imput[[#This Row],[RFC]],'Alta Proveedor'!D:D,'Alta Proveedor'!E:E)),"")</f>
        <v/>
      </c>
      <c r="F2931" s="832"/>
      <c r="G2931" s="187"/>
      <c r="H2931" s="1"/>
      <c r="I2931" s="169">
        <f>Imput[[#This Row],[Cantidad]]*Imput[[#This Row],[Precio Unitario]]</f>
        <v>0</v>
      </c>
      <c r="J2931" s="11">
        <f>((Imput[[#This Row],[Sub total]])*(0.16))</f>
        <v>0</v>
      </c>
      <c r="K2931" s="11">
        <v>0</v>
      </c>
      <c r="L2931" s="169">
        <f>Imput[[#This Row],[Sub total]]+Imput[[#This Row],[IVA]]-Imput[[#This Row],[Retención / IEPS / Descuento]]</f>
        <v>0</v>
      </c>
      <c r="M2931" s="844">
        <v>0</v>
      </c>
      <c r="N2931" s="189"/>
      <c r="O2931" s="1"/>
      <c r="P2931" s="189"/>
      <c r="Q2931" s="190"/>
      <c r="R2931" s="188"/>
      <c r="S2931" s="193"/>
      <c r="T2931" s="192"/>
      <c r="U2931" s="829"/>
      <c r="V2931" s="10"/>
      <c r="W2931" s="10"/>
      <c r="X2931" s="10"/>
      <c r="Y2931" s="10"/>
      <c r="Z2931" s="10"/>
      <c r="AA2931" s="11"/>
      <c r="AB2931" s="11"/>
    </row>
    <row r="2932" spans="2:28" x14ac:dyDescent="0.3">
      <c r="B2932" s="10"/>
      <c r="C2932" s="315"/>
      <c r="D2932" s="868"/>
      <c r="E2932" s="837" t="str">
        <f>IFERROR(IF(_xlfn.XLOOKUP(Imput[[#This Row],[RFC]],'Alta Proveedor'!D:D,'Alta Proveedor'!E:E)=0,"",_xlfn.XLOOKUP(Imput[[#This Row],[RFC]],'Alta Proveedor'!D:D,'Alta Proveedor'!E:E)),"")</f>
        <v/>
      </c>
      <c r="F2932" s="832"/>
      <c r="G2932" s="187"/>
      <c r="H2932" s="1"/>
      <c r="I2932" s="169">
        <f>Imput[[#This Row],[Cantidad]]*Imput[[#This Row],[Precio Unitario]]</f>
        <v>0</v>
      </c>
      <c r="J2932" s="11">
        <f>((Imput[[#This Row],[Sub total]])*(0.16))</f>
        <v>0</v>
      </c>
      <c r="K2932" s="11">
        <v>0</v>
      </c>
      <c r="L2932" s="169">
        <f>Imput[[#This Row],[Sub total]]+Imput[[#This Row],[IVA]]-Imput[[#This Row],[Retención / IEPS / Descuento]]</f>
        <v>0</v>
      </c>
      <c r="M2932" s="844">
        <v>0</v>
      </c>
      <c r="N2932" s="189"/>
      <c r="O2932" s="1"/>
      <c r="P2932" s="189"/>
      <c r="Q2932" s="190"/>
      <c r="R2932" s="188"/>
      <c r="S2932" s="193"/>
      <c r="T2932" s="192"/>
      <c r="U2932" s="829"/>
      <c r="V2932" s="10"/>
      <c r="W2932" s="10"/>
      <c r="X2932" s="10"/>
      <c r="Y2932" s="10"/>
      <c r="Z2932" s="10"/>
      <c r="AA2932" s="11"/>
      <c r="AB2932" s="11"/>
    </row>
    <row r="2933" spans="2:28" x14ac:dyDescent="0.3">
      <c r="B2933" s="10"/>
      <c r="C2933" s="315"/>
      <c r="D2933" s="868"/>
      <c r="E2933" s="837" t="str">
        <f>IFERROR(IF(_xlfn.XLOOKUP(Imput[[#This Row],[RFC]],'Alta Proveedor'!D:D,'Alta Proveedor'!E:E)=0,"",_xlfn.XLOOKUP(Imput[[#This Row],[RFC]],'Alta Proveedor'!D:D,'Alta Proveedor'!E:E)),"")</f>
        <v/>
      </c>
      <c r="F2933" s="832"/>
      <c r="G2933" s="187"/>
      <c r="H2933" s="1"/>
      <c r="I2933" s="169">
        <f>Imput[[#This Row],[Cantidad]]*Imput[[#This Row],[Precio Unitario]]</f>
        <v>0</v>
      </c>
      <c r="J2933" s="11">
        <f>((Imput[[#This Row],[Sub total]])*(0.16))</f>
        <v>0</v>
      </c>
      <c r="K2933" s="11">
        <v>0</v>
      </c>
      <c r="L2933" s="169">
        <f>Imput[[#This Row],[Sub total]]+Imput[[#This Row],[IVA]]-Imput[[#This Row],[Retención / IEPS / Descuento]]</f>
        <v>0</v>
      </c>
      <c r="M2933" s="844">
        <v>0</v>
      </c>
      <c r="N2933" s="189"/>
      <c r="O2933" s="1"/>
      <c r="P2933" s="189"/>
      <c r="Q2933" s="190"/>
      <c r="R2933" s="188"/>
      <c r="S2933" s="193"/>
      <c r="T2933" s="192"/>
      <c r="U2933" s="829"/>
      <c r="V2933" s="10"/>
      <c r="W2933" s="10"/>
      <c r="X2933" s="10"/>
      <c r="Y2933" s="10"/>
      <c r="Z2933" s="10"/>
      <c r="AA2933" s="11"/>
      <c r="AB2933" s="11"/>
    </row>
    <row r="2934" spans="2:28" x14ac:dyDescent="0.3">
      <c r="B2934" s="10"/>
      <c r="C2934" s="315"/>
      <c r="D2934" s="868"/>
      <c r="E2934" s="837" t="str">
        <f>IFERROR(IF(_xlfn.XLOOKUP(Imput[[#This Row],[RFC]],'Alta Proveedor'!D:D,'Alta Proveedor'!E:E)=0,"",_xlfn.XLOOKUP(Imput[[#This Row],[RFC]],'Alta Proveedor'!D:D,'Alta Proveedor'!E:E)),"")</f>
        <v/>
      </c>
      <c r="F2934" s="832"/>
      <c r="G2934" s="187"/>
      <c r="H2934" s="1"/>
      <c r="I2934" s="169">
        <f>Imput[[#This Row],[Cantidad]]*Imput[[#This Row],[Precio Unitario]]</f>
        <v>0</v>
      </c>
      <c r="J2934" s="11">
        <f>((Imput[[#This Row],[Sub total]])*(0.16))</f>
        <v>0</v>
      </c>
      <c r="K2934" s="11">
        <v>0</v>
      </c>
      <c r="L2934" s="169">
        <f>Imput[[#This Row],[Sub total]]+Imput[[#This Row],[IVA]]-Imput[[#This Row],[Retención / IEPS / Descuento]]</f>
        <v>0</v>
      </c>
      <c r="M2934" s="844">
        <v>0</v>
      </c>
      <c r="N2934" s="189"/>
      <c r="O2934" s="1"/>
      <c r="P2934" s="189"/>
      <c r="Q2934" s="190"/>
      <c r="R2934" s="188"/>
      <c r="S2934" s="193"/>
      <c r="T2934" s="192"/>
      <c r="U2934" s="829"/>
      <c r="V2934" s="10"/>
      <c r="W2934" s="10"/>
      <c r="X2934" s="10"/>
      <c r="Y2934" s="10"/>
      <c r="Z2934" s="10"/>
      <c r="AA2934" s="11"/>
      <c r="AB2934" s="11"/>
    </row>
    <row r="2935" spans="2:28" x14ac:dyDescent="0.3">
      <c r="B2935" s="10"/>
      <c r="C2935" s="315"/>
      <c r="D2935" s="868"/>
      <c r="E2935" s="837" t="str">
        <f>IFERROR(IF(_xlfn.XLOOKUP(Imput[[#This Row],[RFC]],'Alta Proveedor'!D:D,'Alta Proveedor'!E:E)=0,"",_xlfn.XLOOKUP(Imput[[#This Row],[RFC]],'Alta Proveedor'!D:D,'Alta Proveedor'!E:E)),"")</f>
        <v/>
      </c>
      <c r="F2935" s="832"/>
      <c r="G2935" s="187"/>
      <c r="H2935" s="1"/>
      <c r="I2935" s="169">
        <f>Imput[[#This Row],[Cantidad]]*Imput[[#This Row],[Precio Unitario]]</f>
        <v>0</v>
      </c>
      <c r="J2935" s="11">
        <f>((Imput[[#This Row],[Sub total]])*(0.16))</f>
        <v>0</v>
      </c>
      <c r="K2935" s="11">
        <v>0</v>
      </c>
      <c r="L2935" s="169">
        <f>Imput[[#This Row],[Sub total]]+Imput[[#This Row],[IVA]]-Imput[[#This Row],[Retención / IEPS / Descuento]]</f>
        <v>0</v>
      </c>
      <c r="M2935" s="844">
        <v>0</v>
      </c>
      <c r="N2935" s="189"/>
      <c r="O2935" s="1"/>
      <c r="P2935" s="189"/>
      <c r="Q2935" s="190"/>
      <c r="R2935" s="188"/>
      <c r="S2935" s="193"/>
      <c r="T2935" s="192"/>
      <c r="U2935" s="829"/>
      <c r="V2935" s="10"/>
      <c r="W2935" s="10"/>
      <c r="X2935" s="10"/>
      <c r="Y2935" s="10"/>
      <c r="Z2935" s="10"/>
      <c r="AA2935" s="11"/>
      <c r="AB2935" s="11"/>
    </row>
    <row r="2936" spans="2:28" x14ac:dyDescent="0.3">
      <c r="B2936" s="10"/>
      <c r="C2936" s="315"/>
      <c r="D2936" s="868"/>
      <c r="E2936" s="837" t="str">
        <f>IFERROR(IF(_xlfn.XLOOKUP(Imput[[#This Row],[RFC]],'Alta Proveedor'!D:D,'Alta Proveedor'!E:E)=0,"",_xlfn.XLOOKUP(Imput[[#This Row],[RFC]],'Alta Proveedor'!D:D,'Alta Proveedor'!E:E)),"")</f>
        <v/>
      </c>
      <c r="F2936" s="832"/>
      <c r="G2936" s="187"/>
      <c r="H2936" s="1"/>
      <c r="I2936" s="169">
        <f>Imput[[#This Row],[Cantidad]]*Imput[[#This Row],[Precio Unitario]]</f>
        <v>0</v>
      </c>
      <c r="J2936" s="11">
        <f>((Imput[[#This Row],[Sub total]])*(0.16))</f>
        <v>0</v>
      </c>
      <c r="K2936" s="11">
        <v>0</v>
      </c>
      <c r="L2936" s="169">
        <f>Imput[[#This Row],[Sub total]]+Imput[[#This Row],[IVA]]-Imput[[#This Row],[Retención / IEPS / Descuento]]</f>
        <v>0</v>
      </c>
      <c r="M2936" s="844">
        <v>0</v>
      </c>
      <c r="N2936" s="189"/>
      <c r="O2936" s="1"/>
      <c r="P2936" s="189"/>
      <c r="Q2936" s="190"/>
      <c r="R2936" s="188"/>
      <c r="S2936" s="193"/>
      <c r="T2936" s="192"/>
      <c r="U2936" s="829"/>
      <c r="V2936" s="10"/>
      <c r="W2936" s="10"/>
      <c r="X2936" s="10"/>
      <c r="Y2936" s="10"/>
      <c r="Z2936" s="10"/>
      <c r="AA2936" s="11"/>
      <c r="AB2936" s="11"/>
    </row>
    <row r="2937" spans="2:28" x14ac:dyDescent="0.3">
      <c r="B2937" s="10"/>
      <c r="C2937" s="315"/>
      <c r="D2937" s="868"/>
      <c r="E2937" s="837" t="str">
        <f>IFERROR(IF(_xlfn.XLOOKUP(Imput[[#This Row],[RFC]],'Alta Proveedor'!D:D,'Alta Proveedor'!E:E)=0,"",_xlfn.XLOOKUP(Imput[[#This Row],[RFC]],'Alta Proveedor'!D:D,'Alta Proveedor'!E:E)),"")</f>
        <v/>
      </c>
      <c r="F2937" s="832"/>
      <c r="G2937" s="187"/>
      <c r="H2937" s="1"/>
      <c r="I2937" s="169">
        <f>Imput[[#This Row],[Cantidad]]*Imput[[#This Row],[Precio Unitario]]</f>
        <v>0</v>
      </c>
      <c r="J2937" s="11">
        <f>((Imput[[#This Row],[Sub total]])*(0.16))</f>
        <v>0</v>
      </c>
      <c r="K2937" s="11">
        <v>0</v>
      </c>
      <c r="L2937" s="169">
        <f>Imput[[#This Row],[Sub total]]+Imput[[#This Row],[IVA]]-Imput[[#This Row],[Retención / IEPS / Descuento]]</f>
        <v>0</v>
      </c>
      <c r="M2937" s="844">
        <v>0</v>
      </c>
      <c r="N2937" s="189"/>
      <c r="O2937" s="1"/>
      <c r="P2937" s="189"/>
      <c r="Q2937" s="190"/>
      <c r="R2937" s="188"/>
      <c r="S2937" s="193"/>
      <c r="T2937" s="192"/>
      <c r="U2937" s="829"/>
      <c r="V2937" s="10"/>
      <c r="W2937" s="10"/>
      <c r="X2937" s="10"/>
      <c r="Y2937" s="10"/>
      <c r="Z2937" s="10"/>
      <c r="AA2937" s="11"/>
      <c r="AB2937" s="11"/>
    </row>
    <row r="2938" spans="2:28" x14ac:dyDescent="0.3">
      <c r="B2938" s="10"/>
      <c r="C2938" s="315"/>
      <c r="D2938" s="868"/>
      <c r="E2938" s="837" t="str">
        <f>IFERROR(IF(_xlfn.XLOOKUP(Imput[[#This Row],[RFC]],'Alta Proveedor'!D:D,'Alta Proveedor'!E:E)=0,"",_xlfn.XLOOKUP(Imput[[#This Row],[RFC]],'Alta Proveedor'!D:D,'Alta Proveedor'!E:E)),"")</f>
        <v/>
      </c>
      <c r="F2938" s="832"/>
      <c r="G2938" s="187"/>
      <c r="H2938" s="1"/>
      <c r="I2938" s="169">
        <f>Imput[[#This Row],[Cantidad]]*Imput[[#This Row],[Precio Unitario]]</f>
        <v>0</v>
      </c>
      <c r="J2938" s="11">
        <f>((Imput[[#This Row],[Sub total]])*(0.16))</f>
        <v>0</v>
      </c>
      <c r="K2938" s="11">
        <v>0</v>
      </c>
      <c r="L2938" s="169">
        <f>Imput[[#This Row],[Sub total]]+Imput[[#This Row],[IVA]]-Imput[[#This Row],[Retención / IEPS / Descuento]]</f>
        <v>0</v>
      </c>
      <c r="M2938" s="844">
        <v>0</v>
      </c>
      <c r="N2938" s="189"/>
      <c r="O2938" s="1"/>
      <c r="P2938" s="189"/>
      <c r="Q2938" s="190"/>
      <c r="R2938" s="188"/>
      <c r="S2938" s="193"/>
      <c r="T2938" s="192"/>
      <c r="U2938" s="829"/>
      <c r="V2938" s="10"/>
      <c r="W2938" s="10"/>
      <c r="X2938" s="10"/>
      <c r="Y2938" s="10"/>
      <c r="Z2938" s="10"/>
      <c r="AA2938" s="11"/>
      <c r="AB2938" s="11"/>
    </row>
    <row r="2939" spans="2:28" x14ac:dyDescent="0.3">
      <c r="B2939" s="10"/>
      <c r="C2939" s="315"/>
      <c r="D2939" s="868"/>
      <c r="E2939" s="837" t="str">
        <f>IFERROR(IF(_xlfn.XLOOKUP(Imput[[#This Row],[RFC]],'Alta Proveedor'!D:D,'Alta Proveedor'!E:E)=0,"",_xlfn.XLOOKUP(Imput[[#This Row],[RFC]],'Alta Proveedor'!D:D,'Alta Proveedor'!E:E)),"")</f>
        <v/>
      </c>
      <c r="F2939" s="832"/>
      <c r="G2939" s="187"/>
      <c r="H2939" s="1"/>
      <c r="I2939" s="169">
        <f>Imput[[#This Row],[Cantidad]]*Imput[[#This Row],[Precio Unitario]]</f>
        <v>0</v>
      </c>
      <c r="J2939" s="11">
        <f>((Imput[[#This Row],[Sub total]])*(0.16))</f>
        <v>0</v>
      </c>
      <c r="K2939" s="11">
        <v>0</v>
      </c>
      <c r="L2939" s="169">
        <f>Imput[[#This Row],[Sub total]]+Imput[[#This Row],[IVA]]-Imput[[#This Row],[Retención / IEPS / Descuento]]</f>
        <v>0</v>
      </c>
      <c r="M2939" s="844">
        <v>0</v>
      </c>
      <c r="N2939" s="189"/>
      <c r="O2939" s="1"/>
      <c r="P2939" s="189"/>
      <c r="Q2939" s="190"/>
      <c r="R2939" s="188"/>
      <c r="S2939" s="193"/>
      <c r="T2939" s="192"/>
      <c r="U2939" s="829"/>
      <c r="V2939" s="10"/>
      <c r="W2939" s="10"/>
      <c r="X2939" s="10"/>
      <c r="Y2939" s="10"/>
      <c r="Z2939" s="10"/>
      <c r="AA2939" s="11"/>
      <c r="AB2939" s="11"/>
    </row>
    <row r="2940" spans="2:28" x14ac:dyDescent="0.3">
      <c r="B2940" s="10"/>
      <c r="C2940" s="315"/>
      <c r="D2940" s="868"/>
      <c r="E2940" s="837" t="str">
        <f>IFERROR(IF(_xlfn.XLOOKUP(Imput[[#This Row],[RFC]],'Alta Proveedor'!D:D,'Alta Proveedor'!E:E)=0,"",_xlfn.XLOOKUP(Imput[[#This Row],[RFC]],'Alta Proveedor'!D:D,'Alta Proveedor'!E:E)),"")</f>
        <v/>
      </c>
      <c r="F2940" s="832"/>
      <c r="G2940" s="187"/>
      <c r="H2940" s="1"/>
      <c r="I2940" s="169">
        <f>Imput[[#This Row],[Cantidad]]*Imput[[#This Row],[Precio Unitario]]</f>
        <v>0</v>
      </c>
      <c r="J2940" s="11">
        <f>((Imput[[#This Row],[Sub total]])*(0.16))</f>
        <v>0</v>
      </c>
      <c r="K2940" s="11">
        <v>0</v>
      </c>
      <c r="L2940" s="169">
        <f>Imput[[#This Row],[Sub total]]+Imput[[#This Row],[IVA]]-Imput[[#This Row],[Retención / IEPS / Descuento]]</f>
        <v>0</v>
      </c>
      <c r="M2940" s="844">
        <v>0</v>
      </c>
      <c r="N2940" s="189"/>
      <c r="O2940" s="1"/>
      <c r="P2940" s="189"/>
      <c r="Q2940" s="190"/>
      <c r="R2940" s="188"/>
      <c r="S2940" s="193"/>
      <c r="T2940" s="192"/>
      <c r="U2940" s="829"/>
      <c r="V2940" s="10"/>
      <c r="W2940" s="10"/>
      <c r="X2940" s="10"/>
      <c r="Y2940" s="10"/>
      <c r="Z2940" s="10"/>
      <c r="AA2940" s="11"/>
      <c r="AB2940" s="11"/>
    </row>
    <row r="2941" spans="2:28" x14ac:dyDescent="0.3">
      <c r="B2941" s="10"/>
      <c r="C2941" s="315"/>
      <c r="D2941" s="868"/>
      <c r="E2941" s="837" t="str">
        <f>IFERROR(IF(_xlfn.XLOOKUP(Imput[[#This Row],[RFC]],'Alta Proveedor'!D:D,'Alta Proveedor'!E:E)=0,"",_xlfn.XLOOKUP(Imput[[#This Row],[RFC]],'Alta Proveedor'!D:D,'Alta Proveedor'!E:E)),"")</f>
        <v/>
      </c>
      <c r="F2941" s="832"/>
      <c r="G2941" s="187"/>
      <c r="H2941" s="1"/>
      <c r="I2941" s="169">
        <f>Imput[[#This Row],[Cantidad]]*Imput[[#This Row],[Precio Unitario]]</f>
        <v>0</v>
      </c>
      <c r="J2941" s="11">
        <f>((Imput[[#This Row],[Sub total]])*(0.16))</f>
        <v>0</v>
      </c>
      <c r="K2941" s="11">
        <v>0</v>
      </c>
      <c r="L2941" s="169">
        <f>Imput[[#This Row],[Sub total]]+Imput[[#This Row],[IVA]]-Imput[[#This Row],[Retención / IEPS / Descuento]]</f>
        <v>0</v>
      </c>
      <c r="M2941" s="844">
        <v>0</v>
      </c>
      <c r="N2941" s="189"/>
      <c r="O2941" s="1"/>
      <c r="P2941" s="189"/>
      <c r="Q2941" s="190"/>
      <c r="R2941" s="188"/>
      <c r="S2941" s="193"/>
      <c r="T2941" s="192"/>
      <c r="U2941" s="829"/>
      <c r="V2941" s="10"/>
      <c r="W2941" s="10"/>
      <c r="X2941" s="10"/>
      <c r="Y2941" s="10"/>
      <c r="Z2941" s="10"/>
      <c r="AA2941" s="11"/>
      <c r="AB2941" s="11"/>
    </row>
    <row r="2942" spans="2:28" x14ac:dyDescent="0.3">
      <c r="B2942" s="10"/>
      <c r="C2942" s="315"/>
      <c r="D2942" s="868"/>
      <c r="E2942" s="837" t="str">
        <f>IFERROR(IF(_xlfn.XLOOKUP(Imput[[#This Row],[RFC]],'Alta Proveedor'!D:D,'Alta Proveedor'!E:E)=0,"",_xlfn.XLOOKUP(Imput[[#This Row],[RFC]],'Alta Proveedor'!D:D,'Alta Proveedor'!E:E)),"")</f>
        <v/>
      </c>
      <c r="F2942" s="832"/>
      <c r="G2942" s="187"/>
      <c r="H2942" s="1"/>
      <c r="I2942" s="169">
        <f>Imput[[#This Row],[Cantidad]]*Imput[[#This Row],[Precio Unitario]]</f>
        <v>0</v>
      </c>
      <c r="J2942" s="11">
        <f>((Imput[[#This Row],[Sub total]])*(0.16))</f>
        <v>0</v>
      </c>
      <c r="K2942" s="11">
        <v>0</v>
      </c>
      <c r="L2942" s="169">
        <f>Imput[[#This Row],[Sub total]]+Imput[[#This Row],[IVA]]-Imput[[#This Row],[Retención / IEPS / Descuento]]</f>
        <v>0</v>
      </c>
      <c r="M2942" s="844">
        <v>0</v>
      </c>
      <c r="N2942" s="189"/>
      <c r="O2942" s="1"/>
      <c r="P2942" s="189"/>
      <c r="Q2942" s="190"/>
      <c r="R2942" s="188"/>
      <c r="S2942" s="193"/>
      <c r="T2942" s="192"/>
      <c r="U2942" s="829"/>
      <c r="V2942" s="10"/>
      <c r="W2942" s="10"/>
      <c r="X2942" s="10"/>
      <c r="Y2942" s="10"/>
      <c r="Z2942" s="10"/>
      <c r="AA2942" s="11"/>
      <c r="AB2942" s="11"/>
    </row>
    <row r="2943" spans="2:28" x14ac:dyDescent="0.3">
      <c r="B2943" s="10"/>
      <c r="C2943" s="315"/>
      <c r="D2943" s="868"/>
      <c r="E2943" s="837" t="str">
        <f>IFERROR(IF(_xlfn.XLOOKUP(Imput[[#This Row],[RFC]],'Alta Proveedor'!D:D,'Alta Proveedor'!E:E)=0,"",_xlfn.XLOOKUP(Imput[[#This Row],[RFC]],'Alta Proveedor'!D:D,'Alta Proveedor'!E:E)),"")</f>
        <v/>
      </c>
      <c r="F2943" s="832"/>
      <c r="G2943" s="187"/>
      <c r="H2943" s="1"/>
      <c r="I2943" s="169">
        <f>Imput[[#This Row],[Cantidad]]*Imput[[#This Row],[Precio Unitario]]</f>
        <v>0</v>
      </c>
      <c r="J2943" s="11">
        <f>((Imput[[#This Row],[Sub total]])*(0.16))</f>
        <v>0</v>
      </c>
      <c r="K2943" s="11">
        <v>0</v>
      </c>
      <c r="L2943" s="169">
        <f>Imput[[#This Row],[Sub total]]+Imput[[#This Row],[IVA]]-Imput[[#This Row],[Retención / IEPS / Descuento]]</f>
        <v>0</v>
      </c>
      <c r="M2943" s="844">
        <v>0</v>
      </c>
      <c r="N2943" s="189"/>
      <c r="O2943" s="1"/>
      <c r="P2943" s="189"/>
      <c r="Q2943" s="190"/>
      <c r="R2943" s="188"/>
      <c r="S2943" s="193"/>
      <c r="T2943" s="192"/>
      <c r="U2943" s="829"/>
      <c r="V2943" s="10"/>
      <c r="W2943" s="10"/>
      <c r="X2943" s="10"/>
      <c r="Y2943" s="10"/>
      <c r="Z2943" s="10"/>
      <c r="AA2943" s="11"/>
      <c r="AB2943" s="11"/>
    </row>
    <row r="2944" spans="2:28" x14ac:dyDescent="0.3">
      <c r="B2944" s="10"/>
      <c r="C2944" s="315"/>
      <c r="D2944" s="868"/>
      <c r="E2944" s="837" t="str">
        <f>IFERROR(IF(_xlfn.XLOOKUP(Imput[[#This Row],[RFC]],'Alta Proveedor'!D:D,'Alta Proveedor'!E:E)=0,"",_xlfn.XLOOKUP(Imput[[#This Row],[RFC]],'Alta Proveedor'!D:D,'Alta Proveedor'!E:E)),"")</f>
        <v/>
      </c>
      <c r="F2944" s="832"/>
      <c r="G2944" s="187"/>
      <c r="H2944" s="1"/>
      <c r="I2944" s="169">
        <f>Imput[[#This Row],[Cantidad]]*Imput[[#This Row],[Precio Unitario]]</f>
        <v>0</v>
      </c>
      <c r="J2944" s="11">
        <f>((Imput[[#This Row],[Sub total]])*(0.16))</f>
        <v>0</v>
      </c>
      <c r="K2944" s="11">
        <v>0</v>
      </c>
      <c r="L2944" s="169">
        <f>Imput[[#This Row],[Sub total]]+Imput[[#This Row],[IVA]]-Imput[[#This Row],[Retención / IEPS / Descuento]]</f>
        <v>0</v>
      </c>
      <c r="M2944" s="844">
        <v>0</v>
      </c>
      <c r="N2944" s="189"/>
      <c r="O2944" s="1"/>
      <c r="P2944" s="189"/>
      <c r="Q2944" s="190"/>
      <c r="R2944" s="188"/>
      <c r="S2944" s="193"/>
      <c r="T2944" s="192"/>
      <c r="U2944" s="829"/>
      <c r="V2944" s="10"/>
      <c r="W2944" s="10"/>
      <c r="X2944" s="10"/>
      <c r="Y2944" s="10"/>
      <c r="Z2944" s="10"/>
      <c r="AA2944" s="11"/>
      <c r="AB2944" s="11"/>
    </row>
    <row r="2945" spans="2:28" x14ac:dyDescent="0.3">
      <c r="B2945" s="10"/>
      <c r="C2945" s="315"/>
      <c r="D2945" s="868"/>
      <c r="E2945" s="837" t="str">
        <f>IFERROR(IF(_xlfn.XLOOKUP(Imput[[#This Row],[RFC]],'Alta Proveedor'!D:D,'Alta Proveedor'!E:E)=0,"",_xlfn.XLOOKUP(Imput[[#This Row],[RFC]],'Alta Proveedor'!D:D,'Alta Proveedor'!E:E)),"")</f>
        <v/>
      </c>
      <c r="F2945" s="832"/>
      <c r="G2945" s="187"/>
      <c r="H2945" s="1"/>
      <c r="I2945" s="169">
        <f>Imput[[#This Row],[Cantidad]]*Imput[[#This Row],[Precio Unitario]]</f>
        <v>0</v>
      </c>
      <c r="J2945" s="11">
        <f>((Imput[[#This Row],[Sub total]])*(0.16))</f>
        <v>0</v>
      </c>
      <c r="K2945" s="11">
        <v>0</v>
      </c>
      <c r="L2945" s="169">
        <f>Imput[[#This Row],[Sub total]]+Imput[[#This Row],[IVA]]-Imput[[#This Row],[Retención / IEPS / Descuento]]</f>
        <v>0</v>
      </c>
      <c r="M2945" s="844">
        <v>0</v>
      </c>
      <c r="N2945" s="189"/>
      <c r="O2945" s="1"/>
      <c r="P2945" s="189"/>
      <c r="Q2945" s="190"/>
      <c r="R2945" s="188"/>
      <c r="S2945" s="193"/>
      <c r="T2945" s="192"/>
      <c r="U2945" s="829"/>
      <c r="V2945" s="10"/>
      <c r="W2945" s="10"/>
      <c r="X2945" s="10"/>
      <c r="Y2945" s="10"/>
      <c r="Z2945" s="10"/>
      <c r="AA2945" s="11"/>
      <c r="AB2945" s="11"/>
    </row>
    <row r="2946" spans="2:28" x14ac:dyDescent="0.3">
      <c r="B2946" s="10"/>
      <c r="C2946" s="315"/>
      <c r="D2946" s="868"/>
      <c r="E2946" s="837" t="str">
        <f>IFERROR(IF(_xlfn.XLOOKUP(Imput[[#This Row],[RFC]],'Alta Proveedor'!D:D,'Alta Proveedor'!E:E)=0,"",_xlfn.XLOOKUP(Imput[[#This Row],[RFC]],'Alta Proveedor'!D:D,'Alta Proveedor'!E:E)),"")</f>
        <v/>
      </c>
      <c r="F2946" s="832"/>
      <c r="G2946" s="187"/>
      <c r="H2946" s="1"/>
      <c r="I2946" s="169">
        <f>Imput[[#This Row],[Cantidad]]*Imput[[#This Row],[Precio Unitario]]</f>
        <v>0</v>
      </c>
      <c r="J2946" s="11">
        <f>((Imput[[#This Row],[Sub total]])*(0.16))</f>
        <v>0</v>
      </c>
      <c r="K2946" s="11">
        <v>0</v>
      </c>
      <c r="L2946" s="169">
        <f>Imput[[#This Row],[Sub total]]+Imput[[#This Row],[IVA]]-Imput[[#This Row],[Retención / IEPS / Descuento]]</f>
        <v>0</v>
      </c>
      <c r="M2946" s="844">
        <v>0</v>
      </c>
      <c r="N2946" s="189"/>
      <c r="O2946" s="1"/>
      <c r="P2946" s="189"/>
      <c r="Q2946" s="190"/>
      <c r="R2946" s="188"/>
      <c r="S2946" s="193"/>
      <c r="T2946" s="192"/>
      <c r="U2946" s="829"/>
      <c r="V2946" s="10"/>
      <c r="W2946" s="10"/>
      <c r="X2946" s="10"/>
      <c r="Y2946" s="10"/>
      <c r="Z2946" s="10"/>
      <c r="AA2946" s="11"/>
      <c r="AB2946" s="11"/>
    </row>
    <row r="2947" spans="2:28" x14ac:dyDescent="0.3">
      <c r="B2947" s="10"/>
      <c r="C2947" s="315"/>
      <c r="D2947" s="868"/>
      <c r="E2947" s="837" t="str">
        <f>IFERROR(IF(_xlfn.XLOOKUP(Imput[[#This Row],[RFC]],'Alta Proveedor'!D:D,'Alta Proveedor'!E:E)=0,"",_xlfn.XLOOKUP(Imput[[#This Row],[RFC]],'Alta Proveedor'!D:D,'Alta Proveedor'!E:E)),"")</f>
        <v/>
      </c>
      <c r="F2947" s="832"/>
      <c r="G2947" s="187"/>
      <c r="H2947" s="1"/>
      <c r="I2947" s="169">
        <f>Imput[[#This Row],[Cantidad]]*Imput[[#This Row],[Precio Unitario]]</f>
        <v>0</v>
      </c>
      <c r="J2947" s="11">
        <f>((Imput[[#This Row],[Sub total]])*(0.16))</f>
        <v>0</v>
      </c>
      <c r="K2947" s="11">
        <v>0</v>
      </c>
      <c r="L2947" s="169">
        <f>Imput[[#This Row],[Sub total]]+Imput[[#This Row],[IVA]]-Imput[[#This Row],[Retención / IEPS / Descuento]]</f>
        <v>0</v>
      </c>
      <c r="M2947" s="844">
        <v>0</v>
      </c>
      <c r="N2947" s="189"/>
      <c r="O2947" s="1"/>
      <c r="P2947" s="189"/>
      <c r="Q2947" s="190"/>
      <c r="R2947" s="188"/>
      <c r="S2947" s="193"/>
      <c r="T2947" s="192"/>
      <c r="U2947" s="829"/>
      <c r="V2947" s="10"/>
      <c r="W2947" s="10"/>
      <c r="X2947" s="10"/>
      <c r="Y2947" s="10"/>
      <c r="Z2947" s="10"/>
      <c r="AA2947" s="11"/>
      <c r="AB2947" s="11"/>
    </row>
    <row r="2948" spans="2:28" x14ac:dyDescent="0.3">
      <c r="B2948" s="10"/>
      <c r="C2948" s="315"/>
      <c r="D2948" s="868"/>
      <c r="E2948" s="837" t="str">
        <f>IFERROR(IF(_xlfn.XLOOKUP(Imput[[#This Row],[RFC]],'Alta Proveedor'!D:D,'Alta Proveedor'!E:E)=0,"",_xlfn.XLOOKUP(Imput[[#This Row],[RFC]],'Alta Proveedor'!D:D,'Alta Proveedor'!E:E)),"")</f>
        <v/>
      </c>
      <c r="F2948" s="832"/>
      <c r="G2948" s="187"/>
      <c r="H2948" s="1"/>
      <c r="I2948" s="169">
        <f>Imput[[#This Row],[Cantidad]]*Imput[[#This Row],[Precio Unitario]]</f>
        <v>0</v>
      </c>
      <c r="J2948" s="11">
        <f>((Imput[[#This Row],[Sub total]])*(0.16))</f>
        <v>0</v>
      </c>
      <c r="K2948" s="11">
        <v>0</v>
      </c>
      <c r="L2948" s="169">
        <f>Imput[[#This Row],[Sub total]]+Imput[[#This Row],[IVA]]-Imput[[#This Row],[Retención / IEPS / Descuento]]</f>
        <v>0</v>
      </c>
      <c r="M2948" s="844">
        <v>0</v>
      </c>
      <c r="N2948" s="189"/>
      <c r="O2948" s="1"/>
      <c r="P2948" s="189"/>
      <c r="Q2948" s="190"/>
      <c r="R2948" s="188"/>
      <c r="S2948" s="193"/>
      <c r="T2948" s="192"/>
      <c r="U2948" s="829"/>
      <c r="V2948" s="10"/>
      <c r="W2948" s="10"/>
      <c r="X2948" s="10"/>
      <c r="Y2948" s="10"/>
      <c r="Z2948" s="10"/>
      <c r="AA2948" s="11"/>
      <c r="AB2948" s="11"/>
    </row>
    <row r="2949" spans="2:28" x14ac:dyDescent="0.3">
      <c r="B2949" s="10"/>
      <c r="C2949" s="315"/>
      <c r="D2949" s="868"/>
      <c r="E2949" s="837" t="str">
        <f>IFERROR(IF(_xlfn.XLOOKUP(Imput[[#This Row],[RFC]],'Alta Proveedor'!D:D,'Alta Proveedor'!E:E)=0,"",_xlfn.XLOOKUP(Imput[[#This Row],[RFC]],'Alta Proveedor'!D:D,'Alta Proveedor'!E:E)),"")</f>
        <v/>
      </c>
      <c r="F2949" s="832"/>
      <c r="G2949" s="187"/>
      <c r="H2949" s="1"/>
      <c r="I2949" s="169">
        <f>Imput[[#This Row],[Cantidad]]*Imput[[#This Row],[Precio Unitario]]</f>
        <v>0</v>
      </c>
      <c r="J2949" s="11">
        <f>((Imput[[#This Row],[Sub total]])*(0.16))</f>
        <v>0</v>
      </c>
      <c r="K2949" s="11">
        <v>0</v>
      </c>
      <c r="L2949" s="169">
        <f>Imput[[#This Row],[Sub total]]+Imput[[#This Row],[IVA]]-Imput[[#This Row],[Retención / IEPS / Descuento]]</f>
        <v>0</v>
      </c>
      <c r="M2949" s="844">
        <v>0</v>
      </c>
      <c r="N2949" s="189"/>
      <c r="O2949" s="1"/>
      <c r="P2949" s="189"/>
      <c r="Q2949" s="190"/>
      <c r="R2949" s="188"/>
      <c r="S2949" s="193"/>
      <c r="T2949" s="192"/>
      <c r="U2949" s="829"/>
      <c r="V2949" s="10"/>
      <c r="W2949" s="10"/>
      <c r="X2949" s="10"/>
      <c r="Y2949" s="10"/>
      <c r="Z2949" s="10"/>
      <c r="AA2949" s="11"/>
      <c r="AB2949" s="11"/>
    </row>
    <row r="2950" spans="2:28" x14ac:dyDescent="0.3">
      <c r="B2950" s="10"/>
      <c r="C2950" s="315"/>
      <c r="D2950" s="868"/>
      <c r="E2950" s="837" t="str">
        <f>IFERROR(IF(_xlfn.XLOOKUP(Imput[[#This Row],[RFC]],'Alta Proveedor'!D:D,'Alta Proveedor'!E:E)=0,"",_xlfn.XLOOKUP(Imput[[#This Row],[RFC]],'Alta Proveedor'!D:D,'Alta Proveedor'!E:E)),"")</f>
        <v/>
      </c>
      <c r="F2950" s="832"/>
      <c r="G2950" s="187"/>
      <c r="H2950" s="1"/>
      <c r="I2950" s="169">
        <f>Imput[[#This Row],[Cantidad]]*Imput[[#This Row],[Precio Unitario]]</f>
        <v>0</v>
      </c>
      <c r="J2950" s="11">
        <f>((Imput[[#This Row],[Sub total]])*(0.16))</f>
        <v>0</v>
      </c>
      <c r="K2950" s="11">
        <v>0</v>
      </c>
      <c r="L2950" s="169">
        <f>Imput[[#This Row],[Sub total]]+Imput[[#This Row],[IVA]]-Imput[[#This Row],[Retención / IEPS / Descuento]]</f>
        <v>0</v>
      </c>
      <c r="M2950" s="844">
        <v>0</v>
      </c>
      <c r="N2950" s="189"/>
      <c r="O2950" s="1"/>
      <c r="P2950" s="189"/>
      <c r="Q2950" s="190"/>
      <c r="R2950" s="188"/>
      <c r="S2950" s="193"/>
      <c r="T2950" s="192"/>
      <c r="U2950" s="829"/>
      <c r="V2950" s="10"/>
      <c r="W2950" s="10"/>
      <c r="X2950" s="10"/>
      <c r="Y2950" s="10"/>
      <c r="Z2950" s="10"/>
      <c r="AA2950" s="11"/>
      <c r="AB2950" s="11"/>
    </row>
    <row r="2951" spans="2:28" x14ac:dyDescent="0.3">
      <c r="B2951" s="10"/>
      <c r="C2951" s="315"/>
      <c r="D2951" s="868"/>
      <c r="E2951" s="837" t="str">
        <f>IFERROR(IF(_xlfn.XLOOKUP(Imput[[#This Row],[RFC]],'Alta Proveedor'!D:D,'Alta Proveedor'!E:E)=0,"",_xlfn.XLOOKUP(Imput[[#This Row],[RFC]],'Alta Proveedor'!D:D,'Alta Proveedor'!E:E)),"")</f>
        <v/>
      </c>
      <c r="F2951" s="832"/>
      <c r="G2951" s="187"/>
      <c r="H2951" s="1"/>
      <c r="I2951" s="169">
        <f>Imput[[#This Row],[Cantidad]]*Imput[[#This Row],[Precio Unitario]]</f>
        <v>0</v>
      </c>
      <c r="J2951" s="11">
        <f>((Imput[[#This Row],[Sub total]])*(0.16))</f>
        <v>0</v>
      </c>
      <c r="K2951" s="11">
        <v>0</v>
      </c>
      <c r="L2951" s="169">
        <f>Imput[[#This Row],[Sub total]]+Imput[[#This Row],[IVA]]-Imput[[#This Row],[Retención / IEPS / Descuento]]</f>
        <v>0</v>
      </c>
      <c r="M2951" s="844">
        <v>0</v>
      </c>
      <c r="N2951" s="189"/>
      <c r="O2951" s="1"/>
      <c r="P2951" s="189"/>
      <c r="Q2951" s="190"/>
      <c r="R2951" s="188"/>
      <c r="S2951" s="193"/>
      <c r="T2951" s="192"/>
      <c r="U2951" s="829"/>
      <c r="V2951" s="10"/>
      <c r="W2951" s="10"/>
      <c r="X2951" s="10"/>
      <c r="Y2951" s="10"/>
      <c r="Z2951" s="10"/>
      <c r="AA2951" s="11"/>
      <c r="AB2951" s="11"/>
    </row>
    <row r="2952" spans="2:28" x14ac:dyDescent="0.3">
      <c r="B2952" s="10"/>
      <c r="C2952" s="315"/>
      <c r="D2952" s="868"/>
      <c r="E2952" s="837" t="str">
        <f>IFERROR(IF(_xlfn.XLOOKUP(Imput[[#This Row],[RFC]],'Alta Proveedor'!D:D,'Alta Proveedor'!E:E)=0,"",_xlfn.XLOOKUP(Imput[[#This Row],[RFC]],'Alta Proveedor'!D:D,'Alta Proveedor'!E:E)),"")</f>
        <v/>
      </c>
      <c r="F2952" s="832"/>
      <c r="G2952" s="187"/>
      <c r="H2952" s="1"/>
      <c r="I2952" s="169">
        <f>Imput[[#This Row],[Cantidad]]*Imput[[#This Row],[Precio Unitario]]</f>
        <v>0</v>
      </c>
      <c r="J2952" s="11">
        <f>((Imput[[#This Row],[Sub total]])*(0.16))</f>
        <v>0</v>
      </c>
      <c r="K2952" s="11">
        <v>0</v>
      </c>
      <c r="L2952" s="169">
        <f>Imput[[#This Row],[Sub total]]+Imput[[#This Row],[IVA]]-Imput[[#This Row],[Retención / IEPS / Descuento]]</f>
        <v>0</v>
      </c>
      <c r="M2952" s="844">
        <v>0</v>
      </c>
      <c r="N2952" s="189"/>
      <c r="O2952" s="1"/>
      <c r="P2952" s="189"/>
      <c r="Q2952" s="190"/>
      <c r="R2952" s="188"/>
      <c r="S2952" s="193"/>
      <c r="T2952" s="192"/>
      <c r="U2952" s="829"/>
      <c r="V2952" s="10"/>
      <c r="W2952" s="10"/>
      <c r="X2952" s="10"/>
      <c r="Y2952" s="10"/>
      <c r="Z2952" s="10"/>
      <c r="AA2952" s="11"/>
      <c r="AB2952" s="11"/>
    </row>
    <row r="2953" spans="2:28" x14ac:dyDescent="0.3">
      <c r="B2953" s="10"/>
      <c r="C2953" s="315"/>
      <c r="D2953" s="868"/>
      <c r="E2953" s="837" t="str">
        <f>IFERROR(IF(_xlfn.XLOOKUP(Imput[[#This Row],[RFC]],'Alta Proveedor'!D:D,'Alta Proveedor'!E:E)=0,"",_xlfn.XLOOKUP(Imput[[#This Row],[RFC]],'Alta Proveedor'!D:D,'Alta Proveedor'!E:E)),"")</f>
        <v/>
      </c>
      <c r="F2953" s="832"/>
      <c r="G2953" s="187"/>
      <c r="H2953" s="1"/>
      <c r="I2953" s="169">
        <f>Imput[[#This Row],[Cantidad]]*Imput[[#This Row],[Precio Unitario]]</f>
        <v>0</v>
      </c>
      <c r="J2953" s="11">
        <f>((Imput[[#This Row],[Sub total]])*(0.16))</f>
        <v>0</v>
      </c>
      <c r="K2953" s="11">
        <v>0</v>
      </c>
      <c r="L2953" s="169">
        <f>Imput[[#This Row],[Sub total]]+Imput[[#This Row],[IVA]]-Imput[[#This Row],[Retención / IEPS / Descuento]]</f>
        <v>0</v>
      </c>
      <c r="M2953" s="844">
        <v>0</v>
      </c>
      <c r="N2953" s="189"/>
      <c r="O2953" s="1"/>
      <c r="P2953" s="189"/>
      <c r="Q2953" s="190"/>
      <c r="R2953" s="188"/>
      <c r="S2953" s="193"/>
      <c r="T2953" s="192"/>
      <c r="U2953" s="829"/>
      <c r="V2953" s="10"/>
      <c r="W2953" s="10"/>
      <c r="X2953" s="10"/>
      <c r="Y2953" s="10"/>
      <c r="Z2953" s="10"/>
      <c r="AA2953" s="11"/>
      <c r="AB2953" s="11"/>
    </row>
    <row r="2954" spans="2:28" x14ac:dyDescent="0.3">
      <c r="B2954" s="10"/>
      <c r="C2954" s="315"/>
      <c r="D2954" s="868"/>
      <c r="E2954" s="837" t="str">
        <f>IFERROR(IF(_xlfn.XLOOKUP(Imput[[#This Row],[RFC]],'Alta Proveedor'!D:D,'Alta Proveedor'!E:E)=0,"",_xlfn.XLOOKUP(Imput[[#This Row],[RFC]],'Alta Proveedor'!D:D,'Alta Proveedor'!E:E)),"")</f>
        <v/>
      </c>
      <c r="F2954" s="832"/>
      <c r="G2954" s="187"/>
      <c r="H2954" s="1"/>
      <c r="I2954" s="169">
        <f>Imput[[#This Row],[Cantidad]]*Imput[[#This Row],[Precio Unitario]]</f>
        <v>0</v>
      </c>
      <c r="J2954" s="11">
        <f>((Imput[[#This Row],[Sub total]])*(0.16))</f>
        <v>0</v>
      </c>
      <c r="K2954" s="11">
        <v>0</v>
      </c>
      <c r="L2954" s="169">
        <f>Imput[[#This Row],[Sub total]]+Imput[[#This Row],[IVA]]-Imput[[#This Row],[Retención / IEPS / Descuento]]</f>
        <v>0</v>
      </c>
      <c r="M2954" s="844">
        <v>0</v>
      </c>
      <c r="N2954" s="189"/>
      <c r="O2954" s="1"/>
      <c r="P2954" s="189"/>
      <c r="Q2954" s="190"/>
      <c r="R2954" s="188"/>
      <c r="S2954" s="193"/>
      <c r="T2954" s="192"/>
      <c r="U2954" s="829"/>
      <c r="V2954" s="10"/>
      <c r="W2954" s="10"/>
      <c r="X2954" s="10"/>
      <c r="Y2954" s="10"/>
      <c r="Z2954" s="10"/>
      <c r="AA2954" s="11"/>
      <c r="AB2954" s="11"/>
    </row>
    <row r="2955" spans="2:28" x14ac:dyDescent="0.3">
      <c r="B2955" s="10"/>
      <c r="C2955" s="315"/>
      <c r="D2955" s="868"/>
      <c r="E2955" s="837" t="str">
        <f>IFERROR(IF(_xlfn.XLOOKUP(Imput[[#This Row],[RFC]],'Alta Proveedor'!D:D,'Alta Proveedor'!E:E)=0,"",_xlfn.XLOOKUP(Imput[[#This Row],[RFC]],'Alta Proveedor'!D:D,'Alta Proveedor'!E:E)),"")</f>
        <v/>
      </c>
      <c r="F2955" s="832"/>
      <c r="G2955" s="187"/>
      <c r="H2955" s="1"/>
      <c r="I2955" s="169">
        <f>Imput[[#This Row],[Cantidad]]*Imput[[#This Row],[Precio Unitario]]</f>
        <v>0</v>
      </c>
      <c r="J2955" s="11">
        <f>((Imput[[#This Row],[Sub total]])*(0.16))</f>
        <v>0</v>
      </c>
      <c r="K2955" s="11">
        <v>0</v>
      </c>
      <c r="L2955" s="169">
        <f>Imput[[#This Row],[Sub total]]+Imput[[#This Row],[IVA]]-Imput[[#This Row],[Retención / IEPS / Descuento]]</f>
        <v>0</v>
      </c>
      <c r="M2955" s="844">
        <v>0</v>
      </c>
      <c r="N2955" s="189"/>
      <c r="O2955" s="1"/>
      <c r="P2955" s="189"/>
      <c r="Q2955" s="190"/>
      <c r="R2955" s="188"/>
      <c r="S2955" s="193"/>
      <c r="T2955" s="192"/>
      <c r="U2955" s="829"/>
      <c r="V2955" s="10"/>
      <c r="W2955" s="10"/>
      <c r="X2955" s="10"/>
      <c r="Y2955" s="10"/>
      <c r="Z2955" s="10"/>
      <c r="AA2955" s="11"/>
      <c r="AB2955" s="11"/>
    </row>
    <row r="2956" spans="2:28" x14ac:dyDescent="0.3">
      <c r="B2956" s="10"/>
      <c r="C2956" s="315"/>
      <c r="D2956" s="868"/>
      <c r="E2956" s="837" t="str">
        <f>IFERROR(IF(_xlfn.XLOOKUP(Imput[[#This Row],[RFC]],'Alta Proveedor'!D:D,'Alta Proveedor'!E:E)=0,"",_xlfn.XLOOKUP(Imput[[#This Row],[RFC]],'Alta Proveedor'!D:D,'Alta Proveedor'!E:E)),"")</f>
        <v/>
      </c>
      <c r="F2956" s="832"/>
      <c r="G2956" s="187"/>
      <c r="H2956" s="1"/>
      <c r="I2956" s="169">
        <f>Imput[[#This Row],[Cantidad]]*Imput[[#This Row],[Precio Unitario]]</f>
        <v>0</v>
      </c>
      <c r="J2956" s="11">
        <f>((Imput[[#This Row],[Sub total]])*(0.16))</f>
        <v>0</v>
      </c>
      <c r="K2956" s="11">
        <v>0</v>
      </c>
      <c r="L2956" s="169">
        <f>Imput[[#This Row],[Sub total]]+Imput[[#This Row],[IVA]]-Imput[[#This Row],[Retención / IEPS / Descuento]]</f>
        <v>0</v>
      </c>
      <c r="M2956" s="844">
        <v>0</v>
      </c>
      <c r="N2956" s="189"/>
      <c r="O2956" s="1"/>
      <c r="P2956" s="189"/>
      <c r="Q2956" s="190"/>
      <c r="R2956" s="188"/>
      <c r="S2956" s="193"/>
      <c r="T2956" s="192"/>
      <c r="U2956" s="829"/>
      <c r="V2956" s="10"/>
      <c r="W2956" s="10"/>
      <c r="X2956" s="10"/>
      <c r="Y2956" s="10"/>
      <c r="Z2956" s="10"/>
      <c r="AA2956" s="11"/>
      <c r="AB2956" s="11"/>
    </row>
    <row r="2957" spans="2:28" x14ac:dyDescent="0.3">
      <c r="B2957" s="10"/>
      <c r="C2957" s="315"/>
      <c r="D2957" s="868"/>
      <c r="E2957" s="837" t="str">
        <f>IFERROR(IF(_xlfn.XLOOKUP(Imput[[#This Row],[RFC]],'Alta Proveedor'!D:D,'Alta Proveedor'!E:E)=0,"",_xlfn.XLOOKUP(Imput[[#This Row],[RFC]],'Alta Proveedor'!D:D,'Alta Proveedor'!E:E)),"")</f>
        <v/>
      </c>
      <c r="F2957" s="832"/>
      <c r="G2957" s="187"/>
      <c r="H2957" s="1"/>
      <c r="I2957" s="169">
        <f>Imput[[#This Row],[Cantidad]]*Imput[[#This Row],[Precio Unitario]]</f>
        <v>0</v>
      </c>
      <c r="J2957" s="11">
        <f>((Imput[[#This Row],[Sub total]])*(0.16))</f>
        <v>0</v>
      </c>
      <c r="K2957" s="11">
        <v>0</v>
      </c>
      <c r="L2957" s="169">
        <f>Imput[[#This Row],[Sub total]]+Imput[[#This Row],[IVA]]-Imput[[#This Row],[Retención / IEPS / Descuento]]</f>
        <v>0</v>
      </c>
      <c r="M2957" s="844">
        <v>0</v>
      </c>
      <c r="N2957" s="189"/>
      <c r="O2957" s="1"/>
      <c r="P2957" s="189"/>
      <c r="Q2957" s="190"/>
      <c r="R2957" s="188"/>
      <c r="S2957" s="193"/>
      <c r="T2957" s="192"/>
      <c r="U2957" s="829"/>
      <c r="V2957" s="10"/>
      <c r="W2957" s="10"/>
      <c r="X2957" s="10"/>
      <c r="Y2957" s="10"/>
      <c r="Z2957" s="10"/>
      <c r="AA2957" s="11"/>
      <c r="AB2957" s="11"/>
    </row>
    <row r="2958" spans="2:28" x14ac:dyDescent="0.3">
      <c r="B2958" s="10"/>
      <c r="C2958" s="315"/>
      <c r="D2958" s="868"/>
      <c r="E2958" s="837" t="str">
        <f>IFERROR(IF(_xlfn.XLOOKUP(Imput[[#This Row],[RFC]],'Alta Proveedor'!D:D,'Alta Proveedor'!E:E)=0,"",_xlfn.XLOOKUP(Imput[[#This Row],[RFC]],'Alta Proveedor'!D:D,'Alta Proveedor'!E:E)),"")</f>
        <v/>
      </c>
      <c r="F2958" s="832"/>
      <c r="G2958" s="187"/>
      <c r="H2958" s="1"/>
      <c r="I2958" s="169">
        <f>Imput[[#This Row],[Cantidad]]*Imput[[#This Row],[Precio Unitario]]</f>
        <v>0</v>
      </c>
      <c r="J2958" s="11">
        <f>((Imput[[#This Row],[Sub total]])*(0.16))</f>
        <v>0</v>
      </c>
      <c r="K2958" s="11">
        <v>0</v>
      </c>
      <c r="L2958" s="169">
        <f>Imput[[#This Row],[Sub total]]+Imput[[#This Row],[IVA]]-Imput[[#This Row],[Retención / IEPS / Descuento]]</f>
        <v>0</v>
      </c>
      <c r="M2958" s="844">
        <v>0</v>
      </c>
      <c r="N2958" s="189"/>
      <c r="O2958" s="1"/>
      <c r="P2958" s="189"/>
      <c r="Q2958" s="190"/>
      <c r="R2958" s="188"/>
      <c r="S2958" s="193"/>
      <c r="T2958" s="192"/>
      <c r="U2958" s="829"/>
      <c r="V2958" s="10"/>
      <c r="W2958" s="10"/>
      <c r="X2958" s="10"/>
      <c r="Y2958" s="10"/>
      <c r="Z2958" s="10"/>
      <c r="AA2958" s="11"/>
      <c r="AB2958" s="11"/>
    </row>
    <row r="2959" spans="2:28" x14ac:dyDescent="0.3">
      <c r="B2959" s="10"/>
      <c r="C2959" s="315"/>
      <c r="D2959" s="868"/>
      <c r="E2959" s="837" t="str">
        <f>IFERROR(IF(_xlfn.XLOOKUP(Imput[[#This Row],[RFC]],'Alta Proveedor'!D:D,'Alta Proveedor'!E:E)=0,"",_xlfn.XLOOKUP(Imput[[#This Row],[RFC]],'Alta Proveedor'!D:D,'Alta Proveedor'!E:E)),"")</f>
        <v/>
      </c>
      <c r="F2959" s="832"/>
      <c r="G2959" s="187"/>
      <c r="H2959" s="1"/>
      <c r="I2959" s="169">
        <f>Imput[[#This Row],[Cantidad]]*Imput[[#This Row],[Precio Unitario]]</f>
        <v>0</v>
      </c>
      <c r="J2959" s="11">
        <f>((Imput[[#This Row],[Sub total]])*(0.16))</f>
        <v>0</v>
      </c>
      <c r="K2959" s="11">
        <v>0</v>
      </c>
      <c r="L2959" s="169">
        <f>Imput[[#This Row],[Sub total]]+Imput[[#This Row],[IVA]]-Imput[[#This Row],[Retención / IEPS / Descuento]]</f>
        <v>0</v>
      </c>
      <c r="M2959" s="844">
        <v>0</v>
      </c>
      <c r="N2959" s="189"/>
      <c r="O2959" s="1"/>
      <c r="P2959" s="189"/>
      <c r="Q2959" s="190"/>
      <c r="R2959" s="188"/>
      <c r="S2959" s="193"/>
      <c r="T2959" s="192"/>
      <c r="U2959" s="829"/>
      <c r="V2959" s="10"/>
      <c r="W2959" s="10"/>
      <c r="X2959" s="10"/>
      <c r="Y2959" s="10"/>
      <c r="Z2959" s="10"/>
      <c r="AA2959" s="11"/>
      <c r="AB2959" s="11"/>
    </row>
    <row r="2960" spans="2:28" x14ac:dyDescent="0.3">
      <c r="B2960" s="10"/>
      <c r="C2960" s="315"/>
      <c r="D2960" s="868"/>
      <c r="E2960" s="837" t="str">
        <f>IFERROR(IF(_xlfn.XLOOKUP(Imput[[#This Row],[RFC]],'Alta Proveedor'!D:D,'Alta Proveedor'!E:E)=0,"",_xlfn.XLOOKUP(Imput[[#This Row],[RFC]],'Alta Proveedor'!D:D,'Alta Proveedor'!E:E)),"")</f>
        <v/>
      </c>
      <c r="F2960" s="832"/>
      <c r="G2960" s="187"/>
      <c r="H2960" s="1"/>
      <c r="I2960" s="169">
        <f>Imput[[#This Row],[Cantidad]]*Imput[[#This Row],[Precio Unitario]]</f>
        <v>0</v>
      </c>
      <c r="J2960" s="11">
        <f>((Imput[[#This Row],[Sub total]])*(0.16))</f>
        <v>0</v>
      </c>
      <c r="K2960" s="11">
        <v>0</v>
      </c>
      <c r="L2960" s="169">
        <f>Imput[[#This Row],[Sub total]]+Imput[[#This Row],[IVA]]-Imput[[#This Row],[Retención / IEPS / Descuento]]</f>
        <v>0</v>
      </c>
      <c r="M2960" s="844">
        <v>0</v>
      </c>
      <c r="N2960" s="189"/>
      <c r="O2960" s="1"/>
      <c r="P2960" s="189"/>
      <c r="Q2960" s="190"/>
      <c r="R2960" s="188"/>
      <c r="S2960" s="193"/>
      <c r="T2960" s="192"/>
      <c r="U2960" s="829"/>
      <c r="V2960" s="10"/>
      <c r="W2960" s="10"/>
      <c r="X2960" s="10"/>
      <c r="Y2960" s="10"/>
      <c r="Z2960" s="10"/>
      <c r="AA2960" s="11"/>
      <c r="AB2960" s="11"/>
    </row>
    <row r="2961" spans="2:28" x14ac:dyDescent="0.3">
      <c r="B2961" s="10"/>
      <c r="C2961" s="315"/>
      <c r="D2961" s="868"/>
      <c r="E2961" s="837" t="str">
        <f>IFERROR(IF(_xlfn.XLOOKUP(Imput[[#This Row],[RFC]],'Alta Proveedor'!D:D,'Alta Proveedor'!E:E)=0,"",_xlfn.XLOOKUP(Imput[[#This Row],[RFC]],'Alta Proveedor'!D:D,'Alta Proveedor'!E:E)),"")</f>
        <v/>
      </c>
      <c r="F2961" s="832"/>
      <c r="G2961" s="187"/>
      <c r="H2961" s="1"/>
      <c r="I2961" s="169">
        <f>Imput[[#This Row],[Cantidad]]*Imput[[#This Row],[Precio Unitario]]</f>
        <v>0</v>
      </c>
      <c r="J2961" s="11">
        <f>((Imput[[#This Row],[Sub total]])*(0.16))</f>
        <v>0</v>
      </c>
      <c r="K2961" s="11">
        <v>0</v>
      </c>
      <c r="L2961" s="169">
        <f>Imput[[#This Row],[Sub total]]+Imput[[#This Row],[IVA]]-Imput[[#This Row],[Retención / IEPS / Descuento]]</f>
        <v>0</v>
      </c>
      <c r="M2961" s="844">
        <v>0</v>
      </c>
      <c r="N2961" s="189"/>
      <c r="O2961" s="1"/>
      <c r="P2961" s="189"/>
      <c r="Q2961" s="190"/>
      <c r="R2961" s="188"/>
      <c r="S2961" s="193"/>
      <c r="T2961" s="192"/>
      <c r="U2961" s="829"/>
      <c r="V2961" s="10"/>
      <c r="W2961" s="10"/>
      <c r="X2961" s="10"/>
      <c r="Y2961" s="10"/>
      <c r="Z2961" s="10"/>
      <c r="AA2961" s="11"/>
      <c r="AB2961" s="11"/>
    </row>
    <row r="2962" spans="2:28" x14ac:dyDescent="0.3">
      <c r="B2962" s="10"/>
      <c r="C2962" s="315"/>
      <c r="D2962" s="868"/>
      <c r="E2962" s="837" t="str">
        <f>IFERROR(IF(_xlfn.XLOOKUP(Imput[[#This Row],[RFC]],'Alta Proveedor'!D:D,'Alta Proveedor'!E:E)=0,"",_xlfn.XLOOKUP(Imput[[#This Row],[RFC]],'Alta Proveedor'!D:D,'Alta Proveedor'!E:E)),"")</f>
        <v/>
      </c>
      <c r="F2962" s="832"/>
      <c r="G2962" s="187"/>
      <c r="H2962" s="1"/>
      <c r="I2962" s="169">
        <f>Imput[[#This Row],[Cantidad]]*Imput[[#This Row],[Precio Unitario]]</f>
        <v>0</v>
      </c>
      <c r="J2962" s="11">
        <f>((Imput[[#This Row],[Sub total]])*(0.16))</f>
        <v>0</v>
      </c>
      <c r="K2962" s="11">
        <v>0</v>
      </c>
      <c r="L2962" s="169">
        <f>Imput[[#This Row],[Sub total]]+Imput[[#This Row],[IVA]]-Imput[[#This Row],[Retención / IEPS / Descuento]]</f>
        <v>0</v>
      </c>
      <c r="M2962" s="844">
        <v>0</v>
      </c>
      <c r="N2962" s="189"/>
      <c r="O2962" s="1"/>
      <c r="P2962" s="189"/>
      <c r="Q2962" s="190"/>
      <c r="R2962" s="188"/>
      <c r="S2962" s="193"/>
      <c r="T2962" s="192"/>
      <c r="U2962" s="829"/>
      <c r="V2962" s="10"/>
      <c r="W2962" s="10"/>
      <c r="X2962" s="10"/>
      <c r="Y2962" s="10"/>
      <c r="Z2962" s="10"/>
      <c r="AA2962" s="11"/>
      <c r="AB2962" s="11"/>
    </row>
    <row r="2963" spans="2:28" x14ac:dyDescent="0.3">
      <c r="B2963" s="10"/>
      <c r="C2963" s="315"/>
      <c r="D2963" s="868"/>
      <c r="E2963" s="837" t="str">
        <f>IFERROR(IF(_xlfn.XLOOKUP(Imput[[#This Row],[RFC]],'Alta Proveedor'!D:D,'Alta Proveedor'!E:E)=0,"",_xlfn.XLOOKUP(Imput[[#This Row],[RFC]],'Alta Proveedor'!D:D,'Alta Proveedor'!E:E)),"")</f>
        <v/>
      </c>
      <c r="F2963" s="832"/>
      <c r="G2963" s="187"/>
      <c r="H2963" s="1"/>
      <c r="I2963" s="169">
        <f>Imput[[#This Row],[Cantidad]]*Imput[[#This Row],[Precio Unitario]]</f>
        <v>0</v>
      </c>
      <c r="J2963" s="11">
        <f>((Imput[[#This Row],[Sub total]])*(0.16))</f>
        <v>0</v>
      </c>
      <c r="K2963" s="11">
        <v>0</v>
      </c>
      <c r="L2963" s="169">
        <f>Imput[[#This Row],[Sub total]]+Imput[[#This Row],[IVA]]-Imput[[#This Row],[Retención / IEPS / Descuento]]</f>
        <v>0</v>
      </c>
      <c r="M2963" s="844">
        <v>0</v>
      </c>
      <c r="N2963" s="189"/>
      <c r="O2963" s="1"/>
      <c r="P2963" s="189"/>
      <c r="Q2963" s="190"/>
      <c r="R2963" s="188"/>
      <c r="S2963" s="193"/>
      <c r="T2963" s="192"/>
      <c r="U2963" s="829"/>
      <c r="V2963" s="10"/>
      <c r="W2963" s="10"/>
      <c r="X2963" s="10"/>
      <c r="Y2963" s="10"/>
      <c r="Z2963" s="10"/>
      <c r="AA2963" s="11"/>
      <c r="AB2963" s="11"/>
    </row>
    <row r="2964" spans="2:28" x14ac:dyDescent="0.3">
      <c r="B2964" s="10"/>
      <c r="C2964" s="315"/>
      <c r="D2964" s="868"/>
      <c r="E2964" s="837" t="str">
        <f>IFERROR(IF(_xlfn.XLOOKUP(Imput[[#This Row],[RFC]],'Alta Proveedor'!D:D,'Alta Proveedor'!E:E)=0,"",_xlfn.XLOOKUP(Imput[[#This Row],[RFC]],'Alta Proveedor'!D:D,'Alta Proveedor'!E:E)),"")</f>
        <v/>
      </c>
      <c r="F2964" s="832"/>
      <c r="G2964" s="187"/>
      <c r="H2964" s="1"/>
      <c r="I2964" s="169">
        <f>Imput[[#This Row],[Cantidad]]*Imput[[#This Row],[Precio Unitario]]</f>
        <v>0</v>
      </c>
      <c r="J2964" s="11">
        <f>((Imput[[#This Row],[Sub total]])*(0.16))</f>
        <v>0</v>
      </c>
      <c r="K2964" s="11">
        <v>0</v>
      </c>
      <c r="L2964" s="169">
        <f>Imput[[#This Row],[Sub total]]+Imput[[#This Row],[IVA]]-Imput[[#This Row],[Retención / IEPS / Descuento]]</f>
        <v>0</v>
      </c>
      <c r="M2964" s="844">
        <v>0</v>
      </c>
      <c r="N2964" s="189"/>
      <c r="O2964" s="1"/>
      <c r="P2964" s="189"/>
      <c r="Q2964" s="190"/>
      <c r="R2964" s="188"/>
      <c r="S2964" s="193"/>
      <c r="T2964" s="192"/>
      <c r="U2964" s="829"/>
      <c r="V2964" s="10"/>
      <c r="W2964" s="10"/>
      <c r="X2964" s="10"/>
      <c r="Y2964" s="10"/>
      <c r="Z2964" s="10"/>
      <c r="AA2964" s="11"/>
      <c r="AB2964" s="11"/>
    </row>
    <row r="2965" spans="2:28" x14ac:dyDescent="0.3">
      <c r="B2965" s="10"/>
      <c r="C2965" s="315"/>
      <c r="D2965" s="868"/>
      <c r="E2965" s="837" t="str">
        <f>IFERROR(IF(_xlfn.XLOOKUP(Imput[[#This Row],[RFC]],'Alta Proveedor'!D:D,'Alta Proveedor'!E:E)=0,"",_xlfn.XLOOKUP(Imput[[#This Row],[RFC]],'Alta Proveedor'!D:D,'Alta Proveedor'!E:E)),"")</f>
        <v/>
      </c>
      <c r="F2965" s="832"/>
      <c r="G2965" s="187"/>
      <c r="H2965" s="1"/>
      <c r="I2965" s="169">
        <f>Imput[[#This Row],[Cantidad]]*Imput[[#This Row],[Precio Unitario]]</f>
        <v>0</v>
      </c>
      <c r="J2965" s="11">
        <f>((Imput[[#This Row],[Sub total]])*(0.16))</f>
        <v>0</v>
      </c>
      <c r="K2965" s="11">
        <v>0</v>
      </c>
      <c r="L2965" s="169">
        <f>Imput[[#This Row],[Sub total]]+Imput[[#This Row],[IVA]]-Imput[[#This Row],[Retención / IEPS / Descuento]]</f>
        <v>0</v>
      </c>
      <c r="M2965" s="844">
        <v>0</v>
      </c>
      <c r="N2965" s="189"/>
      <c r="O2965" s="1"/>
      <c r="P2965" s="189"/>
      <c r="Q2965" s="190"/>
      <c r="R2965" s="188"/>
      <c r="S2965" s="193"/>
      <c r="T2965" s="192"/>
      <c r="U2965" s="829"/>
      <c r="V2965" s="10"/>
      <c r="W2965" s="10"/>
      <c r="X2965" s="10"/>
      <c r="Y2965" s="10"/>
      <c r="Z2965" s="10"/>
      <c r="AA2965" s="11"/>
      <c r="AB2965" s="11"/>
    </row>
    <row r="2966" spans="2:28" x14ac:dyDescent="0.3">
      <c r="B2966" s="10"/>
      <c r="C2966" s="315"/>
      <c r="D2966" s="868"/>
      <c r="E2966" s="837" t="str">
        <f>IFERROR(IF(_xlfn.XLOOKUP(Imput[[#This Row],[RFC]],'Alta Proveedor'!D:D,'Alta Proveedor'!E:E)=0,"",_xlfn.XLOOKUP(Imput[[#This Row],[RFC]],'Alta Proveedor'!D:D,'Alta Proveedor'!E:E)),"")</f>
        <v/>
      </c>
      <c r="F2966" s="832"/>
      <c r="G2966" s="187"/>
      <c r="H2966" s="1"/>
      <c r="I2966" s="169">
        <f>Imput[[#This Row],[Cantidad]]*Imput[[#This Row],[Precio Unitario]]</f>
        <v>0</v>
      </c>
      <c r="J2966" s="11">
        <f>((Imput[[#This Row],[Sub total]])*(0.16))</f>
        <v>0</v>
      </c>
      <c r="K2966" s="11">
        <v>0</v>
      </c>
      <c r="L2966" s="169">
        <f>Imput[[#This Row],[Sub total]]+Imput[[#This Row],[IVA]]-Imput[[#This Row],[Retención / IEPS / Descuento]]</f>
        <v>0</v>
      </c>
      <c r="M2966" s="844">
        <v>0</v>
      </c>
      <c r="N2966" s="189"/>
      <c r="O2966" s="1"/>
      <c r="P2966" s="189"/>
      <c r="Q2966" s="190"/>
      <c r="R2966" s="188"/>
      <c r="S2966" s="193"/>
      <c r="T2966" s="192"/>
      <c r="U2966" s="829"/>
      <c r="V2966" s="10"/>
      <c r="W2966" s="10"/>
      <c r="X2966" s="10"/>
      <c r="Y2966" s="10"/>
      <c r="Z2966" s="10"/>
      <c r="AA2966" s="11"/>
      <c r="AB2966" s="11"/>
    </row>
    <row r="2967" spans="2:28" x14ac:dyDescent="0.3">
      <c r="B2967" s="10"/>
      <c r="C2967" s="315"/>
      <c r="D2967" s="868"/>
      <c r="E2967" s="837" t="str">
        <f>IFERROR(IF(_xlfn.XLOOKUP(Imput[[#This Row],[RFC]],'Alta Proveedor'!D:D,'Alta Proveedor'!E:E)=0,"",_xlfn.XLOOKUP(Imput[[#This Row],[RFC]],'Alta Proveedor'!D:D,'Alta Proveedor'!E:E)),"")</f>
        <v/>
      </c>
      <c r="F2967" s="832"/>
      <c r="G2967" s="187"/>
      <c r="H2967" s="1"/>
      <c r="I2967" s="169">
        <f>Imput[[#This Row],[Cantidad]]*Imput[[#This Row],[Precio Unitario]]</f>
        <v>0</v>
      </c>
      <c r="J2967" s="11">
        <f>((Imput[[#This Row],[Sub total]])*(0.16))</f>
        <v>0</v>
      </c>
      <c r="K2967" s="11">
        <v>0</v>
      </c>
      <c r="L2967" s="169">
        <f>Imput[[#This Row],[Sub total]]+Imput[[#This Row],[IVA]]-Imput[[#This Row],[Retención / IEPS / Descuento]]</f>
        <v>0</v>
      </c>
      <c r="M2967" s="844">
        <v>0</v>
      </c>
      <c r="N2967" s="189"/>
      <c r="O2967" s="1"/>
      <c r="P2967" s="189"/>
      <c r="Q2967" s="190"/>
      <c r="R2967" s="188"/>
      <c r="S2967" s="193"/>
      <c r="T2967" s="192"/>
      <c r="U2967" s="829"/>
      <c r="V2967" s="10"/>
      <c r="W2967" s="10"/>
      <c r="X2967" s="10"/>
      <c r="Y2967" s="10"/>
      <c r="Z2967" s="10"/>
      <c r="AA2967" s="11"/>
      <c r="AB2967" s="11"/>
    </row>
    <row r="2968" spans="2:28" x14ac:dyDescent="0.3">
      <c r="B2968" s="10"/>
      <c r="C2968" s="315"/>
      <c r="D2968" s="868"/>
      <c r="E2968" s="837" t="str">
        <f>IFERROR(IF(_xlfn.XLOOKUP(Imput[[#This Row],[RFC]],'Alta Proveedor'!D:D,'Alta Proveedor'!E:E)=0,"",_xlfn.XLOOKUP(Imput[[#This Row],[RFC]],'Alta Proveedor'!D:D,'Alta Proveedor'!E:E)),"")</f>
        <v/>
      </c>
      <c r="F2968" s="832"/>
      <c r="G2968" s="187"/>
      <c r="H2968" s="1"/>
      <c r="I2968" s="169">
        <f>Imput[[#This Row],[Cantidad]]*Imput[[#This Row],[Precio Unitario]]</f>
        <v>0</v>
      </c>
      <c r="J2968" s="11">
        <f>((Imput[[#This Row],[Sub total]])*(0.16))</f>
        <v>0</v>
      </c>
      <c r="K2968" s="11">
        <v>0</v>
      </c>
      <c r="L2968" s="169">
        <f>Imput[[#This Row],[Sub total]]+Imput[[#This Row],[IVA]]-Imput[[#This Row],[Retención / IEPS / Descuento]]</f>
        <v>0</v>
      </c>
      <c r="M2968" s="844">
        <v>0</v>
      </c>
      <c r="N2968" s="189"/>
      <c r="O2968" s="1"/>
      <c r="P2968" s="189"/>
      <c r="Q2968" s="190"/>
      <c r="R2968" s="188"/>
      <c r="S2968" s="193"/>
      <c r="T2968" s="192"/>
      <c r="U2968" s="829"/>
      <c r="V2968" s="10"/>
      <c r="W2968" s="10"/>
      <c r="X2968" s="10"/>
      <c r="Y2968" s="10"/>
      <c r="Z2968" s="10"/>
      <c r="AA2968" s="11"/>
      <c r="AB2968" s="11"/>
    </row>
    <row r="2969" spans="2:28" x14ac:dyDescent="0.3">
      <c r="B2969" s="10"/>
      <c r="C2969" s="315"/>
      <c r="D2969" s="868"/>
      <c r="E2969" s="837" t="str">
        <f>IFERROR(IF(_xlfn.XLOOKUP(Imput[[#This Row],[RFC]],'Alta Proveedor'!D:D,'Alta Proveedor'!E:E)=0,"",_xlfn.XLOOKUP(Imput[[#This Row],[RFC]],'Alta Proveedor'!D:D,'Alta Proveedor'!E:E)),"")</f>
        <v/>
      </c>
      <c r="F2969" s="832"/>
      <c r="G2969" s="187"/>
      <c r="H2969" s="1"/>
      <c r="I2969" s="169">
        <f>Imput[[#This Row],[Cantidad]]*Imput[[#This Row],[Precio Unitario]]</f>
        <v>0</v>
      </c>
      <c r="J2969" s="11">
        <f>((Imput[[#This Row],[Sub total]])*(0.16))</f>
        <v>0</v>
      </c>
      <c r="K2969" s="11">
        <v>0</v>
      </c>
      <c r="L2969" s="169">
        <f>Imput[[#This Row],[Sub total]]+Imput[[#This Row],[IVA]]-Imput[[#This Row],[Retención / IEPS / Descuento]]</f>
        <v>0</v>
      </c>
      <c r="M2969" s="844">
        <v>0</v>
      </c>
      <c r="N2969" s="189"/>
      <c r="O2969" s="1"/>
      <c r="P2969" s="189"/>
      <c r="Q2969" s="190"/>
      <c r="R2969" s="188"/>
      <c r="S2969" s="193"/>
      <c r="T2969" s="192"/>
      <c r="U2969" s="829"/>
      <c r="V2969" s="10"/>
      <c r="W2969" s="10"/>
      <c r="X2969" s="10"/>
      <c r="Y2969" s="10"/>
      <c r="Z2969" s="10"/>
      <c r="AA2969" s="11"/>
      <c r="AB2969" s="11"/>
    </row>
    <row r="2970" spans="2:28" x14ac:dyDescent="0.3">
      <c r="B2970" s="10"/>
      <c r="C2970" s="315"/>
      <c r="D2970" s="868"/>
      <c r="E2970" s="837" t="str">
        <f>IFERROR(IF(_xlfn.XLOOKUP(Imput[[#This Row],[RFC]],'Alta Proveedor'!D:D,'Alta Proveedor'!E:E)=0,"",_xlfn.XLOOKUP(Imput[[#This Row],[RFC]],'Alta Proveedor'!D:D,'Alta Proveedor'!E:E)),"")</f>
        <v/>
      </c>
      <c r="F2970" s="832"/>
      <c r="G2970" s="187"/>
      <c r="H2970" s="1"/>
      <c r="I2970" s="169">
        <f>Imput[[#This Row],[Cantidad]]*Imput[[#This Row],[Precio Unitario]]</f>
        <v>0</v>
      </c>
      <c r="J2970" s="11">
        <f>((Imput[[#This Row],[Sub total]])*(0.16))</f>
        <v>0</v>
      </c>
      <c r="K2970" s="11">
        <v>0</v>
      </c>
      <c r="L2970" s="169">
        <f>Imput[[#This Row],[Sub total]]+Imput[[#This Row],[IVA]]-Imput[[#This Row],[Retención / IEPS / Descuento]]</f>
        <v>0</v>
      </c>
      <c r="M2970" s="844">
        <v>0</v>
      </c>
      <c r="N2970" s="189"/>
      <c r="O2970" s="1"/>
      <c r="P2970" s="189"/>
      <c r="Q2970" s="190"/>
      <c r="R2970" s="188"/>
      <c r="S2970" s="193"/>
      <c r="T2970" s="192"/>
      <c r="U2970" s="829"/>
      <c r="V2970" s="10"/>
      <c r="W2970" s="10"/>
      <c r="X2970" s="10"/>
      <c r="Y2970" s="10"/>
      <c r="Z2970" s="10"/>
      <c r="AA2970" s="11"/>
      <c r="AB2970" s="11"/>
    </row>
    <row r="2971" spans="2:28" x14ac:dyDescent="0.3">
      <c r="B2971" s="10"/>
      <c r="C2971" s="315"/>
      <c r="D2971" s="868"/>
      <c r="E2971" s="837" t="str">
        <f>IFERROR(IF(_xlfn.XLOOKUP(Imput[[#This Row],[RFC]],'Alta Proveedor'!D:D,'Alta Proveedor'!E:E)=0,"",_xlfn.XLOOKUP(Imput[[#This Row],[RFC]],'Alta Proveedor'!D:D,'Alta Proveedor'!E:E)),"")</f>
        <v/>
      </c>
      <c r="F2971" s="832"/>
      <c r="G2971" s="187"/>
      <c r="H2971" s="1"/>
      <c r="I2971" s="169">
        <f>Imput[[#This Row],[Cantidad]]*Imput[[#This Row],[Precio Unitario]]</f>
        <v>0</v>
      </c>
      <c r="J2971" s="11">
        <f>((Imput[[#This Row],[Sub total]])*(0.16))</f>
        <v>0</v>
      </c>
      <c r="K2971" s="11">
        <v>0</v>
      </c>
      <c r="L2971" s="169">
        <f>Imput[[#This Row],[Sub total]]+Imput[[#This Row],[IVA]]-Imput[[#This Row],[Retención / IEPS / Descuento]]</f>
        <v>0</v>
      </c>
      <c r="M2971" s="844">
        <v>0</v>
      </c>
      <c r="N2971" s="189"/>
      <c r="O2971" s="1"/>
      <c r="P2971" s="189"/>
      <c r="Q2971" s="190"/>
      <c r="R2971" s="188"/>
      <c r="S2971" s="193"/>
      <c r="T2971" s="192"/>
      <c r="U2971" s="829"/>
      <c r="V2971" s="10"/>
      <c r="W2971" s="10"/>
      <c r="X2971" s="10"/>
      <c r="Y2971" s="10"/>
      <c r="Z2971" s="10"/>
      <c r="AA2971" s="11"/>
      <c r="AB2971" s="11"/>
    </row>
    <row r="2972" spans="2:28" x14ac:dyDescent="0.3">
      <c r="B2972" s="10"/>
      <c r="C2972" s="315"/>
      <c r="D2972" s="868"/>
      <c r="E2972" s="837" t="str">
        <f>IFERROR(IF(_xlfn.XLOOKUP(Imput[[#This Row],[RFC]],'Alta Proveedor'!D:D,'Alta Proveedor'!E:E)=0,"",_xlfn.XLOOKUP(Imput[[#This Row],[RFC]],'Alta Proveedor'!D:D,'Alta Proveedor'!E:E)),"")</f>
        <v/>
      </c>
      <c r="F2972" s="832"/>
      <c r="G2972" s="187"/>
      <c r="H2972" s="1"/>
      <c r="I2972" s="169">
        <f>Imput[[#This Row],[Cantidad]]*Imput[[#This Row],[Precio Unitario]]</f>
        <v>0</v>
      </c>
      <c r="J2972" s="11">
        <f>((Imput[[#This Row],[Sub total]])*(0.16))</f>
        <v>0</v>
      </c>
      <c r="K2972" s="11">
        <v>0</v>
      </c>
      <c r="L2972" s="169">
        <f>Imput[[#This Row],[Sub total]]+Imput[[#This Row],[IVA]]-Imput[[#This Row],[Retención / IEPS / Descuento]]</f>
        <v>0</v>
      </c>
      <c r="M2972" s="844">
        <v>0</v>
      </c>
      <c r="N2972" s="189"/>
      <c r="O2972" s="1"/>
      <c r="P2972" s="189"/>
      <c r="Q2972" s="190"/>
      <c r="R2972" s="188"/>
      <c r="S2972" s="193"/>
      <c r="T2972" s="192"/>
      <c r="U2972" s="829"/>
      <c r="V2972" s="10"/>
      <c r="W2972" s="10"/>
      <c r="X2972" s="10"/>
      <c r="Y2972" s="10"/>
      <c r="Z2972" s="10"/>
      <c r="AA2972" s="11"/>
      <c r="AB2972" s="11"/>
    </row>
    <row r="2973" spans="2:28" x14ac:dyDescent="0.3">
      <c r="B2973" s="10"/>
      <c r="C2973" s="315"/>
      <c r="D2973" s="868"/>
      <c r="E2973" s="837" t="str">
        <f>IFERROR(IF(_xlfn.XLOOKUP(Imput[[#This Row],[RFC]],'Alta Proveedor'!D:D,'Alta Proveedor'!E:E)=0,"",_xlfn.XLOOKUP(Imput[[#This Row],[RFC]],'Alta Proveedor'!D:D,'Alta Proveedor'!E:E)),"")</f>
        <v/>
      </c>
      <c r="F2973" s="832"/>
      <c r="G2973" s="187"/>
      <c r="H2973" s="1"/>
      <c r="I2973" s="169">
        <f>Imput[[#This Row],[Cantidad]]*Imput[[#This Row],[Precio Unitario]]</f>
        <v>0</v>
      </c>
      <c r="J2973" s="11">
        <f>((Imput[[#This Row],[Sub total]])*(0.16))</f>
        <v>0</v>
      </c>
      <c r="K2973" s="11">
        <v>0</v>
      </c>
      <c r="L2973" s="169">
        <f>Imput[[#This Row],[Sub total]]+Imput[[#This Row],[IVA]]-Imput[[#This Row],[Retención / IEPS / Descuento]]</f>
        <v>0</v>
      </c>
      <c r="M2973" s="844">
        <v>0</v>
      </c>
      <c r="N2973" s="189"/>
      <c r="O2973" s="1"/>
      <c r="P2973" s="189"/>
      <c r="Q2973" s="190"/>
      <c r="R2973" s="188"/>
      <c r="S2973" s="193"/>
      <c r="T2973" s="192"/>
      <c r="U2973" s="829"/>
      <c r="V2973" s="10"/>
      <c r="W2973" s="10"/>
      <c r="X2973" s="10"/>
      <c r="Y2973" s="10"/>
      <c r="Z2973" s="10"/>
      <c r="AA2973" s="11"/>
      <c r="AB2973" s="11"/>
    </row>
    <row r="2974" spans="2:28" x14ac:dyDescent="0.3">
      <c r="B2974" s="10"/>
      <c r="C2974" s="315"/>
      <c r="D2974" s="868"/>
      <c r="E2974" s="837" t="str">
        <f>IFERROR(IF(_xlfn.XLOOKUP(Imput[[#This Row],[RFC]],'Alta Proveedor'!D:D,'Alta Proveedor'!E:E)=0,"",_xlfn.XLOOKUP(Imput[[#This Row],[RFC]],'Alta Proveedor'!D:D,'Alta Proveedor'!E:E)),"")</f>
        <v/>
      </c>
      <c r="F2974" s="832"/>
      <c r="G2974" s="187"/>
      <c r="H2974" s="1"/>
      <c r="I2974" s="169">
        <f>Imput[[#This Row],[Cantidad]]*Imput[[#This Row],[Precio Unitario]]</f>
        <v>0</v>
      </c>
      <c r="J2974" s="11">
        <f>((Imput[[#This Row],[Sub total]])*(0.16))</f>
        <v>0</v>
      </c>
      <c r="K2974" s="11">
        <v>0</v>
      </c>
      <c r="L2974" s="169">
        <f>Imput[[#This Row],[Sub total]]+Imput[[#This Row],[IVA]]-Imput[[#This Row],[Retención / IEPS / Descuento]]</f>
        <v>0</v>
      </c>
      <c r="M2974" s="844">
        <v>0</v>
      </c>
      <c r="N2974" s="189"/>
      <c r="O2974" s="1"/>
      <c r="P2974" s="189"/>
      <c r="Q2974" s="190"/>
      <c r="R2974" s="188"/>
      <c r="S2974" s="193"/>
      <c r="T2974" s="192"/>
      <c r="U2974" s="829"/>
      <c r="V2974" s="10"/>
      <c r="W2974" s="10"/>
      <c r="X2974" s="10"/>
      <c r="Y2974" s="10"/>
      <c r="Z2974" s="10"/>
      <c r="AA2974" s="11"/>
      <c r="AB2974" s="11"/>
    </row>
    <row r="2975" spans="2:28" x14ac:dyDescent="0.3">
      <c r="B2975" s="10"/>
      <c r="C2975" s="315"/>
      <c r="D2975" s="868"/>
      <c r="E2975" s="837" t="str">
        <f>IFERROR(IF(_xlfn.XLOOKUP(Imput[[#This Row],[RFC]],'Alta Proveedor'!D:D,'Alta Proveedor'!E:E)=0,"",_xlfn.XLOOKUP(Imput[[#This Row],[RFC]],'Alta Proveedor'!D:D,'Alta Proveedor'!E:E)),"")</f>
        <v/>
      </c>
      <c r="F2975" s="832"/>
      <c r="G2975" s="187"/>
      <c r="H2975" s="1"/>
      <c r="I2975" s="169">
        <f>Imput[[#This Row],[Cantidad]]*Imput[[#This Row],[Precio Unitario]]</f>
        <v>0</v>
      </c>
      <c r="J2975" s="11">
        <f>((Imput[[#This Row],[Sub total]])*(0.16))</f>
        <v>0</v>
      </c>
      <c r="K2975" s="11">
        <v>0</v>
      </c>
      <c r="L2975" s="169">
        <f>Imput[[#This Row],[Sub total]]+Imput[[#This Row],[IVA]]-Imput[[#This Row],[Retención / IEPS / Descuento]]</f>
        <v>0</v>
      </c>
      <c r="M2975" s="844">
        <v>0</v>
      </c>
      <c r="N2975" s="189"/>
      <c r="O2975" s="1"/>
      <c r="P2975" s="189"/>
      <c r="Q2975" s="190"/>
      <c r="R2975" s="188"/>
      <c r="S2975" s="193"/>
      <c r="T2975" s="192"/>
      <c r="U2975" s="829"/>
      <c r="V2975" s="10"/>
      <c r="W2975" s="10"/>
      <c r="X2975" s="10"/>
      <c r="Y2975" s="10"/>
      <c r="Z2975" s="10"/>
      <c r="AA2975" s="11"/>
      <c r="AB2975" s="11"/>
    </row>
    <row r="2976" spans="2:28" x14ac:dyDescent="0.3">
      <c r="B2976" s="10"/>
      <c r="C2976" s="315"/>
      <c r="D2976" s="868"/>
      <c r="E2976" s="837" t="str">
        <f>IFERROR(IF(_xlfn.XLOOKUP(Imput[[#This Row],[RFC]],'Alta Proveedor'!D:D,'Alta Proveedor'!E:E)=0,"",_xlfn.XLOOKUP(Imput[[#This Row],[RFC]],'Alta Proveedor'!D:D,'Alta Proveedor'!E:E)),"")</f>
        <v/>
      </c>
      <c r="F2976" s="832"/>
      <c r="G2976" s="187"/>
      <c r="H2976" s="1"/>
      <c r="I2976" s="169">
        <f>Imput[[#This Row],[Cantidad]]*Imput[[#This Row],[Precio Unitario]]</f>
        <v>0</v>
      </c>
      <c r="J2976" s="11">
        <f>((Imput[[#This Row],[Sub total]])*(0.16))</f>
        <v>0</v>
      </c>
      <c r="K2976" s="11">
        <v>0</v>
      </c>
      <c r="L2976" s="169">
        <f>Imput[[#This Row],[Sub total]]+Imput[[#This Row],[IVA]]-Imput[[#This Row],[Retención / IEPS / Descuento]]</f>
        <v>0</v>
      </c>
      <c r="M2976" s="844">
        <v>0</v>
      </c>
      <c r="N2976" s="189"/>
      <c r="O2976" s="1"/>
      <c r="P2976" s="189"/>
      <c r="Q2976" s="190"/>
      <c r="R2976" s="188"/>
      <c r="S2976" s="193"/>
      <c r="T2976" s="192"/>
      <c r="U2976" s="829"/>
      <c r="V2976" s="10"/>
      <c r="W2976" s="10"/>
      <c r="X2976" s="10"/>
      <c r="Y2976" s="10"/>
      <c r="Z2976" s="10"/>
      <c r="AA2976" s="11"/>
      <c r="AB2976" s="11"/>
    </row>
    <row r="2977" spans="2:28" x14ac:dyDescent="0.3">
      <c r="B2977" s="10"/>
      <c r="C2977" s="315"/>
      <c r="D2977" s="868"/>
      <c r="E2977" s="837" t="str">
        <f>IFERROR(IF(_xlfn.XLOOKUP(Imput[[#This Row],[RFC]],'Alta Proveedor'!D:D,'Alta Proveedor'!E:E)=0,"",_xlfn.XLOOKUP(Imput[[#This Row],[RFC]],'Alta Proveedor'!D:D,'Alta Proveedor'!E:E)),"")</f>
        <v/>
      </c>
      <c r="F2977" s="832"/>
      <c r="G2977" s="187"/>
      <c r="H2977" s="1"/>
      <c r="I2977" s="169">
        <f>Imput[[#This Row],[Cantidad]]*Imput[[#This Row],[Precio Unitario]]</f>
        <v>0</v>
      </c>
      <c r="J2977" s="11">
        <f>((Imput[[#This Row],[Sub total]])*(0.16))</f>
        <v>0</v>
      </c>
      <c r="K2977" s="11">
        <v>0</v>
      </c>
      <c r="L2977" s="169">
        <f>Imput[[#This Row],[Sub total]]+Imput[[#This Row],[IVA]]-Imput[[#This Row],[Retención / IEPS / Descuento]]</f>
        <v>0</v>
      </c>
      <c r="M2977" s="844">
        <v>0</v>
      </c>
      <c r="N2977" s="189"/>
      <c r="O2977" s="1"/>
      <c r="P2977" s="189"/>
      <c r="Q2977" s="190"/>
      <c r="R2977" s="188"/>
      <c r="S2977" s="193"/>
      <c r="T2977" s="192"/>
      <c r="U2977" s="829"/>
      <c r="V2977" s="10"/>
      <c r="W2977" s="10"/>
      <c r="X2977" s="10"/>
      <c r="Y2977" s="10"/>
      <c r="Z2977" s="10"/>
      <c r="AA2977" s="11"/>
      <c r="AB2977" s="11"/>
    </row>
    <row r="2978" spans="2:28" x14ac:dyDescent="0.3">
      <c r="B2978" s="10"/>
      <c r="C2978" s="315"/>
      <c r="D2978" s="868"/>
      <c r="E2978" s="837" t="str">
        <f>IFERROR(IF(_xlfn.XLOOKUP(Imput[[#This Row],[RFC]],'Alta Proveedor'!D:D,'Alta Proveedor'!E:E)=0,"",_xlfn.XLOOKUP(Imput[[#This Row],[RFC]],'Alta Proveedor'!D:D,'Alta Proveedor'!E:E)),"")</f>
        <v/>
      </c>
      <c r="F2978" s="832"/>
      <c r="G2978" s="187"/>
      <c r="H2978" s="1"/>
      <c r="I2978" s="169">
        <f>Imput[[#This Row],[Cantidad]]*Imput[[#This Row],[Precio Unitario]]</f>
        <v>0</v>
      </c>
      <c r="J2978" s="11">
        <f>((Imput[[#This Row],[Sub total]])*(0.16))</f>
        <v>0</v>
      </c>
      <c r="K2978" s="11">
        <v>0</v>
      </c>
      <c r="L2978" s="169">
        <f>Imput[[#This Row],[Sub total]]+Imput[[#This Row],[IVA]]-Imput[[#This Row],[Retención / IEPS / Descuento]]</f>
        <v>0</v>
      </c>
      <c r="M2978" s="844">
        <v>0</v>
      </c>
      <c r="N2978" s="189"/>
      <c r="O2978" s="1"/>
      <c r="P2978" s="189"/>
      <c r="Q2978" s="190"/>
      <c r="R2978" s="188"/>
      <c r="S2978" s="193"/>
      <c r="T2978" s="192"/>
      <c r="U2978" s="829"/>
      <c r="V2978" s="10"/>
      <c r="W2978" s="10"/>
      <c r="X2978" s="10"/>
      <c r="Y2978" s="10"/>
      <c r="Z2978" s="10"/>
      <c r="AA2978" s="11"/>
      <c r="AB2978" s="11"/>
    </row>
    <row r="2979" spans="2:28" x14ac:dyDescent="0.3">
      <c r="B2979" s="10"/>
      <c r="C2979" s="315"/>
      <c r="D2979" s="868"/>
      <c r="E2979" s="837" t="str">
        <f>IFERROR(IF(_xlfn.XLOOKUP(Imput[[#This Row],[RFC]],'Alta Proveedor'!D:D,'Alta Proveedor'!E:E)=0,"",_xlfn.XLOOKUP(Imput[[#This Row],[RFC]],'Alta Proveedor'!D:D,'Alta Proveedor'!E:E)),"")</f>
        <v/>
      </c>
      <c r="F2979" s="832"/>
      <c r="G2979" s="187"/>
      <c r="H2979" s="1"/>
      <c r="I2979" s="169">
        <f>Imput[[#This Row],[Cantidad]]*Imput[[#This Row],[Precio Unitario]]</f>
        <v>0</v>
      </c>
      <c r="J2979" s="11">
        <f>((Imput[[#This Row],[Sub total]])*(0.16))</f>
        <v>0</v>
      </c>
      <c r="K2979" s="11">
        <v>0</v>
      </c>
      <c r="L2979" s="169">
        <f>Imput[[#This Row],[Sub total]]+Imput[[#This Row],[IVA]]-Imput[[#This Row],[Retención / IEPS / Descuento]]</f>
        <v>0</v>
      </c>
      <c r="M2979" s="844">
        <v>0</v>
      </c>
      <c r="N2979" s="189"/>
      <c r="O2979" s="1"/>
      <c r="P2979" s="189"/>
      <c r="Q2979" s="190"/>
      <c r="R2979" s="188"/>
      <c r="S2979" s="193"/>
      <c r="T2979" s="192"/>
      <c r="U2979" s="829"/>
      <c r="V2979" s="10"/>
      <c r="W2979" s="10"/>
      <c r="X2979" s="10"/>
      <c r="Y2979" s="10"/>
      <c r="Z2979" s="10"/>
      <c r="AA2979" s="11"/>
      <c r="AB2979" s="11"/>
    </row>
    <row r="2980" spans="2:28" x14ac:dyDescent="0.3">
      <c r="B2980" s="10"/>
      <c r="C2980" s="315"/>
      <c r="D2980" s="868"/>
      <c r="E2980" s="837" t="str">
        <f>IFERROR(IF(_xlfn.XLOOKUP(Imput[[#This Row],[RFC]],'Alta Proveedor'!D:D,'Alta Proveedor'!E:E)=0,"",_xlfn.XLOOKUP(Imput[[#This Row],[RFC]],'Alta Proveedor'!D:D,'Alta Proveedor'!E:E)),"")</f>
        <v/>
      </c>
      <c r="F2980" s="832"/>
      <c r="G2980" s="187"/>
      <c r="H2980" s="1"/>
      <c r="I2980" s="169">
        <f>Imput[[#This Row],[Cantidad]]*Imput[[#This Row],[Precio Unitario]]</f>
        <v>0</v>
      </c>
      <c r="J2980" s="11">
        <f>((Imput[[#This Row],[Sub total]])*(0.16))</f>
        <v>0</v>
      </c>
      <c r="K2980" s="11">
        <v>0</v>
      </c>
      <c r="L2980" s="169">
        <f>Imput[[#This Row],[Sub total]]+Imput[[#This Row],[IVA]]-Imput[[#This Row],[Retención / IEPS / Descuento]]</f>
        <v>0</v>
      </c>
      <c r="M2980" s="844">
        <v>0</v>
      </c>
      <c r="N2980" s="189"/>
      <c r="O2980" s="1"/>
      <c r="P2980" s="189"/>
      <c r="Q2980" s="190"/>
      <c r="R2980" s="188"/>
      <c r="S2980" s="193"/>
      <c r="T2980" s="192"/>
      <c r="U2980" s="829"/>
      <c r="V2980" s="10"/>
      <c r="W2980" s="10"/>
      <c r="X2980" s="10"/>
      <c r="Y2980" s="10"/>
      <c r="Z2980" s="10"/>
      <c r="AA2980" s="11"/>
      <c r="AB2980" s="11"/>
    </row>
    <row r="2981" spans="2:28" x14ac:dyDescent="0.3">
      <c r="B2981" s="10"/>
      <c r="C2981" s="315"/>
      <c r="D2981" s="868"/>
      <c r="E2981" s="837" t="str">
        <f>IFERROR(IF(_xlfn.XLOOKUP(Imput[[#This Row],[RFC]],'Alta Proveedor'!D:D,'Alta Proveedor'!E:E)=0,"",_xlfn.XLOOKUP(Imput[[#This Row],[RFC]],'Alta Proveedor'!D:D,'Alta Proveedor'!E:E)),"")</f>
        <v/>
      </c>
      <c r="F2981" s="832"/>
      <c r="G2981" s="187"/>
      <c r="H2981" s="1"/>
      <c r="I2981" s="169">
        <f>Imput[[#This Row],[Cantidad]]*Imput[[#This Row],[Precio Unitario]]</f>
        <v>0</v>
      </c>
      <c r="J2981" s="11">
        <f>((Imput[[#This Row],[Sub total]])*(0.16))</f>
        <v>0</v>
      </c>
      <c r="K2981" s="11">
        <v>0</v>
      </c>
      <c r="L2981" s="169">
        <f>Imput[[#This Row],[Sub total]]+Imput[[#This Row],[IVA]]-Imput[[#This Row],[Retención / IEPS / Descuento]]</f>
        <v>0</v>
      </c>
      <c r="M2981" s="844">
        <v>0</v>
      </c>
      <c r="N2981" s="189"/>
      <c r="O2981" s="1"/>
      <c r="P2981" s="189"/>
      <c r="Q2981" s="190"/>
      <c r="R2981" s="188"/>
      <c r="S2981" s="193"/>
      <c r="T2981" s="192"/>
      <c r="U2981" s="829"/>
      <c r="V2981" s="10"/>
      <c r="W2981" s="10"/>
      <c r="X2981" s="10"/>
      <c r="Y2981" s="10"/>
      <c r="Z2981" s="10"/>
      <c r="AA2981" s="11"/>
      <c r="AB2981" s="11"/>
    </row>
    <row r="2982" spans="2:28" x14ac:dyDescent="0.3">
      <c r="B2982" s="10"/>
      <c r="C2982" s="315"/>
      <c r="D2982" s="868"/>
      <c r="E2982" s="837" t="str">
        <f>IFERROR(IF(_xlfn.XLOOKUP(Imput[[#This Row],[RFC]],'Alta Proveedor'!D:D,'Alta Proveedor'!E:E)=0,"",_xlfn.XLOOKUP(Imput[[#This Row],[RFC]],'Alta Proveedor'!D:D,'Alta Proveedor'!E:E)),"")</f>
        <v/>
      </c>
      <c r="F2982" s="832"/>
      <c r="G2982" s="187"/>
      <c r="H2982" s="1"/>
      <c r="I2982" s="169">
        <f>Imput[[#This Row],[Cantidad]]*Imput[[#This Row],[Precio Unitario]]</f>
        <v>0</v>
      </c>
      <c r="J2982" s="11">
        <f>((Imput[[#This Row],[Sub total]])*(0.16))</f>
        <v>0</v>
      </c>
      <c r="K2982" s="11">
        <v>0</v>
      </c>
      <c r="L2982" s="169">
        <f>Imput[[#This Row],[Sub total]]+Imput[[#This Row],[IVA]]-Imput[[#This Row],[Retención / IEPS / Descuento]]</f>
        <v>0</v>
      </c>
      <c r="M2982" s="844">
        <v>0</v>
      </c>
      <c r="N2982" s="189"/>
      <c r="O2982" s="1"/>
      <c r="P2982" s="189"/>
      <c r="Q2982" s="190"/>
      <c r="R2982" s="188"/>
      <c r="S2982" s="193"/>
      <c r="T2982" s="192"/>
      <c r="U2982" s="829"/>
      <c r="V2982" s="10"/>
      <c r="W2982" s="10"/>
      <c r="X2982" s="10"/>
      <c r="Y2982" s="10"/>
      <c r="Z2982" s="10"/>
      <c r="AA2982" s="11"/>
      <c r="AB2982" s="11"/>
    </row>
    <row r="2983" spans="2:28" x14ac:dyDescent="0.3">
      <c r="B2983" s="10"/>
      <c r="C2983" s="315"/>
      <c r="D2983" s="868"/>
      <c r="E2983" s="837" t="str">
        <f>IFERROR(IF(_xlfn.XLOOKUP(Imput[[#This Row],[RFC]],'Alta Proveedor'!D:D,'Alta Proveedor'!E:E)=0,"",_xlfn.XLOOKUP(Imput[[#This Row],[RFC]],'Alta Proveedor'!D:D,'Alta Proveedor'!E:E)),"")</f>
        <v/>
      </c>
      <c r="F2983" s="832"/>
      <c r="G2983" s="187"/>
      <c r="H2983" s="1"/>
      <c r="I2983" s="169">
        <f>Imput[[#This Row],[Cantidad]]*Imput[[#This Row],[Precio Unitario]]</f>
        <v>0</v>
      </c>
      <c r="J2983" s="11">
        <f>((Imput[[#This Row],[Sub total]])*(0.16))</f>
        <v>0</v>
      </c>
      <c r="K2983" s="11">
        <v>0</v>
      </c>
      <c r="L2983" s="169">
        <f>Imput[[#This Row],[Sub total]]+Imput[[#This Row],[IVA]]-Imput[[#This Row],[Retención / IEPS / Descuento]]</f>
        <v>0</v>
      </c>
      <c r="M2983" s="844">
        <v>0</v>
      </c>
      <c r="N2983" s="189"/>
      <c r="O2983" s="1"/>
      <c r="P2983" s="189"/>
      <c r="Q2983" s="190"/>
      <c r="R2983" s="188"/>
      <c r="S2983" s="193"/>
      <c r="T2983" s="192"/>
      <c r="U2983" s="829"/>
      <c r="V2983" s="10"/>
      <c r="W2983" s="10"/>
      <c r="X2983" s="10"/>
      <c r="Y2983" s="10"/>
      <c r="Z2983" s="10"/>
      <c r="AA2983" s="11"/>
      <c r="AB2983" s="11"/>
    </row>
    <row r="2984" spans="2:28" x14ac:dyDescent="0.3">
      <c r="B2984" s="10"/>
      <c r="C2984" s="315"/>
      <c r="D2984" s="868"/>
      <c r="E2984" s="837" t="str">
        <f>IFERROR(IF(_xlfn.XLOOKUP(Imput[[#This Row],[RFC]],'Alta Proveedor'!D:D,'Alta Proveedor'!E:E)=0,"",_xlfn.XLOOKUP(Imput[[#This Row],[RFC]],'Alta Proveedor'!D:D,'Alta Proveedor'!E:E)),"")</f>
        <v/>
      </c>
      <c r="F2984" s="832"/>
      <c r="G2984" s="187"/>
      <c r="H2984" s="1"/>
      <c r="I2984" s="169">
        <f>Imput[[#This Row],[Cantidad]]*Imput[[#This Row],[Precio Unitario]]</f>
        <v>0</v>
      </c>
      <c r="J2984" s="11">
        <f>((Imput[[#This Row],[Sub total]])*(0.16))</f>
        <v>0</v>
      </c>
      <c r="K2984" s="11">
        <v>0</v>
      </c>
      <c r="L2984" s="169">
        <f>Imput[[#This Row],[Sub total]]+Imput[[#This Row],[IVA]]-Imput[[#This Row],[Retención / IEPS / Descuento]]</f>
        <v>0</v>
      </c>
      <c r="M2984" s="844">
        <v>0</v>
      </c>
      <c r="N2984" s="189"/>
      <c r="O2984" s="1"/>
      <c r="P2984" s="189"/>
      <c r="Q2984" s="190"/>
      <c r="R2984" s="188"/>
      <c r="S2984" s="193"/>
      <c r="T2984" s="192"/>
      <c r="U2984" s="829"/>
      <c r="V2984" s="10"/>
      <c r="W2984" s="10"/>
      <c r="X2984" s="10"/>
      <c r="Y2984" s="10"/>
      <c r="Z2984" s="10"/>
      <c r="AA2984" s="11"/>
      <c r="AB2984" s="11"/>
    </row>
    <row r="2985" spans="2:28" x14ac:dyDescent="0.3">
      <c r="B2985" s="10"/>
      <c r="C2985" s="315"/>
      <c r="D2985" s="868"/>
      <c r="E2985" s="837" t="str">
        <f>IFERROR(IF(_xlfn.XLOOKUP(Imput[[#This Row],[RFC]],'Alta Proveedor'!D:D,'Alta Proveedor'!E:E)=0,"",_xlfn.XLOOKUP(Imput[[#This Row],[RFC]],'Alta Proveedor'!D:D,'Alta Proveedor'!E:E)),"")</f>
        <v/>
      </c>
      <c r="F2985" s="832"/>
      <c r="G2985" s="187"/>
      <c r="H2985" s="1"/>
      <c r="I2985" s="169">
        <f>Imput[[#This Row],[Cantidad]]*Imput[[#This Row],[Precio Unitario]]</f>
        <v>0</v>
      </c>
      <c r="J2985" s="11">
        <f>((Imput[[#This Row],[Sub total]])*(0.16))</f>
        <v>0</v>
      </c>
      <c r="K2985" s="11">
        <v>0</v>
      </c>
      <c r="L2985" s="169">
        <f>Imput[[#This Row],[Sub total]]+Imput[[#This Row],[IVA]]-Imput[[#This Row],[Retención / IEPS / Descuento]]</f>
        <v>0</v>
      </c>
      <c r="M2985" s="844">
        <v>0</v>
      </c>
      <c r="N2985" s="189"/>
      <c r="O2985" s="1"/>
      <c r="P2985" s="189"/>
      <c r="Q2985" s="190"/>
      <c r="R2985" s="188"/>
      <c r="S2985" s="193"/>
      <c r="T2985" s="192"/>
      <c r="U2985" s="829"/>
      <c r="V2985" s="10"/>
      <c r="W2985" s="10"/>
      <c r="X2985" s="10"/>
      <c r="Y2985" s="10"/>
      <c r="Z2985" s="10"/>
      <c r="AA2985" s="11"/>
      <c r="AB2985" s="11"/>
    </row>
    <row r="2986" spans="2:28" x14ac:dyDescent="0.3">
      <c r="B2986" s="10"/>
      <c r="C2986" s="315"/>
      <c r="D2986" s="868"/>
      <c r="E2986" s="837" t="str">
        <f>IFERROR(IF(_xlfn.XLOOKUP(Imput[[#This Row],[RFC]],'Alta Proveedor'!D:D,'Alta Proveedor'!E:E)=0,"",_xlfn.XLOOKUP(Imput[[#This Row],[RFC]],'Alta Proveedor'!D:D,'Alta Proveedor'!E:E)),"")</f>
        <v/>
      </c>
      <c r="F2986" s="832"/>
      <c r="G2986" s="187"/>
      <c r="H2986" s="1"/>
      <c r="I2986" s="169">
        <f>Imput[[#This Row],[Cantidad]]*Imput[[#This Row],[Precio Unitario]]</f>
        <v>0</v>
      </c>
      <c r="J2986" s="11">
        <f>((Imput[[#This Row],[Sub total]])*(0.16))</f>
        <v>0</v>
      </c>
      <c r="K2986" s="11">
        <v>0</v>
      </c>
      <c r="L2986" s="169">
        <f>Imput[[#This Row],[Sub total]]+Imput[[#This Row],[IVA]]-Imput[[#This Row],[Retención / IEPS / Descuento]]</f>
        <v>0</v>
      </c>
      <c r="M2986" s="844">
        <v>0</v>
      </c>
      <c r="N2986" s="189"/>
      <c r="O2986" s="1"/>
      <c r="P2986" s="189"/>
      <c r="Q2986" s="190"/>
      <c r="R2986" s="188"/>
      <c r="S2986" s="193"/>
      <c r="T2986" s="192"/>
      <c r="U2986" s="829"/>
      <c r="V2986" s="10"/>
      <c r="W2986" s="10"/>
      <c r="X2986" s="10"/>
      <c r="Y2986" s="10"/>
      <c r="Z2986" s="10"/>
      <c r="AA2986" s="11"/>
      <c r="AB2986" s="11"/>
    </row>
    <row r="2987" spans="2:28" x14ac:dyDescent="0.3">
      <c r="B2987" s="10"/>
      <c r="C2987" s="315"/>
      <c r="D2987" s="868"/>
      <c r="E2987" s="837" t="str">
        <f>IFERROR(IF(_xlfn.XLOOKUP(Imput[[#This Row],[RFC]],'Alta Proveedor'!D:D,'Alta Proveedor'!E:E)=0,"",_xlfn.XLOOKUP(Imput[[#This Row],[RFC]],'Alta Proveedor'!D:D,'Alta Proveedor'!E:E)),"")</f>
        <v/>
      </c>
      <c r="F2987" s="832"/>
      <c r="G2987" s="187"/>
      <c r="H2987" s="1"/>
      <c r="I2987" s="169">
        <f>Imput[[#This Row],[Cantidad]]*Imput[[#This Row],[Precio Unitario]]</f>
        <v>0</v>
      </c>
      <c r="J2987" s="11">
        <f>((Imput[[#This Row],[Sub total]])*(0.16))</f>
        <v>0</v>
      </c>
      <c r="K2987" s="11">
        <v>0</v>
      </c>
      <c r="L2987" s="169">
        <f>Imput[[#This Row],[Sub total]]+Imput[[#This Row],[IVA]]-Imput[[#This Row],[Retención / IEPS / Descuento]]</f>
        <v>0</v>
      </c>
      <c r="M2987" s="844">
        <v>0</v>
      </c>
      <c r="N2987" s="189"/>
      <c r="O2987" s="1"/>
      <c r="P2987" s="189"/>
      <c r="Q2987" s="190"/>
      <c r="R2987" s="188"/>
      <c r="S2987" s="193"/>
      <c r="T2987" s="192"/>
      <c r="U2987" s="829"/>
      <c r="V2987" s="10"/>
      <c r="W2987" s="10"/>
      <c r="X2987" s="10"/>
      <c r="Y2987" s="10"/>
      <c r="Z2987" s="10"/>
      <c r="AA2987" s="11"/>
      <c r="AB2987" s="11"/>
    </row>
    <row r="2988" spans="2:28" x14ac:dyDescent="0.3">
      <c r="B2988" s="10"/>
      <c r="C2988" s="315"/>
      <c r="D2988" s="868"/>
      <c r="E2988" s="837" t="str">
        <f>IFERROR(IF(_xlfn.XLOOKUP(Imput[[#This Row],[RFC]],'Alta Proveedor'!D:D,'Alta Proveedor'!E:E)=0,"",_xlfn.XLOOKUP(Imput[[#This Row],[RFC]],'Alta Proveedor'!D:D,'Alta Proveedor'!E:E)),"")</f>
        <v/>
      </c>
      <c r="F2988" s="832"/>
      <c r="G2988" s="187"/>
      <c r="H2988" s="1"/>
      <c r="I2988" s="169">
        <f>Imput[[#This Row],[Cantidad]]*Imput[[#This Row],[Precio Unitario]]</f>
        <v>0</v>
      </c>
      <c r="J2988" s="11">
        <f>((Imput[[#This Row],[Sub total]])*(0.16))</f>
        <v>0</v>
      </c>
      <c r="K2988" s="11">
        <v>0</v>
      </c>
      <c r="L2988" s="169">
        <f>Imput[[#This Row],[Sub total]]+Imput[[#This Row],[IVA]]-Imput[[#This Row],[Retención / IEPS / Descuento]]</f>
        <v>0</v>
      </c>
      <c r="M2988" s="844">
        <v>0</v>
      </c>
      <c r="N2988" s="189"/>
      <c r="O2988" s="1"/>
      <c r="P2988" s="189"/>
      <c r="Q2988" s="190"/>
      <c r="R2988" s="188"/>
      <c r="S2988" s="193"/>
      <c r="T2988" s="192"/>
      <c r="U2988" s="829"/>
      <c r="V2988" s="10"/>
      <c r="W2988" s="10"/>
      <c r="X2988" s="10"/>
      <c r="Y2988" s="10"/>
      <c r="Z2988" s="10"/>
      <c r="AA2988" s="11"/>
      <c r="AB2988" s="11"/>
    </row>
    <row r="2989" spans="2:28" x14ac:dyDescent="0.3">
      <c r="B2989" s="10"/>
      <c r="C2989" s="315"/>
      <c r="D2989" s="868"/>
      <c r="E2989" s="837" t="str">
        <f>IFERROR(IF(_xlfn.XLOOKUP(Imput[[#This Row],[RFC]],'Alta Proveedor'!D:D,'Alta Proveedor'!E:E)=0,"",_xlfn.XLOOKUP(Imput[[#This Row],[RFC]],'Alta Proveedor'!D:D,'Alta Proveedor'!E:E)),"")</f>
        <v/>
      </c>
      <c r="F2989" s="832"/>
      <c r="G2989" s="187"/>
      <c r="H2989" s="1"/>
      <c r="I2989" s="169">
        <f>Imput[[#This Row],[Cantidad]]*Imput[[#This Row],[Precio Unitario]]</f>
        <v>0</v>
      </c>
      <c r="J2989" s="11">
        <f>((Imput[[#This Row],[Sub total]])*(0.16))</f>
        <v>0</v>
      </c>
      <c r="K2989" s="11">
        <v>0</v>
      </c>
      <c r="L2989" s="169">
        <f>Imput[[#This Row],[Sub total]]+Imput[[#This Row],[IVA]]-Imput[[#This Row],[Retención / IEPS / Descuento]]</f>
        <v>0</v>
      </c>
      <c r="M2989" s="844">
        <v>0</v>
      </c>
      <c r="N2989" s="189"/>
      <c r="O2989" s="1"/>
      <c r="P2989" s="189"/>
      <c r="Q2989" s="190"/>
      <c r="R2989" s="188"/>
      <c r="S2989" s="193"/>
      <c r="T2989" s="192"/>
      <c r="U2989" s="829"/>
      <c r="V2989" s="10"/>
      <c r="W2989" s="10"/>
      <c r="X2989" s="10"/>
      <c r="Y2989" s="10"/>
      <c r="Z2989" s="10"/>
      <c r="AA2989" s="11"/>
      <c r="AB2989" s="11"/>
    </row>
    <row r="2990" spans="2:28" x14ac:dyDescent="0.3">
      <c r="B2990" s="10"/>
      <c r="C2990" s="315"/>
      <c r="D2990" s="868"/>
      <c r="E2990" s="837" t="str">
        <f>IFERROR(IF(_xlfn.XLOOKUP(Imput[[#This Row],[RFC]],'Alta Proveedor'!D:D,'Alta Proveedor'!E:E)=0,"",_xlfn.XLOOKUP(Imput[[#This Row],[RFC]],'Alta Proveedor'!D:D,'Alta Proveedor'!E:E)),"")</f>
        <v/>
      </c>
      <c r="F2990" s="832"/>
      <c r="G2990" s="187"/>
      <c r="H2990" s="1"/>
      <c r="I2990" s="169">
        <f>Imput[[#This Row],[Cantidad]]*Imput[[#This Row],[Precio Unitario]]</f>
        <v>0</v>
      </c>
      <c r="J2990" s="11">
        <f>((Imput[[#This Row],[Sub total]])*(0.16))</f>
        <v>0</v>
      </c>
      <c r="K2990" s="11">
        <v>0</v>
      </c>
      <c r="L2990" s="169">
        <f>Imput[[#This Row],[Sub total]]+Imput[[#This Row],[IVA]]-Imput[[#This Row],[Retención / IEPS / Descuento]]</f>
        <v>0</v>
      </c>
      <c r="M2990" s="844">
        <v>0</v>
      </c>
      <c r="N2990" s="189"/>
      <c r="O2990" s="1"/>
      <c r="P2990" s="189"/>
      <c r="Q2990" s="190"/>
      <c r="R2990" s="188"/>
      <c r="S2990" s="193"/>
      <c r="T2990" s="192"/>
      <c r="U2990" s="829"/>
      <c r="V2990" s="10"/>
      <c r="W2990" s="10"/>
      <c r="X2990" s="10"/>
      <c r="Y2990" s="10"/>
      <c r="Z2990" s="10"/>
      <c r="AA2990" s="11"/>
      <c r="AB2990" s="11"/>
    </row>
    <row r="2991" spans="2:28" x14ac:dyDescent="0.3">
      <c r="B2991" s="10"/>
      <c r="C2991" s="315"/>
      <c r="D2991" s="868"/>
      <c r="E2991" s="837" t="str">
        <f>IFERROR(IF(_xlfn.XLOOKUP(Imput[[#This Row],[RFC]],'Alta Proveedor'!D:D,'Alta Proveedor'!E:E)=0,"",_xlfn.XLOOKUP(Imput[[#This Row],[RFC]],'Alta Proveedor'!D:D,'Alta Proveedor'!E:E)),"")</f>
        <v/>
      </c>
      <c r="F2991" s="832"/>
      <c r="G2991" s="187"/>
      <c r="H2991" s="1"/>
      <c r="I2991" s="169">
        <f>Imput[[#This Row],[Cantidad]]*Imput[[#This Row],[Precio Unitario]]</f>
        <v>0</v>
      </c>
      <c r="J2991" s="11">
        <f>((Imput[[#This Row],[Sub total]])*(0.16))</f>
        <v>0</v>
      </c>
      <c r="K2991" s="11">
        <v>0</v>
      </c>
      <c r="L2991" s="169">
        <f>Imput[[#This Row],[Sub total]]+Imput[[#This Row],[IVA]]-Imput[[#This Row],[Retención / IEPS / Descuento]]</f>
        <v>0</v>
      </c>
      <c r="M2991" s="844">
        <v>0</v>
      </c>
      <c r="N2991" s="189"/>
      <c r="O2991" s="1"/>
      <c r="P2991" s="189"/>
      <c r="Q2991" s="190"/>
      <c r="R2991" s="188"/>
      <c r="S2991" s="193"/>
      <c r="T2991" s="192"/>
      <c r="U2991" s="829"/>
      <c r="V2991" s="10"/>
      <c r="W2991" s="10"/>
      <c r="X2991" s="10"/>
      <c r="Y2991" s="10"/>
      <c r="Z2991" s="10"/>
      <c r="AA2991" s="11"/>
      <c r="AB2991" s="11"/>
    </row>
    <row r="2992" spans="2:28" x14ac:dyDescent="0.3">
      <c r="B2992" s="10"/>
      <c r="C2992" s="315"/>
      <c r="D2992" s="868"/>
      <c r="E2992" s="837" t="str">
        <f>IFERROR(IF(_xlfn.XLOOKUP(Imput[[#This Row],[RFC]],'Alta Proveedor'!D:D,'Alta Proveedor'!E:E)=0,"",_xlfn.XLOOKUP(Imput[[#This Row],[RFC]],'Alta Proveedor'!D:D,'Alta Proveedor'!E:E)),"")</f>
        <v/>
      </c>
      <c r="F2992" s="832"/>
      <c r="G2992" s="187"/>
      <c r="H2992" s="1"/>
      <c r="I2992" s="169">
        <f>Imput[[#This Row],[Cantidad]]*Imput[[#This Row],[Precio Unitario]]</f>
        <v>0</v>
      </c>
      <c r="J2992" s="11">
        <f>((Imput[[#This Row],[Sub total]])*(0.16))</f>
        <v>0</v>
      </c>
      <c r="K2992" s="11">
        <v>0</v>
      </c>
      <c r="L2992" s="169">
        <f>Imput[[#This Row],[Sub total]]+Imput[[#This Row],[IVA]]-Imput[[#This Row],[Retención / IEPS / Descuento]]</f>
        <v>0</v>
      </c>
      <c r="M2992" s="844">
        <v>0</v>
      </c>
      <c r="N2992" s="189"/>
      <c r="O2992" s="1"/>
      <c r="P2992" s="189"/>
      <c r="Q2992" s="190"/>
      <c r="R2992" s="188"/>
      <c r="S2992" s="193"/>
      <c r="T2992" s="192"/>
      <c r="U2992" s="829"/>
      <c r="V2992" s="10"/>
      <c r="W2992" s="10"/>
      <c r="X2992" s="10"/>
      <c r="Y2992" s="10"/>
      <c r="Z2992" s="10"/>
      <c r="AA2992" s="11"/>
      <c r="AB2992" s="11"/>
    </row>
    <row r="2993" spans="2:28" x14ac:dyDescent="0.3">
      <c r="B2993" s="10"/>
      <c r="C2993" s="315"/>
      <c r="D2993" s="868"/>
      <c r="E2993" s="837" t="str">
        <f>IFERROR(IF(_xlfn.XLOOKUP(Imput[[#This Row],[RFC]],'Alta Proveedor'!D:D,'Alta Proveedor'!E:E)=0,"",_xlfn.XLOOKUP(Imput[[#This Row],[RFC]],'Alta Proveedor'!D:D,'Alta Proveedor'!E:E)),"")</f>
        <v/>
      </c>
      <c r="F2993" s="832"/>
      <c r="G2993" s="187"/>
      <c r="H2993" s="1"/>
      <c r="I2993" s="169">
        <f>Imput[[#This Row],[Cantidad]]*Imput[[#This Row],[Precio Unitario]]</f>
        <v>0</v>
      </c>
      <c r="J2993" s="11">
        <f>((Imput[[#This Row],[Sub total]])*(0.16))</f>
        <v>0</v>
      </c>
      <c r="K2993" s="11">
        <v>0</v>
      </c>
      <c r="L2993" s="169">
        <f>Imput[[#This Row],[Sub total]]+Imput[[#This Row],[IVA]]-Imput[[#This Row],[Retención / IEPS / Descuento]]</f>
        <v>0</v>
      </c>
      <c r="M2993" s="844">
        <v>0</v>
      </c>
      <c r="N2993" s="189"/>
      <c r="O2993" s="1"/>
      <c r="P2993" s="189"/>
      <c r="Q2993" s="190"/>
      <c r="R2993" s="188"/>
      <c r="S2993" s="193"/>
      <c r="T2993" s="192"/>
      <c r="U2993" s="829"/>
      <c r="V2993" s="10"/>
      <c r="W2993" s="10"/>
      <c r="X2993" s="10"/>
      <c r="Y2993" s="10"/>
      <c r="Z2993" s="10"/>
      <c r="AA2993" s="11"/>
      <c r="AB2993" s="11"/>
    </row>
    <row r="2994" spans="2:28" x14ac:dyDescent="0.3">
      <c r="B2994" s="10"/>
      <c r="C2994" s="315"/>
      <c r="D2994" s="868"/>
      <c r="E2994" s="837" t="str">
        <f>IFERROR(IF(_xlfn.XLOOKUP(Imput[[#This Row],[RFC]],'Alta Proveedor'!D:D,'Alta Proveedor'!E:E)=0,"",_xlfn.XLOOKUP(Imput[[#This Row],[RFC]],'Alta Proveedor'!D:D,'Alta Proveedor'!E:E)),"")</f>
        <v/>
      </c>
      <c r="F2994" s="832"/>
      <c r="G2994" s="187"/>
      <c r="H2994" s="1"/>
      <c r="I2994" s="169">
        <f>Imput[[#This Row],[Cantidad]]*Imput[[#This Row],[Precio Unitario]]</f>
        <v>0</v>
      </c>
      <c r="J2994" s="11">
        <f>((Imput[[#This Row],[Sub total]])*(0.16))</f>
        <v>0</v>
      </c>
      <c r="K2994" s="11">
        <v>0</v>
      </c>
      <c r="L2994" s="169">
        <f>Imput[[#This Row],[Sub total]]+Imput[[#This Row],[IVA]]-Imput[[#This Row],[Retención / IEPS / Descuento]]</f>
        <v>0</v>
      </c>
      <c r="M2994" s="844">
        <v>0</v>
      </c>
      <c r="N2994" s="189"/>
      <c r="O2994" s="1"/>
      <c r="P2994" s="189"/>
      <c r="Q2994" s="190"/>
      <c r="R2994" s="188"/>
      <c r="S2994" s="193"/>
      <c r="T2994" s="192"/>
      <c r="U2994" s="829"/>
      <c r="V2994" s="10"/>
      <c r="W2994" s="10"/>
      <c r="X2994" s="10"/>
      <c r="Y2994" s="10"/>
      <c r="Z2994" s="10"/>
      <c r="AA2994" s="11"/>
      <c r="AB2994" s="11"/>
    </row>
    <row r="2995" spans="2:28" x14ac:dyDescent="0.3">
      <c r="B2995" s="10"/>
      <c r="C2995" s="315"/>
      <c r="D2995" s="868"/>
      <c r="E2995" s="837" t="str">
        <f>IFERROR(IF(_xlfn.XLOOKUP(Imput[[#This Row],[RFC]],'Alta Proveedor'!D:D,'Alta Proveedor'!E:E)=0,"",_xlfn.XLOOKUP(Imput[[#This Row],[RFC]],'Alta Proveedor'!D:D,'Alta Proveedor'!E:E)),"")</f>
        <v/>
      </c>
      <c r="F2995" s="832"/>
      <c r="G2995" s="187"/>
      <c r="H2995" s="1"/>
      <c r="I2995" s="169">
        <f>Imput[[#This Row],[Cantidad]]*Imput[[#This Row],[Precio Unitario]]</f>
        <v>0</v>
      </c>
      <c r="J2995" s="11">
        <f>((Imput[[#This Row],[Sub total]])*(0.16))</f>
        <v>0</v>
      </c>
      <c r="K2995" s="11">
        <v>0</v>
      </c>
      <c r="L2995" s="169">
        <f>Imput[[#This Row],[Sub total]]+Imput[[#This Row],[IVA]]-Imput[[#This Row],[Retención / IEPS / Descuento]]</f>
        <v>0</v>
      </c>
      <c r="M2995" s="844">
        <v>0</v>
      </c>
      <c r="N2995" s="189"/>
      <c r="O2995" s="1"/>
      <c r="P2995" s="189"/>
      <c r="Q2995" s="190"/>
      <c r="R2995" s="188"/>
      <c r="S2995" s="193"/>
      <c r="T2995" s="192"/>
      <c r="U2995" s="829"/>
      <c r="V2995" s="10"/>
      <c r="W2995" s="10"/>
      <c r="X2995" s="10"/>
      <c r="Y2995" s="10"/>
      <c r="Z2995" s="10"/>
      <c r="AA2995" s="11"/>
      <c r="AB2995" s="11"/>
    </row>
    <row r="2996" spans="2:28" x14ac:dyDescent="0.3">
      <c r="B2996" s="10"/>
      <c r="C2996" s="315"/>
      <c r="D2996" s="868"/>
      <c r="E2996" s="837" t="str">
        <f>IFERROR(IF(_xlfn.XLOOKUP(Imput[[#This Row],[RFC]],'Alta Proveedor'!D:D,'Alta Proveedor'!E:E)=0,"",_xlfn.XLOOKUP(Imput[[#This Row],[RFC]],'Alta Proveedor'!D:D,'Alta Proveedor'!E:E)),"")</f>
        <v/>
      </c>
      <c r="F2996" s="832"/>
      <c r="G2996" s="187"/>
      <c r="H2996" s="1"/>
      <c r="I2996" s="169">
        <f>Imput[[#This Row],[Cantidad]]*Imput[[#This Row],[Precio Unitario]]</f>
        <v>0</v>
      </c>
      <c r="J2996" s="11">
        <f>((Imput[[#This Row],[Sub total]])*(0.16))</f>
        <v>0</v>
      </c>
      <c r="K2996" s="11">
        <v>0</v>
      </c>
      <c r="L2996" s="169">
        <f>Imput[[#This Row],[Sub total]]+Imput[[#This Row],[IVA]]-Imput[[#This Row],[Retención / IEPS / Descuento]]</f>
        <v>0</v>
      </c>
      <c r="M2996" s="844">
        <v>0</v>
      </c>
      <c r="N2996" s="189"/>
      <c r="O2996" s="1"/>
      <c r="P2996" s="189"/>
      <c r="Q2996" s="190"/>
      <c r="R2996" s="188"/>
      <c r="S2996" s="193"/>
      <c r="T2996" s="192"/>
      <c r="U2996" s="829"/>
      <c r="V2996" s="10"/>
      <c r="W2996" s="10"/>
      <c r="X2996" s="10"/>
      <c r="Y2996" s="10"/>
      <c r="Z2996" s="10"/>
      <c r="AA2996" s="11"/>
      <c r="AB2996" s="11"/>
    </row>
    <row r="2997" spans="2:28" x14ac:dyDescent="0.3">
      <c r="B2997" s="10"/>
      <c r="C2997" s="315"/>
      <c r="D2997" s="868"/>
      <c r="E2997" s="837" t="str">
        <f>IFERROR(IF(_xlfn.XLOOKUP(Imput[[#This Row],[RFC]],'Alta Proveedor'!D:D,'Alta Proveedor'!E:E)=0,"",_xlfn.XLOOKUP(Imput[[#This Row],[RFC]],'Alta Proveedor'!D:D,'Alta Proveedor'!E:E)),"")</f>
        <v/>
      </c>
      <c r="F2997" s="832"/>
      <c r="G2997" s="187"/>
      <c r="H2997" s="1"/>
      <c r="I2997" s="169">
        <f>Imput[[#This Row],[Cantidad]]*Imput[[#This Row],[Precio Unitario]]</f>
        <v>0</v>
      </c>
      <c r="J2997" s="11">
        <f>((Imput[[#This Row],[Sub total]])*(0.16))</f>
        <v>0</v>
      </c>
      <c r="K2997" s="11">
        <v>0</v>
      </c>
      <c r="L2997" s="169">
        <f>Imput[[#This Row],[Sub total]]+Imput[[#This Row],[IVA]]-Imput[[#This Row],[Retención / IEPS / Descuento]]</f>
        <v>0</v>
      </c>
      <c r="M2997" s="844">
        <v>0</v>
      </c>
      <c r="N2997" s="189"/>
      <c r="O2997" s="1"/>
      <c r="P2997" s="189"/>
      <c r="Q2997" s="190"/>
      <c r="R2997" s="188"/>
      <c r="S2997" s="193"/>
      <c r="T2997" s="192"/>
      <c r="U2997" s="829"/>
      <c r="V2997" s="10"/>
      <c r="W2997" s="10"/>
      <c r="X2997" s="10"/>
      <c r="Y2997" s="10"/>
      <c r="Z2997" s="10"/>
      <c r="AA2997" s="11"/>
      <c r="AB2997" s="11"/>
    </row>
    <row r="2998" spans="2:28" x14ac:dyDescent="0.3">
      <c r="B2998" s="10"/>
      <c r="C2998" s="315"/>
      <c r="D2998" s="868"/>
      <c r="E2998" s="837" t="str">
        <f>IFERROR(IF(_xlfn.XLOOKUP(Imput[[#This Row],[RFC]],'Alta Proveedor'!D:D,'Alta Proveedor'!E:E)=0,"",_xlfn.XLOOKUP(Imput[[#This Row],[RFC]],'Alta Proveedor'!D:D,'Alta Proveedor'!E:E)),"")</f>
        <v/>
      </c>
      <c r="F2998" s="832"/>
      <c r="G2998" s="187"/>
      <c r="H2998" s="1"/>
      <c r="I2998" s="169">
        <f>Imput[[#This Row],[Cantidad]]*Imput[[#This Row],[Precio Unitario]]</f>
        <v>0</v>
      </c>
      <c r="J2998" s="11">
        <f>((Imput[[#This Row],[Sub total]])*(0.16))</f>
        <v>0</v>
      </c>
      <c r="K2998" s="11">
        <v>0</v>
      </c>
      <c r="L2998" s="169">
        <f>Imput[[#This Row],[Sub total]]+Imput[[#This Row],[IVA]]-Imput[[#This Row],[Retención / IEPS / Descuento]]</f>
        <v>0</v>
      </c>
      <c r="M2998" s="844">
        <v>0</v>
      </c>
      <c r="N2998" s="189"/>
      <c r="O2998" s="1"/>
      <c r="P2998" s="189"/>
      <c r="Q2998" s="190"/>
      <c r="R2998" s="188"/>
      <c r="S2998" s="193"/>
      <c r="T2998" s="192"/>
      <c r="U2998" s="829"/>
      <c r="V2998" s="10"/>
      <c r="W2998" s="10"/>
      <c r="X2998" s="10"/>
      <c r="Y2998" s="10"/>
      <c r="Z2998" s="10"/>
      <c r="AA2998" s="11"/>
      <c r="AB2998" s="11"/>
    </row>
    <row r="2999" spans="2:28" x14ac:dyDescent="0.3">
      <c r="B2999" s="10"/>
      <c r="C2999" s="315"/>
      <c r="D2999" s="868"/>
      <c r="E2999" s="837" t="str">
        <f>IFERROR(IF(_xlfn.XLOOKUP(Imput[[#This Row],[RFC]],'Alta Proveedor'!D:D,'Alta Proveedor'!E:E)=0,"",_xlfn.XLOOKUP(Imput[[#This Row],[RFC]],'Alta Proveedor'!D:D,'Alta Proveedor'!E:E)),"")</f>
        <v/>
      </c>
      <c r="F2999" s="832"/>
      <c r="G2999" s="187"/>
      <c r="H2999" s="1"/>
      <c r="I2999" s="169">
        <f>Imput[[#This Row],[Cantidad]]*Imput[[#This Row],[Precio Unitario]]</f>
        <v>0</v>
      </c>
      <c r="J2999" s="11">
        <f>((Imput[[#This Row],[Sub total]])*(0.16))</f>
        <v>0</v>
      </c>
      <c r="K2999" s="11">
        <v>0</v>
      </c>
      <c r="L2999" s="169">
        <f>Imput[[#This Row],[Sub total]]+Imput[[#This Row],[IVA]]-Imput[[#This Row],[Retención / IEPS / Descuento]]</f>
        <v>0</v>
      </c>
      <c r="M2999" s="844">
        <v>0</v>
      </c>
      <c r="N2999" s="189"/>
      <c r="O2999" s="1"/>
      <c r="P2999" s="189"/>
      <c r="Q2999" s="190"/>
      <c r="R2999" s="188"/>
      <c r="S2999" s="193"/>
      <c r="T2999" s="192"/>
      <c r="U2999" s="829"/>
      <c r="V2999" s="10"/>
      <c r="W2999" s="10"/>
      <c r="X2999" s="10"/>
      <c r="Y2999" s="10"/>
      <c r="Z2999" s="10"/>
      <c r="AA2999" s="11"/>
      <c r="AB2999" s="11"/>
    </row>
    <row r="3000" spans="2:28" x14ac:dyDescent="0.3">
      <c r="B3000" s="10"/>
      <c r="C3000" s="315"/>
      <c r="D3000" s="868"/>
      <c r="E3000" s="837" t="str">
        <f>IFERROR(IF(_xlfn.XLOOKUP(Imput[[#This Row],[RFC]],'Alta Proveedor'!D:D,'Alta Proveedor'!E:E)=0,"",_xlfn.XLOOKUP(Imput[[#This Row],[RFC]],'Alta Proveedor'!D:D,'Alta Proveedor'!E:E)),"")</f>
        <v/>
      </c>
      <c r="F3000" s="832"/>
      <c r="G3000" s="187"/>
      <c r="H3000" s="1"/>
      <c r="I3000" s="169">
        <f>Imput[[#This Row],[Cantidad]]*Imput[[#This Row],[Precio Unitario]]</f>
        <v>0</v>
      </c>
      <c r="J3000" s="11">
        <f>((Imput[[#This Row],[Sub total]])*(0.16))</f>
        <v>0</v>
      </c>
      <c r="K3000" s="11">
        <v>0</v>
      </c>
      <c r="L3000" s="169">
        <f>Imput[[#This Row],[Sub total]]+Imput[[#This Row],[IVA]]-Imput[[#This Row],[Retención / IEPS / Descuento]]</f>
        <v>0</v>
      </c>
      <c r="M3000" s="844">
        <v>0</v>
      </c>
      <c r="N3000" s="189"/>
      <c r="O3000" s="1"/>
      <c r="P3000" s="189"/>
      <c r="Q3000" s="190"/>
      <c r="R3000" s="188"/>
      <c r="S3000" s="193"/>
      <c r="T3000" s="192"/>
      <c r="U3000" s="829"/>
      <c r="V3000" s="10"/>
      <c r="W3000" s="10"/>
      <c r="X3000" s="10"/>
      <c r="Y3000" s="10"/>
      <c r="Z3000" s="10"/>
      <c r="AA3000" s="11"/>
      <c r="AB3000" s="11"/>
    </row>
    <row r="3001" spans="2:28" x14ac:dyDescent="0.3">
      <c r="B3001" s="10"/>
      <c r="C3001" s="315"/>
      <c r="D3001" s="868"/>
      <c r="E3001" s="837" t="str">
        <f>IFERROR(IF(_xlfn.XLOOKUP(Imput[[#This Row],[RFC]],'Alta Proveedor'!D:D,'Alta Proveedor'!E:E)=0,"",_xlfn.XLOOKUP(Imput[[#This Row],[RFC]],'Alta Proveedor'!D:D,'Alta Proveedor'!E:E)),"")</f>
        <v/>
      </c>
      <c r="F3001" s="832"/>
      <c r="G3001" s="187"/>
      <c r="H3001" s="1"/>
      <c r="I3001" s="169">
        <f>Imput[[#This Row],[Cantidad]]*Imput[[#This Row],[Precio Unitario]]</f>
        <v>0</v>
      </c>
      <c r="J3001" s="11">
        <f>((Imput[[#This Row],[Sub total]])*(0.16))</f>
        <v>0</v>
      </c>
      <c r="K3001" s="11">
        <v>0</v>
      </c>
      <c r="L3001" s="169">
        <f>Imput[[#This Row],[Sub total]]+Imput[[#This Row],[IVA]]-Imput[[#This Row],[Retención / IEPS / Descuento]]</f>
        <v>0</v>
      </c>
      <c r="M3001" s="844">
        <v>0</v>
      </c>
      <c r="N3001" s="189"/>
      <c r="O3001" s="1"/>
      <c r="P3001" s="189"/>
      <c r="Q3001" s="190"/>
      <c r="R3001" s="188"/>
      <c r="S3001" s="193"/>
      <c r="T3001" s="192"/>
      <c r="U3001" s="829"/>
      <c r="V3001" s="10"/>
      <c r="W3001" s="10"/>
      <c r="X3001" s="10"/>
      <c r="Y3001" s="10"/>
      <c r="Z3001" s="10"/>
      <c r="AA3001" s="11"/>
      <c r="AB3001" s="11"/>
    </row>
    <row r="3002" spans="2:28" x14ac:dyDescent="0.3">
      <c r="B3002" s="10"/>
      <c r="C3002" s="315"/>
      <c r="D3002" s="868"/>
      <c r="E3002" s="837" t="str">
        <f>IFERROR(IF(_xlfn.XLOOKUP(Imput[[#This Row],[RFC]],'Alta Proveedor'!D:D,'Alta Proveedor'!E:E)=0,"",_xlfn.XLOOKUP(Imput[[#This Row],[RFC]],'Alta Proveedor'!D:D,'Alta Proveedor'!E:E)),"")</f>
        <v/>
      </c>
      <c r="F3002" s="832"/>
      <c r="G3002" s="187"/>
      <c r="H3002" s="1"/>
      <c r="I3002" s="169">
        <f>Imput[[#This Row],[Cantidad]]*Imput[[#This Row],[Precio Unitario]]</f>
        <v>0</v>
      </c>
      <c r="J3002" s="11">
        <f>((Imput[[#This Row],[Sub total]])*(0.16))</f>
        <v>0</v>
      </c>
      <c r="K3002" s="11">
        <v>0</v>
      </c>
      <c r="L3002" s="169">
        <f>Imput[[#This Row],[Sub total]]+Imput[[#This Row],[IVA]]-Imput[[#This Row],[Retención / IEPS / Descuento]]</f>
        <v>0</v>
      </c>
      <c r="M3002" s="844">
        <v>0</v>
      </c>
      <c r="N3002" s="189"/>
      <c r="O3002" s="1"/>
      <c r="P3002" s="189"/>
      <c r="Q3002" s="190"/>
      <c r="R3002" s="188"/>
      <c r="S3002" s="193"/>
      <c r="T3002" s="192"/>
      <c r="U3002" s="829"/>
      <c r="V3002" s="10"/>
      <c r="W3002" s="10"/>
      <c r="X3002" s="10"/>
      <c r="Y3002" s="10"/>
      <c r="Z3002" s="10"/>
      <c r="AA3002" s="11"/>
      <c r="AB3002" s="11"/>
    </row>
    <row r="3003" spans="2:28" x14ac:dyDescent="0.3">
      <c r="B3003" s="10"/>
      <c r="C3003" s="315"/>
      <c r="D3003" s="868"/>
      <c r="E3003" s="837" t="str">
        <f>IFERROR(IF(_xlfn.XLOOKUP(Imput[[#This Row],[RFC]],'Alta Proveedor'!D:D,'Alta Proveedor'!E:E)=0,"",_xlfn.XLOOKUP(Imput[[#This Row],[RFC]],'Alta Proveedor'!D:D,'Alta Proveedor'!E:E)),"")</f>
        <v/>
      </c>
      <c r="F3003" s="832"/>
      <c r="G3003" s="187"/>
      <c r="H3003" s="1"/>
      <c r="I3003" s="169">
        <f>Imput[[#This Row],[Cantidad]]*Imput[[#This Row],[Precio Unitario]]</f>
        <v>0</v>
      </c>
      <c r="J3003" s="11">
        <f>((Imput[[#This Row],[Sub total]])*(0.16))</f>
        <v>0</v>
      </c>
      <c r="K3003" s="11">
        <v>0</v>
      </c>
      <c r="L3003" s="169">
        <f>Imput[[#This Row],[Sub total]]+Imput[[#This Row],[IVA]]-Imput[[#This Row],[Retención / IEPS / Descuento]]</f>
        <v>0</v>
      </c>
      <c r="M3003" s="844">
        <v>0</v>
      </c>
      <c r="N3003" s="189"/>
      <c r="O3003" s="1"/>
      <c r="P3003" s="189"/>
      <c r="Q3003" s="190"/>
      <c r="R3003" s="188"/>
      <c r="S3003" s="193"/>
      <c r="T3003" s="192"/>
      <c r="U3003" s="829"/>
      <c r="V3003" s="10"/>
      <c r="W3003" s="10"/>
      <c r="X3003" s="10"/>
      <c r="Y3003" s="10"/>
      <c r="Z3003" s="10"/>
      <c r="AA3003" s="11"/>
      <c r="AB3003" s="11"/>
    </row>
    <row r="3004" spans="2:28" x14ac:dyDescent="0.3">
      <c r="B3004" s="10"/>
      <c r="C3004" s="315"/>
      <c r="D3004" s="868"/>
      <c r="E3004" s="837" t="str">
        <f>IFERROR(IF(_xlfn.XLOOKUP(Imput[[#This Row],[RFC]],'Alta Proveedor'!D:D,'Alta Proveedor'!E:E)=0,"",_xlfn.XLOOKUP(Imput[[#This Row],[RFC]],'Alta Proveedor'!D:D,'Alta Proveedor'!E:E)),"")</f>
        <v/>
      </c>
      <c r="F3004" s="832"/>
      <c r="G3004" s="187"/>
      <c r="H3004" s="1"/>
      <c r="I3004" s="169">
        <f>Imput[[#This Row],[Cantidad]]*Imput[[#This Row],[Precio Unitario]]</f>
        <v>0</v>
      </c>
      <c r="J3004" s="11">
        <f>((Imput[[#This Row],[Sub total]])*(0.16))</f>
        <v>0</v>
      </c>
      <c r="K3004" s="11">
        <v>0</v>
      </c>
      <c r="L3004" s="169">
        <f>Imput[[#This Row],[Sub total]]+Imput[[#This Row],[IVA]]-Imput[[#This Row],[Retención / IEPS / Descuento]]</f>
        <v>0</v>
      </c>
      <c r="M3004" s="844">
        <v>0</v>
      </c>
      <c r="N3004" s="189"/>
      <c r="O3004" s="1"/>
      <c r="P3004" s="189"/>
      <c r="Q3004" s="190"/>
      <c r="R3004" s="188"/>
      <c r="S3004" s="193"/>
      <c r="T3004" s="192"/>
      <c r="U3004" s="829"/>
      <c r="V3004" s="10"/>
      <c r="W3004" s="10"/>
      <c r="X3004" s="10"/>
      <c r="Y3004" s="10"/>
      <c r="Z3004" s="10"/>
      <c r="AA3004" s="11"/>
      <c r="AB3004" s="11"/>
    </row>
    <row r="3005" spans="2:28" x14ac:dyDescent="0.3">
      <c r="B3005" s="10"/>
      <c r="C3005" s="315"/>
      <c r="D3005" s="868"/>
      <c r="E3005" s="837" t="str">
        <f>IFERROR(IF(_xlfn.XLOOKUP(Imput[[#This Row],[RFC]],'Alta Proveedor'!D:D,'Alta Proveedor'!E:E)=0,"",_xlfn.XLOOKUP(Imput[[#This Row],[RFC]],'Alta Proveedor'!D:D,'Alta Proveedor'!E:E)),"")</f>
        <v/>
      </c>
      <c r="F3005" s="832"/>
      <c r="G3005" s="187"/>
      <c r="H3005" s="1"/>
      <c r="I3005" s="169">
        <f>Imput[[#This Row],[Cantidad]]*Imput[[#This Row],[Precio Unitario]]</f>
        <v>0</v>
      </c>
      <c r="J3005" s="11">
        <f>((Imput[[#This Row],[Sub total]])*(0.16))</f>
        <v>0</v>
      </c>
      <c r="K3005" s="11">
        <v>0</v>
      </c>
      <c r="L3005" s="169">
        <f>Imput[[#This Row],[Sub total]]+Imput[[#This Row],[IVA]]-Imput[[#This Row],[Retención / IEPS / Descuento]]</f>
        <v>0</v>
      </c>
      <c r="M3005" s="844">
        <v>0</v>
      </c>
      <c r="N3005" s="189"/>
      <c r="O3005" s="1"/>
      <c r="P3005" s="189"/>
      <c r="Q3005" s="190"/>
      <c r="R3005" s="188"/>
      <c r="S3005" s="193"/>
      <c r="T3005" s="192"/>
      <c r="U3005" s="829"/>
      <c r="V3005" s="10"/>
      <c r="W3005" s="10"/>
      <c r="X3005" s="10"/>
      <c r="Y3005" s="10"/>
      <c r="Z3005" s="10"/>
      <c r="AA3005" s="11"/>
      <c r="AB3005" s="11"/>
    </row>
    <row r="3006" spans="2:28" x14ac:dyDescent="0.3">
      <c r="B3006" s="10"/>
      <c r="C3006" s="315"/>
      <c r="D3006" s="868"/>
      <c r="E3006" s="837" t="str">
        <f>IFERROR(IF(_xlfn.XLOOKUP(Imput[[#This Row],[RFC]],'Alta Proveedor'!D:D,'Alta Proveedor'!E:E)=0,"",_xlfn.XLOOKUP(Imput[[#This Row],[RFC]],'Alta Proveedor'!D:D,'Alta Proveedor'!E:E)),"")</f>
        <v/>
      </c>
      <c r="F3006" s="832"/>
      <c r="G3006" s="187"/>
      <c r="H3006" s="1"/>
      <c r="I3006" s="169">
        <f>Imput[[#This Row],[Cantidad]]*Imput[[#This Row],[Precio Unitario]]</f>
        <v>0</v>
      </c>
      <c r="J3006" s="11">
        <f>((Imput[[#This Row],[Sub total]])*(0.16))</f>
        <v>0</v>
      </c>
      <c r="K3006" s="11">
        <v>0</v>
      </c>
      <c r="L3006" s="169">
        <f>Imput[[#This Row],[Sub total]]+Imput[[#This Row],[IVA]]-Imput[[#This Row],[Retención / IEPS / Descuento]]</f>
        <v>0</v>
      </c>
      <c r="M3006" s="844">
        <v>0</v>
      </c>
      <c r="N3006" s="189"/>
      <c r="O3006" s="1"/>
      <c r="P3006" s="189"/>
      <c r="Q3006" s="190"/>
      <c r="R3006" s="188"/>
      <c r="S3006" s="193"/>
      <c r="T3006" s="192"/>
      <c r="U3006" s="829"/>
      <c r="V3006" s="10"/>
      <c r="W3006" s="10"/>
      <c r="X3006" s="10"/>
      <c r="Y3006" s="10"/>
      <c r="Z3006" s="10"/>
      <c r="AA3006" s="11"/>
      <c r="AB3006" s="11"/>
    </row>
    <row r="3007" spans="2:28" x14ac:dyDescent="0.3">
      <c r="B3007" s="10"/>
      <c r="C3007" s="315"/>
      <c r="D3007" s="868"/>
      <c r="E3007" s="837" t="str">
        <f>IFERROR(IF(_xlfn.XLOOKUP(Imput[[#This Row],[RFC]],'Alta Proveedor'!D:D,'Alta Proveedor'!E:E)=0,"",_xlfn.XLOOKUP(Imput[[#This Row],[RFC]],'Alta Proveedor'!D:D,'Alta Proveedor'!E:E)),"")</f>
        <v/>
      </c>
      <c r="F3007" s="832"/>
      <c r="G3007" s="187"/>
      <c r="H3007" s="1"/>
      <c r="I3007" s="169">
        <f>Imput[[#This Row],[Cantidad]]*Imput[[#This Row],[Precio Unitario]]</f>
        <v>0</v>
      </c>
      <c r="J3007" s="11">
        <f>((Imput[[#This Row],[Sub total]])*(0.16))</f>
        <v>0</v>
      </c>
      <c r="K3007" s="11">
        <v>0</v>
      </c>
      <c r="L3007" s="169">
        <f>Imput[[#This Row],[Sub total]]+Imput[[#This Row],[IVA]]-Imput[[#This Row],[Retención / IEPS / Descuento]]</f>
        <v>0</v>
      </c>
      <c r="M3007" s="844">
        <v>0</v>
      </c>
      <c r="N3007" s="189"/>
      <c r="O3007" s="1"/>
      <c r="P3007" s="189"/>
      <c r="Q3007" s="190"/>
      <c r="R3007" s="188"/>
      <c r="S3007" s="193"/>
      <c r="T3007" s="192"/>
      <c r="U3007" s="829"/>
      <c r="V3007" s="10"/>
      <c r="W3007" s="10"/>
      <c r="X3007" s="10"/>
      <c r="Y3007" s="10"/>
      <c r="Z3007" s="10"/>
      <c r="AA3007" s="11"/>
      <c r="AB3007" s="11"/>
    </row>
    <row r="3008" spans="2:28" x14ac:dyDescent="0.3">
      <c r="B3008" s="10"/>
      <c r="C3008" s="315"/>
      <c r="D3008" s="868"/>
      <c r="E3008" s="837" t="str">
        <f>IFERROR(IF(_xlfn.XLOOKUP(Imput[[#This Row],[RFC]],'Alta Proveedor'!D:D,'Alta Proveedor'!E:E)=0,"",_xlfn.XLOOKUP(Imput[[#This Row],[RFC]],'Alta Proveedor'!D:D,'Alta Proveedor'!E:E)),"")</f>
        <v/>
      </c>
      <c r="F3008" s="832"/>
      <c r="G3008" s="187"/>
      <c r="H3008" s="1"/>
      <c r="I3008" s="169">
        <f>Imput[[#This Row],[Cantidad]]*Imput[[#This Row],[Precio Unitario]]</f>
        <v>0</v>
      </c>
      <c r="J3008" s="11">
        <f>((Imput[[#This Row],[Sub total]])*(0.16))</f>
        <v>0</v>
      </c>
      <c r="K3008" s="11">
        <v>0</v>
      </c>
      <c r="L3008" s="169">
        <f>Imput[[#This Row],[Sub total]]+Imput[[#This Row],[IVA]]-Imput[[#This Row],[Retención / IEPS / Descuento]]</f>
        <v>0</v>
      </c>
      <c r="M3008" s="844">
        <v>0</v>
      </c>
      <c r="N3008" s="189"/>
      <c r="O3008" s="1"/>
      <c r="P3008" s="189"/>
      <c r="Q3008" s="190"/>
      <c r="R3008" s="188"/>
      <c r="S3008" s="193"/>
      <c r="T3008" s="192"/>
      <c r="U3008" s="829"/>
      <c r="V3008" s="10"/>
      <c r="W3008" s="10"/>
      <c r="X3008" s="10"/>
      <c r="Y3008" s="10"/>
      <c r="Z3008" s="10"/>
      <c r="AA3008" s="11"/>
      <c r="AB3008" s="11"/>
    </row>
    <row r="3009" spans="2:28" x14ac:dyDescent="0.3">
      <c r="B3009" s="10"/>
      <c r="C3009" s="315"/>
      <c r="D3009" s="868"/>
      <c r="E3009" s="837" t="str">
        <f>IFERROR(IF(_xlfn.XLOOKUP(Imput[[#This Row],[RFC]],'Alta Proveedor'!D:D,'Alta Proveedor'!E:E)=0,"",_xlfn.XLOOKUP(Imput[[#This Row],[RFC]],'Alta Proveedor'!D:D,'Alta Proveedor'!E:E)),"")</f>
        <v/>
      </c>
      <c r="F3009" s="832"/>
      <c r="G3009" s="187"/>
      <c r="H3009" s="1"/>
      <c r="I3009" s="169">
        <f>Imput[[#This Row],[Cantidad]]*Imput[[#This Row],[Precio Unitario]]</f>
        <v>0</v>
      </c>
      <c r="J3009" s="11">
        <f>((Imput[[#This Row],[Sub total]])*(0.16))</f>
        <v>0</v>
      </c>
      <c r="K3009" s="11">
        <v>0</v>
      </c>
      <c r="L3009" s="169">
        <f>Imput[[#This Row],[Sub total]]+Imput[[#This Row],[IVA]]-Imput[[#This Row],[Retención / IEPS / Descuento]]</f>
        <v>0</v>
      </c>
      <c r="M3009" s="844">
        <v>0</v>
      </c>
      <c r="N3009" s="189"/>
      <c r="O3009" s="1"/>
      <c r="P3009" s="189"/>
      <c r="Q3009" s="190"/>
      <c r="R3009" s="188"/>
      <c r="S3009" s="193"/>
      <c r="T3009" s="192"/>
      <c r="U3009" s="829"/>
      <c r="V3009" s="10"/>
      <c r="W3009" s="10"/>
      <c r="X3009" s="10"/>
      <c r="Y3009" s="10"/>
      <c r="Z3009" s="10"/>
      <c r="AA3009" s="11"/>
      <c r="AB3009" s="11"/>
    </row>
    <row r="3010" spans="2:28" x14ac:dyDescent="0.3">
      <c r="B3010" s="10"/>
      <c r="C3010" s="315"/>
      <c r="D3010" s="868"/>
      <c r="E3010" s="837" t="str">
        <f>IFERROR(IF(_xlfn.XLOOKUP(Imput[[#This Row],[RFC]],'Alta Proveedor'!D:D,'Alta Proveedor'!E:E)=0,"",_xlfn.XLOOKUP(Imput[[#This Row],[RFC]],'Alta Proveedor'!D:D,'Alta Proveedor'!E:E)),"")</f>
        <v/>
      </c>
      <c r="F3010" s="832"/>
      <c r="G3010" s="187"/>
      <c r="H3010" s="1"/>
      <c r="I3010" s="169">
        <f>Imput[[#This Row],[Cantidad]]*Imput[[#This Row],[Precio Unitario]]</f>
        <v>0</v>
      </c>
      <c r="J3010" s="11">
        <f>((Imput[[#This Row],[Sub total]])*(0.16))</f>
        <v>0</v>
      </c>
      <c r="K3010" s="11">
        <v>0</v>
      </c>
      <c r="L3010" s="169">
        <f>Imput[[#This Row],[Sub total]]+Imput[[#This Row],[IVA]]-Imput[[#This Row],[Retención / IEPS / Descuento]]</f>
        <v>0</v>
      </c>
      <c r="M3010" s="844">
        <v>0</v>
      </c>
      <c r="N3010" s="189"/>
      <c r="O3010" s="1"/>
      <c r="P3010" s="189"/>
      <c r="Q3010" s="190"/>
      <c r="R3010" s="188"/>
      <c r="S3010" s="193"/>
      <c r="T3010" s="192"/>
      <c r="U3010" s="829"/>
      <c r="V3010" s="10"/>
      <c r="W3010" s="10"/>
      <c r="X3010" s="10"/>
      <c r="Y3010" s="10"/>
      <c r="Z3010" s="10"/>
      <c r="AA3010" s="11"/>
      <c r="AB3010" s="11"/>
    </row>
    <row r="3011" spans="2:28" x14ac:dyDescent="0.3">
      <c r="B3011" s="10"/>
      <c r="C3011" s="315"/>
      <c r="D3011" s="868"/>
      <c r="E3011" s="837" t="str">
        <f>IFERROR(IF(_xlfn.XLOOKUP(Imput[[#This Row],[RFC]],'Alta Proveedor'!D:D,'Alta Proveedor'!E:E)=0,"",_xlfn.XLOOKUP(Imput[[#This Row],[RFC]],'Alta Proveedor'!D:D,'Alta Proveedor'!E:E)),"")</f>
        <v/>
      </c>
      <c r="F3011" s="832"/>
      <c r="G3011" s="187"/>
      <c r="H3011" s="1"/>
      <c r="I3011" s="169">
        <f>Imput[[#This Row],[Cantidad]]*Imput[[#This Row],[Precio Unitario]]</f>
        <v>0</v>
      </c>
      <c r="J3011" s="11">
        <f>((Imput[[#This Row],[Sub total]])*(0.16))</f>
        <v>0</v>
      </c>
      <c r="K3011" s="11">
        <v>0</v>
      </c>
      <c r="L3011" s="169">
        <f>Imput[[#This Row],[Sub total]]+Imput[[#This Row],[IVA]]-Imput[[#This Row],[Retención / IEPS / Descuento]]</f>
        <v>0</v>
      </c>
      <c r="M3011" s="844">
        <v>0</v>
      </c>
      <c r="N3011" s="189"/>
      <c r="O3011" s="1"/>
      <c r="P3011" s="189"/>
      <c r="Q3011" s="190"/>
      <c r="R3011" s="188"/>
      <c r="S3011" s="193"/>
      <c r="T3011" s="192"/>
      <c r="U3011" s="829"/>
      <c r="V3011" s="10"/>
      <c r="W3011" s="10"/>
      <c r="X3011" s="10"/>
      <c r="Y3011" s="10"/>
      <c r="Z3011" s="10"/>
      <c r="AA3011" s="11"/>
      <c r="AB3011" s="11"/>
    </row>
    <row r="3012" spans="2:28" x14ac:dyDescent="0.3">
      <c r="B3012" s="10"/>
      <c r="C3012" s="315"/>
      <c r="D3012" s="868"/>
      <c r="E3012" s="837" t="str">
        <f>IFERROR(IF(_xlfn.XLOOKUP(Imput[[#This Row],[RFC]],'Alta Proveedor'!D:D,'Alta Proveedor'!E:E)=0,"",_xlfn.XLOOKUP(Imput[[#This Row],[RFC]],'Alta Proveedor'!D:D,'Alta Proveedor'!E:E)),"")</f>
        <v/>
      </c>
      <c r="F3012" s="832"/>
      <c r="G3012" s="187"/>
      <c r="H3012" s="1"/>
      <c r="I3012" s="169">
        <f>Imput[[#This Row],[Cantidad]]*Imput[[#This Row],[Precio Unitario]]</f>
        <v>0</v>
      </c>
      <c r="J3012" s="11">
        <f>((Imput[[#This Row],[Sub total]])*(0.16))</f>
        <v>0</v>
      </c>
      <c r="K3012" s="11">
        <v>0</v>
      </c>
      <c r="L3012" s="169">
        <f>Imput[[#This Row],[Sub total]]+Imput[[#This Row],[IVA]]-Imput[[#This Row],[Retención / IEPS / Descuento]]</f>
        <v>0</v>
      </c>
      <c r="M3012" s="844">
        <v>0</v>
      </c>
      <c r="N3012" s="189"/>
      <c r="O3012" s="1"/>
      <c r="P3012" s="189"/>
      <c r="Q3012" s="190"/>
      <c r="R3012" s="188"/>
      <c r="S3012" s="193"/>
      <c r="T3012" s="192"/>
      <c r="U3012" s="829"/>
      <c r="V3012" s="10"/>
      <c r="W3012" s="10"/>
      <c r="X3012" s="10"/>
      <c r="Y3012" s="10"/>
      <c r="Z3012" s="10"/>
      <c r="AA3012" s="11"/>
      <c r="AB3012" s="11"/>
    </row>
    <row r="3013" spans="2:28" x14ac:dyDescent="0.3">
      <c r="B3013" s="10"/>
      <c r="C3013" s="315"/>
      <c r="D3013" s="868"/>
      <c r="E3013" s="837" t="str">
        <f>IFERROR(IF(_xlfn.XLOOKUP(Imput[[#This Row],[RFC]],'Alta Proveedor'!D:D,'Alta Proveedor'!E:E)=0,"",_xlfn.XLOOKUP(Imput[[#This Row],[RFC]],'Alta Proveedor'!D:D,'Alta Proveedor'!E:E)),"")</f>
        <v/>
      </c>
      <c r="F3013" s="832"/>
      <c r="G3013" s="187"/>
      <c r="H3013" s="1"/>
      <c r="I3013" s="169">
        <f>Imput[[#This Row],[Cantidad]]*Imput[[#This Row],[Precio Unitario]]</f>
        <v>0</v>
      </c>
      <c r="J3013" s="11">
        <f>((Imput[[#This Row],[Sub total]])*(0.16))</f>
        <v>0</v>
      </c>
      <c r="K3013" s="11">
        <v>0</v>
      </c>
      <c r="L3013" s="169">
        <f>Imput[[#This Row],[Sub total]]+Imput[[#This Row],[IVA]]-Imput[[#This Row],[Retención / IEPS / Descuento]]</f>
        <v>0</v>
      </c>
      <c r="M3013" s="844">
        <v>0</v>
      </c>
      <c r="N3013" s="189"/>
      <c r="O3013" s="1"/>
      <c r="P3013" s="189"/>
      <c r="Q3013" s="190"/>
      <c r="R3013" s="188"/>
      <c r="S3013" s="193"/>
      <c r="T3013" s="192"/>
      <c r="U3013" s="829"/>
      <c r="V3013" s="10"/>
      <c r="W3013" s="10"/>
      <c r="X3013" s="10"/>
      <c r="Y3013" s="10"/>
      <c r="Z3013" s="10"/>
      <c r="AA3013" s="11"/>
      <c r="AB3013" s="11"/>
    </row>
    <row r="3014" spans="2:28" x14ac:dyDescent="0.3">
      <c r="B3014" s="10"/>
      <c r="C3014" s="315"/>
      <c r="D3014" s="868"/>
      <c r="E3014" s="837" t="str">
        <f>IFERROR(IF(_xlfn.XLOOKUP(Imput[[#This Row],[RFC]],'Alta Proveedor'!D:D,'Alta Proveedor'!E:E)=0,"",_xlfn.XLOOKUP(Imput[[#This Row],[RFC]],'Alta Proveedor'!D:D,'Alta Proveedor'!E:E)),"")</f>
        <v/>
      </c>
      <c r="F3014" s="832"/>
      <c r="G3014" s="187"/>
      <c r="H3014" s="1"/>
      <c r="I3014" s="169">
        <f>Imput[[#This Row],[Cantidad]]*Imput[[#This Row],[Precio Unitario]]</f>
        <v>0</v>
      </c>
      <c r="J3014" s="11">
        <f>((Imput[[#This Row],[Sub total]])*(0.16))</f>
        <v>0</v>
      </c>
      <c r="K3014" s="11">
        <v>0</v>
      </c>
      <c r="L3014" s="169">
        <f>Imput[[#This Row],[Sub total]]+Imput[[#This Row],[IVA]]-Imput[[#This Row],[Retención / IEPS / Descuento]]</f>
        <v>0</v>
      </c>
      <c r="M3014" s="844">
        <v>0</v>
      </c>
      <c r="N3014" s="189"/>
      <c r="O3014" s="1"/>
      <c r="P3014" s="189"/>
      <c r="Q3014" s="190"/>
      <c r="R3014" s="188"/>
      <c r="S3014" s="193"/>
      <c r="T3014" s="192"/>
      <c r="U3014" s="829"/>
      <c r="V3014" s="10"/>
      <c r="W3014" s="10"/>
      <c r="X3014" s="10"/>
      <c r="Y3014" s="10"/>
      <c r="Z3014" s="10"/>
      <c r="AA3014" s="11"/>
      <c r="AB3014" s="11"/>
    </row>
    <row r="3015" spans="2:28" x14ac:dyDescent="0.3">
      <c r="B3015" s="10"/>
      <c r="C3015" s="315"/>
      <c r="D3015" s="868"/>
      <c r="E3015" s="837" t="str">
        <f>IFERROR(IF(_xlfn.XLOOKUP(Imput[[#This Row],[RFC]],'Alta Proveedor'!D:D,'Alta Proveedor'!E:E)=0,"",_xlfn.XLOOKUP(Imput[[#This Row],[RFC]],'Alta Proveedor'!D:D,'Alta Proveedor'!E:E)),"")</f>
        <v/>
      </c>
      <c r="F3015" s="832"/>
      <c r="G3015" s="187"/>
      <c r="H3015" s="1"/>
      <c r="I3015" s="169">
        <f>Imput[[#This Row],[Cantidad]]*Imput[[#This Row],[Precio Unitario]]</f>
        <v>0</v>
      </c>
      <c r="J3015" s="11">
        <f>((Imput[[#This Row],[Sub total]])*(0.16))</f>
        <v>0</v>
      </c>
      <c r="K3015" s="11">
        <v>0</v>
      </c>
      <c r="L3015" s="169">
        <f>Imput[[#This Row],[Sub total]]+Imput[[#This Row],[IVA]]-Imput[[#This Row],[Retención / IEPS / Descuento]]</f>
        <v>0</v>
      </c>
      <c r="M3015" s="844">
        <v>0</v>
      </c>
      <c r="N3015" s="189"/>
      <c r="O3015" s="1"/>
      <c r="P3015" s="189"/>
      <c r="Q3015" s="190"/>
      <c r="R3015" s="188"/>
      <c r="S3015" s="193"/>
      <c r="T3015" s="192"/>
      <c r="U3015" s="829"/>
      <c r="V3015" s="10"/>
      <c r="W3015" s="10"/>
      <c r="X3015" s="10"/>
      <c r="Y3015" s="10"/>
      <c r="Z3015" s="10"/>
      <c r="AA3015" s="11"/>
      <c r="AB3015" s="11"/>
    </row>
    <row r="3016" spans="2:28" x14ac:dyDescent="0.3">
      <c r="B3016" s="10"/>
      <c r="C3016" s="315"/>
      <c r="D3016" s="868"/>
      <c r="E3016" s="837" t="str">
        <f>IFERROR(IF(_xlfn.XLOOKUP(Imput[[#This Row],[RFC]],'Alta Proveedor'!D:D,'Alta Proveedor'!E:E)=0,"",_xlfn.XLOOKUP(Imput[[#This Row],[RFC]],'Alta Proveedor'!D:D,'Alta Proveedor'!E:E)),"")</f>
        <v/>
      </c>
      <c r="F3016" s="832"/>
      <c r="G3016" s="187"/>
      <c r="H3016" s="1"/>
      <c r="I3016" s="169">
        <f>Imput[[#This Row],[Cantidad]]*Imput[[#This Row],[Precio Unitario]]</f>
        <v>0</v>
      </c>
      <c r="J3016" s="11">
        <f>((Imput[[#This Row],[Sub total]])*(0.16))</f>
        <v>0</v>
      </c>
      <c r="K3016" s="11">
        <v>0</v>
      </c>
      <c r="L3016" s="169">
        <f>Imput[[#This Row],[Sub total]]+Imput[[#This Row],[IVA]]-Imput[[#This Row],[Retención / IEPS / Descuento]]</f>
        <v>0</v>
      </c>
      <c r="M3016" s="844">
        <v>0</v>
      </c>
      <c r="N3016" s="189"/>
      <c r="O3016" s="1"/>
      <c r="P3016" s="189"/>
      <c r="Q3016" s="190"/>
      <c r="R3016" s="188"/>
      <c r="S3016" s="193"/>
      <c r="T3016" s="192"/>
      <c r="U3016" s="829"/>
      <c r="V3016" s="10"/>
      <c r="W3016" s="10"/>
      <c r="X3016" s="10"/>
      <c r="Y3016" s="10"/>
      <c r="Z3016" s="10"/>
      <c r="AA3016" s="11"/>
      <c r="AB3016" s="11"/>
    </row>
    <row r="3017" spans="2:28" x14ac:dyDescent="0.3">
      <c r="B3017" s="10"/>
      <c r="C3017" s="315"/>
      <c r="D3017" s="868"/>
      <c r="E3017" s="837" t="str">
        <f>IFERROR(IF(_xlfn.XLOOKUP(Imput[[#This Row],[RFC]],'Alta Proveedor'!D:D,'Alta Proveedor'!E:E)=0,"",_xlfn.XLOOKUP(Imput[[#This Row],[RFC]],'Alta Proveedor'!D:D,'Alta Proveedor'!E:E)),"")</f>
        <v/>
      </c>
      <c r="F3017" s="832"/>
      <c r="G3017" s="187"/>
      <c r="H3017" s="1"/>
      <c r="I3017" s="169">
        <f>Imput[[#This Row],[Cantidad]]*Imput[[#This Row],[Precio Unitario]]</f>
        <v>0</v>
      </c>
      <c r="J3017" s="11">
        <f>((Imput[[#This Row],[Sub total]])*(0.16))</f>
        <v>0</v>
      </c>
      <c r="K3017" s="11">
        <v>0</v>
      </c>
      <c r="L3017" s="169">
        <f>Imput[[#This Row],[Sub total]]+Imput[[#This Row],[IVA]]-Imput[[#This Row],[Retención / IEPS / Descuento]]</f>
        <v>0</v>
      </c>
      <c r="M3017" s="844">
        <v>0</v>
      </c>
      <c r="N3017" s="189"/>
      <c r="O3017" s="1"/>
      <c r="P3017" s="189"/>
      <c r="Q3017" s="190"/>
      <c r="R3017" s="188"/>
      <c r="S3017" s="193"/>
      <c r="T3017" s="192"/>
      <c r="U3017" s="829"/>
      <c r="V3017" s="10"/>
      <c r="W3017" s="10"/>
      <c r="X3017" s="10"/>
      <c r="Y3017" s="10"/>
      <c r="Z3017" s="10"/>
      <c r="AA3017" s="11"/>
      <c r="AB3017" s="11"/>
    </row>
    <row r="3018" spans="2:28" x14ac:dyDescent="0.3">
      <c r="B3018" s="10"/>
      <c r="C3018" s="315"/>
      <c r="D3018" s="868"/>
      <c r="E3018" s="837" t="str">
        <f>IFERROR(IF(_xlfn.XLOOKUP(Imput[[#This Row],[RFC]],'Alta Proveedor'!D:D,'Alta Proveedor'!E:E)=0,"",_xlfn.XLOOKUP(Imput[[#This Row],[RFC]],'Alta Proveedor'!D:D,'Alta Proveedor'!E:E)),"")</f>
        <v/>
      </c>
      <c r="F3018" s="832"/>
      <c r="G3018" s="187"/>
      <c r="H3018" s="1"/>
      <c r="I3018" s="169">
        <f>Imput[[#This Row],[Cantidad]]*Imput[[#This Row],[Precio Unitario]]</f>
        <v>0</v>
      </c>
      <c r="J3018" s="11">
        <f>((Imput[[#This Row],[Sub total]])*(0.16))</f>
        <v>0</v>
      </c>
      <c r="K3018" s="11">
        <v>0</v>
      </c>
      <c r="L3018" s="169">
        <f>Imput[[#This Row],[Sub total]]+Imput[[#This Row],[IVA]]-Imput[[#This Row],[Retención / IEPS / Descuento]]</f>
        <v>0</v>
      </c>
      <c r="M3018" s="844">
        <v>0</v>
      </c>
      <c r="N3018" s="189"/>
      <c r="O3018" s="1"/>
      <c r="P3018" s="189"/>
      <c r="Q3018" s="190"/>
      <c r="R3018" s="188"/>
      <c r="S3018" s="193"/>
      <c r="T3018" s="192"/>
      <c r="U3018" s="829"/>
      <c r="V3018" s="10"/>
      <c r="W3018" s="10"/>
      <c r="X3018" s="10"/>
      <c r="Y3018" s="10"/>
      <c r="Z3018" s="10"/>
      <c r="AA3018" s="11"/>
      <c r="AB3018" s="11"/>
    </row>
    <row r="3019" spans="2:28" x14ac:dyDescent="0.3">
      <c r="B3019" s="10"/>
      <c r="C3019" s="315"/>
      <c r="D3019" s="868"/>
      <c r="E3019" s="837" t="str">
        <f>IFERROR(IF(_xlfn.XLOOKUP(Imput[[#This Row],[RFC]],'Alta Proveedor'!D:D,'Alta Proveedor'!E:E)=0,"",_xlfn.XLOOKUP(Imput[[#This Row],[RFC]],'Alta Proveedor'!D:D,'Alta Proveedor'!E:E)),"")</f>
        <v/>
      </c>
      <c r="F3019" s="832"/>
      <c r="G3019" s="187"/>
      <c r="H3019" s="1"/>
      <c r="I3019" s="169">
        <f>Imput[[#This Row],[Cantidad]]*Imput[[#This Row],[Precio Unitario]]</f>
        <v>0</v>
      </c>
      <c r="J3019" s="11">
        <f>((Imput[[#This Row],[Sub total]])*(0.16))</f>
        <v>0</v>
      </c>
      <c r="K3019" s="11">
        <v>0</v>
      </c>
      <c r="L3019" s="169">
        <f>Imput[[#This Row],[Sub total]]+Imput[[#This Row],[IVA]]-Imput[[#This Row],[Retención / IEPS / Descuento]]</f>
        <v>0</v>
      </c>
      <c r="M3019" s="844">
        <v>0</v>
      </c>
      <c r="N3019" s="189"/>
      <c r="O3019" s="1"/>
      <c r="P3019" s="189"/>
      <c r="Q3019" s="190"/>
      <c r="R3019" s="188"/>
      <c r="S3019" s="193"/>
      <c r="T3019" s="192"/>
      <c r="U3019" s="829"/>
      <c r="V3019" s="10"/>
      <c r="W3019" s="10"/>
      <c r="X3019" s="10"/>
      <c r="Y3019" s="10"/>
      <c r="Z3019" s="10"/>
      <c r="AA3019" s="11"/>
      <c r="AB3019" s="11"/>
    </row>
    <row r="3020" spans="2:28" x14ac:dyDescent="0.3">
      <c r="B3020" s="10"/>
      <c r="C3020" s="315"/>
      <c r="D3020" s="868"/>
      <c r="E3020" s="837" t="str">
        <f>IFERROR(IF(_xlfn.XLOOKUP(Imput[[#This Row],[RFC]],'Alta Proveedor'!D:D,'Alta Proveedor'!E:E)=0,"",_xlfn.XLOOKUP(Imput[[#This Row],[RFC]],'Alta Proveedor'!D:D,'Alta Proveedor'!E:E)),"")</f>
        <v/>
      </c>
      <c r="F3020" s="832"/>
      <c r="G3020" s="187"/>
      <c r="H3020" s="1"/>
      <c r="I3020" s="169">
        <f>Imput[[#This Row],[Cantidad]]*Imput[[#This Row],[Precio Unitario]]</f>
        <v>0</v>
      </c>
      <c r="J3020" s="11">
        <f>((Imput[[#This Row],[Sub total]])*(0.16))</f>
        <v>0</v>
      </c>
      <c r="K3020" s="11">
        <v>0</v>
      </c>
      <c r="L3020" s="169">
        <f>Imput[[#This Row],[Sub total]]+Imput[[#This Row],[IVA]]-Imput[[#This Row],[Retención / IEPS / Descuento]]</f>
        <v>0</v>
      </c>
      <c r="M3020" s="844">
        <v>0</v>
      </c>
      <c r="N3020" s="189"/>
      <c r="O3020" s="1"/>
      <c r="P3020" s="189"/>
      <c r="Q3020" s="190"/>
      <c r="R3020" s="188"/>
      <c r="S3020" s="193"/>
      <c r="T3020" s="192"/>
      <c r="U3020" s="829"/>
      <c r="V3020" s="10"/>
      <c r="W3020" s="10"/>
      <c r="X3020" s="10"/>
      <c r="Y3020" s="10"/>
      <c r="Z3020" s="10"/>
      <c r="AA3020" s="11"/>
      <c r="AB3020" s="11"/>
    </row>
    <row r="3021" spans="2:28" x14ac:dyDescent="0.3">
      <c r="B3021" s="10"/>
      <c r="C3021" s="315"/>
      <c r="D3021" s="868"/>
      <c r="E3021" s="837" t="str">
        <f>IFERROR(IF(_xlfn.XLOOKUP(Imput[[#This Row],[RFC]],'Alta Proveedor'!D:D,'Alta Proveedor'!E:E)=0,"",_xlfn.XLOOKUP(Imput[[#This Row],[RFC]],'Alta Proveedor'!D:D,'Alta Proveedor'!E:E)),"")</f>
        <v/>
      </c>
      <c r="F3021" s="832"/>
      <c r="G3021" s="187"/>
      <c r="H3021" s="1"/>
      <c r="I3021" s="169">
        <f>Imput[[#This Row],[Cantidad]]*Imput[[#This Row],[Precio Unitario]]</f>
        <v>0</v>
      </c>
      <c r="J3021" s="11">
        <f>((Imput[[#This Row],[Sub total]])*(0.16))</f>
        <v>0</v>
      </c>
      <c r="K3021" s="11">
        <v>0</v>
      </c>
      <c r="L3021" s="169">
        <f>Imput[[#This Row],[Sub total]]+Imput[[#This Row],[IVA]]-Imput[[#This Row],[Retención / IEPS / Descuento]]</f>
        <v>0</v>
      </c>
      <c r="M3021" s="844">
        <v>0</v>
      </c>
      <c r="N3021" s="189"/>
      <c r="O3021" s="1"/>
      <c r="P3021" s="189"/>
      <c r="Q3021" s="190"/>
      <c r="R3021" s="188"/>
      <c r="S3021" s="193"/>
      <c r="T3021" s="192"/>
      <c r="U3021" s="829"/>
      <c r="V3021" s="10"/>
      <c r="W3021" s="10"/>
      <c r="X3021" s="10"/>
      <c r="Y3021" s="10"/>
      <c r="Z3021" s="10"/>
      <c r="AA3021" s="11"/>
      <c r="AB3021" s="11"/>
    </row>
    <row r="3022" spans="2:28" x14ac:dyDescent="0.3">
      <c r="B3022" s="10"/>
      <c r="C3022" s="315"/>
      <c r="D3022" s="868"/>
      <c r="E3022" s="837" t="str">
        <f>IFERROR(IF(_xlfn.XLOOKUP(Imput[[#This Row],[RFC]],'Alta Proveedor'!D:D,'Alta Proveedor'!E:E)=0,"",_xlfn.XLOOKUP(Imput[[#This Row],[RFC]],'Alta Proveedor'!D:D,'Alta Proveedor'!E:E)),"")</f>
        <v/>
      </c>
      <c r="F3022" s="832"/>
      <c r="G3022" s="187"/>
      <c r="H3022" s="1"/>
      <c r="I3022" s="169">
        <f>Imput[[#This Row],[Cantidad]]*Imput[[#This Row],[Precio Unitario]]</f>
        <v>0</v>
      </c>
      <c r="J3022" s="11">
        <f>((Imput[[#This Row],[Sub total]])*(0.16))</f>
        <v>0</v>
      </c>
      <c r="K3022" s="11">
        <v>0</v>
      </c>
      <c r="L3022" s="169">
        <f>Imput[[#This Row],[Sub total]]+Imput[[#This Row],[IVA]]-Imput[[#This Row],[Retención / IEPS / Descuento]]</f>
        <v>0</v>
      </c>
      <c r="M3022" s="844">
        <v>0</v>
      </c>
      <c r="N3022" s="189"/>
      <c r="O3022" s="1"/>
      <c r="P3022" s="189"/>
      <c r="Q3022" s="190"/>
      <c r="R3022" s="188"/>
      <c r="S3022" s="193"/>
      <c r="T3022" s="192"/>
      <c r="U3022" s="829"/>
      <c r="V3022" s="10"/>
      <c r="W3022" s="10"/>
      <c r="X3022" s="10"/>
      <c r="Y3022" s="10"/>
      <c r="Z3022" s="10"/>
      <c r="AA3022" s="11"/>
      <c r="AB3022" s="11"/>
    </row>
    <row r="3023" spans="2:28" x14ac:dyDescent="0.3">
      <c r="B3023" s="10"/>
      <c r="C3023" s="315"/>
      <c r="D3023" s="868"/>
      <c r="E3023" s="837" t="str">
        <f>IFERROR(IF(_xlfn.XLOOKUP(Imput[[#This Row],[RFC]],'Alta Proveedor'!D:D,'Alta Proveedor'!E:E)=0,"",_xlfn.XLOOKUP(Imput[[#This Row],[RFC]],'Alta Proveedor'!D:D,'Alta Proveedor'!E:E)),"")</f>
        <v/>
      </c>
      <c r="F3023" s="832"/>
      <c r="G3023" s="187"/>
      <c r="H3023" s="1"/>
      <c r="I3023" s="169">
        <f>Imput[[#This Row],[Cantidad]]*Imput[[#This Row],[Precio Unitario]]</f>
        <v>0</v>
      </c>
      <c r="J3023" s="11">
        <f>((Imput[[#This Row],[Sub total]])*(0.16))</f>
        <v>0</v>
      </c>
      <c r="K3023" s="11">
        <v>0</v>
      </c>
      <c r="L3023" s="169">
        <f>Imput[[#This Row],[Sub total]]+Imput[[#This Row],[IVA]]-Imput[[#This Row],[Retención / IEPS / Descuento]]</f>
        <v>0</v>
      </c>
      <c r="M3023" s="844">
        <v>0</v>
      </c>
      <c r="N3023" s="189"/>
      <c r="O3023" s="1"/>
      <c r="P3023" s="189"/>
      <c r="Q3023" s="190"/>
      <c r="R3023" s="188"/>
      <c r="S3023" s="193"/>
      <c r="T3023" s="192"/>
      <c r="U3023" s="829"/>
      <c r="V3023" s="10"/>
      <c r="W3023" s="10"/>
      <c r="X3023" s="10"/>
      <c r="Y3023" s="10"/>
      <c r="Z3023" s="10"/>
      <c r="AA3023" s="11"/>
      <c r="AB3023" s="11"/>
    </row>
    <row r="3024" spans="2:28" x14ac:dyDescent="0.3">
      <c r="B3024" s="10"/>
      <c r="C3024" s="315"/>
      <c r="D3024" s="868"/>
      <c r="E3024" s="837" t="str">
        <f>IFERROR(IF(_xlfn.XLOOKUP(Imput[[#This Row],[RFC]],'Alta Proveedor'!D:D,'Alta Proveedor'!E:E)=0,"",_xlfn.XLOOKUP(Imput[[#This Row],[RFC]],'Alta Proveedor'!D:D,'Alta Proveedor'!E:E)),"")</f>
        <v/>
      </c>
      <c r="F3024" s="832"/>
      <c r="G3024" s="187"/>
      <c r="H3024" s="1"/>
      <c r="I3024" s="169">
        <f>Imput[[#This Row],[Cantidad]]*Imput[[#This Row],[Precio Unitario]]</f>
        <v>0</v>
      </c>
      <c r="J3024" s="11">
        <f>((Imput[[#This Row],[Sub total]])*(0.16))</f>
        <v>0</v>
      </c>
      <c r="K3024" s="11">
        <v>0</v>
      </c>
      <c r="L3024" s="169">
        <f>Imput[[#This Row],[Sub total]]+Imput[[#This Row],[IVA]]-Imput[[#This Row],[Retención / IEPS / Descuento]]</f>
        <v>0</v>
      </c>
      <c r="M3024" s="844">
        <v>0</v>
      </c>
      <c r="N3024" s="189"/>
      <c r="O3024" s="1"/>
      <c r="P3024" s="189"/>
      <c r="Q3024" s="190"/>
      <c r="R3024" s="188"/>
      <c r="S3024" s="193"/>
      <c r="T3024" s="192"/>
      <c r="U3024" s="829"/>
      <c r="V3024" s="10"/>
      <c r="W3024" s="10"/>
      <c r="X3024" s="10"/>
      <c r="Y3024" s="10"/>
      <c r="Z3024" s="10"/>
      <c r="AA3024" s="11"/>
      <c r="AB3024" s="11"/>
    </row>
    <row r="3025" spans="2:28" x14ac:dyDescent="0.3">
      <c r="B3025" s="10"/>
      <c r="C3025" s="315"/>
      <c r="D3025" s="868"/>
      <c r="E3025" s="837" t="str">
        <f>IFERROR(IF(_xlfn.XLOOKUP(Imput[[#This Row],[RFC]],'Alta Proveedor'!D:D,'Alta Proveedor'!E:E)=0,"",_xlfn.XLOOKUP(Imput[[#This Row],[RFC]],'Alta Proveedor'!D:D,'Alta Proveedor'!E:E)),"")</f>
        <v/>
      </c>
      <c r="F3025" s="832"/>
      <c r="G3025" s="187"/>
      <c r="H3025" s="1"/>
      <c r="I3025" s="169">
        <f>Imput[[#This Row],[Cantidad]]*Imput[[#This Row],[Precio Unitario]]</f>
        <v>0</v>
      </c>
      <c r="J3025" s="11">
        <f>((Imput[[#This Row],[Sub total]])*(0.16))</f>
        <v>0</v>
      </c>
      <c r="K3025" s="11">
        <v>0</v>
      </c>
      <c r="L3025" s="169">
        <f>Imput[[#This Row],[Sub total]]+Imput[[#This Row],[IVA]]-Imput[[#This Row],[Retención / IEPS / Descuento]]</f>
        <v>0</v>
      </c>
      <c r="M3025" s="844">
        <v>0</v>
      </c>
      <c r="N3025" s="189"/>
      <c r="O3025" s="1"/>
      <c r="P3025" s="189"/>
      <c r="Q3025" s="190"/>
      <c r="R3025" s="188"/>
      <c r="S3025" s="193"/>
      <c r="T3025" s="192"/>
      <c r="U3025" s="829"/>
      <c r="V3025" s="10"/>
      <c r="W3025" s="10"/>
      <c r="X3025" s="10"/>
      <c r="Y3025" s="10"/>
      <c r="Z3025" s="10"/>
      <c r="AA3025" s="11"/>
      <c r="AB3025" s="11"/>
    </row>
    <row r="3026" spans="2:28" x14ac:dyDescent="0.3">
      <c r="B3026" s="10"/>
      <c r="C3026" s="315"/>
      <c r="D3026" s="868"/>
      <c r="E3026" s="837" t="str">
        <f>IFERROR(IF(_xlfn.XLOOKUP(Imput[[#This Row],[RFC]],'Alta Proveedor'!D:D,'Alta Proveedor'!E:E)=0,"",_xlfn.XLOOKUP(Imput[[#This Row],[RFC]],'Alta Proveedor'!D:D,'Alta Proveedor'!E:E)),"")</f>
        <v/>
      </c>
      <c r="F3026" s="832"/>
      <c r="G3026" s="187"/>
      <c r="H3026" s="1"/>
      <c r="I3026" s="169">
        <f>Imput[[#This Row],[Cantidad]]*Imput[[#This Row],[Precio Unitario]]</f>
        <v>0</v>
      </c>
      <c r="J3026" s="11">
        <f>((Imput[[#This Row],[Sub total]])*(0.16))</f>
        <v>0</v>
      </c>
      <c r="K3026" s="11">
        <v>0</v>
      </c>
      <c r="L3026" s="169">
        <f>Imput[[#This Row],[Sub total]]+Imput[[#This Row],[IVA]]-Imput[[#This Row],[Retención / IEPS / Descuento]]</f>
        <v>0</v>
      </c>
      <c r="M3026" s="844">
        <v>0</v>
      </c>
      <c r="N3026" s="189"/>
      <c r="O3026" s="1"/>
      <c r="P3026" s="189"/>
      <c r="Q3026" s="190"/>
      <c r="R3026" s="188"/>
      <c r="S3026" s="193"/>
      <c r="T3026" s="192"/>
      <c r="U3026" s="829"/>
      <c r="V3026" s="10"/>
      <c r="W3026" s="10"/>
      <c r="X3026" s="10"/>
      <c r="Y3026" s="10"/>
      <c r="Z3026" s="10"/>
      <c r="AA3026" s="11"/>
      <c r="AB3026" s="11"/>
    </row>
    <row r="3027" spans="2:28" x14ac:dyDescent="0.3">
      <c r="B3027" s="10"/>
      <c r="C3027" s="315"/>
      <c r="D3027" s="868"/>
      <c r="E3027" s="837" t="str">
        <f>IFERROR(IF(_xlfn.XLOOKUP(Imput[[#This Row],[RFC]],'Alta Proveedor'!D:D,'Alta Proveedor'!E:E)=0,"",_xlfn.XLOOKUP(Imput[[#This Row],[RFC]],'Alta Proveedor'!D:D,'Alta Proveedor'!E:E)),"")</f>
        <v/>
      </c>
      <c r="F3027" s="832"/>
      <c r="G3027" s="187"/>
      <c r="H3027" s="1"/>
      <c r="I3027" s="169">
        <f>Imput[[#This Row],[Cantidad]]*Imput[[#This Row],[Precio Unitario]]</f>
        <v>0</v>
      </c>
      <c r="J3027" s="11">
        <f>((Imput[[#This Row],[Sub total]])*(0.16))</f>
        <v>0</v>
      </c>
      <c r="K3027" s="11">
        <v>0</v>
      </c>
      <c r="L3027" s="169">
        <f>Imput[[#This Row],[Sub total]]+Imput[[#This Row],[IVA]]-Imput[[#This Row],[Retención / IEPS / Descuento]]</f>
        <v>0</v>
      </c>
      <c r="M3027" s="844">
        <v>0</v>
      </c>
      <c r="N3027" s="189"/>
      <c r="O3027" s="1"/>
      <c r="P3027" s="189"/>
      <c r="Q3027" s="190"/>
      <c r="R3027" s="188"/>
      <c r="S3027" s="193"/>
      <c r="T3027" s="192"/>
      <c r="U3027" s="829"/>
      <c r="V3027" s="10"/>
      <c r="W3027" s="10"/>
      <c r="X3027" s="10"/>
      <c r="Y3027" s="10"/>
      <c r="Z3027" s="10"/>
      <c r="AA3027" s="11"/>
      <c r="AB3027" s="11"/>
    </row>
    <row r="3028" spans="2:28" x14ac:dyDescent="0.3">
      <c r="B3028" s="10"/>
      <c r="C3028" s="315"/>
      <c r="D3028" s="868"/>
      <c r="E3028" s="837" t="str">
        <f>IFERROR(IF(_xlfn.XLOOKUP(Imput[[#This Row],[RFC]],'Alta Proveedor'!D:D,'Alta Proveedor'!E:E)=0,"",_xlfn.XLOOKUP(Imput[[#This Row],[RFC]],'Alta Proveedor'!D:D,'Alta Proveedor'!E:E)),"")</f>
        <v/>
      </c>
      <c r="F3028" s="832"/>
      <c r="G3028" s="187"/>
      <c r="H3028" s="1"/>
      <c r="I3028" s="169">
        <f>Imput[[#This Row],[Cantidad]]*Imput[[#This Row],[Precio Unitario]]</f>
        <v>0</v>
      </c>
      <c r="J3028" s="11">
        <f>((Imput[[#This Row],[Sub total]])*(0.16))</f>
        <v>0</v>
      </c>
      <c r="K3028" s="11">
        <v>0</v>
      </c>
      <c r="L3028" s="169">
        <f>Imput[[#This Row],[Sub total]]+Imput[[#This Row],[IVA]]-Imput[[#This Row],[Retención / IEPS / Descuento]]</f>
        <v>0</v>
      </c>
      <c r="M3028" s="844">
        <v>0</v>
      </c>
      <c r="N3028" s="189"/>
      <c r="O3028" s="1"/>
      <c r="P3028" s="189"/>
      <c r="Q3028" s="190"/>
      <c r="R3028" s="188"/>
      <c r="S3028" s="193"/>
      <c r="T3028" s="192"/>
      <c r="U3028" s="829"/>
      <c r="V3028" s="10"/>
      <c r="W3028" s="10"/>
      <c r="X3028" s="10"/>
      <c r="Y3028" s="10"/>
      <c r="Z3028" s="10"/>
      <c r="AA3028" s="11"/>
      <c r="AB3028" s="11"/>
    </row>
    <row r="3029" spans="2:28" x14ac:dyDescent="0.3">
      <c r="B3029" s="10"/>
      <c r="C3029" s="315"/>
      <c r="D3029" s="868"/>
      <c r="E3029" s="837" t="str">
        <f>IFERROR(IF(_xlfn.XLOOKUP(Imput[[#This Row],[RFC]],'Alta Proveedor'!D:D,'Alta Proveedor'!E:E)=0,"",_xlfn.XLOOKUP(Imput[[#This Row],[RFC]],'Alta Proveedor'!D:D,'Alta Proveedor'!E:E)),"")</f>
        <v/>
      </c>
      <c r="F3029" s="832"/>
      <c r="G3029" s="187"/>
      <c r="H3029" s="1"/>
      <c r="I3029" s="169">
        <f>Imput[[#This Row],[Cantidad]]*Imput[[#This Row],[Precio Unitario]]</f>
        <v>0</v>
      </c>
      <c r="J3029" s="11">
        <f>((Imput[[#This Row],[Sub total]])*(0.16))</f>
        <v>0</v>
      </c>
      <c r="K3029" s="11">
        <v>0</v>
      </c>
      <c r="L3029" s="169">
        <f>Imput[[#This Row],[Sub total]]+Imput[[#This Row],[IVA]]-Imput[[#This Row],[Retención / IEPS / Descuento]]</f>
        <v>0</v>
      </c>
      <c r="M3029" s="844">
        <v>0</v>
      </c>
      <c r="N3029" s="189"/>
      <c r="O3029" s="1"/>
      <c r="P3029" s="189"/>
      <c r="Q3029" s="190"/>
      <c r="R3029" s="188"/>
      <c r="S3029" s="193"/>
      <c r="T3029" s="192"/>
      <c r="U3029" s="829"/>
      <c r="V3029" s="10"/>
      <c r="W3029" s="10"/>
      <c r="X3029" s="10"/>
      <c r="Y3029" s="10"/>
      <c r="Z3029" s="10"/>
      <c r="AA3029" s="11"/>
      <c r="AB3029" s="11"/>
    </row>
    <row r="3030" spans="2:28" x14ac:dyDescent="0.3">
      <c r="B3030" s="10"/>
      <c r="C3030" s="315"/>
      <c r="D3030" s="868"/>
      <c r="E3030" s="837" t="str">
        <f>IFERROR(IF(_xlfn.XLOOKUP(Imput[[#This Row],[RFC]],'Alta Proveedor'!D:D,'Alta Proveedor'!E:E)=0,"",_xlfn.XLOOKUP(Imput[[#This Row],[RFC]],'Alta Proveedor'!D:D,'Alta Proveedor'!E:E)),"")</f>
        <v/>
      </c>
      <c r="F3030" s="832"/>
      <c r="G3030" s="187"/>
      <c r="H3030" s="1"/>
      <c r="I3030" s="169">
        <f>Imput[[#This Row],[Cantidad]]*Imput[[#This Row],[Precio Unitario]]</f>
        <v>0</v>
      </c>
      <c r="J3030" s="11">
        <f>((Imput[[#This Row],[Sub total]])*(0.16))</f>
        <v>0</v>
      </c>
      <c r="K3030" s="11">
        <v>0</v>
      </c>
      <c r="L3030" s="169">
        <f>Imput[[#This Row],[Sub total]]+Imput[[#This Row],[IVA]]-Imput[[#This Row],[Retención / IEPS / Descuento]]</f>
        <v>0</v>
      </c>
      <c r="M3030" s="844">
        <v>0</v>
      </c>
      <c r="N3030" s="189"/>
      <c r="O3030" s="1"/>
      <c r="P3030" s="189"/>
      <c r="Q3030" s="190"/>
      <c r="R3030" s="188"/>
      <c r="S3030" s="193"/>
      <c r="T3030" s="192"/>
      <c r="U3030" s="829"/>
      <c r="V3030" s="10"/>
      <c r="W3030" s="10"/>
      <c r="X3030" s="10"/>
      <c r="Y3030" s="10"/>
      <c r="Z3030" s="10"/>
      <c r="AA3030" s="11"/>
      <c r="AB3030" s="11"/>
    </row>
    <row r="3031" spans="2:28" x14ac:dyDescent="0.3">
      <c r="B3031" s="10"/>
      <c r="C3031" s="315"/>
      <c r="D3031" s="868"/>
      <c r="E3031" s="837" t="str">
        <f>IFERROR(IF(_xlfn.XLOOKUP(Imput[[#This Row],[RFC]],'Alta Proveedor'!D:D,'Alta Proveedor'!E:E)=0,"",_xlfn.XLOOKUP(Imput[[#This Row],[RFC]],'Alta Proveedor'!D:D,'Alta Proveedor'!E:E)),"")</f>
        <v/>
      </c>
      <c r="F3031" s="832"/>
      <c r="G3031" s="187"/>
      <c r="H3031" s="1"/>
      <c r="I3031" s="169">
        <f>Imput[[#This Row],[Cantidad]]*Imput[[#This Row],[Precio Unitario]]</f>
        <v>0</v>
      </c>
      <c r="J3031" s="11">
        <f>((Imput[[#This Row],[Sub total]])*(0.16))</f>
        <v>0</v>
      </c>
      <c r="K3031" s="11">
        <v>0</v>
      </c>
      <c r="L3031" s="169">
        <f>Imput[[#This Row],[Sub total]]+Imput[[#This Row],[IVA]]-Imput[[#This Row],[Retención / IEPS / Descuento]]</f>
        <v>0</v>
      </c>
      <c r="M3031" s="844">
        <v>0</v>
      </c>
      <c r="N3031" s="189"/>
      <c r="O3031" s="1"/>
      <c r="P3031" s="189"/>
      <c r="Q3031" s="190"/>
      <c r="R3031" s="188"/>
      <c r="S3031" s="193"/>
      <c r="T3031" s="192"/>
      <c r="U3031" s="829"/>
      <c r="V3031" s="10"/>
      <c r="W3031" s="10"/>
      <c r="X3031" s="10"/>
      <c r="Y3031" s="10"/>
      <c r="Z3031" s="10"/>
      <c r="AA3031" s="11"/>
      <c r="AB3031" s="11"/>
    </row>
    <row r="3032" spans="2:28" x14ac:dyDescent="0.3">
      <c r="B3032" s="10"/>
      <c r="C3032" s="315"/>
      <c r="D3032" s="868"/>
      <c r="E3032" s="837" t="str">
        <f>IFERROR(IF(_xlfn.XLOOKUP(Imput[[#This Row],[RFC]],'Alta Proveedor'!D:D,'Alta Proveedor'!E:E)=0,"",_xlfn.XLOOKUP(Imput[[#This Row],[RFC]],'Alta Proveedor'!D:D,'Alta Proveedor'!E:E)),"")</f>
        <v/>
      </c>
      <c r="F3032" s="832"/>
      <c r="G3032" s="187"/>
      <c r="H3032" s="1"/>
      <c r="I3032" s="169">
        <f>Imput[[#This Row],[Cantidad]]*Imput[[#This Row],[Precio Unitario]]</f>
        <v>0</v>
      </c>
      <c r="J3032" s="11">
        <f>((Imput[[#This Row],[Sub total]])*(0.16))</f>
        <v>0</v>
      </c>
      <c r="K3032" s="11">
        <v>0</v>
      </c>
      <c r="L3032" s="169">
        <f>Imput[[#This Row],[Sub total]]+Imput[[#This Row],[IVA]]-Imput[[#This Row],[Retención / IEPS / Descuento]]</f>
        <v>0</v>
      </c>
      <c r="M3032" s="844">
        <v>0</v>
      </c>
      <c r="N3032" s="189"/>
      <c r="O3032" s="1"/>
      <c r="P3032" s="189"/>
      <c r="Q3032" s="190"/>
      <c r="R3032" s="188"/>
      <c r="S3032" s="193"/>
      <c r="T3032" s="192"/>
      <c r="U3032" s="829"/>
      <c r="V3032" s="10"/>
      <c r="W3032" s="10"/>
      <c r="X3032" s="10"/>
      <c r="Y3032" s="10"/>
      <c r="Z3032" s="10"/>
      <c r="AA3032" s="11"/>
      <c r="AB3032" s="11"/>
    </row>
    <row r="3033" spans="2:28" x14ac:dyDescent="0.3">
      <c r="B3033" s="10"/>
      <c r="C3033" s="315"/>
      <c r="D3033" s="868"/>
      <c r="E3033" s="837" t="str">
        <f>IFERROR(IF(_xlfn.XLOOKUP(Imput[[#This Row],[RFC]],'Alta Proveedor'!D:D,'Alta Proveedor'!E:E)=0,"",_xlfn.XLOOKUP(Imput[[#This Row],[RFC]],'Alta Proveedor'!D:D,'Alta Proveedor'!E:E)),"")</f>
        <v/>
      </c>
      <c r="F3033" s="832"/>
      <c r="G3033" s="187"/>
      <c r="H3033" s="1"/>
      <c r="I3033" s="169">
        <f>Imput[[#This Row],[Cantidad]]*Imput[[#This Row],[Precio Unitario]]</f>
        <v>0</v>
      </c>
      <c r="J3033" s="11">
        <f>((Imput[[#This Row],[Sub total]])*(0.16))</f>
        <v>0</v>
      </c>
      <c r="K3033" s="11">
        <v>0</v>
      </c>
      <c r="L3033" s="169">
        <f>Imput[[#This Row],[Sub total]]+Imput[[#This Row],[IVA]]-Imput[[#This Row],[Retención / IEPS / Descuento]]</f>
        <v>0</v>
      </c>
      <c r="M3033" s="844">
        <v>0</v>
      </c>
      <c r="N3033" s="189"/>
      <c r="O3033" s="1"/>
      <c r="P3033" s="189"/>
      <c r="Q3033" s="190"/>
      <c r="R3033" s="188"/>
      <c r="S3033" s="193"/>
      <c r="T3033" s="192"/>
      <c r="U3033" s="829"/>
      <c r="V3033" s="10"/>
      <c r="W3033" s="10"/>
      <c r="X3033" s="10"/>
      <c r="Y3033" s="10"/>
      <c r="Z3033" s="10"/>
      <c r="AA3033" s="11"/>
      <c r="AB3033" s="11"/>
    </row>
    <row r="3034" spans="2:28" x14ac:dyDescent="0.3">
      <c r="B3034" s="10"/>
      <c r="C3034" s="315"/>
      <c r="D3034" s="868"/>
      <c r="E3034" s="837" t="str">
        <f>IFERROR(IF(_xlfn.XLOOKUP(Imput[[#This Row],[RFC]],'Alta Proveedor'!D:D,'Alta Proveedor'!E:E)=0,"",_xlfn.XLOOKUP(Imput[[#This Row],[RFC]],'Alta Proveedor'!D:D,'Alta Proveedor'!E:E)),"")</f>
        <v/>
      </c>
      <c r="F3034" s="832"/>
      <c r="G3034" s="187"/>
      <c r="H3034" s="1"/>
      <c r="I3034" s="169">
        <f>Imput[[#This Row],[Cantidad]]*Imput[[#This Row],[Precio Unitario]]</f>
        <v>0</v>
      </c>
      <c r="J3034" s="11">
        <f>((Imput[[#This Row],[Sub total]])*(0.16))</f>
        <v>0</v>
      </c>
      <c r="K3034" s="11">
        <v>0</v>
      </c>
      <c r="L3034" s="169">
        <f>Imput[[#This Row],[Sub total]]+Imput[[#This Row],[IVA]]-Imput[[#This Row],[Retención / IEPS / Descuento]]</f>
        <v>0</v>
      </c>
      <c r="M3034" s="844">
        <v>0</v>
      </c>
      <c r="N3034" s="189"/>
      <c r="O3034" s="1"/>
      <c r="P3034" s="189"/>
      <c r="Q3034" s="190"/>
      <c r="R3034" s="188"/>
      <c r="S3034" s="193"/>
      <c r="T3034" s="192"/>
      <c r="U3034" s="829"/>
      <c r="V3034" s="10"/>
      <c r="W3034" s="10"/>
      <c r="X3034" s="10"/>
      <c r="Y3034" s="10"/>
      <c r="Z3034" s="10"/>
      <c r="AA3034" s="11"/>
      <c r="AB3034" s="11"/>
    </row>
    <row r="3035" spans="2:28" x14ac:dyDescent="0.3">
      <c r="B3035" s="10"/>
      <c r="C3035" s="315"/>
      <c r="D3035" s="868"/>
      <c r="E3035" s="837" t="str">
        <f>IFERROR(IF(_xlfn.XLOOKUP(Imput[[#This Row],[RFC]],'Alta Proveedor'!D:D,'Alta Proveedor'!E:E)=0,"",_xlfn.XLOOKUP(Imput[[#This Row],[RFC]],'Alta Proveedor'!D:D,'Alta Proveedor'!E:E)),"")</f>
        <v/>
      </c>
      <c r="F3035" s="832"/>
      <c r="G3035" s="187"/>
      <c r="H3035" s="1"/>
      <c r="I3035" s="169">
        <f>Imput[[#This Row],[Cantidad]]*Imput[[#This Row],[Precio Unitario]]</f>
        <v>0</v>
      </c>
      <c r="J3035" s="11">
        <f>((Imput[[#This Row],[Sub total]])*(0.16))</f>
        <v>0</v>
      </c>
      <c r="K3035" s="11">
        <v>0</v>
      </c>
      <c r="L3035" s="169">
        <f>Imput[[#This Row],[Sub total]]+Imput[[#This Row],[IVA]]-Imput[[#This Row],[Retención / IEPS / Descuento]]</f>
        <v>0</v>
      </c>
      <c r="M3035" s="844">
        <v>0</v>
      </c>
      <c r="N3035" s="189"/>
      <c r="O3035" s="1"/>
      <c r="P3035" s="189"/>
      <c r="Q3035" s="190"/>
      <c r="R3035" s="188"/>
      <c r="S3035" s="193"/>
      <c r="T3035" s="192"/>
      <c r="U3035" s="829"/>
      <c r="V3035" s="10"/>
      <c r="W3035" s="10"/>
      <c r="X3035" s="10"/>
      <c r="Y3035" s="10"/>
      <c r="Z3035" s="10"/>
      <c r="AA3035" s="11"/>
      <c r="AB3035" s="11"/>
    </row>
    <row r="3036" spans="2:28" x14ac:dyDescent="0.3">
      <c r="B3036" s="10"/>
      <c r="C3036" s="315"/>
      <c r="D3036" s="868"/>
      <c r="E3036" s="837" t="str">
        <f>IFERROR(IF(_xlfn.XLOOKUP(Imput[[#This Row],[RFC]],'Alta Proveedor'!D:D,'Alta Proveedor'!E:E)=0,"",_xlfn.XLOOKUP(Imput[[#This Row],[RFC]],'Alta Proveedor'!D:D,'Alta Proveedor'!E:E)),"")</f>
        <v/>
      </c>
      <c r="F3036" s="832"/>
      <c r="G3036" s="187"/>
      <c r="H3036" s="1"/>
      <c r="I3036" s="169">
        <f>Imput[[#This Row],[Cantidad]]*Imput[[#This Row],[Precio Unitario]]</f>
        <v>0</v>
      </c>
      <c r="J3036" s="11">
        <f>((Imput[[#This Row],[Sub total]])*(0.16))</f>
        <v>0</v>
      </c>
      <c r="K3036" s="11">
        <v>0</v>
      </c>
      <c r="L3036" s="169">
        <f>Imput[[#This Row],[Sub total]]+Imput[[#This Row],[IVA]]-Imput[[#This Row],[Retención / IEPS / Descuento]]</f>
        <v>0</v>
      </c>
      <c r="M3036" s="844">
        <v>0</v>
      </c>
      <c r="N3036" s="189"/>
      <c r="O3036" s="1"/>
      <c r="P3036" s="189"/>
      <c r="Q3036" s="190"/>
      <c r="R3036" s="188"/>
      <c r="S3036" s="193"/>
      <c r="T3036" s="192"/>
      <c r="U3036" s="829"/>
      <c r="V3036" s="10"/>
      <c r="W3036" s="10"/>
      <c r="X3036" s="10"/>
      <c r="Y3036" s="10"/>
      <c r="Z3036" s="10"/>
      <c r="AA3036" s="11"/>
      <c r="AB3036" s="11"/>
    </row>
    <row r="3037" spans="2:28" x14ac:dyDescent="0.3">
      <c r="B3037" s="10"/>
      <c r="C3037" s="315"/>
      <c r="D3037" s="868"/>
      <c r="E3037" s="837" t="str">
        <f>IFERROR(IF(_xlfn.XLOOKUP(Imput[[#This Row],[RFC]],'Alta Proveedor'!D:D,'Alta Proveedor'!E:E)=0,"",_xlfn.XLOOKUP(Imput[[#This Row],[RFC]],'Alta Proveedor'!D:D,'Alta Proveedor'!E:E)),"")</f>
        <v/>
      </c>
      <c r="F3037" s="832"/>
      <c r="G3037" s="187"/>
      <c r="H3037" s="1"/>
      <c r="I3037" s="169">
        <f>Imput[[#This Row],[Cantidad]]*Imput[[#This Row],[Precio Unitario]]</f>
        <v>0</v>
      </c>
      <c r="J3037" s="11">
        <f>((Imput[[#This Row],[Sub total]])*(0.16))</f>
        <v>0</v>
      </c>
      <c r="K3037" s="11">
        <v>0</v>
      </c>
      <c r="L3037" s="169">
        <f>Imput[[#This Row],[Sub total]]+Imput[[#This Row],[IVA]]-Imput[[#This Row],[Retención / IEPS / Descuento]]</f>
        <v>0</v>
      </c>
      <c r="M3037" s="844">
        <v>0</v>
      </c>
      <c r="N3037" s="189"/>
      <c r="O3037" s="1"/>
      <c r="P3037" s="189"/>
      <c r="Q3037" s="190"/>
      <c r="R3037" s="188"/>
      <c r="S3037" s="193"/>
      <c r="T3037" s="192"/>
      <c r="U3037" s="829"/>
      <c r="V3037" s="10"/>
      <c r="W3037" s="10"/>
      <c r="X3037" s="10"/>
      <c r="Y3037" s="10"/>
      <c r="Z3037" s="10"/>
      <c r="AA3037" s="11"/>
      <c r="AB3037" s="11"/>
    </row>
    <row r="3038" spans="2:28" x14ac:dyDescent="0.3">
      <c r="B3038" s="10"/>
      <c r="C3038" s="315"/>
      <c r="D3038" s="868"/>
      <c r="E3038" s="837" t="str">
        <f>IFERROR(IF(_xlfn.XLOOKUP(Imput[[#This Row],[RFC]],'Alta Proveedor'!D:D,'Alta Proveedor'!E:E)=0,"",_xlfn.XLOOKUP(Imput[[#This Row],[RFC]],'Alta Proveedor'!D:D,'Alta Proveedor'!E:E)),"")</f>
        <v/>
      </c>
      <c r="F3038" s="832"/>
      <c r="G3038" s="187"/>
      <c r="H3038" s="1"/>
      <c r="I3038" s="169">
        <f>Imput[[#This Row],[Cantidad]]*Imput[[#This Row],[Precio Unitario]]</f>
        <v>0</v>
      </c>
      <c r="J3038" s="11">
        <f>((Imput[[#This Row],[Sub total]])*(0.16))</f>
        <v>0</v>
      </c>
      <c r="K3038" s="11">
        <v>0</v>
      </c>
      <c r="L3038" s="169">
        <f>Imput[[#This Row],[Sub total]]+Imput[[#This Row],[IVA]]-Imput[[#This Row],[Retención / IEPS / Descuento]]</f>
        <v>0</v>
      </c>
      <c r="M3038" s="844">
        <v>0</v>
      </c>
      <c r="N3038" s="189"/>
      <c r="O3038" s="1"/>
      <c r="P3038" s="189"/>
      <c r="Q3038" s="190"/>
      <c r="R3038" s="188"/>
      <c r="S3038" s="193"/>
      <c r="T3038" s="192"/>
      <c r="U3038" s="829"/>
      <c r="V3038" s="10"/>
      <c r="W3038" s="10"/>
      <c r="X3038" s="10"/>
      <c r="Y3038" s="10"/>
      <c r="Z3038" s="10"/>
      <c r="AA3038" s="11"/>
      <c r="AB3038" s="11"/>
    </row>
    <row r="3039" spans="2:28" x14ac:dyDescent="0.3">
      <c r="B3039" s="10"/>
      <c r="C3039" s="315"/>
      <c r="D3039" s="868"/>
      <c r="E3039" s="837" t="str">
        <f>IFERROR(IF(_xlfn.XLOOKUP(Imput[[#This Row],[RFC]],'Alta Proveedor'!D:D,'Alta Proveedor'!E:E)=0,"",_xlfn.XLOOKUP(Imput[[#This Row],[RFC]],'Alta Proveedor'!D:D,'Alta Proveedor'!E:E)),"")</f>
        <v/>
      </c>
      <c r="F3039" s="832"/>
      <c r="G3039" s="187"/>
      <c r="H3039" s="1"/>
      <c r="I3039" s="169">
        <f>Imput[[#This Row],[Cantidad]]*Imput[[#This Row],[Precio Unitario]]</f>
        <v>0</v>
      </c>
      <c r="J3039" s="11">
        <f>((Imput[[#This Row],[Sub total]])*(0.16))</f>
        <v>0</v>
      </c>
      <c r="K3039" s="11">
        <v>0</v>
      </c>
      <c r="L3039" s="169">
        <f>Imput[[#This Row],[Sub total]]+Imput[[#This Row],[IVA]]-Imput[[#This Row],[Retención / IEPS / Descuento]]</f>
        <v>0</v>
      </c>
      <c r="M3039" s="844">
        <v>0</v>
      </c>
      <c r="N3039" s="189"/>
      <c r="O3039" s="1"/>
      <c r="P3039" s="189"/>
      <c r="Q3039" s="190"/>
      <c r="R3039" s="188"/>
      <c r="S3039" s="193"/>
      <c r="T3039" s="192"/>
      <c r="U3039" s="829"/>
      <c r="V3039" s="10"/>
      <c r="W3039" s="10"/>
      <c r="X3039" s="10"/>
      <c r="Y3039" s="10"/>
      <c r="Z3039" s="10"/>
      <c r="AA3039" s="11"/>
      <c r="AB3039" s="11"/>
    </row>
    <row r="3040" spans="2:28" x14ac:dyDescent="0.3">
      <c r="B3040" s="10"/>
      <c r="C3040" s="315"/>
      <c r="D3040" s="868"/>
      <c r="E3040" s="837" t="str">
        <f>IFERROR(IF(_xlfn.XLOOKUP(Imput[[#This Row],[RFC]],'Alta Proveedor'!D:D,'Alta Proveedor'!E:E)=0,"",_xlfn.XLOOKUP(Imput[[#This Row],[RFC]],'Alta Proveedor'!D:D,'Alta Proveedor'!E:E)),"")</f>
        <v/>
      </c>
      <c r="F3040" s="832"/>
      <c r="G3040" s="187"/>
      <c r="H3040" s="1"/>
      <c r="I3040" s="169">
        <f>Imput[[#This Row],[Cantidad]]*Imput[[#This Row],[Precio Unitario]]</f>
        <v>0</v>
      </c>
      <c r="J3040" s="11">
        <f>((Imput[[#This Row],[Sub total]])*(0.16))</f>
        <v>0</v>
      </c>
      <c r="K3040" s="11">
        <v>0</v>
      </c>
      <c r="L3040" s="169">
        <f>Imput[[#This Row],[Sub total]]+Imput[[#This Row],[IVA]]-Imput[[#This Row],[Retención / IEPS / Descuento]]</f>
        <v>0</v>
      </c>
      <c r="M3040" s="844">
        <v>0</v>
      </c>
      <c r="N3040" s="189"/>
      <c r="O3040" s="1"/>
      <c r="P3040" s="189"/>
      <c r="Q3040" s="190"/>
      <c r="R3040" s="188"/>
      <c r="S3040" s="193"/>
      <c r="T3040" s="192"/>
      <c r="U3040" s="829"/>
      <c r="V3040" s="10"/>
      <c r="W3040" s="10"/>
      <c r="X3040" s="10"/>
      <c r="Y3040" s="10"/>
      <c r="Z3040" s="10"/>
      <c r="AA3040" s="11"/>
      <c r="AB3040" s="11"/>
    </row>
    <row r="3041" spans="2:28" x14ac:dyDescent="0.3">
      <c r="B3041" s="10"/>
      <c r="C3041" s="315"/>
      <c r="D3041" s="868"/>
      <c r="E3041" s="837" t="str">
        <f>IFERROR(IF(_xlfn.XLOOKUP(Imput[[#This Row],[RFC]],'Alta Proveedor'!D:D,'Alta Proveedor'!E:E)=0,"",_xlfn.XLOOKUP(Imput[[#This Row],[RFC]],'Alta Proveedor'!D:D,'Alta Proveedor'!E:E)),"")</f>
        <v/>
      </c>
      <c r="F3041" s="832"/>
      <c r="G3041" s="187"/>
      <c r="H3041" s="1"/>
      <c r="I3041" s="169">
        <f>Imput[[#This Row],[Cantidad]]*Imput[[#This Row],[Precio Unitario]]</f>
        <v>0</v>
      </c>
      <c r="J3041" s="11">
        <f>((Imput[[#This Row],[Sub total]])*(0.16))</f>
        <v>0</v>
      </c>
      <c r="K3041" s="11">
        <v>0</v>
      </c>
      <c r="L3041" s="169">
        <f>Imput[[#This Row],[Sub total]]+Imput[[#This Row],[IVA]]-Imput[[#This Row],[Retención / IEPS / Descuento]]</f>
        <v>0</v>
      </c>
      <c r="M3041" s="844">
        <v>0</v>
      </c>
      <c r="N3041" s="189"/>
      <c r="O3041" s="1"/>
      <c r="P3041" s="189"/>
      <c r="Q3041" s="190"/>
      <c r="R3041" s="188"/>
      <c r="S3041" s="193"/>
      <c r="T3041" s="192"/>
      <c r="U3041" s="829"/>
      <c r="V3041" s="10"/>
      <c r="W3041" s="10"/>
      <c r="X3041" s="10"/>
      <c r="Y3041" s="10"/>
      <c r="Z3041" s="10"/>
      <c r="AA3041" s="11"/>
      <c r="AB3041" s="11"/>
    </row>
    <row r="3042" spans="2:28" x14ac:dyDescent="0.3">
      <c r="B3042" s="10"/>
      <c r="C3042" s="315"/>
      <c r="D3042" s="868"/>
      <c r="E3042" s="837" t="str">
        <f>IFERROR(IF(_xlfn.XLOOKUP(Imput[[#This Row],[RFC]],'Alta Proveedor'!D:D,'Alta Proveedor'!E:E)=0,"",_xlfn.XLOOKUP(Imput[[#This Row],[RFC]],'Alta Proveedor'!D:D,'Alta Proveedor'!E:E)),"")</f>
        <v/>
      </c>
      <c r="F3042" s="832"/>
      <c r="G3042" s="187"/>
      <c r="H3042" s="1"/>
      <c r="I3042" s="169">
        <f>Imput[[#This Row],[Cantidad]]*Imput[[#This Row],[Precio Unitario]]</f>
        <v>0</v>
      </c>
      <c r="J3042" s="11">
        <f>((Imput[[#This Row],[Sub total]])*(0.16))</f>
        <v>0</v>
      </c>
      <c r="K3042" s="11">
        <v>0</v>
      </c>
      <c r="L3042" s="169">
        <f>Imput[[#This Row],[Sub total]]+Imput[[#This Row],[IVA]]-Imput[[#This Row],[Retención / IEPS / Descuento]]</f>
        <v>0</v>
      </c>
      <c r="M3042" s="844">
        <v>0</v>
      </c>
      <c r="N3042" s="189"/>
      <c r="O3042" s="1"/>
      <c r="P3042" s="189"/>
      <c r="Q3042" s="190"/>
      <c r="R3042" s="188"/>
      <c r="S3042" s="193"/>
      <c r="T3042" s="192"/>
      <c r="U3042" s="829"/>
      <c r="V3042" s="10"/>
      <c r="W3042" s="10"/>
      <c r="X3042" s="10"/>
      <c r="Y3042" s="10"/>
      <c r="Z3042" s="10"/>
      <c r="AA3042" s="11"/>
      <c r="AB3042" s="11"/>
    </row>
    <row r="3043" spans="2:28" x14ac:dyDescent="0.3">
      <c r="B3043" s="10"/>
      <c r="C3043" s="315"/>
      <c r="D3043" s="868"/>
      <c r="E3043" s="837" t="str">
        <f>IFERROR(IF(_xlfn.XLOOKUP(Imput[[#This Row],[RFC]],'Alta Proveedor'!D:D,'Alta Proveedor'!E:E)=0,"",_xlfn.XLOOKUP(Imput[[#This Row],[RFC]],'Alta Proveedor'!D:D,'Alta Proveedor'!E:E)),"")</f>
        <v/>
      </c>
      <c r="F3043" s="832"/>
      <c r="G3043" s="187"/>
      <c r="H3043" s="1"/>
      <c r="I3043" s="169">
        <f>Imput[[#This Row],[Cantidad]]*Imput[[#This Row],[Precio Unitario]]</f>
        <v>0</v>
      </c>
      <c r="J3043" s="11">
        <f>((Imput[[#This Row],[Sub total]])*(0.16))</f>
        <v>0</v>
      </c>
      <c r="K3043" s="11">
        <v>0</v>
      </c>
      <c r="L3043" s="169">
        <f>Imput[[#This Row],[Sub total]]+Imput[[#This Row],[IVA]]-Imput[[#This Row],[Retención / IEPS / Descuento]]</f>
        <v>0</v>
      </c>
      <c r="M3043" s="844">
        <v>0</v>
      </c>
      <c r="N3043" s="189"/>
      <c r="O3043" s="1"/>
      <c r="P3043" s="189"/>
      <c r="Q3043" s="190"/>
      <c r="R3043" s="188"/>
      <c r="S3043" s="193"/>
      <c r="T3043" s="192"/>
      <c r="U3043" s="829"/>
      <c r="V3043" s="10"/>
      <c r="W3043" s="10"/>
      <c r="X3043" s="10"/>
      <c r="Y3043" s="10"/>
      <c r="Z3043" s="10"/>
      <c r="AA3043" s="11"/>
      <c r="AB3043" s="11"/>
    </row>
    <row r="3044" spans="2:28" x14ac:dyDescent="0.3">
      <c r="B3044" s="10"/>
      <c r="C3044" s="315"/>
      <c r="D3044" s="868"/>
      <c r="E3044" s="837" t="str">
        <f>IFERROR(IF(_xlfn.XLOOKUP(Imput[[#This Row],[RFC]],'Alta Proveedor'!D:D,'Alta Proveedor'!E:E)=0,"",_xlfn.XLOOKUP(Imput[[#This Row],[RFC]],'Alta Proveedor'!D:D,'Alta Proveedor'!E:E)),"")</f>
        <v/>
      </c>
      <c r="F3044" s="832"/>
      <c r="G3044" s="187"/>
      <c r="H3044" s="1"/>
      <c r="I3044" s="169">
        <f>Imput[[#This Row],[Cantidad]]*Imput[[#This Row],[Precio Unitario]]</f>
        <v>0</v>
      </c>
      <c r="J3044" s="11">
        <f>((Imput[[#This Row],[Sub total]])*(0.16))</f>
        <v>0</v>
      </c>
      <c r="K3044" s="11">
        <v>0</v>
      </c>
      <c r="L3044" s="169">
        <f>Imput[[#This Row],[Sub total]]+Imput[[#This Row],[IVA]]-Imput[[#This Row],[Retención / IEPS / Descuento]]</f>
        <v>0</v>
      </c>
      <c r="M3044" s="844">
        <v>0</v>
      </c>
      <c r="N3044" s="189"/>
      <c r="O3044" s="1"/>
      <c r="P3044" s="189"/>
      <c r="Q3044" s="190"/>
      <c r="R3044" s="188"/>
      <c r="S3044" s="193"/>
      <c r="T3044" s="192"/>
      <c r="U3044" s="829"/>
      <c r="V3044" s="10"/>
      <c r="W3044" s="10"/>
      <c r="X3044" s="10"/>
      <c r="Y3044" s="10"/>
      <c r="Z3044" s="10"/>
      <c r="AA3044" s="11"/>
      <c r="AB3044" s="11"/>
    </row>
    <row r="3045" spans="2:28" x14ac:dyDescent="0.3">
      <c r="B3045" s="10"/>
      <c r="C3045" s="315"/>
      <c r="D3045" s="868"/>
      <c r="E3045" s="837" t="str">
        <f>IFERROR(IF(_xlfn.XLOOKUP(Imput[[#This Row],[RFC]],'Alta Proveedor'!D:D,'Alta Proveedor'!E:E)=0,"",_xlfn.XLOOKUP(Imput[[#This Row],[RFC]],'Alta Proveedor'!D:D,'Alta Proveedor'!E:E)),"")</f>
        <v/>
      </c>
      <c r="F3045" s="832"/>
      <c r="G3045" s="187"/>
      <c r="H3045" s="1"/>
      <c r="I3045" s="169">
        <f>Imput[[#This Row],[Cantidad]]*Imput[[#This Row],[Precio Unitario]]</f>
        <v>0</v>
      </c>
      <c r="J3045" s="11">
        <f>((Imput[[#This Row],[Sub total]])*(0.16))</f>
        <v>0</v>
      </c>
      <c r="K3045" s="11">
        <v>0</v>
      </c>
      <c r="L3045" s="169">
        <f>Imput[[#This Row],[Sub total]]+Imput[[#This Row],[IVA]]-Imput[[#This Row],[Retención / IEPS / Descuento]]</f>
        <v>0</v>
      </c>
      <c r="M3045" s="844">
        <v>0</v>
      </c>
      <c r="N3045" s="189"/>
      <c r="O3045" s="1"/>
      <c r="P3045" s="189"/>
      <c r="Q3045" s="190"/>
      <c r="R3045" s="188"/>
      <c r="S3045" s="193"/>
      <c r="T3045" s="192"/>
      <c r="U3045" s="829"/>
      <c r="V3045" s="10"/>
      <c r="W3045" s="10"/>
      <c r="X3045" s="10"/>
      <c r="Y3045" s="10"/>
      <c r="Z3045" s="10"/>
      <c r="AA3045" s="11"/>
      <c r="AB3045" s="11"/>
    </row>
    <row r="3046" spans="2:28" x14ac:dyDescent="0.3">
      <c r="B3046" s="10"/>
      <c r="C3046" s="315"/>
      <c r="D3046" s="868"/>
      <c r="E3046" s="837" t="str">
        <f>IFERROR(IF(_xlfn.XLOOKUP(Imput[[#This Row],[RFC]],'Alta Proveedor'!D:D,'Alta Proveedor'!E:E)=0,"",_xlfn.XLOOKUP(Imput[[#This Row],[RFC]],'Alta Proveedor'!D:D,'Alta Proveedor'!E:E)),"")</f>
        <v/>
      </c>
      <c r="F3046" s="832"/>
      <c r="G3046" s="187"/>
      <c r="H3046" s="1"/>
      <c r="I3046" s="169">
        <f>Imput[[#This Row],[Cantidad]]*Imput[[#This Row],[Precio Unitario]]</f>
        <v>0</v>
      </c>
      <c r="J3046" s="11">
        <f>((Imput[[#This Row],[Sub total]])*(0.16))</f>
        <v>0</v>
      </c>
      <c r="K3046" s="11">
        <v>0</v>
      </c>
      <c r="L3046" s="169">
        <f>Imput[[#This Row],[Sub total]]+Imput[[#This Row],[IVA]]-Imput[[#This Row],[Retención / IEPS / Descuento]]</f>
        <v>0</v>
      </c>
      <c r="M3046" s="844">
        <v>0</v>
      </c>
      <c r="N3046" s="189"/>
      <c r="O3046" s="1"/>
      <c r="P3046" s="189"/>
      <c r="Q3046" s="190"/>
      <c r="R3046" s="188"/>
      <c r="S3046" s="193"/>
      <c r="T3046" s="192"/>
      <c r="U3046" s="829"/>
      <c r="V3046" s="10"/>
      <c r="W3046" s="10"/>
      <c r="X3046" s="10"/>
      <c r="Y3046" s="10"/>
      <c r="Z3046" s="10"/>
      <c r="AA3046" s="11"/>
      <c r="AB3046" s="11"/>
    </row>
    <row r="3047" spans="2:28" x14ac:dyDescent="0.3">
      <c r="B3047" s="10"/>
      <c r="C3047" s="315"/>
      <c r="D3047" s="868"/>
      <c r="E3047" s="837" t="str">
        <f>IFERROR(IF(_xlfn.XLOOKUP(Imput[[#This Row],[RFC]],'Alta Proveedor'!D:D,'Alta Proveedor'!E:E)=0,"",_xlfn.XLOOKUP(Imput[[#This Row],[RFC]],'Alta Proveedor'!D:D,'Alta Proveedor'!E:E)),"")</f>
        <v/>
      </c>
      <c r="F3047" s="832"/>
      <c r="G3047" s="187"/>
      <c r="H3047" s="1"/>
      <c r="I3047" s="169">
        <f>Imput[[#This Row],[Cantidad]]*Imput[[#This Row],[Precio Unitario]]</f>
        <v>0</v>
      </c>
      <c r="J3047" s="11">
        <f>((Imput[[#This Row],[Sub total]])*(0.16))</f>
        <v>0</v>
      </c>
      <c r="K3047" s="11">
        <v>0</v>
      </c>
      <c r="L3047" s="169">
        <f>Imput[[#This Row],[Sub total]]+Imput[[#This Row],[IVA]]-Imput[[#This Row],[Retención / IEPS / Descuento]]</f>
        <v>0</v>
      </c>
      <c r="M3047" s="844">
        <v>0</v>
      </c>
      <c r="N3047" s="189"/>
      <c r="O3047" s="1"/>
      <c r="P3047" s="189"/>
      <c r="Q3047" s="190"/>
      <c r="R3047" s="188"/>
      <c r="S3047" s="193"/>
      <c r="T3047" s="192"/>
      <c r="U3047" s="829"/>
      <c r="V3047" s="10"/>
      <c r="W3047" s="10"/>
      <c r="X3047" s="10"/>
      <c r="Y3047" s="10"/>
      <c r="Z3047" s="10"/>
      <c r="AA3047" s="11"/>
      <c r="AB3047" s="11"/>
    </row>
    <row r="3048" spans="2:28" x14ac:dyDescent="0.3">
      <c r="B3048" s="10"/>
      <c r="C3048" s="315"/>
      <c r="D3048" s="868"/>
      <c r="E3048" s="837" t="str">
        <f>IFERROR(IF(_xlfn.XLOOKUP(Imput[[#This Row],[RFC]],'Alta Proveedor'!D:D,'Alta Proveedor'!E:E)=0,"",_xlfn.XLOOKUP(Imput[[#This Row],[RFC]],'Alta Proveedor'!D:D,'Alta Proveedor'!E:E)),"")</f>
        <v/>
      </c>
      <c r="F3048" s="832"/>
      <c r="G3048" s="187"/>
      <c r="H3048" s="1"/>
      <c r="I3048" s="169">
        <f>Imput[[#This Row],[Cantidad]]*Imput[[#This Row],[Precio Unitario]]</f>
        <v>0</v>
      </c>
      <c r="J3048" s="11">
        <f>((Imput[[#This Row],[Sub total]])*(0.16))</f>
        <v>0</v>
      </c>
      <c r="K3048" s="11">
        <v>0</v>
      </c>
      <c r="L3048" s="169">
        <f>Imput[[#This Row],[Sub total]]+Imput[[#This Row],[IVA]]-Imput[[#This Row],[Retención / IEPS / Descuento]]</f>
        <v>0</v>
      </c>
      <c r="M3048" s="844">
        <v>0</v>
      </c>
      <c r="N3048" s="189"/>
      <c r="O3048" s="1"/>
      <c r="P3048" s="189"/>
      <c r="Q3048" s="190"/>
      <c r="R3048" s="188"/>
      <c r="S3048" s="193"/>
      <c r="T3048" s="192"/>
      <c r="U3048" s="829"/>
      <c r="V3048" s="10"/>
      <c r="W3048" s="10"/>
      <c r="X3048" s="10"/>
      <c r="Y3048" s="10"/>
      <c r="Z3048" s="10"/>
      <c r="AA3048" s="11"/>
      <c r="AB3048" s="11"/>
    </row>
    <row r="3049" spans="2:28" x14ac:dyDescent="0.3">
      <c r="B3049" s="10"/>
      <c r="C3049" s="315"/>
      <c r="D3049" s="868"/>
      <c r="E3049" s="837" t="str">
        <f>IFERROR(IF(_xlfn.XLOOKUP(Imput[[#This Row],[RFC]],'Alta Proveedor'!D:D,'Alta Proveedor'!E:E)=0,"",_xlfn.XLOOKUP(Imput[[#This Row],[RFC]],'Alta Proveedor'!D:D,'Alta Proveedor'!E:E)),"")</f>
        <v/>
      </c>
      <c r="F3049" s="832"/>
      <c r="G3049" s="187"/>
      <c r="H3049" s="1"/>
      <c r="I3049" s="169">
        <f>Imput[[#This Row],[Cantidad]]*Imput[[#This Row],[Precio Unitario]]</f>
        <v>0</v>
      </c>
      <c r="J3049" s="11">
        <f>((Imput[[#This Row],[Sub total]])*(0.16))</f>
        <v>0</v>
      </c>
      <c r="K3049" s="11">
        <v>0</v>
      </c>
      <c r="L3049" s="169">
        <f>Imput[[#This Row],[Sub total]]+Imput[[#This Row],[IVA]]-Imput[[#This Row],[Retención / IEPS / Descuento]]</f>
        <v>0</v>
      </c>
      <c r="M3049" s="844">
        <v>0</v>
      </c>
      <c r="N3049" s="189"/>
      <c r="O3049" s="1"/>
      <c r="P3049" s="189"/>
      <c r="Q3049" s="190"/>
      <c r="R3049" s="188"/>
      <c r="S3049" s="193"/>
      <c r="T3049" s="192"/>
      <c r="U3049" s="829"/>
      <c r="V3049" s="10"/>
      <c r="W3049" s="10"/>
      <c r="X3049" s="10"/>
      <c r="Y3049" s="10"/>
      <c r="Z3049" s="10"/>
      <c r="AA3049" s="11"/>
      <c r="AB3049" s="11"/>
    </row>
    <row r="3050" spans="2:28" x14ac:dyDescent="0.3">
      <c r="B3050" s="10"/>
      <c r="C3050" s="315"/>
      <c r="D3050" s="868"/>
      <c r="E3050" s="837" t="str">
        <f>IFERROR(IF(_xlfn.XLOOKUP(Imput[[#This Row],[RFC]],'Alta Proveedor'!D:D,'Alta Proveedor'!E:E)=0,"",_xlfn.XLOOKUP(Imput[[#This Row],[RFC]],'Alta Proveedor'!D:D,'Alta Proveedor'!E:E)),"")</f>
        <v/>
      </c>
      <c r="F3050" s="832"/>
      <c r="G3050" s="187"/>
      <c r="H3050" s="1"/>
      <c r="I3050" s="169">
        <f>Imput[[#This Row],[Cantidad]]*Imput[[#This Row],[Precio Unitario]]</f>
        <v>0</v>
      </c>
      <c r="J3050" s="11">
        <f>((Imput[[#This Row],[Sub total]])*(0.16))</f>
        <v>0</v>
      </c>
      <c r="K3050" s="11">
        <v>0</v>
      </c>
      <c r="L3050" s="169">
        <f>Imput[[#This Row],[Sub total]]+Imput[[#This Row],[IVA]]-Imput[[#This Row],[Retención / IEPS / Descuento]]</f>
        <v>0</v>
      </c>
      <c r="M3050" s="844">
        <v>0</v>
      </c>
      <c r="N3050" s="189"/>
      <c r="O3050" s="1"/>
      <c r="P3050" s="189"/>
      <c r="Q3050" s="190"/>
      <c r="R3050" s="188"/>
      <c r="S3050" s="193"/>
      <c r="T3050" s="192"/>
      <c r="U3050" s="829"/>
      <c r="V3050" s="10"/>
      <c r="W3050" s="10"/>
      <c r="X3050" s="10"/>
      <c r="Y3050" s="10"/>
      <c r="Z3050" s="10"/>
      <c r="AA3050" s="11"/>
      <c r="AB3050" s="11"/>
    </row>
    <row r="3051" spans="2:28" x14ac:dyDescent="0.3">
      <c r="B3051" s="10"/>
      <c r="C3051" s="315"/>
      <c r="D3051" s="868"/>
      <c r="E3051" s="837" t="str">
        <f>IFERROR(IF(_xlfn.XLOOKUP(Imput[[#This Row],[RFC]],'Alta Proveedor'!D:D,'Alta Proveedor'!E:E)=0,"",_xlfn.XLOOKUP(Imput[[#This Row],[RFC]],'Alta Proveedor'!D:D,'Alta Proveedor'!E:E)),"")</f>
        <v/>
      </c>
      <c r="F3051" s="832"/>
      <c r="G3051" s="187"/>
      <c r="H3051" s="1"/>
      <c r="I3051" s="169">
        <f>Imput[[#This Row],[Cantidad]]*Imput[[#This Row],[Precio Unitario]]</f>
        <v>0</v>
      </c>
      <c r="J3051" s="11">
        <f>((Imput[[#This Row],[Sub total]])*(0.16))</f>
        <v>0</v>
      </c>
      <c r="K3051" s="11">
        <v>0</v>
      </c>
      <c r="L3051" s="169">
        <f>Imput[[#This Row],[Sub total]]+Imput[[#This Row],[IVA]]-Imput[[#This Row],[Retención / IEPS / Descuento]]</f>
        <v>0</v>
      </c>
      <c r="M3051" s="844">
        <v>0</v>
      </c>
      <c r="N3051" s="189"/>
      <c r="O3051" s="1"/>
      <c r="P3051" s="189"/>
      <c r="Q3051" s="190"/>
      <c r="R3051" s="188"/>
      <c r="S3051" s="193"/>
      <c r="T3051" s="192"/>
      <c r="U3051" s="829"/>
      <c r="V3051" s="10"/>
      <c r="W3051" s="10"/>
      <c r="X3051" s="10"/>
      <c r="Y3051" s="10"/>
      <c r="Z3051" s="10"/>
      <c r="AA3051" s="11"/>
      <c r="AB3051" s="11"/>
    </row>
    <row r="3052" spans="2:28" x14ac:dyDescent="0.3">
      <c r="B3052" s="10"/>
      <c r="C3052" s="315"/>
      <c r="D3052" s="868"/>
      <c r="E3052" s="837" t="str">
        <f>IFERROR(IF(_xlfn.XLOOKUP(Imput[[#This Row],[RFC]],'Alta Proveedor'!D:D,'Alta Proveedor'!E:E)=0,"",_xlfn.XLOOKUP(Imput[[#This Row],[RFC]],'Alta Proveedor'!D:D,'Alta Proveedor'!E:E)),"")</f>
        <v/>
      </c>
      <c r="F3052" s="832"/>
      <c r="G3052" s="187"/>
      <c r="H3052" s="1"/>
      <c r="I3052" s="169">
        <f>Imput[[#This Row],[Cantidad]]*Imput[[#This Row],[Precio Unitario]]</f>
        <v>0</v>
      </c>
      <c r="J3052" s="11">
        <f>((Imput[[#This Row],[Sub total]])*(0.16))</f>
        <v>0</v>
      </c>
      <c r="K3052" s="11">
        <v>0</v>
      </c>
      <c r="L3052" s="169">
        <f>Imput[[#This Row],[Sub total]]+Imput[[#This Row],[IVA]]-Imput[[#This Row],[Retención / IEPS / Descuento]]</f>
        <v>0</v>
      </c>
      <c r="M3052" s="844">
        <v>0</v>
      </c>
      <c r="N3052" s="189"/>
      <c r="O3052" s="1"/>
      <c r="P3052" s="189"/>
      <c r="Q3052" s="190"/>
      <c r="R3052" s="188"/>
      <c r="S3052" s="193"/>
      <c r="T3052" s="192"/>
      <c r="U3052" s="829"/>
      <c r="V3052" s="10"/>
      <c r="W3052" s="10"/>
      <c r="X3052" s="10"/>
      <c r="Y3052" s="10"/>
      <c r="Z3052" s="10"/>
      <c r="AA3052" s="11"/>
      <c r="AB3052" s="11"/>
    </row>
    <row r="3053" spans="2:28" x14ac:dyDescent="0.3">
      <c r="B3053" s="10"/>
      <c r="C3053" s="315"/>
      <c r="D3053" s="868"/>
      <c r="E3053" s="837" t="str">
        <f>IFERROR(IF(_xlfn.XLOOKUP(Imput[[#This Row],[RFC]],'Alta Proveedor'!D:D,'Alta Proveedor'!E:E)=0,"",_xlfn.XLOOKUP(Imput[[#This Row],[RFC]],'Alta Proveedor'!D:D,'Alta Proveedor'!E:E)),"")</f>
        <v/>
      </c>
      <c r="F3053" s="832"/>
      <c r="G3053" s="187"/>
      <c r="H3053" s="1"/>
      <c r="I3053" s="169">
        <f>Imput[[#This Row],[Cantidad]]*Imput[[#This Row],[Precio Unitario]]</f>
        <v>0</v>
      </c>
      <c r="J3053" s="11">
        <f>((Imput[[#This Row],[Sub total]])*(0.16))</f>
        <v>0</v>
      </c>
      <c r="K3053" s="11">
        <v>0</v>
      </c>
      <c r="L3053" s="169">
        <f>Imput[[#This Row],[Sub total]]+Imput[[#This Row],[IVA]]-Imput[[#This Row],[Retención / IEPS / Descuento]]</f>
        <v>0</v>
      </c>
      <c r="M3053" s="844">
        <v>0</v>
      </c>
      <c r="N3053" s="189"/>
      <c r="O3053" s="1"/>
      <c r="P3053" s="189"/>
      <c r="Q3053" s="190"/>
      <c r="R3053" s="188"/>
      <c r="S3053" s="193"/>
      <c r="T3053" s="192"/>
      <c r="U3053" s="829"/>
      <c r="V3053" s="10"/>
      <c r="W3053" s="10"/>
      <c r="X3053" s="10"/>
      <c r="Y3053" s="10"/>
      <c r="Z3053" s="10"/>
      <c r="AA3053" s="11"/>
      <c r="AB3053" s="11"/>
    </row>
    <row r="3054" spans="2:28" x14ac:dyDescent="0.3">
      <c r="B3054" s="10"/>
      <c r="C3054" s="315"/>
      <c r="D3054" s="868"/>
      <c r="E3054" s="837" t="str">
        <f>IFERROR(IF(_xlfn.XLOOKUP(Imput[[#This Row],[RFC]],'Alta Proveedor'!D:D,'Alta Proveedor'!E:E)=0,"",_xlfn.XLOOKUP(Imput[[#This Row],[RFC]],'Alta Proveedor'!D:D,'Alta Proveedor'!E:E)),"")</f>
        <v/>
      </c>
      <c r="F3054" s="832"/>
      <c r="G3054" s="187"/>
      <c r="H3054" s="1"/>
      <c r="I3054" s="169">
        <f>Imput[[#This Row],[Cantidad]]*Imput[[#This Row],[Precio Unitario]]</f>
        <v>0</v>
      </c>
      <c r="J3054" s="11">
        <f>((Imput[[#This Row],[Sub total]])*(0.16))</f>
        <v>0</v>
      </c>
      <c r="K3054" s="11">
        <v>0</v>
      </c>
      <c r="L3054" s="169">
        <f>Imput[[#This Row],[Sub total]]+Imput[[#This Row],[IVA]]-Imput[[#This Row],[Retención / IEPS / Descuento]]</f>
        <v>0</v>
      </c>
      <c r="M3054" s="844">
        <v>0</v>
      </c>
      <c r="N3054" s="189"/>
      <c r="O3054" s="1"/>
      <c r="P3054" s="189"/>
      <c r="Q3054" s="190"/>
      <c r="R3054" s="188"/>
      <c r="S3054" s="193"/>
      <c r="T3054" s="192"/>
      <c r="U3054" s="829"/>
      <c r="V3054" s="10"/>
      <c r="W3054" s="10"/>
      <c r="X3054" s="10"/>
      <c r="Y3054" s="10"/>
      <c r="Z3054" s="10"/>
      <c r="AA3054" s="11"/>
      <c r="AB3054" s="11"/>
    </row>
    <row r="3055" spans="2:28" x14ac:dyDescent="0.3">
      <c r="B3055" s="10"/>
      <c r="C3055" s="315"/>
      <c r="D3055" s="868"/>
      <c r="E3055" s="837" t="str">
        <f>IFERROR(IF(_xlfn.XLOOKUP(Imput[[#This Row],[RFC]],'Alta Proveedor'!D:D,'Alta Proveedor'!E:E)=0,"",_xlfn.XLOOKUP(Imput[[#This Row],[RFC]],'Alta Proveedor'!D:D,'Alta Proveedor'!E:E)),"")</f>
        <v/>
      </c>
      <c r="F3055" s="832"/>
      <c r="G3055" s="187"/>
      <c r="H3055" s="1"/>
      <c r="I3055" s="169">
        <f>Imput[[#This Row],[Cantidad]]*Imput[[#This Row],[Precio Unitario]]</f>
        <v>0</v>
      </c>
      <c r="J3055" s="11">
        <f>((Imput[[#This Row],[Sub total]])*(0.16))</f>
        <v>0</v>
      </c>
      <c r="K3055" s="11">
        <v>0</v>
      </c>
      <c r="L3055" s="169">
        <f>Imput[[#This Row],[Sub total]]+Imput[[#This Row],[IVA]]-Imput[[#This Row],[Retención / IEPS / Descuento]]</f>
        <v>0</v>
      </c>
      <c r="M3055" s="844">
        <v>0</v>
      </c>
      <c r="N3055" s="189"/>
      <c r="O3055" s="1"/>
      <c r="P3055" s="189"/>
      <c r="Q3055" s="190"/>
      <c r="R3055" s="188"/>
      <c r="S3055" s="193"/>
      <c r="T3055" s="192"/>
      <c r="U3055" s="829"/>
      <c r="V3055" s="10"/>
      <c r="W3055" s="10"/>
      <c r="X3055" s="10"/>
      <c r="Y3055" s="10"/>
      <c r="Z3055" s="10"/>
      <c r="AA3055" s="11"/>
      <c r="AB3055" s="11"/>
    </row>
    <row r="3056" spans="2:28" x14ac:dyDescent="0.3">
      <c r="B3056" s="10"/>
      <c r="C3056" s="315"/>
      <c r="D3056" s="868"/>
      <c r="E3056" s="837" t="str">
        <f>IFERROR(IF(_xlfn.XLOOKUP(Imput[[#This Row],[RFC]],'Alta Proveedor'!D:D,'Alta Proveedor'!E:E)=0,"",_xlfn.XLOOKUP(Imput[[#This Row],[RFC]],'Alta Proveedor'!D:D,'Alta Proveedor'!E:E)),"")</f>
        <v/>
      </c>
      <c r="F3056" s="832"/>
      <c r="G3056" s="187"/>
      <c r="H3056" s="1"/>
      <c r="I3056" s="169">
        <f>Imput[[#This Row],[Cantidad]]*Imput[[#This Row],[Precio Unitario]]</f>
        <v>0</v>
      </c>
      <c r="J3056" s="11">
        <f>((Imput[[#This Row],[Sub total]])*(0.16))</f>
        <v>0</v>
      </c>
      <c r="K3056" s="11">
        <v>0</v>
      </c>
      <c r="L3056" s="169">
        <f>Imput[[#This Row],[Sub total]]+Imput[[#This Row],[IVA]]-Imput[[#This Row],[Retención / IEPS / Descuento]]</f>
        <v>0</v>
      </c>
      <c r="M3056" s="844">
        <v>0</v>
      </c>
      <c r="N3056" s="189"/>
      <c r="O3056" s="1"/>
      <c r="P3056" s="189"/>
      <c r="Q3056" s="190"/>
      <c r="R3056" s="188"/>
      <c r="S3056" s="193"/>
      <c r="T3056" s="192"/>
      <c r="U3056" s="829"/>
      <c r="V3056" s="10"/>
      <c r="W3056" s="10"/>
      <c r="X3056" s="10"/>
      <c r="Y3056" s="10"/>
      <c r="Z3056" s="10"/>
      <c r="AA3056" s="11"/>
      <c r="AB3056" s="11"/>
    </row>
    <row r="3057" spans="2:28" x14ac:dyDescent="0.3">
      <c r="B3057" s="10"/>
      <c r="C3057" s="315"/>
      <c r="D3057" s="868"/>
      <c r="E3057" s="837" t="str">
        <f>IFERROR(IF(_xlfn.XLOOKUP(Imput[[#This Row],[RFC]],'Alta Proveedor'!D:D,'Alta Proveedor'!E:E)=0,"",_xlfn.XLOOKUP(Imput[[#This Row],[RFC]],'Alta Proveedor'!D:D,'Alta Proveedor'!E:E)),"")</f>
        <v/>
      </c>
      <c r="F3057" s="832"/>
      <c r="G3057" s="187"/>
      <c r="H3057" s="1"/>
      <c r="I3057" s="169">
        <f>Imput[[#This Row],[Cantidad]]*Imput[[#This Row],[Precio Unitario]]</f>
        <v>0</v>
      </c>
      <c r="J3057" s="11">
        <f>((Imput[[#This Row],[Sub total]])*(0.16))</f>
        <v>0</v>
      </c>
      <c r="K3057" s="11">
        <v>0</v>
      </c>
      <c r="L3057" s="169">
        <f>Imput[[#This Row],[Sub total]]+Imput[[#This Row],[IVA]]-Imput[[#This Row],[Retención / IEPS / Descuento]]</f>
        <v>0</v>
      </c>
      <c r="M3057" s="844">
        <v>0</v>
      </c>
      <c r="N3057" s="189"/>
      <c r="O3057" s="1"/>
      <c r="P3057" s="189"/>
      <c r="Q3057" s="190"/>
      <c r="R3057" s="188"/>
      <c r="S3057" s="193"/>
      <c r="T3057" s="192"/>
      <c r="U3057" s="829"/>
      <c r="V3057" s="10"/>
      <c r="W3057" s="10"/>
      <c r="X3057" s="10"/>
      <c r="Y3057" s="10"/>
      <c r="Z3057" s="10"/>
      <c r="AA3057" s="11"/>
      <c r="AB3057" s="11"/>
    </row>
    <row r="3058" spans="2:28" x14ac:dyDescent="0.3">
      <c r="B3058" s="10"/>
      <c r="C3058" s="315"/>
      <c r="D3058" s="868"/>
      <c r="E3058" s="837" t="str">
        <f>IFERROR(IF(_xlfn.XLOOKUP(Imput[[#This Row],[RFC]],'Alta Proveedor'!D:D,'Alta Proveedor'!E:E)=0,"",_xlfn.XLOOKUP(Imput[[#This Row],[RFC]],'Alta Proveedor'!D:D,'Alta Proveedor'!E:E)),"")</f>
        <v/>
      </c>
      <c r="F3058" s="832"/>
      <c r="G3058" s="187"/>
      <c r="H3058" s="1"/>
      <c r="I3058" s="169">
        <f>Imput[[#This Row],[Cantidad]]*Imput[[#This Row],[Precio Unitario]]</f>
        <v>0</v>
      </c>
      <c r="J3058" s="11">
        <f>((Imput[[#This Row],[Sub total]])*(0.16))</f>
        <v>0</v>
      </c>
      <c r="K3058" s="11">
        <v>0</v>
      </c>
      <c r="L3058" s="169">
        <f>Imput[[#This Row],[Sub total]]+Imput[[#This Row],[IVA]]-Imput[[#This Row],[Retención / IEPS / Descuento]]</f>
        <v>0</v>
      </c>
      <c r="M3058" s="844">
        <v>0</v>
      </c>
      <c r="N3058" s="189"/>
      <c r="O3058" s="1"/>
      <c r="P3058" s="189"/>
      <c r="Q3058" s="190"/>
      <c r="R3058" s="188"/>
      <c r="S3058" s="193"/>
      <c r="T3058" s="192"/>
      <c r="U3058" s="829"/>
      <c r="V3058" s="10"/>
      <c r="W3058" s="10"/>
      <c r="X3058" s="10"/>
      <c r="Y3058" s="10"/>
      <c r="Z3058" s="10"/>
      <c r="AA3058" s="11"/>
      <c r="AB3058" s="11"/>
    </row>
    <row r="3059" spans="2:28" x14ac:dyDescent="0.3">
      <c r="B3059" s="10"/>
      <c r="C3059" s="315"/>
      <c r="D3059" s="868"/>
      <c r="E3059" s="837" t="str">
        <f>IFERROR(IF(_xlfn.XLOOKUP(Imput[[#This Row],[RFC]],'Alta Proveedor'!D:D,'Alta Proveedor'!E:E)=0,"",_xlfn.XLOOKUP(Imput[[#This Row],[RFC]],'Alta Proveedor'!D:D,'Alta Proveedor'!E:E)),"")</f>
        <v/>
      </c>
      <c r="F3059" s="832"/>
      <c r="G3059" s="187"/>
      <c r="H3059" s="1"/>
      <c r="I3059" s="169">
        <f>Imput[[#This Row],[Cantidad]]*Imput[[#This Row],[Precio Unitario]]</f>
        <v>0</v>
      </c>
      <c r="J3059" s="11">
        <f>((Imput[[#This Row],[Sub total]])*(0.16))</f>
        <v>0</v>
      </c>
      <c r="K3059" s="11">
        <v>0</v>
      </c>
      <c r="L3059" s="169">
        <f>Imput[[#This Row],[Sub total]]+Imput[[#This Row],[IVA]]-Imput[[#This Row],[Retención / IEPS / Descuento]]</f>
        <v>0</v>
      </c>
      <c r="M3059" s="844">
        <v>0</v>
      </c>
      <c r="N3059" s="189"/>
      <c r="O3059" s="1"/>
      <c r="P3059" s="189"/>
      <c r="Q3059" s="190"/>
      <c r="R3059" s="188"/>
      <c r="S3059" s="193"/>
      <c r="T3059" s="192"/>
      <c r="U3059" s="829"/>
      <c r="V3059" s="10"/>
      <c r="W3059" s="10"/>
      <c r="X3059" s="10"/>
      <c r="Y3059" s="10"/>
      <c r="Z3059" s="10"/>
      <c r="AA3059" s="11"/>
      <c r="AB3059" s="11"/>
    </row>
    <row r="3060" spans="2:28" x14ac:dyDescent="0.3">
      <c r="B3060" s="10"/>
      <c r="C3060" s="315"/>
      <c r="D3060" s="868"/>
      <c r="E3060" s="837" t="str">
        <f>IFERROR(IF(_xlfn.XLOOKUP(Imput[[#This Row],[RFC]],'Alta Proveedor'!D:D,'Alta Proveedor'!E:E)=0,"",_xlfn.XLOOKUP(Imput[[#This Row],[RFC]],'Alta Proveedor'!D:D,'Alta Proveedor'!E:E)),"")</f>
        <v/>
      </c>
      <c r="F3060" s="832"/>
      <c r="G3060" s="187"/>
      <c r="H3060" s="1"/>
      <c r="I3060" s="169">
        <f>Imput[[#This Row],[Cantidad]]*Imput[[#This Row],[Precio Unitario]]</f>
        <v>0</v>
      </c>
      <c r="J3060" s="11">
        <f>((Imput[[#This Row],[Sub total]])*(0.16))</f>
        <v>0</v>
      </c>
      <c r="K3060" s="11">
        <v>0</v>
      </c>
      <c r="L3060" s="169">
        <f>Imput[[#This Row],[Sub total]]+Imput[[#This Row],[IVA]]-Imput[[#This Row],[Retención / IEPS / Descuento]]</f>
        <v>0</v>
      </c>
      <c r="M3060" s="844">
        <v>0</v>
      </c>
      <c r="N3060" s="189"/>
      <c r="O3060" s="1"/>
      <c r="P3060" s="189"/>
      <c r="Q3060" s="190"/>
      <c r="R3060" s="188"/>
      <c r="S3060" s="193"/>
      <c r="T3060" s="192"/>
      <c r="U3060" s="829"/>
      <c r="V3060" s="10"/>
      <c r="W3060" s="10"/>
      <c r="X3060" s="10"/>
      <c r="Y3060" s="10"/>
      <c r="Z3060" s="10"/>
      <c r="AA3060" s="11"/>
      <c r="AB3060" s="11"/>
    </row>
    <row r="3061" spans="2:28" x14ac:dyDescent="0.3">
      <c r="B3061" s="10"/>
      <c r="C3061" s="315"/>
      <c r="D3061" s="868"/>
      <c r="E3061" s="837" t="str">
        <f>IFERROR(IF(_xlfn.XLOOKUP(Imput[[#This Row],[RFC]],'Alta Proveedor'!D:D,'Alta Proveedor'!E:E)=0,"",_xlfn.XLOOKUP(Imput[[#This Row],[RFC]],'Alta Proveedor'!D:D,'Alta Proveedor'!E:E)),"")</f>
        <v/>
      </c>
      <c r="F3061" s="832"/>
      <c r="G3061" s="187"/>
      <c r="H3061" s="1"/>
      <c r="I3061" s="169">
        <f>Imput[[#This Row],[Cantidad]]*Imput[[#This Row],[Precio Unitario]]</f>
        <v>0</v>
      </c>
      <c r="J3061" s="11">
        <f>((Imput[[#This Row],[Sub total]])*(0.16))</f>
        <v>0</v>
      </c>
      <c r="K3061" s="11">
        <v>0</v>
      </c>
      <c r="L3061" s="169">
        <f>Imput[[#This Row],[Sub total]]+Imput[[#This Row],[IVA]]-Imput[[#This Row],[Retención / IEPS / Descuento]]</f>
        <v>0</v>
      </c>
      <c r="M3061" s="844">
        <v>0</v>
      </c>
      <c r="N3061" s="189"/>
      <c r="O3061" s="1"/>
      <c r="P3061" s="189"/>
      <c r="Q3061" s="190"/>
      <c r="R3061" s="188"/>
      <c r="S3061" s="193"/>
      <c r="T3061" s="192"/>
      <c r="U3061" s="829"/>
      <c r="V3061" s="10"/>
      <c r="W3061" s="10"/>
      <c r="X3061" s="10"/>
      <c r="Y3061" s="10"/>
      <c r="Z3061" s="10"/>
      <c r="AA3061" s="11"/>
      <c r="AB3061" s="11"/>
    </row>
    <row r="3062" spans="2:28" x14ac:dyDescent="0.3">
      <c r="B3062" s="10"/>
      <c r="C3062" s="315"/>
      <c r="D3062" s="868"/>
      <c r="E3062" s="837" t="str">
        <f>IFERROR(IF(_xlfn.XLOOKUP(Imput[[#This Row],[RFC]],'Alta Proveedor'!D:D,'Alta Proveedor'!E:E)=0,"",_xlfn.XLOOKUP(Imput[[#This Row],[RFC]],'Alta Proveedor'!D:D,'Alta Proveedor'!E:E)),"")</f>
        <v/>
      </c>
      <c r="F3062" s="832"/>
      <c r="G3062" s="187"/>
      <c r="H3062" s="1"/>
      <c r="I3062" s="169">
        <f>Imput[[#This Row],[Cantidad]]*Imput[[#This Row],[Precio Unitario]]</f>
        <v>0</v>
      </c>
      <c r="J3062" s="11">
        <f>((Imput[[#This Row],[Sub total]])*(0.16))</f>
        <v>0</v>
      </c>
      <c r="K3062" s="11">
        <v>0</v>
      </c>
      <c r="L3062" s="169">
        <f>Imput[[#This Row],[Sub total]]+Imput[[#This Row],[IVA]]-Imput[[#This Row],[Retención / IEPS / Descuento]]</f>
        <v>0</v>
      </c>
      <c r="M3062" s="844">
        <v>0</v>
      </c>
      <c r="N3062" s="189"/>
      <c r="O3062" s="1"/>
      <c r="P3062" s="189"/>
      <c r="Q3062" s="190"/>
      <c r="R3062" s="188"/>
      <c r="S3062" s="193"/>
      <c r="T3062" s="192"/>
      <c r="U3062" s="829"/>
      <c r="V3062" s="10"/>
      <c r="W3062" s="10"/>
      <c r="X3062" s="10"/>
      <c r="Y3062" s="10"/>
      <c r="Z3062" s="10"/>
      <c r="AA3062" s="11"/>
      <c r="AB3062" s="11"/>
    </row>
    <row r="3063" spans="2:28" x14ac:dyDescent="0.3">
      <c r="B3063" s="10"/>
      <c r="C3063" s="315"/>
      <c r="D3063" s="868"/>
      <c r="E3063" s="837" t="str">
        <f>IFERROR(IF(_xlfn.XLOOKUP(Imput[[#This Row],[RFC]],'Alta Proveedor'!D:D,'Alta Proveedor'!E:E)=0,"",_xlfn.XLOOKUP(Imput[[#This Row],[RFC]],'Alta Proveedor'!D:D,'Alta Proveedor'!E:E)),"")</f>
        <v/>
      </c>
      <c r="F3063" s="832"/>
      <c r="G3063" s="187"/>
      <c r="H3063" s="1"/>
      <c r="I3063" s="169">
        <f>Imput[[#This Row],[Cantidad]]*Imput[[#This Row],[Precio Unitario]]</f>
        <v>0</v>
      </c>
      <c r="J3063" s="11">
        <f>((Imput[[#This Row],[Sub total]])*(0.16))</f>
        <v>0</v>
      </c>
      <c r="K3063" s="11">
        <v>0</v>
      </c>
      <c r="L3063" s="169">
        <f>Imput[[#This Row],[Sub total]]+Imput[[#This Row],[IVA]]-Imput[[#This Row],[Retención / IEPS / Descuento]]</f>
        <v>0</v>
      </c>
      <c r="M3063" s="844">
        <v>0</v>
      </c>
      <c r="N3063" s="189"/>
      <c r="O3063" s="1"/>
      <c r="P3063" s="189"/>
      <c r="Q3063" s="190"/>
      <c r="R3063" s="188"/>
      <c r="S3063" s="193"/>
      <c r="T3063" s="192"/>
      <c r="U3063" s="829"/>
      <c r="V3063" s="10"/>
      <c r="W3063" s="10"/>
      <c r="X3063" s="10"/>
      <c r="Y3063" s="10"/>
      <c r="Z3063" s="10"/>
      <c r="AA3063" s="11"/>
      <c r="AB3063" s="11"/>
    </row>
    <row r="3064" spans="2:28" x14ac:dyDescent="0.3">
      <c r="B3064" s="10"/>
      <c r="C3064" s="315"/>
      <c r="D3064" s="868"/>
      <c r="E3064" s="837" t="str">
        <f>IFERROR(IF(_xlfn.XLOOKUP(Imput[[#This Row],[RFC]],'Alta Proveedor'!D:D,'Alta Proveedor'!E:E)=0,"",_xlfn.XLOOKUP(Imput[[#This Row],[RFC]],'Alta Proveedor'!D:D,'Alta Proveedor'!E:E)),"")</f>
        <v/>
      </c>
      <c r="F3064" s="832"/>
      <c r="G3064" s="187"/>
      <c r="H3064" s="1"/>
      <c r="I3064" s="169">
        <f>Imput[[#This Row],[Cantidad]]*Imput[[#This Row],[Precio Unitario]]</f>
        <v>0</v>
      </c>
      <c r="J3064" s="11">
        <f>((Imput[[#This Row],[Sub total]])*(0.16))</f>
        <v>0</v>
      </c>
      <c r="K3064" s="11">
        <v>0</v>
      </c>
      <c r="L3064" s="169">
        <f>Imput[[#This Row],[Sub total]]+Imput[[#This Row],[IVA]]-Imput[[#This Row],[Retención / IEPS / Descuento]]</f>
        <v>0</v>
      </c>
      <c r="M3064" s="844">
        <v>0</v>
      </c>
      <c r="N3064" s="189"/>
      <c r="O3064" s="1"/>
      <c r="P3064" s="189"/>
      <c r="Q3064" s="190"/>
      <c r="R3064" s="188"/>
      <c r="S3064" s="193"/>
      <c r="T3064" s="192"/>
      <c r="U3064" s="829"/>
      <c r="V3064" s="10"/>
      <c r="W3064" s="10"/>
      <c r="X3064" s="10"/>
      <c r="Y3064" s="10"/>
      <c r="Z3064" s="10"/>
      <c r="AA3064" s="11"/>
      <c r="AB3064" s="11"/>
    </row>
    <row r="3065" spans="2:28" x14ac:dyDescent="0.3">
      <c r="B3065" s="10"/>
      <c r="C3065" s="315"/>
      <c r="D3065" s="868"/>
      <c r="E3065" s="837" t="str">
        <f>IFERROR(IF(_xlfn.XLOOKUP(Imput[[#This Row],[RFC]],'Alta Proveedor'!D:D,'Alta Proveedor'!E:E)=0,"",_xlfn.XLOOKUP(Imput[[#This Row],[RFC]],'Alta Proveedor'!D:D,'Alta Proveedor'!E:E)),"")</f>
        <v/>
      </c>
      <c r="F3065" s="832"/>
      <c r="G3065" s="187"/>
      <c r="H3065" s="1"/>
      <c r="I3065" s="169">
        <f>Imput[[#This Row],[Cantidad]]*Imput[[#This Row],[Precio Unitario]]</f>
        <v>0</v>
      </c>
      <c r="J3065" s="11">
        <f>((Imput[[#This Row],[Sub total]])*(0.16))</f>
        <v>0</v>
      </c>
      <c r="K3065" s="11">
        <v>0</v>
      </c>
      <c r="L3065" s="169">
        <f>Imput[[#This Row],[Sub total]]+Imput[[#This Row],[IVA]]-Imput[[#This Row],[Retención / IEPS / Descuento]]</f>
        <v>0</v>
      </c>
      <c r="M3065" s="844">
        <v>0</v>
      </c>
      <c r="N3065" s="189"/>
      <c r="O3065" s="1"/>
      <c r="P3065" s="189"/>
      <c r="Q3065" s="190"/>
      <c r="R3065" s="188"/>
      <c r="S3065" s="193"/>
      <c r="T3065" s="192"/>
      <c r="U3065" s="829"/>
      <c r="V3065" s="10"/>
      <c r="W3065" s="10"/>
      <c r="X3065" s="10"/>
      <c r="Y3065" s="10"/>
      <c r="Z3065" s="10"/>
      <c r="AA3065" s="11"/>
      <c r="AB3065" s="11"/>
    </row>
    <row r="3066" spans="2:28" x14ac:dyDescent="0.3">
      <c r="B3066" s="10"/>
      <c r="C3066" s="315"/>
      <c r="D3066" s="868"/>
      <c r="E3066" s="837" t="str">
        <f>IFERROR(IF(_xlfn.XLOOKUP(Imput[[#This Row],[RFC]],'Alta Proveedor'!D:D,'Alta Proveedor'!E:E)=0,"",_xlfn.XLOOKUP(Imput[[#This Row],[RFC]],'Alta Proveedor'!D:D,'Alta Proveedor'!E:E)),"")</f>
        <v/>
      </c>
      <c r="F3066" s="832"/>
      <c r="G3066" s="187"/>
      <c r="H3066" s="1"/>
      <c r="I3066" s="169">
        <f>Imput[[#This Row],[Cantidad]]*Imput[[#This Row],[Precio Unitario]]</f>
        <v>0</v>
      </c>
      <c r="J3066" s="11">
        <f>((Imput[[#This Row],[Sub total]])*(0.16))</f>
        <v>0</v>
      </c>
      <c r="K3066" s="11">
        <v>0</v>
      </c>
      <c r="L3066" s="169">
        <f>Imput[[#This Row],[Sub total]]+Imput[[#This Row],[IVA]]-Imput[[#This Row],[Retención / IEPS / Descuento]]</f>
        <v>0</v>
      </c>
      <c r="M3066" s="844">
        <v>0</v>
      </c>
      <c r="N3066" s="189"/>
      <c r="O3066" s="1"/>
      <c r="P3066" s="189"/>
      <c r="Q3066" s="190"/>
      <c r="R3066" s="188"/>
      <c r="S3066" s="193"/>
      <c r="T3066" s="192"/>
      <c r="U3066" s="829"/>
      <c r="V3066" s="10"/>
      <c r="W3066" s="10"/>
      <c r="X3066" s="10"/>
      <c r="Y3066" s="10"/>
      <c r="Z3066" s="10"/>
      <c r="AA3066" s="11"/>
      <c r="AB3066" s="11"/>
    </row>
    <row r="3067" spans="2:28" x14ac:dyDescent="0.3">
      <c r="B3067" s="10"/>
      <c r="C3067" s="315"/>
      <c r="D3067" s="868"/>
      <c r="E3067" s="837" t="str">
        <f>IFERROR(IF(_xlfn.XLOOKUP(Imput[[#This Row],[RFC]],'Alta Proveedor'!D:D,'Alta Proveedor'!E:E)=0,"",_xlfn.XLOOKUP(Imput[[#This Row],[RFC]],'Alta Proveedor'!D:D,'Alta Proveedor'!E:E)),"")</f>
        <v/>
      </c>
      <c r="F3067" s="832"/>
      <c r="G3067" s="187"/>
      <c r="H3067" s="1"/>
      <c r="I3067" s="169">
        <f>Imput[[#This Row],[Cantidad]]*Imput[[#This Row],[Precio Unitario]]</f>
        <v>0</v>
      </c>
      <c r="J3067" s="11">
        <f>((Imput[[#This Row],[Sub total]])*(0.16))</f>
        <v>0</v>
      </c>
      <c r="K3067" s="11">
        <v>0</v>
      </c>
      <c r="L3067" s="169">
        <f>Imput[[#This Row],[Sub total]]+Imput[[#This Row],[IVA]]-Imput[[#This Row],[Retención / IEPS / Descuento]]</f>
        <v>0</v>
      </c>
      <c r="M3067" s="844">
        <v>0</v>
      </c>
      <c r="N3067" s="189"/>
      <c r="O3067" s="1"/>
      <c r="P3067" s="189"/>
      <c r="Q3067" s="190"/>
      <c r="R3067" s="188"/>
      <c r="S3067" s="193"/>
      <c r="T3067" s="192"/>
      <c r="U3067" s="829"/>
      <c r="V3067" s="10"/>
      <c r="W3067" s="10"/>
      <c r="X3067" s="10"/>
      <c r="Y3067" s="10"/>
      <c r="Z3067" s="10"/>
      <c r="AA3067" s="11"/>
      <c r="AB3067" s="11"/>
    </row>
    <row r="3068" spans="2:28" x14ac:dyDescent="0.3">
      <c r="B3068" s="10"/>
      <c r="C3068" s="315"/>
      <c r="D3068" s="868"/>
      <c r="E3068" s="837" t="str">
        <f>IFERROR(IF(_xlfn.XLOOKUP(Imput[[#This Row],[RFC]],'Alta Proveedor'!D:D,'Alta Proveedor'!E:E)=0,"",_xlfn.XLOOKUP(Imput[[#This Row],[RFC]],'Alta Proveedor'!D:D,'Alta Proveedor'!E:E)),"")</f>
        <v/>
      </c>
      <c r="F3068" s="832"/>
      <c r="G3068" s="187"/>
      <c r="H3068" s="1"/>
      <c r="I3068" s="169">
        <f>Imput[[#This Row],[Cantidad]]*Imput[[#This Row],[Precio Unitario]]</f>
        <v>0</v>
      </c>
      <c r="J3068" s="11">
        <f>((Imput[[#This Row],[Sub total]])*(0.16))</f>
        <v>0</v>
      </c>
      <c r="K3068" s="11">
        <v>0</v>
      </c>
      <c r="L3068" s="169">
        <f>Imput[[#This Row],[Sub total]]+Imput[[#This Row],[IVA]]-Imput[[#This Row],[Retención / IEPS / Descuento]]</f>
        <v>0</v>
      </c>
      <c r="M3068" s="844">
        <v>0</v>
      </c>
      <c r="N3068" s="189"/>
      <c r="O3068" s="1"/>
      <c r="P3068" s="189"/>
      <c r="Q3068" s="190"/>
      <c r="R3068" s="188"/>
      <c r="S3068" s="193"/>
      <c r="T3068" s="192"/>
      <c r="U3068" s="829"/>
      <c r="V3068" s="10"/>
      <c r="W3068" s="10"/>
      <c r="X3068" s="10"/>
      <c r="Y3068" s="10"/>
      <c r="Z3068" s="10"/>
      <c r="AA3068" s="11"/>
      <c r="AB3068" s="11"/>
    </row>
    <row r="3069" spans="2:28" x14ac:dyDescent="0.3">
      <c r="B3069" s="10"/>
      <c r="C3069" s="315"/>
      <c r="D3069" s="868"/>
      <c r="E3069" s="837" t="str">
        <f>IFERROR(IF(_xlfn.XLOOKUP(Imput[[#This Row],[RFC]],'Alta Proveedor'!D:D,'Alta Proveedor'!E:E)=0,"",_xlfn.XLOOKUP(Imput[[#This Row],[RFC]],'Alta Proveedor'!D:D,'Alta Proveedor'!E:E)),"")</f>
        <v/>
      </c>
      <c r="F3069" s="832"/>
      <c r="G3069" s="187"/>
      <c r="H3069" s="1"/>
      <c r="I3069" s="169">
        <f>Imput[[#This Row],[Cantidad]]*Imput[[#This Row],[Precio Unitario]]</f>
        <v>0</v>
      </c>
      <c r="J3069" s="11">
        <f>((Imput[[#This Row],[Sub total]])*(0.16))</f>
        <v>0</v>
      </c>
      <c r="K3069" s="11">
        <v>0</v>
      </c>
      <c r="L3069" s="169">
        <f>Imput[[#This Row],[Sub total]]+Imput[[#This Row],[IVA]]-Imput[[#This Row],[Retención / IEPS / Descuento]]</f>
        <v>0</v>
      </c>
      <c r="M3069" s="844">
        <v>0</v>
      </c>
      <c r="N3069" s="189"/>
      <c r="O3069" s="1"/>
      <c r="P3069" s="189"/>
      <c r="Q3069" s="190"/>
      <c r="R3069" s="188"/>
      <c r="S3069" s="193"/>
      <c r="T3069" s="192"/>
      <c r="U3069" s="829"/>
      <c r="V3069" s="10"/>
      <c r="W3069" s="10"/>
      <c r="X3069" s="10"/>
      <c r="Y3069" s="10"/>
      <c r="Z3069" s="10"/>
      <c r="AA3069" s="11"/>
      <c r="AB3069" s="11"/>
    </row>
    <row r="3070" spans="2:28" x14ac:dyDescent="0.3">
      <c r="B3070" s="10"/>
      <c r="C3070" s="315"/>
      <c r="D3070" s="868"/>
      <c r="E3070" s="837" t="str">
        <f>IFERROR(IF(_xlfn.XLOOKUP(Imput[[#This Row],[RFC]],'Alta Proveedor'!D:D,'Alta Proveedor'!E:E)=0,"",_xlfn.XLOOKUP(Imput[[#This Row],[RFC]],'Alta Proveedor'!D:D,'Alta Proveedor'!E:E)),"")</f>
        <v/>
      </c>
      <c r="F3070" s="832"/>
      <c r="G3070" s="187"/>
      <c r="H3070" s="1"/>
      <c r="I3070" s="169">
        <f>Imput[[#This Row],[Cantidad]]*Imput[[#This Row],[Precio Unitario]]</f>
        <v>0</v>
      </c>
      <c r="J3070" s="11">
        <f>((Imput[[#This Row],[Sub total]])*(0.16))</f>
        <v>0</v>
      </c>
      <c r="K3070" s="11">
        <v>0</v>
      </c>
      <c r="L3070" s="169">
        <f>Imput[[#This Row],[Sub total]]+Imput[[#This Row],[IVA]]-Imput[[#This Row],[Retención / IEPS / Descuento]]</f>
        <v>0</v>
      </c>
      <c r="M3070" s="844">
        <v>0</v>
      </c>
      <c r="N3070" s="189"/>
      <c r="O3070" s="1"/>
      <c r="P3070" s="189"/>
      <c r="Q3070" s="190"/>
      <c r="R3070" s="188"/>
      <c r="S3070" s="193"/>
      <c r="T3070" s="192"/>
      <c r="U3070" s="829"/>
      <c r="V3070" s="10"/>
      <c r="W3070" s="10"/>
      <c r="X3070" s="10"/>
      <c r="Y3070" s="10"/>
      <c r="Z3070" s="10"/>
      <c r="AA3070" s="11"/>
      <c r="AB3070" s="11"/>
    </row>
    <row r="3071" spans="2:28" x14ac:dyDescent="0.3">
      <c r="B3071" s="10"/>
      <c r="C3071" s="315"/>
      <c r="D3071" s="868"/>
      <c r="E3071" s="837" t="str">
        <f>IFERROR(IF(_xlfn.XLOOKUP(Imput[[#This Row],[RFC]],'Alta Proveedor'!D:D,'Alta Proveedor'!E:E)=0,"",_xlfn.XLOOKUP(Imput[[#This Row],[RFC]],'Alta Proveedor'!D:D,'Alta Proveedor'!E:E)),"")</f>
        <v/>
      </c>
      <c r="F3071" s="832"/>
      <c r="G3071" s="187"/>
      <c r="H3071" s="1"/>
      <c r="I3071" s="169">
        <f>Imput[[#This Row],[Cantidad]]*Imput[[#This Row],[Precio Unitario]]</f>
        <v>0</v>
      </c>
      <c r="J3071" s="11">
        <f>((Imput[[#This Row],[Sub total]])*(0.16))</f>
        <v>0</v>
      </c>
      <c r="K3071" s="11">
        <v>0</v>
      </c>
      <c r="L3071" s="169">
        <f>Imput[[#This Row],[Sub total]]+Imput[[#This Row],[IVA]]-Imput[[#This Row],[Retención / IEPS / Descuento]]</f>
        <v>0</v>
      </c>
      <c r="M3071" s="844">
        <v>0</v>
      </c>
      <c r="N3071" s="189"/>
      <c r="O3071" s="1"/>
      <c r="P3071" s="189"/>
      <c r="Q3071" s="190"/>
      <c r="R3071" s="188"/>
      <c r="S3071" s="193"/>
      <c r="T3071" s="192"/>
      <c r="U3071" s="829"/>
      <c r="V3071" s="10"/>
      <c r="W3071" s="10"/>
      <c r="X3071" s="10"/>
      <c r="Y3071" s="10"/>
      <c r="Z3071" s="10"/>
      <c r="AA3071" s="11"/>
      <c r="AB3071" s="11"/>
    </row>
    <row r="3072" spans="2:28" x14ac:dyDescent="0.3">
      <c r="B3072" s="10"/>
      <c r="C3072" s="315"/>
      <c r="D3072" s="868"/>
      <c r="E3072" s="837" t="str">
        <f>IFERROR(IF(_xlfn.XLOOKUP(Imput[[#This Row],[RFC]],'Alta Proveedor'!D:D,'Alta Proveedor'!E:E)=0,"",_xlfn.XLOOKUP(Imput[[#This Row],[RFC]],'Alta Proveedor'!D:D,'Alta Proveedor'!E:E)),"")</f>
        <v/>
      </c>
      <c r="F3072" s="832"/>
      <c r="G3072" s="187"/>
      <c r="H3072" s="1"/>
      <c r="I3072" s="169">
        <f>Imput[[#This Row],[Cantidad]]*Imput[[#This Row],[Precio Unitario]]</f>
        <v>0</v>
      </c>
      <c r="J3072" s="11">
        <f>((Imput[[#This Row],[Sub total]])*(0.16))</f>
        <v>0</v>
      </c>
      <c r="K3072" s="11">
        <v>0</v>
      </c>
      <c r="L3072" s="169">
        <f>Imput[[#This Row],[Sub total]]+Imput[[#This Row],[IVA]]-Imput[[#This Row],[Retención / IEPS / Descuento]]</f>
        <v>0</v>
      </c>
      <c r="M3072" s="844">
        <v>0</v>
      </c>
      <c r="N3072" s="189"/>
      <c r="O3072" s="1"/>
      <c r="P3072" s="189"/>
      <c r="Q3072" s="190"/>
      <c r="R3072" s="188"/>
      <c r="S3072" s="193"/>
      <c r="T3072" s="192"/>
      <c r="U3072" s="829"/>
      <c r="V3072" s="10"/>
      <c r="W3072" s="10"/>
      <c r="X3072" s="10"/>
      <c r="Y3072" s="10"/>
      <c r="Z3072" s="10"/>
      <c r="AA3072" s="11"/>
      <c r="AB3072" s="11"/>
    </row>
    <row r="3073" spans="2:28" x14ac:dyDescent="0.3">
      <c r="B3073" s="10"/>
      <c r="C3073" s="315"/>
      <c r="D3073" s="868"/>
      <c r="E3073" s="837" t="str">
        <f>IFERROR(IF(_xlfn.XLOOKUP(Imput[[#This Row],[RFC]],'Alta Proveedor'!D:D,'Alta Proveedor'!E:E)=0,"",_xlfn.XLOOKUP(Imput[[#This Row],[RFC]],'Alta Proveedor'!D:D,'Alta Proveedor'!E:E)),"")</f>
        <v/>
      </c>
      <c r="F3073" s="832"/>
      <c r="G3073" s="187"/>
      <c r="H3073" s="1"/>
      <c r="I3073" s="169">
        <f>Imput[[#This Row],[Cantidad]]*Imput[[#This Row],[Precio Unitario]]</f>
        <v>0</v>
      </c>
      <c r="J3073" s="11">
        <f>((Imput[[#This Row],[Sub total]])*(0.16))</f>
        <v>0</v>
      </c>
      <c r="K3073" s="11">
        <v>0</v>
      </c>
      <c r="L3073" s="169">
        <f>Imput[[#This Row],[Sub total]]+Imput[[#This Row],[IVA]]-Imput[[#This Row],[Retención / IEPS / Descuento]]</f>
        <v>0</v>
      </c>
      <c r="M3073" s="844">
        <v>0</v>
      </c>
      <c r="N3073" s="189"/>
      <c r="O3073" s="1"/>
      <c r="P3073" s="189"/>
      <c r="Q3073" s="190"/>
      <c r="R3073" s="188"/>
      <c r="S3073" s="193"/>
      <c r="T3073" s="192"/>
      <c r="U3073" s="829"/>
      <c r="V3073" s="10"/>
      <c r="W3073" s="10"/>
      <c r="X3073" s="10"/>
      <c r="Y3073" s="10"/>
      <c r="Z3073" s="10"/>
      <c r="AA3073" s="11"/>
      <c r="AB3073" s="11"/>
    </row>
    <row r="3074" spans="2:28" x14ac:dyDescent="0.3">
      <c r="B3074" s="10"/>
      <c r="C3074" s="315"/>
      <c r="D3074" s="868"/>
      <c r="E3074" s="837" t="str">
        <f>IFERROR(IF(_xlfn.XLOOKUP(Imput[[#This Row],[RFC]],'Alta Proveedor'!D:D,'Alta Proveedor'!E:E)=0,"",_xlfn.XLOOKUP(Imput[[#This Row],[RFC]],'Alta Proveedor'!D:D,'Alta Proveedor'!E:E)),"")</f>
        <v/>
      </c>
      <c r="F3074" s="832"/>
      <c r="G3074" s="187"/>
      <c r="H3074" s="1"/>
      <c r="I3074" s="169">
        <f>Imput[[#This Row],[Cantidad]]*Imput[[#This Row],[Precio Unitario]]</f>
        <v>0</v>
      </c>
      <c r="J3074" s="11">
        <f>((Imput[[#This Row],[Sub total]])*(0.16))</f>
        <v>0</v>
      </c>
      <c r="K3074" s="11">
        <v>0</v>
      </c>
      <c r="L3074" s="169">
        <f>Imput[[#This Row],[Sub total]]+Imput[[#This Row],[IVA]]-Imput[[#This Row],[Retención / IEPS / Descuento]]</f>
        <v>0</v>
      </c>
      <c r="M3074" s="844">
        <v>0</v>
      </c>
      <c r="N3074" s="189"/>
      <c r="O3074" s="1"/>
      <c r="P3074" s="189"/>
      <c r="Q3074" s="190"/>
      <c r="R3074" s="188"/>
      <c r="S3074" s="193"/>
      <c r="T3074" s="192"/>
      <c r="U3074" s="829"/>
      <c r="V3074" s="10"/>
      <c r="W3074" s="10"/>
      <c r="X3074" s="10"/>
      <c r="Y3074" s="10"/>
      <c r="Z3074" s="10"/>
      <c r="AA3074" s="11"/>
      <c r="AB3074" s="11"/>
    </row>
    <row r="3075" spans="2:28" x14ac:dyDescent="0.3">
      <c r="B3075" s="10"/>
      <c r="C3075" s="315"/>
      <c r="D3075" s="868"/>
      <c r="E3075" s="837" t="str">
        <f>IFERROR(IF(_xlfn.XLOOKUP(Imput[[#This Row],[RFC]],'Alta Proveedor'!D:D,'Alta Proveedor'!E:E)=0,"",_xlfn.XLOOKUP(Imput[[#This Row],[RFC]],'Alta Proveedor'!D:D,'Alta Proveedor'!E:E)),"")</f>
        <v/>
      </c>
      <c r="F3075" s="832"/>
      <c r="G3075" s="187"/>
      <c r="H3075" s="1"/>
      <c r="I3075" s="169">
        <f>Imput[[#This Row],[Cantidad]]*Imput[[#This Row],[Precio Unitario]]</f>
        <v>0</v>
      </c>
      <c r="J3075" s="11">
        <f>((Imput[[#This Row],[Sub total]])*(0.16))</f>
        <v>0</v>
      </c>
      <c r="K3075" s="11">
        <v>0</v>
      </c>
      <c r="L3075" s="169">
        <f>Imput[[#This Row],[Sub total]]+Imput[[#This Row],[IVA]]-Imput[[#This Row],[Retención / IEPS / Descuento]]</f>
        <v>0</v>
      </c>
      <c r="M3075" s="844">
        <v>0</v>
      </c>
      <c r="N3075" s="189"/>
      <c r="O3075" s="1"/>
      <c r="P3075" s="189"/>
      <c r="Q3075" s="190"/>
      <c r="R3075" s="188"/>
      <c r="S3075" s="193"/>
      <c r="T3075" s="192"/>
      <c r="U3075" s="829"/>
      <c r="V3075" s="10"/>
      <c r="W3075" s="10"/>
      <c r="X3075" s="10"/>
      <c r="Y3075" s="10"/>
      <c r="Z3075" s="10"/>
      <c r="AA3075" s="11"/>
      <c r="AB3075" s="11"/>
    </row>
    <row r="3076" spans="2:28" x14ac:dyDescent="0.3">
      <c r="B3076" s="10"/>
      <c r="C3076" s="315"/>
      <c r="D3076" s="868"/>
      <c r="E3076" s="837" t="str">
        <f>IFERROR(IF(_xlfn.XLOOKUP(Imput[[#This Row],[RFC]],'Alta Proveedor'!D:D,'Alta Proveedor'!E:E)=0,"",_xlfn.XLOOKUP(Imput[[#This Row],[RFC]],'Alta Proveedor'!D:D,'Alta Proveedor'!E:E)),"")</f>
        <v/>
      </c>
      <c r="F3076" s="832"/>
      <c r="G3076" s="187"/>
      <c r="H3076" s="1"/>
      <c r="I3076" s="169">
        <f>Imput[[#This Row],[Cantidad]]*Imput[[#This Row],[Precio Unitario]]</f>
        <v>0</v>
      </c>
      <c r="J3076" s="11">
        <f>((Imput[[#This Row],[Sub total]])*(0.16))</f>
        <v>0</v>
      </c>
      <c r="K3076" s="11">
        <v>0</v>
      </c>
      <c r="L3076" s="169">
        <f>Imput[[#This Row],[Sub total]]+Imput[[#This Row],[IVA]]-Imput[[#This Row],[Retención / IEPS / Descuento]]</f>
        <v>0</v>
      </c>
      <c r="M3076" s="844">
        <v>0</v>
      </c>
      <c r="N3076" s="189"/>
      <c r="O3076" s="1"/>
      <c r="P3076" s="189"/>
      <c r="Q3076" s="190"/>
      <c r="R3076" s="188"/>
      <c r="S3076" s="193"/>
      <c r="T3076" s="192"/>
      <c r="U3076" s="829"/>
      <c r="V3076" s="10"/>
      <c r="W3076" s="10"/>
      <c r="X3076" s="10"/>
      <c r="Y3076" s="10"/>
      <c r="Z3076" s="10"/>
      <c r="AA3076" s="11"/>
      <c r="AB3076" s="11"/>
    </row>
    <row r="3077" spans="2:28" x14ac:dyDescent="0.3">
      <c r="B3077" s="10"/>
      <c r="C3077" s="315"/>
      <c r="D3077" s="868"/>
      <c r="E3077" s="837" t="str">
        <f>IFERROR(IF(_xlfn.XLOOKUP(Imput[[#This Row],[RFC]],'Alta Proveedor'!D:D,'Alta Proveedor'!E:E)=0,"",_xlfn.XLOOKUP(Imput[[#This Row],[RFC]],'Alta Proveedor'!D:D,'Alta Proveedor'!E:E)),"")</f>
        <v/>
      </c>
      <c r="F3077" s="832"/>
      <c r="G3077" s="187"/>
      <c r="H3077" s="1"/>
      <c r="I3077" s="169">
        <f>Imput[[#This Row],[Cantidad]]*Imput[[#This Row],[Precio Unitario]]</f>
        <v>0</v>
      </c>
      <c r="J3077" s="11">
        <f>((Imput[[#This Row],[Sub total]])*(0.16))</f>
        <v>0</v>
      </c>
      <c r="K3077" s="11">
        <v>0</v>
      </c>
      <c r="L3077" s="169">
        <f>Imput[[#This Row],[Sub total]]+Imput[[#This Row],[IVA]]-Imput[[#This Row],[Retención / IEPS / Descuento]]</f>
        <v>0</v>
      </c>
      <c r="M3077" s="844">
        <v>0</v>
      </c>
      <c r="N3077" s="189"/>
      <c r="O3077" s="1"/>
      <c r="P3077" s="189"/>
      <c r="Q3077" s="190"/>
      <c r="R3077" s="188"/>
      <c r="S3077" s="193"/>
      <c r="T3077" s="192"/>
      <c r="U3077" s="829"/>
      <c r="V3077" s="10"/>
      <c r="W3077" s="10"/>
      <c r="X3077" s="10"/>
      <c r="Y3077" s="10"/>
      <c r="Z3077" s="10"/>
      <c r="AA3077" s="11"/>
      <c r="AB3077" s="11"/>
    </row>
    <row r="3078" spans="2:28" x14ac:dyDescent="0.3">
      <c r="B3078" s="10"/>
      <c r="C3078" s="315"/>
      <c r="D3078" s="868"/>
      <c r="E3078" s="837" t="str">
        <f>IFERROR(IF(_xlfn.XLOOKUP(Imput[[#This Row],[RFC]],'Alta Proveedor'!D:D,'Alta Proveedor'!E:E)=0,"",_xlfn.XLOOKUP(Imput[[#This Row],[RFC]],'Alta Proveedor'!D:D,'Alta Proveedor'!E:E)),"")</f>
        <v/>
      </c>
      <c r="F3078" s="832"/>
      <c r="G3078" s="187"/>
      <c r="H3078" s="1"/>
      <c r="I3078" s="169">
        <f>Imput[[#This Row],[Cantidad]]*Imput[[#This Row],[Precio Unitario]]</f>
        <v>0</v>
      </c>
      <c r="J3078" s="11">
        <f>((Imput[[#This Row],[Sub total]])*(0.16))</f>
        <v>0</v>
      </c>
      <c r="K3078" s="11">
        <v>0</v>
      </c>
      <c r="L3078" s="169">
        <f>Imput[[#This Row],[Sub total]]+Imput[[#This Row],[IVA]]-Imput[[#This Row],[Retención / IEPS / Descuento]]</f>
        <v>0</v>
      </c>
      <c r="M3078" s="844">
        <v>0</v>
      </c>
      <c r="N3078" s="189"/>
      <c r="O3078" s="1"/>
      <c r="P3078" s="189"/>
      <c r="Q3078" s="190"/>
      <c r="R3078" s="188"/>
      <c r="S3078" s="193"/>
      <c r="T3078" s="192"/>
      <c r="U3078" s="829"/>
      <c r="V3078" s="10"/>
      <c r="W3078" s="10"/>
      <c r="X3078" s="10"/>
      <c r="Y3078" s="10"/>
      <c r="Z3078" s="10"/>
      <c r="AA3078" s="11"/>
      <c r="AB3078" s="11"/>
    </row>
    <row r="3079" spans="2:28" x14ac:dyDescent="0.3">
      <c r="B3079" s="10"/>
      <c r="C3079" s="315"/>
      <c r="D3079" s="868"/>
      <c r="E3079" s="837" t="str">
        <f>IFERROR(IF(_xlfn.XLOOKUP(Imput[[#This Row],[RFC]],'Alta Proveedor'!D:D,'Alta Proveedor'!E:E)=0,"",_xlfn.XLOOKUP(Imput[[#This Row],[RFC]],'Alta Proveedor'!D:D,'Alta Proveedor'!E:E)),"")</f>
        <v/>
      </c>
      <c r="F3079" s="832"/>
      <c r="G3079" s="187"/>
      <c r="H3079" s="1"/>
      <c r="I3079" s="169">
        <f>Imput[[#This Row],[Cantidad]]*Imput[[#This Row],[Precio Unitario]]</f>
        <v>0</v>
      </c>
      <c r="J3079" s="11">
        <f>((Imput[[#This Row],[Sub total]])*(0.16))</f>
        <v>0</v>
      </c>
      <c r="K3079" s="11">
        <v>0</v>
      </c>
      <c r="L3079" s="169">
        <f>Imput[[#This Row],[Sub total]]+Imput[[#This Row],[IVA]]-Imput[[#This Row],[Retención / IEPS / Descuento]]</f>
        <v>0</v>
      </c>
      <c r="M3079" s="844">
        <v>0</v>
      </c>
      <c r="N3079" s="189"/>
      <c r="O3079" s="1"/>
      <c r="P3079" s="189"/>
      <c r="Q3079" s="190"/>
      <c r="R3079" s="188"/>
      <c r="S3079" s="193"/>
      <c r="T3079" s="192"/>
      <c r="U3079" s="829"/>
      <c r="V3079" s="10"/>
      <c r="W3079" s="10"/>
      <c r="X3079" s="10"/>
      <c r="Y3079" s="10"/>
      <c r="Z3079" s="10"/>
      <c r="AA3079" s="11"/>
      <c r="AB3079" s="11"/>
    </row>
    <row r="3080" spans="2:28" x14ac:dyDescent="0.3">
      <c r="B3080" s="10"/>
      <c r="C3080" s="315"/>
      <c r="D3080" s="868"/>
      <c r="E3080" s="837" t="str">
        <f>IFERROR(IF(_xlfn.XLOOKUP(Imput[[#This Row],[RFC]],'Alta Proveedor'!D:D,'Alta Proveedor'!E:E)=0,"",_xlfn.XLOOKUP(Imput[[#This Row],[RFC]],'Alta Proveedor'!D:D,'Alta Proveedor'!E:E)),"")</f>
        <v/>
      </c>
      <c r="F3080" s="832"/>
      <c r="G3080" s="187"/>
      <c r="H3080" s="1"/>
      <c r="I3080" s="169">
        <f>Imput[[#This Row],[Cantidad]]*Imput[[#This Row],[Precio Unitario]]</f>
        <v>0</v>
      </c>
      <c r="J3080" s="11">
        <f>((Imput[[#This Row],[Sub total]])*(0.16))</f>
        <v>0</v>
      </c>
      <c r="K3080" s="11">
        <v>0</v>
      </c>
      <c r="L3080" s="169">
        <f>Imput[[#This Row],[Sub total]]+Imput[[#This Row],[IVA]]-Imput[[#This Row],[Retención / IEPS / Descuento]]</f>
        <v>0</v>
      </c>
      <c r="M3080" s="844">
        <v>0</v>
      </c>
      <c r="N3080" s="189"/>
      <c r="O3080" s="1"/>
      <c r="P3080" s="189"/>
      <c r="Q3080" s="190"/>
      <c r="R3080" s="188"/>
      <c r="S3080" s="193"/>
      <c r="T3080" s="192"/>
      <c r="U3080" s="829"/>
      <c r="V3080" s="10"/>
      <c r="W3080" s="10"/>
      <c r="X3080" s="10"/>
      <c r="Y3080" s="10"/>
      <c r="Z3080" s="10"/>
      <c r="AA3080" s="11"/>
      <c r="AB3080" s="11"/>
    </row>
    <row r="3081" spans="2:28" x14ac:dyDescent="0.3">
      <c r="B3081" s="10"/>
      <c r="C3081" s="315"/>
      <c r="D3081" s="868"/>
      <c r="E3081" s="837" t="str">
        <f>IFERROR(IF(_xlfn.XLOOKUP(Imput[[#This Row],[RFC]],'Alta Proveedor'!D:D,'Alta Proveedor'!E:E)=0,"",_xlfn.XLOOKUP(Imput[[#This Row],[RFC]],'Alta Proveedor'!D:D,'Alta Proveedor'!E:E)),"")</f>
        <v/>
      </c>
      <c r="F3081" s="832"/>
      <c r="G3081" s="187"/>
      <c r="H3081" s="1"/>
      <c r="I3081" s="169">
        <f>Imput[[#This Row],[Cantidad]]*Imput[[#This Row],[Precio Unitario]]</f>
        <v>0</v>
      </c>
      <c r="J3081" s="11">
        <f>((Imput[[#This Row],[Sub total]])*(0.16))</f>
        <v>0</v>
      </c>
      <c r="K3081" s="11">
        <v>0</v>
      </c>
      <c r="L3081" s="169">
        <f>Imput[[#This Row],[Sub total]]+Imput[[#This Row],[IVA]]-Imput[[#This Row],[Retención / IEPS / Descuento]]</f>
        <v>0</v>
      </c>
      <c r="M3081" s="844">
        <v>0</v>
      </c>
      <c r="N3081" s="189"/>
      <c r="O3081" s="1"/>
      <c r="P3081" s="189"/>
      <c r="Q3081" s="190"/>
      <c r="R3081" s="188"/>
      <c r="S3081" s="193"/>
      <c r="T3081" s="192"/>
      <c r="U3081" s="829"/>
      <c r="V3081" s="10"/>
      <c r="W3081" s="10"/>
      <c r="X3081" s="10"/>
      <c r="Y3081" s="10"/>
      <c r="Z3081" s="10"/>
      <c r="AA3081" s="11"/>
      <c r="AB3081" s="11"/>
    </row>
    <row r="3082" spans="2:28" x14ac:dyDescent="0.3">
      <c r="B3082" s="10"/>
      <c r="C3082" s="315"/>
      <c r="D3082" s="868"/>
      <c r="E3082" s="837" t="str">
        <f>IFERROR(IF(_xlfn.XLOOKUP(Imput[[#This Row],[RFC]],'Alta Proveedor'!D:D,'Alta Proveedor'!E:E)=0,"",_xlfn.XLOOKUP(Imput[[#This Row],[RFC]],'Alta Proveedor'!D:D,'Alta Proveedor'!E:E)),"")</f>
        <v/>
      </c>
      <c r="F3082" s="832"/>
      <c r="G3082" s="187"/>
      <c r="H3082" s="1"/>
      <c r="I3082" s="169">
        <f>Imput[[#This Row],[Cantidad]]*Imput[[#This Row],[Precio Unitario]]</f>
        <v>0</v>
      </c>
      <c r="J3082" s="11">
        <f>((Imput[[#This Row],[Sub total]])*(0.16))</f>
        <v>0</v>
      </c>
      <c r="K3082" s="11">
        <v>0</v>
      </c>
      <c r="L3082" s="169">
        <f>Imput[[#This Row],[Sub total]]+Imput[[#This Row],[IVA]]-Imput[[#This Row],[Retención / IEPS / Descuento]]</f>
        <v>0</v>
      </c>
      <c r="M3082" s="844">
        <v>0</v>
      </c>
      <c r="N3082" s="189"/>
      <c r="O3082" s="1"/>
      <c r="P3082" s="189"/>
      <c r="Q3082" s="190"/>
      <c r="R3082" s="188"/>
      <c r="S3082" s="193"/>
      <c r="T3082" s="192"/>
      <c r="U3082" s="829"/>
      <c r="V3082" s="10"/>
      <c r="W3082" s="10"/>
      <c r="X3082" s="10"/>
      <c r="Y3082" s="10"/>
      <c r="Z3082" s="10"/>
      <c r="AA3082" s="11"/>
      <c r="AB3082" s="11"/>
    </row>
    <row r="3083" spans="2:28" x14ac:dyDescent="0.3">
      <c r="B3083" s="10"/>
      <c r="C3083" s="315"/>
      <c r="D3083" s="868"/>
      <c r="E3083" s="837" t="str">
        <f>IFERROR(IF(_xlfn.XLOOKUP(Imput[[#This Row],[RFC]],'Alta Proveedor'!D:D,'Alta Proveedor'!E:E)=0,"",_xlfn.XLOOKUP(Imput[[#This Row],[RFC]],'Alta Proveedor'!D:D,'Alta Proveedor'!E:E)),"")</f>
        <v/>
      </c>
      <c r="F3083" s="832"/>
      <c r="G3083" s="187"/>
      <c r="H3083" s="1"/>
      <c r="I3083" s="169">
        <f>Imput[[#This Row],[Cantidad]]*Imput[[#This Row],[Precio Unitario]]</f>
        <v>0</v>
      </c>
      <c r="J3083" s="11">
        <f>((Imput[[#This Row],[Sub total]])*(0.16))</f>
        <v>0</v>
      </c>
      <c r="K3083" s="11">
        <v>0</v>
      </c>
      <c r="L3083" s="169">
        <f>Imput[[#This Row],[Sub total]]+Imput[[#This Row],[IVA]]-Imput[[#This Row],[Retención / IEPS / Descuento]]</f>
        <v>0</v>
      </c>
      <c r="M3083" s="844">
        <v>0</v>
      </c>
      <c r="N3083" s="189"/>
      <c r="O3083" s="1"/>
      <c r="P3083" s="189"/>
      <c r="Q3083" s="190"/>
      <c r="R3083" s="188"/>
      <c r="S3083" s="193"/>
      <c r="T3083" s="192"/>
      <c r="U3083" s="829"/>
      <c r="V3083" s="10"/>
      <c r="W3083" s="10"/>
      <c r="X3083" s="10"/>
      <c r="Y3083" s="10"/>
      <c r="Z3083" s="10"/>
      <c r="AA3083" s="11"/>
      <c r="AB3083" s="11"/>
    </row>
    <row r="3084" spans="2:28" x14ac:dyDescent="0.3">
      <c r="B3084" s="10"/>
      <c r="C3084" s="315"/>
      <c r="D3084" s="868"/>
      <c r="E3084" s="837" t="str">
        <f>IFERROR(IF(_xlfn.XLOOKUP(Imput[[#This Row],[RFC]],'Alta Proveedor'!D:D,'Alta Proveedor'!E:E)=0,"",_xlfn.XLOOKUP(Imput[[#This Row],[RFC]],'Alta Proveedor'!D:D,'Alta Proveedor'!E:E)),"")</f>
        <v/>
      </c>
      <c r="F3084" s="832"/>
      <c r="G3084" s="187"/>
      <c r="H3084" s="1"/>
      <c r="I3084" s="169">
        <f>Imput[[#This Row],[Cantidad]]*Imput[[#This Row],[Precio Unitario]]</f>
        <v>0</v>
      </c>
      <c r="J3084" s="11">
        <f>((Imput[[#This Row],[Sub total]])*(0.16))</f>
        <v>0</v>
      </c>
      <c r="K3084" s="11">
        <v>0</v>
      </c>
      <c r="L3084" s="169">
        <f>Imput[[#This Row],[Sub total]]+Imput[[#This Row],[IVA]]-Imput[[#This Row],[Retención / IEPS / Descuento]]</f>
        <v>0</v>
      </c>
      <c r="M3084" s="844">
        <v>0</v>
      </c>
      <c r="N3084" s="189"/>
      <c r="O3084" s="1"/>
      <c r="P3084" s="189"/>
      <c r="Q3084" s="190"/>
      <c r="R3084" s="188"/>
      <c r="S3084" s="193"/>
      <c r="T3084" s="192"/>
      <c r="U3084" s="829"/>
      <c r="V3084" s="10"/>
      <c r="W3084" s="10"/>
      <c r="X3084" s="10"/>
      <c r="Y3084" s="10"/>
      <c r="Z3084" s="10"/>
      <c r="AA3084" s="11"/>
      <c r="AB3084" s="11"/>
    </row>
    <row r="3085" spans="2:28" x14ac:dyDescent="0.3">
      <c r="B3085" s="10"/>
      <c r="C3085" s="315"/>
      <c r="D3085" s="868"/>
      <c r="E3085" s="837" t="str">
        <f>IFERROR(IF(_xlfn.XLOOKUP(Imput[[#This Row],[RFC]],'Alta Proveedor'!D:D,'Alta Proveedor'!E:E)=0,"",_xlfn.XLOOKUP(Imput[[#This Row],[RFC]],'Alta Proveedor'!D:D,'Alta Proveedor'!E:E)),"")</f>
        <v/>
      </c>
      <c r="F3085" s="832"/>
      <c r="G3085" s="187"/>
      <c r="H3085" s="1"/>
      <c r="I3085" s="169">
        <f>Imput[[#This Row],[Cantidad]]*Imput[[#This Row],[Precio Unitario]]</f>
        <v>0</v>
      </c>
      <c r="J3085" s="11">
        <f>((Imput[[#This Row],[Sub total]])*(0.16))</f>
        <v>0</v>
      </c>
      <c r="K3085" s="11">
        <v>0</v>
      </c>
      <c r="L3085" s="169">
        <f>Imput[[#This Row],[Sub total]]+Imput[[#This Row],[IVA]]-Imput[[#This Row],[Retención / IEPS / Descuento]]</f>
        <v>0</v>
      </c>
      <c r="M3085" s="844">
        <v>0</v>
      </c>
      <c r="N3085" s="189"/>
      <c r="O3085" s="1"/>
      <c r="P3085" s="189"/>
      <c r="Q3085" s="190"/>
      <c r="R3085" s="188"/>
      <c r="S3085" s="193"/>
      <c r="T3085" s="192"/>
      <c r="U3085" s="829"/>
      <c r="V3085" s="10"/>
      <c r="W3085" s="10"/>
      <c r="X3085" s="10"/>
      <c r="Y3085" s="10"/>
      <c r="Z3085" s="10"/>
      <c r="AA3085" s="11"/>
      <c r="AB3085" s="11"/>
    </row>
    <row r="3086" spans="2:28" x14ac:dyDescent="0.3">
      <c r="B3086" s="10"/>
      <c r="C3086" s="315"/>
      <c r="D3086" s="868"/>
      <c r="E3086" s="837" t="str">
        <f>IFERROR(IF(_xlfn.XLOOKUP(Imput[[#This Row],[RFC]],'Alta Proveedor'!D:D,'Alta Proveedor'!E:E)=0,"",_xlfn.XLOOKUP(Imput[[#This Row],[RFC]],'Alta Proveedor'!D:D,'Alta Proveedor'!E:E)),"")</f>
        <v/>
      </c>
      <c r="F3086" s="832"/>
      <c r="G3086" s="187"/>
      <c r="H3086" s="1"/>
      <c r="I3086" s="169">
        <f>Imput[[#This Row],[Cantidad]]*Imput[[#This Row],[Precio Unitario]]</f>
        <v>0</v>
      </c>
      <c r="J3086" s="11">
        <f>((Imput[[#This Row],[Sub total]])*(0.16))</f>
        <v>0</v>
      </c>
      <c r="K3086" s="11">
        <v>0</v>
      </c>
      <c r="L3086" s="169">
        <f>Imput[[#This Row],[Sub total]]+Imput[[#This Row],[IVA]]-Imput[[#This Row],[Retención / IEPS / Descuento]]</f>
        <v>0</v>
      </c>
      <c r="M3086" s="844">
        <v>0</v>
      </c>
      <c r="N3086" s="189"/>
      <c r="O3086" s="1"/>
      <c r="P3086" s="189"/>
      <c r="Q3086" s="190"/>
      <c r="R3086" s="188"/>
      <c r="S3086" s="193"/>
      <c r="T3086" s="192"/>
      <c r="U3086" s="829"/>
      <c r="V3086" s="10"/>
      <c r="W3086" s="10"/>
      <c r="X3086" s="10"/>
      <c r="Y3086" s="10"/>
      <c r="Z3086" s="10"/>
      <c r="AA3086" s="11"/>
      <c r="AB3086" s="11"/>
    </row>
    <row r="3087" spans="2:28" x14ac:dyDescent="0.3">
      <c r="B3087" s="10"/>
      <c r="C3087" s="315"/>
      <c r="D3087" s="868"/>
      <c r="E3087" s="837" t="str">
        <f>IFERROR(IF(_xlfn.XLOOKUP(Imput[[#This Row],[RFC]],'Alta Proveedor'!D:D,'Alta Proveedor'!E:E)=0,"",_xlfn.XLOOKUP(Imput[[#This Row],[RFC]],'Alta Proveedor'!D:D,'Alta Proveedor'!E:E)),"")</f>
        <v/>
      </c>
      <c r="F3087" s="832"/>
      <c r="G3087" s="187"/>
      <c r="H3087" s="1"/>
      <c r="I3087" s="169">
        <f>Imput[[#This Row],[Cantidad]]*Imput[[#This Row],[Precio Unitario]]</f>
        <v>0</v>
      </c>
      <c r="J3087" s="11">
        <f>((Imput[[#This Row],[Sub total]])*(0.16))</f>
        <v>0</v>
      </c>
      <c r="K3087" s="11">
        <v>0</v>
      </c>
      <c r="L3087" s="169">
        <f>Imput[[#This Row],[Sub total]]+Imput[[#This Row],[IVA]]-Imput[[#This Row],[Retención / IEPS / Descuento]]</f>
        <v>0</v>
      </c>
      <c r="M3087" s="844">
        <v>0</v>
      </c>
      <c r="N3087" s="189"/>
      <c r="O3087" s="1"/>
      <c r="P3087" s="189"/>
      <c r="Q3087" s="190"/>
      <c r="R3087" s="188"/>
      <c r="S3087" s="193"/>
      <c r="T3087" s="192"/>
      <c r="U3087" s="829"/>
      <c r="V3087" s="10"/>
      <c r="W3087" s="10"/>
      <c r="X3087" s="10"/>
      <c r="Y3087" s="10"/>
      <c r="Z3087" s="10"/>
      <c r="AA3087" s="11"/>
      <c r="AB3087" s="11"/>
    </row>
    <row r="3088" spans="2:28" x14ac:dyDescent="0.3">
      <c r="B3088" s="10"/>
      <c r="C3088" s="315"/>
      <c r="D3088" s="868"/>
      <c r="E3088" s="837" t="str">
        <f>IFERROR(IF(_xlfn.XLOOKUP(Imput[[#This Row],[RFC]],'Alta Proveedor'!D:D,'Alta Proveedor'!E:E)=0,"",_xlfn.XLOOKUP(Imput[[#This Row],[RFC]],'Alta Proveedor'!D:D,'Alta Proveedor'!E:E)),"")</f>
        <v/>
      </c>
      <c r="F3088" s="832"/>
      <c r="G3088" s="187"/>
      <c r="H3088" s="1"/>
      <c r="I3088" s="169">
        <f>Imput[[#This Row],[Cantidad]]*Imput[[#This Row],[Precio Unitario]]</f>
        <v>0</v>
      </c>
      <c r="J3088" s="11">
        <f>((Imput[[#This Row],[Sub total]])*(0.16))</f>
        <v>0</v>
      </c>
      <c r="K3088" s="11">
        <v>0</v>
      </c>
      <c r="L3088" s="169">
        <f>Imput[[#This Row],[Sub total]]+Imput[[#This Row],[IVA]]-Imput[[#This Row],[Retención / IEPS / Descuento]]</f>
        <v>0</v>
      </c>
      <c r="M3088" s="844">
        <v>0</v>
      </c>
      <c r="N3088" s="189"/>
      <c r="O3088" s="1"/>
      <c r="P3088" s="189"/>
      <c r="Q3088" s="190"/>
      <c r="R3088" s="188"/>
      <c r="S3088" s="193"/>
      <c r="T3088" s="192"/>
      <c r="U3088" s="829"/>
      <c r="V3088" s="10"/>
      <c r="W3088" s="10"/>
      <c r="X3088" s="10"/>
      <c r="Y3088" s="10"/>
      <c r="Z3088" s="10"/>
      <c r="AA3088" s="11"/>
      <c r="AB3088" s="11"/>
    </row>
    <row r="3089" spans="2:28" x14ac:dyDescent="0.3">
      <c r="B3089" s="10"/>
      <c r="C3089" s="315"/>
      <c r="D3089" s="868"/>
      <c r="E3089" s="837" t="str">
        <f>IFERROR(IF(_xlfn.XLOOKUP(Imput[[#This Row],[RFC]],'Alta Proveedor'!D:D,'Alta Proveedor'!E:E)=0,"",_xlfn.XLOOKUP(Imput[[#This Row],[RFC]],'Alta Proveedor'!D:D,'Alta Proveedor'!E:E)),"")</f>
        <v/>
      </c>
      <c r="F3089" s="832"/>
      <c r="G3089" s="187"/>
      <c r="H3089" s="1"/>
      <c r="I3089" s="169">
        <f>Imput[[#This Row],[Cantidad]]*Imput[[#This Row],[Precio Unitario]]</f>
        <v>0</v>
      </c>
      <c r="J3089" s="11">
        <f>((Imput[[#This Row],[Sub total]])*(0.16))</f>
        <v>0</v>
      </c>
      <c r="K3089" s="11">
        <v>0</v>
      </c>
      <c r="L3089" s="169">
        <f>Imput[[#This Row],[Sub total]]+Imput[[#This Row],[IVA]]-Imput[[#This Row],[Retención / IEPS / Descuento]]</f>
        <v>0</v>
      </c>
      <c r="M3089" s="844">
        <v>0</v>
      </c>
      <c r="N3089" s="189"/>
      <c r="O3089" s="1"/>
      <c r="P3089" s="189"/>
      <c r="Q3089" s="190"/>
      <c r="R3089" s="188"/>
      <c r="S3089" s="193"/>
      <c r="T3089" s="192"/>
      <c r="U3089" s="829"/>
      <c r="V3089" s="10"/>
      <c r="W3089" s="10"/>
      <c r="X3089" s="10"/>
      <c r="Y3089" s="10"/>
      <c r="Z3089" s="10"/>
      <c r="AA3089" s="11"/>
      <c r="AB3089" s="11"/>
    </row>
    <row r="3090" spans="2:28" x14ac:dyDescent="0.3">
      <c r="B3090" s="10"/>
      <c r="C3090" s="315"/>
      <c r="D3090" s="868"/>
      <c r="E3090" s="837" t="str">
        <f>IFERROR(IF(_xlfn.XLOOKUP(Imput[[#This Row],[RFC]],'Alta Proveedor'!D:D,'Alta Proveedor'!E:E)=0,"",_xlfn.XLOOKUP(Imput[[#This Row],[RFC]],'Alta Proveedor'!D:D,'Alta Proveedor'!E:E)),"")</f>
        <v/>
      </c>
      <c r="F3090" s="832"/>
      <c r="G3090" s="187"/>
      <c r="H3090" s="1"/>
      <c r="I3090" s="169">
        <f>Imput[[#This Row],[Cantidad]]*Imput[[#This Row],[Precio Unitario]]</f>
        <v>0</v>
      </c>
      <c r="J3090" s="11">
        <f>((Imput[[#This Row],[Sub total]])*(0.16))</f>
        <v>0</v>
      </c>
      <c r="K3090" s="11">
        <v>0</v>
      </c>
      <c r="L3090" s="169">
        <f>Imput[[#This Row],[Sub total]]+Imput[[#This Row],[IVA]]-Imput[[#This Row],[Retención / IEPS / Descuento]]</f>
        <v>0</v>
      </c>
      <c r="M3090" s="844">
        <v>0</v>
      </c>
      <c r="N3090" s="189"/>
      <c r="O3090" s="1"/>
      <c r="P3090" s="189"/>
      <c r="Q3090" s="190"/>
      <c r="R3090" s="188"/>
      <c r="S3090" s="193"/>
      <c r="T3090" s="192"/>
      <c r="U3090" s="829"/>
      <c r="V3090" s="10"/>
      <c r="W3090" s="10"/>
      <c r="X3090" s="10"/>
      <c r="Y3090" s="10"/>
      <c r="Z3090" s="10"/>
      <c r="AA3090" s="11"/>
      <c r="AB3090" s="11"/>
    </row>
    <row r="3091" spans="2:28" x14ac:dyDescent="0.3">
      <c r="B3091" s="10"/>
      <c r="C3091" s="315"/>
      <c r="D3091" s="868"/>
      <c r="E3091" s="837" t="str">
        <f>IFERROR(IF(_xlfn.XLOOKUP(Imput[[#This Row],[RFC]],'Alta Proveedor'!D:D,'Alta Proveedor'!E:E)=0,"",_xlfn.XLOOKUP(Imput[[#This Row],[RFC]],'Alta Proveedor'!D:D,'Alta Proveedor'!E:E)),"")</f>
        <v/>
      </c>
      <c r="F3091" s="832"/>
      <c r="G3091" s="187"/>
      <c r="H3091" s="1"/>
      <c r="I3091" s="169">
        <f>Imput[[#This Row],[Cantidad]]*Imput[[#This Row],[Precio Unitario]]</f>
        <v>0</v>
      </c>
      <c r="J3091" s="11">
        <f>((Imput[[#This Row],[Sub total]])*(0.16))</f>
        <v>0</v>
      </c>
      <c r="K3091" s="11">
        <v>0</v>
      </c>
      <c r="L3091" s="169">
        <f>Imput[[#This Row],[Sub total]]+Imput[[#This Row],[IVA]]-Imput[[#This Row],[Retención / IEPS / Descuento]]</f>
        <v>0</v>
      </c>
      <c r="M3091" s="844">
        <v>0</v>
      </c>
      <c r="N3091" s="189"/>
      <c r="O3091" s="1"/>
      <c r="P3091" s="189"/>
      <c r="Q3091" s="190"/>
      <c r="R3091" s="188"/>
      <c r="S3091" s="193"/>
      <c r="T3091" s="192"/>
      <c r="U3091" s="829"/>
      <c r="V3091" s="10"/>
      <c r="W3091" s="10"/>
      <c r="X3091" s="10"/>
      <c r="Y3091" s="10"/>
      <c r="Z3091" s="10"/>
      <c r="AA3091" s="11"/>
      <c r="AB3091" s="11"/>
    </row>
    <row r="3092" spans="2:28" x14ac:dyDescent="0.3">
      <c r="B3092" s="10"/>
      <c r="C3092" s="315"/>
      <c r="D3092" s="868"/>
      <c r="E3092" s="837" t="str">
        <f>IFERROR(IF(_xlfn.XLOOKUP(Imput[[#This Row],[RFC]],'Alta Proveedor'!D:D,'Alta Proveedor'!E:E)=0,"",_xlfn.XLOOKUP(Imput[[#This Row],[RFC]],'Alta Proveedor'!D:D,'Alta Proveedor'!E:E)),"")</f>
        <v/>
      </c>
      <c r="F3092" s="832"/>
      <c r="G3092" s="187"/>
      <c r="H3092" s="1"/>
      <c r="I3092" s="169">
        <f>Imput[[#This Row],[Cantidad]]*Imput[[#This Row],[Precio Unitario]]</f>
        <v>0</v>
      </c>
      <c r="J3092" s="11">
        <f>((Imput[[#This Row],[Sub total]])*(0.16))</f>
        <v>0</v>
      </c>
      <c r="K3092" s="11">
        <v>0</v>
      </c>
      <c r="L3092" s="169">
        <f>Imput[[#This Row],[Sub total]]+Imput[[#This Row],[IVA]]-Imput[[#This Row],[Retención / IEPS / Descuento]]</f>
        <v>0</v>
      </c>
      <c r="M3092" s="844">
        <v>0</v>
      </c>
      <c r="N3092" s="189"/>
      <c r="O3092" s="1"/>
      <c r="P3092" s="189"/>
      <c r="Q3092" s="190"/>
      <c r="R3092" s="188"/>
      <c r="S3092" s="193"/>
      <c r="T3092" s="192"/>
      <c r="U3092" s="829"/>
      <c r="V3092" s="10"/>
      <c r="W3092" s="10"/>
      <c r="X3092" s="10"/>
      <c r="Y3092" s="10"/>
      <c r="Z3092" s="10"/>
      <c r="AA3092" s="11"/>
      <c r="AB3092" s="11"/>
    </row>
    <row r="3093" spans="2:28" x14ac:dyDescent="0.3">
      <c r="B3093" s="10"/>
      <c r="C3093" s="315"/>
      <c r="D3093" s="868"/>
      <c r="E3093" s="837" t="str">
        <f>IFERROR(IF(_xlfn.XLOOKUP(Imput[[#This Row],[RFC]],'Alta Proveedor'!D:D,'Alta Proveedor'!E:E)=0,"",_xlfn.XLOOKUP(Imput[[#This Row],[RFC]],'Alta Proveedor'!D:D,'Alta Proveedor'!E:E)),"")</f>
        <v/>
      </c>
      <c r="F3093" s="832"/>
      <c r="G3093" s="187"/>
      <c r="H3093" s="1"/>
      <c r="I3093" s="169">
        <f>Imput[[#This Row],[Cantidad]]*Imput[[#This Row],[Precio Unitario]]</f>
        <v>0</v>
      </c>
      <c r="J3093" s="11">
        <f>((Imput[[#This Row],[Sub total]])*(0.16))</f>
        <v>0</v>
      </c>
      <c r="K3093" s="11">
        <v>0</v>
      </c>
      <c r="L3093" s="169">
        <f>Imput[[#This Row],[Sub total]]+Imput[[#This Row],[IVA]]-Imput[[#This Row],[Retención / IEPS / Descuento]]</f>
        <v>0</v>
      </c>
      <c r="M3093" s="844">
        <v>0</v>
      </c>
      <c r="N3093" s="189"/>
      <c r="O3093" s="1"/>
      <c r="P3093" s="189"/>
      <c r="Q3093" s="190"/>
      <c r="R3093" s="188"/>
      <c r="S3093" s="193"/>
      <c r="T3093" s="192"/>
      <c r="U3093" s="829"/>
      <c r="V3093" s="10"/>
      <c r="W3093" s="10"/>
      <c r="X3093" s="10"/>
      <c r="Y3093" s="10"/>
      <c r="Z3093" s="10"/>
      <c r="AA3093" s="11"/>
      <c r="AB3093" s="11"/>
    </row>
    <row r="3094" spans="2:28" x14ac:dyDescent="0.3">
      <c r="B3094" s="10"/>
      <c r="C3094" s="315"/>
      <c r="D3094" s="868"/>
      <c r="E3094" s="837" t="str">
        <f>IFERROR(IF(_xlfn.XLOOKUP(Imput[[#This Row],[RFC]],'Alta Proveedor'!D:D,'Alta Proveedor'!E:E)=0,"",_xlfn.XLOOKUP(Imput[[#This Row],[RFC]],'Alta Proveedor'!D:D,'Alta Proveedor'!E:E)),"")</f>
        <v/>
      </c>
      <c r="F3094" s="832"/>
      <c r="G3094" s="187"/>
      <c r="H3094" s="1"/>
      <c r="I3094" s="169">
        <f>Imput[[#This Row],[Cantidad]]*Imput[[#This Row],[Precio Unitario]]</f>
        <v>0</v>
      </c>
      <c r="J3094" s="11">
        <f>((Imput[[#This Row],[Sub total]])*(0.16))</f>
        <v>0</v>
      </c>
      <c r="K3094" s="11">
        <v>0</v>
      </c>
      <c r="L3094" s="169">
        <f>Imput[[#This Row],[Sub total]]+Imput[[#This Row],[IVA]]-Imput[[#This Row],[Retención / IEPS / Descuento]]</f>
        <v>0</v>
      </c>
      <c r="M3094" s="844">
        <v>0</v>
      </c>
      <c r="N3094" s="189"/>
      <c r="O3094" s="1"/>
      <c r="P3094" s="189"/>
      <c r="Q3094" s="190"/>
      <c r="R3094" s="188"/>
      <c r="S3094" s="193"/>
      <c r="T3094" s="192"/>
      <c r="U3094" s="829"/>
      <c r="V3094" s="10"/>
      <c r="W3094" s="10"/>
      <c r="X3094" s="10"/>
      <c r="Y3094" s="10"/>
      <c r="Z3094" s="10"/>
      <c r="AA3094" s="11"/>
      <c r="AB3094" s="11"/>
    </row>
    <row r="3095" spans="2:28" x14ac:dyDescent="0.3">
      <c r="B3095" s="10"/>
      <c r="C3095" s="315"/>
      <c r="D3095" s="868"/>
      <c r="E3095" s="837" t="str">
        <f>IFERROR(IF(_xlfn.XLOOKUP(Imput[[#This Row],[RFC]],'Alta Proveedor'!D:D,'Alta Proveedor'!E:E)=0,"",_xlfn.XLOOKUP(Imput[[#This Row],[RFC]],'Alta Proveedor'!D:D,'Alta Proveedor'!E:E)),"")</f>
        <v/>
      </c>
      <c r="F3095" s="832"/>
      <c r="G3095" s="187"/>
      <c r="H3095" s="1"/>
      <c r="I3095" s="169">
        <f>Imput[[#This Row],[Cantidad]]*Imput[[#This Row],[Precio Unitario]]</f>
        <v>0</v>
      </c>
      <c r="J3095" s="11">
        <f>((Imput[[#This Row],[Sub total]])*(0.16))</f>
        <v>0</v>
      </c>
      <c r="K3095" s="11">
        <v>0</v>
      </c>
      <c r="L3095" s="169">
        <f>Imput[[#This Row],[Sub total]]+Imput[[#This Row],[IVA]]-Imput[[#This Row],[Retención / IEPS / Descuento]]</f>
        <v>0</v>
      </c>
      <c r="M3095" s="844">
        <v>0</v>
      </c>
      <c r="N3095" s="189"/>
      <c r="O3095" s="1"/>
      <c r="P3095" s="189"/>
      <c r="Q3095" s="190"/>
      <c r="R3095" s="188"/>
      <c r="S3095" s="193"/>
      <c r="T3095" s="192"/>
      <c r="U3095" s="829"/>
      <c r="V3095" s="10"/>
      <c r="W3095" s="10"/>
      <c r="X3095" s="10"/>
      <c r="Y3095" s="10"/>
      <c r="Z3095" s="10"/>
      <c r="AA3095" s="11"/>
      <c r="AB3095" s="11"/>
    </row>
    <row r="3096" spans="2:28" x14ac:dyDescent="0.3">
      <c r="B3096" s="10"/>
      <c r="C3096" s="315"/>
      <c r="D3096" s="868"/>
      <c r="E3096" s="837" t="str">
        <f>IFERROR(IF(_xlfn.XLOOKUP(Imput[[#This Row],[RFC]],'Alta Proveedor'!D:D,'Alta Proveedor'!E:E)=0,"",_xlfn.XLOOKUP(Imput[[#This Row],[RFC]],'Alta Proveedor'!D:D,'Alta Proveedor'!E:E)),"")</f>
        <v/>
      </c>
      <c r="F3096" s="832"/>
      <c r="G3096" s="187"/>
      <c r="H3096" s="1"/>
      <c r="I3096" s="169">
        <f>Imput[[#This Row],[Cantidad]]*Imput[[#This Row],[Precio Unitario]]</f>
        <v>0</v>
      </c>
      <c r="J3096" s="11">
        <f>((Imput[[#This Row],[Sub total]])*(0.16))</f>
        <v>0</v>
      </c>
      <c r="K3096" s="11">
        <v>0</v>
      </c>
      <c r="L3096" s="169">
        <f>Imput[[#This Row],[Sub total]]+Imput[[#This Row],[IVA]]-Imput[[#This Row],[Retención / IEPS / Descuento]]</f>
        <v>0</v>
      </c>
      <c r="M3096" s="844">
        <v>0</v>
      </c>
      <c r="N3096" s="189"/>
      <c r="O3096" s="1"/>
      <c r="P3096" s="189"/>
      <c r="Q3096" s="190"/>
      <c r="R3096" s="188"/>
      <c r="S3096" s="193"/>
      <c r="T3096" s="192"/>
      <c r="U3096" s="829"/>
      <c r="V3096" s="10"/>
      <c r="W3096" s="10"/>
      <c r="X3096" s="10"/>
      <c r="Y3096" s="10"/>
      <c r="Z3096" s="10"/>
      <c r="AA3096" s="11"/>
      <c r="AB3096" s="11"/>
    </row>
    <row r="3097" spans="2:28" x14ac:dyDescent="0.3">
      <c r="B3097" s="10"/>
      <c r="C3097" s="315"/>
      <c r="D3097" s="868"/>
      <c r="E3097" s="837" t="str">
        <f>IFERROR(IF(_xlfn.XLOOKUP(Imput[[#This Row],[RFC]],'Alta Proveedor'!D:D,'Alta Proveedor'!E:E)=0,"",_xlfn.XLOOKUP(Imput[[#This Row],[RFC]],'Alta Proveedor'!D:D,'Alta Proveedor'!E:E)),"")</f>
        <v/>
      </c>
      <c r="F3097" s="832"/>
      <c r="G3097" s="187"/>
      <c r="H3097" s="1"/>
      <c r="I3097" s="169">
        <f>Imput[[#This Row],[Cantidad]]*Imput[[#This Row],[Precio Unitario]]</f>
        <v>0</v>
      </c>
      <c r="J3097" s="11">
        <f>((Imput[[#This Row],[Sub total]])*(0.16))</f>
        <v>0</v>
      </c>
      <c r="K3097" s="11">
        <v>0</v>
      </c>
      <c r="L3097" s="169">
        <f>Imput[[#This Row],[Sub total]]+Imput[[#This Row],[IVA]]-Imput[[#This Row],[Retención / IEPS / Descuento]]</f>
        <v>0</v>
      </c>
      <c r="M3097" s="844">
        <v>0</v>
      </c>
      <c r="N3097" s="189"/>
      <c r="O3097" s="1"/>
      <c r="P3097" s="189"/>
      <c r="Q3097" s="190"/>
      <c r="R3097" s="188"/>
      <c r="S3097" s="193"/>
      <c r="T3097" s="192"/>
      <c r="U3097" s="829"/>
      <c r="V3097" s="10"/>
      <c r="W3097" s="10"/>
      <c r="X3097" s="10"/>
      <c r="Y3097" s="10"/>
      <c r="Z3097" s="10"/>
      <c r="AA3097" s="11"/>
      <c r="AB3097" s="11"/>
    </row>
    <row r="3098" spans="2:28" x14ac:dyDescent="0.3">
      <c r="B3098" s="10"/>
      <c r="C3098" s="315"/>
      <c r="D3098" s="868"/>
      <c r="E3098" s="837" t="str">
        <f>IFERROR(IF(_xlfn.XLOOKUP(Imput[[#This Row],[RFC]],'Alta Proveedor'!D:D,'Alta Proveedor'!E:E)=0,"",_xlfn.XLOOKUP(Imput[[#This Row],[RFC]],'Alta Proveedor'!D:D,'Alta Proveedor'!E:E)),"")</f>
        <v/>
      </c>
      <c r="F3098" s="832"/>
      <c r="G3098" s="187"/>
      <c r="H3098" s="1"/>
      <c r="I3098" s="169">
        <f>Imput[[#This Row],[Cantidad]]*Imput[[#This Row],[Precio Unitario]]</f>
        <v>0</v>
      </c>
      <c r="J3098" s="11">
        <f>((Imput[[#This Row],[Sub total]])*(0.16))</f>
        <v>0</v>
      </c>
      <c r="K3098" s="11">
        <v>0</v>
      </c>
      <c r="L3098" s="169">
        <f>Imput[[#This Row],[Sub total]]+Imput[[#This Row],[IVA]]-Imput[[#This Row],[Retención / IEPS / Descuento]]</f>
        <v>0</v>
      </c>
      <c r="M3098" s="844">
        <v>0</v>
      </c>
      <c r="N3098" s="189"/>
      <c r="O3098" s="1"/>
      <c r="P3098" s="189"/>
      <c r="Q3098" s="190"/>
      <c r="R3098" s="188"/>
      <c r="S3098" s="193"/>
      <c r="T3098" s="192"/>
      <c r="U3098" s="829"/>
      <c r="V3098" s="10"/>
      <c r="W3098" s="10"/>
      <c r="X3098" s="10"/>
      <c r="Y3098" s="10"/>
      <c r="Z3098" s="10"/>
      <c r="AA3098" s="11"/>
      <c r="AB3098" s="11"/>
    </row>
    <row r="3099" spans="2:28" x14ac:dyDescent="0.3">
      <c r="B3099" s="10"/>
      <c r="C3099" s="315"/>
      <c r="D3099" s="868"/>
      <c r="E3099" s="837" t="str">
        <f>IFERROR(IF(_xlfn.XLOOKUP(Imput[[#This Row],[RFC]],'Alta Proveedor'!D:D,'Alta Proveedor'!E:E)=0,"",_xlfn.XLOOKUP(Imput[[#This Row],[RFC]],'Alta Proveedor'!D:D,'Alta Proveedor'!E:E)),"")</f>
        <v/>
      </c>
      <c r="F3099" s="832"/>
      <c r="G3099" s="187"/>
      <c r="H3099" s="1"/>
      <c r="I3099" s="169">
        <f>Imput[[#This Row],[Cantidad]]*Imput[[#This Row],[Precio Unitario]]</f>
        <v>0</v>
      </c>
      <c r="J3099" s="11">
        <f>((Imput[[#This Row],[Sub total]])*(0.16))</f>
        <v>0</v>
      </c>
      <c r="K3099" s="11">
        <v>0</v>
      </c>
      <c r="L3099" s="169">
        <f>Imput[[#This Row],[Sub total]]+Imput[[#This Row],[IVA]]-Imput[[#This Row],[Retención / IEPS / Descuento]]</f>
        <v>0</v>
      </c>
      <c r="M3099" s="844">
        <v>0</v>
      </c>
      <c r="N3099" s="189"/>
      <c r="O3099" s="1"/>
      <c r="P3099" s="189"/>
      <c r="Q3099" s="190"/>
      <c r="R3099" s="188"/>
      <c r="S3099" s="193"/>
      <c r="T3099" s="192"/>
      <c r="U3099" s="829"/>
      <c r="V3099" s="10"/>
      <c r="W3099" s="10"/>
      <c r="X3099" s="10"/>
      <c r="Y3099" s="10"/>
      <c r="Z3099" s="10"/>
      <c r="AA3099" s="11"/>
      <c r="AB3099" s="11"/>
    </row>
    <row r="3100" spans="2:28" x14ac:dyDescent="0.3">
      <c r="B3100" s="10"/>
      <c r="C3100" s="315"/>
      <c r="D3100" s="868"/>
      <c r="E3100" s="837" t="str">
        <f>IFERROR(IF(_xlfn.XLOOKUP(Imput[[#This Row],[RFC]],'Alta Proveedor'!D:D,'Alta Proveedor'!E:E)=0,"",_xlfn.XLOOKUP(Imput[[#This Row],[RFC]],'Alta Proveedor'!D:D,'Alta Proveedor'!E:E)),"")</f>
        <v/>
      </c>
      <c r="F3100" s="832"/>
      <c r="G3100" s="187"/>
      <c r="H3100" s="1"/>
      <c r="I3100" s="169">
        <f>Imput[[#This Row],[Cantidad]]*Imput[[#This Row],[Precio Unitario]]</f>
        <v>0</v>
      </c>
      <c r="J3100" s="11">
        <f>((Imput[[#This Row],[Sub total]])*(0.16))</f>
        <v>0</v>
      </c>
      <c r="K3100" s="11">
        <v>0</v>
      </c>
      <c r="L3100" s="169">
        <f>Imput[[#This Row],[Sub total]]+Imput[[#This Row],[IVA]]-Imput[[#This Row],[Retención / IEPS / Descuento]]</f>
        <v>0</v>
      </c>
      <c r="M3100" s="844">
        <v>0</v>
      </c>
      <c r="N3100" s="189"/>
      <c r="O3100" s="1"/>
      <c r="P3100" s="189"/>
      <c r="Q3100" s="190"/>
      <c r="R3100" s="188"/>
      <c r="S3100" s="193"/>
      <c r="T3100" s="192"/>
      <c r="U3100" s="829"/>
      <c r="V3100" s="10"/>
      <c r="W3100" s="10"/>
      <c r="X3100" s="10"/>
      <c r="Y3100" s="10"/>
      <c r="Z3100" s="10"/>
      <c r="AA3100" s="11"/>
      <c r="AB3100" s="11"/>
    </row>
    <row r="3101" spans="2:28" x14ac:dyDescent="0.3">
      <c r="B3101" s="10"/>
      <c r="C3101" s="315"/>
      <c r="D3101" s="868"/>
      <c r="E3101" s="837" t="str">
        <f>IFERROR(IF(_xlfn.XLOOKUP(Imput[[#This Row],[RFC]],'Alta Proveedor'!D:D,'Alta Proveedor'!E:E)=0,"",_xlfn.XLOOKUP(Imput[[#This Row],[RFC]],'Alta Proveedor'!D:D,'Alta Proveedor'!E:E)),"")</f>
        <v/>
      </c>
      <c r="F3101" s="832"/>
      <c r="G3101" s="187"/>
      <c r="H3101" s="1"/>
      <c r="I3101" s="169">
        <f>Imput[[#This Row],[Cantidad]]*Imput[[#This Row],[Precio Unitario]]</f>
        <v>0</v>
      </c>
      <c r="J3101" s="11">
        <f>((Imput[[#This Row],[Sub total]])*(0.16))</f>
        <v>0</v>
      </c>
      <c r="K3101" s="11">
        <v>0</v>
      </c>
      <c r="L3101" s="169">
        <f>Imput[[#This Row],[Sub total]]+Imput[[#This Row],[IVA]]-Imput[[#This Row],[Retención / IEPS / Descuento]]</f>
        <v>0</v>
      </c>
      <c r="M3101" s="844">
        <v>0</v>
      </c>
      <c r="N3101" s="189"/>
      <c r="O3101" s="1"/>
      <c r="P3101" s="189"/>
      <c r="Q3101" s="190"/>
      <c r="R3101" s="188"/>
      <c r="S3101" s="193"/>
      <c r="T3101" s="192"/>
      <c r="U3101" s="829"/>
      <c r="V3101" s="10"/>
      <c r="W3101" s="10"/>
      <c r="X3101" s="10"/>
      <c r="Y3101" s="10"/>
      <c r="Z3101" s="10"/>
      <c r="AA3101" s="11"/>
      <c r="AB3101" s="11"/>
    </row>
    <row r="3102" spans="2:28" x14ac:dyDescent="0.3">
      <c r="B3102" s="10"/>
      <c r="C3102" s="315"/>
      <c r="D3102" s="868"/>
      <c r="E3102" s="837" t="str">
        <f>IFERROR(IF(_xlfn.XLOOKUP(Imput[[#This Row],[RFC]],'Alta Proveedor'!D:D,'Alta Proveedor'!E:E)=0,"",_xlfn.XLOOKUP(Imput[[#This Row],[RFC]],'Alta Proveedor'!D:D,'Alta Proveedor'!E:E)),"")</f>
        <v/>
      </c>
      <c r="F3102" s="832"/>
      <c r="G3102" s="187"/>
      <c r="H3102" s="1"/>
      <c r="I3102" s="169">
        <f>Imput[[#This Row],[Cantidad]]*Imput[[#This Row],[Precio Unitario]]</f>
        <v>0</v>
      </c>
      <c r="J3102" s="11">
        <f>((Imput[[#This Row],[Sub total]])*(0.16))</f>
        <v>0</v>
      </c>
      <c r="K3102" s="11">
        <v>0</v>
      </c>
      <c r="L3102" s="169">
        <f>Imput[[#This Row],[Sub total]]+Imput[[#This Row],[IVA]]-Imput[[#This Row],[Retención / IEPS / Descuento]]</f>
        <v>0</v>
      </c>
      <c r="M3102" s="844">
        <v>0</v>
      </c>
      <c r="N3102" s="189"/>
      <c r="O3102" s="1"/>
      <c r="P3102" s="189"/>
      <c r="Q3102" s="190"/>
      <c r="R3102" s="188"/>
      <c r="S3102" s="193"/>
      <c r="T3102" s="192"/>
      <c r="U3102" s="829"/>
      <c r="V3102" s="10"/>
      <c r="W3102" s="10"/>
      <c r="X3102" s="10"/>
      <c r="Y3102" s="10"/>
      <c r="Z3102" s="10"/>
      <c r="AA3102" s="11"/>
      <c r="AB3102" s="11"/>
    </row>
    <row r="3103" spans="2:28" x14ac:dyDescent="0.3">
      <c r="B3103" s="10"/>
      <c r="C3103" s="315"/>
      <c r="D3103" s="868"/>
      <c r="E3103" s="837" t="str">
        <f>IFERROR(IF(_xlfn.XLOOKUP(Imput[[#This Row],[RFC]],'Alta Proveedor'!D:D,'Alta Proveedor'!E:E)=0,"",_xlfn.XLOOKUP(Imput[[#This Row],[RFC]],'Alta Proveedor'!D:D,'Alta Proveedor'!E:E)),"")</f>
        <v/>
      </c>
      <c r="F3103" s="832"/>
      <c r="G3103" s="187"/>
      <c r="H3103" s="1"/>
      <c r="I3103" s="169">
        <f>Imput[[#This Row],[Cantidad]]*Imput[[#This Row],[Precio Unitario]]</f>
        <v>0</v>
      </c>
      <c r="J3103" s="11">
        <f>((Imput[[#This Row],[Sub total]])*(0.16))</f>
        <v>0</v>
      </c>
      <c r="K3103" s="11">
        <v>0</v>
      </c>
      <c r="L3103" s="169">
        <f>Imput[[#This Row],[Sub total]]+Imput[[#This Row],[IVA]]-Imput[[#This Row],[Retención / IEPS / Descuento]]</f>
        <v>0</v>
      </c>
      <c r="M3103" s="844">
        <v>0</v>
      </c>
      <c r="N3103" s="189"/>
      <c r="O3103" s="1"/>
      <c r="P3103" s="189"/>
      <c r="Q3103" s="190"/>
      <c r="R3103" s="188"/>
      <c r="S3103" s="193"/>
      <c r="T3103" s="192"/>
      <c r="U3103" s="829"/>
      <c r="V3103" s="10"/>
      <c r="W3103" s="10"/>
      <c r="X3103" s="10"/>
      <c r="Y3103" s="10"/>
      <c r="Z3103" s="10"/>
      <c r="AA3103" s="11"/>
      <c r="AB3103" s="11"/>
    </row>
    <row r="3104" spans="2:28" x14ac:dyDescent="0.3">
      <c r="B3104" s="10"/>
      <c r="C3104" s="315"/>
      <c r="D3104" s="868"/>
      <c r="E3104" s="837" t="str">
        <f>IFERROR(IF(_xlfn.XLOOKUP(Imput[[#This Row],[RFC]],'Alta Proveedor'!D:D,'Alta Proveedor'!E:E)=0,"",_xlfn.XLOOKUP(Imput[[#This Row],[RFC]],'Alta Proveedor'!D:D,'Alta Proveedor'!E:E)),"")</f>
        <v/>
      </c>
      <c r="F3104" s="832"/>
      <c r="G3104" s="187"/>
      <c r="H3104" s="1"/>
      <c r="I3104" s="169">
        <f>Imput[[#This Row],[Cantidad]]*Imput[[#This Row],[Precio Unitario]]</f>
        <v>0</v>
      </c>
      <c r="J3104" s="11">
        <f>((Imput[[#This Row],[Sub total]])*(0.16))</f>
        <v>0</v>
      </c>
      <c r="K3104" s="11">
        <v>0</v>
      </c>
      <c r="L3104" s="169">
        <f>Imput[[#This Row],[Sub total]]+Imput[[#This Row],[IVA]]-Imput[[#This Row],[Retención / IEPS / Descuento]]</f>
        <v>0</v>
      </c>
      <c r="M3104" s="844">
        <v>0</v>
      </c>
      <c r="N3104" s="189"/>
      <c r="O3104" s="1"/>
      <c r="P3104" s="189"/>
      <c r="Q3104" s="190"/>
      <c r="R3104" s="188"/>
      <c r="S3104" s="193"/>
      <c r="T3104" s="192"/>
      <c r="U3104" s="829"/>
      <c r="V3104" s="10"/>
      <c r="W3104" s="10"/>
      <c r="X3104" s="10"/>
      <c r="Y3104" s="10"/>
      <c r="Z3104" s="10"/>
      <c r="AA3104" s="11"/>
      <c r="AB3104" s="11"/>
    </row>
    <row r="3105" spans="2:28" x14ac:dyDescent="0.3">
      <c r="B3105" s="10"/>
      <c r="C3105" s="315"/>
      <c r="D3105" s="868"/>
      <c r="E3105" s="837" t="str">
        <f>IFERROR(IF(_xlfn.XLOOKUP(Imput[[#This Row],[RFC]],'Alta Proveedor'!D:D,'Alta Proveedor'!E:E)=0,"",_xlfn.XLOOKUP(Imput[[#This Row],[RFC]],'Alta Proveedor'!D:D,'Alta Proveedor'!E:E)),"")</f>
        <v/>
      </c>
      <c r="F3105" s="832"/>
      <c r="G3105" s="187"/>
      <c r="H3105" s="1"/>
      <c r="I3105" s="169">
        <f>Imput[[#This Row],[Cantidad]]*Imput[[#This Row],[Precio Unitario]]</f>
        <v>0</v>
      </c>
      <c r="J3105" s="11">
        <f>((Imput[[#This Row],[Sub total]])*(0.16))</f>
        <v>0</v>
      </c>
      <c r="K3105" s="11">
        <v>0</v>
      </c>
      <c r="L3105" s="169">
        <f>Imput[[#This Row],[Sub total]]+Imput[[#This Row],[IVA]]-Imput[[#This Row],[Retención / IEPS / Descuento]]</f>
        <v>0</v>
      </c>
      <c r="M3105" s="844">
        <v>0</v>
      </c>
      <c r="N3105" s="189"/>
      <c r="O3105" s="1"/>
      <c r="P3105" s="189"/>
      <c r="Q3105" s="190"/>
      <c r="R3105" s="188"/>
      <c r="S3105" s="193"/>
      <c r="T3105" s="192"/>
      <c r="U3105" s="829"/>
      <c r="V3105" s="10"/>
      <c r="W3105" s="10"/>
      <c r="X3105" s="10"/>
      <c r="Y3105" s="10"/>
      <c r="Z3105" s="10"/>
      <c r="AA3105" s="11"/>
      <c r="AB3105" s="11"/>
    </row>
    <row r="3106" spans="2:28" x14ac:dyDescent="0.3">
      <c r="B3106" s="10"/>
      <c r="C3106" s="315"/>
      <c r="D3106" s="868"/>
      <c r="E3106" s="837" t="str">
        <f>IFERROR(IF(_xlfn.XLOOKUP(Imput[[#This Row],[RFC]],'Alta Proveedor'!D:D,'Alta Proveedor'!E:E)=0,"",_xlfn.XLOOKUP(Imput[[#This Row],[RFC]],'Alta Proveedor'!D:D,'Alta Proveedor'!E:E)),"")</f>
        <v/>
      </c>
      <c r="F3106" s="832"/>
      <c r="G3106" s="187"/>
      <c r="H3106" s="1"/>
      <c r="I3106" s="169">
        <f>Imput[[#This Row],[Cantidad]]*Imput[[#This Row],[Precio Unitario]]</f>
        <v>0</v>
      </c>
      <c r="J3106" s="11">
        <f>((Imput[[#This Row],[Sub total]])*(0.16))</f>
        <v>0</v>
      </c>
      <c r="K3106" s="11">
        <v>0</v>
      </c>
      <c r="L3106" s="169">
        <f>Imput[[#This Row],[Sub total]]+Imput[[#This Row],[IVA]]-Imput[[#This Row],[Retención / IEPS / Descuento]]</f>
        <v>0</v>
      </c>
      <c r="M3106" s="844">
        <v>0</v>
      </c>
      <c r="N3106" s="189"/>
      <c r="O3106" s="1"/>
      <c r="P3106" s="189"/>
      <c r="Q3106" s="190"/>
      <c r="R3106" s="188"/>
      <c r="S3106" s="193"/>
      <c r="T3106" s="192"/>
      <c r="U3106" s="829"/>
      <c r="V3106" s="10"/>
      <c r="W3106" s="10"/>
      <c r="X3106" s="10"/>
      <c r="Y3106" s="10"/>
      <c r="Z3106" s="10"/>
      <c r="AA3106" s="11"/>
      <c r="AB3106" s="11"/>
    </row>
    <row r="3107" spans="2:28" x14ac:dyDescent="0.3">
      <c r="B3107" s="10"/>
      <c r="C3107" s="315"/>
      <c r="D3107" s="868"/>
      <c r="E3107" s="837" t="str">
        <f>IFERROR(IF(_xlfn.XLOOKUP(Imput[[#This Row],[RFC]],'Alta Proveedor'!D:D,'Alta Proveedor'!E:E)=0,"",_xlfn.XLOOKUP(Imput[[#This Row],[RFC]],'Alta Proveedor'!D:D,'Alta Proveedor'!E:E)),"")</f>
        <v/>
      </c>
      <c r="F3107" s="832"/>
      <c r="G3107" s="187"/>
      <c r="H3107" s="1"/>
      <c r="I3107" s="169">
        <f>Imput[[#This Row],[Cantidad]]*Imput[[#This Row],[Precio Unitario]]</f>
        <v>0</v>
      </c>
      <c r="J3107" s="11">
        <f>((Imput[[#This Row],[Sub total]])*(0.16))</f>
        <v>0</v>
      </c>
      <c r="K3107" s="11">
        <v>0</v>
      </c>
      <c r="L3107" s="169">
        <f>Imput[[#This Row],[Sub total]]+Imput[[#This Row],[IVA]]-Imput[[#This Row],[Retención / IEPS / Descuento]]</f>
        <v>0</v>
      </c>
      <c r="M3107" s="844">
        <v>0</v>
      </c>
      <c r="N3107" s="189"/>
      <c r="O3107" s="1"/>
      <c r="P3107" s="189"/>
      <c r="Q3107" s="190"/>
      <c r="R3107" s="188"/>
      <c r="S3107" s="193"/>
      <c r="T3107" s="192"/>
      <c r="U3107" s="829"/>
      <c r="V3107" s="10"/>
      <c r="W3107" s="10"/>
      <c r="X3107" s="10"/>
      <c r="Y3107" s="10"/>
      <c r="Z3107" s="10"/>
      <c r="AA3107" s="11"/>
      <c r="AB3107" s="11"/>
    </row>
    <row r="3108" spans="2:28" x14ac:dyDescent="0.3">
      <c r="B3108" s="10"/>
      <c r="C3108" s="315"/>
      <c r="D3108" s="868"/>
      <c r="E3108" s="837" t="str">
        <f>IFERROR(IF(_xlfn.XLOOKUP(Imput[[#This Row],[RFC]],'Alta Proveedor'!D:D,'Alta Proveedor'!E:E)=0,"",_xlfn.XLOOKUP(Imput[[#This Row],[RFC]],'Alta Proveedor'!D:D,'Alta Proveedor'!E:E)),"")</f>
        <v/>
      </c>
      <c r="F3108" s="832"/>
      <c r="G3108" s="187"/>
      <c r="H3108" s="1"/>
      <c r="I3108" s="169">
        <f>Imput[[#This Row],[Cantidad]]*Imput[[#This Row],[Precio Unitario]]</f>
        <v>0</v>
      </c>
      <c r="J3108" s="11">
        <f>((Imput[[#This Row],[Sub total]])*(0.16))</f>
        <v>0</v>
      </c>
      <c r="K3108" s="11">
        <v>0</v>
      </c>
      <c r="L3108" s="169">
        <f>Imput[[#This Row],[Sub total]]+Imput[[#This Row],[IVA]]-Imput[[#This Row],[Retención / IEPS / Descuento]]</f>
        <v>0</v>
      </c>
      <c r="M3108" s="844">
        <v>0</v>
      </c>
      <c r="N3108" s="189"/>
      <c r="O3108" s="1"/>
      <c r="P3108" s="189"/>
      <c r="Q3108" s="190"/>
      <c r="R3108" s="188"/>
      <c r="S3108" s="193"/>
      <c r="T3108" s="192"/>
      <c r="U3108" s="829"/>
      <c r="V3108" s="10"/>
      <c r="W3108" s="10"/>
      <c r="X3108" s="10"/>
      <c r="Y3108" s="10"/>
      <c r="Z3108" s="10"/>
      <c r="AA3108" s="11"/>
      <c r="AB3108" s="11"/>
    </row>
    <row r="3109" spans="2:28" x14ac:dyDescent="0.3">
      <c r="B3109" s="10"/>
      <c r="C3109" s="315"/>
      <c r="D3109" s="868"/>
      <c r="E3109" s="837" t="str">
        <f>IFERROR(IF(_xlfn.XLOOKUP(Imput[[#This Row],[RFC]],'Alta Proveedor'!D:D,'Alta Proveedor'!E:E)=0,"",_xlfn.XLOOKUP(Imput[[#This Row],[RFC]],'Alta Proveedor'!D:D,'Alta Proveedor'!E:E)),"")</f>
        <v/>
      </c>
      <c r="F3109" s="832"/>
      <c r="G3109" s="187"/>
      <c r="H3109" s="1"/>
      <c r="I3109" s="169">
        <f>Imput[[#This Row],[Cantidad]]*Imput[[#This Row],[Precio Unitario]]</f>
        <v>0</v>
      </c>
      <c r="J3109" s="11">
        <f>((Imput[[#This Row],[Sub total]])*(0.16))</f>
        <v>0</v>
      </c>
      <c r="K3109" s="11">
        <v>0</v>
      </c>
      <c r="L3109" s="169">
        <f>Imput[[#This Row],[Sub total]]+Imput[[#This Row],[IVA]]-Imput[[#This Row],[Retención / IEPS / Descuento]]</f>
        <v>0</v>
      </c>
      <c r="M3109" s="844">
        <v>0</v>
      </c>
      <c r="N3109" s="189"/>
      <c r="O3109" s="1"/>
      <c r="P3109" s="189"/>
      <c r="Q3109" s="190"/>
      <c r="R3109" s="188"/>
      <c r="S3109" s="193"/>
      <c r="T3109" s="192"/>
      <c r="U3109" s="829"/>
      <c r="V3109" s="10"/>
      <c r="W3109" s="10"/>
      <c r="X3109" s="10"/>
      <c r="Y3109" s="10"/>
      <c r="Z3109" s="10"/>
      <c r="AA3109" s="11"/>
      <c r="AB3109" s="11"/>
    </row>
    <row r="3110" spans="2:28" x14ac:dyDescent="0.3">
      <c r="B3110" s="10"/>
      <c r="C3110" s="315"/>
      <c r="D3110" s="868"/>
      <c r="E3110" s="837" t="str">
        <f>IFERROR(IF(_xlfn.XLOOKUP(Imput[[#This Row],[RFC]],'Alta Proveedor'!D:D,'Alta Proveedor'!E:E)=0,"",_xlfn.XLOOKUP(Imput[[#This Row],[RFC]],'Alta Proveedor'!D:D,'Alta Proveedor'!E:E)),"")</f>
        <v/>
      </c>
      <c r="F3110" s="832"/>
      <c r="G3110" s="187"/>
      <c r="H3110" s="1"/>
      <c r="I3110" s="169">
        <f>Imput[[#This Row],[Cantidad]]*Imput[[#This Row],[Precio Unitario]]</f>
        <v>0</v>
      </c>
      <c r="J3110" s="11">
        <f>((Imput[[#This Row],[Sub total]])*(0.16))</f>
        <v>0</v>
      </c>
      <c r="K3110" s="11">
        <v>0</v>
      </c>
      <c r="L3110" s="169">
        <f>Imput[[#This Row],[Sub total]]+Imput[[#This Row],[IVA]]-Imput[[#This Row],[Retención / IEPS / Descuento]]</f>
        <v>0</v>
      </c>
      <c r="M3110" s="844">
        <v>0</v>
      </c>
      <c r="N3110" s="189"/>
      <c r="O3110" s="1"/>
      <c r="P3110" s="189"/>
      <c r="Q3110" s="190"/>
      <c r="R3110" s="188"/>
      <c r="S3110" s="193"/>
      <c r="T3110" s="192"/>
      <c r="U3110" s="829"/>
      <c r="V3110" s="10"/>
      <c r="W3110" s="10"/>
      <c r="X3110" s="10"/>
      <c r="Y3110" s="10"/>
      <c r="Z3110" s="10"/>
      <c r="AA3110" s="11"/>
      <c r="AB3110" s="11"/>
    </row>
    <row r="3111" spans="2:28" x14ac:dyDescent="0.3">
      <c r="B3111" s="10"/>
      <c r="C3111" s="315"/>
      <c r="D3111" s="868"/>
      <c r="E3111" s="837" t="str">
        <f>IFERROR(IF(_xlfn.XLOOKUP(Imput[[#This Row],[RFC]],'Alta Proveedor'!D:D,'Alta Proveedor'!E:E)=0,"",_xlfn.XLOOKUP(Imput[[#This Row],[RFC]],'Alta Proveedor'!D:D,'Alta Proveedor'!E:E)),"")</f>
        <v/>
      </c>
      <c r="F3111" s="832"/>
      <c r="G3111" s="187"/>
      <c r="H3111" s="1"/>
      <c r="I3111" s="169">
        <f>Imput[[#This Row],[Cantidad]]*Imput[[#This Row],[Precio Unitario]]</f>
        <v>0</v>
      </c>
      <c r="J3111" s="11">
        <f>((Imput[[#This Row],[Sub total]])*(0.16))</f>
        <v>0</v>
      </c>
      <c r="K3111" s="11">
        <v>0</v>
      </c>
      <c r="L3111" s="169">
        <f>Imput[[#This Row],[Sub total]]+Imput[[#This Row],[IVA]]-Imput[[#This Row],[Retención / IEPS / Descuento]]</f>
        <v>0</v>
      </c>
      <c r="M3111" s="844">
        <v>0</v>
      </c>
      <c r="N3111" s="189"/>
      <c r="O3111" s="1"/>
      <c r="P3111" s="189"/>
      <c r="Q3111" s="190"/>
      <c r="R3111" s="188"/>
      <c r="S3111" s="193"/>
      <c r="T3111" s="192"/>
      <c r="U3111" s="829"/>
      <c r="V3111" s="10"/>
      <c r="W3111" s="10"/>
      <c r="X3111" s="10"/>
      <c r="Y3111" s="10"/>
      <c r="Z3111" s="10"/>
      <c r="AA3111" s="11"/>
      <c r="AB3111" s="11"/>
    </row>
    <row r="3112" spans="2:28" x14ac:dyDescent="0.3">
      <c r="B3112" s="10"/>
      <c r="C3112" s="315"/>
      <c r="D3112" s="868"/>
      <c r="E3112" s="837" t="str">
        <f>IFERROR(IF(_xlfn.XLOOKUP(Imput[[#This Row],[RFC]],'Alta Proveedor'!D:D,'Alta Proveedor'!E:E)=0,"",_xlfn.XLOOKUP(Imput[[#This Row],[RFC]],'Alta Proveedor'!D:D,'Alta Proveedor'!E:E)),"")</f>
        <v/>
      </c>
      <c r="F3112" s="832"/>
      <c r="G3112" s="187"/>
      <c r="H3112" s="1"/>
      <c r="I3112" s="169">
        <f>Imput[[#This Row],[Cantidad]]*Imput[[#This Row],[Precio Unitario]]</f>
        <v>0</v>
      </c>
      <c r="J3112" s="11">
        <f>((Imput[[#This Row],[Sub total]])*(0.16))</f>
        <v>0</v>
      </c>
      <c r="K3112" s="11">
        <v>0</v>
      </c>
      <c r="L3112" s="169">
        <f>Imput[[#This Row],[Sub total]]+Imput[[#This Row],[IVA]]-Imput[[#This Row],[Retención / IEPS / Descuento]]</f>
        <v>0</v>
      </c>
      <c r="M3112" s="844">
        <v>0</v>
      </c>
      <c r="N3112" s="189"/>
      <c r="O3112" s="1"/>
      <c r="P3112" s="189"/>
      <c r="Q3112" s="190"/>
      <c r="R3112" s="188"/>
      <c r="S3112" s="193"/>
      <c r="T3112" s="192"/>
      <c r="U3112" s="829"/>
      <c r="V3112" s="10"/>
      <c r="W3112" s="10"/>
      <c r="X3112" s="10"/>
      <c r="Y3112" s="10"/>
      <c r="Z3112" s="10"/>
      <c r="AA3112" s="11"/>
      <c r="AB3112" s="11"/>
    </row>
    <row r="3113" spans="2:28" x14ac:dyDescent="0.3">
      <c r="B3113" s="10"/>
      <c r="C3113" s="315"/>
      <c r="D3113" s="868"/>
      <c r="E3113" s="837" t="str">
        <f>IFERROR(IF(_xlfn.XLOOKUP(Imput[[#This Row],[RFC]],'Alta Proveedor'!D:D,'Alta Proveedor'!E:E)=0,"",_xlfn.XLOOKUP(Imput[[#This Row],[RFC]],'Alta Proveedor'!D:D,'Alta Proveedor'!E:E)),"")</f>
        <v/>
      </c>
      <c r="F3113" s="832"/>
      <c r="G3113" s="187"/>
      <c r="H3113" s="1"/>
      <c r="I3113" s="169">
        <f>Imput[[#This Row],[Cantidad]]*Imput[[#This Row],[Precio Unitario]]</f>
        <v>0</v>
      </c>
      <c r="J3113" s="11">
        <f>((Imput[[#This Row],[Sub total]])*(0.16))</f>
        <v>0</v>
      </c>
      <c r="K3113" s="11">
        <v>0</v>
      </c>
      <c r="L3113" s="169">
        <f>Imput[[#This Row],[Sub total]]+Imput[[#This Row],[IVA]]-Imput[[#This Row],[Retención / IEPS / Descuento]]</f>
        <v>0</v>
      </c>
      <c r="M3113" s="844">
        <v>0</v>
      </c>
      <c r="N3113" s="189"/>
      <c r="O3113" s="1"/>
      <c r="P3113" s="189"/>
      <c r="Q3113" s="190"/>
      <c r="R3113" s="188"/>
      <c r="S3113" s="193"/>
      <c r="T3113" s="192"/>
      <c r="U3113" s="829"/>
      <c r="V3113" s="10"/>
      <c r="W3113" s="10"/>
      <c r="X3113" s="10"/>
      <c r="Y3113" s="10"/>
      <c r="Z3113" s="10"/>
      <c r="AA3113" s="11"/>
      <c r="AB3113" s="11"/>
    </row>
    <row r="3114" spans="2:28" x14ac:dyDescent="0.3">
      <c r="B3114" s="10"/>
      <c r="C3114" s="315"/>
      <c r="D3114" s="868"/>
      <c r="E3114" s="837" t="str">
        <f>IFERROR(IF(_xlfn.XLOOKUP(Imput[[#This Row],[RFC]],'Alta Proveedor'!D:D,'Alta Proveedor'!E:E)=0,"",_xlfn.XLOOKUP(Imput[[#This Row],[RFC]],'Alta Proveedor'!D:D,'Alta Proveedor'!E:E)),"")</f>
        <v/>
      </c>
      <c r="F3114" s="832"/>
      <c r="G3114" s="187"/>
      <c r="H3114" s="1"/>
      <c r="I3114" s="169">
        <f>Imput[[#This Row],[Cantidad]]*Imput[[#This Row],[Precio Unitario]]</f>
        <v>0</v>
      </c>
      <c r="J3114" s="11">
        <f>((Imput[[#This Row],[Sub total]])*(0.16))</f>
        <v>0</v>
      </c>
      <c r="K3114" s="11">
        <v>0</v>
      </c>
      <c r="L3114" s="169">
        <f>Imput[[#This Row],[Sub total]]+Imput[[#This Row],[IVA]]-Imput[[#This Row],[Retención / IEPS / Descuento]]</f>
        <v>0</v>
      </c>
      <c r="M3114" s="844">
        <v>0</v>
      </c>
      <c r="N3114" s="189"/>
      <c r="O3114" s="1"/>
      <c r="P3114" s="189"/>
      <c r="Q3114" s="190"/>
      <c r="R3114" s="188"/>
      <c r="S3114" s="193"/>
      <c r="T3114" s="192"/>
      <c r="U3114" s="829"/>
      <c r="V3114" s="10"/>
      <c r="W3114" s="10"/>
      <c r="X3114" s="10"/>
      <c r="Y3114" s="10"/>
      <c r="Z3114" s="10"/>
      <c r="AA3114" s="11"/>
      <c r="AB3114" s="11"/>
    </row>
    <row r="3115" spans="2:28" x14ac:dyDescent="0.3">
      <c r="B3115" s="10"/>
      <c r="C3115" s="315"/>
      <c r="D3115" s="868"/>
      <c r="E3115" s="837" t="str">
        <f>IFERROR(IF(_xlfn.XLOOKUP(Imput[[#This Row],[RFC]],'Alta Proveedor'!D:D,'Alta Proveedor'!E:E)=0,"",_xlfn.XLOOKUP(Imput[[#This Row],[RFC]],'Alta Proveedor'!D:D,'Alta Proveedor'!E:E)),"")</f>
        <v/>
      </c>
      <c r="F3115" s="832"/>
      <c r="G3115" s="187"/>
      <c r="H3115" s="1"/>
      <c r="I3115" s="169">
        <f>Imput[[#This Row],[Cantidad]]*Imput[[#This Row],[Precio Unitario]]</f>
        <v>0</v>
      </c>
      <c r="J3115" s="11">
        <f>((Imput[[#This Row],[Sub total]])*(0.16))</f>
        <v>0</v>
      </c>
      <c r="K3115" s="11">
        <v>0</v>
      </c>
      <c r="L3115" s="169">
        <f>Imput[[#This Row],[Sub total]]+Imput[[#This Row],[IVA]]-Imput[[#This Row],[Retención / IEPS / Descuento]]</f>
        <v>0</v>
      </c>
      <c r="M3115" s="844">
        <v>0</v>
      </c>
      <c r="N3115" s="189"/>
      <c r="O3115" s="1"/>
      <c r="P3115" s="189"/>
      <c r="Q3115" s="190"/>
      <c r="R3115" s="188"/>
      <c r="S3115" s="193"/>
      <c r="T3115" s="192"/>
      <c r="U3115" s="829"/>
      <c r="V3115" s="10"/>
      <c r="W3115" s="10"/>
      <c r="X3115" s="10"/>
      <c r="Y3115" s="10"/>
      <c r="Z3115" s="10"/>
      <c r="AA3115" s="11"/>
      <c r="AB3115" s="11"/>
    </row>
    <row r="3116" spans="2:28" x14ac:dyDescent="0.3">
      <c r="B3116" s="10"/>
      <c r="C3116" s="315"/>
      <c r="D3116" s="868"/>
      <c r="E3116" s="837" t="str">
        <f>IFERROR(IF(_xlfn.XLOOKUP(Imput[[#This Row],[RFC]],'Alta Proveedor'!D:D,'Alta Proveedor'!E:E)=0,"",_xlfn.XLOOKUP(Imput[[#This Row],[RFC]],'Alta Proveedor'!D:D,'Alta Proveedor'!E:E)),"")</f>
        <v/>
      </c>
      <c r="F3116" s="832"/>
      <c r="G3116" s="187"/>
      <c r="H3116" s="1"/>
      <c r="I3116" s="169">
        <f>Imput[[#This Row],[Cantidad]]*Imput[[#This Row],[Precio Unitario]]</f>
        <v>0</v>
      </c>
      <c r="J3116" s="11">
        <f>((Imput[[#This Row],[Sub total]])*(0.16))</f>
        <v>0</v>
      </c>
      <c r="K3116" s="11">
        <v>0</v>
      </c>
      <c r="L3116" s="169">
        <f>Imput[[#This Row],[Sub total]]+Imput[[#This Row],[IVA]]-Imput[[#This Row],[Retención / IEPS / Descuento]]</f>
        <v>0</v>
      </c>
      <c r="M3116" s="844">
        <v>0</v>
      </c>
      <c r="N3116" s="189"/>
      <c r="O3116" s="1"/>
      <c r="P3116" s="189"/>
      <c r="Q3116" s="190"/>
      <c r="R3116" s="188"/>
      <c r="S3116" s="193"/>
      <c r="T3116" s="192"/>
      <c r="U3116" s="829"/>
      <c r="V3116" s="10"/>
      <c r="W3116" s="10"/>
      <c r="X3116" s="10"/>
      <c r="Y3116" s="10"/>
      <c r="Z3116" s="10"/>
      <c r="AA3116" s="11"/>
      <c r="AB3116" s="11"/>
    </row>
    <row r="3117" spans="2:28" x14ac:dyDescent="0.3">
      <c r="B3117" s="10"/>
      <c r="C3117" s="315"/>
      <c r="D3117" s="868"/>
      <c r="E3117" s="837" t="str">
        <f>IFERROR(IF(_xlfn.XLOOKUP(Imput[[#This Row],[RFC]],'Alta Proveedor'!D:D,'Alta Proveedor'!E:E)=0,"",_xlfn.XLOOKUP(Imput[[#This Row],[RFC]],'Alta Proveedor'!D:D,'Alta Proveedor'!E:E)),"")</f>
        <v/>
      </c>
      <c r="F3117" s="832"/>
      <c r="G3117" s="187"/>
      <c r="H3117" s="1"/>
      <c r="I3117" s="169">
        <f>Imput[[#This Row],[Cantidad]]*Imput[[#This Row],[Precio Unitario]]</f>
        <v>0</v>
      </c>
      <c r="J3117" s="11">
        <f>((Imput[[#This Row],[Sub total]])*(0.16))</f>
        <v>0</v>
      </c>
      <c r="K3117" s="11">
        <v>0</v>
      </c>
      <c r="L3117" s="169">
        <f>Imput[[#This Row],[Sub total]]+Imput[[#This Row],[IVA]]-Imput[[#This Row],[Retención / IEPS / Descuento]]</f>
        <v>0</v>
      </c>
      <c r="M3117" s="844">
        <v>0</v>
      </c>
      <c r="N3117" s="189"/>
      <c r="O3117" s="1"/>
      <c r="P3117" s="189"/>
      <c r="Q3117" s="190"/>
      <c r="R3117" s="188"/>
      <c r="S3117" s="193"/>
      <c r="T3117" s="192"/>
      <c r="U3117" s="829"/>
      <c r="V3117" s="10"/>
      <c r="W3117" s="10"/>
      <c r="X3117" s="10"/>
      <c r="Y3117" s="10"/>
      <c r="Z3117" s="10"/>
      <c r="AA3117" s="11"/>
      <c r="AB3117" s="11"/>
    </row>
    <row r="3118" spans="2:28" x14ac:dyDescent="0.3">
      <c r="B3118" s="10"/>
      <c r="C3118" s="315"/>
      <c r="D3118" s="868"/>
      <c r="E3118" s="837" t="str">
        <f>IFERROR(IF(_xlfn.XLOOKUP(Imput[[#This Row],[RFC]],'Alta Proveedor'!D:D,'Alta Proveedor'!E:E)=0,"",_xlfn.XLOOKUP(Imput[[#This Row],[RFC]],'Alta Proveedor'!D:D,'Alta Proveedor'!E:E)),"")</f>
        <v/>
      </c>
      <c r="F3118" s="832"/>
      <c r="G3118" s="187"/>
      <c r="H3118" s="1"/>
      <c r="I3118" s="169">
        <f>Imput[[#This Row],[Cantidad]]*Imput[[#This Row],[Precio Unitario]]</f>
        <v>0</v>
      </c>
      <c r="J3118" s="11">
        <f>((Imput[[#This Row],[Sub total]])*(0.16))</f>
        <v>0</v>
      </c>
      <c r="K3118" s="11">
        <v>0</v>
      </c>
      <c r="L3118" s="169">
        <f>Imput[[#This Row],[Sub total]]+Imput[[#This Row],[IVA]]-Imput[[#This Row],[Retención / IEPS / Descuento]]</f>
        <v>0</v>
      </c>
      <c r="M3118" s="844">
        <v>0</v>
      </c>
      <c r="N3118" s="189"/>
      <c r="O3118" s="1"/>
      <c r="P3118" s="189"/>
      <c r="Q3118" s="190"/>
      <c r="R3118" s="188"/>
      <c r="S3118" s="193"/>
      <c r="T3118" s="192"/>
      <c r="U3118" s="829"/>
      <c r="V3118" s="10"/>
      <c r="W3118" s="10"/>
      <c r="X3118" s="10"/>
      <c r="Y3118" s="10"/>
      <c r="Z3118" s="10"/>
      <c r="AA3118" s="11"/>
      <c r="AB3118" s="11"/>
    </row>
    <row r="3119" spans="2:28" x14ac:dyDescent="0.3">
      <c r="B3119" s="10"/>
      <c r="C3119" s="315"/>
      <c r="D3119" s="868"/>
      <c r="E3119" s="837" t="str">
        <f>IFERROR(IF(_xlfn.XLOOKUP(Imput[[#This Row],[RFC]],'Alta Proveedor'!D:D,'Alta Proveedor'!E:E)=0,"",_xlfn.XLOOKUP(Imput[[#This Row],[RFC]],'Alta Proveedor'!D:D,'Alta Proveedor'!E:E)),"")</f>
        <v/>
      </c>
      <c r="F3119" s="832"/>
      <c r="G3119" s="187"/>
      <c r="H3119" s="1"/>
      <c r="I3119" s="169">
        <f>Imput[[#This Row],[Cantidad]]*Imput[[#This Row],[Precio Unitario]]</f>
        <v>0</v>
      </c>
      <c r="J3119" s="11">
        <f>((Imput[[#This Row],[Sub total]])*(0.16))</f>
        <v>0</v>
      </c>
      <c r="K3119" s="11">
        <v>0</v>
      </c>
      <c r="L3119" s="169">
        <f>Imput[[#This Row],[Sub total]]+Imput[[#This Row],[IVA]]-Imput[[#This Row],[Retención / IEPS / Descuento]]</f>
        <v>0</v>
      </c>
      <c r="M3119" s="844">
        <v>0</v>
      </c>
      <c r="N3119" s="189"/>
      <c r="O3119" s="1"/>
      <c r="P3119" s="189"/>
      <c r="Q3119" s="190"/>
      <c r="R3119" s="188"/>
      <c r="S3119" s="193"/>
      <c r="T3119" s="192"/>
      <c r="U3119" s="829"/>
      <c r="V3119" s="10"/>
      <c r="W3119" s="10"/>
      <c r="X3119" s="10"/>
      <c r="Y3119" s="10"/>
      <c r="Z3119" s="10"/>
      <c r="AA3119" s="11"/>
      <c r="AB3119" s="11"/>
    </row>
    <row r="3120" spans="2:28" x14ac:dyDescent="0.3">
      <c r="B3120" s="10"/>
      <c r="C3120" s="315"/>
      <c r="D3120" s="868"/>
      <c r="E3120" s="837" t="str">
        <f>IFERROR(IF(_xlfn.XLOOKUP(Imput[[#This Row],[RFC]],'Alta Proveedor'!D:D,'Alta Proveedor'!E:E)=0,"",_xlfn.XLOOKUP(Imput[[#This Row],[RFC]],'Alta Proveedor'!D:D,'Alta Proveedor'!E:E)),"")</f>
        <v/>
      </c>
      <c r="F3120" s="832"/>
      <c r="G3120" s="187"/>
      <c r="H3120" s="1"/>
      <c r="I3120" s="169">
        <f>Imput[[#This Row],[Cantidad]]*Imput[[#This Row],[Precio Unitario]]</f>
        <v>0</v>
      </c>
      <c r="J3120" s="11">
        <f>((Imput[[#This Row],[Sub total]])*(0.16))</f>
        <v>0</v>
      </c>
      <c r="K3120" s="11">
        <v>0</v>
      </c>
      <c r="L3120" s="169">
        <f>Imput[[#This Row],[Sub total]]+Imput[[#This Row],[IVA]]-Imput[[#This Row],[Retención / IEPS / Descuento]]</f>
        <v>0</v>
      </c>
      <c r="M3120" s="844">
        <v>0</v>
      </c>
      <c r="N3120" s="189"/>
      <c r="O3120" s="1"/>
      <c r="P3120" s="189"/>
      <c r="Q3120" s="190"/>
      <c r="R3120" s="188"/>
      <c r="S3120" s="193"/>
      <c r="T3120" s="192"/>
      <c r="U3120" s="829"/>
      <c r="V3120" s="10"/>
      <c r="W3120" s="10"/>
      <c r="X3120" s="10"/>
      <c r="Y3120" s="10"/>
      <c r="Z3120" s="10"/>
      <c r="AA3120" s="11"/>
      <c r="AB3120" s="11"/>
    </row>
    <row r="3121" spans="2:28" x14ac:dyDescent="0.3">
      <c r="B3121" s="10"/>
      <c r="C3121" s="315"/>
      <c r="D3121" s="868"/>
      <c r="E3121" s="837" t="str">
        <f>IFERROR(IF(_xlfn.XLOOKUP(Imput[[#This Row],[RFC]],'Alta Proveedor'!D:D,'Alta Proveedor'!E:E)=0,"",_xlfn.XLOOKUP(Imput[[#This Row],[RFC]],'Alta Proveedor'!D:D,'Alta Proveedor'!E:E)),"")</f>
        <v/>
      </c>
      <c r="F3121" s="832"/>
      <c r="G3121" s="187"/>
      <c r="H3121" s="1"/>
      <c r="I3121" s="169">
        <f>Imput[[#This Row],[Cantidad]]*Imput[[#This Row],[Precio Unitario]]</f>
        <v>0</v>
      </c>
      <c r="J3121" s="11">
        <f>((Imput[[#This Row],[Sub total]])*(0.16))</f>
        <v>0</v>
      </c>
      <c r="K3121" s="11">
        <v>0</v>
      </c>
      <c r="L3121" s="169">
        <f>Imput[[#This Row],[Sub total]]+Imput[[#This Row],[IVA]]-Imput[[#This Row],[Retención / IEPS / Descuento]]</f>
        <v>0</v>
      </c>
      <c r="M3121" s="844">
        <v>0</v>
      </c>
      <c r="N3121" s="189"/>
      <c r="O3121" s="1"/>
      <c r="P3121" s="189"/>
      <c r="Q3121" s="190"/>
      <c r="R3121" s="188"/>
      <c r="S3121" s="193"/>
      <c r="T3121" s="192"/>
      <c r="U3121" s="829"/>
      <c r="V3121" s="10"/>
      <c r="W3121" s="10"/>
      <c r="X3121" s="10"/>
      <c r="Y3121" s="10"/>
      <c r="Z3121" s="10"/>
      <c r="AA3121" s="11"/>
      <c r="AB3121" s="11"/>
    </row>
    <row r="3122" spans="2:28" x14ac:dyDescent="0.3">
      <c r="B3122" s="10"/>
      <c r="C3122" s="315"/>
      <c r="D3122" s="868"/>
      <c r="E3122" s="837" t="str">
        <f>IFERROR(IF(_xlfn.XLOOKUP(Imput[[#This Row],[RFC]],'Alta Proveedor'!D:D,'Alta Proveedor'!E:E)=0,"",_xlfn.XLOOKUP(Imput[[#This Row],[RFC]],'Alta Proveedor'!D:D,'Alta Proveedor'!E:E)),"")</f>
        <v/>
      </c>
      <c r="F3122" s="832"/>
      <c r="G3122" s="187"/>
      <c r="H3122" s="1"/>
      <c r="I3122" s="169">
        <f>Imput[[#This Row],[Cantidad]]*Imput[[#This Row],[Precio Unitario]]</f>
        <v>0</v>
      </c>
      <c r="J3122" s="11">
        <f>((Imput[[#This Row],[Sub total]])*(0.16))</f>
        <v>0</v>
      </c>
      <c r="K3122" s="11">
        <v>0</v>
      </c>
      <c r="L3122" s="169">
        <f>Imput[[#This Row],[Sub total]]+Imput[[#This Row],[IVA]]-Imput[[#This Row],[Retención / IEPS / Descuento]]</f>
        <v>0</v>
      </c>
      <c r="M3122" s="844">
        <v>0</v>
      </c>
      <c r="N3122" s="189"/>
      <c r="O3122" s="1"/>
      <c r="P3122" s="189"/>
      <c r="Q3122" s="190"/>
      <c r="R3122" s="188"/>
      <c r="S3122" s="193"/>
      <c r="T3122" s="192"/>
      <c r="U3122" s="829"/>
      <c r="V3122" s="10"/>
      <c r="W3122" s="10"/>
      <c r="X3122" s="10"/>
      <c r="Y3122" s="10"/>
      <c r="Z3122" s="10"/>
      <c r="AA3122" s="11"/>
      <c r="AB3122" s="11"/>
    </row>
    <row r="3123" spans="2:28" x14ac:dyDescent="0.3">
      <c r="B3123" s="10"/>
      <c r="C3123" s="315"/>
      <c r="D3123" s="868"/>
      <c r="E3123" s="837" t="str">
        <f>IFERROR(IF(_xlfn.XLOOKUP(Imput[[#This Row],[RFC]],'Alta Proveedor'!D:D,'Alta Proveedor'!E:E)=0,"",_xlfn.XLOOKUP(Imput[[#This Row],[RFC]],'Alta Proveedor'!D:D,'Alta Proveedor'!E:E)),"")</f>
        <v/>
      </c>
      <c r="F3123" s="832"/>
      <c r="G3123" s="187"/>
      <c r="H3123" s="1"/>
      <c r="I3123" s="169">
        <f>Imput[[#This Row],[Cantidad]]*Imput[[#This Row],[Precio Unitario]]</f>
        <v>0</v>
      </c>
      <c r="J3123" s="11">
        <f>((Imput[[#This Row],[Sub total]])*(0.16))</f>
        <v>0</v>
      </c>
      <c r="K3123" s="11">
        <v>0</v>
      </c>
      <c r="L3123" s="169">
        <f>Imput[[#This Row],[Sub total]]+Imput[[#This Row],[IVA]]-Imput[[#This Row],[Retención / IEPS / Descuento]]</f>
        <v>0</v>
      </c>
      <c r="M3123" s="844">
        <v>0</v>
      </c>
      <c r="N3123" s="189"/>
      <c r="O3123" s="1"/>
      <c r="P3123" s="189"/>
      <c r="Q3123" s="190"/>
      <c r="R3123" s="188"/>
      <c r="S3123" s="193"/>
      <c r="T3123" s="192"/>
      <c r="U3123" s="829"/>
      <c r="V3123" s="10"/>
      <c r="W3123" s="10"/>
      <c r="X3123" s="10"/>
      <c r="Y3123" s="10"/>
      <c r="Z3123" s="10"/>
      <c r="AA3123" s="11"/>
      <c r="AB3123" s="11"/>
    </row>
    <row r="3124" spans="2:28" x14ac:dyDescent="0.3">
      <c r="B3124" s="10"/>
      <c r="C3124" s="315"/>
      <c r="D3124" s="868"/>
      <c r="E3124" s="837" t="str">
        <f>IFERROR(IF(_xlfn.XLOOKUP(Imput[[#This Row],[RFC]],'Alta Proveedor'!D:D,'Alta Proveedor'!E:E)=0,"",_xlfn.XLOOKUP(Imput[[#This Row],[RFC]],'Alta Proveedor'!D:D,'Alta Proveedor'!E:E)),"")</f>
        <v/>
      </c>
      <c r="F3124" s="832"/>
      <c r="G3124" s="187"/>
      <c r="H3124" s="1"/>
      <c r="I3124" s="169">
        <f>Imput[[#This Row],[Cantidad]]*Imput[[#This Row],[Precio Unitario]]</f>
        <v>0</v>
      </c>
      <c r="J3124" s="11">
        <f>((Imput[[#This Row],[Sub total]])*(0.16))</f>
        <v>0</v>
      </c>
      <c r="K3124" s="11">
        <v>0</v>
      </c>
      <c r="L3124" s="169">
        <f>Imput[[#This Row],[Sub total]]+Imput[[#This Row],[IVA]]-Imput[[#This Row],[Retención / IEPS / Descuento]]</f>
        <v>0</v>
      </c>
      <c r="M3124" s="844">
        <v>0</v>
      </c>
      <c r="N3124" s="189"/>
      <c r="O3124" s="1"/>
      <c r="P3124" s="189"/>
      <c r="Q3124" s="190"/>
      <c r="R3124" s="188"/>
      <c r="S3124" s="193"/>
      <c r="T3124" s="192"/>
      <c r="U3124" s="829"/>
      <c r="V3124" s="10"/>
      <c r="W3124" s="10"/>
      <c r="X3124" s="10"/>
      <c r="Y3124" s="10"/>
      <c r="Z3124" s="10"/>
      <c r="AA3124" s="11"/>
      <c r="AB3124" s="11"/>
    </row>
    <row r="3125" spans="2:28" x14ac:dyDescent="0.3">
      <c r="B3125" s="10"/>
      <c r="C3125" s="315"/>
      <c r="D3125" s="868"/>
      <c r="E3125" s="837" t="str">
        <f>IFERROR(IF(_xlfn.XLOOKUP(Imput[[#This Row],[RFC]],'Alta Proveedor'!D:D,'Alta Proveedor'!E:E)=0,"",_xlfn.XLOOKUP(Imput[[#This Row],[RFC]],'Alta Proveedor'!D:D,'Alta Proveedor'!E:E)),"")</f>
        <v/>
      </c>
      <c r="F3125" s="832"/>
      <c r="G3125" s="187"/>
      <c r="H3125" s="1"/>
      <c r="I3125" s="169">
        <f>Imput[[#This Row],[Cantidad]]*Imput[[#This Row],[Precio Unitario]]</f>
        <v>0</v>
      </c>
      <c r="J3125" s="11">
        <f>((Imput[[#This Row],[Sub total]])*(0.16))</f>
        <v>0</v>
      </c>
      <c r="K3125" s="11">
        <v>0</v>
      </c>
      <c r="L3125" s="169">
        <f>Imput[[#This Row],[Sub total]]+Imput[[#This Row],[IVA]]-Imput[[#This Row],[Retención / IEPS / Descuento]]</f>
        <v>0</v>
      </c>
      <c r="M3125" s="844">
        <v>0</v>
      </c>
      <c r="N3125" s="189"/>
      <c r="O3125" s="1"/>
      <c r="P3125" s="189"/>
      <c r="Q3125" s="190"/>
      <c r="R3125" s="188"/>
      <c r="S3125" s="193"/>
      <c r="T3125" s="192"/>
      <c r="U3125" s="829"/>
      <c r="V3125" s="10"/>
      <c r="W3125" s="10"/>
      <c r="X3125" s="10"/>
      <c r="Y3125" s="10"/>
      <c r="Z3125" s="10"/>
      <c r="AA3125" s="11"/>
      <c r="AB3125" s="11"/>
    </row>
    <row r="3126" spans="2:28" x14ac:dyDescent="0.3">
      <c r="B3126" s="10"/>
      <c r="C3126" s="315"/>
      <c r="D3126" s="868"/>
      <c r="E3126" s="837" t="str">
        <f>IFERROR(IF(_xlfn.XLOOKUP(Imput[[#This Row],[RFC]],'Alta Proveedor'!D:D,'Alta Proveedor'!E:E)=0,"",_xlfn.XLOOKUP(Imput[[#This Row],[RFC]],'Alta Proveedor'!D:D,'Alta Proveedor'!E:E)),"")</f>
        <v/>
      </c>
      <c r="F3126" s="832"/>
      <c r="G3126" s="187"/>
      <c r="H3126" s="1"/>
      <c r="I3126" s="169">
        <f>Imput[[#This Row],[Cantidad]]*Imput[[#This Row],[Precio Unitario]]</f>
        <v>0</v>
      </c>
      <c r="J3126" s="11">
        <f>((Imput[[#This Row],[Sub total]])*(0.16))</f>
        <v>0</v>
      </c>
      <c r="K3126" s="11">
        <v>0</v>
      </c>
      <c r="L3126" s="169">
        <f>Imput[[#This Row],[Sub total]]+Imput[[#This Row],[IVA]]-Imput[[#This Row],[Retención / IEPS / Descuento]]</f>
        <v>0</v>
      </c>
      <c r="M3126" s="844">
        <v>0</v>
      </c>
      <c r="N3126" s="189"/>
      <c r="O3126" s="1"/>
      <c r="P3126" s="189"/>
      <c r="Q3126" s="190"/>
      <c r="R3126" s="188"/>
      <c r="S3126" s="193"/>
      <c r="T3126" s="192"/>
      <c r="U3126" s="829"/>
      <c r="V3126" s="10"/>
      <c r="W3126" s="10"/>
      <c r="X3126" s="10"/>
      <c r="Y3126" s="10"/>
      <c r="Z3126" s="10"/>
      <c r="AA3126" s="11"/>
      <c r="AB3126" s="11"/>
    </row>
    <row r="3127" spans="2:28" x14ac:dyDescent="0.3">
      <c r="B3127" s="10"/>
      <c r="C3127" s="315"/>
      <c r="D3127" s="868"/>
      <c r="E3127" s="837" t="str">
        <f>IFERROR(IF(_xlfn.XLOOKUP(Imput[[#This Row],[RFC]],'Alta Proveedor'!D:D,'Alta Proveedor'!E:E)=0,"",_xlfn.XLOOKUP(Imput[[#This Row],[RFC]],'Alta Proveedor'!D:D,'Alta Proveedor'!E:E)),"")</f>
        <v/>
      </c>
      <c r="F3127" s="832"/>
      <c r="G3127" s="187"/>
      <c r="H3127" s="1"/>
      <c r="I3127" s="169">
        <f>Imput[[#This Row],[Cantidad]]*Imput[[#This Row],[Precio Unitario]]</f>
        <v>0</v>
      </c>
      <c r="J3127" s="11">
        <f>((Imput[[#This Row],[Sub total]])*(0.16))</f>
        <v>0</v>
      </c>
      <c r="K3127" s="11">
        <v>0</v>
      </c>
      <c r="L3127" s="169">
        <f>Imput[[#This Row],[Sub total]]+Imput[[#This Row],[IVA]]-Imput[[#This Row],[Retención / IEPS / Descuento]]</f>
        <v>0</v>
      </c>
      <c r="M3127" s="844">
        <v>0</v>
      </c>
      <c r="N3127" s="189"/>
      <c r="O3127" s="1"/>
      <c r="P3127" s="189"/>
      <c r="Q3127" s="190"/>
      <c r="R3127" s="188"/>
      <c r="S3127" s="193"/>
      <c r="T3127" s="192"/>
      <c r="U3127" s="829"/>
      <c r="V3127" s="10"/>
      <c r="W3127" s="10"/>
      <c r="X3127" s="10"/>
      <c r="Y3127" s="10"/>
      <c r="Z3127" s="10"/>
      <c r="AA3127" s="11"/>
      <c r="AB3127" s="11"/>
    </row>
    <row r="3128" spans="2:28" x14ac:dyDescent="0.3">
      <c r="B3128" s="10"/>
      <c r="C3128" s="315"/>
      <c r="D3128" s="868"/>
      <c r="E3128" s="837" t="str">
        <f>IFERROR(IF(_xlfn.XLOOKUP(Imput[[#This Row],[RFC]],'Alta Proveedor'!D:D,'Alta Proveedor'!E:E)=0,"",_xlfn.XLOOKUP(Imput[[#This Row],[RFC]],'Alta Proveedor'!D:D,'Alta Proveedor'!E:E)),"")</f>
        <v/>
      </c>
      <c r="F3128" s="832"/>
      <c r="G3128" s="187"/>
      <c r="H3128" s="1"/>
      <c r="I3128" s="169">
        <f>Imput[[#This Row],[Cantidad]]*Imput[[#This Row],[Precio Unitario]]</f>
        <v>0</v>
      </c>
      <c r="J3128" s="11">
        <f>((Imput[[#This Row],[Sub total]])*(0.16))</f>
        <v>0</v>
      </c>
      <c r="K3128" s="11">
        <v>0</v>
      </c>
      <c r="L3128" s="169">
        <f>Imput[[#This Row],[Sub total]]+Imput[[#This Row],[IVA]]-Imput[[#This Row],[Retención / IEPS / Descuento]]</f>
        <v>0</v>
      </c>
      <c r="M3128" s="844">
        <v>0</v>
      </c>
      <c r="N3128" s="189"/>
      <c r="O3128" s="1"/>
      <c r="P3128" s="189"/>
      <c r="Q3128" s="190"/>
      <c r="R3128" s="188"/>
      <c r="S3128" s="193"/>
      <c r="T3128" s="192"/>
      <c r="U3128" s="829"/>
      <c r="V3128" s="10"/>
      <c r="W3128" s="10"/>
      <c r="X3128" s="10"/>
      <c r="Y3128" s="10"/>
      <c r="Z3128" s="10"/>
      <c r="AA3128" s="11"/>
      <c r="AB3128" s="11"/>
    </row>
    <row r="3129" spans="2:28" x14ac:dyDescent="0.3">
      <c r="B3129" s="10"/>
      <c r="C3129" s="315"/>
      <c r="D3129" s="868"/>
      <c r="E3129" s="837" t="str">
        <f>IFERROR(IF(_xlfn.XLOOKUP(Imput[[#This Row],[RFC]],'Alta Proveedor'!D:D,'Alta Proveedor'!E:E)=0,"",_xlfn.XLOOKUP(Imput[[#This Row],[RFC]],'Alta Proveedor'!D:D,'Alta Proveedor'!E:E)),"")</f>
        <v/>
      </c>
      <c r="F3129" s="832"/>
      <c r="G3129" s="187"/>
      <c r="H3129" s="1"/>
      <c r="I3129" s="169">
        <f>Imput[[#This Row],[Cantidad]]*Imput[[#This Row],[Precio Unitario]]</f>
        <v>0</v>
      </c>
      <c r="J3129" s="11">
        <f>((Imput[[#This Row],[Sub total]])*(0.16))</f>
        <v>0</v>
      </c>
      <c r="K3129" s="11">
        <v>0</v>
      </c>
      <c r="L3129" s="169">
        <f>Imput[[#This Row],[Sub total]]+Imput[[#This Row],[IVA]]-Imput[[#This Row],[Retención / IEPS / Descuento]]</f>
        <v>0</v>
      </c>
      <c r="M3129" s="844">
        <v>0</v>
      </c>
      <c r="N3129" s="189"/>
      <c r="O3129" s="1"/>
      <c r="P3129" s="189"/>
      <c r="Q3129" s="190"/>
      <c r="R3129" s="188"/>
      <c r="S3129" s="193"/>
      <c r="T3129" s="192"/>
      <c r="U3129" s="829"/>
      <c r="V3129" s="10"/>
      <c r="W3129" s="10"/>
      <c r="X3129" s="10"/>
      <c r="Y3129" s="10"/>
      <c r="Z3129" s="10"/>
      <c r="AA3129" s="11"/>
      <c r="AB3129" s="11"/>
    </row>
    <row r="3130" spans="2:28" x14ac:dyDescent="0.3">
      <c r="B3130" s="10"/>
      <c r="C3130" s="315"/>
      <c r="D3130" s="868"/>
      <c r="E3130" s="837" t="str">
        <f>IFERROR(IF(_xlfn.XLOOKUP(Imput[[#This Row],[RFC]],'Alta Proveedor'!D:D,'Alta Proveedor'!E:E)=0,"",_xlfn.XLOOKUP(Imput[[#This Row],[RFC]],'Alta Proveedor'!D:D,'Alta Proveedor'!E:E)),"")</f>
        <v/>
      </c>
      <c r="F3130" s="832"/>
      <c r="G3130" s="187"/>
      <c r="H3130" s="1"/>
      <c r="I3130" s="169">
        <f>Imput[[#This Row],[Cantidad]]*Imput[[#This Row],[Precio Unitario]]</f>
        <v>0</v>
      </c>
      <c r="J3130" s="11">
        <f>((Imput[[#This Row],[Sub total]])*(0.16))</f>
        <v>0</v>
      </c>
      <c r="K3130" s="11">
        <v>0</v>
      </c>
      <c r="L3130" s="169">
        <f>Imput[[#This Row],[Sub total]]+Imput[[#This Row],[IVA]]-Imput[[#This Row],[Retención / IEPS / Descuento]]</f>
        <v>0</v>
      </c>
      <c r="M3130" s="844">
        <v>0</v>
      </c>
      <c r="N3130" s="189"/>
      <c r="O3130" s="1"/>
      <c r="P3130" s="189"/>
      <c r="Q3130" s="190"/>
      <c r="R3130" s="188"/>
      <c r="S3130" s="193"/>
      <c r="T3130" s="192"/>
      <c r="U3130" s="829"/>
      <c r="V3130" s="10"/>
      <c r="W3130" s="10"/>
      <c r="X3130" s="10"/>
      <c r="Y3130" s="10"/>
      <c r="Z3130" s="10"/>
      <c r="AA3130" s="11"/>
      <c r="AB3130" s="11"/>
    </row>
    <row r="3131" spans="2:28" x14ac:dyDescent="0.3">
      <c r="B3131" s="10"/>
      <c r="C3131" s="315"/>
      <c r="D3131" s="868"/>
      <c r="E3131" s="837" t="str">
        <f>IFERROR(IF(_xlfn.XLOOKUP(Imput[[#This Row],[RFC]],'Alta Proveedor'!D:D,'Alta Proveedor'!E:E)=0,"",_xlfn.XLOOKUP(Imput[[#This Row],[RFC]],'Alta Proveedor'!D:D,'Alta Proveedor'!E:E)),"")</f>
        <v/>
      </c>
      <c r="F3131" s="832"/>
      <c r="G3131" s="187"/>
      <c r="H3131" s="1"/>
      <c r="I3131" s="169">
        <f>Imput[[#This Row],[Cantidad]]*Imput[[#This Row],[Precio Unitario]]</f>
        <v>0</v>
      </c>
      <c r="J3131" s="11">
        <f>((Imput[[#This Row],[Sub total]])*(0.16))</f>
        <v>0</v>
      </c>
      <c r="K3131" s="11">
        <v>0</v>
      </c>
      <c r="L3131" s="169">
        <f>Imput[[#This Row],[Sub total]]+Imput[[#This Row],[IVA]]-Imput[[#This Row],[Retención / IEPS / Descuento]]</f>
        <v>0</v>
      </c>
      <c r="M3131" s="844">
        <v>0</v>
      </c>
      <c r="N3131" s="189"/>
      <c r="O3131" s="1"/>
      <c r="P3131" s="189"/>
      <c r="Q3131" s="190"/>
      <c r="R3131" s="188"/>
      <c r="S3131" s="193"/>
      <c r="T3131" s="192"/>
      <c r="U3131" s="829"/>
      <c r="V3131" s="10"/>
      <c r="W3131" s="10"/>
      <c r="X3131" s="10"/>
      <c r="Y3131" s="10"/>
      <c r="Z3131" s="10"/>
      <c r="AA3131" s="11"/>
      <c r="AB3131" s="11"/>
    </row>
    <row r="3132" spans="2:28" x14ac:dyDescent="0.3">
      <c r="B3132" s="10"/>
      <c r="C3132" s="315"/>
      <c r="D3132" s="868"/>
      <c r="E3132" s="837" t="str">
        <f>IFERROR(IF(_xlfn.XLOOKUP(Imput[[#This Row],[RFC]],'Alta Proveedor'!D:D,'Alta Proveedor'!E:E)=0,"",_xlfn.XLOOKUP(Imput[[#This Row],[RFC]],'Alta Proveedor'!D:D,'Alta Proveedor'!E:E)),"")</f>
        <v/>
      </c>
      <c r="F3132" s="832"/>
      <c r="G3132" s="187"/>
      <c r="H3132" s="1"/>
      <c r="I3132" s="169">
        <f>Imput[[#This Row],[Cantidad]]*Imput[[#This Row],[Precio Unitario]]</f>
        <v>0</v>
      </c>
      <c r="J3132" s="11">
        <f>((Imput[[#This Row],[Sub total]])*(0.16))</f>
        <v>0</v>
      </c>
      <c r="K3132" s="11">
        <v>0</v>
      </c>
      <c r="L3132" s="169">
        <f>Imput[[#This Row],[Sub total]]+Imput[[#This Row],[IVA]]-Imput[[#This Row],[Retención / IEPS / Descuento]]</f>
        <v>0</v>
      </c>
      <c r="M3132" s="844">
        <v>0</v>
      </c>
      <c r="N3132" s="189"/>
      <c r="O3132" s="1"/>
      <c r="P3132" s="189"/>
      <c r="Q3132" s="190"/>
      <c r="R3132" s="188"/>
      <c r="S3132" s="193"/>
      <c r="T3132" s="192"/>
      <c r="U3132" s="829"/>
      <c r="V3132" s="10"/>
      <c r="W3132" s="10"/>
      <c r="X3132" s="10"/>
      <c r="Y3132" s="10"/>
      <c r="Z3132" s="10"/>
      <c r="AA3132" s="11"/>
      <c r="AB3132" s="11"/>
    </row>
    <row r="3133" spans="2:28" x14ac:dyDescent="0.3">
      <c r="B3133" s="10"/>
      <c r="C3133" s="315"/>
      <c r="D3133" s="868"/>
      <c r="E3133" s="837" t="str">
        <f>IFERROR(IF(_xlfn.XLOOKUP(Imput[[#This Row],[RFC]],'Alta Proveedor'!D:D,'Alta Proveedor'!E:E)=0,"",_xlfn.XLOOKUP(Imput[[#This Row],[RFC]],'Alta Proveedor'!D:D,'Alta Proveedor'!E:E)),"")</f>
        <v/>
      </c>
      <c r="F3133" s="832"/>
      <c r="G3133" s="187"/>
      <c r="H3133" s="1"/>
      <c r="I3133" s="169">
        <f>Imput[[#This Row],[Cantidad]]*Imput[[#This Row],[Precio Unitario]]</f>
        <v>0</v>
      </c>
      <c r="J3133" s="11">
        <f>((Imput[[#This Row],[Sub total]])*(0.16))</f>
        <v>0</v>
      </c>
      <c r="K3133" s="11">
        <v>0</v>
      </c>
      <c r="L3133" s="169">
        <f>Imput[[#This Row],[Sub total]]+Imput[[#This Row],[IVA]]-Imput[[#This Row],[Retención / IEPS / Descuento]]</f>
        <v>0</v>
      </c>
      <c r="M3133" s="844">
        <v>0</v>
      </c>
      <c r="N3133" s="189"/>
      <c r="O3133" s="1"/>
      <c r="P3133" s="189"/>
      <c r="Q3133" s="190"/>
      <c r="R3133" s="188"/>
      <c r="S3133" s="193"/>
      <c r="T3133" s="192"/>
      <c r="U3133" s="829"/>
      <c r="V3133" s="10"/>
      <c r="W3133" s="10"/>
      <c r="X3133" s="10"/>
      <c r="Y3133" s="10"/>
      <c r="Z3133" s="10"/>
      <c r="AA3133" s="11"/>
      <c r="AB3133" s="11"/>
    </row>
    <row r="3134" spans="2:28" x14ac:dyDescent="0.3">
      <c r="B3134" s="10"/>
      <c r="C3134" s="315"/>
      <c r="D3134" s="868"/>
      <c r="E3134" s="837" t="str">
        <f>IFERROR(IF(_xlfn.XLOOKUP(Imput[[#This Row],[RFC]],'Alta Proveedor'!D:D,'Alta Proveedor'!E:E)=0,"",_xlfn.XLOOKUP(Imput[[#This Row],[RFC]],'Alta Proveedor'!D:D,'Alta Proveedor'!E:E)),"")</f>
        <v/>
      </c>
      <c r="F3134" s="832"/>
      <c r="G3134" s="187"/>
      <c r="H3134" s="1"/>
      <c r="I3134" s="169">
        <f>Imput[[#This Row],[Cantidad]]*Imput[[#This Row],[Precio Unitario]]</f>
        <v>0</v>
      </c>
      <c r="J3134" s="11">
        <f>((Imput[[#This Row],[Sub total]])*(0.16))</f>
        <v>0</v>
      </c>
      <c r="K3134" s="11">
        <v>0</v>
      </c>
      <c r="L3134" s="169">
        <f>Imput[[#This Row],[Sub total]]+Imput[[#This Row],[IVA]]-Imput[[#This Row],[Retención / IEPS / Descuento]]</f>
        <v>0</v>
      </c>
      <c r="M3134" s="844">
        <v>0</v>
      </c>
      <c r="N3134" s="189"/>
      <c r="O3134" s="1"/>
      <c r="P3134" s="189"/>
      <c r="Q3134" s="190"/>
      <c r="R3134" s="188"/>
      <c r="S3134" s="193"/>
      <c r="T3134" s="192"/>
      <c r="U3134" s="829"/>
      <c r="V3134" s="10"/>
      <c r="W3134" s="10"/>
      <c r="X3134" s="10"/>
      <c r="Y3134" s="10"/>
      <c r="Z3134" s="10"/>
      <c r="AA3134" s="11"/>
      <c r="AB3134" s="11"/>
    </row>
    <row r="3135" spans="2:28" x14ac:dyDescent="0.3">
      <c r="B3135" s="10"/>
      <c r="C3135" s="315"/>
      <c r="D3135" s="868"/>
      <c r="E3135" s="837" t="str">
        <f>IFERROR(IF(_xlfn.XLOOKUP(Imput[[#This Row],[RFC]],'Alta Proveedor'!D:D,'Alta Proveedor'!E:E)=0,"",_xlfn.XLOOKUP(Imput[[#This Row],[RFC]],'Alta Proveedor'!D:D,'Alta Proveedor'!E:E)),"")</f>
        <v/>
      </c>
      <c r="F3135" s="832"/>
      <c r="G3135" s="187"/>
      <c r="H3135" s="1"/>
      <c r="I3135" s="169">
        <f>Imput[[#This Row],[Cantidad]]*Imput[[#This Row],[Precio Unitario]]</f>
        <v>0</v>
      </c>
      <c r="J3135" s="11">
        <f>((Imput[[#This Row],[Sub total]])*(0.16))</f>
        <v>0</v>
      </c>
      <c r="K3135" s="11">
        <v>0</v>
      </c>
      <c r="L3135" s="169">
        <f>Imput[[#This Row],[Sub total]]+Imput[[#This Row],[IVA]]-Imput[[#This Row],[Retención / IEPS / Descuento]]</f>
        <v>0</v>
      </c>
      <c r="M3135" s="844">
        <v>0</v>
      </c>
      <c r="N3135" s="189"/>
      <c r="O3135" s="1"/>
      <c r="P3135" s="189"/>
      <c r="Q3135" s="190"/>
      <c r="R3135" s="188"/>
      <c r="S3135" s="193"/>
      <c r="T3135" s="192"/>
      <c r="U3135" s="829"/>
      <c r="V3135" s="10"/>
      <c r="W3135" s="10"/>
      <c r="X3135" s="10"/>
      <c r="Y3135" s="10"/>
      <c r="Z3135" s="10"/>
      <c r="AA3135" s="11"/>
      <c r="AB3135" s="11"/>
    </row>
    <row r="3136" spans="2:28" x14ac:dyDescent="0.3">
      <c r="B3136" s="10"/>
      <c r="C3136" s="315"/>
      <c r="D3136" s="868"/>
      <c r="E3136" s="837" t="str">
        <f>IFERROR(IF(_xlfn.XLOOKUP(Imput[[#This Row],[RFC]],'Alta Proveedor'!D:D,'Alta Proveedor'!E:E)=0,"",_xlfn.XLOOKUP(Imput[[#This Row],[RFC]],'Alta Proveedor'!D:D,'Alta Proveedor'!E:E)),"")</f>
        <v/>
      </c>
      <c r="F3136" s="832"/>
      <c r="G3136" s="187"/>
      <c r="H3136" s="1"/>
      <c r="I3136" s="169">
        <f>Imput[[#This Row],[Cantidad]]*Imput[[#This Row],[Precio Unitario]]</f>
        <v>0</v>
      </c>
      <c r="J3136" s="11">
        <f>((Imput[[#This Row],[Sub total]])*(0.16))</f>
        <v>0</v>
      </c>
      <c r="K3136" s="11">
        <v>0</v>
      </c>
      <c r="L3136" s="169">
        <f>Imput[[#This Row],[Sub total]]+Imput[[#This Row],[IVA]]-Imput[[#This Row],[Retención / IEPS / Descuento]]</f>
        <v>0</v>
      </c>
      <c r="M3136" s="844">
        <v>0</v>
      </c>
      <c r="N3136" s="189"/>
      <c r="O3136" s="1"/>
      <c r="P3136" s="189"/>
      <c r="Q3136" s="190"/>
      <c r="R3136" s="188"/>
      <c r="S3136" s="193"/>
      <c r="T3136" s="192"/>
      <c r="U3136" s="829"/>
      <c r="V3136" s="10"/>
      <c r="W3136" s="10"/>
      <c r="X3136" s="10"/>
      <c r="Y3136" s="10"/>
      <c r="Z3136" s="10"/>
      <c r="AA3136" s="11"/>
      <c r="AB3136" s="11"/>
    </row>
    <row r="3137" spans="2:28" x14ac:dyDescent="0.3">
      <c r="B3137" s="10"/>
      <c r="C3137" s="315"/>
      <c r="D3137" s="868"/>
      <c r="E3137" s="837" t="str">
        <f>IFERROR(IF(_xlfn.XLOOKUP(Imput[[#This Row],[RFC]],'Alta Proveedor'!D:D,'Alta Proveedor'!E:E)=0,"",_xlfn.XLOOKUP(Imput[[#This Row],[RFC]],'Alta Proveedor'!D:D,'Alta Proveedor'!E:E)),"")</f>
        <v/>
      </c>
      <c r="F3137" s="832"/>
      <c r="G3137" s="187"/>
      <c r="H3137" s="1"/>
      <c r="I3137" s="169">
        <f>Imput[[#This Row],[Cantidad]]*Imput[[#This Row],[Precio Unitario]]</f>
        <v>0</v>
      </c>
      <c r="J3137" s="11">
        <f>((Imput[[#This Row],[Sub total]])*(0.16))</f>
        <v>0</v>
      </c>
      <c r="K3137" s="11">
        <v>0</v>
      </c>
      <c r="L3137" s="169">
        <f>Imput[[#This Row],[Sub total]]+Imput[[#This Row],[IVA]]-Imput[[#This Row],[Retención / IEPS / Descuento]]</f>
        <v>0</v>
      </c>
      <c r="M3137" s="844">
        <v>0</v>
      </c>
      <c r="N3137" s="189"/>
      <c r="O3137" s="1"/>
      <c r="P3137" s="189"/>
      <c r="Q3137" s="190"/>
      <c r="R3137" s="188"/>
      <c r="S3137" s="193"/>
      <c r="T3137" s="192"/>
      <c r="U3137" s="829"/>
      <c r="V3137" s="10"/>
      <c r="W3137" s="10"/>
      <c r="X3137" s="10"/>
      <c r="Y3137" s="10"/>
      <c r="Z3137" s="10"/>
      <c r="AA3137" s="11"/>
      <c r="AB3137" s="11"/>
    </row>
    <row r="3138" spans="2:28" x14ac:dyDescent="0.3">
      <c r="B3138" s="10"/>
      <c r="C3138" s="315"/>
      <c r="D3138" s="868"/>
      <c r="E3138" s="837" t="str">
        <f>IFERROR(IF(_xlfn.XLOOKUP(Imput[[#This Row],[RFC]],'Alta Proveedor'!D:D,'Alta Proveedor'!E:E)=0,"",_xlfn.XLOOKUP(Imput[[#This Row],[RFC]],'Alta Proveedor'!D:D,'Alta Proveedor'!E:E)),"")</f>
        <v/>
      </c>
      <c r="F3138" s="832"/>
      <c r="G3138" s="187"/>
      <c r="H3138" s="1"/>
      <c r="I3138" s="169">
        <f>Imput[[#This Row],[Cantidad]]*Imput[[#This Row],[Precio Unitario]]</f>
        <v>0</v>
      </c>
      <c r="J3138" s="11">
        <f>((Imput[[#This Row],[Sub total]])*(0.16))</f>
        <v>0</v>
      </c>
      <c r="K3138" s="11">
        <v>0</v>
      </c>
      <c r="L3138" s="169">
        <f>Imput[[#This Row],[Sub total]]+Imput[[#This Row],[IVA]]-Imput[[#This Row],[Retención / IEPS / Descuento]]</f>
        <v>0</v>
      </c>
      <c r="M3138" s="844">
        <v>0</v>
      </c>
      <c r="N3138" s="189"/>
      <c r="O3138" s="1"/>
      <c r="P3138" s="189"/>
      <c r="Q3138" s="190"/>
      <c r="R3138" s="188"/>
      <c r="S3138" s="193"/>
      <c r="T3138" s="192"/>
      <c r="U3138" s="829"/>
      <c r="V3138" s="10"/>
      <c r="W3138" s="10"/>
      <c r="X3138" s="10"/>
      <c r="Y3138" s="10"/>
      <c r="Z3138" s="10"/>
      <c r="AA3138" s="11"/>
      <c r="AB3138" s="11"/>
    </row>
    <row r="3139" spans="2:28" x14ac:dyDescent="0.3">
      <c r="B3139" s="10"/>
      <c r="C3139" s="315"/>
      <c r="D3139" s="868"/>
      <c r="E3139" s="837" t="str">
        <f>IFERROR(IF(_xlfn.XLOOKUP(Imput[[#This Row],[RFC]],'Alta Proveedor'!D:D,'Alta Proveedor'!E:E)=0,"",_xlfn.XLOOKUP(Imput[[#This Row],[RFC]],'Alta Proveedor'!D:D,'Alta Proveedor'!E:E)),"")</f>
        <v/>
      </c>
      <c r="F3139" s="832"/>
      <c r="G3139" s="187"/>
      <c r="H3139" s="1"/>
      <c r="I3139" s="169">
        <f>Imput[[#This Row],[Cantidad]]*Imput[[#This Row],[Precio Unitario]]</f>
        <v>0</v>
      </c>
      <c r="J3139" s="11">
        <f>((Imput[[#This Row],[Sub total]])*(0.16))</f>
        <v>0</v>
      </c>
      <c r="K3139" s="11">
        <v>0</v>
      </c>
      <c r="L3139" s="169">
        <f>Imput[[#This Row],[Sub total]]+Imput[[#This Row],[IVA]]-Imput[[#This Row],[Retención / IEPS / Descuento]]</f>
        <v>0</v>
      </c>
      <c r="M3139" s="844">
        <v>0</v>
      </c>
      <c r="N3139" s="189"/>
      <c r="O3139" s="1"/>
      <c r="P3139" s="189"/>
      <c r="Q3139" s="190"/>
      <c r="R3139" s="188"/>
      <c r="S3139" s="193"/>
      <c r="T3139" s="192"/>
      <c r="U3139" s="829"/>
      <c r="V3139" s="10"/>
      <c r="W3139" s="10"/>
      <c r="X3139" s="10"/>
      <c r="Y3139" s="10"/>
      <c r="Z3139" s="10"/>
      <c r="AA3139" s="11"/>
      <c r="AB3139" s="11"/>
    </row>
    <row r="3140" spans="2:28" x14ac:dyDescent="0.3">
      <c r="B3140" s="10"/>
      <c r="C3140" s="315"/>
      <c r="D3140" s="868"/>
      <c r="E3140" s="837" t="str">
        <f>IFERROR(IF(_xlfn.XLOOKUP(Imput[[#This Row],[RFC]],'Alta Proveedor'!D:D,'Alta Proveedor'!E:E)=0,"",_xlfn.XLOOKUP(Imput[[#This Row],[RFC]],'Alta Proveedor'!D:D,'Alta Proveedor'!E:E)),"")</f>
        <v/>
      </c>
      <c r="F3140" s="832"/>
      <c r="G3140" s="187"/>
      <c r="H3140" s="1"/>
      <c r="I3140" s="169">
        <f>Imput[[#This Row],[Cantidad]]*Imput[[#This Row],[Precio Unitario]]</f>
        <v>0</v>
      </c>
      <c r="J3140" s="11">
        <f>((Imput[[#This Row],[Sub total]])*(0.16))</f>
        <v>0</v>
      </c>
      <c r="K3140" s="11">
        <v>0</v>
      </c>
      <c r="L3140" s="169">
        <f>Imput[[#This Row],[Sub total]]+Imput[[#This Row],[IVA]]-Imput[[#This Row],[Retención / IEPS / Descuento]]</f>
        <v>0</v>
      </c>
      <c r="M3140" s="844">
        <v>0</v>
      </c>
      <c r="N3140" s="189"/>
      <c r="O3140" s="1"/>
      <c r="P3140" s="189"/>
      <c r="Q3140" s="190"/>
      <c r="R3140" s="188"/>
      <c r="S3140" s="193"/>
      <c r="T3140" s="192"/>
      <c r="U3140" s="829"/>
      <c r="V3140" s="10"/>
      <c r="W3140" s="10"/>
      <c r="X3140" s="10"/>
      <c r="Y3140" s="10"/>
      <c r="Z3140" s="10"/>
      <c r="AA3140" s="11"/>
      <c r="AB3140" s="11"/>
    </row>
    <row r="3141" spans="2:28" x14ac:dyDescent="0.3">
      <c r="B3141" s="10"/>
      <c r="C3141" s="315"/>
      <c r="D3141" s="868"/>
      <c r="E3141" s="837" t="str">
        <f>IFERROR(IF(_xlfn.XLOOKUP(Imput[[#This Row],[RFC]],'Alta Proveedor'!D:D,'Alta Proveedor'!E:E)=0,"",_xlfn.XLOOKUP(Imput[[#This Row],[RFC]],'Alta Proveedor'!D:D,'Alta Proveedor'!E:E)),"")</f>
        <v/>
      </c>
      <c r="F3141" s="832"/>
      <c r="G3141" s="187"/>
      <c r="H3141" s="1"/>
      <c r="I3141" s="169">
        <f>Imput[[#This Row],[Cantidad]]*Imput[[#This Row],[Precio Unitario]]</f>
        <v>0</v>
      </c>
      <c r="J3141" s="11">
        <f>((Imput[[#This Row],[Sub total]])*(0.16))</f>
        <v>0</v>
      </c>
      <c r="K3141" s="11">
        <v>0</v>
      </c>
      <c r="L3141" s="169">
        <f>Imput[[#This Row],[Sub total]]+Imput[[#This Row],[IVA]]-Imput[[#This Row],[Retención / IEPS / Descuento]]</f>
        <v>0</v>
      </c>
      <c r="M3141" s="844">
        <v>0</v>
      </c>
      <c r="N3141" s="189"/>
      <c r="O3141" s="1"/>
      <c r="P3141" s="189"/>
      <c r="Q3141" s="190"/>
      <c r="R3141" s="188"/>
      <c r="S3141" s="193"/>
      <c r="T3141" s="192"/>
      <c r="U3141" s="829"/>
      <c r="V3141" s="10"/>
      <c r="W3141" s="10"/>
      <c r="X3141" s="10"/>
      <c r="Y3141" s="10"/>
      <c r="Z3141" s="10"/>
      <c r="AA3141" s="11"/>
      <c r="AB3141" s="11"/>
    </row>
    <row r="3142" spans="2:28" x14ac:dyDescent="0.3">
      <c r="B3142" s="10"/>
      <c r="C3142" s="315"/>
      <c r="D3142" s="868"/>
      <c r="E3142" s="837" t="str">
        <f>IFERROR(IF(_xlfn.XLOOKUP(Imput[[#This Row],[RFC]],'Alta Proveedor'!D:D,'Alta Proveedor'!E:E)=0,"",_xlfn.XLOOKUP(Imput[[#This Row],[RFC]],'Alta Proveedor'!D:D,'Alta Proveedor'!E:E)),"")</f>
        <v/>
      </c>
      <c r="F3142" s="832"/>
      <c r="G3142" s="187"/>
      <c r="H3142" s="1"/>
      <c r="I3142" s="169">
        <f>Imput[[#This Row],[Cantidad]]*Imput[[#This Row],[Precio Unitario]]</f>
        <v>0</v>
      </c>
      <c r="J3142" s="11">
        <f>((Imput[[#This Row],[Sub total]])*(0.16))</f>
        <v>0</v>
      </c>
      <c r="K3142" s="11">
        <v>0</v>
      </c>
      <c r="L3142" s="169">
        <f>Imput[[#This Row],[Sub total]]+Imput[[#This Row],[IVA]]-Imput[[#This Row],[Retención / IEPS / Descuento]]</f>
        <v>0</v>
      </c>
      <c r="M3142" s="844">
        <v>0</v>
      </c>
      <c r="N3142" s="189"/>
      <c r="O3142" s="1"/>
      <c r="P3142" s="189"/>
      <c r="Q3142" s="190"/>
      <c r="R3142" s="188"/>
      <c r="S3142" s="193"/>
      <c r="T3142" s="192"/>
      <c r="U3142" s="829"/>
      <c r="V3142" s="10"/>
      <c r="W3142" s="10"/>
      <c r="X3142" s="10"/>
      <c r="Y3142" s="10"/>
      <c r="Z3142" s="10"/>
      <c r="AA3142" s="11"/>
      <c r="AB3142" s="11"/>
    </row>
    <row r="3143" spans="2:28" x14ac:dyDescent="0.3">
      <c r="B3143" s="10"/>
      <c r="C3143" s="315"/>
      <c r="D3143" s="868"/>
      <c r="E3143" s="837" t="str">
        <f>IFERROR(IF(_xlfn.XLOOKUP(Imput[[#This Row],[RFC]],'Alta Proveedor'!D:D,'Alta Proveedor'!E:E)=0,"",_xlfn.XLOOKUP(Imput[[#This Row],[RFC]],'Alta Proveedor'!D:D,'Alta Proveedor'!E:E)),"")</f>
        <v/>
      </c>
      <c r="F3143" s="832"/>
      <c r="G3143" s="187"/>
      <c r="H3143" s="1"/>
      <c r="I3143" s="169">
        <f>Imput[[#This Row],[Cantidad]]*Imput[[#This Row],[Precio Unitario]]</f>
        <v>0</v>
      </c>
      <c r="J3143" s="11">
        <f>((Imput[[#This Row],[Sub total]])*(0.16))</f>
        <v>0</v>
      </c>
      <c r="K3143" s="11">
        <v>0</v>
      </c>
      <c r="L3143" s="169">
        <f>Imput[[#This Row],[Sub total]]+Imput[[#This Row],[IVA]]-Imput[[#This Row],[Retención / IEPS / Descuento]]</f>
        <v>0</v>
      </c>
      <c r="M3143" s="844">
        <v>0</v>
      </c>
      <c r="N3143" s="189"/>
      <c r="O3143" s="1"/>
      <c r="P3143" s="189"/>
      <c r="Q3143" s="190"/>
      <c r="R3143" s="188"/>
      <c r="S3143" s="193"/>
      <c r="T3143" s="192"/>
      <c r="U3143" s="829"/>
      <c r="V3143" s="10"/>
      <c r="W3143" s="10"/>
      <c r="X3143" s="10"/>
      <c r="Y3143" s="10"/>
      <c r="Z3143" s="10"/>
      <c r="AA3143" s="11"/>
      <c r="AB3143" s="11"/>
    </row>
    <row r="3144" spans="2:28" x14ac:dyDescent="0.3">
      <c r="B3144" s="10"/>
      <c r="C3144" s="315"/>
      <c r="D3144" s="868"/>
      <c r="E3144" s="837" t="str">
        <f>IFERROR(IF(_xlfn.XLOOKUP(Imput[[#This Row],[RFC]],'Alta Proveedor'!D:D,'Alta Proveedor'!E:E)=0,"",_xlfn.XLOOKUP(Imput[[#This Row],[RFC]],'Alta Proveedor'!D:D,'Alta Proveedor'!E:E)),"")</f>
        <v/>
      </c>
      <c r="F3144" s="832"/>
      <c r="G3144" s="187"/>
      <c r="H3144" s="1"/>
      <c r="I3144" s="169">
        <f>Imput[[#This Row],[Cantidad]]*Imput[[#This Row],[Precio Unitario]]</f>
        <v>0</v>
      </c>
      <c r="J3144" s="11">
        <f>((Imput[[#This Row],[Sub total]])*(0.16))</f>
        <v>0</v>
      </c>
      <c r="K3144" s="11">
        <v>0</v>
      </c>
      <c r="L3144" s="169">
        <f>Imput[[#This Row],[Sub total]]+Imput[[#This Row],[IVA]]-Imput[[#This Row],[Retención / IEPS / Descuento]]</f>
        <v>0</v>
      </c>
      <c r="M3144" s="844">
        <v>0</v>
      </c>
      <c r="N3144" s="189"/>
      <c r="O3144" s="1"/>
      <c r="P3144" s="189"/>
      <c r="Q3144" s="190"/>
      <c r="R3144" s="188"/>
      <c r="S3144" s="193"/>
      <c r="T3144" s="192"/>
      <c r="U3144" s="829"/>
      <c r="V3144" s="10"/>
      <c r="W3144" s="10"/>
      <c r="X3144" s="10"/>
      <c r="Y3144" s="10"/>
      <c r="Z3144" s="10"/>
      <c r="AA3144" s="11"/>
      <c r="AB3144" s="11"/>
    </row>
    <row r="3145" spans="2:28" x14ac:dyDescent="0.3">
      <c r="B3145" s="10"/>
      <c r="C3145" s="315"/>
      <c r="D3145" s="868"/>
      <c r="E3145" s="837" t="str">
        <f>IFERROR(IF(_xlfn.XLOOKUP(Imput[[#This Row],[RFC]],'Alta Proveedor'!D:D,'Alta Proveedor'!E:E)=0,"",_xlfn.XLOOKUP(Imput[[#This Row],[RFC]],'Alta Proveedor'!D:D,'Alta Proveedor'!E:E)),"")</f>
        <v/>
      </c>
      <c r="F3145" s="832"/>
      <c r="G3145" s="187"/>
      <c r="H3145" s="1"/>
      <c r="I3145" s="169">
        <f>Imput[[#This Row],[Cantidad]]*Imput[[#This Row],[Precio Unitario]]</f>
        <v>0</v>
      </c>
      <c r="J3145" s="11">
        <f>((Imput[[#This Row],[Sub total]])*(0.16))</f>
        <v>0</v>
      </c>
      <c r="K3145" s="11">
        <v>0</v>
      </c>
      <c r="L3145" s="169">
        <f>Imput[[#This Row],[Sub total]]+Imput[[#This Row],[IVA]]-Imput[[#This Row],[Retención / IEPS / Descuento]]</f>
        <v>0</v>
      </c>
      <c r="M3145" s="844">
        <v>0</v>
      </c>
      <c r="N3145" s="189"/>
      <c r="O3145" s="1"/>
      <c r="P3145" s="189"/>
      <c r="Q3145" s="190"/>
      <c r="R3145" s="188"/>
      <c r="S3145" s="193"/>
      <c r="T3145" s="192"/>
      <c r="U3145" s="829"/>
      <c r="V3145" s="10"/>
      <c r="W3145" s="10"/>
      <c r="X3145" s="10"/>
      <c r="Y3145" s="10"/>
      <c r="Z3145" s="10"/>
      <c r="AA3145" s="11"/>
      <c r="AB3145" s="11"/>
    </row>
    <row r="3146" spans="2:28" x14ac:dyDescent="0.3">
      <c r="B3146" s="10"/>
      <c r="C3146" s="315"/>
      <c r="D3146" s="868"/>
      <c r="E3146" s="837" t="str">
        <f>IFERROR(IF(_xlfn.XLOOKUP(Imput[[#This Row],[RFC]],'Alta Proveedor'!D:D,'Alta Proveedor'!E:E)=0,"",_xlfn.XLOOKUP(Imput[[#This Row],[RFC]],'Alta Proveedor'!D:D,'Alta Proveedor'!E:E)),"")</f>
        <v/>
      </c>
      <c r="F3146" s="832"/>
      <c r="G3146" s="187"/>
      <c r="H3146" s="1"/>
      <c r="I3146" s="169">
        <f>Imput[[#This Row],[Cantidad]]*Imput[[#This Row],[Precio Unitario]]</f>
        <v>0</v>
      </c>
      <c r="J3146" s="11">
        <f>((Imput[[#This Row],[Sub total]])*(0.16))</f>
        <v>0</v>
      </c>
      <c r="K3146" s="11">
        <v>0</v>
      </c>
      <c r="L3146" s="169">
        <f>Imput[[#This Row],[Sub total]]+Imput[[#This Row],[IVA]]-Imput[[#This Row],[Retención / IEPS / Descuento]]</f>
        <v>0</v>
      </c>
      <c r="M3146" s="844">
        <v>0</v>
      </c>
      <c r="N3146" s="189"/>
      <c r="O3146" s="1"/>
      <c r="P3146" s="189"/>
      <c r="Q3146" s="190"/>
      <c r="R3146" s="188"/>
      <c r="S3146" s="193"/>
      <c r="T3146" s="192"/>
      <c r="U3146" s="829"/>
      <c r="V3146" s="10"/>
      <c r="W3146" s="10"/>
      <c r="X3146" s="10"/>
      <c r="Y3146" s="10"/>
      <c r="Z3146" s="10"/>
      <c r="AA3146" s="11"/>
      <c r="AB3146" s="11"/>
    </row>
    <row r="3147" spans="2:28" x14ac:dyDescent="0.3">
      <c r="B3147" s="10"/>
      <c r="C3147" s="315"/>
      <c r="D3147" s="868"/>
      <c r="E3147" s="837" t="str">
        <f>IFERROR(IF(_xlfn.XLOOKUP(Imput[[#This Row],[RFC]],'Alta Proveedor'!D:D,'Alta Proveedor'!E:E)=0,"",_xlfn.XLOOKUP(Imput[[#This Row],[RFC]],'Alta Proveedor'!D:D,'Alta Proveedor'!E:E)),"")</f>
        <v/>
      </c>
      <c r="F3147" s="832"/>
      <c r="G3147" s="187"/>
      <c r="H3147" s="1"/>
      <c r="I3147" s="169">
        <f>Imput[[#This Row],[Cantidad]]*Imput[[#This Row],[Precio Unitario]]</f>
        <v>0</v>
      </c>
      <c r="J3147" s="11">
        <f>((Imput[[#This Row],[Sub total]])*(0.16))</f>
        <v>0</v>
      </c>
      <c r="K3147" s="11">
        <v>0</v>
      </c>
      <c r="L3147" s="169">
        <f>Imput[[#This Row],[Sub total]]+Imput[[#This Row],[IVA]]-Imput[[#This Row],[Retención / IEPS / Descuento]]</f>
        <v>0</v>
      </c>
      <c r="M3147" s="844">
        <v>0</v>
      </c>
      <c r="N3147" s="189"/>
      <c r="O3147" s="1"/>
      <c r="P3147" s="189"/>
      <c r="Q3147" s="190"/>
      <c r="R3147" s="188"/>
      <c r="S3147" s="193"/>
      <c r="T3147" s="192"/>
      <c r="U3147" s="829"/>
      <c r="V3147" s="10"/>
      <c r="W3147" s="10"/>
      <c r="X3147" s="10"/>
      <c r="Y3147" s="10"/>
      <c r="Z3147" s="10"/>
      <c r="AA3147" s="11"/>
      <c r="AB3147" s="11"/>
    </row>
    <row r="3148" spans="2:28" x14ac:dyDescent="0.3">
      <c r="B3148" s="10"/>
      <c r="C3148" s="315"/>
      <c r="D3148" s="868"/>
      <c r="E3148" s="837" t="str">
        <f>IFERROR(IF(_xlfn.XLOOKUP(Imput[[#This Row],[RFC]],'Alta Proveedor'!D:D,'Alta Proveedor'!E:E)=0,"",_xlfn.XLOOKUP(Imput[[#This Row],[RFC]],'Alta Proveedor'!D:D,'Alta Proveedor'!E:E)),"")</f>
        <v/>
      </c>
      <c r="F3148" s="832"/>
      <c r="G3148" s="187"/>
      <c r="H3148" s="1"/>
      <c r="I3148" s="169">
        <f>Imput[[#This Row],[Cantidad]]*Imput[[#This Row],[Precio Unitario]]</f>
        <v>0</v>
      </c>
      <c r="J3148" s="11">
        <f>((Imput[[#This Row],[Sub total]])*(0.16))</f>
        <v>0</v>
      </c>
      <c r="K3148" s="11">
        <v>0</v>
      </c>
      <c r="L3148" s="169">
        <f>Imput[[#This Row],[Sub total]]+Imput[[#This Row],[IVA]]-Imput[[#This Row],[Retención / IEPS / Descuento]]</f>
        <v>0</v>
      </c>
      <c r="M3148" s="844">
        <v>0</v>
      </c>
      <c r="N3148" s="189"/>
      <c r="O3148" s="1"/>
      <c r="P3148" s="189"/>
      <c r="Q3148" s="190"/>
      <c r="R3148" s="188"/>
      <c r="S3148" s="193"/>
      <c r="T3148" s="192"/>
      <c r="U3148" s="829"/>
      <c r="V3148" s="10"/>
      <c r="W3148" s="10"/>
      <c r="X3148" s="10"/>
      <c r="Y3148" s="10"/>
      <c r="Z3148" s="10"/>
      <c r="AA3148" s="11"/>
      <c r="AB3148" s="11"/>
    </row>
    <row r="3149" spans="2:28" x14ac:dyDescent="0.3">
      <c r="B3149" s="10"/>
      <c r="C3149" s="315"/>
      <c r="D3149" s="868"/>
      <c r="E3149" s="837" t="str">
        <f>IFERROR(IF(_xlfn.XLOOKUP(Imput[[#This Row],[RFC]],'Alta Proveedor'!D:D,'Alta Proveedor'!E:E)=0,"",_xlfn.XLOOKUP(Imput[[#This Row],[RFC]],'Alta Proveedor'!D:D,'Alta Proveedor'!E:E)),"")</f>
        <v/>
      </c>
      <c r="F3149" s="832"/>
      <c r="G3149" s="187"/>
      <c r="H3149" s="1"/>
      <c r="I3149" s="169">
        <f>Imput[[#This Row],[Cantidad]]*Imput[[#This Row],[Precio Unitario]]</f>
        <v>0</v>
      </c>
      <c r="J3149" s="11">
        <f>((Imput[[#This Row],[Sub total]])*(0.16))</f>
        <v>0</v>
      </c>
      <c r="K3149" s="11">
        <v>0</v>
      </c>
      <c r="L3149" s="169">
        <f>Imput[[#This Row],[Sub total]]+Imput[[#This Row],[IVA]]-Imput[[#This Row],[Retención / IEPS / Descuento]]</f>
        <v>0</v>
      </c>
      <c r="M3149" s="844">
        <v>0</v>
      </c>
      <c r="N3149" s="189"/>
      <c r="O3149" s="1"/>
      <c r="P3149" s="189"/>
      <c r="Q3149" s="190"/>
      <c r="R3149" s="188"/>
      <c r="S3149" s="193"/>
      <c r="T3149" s="192"/>
      <c r="U3149" s="829"/>
      <c r="V3149" s="10"/>
      <c r="W3149" s="10"/>
      <c r="X3149" s="10"/>
      <c r="Y3149" s="10"/>
      <c r="Z3149" s="10"/>
      <c r="AA3149" s="11"/>
      <c r="AB3149" s="11"/>
    </row>
    <row r="3150" spans="2:28" x14ac:dyDescent="0.3">
      <c r="B3150" s="10"/>
      <c r="C3150" s="315"/>
      <c r="D3150" s="868"/>
      <c r="E3150" s="837" t="str">
        <f>IFERROR(IF(_xlfn.XLOOKUP(Imput[[#This Row],[RFC]],'Alta Proveedor'!D:D,'Alta Proveedor'!E:E)=0,"",_xlfn.XLOOKUP(Imput[[#This Row],[RFC]],'Alta Proveedor'!D:D,'Alta Proveedor'!E:E)),"")</f>
        <v/>
      </c>
      <c r="F3150" s="832"/>
      <c r="G3150" s="187"/>
      <c r="H3150" s="1"/>
      <c r="I3150" s="169">
        <f>Imput[[#This Row],[Cantidad]]*Imput[[#This Row],[Precio Unitario]]</f>
        <v>0</v>
      </c>
      <c r="J3150" s="11">
        <f>((Imput[[#This Row],[Sub total]])*(0.16))</f>
        <v>0</v>
      </c>
      <c r="K3150" s="11">
        <v>0</v>
      </c>
      <c r="L3150" s="169">
        <f>Imput[[#This Row],[Sub total]]+Imput[[#This Row],[IVA]]-Imput[[#This Row],[Retención / IEPS / Descuento]]</f>
        <v>0</v>
      </c>
      <c r="M3150" s="844">
        <v>0</v>
      </c>
      <c r="N3150" s="189"/>
      <c r="O3150" s="1"/>
      <c r="P3150" s="189"/>
      <c r="Q3150" s="190"/>
      <c r="R3150" s="188"/>
      <c r="S3150" s="193"/>
      <c r="T3150" s="192"/>
      <c r="U3150" s="829"/>
      <c r="V3150" s="10"/>
      <c r="W3150" s="10"/>
      <c r="X3150" s="10"/>
      <c r="Y3150" s="10"/>
      <c r="Z3150" s="10"/>
      <c r="AA3150" s="11"/>
      <c r="AB3150" s="11"/>
    </row>
    <row r="3151" spans="2:28" x14ac:dyDescent="0.3">
      <c r="B3151" s="10"/>
      <c r="C3151" s="315"/>
      <c r="D3151" s="868"/>
      <c r="E3151" s="837" t="str">
        <f>IFERROR(IF(_xlfn.XLOOKUP(Imput[[#This Row],[RFC]],'Alta Proveedor'!D:D,'Alta Proveedor'!E:E)=0,"",_xlfn.XLOOKUP(Imput[[#This Row],[RFC]],'Alta Proveedor'!D:D,'Alta Proveedor'!E:E)),"")</f>
        <v/>
      </c>
      <c r="F3151" s="832"/>
      <c r="G3151" s="187"/>
      <c r="H3151" s="1"/>
      <c r="I3151" s="169">
        <f>Imput[[#This Row],[Cantidad]]*Imput[[#This Row],[Precio Unitario]]</f>
        <v>0</v>
      </c>
      <c r="J3151" s="11">
        <f>((Imput[[#This Row],[Sub total]])*(0.16))</f>
        <v>0</v>
      </c>
      <c r="K3151" s="11">
        <v>0</v>
      </c>
      <c r="L3151" s="169">
        <f>Imput[[#This Row],[Sub total]]+Imput[[#This Row],[IVA]]-Imput[[#This Row],[Retención / IEPS / Descuento]]</f>
        <v>0</v>
      </c>
      <c r="M3151" s="844">
        <v>0</v>
      </c>
      <c r="N3151" s="189"/>
      <c r="O3151" s="1"/>
      <c r="P3151" s="189"/>
      <c r="Q3151" s="190"/>
      <c r="R3151" s="188"/>
      <c r="S3151" s="193"/>
      <c r="T3151" s="192"/>
      <c r="U3151" s="829"/>
      <c r="V3151" s="10"/>
      <c r="W3151" s="10"/>
      <c r="X3151" s="10"/>
      <c r="Y3151" s="10"/>
      <c r="Z3151" s="10"/>
      <c r="AA3151" s="11"/>
      <c r="AB3151" s="11"/>
    </row>
    <row r="3152" spans="2:28" x14ac:dyDescent="0.3">
      <c r="B3152" s="10"/>
      <c r="C3152" s="315"/>
      <c r="D3152" s="868"/>
      <c r="E3152" s="837" t="str">
        <f>IFERROR(IF(_xlfn.XLOOKUP(Imput[[#This Row],[RFC]],'Alta Proveedor'!D:D,'Alta Proveedor'!E:E)=0,"",_xlfn.XLOOKUP(Imput[[#This Row],[RFC]],'Alta Proveedor'!D:D,'Alta Proveedor'!E:E)),"")</f>
        <v/>
      </c>
      <c r="F3152" s="832"/>
      <c r="G3152" s="187"/>
      <c r="H3152" s="1"/>
      <c r="I3152" s="169">
        <f>Imput[[#This Row],[Cantidad]]*Imput[[#This Row],[Precio Unitario]]</f>
        <v>0</v>
      </c>
      <c r="J3152" s="11">
        <f>((Imput[[#This Row],[Sub total]])*(0.16))</f>
        <v>0</v>
      </c>
      <c r="K3152" s="11">
        <v>0</v>
      </c>
      <c r="L3152" s="169">
        <f>Imput[[#This Row],[Sub total]]+Imput[[#This Row],[IVA]]-Imput[[#This Row],[Retención / IEPS / Descuento]]</f>
        <v>0</v>
      </c>
      <c r="M3152" s="844">
        <v>0</v>
      </c>
      <c r="N3152" s="189"/>
      <c r="O3152" s="1"/>
      <c r="P3152" s="189"/>
      <c r="Q3152" s="190"/>
      <c r="R3152" s="188"/>
      <c r="S3152" s="193"/>
      <c r="T3152" s="192"/>
      <c r="U3152" s="829"/>
      <c r="V3152" s="10"/>
      <c r="W3152" s="10"/>
      <c r="X3152" s="10"/>
      <c r="Y3152" s="10"/>
      <c r="Z3152" s="10"/>
      <c r="AA3152" s="11"/>
      <c r="AB3152" s="11"/>
    </row>
    <row r="3153" spans="2:28" x14ac:dyDescent="0.3">
      <c r="B3153" s="10"/>
      <c r="C3153" s="315"/>
      <c r="D3153" s="868"/>
      <c r="E3153" s="837" t="str">
        <f>IFERROR(IF(_xlfn.XLOOKUP(Imput[[#This Row],[RFC]],'Alta Proveedor'!D:D,'Alta Proveedor'!E:E)=0,"",_xlfn.XLOOKUP(Imput[[#This Row],[RFC]],'Alta Proveedor'!D:D,'Alta Proveedor'!E:E)),"")</f>
        <v/>
      </c>
      <c r="F3153" s="832"/>
      <c r="G3153" s="187"/>
      <c r="H3153" s="1"/>
      <c r="I3153" s="169">
        <f>Imput[[#This Row],[Cantidad]]*Imput[[#This Row],[Precio Unitario]]</f>
        <v>0</v>
      </c>
      <c r="J3153" s="11">
        <f>((Imput[[#This Row],[Sub total]])*(0.16))</f>
        <v>0</v>
      </c>
      <c r="K3153" s="11">
        <v>0</v>
      </c>
      <c r="L3153" s="169">
        <f>Imput[[#This Row],[Sub total]]+Imput[[#This Row],[IVA]]-Imput[[#This Row],[Retención / IEPS / Descuento]]</f>
        <v>0</v>
      </c>
      <c r="M3153" s="844">
        <v>0</v>
      </c>
      <c r="N3153" s="189"/>
      <c r="O3153" s="1"/>
      <c r="P3153" s="189"/>
      <c r="Q3153" s="190"/>
      <c r="R3153" s="188"/>
      <c r="S3153" s="193"/>
      <c r="T3153" s="192"/>
      <c r="U3153" s="829"/>
      <c r="V3153" s="10"/>
      <c r="W3153" s="10"/>
      <c r="X3153" s="10"/>
      <c r="Y3153" s="10"/>
      <c r="Z3153" s="10"/>
      <c r="AA3153" s="11"/>
      <c r="AB3153" s="11"/>
    </row>
    <row r="3154" spans="2:28" x14ac:dyDescent="0.3">
      <c r="B3154" s="10"/>
      <c r="C3154" s="315"/>
      <c r="D3154" s="868"/>
      <c r="E3154" s="837" t="str">
        <f>IFERROR(IF(_xlfn.XLOOKUP(Imput[[#This Row],[RFC]],'Alta Proveedor'!D:D,'Alta Proveedor'!E:E)=0,"",_xlfn.XLOOKUP(Imput[[#This Row],[RFC]],'Alta Proveedor'!D:D,'Alta Proveedor'!E:E)),"")</f>
        <v/>
      </c>
      <c r="F3154" s="832"/>
      <c r="G3154" s="187"/>
      <c r="H3154" s="1"/>
      <c r="I3154" s="169">
        <f>Imput[[#This Row],[Cantidad]]*Imput[[#This Row],[Precio Unitario]]</f>
        <v>0</v>
      </c>
      <c r="J3154" s="11">
        <f>((Imput[[#This Row],[Sub total]])*(0.16))</f>
        <v>0</v>
      </c>
      <c r="K3154" s="11">
        <v>0</v>
      </c>
      <c r="L3154" s="169">
        <f>Imput[[#This Row],[Sub total]]+Imput[[#This Row],[IVA]]-Imput[[#This Row],[Retención / IEPS / Descuento]]</f>
        <v>0</v>
      </c>
      <c r="M3154" s="844">
        <v>0</v>
      </c>
      <c r="N3154" s="189"/>
      <c r="O3154" s="1"/>
      <c r="P3154" s="189"/>
      <c r="Q3154" s="190"/>
      <c r="R3154" s="188"/>
      <c r="S3154" s="193"/>
      <c r="T3154" s="192"/>
      <c r="U3154" s="829"/>
      <c r="V3154" s="10"/>
      <c r="W3154" s="10"/>
      <c r="X3154" s="10"/>
      <c r="Y3154" s="10"/>
      <c r="Z3154" s="10"/>
      <c r="AA3154" s="11"/>
      <c r="AB3154" s="11"/>
    </row>
    <row r="3155" spans="2:28" x14ac:dyDescent="0.3">
      <c r="B3155" s="10"/>
      <c r="C3155" s="315"/>
      <c r="D3155" s="868"/>
      <c r="E3155" s="837" t="str">
        <f>IFERROR(IF(_xlfn.XLOOKUP(Imput[[#This Row],[RFC]],'Alta Proveedor'!D:D,'Alta Proveedor'!E:E)=0,"",_xlfn.XLOOKUP(Imput[[#This Row],[RFC]],'Alta Proveedor'!D:D,'Alta Proveedor'!E:E)),"")</f>
        <v/>
      </c>
      <c r="F3155" s="832"/>
      <c r="G3155" s="187"/>
      <c r="H3155" s="1"/>
      <c r="I3155" s="169">
        <f>Imput[[#This Row],[Cantidad]]*Imput[[#This Row],[Precio Unitario]]</f>
        <v>0</v>
      </c>
      <c r="J3155" s="11">
        <f>((Imput[[#This Row],[Sub total]])*(0.16))</f>
        <v>0</v>
      </c>
      <c r="K3155" s="11">
        <v>0</v>
      </c>
      <c r="L3155" s="169">
        <f>Imput[[#This Row],[Sub total]]+Imput[[#This Row],[IVA]]-Imput[[#This Row],[Retención / IEPS / Descuento]]</f>
        <v>0</v>
      </c>
      <c r="M3155" s="844">
        <v>0</v>
      </c>
      <c r="N3155" s="189"/>
      <c r="O3155" s="1"/>
      <c r="P3155" s="189"/>
      <c r="Q3155" s="190"/>
      <c r="R3155" s="188"/>
      <c r="S3155" s="193"/>
      <c r="T3155" s="192"/>
      <c r="U3155" s="829"/>
      <c r="V3155" s="10"/>
      <c r="W3155" s="10"/>
      <c r="X3155" s="10"/>
      <c r="Y3155" s="10"/>
      <c r="Z3155" s="10"/>
      <c r="AA3155" s="11"/>
      <c r="AB3155" s="11"/>
    </row>
    <row r="3156" spans="2:28" x14ac:dyDescent="0.3">
      <c r="B3156" s="10"/>
      <c r="C3156" s="315"/>
      <c r="D3156" s="868"/>
      <c r="E3156" s="837" t="str">
        <f>IFERROR(IF(_xlfn.XLOOKUP(Imput[[#This Row],[RFC]],'Alta Proveedor'!D:D,'Alta Proveedor'!E:E)=0,"",_xlfn.XLOOKUP(Imput[[#This Row],[RFC]],'Alta Proveedor'!D:D,'Alta Proveedor'!E:E)),"")</f>
        <v/>
      </c>
      <c r="F3156" s="832"/>
      <c r="G3156" s="187"/>
      <c r="H3156" s="1"/>
      <c r="I3156" s="169">
        <f>Imput[[#This Row],[Cantidad]]*Imput[[#This Row],[Precio Unitario]]</f>
        <v>0</v>
      </c>
      <c r="J3156" s="11">
        <f>((Imput[[#This Row],[Sub total]])*(0.16))</f>
        <v>0</v>
      </c>
      <c r="K3156" s="11">
        <v>0</v>
      </c>
      <c r="L3156" s="169">
        <f>Imput[[#This Row],[Sub total]]+Imput[[#This Row],[IVA]]-Imput[[#This Row],[Retención / IEPS / Descuento]]</f>
        <v>0</v>
      </c>
      <c r="M3156" s="844">
        <v>0</v>
      </c>
      <c r="N3156" s="189"/>
      <c r="O3156" s="1"/>
      <c r="P3156" s="189"/>
      <c r="Q3156" s="190"/>
      <c r="R3156" s="188"/>
      <c r="S3156" s="193"/>
      <c r="T3156" s="192"/>
      <c r="U3156" s="829"/>
      <c r="V3156" s="10"/>
      <c r="W3156" s="10"/>
      <c r="X3156" s="10"/>
      <c r="Y3156" s="10"/>
      <c r="Z3156" s="10"/>
      <c r="AA3156" s="11"/>
      <c r="AB3156" s="11"/>
    </row>
    <row r="3157" spans="2:28" x14ac:dyDescent="0.3">
      <c r="B3157" s="10"/>
      <c r="C3157" s="315"/>
      <c r="D3157" s="868"/>
      <c r="E3157" s="837" t="str">
        <f>IFERROR(IF(_xlfn.XLOOKUP(Imput[[#This Row],[RFC]],'Alta Proveedor'!D:D,'Alta Proveedor'!E:E)=0,"",_xlfn.XLOOKUP(Imput[[#This Row],[RFC]],'Alta Proveedor'!D:D,'Alta Proveedor'!E:E)),"")</f>
        <v/>
      </c>
      <c r="F3157" s="832"/>
      <c r="G3157" s="187"/>
      <c r="H3157" s="1"/>
      <c r="I3157" s="169">
        <f>Imput[[#This Row],[Cantidad]]*Imput[[#This Row],[Precio Unitario]]</f>
        <v>0</v>
      </c>
      <c r="J3157" s="11">
        <f>((Imput[[#This Row],[Sub total]])*(0.16))</f>
        <v>0</v>
      </c>
      <c r="K3157" s="11">
        <v>0</v>
      </c>
      <c r="L3157" s="169">
        <f>Imput[[#This Row],[Sub total]]+Imput[[#This Row],[IVA]]-Imput[[#This Row],[Retención / IEPS / Descuento]]</f>
        <v>0</v>
      </c>
      <c r="M3157" s="844">
        <v>0</v>
      </c>
      <c r="N3157" s="189"/>
      <c r="O3157" s="1"/>
      <c r="P3157" s="189"/>
      <c r="Q3157" s="190"/>
      <c r="R3157" s="188"/>
      <c r="S3157" s="193"/>
      <c r="T3157" s="192"/>
      <c r="U3157" s="829"/>
      <c r="V3157" s="10"/>
      <c r="W3157" s="10"/>
      <c r="X3157" s="10"/>
      <c r="Y3157" s="10"/>
      <c r="Z3157" s="10"/>
      <c r="AA3157" s="11"/>
      <c r="AB3157" s="11"/>
    </row>
    <row r="3158" spans="2:28" x14ac:dyDescent="0.3">
      <c r="B3158" s="10"/>
      <c r="C3158" s="315"/>
      <c r="D3158" s="868"/>
      <c r="E3158" s="837" t="str">
        <f>IFERROR(IF(_xlfn.XLOOKUP(Imput[[#This Row],[RFC]],'Alta Proveedor'!D:D,'Alta Proveedor'!E:E)=0,"",_xlfn.XLOOKUP(Imput[[#This Row],[RFC]],'Alta Proveedor'!D:D,'Alta Proveedor'!E:E)),"")</f>
        <v/>
      </c>
      <c r="F3158" s="832"/>
      <c r="G3158" s="187"/>
      <c r="H3158" s="1"/>
      <c r="I3158" s="169">
        <f>Imput[[#This Row],[Cantidad]]*Imput[[#This Row],[Precio Unitario]]</f>
        <v>0</v>
      </c>
      <c r="J3158" s="11">
        <f>((Imput[[#This Row],[Sub total]])*(0.16))</f>
        <v>0</v>
      </c>
      <c r="K3158" s="11">
        <v>0</v>
      </c>
      <c r="L3158" s="169">
        <f>Imput[[#This Row],[Sub total]]+Imput[[#This Row],[IVA]]-Imput[[#This Row],[Retención / IEPS / Descuento]]</f>
        <v>0</v>
      </c>
      <c r="M3158" s="844">
        <v>0</v>
      </c>
      <c r="N3158" s="189"/>
      <c r="O3158" s="1"/>
      <c r="P3158" s="189"/>
      <c r="Q3158" s="190"/>
      <c r="R3158" s="188"/>
      <c r="S3158" s="193"/>
      <c r="T3158" s="192"/>
      <c r="U3158" s="829"/>
      <c r="V3158" s="10"/>
      <c r="W3158" s="10"/>
      <c r="X3158" s="10"/>
      <c r="Y3158" s="10"/>
      <c r="Z3158" s="10"/>
      <c r="AA3158" s="11"/>
      <c r="AB3158" s="11"/>
    </row>
    <row r="3159" spans="2:28" x14ac:dyDescent="0.3">
      <c r="B3159" s="10"/>
      <c r="C3159" s="315"/>
      <c r="D3159" s="868"/>
      <c r="E3159" s="837" t="str">
        <f>IFERROR(IF(_xlfn.XLOOKUP(Imput[[#This Row],[RFC]],'Alta Proveedor'!D:D,'Alta Proveedor'!E:E)=0,"",_xlfn.XLOOKUP(Imput[[#This Row],[RFC]],'Alta Proveedor'!D:D,'Alta Proveedor'!E:E)),"")</f>
        <v/>
      </c>
      <c r="F3159" s="832"/>
      <c r="G3159" s="187"/>
      <c r="H3159" s="1"/>
      <c r="I3159" s="169">
        <f>Imput[[#This Row],[Cantidad]]*Imput[[#This Row],[Precio Unitario]]</f>
        <v>0</v>
      </c>
      <c r="J3159" s="11">
        <f>((Imput[[#This Row],[Sub total]])*(0.16))</f>
        <v>0</v>
      </c>
      <c r="K3159" s="11">
        <v>0</v>
      </c>
      <c r="L3159" s="169">
        <f>Imput[[#This Row],[Sub total]]+Imput[[#This Row],[IVA]]-Imput[[#This Row],[Retención / IEPS / Descuento]]</f>
        <v>0</v>
      </c>
      <c r="M3159" s="844">
        <v>0</v>
      </c>
      <c r="N3159" s="189"/>
      <c r="O3159" s="1"/>
      <c r="P3159" s="189"/>
      <c r="Q3159" s="190"/>
      <c r="R3159" s="188"/>
      <c r="S3159" s="193"/>
      <c r="T3159" s="192"/>
      <c r="U3159" s="829"/>
      <c r="V3159" s="10"/>
      <c r="W3159" s="10"/>
      <c r="X3159" s="10"/>
      <c r="Y3159" s="10"/>
      <c r="Z3159" s="10"/>
      <c r="AA3159" s="11"/>
      <c r="AB3159" s="11"/>
    </row>
    <row r="3160" spans="2:28" x14ac:dyDescent="0.3">
      <c r="B3160" s="10"/>
      <c r="C3160" s="315"/>
      <c r="D3160" s="868"/>
      <c r="E3160" s="837" t="str">
        <f>IFERROR(IF(_xlfn.XLOOKUP(Imput[[#This Row],[RFC]],'Alta Proveedor'!D:D,'Alta Proveedor'!E:E)=0,"",_xlfn.XLOOKUP(Imput[[#This Row],[RFC]],'Alta Proveedor'!D:D,'Alta Proveedor'!E:E)),"")</f>
        <v/>
      </c>
      <c r="F3160" s="832"/>
      <c r="G3160" s="187"/>
      <c r="H3160" s="1"/>
      <c r="I3160" s="169">
        <f>Imput[[#This Row],[Cantidad]]*Imput[[#This Row],[Precio Unitario]]</f>
        <v>0</v>
      </c>
      <c r="J3160" s="11">
        <f>((Imput[[#This Row],[Sub total]])*(0.16))</f>
        <v>0</v>
      </c>
      <c r="K3160" s="11">
        <v>0</v>
      </c>
      <c r="L3160" s="169">
        <f>Imput[[#This Row],[Sub total]]+Imput[[#This Row],[IVA]]-Imput[[#This Row],[Retención / IEPS / Descuento]]</f>
        <v>0</v>
      </c>
      <c r="M3160" s="844">
        <v>0</v>
      </c>
      <c r="N3160" s="189"/>
      <c r="O3160" s="1"/>
      <c r="P3160" s="189"/>
      <c r="Q3160" s="190"/>
      <c r="R3160" s="188"/>
      <c r="S3160" s="193"/>
      <c r="T3160" s="192"/>
      <c r="U3160" s="829"/>
      <c r="V3160" s="10"/>
      <c r="W3160" s="10"/>
      <c r="X3160" s="10"/>
      <c r="Y3160" s="10"/>
      <c r="Z3160" s="10"/>
      <c r="AA3160" s="11"/>
      <c r="AB3160" s="11"/>
    </row>
    <row r="3161" spans="2:28" x14ac:dyDescent="0.3">
      <c r="B3161" s="10"/>
      <c r="C3161" s="315"/>
      <c r="D3161" s="868"/>
      <c r="E3161" s="837" t="str">
        <f>IFERROR(IF(_xlfn.XLOOKUP(Imput[[#This Row],[RFC]],'Alta Proveedor'!D:D,'Alta Proveedor'!E:E)=0,"",_xlfn.XLOOKUP(Imput[[#This Row],[RFC]],'Alta Proveedor'!D:D,'Alta Proveedor'!E:E)),"")</f>
        <v/>
      </c>
      <c r="F3161" s="832"/>
      <c r="G3161" s="187"/>
      <c r="H3161" s="1"/>
      <c r="I3161" s="169">
        <f>Imput[[#This Row],[Cantidad]]*Imput[[#This Row],[Precio Unitario]]</f>
        <v>0</v>
      </c>
      <c r="J3161" s="11">
        <f>((Imput[[#This Row],[Sub total]])*(0.16))</f>
        <v>0</v>
      </c>
      <c r="K3161" s="11">
        <v>0</v>
      </c>
      <c r="L3161" s="169">
        <f>Imput[[#This Row],[Sub total]]+Imput[[#This Row],[IVA]]-Imput[[#This Row],[Retención / IEPS / Descuento]]</f>
        <v>0</v>
      </c>
      <c r="M3161" s="844">
        <v>0</v>
      </c>
      <c r="N3161" s="189"/>
      <c r="O3161" s="1"/>
      <c r="P3161" s="189"/>
      <c r="Q3161" s="190"/>
      <c r="R3161" s="188"/>
      <c r="S3161" s="193"/>
      <c r="T3161" s="192"/>
      <c r="U3161" s="829"/>
      <c r="V3161" s="10"/>
      <c r="W3161" s="10"/>
      <c r="X3161" s="10"/>
      <c r="Y3161" s="10"/>
      <c r="Z3161" s="10"/>
      <c r="AA3161" s="11"/>
      <c r="AB3161" s="11"/>
    </row>
    <row r="3162" spans="2:28" x14ac:dyDescent="0.3">
      <c r="B3162" s="10"/>
      <c r="C3162" s="315"/>
      <c r="D3162" s="868"/>
      <c r="E3162" s="837" t="str">
        <f>IFERROR(IF(_xlfn.XLOOKUP(Imput[[#This Row],[RFC]],'Alta Proveedor'!D:D,'Alta Proveedor'!E:E)=0,"",_xlfn.XLOOKUP(Imput[[#This Row],[RFC]],'Alta Proveedor'!D:D,'Alta Proveedor'!E:E)),"")</f>
        <v/>
      </c>
      <c r="F3162" s="832"/>
      <c r="G3162" s="187"/>
      <c r="H3162" s="1"/>
      <c r="I3162" s="169">
        <f>Imput[[#This Row],[Cantidad]]*Imput[[#This Row],[Precio Unitario]]</f>
        <v>0</v>
      </c>
      <c r="J3162" s="11">
        <f>((Imput[[#This Row],[Sub total]])*(0.16))</f>
        <v>0</v>
      </c>
      <c r="K3162" s="11">
        <v>0</v>
      </c>
      <c r="L3162" s="169">
        <f>Imput[[#This Row],[Sub total]]+Imput[[#This Row],[IVA]]-Imput[[#This Row],[Retención / IEPS / Descuento]]</f>
        <v>0</v>
      </c>
      <c r="M3162" s="844">
        <v>0</v>
      </c>
      <c r="N3162" s="189"/>
      <c r="O3162" s="1"/>
      <c r="P3162" s="189"/>
      <c r="Q3162" s="190"/>
      <c r="R3162" s="188"/>
      <c r="S3162" s="193"/>
      <c r="T3162" s="192"/>
      <c r="U3162" s="829"/>
      <c r="V3162" s="10"/>
      <c r="W3162" s="10"/>
      <c r="X3162" s="10"/>
      <c r="Y3162" s="10"/>
      <c r="Z3162" s="10"/>
      <c r="AA3162" s="11"/>
      <c r="AB3162" s="11"/>
    </row>
    <row r="3163" spans="2:28" x14ac:dyDescent="0.3">
      <c r="B3163" s="10"/>
      <c r="C3163" s="315"/>
      <c r="D3163" s="868"/>
      <c r="E3163" s="837" t="str">
        <f>IFERROR(IF(_xlfn.XLOOKUP(Imput[[#This Row],[RFC]],'Alta Proveedor'!D:D,'Alta Proveedor'!E:E)=0,"",_xlfn.XLOOKUP(Imput[[#This Row],[RFC]],'Alta Proveedor'!D:D,'Alta Proveedor'!E:E)),"")</f>
        <v/>
      </c>
      <c r="F3163" s="832"/>
      <c r="G3163" s="187"/>
      <c r="H3163" s="1"/>
      <c r="I3163" s="169">
        <f>Imput[[#This Row],[Cantidad]]*Imput[[#This Row],[Precio Unitario]]</f>
        <v>0</v>
      </c>
      <c r="J3163" s="11">
        <f>((Imput[[#This Row],[Sub total]])*(0.16))</f>
        <v>0</v>
      </c>
      <c r="K3163" s="11">
        <v>0</v>
      </c>
      <c r="L3163" s="169">
        <f>Imput[[#This Row],[Sub total]]+Imput[[#This Row],[IVA]]-Imput[[#This Row],[Retención / IEPS / Descuento]]</f>
        <v>0</v>
      </c>
      <c r="M3163" s="844">
        <v>0</v>
      </c>
      <c r="N3163" s="189"/>
      <c r="O3163" s="1"/>
      <c r="P3163" s="189"/>
      <c r="Q3163" s="190"/>
      <c r="R3163" s="188"/>
      <c r="S3163" s="193"/>
      <c r="T3163" s="192"/>
      <c r="U3163" s="829"/>
      <c r="V3163" s="10"/>
      <c r="W3163" s="10"/>
      <c r="X3163" s="10"/>
      <c r="Y3163" s="10"/>
      <c r="Z3163" s="10"/>
      <c r="AA3163" s="11"/>
      <c r="AB3163" s="11"/>
    </row>
    <row r="3164" spans="2:28" x14ac:dyDescent="0.3">
      <c r="B3164" s="10"/>
      <c r="C3164" s="315"/>
      <c r="D3164" s="868"/>
      <c r="E3164" s="837" t="str">
        <f>IFERROR(IF(_xlfn.XLOOKUP(Imput[[#This Row],[RFC]],'Alta Proveedor'!D:D,'Alta Proveedor'!E:E)=0,"",_xlfn.XLOOKUP(Imput[[#This Row],[RFC]],'Alta Proveedor'!D:D,'Alta Proveedor'!E:E)),"")</f>
        <v/>
      </c>
      <c r="F3164" s="832"/>
      <c r="G3164" s="187"/>
      <c r="H3164" s="1"/>
      <c r="I3164" s="169">
        <f>Imput[[#This Row],[Cantidad]]*Imput[[#This Row],[Precio Unitario]]</f>
        <v>0</v>
      </c>
      <c r="J3164" s="11">
        <f>((Imput[[#This Row],[Sub total]])*(0.16))</f>
        <v>0</v>
      </c>
      <c r="K3164" s="11">
        <v>0</v>
      </c>
      <c r="L3164" s="169">
        <f>Imput[[#This Row],[Sub total]]+Imput[[#This Row],[IVA]]-Imput[[#This Row],[Retención / IEPS / Descuento]]</f>
        <v>0</v>
      </c>
      <c r="M3164" s="844">
        <v>0</v>
      </c>
      <c r="N3164" s="189"/>
      <c r="O3164" s="1"/>
      <c r="P3164" s="189"/>
      <c r="Q3164" s="190"/>
      <c r="R3164" s="188"/>
      <c r="S3164" s="193"/>
      <c r="T3164" s="192"/>
      <c r="U3164" s="829"/>
      <c r="V3164" s="10"/>
      <c r="W3164" s="10"/>
      <c r="X3164" s="10"/>
      <c r="Y3164" s="10"/>
      <c r="Z3164" s="10"/>
      <c r="AA3164" s="11"/>
      <c r="AB3164" s="11"/>
    </row>
    <row r="3165" spans="2:28" x14ac:dyDescent="0.3">
      <c r="B3165" s="10"/>
      <c r="C3165" s="315"/>
      <c r="D3165" s="868"/>
      <c r="E3165" s="837" t="str">
        <f>IFERROR(IF(_xlfn.XLOOKUP(Imput[[#This Row],[RFC]],'Alta Proveedor'!D:D,'Alta Proveedor'!E:E)=0,"",_xlfn.XLOOKUP(Imput[[#This Row],[RFC]],'Alta Proveedor'!D:D,'Alta Proveedor'!E:E)),"")</f>
        <v/>
      </c>
      <c r="F3165" s="832"/>
      <c r="G3165" s="187"/>
      <c r="H3165" s="1"/>
      <c r="I3165" s="169">
        <f>Imput[[#This Row],[Cantidad]]*Imput[[#This Row],[Precio Unitario]]</f>
        <v>0</v>
      </c>
      <c r="J3165" s="11">
        <f>((Imput[[#This Row],[Sub total]])*(0.16))</f>
        <v>0</v>
      </c>
      <c r="K3165" s="11">
        <v>0</v>
      </c>
      <c r="L3165" s="169">
        <f>Imput[[#This Row],[Sub total]]+Imput[[#This Row],[IVA]]-Imput[[#This Row],[Retención / IEPS / Descuento]]</f>
        <v>0</v>
      </c>
      <c r="M3165" s="844">
        <v>0</v>
      </c>
      <c r="N3165" s="189"/>
      <c r="O3165" s="1"/>
      <c r="P3165" s="189"/>
      <c r="Q3165" s="190"/>
      <c r="R3165" s="188"/>
      <c r="S3165" s="193"/>
      <c r="T3165" s="192"/>
      <c r="U3165" s="829"/>
      <c r="V3165" s="10"/>
      <c r="W3165" s="10"/>
      <c r="X3165" s="10"/>
      <c r="Y3165" s="10"/>
      <c r="Z3165" s="10"/>
      <c r="AA3165" s="11"/>
      <c r="AB3165" s="11"/>
    </row>
    <row r="3166" spans="2:28" x14ac:dyDescent="0.3">
      <c r="B3166" s="10"/>
      <c r="C3166" s="315"/>
      <c r="D3166" s="868"/>
      <c r="E3166" s="837" t="str">
        <f>IFERROR(IF(_xlfn.XLOOKUP(Imput[[#This Row],[RFC]],'Alta Proveedor'!D:D,'Alta Proveedor'!E:E)=0,"",_xlfn.XLOOKUP(Imput[[#This Row],[RFC]],'Alta Proveedor'!D:D,'Alta Proveedor'!E:E)),"")</f>
        <v/>
      </c>
      <c r="F3166" s="832"/>
      <c r="G3166" s="187"/>
      <c r="H3166" s="1"/>
      <c r="I3166" s="169">
        <f>Imput[[#This Row],[Cantidad]]*Imput[[#This Row],[Precio Unitario]]</f>
        <v>0</v>
      </c>
      <c r="J3166" s="11">
        <f>((Imput[[#This Row],[Sub total]])*(0.16))</f>
        <v>0</v>
      </c>
      <c r="K3166" s="11">
        <v>0</v>
      </c>
      <c r="L3166" s="169">
        <f>Imput[[#This Row],[Sub total]]+Imput[[#This Row],[IVA]]-Imput[[#This Row],[Retención / IEPS / Descuento]]</f>
        <v>0</v>
      </c>
      <c r="M3166" s="844">
        <v>0</v>
      </c>
      <c r="N3166" s="189"/>
      <c r="O3166" s="1"/>
      <c r="P3166" s="189"/>
      <c r="Q3166" s="190"/>
      <c r="R3166" s="188"/>
      <c r="S3166" s="193"/>
      <c r="T3166" s="192"/>
      <c r="U3166" s="829"/>
      <c r="V3166" s="10"/>
      <c r="W3166" s="10"/>
      <c r="X3166" s="10"/>
      <c r="Y3166" s="10"/>
      <c r="Z3166" s="10"/>
      <c r="AA3166" s="11"/>
      <c r="AB3166" s="11"/>
    </row>
    <row r="3167" spans="2:28" x14ac:dyDescent="0.3">
      <c r="B3167" s="10"/>
      <c r="C3167" s="315"/>
      <c r="D3167" s="868"/>
      <c r="E3167" s="837" t="str">
        <f>IFERROR(IF(_xlfn.XLOOKUP(Imput[[#This Row],[RFC]],'Alta Proveedor'!D:D,'Alta Proveedor'!E:E)=0,"",_xlfn.XLOOKUP(Imput[[#This Row],[RFC]],'Alta Proveedor'!D:D,'Alta Proveedor'!E:E)),"")</f>
        <v/>
      </c>
      <c r="F3167" s="832"/>
      <c r="G3167" s="187"/>
      <c r="H3167" s="1"/>
      <c r="I3167" s="169">
        <f>Imput[[#This Row],[Cantidad]]*Imput[[#This Row],[Precio Unitario]]</f>
        <v>0</v>
      </c>
      <c r="J3167" s="11">
        <f>((Imput[[#This Row],[Sub total]])*(0.16))</f>
        <v>0</v>
      </c>
      <c r="K3167" s="11">
        <v>0</v>
      </c>
      <c r="L3167" s="169">
        <f>Imput[[#This Row],[Sub total]]+Imput[[#This Row],[IVA]]-Imput[[#This Row],[Retención / IEPS / Descuento]]</f>
        <v>0</v>
      </c>
      <c r="M3167" s="844">
        <v>0</v>
      </c>
      <c r="N3167" s="189"/>
      <c r="O3167" s="1"/>
      <c r="P3167" s="189"/>
      <c r="Q3167" s="190"/>
      <c r="R3167" s="188"/>
      <c r="S3167" s="193"/>
      <c r="T3167" s="192"/>
      <c r="U3167" s="829"/>
      <c r="V3167" s="10"/>
      <c r="W3167" s="10"/>
      <c r="X3167" s="10"/>
      <c r="Y3167" s="10"/>
      <c r="Z3167" s="10"/>
      <c r="AA3167" s="11"/>
      <c r="AB3167" s="11"/>
    </row>
    <row r="3168" spans="2:28" x14ac:dyDescent="0.3">
      <c r="B3168" s="10"/>
      <c r="C3168" s="315"/>
      <c r="D3168" s="868"/>
      <c r="E3168" s="837" t="str">
        <f>IFERROR(IF(_xlfn.XLOOKUP(Imput[[#This Row],[RFC]],'Alta Proveedor'!D:D,'Alta Proveedor'!E:E)=0,"",_xlfn.XLOOKUP(Imput[[#This Row],[RFC]],'Alta Proveedor'!D:D,'Alta Proveedor'!E:E)),"")</f>
        <v/>
      </c>
      <c r="F3168" s="832"/>
      <c r="G3168" s="187"/>
      <c r="H3168" s="1"/>
      <c r="I3168" s="169">
        <f>Imput[[#This Row],[Cantidad]]*Imput[[#This Row],[Precio Unitario]]</f>
        <v>0</v>
      </c>
      <c r="J3168" s="11">
        <f>((Imput[[#This Row],[Sub total]])*(0.16))</f>
        <v>0</v>
      </c>
      <c r="K3168" s="11">
        <v>0</v>
      </c>
      <c r="L3168" s="169">
        <f>Imput[[#This Row],[Sub total]]+Imput[[#This Row],[IVA]]-Imput[[#This Row],[Retención / IEPS / Descuento]]</f>
        <v>0</v>
      </c>
      <c r="M3168" s="844">
        <v>0</v>
      </c>
      <c r="N3168" s="189"/>
      <c r="O3168" s="1"/>
      <c r="P3168" s="189"/>
      <c r="Q3168" s="190"/>
      <c r="R3168" s="188"/>
      <c r="S3168" s="193"/>
      <c r="T3168" s="192"/>
      <c r="U3168" s="829"/>
      <c r="V3168" s="10"/>
      <c r="W3168" s="10"/>
      <c r="X3168" s="10"/>
      <c r="Y3168" s="10"/>
      <c r="Z3168" s="10"/>
      <c r="AA3168" s="11"/>
      <c r="AB3168" s="11"/>
    </row>
    <row r="3169" spans="2:28" x14ac:dyDescent="0.3">
      <c r="B3169" s="10"/>
      <c r="C3169" s="315"/>
      <c r="D3169" s="868"/>
      <c r="E3169" s="837" t="str">
        <f>IFERROR(IF(_xlfn.XLOOKUP(Imput[[#This Row],[RFC]],'Alta Proveedor'!D:D,'Alta Proveedor'!E:E)=0,"",_xlfn.XLOOKUP(Imput[[#This Row],[RFC]],'Alta Proveedor'!D:D,'Alta Proveedor'!E:E)),"")</f>
        <v/>
      </c>
      <c r="F3169" s="832"/>
      <c r="G3169" s="187"/>
      <c r="H3169" s="1"/>
      <c r="I3169" s="169">
        <f>Imput[[#This Row],[Cantidad]]*Imput[[#This Row],[Precio Unitario]]</f>
        <v>0</v>
      </c>
      <c r="J3169" s="11">
        <f>((Imput[[#This Row],[Sub total]])*(0.16))</f>
        <v>0</v>
      </c>
      <c r="K3169" s="11">
        <v>0</v>
      </c>
      <c r="L3169" s="169">
        <f>Imput[[#This Row],[Sub total]]+Imput[[#This Row],[IVA]]-Imput[[#This Row],[Retención / IEPS / Descuento]]</f>
        <v>0</v>
      </c>
      <c r="M3169" s="844">
        <v>0</v>
      </c>
      <c r="N3169" s="189"/>
      <c r="O3169" s="1"/>
      <c r="P3169" s="189"/>
      <c r="Q3169" s="190"/>
      <c r="R3169" s="188"/>
      <c r="S3169" s="193"/>
      <c r="T3169" s="192"/>
      <c r="U3169" s="829"/>
      <c r="V3169" s="10"/>
      <c r="W3169" s="10"/>
      <c r="X3169" s="10"/>
      <c r="Y3169" s="10"/>
      <c r="Z3169" s="10"/>
      <c r="AA3169" s="11"/>
      <c r="AB3169" s="11"/>
    </row>
    <row r="3170" spans="2:28" x14ac:dyDescent="0.3">
      <c r="B3170" s="10"/>
      <c r="C3170" s="315"/>
      <c r="D3170" s="868"/>
      <c r="E3170" s="837" t="str">
        <f>IFERROR(IF(_xlfn.XLOOKUP(Imput[[#This Row],[RFC]],'Alta Proveedor'!D:D,'Alta Proveedor'!E:E)=0,"",_xlfn.XLOOKUP(Imput[[#This Row],[RFC]],'Alta Proveedor'!D:D,'Alta Proveedor'!E:E)),"")</f>
        <v/>
      </c>
      <c r="F3170" s="832"/>
      <c r="G3170" s="187"/>
      <c r="H3170" s="1"/>
      <c r="I3170" s="169">
        <f>Imput[[#This Row],[Cantidad]]*Imput[[#This Row],[Precio Unitario]]</f>
        <v>0</v>
      </c>
      <c r="J3170" s="11">
        <f>((Imput[[#This Row],[Sub total]])*(0.16))</f>
        <v>0</v>
      </c>
      <c r="K3170" s="11">
        <v>0</v>
      </c>
      <c r="L3170" s="169">
        <f>Imput[[#This Row],[Sub total]]+Imput[[#This Row],[IVA]]-Imput[[#This Row],[Retención / IEPS / Descuento]]</f>
        <v>0</v>
      </c>
      <c r="M3170" s="844">
        <v>0</v>
      </c>
      <c r="N3170" s="189"/>
      <c r="O3170" s="1"/>
      <c r="P3170" s="189"/>
      <c r="Q3170" s="190"/>
      <c r="R3170" s="188"/>
      <c r="S3170" s="193"/>
      <c r="T3170" s="192"/>
      <c r="U3170" s="829"/>
      <c r="V3170" s="10"/>
      <c r="W3170" s="10"/>
      <c r="X3170" s="10"/>
      <c r="Y3170" s="10"/>
      <c r="Z3170" s="10"/>
      <c r="AA3170" s="11"/>
      <c r="AB3170" s="11"/>
    </row>
    <row r="3171" spans="2:28" x14ac:dyDescent="0.3">
      <c r="B3171" s="10"/>
      <c r="C3171" s="315"/>
      <c r="D3171" s="868"/>
      <c r="E3171" s="837" t="str">
        <f>IFERROR(IF(_xlfn.XLOOKUP(Imput[[#This Row],[RFC]],'Alta Proveedor'!D:D,'Alta Proveedor'!E:E)=0,"",_xlfn.XLOOKUP(Imput[[#This Row],[RFC]],'Alta Proveedor'!D:D,'Alta Proveedor'!E:E)),"")</f>
        <v/>
      </c>
      <c r="F3171" s="832"/>
      <c r="G3171" s="187"/>
      <c r="H3171" s="1"/>
      <c r="I3171" s="169">
        <f>Imput[[#This Row],[Cantidad]]*Imput[[#This Row],[Precio Unitario]]</f>
        <v>0</v>
      </c>
      <c r="J3171" s="11">
        <f>((Imput[[#This Row],[Sub total]])*(0.16))</f>
        <v>0</v>
      </c>
      <c r="K3171" s="11">
        <v>0</v>
      </c>
      <c r="L3171" s="169">
        <f>Imput[[#This Row],[Sub total]]+Imput[[#This Row],[IVA]]-Imput[[#This Row],[Retención / IEPS / Descuento]]</f>
        <v>0</v>
      </c>
      <c r="M3171" s="844">
        <v>0</v>
      </c>
      <c r="N3171" s="189"/>
      <c r="O3171" s="1"/>
      <c r="P3171" s="189"/>
      <c r="Q3171" s="190"/>
      <c r="R3171" s="188"/>
      <c r="S3171" s="193"/>
      <c r="T3171" s="192"/>
      <c r="U3171" s="829"/>
      <c r="V3171" s="10"/>
      <c r="W3171" s="10"/>
      <c r="X3171" s="10"/>
      <c r="Y3171" s="10"/>
      <c r="Z3171" s="10"/>
      <c r="AA3171" s="11"/>
      <c r="AB3171" s="11"/>
    </row>
    <row r="3172" spans="2:28" x14ac:dyDescent="0.3">
      <c r="B3172" s="10"/>
      <c r="C3172" s="315"/>
      <c r="D3172" s="868"/>
      <c r="E3172" s="837" t="str">
        <f>IFERROR(IF(_xlfn.XLOOKUP(Imput[[#This Row],[RFC]],'Alta Proveedor'!D:D,'Alta Proveedor'!E:E)=0,"",_xlfn.XLOOKUP(Imput[[#This Row],[RFC]],'Alta Proveedor'!D:D,'Alta Proveedor'!E:E)),"")</f>
        <v/>
      </c>
      <c r="F3172" s="832"/>
      <c r="G3172" s="187"/>
      <c r="H3172" s="1"/>
      <c r="I3172" s="169">
        <f>Imput[[#This Row],[Cantidad]]*Imput[[#This Row],[Precio Unitario]]</f>
        <v>0</v>
      </c>
      <c r="J3172" s="11">
        <f>((Imput[[#This Row],[Sub total]])*(0.16))</f>
        <v>0</v>
      </c>
      <c r="K3172" s="11">
        <v>0</v>
      </c>
      <c r="L3172" s="169">
        <f>Imput[[#This Row],[Sub total]]+Imput[[#This Row],[IVA]]-Imput[[#This Row],[Retención / IEPS / Descuento]]</f>
        <v>0</v>
      </c>
      <c r="M3172" s="844">
        <v>0</v>
      </c>
      <c r="N3172" s="189"/>
      <c r="O3172" s="1"/>
      <c r="P3172" s="189"/>
      <c r="Q3172" s="190"/>
      <c r="R3172" s="188"/>
      <c r="S3172" s="193"/>
      <c r="T3172" s="192"/>
      <c r="U3172" s="829"/>
      <c r="V3172" s="10"/>
      <c r="W3172" s="10"/>
      <c r="X3172" s="10"/>
      <c r="Y3172" s="10"/>
      <c r="Z3172" s="10"/>
      <c r="AA3172" s="11"/>
      <c r="AB3172" s="11"/>
    </row>
    <row r="3173" spans="2:28" x14ac:dyDescent="0.3">
      <c r="B3173" s="10"/>
      <c r="C3173" s="315"/>
      <c r="D3173" s="868"/>
      <c r="E3173" s="837" t="str">
        <f>IFERROR(IF(_xlfn.XLOOKUP(Imput[[#This Row],[RFC]],'Alta Proveedor'!D:D,'Alta Proveedor'!E:E)=0,"",_xlfn.XLOOKUP(Imput[[#This Row],[RFC]],'Alta Proveedor'!D:D,'Alta Proveedor'!E:E)),"")</f>
        <v/>
      </c>
      <c r="F3173" s="832"/>
      <c r="G3173" s="187"/>
      <c r="H3173" s="1"/>
      <c r="I3173" s="169">
        <f>Imput[[#This Row],[Cantidad]]*Imput[[#This Row],[Precio Unitario]]</f>
        <v>0</v>
      </c>
      <c r="J3173" s="11">
        <f>((Imput[[#This Row],[Sub total]])*(0.16))</f>
        <v>0</v>
      </c>
      <c r="K3173" s="11">
        <v>0</v>
      </c>
      <c r="L3173" s="169">
        <f>Imput[[#This Row],[Sub total]]+Imput[[#This Row],[IVA]]-Imput[[#This Row],[Retención / IEPS / Descuento]]</f>
        <v>0</v>
      </c>
      <c r="M3173" s="844">
        <v>0</v>
      </c>
      <c r="N3173" s="189"/>
      <c r="O3173" s="1"/>
      <c r="P3173" s="189"/>
      <c r="Q3173" s="190"/>
      <c r="R3173" s="188"/>
      <c r="S3173" s="193"/>
      <c r="T3173" s="192"/>
      <c r="U3173" s="829"/>
      <c r="V3173" s="10"/>
      <c r="W3173" s="10"/>
      <c r="X3173" s="10"/>
      <c r="Y3173" s="10"/>
      <c r="Z3173" s="10"/>
      <c r="AA3173" s="11"/>
      <c r="AB3173" s="11"/>
    </row>
    <row r="3174" spans="2:28" x14ac:dyDescent="0.3">
      <c r="B3174" s="10"/>
      <c r="C3174" s="315"/>
      <c r="D3174" s="868"/>
      <c r="E3174" s="837" t="str">
        <f>IFERROR(IF(_xlfn.XLOOKUP(Imput[[#This Row],[RFC]],'Alta Proveedor'!D:D,'Alta Proveedor'!E:E)=0,"",_xlfn.XLOOKUP(Imput[[#This Row],[RFC]],'Alta Proveedor'!D:D,'Alta Proveedor'!E:E)),"")</f>
        <v/>
      </c>
      <c r="F3174" s="832"/>
      <c r="G3174" s="187"/>
      <c r="H3174" s="1"/>
      <c r="I3174" s="169">
        <f>Imput[[#This Row],[Cantidad]]*Imput[[#This Row],[Precio Unitario]]</f>
        <v>0</v>
      </c>
      <c r="J3174" s="11">
        <f>((Imput[[#This Row],[Sub total]])*(0.16))</f>
        <v>0</v>
      </c>
      <c r="K3174" s="11">
        <v>0</v>
      </c>
      <c r="L3174" s="169">
        <f>Imput[[#This Row],[Sub total]]+Imput[[#This Row],[IVA]]-Imput[[#This Row],[Retención / IEPS / Descuento]]</f>
        <v>0</v>
      </c>
      <c r="M3174" s="844">
        <v>0</v>
      </c>
      <c r="N3174" s="189"/>
      <c r="O3174" s="1"/>
      <c r="P3174" s="189"/>
      <c r="Q3174" s="190"/>
      <c r="R3174" s="188"/>
      <c r="S3174" s="193"/>
      <c r="T3174" s="192"/>
      <c r="U3174" s="829"/>
      <c r="V3174" s="10"/>
      <c r="W3174" s="10"/>
      <c r="X3174" s="10"/>
      <c r="Y3174" s="10"/>
      <c r="Z3174" s="10"/>
      <c r="AA3174" s="11"/>
      <c r="AB3174" s="11"/>
    </row>
    <row r="3175" spans="2:28" x14ac:dyDescent="0.3">
      <c r="B3175" s="10"/>
      <c r="C3175" s="315"/>
      <c r="D3175" s="868"/>
      <c r="E3175" s="837" t="str">
        <f>IFERROR(IF(_xlfn.XLOOKUP(Imput[[#This Row],[RFC]],'Alta Proveedor'!D:D,'Alta Proveedor'!E:E)=0,"",_xlfn.XLOOKUP(Imput[[#This Row],[RFC]],'Alta Proveedor'!D:D,'Alta Proveedor'!E:E)),"")</f>
        <v/>
      </c>
      <c r="F3175" s="832"/>
      <c r="G3175" s="187"/>
      <c r="H3175" s="1"/>
      <c r="I3175" s="169">
        <f>Imput[[#This Row],[Cantidad]]*Imput[[#This Row],[Precio Unitario]]</f>
        <v>0</v>
      </c>
      <c r="J3175" s="11">
        <f>((Imput[[#This Row],[Sub total]])*(0.16))</f>
        <v>0</v>
      </c>
      <c r="K3175" s="11">
        <v>0</v>
      </c>
      <c r="L3175" s="169">
        <f>Imput[[#This Row],[Sub total]]+Imput[[#This Row],[IVA]]-Imput[[#This Row],[Retención / IEPS / Descuento]]</f>
        <v>0</v>
      </c>
      <c r="M3175" s="844">
        <v>0</v>
      </c>
      <c r="N3175" s="189"/>
      <c r="O3175" s="1"/>
      <c r="P3175" s="189"/>
      <c r="Q3175" s="190"/>
      <c r="R3175" s="188"/>
      <c r="S3175" s="193"/>
      <c r="T3175" s="192"/>
      <c r="U3175" s="829"/>
      <c r="V3175" s="10"/>
      <c r="W3175" s="10"/>
      <c r="X3175" s="10"/>
      <c r="Y3175" s="10"/>
      <c r="Z3175" s="10"/>
      <c r="AA3175" s="11"/>
      <c r="AB3175" s="11"/>
    </row>
    <row r="3176" spans="2:28" x14ac:dyDescent="0.3">
      <c r="B3176" s="10"/>
      <c r="C3176" s="315"/>
      <c r="D3176" s="868"/>
      <c r="E3176" s="837" t="str">
        <f>IFERROR(IF(_xlfn.XLOOKUP(Imput[[#This Row],[RFC]],'Alta Proveedor'!D:D,'Alta Proveedor'!E:E)=0,"",_xlfn.XLOOKUP(Imput[[#This Row],[RFC]],'Alta Proveedor'!D:D,'Alta Proveedor'!E:E)),"")</f>
        <v/>
      </c>
      <c r="F3176" s="832"/>
      <c r="G3176" s="187"/>
      <c r="H3176" s="1"/>
      <c r="I3176" s="169">
        <f>Imput[[#This Row],[Cantidad]]*Imput[[#This Row],[Precio Unitario]]</f>
        <v>0</v>
      </c>
      <c r="J3176" s="11">
        <f>((Imput[[#This Row],[Sub total]])*(0.16))</f>
        <v>0</v>
      </c>
      <c r="K3176" s="11">
        <v>0</v>
      </c>
      <c r="L3176" s="169">
        <f>Imput[[#This Row],[Sub total]]+Imput[[#This Row],[IVA]]-Imput[[#This Row],[Retención / IEPS / Descuento]]</f>
        <v>0</v>
      </c>
      <c r="M3176" s="844">
        <v>0</v>
      </c>
      <c r="N3176" s="189"/>
      <c r="O3176" s="1"/>
      <c r="P3176" s="189"/>
      <c r="Q3176" s="190"/>
      <c r="R3176" s="188"/>
      <c r="S3176" s="193"/>
      <c r="T3176" s="192"/>
      <c r="U3176" s="829"/>
      <c r="V3176" s="10"/>
      <c r="W3176" s="10"/>
      <c r="X3176" s="10"/>
      <c r="Y3176" s="10"/>
      <c r="Z3176" s="10"/>
      <c r="AA3176" s="11"/>
      <c r="AB3176" s="11"/>
    </row>
    <row r="3177" spans="2:28" x14ac:dyDescent="0.3">
      <c r="B3177" s="10"/>
      <c r="C3177" s="315"/>
      <c r="D3177" s="868"/>
      <c r="E3177" s="837" t="str">
        <f>IFERROR(IF(_xlfn.XLOOKUP(Imput[[#This Row],[RFC]],'Alta Proveedor'!D:D,'Alta Proveedor'!E:E)=0,"",_xlfn.XLOOKUP(Imput[[#This Row],[RFC]],'Alta Proveedor'!D:D,'Alta Proveedor'!E:E)),"")</f>
        <v/>
      </c>
      <c r="F3177" s="832"/>
      <c r="G3177" s="187"/>
      <c r="H3177" s="1"/>
      <c r="I3177" s="169">
        <f>Imput[[#This Row],[Cantidad]]*Imput[[#This Row],[Precio Unitario]]</f>
        <v>0</v>
      </c>
      <c r="J3177" s="11">
        <f>((Imput[[#This Row],[Sub total]])*(0.16))</f>
        <v>0</v>
      </c>
      <c r="K3177" s="11">
        <v>0</v>
      </c>
      <c r="L3177" s="169">
        <f>Imput[[#This Row],[Sub total]]+Imput[[#This Row],[IVA]]-Imput[[#This Row],[Retención / IEPS / Descuento]]</f>
        <v>0</v>
      </c>
      <c r="M3177" s="844">
        <v>0</v>
      </c>
      <c r="N3177" s="189"/>
      <c r="O3177" s="1"/>
      <c r="P3177" s="189"/>
      <c r="Q3177" s="190"/>
      <c r="R3177" s="188"/>
      <c r="S3177" s="193"/>
      <c r="T3177" s="192"/>
      <c r="U3177" s="829"/>
      <c r="V3177" s="10"/>
      <c r="W3177" s="10"/>
      <c r="X3177" s="10"/>
      <c r="Y3177" s="10"/>
      <c r="Z3177" s="10"/>
      <c r="AA3177" s="11"/>
      <c r="AB3177" s="11"/>
    </row>
    <row r="3178" spans="2:28" x14ac:dyDescent="0.3">
      <c r="B3178" s="10"/>
      <c r="C3178" s="315"/>
      <c r="D3178" s="868"/>
      <c r="E3178" s="837" t="str">
        <f>IFERROR(IF(_xlfn.XLOOKUP(Imput[[#This Row],[RFC]],'Alta Proveedor'!D:D,'Alta Proveedor'!E:E)=0,"",_xlfn.XLOOKUP(Imput[[#This Row],[RFC]],'Alta Proveedor'!D:D,'Alta Proveedor'!E:E)),"")</f>
        <v/>
      </c>
      <c r="F3178" s="832"/>
      <c r="G3178" s="187"/>
      <c r="H3178" s="1"/>
      <c r="I3178" s="169">
        <f>Imput[[#This Row],[Cantidad]]*Imput[[#This Row],[Precio Unitario]]</f>
        <v>0</v>
      </c>
      <c r="J3178" s="11">
        <f>((Imput[[#This Row],[Sub total]])*(0.16))</f>
        <v>0</v>
      </c>
      <c r="K3178" s="11">
        <v>0</v>
      </c>
      <c r="L3178" s="169">
        <f>Imput[[#This Row],[Sub total]]+Imput[[#This Row],[IVA]]-Imput[[#This Row],[Retención / IEPS / Descuento]]</f>
        <v>0</v>
      </c>
      <c r="M3178" s="844">
        <v>0</v>
      </c>
      <c r="N3178" s="189"/>
      <c r="O3178" s="1"/>
      <c r="P3178" s="189"/>
      <c r="Q3178" s="190"/>
      <c r="R3178" s="188"/>
      <c r="S3178" s="193"/>
      <c r="T3178" s="192"/>
      <c r="U3178" s="829"/>
      <c r="V3178" s="10"/>
      <c r="W3178" s="10"/>
      <c r="X3178" s="10"/>
      <c r="Y3178" s="10"/>
      <c r="Z3178" s="10"/>
      <c r="AA3178" s="11"/>
      <c r="AB3178" s="11"/>
    </row>
    <row r="3179" spans="2:28" x14ac:dyDescent="0.3">
      <c r="B3179" s="10"/>
      <c r="C3179" s="315"/>
      <c r="D3179" s="868"/>
      <c r="E3179" s="837" t="str">
        <f>IFERROR(IF(_xlfn.XLOOKUP(Imput[[#This Row],[RFC]],'Alta Proveedor'!D:D,'Alta Proveedor'!E:E)=0,"",_xlfn.XLOOKUP(Imput[[#This Row],[RFC]],'Alta Proveedor'!D:D,'Alta Proveedor'!E:E)),"")</f>
        <v/>
      </c>
      <c r="F3179" s="832"/>
      <c r="G3179" s="187"/>
      <c r="H3179" s="1"/>
      <c r="I3179" s="169">
        <f>Imput[[#This Row],[Cantidad]]*Imput[[#This Row],[Precio Unitario]]</f>
        <v>0</v>
      </c>
      <c r="J3179" s="11">
        <f>((Imput[[#This Row],[Sub total]])*(0.16))</f>
        <v>0</v>
      </c>
      <c r="K3179" s="11">
        <v>0</v>
      </c>
      <c r="L3179" s="169">
        <f>Imput[[#This Row],[Sub total]]+Imput[[#This Row],[IVA]]-Imput[[#This Row],[Retención / IEPS / Descuento]]</f>
        <v>0</v>
      </c>
      <c r="M3179" s="844">
        <v>0</v>
      </c>
      <c r="N3179" s="189"/>
      <c r="O3179" s="1"/>
      <c r="P3179" s="189"/>
      <c r="Q3179" s="190"/>
      <c r="R3179" s="188"/>
      <c r="S3179" s="193"/>
      <c r="T3179" s="192"/>
      <c r="U3179" s="829"/>
      <c r="V3179" s="10"/>
      <c r="W3179" s="10"/>
      <c r="X3179" s="10"/>
      <c r="Y3179" s="10"/>
      <c r="Z3179" s="10"/>
      <c r="AA3179" s="11"/>
      <c r="AB3179" s="11"/>
    </row>
    <row r="3180" spans="2:28" x14ac:dyDescent="0.3">
      <c r="B3180" s="10"/>
      <c r="C3180" s="315"/>
      <c r="D3180" s="868"/>
      <c r="E3180" s="837" t="str">
        <f>IFERROR(IF(_xlfn.XLOOKUP(Imput[[#This Row],[RFC]],'Alta Proveedor'!D:D,'Alta Proveedor'!E:E)=0,"",_xlfn.XLOOKUP(Imput[[#This Row],[RFC]],'Alta Proveedor'!D:D,'Alta Proveedor'!E:E)),"")</f>
        <v/>
      </c>
      <c r="F3180" s="832"/>
      <c r="G3180" s="187"/>
      <c r="H3180" s="1"/>
      <c r="I3180" s="169">
        <f>Imput[[#This Row],[Cantidad]]*Imput[[#This Row],[Precio Unitario]]</f>
        <v>0</v>
      </c>
      <c r="J3180" s="11">
        <f>((Imput[[#This Row],[Sub total]])*(0.16))</f>
        <v>0</v>
      </c>
      <c r="K3180" s="11">
        <v>0</v>
      </c>
      <c r="L3180" s="169">
        <f>Imput[[#This Row],[Sub total]]+Imput[[#This Row],[IVA]]-Imput[[#This Row],[Retención / IEPS / Descuento]]</f>
        <v>0</v>
      </c>
      <c r="M3180" s="844">
        <v>0</v>
      </c>
      <c r="N3180" s="189"/>
      <c r="O3180" s="1"/>
      <c r="P3180" s="189"/>
      <c r="Q3180" s="190"/>
      <c r="R3180" s="188"/>
      <c r="S3180" s="193"/>
      <c r="T3180" s="192"/>
      <c r="U3180" s="829"/>
      <c r="V3180" s="10"/>
      <c r="W3180" s="10"/>
      <c r="X3180" s="10"/>
      <c r="Y3180" s="10"/>
      <c r="Z3180" s="10"/>
      <c r="AA3180" s="11"/>
      <c r="AB3180" s="11"/>
    </row>
    <row r="3181" spans="2:28" x14ac:dyDescent="0.3">
      <c r="B3181" s="10"/>
      <c r="C3181" s="315"/>
      <c r="D3181" s="868"/>
      <c r="E3181" s="837" t="str">
        <f>IFERROR(IF(_xlfn.XLOOKUP(Imput[[#This Row],[RFC]],'Alta Proveedor'!D:D,'Alta Proveedor'!E:E)=0,"",_xlfn.XLOOKUP(Imput[[#This Row],[RFC]],'Alta Proveedor'!D:D,'Alta Proveedor'!E:E)),"")</f>
        <v/>
      </c>
      <c r="F3181" s="832"/>
      <c r="G3181" s="187"/>
      <c r="H3181" s="1"/>
      <c r="I3181" s="169">
        <f>Imput[[#This Row],[Cantidad]]*Imput[[#This Row],[Precio Unitario]]</f>
        <v>0</v>
      </c>
      <c r="J3181" s="11">
        <f>((Imput[[#This Row],[Sub total]])*(0.16))</f>
        <v>0</v>
      </c>
      <c r="K3181" s="11">
        <v>0</v>
      </c>
      <c r="L3181" s="169">
        <f>Imput[[#This Row],[Sub total]]+Imput[[#This Row],[IVA]]-Imput[[#This Row],[Retención / IEPS / Descuento]]</f>
        <v>0</v>
      </c>
      <c r="M3181" s="844">
        <v>0</v>
      </c>
      <c r="N3181" s="189"/>
      <c r="O3181" s="1"/>
      <c r="P3181" s="189"/>
      <c r="Q3181" s="190"/>
      <c r="R3181" s="188"/>
      <c r="S3181" s="193"/>
      <c r="T3181" s="192"/>
      <c r="U3181" s="829"/>
      <c r="V3181" s="10"/>
      <c r="W3181" s="10"/>
      <c r="X3181" s="10"/>
      <c r="Y3181" s="10"/>
      <c r="Z3181" s="10"/>
      <c r="AA3181" s="11"/>
      <c r="AB3181" s="11"/>
    </row>
    <row r="3182" spans="2:28" x14ac:dyDescent="0.3">
      <c r="B3182" s="10"/>
      <c r="C3182" s="315"/>
      <c r="D3182" s="868"/>
      <c r="E3182" s="837" t="str">
        <f>IFERROR(IF(_xlfn.XLOOKUP(Imput[[#This Row],[RFC]],'Alta Proveedor'!D:D,'Alta Proveedor'!E:E)=0,"",_xlfn.XLOOKUP(Imput[[#This Row],[RFC]],'Alta Proveedor'!D:D,'Alta Proveedor'!E:E)),"")</f>
        <v/>
      </c>
      <c r="F3182" s="832"/>
      <c r="G3182" s="187"/>
      <c r="H3182" s="1"/>
      <c r="I3182" s="169">
        <f>Imput[[#This Row],[Cantidad]]*Imput[[#This Row],[Precio Unitario]]</f>
        <v>0</v>
      </c>
      <c r="J3182" s="11">
        <f>((Imput[[#This Row],[Sub total]])*(0.16))</f>
        <v>0</v>
      </c>
      <c r="K3182" s="11">
        <v>0</v>
      </c>
      <c r="L3182" s="169">
        <f>Imput[[#This Row],[Sub total]]+Imput[[#This Row],[IVA]]-Imput[[#This Row],[Retención / IEPS / Descuento]]</f>
        <v>0</v>
      </c>
      <c r="M3182" s="844">
        <v>0</v>
      </c>
      <c r="N3182" s="189"/>
      <c r="O3182" s="1"/>
      <c r="P3182" s="189"/>
      <c r="Q3182" s="190"/>
      <c r="R3182" s="188"/>
      <c r="S3182" s="193"/>
      <c r="T3182" s="192"/>
      <c r="U3182" s="829"/>
      <c r="V3182" s="10"/>
      <c r="W3182" s="10"/>
      <c r="X3182" s="10"/>
      <c r="Y3182" s="10"/>
      <c r="Z3182" s="10"/>
      <c r="AA3182" s="11"/>
      <c r="AB3182" s="11"/>
    </row>
    <row r="3183" spans="2:28" x14ac:dyDescent="0.3">
      <c r="B3183" s="10"/>
      <c r="C3183" s="315"/>
      <c r="D3183" s="868"/>
      <c r="E3183" s="837" t="str">
        <f>IFERROR(IF(_xlfn.XLOOKUP(Imput[[#This Row],[RFC]],'Alta Proveedor'!D:D,'Alta Proveedor'!E:E)=0,"",_xlfn.XLOOKUP(Imput[[#This Row],[RFC]],'Alta Proveedor'!D:D,'Alta Proveedor'!E:E)),"")</f>
        <v/>
      </c>
      <c r="F3183" s="832"/>
      <c r="G3183" s="187"/>
      <c r="H3183" s="1"/>
      <c r="I3183" s="169">
        <f>Imput[[#This Row],[Cantidad]]*Imput[[#This Row],[Precio Unitario]]</f>
        <v>0</v>
      </c>
      <c r="J3183" s="11">
        <f>((Imput[[#This Row],[Sub total]])*(0.16))</f>
        <v>0</v>
      </c>
      <c r="K3183" s="11">
        <v>0</v>
      </c>
      <c r="L3183" s="169">
        <f>Imput[[#This Row],[Sub total]]+Imput[[#This Row],[IVA]]-Imput[[#This Row],[Retención / IEPS / Descuento]]</f>
        <v>0</v>
      </c>
      <c r="M3183" s="844">
        <v>0</v>
      </c>
      <c r="N3183" s="189"/>
      <c r="O3183" s="1"/>
      <c r="P3183" s="189"/>
      <c r="Q3183" s="190"/>
      <c r="R3183" s="188"/>
      <c r="S3183" s="193"/>
      <c r="T3183" s="192"/>
      <c r="U3183" s="829"/>
      <c r="V3183" s="10"/>
      <c r="W3183" s="10"/>
      <c r="X3183" s="10"/>
      <c r="Y3183" s="10"/>
      <c r="Z3183" s="10"/>
      <c r="AA3183" s="11"/>
      <c r="AB3183" s="11"/>
    </row>
    <row r="3184" spans="2:28" x14ac:dyDescent="0.3">
      <c r="B3184" s="10"/>
      <c r="C3184" s="315"/>
      <c r="D3184" s="868"/>
      <c r="E3184" s="837" t="str">
        <f>IFERROR(IF(_xlfn.XLOOKUP(Imput[[#This Row],[RFC]],'Alta Proveedor'!D:D,'Alta Proveedor'!E:E)=0,"",_xlfn.XLOOKUP(Imput[[#This Row],[RFC]],'Alta Proveedor'!D:D,'Alta Proveedor'!E:E)),"")</f>
        <v/>
      </c>
      <c r="F3184" s="832"/>
      <c r="G3184" s="187"/>
      <c r="H3184" s="1"/>
      <c r="I3184" s="169">
        <f>Imput[[#This Row],[Cantidad]]*Imput[[#This Row],[Precio Unitario]]</f>
        <v>0</v>
      </c>
      <c r="J3184" s="11">
        <f>((Imput[[#This Row],[Sub total]])*(0.16))</f>
        <v>0</v>
      </c>
      <c r="K3184" s="11">
        <v>0</v>
      </c>
      <c r="L3184" s="169">
        <f>Imput[[#This Row],[Sub total]]+Imput[[#This Row],[IVA]]-Imput[[#This Row],[Retención / IEPS / Descuento]]</f>
        <v>0</v>
      </c>
      <c r="M3184" s="844">
        <v>0</v>
      </c>
      <c r="N3184" s="189"/>
      <c r="O3184" s="1"/>
      <c r="P3184" s="189"/>
      <c r="Q3184" s="190"/>
      <c r="R3184" s="188"/>
      <c r="S3184" s="193"/>
      <c r="T3184" s="192"/>
      <c r="U3184" s="829"/>
      <c r="V3184" s="10"/>
      <c r="W3184" s="10"/>
      <c r="X3184" s="10"/>
      <c r="Y3184" s="10"/>
      <c r="Z3184" s="10"/>
      <c r="AA3184" s="11"/>
      <c r="AB3184" s="11"/>
    </row>
    <row r="3185" spans="2:28" x14ac:dyDescent="0.3">
      <c r="B3185" s="10"/>
      <c r="C3185" s="315"/>
      <c r="D3185" s="868"/>
      <c r="E3185" s="837" t="str">
        <f>IFERROR(IF(_xlfn.XLOOKUP(Imput[[#This Row],[RFC]],'Alta Proveedor'!D:D,'Alta Proveedor'!E:E)=0,"",_xlfn.XLOOKUP(Imput[[#This Row],[RFC]],'Alta Proveedor'!D:D,'Alta Proveedor'!E:E)),"")</f>
        <v/>
      </c>
      <c r="F3185" s="832"/>
      <c r="G3185" s="187"/>
      <c r="H3185" s="1"/>
      <c r="I3185" s="169">
        <f>Imput[[#This Row],[Cantidad]]*Imput[[#This Row],[Precio Unitario]]</f>
        <v>0</v>
      </c>
      <c r="J3185" s="11">
        <f>((Imput[[#This Row],[Sub total]])*(0.16))</f>
        <v>0</v>
      </c>
      <c r="K3185" s="11">
        <v>0</v>
      </c>
      <c r="L3185" s="169">
        <f>Imput[[#This Row],[Sub total]]+Imput[[#This Row],[IVA]]-Imput[[#This Row],[Retención / IEPS / Descuento]]</f>
        <v>0</v>
      </c>
      <c r="M3185" s="844">
        <v>0</v>
      </c>
      <c r="N3185" s="189"/>
      <c r="O3185" s="1"/>
      <c r="P3185" s="189"/>
      <c r="Q3185" s="190"/>
      <c r="R3185" s="188"/>
      <c r="S3185" s="193"/>
      <c r="T3185" s="192"/>
      <c r="U3185" s="829"/>
      <c r="V3185" s="10"/>
      <c r="W3185" s="10"/>
      <c r="X3185" s="10"/>
      <c r="Y3185" s="10"/>
      <c r="Z3185" s="10"/>
      <c r="AA3185" s="11"/>
      <c r="AB3185" s="11"/>
    </row>
    <row r="3186" spans="2:28" x14ac:dyDescent="0.3">
      <c r="B3186" s="10"/>
      <c r="C3186" s="315"/>
      <c r="D3186" s="868"/>
      <c r="E3186" s="837" t="str">
        <f>IFERROR(IF(_xlfn.XLOOKUP(Imput[[#This Row],[RFC]],'Alta Proveedor'!D:D,'Alta Proveedor'!E:E)=0,"",_xlfn.XLOOKUP(Imput[[#This Row],[RFC]],'Alta Proveedor'!D:D,'Alta Proveedor'!E:E)),"")</f>
        <v/>
      </c>
      <c r="F3186" s="832"/>
      <c r="G3186" s="187"/>
      <c r="H3186" s="1"/>
      <c r="I3186" s="169">
        <f>Imput[[#This Row],[Cantidad]]*Imput[[#This Row],[Precio Unitario]]</f>
        <v>0</v>
      </c>
      <c r="J3186" s="11">
        <f>((Imput[[#This Row],[Sub total]])*(0.16))</f>
        <v>0</v>
      </c>
      <c r="K3186" s="11">
        <v>0</v>
      </c>
      <c r="L3186" s="169">
        <f>Imput[[#This Row],[Sub total]]+Imput[[#This Row],[IVA]]-Imput[[#This Row],[Retención / IEPS / Descuento]]</f>
        <v>0</v>
      </c>
      <c r="M3186" s="844">
        <v>0</v>
      </c>
      <c r="N3186" s="189"/>
      <c r="O3186" s="1"/>
      <c r="P3186" s="189"/>
      <c r="Q3186" s="190"/>
      <c r="R3186" s="188"/>
      <c r="S3186" s="193"/>
      <c r="T3186" s="192"/>
      <c r="U3186" s="829"/>
      <c r="V3186" s="10"/>
      <c r="W3186" s="10"/>
      <c r="X3186" s="10"/>
      <c r="Y3186" s="10"/>
      <c r="Z3186" s="10"/>
      <c r="AA3186" s="11"/>
      <c r="AB3186" s="11"/>
    </row>
    <row r="3187" spans="2:28" x14ac:dyDescent="0.3">
      <c r="B3187" s="10"/>
      <c r="C3187" s="315"/>
      <c r="D3187" s="868"/>
      <c r="E3187" s="837" t="str">
        <f>IFERROR(IF(_xlfn.XLOOKUP(Imput[[#This Row],[RFC]],'Alta Proveedor'!D:D,'Alta Proveedor'!E:E)=0,"",_xlfn.XLOOKUP(Imput[[#This Row],[RFC]],'Alta Proveedor'!D:D,'Alta Proveedor'!E:E)),"")</f>
        <v/>
      </c>
      <c r="F3187" s="832"/>
      <c r="G3187" s="187"/>
      <c r="H3187" s="1"/>
      <c r="I3187" s="169">
        <f>Imput[[#This Row],[Cantidad]]*Imput[[#This Row],[Precio Unitario]]</f>
        <v>0</v>
      </c>
      <c r="J3187" s="11">
        <f>((Imput[[#This Row],[Sub total]])*(0.16))</f>
        <v>0</v>
      </c>
      <c r="K3187" s="11">
        <v>0</v>
      </c>
      <c r="L3187" s="169">
        <f>Imput[[#This Row],[Sub total]]+Imput[[#This Row],[IVA]]-Imput[[#This Row],[Retención / IEPS / Descuento]]</f>
        <v>0</v>
      </c>
      <c r="M3187" s="844">
        <v>0</v>
      </c>
      <c r="N3187" s="189"/>
      <c r="O3187" s="1"/>
      <c r="P3187" s="189"/>
      <c r="Q3187" s="190"/>
      <c r="R3187" s="188"/>
      <c r="S3187" s="193"/>
      <c r="T3187" s="192"/>
      <c r="U3187" s="829"/>
      <c r="V3187" s="10"/>
      <c r="W3187" s="10"/>
      <c r="X3187" s="10"/>
      <c r="Y3187" s="10"/>
      <c r="Z3187" s="10"/>
      <c r="AA3187" s="11"/>
      <c r="AB3187" s="11"/>
    </row>
    <row r="3188" spans="2:28" x14ac:dyDescent="0.3">
      <c r="B3188" s="10"/>
      <c r="C3188" s="315"/>
      <c r="D3188" s="868"/>
      <c r="E3188" s="837" t="str">
        <f>IFERROR(IF(_xlfn.XLOOKUP(Imput[[#This Row],[RFC]],'Alta Proveedor'!D:D,'Alta Proveedor'!E:E)=0,"",_xlfn.XLOOKUP(Imput[[#This Row],[RFC]],'Alta Proveedor'!D:D,'Alta Proveedor'!E:E)),"")</f>
        <v/>
      </c>
      <c r="F3188" s="832"/>
      <c r="G3188" s="187"/>
      <c r="H3188" s="1"/>
      <c r="I3188" s="169">
        <f>Imput[[#This Row],[Cantidad]]*Imput[[#This Row],[Precio Unitario]]</f>
        <v>0</v>
      </c>
      <c r="J3188" s="11">
        <f>((Imput[[#This Row],[Sub total]])*(0.16))</f>
        <v>0</v>
      </c>
      <c r="K3188" s="11">
        <v>0</v>
      </c>
      <c r="L3188" s="169">
        <f>Imput[[#This Row],[Sub total]]+Imput[[#This Row],[IVA]]-Imput[[#This Row],[Retención / IEPS / Descuento]]</f>
        <v>0</v>
      </c>
      <c r="M3188" s="844">
        <v>0</v>
      </c>
      <c r="N3188" s="189"/>
      <c r="O3188" s="1"/>
      <c r="P3188" s="189"/>
      <c r="Q3188" s="190"/>
      <c r="R3188" s="188"/>
      <c r="S3188" s="193"/>
      <c r="T3188" s="192"/>
      <c r="U3188" s="829"/>
      <c r="V3188" s="10"/>
      <c r="W3188" s="10"/>
      <c r="X3188" s="10"/>
      <c r="Y3188" s="10"/>
      <c r="Z3188" s="10"/>
      <c r="AA3188" s="11"/>
      <c r="AB3188" s="11"/>
    </row>
    <row r="3189" spans="2:28" x14ac:dyDescent="0.3">
      <c r="B3189" s="10"/>
      <c r="C3189" s="315"/>
      <c r="D3189" s="868"/>
      <c r="E3189" s="837" t="str">
        <f>IFERROR(IF(_xlfn.XLOOKUP(Imput[[#This Row],[RFC]],'Alta Proveedor'!D:D,'Alta Proveedor'!E:E)=0,"",_xlfn.XLOOKUP(Imput[[#This Row],[RFC]],'Alta Proveedor'!D:D,'Alta Proveedor'!E:E)),"")</f>
        <v/>
      </c>
      <c r="F3189" s="832"/>
      <c r="G3189" s="187"/>
      <c r="H3189" s="1"/>
      <c r="I3189" s="169">
        <f>Imput[[#This Row],[Cantidad]]*Imput[[#This Row],[Precio Unitario]]</f>
        <v>0</v>
      </c>
      <c r="J3189" s="11">
        <f>((Imput[[#This Row],[Sub total]])*(0.16))</f>
        <v>0</v>
      </c>
      <c r="K3189" s="11">
        <v>0</v>
      </c>
      <c r="L3189" s="169">
        <f>Imput[[#This Row],[Sub total]]+Imput[[#This Row],[IVA]]-Imput[[#This Row],[Retención / IEPS / Descuento]]</f>
        <v>0</v>
      </c>
      <c r="M3189" s="844">
        <v>0</v>
      </c>
      <c r="N3189" s="189"/>
      <c r="O3189" s="1"/>
      <c r="P3189" s="189"/>
      <c r="Q3189" s="190"/>
      <c r="R3189" s="188"/>
      <c r="S3189" s="193"/>
      <c r="T3189" s="192"/>
      <c r="U3189" s="829"/>
      <c r="V3189" s="10"/>
      <c r="W3189" s="10"/>
      <c r="X3189" s="10"/>
      <c r="Y3189" s="10"/>
      <c r="Z3189" s="10"/>
      <c r="AA3189" s="11"/>
      <c r="AB3189" s="11"/>
    </row>
    <row r="3190" spans="2:28" x14ac:dyDescent="0.3">
      <c r="B3190" s="10"/>
      <c r="C3190" s="315"/>
      <c r="D3190" s="868"/>
      <c r="E3190" s="837" t="str">
        <f>IFERROR(IF(_xlfn.XLOOKUP(Imput[[#This Row],[RFC]],'Alta Proveedor'!D:D,'Alta Proveedor'!E:E)=0,"",_xlfn.XLOOKUP(Imput[[#This Row],[RFC]],'Alta Proveedor'!D:D,'Alta Proveedor'!E:E)),"")</f>
        <v/>
      </c>
      <c r="F3190" s="832"/>
      <c r="G3190" s="187"/>
      <c r="H3190" s="1"/>
      <c r="I3190" s="169">
        <f>Imput[[#This Row],[Cantidad]]*Imput[[#This Row],[Precio Unitario]]</f>
        <v>0</v>
      </c>
      <c r="J3190" s="11">
        <f>((Imput[[#This Row],[Sub total]])*(0.16))</f>
        <v>0</v>
      </c>
      <c r="K3190" s="11">
        <v>0</v>
      </c>
      <c r="L3190" s="169">
        <f>Imput[[#This Row],[Sub total]]+Imput[[#This Row],[IVA]]-Imput[[#This Row],[Retención / IEPS / Descuento]]</f>
        <v>0</v>
      </c>
      <c r="M3190" s="844">
        <v>0</v>
      </c>
      <c r="N3190" s="189"/>
      <c r="O3190" s="1"/>
      <c r="P3190" s="189"/>
      <c r="Q3190" s="190"/>
      <c r="R3190" s="188"/>
      <c r="S3190" s="193"/>
      <c r="T3190" s="192"/>
      <c r="U3190" s="829"/>
      <c r="V3190" s="10"/>
      <c r="W3190" s="10"/>
      <c r="X3190" s="10"/>
      <c r="Y3190" s="10"/>
      <c r="Z3190" s="10"/>
      <c r="AA3190" s="11"/>
      <c r="AB3190" s="11"/>
    </row>
    <row r="3191" spans="2:28" x14ac:dyDescent="0.3">
      <c r="B3191" s="10"/>
      <c r="C3191" s="315"/>
      <c r="D3191" s="868"/>
      <c r="E3191" s="837" t="str">
        <f>IFERROR(IF(_xlfn.XLOOKUP(Imput[[#This Row],[RFC]],'Alta Proveedor'!D:D,'Alta Proveedor'!E:E)=0,"",_xlfn.XLOOKUP(Imput[[#This Row],[RFC]],'Alta Proveedor'!D:D,'Alta Proveedor'!E:E)),"")</f>
        <v/>
      </c>
      <c r="F3191" s="832"/>
      <c r="G3191" s="187"/>
      <c r="H3191" s="1"/>
      <c r="I3191" s="169">
        <f>Imput[[#This Row],[Cantidad]]*Imput[[#This Row],[Precio Unitario]]</f>
        <v>0</v>
      </c>
      <c r="J3191" s="11">
        <f>((Imput[[#This Row],[Sub total]])*(0.16))</f>
        <v>0</v>
      </c>
      <c r="K3191" s="11">
        <v>0</v>
      </c>
      <c r="L3191" s="169">
        <f>Imput[[#This Row],[Sub total]]+Imput[[#This Row],[IVA]]-Imput[[#This Row],[Retención / IEPS / Descuento]]</f>
        <v>0</v>
      </c>
      <c r="M3191" s="844">
        <v>0</v>
      </c>
      <c r="N3191" s="189"/>
      <c r="O3191" s="1"/>
      <c r="P3191" s="189"/>
      <c r="Q3191" s="190"/>
      <c r="R3191" s="188"/>
      <c r="S3191" s="193"/>
      <c r="T3191" s="192"/>
      <c r="U3191" s="829"/>
      <c r="V3191" s="10"/>
      <c r="W3191" s="10"/>
      <c r="X3191" s="10"/>
      <c r="Y3191" s="10"/>
      <c r="Z3191" s="10"/>
      <c r="AA3191" s="11"/>
      <c r="AB3191" s="11"/>
    </row>
    <row r="3192" spans="2:28" x14ac:dyDescent="0.3">
      <c r="B3192" s="10"/>
      <c r="C3192" s="315"/>
      <c r="D3192" s="868"/>
      <c r="E3192" s="837" t="str">
        <f>IFERROR(IF(_xlfn.XLOOKUP(Imput[[#This Row],[RFC]],'Alta Proveedor'!D:D,'Alta Proveedor'!E:E)=0,"",_xlfn.XLOOKUP(Imput[[#This Row],[RFC]],'Alta Proveedor'!D:D,'Alta Proveedor'!E:E)),"")</f>
        <v/>
      </c>
      <c r="F3192" s="832"/>
      <c r="G3192" s="187"/>
      <c r="H3192" s="1"/>
      <c r="I3192" s="169">
        <f>Imput[[#This Row],[Cantidad]]*Imput[[#This Row],[Precio Unitario]]</f>
        <v>0</v>
      </c>
      <c r="J3192" s="11">
        <f>((Imput[[#This Row],[Sub total]])*(0.16))</f>
        <v>0</v>
      </c>
      <c r="K3192" s="11">
        <v>0</v>
      </c>
      <c r="L3192" s="169">
        <f>Imput[[#This Row],[Sub total]]+Imput[[#This Row],[IVA]]-Imput[[#This Row],[Retención / IEPS / Descuento]]</f>
        <v>0</v>
      </c>
      <c r="M3192" s="844">
        <v>0</v>
      </c>
      <c r="N3192" s="189"/>
      <c r="O3192" s="1"/>
      <c r="P3192" s="189"/>
      <c r="Q3192" s="190"/>
      <c r="R3192" s="188"/>
      <c r="S3192" s="193"/>
      <c r="T3192" s="192"/>
      <c r="U3192" s="829"/>
      <c r="V3192" s="10"/>
      <c r="W3192" s="10"/>
      <c r="X3192" s="10"/>
      <c r="Y3192" s="10"/>
      <c r="Z3192" s="10"/>
      <c r="AA3192" s="11"/>
      <c r="AB3192" s="11"/>
    </row>
    <row r="3193" spans="2:28" x14ac:dyDescent="0.3">
      <c r="B3193" s="10"/>
      <c r="C3193" s="315"/>
      <c r="D3193" s="868"/>
      <c r="E3193" s="837" t="str">
        <f>IFERROR(IF(_xlfn.XLOOKUP(Imput[[#This Row],[RFC]],'Alta Proveedor'!D:D,'Alta Proveedor'!E:E)=0,"",_xlfn.XLOOKUP(Imput[[#This Row],[RFC]],'Alta Proveedor'!D:D,'Alta Proveedor'!E:E)),"")</f>
        <v/>
      </c>
      <c r="F3193" s="832"/>
      <c r="G3193" s="187"/>
      <c r="H3193" s="1"/>
      <c r="I3193" s="169">
        <f>Imput[[#This Row],[Cantidad]]*Imput[[#This Row],[Precio Unitario]]</f>
        <v>0</v>
      </c>
      <c r="J3193" s="11">
        <f>((Imput[[#This Row],[Sub total]])*(0.16))</f>
        <v>0</v>
      </c>
      <c r="K3193" s="11">
        <v>0</v>
      </c>
      <c r="L3193" s="169">
        <f>Imput[[#This Row],[Sub total]]+Imput[[#This Row],[IVA]]-Imput[[#This Row],[Retención / IEPS / Descuento]]</f>
        <v>0</v>
      </c>
      <c r="M3193" s="844">
        <v>0</v>
      </c>
      <c r="N3193" s="189"/>
      <c r="O3193" s="1"/>
      <c r="P3193" s="189"/>
      <c r="Q3193" s="190"/>
      <c r="R3193" s="188"/>
      <c r="S3193" s="193"/>
      <c r="T3193" s="192"/>
      <c r="U3193" s="829"/>
      <c r="V3193" s="10"/>
      <c r="W3193" s="10"/>
      <c r="X3193" s="10"/>
      <c r="Y3193" s="10"/>
      <c r="Z3193" s="10"/>
      <c r="AA3193" s="11"/>
      <c r="AB3193" s="11"/>
    </row>
    <row r="3194" spans="2:28" x14ac:dyDescent="0.3">
      <c r="B3194" s="10"/>
      <c r="C3194" s="315"/>
      <c r="D3194" s="868"/>
      <c r="E3194" s="837" t="str">
        <f>IFERROR(IF(_xlfn.XLOOKUP(Imput[[#This Row],[RFC]],'Alta Proveedor'!D:D,'Alta Proveedor'!E:E)=0,"",_xlfn.XLOOKUP(Imput[[#This Row],[RFC]],'Alta Proveedor'!D:D,'Alta Proveedor'!E:E)),"")</f>
        <v/>
      </c>
      <c r="F3194" s="832"/>
      <c r="G3194" s="187"/>
      <c r="H3194" s="1"/>
      <c r="I3194" s="169">
        <f>Imput[[#This Row],[Cantidad]]*Imput[[#This Row],[Precio Unitario]]</f>
        <v>0</v>
      </c>
      <c r="J3194" s="11">
        <f>((Imput[[#This Row],[Sub total]])*(0.16))</f>
        <v>0</v>
      </c>
      <c r="K3194" s="11">
        <v>0</v>
      </c>
      <c r="L3194" s="169">
        <f>Imput[[#This Row],[Sub total]]+Imput[[#This Row],[IVA]]-Imput[[#This Row],[Retención / IEPS / Descuento]]</f>
        <v>0</v>
      </c>
      <c r="M3194" s="844">
        <v>0</v>
      </c>
      <c r="N3194" s="189"/>
      <c r="O3194" s="1"/>
      <c r="P3194" s="189"/>
      <c r="Q3194" s="190"/>
      <c r="R3194" s="188"/>
      <c r="S3194" s="193"/>
      <c r="T3194" s="192"/>
      <c r="U3194" s="829"/>
      <c r="V3194" s="10"/>
      <c r="W3194" s="10"/>
      <c r="X3194" s="10"/>
      <c r="Y3194" s="10"/>
      <c r="Z3194" s="10"/>
      <c r="AA3194" s="11"/>
      <c r="AB3194" s="11"/>
    </row>
    <row r="3195" spans="2:28" x14ac:dyDescent="0.3">
      <c r="B3195" s="10"/>
      <c r="C3195" s="315"/>
      <c r="D3195" s="868"/>
      <c r="E3195" s="837" t="str">
        <f>IFERROR(IF(_xlfn.XLOOKUP(Imput[[#This Row],[RFC]],'Alta Proveedor'!D:D,'Alta Proveedor'!E:E)=0,"",_xlfn.XLOOKUP(Imput[[#This Row],[RFC]],'Alta Proveedor'!D:D,'Alta Proveedor'!E:E)),"")</f>
        <v/>
      </c>
      <c r="F3195" s="832"/>
      <c r="G3195" s="187"/>
      <c r="H3195" s="1"/>
      <c r="I3195" s="169">
        <f>Imput[[#This Row],[Cantidad]]*Imput[[#This Row],[Precio Unitario]]</f>
        <v>0</v>
      </c>
      <c r="J3195" s="11">
        <f>((Imput[[#This Row],[Sub total]])*(0.16))</f>
        <v>0</v>
      </c>
      <c r="K3195" s="11">
        <v>0</v>
      </c>
      <c r="L3195" s="169">
        <f>Imput[[#This Row],[Sub total]]+Imput[[#This Row],[IVA]]-Imput[[#This Row],[Retención / IEPS / Descuento]]</f>
        <v>0</v>
      </c>
      <c r="M3195" s="844">
        <v>0</v>
      </c>
      <c r="N3195" s="189"/>
      <c r="O3195" s="1"/>
      <c r="P3195" s="189"/>
      <c r="Q3195" s="190"/>
      <c r="R3195" s="188"/>
      <c r="S3195" s="193"/>
      <c r="T3195" s="192"/>
      <c r="U3195" s="829"/>
      <c r="V3195" s="10"/>
      <c r="W3195" s="10"/>
      <c r="X3195" s="10"/>
      <c r="Y3195" s="10"/>
      <c r="Z3195" s="10"/>
      <c r="AA3195" s="11"/>
      <c r="AB3195" s="11"/>
    </row>
    <row r="3196" spans="2:28" x14ac:dyDescent="0.3">
      <c r="B3196" s="10"/>
      <c r="C3196" s="315"/>
      <c r="D3196" s="868"/>
      <c r="E3196" s="837" t="str">
        <f>IFERROR(IF(_xlfn.XLOOKUP(Imput[[#This Row],[RFC]],'Alta Proveedor'!D:D,'Alta Proveedor'!E:E)=0,"",_xlfn.XLOOKUP(Imput[[#This Row],[RFC]],'Alta Proveedor'!D:D,'Alta Proveedor'!E:E)),"")</f>
        <v/>
      </c>
      <c r="F3196" s="832"/>
      <c r="G3196" s="187"/>
      <c r="H3196" s="1"/>
      <c r="I3196" s="169">
        <f>Imput[[#This Row],[Cantidad]]*Imput[[#This Row],[Precio Unitario]]</f>
        <v>0</v>
      </c>
      <c r="J3196" s="11">
        <f>((Imput[[#This Row],[Sub total]])*(0.16))</f>
        <v>0</v>
      </c>
      <c r="K3196" s="11">
        <v>0</v>
      </c>
      <c r="L3196" s="169">
        <f>Imput[[#This Row],[Sub total]]+Imput[[#This Row],[IVA]]-Imput[[#This Row],[Retención / IEPS / Descuento]]</f>
        <v>0</v>
      </c>
      <c r="M3196" s="844">
        <v>0</v>
      </c>
      <c r="N3196" s="189"/>
      <c r="O3196" s="1"/>
      <c r="P3196" s="189"/>
      <c r="Q3196" s="190"/>
      <c r="R3196" s="188"/>
      <c r="S3196" s="193"/>
      <c r="T3196" s="192"/>
      <c r="U3196" s="829"/>
      <c r="V3196" s="10"/>
      <c r="W3196" s="10"/>
      <c r="X3196" s="10"/>
      <c r="Y3196" s="10"/>
      <c r="Z3196" s="10"/>
      <c r="AA3196" s="11"/>
      <c r="AB3196" s="11"/>
    </row>
    <row r="3197" spans="2:28" x14ac:dyDescent="0.3">
      <c r="B3197" s="10"/>
      <c r="C3197" s="315"/>
      <c r="D3197" s="868"/>
      <c r="E3197" s="837" t="str">
        <f>IFERROR(IF(_xlfn.XLOOKUP(Imput[[#This Row],[RFC]],'Alta Proveedor'!D:D,'Alta Proveedor'!E:E)=0,"",_xlfn.XLOOKUP(Imput[[#This Row],[RFC]],'Alta Proveedor'!D:D,'Alta Proveedor'!E:E)),"")</f>
        <v/>
      </c>
      <c r="F3197" s="832"/>
      <c r="G3197" s="187"/>
      <c r="H3197" s="1"/>
      <c r="I3197" s="169">
        <f>Imput[[#This Row],[Cantidad]]*Imput[[#This Row],[Precio Unitario]]</f>
        <v>0</v>
      </c>
      <c r="J3197" s="11">
        <f>((Imput[[#This Row],[Sub total]])*(0.16))</f>
        <v>0</v>
      </c>
      <c r="K3197" s="11">
        <v>0</v>
      </c>
      <c r="L3197" s="169">
        <f>Imput[[#This Row],[Sub total]]+Imput[[#This Row],[IVA]]-Imput[[#This Row],[Retención / IEPS / Descuento]]</f>
        <v>0</v>
      </c>
      <c r="M3197" s="844">
        <v>0</v>
      </c>
      <c r="N3197" s="189"/>
      <c r="O3197" s="1"/>
      <c r="P3197" s="189"/>
      <c r="Q3197" s="190"/>
      <c r="R3197" s="188"/>
      <c r="S3197" s="193"/>
      <c r="T3197" s="192"/>
      <c r="U3197" s="829"/>
      <c r="V3197" s="10"/>
      <c r="W3197" s="10"/>
      <c r="X3197" s="10"/>
      <c r="Y3197" s="10"/>
      <c r="Z3197" s="10"/>
      <c r="AA3197" s="11"/>
      <c r="AB3197" s="11"/>
    </row>
    <row r="3198" spans="2:28" x14ac:dyDescent="0.3">
      <c r="B3198" s="10"/>
      <c r="C3198" s="315"/>
      <c r="D3198" s="868"/>
      <c r="E3198" s="837" t="str">
        <f>IFERROR(IF(_xlfn.XLOOKUP(Imput[[#This Row],[RFC]],'Alta Proveedor'!D:D,'Alta Proveedor'!E:E)=0,"",_xlfn.XLOOKUP(Imput[[#This Row],[RFC]],'Alta Proveedor'!D:D,'Alta Proveedor'!E:E)),"")</f>
        <v/>
      </c>
      <c r="F3198" s="832"/>
      <c r="G3198" s="187"/>
      <c r="H3198" s="1"/>
      <c r="I3198" s="169">
        <f>Imput[[#This Row],[Cantidad]]*Imput[[#This Row],[Precio Unitario]]</f>
        <v>0</v>
      </c>
      <c r="J3198" s="11">
        <f>((Imput[[#This Row],[Sub total]])*(0.16))</f>
        <v>0</v>
      </c>
      <c r="K3198" s="11">
        <v>0</v>
      </c>
      <c r="L3198" s="169">
        <f>Imput[[#This Row],[Sub total]]+Imput[[#This Row],[IVA]]-Imput[[#This Row],[Retención / IEPS / Descuento]]</f>
        <v>0</v>
      </c>
      <c r="M3198" s="844">
        <v>0</v>
      </c>
      <c r="N3198" s="189"/>
      <c r="O3198" s="1"/>
      <c r="P3198" s="189"/>
      <c r="Q3198" s="190"/>
      <c r="R3198" s="188"/>
      <c r="S3198" s="193"/>
      <c r="T3198" s="192"/>
      <c r="U3198" s="829"/>
      <c r="V3198" s="10"/>
      <c r="W3198" s="10"/>
      <c r="X3198" s="10"/>
      <c r="Y3198" s="10"/>
      <c r="Z3198" s="10"/>
      <c r="AA3198" s="11"/>
      <c r="AB3198" s="11"/>
    </row>
    <row r="3199" spans="2:28" x14ac:dyDescent="0.3">
      <c r="B3199" s="10"/>
      <c r="C3199" s="315"/>
      <c r="D3199" s="868"/>
      <c r="E3199" s="837" t="str">
        <f>IFERROR(IF(_xlfn.XLOOKUP(Imput[[#This Row],[RFC]],'Alta Proveedor'!D:D,'Alta Proveedor'!E:E)=0,"",_xlfn.XLOOKUP(Imput[[#This Row],[RFC]],'Alta Proveedor'!D:D,'Alta Proveedor'!E:E)),"")</f>
        <v/>
      </c>
      <c r="F3199" s="832"/>
      <c r="G3199" s="187"/>
      <c r="H3199" s="1"/>
      <c r="I3199" s="169">
        <f>Imput[[#This Row],[Cantidad]]*Imput[[#This Row],[Precio Unitario]]</f>
        <v>0</v>
      </c>
      <c r="J3199" s="11">
        <f>((Imput[[#This Row],[Sub total]])*(0.16))</f>
        <v>0</v>
      </c>
      <c r="K3199" s="11">
        <v>0</v>
      </c>
      <c r="L3199" s="169">
        <f>Imput[[#This Row],[Sub total]]+Imput[[#This Row],[IVA]]-Imput[[#This Row],[Retención / IEPS / Descuento]]</f>
        <v>0</v>
      </c>
      <c r="M3199" s="844">
        <v>0</v>
      </c>
      <c r="N3199" s="189"/>
      <c r="O3199" s="1"/>
      <c r="P3199" s="189"/>
      <c r="Q3199" s="190"/>
      <c r="R3199" s="188"/>
      <c r="S3199" s="193"/>
      <c r="T3199" s="192"/>
      <c r="U3199" s="829"/>
      <c r="V3199" s="10"/>
      <c r="W3199" s="10"/>
      <c r="X3199" s="10"/>
      <c r="Y3199" s="10"/>
      <c r="Z3199" s="10"/>
      <c r="AA3199" s="11"/>
      <c r="AB3199" s="11"/>
    </row>
    <row r="3200" spans="2:28" x14ac:dyDescent="0.3">
      <c r="B3200" s="10"/>
      <c r="C3200" s="315"/>
      <c r="D3200" s="868"/>
      <c r="E3200" s="837" t="str">
        <f>IFERROR(IF(_xlfn.XLOOKUP(Imput[[#This Row],[RFC]],'Alta Proveedor'!D:D,'Alta Proveedor'!E:E)=0,"",_xlfn.XLOOKUP(Imput[[#This Row],[RFC]],'Alta Proveedor'!D:D,'Alta Proveedor'!E:E)),"")</f>
        <v/>
      </c>
      <c r="F3200" s="832"/>
      <c r="G3200" s="187"/>
      <c r="H3200" s="1"/>
      <c r="I3200" s="169">
        <f>Imput[[#This Row],[Cantidad]]*Imput[[#This Row],[Precio Unitario]]</f>
        <v>0</v>
      </c>
      <c r="J3200" s="11">
        <f>((Imput[[#This Row],[Sub total]])*(0.16))</f>
        <v>0</v>
      </c>
      <c r="K3200" s="11">
        <v>0</v>
      </c>
      <c r="L3200" s="169">
        <f>Imput[[#This Row],[Sub total]]+Imput[[#This Row],[IVA]]-Imput[[#This Row],[Retención / IEPS / Descuento]]</f>
        <v>0</v>
      </c>
      <c r="M3200" s="844">
        <v>0</v>
      </c>
      <c r="N3200" s="189"/>
      <c r="O3200" s="1"/>
      <c r="P3200" s="189"/>
      <c r="Q3200" s="190"/>
      <c r="R3200" s="188"/>
      <c r="S3200" s="193"/>
      <c r="T3200" s="192"/>
      <c r="U3200" s="829"/>
      <c r="V3200" s="10"/>
      <c r="W3200" s="10"/>
      <c r="X3200" s="10"/>
      <c r="Y3200" s="10"/>
      <c r="Z3200" s="10"/>
      <c r="AA3200" s="11"/>
      <c r="AB3200" s="11"/>
    </row>
    <row r="3201" spans="2:28" x14ac:dyDescent="0.3">
      <c r="B3201" s="10"/>
      <c r="C3201" s="315"/>
      <c r="D3201" s="868"/>
      <c r="E3201" s="837" t="str">
        <f>IFERROR(IF(_xlfn.XLOOKUP(Imput[[#This Row],[RFC]],'Alta Proveedor'!D:D,'Alta Proveedor'!E:E)=0,"",_xlfn.XLOOKUP(Imput[[#This Row],[RFC]],'Alta Proveedor'!D:D,'Alta Proveedor'!E:E)),"")</f>
        <v/>
      </c>
      <c r="F3201" s="832"/>
      <c r="G3201" s="187"/>
      <c r="H3201" s="1"/>
      <c r="I3201" s="169">
        <f>Imput[[#This Row],[Cantidad]]*Imput[[#This Row],[Precio Unitario]]</f>
        <v>0</v>
      </c>
      <c r="J3201" s="11">
        <f>((Imput[[#This Row],[Sub total]])*(0.16))</f>
        <v>0</v>
      </c>
      <c r="K3201" s="11">
        <v>0</v>
      </c>
      <c r="L3201" s="169">
        <f>Imput[[#This Row],[Sub total]]+Imput[[#This Row],[IVA]]-Imput[[#This Row],[Retención / IEPS / Descuento]]</f>
        <v>0</v>
      </c>
      <c r="M3201" s="844">
        <v>0</v>
      </c>
      <c r="N3201" s="189"/>
      <c r="O3201" s="1"/>
      <c r="P3201" s="189"/>
      <c r="Q3201" s="190"/>
      <c r="R3201" s="188"/>
      <c r="S3201" s="193"/>
      <c r="T3201" s="192"/>
      <c r="U3201" s="829"/>
      <c r="V3201" s="10"/>
      <c r="W3201" s="10"/>
      <c r="X3201" s="10"/>
      <c r="Y3201" s="10"/>
      <c r="Z3201" s="10"/>
      <c r="AA3201" s="11"/>
      <c r="AB3201" s="11"/>
    </row>
    <row r="3202" spans="2:28" x14ac:dyDescent="0.3">
      <c r="B3202" s="10"/>
      <c r="C3202" s="315"/>
      <c r="D3202" s="868"/>
      <c r="E3202" s="837" t="str">
        <f>IFERROR(IF(_xlfn.XLOOKUP(Imput[[#This Row],[RFC]],'Alta Proveedor'!D:D,'Alta Proveedor'!E:E)=0,"",_xlfn.XLOOKUP(Imput[[#This Row],[RFC]],'Alta Proveedor'!D:D,'Alta Proveedor'!E:E)),"")</f>
        <v/>
      </c>
      <c r="F3202" s="832"/>
      <c r="G3202" s="187"/>
      <c r="H3202" s="1"/>
      <c r="I3202" s="169">
        <f>Imput[[#This Row],[Cantidad]]*Imput[[#This Row],[Precio Unitario]]</f>
        <v>0</v>
      </c>
      <c r="J3202" s="11">
        <f>((Imput[[#This Row],[Sub total]])*(0.16))</f>
        <v>0</v>
      </c>
      <c r="K3202" s="11">
        <v>0</v>
      </c>
      <c r="L3202" s="169">
        <f>Imput[[#This Row],[Sub total]]+Imput[[#This Row],[IVA]]-Imput[[#This Row],[Retención / IEPS / Descuento]]</f>
        <v>0</v>
      </c>
      <c r="M3202" s="844">
        <v>0</v>
      </c>
      <c r="N3202" s="189"/>
      <c r="O3202" s="1"/>
      <c r="P3202" s="189"/>
      <c r="Q3202" s="190"/>
      <c r="R3202" s="188"/>
      <c r="S3202" s="193"/>
      <c r="T3202" s="192"/>
      <c r="U3202" s="829"/>
      <c r="V3202" s="10"/>
      <c r="W3202" s="10"/>
      <c r="X3202" s="10"/>
      <c r="Y3202" s="10"/>
      <c r="Z3202" s="10"/>
      <c r="AA3202" s="11"/>
      <c r="AB3202" s="11"/>
    </row>
    <row r="3203" spans="2:28" x14ac:dyDescent="0.3">
      <c r="B3203" s="10"/>
      <c r="C3203" s="315"/>
      <c r="D3203" s="868"/>
      <c r="E3203" s="837" t="str">
        <f>IFERROR(IF(_xlfn.XLOOKUP(Imput[[#This Row],[RFC]],'Alta Proveedor'!D:D,'Alta Proveedor'!E:E)=0,"",_xlfn.XLOOKUP(Imput[[#This Row],[RFC]],'Alta Proveedor'!D:D,'Alta Proveedor'!E:E)),"")</f>
        <v/>
      </c>
      <c r="F3203" s="832"/>
      <c r="G3203" s="187"/>
      <c r="H3203" s="1"/>
      <c r="I3203" s="169">
        <f>Imput[[#This Row],[Cantidad]]*Imput[[#This Row],[Precio Unitario]]</f>
        <v>0</v>
      </c>
      <c r="J3203" s="11">
        <f>((Imput[[#This Row],[Sub total]])*(0.16))</f>
        <v>0</v>
      </c>
      <c r="K3203" s="11">
        <v>0</v>
      </c>
      <c r="L3203" s="169">
        <f>Imput[[#This Row],[Sub total]]+Imput[[#This Row],[IVA]]-Imput[[#This Row],[Retención / IEPS / Descuento]]</f>
        <v>0</v>
      </c>
      <c r="M3203" s="844">
        <v>0</v>
      </c>
      <c r="N3203" s="189"/>
      <c r="O3203" s="1"/>
      <c r="P3203" s="189"/>
      <c r="Q3203" s="190"/>
      <c r="R3203" s="188"/>
      <c r="S3203" s="193"/>
      <c r="T3203" s="192"/>
      <c r="U3203" s="829"/>
      <c r="V3203" s="10"/>
      <c r="W3203" s="10"/>
      <c r="X3203" s="10"/>
      <c r="Y3203" s="10"/>
      <c r="Z3203" s="10"/>
      <c r="AA3203" s="11"/>
      <c r="AB3203" s="11"/>
    </row>
    <row r="3204" spans="2:28" x14ac:dyDescent="0.3">
      <c r="B3204" s="10"/>
      <c r="C3204" s="315"/>
      <c r="D3204" s="868"/>
      <c r="E3204" s="837" t="str">
        <f>IFERROR(IF(_xlfn.XLOOKUP(Imput[[#This Row],[RFC]],'Alta Proveedor'!D:D,'Alta Proveedor'!E:E)=0,"",_xlfn.XLOOKUP(Imput[[#This Row],[RFC]],'Alta Proveedor'!D:D,'Alta Proveedor'!E:E)),"")</f>
        <v/>
      </c>
      <c r="F3204" s="832"/>
      <c r="G3204" s="187"/>
      <c r="H3204" s="1"/>
      <c r="I3204" s="169">
        <f>Imput[[#This Row],[Cantidad]]*Imput[[#This Row],[Precio Unitario]]</f>
        <v>0</v>
      </c>
      <c r="J3204" s="11">
        <f>((Imput[[#This Row],[Sub total]])*(0.16))</f>
        <v>0</v>
      </c>
      <c r="K3204" s="11">
        <v>0</v>
      </c>
      <c r="L3204" s="169">
        <f>Imput[[#This Row],[Sub total]]+Imput[[#This Row],[IVA]]-Imput[[#This Row],[Retención / IEPS / Descuento]]</f>
        <v>0</v>
      </c>
      <c r="M3204" s="844">
        <v>0</v>
      </c>
      <c r="N3204" s="189"/>
      <c r="O3204" s="1"/>
      <c r="P3204" s="189"/>
      <c r="Q3204" s="190"/>
      <c r="R3204" s="188"/>
      <c r="S3204" s="193"/>
      <c r="T3204" s="192"/>
      <c r="U3204" s="829"/>
      <c r="V3204" s="10"/>
      <c r="W3204" s="10"/>
      <c r="X3204" s="10"/>
      <c r="Y3204" s="10"/>
      <c r="Z3204" s="10"/>
      <c r="AA3204" s="11"/>
      <c r="AB3204" s="11"/>
    </row>
    <row r="3205" spans="2:28" x14ac:dyDescent="0.3">
      <c r="B3205" s="10"/>
      <c r="C3205" s="315"/>
      <c r="D3205" s="868"/>
      <c r="E3205" s="837" t="str">
        <f>IFERROR(IF(_xlfn.XLOOKUP(Imput[[#This Row],[RFC]],'Alta Proveedor'!D:D,'Alta Proveedor'!E:E)=0,"",_xlfn.XLOOKUP(Imput[[#This Row],[RFC]],'Alta Proveedor'!D:D,'Alta Proveedor'!E:E)),"")</f>
        <v/>
      </c>
      <c r="F3205" s="832"/>
      <c r="G3205" s="187"/>
      <c r="H3205" s="1"/>
      <c r="I3205" s="169">
        <f>Imput[[#This Row],[Cantidad]]*Imput[[#This Row],[Precio Unitario]]</f>
        <v>0</v>
      </c>
      <c r="J3205" s="11">
        <f>((Imput[[#This Row],[Sub total]])*(0.16))</f>
        <v>0</v>
      </c>
      <c r="K3205" s="11">
        <v>0</v>
      </c>
      <c r="L3205" s="169">
        <f>Imput[[#This Row],[Sub total]]+Imput[[#This Row],[IVA]]-Imput[[#This Row],[Retención / IEPS / Descuento]]</f>
        <v>0</v>
      </c>
      <c r="M3205" s="844">
        <v>0</v>
      </c>
      <c r="N3205" s="189"/>
      <c r="O3205" s="1"/>
      <c r="P3205" s="189"/>
      <c r="Q3205" s="190"/>
      <c r="R3205" s="188"/>
      <c r="S3205" s="193"/>
      <c r="T3205" s="192"/>
      <c r="U3205" s="829"/>
      <c r="V3205" s="10"/>
      <c r="W3205" s="10"/>
      <c r="X3205" s="10"/>
      <c r="Y3205" s="10"/>
      <c r="Z3205" s="10"/>
      <c r="AA3205" s="11"/>
      <c r="AB3205" s="11"/>
    </row>
    <row r="3206" spans="2:28" x14ac:dyDescent="0.3">
      <c r="B3206" s="10"/>
      <c r="C3206" s="315"/>
      <c r="D3206" s="868"/>
      <c r="E3206" s="837" t="str">
        <f>IFERROR(IF(_xlfn.XLOOKUP(Imput[[#This Row],[RFC]],'Alta Proveedor'!D:D,'Alta Proveedor'!E:E)=0,"",_xlfn.XLOOKUP(Imput[[#This Row],[RFC]],'Alta Proveedor'!D:D,'Alta Proveedor'!E:E)),"")</f>
        <v/>
      </c>
      <c r="F3206" s="832"/>
      <c r="G3206" s="187"/>
      <c r="H3206" s="1"/>
      <c r="I3206" s="169">
        <f>Imput[[#This Row],[Cantidad]]*Imput[[#This Row],[Precio Unitario]]</f>
        <v>0</v>
      </c>
      <c r="J3206" s="11">
        <f>((Imput[[#This Row],[Sub total]])*(0.16))</f>
        <v>0</v>
      </c>
      <c r="K3206" s="11">
        <v>0</v>
      </c>
      <c r="L3206" s="169">
        <f>Imput[[#This Row],[Sub total]]+Imput[[#This Row],[IVA]]-Imput[[#This Row],[Retención / IEPS / Descuento]]</f>
        <v>0</v>
      </c>
      <c r="M3206" s="844">
        <v>0</v>
      </c>
      <c r="N3206" s="189"/>
      <c r="O3206" s="1"/>
      <c r="P3206" s="189"/>
      <c r="Q3206" s="190"/>
      <c r="R3206" s="188"/>
      <c r="S3206" s="193"/>
      <c r="T3206" s="192"/>
      <c r="U3206" s="829"/>
      <c r="V3206" s="10"/>
      <c r="W3206" s="10"/>
      <c r="X3206" s="10"/>
      <c r="Y3206" s="10"/>
      <c r="Z3206" s="10"/>
      <c r="AA3206" s="11"/>
      <c r="AB3206" s="11"/>
    </row>
    <row r="3207" spans="2:28" x14ac:dyDescent="0.3">
      <c r="B3207" s="10"/>
      <c r="C3207" s="315"/>
      <c r="D3207" s="868"/>
      <c r="E3207" s="837" t="str">
        <f>IFERROR(IF(_xlfn.XLOOKUP(Imput[[#This Row],[RFC]],'Alta Proveedor'!D:D,'Alta Proveedor'!E:E)=0,"",_xlfn.XLOOKUP(Imput[[#This Row],[RFC]],'Alta Proveedor'!D:D,'Alta Proveedor'!E:E)),"")</f>
        <v/>
      </c>
      <c r="F3207" s="832"/>
      <c r="G3207" s="187"/>
      <c r="H3207" s="1"/>
      <c r="I3207" s="169">
        <f>Imput[[#This Row],[Cantidad]]*Imput[[#This Row],[Precio Unitario]]</f>
        <v>0</v>
      </c>
      <c r="J3207" s="11">
        <f>((Imput[[#This Row],[Sub total]])*(0.16))</f>
        <v>0</v>
      </c>
      <c r="K3207" s="11">
        <v>0</v>
      </c>
      <c r="L3207" s="169">
        <f>Imput[[#This Row],[Sub total]]+Imput[[#This Row],[IVA]]-Imput[[#This Row],[Retención / IEPS / Descuento]]</f>
        <v>0</v>
      </c>
      <c r="M3207" s="844">
        <v>0</v>
      </c>
      <c r="N3207" s="189"/>
      <c r="O3207" s="1"/>
      <c r="P3207" s="189"/>
      <c r="Q3207" s="190"/>
      <c r="R3207" s="188"/>
      <c r="S3207" s="193"/>
      <c r="T3207" s="192"/>
      <c r="U3207" s="829"/>
      <c r="V3207" s="10"/>
      <c r="W3207" s="10"/>
      <c r="X3207" s="10"/>
      <c r="Y3207" s="10"/>
      <c r="Z3207" s="10"/>
      <c r="AA3207" s="11"/>
      <c r="AB3207" s="11"/>
    </row>
    <row r="3208" spans="2:28" x14ac:dyDescent="0.3">
      <c r="B3208" s="10"/>
      <c r="C3208" s="315"/>
      <c r="D3208" s="868"/>
      <c r="E3208" s="837" t="str">
        <f>IFERROR(IF(_xlfn.XLOOKUP(Imput[[#This Row],[RFC]],'Alta Proveedor'!D:D,'Alta Proveedor'!E:E)=0,"",_xlfn.XLOOKUP(Imput[[#This Row],[RFC]],'Alta Proveedor'!D:D,'Alta Proveedor'!E:E)),"")</f>
        <v/>
      </c>
      <c r="F3208" s="832"/>
      <c r="G3208" s="187"/>
      <c r="H3208" s="1"/>
      <c r="I3208" s="169">
        <f>Imput[[#This Row],[Cantidad]]*Imput[[#This Row],[Precio Unitario]]</f>
        <v>0</v>
      </c>
      <c r="J3208" s="11">
        <f>((Imput[[#This Row],[Sub total]])*(0.16))</f>
        <v>0</v>
      </c>
      <c r="K3208" s="11">
        <v>0</v>
      </c>
      <c r="L3208" s="169">
        <f>Imput[[#This Row],[Sub total]]+Imput[[#This Row],[IVA]]-Imput[[#This Row],[Retención / IEPS / Descuento]]</f>
        <v>0</v>
      </c>
      <c r="M3208" s="844">
        <v>0</v>
      </c>
      <c r="N3208" s="189"/>
      <c r="O3208" s="1"/>
      <c r="P3208" s="189"/>
      <c r="Q3208" s="190"/>
      <c r="R3208" s="188"/>
      <c r="S3208" s="193"/>
      <c r="T3208" s="192"/>
      <c r="U3208" s="829"/>
      <c r="V3208" s="10"/>
      <c r="W3208" s="10"/>
      <c r="X3208" s="10"/>
      <c r="Y3208" s="10"/>
      <c r="Z3208" s="10"/>
      <c r="AA3208" s="11"/>
      <c r="AB3208" s="11"/>
    </row>
    <row r="3209" spans="2:28" x14ac:dyDescent="0.3">
      <c r="B3209" s="10"/>
      <c r="C3209" s="315"/>
      <c r="D3209" s="868"/>
      <c r="E3209" s="837" t="str">
        <f>IFERROR(IF(_xlfn.XLOOKUP(Imput[[#This Row],[RFC]],'Alta Proveedor'!D:D,'Alta Proveedor'!E:E)=0,"",_xlfn.XLOOKUP(Imput[[#This Row],[RFC]],'Alta Proveedor'!D:D,'Alta Proveedor'!E:E)),"")</f>
        <v/>
      </c>
      <c r="F3209" s="832"/>
      <c r="G3209" s="187"/>
      <c r="H3209" s="1"/>
      <c r="I3209" s="169">
        <f>Imput[[#This Row],[Cantidad]]*Imput[[#This Row],[Precio Unitario]]</f>
        <v>0</v>
      </c>
      <c r="J3209" s="11">
        <f>((Imput[[#This Row],[Sub total]])*(0.16))</f>
        <v>0</v>
      </c>
      <c r="K3209" s="11">
        <v>0</v>
      </c>
      <c r="L3209" s="169">
        <f>Imput[[#This Row],[Sub total]]+Imput[[#This Row],[IVA]]-Imput[[#This Row],[Retención / IEPS / Descuento]]</f>
        <v>0</v>
      </c>
      <c r="M3209" s="844">
        <v>0</v>
      </c>
      <c r="N3209" s="189"/>
      <c r="O3209" s="1"/>
      <c r="P3209" s="189"/>
      <c r="Q3209" s="190"/>
      <c r="R3209" s="188"/>
      <c r="S3209" s="193"/>
      <c r="T3209" s="192"/>
      <c r="U3209" s="829"/>
      <c r="V3209" s="10"/>
      <c r="W3209" s="10"/>
      <c r="X3209" s="10"/>
      <c r="Y3209" s="10"/>
      <c r="Z3209" s="10"/>
      <c r="AA3209" s="11"/>
      <c r="AB3209" s="11"/>
    </row>
    <row r="3210" spans="2:28" x14ac:dyDescent="0.3">
      <c r="B3210" s="10"/>
      <c r="C3210" s="315"/>
      <c r="D3210" s="868"/>
      <c r="E3210" s="837" t="str">
        <f>IFERROR(IF(_xlfn.XLOOKUP(Imput[[#This Row],[RFC]],'Alta Proveedor'!D:D,'Alta Proveedor'!E:E)=0,"",_xlfn.XLOOKUP(Imput[[#This Row],[RFC]],'Alta Proveedor'!D:D,'Alta Proveedor'!E:E)),"")</f>
        <v/>
      </c>
      <c r="F3210" s="832"/>
      <c r="G3210" s="187"/>
      <c r="H3210" s="1"/>
      <c r="I3210" s="169">
        <f>Imput[[#This Row],[Cantidad]]*Imput[[#This Row],[Precio Unitario]]</f>
        <v>0</v>
      </c>
      <c r="J3210" s="11">
        <f>((Imput[[#This Row],[Sub total]])*(0.16))</f>
        <v>0</v>
      </c>
      <c r="K3210" s="11">
        <v>0</v>
      </c>
      <c r="L3210" s="169">
        <f>Imput[[#This Row],[Sub total]]+Imput[[#This Row],[IVA]]-Imput[[#This Row],[Retención / IEPS / Descuento]]</f>
        <v>0</v>
      </c>
      <c r="M3210" s="844">
        <v>0</v>
      </c>
      <c r="N3210" s="189"/>
      <c r="O3210" s="1"/>
      <c r="P3210" s="189"/>
      <c r="Q3210" s="190"/>
      <c r="R3210" s="188"/>
      <c r="S3210" s="193"/>
      <c r="T3210" s="192"/>
      <c r="U3210" s="829"/>
      <c r="V3210" s="10"/>
      <c r="W3210" s="10"/>
      <c r="X3210" s="10"/>
      <c r="Y3210" s="10"/>
      <c r="Z3210" s="10"/>
      <c r="AA3210" s="11"/>
      <c r="AB3210" s="11"/>
    </row>
    <row r="3211" spans="2:28" x14ac:dyDescent="0.3">
      <c r="B3211" s="10"/>
      <c r="C3211" s="315"/>
      <c r="D3211" s="868"/>
      <c r="E3211" s="837" t="str">
        <f>IFERROR(IF(_xlfn.XLOOKUP(Imput[[#This Row],[RFC]],'Alta Proveedor'!D:D,'Alta Proveedor'!E:E)=0,"",_xlfn.XLOOKUP(Imput[[#This Row],[RFC]],'Alta Proveedor'!D:D,'Alta Proveedor'!E:E)),"")</f>
        <v/>
      </c>
      <c r="F3211" s="832"/>
      <c r="G3211" s="187"/>
      <c r="H3211" s="1"/>
      <c r="I3211" s="169">
        <f>Imput[[#This Row],[Cantidad]]*Imput[[#This Row],[Precio Unitario]]</f>
        <v>0</v>
      </c>
      <c r="J3211" s="11">
        <f>((Imput[[#This Row],[Sub total]])*(0.16))</f>
        <v>0</v>
      </c>
      <c r="K3211" s="11">
        <v>0</v>
      </c>
      <c r="L3211" s="169">
        <f>Imput[[#This Row],[Sub total]]+Imput[[#This Row],[IVA]]-Imput[[#This Row],[Retención / IEPS / Descuento]]</f>
        <v>0</v>
      </c>
      <c r="M3211" s="844">
        <v>0</v>
      </c>
      <c r="N3211" s="189"/>
      <c r="O3211" s="1"/>
      <c r="P3211" s="189"/>
      <c r="Q3211" s="190"/>
      <c r="R3211" s="188"/>
      <c r="S3211" s="193"/>
      <c r="T3211" s="192"/>
      <c r="U3211" s="829"/>
      <c r="V3211" s="10"/>
      <c r="W3211" s="10"/>
      <c r="X3211" s="10"/>
      <c r="Y3211" s="10"/>
      <c r="Z3211" s="10"/>
      <c r="AA3211" s="11"/>
      <c r="AB3211" s="11"/>
    </row>
    <row r="3212" spans="2:28" x14ac:dyDescent="0.3">
      <c r="B3212" s="10"/>
      <c r="C3212" s="315"/>
      <c r="D3212" s="868"/>
      <c r="E3212" s="837" t="str">
        <f>IFERROR(IF(_xlfn.XLOOKUP(Imput[[#This Row],[RFC]],'Alta Proveedor'!D:D,'Alta Proveedor'!E:E)=0,"",_xlfn.XLOOKUP(Imput[[#This Row],[RFC]],'Alta Proveedor'!D:D,'Alta Proveedor'!E:E)),"")</f>
        <v/>
      </c>
      <c r="F3212" s="832"/>
      <c r="G3212" s="187"/>
      <c r="H3212" s="1"/>
      <c r="I3212" s="169">
        <f>Imput[[#This Row],[Cantidad]]*Imput[[#This Row],[Precio Unitario]]</f>
        <v>0</v>
      </c>
      <c r="J3212" s="11">
        <f>((Imput[[#This Row],[Sub total]])*(0.16))</f>
        <v>0</v>
      </c>
      <c r="K3212" s="11">
        <v>0</v>
      </c>
      <c r="L3212" s="169">
        <f>Imput[[#This Row],[Sub total]]+Imput[[#This Row],[IVA]]-Imput[[#This Row],[Retención / IEPS / Descuento]]</f>
        <v>0</v>
      </c>
      <c r="M3212" s="844">
        <v>0</v>
      </c>
      <c r="N3212" s="189"/>
      <c r="O3212" s="1"/>
      <c r="P3212" s="189"/>
      <c r="Q3212" s="190"/>
      <c r="R3212" s="188"/>
      <c r="S3212" s="193"/>
      <c r="T3212" s="192"/>
      <c r="U3212" s="829"/>
      <c r="V3212" s="10"/>
      <c r="W3212" s="10"/>
      <c r="X3212" s="10"/>
      <c r="Y3212" s="10"/>
      <c r="Z3212" s="10"/>
      <c r="AA3212" s="11"/>
      <c r="AB3212" s="11"/>
    </row>
    <row r="3213" spans="2:28" x14ac:dyDescent="0.3">
      <c r="B3213" s="10"/>
      <c r="C3213" s="315"/>
      <c r="D3213" s="868"/>
      <c r="E3213" s="837" t="str">
        <f>IFERROR(IF(_xlfn.XLOOKUP(Imput[[#This Row],[RFC]],'Alta Proveedor'!D:D,'Alta Proveedor'!E:E)=0,"",_xlfn.XLOOKUP(Imput[[#This Row],[RFC]],'Alta Proveedor'!D:D,'Alta Proveedor'!E:E)),"")</f>
        <v/>
      </c>
      <c r="F3213" s="832"/>
      <c r="G3213" s="187"/>
      <c r="H3213" s="1"/>
      <c r="I3213" s="169">
        <f>Imput[[#This Row],[Cantidad]]*Imput[[#This Row],[Precio Unitario]]</f>
        <v>0</v>
      </c>
      <c r="J3213" s="11">
        <f>((Imput[[#This Row],[Sub total]])*(0.16))</f>
        <v>0</v>
      </c>
      <c r="K3213" s="11">
        <v>0</v>
      </c>
      <c r="L3213" s="169">
        <f>Imput[[#This Row],[Sub total]]+Imput[[#This Row],[IVA]]-Imput[[#This Row],[Retención / IEPS / Descuento]]</f>
        <v>0</v>
      </c>
      <c r="M3213" s="844">
        <v>0</v>
      </c>
      <c r="N3213" s="189"/>
      <c r="O3213" s="1"/>
      <c r="P3213" s="189"/>
      <c r="Q3213" s="190"/>
      <c r="R3213" s="188"/>
      <c r="S3213" s="193"/>
      <c r="T3213" s="192"/>
      <c r="U3213" s="829"/>
      <c r="V3213" s="10"/>
      <c r="W3213" s="10"/>
      <c r="X3213" s="10"/>
      <c r="Y3213" s="10"/>
      <c r="Z3213" s="10"/>
      <c r="AA3213" s="11"/>
      <c r="AB3213" s="11"/>
    </row>
    <row r="3214" spans="2:28" x14ac:dyDescent="0.3">
      <c r="B3214" s="10"/>
      <c r="C3214" s="315"/>
      <c r="D3214" s="868"/>
      <c r="E3214" s="837" t="str">
        <f>IFERROR(IF(_xlfn.XLOOKUP(Imput[[#This Row],[RFC]],'Alta Proveedor'!D:D,'Alta Proveedor'!E:E)=0,"",_xlfn.XLOOKUP(Imput[[#This Row],[RFC]],'Alta Proveedor'!D:D,'Alta Proveedor'!E:E)),"")</f>
        <v/>
      </c>
      <c r="F3214" s="832"/>
      <c r="G3214" s="187"/>
      <c r="H3214" s="1"/>
      <c r="I3214" s="169">
        <f>Imput[[#This Row],[Cantidad]]*Imput[[#This Row],[Precio Unitario]]</f>
        <v>0</v>
      </c>
      <c r="J3214" s="11">
        <f>((Imput[[#This Row],[Sub total]])*(0.16))</f>
        <v>0</v>
      </c>
      <c r="K3214" s="11">
        <v>0</v>
      </c>
      <c r="L3214" s="169">
        <f>Imput[[#This Row],[Sub total]]+Imput[[#This Row],[IVA]]-Imput[[#This Row],[Retención / IEPS / Descuento]]</f>
        <v>0</v>
      </c>
      <c r="M3214" s="844">
        <v>0</v>
      </c>
      <c r="N3214" s="189"/>
      <c r="O3214" s="1"/>
      <c r="P3214" s="189"/>
      <c r="Q3214" s="190"/>
      <c r="R3214" s="188"/>
      <c r="S3214" s="193"/>
      <c r="T3214" s="192"/>
      <c r="U3214" s="829"/>
      <c r="V3214" s="10"/>
      <c r="W3214" s="10"/>
      <c r="X3214" s="10"/>
      <c r="Y3214" s="10"/>
      <c r="Z3214" s="10"/>
      <c r="AA3214" s="11"/>
      <c r="AB3214" s="11"/>
    </row>
    <row r="3215" spans="2:28" x14ac:dyDescent="0.3">
      <c r="B3215" s="10"/>
      <c r="C3215" s="315"/>
      <c r="D3215" s="868"/>
      <c r="E3215" s="837" t="str">
        <f>IFERROR(IF(_xlfn.XLOOKUP(Imput[[#This Row],[RFC]],'Alta Proveedor'!D:D,'Alta Proveedor'!E:E)=0,"",_xlfn.XLOOKUP(Imput[[#This Row],[RFC]],'Alta Proveedor'!D:D,'Alta Proveedor'!E:E)),"")</f>
        <v/>
      </c>
      <c r="F3215" s="832"/>
      <c r="G3215" s="187"/>
      <c r="H3215" s="1"/>
      <c r="I3215" s="169">
        <f>Imput[[#This Row],[Cantidad]]*Imput[[#This Row],[Precio Unitario]]</f>
        <v>0</v>
      </c>
      <c r="J3215" s="11">
        <f>((Imput[[#This Row],[Sub total]])*(0.16))</f>
        <v>0</v>
      </c>
      <c r="K3215" s="11">
        <v>0</v>
      </c>
      <c r="L3215" s="169">
        <f>Imput[[#This Row],[Sub total]]+Imput[[#This Row],[IVA]]-Imput[[#This Row],[Retención / IEPS / Descuento]]</f>
        <v>0</v>
      </c>
      <c r="M3215" s="844">
        <v>0</v>
      </c>
      <c r="N3215" s="189"/>
      <c r="O3215" s="1"/>
      <c r="P3215" s="189"/>
      <c r="Q3215" s="190"/>
      <c r="R3215" s="188"/>
      <c r="S3215" s="193"/>
      <c r="T3215" s="192"/>
      <c r="U3215" s="829"/>
      <c r="V3215" s="10"/>
      <c r="W3215" s="10"/>
      <c r="X3215" s="10"/>
      <c r="Y3215" s="10"/>
      <c r="Z3215" s="10"/>
      <c r="AA3215" s="11"/>
      <c r="AB3215" s="11"/>
    </row>
    <row r="3216" spans="2:28" x14ac:dyDescent="0.3">
      <c r="B3216" s="10"/>
      <c r="C3216" s="315"/>
      <c r="D3216" s="868"/>
      <c r="E3216" s="837" t="str">
        <f>IFERROR(IF(_xlfn.XLOOKUP(Imput[[#This Row],[RFC]],'Alta Proveedor'!D:D,'Alta Proveedor'!E:E)=0,"",_xlfn.XLOOKUP(Imput[[#This Row],[RFC]],'Alta Proveedor'!D:D,'Alta Proveedor'!E:E)),"")</f>
        <v/>
      </c>
      <c r="F3216" s="832"/>
      <c r="G3216" s="187"/>
      <c r="H3216" s="1"/>
      <c r="I3216" s="169">
        <f>Imput[[#This Row],[Cantidad]]*Imput[[#This Row],[Precio Unitario]]</f>
        <v>0</v>
      </c>
      <c r="J3216" s="11">
        <f>((Imput[[#This Row],[Sub total]])*(0.16))</f>
        <v>0</v>
      </c>
      <c r="K3216" s="11">
        <v>0</v>
      </c>
      <c r="L3216" s="169">
        <f>Imput[[#This Row],[Sub total]]+Imput[[#This Row],[IVA]]-Imput[[#This Row],[Retención / IEPS / Descuento]]</f>
        <v>0</v>
      </c>
      <c r="M3216" s="844">
        <v>0</v>
      </c>
      <c r="N3216" s="189"/>
      <c r="O3216" s="1"/>
      <c r="P3216" s="189"/>
      <c r="Q3216" s="190"/>
      <c r="R3216" s="188"/>
      <c r="S3216" s="193"/>
      <c r="T3216" s="192"/>
      <c r="U3216" s="829"/>
      <c r="V3216" s="10"/>
      <c r="W3216" s="10"/>
      <c r="X3216" s="10"/>
      <c r="Y3216" s="10"/>
      <c r="Z3216" s="10"/>
      <c r="AA3216" s="11"/>
      <c r="AB3216" s="11"/>
    </row>
    <row r="3217" spans="2:28" x14ac:dyDescent="0.3">
      <c r="B3217" s="10"/>
      <c r="C3217" s="315"/>
      <c r="D3217" s="868"/>
      <c r="E3217" s="837" t="str">
        <f>IFERROR(IF(_xlfn.XLOOKUP(Imput[[#This Row],[RFC]],'Alta Proveedor'!D:D,'Alta Proveedor'!E:E)=0,"",_xlfn.XLOOKUP(Imput[[#This Row],[RFC]],'Alta Proveedor'!D:D,'Alta Proveedor'!E:E)),"")</f>
        <v/>
      </c>
      <c r="F3217" s="832"/>
      <c r="G3217" s="187"/>
      <c r="H3217" s="1"/>
      <c r="I3217" s="169">
        <f>Imput[[#This Row],[Cantidad]]*Imput[[#This Row],[Precio Unitario]]</f>
        <v>0</v>
      </c>
      <c r="J3217" s="11">
        <f>((Imput[[#This Row],[Sub total]])*(0.16))</f>
        <v>0</v>
      </c>
      <c r="K3217" s="11">
        <v>0</v>
      </c>
      <c r="L3217" s="169">
        <f>Imput[[#This Row],[Sub total]]+Imput[[#This Row],[IVA]]-Imput[[#This Row],[Retención / IEPS / Descuento]]</f>
        <v>0</v>
      </c>
      <c r="M3217" s="844">
        <v>0</v>
      </c>
      <c r="N3217" s="189"/>
      <c r="O3217" s="1"/>
      <c r="P3217" s="189"/>
      <c r="Q3217" s="190"/>
      <c r="R3217" s="188"/>
      <c r="S3217" s="193"/>
      <c r="T3217" s="192"/>
      <c r="U3217" s="829"/>
      <c r="V3217" s="10"/>
      <c r="W3217" s="10"/>
      <c r="X3217" s="10"/>
      <c r="Y3217" s="10"/>
      <c r="Z3217" s="10"/>
      <c r="AA3217" s="11"/>
      <c r="AB3217" s="11"/>
    </row>
    <row r="3218" spans="2:28" x14ac:dyDescent="0.3">
      <c r="B3218" s="10"/>
      <c r="C3218" s="315"/>
      <c r="D3218" s="868"/>
      <c r="E3218" s="837" t="str">
        <f>IFERROR(IF(_xlfn.XLOOKUP(Imput[[#This Row],[RFC]],'Alta Proveedor'!D:D,'Alta Proveedor'!E:E)=0,"",_xlfn.XLOOKUP(Imput[[#This Row],[RFC]],'Alta Proveedor'!D:D,'Alta Proveedor'!E:E)),"")</f>
        <v/>
      </c>
      <c r="F3218" s="832"/>
      <c r="G3218" s="187"/>
      <c r="H3218" s="1"/>
      <c r="I3218" s="169">
        <f>Imput[[#This Row],[Cantidad]]*Imput[[#This Row],[Precio Unitario]]</f>
        <v>0</v>
      </c>
      <c r="J3218" s="11">
        <f>((Imput[[#This Row],[Sub total]])*(0.16))</f>
        <v>0</v>
      </c>
      <c r="K3218" s="11">
        <v>0</v>
      </c>
      <c r="L3218" s="169">
        <f>Imput[[#This Row],[Sub total]]+Imput[[#This Row],[IVA]]-Imput[[#This Row],[Retención / IEPS / Descuento]]</f>
        <v>0</v>
      </c>
      <c r="M3218" s="844">
        <v>0</v>
      </c>
      <c r="N3218" s="189"/>
      <c r="O3218" s="1"/>
      <c r="P3218" s="189"/>
      <c r="Q3218" s="190"/>
      <c r="R3218" s="188"/>
      <c r="S3218" s="193"/>
      <c r="T3218" s="192"/>
      <c r="U3218" s="829"/>
      <c r="V3218" s="10"/>
      <c r="W3218" s="10"/>
      <c r="X3218" s="10"/>
      <c r="Y3218" s="10"/>
      <c r="Z3218" s="10"/>
      <c r="AA3218" s="11"/>
      <c r="AB3218" s="11"/>
    </row>
    <row r="3219" spans="2:28" x14ac:dyDescent="0.3">
      <c r="B3219" s="10"/>
      <c r="C3219" s="315"/>
      <c r="D3219" s="868"/>
      <c r="E3219" s="837" t="str">
        <f>IFERROR(IF(_xlfn.XLOOKUP(Imput[[#This Row],[RFC]],'Alta Proveedor'!D:D,'Alta Proveedor'!E:E)=0,"",_xlfn.XLOOKUP(Imput[[#This Row],[RFC]],'Alta Proveedor'!D:D,'Alta Proveedor'!E:E)),"")</f>
        <v/>
      </c>
      <c r="F3219" s="832"/>
      <c r="G3219" s="187"/>
      <c r="H3219" s="1"/>
      <c r="I3219" s="169">
        <f>Imput[[#This Row],[Cantidad]]*Imput[[#This Row],[Precio Unitario]]</f>
        <v>0</v>
      </c>
      <c r="J3219" s="11">
        <f>((Imput[[#This Row],[Sub total]])*(0.16))</f>
        <v>0</v>
      </c>
      <c r="K3219" s="11">
        <v>0</v>
      </c>
      <c r="L3219" s="169">
        <f>Imput[[#This Row],[Sub total]]+Imput[[#This Row],[IVA]]-Imput[[#This Row],[Retención / IEPS / Descuento]]</f>
        <v>0</v>
      </c>
      <c r="M3219" s="844">
        <v>0</v>
      </c>
      <c r="N3219" s="189"/>
      <c r="O3219" s="1"/>
      <c r="P3219" s="189"/>
      <c r="Q3219" s="190"/>
      <c r="R3219" s="188"/>
      <c r="S3219" s="193"/>
      <c r="T3219" s="192"/>
      <c r="U3219" s="829"/>
      <c r="V3219" s="10"/>
      <c r="W3219" s="10"/>
      <c r="X3219" s="10"/>
      <c r="Y3219" s="10"/>
      <c r="Z3219" s="10"/>
      <c r="AA3219" s="11"/>
      <c r="AB3219" s="11"/>
    </row>
    <row r="3220" spans="2:28" x14ac:dyDescent="0.3">
      <c r="B3220" s="10"/>
      <c r="C3220" s="315"/>
      <c r="D3220" s="868"/>
      <c r="E3220" s="837" t="str">
        <f>IFERROR(IF(_xlfn.XLOOKUP(Imput[[#This Row],[RFC]],'Alta Proveedor'!D:D,'Alta Proveedor'!E:E)=0,"",_xlfn.XLOOKUP(Imput[[#This Row],[RFC]],'Alta Proveedor'!D:D,'Alta Proveedor'!E:E)),"")</f>
        <v/>
      </c>
      <c r="F3220" s="832"/>
      <c r="G3220" s="187"/>
      <c r="H3220" s="1"/>
      <c r="I3220" s="169">
        <f>Imput[[#This Row],[Cantidad]]*Imput[[#This Row],[Precio Unitario]]</f>
        <v>0</v>
      </c>
      <c r="J3220" s="11">
        <f>((Imput[[#This Row],[Sub total]])*(0.16))</f>
        <v>0</v>
      </c>
      <c r="K3220" s="11">
        <v>0</v>
      </c>
      <c r="L3220" s="169">
        <f>Imput[[#This Row],[Sub total]]+Imput[[#This Row],[IVA]]-Imput[[#This Row],[Retención / IEPS / Descuento]]</f>
        <v>0</v>
      </c>
      <c r="M3220" s="844">
        <v>0</v>
      </c>
      <c r="N3220" s="189"/>
      <c r="O3220" s="1"/>
      <c r="P3220" s="189"/>
      <c r="Q3220" s="190"/>
      <c r="R3220" s="188"/>
      <c r="S3220" s="193"/>
      <c r="T3220" s="192"/>
      <c r="U3220" s="829"/>
      <c r="V3220" s="10"/>
      <c r="W3220" s="10"/>
      <c r="X3220" s="10"/>
      <c r="Y3220" s="10"/>
      <c r="Z3220" s="10"/>
      <c r="AA3220" s="11"/>
      <c r="AB3220" s="11"/>
    </row>
    <row r="3221" spans="2:28" x14ac:dyDescent="0.3">
      <c r="B3221" s="10"/>
      <c r="C3221" s="315"/>
      <c r="D3221" s="868"/>
      <c r="E3221" s="837" t="str">
        <f>IFERROR(IF(_xlfn.XLOOKUP(Imput[[#This Row],[RFC]],'Alta Proveedor'!D:D,'Alta Proveedor'!E:E)=0,"",_xlfn.XLOOKUP(Imput[[#This Row],[RFC]],'Alta Proveedor'!D:D,'Alta Proveedor'!E:E)),"")</f>
        <v/>
      </c>
      <c r="F3221" s="832"/>
      <c r="G3221" s="187"/>
      <c r="H3221" s="1"/>
      <c r="I3221" s="169">
        <f>Imput[[#This Row],[Cantidad]]*Imput[[#This Row],[Precio Unitario]]</f>
        <v>0</v>
      </c>
      <c r="J3221" s="11">
        <f>((Imput[[#This Row],[Sub total]])*(0.16))</f>
        <v>0</v>
      </c>
      <c r="K3221" s="11">
        <v>0</v>
      </c>
      <c r="L3221" s="169">
        <f>Imput[[#This Row],[Sub total]]+Imput[[#This Row],[IVA]]-Imput[[#This Row],[Retención / IEPS / Descuento]]</f>
        <v>0</v>
      </c>
      <c r="M3221" s="844">
        <v>0</v>
      </c>
      <c r="N3221" s="189"/>
      <c r="O3221" s="1"/>
      <c r="P3221" s="189"/>
      <c r="Q3221" s="190"/>
      <c r="R3221" s="188"/>
      <c r="S3221" s="193"/>
      <c r="T3221" s="192"/>
      <c r="U3221" s="829"/>
      <c r="V3221" s="10"/>
      <c r="W3221" s="10"/>
      <c r="X3221" s="10"/>
      <c r="Y3221" s="10"/>
      <c r="Z3221" s="10"/>
      <c r="AA3221" s="11"/>
      <c r="AB3221" s="11"/>
    </row>
    <row r="3222" spans="2:28" x14ac:dyDescent="0.3">
      <c r="B3222" s="10"/>
      <c r="C3222" s="315"/>
      <c r="D3222" s="868"/>
      <c r="E3222" s="837" t="str">
        <f>IFERROR(IF(_xlfn.XLOOKUP(Imput[[#This Row],[RFC]],'Alta Proveedor'!D:D,'Alta Proveedor'!E:E)=0,"",_xlfn.XLOOKUP(Imput[[#This Row],[RFC]],'Alta Proveedor'!D:D,'Alta Proveedor'!E:E)),"")</f>
        <v/>
      </c>
      <c r="F3222" s="832"/>
      <c r="G3222" s="187"/>
      <c r="H3222" s="1"/>
      <c r="I3222" s="169">
        <f>Imput[[#This Row],[Cantidad]]*Imput[[#This Row],[Precio Unitario]]</f>
        <v>0</v>
      </c>
      <c r="J3222" s="11">
        <f>((Imput[[#This Row],[Sub total]])*(0.16))</f>
        <v>0</v>
      </c>
      <c r="K3222" s="11">
        <v>0</v>
      </c>
      <c r="L3222" s="169">
        <f>Imput[[#This Row],[Sub total]]+Imput[[#This Row],[IVA]]-Imput[[#This Row],[Retención / IEPS / Descuento]]</f>
        <v>0</v>
      </c>
      <c r="M3222" s="844">
        <v>0</v>
      </c>
      <c r="N3222" s="189"/>
      <c r="O3222" s="1"/>
      <c r="P3222" s="189"/>
      <c r="Q3222" s="190"/>
      <c r="R3222" s="188"/>
      <c r="S3222" s="193"/>
      <c r="T3222" s="192"/>
      <c r="U3222" s="829"/>
      <c r="V3222" s="10"/>
      <c r="W3222" s="10"/>
      <c r="X3222" s="10"/>
      <c r="Y3222" s="10"/>
      <c r="Z3222" s="10"/>
      <c r="AA3222" s="11"/>
      <c r="AB3222" s="11"/>
    </row>
    <row r="3223" spans="2:28" x14ac:dyDescent="0.3">
      <c r="B3223" s="10"/>
      <c r="C3223" s="315"/>
      <c r="D3223" s="868"/>
      <c r="E3223" s="837" t="str">
        <f>IFERROR(IF(_xlfn.XLOOKUP(Imput[[#This Row],[RFC]],'Alta Proveedor'!D:D,'Alta Proveedor'!E:E)=0,"",_xlfn.XLOOKUP(Imput[[#This Row],[RFC]],'Alta Proveedor'!D:D,'Alta Proveedor'!E:E)),"")</f>
        <v/>
      </c>
      <c r="F3223" s="832"/>
      <c r="G3223" s="187"/>
      <c r="H3223" s="1"/>
      <c r="I3223" s="169">
        <f>Imput[[#This Row],[Cantidad]]*Imput[[#This Row],[Precio Unitario]]</f>
        <v>0</v>
      </c>
      <c r="J3223" s="11">
        <f>((Imput[[#This Row],[Sub total]])*(0.16))</f>
        <v>0</v>
      </c>
      <c r="K3223" s="11">
        <v>0</v>
      </c>
      <c r="L3223" s="169">
        <f>Imput[[#This Row],[Sub total]]+Imput[[#This Row],[IVA]]-Imput[[#This Row],[Retención / IEPS / Descuento]]</f>
        <v>0</v>
      </c>
      <c r="M3223" s="844">
        <v>0</v>
      </c>
      <c r="N3223" s="189"/>
      <c r="O3223" s="1"/>
      <c r="P3223" s="189"/>
      <c r="Q3223" s="190"/>
      <c r="R3223" s="188"/>
      <c r="S3223" s="193"/>
      <c r="T3223" s="192"/>
      <c r="U3223" s="829"/>
      <c r="V3223" s="10"/>
      <c r="W3223" s="10"/>
      <c r="X3223" s="10"/>
      <c r="Y3223" s="10"/>
      <c r="Z3223" s="10"/>
      <c r="AA3223" s="11"/>
      <c r="AB3223" s="11"/>
    </row>
    <row r="3224" spans="2:28" x14ac:dyDescent="0.3">
      <c r="B3224" s="10"/>
      <c r="C3224" s="315"/>
      <c r="D3224" s="868"/>
      <c r="E3224" s="837" t="str">
        <f>IFERROR(IF(_xlfn.XLOOKUP(Imput[[#This Row],[RFC]],'Alta Proveedor'!D:D,'Alta Proveedor'!E:E)=0,"",_xlfn.XLOOKUP(Imput[[#This Row],[RFC]],'Alta Proveedor'!D:D,'Alta Proveedor'!E:E)),"")</f>
        <v/>
      </c>
      <c r="F3224" s="832"/>
      <c r="G3224" s="187"/>
      <c r="H3224" s="1"/>
      <c r="I3224" s="169">
        <f>Imput[[#This Row],[Cantidad]]*Imput[[#This Row],[Precio Unitario]]</f>
        <v>0</v>
      </c>
      <c r="J3224" s="11">
        <f>((Imput[[#This Row],[Sub total]])*(0.16))</f>
        <v>0</v>
      </c>
      <c r="K3224" s="11">
        <v>0</v>
      </c>
      <c r="L3224" s="169">
        <f>Imput[[#This Row],[Sub total]]+Imput[[#This Row],[IVA]]-Imput[[#This Row],[Retención / IEPS / Descuento]]</f>
        <v>0</v>
      </c>
      <c r="M3224" s="844">
        <v>0</v>
      </c>
      <c r="N3224" s="189"/>
      <c r="O3224" s="1"/>
      <c r="P3224" s="189"/>
      <c r="Q3224" s="190"/>
      <c r="R3224" s="188"/>
      <c r="S3224" s="193"/>
      <c r="T3224" s="192"/>
      <c r="U3224" s="829"/>
      <c r="V3224" s="10"/>
      <c r="W3224" s="10"/>
      <c r="X3224" s="10"/>
      <c r="Y3224" s="10"/>
      <c r="Z3224" s="10"/>
      <c r="AA3224" s="11"/>
      <c r="AB3224" s="11"/>
    </row>
    <row r="3225" spans="2:28" x14ac:dyDescent="0.3">
      <c r="B3225" s="10"/>
      <c r="C3225" s="315"/>
      <c r="D3225" s="868"/>
      <c r="E3225" s="837" t="str">
        <f>IFERROR(IF(_xlfn.XLOOKUP(Imput[[#This Row],[RFC]],'Alta Proveedor'!D:D,'Alta Proveedor'!E:E)=0,"",_xlfn.XLOOKUP(Imput[[#This Row],[RFC]],'Alta Proveedor'!D:D,'Alta Proveedor'!E:E)),"")</f>
        <v/>
      </c>
      <c r="F3225" s="832"/>
      <c r="G3225" s="187"/>
      <c r="H3225" s="1"/>
      <c r="I3225" s="169">
        <f>Imput[[#This Row],[Cantidad]]*Imput[[#This Row],[Precio Unitario]]</f>
        <v>0</v>
      </c>
      <c r="J3225" s="11">
        <f>((Imput[[#This Row],[Sub total]])*(0.16))</f>
        <v>0</v>
      </c>
      <c r="K3225" s="11">
        <v>0</v>
      </c>
      <c r="L3225" s="169">
        <f>Imput[[#This Row],[Sub total]]+Imput[[#This Row],[IVA]]-Imput[[#This Row],[Retención / IEPS / Descuento]]</f>
        <v>0</v>
      </c>
      <c r="M3225" s="844">
        <v>0</v>
      </c>
      <c r="N3225" s="189"/>
      <c r="O3225" s="1"/>
      <c r="P3225" s="189"/>
      <c r="Q3225" s="190"/>
      <c r="R3225" s="188"/>
      <c r="S3225" s="193"/>
      <c r="T3225" s="192"/>
      <c r="U3225" s="829"/>
      <c r="V3225" s="10"/>
      <c r="W3225" s="10"/>
      <c r="X3225" s="10"/>
      <c r="Y3225" s="10"/>
      <c r="Z3225" s="10"/>
      <c r="AA3225" s="11"/>
      <c r="AB3225" s="11"/>
    </row>
    <row r="3226" spans="2:28" x14ac:dyDescent="0.3">
      <c r="B3226" s="10"/>
      <c r="C3226" s="315"/>
      <c r="D3226" s="868"/>
      <c r="E3226" s="837" t="str">
        <f>IFERROR(IF(_xlfn.XLOOKUP(Imput[[#This Row],[RFC]],'Alta Proveedor'!D:D,'Alta Proveedor'!E:E)=0,"",_xlfn.XLOOKUP(Imput[[#This Row],[RFC]],'Alta Proveedor'!D:D,'Alta Proveedor'!E:E)),"")</f>
        <v/>
      </c>
      <c r="F3226" s="832"/>
      <c r="G3226" s="187"/>
      <c r="H3226" s="1"/>
      <c r="I3226" s="169">
        <f>Imput[[#This Row],[Cantidad]]*Imput[[#This Row],[Precio Unitario]]</f>
        <v>0</v>
      </c>
      <c r="J3226" s="11">
        <f>((Imput[[#This Row],[Sub total]])*(0.16))</f>
        <v>0</v>
      </c>
      <c r="K3226" s="11">
        <v>0</v>
      </c>
      <c r="L3226" s="169">
        <f>Imput[[#This Row],[Sub total]]+Imput[[#This Row],[IVA]]-Imput[[#This Row],[Retención / IEPS / Descuento]]</f>
        <v>0</v>
      </c>
      <c r="M3226" s="844">
        <v>0</v>
      </c>
      <c r="N3226" s="189"/>
      <c r="O3226" s="1"/>
      <c r="P3226" s="189"/>
      <c r="Q3226" s="190"/>
      <c r="R3226" s="188"/>
      <c r="S3226" s="193"/>
      <c r="T3226" s="192"/>
      <c r="U3226" s="829"/>
      <c r="V3226" s="10"/>
      <c r="W3226" s="10"/>
      <c r="X3226" s="10"/>
      <c r="Y3226" s="10"/>
      <c r="Z3226" s="10"/>
      <c r="AA3226" s="11"/>
      <c r="AB3226" s="11"/>
    </row>
    <row r="3227" spans="2:28" x14ac:dyDescent="0.3">
      <c r="B3227" s="10"/>
      <c r="C3227" s="315"/>
      <c r="D3227" s="868"/>
      <c r="E3227" s="837" t="str">
        <f>IFERROR(IF(_xlfn.XLOOKUP(Imput[[#This Row],[RFC]],'Alta Proveedor'!D:D,'Alta Proveedor'!E:E)=0,"",_xlfn.XLOOKUP(Imput[[#This Row],[RFC]],'Alta Proveedor'!D:D,'Alta Proveedor'!E:E)),"")</f>
        <v/>
      </c>
      <c r="F3227" s="832"/>
      <c r="G3227" s="187"/>
      <c r="H3227" s="1"/>
      <c r="I3227" s="169">
        <f>Imput[[#This Row],[Cantidad]]*Imput[[#This Row],[Precio Unitario]]</f>
        <v>0</v>
      </c>
      <c r="J3227" s="11">
        <f>((Imput[[#This Row],[Sub total]])*(0.16))</f>
        <v>0</v>
      </c>
      <c r="K3227" s="11">
        <v>0</v>
      </c>
      <c r="L3227" s="169">
        <f>Imput[[#This Row],[Sub total]]+Imput[[#This Row],[IVA]]-Imput[[#This Row],[Retención / IEPS / Descuento]]</f>
        <v>0</v>
      </c>
      <c r="M3227" s="844">
        <v>0</v>
      </c>
      <c r="N3227" s="189"/>
      <c r="O3227" s="1"/>
      <c r="P3227" s="189"/>
      <c r="Q3227" s="190"/>
      <c r="R3227" s="188"/>
      <c r="S3227" s="193"/>
      <c r="T3227" s="192"/>
      <c r="U3227" s="829"/>
      <c r="V3227" s="10"/>
      <c r="W3227" s="10"/>
      <c r="X3227" s="10"/>
      <c r="Y3227" s="10"/>
      <c r="Z3227" s="10"/>
      <c r="AA3227" s="11"/>
      <c r="AB3227" s="11"/>
    </row>
    <row r="3228" spans="2:28" x14ac:dyDescent="0.3">
      <c r="B3228" s="10"/>
      <c r="C3228" s="315"/>
      <c r="D3228" s="868"/>
      <c r="E3228" s="837" t="str">
        <f>IFERROR(IF(_xlfn.XLOOKUP(Imput[[#This Row],[RFC]],'Alta Proveedor'!D:D,'Alta Proveedor'!E:E)=0,"",_xlfn.XLOOKUP(Imput[[#This Row],[RFC]],'Alta Proveedor'!D:D,'Alta Proveedor'!E:E)),"")</f>
        <v/>
      </c>
      <c r="F3228" s="832"/>
      <c r="G3228" s="187"/>
      <c r="H3228" s="1"/>
      <c r="I3228" s="169">
        <f>Imput[[#This Row],[Cantidad]]*Imput[[#This Row],[Precio Unitario]]</f>
        <v>0</v>
      </c>
      <c r="J3228" s="11">
        <f>((Imput[[#This Row],[Sub total]])*(0.16))</f>
        <v>0</v>
      </c>
      <c r="K3228" s="11">
        <v>0</v>
      </c>
      <c r="L3228" s="169">
        <f>Imput[[#This Row],[Sub total]]+Imput[[#This Row],[IVA]]-Imput[[#This Row],[Retención / IEPS / Descuento]]</f>
        <v>0</v>
      </c>
      <c r="M3228" s="844">
        <v>0</v>
      </c>
      <c r="N3228" s="189"/>
      <c r="O3228" s="1"/>
      <c r="P3228" s="189"/>
      <c r="Q3228" s="190"/>
      <c r="R3228" s="188"/>
      <c r="S3228" s="193"/>
      <c r="T3228" s="192"/>
      <c r="U3228" s="829"/>
      <c r="V3228" s="10"/>
      <c r="W3228" s="10"/>
      <c r="X3228" s="10"/>
      <c r="Y3228" s="10"/>
      <c r="Z3228" s="10"/>
      <c r="AA3228" s="11"/>
      <c r="AB3228" s="11"/>
    </row>
    <row r="3229" spans="2:28" x14ac:dyDescent="0.3">
      <c r="B3229" s="10"/>
      <c r="C3229" s="315"/>
      <c r="D3229" s="868"/>
      <c r="E3229" s="837" t="str">
        <f>IFERROR(IF(_xlfn.XLOOKUP(Imput[[#This Row],[RFC]],'Alta Proveedor'!D:D,'Alta Proveedor'!E:E)=0,"",_xlfn.XLOOKUP(Imput[[#This Row],[RFC]],'Alta Proveedor'!D:D,'Alta Proveedor'!E:E)),"")</f>
        <v/>
      </c>
      <c r="F3229" s="832"/>
      <c r="G3229" s="187"/>
      <c r="H3229" s="1"/>
      <c r="I3229" s="169">
        <f>Imput[[#This Row],[Cantidad]]*Imput[[#This Row],[Precio Unitario]]</f>
        <v>0</v>
      </c>
      <c r="J3229" s="11">
        <f>((Imput[[#This Row],[Sub total]])*(0.16))</f>
        <v>0</v>
      </c>
      <c r="K3229" s="11">
        <v>0</v>
      </c>
      <c r="L3229" s="169">
        <f>Imput[[#This Row],[Sub total]]+Imput[[#This Row],[IVA]]-Imput[[#This Row],[Retención / IEPS / Descuento]]</f>
        <v>0</v>
      </c>
      <c r="M3229" s="844">
        <v>0</v>
      </c>
      <c r="N3229" s="189"/>
      <c r="O3229" s="1"/>
      <c r="P3229" s="189"/>
      <c r="Q3229" s="190"/>
      <c r="R3229" s="188"/>
      <c r="S3229" s="193"/>
      <c r="T3229" s="192"/>
      <c r="U3229" s="829"/>
      <c r="V3229" s="10"/>
      <c r="W3229" s="10"/>
      <c r="X3229" s="10"/>
      <c r="Y3229" s="10"/>
      <c r="Z3229" s="10"/>
      <c r="AA3229" s="11"/>
      <c r="AB3229" s="11"/>
    </row>
    <row r="3230" spans="2:28" x14ac:dyDescent="0.3">
      <c r="B3230" s="10"/>
      <c r="C3230" s="315"/>
      <c r="D3230" s="868"/>
      <c r="E3230" s="837" t="str">
        <f>IFERROR(IF(_xlfn.XLOOKUP(Imput[[#This Row],[RFC]],'Alta Proveedor'!D:D,'Alta Proveedor'!E:E)=0,"",_xlfn.XLOOKUP(Imput[[#This Row],[RFC]],'Alta Proveedor'!D:D,'Alta Proveedor'!E:E)),"")</f>
        <v/>
      </c>
      <c r="F3230" s="832"/>
      <c r="G3230" s="187"/>
      <c r="H3230" s="1"/>
      <c r="I3230" s="169">
        <f>Imput[[#This Row],[Cantidad]]*Imput[[#This Row],[Precio Unitario]]</f>
        <v>0</v>
      </c>
      <c r="J3230" s="11">
        <f>((Imput[[#This Row],[Sub total]])*(0.16))</f>
        <v>0</v>
      </c>
      <c r="K3230" s="11">
        <v>0</v>
      </c>
      <c r="L3230" s="169">
        <f>Imput[[#This Row],[Sub total]]+Imput[[#This Row],[IVA]]-Imput[[#This Row],[Retención / IEPS / Descuento]]</f>
        <v>0</v>
      </c>
      <c r="M3230" s="844">
        <v>0</v>
      </c>
      <c r="N3230" s="189"/>
      <c r="O3230" s="1"/>
      <c r="P3230" s="189"/>
      <c r="Q3230" s="190"/>
      <c r="R3230" s="188"/>
      <c r="S3230" s="193"/>
      <c r="T3230" s="192"/>
      <c r="U3230" s="829"/>
      <c r="V3230" s="10"/>
      <c r="W3230" s="10"/>
      <c r="X3230" s="10"/>
      <c r="Y3230" s="10"/>
      <c r="Z3230" s="10"/>
      <c r="AA3230" s="11"/>
      <c r="AB3230" s="11"/>
    </row>
    <row r="3231" spans="2:28" x14ac:dyDescent="0.3">
      <c r="B3231" s="10"/>
      <c r="C3231" s="315"/>
      <c r="D3231" s="868"/>
      <c r="E3231" s="837" t="str">
        <f>IFERROR(IF(_xlfn.XLOOKUP(Imput[[#This Row],[RFC]],'Alta Proveedor'!D:D,'Alta Proveedor'!E:E)=0,"",_xlfn.XLOOKUP(Imput[[#This Row],[RFC]],'Alta Proveedor'!D:D,'Alta Proveedor'!E:E)),"")</f>
        <v/>
      </c>
      <c r="F3231" s="832"/>
      <c r="G3231" s="187"/>
      <c r="H3231" s="1"/>
      <c r="I3231" s="169">
        <f>Imput[[#This Row],[Cantidad]]*Imput[[#This Row],[Precio Unitario]]</f>
        <v>0</v>
      </c>
      <c r="J3231" s="11">
        <f>((Imput[[#This Row],[Sub total]])*(0.16))</f>
        <v>0</v>
      </c>
      <c r="K3231" s="11">
        <v>0</v>
      </c>
      <c r="L3231" s="169">
        <f>Imput[[#This Row],[Sub total]]+Imput[[#This Row],[IVA]]-Imput[[#This Row],[Retención / IEPS / Descuento]]</f>
        <v>0</v>
      </c>
      <c r="M3231" s="844">
        <v>0</v>
      </c>
      <c r="N3231" s="189"/>
      <c r="O3231" s="1"/>
      <c r="P3231" s="189"/>
      <c r="Q3231" s="190"/>
      <c r="R3231" s="188"/>
      <c r="S3231" s="193"/>
      <c r="T3231" s="192"/>
      <c r="U3231" s="829"/>
      <c r="V3231" s="10"/>
      <c r="W3231" s="10"/>
      <c r="X3231" s="10"/>
      <c r="Y3231" s="10"/>
      <c r="Z3231" s="10"/>
      <c r="AA3231" s="11"/>
      <c r="AB3231" s="11"/>
    </row>
    <row r="3232" spans="2:28" x14ac:dyDescent="0.3">
      <c r="B3232" s="10"/>
      <c r="C3232" s="315"/>
      <c r="D3232" s="868"/>
      <c r="E3232" s="837" t="str">
        <f>IFERROR(IF(_xlfn.XLOOKUP(Imput[[#This Row],[RFC]],'Alta Proveedor'!D:D,'Alta Proveedor'!E:E)=0,"",_xlfn.XLOOKUP(Imput[[#This Row],[RFC]],'Alta Proveedor'!D:D,'Alta Proveedor'!E:E)),"")</f>
        <v/>
      </c>
      <c r="F3232" s="832"/>
      <c r="G3232" s="187"/>
      <c r="H3232" s="1"/>
      <c r="I3232" s="169">
        <f>Imput[[#This Row],[Cantidad]]*Imput[[#This Row],[Precio Unitario]]</f>
        <v>0</v>
      </c>
      <c r="J3232" s="11">
        <f>((Imput[[#This Row],[Sub total]])*(0.16))</f>
        <v>0</v>
      </c>
      <c r="K3232" s="11">
        <v>0</v>
      </c>
      <c r="L3232" s="169">
        <f>Imput[[#This Row],[Sub total]]+Imput[[#This Row],[IVA]]-Imput[[#This Row],[Retención / IEPS / Descuento]]</f>
        <v>0</v>
      </c>
      <c r="M3232" s="844">
        <v>0</v>
      </c>
      <c r="N3232" s="189"/>
      <c r="O3232" s="1"/>
      <c r="P3232" s="189"/>
      <c r="Q3232" s="190"/>
      <c r="R3232" s="188"/>
      <c r="S3232" s="193"/>
      <c r="T3232" s="192"/>
      <c r="U3232" s="829"/>
      <c r="V3232" s="10"/>
      <c r="W3232" s="10"/>
      <c r="X3232" s="10"/>
      <c r="Y3232" s="10"/>
      <c r="Z3232" s="10"/>
      <c r="AA3232" s="11"/>
      <c r="AB3232" s="11"/>
    </row>
    <row r="3233" spans="2:28" x14ac:dyDescent="0.3">
      <c r="B3233" s="10"/>
      <c r="C3233" s="315"/>
      <c r="D3233" s="868"/>
      <c r="E3233" s="837" t="str">
        <f>IFERROR(IF(_xlfn.XLOOKUP(Imput[[#This Row],[RFC]],'Alta Proveedor'!D:D,'Alta Proveedor'!E:E)=0,"",_xlfn.XLOOKUP(Imput[[#This Row],[RFC]],'Alta Proveedor'!D:D,'Alta Proveedor'!E:E)),"")</f>
        <v/>
      </c>
      <c r="F3233" s="832"/>
      <c r="G3233" s="187"/>
      <c r="H3233" s="1"/>
      <c r="I3233" s="169">
        <f>Imput[[#This Row],[Cantidad]]*Imput[[#This Row],[Precio Unitario]]</f>
        <v>0</v>
      </c>
      <c r="J3233" s="11">
        <f>((Imput[[#This Row],[Sub total]])*(0.16))</f>
        <v>0</v>
      </c>
      <c r="K3233" s="11">
        <v>0</v>
      </c>
      <c r="L3233" s="169">
        <f>Imput[[#This Row],[Sub total]]+Imput[[#This Row],[IVA]]-Imput[[#This Row],[Retención / IEPS / Descuento]]</f>
        <v>0</v>
      </c>
      <c r="M3233" s="844">
        <v>0</v>
      </c>
      <c r="N3233" s="189"/>
      <c r="O3233" s="1"/>
      <c r="P3233" s="189"/>
      <c r="Q3233" s="190"/>
      <c r="R3233" s="188"/>
      <c r="S3233" s="193"/>
      <c r="T3233" s="192"/>
      <c r="U3233" s="829"/>
      <c r="V3233" s="10"/>
      <c r="W3233" s="10"/>
      <c r="X3233" s="10"/>
      <c r="Y3233" s="10"/>
      <c r="Z3233" s="10"/>
      <c r="AA3233" s="11"/>
      <c r="AB3233" s="11"/>
    </row>
    <row r="3234" spans="2:28" x14ac:dyDescent="0.3">
      <c r="B3234" s="10"/>
      <c r="C3234" s="315"/>
      <c r="D3234" s="868"/>
      <c r="E3234" s="837" t="str">
        <f>IFERROR(IF(_xlfn.XLOOKUP(Imput[[#This Row],[RFC]],'Alta Proveedor'!D:D,'Alta Proveedor'!E:E)=0,"",_xlfn.XLOOKUP(Imput[[#This Row],[RFC]],'Alta Proveedor'!D:D,'Alta Proveedor'!E:E)),"")</f>
        <v/>
      </c>
      <c r="F3234" s="832"/>
      <c r="G3234" s="187"/>
      <c r="H3234" s="1"/>
      <c r="I3234" s="169">
        <f>Imput[[#This Row],[Cantidad]]*Imput[[#This Row],[Precio Unitario]]</f>
        <v>0</v>
      </c>
      <c r="J3234" s="11">
        <f>((Imput[[#This Row],[Sub total]])*(0.16))</f>
        <v>0</v>
      </c>
      <c r="K3234" s="11">
        <v>0</v>
      </c>
      <c r="L3234" s="169">
        <f>Imput[[#This Row],[Sub total]]+Imput[[#This Row],[IVA]]-Imput[[#This Row],[Retención / IEPS / Descuento]]</f>
        <v>0</v>
      </c>
      <c r="M3234" s="844">
        <v>0</v>
      </c>
      <c r="N3234" s="189"/>
      <c r="O3234" s="1"/>
      <c r="P3234" s="189"/>
      <c r="Q3234" s="190"/>
      <c r="R3234" s="188"/>
      <c r="S3234" s="193"/>
      <c r="T3234" s="192"/>
      <c r="U3234" s="829"/>
      <c r="V3234" s="10"/>
      <c r="W3234" s="10"/>
      <c r="X3234" s="10"/>
      <c r="Y3234" s="10"/>
      <c r="Z3234" s="10"/>
      <c r="AA3234" s="11"/>
      <c r="AB3234" s="11"/>
    </row>
    <row r="3235" spans="2:28" x14ac:dyDescent="0.3">
      <c r="B3235" s="10"/>
      <c r="C3235" s="315"/>
      <c r="D3235" s="868"/>
      <c r="E3235" s="837" t="str">
        <f>IFERROR(IF(_xlfn.XLOOKUP(Imput[[#This Row],[RFC]],'Alta Proveedor'!D:D,'Alta Proveedor'!E:E)=0,"",_xlfn.XLOOKUP(Imput[[#This Row],[RFC]],'Alta Proveedor'!D:D,'Alta Proveedor'!E:E)),"")</f>
        <v/>
      </c>
      <c r="F3235" s="832"/>
      <c r="G3235" s="187"/>
      <c r="H3235" s="1"/>
      <c r="I3235" s="169">
        <f>Imput[[#This Row],[Cantidad]]*Imput[[#This Row],[Precio Unitario]]</f>
        <v>0</v>
      </c>
      <c r="J3235" s="11">
        <f>((Imput[[#This Row],[Sub total]])*(0.16))</f>
        <v>0</v>
      </c>
      <c r="K3235" s="11">
        <v>0</v>
      </c>
      <c r="L3235" s="169">
        <f>Imput[[#This Row],[Sub total]]+Imput[[#This Row],[IVA]]-Imput[[#This Row],[Retención / IEPS / Descuento]]</f>
        <v>0</v>
      </c>
      <c r="M3235" s="844">
        <v>0</v>
      </c>
      <c r="N3235" s="189"/>
      <c r="O3235" s="1"/>
      <c r="P3235" s="189"/>
      <c r="Q3235" s="190"/>
      <c r="R3235" s="188"/>
      <c r="S3235" s="193"/>
      <c r="T3235" s="192"/>
      <c r="U3235" s="829"/>
      <c r="V3235" s="10"/>
      <c r="W3235" s="10"/>
      <c r="X3235" s="10"/>
      <c r="Y3235" s="10"/>
      <c r="Z3235" s="10"/>
      <c r="AA3235" s="11"/>
      <c r="AB3235" s="11"/>
    </row>
    <row r="3236" spans="2:28" x14ac:dyDescent="0.3">
      <c r="B3236" s="10"/>
      <c r="C3236" s="315"/>
      <c r="D3236" s="868"/>
      <c r="E3236" s="837" t="str">
        <f>IFERROR(IF(_xlfn.XLOOKUP(Imput[[#This Row],[RFC]],'Alta Proveedor'!D:D,'Alta Proveedor'!E:E)=0,"",_xlfn.XLOOKUP(Imput[[#This Row],[RFC]],'Alta Proveedor'!D:D,'Alta Proveedor'!E:E)),"")</f>
        <v/>
      </c>
      <c r="F3236" s="832"/>
      <c r="G3236" s="187"/>
      <c r="H3236" s="1"/>
      <c r="I3236" s="169">
        <f>Imput[[#This Row],[Cantidad]]*Imput[[#This Row],[Precio Unitario]]</f>
        <v>0</v>
      </c>
      <c r="J3236" s="11">
        <f>((Imput[[#This Row],[Sub total]])*(0.16))</f>
        <v>0</v>
      </c>
      <c r="K3236" s="11">
        <v>0</v>
      </c>
      <c r="L3236" s="169">
        <f>Imput[[#This Row],[Sub total]]+Imput[[#This Row],[IVA]]-Imput[[#This Row],[Retención / IEPS / Descuento]]</f>
        <v>0</v>
      </c>
      <c r="M3236" s="844">
        <v>0</v>
      </c>
      <c r="N3236" s="189"/>
      <c r="O3236" s="1"/>
      <c r="P3236" s="189"/>
      <c r="Q3236" s="190"/>
      <c r="R3236" s="188"/>
      <c r="S3236" s="193"/>
      <c r="T3236" s="192"/>
      <c r="U3236" s="829"/>
      <c r="V3236" s="10"/>
      <c r="W3236" s="10"/>
      <c r="X3236" s="10"/>
      <c r="Y3236" s="10"/>
      <c r="Z3236" s="10"/>
      <c r="AA3236" s="11"/>
      <c r="AB3236" s="11"/>
    </row>
    <row r="3237" spans="2:28" x14ac:dyDescent="0.3">
      <c r="B3237" s="10"/>
      <c r="C3237" s="315"/>
      <c r="D3237" s="868"/>
      <c r="E3237" s="837" t="str">
        <f>IFERROR(IF(_xlfn.XLOOKUP(Imput[[#This Row],[RFC]],'Alta Proveedor'!D:D,'Alta Proveedor'!E:E)=0,"",_xlfn.XLOOKUP(Imput[[#This Row],[RFC]],'Alta Proveedor'!D:D,'Alta Proveedor'!E:E)),"")</f>
        <v/>
      </c>
      <c r="F3237" s="832"/>
      <c r="G3237" s="187"/>
      <c r="H3237" s="1"/>
      <c r="I3237" s="169">
        <f>Imput[[#This Row],[Cantidad]]*Imput[[#This Row],[Precio Unitario]]</f>
        <v>0</v>
      </c>
      <c r="J3237" s="11">
        <f>((Imput[[#This Row],[Sub total]])*(0.16))</f>
        <v>0</v>
      </c>
      <c r="K3237" s="11">
        <v>0</v>
      </c>
      <c r="L3237" s="169">
        <f>Imput[[#This Row],[Sub total]]+Imput[[#This Row],[IVA]]-Imput[[#This Row],[Retención / IEPS / Descuento]]</f>
        <v>0</v>
      </c>
      <c r="M3237" s="844">
        <v>0</v>
      </c>
      <c r="N3237" s="189"/>
      <c r="O3237" s="1"/>
      <c r="P3237" s="189"/>
      <c r="Q3237" s="190"/>
      <c r="R3237" s="188"/>
      <c r="S3237" s="193"/>
      <c r="T3237" s="192"/>
      <c r="U3237" s="829"/>
      <c r="V3237" s="10"/>
      <c r="W3237" s="10"/>
      <c r="X3237" s="10"/>
      <c r="Y3237" s="10"/>
      <c r="Z3237" s="10"/>
      <c r="AA3237" s="11"/>
      <c r="AB3237" s="11"/>
    </row>
    <row r="3238" spans="2:28" x14ac:dyDescent="0.3">
      <c r="B3238" s="10"/>
      <c r="C3238" s="315"/>
      <c r="D3238" s="868"/>
      <c r="E3238" s="837" t="str">
        <f>IFERROR(IF(_xlfn.XLOOKUP(Imput[[#This Row],[RFC]],'Alta Proveedor'!D:D,'Alta Proveedor'!E:E)=0,"",_xlfn.XLOOKUP(Imput[[#This Row],[RFC]],'Alta Proveedor'!D:D,'Alta Proveedor'!E:E)),"")</f>
        <v/>
      </c>
      <c r="F3238" s="832"/>
      <c r="G3238" s="187"/>
      <c r="H3238" s="1"/>
      <c r="I3238" s="169">
        <f>Imput[[#This Row],[Cantidad]]*Imput[[#This Row],[Precio Unitario]]</f>
        <v>0</v>
      </c>
      <c r="J3238" s="11">
        <f>((Imput[[#This Row],[Sub total]])*(0.16))</f>
        <v>0</v>
      </c>
      <c r="K3238" s="11">
        <v>0</v>
      </c>
      <c r="L3238" s="169">
        <f>Imput[[#This Row],[Sub total]]+Imput[[#This Row],[IVA]]-Imput[[#This Row],[Retención / IEPS / Descuento]]</f>
        <v>0</v>
      </c>
      <c r="M3238" s="844">
        <v>0</v>
      </c>
      <c r="N3238" s="189"/>
      <c r="O3238" s="1"/>
      <c r="P3238" s="189"/>
      <c r="Q3238" s="190"/>
      <c r="R3238" s="188"/>
      <c r="S3238" s="193"/>
      <c r="T3238" s="192"/>
      <c r="U3238" s="829"/>
      <c r="V3238" s="10"/>
      <c r="W3238" s="10"/>
      <c r="X3238" s="10"/>
      <c r="Y3238" s="10"/>
      <c r="Z3238" s="10"/>
      <c r="AA3238" s="11"/>
      <c r="AB3238" s="11"/>
    </row>
    <row r="3239" spans="2:28" x14ac:dyDescent="0.3">
      <c r="B3239" s="10"/>
      <c r="C3239" s="315"/>
      <c r="D3239" s="868"/>
      <c r="E3239" s="837" t="str">
        <f>IFERROR(IF(_xlfn.XLOOKUP(Imput[[#This Row],[RFC]],'Alta Proveedor'!D:D,'Alta Proveedor'!E:E)=0,"",_xlfn.XLOOKUP(Imput[[#This Row],[RFC]],'Alta Proveedor'!D:D,'Alta Proveedor'!E:E)),"")</f>
        <v/>
      </c>
      <c r="F3239" s="832"/>
      <c r="G3239" s="187"/>
      <c r="H3239" s="1"/>
      <c r="I3239" s="169">
        <f>Imput[[#This Row],[Cantidad]]*Imput[[#This Row],[Precio Unitario]]</f>
        <v>0</v>
      </c>
      <c r="J3239" s="11">
        <f>((Imput[[#This Row],[Sub total]])*(0.16))</f>
        <v>0</v>
      </c>
      <c r="K3239" s="11">
        <v>0</v>
      </c>
      <c r="L3239" s="169">
        <f>Imput[[#This Row],[Sub total]]+Imput[[#This Row],[IVA]]-Imput[[#This Row],[Retención / IEPS / Descuento]]</f>
        <v>0</v>
      </c>
      <c r="M3239" s="844">
        <v>0</v>
      </c>
      <c r="N3239" s="189"/>
      <c r="O3239" s="1"/>
      <c r="P3239" s="189"/>
      <c r="Q3239" s="190"/>
      <c r="R3239" s="188"/>
      <c r="S3239" s="193"/>
      <c r="T3239" s="192"/>
      <c r="U3239" s="829"/>
      <c r="V3239" s="10"/>
      <c r="W3239" s="10"/>
      <c r="X3239" s="10"/>
      <c r="Y3239" s="10"/>
      <c r="Z3239" s="10"/>
      <c r="AA3239" s="11"/>
      <c r="AB3239" s="11"/>
    </row>
    <row r="3240" spans="2:28" x14ac:dyDescent="0.3">
      <c r="B3240" s="10"/>
      <c r="C3240" s="315"/>
      <c r="D3240" s="868"/>
      <c r="E3240" s="837" t="str">
        <f>IFERROR(IF(_xlfn.XLOOKUP(Imput[[#This Row],[RFC]],'Alta Proveedor'!D:D,'Alta Proveedor'!E:E)=0,"",_xlfn.XLOOKUP(Imput[[#This Row],[RFC]],'Alta Proveedor'!D:D,'Alta Proveedor'!E:E)),"")</f>
        <v/>
      </c>
      <c r="F3240" s="832"/>
      <c r="G3240" s="187"/>
      <c r="H3240" s="1"/>
      <c r="I3240" s="169">
        <f>Imput[[#This Row],[Cantidad]]*Imput[[#This Row],[Precio Unitario]]</f>
        <v>0</v>
      </c>
      <c r="J3240" s="11">
        <f>((Imput[[#This Row],[Sub total]])*(0.16))</f>
        <v>0</v>
      </c>
      <c r="K3240" s="11">
        <v>0</v>
      </c>
      <c r="L3240" s="169">
        <f>Imput[[#This Row],[Sub total]]+Imput[[#This Row],[IVA]]-Imput[[#This Row],[Retención / IEPS / Descuento]]</f>
        <v>0</v>
      </c>
      <c r="M3240" s="844">
        <v>0</v>
      </c>
      <c r="N3240" s="189"/>
      <c r="O3240" s="1"/>
      <c r="P3240" s="189"/>
      <c r="Q3240" s="190"/>
      <c r="R3240" s="188"/>
      <c r="S3240" s="193"/>
      <c r="T3240" s="192"/>
      <c r="U3240" s="829"/>
      <c r="V3240" s="10"/>
      <c r="W3240" s="10"/>
      <c r="X3240" s="10"/>
      <c r="Y3240" s="10"/>
      <c r="Z3240" s="10"/>
      <c r="AA3240" s="11"/>
      <c r="AB3240" s="11"/>
    </row>
    <row r="3241" spans="2:28" x14ac:dyDescent="0.3">
      <c r="B3241" s="10"/>
      <c r="C3241" s="315"/>
      <c r="D3241" s="868"/>
      <c r="E3241" s="837" t="str">
        <f>IFERROR(IF(_xlfn.XLOOKUP(Imput[[#This Row],[RFC]],'Alta Proveedor'!D:D,'Alta Proveedor'!E:E)=0,"",_xlfn.XLOOKUP(Imput[[#This Row],[RFC]],'Alta Proveedor'!D:D,'Alta Proveedor'!E:E)),"")</f>
        <v/>
      </c>
      <c r="F3241" s="832"/>
      <c r="G3241" s="187"/>
      <c r="H3241" s="1"/>
      <c r="I3241" s="169">
        <f>Imput[[#This Row],[Cantidad]]*Imput[[#This Row],[Precio Unitario]]</f>
        <v>0</v>
      </c>
      <c r="J3241" s="11">
        <f>((Imput[[#This Row],[Sub total]])*(0.16))</f>
        <v>0</v>
      </c>
      <c r="K3241" s="11">
        <v>0</v>
      </c>
      <c r="L3241" s="169">
        <f>Imput[[#This Row],[Sub total]]+Imput[[#This Row],[IVA]]-Imput[[#This Row],[Retención / IEPS / Descuento]]</f>
        <v>0</v>
      </c>
      <c r="M3241" s="844">
        <v>0</v>
      </c>
      <c r="N3241" s="189"/>
      <c r="O3241" s="1"/>
      <c r="P3241" s="189"/>
      <c r="Q3241" s="190"/>
      <c r="R3241" s="188"/>
      <c r="S3241" s="193"/>
      <c r="T3241" s="192"/>
      <c r="U3241" s="829"/>
      <c r="V3241" s="10"/>
      <c r="W3241" s="10"/>
      <c r="X3241" s="10"/>
      <c r="Y3241" s="10"/>
      <c r="Z3241" s="10"/>
      <c r="AA3241" s="11"/>
      <c r="AB3241" s="11"/>
    </row>
    <row r="3242" spans="2:28" x14ac:dyDescent="0.3">
      <c r="B3242" s="10"/>
      <c r="C3242" s="315"/>
      <c r="D3242" s="868"/>
      <c r="E3242" s="837" t="str">
        <f>IFERROR(IF(_xlfn.XLOOKUP(Imput[[#This Row],[RFC]],'Alta Proveedor'!D:D,'Alta Proveedor'!E:E)=0,"",_xlfn.XLOOKUP(Imput[[#This Row],[RFC]],'Alta Proveedor'!D:D,'Alta Proveedor'!E:E)),"")</f>
        <v/>
      </c>
      <c r="F3242" s="832"/>
      <c r="G3242" s="187"/>
      <c r="H3242" s="1"/>
      <c r="I3242" s="169">
        <f>Imput[[#This Row],[Cantidad]]*Imput[[#This Row],[Precio Unitario]]</f>
        <v>0</v>
      </c>
      <c r="J3242" s="11">
        <f>((Imput[[#This Row],[Sub total]])*(0.16))</f>
        <v>0</v>
      </c>
      <c r="K3242" s="11">
        <v>0</v>
      </c>
      <c r="L3242" s="169">
        <f>Imput[[#This Row],[Sub total]]+Imput[[#This Row],[IVA]]-Imput[[#This Row],[Retención / IEPS / Descuento]]</f>
        <v>0</v>
      </c>
      <c r="M3242" s="844">
        <v>0</v>
      </c>
      <c r="N3242" s="189"/>
      <c r="O3242" s="1"/>
      <c r="P3242" s="189"/>
      <c r="Q3242" s="190"/>
      <c r="R3242" s="188"/>
      <c r="S3242" s="193"/>
      <c r="T3242" s="192"/>
      <c r="U3242" s="829"/>
      <c r="V3242" s="10"/>
      <c r="W3242" s="10"/>
      <c r="X3242" s="10"/>
      <c r="Y3242" s="10"/>
      <c r="Z3242" s="10"/>
      <c r="AA3242" s="11"/>
      <c r="AB3242" s="11"/>
    </row>
    <row r="3243" spans="2:28" x14ac:dyDescent="0.3">
      <c r="B3243" s="10"/>
      <c r="C3243" s="315"/>
      <c r="D3243" s="868"/>
      <c r="E3243" s="837" t="str">
        <f>IFERROR(IF(_xlfn.XLOOKUP(Imput[[#This Row],[RFC]],'Alta Proveedor'!D:D,'Alta Proveedor'!E:E)=0,"",_xlfn.XLOOKUP(Imput[[#This Row],[RFC]],'Alta Proveedor'!D:D,'Alta Proveedor'!E:E)),"")</f>
        <v/>
      </c>
      <c r="F3243" s="832"/>
      <c r="G3243" s="187"/>
      <c r="H3243" s="1"/>
      <c r="I3243" s="169">
        <f>Imput[[#This Row],[Cantidad]]*Imput[[#This Row],[Precio Unitario]]</f>
        <v>0</v>
      </c>
      <c r="J3243" s="11">
        <f>((Imput[[#This Row],[Sub total]])*(0.16))</f>
        <v>0</v>
      </c>
      <c r="K3243" s="11">
        <v>0</v>
      </c>
      <c r="L3243" s="169">
        <f>Imput[[#This Row],[Sub total]]+Imput[[#This Row],[IVA]]-Imput[[#This Row],[Retención / IEPS / Descuento]]</f>
        <v>0</v>
      </c>
      <c r="M3243" s="844">
        <v>0</v>
      </c>
      <c r="N3243" s="189"/>
      <c r="O3243" s="1"/>
      <c r="P3243" s="189"/>
      <c r="Q3243" s="190"/>
      <c r="R3243" s="188"/>
      <c r="S3243" s="193"/>
      <c r="T3243" s="192"/>
      <c r="U3243" s="829"/>
      <c r="V3243" s="10"/>
      <c r="W3243" s="10"/>
      <c r="X3243" s="10"/>
      <c r="Y3243" s="10"/>
      <c r="Z3243" s="10"/>
      <c r="AA3243" s="11"/>
      <c r="AB3243" s="11"/>
    </row>
    <row r="3244" spans="2:28" x14ac:dyDescent="0.3">
      <c r="B3244" s="10"/>
      <c r="C3244" s="315"/>
      <c r="D3244" s="868"/>
      <c r="E3244" s="837" t="str">
        <f>IFERROR(IF(_xlfn.XLOOKUP(Imput[[#This Row],[RFC]],'Alta Proveedor'!D:D,'Alta Proveedor'!E:E)=0,"",_xlfn.XLOOKUP(Imput[[#This Row],[RFC]],'Alta Proveedor'!D:D,'Alta Proveedor'!E:E)),"")</f>
        <v/>
      </c>
      <c r="F3244" s="832"/>
      <c r="G3244" s="187"/>
      <c r="H3244" s="1"/>
      <c r="I3244" s="169">
        <f>Imput[[#This Row],[Cantidad]]*Imput[[#This Row],[Precio Unitario]]</f>
        <v>0</v>
      </c>
      <c r="J3244" s="11">
        <f>((Imput[[#This Row],[Sub total]])*(0.16))</f>
        <v>0</v>
      </c>
      <c r="K3244" s="11">
        <v>0</v>
      </c>
      <c r="L3244" s="169">
        <f>Imput[[#This Row],[Sub total]]+Imput[[#This Row],[IVA]]-Imput[[#This Row],[Retención / IEPS / Descuento]]</f>
        <v>0</v>
      </c>
      <c r="M3244" s="844">
        <v>0</v>
      </c>
      <c r="N3244" s="189"/>
      <c r="O3244" s="1"/>
      <c r="P3244" s="189"/>
      <c r="Q3244" s="190"/>
      <c r="R3244" s="188"/>
      <c r="S3244" s="193"/>
      <c r="T3244" s="192"/>
      <c r="U3244" s="829"/>
      <c r="V3244" s="10"/>
      <c r="W3244" s="10"/>
      <c r="X3244" s="10"/>
      <c r="Y3244" s="10"/>
      <c r="Z3244" s="10"/>
      <c r="AA3244" s="11"/>
      <c r="AB3244" s="11"/>
    </row>
    <row r="3245" spans="2:28" x14ac:dyDescent="0.3">
      <c r="B3245" s="10"/>
      <c r="C3245" s="315"/>
      <c r="D3245" s="868"/>
      <c r="E3245" s="837" t="str">
        <f>IFERROR(IF(_xlfn.XLOOKUP(Imput[[#This Row],[RFC]],'Alta Proveedor'!D:D,'Alta Proveedor'!E:E)=0,"",_xlfn.XLOOKUP(Imput[[#This Row],[RFC]],'Alta Proveedor'!D:D,'Alta Proveedor'!E:E)),"")</f>
        <v/>
      </c>
      <c r="F3245" s="832"/>
      <c r="G3245" s="187"/>
      <c r="H3245" s="1"/>
      <c r="I3245" s="169">
        <f>Imput[[#This Row],[Cantidad]]*Imput[[#This Row],[Precio Unitario]]</f>
        <v>0</v>
      </c>
      <c r="J3245" s="11">
        <f>((Imput[[#This Row],[Sub total]])*(0.16))</f>
        <v>0</v>
      </c>
      <c r="K3245" s="11">
        <v>0</v>
      </c>
      <c r="L3245" s="169">
        <f>Imput[[#This Row],[Sub total]]+Imput[[#This Row],[IVA]]-Imput[[#This Row],[Retención / IEPS / Descuento]]</f>
        <v>0</v>
      </c>
      <c r="M3245" s="844">
        <v>0</v>
      </c>
      <c r="N3245" s="189"/>
      <c r="O3245" s="1"/>
      <c r="P3245" s="189"/>
      <c r="Q3245" s="190"/>
      <c r="R3245" s="188"/>
      <c r="S3245" s="193"/>
      <c r="T3245" s="192"/>
      <c r="U3245" s="829"/>
      <c r="V3245" s="10"/>
      <c r="W3245" s="10"/>
      <c r="X3245" s="10"/>
      <c r="Y3245" s="10"/>
      <c r="Z3245" s="10"/>
      <c r="AA3245" s="11"/>
      <c r="AB3245" s="11"/>
    </row>
    <row r="3246" spans="2:28" x14ac:dyDescent="0.3">
      <c r="B3246" s="10"/>
      <c r="C3246" s="315"/>
      <c r="D3246" s="868"/>
      <c r="E3246" s="837" t="str">
        <f>IFERROR(IF(_xlfn.XLOOKUP(Imput[[#This Row],[RFC]],'Alta Proveedor'!D:D,'Alta Proveedor'!E:E)=0,"",_xlfn.XLOOKUP(Imput[[#This Row],[RFC]],'Alta Proveedor'!D:D,'Alta Proveedor'!E:E)),"")</f>
        <v/>
      </c>
      <c r="F3246" s="832"/>
      <c r="G3246" s="187"/>
      <c r="H3246" s="1"/>
      <c r="I3246" s="169">
        <f>Imput[[#This Row],[Cantidad]]*Imput[[#This Row],[Precio Unitario]]</f>
        <v>0</v>
      </c>
      <c r="J3246" s="11">
        <f>((Imput[[#This Row],[Sub total]])*(0.16))</f>
        <v>0</v>
      </c>
      <c r="K3246" s="11">
        <v>0</v>
      </c>
      <c r="L3246" s="169">
        <f>Imput[[#This Row],[Sub total]]+Imput[[#This Row],[IVA]]-Imput[[#This Row],[Retención / IEPS / Descuento]]</f>
        <v>0</v>
      </c>
      <c r="M3246" s="844">
        <v>0</v>
      </c>
      <c r="N3246" s="189"/>
      <c r="O3246" s="1"/>
      <c r="P3246" s="189"/>
      <c r="Q3246" s="190"/>
      <c r="R3246" s="188"/>
      <c r="S3246" s="193"/>
      <c r="T3246" s="192"/>
      <c r="U3246" s="829"/>
      <c r="V3246" s="10"/>
      <c r="W3246" s="10"/>
      <c r="X3246" s="10"/>
      <c r="Y3246" s="10"/>
      <c r="Z3246" s="10"/>
      <c r="AA3246" s="11"/>
      <c r="AB3246" s="11"/>
    </row>
    <row r="3247" spans="2:28" x14ac:dyDescent="0.3">
      <c r="B3247" s="10"/>
      <c r="C3247" s="315"/>
      <c r="D3247" s="868"/>
      <c r="E3247" s="837" t="str">
        <f>IFERROR(IF(_xlfn.XLOOKUP(Imput[[#This Row],[RFC]],'Alta Proveedor'!D:D,'Alta Proveedor'!E:E)=0,"",_xlfn.XLOOKUP(Imput[[#This Row],[RFC]],'Alta Proveedor'!D:D,'Alta Proveedor'!E:E)),"")</f>
        <v/>
      </c>
      <c r="F3247" s="832"/>
      <c r="G3247" s="187"/>
      <c r="H3247" s="1"/>
      <c r="I3247" s="169">
        <f>Imput[[#This Row],[Cantidad]]*Imput[[#This Row],[Precio Unitario]]</f>
        <v>0</v>
      </c>
      <c r="J3247" s="11">
        <f>((Imput[[#This Row],[Sub total]])*(0.16))</f>
        <v>0</v>
      </c>
      <c r="K3247" s="11">
        <v>0</v>
      </c>
      <c r="L3247" s="169">
        <f>Imput[[#This Row],[Sub total]]+Imput[[#This Row],[IVA]]-Imput[[#This Row],[Retención / IEPS / Descuento]]</f>
        <v>0</v>
      </c>
      <c r="M3247" s="844">
        <v>0</v>
      </c>
      <c r="N3247" s="189"/>
      <c r="O3247" s="1"/>
      <c r="P3247" s="189"/>
      <c r="Q3247" s="190"/>
      <c r="R3247" s="188"/>
      <c r="S3247" s="193"/>
      <c r="T3247" s="192"/>
      <c r="U3247" s="829"/>
      <c r="V3247" s="10"/>
      <c r="W3247" s="10"/>
      <c r="X3247" s="10"/>
      <c r="Y3247" s="10"/>
      <c r="Z3247" s="10"/>
      <c r="AA3247" s="11"/>
      <c r="AB3247" s="11"/>
    </row>
    <row r="3248" spans="2:28" x14ac:dyDescent="0.3">
      <c r="B3248" s="10"/>
      <c r="C3248" s="315"/>
      <c r="D3248" s="868"/>
      <c r="E3248" s="837" t="str">
        <f>IFERROR(IF(_xlfn.XLOOKUP(Imput[[#This Row],[RFC]],'Alta Proveedor'!D:D,'Alta Proveedor'!E:E)=0,"",_xlfn.XLOOKUP(Imput[[#This Row],[RFC]],'Alta Proveedor'!D:D,'Alta Proveedor'!E:E)),"")</f>
        <v/>
      </c>
      <c r="F3248" s="832"/>
      <c r="G3248" s="187"/>
      <c r="H3248" s="1"/>
      <c r="I3248" s="169">
        <f>Imput[[#This Row],[Cantidad]]*Imput[[#This Row],[Precio Unitario]]</f>
        <v>0</v>
      </c>
      <c r="J3248" s="11">
        <f>((Imput[[#This Row],[Sub total]])*(0.16))</f>
        <v>0</v>
      </c>
      <c r="K3248" s="11">
        <v>0</v>
      </c>
      <c r="L3248" s="169">
        <f>Imput[[#This Row],[Sub total]]+Imput[[#This Row],[IVA]]-Imput[[#This Row],[Retención / IEPS / Descuento]]</f>
        <v>0</v>
      </c>
      <c r="M3248" s="844">
        <v>0</v>
      </c>
      <c r="N3248" s="189"/>
      <c r="O3248" s="1"/>
      <c r="P3248" s="189"/>
      <c r="Q3248" s="190"/>
      <c r="R3248" s="188"/>
      <c r="S3248" s="193"/>
      <c r="T3248" s="192"/>
      <c r="U3248" s="829"/>
      <c r="V3248" s="10"/>
      <c r="W3248" s="10"/>
      <c r="X3248" s="10"/>
      <c r="Y3248" s="10"/>
      <c r="Z3248" s="10"/>
      <c r="AA3248" s="11"/>
      <c r="AB3248" s="11"/>
    </row>
    <row r="3249" spans="2:28" x14ac:dyDescent="0.3">
      <c r="B3249" s="10"/>
      <c r="C3249" s="315"/>
      <c r="D3249" s="868"/>
      <c r="E3249" s="837" t="str">
        <f>IFERROR(IF(_xlfn.XLOOKUP(Imput[[#This Row],[RFC]],'Alta Proveedor'!D:D,'Alta Proveedor'!E:E)=0,"",_xlfn.XLOOKUP(Imput[[#This Row],[RFC]],'Alta Proveedor'!D:D,'Alta Proveedor'!E:E)),"")</f>
        <v/>
      </c>
      <c r="F3249" s="832"/>
      <c r="G3249" s="187"/>
      <c r="H3249" s="1"/>
      <c r="I3249" s="169">
        <f>Imput[[#This Row],[Cantidad]]*Imput[[#This Row],[Precio Unitario]]</f>
        <v>0</v>
      </c>
      <c r="J3249" s="11">
        <f>((Imput[[#This Row],[Sub total]])*(0.16))</f>
        <v>0</v>
      </c>
      <c r="K3249" s="11">
        <v>0</v>
      </c>
      <c r="L3249" s="169">
        <f>Imput[[#This Row],[Sub total]]+Imput[[#This Row],[IVA]]-Imput[[#This Row],[Retención / IEPS / Descuento]]</f>
        <v>0</v>
      </c>
      <c r="M3249" s="844">
        <v>0</v>
      </c>
      <c r="N3249" s="189"/>
      <c r="O3249" s="1"/>
      <c r="P3249" s="189"/>
      <c r="Q3249" s="190"/>
      <c r="R3249" s="188"/>
      <c r="S3249" s="193"/>
      <c r="T3249" s="192"/>
      <c r="U3249" s="829"/>
      <c r="V3249" s="10"/>
      <c r="W3249" s="10"/>
      <c r="X3249" s="10"/>
      <c r="Y3249" s="10"/>
      <c r="Z3249" s="10"/>
      <c r="AA3249" s="11"/>
      <c r="AB3249" s="11"/>
    </row>
    <row r="3250" spans="2:28" x14ac:dyDescent="0.3">
      <c r="B3250" s="10"/>
      <c r="C3250" s="315"/>
      <c r="D3250" s="868"/>
      <c r="E3250" s="837" t="str">
        <f>IFERROR(IF(_xlfn.XLOOKUP(Imput[[#This Row],[RFC]],'Alta Proveedor'!D:D,'Alta Proveedor'!E:E)=0,"",_xlfn.XLOOKUP(Imput[[#This Row],[RFC]],'Alta Proveedor'!D:D,'Alta Proveedor'!E:E)),"")</f>
        <v/>
      </c>
      <c r="F3250" s="832"/>
      <c r="G3250" s="187"/>
      <c r="H3250" s="1"/>
      <c r="I3250" s="169">
        <f>Imput[[#This Row],[Cantidad]]*Imput[[#This Row],[Precio Unitario]]</f>
        <v>0</v>
      </c>
      <c r="J3250" s="11">
        <f>((Imput[[#This Row],[Sub total]])*(0.16))</f>
        <v>0</v>
      </c>
      <c r="K3250" s="11">
        <v>0</v>
      </c>
      <c r="L3250" s="169">
        <f>Imput[[#This Row],[Sub total]]+Imput[[#This Row],[IVA]]-Imput[[#This Row],[Retención / IEPS / Descuento]]</f>
        <v>0</v>
      </c>
      <c r="M3250" s="844">
        <v>0</v>
      </c>
      <c r="N3250" s="189"/>
      <c r="O3250" s="1"/>
      <c r="P3250" s="189"/>
      <c r="Q3250" s="190"/>
      <c r="R3250" s="188"/>
      <c r="S3250" s="193"/>
      <c r="T3250" s="192"/>
      <c r="U3250" s="829"/>
      <c r="V3250" s="10"/>
      <c r="W3250" s="10"/>
      <c r="X3250" s="10"/>
      <c r="Y3250" s="10"/>
      <c r="Z3250" s="10"/>
      <c r="AA3250" s="11"/>
      <c r="AB3250" s="11"/>
    </row>
    <row r="3251" spans="2:28" x14ac:dyDescent="0.3">
      <c r="B3251" s="10"/>
      <c r="C3251" s="315"/>
      <c r="D3251" s="868"/>
      <c r="E3251" s="837" t="str">
        <f>IFERROR(IF(_xlfn.XLOOKUP(Imput[[#This Row],[RFC]],'Alta Proveedor'!D:D,'Alta Proveedor'!E:E)=0,"",_xlfn.XLOOKUP(Imput[[#This Row],[RFC]],'Alta Proveedor'!D:D,'Alta Proveedor'!E:E)),"")</f>
        <v/>
      </c>
      <c r="F3251" s="832"/>
      <c r="G3251" s="187"/>
      <c r="H3251" s="1"/>
      <c r="I3251" s="169">
        <f>Imput[[#This Row],[Cantidad]]*Imput[[#This Row],[Precio Unitario]]</f>
        <v>0</v>
      </c>
      <c r="J3251" s="11">
        <f>((Imput[[#This Row],[Sub total]])*(0.16))</f>
        <v>0</v>
      </c>
      <c r="K3251" s="11">
        <v>0</v>
      </c>
      <c r="L3251" s="169">
        <f>Imput[[#This Row],[Sub total]]+Imput[[#This Row],[IVA]]-Imput[[#This Row],[Retención / IEPS / Descuento]]</f>
        <v>0</v>
      </c>
      <c r="M3251" s="844">
        <v>0</v>
      </c>
      <c r="N3251" s="189"/>
      <c r="O3251" s="1"/>
      <c r="P3251" s="189"/>
      <c r="Q3251" s="190"/>
      <c r="R3251" s="188"/>
      <c r="S3251" s="193"/>
      <c r="T3251" s="192"/>
      <c r="U3251" s="829"/>
      <c r="V3251" s="10"/>
      <c r="W3251" s="10"/>
      <c r="X3251" s="10"/>
      <c r="Y3251" s="10"/>
      <c r="Z3251" s="10"/>
      <c r="AA3251" s="11"/>
      <c r="AB3251" s="11"/>
    </row>
    <row r="3252" spans="2:28" x14ac:dyDescent="0.3">
      <c r="B3252" s="10"/>
      <c r="C3252" s="315"/>
      <c r="D3252" s="868"/>
      <c r="E3252" s="837" t="str">
        <f>IFERROR(IF(_xlfn.XLOOKUP(Imput[[#This Row],[RFC]],'Alta Proveedor'!D:D,'Alta Proveedor'!E:E)=0,"",_xlfn.XLOOKUP(Imput[[#This Row],[RFC]],'Alta Proveedor'!D:D,'Alta Proveedor'!E:E)),"")</f>
        <v/>
      </c>
      <c r="F3252" s="832"/>
      <c r="G3252" s="187"/>
      <c r="H3252" s="1"/>
      <c r="I3252" s="169">
        <f>Imput[[#This Row],[Cantidad]]*Imput[[#This Row],[Precio Unitario]]</f>
        <v>0</v>
      </c>
      <c r="J3252" s="11">
        <f>((Imput[[#This Row],[Sub total]])*(0.16))</f>
        <v>0</v>
      </c>
      <c r="K3252" s="11">
        <v>0</v>
      </c>
      <c r="L3252" s="169">
        <f>Imput[[#This Row],[Sub total]]+Imput[[#This Row],[IVA]]-Imput[[#This Row],[Retención / IEPS / Descuento]]</f>
        <v>0</v>
      </c>
      <c r="M3252" s="844">
        <v>0</v>
      </c>
      <c r="N3252" s="189"/>
      <c r="O3252" s="1"/>
      <c r="P3252" s="189"/>
      <c r="Q3252" s="190"/>
      <c r="R3252" s="188"/>
      <c r="S3252" s="193"/>
      <c r="T3252" s="192"/>
      <c r="U3252" s="829"/>
      <c r="V3252" s="10"/>
      <c r="W3252" s="10"/>
      <c r="X3252" s="10"/>
      <c r="Y3252" s="10"/>
      <c r="Z3252" s="10"/>
      <c r="AA3252" s="11"/>
      <c r="AB3252" s="11"/>
    </row>
    <row r="3253" spans="2:28" x14ac:dyDescent="0.3">
      <c r="B3253" s="10"/>
      <c r="C3253" s="315"/>
      <c r="D3253" s="868"/>
      <c r="E3253" s="837" t="str">
        <f>IFERROR(IF(_xlfn.XLOOKUP(Imput[[#This Row],[RFC]],'Alta Proveedor'!D:D,'Alta Proveedor'!E:E)=0,"",_xlfn.XLOOKUP(Imput[[#This Row],[RFC]],'Alta Proveedor'!D:D,'Alta Proveedor'!E:E)),"")</f>
        <v/>
      </c>
      <c r="F3253" s="832"/>
      <c r="G3253" s="187"/>
      <c r="H3253" s="1"/>
      <c r="I3253" s="169">
        <f>Imput[[#This Row],[Cantidad]]*Imput[[#This Row],[Precio Unitario]]</f>
        <v>0</v>
      </c>
      <c r="J3253" s="11">
        <f>((Imput[[#This Row],[Sub total]])*(0.16))</f>
        <v>0</v>
      </c>
      <c r="K3253" s="11">
        <v>0</v>
      </c>
      <c r="L3253" s="169">
        <f>Imput[[#This Row],[Sub total]]+Imput[[#This Row],[IVA]]-Imput[[#This Row],[Retención / IEPS / Descuento]]</f>
        <v>0</v>
      </c>
      <c r="M3253" s="844">
        <v>0</v>
      </c>
      <c r="N3253" s="189"/>
      <c r="O3253" s="1"/>
      <c r="P3253" s="189"/>
      <c r="Q3253" s="190"/>
      <c r="R3253" s="188"/>
      <c r="S3253" s="193"/>
      <c r="T3253" s="192"/>
      <c r="U3253" s="829"/>
      <c r="V3253" s="10"/>
      <c r="W3253" s="10"/>
      <c r="X3253" s="10"/>
      <c r="Y3253" s="10"/>
      <c r="Z3253" s="10"/>
      <c r="AA3253" s="11"/>
      <c r="AB3253" s="11"/>
    </row>
    <row r="3254" spans="2:28" x14ac:dyDescent="0.3">
      <c r="B3254" s="10"/>
      <c r="C3254" s="315"/>
      <c r="D3254" s="868"/>
      <c r="E3254" s="837" t="str">
        <f>IFERROR(IF(_xlfn.XLOOKUP(Imput[[#This Row],[RFC]],'Alta Proveedor'!D:D,'Alta Proveedor'!E:E)=0,"",_xlfn.XLOOKUP(Imput[[#This Row],[RFC]],'Alta Proveedor'!D:D,'Alta Proveedor'!E:E)),"")</f>
        <v/>
      </c>
      <c r="F3254" s="832"/>
      <c r="G3254" s="187"/>
      <c r="H3254" s="1"/>
      <c r="I3254" s="169">
        <f>Imput[[#This Row],[Cantidad]]*Imput[[#This Row],[Precio Unitario]]</f>
        <v>0</v>
      </c>
      <c r="J3254" s="11">
        <f>((Imput[[#This Row],[Sub total]])*(0.16))</f>
        <v>0</v>
      </c>
      <c r="K3254" s="11">
        <v>0</v>
      </c>
      <c r="L3254" s="169">
        <f>Imput[[#This Row],[Sub total]]+Imput[[#This Row],[IVA]]-Imput[[#This Row],[Retención / IEPS / Descuento]]</f>
        <v>0</v>
      </c>
      <c r="M3254" s="844">
        <v>0</v>
      </c>
      <c r="N3254" s="189"/>
      <c r="O3254" s="1"/>
      <c r="P3254" s="189"/>
      <c r="Q3254" s="190"/>
      <c r="R3254" s="188"/>
      <c r="S3254" s="193"/>
      <c r="T3254" s="192"/>
      <c r="U3254" s="829"/>
      <c r="V3254" s="10"/>
      <c r="W3254" s="10"/>
      <c r="X3254" s="10"/>
      <c r="Y3254" s="10"/>
      <c r="Z3254" s="10"/>
      <c r="AA3254" s="11"/>
      <c r="AB3254" s="11"/>
    </row>
    <row r="3255" spans="2:28" x14ac:dyDescent="0.3">
      <c r="B3255" s="10"/>
      <c r="C3255" s="315"/>
      <c r="D3255" s="868"/>
      <c r="E3255" s="837" t="str">
        <f>IFERROR(IF(_xlfn.XLOOKUP(Imput[[#This Row],[RFC]],'Alta Proveedor'!D:D,'Alta Proveedor'!E:E)=0,"",_xlfn.XLOOKUP(Imput[[#This Row],[RFC]],'Alta Proveedor'!D:D,'Alta Proveedor'!E:E)),"")</f>
        <v/>
      </c>
      <c r="F3255" s="832"/>
      <c r="G3255" s="187"/>
      <c r="H3255" s="1"/>
      <c r="I3255" s="169">
        <f>Imput[[#This Row],[Cantidad]]*Imput[[#This Row],[Precio Unitario]]</f>
        <v>0</v>
      </c>
      <c r="J3255" s="11">
        <f>((Imput[[#This Row],[Sub total]])*(0.16))</f>
        <v>0</v>
      </c>
      <c r="K3255" s="11">
        <v>0</v>
      </c>
      <c r="L3255" s="169">
        <f>Imput[[#This Row],[Sub total]]+Imput[[#This Row],[IVA]]-Imput[[#This Row],[Retención / IEPS / Descuento]]</f>
        <v>0</v>
      </c>
      <c r="M3255" s="844">
        <v>0</v>
      </c>
      <c r="N3255" s="189"/>
      <c r="O3255" s="1"/>
      <c r="P3255" s="189"/>
      <c r="Q3255" s="190"/>
      <c r="R3255" s="188"/>
      <c r="S3255" s="193"/>
      <c r="T3255" s="192"/>
      <c r="U3255" s="829"/>
      <c r="V3255" s="10"/>
      <c r="W3255" s="10"/>
      <c r="X3255" s="10"/>
      <c r="Y3255" s="10"/>
      <c r="Z3255" s="10"/>
      <c r="AA3255" s="11"/>
      <c r="AB3255" s="11"/>
    </row>
    <row r="3256" spans="2:28" x14ac:dyDescent="0.3">
      <c r="B3256" s="10"/>
      <c r="C3256" s="315"/>
      <c r="D3256" s="868"/>
      <c r="E3256" s="837" t="str">
        <f>IFERROR(IF(_xlfn.XLOOKUP(Imput[[#This Row],[RFC]],'Alta Proveedor'!D:D,'Alta Proveedor'!E:E)=0,"",_xlfn.XLOOKUP(Imput[[#This Row],[RFC]],'Alta Proveedor'!D:D,'Alta Proveedor'!E:E)),"")</f>
        <v/>
      </c>
      <c r="F3256" s="832"/>
      <c r="G3256" s="187"/>
      <c r="H3256" s="1"/>
      <c r="I3256" s="169">
        <f>Imput[[#This Row],[Cantidad]]*Imput[[#This Row],[Precio Unitario]]</f>
        <v>0</v>
      </c>
      <c r="J3256" s="11">
        <f>((Imput[[#This Row],[Sub total]])*(0.16))</f>
        <v>0</v>
      </c>
      <c r="K3256" s="11">
        <v>0</v>
      </c>
      <c r="L3256" s="169">
        <f>Imput[[#This Row],[Sub total]]+Imput[[#This Row],[IVA]]-Imput[[#This Row],[Retención / IEPS / Descuento]]</f>
        <v>0</v>
      </c>
      <c r="M3256" s="844">
        <v>0</v>
      </c>
      <c r="N3256" s="189"/>
      <c r="O3256" s="1"/>
      <c r="P3256" s="189"/>
      <c r="Q3256" s="190"/>
      <c r="R3256" s="188"/>
      <c r="S3256" s="193"/>
      <c r="T3256" s="192"/>
      <c r="U3256" s="829"/>
      <c r="V3256" s="10"/>
      <c r="W3256" s="10"/>
      <c r="X3256" s="10"/>
      <c r="Y3256" s="10"/>
      <c r="Z3256" s="10"/>
      <c r="AA3256" s="11"/>
      <c r="AB3256" s="11"/>
    </row>
    <row r="3257" spans="2:28" x14ac:dyDescent="0.3">
      <c r="B3257" s="10"/>
      <c r="C3257" s="315"/>
      <c r="D3257" s="868"/>
      <c r="E3257" s="837" t="str">
        <f>IFERROR(IF(_xlfn.XLOOKUP(Imput[[#This Row],[RFC]],'Alta Proveedor'!D:D,'Alta Proveedor'!E:E)=0,"",_xlfn.XLOOKUP(Imput[[#This Row],[RFC]],'Alta Proveedor'!D:D,'Alta Proveedor'!E:E)),"")</f>
        <v/>
      </c>
      <c r="F3257" s="832"/>
      <c r="G3257" s="187"/>
      <c r="H3257" s="1"/>
      <c r="I3257" s="169">
        <f>Imput[[#This Row],[Cantidad]]*Imput[[#This Row],[Precio Unitario]]</f>
        <v>0</v>
      </c>
      <c r="J3257" s="11">
        <f>((Imput[[#This Row],[Sub total]])*(0.16))</f>
        <v>0</v>
      </c>
      <c r="K3257" s="11">
        <v>0</v>
      </c>
      <c r="L3257" s="169">
        <f>Imput[[#This Row],[Sub total]]+Imput[[#This Row],[IVA]]-Imput[[#This Row],[Retención / IEPS / Descuento]]</f>
        <v>0</v>
      </c>
      <c r="M3257" s="844">
        <v>0</v>
      </c>
      <c r="N3257" s="189"/>
      <c r="O3257" s="1"/>
      <c r="P3257" s="189"/>
      <c r="Q3257" s="190"/>
      <c r="R3257" s="188"/>
      <c r="S3257" s="193"/>
      <c r="T3257" s="192"/>
      <c r="U3257" s="829"/>
      <c r="V3257" s="10"/>
      <c r="W3257" s="10"/>
      <c r="X3257" s="10"/>
      <c r="Y3257" s="10"/>
      <c r="Z3257" s="10"/>
      <c r="AA3257" s="11"/>
      <c r="AB3257" s="11"/>
    </row>
    <row r="3258" spans="2:28" x14ac:dyDescent="0.3">
      <c r="B3258" s="10"/>
      <c r="C3258" s="315"/>
      <c r="D3258" s="868"/>
      <c r="E3258" s="837" t="str">
        <f>IFERROR(IF(_xlfn.XLOOKUP(Imput[[#This Row],[RFC]],'Alta Proveedor'!D:D,'Alta Proveedor'!E:E)=0,"",_xlfn.XLOOKUP(Imput[[#This Row],[RFC]],'Alta Proveedor'!D:D,'Alta Proveedor'!E:E)),"")</f>
        <v/>
      </c>
      <c r="F3258" s="832"/>
      <c r="G3258" s="187"/>
      <c r="H3258" s="1"/>
      <c r="I3258" s="169">
        <f>Imput[[#This Row],[Cantidad]]*Imput[[#This Row],[Precio Unitario]]</f>
        <v>0</v>
      </c>
      <c r="J3258" s="11">
        <f>((Imput[[#This Row],[Sub total]])*(0.16))</f>
        <v>0</v>
      </c>
      <c r="K3258" s="11">
        <v>0</v>
      </c>
      <c r="L3258" s="169">
        <f>Imput[[#This Row],[Sub total]]+Imput[[#This Row],[IVA]]-Imput[[#This Row],[Retención / IEPS / Descuento]]</f>
        <v>0</v>
      </c>
      <c r="M3258" s="844">
        <v>0</v>
      </c>
      <c r="N3258" s="189"/>
      <c r="O3258" s="1"/>
      <c r="P3258" s="189"/>
      <c r="Q3258" s="190"/>
      <c r="R3258" s="188"/>
      <c r="S3258" s="193"/>
      <c r="T3258" s="192"/>
      <c r="U3258" s="829"/>
      <c r="V3258" s="10"/>
      <c r="W3258" s="10"/>
      <c r="X3258" s="10"/>
      <c r="Y3258" s="10"/>
      <c r="Z3258" s="10"/>
      <c r="AA3258" s="11"/>
      <c r="AB3258" s="11"/>
    </row>
    <row r="3259" spans="2:28" x14ac:dyDescent="0.3">
      <c r="B3259" s="10"/>
      <c r="C3259" s="315"/>
      <c r="D3259" s="868"/>
      <c r="E3259" s="837" t="str">
        <f>IFERROR(IF(_xlfn.XLOOKUP(Imput[[#This Row],[RFC]],'Alta Proveedor'!D:D,'Alta Proveedor'!E:E)=0,"",_xlfn.XLOOKUP(Imput[[#This Row],[RFC]],'Alta Proveedor'!D:D,'Alta Proveedor'!E:E)),"")</f>
        <v/>
      </c>
      <c r="F3259" s="832"/>
      <c r="G3259" s="187"/>
      <c r="H3259" s="1"/>
      <c r="I3259" s="169">
        <f>Imput[[#This Row],[Cantidad]]*Imput[[#This Row],[Precio Unitario]]</f>
        <v>0</v>
      </c>
      <c r="J3259" s="11">
        <f>((Imput[[#This Row],[Sub total]])*(0.16))</f>
        <v>0</v>
      </c>
      <c r="K3259" s="11">
        <v>0</v>
      </c>
      <c r="L3259" s="169">
        <f>Imput[[#This Row],[Sub total]]+Imput[[#This Row],[IVA]]-Imput[[#This Row],[Retención / IEPS / Descuento]]</f>
        <v>0</v>
      </c>
      <c r="M3259" s="844">
        <v>0</v>
      </c>
      <c r="N3259" s="189"/>
      <c r="O3259" s="1"/>
      <c r="P3259" s="189"/>
      <c r="Q3259" s="190"/>
      <c r="R3259" s="188"/>
      <c r="S3259" s="193"/>
      <c r="T3259" s="192"/>
      <c r="U3259" s="829"/>
      <c r="V3259" s="10"/>
      <c r="W3259" s="10"/>
      <c r="X3259" s="10"/>
      <c r="Y3259" s="10"/>
      <c r="Z3259" s="10"/>
      <c r="AA3259" s="11"/>
      <c r="AB3259" s="11"/>
    </row>
    <row r="3260" spans="2:28" x14ac:dyDescent="0.3">
      <c r="B3260" s="10"/>
      <c r="C3260" s="315"/>
      <c r="D3260" s="868"/>
      <c r="E3260" s="837" t="str">
        <f>IFERROR(IF(_xlfn.XLOOKUP(Imput[[#This Row],[RFC]],'Alta Proveedor'!D:D,'Alta Proveedor'!E:E)=0,"",_xlfn.XLOOKUP(Imput[[#This Row],[RFC]],'Alta Proveedor'!D:D,'Alta Proveedor'!E:E)),"")</f>
        <v/>
      </c>
      <c r="F3260" s="832"/>
      <c r="G3260" s="187"/>
      <c r="H3260" s="1"/>
      <c r="I3260" s="169">
        <f>Imput[[#This Row],[Cantidad]]*Imput[[#This Row],[Precio Unitario]]</f>
        <v>0</v>
      </c>
      <c r="J3260" s="11">
        <f>((Imput[[#This Row],[Sub total]])*(0.16))</f>
        <v>0</v>
      </c>
      <c r="K3260" s="11">
        <v>0</v>
      </c>
      <c r="L3260" s="169">
        <f>Imput[[#This Row],[Sub total]]+Imput[[#This Row],[IVA]]-Imput[[#This Row],[Retención / IEPS / Descuento]]</f>
        <v>0</v>
      </c>
      <c r="M3260" s="844">
        <v>0</v>
      </c>
      <c r="N3260" s="189"/>
      <c r="O3260" s="1"/>
      <c r="P3260" s="189"/>
      <c r="Q3260" s="190"/>
      <c r="R3260" s="188"/>
      <c r="S3260" s="193"/>
      <c r="T3260" s="192"/>
      <c r="U3260" s="829"/>
      <c r="V3260" s="10"/>
      <c r="W3260" s="10"/>
      <c r="X3260" s="10"/>
      <c r="Y3260" s="10"/>
      <c r="Z3260" s="10"/>
      <c r="AA3260" s="11"/>
      <c r="AB3260" s="11"/>
    </row>
    <row r="3261" spans="2:28" x14ac:dyDescent="0.3">
      <c r="B3261" s="10"/>
      <c r="C3261" s="315"/>
      <c r="D3261" s="868"/>
      <c r="E3261" s="837" t="str">
        <f>IFERROR(IF(_xlfn.XLOOKUP(Imput[[#This Row],[RFC]],'Alta Proveedor'!D:D,'Alta Proveedor'!E:E)=0,"",_xlfn.XLOOKUP(Imput[[#This Row],[RFC]],'Alta Proveedor'!D:D,'Alta Proveedor'!E:E)),"")</f>
        <v/>
      </c>
      <c r="F3261" s="832"/>
      <c r="G3261" s="187"/>
      <c r="H3261" s="1"/>
      <c r="I3261" s="169">
        <f>Imput[[#This Row],[Cantidad]]*Imput[[#This Row],[Precio Unitario]]</f>
        <v>0</v>
      </c>
      <c r="J3261" s="11">
        <f>((Imput[[#This Row],[Sub total]])*(0.16))</f>
        <v>0</v>
      </c>
      <c r="K3261" s="11">
        <v>0</v>
      </c>
      <c r="L3261" s="169">
        <f>Imput[[#This Row],[Sub total]]+Imput[[#This Row],[IVA]]-Imput[[#This Row],[Retención / IEPS / Descuento]]</f>
        <v>0</v>
      </c>
      <c r="M3261" s="844">
        <v>0</v>
      </c>
      <c r="N3261" s="189"/>
      <c r="O3261" s="1"/>
      <c r="P3261" s="189"/>
      <c r="Q3261" s="190"/>
      <c r="R3261" s="188"/>
      <c r="S3261" s="193"/>
      <c r="T3261" s="192"/>
      <c r="U3261" s="829"/>
      <c r="V3261" s="10"/>
      <c r="W3261" s="10"/>
      <c r="X3261" s="10"/>
      <c r="Y3261" s="10"/>
      <c r="Z3261" s="10"/>
      <c r="AA3261" s="11"/>
      <c r="AB3261" s="11"/>
    </row>
    <row r="3262" spans="2:28" x14ac:dyDescent="0.3">
      <c r="B3262" s="10"/>
      <c r="C3262" s="315"/>
      <c r="D3262" s="868"/>
      <c r="E3262" s="837" t="str">
        <f>IFERROR(IF(_xlfn.XLOOKUP(Imput[[#This Row],[RFC]],'Alta Proveedor'!D:D,'Alta Proveedor'!E:E)=0,"",_xlfn.XLOOKUP(Imput[[#This Row],[RFC]],'Alta Proveedor'!D:D,'Alta Proveedor'!E:E)),"")</f>
        <v/>
      </c>
      <c r="F3262" s="832"/>
      <c r="G3262" s="187"/>
      <c r="H3262" s="1"/>
      <c r="I3262" s="169">
        <f>Imput[[#This Row],[Cantidad]]*Imput[[#This Row],[Precio Unitario]]</f>
        <v>0</v>
      </c>
      <c r="J3262" s="11">
        <f>((Imput[[#This Row],[Sub total]])*(0.16))</f>
        <v>0</v>
      </c>
      <c r="K3262" s="11">
        <v>0</v>
      </c>
      <c r="L3262" s="169">
        <f>Imput[[#This Row],[Sub total]]+Imput[[#This Row],[IVA]]-Imput[[#This Row],[Retención / IEPS / Descuento]]</f>
        <v>0</v>
      </c>
      <c r="M3262" s="844">
        <v>0</v>
      </c>
      <c r="N3262" s="189"/>
      <c r="O3262" s="1"/>
      <c r="P3262" s="189"/>
      <c r="Q3262" s="190"/>
      <c r="R3262" s="188"/>
      <c r="S3262" s="193"/>
      <c r="T3262" s="192"/>
      <c r="U3262" s="829"/>
      <c r="V3262" s="10"/>
      <c r="W3262" s="10"/>
      <c r="X3262" s="10"/>
      <c r="Y3262" s="10"/>
      <c r="Z3262" s="10"/>
      <c r="AA3262" s="11"/>
      <c r="AB3262" s="11"/>
    </row>
    <row r="3263" spans="2:28" x14ac:dyDescent="0.3">
      <c r="B3263" s="10"/>
      <c r="C3263" s="315"/>
      <c r="D3263" s="868"/>
      <c r="E3263" s="837" t="str">
        <f>IFERROR(IF(_xlfn.XLOOKUP(Imput[[#This Row],[RFC]],'Alta Proveedor'!D:D,'Alta Proveedor'!E:E)=0,"",_xlfn.XLOOKUP(Imput[[#This Row],[RFC]],'Alta Proveedor'!D:D,'Alta Proveedor'!E:E)),"")</f>
        <v/>
      </c>
      <c r="F3263" s="832"/>
      <c r="G3263" s="187"/>
      <c r="H3263" s="1"/>
      <c r="I3263" s="169">
        <f>Imput[[#This Row],[Cantidad]]*Imput[[#This Row],[Precio Unitario]]</f>
        <v>0</v>
      </c>
      <c r="J3263" s="11">
        <f>((Imput[[#This Row],[Sub total]])*(0.16))</f>
        <v>0</v>
      </c>
      <c r="K3263" s="11">
        <v>0</v>
      </c>
      <c r="L3263" s="169">
        <f>Imput[[#This Row],[Sub total]]+Imput[[#This Row],[IVA]]-Imput[[#This Row],[Retención / IEPS / Descuento]]</f>
        <v>0</v>
      </c>
      <c r="M3263" s="844">
        <v>0</v>
      </c>
      <c r="N3263" s="189"/>
      <c r="O3263" s="1"/>
      <c r="P3263" s="189"/>
      <c r="Q3263" s="190"/>
      <c r="R3263" s="188"/>
      <c r="S3263" s="193"/>
      <c r="T3263" s="192"/>
      <c r="U3263" s="829"/>
      <c r="V3263" s="10"/>
      <c r="W3263" s="10"/>
      <c r="X3263" s="10"/>
      <c r="Y3263" s="10"/>
      <c r="Z3263" s="10"/>
      <c r="AA3263" s="11"/>
      <c r="AB3263" s="11"/>
    </row>
    <row r="3264" spans="2:28" x14ac:dyDescent="0.3">
      <c r="B3264" s="10"/>
      <c r="C3264" s="315"/>
      <c r="D3264" s="868"/>
      <c r="E3264" s="837" t="str">
        <f>IFERROR(IF(_xlfn.XLOOKUP(Imput[[#This Row],[RFC]],'Alta Proveedor'!D:D,'Alta Proveedor'!E:E)=0,"",_xlfn.XLOOKUP(Imput[[#This Row],[RFC]],'Alta Proveedor'!D:D,'Alta Proveedor'!E:E)),"")</f>
        <v/>
      </c>
      <c r="F3264" s="832"/>
      <c r="G3264" s="187"/>
      <c r="H3264" s="1"/>
      <c r="I3264" s="169">
        <f>Imput[[#This Row],[Cantidad]]*Imput[[#This Row],[Precio Unitario]]</f>
        <v>0</v>
      </c>
      <c r="J3264" s="11">
        <f>((Imput[[#This Row],[Sub total]])*(0.16))</f>
        <v>0</v>
      </c>
      <c r="K3264" s="11">
        <v>0</v>
      </c>
      <c r="L3264" s="169">
        <f>Imput[[#This Row],[Sub total]]+Imput[[#This Row],[IVA]]-Imput[[#This Row],[Retención / IEPS / Descuento]]</f>
        <v>0</v>
      </c>
      <c r="M3264" s="844">
        <v>0</v>
      </c>
      <c r="N3264" s="189"/>
      <c r="O3264" s="1"/>
      <c r="P3264" s="189"/>
      <c r="Q3264" s="190"/>
      <c r="R3264" s="188"/>
      <c r="S3264" s="193"/>
      <c r="T3264" s="192"/>
      <c r="U3264" s="829"/>
      <c r="V3264" s="10"/>
      <c r="W3264" s="10"/>
      <c r="X3264" s="10"/>
      <c r="Y3264" s="10"/>
      <c r="Z3264" s="10"/>
      <c r="AA3264" s="11"/>
      <c r="AB3264" s="11"/>
    </row>
    <row r="3265" spans="2:28" x14ac:dyDescent="0.3">
      <c r="B3265" s="10"/>
      <c r="C3265" s="315"/>
      <c r="D3265" s="868"/>
      <c r="E3265" s="837" t="str">
        <f>IFERROR(IF(_xlfn.XLOOKUP(Imput[[#This Row],[RFC]],'Alta Proveedor'!D:D,'Alta Proveedor'!E:E)=0,"",_xlfn.XLOOKUP(Imput[[#This Row],[RFC]],'Alta Proveedor'!D:D,'Alta Proveedor'!E:E)),"")</f>
        <v/>
      </c>
      <c r="F3265" s="832"/>
      <c r="G3265" s="187"/>
      <c r="H3265" s="1"/>
      <c r="I3265" s="169">
        <f>Imput[[#This Row],[Cantidad]]*Imput[[#This Row],[Precio Unitario]]</f>
        <v>0</v>
      </c>
      <c r="J3265" s="11">
        <f>((Imput[[#This Row],[Sub total]])*(0.16))</f>
        <v>0</v>
      </c>
      <c r="K3265" s="11">
        <v>0</v>
      </c>
      <c r="L3265" s="169">
        <f>Imput[[#This Row],[Sub total]]+Imput[[#This Row],[IVA]]-Imput[[#This Row],[Retención / IEPS / Descuento]]</f>
        <v>0</v>
      </c>
      <c r="M3265" s="844">
        <v>0</v>
      </c>
      <c r="N3265" s="189"/>
      <c r="O3265" s="1"/>
      <c r="P3265" s="189"/>
      <c r="Q3265" s="190"/>
      <c r="R3265" s="188"/>
      <c r="S3265" s="193"/>
      <c r="T3265" s="192"/>
      <c r="U3265" s="829"/>
      <c r="V3265" s="10"/>
      <c r="W3265" s="10"/>
      <c r="X3265" s="10"/>
      <c r="Y3265" s="10"/>
      <c r="Z3265" s="10"/>
      <c r="AA3265" s="11"/>
      <c r="AB3265" s="11"/>
    </row>
    <row r="3266" spans="2:28" x14ac:dyDescent="0.3">
      <c r="B3266" s="10"/>
      <c r="C3266" s="315"/>
      <c r="D3266" s="868"/>
      <c r="E3266" s="837" t="str">
        <f>IFERROR(IF(_xlfn.XLOOKUP(Imput[[#This Row],[RFC]],'Alta Proveedor'!D:D,'Alta Proveedor'!E:E)=0,"",_xlfn.XLOOKUP(Imput[[#This Row],[RFC]],'Alta Proveedor'!D:D,'Alta Proveedor'!E:E)),"")</f>
        <v/>
      </c>
      <c r="F3266" s="832"/>
      <c r="G3266" s="187"/>
      <c r="H3266" s="1"/>
      <c r="I3266" s="169">
        <f>Imput[[#This Row],[Cantidad]]*Imput[[#This Row],[Precio Unitario]]</f>
        <v>0</v>
      </c>
      <c r="J3266" s="11">
        <f>((Imput[[#This Row],[Sub total]])*(0.16))</f>
        <v>0</v>
      </c>
      <c r="K3266" s="11">
        <v>0</v>
      </c>
      <c r="L3266" s="169">
        <f>Imput[[#This Row],[Sub total]]+Imput[[#This Row],[IVA]]-Imput[[#This Row],[Retención / IEPS / Descuento]]</f>
        <v>0</v>
      </c>
      <c r="M3266" s="844">
        <v>0</v>
      </c>
      <c r="N3266" s="189"/>
      <c r="O3266" s="1"/>
      <c r="P3266" s="189"/>
      <c r="Q3266" s="190"/>
      <c r="R3266" s="188"/>
      <c r="S3266" s="193"/>
      <c r="T3266" s="192"/>
      <c r="U3266" s="829"/>
      <c r="V3266" s="10"/>
      <c r="W3266" s="10"/>
      <c r="X3266" s="10"/>
      <c r="Y3266" s="10"/>
      <c r="Z3266" s="10"/>
      <c r="AA3266" s="11"/>
      <c r="AB3266" s="11"/>
    </row>
    <row r="3267" spans="2:28" x14ac:dyDescent="0.3">
      <c r="B3267" s="10"/>
      <c r="C3267" s="315"/>
      <c r="D3267" s="868"/>
      <c r="E3267" s="837" t="str">
        <f>IFERROR(IF(_xlfn.XLOOKUP(Imput[[#This Row],[RFC]],'Alta Proveedor'!D:D,'Alta Proveedor'!E:E)=0,"",_xlfn.XLOOKUP(Imput[[#This Row],[RFC]],'Alta Proveedor'!D:D,'Alta Proveedor'!E:E)),"")</f>
        <v/>
      </c>
      <c r="F3267" s="832"/>
      <c r="G3267" s="187"/>
      <c r="H3267" s="1"/>
      <c r="I3267" s="169">
        <f>Imput[[#This Row],[Cantidad]]*Imput[[#This Row],[Precio Unitario]]</f>
        <v>0</v>
      </c>
      <c r="J3267" s="11">
        <f>((Imput[[#This Row],[Sub total]])*(0.16))</f>
        <v>0</v>
      </c>
      <c r="K3267" s="11">
        <v>0</v>
      </c>
      <c r="L3267" s="169">
        <f>Imput[[#This Row],[Sub total]]+Imput[[#This Row],[IVA]]-Imput[[#This Row],[Retención / IEPS / Descuento]]</f>
        <v>0</v>
      </c>
      <c r="M3267" s="844">
        <v>0</v>
      </c>
      <c r="N3267" s="189"/>
      <c r="O3267" s="1"/>
      <c r="P3267" s="189"/>
      <c r="Q3267" s="190"/>
      <c r="R3267" s="188"/>
      <c r="S3267" s="193"/>
      <c r="T3267" s="192"/>
      <c r="U3267" s="829"/>
      <c r="V3267" s="10"/>
      <c r="W3267" s="10"/>
      <c r="X3267" s="10"/>
      <c r="Y3267" s="10"/>
      <c r="Z3267" s="10"/>
      <c r="AA3267" s="11"/>
      <c r="AB3267" s="11"/>
    </row>
    <row r="3268" spans="2:28" x14ac:dyDescent="0.3">
      <c r="B3268" s="10"/>
      <c r="C3268" s="315"/>
      <c r="D3268" s="868"/>
      <c r="E3268" s="837" t="str">
        <f>IFERROR(IF(_xlfn.XLOOKUP(Imput[[#This Row],[RFC]],'Alta Proveedor'!D:D,'Alta Proveedor'!E:E)=0,"",_xlfn.XLOOKUP(Imput[[#This Row],[RFC]],'Alta Proveedor'!D:D,'Alta Proveedor'!E:E)),"")</f>
        <v/>
      </c>
      <c r="F3268" s="832"/>
      <c r="G3268" s="187"/>
      <c r="H3268" s="1"/>
      <c r="I3268" s="169">
        <f>Imput[[#This Row],[Cantidad]]*Imput[[#This Row],[Precio Unitario]]</f>
        <v>0</v>
      </c>
      <c r="J3268" s="11">
        <f>((Imput[[#This Row],[Sub total]])*(0.16))</f>
        <v>0</v>
      </c>
      <c r="K3268" s="11">
        <v>0</v>
      </c>
      <c r="L3268" s="169">
        <f>Imput[[#This Row],[Sub total]]+Imput[[#This Row],[IVA]]-Imput[[#This Row],[Retención / IEPS / Descuento]]</f>
        <v>0</v>
      </c>
      <c r="M3268" s="844">
        <v>0</v>
      </c>
      <c r="N3268" s="189"/>
      <c r="O3268" s="1"/>
      <c r="P3268" s="189"/>
      <c r="Q3268" s="190"/>
      <c r="R3268" s="188"/>
      <c r="S3268" s="193"/>
      <c r="T3268" s="192"/>
      <c r="U3268" s="829"/>
      <c r="V3268" s="10"/>
      <c r="W3268" s="10"/>
      <c r="X3268" s="10"/>
      <c r="Y3268" s="10"/>
      <c r="Z3268" s="10"/>
      <c r="AA3268" s="11"/>
      <c r="AB3268" s="11"/>
    </row>
    <row r="3269" spans="2:28" x14ac:dyDescent="0.3">
      <c r="B3269" s="10"/>
      <c r="C3269" s="315"/>
      <c r="D3269" s="868"/>
      <c r="E3269" s="837" t="str">
        <f>IFERROR(IF(_xlfn.XLOOKUP(Imput[[#This Row],[RFC]],'Alta Proveedor'!D:D,'Alta Proveedor'!E:E)=0,"",_xlfn.XLOOKUP(Imput[[#This Row],[RFC]],'Alta Proveedor'!D:D,'Alta Proveedor'!E:E)),"")</f>
        <v/>
      </c>
      <c r="F3269" s="832"/>
      <c r="G3269" s="187"/>
      <c r="H3269" s="1"/>
      <c r="I3269" s="169">
        <f>Imput[[#This Row],[Cantidad]]*Imput[[#This Row],[Precio Unitario]]</f>
        <v>0</v>
      </c>
      <c r="J3269" s="11">
        <f>((Imput[[#This Row],[Sub total]])*(0.16))</f>
        <v>0</v>
      </c>
      <c r="K3269" s="11">
        <v>0</v>
      </c>
      <c r="L3269" s="169">
        <f>Imput[[#This Row],[Sub total]]+Imput[[#This Row],[IVA]]-Imput[[#This Row],[Retención / IEPS / Descuento]]</f>
        <v>0</v>
      </c>
      <c r="M3269" s="844">
        <v>0</v>
      </c>
      <c r="N3269" s="189"/>
      <c r="O3269" s="1"/>
      <c r="P3269" s="189"/>
      <c r="Q3269" s="190"/>
      <c r="R3269" s="188"/>
      <c r="S3269" s="193"/>
      <c r="T3269" s="192"/>
      <c r="U3269" s="829"/>
      <c r="V3269" s="10"/>
      <c r="W3269" s="10"/>
      <c r="X3269" s="10"/>
      <c r="Y3269" s="10"/>
      <c r="Z3269" s="10"/>
      <c r="AA3269" s="11"/>
      <c r="AB3269" s="11"/>
    </row>
    <row r="3270" spans="2:28" x14ac:dyDescent="0.3">
      <c r="B3270" s="10"/>
      <c r="C3270" s="315"/>
      <c r="D3270" s="868"/>
      <c r="E3270" s="837" t="str">
        <f>IFERROR(IF(_xlfn.XLOOKUP(Imput[[#This Row],[RFC]],'Alta Proveedor'!D:D,'Alta Proveedor'!E:E)=0,"",_xlfn.XLOOKUP(Imput[[#This Row],[RFC]],'Alta Proveedor'!D:D,'Alta Proveedor'!E:E)),"")</f>
        <v/>
      </c>
      <c r="F3270" s="832"/>
      <c r="G3270" s="187"/>
      <c r="H3270" s="1"/>
      <c r="I3270" s="169">
        <f>Imput[[#This Row],[Cantidad]]*Imput[[#This Row],[Precio Unitario]]</f>
        <v>0</v>
      </c>
      <c r="J3270" s="11">
        <f>((Imput[[#This Row],[Sub total]])*(0.16))</f>
        <v>0</v>
      </c>
      <c r="K3270" s="11">
        <v>0</v>
      </c>
      <c r="L3270" s="169">
        <f>Imput[[#This Row],[Sub total]]+Imput[[#This Row],[IVA]]-Imput[[#This Row],[Retención / IEPS / Descuento]]</f>
        <v>0</v>
      </c>
      <c r="M3270" s="844">
        <v>0</v>
      </c>
      <c r="N3270" s="189"/>
      <c r="O3270" s="1"/>
      <c r="P3270" s="189"/>
      <c r="Q3270" s="190"/>
      <c r="R3270" s="188"/>
      <c r="S3270" s="193"/>
      <c r="T3270" s="192"/>
      <c r="U3270" s="829"/>
      <c r="V3270" s="10"/>
      <c r="W3270" s="10"/>
      <c r="X3270" s="10"/>
      <c r="Y3270" s="10"/>
      <c r="Z3270" s="10"/>
      <c r="AA3270" s="11"/>
      <c r="AB3270" s="11"/>
    </row>
    <row r="3271" spans="2:28" x14ac:dyDescent="0.3">
      <c r="B3271" s="10"/>
      <c r="C3271" s="315"/>
      <c r="D3271" s="868"/>
      <c r="E3271" s="837" t="str">
        <f>IFERROR(IF(_xlfn.XLOOKUP(Imput[[#This Row],[RFC]],'Alta Proveedor'!D:D,'Alta Proveedor'!E:E)=0,"",_xlfn.XLOOKUP(Imput[[#This Row],[RFC]],'Alta Proveedor'!D:D,'Alta Proveedor'!E:E)),"")</f>
        <v/>
      </c>
      <c r="F3271" s="832"/>
      <c r="G3271" s="187"/>
      <c r="H3271" s="1"/>
      <c r="I3271" s="169">
        <f>Imput[[#This Row],[Cantidad]]*Imput[[#This Row],[Precio Unitario]]</f>
        <v>0</v>
      </c>
      <c r="J3271" s="11">
        <f>((Imput[[#This Row],[Sub total]])*(0.16))</f>
        <v>0</v>
      </c>
      <c r="K3271" s="11">
        <v>0</v>
      </c>
      <c r="L3271" s="169">
        <f>Imput[[#This Row],[Sub total]]+Imput[[#This Row],[IVA]]-Imput[[#This Row],[Retención / IEPS / Descuento]]</f>
        <v>0</v>
      </c>
      <c r="M3271" s="844">
        <v>0</v>
      </c>
      <c r="N3271" s="189"/>
      <c r="O3271" s="1"/>
      <c r="P3271" s="189"/>
      <c r="Q3271" s="190"/>
      <c r="R3271" s="188"/>
      <c r="S3271" s="193"/>
      <c r="T3271" s="192"/>
      <c r="U3271" s="829"/>
      <c r="V3271" s="10"/>
      <c r="W3271" s="10"/>
      <c r="X3271" s="10"/>
      <c r="Y3271" s="10"/>
      <c r="Z3271" s="10"/>
      <c r="AA3271" s="11"/>
      <c r="AB3271" s="11"/>
    </row>
    <row r="3272" spans="2:28" x14ac:dyDescent="0.3">
      <c r="B3272" s="10"/>
      <c r="C3272" s="315"/>
      <c r="D3272" s="868"/>
      <c r="E3272" s="837" t="str">
        <f>IFERROR(IF(_xlfn.XLOOKUP(Imput[[#This Row],[RFC]],'Alta Proveedor'!D:D,'Alta Proveedor'!E:E)=0,"",_xlfn.XLOOKUP(Imput[[#This Row],[RFC]],'Alta Proveedor'!D:D,'Alta Proveedor'!E:E)),"")</f>
        <v/>
      </c>
      <c r="F3272" s="832"/>
      <c r="G3272" s="187"/>
      <c r="H3272" s="1"/>
      <c r="I3272" s="169">
        <f>Imput[[#This Row],[Cantidad]]*Imput[[#This Row],[Precio Unitario]]</f>
        <v>0</v>
      </c>
      <c r="J3272" s="11">
        <f>((Imput[[#This Row],[Sub total]])*(0.16))</f>
        <v>0</v>
      </c>
      <c r="K3272" s="11">
        <v>0</v>
      </c>
      <c r="L3272" s="169">
        <f>Imput[[#This Row],[Sub total]]+Imput[[#This Row],[IVA]]-Imput[[#This Row],[Retención / IEPS / Descuento]]</f>
        <v>0</v>
      </c>
      <c r="M3272" s="844">
        <v>0</v>
      </c>
      <c r="N3272" s="189"/>
      <c r="O3272" s="1"/>
      <c r="P3272" s="189"/>
      <c r="Q3272" s="190"/>
      <c r="R3272" s="188"/>
      <c r="S3272" s="193"/>
      <c r="T3272" s="192"/>
      <c r="U3272" s="829"/>
      <c r="V3272" s="10"/>
      <c r="W3272" s="10"/>
      <c r="X3272" s="10"/>
      <c r="Y3272" s="10"/>
      <c r="Z3272" s="10"/>
      <c r="AA3272" s="11"/>
      <c r="AB3272" s="11"/>
    </row>
    <row r="3273" spans="2:28" x14ac:dyDescent="0.3">
      <c r="B3273" s="10"/>
      <c r="C3273" s="315"/>
      <c r="D3273" s="868"/>
      <c r="E3273" s="837" t="str">
        <f>IFERROR(IF(_xlfn.XLOOKUP(Imput[[#This Row],[RFC]],'Alta Proveedor'!D:D,'Alta Proveedor'!E:E)=0,"",_xlfn.XLOOKUP(Imput[[#This Row],[RFC]],'Alta Proveedor'!D:D,'Alta Proveedor'!E:E)),"")</f>
        <v/>
      </c>
      <c r="F3273" s="832"/>
      <c r="G3273" s="187"/>
      <c r="H3273" s="1"/>
      <c r="I3273" s="169">
        <f>Imput[[#This Row],[Cantidad]]*Imput[[#This Row],[Precio Unitario]]</f>
        <v>0</v>
      </c>
      <c r="J3273" s="11">
        <f>((Imput[[#This Row],[Sub total]])*(0.16))</f>
        <v>0</v>
      </c>
      <c r="K3273" s="11">
        <v>0</v>
      </c>
      <c r="L3273" s="169">
        <f>Imput[[#This Row],[Sub total]]+Imput[[#This Row],[IVA]]-Imput[[#This Row],[Retención / IEPS / Descuento]]</f>
        <v>0</v>
      </c>
      <c r="M3273" s="844">
        <v>0</v>
      </c>
      <c r="N3273" s="189"/>
      <c r="O3273" s="1"/>
      <c r="P3273" s="189"/>
      <c r="Q3273" s="190"/>
      <c r="R3273" s="188"/>
      <c r="S3273" s="193"/>
      <c r="T3273" s="192"/>
      <c r="U3273" s="829"/>
      <c r="V3273" s="10"/>
      <c r="W3273" s="10"/>
      <c r="X3273" s="10"/>
      <c r="Y3273" s="10"/>
      <c r="Z3273" s="10"/>
      <c r="AA3273" s="11"/>
      <c r="AB3273" s="11"/>
    </row>
    <row r="3274" spans="2:28" x14ac:dyDescent="0.3">
      <c r="B3274" s="10"/>
      <c r="C3274" s="315"/>
      <c r="D3274" s="868"/>
      <c r="E3274" s="837" t="str">
        <f>IFERROR(IF(_xlfn.XLOOKUP(Imput[[#This Row],[RFC]],'Alta Proveedor'!D:D,'Alta Proveedor'!E:E)=0,"",_xlfn.XLOOKUP(Imput[[#This Row],[RFC]],'Alta Proveedor'!D:D,'Alta Proveedor'!E:E)),"")</f>
        <v/>
      </c>
      <c r="F3274" s="832"/>
      <c r="G3274" s="187"/>
      <c r="H3274" s="1"/>
      <c r="I3274" s="169">
        <f>Imput[[#This Row],[Cantidad]]*Imput[[#This Row],[Precio Unitario]]</f>
        <v>0</v>
      </c>
      <c r="J3274" s="11">
        <f>((Imput[[#This Row],[Sub total]])*(0.16))</f>
        <v>0</v>
      </c>
      <c r="K3274" s="11">
        <v>0</v>
      </c>
      <c r="L3274" s="169">
        <f>Imput[[#This Row],[Sub total]]+Imput[[#This Row],[IVA]]-Imput[[#This Row],[Retención / IEPS / Descuento]]</f>
        <v>0</v>
      </c>
      <c r="M3274" s="844">
        <v>0</v>
      </c>
      <c r="N3274" s="189"/>
      <c r="O3274" s="1"/>
      <c r="P3274" s="189"/>
      <c r="Q3274" s="190"/>
      <c r="R3274" s="188"/>
      <c r="S3274" s="193"/>
      <c r="T3274" s="192"/>
      <c r="U3274" s="829"/>
      <c r="V3274" s="10"/>
      <c r="W3274" s="10"/>
      <c r="X3274" s="10"/>
      <c r="Y3274" s="10"/>
      <c r="Z3274" s="10"/>
      <c r="AA3274" s="11"/>
      <c r="AB3274" s="11"/>
    </row>
    <row r="3275" spans="2:28" x14ac:dyDescent="0.3">
      <c r="B3275" s="10"/>
      <c r="C3275" s="315"/>
      <c r="D3275" s="868"/>
      <c r="E3275" s="837" t="str">
        <f>IFERROR(IF(_xlfn.XLOOKUP(Imput[[#This Row],[RFC]],'Alta Proveedor'!D:D,'Alta Proveedor'!E:E)=0,"",_xlfn.XLOOKUP(Imput[[#This Row],[RFC]],'Alta Proveedor'!D:D,'Alta Proveedor'!E:E)),"")</f>
        <v/>
      </c>
      <c r="F3275" s="832"/>
      <c r="G3275" s="187"/>
      <c r="H3275" s="1"/>
      <c r="I3275" s="169">
        <f>Imput[[#This Row],[Cantidad]]*Imput[[#This Row],[Precio Unitario]]</f>
        <v>0</v>
      </c>
      <c r="J3275" s="11">
        <f>((Imput[[#This Row],[Sub total]])*(0.16))</f>
        <v>0</v>
      </c>
      <c r="K3275" s="11">
        <v>0</v>
      </c>
      <c r="L3275" s="169">
        <f>Imput[[#This Row],[Sub total]]+Imput[[#This Row],[IVA]]-Imput[[#This Row],[Retención / IEPS / Descuento]]</f>
        <v>0</v>
      </c>
      <c r="M3275" s="844">
        <v>0</v>
      </c>
      <c r="N3275" s="189"/>
      <c r="O3275" s="1"/>
      <c r="P3275" s="189"/>
      <c r="Q3275" s="190"/>
      <c r="R3275" s="188"/>
      <c r="S3275" s="193"/>
      <c r="T3275" s="192"/>
      <c r="U3275" s="829"/>
      <c r="V3275" s="10"/>
      <c r="W3275" s="10"/>
      <c r="X3275" s="10"/>
      <c r="Y3275" s="10"/>
      <c r="Z3275" s="10"/>
      <c r="AA3275" s="11"/>
      <c r="AB3275" s="11"/>
    </row>
    <row r="3276" spans="2:28" x14ac:dyDescent="0.3">
      <c r="B3276" s="10"/>
      <c r="C3276" s="315"/>
      <c r="D3276" s="868"/>
      <c r="E3276" s="837" t="str">
        <f>IFERROR(IF(_xlfn.XLOOKUP(Imput[[#This Row],[RFC]],'Alta Proveedor'!D:D,'Alta Proveedor'!E:E)=0,"",_xlfn.XLOOKUP(Imput[[#This Row],[RFC]],'Alta Proveedor'!D:D,'Alta Proveedor'!E:E)),"")</f>
        <v/>
      </c>
      <c r="F3276" s="832"/>
      <c r="G3276" s="187"/>
      <c r="H3276" s="1"/>
      <c r="I3276" s="169">
        <f>Imput[[#This Row],[Cantidad]]*Imput[[#This Row],[Precio Unitario]]</f>
        <v>0</v>
      </c>
      <c r="J3276" s="11">
        <f>((Imput[[#This Row],[Sub total]])*(0.16))</f>
        <v>0</v>
      </c>
      <c r="K3276" s="11">
        <v>0</v>
      </c>
      <c r="L3276" s="169">
        <f>Imput[[#This Row],[Sub total]]+Imput[[#This Row],[IVA]]-Imput[[#This Row],[Retención / IEPS / Descuento]]</f>
        <v>0</v>
      </c>
      <c r="M3276" s="844">
        <v>0</v>
      </c>
      <c r="N3276" s="189"/>
      <c r="O3276" s="1"/>
      <c r="P3276" s="189"/>
      <c r="Q3276" s="190"/>
      <c r="R3276" s="188"/>
      <c r="S3276" s="193"/>
      <c r="T3276" s="192"/>
      <c r="U3276" s="829"/>
      <c r="V3276" s="10"/>
      <c r="W3276" s="10"/>
      <c r="X3276" s="10"/>
      <c r="Y3276" s="10"/>
      <c r="Z3276" s="10"/>
      <c r="AA3276" s="11"/>
      <c r="AB3276" s="11"/>
    </row>
    <row r="3277" spans="2:28" x14ac:dyDescent="0.3">
      <c r="B3277" s="10"/>
      <c r="C3277" s="315"/>
      <c r="D3277" s="868"/>
      <c r="E3277" s="837" t="str">
        <f>IFERROR(IF(_xlfn.XLOOKUP(Imput[[#This Row],[RFC]],'Alta Proveedor'!D:D,'Alta Proveedor'!E:E)=0,"",_xlfn.XLOOKUP(Imput[[#This Row],[RFC]],'Alta Proveedor'!D:D,'Alta Proveedor'!E:E)),"")</f>
        <v/>
      </c>
      <c r="F3277" s="832"/>
      <c r="G3277" s="187"/>
      <c r="H3277" s="1"/>
      <c r="I3277" s="169">
        <f>Imput[[#This Row],[Cantidad]]*Imput[[#This Row],[Precio Unitario]]</f>
        <v>0</v>
      </c>
      <c r="J3277" s="11">
        <f>((Imput[[#This Row],[Sub total]])*(0.16))</f>
        <v>0</v>
      </c>
      <c r="K3277" s="11">
        <v>0</v>
      </c>
      <c r="L3277" s="169">
        <f>Imput[[#This Row],[Sub total]]+Imput[[#This Row],[IVA]]-Imput[[#This Row],[Retención / IEPS / Descuento]]</f>
        <v>0</v>
      </c>
      <c r="M3277" s="844">
        <v>0</v>
      </c>
      <c r="N3277" s="189"/>
      <c r="O3277" s="1"/>
      <c r="P3277" s="189"/>
      <c r="Q3277" s="190"/>
      <c r="R3277" s="188"/>
      <c r="S3277" s="193"/>
      <c r="T3277" s="192"/>
      <c r="U3277" s="829"/>
      <c r="V3277" s="10"/>
      <c r="W3277" s="10"/>
      <c r="X3277" s="10"/>
      <c r="Y3277" s="10"/>
      <c r="Z3277" s="10"/>
      <c r="AA3277" s="11"/>
      <c r="AB3277" s="11"/>
    </row>
    <row r="3278" spans="2:28" x14ac:dyDescent="0.3">
      <c r="B3278" s="10"/>
      <c r="C3278" s="315"/>
      <c r="D3278" s="868"/>
      <c r="E3278" s="837" t="str">
        <f>IFERROR(IF(_xlfn.XLOOKUP(Imput[[#This Row],[RFC]],'Alta Proveedor'!D:D,'Alta Proveedor'!E:E)=0,"",_xlfn.XLOOKUP(Imput[[#This Row],[RFC]],'Alta Proveedor'!D:D,'Alta Proveedor'!E:E)),"")</f>
        <v/>
      </c>
      <c r="F3278" s="832"/>
      <c r="G3278" s="187"/>
      <c r="H3278" s="1"/>
      <c r="I3278" s="169">
        <f>Imput[[#This Row],[Cantidad]]*Imput[[#This Row],[Precio Unitario]]</f>
        <v>0</v>
      </c>
      <c r="J3278" s="11">
        <f>((Imput[[#This Row],[Sub total]])*(0.16))</f>
        <v>0</v>
      </c>
      <c r="K3278" s="11">
        <v>0</v>
      </c>
      <c r="L3278" s="169">
        <f>Imput[[#This Row],[Sub total]]+Imput[[#This Row],[IVA]]-Imput[[#This Row],[Retención / IEPS / Descuento]]</f>
        <v>0</v>
      </c>
      <c r="M3278" s="844">
        <v>0</v>
      </c>
      <c r="N3278" s="189"/>
      <c r="O3278" s="1"/>
      <c r="P3278" s="189"/>
      <c r="Q3278" s="190"/>
      <c r="R3278" s="188"/>
      <c r="S3278" s="193"/>
      <c r="T3278" s="192"/>
      <c r="U3278" s="829"/>
      <c r="V3278" s="10"/>
      <c r="W3278" s="10"/>
      <c r="X3278" s="10"/>
      <c r="Y3278" s="10"/>
      <c r="Z3278" s="10"/>
      <c r="AA3278" s="11"/>
      <c r="AB3278" s="11"/>
    </row>
    <row r="3279" spans="2:28" x14ac:dyDescent="0.3">
      <c r="B3279" s="10"/>
      <c r="C3279" s="315"/>
      <c r="D3279" s="868"/>
      <c r="E3279" s="837" t="str">
        <f>IFERROR(IF(_xlfn.XLOOKUP(Imput[[#This Row],[RFC]],'Alta Proveedor'!D:D,'Alta Proveedor'!E:E)=0,"",_xlfn.XLOOKUP(Imput[[#This Row],[RFC]],'Alta Proveedor'!D:D,'Alta Proveedor'!E:E)),"")</f>
        <v/>
      </c>
      <c r="F3279" s="832"/>
      <c r="G3279" s="187"/>
      <c r="H3279" s="1"/>
      <c r="I3279" s="169">
        <f>Imput[[#This Row],[Cantidad]]*Imput[[#This Row],[Precio Unitario]]</f>
        <v>0</v>
      </c>
      <c r="J3279" s="11">
        <f>((Imput[[#This Row],[Sub total]])*(0.16))</f>
        <v>0</v>
      </c>
      <c r="K3279" s="11">
        <v>0</v>
      </c>
      <c r="L3279" s="169">
        <f>Imput[[#This Row],[Sub total]]+Imput[[#This Row],[IVA]]-Imput[[#This Row],[Retención / IEPS / Descuento]]</f>
        <v>0</v>
      </c>
      <c r="M3279" s="844">
        <v>0</v>
      </c>
      <c r="N3279" s="189"/>
      <c r="O3279" s="1"/>
      <c r="P3279" s="189"/>
      <c r="Q3279" s="190"/>
      <c r="R3279" s="188"/>
      <c r="S3279" s="193"/>
      <c r="T3279" s="192"/>
      <c r="U3279" s="829"/>
      <c r="V3279" s="10"/>
      <c r="W3279" s="10"/>
      <c r="X3279" s="10"/>
      <c r="Y3279" s="10"/>
      <c r="Z3279" s="10"/>
      <c r="AA3279" s="11"/>
      <c r="AB3279" s="11"/>
    </row>
    <row r="3280" spans="2:28" x14ac:dyDescent="0.3">
      <c r="B3280" s="10"/>
      <c r="C3280" s="315"/>
      <c r="D3280" s="868"/>
      <c r="E3280" s="837" t="str">
        <f>IFERROR(IF(_xlfn.XLOOKUP(Imput[[#This Row],[RFC]],'Alta Proveedor'!D:D,'Alta Proveedor'!E:E)=0,"",_xlfn.XLOOKUP(Imput[[#This Row],[RFC]],'Alta Proveedor'!D:D,'Alta Proveedor'!E:E)),"")</f>
        <v/>
      </c>
      <c r="F3280" s="832"/>
      <c r="G3280" s="187"/>
      <c r="H3280" s="1"/>
      <c r="I3280" s="169">
        <f>Imput[[#This Row],[Cantidad]]*Imput[[#This Row],[Precio Unitario]]</f>
        <v>0</v>
      </c>
      <c r="J3280" s="11">
        <f>((Imput[[#This Row],[Sub total]])*(0.16))</f>
        <v>0</v>
      </c>
      <c r="K3280" s="11">
        <v>0</v>
      </c>
      <c r="L3280" s="169">
        <f>Imput[[#This Row],[Sub total]]+Imput[[#This Row],[IVA]]-Imput[[#This Row],[Retención / IEPS / Descuento]]</f>
        <v>0</v>
      </c>
      <c r="M3280" s="844">
        <v>0</v>
      </c>
      <c r="N3280" s="189"/>
      <c r="O3280" s="1"/>
      <c r="P3280" s="189"/>
      <c r="Q3280" s="190"/>
      <c r="R3280" s="188"/>
      <c r="S3280" s="193"/>
      <c r="T3280" s="192"/>
      <c r="U3280" s="829"/>
      <c r="V3280" s="10"/>
      <c r="W3280" s="10"/>
      <c r="X3280" s="10"/>
      <c r="Y3280" s="10"/>
      <c r="Z3280" s="10"/>
      <c r="AA3280" s="11"/>
      <c r="AB3280" s="11"/>
    </row>
    <row r="3281" spans="2:28" x14ac:dyDescent="0.3">
      <c r="B3281" s="10"/>
      <c r="C3281" s="315"/>
      <c r="D3281" s="868"/>
      <c r="E3281" s="837" t="str">
        <f>IFERROR(IF(_xlfn.XLOOKUP(Imput[[#This Row],[RFC]],'Alta Proveedor'!D:D,'Alta Proveedor'!E:E)=0,"",_xlfn.XLOOKUP(Imput[[#This Row],[RFC]],'Alta Proveedor'!D:D,'Alta Proveedor'!E:E)),"")</f>
        <v/>
      </c>
      <c r="F3281" s="832"/>
      <c r="G3281" s="187"/>
      <c r="H3281" s="1"/>
      <c r="I3281" s="169">
        <f>Imput[[#This Row],[Cantidad]]*Imput[[#This Row],[Precio Unitario]]</f>
        <v>0</v>
      </c>
      <c r="J3281" s="11">
        <f>((Imput[[#This Row],[Sub total]])*(0.16))</f>
        <v>0</v>
      </c>
      <c r="K3281" s="11">
        <v>0</v>
      </c>
      <c r="L3281" s="169">
        <f>Imput[[#This Row],[Sub total]]+Imput[[#This Row],[IVA]]-Imput[[#This Row],[Retención / IEPS / Descuento]]</f>
        <v>0</v>
      </c>
      <c r="M3281" s="844">
        <v>0</v>
      </c>
      <c r="N3281" s="189"/>
      <c r="O3281" s="1"/>
      <c r="P3281" s="189"/>
      <c r="Q3281" s="190"/>
      <c r="R3281" s="188"/>
      <c r="S3281" s="193"/>
      <c r="T3281" s="192"/>
      <c r="U3281" s="829"/>
      <c r="V3281" s="10"/>
      <c r="W3281" s="10"/>
      <c r="X3281" s="10"/>
      <c r="Y3281" s="10"/>
      <c r="Z3281" s="10"/>
      <c r="AA3281" s="11"/>
      <c r="AB3281" s="11"/>
    </row>
    <row r="3282" spans="2:28" x14ac:dyDescent="0.3">
      <c r="B3282" s="10"/>
      <c r="C3282" s="315"/>
      <c r="D3282" s="868"/>
      <c r="E3282" s="837" t="str">
        <f>IFERROR(IF(_xlfn.XLOOKUP(Imput[[#This Row],[RFC]],'Alta Proveedor'!D:D,'Alta Proveedor'!E:E)=0,"",_xlfn.XLOOKUP(Imput[[#This Row],[RFC]],'Alta Proveedor'!D:D,'Alta Proveedor'!E:E)),"")</f>
        <v/>
      </c>
      <c r="F3282" s="832"/>
      <c r="G3282" s="187"/>
      <c r="H3282" s="1"/>
      <c r="I3282" s="169">
        <f>Imput[[#This Row],[Cantidad]]*Imput[[#This Row],[Precio Unitario]]</f>
        <v>0</v>
      </c>
      <c r="J3282" s="11">
        <f>((Imput[[#This Row],[Sub total]])*(0.16))</f>
        <v>0</v>
      </c>
      <c r="K3282" s="11">
        <v>0</v>
      </c>
      <c r="L3282" s="169">
        <f>Imput[[#This Row],[Sub total]]+Imput[[#This Row],[IVA]]-Imput[[#This Row],[Retención / IEPS / Descuento]]</f>
        <v>0</v>
      </c>
      <c r="M3282" s="844">
        <v>0</v>
      </c>
      <c r="N3282" s="189"/>
      <c r="O3282" s="1"/>
      <c r="P3282" s="189"/>
      <c r="Q3282" s="190"/>
      <c r="R3282" s="188"/>
      <c r="S3282" s="193"/>
      <c r="T3282" s="192"/>
      <c r="U3282" s="829"/>
      <c r="V3282" s="10"/>
      <c r="W3282" s="10"/>
      <c r="X3282" s="10"/>
      <c r="Y3282" s="10"/>
      <c r="Z3282" s="10"/>
      <c r="AA3282" s="11"/>
      <c r="AB3282" s="11"/>
    </row>
    <row r="3283" spans="2:28" x14ac:dyDescent="0.3">
      <c r="B3283" s="10"/>
      <c r="C3283" s="315"/>
      <c r="D3283" s="868"/>
      <c r="E3283" s="837" t="str">
        <f>IFERROR(IF(_xlfn.XLOOKUP(Imput[[#This Row],[RFC]],'Alta Proveedor'!D:D,'Alta Proveedor'!E:E)=0,"",_xlfn.XLOOKUP(Imput[[#This Row],[RFC]],'Alta Proveedor'!D:D,'Alta Proveedor'!E:E)),"")</f>
        <v/>
      </c>
      <c r="F3283" s="832"/>
      <c r="G3283" s="187"/>
      <c r="H3283" s="1"/>
      <c r="I3283" s="169">
        <f>Imput[[#This Row],[Cantidad]]*Imput[[#This Row],[Precio Unitario]]</f>
        <v>0</v>
      </c>
      <c r="J3283" s="11">
        <f>((Imput[[#This Row],[Sub total]])*(0.16))</f>
        <v>0</v>
      </c>
      <c r="K3283" s="11">
        <v>0</v>
      </c>
      <c r="L3283" s="169">
        <f>Imput[[#This Row],[Sub total]]+Imput[[#This Row],[IVA]]-Imput[[#This Row],[Retención / IEPS / Descuento]]</f>
        <v>0</v>
      </c>
      <c r="M3283" s="844">
        <v>0</v>
      </c>
      <c r="N3283" s="189"/>
      <c r="O3283" s="1"/>
      <c r="P3283" s="189"/>
      <c r="Q3283" s="190"/>
      <c r="R3283" s="188"/>
      <c r="S3283" s="193"/>
      <c r="T3283" s="192"/>
      <c r="U3283" s="829"/>
      <c r="V3283" s="10"/>
      <c r="W3283" s="10"/>
      <c r="X3283" s="10"/>
      <c r="Y3283" s="10"/>
      <c r="Z3283" s="10"/>
      <c r="AA3283" s="11"/>
      <c r="AB3283" s="11"/>
    </row>
    <row r="3284" spans="2:28" x14ac:dyDescent="0.3">
      <c r="B3284" s="10"/>
      <c r="C3284" s="315"/>
      <c r="D3284" s="868"/>
      <c r="E3284" s="837" t="str">
        <f>IFERROR(IF(_xlfn.XLOOKUP(Imput[[#This Row],[RFC]],'Alta Proveedor'!D:D,'Alta Proveedor'!E:E)=0,"",_xlfn.XLOOKUP(Imput[[#This Row],[RFC]],'Alta Proveedor'!D:D,'Alta Proveedor'!E:E)),"")</f>
        <v/>
      </c>
      <c r="F3284" s="832"/>
      <c r="G3284" s="187"/>
      <c r="H3284" s="1"/>
      <c r="I3284" s="169">
        <f>Imput[[#This Row],[Cantidad]]*Imput[[#This Row],[Precio Unitario]]</f>
        <v>0</v>
      </c>
      <c r="J3284" s="11">
        <f>((Imput[[#This Row],[Sub total]])*(0.16))</f>
        <v>0</v>
      </c>
      <c r="K3284" s="11">
        <v>0</v>
      </c>
      <c r="L3284" s="169">
        <f>Imput[[#This Row],[Sub total]]+Imput[[#This Row],[IVA]]-Imput[[#This Row],[Retención / IEPS / Descuento]]</f>
        <v>0</v>
      </c>
      <c r="M3284" s="844">
        <v>0</v>
      </c>
      <c r="N3284" s="189"/>
      <c r="O3284" s="1"/>
      <c r="P3284" s="189"/>
      <c r="Q3284" s="190"/>
      <c r="R3284" s="188"/>
      <c r="S3284" s="193"/>
      <c r="T3284" s="192"/>
      <c r="U3284" s="829"/>
      <c r="V3284" s="10"/>
      <c r="W3284" s="10"/>
      <c r="X3284" s="10"/>
      <c r="Y3284" s="10"/>
      <c r="Z3284" s="10"/>
      <c r="AA3284" s="11"/>
      <c r="AB3284" s="11"/>
    </row>
    <row r="3285" spans="2:28" x14ac:dyDescent="0.3">
      <c r="B3285" s="10"/>
      <c r="C3285" s="315"/>
      <c r="D3285" s="868"/>
      <c r="E3285" s="837" t="str">
        <f>IFERROR(IF(_xlfn.XLOOKUP(Imput[[#This Row],[RFC]],'Alta Proveedor'!D:D,'Alta Proveedor'!E:E)=0,"",_xlfn.XLOOKUP(Imput[[#This Row],[RFC]],'Alta Proveedor'!D:D,'Alta Proveedor'!E:E)),"")</f>
        <v/>
      </c>
      <c r="F3285" s="832"/>
      <c r="G3285" s="187"/>
      <c r="H3285" s="1"/>
      <c r="I3285" s="169">
        <f>Imput[[#This Row],[Cantidad]]*Imput[[#This Row],[Precio Unitario]]</f>
        <v>0</v>
      </c>
      <c r="J3285" s="11">
        <f>((Imput[[#This Row],[Sub total]])*(0.16))</f>
        <v>0</v>
      </c>
      <c r="K3285" s="11">
        <v>0</v>
      </c>
      <c r="L3285" s="169">
        <f>Imput[[#This Row],[Sub total]]+Imput[[#This Row],[IVA]]-Imput[[#This Row],[Retención / IEPS / Descuento]]</f>
        <v>0</v>
      </c>
      <c r="M3285" s="844">
        <v>0</v>
      </c>
      <c r="N3285" s="189"/>
      <c r="O3285" s="1"/>
      <c r="P3285" s="189"/>
      <c r="Q3285" s="190"/>
      <c r="R3285" s="188"/>
      <c r="S3285" s="193"/>
      <c r="T3285" s="192"/>
      <c r="U3285" s="829"/>
      <c r="V3285" s="10"/>
      <c r="W3285" s="10"/>
      <c r="X3285" s="10"/>
      <c r="Y3285" s="10"/>
      <c r="Z3285" s="10"/>
      <c r="AA3285" s="11"/>
      <c r="AB3285" s="11"/>
    </row>
    <row r="3286" spans="2:28" x14ac:dyDescent="0.3">
      <c r="B3286" s="10"/>
      <c r="C3286" s="315"/>
      <c r="D3286" s="868"/>
      <c r="E3286" s="837" t="str">
        <f>IFERROR(IF(_xlfn.XLOOKUP(Imput[[#This Row],[RFC]],'Alta Proveedor'!D:D,'Alta Proveedor'!E:E)=0,"",_xlfn.XLOOKUP(Imput[[#This Row],[RFC]],'Alta Proveedor'!D:D,'Alta Proveedor'!E:E)),"")</f>
        <v/>
      </c>
      <c r="F3286" s="832"/>
      <c r="G3286" s="187"/>
      <c r="H3286" s="1"/>
      <c r="I3286" s="169">
        <f>Imput[[#This Row],[Cantidad]]*Imput[[#This Row],[Precio Unitario]]</f>
        <v>0</v>
      </c>
      <c r="J3286" s="11">
        <f>((Imput[[#This Row],[Sub total]])*(0.16))</f>
        <v>0</v>
      </c>
      <c r="K3286" s="11">
        <v>0</v>
      </c>
      <c r="L3286" s="169">
        <f>Imput[[#This Row],[Sub total]]+Imput[[#This Row],[IVA]]-Imput[[#This Row],[Retención / IEPS / Descuento]]</f>
        <v>0</v>
      </c>
      <c r="M3286" s="844">
        <v>0</v>
      </c>
      <c r="N3286" s="189"/>
      <c r="O3286" s="1"/>
      <c r="P3286" s="189"/>
      <c r="Q3286" s="190"/>
      <c r="R3286" s="188"/>
      <c r="S3286" s="193"/>
      <c r="T3286" s="192"/>
      <c r="U3286" s="829"/>
      <c r="V3286" s="10"/>
      <c r="W3286" s="10"/>
      <c r="X3286" s="10"/>
      <c r="Y3286" s="10"/>
      <c r="Z3286" s="10"/>
      <c r="AA3286" s="11"/>
      <c r="AB3286" s="11"/>
    </row>
    <row r="3287" spans="2:28" x14ac:dyDescent="0.3">
      <c r="B3287" s="10"/>
      <c r="C3287" s="315"/>
      <c r="D3287" s="868"/>
      <c r="E3287" s="837" t="str">
        <f>IFERROR(IF(_xlfn.XLOOKUP(Imput[[#This Row],[RFC]],'Alta Proveedor'!D:D,'Alta Proveedor'!E:E)=0,"",_xlfn.XLOOKUP(Imput[[#This Row],[RFC]],'Alta Proveedor'!D:D,'Alta Proveedor'!E:E)),"")</f>
        <v/>
      </c>
      <c r="F3287" s="832"/>
      <c r="G3287" s="187"/>
      <c r="H3287" s="1"/>
      <c r="I3287" s="169">
        <f>Imput[[#This Row],[Cantidad]]*Imput[[#This Row],[Precio Unitario]]</f>
        <v>0</v>
      </c>
      <c r="J3287" s="11">
        <f>((Imput[[#This Row],[Sub total]])*(0.16))</f>
        <v>0</v>
      </c>
      <c r="K3287" s="11">
        <v>0</v>
      </c>
      <c r="L3287" s="169">
        <f>Imput[[#This Row],[Sub total]]+Imput[[#This Row],[IVA]]-Imput[[#This Row],[Retención / IEPS / Descuento]]</f>
        <v>0</v>
      </c>
      <c r="M3287" s="844">
        <v>0</v>
      </c>
      <c r="N3287" s="189"/>
      <c r="O3287" s="1"/>
      <c r="P3287" s="189"/>
      <c r="Q3287" s="190"/>
      <c r="R3287" s="188"/>
      <c r="S3287" s="193"/>
      <c r="T3287" s="192"/>
      <c r="U3287" s="829"/>
      <c r="V3287" s="10"/>
      <c r="W3287" s="10"/>
      <c r="X3287" s="10"/>
      <c r="Y3287" s="10"/>
      <c r="Z3287" s="10"/>
      <c r="AA3287" s="11"/>
      <c r="AB3287" s="11"/>
    </row>
    <row r="3288" spans="2:28" x14ac:dyDescent="0.3">
      <c r="B3288" s="10"/>
      <c r="C3288" s="315"/>
      <c r="D3288" s="868"/>
      <c r="E3288" s="837" t="str">
        <f>IFERROR(IF(_xlfn.XLOOKUP(Imput[[#This Row],[RFC]],'Alta Proveedor'!D:D,'Alta Proveedor'!E:E)=0,"",_xlfn.XLOOKUP(Imput[[#This Row],[RFC]],'Alta Proveedor'!D:D,'Alta Proveedor'!E:E)),"")</f>
        <v/>
      </c>
      <c r="F3288" s="832"/>
      <c r="G3288" s="187"/>
      <c r="H3288" s="1"/>
      <c r="I3288" s="169">
        <f>Imput[[#This Row],[Cantidad]]*Imput[[#This Row],[Precio Unitario]]</f>
        <v>0</v>
      </c>
      <c r="J3288" s="11">
        <f>((Imput[[#This Row],[Sub total]])*(0.16))</f>
        <v>0</v>
      </c>
      <c r="K3288" s="11">
        <v>0</v>
      </c>
      <c r="L3288" s="169">
        <f>Imput[[#This Row],[Sub total]]+Imput[[#This Row],[IVA]]-Imput[[#This Row],[Retención / IEPS / Descuento]]</f>
        <v>0</v>
      </c>
      <c r="M3288" s="844">
        <v>0</v>
      </c>
      <c r="N3288" s="189"/>
      <c r="O3288" s="1"/>
      <c r="P3288" s="189"/>
      <c r="Q3288" s="190"/>
      <c r="R3288" s="188"/>
      <c r="S3288" s="193"/>
      <c r="T3288" s="192"/>
      <c r="U3288" s="829"/>
      <c r="V3288" s="10"/>
      <c r="W3288" s="10"/>
      <c r="X3288" s="10"/>
      <c r="Y3288" s="10"/>
      <c r="Z3288" s="10"/>
      <c r="AA3288" s="11"/>
      <c r="AB3288" s="11"/>
    </row>
    <row r="3289" spans="2:28" x14ac:dyDescent="0.3">
      <c r="B3289" s="10"/>
      <c r="C3289" s="315"/>
      <c r="D3289" s="868"/>
      <c r="E3289" s="837" t="str">
        <f>IFERROR(IF(_xlfn.XLOOKUP(Imput[[#This Row],[RFC]],'Alta Proveedor'!D:D,'Alta Proveedor'!E:E)=0,"",_xlfn.XLOOKUP(Imput[[#This Row],[RFC]],'Alta Proveedor'!D:D,'Alta Proveedor'!E:E)),"")</f>
        <v/>
      </c>
      <c r="F3289" s="832"/>
      <c r="G3289" s="187"/>
      <c r="H3289" s="1"/>
      <c r="I3289" s="169">
        <f>Imput[[#This Row],[Cantidad]]*Imput[[#This Row],[Precio Unitario]]</f>
        <v>0</v>
      </c>
      <c r="J3289" s="11">
        <f>((Imput[[#This Row],[Sub total]])*(0.16))</f>
        <v>0</v>
      </c>
      <c r="K3289" s="11">
        <v>0</v>
      </c>
      <c r="L3289" s="169">
        <f>Imput[[#This Row],[Sub total]]+Imput[[#This Row],[IVA]]-Imput[[#This Row],[Retención / IEPS / Descuento]]</f>
        <v>0</v>
      </c>
      <c r="M3289" s="844">
        <v>0</v>
      </c>
      <c r="N3289" s="189"/>
      <c r="O3289" s="1"/>
      <c r="P3289" s="189"/>
      <c r="Q3289" s="190"/>
      <c r="R3289" s="188"/>
      <c r="S3289" s="193"/>
      <c r="T3289" s="192"/>
      <c r="U3289" s="829"/>
      <c r="V3289" s="10"/>
      <c r="W3289" s="10"/>
      <c r="X3289" s="10"/>
      <c r="Y3289" s="10"/>
      <c r="Z3289" s="10"/>
      <c r="AA3289" s="11"/>
      <c r="AB3289" s="11"/>
    </row>
    <row r="3290" spans="2:28" x14ac:dyDescent="0.3">
      <c r="B3290" s="10"/>
      <c r="C3290" s="315"/>
      <c r="D3290" s="868"/>
      <c r="E3290" s="837" t="str">
        <f>IFERROR(IF(_xlfn.XLOOKUP(Imput[[#This Row],[RFC]],'Alta Proveedor'!D:D,'Alta Proveedor'!E:E)=0,"",_xlfn.XLOOKUP(Imput[[#This Row],[RFC]],'Alta Proveedor'!D:D,'Alta Proveedor'!E:E)),"")</f>
        <v/>
      </c>
      <c r="F3290" s="832"/>
      <c r="G3290" s="187"/>
      <c r="H3290" s="1"/>
      <c r="I3290" s="169">
        <f>Imput[[#This Row],[Cantidad]]*Imput[[#This Row],[Precio Unitario]]</f>
        <v>0</v>
      </c>
      <c r="J3290" s="11">
        <f>((Imput[[#This Row],[Sub total]])*(0.16))</f>
        <v>0</v>
      </c>
      <c r="K3290" s="11">
        <v>0</v>
      </c>
      <c r="L3290" s="169">
        <f>Imput[[#This Row],[Sub total]]+Imput[[#This Row],[IVA]]-Imput[[#This Row],[Retención / IEPS / Descuento]]</f>
        <v>0</v>
      </c>
      <c r="M3290" s="844">
        <v>0</v>
      </c>
      <c r="N3290" s="189"/>
      <c r="O3290" s="1"/>
      <c r="P3290" s="189"/>
      <c r="Q3290" s="190"/>
      <c r="R3290" s="188"/>
      <c r="S3290" s="193"/>
      <c r="T3290" s="192"/>
      <c r="U3290" s="829"/>
      <c r="V3290" s="10"/>
      <c r="W3290" s="10"/>
      <c r="X3290" s="10"/>
      <c r="Y3290" s="10"/>
      <c r="Z3290" s="10"/>
      <c r="AA3290" s="11"/>
      <c r="AB3290" s="11"/>
    </row>
    <row r="3291" spans="2:28" x14ac:dyDescent="0.3">
      <c r="B3291" s="10"/>
      <c r="C3291" s="315"/>
      <c r="D3291" s="868"/>
      <c r="E3291" s="837" t="str">
        <f>IFERROR(IF(_xlfn.XLOOKUP(Imput[[#This Row],[RFC]],'Alta Proveedor'!D:D,'Alta Proveedor'!E:E)=0,"",_xlfn.XLOOKUP(Imput[[#This Row],[RFC]],'Alta Proveedor'!D:D,'Alta Proveedor'!E:E)),"")</f>
        <v/>
      </c>
      <c r="F3291" s="832"/>
      <c r="G3291" s="187"/>
      <c r="H3291" s="1"/>
      <c r="I3291" s="169">
        <f>Imput[[#This Row],[Cantidad]]*Imput[[#This Row],[Precio Unitario]]</f>
        <v>0</v>
      </c>
      <c r="J3291" s="11">
        <f>((Imput[[#This Row],[Sub total]])*(0.16))</f>
        <v>0</v>
      </c>
      <c r="K3291" s="11">
        <v>0</v>
      </c>
      <c r="L3291" s="169">
        <f>Imput[[#This Row],[Sub total]]+Imput[[#This Row],[IVA]]-Imput[[#This Row],[Retención / IEPS / Descuento]]</f>
        <v>0</v>
      </c>
      <c r="M3291" s="844">
        <v>0</v>
      </c>
      <c r="N3291" s="189"/>
      <c r="O3291" s="1"/>
      <c r="P3291" s="189"/>
      <c r="Q3291" s="190"/>
      <c r="R3291" s="188"/>
      <c r="S3291" s="193"/>
      <c r="T3291" s="192"/>
      <c r="U3291" s="829"/>
      <c r="V3291" s="10"/>
      <c r="W3291" s="10"/>
      <c r="X3291" s="10"/>
      <c r="Y3291" s="10"/>
      <c r="Z3291" s="10"/>
      <c r="AA3291" s="11"/>
      <c r="AB3291" s="11"/>
    </row>
    <row r="3292" spans="2:28" x14ac:dyDescent="0.3">
      <c r="B3292" s="10"/>
      <c r="C3292" s="315"/>
      <c r="D3292" s="868"/>
      <c r="E3292" s="837" t="str">
        <f>IFERROR(IF(_xlfn.XLOOKUP(Imput[[#This Row],[RFC]],'Alta Proveedor'!D:D,'Alta Proveedor'!E:E)=0,"",_xlfn.XLOOKUP(Imput[[#This Row],[RFC]],'Alta Proveedor'!D:D,'Alta Proveedor'!E:E)),"")</f>
        <v/>
      </c>
      <c r="F3292" s="832"/>
      <c r="G3292" s="187"/>
      <c r="H3292" s="1"/>
      <c r="I3292" s="169">
        <f>Imput[[#This Row],[Cantidad]]*Imput[[#This Row],[Precio Unitario]]</f>
        <v>0</v>
      </c>
      <c r="J3292" s="11">
        <f>((Imput[[#This Row],[Sub total]])*(0.16))</f>
        <v>0</v>
      </c>
      <c r="K3292" s="11">
        <v>0</v>
      </c>
      <c r="L3292" s="169">
        <f>Imput[[#This Row],[Sub total]]+Imput[[#This Row],[IVA]]-Imput[[#This Row],[Retención / IEPS / Descuento]]</f>
        <v>0</v>
      </c>
      <c r="M3292" s="844">
        <v>0</v>
      </c>
      <c r="N3292" s="189"/>
      <c r="O3292" s="1"/>
      <c r="P3292" s="189"/>
      <c r="Q3292" s="190"/>
      <c r="R3292" s="188"/>
      <c r="S3292" s="193"/>
      <c r="T3292" s="192"/>
      <c r="U3292" s="829"/>
      <c r="V3292" s="10"/>
      <c r="W3292" s="10"/>
      <c r="X3292" s="10"/>
      <c r="Y3292" s="10"/>
      <c r="Z3292" s="10"/>
      <c r="AA3292" s="11"/>
      <c r="AB3292" s="11"/>
    </row>
    <row r="3293" spans="2:28" x14ac:dyDescent="0.3">
      <c r="B3293" s="10"/>
      <c r="C3293" s="315"/>
      <c r="D3293" s="868"/>
      <c r="E3293" s="837" t="str">
        <f>IFERROR(IF(_xlfn.XLOOKUP(Imput[[#This Row],[RFC]],'Alta Proveedor'!D:D,'Alta Proveedor'!E:E)=0,"",_xlfn.XLOOKUP(Imput[[#This Row],[RFC]],'Alta Proveedor'!D:D,'Alta Proveedor'!E:E)),"")</f>
        <v/>
      </c>
      <c r="F3293" s="832"/>
      <c r="G3293" s="187"/>
      <c r="H3293" s="1"/>
      <c r="I3293" s="169">
        <f>Imput[[#This Row],[Cantidad]]*Imput[[#This Row],[Precio Unitario]]</f>
        <v>0</v>
      </c>
      <c r="J3293" s="11">
        <f>((Imput[[#This Row],[Sub total]])*(0.16))</f>
        <v>0</v>
      </c>
      <c r="K3293" s="11">
        <v>0</v>
      </c>
      <c r="L3293" s="169">
        <f>Imput[[#This Row],[Sub total]]+Imput[[#This Row],[IVA]]-Imput[[#This Row],[Retención / IEPS / Descuento]]</f>
        <v>0</v>
      </c>
      <c r="M3293" s="844">
        <v>0</v>
      </c>
      <c r="N3293" s="189"/>
      <c r="O3293" s="1"/>
      <c r="P3293" s="189"/>
      <c r="Q3293" s="190"/>
      <c r="R3293" s="188"/>
      <c r="S3293" s="193"/>
      <c r="T3293" s="192"/>
      <c r="U3293" s="829"/>
      <c r="V3293" s="10"/>
      <c r="W3293" s="10"/>
      <c r="X3293" s="10"/>
      <c r="Y3293" s="10"/>
      <c r="Z3293" s="10"/>
      <c r="AA3293" s="11"/>
      <c r="AB3293" s="11"/>
    </row>
    <row r="3294" spans="2:28" x14ac:dyDescent="0.3">
      <c r="B3294" s="10"/>
      <c r="C3294" s="315"/>
      <c r="D3294" s="868"/>
      <c r="E3294" s="837" t="str">
        <f>IFERROR(IF(_xlfn.XLOOKUP(Imput[[#This Row],[RFC]],'Alta Proveedor'!D:D,'Alta Proveedor'!E:E)=0,"",_xlfn.XLOOKUP(Imput[[#This Row],[RFC]],'Alta Proveedor'!D:D,'Alta Proveedor'!E:E)),"")</f>
        <v/>
      </c>
      <c r="F3294" s="832"/>
      <c r="G3294" s="187"/>
      <c r="H3294" s="1"/>
      <c r="I3294" s="169">
        <f>Imput[[#This Row],[Cantidad]]*Imput[[#This Row],[Precio Unitario]]</f>
        <v>0</v>
      </c>
      <c r="J3294" s="11">
        <f>((Imput[[#This Row],[Sub total]])*(0.16))</f>
        <v>0</v>
      </c>
      <c r="K3294" s="11">
        <v>0</v>
      </c>
      <c r="L3294" s="169">
        <f>Imput[[#This Row],[Sub total]]+Imput[[#This Row],[IVA]]-Imput[[#This Row],[Retención / IEPS / Descuento]]</f>
        <v>0</v>
      </c>
      <c r="M3294" s="844">
        <v>0</v>
      </c>
      <c r="N3294" s="189"/>
      <c r="O3294" s="1"/>
      <c r="P3294" s="189"/>
      <c r="Q3294" s="190"/>
      <c r="R3294" s="188"/>
      <c r="S3294" s="193"/>
      <c r="T3294" s="192"/>
      <c r="U3294" s="829"/>
      <c r="V3294" s="10"/>
      <c r="W3294" s="10"/>
      <c r="X3294" s="10"/>
      <c r="Y3294" s="10"/>
      <c r="Z3294" s="10"/>
      <c r="AA3294" s="11"/>
      <c r="AB3294" s="11"/>
    </row>
    <row r="3295" spans="2:28" x14ac:dyDescent="0.3">
      <c r="B3295" s="10"/>
      <c r="C3295" s="315"/>
      <c r="D3295" s="868"/>
      <c r="E3295" s="837" t="str">
        <f>IFERROR(IF(_xlfn.XLOOKUP(Imput[[#This Row],[RFC]],'Alta Proveedor'!D:D,'Alta Proveedor'!E:E)=0,"",_xlfn.XLOOKUP(Imput[[#This Row],[RFC]],'Alta Proveedor'!D:D,'Alta Proveedor'!E:E)),"")</f>
        <v/>
      </c>
      <c r="F3295" s="832"/>
      <c r="G3295" s="187"/>
      <c r="H3295" s="1"/>
      <c r="I3295" s="169">
        <f>Imput[[#This Row],[Cantidad]]*Imput[[#This Row],[Precio Unitario]]</f>
        <v>0</v>
      </c>
      <c r="J3295" s="11">
        <f>((Imput[[#This Row],[Sub total]])*(0.16))</f>
        <v>0</v>
      </c>
      <c r="K3295" s="11">
        <v>0</v>
      </c>
      <c r="L3295" s="169">
        <f>Imput[[#This Row],[Sub total]]+Imput[[#This Row],[IVA]]-Imput[[#This Row],[Retención / IEPS / Descuento]]</f>
        <v>0</v>
      </c>
      <c r="M3295" s="844">
        <v>0</v>
      </c>
      <c r="N3295" s="189"/>
      <c r="O3295" s="1"/>
      <c r="P3295" s="189"/>
      <c r="Q3295" s="190"/>
      <c r="R3295" s="188"/>
      <c r="S3295" s="193"/>
      <c r="T3295" s="192"/>
      <c r="U3295" s="829"/>
      <c r="V3295" s="10"/>
      <c r="W3295" s="10"/>
      <c r="X3295" s="10"/>
      <c r="Y3295" s="10"/>
      <c r="Z3295" s="10"/>
      <c r="AA3295" s="11"/>
      <c r="AB3295" s="11"/>
    </row>
    <row r="3296" spans="2:28" x14ac:dyDescent="0.3">
      <c r="B3296" s="10"/>
      <c r="C3296" s="315"/>
      <c r="D3296" s="868"/>
      <c r="E3296" s="837" t="str">
        <f>IFERROR(IF(_xlfn.XLOOKUP(Imput[[#This Row],[RFC]],'Alta Proveedor'!D:D,'Alta Proveedor'!E:E)=0,"",_xlfn.XLOOKUP(Imput[[#This Row],[RFC]],'Alta Proveedor'!D:D,'Alta Proveedor'!E:E)),"")</f>
        <v/>
      </c>
      <c r="F3296" s="832"/>
      <c r="G3296" s="187"/>
      <c r="H3296" s="1"/>
      <c r="I3296" s="169">
        <f>Imput[[#This Row],[Cantidad]]*Imput[[#This Row],[Precio Unitario]]</f>
        <v>0</v>
      </c>
      <c r="J3296" s="11">
        <f>((Imput[[#This Row],[Sub total]])*(0.16))</f>
        <v>0</v>
      </c>
      <c r="K3296" s="11">
        <v>0</v>
      </c>
      <c r="L3296" s="169">
        <f>Imput[[#This Row],[Sub total]]+Imput[[#This Row],[IVA]]-Imput[[#This Row],[Retención / IEPS / Descuento]]</f>
        <v>0</v>
      </c>
      <c r="M3296" s="844">
        <v>0</v>
      </c>
      <c r="N3296" s="189"/>
      <c r="O3296" s="1"/>
      <c r="P3296" s="189"/>
      <c r="Q3296" s="190"/>
      <c r="R3296" s="188"/>
      <c r="S3296" s="193"/>
      <c r="T3296" s="192"/>
      <c r="U3296" s="829"/>
      <c r="V3296" s="10"/>
      <c r="W3296" s="10"/>
      <c r="X3296" s="10"/>
      <c r="Y3296" s="10"/>
      <c r="Z3296" s="10"/>
      <c r="AA3296" s="11"/>
      <c r="AB3296" s="11"/>
    </row>
    <row r="3297" spans="2:28" x14ac:dyDescent="0.3">
      <c r="B3297" s="10"/>
      <c r="C3297" s="315"/>
      <c r="D3297" s="868"/>
      <c r="E3297" s="837" t="str">
        <f>IFERROR(IF(_xlfn.XLOOKUP(Imput[[#This Row],[RFC]],'Alta Proveedor'!D:D,'Alta Proveedor'!E:E)=0,"",_xlfn.XLOOKUP(Imput[[#This Row],[RFC]],'Alta Proveedor'!D:D,'Alta Proveedor'!E:E)),"")</f>
        <v/>
      </c>
      <c r="F3297" s="832"/>
      <c r="G3297" s="187"/>
      <c r="H3297" s="1"/>
      <c r="I3297" s="169">
        <f>Imput[[#This Row],[Cantidad]]*Imput[[#This Row],[Precio Unitario]]</f>
        <v>0</v>
      </c>
      <c r="J3297" s="11">
        <f>((Imput[[#This Row],[Sub total]])*(0.16))</f>
        <v>0</v>
      </c>
      <c r="K3297" s="11">
        <v>0</v>
      </c>
      <c r="L3297" s="169">
        <f>Imput[[#This Row],[Sub total]]+Imput[[#This Row],[IVA]]-Imput[[#This Row],[Retención / IEPS / Descuento]]</f>
        <v>0</v>
      </c>
      <c r="M3297" s="844">
        <v>0</v>
      </c>
      <c r="N3297" s="189"/>
      <c r="O3297" s="1"/>
      <c r="P3297" s="189"/>
      <c r="Q3297" s="190"/>
      <c r="R3297" s="188"/>
      <c r="S3297" s="193"/>
      <c r="T3297" s="192"/>
      <c r="U3297" s="829"/>
      <c r="V3297" s="10"/>
      <c r="W3297" s="10"/>
      <c r="X3297" s="10"/>
      <c r="Y3297" s="10"/>
      <c r="Z3297" s="10"/>
      <c r="AA3297" s="11"/>
      <c r="AB3297" s="11"/>
    </row>
    <row r="3298" spans="2:28" x14ac:dyDescent="0.3">
      <c r="B3298" s="10"/>
      <c r="C3298" s="315"/>
      <c r="D3298" s="868"/>
      <c r="E3298" s="837" t="str">
        <f>IFERROR(IF(_xlfn.XLOOKUP(Imput[[#This Row],[RFC]],'Alta Proveedor'!D:D,'Alta Proveedor'!E:E)=0,"",_xlfn.XLOOKUP(Imput[[#This Row],[RFC]],'Alta Proveedor'!D:D,'Alta Proveedor'!E:E)),"")</f>
        <v/>
      </c>
      <c r="F3298" s="832"/>
      <c r="G3298" s="187"/>
      <c r="H3298" s="1"/>
      <c r="I3298" s="169">
        <f>Imput[[#This Row],[Cantidad]]*Imput[[#This Row],[Precio Unitario]]</f>
        <v>0</v>
      </c>
      <c r="J3298" s="11">
        <f>((Imput[[#This Row],[Sub total]])*(0.16))</f>
        <v>0</v>
      </c>
      <c r="K3298" s="11">
        <v>0</v>
      </c>
      <c r="L3298" s="169">
        <f>Imput[[#This Row],[Sub total]]+Imput[[#This Row],[IVA]]-Imput[[#This Row],[Retención / IEPS / Descuento]]</f>
        <v>0</v>
      </c>
      <c r="M3298" s="844">
        <v>0</v>
      </c>
      <c r="N3298" s="189"/>
      <c r="O3298" s="1"/>
      <c r="P3298" s="189"/>
      <c r="Q3298" s="190"/>
      <c r="R3298" s="188"/>
      <c r="S3298" s="193"/>
      <c r="T3298" s="192"/>
      <c r="U3298" s="829"/>
      <c r="V3298" s="10"/>
      <c r="W3298" s="10"/>
      <c r="X3298" s="10"/>
      <c r="Y3298" s="10"/>
      <c r="Z3298" s="10"/>
      <c r="AA3298" s="11"/>
      <c r="AB3298" s="11"/>
    </row>
    <row r="3299" spans="2:28" x14ac:dyDescent="0.3">
      <c r="B3299" s="10"/>
      <c r="C3299" s="315"/>
      <c r="D3299" s="868"/>
      <c r="E3299" s="837" t="str">
        <f>IFERROR(IF(_xlfn.XLOOKUP(Imput[[#This Row],[RFC]],'Alta Proveedor'!D:D,'Alta Proveedor'!E:E)=0,"",_xlfn.XLOOKUP(Imput[[#This Row],[RFC]],'Alta Proveedor'!D:D,'Alta Proveedor'!E:E)),"")</f>
        <v/>
      </c>
      <c r="F3299" s="832"/>
      <c r="G3299" s="187"/>
      <c r="H3299" s="1"/>
      <c r="I3299" s="169">
        <f>Imput[[#This Row],[Cantidad]]*Imput[[#This Row],[Precio Unitario]]</f>
        <v>0</v>
      </c>
      <c r="J3299" s="11">
        <f>((Imput[[#This Row],[Sub total]])*(0.16))</f>
        <v>0</v>
      </c>
      <c r="K3299" s="11">
        <v>0</v>
      </c>
      <c r="L3299" s="169">
        <f>Imput[[#This Row],[Sub total]]+Imput[[#This Row],[IVA]]-Imput[[#This Row],[Retención / IEPS / Descuento]]</f>
        <v>0</v>
      </c>
      <c r="M3299" s="844">
        <v>0</v>
      </c>
      <c r="N3299" s="189"/>
      <c r="O3299" s="1"/>
      <c r="P3299" s="189"/>
      <c r="Q3299" s="190"/>
      <c r="R3299" s="188"/>
      <c r="S3299" s="193"/>
      <c r="T3299" s="192"/>
      <c r="U3299" s="829"/>
      <c r="V3299" s="10"/>
      <c r="W3299" s="10"/>
      <c r="X3299" s="10"/>
      <c r="Y3299" s="10"/>
      <c r="Z3299" s="10"/>
      <c r="AA3299" s="11"/>
      <c r="AB3299" s="11"/>
    </row>
    <row r="3300" spans="2:28" x14ac:dyDescent="0.3">
      <c r="B3300" s="10"/>
      <c r="C3300" s="315"/>
      <c r="D3300" s="868"/>
      <c r="E3300" s="837" t="str">
        <f>IFERROR(IF(_xlfn.XLOOKUP(Imput[[#This Row],[RFC]],'Alta Proveedor'!D:D,'Alta Proveedor'!E:E)=0,"",_xlfn.XLOOKUP(Imput[[#This Row],[RFC]],'Alta Proveedor'!D:D,'Alta Proveedor'!E:E)),"")</f>
        <v/>
      </c>
      <c r="F3300" s="832"/>
      <c r="G3300" s="187"/>
      <c r="H3300" s="1"/>
      <c r="I3300" s="169">
        <f>Imput[[#This Row],[Cantidad]]*Imput[[#This Row],[Precio Unitario]]</f>
        <v>0</v>
      </c>
      <c r="J3300" s="11">
        <f>((Imput[[#This Row],[Sub total]])*(0.16))</f>
        <v>0</v>
      </c>
      <c r="K3300" s="11">
        <v>0</v>
      </c>
      <c r="L3300" s="169">
        <f>Imput[[#This Row],[Sub total]]+Imput[[#This Row],[IVA]]-Imput[[#This Row],[Retención / IEPS / Descuento]]</f>
        <v>0</v>
      </c>
      <c r="M3300" s="844">
        <v>0</v>
      </c>
      <c r="N3300" s="189"/>
      <c r="O3300" s="1"/>
      <c r="P3300" s="189"/>
      <c r="Q3300" s="190"/>
      <c r="R3300" s="188"/>
      <c r="S3300" s="193"/>
      <c r="T3300" s="192"/>
      <c r="U3300" s="829"/>
      <c r="V3300" s="10"/>
      <c r="W3300" s="10"/>
      <c r="X3300" s="10"/>
      <c r="Y3300" s="10"/>
      <c r="Z3300" s="10"/>
      <c r="AA3300" s="11"/>
      <c r="AB3300" s="11"/>
    </row>
    <row r="3301" spans="2:28" x14ac:dyDescent="0.3">
      <c r="B3301" s="10"/>
      <c r="C3301" s="315"/>
      <c r="D3301" s="868"/>
      <c r="E3301" s="837" t="str">
        <f>IFERROR(IF(_xlfn.XLOOKUP(Imput[[#This Row],[RFC]],'Alta Proveedor'!D:D,'Alta Proveedor'!E:E)=0,"",_xlfn.XLOOKUP(Imput[[#This Row],[RFC]],'Alta Proveedor'!D:D,'Alta Proveedor'!E:E)),"")</f>
        <v/>
      </c>
      <c r="F3301" s="832"/>
      <c r="G3301" s="187"/>
      <c r="H3301" s="1"/>
      <c r="I3301" s="169">
        <f>Imput[[#This Row],[Cantidad]]*Imput[[#This Row],[Precio Unitario]]</f>
        <v>0</v>
      </c>
      <c r="J3301" s="11">
        <f>((Imput[[#This Row],[Sub total]])*(0.16))</f>
        <v>0</v>
      </c>
      <c r="K3301" s="11">
        <v>0</v>
      </c>
      <c r="L3301" s="169">
        <f>Imput[[#This Row],[Sub total]]+Imput[[#This Row],[IVA]]-Imput[[#This Row],[Retención / IEPS / Descuento]]</f>
        <v>0</v>
      </c>
      <c r="M3301" s="844">
        <v>0</v>
      </c>
      <c r="N3301" s="189"/>
      <c r="O3301" s="1"/>
      <c r="P3301" s="189"/>
      <c r="Q3301" s="190"/>
      <c r="R3301" s="188"/>
      <c r="S3301" s="193"/>
      <c r="T3301" s="192"/>
      <c r="U3301" s="829"/>
      <c r="V3301" s="10"/>
      <c r="W3301" s="10"/>
      <c r="X3301" s="10"/>
      <c r="Y3301" s="10"/>
      <c r="Z3301" s="10"/>
      <c r="AA3301" s="11"/>
      <c r="AB3301" s="11"/>
    </row>
    <row r="3302" spans="2:28" x14ac:dyDescent="0.3">
      <c r="B3302" s="10"/>
      <c r="C3302" s="315"/>
      <c r="D3302" s="868"/>
      <c r="E3302" s="837" t="str">
        <f>IFERROR(IF(_xlfn.XLOOKUP(Imput[[#This Row],[RFC]],'Alta Proveedor'!D:D,'Alta Proveedor'!E:E)=0,"",_xlfn.XLOOKUP(Imput[[#This Row],[RFC]],'Alta Proveedor'!D:D,'Alta Proveedor'!E:E)),"")</f>
        <v/>
      </c>
      <c r="F3302" s="832"/>
      <c r="G3302" s="187"/>
      <c r="H3302" s="1"/>
      <c r="I3302" s="169">
        <f>Imput[[#This Row],[Cantidad]]*Imput[[#This Row],[Precio Unitario]]</f>
        <v>0</v>
      </c>
      <c r="J3302" s="11">
        <f>((Imput[[#This Row],[Sub total]])*(0.16))</f>
        <v>0</v>
      </c>
      <c r="K3302" s="11">
        <v>0</v>
      </c>
      <c r="L3302" s="169">
        <f>Imput[[#This Row],[Sub total]]+Imput[[#This Row],[IVA]]-Imput[[#This Row],[Retención / IEPS / Descuento]]</f>
        <v>0</v>
      </c>
      <c r="M3302" s="844">
        <v>0</v>
      </c>
      <c r="N3302" s="189"/>
      <c r="O3302" s="1"/>
      <c r="P3302" s="189"/>
      <c r="Q3302" s="190"/>
      <c r="R3302" s="188"/>
      <c r="S3302" s="193"/>
      <c r="T3302" s="192"/>
      <c r="U3302" s="829"/>
      <c r="V3302" s="10"/>
      <c r="W3302" s="10"/>
      <c r="X3302" s="10"/>
      <c r="Y3302" s="10"/>
      <c r="Z3302" s="10"/>
      <c r="AA3302" s="11"/>
      <c r="AB3302" s="11"/>
    </row>
    <row r="3303" spans="2:28" x14ac:dyDescent="0.3">
      <c r="B3303" s="10"/>
      <c r="C3303" s="315"/>
      <c r="D3303" s="868"/>
      <c r="E3303" s="837" t="str">
        <f>IFERROR(IF(_xlfn.XLOOKUP(Imput[[#This Row],[RFC]],'Alta Proveedor'!D:D,'Alta Proveedor'!E:E)=0,"",_xlfn.XLOOKUP(Imput[[#This Row],[RFC]],'Alta Proveedor'!D:D,'Alta Proveedor'!E:E)),"")</f>
        <v/>
      </c>
      <c r="F3303" s="832"/>
      <c r="G3303" s="187"/>
      <c r="H3303" s="1"/>
      <c r="I3303" s="169">
        <f>Imput[[#This Row],[Cantidad]]*Imput[[#This Row],[Precio Unitario]]</f>
        <v>0</v>
      </c>
      <c r="J3303" s="11">
        <f>((Imput[[#This Row],[Sub total]])*(0.16))</f>
        <v>0</v>
      </c>
      <c r="K3303" s="11">
        <v>0</v>
      </c>
      <c r="L3303" s="169">
        <f>Imput[[#This Row],[Sub total]]+Imput[[#This Row],[IVA]]-Imput[[#This Row],[Retención / IEPS / Descuento]]</f>
        <v>0</v>
      </c>
      <c r="M3303" s="844">
        <v>0</v>
      </c>
      <c r="N3303" s="189"/>
      <c r="O3303" s="1"/>
      <c r="P3303" s="189"/>
      <c r="Q3303" s="190"/>
      <c r="R3303" s="188"/>
      <c r="S3303" s="193"/>
      <c r="T3303" s="192"/>
      <c r="U3303" s="829"/>
      <c r="V3303" s="10"/>
      <c r="W3303" s="10"/>
      <c r="X3303" s="10"/>
      <c r="Y3303" s="10"/>
      <c r="Z3303" s="10"/>
      <c r="AA3303" s="11"/>
      <c r="AB3303" s="11"/>
    </row>
    <row r="3304" spans="2:28" x14ac:dyDescent="0.3">
      <c r="B3304" s="10"/>
      <c r="C3304" s="315"/>
      <c r="D3304" s="868"/>
      <c r="E3304" s="837" t="str">
        <f>IFERROR(IF(_xlfn.XLOOKUP(Imput[[#This Row],[RFC]],'Alta Proveedor'!D:D,'Alta Proveedor'!E:E)=0,"",_xlfn.XLOOKUP(Imput[[#This Row],[RFC]],'Alta Proveedor'!D:D,'Alta Proveedor'!E:E)),"")</f>
        <v/>
      </c>
      <c r="F3304" s="832"/>
      <c r="G3304" s="187"/>
      <c r="H3304" s="1"/>
      <c r="I3304" s="169">
        <f>Imput[[#This Row],[Cantidad]]*Imput[[#This Row],[Precio Unitario]]</f>
        <v>0</v>
      </c>
      <c r="J3304" s="11">
        <f>((Imput[[#This Row],[Sub total]])*(0.16))</f>
        <v>0</v>
      </c>
      <c r="K3304" s="11">
        <v>0</v>
      </c>
      <c r="L3304" s="169">
        <f>Imput[[#This Row],[Sub total]]+Imput[[#This Row],[IVA]]-Imput[[#This Row],[Retención / IEPS / Descuento]]</f>
        <v>0</v>
      </c>
      <c r="M3304" s="844">
        <v>0</v>
      </c>
      <c r="N3304" s="189"/>
      <c r="O3304" s="1"/>
      <c r="P3304" s="189"/>
      <c r="Q3304" s="190"/>
      <c r="R3304" s="188"/>
      <c r="S3304" s="193"/>
      <c r="T3304" s="192"/>
      <c r="U3304" s="829"/>
      <c r="V3304" s="10"/>
      <c r="W3304" s="10"/>
      <c r="X3304" s="10"/>
      <c r="Y3304" s="10"/>
      <c r="Z3304" s="10"/>
      <c r="AA3304" s="11"/>
      <c r="AB3304" s="11"/>
    </row>
    <row r="3305" spans="2:28" x14ac:dyDescent="0.3">
      <c r="B3305" s="10"/>
      <c r="C3305" s="315"/>
      <c r="D3305" s="868"/>
      <c r="E3305" s="837" t="str">
        <f>IFERROR(IF(_xlfn.XLOOKUP(Imput[[#This Row],[RFC]],'Alta Proveedor'!D:D,'Alta Proveedor'!E:E)=0,"",_xlfn.XLOOKUP(Imput[[#This Row],[RFC]],'Alta Proveedor'!D:D,'Alta Proveedor'!E:E)),"")</f>
        <v/>
      </c>
      <c r="F3305" s="832"/>
      <c r="G3305" s="187"/>
      <c r="H3305" s="1"/>
      <c r="I3305" s="169">
        <f>Imput[[#This Row],[Cantidad]]*Imput[[#This Row],[Precio Unitario]]</f>
        <v>0</v>
      </c>
      <c r="J3305" s="11">
        <f>((Imput[[#This Row],[Sub total]])*(0.16))</f>
        <v>0</v>
      </c>
      <c r="K3305" s="11">
        <v>0</v>
      </c>
      <c r="L3305" s="169">
        <f>Imput[[#This Row],[Sub total]]+Imput[[#This Row],[IVA]]-Imput[[#This Row],[Retención / IEPS / Descuento]]</f>
        <v>0</v>
      </c>
      <c r="M3305" s="844">
        <v>0</v>
      </c>
      <c r="N3305" s="189"/>
      <c r="O3305" s="1"/>
      <c r="P3305" s="189"/>
      <c r="Q3305" s="190"/>
      <c r="R3305" s="188"/>
      <c r="S3305" s="193"/>
      <c r="T3305" s="192"/>
      <c r="U3305" s="829"/>
      <c r="V3305" s="10"/>
      <c r="W3305" s="10"/>
      <c r="X3305" s="10"/>
      <c r="Y3305" s="10"/>
      <c r="Z3305" s="10"/>
      <c r="AA3305" s="11"/>
      <c r="AB3305" s="11"/>
    </row>
    <row r="3306" spans="2:28" x14ac:dyDescent="0.3">
      <c r="B3306" s="10"/>
      <c r="C3306" s="315"/>
      <c r="D3306" s="868"/>
      <c r="E3306" s="837" t="str">
        <f>IFERROR(IF(_xlfn.XLOOKUP(Imput[[#This Row],[RFC]],'Alta Proveedor'!D:D,'Alta Proveedor'!E:E)=0,"",_xlfn.XLOOKUP(Imput[[#This Row],[RFC]],'Alta Proveedor'!D:D,'Alta Proveedor'!E:E)),"")</f>
        <v/>
      </c>
      <c r="F3306" s="832"/>
      <c r="G3306" s="187"/>
      <c r="H3306" s="1"/>
      <c r="I3306" s="169">
        <f>Imput[[#This Row],[Cantidad]]*Imput[[#This Row],[Precio Unitario]]</f>
        <v>0</v>
      </c>
      <c r="J3306" s="11">
        <f>((Imput[[#This Row],[Sub total]])*(0.16))</f>
        <v>0</v>
      </c>
      <c r="K3306" s="11">
        <v>0</v>
      </c>
      <c r="L3306" s="169">
        <f>Imput[[#This Row],[Sub total]]+Imput[[#This Row],[IVA]]-Imput[[#This Row],[Retención / IEPS / Descuento]]</f>
        <v>0</v>
      </c>
      <c r="M3306" s="844">
        <v>0</v>
      </c>
      <c r="N3306" s="189"/>
      <c r="O3306" s="1"/>
      <c r="P3306" s="189"/>
      <c r="Q3306" s="190"/>
      <c r="R3306" s="188"/>
      <c r="S3306" s="193"/>
      <c r="T3306" s="192"/>
      <c r="U3306" s="829"/>
      <c r="V3306" s="10"/>
      <c r="W3306" s="10"/>
      <c r="X3306" s="10"/>
      <c r="Y3306" s="10"/>
      <c r="Z3306" s="10"/>
      <c r="AA3306" s="11"/>
      <c r="AB3306" s="11"/>
    </row>
    <row r="3307" spans="2:28" x14ac:dyDescent="0.3">
      <c r="B3307" s="10"/>
      <c r="C3307" s="315"/>
      <c r="D3307" s="868"/>
      <c r="E3307" s="837" t="str">
        <f>IFERROR(IF(_xlfn.XLOOKUP(Imput[[#This Row],[RFC]],'Alta Proveedor'!D:D,'Alta Proveedor'!E:E)=0,"",_xlfn.XLOOKUP(Imput[[#This Row],[RFC]],'Alta Proveedor'!D:D,'Alta Proveedor'!E:E)),"")</f>
        <v/>
      </c>
      <c r="F3307" s="832"/>
      <c r="G3307" s="187"/>
      <c r="H3307" s="1"/>
      <c r="I3307" s="169">
        <f>Imput[[#This Row],[Cantidad]]*Imput[[#This Row],[Precio Unitario]]</f>
        <v>0</v>
      </c>
      <c r="J3307" s="11">
        <f>((Imput[[#This Row],[Sub total]])*(0.16))</f>
        <v>0</v>
      </c>
      <c r="K3307" s="11">
        <v>0</v>
      </c>
      <c r="L3307" s="169">
        <f>Imput[[#This Row],[Sub total]]+Imput[[#This Row],[IVA]]-Imput[[#This Row],[Retención / IEPS / Descuento]]</f>
        <v>0</v>
      </c>
      <c r="M3307" s="844">
        <v>0</v>
      </c>
      <c r="N3307" s="189"/>
      <c r="O3307" s="1"/>
      <c r="P3307" s="189"/>
      <c r="Q3307" s="190"/>
      <c r="R3307" s="188"/>
      <c r="S3307" s="193"/>
      <c r="T3307" s="192"/>
      <c r="U3307" s="829"/>
      <c r="V3307" s="10"/>
      <c r="W3307" s="10"/>
      <c r="X3307" s="10"/>
      <c r="Y3307" s="10"/>
      <c r="Z3307" s="10"/>
      <c r="AA3307" s="11"/>
      <c r="AB3307" s="11"/>
    </row>
    <row r="3308" spans="2:28" x14ac:dyDescent="0.3">
      <c r="B3308" s="10"/>
      <c r="C3308" s="315"/>
      <c r="D3308" s="868"/>
      <c r="E3308" s="837" t="str">
        <f>IFERROR(IF(_xlfn.XLOOKUP(Imput[[#This Row],[RFC]],'Alta Proveedor'!D:D,'Alta Proveedor'!E:E)=0,"",_xlfn.XLOOKUP(Imput[[#This Row],[RFC]],'Alta Proveedor'!D:D,'Alta Proveedor'!E:E)),"")</f>
        <v/>
      </c>
      <c r="F3308" s="832"/>
      <c r="G3308" s="187"/>
      <c r="H3308" s="1"/>
      <c r="I3308" s="169">
        <f>Imput[[#This Row],[Cantidad]]*Imput[[#This Row],[Precio Unitario]]</f>
        <v>0</v>
      </c>
      <c r="J3308" s="11">
        <f>((Imput[[#This Row],[Sub total]])*(0.16))</f>
        <v>0</v>
      </c>
      <c r="K3308" s="11">
        <v>0</v>
      </c>
      <c r="L3308" s="169">
        <f>Imput[[#This Row],[Sub total]]+Imput[[#This Row],[IVA]]-Imput[[#This Row],[Retención / IEPS / Descuento]]</f>
        <v>0</v>
      </c>
      <c r="M3308" s="844">
        <v>0</v>
      </c>
      <c r="N3308" s="189"/>
      <c r="O3308" s="1"/>
      <c r="P3308" s="189"/>
      <c r="Q3308" s="190"/>
      <c r="R3308" s="188"/>
      <c r="S3308" s="193"/>
      <c r="T3308" s="192"/>
      <c r="U3308" s="829"/>
      <c r="V3308" s="10"/>
      <c r="W3308" s="10"/>
      <c r="X3308" s="10"/>
      <c r="Y3308" s="10"/>
      <c r="Z3308" s="10"/>
      <c r="AA3308" s="11"/>
      <c r="AB3308" s="11"/>
    </row>
    <row r="3309" spans="2:28" x14ac:dyDescent="0.3">
      <c r="B3309" s="10"/>
      <c r="C3309" s="315"/>
      <c r="D3309" s="868"/>
      <c r="E3309" s="837" t="str">
        <f>IFERROR(IF(_xlfn.XLOOKUP(Imput[[#This Row],[RFC]],'Alta Proveedor'!D:D,'Alta Proveedor'!E:E)=0,"",_xlfn.XLOOKUP(Imput[[#This Row],[RFC]],'Alta Proveedor'!D:D,'Alta Proveedor'!E:E)),"")</f>
        <v/>
      </c>
      <c r="F3309" s="832"/>
      <c r="G3309" s="187"/>
      <c r="H3309" s="1"/>
      <c r="I3309" s="169">
        <f>Imput[[#This Row],[Cantidad]]*Imput[[#This Row],[Precio Unitario]]</f>
        <v>0</v>
      </c>
      <c r="J3309" s="11">
        <f>((Imput[[#This Row],[Sub total]])*(0.16))</f>
        <v>0</v>
      </c>
      <c r="K3309" s="11">
        <v>0</v>
      </c>
      <c r="L3309" s="169">
        <f>Imput[[#This Row],[Sub total]]+Imput[[#This Row],[IVA]]-Imput[[#This Row],[Retención / IEPS / Descuento]]</f>
        <v>0</v>
      </c>
      <c r="M3309" s="844">
        <v>0</v>
      </c>
      <c r="N3309" s="189"/>
      <c r="O3309" s="1"/>
      <c r="P3309" s="189"/>
      <c r="Q3309" s="190"/>
      <c r="R3309" s="188"/>
      <c r="S3309" s="193"/>
      <c r="T3309" s="192"/>
      <c r="U3309" s="829"/>
      <c r="V3309" s="10"/>
      <c r="W3309" s="10"/>
      <c r="X3309" s="10"/>
      <c r="Y3309" s="10"/>
      <c r="Z3309" s="10"/>
      <c r="AA3309" s="11"/>
      <c r="AB3309" s="11"/>
    </row>
    <row r="3310" spans="2:28" x14ac:dyDescent="0.3">
      <c r="B3310" s="10"/>
      <c r="C3310" s="315"/>
      <c r="D3310" s="868"/>
      <c r="E3310" s="837" t="str">
        <f>IFERROR(IF(_xlfn.XLOOKUP(Imput[[#This Row],[RFC]],'Alta Proveedor'!D:D,'Alta Proveedor'!E:E)=0,"",_xlfn.XLOOKUP(Imput[[#This Row],[RFC]],'Alta Proveedor'!D:D,'Alta Proveedor'!E:E)),"")</f>
        <v/>
      </c>
      <c r="F3310" s="832"/>
      <c r="G3310" s="187"/>
      <c r="H3310" s="1"/>
      <c r="I3310" s="169">
        <f>Imput[[#This Row],[Cantidad]]*Imput[[#This Row],[Precio Unitario]]</f>
        <v>0</v>
      </c>
      <c r="J3310" s="11">
        <f>((Imput[[#This Row],[Sub total]])*(0.16))</f>
        <v>0</v>
      </c>
      <c r="K3310" s="11">
        <v>0</v>
      </c>
      <c r="L3310" s="169">
        <f>Imput[[#This Row],[Sub total]]+Imput[[#This Row],[IVA]]-Imput[[#This Row],[Retención / IEPS / Descuento]]</f>
        <v>0</v>
      </c>
      <c r="M3310" s="844">
        <v>0</v>
      </c>
      <c r="N3310" s="189"/>
      <c r="O3310" s="1"/>
      <c r="P3310" s="189"/>
      <c r="Q3310" s="190"/>
      <c r="R3310" s="188"/>
      <c r="S3310" s="193"/>
      <c r="T3310" s="192"/>
      <c r="U3310" s="829"/>
      <c r="V3310" s="10"/>
      <c r="W3310" s="10"/>
      <c r="X3310" s="10"/>
      <c r="Y3310" s="10"/>
      <c r="Z3310" s="10"/>
      <c r="AA3310" s="11"/>
      <c r="AB3310" s="11"/>
    </row>
    <row r="3311" spans="2:28" x14ac:dyDescent="0.3">
      <c r="B3311" s="10"/>
      <c r="C3311" s="315"/>
      <c r="D3311" s="868"/>
      <c r="E3311" s="837" t="str">
        <f>IFERROR(IF(_xlfn.XLOOKUP(Imput[[#This Row],[RFC]],'Alta Proveedor'!D:D,'Alta Proveedor'!E:E)=0,"",_xlfn.XLOOKUP(Imput[[#This Row],[RFC]],'Alta Proveedor'!D:D,'Alta Proveedor'!E:E)),"")</f>
        <v/>
      </c>
      <c r="F3311" s="832"/>
      <c r="G3311" s="187"/>
      <c r="H3311" s="1"/>
      <c r="I3311" s="169">
        <f>Imput[[#This Row],[Cantidad]]*Imput[[#This Row],[Precio Unitario]]</f>
        <v>0</v>
      </c>
      <c r="J3311" s="11">
        <f>((Imput[[#This Row],[Sub total]])*(0.16))</f>
        <v>0</v>
      </c>
      <c r="K3311" s="11">
        <v>0</v>
      </c>
      <c r="L3311" s="169">
        <f>Imput[[#This Row],[Sub total]]+Imput[[#This Row],[IVA]]-Imput[[#This Row],[Retención / IEPS / Descuento]]</f>
        <v>0</v>
      </c>
      <c r="M3311" s="844">
        <v>0</v>
      </c>
      <c r="N3311" s="189"/>
      <c r="O3311" s="1"/>
      <c r="P3311" s="189"/>
      <c r="Q3311" s="190"/>
      <c r="R3311" s="188"/>
      <c r="S3311" s="193"/>
      <c r="T3311" s="192"/>
      <c r="U3311" s="829"/>
      <c r="V3311" s="10"/>
      <c r="W3311" s="10"/>
      <c r="X3311" s="10"/>
      <c r="Y3311" s="10"/>
      <c r="Z3311" s="10"/>
      <c r="AA3311" s="11"/>
      <c r="AB3311" s="11"/>
    </row>
    <row r="3312" spans="2:28" x14ac:dyDescent="0.3">
      <c r="B3312" s="10"/>
      <c r="C3312" s="315"/>
      <c r="D3312" s="868"/>
      <c r="E3312" s="837" t="str">
        <f>IFERROR(IF(_xlfn.XLOOKUP(Imput[[#This Row],[RFC]],'Alta Proveedor'!D:D,'Alta Proveedor'!E:E)=0,"",_xlfn.XLOOKUP(Imput[[#This Row],[RFC]],'Alta Proveedor'!D:D,'Alta Proveedor'!E:E)),"")</f>
        <v/>
      </c>
      <c r="F3312" s="832"/>
      <c r="G3312" s="187"/>
      <c r="H3312" s="1"/>
      <c r="I3312" s="169">
        <f>Imput[[#This Row],[Cantidad]]*Imput[[#This Row],[Precio Unitario]]</f>
        <v>0</v>
      </c>
      <c r="J3312" s="11">
        <f>((Imput[[#This Row],[Sub total]])*(0.16))</f>
        <v>0</v>
      </c>
      <c r="K3312" s="11">
        <v>0</v>
      </c>
      <c r="L3312" s="169">
        <f>Imput[[#This Row],[Sub total]]+Imput[[#This Row],[IVA]]-Imput[[#This Row],[Retención / IEPS / Descuento]]</f>
        <v>0</v>
      </c>
      <c r="M3312" s="844">
        <v>0</v>
      </c>
      <c r="N3312" s="189"/>
      <c r="O3312" s="1"/>
      <c r="P3312" s="189"/>
      <c r="Q3312" s="190"/>
      <c r="R3312" s="188"/>
      <c r="S3312" s="193"/>
      <c r="T3312" s="192"/>
      <c r="U3312" s="829"/>
      <c r="V3312" s="10"/>
      <c r="W3312" s="10"/>
      <c r="X3312" s="10"/>
      <c r="Y3312" s="10"/>
      <c r="Z3312" s="10"/>
      <c r="AA3312" s="11"/>
      <c r="AB3312" s="11"/>
    </row>
    <row r="3313" spans="2:28" x14ac:dyDescent="0.3">
      <c r="B3313" s="10"/>
      <c r="C3313" s="315"/>
      <c r="D3313" s="868"/>
      <c r="E3313" s="837" t="str">
        <f>IFERROR(IF(_xlfn.XLOOKUP(Imput[[#This Row],[RFC]],'Alta Proveedor'!D:D,'Alta Proveedor'!E:E)=0,"",_xlfn.XLOOKUP(Imput[[#This Row],[RFC]],'Alta Proveedor'!D:D,'Alta Proveedor'!E:E)),"")</f>
        <v/>
      </c>
      <c r="F3313" s="832"/>
      <c r="G3313" s="187"/>
      <c r="H3313" s="1"/>
      <c r="I3313" s="169">
        <f>Imput[[#This Row],[Cantidad]]*Imput[[#This Row],[Precio Unitario]]</f>
        <v>0</v>
      </c>
      <c r="J3313" s="11">
        <f>((Imput[[#This Row],[Sub total]])*(0.16))</f>
        <v>0</v>
      </c>
      <c r="K3313" s="11">
        <v>0</v>
      </c>
      <c r="L3313" s="169">
        <f>Imput[[#This Row],[Sub total]]+Imput[[#This Row],[IVA]]-Imput[[#This Row],[Retención / IEPS / Descuento]]</f>
        <v>0</v>
      </c>
      <c r="M3313" s="844">
        <v>0</v>
      </c>
      <c r="N3313" s="189"/>
      <c r="O3313" s="1"/>
      <c r="P3313" s="189"/>
      <c r="Q3313" s="190"/>
      <c r="R3313" s="188"/>
      <c r="S3313" s="193"/>
      <c r="T3313" s="192"/>
      <c r="U3313" s="829"/>
      <c r="V3313" s="10"/>
      <c r="W3313" s="10"/>
      <c r="X3313" s="10"/>
      <c r="Y3313" s="10"/>
      <c r="Z3313" s="10"/>
      <c r="AA3313" s="11"/>
      <c r="AB3313" s="11"/>
    </row>
    <row r="3314" spans="2:28" x14ac:dyDescent="0.3">
      <c r="B3314" s="10"/>
      <c r="C3314" s="315"/>
      <c r="D3314" s="868"/>
      <c r="E3314" s="837" t="str">
        <f>IFERROR(IF(_xlfn.XLOOKUP(Imput[[#This Row],[RFC]],'Alta Proveedor'!D:D,'Alta Proveedor'!E:E)=0,"",_xlfn.XLOOKUP(Imput[[#This Row],[RFC]],'Alta Proveedor'!D:D,'Alta Proveedor'!E:E)),"")</f>
        <v/>
      </c>
      <c r="F3314" s="832"/>
      <c r="G3314" s="187"/>
      <c r="H3314" s="1"/>
      <c r="I3314" s="169">
        <f>Imput[[#This Row],[Cantidad]]*Imput[[#This Row],[Precio Unitario]]</f>
        <v>0</v>
      </c>
      <c r="J3314" s="11">
        <f>((Imput[[#This Row],[Sub total]])*(0.16))</f>
        <v>0</v>
      </c>
      <c r="K3314" s="11">
        <v>0</v>
      </c>
      <c r="L3314" s="169">
        <f>Imput[[#This Row],[Sub total]]+Imput[[#This Row],[IVA]]-Imput[[#This Row],[Retención / IEPS / Descuento]]</f>
        <v>0</v>
      </c>
      <c r="M3314" s="844">
        <v>0</v>
      </c>
      <c r="N3314" s="189"/>
      <c r="O3314" s="1"/>
      <c r="P3314" s="189"/>
      <c r="Q3314" s="190"/>
      <c r="R3314" s="188"/>
      <c r="S3314" s="193"/>
      <c r="T3314" s="192"/>
      <c r="U3314" s="829"/>
      <c r="V3314" s="10"/>
      <c r="W3314" s="10"/>
      <c r="X3314" s="10"/>
      <c r="Y3314" s="10"/>
      <c r="Z3314" s="10"/>
      <c r="AA3314" s="11"/>
      <c r="AB3314" s="11"/>
    </row>
    <row r="3315" spans="2:28" x14ac:dyDescent="0.3">
      <c r="B3315" s="10"/>
      <c r="C3315" s="315"/>
      <c r="D3315" s="868"/>
      <c r="E3315" s="837" t="str">
        <f>IFERROR(IF(_xlfn.XLOOKUP(Imput[[#This Row],[RFC]],'Alta Proveedor'!D:D,'Alta Proveedor'!E:E)=0,"",_xlfn.XLOOKUP(Imput[[#This Row],[RFC]],'Alta Proveedor'!D:D,'Alta Proveedor'!E:E)),"")</f>
        <v/>
      </c>
      <c r="F3315" s="832"/>
      <c r="G3315" s="187"/>
      <c r="H3315" s="1"/>
      <c r="I3315" s="169">
        <f>Imput[[#This Row],[Cantidad]]*Imput[[#This Row],[Precio Unitario]]</f>
        <v>0</v>
      </c>
      <c r="J3315" s="11">
        <f>((Imput[[#This Row],[Sub total]])*(0.16))</f>
        <v>0</v>
      </c>
      <c r="K3315" s="11">
        <v>0</v>
      </c>
      <c r="L3315" s="169">
        <f>Imput[[#This Row],[Sub total]]+Imput[[#This Row],[IVA]]-Imput[[#This Row],[Retención / IEPS / Descuento]]</f>
        <v>0</v>
      </c>
      <c r="M3315" s="844">
        <v>0</v>
      </c>
      <c r="N3315" s="189"/>
      <c r="O3315" s="1"/>
      <c r="P3315" s="189"/>
      <c r="Q3315" s="190"/>
      <c r="R3315" s="188"/>
      <c r="S3315" s="193"/>
      <c r="T3315" s="192"/>
      <c r="U3315" s="829"/>
      <c r="V3315" s="10"/>
      <c r="W3315" s="10"/>
      <c r="X3315" s="10"/>
      <c r="Y3315" s="10"/>
      <c r="Z3315" s="10"/>
      <c r="AA3315" s="11"/>
      <c r="AB3315" s="11"/>
    </row>
    <row r="3316" spans="2:28" x14ac:dyDescent="0.3">
      <c r="B3316" s="10"/>
      <c r="C3316" s="315"/>
      <c r="D3316" s="868"/>
      <c r="E3316" s="837" t="str">
        <f>IFERROR(IF(_xlfn.XLOOKUP(Imput[[#This Row],[RFC]],'Alta Proveedor'!D:D,'Alta Proveedor'!E:E)=0,"",_xlfn.XLOOKUP(Imput[[#This Row],[RFC]],'Alta Proveedor'!D:D,'Alta Proveedor'!E:E)),"")</f>
        <v/>
      </c>
      <c r="F3316" s="832"/>
      <c r="G3316" s="187"/>
      <c r="H3316" s="1"/>
      <c r="I3316" s="169">
        <f>Imput[[#This Row],[Cantidad]]*Imput[[#This Row],[Precio Unitario]]</f>
        <v>0</v>
      </c>
      <c r="J3316" s="11">
        <f>((Imput[[#This Row],[Sub total]])*(0.16))</f>
        <v>0</v>
      </c>
      <c r="K3316" s="11">
        <v>0</v>
      </c>
      <c r="L3316" s="169">
        <f>Imput[[#This Row],[Sub total]]+Imput[[#This Row],[IVA]]-Imput[[#This Row],[Retención / IEPS / Descuento]]</f>
        <v>0</v>
      </c>
      <c r="M3316" s="844">
        <v>0</v>
      </c>
      <c r="N3316" s="189"/>
      <c r="O3316" s="1"/>
      <c r="P3316" s="189"/>
      <c r="Q3316" s="190"/>
      <c r="R3316" s="188"/>
      <c r="S3316" s="193"/>
      <c r="T3316" s="192"/>
      <c r="U3316" s="829"/>
      <c r="V3316" s="10"/>
      <c r="W3316" s="10"/>
      <c r="X3316" s="10"/>
      <c r="Y3316" s="10"/>
      <c r="Z3316" s="10"/>
      <c r="AA3316" s="11"/>
      <c r="AB3316" s="11"/>
    </row>
    <row r="3317" spans="2:28" x14ac:dyDescent="0.3">
      <c r="B3317" s="10"/>
      <c r="C3317" s="315"/>
      <c r="D3317" s="868"/>
      <c r="E3317" s="837" t="str">
        <f>IFERROR(IF(_xlfn.XLOOKUP(Imput[[#This Row],[RFC]],'Alta Proveedor'!D:D,'Alta Proveedor'!E:E)=0,"",_xlfn.XLOOKUP(Imput[[#This Row],[RFC]],'Alta Proveedor'!D:D,'Alta Proveedor'!E:E)),"")</f>
        <v/>
      </c>
      <c r="F3317" s="832"/>
      <c r="G3317" s="187"/>
      <c r="H3317" s="1"/>
      <c r="I3317" s="169">
        <f>Imput[[#This Row],[Cantidad]]*Imput[[#This Row],[Precio Unitario]]</f>
        <v>0</v>
      </c>
      <c r="J3317" s="11">
        <f>((Imput[[#This Row],[Sub total]])*(0.16))</f>
        <v>0</v>
      </c>
      <c r="K3317" s="11">
        <v>0</v>
      </c>
      <c r="L3317" s="169">
        <f>Imput[[#This Row],[Sub total]]+Imput[[#This Row],[IVA]]-Imput[[#This Row],[Retención / IEPS / Descuento]]</f>
        <v>0</v>
      </c>
      <c r="M3317" s="844">
        <v>0</v>
      </c>
      <c r="N3317" s="189"/>
      <c r="O3317" s="1"/>
      <c r="P3317" s="189"/>
      <c r="Q3317" s="190"/>
      <c r="R3317" s="188"/>
      <c r="S3317" s="193"/>
      <c r="T3317" s="192"/>
      <c r="U3317" s="829"/>
      <c r="V3317" s="10"/>
      <c r="W3317" s="10"/>
      <c r="X3317" s="10"/>
      <c r="Y3317" s="10"/>
      <c r="Z3317" s="10"/>
      <c r="AA3317" s="11"/>
      <c r="AB3317" s="11"/>
    </row>
    <row r="3318" spans="2:28" x14ac:dyDescent="0.3">
      <c r="B3318" s="10"/>
      <c r="C3318" s="315"/>
      <c r="D3318" s="868"/>
      <c r="E3318" s="837" t="str">
        <f>IFERROR(IF(_xlfn.XLOOKUP(Imput[[#This Row],[RFC]],'Alta Proveedor'!D:D,'Alta Proveedor'!E:E)=0,"",_xlfn.XLOOKUP(Imput[[#This Row],[RFC]],'Alta Proveedor'!D:D,'Alta Proveedor'!E:E)),"")</f>
        <v/>
      </c>
      <c r="F3318" s="832"/>
      <c r="G3318" s="187"/>
      <c r="H3318" s="1"/>
      <c r="I3318" s="169">
        <f>Imput[[#This Row],[Cantidad]]*Imput[[#This Row],[Precio Unitario]]</f>
        <v>0</v>
      </c>
      <c r="J3318" s="11">
        <f>((Imput[[#This Row],[Sub total]])*(0.16))</f>
        <v>0</v>
      </c>
      <c r="K3318" s="11">
        <v>0</v>
      </c>
      <c r="L3318" s="169">
        <f>Imput[[#This Row],[Sub total]]+Imput[[#This Row],[IVA]]-Imput[[#This Row],[Retención / IEPS / Descuento]]</f>
        <v>0</v>
      </c>
      <c r="M3318" s="844">
        <v>0</v>
      </c>
      <c r="N3318" s="189"/>
      <c r="O3318" s="1"/>
      <c r="P3318" s="189"/>
      <c r="Q3318" s="190"/>
      <c r="R3318" s="188"/>
      <c r="S3318" s="193"/>
      <c r="T3318" s="192"/>
      <c r="U3318" s="829"/>
      <c r="V3318" s="10"/>
      <c r="W3318" s="10"/>
      <c r="X3318" s="10"/>
      <c r="Y3318" s="10"/>
      <c r="Z3318" s="10"/>
      <c r="AA3318" s="11"/>
      <c r="AB3318" s="11"/>
    </row>
    <row r="3319" spans="2:28" x14ac:dyDescent="0.3">
      <c r="B3319" s="10"/>
      <c r="C3319" s="315"/>
      <c r="D3319" s="868"/>
      <c r="E3319" s="837" t="str">
        <f>IFERROR(IF(_xlfn.XLOOKUP(Imput[[#This Row],[RFC]],'Alta Proveedor'!D:D,'Alta Proveedor'!E:E)=0,"",_xlfn.XLOOKUP(Imput[[#This Row],[RFC]],'Alta Proveedor'!D:D,'Alta Proveedor'!E:E)),"")</f>
        <v/>
      </c>
      <c r="F3319" s="832"/>
      <c r="G3319" s="187"/>
      <c r="H3319" s="1"/>
      <c r="I3319" s="169">
        <f>Imput[[#This Row],[Cantidad]]*Imput[[#This Row],[Precio Unitario]]</f>
        <v>0</v>
      </c>
      <c r="J3319" s="11">
        <f>((Imput[[#This Row],[Sub total]])*(0.16))</f>
        <v>0</v>
      </c>
      <c r="K3319" s="11">
        <v>0</v>
      </c>
      <c r="L3319" s="169">
        <f>Imput[[#This Row],[Sub total]]+Imput[[#This Row],[IVA]]-Imput[[#This Row],[Retención / IEPS / Descuento]]</f>
        <v>0</v>
      </c>
      <c r="M3319" s="844">
        <v>0</v>
      </c>
      <c r="N3319" s="189"/>
      <c r="O3319" s="1"/>
      <c r="P3319" s="189"/>
      <c r="Q3319" s="190"/>
      <c r="R3319" s="188"/>
      <c r="S3319" s="193"/>
      <c r="T3319" s="192"/>
      <c r="U3319" s="829"/>
      <c r="V3319" s="10"/>
      <c r="W3319" s="10"/>
      <c r="X3319" s="10"/>
      <c r="Y3319" s="10"/>
      <c r="Z3319" s="10"/>
      <c r="AA3319" s="11"/>
      <c r="AB3319" s="11"/>
    </row>
    <row r="3320" spans="2:28" x14ac:dyDescent="0.3">
      <c r="B3320" s="10"/>
      <c r="C3320" s="315"/>
      <c r="D3320" s="868"/>
      <c r="E3320" s="837" t="str">
        <f>IFERROR(IF(_xlfn.XLOOKUP(Imput[[#This Row],[RFC]],'Alta Proveedor'!D:D,'Alta Proveedor'!E:E)=0,"",_xlfn.XLOOKUP(Imput[[#This Row],[RFC]],'Alta Proveedor'!D:D,'Alta Proveedor'!E:E)),"")</f>
        <v/>
      </c>
      <c r="F3320" s="832"/>
      <c r="G3320" s="187"/>
      <c r="H3320" s="1"/>
      <c r="I3320" s="169">
        <f>Imput[[#This Row],[Cantidad]]*Imput[[#This Row],[Precio Unitario]]</f>
        <v>0</v>
      </c>
      <c r="J3320" s="11">
        <f>((Imput[[#This Row],[Sub total]])*(0.16))</f>
        <v>0</v>
      </c>
      <c r="K3320" s="11">
        <v>0</v>
      </c>
      <c r="L3320" s="169">
        <f>Imput[[#This Row],[Sub total]]+Imput[[#This Row],[IVA]]-Imput[[#This Row],[Retención / IEPS / Descuento]]</f>
        <v>0</v>
      </c>
      <c r="M3320" s="844">
        <v>0</v>
      </c>
      <c r="N3320" s="189"/>
      <c r="O3320" s="1"/>
      <c r="P3320" s="189"/>
      <c r="Q3320" s="190"/>
      <c r="R3320" s="188"/>
      <c r="S3320" s="193"/>
      <c r="T3320" s="192"/>
      <c r="U3320" s="829"/>
      <c r="V3320" s="10"/>
      <c r="W3320" s="10"/>
      <c r="X3320" s="10"/>
      <c r="Y3320" s="10"/>
      <c r="Z3320" s="10"/>
      <c r="AA3320" s="11"/>
      <c r="AB3320" s="11"/>
    </row>
    <row r="3321" spans="2:28" x14ac:dyDescent="0.3">
      <c r="B3321" s="10"/>
      <c r="C3321" s="315"/>
      <c r="D3321" s="868"/>
      <c r="E3321" s="837" t="str">
        <f>IFERROR(IF(_xlfn.XLOOKUP(Imput[[#This Row],[RFC]],'Alta Proveedor'!D:D,'Alta Proveedor'!E:E)=0,"",_xlfn.XLOOKUP(Imput[[#This Row],[RFC]],'Alta Proveedor'!D:D,'Alta Proveedor'!E:E)),"")</f>
        <v/>
      </c>
      <c r="F3321" s="832"/>
      <c r="G3321" s="187"/>
      <c r="H3321" s="1"/>
      <c r="I3321" s="169">
        <f>Imput[[#This Row],[Cantidad]]*Imput[[#This Row],[Precio Unitario]]</f>
        <v>0</v>
      </c>
      <c r="J3321" s="11">
        <f>((Imput[[#This Row],[Sub total]])*(0.16))</f>
        <v>0</v>
      </c>
      <c r="K3321" s="11">
        <v>0</v>
      </c>
      <c r="L3321" s="169">
        <f>Imput[[#This Row],[Sub total]]+Imput[[#This Row],[IVA]]-Imput[[#This Row],[Retención / IEPS / Descuento]]</f>
        <v>0</v>
      </c>
      <c r="M3321" s="844">
        <v>0</v>
      </c>
      <c r="N3321" s="189"/>
      <c r="O3321" s="1"/>
      <c r="P3321" s="189"/>
      <c r="Q3321" s="190"/>
      <c r="R3321" s="188"/>
      <c r="S3321" s="193"/>
      <c r="T3321" s="192"/>
      <c r="U3321" s="829"/>
      <c r="V3321" s="10"/>
      <c r="W3321" s="10"/>
      <c r="X3321" s="10"/>
      <c r="Y3321" s="10"/>
      <c r="Z3321" s="10"/>
      <c r="AA3321" s="11"/>
      <c r="AB3321" s="11"/>
    </row>
    <row r="3322" spans="2:28" x14ac:dyDescent="0.3">
      <c r="B3322" s="10"/>
      <c r="C3322" s="315"/>
      <c r="D3322" s="868"/>
      <c r="E3322" s="837" t="str">
        <f>IFERROR(IF(_xlfn.XLOOKUP(Imput[[#This Row],[RFC]],'Alta Proveedor'!D:D,'Alta Proveedor'!E:E)=0,"",_xlfn.XLOOKUP(Imput[[#This Row],[RFC]],'Alta Proveedor'!D:D,'Alta Proveedor'!E:E)),"")</f>
        <v/>
      </c>
      <c r="F3322" s="832"/>
      <c r="G3322" s="187"/>
      <c r="H3322" s="1"/>
      <c r="I3322" s="169">
        <f>Imput[[#This Row],[Cantidad]]*Imput[[#This Row],[Precio Unitario]]</f>
        <v>0</v>
      </c>
      <c r="J3322" s="11">
        <f>((Imput[[#This Row],[Sub total]])*(0.16))</f>
        <v>0</v>
      </c>
      <c r="K3322" s="11">
        <v>0</v>
      </c>
      <c r="L3322" s="169">
        <f>Imput[[#This Row],[Sub total]]+Imput[[#This Row],[IVA]]-Imput[[#This Row],[Retención / IEPS / Descuento]]</f>
        <v>0</v>
      </c>
      <c r="M3322" s="844">
        <v>0</v>
      </c>
      <c r="N3322" s="189"/>
      <c r="O3322" s="1"/>
      <c r="P3322" s="189"/>
      <c r="Q3322" s="190"/>
      <c r="R3322" s="188"/>
      <c r="S3322" s="193"/>
      <c r="T3322" s="192"/>
      <c r="U3322" s="829"/>
      <c r="V3322" s="10"/>
      <c r="W3322" s="10"/>
      <c r="X3322" s="10"/>
      <c r="Y3322" s="10"/>
      <c r="Z3322" s="10"/>
      <c r="AA3322" s="11"/>
      <c r="AB3322" s="11"/>
    </row>
    <row r="3323" spans="2:28" x14ac:dyDescent="0.3">
      <c r="B3323" s="10"/>
      <c r="C3323" s="315"/>
      <c r="D3323" s="868"/>
      <c r="E3323" s="837" t="str">
        <f>IFERROR(IF(_xlfn.XLOOKUP(Imput[[#This Row],[RFC]],'Alta Proveedor'!D:D,'Alta Proveedor'!E:E)=0,"",_xlfn.XLOOKUP(Imput[[#This Row],[RFC]],'Alta Proveedor'!D:D,'Alta Proveedor'!E:E)),"")</f>
        <v/>
      </c>
      <c r="F3323" s="832"/>
      <c r="G3323" s="187"/>
      <c r="H3323" s="1"/>
      <c r="I3323" s="169">
        <f>Imput[[#This Row],[Cantidad]]*Imput[[#This Row],[Precio Unitario]]</f>
        <v>0</v>
      </c>
      <c r="J3323" s="11">
        <f>((Imput[[#This Row],[Sub total]])*(0.16))</f>
        <v>0</v>
      </c>
      <c r="K3323" s="11">
        <v>0</v>
      </c>
      <c r="L3323" s="169">
        <f>Imput[[#This Row],[Sub total]]+Imput[[#This Row],[IVA]]-Imput[[#This Row],[Retención / IEPS / Descuento]]</f>
        <v>0</v>
      </c>
      <c r="M3323" s="844">
        <v>0</v>
      </c>
      <c r="N3323" s="189"/>
      <c r="O3323" s="1"/>
      <c r="P3323" s="189"/>
      <c r="Q3323" s="190"/>
      <c r="R3323" s="188"/>
      <c r="S3323" s="193"/>
      <c r="T3323" s="192"/>
      <c r="U3323" s="829"/>
      <c r="V3323" s="10"/>
      <c r="W3323" s="10"/>
      <c r="X3323" s="10"/>
      <c r="Y3323" s="10"/>
      <c r="Z3323" s="10"/>
      <c r="AA3323" s="11"/>
      <c r="AB3323" s="11"/>
    </row>
    <row r="3324" spans="2:28" x14ac:dyDescent="0.3">
      <c r="B3324" s="10"/>
      <c r="C3324" s="315"/>
      <c r="D3324" s="868"/>
      <c r="E3324" s="837" t="str">
        <f>IFERROR(IF(_xlfn.XLOOKUP(Imput[[#This Row],[RFC]],'Alta Proveedor'!D:D,'Alta Proveedor'!E:E)=0,"",_xlfn.XLOOKUP(Imput[[#This Row],[RFC]],'Alta Proveedor'!D:D,'Alta Proveedor'!E:E)),"")</f>
        <v/>
      </c>
      <c r="F3324" s="832"/>
      <c r="G3324" s="187"/>
      <c r="H3324" s="1"/>
      <c r="I3324" s="169">
        <f>Imput[[#This Row],[Cantidad]]*Imput[[#This Row],[Precio Unitario]]</f>
        <v>0</v>
      </c>
      <c r="J3324" s="11">
        <f>((Imput[[#This Row],[Sub total]])*(0.16))</f>
        <v>0</v>
      </c>
      <c r="K3324" s="11">
        <v>0</v>
      </c>
      <c r="L3324" s="169">
        <f>Imput[[#This Row],[Sub total]]+Imput[[#This Row],[IVA]]-Imput[[#This Row],[Retención / IEPS / Descuento]]</f>
        <v>0</v>
      </c>
      <c r="M3324" s="844">
        <v>0</v>
      </c>
      <c r="N3324" s="189"/>
      <c r="O3324" s="1"/>
      <c r="P3324" s="189"/>
      <c r="Q3324" s="190"/>
      <c r="R3324" s="188"/>
      <c r="S3324" s="193"/>
      <c r="T3324" s="192"/>
      <c r="U3324" s="829"/>
      <c r="V3324" s="10"/>
      <c r="W3324" s="10"/>
      <c r="X3324" s="10"/>
      <c r="Y3324" s="10"/>
      <c r="Z3324" s="10"/>
      <c r="AA3324" s="11"/>
      <c r="AB3324" s="11"/>
    </row>
    <row r="3325" spans="2:28" x14ac:dyDescent="0.3">
      <c r="B3325" s="10"/>
      <c r="C3325" s="315"/>
      <c r="D3325" s="868"/>
      <c r="E3325" s="837" t="str">
        <f>IFERROR(IF(_xlfn.XLOOKUP(Imput[[#This Row],[RFC]],'Alta Proveedor'!D:D,'Alta Proveedor'!E:E)=0,"",_xlfn.XLOOKUP(Imput[[#This Row],[RFC]],'Alta Proveedor'!D:D,'Alta Proveedor'!E:E)),"")</f>
        <v/>
      </c>
      <c r="F3325" s="832"/>
      <c r="G3325" s="187"/>
      <c r="H3325" s="1"/>
      <c r="I3325" s="169">
        <f>Imput[[#This Row],[Cantidad]]*Imput[[#This Row],[Precio Unitario]]</f>
        <v>0</v>
      </c>
      <c r="J3325" s="11">
        <f>((Imput[[#This Row],[Sub total]])*(0.16))</f>
        <v>0</v>
      </c>
      <c r="K3325" s="11">
        <v>0</v>
      </c>
      <c r="L3325" s="169">
        <f>Imput[[#This Row],[Sub total]]+Imput[[#This Row],[IVA]]-Imput[[#This Row],[Retención / IEPS / Descuento]]</f>
        <v>0</v>
      </c>
      <c r="M3325" s="844">
        <v>0</v>
      </c>
      <c r="N3325" s="189"/>
      <c r="O3325" s="1"/>
      <c r="P3325" s="189"/>
      <c r="Q3325" s="190"/>
      <c r="R3325" s="188"/>
      <c r="S3325" s="193"/>
      <c r="T3325" s="192"/>
      <c r="U3325" s="829"/>
      <c r="V3325" s="10"/>
      <c r="W3325" s="10"/>
      <c r="X3325" s="10"/>
      <c r="Y3325" s="10"/>
      <c r="Z3325" s="10"/>
      <c r="AA3325" s="11"/>
      <c r="AB3325" s="11"/>
    </row>
    <row r="3326" spans="2:28" x14ac:dyDescent="0.3">
      <c r="B3326" s="10"/>
      <c r="C3326" s="315"/>
      <c r="D3326" s="868"/>
      <c r="E3326" s="837" t="str">
        <f>IFERROR(IF(_xlfn.XLOOKUP(Imput[[#This Row],[RFC]],'Alta Proveedor'!D:D,'Alta Proveedor'!E:E)=0,"",_xlfn.XLOOKUP(Imput[[#This Row],[RFC]],'Alta Proveedor'!D:D,'Alta Proveedor'!E:E)),"")</f>
        <v/>
      </c>
      <c r="F3326" s="832"/>
      <c r="G3326" s="187"/>
      <c r="H3326" s="1"/>
      <c r="I3326" s="169">
        <f>Imput[[#This Row],[Cantidad]]*Imput[[#This Row],[Precio Unitario]]</f>
        <v>0</v>
      </c>
      <c r="J3326" s="11">
        <f>((Imput[[#This Row],[Sub total]])*(0.16))</f>
        <v>0</v>
      </c>
      <c r="K3326" s="11">
        <v>0</v>
      </c>
      <c r="L3326" s="169">
        <f>Imput[[#This Row],[Sub total]]+Imput[[#This Row],[IVA]]-Imput[[#This Row],[Retención / IEPS / Descuento]]</f>
        <v>0</v>
      </c>
      <c r="M3326" s="844">
        <v>0</v>
      </c>
      <c r="N3326" s="189"/>
      <c r="O3326" s="1"/>
      <c r="P3326" s="189"/>
      <c r="Q3326" s="190"/>
      <c r="R3326" s="188"/>
      <c r="S3326" s="193"/>
      <c r="T3326" s="192"/>
      <c r="U3326" s="829"/>
      <c r="V3326" s="10"/>
      <c r="W3326" s="10"/>
      <c r="X3326" s="10"/>
      <c r="Y3326" s="10"/>
      <c r="Z3326" s="10"/>
      <c r="AA3326" s="11"/>
      <c r="AB3326" s="11"/>
    </row>
    <row r="3327" spans="2:28" x14ac:dyDescent="0.3">
      <c r="B3327" s="10"/>
      <c r="C3327" s="315"/>
      <c r="D3327" s="868"/>
      <c r="E3327" s="837" t="str">
        <f>IFERROR(IF(_xlfn.XLOOKUP(Imput[[#This Row],[RFC]],'Alta Proveedor'!D:D,'Alta Proveedor'!E:E)=0,"",_xlfn.XLOOKUP(Imput[[#This Row],[RFC]],'Alta Proveedor'!D:D,'Alta Proveedor'!E:E)),"")</f>
        <v/>
      </c>
      <c r="F3327" s="832"/>
      <c r="G3327" s="187"/>
      <c r="H3327" s="1"/>
      <c r="I3327" s="169">
        <f>Imput[[#This Row],[Cantidad]]*Imput[[#This Row],[Precio Unitario]]</f>
        <v>0</v>
      </c>
      <c r="J3327" s="11">
        <f>((Imput[[#This Row],[Sub total]])*(0.16))</f>
        <v>0</v>
      </c>
      <c r="K3327" s="11">
        <v>0</v>
      </c>
      <c r="L3327" s="169">
        <f>Imput[[#This Row],[Sub total]]+Imput[[#This Row],[IVA]]-Imput[[#This Row],[Retención / IEPS / Descuento]]</f>
        <v>0</v>
      </c>
      <c r="M3327" s="844">
        <v>0</v>
      </c>
      <c r="N3327" s="189"/>
      <c r="O3327" s="1"/>
      <c r="P3327" s="189"/>
      <c r="Q3327" s="190"/>
      <c r="R3327" s="188"/>
      <c r="S3327" s="193"/>
      <c r="T3327" s="192"/>
      <c r="U3327" s="829"/>
      <c r="V3327" s="10"/>
      <c r="W3327" s="10"/>
      <c r="X3327" s="10"/>
      <c r="Y3327" s="10"/>
      <c r="Z3327" s="10"/>
      <c r="AA3327" s="11"/>
      <c r="AB3327" s="11"/>
    </row>
    <row r="3328" spans="2:28" x14ac:dyDescent="0.3">
      <c r="B3328" s="10"/>
      <c r="C3328" s="315"/>
      <c r="D3328" s="868"/>
      <c r="E3328" s="837" t="str">
        <f>IFERROR(IF(_xlfn.XLOOKUP(Imput[[#This Row],[RFC]],'Alta Proveedor'!D:D,'Alta Proveedor'!E:E)=0,"",_xlfn.XLOOKUP(Imput[[#This Row],[RFC]],'Alta Proveedor'!D:D,'Alta Proveedor'!E:E)),"")</f>
        <v/>
      </c>
      <c r="F3328" s="832"/>
      <c r="G3328" s="187"/>
      <c r="H3328" s="1"/>
      <c r="I3328" s="169">
        <f>Imput[[#This Row],[Cantidad]]*Imput[[#This Row],[Precio Unitario]]</f>
        <v>0</v>
      </c>
      <c r="J3328" s="11">
        <f>((Imput[[#This Row],[Sub total]])*(0.16))</f>
        <v>0</v>
      </c>
      <c r="K3328" s="11">
        <v>0</v>
      </c>
      <c r="L3328" s="169">
        <f>Imput[[#This Row],[Sub total]]+Imput[[#This Row],[IVA]]-Imput[[#This Row],[Retención / IEPS / Descuento]]</f>
        <v>0</v>
      </c>
      <c r="M3328" s="844">
        <v>0</v>
      </c>
      <c r="N3328" s="189"/>
      <c r="O3328" s="1"/>
      <c r="P3328" s="189"/>
      <c r="Q3328" s="190"/>
      <c r="R3328" s="188"/>
      <c r="S3328" s="193"/>
      <c r="T3328" s="192"/>
      <c r="U3328" s="829"/>
      <c r="V3328" s="10"/>
      <c r="W3328" s="10"/>
      <c r="X3328" s="10"/>
      <c r="Y3328" s="10"/>
      <c r="Z3328" s="10"/>
      <c r="AA3328" s="11"/>
      <c r="AB3328" s="11"/>
    </row>
    <row r="3329" spans="2:28" x14ac:dyDescent="0.3">
      <c r="B3329" s="10"/>
      <c r="C3329" s="315"/>
      <c r="D3329" s="868"/>
      <c r="E3329" s="837" t="str">
        <f>IFERROR(IF(_xlfn.XLOOKUP(Imput[[#This Row],[RFC]],'Alta Proveedor'!D:D,'Alta Proveedor'!E:E)=0,"",_xlfn.XLOOKUP(Imput[[#This Row],[RFC]],'Alta Proveedor'!D:D,'Alta Proveedor'!E:E)),"")</f>
        <v/>
      </c>
      <c r="F3329" s="832"/>
      <c r="G3329" s="187"/>
      <c r="H3329" s="1"/>
      <c r="I3329" s="169">
        <f>Imput[[#This Row],[Cantidad]]*Imput[[#This Row],[Precio Unitario]]</f>
        <v>0</v>
      </c>
      <c r="J3329" s="11">
        <f>((Imput[[#This Row],[Sub total]])*(0.16))</f>
        <v>0</v>
      </c>
      <c r="K3329" s="11">
        <v>0</v>
      </c>
      <c r="L3329" s="169">
        <f>Imput[[#This Row],[Sub total]]+Imput[[#This Row],[IVA]]-Imput[[#This Row],[Retención / IEPS / Descuento]]</f>
        <v>0</v>
      </c>
      <c r="M3329" s="844">
        <v>0</v>
      </c>
      <c r="N3329" s="189"/>
      <c r="O3329" s="1"/>
      <c r="P3329" s="189"/>
      <c r="Q3329" s="190"/>
      <c r="R3329" s="188"/>
      <c r="S3329" s="193"/>
      <c r="T3329" s="192"/>
      <c r="U3329" s="829"/>
      <c r="V3329" s="10"/>
      <c r="W3329" s="10"/>
      <c r="X3329" s="10"/>
      <c r="Y3329" s="10"/>
      <c r="Z3329" s="10"/>
      <c r="AA3329" s="11"/>
      <c r="AB3329" s="11"/>
    </row>
    <row r="3330" spans="2:28" x14ac:dyDescent="0.3">
      <c r="B3330" s="10"/>
      <c r="C3330" s="315"/>
      <c r="D3330" s="868"/>
      <c r="E3330" s="837" t="str">
        <f>IFERROR(IF(_xlfn.XLOOKUP(Imput[[#This Row],[RFC]],'Alta Proveedor'!D:D,'Alta Proveedor'!E:E)=0,"",_xlfn.XLOOKUP(Imput[[#This Row],[RFC]],'Alta Proveedor'!D:D,'Alta Proveedor'!E:E)),"")</f>
        <v/>
      </c>
      <c r="F3330" s="832"/>
      <c r="G3330" s="187"/>
      <c r="H3330" s="1"/>
      <c r="I3330" s="169">
        <f>Imput[[#This Row],[Cantidad]]*Imput[[#This Row],[Precio Unitario]]</f>
        <v>0</v>
      </c>
      <c r="J3330" s="11">
        <f>((Imput[[#This Row],[Sub total]])*(0.16))</f>
        <v>0</v>
      </c>
      <c r="K3330" s="11">
        <v>0</v>
      </c>
      <c r="L3330" s="169">
        <f>Imput[[#This Row],[Sub total]]+Imput[[#This Row],[IVA]]-Imput[[#This Row],[Retención / IEPS / Descuento]]</f>
        <v>0</v>
      </c>
      <c r="M3330" s="844">
        <v>0</v>
      </c>
      <c r="N3330" s="189"/>
      <c r="O3330" s="1"/>
      <c r="P3330" s="189"/>
      <c r="Q3330" s="190"/>
      <c r="R3330" s="188"/>
      <c r="S3330" s="193"/>
      <c r="T3330" s="192"/>
      <c r="U3330" s="829"/>
      <c r="V3330" s="10"/>
      <c r="W3330" s="10"/>
      <c r="X3330" s="10"/>
      <c r="Y3330" s="10"/>
      <c r="Z3330" s="10"/>
      <c r="AA3330" s="11"/>
      <c r="AB3330" s="11"/>
    </row>
    <row r="3331" spans="2:28" x14ac:dyDescent="0.3">
      <c r="B3331" s="10"/>
      <c r="C3331" s="315"/>
      <c r="D3331" s="868"/>
      <c r="E3331" s="837" t="str">
        <f>IFERROR(IF(_xlfn.XLOOKUP(Imput[[#This Row],[RFC]],'Alta Proveedor'!D:D,'Alta Proveedor'!E:E)=0,"",_xlfn.XLOOKUP(Imput[[#This Row],[RFC]],'Alta Proveedor'!D:D,'Alta Proveedor'!E:E)),"")</f>
        <v/>
      </c>
      <c r="F3331" s="832"/>
      <c r="G3331" s="187"/>
      <c r="H3331" s="1"/>
      <c r="I3331" s="169">
        <f>Imput[[#This Row],[Cantidad]]*Imput[[#This Row],[Precio Unitario]]</f>
        <v>0</v>
      </c>
      <c r="J3331" s="11">
        <f>((Imput[[#This Row],[Sub total]])*(0.16))</f>
        <v>0</v>
      </c>
      <c r="K3331" s="11">
        <v>0</v>
      </c>
      <c r="L3331" s="169">
        <f>Imput[[#This Row],[Sub total]]+Imput[[#This Row],[IVA]]-Imput[[#This Row],[Retención / IEPS / Descuento]]</f>
        <v>0</v>
      </c>
      <c r="M3331" s="844">
        <v>0</v>
      </c>
      <c r="N3331" s="189"/>
      <c r="O3331" s="1"/>
      <c r="P3331" s="189"/>
      <c r="Q3331" s="190"/>
      <c r="R3331" s="188"/>
      <c r="S3331" s="193"/>
      <c r="T3331" s="192"/>
      <c r="U3331" s="829"/>
      <c r="V3331" s="10"/>
      <c r="W3331" s="10"/>
      <c r="X3331" s="10"/>
      <c r="Y3331" s="10"/>
      <c r="Z3331" s="10"/>
      <c r="AA3331" s="11"/>
      <c r="AB3331" s="11"/>
    </row>
    <row r="3332" spans="2:28" x14ac:dyDescent="0.3">
      <c r="B3332" s="10"/>
      <c r="C3332" s="315"/>
      <c r="D3332" s="868"/>
      <c r="E3332" s="837" t="str">
        <f>IFERROR(IF(_xlfn.XLOOKUP(Imput[[#This Row],[RFC]],'Alta Proveedor'!D:D,'Alta Proveedor'!E:E)=0,"",_xlfn.XLOOKUP(Imput[[#This Row],[RFC]],'Alta Proveedor'!D:D,'Alta Proveedor'!E:E)),"")</f>
        <v/>
      </c>
      <c r="F3332" s="832"/>
      <c r="G3332" s="187"/>
      <c r="H3332" s="1"/>
      <c r="I3332" s="169">
        <f>Imput[[#This Row],[Cantidad]]*Imput[[#This Row],[Precio Unitario]]</f>
        <v>0</v>
      </c>
      <c r="J3332" s="11">
        <f>((Imput[[#This Row],[Sub total]])*(0.16))</f>
        <v>0</v>
      </c>
      <c r="K3332" s="11">
        <v>0</v>
      </c>
      <c r="L3332" s="169">
        <f>Imput[[#This Row],[Sub total]]+Imput[[#This Row],[IVA]]-Imput[[#This Row],[Retención / IEPS / Descuento]]</f>
        <v>0</v>
      </c>
      <c r="M3332" s="844">
        <v>0</v>
      </c>
      <c r="N3332" s="189"/>
      <c r="O3332" s="1"/>
      <c r="P3332" s="189"/>
      <c r="Q3332" s="190"/>
      <c r="R3332" s="188"/>
      <c r="S3332" s="193"/>
      <c r="T3332" s="192"/>
      <c r="U3332" s="829"/>
      <c r="V3332" s="10"/>
      <c r="W3332" s="10"/>
      <c r="X3332" s="10"/>
      <c r="Y3332" s="10"/>
      <c r="Z3332" s="10"/>
      <c r="AA3332" s="11"/>
      <c r="AB3332" s="11"/>
    </row>
    <row r="3333" spans="2:28" x14ac:dyDescent="0.3">
      <c r="B3333" s="10"/>
      <c r="C3333" s="315"/>
      <c r="D3333" s="868"/>
      <c r="E3333" s="837" t="str">
        <f>IFERROR(IF(_xlfn.XLOOKUP(Imput[[#This Row],[RFC]],'Alta Proveedor'!D:D,'Alta Proveedor'!E:E)=0,"",_xlfn.XLOOKUP(Imput[[#This Row],[RFC]],'Alta Proveedor'!D:D,'Alta Proveedor'!E:E)),"")</f>
        <v/>
      </c>
      <c r="F3333" s="832"/>
      <c r="G3333" s="187"/>
      <c r="H3333" s="1"/>
      <c r="I3333" s="169">
        <f>Imput[[#This Row],[Cantidad]]*Imput[[#This Row],[Precio Unitario]]</f>
        <v>0</v>
      </c>
      <c r="J3333" s="11">
        <f>((Imput[[#This Row],[Sub total]])*(0.16))</f>
        <v>0</v>
      </c>
      <c r="K3333" s="11">
        <v>0</v>
      </c>
      <c r="L3333" s="169">
        <f>Imput[[#This Row],[Sub total]]+Imput[[#This Row],[IVA]]-Imput[[#This Row],[Retención / IEPS / Descuento]]</f>
        <v>0</v>
      </c>
      <c r="M3333" s="844">
        <v>0</v>
      </c>
      <c r="N3333" s="189"/>
      <c r="O3333" s="1"/>
      <c r="P3333" s="189"/>
      <c r="Q3333" s="190"/>
      <c r="R3333" s="188"/>
      <c r="S3333" s="193"/>
      <c r="T3333" s="192"/>
      <c r="U3333" s="829"/>
      <c r="V3333" s="10"/>
      <c r="W3333" s="10"/>
      <c r="X3333" s="10"/>
      <c r="Y3333" s="10"/>
      <c r="Z3333" s="10"/>
      <c r="AA3333" s="11"/>
      <c r="AB3333" s="11"/>
    </row>
    <row r="3334" spans="2:28" x14ac:dyDescent="0.3">
      <c r="B3334" s="10"/>
      <c r="C3334" s="315"/>
      <c r="D3334" s="868"/>
      <c r="E3334" s="837" t="str">
        <f>IFERROR(IF(_xlfn.XLOOKUP(Imput[[#This Row],[RFC]],'Alta Proveedor'!D:D,'Alta Proveedor'!E:E)=0,"",_xlfn.XLOOKUP(Imput[[#This Row],[RFC]],'Alta Proveedor'!D:D,'Alta Proveedor'!E:E)),"")</f>
        <v/>
      </c>
      <c r="F3334" s="832"/>
      <c r="G3334" s="187"/>
      <c r="H3334" s="1"/>
      <c r="I3334" s="169">
        <f>Imput[[#This Row],[Cantidad]]*Imput[[#This Row],[Precio Unitario]]</f>
        <v>0</v>
      </c>
      <c r="J3334" s="11">
        <f>((Imput[[#This Row],[Sub total]])*(0.16))</f>
        <v>0</v>
      </c>
      <c r="K3334" s="11">
        <v>0</v>
      </c>
      <c r="L3334" s="169">
        <f>Imput[[#This Row],[Sub total]]+Imput[[#This Row],[IVA]]-Imput[[#This Row],[Retención / IEPS / Descuento]]</f>
        <v>0</v>
      </c>
      <c r="M3334" s="844">
        <v>0</v>
      </c>
      <c r="N3334" s="189"/>
      <c r="O3334" s="1"/>
      <c r="P3334" s="189"/>
      <c r="Q3334" s="190"/>
      <c r="R3334" s="188"/>
      <c r="S3334" s="193"/>
      <c r="T3334" s="192"/>
      <c r="U3334" s="829"/>
      <c r="V3334" s="10"/>
      <c r="W3334" s="10"/>
      <c r="X3334" s="10"/>
      <c r="Y3334" s="10"/>
      <c r="Z3334" s="10"/>
      <c r="AA3334" s="11"/>
      <c r="AB3334" s="11"/>
    </row>
    <row r="3335" spans="2:28" x14ac:dyDescent="0.3">
      <c r="B3335" s="10"/>
      <c r="C3335" s="315"/>
      <c r="D3335" s="868"/>
      <c r="E3335" s="837" t="str">
        <f>IFERROR(IF(_xlfn.XLOOKUP(Imput[[#This Row],[RFC]],'Alta Proveedor'!D:D,'Alta Proveedor'!E:E)=0,"",_xlfn.XLOOKUP(Imput[[#This Row],[RFC]],'Alta Proveedor'!D:D,'Alta Proveedor'!E:E)),"")</f>
        <v/>
      </c>
      <c r="F3335" s="832"/>
      <c r="G3335" s="187"/>
      <c r="H3335" s="1"/>
      <c r="I3335" s="169">
        <f>Imput[[#This Row],[Cantidad]]*Imput[[#This Row],[Precio Unitario]]</f>
        <v>0</v>
      </c>
      <c r="J3335" s="11">
        <f>((Imput[[#This Row],[Sub total]])*(0.16))</f>
        <v>0</v>
      </c>
      <c r="K3335" s="11">
        <v>0</v>
      </c>
      <c r="L3335" s="169">
        <f>Imput[[#This Row],[Sub total]]+Imput[[#This Row],[IVA]]-Imput[[#This Row],[Retención / IEPS / Descuento]]</f>
        <v>0</v>
      </c>
      <c r="M3335" s="844">
        <v>0</v>
      </c>
      <c r="N3335" s="189"/>
      <c r="O3335" s="1"/>
      <c r="P3335" s="189"/>
      <c r="Q3335" s="190"/>
      <c r="R3335" s="188"/>
      <c r="S3335" s="193"/>
      <c r="T3335" s="192"/>
      <c r="U3335" s="829"/>
      <c r="V3335" s="10"/>
      <c r="W3335" s="10"/>
      <c r="X3335" s="10"/>
      <c r="Y3335" s="10"/>
      <c r="Z3335" s="10"/>
      <c r="AA3335" s="11"/>
      <c r="AB3335" s="11"/>
    </row>
    <row r="3336" spans="2:28" x14ac:dyDescent="0.3">
      <c r="B3336" s="10"/>
      <c r="C3336" s="315"/>
      <c r="D3336" s="868"/>
      <c r="E3336" s="837" t="str">
        <f>IFERROR(IF(_xlfn.XLOOKUP(Imput[[#This Row],[RFC]],'Alta Proveedor'!D:D,'Alta Proveedor'!E:E)=0,"",_xlfn.XLOOKUP(Imput[[#This Row],[RFC]],'Alta Proveedor'!D:D,'Alta Proveedor'!E:E)),"")</f>
        <v/>
      </c>
      <c r="F3336" s="832"/>
      <c r="G3336" s="187"/>
      <c r="H3336" s="1"/>
      <c r="I3336" s="169">
        <f>Imput[[#This Row],[Cantidad]]*Imput[[#This Row],[Precio Unitario]]</f>
        <v>0</v>
      </c>
      <c r="J3336" s="11">
        <f>((Imput[[#This Row],[Sub total]])*(0.16))</f>
        <v>0</v>
      </c>
      <c r="K3336" s="11">
        <v>0</v>
      </c>
      <c r="L3336" s="169">
        <f>Imput[[#This Row],[Sub total]]+Imput[[#This Row],[IVA]]-Imput[[#This Row],[Retención / IEPS / Descuento]]</f>
        <v>0</v>
      </c>
      <c r="M3336" s="844">
        <v>0</v>
      </c>
      <c r="N3336" s="189"/>
      <c r="O3336" s="1"/>
      <c r="P3336" s="189"/>
      <c r="Q3336" s="190"/>
      <c r="R3336" s="188"/>
      <c r="S3336" s="193"/>
      <c r="T3336" s="192"/>
      <c r="U3336" s="829"/>
      <c r="V3336" s="10"/>
      <c r="W3336" s="10"/>
      <c r="X3336" s="10"/>
      <c r="Y3336" s="10"/>
      <c r="Z3336" s="10"/>
      <c r="AA3336" s="11"/>
      <c r="AB3336" s="11"/>
    </row>
    <row r="3337" spans="2:28" x14ac:dyDescent="0.3">
      <c r="B3337" s="10"/>
      <c r="C3337" s="315"/>
      <c r="D3337" s="868"/>
      <c r="E3337" s="837" t="str">
        <f>IFERROR(IF(_xlfn.XLOOKUP(Imput[[#This Row],[RFC]],'Alta Proveedor'!D:D,'Alta Proveedor'!E:E)=0,"",_xlfn.XLOOKUP(Imput[[#This Row],[RFC]],'Alta Proveedor'!D:D,'Alta Proveedor'!E:E)),"")</f>
        <v/>
      </c>
      <c r="F3337" s="832"/>
      <c r="G3337" s="187"/>
      <c r="H3337" s="1"/>
      <c r="I3337" s="169">
        <f>Imput[[#This Row],[Cantidad]]*Imput[[#This Row],[Precio Unitario]]</f>
        <v>0</v>
      </c>
      <c r="J3337" s="11">
        <f>((Imput[[#This Row],[Sub total]])*(0.16))</f>
        <v>0</v>
      </c>
      <c r="K3337" s="11">
        <v>0</v>
      </c>
      <c r="L3337" s="169">
        <f>Imput[[#This Row],[Sub total]]+Imput[[#This Row],[IVA]]-Imput[[#This Row],[Retención / IEPS / Descuento]]</f>
        <v>0</v>
      </c>
      <c r="M3337" s="844">
        <v>0</v>
      </c>
      <c r="N3337" s="189"/>
      <c r="O3337" s="1"/>
      <c r="P3337" s="189"/>
      <c r="Q3337" s="190"/>
      <c r="R3337" s="188"/>
      <c r="S3337" s="193"/>
      <c r="T3337" s="192"/>
      <c r="U3337" s="829"/>
      <c r="V3337" s="10"/>
      <c r="W3337" s="10"/>
      <c r="X3337" s="10"/>
      <c r="Y3337" s="10"/>
      <c r="Z3337" s="10"/>
      <c r="AA3337" s="11"/>
      <c r="AB3337" s="11"/>
    </row>
    <row r="3338" spans="2:28" x14ac:dyDescent="0.3">
      <c r="B3338" s="10"/>
      <c r="C3338" s="315"/>
      <c r="D3338" s="868"/>
      <c r="E3338" s="837" t="str">
        <f>IFERROR(IF(_xlfn.XLOOKUP(Imput[[#This Row],[RFC]],'Alta Proveedor'!D:D,'Alta Proveedor'!E:E)=0,"",_xlfn.XLOOKUP(Imput[[#This Row],[RFC]],'Alta Proveedor'!D:D,'Alta Proveedor'!E:E)),"")</f>
        <v/>
      </c>
      <c r="F3338" s="832"/>
      <c r="G3338" s="187"/>
      <c r="H3338" s="1"/>
      <c r="I3338" s="169">
        <f>Imput[[#This Row],[Cantidad]]*Imput[[#This Row],[Precio Unitario]]</f>
        <v>0</v>
      </c>
      <c r="J3338" s="11">
        <f>((Imput[[#This Row],[Sub total]])*(0.16))</f>
        <v>0</v>
      </c>
      <c r="K3338" s="11">
        <v>0</v>
      </c>
      <c r="L3338" s="169">
        <f>Imput[[#This Row],[Sub total]]+Imput[[#This Row],[IVA]]-Imput[[#This Row],[Retención / IEPS / Descuento]]</f>
        <v>0</v>
      </c>
      <c r="M3338" s="844">
        <v>0</v>
      </c>
      <c r="N3338" s="189"/>
      <c r="O3338" s="1"/>
      <c r="P3338" s="189"/>
      <c r="Q3338" s="190"/>
      <c r="R3338" s="188"/>
      <c r="S3338" s="193"/>
      <c r="T3338" s="192"/>
      <c r="U3338" s="829"/>
      <c r="V3338" s="10"/>
      <c r="W3338" s="10"/>
      <c r="X3338" s="10"/>
      <c r="Y3338" s="10"/>
      <c r="Z3338" s="10"/>
      <c r="AA3338" s="11"/>
      <c r="AB3338" s="11"/>
    </row>
    <row r="3339" spans="2:28" x14ac:dyDescent="0.3">
      <c r="B3339" s="10"/>
      <c r="C3339" s="315"/>
      <c r="D3339" s="868"/>
      <c r="E3339" s="837" t="str">
        <f>IFERROR(IF(_xlfn.XLOOKUP(Imput[[#This Row],[RFC]],'Alta Proveedor'!D:D,'Alta Proveedor'!E:E)=0,"",_xlfn.XLOOKUP(Imput[[#This Row],[RFC]],'Alta Proveedor'!D:D,'Alta Proveedor'!E:E)),"")</f>
        <v/>
      </c>
      <c r="F3339" s="832"/>
      <c r="G3339" s="187"/>
      <c r="H3339" s="1"/>
      <c r="I3339" s="169">
        <f>Imput[[#This Row],[Cantidad]]*Imput[[#This Row],[Precio Unitario]]</f>
        <v>0</v>
      </c>
      <c r="J3339" s="11">
        <f>((Imput[[#This Row],[Sub total]])*(0.16))</f>
        <v>0</v>
      </c>
      <c r="K3339" s="11">
        <v>0</v>
      </c>
      <c r="L3339" s="169">
        <f>Imput[[#This Row],[Sub total]]+Imput[[#This Row],[IVA]]-Imput[[#This Row],[Retención / IEPS / Descuento]]</f>
        <v>0</v>
      </c>
      <c r="M3339" s="844">
        <v>0</v>
      </c>
      <c r="N3339" s="189"/>
      <c r="O3339" s="1"/>
      <c r="P3339" s="189"/>
      <c r="Q3339" s="190"/>
      <c r="R3339" s="188"/>
      <c r="S3339" s="193"/>
      <c r="T3339" s="192"/>
      <c r="U3339" s="829"/>
      <c r="V3339" s="10"/>
      <c r="W3339" s="10"/>
      <c r="X3339" s="10"/>
      <c r="Y3339" s="10"/>
      <c r="Z3339" s="10"/>
      <c r="AA3339" s="11"/>
      <c r="AB3339" s="11"/>
    </row>
    <row r="3340" spans="2:28" x14ac:dyDescent="0.3">
      <c r="B3340" s="10"/>
      <c r="C3340" s="315"/>
      <c r="D3340" s="868"/>
      <c r="E3340" s="837" t="str">
        <f>IFERROR(IF(_xlfn.XLOOKUP(Imput[[#This Row],[RFC]],'Alta Proveedor'!D:D,'Alta Proveedor'!E:E)=0,"",_xlfn.XLOOKUP(Imput[[#This Row],[RFC]],'Alta Proveedor'!D:D,'Alta Proveedor'!E:E)),"")</f>
        <v/>
      </c>
      <c r="F3340" s="832"/>
      <c r="G3340" s="187"/>
      <c r="H3340" s="1"/>
      <c r="I3340" s="169">
        <f>Imput[[#This Row],[Cantidad]]*Imput[[#This Row],[Precio Unitario]]</f>
        <v>0</v>
      </c>
      <c r="J3340" s="11">
        <f>((Imput[[#This Row],[Sub total]])*(0.16))</f>
        <v>0</v>
      </c>
      <c r="K3340" s="11">
        <v>0</v>
      </c>
      <c r="L3340" s="169">
        <f>Imput[[#This Row],[Sub total]]+Imput[[#This Row],[IVA]]-Imput[[#This Row],[Retención / IEPS / Descuento]]</f>
        <v>0</v>
      </c>
      <c r="M3340" s="844">
        <v>0</v>
      </c>
      <c r="N3340" s="189"/>
      <c r="O3340" s="1"/>
      <c r="P3340" s="189"/>
      <c r="Q3340" s="190"/>
      <c r="R3340" s="188"/>
      <c r="S3340" s="193"/>
      <c r="T3340" s="192"/>
      <c r="U3340" s="829"/>
      <c r="V3340" s="10"/>
      <c r="W3340" s="10"/>
      <c r="X3340" s="10"/>
      <c r="Y3340" s="10"/>
      <c r="Z3340" s="10"/>
      <c r="AA3340" s="11"/>
      <c r="AB3340" s="11"/>
    </row>
    <row r="3341" spans="2:28" x14ac:dyDescent="0.3">
      <c r="B3341" s="10"/>
      <c r="C3341" s="315"/>
      <c r="D3341" s="868"/>
      <c r="E3341" s="837" t="str">
        <f>IFERROR(IF(_xlfn.XLOOKUP(Imput[[#This Row],[RFC]],'Alta Proveedor'!D:D,'Alta Proveedor'!E:E)=0,"",_xlfn.XLOOKUP(Imput[[#This Row],[RFC]],'Alta Proveedor'!D:D,'Alta Proveedor'!E:E)),"")</f>
        <v/>
      </c>
      <c r="F3341" s="832"/>
      <c r="G3341" s="187"/>
      <c r="H3341" s="1"/>
      <c r="I3341" s="169">
        <f>Imput[[#This Row],[Cantidad]]*Imput[[#This Row],[Precio Unitario]]</f>
        <v>0</v>
      </c>
      <c r="J3341" s="11">
        <f>((Imput[[#This Row],[Sub total]])*(0.16))</f>
        <v>0</v>
      </c>
      <c r="K3341" s="11">
        <v>0</v>
      </c>
      <c r="L3341" s="169">
        <f>Imput[[#This Row],[Sub total]]+Imput[[#This Row],[IVA]]-Imput[[#This Row],[Retención / IEPS / Descuento]]</f>
        <v>0</v>
      </c>
      <c r="M3341" s="844">
        <v>0</v>
      </c>
      <c r="N3341" s="189"/>
      <c r="O3341" s="1"/>
      <c r="P3341" s="189"/>
      <c r="Q3341" s="190"/>
      <c r="R3341" s="188"/>
      <c r="S3341" s="193"/>
      <c r="T3341" s="192"/>
      <c r="U3341" s="829"/>
      <c r="V3341" s="10"/>
      <c r="W3341" s="10"/>
      <c r="X3341" s="10"/>
      <c r="Y3341" s="10"/>
      <c r="Z3341" s="10"/>
      <c r="AA3341" s="11"/>
      <c r="AB3341" s="11"/>
    </row>
    <row r="3342" spans="2:28" x14ac:dyDescent="0.3">
      <c r="B3342" s="10"/>
      <c r="C3342" s="315"/>
      <c r="D3342" s="868"/>
      <c r="E3342" s="837" t="str">
        <f>IFERROR(IF(_xlfn.XLOOKUP(Imput[[#This Row],[RFC]],'Alta Proveedor'!D:D,'Alta Proveedor'!E:E)=0,"",_xlfn.XLOOKUP(Imput[[#This Row],[RFC]],'Alta Proveedor'!D:D,'Alta Proveedor'!E:E)),"")</f>
        <v/>
      </c>
      <c r="F3342" s="832"/>
      <c r="G3342" s="187"/>
      <c r="H3342" s="1"/>
      <c r="I3342" s="169">
        <f>Imput[[#This Row],[Cantidad]]*Imput[[#This Row],[Precio Unitario]]</f>
        <v>0</v>
      </c>
      <c r="J3342" s="11">
        <f>((Imput[[#This Row],[Sub total]])*(0.16))</f>
        <v>0</v>
      </c>
      <c r="K3342" s="11">
        <v>0</v>
      </c>
      <c r="L3342" s="169">
        <f>Imput[[#This Row],[Sub total]]+Imput[[#This Row],[IVA]]-Imput[[#This Row],[Retención / IEPS / Descuento]]</f>
        <v>0</v>
      </c>
      <c r="M3342" s="844">
        <v>0</v>
      </c>
      <c r="N3342" s="189"/>
      <c r="O3342" s="1"/>
      <c r="P3342" s="189"/>
      <c r="Q3342" s="190"/>
      <c r="R3342" s="188"/>
      <c r="S3342" s="193"/>
      <c r="T3342" s="192"/>
      <c r="U3342" s="829"/>
      <c r="V3342" s="10"/>
      <c r="W3342" s="10"/>
      <c r="X3342" s="10"/>
      <c r="Y3342" s="10"/>
      <c r="Z3342" s="10"/>
      <c r="AA3342" s="11"/>
      <c r="AB3342" s="11"/>
    </row>
    <row r="3343" spans="2:28" x14ac:dyDescent="0.3">
      <c r="B3343" s="10"/>
      <c r="C3343" s="315"/>
      <c r="D3343" s="868"/>
      <c r="E3343" s="837" t="str">
        <f>IFERROR(IF(_xlfn.XLOOKUP(Imput[[#This Row],[RFC]],'Alta Proveedor'!D:D,'Alta Proveedor'!E:E)=0,"",_xlfn.XLOOKUP(Imput[[#This Row],[RFC]],'Alta Proveedor'!D:D,'Alta Proveedor'!E:E)),"")</f>
        <v/>
      </c>
      <c r="F3343" s="832"/>
      <c r="G3343" s="187"/>
      <c r="H3343" s="1"/>
      <c r="I3343" s="169">
        <f>Imput[[#This Row],[Cantidad]]*Imput[[#This Row],[Precio Unitario]]</f>
        <v>0</v>
      </c>
      <c r="J3343" s="11">
        <f>((Imput[[#This Row],[Sub total]])*(0.16))</f>
        <v>0</v>
      </c>
      <c r="K3343" s="11">
        <v>0</v>
      </c>
      <c r="L3343" s="169">
        <f>Imput[[#This Row],[Sub total]]+Imput[[#This Row],[IVA]]-Imput[[#This Row],[Retención / IEPS / Descuento]]</f>
        <v>0</v>
      </c>
      <c r="M3343" s="844">
        <v>0</v>
      </c>
      <c r="N3343" s="189"/>
      <c r="O3343" s="1"/>
      <c r="P3343" s="189"/>
      <c r="Q3343" s="190"/>
      <c r="R3343" s="188"/>
      <c r="S3343" s="193"/>
      <c r="T3343" s="192"/>
      <c r="U3343" s="829"/>
      <c r="V3343" s="10"/>
      <c r="W3343" s="10"/>
      <c r="X3343" s="10"/>
      <c r="Y3343" s="10"/>
      <c r="Z3343" s="10"/>
      <c r="AA3343" s="11"/>
      <c r="AB3343" s="11"/>
    </row>
    <row r="3344" spans="2:28" x14ac:dyDescent="0.3">
      <c r="B3344" s="10"/>
      <c r="C3344" s="315"/>
      <c r="D3344" s="868"/>
      <c r="E3344" s="837" t="str">
        <f>IFERROR(IF(_xlfn.XLOOKUP(Imput[[#This Row],[RFC]],'Alta Proveedor'!D:D,'Alta Proveedor'!E:E)=0,"",_xlfn.XLOOKUP(Imput[[#This Row],[RFC]],'Alta Proveedor'!D:D,'Alta Proveedor'!E:E)),"")</f>
        <v/>
      </c>
      <c r="F3344" s="832"/>
      <c r="G3344" s="187"/>
      <c r="H3344" s="1"/>
      <c r="I3344" s="169">
        <f>Imput[[#This Row],[Cantidad]]*Imput[[#This Row],[Precio Unitario]]</f>
        <v>0</v>
      </c>
      <c r="J3344" s="11">
        <f>((Imput[[#This Row],[Sub total]])*(0.16))</f>
        <v>0</v>
      </c>
      <c r="K3344" s="11">
        <v>0</v>
      </c>
      <c r="L3344" s="169">
        <f>Imput[[#This Row],[Sub total]]+Imput[[#This Row],[IVA]]-Imput[[#This Row],[Retención / IEPS / Descuento]]</f>
        <v>0</v>
      </c>
      <c r="M3344" s="844">
        <v>0</v>
      </c>
      <c r="N3344" s="189"/>
      <c r="O3344" s="1"/>
      <c r="P3344" s="189"/>
      <c r="Q3344" s="190"/>
      <c r="R3344" s="188"/>
      <c r="S3344" s="193"/>
      <c r="T3344" s="192"/>
      <c r="U3344" s="829"/>
      <c r="V3344" s="10"/>
      <c r="W3344" s="10"/>
      <c r="X3344" s="10"/>
      <c r="Y3344" s="10"/>
      <c r="Z3344" s="10"/>
      <c r="AA3344" s="11"/>
      <c r="AB3344" s="11"/>
    </row>
    <row r="3345" spans="2:28" x14ac:dyDescent="0.3">
      <c r="B3345" s="10"/>
      <c r="C3345" s="315"/>
      <c r="D3345" s="868"/>
      <c r="E3345" s="837" t="str">
        <f>IFERROR(IF(_xlfn.XLOOKUP(Imput[[#This Row],[RFC]],'Alta Proveedor'!D:D,'Alta Proveedor'!E:E)=0,"",_xlfn.XLOOKUP(Imput[[#This Row],[RFC]],'Alta Proveedor'!D:D,'Alta Proveedor'!E:E)),"")</f>
        <v/>
      </c>
      <c r="F3345" s="832"/>
      <c r="G3345" s="187"/>
      <c r="H3345" s="1"/>
      <c r="I3345" s="169">
        <f>Imput[[#This Row],[Cantidad]]*Imput[[#This Row],[Precio Unitario]]</f>
        <v>0</v>
      </c>
      <c r="J3345" s="11">
        <f>((Imput[[#This Row],[Sub total]])*(0.16))</f>
        <v>0</v>
      </c>
      <c r="K3345" s="11">
        <v>0</v>
      </c>
      <c r="L3345" s="169">
        <f>Imput[[#This Row],[Sub total]]+Imput[[#This Row],[IVA]]-Imput[[#This Row],[Retención / IEPS / Descuento]]</f>
        <v>0</v>
      </c>
      <c r="M3345" s="844">
        <v>0</v>
      </c>
      <c r="N3345" s="189"/>
      <c r="O3345" s="1"/>
      <c r="P3345" s="189"/>
      <c r="Q3345" s="190"/>
      <c r="R3345" s="188"/>
      <c r="S3345" s="193"/>
      <c r="T3345" s="192"/>
      <c r="U3345" s="829"/>
      <c r="V3345" s="10"/>
      <c r="W3345" s="10"/>
      <c r="X3345" s="10"/>
      <c r="Y3345" s="10"/>
      <c r="Z3345" s="10"/>
      <c r="AA3345" s="11"/>
      <c r="AB3345" s="11"/>
    </row>
    <row r="3346" spans="2:28" x14ac:dyDescent="0.3">
      <c r="B3346" s="10"/>
      <c r="C3346" s="315"/>
      <c r="D3346" s="868"/>
      <c r="E3346" s="837" t="str">
        <f>IFERROR(IF(_xlfn.XLOOKUP(Imput[[#This Row],[RFC]],'Alta Proveedor'!D:D,'Alta Proveedor'!E:E)=0,"",_xlfn.XLOOKUP(Imput[[#This Row],[RFC]],'Alta Proveedor'!D:D,'Alta Proveedor'!E:E)),"")</f>
        <v/>
      </c>
      <c r="F3346" s="832"/>
      <c r="G3346" s="187"/>
      <c r="H3346" s="1"/>
      <c r="I3346" s="169">
        <f>Imput[[#This Row],[Cantidad]]*Imput[[#This Row],[Precio Unitario]]</f>
        <v>0</v>
      </c>
      <c r="J3346" s="11">
        <f>((Imput[[#This Row],[Sub total]])*(0.16))</f>
        <v>0</v>
      </c>
      <c r="K3346" s="11">
        <v>0</v>
      </c>
      <c r="L3346" s="169">
        <f>Imput[[#This Row],[Sub total]]+Imput[[#This Row],[IVA]]-Imput[[#This Row],[Retención / IEPS / Descuento]]</f>
        <v>0</v>
      </c>
      <c r="M3346" s="844">
        <v>0</v>
      </c>
      <c r="N3346" s="189"/>
      <c r="O3346" s="1"/>
      <c r="P3346" s="189"/>
      <c r="Q3346" s="190"/>
      <c r="R3346" s="188"/>
      <c r="S3346" s="193"/>
      <c r="T3346" s="192"/>
      <c r="U3346" s="829"/>
      <c r="V3346" s="10"/>
      <c r="W3346" s="10"/>
      <c r="X3346" s="10"/>
      <c r="Y3346" s="10"/>
      <c r="Z3346" s="10"/>
      <c r="AA3346" s="11"/>
      <c r="AB3346" s="11"/>
    </row>
    <row r="3347" spans="2:28" x14ac:dyDescent="0.3">
      <c r="B3347" s="10"/>
      <c r="C3347" s="315"/>
      <c r="D3347" s="868"/>
      <c r="E3347" s="837" t="str">
        <f>IFERROR(IF(_xlfn.XLOOKUP(Imput[[#This Row],[RFC]],'Alta Proveedor'!D:D,'Alta Proveedor'!E:E)=0,"",_xlfn.XLOOKUP(Imput[[#This Row],[RFC]],'Alta Proveedor'!D:D,'Alta Proveedor'!E:E)),"")</f>
        <v/>
      </c>
      <c r="F3347" s="832"/>
      <c r="G3347" s="187"/>
      <c r="H3347" s="1"/>
      <c r="I3347" s="169">
        <f>Imput[[#This Row],[Cantidad]]*Imput[[#This Row],[Precio Unitario]]</f>
        <v>0</v>
      </c>
      <c r="J3347" s="11">
        <f>((Imput[[#This Row],[Sub total]])*(0.16))</f>
        <v>0</v>
      </c>
      <c r="K3347" s="11">
        <v>0</v>
      </c>
      <c r="L3347" s="169">
        <f>Imput[[#This Row],[Sub total]]+Imput[[#This Row],[IVA]]-Imput[[#This Row],[Retención / IEPS / Descuento]]</f>
        <v>0</v>
      </c>
      <c r="M3347" s="844">
        <v>0</v>
      </c>
      <c r="N3347" s="189"/>
      <c r="O3347" s="1"/>
      <c r="P3347" s="189"/>
      <c r="Q3347" s="190"/>
      <c r="R3347" s="188"/>
      <c r="S3347" s="193"/>
      <c r="T3347" s="192"/>
      <c r="U3347" s="829"/>
      <c r="V3347" s="10"/>
      <c r="W3347" s="10"/>
      <c r="X3347" s="10"/>
      <c r="Y3347" s="10"/>
      <c r="Z3347" s="10"/>
      <c r="AA3347" s="11"/>
      <c r="AB3347" s="11"/>
    </row>
    <row r="3348" spans="2:28" x14ac:dyDescent="0.3">
      <c r="B3348" s="10"/>
      <c r="C3348" s="315"/>
      <c r="D3348" s="868"/>
      <c r="E3348" s="837" t="str">
        <f>IFERROR(IF(_xlfn.XLOOKUP(Imput[[#This Row],[RFC]],'Alta Proveedor'!D:D,'Alta Proveedor'!E:E)=0,"",_xlfn.XLOOKUP(Imput[[#This Row],[RFC]],'Alta Proveedor'!D:D,'Alta Proveedor'!E:E)),"")</f>
        <v/>
      </c>
      <c r="F3348" s="832"/>
      <c r="G3348" s="187"/>
      <c r="H3348" s="1"/>
      <c r="I3348" s="169">
        <f>Imput[[#This Row],[Cantidad]]*Imput[[#This Row],[Precio Unitario]]</f>
        <v>0</v>
      </c>
      <c r="J3348" s="11">
        <f>((Imput[[#This Row],[Sub total]])*(0.16))</f>
        <v>0</v>
      </c>
      <c r="K3348" s="11">
        <v>0</v>
      </c>
      <c r="L3348" s="169">
        <f>Imput[[#This Row],[Sub total]]+Imput[[#This Row],[IVA]]-Imput[[#This Row],[Retención / IEPS / Descuento]]</f>
        <v>0</v>
      </c>
      <c r="M3348" s="844">
        <v>0</v>
      </c>
      <c r="N3348" s="189"/>
      <c r="O3348" s="1"/>
      <c r="P3348" s="189"/>
      <c r="Q3348" s="190"/>
      <c r="R3348" s="188"/>
      <c r="S3348" s="193"/>
      <c r="T3348" s="192"/>
      <c r="U3348" s="829"/>
      <c r="V3348" s="10"/>
      <c r="W3348" s="10"/>
      <c r="X3348" s="10"/>
      <c r="Y3348" s="10"/>
      <c r="Z3348" s="10"/>
      <c r="AA3348" s="11"/>
      <c r="AB3348" s="11"/>
    </row>
    <row r="3349" spans="2:28" x14ac:dyDescent="0.3">
      <c r="B3349" s="10"/>
      <c r="C3349" s="315"/>
      <c r="D3349" s="868"/>
      <c r="E3349" s="837" t="str">
        <f>IFERROR(IF(_xlfn.XLOOKUP(Imput[[#This Row],[RFC]],'Alta Proveedor'!D:D,'Alta Proveedor'!E:E)=0,"",_xlfn.XLOOKUP(Imput[[#This Row],[RFC]],'Alta Proveedor'!D:D,'Alta Proveedor'!E:E)),"")</f>
        <v/>
      </c>
      <c r="F3349" s="832"/>
      <c r="G3349" s="187"/>
      <c r="H3349" s="1"/>
      <c r="I3349" s="169">
        <f>Imput[[#This Row],[Cantidad]]*Imput[[#This Row],[Precio Unitario]]</f>
        <v>0</v>
      </c>
      <c r="J3349" s="11">
        <f>((Imput[[#This Row],[Sub total]])*(0.16))</f>
        <v>0</v>
      </c>
      <c r="K3349" s="11">
        <v>0</v>
      </c>
      <c r="L3349" s="169">
        <f>Imput[[#This Row],[Sub total]]+Imput[[#This Row],[IVA]]-Imput[[#This Row],[Retención / IEPS / Descuento]]</f>
        <v>0</v>
      </c>
      <c r="M3349" s="844">
        <v>0</v>
      </c>
      <c r="N3349" s="189"/>
      <c r="O3349" s="1"/>
      <c r="P3349" s="189"/>
      <c r="Q3349" s="190"/>
      <c r="R3349" s="188"/>
      <c r="S3349" s="193"/>
      <c r="T3349" s="192"/>
      <c r="U3349" s="829"/>
      <c r="V3349" s="10"/>
      <c r="W3349" s="10"/>
      <c r="X3349" s="10"/>
      <c r="Y3349" s="10"/>
      <c r="Z3349" s="10"/>
      <c r="AA3349" s="11"/>
      <c r="AB3349" s="11"/>
    </row>
    <row r="3350" spans="2:28" x14ac:dyDescent="0.3">
      <c r="B3350" s="10"/>
      <c r="C3350" s="315"/>
      <c r="D3350" s="868"/>
      <c r="E3350" s="837" t="str">
        <f>IFERROR(IF(_xlfn.XLOOKUP(Imput[[#This Row],[RFC]],'Alta Proveedor'!D:D,'Alta Proveedor'!E:E)=0,"",_xlfn.XLOOKUP(Imput[[#This Row],[RFC]],'Alta Proveedor'!D:D,'Alta Proveedor'!E:E)),"")</f>
        <v/>
      </c>
      <c r="F3350" s="832"/>
      <c r="G3350" s="187"/>
      <c r="H3350" s="1"/>
      <c r="I3350" s="169">
        <f>Imput[[#This Row],[Cantidad]]*Imput[[#This Row],[Precio Unitario]]</f>
        <v>0</v>
      </c>
      <c r="J3350" s="11">
        <f>((Imput[[#This Row],[Sub total]])*(0.16))</f>
        <v>0</v>
      </c>
      <c r="K3350" s="11">
        <v>0</v>
      </c>
      <c r="L3350" s="169">
        <f>Imput[[#This Row],[Sub total]]+Imput[[#This Row],[IVA]]-Imput[[#This Row],[Retención / IEPS / Descuento]]</f>
        <v>0</v>
      </c>
      <c r="M3350" s="844">
        <v>0</v>
      </c>
      <c r="N3350" s="189"/>
      <c r="O3350" s="1"/>
      <c r="P3350" s="189"/>
      <c r="Q3350" s="190"/>
      <c r="R3350" s="188"/>
      <c r="S3350" s="193"/>
      <c r="T3350" s="192"/>
      <c r="U3350" s="829"/>
      <c r="V3350" s="10"/>
      <c r="W3350" s="10"/>
      <c r="X3350" s="10"/>
      <c r="Y3350" s="10"/>
      <c r="Z3350" s="10"/>
      <c r="AA3350" s="11"/>
      <c r="AB3350" s="11"/>
    </row>
    <row r="3351" spans="2:28" x14ac:dyDescent="0.3">
      <c r="B3351" s="10"/>
      <c r="C3351" s="315"/>
      <c r="D3351" s="868"/>
      <c r="E3351" s="837" t="str">
        <f>IFERROR(IF(_xlfn.XLOOKUP(Imput[[#This Row],[RFC]],'Alta Proveedor'!D:D,'Alta Proveedor'!E:E)=0,"",_xlfn.XLOOKUP(Imput[[#This Row],[RFC]],'Alta Proveedor'!D:D,'Alta Proveedor'!E:E)),"")</f>
        <v/>
      </c>
      <c r="F3351" s="832"/>
      <c r="G3351" s="187"/>
      <c r="H3351" s="1"/>
      <c r="I3351" s="169">
        <f>Imput[[#This Row],[Cantidad]]*Imput[[#This Row],[Precio Unitario]]</f>
        <v>0</v>
      </c>
      <c r="J3351" s="11">
        <f>((Imput[[#This Row],[Sub total]])*(0.16))</f>
        <v>0</v>
      </c>
      <c r="K3351" s="11">
        <v>0</v>
      </c>
      <c r="L3351" s="169">
        <f>Imput[[#This Row],[Sub total]]+Imput[[#This Row],[IVA]]-Imput[[#This Row],[Retención / IEPS / Descuento]]</f>
        <v>0</v>
      </c>
      <c r="M3351" s="844">
        <v>0</v>
      </c>
      <c r="N3351" s="189"/>
      <c r="O3351" s="1"/>
      <c r="P3351" s="189"/>
      <c r="Q3351" s="190"/>
      <c r="R3351" s="188"/>
      <c r="S3351" s="193"/>
      <c r="T3351" s="192"/>
      <c r="U3351" s="829"/>
      <c r="V3351" s="10"/>
      <c r="W3351" s="10"/>
      <c r="X3351" s="10"/>
      <c r="Y3351" s="10"/>
      <c r="Z3351" s="10"/>
      <c r="AA3351" s="11"/>
      <c r="AB3351" s="11"/>
    </row>
    <row r="3352" spans="2:28" x14ac:dyDescent="0.3">
      <c r="B3352" s="10"/>
      <c r="C3352" s="315"/>
      <c r="D3352" s="868"/>
      <c r="E3352" s="837" t="str">
        <f>IFERROR(IF(_xlfn.XLOOKUP(Imput[[#This Row],[RFC]],'Alta Proveedor'!D:D,'Alta Proveedor'!E:E)=0,"",_xlfn.XLOOKUP(Imput[[#This Row],[RFC]],'Alta Proveedor'!D:D,'Alta Proveedor'!E:E)),"")</f>
        <v/>
      </c>
      <c r="F3352" s="832"/>
      <c r="G3352" s="187"/>
      <c r="H3352" s="1"/>
      <c r="I3352" s="169">
        <f>Imput[[#This Row],[Cantidad]]*Imput[[#This Row],[Precio Unitario]]</f>
        <v>0</v>
      </c>
      <c r="J3352" s="11">
        <f>((Imput[[#This Row],[Sub total]])*(0.16))</f>
        <v>0</v>
      </c>
      <c r="K3352" s="11">
        <v>0</v>
      </c>
      <c r="L3352" s="169">
        <f>Imput[[#This Row],[Sub total]]+Imput[[#This Row],[IVA]]-Imput[[#This Row],[Retención / IEPS / Descuento]]</f>
        <v>0</v>
      </c>
      <c r="M3352" s="844">
        <v>0</v>
      </c>
      <c r="N3352" s="189"/>
      <c r="O3352" s="1"/>
      <c r="P3352" s="189"/>
      <c r="Q3352" s="190"/>
      <c r="R3352" s="188"/>
      <c r="S3352" s="193"/>
      <c r="T3352" s="192"/>
      <c r="U3352" s="829"/>
      <c r="V3352" s="10"/>
      <c r="W3352" s="10"/>
      <c r="X3352" s="10"/>
      <c r="Y3352" s="10"/>
      <c r="Z3352" s="10"/>
      <c r="AA3352" s="11"/>
      <c r="AB3352" s="11"/>
    </row>
    <row r="3353" spans="2:28" x14ac:dyDescent="0.3">
      <c r="B3353" s="10"/>
      <c r="C3353" s="315"/>
      <c r="D3353" s="868"/>
      <c r="E3353" s="837" t="str">
        <f>IFERROR(IF(_xlfn.XLOOKUP(Imput[[#This Row],[RFC]],'Alta Proveedor'!D:D,'Alta Proveedor'!E:E)=0,"",_xlfn.XLOOKUP(Imput[[#This Row],[RFC]],'Alta Proveedor'!D:D,'Alta Proveedor'!E:E)),"")</f>
        <v/>
      </c>
      <c r="F3353" s="832"/>
      <c r="G3353" s="187"/>
      <c r="H3353" s="1"/>
      <c r="I3353" s="169">
        <f>Imput[[#This Row],[Cantidad]]*Imput[[#This Row],[Precio Unitario]]</f>
        <v>0</v>
      </c>
      <c r="J3353" s="11">
        <f>((Imput[[#This Row],[Sub total]])*(0.16))</f>
        <v>0</v>
      </c>
      <c r="K3353" s="11">
        <v>0</v>
      </c>
      <c r="L3353" s="169">
        <f>Imput[[#This Row],[Sub total]]+Imput[[#This Row],[IVA]]-Imput[[#This Row],[Retención / IEPS / Descuento]]</f>
        <v>0</v>
      </c>
      <c r="M3353" s="844">
        <v>0</v>
      </c>
      <c r="N3353" s="189"/>
      <c r="O3353" s="1"/>
      <c r="P3353" s="189"/>
      <c r="Q3353" s="190"/>
      <c r="R3353" s="188"/>
      <c r="S3353" s="193"/>
      <c r="T3353" s="192"/>
      <c r="U3353" s="829"/>
      <c r="V3353" s="10"/>
      <c r="W3353" s="10"/>
      <c r="X3353" s="10"/>
      <c r="Y3353" s="10"/>
      <c r="Z3353" s="10"/>
      <c r="AA3353" s="11"/>
      <c r="AB3353" s="11"/>
    </row>
    <row r="3354" spans="2:28" x14ac:dyDescent="0.3">
      <c r="B3354" s="10"/>
      <c r="C3354" s="315"/>
      <c r="D3354" s="868"/>
      <c r="E3354" s="837" t="str">
        <f>IFERROR(IF(_xlfn.XLOOKUP(Imput[[#This Row],[RFC]],'Alta Proveedor'!D:D,'Alta Proveedor'!E:E)=0,"",_xlfn.XLOOKUP(Imput[[#This Row],[RFC]],'Alta Proveedor'!D:D,'Alta Proveedor'!E:E)),"")</f>
        <v/>
      </c>
      <c r="F3354" s="832"/>
      <c r="G3354" s="187"/>
      <c r="H3354" s="1"/>
      <c r="I3354" s="169">
        <f>Imput[[#This Row],[Cantidad]]*Imput[[#This Row],[Precio Unitario]]</f>
        <v>0</v>
      </c>
      <c r="J3354" s="11">
        <f>((Imput[[#This Row],[Sub total]])*(0.16))</f>
        <v>0</v>
      </c>
      <c r="K3354" s="11">
        <v>0</v>
      </c>
      <c r="L3354" s="169">
        <f>Imput[[#This Row],[Sub total]]+Imput[[#This Row],[IVA]]-Imput[[#This Row],[Retención / IEPS / Descuento]]</f>
        <v>0</v>
      </c>
      <c r="M3354" s="844">
        <v>0</v>
      </c>
      <c r="N3354" s="189"/>
      <c r="O3354" s="1"/>
      <c r="P3354" s="189"/>
      <c r="Q3354" s="190"/>
      <c r="R3354" s="188"/>
      <c r="S3354" s="193"/>
      <c r="T3354" s="192"/>
      <c r="U3354" s="829"/>
      <c r="V3354" s="10"/>
      <c r="W3354" s="10"/>
      <c r="X3354" s="10"/>
      <c r="Y3354" s="10"/>
      <c r="Z3354" s="10"/>
      <c r="AA3354" s="11"/>
      <c r="AB3354" s="11"/>
    </row>
    <row r="3355" spans="2:28" x14ac:dyDescent="0.3">
      <c r="B3355" s="10"/>
      <c r="C3355" s="315"/>
      <c r="D3355" s="868"/>
      <c r="E3355" s="837" t="str">
        <f>IFERROR(IF(_xlfn.XLOOKUP(Imput[[#This Row],[RFC]],'Alta Proveedor'!D:D,'Alta Proveedor'!E:E)=0,"",_xlfn.XLOOKUP(Imput[[#This Row],[RFC]],'Alta Proveedor'!D:D,'Alta Proveedor'!E:E)),"")</f>
        <v/>
      </c>
      <c r="F3355" s="832"/>
      <c r="G3355" s="187"/>
      <c r="H3355" s="1"/>
      <c r="I3355" s="169">
        <f>Imput[[#This Row],[Cantidad]]*Imput[[#This Row],[Precio Unitario]]</f>
        <v>0</v>
      </c>
      <c r="J3355" s="11">
        <f>((Imput[[#This Row],[Sub total]])*(0.16))</f>
        <v>0</v>
      </c>
      <c r="K3355" s="11">
        <v>0</v>
      </c>
      <c r="L3355" s="169">
        <f>Imput[[#This Row],[Sub total]]+Imput[[#This Row],[IVA]]-Imput[[#This Row],[Retención / IEPS / Descuento]]</f>
        <v>0</v>
      </c>
      <c r="M3355" s="844">
        <v>0</v>
      </c>
      <c r="N3355" s="189"/>
      <c r="O3355" s="1"/>
      <c r="P3355" s="189"/>
      <c r="Q3355" s="190"/>
      <c r="R3355" s="188"/>
      <c r="S3355" s="193"/>
      <c r="T3355" s="192"/>
      <c r="U3355" s="829"/>
      <c r="V3355" s="10"/>
      <c r="W3355" s="10"/>
      <c r="X3355" s="10"/>
      <c r="Y3355" s="10"/>
      <c r="Z3355" s="10"/>
      <c r="AA3355" s="11"/>
      <c r="AB3355" s="11"/>
    </row>
    <row r="3356" spans="2:28" x14ac:dyDescent="0.3">
      <c r="B3356" s="10"/>
      <c r="C3356" s="315"/>
      <c r="D3356" s="868"/>
      <c r="E3356" s="837" t="str">
        <f>IFERROR(IF(_xlfn.XLOOKUP(Imput[[#This Row],[RFC]],'Alta Proveedor'!D:D,'Alta Proveedor'!E:E)=0,"",_xlfn.XLOOKUP(Imput[[#This Row],[RFC]],'Alta Proveedor'!D:D,'Alta Proveedor'!E:E)),"")</f>
        <v/>
      </c>
      <c r="F3356" s="832"/>
      <c r="G3356" s="187"/>
      <c r="H3356" s="1"/>
      <c r="I3356" s="169">
        <f>Imput[[#This Row],[Cantidad]]*Imput[[#This Row],[Precio Unitario]]</f>
        <v>0</v>
      </c>
      <c r="J3356" s="11">
        <f>((Imput[[#This Row],[Sub total]])*(0.16))</f>
        <v>0</v>
      </c>
      <c r="K3356" s="11">
        <v>0</v>
      </c>
      <c r="L3356" s="169">
        <f>Imput[[#This Row],[Sub total]]+Imput[[#This Row],[IVA]]-Imput[[#This Row],[Retención / IEPS / Descuento]]</f>
        <v>0</v>
      </c>
      <c r="M3356" s="844">
        <v>0</v>
      </c>
      <c r="N3356" s="189"/>
      <c r="O3356" s="1"/>
      <c r="P3356" s="189"/>
      <c r="Q3356" s="190"/>
      <c r="R3356" s="188"/>
      <c r="S3356" s="193"/>
      <c r="T3356" s="192"/>
      <c r="U3356" s="829"/>
      <c r="V3356" s="10"/>
      <c r="W3356" s="10"/>
      <c r="X3356" s="10"/>
      <c r="Y3356" s="10"/>
      <c r="Z3356" s="10"/>
      <c r="AA3356" s="11"/>
      <c r="AB3356" s="11"/>
    </row>
    <row r="3357" spans="2:28" x14ac:dyDescent="0.3">
      <c r="B3357" s="10"/>
      <c r="C3357" s="315"/>
      <c r="D3357" s="868"/>
      <c r="E3357" s="837" t="str">
        <f>IFERROR(IF(_xlfn.XLOOKUP(Imput[[#This Row],[RFC]],'Alta Proveedor'!D:D,'Alta Proveedor'!E:E)=0,"",_xlfn.XLOOKUP(Imput[[#This Row],[RFC]],'Alta Proveedor'!D:D,'Alta Proveedor'!E:E)),"")</f>
        <v/>
      </c>
      <c r="F3357" s="832"/>
      <c r="G3357" s="187"/>
      <c r="H3357" s="1"/>
      <c r="I3357" s="169">
        <f>Imput[[#This Row],[Cantidad]]*Imput[[#This Row],[Precio Unitario]]</f>
        <v>0</v>
      </c>
      <c r="J3357" s="11">
        <f>((Imput[[#This Row],[Sub total]])*(0.16))</f>
        <v>0</v>
      </c>
      <c r="K3357" s="11">
        <v>0</v>
      </c>
      <c r="L3357" s="169">
        <f>Imput[[#This Row],[Sub total]]+Imput[[#This Row],[IVA]]-Imput[[#This Row],[Retención / IEPS / Descuento]]</f>
        <v>0</v>
      </c>
      <c r="M3357" s="844">
        <v>0</v>
      </c>
      <c r="N3357" s="189"/>
      <c r="O3357" s="1"/>
      <c r="P3357" s="189"/>
      <c r="Q3357" s="190"/>
      <c r="R3357" s="188"/>
      <c r="S3357" s="193"/>
      <c r="T3357" s="192"/>
      <c r="U3357" s="829"/>
      <c r="V3357" s="10"/>
      <c r="W3357" s="10"/>
      <c r="X3357" s="10"/>
      <c r="Y3357" s="10"/>
      <c r="Z3357" s="10"/>
      <c r="AA3357" s="11"/>
      <c r="AB3357" s="11"/>
    </row>
    <row r="3358" spans="2:28" x14ac:dyDescent="0.3">
      <c r="B3358" s="10"/>
      <c r="C3358" s="315"/>
      <c r="D3358" s="868"/>
      <c r="E3358" s="837" t="str">
        <f>IFERROR(IF(_xlfn.XLOOKUP(Imput[[#This Row],[RFC]],'Alta Proveedor'!D:D,'Alta Proveedor'!E:E)=0,"",_xlfn.XLOOKUP(Imput[[#This Row],[RFC]],'Alta Proveedor'!D:D,'Alta Proveedor'!E:E)),"")</f>
        <v/>
      </c>
      <c r="F3358" s="832"/>
      <c r="G3358" s="187"/>
      <c r="H3358" s="1"/>
      <c r="I3358" s="169">
        <f>Imput[[#This Row],[Cantidad]]*Imput[[#This Row],[Precio Unitario]]</f>
        <v>0</v>
      </c>
      <c r="J3358" s="11">
        <f>((Imput[[#This Row],[Sub total]])*(0.16))</f>
        <v>0</v>
      </c>
      <c r="K3358" s="11">
        <v>0</v>
      </c>
      <c r="L3358" s="169">
        <f>Imput[[#This Row],[Sub total]]+Imput[[#This Row],[IVA]]-Imput[[#This Row],[Retención / IEPS / Descuento]]</f>
        <v>0</v>
      </c>
      <c r="M3358" s="844">
        <v>0</v>
      </c>
      <c r="N3358" s="189"/>
      <c r="O3358" s="1"/>
      <c r="P3358" s="189"/>
      <c r="Q3358" s="190"/>
      <c r="R3358" s="188"/>
      <c r="S3358" s="193"/>
      <c r="T3358" s="192"/>
      <c r="U3358" s="829"/>
      <c r="V3358" s="10"/>
      <c r="W3358" s="10"/>
      <c r="X3358" s="10"/>
      <c r="Y3358" s="10"/>
      <c r="Z3358" s="10"/>
      <c r="AA3358" s="11"/>
      <c r="AB3358" s="11"/>
    </row>
    <row r="3359" spans="2:28" x14ac:dyDescent="0.3">
      <c r="B3359" s="10"/>
      <c r="C3359" s="315"/>
      <c r="D3359" s="868"/>
      <c r="E3359" s="837" t="str">
        <f>IFERROR(IF(_xlfn.XLOOKUP(Imput[[#This Row],[RFC]],'Alta Proveedor'!D:D,'Alta Proveedor'!E:E)=0,"",_xlfn.XLOOKUP(Imput[[#This Row],[RFC]],'Alta Proveedor'!D:D,'Alta Proveedor'!E:E)),"")</f>
        <v/>
      </c>
      <c r="F3359" s="832"/>
      <c r="G3359" s="187"/>
      <c r="H3359" s="1"/>
      <c r="I3359" s="169">
        <f>Imput[[#This Row],[Cantidad]]*Imput[[#This Row],[Precio Unitario]]</f>
        <v>0</v>
      </c>
      <c r="J3359" s="11">
        <f>((Imput[[#This Row],[Sub total]])*(0.16))</f>
        <v>0</v>
      </c>
      <c r="K3359" s="11">
        <v>0</v>
      </c>
      <c r="L3359" s="169">
        <f>Imput[[#This Row],[Sub total]]+Imput[[#This Row],[IVA]]-Imput[[#This Row],[Retención / IEPS / Descuento]]</f>
        <v>0</v>
      </c>
      <c r="M3359" s="844">
        <v>0</v>
      </c>
      <c r="N3359" s="189"/>
      <c r="O3359" s="1"/>
      <c r="P3359" s="189"/>
      <c r="Q3359" s="190"/>
      <c r="R3359" s="188"/>
      <c r="S3359" s="193"/>
      <c r="T3359" s="192"/>
      <c r="U3359" s="829"/>
      <c r="V3359" s="10"/>
      <c r="W3359" s="10"/>
      <c r="X3359" s="10"/>
      <c r="Y3359" s="10"/>
      <c r="Z3359" s="10"/>
      <c r="AA3359" s="11"/>
      <c r="AB3359" s="11"/>
    </row>
    <row r="3360" spans="2:28" x14ac:dyDescent="0.3">
      <c r="B3360" s="10"/>
      <c r="C3360" s="315"/>
      <c r="D3360" s="868"/>
      <c r="E3360" s="837" t="str">
        <f>IFERROR(IF(_xlfn.XLOOKUP(Imput[[#This Row],[RFC]],'Alta Proveedor'!D:D,'Alta Proveedor'!E:E)=0,"",_xlfn.XLOOKUP(Imput[[#This Row],[RFC]],'Alta Proveedor'!D:D,'Alta Proveedor'!E:E)),"")</f>
        <v/>
      </c>
      <c r="F3360" s="832"/>
      <c r="G3360" s="187"/>
      <c r="H3360" s="1"/>
      <c r="I3360" s="169">
        <f>Imput[[#This Row],[Cantidad]]*Imput[[#This Row],[Precio Unitario]]</f>
        <v>0</v>
      </c>
      <c r="J3360" s="11">
        <f>((Imput[[#This Row],[Sub total]])*(0.16))</f>
        <v>0</v>
      </c>
      <c r="K3360" s="11">
        <v>0</v>
      </c>
      <c r="L3360" s="169">
        <f>Imput[[#This Row],[Sub total]]+Imput[[#This Row],[IVA]]-Imput[[#This Row],[Retención / IEPS / Descuento]]</f>
        <v>0</v>
      </c>
      <c r="M3360" s="844">
        <v>0</v>
      </c>
      <c r="N3360" s="189"/>
      <c r="O3360" s="1"/>
      <c r="P3360" s="189"/>
      <c r="Q3360" s="190"/>
      <c r="R3360" s="188"/>
      <c r="S3360" s="193"/>
      <c r="T3360" s="192"/>
      <c r="U3360" s="829"/>
      <c r="V3360" s="10"/>
      <c r="W3360" s="10"/>
      <c r="X3360" s="10"/>
      <c r="Y3360" s="10"/>
      <c r="Z3360" s="10"/>
      <c r="AA3360" s="11"/>
      <c r="AB3360" s="11"/>
    </row>
    <row r="3361" spans="2:28" x14ac:dyDescent="0.3">
      <c r="B3361" s="10"/>
      <c r="C3361" s="315"/>
      <c r="D3361" s="868"/>
      <c r="E3361" s="837" t="str">
        <f>IFERROR(IF(_xlfn.XLOOKUP(Imput[[#This Row],[RFC]],'Alta Proveedor'!D:D,'Alta Proveedor'!E:E)=0,"",_xlfn.XLOOKUP(Imput[[#This Row],[RFC]],'Alta Proveedor'!D:D,'Alta Proveedor'!E:E)),"")</f>
        <v/>
      </c>
      <c r="F3361" s="832"/>
      <c r="G3361" s="187"/>
      <c r="H3361" s="1"/>
      <c r="I3361" s="169">
        <f>Imput[[#This Row],[Cantidad]]*Imput[[#This Row],[Precio Unitario]]</f>
        <v>0</v>
      </c>
      <c r="J3361" s="11">
        <f>((Imput[[#This Row],[Sub total]])*(0.16))</f>
        <v>0</v>
      </c>
      <c r="K3361" s="11">
        <v>0</v>
      </c>
      <c r="L3361" s="169">
        <f>Imput[[#This Row],[Sub total]]+Imput[[#This Row],[IVA]]-Imput[[#This Row],[Retención / IEPS / Descuento]]</f>
        <v>0</v>
      </c>
      <c r="M3361" s="844">
        <v>0</v>
      </c>
      <c r="N3361" s="189"/>
      <c r="O3361" s="1"/>
      <c r="P3361" s="189"/>
      <c r="Q3361" s="190"/>
      <c r="R3361" s="188"/>
      <c r="S3361" s="193"/>
      <c r="T3361" s="192"/>
      <c r="U3361" s="829"/>
      <c r="V3361" s="10"/>
      <c r="W3361" s="10"/>
      <c r="X3361" s="10"/>
      <c r="Y3361" s="10"/>
      <c r="Z3361" s="10"/>
      <c r="AA3361" s="11"/>
      <c r="AB3361" s="11"/>
    </row>
    <row r="3362" spans="2:28" x14ac:dyDescent="0.3">
      <c r="B3362" s="10"/>
      <c r="C3362" s="315"/>
      <c r="D3362" s="868"/>
      <c r="E3362" s="837" t="str">
        <f>IFERROR(IF(_xlfn.XLOOKUP(Imput[[#This Row],[RFC]],'Alta Proveedor'!D:D,'Alta Proveedor'!E:E)=0,"",_xlfn.XLOOKUP(Imput[[#This Row],[RFC]],'Alta Proveedor'!D:D,'Alta Proveedor'!E:E)),"")</f>
        <v/>
      </c>
      <c r="F3362" s="832"/>
      <c r="G3362" s="187"/>
      <c r="H3362" s="1"/>
      <c r="I3362" s="169">
        <f>Imput[[#This Row],[Cantidad]]*Imput[[#This Row],[Precio Unitario]]</f>
        <v>0</v>
      </c>
      <c r="J3362" s="11">
        <f>((Imput[[#This Row],[Sub total]])*(0.16))</f>
        <v>0</v>
      </c>
      <c r="K3362" s="11">
        <v>0</v>
      </c>
      <c r="L3362" s="169">
        <f>Imput[[#This Row],[Sub total]]+Imput[[#This Row],[IVA]]-Imput[[#This Row],[Retención / IEPS / Descuento]]</f>
        <v>0</v>
      </c>
      <c r="M3362" s="844">
        <v>0</v>
      </c>
      <c r="N3362" s="189"/>
      <c r="O3362" s="1"/>
      <c r="P3362" s="189"/>
      <c r="Q3362" s="190"/>
      <c r="R3362" s="188"/>
      <c r="S3362" s="193"/>
      <c r="T3362" s="192"/>
      <c r="U3362" s="829"/>
      <c r="V3362" s="10"/>
      <c r="W3362" s="10"/>
      <c r="X3362" s="10"/>
      <c r="Y3362" s="10"/>
      <c r="Z3362" s="10"/>
      <c r="AA3362" s="11"/>
      <c r="AB3362" s="11"/>
    </row>
    <row r="3363" spans="2:28" x14ac:dyDescent="0.3">
      <c r="B3363" s="10"/>
      <c r="C3363" s="315"/>
      <c r="D3363" s="868"/>
      <c r="E3363" s="837" t="str">
        <f>IFERROR(IF(_xlfn.XLOOKUP(Imput[[#This Row],[RFC]],'Alta Proveedor'!D:D,'Alta Proveedor'!E:E)=0,"",_xlfn.XLOOKUP(Imput[[#This Row],[RFC]],'Alta Proveedor'!D:D,'Alta Proveedor'!E:E)),"")</f>
        <v/>
      </c>
      <c r="F3363" s="832"/>
      <c r="G3363" s="187"/>
      <c r="H3363" s="1"/>
      <c r="I3363" s="169">
        <f>Imput[[#This Row],[Cantidad]]*Imput[[#This Row],[Precio Unitario]]</f>
        <v>0</v>
      </c>
      <c r="J3363" s="11">
        <f>((Imput[[#This Row],[Sub total]])*(0.16))</f>
        <v>0</v>
      </c>
      <c r="K3363" s="11">
        <v>0</v>
      </c>
      <c r="L3363" s="169">
        <f>Imput[[#This Row],[Sub total]]+Imput[[#This Row],[IVA]]-Imput[[#This Row],[Retención / IEPS / Descuento]]</f>
        <v>0</v>
      </c>
      <c r="M3363" s="844">
        <v>0</v>
      </c>
      <c r="N3363" s="189"/>
      <c r="O3363" s="1"/>
      <c r="P3363" s="189"/>
      <c r="Q3363" s="190"/>
      <c r="R3363" s="188"/>
      <c r="S3363" s="193"/>
      <c r="T3363" s="192"/>
      <c r="U3363" s="829"/>
      <c r="V3363" s="10"/>
      <c r="W3363" s="10"/>
      <c r="X3363" s="10"/>
      <c r="Y3363" s="10"/>
      <c r="Z3363" s="10"/>
      <c r="AA3363" s="11"/>
      <c r="AB3363" s="11"/>
    </row>
    <row r="3364" spans="2:28" x14ac:dyDescent="0.3">
      <c r="B3364" s="10"/>
      <c r="C3364" s="315"/>
      <c r="D3364" s="868"/>
      <c r="E3364" s="837" t="str">
        <f>IFERROR(IF(_xlfn.XLOOKUP(Imput[[#This Row],[RFC]],'Alta Proveedor'!D:D,'Alta Proveedor'!E:E)=0,"",_xlfn.XLOOKUP(Imput[[#This Row],[RFC]],'Alta Proveedor'!D:D,'Alta Proveedor'!E:E)),"")</f>
        <v/>
      </c>
      <c r="F3364" s="832"/>
      <c r="G3364" s="187"/>
      <c r="H3364" s="1"/>
      <c r="I3364" s="169">
        <f>Imput[[#This Row],[Cantidad]]*Imput[[#This Row],[Precio Unitario]]</f>
        <v>0</v>
      </c>
      <c r="J3364" s="11">
        <f>((Imput[[#This Row],[Sub total]])*(0.16))</f>
        <v>0</v>
      </c>
      <c r="K3364" s="11">
        <v>0</v>
      </c>
      <c r="L3364" s="169">
        <f>Imput[[#This Row],[Sub total]]+Imput[[#This Row],[IVA]]-Imput[[#This Row],[Retención / IEPS / Descuento]]</f>
        <v>0</v>
      </c>
      <c r="M3364" s="844">
        <v>0</v>
      </c>
      <c r="N3364" s="189"/>
      <c r="O3364" s="1"/>
      <c r="P3364" s="189"/>
      <c r="Q3364" s="190"/>
      <c r="R3364" s="188"/>
      <c r="S3364" s="193"/>
      <c r="T3364" s="192"/>
      <c r="U3364" s="829"/>
      <c r="V3364" s="10"/>
      <c r="W3364" s="10"/>
      <c r="X3364" s="10"/>
      <c r="Y3364" s="10"/>
      <c r="Z3364" s="10"/>
      <c r="AA3364" s="11"/>
      <c r="AB3364" s="11"/>
    </row>
    <row r="3365" spans="2:28" x14ac:dyDescent="0.3">
      <c r="B3365" s="10"/>
      <c r="C3365" s="315"/>
      <c r="D3365" s="868"/>
      <c r="E3365" s="837" t="str">
        <f>IFERROR(IF(_xlfn.XLOOKUP(Imput[[#This Row],[RFC]],'Alta Proveedor'!D:D,'Alta Proveedor'!E:E)=0,"",_xlfn.XLOOKUP(Imput[[#This Row],[RFC]],'Alta Proveedor'!D:D,'Alta Proveedor'!E:E)),"")</f>
        <v/>
      </c>
      <c r="F3365" s="832"/>
      <c r="G3365" s="187"/>
      <c r="H3365" s="1"/>
      <c r="I3365" s="169">
        <f>Imput[[#This Row],[Cantidad]]*Imput[[#This Row],[Precio Unitario]]</f>
        <v>0</v>
      </c>
      <c r="J3365" s="11">
        <f>((Imput[[#This Row],[Sub total]])*(0.16))</f>
        <v>0</v>
      </c>
      <c r="K3365" s="11">
        <v>0</v>
      </c>
      <c r="L3365" s="169">
        <f>Imput[[#This Row],[Sub total]]+Imput[[#This Row],[IVA]]-Imput[[#This Row],[Retención / IEPS / Descuento]]</f>
        <v>0</v>
      </c>
      <c r="M3365" s="844">
        <v>0</v>
      </c>
      <c r="N3365" s="189"/>
      <c r="O3365" s="1"/>
      <c r="P3365" s="189"/>
      <c r="Q3365" s="190"/>
      <c r="R3365" s="188"/>
      <c r="S3365" s="193"/>
      <c r="T3365" s="192"/>
      <c r="U3365" s="829"/>
      <c r="V3365" s="10"/>
      <c r="W3365" s="10"/>
      <c r="X3365" s="10"/>
      <c r="Y3365" s="10"/>
      <c r="Z3365" s="10"/>
      <c r="AA3365" s="11"/>
      <c r="AB3365" s="11"/>
    </row>
    <row r="3366" spans="2:28" x14ac:dyDescent="0.3">
      <c r="B3366" s="10"/>
      <c r="C3366" s="315"/>
      <c r="D3366" s="868"/>
      <c r="E3366" s="837" t="str">
        <f>IFERROR(IF(_xlfn.XLOOKUP(Imput[[#This Row],[RFC]],'Alta Proveedor'!D:D,'Alta Proveedor'!E:E)=0,"",_xlfn.XLOOKUP(Imput[[#This Row],[RFC]],'Alta Proveedor'!D:D,'Alta Proveedor'!E:E)),"")</f>
        <v/>
      </c>
      <c r="F3366" s="832"/>
      <c r="G3366" s="187"/>
      <c r="H3366" s="1"/>
      <c r="I3366" s="169">
        <f>Imput[[#This Row],[Cantidad]]*Imput[[#This Row],[Precio Unitario]]</f>
        <v>0</v>
      </c>
      <c r="J3366" s="11">
        <f>((Imput[[#This Row],[Sub total]])*(0.16))</f>
        <v>0</v>
      </c>
      <c r="K3366" s="11">
        <v>0</v>
      </c>
      <c r="L3366" s="169">
        <f>Imput[[#This Row],[Sub total]]+Imput[[#This Row],[IVA]]-Imput[[#This Row],[Retención / IEPS / Descuento]]</f>
        <v>0</v>
      </c>
      <c r="M3366" s="844">
        <v>0</v>
      </c>
      <c r="N3366" s="189"/>
      <c r="O3366" s="1"/>
      <c r="P3366" s="189"/>
      <c r="Q3366" s="190"/>
      <c r="R3366" s="188"/>
      <c r="S3366" s="193"/>
      <c r="T3366" s="192"/>
      <c r="U3366" s="829"/>
      <c r="V3366" s="10"/>
      <c r="W3366" s="10"/>
      <c r="X3366" s="10"/>
      <c r="Y3366" s="10"/>
      <c r="Z3366" s="10"/>
      <c r="AA3366" s="11"/>
      <c r="AB3366" s="11"/>
    </row>
    <row r="3367" spans="2:28" x14ac:dyDescent="0.3">
      <c r="B3367" s="10"/>
      <c r="C3367" s="315"/>
      <c r="D3367" s="868"/>
      <c r="E3367" s="837" t="str">
        <f>IFERROR(IF(_xlfn.XLOOKUP(Imput[[#This Row],[RFC]],'Alta Proveedor'!D:D,'Alta Proveedor'!E:E)=0,"",_xlfn.XLOOKUP(Imput[[#This Row],[RFC]],'Alta Proveedor'!D:D,'Alta Proveedor'!E:E)),"")</f>
        <v/>
      </c>
      <c r="F3367" s="832"/>
      <c r="G3367" s="187"/>
      <c r="H3367" s="1"/>
      <c r="I3367" s="169">
        <f>Imput[[#This Row],[Cantidad]]*Imput[[#This Row],[Precio Unitario]]</f>
        <v>0</v>
      </c>
      <c r="J3367" s="11">
        <f>((Imput[[#This Row],[Sub total]])*(0.16))</f>
        <v>0</v>
      </c>
      <c r="K3367" s="11">
        <v>0</v>
      </c>
      <c r="L3367" s="169">
        <f>Imput[[#This Row],[Sub total]]+Imput[[#This Row],[IVA]]-Imput[[#This Row],[Retención / IEPS / Descuento]]</f>
        <v>0</v>
      </c>
      <c r="M3367" s="844">
        <v>0</v>
      </c>
      <c r="N3367" s="189"/>
      <c r="O3367" s="1"/>
      <c r="P3367" s="189"/>
      <c r="Q3367" s="190"/>
      <c r="R3367" s="188"/>
      <c r="S3367" s="193"/>
      <c r="T3367" s="192"/>
      <c r="U3367" s="829"/>
      <c r="V3367" s="10"/>
      <c r="W3367" s="10"/>
      <c r="X3367" s="10"/>
      <c r="Y3367" s="10"/>
      <c r="Z3367" s="10"/>
      <c r="AA3367" s="11"/>
      <c r="AB3367" s="11"/>
    </row>
    <row r="3368" spans="2:28" x14ac:dyDescent="0.3">
      <c r="B3368" s="10"/>
      <c r="C3368" s="315"/>
      <c r="D3368" s="868"/>
      <c r="E3368" s="837" t="str">
        <f>IFERROR(IF(_xlfn.XLOOKUP(Imput[[#This Row],[RFC]],'Alta Proveedor'!D:D,'Alta Proveedor'!E:E)=0,"",_xlfn.XLOOKUP(Imput[[#This Row],[RFC]],'Alta Proveedor'!D:D,'Alta Proveedor'!E:E)),"")</f>
        <v/>
      </c>
      <c r="F3368" s="832"/>
      <c r="G3368" s="187"/>
      <c r="H3368" s="1"/>
      <c r="I3368" s="169">
        <f>Imput[[#This Row],[Cantidad]]*Imput[[#This Row],[Precio Unitario]]</f>
        <v>0</v>
      </c>
      <c r="J3368" s="11">
        <f>((Imput[[#This Row],[Sub total]])*(0.16))</f>
        <v>0</v>
      </c>
      <c r="K3368" s="11">
        <v>0</v>
      </c>
      <c r="L3368" s="169">
        <f>Imput[[#This Row],[Sub total]]+Imput[[#This Row],[IVA]]-Imput[[#This Row],[Retención / IEPS / Descuento]]</f>
        <v>0</v>
      </c>
      <c r="M3368" s="844">
        <v>0</v>
      </c>
      <c r="N3368" s="189"/>
      <c r="O3368" s="1"/>
      <c r="P3368" s="189"/>
      <c r="Q3368" s="190"/>
      <c r="R3368" s="188"/>
      <c r="S3368" s="193"/>
      <c r="T3368" s="192"/>
      <c r="U3368" s="829"/>
      <c r="V3368" s="10"/>
      <c r="W3368" s="10"/>
      <c r="X3368" s="10"/>
      <c r="Y3368" s="10"/>
      <c r="Z3368" s="10"/>
      <c r="AA3368" s="11"/>
      <c r="AB3368" s="11"/>
    </row>
    <row r="3369" spans="2:28" x14ac:dyDescent="0.3">
      <c r="B3369" s="10"/>
      <c r="C3369" s="315"/>
      <c r="D3369" s="868"/>
      <c r="E3369" s="837" t="str">
        <f>IFERROR(IF(_xlfn.XLOOKUP(Imput[[#This Row],[RFC]],'Alta Proveedor'!D:D,'Alta Proveedor'!E:E)=0,"",_xlfn.XLOOKUP(Imput[[#This Row],[RFC]],'Alta Proveedor'!D:D,'Alta Proveedor'!E:E)),"")</f>
        <v/>
      </c>
      <c r="F3369" s="832"/>
      <c r="G3369" s="187"/>
      <c r="H3369" s="1"/>
      <c r="I3369" s="169">
        <f>Imput[[#This Row],[Cantidad]]*Imput[[#This Row],[Precio Unitario]]</f>
        <v>0</v>
      </c>
      <c r="J3369" s="11">
        <f>((Imput[[#This Row],[Sub total]])*(0.16))</f>
        <v>0</v>
      </c>
      <c r="K3369" s="11">
        <v>0</v>
      </c>
      <c r="L3369" s="169">
        <f>Imput[[#This Row],[Sub total]]+Imput[[#This Row],[IVA]]-Imput[[#This Row],[Retención / IEPS / Descuento]]</f>
        <v>0</v>
      </c>
      <c r="M3369" s="844">
        <v>0</v>
      </c>
      <c r="N3369" s="189"/>
      <c r="O3369" s="1"/>
      <c r="P3369" s="189"/>
      <c r="Q3369" s="190"/>
      <c r="R3369" s="188"/>
      <c r="S3369" s="193"/>
      <c r="T3369" s="192"/>
      <c r="U3369" s="829"/>
      <c r="V3369" s="10"/>
      <c r="W3369" s="10"/>
      <c r="X3369" s="10"/>
      <c r="Y3369" s="10"/>
      <c r="Z3369" s="10"/>
      <c r="AA3369" s="11"/>
      <c r="AB3369" s="11"/>
    </row>
    <row r="3370" spans="2:28" x14ac:dyDescent="0.3">
      <c r="B3370" s="10"/>
      <c r="C3370" s="315"/>
      <c r="D3370" s="868"/>
      <c r="E3370" s="837" t="str">
        <f>IFERROR(IF(_xlfn.XLOOKUP(Imput[[#This Row],[RFC]],'Alta Proveedor'!D:D,'Alta Proveedor'!E:E)=0,"",_xlfn.XLOOKUP(Imput[[#This Row],[RFC]],'Alta Proveedor'!D:D,'Alta Proveedor'!E:E)),"")</f>
        <v/>
      </c>
      <c r="F3370" s="832"/>
      <c r="G3370" s="187"/>
      <c r="H3370" s="1"/>
      <c r="I3370" s="169">
        <f>Imput[[#This Row],[Cantidad]]*Imput[[#This Row],[Precio Unitario]]</f>
        <v>0</v>
      </c>
      <c r="J3370" s="11">
        <f>((Imput[[#This Row],[Sub total]])*(0.16))</f>
        <v>0</v>
      </c>
      <c r="K3370" s="11">
        <v>0</v>
      </c>
      <c r="L3370" s="169">
        <f>Imput[[#This Row],[Sub total]]+Imput[[#This Row],[IVA]]-Imput[[#This Row],[Retención / IEPS / Descuento]]</f>
        <v>0</v>
      </c>
      <c r="M3370" s="844">
        <v>0</v>
      </c>
      <c r="N3370" s="189"/>
      <c r="O3370" s="1"/>
      <c r="P3370" s="189"/>
      <c r="Q3370" s="190"/>
      <c r="R3370" s="188"/>
      <c r="S3370" s="193"/>
      <c r="T3370" s="192"/>
      <c r="U3370" s="829"/>
      <c r="V3370" s="10"/>
      <c r="W3370" s="10"/>
      <c r="X3370" s="10"/>
      <c r="Y3370" s="10"/>
      <c r="Z3370" s="10"/>
      <c r="AA3370" s="11"/>
      <c r="AB3370" s="11"/>
    </row>
    <row r="3371" spans="2:28" x14ac:dyDescent="0.3">
      <c r="B3371" s="10"/>
      <c r="C3371" s="315"/>
      <c r="D3371" s="868"/>
      <c r="E3371" s="837" t="str">
        <f>IFERROR(IF(_xlfn.XLOOKUP(Imput[[#This Row],[RFC]],'Alta Proveedor'!D:D,'Alta Proveedor'!E:E)=0,"",_xlfn.XLOOKUP(Imput[[#This Row],[RFC]],'Alta Proveedor'!D:D,'Alta Proveedor'!E:E)),"")</f>
        <v/>
      </c>
      <c r="F3371" s="832"/>
      <c r="G3371" s="187"/>
      <c r="H3371" s="1"/>
      <c r="I3371" s="169">
        <f>Imput[[#This Row],[Cantidad]]*Imput[[#This Row],[Precio Unitario]]</f>
        <v>0</v>
      </c>
      <c r="J3371" s="11">
        <f>((Imput[[#This Row],[Sub total]])*(0.16))</f>
        <v>0</v>
      </c>
      <c r="K3371" s="11">
        <v>0</v>
      </c>
      <c r="L3371" s="169">
        <f>Imput[[#This Row],[Sub total]]+Imput[[#This Row],[IVA]]-Imput[[#This Row],[Retención / IEPS / Descuento]]</f>
        <v>0</v>
      </c>
      <c r="M3371" s="844">
        <v>0</v>
      </c>
      <c r="N3371" s="189"/>
      <c r="O3371" s="1"/>
      <c r="P3371" s="189"/>
      <c r="Q3371" s="190"/>
      <c r="R3371" s="188"/>
      <c r="S3371" s="193"/>
      <c r="T3371" s="192"/>
      <c r="U3371" s="829"/>
      <c r="V3371" s="10"/>
      <c r="W3371" s="10"/>
      <c r="X3371" s="10"/>
      <c r="Y3371" s="10"/>
      <c r="Z3371" s="10"/>
      <c r="AA3371" s="11"/>
      <c r="AB3371" s="11"/>
    </row>
    <row r="3372" spans="2:28" x14ac:dyDescent="0.3">
      <c r="B3372" s="10"/>
      <c r="C3372" s="315"/>
      <c r="D3372" s="868"/>
      <c r="E3372" s="837" t="str">
        <f>IFERROR(IF(_xlfn.XLOOKUP(Imput[[#This Row],[RFC]],'Alta Proveedor'!D:D,'Alta Proveedor'!E:E)=0,"",_xlfn.XLOOKUP(Imput[[#This Row],[RFC]],'Alta Proveedor'!D:D,'Alta Proveedor'!E:E)),"")</f>
        <v/>
      </c>
      <c r="F3372" s="832"/>
      <c r="G3372" s="187"/>
      <c r="H3372" s="1"/>
      <c r="I3372" s="169">
        <f>Imput[[#This Row],[Cantidad]]*Imput[[#This Row],[Precio Unitario]]</f>
        <v>0</v>
      </c>
      <c r="J3372" s="11">
        <f>((Imput[[#This Row],[Sub total]])*(0.16))</f>
        <v>0</v>
      </c>
      <c r="K3372" s="11">
        <v>0</v>
      </c>
      <c r="L3372" s="169">
        <f>Imput[[#This Row],[Sub total]]+Imput[[#This Row],[IVA]]-Imput[[#This Row],[Retención / IEPS / Descuento]]</f>
        <v>0</v>
      </c>
      <c r="M3372" s="844">
        <v>0</v>
      </c>
      <c r="N3372" s="189"/>
      <c r="O3372" s="1"/>
      <c r="P3372" s="189"/>
      <c r="Q3372" s="190"/>
      <c r="R3372" s="188"/>
      <c r="S3372" s="193"/>
      <c r="T3372" s="192"/>
      <c r="U3372" s="829"/>
      <c r="V3372" s="10"/>
      <c r="W3372" s="10"/>
      <c r="X3372" s="10"/>
      <c r="Y3372" s="10"/>
      <c r="Z3372" s="10"/>
      <c r="AA3372" s="11"/>
      <c r="AB3372" s="11"/>
    </row>
    <row r="3373" spans="2:28" x14ac:dyDescent="0.3">
      <c r="B3373" s="10"/>
      <c r="C3373" s="315"/>
      <c r="D3373" s="868"/>
      <c r="E3373" s="837" t="str">
        <f>IFERROR(IF(_xlfn.XLOOKUP(Imput[[#This Row],[RFC]],'Alta Proveedor'!D:D,'Alta Proveedor'!E:E)=0,"",_xlfn.XLOOKUP(Imput[[#This Row],[RFC]],'Alta Proveedor'!D:D,'Alta Proveedor'!E:E)),"")</f>
        <v/>
      </c>
      <c r="F3373" s="832"/>
      <c r="G3373" s="187"/>
      <c r="H3373" s="1"/>
      <c r="I3373" s="169">
        <f>Imput[[#This Row],[Cantidad]]*Imput[[#This Row],[Precio Unitario]]</f>
        <v>0</v>
      </c>
      <c r="J3373" s="11">
        <f>((Imput[[#This Row],[Sub total]])*(0.16))</f>
        <v>0</v>
      </c>
      <c r="K3373" s="11">
        <v>0</v>
      </c>
      <c r="L3373" s="169">
        <f>Imput[[#This Row],[Sub total]]+Imput[[#This Row],[IVA]]-Imput[[#This Row],[Retención / IEPS / Descuento]]</f>
        <v>0</v>
      </c>
      <c r="M3373" s="844">
        <v>0</v>
      </c>
      <c r="N3373" s="189"/>
      <c r="O3373" s="1"/>
      <c r="P3373" s="189"/>
      <c r="Q3373" s="190"/>
      <c r="R3373" s="188"/>
      <c r="S3373" s="193"/>
      <c r="T3373" s="192"/>
      <c r="U3373" s="829"/>
      <c r="V3373" s="10"/>
      <c r="W3373" s="10"/>
      <c r="X3373" s="10"/>
      <c r="Y3373" s="10"/>
      <c r="Z3373" s="10"/>
      <c r="AA3373" s="11"/>
      <c r="AB3373" s="11"/>
    </row>
    <row r="3374" spans="2:28" x14ac:dyDescent="0.3">
      <c r="B3374" s="10"/>
      <c r="C3374" s="315"/>
      <c r="D3374" s="868"/>
      <c r="E3374" s="837" t="str">
        <f>IFERROR(IF(_xlfn.XLOOKUP(Imput[[#This Row],[RFC]],'Alta Proveedor'!D:D,'Alta Proveedor'!E:E)=0,"",_xlfn.XLOOKUP(Imput[[#This Row],[RFC]],'Alta Proveedor'!D:D,'Alta Proveedor'!E:E)),"")</f>
        <v/>
      </c>
      <c r="F3374" s="832"/>
      <c r="G3374" s="187"/>
      <c r="H3374" s="1"/>
      <c r="I3374" s="169">
        <f>Imput[[#This Row],[Cantidad]]*Imput[[#This Row],[Precio Unitario]]</f>
        <v>0</v>
      </c>
      <c r="J3374" s="11">
        <f>((Imput[[#This Row],[Sub total]])*(0.16))</f>
        <v>0</v>
      </c>
      <c r="K3374" s="11">
        <v>0</v>
      </c>
      <c r="L3374" s="169">
        <f>Imput[[#This Row],[Sub total]]+Imput[[#This Row],[IVA]]-Imput[[#This Row],[Retención / IEPS / Descuento]]</f>
        <v>0</v>
      </c>
      <c r="M3374" s="844">
        <v>0</v>
      </c>
      <c r="N3374" s="189"/>
      <c r="O3374" s="1"/>
      <c r="P3374" s="189"/>
      <c r="Q3374" s="190"/>
      <c r="R3374" s="188"/>
      <c r="S3374" s="193"/>
      <c r="T3374" s="192"/>
      <c r="U3374" s="829"/>
      <c r="V3374" s="10"/>
      <c r="W3374" s="10"/>
      <c r="X3374" s="10"/>
      <c r="Y3374" s="10"/>
      <c r="Z3374" s="10"/>
      <c r="AA3374" s="11"/>
      <c r="AB3374" s="11"/>
    </row>
    <row r="3375" spans="2:28" x14ac:dyDescent="0.3">
      <c r="B3375" s="10"/>
      <c r="C3375" s="315"/>
      <c r="D3375" s="868"/>
      <c r="E3375" s="837" t="str">
        <f>IFERROR(IF(_xlfn.XLOOKUP(Imput[[#This Row],[RFC]],'Alta Proveedor'!D:D,'Alta Proveedor'!E:E)=0,"",_xlfn.XLOOKUP(Imput[[#This Row],[RFC]],'Alta Proveedor'!D:D,'Alta Proveedor'!E:E)),"")</f>
        <v/>
      </c>
      <c r="F3375" s="832"/>
      <c r="G3375" s="187"/>
      <c r="H3375" s="1"/>
      <c r="I3375" s="169">
        <f>Imput[[#This Row],[Cantidad]]*Imput[[#This Row],[Precio Unitario]]</f>
        <v>0</v>
      </c>
      <c r="J3375" s="11">
        <f>((Imput[[#This Row],[Sub total]])*(0.16))</f>
        <v>0</v>
      </c>
      <c r="K3375" s="11">
        <v>0</v>
      </c>
      <c r="L3375" s="169">
        <f>Imput[[#This Row],[Sub total]]+Imput[[#This Row],[IVA]]-Imput[[#This Row],[Retención / IEPS / Descuento]]</f>
        <v>0</v>
      </c>
      <c r="M3375" s="844">
        <v>0</v>
      </c>
      <c r="N3375" s="189"/>
      <c r="O3375" s="1"/>
      <c r="P3375" s="189"/>
      <c r="Q3375" s="190"/>
      <c r="R3375" s="188"/>
      <c r="S3375" s="193"/>
      <c r="T3375" s="192"/>
      <c r="U3375" s="829"/>
      <c r="V3375" s="10"/>
      <c r="W3375" s="10"/>
      <c r="X3375" s="10"/>
      <c r="Y3375" s="10"/>
      <c r="Z3375" s="10"/>
      <c r="AA3375" s="11"/>
      <c r="AB3375" s="11"/>
    </row>
    <row r="3376" spans="2:28" x14ac:dyDescent="0.3">
      <c r="B3376" s="10"/>
      <c r="C3376" s="315"/>
      <c r="D3376" s="868"/>
      <c r="E3376" s="837" t="str">
        <f>IFERROR(IF(_xlfn.XLOOKUP(Imput[[#This Row],[RFC]],'Alta Proveedor'!D:D,'Alta Proveedor'!E:E)=0,"",_xlfn.XLOOKUP(Imput[[#This Row],[RFC]],'Alta Proveedor'!D:D,'Alta Proveedor'!E:E)),"")</f>
        <v/>
      </c>
      <c r="F3376" s="832"/>
      <c r="G3376" s="187"/>
      <c r="H3376" s="1"/>
      <c r="I3376" s="169">
        <f>Imput[[#This Row],[Cantidad]]*Imput[[#This Row],[Precio Unitario]]</f>
        <v>0</v>
      </c>
      <c r="J3376" s="11">
        <f>((Imput[[#This Row],[Sub total]])*(0.16))</f>
        <v>0</v>
      </c>
      <c r="K3376" s="11">
        <v>0</v>
      </c>
      <c r="L3376" s="169">
        <f>Imput[[#This Row],[Sub total]]+Imput[[#This Row],[IVA]]-Imput[[#This Row],[Retención / IEPS / Descuento]]</f>
        <v>0</v>
      </c>
      <c r="M3376" s="844">
        <v>0</v>
      </c>
      <c r="N3376" s="189"/>
      <c r="O3376" s="1"/>
      <c r="P3376" s="189"/>
      <c r="Q3376" s="190"/>
      <c r="R3376" s="188"/>
      <c r="S3376" s="193"/>
      <c r="T3376" s="192"/>
      <c r="U3376" s="829"/>
      <c r="V3376" s="10"/>
      <c r="W3376" s="10"/>
      <c r="X3376" s="10"/>
      <c r="Y3376" s="10"/>
      <c r="Z3376" s="10"/>
      <c r="AA3376" s="11"/>
      <c r="AB3376" s="11"/>
    </row>
    <row r="3377" spans="2:28" x14ac:dyDescent="0.3">
      <c r="B3377" s="10"/>
      <c r="C3377" s="315"/>
      <c r="D3377" s="868"/>
      <c r="E3377" s="837" t="str">
        <f>IFERROR(IF(_xlfn.XLOOKUP(Imput[[#This Row],[RFC]],'Alta Proveedor'!D:D,'Alta Proveedor'!E:E)=0,"",_xlfn.XLOOKUP(Imput[[#This Row],[RFC]],'Alta Proveedor'!D:D,'Alta Proveedor'!E:E)),"")</f>
        <v/>
      </c>
      <c r="F3377" s="832"/>
      <c r="G3377" s="187"/>
      <c r="H3377" s="1"/>
      <c r="I3377" s="169">
        <f>Imput[[#This Row],[Cantidad]]*Imput[[#This Row],[Precio Unitario]]</f>
        <v>0</v>
      </c>
      <c r="J3377" s="11">
        <f>((Imput[[#This Row],[Sub total]])*(0.16))</f>
        <v>0</v>
      </c>
      <c r="K3377" s="11">
        <v>0</v>
      </c>
      <c r="L3377" s="169">
        <f>Imput[[#This Row],[Sub total]]+Imput[[#This Row],[IVA]]-Imput[[#This Row],[Retención / IEPS / Descuento]]</f>
        <v>0</v>
      </c>
      <c r="M3377" s="844">
        <v>0</v>
      </c>
      <c r="N3377" s="189"/>
      <c r="O3377" s="1"/>
      <c r="P3377" s="189"/>
      <c r="Q3377" s="190"/>
      <c r="R3377" s="188"/>
      <c r="S3377" s="193"/>
      <c r="T3377" s="192"/>
      <c r="U3377" s="829"/>
      <c r="V3377" s="10"/>
      <c r="W3377" s="10"/>
      <c r="X3377" s="10"/>
      <c r="Y3377" s="10"/>
      <c r="Z3377" s="10"/>
      <c r="AA3377" s="11"/>
      <c r="AB3377" s="11"/>
    </row>
    <row r="3378" spans="2:28" x14ac:dyDescent="0.3">
      <c r="B3378" s="10"/>
      <c r="C3378" s="315"/>
      <c r="D3378" s="868"/>
      <c r="E3378" s="837" t="str">
        <f>IFERROR(IF(_xlfn.XLOOKUP(Imput[[#This Row],[RFC]],'Alta Proveedor'!D:D,'Alta Proveedor'!E:E)=0,"",_xlfn.XLOOKUP(Imput[[#This Row],[RFC]],'Alta Proveedor'!D:D,'Alta Proveedor'!E:E)),"")</f>
        <v/>
      </c>
      <c r="F3378" s="832"/>
      <c r="G3378" s="187"/>
      <c r="H3378" s="1"/>
      <c r="I3378" s="169">
        <f>Imput[[#This Row],[Cantidad]]*Imput[[#This Row],[Precio Unitario]]</f>
        <v>0</v>
      </c>
      <c r="J3378" s="11">
        <f>((Imput[[#This Row],[Sub total]])*(0.16))</f>
        <v>0</v>
      </c>
      <c r="K3378" s="11">
        <v>0</v>
      </c>
      <c r="L3378" s="169">
        <f>Imput[[#This Row],[Sub total]]+Imput[[#This Row],[IVA]]-Imput[[#This Row],[Retención / IEPS / Descuento]]</f>
        <v>0</v>
      </c>
      <c r="M3378" s="844">
        <v>0</v>
      </c>
      <c r="N3378" s="189"/>
      <c r="O3378" s="1"/>
      <c r="P3378" s="189"/>
      <c r="Q3378" s="190"/>
      <c r="R3378" s="188"/>
      <c r="S3378" s="193"/>
      <c r="T3378" s="192"/>
      <c r="U3378" s="829"/>
      <c r="V3378" s="10"/>
      <c r="W3378" s="10"/>
      <c r="X3378" s="10"/>
      <c r="Y3378" s="10"/>
      <c r="Z3378" s="10"/>
      <c r="AA3378" s="11"/>
      <c r="AB3378" s="11"/>
    </row>
    <row r="3379" spans="2:28" x14ac:dyDescent="0.3">
      <c r="B3379" s="10"/>
      <c r="C3379" s="315"/>
      <c r="D3379" s="868"/>
      <c r="E3379" s="837" t="str">
        <f>IFERROR(IF(_xlfn.XLOOKUP(Imput[[#This Row],[RFC]],'Alta Proveedor'!D:D,'Alta Proveedor'!E:E)=0,"",_xlfn.XLOOKUP(Imput[[#This Row],[RFC]],'Alta Proveedor'!D:D,'Alta Proveedor'!E:E)),"")</f>
        <v/>
      </c>
      <c r="F3379" s="832"/>
      <c r="G3379" s="187"/>
      <c r="H3379" s="1"/>
      <c r="I3379" s="169">
        <f>Imput[[#This Row],[Cantidad]]*Imput[[#This Row],[Precio Unitario]]</f>
        <v>0</v>
      </c>
      <c r="J3379" s="11">
        <f>((Imput[[#This Row],[Sub total]])*(0.16))</f>
        <v>0</v>
      </c>
      <c r="K3379" s="11">
        <v>0</v>
      </c>
      <c r="L3379" s="169">
        <f>Imput[[#This Row],[Sub total]]+Imput[[#This Row],[IVA]]-Imput[[#This Row],[Retención / IEPS / Descuento]]</f>
        <v>0</v>
      </c>
      <c r="M3379" s="844">
        <v>0</v>
      </c>
      <c r="N3379" s="189"/>
      <c r="O3379" s="1"/>
      <c r="P3379" s="189"/>
      <c r="Q3379" s="190"/>
      <c r="R3379" s="188"/>
      <c r="S3379" s="193"/>
      <c r="T3379" s="192"/>
      <c r="U3379" s="829"/>
      <c r="V3379" s="10"/>
      <c r="W3379" s="10"/>
      <c r="X3379" s="10"/>
      <c r="Y3379" s="10"/>
      <c r="Z3379" s="10"/>
      <c r="AA3379" s="11"/>
      <c r="AB3379" s="11"/>
    </row>
    <row r="3380" spans="2:28" x14ac:dyDescent="0.3">
      <c r="B3380" s="10"/>
      <c r="C3380" s="315"/>
      <c r="D3380" s="868"/>
      <c r="E3380" s="837" t="str">
        <f>IFERROR(IF(_xlfn.XLOOKUP(Imput[[#This Row],[RFC]],'Alta Proveedor'!D:D,'Alta Proveedor'!E:E)=0,"",_xlfn.XLOOKUP(Imput[[#This Row],[RFC]],'Alta Proveedor'!D:D,'Alta Proveedor'!E:E)),"")</f>
        <v/>
      </c>
      <c r="F3380" s="832"/>
      <c r="G3380" s="187"/>
      <c r="H3380" s="1"/>
      <c r="I3380" s="169">
        <f>Imput[[#This Row],[Cantidad]]*Imput[[#This Row],[Precio Unitario]]</f>
        <v>0</v>
      </c>
      <c r="J3380" s="11">
        <f>((Imput[[#This Row],[Sub total]])*(0.16))</f>
        <v>0</v>
      </c>
      <c r="K3380" s="11">
        <v>0</v>
      </c>
      <c r="L3380" s="169">
        <f>Imput[[#This Row],[Sub total]]+Imput[[#This Row],[IVA]]-Imput[[#This Row],[Retención / IEPS / Descuento]]</f>
        <v>0</v>
      </c>
      <c r="M3380" s="844">
        <v>0</v>
      </c>
      <c r="N3380" s="189"/>
      <c r="O3380" s="1"/>
      <c r="P3380" s="189"/>
      <c r="Q3380" s="190"/>
      <c r="R3380" s="188"/>
      <c r="S3380" s="193"/>
      <c r="T3380" s="192"/>
      <c r="U3380" s="829"/>
      <c r="V3380" s="10"/>
      <c r="W3380" s="10"/>
      <c r="X3380" s="10"/>
      <c r="Y3380" s="10"/>
      <c r="Z3380" s="10"/>
      <c r="AA3380" s="11"/>
      <c r="AB3380" s="11"/>
    </row>
    <row r="3381" spans="2:28" x14ac:dyDescent="0.3">
      <c r="B3381" s="10"/>
      <c r="C3381" s="315"/>
      <c r="D3381" s="868"/>
      <c r="E3381" s="837" t="str">
        <f>IFERROR(IF(_xlfn.XLOOKUP(Imput[[#This Row],[RFC]],'Alta Proveedor'!D:D,'Alta Proveedor'!E:E)=0,"",_xlfn.XLOOKUP(Imput[[#This Row],[RFC]],'Alta Proveedor'!D:D,'Alta Proveedor'!E:E)),"")</f>
        <v/>
      </c>
      <c r="F3381" s="832"/>
      <c r="G3381" s="187"/>
      <c r="H3381" s="1"/>
      <c r="I3381" s="169">
        <f>Imput[[#This Row],[Cantidad]]*Imput[[#This Row],[Precio Unitario]]</f>
        <v>0</v>
      </c>
      <c r="J3381" s="11">
        <f>((Imput[[#This Row],[Sub total]])*(0.16))</f>
        <v>0</v>
      </c>
      <c r="K3381" s="11">
        <v>0</v>
      </c>
      <c r="L3381" s="169">
        <f>Imput[[#This Row],[Sub total]]+Imput[[#This Row],[IVA]]-Imput[[#This Row],[Retención / IEPS / Descuento]]</f>
        <v>0</v>
      </c>
      <c r="M3381" s="844">
        <v>0</v>
      </c>
      <c r="N3381" s="189"/>
      <c r="O3381" s="1"/>
      <c r="P3381" s="189"/>
      <c r="Q3381" s="190"/>
      <c r="R3381" s="188"/>
      <c r="S3381" s="193"/>
      <c r="T3381" s="192"/>
      <c r="U3381" s="829"/>
      <c r="V3381" s="10"/>
      <c r="W3381" s="10"/>
      <c r="X3381" s="10"/>
      <c r="Y3381" s="10"/>
      <c r="Z3381" s="10"/>
      <c r="AA3381" s="11"/>
      <c r="AB3381" s="11"/>
    </row>
    <row r="3382" spans="2:28" x14ac:dyDescent="0.3">
      <c r="B3382" s="10"/>
      <c r="C3382" s="315"/>
      <c r="D3382" s="868"/>
      <c r="E3382" s="837" t="str">
        <f>IFERROR(IF(_xlfn.XLOOKUP(Imput[[#This Row],[RFC]],'Alta Proveedor'!D:D,'Alta Proveedor'!E:E)=0,"",_xlfn.XLOOKUP(Imput[[#This Row],[RFC]],'Alta Proveedor'!D:D,'Alta Proveedor'!E:E)),"")</f>
        <v/>
      </c>
      <c r="F3382" s="832"/>
      <c r="G3382" s="187"/>
      <c r="H3382" s="1"/>
      <c r="I3382" s="169">
        <f>Imput[[#This Row],[Cantidad]]*Imput[[#This Row],[Precio Unitario]]</f>
        <v>0</v>
      </c>
      <c r="J3382" s="11">
        <f>((Imput[[#This Row],[Sub total]])*(0.16))</f>
        <v>0</v>
      </c>
      <c r="K3382" s="11">
        <v>0</v>
      </c>
      <c r="L3382" s="169">
        <f>Imput[[#This Row],[Sub total]]+Imput[[#This Row],[IVA]]-Imput[[#This Row],[Retención / IEPS / Descuento]]</f>
        <v>0</v>
      </c>
      <c r="M3382" s="844">
        <v>0</v>
      </c>
      <c r="N3382" s="189"/>
      <c r="O3382" s="1"/>
      <c r="P3382" s="189"/>
      <c r="Q3382" s="190"/>
      <c r="R3382" s="188"/>
      <c r="S3382" s="193"/>
      <c r="T3382" s="192"/>
      <c r="U3382" s="829"/>
      <c r="V3382" s="10"/>
      <c r="W3382" s="10"/>
      <c r="X3382" s="10"/>
      <c r="Y3382" s="10"/>
      <c r="Z3382" s="10"/>
      <c r="AA3382" s="11"/>
      <c r="AB3382" s="11"/>
    </row>
    <row r="3383" spans="2:28" x14ac:dyDescent="0.3">
      <c r="B3383" s="10"/>
      <c r="C3383" s="315"/>
      <c r="D3383" s="868"/>
      <c r="E3383" s="837" t="str">
        <f>IFERROR(IF(_xlfn.XLOOKUP(Imput[[#This Row],[RFC]],'Alta Proveedor'!D:D,'Alta Proveedor'!E:E)=0,"",_xlfn.XLOOKUP(Imput[[#This Row],[RFC]],'Alta Proveedor'!D:D,'Alta Proveedor'!E:E)),"")</f>
        <v/>
      </c>
      <c r="F3383" s="832"/>
      <c r="G3383" s="187"/>
      <c r="H3383" s="1"/>
      <c r="I3383" s="169">
        <f>Imput[[#This Row],[Cantidad]]*Imput[[#This Row],[Precio Unitario]]</f>
        <v>0</v>
      </c>
      <c r="J3383" s="11">
        <f>((Imput[[#This Row],[Sub total]])*(0.16))</f>
        <v>0</v>
      </c>
      <c r="K3383" s="11">
        <v>0</v>
      </c>
      <c r="L3383" s="169">
        <f>Imput[[#This Row],[Sub total]]+Imput[[#This Row],[IVA]]-Imput[[#This Row],[Retención / IEPS / Descuento]]</f>
        <v>0</v>
      </c>
      <c r="M3383" s="844">
        <v>0</v>
      </c>
      <c r="N3383" s="189"/>
      <c r="O3383" s="1"/>
      <c r="P3383" s="189"/>
      <c r="Q3383" s="190"/>
      <c r="R3383" s="188"/>
      <c r="S3383" s="193"/>
      <c r="T3383" s="192"/>
      <c r="U3383" s="829"/>
      <c r="V3383" s="10"/>
      <c r="W3383" s="10"/>
      <c r="X3383" s="10"/>
      <c r="Y3383" s="10"/>
      <c r="Z3383" s="10"/>
      <c r="AA3383" s="11"/>
      <c r="AB3383" s="11"/>
    </row>
    <row r="3384" spans="2:28" x14ac:dyDescent="0.3">
      <c r="B3384" s="10"/>
      <c r="C3384" s="315"/>
      <c r="D3384" s="868"/>
      <c r="E3384" s="837" t="str">
        <f>IFERROR(IF(_xlfn.XLOOKUP(Imput[[#This Row],[RFC]],'Alta Proveedor'!D:D,'Alta Proveedor'!E:E)=0,"",_xlfn.XLOOKUP(Imput[[#This Row],[RFC]],'Alta Proveedor'!D:D,'Alta Proveedor'!E:E)),"")</f>
        <v/>
      </c>
      <c r="F3384" s="832"/>
      <c r="G3384" s="187"/>
      <c r="H3384" s="1"/>
      <c r="I3384" s="169">
        <f>Imput[[#This Row],[Cantidad]]*Imput[[#This Row],[Precio Unitario]]</f>
        <v>0</v>
      </c>
      <c r="J3384" s="11">
        <f>((Imput[[#This Row],[Sub total]])*(0.16))</f>
        <v>0</v>
      </c>
      <c r="K3384" s="11">
        <v>0</v>
      </c>
      <c r="L3384" s="169">
        <f>Imput[[#This Row],[Sub total]]+Imput[[#This Row],[IVA]]-Imput[[#This Row],[Retención / IEPS / Descuento]]</f>
        <v>0</v>
      </c>
      <c r="M3384" s="844">
        <v>0</v>
      </c>
      <c r="N3384" s="189"/>
      <c r="O3384" s="1"/>
      <c r="P3384" s="189"/>
      <c r="Q3384" s="190"/>
      <c r="R3384" s="188"/>
      <c r="S3384" s="193"/>
      <c r="T3384" s="192"/>
      <c r="U3384" s="829"/>
      <c r="V3384" s="10"/>
      <c r="W3384" s="10"/>
      <c r="X3384" s="10"/>
      <c r="Y3384" s="10"/>
      <c r="Z3384" s="10"/>
      <c r="AA3384" s="11"/>
      <c r="AB3384" s="11"/>
    </row>
    <row r="3385" spans="2:28" x14ac:dyDescent="0.3">
      <c r="B3385" s="10"/>
      <c r="C3385" s="315"/>
      <c r="D3385" s="868"/>
      <c r="E3385" s="837" t="str">
        <f>IFERROR(IF(_xlfn.XLOOKUP(Imput[[#This Row],[RFC]],'Alta Proveedor'!D:D,'Alta Proveedor'!E:E)=0,"",_xlfn.XLOOKUP(Imput[[#This Row],[RFC]],'Alta Proveedor'!D:D,'Alta Proveedor'!E:E)),"")</f>
        <v/>
      </c>
      <c r="F3385" s="832"/>
      <c r="G3385" s="187"/>
      <c r="H3385" s="1"/>
      <c r="I3385" s="169">
        <f>Imput[[#This Row],[Cantidad]]*Imput[[#This Row],[Precio Unitario]]</f>
        <v>0</v>
      </c>
      <c r="J3385" s="11">
        <f>((Imput[[#This Row],[Sub total]])*(0.16))</f>
        <v>0</v>
      </c>
      <c r="K3385" s="11">
        <v>0</v>
      </c>
      <c r="L3385" s="169">
        <f>Imput[[#This Row],[Sub total]]+Imput[[#This Row],[IVA]]-Imput[[#This Row],[Retención / IEPS / Descuento]]</f>
        <v>0</v>
      </c>
      <c r="M3385" s="844">
        <v>0</v>
      </c>
      <c r="N3385" s="189"/>
      <c r="O3385" s="1"/>
      <c r="P3385" s="189"/>
      <c r="Q3385" s="190"/>
      <c r="R3385" s="188"/>
      <c r="S3385" s="193"/>
      <c r="T3385" s="192"/>
      <c r="U3385" s="829"/>
      <c r="V3385" s="10"/>
      <c r="W3385" s="10"/>
      <c r="X3385" s="10"/>
      <c r="Y3385" s="10"/>
      <c r="Z3385" s="10"/>
      <c r="AA3385" s="11"/>
      <c r="AB3385" s="11"/>
    </row>
    <row r="3386" spans="2:28" x14ac:dyDescent="0.3">
      <c r="B3386" s="10"/>
      <c r="C3386" s="315"/>
      <c r="D3386" s="868"/>
      <c r="E3386" s="837" t="str">
        <f>IFERROR(IF(_xlfn.XLOOKUP(Imput[[#This Row],[RFC]],'Alta Proveedor'!D:D,'Alta Proveedor'!E:E)=0,"",_xlfn.XLOOKUP(Imput[[#This Row],[RFC]],'Alta Proveedor'!D:D,'Alta Proveedor'!E:E)),"")</f>
        <v/>
      </c>
      <c r="F3386" s="832"/>
      <c r="G3386" s="187"/>
      <c r="H3386" s="1"/>
      <c r="I3386" s="169">
        <f>Imput[[#This Row],[Cantidad]]*Imput[[#This Row],[Precio Unitario]]</f>
        <v>0</v>
      </c>
      <c r="J3386" s="11">
        <f>((Imput[[#This Row],[Sub total]])*(0.16))</f>
        <v>0</v>
      </c>
      <c r="K3386" s="11">
        <v>0</v>
      </c>
      <c r="L3386" s="169">
        <f>Imput[[#This Row],[Sub total]]+Imput[[#This Row],[IVA]]-Imput[[#This Row],[Retención / IEPS / Descuento]]</f>
        <v>0</v>
      </c>
      <c r="M3386" s="844">
        <v>0</v>
      </c>
      <c r="N3386" s="189"/>
      <c r="O3386" s="1"/>
      <c r="P3386" s="189"/>
      <c r="Q3386" s="190"/>
      <c r="R3386" s="188"/>
      <c r="S3386" s="193"/>
      <c r="T3386" s="192"/>
      <c r="U3386" s="829"/>
      <c r="V3386" s="10"/>
      <c r="W3386" s="10"/>
      <c r="X3386" s="10"/>
      <c r="Y3386" s="10"/>
      <c r="Z3386" s="10"/>
      <c r="AA3386" s="11"/>
      <c r="AB3386" s="11"/>
    </row>
    <row r="3387" spans="2:28" x14ac:dyDescent="0.3">
      <c r="B3387" s="10"/>
      <c r="C3387" s="315"/>
      <c r="D3387" s="868"/>
      <c r="E3387" s="837" t="str">
        <f>IFERROR(IF(_xlfn.XLOOKUP(Imput[[#This Row],[RFC]],'Alta Proveedor'!D:D,'Alta Proveedor'!E:E)=0,"",_xlfn.XLOOKUP(Imput[[#This Row],[RFC]],'Alta Proveedor'!D:D,'Alta Proveedor'!E:E)),"")</f>
        <v/>
      </c>
      <c r="F3387" s="832"/>
      <c r="G3387" s="187"/>
      <c r="H3387" s="1"/>
      <c r="I3387" s="169">
        <f>Imput[[#This Row],[Cantidad]]*Imput[[#This Row],[Precio Unitario]]</f>
        <v>0</v>
      </c>
      <c r="J3387" s="11">
        <f>((Imput[[#This Row],[Sub total]])*(0.16))</f>
        <v>0</v>
      </c>
      <c r="K3387" s="11">
        <v>0</v>
      </c>
      <c r="L3387" s="169">
        <f>Imput[[#This Row],[Sub total]]+Imput[[#This Row],[IVA]]-Imput[[#This Row],[Retención / IEPS / Descuento]]</f>
        <v>0</v>
      </c>
      <c r="M3387" s="844">
        <v>0</v>
      </c>
      <c r="N3387" s="189"/>
      <c r="O3387" s="1"/>
      <c r="P3387" s="189"/>
      <c r="Q3387" s="190"/>
      <c r="R3387" s="188"/>
      <c r="S3387" s="193"/>
      <c r="T3387" s="192"/>
      <c r="U3387" s="829"/>
      <c r="V3387" s="10"/>
      <c r="W3387" s="10"/>
      <c r="X3387" s="10"/>
      <c r="Y3387" s="10"/>
      <c r="Z3387" s="10"/>
      <c r="AA3387" s="11"/>
      <c r="AB3387" s="11"/>
    </row>
    <row r="3388" spans="2:28" x14ac:dyDescent="0.3">
      <c r="B3388" s="10"/>
      <c r="C3388" s="315"/>
      <c r="D3388" s="868"/>
      <c r="E3388" s="837" t="str">
        <f>IFERROR(IF(_xlfn.XLOOKUP(Imput[[#This Row],[RFC]],'Alta Proveedor'!D:D,'Alta Proveedor'!E:E)=0,"",_xlfn.XLOOKUP(Imput[[#This Row],[RFC]],'Alta Proveedor'!D:D,'Alta Proveedor'!E:E)),"")</f>
        <v/>
      </c>
      <c r="F3388" s="832"/>
      <c r="G3388" s="187"/>
      <c r="H3388" s="1"/>
      <c r="I3388" s="169">
        <f>Imput[[#This Row],[Cantidad]]*Imput[[#This Row],[Precio Unitario]]</f>
        <v>0</v>
      </c>
      <c r="J3388" s="11">
        <f>((Imput[[#This Row],[Sub total]])*(0.16))</f>
        <v>0</v>
      </c>
      <c r="K3388" s="11">
        <v>0</v>
      </c>
      <c r="L3388" s="169">
        <f>Imput[[#This Row],[Sub total]]+Imput[[#This Row],[IVA]]-Imput[[#This Row],[Retención / IEPS / Descuento]]</f>
        <v>0</v>
      </c>
      <c r="M3388" s="844">
        <v>0</v>
      </c>
      <c r="N3388" s="189"/>
      <c r="O3388" s="1"/>
      <c r="P3388" s="189"/>
      <c r="Q3388" s="190"/>
      <c r="R3388" s="188"/>
      <c r="S3388" s="193"/>
      <c r="T3388" s="192"/>
      <c r="U3388" s="829"/>
      <c r="V3388" s="10"/>
      <c r="W3388" s="10"/>
      <c r="X3388" s="10"/>
      <c r="Y3388" s="10"/>
      <c r="Z3388" s="10"/>
      <c r="AA3388" s="11"/>
      <c r="AB3388" s="11"/>
    </row>
    <row r="3389" spans="2:28" x14ac:dyDescent="0.3">
      <c r="B3389" s="10"/>
      <c r="C3389" s="315"/>
      <c r="D3389" s="868"/>
      <c r="E3389" s="837" t="str">
        <f>IFERROR(IF(_xlfn.XLOOKUP(Imput[[#This Row],[RFC]],'Alta Proveedor'!D:D,'Alta Proveedor'!E:E)=0,"",_xlfn.XLOOKUP(Imput[[#This Row],[RFC]],'Alta Proveedor'!D:D,'Alta Proveedor'!E:E)),"")</f>
        <v/>
      </c>
      <c r="F3389" s="832"/>
      <c r="G3389" s="187"/>
      <c r="H3389" s="1"/>
      <c r="I3389" s="169">
        <f>Imput[[#This Row],[Cantidad]]*Imput[[#This Row],[Precio Unitario]]</f>
        <v>0</v>
      </c>
      <c r="J3389" s="11">
        <f>((Imput[[#This Row],[Sub total]])*(0.16))</f>
        <v>0</v>
      </c>
      <c r="K3389" s="11">
        <v>0</v>
      </c>
      <c r="L3389" s="169">
        <f>Imput[[#This Row],[Sub total]]+Imput[[#This Row],[IVA]]-Imput[[#This Row],[Retención / IEPS / Descuento]]</f>
        <v>0</v>
      </c>
      <c r="M3389" s="844">
        <v>0</v>
      </c>
      <c r="N3389" s="189"/>
      <c r="O3389" s="1"/>
      <c r="P3389" s="189"/>
      <c r="Q3389" s="190"/>
      <c r="R3389" s="188"/>
      <c r="S3389" s="193"/>
      <c r="T3389" s="192"/>
      <c r="U3389" s="829"/>
      <c r="V3389" s="10"/>
      <c r="W3389" s="10"/>
      <c r="X3389" s="10"/>
      <c r="Y3389" s="10"/>
      <c r="Z3389" s="10"/>
      <c r="AA3389" s="11"/>
      <c r="AB3389" s="11"/>
    </row>
    <row r="3390" spans="2:28" x14ac:dyDescent="0.3">
      <c r="B3390" s="10"/>
      <c r="C3390" s="315"/>
      <c r="D3390" s="868"/>
      <c r="E3390" s="837" t="str">
        <f>IFERROR(IF(_xlfn.XLOOKUP(Imput[[#This Row],[RFC]],'Alta Proveedor'!D:D,'Alta Proveedor'!E:E)=0,"",_xlfn.XLOOKUP(Imput[[#This Row],[RFC]],'Alta Proveedor'!D:D,'Alta Proveedor'!E:E)),"")</f>
        <v/>
      </c>
      <c r="F3390" s="832"/>
      <c r="G3390" s="187"/>
      <c r="H3390" s="1"/>
      <c r="I3390" s="169">
        <f>Imput[[#This Row],[Cantidad]]*Imput[[#This Row],[Precio Unitario]]</f>
        <v>0</v>
      </c>
      <c r="J3390" s="11">
        <f>((Imput[[#This Row],[Sub total]])*(0.16))</f>
        <v>0</v>
      </c>
      <c r="K3390" s="11">
        <v>0</v>
      </c>
      <c r="L3390" s="169">
        <f>Imput[[#This Row],[Sub total]]+Imput[[#This Row],[IVA]]-Imput[[#This Row],[Retención / IEPS / Descuento]]</f>
        <v>0</v>
      </c>
      <c r="M3390" s="844">
        <v>0</v>
      </c>
      <c r="N3390" s="189"/>
      <c r="O3390" s="1"/>
      <c r="P3390" s="189"/>
      <c r="Q3390" s="190"/>
      <c r="R3390" s="188"/>
      <c r="S3390" s="193"/>
      <c r="T3390" s="192"/>
      <c r="U3390" s="829"/>
      <c r="V3390" s="10"/>
      <c r="W3390" s="10"/>
      <c r="X3390" s="10"/>
      <c r="Y3390" s="10"/>
      <c r="Z3390" s="10"/>
      <c r="AA3390" s="11"/>
      <c r="AB3390" s="11"/>
    </row>
    <row r="3391" spans="2:28" x14ac:dyDescent="0.3">
      <c r="B3391" s="10"/>
      <c r="C3391" s="315"/>
      <c r="D3391" s="868"/>
      <c r="E3391" s="837" t="str">
        <f>IFERROR(IF(_xlfn.XLOOKUP(Imput[[#This Row],[RFC]],'Alta Proveedor'!D:D,'Alta Proveedor'!E:E)=0,"",_xlfn.XLOOKUP(Imput[[#This Row],[RFC]],'Alta Proveedor'!D:D,'Alta Proveedor'!E:E)),"")</f>
        <v/>
      </c>
      <c r="F3391" s="832"/>
      <c r="G3391" s="187"/>
      <c r="H3391" s="1"/>
      <c r="I3391" s="169">
        <f>Imput[[#This Row],[Cantidad]]*Imput[[#This Row],[Precio Unitario]]</f>
        <v>0</v>
      </c>
      <c r="J3391" s="11">
        <f>((Imput[[#This Row],[Sub total]])*(0.16))</f>
        <v>0</v>
      </c>
      <c r="K3391" s="11">
        <v>0</v>
      </c>
      <c r="L3391" s="169">
        <f>Imput[[#This Row],[Sub total]]+Imput[[#This Row],[IVA]]-Imput[[#This Row],[Retención / IEPS / Descuento]]</f>
        <v>0</v>
      </c>
      <c r="M3391" s="844">
        <v>0</v>
      </c>
      <c r="N3391" s="189"/>
      <c r="O3391" s="1"/>
      <c r="P3391" s="189"/>
      <c r="Q3391" s="190"/>
      <c r="R3391" s="188"/>
      <c r="S3391" s="193"/>
      <c r="T3391" s="192"/>
      <c r="U3391" s="829"/>
      <c r="V3391" s="10"/>
      <c r="W3391" s="10"/>
      <c r="X3391" s="10"/>
      <c r="Y3391" s="10"/>
      <c r="Z3391" s="10"/>
      <c r="AA3391" s="11"/>
      <c r="AB3391" s="11"/>
    </row>
    <row r="3392" spans="2:28" x14ac:dyDescent="0.3">
      <c r="B3392" s="10"/>
      <c r="C3392" s="315"/>
      <c r="D3392" s="868"/>
      <c r="E3392" s="837" t="str">
        <f>IFERROR(IF(_xlfn.XLOOKUP(Imput[[#This Row],[RFC]],'Alta Proveedor'!D:D,'Alta Proveedor'!E:E)=0,"",_xlfn.XLOOKUP(Imput[[#This Row],[RFC]],'Alta Proveedor'!D:D,'Alta Proveedor'!E:E)),"")</f>
        <v/>
      </c>
      <c r="F3392" s="832"/>
      <c r="G3392" s="187"/>
      <c r="H3392" s="1"/>
      <c r="I3392" s="169">
        <f>Imput[[#This Row],[Cantidad]]*Imput[[#This Row],[Precio Unitario]]</f>
        <v>0</v>
      </c>
      <c r="J3392" s="11">
        <f>((Imput[[#This Row],[Sub total]])*(0.16))</f>
        <v>0</v>
      </c>
      <c r="K3392" s="11">
        <v>0</v>
      </c>
      <c r="L3392" s="169">
        <f>Imput[[#This Row],[Sub total]]+Imput[[#This Row],[IVA]]-Imput[[#This Row],[Retención / IEPS / Descuento]]</f>
        <v>0</v>
      </c>
      <c r="M3392" s="844">
        <v>0</v>
      </c>
      <c r="N3392" s="189"/>
      <c r="O3392" s="1"/>
      <c r="P3392" s="189"/>
      <c r="Q3392" s="190"/>
      <c r="R3392" s="188"/>
      <c r="S3392" s="193"/>
      <c r="T3392" s="192"/>
      <c r="U3392" s="829"/>
      <c r="V3392" s="10"/>
      <c r="W3392" s="10"/>
      <c r="X3392" s="10"/>
      <c r="Y3392" s="10"/>
      <c r="Z3392" s="10"/>
      <c r="AA3392" s="11"/>
      <c r="AB3392" s="11"/>
    </row>
    <row r="3393" spans="2:28" x14ac:dyDescent="0.3">
      <c r="B3393" s="10"/>
      <c r="C3393" s="315"/>
      <c r="D3393" s="868"/>
      <c r="E3393" s="837" t="str">
        <f>IFERROR(IF(_xlfn.XLOOKUP(Imput[[#This Row],[RFC]],'Alta Proveedor'!D:D,'Alta Proveedor'!E:E)=0,"",_xlfn.XLOOKUP(Imput[[#This Row],[RFC]],'Alta Proveedor'!D:D,'Alta Proveedor'!E:E)),"")</f>
        <v/>
      </c>
      <c r="F3393" s="832"/>
      <c r="G3393" s="187"/>
      <c r="H3393" s="1"/>
      <c r="I3393" s="169">
        <f>Imput[[#This Row],[Cantidad]]*Imput[[#This Row],[Precio Unitario]]</f>
        <v>0</v>
      </c>
      <c r="J3393" s="11">
        <f>((Imput[[#This Row],[Sub total]])*(0.16))</f>
        <v>0</v>
      </c>
      <c r="K3393" s="11">
        <v>0</v>
      </c>
      <c r="L3393" s="169">
        <f>Imput[[#This Row],[Sub total]]+Imput[[#This Row],[IVA]]-Imput[[#This Row],[Retención / IEPS / Descuento]]</f>
        <v>0</v>
      </c>
      <c r="M3393" s="844">
        <v>0</v>
      </c>
      <c r="N3393" s="189"/>
      <c r="O3393" s="1"/>
      <c r="P3393" s="189"/>
      <c r="Q3393" s="190"/>
      <c r="R3393" s="188"/>
      <c r="S3393" s="193"/>
      <c r="T3393" s="192"/>
      <c r="U3393" s="829"/>
      <c r="V3393" s="10"/>
      <c r="W3393" s="10"/>
      <c r="X3393" s="10"/>
      <c r="Y3393" s="10"/>
      <c r="Z3393" s="10"/>
      <c r="AA3393" s="11"/>
      <c r="AB3393" s="11"/>
    </row>
    <row r="3394" spans="2:28" x14ac:dyDescent="0.3">
      <c r="B3394" s="10"/>
      <c r="C3394" s="315"/>
      <c r="D3394" s="868"/>
      <c r="E3394" s="837" t="str">
        <f>IFERROR(IF(_xlfn.XLOOKUP(Imput[[#This Row],[RFC]],'Alta Proveedor'!D:D,'Alta Proveedor'!E:E)=0,"",_xlfn.XLOOKUP(Imput[[#This Row],[RFC]],'Alta Proveedor'!D:D,'Alta Proveedor'!E:E)),"")</f>
        <v/>
      </c>
      <c r="F3394" s="832"/>
      <c r="G3394" s="187"/>
      <c r="H3394" s="1"/>
      <c r="I3394" s="169">
        <f>Imput[[#This Row],[Cantidad]]*Imput[[#This Row],[Precio Unitario]]</f>
        <v>0</v>
      </c>
      <c r="J3394" s="11">
        <f>((Imput[[#This Row],[Sub total]])*(0.16))</f>
        <v>0</v>
      </c>
      <c r="K3394" s="11">
        <v>0</v>
      </c>
      <c r="L3394" s="169">
        <f>Imput[[#This Row],[Sub total]]+Imput[[#This Row],[IVA]]-Imput[[#This Row],[Retención / IEPS / Descuento]]</f>
        <v>0</v>
      </c>
      <c r="M3394" s="844">
        <v>0</v>
      </c>
      <c r="N3394" s="189"/>
      <c r="O3394" s="1"/>
      <c r="P3394" s="189"/>
      <c r="Q3394" s="190"/>
      <c r="R3394" s="188"/>
      <c r="S3394" s="193"/>
      <c r="T3394" s="192"/>
      <c r="U3394" s="829"/>
      <c r="V3394" s="10"/>
      <c r="W3394" s="10"/>
      <c r="X3394" s="10"/>
      <c r="Y3394" s="10"/>
      <c r="Z3394" s="10"/>
      <c r="AA3394" s="11"/>
      <c r="AB3394" s="11"/>
    </row>
    <row r="3395" spans="2:28" x14ac:dyDescent="0.3">
      <c r="B3395" s="10"/>
      <c r="C3395" s="315"/>
      <c r="D3395" s="868"/>
      <c r="E3395" s="837" t="str">
        <f>IFERROR(IF(_xlfn.XLOOKUP(Imput[[#This Row],[RFC]],'Alta Proveedor'!D:D,'Alta Proveedor'!E:E)=0,"",_xlfn.XLOOKUP(Imput[[#This Row],[RFC]],'Alta Proveedor'!D:D,'Alta Proveedor'!E:E)),"")</f>
        <v/>
      </c>
      <c r="F3395" s="832"/>
      <c r="G3395" s="187"/>
      <c r="H3395" s="1"/>
      <c r="I3395" s="169">
        <f>Imput[[#This Row],[Cantidad]]*Imput[[#This Row],[Precio Unitario]]</f>
        <v>0</v>
      </c>
      <c r="J3395" s="11">
        <f>((Imput[[#This Row],[Sub total]])*(0.16))</f>
        <v>0</v>
      </c>
      <c r="K3395" s="11">
        <v>0</v>
      </c>
      <c r="L3395" s="169">
        <f>Imput[[#This Row],[Sub total]]+Imput[[#This Row],[IVA]]-Imput[[#This Row],[Retención / IEPS / Descuento]]</f>
        <v>0</v>
      </c>
      <c r="M3395" s="844">
        <v>0</v>
      </c>
      <c r="N3395" s="189"/>
      <c r="O3395" s="1"/>
      <c r="P3395" s="189"/>
      <c r="Q3395" s="190"/>
      <c r="R3395" s="188"/>
      <c r="S3395" s="193"/>
      <c r="T3395" s="192"/>
      <c r="U3395" s="829"/>
      <c r="V3395" s="10"/>
      <c r="W3395" s="10"/>
      <c r="X3395" s="10"/>
      <c r="Y3395" s="10"/>
      <c r="Z3395" s="10"/>
      <c r="AA3395" s="11"/>
      <c r="AB3395" s="11"/>
    </row>
    <row r="3396" spans="2:28" x14ac:dyDescent="0.3">
      <c r="B3396" s="10"/>
      <c r="C3396" s="315"/>
      <c r="D3396" s="868"/>
      <c r="E3396" s="837" t="str">
        <f>IFERROR(IF(_xlfn.XLOOKUP(Imput[[#This Row],[RFC]],'Alta Proveedor'!D:D,'Alta Proveedor'!E:E)=0,"",_xlfn.XLOOKUP(Imput[[#This Row],[RFC]],'Alta Proveedor'!D:D,'Alta Proveedor'!E:E)),"")</f>
        <v/>
      </c>
      <c r="F3396" s="832"/>
      <c r="G3396" s="187"/>
      <c r="H3396" s="1"/>
      <c r="I3396" s="169">
        <f>Imput[[#This Row],[Cantidad]]*Imput[[#This Row],[Precio Unitario]]</f>
        <v>0</v>
      </c>
      <c r="J3396" s="11">
        <f>((Imput[[#This Row],[Sub total]])*(0.16))</f>
        <v>0</v>
      </c>
      <c r="K3396" s="11">
        <v>0</v>
      </c>
      <c r="L3396" s="169">
        <f>Imput[[#This Row],[Sub total]]+Imput[[#This Row],[IVA]]-Imput[[#This Row],[Retención / IEPS / Descuento]]</f>
        <v>0</v>
      </c>
      <c r="M3396" s="844">
        <v>0</v>
      </c>
      <c r="N3396" s="189"/>
      <c r="O3396" s="1"/>
      <c r="P3396" s="189"/>
      <c r="Q3396" s="190"/>
      <c r="R3396" s="188"/>
      <c r="S3396" s="193"/>
      <c r="T3396" s="192"/>
      <c r="U3396" s="829"/>
      <c r="V3396" s="10"/>
      <c r="W3396" s="10"/>
      <c r="X3396" s="10"/>
      <c r="Y3396" s="10"/>
      <c r="Z3396" s="10"/>
      <c r="AA3396" s="11"/>
      <c r="AB3396" s="11"/>
    </row>
    <row r="3397" spans="2:28" x14ac:dyDescent="0.3">
      <c r="B3397" s="10"/>
      <c r="C3397" s="315"/>
      <c r="D3397" s="868"/>
      <c r="E3397" s="837" t="str">
        <f>IFERROR(IF(_xlfn.XLOOKUP(Imput[[#This Row],[RFC]],'Alta Proveedor'!D:D,'Alta Proveedor'!E:E)=0,"",_xlfn.XLOOKUP(Imput[[#This Row],[RFC]],'Alta Proveedor'!D:D,'Alta Proveedor'!E:E)),"")</f>
        <v/>
      </c>
      <c r="F3397" s="832"/>
      <c r="G3397" s="187"/>
      <c r="H3397" s="1"/>
      <c r="I3397" s="169">
        <f>Imput[[#This Row],[Cantidad]]*Imput[[#This Row],[Precio Unitario]]</f>
        <v>0</v>
      </c>
      <c r="J3397" s="11">
        <f>((Imput[[#This Row],[Sub total]])*(0.16))</f>
        <v>0</v>
      </c>
      <c r="K3397" s="11">
        <v>0</v>
      </c>
      <c r="L3397" s="169">
        <f>Imput[[#This Row],[Sub total]]+Imput[[#This Row],[IVA]]-Imput[[#This Row],[Retención / IEPS / Descuento]]</f>
        <v>0</v>
      </c>
      <c r="M3397" s="844">
        <v>0</v>
      </c>
      <c r="N3397" s="189"/>
      <c r="O3397" s="1"/>
      <c r="P3397" s="189"/>
      <c r="Q3397" s="190"/>
      <c r="R3397" s="188"/>
      <c r="S3397" s="193"/>
      <c r="T3397" s="192"/>
      <c r="U3397" s="829"/>
      <c r="V3397" s="10"/>
      <c r="W3397" s="10"/>
      <c r="X3397" s="10"/>
      <c r="Y3397" s="10"/>
      <c r="Z3397" s="10"/>
      <c r="AA3397" s="11"/>
      <c r="AB3397" s="11"/>
    </row>
    <row r="3398" spans="2:28" x14ac:dyDescent="0.3">
      <c r="B3398" s="10"/>
      <c r="C3398" s="315"/>
      <c r="D3398" s="868"/>
      <c r="E3398" s="837" t="str">
        <f>IFERROR(IF(_xlfn.XLOOKUP(Imput[[#This Row],[RFC]],'Alta Proveedor'!D:D,'Alta Proveedor'!E:E)=0,"",_xlfn.XLOOKUP(Imput[[#This Row],[RFC]],'Alta Proveedor'!D:D,'Alta Proveedor'!E:E)),"")</f>
        <v/>
      </c>
      <c r="F3398" s="832"/>
      <c r="G3398" s="187"/>
      <c r="H3398" s="1"/>
      <c r="I3398" s="169">
        <f>Imput[[#This Row],[Cantidad]]*Imput[[#This Row],[Precio Unitario]]</f>
        <v>0</v>
      </c>
      <c r="J3398" s="11">
        <f>((Imput[[#This Row],[Sub total]])*(0.16))</f>
        <v>0</v>
      </c>
      <c r="K3398" s="11">
        <v>0</v>
      </c>
      <c r="L3398" s="169">
        <f>Imput[[#This Row],[Sub total]]+Imput[[#This Row],[IVA]]-Imput[[#This Row],[Retención / IEPS / Descuento]]</f>
        <v>0</v>
      </c>
      <c r="M3398" s="844">
        <v>0</v>
      </c>
      <c r="N3398" s="189"/>
      <c r="O3398" s="1"/>
      <c r="P3398" s="189"/>
      <c r="Q3398" s="190"/>
      <c r="R3398" s="188"/>
      <c r="S3398" s="193"/>
      <c r="T3398" s="192"/>
      <c r="U3398" s="829"/>
      <c r="V3398" s="10"/>
      <c r="W3398" s="10"/>
      <c r="X3398" s="10"/>
      <c r="Y3398" s="10"/>
      <c r="Z3398" s="10"/>
      <c r="AA3398" s="11"/>
      <c r="AB3398" s="11"/>
    </row>
    <row r="3399" spans="2:28" x14ac:dyDescent="0.3">
      <c r="B3399" s="10"/>
      <c r="C3399" s="315"/>
      <c r="D3399" s="868"/>
      <c r="E3399" s="837" t="str">
        <f>IFERROR(IF(_xlfn.XLOOKUP(Imput[[#This Row],[RFC]],'Alta Proveedor'!D:D,'Alta Proveedor'!E:E)=0,"",_xlfn.XLOOKUP(Imput[[#This Row],[RFC]],'Alta Proveedor'!D:D,'Alta Proveedor'!E:E)),"")</f>
        <v/>
      </c>
      <c r="F3399" s="832"/>
      <c r="G3399" s="187"/>
      <c r="H3399" s="1"/>
      <c r="I3399" s="169">
        <f>Imput[[#This Row],[Cantidad]]*Imput[[#This Row],[Precio Unitario]]</f>
        <v>0</v>
      </c>
      <c r="J3399" s="11">
        <f>((Imput[[#This Row],[Sub total]])*(0.16))</f>
        <v>0</v>
      </c>
      <c r="K3399" s="11">
        <v>0</v>
      </c>
      <c r="L3399" s="169">
        <f>Imput[[#This Row],[Sub total]]+Imput[[#This Row],[IVA]]-Imput[[#This Row],[Retención / IEPS / Descuento]]</f>
        <v>0</v>
      </c>
      <c r="M3399" s="844">
        <v>0</v>
      </c>
      <c r="N3399" s="189"/>
      <c r="O3399" s="1"/>
      <c r="P3399" s="189"/>
      <c r="Q3399" s="190"/>
      <c r="R3399" s="188"/>
      <c r="S3399" s="193"/>
      <c r="T3399" s="192"/>
      <c r="U3399" s="829"/>
      <c r="V3399" s="10"/>
      <c r="W3399" s="10"/>
      <c r="X3399" s="10"/>
      <c r="Y3399" s="10"/>
      <c r="Z3399" s="10"/>
      <c r="AA3399" s="11"/>
      <c r="AB3399" s="11"/>
    </row>
    <row r="3400" spans="2:28" x14ac:dyDescent="0.3">
      <c r="B3400" s="10"/>
      <c r="C3400" s="315"/>
      <c r="D3400" s="868"/>
      <c r="E3400" s="837" t="str">
        <f>IFERROR(IF(_xlfn.XLOOKUP(Imput[[#This Row],[RFC]],'Alta Proveedor'!D:D,'Alta Proveedor'!E:E)=0,"",_xlfn.XLOOKUP(Imput[[#This Row],[RFC]],'Alta Proveedor'!D:D,'Alta Proveedor'!E:E)),"")</f>
        <v/>
      </c>
      <c r="F3400" s="832"/>
      <c r="G3400" s="187"/>
      <c r="H3400" s="1"/>
      <c r="I3400" s="169">
        <f>Imput[[#This Row],[Cantidad]]*Imput[[#This Row],[Precio Unitario]]</f>
        <v>0</v>
      </c>
      <c r="J3400" s="11">
        <f>((Imput[[#This Row],[Sub total]])*(0.16))</f>
        <v>0</v>
      </c>
      <c r="K3400" s="11">
        <v>0</v>
      </c>
      <c r="L3400" s="169">
        <f>Imput[[#This Row],[Sub total]]+Imput[[#This Row],[IVA]]-Imput[[#This Row],[Retención / IEPS / Descuento]]</f>
        <v>0</v>
      </c>
      <c r="M3400" s="844">
        <v>0</v>
      </c>
      <c r="N3400" s="189"/>
      <c r="O3400" s="1"/>
      <c r="P3400" s="189"/>
      <c r="Q3400" s="190"/>
      <c r="R3400" s="188"/>
      <c r="S3400" s="193"/>
      <c r="T3400" s="192"/>
      <c r="U3400" s="829"/>
      <c r="V3400" s="10"/>
      <c r="W3400" s="10"/>
      <c r="X3400" s="10"/>
      <c r="Y3400" s="10"/>
      <c r="Z3400" s="10"/>
      <c r="AA3400" s="11"/>
      <c r="AB3400" s="11"/>
    </row>
    <row r="3401" spans="2:28" x14ac:dyDescent="0.3">
      <c r="B3401" s="10"/>
      <c r="C3401" s="315"/>
      <c r="D3401" s="868"/>
      <c r="E3401" s="837" t="str">
        <f>IFERROR(IF(_xlfn.XLOOKUP(Imput[[#This Row],[RFC]],'Alta Proveedor'!D:D,'Alta Proveedor'!E:E)=0,"",_xlfn.XLOOKUP(Imput[[#This Row],[RFC]],'Alta Proveedor'!D:D,'Alta Proveedor'!E:E)),"")</f>
        <v/>
      </c>
      <c r="F3401" s="832"/>
      <c r="G3401" s="187"/>
      <c r="H3401" s="1"/>
      <c r="I3401" s="169">
        <f>Imput[[#This Row],[Cantidad]]*Imput[[#This Row],[Precio Unitario]]</f>
        <v>0</v>
      </c>
      <c r="J3401" s="11">
        <f>((Imput[[#This Row],[Sub total]])*(0.16))</f>
        <v>0</v>
      </c>
      <c r="K3401" s="11">
        <v>0</v>
      </c>
      <c r="L3401" s="169">
        <f>Imput[[#This Row],[Sub total]]+Imput[[#This Row],[IVA]]-Imput[[#This Row],[Retención / IEPS / Descuento]]</f>
        <v>0</v>
      </c>
      <c r="M3401" s="844">
        <v>0</v>
      </c>
      <c r="N3401" s="189"/>
      <c r="O3401" s="1"/>
      <c r="P3401" s="189"/>
      <c r="Q3401" s="190"/>
      <c r="R3401" s="188"/>
      <c r="S3401" s="193"/>
      <c r="T3401" s="192"/>
      <c r="U3401" s="829"/>
      <c r="V3401" s="10"/>
      <c r="W3401" s="10"/>
      <c r="X3401" s="10"/>
      <c r="Y3401" s="10"/>
      <c r="Z3401" s="10"/>
      <c r="AA3401" s="11"/>
      <c r="AB3401" s="11"/>
    </row>
    <row r="3402" spans="2:28" x14ac:dyDescent="0.3">
      <c r="B3402" s="10"/>
      <c r="C3402" s="315"/>
      <c r="D3402" s="868"/>
      <c r="E3402" s="837" t="str">
        <f>IFERROR(IF(_xlfn.XLOOKUP(Imput[[#This Row],[RFC]],'Alta Proveedor'!D:D,'Alta Proveedor'!E:E)=0,"",_xlfn.XLOOKUP(Imput[[#This Row],[RFC]],'Alta Proveedor'!D:D,'Alta Proveedor'!E:E)),"")</f>
        <v/>
      </c>
      <c r="F3402" s="832"/>
      <c r="G3402" s="187"/>
      <c r="H3402" s="1"/>
      <c r="I3402" s="169">
        <f>Imput[[#This Row],[Cantidad]]*Imput[[#This Row],[Precio Unitario]]</f>
        <v>0</v>
      </c>
      <c r="J3402" s="11">
        <f>((Imput[[#This Row],[Sub total]])*(0.16))</f>
        <v>0</v>
      </c>
      <c r="K3402" s="11">
        <v>0</v>
      </c>
      <c r="L3402" s="169">
        <f>Imput[[#This Row],[Sub total]]+Imput[[#This Row],[IVA]]-Imput[[#This Row],[Retención / IEPS / Descuento]]</f>
        <v>0</v>
      </c>
      <c r="M3402" s="844">
        <v>0</v>
      </c>
      <c r="N3402" s="189"/>
      <c r="O3402" s="1"/>
      <c r="P3402" s="189"/>
      <c r="Q3402" s="190"/>
      <c r="R3402" s="188"/>
      <c r="S3402" s="193"/>
      <c r="T3402" s="192"/>
      <c r="U3402" s="829"/>
      <c r="V3402" s="10"/>
      <c r="W3402" s="10"/>
      <c r="X3402" s="10"/>
      <c r="Y3402" s="10"/>
      <c r="Z3402" s="10"/>
      <c r="AA3402" s="11"/>
      <c r="AB3402" s="11"/>
    </row>
    <row r="3403" spans="2:28" x14ac:dyDescent="0.3">
      <c r="B3403" s="10"/>
      <c r="C3403" s="315"/>
      <c r="D3403" s="868"/>
      <c r="E3403" s="837" t="str">
        <f>IFERROR(IF(_xlfn.XLOOKUP(Imput[[#This Row],[RFC]],'Alta Proveedor'!D:D,'Alta Proveedor'!E:E)=0,"",_xlfn.XLOOKUP(Imput[[#This Row],[RFC]],'Alta Proveedor'!D:D,'Alta Proveedor'!E:E)),"")</f>
        <v/>
      </c>
      <c r="F3403" s="832"/>
      <c r="G3403" s="187"/>
      <c r="H3403" s="1"/>
      <c r="I3403" s="169">
        <f>Imput[[#This Row],[Cantidad]]*Imput[[#This Row],[Precio Unitario]]</f>
        <v>0</v>
      </c>
      <c r="J3403" s="11">
        <f>((Imput[[#This Row],[Sub total]])*(0.16))</f>
        <v>0</v>
      </c>
      <c r="K3403" s="11">
        <v>0</v>
      </c>
      <c r="L3403" s="169">
        <f>Imput[[#This Row],[Sub total]]+Imput[[#This Row],[IVA]]-Imput[[#This Row],[Retención / IEPS / Descuento]]</f>
        <v>0</v>
      </c>
      <c r="M3403" s="844">
        <v>0</v>
      </c>
      <c r="N3403" s="189"/>
      <c r="O3403" s="1"/>
      <c r="P3403" s="189"/>
      <c r="Q3403" s="190"/>
      <c r="R3403" s="188"/>
      <c r="S3403" s="193"/>
      <c r="T3403" s="192"/>
      <c r="U3403" s="829"/>
      <c r="V3403" s="10"/>
      <c r="W3403" s="10"/>
      <c r="X3403" s="10"/>
      <c r="Y3403" s="10"/>
      <c r="Z3403" s="10"/>
      <c r="AA3403" s="11"/>
      <c r="AB3403" s="11"/>
    </row>
    <row r="3404" spans="2:28" x14ac:dyDescent="0.3">
      <c r="B3404" s="10"/>
      <c r="C3404" s="315"/>
      <c r="D3404" s="868"/>
      <c r="E3404" s="837" t="str">
        <f>IFERROR(IF(_xlfn.XLOOKUP(Imput[[#This Row],[RFC]],'Alta Proveedor'!D:D,'Alta Proveedor'!E:E)=0,"",_xlfn.XLOOKUP(Imput[[#This Row],[RFC]],'Alta Proveedor'!D:D,'Alta Proveedor'!E:E)),"")</f>
        <v/>
      </c>
      <c r="F3404" s="832"/>
      <c r="G3404" s="187"/>
      <c r="H3404" s="1"/>
      <c r="I3404" s="169">
        <f>Imput[[#This Row],[Cantidad]]*Imput[[#This Row],[Precio Unitario]]</f>
        <v>0</v>
      </c>
      <c r="J3404" s="11">
        <f>((Imput[[#This Row],[Sub total]])*(0.16))</f>
        <v>0</v>
      </c>
      <c r="K3404" s="11">
        <v>0</v>
      </c>
      <c r="L3404" s="169">
        <f>Imput[[#This Row],[Sub total]]+Imput[[#This Row],[IVA]]-Imput[[#This Row],[Retención / IEPS / Descuento]]</f>
        <v>0</v>
      </c>
      <c r="M3404" s="844">
        <v>0</v>
      </c>
      <c r="N3404" s="189"/>
      <c r="O3404" s="1"/>
      <c r="P3404" s="189"/>
      <c r="Q3404" s="190"/>
      <c r="R3404" s="188"/>
      <c r="S3404" s="193"/>
      <c r="T3404" s="192"/>
      <c r="U3404" s="829"/>
      <c r="V3404" s="10"/>
      <c r="W3404" s="10"/>
      <c r="X3404" s="10"/>
      <c r="Y3404" s="10"/>
      <c r="Z3404" s="10"/>
      <c r="AA3404" s="11"/>
      <c r="AB3404" s="11"/>
    </row>
    <row r="3405" spans="2:28" x14ac:dyDescent="0.3">
      <c r="B3405" s="10"/>
      <c r="C3405" s="315"/>
      <c r="D3405" s="868"/>
      <c r="E3405" s="837" t="str">
        <f>IFERROR(IF(_xlfn.XLOOKUP(Imput[[#This Row],[RFC]],'Alta Proveedor'!D:D,'Alta Proveedor'!E:E)=0,"",_xlfn.XLOOKUP(Imput[[#This Row],[RFC]],'Alta Proveedor'!D:D,'Alta Proveedor'!E:E)),"")</f>
        <v/>
      </c>
      <c r="F3405" s="832"/>
      <c r="G3405" s="187"/>
      <c r="H3405" s="1"/>
      <c r="I3405" s="169">
        <f>Imput[[#This Row],[Cantidad]]*Imput[[#This Row],[Precio Unitario]]</f>
        <v>0</v>
      </c>
      <c r="J3405" s="11">
        <f>((Imput[[#This Row],[Sub total]])*(0.16))</f>
        <v>0</v>
      </c>
      <c r="K3405" s="11">
        <v>0</v>
      </c>
      <c r="L3405" s="169">
        <f>Imput[[#This Row],[Sub total]]+Imput[[#This Row],[IVA]]-Imput[[#This Row],[Retención / IEPS / Descuento]]</f>
        <v>0</v>
      </c>
      <c r="M3405" s="844">
        <v>0</v>
      </c>
      <c r="N3405" s="189"/>
      <c r="O3405" s="1"/>
      <c r="P3405" s="189"/>
      <c r="Q3405" s="190"/>
      <c r="R3405" s="188"/>
      <c r="S3405" s="193"/>
      <c r="T3405" s="192"/>
      <c r="U3405" s="829"/>
      <c r="V3405" s="10"/>
      <c r="W3405" s="10"/>
      <c r="X3405" s="10"/>
      <c r="Y3405" s="10"/>
      <c r="Z3405" s="10"/>
      <c r="AA3405" s="11"/>
      <c r="AB3405" s="11"/>
    </row>
    <row r="3406" spans="2:28" x14ac:dyDescent="0.3">
      <c r="B3406" s="10"/>
      <c r="C3406" s="315"/>
      <c r="D3406" s="868"/>
      <c r="E3406" s="837" t="str">
        <f>IFERROR(IF(_xlfn.XLOOKUP(Imput[[#This Row],[RFC]],'Alta Proveedor'!D:D,'Alta Proveedor'!E:E)=0,"",_xlfn.XLOOKUP(Imput[[#This Row],[RFC]],'Alta Proveedor'!D:D,'Alta Proveedor'!E:E)),"")</f>
        <v/>
      </c>
      <c r="F3406" s="832"/>
      <c r="G3406" s="187"/>
      <c r="H3406" s="1"/>
      <c r="I3406" s="169">
        <f>Imput[[#This Row],[Cantidad]]*Imput[[#This Row],[Precio Unitario]]</f>
        <v>0</v>
      </c>
      <c r="J3406" s="11">
        <f>((Imput[[#This Row],[Sub total]])*(0.16))</f>
        <v>0</v>
      </c>
      <c r="K3406" s="11">
        <v>0</v>
      </c>
      <c r="L3406" s="169">
        <f>Imput[[#This Row],[Sub total]]+Imput[[#This Row],[IVA]]-Imput[[#This Row],[Retención / IEPS / Descuento]]</f>
        <v>0</v>
      </c>
      <c r="M3406" s="844">
        <v>0</v>
      </c>
      <c r="N3406" s="189"/>
      <c r="O3406" s="1"/>
      <c r="P3406" s="189"/>
      <c r="Q3406" s="190"/>
      <c r="R3406" s="188"/>
      <c r="S3406" s="193"/>
      <c r="T3406" s="192"/>
      <c r="U3406" s="829"/>
      <c r="V3406" s="10"/>
      <c r="W3406" s="10"/>
      <c r="X3406" s="10"/>
      <c r="Y3406" s="10"/>
      <c r="Z3406" s="10"/>
      <c r="AA3406" s="11"/>
      <c r="AB3406" s="11"/>
    </row>
    <row r="3407" spans="2:28" x14ac:dyDescent="0.3">
      <c r="B3407" s="10"/>
      <c r="C3407" s="315"/>
      <c r="D3407" s="868"/>
      <c r="E3407" s="837" t="str">
        <f>IFERROR(IF(_xlfn.XLOOKUP(Imput[[#This Row],[RFC]],'Alta Proveedor'!D:D,'Alta Proveedor'!E:E)=0,"",_xlfn.XLOOKUP(Imput[[#This Row],[RFC]],'Alta Proveedor'!D:D,'Alta Proveedor'!E:E)),"")</f>
        <v/>
      </c>
      <c r="F3407" s="832"/>
      <c r="G3407" s="187"/>
      <c r="H3407" s="1"/>
      <c r="I3407" s="169">
        <f>Imput[[#This Row],[Cantidad]]*Imput[[#This Row],[Precio Unitario]]</f>
        <v>0</v>
      </c>
      <c r="J3407" s="11">
        <f>((Imput[[#This Row],[Sub total]])*(0.16))</f>
        <v>0</v>
      </c>
      <c r="K3407" s="11">
        <v>0</v>
      </c>
      <c r="L3407" s="169">
        <f>Imput[[#This Row],[Sub total]]+Imput[[#This Row],[IVA]]-Imput[[#This Row],[Retención / IEPS / Descuento]]</f>
        <v>0</v>
      </c>
      <c r="M3407" s="844">
        <v>0</v>
      </c>
      <c r="N3407" s="189"/>
      <c r="O3407" s="1"/>
      <c r="P3407" s="189"/>
      <c r="Q3407" s="190"/>
      <c r="R3407" s="188"/>
      <c r="S3407" s="193"/>
      <c r="T3407" s="192"/>
      <c r="U3407" s="829"/>
      <c r="V3407" s="10"/>
      <c r="W3407" s="10"/>
      <c r="X3407" s="10"/>
      <c r="Y3407" s="10"/>
      <c r="Z3407" s="10"/>
      <c r="AA3407" s="11"/>
      <c r="AB3407" s="11"/>
    </row>
    <row r="3408" spans="2:28" x14ac:dyDescent="0.3">
      <c r="B3408" s="10"/>
      <c r="C3408" s="315"/>
      <c r="D3408" s="868"/>
      <c r="E3408" s="837" t="str">
        <f>IFERROR(IF(_xlfn.XLOOKUP(Imput[[#This Row],[RFC]],'Alta Proveedor'!D:D,'Alta Proveedor'!E:E)=0,"",_xlfn.XLOOKUP(Imput[[#This Row],[RFC]],'Alta Proveedor'!D:D,'Alta Proveedor'!E:E)),"")</f>
        <v/>
      </c>
      <c r="F3408" s="832"/>
      <c r="G3408" s="187"/>
      <c r="H3408" s="1"/>
      <c r="I3408" s="169">
        <f>Imput[[#This Row],[Cantidad]]*Imput[[#This Row],[Precio Unitario]]</f>
        <v>0</v>
      </c>
      <c r="J3408" s="11">
        <f>((Imput[[#This Row],[Sub total]])*(0.16))</f>
        <v>0</v>
      </c>
      <c r="K3408" s="11">
        <v>0</v>
      </c>
      <c r="L3408" s="169">
        <f>Imput[[#This Row],[Sub total]]+Imput[[#This Row],[IVA]]-Imput[[#This Row],[Retención / IEPS / Descuento]]</f>
        <v>0</v>
      </c>
      <c r="M3408" s="844">
        <v>0</v>
      </c>
      <c r="N3408" s="189"/>
      <c r="O3408" s="1"/>
      <c r="P3408" s="189"/>
      <c r="Q3408" s="190"/>
      <c r="R3408" s="188"/>
      <c r="S3408" s="193"/>
      <c r="T3408" s="192"/>
      <c r="U3408" s="829"/>
      <c r="V3408" s="10"/>
      <c r="W3408" s="10"/>
      <c r="X3408" s="10"/>
      <c r="Y3408" s="10"/>
      <c r="Z3408" s="10"/>
      <c r="AA3408" s="11"/>
      <c r="AB3408" s="11"/>
    </row>
    <row r="3409" spans="2:28" x14ac:dyDescent="0.3">
      <c r="B3409" s="10"/>
      <c r="C3409" s="315"/>
      <c r="D3409" s="868"/>
      <c r="E3409" s="837" t="str">
        <f>IFERROR(IF(_xlfn.XLOOKUP(Imput[[#This Row],[RFC]],'Alta Proveedor'!D:D,'Alta Proveedor'!E:E)=0,"",_xlfn.XLOOKUP(Imput[[#This Row],[RFC]],'Alta Proveedor'!D:D,'Alta Proveedor'!E:E)),"")</f>
        <v/>
      </c>
      <c r="F3409" s="832"/>
      <c r="G3409" s="187"/>
      <c r="H3409" s="1"/>
      <c r="I3409" s="169">
        <f>Imput[[#This Row],[Cantidad]]*Imput[[#This Row],[Precio Unitario]]</f>
        <v>0</v>
      </c>
      <c r="J3409" s="11">
        <f>((Imput[[#This Row],[Sub total]])*(0.16))</f>
        <v>0</v>
      </c>
      <c r="K3409" s="11">
        <v>0</v>
      </c>
      <c r="L3409" s="169">
        <f>Imput[[#This Row],[Sub total]]+Imput[[#This Row],[IVA]]-Imput[[#This Row],[Retención / IEPS / Descuento]]</f>
        <v>0</v>
      </c>
      <c r="M3409" s="844">
        <v>0</v>
      </c>
      <c r="N3409" s="189"/>
      <c r="O3409" s="1"/>
      <c r="P3409" s="189"/>
      <c r="Q3409" s="190"/>
      <c r="R3409" s="188"/>
      <c r="S3409" s="193"/>
      <c r="T3409" s="192"/>
      <c r="U3409" s="829"/>
      <c r="V3409" s="10"/>
      <c r="W3409" s="10"/>
      <c r="X3409" s="10"/>
      <c r="Y3409" s="10"/>
      <c r="Z3409" s="10"/>
      <c r="AA3409" s="11"/>
      <c r="AB3409" s="11"/>
    </row>
    <row r="3410" spans="2:28" x14ac:dyDescent="0.3">
      <c r="B3410" s="10"/>
      <c r="C3410" s="315"/>
      <c r="D3410" s="868"/>
      <c r="E3410" s="837" t="str">
        <f>IFERROR(IF(_xlfn.XLOOKUP(Imput[[#This Row],[RFC]],'Alta Proveedor'!D:D,'Alta Proveedor'!E:E)=0,"",_xlfn.XLOOKUP(Imput[[#This Row],[RFC]],'Alta Proveedor'!D:D,'Alta Proveedor'!E:E)),"")</f>
        <v/>
      </c>
      <c r="F3410" s="832"/>
      <c r="G3410" s="187"/>
      <c r="H3410" s="1"/>
      <c r="I3410" s="169">
        <f>Imput[[#This Row],[Cantidad]]*Imput[[#This Row],[Precio Unitario]]</f>
        <v>0</v>
      </c>
      <c r="J3410" s="11">
        <f>((Imput[[#This Row],[Sub total]])*(0.16))</f>
        <v>0</v>
      </c>
      <c r="K3410" s="11">
        <v>0</v>
      </c>
      <c r="L3410" s="169">
        <f>Imput[[#This Row],[Sub total]]+Imput[[#This Row],[IVA]]-Imput[[#This Row],[Retención / IEPS / Descuento]]</f>
        <v>0</v>
      </c>
      <c r="M3410" s="844">
        <v>0</v>
      </c>
      <c r="N3410" s="189"/>
      <c r="O3410" s="1"/>
      <c r="P3410" s="189"/>
      <c r="Q3410" s="190"/>
      <c r="R3410" s="188"/>
      <c r="S3410" s="193"/>
      <c r="T3410" s="192"/>
      <c r="U3410" s="829"/>
      <c r="V3410" s="10"/>
      <c r="W3410" s="10"/>
      <c r="X3410" s="10"/>
      <c r="Y3410" s="10"/>
      <c r="Z3410" s="10"/>
      <c r="AA3410" s="11"/>
      <c r="AB3410" s="11"/>
    </row>
    <row r="3411" spans="2:28" x14ac:dyDescent="0.3">
      <c r="B3411" s="10"/>
      <c r="C3411" s="315"/>
      <c r="D3411" s="868"/>
      <c r="E3411" s="837" t="str">
        <f>IFERROR(IF(_xlfn.XLOOKUP(Imput[[#This Row],[RFC]],'Alta Proveedor'!D:D,'Alta Proveedor'!E:E)=0,"",_xlfn.XLOOKUP(Imput[[#This Row],[RFC]],'Alta Proveedor'!D:D,'Alta Proveedor'!E:E)),"")</f>
        <v/>
      </c>
      <c r="F3411" s="832"/>
      <c r="G3411" s="187"/>
      <c r="H3411" s="1"/>
      <c r="I3411" s="169">
        <f>Imput[[#This Row],[Cantidad]]*Imput[[#This Row],[Precio Unitario]]</f>
        <v>0</v>
      </c>
      <c r="J3411" s="11">
        <f>((Imput[[#This Row],[Sub total]])*(0.16))</f>
        <v>0</v>
      </c>
      <c r="K3411" s="11">
        <v>0</v>
      </c>
      <c r="L3411" s="169">
        <f>Imput[[#This Row],[Sub total]]+Imput[[#This Row],[IVA]]-Imput[[#This Row],[Retención / IEPS / Descuento]]</f>
        <v>0</v>
      </c>
      <c r="M3411" s="844">
        <v>0</v>
      </c>
      <c r="N3411" s="189"/>
      <c r="O3411" s="1"/>
      <c r="P3411" s="189"/>
      <c r="Q3411" s="190"/>
      <c r="R3411" s="188"/>
      <c r="S3411" s="193"/>
      <c r="T3411" s="192"/>
      <c r="U3411" s="829"/>
      <c r="V3411" s="10"/>
      <c r="W3411" s="10"/>
      <c r="X3411" s="10"/>
      <c r="Y3411" s="10"/>
      <c r="Z3411" s="10"/>
      <c r="AA3411" s="11"/>
      <c r="AB3411" s="11"/>
    </row>
    <row r="3412" spans="2:28" x14ac:dyDescent="0.3">
      <c r="B3412" s="10"/>
      <c r="C3412" s="315"/>
      <c r="D3412" s="868"/>
      <c r="E3412" s="837" t="str">
        <f>IFERROR(IF(_xlfn.XLOOKUP(Imput[[#This Row],[RFC]],'Alta Proveedor'!D:D,'Alta Proveedor'!E:E)=0,"",_xlfn.XLOOKUP(Imput[[#This Row],[RFC]],'Alta Proveedor'!D:D,'Alta Proveedor'!E:E)),"")</f>
        <v/>
      </c>
      <c r="F3412" s="832"/>
      <c r="G3412" s="187"/>
      <c r="H3412" s="1"/>
      <c r="I3412" s="169">
        <f>Imput[[#This Row],[Cantidad]]*Imput[[#This Row],[Precio Unitario]]</f>
        <v>0</v>
      </c>
      <c r="J3412" s="11">
        <f>((Imput[[#This Row],[Sub total]])*(0.16))</f>
        <v>0</v>
      </c>
      <c r="K3412" s="11">
        <v>0</v>
      </c>
      <c r="L3412" s="169">
        <f>Imput[[#This Row],[Sub total]]+Imput[[#This Row],[IVA]]-Imput[[#This Row],[Retención / IEPS / Descuento]]</f>
        <v>0</v>
      </c>
      <c r="M3412" s="844">
        <v>0</v>
      </c>
      <c r="N3412" s="189"/>
      <c r="O3412" s="1"/>
      <c r="P3412" s="189"/>
      <c r="Q3412" s="190"/>
      <c r="R3412" s="188"/>
      <c r="S3412" s="193"/>
      <c r="T3412" s="192"/>
      <c r="U3412" s="829"/>
      <c r="V3412" s="10"/>
      <c r="W3412" s="10"/>
      <c r="X3412" s="10"/>
      <c r="Y3412" s="10"/>
      <c r="Z3412" s="10"/>
      <c r="AA3412" s="11"/>
      <c r="AB3412" s="11"/>
    </row>
    <row r="3413" spans="2:28" x14ac:dyDescent="0.3">
      <c r="B3413" s="10"/>
      <c r="C3413" s="315"/>
      <c r="D3413" s="868"/>
      <c r="E3413" s="837" t="str">
        <f>IFERROR(IF(_xlfn.XLOOKUP(Imput[[#This Row],[RFC]],'Alta Proveedor'!D:D,'Alta Proveedor'!E:E)=0,"",_xlfn.XLOOKUP(Imput[[#This Row],[RFC]],'Alta Proveedor'!D:D,'Alta Proveedor'!E:E)),"")</f>
        <v/>
      </c>
      <c r="F3413" s="832"/>
      <c r="G3413" s="187"/>
      <c r="H3413" s="1"/>
      <c r="I3413" s="169">
        <f>Imput[[#This Row],[Cantidad]]*Imput[[#This Row],[Precio Unitario]]</f>
        <v>0</v>
      </c>
      <c r="J3413" s="11">
        <f>((Imput[[#This Row],[Sub total]])*(0.16))</f>
        <v>0</v>
      </c>
      <c r="K3413" s="11">
        <v>0</v>
      </c>
      <c r="L3413" s="169">
        <f>Imput[[#This Row],[Sub total]]+Imput[[#This Row],[IVA]]-Imput[[#This Row],[Retención / IEPS / Descuento]]</f>
        <v>0</v>
      </c>
      <c r="M3413" s="844">
        <v>0</v>
      </c>
      <c r="N3413" s="189"/>
      <c r="O3413" s="1"/>
      <c r="P3413" s="189"/>
      <c r="Q3413" s="190"/>
      <c r="R3413" s="188"/>
      <c r="S3413" s="193"/>
      <c r="T3413" s="192"/>
      <c r="U3413" s="829"/>
      <c r="V3413" s="10"/>
      <c r="W3413" s="10"/>
      <c r="X3413" s="10"/>
      <c r="Y3413" s="10"/>
      <c r="Z3413" s="10"/>
      <c r="AA3413" s="11"/>
      <c r="AB3413" s="11"/>
    </row>
    <row r="3414" spans="2:28" x14ac:dyDescent="0.3">
      <c r="B3414" s="10"/>
      <c r="C3414" s="315"/>
      <c r="D3414" s="868"/>
      <c r="E3414" s="837" t="str">
        <f>IFERROR(IF(_xlfn.XLOOKUP(Imput[[#This Row],[RFC]],'Alta Proveedor'!D:D,'Alta Proveedor'!E:E)=0,"",_xlfn.XLOOKUP(Imput[[#This Row],[RFC]],'Alta Proveedor'!D:D,'Alta Proveedor'!E:E)),"")</f>
        <v/>
      </c>
      <c r="F3414" s="832"/>
      <c r="G3414" s="187"/>
      <c r="H3414" s="1"/>
      <c r="I3414" s="169">
        <f>Imput[[#This Row],[Cantidad]]*Imput[[#This Row],[Precio Unitario]]</f>
        <v>0</v>
      </c>
      <c r="J3414" s="11">
        <f>((Imput[[#This Row],[Sub total]])*(0.16))</f>
        <v>0</v>
      </c>
      <c r="K3414" s="11">
        <v>0</v>
      </c>
      <c r="L3414" s="169">
        <f>Imput[[#This Row],[Sub total]]+Imput[[#This Row],[IVA]]-Imput[[#This Row],[Retención / IEPS / Descuento]]</f>
        <v>0</v>
      </c>
      <c r="M3414" s="844">
        <v>0</v>
      </c>
      <c r="N3414" s="189"/>
      <c r="O3414" s="1"/>
      <c r="P3414" s="189"/>
      <c r="Q3414" s="190"/>
      <c r="R3414" s="188"/>
      <c r="S3414" s="193"/>
      <c r="T3414" s="192"/>
      <c r="U3414" s="829"/>
      <c r="V3414" s="10"/>
      <c r="W3414" s="10"/>
      <c r="X3414" s="10"/>
      <c r="Y3414" s="10"/>
      <c r="Z3414" s="10"/>
      <c r="AA3414" s="11"/>
      <c r="AB3414" s="11"/>
    </row>
    <row r="3415" spans="2:28" x14ac:dyDescent="0.3">
      <c r="B3415" s="10"/>
      <c r="C3415" s="315"/>
      <c r="D3415" s="868"/>
      <c r="E3415" s="837" t="str">
        <f>IFERROR(IF(_xlfn.XLOOKUP(Imput[[#This Row],[RFC]],'Alta Proveedor'!D:D,'Alta Proveedor'!E:E)=0,"",_xlfn.XLOOKUP(Imput[[#This Row],[RFC]],'Alta Proveedor'!D:D,'Alta Proveedor'!E:E)),"")</f>
        <v/>
      </c>
      <c r="F3415" s="832"/>
      <c r="G3415" s="187"/>
      <c r="H3415" s="1"/>
      <c r="I3415" s="169">
        <f>Imput[[#This Row],[Cantidad]]*Imput[[#This Row],[Precio Unitario]]</f>
        <v>0</v>
      </c>
      <c r="J3415" s="11">
        <f>((Imput[[#This Row],[Sub total]])*(0.16))</f>
        <v>0</v>
      </c>
      <c r="K3415" s="11">
        <v>0</v>
      </c>
      <c r="L3415" s="169">
        <f>Imput[[#This Row],[Sub total]]+Imput[[#This Row],[IVA]]-Imput[[#This Row],[Retención / IEPS / Descuento]]</f>
        <v>0</v>
      </c>
      <c r="M3415" s="844">
        <v>0</v>
      </c>
      <c r="N3415" s="189"/>
      <c r="O3415" s="1"/>
      <c r="P3415" s="189"/>
      <c r="Q3415" s="190"/>
      <c r="R3415" s="188"/>
      <c r="S3415" s="193"/>
      <c r="T3415" s="192"/>
      <c r="U3415" s="829"/>
      <c r="V3415" s="10"/>
      <c r="W3415" s="10"/>
      <c r="X3415" s="10"/>
      <c r="Y3415" s="10"/>
      <c r="Z3415" s="10"/>
      <c r="AA3415" s="11"/>
      <c r="AB3415" s="11"/>
    </row>
    <row r="3416" spans="2:28" x14ac:dyDescent="0.3">
      <c r="B3416" s="10"/>
      <c r="C3416" s="315"/>
      <c r="D3416" s="868"/>
      <c r="E3416" s="837" t="str">
        <f>IFERROR(IF(_xlfn.XLOOKUP(Imput[[#This Row],[RFC]],'Alta Proveedor'!D:D,'Alta Proveedor'!E:E)=0,"",_xlfn.XLOOKUP(Imput[[#This Row],[RFC]],'Alta Proveedor'!D:D,'Alta Proveedor'!E:E)),"")</f>
        <v/>
      </c>
      <c r="F3416" s="832"/>
      <c r="G3416" s="187"/>
      <c r="H3416" s="1"/>
      <c r="I3416" s="169">
        <f>Imput[[#This Row],[Cantidad]]*Imput[[#This Row],[Precio Unitario]]</f>
        <v>0</v>
      </c>
      <c r="J3416" s="11">
        <f>((Imput[[#This Row],[Sub total]])*(0.16))</f>
        <v>0</v>
      </c>
      <c r="K3416" s="11">
        <v>0</v>
      </c>
      <c r="L3416" s="169">
        <f>Imput[[#This Row],[Sub total]]+Imput[[#This Row],[IVA]]-Imput[[#This Row],[Retención / IEPS / Descuento]]</f>
        <v>0</v>
      </c>
      <c r="M3416" s="844">
        <v>0</v>
      </c>
      <c r="N3416" s="189"/>
      <c r="O3416" s="1"/>
      <c r="P3416" s="189"/>
      <c r="Q3416" s="190"/>
      <c r="R3416" s="188"/>
      <c r="S3416" s="193"/>
      <c r="T3416" s="192"/>
      <c r="U3416" s="829"/>
      <c r="V3416" s="10"/>
      <c r="W3416" s="10"/>
      <c r="X3416" s="10"/>
      <c r="Y3416" s="10"/>
      <c r="Z3416" s="10"/>
      <c r="AA3416" s="11"/>
      <c r="AB3416" s="11"/>
    </row>
    <row r="3417" spans="2:28" x14ac:dyDescent="0.3">
      <c r="B3417" s="10"/>
      <c r="C3417" s="315"/>
      <c r="D3417" s="868"/>
      <c r="E3417" s="837" t="str">
        <f>IFERROR(IF(_xlfn.XLOOKUP(Imput[[#This Row],[RFC]],'Alta Proveedor'!D:D,'Alta Proveedor'!E:E)=0,"",_xlfn.XLOOKUP(Imput[[#This Row],[RFC]],'Alta Proveedor'!D:D,'Alta Proveedor'!E:E)),"")</f>
        <v/>
      </c>
      <c r="F3417" s="832"/>
      <c r="G3417" s="187"/>
      <c r="H3417" s="1"/>
      <c r="I3417" s="169">
        <f>Imput[[#This Row],[Cantidad]]*Imput[[#This Row],[Precio Unitario]]</f>
        <v>0</v>
      </c>
      <c r="J3417" s="11">
        <f>((Imput[[#This Row],[Sub total]])*(0.16))</f>
        <v>0</v>
      </c>
      <c r="K3417" s="11">
        <v>0</v>
      </c>
      <c r="L3417" s="169">
        <f>Imput[[#This Row],[Sub total]]+Imput[[#This Row],[IVA]]-Imput[[#This Row],[Retención / IEPS / Descuento]]</f>
        <v>0</v>
      </c>
      <c r="M3417" s="844">
        <v>0</v>
      </c>
      <c r="N3417" s="189"/>
      <c r="O3417" s="1"/>
      <c r="P3417" s="189"/>
      <c r="Q3417" s="190"/>
      <c r="R3417" s="188"/>
      <c r="S3417" s="193"/>
      <c r="T3417" s="192"/>
      <c r="U3417" s="829"/>
      <c r="V3417" s="10"/>
      <c r="W3417" s="10"/>
      <c r="X3417" s="10"/>
      <c r="Y3417" s="10"/>
      <c r="Z3417" s="10"/>
      <c r="AA3417" s="11"/>
      <c r="AB3417" s="11"/>
    </row>
    <row r="3418" spans="2:28" x14ac:dyDescent="0.3">
      <c r="B3418" s="10"/>
      <c r="C3418" s="315"/>
      <c r="D3418" s="868"/>
      <c r="E3418" s="837" t="str">
        <f>IFERROR(IF(_xlfn.XLOOKUP(Imput[[#This Row],[RFC]],'Alta Proveedor'!D:D,'Alta Proveedor'!E:E)=0,"",_xlfn.XLOOKUP(Imput[[#This Row],[RFC]],'Alta Proveedor'!D:D,'Alta Proveedor'!E:E)),"")</f>
        <v/>
      </c>
      <c r="F3418" s="832"/>
      <c r="G3418" s="187"/>
      <c r="H3418" s="1"/>
      <c r="I3418" s="169">
        <f>Imput[[#This Row],[Cantidad]]*Imput[[#This Row],[Precio Unitario]]</f>
        <v>0</v>
      </c>
      <c r="J3418" s="11">
        <f>((Imput[[#This Row],[Sub total]])*(0.16))</f>
        <v>0</v>
      </c>
      <c r="K3418" s="11">
        <v>0</v>
      </c>
      <c r="L3418" s="169">
        <f>Imput[[#This Row],[Sub total]]+Imput[[#This Row],[IVA]]-Imput[[#This Row],[Retención / IEPS / Descuento]]</f>
        <v>0</v>
      </c>
      <c r="M3418" s="844">
        <v>0</v>
      </c>
      <c r="N3418" s="189"/>
      <c r="O3418" s="1"/>
      <c r="P3418" s="189"/>
      <c r="Q3418" s="190"/>
      <c r="R3418" s="188"/>
      <c r="S3418" s="193"/>
      <c r="T3418" s="192"/>
      <c r="U3418" s="829"/>
      <c r="V3418" s="10"/>
      <c r="W3418" s="10"/>
      <c r="X3418" s="10"/>
      <c r="Y3418" s="10"/>
      <c r="Z3418" s="10"/>
      <c r="AA3418" s="11"/>
      <c r="AB3418" s="11"/>
    </row>
    <row r="3419" spans="2:28" x14ac:dyDescent="0.3">
      <c r="B3419" s="10"/>
      <c r="C3419" s="315"/>
      <c r="D3419" s="868"/>
      <c r="E3419" s="837" t="str">
        <f>IFERROR(IF(_xlfn.XLOOKUP(Imput[[#This Row],[RFC]],'Alta Proveedor'!D:D,'Alta Proveedor'!E:E)=0,"",_xlfn.XLOOKUP(Imput[[#This Row],[RFC]],'Alta Proveedor'!D:D,'Alta Proveedor'!E:E)),"")</f>
        <v/>
      </c>
      <c r="F3419" s="832"/>
      <c r="G3419" s="187"/>
      <c r="H3419" s="1"/>
      <c r="I3419" s="169">
        <f>Imput[[#This Row],[Cantidad]]*Imput[[#This Row],[Precio Unitario]]</f>
        <v>0</v>
      </c>
      <c r="J3419" s="11">
        <f>((Imput[[#This Row],[Sub total]])*(0.16))</f>
        <v>0</v>
      </c>
      <c r="K3419" s="11">
        <v>0</v>
      </c>
      <c r="L3419" s="169">
        <f>Imput[[#This Row],[Sub total]]+Imput[[#This Row],[IVA]]-Imput[[#This Row],[Retención / IEPS / Descuento]]</f>
        <v>0</v>
      </c>
      <c r="M3419" s="844">
        <v>0</v>
      </c>
      <c r="N3419" s="189"/>
      <c r="O3419" s="1"/>
      <c r="P3419" s="189"/>
      <c r="Q3419" s="190"/>
      <c r="R3419" s="188"/>
      <c r="S3419" s="193"/>
      <c r="T3419" s="192"/>
      <c r="U3419" s="829"/>
      <c r="V3419" s="10"/>
      <c r="W3419" s="10"/>
      <c r="X3419" s="10"/>
      <c r="Y3419" s="10"/>
      <c r="Z3419" s="10"/>
      <c r="AA3419" s="11"/>
      <c r="AB3419" s="11"/>
    </row>
    <row r="3420" spans="2:28" x14ac:dyDescent="0.3">
      <c r="B3420" s="10"/>
      <c r="C3420" s="315"/>
      <c r="D3420" s="868"/>
      <c r="E3420" s="837" t="str">
        <f>IFERROR(IF(_xlfn.XLOOKUP(Imput[[#This Row],[RFC]],'Alta Proveedor'!D:D,'Alta Proveedor'!E:E)=0,"",_xlfn.XLOOKUP(Imput[[#This Row],[RFC]],'Alta Proveedor'!D:D,'Alta Proveedor'!E:E)),"")</f>
        <v/>
      </c>
      <c r="F3420" s="832"/>
      <c r="G3420" s="187"/>
      <c r="H3420" s="1"/>
      <c r="I3420" s="169">
        <f>Imput[[#This Row],[Cantidad]]*Imput[[#This Row],[Precio Unitario]]</f>
        <v>0</v>
      </c>
      <c r="J3420" s="11">
        <f>((Imput[[#This Row],[Sub total]])*(0.16))</f>
        <v>0</v>
      </c>
      <c r="K3420" s="11">
        <v>0</v>
      </c>
      <c r="L3420" s="169">
        <f>Imput[[#This Row],[Sub total]]+Imput[[#This Row],[IVA]]-Imput[[#This Row],[Retención / IEPS / Descuento]]</f>
        <v>0</v>
      </c>
      <c r="M3420" s="844">
        <v>0</v>
      </c>
      <c r="N3420" s="189"/>
      <c r="O3420" s="1"/>
      <c r="P3420" s="189"/>
      <c r="Q3420" s="190"/>
      <c r="R3420" s="188"/>
      <c r="S3420" s="193"/>
      <c r="T3420" s="192"/>
      <c r="U3420" s="829"/>
      <c r="V3420" s="10"/>
      <c r="W3420" s="10"/>
      <c r="X3420" s="10"/>
      <c r="Y3420" s="10"/>
      <c r="Z3420" s="10"/>
      <c r="AA3420" s="11"/>
      <c r="AB3420" s="11"/>
    </row>
    <row r="3421" spans="2:28" x14ac:dyDescent="0.3">
      <c r="B3421" s="10"/>
      <c r="C3421" s="315"/>
      <c r="D3421" s="868"/>
      <c r="E3421" s="837" t="str">
        <f>IFERROR(IF(_xlfn.XLOOKUP(Imput[[#This Row],[RFC]],'Alta Proveedor'!D:D,'Alta Proveedor'!E:E)=0,"",_xlfn.XLOOKUP(Imput[[#This Row],[RFC]],'Alta Proveedor'!D:D,'Alta Proveedor'!E:E)),"")</f>
        <v/>
      </c>
      <c r="F3421" s="832"/>
      <c r="G3421" s="187"/>
      <c r="H3421" s="1"/>
      <c r="I3421" s="169">
        <f>Imput[[#This Row],[Cantidad]]*Imput[[#This Row],[Precio Unitario]]</f>
        <v>0</v>
      </c>
      <c r="J3421" s="11">
        <f>((Imput[[#This Row],[Sub total]])*(0.16))</f>
        <v>0</v>
      </c>
      <c r="K3421" s="11">
        <v>0</v>
      </c>
      <c r="L3421" s="169">
        <f>Imput[[#This Row],[Sub total]]+Imput[[#This Row],[IVA]]-Imput[[#This Row],[Retención / IEPS / Descuento]]</f>
        <v>0</v>
      </c>
      <c r="M3421" s="844">
        <v>0</v>
      </c>
      <c r="N3421" s="189"/>
      <c r="O3421" s="1"/>
      <c r="P3421" s="189"/>
      <c r="Q3421" s="190"/>
      <c r="R3421" s="188"/>
      <c r="S3421" s="193"/>
      <c r="T3421" s="192"/>
      <c r="U3421" s="829"/>
      <c r="V3421" s="10"/>
      <c r="W3421" s="10"/>
      <c r="X3421" s="10"/>
      <c r="Y3421" s="10"/>
      <c r="Z3421" s="10"/>
      <c r="AA3421" s="11"/>
      <c r="AB3421" s="11"/>
    </row>
    <row r="3422" spans="2:28" x14ac:dyDescent="0.3">
      <c r="B3422" s="10"/>
      <c r="C3422" s="315"/>
      <c r="D3422" s="868"/>
      <c r="E3422" s="837" t="str">
        <f>IFERROR(IF(_xlfn.XLOOKUP(Imput[[#This Row],[RFC]],'Alta Proveedor'!D:D,'Alta Proveedor'!E:E)=0,"",_xlfn.XLOOKUP(Imput[[#This Row],[RFC]],'Alta Proveedor'!D:D,'Alta Proveedor'!E:E)),"")</f>
        <v/>
      </c>
      <c r="F3422" s="832"/>
      <c r="G3422" s="187"/>
      <c r="H3422" s="1"/>
      <c r="I3422" s="169">
        <f>Imput[[#This Row],[Cantidad]]*Imput[[#This Row],[Precio Unitario]]</f>
        <v>0</v>
      </c>
      <c r="J3422" s="11">
        <f>((Imput[[#This Row],[Sub total]])*(0.16))</f>
        <v>0</v>
      </c>
      <c r="K3422" s="11">
        <v>0</v>
      </c>
      <c r="L3422" s="169">
        <f>Imput[[#This Row],[Sub total]]+Imput[[#This Row],[IVA]]-Imput[[#This Row],[Retención / IEPS / Descuento]]</f>
        <v>0</v>
      </c>
      <c r="M3422" s="844">
        <v>0</v>
      </c>
      <c r="N3422" s="189"/>
      <c r="O3422" s="1"/>
      <c r="P3422" s="189"/>
      <c r="Q3422" s="190"/>
      <c r="R3422" s="188"/>
      <c r="S3422" s="193"/>
      <c r="T3422" s="192"/>
      <c r="U3422" s="829"/>
      <c r="V3422" s="10"/>
      <c r="W3422" s="10"/>
      <c r="X3422" s="10"/>
      <c r="Y3422" s="10"/>
      <c r="Z3422" s="10"/>
      <c r="AA3422" s="11"/>
      <c r="AB3422" s="11"/>
    </row>
    <row r="3423" spans="2:28" x14ac:dyDescent="0.3">
      <c r="B3423" s="10"/>
      <c r="C3423" s="315"/>
      <c r="D3423" s="868"/>
      <c r="E3423" s="837" t="str">
        <f>IFERROR(IF(_xlfn.XLOOKUP(Imput[[#This Row],[RFC]],'Alta Proveedor'!D:D,'Alta Proveedor'!E:E)=0,"",_xlfn.XLOOKUP(Imput[[#This Row],[RFC]],'Alta Proveedor'!D:D,'Alta Proveedor'!E:E)),"")</f>
        <v/>
      </c>
      <c r="F3423" s="832"/>
      <c r="G3423" s="187"/>
      <c r="H3423" s="1"/>
      <c r="I3423" s="169">
        <f>Imput[[#This Row],[Cantidad]]*Imput[[#This Row],[Precio Unitario]]</f>
        <v>0</v>
      </c>
      <c r="J3423" s="11">
        <f>((Imput[[#This Row],[Sub total]])*(0.16))</f>
        <v>0</v>
      </c>
      <c r="K3423" s="11">
        <v>0</v>
      </c>
      <c r="L3423" s="169">
        <f>Imput[[#This Row],[Sub total]]+Imput[[#This Row],[IVA]]-Imput[[#This Row],[Retención / IEPS / Descuento]]</f>
        <v>0</v>
      </c>
      <c r="M3423" s="844">
        <v>0</v>
      </c>
      <c r="N3423" s="189"/>
      <c r="O3423" s="1"/>
      <c r="P3423" s="189"/>
      <c r="Q3423" s="190"/>
      <c r="R3423" s="188"/>
      <c r="S3423" s="193"/>
      <c r="T3423" s="192"/>
      <c r="U3423" s="829"/>
      <c r="V3423" s="10"/>
      <c r="W3423" s="10"/>
      <c r="X3423" s="10"/>
      <c r="Y3423" s="10"/>
      <c r="Z3423" s="10"/>
      <c r="AA3423" s="11"/>
      <c r="AB3423" s="11"/>
    </row>
    <row r="3424" spans="2:28" x14ac:dyDescent="0.3">
      <c r="B3424" s="10"/>
      <c r="C3424" s="315"/>
      <c r="D3424" s="868"/>
      <c r="E3424" s="837" t="str">
        <f>IFERROR(IF(_xlfn.XLOOKUP(Imput[[#This Row],[RFC]],'Alta Proveedor'!D:D,'Alta Proveedor'!E:E)=0,"",_xlfn.XLOOKUP(Imput[[#This Row],[RFC]],'Alta Proveedor'!D:D,'Alta Proveedor'!E:E)),"")</f>
        <v/>
      </c>
      <c r="F3424" s="832"/>
      <c r="G3424" s="187"/>
      <c r="H3424" s="1"/>
      <c r="I3424" s="169">
        <f>Imput[[#This Row],[Cantidad]]*Imput[[#This Row],[Precio Unitario]]</f>
        <v>0</v>
      </c>
      <c r="J3424" s="11">
        <f>((Imput[[#This Row],[Sub total]])*(0.16))</f>
        <v>0</v>
      </c>
      <c r="K3424" s="11">
        <v>0</v>
      </c>
      <c r="L3424" s="169">
        <f>Imput[[#This Row],[Sub total]]+Imput[[#This Row],[IVA]]-Imput[[#This Row],[Retención / IEPS / Descuento]]</f>
        <v>0</v>
      </c>
      <c r="M3424" s="844">
        <v>0</v>
      </c>
      <c r="N3424" s="189"/>
      <c r="O3424" s="1"/>
      <c r="P3424" s="189"/>
      <c r="Q3424" s="190"/>
      <c r="R3424" s="188"/>
      <c r="S3424" s="193"/>
      <c r="T3424" s="192"/>
      <c r="U3424" s="829"/>
      <c r="V3424" s="10"/>
      <c r="W3424" s="10"/>
      <c r="X3424" s="10"/>
      <c r="Y3424" s="10"/>
      <c r="Z3424" s="10"/>
      <c r="AA3424" s="11"/>
      <c r="AB3424" s="11"/>
    </row>
    <row r="3425" spans="2:28" x14ac:dyDescent="0.3">
      <c r="B3425" s="10"/>
      <c r="C3425" s="315"/>
      <c r="D3425" s="868"/>
      <c r="E3425" s="837" t="str">
        <f>IFERROR(IF(_xlfn.XLOOKUP(Imput[[#This Row],[RFC]],'Alta Proveedor'!D:D,'Alta Proveedor'!E:E)=0,"",_xlfn.XLOOKUP(Imput[[#This Row],[RFC]],'Alta Proveedor'!D:D,'Alta Proveedor'!E:E)),"")</f>
        <v/>
      </c>
      <c r="F3425" s="832"/>
      <c r="G3425" s="187"/>
      <c r="H3425" s="1"/>
      <c r="I3425" s="169">
        <f>Imput[[#This Row],[Cantidad]]*Imput[[#This Row],[Precio Unitario]]</f>
        <v>0</v>
      </c>
      <c r="J3425" s="11">
        <f>((Imput[[#This Row],[Sub total]])*(0.16))</f>
        <v>0</v>
      </c>
      <c r="K3425" s="11">
        <v>0</v>
      </c>
      <c r="L3425" s="169">
        <f>Imput[[#This Row],[Sub total]]+Imput[[#This Row],[IVA]]-Imput[[#This Row],[Retención / IEPS / Descuento]]</f>
        <v>0</v>
      </c>
      <c r="M3425" s="844">
        <v>0</v>
      </c>
      <c r="N3425" s="189"/>
      <c r="O3425" s="1"/>
      <c r="P3425" s="189"/>
      <c r="Q3425" s="190"/>
      <c r="R3425" s="188"/>
      <c r="S3425" s="193"/>
      <c r="T3425" s="192"/>
      <c r="U3425" s="829"/>
      <c r="V3425" s="10"/>
      <c r="W3425" s="10"/>
      <c r="X3425" s="10"/>
      <c r="Y3425" s="10"/>
      <c r="Z3425" s="10"/>
      <c r="AA3425" s="11"/>
      <c r="AB3425" s="11"/>
    </row>
    <row r="3426" spans="2:28" x14ac:dyDescent="0.3">
      <c r="B3426" s="10"/>
      <c r="C3426" s="315"/>
      <c r="D3426" s="868"/>
      <c r="E3426" s="837" t="str">
        <f>IFERROR(IF(_xlfn.XLOOKUP(Imput[[#This Row],[RFC]],'Alta Proveedor'!D:D,'Alta Proveedor'!E:E)=0,"",_xlfn.XLOOKUP(Imput[[#This Row],[RFC]],'Alta Proveedor'!D:D,'Alta Proveedor'!E:E)),"")</f>
        <v/>
      </c>
      <c r="F3426" s="832"/>
      <c r="G3426" s="187"/>
      <c r="H3426" s="1"/>
      <c r="I3426" s="169">
        <f>Imput[[#This Row],[Cantidad]]*Imput[[#This Row],[Precio Unitario]]</f>
        <v>0</v>
      </c>
      <c r="J3426" s="11">
        <f>((Imput[[#This Row],[Sub total]])*(0.16))</f>
        <v>0</v>
      </c>
      <c r="K3426" s="11">
        <v>0</v>
      </c>
      <c r="L3426" s="169">
        <f>Imput[[#This Row],[Sub total]]+Imput[[#This Row],[IVA]]-Imput[[#This Row],[Retención / IEPS / Descuento]]</f>
        <v>0</v>
      </c>
      <c r="M3426" s="844">
        <v>0</v>
      </c>
      <c r="N3426" s="189"/>
      <c r="O3426" s="1"/>
      <c r="P3426" s="189"/>
      <c r="Q3426" s="190"/>
      <c r="R3426" s="188"/>
      <c r="S3426" s="193"/>
      <c r="T3426" s="192"/>
      <c r="U3426" s="829"/>
      <c r="V3426" s="10"/>
      <c r="W3426" s="10"/>
      <c r="X3426" s="10"/>
      <c r="Y3426" s="10"/>
      <c r="Z3426" s="10"/>
      <c r="AA3426" s="11"/>
      <c r="AB3426" s="11"/>
    </row>
    <row r="3427" spans="2:28" x14ac:dyDescent="0.3">
      <c r="B3427" s="10"/>
      <c r="C3427" s="315"/>
      <c r="D3427" s="868"/>
      <c r="E3427" s="837" t="str">
        <f>IFERROR(IF(_xlfn.XLOOKUP(Imput[[#This Row],[RFC]],'Alta Proveedor'!D:D,'Alta Proveedor'!E:E)=0,"",_xlfn.XLOOKUP(Imput[[#This Row],[RFC]],'Alta Proveedor'!D:D,'Alta Proveedor'!E:E)),"")</f>
        <v/>
      </c>
      <c r="F3427" s="832"/>
      <c r="G3427" s="187"/>
      <c r="H3427" s="1"/>
      <c r="I3427" s="169">
        <f>Imput[[#This Row],[Cantidad]]*Imput[[#This Row],[Precio Unitario]]</f>
        <v>0</v>
      </c>
      <c r="J3427" s="11">
        <f>((Imput[[#This Row],[Sub total]])*(0.16))</f>
        <v>0</v>
      </c>
      <c r="K3427" s="11">
        <v>0</v>
      </c>
      <c r="L3427" s="169">
        <f>Imput[[#This Row],[Sub total]]+Imput[[#This Row],[IVA]]-Imput[[#This Row],[Retención / IEPS / Descuento]]</f>
        <v>0</v>
      </c>
      <c r="M3427" s="844">
        <v>0</v>
      </c>
      <c r="N3427" s="189"/>
      <c r="O3427" s="1"/>
      <c r="P3427" s="189"/>
      <c r="Q3427" s="190"/>
      <c r="R3427" s="188"/>
      <c r="S3427" s="193"/>
      <c r="T3427" s="192"/>
      <c r="U3427" s="829"/>
      <c r="V3427" s="10"/>
      <c r="W3427" s="10"/>
      <c r="X3427" s="10"/>
      <c r="Y3427" s="10"/>
      <c r="Z3427" s="10"/>
      <c r="AA3427" s="11"/>
      <c r="AB3427" s="11"/>
    </row>
    <row r="3428" spans="2:28" x14ac:dyDescent="0.3">
      <c r="B3428" s="10"/>
      <c r="C3428" s="315"/>
      <c r="D3428" s="868"/>
      <c r="E3428" s="837" t="str">
        <f>IFERROR(IF(_xlfn.XLOOKUP(Imput[[#This Row],[RFC]],'Alta Proveedor'!D:D,'Alta Proveedor'!E:E)=0,"",_xlfn.XLOOKUP(Imput[[#This Row],[RFC]],'Alta Proveedor'!D:D,'Alta Proveedor'!E:E)),"")</f>
        <v/>
      </c>
      <c r="F3428" s="832"/>
      <c r="G3428" s="187"/>
      <c r="H3428" s="1"/>
      <c r="I3428" s="169">
        <f>Imput[[#This Row],[Cantidad]]*Imput[[#This Row],[Precio Unitario]]</f>
        <v>0</v>
      </c>
      <c r="J3428" s="11">
        <f>((Imput[[#This Row],[Sub total]])*(0.16))</f>
        <v>0</v>
      </c>
      <c r="K3428" s="11">
        <v>0</v>
      </c>
      <c r="L3428" s="169">
        <f>Imput[[#This Row],[Sub total]]+Imput[[#This Row],[IVA]]-Imput[[#This Row],[Retención / IEPS / Descuento]]</f>
        <v>0</v>
      </c>
      <c r="M3428" s="844">
        <v>0</v>
      </c>
      <c r="N3428" s="189"/>
      <c r="O3428" s="1"/>
      <c r="P3428" s="189"/>
      <c r="Q3428" s="190"/>
      <c r="R3428" s="188"/>
      <c r="S3428" s="193"/>
      <c r="T3428" s="192"/>
      <c r="U3428" s="829"/>
      <c r="V3428" s="10"/>
      <c r="W3428" s="10"/>
      <c r="X3428" s="10"/>
      <c r="Y3428" s="10"/>
      <c r="Z3428" s="10"/>
      <c r="AA3428" s="11"/>
      <c r="AB3428" s="11"/>
    </row>
    <row r="3429" spans="2:28" x14ac:dyDescent="0.3">
      <c r="B3429" s="10"/>
      <c r="C3429" s="315"/>
      <c r="D3429" s="868"/>
      <c r="E3429" s="837" t="str">
        <f>IFERROR(IF(_xlfn.XLOOKUP(Imput[[#This Row],[RFC]],'Alta Proveedor'!D:D,'Alta Proveedor'!E:E)=0,"",_xlfn.XLOOKUP(Imput[[#This Row],[RFC]],'Alta Proveedor'!D:D,'Alta Proveedor'!E:E)),"")</f>
        <v/>
      </c>
      <c r="F3429" s="832"/>
      <c r="G3429" s="187"/>
      <c r="H3429" s="1"/>
      <c r="I3429" s="169">
        <f>Imput[[#This Row],[Cantidad]]*Imput[[#This Row],[Precio Unitario]]</f>
        <v>0</v>
      </c>
      <c r="J3429" s="11">
        <f>((Imput[[#This Row],[Sub total]])*(0.16))</f>
        <v>0</v>
      </c>
      <c r="K3429" s="11">
        <v>0</v>
      </c>
      <c r="L3429" s="169">
        <f>Imput[[#This Row],[Sub total]]+Imput[[#This Row],[IVA]]-Imput[[#This Row],[Retención / IEPS / Descuento]]</f>
        <v>0</v>
      </c>
      <c r="M3429" s="844">
        <v>0</v>
      </c>
      <c r="N3429" s="189"/>
      <c r="O3429" s="1"/>
      <c r="P3429" s="189"/>
      <c r="Q3429" s="190"/>
      <c r="R3429" s="188"/>
      <c r="S3429" s="193"/>
      <c r="T3429" s="192"/>
      <c r="U3429" s="829"/>
      <c r="V3429" s="10"/>
      <c r="W3429" s="10"/>
      <c r="X3429" s="10"/>
      <c r="Y3429" s="10"/>
      <c r="Z3429" s="10"/>
      <c r="AA3429" s="11"/>
      <c r="AB3429" s="11"/>
    </row>
    <row r="3430" spans="2:28" x14ac:dyDescent="0.3">
      <c r="B3430" s="10"/>
      <c r="C3430" s="315"/>
      <c r="D3430" s="868"/>
      <c r="E3430" s="837" t="str">
        <f>IFERROR(IF(_xlfn.XLOOKUP(Imput[[#This Row],[RFC]],'Alta Proveedor'!D:D,'Alta Proveedor'!E:E)=0,"",_xlfn.XLOOKUP(Imput[[#This Row],[RFC]],'Alta Proveedor'!D:D,'Alta Proveedor'!E:E)),"")</f>
        <v/>
      </c>
      <c r="F3430" s="832"/>
      <c r="G3430" s="187"/>
      <c r="H3430" s="1"/>
      <c r="I3430" s="169">
        <f>Imput[[#This Row],[Cantidad]]*Imput[[#This Row],[Precio Unitario]]</f>
        <v>0</v>
      </c>
      <c r="J3430" s="11">
        <f>((Imput[[#This Row],[Sub total]])*(0.16))</f>
        <v>0</v>
      </c>
      <c r="K3430" s="11">
        <v>0</v>
      </c>
      <c r="L3430" s="169">
        <f>Imput[[#This Row],[Sub total]]+Imput[[#This Row],[IVA]]-Imput[[#This Row],[Retención / IEPS / Descuento]]</f>
        <v>0</v>
      </c>
      <c r="M3430" s="844">
        <v>0</v>
      </c>
      <c r="N3430" s="189"/>
      <c r="O3430" s="1"/>
      <c r="P3430" s="189"/>
      <c r="Q3430" s="190"/>
      <c r="R3430" s="188"/>
      <c r="S3430" s="193"/>
      <c r="T3430" s="192"/>
      <c r="U3430" s="829"/>
      <c r="V3430" s="10"/>
      <c r="W3430" s="10"/>
      <c r="X3430" s="10"/>
      <c r="Y3430" s="10"/>
      <c r="Z3430" s="10"/>
      <c r="AA3430" s="11"/>
      <c r="AB3430" s="11"/>
    </row>
    <row r="3431" spans="2:28" x14ac:dyDescent="0.3">
      <c r="B3431" s="10"/>
      <c r="C3431" s="315"/>
      <c r="D3431" s="868"/>
      <c r="E3431" s="837" t="str">
        <f>IFERROR(IF(_xlfn.XLOOKUP(Imput[[#This Row],[RFC]],'Alta Proveedor'!D:D,'Alta Proveedor'!E:E)=0,"",_xlfn.XLOOKUP(Imput[[#This Row],[RFC]],'Alta Proveedor'!D:D,'Alta Proveedor'!E:E)),"")</f>
        <v/>
      </c>
      <c r="F3431" s="832"/>
      <c r="G3431" s="187"/>
      <c r="H3431" s="1"/>
      <c r="I3431" s="169">
        <f>Imput[[#This Row],[Cantidad]]*Imput[[#This Row],[Precio Unitario]]</f>
        <v>0</v>
      </c>
      <c r="J3431" s="11">
        <f>((Imput[[#This Row],[Sub total]])*(0.16))</f>
        <v>0</v>
      </c>
      <c r="K3431" s="11">
        <v>0</v>
      </c>
      <c r="L3431" s="169">
        <f>Imput[[#This Row],[Sub total]]+Imput[[#This Row],[IVA]]-Imput[[#This Row],[Retención / IEPS / Descuento]]</f>
        <v>0</v>
      </c>
      <c r="M3431" s="844">
        <v>0</v>
      </c>
      <c r="N3431" s="189"/>
      <c r="O3431" s="1"/>
      <c r="P3431" s="189"/>
      <c r="Q3431" s="190"/>
      <c r="R3431" s="188"/>
      <c r="S3431" s="193"/>
      <c r="T3431" s="192"/>
      <c r="U3431" s="829"/>
      <c r="V3431" s="10"/>
      <c r="W3431" s="10"/>
      <c r="X3431" s="10"/>
      <c r="Y3431" s="10"/>
      <c r="Z3431" s="10"/>
      <c r="AA3431" s="11"/>
      <c r="AB3431" s="11"/>
    </row>
    <row r="3432" spans="2:28" x14ac:dyDescent="0.3">
      <c r="B3432" s="10"/>
      <c r="C3432" s="315"/>
      <c r="D3432" s="868"/>
      <c r="E3432" s="837" t="str">
        <f>IFERROR(IF(_xlfn.XLOOKUP(Imput[[#This Row],[RFC]],'Alta Proveedor'!D:D,'Alta Proveedor'!E:E)=0,"",_xlfn.XLOOKUP(Imput[[#This Row],[RFC]],'Alta Proveedor'!D:D,'Alta Proveedor'!E:E)),"")</f>
        <v/>
      </c>
      <c r="F3432" s="832"/>
      <c r="G3432" s="187"/>
      <c r="H3432" s="1"/>
      <c r="I3432" s="169">
        <f>Imput[[#This Row],[Cantidad]]*Imput[[#This Row],[Precio Unitario]]</f>
        <v>0</v>
      </c>
      <c r="J3432" s="11">
        <f>((Imput[[#This Row],[Sub total]])*(0.16))</f>
        <v>0</v>
      </c>
      <c r="K3432" s="11">
        <v>0</v>
      </c>
      <c r="L3432" s="169">
        <f>Imput[[#This Row],[Sub total]]+Imput[[#This Row],[IVA]]-Imput[[#This Row],[Retención / IEPS / Descuento]]</f>
        <v>0</v>
      </c>
      <c r="M3432" s="844">
        <v>0</v>
      </c>
      <c r="N3432" s="189"/>
      <c r="O3432" s="1"/>
      <c r="P3432" s="189"/>
      <c r="Q3432" s="190"/>
      <c r="R3432" s="188"/>
      <c r="S3432" s="193"/>
      <c r="T3432" s="192"/>
      <c r="U3432" s="829"/>
      <c r="V3432" s="10"/>
      <c r="W3432" s="10"/>
      <c r="X3432" s="10"/>
      <c r="Y3432" s="10"/>
      <c r="Z3432" s="10"/>
      <c r="AA3432" s="11"/>
      <c r="AB3432" s="11"/>
    </row>
    <row r="3433" spans="2:28" x14ac:dyDescent="0.3">
      <c r="B3433" s="10"/>
      <c r="C3433" s="315"/>
      <c r="D3433" s="868"/>
      <c r="E3433" s="837" t="str">
        <f>IFERROR(IF(_xlfn.XLOOKUP(Imput[[#This Row],[RFC]],'Alta Proveedor'!D:D,'Alta Proveedor'!E:E)=0,"",_xlfn.XLOOKUP(Imput[[#This Row],[RFC]],'Alta Proveedor'!D:D,'Alta Proveedor'!E:E)),"")</f>
        <v/>
      </c>
      <c r="F3433" s="832"/>
      <c r="G3433" s="187"/>
      <c r="H3433" s="1"/>
      <c r="I3433" s="169">
        <f>Imput[[#This Row],[Cantidad]]*Imput[[#This Row],[Precio Unitario]]</f>
        <v>0</v>
      </c>
      <c r="J3433" s="11">
        <f>((Imput[[#This Row],[Sub total]])*(0.16))</f>
        <v>0</v>
      </c>
      <c r="K3433" s="11">
        <v>0</v>
      </c>
      <c r="L3433" s="169">
        <f>Imput[[#This Row],[Sub total]]+Imput[[#This Row],[IVA]]-Imput[[#This Row],[Retención / IEPS / Descuento]]</f>
        <v>0</v>
      </c>
      <c r="M3433" s="844">
        <v>0</v>
      </c>
      <c r="N3433" s="189"/>
      <c r="O3433" s="1"/>
      <c r="P3433" s="189"/>
      <c r="Q3433" s="190"/>
      <c r="R3433" s="188"/>
      <c r="S3433" s="193"/>
      <c r="T3433" s="192"/>
      <c r="U3433" s="829"/>
      <c r="V3433" s="10"/>
      <c r="W3433" s="10"/>
      <c r="X3433" s="10"/>
      <c r="Y3433" s="10"/>
      <c r="Z3433" s="10"/>
      <c r="AA3433" s="11"/>
      <c r="AB3433" s="11"/>
    </row>
    <row r="3434" spans="2:28" x14ac:dyDescent="0.3">
      <c r="B3434" s="10"/>
      <c r="C3434" s="315"/>
      <c r="D3434" s="868"/>
      <c r="E3434" s="837" t="str">
        <f>IFERROR(IF(_xlfn.XLOOKUP(Imput[[#This Row],[RFC]],'Alta Proveedor'!D:D,'Alta Proveedor'!E:E)=0,"",_xlfn.XLOOKUP(Imput[[#This Row],[RFC]],'Alta Proveedor'!D:D,'Alta Proveedor'!E:E)),"")</f>
        <v/>
      </c>
      <c r="F3434" s="832"/>
      <c r="G3434" s="187"/>
      <c r="H3434" s="1"/>
      <c r="I3434" s="169">
        <f>Imput[[#This Row],[Cantidad]]*Imput[[#This Row],[Precio Unitario]]</f>
        <v>0</v>
      </c>
      <c r="J3434" s="11">
        <f>((Imput[[#This Row],[Sub total]])*(0.16))</f>
        <v>0</v>
      </c>
      <c r="K3434" s="11">
        <v>0</v>
      </c>
      <c r="L3434" s="169">
        <f>Imput[[#This Row],[Sub total]]+Imput[[#This Row],[IVA]]-Imput[[#This Row],[Retención / IEPS / Descuento]]</f>
        <v>0</v>
      </c>
      <c r="M3434" s="844">
        <v>0</v>
      </c>
      <c r="N3434" s="189"/>
      <c r="O3434" s="1"/>
      <c r="P3434" s="189"/>
      <c r="Q3434" s="190"/>
      <c r="R3434" s="188"/>
      <c r="S3434" s="193"/>
      <c r="T3434" s="192"/>
      <c r="U3434" s="829"/>
      <c r="V3434" s="10"/>
      <c r="W3434" s="10"/>
      <c r="X3434" s="10"/>
      <c r="Y3434" s="10"/>
      <c r="Z3434" s="10"/>
      <c r="AA3434" s="11"/>
      <c r="AB3434" s="11"/>
    </row>
    <row r="3435" spans="2:28" x14ac:dyDescent="0.3">
      <c r="B3435" s="10"/>
      <c r="C3435" s="315"/>
      <c r="D3435" s="868"/>
      <c r="E3435" s="837" t="str">
        <f>IFERROR(IF(_xlfn.XLOOKUP(Imput[[#This Row],[RFC]],'Alta Proveedor'!D:D,'Alta Proveedor'!E:E)=0,"",_xlfn.XLOOKUP(Imput[[#This Row],[RFC]],'Alta Proveedor'!D:D,'Alta Proveedor'!E:E)),"")</f>
        <v/>
      </c>
      <c r="F3435" s="832"/>
      <c r="G3435" s="187"/>
      <c r="H3435" s="1"/>
      <c r="I3435" s="169">
        <f>Imput[[#This Row],[Cantidad]]*Imput[[#This Row],[Precio Unitario]]</f>
        <v>0</v>
      </c>
      <c r="J3435" s="11">
        <f>((Imput[[#This Row],[Sub total]])*(0.16))</f>
        <v>0</v>
      </c>
      <c r="K3435" s="11">
        <v>0</v>
      </c>
      <c r="L3435" s="169">
        <f>Imput[[#This Row],[Sub total]]+Imput[[#This Row],[IVA]]-Imput[[#This Row],[Retención / IEPS / Descuento]]</f>
        <v>0</v>
      </c>
      <c r="M3435" s="844">
        <v>0</v>
      </c>
      <c r="N3435" s="189"/>
      <c r="O3435" s="1"/>
      <c r="P3435" s="189"/>
      <c r="Q3435" s="190"/>
      <c r="R3435" s="188"/>
      <c r="S3435" s="193"/>
      <c r="T3435" s="192"/>
      <c r="U3435" s="829"/>
      <c r="V3435" s="10"/>
      <c r="W3435" s="10"/>
      <c r="X3435" s="10"/>
      <c r="Y3435" s="10"/>
      <c r="Z3435" s="10"/>
      <c r="AA3435" s="11"/>
      <c r="AB3435" s="11"/>
    </row>
    <row r="3436" spans="2:28" x14ac:dyDescent="0.3">
      <c r="B3436" s="10"/>
      <c r="C3436" s="315"/>
      <c r="D3436" s="868"/>
      <c r="E3436" s="837" t="str">
        <f>IFERROR(IF(_xlfn.XLOOKUP(Imput[[#This Row],[RFC]],'Alta Proveedor'!D:D,'Alta Proveedor'!E:E)=0,"",_xlfn.XLOOKUP(Imput[[#This Row],[RFC]],'Alta Proveedor'!D:D,'Alta Proveedor'!E:E)),"")</f>
        <v/>
      </c>
      <c r="F3436" s="832"/>
      <c r="G3436" s="187"/>
      <c r="H3436" s="1"/>
      <c r="I3436" s="169">
        <f>Imput[[#This Row],[Cantidad]]*Imput[[#This Row],[Precio Unitario]]</f>
        <v>0</v>
      </c>
      <c r="J3436" s="11">
        <f>((Imput[[#This Row],[Sub total]])*(0.16))</f>
        <v>0</v>
      </c>
      <c r="K3436" s="11">
        <v>0</v>
      </c>
      <c r="L3436" s="169">
        <f>Imput[[#This Row],[Sub total]]+Imput[[#This Row],[IVA]]-Imput[[#This Row],[Retención / IEPS / Descuento]]</f>
        <v>0</v>
      </c>
      <c r="M3436" s="844">
        <v>0</v>
      </c>
      <c r="N3436" s="189"/>
      <c r="O3436" s="1"/>
      <c r="P3436" s="189"/>
      <c r="Q3436" s="190"/>
      <c r="R3436" s="188"/>
      <c r="S3436" s="193"/>
      <c r="T3436" s="192"/>
      <c r="U3436" s="829"/>
      <c r="V3436" s="10"/>
      <c r="W3436" s="10"/>
      <c r="X3436" s="10"/>
      <c r="Y3436" s="10"/>
      <c r="Z3436" s="10"/>
      <c r="AA3436" s="11"/>
      <c r="AB3436" s="11"/>
    </row>
    <row r="3437" spans="2:28" x14ac:dyDescent="0.3">
      <c r="B3437" s="10"/>
      <c r="C3437" s="315"/>
      <c r="D3437" s="868"/>
      <c r="E3437" s="837" t="str">
        <f>IFERROR(IF(_xlfn.XLOOKUP(Imput[[#This Row],[RFC]],'Alta Proveedor'!D:D,'Alta Proveedor'!E:E)=0,"",_xlfn.XLOOKUP(Imput[[#This Row],[RFC]],'Alta Proveedor'!D:D,'Alta Proveedor'!E:E)),"")</f>
        <v/>
      </c>
      <c r="F3437" s="832"/>
      <c r="G3437" s="187"/>
      <c r="H3437" s="1"/>
      <c r="I3437" s="169">
        <f>Imput[[#This Row],[Cantidad]]*Imput[[#This Row],[Precio Unitario]]</f>
        <v>0</v>
      </c>
      <c r="J3437" s="11">
        <f>((Imput[[#This Row],[Sub total]])*(0.16))</f>
        <v>0</v>
      </c>
      <c r="K3437" s="11">
        <v>0</v>
      </c>
      <c r="L3437" s="169">
        <f>Imput[[#This Row],[Sub total]]+Imput[[#This Row],[IVA]]-Imput[[#This Row],[Retención / IEPS / Descuento]]</f>
        <v>0</v>
      </c>
      <c r="M3437" s="844">
        <v>0</v>
      </c>
      <c r="N3437" s="189"/>
      <c r="O3437" s="1"/>
      <c r="P3437" s="189"/>
      <c r="Q3437" s="190"/>
      <c r="R3437" s="188"/>
      <c r="S3437" s="193"/>
      <c r="T3437" s="192"/>
      <c r="U3437" s="829"/>
      <c r="V3437" s="10"/>
      <c r="W3437" s="10"/>
      <c r="X3437" s="10"/>
      <c r="Y3437" s="10"/>
      <c r="Z3437" s="10"/>
      <c r="AA3437" s="11"/>
      <c r="AB3437" s="11"/>
    </row>
    <row r="3438" spans="2:28" x14ac:dyDescent="0.3">
      <c r="B3438" s="10"/>
      <c r="C3438" s="315"/>
      <c r="D3438" s="868"/>
      <c r="E3438" s="837" t="str">
        <f>IFERROR(IF(_xlfn.XLOOKUP(Imput[[#This Row],[RFC]],'Alta Proveedor'!D:D,'Alta Proveedor'!E:E)=0,"",_xlfn.XLOOKUP(Imput[[#This Row],[RFC]],'Alta Proveedor'!D:D,'Alta Proveedor'!E:E)),"")</f>
        <v/>
      </c>
      <c r="F3438" s="832"/>
      <c r="G3438" s="187"/>
      <c r="H3438" s="1"/>
      <c r="I3438" s="169">
        <f>Imput[[#This Row],[Cantidad]]*Imput[[#This Row],[Precio Unitario]]</f>
        <v>0</v>
      </c>
      <c r="J3438" s="11">
        <f>((Imput[[#This Row],[Sub total]])*(0.16))</f>
        <v>0</v>
      </c>
      <c r="K3438" s="11">
        <v>0</v>
      </c>
      <c r="L3438" s="169">
        <f>Imput[[#This Row],[Sub total]]+Imput[[#This Row],[IVA]]-Imput[[#This Row],[Retención / IEPS / Descuento]]</f>
        <v>0</v>
      </c>
      <c r="M3438" s="844">
        <v>0</v>
      </c>
      <c r="N3438" s="189"/>
      <c r="O3438" s="1"/>
      <c r="P3438" s="189"/>
      <c r="Q3438" s="190"/>
      <c r="R3438" s="188"/>
      <c r="S3438" s="193"/>
      <c r="T3438" s="192"/>
      <c r="U3438" s="829"/>
      <c r="V3438" s="10"/>
      <c r="W3438" s="10"/>
      <c r="X3438" s="10"/>
      <c r="Y3438" s="10"/>
      <c r="Z3438" s="10"/>
      <c r="AA3438" s="11"/>
      <c r="AB3438" s="11"/>
    </row>
    <row r="3439" spans="2:28" x14ac:dyDescent="0.3">
      <c r="B3439" s="10"/>
      <c r="C3439" s="315"/>
      <c r="D3439" s="868"/>
      <c r="E3439" s="837" t="str">
        <f>IFERROR(IF(_xlfn.XLOOKUP(Imput[[#This Row],[RFC]],'Alta Proveedor'!D:D,'Alta Proveedor'!E:E)=0,"",_xlfn.XLOOKUP(Imput[[#This Row],[RFC]],'Alta Proveedor'!D:D,'Alta Proveedor'!E:E)),"")</f>
        <v/>
      </c>
      <c r="F3439" s="832"/>
      <c r="G3439" s="187"/>
      <c r="H3439" s="1"/>
      <c r="I3439" s="169">
        <f>Imput[[#This Row],[Cantidad]]*Imput[[#This Row],[Precio Unitario]]</f>
        <v>0</v>
      </c>
      <c r="J3439" s="11">
        <f>((Imput[[#This Row],[Sub total]])*(0.16))</f>
        <v>0</v>
      </c>
      <c r="K3439" s="11">
        <v>0</v>
      </c>
      <c r="L3439" s="169">
        <f>Imput[[#This Row],[Sub total]]+Imput[[#This Row],[IVA]]-Imput[[#This Row],[Retención / IEPS / Descuento]]</f>
        <v>0</v>
      </c>
      <c r="M3439" s="844">
        <v>0</v>
      </c>
      <c r="N3439" s="189"/>
      <c r="O3439" s="1"/>
      <c r="P3439" s="189"/>
      <c r="Q3439" s="190"/>
      <c r="R3439" s="188"/>
      <c r="S3439" s="193"/>
      <c r="T3439" s="192"/>
      <c r="U3439" s="829"/>
      <c r="V3439" s="10"/>
      <c r="W3439" s="10"/>
      <c r="X3439" s="10"/>
      <c r="Y3439" s="10"/>
      <c r="Z3439" s="10"/>
      <c r="AA3439" s="11"/>
      <c r="AB3439" s="11"/>
    </row>
    <row r="3440" spans="2:28" x14ac:dyDescent="0.3">
      <c r="B3440" s="10"/>
      <c r="C3440" s="315"/>
      <c r="D3440" s="868"/>
      <c r="E3440" s="837" t="str">
        <f>IFERROR(IF(_xlfn.XLOOKUP(Imput[[#This Row],[RFC]],'Alta Proveedor'!D:D,'Alta Proveedor'!E:E)=0,"",_xlfn.XLOOKUP(Imput[[#This Row],[RFC]],'Alta Proveedor'!D:D,'Alta Proveedor'!E:E)),"")</f>
        <v/>
      </c>
      <c r="F3440" s="832"/>
      <c r="G3440" s="187"/>
      <c r="H3440" s="1"/>
      <c r="I3440" s="169">
        <f>Imput[[#This Row],[Cantidad]]*Imput[[#This Row],[Precio Unitario]]</f>
        <v>0</v>
      </c>
      <c r="J3440" s="11">
        <f>((Imput[[#This Row],[Sub total]])*(0.16))</f>
        <v>0</v>
      </c>
      <c r="K3440" s="11">
        <v>0</v>
      </c>
      <c r="L3440" s="169">
        <f>Imput[[#This Row],[Sub total]]+Imput[[#This Row],[IVA]]-Imput[[#This Row],[Retención / IEPS / Descuento]]</f>
        <v>0</v>
      </c>
      <c r="M3440" s="844">
        <v>0</v>
      </c>
      <c r="N3440" s="189"/>
      <c r="O3440" s="1"/>
      <c r="P3440" s="189"/>
      <c r="Q3440" s="190"/>
      <c r="R3440" s="188"/>
      <c r="S3440" s="193"/>
      <c r="T3440" s="192"/>
      <c r="U3440" s="829"/>
      <c r="V3440" s="10"/>
      <c r="W3440" s="10"/>
      <c r="X3440" s="10"/>
      <c r="Y3440" s="10"/>
      <c r="Z3440" s="10"/>
      <c r="AA3440" s="11"/>
      <c r="AB3440" s="11"/>
    </row>
    <row r="3441" spans="2:28" x14ac:dyDescent="0.3">
      <c r="B3441" s="10"/>
      <c r="C3441" s="315"/>
      <c r="D3441" s="868"/>
      <c r="E3441" s="837" t="str">
        <f>IFERROR(IF(_xlfn.XLOOKUP(Imput[[#This Row],[RFC]],'Alta Proveedor'!D:D,'Alta Proveedor'!E:E)=0,"",_xlfn.XLOOKUP(Imput[[#This Row],[RFC]],'Alta Proveedor'!D:D,'Alta Proveedor'!E:E)),"")</f>
        <v/>
      </c>
      <c r="F3441" s="832"/>
      <c r="G3441" s="187"/>
      <c r="H3441" s="1"/>
      <c r="I3441" s="169">
        <f>Imput[[#This Row],[Cantidad]]*Imput[[#This Row],[Precio Unitario]]</f>
        <v>0</v>
      </c>
      <c r="J3441" s="11">
        <f>((Imput[[#This Row],[Sub total]])*(0.16))</f>
        <v>0</v>
      </c>
      <c r="K3441" s="11">
        <v>0</v>
      </c>
      <c r="L3441" s="169">
        <f>Imput[[#This Row],[Sub total]]+Imput[[#This Row],[IVA]]-Imput[[#This Row],[Retención / IEPS / Descuento]]</f>
        <v>0</v>
      </c>
      <c r="M3441" s="844">
        <v>0</v>
      </c>
      <c r="N3441" s="189"/>
      <c r="O3441" s="1"/>
      <c r="P3441" s="189"/>
      <c r="Q3441" s="190"/>
      <c r="R3441" s="188"/>
      <c r="S3441" s="193"/>
      <c r="T3441" s="192"/>
      <c r="U3441" s="829"/>
      <c r="V3441" s="10"/>
      <c r="W3441" s="10"/>
      <c r="X3441" s="10"/>
      <c r="Y3441" s="10"/>
      <c r="Z3441" s="10"/>
      <c r="AA3441" s="11"/>
      <c r="AB3441" s="11"/>
    </row>
    <row r="3442" spans="2:28" x14ac:dyDescent="0.3">
      <c r="B3442" s="10"/>
      <c r="C3442" s="315"/>
      <c r="D3442" s="868"/>
      <c r="E3442" s="837" t="str">
        <f>IFERROR(IF(_xlfn.XLOOKUP(Imput[[#This Row],[RFC]],'Alta Proveedor'!D:D,'Alta Proveedor'!E:E)=0,"",_xlfn.XLOOKUP(Imput[[#This Row],[RFC]],'Alta Proveedor'!D:D,'Alta Proveedor'!E:E)),"")</f>
        <v/>
      </c>
      <c r="F3442" s="832"/>
      <c r="G3442" s="187"/>
      <c r="H3442" s="1"/>
      <c r="I3442" s="169">
        <f>Imput[[#This Row],[Cantidad]]*Imput[[#This Row],[Precio Unitario]]</f>
        <v>0</v>
      </c>
      <c r="J3442" s="11">
        <f>((Imput[[#This Row],[Sub total]])*(0.16))</f>
        <v>0</v>
      </c>
      <c r="K3442" s="11">
        <v>0</v>
      </c>
      <c r="L3442" s="169">
        <f>Imput[[#This Row],[Sub total]]+Imput[[#This Row],[IVA]]-Imput[[#This Row],[Retención / IEPS / Descuento]]</f>
        <v>0</v>
      </c>
      <c r="M3442" s="844">
        <v>0</v>
      </c>
      <c r="N3442" s="189"/>
      <c r="O3442" s="1"/>
      <c r="P3442" s="189"/>
      <c r="Q3442" s="190"/>
      <c r="R3442" s="188"/>
      <c r="S3442" s="193"/>
      <c r="T3442" s="192"/>
      <c r="U3442" s="829"/>
      <c r="V3442" s="10"/>
      <c r="W3442" s="10"/>
      <c r="X3442" s="10"/>
      <c r="Y3442" s="10"/>
      <c r="Z3442" s="10"/>
      <c r="AA3442" s="11"/>
      <c r="AB3442" s="11"/>
    </row>
    <row r="3443" spans="2:28" x14ac:dyDescent="0.3">
      <c r="B3443" s="10"/>
      <c r="C3443" s="315"/>
      <c r="D3443" s="868"/>
      <c r="E3443" s="837" t="str">
        <f>IFERROR(IF(_xlfn.XLOOKUP(Imput[[#This Row],[RFC]],'Alta Proveedor'!D:D,'Alta Proveedor'!E:E)=0,"",_xlfn.XLOOKUP(Imput[[#This Row],[RFC]],'Alta Proveedor'!D:D,'Alta Proveedor'!E:E)),"")</f>
        <v/>
      </c>
      <c r="F3443" s="832"/>
      <c r="G3443" s="187"/>
      <c r="H3443" s="1"/>
      <c r="I3443" s="169">
        <f>Imput[[#This Row],[Cantidad]]*Imput[[#This Row],[Precio Unitario]]</f>
        <v>0</v>
      </c>
      <c r="J3443" s="11">
        <f>((Imput[[#This Row],[Sub total]])*(0.16))</f>
        <v>0</v>
      </c>
      <c r="K3443" s="11">
        <v>0</v>
      </c>
      <c r="L3443" s="169">
        <f>Imput[[#This Row],[Sub total]]+Imput[[#This Row],[IVA]]-Imput[[#This Row],[Retención / IEPS / Descuento]]</f>
        <v>0</v>
      </c>
      <c r="M3443" s="844">
        <v>0</v>
      </c>
      <c r="N3443" s="189"/>
      <c r="O3443" s="1"/>
      <c r="P3443" s="189"/>
      <c r="Q3443" s="190"/>
      <c r="R3443" s="188"/>
      <c r="S3443" s="193"/>
      <c r="T3443" s="192"/>
      <c r="U3443" s="829"/>
      <c r="V3443" s="10"/>
      <c r="W3443" s="10"/>
      <c r="X3443" s="10"/>
      <c r="Y3443" s="10"/>
      <c r="Z3443" s="10"/>
      <c r="AA3443" s="11"/>
      <c r="AB3443" s="11"/>
    </row>
    <row r="3444" spans="2:28" x14ac:dyDescent="0.3">
      <c r="B3444" s="10"/>
      <c r="C3444" s="315"/>
      <c r="D3444" s="868"/>
      <c r="E3444" s="837" t="str">
        <f>IFERROR(IF(_xlfn.XLOOKUP(Imput[[#This Row],[RFC]],'Alta Proveedor'!D:D,'Alta Proveedor'!E:E)=0,"",_xlfn.XLOOKUP(Imput[[#This Row],[RFC]],'Alta Proveedor'!D:D,'Alta Proveedor'!E:E)),"")</f>
        <v/>
      </c>
      <c r="F3444" s="832"/>
      <c r="G3444" s="187"/>
      <c r="H3444" s="1"/>
      <c r="I3444" s="169">
        <f>Imput[[#This Row],[Cantidad]]*Imput[[#This Row],[Precio Unitario]]</f>
        <v>0</v>
      </c>
      <c r="J3444" s="11">
        <f>((Imput[[#This Row],[Sub total]])*(0.16))</f>
        <v>0</v>
      </c>
      <c r="K3444" s="11">
        <v>0</v>
      </c>
      <c r="L3444" s="169">
        <f>Imput[[#This Row],[Sub total]]+Imput[[#This Row],[IVA]]-Imput[[#This Row],[Retención / IEPS / Descuento]]</f>
        <v>0</v>
      </c>
      <c r="M3444" s="844">
        <v>0</v>
      </c>
      <c r="N3444" s="189"/>
      <c r="O3444" s="1"/>
      <c r="P3444" s="189"/>
      <c r="Q3444" s="190"/>
      <c r="R3444" s="188"/>
      <c r="S3444" s="193"/>
      <c r="T3444" s="192"/>
      <c r="U3444" s="829"/>
      <c r="V3444" s="10"/>
      <c r="W3444" s="10"/>
      <c r="X3444" s="10"/>
      <c r="Y3444" s="10"/>
      <c r="Z3444" s="10"/>
      <c r="AA3444" s="11"/>
      <c r="AB3444" s="11"/>
    </row>
    <row r="3445" spans="2:28" x14ac:dyDescent="0.3">
      <c r="B3445" s="10"/>
      <c r="C3445" s="315"/>
      <c r="D3445" s="868"/>
      <c r="E3445" s="837" t="str">
        <f>IFERROR(IF(_xlfn.XLOOKUP(Imput[[#This Row],[RFC]],'Alta Proveedor'!D:D,'Alta Proveedor'!E:E)=0,"",_xlfn.XLOOKUP(Imput[[#This Row],[RFC]],'Alta Proveedor'!D:D,'Alta Proveedor'!E:E)),"")</f>
        <v/>
      </c>
      <c r="F3445" s="832"/>
      <c r="G3445" s="187"/>
      <c r="H3445" s="1"/>
      <c r="I3445" s="169">
        <f>Imput[[#This Row],[Cantidad]]*Imput[[#This Row],[Precio Unitario]]</f>
        <v>0</v>
      </c>
      <c r="J3445" s="11">
        <f>((Imput[[#This Row],[Sub total]])*(0.16))</f>
        <v>0</v>
      </c>
      <c r="K3445" s="11">
        <v>0</v>
      </c>
      <c r="L3445" s="169">
        <f>Imput[[#This Row],[Sub total]]+Imput[[#This Row],[IVA]]-Imput[[#This Row],[Retención / IEPS / Descuento]]</f>
        <v>0</v>
      </c>
      <c r="M3445" s="844">
        <v>0</v>
      </c>
      <c r="N3445" s="189"/>
      <c r="O3445" s="1"/>
      <c r="P3445" s="189"/>
      <c r="Q3445" s="190"/>
      <c r="R3445" s="188"/>
      <c r="S3445" s="193"/>
      <c r="T3445" s="192"/>
      <c r="U3445" s="829"/>
      <c r="V3445" s="10"/>
      <c r="W3445" s="10"/>
      <c r="X3445" s="10"/>
      <c r="Y3445" s="10"/>
      <c r="Z3445" s="10"/>
      <c r="AA3445" s="11"/>
      <c r="AB3445" s="11"/>
    </row>
    <row r="3446" spans="2:28" x14ac:dyDescent="0.3">
      <c r="B3446" s="10"/>
      <c r="C3446" s="315"/>
      <c r="D3446" s="868"/>
      <c r="E3446" s="837" t="str">
        <f>IFERROR(IF(_xlfn.XLOOKUP(Imput[[#This Row],[RFC]],'Alta Proveedor'!D:D,'Alta Proveedor'!E:E)=0,"",_xlfn.XLOOKUP(Imput[[#This Row],[RFC]],'Alta Proveedor'!D:D,'Alta Proveedor'!E:E)),"")</f>
        <v/>
      </c>
      <c r="F3446" s="832"/>
      <c r="G3446" s="187"/>
      <c r="H3446" s="1"/>
      <c r="I3446" s="169">
        <f>Imput[[#This Row],[Cantidad]]*Imput[[#This Row],[Precio Unitario]]</f>
        <v>0</v>
      </c>
      <c r="J3446" s="11">
        <f>((Imput[[#This Row],[Sub total]])*(0.16))</f>
        <v>0</v>
      </c>
      <c r="K3446" s="11">
        <v>0</v>
      </c>
      <c r="L3446" s="169">
        <f>Imput[[#This Row],[Sub total]]+Imput[[#This Row],[IVA]]-Imput[[#This Row],[Retención / IEPS / Descuento]]</f>
        <v>0</v>
      </c>
      <c r="M3446" s="844">
        <v>0</v>
      </c>
      <c r="N3446" s="189"/>
      <c r="O3446" s="1"/>
      <c r="P3446" s="189"/>
      <c r="Q3446" s="190"/>
      <c r="R3446" s="188"/>
      <c r="S3446" s="193"/>
      <c r="T3446" s="192"/>
      <c r="U3446" s="829"/>
      <c r="V3446" s="10"/>
      <c r="W3446" s="10"/>
      <c r="X3446" s="10"/>
      <c r="Y3446" s="10"/>
      <c r="Z3446" s="10"/>
      <c r="AA3446" s="11"/>
      <c r="AB3446" s="11"/>
    </row>
    <row r="3447" spans="2:28" x14ac:dyDescent="0.3">
      <c r="B3447" s="10"/>
      <c r="C3447" s="315"/>
      <c r="D3447" s="868"/>
      <c r="E3447" s="837" t="str">
        <f>IFERROR(IF(_xlfn.XLOOKUP(Imput[[#This Row],[RFC]],'Alta Proveedor'!D:D,'Alta Proveedor'!E:E)=0,"",_xlfn.XLOOKUP(Imput[[#This Row],[RFC]],'Alta Proveedor'!D:D,'Alta Proveedor'!E:E)),"")</f>
        <v/>
      </c>
      <c r="F3447" s="832"/>
      <c r="G3447" s="187"/>
      <c r="H3447" s="1"/>
      <c r="I3447" s="169">
        <f>Imput[[#This Row],[Cantidad]]*Imput[[#This Row],[Precio Unitario]]</f>
        <v>0</v>
      </c>
      <c r="J3447" s="11">
        <f>((Imput[[#This Row],[Sub total]])*(0.16))</f>
        <v>0</v>
      </c>
      <c r="K3447" s="11">
        <v>0</v>
      </c>
      <c r="L3447" s="169">
        <f>Imput[[#This Row],[Sub total]]+Imput[[#This Row],[IVA]]-Imput[[#This Row],[Retención / IEPS / Descuento]]</f>
        <v>0</v>
      </c>
      <c r="M3447" s="844">
        <v>0</v>
      </c>
      <c r="N3447" s="189"/>
      <c r="O3447" s="1"/>
      <c r="P3447" s="189"/>
      <c r="Q3447" s="190"/>
      <c r="R3447" s="188"/>
      <c r="S3447" s="193"/>
      <c r="T3447" s="192"/>
      <c r="U3447" s="829"/>
      <c r="V3447" s="10"/>
      <c r="W3447" s="10"/>
      <c r="X3447" s="10"/>
      <c r="Y3447" s="10"/>
      <c r="Z3447" s="10"/>
      <c r="AA3447" s="11"/>
      <c r="AB3447" s="11"/>
    </row>
    <row r="3448" spans="2:28" x14ac:dyDescent="0.3">
      <c r="B3448" s="10"/>
      <c r="C3448" s="315"/>
      <c r="D3448" s="868"/>
      <c r="E3448" s="837" t="str">
        <f>IFERROR(IF(_xlfn.XLOOKUP(Imput[[#This Row],[RFC]],'Alta Proveedor'!D:D,'Alta Proveedor'!E:E)=0,"",_xlfn.XLOOKUP(Imput[[#This Row],[RFC]],'Alta Proveedor'!D:D,'Alta Proveedor'!E:E)),"")</f>
        <v/>
      </c>
      <c r="F3448" s="832"/>
      <c r="G3448" s="187"/>
      <c r="H3448" s="1"/>
      <c r="I3448" s="169">
        <f>Imput[[#This Row],[Cantidad]]*Imput[[#This Row],[Precio Unitario]]</f>
        <v>0</v>
      </c>
      <c r="J3448" s="11">
        <f>((Imput[[#This Row],[Sub total]])*(0.16))</f>
        <v>0</v>
      </c>
      <c r="K3448" s="11">
        <v>0</v>
      </c>
      <c r="L3448" s="169">
        <f>Imput[[#This Row],[Sub total]]+Imput[[#This Row],[IVA]]-Imput[[#This Row],[Retención / IEPS / Descuento]]</f>
        <v>0</v>
      </c>
      <c r="M3448" s="844">
        <v>0</v>
      </c>
      <c r="N3448" s="189"/>
      <c r="O3448" s="1"/>
      <c r="P3448" s="189"/>
      <c r="Q3448" s="190"/>
      <c r="R3448" s="188"/>
      <c r="S3448" s="193"/>
      <c r="T3448" s="192"/>
      <c r="U3448" s="829"/>
      <c r="V3448" s="10"/>
      <c r="W3448" s="10"/>
      <c r="X3448" s="10"/>
      <c r="Y3448" s="10"/>
      <c r="Z3448" s="10"/>
      <c r="AA3448" s="11"/>
      <c r="AB3448" s="11"/>
    </row>
    <row r="3449" spans="2:28" x14ac:dyDescent="0.3">
      <c r="B3449" s="10"/>
      <c r="C3449" s="315"/>
      <c r="D3449" s="868"/>
      <c r="E3449" s="837" t="str">
        <f>IFERROR(IF(_xlfn.XLOOKUP(Imput[[#This Row],[RFC]],'Alta Proveedor'!D:D,'Alta Proveedor'!E:E)=0,"",_xlfn.XLOOKUP(Imput[[#This Row],[RFC]],'Alta Proveedor'!D:D,'Alta Proveedor'!E:E)),"")</f>
        <v/>
      </c>
      <c r="F3449" s="832"/>
      <c r="G3449" s="187"/>
      <c r="H3449" s="1"/>
      <c r="I3449" s="169">
        <f>Imput[[#This Row],[Cantidad]]*Imput[[#This Row],[Precio Unitario]]</f>
        <v>0</v>
      </c>
      <c r="J3449" s="11">
        <f>((Imput[[#This Row],[Sub total]])*(0.16))</f>
        <v>0</v>
      </c>
      <c r="K3449" s="11">
        <v>0</v>
      </c>
      <c r="L3449" s="169">
        <f>Imput[[#This Row],[Sub total]]+Imput[[#This Row],[IVA]]-Imput[[#This Row],[Retención / IEPS / Descuento]]</f>
        <v>0</v>
      </c>
      <c r="M3449" s="844">
        <v>0</v>
      </c>
      <c r="N3449" s="189"/>
      <c r="O3449" s="1"/>
      <c r="P3449" s="189"/>
      <c r="Q3449" s="190"/>
      <c r="R3449" s="188"/>
      <c r="S3449" s="193"/>
      <c r="T3449" s="192"/>
      <c r="U3449" s="829"/>
      <c r="V3449" s="10"/>
      <c r="W3449" s="10"/>
      <c r="X3449" s="10"/>
      <c r="Y3449" s="10"/>
      <c r="Z3449" s="10"/>
      <c r="AA3449" s="11"/>
      <c r="AB3449" s="11"/>
    </row>
    <row r="3450" spans="2:28" x14ac:dyDescent="0.3">
      <c r="B3450" s="10"/>
      <c r="C3450" s="315"/>
      <c r="D3450" s="868"/>
      <c r="E3450" s="837" t="str">
        <f>IFERROR(IF(_xlfn.XLOOKUP(Imput[[#This Row],[RFC]],'Alta Proveedor'!D:D,'Alta Proveedor'!E:E)=0,"",_xlfn.XLOOKUP(Imput[[#This Row],[RFC]],'Alta Proveedor'!D:D,'Alta Proveedor'!E:E)),"")</f>
        <v/>
      </c>
      <c r="F3450" s="832"/>
      <c r="G3450" s="187"/>
      <c r="H3450" s="1"/>
      <c r="I3450" s="169">
        <f>Imput[[#This Row],[Cantidad]]*Imput[[#This Row],[Precio Unitario]]</f>
        <v>0</v>
      </c>
      <c r="J3450" s="11">
        <f>((Imput[[#This Row],[Sub total]])*(0.16))</f>
        <v>0</v>
      </c>
      <c r="K3450" s="11">
        <v>0</v>
      </c>
      <c r="L3450" s="169">
        <f>Imput[[#This Row],[Sub total]]+Imput[[#This Row],[IVA]]-Imput[[#This Row],[Retención / IEPS / Descuento]]</f>
        <v>0</v>
      </c>
      <c r="M3450" s="844">
        <v>0</v>
      </c>
      <c r="N3450" s="189"/>
      <c r="O3450" s="1"/>
      <c r="P3450" s="189"/>
      <c r="Q3450" s="190"/>
      <c r="R3450" s="188"/>
      <c r="S3450" s="193"/>
      <c r="T3450" s="192"/>
      <c r="U3450" s="829"/>
      <c r="V3450" s="10"/>
      <c r="W3450" s="10"/>
      <c r="X3450" s="10"/>
      <c r="Y3450" s="10"/>
      <c r="Z3450" s="10"/>
      <c r="AA3450" s="11"/>
      <c r="AB3450" s="11"/>
    </row>
    <row r="3451" spans="2:28" x14ac:dyDescent="0.3">
      <c r="B3451" s="10"/>
      <c r="C3451" s="315"/>
      <c r="D3451" s="868"/>
      <c r="E3451" s="837" t="str">
        <f>IFERROR(IF(_xlfn.XLOOKUP(Imput[[#This Row],[RFC]],'Alta Proveedor'!D:D,'Alta Proveedor'!E:E)=0,"",_xlfn.XLOOKUP(Imput[[#This Row],[RFC]],'Alta Proveedor'!D:D,'Alta Proveedor'!E:E)),"")</f>
        <v/>
      </c>
      <c r="F3451" s="832"/>
      <c r="G3451" s="187"/>
      <c r="H3451" s="1"/>
      <c r="I3451" s="169">
        <f>Imput[[#This Row],[Cantidad]]*Imput[[#This Row],[Precio Unitario]]</f>
        <v>0</v>
      </c>
      <c r="J3451" s="11">
        <f>((Imput[[#This Row],[Sub total]])*(0.16))</f>
        <v>0</v>
      </c>
      <c r="K3451" s="11">
        <v>0</v>
      </c>
      <c r="L3451" s="169">
        <f>Imput[[#This Row],[Sub total]]+Imput[[#This Row],[IVA]]-Imput[[#This Row],[Retención / IEPS / Descuento]]</f>
        <v>0</v>
      </c>
      <c r="M3451" s="844">
        <v>0</v>
      </c>
      <c r="N3451" s="189"/>
      <c r="O3451" s="1"/>
      <c r="P3451" s="189"/>
      <c r="Q3451" s="190"/>
      <c r="R3451" s="188"/>
      <c r="S3451" s="193"/>
      <c r="T3451" s="192"/>
      <c r="U3451" s="829"/>
      <c r="V3451" s="10"/>
      <c r="W3451" s="10"/>
      <c r="X3451" s="10"/>
      <c r="Y3451" s="10"/>
      <c r="Z3451" s="10"/>
      <c r="AA3451" s="11"/>
      <c r="AB3451" s="11"/>
    </row>
    <row r="3452" spans="2:28" x14ac:dyDescent="0.3">
      <c r="B3452" s="10"/>
      <c r="C3452" s="315"/>
      <c r="D3452" s="868"/>
      <c r="E3452" s="837" t="str">
        <f>IFERROR(IF(_xlfn.XLOOKUP(Imput[[#This Row],[RFC]],'Alta Proveedor'!D:D,'Alta Proveedor'!E:E)=0,"",_xlfn.XLOOKUP(Imput[[#This Row],[RFC]],'Alta Proveedor'!D:D,'Alta Proveedor'!E:E)),"")</f>
        <v/>
      </c>
      <c r="F3452" s="832"/>
      <c r="G3452" s="187"/>
      <c r="H3452" s="1"/>
      <c r="I3452" s="169">
        <f>Imput[[#This Row],[Cantidad]]*Imput[[#This Row],[Precio Unitario]]</f>
        <v>0</v>
      </c>
      <c r="J3452" s="11">
        <f>((Imput[[#This Row],[Sub total]])*(0.16))</f>
        <v>0</v>
      </c>
      <c r="K3452" s="11">
        <v>0</v>
      </c>
      <c r="L3452" s="169">
        <f>Imput[[#This Row],[Sub total]]+Imput[[#This Row],[IVA]]-Imput[[#This Row],[Retención / IEPS / Descuento]]</f>
        <v>0</v>
      </c>
      <c r="M3452" s="844">
        <v>0</v>
      </c>
      <c r="N3452" s="189"/>
      <c r="O3452" s="1"/>
      <c r="P3452" s="189"/>
      <c r="Q3452" s="190"/>
      <c r="R3452" s="188"/>
      <c r="S3452" s="193"/>
      <c r="T3452" s="192"/>
      <c r="U3452" s="829"/>
      <c r="V3452" s="10"/>
      <c r="W3452" s="10"/>
      <c r="X3452" s="10"/>
      <c r="Y3452" s="10"/>
      <c r="Z3452" s="10"/>
      <c r="AA3452" s="11"/>
      <c r="AB3452" s="11"/>
    </row>
    <row r="3453" spans="2:28" x14ac:dyDescent="0.3">
      <c r="B3453" s="10"/>
      <c r="C3453" s="315"/>
      <c r="D3453" s="868"/>
      <c r="E3453" s="837" t="str">
        <f>IFERROR(IF(_xlfn.XLOOKUP(Imput[[#This Row],[RFC]],'Alta Proveedor'!D:D,'Alta Proveedor'!E:E)=0,"",_xlfn.XLOOKUP(Imput[[#This Row],[RFC]],'Alta Proveedor'!D:D,'Alta Proveedor'!E:E)),"")</f>
        <v/>
      </c>
      <c r="F3453" s="832"/>
      <c r="G3453" s="187"/>
      <c r="H3453" s="1"/>
      <c r="I3453" s="169">
        <f>Imput[[#This Row],[Cantidad]]*Imput[[#This Row],[Precio Unitario]]</f>
        <v>0</v>
      </c>
      <c r="J3453" s="11">
        <f>((Imput[[#This Row],[Sub total]])*(0.16))</f>
        <v>0</v>
      </c>
      <c r="K3453" s="11">
        <v>0</v>
      </c>
      <c r="L3453" s="169">
        <f>Imput[[#This Row],[Sub total]]+Imput[[#This Row],[IVA]]-Imput[[#This Row],[Retención / IEPS / Descuento]]</f>
        <v>0</v>
      </c>
      <c r="M3453" s="844">
        <v>0</v>
      </c>
      <c r="N3453" s="189"/>
      <c r="O3453" s="1"/>
      <c r="P3453" s="189"/>
      <c r="Q3453" s="190"/>
      <c r="R3453" s="188"/>
      <c r="S3453" s="193"/>
      <c r="T3453" s="192"/>
      <c r="U3453" s="829"/>
      <c r="V3453" s="10"/>
      <c r="W3453" s="10"/>
      <c r="X3453" s="10"/>
      <c r="Y3453" s="10"/>
      <c r="Z3453" s="10"/>
      <c r="AA3453" s="11"/>
      <c r="AB3453" s="11"/>
    </row>
    <row r="3454" spans="2:28" x14ac:dyDescent="0.3">
      <c r="B3454" s="10"/>
      <c r="C3454" s="315"/>
      <c r="D3454" s="868"/>
      <c r="E3454" s="837" t="str">
        <f>IFERROR(IF(_xlfn.XLOOKUP(Imput[[#This Row],[RFC]],'Alta Proveedor'!D:D,'Alta Proveedor'!E:E)=0,"",_xlfn.XLOOKUP(Imput[[#This Row],[RFC]],'Alta Proveedor'!D:D,'Alta Proveedor'!E:E)),"")</f>
        <v/>
      </c>
      <c r="F3454" s="832"/>
      <c r="G3454" s="187"/>
      <c r="H3454" s="1"/>
      <c r="I3454" s="169">
        <f>Imput[[#This Row],[Cantidad]]*Imput[[#This Row],[Precio Unitario]]</f>
        <v>0</v>
      </c>
      <c r="J3454" s="11">
        <f>((Imput[[#This Row],[Sub total]])*(0.16))</f>
        <v>0</v>
      </c>
      <c r="K3454" s="11">
        <v>0</v>
      </c>
      <c r="L3454" s="169">
        <f>Imput[[#This Row],[Sub total]]+Imput[[#This Row],[IVA]]-Imput[[#This Row],[Retención / IEPS / Descuento]]</f>
        <v>0</v>
      </c>
      <c r="M3454" s="844">
        <v>0</v>
      </c>
      <c r="N3454" s="189"/>
      <c r="O3454" s="1"/>
      <c r="P3454" s="189"/>
      <c r="Q3454" s="190"/>
      <c r="R3454" s="188"/>
      <c r="S3454" s="193"/>
      <c r="T3454" s="192"/>
      <c r="U3454" s="829"/>
      <c r="V3454" s="10"/>
      <c r="W3454" s="10"/>
      <c r="X3454" s="10"/>
      <c r="Y3454" s="10"/>
      <c r="Z3454" s="10"/>
      <c r="AA3454" s="11"/>
      <c r="AB3454" s="11"/>
    </row>
    <row r="3455" spans="2:28" x14ac:dyDescent="0.3">
      <c r="B3455" s="10"/>
      <c r="C3455" s="315"/>
      <c r="D3455" s="868"/>
      <c r="E3455" s="837" t="str">
        <f>IFERROR(IF(_xlfn.XLOOKUP(Imput[[#This Row],[RFC]],'Alta Proveedor'!D:D,'Alta Proveedor'!E:E)=0,"",_xlfn.XLOOKUP(Imput[[#This Row],[RFC]],'Alta Proveedor'!D:D,'Alta Proveedor'!E:E)),"")</f>
        <v/>
      </c>
      <c r="F3455" s="832"/>
      <c r="G3455" s="187"/>
      <c r="H3455" s="1"/>
      <c r="I3455" s="169">
        <f>Imput[[#This Row],[Cantidad]]*Imput[[#This Row],[Precio Unitario]]</f>
        <v>0</v>
      </c>
      <c r="J3455" s="11">
        <f>((Imput[[#This Row],[Sub total]])*(0.16))</f>
        <v>0</v>
      </c>
      <c r="K3455" s="11">
        <v>0</v>
      </c>
      <c r="L3455" s="169">
        <f>Imput[[#This Row],[Sub total]]+Imput[[#This Row],[IVA]]-Imput[[#This Row],[Retención / IEPS / Descuento]]</f>
        <v>0</v>
      </c>
      <c r="M3455" s="844">
        <v>0</v>
      </c>
      <c r="N3455" s="189"/>
      <c r="O3455" s="1"/>
      <c r="P3455" s="189"/>
      <c r="Q3455" s="190"/>
      <c r="R3455" s="188"/>
      <c r="S3455" s="193"/>
      <c r="T3455" s="192"/>
      <c r="U3455" s="829"/>
      <c r="V3455" s="10"/>
      <c r="W3455" s="10"/>
      <c r="X3455" s="10"/>
      <c r="Y3455" s="10"/>
      <c r="Z3455" s="10"/>
      <c r="AA3455" s="11"/>
      <c r="AB3455" s="11"/>
    </row>
    <row r="3456" spans="2:28" x14ac:dyDescent="0.3">
      <c r="B3456" s="10"/>
      <c r="C3456" s="315"/>
      <c r="D3456" s="868"/>
      <c r="E3456" s="837" t="str">
        <f>IFERROR(IF(_xlfn.XLOOKUP(Imput[[#This Row],[RFC]],'Alta Proveedor'!D:D,'Alta Proveedor'!E:E)=0,"",_xlfn.XLOOKUP(Imput[[#This Row],[RFC]],'Alta Proveedor'!D:D,'Alta Proveedor'!E:E)),"")</f>
        <v/>
      </c>
      <c r="F3456" s="832"/>
      <c r="G3456" s="187"/>
      <c r="H3456" s="1"/>
      <c r="I3456" s="169">
        <f>Imput[[#This Row],[Cantidad]]*Imput[[#This Row],[Precio Unitario]]</f>
        <v>0</v>
      </c>
      <c r="J3456" s="11">
        <f>((Imput[[#This Row],[Sub total]])*(0.16))</f>
        <v>0</v>
      </c>
      <c r="K3456" s="11">
        <v>0</v>
      </c>
      <c r="L3456" s="169">
        <f>Imput[[#This Row],[Sub total]]+Imput[[#This Row],[IVA]]-Imput[[#This Row],[Retención / IEPS / Descuento]]</f>
        <v>0</v>
      </c>
      <c r="M3456" s="844">
        <v>0</v>
      </c>
      <c r="N3456" s="189"/>
      <c r="O3456" s="1"/>
      <c r="P3456" s="189"/>
      <c r="Q3456" s="190"/>
      <c r="R3456" s="188"/>
      <c r="S3456" s="193"/>
      <c r="T3456" s="192"/>
      <c r="U3456" s="829"/>
      <c r="V3456" s="10"/>
      <c r="W3456" s="10"/>
      <c r="X3456" s="10"/>
      <c r="Y3456" s="10"/>
      <c r="Z3456" s="10"/>
      <c r="AA3456" s="11"/>
      <c r="AB3456" s="11"/>
    </row>
    <row r="3457" spans="2:28" x14ac:dyDescent="0.3">
      <c r="B3457" s="10"/>
      <c r="C3457" s="315"/>
      <c r="D3457" s="868"/>
      <c r="E3457" s="837" t="str">
        <f>IFERROR(IF(_xlfn.XLOOKUP(Imput[[#This Row],[RFC]],'Alta Proveedor'!D:D,'Alta Proveedor'!E:E)=0,"",_xlfn.XLOOKUP(Imput[[#This Row],[RFC]],'Alta Proveedor'!D:D,'Alta Proveedor'!E:E)),"")</f>
        <v/>
      </c>
      <c r="F3457" s="832"/>
      <c r="G3457" s="187"/>
      <c r="H3457" s="1"/>
      <c r="I3457" s="169">
        <f>Imput[[#This Row],[Cantidad]]*Imput[[#This Row],[Precio Unitario]]</f>
        <v>0</v>
      </c>
      <c r="J3457" s="11">
        <f>((Imput[[#This Row],[Sub total]])*(0.16))</f>
        <v>0</v>
      </c>
      <c r="K3457" s="11">
        <v>0</v>
      </c>
      <c r="L3457" s="169">
        <f>Imput[[#This Row],[Sub total]]+Imput[[#This Row],[IVA]]-Imput[[#This Row],[Retención / IEPS / Descuento]]</f>
        <v>0</v>
      </c>
      <c r="M3457" s="844">
        <v>0</v>
      </c>
      <c r="N3457" s="189"/>
      <c r="O3457" s="1"/>
      <c r="P3457" s="189"/>
      <c r="Q3457" s="190"/>
      <c r="R3457" s="188"/>
      <c r="S3457" s="193"/>
      <c r="T3457" s="192"/>
      <c r="U3457" s="829"/>
      <c r="V3457" s="10"/>
      <c r="W3457" s="10"/>
      <c r="X3457" s="10"/>
      <c r="Y3457" s="10"/>
      <c r="Z3457" s="10"/>
      <c r="AA3457" s="11"/>
      <c r="AB3457" s="11"/>
    </row>
    <row r="3458" spans="2:28" x14ac:dyDescent="0.3">
      <c r="B3458" s="10"/>
      <c r="C3458" s="315"/>
      <c r="D3458" s="868"/>
      <c r="E3458" s="837" t="str">
        <f>IFERROR(IF(_xlfn.XLOOKUP(Imput[[#This Row],[RFC]],'Alta Proveedor'!D:D,'Alta Proveedor'!E:E)=0,"",_xlfn.XLOOKUP(Imput[[#This Row],[RFC]],'Alta Proveedor'!D:D,'Alta Proveedor'!E:E)),"")</f>
        <v/>
      </c>
      <c r="F3458" s="832"/>
      <c r="G3458" s="187"/>
      <c r="H3458" s="1"/>
      <c r="I3458" s="169">
        <f>Imput[[#This Row],[Cantidad]]*Imput[[#This Row],[Precio Unitario]]</f>
        <v>0</v>
      </c>
      <c r="J3458" s="11">
        <f>((Imput[[#This Row],[Sub total]])*(0.16))</f>
        <v>0</v>
      </c>
      <c r="K3458" s="11">
        <v>0</v>
      </c>
      <c r="L3458" s="169">
        <f>Imput[[#This Row],[Sub total]]+Imput[[#This Row],[IVA]]-Imput[[#This Row],[Retención / IEPS / Descuento]]</f>
        <v>0</v>
      </c>
      <c r="M3458" s="844">
        <v>0</v>
      </c>
      <c r="N3458" s="189"/>
      <c r="O3458" s="1"/>
      <c r="P3458" s="189"/>
      <c r="Q3458" s="190"/>
      <c r="R3458" s="188"/>
      <c r="S3458" s="193"/>
      <c r="T3458" s="192"/>
      <c r="U3458" s="829"/>
      <c r="V3458" s="10"/>
      <c r="W3458" s="10"/>
      <c r="X3458" s="10"/>
      <c r="Y3458" s="10"/>
      <c r="Z3458" s="10"/>
      <c r="AA3458" s="11"/>
      <c r="AB3458" s="11"/>
    </row>
    <row r="3459" spans="2:28" x14ac:dyDescent="0.3">
      <c r="B3459" s="10"/>
      <c r="C3459" s="315"/>
      <c r="D3459" s="868"/>
      <c r="E3459" s="837" t="str">
        <f>IFERROR(IF(_xlfn.XLOOKUP(Imput[[#This Row],[RFC]],'Alta Proveedor'!D:D,'Alta Proveedor'!E:E)=0,"",_xlfn.XLOOKUP(Imput[[#This Row],[RFC]],'Alta Proveedor'!D:D,'Alta Proveedor'!E:E)),"")</f>
        <v/>
      </c>
      <c r="F3459" s="832"/>
      <c r="G3459" s="187"/>
      <c r="H3459" s="1"/>
      <c r="I3459" s="169">
        <f>Imput[[#This Row],[Cantidad]]*Imput[[#This Row],[Precio Unitario]]</f>
        <v>0</v>
      </c>
      <c r="J3459" s="11">
        <f>((Imput[[#This Row],[Sub total]])*(0.16))</f>
        <v>0</v>
      </c>
      <c r="K3459" s="11">
        <v>0</v>
      </c>
      <c r="L3459" s="169">
        <f>Imput[[#This Row],[Sub total]]+Imput[[#This Row],[IVA]]-Imput[[#This Row],[Retención / IEPS / Descuento]]</f>
        <v>0</v>
      </c>
      <c r="M3459" s="844">
        <v>0</v>
      </c>
      <c r="N3459" s="189"/>
      <c r="O3459" s="1"/>
      <c r="P3459" s="189"/>
      <c r="Q3459" s="190"/>
      <c r="R3459" s="188"/>
      <c r="S3459" s="193"/>
      <c r="T3459" s="192"/>
      <c r="U3459" s="829"/>
      <c r="V3459" s="10"/>
      <c r="W3459" s="10"/>
      <c r="X3459" s="10"/>
      <c r="Y3459" s="10"/>
      <c r="Z3459" s="10"/>
      <c r="AA3459" s="11"/>
      <c r="AB3459" s="11"/>
    </row>
    <row r="3460" spans="2:28" x14ac:dyDescent="0.3">
      <c r="B3460" s="10"/>
      <c r="C3460" s="315"/>
      <c r="D3460" s="868"/>
      <c r="E3460" s="837" t="str">
        <f>IFERROR(IF(_xlfn.XLOOKUP(Imput[[#This Row],[RFC]],'Alta Proveedor'!D:D,'Alta Proveedor'!E:E)=0,"",_xlfn.XLOOKUP(Imput[[#This Row],[RFC]],'Alta Proveedor'!D:D,'Alta Proveedor'!E:E)),"")</f>
        <v/>
      </c>
      <c r="F3460" s="832"/>
      <c r="G3460" s="187"/>
      <c r="H3460" s="1"/>
      <c r="I3460" s="169">
        <f>Imput[[#This Row],[Cantidad]]*Imput[[#This Row],[Precio Unitario]]</f>
        <v>0</v>
      </c>
      <c r="J3460" s="11">
        <f>((Imput[[#This Row],[Sub total]])*(0.16))</f>
        <v>0</v>
      </c>
      <c r="K3460" s="11">
        <v>0</v>
      </c>
      <c r="L3460" s="169">
        <f>Imput[[#This Row],[Sub total]]+Imput[[#This Row],[IVA]]-Imput[[#This Row],[Retención / IEPS / Descuento]]</f>
        <v>0</v>
      </c>
      <c r="M3460" s="844">
        <v>0</v>
      </c>
      <c r="N3460" s="189"/>
      <c r="O3460" s="1"/>
      <c r="P3460" s="189"/>
      <c r="Q3460" s="190"/>
      <c r="R3460" s="188"/>
      <c r="S3460" s="193"/>
      <c r="T3460" s="192"/>
      <c r="U3460" s="829"/>
      <c r="V3460" s="10"/>
      <c r="W3460" s="10"/>
      <c r="X3460" s="10"/>
      <c r="Y3460" s="10"/>
      <c r="Z3460" s="10"/>
      <c r="AA3460" s="11"/>
      <c r="AB3460" s="11"/>
    </row>
    <row r="3461" spans="2:28" x14ac:dyDescent="0.3">
      <c r="B3461" s="10"/>
      <c r="C3461" s="315"/>
      <c r="D3461" s="868"/>
      <c r="E3461" s="837" t="str">
        <f>IFERROR(IF(_xlfn.XLOOKUP(Imput[[#This Row],[RFC]],'Alta Proveedor'!D:D,'Alta Proveedor'!E:E)=0,"",_xlfn.XLOOKUP(Imput[[#This Row],[RFC]],'Alta Proveedor'!D:D,'Alta Proveedor'!E:E)),"")</f>
        <v/>
      </c>
      <c r="F3461" s="832"/>
      <c r="G3461" s="187"/>
      <c r="H3461" s="1"/>
      <c r="I3461" s="169">
        <f>Imput[[#This Row],[Cantidad]]*Imput[[#This Row],[Precio Unitario]]</f>
        <v>0</v>
      </c>
      <c r="J3461" s="11">
        <f>((Imput[[#This Row],[Sub total]])*(0.16))</f>
        <v>0</v>
      </c>
      <c r="K3461" s="11">
        <v>0</v>
      </c>
      <c r="L3461" s="169">
        <f>Imput[[#This Row],[Sub total]]+Imput[[#This Row],[IVA]]-Imput[[#This Row],[Retención / IEPS / Descuento]]</f>
        <v>0</v>
      </c>
      <c r="M3461" s="844">
        <v>0</v>
      </c>
      <c r="N3461" s="189"/>
      <c r="O3461" s="1"/>
      <c r="P3461" s="189"/>
      <c r="Q3461" s="190"/>
      <c r="R3461" s="188"/>
      <c r="S3461" s="193"/>
      <c r="T3461" s="192"/>
      <c r="U3461" s="829"/>
      <c r="V3461" s="10"/>
      <c r="W3461" s="10"/>
      <c r="X3461" s="10"/>
      <c r="Y3461" s="10"/>
      <c r="Z3461" s="10"/>
      <c r="AA3461" s="11"/>
      <c r="AB3461" s="11"/>
    </row>
    <row r="3462" spans="2:28" x14ac:dyDescent="0.3">
      <c r="B3462" s="10"/>
      <c r="C3462" s="315"/>
      <c r="D3462" s="868"/>
      <c r="E3462" s="837" t="str">
        <f>IFERROR(IF(_xlfn.XLOOKUP(Imput[[#This Row],[RFC]],'Alta Proveedor'!D:D,'Alta Proveedor'!E:E)=0,"",_xlfn.XLOOKUP(Imput[[#This Row],[RFC]],'Alta Proveedor'!D:D,'Alta Proveedor'!E:E)),"")</f>
        <v/>
      </c>
      <c r="F3462" s="832"/>
      <c r="G3462" s="187"/>
      <c r="H3462" s="1"/>
      <c r="I3462" s="169">
        <f>Imput[[#This Row],[Cantidad]]*Imput[[#This Row],[Precio Unitario]]</f>
        <v>0</v>
      </c>
      <c r="J3462" s="11">
        <f>((Imput[[#This Row],[Sub total]])*(0.16))</f>
        <v>0</v>
      </c>
      <c r="K3462" s="11">
        <v>0</v>
      </c>
      <c r="L3462" s="169">
        <f>Imput[[#This Row],[Sub total]]+Imput[[#This Row],[IVA]]-Imput[[#This Row],[Retención / IEPS / Descuento]]</f>
        <v>0</v>
      </c>
      <c r="M3462" s="844">
        <v>0</v>
      </c>
      <c r="N3462" s="189"/>
      <c r="O3462" s="1"/>
      <c r="P3462" s="189"/>
      <c r="Q3462" s="190"/>
      <c r="R3462" s="188"/>
      <c r="S3462" s="193"/>
      <c r="T3462" s="192"/>
      <c r="U3462" s="829"/>
      <c r="V3462" s="10"/>
      <c r="W3462" s="10"/>
      <c r="X3462" s="10"/>
      <c r="Y3462" s="10"/>
      <c r="Z3462" s="10"/>
      <c r="AA3462" s="11"/>
      <c r="AB3462" s="11"/>
    </row>
    <row r="3463" spans="2:28" x14ac:dyDescent="0.3">
      <c r="B3463" s="10"/>
      <c r="C3463" s="315"/>
      <c r="D3463" s="868"/>
      <c r="E3463" s="837" t="str">
        <f>IFERROR(IF(_xlfn.XLOOKUP(Imput[[#This Row],[RFC]],'Alta Proveedor'!D:D,'Alta Proveedor'!E:E)=0,"",_xlfn.XLOOKUP(Imput[[#This Row],[RFC]],'Alta Proveedor'!D:D,'Alta Proveedor'!E:E)),"")</f>
        <v/>
      </c>
      <c r="F3463" s="832"/>
      <c r="G3463" s="187"/>
      <c r="H3463" s="1"/>
      <c r="I3463" s="169">
        <f>Imput[[#This Row],[Cantidad]]*Imput[[#This Row],[Precio Unitario]]</f>
        <v>0</v>
      </c>
      <c r="J3463" s="11">
        <f>((Imput[[#This Row],[Sub total]])*(0.16))</f>
        <v>0</v>
      </c>
      <c r="K3463" s="11">
        <v>0</v>
      </c>
      <c r="L3463" s="169">
        <f>Imput[[#This Row],[Sub total]]+Imput[[#This Row],[IVA]]-Imput[[#This Row],[Retención / IEPS / Descuento]]</f>
        <v>0</v>
      </c>
      <c r="M3463" s="844">
        <v>0</v>
      </c>
      <c r="N3463" s="189"/>
      <c r="O3463" s="1"/>
      <c r="P3463" s="189"/>
      <c r="Q3463" s="190"/>
      <c r="R3463" s="188"/>
      <c r="S3463" s="193"/>
      <c r="T3463" s="192"/>
      <c r="U3463" s="829"/>
      <c r="V3463" s="10"/>
      <c r="W3463" s="10"/>
      <c r="X3463" s="10"/>
      <c r="Y3463" s="10"/>
      <c r="Z3463" s="10"/>
      <c r="AA3463" s="11"/>
      <c r="AB3463" s="11"/>
    </row>
    <row r="3464" spans="2:28" x14ac:dyDescent="0.3">
      <c r="B3464" s="10"/>
      <c r="C3464" s="315"/>
      <c r="D3464" s="868"/>
      <c r="E3464" s="837" t="str">
        <f>IFERROR(IF(_xlfn.XLOOKUP(Imput[[#This Row],[RFC]],'Alta Proveedor'!D:D,'Alta Proveedor'!E:E)=0,"",_xlfn.XLOOKUP(Imput[[#This Row],[RFC]],'Alta Proveedor'!D:D,'Alta Proveedor'!E:E)),"")</f>
        <v/>
      </c>
      <c r="F3464" s="832"/>
      <c r="G3464" s="187"/>
      <c r="H3464" s="1"/>
      <c r="I3464" s="169">
        <f>Imput[[#This Row],[Cantidad]]*Imput[[#This Row],[Precio Unitario]]</f>
        <v>0</v>
      </c>
      <c r="J3464" s="11">
        <f>((Imput[[#This Row],[Sub total]])*(0.16))</f>
        <v>0</v>
      </c>
      <c r="K3464" s="11">
        <v>0</v>
      </c>
      <c r="L3464" s="169">
        <f>Imput[[#This Row],[Sub total]]+Imput[[#This Row],[IVA]]-Imput[[#This Row],[Retención / IEPS / Descuento]]</f>
        <v>0</v>
      </c>
      <c r="M3464" s="844">
        <v>0</v>
      </c>
      <c r="N3464" s="189"/>
      <c r="O3464" s="1"/>
      <c r="P3464" s="189"/>
      <c r="Q3464" s="190"/>
      <c r="R3464" s="188"/>
      <c r="S3464" s="193"/>
      <c r="T3464" s="192"/>
      <c r="U3464" s="829"/>
      <c r="V3464" s="10"/>
      <c r="W3464" s="10"/>
      <c r="X3464" s="10"/>
      <c r="Y3464" s="10"/>
      <c r="Z3464" s="10"/>
      <c r="AA3464" s="11"/>
      <c r="AB3464" s="11"/>
    </row>
    <row r="3465" spans="2:28" x14ac:dyDescent="0.3">
      <c r="B3465" s="10"/>
      <c r="C3465" s="315"/>
      <c r="D3465" s="868"/>
      <c r="E3465" s="837" t="str">
        <f>IFERROR(IF(_xlfn.XLOOKUP(Imput[[#This Row],[RFC]],'Alta Proveedor'!D:D,'Alta Proveedor'!E:E)=0,"",_xlfn.XLOOKUP(Imput[[#This Row],[RFC]],'Alta Proveedor'!D:D,'Alta Proveedor'!E:E)),"")</f>
        <v/>
      </c>
      <c r="F3465" s="832"/>
      <c r="G3465" s="187"/>
      <c r="H3465" s="1"/>
      <c r="I3465" s="169">
        <f>Imput[[#This Row],[Cantidad]]*Imput[[#This Row],[Precio Unitario]]</f>
        <v>0</v>
      </c>
      <c r="J3465" s="11">
        <f>((Imput[[#This Row],[Sub total]])*(0.16))</f>
        <v>0</v>
      </c>
      <c r="K3465" s="11">
        <v>0</v>
      </c>
      <c r="L3465" s="169">
        <f>Imput[[#This Row],[Sub total]]+Imput[[#This Row],[IVA]]-Imput[[#This Row],[Retención / IEPS / Descuento]]</f>
        <v>0</v>
      </c>
      <c r="M3465" s="844">
        <v>0</v>
      </c>
      <c r="N3465" s="189"/>
      <c r="O3465" s="1"/>
      <c r="P3465" s="189"/>
      <c r="Q3465" s="190"/>
      <c r="R3465" s="188"/>
      <c r="S3465" s="193"/>
      <c r="T3465" s="192"/>
      <c r="U3465" s="829"/>
      <c r="V3465" s="10"/>
      <c r="W3465" s="10"/>
      <c r="X3465" s="10"/>
      <c r="Y3465" s="10"/>
      <c r="Z3465" s="10"/>
      <c r="AA3465" s="11"/>
      <c r="AB3465" s="11"/>
    </row>
    <row r="3466" spans="2:28" x14ac:dyDescent="0.3">
      <c r="B3466" s="10"/>
      <c r="C3466" s="315"/>
      <c r="D3466" s="868"/>
      <c r="E3466" s="837" t="str">
        <f>IFERROR(IF(_xlfn.XLOOKUP(Imput[[#This Row],[RFC]],'Alta Proveedor'!D:D,'Alta Proveedor'!E:E)=0,"",_xlfn.XLOOKUP(Imput[[#This Row],[RFC]],'Alta Proveedor'!D:D,'Alta Proveedor'!E:E)),"")</f>
        <v/>
      </c>
      <c r="F3466" s="832"/>
      <c r="G3466" s="187"/>
      <c r="H3466" s="1"/>
      <c r="I3466" s="169">
        <f>Imput[[#This Row],[Cantidad]]*Imput[[#This Row],[Precio Unitario]]</f>
        <v>0</v>
      </c>
      <c r="J3466" s="11">
        <f>((Imput[[#This Row],[Sub total]])*(0.16))</f>
        <v>0</v>
      </c>
      <c r="K3466" s="11">
        <v>0</v>
      </c>
      <c r="L3466" s="169">
        <f>Imput[[#This Row],[Sub total]]+Imput[[#This Row],[IVA]]-Imput[[#This Row],[Retención / IEPS / Descuento]]</f>
        <v>0</v>
      </c>
      <c r="M3466" s="844">
        <v>0</v>
      </c>
      <c r="N3466" s="189"/>
      <c r="O3466" s="1"/>
      <c r="P3466" s="189"/>
      <c r="Q3466" s="190"/>
      <c r="R3466" s="188"/>
      <c r="S3466" s="193"/>
      <c r="T3466" s="192"/>
      <c r="U3466" s="829"/>
      <c r="V3466" s="10"/>
      <c r="W3466" s="10"/>
      <c r="X3466" s="10"/>
      <c r="Y3466" s="10"/>
      <c r="Z3466" s="10"/>
      <c r="AA3466" s="11"/>
      <c r="AB3466" s="11"/>
    </row>
    <row r="3467" spans="2:28" x14ac:dyDescent="0.3">
      <c r="B3467" s="10"/>
      <c r="C3467" s="315"/>
      <c r="D3467" s="868"/>
      <c r="E3467" s="837" t="str">
        <f>IFERROR(IF(_xlfn.XLOOKUP(Imput[[#This Row],[RFC]],'Alta Proveedor'!D:D,'Alta Proveedor'!E:E)=0,"",_xlfn.XLOOKUP(Imput[[#This Row],[RFC]],'Alta Proveedor'!D:D,'Alta Proveedor'!E:E)),"")</f>
        <v/>
      </c>
      <c r="F3467" s="832"/>
      <c r="G3467" s="187"/>
      <c r="H3467" s="1"/>
      <c r="I3467" s="169">
        <f>Imput[[#This Row],[Cantidad]]*Imput[[#This Row],[Precio Unitario]]</f>
        <v>0</v>
      </c>
      <c r="J3467" s="11">
        <f>((Imput[[#This Row],[Sub total]])*(0.16))</f>
        <v>0</v>
      </c>
      <c r="K3467" s="11">
        <v>0</v>
      </c>
      <c r="L3467" s="169">
        <f>Imput[[#This Row],[Sub total]]+Imput[[#This Row],[IVA]]-Imput[[#This Row],[Retención / IEPS / Descuento]]</f>
        <v>0</v>
      </c>
      <c r="M3467" s="844">
        <v>0</v>
      </c>
      <c r="N3467" s="189"/>
      <c r="O3467" s="1"/>
      <c r="P3467" s="189"/>
      <c r="Q3467" s="190"/>
      <c r="R3467" s="188"/>
      <c r="S3467" s="193"/>
      <c r="T3467" s="192"/>
      <c r="U3467" s="829"/>
      <c r="V3467" s="10"/>
      <c r="W3467" s="10"/>
      <c r="X3467" s="10"/>
      <c r="Y3467" s="10"/>
      <c r="Z3467" s="10"/>
      <c r="AA3467" s="11"/>
      <c r="AB3467" s="11"/>
    </row>
    <row r="3468" spans="2:28" x14ac:dyDescent="0.3">
      <c r="B3468" s="10"/>
      <c r="C3468" s="315"/>
      <c r="D3468" s="868"/>
      <c r="E3468" s="837" t="str">
        <f>IFERROR(IF(_xlfn.XLOOKUP(Imput[[#This Row],[RFC]],'Alta Proveedor'!D:D,'Alta Proveedor'!E:E)=0,"",_xlfn.XLOOKUP(Imput[[#This Row],[RFC]],'Alta Proveedor'!D:D,'Alta Proveedor'!E:E)),"")</f>
        <v/>
      </c>
      <c r="F3468" s="832"/>
      <c r="G3468" s="187"/>
      <c r="H3468" s="1"/>
      <c r="I3468" s="169">
        <f>Imput[[#This Row],[Cantidad]]*Imput[[#This Row],[Precio Unitario]]</f>
        <v>0</v>
      </c>
      <c r="J3468" s="11">
        <f>((Imput[[#This Row],[Sub total]])*(0.16))</f>
        <v>0</v>
      </c>
      <c r="K3468" s="11">
        <v>0</v>
      </c>
      <c r="L3468" s="169">
        <f>Imput[[#This Row],[Sub total]]+Imput[[#This Row],[IVA]]-Imput[[#This Row],[Retención / IEPS / Descuento]]</f>
        <v>0</v>
      </c>
      <c r="M3468" s="844">
        <v>0</v>
      </c>
      <c r="N3468" s="189"/>
      <c r="O3468" s="1"/>
      <c r="P3468" s="189"/>
      <c r="Q3468" s="190"/>
      <c r="R3468" s="188"/>
      <c r="S3468" s="193"/>
      <c r="T3468" s="192"/>
      <c r="U3468" s="829"/>
      <c r="V3468" s="10"/>
      <c r="W3468" s="10"/>
      <c r="X3468" s="10"/>
      <c r="Y3468" s="10"/>
      <c r="Z3468" s="10"/>
      <c r="AA3468" s="11"/>
      <c r="AB3468" s="11"/>
    </row>
    <row r="3469" spans="2:28" x14ac:dyDescent="0.3">
      <c r="B3469" s="10"/>
      <c r="C3469" s="315"/>
      <c r="D3469" s="868"/>
      <c r="E3469" s="837" t="str">
        <f>IFERROR(IF(_xlfn.XLOOKUP(Imput[[#This Row],[RFC]],'Alta Proveedor'!D:D,'Alta Proveedor'!E:E)=0,"",_xlfn.XLOOKUP(Imput[[#This Row],[RFC]],'Alta Proveedor'!D:D,'Alta Proveedor'!E:E)),"")</f>
        <v/>
      </c>
      <c r="F3469" s="832"/>
      <c r="G3469" s="187"/>
      <c r="H3469" s="1"/>
      <c r="I3469" s="169">
        <f>Imput[[#This Row],[Cantidad]]*Imput[[#This Row],[Precio Unitario]]</f>
        <v>0</v>
      </c>
      <c r="J3469" s="11">
        <f>((Imput[[#This Row],[Sub total]])*(0.16))</f>
        <v>0</v>
      </c>
      <c r="K3469" s="11">
        <v>0</v>
      </c>
      <c r="L3469" s="169">
        <f>Imput[[#This Row],[Sub total]]+Imput[[#This Row],[IVA]]-Imput[[#This Row],[Retención / IEPS / Descuento]]</f>
        <v>0</v>
      </c>
      <c r="M3469" s="844">
        <v>0</v>
      </c>
      <c r="N3469" s="189"/>
      <c r="O3469" s="1"/>
      <c r="P3469" s="189"/>
      <c r="Q3469" s="190"/>
      <c r="R3469" s="188"/>
      <c r="S3469" s="193"/>
      <c r="T3469" s="192"/>
      <c r="U3469" s="829"/>
      <c r="V3469" s="10"/>
      <c r="W3469" s="10"/>
      <c r="X3469" s="10"/>
      <c r="Y3469" s="10"/>
      <c r="Z3469" s="10"/>
      <c r="AA3469" s="11"/>
      <c r="AB3469" s="11"/>
    </row>
    <row r="3470" spans="2:28" x14ac:dyDescent="0.3">
      <c r="B3470" s="10"/>
      <c r="C3470" s="315"/>
      <c r="D3470" s="868"/>
      <c r="E3470" s="837" t="str">
        <f>IFERROR(IF(_xlfn.XLOOKUP(Imput[[#This Row],[RFC]],'Alta Proveedor'!D:D,'Alta Proveedor'!E:E)=0,"",_xlfn.XLOOKUP(Imput[[#This Row],[RFC]],'Alta Proveedor'!D:D,'Alta Proveedor'!E:E)),"")</f>
        <v/>
      </c>
      <c r="F3470" s="832"/>
      <c r="G3470" s="187"/>
      <c r="H3470" s="1"/>
      <c r="I3470" s="169">
        <f>Imput[[#This Row],[Cantidad]]*Imput[[#This Row],[Precio Unitario]]</f>
        <v>0</v>
      </c>
      <c r="J3470" s="11">
        <f>((Imput[[#This Row],[Sub total]])*(0.16))</f>
        <v>0</v>
      </c>
      <c r="K3470" s="11">
        <v>0</v>
      </c>
      <c r="L3470" s="169">
        <f>Imput[[#This Row],[Sub total]]+Imput[[#This Row],[IVA]]-Imput[[#This Row],[Retención / IEPS / Descuento]]</f>
        <v>0</v>
      </c>
      <c r="M3470" s="844">
        <v>0</v>
      </c>
      <c r="N3470" s="189"/>
      <c r="O3470" s="1"/>
      <c r="P3470" s="189"/>
      <c r="Q3470" s="190"/>
      <c r="R3470" s="188"/>
      <c r="S3470" s="193"/>
      <c r="T3470" s="192"/>
      <c r="U3470" s="829"/>
      <c r="V3470" s="10"/>
      <c r="W3470" s="10"/>
      <c r="X3470" s="10"/>
      <c r="Y3470" s="10"/>
      <c r="Z3470" s="10"/>
      <c r="AA3470" s="11"/>
      <c r="AB3470" s="11"/>
    </row>
    <row r="3471" spans="2:28" x14ac:dyDescent="0.3">
      <c r="B3471" s="10"/>
      <c r="C3471" s="315"/>
      <c r="D3471" s="868"/>
      <c r="E3471" s="837" t="str">
        <f>IFERROR(IF(_xlfn.XLOOKUP(Imput[[#This Row],[RFC]],'Alta Proveedor'!D:D,'Alta Proveedor'!E:E)=0,"",_xlfn.XLOOKUP(Imput[[#This Row],[RFC]],'Alta Proveedor'!D:D,'Alta Proveedor'!E:E)),"")</f>
        <v/>
      </c>
      <c r="F3471" s="832"/>
      <c r="G3471" s="187"/>
      <c r="H3471" s="1"/>
      <c r="I3471" s="169">
        <f>Imput[[#This Row],[Cantidad]]*Imput[[#This Row],[Precio Unitario]]</f>
        <v>0</v>
      </c>
      <c r="J3471" s="11">
        <f>((Imput[[#This Row],[Sub total]])*(0.16))</f>
        <v>0</v>
      </c>
      <c r="K3471" s="11">
        <v>0</v>
      </c>
      <c r="L3471" s="169">
        <f>Imput[[#This Row],[Sub total]]+Imput[[#This Row],[IVA]]-Imput[[#This Row],[Retención / IEPS / Descuento]]</f>
        <v>0</v>
      </c>
      <c r="M3471" s="844">
        <v>0</v>
      </c>
      <c r="N3471" s="189"/>
      <c r="O3471" s="1"/>
      <c r="P3471" s="189"/>
      <c r="Q3471" s="190"/>
      <c r="R3471" s="188"/>
      <c r="S3471" s="193"/>
      <c r="T3471" s="192"/>
      <c r="U3471" s="829"/>
      <c r="V3471" s="10"/>
      <c r="W3471" s="10"/>
      <c r="X3471" s="10"/>
      <c r="Y3471" s="10"/>
      <c r="Z3471" s="10"/>
      <c r="AA3471" s="11"/>
      <c r="AB3471" s="11"/>
    </row>
    <row r="3472" spans="2:28" x14ac:dyDescent="0.3">
      <c r="B3472" s="10"/>
      <c r="C3472" s="315"/>
      <c r="D3472" s="868"/>
      <c r="E3472" s="837" t="str">
        <f>IFERROR(IF(_xlfn.XLOOKUP(Imput[[#This Row],[RFC]],'Alta Proveedor'!D:D,'Alta Proveedor'!E:E)=0,"",_xlfn.XLOOKUP(Imput[[#This Row],[RFC]],'Alta Proveedor'!D:D,'Alta Proveedor'!E:E)),"")</f>
        <v/>
      </c>
      <c r="F3472" s="832"/>
      <c r="G3472" s="187"/>
      <c r="H3472" s="1"/>
      <c r="I3472" s="169">
        <f>Imput[[#This Row],[Cantidad]]*Imput[[#This Row],[Precio Unitario]]</f>
        <v>0</v>
      </c>
      <c r="J3472" s="11">
        <f>((Imput[[#This Row],[Sub total]])*(0.16))</f>
        <v>0</v>
      </c>
      <c r="K3472" s="11">
        <v>0</v>
      </c>
      <c r="L3472" s="169">
        <f>Imput[[#This Row],[Sub total]]+Imput[[#This Row],[IVA]]-Imput[[#This Row],[Retención / IEPS / Descuento]]</f>
        <v>0</v>
      </c>
      <c r="M3472" s="844">
        <v>0</v>
      </c>
      <c r="N3472" s="189"/>
      <c r="O3472" s="1"/>
      <c r="P3472" s="189"/>
      <c r="Q3472" s="190"/>
      <c r="R3472" s="188"/>
      <c r="S3472" s="193"/>
      <c r="T3472" s="192"/>
      <c r="U3472" s="829"/>
      <c r="V3472" s="10"/>
      <c r="W3472" s="10"/>
      <c r="X3472" s="10"/>
      <c r="Y3472" s="10"/>
      <c r="Z3472" s="10"/>
      <c r="AA3472" s="11"/>
      <c r="AB3472" s="11"/>
    </row>
    <row r="3473" spans="2:28" x14ac:dyDescent="0.3">
      <c r="B3473" s="10"/>
      <c r="C3473" s="315"/>
      <c r="D3473" s="868"/>
      <c r="E3473" s="837" t="str">
        <f>IFERROR(IF(_xlfn.XLOOKUP(Imput[[#This Row],[RFC]],'Alta Proveedor'!D:D,'Alta Proveedor'!E:E)=0,"",_xlfn.XLOOKUP(Imput[[#This Row],[RFC]],'Alta Proveedor'!D:D,'Alta Proveedor'!E:E)),"")</f>
        <v/>
      </c>
      <c r="F3473" s="832"/>
      <c r="G3473" s="187"/>
      <c r="H3473" s="1"/>
      <c r="I3473" s="169">
        <f>Imput[[#This Row],[Cantidad]]*Imput[[#This Row],[Precio Unitario]]</f>
        <v>0</v>
      </c>
      <c r="J3473" s="11">
        <f>((Imput[[#This Row],[Sub total]])*(0.16))</f>
        <v>0</v>
      </c>
      <c r="K3473" s="11">
        <v>0</v>
      </c>
      <c r="L3473" s="169">
        <f>Imput[[#This Row],[Sub total]]+Imput[[#This Row],[IVA]]-Imput[[#This Row],[Retención / IEPS / Descuento]]</f>
        <v>0</v>
      </c>
      <c r="M3473" s="844">
        <v>0</v>
      </c>
      <c r="N3473" s="189"/>
      <c r="O3473" s="1"/>
      <c r="P3473" s="189"/>
      <c r="Q3473" s="190"/>
      <c r="R3473" s="188"/>
      <c r="S3473" s="193"/>
      <c r="T3473" s="192"/>
      <c r="U3473" s="829"/>
      <c r="V3473" s="10"/>
      <c r="W3473" s="10"/>
      <c r="X3473" s="10"/>
      <c r="Y3473" s="10"/>
      <c r="Z3473" s="10"/>
      <c r="AA3473" s="11"/>
      <c r="AB3473" s="11"/>
    </row>
    <row r="3474" spans="2:28" x14ac:dyDescent="0.3">
      <c r="B3474" s="10"/>
      <c r="C3474" s="315"/>
      <c r="D3474" s="868"/>
      <c r="E3474" s="837" t="str">
        <f>IFERROR(IF(_xlfn.XLOOKUP(Imput[[#This Row],[RFC]],'Alta Proveedor'!D:D,'Alta Proveedor'!E:E)=0,"",_xlfn.XLOOKUP(Imput[[#This Row],[RFC]],'Alta Proveedor'!D:D,'Alta Proveedor'!E:E)),"")</f>
        <v/>
      </c>
      <c r="F3474" s="832"/>
      <c r="G3474" s="187"/>
      <c r="H3474" s="1"/>
      <c r="I3474" s="169">
        <f>Imput[[#This Row],[Cantidad]]*Imput[[#This Row],[Precio Unitario]]</f>
        <v>0</v>
      </c>
      <c r="J3474" s="11">
        <f>((Imput[[#This Row],[Sub total]])*(0.16))</f>
        <v>0</v>
      </c>
      <c r="K3474" s="11">
        <v>0</v>
      </c>
      <c r="L3474" s="169">
        <f>Imput[[#This Row],[Sub total]]+Imput[[#This Row],[IVA]]-Imput[[#This Row],[Retención / IEPS / Descuento]]</f>
        <v>0</v>
      </c>
      <c r="M3474" s="844">
        <v>0</v>
      </c>
      <c r="N3474" s="189"/>
      <c r="O3474" s="1"/>
      <c r="P3474" s="189"/>
      <c r="Q3474" s="190"/>
      <c r="R3474" s="188"/>
      <c r="S3474" s="193"/>
      <c r="T3474" s="192"/>
      <c r="U3474" s="829"/>
      <c r="V3474" s="10"/>
      <c r="W3474" s="10"/>
      <c r="X3474" s="10"/>
      <c r="Y3474" s="10"/>
      <c r="Z3474" s="10"/>
      <c r="AA3474" s="11"/>
      <c r="AB3474" s="11"/>
    </row>
    <row r="3475" spans="2:28" x14ac:dyDescent="0.3">
      <c r="B3475" s="10"/>
      <c r="C3475" s="315"/>
      <c r="D3475" s="868"/>
      <c r="E3475" s="837" t="str">
        <f>IFERROR(IF(_xlfn.XLOOKUP(Imput[[#This Row],[RFC]],'Alta Proveedor'!D:D,'Alta Proveedor'!E:E)=0,"",_xlfn.XLOOKUP(Imput[[#This Row],[RFC]],'Alta Proveedor'!D:D,'Alta Proveedor'!E:E)),"")</f>
        <v/>
      </c>
      <c r="F3475" s="832"/>
      <c r="G3475" s="187"/>
      <c r="H3475" s="1"/>
      <c r="I3475" s="169">
        <f>Imput[[#This Row],[Cantidad]]*Imput[[#This Row],[Precio Unitario]]</f>
        <v>0</v>
      </c>
      <c r="J3475" s="11">
        <f>((Imput[[#This Row],[Sub total]])*(0.16))</f>
        <v>0</v>
      </c>
      <c r="K3475" s="11">
        <v>0</v>
      </c>
      <c r="L3475" s="169">
        <f>Imput[[#This Row],[Sub total]]+Imput[[#This Row],[IVA]]-Imput[[#This Row],[Retención / IEPS / Descuento]]</f>
        <v>0</v>
      </c>
      <c r="M3475" s="844">
        <v>0</v>
      </c>
      <c r="N3475" s="189"/>
      <c r="O3475" s="1"/>
      <c r="P3475" s="189"/>
      <c r="Q3475" s="190"/>
      <c r="R3475" s="188"/>
      <c r="S3475" s="193"/>
      <c r="T3475" s="192"/>
      <c r="U3475" s="829"/>
      <c r="V3475" s="10"/>
      <c r="W3475" s="10"/>
      <c r="X3475" s="10"/>
      <c r="Y3475" s="10"/>
      <c r="Z3475" s="10"/>
      <c r="AA3475" s="11"/>
      <c r="AB3475" s="11"/>
    </row>
    <row r="3476" spans="2:28" x14ac:dyDescent="0.3">
      <c r="B3476" s="10"/>
      <c r="C3476" s="315"/>
      <c r="D3476" s="868"/>
      <c r="E3476" s="837" t="str">
        <f>IFERROR(IF(_xlfn.XLOOKUP(Imput[[#This Row],[RFC]],'Alta Proveedor'!D:D,'Alta Proveedor'!E:E)=0,"",_xlfn.XLOOKUP(Imput[[#This Row],[RFC]],'Alta Proveedor'!D:D,'Alta Proveedor'!E:E)),"")</f>
        <v/>
      </c>
      <c r="F3476" s="832"/>
      <c r="G3476" s="187"/>
      <c r="H3476" s="1"/>
      <c r="I3476" s="169">
        <f>Imput[[#This Row],[Cantidad]]*Imput[[#This Row],[Precio Unitario]]</f>
        <v>0</v>
      </c>
      <c r="J3476" s="11">
        <f>((Imput[[#This Row],[Sub total]])*(0.16))</f>
        <v>0</v>
      </c>
      <c r="K3476" s="11">
        <v>0</v>
      </c>
      <c r="L3476" s="169">
        <f>Imput[[#This Row],[Sub total]]+Imput[[#This Row],[IVA]]-Imput[[#This Row],[Retención / IEPS / Descuento]]</f>
        <v>0</v>
      </c>
      <c r="M3476" s="844">
        <v>0</v>
      </c>
      <c r="N3476" s="189"/>
      <c r="O3476" s="1"/>
      <c r="P3476" s="189"/>
      <c r="Q3476" s="190"/>
      <c r="R3476" s="188"/>
      <c r="S3476" s="193"/>
      <c r="T3476" s="192"/>
      <c r="U3476" s="829"/>
      <c r="V3476" s="10"/>
      <c r="W3476" s="10"/>
      <c r="X3476" s="10"/>
      <c r="Y3476" s="10"/>
      <c r="Z3476" s="10"/>
      <c r="AA3476" s="11"/>
      <c r="AB3476" s="11"/>
    </row>
    <row r="3477" spans="2:28" x14ac:dyDescent="0.3">
      <c r="B3477" s="10"/>
      <c r="C3477" s="315"/>
      <c r="D3477" s="868"/>
      <c r="E3477" s="837" t="str">
        <f>IFERROR(IF(_xlfn.XLOOKUP(Imput[[#This Row],[RFC]],'Alta Proveedor'!D:D,'Alta Proveedor'!E:E)=0,"",_xlfn.XLOOKUP(Imput[[#This Row],[RFC]],'Alta Proveedor'!D:D,'Alta Proveedor'!E:E)),"")</f>
        <v/>
      </c>
      <c r="F3477" s="832"/>
      <c r="G3477" s="187"/>
      <c r="H3477" s="1"/>
      <c r="I3477" s="169">
        <f>Imput[[#This Row],[Cantidad]]*Imput[[#This Row],[Precio Unitario]]</f>
        <v>0</v>
      </c>
      <c r="J3477" s="11">
        <f>((Imput[[#This Row],[Sub total]])*(0.16))</f>
        <v>0</v>
      </c>
      <c r="K3477" s="11">
        <v>0</v>
      </c>
      <c r="L3477" s="169">
        <f>Imput[[#This Row],[Sub total]]+Imput[[#This Row],[IVA]]-Imput[[#This Row],[Retención / IEPS / Descuento]]</f>
        <v>0</v>
      </c>
      <c r="M3477" s="844">
        <v>0</v>
      </c>
      <c r="N3477" s="189"/>
      <c r="O3477" s="1"/>
      <c r="P3477" s="189"/>
      <c r="Q3477" s="190"/>
      <c r="R3477" s="188"/>
      <c r="S3477" s="193"/>
      <c r="T3477" s="192"/>
      <c r="U3477" s="829"/>
      <c r="V3477" s="10"/>
      <c r="W3477" s="10"/>
      <c r="X3477" s="10"/>
      <c r="Y3477" s="10"/>
      <c r="Z3477" s="10"/>
      <c r="AA3477" s="11"/>
      <c r="AB3477" s="11"/>
    </row>
    <row r="3478" spans="2:28" x14ac:dyDescent="0.3">
      <c r="B3478" s="10"/>
      <c r="C3478" s="315"/>
      <c r="D3478" s="868"/>
      <c r="E3478" s="837" t="str">
        <f>IFERROR(IF(_xlfn.XLOOKUP(Imput[[#This Row],[RFC]],'Alta Proveedor'!D:D,'Alta Proveedor'!E:E)=0,"",_xlfn.XLOOKUP(Imput[[#This Row],[RFC]],'Alta Proveedor'!D:D,'Alta Proveedor'!E:E)),"")</f>
        <v/>
      </c>
      <c r="F3478" s="832"/>
      <c r="G3478" s="187"/>
      <c r="H3478" s="1"/>
      <c r="I3478" s="169">
        <f>Imput[[#This Row],[Cantidad]]*Imput[[#This Row],[Precio Unitario]]</f>
        <v>0</v>
      </c>
      <c r="J3478" s="11">
        <f>((Imput[[#This Row],[Sub total]])*(0.16))</f>
        <v>0</v>
      </c>
      <c r="K3478" s="11">
        <v>0</v>
      </c>
      <c r="L3478" s="169">
        <f>Imput[[#This Row],[Sub total]]+Imput[[#This Row],[IVA]]-Imput[[#This Row],[Retención / IEPS / Descuento]]</f>
        <v>0</v>
      </c>
      <c r="M3478" s="844">
        <v>0</v>
      </c>
      <c r="N3478" s="189"/>
      <c r="O3478" s="1"/>
      <c r="P3478" s="189"/>
      <c r="Q3478" s="190"/>
      <c r="R3478" s="188"/>
      <c r="S3478" s="193"/>
      <c r="T3478" s="192"/>
      <c r="U3478" s="829"/>
      <c r="V3478" s="10"/>
      <c r="W3478" s="10"/>
      <c r="X3478" s="10"/>
      <c r="Y3478" s="10"/>
      <c r="Z3478" s="10"/>
      <c r="AA3478" s="11"/>
      <c r="AB3478" s="11"/>
    </row>
    <row r="3479" spans="2:28" x14ac:dyDescent="0.3">
      <c r="B3479" s="10"/>
      <c r="C3479" s="315"/>
      <c r="D3479" s="868"/>
      <c r="E3479" s="837" t="str">
        <f>IFERROR(IF(_xlfn.XLOOKUP(Imput[[#This Row],[RFC]],'Alta Proveedor'!D:D,'Alta Proveedor'!E:E)=0,"",_xlfn.XLOOKUP(Imput[[#This Row],[RFC]],'Alta Proveedor'!D:D,'Alta Proveedor'!E:E)),"")</f>
        <v/>
      </c>
      <c r="F3479" s="832"/>
      <c r="G3479" s="187"/>
      <c r="H3479" s="1"/>
      <c r="I3479" s="169">
        <f>Imput[[#This Row],[Cantidad]]*Imput[[#This Row],[Precio Unitario]]</f>
        <v>0</v>
      </c>
      <c r="J3479" s="11">
        <f>((Imput[[#This Row],[Sub total]])*(0.16))</f>
        <v>0</v>
      </c>
      <c r="K3479" s="11">
        <v>0</v>
      </c>
      <c r="L3479" s="169">
        <f>Imput[[#This Row],[Sub total]]+Imput[[#This Row],[IVA]]-Imput[[#This Row],[Retención / IEPS / Descuento]]</f>
        <v>0</v>
      </c>
      <c r="M3479" s="844">
        <v>0</v>
      </c>
      <c r="N3479" s="189"/>
      <c r="O3479" s="1"/>
      <c r="P3479" s="189"/>
      <c r="Q3479" s="190"/>
      <c r="R3479" s="188"/>
      <c r="S3479" s="193"/>
      <c r="T3479" s="192"/>
      <c r="U3479" s="829"/>
      <c r="V3479" s="10"/>
      <c r="W3479" s="10"/>
      <c r="X3479" s="10"/>
      <c r="Y3479" s="10"/>
      <c r="Z3479" s="10"/>
      <c r="AA3479" s="11"/>
      <c r="AB3479" s="11"/>
    </row>
    <row r="3480" spans="2:28" x14ac:dyDescent="0.3">
      <c r="B3480" s="10"/>
      <c r="C3480" s="315"/>
      <c r="D3480" s="868"/>
      <c r="E3480" s="837" t="str">
        <f>IFERROR(IF(_xlfn.XLOOKUP(Imput[[#This Row],[RFC]],'Alta Proveedor'!D:D,'Alta Proveedor'!E:E)=0,"",_xlfn.XLOOKUP(Imput[[#This Row],[RFC]],'Alta Proveedor'!D:D,'Alta Proveedor'!E:E)),"")</f>
        <v/>
      </c>
      <c r="F3480" s="832"/>
      <c r="G3480" s="187"/>
      <c r="H3480" s="1"/>
      <c r="I3480" s="169">
        <f>Imput[[#This Row],[Cantidad]]*Imput[[#This Row],[Precio Unitario]]</f>
        <v>0</v>
      </c>
      <c r="J3480" s="11">
        <f>((Imput[[#This Row],[Sub total]])*(0.16))</f>
        <v>0</v>
      </c>
      <c r="K3480" s="11">
        <v>0</v>
      </c>
      <c r="L3480" s="169">
        <f>Imput[[#This Row],[Sub total]]+Imput[[#This Row],[IVA]]-Imput[[#This Row],[Retención / IEPS / Descuento]]</f>
        <v>0</v>
      </c>
      <c r="M3480" s="844">
        <v>0</v>
      </c>
      <c r="N3480" s="189"/>
      <c r="O3480" s="1"/>
      <c r="P3480" s="189"/>
      <c r="Q3480" s="190"/>
      <c r="R3480" s="188"/>
      <c r="S3480" s="193"/>
      <c r="T3480" s="192"/>
      <c r="U3480" s="829"/>
      <c r="V3480" s="10"/>
      <c r="W3480" s="10"/>
      <c r="X3480" s="10"/>
      <c r="Y3480" s="10"/>
      <c r="Z3480" s="10"/>
      <c r="AA3480" s="11"/>
      <c r="AB3480" s="11"/>
    </row>
    <row r="3481" spans="2:28" x14ac:dyDescent="0.3">
      <c r="B3481" s="10"/>
      <c r="C3481" s="315"/>
      <c r="D3481" s="868"/>
      <c r="E3481" s="837" t="str">
        <f>IFERROR(IF(_xlfn.XLOOKUP(Imput[[#This Row],[RFC]],'Alta Proveedor'!D:D,'Alta Proveedor'!E:E)=0,"",_xlfn.XLOOKUP(Imput[[#This Row],[RFC]],'Alta Proveedor'!D:D,'Alta Proveedor'!E:E)),"")</f>
        <v/>
      </c>
      <c r="F3481" s="832"/>
      <c r="G3481" s="187"/>
      <c r="H3481" s="1"/>
      <c r="I3481" s="169">
        <f>Imput[[#This Row],[Cantidad]]*Imput[[#This Row],[Precio Unitario]]</f>
        <v>0</v>
      </c>
      <c r="J3481" s="11">
        <f>((Imput[[#This Row],[Sub total]])*(0.16))</f>
        <v>0</v>
      </c>
      <c r="K3481" s="11">
        <v>0</v>
      </c>
      <c r="L3481" s="169">
        <f>Imput[[#This Row],[Sub total]]+Imput[[#This Row],[IVA]]-Imput[[#This Row],[Retención / IEPS / Descuento]]</f>
        <v>0</v>
      </c>
      <c r="M3481" s="844">
        <v>0</v>
      </c>
      <c r="N3481" s="189"/>
      <c r="O3481" s="1"/>
      <c r="P3481" s="189"/>
      <c r="Q3481" s="190"/>
      <c r="R3481" s="188"/>
      <c r="S3481" s="193"/>
      <c r="T3481" s="192"/>
      <c r="U3481" s="829"/>
      <c r="V3481" s="10"/>
      <c r="W3481" s="10"/>
      <c r="X3481" s="10"/>
      <c r="Y3481" s="10"/>
      <c r="Z3481" s="10"/>
      <c r="AA3481" s="11"/>
      <c r="AB3481" s="11"/>
    </row>
    <row r="3482" spans="2:28" x14ac:dyDescent="0.3">
      <c r="B3482" s="10"/>
      <c r="C3482" s="315"/>
      <c r="D3482" s="868"/>
      <c r="E3482" s="837" t="str">
        <f>IFERROR(IF(_xlfn.XLOOKUP(Imput[[#This Row],[RFC]],'Alta Proveedor'!D:D,'Alta Proveedor'!E:E)=0,"",_xlfn.XLOOKUP(Imput[[#This Row],[RFC]],'Alta Proveedor'!D:D,'Alta Proveedor'!E:E)),"")</f>
        <v/>
      </c>
      <c r="F3482" s="832"/>
      <c r="G3482" s="187"/>
      <c r="H3482" s="1"/>
      <c r="I3482" s="169">
        <f>Imput[[#This Row],[Cantidad]]*Imput[[#This Row],[Precio Unitario]]</f>
        <v>0</v>
      </c>
      <c r="J3482" s="11">
        <f>((Imput[[#This Row],[Sub total]])*(0.16))</f>
        <v>0</v>
      </c>
      <c r="K3482" s="11">
        <v>0</v>
      </c>
      <c r="L3482" s="169">
        <f>Imput[[#This Row],[Sub total]]+Imput[[#This Row],[IVA]]-Imput[[#This Row],[Retención / IEPS / Descuento]]</f>
        <v>0</v>
      </c>
      <c r="M3482" s="844">
        <v>0</v>
      </c>
      <c r="N3482" s="189"/>
      <c r="O3482" s="1"/>
      <c r="P3482" s="189"/>
      <c r="Q3482" s="190"/>
      <c r="R3482" s="188"/>
      <c r="S3482" s="193"/>
      <c r="T3482" s="192"/>
      <c r="U3482" s="829"/>
      <c r="V3482" s="10"/>
      <c r="W3482" s="10"/>
      <c r="X3482" s="10"/>
      <c r="Y3482" s="10"/>
      <c r="Z3482" s="10"/>
      <c r="AA3482" s="11"/>
      <c r="AB3482" s="11"/>
    </row>
    <row r="3483" spans="2:28" x14ac:dyDescent="0.3">
      <c r="B3483" s="10"/>
      <c r="C3483" s="315"/>
      <c r="D3483" s="868"/>
      <c r="E3483" s="837" t="str">
        <f>IFERROR(IF(_xlfn.XLOOKUP(Imput[[#This Row],[RFC]],'Alta Proveedor'!D:D,'Alta Proveedor'!E:E)=0,"",_xlfn.XLOOKUP(Imput[[#This Row],[RFC]],'Alta Proveedor'!D:D,'Alta Proveedor'!E:E)),"")</f>
        <v/>
      </c>
      <c r="F3483" s="832"/>
      <c r="G3483" s="187"/>
      <c r="H3483" s="1"/>
      <c r="I3483" s="169">
        <f>Imput[[#This Row],[Cantidad]]*Imput[[#This Row],[Precio Unitario]]</f>
        <v>0</v>
      </c>
      <c r="J3483" s="11">
        <f>((Imput[[#This Row],[Sub total]])*(0.16))</f>
        <v>0</v>
      </c>
      <c r="K3483" s="11">
        <v>0</v>
      </c>
      <c r="L3483" s="169">
        <f>Imput[[#This Row],[Sub total]]+Imput[[#This Row],[IVA]]-Imput[[#This Row],[Retención / IEPS / Descuento]]</f>
        <v>0</v>
      </c>
      <c r="M3483" s="844">
        <v>0</v>
      </c>
      <c r="N3483" s="189"/>
      <c r="O3483" s="1"/>
      <c r="P3483" s="189"/>
      <c r="Q3483" s="190"/>
      <c r="R3483" s="188"/>
      <c r="S3483" s="193"/>
      <c r="T3483" s="192"/>
      <c r="U3483" s="829"/>
      <c r="V3483" s="10"/>
      <c r="W3483" s="10"/>
      <c r="X3483" s="10"/>
      <c r="Y3483" s="10"/>
      <c r="Z3483" s="10"/>
      <c r="AA3483" s="11"/>
      <c r="AB3483" s="11"/>
    </row>
    <row r="3484" spans="2:28" x14ac:dyDescent="0.3">
      <c r="B3484" s="10"/>
      <c r="C3484" s="315"/>
      <c r="D3484" s="868"/>
      <c r="E3484" s="837" t="str">
        <f>IFERROR(IF(_xlfn.XLOOKUP(Imput[[#This Row],[RFC]],'Alta Proveedor'!D:D,'Alta Proveedor'!E:E)=0,"",_xlfn.XLOOKUP(Imput[[#This Row],[RFC]],'Alta Proveedor'!D:D,'Alta Proveedor'!E:E)),"")</f>
        <v/>
      </c>
      <c r="F3484" s="832"/>
      <c r="G3484" s="187"/>
      <c r="H3484" s="1"/>
      <c r="I3484" s="169">
        <f>Imput[[#This Row],[Cantidad]]*Imput[[#This Row],[Precio Unitario]]</f>
        <v>0</v>
      </c>
      <c r="J3484" s="11">
        <f>((Imput[[#This Row],[Sub total]])*(0.16))</f>
        <v>0</v>
      </c>
      <c r="K3484" s="11">
        <v>0</v>
      </c>
      <c r="L3484" s="169">
        <f>Imput[[#This Row],[Sub total]]+Imput[[#This Row],[IVA]]-Imput[[#This Row],[Retención / IEPS / Descuento]]</f>
        <v>0</v>
      </c>
      <c r="M3484" s="844">
        <v>0</v>
      </c>
      <c r="N3484" s="189"/>
      <c r="O3484" s="1"/>
      <c r="P3484" s="189"/>
      <c r="Q3484" s="190"/>
      <c r="R3484" s="188"/>
      <c r="S3484" s="193"/>
      <c r="T3484" s="192"/>
      <c r="U3484" s="829"/>
      <c r="V3484" s="10"/>
      <c r="W3484" s="10"/>
      <c r="X3484" s="10"/>
      <c r="Y3484" s="10"/>
      <c r="Z3484" s="10"/>
      <c r="AA3484" s="11"/>
      <c r="AB3484" s="11"/>
    </row>
    <row r="3485" spans="2:28" x14ac:dyDescent="0.3">
      <c r="B3485" s="10"/>
      <c r="C3485" s="315"/>
      <c r="D3485" s="868"/>
      <c r="E3485" s="837" t="str">
        <f>IFERROR(IF(_xlfn.XLOOKUP(Imput[[#This Row],[RFC]],'Alta Proveedor'!D:D,'Alta Proveedor'!E:E)=0,"",_xlfn.XLOOKUP(Imput[[#This Row],[RFC]],'Alta Proveedor'!D:D,'Alta Proveedor'!E:E)),"")</f>
        <v/>
      </c>
      <c r="F3485" s="832"/>
      <c r="G3485" s="187"/>
      <c r="H3485" s="1"/>
      <c r="I3485" s="169">
        <f>Imput[[#This Row],[Cantidad]]*Imput[[#This Row],[Precio Unitario]]</f>
        <v>0</v>
      </c>
      <c r="J3485" s="11">
        <f>((Imput[[#This Row],[Sub total]])*(0.16))</f>
        <v>0</v>
      </c>
      <c r="K3485" s="11">
        <v>0</v>
      </c>
      <c r="L3485" s="169">
        <f>Imput[[#This Row],[Sub total]]+Imput[[#This Row],[IVA]]-Imput[[#This Row],[Retención / IEPS / Descuento]]</f>
        <v>0</v>
      </c>
      <c r="M3485" s="844">
        <v>0</v>
      </c>
      <c r="N3485" s="189"/>
      <c r="O3485" s="1"/>
      <c r="P3485" s="189"/>
      <c r="Q3485" s="190"/>
      <c r="R3485" s="188"/>
      <c r="S3485" s="193"/>
      <c r="T3485" s="192"/>
      <c r="U3485" s="829"/>
      <c r="V3485" s="10"/>
      <c r="W3485" s="10"/>
      <c r="X3485" s="10"/>
      <c r="Y3485" s="10"/>
      <c r="Z3485" s="10"/>
      <c r="AA3485" s="11"/>
      <c r="AB3485" s="11"/>
    </row>
    <row r="3486" spans="2:28" x14ac:dyDescent="0.3">
      <c r="B3486" s="10"/>
      <c r="C3486" s="315"/>
      <c r="D3486" s="868"/>
      <c r="E3486" s="837" t="str">
        <f>IFERROR(IF(_xlfn.XLOOKUP(Imput[[#This Row],[RFC]],'Alta Proveedor'!D:D,'Alta Proveedor'!E:E)=0,"",_xlfn.XLOOKUP(Imput[[#This Row],[RFC]],'Alta Proveedor'!D:D,'Alta Proveedor'!E:E)),"")</f>
        <v/>
      </c>
      <c r="F3486" s="832"/>
      <c r="G3486" s="187"/>
      <c r="H3486" s="1"/>
      <c r="I3486" s="169">
        <f>Imput[[#This Row],[Cantidad]]*Imput[[#This Row],[Precio Unitario]]</f>
        <v>0</v>
      </c>
      <c r="J3486" s="11">
        <f>((Imput[[#This Row],[Sub total]])*(0.16))</f>
        <v>0</v>
      </c>
      <c r="K3486" s="11">
        <v>0</v>
      </c>
      <c r="L3486" s="169">
        <f>Imput[[#This Row],[Sub total]]+Imput[[#This Row],[IVA]]-Imput[[#This Row],[Retención / IEPS / Descuento]]</f>
        <v>0</v>
      </c>
      <c r="M3486" s="844">
        <v>0</v>
      </c>
      <c r="N3486" s="189"/>
      <c r="O3486" s="1"/>
      <c r="P3486" s="189"/>
      <c r="Q3486" s="190"/>
      <c r="R3486" s="188"/>
      <c r="S3486" s="193"/>
      <c r="T3486" s="192"/>
      <c r="U3486" s="829"/>
      <c r="V3486" s="10"/>
      <c r="W3486" s="10"/>
      <c r="X3486" s="10"/>
      <c r="Y3486" s="10"/>
      <c r="Z3486" s="10"/>
      <c r="AA3486" s="11"/>
      <c r="AB3486" s="11"/>
    </row>
    <row r="3487" spans="2:28" x14ac:dyDescent="0.3">
      <c r="B3487" s="10"/>
      <c r="C3487" s="315"/>
      <c r="D3487" s="868"/>
      <c r="E3487" s="837" t="str">
        <f>IFERROR(IF(_xlfn.XLOOKUP(Imput[[#This Row],[RFC]],'Alta Proveedor'!D:D,'Alta Proveedor'!E:E)=0,"",_xlfn.XLOOKUP(Imput[[#This Row],[RFC]],'Alta Proveedor'!D:D,'Alta Proveedor'!E:E)),"")</f>
        <v/>
      </c>
      <c r="F3487" s="832"/>
      <c r="G3487" s="187"/>
      <c r="H3487" s="1"/>
      <c r="I3487" s="169">
        <f>Imput[[#This Row],[Cantidad]]*Imput[[#This Row],[Precio Unitario]]</f>
        <v>0</v>
      </c>
      <c r="J3487" s="11">
        <f>((Imput[[#This Row],[Sub total]])*(0.16))</f>
        <v>0</v>
      </c>
      <c r="K3487" s="11">
        <v>0</v>
      </c>
      <c r="L3487" s="169">
        <f>Imput[[#This Row],[Sub total]]+Imput[[#This Row],[IVA]]-Imput[[#This Row],[Retención / IEPS / Descuento]]</f>
        <v>0</v>
      </c>
      <c r="M3487" s="844">
        <v>0</v>
      </c>
      <c r="N3487" s="189"/>
      <c r="O3487" s="1"/>
      <c r="P3487" s="189"/>
      <c r="Q3487" s="190"/>
      <c r="R3487" s="188"/>
      <c r="S3487" s="193"/>
      <c r="T3487" s="192"/>
      <c r="U3487" s="829"/>
      <c r="V3487" s="10"/>
      <c r="W3487" s="10"/>
      <c r="X3487" s="10"/>
      <c r="Y3487" s="10"/>
      <c r="Z3487" s="10"/>
      <c r="AA3487" s="11"/>
      <c r="AB3487" s="11"/>
    </row>
    <row r="3488" spans="2:28" x14ac:dyDescent="0.3">
      <c r="B3488" s="10"/>
      <c r="C3488" s="315"/>
      <c r="D3488" s="868"/>
      <c r="E3488" s="837" t="str">
        <f>IFERROR(IF(_xlfn.XLOOKUP(Imput[[#This Row],[RFC]],'Alta Proveedor'!D:D,'Alta Proveedor'!E:E)=0,"",_xlfn.XLOOKUP(Imput[[#This Row],[RFC]],'Alta Proveedor'!D:D,'Alta Proveedor'!E:E)),"")</f>
        <v/>
      </c>
      <c r="F3488" s="832"/>
      <c r="G3488" s="187"/>
      <c r="H3488" s="1"/>
      <c r="I3488" s="169">
        <f>Imput[[#This Row],[Cantidad]]*Imput[[#This Row],[Precio Unitario]]</f>
        <v>0</v>
      </c>
      <c r="J3488" s="11">
        <f>((Imput[[#This Row],[Sub total]])*(0.16))</f>
        <v>0</v>
      </c>
      <c r="K3488" s="11">
        <v>0</v>
      </c>
      <c r="L3488" s="169">
        <f>Imput[[#This Row],[Sub total]]+Imput[[#This Row],[IVA]]-Imput[[#This Row],[Retención / IEPS / Descuento]]</f>
        <v>0</v>
      </c>
      <c r="M3488" s="844">
        <v>0</v>
      </c>
      <c r="N3488" s="189"/>
      <c r="O3488" s="1"/>
      <c r="P3488" s="189"/>
      <c r="Q3488" s="190"/>
      <c r="R3488" s="188"/>
      <c r="S3488" s="193"/>
      <c r="T3488" s="192"/>
      <c r="U3488" s="829"/>
      <c r="V3488" s="10"/>
      <c r="W3488" s="10"/>
      <c r="X3488" s="10"/>
      <c r="Y3488" s="10"/>
      <c r="Z3488" s="10"/>
      <c r="AA3488" s="11"/>
      <c r="AB3488" s="11"/>
    </row>
    <row r="3489" spans="2:28" x14ac:dyDescent="0.3">
      <c r="B3489" s="10"/>
      <c r="C3489" s="315"/>
      <c r="D3489" s="868"/>
      <c r="E3489" s="837" t="str">
        <f>IFERROR(IF(_xlfn.XLOOKUP(Imput[[#This Row],[RFC]],'Alta Proveedor'!D:D,'Alta Proveedor'!E:E)=0,"",_xlfn.XLOOKUP(Imput[[#This Row],[RFC]],'Alta Proveedor'!D:D,'Alta Proveedor'!E:E)),"")</f>
        <v/>
      </c>
      <c r="F3489" s="832"/>
      <c r="G3489" s="187"/>
      <c r="H3489" s="1"/>
      <c r="I3489" s="169">
        <f>Imput[[#This Row],[Cantidad]]*Imput[[#This Row],[Precio Unitario]]</f>
        <v>0</v>
      </c>
      <c r="J3489" s="11">
        <f>((Imput[[#This Row],[Sub total]])*(0.16))</f>
        <v>0</v>
      </c>
      <c r="K3489" s="11">
        <v>0</v>
      </c>
      <c r="L3489" s="169">
        <f>Imput[[#This Row],[Sub total]]+Imput[[#This Row],[IVA]]-Imput[[#This Row],[Retención / IEPS / Descuento]]</f>
        <v>0</v>
      </c>
      <c r="M3489" s="844">
        <v>0</v>
      </c>
      <c r="N3489" s="189"/>
      <c r="O3489" s="1"/>
      <c r="P3489" s="189"/>
      <c r="Q3489" s="190"/>
      <c r="R3489" s="188"/>
      <c r="S3489" s="193"/>
      <c r="T3489" s="192"/>
      <c r="U3489" s="829"/>
      <c r="V3489" s="10"/>
      <c r="W3489" s="10"/>
      <c r="X3489" s="10"/>
      <c r="Y3489" s="10"/>
      <c r="Z3489" s="10"/>
      <c r="AA3489" s="11"/>
      <c r="AB3489" s="11"/>
    </row>
    <row r="3490" spans="2:28" x14ac:dyDescent="0.3">
      <c r="B3490" s="10"/>
      <c r="C3490" s="315"/>
      <c r="D3490" s="868"/>
      <c r="E3490" s="837" t="str">
        <f>IFERROR(IF(_xlfn.XLOOKUP(Imput[[#This Row],[RFC]],'Alta Proveedor'!D:D,'Alta Proveedor'!E:E)=0,"",_xlfn.XLOOKUP(Imput[[#This Row],[RFC]],'Alta Proveedor'!D:D,'Alta Proveedor'!E:E)),"")</f>
        <v/>
      </c>
      <c r="F3490" s="832"/>
      <c r="G3490" s="187"/>
      <c r="H3490" s="1"/>
      <c r="I3490" s="169">
        <f>Imput[[#This Row],[Cantidad]]*Imput[[#This Row],[Precio Unitario]]</f>
        <v>0</v>
      </c>
      <c r="J3490" s="11">
        <f>((Imput[[#This Row],[Sub total]])*(0.16))</f>
        <v>0</v>
      </c>
      <c r="K3490" s="11">
        <v>0</v>
      </c>
      <c r="L3490" s="169">
        <f>Imput[[#This Row],[Sub total]]+Imput[[#This Row],[IVA]]-Imput[[#This Row],[Retención / IEPS / Descuento]]</f>
        <v>0</v>
      </c>
      <c r="M3490" s="844">
        <v>0</v>
      </c>
      <c r="N3490" s="189"/>
      <c r="O3490" s="1"/>
      <c r="P3490" s="189"/>
      <c r="Q3490" s="190"/>
      <c r="R3490" s="188"/>
      <c r="S3490" s="193"/>
      <c r="T3490" s="192"/>
      <c r="U3490" s="829"/>
      <c r="V3490" s="10"/>
      <c r="W3490" s="10"/>
      <c r="X3490" s="10"/>
      <c r="Y3490" s="10"/>
      <c r="Z3490" s="10"/>
      <c r="AA3490" s="11"/>
      <c r="AB3490" s="11"/>
    </row>
    <row r="3491" spans="2:28" x14ac:dyDescent="0.3">
      <c r="B3491" s="10"/>
      <c r="C3491" s="315"/>
      <c r="D3491" s="868"/>
      <c r="E3491" s="837" t="str">
        <f>IFERROR(IF(_xlfn.XLOOKUP(Imput[[#This Row],[RFC]],'Alta Proveedor'!D:D,'Alta Proveedor'!E:E)=0,"",_xlfn.XLOOKUP(Imput[[#This Row],[RFC]],'Alta Proveedor'!D:D,'Alta Proveedor'!E:E)),"")</f>
        <v/>
      </c>
      <c r="F3491" s="832"/>
      <c r="G3491" s="187"/>
      <c r="H3491" s="1"/>
      <c r="I3491" s="169">
        <f>Imput[[#This Row],[Cantidad]]*Imput[[#This Row],[Precio Unitario]]</f>
        <v>0</v>
      </c>
      <c r="J3491" s="11">
        <f>((Imput[[#This Row],[Sub total]])*(0.16))</f>
        <v>0</v>
      </c>
      <c r="K3491" s="11">
        <v>0</v>
      </c>
      <c r="L3491" s="169">
        <f>Imput[[#This Row],[Sub total]]+Imput[[#This Row],[IVA]]-Imput[[#This Row],[Retención / IEPS / Descuento]]</f>
        <v>0</v>
      </c>
      <c r="M3491" s="844">
        <v>0</v>
      </c>
      <c r="N3491" s="189"/>
      <c r="O3491" s="1"/>
      <c r="P3491" s="189"/>
      <c r="Q3491" s="190"/>
      <c r="R3491" s="188"/>
      <c r="S3491" s="193"/>
      <c r="T3491" s="192"/>
      <c r="U3491" s="829"/>
      <c r="V3491" s="10"/>
      <c r="W3491" s="10"/>
      <c r="X3491" s="10"/>
      <c r="Y3491" s="10"/>
      <c r="Z3491" s="10"/>
      <c r="AA3491" s="11"/>
      <c r="AB3491" s="11"/>
    </row>
    <row r="3492" spans="2:28" x14ac:dyDescent="0.3">
      <c r="B3492" s="10"/>
      <c r="C3492" s="315"/>
      <c r="D3492" s="868"/>
      <c r="E3492" s="837" t="str">
        <f>IFERROR(IF(_xlfn.XLOOKUP(Imput[[#This Row],[RFC]],'Alta Proveedor'!D:D,'Alta Proveedor'!E:E)=0,"",_xlfn.XLOOKUP(Imput[[#This Row],[RFC]],'Alta Proveedor'!D:D,'Alta Proveedor'!E:E)),"")</f>
        <v/>
      </c>
      <c r="F3492" s="832"/>
      <c r="G3492" s="187"/>
      <c r="H3492" s="1"/>
      <c r="I3492" s="169">
        <f>Imput[[#This Row],[Cantidad]]*Imput[[#This Row],[Precio Unitario]]</f>
        <v>0</v>
      </c>
      <c r="J3492" s="11">
        <f>((Imput[[#This Row],[Sub total]])*(0.16))</f>
        <v>0</v>
      </c>
      <c r="K3492" s="11">
        <v>0</v>
      </c>
      <c r="L3492" s="169">
        <f>Imput[[#This Row],[Sub total]]+Imput[[#This Row],[IVA]]-Imput[[#This Row],[Retención / IEPS / Descuento]]</f>
        <v>0</v>
      </c>
      <c r="M3492" s="844">
        <v>0</v>
      </c>
      <c r="N3492" s="189"/>
      <c r="O3492" s="1"/>
      <c r="P3492" s="189"/>
      <c r="Q3492" s="190"/>
      <c r="R3492" s="188"/>
      <c r="S3492" s="193"/>
      <c r="T3492" s="192"/>
      <c r="U3492" s="829"/>
      <c r="V3492" s="10"/>
      <c r="W3492" s="10"/>
      <c r="X3492" s="10"/>
      <c r="Y3492" s="10"/>
      <c r="Z3492" s="10"/>
      <c r="AA3492" s="11"/>
      <c r="AB3492" s="11"/>
    </row>
    <row r="3493" spans="2:28" x14ac:dyDescent="0.3">
      <c r="B3493" s="10"/>
      <c r="C3493" s="315"/>
      <c r="D3493" s="868"/>
      <c r="E3493" s="837" t="str">
        <f>IFERROR(IF(_xlfn.XLOOKUP(Imput[[#This Row],[RFC]],'Alta Proveedor'!D:D,'Alta Proveedor'!E:E)=0,"",_xlfn.XLOOKUP(Imput[[#This Row],[RFC]],'Alta Proveedor'!D:D,'Alta Proveedor'!E:E)),"")</f>
        <v/>
      </c>
      <c r="F3493" s="832"/>
      <c r="G3493" s="187"/>
      <c r="H3493" s="1"/>
      <c r="I3493" s="169">
        <f>Imput[[#This Row],[Cantidad]]*Imput[[#This Row],[Precio Unitario]]</f>
        <v>0</v>
      </c>
      <c r="J3493" s="11">
        <f>((Imput[[#This Row],[Sub total]])*(0.16))</f>
        <v>0</v>
      </c>
      <c r="K3493" s="11">
        <v>0</v>
      </c>
      <c r="L3493" s="169">
        <f>Imput[[#This Row],[Sub total]]+Imput[[#This Row],[IVA]]-Imput[[#This Row],[Retención / IEPS / Descuento]]</f>
        <v>0</v>
      </c>
      <c r="M3493" s="844">
        <v>0</v>
      </c>
      <c r="N3493" s="189"/>
      <c r="O3493" s="1"/>
      <c r="P3493" s="189"/>
      <c r="Q3493" s="190"/>
      <c r="R3493" s="188"/>
      <c r="S3493" s="193"/>
      <c r="T3493" s="192"/>
      <c r="U3493" s="829"/>
      <c r="V3493" s="10"/>
      <c r="W3493" s="10"/>
      <c r="X3493" s="10"/>
      <c r="Y3493" s="10"/>
      <c r="Z3493" s="10"/>
      <c r="AA3493" s="11"/>
      <c r="AB3493" s="11"/>
    </row>
    <row r="3494" spans="2:28" x14ac:dyDescent="0.3">
      <c r="B3494" s="10"/>
      <c r="C3494" s="315"/>
      <c r="D3494" s="868"/>
      <c r="E3494" s="837" t="str">
        <f>IFERROR(IF(_xlfn.XLOOKUP(Imput[[#This Row],[RFC]],'Alta Proveedor'!D:D,'Alta Proveedor'!E:E)=0,"",_xlfn.XLOOKUP(Imput[[#This Row],[RFC]],'Alta Proveedor'!D:D,'Alta Proveedor'!E:E)),"")</f>
        <v/>
      </c>
      <c r="F3494" s="832"/>
      <c r="G3494" s="187"/>
      <c r="H3494" s="1"/>
      <c r="I3494" s="169">
        <f>Imput[[#This Row],[Cantidad]]*Imput[[#This Row],[Precio Unitario]]</f>
        <v>0</v>
      </c>
      <c r="J3494" s="11">
        <f>((Imput[[#This Row],[Sub total]])*(0.16))</f>
        <v>0</v>
      </c>
      <c r="K3494" s="11">
        <v>0</v>
      </c>
      <c r="L3494" s="169">
        <f>Imput[[#This Row],[Sub total]]+Imput[[#This Row],[IVA]]-Imput[[#This Row],[Retención / IEPS / Descuento]]</f>
        <v>0</v>
      </c>
      <c r="M3494" s="844">
        <v>0</v>
      </c>
      <c r="N3494" s="189"/>
      <c r="O3494" s="1"/>
      <c r="P3494" s="189"/>
      <c r="Q3494" s="190"/>
      <c r="R3494" s="188"/>
      <c r="S3494" s="193"/>
      <c r="T3494" s="192"/>
      <c r="U3494" s="829"/>
      <c r="V3494" s="10"/>
      <c r="W3494" s="10"/>
      <c r="X3494" s="10"/>
      <c r="Y3494" s="10"/>
      <c r="Z3494" s="10"/>
      <c r="AA3494" s="11"/>
      <c r="AB3494" s="11"/>
    </row>
    <row r="3495" spans="2:28" x14ac:dyDescent="0.3">
      <c r="B3495" s="10"/>
      <c r="C3495" s="315"/>
      <c r="D3495" s="868"/>
      <c r="E3495" s="837" t="str">
        <f>IFERROR(IF(_xlfn.XLOOKUP(Imput[[#This Row],[RFC]],'Alta Proveedor'!D:D,'Alta Proveedor'!E:E)=0,"",_xlfn.XLOOKUP(Imput[[#This Row],[RFC]],'Alta Proveedor'!D:D,'Alta Proveedor'!E:E)),"")</f>
        <v/>
      </c>
      <c r="F3495" s="832"/>
      <c r="G3495" s="187"/>
      <c r="H3495" s="1"/>
      <c r="I3495" s="169">
        <f>Imput[[#This Row],[Cantidad]]*Imput[[#This Row],[Precio Unitario]]</f>
        <v>0</v>
      </c>
      <c r="J3495" s="11">
        <f>((Imput[[#This Row],[Sub total]])*(0.16))</f>
        <v>0</v>
      </c>
      <c r="K3495" s="11">
        <v>0</v>
      </c>
      <c r="L3495" s="169">
        <f>Imput[[#This Row],[Sub total]]+Imput[[#This Row],[IVA]]-Imput[[#This Row],[Retención / IEPS / Descuento]]</f>
        <v>0</v>
      </c>
      <c r="M3495" s="844">
        <v>0</v>
      </c>
      <c r="N3495" s="189"/>
      <c r="O3495" s="1"/>
      <c r="P3495" s="189"/>
      <c r="Q3495" s="190"/>
      <c r="R3495" s="188"/>
      <c r="S3495" s="193"/>
      <c r="T3495" s="192"/>
      <c r="U3495" s="829"/>
      <c r="V3495" s="10"/>
      <c r="W3495" s="10"/>
      <c r="X3495" s="10"/>
      <c r="Y3495" s="10"/>
      <c r="Z3495" s="10"/>
      <c r="AA3495" s="11"/>
      <c r="AB3495" s="11"/>
    </row>
    <row r="3496" spans="2:28" x14ac:dyDescent="0.3">
      <c r="B3496" s="10"/>
      <c r="C3496" s="315"/>
      <c r="D3496" s="868"/>
      <c r="E3496" s="837" t="str">
        <f>IFERROR(IF(_xlfn.XLOOKUP(Imput[[#This Row],[RFC]],'Alta Proveedor'!D:D,'Alta Proveedor'!E:E)=0,"",_xlfn.XLOOKUP(Imput[[#This Row],[RFC]],'Alta Proveedor'!D:D,'Alta Proveedor'!E:E)),"")</f>
        <v/>
      </c>
      <c r="F3496" s="832"/>
      <c r="G3496" s="187"/>
      <c r="H3496" s="1"/>
      <c r="I3496" s="169">
        <f>Imput[[#This Row],[Cantidad]]*Imput[[#This Row],[Precio Unitario]]</f>
        <v>0</v>
      </c>
      <c r="J3496" s="11">
        <f>((Imput[[#This Row],[Sub total]])*(0.16))</f>
        <v>0</v>
      </c>
      <c r="K3496" s="11">
        <v>0</v>
      </c>
      <c r="L3496" s="169">
        <f>Imput[[#This Row],[Sub total]]+Imput[[#This Row],[IVA]]-Imput[[#This Row],[Retención / IEPS / Descuento]]</f>
        <v>0</v>
      </c>
      <c r="M3496" s="844">
        <v>0</v>
      </c>
      <c r="N3496" s="189"/>
      <c r="O3496" s="1"/>
      <c r="P3496" s="189"/>
      <c r="Q3496" s="190"/>
      <c r="R3496" s="188"/>
      <c r="S3496" s="193"/>
      <c r="T3496" s="192"/>
      <c r="U3496" s="829"/>
      <c r="V3496" s="10"/>
      <c r="W3496" s="10"/>
      <c r="X3496" s="10"/>
      <c r="Y3496" s="10"/>
      <c r="Z3496" s="10"/>
      <c r="AA3496" s="11"/>
      <c r="AB3496" s="11"/>
    </row>
    <row r="3497" spans="2:28" x14ac:dyDescent="0.3">
      <c r="B3497" s="10"/>
      <c r="C3497" s="315"/>
      <c r="D3497" s="868"/>
      <c r="E3497" s="837" t="str">
        <f>IFERROR(IF(_xlfn.XLOOKUP(Imput[[#This Row],[RFC]],'Alta Proveedor'!D:D,'Alta Proveedor'!E:E)=0,"",_xlfn.XLOOKUP(Imput[[#This Row],[RFC]],'Alta Proveedor'!D:D,'Alta Proveedor'!E:E)),"")</f>
        <v/>
      </c>
      <c r="F3497" s="832"/>
      <c r="G3497" s="187"/>
      <c r="H3497" s="1"/>
      <c r="I3497" s="169">
        <f>Imput[[#This Row],[Cantidad]]*Imput[[#This Row],[Precio Unitario]]</f>
        <v>0</v>
      </c>
      <c r="J3497" s="11">
        <f>((Imput[[#This Row],[Sub total]])*(0.16))</f>
        <v>0</v>
      </c>
      <c r="K3497" s="11">
        <v>0</v>
      </c>
      <c r="L3497" s="169">
        <f>Imput[[#This Row],[Sub total]]+Imput[[#This Row],[IVA]]-Imput[[#This Row],[Retención / IEPS / Descuento]]</f>
        <v>0</v>
      </c>
      <c r="M3497" s="844">
        <v>0</v>
      </c>
      <c r="N3497" s="189"/>
      <c r="O3497" s="1"/>
      <c r="P3497" s="189"/>
      <c r="Q3497" s="190"/>
      <c r="R3497" s="188"/>
      <c r="S3497" s="193"/>
      <c r="T3497" s="192"/>
      <c r="U3497" s="829"/>
      <c r="V3497" s="10"/>
      <c r="W3497" s="10"/>
      <c r="X3497" s="10"/>
      <c r="Y3497" s="10"/>
      <c r="Z3497" s="10"/>
      <c r="AA3497" s="11"/>
      <c r="AB3497" s="11"/>
    </row>
    <row r="3498" spans="2:28" x14ac:dyDescent="0.3">
      <c r="B3498" s="10"/>
      <c r="C3498" s="315"/>
      <c r="D3498" s="868"/>
      <c r="E3498" s="837" t="str">
        <f>IFERROR(IF(_xlfn.XLOOKUP(Imput[[#This Row],[RFC]],'Alta Proveedor'!D:D,'Alta Proveedor'!E:E)=0,"",_xlfn.XLOOKUP(Imput[[#This Row],[RFC]],'Alta Proveedor'!D:D,'Alta Proveedor'!E:E)),"")</f>
        <v/>
      </c>
      <c r="F3498" s="832"/>
      <c r="G3498" s="187"/>
      <c r="H3498" s="1"/>
      <c r="I3498" s="169">
        <f>Imput[[#This Row],[Cantidad]]*Imput[[#This Row],[Precio Unitario]]</f>
        <v>0</v>
      </c>
      <c r="J3498" s="11">
        <f>((Imput[[#This Row],[Sub total]])*(0.16))</f>
        <v>0</v>
      </c>
      <c r="K3498" s="11">
        <v>0</v>
      </c>
      <c r="L3498" s="169">
        <f>Imput[[#This Row],[Sub total]]+Imput[[#This Row],[IVA]]-Imput[[#This Row],[Retención / IEPS / Descuento]]</f>
        <v>0</v>
      </c>
      <c r="M3498" s="844">
        <v>0</v>
      </c>
      <c r="N3498" s="189"/>
      <c r="O3498" s="1"/>
      <c r="P3498" s="189"/>
      <c r="Q3498" s="190"/>
      <c r="R3498" s="188"/>
      <c r="S3498" s="193"/>
      <c r="T3498" s="192"/>
      <c r="U3498" s="829"/>
      <c r="V3498" s="10"/>
      <c r="W3498" s="10"/>
      <c r="X3498" s="10"/>
      <c r="Y3498" s="10"/>
      <c r="Z3498" s="10"/>
      <c r="AA3498" s="11"/>
      <c r="AB3498" s="11"/>
    </row>
    <row r="3499" spans="2:28" x14ac:dyDescent="0.3">
      <c r="B3499" s="10"/>
      <c r="C3499" s="315"/>
      <c r="D3499" s="868"/>
      <c r="E3499" s="837" t="str">
        <f>IFERROR(IF(_xlfn.XLOOKUP(Imput[[#This Row],[RFC]],'Alta Proveedor'!D:D,'Alta Proveedor'!E:E)=0,"",_xlfn.XLOOKUP(Imput[[#This Row],[RFC]],'Alta Proveedor'!D:D,'Alta Proveedor'!E:E)),"")</f>
        <v/>
      </c>
      <c r="F3499" s="832"/>
      <c r="G3499" s="187"/>
      <c r="H3499" s="1"/>
      <c r="I3499" s="169">
        <f>Imput[[#This Row],[Cantidad]]*Imput[[#This Row],[Precio Unitario]]</f>
        <v>0</v>
      </c>
      <c r="J3499" s="11">
        <f>((Imput[[#This Row],[Sub total]])*(0.16))</f>
        <v>0</v>
      </c>
      <c r="K3499" s="11">
        <v>0</v>
      </c>
      <c r="L3499" s="169">
        <f>Imput[[#This Row],[Sub total]]+Imput[[#This Row],[IVA]]-Imput[[#This Row],[Retención / IEPS / Descuento]]</f>
        <v>0</v>
      </c>
      <c r="M3499" s="844">
        <v>0</v>
      </c>
      <c r="N3499" s="189"/>
      <c r="O3499" s="1"/>
      <c r="P3499" s="189"/>
      <c r="Q3499" s="190"/>
      <c r="R3499" s="188"/>
      <c r="S3499" s="193"/>
      <c r="T3499" s="192"/>
      <c r="U3499" s="829"/>
      <c r="V3499" s="10"/>
      <c r="W3499" s="10"/>
      <c r="X3499" s="10"/>
      <c r="Y3499" s="10"/>
      <c r="Z3499" s="10"/>
      <c r="AA3499" s="11"/>
      <c r="AB3499" s="11"/>
    </row>
    <row r="3500" spans="2:28" x14ac:dyDescent="0.3">
      <c r="B3500" s="10"/>
      <c r="C3500" s="315"/>
      <c r="D3500" s="868"/>
      <c r="E3500" s="837" t="str">
        <f>IFERROR(IF(_xlfn.XLOOKUP(Imput[[#This Row],[RFC]],'Alta Proveedor'!D:D,'Alta Proveedor'!E:E)=0,"",_xlfn.XLOOKUP(Imput[[#This Row],[RFC]],'Alta Proveedor'!D:D,'Alta Proveedor'!E:E)),"")</f>
        <v/>
      </c>
      <c r="F3500" s="832"/>
      <c r="G3500" s="187"/>
      <c r="H3500" s="1"/>
      <c r="I3500" s="169">
        <f>Imput[[#This Row],[Cantidad]]*Imput[[#This Row],[Precio Unitario]]</f>
        <v>0</v>
      </c>
      <c r="J3500" s="11">
        <f>((Imput[[#This Row],[Sub total]])*(0.16))</f>
        <v>0</v>
      </c>
      <c r="K3500" s="11">
        <v>0</v>
      </c>
      <c r="L3500" s="169">
        <f>Imput[[#This Row],[Sub total]]+Imput[[#This Row],[IVA]]-Imput[[#This Row],[Retención / IEPS / Descuento]]</f>
        <v>0</v>
      </c>
      <c r="M3500" s="844">
        <v>0</v>
      </c>
      <c r="N3500" s="189"/>
      <c r="O3500" s="1"/>
      <c r="P3500" s="189"/>
      <c r="Q3500" s="190"/>
      <c r="R3500" s="188"/>
      <c r="S3500" s="193"/>
      <c r="T3500" s="192"/>
      <c r="U3500" s="829"/>
      <c r="V3500" s="10"/>
      <c r="W3500" s="10"/>
      <c r="X3500" s="10"/>
      <c r="Y3500" s="10"/>
      <c r="Z3500" s="10"/>
      <c r="AA3500" s="11"/>
      <c r="AB3500" s="11"/>
    </row>
    <row r="3501" spans="2:28" x14ac:dyDescent="0.3">
      <c r="B3501" s="10"/>
      <c r="C3501" s="315"/>
      <c r="D3501" s="868"/>
      <c r="E3501" s="837" t="str">
        <f>IFERROR(IF(_xlfn.XLOOKUP(Imput[[#This Row],[RFC]],'Alta Proveedor'!D:D,'Alta Proveedor'!E:E)=0,"",_xlfn.XLOOKUP(Imput[[#This Row],[RFC]],'Alta Proveedor'!D:D,'Alta Proveedor'!E:E)),"")</f>
        <v/>
      </c>
      <c r="F3501" s="832"/>
      <c r="G3501" s="187"/>
      <c r="H3501" s="1"/>
      <c r="I3501" s="169">
        <f>Imput[[#This Row],[Cantidad]]*Imput[[#This Row],[Precio Unitario]]</f>
        <v>0</v>
      </c>
      <c r="J3501" s="11">
        <f>((Imput[[#This Row],[Sub total]])*(0.16))</f>
        <v>0</v>
      </c>
      <c r="K3501" s="11">
        <v>0</v>
      </c>
      <c r="L3501" s="169">
        <f>Imput[[#This Row],[Sub total]]+Imput[[#This Row],[IVA]]-Imput[[#This Row],[Retención / IEPS / Descuento]]</f>
        <v>0</v>
      </c>
      <c r="M3501" s="844">
        <v>0</v>
      </c>
      <c r="N3501" s="189"/>
      <c r="O3501" s="1"/>
      <c r="P3501" s="189"/>
      <c r="Q3501" s="190"/>
      <c r="R3501" s="188"/>
      <c r="S3501" s="193"/>
      <c r="T3501" s="192"/>
      <c r="U3501" s="829"/>
      <c r="V3501" s="10"/>
      <c r="W3501" s="10"/>
      <c r="X3501" s="10"/>
      <c r="Y3501" s="10"/>
      <c r="Z3501" s="10"/>
      <c r="AA3501" s="11"/>
      <c r="AB3501" s="11"/>
    </row>
    <row r="3502" spans="2:28" x14ac:dyDescent="0.3">
      <c r="B3502" s="10"/>
      <c r="C3502" s="315"/>
      <c r="D3502" s="868"/>
      <c r="E3502" s="837" t="str">
        <f>IFERROR(IF(_xlfn.XLOOKUP(Imput[[#This Row],[RFC]],'Alta Proveedor'!D:D,'Alta Proveedor'!E:E)=0,"",_xlfn.XLOOKUP(Imput[[#This Row],[RFC]],'Alta Proveedor'!D:D,'Alta Proveedor'!E:E)),"")</f>
        <v/>
      </c>
      <c r="F3502" s="832"/>
      <c r="G3502" s="187"/>
      <c r="H3502" s="1"/>
      <c r="I3502" s="169">
        <f>Imput[[#This Row],[Cantidad]]*Imput[[#This Row],[Precio Unitario]]</f>
        <v>0</v>
      </c>
      <c r="J3502" s="11">
        <f>((Imput[[#This Row],[Sub total]])*(0.16))</f>
        <v>0</v>
      </c>
      <c r="K3502" s="11">
        <v>0</v>
      </c>
      <c r="L3502" s="169">
        <f>Imput[[#This Row],[Sub total]]+Imput[[#This Row],[IVA]]-Imput[[#This Row],[Retención / IEPS / Descuento]]</f>
        <v>0</v>
      </c>
      <c r="M3502" s="844">
        <v>0</v>
      </c>
      <c r="N3502" s="189"/>
      <c r="O3502" s="1"/>
      <c r="P3502" s="189"/>
      <c r="Q3502" s="190"/>
      <c r="R3502" s="188"/>
      <c r="S3502" s="193"/>
      <c r="T3502" s="192"/>
      <c r="U3502" s="829"/>
      <c r="V3502" s="10"/>
      <c r="W3502" s="10"/>
      <c r="X3502" s="10"/>
      <c r="Y3502" s="10"/>
      <c r="Z3502" s="10"/>
      <c r="AA3502" s="11"/>
      <c r="AB3502" s="11"/>
    </row>
    <row r="3503" spans="2:28" x14ac:dyDescent="0.3">
      <c r="B3503" s="10"/>
      <c r="C3503" s="315"/>
      <c r="D3503" s="868"/>
      <c r="E3503" s="837" t="str">
        <f>IFERROR(IF(_xlfn.XLOOKUP(Imput[[#This Row],[RFC]],'Alta Proveedor'!D:D,'Alta Proveedor'!E:E)=0,"",_xlfn.XLOOKUP(Imput[[#This Row],[RFC]],'Alta Proveedor'!D:D,'Alta Proveedor'!E:E)),"")</f>
        <v/>
      </c>
      <c r="F3503" s="832"/>
      <c r="G3503" s="187"/>
      <c r="H3503" s="1"/>
      <c r="I3503" s="169">
        <f>Imput[[#This Row],[Cantidad]]*Imput[[#This Row],[Precio Unitario]]</f>
        <v>0</v>
      </c>
      <c r="J3503" s="11">
        <f>((Imput[[#This Row],[Sub total]])*(0.16))</f>
        <v>0</v>
      </c>
      <c r="K3503" s="11">
        <v>0</v>
      </c>
      <c r="L3503" s="169">
        <f>Imput[[#This Row],[Sub total]]+Imput[[#This Row],[IVA]]-Imput[[#This Row],[Retención / IEPS / Descuento]]</f>
        <v>0</v>
      </c>
      <c r="M3503" s="844">
        <v>0</v>
      </c>
      <c r="N3503" s="189"/>
      <c r="O3503" s="1"/>
      <c r="P3503" s="189"/>
      <c r="Q3503" s="190"/>
      <c r="R3503" s="188"/>
      <c r="S3503" s="193"/>
      <c r="T3503" s="192"/>
      <c r="U3503" s="829"/>
      <c r="V3503" s="10"/>
      <c r="W3503" s="10"/>
      <c r="X3503" s="10"/>
      <c r="Y3503" s="10"/>
      <c r="Z3503" s="10"/>
      <c r="AA3503" s="11"/>
      <c r="AB3503" s="11"/>
    </row>
    <row r="3504" spans="2:28" x14ac:dyDescent="0.3">
      <c r="B3504" s="10"/>
      <c r="C3504" s="315"/>
      <c r="D3504" s="868"/>
      <c r="E3504" s="837" t="str">
        <f>IFERROR(IF(_xlfn.XLOOKUP(Imput[[#This Row],[RFC]],'Alta Proveedor'!D:D,'Alta Proveedor'!E:E)=0,"",_xlfn.XLOOKUP(Imput[[#This Row],[RFC]],'Alta Proveedor'!D:D,'Alta Proveedor'!E:E)),"")</f>
        <v/>
      </c>
      <c r="F3504" s="832"/>
      <c r="G3504" s="187"/>
      <c r="H3504" s="1"/>
      <c r="I3504" s="169">
        <f>Imput[[#This Row],[Cantidad]]*Imput[[#This Row],[Precio Unitario]]</f>
        <v>0</v>
      </c>
      <c r="J3504" s="11">
        <f>((Imput[[#This Row],[Sub total]])*(0.16))</f>
        <v>0</v>
      </c>
      <c r="K3504" s="11">
        <v>0</v>
      </c>
      <c r="L3504" s="169">
        <f>Imput[[#This Row],[Sub total]]+Imput[[#This Row],[IVA]]-Imput[[#This Row],[Retención / IEPS / Descuento]]</f>
        <v>0</v>
      </c>
      <c r="M3504" s="844">
        <v>0</v>
      </c>
      <c r="N3504" s="189"/>
      <c r="O3504" s="1"/>
      <c r="P3504" s="189"/>
      <c r="Q3504" s="190"/>
      <c r="R3504" s="188"/>
      <c r="S3504" s="193"/>
      <c r="T3504" s="192"/>
      <c r="U3504" s="829"/>
      <c r="V3504" s="10"/>
      <c r="W3504" s="10"/>
      <c r="X3504" s="10"/>
      <c r="Y3504" s="10"/>
      <c r="Z3504" s="10"/>
      <c r="AA3504" s="11"/>
      <c r="AB3504" s="11"/>
    </row>
    <row r="3505" spans="2:28" x14ac:dyDescent="0.3">
      <c r="B3505" s="10"/>
      <c r="C3505" s="315"/>
      <c r="D3505" s="868"/>
      <c r="E3505" s="837" t="str">
        <f>IFERROR(IF(_xlfn.XLOOKUP(Imput[[#This Row],[RFC]],'Alta Proveedor'!D:D,'Alta Proveedor'!E:E)=0,"",_xlfn.XLOOKUP(Imput[[#This Row],[RFC]],'Alta Proveedor'!D:D,'Alta Proveedor'!E:E)),"")</f>
        <v/>
      </c>
      <c r="F3505" s="832"/>
      <c r="G3505" s="187"/>
      <c r="H3505" s="1"/>
      <c r="I3505" s="169">
        <f>Imput[[#This Row],[Cantidad]]*Imput[[#This Row],[Precio Unitario]]</f>
        <v>0</v>
      </c>
      <c r="J3505" s="11">
        <f>((Imput[[#This Row],[Sub total]])*(0.16))</f>
        <v>0</v>
      </c>
      <c r="K3505" s="11">
        <v>0</v>
      </c>
      <c r="L3505" s="169">
        <f>Imput[[#This Row],[Sub total]]+Imput[[#This Row],[IVA]]-Imput[[#This Row],[Retención / IEPS / Descuento]]</f>
        <v>0</v>
      </c>
      <c r="M3505" s="844">
        <v>0</v>
      </c>
      <c r="N3505" s="189"/>
      <c r="O3505" s="1"/>
      <c r="P3505" s="189"/>
      <c r="Q3505" s="190"/>
      <c r="R3505" s="188"/>
      <c r="S3505" s="193"/>
      <c r="T3505" s="192"/>
      <c r="U3505" s="829"/>
      <c r="V3505" s="10"/>
      <c r="W3505" s="10"/>
      <c r="X3505" s="10"/>
      <c r="Y3505" s="10"/>
      <c r="Z3505" s="10"/>
      <c r="AA3505" s="11"/>
      <c r="AB3505" s="11"/>
    </row>
    <row r="3506" spans="2:28" x14ac:dyDescent="0.3">
      <c r="B3506" s="10"/>
      <c r="C3506" s="315"/>
      <c r="D3506" s="868"/>
      <c r="E3506" s="837" t="str">
        <f>IFERROR(IF(_xlfn.XLOOKUP(Imput[[#This Row],[RFC]],'Alta Proveedor'!D:D,'Alta Proveedor'!E:E)=0,"",_xlfn.XLOOKUP(Imput[[#This Row],[RFC]],'Alta Proveedor'!D:D,'Alta Proveedor'!E:E)),"")</f>
        <v/>
      </c>
      <c r="F3506" s="832"/>
      <c r="G3506" s="187"/>
      <c r="H3506" s="1"/>
      <c r="I3506" s="169">
        <f>Imput[[#This Row],[Cantidad]]*Imput[[#This Row],[Precio Unitario]]</f>
        <v>0</v>
      </c>
      <c r="J3506" s="11">
        <f>((Imput[[#This Row],[Sub total]])*(0.16))</f>
        <v>0</v>
      </c>
      <c r="K3506" s="11">
        <v>0</v>
      </c>
      <c r="L3506" s="169">
        <f>Imput[[#This Row],[Sub total]]+Imput[[#This Row],[IVA]]-Imput[[#This Row],[Retención / IEPS / Descuento]]</f>
        <v>0</v>
      </c>
      <c r="M3506" s="844">
        <v>0</v>
      </c>
      <c r="N3506" s="189"/>
      <c r="O3506" s="1"/>
      <c r="P3506" s="189"/>
      <c r="Q3506" s="190"/>
      <c r="R3506" s="188"/>
      <c r="S3506" s="193"/>
      <c r="T3506" s="192"/>
      <c r="U3506" s="829"/>
      <c r="V3506" s="10"/>
      <c r="W3506" s="10"/>
      <c r="X3506" s="10"/>
      <c r="Y3506" s="10"/>
      <c r="Z3506" s="10"/>
      <c r="AA3506" s="11"/>
      <c r="AB3506" s="11"/>
    </row>
    <row r="3507" spans="2:28" x14ac:dyDescent="0.3">
      <c r="B3507" s="10"/>
      <c r="C3507" s="315"/>
      <c r="D3507" s="868"/>
      <c r="E3507" s="837" t="str">
        <f>IFERROR(IF(_xlfn.XLOOKUP(Imput[[#This Row],[RFC]],'Alta Proveedor'!D:D,'Alta Proveedor'!E:E)=0,"",_xlfn.XLOOKUP(Imput[[#This Row],[RFC]],'Alta Proveedor'!D:D,'Alta Proveedor'!E:E)),"")</f>
        <v/>
      </c>
      <c r="F3507" s="832"/>
      <c r="G3507" s="187"/>
      <c r="H3507" s="1"/>
      <c r="I3507" s="169">
        <f>Imput[[#This Row],[Cantidad]]*Imput[[#This Row],[Precio Unitario]]</f>
        <v>0</v>
      </c>
      <c r="J3507" s="11">
        <f>((Imput[[#This Row],[Sub total]])*(0.16))</f>
        <v>0</v>
      </c>
      <c r="K3507" s="11">
        <v>0</v>
      </c>
      <c r="L3507" s="169">
        <f>Imput[[#This Row],[Sub total]]+Imput[[#This Row],[IVA]]-Imput[[#This Row],[Retención / IEPS / Descuento]]</f>
        <v>0</v>
      </c>
      <c r="M3507" s="844">
        <v>0</v>
      </c>
      <c r="N3507" s="189"/>
      <c r="O3507" s="1"/>
      <c r="P3507" s="189"/>
      <c r="Q3507" s="190"/>
      <c r="R3507" s="188"/>
      <c r="S3507" s="193"/>
      <c r="T3507" s="192"/>
      <c r="U3507" s="829"/>
      <c r="V3507" s="10"/>
      <c r="W3507" s="10"/>
      <c r="X3507" s="10"/>
      <c r="Y3507" s="10"/>
      <c r="Z3507" s="10"/>
      <c r="AA3507" s="11"/>
      <c r="AB3507" s="11"/>
    </row>
    <row r="3508" spans="2:28" x14ac:dyDescent="0.3">
      <c r="B3508" s="10"/>
      <c r="C3508" s="315"/>
      <c r="D3508" s="868"/>
      <c r="E3508" s="837" t="str">
        <f>IFERROR(IF(_xlfn.XLOOKUP(Imput[[#This Row],[RFC]],'Alta Proveedor'!D:D,'Alta Proveedor'!E:E)=0,"",_xlfn.XLOOKUP(Imput[[#This Row],[RFC]],'Alta Proveedor'!D:D,'Alta Proveedor'!E:E)),"")</f>
        <v/>
      </c>
      <c r="F3508" s="832"/>
      <c r="G3508" s="187"/>
      <c r="H3508" s="1"/>
      <c r="I3508" s="169">
        <f>Imput[[#This Row],[Cantidad]]*Imput[[#This Row],[Precio Unitario]]</f>
        <v>0</v>
      </c>
      <c r="J3508" s="11">
        <f>((Imput[[#This Row],[Sub total]])*(0.16))</f>
        <v>0</v>
      </c>
      <c r="K3508" s="11">
        <v>0</v>
      </c>
      <c r="L3508" s="169">
        <f>Imput[[#This Row],[Sub total]]+Imput[[#This Row],[IVA]]-Imput[[#This Row],[Retención / IEPS / Descuento]]</f>
        <v>0</v>
      </c>
      <c r="M3508" s="844">
        <v>0</v>
      </c>
      <c r="N3508" s="189"/>
      <c r="O3508" s="1"/>
      <c r="P3508" s="189"/>
      <c r="Q3508" s="190"/>
      <c r="R3508" s="188"/>
      <c r="S3508" s="193"/>
      <c r="T3508" s="192"/>
      <c r="U3508" s="829"/>
      <c r="V3508" s="10"/>
      <c r="W3508" s="10"/>
      <c r="X3508" s="10"/>
      <c r="Y3508" s="10"/>
      <c r="Z3508" s="10"/>
      <c r="AA3508" s="11"/>
      <c r="AB3508" s="11"/>
    </row>
    <row r="3509" spans="2:28" x14ac:dyDescent="0.3">
      <c r="B3509" s="10"/>
      <c r="C3509" s="315"/>
      <c r="D3509" s="868"/>
      <c r="E3509" s="837" t="str">
        <f>IFERROR(IF(_xlfn.XLOOKUP(Imput[[#This Row],[RFC]],'Alta Proveedor'!D:D,'Alta Proveedor'!E:E)=0,"",_xlfn.XLOOKUP(Imput[[#This Row],[RFC]],'Alta Proveedor'!D:D,'Alta Proveedor'!E:E)),"")</f>
        <v/>
      </c>
      <c r="F3509" s="832"/>
      <c r="G3509" s="187"/>
      <c r="H3509" s="1"/>
      <c r="I3509" s="169">
        <f>Imput[[#This Row],[Cantidad]]*Imput[[#This Row],[Precio Unitario]]</f>
        <v>0</v>
      </c>
      <c r="J3509" s="11">
        <f>((Imput[[#This Row],[Sub total]])*(0.16))</f>
        <v>0</v>
      </c>
      <c r="K3509" s="11">
        <v>0</v>
      </c>
      <c r="L3509" s="169">
        <f>Imput[[#This Row],[Sub total]]+Imput[[#This Row],[IVA]]-Imput[[#This Row],[Retención / IEPS / Descuento]]</f>
        <v>0</v>
      </c>
      <c r="M3509" s="844">
        <v>0</v>
      </c>
      <c r="N3509" s="189"/>
      <c r="O3509" s="1"/>
      <c r="P3509" s="189"/>
      <c r="Q3509" s="190"/>
      <c r="R3509" s="188"/>
      <c r="S3509" s="193"/>
      <c r="T3509" s="192"/>
      <c r="U3509" s="829"/>
      <c r="V3509" s="10"/>
      <c r="W3509" s="10"/>
      <c r="X3509" s="10"/>
      <c r="Y3509" s="10"/>
      <c r="Z3509" s="10"/>
      <c r="AA3509" s="11"/>
      <c r="AB3509" s="11"/>
    </row>
    <row r="3510" spans="2:28" x14ac:dyDescent="0.3">
      <c r="B3510" s="10"/>
      <c r="C3510" s="315"/>
      <c r="D3510" s="868"/>
      <c r="E3510" s="837" t="str">
        <f>IFERROR(IF(_xlfn.XLOOKUP(Imput[[#This Row],[RFC]],'Alta Proveedor'!D:D,'Alta Proveedor'!E:E)=0,"",_xlfn.XLOOKUP(Imput[[#This Row],[RFC]],'Alta Proveedor'!D:D,'Alta Proveedor'!E:E)),"")</f>
        <v/>
      </c>
      <c r="F3510" s="832"/>
      <c r="G3510" s="187"/>
      <c r="H3510" s="1"/>
      <c r="I3510" s="169">
        <f>Imput[[#This Row],[Cantidad]]*Imput[[#This Row],[Precio Unitario]]</f>
        <v>0</v>
      </c>
      <c r="J3510" s="11">
        <f>((Imput[[#This Row],[Sub total]])*(0.16))</f>
        <v>0</v>
      </c>
      <c r="K3510" s="11">
        <v>0</v>
      </c>
      <c r="L3510" s="169">
        <f>Imput[[#This Row],[Sub total]]+Imput[[#This Row],[IVA]]-Imput[[#This Row],[Retención / IEPS / Descuento]]</f>
        <v>0</v>
      </c>
      <c r="M3510" s="844">
        <v>0</v>
      </c>
      <c r="N3510" s="189"/>
      <c r="O3510" s="1"/>
      <c r="P3510" s="189"/>
      <c r="Q3510" s="190"/>
      <c r="R3510" s="188"/>
      <c r="S3510" s="193"/>
      <c r="T3510" s="192"/>
      <c r="U3510" s="829"/>
      <c r="V3510" s="10"/>
      <c r="W3510" s="10"/>
      <c r="X3510" s="10"/>
      <c r="Y3510" s="10"/>
      <c r="Z3510" s="10"/>
      <c r="AA3510" s="11"/>
      <c r="AB3510" s="11"/>
    </row>
    <row r="3511" spans="2:28" x14ac:dyDescent="0.3">
      <c r="B3511" s="10"/>
      <c r="C3511" s="315"/>
      <c r="D3511" s="868"/>
      <c r="E3511" s="837" t="str">
        <f>IFERROR(IF(_xlfn.XLOOKUP(Imput[[#This Row],[RFC]],'Alta Proveedor'!D:D,'Alta Proveedor'!E:E)=0,"",_xlfn.XLOOKUP(Imput[[#This Row],[RFC]],'Alta Proveedor'!D:D,'Alta Proveedor'!E:E)),"")</f>
        <v/>
      </c>
      <c r="F3511" s="832"/>
      <c r="G3511" s="187"/>
      <c r="H3511" s="1"/>
      <c r="I3511" s="169">
        <f>Imput[[#This Row],[Cantidad]]*Imput[[#This Row],[Precio Unitario]]</f>
        <v>0</v>
      </c>
      <c r="J3511" s="11">
        <f>((Imput[[#This Row],[Sub total]])*(0.16))</f>
        <v>0</v>
      </c>
      <c r="K3511" s="11">
        <v>0</v>
      </c>
      <c r="L3511" s="169">
        <f>Imput[[#This Row],[Sub total]]+Imput[[#This Row],[IVA]]-Imput[[#This Row],[Retención / IEPS / Descuento]]</f>
        <v>0</v>
      </c>
      <c r="M3511" s="844">
        <v>0</v>
      </c>
      <c r="N3511" s="189"/>
      <c r="O3511" s="1"/>
      <c r="P3511" s="189"/>
      <c r="Q3511" s="190"/>
      <c r="R3511" s="188"/>
      <c r="S3511" s="193"/>
      <c r="T3511" s="192"/>
      <c r="U3511" s="829"/>
      <c r="V3511" s="10"/>
      <c r="W3511" s="10"/>
      <c r="X3511" s="10"/>
      <c r="Y3511" s="10"/>
      <c r="Z3511" s="10"/>
      <c r="AA3511" s="11"/>
      <c r="AB3511" s="11"/>
    </row>
    <row r="3512" spans="2:28" x14ac:dyDescent="0.3">
      <c r="B3512" s="10"/>
      <c r="C3512" s="315"/>
      <c r="D3512" s="868"/>
      <c r="E3512" s="837" t="str">
        <f>IFERROR(IF(_xlfn.XLOOKUP(Imput[[#This Row],[RFC]],'Alta Proveedor'!D:D,'Alta Proveedor'!E:E)=0,"",_xlfn.XLOOKUP(Imput[[#This Row],[RFC]],'Alta Proveedor'!D:D,'Alta Proveedor'!E:E)),"")</f>
        <v/>
      </c>
      <c r="F3512" s="832"/>
      <c r="G3512" s="187"/>
      <c r="H3512" s="1"/>
      <c r="I3512" s="169">
        <f>Imput[[#This Row],[Cantidad]]*Imput[[#This Row],[Precio Unitario]]</f>
        <v>0</v>
      </c>
      <c r="J3512" s="11">
        <f>((Imput[[#This Row],[Sub total]])*(0.16))</f>
        <v>0</v>
      </c>
      <c r="K3512" s="11">
        <v>0</v>
      </c>
      <c r="L3512" s="169">
        <f>Imput[[#This Row],[Sub total]]+Imput[[#This Row],[IVA]]-Imput[[#This Row],[Retención / IEPS / Descuento]]</f>
        <v>0</v>
      </c>
      <c r="M3512" s="844">
        <v>0</v>
      </c>
      <c r="N3512" s="189"/>
      <c r="O3512" s="1"/>
      <c r="P3512" s="189"/>
      <c r="Q3512" s="190"/>
      <c r="R3512" s="188"/>
      <c r="S3512" s="193"/>
      <c r="T3512" s="192"/>
      <c r="U3512" s="829"/>
      <c r="V3512" s="10"/>
      <c r="W3512" s="10"/>
      <c r="X3512" s="10"/>
      <c r="Y3512" s="10"/>
      <c r="Z3512" s="10"/>
      <c r="AA3512" s="11"/>
      <c r="AB3512" s="11"/>
    </row>
    <row r="3513" spans="2:28" x14ac:dyDescent="0.3">
      <c r="B3513" s="10"/>
      <c r="C3513" s="315"/>
      <c r="D3513" s="868"/>
      <c r="E3513" s="837" t="str">
        <f>IFERROR(IF(_xlfn.XLOOKUP(Imput[[#This Row],[RFC]],'Alta Proveedor'!D:D,'Alta Proveedor'!E:E)=0,"",_xlfn.XLOOKUP(Imput[[#This Row],[RFC]],'Alta Proveedor'!D:D,'Alta Proveedor'!E:E)),"")</f>
        <v/>
      </c>
      <c r="F3513" s="832"/>
      <c r="G3513" s="187"/>
      <c r="H3513" s="1"/>
      <c r="I3513" s="169">
        <f>Imput[[#This Row],[Cantidad]]*Imput[[#This Row],[Precio Unitario]]</f>
        <v>0</v>
      </c>
      <c r="J3513" s="11">
        <f>((Imput[[#This Row],[Sub total]])*(0.16))</f>
        <v>0</v>
      </c>
      <c r="K3513" s="11">
        <v>0</v>
      </c>
      <c r="L3513" s="169">
        <f>Imput[[#This Row],[Sub total]]+Imput[[#This Row],[IVA]]-Imput[[#This Row],[Retención / IEPS / Descuento]]</f>
        <v>0</v>
      </c>
      <c r="M3513" s="844">
        <v>0</v>
      </c>
      <c r="N3513" s="189"/>
      <c r="O3513" s="1"/>
      <c r="P3513" s="189"/>
      <c r="Q3513" s="190"/>
      <c r="R3513" s="188"/>
      <c r="S3513" s="193"/>
      <c r="T3513" s="192"/>
      <c r="U3513" s="829"/>
      <c r="V3513" s="10"/>
      <c r="W3513" s="10"/>
      <c r="X3513" s="10"/>
      <c r="Y3513" s="10"/>
      <c r="Z3513" s="10"/>
      <c r="AA3513" s="11"/>
      <c r="AB3513" s="11"/>
    </row>
    <row r="3514" spans="2:28" x14ac:dyDescent="0.3">
      <c r="B3514" s="10"/>
      <c r="C3514" s="315"/>
      <c r="D3514" s="868"/>
      <c r="E3514" s="837" t="str">
        <f>IFERROR(IF(_xlfn.XLOOKUP(Imput[[#This Row],[RFC]],'Alta Proveedor'!D:D,'Alta Proveedor'!E:E)=0,"",_xlfn.XLOOKUP(Imput[[#This Row],[RFC]],'Alta Proveedor'!D:D,'Alta Proveedor'!E:E)),"")</f>
        <v/>
      </c>
      <c r="F3514" s="832"/>
      <c r="G3514" s="187"/>
      <c r="H3514" s="1"/>
      <c r="I3514" s="169">
        <f>Imput[[#This Row],[Cantidad]]*Imput[[#This Row],[Precio Unitario]]</f>
        <v>0</v>
      </c>
      <c r="J3514" s="11">
        <f>((Imput[[#This Row],[Sub total]])*(0.16))</f>
        <v>0</v>
      </c>
      <c r="K3514" s="11">
        <v>0</v>
      </c>
      <c r="L3514" s="169">
        <f>Imput[[#This Row],[Sub total]]+Imput[[#This Row],[IVA]]-Imput[[#This Row],[Retención / IEPS / Descuento]]</f>
        <v>0</v>
      </c>
      <c r="M3514" s="844">
        <v>0</v>
      </c>
      <c r="N3514" s="189"/>
      <c r="O3514" s="1"/>
      <c r="P3514" s="189"/>
      <c r="Q3514" s="190"/>
      <c r="R3514" s="188"/>
      <c r="S3514" s="193"/>
      <c r="T3514" s="192"/>
      <c r="U3514" s="829"/>
      <c r="V3514" s="10"/>
      <c r="W3514" s="10"/>
      <c r="X3514" s="10"/>
      <c r="Y3514" s="10"/>
      <c r="Z3514" s="10"/>
      <c r="AA3514" s="11"/>
      <c r="AB3514" s="11"/>
    </row>
    <row r="3515" spans="2:28" x14ac:dyDescent="0.3">
      <c r="B3515" s="10"/>
      <c r="C3515" s="315"/>
      <c r="D3515" s="868"/>
      <c r="E3515" s="837" t="str">
        <f>IFERROR(IF(_xlfn.XLOOKUP(Imput[[#This Row],[RFC]],'Alta Proveedor'!D:D,'Alta Proveedor'!E:E)=0,"",_xlfn.XLOOKUP(Imput[[#This Row],[RFC]],'Alta Proveedor'!D:D,'Alta Proveedor'!E:E)),"")</f>
        <v/>
      </c>
      <c r="F3515" s="832"/>
      <c r="G3515" s="187"/>
      <c r="H3515" s="1"/>
      <c r="I3515" s="169">
        <f>Imput[[#This Row],[Cantidad]]*Imput[[#This Row],[Precio Unitario]]</f>
        <v>0</v>
      </c>
      <c r="J3515" s="11">
        <f>((Imput[[#This Row],[Sub total]])*(0.16))</f>
        <v>0</v>
      </c>
      <c r="K3515" s="11">
        <v>0</v>
      </c>
      <c r="L3515" s="169">
        <f>Imput[[#This Row],[Sub total]]+Imput[[#This Row],[IVA]]-Imput[[#This Row],[Retención / IEPS / Descuento]]</f>
        <v>0</v>
      </c>
      <c r="M3515" s="844">
        <v>0</v>
      </c>
      <c r="N3515" s="189"/>
      <c r="O3515" s="1"/>
      <c r="P3515" s="189"/>
      <c r="Q3515" s="190"/>
      <c r="R3515" s="188"/>
      <c r="S3515" s="193"/>
      <c r="T3515" s="192"/>
      <c r="U3515" s="829"/>
      <c r="V3515" s="10"/>
      <c r="W3515" s="10"/>
      <c r="X3515" s="10"/>
      <c r="Y3515" s="10"/>
      <c r="Z3515" s="10"/>
      <c r="AA3515" s="11"/>
      <c r="AB3515" s="11"/>
    </row>
    <row r="3516" spans="2:28" x14ac:dyDescent="0.3">
      <c r="B3516" s="10"/>
      <c r="C3516" s="315"/>
      <c r="D3516" s="868"/>
      <c r="E3516" s="837" t="str">
        <f>IFERROR(IF(_xlfn.XLOOKUP(Imput[[#This Row],[RFC]],'Alta Proveedor'!D:D,'Alta Proveedor'!E:E)=0,"",_xlfn.XLOOKUP(Imput[[#This Row],[RFC]],'Alta Proveedor'!D:D,'Alta Proveedor'!E:E)),"")</f>
        <v/>
      </c>
      <c r="F3516" s="832"/>
      <c r="G3516" s="187"/>
      <c r="H3516" s="1"/>
      <c r="I3516" s="169">
        <f>Imput[[#This Row],[Cantidad]]*Imput[[#This Row],[Precio Unitario]]</f>
        <v>0</v>
      </c>
      <c r="J3516" s="11">
        <f>((Imput[[#This Row],[Sub total]])*(0.16))</f>
        <v>0</v>
      </c>
      <c r="K3516" s="11">
        <v>0</v>
      </c>
      <c r="L3516" s="169">
        <f>Imput[[#This Row],[Sub total]]+Imput[[#This Row],[IVA]]-Imput[[#This Row],[Retención / IEPS / Descuento]]</f>
        <v>0</v>
      </c>
      <c r="M3516" s="844">
        <v>0</v>
      </c>
      <c r="N3516" s="189"/>
      <c r="O3516" s="1"/>
      <c r="P3516" s="189"/>
      <c r="Q3516" s="190"/>
      <c r="R3516" s="188"/>
      <c r="S3516" s="193"/>
      <c r="T3516" s="192"/>
      <c r="U3516" s="829"/>
      <c r="V3516" s="10"/>
      <c r="W3516" s="10"/>
      <c r="X3516" s="10"/>
      <c r="Y3516" s="10"/>
      <c r="Z3516" s="10"/>
      <c r="AA3516" s="11"/>
      <c r="AB3516" s="11"/>
    </row>
    <row r="3517" spans="2:28" x14ac:dyDescent="0.3">
      <c r="B3517" s="10"/>
      <c r="C3517" s="315"/>
      <c r="D3517" s="868"/>
      <c r="E3517" s="837" t="str">
        <f>IFERROR(IF(_xlfn.XLOOKUP(Imput[[#This Row],[RFC]],'Alta Proveedor'!D:D,'Alta Proveedor'!E:E)=0,"",_xlfn.XLOOKUP(Imput[[#This Row],[RFC]],'Alta Proveedor'!D:D,'Alta Proveedor'!E:E)),"")</f>
        <v/>
      </c>
      <c r="F3517" s="832"/>
      <c r="G3517" s="187"/>
      <c r="H3517" s="1"/>
      <c r="I3517" s="169">
        <f>Imput[[#This Row],[Cantidad]]*Imput[[#This Row],[Precio Unitario]]</f>
        <v>0</v>
      </c>
      <c r="J3517" s="11">
        <f>((Imput[[#This Row],[Sub total]])*(0.16))</f>
        <v>0</v>
      </c>
      <c r="K3517" s="11">
        <v>0</v>
      </c>
      <c r="L3517" s="169">
        <f>Imput[[#This Row],[Sub total]]+Imput[[#This Row],[IVA]]-Imput[[#This Row],[Retención / IEPS / Descuento]]</f>
        <v>0</v>
      </c>
      <c r="M3517" s="844">
        <v>0</v>
      </c>
      <c r="N3517" s="189"/>
      <c r="O3517" s="1"/>
      <c r="P3517" s="189"/>
      <c r="Q3517" s="190"/>
      <c r="R3517" s="188"/>
      <c r="S3517" s="193"/>
      <c r="T3517" s="192"/>
      <c r="U3517" s="829"/>
      <c r="V3517" s="10"/>
      <c r="W3517" s="10"/>
      <c r="X3517" s="10"/>
      <c r="Y3517" s="10"/>
      <c r="Z3517" s="10"/>
      <c r="AA3517" s="11"/>
      <c r="AB3517" s="11"/>
    </row>
    <row r="3518" spans="2:28" x14ac:dyDescent="0.3">
      <c r="B3518" s="10"/>
      <c r="C3518" s="315"/>
      <c r="D3518" s="868"/>
      <c r="E3518" s="837" t="str">
        <f>IFERROR(IF(_xlfn.XLOOKUP(Imput[[#This Row],[RFC]],'Alta Proveedor'!D:D,'Alta Proveedor'!E:E)=0,"",_xlfn.XLOOKUP(Imput[[#This Row],[RFC]],'Alta Proveedor'!D:D,'Alta Proveedor'!E:E)),"")</f>
        <v/>
      </c>
      <c r="F3518" s="832"/>
      <c r="G3518" s="187"/>
      <c r="H3518" s="1"/>
      <c r="I3518" s="169">
        <f>Imput[[#This Row],[Cantidad]]*Imput[[#This Row],[Precio Unitario]]</f>
        <v>0</v>
      </c>
      <c r="J3518" s="11">
        <f>((Imput[[#This Row],[Sub total]])*(0.16))</f>
        <v>0</v>
      </c>
      <c r="K3518" s="11">
        <v>0</v>
      </c>
      <c r="L3518" s="169">
        <f>Imput[[#This Row],[Sub total]]+Imput[[#This Row],[IVA]]-Imput[[#This Row],[Retención / IEPS / Descuento]]</f>
        <v>0</v>
      </c>
      <c r="M3518" s="844">
        <v>0</v>
      </c>
      <c r="N3518" s="189"/>
      <c r="O3518" s="1"/>
      <c r="P3518" s="189"/>
      <c r="Q3518" s="190"/>
      <c r="R3518" s="188"/>
      <c r="S3518" s="193"/>
      <c r="T3518" s="192"/>
      <c r="U3518" s="829"/>
      <c r="V3518" s="10"/>
      <c r="W3518" s="10"/>
      <c r="X3518" s="10"/>
      <c r="Y3518" s="10"/>
      <c r="Z3518" s="10"/>
      <c r="AA3518" s="11"/>
      <c r="AB3518" s="11"/>
    </row>
    <row r="3519" spans="2:28" x14ac:dyDescent="0.3">
      <c r="B3519" s="10"/>
      <c r="C3519" s="315"/>
      <c r="D3519" s="868"/>
      <c r="E3519" s="837" t="str">
        <f>IFERROR(IF(_xlfn.XLOOKUP(Imput[[#This Row],[RFC]],'Alta Proveedor'!D:D,'Alta Proveedor'!E:E)=0,"",_xlfn.XLOOKUP(Imput[[#This Row],[RFC]],'Alta Proveedor'!D:D,'Alta Proveedor'!E:E)),"")</f>
        <v/>
      </c>
      <c r="F3519" s="832"/>
      <c r="G3519" s="187"/>
      <c r="H3519" s="1"/>
      <c r="I3519" s="169">
        <f>Imput[[#This Row],[Cantidad]]*Imput[[#This Row],[Precio Unitario]]</f>
        <v>0</v>
      </c>
      <c r="J3519" s="11">
        <f>((Imput[[#This Row],[Sub total]])*(0.16))</f>
        <v>0</v>
      </c>
      <c r="K3519" s="11">
        <v>0</v>
      </c>
      <c r="L3519" s="169">
        <f>Imput[[#This Row],[Sub total]]+Imput[[#This Row],[IVA]]-Imput[[#This Row],[Retención / IEPS / Descuento]]</f>
        <v>0</v>
      </c>
      <c r="M3519" s="844">
        <v>0</v>
      </c>
      <c r="N3519" s="189"/>
      <c r="O3519" s="1"/>
      <c r="P3519" s="189"/>
      <c r="Q3519" s="190"/>
      <c r="R3519" s="188"/>
      <c r="S3519" s="193"/>
      <c r="T3519" s="192"/>
      <c r="U3519" s="829"/>
      <c r="V3519" s="10"/>
      <c r="W3519" s="10"/>
      <c r="X3519" s="10"/>
      <c r="Y3519" s="10"/>
      <c r="Z3519" s="10"/>
      <c r="AA3519" s="11"/>
      <c r="AB3519" s="11"/>
    </row>
    <row r="3520" spans="2:28" x14ac:dyDescent="0.3">
      <c r="B3520" s="10"/>
      <c r="C3520" s="315"/>
      <c r="D3520" s="868"/>
      <c r="E3520" s="837" t="str">
        <f>IFERROR(IF(_xlfn.XLOOKUP(Imput[[#This Row],[RFC]],'Alta Proveedor'!D:D,'Alta Proveedor'!E:E)=0,"",_xlfn.XLOOKUP(Imput[[#This Row],[RFC]],'Alta Proveedor'!D:D,'Alta Proveedor'!E:E)),"")</f>
        <v/>
      </c>
      <c r="F3520" s="832"/>
      <c r="G3520" s="187"/>
      <c r="H3520" s="1"/>
      <c r="I3520" s="169">
        <f>Imput[[#This Row],[Cantidad]]*Imput[[#This Row],[Precio Unitario]]</f>
        <v>0</v>
      </c>
      <c r="J3520" s="11">
        <f>((Imput[[#This Row],[Sub total]])*(0.16))</f>
        <v>0</v>
      </c>
      <c r="K3520" s="11">
        <v>0</v>
      </c>
      <c r="L3520" s="169">
        <f>Imput[[#This Row],[Sub total]]+Imput[[#This Row],[IVA]]-Imput[[#This Row],[Retención / IEPS / Descuento]]</f>
        <v>0</v>
      </c>
      <c r="M3520" s="844">
        <v>0</v>
      </c>
      <c r="N3520" s="189"/>
      <c r="O3520" s="1"/>
      <c r="P3520" s="189"/>
      <c r="Q3520" s="190"/>
      <c r="R3520" s="188"/>
      <c r="S3520" s="193"/>
      <c r="T3520" s="192"/>
      <c r="U3520" s="829"/>
      <c r="V3520" s="10"/>
      <c r="W3520" s="10"/>
      <c r="X3520" s="10"/>
      <c r="Y3520" s="10"/>
      <c r="Z3520" s="10"/>
      <c r="AA3520" s="11"/>
      <c r="AB3520" s="11"/>
    </row>
    <row r="3521" spans="2:28" x14ac:dyDescent="0.3">
      <c r="B3521" s="10"/>
      <c r="C3521" s="315"/>
      <c r="D3521" s="868"/>
      <c r="E3521" s="837" t="str">
        <f>IFERROR(IF(_xlfn.XLOOKUP(Imput[[#This Row],[RFC]],'Alta Proveedor'!D:D,'Alta Proveedor'!E:E)=0,"",_xlfn.XLOOKUP(Imput[[#This Row],[RFC]],'Alta Proveedor'!D:D,'Alta Proveedor'!E:E)),"")</f>
        <v/>
      </c>
      <c r="F3521" s="832"/>
      <c r="G3521" s="187"/>
      <c r="H3521" s="1"/>
      <c r="I3521" s="169">
        <f>Imput[[#This Row],[Cantidad]]*Imput[[#This Row],[Precio Unitario]]</f>
        <v>0</v>
      </c>
      <c r="J3521" s="11">
        <f>((Imput[[#This Row],[Sub total]])*(0.16))</f>
        <v>0</v>
      </c>
      <c r="K3521" s="11">
        <v>0</v>
      </c>
      <c r="L3521" s="169">
        <f>Imput[[#This Row],[Sub total]]+Imput[[#This Row],[IVA]]-Imput[[#This Row],[Retención / IEPS / Descuento]]</f>
        <v>0</v>
      </c>
      <c r="M3521" s="844">
        <v>0</v>
      </c>
      <c r="N3521" s="189"/>
      <c r="O3521" s="1"/>
      <c r="P3521" s="189"/>
      <c r="Q3521" s="190"/>
      <c r="R3521" s="188"/>
      <c r="S3521" s="193"/>
      <c r="T3521" s="192"/>
      <c r="U3521" s="829"/>
      <c r="V3521" s="10"/>
      <c r="W3521" s="10"/>
      <c r="X3521" s="10"/>
      <c r="Y3521" s="10"/>
      <c r="Z3521" s="10"/>
      <c r="AA3521" s="11"/>
      <c r="AB3521" s="11"/>
    </row>
    <row r="3522" spans="2:28" x14ac:dyDescent="0.3">
      <c r="B3522" s="10"/>
      <c r="C3522" s="315"/>
      <c r="D3522" s="868"/>
      <c r="E3522" s="837" t="str">
        <f>IFERROR(IF(_xlfn.XLOOKUP(Imput[[#This Row],[RFC]],'Alta Proveedor'!D:D,'Alta Proveedor'!E:E)=0,"",_xlfn.XLOOKUP(Imput[[#This Row],[RFC]],'Alta Proveedor'!D:D,'Alta Proveedor'!E:E)),"")</f>
        <v/>
      </c>
      <c r="F3522" s="832"/>
      <c r="G3522" s="187"/>
      <c r="H3522" s="1"/>
      <c r="I3522" s="169">
        <f>Imput[[#This Row],[Cantidad]]*Imput[[#This Row],[Precio Unitario]]</f>
        <v>0</v>
      </c>
      <c r="J3522" s="11">
        <f>((Imput[[#This Row],[Sub total]])*(0.16))</f>
        <v>0</v>
      </c>
      <c r="K3522" s="11">
        <v>0</v>
      </c>
      <c r="L3522" s="169">
        <f>Imput[[#This Row],[Sub total]]+Imput[[#This Row],[IVA]]-Imput[[#This Row],[Retención / IEPS / Descuento]]</f>
        <v>0</v>
      </c>
      <c r="M3522" s="844">
        <v>0</v>
      </c>
      <c r="N3522" s="189"/>
      <c r="O3522" s="1"/>
      <c r="P3522" s="189"/>
      <c r="Q3522" s="190"/>
      <c r="R3522" s="188"/>
      <c r="S3522" s="193"/>
      <c r="T3522" s="192"/>
      <c r="U3522" s="829"/>
      <c r="V3522" s="10"/>
      <c r="W3522" s="10"/>
      <c r="X3522" s="10"/>
      <c r="Y3522" s="10"/>
      <c r="Z3522" s="10"/>
      <c r="AA3522" s="11"/>
      <c r="AB3522" s="11"/>
    </row>
    <row r="3523" spans="2:28" x14ac:dyDescent="0.3">
      <c r="B3523" s="10"/>
      <c r="C3523" s="315"/>
      <c r="D3523" s="868"/>
      <c r="E3523" s="837" t="str">
        <f>IFERROR(IF(_xlfn.XLOOKUP(Imput[[#This Row],[RFC]],'Alta Proveedor'!D:D,'Alta Proveedor'!E:E)=0,"",_xlfn.XLOOKUP(Imput[[#This Row],[RFC]],'Alta Proveedor'!D:D,'Alta Proveedor'!E:E)),"")</f>
        <v/>
      </c>
      <c r="F3523" s="832"/>
      <c r="G3523" s="187"/>
      <c r="H3523" s="1"/>
      <c r="I3523" s="169">
        <f>Imput[[#This Row],[Cantidad]]*Imput[[#This Row],[Precio Unitario]]</f>
        <v>0</v>
      </c>
      <c r="J3523" s="11">
        <f>((Imput[[#This Row],[Sub total]])*(0.16))</f>
        <v>0</v>
      </c>
      <c r="K3523" s="11">
        <v>0</v>
      </c>
      <c r="L3523" s="169">
        <f>Imput[[#This Row],[Sub total]]+Imput[[#This Row],[IVA]]-Imput[[#This Row],[Retención / IEPS / Descuento]]</f>
        <v>0</v>
      </c>
      <c r="M3523" s="844">
        <v>0</v>
      </c>
      <c r="N3523" s="189"/>
      <c r="O3523" s="1"/>
      <c r="P3523" s="189"/>
      <c r="Q3523" s="190"/>
      <c r="R3523" s="188"/>
      <c r="S3523" s="193"/>
      <c r="T3523" s="192"/>
      <c r="U3523" s="829"/>
      <c r="V3523" s="10"/>
      <c r="W3523" s="10"/>
      <c r="X3523" s="10"/>
      <c r="Y3523" s="10"/>
      <c r="Z3523" s="10"/>
      <c r="AA3523" s="11"/>
      <c r="AB3523" s="11"/>
    </row>
    <row r="3524" spans="2:28" x14ac:dyDescent="0.3">
      <c r="B3524" s="10"/>
      <c r="C3524" s="315"/>
      <c r="D3524" s="868"/>
      <c r="E3524" s="837" t="str">
        <f>IFERROR(IF(_xlfn.XLOOKUP(Imput[[#This Row],[RFC]],'Alta Proveedor'!D:D,'Alta Proveedor'!E:E)=0,"",_xlfn.XLOOKUP(Imput[[#This Row],[RFC]],'Alta Proveedor'!D:D,'Alta Proveedor'!E:E)),"")</f>
        <v/>
      </c>
      <c r="F3524" s="832"/>
      <c r="G3524" s="187"/>
      <c r="H3524" s="1"/>
      <c r="I3524" s="169">
        <f>Imput[[#This Row],[Cantidad]]*Imput[[#This Row],[Precio Unitario]]</f>
        <v>0</v>
      </c>
      <c r="J3524" s="11">
        <f>((Imput[[#This Row],[Sub total]])*(0.16))</f>
        <v>0</v>
      </c>
      <c r="K3524" s="11">
        <v>0</v>
      </c>
      <c r="L3524" s="169">
        <f>Imput[[#This Row],[Sub total]]+Imput[[#This Row],[IVA]]-Imput[[#This Row],[Retención / IEPS / Descuento]]</f>
        <v>0</v>
      </c>
      <c r="M3524" s="844">
        <v>0</v>
      </c>
      <c r="N3524" s="189"/>
      <c r="O3524" s="1"/>
      <c r="P3524" s="189"/>
      <c r="Q3524" s="190"/>
      <c r="R3524" s="188"/>
      <c r="S3524" s="193"/>
      <c r="T3524" s="192"/>
      <c r="U3524" s="829"/>
      <c r="V3524" s="10"/>
      <c r="W3524" s="10"/>
      <c r="X3524" s="10"/>
      <c r="Y3524" s="10"/>
      <c r="Z3524" s="10"/>
      <c r="AA3524" s="11"/>
      <c r="AB3524" s="11"/>
    </row>
    <row r="3525" spans="2:28" x14ac:dyDescent="0.3">
      <c r="B3525" s="10"/>
      <c r="C3525" s="315"/>
      <c r="D3525" s="868"/>
      <c r="E3525" s="837" t="str">
        <f>IFERROR(IF(_xlfn.XLOOKUP(Imput[[#This Row],[RFC]],'Alta Proveedor'!D:D,'Alta Proveedor'!E:E)=0,"",_xlfn.XLOOKUP(Imput[[#This Row],[RFC]],'Alta Proveedor'!D:D,'Alta Proveedor'!E:E)),"")</f>
        <v/>
      </c>
      <c r="F3525" s="832"/>
      <c r="G3525" s="187"/>
      <c r="H3525" s="1"/>
      <c r="I3525" s="169">
        <f>Imput[[#This Row],[Cantidad]]*Imput[[#This Row],[Precio Unitario]]</f>
        <v>0</v>
      </c>
      <c r="J3525" s="11">
        <f>((Imput[[#This Row],[Sub total]])*(0.16))</f>
        <v>0</v>
      </c>
      <c r="K3525" s="11">
        <v>0</v>
      </c>
      <c r="L3525" s="169">
        <f>Imput[[#This Row],[Sub total]]+Imput[[#This Row],[IVA]]-Imput[[#This Row],[Retención / IEPS / Descuento]]</f>
        <v>0</v>
      </c>
      <c r="M3525" s="844">
        <v>0</v>
      </c>
      <c r="N3525" s="189"/>
      <c r="O3525" s="1"/>
      <c r="P3525" s="189"/>
      <c r="Q3525" s="190"/>
      <c r="R3525" s="188"/>
      <c r="S3525" s="193"/>
      <c r="T3525" s="192"/>
      <c r="U3525" s="829"/>
      <c r="V3525" s="10"/>
      <c r="W3525" s="10"/>
      <c r="X3525" s="10"/>
      <c r="Y3525" s="10"/>
      <c r="Z3525" s="10"/>
      <c r="AA3525" s="11"/>
      <c r="AB3525" s="11"/>
    </row>
    <row r="3526" spans="2:28" x14ac:dyDescent="0.3">
      <c r="B3526" s="10"/>
      <c r="C3526" s="315"/>
      <c r="D3526" s="868"/>
      <c r="E3526" s="837" t="str">
        <f>IFERROR(IF(_xlfn.XLOOKUP(Imput[[#This Row],[RFC]],'Alta Proveedor'!D:D,'Alta Proveedor'!E:E)=0,"",_xlfn.XLOOKUP(Imput[[#This Row],[RFC]],'Alta Proveedor'!D:D,'Alta Proveedor'!E:E)),"")</f>
        <v/>
      </c>
      <c r="F3526" s="832"/>
      <c r="G3526" s="187"/>
      <c r="H3526" s="1"/>
      <c r="I3526" s="169">
        <f>Imput[[#This Row],[Cantidad]]*Imput[[#This Row],[Precio Unitario]]</f>
        <v>0</v>
      </c>
      <c r="J3526" s="11">
        <f>((Imput[[#This Row],[Sub total]])*(0.16))</f>
        <v>0</v>
      </c>
      <c r="K3526" s="11">
        <v>0</v>
      </c>
      <c r="L3526" s="169">
        <f>Imput[[#This Row],[Sub total]]+Imput[[#This Row],[IVA]]-Imput[[#This Row],[Retención / IEPS / Descuento]]</f>
        <v>0</v>
      </c>
      <c r="M3526" s="844">
        <v>0</v>
      </c>
      <c r="N3526" s="189"/>
      <c r="O3526" s="1"/>
      <c r="P3526" s="189"/>
      <c r="Q3526" s="190"/>
      <c r="R3526" s="188"/>
      <c r="S3526" s="193"/>
      <c r="T3526" s="192"/>
      <c r="U3526" s="829"/>
      <c r="V3526" s="10"/>
      <c r="W3526" s="10"/>
      <c r="X3526" s="10"/>
      <c r="Y3526" s="10"/>
      <c r="Z3526" s="10"/>
      <c r="AA3526" s="11"/>
      <c r="AB3526" s="11"/>
    </row>
    <row r="3527" spans="2:28" x14ac:dyDescent="0.3">
      <c r="B3527" s="10"/>
      <c r="C3527" s="315"/>
      <c r="D3527" s="868"/>
      <c r="E3527" s="837" t="str">
        <f>IFERROR(IF(_xlfn.XLOOKUP(Imput[[#This Row],[RFC]],'Alta Proveedor'!D:D,'Alta Proveedor'!E:E)=0,"",_xlfn.XLOOKUP(Imput[[#This Row],[RFC]],'Alta Proveedor'!D:D,'Alta Proveedor'!E:E)),"")</f>
        <v/>
      </c>
      <c r="F3527" s="832"/>
      <c r="G3527" s="187"/>
      <c r="H3527" s="1"/>
      <c r="I3527" s="169">
        <f>Imput[[#This Row],[Cantidad]]*Imput[[#This Row],[Precio Unitario]]</f>
        <v>0</v>
      </c>
      <c r="J3527" s="11">
        <f>((Imput[[#This Row],[Sub total]])*(0.16))</f>
        <v>0</v>
      </c>
      <c r="K3527" s="11">
        <v>0</v>
      </c>
      <c r="L3527" s="169">
        <f>Imput[[#This Row],[Sub total]]+Imput[[#This Row],[IVA]]-Imput[[#This Row],[Retención / IEPS / Descuento]]</f>
        <v>0</v>
      </c>
      <c r="M3527" s="844">
        <v>0</v>
      </c>
      <c r="N3527" s="189"/>
      <c r="O3527" s="1"/>
      <c r="P3527" s="189"/>
      <c r="Q3527" s="190"/>
      <c r="R3527" s="188"/>
      <c r="S3527" s="193"/>
      <c r="T3527" s="192"/>
      <c r="U3527" s="829"/>
      <c r="V3527" s="10"/>
      <c r="W3527" s="10"/>
      <c r="X3527" s="10"/>
      <c r="Y3527" s="10"/>
      <c r="Z3527" s="10"/>
      <c r="AA3527" s="11"/>
      <c r="AB3527" s="11"/>
    </row>
    <row r="3528" spans="2:28" x14ac:dyDescent="0.3">
      <c r="B3528" s="10"/>
      <c r="C3528" s="315"/>
      <c r="D3528" s="868"/>
      <c r="E3528" s="837" t="str">
        <f>IFERROR(IF(_xlfn.XLOOKUP(Imput[[#This Row],[RFC]],'Alta Proveedor'!D:D,'Alta Proveedor'!E:E)=0,"",_xlfn.XLOOKUP(Imput[[#This Row],[RFC]],'Alta Proveedor'!D:D,'Alta Proveedor'!E:E)),"")</f>
        <v/>
      </c>
      <c r="F3528" s="832"/>
      <c r="G3528" s="187"/>
      <c r="H3528" s="1"/>
      <c r="I3528" s="169">
        <f>Imput[[#This Row],[Cantidad]]*Imput[[#This Row],[Precio Unitario]]</f>
        <v>0</v>
      </c>
      <c r="J3528" s="11">
        <f>((Imput[[#This Row],[Sub total]])*(0.16))</f>
        <v>0</v>
      </c>
      <c r="K3528" s="11">
        <v>0</v>
      </c>
      <c r="L3528" s="169">
        <f>Imput[[#This Row],[Sub total]]+Imput[[#This Row],[IVA]]-Imput[[#This Row],[Retención / IEPS / Descuento]]</f>
        <v>0</v>
      </c>
      <c r="M3528" s="844">
        <v>0</v>
      </c>
      <c r="N3528" s="189"/>
      <c r="O3528" s="1"/>
      <c r="P3528" s="189"/>
      <c r="Q3528" s="190"/>
      <c r="R3528" s="188"/>
      <c r="S3528" s="193"/>
      <c r="T3528" s="192"/>
      <c r="U3528" s="829"/>
      <c r="V3528" s="10"/>
      <c r="W3528" s="10"/>
      <c r="X3528" s="10"/>
      <c r="Y3528" s="10"/>
      <c r="Z3528" s="10"/>
      <c r="AA3528" s="11"/>
      <c r="AB3528" s="11"/>
    </row>
    <row r="3529" spans="2:28" x14ac:dyDescent="0.3">
      <c r="B3529" s="10"/>
      <c r="C3529" s="315"/>
      <c r="D3529" s="868"/>
      <c r="E3529" s="837" t="str">
        <f>IFERROR(IF(_xlfn.XLOOKUP(Imput[[#This Row],[RFC]],'Alta Proveedor'!D:D,'Alta Proveedor'!E:E)=0,"",_xlfn.XLOOKUP(Imput[[#This Row],[RFC]],'Alta Proveedor'!D:D,'Alta Proveedor'!E:E)),"")</f>
        <v/>
      </c>
      <c r="F3529" s="832"/>
      <c r="G3529" s="187"/>
      <c r="H3529" s="1"/>
      <c r="I3529" s="169">
        <f>Imput[[#This Row],[Cantidad]]*Imput[[#This Row],[Precio Unitario]]</f>
        <v>0</v>
      </c>
      <c r="J3529" s="11">
        <f>((Imput[[#This Row],[Sub total]])*(0.16))</f>
        <v>0</v>
      </c>
      <c r="K3529" s="11">
        <v>0</v>
      </c>
      <c r="L3529" s="169">
        <f>Imput[[#This Row],[Sub total]]+Imput[[#This Row],[IVA]]-Imput[[#This Row],[Retención / IEPS / Descuento]]</f>
        <v>0</v>
      </c>
      <c r="M3529" s="844">
        <v>0</v>
      </c>
      <c r="N3529" s="189"/>
      <c r="O3529" s="1"/>
      <c r="P3529" s="189"/>
      <c r="Q3529" s="190"/>
      <c r="R3529" s="188"/>
      <c r="S3529" s="193"/>
      <c r="T3529" s="192"/>
      <c r="U3529" s="829"/>
      <c r="V3529" s="10"/>
      <c r="W3529" s="10"/>
      <c r="X3529" s="10"/>
      <c r="Y3529" s="10"/>
      <c r="Z3529" s="10"/>
      <c r="AA3529" s="11"/>
      <c r="AB3529" s="11"/>
    </row>
    <row r="3530" spans="2:28" x14ac:dyDescent="0.3">
      <c r="B3530" s="10"/>
      <c r="C3530" s="315"/>
      <c r="D3530" s="868"/>
      <c r="E3530" s="837" t="str">
        <f>IFERROR(IF(_xlfn.XLOOKUP(Imput[[#This Row],[RFC]],'Alta Proveedor'!D:D,'Alta Proveedor'!E:E)=0,"",_xlfn.XLOOKUP(Imput[[#This Row],[RFC]],'Alta Proveedor'!D:D,'Alta Proveedor'!E:E)),"")</f>
        <v/>
      </c>
      <c r="F3530" s="832"/>
      <c r="G3530" s="187"/>
      <c r="H3530" s="1"/>
      <c r="I3530" s="169">
        <f>Imput[[#This Row],[Cantidad]]*Imput[[#This Row],[Precio Unitario]]</f>
        <v>0</v>
      </c>
      <c r="J3530" s="11">
        <f>((Imput[[#This Row],[Sub total]])*(0.16))</f>
        <v>0</v>
      </c>
      <c r="K3530" s="11">
        <v>0</v>
      </c>
      <c r="L3530" s="169">
        <f>Imput[[#This Row],[Sub total]]+Imput[[#This Row],[IVA]]-Imput[[#This Row],[Retención / IEPS / Descuento]]</f>
        <v>0</v>
      </c>
      <c r="M3530" s="844">
        <v>0</v>
      </c>
      <c r="N3530" s="189"/>
      <c r="O3530" s="1"/>
      <c r="P3530" s="189"/>
      <c r="Q3530" s="190"/>
      <c r="R3530" s="188"/>
      <c r="S3530" s="193"/>
      <c r="T3530" s="192"/>
      <c r="U3530" s="829"/>
      <c r="V3530" s="10"/>
      <c r="W3530" s="10"/>
      <c r="X3530" s="10"/>
      <c r="Y3530" s="10"/>
      <c r="Z3530" s="10"/>
      <c r="AA3530" s="11"/>
      <c r="AB3530" s="11"/>
    </row>
    <row r="3531" spans="2:28" x14ac:dyDescent="0.3">
      <c r="B3531" s="10"/>
      <c r="C3531" s="315"/>
      <c r="D3531" s="868"/>
      <c r="E3531" s="837" t="str">
        <f>IFERROR(IF(_xlfn.XLOOKUP(Imput[[#This Row],[RFC]],'Alta Proveedor'!D:D,'Alta Proveedor'!E:E)=0,"",_xlfn.XLOOKUP(Imput[[#This Row],[RFC]],'Alta Proveedor'!D:D,'Alta Proveedor'!E:E)),"")</f>
        <v/>
      </c>
      <c r="F3531" s="832"/>
      <c r="G3531" s="187"/>
      <c r="H3531" s="1"/>
      <c r="I3531" s="169">
        <f>Imput[[#This Row],[Cantidad]]*Imput[[#This Row],[Precio Unitario]]</f>
        <v>0</v>
      </c>
      <c r="J3531" s="11">
        <f>((Imput[[#This Row],[Sub total]])*(0.16))</f>
        <v>0</v>
      </c>
      <c r="K3531" s="11">
        <v>0</v>
      </c>
      <c r="L3531" s="169">
        <f>Imput[[#This Row],[Sub total]]+Imput[[#This Row],[IVA]]-Imput[[#This Row],[Retención / IEPS / Descuento]]</f>
        <v>0</v>
      </c>
      <c r="M3531" s="844">
        <v>0</v>
      </c>
      <c r="N3531" s="189"/>
      <c r="O3531" s="1"/>
      <c r="P3531" s="189"/>
      <c r="Q3531" s="190"/>
      <c r="R3531" s="188"/>
      <c r="S3531" s="193"/>
      <c r="T3531" s="192"/>
      <c r="U3531" s="829"/>
      <c r="V3531" s="10"/>
      <c r="W3531" s="10"/>
      <c r="X3531" s="10"/>
      <c r="Y3531" s="10"/>
      <c r="Z3531" s="10"/>
      <c r="AA3531" s="11"/>
      <c r="AB3531" s="11"/>
    </row>
    <row r="3532" spans="2:28" x14ac:dyDescent="0.3">
      <c r="B3532" s="10"/>
      <c r="C3532" s="315"/>
      <c r="D3532" s="868"/>
      <c r="E3532" s="837" t="str">
        <f>IFERROR(IF(_xlfn.XLOOKUP(Imput[[#This Row],[RFC]],'Alta Proveedor'!D:D,'Alta Proveedor'!E:E)=0,"",_xlfn.XLOOKUP(Imput[[#This Row],[RFC]],'Alta Proveedor'!D:D,'Alta Proveedor'!E:E)),"")</f>
        <v/>
      </c>
      <c r="F3532" s="832"/>
      <c r="G3532" s="187"/>
      <c r="H3532" s="1"/>
      <c r="I3532" s="169">
        <f>Imput[[#This Row],[Cantidad]]*Imput[[#This Row],[Precio Unitario]]</f>
        <v>0</v>
      </c>
      <c r="J3532" s="11">
        <f>((Imput[[#This Row],[Sub total]])*(0.16))</f>
        <v>0</v>
      </c>
      <c r="K3532" s="11">
        <v>0</v>
      </c>
      <c r="L3532" s="169">
        <f>Imput[[#This Row],[Sub total]]+Imput[[#This Row],[IVA]]-Imput[[#This Row],[Retención / IEPS / Descuento]]</f>
        <v>0</v>
      </c>
      <c r="M3532" s="844">
        <v>0</v>
      </c>
      <c r="N3532" s="189"/>
      <c r="O3532" s="1"/>
      <c r="P3532" s="189"/>
      <c r="Q3532" s="190"/>
      <c r="R3532" s="188"/>
      <c r="S3532" s="193"/>
      <c r="T3532" s="192"/>
      <c r="U3532" s="829"/>
      <c r="V3532" s="10"/>
      <c r="W3532" s="10"/>
      <c r="X3532" s="10"/>
      <c r="Y3532" s="10"/>
      <c r="Z3532" s="10"/>
      <c r="AA3532" s="11"/>
      <c r="AB3532" s="11"/>
    </row>
    <row r="3533" spans="2:28" x14ac:dyDescent="0.3">
      <c r="B3533" s="10"/>
      <c r="C3533" s="315"/>
      <c r="D3533" s="868"/>
      <c r="E3533" s="837" t="str">
        <f>IFERROR(IF(_xlfn.XLOOKUP(Imput[[#This Row],[RFC]],'Alta Proveedor'!D:D,'Alta Proveedor'!E:E)=0,"",_xlfn.XLOOKUP(Imput[[#This Row],[RFC]],'Alta Proveedor'!D:D,'Alta Proveedor'!E:E)),"")</f>
        <v/>
      </c>
      <c r="F3533" s="832"/>
      <c r="G3533" s="187"/>
      <c r="H3533" s="1"/>
      <c r="I3533" s="169">
        <f>Imput[[#This Row],[Cantidad]]*Imput[[#This Row],[Precio Unitario]]</f>
        <v>0</v>
      </c>
      <c r="J3533" s="11">
        <f>((Imput[[#This Row],[Sub total]])*(0.16))</f>
        <v>0</v>
      </c>
      <c r="K3533" s="11">
        <v>0</v>
      </c>
      <c r="L3533" s="169">
        <f>Imput[[#This Row],[Sub total]]+Imput[[#This Row],[IVA]]-Imput[[#This Row],[Retención / IEPS / Descuento]]</f>
        <v>0</v>
      </c>
      <c r="M3533" s="844">
        <v>0</v>
      </c>
      <c r="N3533" s="189"/>
      <c r="O3533" s="1"/>
      <c r="P3533" s="189"/>
      <c r="Q3533" s="190"/>
      <c r="R3533" s="188"/>
      <c r="S3533" s="193"/>
      <c r="T3533" s="192"/>
      <c r="U3533" s="829"/>
      <c r="V3533" s="10"/>
      <c r="W3533" s="10"/>
      <c r="X3533" s="10"/>
      <c r="Y3533" s="10"/>
      <c r="Z3533" s="10"/>
      <c r="AA3533" s="11"/>
      <c r="AB3533" s="11"/>
    </row>
    <row r="3534" spans="2:28" x14ac:dyDescent="0.3">
      <c r="B3534" s="10"/>
      <c r="C3534" s="315"/>
      <c r="D3534" s="868"/>
      <c r="E3534" s="837" t="str">
        <f>IFERROR(IF(_xlfn.XLOOKUP(Imput[[#This Row],[RFC]],'Alta Proveedor'!D:D,'Alta Proveedor'!E:E)=0,"",_xlfn.XLOOKUP(Imput[[#This Row],[RFC]],'Alta Proveedor'!D:D,'Alta Proveedor'!E:E)),"")</f>
        <v/>
      </c>
      <c r="F3534" s="832"/>
      <c r="G3534" s="187"/>
      <c r="H3534" s="1"/>
      <c r="I3534" s="169">
        <f>Imput[[#This Row],[Cantidad]]*Imput[[#This Row],[Precio Unitario]]</f>
        <v>0</v>
      </c>
      <c r="J3534" s="11">
        <f>((Imput[[#This Row],[Sub total]])*(0.16))</f>
        <v>0</v>
      </c>
      <c r="K3534" s="11">
        <v>0</v>
      </c>
      <c r="L3534" s="169">
        <f>Imput[[#This Row],[Sub total]]+Imput[[#This Row],[IVA]]-Imput[[#This Row],[Retención / IEPS / Descuento]]</f>
        <v>0</v>
      </c>
      <c r="M3534" s="844">
        <v>0</v>
      </c>
      <c r="N3534" s="189"/>
      <c r="O3534" s="1"/>
      <c r="P3534" s="189"/>
      <c r="Q3534" s="190"/>
      <c r="R3534" s="188"/>
      <c r="S3534" s="193"/>
      <c r="T3534" s="192"/>
      <c r="U3534" s="829"/>
      <c r="V3534" s="10"/>
      <c r="W3534" s="10"/>
      <c r="X3534" s="10"/>
      <c r="Y3534" s="10"/>
      <c r="Z3534" s="10"/>
      <c r="AA3534" s="11"/>
      <c r="AB3534" s="11"/>
    </row>
    <row r="3535" spans="2:28" x14ac:dyDescent="0.3">
      <c r="B3535" s="10"/>
      <c r="C3535" s="315"/>
      <c r="D3535" s="868"/>
      <c r="E3535" s="837" t="str">
        <f>IFERROR(IF(_xlfn.XLOOKUP(Imput[[#This Row],[RFC]],'Alta Proveedor'!D:D,'Alta Proveedor'!E:E)=0,"",_xlfn.XLOOKUP(Imput[[#This Row],[RFC]],'Alta Proveedor'!D:D,'Alta Proveedor'!E:E)),"")</f>
        <v/>
      </c>
      <c r="F3535" s="832"/>
      <c r="G3535" s="187"/>
      <c r="H3535" s="1"/>
      <c r="I3535" s="169">
        <f>Imput[[#This Row],[Cantidad]]*Imput[[#This Row],[Precio Unitario]]</f>
        <v>0</v>
      </c>
      <c r="J3535" s="11">
        <f>((Imput[[#This Row],[Sub total]])*(0.16))</f>
        <v>0</v>
      </c>
      <c r="K3535" s="11">
        <v>0</v>
      </c>
      <c r="L3535" s="169">
        <f>Imput[[#This Row],[Sub total]]+Imput[[#This Row],[IVA]]-Imput[[#This Row],[Retención / IEPS / Descuento]]</f>
        <v>0</v>
      </c>
      <c r="M3535" s="844">
        <v>0</v>
      </c>
      <c r="N3535" s="189"/>
      <c r="O3535" s="1"/>
      <c r="P3535" s="189"/>
      <c r="Q3535" s="190"/>
      <c r="R3535" s="188"/>
      <c r="S3535" s="193"/>
      <c r="T3535" s="192"/>
      <c r="U3535" s="829"/>
      <c r="V3535" s="10"/>
      <c r="W3535" s="10"/>
      <c r="X3535" s="10"/>
      <c r="Y3535" s="10"/>
      <c r="Z3535" s="10"/>
      <c r="AA3535" s="11"/>
      <c r="AB3535" s="11"/>
    </row>
    <row r="3536" spans="2:28" x14ac:dyDescent="0.3">
      <c r="B3536" s="10"/>
      <c r="C3536" s="315"/>
      <c r="D3536" s="868"/>
      <c r="E3536" s="837" t="str">
        <f>IFERROR(IF(_xlfn.XLOOKUP(Imput[[#This Row],[RFC]],'Alta Proveedor'!D:D,'Alta Proveedor'!E:E)=0,"",_xlfn.XLOOKUP(Imput[[#This Row],[RFC]],'Alta Proveedor'!D:D,'Alta Proveedor'!E:E)),"")</f>
        <v/>
      </c>
      <c r="F3536" s="832"/>
      <c r="G3536" s="187"/>
      <c r="H3536" s="1"/>
      <c r="I3536" s="169">
        <f>Imput[[#This Row],[Cantidad]]*Imput[[#This Row],[Precio Unitario]]</f>
        <v>0</v>
      </c>
      <c r="J3536" s="11">
        <f>((Imput[[#This Row],[Sub total]])*(0.16))</f>
        <v>0</v>
      </c>
      <c r="K3536" s="11">
        <v>0</v>
      </c>
      <c r="L3536" s="169">
        <f>Imput[[#This Row],[Sub total]]+Imput[[#This Row],[IVA]]-Imput[[#This Row],[Retención / IEPS / Descuento]]</f>
        <v>0</v>
      </c>
      <c r="M3536" s="844">
        <v>0</v>
      </c>
      <c r="N3536" s="189"/>
      <c r="O3536" s="1"/>
      <c r="P3536" s="189"/>
      <c r="Q3536" s="190"/>
      <c r="R3536" s="188"/>
      <c r="S3536" s="193"/>
      <c r="T3536" s="192"/>
      <c r="U3536" s="829"/>
      <c r="V3536" s="10"/>
      <c r="W3536" s="10"/>
      <c r="X3536" s="10"/>
      <c r="Y3536" s="10"/>
      <c r="Z3536" s="10"/>
      <c r="AA3536" s="11"/>
      <c r="AB3536" s="11"/>
    </row>
    <row r="3537" spans="2:28" x14ac:dyDescent="0.3">
      <c r="B3537" s="10"/>
      <c r="C3537" s="315"/>
      <c r="D3537" s="868"/>
      <c r="E3537" s="837" t="str">
        <f>IFERROR(IF(_xlfn.XLOOKUP(Imput[[#This Row],[RFC]],'Alta Proveedor'!D:D,'Alta Proveedor'!E:E)=0,"",_xlfn.XLOOKUP(Imput[[#This Row],[RFC]],'Alta Proveedor'!D:D,'Alta Proveedor'!E:E)),"")</f>
        <v/>
      </c>
      <c r="F3537" s="832"/>
      <c r="G3537" s="187"/>
      <c r="H3537" s="1"/>
      <c r="I3537" s="169">
        <f>Imput[[#This Row],[Cantidad]]*Imput[[#This Row],[Precio Unitario]]</f>
        <v>0</v>
      </c>
      <c r="J3537" s="11">
        <f>((Imput[[#This Row],[Sub total]])*(0.16))</f>
        <v>0</v>
      </c>
      <c r="K3537" s="11">
        <v>0</v>
      </c>
      <c r="L3537" s="169">
        <f>Imput[[#This Row],[Sub total]]+Imput[[#This Row],[IVA]]-Imput[[#This Row],[Retención / IEPS / Descuento]]</f>
        <v>0</v>
      </c>
      <c r="M3537" s="844">
        <v>0</v>
      </c>
      <c r="N3537" s="189"/>
      <c r="O3537" s="1"/>
      <c r="P3537" s="189"/>
      <c r="Q3537" s="190"/>
      <c r="R3537" s="188"/>
      <c r="S3537" s="193"/>
      <c r="T3537" s="192"/>
      <c r="U3537" s="829"/>
      <c r="V3537" s="10"/>
      <c r="W3537" s="10"/>
      <c r="X3537" s="10"/>
      <c r="Y3537" s="10"/>
      <c r="Z3537" s="10"/>
      <c r="AA3537" s="11"/>
      <c r="AB3537" s="11"/>
    </row>
    <row r="3538" spans="2:28" x14ac:dyDescent="0.3">
      <c r="B3538" s="10"/>
      <c r="C3538" s="315"/>
      <c r="D3538" s="868"/>
      <c r="E3538" s="837" t="str">
        <f>IFERROR(IF(_xlfn.XLOOKUP(Imput[[#This Row],[RFC]],'Alta Proveedor'!D:D,'Alta Proveedor'!E:E)=0,"",_xlfn.XLOOKUP(Imput[[#This Row],[RFC]],'Alta Proveedor'!D:D,'Alta Proveedor'!E:E)),"")</f>
        <v/>
      </c>
      <c r="F3538" s="832"/>
      <c r="G3538" s="187"/>
      <c r="H3538" s="1"/>
      <c r="I3538" s="169">
        <f>Imput[[#This Row],[Cantidad]]*Imput[[#This Row],[Precio Unitario]]</f>
        <v>0</v>
      </c>
      <c r="J3538" s="11">
        <f>((Imput[[#This Row],[Sub total]])*(0.16))</f>
        <v>0</v>
      </c>
      <c r="K3538" s="11">
        <v>0</v>
      </c>
      <c r="L3538" s="169">
        <f>Imput[[#This Row],[Sub total]]+Imput[[#This Row],[IVA]]-Imput[[#This Row],[Retención / IEPS / Descuento]]</f>
        <v>0</v>
      </c>
      <c r="M3538" s="844">
        <v>0</v>
      </c>
      <c r="N3538" s="189"/>
      <c r="O3538" s="1"/>
      <c r="P3538" s="189"/>
      <c r="Q3538" s="190"/>
      <c r="R3538" s="188"/>
      <c r="S3538" s="193"/>
      <c r="T3538" s="192"/>
      <c r="U3538" s="829"/>
      <c r="V3538" s="10"/>
      <c r="W3538" s="10"/>
      <c r="X3538" s="10"/>
      <c r="Y3538" s="10"/>
      <c r="Z3538" s="10"/>
      <c r="AA3538" s="11"/>
      <c r="AB3538" s="11"/>
    </row>
    <row r="3539" spans="2:28" x14ac:dyDescent="0.3">
      <c r="B3539" s="10"/>
      <c r="C3539" s="315"/>
      <c r="D3539" s="868"/>
      <c r="E3539" s="837" t="str">
        <f>IFERROR(IF(_xlfn.XLOOKUP(Imput[[#This Row],[RFC]],'Alta Proveedor'!D:D,'Alta Proveedor'!E:E)=0,"",_xlfn.XLOOKUP(Imput[[#This Row],[RFC]],'Alta Proveedor'!D:D,'Alta Proveedor'!E:E)),"")</f>
        <v/>
      </c>
      <c r="F3539" s="832"/>
      <c r="G3539" s="187"/>
      <c r="H3539" s="1"/>
      <c r="I3539" s="169">
        <f>Imput[[#This Row],[Cantidad]]*Imput[[#This Row],[Precio Unitario]]</f>
        <v>0</v>
      </c>
      <c r="J3539" s="11">
        <f>((Imput[[#This Row],[Sub total]])*(0.16))</f>
        <v>0</v>
      </c>
      <c r="K3539" s="11">
        <v>0</v>
      </c>
      <c r="L3539" s="169">
        <f>Imput[[#This Row],[Sub total]]+Imput[[#This Row],[IVA]]-Imput[[#This Row],[Retención / IEPS / Descuento]]</f>
        <v>0</v>
      </c>
      <c r="M3539" s="844">
        <v>0</v>
      </c>
      <c r="N3539" s="189"/>
      <c r="O3539" s="1"/>
      <c r="P3539" s="189"/>
      <c r="Q3539" s="190"/>
      <c r="R3539" s="188"/>
      <c r="S3539" s="193"/>
      <c r="T3539" s="192"/>
      <c r="U3539" s="829"/>
      <c r="V3539" s="10"/>
      <c r="W3539" s="10"/>
      <c r="X3539" s="10"/>
      <c r="Y3539" s="10"/>
      <c r="Z3539" s="10"/>
      <c r="AA3539" s="11"/>
      <c r="AB3539" s="11"/>
    </row>
    <row r="3540" spans="2:28" x14ac:dyDescent="0.3">
      <c r="B3540" s="10"/>
      <c r="C3540" s="315"/>
      <c r="D3540" s="868"/>
      <c r="E3540" s="837" t="str">
        <f>IFERROR(IF(_xlfn.XLOOKUP(Imput[[#This Row],[RFC]],'Alta Proveedor'!D:D,'Alta Proveedor'!E:E)=0,"",_xlfn.XLOOKUP(Imput[[#This Row],[RFC]],'Alta Proveedor'!D:D,'Alta Proveedor'!E:E)),"")</f>
        <v/>
      </c>
      <c r="F3540" s="832"/>
      <c r="G3540" s="187"/>
      <c r="H3540" s="1"/>
      <c r="I3540" s="169">
        <f>Imput[[#This Row],[Cantidad]]*Imput[[#This Row],[Precio Unitario]]</f>
        <v>0</v>
      </c>
      <c r="J3540" s="11">
        <f>((Imput[[#This Row],[Sub total]])*(0.16))</f>
        <v>0</v>
      </c>
      <c r="K3540" s="11">
        <v>0</v>
      </c>
      <c r="L3540" s="169">
        <f>Imput[[#This Row],[Sub total]]+Imput[[#This Row],[IVA]]-Imput[[#This Row],[Retención / IEPS / Descuento]]</f>
        <v>0</v>
      </c>
      <c r="M3540" s="844">
        <v>0</v>
      </c>
      <c r="N3540" s="189"/>
      <c r="O3540" s="1"/>
      <c r="P3540" s="189"/>
      <c r="Q3540" s="190"/>
      <c r="R3540" s="188"/>
      <c r="S3540" s="193"/>
      <c r="T3540" s="192"/>
      <c r="U3540" s="829"/>
      <c r="V3540" s="10"/>
      <c r="W3540" s="10"/>
      <c r="X3540" s="10"/>
      <c r="Y3540" s="10"/>
      <c r="Z3540" s="10"/>
      <c r="AA3540" s="11"/>
      <c r="AB3540" s="11"/>
    </row>
    <row r="3541" spans="2:28" x14ac:dyDescent="0.3">
      <c r="B3541" s="10"/>
      <c r="C3541" s="315"/>
      <c r="D3541" s="868"/>
      <c r="E3541" s="837" t="str">
        <f>IFERROR(IF(_xlfn.XLOOKUP(Imput[[#This Row],[RFC]],'Alta Proveedor'!D:D,'Alta Proveedor'!E:E)=0,"",_xlfn.XLOOKUP(Imput[[#This Row],[RFC]],'Alta Proveedor'!D:D,'Alta Proveedor'!E:E)),"")</f>
        <v/>
      </c>
      <c r="F3541" s="832"/>
      <c r="G3541" s="187"/>
      <c r="H3541" s="1"/>
      <c r="I3541" s="169">
        <f>Imput[[#This Row],[Cantidad]]*Imput[[#This Row],[Precio Unitario]]</f>
        <v>0</v>
      </c>
      <c r="J3541" s="11">
        <f>((Imput[[#This Row],[Sub total]])*(0.16))</f>
        <v>0</v>
      </c>
      <c r="K3541" s="11">
        <v>0</v>
      </c>
      <c r="L3541" s="169">
        <f>Imput[[#This Row],[Sub total]]+Imput[[#This Row],[IVA]]-Imput[[#This Row],[Retención / IEPS / Descuento]]</f>
        <v>0</v>
      </c>
      <c r="M3541" s="844">
        <v>0</v>
      </c>
      <c r="N3541" s="189"/>
      <c r="O3541" s="1"/>
      <c r="P3541" s="189"/>
      <c r="Q3541" s="190"/>
      <c r="R3541" s="188"/>
      <c r="S3541" s="193"/>
      <c r="T3541" s="192"/>
      <c r="U3541" s="829"/>
      <c r="V3541" s="10"/>
      <c r="W3541" s="10"/>
      <c r="X3541" s="10"/>
      <c r="Y3541" s="10"/>
      <c r="Z3541" s="10"/>
      <c r="AA3541" s="11"/>
      <c r="AB3541" s="11"/>
    </row>
    <row r="3542" spans="2:28" x14ac:dyDescent="0.3">
      <c r="B3542" s="10"/>
      <c r="C3542" s="315"/>
      <c r="D3542" s="868"/>
      <c r="E3542" s="837" t="str">
        <f>IFERROR(IF(_xlfn.XLOOKUP(Imput[[#This Row],[RFC]],'Alta Proveedor'!D:D,'Alta Proveedor'!E:E)=0,"",_xlfn.XLOOKUP(Imput[[#This Row],[RFC]],'Alta Proveedor'!D:D,'Alta Proveedor'!E:E)),"")</f>
        <v/>
      </c>
      <c r="F3542" s="832"/>
      <c r="G3542" s="187"/>
      <c r="H3542" s="1"/>
      <c r="I3542" s="169">
        <f>Imput[[#This Row],[Cantidad]]*Imput[[#This Row],[Precio Unitario]]</f>
        <v>0</v>
      </c>
      <c r="J3542" s="11">
        <f>((Imput[[#This Row],[Sub total]])*(0.16))</f>
        <v>0</v>
      </c>
      <c r="K3542" s="11">
        <v>0</v>
      </c>
      <c r="L3542" s="169">
        <f>Imput[[#This Row],[Sub total]]+Imput[[#This Row],[IVA]]-Imput[[#This Row],[Retención / IEPS / Descuento]]</f>
        <v>0</v>
      </c>
      <c r="M3542" s="844">
        <v>0</v>
      </c>
      <c r="N3542" s="189"/>
      <c r="O3542" s="1"/>
      <c r="P3542" s="189"/>
      <c r="Q3542" s="190"/>
      <c r="R3542" s="188"/>
      <c r="S3542" s="193"/>
      <c r="T3542" s="192"/>
      <c r="U3542" s="829"/>
      <c r="V3542" s="10"/>
      <c r="W3542" s="10"/>
      <c r="X3542" s="10"/>
      <c r="Y3542" s="10"/>
      <c r="Z3542" s="10"/>
      <c r="AA3542" s="11"/>
      <c r="AB3542" s="11"/>
    </row>
    <row r="3543" spans="2:28" x14ac:dyDescent="0.3">
      <c r="B3543" s="10"/>
      <c r="C3543" s="315"/>
      <c r="D3543" s="868"/>
      <c r="E3543" s="837" t="str">
        <f>IFERROR(IF(_xlfn.XLOOKUP(Imput[[#This Row],[RFC]],'Alta Proveedor'!D:D,'Alta Proveedor'!E:E)=0,"",_xlfn.XLOOKUP(Imput[[#This Row],[RFC]],'Alta Proveedor'!D:D,'Alta Proveedor'!E:E)),"")</f>
        <v/>
      </c>
      <c r="F3543" s="832"/>
      <c r="G3543" s="187"/>
      <c r="H3543" s="1"/>
      <c r="I3543" s="169">
        <f>Imput[[#This Row],[Cantidad]]*Imput[[#This Row],[Precio Unitario]]</f>
        <v>0</v>
      </c>
      <c r="J3543" s="11">
        <f>((Imput[[#This Row],[Sub total]])*(0.16))</f>
        <v>0</v>
      </c>
      <c r="K3543" s="11">
        <v>0</v>
      </c>
      <c r="L3543" s="169">
        <f>Imput[[#This Row],[Sub total]]+Imput[[#This Row],[IVA]]-Imput[[#This Row],[Retención / IEPS / Descuento]]</f>
        <v>0</v>
      </c>
      <c r="M3543" s="844">
        <v>0</v>
      </c>
      <c r="N3543" s="189"/>
      <c r="O3543" s="1"/>
      <c r="P3543" s="189"/>
      <c r="Q3543" s="190"/>
      <c r="R3543" s="188"/>
      <c r="S3543" s="193"/>
      <c r="T3543" s="192"/>
      <c r="U3543" s="829"/>
      <c r="V3543" s="10"/>
      <c r="W3543" s="10"/>
      <c r="X3543" s="10"/>
      <c r="Y3543" s="10"/>
      <c r="Z3543" s="10"/>
      <c r="AA3543" s="11"/>
      <c r="AB3543" s="11"/>
    </row>
    <row r="3544" spans="2:28" x14ac:dyDescent="0.3">
      <c r="B3544" s="10"/>
      <c r="C3544" s="315"/>
      <c r="D3544" s="868"/>
      <c r="E3544" s="837" t="str">
        <f>IFERROR(IF(_xlfn.XLOOKUP(Imput[[#This Row],[RFC]],'Alta Proveedor'!D:D,'Alta Proveedor'!E:E)=0,"",_xlfn.XLOOKUP(Imput[[#This Row],[RFC]],'Alta Proveedor'!D:D,'Alta Proveedor'!E:E)),"")</f>
        <v/>
      </c>
      <c r="F3544" s="832"/>
      <c r="G3544" s="187"/>
      <c r="H3544" s="1"/>
      <c r="I3544" s="169">
        <f>Imput[[#This Row],[Cantidad]]*Imput[[#This Row],[Precio Unitario]]</f>
        <v>0</v>
      </c>
      <c r="J3544" s="11">
        <f>((Imput[[#This Row],[Sub total]])*(0.16))</f>
        <v>0</v>
      </c>
      <c r="K3544" s="11">
        <v>0</v>
      </c>
      <c r="L3544" s="169">
        <f>Imput[[#This Row],[Sub total]]+Imput[[#This Row],[IVA]]-Imput[[#This Row],[Retención / IEPS / Descuento]]</f>
        <v>0</v>
      </c>
      <c r="M3544" s="844">
        <v>0</v>
      </c>
      <c r="N3544" s="189"/>
      <c r="O3544" s="1"/>
      <c r="P3544" s="189"/>
      <c r="Q3544" s="190"/>
      <c r="R3544" s="188"/>
      <c r="S3544" s="193"/>
      <c r="T3544" s="192"/>
      <c r="U3544" s="829"/>
      <c r="V3544" s="10"/>
      <c r="W3544" s="10"/>
      <c r="X3544" s="10"/>
      <c r="Y3544" s="10"/>
      <c r="Z3544" s="10"/>
      <c r="AA3544" s="11"/>
      <c r="AB3544" s="11"/>
    </row>
    <row r="3545" spans="2:28" x14ac:dyDescent="0.3">
      <c r="B3545" s="10"/>
      <c r="C3545" s="315"/>
      <c r="D3545" s="868"/>
      <c r="E3545" s="837" t="str">
        <f>IFERROR(IF(_xlfn.XLOOKUP(Imput[[#This Row],[RFC]],'Alta Proveedor'!D:D,'Alta Proveedor'!E:E)=0,"",_xlfn.XLOOKUP(Imput[[#This Row],[RFC]],'Alta Proveedor'!D:D,'Alta Proveedor'!E:E)),"")</f>
        <v/>
      </c>
      <c r="F3545" s="832"/>
      <c r="G3545" s="187"/>
      <c r="H3545" s="1"/>
      <c r="I3545" s="169">
        <f>Imput[[#This Row],[Cantidad]]*Imput[[#This Row],[Precio Unitario]]</f>
        <v>0</v>
      </c>
      <c r="J3545" s="11">
        <f>((Imput[[#This Row],[Sub total]])*(0.16))</f>
        <v>0</v>
      </c>
      <c r="K3545" s="11">
        <v>0</v>
      </c>
      <c r="L3545" s="169">
        <f>Imput[[#This Row],[Sub total]]+Imput[[#This Row],[IVA]]-Imput[[#This Row],[Retención / IEPS / Descuento]]</f>
        <v>0</v>
      </c>
      <c r="M3545" s="844">
        <v>0</v>
      </c>
      <c r="N3545" s="189"/>
      <c r="O3545" s="1"/>
      <c r="P3545" s="189"/>
      <c r="Q3545" s="190"/>
      <c r="R3545" s="188"/>
      <c r="S3545" s="193"/>
      <c r="T3545" s="192"/>
      <c r="U3545" s="829"/>
      <c r="V3545" s="10"/>
      <c r="W3545" s="10"/>
      <c r="X3545" s="10"/>
      <c r="Y3545" s="10"/>
      <c r="Z3545" s="10"/>
      <c r="AA3545" s="11"/>
      <c r="AB3545" s="11"/>
    </row>
    <row r="3546" spans="2:28" x14ac:dyDescent="0.3">
      <c r="B3546" s="10"/>
      <c r="C3546" s="315"/>
      <c r="D3546" s="868"/>
      <c r="E3546" s="837" t="str">
        <f>IFERROR(IF(_xlfn.XLOOKUP(Imput[[#This Row],[RFC]],'Alta Proveedor'!D:D,'Alta Proveedor'!E:E)=0,"",_xlfn.XLOOKUP(Imput[[#This Row],[RFC]],'Alta Proveedor'!D:D,'Alta Proveedor'!E:E)),"")</f>
        <v/>
      </c>
      <c r="F3546" s="832"/>
      <c r="G3546" s="187"/>
      <c r="H3546" s="1"/>
      <c r="I3546" s="169">
        <f>Imput[[#This Row],[Cantidad]]*Imput[[#This Row],[Precio Unitario]]</f>
        <v>0</v>
      </c>
      <c r="J3546" s="11">
        <f>((Imput[[#This Row],[Sub total]])*(0.16))</f>
        <v>0</v>
      </c>
      <c r="K3546" s="11">
        <v>0</v>
      </c>
      <c r="L3546" s="169">
        <f>Imput[[#This Row],[Sub total]]+Imput[[#This Row],[IVA]]-Imput[[#This Row],[Retención / IEPS / Descuento]]</f>
        <v>0</v>
      </c>
      <c r="M3546" s="844">
        <v>0</v>
      </c>
      <c r="N3546" s="189"/>
      <c r="O3546" s="1"/>
      <c r="P3546" s="189"/>
      <c r="Q3546" s="190"/>
      <c r="R3546" s="188"/>
      <c r="S3546" s="193"/>
      <c r="T3546" s="192"/>
      <c r="U3546" s="829"/>
      <c r="V3546" s="10"/>
      <c r="W3546" s="10"/>
      <c r="X3546" s="10"/>
      <c r="Y3546" s="10"/>
      <c r="Z3546" s="10"/>
      <c r="AA3546" s="11"/>
      <c r="AB3546" s="11"/>
    </row>
    <row r="3547" spans="2:28" x14ac:dyDescent="0.3">
      <c r="B3547" s="10"/>
      <c r="C3547" s="315"/>
      <c r="D3547" s="868"/>
      <c r="E3547" s="837" t="str">
        <f>IFERROR(IF(_xlfn.XLOOKUP(Imput[[#This Row],[RFC]],'Alta Proveedor'!D:D,'Alta Proveedor'!E:E)=0,"",_xlfn.XLOOKUP(Imput[[#This Row],[RFC]],'Alta Proveedor'!D:D,'Alta Proveedor'!E:E)),"")</f>
        <v/>
      </c>
      <c r="F3547" s="832"/>
      <c r="G3547" s="187"/>
      <c r="H3547" s="1"/>
      <c r="I3547" s="169">
        <f>Imput[[#This Row],[Cantidad]]*Imput[[#This Row],[Precio Unitario]]</f>
        <v>0</v>
      </c>
      <c r="J3547" s="11">
        <f>((Imput[[#This Row],[Sub total]])*(0.16))</f>
        <v>0</v>
      </c>
      <c r="K3547" s="11">
        <v>0</v>
      </c>
      <c r="L3547" s="169">
        <f>Imput[[#This Row],[Sub total]]+Imput[[#This Row],[IVA]]-Imput[[#This Row],[Retención / IEPS / Descuento]]</f>
        <v>0</v>
      </c>
      <c r="M3547" s="844">
        <v>0</v>
      </c>
      <c r="N3547" s="189"/>
      <c r="O3547" s="1"/>
      <c r="P3547" s="189"/>
      <c r="Q3547" s="190"/>
      <c r="R3547" s="188"/>
      <c r="S3547" s="193"/>
      <c r="T3547" s="192"/>
      <c r="U3547" s="829"/>
      <c r="V3547" s="10"/>
      <c r="W3547" s="10"/>
      <c r="X3547" s="10"/>
      <c r="Y3547" s="10"/>
      <c r="Z3547" s="10"/>
      <c r="AA3547" s="11"/>
      <c r="AB3547" s="11"/>
    </row>
    <row r="3548" spans="2:28" x14ac:dyDescent="0.3">
      <c r="B3548" s="10"/>
      <c r="C3548" s="315"/>
      <c r="D3548" s="868"/>
      <c r="E3548" s="837" t="str">
        <f>IFERROR(IF(_xlfn.XLOOKUP(Imput[[#This Row],[RFC]],'Alta Proveedor'!D:D,'Alta Proveedor'!E:E)=0,"",_xlfn.XLOOKUP(Imput[[#This Row],[RFC]],'Alta Proveedor'!D:D,'Alta Proveedor'!E:E)),"")</f>
        <v/>
      </c>
      <c r="F3548" s="832"/>
      <c r="G3548" s="187"/>
      <c r="H3548" s="1"/>
      <c r="I3548" s="169">
        <f>Imput[[#This Row],[Cantidad]]*Imput[[#This Row],[Precio Unitario]]</f>
        <v>0</v>
      </c>
      <c r="J3548" s="11">
        <f>((Imput[[#This Row],[Sub total]])*(0.16))</f>
        <v>0</v>
      </c>
      <c r="K3548" s="11">
        <v>0</v>
      </c>
      <c r="L3548" s="169">
        <f>Imput[[#This Row],[Sub total]]+Imput[[#This Row],[IVA]]-Imput[[#This Row],[Retención / IEPS / Descuento]]</f>
        <v>0</v>
      </c>
      <c r="M3548" s="844">
        <v>0</v>
      </c>
      <c r="N3548" s="189"/>
      <c r="O3548" s="1"/>
      <c r="P3548" s="189"/>
      <c r="Q3548" s="190"/>
      <c r="R3548" s="188"/>
      <c r="S3548" s="193"/>
      <c r="T3548" s="192"/>
      <c r="U3548" s="829"/>
      <c r="V3548" s="10"/>
      <c r="W3548" s="10"/>
      <c r="X3548" s="10"/>
      <c r="Y3548" s="10"/>
      <c r="Z3548" s="10"/>
      <c r="AA3548" s="11"/>
      <c r="AB3548" s="11"/>
    </row>
    <row r="3549" spans="2:28" x14ac:dyDescent="0.3">
      <c r="B3549" s="10"/>
      <c r="C3549" s="315"/>
      <c r="D3549" s="868"/>
      <c r="E3549" s="837" t="str">
        <f>IFERROR(IF(_xlfn.XLOOKUP(Imput[[#This Row],[RFC]],'Alta Proveedor'!D:D,'Alta Proveedor'!E:E)=0,"",_xlfn.XLOOKUP(Imput[[#This Row],[RFC]],'Alta Proveedor'!D:D,'Alta Proveedor'!E:E)),"")</f>
        <v/>
      </c>
      <c r="F3549" s="832"/>
      <c r="G3549" s="187"/>
      <c r="H3549" s="1"/>
      <c r="I3549" s="169">
        <f>Imput[[#This Row],[Cantidad]]*Imput[[#This Row],[Precio Unitario]]</f>
        <v>0</v>
      </c>
      <c r="J3549" s="11">
        <f>((Imput[[#This Row],[Sub total]])*(0.16))</f>
        <v>0</v>
      </c>
      <c r="K3549" s="11">
        <v>0</v>
      </c>
      <c r="L3549" s="169">
        <f>Imput[[#This Row],[Sub total]]+Imput[[#This Row],[IVA]]-Imput[[#This Row],[Retención / IEPS / Descuento]]</f>
        <v>0</v>
      </c>
      <c r="M3549" s="844">
        <v>0</v>
      </c>
      <c r="N3549" s="189"/>
      <c r="O3549" s="1"/>
      <c r="P3549" s="189"/>
      <c r="Q3549" s="190"/>
      <c r="R3549" s="188"/>
      <c r="S3549" s="193"/>
      <c r="T3549" s="192"/>
      <c r="U3549" s="829"/>
      <c r="V3549" s="10"/>
      <c r="W3549" s="10"/>
      <c r="X3549" s="10"/>
      <c r="Y3549" s="10"/>
      <c r="Z3549" s="10"/>
      <c r="AA3549" s="11"/>
      <c r="AB3549" s="11"/>
    </row>
    <row r="3550" spans="2:28" x14ac:dyDescent="0.3">
      <c r="B3550" s="10"/>
      <c r="C3550" s="315"/>
      <c r="D3550" s="868"/>
      <c r="E3550" s="837" t="str">
        <f>IFERROR(IF(_xlfn.XLOOKUP(Imput[[#This Row],[RFC]],'Alta Proveedor'!D:D,'Alta Proveedor'!E:E)=0,"",_xlfn.XLOOKUP(Imput[[#This Row],[RFC]],'Alta Proveedor'!D:D,'Alta Proveedor'!E:E)),"")</f>
        <v/>
      </c>
      <c r="F3550" s="832"/>
      <c r="G3550" s="187"/>
      <c r="H3550" s="1"/>
      <c r="I3550" s="169">
        <f>Imput[[#This Row],[Cantidad]]*Imput[[#This Row],[Precio Unitario]]</f>
        <v>0</v>
      </c>
      <c r="J3550" s="11">
        <f>((Imput[[#This Row],[Sub total]])*(0.16))</f>
        <v>0</v>
      </c>
      <c r="K3550" s="11">
        <v>0</v>
      </c>
      <c r="L3550" s="169">
        <f>Imput[[#This Row],[Sub total]]+Imput[[#This Row],[IVA]]-Imput[[#This Row],[Retención / IEPS / Descuento]]</f>
        <v>0</v>
      </c>
      <c r="M3550" s="844">
        <v>0</v>
      </c>
      <c r="N3550" s="189"/>
      <c r="O3550" s="1"/>
      <c r="P3550" s="189"/>
      <c r="Q3550" s="190"/>
      <c r="R3550" s="188"/>
      <c r="S3550" s="193"/>
      <c r="T3550" s="192"/>
      <c r="U3550" s="829"/>
      <c r="V3550" s="10"/>
      <c r="W3550" s="10"/>
      <c r="X3550" s="10"/>
      <c r="Y3550" s="10"/>
      <c r="Z3550" s="10"/>
      <c r="AA3550" s="11"/>
      <c r="AB3550" s="11"/>
    </row>
    <row r="3551" spans="2:28" x14ac:dyDescent="0.3">
      <c r="B3551" s="10"/>
      <c r="C3551" s="315"/>
      <c r="D3551" s="868"/>
      <c r="E3551" s="837" t="str">
        <f>IFERROR(IF(_xlfn.XLOOKUP(Imput[[#This Row],[RFC]],'Alta Proveedor'!D:D,'Alta Proveedor'!E:E)=0,"",_xlfn.XLOOKUP(Imput[[#This Row],[RFC]],'Alta Proveedor'!D:D,'Alta Proveedor'!E:E)),"")</f>
        <v/>
      </c>
      <c r="F3551" s="832"/>
      <c r="G3551" s="187"/>
      <c r="H3551" s="1"/>
      <c r="I3551" s="169">
        <f>Imput[[#This Row],[Cantidad]]*Imput[[#This Row],[Precio Unitario]]</f>
        <v>0</v>
      </c>
      <c r="J3551" s="11">
        <f>((Imput[[#This Row],[Sub total]])*(0.16))</f>
        <v>0</v>
      </c>
      <c r="K3551" s="11">
        <v>0</v>
      </c>
      <c r="L3551" s="169">
        <f>Imput[[#This Row],[Sub total]]+Imput[[#This Row],[IVA]]-Imput[[#This Row],[Retención / IEPS / Descuento]]</f>
        <v>0</v>
      </c>
      <c r="M3551" s="844">
        <v>0</v>
      </c>
      <c r="N3551" s="189"/>
      <c r="O3551" s="1"/>
      <c r="P3551" s="189"/>
      <c r="Q3551" s="190"/>
      <c r="R3551" s="188"/>
      <c r="S3551" s="193"/>
      <c r="T3551" s="192"/>
      <c r="U3551" s="829"/>
      <c r="V3551" s="10"/>
      <c r="W3551" s="10"/>
      <c r="X3551" s="10"/>
      <c r="Y3551" s="10"/>
      <c r="Z3551" s="10"/>
      <c r="AA3551" s="11"/>
      <c r="AB3551" s="11"/>
    </row>
    <row r="3552" spans="2:28" x14ac:dyDescent="0.3">
      <c r="B3552" s="10"/>
      <c r="C3552" s="315"/>
      <c r="D3552" s="868"/>
      <c r="E3552" s="837" t="str">
        <f>IFERROR(IF(_xlfn.XLOOKUP(Imput[[#This Row],[RFC]],'Alta Proveedor'!D:D,'Alta Proveedor'!E:E)=0,"",_xlfn.XLOOKUP(Imput[[#This Row],[RFC]],'Alta Proveedor'!D:D,'Alta Proveedor'!E:E)),"")</f>
        <v/>
      </c>
      <c r="F3552" s="832"/>
      <c r="G3552" s="187"/>
      <c r="H3552" s="1"/>
      <c r="I3552" s="169">
        <f>Imput[[#This Row],[Cantidad]]*Imput[[#This Row],[Precio Unitario]]</f>
        <v>0</v>
      </c>
      <c r="J3552" s="11">
        <f>((Imput[[#This Row],[Sub total]])*(0.16))</f>
        <v>0</v>
      </c>
      <c r="K3552" s="11">
        <v>0</v>
      </c>
      <c r="L3552" s="169">
        <f>Imput[[#This Row],[Sub total]]+Imput[[#This Row],[IVA]]-Imput[[#This Row],[Retención / IEPS / Descuento]]</f>
        <v>0</v>
      </c>
      <c r="M3552" s="844">
        <v>0</v>
      </c>
      <c r="N3552" s="189"/>
      <c r="O3552" s="1"/>
      <c r="P3552" s="189"/>
      <c r="Q3552" s="190"/>
      <c r="R3552" s="188"/>
      <c r="S3552" s="193"/>
      <c r="T3552" s="192"/>
      <c r="U3552" s="829"/>
      <c r="V3552" s="10"/>
      <c r="W3552" s="10"/>
      <c r="X3552" s="10"/>
      <c r="Y3552" s="10"/>
      <c r="Z3552" s="10"/>
      <c r="AA3552" s="11"/>
      <c r="AB3552" s="11"/>
    </row>
    <row r="3553" spans="2:28" x14ac:dyDescent="0.3">
      <c r="B3553" s="10"/>
      <c r="C3553" s="315"/>
      <c r="D3553" s="868"/>
      <c r="E3553" s="837" t="str">
        <f>IFERROR(IF(_xlfn.XLOOKUP(Imput[[#This Row],[RFC]],'Alta Proveedor'!D:D,'Alta Proveedor'!E:E)=0,"",_xlfn.XLOOKUP(Imput[[#This Row],[RFC]],'Alta Proveedor'!D:D,'Alta Proveedor'!E:E)),"")</f>
        <v/>
      </c>
      <c r="F3553" s="832"/>
      <c r="G3553" s="187"/>
      <c r="H3553" s="1"/>
      <c r="I3553" s="169">
        <f>Imput[[#This Row],[Cantidad]]*Imput[[#This Row],[Precio Unitario]]</f>
        <v>0</v>
      </c>
      <c r="J3553" s="11">
        <f>((Imput[[#This Row],[Sub total]])*(0.16))</f>
        <v>0</v>
      </c>
      <c r="K3553" s="11">
        <v>0</v>
      </c>
      <c r="L3553" s="169">
        <f>Imput[[#This Row],[Sub total]]+Imput[[#This Row],[IVA]]-Imput[[#This Row],[Retención / IEPS / Descuento]]</f>
        <v>0</v>
      </c>
      <c r="M3553" s="844">
        <v>0</v>
      </c>
      <c r="N3553" s="189"/>
      <c r="O3553" s="1"/>
      <c r="P3553" s="189"/>
      <c r="Q3553" s="190"/>
      <c r="R3553" s="188"/>
      <c r="S3553" s="193"/>
      <c r="T3553" s="192"/>
      <c r="U3553" s="829"/>
      <c r="V3553" s="10"/>
      <c r="W3553" s="10"/>
      <c r="X3553" s="10"/>
      <c r="Y3553" s="10"/>
      <c r="Z3553" s="10"/>
      <c r="AA3553" s="11"/>
      <c r="AB3553" s="11"/>
    </row>
    <row r="3554" spans="2:28" x14ac:dyDescent="0.3">
      <c r="B3554" s="10"/>
      <c r="C3554" s="315"/>
      <c r="D3554" s="868"/>
      <c r="E3554" s="837" t="str">
        <f>IFERROR(IF(_xlfn.XLOOKUP(Imput[[#This Row],[RFC]],'Alta Proveedor'!D:D,'Alta Proveedor'!E:E)=0,"",_xlfn.XLOOKUP(Imput[[#This Row],[RFC]],'Alta Proveedor'!D:D,'Alta Proveedor'!E:E)),"")</f>
        <v/>
      </c>
      <c r="F3554" s="832"/>
      <c r="G3554" s="187"/>
      <c r="H3554" s="1"/>
      <c r="I3554" s="169">
        <f>Imput[[#This Row],[Cantidad]]*Imput[[#This Row],[Precio Unitario]]</f>
        <v>0</v>
      </c>
      <c r="J3554" s="11">
        <f>((Imput[[#This Row],[Sub total]])*(0.16))</f>
        <v>0</v>
      </c>
      <c r="K3554" s="11">
        <v>0</v>
      </c>
      <c r="L3554" s="169">
        <f>Imput[[#This Row],[Sub total]]+Imput[[#This Row],[IVA]]-Imput[[#This Row],[Retención / IEPS / Descuento]]</f>
        <v>0</v>
      </c>
      <c r="M3554" s="844">
        <v>0</v>
      </c>
      <c r="N3554" s="189"/>
      <c r="O3554" s="1"/>
      <c r="P3554" s="189"/>
      <c r="Q3554" s="190"/>
      <c r="R3554" s="188"/>
      <c r="S3554" s="193"/>
      <c r="T3554" s="192"/>
      <c r="U3554" s="829"/>
      <c r="V3554" s="10"/>
      <c r="W3554" s="10"/>
      <c r="X3554" s="10"/>
      <c r="Y3554" s="10"/>
      <c r="Z3554" s="10"/>
      <c r="AA3554" s="11"/>
      <c r="AB3554" s="11"/>
    </row>
    <row r="3555" spans="2:28" x14ac:dyDescent="0.3">
      <c r="B3555" s="10"/>
      <c r="C3555" s="315"/>
      <c r="D3555" s="868"/>
      <c r="E3555" s="837" t="str">
        <f>IFERROR(IF(_xlfn.XLOOKUP(Imput[[#This Row],[RFC]],'Alta Proveedor'!D:D,'Alta Proveedor'!E:E)=0,"",_xlfn.XLOOKUP(Imput[[#This Row],[RFC]],'Alta Proveedor'!D:D,'Alta Proveedor'!E:E)),"")</f>
        <v/>
      </c>
      <c r="F3555" s="832"/>
      <c r="G3555" s="187"/>
      <c r="H3555" s="1"/>
      <c r="I3555" s="169">
        <f>Imput[[#This Row],[Cantidad]]*Imput[[#This Row],[Precio Unitario]]</f>
        <v>0</v>
      </c>
      <c r="J3555" s="11">
        <f>((Imput[[#This Row],[Sub total]])*(0.16))</f>
        <v>0</v>
      </c>
      <c r="K3555" s="11">
        <v>0</v>
      </c>
      <c r="L3555" s="169">
        <f>Imput[[#This Row],[Sub total]]+Imput[[#This Row],[IVA]]-Imput[[#This Row],[Retención / IEPS / Descuento]]</f>
        <v>0</v>
      </c>
      <c r="M3555" s="844">
        <v>0</v>
      </c>
      <c r="N3555" s="189"/>
      <c r="O3555" s="1"/>
      <c r="P3555" s="189"/>
      <c r="Q3555" s="190"/>
      <c r="R3555" s="188"/>
      <c r="S3555" s="193"/>
      <c r="T3555" s="192"/>
      <c r="U3555" s="829"/>
      <c r="V3555" s="10"/>
      <c r="W3555" s="10"/>
      <c r="X3555" s="10"/>
      <c r="Y3555" s="10"/>
      <c r="Z3555" s="10"/>
      <c r="AA3555" s="11"/>
      <c r="AB3555" s="11"/>
    </row>
    <row r="3556" spans="2:28" x14ac:dyDescent="0.3">
      <c r="B3556" s="10"/>
      <c r="C3556" s="315"/>
      <c r="D3556" s="868"/>
      <c r="E3556" s="837" t="str">
        <f>IFERROR(IF(_xlfn.XLOOKUP(Imput[[#This Row],[RFC]],'Alta Proveedor'!D:D,'Alta Proveedor'!E:E)=0,"",_xlfn.XLOOKUP(Imput[[#This Row],[RFC]],'Alta Proveedor'!D:D,'Alta Proveedor'!E:E)),"")</f>
        <v/>
      </c>
      <c r="F3556" s="832"/>
      <c r="G3556" s="187"/>
      <c r="H3556" s="1"/>
      <c r="I3556" s="169">
        <f>Imput[[#This Row],[Cantidad]]*Imput[[#This Row],[Precio Unitario]]</f>
        <v>0</v>
      </c>
      <c r="J3556" s="11">
        <f>((Imput[[#This Row],[Sub total]])*(0.16))</f>
        <v>0</v>
      </c>
      <c r="K3556" s="11">
        <v>0</v>
      </c>
      <c r="L3556" s="169">
        <f>Imput[[#This Row],[Sub total]]+Imput[[#This Row],[IVA]]-Imput[[#This Row],[Retención / IEPS / Descuento]]</f>
        <v>0</v>
      </c>
      <c r="M3556" s="844">
        <v>0</v>
      </c>
      <c r="N3556" s="189"/>
      <c r="O3556" s="1"/>
      <c r="P3556" s="189"/>
      <c r="Q3556" s="190"/>
      <c r="R3556" s="188"/>
      <c r="S3556" s="193"/>
      <c r="T3556" s="192"/>
      <c r="U3556" s="829"/>
      <c r="V3556" s="10"/>
      <c r="W3556" s="10"/>
      <c r="X3556" s="10"/>
      <c r="Y3556" s="10"/>
      <c r="Z3556" s="10"/>
      <c r="AA3556" s="11"/>
      <c r="AB3556" s="11"/>
    </row>
    <row r="3557" spans="2:28" x14ac:dyDescent="0.3">
      <c r="B3557" s="10"/>
      <c r="C3557" s="315"/>
      <c r="D3557" s="868"/>
      <c r="E3557" s="837" t="str">
        <f>IFERROR(IF(_xlfn.XLOOKUP(Imput[[#This Row],[RFC]],'Alta Proveedor'!D:D,'Alta Proveedor'!E:E)=0,"",_xlfn.XLOOKUP(Imput[[#This Row],[RFC]],'Alta Proveedor'!D:D,'Alta Proveedor'!E:E)),"")</f>
        <v/>
      </c>
      <c r="F3557" s="832"/>
      <c r="G3557" s="187"/>
      <c r="H3557" s="1"/>
      <c r="I3557" s="169">
        <f>Imput[[#This Row],[Cantidad]]*Imput[[#This Row],[Precio Unitario]]</f>
        <v>0</v>
      </c>
      <c r="J3557" s="11">
        <f>((Imput[[#This Row],[Sub total]])*(0.16))</f>
        <v>0</v>
      </c>
      <c r="K3557" s="11">
        <v>0</v>
      </c>
      <c r="L3557" s="169">
        <f>Imput[[#This Row],[Sub total]]+Imput[[#This Row],[IVA]]-Imput[[#This Row],[Retención / IEPS / Descuento]]</f>
        <v>0</v>
      </c>
      <c r="M3557" s="844">
        <v>0</v>
      </c>
      <c r="N3557" s="189"/>
      <c r="O3557" s="1"/>
      <c r="P3557" s="189"/>
      <c r="Q3557" s="190"/>
      <c r="R3557" s="188"/>
      <c r="S3557" s="193"/>
      <c r="T3557" s="192"/>
      <c r="U3557" s="829"/>
      <c r="V3557" s="10"/>
      <c r="W3557" s="10"/>
      <c r="X3557" s="10"/>
      <c r="Y3557" s="10"/>
      <c r="Z3557" s="10"/>
      <c r="AA3557" s="11"/>
      <c r="AB3557" s="11"/>
    </row>
    <row r="3558" spans="2:28" x14ac:dyDescent="0.3">
      <c r="B3558" s="10"/>
      <c r="C3558" s="315"/>
      <c r="D3558" s="868"/>
      <c r="E3558" s="837" t="str">
        <f>IFERROR(IF(_xlfn.XLOOKUP(Imput[[#This Row],[RFC]],'Alta Proveedor'!D:D,'Alta Proveedor'!E:E)=0,"",_xlfn.XLOOKUP(Imput[[#This Row],[RFC]],'Alta Proveedor'!D:D,'Alta Proveedor'!E:E)),"")</f>
        <v/>
      </c>
      <c r="F3558" s="832"/>
      <c r="G3558" s="187"/>
      <c r="H3558" s="1"/>
      <c r="I3558" s="169">
        <f>Imput[[#This Row],[Cantidad]]*Imput[[#This Row],[Precio Unitario]]</f>
        <v>0</v>
      </c>
      <c r="J3558" s="11">
        <f>((Imput[[#This Row],[Sub total]])*(0.16))</f>
        <v>0</v>
      </c>
      <c r="K3558" s="11">
        <v>0</v>
      </c>
      <c r="L3558" s="169">
        <f>Imput[[#This Row],[Sub total]]+Imput[[#This Row],[IVA]]-Imput[[#This Row],[Retención / IEPS / Descuento]]</f>
        <v>0</v>
      </c>
      <c r="M3558" s="844">
        <v>0</v>
      </c>
      <c r="N3558" s="189"/>
      <c r="O3558" s="1"/>
      <c r="P3558" s="189"/>
      <c r="Q3558" s="190"/>
      <c r="R3558" s="188"/>
      <c r="S3558" s="193"/>
      <c r="T3558" s="192"/>
      <c r="U3558" s="829"/>
      <c r="V3558" s="10"/>
      <c r="W3558" s="10"/>
      <c r="X3558" s="10"/>
      <c r="Y3558" s="10"/>
      <c r="Z3558" s="10"/>
      <c r="AA3558" s="11"/>
      <c r="AB3558" s="11"/>
    </row>
    <row r="3559" spans="2:28" x14ac:dyDescent="0.3">
      <c r="B3559" s="10"/>
      <c r="C3559" s="315"/>
      <c r="D3559" s="868"/>
      <c r="E3559" s="837" t="str">
        <f>IFERROR(IF(_xlfn.XLOOKUP(Imput[[#This Row],[RFC]],'Alta Proveedor'!D:D,'Alta Proveedor'!E:E)=0,"",_xlfn.XLOOKUP(Imput[[#This Row],[RFC]],'Alta Proveedor'!D:D,'Alta Proveedor'!E:E)),"")</f>
        <v/>
      </c>
      <c r="F3559" s="832"/>
      <c r="G3559" s="187"/>
      <c r="H3559" s="1"/>
      <c r="I3559" s="169">
        <f>Imput[[#This Row],[Cantidad]]*Imput[[#This Row],[Precio Unitario]]</f>
        <v>0</v>
      </c>
      <c r="J3559" s="11">
        <f>((Imput[[#This Row],[Sub total]])*(0.16))</f>
        <v>0</v>
      </c>
      <c r="K3559" s="11">
        <v>0</v>
      </c>
      <c r="L3559" s="169">
        <f>Imput[[#This Row],[Sub total]]+Imput[[#This Row],[IVA]]-Imput[[#This Row],[Retención / IEPS / Descuento]]</f>
        <v>0</v>
      </c>
      <c r="M3559" s="844">
        <v>0</v>
      </c>
      <c r="N3559" s="189"/>
      <c r="O3559" s="1"/>
      <c r="P3559" s="189"/>
      <c r="Q3559" s="190"/>
      <c r="R3559" s="188"/>
      <c r="S3559" s="193"/>
      <c r="T3559" s="192"/>
      <c r="U3559" s="829"/>
      <c r="V3559" s="10"/>
      <c r="W3559" s="10"/>
      <c r="X3559" s="10"/>
      <c r="Y3559" s="10"/>
      <c r="Z3559" s="10"/>
      <c r="AA3559" s="11"/>
      <c r="AB3559" s="11"/>
    </row>
    <row r="3560" spans="2:28" x14ac:dyDescent="0.3">
      <c r="B3560" s="10"/>
      <c r="C3560" s="315"/>
      <c r="D3560" s="868"/>
      <c r="E3560" s="837" t="str">
        <f>IFERROR(IF(_xlfn.XLOOKUP(Imput[[#This Row],[RFC]],'Alta Proveedor'!D:D,'Alta Proveedor'!E:E)=0,"",_xlfn.XLOOKUP(Imput[[#This Row],[RFC]],'Alta Proveedor'!D:D,'Alta Proveedor'!E:E)),"")</f>
        <v/>
      </c>
      <c r="F3560" s="832"/>
      <c r="G3560" s="187"/>
      <c r="H3560" s="1"/>
      <c r="I3560" s="169">
        <f>Imput[[#This Row],[Cantidad]]*Imput[[#This Row],[Precio Unitario]]</f>
        <v>0</v>
      </c>
      <c r="J3560" s="11">
        <f>((Imput[[#This Row],[Sub total]])*(0.16))</f>
        <v>0</v>
      </c>
      <c r="K3560" s="11">
        <v>0</v>
      </c>
      <c r="L3560" s="169">
        <f>Imput[[#This Row],[Sub total]]+Imput[[#This Row],[IVA]]-Imput[[#This Row],[Retención / IEPS / Descuento]]</f>
        <v>0</v>
      </c>
      <c r="M3560" s="844">
        <v>0</v>
      </c>
      <c r="N3560" s="189"/>
      <c r="O3560" s="1"/>
      <c r="P3560" s="189"/>
      <c r="Q3560" s="190"/>
      <c r="R3560" s="188"/>
      <c r="S3560" s="193"/>
      <c r="T3560" s="192"/>
      <c r="U3560" s="829"/>
      <c r="V3560" s="10"/>
      <c r="W3560" s="10"/>
      <c r="X3560" s="10"/>
      <c r="Y3560" s="10"/>
      <c r="Z3560" s="10"/>
      <c r="AA3560" s="11"/>
      <c r="AB3560" s="11"/>
    </row>
    <row r="3561" spans="2:28" x14ac:dyDescent="0.3">
      <c r="B3561" s="10"/>
      <c r="C3561" s="315"/>
      <c r="D3561" s="868"/>
      <c r="E3561" s="837" t="str">
        <f>IFERROR(IF(_xlfn.XLOOKUP(Imput[[#This Row],[RFC]],'Alta Proveedor'!D:D,'Alta Proveedor'!E:E)=0,"",_xlfn.XLOOKUP(Imput[[#This Row],[RFC]],'Alta Proveedor'!D:D,'Alta Proveedor'!E:E)),"")</f>
        <v/>
      </c>
      <c r="F3561" s="832"/>
      <c r="G3561" s="187"/>
      <c r="H3561" s="1"/>
      <c r="I3561" s="169">
        <f>Imput[[#This Row],[Cantidad]]*Imput[[#This Row],[Precio Unitario]]</f>
        <v>0</v>
      </c>
      <c r="J3561" s="11">
        <f>((Imput[[#This Row],[Sub total]])*(0.16))</f>
        <v>0</v>
      </c>
      <c r="K3561" s="11">
        <v>0</v>
      </c>
      <c r="L3561" s="169">
        <f>Imput[[#This Row],[Sub total]]+Imput[[#This Row],[IVA]]-Imput[[#This Row],[Retención / IEPS / Descuento]]</f>
        <v>0</v>
      </c>
      <c r="M3561" s="844">
        <v>0</v>
      </c>
      <c r="N3561" s="189"/>
      <c r="O3561" s="1"/>
      <c r="P3561" s="189"/>
      <c r="Q3561" s="190"/>
      <c r="R3561" s="188"/>
      <c r="S3561" s="193"/>
      <c r="T3561" s="192"/>
      <c r="U3561" s="829"/>
      <c r="V3561" s="10"/>
      <c r="W3561" s="10"/>
      <c r="X3561" s="10"/>
      <c r="Y3561" s="10"/>
      <c r="Z3561" s="10"/>
      <c r="AA3561" s="11"/>
      <c r="AB3561" s="11"/>
    </row>
    <row r="3562" spans="2:28" x14ac:dyDescent="0.3">
      <c r="B3562" s="10"/>
      <c r="C3562" s="315"/>
      <c r="D3562" s="868"/>
      <c r="E3562" s="837" t="str">
        <f>IFERROR(IF(_xlfn.XLOOKUP(Imput[[#This Row],[RFC]],'Alta Proveedor'!D:D,'Alta Proveedor'!E:E)=0,"",_xlfn.XLOOKUP(Imput[[#This Row],[RFC]],'Alta Proveedor'!D:D,'Alta Proveedor'!E:E)),"")</f>
        <v/>
      </c>
      <c r="F3562" s="832"/>
      <c r="G3562" s="187"/>
      <c r="H3562" s="1"/>
      <c r="I3562" s="169">
        <f>Imput[[#This Row],[Cantidad]]*Imput[[#This Row],[Precio Unitario]]</f>
        <v>0</v>
      </c>
      <c r="J3562" s="11">
        <f>((Imput[[#This Row],[Sub total]])*(0.16))</f>
        <v>0</v>
      </c>
      <c r="K3562" s="11">
        <v>0</v>
      </c>
      <c r="L3562" s="169">
        <f>Imput[[#This Row],[Sub total]]+Imput[[#This Row],[IVA]]-Imput[[#This Row],[Retención / IEPS / Descuento]]</f>
        <v>0</v>
      </c>
      <c r="M3562" s="844">
        <v>0</v>
      </c>
      <c r="N3562" s="189"/>
      <c r="O3562" s="1"/>
      <c r="P3562" s="189"/>
      <c r="Q3562" s="190"/>
      <c r="R3562" s="188"/>
      <c r="S3562" s="193"/>
      <c r="T3562" s="192"/>
      <c r="U3562" s="829"/>
      <c r="V3562" s="10"/>
      <c r="W3562" s="10"/>
      <c r="X3562" s="10"/>
      <c r="Y3562" s="10"/>
      <c r="Z3562" s="10"/>
      <c r="AA3562" s="11"/>
      <c r="AB3562" s="11"/>
    </row>
    <row r="3563" spans="2:28" x14ac:dyDescent="0.3">
      <c r="B3563" s="10"/>
      <c r="C3563" s="315"/>
      <c r="D3563" s="868"/>
      <c r="E3563" s="837" t="str">
        <f>IFERROR(IF(_xlfn.XLOOKUP(Imput[[#This Row],[RFC]],'Alta Proveedor'!D:D,'Alta Proveedor'!E:E)=0,"",_xlfn.XLOOKUP(Imput[[#This Row],[RFC]],'Alta Proveedor'!D:D,'Alta Proveedor'!E:E)),"")</f>
        <v/>
      </c>
      <c r="F3563" s="832"/>
      <c r="G3563" s="187"/>
      <c r="H3563" s="1"/>
      <c r="I3563" s="169">
        <f>Imput[[#This Row],[Cantidad]]*Imput[[#This Row],[Precio Unitario]]</f>
        <v>0</v>
      </c>
      <c r="J3563" s="11">
        <f>((Imput[[#This Row],[Sub total]])*(0.16))</f>
        <v>0</v>
      </c>
      <c r="K3563" s="11">
        <v>0</v>
      </c>
      <c r="L3563" s="169">
        <f>Imput[[#This Row],[Sub total]]+Imput[[#This Row],[IVA]]-Imput[[#This Row],[Retención / IEPS / Descuento]]</f>
        <v>0</v>
      </c>
      <c r="M3563" s="844">
        <v>0</v>
      </c>
      <c r="N3563" s="189"/>
      <c r="O3563" s="1"/>
      <c r="P3563" s="189"/>
      <c r="Q3563" s="190"/>
      <c r="R3563" s="188"/>
      <c r="S3563" s="193"/>
      <c r="T3563" s="192"/>
      <c r="U3563" s="829"/>
      <c r="V3563" s="10"/>
      <c r="W3563" s="10"/>
      <c r="X3563" s="10"/>
      <c r="Y3563" s="10"/>
      <c r="Z3563" s="10"/>
      <c r="AA3563" s="11"/>
      <c r="AB3563" s="11"/>
    </row>
    <row r="3564" spans="2:28" x14ac:dyDescent="0.3">
      <c r="B3564" s="10"/>
      <c r="C3564" s="315"/>
      <c r="D3564" s="868"/>
      <c r="E3564" s="837" t="str">
        <f>IFERROR(IF(_xlfn.XLOOKUP(Imput[[#This Row],[RFC]],'Alta Proveedor'!D:D,'Alta Proveedor'!E:E)=0,"",_xlfn.XLOOKUP(Imput[[#This Row],[RFC]],'Alta Proveedor'!D:D,'Alta Proveedor'!E:E)),"")</f>
        <v/>
      </c>
      <c r="F3564" s="832"/>
      <c r="G3564" s="187"/>
      <c r="H3564" s="1"/>
      <c r="I3564" s="169">
        <f>Imput[[#This Row],[Cantidad]]*Imput[[#This Row],[Precio Unitario]]</f>
        <v>0</v>
      </c>
      <c r="J3564" s="11">
        <f>((Imput[[#This Row],[Sub total]])*(0.16))</f>
        <v>0</v>
      </c>
      <c r="K3564" s="11">
        <v>0</v>
      </c>
      <c r="L3564" s="169">
        <f>Imput[[#This Row],[Sub total]]+Imput[[#This Row],[IVA]]-Imput[[#This Row],[Retención / IEPS / Descuento]]</f>
        <v>0</v>
      </c>
      <c r="M3564" s="844">
        <v>0</v>
      </c>
      <c r="N3564" s="189"/>
      <c r="O3564" s="1"/>
      <c r="P3564" s="189"/>
      <c r="Q3564" s="190"/>
      <c r="R3564" s="188"/>
      <c r="S3564" s="193"/>
      <c r="T3564" s="192"/>
      <c r="U3564" s="829"/>
      <c r="V3564" s="10"/>
      <c r="W3564" s="10"/>
      <c r="X3564" s="10"/>
      <c r="Y3564" s="10"/>
      <c r="Z3564" s="10"/>
      <c r="AA3564" s="11"/>
      <c r="AB3564" s="11"/>
    </row>
    <row r="3565" spans="2:28" x14ac:dyDescent="0.3">
      <c r="B3565" s="10"/>
      <c r="C3565" s="315"/>
      <c r="D3565" s="868"/>
      <c r="E3565" s="837" t="str">
        <f>IFERROR(IF(_xlfn.XLOOKUP(Imput[[#This Row],[RFC]],'Alta Proveedor'!D:D,'Alta Proveedor'!E:E)=0,"",_xlfn.XLOOKUP(Imput[[#This Row],[RFC]],'Alta Proveedor'!D:D,'Alta Proveedor'!E:E)),"")</f>
        <v/>
      </c>
      <c r="F3565" s="832"/>
      <c r="G3565" s="187"/>
      <c r="H3565" s="1"/>
      <c r="I3565" s="169">
        <f>Imput[[#This Row],[Cantidad]]*Imput[[#This Row],[Precio Unitario]]</f>
        <v>0</v>
      </c>
      <c r="J3565" s="11">
        <f>((Imput[[#This Row],[Sub total]])*(0.16))</f>
        <v>0</v>
      </c>
      <c r="K3565" s="11">
        <v>0</v>
      </c>
      <c r="L3565" s="169">
        <f>Imput[[#This Row],[Sub total]]+Imput[[#This Row],[IVA]]-Imput[[#This Row],[Retención / IEPS / Descuento]]</f>
        <v>0</v>
      </c>
      <c r="M3565" s="844">
        <v>0</v>
      </c>
      <c r="N3565" s="189"/>
      <c r="O3565" s="1"/>
      <c r="P3565" s="189"/>
      <c r="Q3565" s="190"/>
      <c r="R3565" s="188"/>
      <c r="S3565" s="193"/>
      <c r="T3565" s="192"/>
      <c r="U3565" s="829"/>
      <c r="V3565" s="10"/>
      <c r="W3565" s="10"/>
      <c r="X3565" s="10"/>
      <c r="Y3565" s="10"/>
      <c r="Z3565" s="10"/>
      <c r="AA3565" s="11"/>
      <c r="AB3565" s="11"/>
    </row>
    <row r="3566" spans="2:28" x14ac:dyDescent="0.3">
      <c r="B3566" s="10"/>
      <c r="C3566" s="315"/>
      <c r="D3566" s="868"/>
      <c r="E3566" s="837" t="str">
        <f>IFERROR(IF(_xlfn.XLOOKUP(Imput[[#This Row],[RFC]],'Alta Proveedor'!D:D,'Alta Proveedor'!E:E)=0,"",_xlfn.XLOOKUP(Imput[[#This Row],[RFC]],'Alta Proveedor'!D:D,'Alta Proveedor'!E:E)),"")</f>
        <v/>
      </c>
      <c r="F3566" s="832"/>
      <c r="G3566" s="187"/>
      <c r="H3566" s="1"/>
      <c r="I3566" s="169">
        <f>Imput[[#This Row],[Cantidad]]*Imput[[#This Row],[Precio Unitario]]</f>
        <v>0</v>
      </c>
      <c r="J3566" s="11">
        <f>((Imput[[#This Row],[Sub total]])*(0.16))</f>
        <v>0</v>
      </c>
      <c r="K3566" s="11">
        <v>0</v>
      </c>
      <c r="L3566" s="169">
        <f>Imput[[#This Row],[Sub total]]+Imput[[#This Row],[IVA]]-Imput[[#This Row],[Retención / IEPS / Descuento]]</f>
        <v>0</v>
      </c>
      <c r="M3566" s="844">
        <v>0</v>
      </c>
      <c r="N3566" s="189"/>
      <c r="O3566" s="1"/>
      <c r="P3566" s="189"/>
      <c r="Q3566" s="190"/>
      <c r="R3566" s="188"/>
      <c r="S3566" s="193"/>
      <c r="T3566" s="192"/>
      <c r="U3566" s="829"/>
      <c r="V3566" s="10"/>
      <c r="W3566" s="10"/>
      <c r="X3566" s="10"/>
      <c r="Y3566" s="10"/>
      <c r="Z3566" s="10"/>
      <c r="AA3566" s="11"/>
      <c r="AB3566" s="11"/>
    </row>
    <row r="3567" spans="2:28" x14ac:dyDescent="0.3">
      <c r="B3567" s="10"/>
      <c r="C3567" s="315"/>
      <c r="D3567" s="868"/>
      <c r="E3567" s="837" t="str">
        <f>IFERROR(IF(_xlfn.XLOOKUP(Imput[[#This Row],[RFC]],'Alta Proveedor'!D:D,'Alta Proveedor'!E:E)=0,"",_xlfn.XLOOKUP(Imput[[#This Row],[RFC]],'Alta Proveedor'!D:D,'Alta Proveedor'!E:E)),"")</f>
        <v/>
      </c>
      <c r="F3567" s="832"/>
      <c r="G3567" s="187"/>
      <c r="H3567" s="1"/>
      <c r="I3567" s="169">
        <f>Imput[[#This Row],[Cantidad]]*Imput[[#This Row],[Precio Unitario]]</f>
        <v>0</v>
      </c>
      <c r="J3567" s="11">
        <f>((Imput[[#This Row],[Sub total]])*(0.16))</f>
        <v>0</v>
      </c>
      <c r="K3567" s="11">
        <v>0</v>
      </c>
      <c r="L3567" s="169">
        <f>Imput[[#This Row],[Sub total]]+Imput[[#This Row],[IVA]]-Imput[[#This Row],[Retención / IEPS / Descuento]]</f>
        <v>0</v>
      </c>
      <c r="M3567" s="844">
        <v>0</v>
      </c>
      <c r="N3567" s="189"/>
      <c r="O3567" s="1"/>
      <c r="P3567" s="189"/>
      <c r="Q3567" s="190"/>
      <c r="R3567" s="188"/>
      <c r="S3567" s="193"/>
      <c r="T3567" s="192"/>
      <c r="U3567" s="829"/>
      <c r="V3567" s="10"/>
      <c r="W3567" s="10"/>
      <c r="X3567" s="10"/>
      <c r="Y3567" s="10"/>
      <c r="Z3567" s="10"/>
      <c r="AA3567" s="11"/>
      <c r="AB3567" s="11"/>
    </row>
    <row r="3568" spans="2:28" x14ac:dyDescent="0.3">
      <c r="B3568" s="10"/>
      <c r="C3568" s="315"/>
      <c r="D3568" s="868"/>
      <c r="E3568" s="837" t="str">
        <f>IFERROR(IF(_xlfn.XLOOKUP(Imput[[#This Row],[RFC]],'Alta Proveedor'!D:D,'Alta Proveedor'!E:E)=0,"",_xlfn.XLOOKUP(Imput[[#This Row],[RFC]],'Alta Proveedor'!D:D,'Alta Proveedor'!E:E)),"")</f>
        <v/>
      </c>
      <c r="F3568" s="832"/>
      <c r="G3568" s="187"/>
      <c r="H3568" s="1"/>
      <c r="I3568" s="169">
        <f>Imput[[#This Row],[Cantidad]]*Imput[[#This Row],[Precio Unitario]]</f>
        <v>0</v>
      </c>
      <c r="J3568" s="11">
        <f>((Imput[[#This Row],[Sub total]])*(0.16))</f>
        <v>0</v>
      </c>
      <c r="K3568" s="11">
        <v>0</v>
      </c>
      <c r="L3568" s="169">
        <f>Imput[[#This Row],[Sub total]]+Imput[[#This Row],[IVA]]-Imput[[#This Row],[Retención / IEPS / Descuento]]</f>
        <v>0</v>
      </c>
      <c r="M3568" s="844">
        <v>0</v>
      </c>
      <c r="N3568" s="189"/>
      <c r="O3568" s="1"/>
      <c r="P3568" s="189"/>
      <c r="Q3568" s="190"/>
      <c r="R3568" s="188"/>
      <c r="S3568" s="193"/>
      <c r="T3568" s="192"/>
      <c r="U3568" s="829"/>
      <c r="V3568" s="10"/>
      <c r="W3568" s="10"/>
      <c r="X3568" s="10"/>
      <c r="Y3568" s="10"/>
      <c r="Z3568" s="10"/>
      <c r="AA3568" s="11"/>
      <c r="AB3568" s="11"/>
    </row>
    <row r="3569" spans="2:28" x14ac:dyDescent="0.3">
      <c r="B3569" s="10"/>
      <c r="C3569" s="315"/>
      <c r="D3569" s="868"/>
      <c r="E3569" s="837" t="str">
        <f>IFERROR(IF(_xlfn.XLOOKUP(Imput[[#This Row],[RFC]],'Alta Proveedor'!D:D,'Alta Proveedor'!E:E)=0,"",_xlfn.XLOOKUP(Imput[[#This Row],[RFC]],'Alta Proveedor'!D:D,'Alta Proveedor'!E:E)),"")</f>
        <v/>
      </c>
      <c r="F3569" s="832"/>
      <c r="G3569" s="187"/>
      <c r="H3569" s="1"/>
      <c r="I3569" s="169">
        <f>Imput[[#This Row],[Cantidad]]*Imput[[#This Row],[Precio Unitario]]</f>
        <v>0</v>
      </c>
      <c r="J3569" s="11">
        <f>((Imput[[#This Row],[Sub total]])*(0.16))</f>
        <v>0</v>
      </c>
      <c r="K3569" s="11">
        <v>0</v>
      </c>
      <c r="L3569" s="169">
        <f>Imput[[#This Row],[Sub total]]+Imput[[#This Row],[IVA]]-Imput[[#This Row],[Retención / IEPS / Descuento]]</f>
        <v>0</v>
      </c>
      <c r="M3569" s="844">
        <v>0</v>
      </c>
      <c r="N3569" s="189"/>
      <c r="O3569" s="1"/>
      <c r="P3569" s="189"/>
      <c r="Q3569" s="190"/>
      <c r="R3569" s="188"/>
      <c r="S3569" s="193"/>
      <c r="T3569" s="192"/>
      <c r="U3569" s="829"/>
      <c r="V3569" s="10"/>
      <c r="W3569" s="10"/>
      <c r="X3569" s="10"/>
      <c r="Y3569" s="10"/>
      <c r="Z3569" s="10"/>
      <c r="AA3569" s="11"/>
      <c r="AB3569" s="11"/>
    </row>
    <row r="3570" spans="2:28" x14ac:dyDescent="0.3">
      <c r="B3570" s="10"/>
      <c r="C3570" s="315"/>
      <c r="D3570" s="868"/>
      <c r="E3570" s="837" t="str">
        <f>IFERROR(IF(_xlfn.XLOOKUP(Imput[[#This Row],[RFC]],'Alta Proveedor'!D:D,'Alta Proveedor'!E:E)=0,"",_xlfn.XLOOKUP(Imput[[#This Row],[RFC]],'Alta Proveedor'!D:D,'Alta Proveedor'!E:E)),"")</f>
        <v/>
      </c>
      <c r="F3570" s="832"/>
      <c r="G3570" s="187"/>
      <c r="H3570" s="1"/>
      <c r="I3570" s="169">
        <f>Imput[[#This Row],[Cantidad]]*Imput[[#This Row],[Precio Unitario]]</f>
        <v>0</v>
      </c>
      <c r="J3570" s="11">
        <f>((Imput[[#This Row],[Sub total]])*(0.16))</f>
        <v>0</v>
      </c>
      <c r="K3570" s="11">
        <v>0</v>
      </c>
      <c r="L3570" s="169">
        <f>Imput[[#This Row],[Sub total]]+Imput[[#This Row],[IVA]]-Imput[[#This Row],[Retención / IEPS / Descuento]]</f>
        <v>0</v>
      </c>
      <c r="M3570" s="844">
        <v>0</v>
      </c>
      <c r="N3570" s="189"/>
      <c r="O3570" s="1"/>
      <c r="P3570" s="189"/>
      <c r="Q3570" s="190"/>
      <c r="R3570" s="188"/>
      <c r="S3570" s="193"/>
      <c r="T3570" s="192"/>
      <c r="U3570" s="829"/>
      <c r="V3570" s="10"/>
      <c r="W3570" s="10"/>
      <c r="X3570" s="10"/>
      <c r="Y3570" s="10"/>
      <c r="Z3570" s="10"/>
      <c r="AA3570" s="11"/>
      <c r="AB3570" s="11"/>
    </row>
    <row r="3571" spans="2:28" x14ac:dyDescent="0.3">
      <c r="B3571" s="10"/>
      <c r="C3571" s="315"/>
      <c r="D3571" s="868"/>
      <c r="E3571" s="837" t="str">
        <f>IFERROR(IF(_xlfn.XLOOKUP(Imput[[#This Row],[RFC]],'Alta Proveedor'!D:D,'Alta Proveedor'!E:E)=0,"",_xlfn.XLOOKUP(Imput[[#This Row],[RFC]],'Alta Proveedor'!D:D,'Alta Proveedor'!E:E)),"")</f>
        <v/>
      </c>
      <c r="F3571" s="832"/>
      <c r="G3571" s="187"/>
      <c r="H3571" s="1"/>
      <c r="I3571" s="169">
        <f>Imput[[#This Row],[Cantidad]]*Imput[[#This Row],[Precio Unitario]]</f>
        <v>0</v>
      </c>
      <c r="J3571" s="11">
        <f>((Imput[[#This Row],[Sub total]])*(0.16))</f>
        <v>0</v>
      </c>
      <c r="K3571" s="11">
        <v>0</v>
      </c>
      <c r="L3571" s="169">
        <f>Imput[[#This Row],[Sub total]]+Imput[[#This Row],[IVA]]-Imput[[#This Row],[Retención / IEPS / Descuento]]</f>
        <v>0</v>
      </c>
      <c r="M3571" s="844">
        <v>0</v>
      </c>
      <c r="N3571" s="189"/>
      <c r="O3571" s="1"/>
      <c r="P3571" s="189"/>
      <c r="Q3571" s="190"/>
      <c r="R3571" s="188"/>
      <c r="S3571" s="193"/>
      <c r="T3571" s="192"/>
      <c r="U3571" s="829"/>
      <c r="V3571" s="10"/>
      <c r="W3571" s="10"/>
      <c r="X3571" s="10"/>
      <c r="Y3571" s="10"/>
      <c r="Z3571" s="10"/>
      <c r="AA3571" s="11"/>
      <c r="AB3571" s="11"/>
    </row>
    <row r="3572" spans="2:28" x14ac:dyDescent="0.3">
      <c r="B3572" s="10"/>
      <c r="C3572" s="315"/>
      <c r="D3572" s="868"/>
      <c r="E3572" s="837" t="str">
        <f>IFERROR(IF(_xlfn.XLOOKUP(Imput[[#This Row],[RFC]],'Alta Proveedor'!D:D,'Alta Proveedor'!E:E)=0,"",_xlfn.XLOOKUP(Imput[[#This Row],[RFC]],'Alta Proveedor'!D:D,'Alta Proveedor'!E:E)),"")</f>
        <v/>
      </c>
      <c r="F3572" s="832"/>
      <c r="G3572" s="187"/>
      <c r="H3572" s="1"/>
      <c r="I3572" s="169">
        <f>Imput[[#This Row],[Cantidad]]*Imput[[#This Row],[Precio Unitario]]</f>
        <v>0</v>
      </c>
      <c r="J3572" s="11">
        <f>((Imput[[#This Row],[Sub total]])*(0.16))</f>
        <v>0</v>
      </c>
      <c r="K3572" s="11">
        <v>0</v>
      </c>
      <c r="L3572" s="169">
        <f>Imput[[#This Row],[Sub total]]+Imput[[#This Row],[IVA]]-Imput[[#This Row],[Retención / IEPS / Descuento]]</f>
        <v>0</v>
      </c>
      <c r="M3572" s="844">
        <v>0</v>
      </c>
      <c r="N3572" s="189"/>
      <c r="O3572" s="1"/>
      <c r="P3572" s="189"/>
      <c r="Q3572" s="190"/>
      <c r="R3572" s="188"/>
      <c r="S3572" s="193"/>
      <c r="T3572" s="192"/>
      <c r="U3572" s="829"/>
      <c r="V3572" s="10"/>
      <c r="W3572" s="10"/>
      <c r="X3572" s="10"/>
      <c r="Y3572" s="10"/>
      <c r="Z3572" s="10"/>
      <c r="AA3572" s="11"/>
      <c r="AB3572" s="11"/>
    </row>
    <row r="3573" spans="2:28" x14ac:dyDescent="0.3">
      <c r="B3573" s="10"/>
      <c r="C3573" s="315"/>
      <c r="D3573" s="868"/>
      <c r="E3573" s="837" t="str">
        <f>IFERROR(IF(_xlfn.XLOOKUP(Imput[[#This Row],[RFC]],'Alta Proveedor'!D:D,'Alta Proveedor'!E:E)=0,"",_xlfn.XLOOKUP(Imput[[#This Row],[RFC]],'Alta Proveedor'!D:D,'Alta Proveedor'!E:E)),"")</f>
        <v/>
      </c>
      <c r="F3573" s="832"/>
      <c r="G3573" s="187"/>
      <c r="H3573" s="1"/>
      <c r="I3573" s="169">
        <f>Imput[[#This Row],[Cantidad]]*Imput[[#This Row],[Precio Unitario]]</f>
        <v>0</v>
      </c>
      <c r="J3573" s="11">
        <f>((Imput[[#This Row],[Sub total]])*(0.16))</f>
        <v>0</v>
      </c>
      <c r="K3573" s="11">
        <v>0</v>
      </c>
      <c r="L3573" s="169">
        <f>Imput[[#This Row],[Sub total]]+Imput[[#This Row],[IVA]]-Imput[[#This Row],[Retención / IEPS / Descuento]]</f>
        <v>0</v>
      </c>
      <c r="M3573" s="844">
        <v>0</v>
      </c>
      <c r="N3573" s="189"/>
      <c r="O3573" s="1"/>
      <c r="P3573" s="189"/>
      <c r="Q3573" s="190"/>
      <c r="R3573" s="188"/>
      <c r="S3573" s="193"/>
      <c r="T3573" s="192"/>
      <c r="U3573" s="829"/>
      <c r="V3573" s="10"/>
      <c r="W3573" s="10"/>
      <c r="X3573" s="10"/>
      <c r="Y3573" s="10"/>
      <c r="Z3573" s="10"/>
      <c r="AA3573" s="11"/>
      <c r="AB3573" s="11"/>
    </row>
    <row r="3574" spans="2:28" x14ac:dyDescent="0.3">
      <c r="B3574" s="10"/>
      <c r="C3574" s="315"/>
      <c r="D3574" s="868"/>
      <c r="E3574" s="837" t="str">
        <f>IFERROR(IF(_xlfn.XLOOKUP(Imput[[#This Row],[RFC]],'Alta Proveedor'!D:D,'Alta Proveedor'!E:E)=0,"",_xlfn.XLOOKUP(Imput[[#This Row],[RFC]],'Alta Proveedor'!D:D,'Alta Proveedor'!E:E)),"")</f>
        <v/>
      </c>
      <c r="F3574" s="832"/>
      <c r="G3574" s="187"/>
      <c r="H3574" s="1"/>
      <c r="I3574" s="169">
        <f>Imput[[#This Row],[Cantidad]]*Imput[[#This Row],[Precio Unitario]]</f>
        <v>0</v>
      </c>
      <c r="J3574" s="11">
        <f>((Imput[[#This Row],[Sub total]])*(0.16))</f>
        <v>0</v>
      </c>
      <c r="K3574" s="11">
        <v>0</v>
      </c>
      <c r="L3574" s="169">
        <f>Imput[[#This Row],[Sub total]]+Imput[[#This Row],[IVA]]-Imput[[#This Row],[Retención / IEPS / Descuento]]</f>
        <v>0</v>
      </c>
      <c r="M3574" s="844">
        <v>0</v>
      </c>
      <c r="N3574" s="189"/>
      <c r="O3574" s="1"/>
      <c r="P3574" s="189"/>
      <c r="Q3574" s="190"/>
      <c r="R3574" s="188"/>
      <c r="S3574" s="193"/>
      <c r="T3574" s="192"/>
      <c r="U3574" s="829"/>
      <c r="V3574" s="10"/>
      <c r="W3574" s="10"/>
      <c r="X3574" s="10"/>
      <c r="Y3574" s="10"/>
      <c r="Z3574" s="10"/>
      <c r="AA3574" s="11"/>
      <c r="AB3574" s="11"/>
    </row>
    <row r="3575" spans="2:28" x14ac:dyDescent="0.3">
      <c r="B3575" s="10"/>
      <c r="C3575" s="315"/>
      <c r="D3575" s="868"/>
      <c r="E3575" s="837" t="str">
        <f>IFERROR(IF(_xlfn.XLOOKUP(Imput[[#This Row],[RFC]],'Alta Proveedor'!D:D,'Alta Proveedor'!E:E)=0,"",_xlfn.XLOOKUP(Imput[[#This Row],[RFC]],'Alta Proveedor'!D:D,'Alta Proveedor'!E:E)),"")</f>
        <v/>
      </c>
      <c r="F3575" s="832"/>
      <c r="G3575" s="187"/>
      <c r="H3575" s="1"/>
      <c r="I3575" s="169">
        <f>Imput[[#This Row],[Cantidad]]*Imput[[#This Row],[Precio Unitario]]</f>
        <v>0</v>
      </c>
      <c r="J3575" s="11">
        <f>((Imput[[#This Row],[Sub total]])*(0.16))</f>
        <v>0</v>
      </c>
      <c r="K3575" s="11">
        <v>0</v>
      </c>
      <c r="L3575" s="169">
        <f>Imput[[#This Row],[Sub total]]+Imput[[#This Row],[IVA]]-Imput[[#This Row],[Retención / IEPS / Descuento]]</f>
        <v>0</v>
      </c>
      <c r="M3575" s="844">
        <v>0</v>
      </c>
      <c r="N3575" s="189"/>
      <c r="O3575" s="1"/>
      <c r="P3575" s="189"/>
      <c r="Q3575" s="190"/>
      <c r="R3575" s="188"/>
      <c r="S3575" s="193"/>
      <c r="T3575" s="192"/>
      <c r="U3575" s="829"/>
      <c r="V3575" s="10"/>
      <c r="W3575" s="10"/>
      <c r="X3575" s="10"/>
      <c r="Y3575" s="10"/>
      <c r="Z3575" s="10"/>
      <c r="AA3575" s="11"/>
      <c r="AB3575" s="11"/>
    </row>
    <row r="3576" spans="2:28" x14ac:dyDescent="0.3">
      <c r="B3576" s="10"/>
      <c r="C3576" s="315"/>
      <c r="D3576" s="868"/>
      <c r="E3576" s="837" t="str">
        <f>IFERROR(IF(_xlfn.XLOOKUP(Imput[[#This Row],[RFC]],'Alta Proveedor'!D:D,'Alta Proveedor'!E:E)=0,"",_xlfn.XLOOKUP(Imput[[#This Row],[RFC]],'Alta Proveedor'!D:D,'Alta Proveedor'!E:E)),"")</f>
        <v/>
      </c>
      <c r="F3576" s="832"/>
      <c r="G3576" s="187"/>
      <c r="H3576" s="1"/>
      <c r="I3576" s="169">
        <f>Imput[[#This Row],[Cantidad]]*Imput[[#This Row],[Precio Unitario]]</f>
        <v>0</v>
      </c>
      <c r="J3576" s="11">
        <f>((Imput[[#This Row],[Sub total]])*(0.16))</f>
        <v>0</v>
      </c>
      <c r="K3576" s="11">
        <v>0</v>
      </c>
      <c r="L3576" s="169">
        <f>Imput[[#This Row],[Sub total]]+Imput[[#This Row],[IVA]]-Imput[[#This Row],[Retención / IEPS / Descuento]]</f>
        <v>0</v>
      </c>
      <c r="M3576" s="844">
        <v>0</v>
      </c>
      <c r="N3576" s="189"/>
      <c r="O3576" s="1"/>
      <c r="P3576" s="189"/>
      <c r="Q3576" s="190"/>
      <c r="R3576" s="188"/>
      <c r="S3576" s="193"/>
      <c r="T3576" s="192"/>
      <c r="U3576" s="829"/>
      <c r="V3576" s="10"/>
      <c r="W3576" s="10"/>
      <c r="X3576" s="10"/>
      <c r="Y3576" s="10"/>
      <c r="Z3576" s="10"/>
      <c r="AA3576" s="11"/>
      <c r="AB3576" s="11"/>
    </row>
    <row r="3577" spans="2:28" x14ac:dyDescent="0.3">
      <c r="B3577" s="10"/>
      <c r="C3577" s="315"/>
      <c r="D3577" s="868"/>
      <c r="E3577" s="837" t="str">
        <f>IFERROR(IF(_xlfn.XLOOKUP(Imput[[#This Row],[RFC]],'Alta Proveedor'!D:D,'Alta Proveedor'!E:E)=0,"",_xlfn.XLOOKUP(Imput[[#This Row],[RFC]],'Alta Proveedor'!D:D,'Alta Proveedor'!E:E)),"")</f>
        <v/>
      </c>
      <c r="F3577" s="832"/>
      <c r="G3577" s="187"/>
      <c r="H3577" s="1"/>
      <c r="I3577" s="169">
        <f>Imput[[#This Row],[Cantidad]]*Imput[[#This Row],[Precio Unitario]]</f>
        <v>0</v>
      </c>
      <c r="J3577" s="11">
        <f>((Imput[[#This Row],[Sub total]])*(0.16))</f>
        <v>0</v>
      </c>
      <c r="K3577" s="11">
        <v>0</v>
      </c>
      <c r="L3577" s="169">
        <f>Imput[[#This Row],[Sub total]]+Imput[[#This Row],[IVA]]-Imput[[#This Row],[Retención / IEPS / Descuento]]</f>
        <v>0</v>
      </c>
      <c r="M3577" s="844">
        <v>0</v>
      </c>
      <c r="N3577" s="189"/>
      <c r="O3577" s="1"/>
      <c r="P3577" s="189"/>
      <c r="Q3577" s="190"/>
      <c r="R3577" s="188"/>
      <c r="S3577" s="193"/>
      <c r="T3577" s="192"/>
      <c r="U3577" s="829"/>
      <c r="V3577" s="10"/>
      <c r="W3577" s="10"/>
      <c r="X3577" s="10"/>
      <c r="Y3577" s="10"/>
      <c r="Z3577" s="10"/>
      <c r="AA3577" s="11"/>
      <c r="AB3577" s="11"/>
    </row>
    <row r="3578" spans="2:28" x14ac:dyDescent="0.3">
      <c r="B3578" s="10"/>
      <c r="C3578" s="315"/>
      <c r="D3578" s="868"/>
      <c r="E3578" s="837" t="str">
        <f>IFERROR(IF(_xlfn.XLOOKUP(Imput[[#This Row],[RFC]],'Alta Proveedor'!D:D,'Alta Proveedor'!E:E)=0,"",_xlfn.XLOOKUP(Imput[[#This Row],[RFC]],'Alta Proveedor'!D:D,'Alta Proveedor'!E:E)),"")</f>
        <v/>
      </c>
      <c r="F3578" s="832"/>
      <c r="G3578" s="187"/>
      <c r="H3578" s="1"/>
      <c r="I3578" s="169">
        <f>Imput[[#This Row],[Cantidad]]*Imput[[#This Row],[Precio Unitario]]</f>
        <v>0</v>
      </c>
      <c r="J3578" s="11">
        <f>((Imput[[#This Row],[Sub total]])*(0.16))</f>
        <v>0</v>
      </c>
      <c r="K3578" s="11">
        <v>0</v>
      </c>
      <c r="L3578" s="169">
        <f>Imput[[#This Row],[Sub total]]+Imput[[#This Row],[IVA]]-Imput[[#This Row],[Retención / IEPS / Descuento]]</f>
        <v>0</v>
      </c>
      <c r="M3578" s="844">
        <v>0</v>
      </c>
      <c r="N3578" s="189"/>
      <c r="O3578" s="1"/>
      <c r="P3578" s="189"/>
      <c r="Q3578" s="190"/>
      <c r="R3578" s="188"/>
      <c r="S3578" s="193"/>
      <c r="T3578" s="192"/>
      <c r="U3578" s="829"/>
      <c r="V3578" s="10"/>
      <c r="W3578" s="10"/>
      <c r="X3578" s="10"/>
      <c r="Y3578" s="10"/>
      <c r="Z3578" s="10"/>
      <c r="AA3578" s="11"/>
      <c r="AB3578" s="11"/>
    </row>
    <row r="3579" spans="2:28" x14ac:dyDescent="0.3">
      <c r="B3579" s="10"/>
      <c r="C3579" s="315"/>
      <c r="D3579" s="868"/>
      <c r="E3579" s="837" t="str">
        <f>IFERROR(IF(_xlfn.XLOOKUP(Imput[[#This Row],[RFC]],'Alta Proveedor'!D:D,'Alta Proveedor'!E:E)=0,"",_xlfn.XLOOKUP(Imput[[#This Row],[RFC]],'Alta Proveedor'!D:D,'Alta Proveedor'!E:E)),"")</f>
        <v/>
      </c>
      <c r="F3579" s="832"/>
      <c r="G3579" s="187"/>
      <c r="H3579" s="1"/>
      <c r="I3579" s="169">
        <f>Imput[[#This Row],[Cantidad]]*Imput[[#This Row],[Precio Unitario]]</f>
        <v>0</v>
      </c>
      <c r="J3579" s="11">
        <f>((Imput[[#This Row],[Sub total]])*(0.16))</f>
        <v>0</v>
      </c>
      <c r="K3579" s="11">
        <v>0</v>
      </c>
      <c r="L3579" s="169">
        <f>Imput[[#This Row],[Sub total]]+Imput[[#This Row],[IVA]]-Imput[[#This Row],[Retención / IEPS / Descuento]]</f>
        <v>0</v>
      </c>
      <c r="M3579" s="844">
        <v>0</v>
      </c>
      <c r="N3579" s="189"/>
      <c r="O3579" s="1"/>
      <c r="P3579" s="189"/>
      <c r="Q3579" s="190"/>
      <c r="R3579" s="188"/>
      <c r="S3579" s="193"/>
      <c r="T3579" s="192"/>
      <c r="U3579" s="829"/>
      <c r="V3579" s="10"/>
      <c r="W3579" s="10"/>
      <c r="X3579" s="10"/>
      <c r="Y3579" s="10"/>
      <c r="Z3579" s="10"/>
      <c r="AA3579" s="11"/>
      <c r="AB3579" s="11"/>
    </row>
    <row r="3580" spans="2:28" x14ac:dyDescent="0.3">
      <c r="B3580" s="10"/>
      <c r="C3580" s="315"/>
      <c r="D3580" s="868"/>
      <c r="E3580" s="837" t="str">
        <f>IFERROR(IF(_xlfn.XLOOKUP(Imput[[#This Row],[RFC]],'Alta Proveedor'!D:D,'Alta Proveedor'!E:E)=0,"",_xlfn.XLOOKUP(Imput[[#This Row],[RFC]],'Alta Proveedor'!D:D,'Alta Proveedor'!E:E)),"")</f>
        <v/>
      </c>
      <c r="F3580" s="832"/>
      <c r="G3580" s="187"/>
      <c r="H3580" s="1"/>
      <c r="I3580" s="169">
        <f>Imput[[#This Row],[Cantidad]]*Imput[[#This Row],[Precio Unitario]]</f>
        <v>0</v>
      </c>
      <c r="J3580" s="11">
        <f>((Imput[[#This Row],[Sub total]])*(0.16))</f>
        <v>0</v>
      </c>
      <c r="K3580" s="11">
        <v>0</v>
      </c>
      <c r="L3580" s="169">
        <f>Imput[[#This Row],[Sub total]]+Imput[[#This Row],[IVA]]-Imput[[#This Row],[Retención / IEPS / Descuento]]</f>
        <v>0</v>
      </c>
      <c r="M3580" s="844">
        <v>0</v>
      </c>
      <c r="N3580" s="189"/>
      <c r="O3580" s="1"/>
      <c r="P3580" s="189"/>
      <c r="Q3580" s="190"/>
      <c r="R3580" s="188"/>
      <c r="S3580" s="193"/>
      <c r="T3580" s="192"/>
      <c r="U3580" s="829"/>
      <c r="V3580" s="10"/>
      <c r="W3580" s="10"/>
      <c r="X3580" s="10"/>
      <c r="Y3580" s="10"/>
      <c r="Z3580" s="10"/>
      <c r="AA3580" s="11"/>
      <c r="AB3580" s="11"/>
    </row>
    <row r="3581" spans="2:28" x14ac:dyDescent="0.3">
      <c r="B3581" s="10"/>
      <c r="C3581" s="315"/>
      <c r="D3581" s="868"/>
      <c r="E3581" s="837" t="str">
        <f>IFERROR(IF(_xlfn.XLOOKUP(Imput[[#This Row],[RFC]],'Alta Proveedor'!D:D,'Alta Proveedor'!E:E)=0,"",_xlfn.XLOOKUP(Imput[[#This Row],[RFC]],'Alta Proveedor'!D:D,'Alta Proveedor'!E:E)),"")</f>
        <v/>
      </c>
      <c r="F3581" s="832"/>
      <c r="G3581" s="187"/>
      <c r="H3581" s="1"/>
      <c r="I3581" s="169">
        <f>Imput[[#This Row],[Cantidad]]*Imput[[#This Row],[Precio Unitario]]</f>
        <v>0</v>
      </c>
      <c r="J3581" s="11">
        <f>((Imput[[#This Row],[Sub total]])*(0.16))</f>
        <v>0</v>
      </c>
      <c r="K3581" s="11">
        <v>0</v>
      </c>
      <c r="L3581" s="169">
        <f>Imput[[#This Row],[Sub total]]+Imput[[#This Row],[IVA]]-Imput[[#This Row],[Retención / IEPS / Descuento]]</f>
        <v>0</v>
      </c>
      <c r="M3581" s="844">
        <v>0</v>
      </c>
      <c r="N3581" s="189"/>
      <c r="O3581" s="1"/>
      <c r="P3581" s="189"/>
      <c r="Q3581" s="190"/>
      <c r="R3581" s="188"/>
      <c r="S3581" s="193"/>
      <c r="T3581" s="192"/>
      <c r="U3581" s="829"/>
      <c r="V3581" s="10"/>
      <c r="W3581" s="10"/>
      <c r="X3581" s="10"/>
      <c r="Y3581" s="10"/>
      <c r="Z3581" s="10"/>
      <c r="AA3581" s="11"/>
      <c r="AB3581" s="11"/>
    </row>
    <row r="3582" spans="2:28" x14ac:dyDescent="0.3">
      <c r="B3582" s="10"/>
      <c r="C3582" s="315"/>
      <c r="D3582" s="868"/>
      <c r="E3582" s="837" t="str">
        <f>IFERROR(IF(_xlfn.XLOOKUP(Imput[[#This Row],[RFC]],'Alta Proveedor'!D:D,'Alta Proveedor'!E:E)=0,"",_xlfn.XLOOKUP(Imput[[#This Row],[RFC]],'Alta Proveedor'!D:D,'Alta Proveedor'!E:E)),"")</f>
        <v/>
      </c>
      <c r="F3582" s="832"/>
      <c r="G3582" s="187"/>
      <c r="H3582" s="1"/>
      <c r="I3582" s="169">
        <f>Imput[[#This Row],[Cantidad]]*Imput[[#This Row],[Precio Unitario]]</f>
        <v>0</v>
      </c>
      <c r="J3582" s="11">
        <f>((Imput[[#This Row],[Sub total]])*(0.16))</f>
        <v>0</v>
      </c>
      <c r="K3582" s="11">
        <v>0</v>
      </c>
      <c r="L3582" s="169">
        <f>Imput[[#This Row],[Sub total]]+Imput[[#This Row],[IVA]]-Imput[[#This Row],[Retención / IEPS / Descuento]]</f>
        <v>0</v>
      </c>
      <c r="M3582" s="844">
        <v>0</v>
      </c>
      <c r="N3582" s="189"/>
      <c r="O3582" s="1"/>
      <c r="P3582" s="189"/>
      <c r="Q3582" s="190"/>
      <c r="R3582" s="188"/>
      <c r="S3582" s="193"/>
      <c r="T3582" s="192"/>
      <c r="U3582" s="829"/>
      <c r="V3582" s="10"/>
      <c r="W3582" s="10"/>
      <c r="X3582" s="10"/>
      <c r="Y3582" s="10"/>
      <c r="Z3582" s="10"/>
      <c r="AA3582" s="11"/>
      <c r="AB3582" s="11"/>
    </row>
    <row r="3583" spans="2:28" x14ac:dyDescent="0.3">
      <c r="B3583" s="10"/>
      <c r="C3583" s="315"/>
      <c r="D3583" s="868"/>
      <c r="E3583" s="837" t="str">
        <f>IFERROR(IF(_xlfn.XLOOKUP(Imput[[#This Row],[RFC]],'Alta Proveedor'!D:D,'Alta Proveedor'!E:E)=0,"",_xlfn.XLOOKUP(Imput[[#This Row],[RFC]],'Alta Proveedor'!D:D,'Alta Proveedor'!E:E)),"")</f>
        <v/>
      </c>
      <c r="F3583" s="832"/>
      <c r="G3583" s="187"/>
      <c r="H3583" s="1"/>
      <c r="I3583" s="169">
        <f>Imput[[#This Row],[Cantidad]]*Imput[[#This Row],[Precio Unitario]]</f>
        <v>0</v>
      </c>
      <c r="J3583" s="11">
        <f>((Imput[[#This Row],[Sub total]])*(0.16))</f>
        <v>0</v>
      </c>
      <c r="K3583" s="11">
        <v>0</v>
      </c>
      <c r="L3583" s="169">
        <f>Imput[[#This Row],[Sub total]]+Imput[[#This Row],[IVA]]-Imput[[#This Row],[Retención / IEPS / Descuento]]</f>
        <v>0</v>
      </c>
      <c r="M3583" s="844">
        <v>0</v>
      </c>
      <c r="N3583" s="189"/>
      <c r="O3583" s="1"/>
      <c r="P3583" s="189"/>
      <c r="Q3583" s="190"/>
      <c r="R3583" s="188"/>
      <c r="S3583" s="193"/>
      <c r="T3583" s="192"/>
      <c r="U3583" s="829"/>
      <c r="V3583" s="10"/>
      <c r="W3583" s="10"/>
      <c r="X3583" s="10"/>
      <c r="Y3583" s="10"/>
      <c r="Z3583" s="10"/>
      <c r="AA3583" s="11"/>
      <c r="AB3583" s="11"/>
    </row>
    <row r="3584" spans="2:28" x14ac:dyDescent="0.3">
      <c r="B3584" s="10"/>
      <c r="C3584" s="315"/>
      <c r="D3584" s="868"/>
      <c r="E3584" s="837" t="str">
        <f>IFERROR(IF(_xlfn.XLOOKUP(Imput[[#This Row],[RFC]],'Alta Proveedor'!D:D,'Alta Proveedor'!E:E)=0,"",_xlfn.XLOOKUP(Imput[[#This Row],[RFC]],'Alta Proveedor'!D:D,'Alta Proveedor'!E:E)),"")</f>
        <v/>
      </c>
      <c r="F3584" s="832"/>
      <c r="G3584" s="187"/>
      <c r="H3584" s="1"/>
      <c r="I3584" s="169">
        <f>Imput[[#This Row],[Cantidad]]*Imput[[#This Row],[Precio Unitario]]</f>
        <v>0</v>
      </c>
      <c r="J3584" s="11">
        <f>((Imput[[#This Row],[Sub total]])*(0.16))</f>
        <v>0</v>
      </c>
      <c r="K3584" s="11">
        <v>0</v>
      </c>
      <c r="L3584" s="169">
        <f>Imput[[#This Row],[Sub total]]+Imput[[#This Row],[IVA]]-Imput[[#This Row],[Retención / IEPS / Descuento]]</f>
        <v>0</v>
      </c>
      <c r="M3584" s="844">
        <v>0</v>
      </c>
      <c r="N3584" s="189"/>
      <c r="O3584" s="1"/>
      <c r="P3584" s="189"/>
      <c r="Q3584" s="190"/>
      <c r="R3584" s="188"/>
      <c r="S3584" s="193"/>
      <c r="T3584" s="192"/>
      <c r="U3584" s="829"/>
      <c r="V3584" s="10"/>
      <c r="W3584" s="10"/>
      <c r="X3584" s="10"/>
      <c r="Y3584" s="10"/>
      <c r="Z3584" s="10"/>
      <c r="AA3584" s="11"/>
      <c r="AB3584" s="11"/>
    </row>
    <row r="3585" spans="2:28" x14ac:dyDescent="0.3">
      <c r="B3585" s="10"/>
      <c r="C3585" s="315"/>
      <c r="D3585" s="868"/>
      <c r="E3585" s="837" t="str">
        <f>IFERROR(IF(_xlfn.XLOOKUP(Imput[[#This Row],[RFC]],'Alta Proveedor'!D:D,'Alta Proveedor'!E:E)=0,"",_xlfn.XLOOKUP(Imput[[#This Row],[RFC]],'Alta Proveedor'!D:D,'Alta Proveedor'!E:E)),"")</f>
        <v/>
      </c>
      <c r="F3585" s="832"/>
      <c r="G3585" s="187"/>
      <c r="H3585" s="1"/>
      <c r="I3585" s="169">
        <f>Imput[[#This Row],[Cantidad]]*Imput[[#This Row],[Precio Unitario]]</f>
        <v>0</v>
      </c>
      <c r="J3585" s="11">
        <f>((Imput[[#This Row],[Sub total]])*(0.16))</f>
        <v>0</v>
      </c>
      <c r="K3585" s="11">
        <v>0</v>
      </c>
      <c r="L3585" s="169">
        <f>Imput[[#This Row],[Sub total]]+Imput[[#This Row],[IVA]]-Imput[[#This Row],[Retención / IEPS / Descuento]]</f>
        <v>0</v>
      </c>
      <c r="M3585" s="844">
        <v>0</v>
      </c>
      <c r="N3585" s="189"/>
      <c r="O3585" s="1"/>
      <c r="P3585" s="189"/>
      <c r="Q3585" s="190"/>
      <c r="R3585" s="188"/>
      <c r="S3585" s="193"/>
      <c r="T3585" s="192"/>
      <c r="U3585" s="829"/>
      <c r="V3585" s="10"/>
      <c r="W3585" s="10"/>
      <c r="X3585" s="10"/>
      <c r="Y3585" s="10"/>
      <c r="Z3585" s="10"/>
      <c r="AA3585" s="11"/>
      <c r="AB3585" s="11"/>
    </row>
    <row r="3586" spans="2:28" x14ac:dyDescent="0.3">
      <c r="B3586" s="10"/>
      <c r="C3586" s="315"/>
      <c r="D3586" s="868"/>
      <c r="E3586" s="837" t="str">
        <f>IFERROR(IF(_xlfn.XLOOKUP(Imput[[#This Row],[RFC]],'Alta Proveedor'!D:D,'Alta Proveedor'!E:E)=0,"",_xlfn.XLOOKUP(Imput[[#This Row],[RFC]],'Alta Proveedor'!D:D,'Alta Proveedor'!E:E)),"")</f>
        <v/>
      </c>
      <c r="F3586" s="832"/>
      <c r="G3586" s="187"/>
      <c r="H3586" s="1"/>
      <c r="I3586" s="169">
        <f>Imput[[#This Row],[Cantidad]]*Imput[[#This Row],[Precio Unitario]]</f>
        <v>0</v>
      </c>
      <c r="J3586" s="11">
        <f>((Imput[[#This Row],[Sub total]])*(0.16))</f>
        <v>0</v>
      </c>
      <c r="K3586" s="11">
        <v>0</v>
      </c>
      <c r="L3586" s="169">
        <f>Imput[[#This Row],[Sub total]]+Imput[[#This Row],[IVA]]-Imput[[#This Row],[Retención / IEPS / Descuento]]</f>
        <v>0</v>
      </c>
      <c r="M3586" s="844">
        <v>0</v>
      </c>
      <c r="N3586" s="189"/>
      <c r="O3586" s="1"/>
      <c r="P3586" s="189"/>
      <c r="Q3586" s="190"/>
      <c r="R3586" s="188"/>
      <c r="S3586" s="193"/>
      <c r="T3586" s="192"/>
      <c r="U3586" s="829"/>
      <c r="V3586" s="10"/>
      <c r="W3586" s="10"/>
      <c r="X3586" s="10"/>
      <c r="Y3586" s="10"/>
      <c r="Z3586" s="10"/>
      <c r="AA3586" s="11"/>
      <c r="AB3586" s="11"/>
    </row>
    <row r="3587" spans="2:28" x14ac:dyDescent="0.3">
      <c r="B3587" s="10"/>
      <c r="C3587" s="315"/>
      <c r="D3587" s="868"/>
      <c r="E3587" s="837" t="str">
        <f>IFERROR(IF(_xlfn.XLOOKUP(Imput[[#This Row],[RFC]],'Alta Proveedor'!D:D,'Alta Proveedor'!E:E)=0,"",_xlfn.XLOOKUP(Imput[[#This Row],[RFC]],'Alta Proveedor'!D:D,'Alta Proveedor'!E:E)),"")</f>
        <v/>
      </c>
      <c r="F3587" s="832"/>
      <c r="G3587" s="187"/>
      <c r="H3587" s="1"/>
      <c r="I3587" s="169">
        <f>Imput[[#This Row],[Cantidad]]*Imput[[#This Row],[Precio Unitario]]</f>
        <v>0</v>
      </c>
      <c r="J3587" s="11">
        <f>((Imput[[#This Row],[Sub total]])*(0.16))</f>
        <v>0</v>
      </c>
      <c r="K3587" s="11">
        <v>0</v>
      </c>
      <c r="L3587" s="169">
        <f>Imput[[#This Row],[Sub total]]+Imput[[#This Row],[IVA]]-Imput[[#This Row],[Retención / IEPS / Descuento]]</f>
        <v>0</v>
      </c>
      <c r="M3587" s="844">
        <v>0</v>
      </c>
      <c r="N3587" s="189"/>
      <c r="O3587" s="1"/>
      <c r="P3587" s="189"/>
      <c r="Q3587" s="190"/>
      <c r="R3587" s="188"/>
      <c r="S3587" s="193"/>
      <c r="T3587" s="192"/>
      <c r="U3587" s="829"/>
      <c r="V3587" s="10"/>
      <c r="W3587" s="10"/>
      <c r="X3587" s="10"/>
      <c r="Y3587" s="10"/>
      <c r="Z3587" s="10"/>
      <c r="AA3587" s="11"/>
      <c r="AB3587" s="11"/>
    </row>
    <row r="3588" spans="2:28" x14ac:dyDescent="0.3">
      <c r="B3588" s="10"/>
      <c r="C3588" s="315"/>
      <c r="D3588" s="868"/>
      <c r="E3588" s="837" t="str">
        <f>IFERROR(IF(_xlfn.XLOOKUP(Imput[[#This Row],[RFC]],'Alta Proveedor'!D:D,'Alta Proveedor'!E:E)=0,"",_xlfn.XLOOKUP(Imput[[#This Row],[RFC]],'Alta Proveedor'!D:D,'Alta Proveedor'!E:E)),"")</f>
        <v/>
      </c>
      <c r="F3588" s="832"/>
      <c r="G3588" s="187"/>
      <c r="H3588" s="1"/>
      <c r="I3588" s="169">
        <f>Imput[[#This Row],[Cantidad]]*Imput[[#This Row],[Precio Unitario]]</f>
        <v>0</v>
      </c>
      <c r="J3588" s="11">
        <f>((Imput[[#This Row],[Sub total]])*(0.16))</f>
        <v>0</v>
      </c>
      <c r="K3588" s="11">
        <v>0</v>
      </c>
      <c r="L3588" s="169">
        <f>Imput[[#This Row],[Sub total]]+Imput[[#This Row],[IVA]]-Imput[[#This Row],[Retención / IEPS / Descuento]]</f>
        <v>0</v>
      </c>
      <c r="M3588" s="844">
        <v>0</v>
      </c>
      <c r="N3588" s="189"/>
      <c r="O3588" s="1"/>
      <c r="P3588" s="189"/>
      <c r="Q3588" s="190"/>
      <c r="R3588" s="188"/>
      <c r="S3588" s="193"/>
      <c r="T3588" s="192"/>
      <c r="U3588" s="829"/>
      <c r="V3588" s="10"/>
      <c r="W3588" s="10"/>
      <c r="X3588" s="10"/>
      <c r="Y3588" s="10"/>
      <c r="Z3588" s="10"/>
      <c r="AA3588" s="11"/>
      <c r="AB3588" s="11"/>
    </row>
    <row r="3589" spans="2:28" x14ac:dyDescent="0.3">
      <c r="B3589" s="10"/>
      <c r="C3589" s="315"/>
      <c r="D3589" s="868"/>
      <c r="E3589" s="837" t="str">
        <f>IFERROR(IF(_xlfn.XLOOKUP(Imput[[#This Row],[RFC]],'Alta Proveedor'!D:D,'Alta Proveedor'!E:E)=0,"",_xlfn.XLOOKUP(Imput[[#This Row],[RFC]],'Alta Proveedor'!D:D,'Alta Proveedor'!E:E)),"")</f>
        <v/>
      </c>
      <c r="F3589" s="832"/>
      <c r="G3589" s="187"/>
      <c r="H3589" s="1"/>
      <c r="I3589" s="169">
        <f>Imput[[#This Row],[Cantidad]]*Imput[[#This Row],[Precio Unitario]]</f>
        <v>0</v>
      </c>
      <c r="J3589" s="11">
        <f>((Imput[[#This Row],[Sub total]])*(0.16))</f>
        <v>0</v>
      </c>
      <c r="K3589" s="11">
        <v>0</v>
      </c>
      <c r="L3589" s="169">
        <f>Imput[[#This Row],[Sub total]]+Imput[[#This Row],[IVA]]-Imput[[#This Row],[Retención / IEPS / Descuento]]</f>
        <v>0</v>
      </c>
      <c r="M3589" s="844">
        <v>0</v>
      </c>
      <c r="N3589" s="189"/>
      <c r="O3589" s="1"/>
      <c r="P3589" s="189"/>
      <c r="Q3589" s="190"/>
      <c r="R3589" s="188"/>
      <c r="S3589" s="193"/>
      <c r="T3589" s="192"/>
      <c r="U3589" s="829"/>
      <c r="V3589" s="10"/>
      <c r="W3589" s="10"/>
      <c r="X3589" s="10"/>
      <c r="Y3589" s="10"/>
      <c r="Z3589" s="10"/>
      <c r="AA3589" s="11"/>
      <c r="AB3589" s="11"/>
    </row>
    <row r="3590" spans="2:28" x14ac:dyDescent="0.3">
      <c r="B3590" s="10"/>
      <c r="C3590" s="315"/>
      <c r="D3590" s="868"/>
      <c r="E3590" s="837" t="str">
        <f>IFERROR(IF(_xlfn.XLOOKUP(Imput[[#This Row],[RFC]],'Alta Proveedor'!D:D,'Alta Proveedor'!E:E)=0,"",_xlfn.XLOOKUP(Imput[[#This Row],[RFC]],'Alta Proveedor'!D:D,'Alta Proveedor'!E:E)),"")</f>
        <v/>
      </c>
      <c r="F3590" s="832"/>
      <c r="G3590" s="187"/>
      <c r="H3590" s="1"/>
      <c r="I3590" s="169">
        <f>Imput[[#This Row],[Cantidad]]*Imput[[#This Row],[Precio Unitario]]</f>
        <v>0</v>
      </c>
      <c r="J3590" s="11">
        <f>((Imput[[#This Row],[Sub total]])*(0.16))</f>
        <v>0</v>
      </c>
      <c r="K3590" s="11">
        <v>0</v>
      </c>
      <c r="L3590" s="169">
        <f>Imput[[#This Row],[Sub total]]+Imput[[#This Row],[IVA]]-Imput[[#This Row],[Retención / IEPS / Descuento]]</f>
        <v>0</v>
      </c>
      <c r="M3590" s="844">
        <v>0</v>
      </c>
      <c r="N3590" s="189"/>
      <c r="O3590" s="1"/>
      <c r="P3590" s="189"/>
      <c r="Q3590" s="190"/>
      <c r="R3590" s="188"/>
      <c r="S3590" s="193"/>
      <c r="T3590" s="192"/>
      <c r="U3590" s="829"/>
      <c r="V3590" s="10"/>
      <c r="W3590" s="10"/>
      <c r="X3590" s="10"/>
      <c r="Y3590" s="10"/>
      <c r="Z3590" s="10"/>
      <c r="AA3590" s="11"/>
      <c r="AB3590" s="11"/>
    </row>
    <row r="3591" spans="2:28" x14ac:dyDescent="0.3">
      <c r="B3591" s="10"/>
      <c r="C3591" s="315"/>
      <c r="D3591" s="868"/>
      <c r="E3591" s="837" t="str">
        <f>IFERROR(IF(_xlfn.XLOOKUP(Imput[[#This Row],[RFC]],'Alta Proveedor'!D:D,'Alta Proveedor'!E:E)=0,"",_xlfn.XLOOKUP(Imput[[#This Row],[RFC]],'Alta Proveedor'!D:D,'Alta Proveedor'!E:E)),"")</f>
        <v/>
      </c>
      <c r="F3591" s="832"/>
      <c r="G3591" s="187"/>
      <c r="H3591" s="1"/>
      <c r="I3591" s="169">
        <f>Imput[[#This Row],[Cantidad]]*Imput[[#This Row],[Precio Unitario]]</f>
        <v>0</v>
      </c>
      <c r="J3591" s="11">
        <f>((Imput[[#This Row],[Sub total]])*(0.16))</f>
        <v>0</v>
      </c>
      <c r="K3591" s="11">
        <v>0</v>
      </c>
      <c r="L3591" s="169">
        <f>Imput[[#This Row],[Sub total]]+Imput[[#This Row],[IVA]]-Imput[[#This Row],[Retención / IEPS / Descuento]]</f>
        <v>0</v>
      </c>
      <c r="M3591" s="844">
        <v>0</v>
      </c>
      <c r="N3591" s="189"/>
      <c r="O3591" s="1"/>
      <c r="P3591" s="189"/>
      <c r="Q3591" s="190"/>
      <c r="R3591" s="188"/>
      <c r="S3591" s="193"/>
      <c r="T3591" s="192"/>
      <c r="U3591" s="829"/>
      <c r="V3591" s="10"/>
      <c r="W3591" s="10"/>
      <c r="X3591" s="10"/>
      <c r="Y3591" s="10"/>
      <c r="Z3591" s="10"/>
      <c r="AA3591" s="11"/>
      <c r="AB3591" s="11"/>
    </row>
    <row r="3592" spans="2:28" x14ac:dyDescent="0.3">
      <c r="B3592" s="10"/>
      <c r="C3592" s="315"/>
      <c r="D3592" s="868"/>
      <c r="E3592" s="837" t="str">
        <f>IFERROR(IF(_xlfn.XLOOKUP(Imput[[#This Row],[RFC]],'Alta Proveedor'!D:D,'Alta Proveedor'!E:E)=0,"",_xlfn.XLOOKUP(Imput[[#This Row],[RFC]],'Alta Proveedor'!D:D,'Alta Proveedor'!E:E)),"")</f>
        <v/>
      </c>
      <c r="F3592" s="832"/>
      <c r="G3592" s="187"/>
      <c r="H3592" s="1"/>
      <c r="I3592" s="169">
        <f>Imput[[#This Row],[Cantidad]]*Imput[[#This Row],[Precio Unitario]]</f>
        <v>0</v>
      </c>
      <c r="J3592" s="11">
        <f>((Imput[[#This Row],[Sub total]])*(0.16))</f>
        <v>0</v>
      </c>
      <c r="K3592" s="11">
        <v>0</v>
      </c>
      <c r="L3592" s="169">
        <f>Imput[[#This Row],[Sub total]]+Imput[[#This Row],[IVA]]-Imput[[#This Row],[Retención / IEPS / Descuento]]</f>
        <v>0</v>
      </c>
      <c r="M3592" s="844">
        <v>0</v>
      </c>
      <c r="N3592" s="189"/>
      <c r="O3592" s="1"/>
      <c r="P3592" s="189"/>
      <c r="Q3592" s="190"/>
      <c r="R3592" s="188"/>
      <c r="S3592" s="193"/>
      <c r="T3592" s="192"/>
      <c r="U3592" s="829"/>
      <c r="V3592" s="10"/>
      <c r="W3592" s="10"/>
      <c r="X3592" s="10"/>
      <c r="Y3592" s="10"/>
      <c r="Z3592" s="10"/>
      <c r="AA3592" s="11"/>
      <c r="AB3592" s="11"/>
    </row>
    <row r="3593" spans="2:28" x14ac:dyDescent="0.3">
      <c r="B3593" s="10"/>
      <c r="C3593" s="315"/>
      <c r="D3593" s="868"/>
      <c r="E3593" s="837" t="str">
        <f>IFERROR(IF(_xlfn.XLOOKUP(Imput[[#This Row],[RFC]],'Alta Proveedor'!D:D,'Alta Proveedor'!E:E)=0,"",_xlfn.XLOOKUP(Imput[[#This Row],[RFC]],'Alta Proveedor'!D:D,'Alta Proveedor'!E:E)),"")</f>
        <v/>
      </c>
      <c r="F3593" s="832"/>
      <c r="G3593" s="187"/>
      <c r="H3593" s="1"/>
      <c r="I3593" s="169">
        <f>Imput[[#This Row],[Cantidad]]*Imput[[#This Row],[Precio Unitario]]</f>
        <v>0</v>
      </c>
      <c r="J3593" s="11">
        <f>((Imput[[#This Row],[Sub total]])*(0.16))</f>
        <v>0</v>
      </c>
      <c r="K3593" s="11">
        <v>0</v>
      </c>
      <c r="L3593" s="169">
        <f>Imput[[#This Row],[Sub total]]+Imput[[#This Row],[IVA]]-Imput[[#This Row],[Retención / IEPS / Descuento]]</f>
        <v>0</v>
      </c>
      <c r="M3593" s="844">
        <v>0</v>
      </c>
      <c r="N3593" s="189"/>
      <c r="O3593" s="1"/>
      <c r="P3593" s="189"/>
      <c r="Q3593" s="190"/>
      <c r="R3593" s="188"/>
      <c r="S3593" s="193"/>
      <c r="T3593" s="192"/>
      <c r="U3593" s="829"/>
      <c r="V3593" s="10"/>
      <c r="W3593" s="10"/>
      <c r="X3593" s="10"/>
      <c r="Y3593" s="10"/>
      <c r="Z3593" s="10"/>
      <c r="AA3593" s="11"/>
      <c r="AB3593" s="11"/>
    </row>
    <row r="3594" spans="2:28" x14ac:dyDescent="0.3">
      <c r="B3594" s="10"/>
      <c r="C3594" s="315"/>
      <c r="D3594" s="868"/>
      <c r="E3594" s="837" t="str">
        <f>IFERROR(IF(_xlfn.XLOOKUP(Imput[[#This Row],[RFC]],'Alta Proveedor'!D:D,'Alta Proveedor'!E:E)=0,"",_xlfn.XLOOKUP(Imput[[#This Row],[RFC]],'Alta Proveedor'!D:D,'Alta Proveedor'!E:E)),"")</f>
        <v/>
      </c>
      <c r="F3594" s="832"/>
      <c r="G3594" s="187"/>
      <c r="H3594" s="1"/>
      <c r="I3594" s="169">
        <f>Imput[[#This Row],[Cantidad]]*Imput[[#This Row],[Precio Unitario]]</f>
        <v>0</v>
      </c>
      <c r="J3594" s="11">
        <f>((Imput[[#This Row],[Sub total]])*(0.16))</f>
        <v>0</v>
      </c>
      <c r="K3594" s="11">
        <v>0</v>
      </c>
      <c r="L3594" s="169">
        <f>Imput[[#This Row],[Sub total]]+Imput[[#This Row],[IVA]]-Imput[[#This Row],[Retención / IEPS / Descuento]]</f>
        <v>0</v>
      </c>
      <c r="M3594" s="844">
        <v>0</v>
      </c>
      <c r="N3594" s="189"/>
      <c r="O3594" s="1"/>
      <c r="P3594" s="189"/>
      <c r="Q3594" s="190"/>
      <c r="R3594" s="188"/>
      <c r="S3594" s="193"/>
      <c r="T3594" s="192"/>
      <c r="U3594" s="829"/>
      <c r="V3594" s="10"/>
      <c r="W3594" s="10"/>
      <c r="X3594" s="10"/>
      <c r="Y3594" s="10"/>
      <c r="Z3594" s="10"/>
      <c r="AA3594" s="11"/>
      <c r="AB3594" s="11"/>
    </row>
    <row r="3595" spans="2:28" x14ac:dyDescent="0.3">
      <c r="B3595" s="10"/>
      <c r="C3595" s="315"/>
      <c r="D3595" s="868"/>
      <c r="E3595" s="837" t="str">
        <f>IFERROR(IF(_xlfn.XLOOKUP(Imput[[#This Row],[RFC]],'Alta Proveedor'!D:D,'Alta Proveedor'!E:E)=0,"",_xlfn.XLOOKUP(Imput[[#This Row],[RFC]],'Alta Proveedor'!D:D,'Alta Proveedor'!E:E)),"")</f>
        <v/>
      </c>
      <c r="F3595" s="832"/>
      <c r="G3595" s="187"/>
      <c r="H3595" s="1"/>
      <c r="I3595" s="169">
        <f>Imput[[#This Row],[Cantidad]]*Imput[[#This Row],[Precio Unitario]]</f>
        <v>0</v>
      </c>
      <c r="J3595" s="11">
        <f>((Imput[[#This Row],[Sub total]])*(0.16))</f>
        <v>0</v>
      </c>
      <c r="K3595" s="11">
        <v>0</v>
      </c>
      <c r="L3595" s="169">
        <f>Imput[[#This Row],[Sub total]]+Imput[[#This Row],[IVA]]-Imput[[#This Row],[Retención / IEPS / Descuento]]</f>
        <v>0</v>
      </c>
      <c r="M3595" s="844">
        <v>0</v>
      </c>
      <c r="N3595" s="189"/>
      <c r="O3595" s="1"/>
      <c r="P3595" s="189"/>
      <c r="Q3595" s="190"/>
      <c r="R3595" s="188"/>
      <c r="S3595" s="193"/>
      <c r="T3595" s="192"/>
      <c r="U3595" s="829"/>
      <c r="V3595" s="10"/>
      <c r="W3595" s="10"/>
      <c r="X3595" s="10"/>
      <c r="Y3595" s="10"/>
      <c r="Z3595" s="10"/>
      <c r="AA3595" s="11"/>
      <c r="AB3595" s="11"/>
    </row>
    <row r="3596" spans="2:28" x14ac:dyDescent="0.3">
      <c r="B3596" s="10"/>
      <c r="C3596" s="315"/>
      <c r="D3596" s="868"/>
      <c r="E3596" s="837" t="str">
        <f>IFERROR(IF(_xlfn.XLOOKUP(Imput[[#This Row],[RFC]],'Alta Proveedor'!D:D,'Alta Proveedor'!E:E)=0,"",_xlfn.XLOOKUP(Imput[[#This Row],[RFC]],'Alta Proveedor'!D:D,'Alta Proveedor'!E:E)),"")</f>
        <v/>
      </c>
      <c r="F3596" s="832"/>
      <c r="G3596" s="187"/>
      <c r="H3596" s="1"/>
      <c r="I3596" s="169">
        <f>Imput[[#This Row],[Cantidad]]*Imput[[#This Row],[Precio Unitario]]</f>
        <v>0</v>
      </c>
      <c r="J3596" s="11">
        <f>((Imput[[#This Row],[Sub total]])*(0.16))</f>
        <v>0</v>
      </c>
      <c r="K3596" s="11">
        <v>0</v>
      </c>
      <c r="L3596" s="169">
        <f>Imput[[#This Row],[Sub total]]+Imput[[#This Row],[IVA]]-Imput[[#This Row],[Retención / IEPS / Descuento]]</f>
        <v>0</v>
      </c>
      <c r="M3596" s="844">
        <v>0</v>
      </c>
      <c r="N3596" s="189"/>
      <c r="O3596" s="1"/>
      <c r="P3596" s="189"/>
      <c r="Q3596" s="190"/>
      <c r="R3596" s="188"/>
      <c r="S3596" s="193"/>
      <c r="T3596" s="192"/>
      <c r="U3596" s="829"/>
      <c r="V3596" s="10"/>
      <c r="W3596" s="10"/>
      <c r="X3596" s="10"/>
      <c r="Y3596" s="10"/>
      <c r="Z3596" s="10"/>
      <c r="AA3596" s="11"/>
      <c r="AB3596" s="11"/>
    </row>
    <row r="3597" spans="2:28" x14ac:dyDescent="0.3">
      <c r="B3597" s="10"/>
      <c r="C3597" s="315"/>
      <c r="D3597" s="868"/>
      <c r="E3597" s="837" t="str">
        <f>IFERROR(IF(_xlfn.XLOOKUP(Imput[[#This Row],[RFC]],'Alta Proveedor'!D:D,'Alta Proveedor'!E:E)=0,"",_xlfn.XLOOKUP(Imput[[#This Row],[RFC]],'Alta Proveedor'!D:D,'Alta Proveedor'!E:E)),"")</f>
        <v/>
      </c>
      <c r="F3597" s="832"/>
      <c r="G3597" s="187"/>
      <c r="H3597" s="1"/>
      <c r="I3597" s="169">
        <f>Imput[[#This Row],[Cantidad]]*Imput[[#This Row],[Precio Unitario]]</f>
        <v>0</v>
      </c>
      <c r="J3597" s="11">
        <f>((Imput[[#This Row],[Sub total]])*(0.16))</f>
        <v>0</v>
      </c>
      <c r="K3597" s="11">
        <v>0</v>
      </c>
      <c r="L3597" s="169">
        <f>Imput[[#This Row],[Sub total]]+Imput[[#This Row],[IVA]]-Imput[[#This Row],[Retención / IEPS / Descuento]]</f>
        <v>0</v>
      </c>
      <c r="M3597" s="844">
        <v>0</v>
      </c>
      <c r="N3597" s="189"/>
      <c r="O3597" s="1"/>
      <c r="P3597" s="189"/>
      <c r="Q3597" s="190"/>
      <c r="R3597" s="188"/>
      <c r="S3597" s="193"/>
      <c r="T3597" s="192"/>
      <c r="U3597" s="829"/>
      <c r="V3597" s="10"/>
      <c r="W3597" s="10"/>
      <c r="X3597" s="10"/>
      <c r="Y3597" s="10"/>
      <c r="Z3597" s="10"/>
      <c r="AA3597" s="11"/>
      <c r="AB3597" s="11"/>
    </row>
    <row r="3598" spans="2:28" x14ac:dyDescent="0.3">
      <c r="B3598" s="10"/>
      <c r="C3598" s="315"/>
      <c r="D3598" s="868"/>
      <c r="E3598" s="837" t="str">
        <f>IFERROR(IF(_xlfn.XLOOKUP(Imput[[#This Row],[RFC]],'Alta Proveedor'!D:D,'Alta Proveedor'!E:E)=0,"",_xlfn.XLOOKUP(Imput[[#This Row],[RFC]],'Alta Proveedor'!D:D,'Alta Proveedor'!E:E)),"")</f>
        <v/>
      </c>
      <c r="F3598" s="832"/>
      <c r="G3598" s="187"/>
      <c r="H3598" s="1"/>
      <c r="I3598" s="169">
        <f>Imput[[#This Row],[Cantidad]]*Imput[[#This Row],[Precio Unitario]]</f>
        <v>0</v>
      </c>
      <c r="J3598" s="11">
        <f>((Imput[[#This Row],[Sub total]])*(0.16))</f>
        <v>0</v>
      </c>
      <c r="K3598" s="11">
        <v>0</v>
      </c>
      <c r="L3598" s="169">
        <f>Imput[[#This Row],[Sub total]]+Imput[[#This Row],[IVA]]-Imput[[#This Row],[Retención / IEPS / Descuento]]</f>
        <v>0</v>
      </c>
      <c r="M3598" s="844">
        <v>0</v>
      </c>
      <c r="N3598" s="189"/>
      <c r="O3598" s="1"/>
      <c r="P3598" s="189"/>
      <c r="Q3598" s="190"/>
      <c r="R3598" s="188"/>
      <c r="S3598" s="193"/>
      <c r="T3598" s="192"/>
      <c r="U3598" s="829"/>
      <c r="V3598" s="10"/>
      <c r="W3598" s="10"/>
      <c r="X3598" s="10"/>
      <c r="Y3598" s="10"/>
      <c r="Z3598" s="10"/>
      <c r="AA3598" s="11"/>
      <c r="AB3598" s="11"/>
    </row>
    <row r="3599" spans="2:28" x14ac:dyDescent="0.3">
      <c r="B3599" s="10"/>
      <c r="C3599" s="315"/>
      <c r="D3599" s="868"/>
      <c r="E3599" s="837" t="str">
        <f>IFERROR(IF(_xlfn.XLOOKUP(Imput[[#This Row],[RFC]],'Alta Proveedor'!D:D,'Alta Proveedor'!E:E)=0,"",_xlfn.XLOOKUP(Imput[[#This Row],[RFC]],'Alta Proveedor'!D:D,'Alta Proveedor'!E:E)),"")</f>
        <v/>
      </c>
      <c r="F3599" s="832"/>
      <c r="G3599" s="187"/>
      <c r="H3599" s="1"/>
      <c r="I3599" s="169">
        <f>Imput[[#This Row],[Cantidad]]*Imput[[#This Row],[Precio Unitario]]</f>
        <v>0</v>
      </c>
      <c r="J3599" s="11">
        <f>((Imput[[#This Row],[Sub total]])*(0.16))</f>
        <v>0</v>
      </c>
      <c r="K3599" s="11">
        <v>0</v>
      </c>
      <c r="L3599" s="169">
        <f>Imput[[#This Row],[Sub total]]+Imput[[#This Row],[IVA]]-Imput[[#This Row],[Retención / IEPS / Descuento]]</f>
        <v>0</v>
      </c>
      <c r="M3599" s="844">
        <v>0</v>
      </c>
      <c r="N3599" s="189"/>
      <c r="O3599" s="1"/>
      <c r="P3599" s="189"/>
      <c r="Q3599" s="190"/>
      <c r="R3599" s="188"/>
      <c r="S3599" s="193"/>
      <c r="T3599" s="192"/>
      <c r="U3599" s="829"/>
      <c r="V3599" s="10"/>
      <c r="W3599" s="10"/>
      <c r="X3599" s="10"/>
      <c r="Y3599" s="10"/>
      <c r="Z3599" s="10"/>
      <c r="AA3599" s="11"/>
      <c r="AB3599" s="11"/>
    </row>
    <row r="3600" spans="2:28" x14ac:dyDescent="0.3">
      <c r="B3600" s="10"/>
      <c r="C3600" s="315"/>
      <c r="D3600" s="868"/>
      <c r="E3600" s="837" t="str">
        <f>IFERROR(IF(_xlfn.XLOOKUP(Imput[[#This Row],[RFC]],'Alta Proveedor'!D:D,'Alta Proveedor'!E:E)=0,"",_xlfn.XLOOKUP(Imput[[#This Row],[RFC]],'Alta Proveedor'!D:D,'Alta Proveedor'!E:E)),"")</f>
        <v/>
      </c>
      <c r="F3600" s="832"/>
      <c r="G3600" s="187"/>
      <c r="H3600" s="1"/>
      <c r="I3600" s="169">
        <f>Imput[[#This Row],[Cantidad]]*Imput[[#This Row],[Precio Unitario]]</f>
        <v>0</v>
      </c>
      <c r="J3600" s="11">
        <f>((Imput[[#This Row],[Sub total]])*(0.16))</f>
        <v>0</v>
      </c>
      <c r="K3600" s="11">
        <v>0</v>
      </c>
      <c r="L3600" s="169">
        <f>Imput[[#This Row],[Sub total]]+Imput[[#This Row],[IVA]]-Imput[[#This Row],[Retención / IEPS / Descuento]]</f>
        <v>0</v>
      </c>
      <c r="M3600" s="844">
        <v>0</v>
      </c>
      <c r="N3600" s="189"/>
      <c r="O3600" s="1"/>
      <c r="P3600" s="189"/>
      <c r="Q3600" s="190"/>
      <c r="R3600" s="188"/>
      <c r="S3600" s="193"/>
      <c r="T3600" s="192"/>
      <c r="U3600" s="829"/>
      <c r="V3600" s="10"/>
      <c r="W3600" s="10"/>
      <c r="X3600" s="10"/>
      <c r="Y3600" s="10"/>
      <c r="Z3600" s="10"/>
      <c r="AA3600" s="11"/>
      <c r="AB3600" s="11"/>
    </row>
    <row r="3601" spans="2:28" x14ac:dyDescent="0.3">
      <c r="B3601" s="10"/>
      <c r="C3601" s="315"/>
      <c r="D3601" s="868"/>
      <c r="E3601" s="837" t="str">
        <f>IFERROR(IF(_xlfn.XLOOKUP(Imput[[#This Row],[RFC]],'Alta Proveedor'!D:D,'Alta Proveedor'!E:E)=0,"",_xlfn.XLOOKUP(Imput[[#This Row],[RFC]],'Alta Proveedor'!D:D,'Alta Proveedor'!E:E)),"")</f>
        <v/>
      </c>
      <c r="F3601" s="832"/>
      <c r="G3601" s="187"/>
      <c r="H3601" s="1"/>
      <c r="I3601" s="169">
        <f>Imput[[#This Row],[Cantidad]]*Imput[[#This Row],[Precio Unitario]]</f>
        <v>0</v>
      </c>
      <c r="J3601" s="11">
        <f>((Imput[[#This Row],[Sub total]])*(0.16))</f>
        <v>0</v>
      </c>
      <c r="K3601" s="11">
        <v>0</v>
      </c>
      <c r="L3601" s="169">
        <f>Imput[[#This Row],[Sub total]]+Imput[[#This Row],[IVA]]-Imput[[#This Row],[Retención / IEPS / Descuento]]</f>
        <v>0</v>
      </c>
      <c r="M3601" s="844">
        <v>0</v>
      </c>
      <c r="N3601" s="189"/>
      <c r="O3601" s="1"/>
      <c r="P3601" s="189"/>
      <c r="Q3601" s="190"/>
      <c r="R3601" s="188"/>
      <c r="S3601" s="193"/>
      <c r="T3601" s="192"/>
      <c r="U3601" s="829"/>
      <c r="V3601" s="10"/>
      <c r="W3601" s="10"/>
      <c r="X3601" s="10"/>
      <c r="Y3601" s="10"/>
      <c r="Z3601" s="10"/>
      <c r="AA3601" s="11"/>
      <c r="AB3601" s="11"/>
    </row>
    <row r="3602" spans="2:28" x14ac:dyDescent="0.3">
      <c r="B3602" s="10"/>
      <c r="C3602" s="315"/>
      <c r="D3602" s="868"/>
      <c r="E3602" s="837" t="str">
        <f>IFERROR(IF(_xlfn.XLOOKUP(Imput[[#This Row],[RFC]],'Alta Proveedor'!D:D,'Alta Proveedor'!E:E)=0,"",_xlfn.XLOOKUP(Imput[[#This Row],[RFC]],'Alta Proveedor'!D:D,'Alta Proveedor'!E:E)),"")</f>
        <v/>
      </c>
      <c r="F3602" s="832"/>
      <c r="G3602" s="187"/>
      <c r="H3602" s="1"/>
      <c r="I3602" s="169">
        <f>Imput[[#This Row],[Cantidad]]*Imput[[#This Row],[Precio Unitario]]</f>
        <v>0</v>
      </c>
      <c r="J3602" s="11">
        <f>((Imput[[#This Row],[Sub total]])*(0.16))</f>
        <v>0</v>
      </c>
      <c r="K3602" s="11">
        <v>0</v>
      </c>
      <c r="L3602" s="169">
        <f>Imput[[#This Row],[Sub total]]+Imput[[#This Row],[IVA]]-Imput[[#This Row],[Retención / IEPS / Descuento]]</f>
        <v>0</v>
      </c>
      <c r="M3602" s="844">
        <v>0</v>
      </c>
      <c r="N3602" s="189"/>
      <c r="O3602" s="1"/>
      <c r="P3602" s="189"/>
      <c r="Q3602" s="190"/>
      <c r="R3602" s="188"/>
      <c r="S3602" s="193"/>
      <c r="T3602" s="192"/>
      <c r="U3602" s="829"/>
      <c r="V3602" s="10"/>
      <c r="W3602" s="10"/>
      <c r="X3602" s="10"/>
      <c r="Y3602" s="10"/>
      <c r="Z3602" s="10"/>
      <c r="AA3602" s="11"/>
      <c r="AB3602" s="11"/>
    </row>
    <row r="3603" spans="2:28" x14ac:dyDescent="0.3">
      <c r="B3603" s="10"/>
      <c r="C3603" s="315"/>
      <c r="D3603" s="868"/>
      <c r="E3603" s="837" t="str">
        <f>IFERROR(IF(_xlfn.XLOOKUP(Imput[[#This Row],[RFC]],'Alta Proveedor'!D:D,'Alta Proveedor'!E:E)=0,"",_xlfn.XLOOKUP(Imput[[#This Row],[RFC]],'Alta Proveedor'!D:D,'Alta Proveedor'!E:E)),"")</f>
        <v/>
      </c>
      <c r="F3603" s="832"/>
      <c r="G3603" s="187"/>
      <c r="H3603" s="1"/>
      <c r="I3603" s="169">
        <f>Imput[[#This Row],[Cantidad]]*Imput[[#This Row],[Precio Unitario]]</f>
        <v>0</v>
      </c>
      <c r="J3603" s="11">
        <f>((Imput[[#This Row],[Sub total]])*(0.16))</f>
        <v>0</v>
      </c>
      <c r="K3603" s="11">
        <v>0</v>
      </c>
      <c r="L3603" s="169">
        <f>Imput[[#This Row],[Sub total]]+Imput[[#This Row],[IVA]]-Imput[[#This Row],[Retención / IEPS / Descuento]]</f>
        <v>0</v>
      </c>
      <c r="M3603" s="844">
        <v>0</v>
      </c>
      <c r="N3603" s="189"/>
      <c r="O3603" s="1"/>
      <c r="P3603" s="189"/>
      <c r="Q3603" s="190"/>
      <c r="R3603" s="188"/>
      <c r="S3603" s="193"/>
      <c r="T3603" s="192"/>
      <c r="U3603" s="829"/>
      <c r="V3603" s="10"/>
      <c r="W3603" s="10"/>
      <c r="X3603" s="10"/>
      <c r="Y3603" s="10"/>
      <c r="Z3603" s="10"/>
      <c r="AA3603" s="11"/>
      <c r="AB3603" s="11"/>
    </row>
    <row r="3604" spans="2:28" x14ac:dyDescent="0.3">
      <c r="B3604" s="10"/>
      <c r="C3604" s="315"/>
      <c r="D3604" s="868"/>
      <c r="E3604" s="837" t="str">
        <f>IFERROR(IF(_xlfn.XLOOKUP(Imput[[#This Row],[RFC]],'Alta Proveedor'!D:D,'Alta Proveedor'!E:E)=0,"",_xlfn.XLOOKUP(Imput[[#This Row],[RFC]],'Alta Proveedor'!D:D,'Alta Proveedor'!E:E)),"")</f>
        <v/>
      </c>
      <c r="F3604" s="832"/>
      <c r="G3604" s="187"/>
      <c r="H3604" s="1"/>
      <c r="I3604" s="169">
        <f>Imput[[#This Row],[Cantidad]]*Imput[[#This Row],[Precio Unitario]]</f>
        <v>0</v>
      </c>
      <c r="J3604" s="11">
        <f>((Imput[[#This Row],[Sub total]])*(0.16))</f>
        <v>0</v>
      </c>
      <c r="K3604" s="11">
        <v>0</v>
      </c>
      <c r="L3604" s="169">
        <f>Imput[[#This Row],[Sub total]]+Imput[[#This Row],[IVA]]-Imput[[#This Row],[Retención / IEPS / Descuento]]</f>
        <v>0</v>
      </c>
      <c r="M3604" s="844">
        <v>0</v>
      </c>
      <c r="N3604" s="189"/>
      <c r="O3604" s="1"/>
      <c r="P3604" s="189"/>
      <c r="Q3604" s="190"/>
      <c r="R3604" s="188"/>
      <c r="S3604" s="193"/>
      <c r="T3604" s="192"/>
      <c r="U3604" s="829"/>
      <c r="V3604" s="10"/>
      <c r="W3604" s="10"/>
      <c r="X3604" s="10"/>
      <c r="Y3604" s="10"/>
      <c r="Z3604" s="10"/>
      <c r="AA3604" s="11"/>
      <c r="AB3604" s="11"/>
    </row>
    <row r="3605" spans="2:28" x14ac:dyDescent="0.3">
      <c r="B3605" s="10"/>
      <c r="C3605" s="315"/>
      <c r="D3605" s="868"/>
      <c r="E3605" s="837" t="str">
        <f>IFERROR(IF(_xlfn.XLOOKUP(Imput[[#This Row],[RFC]],'Alta Proveedor'!D:D,'Alta Proveedor'!E:E)=0,"",_xlfn.XLOOKUP(Imput[[#This Row],[RFC]],'Alta Proveedor'!D:D,'Alta Proveedor'!E:E)),"")</f>
        <v/>
      </c>
      <c r="F3605" s="832"/>
      <c r="G3605" s="187"/>
      <c r="H3605" s="1"/>
      <c r="I3605" s="169">
        <f>Imput[[#This Row],[Cantidad]]*Imput[[#This Row],[Precio Unitario]]</f>
        <v>0</v>
      </c>
      <c r="J3605" s="11">
        <f>((Imput[[#This Row],[Sub total]])*(0.16))</f>
        <v>0</v>
      </c>
      <c r="K3605" s="11">
        <v>0</v>
      </c>
      <c r="L3605" s="169">
        <f>Imput[[#This Row],[Sub total]]+Imput[[#This Row],[IVA]]-Imput[[#This Row],[Retención / IEPS / Descuento]]</f>
        <v>0</v>
      </c>
      <c r="M3605" s="844">
        <v>0</v>
      </c>
      <c r="N3605" s="189"/>
      <c r="O3605" s="1"/>
      <c r="P3605" s="189"/>
      <c r="Q3605" s="190"/>
      <c r="R3605" s="188"/>
      <c r="S3605" s="193"/>
      <c r="T3605" s="192"/>
      <c r="U3605" s="829"/>
      <c r="V3605" s="10"/>
      <c r="W3605" s="10"/>
      <c r="X3605" s="10"/>
      <c r="Y3605" s="10"/>
      <c r="Z3605" s="10"/>
      <c r="AA3605" s="11"/>
      <c r="AB3605" s="11"/>
    </row>
    <row r="3606" spans="2:28" x14ac:dyDescent="0.3">
      <c r="B3606" s="10"/>
      <c r="C3606" s="315"/>
      <c r="D3606" s="868"/>
      <c r="E3606" s="837" t="str">
        <f>IFERROR(IF(_xlfn.XLOOKUP(Imput[[#This Row],[RFC]],'Alta Proveedor'!D:D,'Alta Proveedor'!E:E)=0,"",_xlfn.XLOOKUP(Imput[[#This Row],[RFC]],'Alta Proveedor'!D:D,'Alta Proveedor'!E:E)),"")</f>
        <v/>
      </c>
      <c r="F3606" s="832"/>
      <c r="G3606" s="187"/>
      <c r="H3606" s="1"/>
      <c r="I3606" s="169">
        <f>Imput[[#This Row],[Cantidad]]*Imput[[#This Row],[Precio Unitario]]</f>
        <v>0</v>
      </c>
      <c r="J3606" s="11">
        <f>((Imput[[#This Row],[Sub total]])*(0.16))</f>
        <v>0</v>
      </c>
      <c r="K3606" s="11">
        <v>0</v>
      </c>
      <c r="L3606" s="169">
        <f>Imput[[#This Row],[Sub total]]+Imput[[#This Row],[IVA]]-Imput[[#This Row],[Retención / IEPS / Descuento]]</f>
        <v>0</v>
      </c>
      <c r="M3606" s="844">
        <v>0</v>
      </c>
      <c r="N3606" s="189"/>
      <c r="O3606" s="1"/>
      <c r="P3606" s="189"/>
      <c r="Q3606" s="190"/>
      <c r="R3606" s="188"/>
      <c r="S3606" s="193"/>
      <c r="T3606" s="192"/>
      <c r="U3606" s="829"/>
      <c r="V3606" s="10"/>
      <c r="W3606" s="10"/>
      <c r="X3606" s="10"/>
      <c r="Y3606" s="10"/>
      <c r="Z3606" s="10"/>
      <c r="AA3606" s="11"/>
      <c r="AB3606" s="11"/>
    </row>
    <row r="3607" spans="2:28" x14ac:dyDescent="0.3">
      <c r="B3607" s="10"/>
      <c r="C3607" s="315"/>
      <c r="D3607" s="868"/>
      <c r="E3607" s="837" t="str">
        <f>IFERROR(IF(_xlfn.XLOOKUP(Imput[[#This Row],[RFC]],'Alta Proveedor'!D:D,'Alta Proveedor'!E:E)=0,"",_xlfn.XLOOKUP(Imput[[#This Row],[RFC]],'Alta Proveedor'!D:D,'Alta Proveedor'!E:E)),"")</f>
        <v/>
      </c>
      <c r="F3607" s="832"/>
      <c r="G3607" s="187"/>
      <c r="H3607" s="1"/>
      <c r="I3607" s="169">
        <f>Imput[[#This Row],[Cantidad]]*Imput[[#This Row],[Precio Unitario]]</f>
        <v>0</v>
      </c>
      <c r="J3607" s="11">
        <f>((Imput[[#This Row],[Sub total]])*(0.16))</f>
        <v>0</v>
      </c>
      <c r="K3607" s="11">
        <v>0</v>
      </c>
      <c r="L3607" s="169">
        <f>Imput[[#This Row],[Sub total]]+Imput[[#This Row],[IVA]]-Imput[[#This Row],[Retención / IEPS / Descuento]]</f>
        <v>0</v>
      </c>
      <c r="M3607" s="844">
        <v>0</v>
      </c>
      <c r="N3607" s="189"/>
      <c r="O3607" s="1"/>
      <c r="P3607" s="189"/>
      <c r="Q3607" s="190"/>
      <c r="R3607" s="188"/>
      <c r="S3607" s="193"/>
      <c r="T3607" s="192"/>
      <c r="U3607" s="829"/>
      <c r="V3607" s="10"/>
      <c r="W3607" s="10"/>
      <c r="X3607" s="10"/>
      <c r="Y3607" s="10"/>
      <c r="Z3607" s="10"/>
      <c r="AA3607" s="11"/>
      <c r="AB3607" s="11"/>
    </row>
    <row r="3608" spans="2:28" x14ac:dyDescent="0.3">
      <c r="B3608" s="10"/>
      <c r="C3608" s="315"/>
      <c r="D3608" s="868"/>
      <c r="E3608" s="837" t="str">
        <f>IFERROR(IF(_xlfn.XLOOKUP(Imput[[#This Row],[RFC]],'Alta Proveedor'!D:D,'Alta Proveedor'!E:E)=0,"",_xlfn.XLOOKUP(Imput[[#This Row],[RFC]],'Alta Proveedor'!D:D,'Alta Proveedor'!E:E)),"")</f>
        <v/>
      </c>
      <c r="F3608" s="832"/>
      <c r="G3608" s="187"/>
      <c r="H3608" s="1"/>
      <c r="I3608" s="169">
        <f>Imput[[#This Row],[Cantidad]]*Imput[[#This Row],[Precio Unitario]]</f>
        <v>0</v>
      </c>
      <c r="J3608" s="11">
        <f>((Imput[[#This Row],[Sub total]])*(0.16))</f>
        <v>0</v>
      </c>
      <c r="K3608" s="11">
        <v>0</v>
      </c>
      <c r="L3608" s="169">
        <f>Imput[[#This Row],[Sub total]]+Imput[[#This Row],[IVA]]-Imput[[#This Row],[Retención / IEPS / Descuento]]</f>
        <v>0</v>
      </c>
      <c r="M3608" s="844">
        <v>0</v>
      </c>
      <c r="N3608" s="189"/>
      <c r="O3608" s="1"/>
      <c r="P3608" s="189"/>
      <c r="Q3608" s="190"/>
      <c r="R3608" s="188"/>
      <c r="S3608" s="193"/>
      <c r="T3608" s="192"/>
      <c r="U3608" s="829"/>
      <c r="V3608" s="10"/>
      <c r="W3608" s="10"/>
      <c r="X3608" s="10"/>
      <c r="Y3608" s="10"/>
      <c r="Z3608" s="10"/>
      <c r="AA3608" s="11"/>
      <c r="AB3608" s="11"/>
    </row>
    <row r="3609" spans="2:28" x14ac:dyDescent="0.3">
      <c r="B3609" s="10"/>
      <c r="C3609" s="315"/>
      <c r="D3609" s="868"/>
      <c r="E3609" s="837" t="str">
        <f>IFERROR(IF(_xlfn.XLOOKUP(Imput[[#This Row],[RFC]],'Alta Proveedor'!D:D,'Alta Proveedor'!E:E)=0,"",_xlfn.XLOOKUP(Imput[[#This Row],[RFC]],'Alta Proveedor'!D:D,'Alta Proveedor'!E:E)),"")</f>
        <v/>
      </c>
      <c r="F3609" s="832"/>
      <c r="G3609" s="187"/>
      <c r="H3609" s="1"/>
      <c r="I3609" s="169">
        <f>Imput[[#This Row],[Cantidad]]*Imput[[#This Row],[Precio Unitario]]</f>
        <v>0</v>
      </c>
      <c r="J3609" s="11">
        <f>((Imput[[#This Row],[Sub total]])*(0.16))</f>
        <v>0</v>
      </c>
      <c r="K3609" s="11">
        <v>0</v>
      </c>
      <c r="L3609" s="169">
        <f>Imput[[#This Row],[Sub total]]+Imput[[#This Row],[IVA]]-Imput[[#This Row],[Retención / IEPS / Descuento]]</f>
        <v>0</v>
      </c>
      <c r="M3609" s="844">
        <v>0</v>
      </c>
      <c r="N3609" s="189"/>
      <c r="O3609" s="1"/>
      <c r="P3609" s="189"/>
      <c r="Q3609" s="190"/>
      <c r="R3609" s="188"/>
      <c r="S3609" s="193"/>
      <c r="T3609" s="192"/>
      <c r="U3609" s="829"/>
      <c r="V3609" s="10"/>
      <c r="W3609" s="10"/>
      <c r="X3609" s="10"/>
      <c r="Y3609" s="10"/>
      <c r="Z3609" s="10"/>
      <c r="AA3609" s="11"/>
      <c r="AB3609" s="11"/>
    </row>
    <row r="3610" spans="2:28" x14ac:dyDescent="0.3">
      <c r="B3610" s="10"/>
      <c r="C3610" s="315"/>
      <c r="D3610" s="868"/>
      <c r="E3610" s="837" t="str">
        <f>IFERROR(IF(_xlfn.XLOOKUP(Imput[[#This Row],[RFC]],'Alta Proveedor'!D:D,'Alta Proveedor'!E:E)=0,"",_xlfn.XLOOKUP(Imput[[#This Row],[RFC]],'Alta Proveedor'!D:D,'Alta Proveedor'!E:E)),"")</f>
        <v/>
      </c>
      <c r="F3610" s="832"/>
      <c r="G3610" s="187"/>
      <c r="H3610" s="1"/>
      <c r="I3610" s="169">
        <f>Imput[[#This Row],[Cantidad]]*Imput[[#This Row],[Precio Unitario]]</f>
        <v>0</v>
      </c>
      <c r="J3610" s="11">
        <f>((Imput[[#This Row],[Sub total]])*(0.16))</f>
        <v>0</v>
      </c>
      <c r="K3610" s="11">
        <v>0</v>
      </c>
      <c r="L3610" s="169">
        <f>Imput[[#This Row],[Sub total]]+Imput[[#This Row],[IVA]]-Imput[[#This Row],[Retención / IEPS / Descuento]]</f>
        <v>0</v>
      </c>
      <c r="M3610" s="844">
        <v>0</v>
      </c>
      <c r="N3610" s="189"/>
      <c r="O3610" s="1"/>
      <c r="P3610" s="189"/>
      <c r="Q3610" s="190"/>
      <c r="R3610" s="188"/>
      <c r="S3610" s="193"/>
      <c r="T3610" s="192"/>
      <c r="U3610" s="829"/>
      <c r="V3610" s="10"/>
      <c r="W3610" s="10"/>
      <c r="X3610" s="10"/>
      <c r="Y3610" s="10"/>
      <c r="Z3610" s="10"/>
      <c r="AA3610" s="11"/>
      <c r="AB3610" s="11"/>
    </row>
    <row r="3611" spans="2:28" x14ac:dyDescent="0.3">
      <c r="B3611" s="10"/>
      <c r="C3611" s="315"/>
      <c r="D3611" s="868"/>
      <c r="E3611" s="837" t="str">
        <f>IFERROR(IF(_xlfn.XLOOKUP(Imput[[#This Row],[RFC]],'Alta Proveedor'!D:D,'Alta Proveedor'!E:E)=0,"",_xlfn.XLOOKUP(Imput[[#This Row],[RFC]],'Alta Proveedor'!D:D,'Alta Proveedor'!E:E)),"")</f>
        <v/>
      </c>
      <c r="F3611" s="832"/>
      <c r="G3611" s="187"/>
      <c r="H3611" s="1"/>
      <c r="I3611" s="169">
        <f>Imput[[#This Row],[Cantidad]]*Imput[[#This Row],[Precio Unitario]]</f>
        <v>0</v>
      </c>
      <c r="J3611" s="11">
        <f>((Imput[[#This Row],[Sub total]])*(0.16))</f>
        <v>0</v>
      </c>
      <c r="K3611" s="11">
        <v>0</v>
      </c>
      <c r="L3611" s="169">
        <f>Imput[[#This Row],[Sub total]]+Imput[[#This Row],[IVA]]-Imput[[#This Row],[Retención / IEPS / Descuento]]</f>
        <v>0</v>
      </c>
      <c r="M3611" s="844">
        <v>0</v>
      </c>
      <c r="N3611" s="189"/>
      <c r="O3611" s="1"/>
      <c r="P3611" s="189"/>
      <c r="Q3611" s="190"/>
      <c r="R3611" s="188"/>
      <c r="S3611" s="193"/>
      <c r="T3611" s="192"/>
      <c r="U3611" s="829"/>
      <c r="V3611" s="10"/>
      <c r="W3611" s="10"/>
      <c r="X3611" s="10"/>
      <c r="Y3611" s="10"/>
      <c r="Z3611" s="10"/>
      <c r="AA3611" s="11"/>
      <c r="AB3611" s="11"/>
    </row>
    <row r="3612" spans="2:28" x14ac:dyDescent="0.3">
      <c r="B3612" s="10"/>
      <c r="C3612" s="315"/>
      <c r="D3612" s="868"/>
      <c r="E3612" s="837" t="str">
        <f>IFERROR(IF(_xlfn.XLOOKUP(Imput[[#This Row],[RFC]],'Alta Proveedor'!D:D,'Alta Proveedor'!E:E)=0,"",_xlfn.XLOOKUP(Imput[[#This Row],[RFC]],'Alta Proveedor'!D:D,'Alta Proveedor'!E:E)),"")</f>
        <v/>
      </c>
      <c r="F3612" s="832"/>
      <c r="G3612" s="187"/>
      <c r="H3612" s="1"/>
      <c r="I3612" s="169">
        <f>Imput[[#This Row],[Cantidad]]*Imput[[#This Row],[Precio Unitario]]</f>
        <v>0</v>
      </c>
      <c r="J3612" s="11">
        <f>((Imput[[#This Row],[Sub total]])*(0.16))</f>
        <v>0</v>
      </c>
      <c r="K3612" s="11">
        <v>0</v>
      </c>
      <c r="L3612" s="169">
        <f>Imput[[#This Row],[Sub total]]+Imput[[#This Row],[IVA]]-Imput[[#This Row],[Retención / IEPS / Descuento]]</f>
        <v>0</v>
      </c>
      <c r="M3612" s="844">
        <v>0</v>
      </c>
      <c r="N3612" s="189"/>
      <c r="O3612" s="1"/>
      <c r="P3612" s="189"/>
      <c r="Q3612" s="190"/>
      <c r="R3612" s="188"/>
      <c r="S3612" s="193"/>
      <c r="T3612" s="192"/>
      <c r="U3612" s="829"/>
      <c r="V3612" s="10"/>
      <c r="W3612" s="10"/>
      <c r="X3612" s="10"/>
      <c r="Y3612" s="10"/>
      <c r="Z3612" s="10"/>
      <c r="AA3612" s="11"/>
      <c r="AB3612" s="11"/>
    </row>
    <row r="3613" spans="2:28" x14ac:dyDescent="0.3">
      <c r="B3613" s="10"/>
      <c r="C3613" s="315"/>
      <c r="D3613" s="868"/>
      <c r="E3613" s="837" t="str">
        <f>IFERROR(IF(_xlfn.XLOOKUP(Imput[[#This Row],[RFC]],'Alta Proveedor'!D:D,'Alta Proveedor'!E:E)=0,"",_xlfn.XLOOKUP(Imput[[#This Row],[RFC]],'Alta Proveedor'!D:D,'Alta Proveedor'!E:E)),"")</f>
        <v/>
      </c>
      <c r="F3613" s="832"/>
      <c r="G3613" s="187"/>
      <c r="H3613" s="1"/>
      <c r="I3613" s="169">
        <f>Imput[[#This Row],[Cantidad]]*Imput[[#This Row],[Precio Unitario]]</f>
        <v>0</v>
      </c>
      <c r="J3613" s="11">
        <f>((Imput[[#This Row],[Sub total]])*(0.16))</f>
        <v>0</v>
      </c>
      <c r="K3613" s="11">
        <v>0</v>
      </c>
      <c r="L3613" s="169">
        <f>Imput[[#This Row],[Sub total]]+Imput[[#This Row],[IVA]]-Imput[[#This Row],[Retención / IEPS / Descuento]]</f>
        <v>0</v>
      </c>
      <c r="M3613" s="844">
        <v>0</v>
      </c>
      <c r="N3613" s="189"/>
      <c r="O3613" s="1"/>
      <c r="P3613" s="189"/>
      <c r="Q3613" s="190"/>
      <c r="R3613" s="188"/>
      <c r="S3613" s="193"/>
      <c r="T3613" s="192"/>
      <c r="U3613" s="829"/>
      <c r="V3613" s="10"/>
      <c r="W3613" s="10"/>
      <c r="X3613" s="10"/>
      <c r="Y3613" s="10"/>
      <c r="Z3613" s="10"/>
      <c r="AA3613" s="11"/>
      <c r="AB3613" s="11"/>
    </row>
    <row r="3614" spans="2:28" x14ac:dyDescent="0.3">
      <c r="B3614" s="10"/>
      <c r="C3614" s="315"/>
      <c r="D3614" s="868"/>
      <c r="E3614" s="837" t="str">
        <f>IFERROR(IF(_xlfn.XLOOKUP(Imput[[#This Row],[RFC]],'Alta Proveedor'!D:D,'Alta Proveedor'!E:E)=0,"",_xlfn.XLOOKUP(Imput[[#This Row],[RFC]],'Alta Proveedor'!D:D,'Alta Proveedor'!E:E)),"")</f>
        <v/>
      </c>
      <c r="F3614" s="832"/>
      <c r="G3614" s="187"/>
      <c r="H3614" s="1"/>
      <c r="I3614" s="169">
        <f>Imput[[#This Row],[Cantidad]]*Imput[[#This Row],[Precio Unitario]]</f>
        <v>0</v>
      </c>
      <c r="J3614" s="11">
        <f>((Imput[[#This Row],[Sub total]])*(0.16))</f>
        <v>0</v>
      </c>
      <c r="K3614" s="11">
        <v>0</v>
      </c>
      <c r="L3614" s="169">
        <f>Imput[[#This Row],[Sub total]]+Imput[[#This Row],[IVA]]-Imput[[#This Row],[Retención / IEPS / Descuento]]</f>
        <v>0</v>
      </c>
      <c r="M3614" s="844">
        <v>0</v>
      </c>
      <c r="N3614" s="189"/>
      <c r="O3614" s="1"/>
      <c r="P3614" s="189"/>
      <c r="Q3614" s="190"/>
      <c r="R3614" s="188"/>
      <c r="S3614" s="193"/>
      <c r="T3614" s="192"/>
      <c r="U3614" s="829"/>
      <c r="V3614" s="10"/>
      <c r="W3614" s="10"/>
      <c r="X3614" s="10"/>
      <c r="Y3614" s="10"/>
      <c r="Z3614" s="10"/>
      <c r="AA3614" s="11"/>
      <c r="AB3614" s="11"/>
    </row>
    <row r="3615" spans="2:28" x14ac:dyDescent="0.3">
      <c r="B3615" s="10"/>
      <c r="C3615" s="315"/>
      <c r="D3615" s="868"/>
      <c r="E3615" s="837" t="str">
        <f>IFERROR(IF(_xlfn.XLOOKUP(Imput[[#This Row],[RFC]],'Alta Proveedor'!D:D,'Alta Proveedor'!E:E)=0,"",_xlfn.XLOOKUP(Imput[[#This Row],[RFC]],'Alta Proveedor'!D:D,'Alta Proveedor'!E:E)),"")</f>
        <v/>
      </c>
      <c r="F3615" s="832"/>
      <c r="G3615" s="187"/>
      <c r="H3615" s="1"/>
      <c r="I3615" s="169">
        <f>Imput[[#This Row],[Cantidad]]*Imput[[#This Row],[Precio Unitario]]</f>
        <v>0</v>
      </c>
      <c r="J3615" s="11">
        <f>((Imput[[#This Row],[Sub total]])*(0.16))</f>
        <v>0</v>
      </c>
      <c r="K3615" s="11">
        <v>0</v>
      </c>
      <c r="L3615" s="169">
        <f>Imput[[#This Row],[Sub total]]+Imput[[#This Row],[IVA]]-Imput[[#This Row],[Retención / IEPS / Descuento]]</f>
        <v>0</v>
      </c>
      <c r="M3615" s="844">
        <v>0</v>
      </c>
      <c r="N3615" s="189"/>
      <c r="O3615" s="1"/>
      <c r="P3615" s="189"/>
      <c r="Q3615" s="190"/>
      <c r="R3615" s="188"/>
      <c r="S3615" s="193"/>
      <c r="T3615" s="192"/>
      <c r="U3615" s="829"/>
      <c r="V3615" s="10"/>
      <c r="W3615" s="10"/>
      <c r="X3615" s="10"/>
      <c r="Y3615" s="10"/>
      <c r="Z3615" s="10"/>
      <c r="AA3615" s="11"/>
      <c r="AB3615" s="11"/>
    </row>
    <row r="3616" spans="2:28" x14ac:dyDescent="0.3">
      <c r="B3616" s="10"/>
      <c r="C3616" s="315"/>
      <c r="D3616" s="868"/>
      <c r="E3616" s="837" t="str">
        <f>IFERROR(IF(_xlfn.XLOOKUP(Imput[[#This Row],[RFC]],'Alta Proveedor'!D:D,'Alta Proveedor'!E:E)=0,"",_xlfn.XLOOKUP(Imput[[#This Row],[RFC]],'Alta Proveedor'!D:D,'Alta Proveedor'!E:E)),"")</f>
        <v/>
      </c>
      <c r="F3616" s="832"/>
      <c r="G3616" s="187"/>
      <c r="H3616" s="1"/>
      <c r="I3616" s="169">
        <f>Imput[[#This Row],[Cantidad]]*Imput[[#This Row],[Precio Unitario]]</f>
        <v>0</v>
      </c>
      <c r="J3616" s="11">
        <f>((Imput[[#This Row],[Sub total]])*(0.16))</f>
        <v>0</v>
      </c>
      <c r="K3616" s="11">
        <v>0</v>
      </c>
      <c r="L3616" s="169">
        <f>Imput[[#This Row],[Sub total]]+Imput[[#This Row],[IVA]]-Imput[[#This Row],[Retención / IEPS / Descuento]]</f>
        <v>0</v>
      </c>
      <c r="M3616" s="844">
        <v>0</v>
      </c>
      <c r="N3616" s="189"/>
      <c r="O3616" s="1"/>
      <c r="P3616" s="189"/>
      <c r="Q3616" s="190"/>
      <c r="R3616" s="188"/>
      <c r="S3616" s="193"/>
      <c r="T3616" s="192"/>
      <c r="U3616" s="829"/>
      <c r="V3616" s="10"/>
      <c r="W3616" s="10"/>
      <c r="X3616" s="10"/>
      <c r="Y3616" s="10"/>
      <c r="Z3616" s="10"/>
      <c r="AA3616" s="11"/>
      <c r="AB3616" s="11"/>
    </row>
    <row r="3617" spans="2:28" x14ac:dyDescent="0.3">
      <c r="B3617" s="10"/>
      <c r="C3617" s="315"/>
      <c r="D3617" s="868"/>
      <c r="E3617" s="837" t="str">
        <f>IFERROR(IF(_xlfn.XLOOKUP(Imput[[#This Row],[RFC]],'Alta Proveedor'!D:D,'Alta Proveedor'!E:E)=0,"",_xlfn.XLOOKUP(Imput[[#This Row],[RFC]],'Alta Proveedor'!D:D,'Alta Proveedor'!E:E)),"")</f>
        <v/>
      </c>
      <c r="F3617" s="832"/>
      <c r="G3617" s="187"/>
      <c r="H3617" s="1"/>
      <c r="I3617" s="169">
        <f>Imput[[#This Row],[Cantidad]]*Imput[[#This Row],[Precio Unitario]]</f>
        <v>0</v>
      </c>
      <c r="J3617" s="11">
        <f>((Imput[[#This Row],[Sub total]])*(0.16))</f>
        <v>0</v>
      </c>
      <c r="K3617" s="11">
        <v>0</v>
      </c>
      <c r="L3617" s="169">
        <f>Imput[[#This Row],[Sub total]]+Imput[[#This Row],[IVA]]-Imput[[#This Row],[Retención / IEPS / Descuento]]</f>
        <v>0</v>
      </c>
      <c r="M3617" s="844">
        <v>0</v>
      </c>
      <c r="N3617" s="189"/>
      <c r="O3617" s="1"/>
      <c r="P3617" s="189"/>
      <c r="Q3617" s="190"/>
      <c r="R3617" s="188"/>
      <c r="S3617" s="193"/>
      <c r="T3617" s="192"/>
      <c r="U3617" s="829"/>
      <c r="V3617" s="10"/>
      <c r="W3617" s="10"/>
      <c r="X3617" s="10"/>
      <c r="Y3617" s="10"/>
      <c r="Z3617" s="10"/>
      <c r="AA3617" s="11"/>
      <c r="AB3617" s="11"/>
    </row>
    <row r="3618" spans="2:28" x14ac:dyDescent="0.3">
      <c r="B3618" s="10"/>
      <c r="C3618" s="315"/>
      <c r="D3618" s="868"/>
      <c r="E3618" s="837" t="str">
        <f>IFERROR(IF(_xlfn.XLOOKUP(Imput[[#This Row],[RFC]],'Alta Proveedor'!D:D,'Alta Proveedor'!E:E)=0,"",_xlfn.XLOOKUP(Imput[[#This Row],[RFC]],'Alta Proveedor'!D:D,'Alta Proveedor'!E:E)),"")</f>
        <v/>
      </c>
      <c r="F3618" s="832"/>
      <c r="G3618" s="187"/>
      <c r="H3618" s="1"/>
      <c r="I3618" s="169">
        <f>Imput[[#This Row],[Cantidad]]*Imput[[#This Row],[Precio Unitario]]</f>
        <v>0</v>
      </c>
      <c r="J3618" s="11">
        <f>((Imput[[#This Row],[Sub total]])*(0.16))</f>
        <v>0</v>
      </c>
      <c r="K3618" s="11">
        <v>0</v>
      </c>
      <c r="L3618" s="169">
        <f>Imput[[#This Row],[Sub total]]+Imput[[#This Row],[IVA]]-Imput[[#This Row],[Retención / IEPS / Descuento]]</f>
        <v>0</v>
      </c>
      <c r="M3618" s="844">
        <v>0</v>
      </c>
      <c r="N3618" s="189"/>
      <c r="O3618" s="1"/>
      <c r="P3618" s="189"/>
      <c r="Q3618" s="190"/>
      <c r="R3618" s="188"/>
      <c r="S3618" s="193"/>
      <c r="T3618" s="192"/>
      <c r="U3618" s="829"/>
      <c r="V3618" s="10"/>
      <c r="W3618" s="10"/>
      <c r="X3618" s="10"/>
      <c r="Y3618" s="10"/>
      <c r="Z3618" s="10"/>
      <c r="AA3618" s="11"/>
      <c r="AB3618" s="11"/>
    </row>
    <row r="3619" spans="2:28" x14ac:dyDescent="0.3">
      <c r="B3619" s="10"/>
      <c r="C3619" s="315"/>
      <c r="D3619" s="868"/>
      <c r="E3619" s="837" t="str">
        <f>IFERROR(IF(_xlfn.XLOOKUP(Imput[[#This Row],[RFC]],'Alta Proveedor'!D:D,'Alta Proveedor'!E:E)=0,"",_xlfn.XLOOKUP(Imput[[#This Row],[RFC]],'Alta Proveedor'!D:D,'Alta Proveedor'!E:E)),"")</f>
        <v/>
      </c>
      <c r="F3619" s="832"/>
      <c r="G3619" s="187"/>
      <c r="H3619" s="1"/>
      <c r="I3619" s="169">
        <f>Imput[[#This Row],[Cantidad]]*Imput[[#This Row],[Precio Unitario]]</f>
        <v>0</v>
      </c>
      <c r="J3619" s="11">
        <f>((Imput[[#This Row],[Sub total]])*(0.16))</f>
        <v>0</v>
      </c>
      <c r="K3619" s="11">
        <v>0</v>
      </c>
      <c r="L3619" s="169">
        <f>Imput[[#This Row],[Sub total]]+Imput[[#This Row],[IVA]]-Imput[[#This Row],[Retención / IEPS / Descuento]]</f>
        <v>0</v>
      </c>
      <c r="M3619" s="844">
        <v>0</v>
      </c>
      <c r="N3619" s="189"/>
      <c r="O3619" s="1"/>
      <c r="P3619" s="189"/>
      <c r="Q3619" s="190"/>
      <c r="R3619" s="188"/>
      <c r="S3619" s="193"/>
      <c r="T3619" s="192"/>
      <c r="U3619" s="829"/>
      <c r="V3619" s="10"/>
      <c r="W3619" s="10"/>
      <c r="X3619" s="10"/>
      <c r="Y3619" s="10"/>
      <c r="Z3619" s="10"/>
      <c r="AA3619" s="11"/>
      <c r="AB3619" s="11"/>
    </row>
    <row r="3620" spans="2:28" x14ac:dyDescent="0.3">
      <c r="B3620" s="10"/>
      <c r="C3620" s="315"/>
      <c r="D3620" s="868"/>
      <c r="E3620" s="837" t="str">
        <f>IFERROR(IF(_xlfn.XLOOKUP(Imput[[#This Row],[RFC]],'Alta Proveedor'!D:D,'Alta Proveedor'!E:E)=0,"",_xlfn.XLOOKUP(Imput[[#This Row],[RFC]],'Alta Proveedor'!D:D,'Alta Proveedor'!E:E)),"")</f>
        <v/>
      </c>
      <c r="F3620" s="832"/>
      <c r="G3620" s="187"/>
      <c r="H3620" s="1"/>
      <c r="I3620" s="169">
        <f>Imput[[#This Row],[Cantidad]]*Imput[[#This Row],[Precio Unitario]]</f>
        <v>0</v>
      </c>
      <c r="J3620" s="11">
        <f>((Imput[[#This Row],[Sub total]])*(0.16))</f>
        <v>0</v>
      </c>
      <c r="K3620" s="11">
        <v>0</v>
      </c>
      <c r="L3620" s="169">
        <f>Imput[[#This Row],[Sub total]]+Imput[[#This Row],[IVA]]-Imput[[#This Row],[Retención / IEPS / Descuento]]</f>
        <v>0</v>
      </c>
      <c r="M3620" s="844">
        <v>0</v>
      </c>
      <c r="N3620" s="189"/>
      <c r="O3620" s="1"/>
      <c r="P3620" s="189"/>
      <c r="Q3620" s="190"/>
      <c r="R3620" s="188"/>
      <c r="S3620" s="193"/>
      <c r="T3620" s="192"/>
      <c r="U3620" s="829"/>
      <c r="V3620" s="10"/>
      <c r="W3620" s="10"/>
      <c r="X3620" s="10"/>
      <c r="Y3620" s="10"/>
      <c r="Z3620" s="10"/>
      <c r="AA3620" s="11"/>
      <c r="AB3620" s="11"/>
    </row>
    <row r="3621" spans="2:28" x14ac:dyDescent="0.3">
      <c r="B3621" s="10"/>
      <c r="C3621" s="315"/>
      <c r="D3621" s="868"/>
      <c r="E3621" s="837" t="str">
        <f>IFERROR(IF(_xlfn.XLOOKUP(Imput[[#This Row],[RFC]],'Alta Proveedor'!D:D,'Alta Proveedor'!E:E)=0,"",_xlfn.XLOOKUP(Imput[[#This Row],[RFC]],'Alta Proveedor'!D:D,'Alta Proveedor'!E:E)),"")</f>
        <v/>
      </c>
      <c r="F3621" s="832"/>
      <c r="G3621" s="187"/>
      <c r="H3621" s="1"/>
      <c r="I3621" s="169">
        <f>Imput[[#This Row],[Cantidad]]*Imput[[#This Row],[Precio Unitario]]</f>
        <v>0</v>
      </c>
      <c r="J3621" s="11">
        <f>((Imput[[#This Row],[Sub total]])*(0.16))</f>
        <v>0</v>
      </c>
      <c r="K3621" s="11">
        <v>0</v>
      </c>
      <c r="L3621" s="169">
        <f>Imput[[#This Row],[Sub total]]+Imput[[#This Row],[IVA]]-Imput[[#This Row],[Retención / IEPS / Descuento]]</f>
        <v>0</v>
      </c>
      <c r="M3621" s="844">
        <v>0</v>
      </c>
      <c r="N3621" s="189"/>
      <c r="O3621" s="1"/>
      <c r="P3621" s="189"/>
      <c r="Q3621" s="190"/>
      <c r="R3621" s="188"/>
      <c r="S3621" s="193"/>
      <c r="T3621" s="192"/>
      <c r="U3621" s="829"/>
      <c r="V3621" s="10"/>
      <c r="W3621" s="10"/>
      <c r="X3621" s="10"/>
      <c r="Y3621" s="10"/>
      <c r="Z3621" s="10"/>
      <c r="AA3621" s="11"/>
      <c r="AB3621" s="11"/>
    </row>
    <row r="3622" spans="2:28" x14ac:dyDescent="0.3">
      <c r="B3622" s="10"/>
      <c r="C3622" s="315"/>
      <c r="D3622" s="868"/>
      <c r="E3622" s="837" t="str">
        <f>IFERROR(IF(_xlfn.XLOOKUP(Imput[[#This Row],[RFC]],'Alta Proveedor'!D:D,'Alta Proveedor'!E:E)=0,"",_xlfn.XLOOKUP(Imput[[#This Row],[RFC]],'Alta Proveedor'!D:D,'Alta Proveedor'!E:E)),"")</f>
        <v/>
      </c>
      <c r="F3622" s="832"/>
      <c r="G3622" s="187"/>
      <c r="H3622" s="1"/>
      <c r="I3622" s="169">
        <f>Imput[[#This Row],[Cantidad]]*Imput[[#This Row],[Precio Unitario]]</f>
        <v>0</v>
      </c>
      <c r="J3622" s="11">
        <f>((Imput[[#This Row],[Sub total]])*(0.16))</f>
        <v>0</v>
      </c>
      <c r="K3622" s="11">
        <v>0</v>
      </c>
      <c r="L3622" s="169">
        <f>Imput[[#This Row],[Sub total]]+Imput[[#This Row],[IVA]]-Imput[[#This Row],[Retención / IEPS / Descuento]]</f>
        <v>0</v>
      </c>
      <c r="M3622" s="844">
        <v>0</v>
      </c>
      <c r="N3622" s="189"/>
      <c r="O3622" s="1"/>
      <c r="P3622" s="189"/>
      <c r="Q3622" s="190"/>
      <c r="R3622" s="188"/>
      <c r="S3622" s="193"/>
      <c r="T3622" s="192"/>
      <c r="U3622" s="829"/>
      <c r="V3622" s="10"/>
      <c r="W3622" s="10"/>
      <c r="X3622" s="10"/>
      <c r="Y3622" s="10"/>
      <c r="Z3622" s="10"/>
      <c r="AA3622" s="11"/>
      <c r="AB3622" s="11"/>
    </row>
    <row r="3623" spans="2:28" x14ac:dyDescent="0.3">
      <c r="B3623" s="10"/>
      <c r="C3623" s="315"/>
      <c r="D3623" s="868"/>
      <c r="E3623" s="837" t="str">
        <f>IFERROR(IF(_xlfn.XLOOKUP(Imput[[#This Row],[RFC]],'Alta Proveedor'!D:D,'Alta Proveedor'!E:E)=0,"",_xlfn.XLOOKUP(Imput[[#This Row],[RFC]],'Alta Proveedor'!D:D,'Alta Proveedor'!E:E)),"")</f>
        <v/>
      </c>
      <c r="F3623" s="832"/>
      <c r="G3623" s="187"/>
      <c r="H3623" s="1"/>
      <c r="I3623" s="169">
        <f>Imput[[#This Row],[Cantidad]]*Imput[[#This Row],[Precio Unitario]]</f>
        <v>0</v>
      </c>
      <c r="J3623" s="11">
        <f>((Imput[[#This Row],[Sub total]])*(0.16))</f>
        <v>0</v>
      </c>
      <c r="K3623" s="11">
        <v>0</v>
      </c>
      <c r="L3623" s="169">
        <f>Imput[[#This Row],[Sub total]]+Imput[[#This Row],[IVA]]-Imput[[#This Row],[Retención / IEPS / Descuento]]</f>
        <v>0</v>
      </c>
      <c r="M3623" s="844">
        <v>0</v>
      </c>
      <c r="N3623" s="189"/>
      <c r="O3623" s="1"/>
      <c r="P3623" s="189"/>
      <c r="Q3623" s="190"/>
      <c r="R3623" s="188"/>
      <c r="S3623" s="193"/>
      <c r="T3623" s="192"/>
      <c r="U3623" s="829"/>
      <c r="V3623" s="10"/>
      <c r="W3623" s="10"/>
      <c r="X3623" s="10"/>
      <c r="Y3623" s="10"/>
      <c r="Z3623" s="10"/>
      <c r="AA3623" s="11"/>
      <c r="AB3623" s="11"/>
    </row>
    <row r="3624" spans="2:28" x14ac:dyDescent="0.3">
      <c r="B3624" s="10"/>
      <c r="C3624" s="315"/>
      <c r="D3624" s="868"/>
      <c r="E3624" s="837" t="str">
        <f>IFERROR(IF(_xlfn.XLOOKUP(Imput[[#This Row],[RFC]],'Alta Proveedor'!D:D,'Alta Proveedor'!E:E)=0,"",_xlfn.XLOOKUP(Imput[[#This Row],[RFC]],'Alta Proveedor'!D:D,'Alta Proveedor'!E:E)),"")</f>
        <v/>
      </c>
      <c r="F3624" s="832"/>
      <c r="G3624" s="187"/>
      <c r="H3624" s="1"/>
      <c r="I3624" s="169">
        <f>Imput[[#This Row],[Cantidad]]*Imput[[#This Row],[Precio Unitario]]</f>
        <v>0</v>
      </c>
      <c r="J3624" s="11">
        <f>((Imput[[#This Row],[Sub total]])*(0.16))</f>
        <v>0</v>
      </c>
      <c r="K3624" s="11">
        <v>0</v>
      </c>
      <c r="L3624" s="169">
        <f>Imput[[#This Row],[Sub total]]+Imput[[#This Row],[IVA]]-Imput[[#This Row],[Retención / IEPS / Descuento]]</f>
        <v>0</v>
      </c>
      <c r="M3624" s="844">
        <v>0</v>
      </c>
      <c r="N3624" s="189"/>
      <c r="O3624" s="1"/>
      <c r="P3624" s="189"/>
      <c r="Q3624" s="190"/>
      <c r="R3624" s="188"/>
      <c r="S3624" s="193"/>
      <c r="T3624" s="192"/>
      <c r="U3624" s="829"/>
      <c r="V3624" s="10"/>
      <c r="W3624" s="10"/>
      <c r="X3624" s="10"/>
      <c r="Y3624" s="10"/>
      <c r="Z3624" s="10"/>
      <c r="AA3624" s="11"/>
      <c r="AB3624" s="11"/>
    </row>
    <row r="3625" spans="2:28" x14ac:dyDescent="0.3">
      <c r="B3625" s="10"/>
      <c r="C3625" s="315"/>
      <c r="D3625" s="868"/>
      <c r="E3625" s="837" t="str">
        <f>IFERROR(IF(_xlfn.XLOOKUP(Imput[[#This Row],[RFC]],'Alta Proveedor'!D:D,'Alta Proveedor'!E:E)=0,"",_xlfn.XLOOKUP(Imput[[#This Row],[RFC]],'Alta Proveedor'!D:D,'Alta Proveedor'!E:E)),"")</f>
        <v/>
      </c>
      <c r="F3625" s="832"/>
      <c r="G3625" s="187"/>
      <c r="H3625" s="1"/>
      <c r="I3625" s="169">
        <f>Imput[[#This Row],[Cantidad]]*Imput[[#This Row],[Precio Unitario]]</f>
        <v>0</v>
      </c>
      <c r="J3625" s="11">
        <f>((Imput[[#This Row],[Sub total]])*(0.16))</f>
        <v>0</v>
      </c>
      <c r="K3625" s="11">
        <v>0</v>
      </c>
      <c r="L3625" s="169">
        <f>Imput[[#This Row],[Sub total]]+Imput[[#This Row],[IVA]]-Imput[[#This Row],[Retención / IEPS / Descuento]]</f>
        <v>0</v>
      </c>
      <c r="M3625" s="844">
        <v>0</v>
      </c>
      <c r="N3625" s="189"/>
      <c r="O3625" s="1"/>
      <c r="P3625" s="189"/>
      <c r="Q3625" s="190"/>
      <c r="R3625" s="188"/>
      <c r="S3625" s="193"/>
      <c r="T3625" s="192"/>
      <c r="U3625" s="829"/>
      <c r="V3625" s="10"/>
      <c r="W3625" s="10"/>
      <c r="X3625" s="10"/>
      <c r="Y3625" s="10"/>
      <c r="Z3625" s="10"/>
      <c r="AA3625" s="11"/>
      <c r="AB3625" s="11"/>
    </row>
    <row r="3626" spans="2:28" x14ac:dyDescent="0.3">
      <c r="B3626" s="10"/>
      <c r="C3626" s="315"/>
      <c r="D3626" s="868"/>
      <c r="E3626" s="837" t="str">
        <f>IFERROR(IF(_xlfn.XLOOKUP(Imput[[#This Row],[RFC]],'Alta Proveedor'!D:D,'Alta Proveedor'!E:E)=0,"",_xlfn.XLOOKUP(Imput[[#This Row],[RFC]],'Alta Proveedor'!D:D,'Alta Proveedor'!E:E)),"")</f>
        <v/>
      </c>
      <c r="F3626" s="832"/>
      <c r="G3626" s="187"/>
      <c r="H3626" s="1"/>
      <c r="I3626" s="169">
        <f>Imput[[#This Row],[Cantidad]]*Imput[[#This Row],[Precio Unitario]]</f>
        <v>0</v>
      </c>
      <c r="J3626" s="11">
        <f>((Imput[[#This Row],[Sub total]])*(0.16))</f>
        <v>0</v>
      </c>
      <c r="K3626" s="11">
        <v>0</v>
      </c>
      <c r="L3626" s="169">
        <f>Imput[[#This Row],[Sub total]]+Imput[[#This Row],[IVA]]-Imput[[#This Row],[Retención / IEPS / Descuento]]</f>
        <v>0</v>
      </c>
      <c r="M3626" s="844">
        <v>0</v>
      </c>
      <c r="N3626" s="189"/>
      <c r="O3626" s="1"/>
      <c r="P3626" s="189"/>
      <c r="Q3626" s="190"/>
      <c r="R3626" s="188"/>
      <c r="S3626" s="193"/>
      <c r="T3626" s="192"/>
      <c r="U3626" s="829"/>
      <c r="V3626" s="10"/>
      <c r="W3626" s="10"/>
      <c r="X3626" s="10"/>
      <c r="Y3626" s="10"/>
      <c r="Z3626" s="10"/>
      <c r="AA3626" s="11"/>
      <c r="AB3626" s="11"/>
    </row>
    <row r="3627" spans="2:28" x14ac:dyDescent="0.3">
      <c r="B3627" s="10"/>
      <c r="C3627" s="315"/>
      <c r="D3627" s="868"/>
      <c r="E3627" s="837" t="str">
        <f>IFERROR(IF(_xlfn.XLOOKUP(Imput[[#This Row],[RFC]],'Alta Proveedor'!D:D,'Alta Proveedor'!E:E)=0,"",_xlfn.XLOOKUP(Imput[[#This Row],[RFC]],'Alta Proveedor'!D:D,'Alta Proveedor'!E:E)),"")</f>
        <v/>
      </c>
      <c r="F3627" s="832"/>
      <c r="G3627" s="187"/>
      <c r="H3627" s="1"/>
      <c r="I3627" s="169">
        <f>Imput[[#This Row],[Cantidad]]*Imput[[#This Row],[Precio Unitario]]</f>
        <v>0</v>
      </c>
      <c r="J3627" s="11">
        <f>((Imput[[#This Row],[Sub total]])*(0.16))</f>
        <v>0</v>
      </c>
      <c r="K3627" s="11">
        <v>0</v>
      </c>
      <c r="L3627" s="169">
        <f>Imput[[#This Row],[Sub total]]+Imput[[#This Row],[IVA]]-Imput[[#This Row],[Retención / IEPS / Descuento]]</f>
        <v>0</v>
      </c>
      <c r="M3627" s="844">
        <v>0</v>
      </c>
      <c r="N3627" s="189"/>
      <c r="O3627" s="1"/>
      <c r="P3627" s="189"/>
      <c r="Q3627" s="190"/>
      <c r="R3627" s="188"/>
      <c r="S3627" s="193"/>
      <c r="T3627" s="192"/>
      <c r="U3627" s="829"/>
      <c r="V3627" s="10"/>
      <c r="W3627" s="10"/>
      <c r="X3627" s="10"/>
      <c r="Y3627" s="10"/>
      <c r="Z3627" s="10"/>
      <c r="AA3627" s="11"/>
      <c r="AB3627" s="11"/>
    </row>
    <row r="3628" spans="2:28" x14ac:dyDescent="0.3">
      <c r="B3628" s="10"/>
      <c r="C3628" s="315"/>
      <c r="D3628" s="868"/>
      <c r="E3628" s="837" t="str">
        <f>IFERROR(IF(_xlfn.XLOOKUP(Imput[[#This Row],[RFC]],'Alta Proveedor'!D:D,'Alta Proveedor'!E:E)=0,"",_xlfn.XLOOKUP(Imput[[#This Row],[RFC]],'Alta Proveedor'!D:D,'Alta Proveedor'!E:E)),"")</f>
        <v/>
      </c>
      <c r="F3628" s="832"/>
      <c r="G3628" s="187"/>
      <c r="H3628" s="1"/>
      <c r="I3628" s="169">
        <f>Imput[[#This Row],[Cantidad]]*Imput[[#This Row],[Precio Unitario]]</f>
        <v>0</v>
      </c>
      <c r="J3628" s="11">
        <f>((Imput[[#This Row],[Sub total]])*(0.16))</f>
        <v>0</v>
      </c>
      <c r="K3628" s="11">
        <v>0</v>
      </c>
      <c r="L3628" s="169">
        <f>Imput[[#This Row],[Sub total]]+Imput[[#This Row],[IVA]]-Imput[[#This Row],[Retención / IEPS / Descuento]]</f>
        <v>0</v>
      </c>
      <c r="M3628" s="844">
        <v>0</v>
      </c>
      <c r="N3628" s="189"/>
      <c r="O3628" s="1"/>
      <c r="P3628" s="189"/>
      <c r="Q3628" s="190"/>
      <c r="R3628" s="188"/>
      <c r="S3628" s="193"/>
      <c r="T3628" s="192"/>
      <c r="U3628" s="829"/>
      <c r="V3628" s="10"/>
      <c r="W3628" s="10"/>
      <c r="X3628" s="10"/>
      <c r="Y3628" s="10"/>
      <c r="Z3628" s="10"/>
      <c r="AA3628" s="11"/>
      <c r="AB3628" s="11"/>
    </row>
    <row r="3629" spans="2:28" x14ac:dyDescent="0.3">
      <c r="B3629" s="10"/>
      <c r="C3629" s="315"/>
      <c r="D3629" s="868"/>
      <c r="E3629" s="837" t="str">
        <f>IFERROR(IF(_xlfn.XLOOKUP(Imput[[#This Row],[RFC]],'Alta Proveedor'!D:D,'Alta Proveedor'!E:E)=0,"",_xlfn.XLOOKUP(Imput[[#This Row],[RFC]],'Alta Proveedor'!D:D,'Alta Proveedor'!E:E)),"")</f>
        <v/>
      </c>
      <c r="F3629" s="832"/>
      <c r="G3629" s="187"/>
      <c r="H3629" s="1"/>
      <c r="I3629" s="169">
        <f>Imput[[#This Row],[Cantidad]]*Imput[[#This Row],[Precio Unitario]]</f>
        <v>0</v>
      </c>
      <c r="J3629" s="11">
        <f>((Imput[[#This Row],[Sub total]])*(0.16))</f>
        <v>0</v>
      </c>
      <c r="K3629" s="11">
        <v>0</v>
      </c>
      <c r="L3629" s="169">
        <f>Imput[[#This Row],[Sub total]]+Imput[[#This Row],[IVA]]-Imput[[#This Row],[Retención / IEPS / Descuento]]</f>
        <v>0</v>
      </c>
      <c r="M3629" s="844">
        <v>0</v>
      </c>
      <c r="N3629" s="189"/>
      <c r="O3629" s="1"/>
      <c r="P3629" s="189"/>
      <c r="Q3629" s="190"/>
      <c r="R3629" s="188"/>
      <c r="S3629" s="193"/>
      <c r="T3629" s="192"/>
      <c r="U3629" s="829"/>
      <c r="V3629" s="10"/>
      <c r="W3629" s="10"/>
      <c r="X3629" s="10"/>
      <c r="Y3629" s="10"/>
      <c r="Z3629" s="10"/>
      <c r="AA3629" s="11"/>
      <c r="AB3629" s="11"/>
    </row>
    <row r="3630" spans="2:28" x14ac:dyDescent="0.3">
      <c r="B3630" s="10"/>
      <c r="C3630" s="315"/>
      <c r="D3630" s="868"/>
      <c r="E3630" s="837" t="str">
        <f>IFERROR(IF(_xlfn.XLOOKUP(Imput[[#This Row],[RFC]],'Alta Proveedor'!D:D,'Alta Proveedor'!E:E)=0,"",_xlfn.XLOOKUP(Imput[[#This Row],[RFC]],'Alta Proveedor'!D:D,'Alta Proveedor'!E:E)),"")</f>
        <v/>
      </c>
      <c r="F3630" s="832"/>
      <c r="G3630" s="187"/>
      <c r="H3630" s="1"/>
      <c r="I3630" s="169">
        <f>Imput[[#This Row],[Cantidad]]*Imput[[#This Row],[Precio Unitario]]</f>
        <v>0</v>
      </c>
      <c r="J3630" s="11">
        <f>((Imput[[#This Row],[Sub total]])*(0.16))</f>
        <v>0</v>
      </c>
      <c r="K3630" s="11">
        <v>0</v>
      </c>
      <c r="L3630" s="169">
        <f>Imput[[#This Row],[Sub total]]+Imput[[#This Row],[IVA]]-Imput[[#This Row],[Retención / IEPS / Descuento]]</f>
        <v>0</v>
      </c>
      <c r="M3630" s="844">
        <v>0</v>
      </c>
      <c r="N3630" s="189"/>
      <c r="O3630" s="1"/>
      <c r="P3630" s="189"/>
      <c r="Q3630" s="190"/>
      <c r="R3630" s="188"/>
      <c r="S3630" s="193"/>
      <c r="T3630" s="192"/>
      <c r="U3630" s="829"/>
      <c r="V3630" s="10"/>
      <c r="W3630" s="10"/>
      <c r="X3630" s="10"/>
      <c r="Y3630" s="10"/>
      <c r="Z3630" s="10"/>
      <c r="AA3630" s="11"/>
      <c r="AB3630" s="11"/>
    </row>
    <row r="3631" spans="2:28" x14ac:dyDescent="0.3">
      <c r="B3631" s="10"/>
      <c r="C3631" s="315"/>
      <c r="D3631" s="868"/>
      <c r="E3631" s="837" t="str">
        <f>IFERROR(IF(_xlfn.XLOOKUP(Imput[[#This Row],[RFC]],'Alta Proveedor'!D:D,'Alta Proveedor'!E:E)=0,"",_xlfn.XLOOKUP(Imput[[#This Row],[RFC]],'Alta Proveedor'!D:D,'Alta Proveedor'!E:E)),"")</f>
        <v/>
      </c>
      <c r="F3631" s="832"/>
      <c r="G3631" s="187"/>
      <c r="H3631" s="1"/>
      <c r="I3631" s="169">
        <f>Imput[[#This Row],[Cantidad]]*Imput[[#This Row],[Precio Unitario]]</f>
        <v>0</v>
      </c>
      <c r="J3631" s="11">
        <f>((Imput[[#This Row],[Sub total]])*(0.16))</f>
        <v>0</v>
      </c>
      <c r="K3631" s="11">
        <v>0</v>
      </c>
      <c r="L3631" s="169">
        <f>Imput[[#This Row],[Sub total]]+Imput[[#This Row],[IVA]]-Imput[[#This Row],[Retención / IEPS / Descuento]]</f>
        <v>0</v>
      </c>
      <c r="M3631" s="844">
        <v>0</v>
      </c>
      <c r="N3631" s="189"/>
      <c r="O3631" s="1"/>
      <c r="P3631" s="189"/>
      <c r="Q3631" s="190"/>
      <c r="R3631" s="188"/>
      <c r="S3631" s="193"/>
      <c r="T3631" s="192"/>
      <c r="U3631" s="829"/>
      <c r="V3631" s="10"/>
      <c r="W3631" s="10"/>
      <c r="X3631" s="10"/>
      <c r="Y3631" s="10"/>
      <c r="Z3631" s="10"/>
      <c r="AA3631" s="11"/>
      <c r="AB3631" s="11"/>
    </row>
    <row r="3632" spans="2:28" x14ac:dyDescent="0.3">
      <c r="B3632" s="10"/>
      <c r="C3632" s="315"/>
      <c r="D3632" s="868"/>
      <c r="E3632" s="837" t="str">
        <f>IFERROR(IF(_xlfn.XLOOKUP(Imput[[#This Row],[RFC]],'Alta Proveedor'!D:D,'Alta Proveedor'!E:E)=0,"",_xlfn.XLOOKUP(Imput[[#This Row],[RFC]],'Alta Proveedor'!D:D,'Alta Proveedor'!E:E)),"")</f>
        <v/>
      </c>
      <c r="F3632" s="832"/>
      <c r="G3632" s="187"/>
      <c r="H3632" s="1"/>
      <c r="I3632" s="169">
        <f>Imput[[#This Row],[Cantidad]]*Imput[[#This Row],[Precio Unitario]]</f>
        <v>0</v>
      </c>
      <c r="J3632" s="11">
        <f>((Imput[[#This Row],[Sub total]])*(0.16))</f>
        <v>0</v>
      </c>
      <c r="K3632" s="11">
        <v>0</v>
      </c>
      <c r="L3632" s="169">
        <f>Imput[[#This Row],[Sub total]]+Imput[[#This Row],[IVA]]-Imput[[#This Row],[Retención / IEPS / Descuento]]</f>
        <v>0</v>
      </c>
      <c r="M3632" s="844">
        <v>0</v>
      </c>
      <c r="N3632" s="189"/>
      <c r="O3632" s="1"/>
      <c r="P3632" s="189"/>
      <c r="Q3632" s="190"/>
      <c r="R3632" s="188"/>
      <c r="S3632" s="193"/>
      <c r="T3632" s="192"/>
      <c r="U3632" s="829"/>
      <c r="V3632" s="10"/>
      <c r="W3632" s="10"/>
      <c r="X3632" s="10"/>
      <c r="Y3632" s="10"/>
      <c r="Z3632" s="10"/>
      <c r="AA3632" s="11"/>
      <c r="AB3632" s="11"/>
    </row>
    <row r="3633" spans="2:28" x14ac:dyDescent="0.3">
      <c r="B3633" s="10"/>
      <c r="C3633" s="315"/>
      <c r="D3633" s="868"/>
      <c r="E3633" s="837" t="str">
        <f>IFERROR(IF(_xlfn.XLOOKUP(Imput[[#This Row],[RFC]],'Alta Proveedor'!D:D,'Alta Proveedor'!E:E)=0,"",_xlfn.XLOOKUP(Imput[[#This Row],[RFC]],'Alta Proveedor'!D:D,'Alta Proveedor'!E:E)),"")</f>
        <v/>
      </c>
      <c r="F3633" s="832"/>
      <c r="G3633" s="187"/>
      <c r="H3633" s="1"/>
      <c r="I3633" s="169">
        <f>Imput[[#This Row],[Cantidad]]*Imput[[#This Row],[Precio Unitario]]</f>
        <v>0</v>
      </c>
      <c r="J3633" s="11">
        <f>((Imput[[#This Row],[Sub total]])*(0.16))</f>
        <v>0</v>
      </c>
      <c r="K3633" s="11">
        <v>0</v>
      </c>
      <c r="L3633" s="169">
        <f>Imput[[#This Row],[Sub total]]+Imput[[#This Row],[IVA]]-Imput[[#This Row],[Retención / IEPS / Descuento]]</f>
        <v>0</v>
      </c>
      <c r="M3633" s="844">
        <v>0</v>
      </c>
      <c r="N3633" s="189"/>
      <c r="O3633" s="1"/>
      <c r="P3633" s="189"/>
      <c r="Q3633" s="190"/>
      <c r="R3633" s="188"/>
      <c r="S3633" s="193"/>
      <c r="T3633" s="192"/>
      <c r="U3633" s="829"/>
      <c r="V3633" s="10"/>
      <c r="W3633" s="10"/>
      <c r="X3633" s="10"/>
      <c r="Y3633" s="10"/>
      <c r="Z3633" s="10"/>
      <c r="AA3633" s="11"/>
      <c r="AB3633" s="11"/>
    </row>
    <row r="3634" spans="2:28" x14ac:dyDescent="0.3">
      <c r="B3634" s="10"/>
      <c r="C3634" s="315"/>
      <c r="D3634" s="868"/>
      <c r="E3634" s="837" t="str">
        <f>IFERROR(IF(_xlfn.XLOOKUP(Imput[[#This Row],[RFC]],'Alta Proveedor'!D:D,'Alta Proveedor'!E:E)=0,"",_xlfn.XLOOKUP(Imput[[#This Row],[RFC]],'Alta Proveedor'!D:D,'Alta Proveedor'!E:E)),"")</f>
        <v/>
      </c>
      <c r="F3634" s="832"/>
      <c r="G3634" s="187"/>
      <c r="H3634" s="1"/>
      <c r="I3634" s="169">
        <f>Imput[[#This Row],[Cantidad]]*Imput[[#This Row],[Precio Unitario]]</f>
        <v>0</v>
      </c>
      <c r="J3634" s="11">
        <f>((Imput[[#This Row],[Sub total]])*(0.16))</f>
        <v>0</v>
      </c>
      <c r="K3634" s="11">
        <v>0</v>
      </c>
      <c r="L3634" s="169">
        <f>Imput[[#This Row],[Sub total]]+Imput[[#This Row],[IVA]]-Imput[[#This Row],[Retención / IEPS / Descuento]]</f>
        <v>0</v>
      </c>
      <c r="M3634" s="844">
        <v>0</v>
      </c>
      <c r="N3634" s="189"/>
      <c r="O3634" s="1"/>
      <c r="P3634" s="189"/>
      <c r="Q3634" s="190"/>
      <c r="R3634" s="188"/>
      <c r="S3634" s="193"/>
      <c r="T3634" s="192"/>
      <c r="U3634" s="829"/>
      <c r="V3634" s="10"/>
      <c r="W3634" s="10"/>
      <c r="X3634" s="10"/>
      <c r="Y3634" s="10"/>
      <c r="Z3634" s="10"/>
      <c r="AA3634" s="11"/>
      <c r="AB3634" s="11"/>
    </row>
    <row r="3635" spans="2:28" x14ac:dyDescent="0.3">
      <c r="B3635" s="10"/>
      <c r="C3635" s="315"/>
      <c r="D3635" s="868"/>
      <c r="E3635" s="837" t="str">
        <f>IFERROR(IF(_xlfn.XLOOKUP(Imput[[#This Row],[RFC]],'Alta Proveedor'!D:D,'Alta Proveedor'!E:E)=0,"",_xlfn.XLOOKUP(Imput[[#This Row],[RFC]],'Alta Proveedor'!D:D,'Alta Proveedor'!E:E)),"")</f>
        <v/>
      </c>
      <c r="F3635" s="832"/>
      <c r="G3635" s="187"/>
      <c r="H3635" s="1"/>
      <c r="I3635" s="169">
        <f>Imput[[#This Row],[Cantidad]]*Imput[[#This Row],[Precio Unitario]]</f>
        <v>0</v>
      </c>
      <c r="J3635" s="11">
        <f>((Imput[[#This Row],[Sub total]])*(0.16))</f>
        <v>0</v>
      </c>
      <c r="K3635" s="11">
        <v>0</v>
      </c>
      <c r="L3635" s="169">
        <f>Imput[[#This Row],[Sub total]]+Imput[[#This Row],[IVA]]-Imput[[#This Row],[Retención / IEPS / Descuento]]</f>
        <v>0</v>
      </c>
      <c r="M3635" s="844">
        <v>0</v>
      </c>
      <c r="N3635" s="189"/>
      <c r="O3635" s="1"/>
      <c r="P3635" s="189"/>
      <c r="Q3635" s="190"/>
      <c r="R3635" s="188"/>
      <c r="S3635" s="193"/>
      <c r="T3635" s="192"/>
      <c r="U3635" s="829"/>
      <c r="V3635" s="10"/>
      <c r="W3635" s="10"/>
      <c r="X3635" s="10"/>
      <c r="Y3635" s="10"/>
      <c r="Z3635" s="10"/>
      <c r="AA3635" s="11"/>
      <c r="AB3635" s="11"/>
    </row>
    <row r="3636" spans="2:28" x14ac:dyDescent="0.3">
      <c r="B3636" s="10"/>
      <c r="C3636" s="315"/>
      <c r="D3636" s="868"/>
      <c r="E3636" s="837" t="str">
        <f>IFERROR(IF(_xlfn.XLOOKUP(Imput[[#This Row],[RFC]],'Alta Proveedor'!D:D,'Alta Proveedor'!E:E)=0,"",_xlfn.XLOOKUP(Imput[[#This Row],[RFC]],'Alta Proveedor'!D:D,'Alta Proveedor'!E:E)),"")</f>
        <v/>
      </c>
      <c r="F3636" s="832"/>
      <c r="G3636" s="187"/>
      <c r="H3636" s="1"/>
      <c r="I3636" s="169">
        <f>Imput[[#This Row],[Cantidad]]*Imput[[#This Row],[Precio Unitario]]</f>
        <v>0</v>
      </c>
      <c r="J3636" s="11">
        <f>((Imput[[#This Row],[Sub total]])*(0.16))</f>
        <v>0</v>
      </c>
      <c r="K3636" s="11">
        <v>0</v>
      </c>
      <c r="L3636" s="169">
        <f>Imput[[#This Row],[Sub total]]+Imput[[#This Row],[IVA]]-Imput[[#This Row],[Retención / IEPS / Descuento]]</f>
        <v>0</v>
      </c>
      <c r="M3636" s="844">
        <v>0</v>
      </c>
      <c r="N3636" s="189"/>
      <c r="O3636" s="1"/>
      <c r="P3636" s="189"/>
      <c r="Q3636" s="190"/>
      <c r="R3636" s="188"/>
      <c r="S3636" s="193"/>
      <c r="T3636" s="192"/>
      <c r="U3636" s="829"/>
      <c r="V3636" s="10"/>
      <c r="W3636" s="10"/>
      <c r="X3636" s="10"/>
      <c r="Y3636" s="10"/>
      <c r="Z3636" s="10"/>
      <c r="AA3636" s="11"/>
      <c r="AB3636" s="11"/>
    </row>
    <row r="3637" spans="2:28" x14ac:dyDescent="0.3">
      <c r="B3637" s="10"/>
      <c r="C3637" s="315"/>
      <c r="D3637" s="868"/>
      <c r="E3637" s="837" t="str">
        <f>IFERROR(IF(_xlfn.XLOOKUP(Imput[[#This Row],[RFC]],'Alta Proveedor'!D:D,'Alta Proveedor'!E:E)=0,"",_xlfn.XLOOKUP(Imput[[#This Row],[RFC]],'Alta Proveedor'!D:D,'Alta Proveedor'!E:E)),"")</f>
        <v/>
      </c>
      <c r="F3637" s="832"/>
      <c r="G3637" s="187"/>
      <c r="H3637" s="1"/>
      <c r="I3637" s="169">
        <f>Imput[[#This Row],[Cantidad]]*Imput[[#This Row],[Precio Unitario]]</f>
        <v>0</v>
      </c>
      <c r="J3637" s="11">
        <f>((Imput[[#This Row],[Sub total]])*(0.16))</f>
        <v>0</v>
      </c>
      <c r="K3637" s="11">
        <v>0</v>
      </c>
      <c r="L3637" s="169">
        <f>Imput[[#This Row],[Sub total]]+Imput[[#This Row],[IVA]]-Imput[[#This Row],[Retención / IEPS / Descuento]]</f>
        <v>0</v>
      </c>
      <c r="M3637" s="844">
        <v>0</v>
      </c>
      <c r="N3637" s="189"/>
      <c r="O3637" s="1"/>
      <c r="P3637" s="189"/>
      <c r="Q3637" s="190"/>
      <c r="R3637" s="188"/>
      <c r="S3637" s="193"/>
      <c r="T3637" s="192"/>
      <c r="U3637" s="829"/>
      <c r="V3637" s="10"/>
      <c r="W3637" s="10"/>
      <c r="X3637" s="10"/>
      <c r="Y3637" s="10"/>
      <c r="Z3637" s="10"/>
      <c r="AA3637" s="11"/>
      <c r="AB3637" s="11"/>
    </row>
    <row r="3638" spans="2:28" x14ac:dyDescent="0.3">
      <c r="B3638" s="10"/>
      <c r="C3638" s="315"/>
      <c r="D3638" s="868"/>
      <c r="E3638" s="837" t="str">
        <f>IFERROR(IF(_xlfn.XLOOKUP(Imput[[#This Row],[RFC]],'Alta Proveedor'!D:D,'Alta Proveedor'!E:E)=0,"",_xlfn.XLOOKUP(Imput[[#This Row],[RFC]],'Alta Proveedor'!D:D,'Alta Proveedor'!E:E)),"")</f>
        <v/>
      </c>
      <c r="F3638" s="832"/>
      <c r="G3638" s="187"/>
      <c r="H3638" s="1"/>
      <c r="I3638" s="169">
        <f>Imput[[#This Row],[Cantidad]]*Imput[[#This Row],[Precio Unitario]]</f>
        <v>0</v>
      </c>
      <c r="J3638" s="11">
        <f>((Imput[[#This Row],[Sub total]])*(0.16))</f>
        <v>0</v>
      </c>
      <c r="K3638" s="11">
        <v>0</v>
      </c>
      <c r="L3638" s="169">
        <f>Imput[[#This Row],[Sub total]]+Imput[[#This Row],[IVA]]-Imput[[#This Row],[Retención / IEPS / Descuento]]</f>
        <v>0</v>
      </c>
      <c r="M3638" s="844">
        <v>0</v>
      </c>
      <c r="N3638" s="189"/>
      <c r="O3638" s="1"/>
      <c r="P3638" s="189"/>
      <c r="Q3638" s="190"/>
      <c r="R3638" s="188"/>
      <c r="S3638" s="193"/>
      <c r="T3638" s="192"/>
      <c r="U3638" s="829"/>
      <c r="V3638" s="10"/>
      <c r="W3638" s="10"/>
      <c r="X3638" s="10"/>
      <c r="Y3638" s="10"/>
      <c r="Z3638" s="10"/>
      <c r="AA3638" s="11"/>
      <c r="AB3638" s="11"/>
    </row>
    <row r="3639" spans="2:28" x14ac:dyDescent="0.3">
      <c r="B3639" s="10"/>
      <c r="C3639" s="315"/>
      <c r="D3639" s="868"/>
      <c r="E3639" s="837" t="str">
        <f>IFERROR(IF(_xlfn.XLOOKUP(Imput[[#This Row],[RFC]],'Alta Proveedor'!D:D,'Alta Proveedor'!E:E)=0,"",_xlfn.XLOOKUP(Imput[[#This Row],[RFC]],'Alta Proveedor'!D:D,'Alta Proveedor'!E:E)),"")</f>
        <v/>
      </c>
      <c r="F3639" s="832"/>
      <c r="G3639" s="187"/>
      <c r="H3639" s="1"/>
      <c r="I3639" s="169">
        <f>Imput[[#This Row],[Cantidad]]*Imput[[#This Row],[Precio Unitario]]</f>
        <v>0</v>
      </c>
      <c r="J3639" s="11">
        <f>((Imput[[#This Row],[Sub total]])*(0.16))</f>
        <v>0</v>
      </c>
      <c r="K3639" s="11">
        <v>0</v>
      </c>
      <c r="L3639" s="169">
        <f>Imput[[#This Row],[Sub total]]+Imput[[#This Row],[IVA]]-Imput[[#This Row],[Retención / IEPS / Descuento]]</f>
        <v>0</v>
      </c>
      <c r="M3639" s="844">
        <v>0</v>
      </c>
      <c r="N3639" s="189"/>
      <c r="O3639" s="1"/>
      <c r="P3639" s="189"/>
      <c r="Q3639" s="190"/>
      <c r="R3639" s="188"/>
      <c r="S3639" s="193"/>
      <c r="T3639" s="192"/>
      <c r="U3639" s="829"/>
      <c r="V3639" s="10"/>
      <c r="W3639" s="10"/>
      <c r="X3639" s="10"/>
      <c r="Y3639" s="10"/>
      <c r="Z3639" s="10"/>
      <c r="AA3639" s="11"/>
      <c r="AB3639" s="11"/>
    </row>
    <row r="3640" spans="2:28" x14ac:dyDescent="0.3">
      <c r="B3640" s="10"/>
      <c r="C3640" s="315"/>
      <c r="D3640" s="868"/>
      <c r="E3640" s="837" t="str">
        <f>IFERROR(IF(_xlfn.XLOOKUP(Imput[[#This Row],[RFC]],'Alta Proveedor'!D:D,'Alta Proveedor'!E:E)=0,"",_xlfn.XLOOKUP(Imput[[#This Row],[RFC]],'Alta Proveedor'!D:D,'Alta Proveedor'!E:E)),"")</f>
        <v/>
      </c>
      <c r="F3640" s="832"/>
      <c r="G3640" s="187"/>
      <c r="H3640" s="1"/>
      <c r="I3640" s="169">
        <f>Imput[[#This Row],[Cantidad]]*Imput[[#This Row],[Precio Unitario]]</f>
        <v>0</v>
      </c>
      <c r="J3640" s="11">
        <f>((Imput[[#This Row],[Sub total]])*(0.16))</f>
        <v>0</v>
      </c>
      <c r="K3640" s="11">
        <v>0</v>
      </c>
      <c r="L3640" s="169">
        <f>Imput[[#This Row],[Sub total]]+Imput[[#This Row],[IVA]]-Imput[[#This Row],[Retención / IEPS / Descuento]]</f>
        <v>0</v>
      </c>
      <c r="M3640" s="844">
        <v>0</v>
      </c>
      <c r="N3640" s="189"/>
      <c r="O3640" s="1"/>
      <c r="P3640" s="189"/>
      <c r="Q3640" s="190"/>
      <c r="R3640" s="188"/>
      <c r="S3640" s="193"/>
      <c r="T3640" s="192"/>
      <c r="U3640" s="829"/>
      <c r="V3640" s="10"/>
      <c r="W3640" s="10"/>
      <c r="X3640" s="10"/>
      <c r="Y3640" s="10"/>
      <c r="Z3640" s="10"/>
      <c r="AA3640" s="11"/>
      <c r="AB3640" s="11"/>
    </row>
    <row r="3641" spans="2:28" x14ac:dyDescent="0.3">
      <c r="B3641" s="10"/>
      <c r="C3641" s="315"/>
      <c r="D3641" s="868"/>
      <c r="E3641" s="837" t="str">
        <f>IFERROR(IF(_xlfn.XLOOKUP(Imput[[#This Row],[RFC]],'Alta Proveedor'!D:D,'Alta Proveedor'!E:E)=0,"",_xlfn.XLOOKUP(Imput[[#This Row],[RFC]],'Alta Proveedor'!D:D,'Alta Proveedor'!E:E)),"")</f>
        <v/>
      </c>
      <c r="F3641" s="832"/>
      <c r="G3641" s="187"/>
      <c r="H3641" s="1"/>
      <c r="I3641" s="169">
        <f>Imput[[#This Row],[Cantidad]]*Imput[[#This Row],[Precio Unitario]]</f>
        <v>0</v>
      </c>
      <c r="J3641" s="11">
        <f>((Imput[[#This Row],[Sub total]])*(0.16))</f>
        <v>0</v>
      </c>
      <c r="K3641" s="11">
        <v>0</v>
      </c>
      <c r="L3641" s="169">
        <f>Imput[[#This Row],[Sub total]]+Imput[[#This Row],[IVA]]-Imput[[#This Row],[Retención / IEPS / Descuento]]</f>
        <v>0</v>
      </c>
      <c r="M3641" s="844">
        <v>0</v>
      </c>
      <c r="N3641" s="189"/>
      <c r="O3641" s="1"/>
      <c r="P3641" s="189"/>
      <c r="Q3641" s="190"/>
      <c r="R3641" s="188"/>
      <c r="S3641" s="193"/>
      <c r="T3641" s="192"/>
      <c r="U3641" s="829"/>
      <c r="V3641" s="10"/>
      <c r="W3641" s="10"/>
      <c r="X3641" s="10"/>
      <c r="Y3641" s="10"/>
      <c r="Z3641" s="10"/>
      <c r="AA3641" s="11"/>
      <c r="AB3641" s="11"/>
    </row>
    <row r="3642" spans="2:28" x14ac:dyDescent="0.3">
      <c r="B3642" s="10"/>
      <c r="C3642" s="315"/>
      <c r="D3642" s="868"/>
      <c r="E3642" s="837" t="str">
        <f>IFERROR(IF(_xlfn.XLOOKUP(Imput[[#This Row],[RFC]],'Alta Proveedor'!D:D,'Alta Proveedor'!E:E)=0,"",_xlfn.XLOOKUP(Imput[[#This Row],[RFC]],'Alta Proveedor'!D:D,'Alta Proveedor'!E:E)),"")</f>
        <v/>
      </c>
      <c r="F3642" s="832"/>
      <c r="G3642" s="187"/>
      <c r="H3642" s="1"/>
      <c r="I3642" s="169">
        <f>Imput[[#This Row],[Cantidad]]*Imput[[#This Row],[Precio Unitario]]</f>
        <v>0</v>
      </c>
      <c r="J3642" s="11">
        <f>((Imput[[#This Row],[Sub total]])*(0.16))</f>
        <v>0</v>
      </c>
      <c r="K3642" s="11">
        <v>0</v>
      </c>
      <c r="L3642" s="169">
        <f>Imput[[#This Row],[Sub total]]+Imput[[#This Row],[IVA]]-Imput[[#This Row],[Retención / IEPS / Descuento]]</f>
        <v>0</v>
      </c>
      <c r="M3642" s="844">
        <v>0</v>
      </c>
      <c r="N3642" s="189"/>
      <c r="O3642" s="1"/>
      <c r="P3642" s="189"/>
      <c r="Q3642" s="190"/>
      <c r="R3642" s="188"/>
      <c r="S3642" s="193"/>
      <c r="T3642" s="192"/>
      <c r="U3642" s="829"/>
      <c r="V3642" s="10"/>
      <c r="W3642" s="10"/>
      <c r="X3642" s="10"/>
      <c r="Y3642" s="10"/>
      <c r="Z3642" s="10"/>
      <c r="AA3642" s="11"/>
      <c r="AB3642" s="11"/>
    </row>
    <row r="3643" spans="2:28" x14ac:dyDescent="0.3">
      <c r="B3643" s="10"/>
      <c r="C3643" s="315"/>
      <c r="D3643" s="868"/>
      <c r="E3643" s="837" t="str">
        <f>IFERROR(IF(_xlfn.XLOOKUP(Imput[[#This Row],[RFC]],'Alta Proveedor'!D:D,'Alta Proveedor'!E:E)=0,"",_xlfn.XLOOKUP(Imput[[#This Row],[RFC]],'Alta Proveedor'!D:D,'Alta Proveedor'!E:E)),"")</f>
        <v/>
      </c>
      <c r="F3643" s="832"/>
      <c r="G3643" s="187"/>
      <c r="H3643" s="1"/>
      <c r="I3643" s="169">
        <f>Imput[[#This Row],[Cantidad]]*Imput[[#This Row],[Precio Unitario]]</f>
        <v>0</v>
      </c>
      <c r="J3643" s="11">
        <f>((Imput[[#This Row],[Sub total]])*(0.16))</f>
        <v>0</v>
      </c>
      <c r="K3643" s="11">
        <v>0</v>
      </c>
      <c r="L3643" s="169">
        <f>Imput[[#This Row],[Sub total]]+Imput[[#This Row],[IVA]]-Imput[[#This Row],[Retención / IEPS / Descuento]]</f>
        <v>0</v>
      </c>
      <c r="M3643" s="844">
        <v>0</v>
      </c>
      <c r="N3643" s="189"/>
      <c r="O3643" s="1"/>
      <c r="P3643" s="189"/>
      <c r="Q3643" s="190"/>
      <c r="R3643" s="188"/>
      <c r="S3643" s="193"/>
      <c r="T3643" s="192"/>
      <c r="U3643" s="829"/>
      <c r="V3643" s="10"/>
      <c r="W3643" s="10"/>
      <c r="X3643" s="10"/>
      <c r="Y3643" s="10"/>
      <c r="Z3643" s="10"/>
      <c r="AA3643" s="11"/>
      <c r="AB3643" s="11"/>
    </row>
    <row r="3644" spans="2:28" x14ac:dyDescent="0.3">
      <c r="B3644" s="10"/>
      <c r="C3644" s="315"/>
      <c r="D3644" s="868"/>
      <c r="E3644" s="837" t="str">
        <f>IFERROR(IF(_xlfn.XLOOKUP(Imput[[#This Row],[RFC]],'Alta Proveedor'!D:D,'Alta Proveedor'!E:E)=0,"",_xlfn.XLOOKUP(Imput[[#This Row],[RFC]],'Alta Proveedor'!D:D,'Alta Proveedor'!E:E)),"")</f>
        <v/>
      </c>
      <c r="F3644" s="832"/>
      <c r="G3644" s="187"/>
      <c r="H3644" s="1"/>
      <c r="I3644" s="169">
        <f>Imput[[#This Row],[Cantidad]]*Imput[[#This Row],[Precio Unitario]]</f>
        <v>0</v>
      </c>
      <c r="J3644" s="11">
        <f>((Imput[[#This Row],[Sub total]])*(0.16))</f>
        <v>0</v>
      </c>
      <c r="K3644" s="11">
        <v>0</v>
      </c>
      <c r="L3644" s="169">
        <f>Imput[[#This Row],[Sub total]]+Imput[[#This Row],[IVA]]-Imput[[#This Row],[Retención / IEPS / Descuento]]</f>
        <v>0</v>
      </c>
      <c r="M3644" s="844">
        <v>0</v>
      </c>
      <c r="N3644" s="189"/>
      <c r="O3644" s="1"/>
      <c r="P3644" s="189"/>
      <c r="Q3644" s="190"/>
      <c r="R3644" s="188"/>
      <c r="S3644" s="193"/>
      <c r="T3644" s="192"/>
      <c r="U3644" s="829"/>
      <c r="V3644" s="10"/>
      <c r="W3644" s="10"/>
      <c r="X3644" s="10"/>
      <c r="Y3644" s="10"/>
      <c r="Z3644" s="10"/>
      <c r="AA3644" s="11"/>
      <c r="AB3644" s="11"/>
    </row>
    <row r="3645" spans="2:28" x14ac:dyDescent="0.3">
      <c r="B3645" s="10"/>
      <c r="C3645" s="315"/>
      <c r="D3645" s="868"/>
      <c r="E3645" s="837" t="str">
        <f>IFERROR(IF(_xlfn.XLOOKUP(Imput[[#This Row],[RFC]],'Alta Proveedor'!D:D,'Alta Proveedor'!E:E)=0,"",_xlfn.XLOOKUP(Imput[[#This Row],[RFC]],'Alta Proveedor'!D:D,'Alta Proveedor'!E:E)),"")</f>
        <v/>
      </c>
      <c r="F3645" s="832"/>
      <c r="G3645" s="187"/>
      <c r="H3645" s="1"/>
      <c r="I3645" s="169">
        <f>Imput[[#This Row],[Cantidad]]*Imput[[#This Row],[Precio Unitario]]</f>
        <v>0</v>
      </c>
      <c r="J3645" s="11">
        <f>((Imput[[#This Row],[Sub total]])*(0.16))</f>
        <v>0</v>
      </c>
      <c r="K3645" s="11">
        <v>0</v>
      </c>
      <c r="L3645" s="169">
        <f>Imput[[#This Row],[Sub total]]+Imput[[#This Row],[IVA]]-Imput[[#This Row],[Retención / IEPS / Descuento]]</f>
        <v>0</v>
      </c>
      <c r="M3645" s="844">
        <v>0</v>
      </c>
      <c r="N3645" s="189"/>
      <c r="O3645" s="1"/>
      <c r="P3645" s="189"/>
      <c r="Q3645" s="190"/>
      <c r="R3645" s="188"/>
      <c r="S3645" s="193"/>
      <c r="T3645" s="192"/>
      <c r="U3645" s="829"/>
      <c r="V3645" s="10"/>
      <c r="W3645" s="10"/>
      <c r="X3645" s="10"/>
      <c r="Y3645" s="10"/>
      <c r="Z3645" s="10"/>
      <c r="AA3645" s="11"/>
      <c r="AB3645" s="11"/>
    </row>
    <row r="3646" spans="2:28" x14ac:dyDescent="0.3">
      <c r="B3646" s="10"/>
      <c r="C3646" s="315"/>
      <c r="D3646" s="868"/>
      <c r="E3646" s="837" t="str">
        <f>IFERROR(IF(_xlfn.XLOOKUP(Imput[[#This Row],[RFC]],'Alta Proveedor'!D:D,'Alta Proveedor'!E:E)=0,"",_xlfn.XLOOKUP(Imput[[#This Row],[RFC]],'Alta Proveedor'!D:D,'Alta Proveedor'!E:E)),"")</f>
        <v/>
      </c>
      <c r="F3646" s="832"/>
      <c r="G3646" s="187"/>
      <c r="H3646" s="1"/>
      <c r="I3646" s="169">
        <f>Imput[[#This Row],[Cantidad]]*Imput[[#This Row],[Precio Unitario]]</f>
        <v>0</v>
      </c>
      <c r="J3646" s="11">
        <f>((Imput[[#This Row],[Sub total]])*(0.16))</f>
        <v>0</v>
      </c>
      <c r="K3646" s="11">
        <v>0</v>
      </c>
      <c r="L3646" s="169">
        <f>Imput[[#This Row],[Sub total]]+Imput[[#This Row],[IVA]]-Imput[[#This Row],[Retención / IEPS / Descuento]]</f>
        <v>0</v>
      </c>
      <c r="M3646" s="844">
        <v>0</v>
      </c>
      <c r="N3646" s="189"/>
      <c r="O3646" s="1"/>
      <c r="P3646" s="189"/>
      <c r="Q3646" s="190"/>
      <c r="R3646" s="188"/>
      <c r="S3646" s="193"/>
      <c r="T3646" s="192"/>
      <c r="U3646" s="829"/>
      <c r="V3646" s="10"/>
      <c r="W3646" s="10"/>
      <c r="X3646" s="10"/>
      <c r="Y3646" s="10"/>
      <c r="Z3646" s="10"/>
      <c r="AA3646" s="11"/>
      <c r="AB3646" s="11"/>
    </row>
    <row r="3647" spans="2:28" x14ac:dyDescent="0.3">
      <c r="B3647" s="10"/>
      <c r="C3647" s="315"/>
      <c r="D3647" s="868"/>
      <c r="E3647" s="837" t="str">
        <f>IFERROR(IF(_xlfn.XLOOKUP(Imput[[#This Row],[RFC]],'Alta Proveedor'!D:D,'Alta Proveedor'!E:E)=0,"",_xlfn.XLOOKUP(Imput[[#This Row],[RFC]],'Alta Proveedor'!D:D,'Alta Proveedor'!E:E)),"")</f>
        <v/>
      </c>
      <c r="F3647" s="832"/>
      <c r="G3647" s="187"/>
      <c r="H3647" s="1"/>
      <c r="I3647" s="169">
        <f>Imput[[#This Row],[Cantidad]]*Imput[[#This Row],[Precio Unitario]]</f>
        <v>0</v>
      </c>
      <c r="J3647" s="11">
        <f>((Imput[[#This Row],[Sub total]])*(0.16))</f>
        <v>0</v>
      </c>
      <c r="K3647" s="11">
        <v>0</v>
      </c>
      <c r="L3647" s="169">
        <f>Imput[[#This Row],[Sub total]]+Imput[[#This Row],[IVA]]-Imput[[#This Row],[Retención / IEPS / Descuento]]</f>
        <v>0</v>
      </c>
      <c r="M3647" s="844">
        <v>0</v>
      </c>
      <c r="N3647" s="189"/>
      <c r="O3647" s="1"/>
      <c r="P3647" s="189"/>
      <c r="Q3647" s="190"/>
      <c r="R3647" s="188"/>
      <c r="S3647" s="193"/>
      <c r="T3647" s="192"/>
      <c r="U3647" s="829"/>
      <c r="V3647" s="10"/>
      <c r="W3647" s="10"/>
      <c r="X3647" s="10"/>
      <c r="Y3647" s="10"/>
      <c r="Z3647" s="10"/>
      <c r="AA3647" s="11"/>
      <c r="AB3647" s="11"/>
    </row>
    <row r="3648" spans="2:28" x14ac:dyDescent="0.3">
      <c r="B3648" s="10"/>
      <c r="C3648" s="315"/>
      <c r="D3648" s="868"/>
      <c r="E3648" s="837" t="str">
        <f>IFERROR(IF(_xlfn.XLOOKUP(Imput[[#This Row],[RFC]],'Alta Proveedor'!D:D,'Alta Proveedor'!E:E)=0,"",_xlfn.XLOOKUP(Imput[[#This Row],[RFC]],'Alta Proveedor'!D:D,'Alta Proveedor'!E:E)),"")</f>
        <v/>
      </c>
      <c r="F3648" s="832"/>
      <c r="G3648" s="187"/>
      <c r="H3648" s="1"/>
      <c r="I3648" s="169">
        <f>Imput[[#This Row],[Cantidad]]*Imput[[#This Row],[Precio Unitario]]</f>
        <v>0</v>
      </c>
      <c r="J3648" s="11">
        <f>((Imput[[#This Row],[Sub total]])*(0.16))</f>
        <v>0</v>
      </c>
      <c r="K3648" s="11">
        <v>0</v>
      </c>
      <c r="L3648" s="169">
        <f>Imput[[#This Row],[Sub total]]+Imput[[#This Row],[IVA]]-Imput[[#This Row],[Retención / IEPS / Descuento]]</f>
        <v>0</v>
      </c>
      <c r="M3648" s="844">
        <v>0</v>
      </c>
      <c r="N3648" s="189"/>
      <c r="O3648" s="1"/>
      <c r="P3648" s="189"/>
      <c r="Q3648" s="190"/>
      <c r="R3648" s="188"/>
      <c r="S3648" s="193"/>
      <c r="T3648" s="192"/>
      <c r="U3648" s="829"/>
      <c r="V3648" s="10"/>
      <c r="W3648" s="10"/>
      <c r="X3648" s="10"/>
      <c r="Y3648" s="10"/>
      <c r="Z3648" s="10"/>
      <c r="AA3648" s="11"/>
      <c r="AB3648" s="11"/>
    </row>
    <row r="3649" spans="2:28" x14ac:dyDescent="0.3">
      <c r="B3649" s="10"/>
      <c r="C3649" s="315"/>
      <c r="D3649" s="868"/>
      <c r="E3649" s="837" t="str">
        <f>IFERROR(IF(_xlfn.XLOOKUP(Imput[[#This Row],[RFC]],'Alta Proveedor'!D:D,'Alta Proveedor'!E:E)=0,"",_xlfn.XLOOKUP(Imput[[#This Row],[RFC]],'Alta Proveedor'!D:D,'Alta Proveedor'!E:E)),"")</f>
        <v/>
      </c>
      <c r="F3649" s="832"/>
      <c r="G3649" s="187"/>
      <c r="H3649" s="1"/>
      <c r="I3649" s="169">
        <f>Imput[[#This Row],[Cantidad]]*Imput[[#This Row],[Precio Unitario]]</f>
        <v>0</v>
      </c>
      <c r="J3649" s="11">
        <f>((Imput[[#This Row],[Sub total]])*(0.16))</f>
        <v>0</v>
      </c>
      <c r="K3649" s="11">
        <v>0</v>
      </c>
      <c r="L3649" s="169">
        <f>Imput[[#This Row],[Sub total]]+Imput[[#This Row],[IVA]]-Imput[[#This Row],[Retención / IEPS / Descuento]]</f>
        <v>0</v>
      </c>
      <c r="M3649" s="844">
        <v>0</v>
      </c>
      <c r="N3649" s="189"/>
      <c r="O3649" s="1"/>
      <c r="P3649" s="189"/>
      <c r="Q3649" s="190"/>
      <c r="R3649" s="188"/>
      <c r="S3649" s="193"/>
      <c r="T3649" s="192"/>
      <c r="U3649" s="829"/>
      <c r="V3649" s="10"/>
      <c r="W3649" s="10"/>
      <c r="X3649" s="10"/>
      <c r="Y3649" s="10"/>
      <c r="Z3649" s="10"/>
      <c r="AA3649" s="11"/>
      <c r="AB3649" s="11"/>
    </row>
    <row r="3650" spans="2:28" x14ac:dyDescent="0.3">
      <c r="B3650" s="10"/>
      <c r="C3650" s="315"/>
      <c r="D3650" s="868"/>
      <c r="E3650" s="837" t="str">
        <f>IFERROR(IF(_xlfn.XLOOKUP(Imput[[#This Row],[RFC]],'Alta Proveedor'!D:D,'Alta Proveedor'!E:E)=0,"",_xlfn.XLOOKUP(Imput[[#This Row],[RFC]],'Alta Proveedor'!D:D,'Alta Proveedor'!E:E)),"")</f>
        <v/>
      </c>
      <c r="F3650" s="832"/>
      <c r="G3650" s="187"/>
      <c r="H3650" s="1"/>
      <c r="I3650" s="169">
        <f>Imput[[#This Row],[Cantidad]]*Imput[[#This Row],[Precio Unitario]]</f>
        <v>0</v>
      </c>
      <c r="J3650" s="11">
        <f>((Imput[[#This Row],[Sub total]])*(0.16))</f>
        <v>0</v>
      </c>
      <c r="K3650" s="11">
        <v>0</v>
      </c>
      <c r="L3650" s="169">
        <f>Imput[[#This Row],[Sub total]]+Imput[[#This Row],[IVA]]-Imput[[#This Row],[Retención / IEPS / Descuento]]</f>
        <v>0</v>
      </c>
      <c r="M3650" s="844">
        <v>0</v>
      </c>
      <c r="N3650" s="189"/>
      <c r="O3650" s="1"/>
      <c r="P3650" s="189"/>
      <c r="Q3650" s="190"/>
      <c r="R3650" s="188"/>
      <c r="S3650" s="193"/>
      <c r="T3650" s="192"/>
      <c r="U3650" s="829"/>
      <c r="V3650" s="10"/>
      <c r="W3650" s="10"/>
      <c r="X3650" s="10"/>
      <c r="Y3650" s="10"/>
      <c r="Z3650" s="10"/>
      <c r="AA3650" s="11"/>
      <c r="AB3650" s="11"/>
    </row>
    <row r="3651" spans="2:28" x14ac:dyDescent="0.3">
      <c r="B3651" s="10"/>
      <c r="C3651" s="315"/>
      <c r="D3651" s="868"/>
      <c r="E3651" s="837" t="str">
        <f>IFERROR(IF(_xlfn.XLOOKUP(Imput[[#This Row],[RFC]],'Alta Proveedor'!D:D,'Alta Proveedor'!E:E)=0,"",_xlfn.XLOOKUP(Imput[[#This Row],[RFC]],'Alta Proveedor'!D:D,'Alta Proveedor'!E:E)),"")</f>
        <v/>
      </c>
      <c r="F3651" s="832"/>
      <c r="G3651" s="187"/>
      <c r="H3651" s="1"/>
      <c r="I3651" s="169">
        <f>Imput[[#This Row],[Cantidad]]*Imput[[#This Row],[Precio Unitario]]</f>
        <v>0</v>
      </c>
      <c r="J3651" s="11">
        <f>((Imput[[#This Row],[Sub total]])*(0.16))</f>
        <v>0</v>
      </c>
      <c r="K3651" s="11">
        <v>0</v>
      </c>
      <c r="L3651" s="169">
        <f>Imput[[#This Row],[Sub total]]+Imput[[#This Row],[IVA]]-Imput[[#This Row],[Retención / IEPS / Descuento]]</f>
        <v>0</v>
      </c>
      <c r="M3651" s="844">
        <v>0</v>
      </c>
      <c r="N3651" s="189"/>
      <c r="O3651" s="1"/>
      <c r="P3651" s="189"/>
      <c r="Q3651" s="190"/>
      <c r="R3651" s="188"/>
      <c r="S3651" s="193"/>
      <c r="T3651" s="192"/>
      <c r="U3651" s="829"/>
      <c r="V3651" s="10"/>
      <c r="W3651" s="10"/>
      <c r="X3651" s="10"/>
      <c r="Y3651" s="10"/>
      <c r="Z3651" s="10"/>
      <c r="AA3651" s="11"/>
      <c r="AB3651" s="11"/>
    </row>
    <row r="3652" spans="2:28" x14ac:dyDescent="0.3">
      <c r="B3652" s="10"/>
      <c r="C3652" s="315"/>
      <c r="D3652" s="868"/>
      <c r="E3652" s="837" t="str">
        <f>IFERROR(IF(_xlfn.XLOOKUP(Imput[[#This Row],[RFC]],'Alta Proveedor'!D:D,'Alta Proveedor'!E:E)=0,"",_xlfn.XLOOKUP(Imput[[#This Row],[RFC]],'Alta Proveedor'!D:D,'Alta Proveedor'!E:E)),"")</f>
        <v/>
      </c>
      <c r="F3652" s="832"/>
      <c r="G3652" s="187"/>
      <c r="H3652" s="1"/>
      <c r="I3652" s="169">
        <f>Imput[[#This Row],[Cantidad]]*Imput[[#This Row],[Precio Unitario]]</f>
        <v>0</v>
      </c>
      <c r="J3652" s="11">
        <f>((Imput[[#This Row],[Sub total]])*(0.16))</f>
        <v>0</v>
      </c>
      <c r="K3652" s="11">
        <v>0</v>
      </c>
      <c r="L3652" s="169">
        <f>Imput[[#This Row],[Sub total]]+Imput[[#This Row],[IVA]]-Imput[[#This Row],[Retención / IEPS / Descuento]]</f>
        <v>0</v>
      </c>
      <c r="M3652" s="844">
        <v>0</v>
      </c>
      <c r="N3652" s="189"/>
      <c r="O3652" s="1"/>
      <c r="P3652" s="189"/>
      <c r="Q3652" s="190"/>
      <c r="R3652" s="188"/>
      <c r="S3652" s="193"/>
      <c r="T3652" s="192"/>
      <c r="U3652" s="829"/>
      <c r="V3652" s="10"/>
      <c r="W3652" s="10"/>
      <c r="X3652" s="10"/>
      <c r="Y3652" s="10"/>
      <c r="Z3652" s="10"/>
      <c r="AA3652" s="11"/>
      <c r="AB3652" s="11"/>
    </row>
    <row r="3653" spans="2:28" x14ac:dyDescent="0.3">
      <c r="B3653" s="10"/>
      <c r="C3653" s="315"/>
      <c r="D3653" s="868"/>
      <c r="E3653" s="837" t="str">
        <f>IFERROR(IF(_xlfn.XLOOKUP(Imput[[#This Row],[RFC]],'Alta Proveedor'!D:D,'Alta Proveedor'!E:E)=0,"",_xlfn.XLOOKUP(Imput[[#This Row],[RFC]],'Alta Proveedor'!D:D,'Alta Proveedor'!E:E)),"")</f>
        <v/>
      </c>
      <c r="F3653" s="832"/>
      <c r="G3653" s="187"/>
      <c r="H3653" s="1"/>
      <c r="I3653" s="169">
        <f>Imput[[#This Row],[Cantidad]]*Imput[[#This Row],[Precio Unitario]]</f>
        <v>0</v>
      </c>
      <c r="J3653" s="11">
        <f>((Imput[[#This Row],[Sub total]])*(0.16))</f>
        <v>0</v>
      </c>
      <c r="K3653" s="11">
        <v>0</v>
      </c>
      <c r="L3653" s="169">
        <f>Imput[[#This Row],[Sub total]]+Imput[[#This Row],[IVA]]-Imput[[#This Row],[Retención / IEPS / Descuento]]</f>
        <v>0</v>
      </c>
      <c r="M3653" s="844">
        <v>0</v>
      </c>
      <c r="N3653" s="189"/>
      <c r="O3653" s="1"/>
      <c r="P3653" s="189"/>
      <c r="Q3653" s="190"/>
      <c r="R3653" s="188"/>
      <c r="S3653" s="193"/>
      <c r="T3653" s="192"/>
      <c r="U3653" s="829"/>
      <c r="V3653" s="10"/>
      <c r="W3653" s="10"/>
      <c r="X3653" s="10"/>
      <c r="Y3653" s="10"/>
      <c r="Z3653" s="10"/>
      <c r="AA3653" s="11"/>
      <c r="AB3653" s="11"/>
    </row>
    <row r="3654" spans="2:28" x14ac:dyDescent="0.3">
      <c r="B3654" s="10"/>
      <c r="C3654" s="315"/>
      <c r="D3654" s="868"/>
      <c r="E3654" s="837" t="str">
        <f>IFERROR(IF(_xlfn.XLOOKUP(Imput[[#This Row],[RFC]],'Alta Proveedor'!D:D,'Alta Proveedor'!E:E)=0,"",_xlfn.XLOOKUP(Imput[[#This Row],[RFC]],'Alta Proveedor'!D:D,'Alta Proveedor'!E:E)),"")</f>
        <v/>
      </c>
      <c r="F3654" s="832"/>
      <c r="G3654" s="187"/>
      <c r="H3654" s="1"/>
      <c r="I3654" s="169">
        <f>Imput[[#This Row],[Cantidad]]*Imput[[#This Row],[Precio Unitario]]</f>
        <v>0</v>
      </c>
      <c r="J3654" s="11">
        <f>((Imput[[#This Row],[Sub total]])*(0.16))</f>
        <v>0</v>
      </c>
      <c r="K3654" s="11">
        <v>0</v>
      </c>
      <c r="L3654" s="169">
        <f>Imput[[#This Row],[Sub total]]+Imput[[#This Row],[IVA]]-Imput[[#This Row],[Retención / IEPS / Descuento]]</f>
        <v>0</v>
      </c>
      <c r="M3654" s="844">
        <v>0</v>
      </c>
      <c r="N3654" s="189"/>
      <c r="O3654" s="1"/>
      <c r="P3654" s="189"/>
      <c r="Q3654" s="190"/>
      <c r="R3654" s="188"/>
      <c r="S3654" s="193"/>
      <c r="T3654" s="192"/>
      <c r="U3654" s="829"/>
      <c r="V3654" s="10"/>
      <c r="W3654" s="10"/>
      <c r="X3654" s="10"/>
      <c r="Y3654" s="10"/>
      <c r="Z3654" s="10"/>
      <c r="AA3654" s="11"/>
      <c r="AB3654" s="11"/>
    </row>
    <row r="3655" spans="2:28" x14ac:dyDescent="0.3">
      <c r="B3655" s="10"/>
      <c r="C3655" s="315"/>
      <c r="D3655" s="868"/>
      <c r="E3655" s="837" t="str">
        <f>IFERROR(IF(_xlfn.XLOOKUP(Imput[[#This Row],[RFC]],'Alta Proveedor'!D:D,'Alta Proveedor'!E:E)=0,"",_xlfn.XLOOKUP(Imput[[#This Row],[RFC]],'Alta Proveedor'!D:D,'Alta Proveedor'!E:E)),"")</f>
        <v/>
      </c>
      <c r="F3655" s="832"/>
      <c r="G3655" s="187"/>
      <c r="H3655" s="1"/>
      <c r="I3655" s="169">
        <f>Imput[[#This Row],[Cantidad]]*Imput[[#This Row],[Precio Unitario]]</f>
        <v>0</v>
      </c>
      <c r="J3655" s="11">
        <f>((Imput[[#This Row],[Sub total]])*(0.16))</f>
        <v>0</v>
      </c>
      <c r="K3655" s="11">
        <v>0</v>
      </c>
      <c r="L3655" s="169">
        <f>Imput[[#This Row],[Sub total]]+Imput[[#This Row],[IVA]]-Imput[[#This Row],[Retención / IEPS / Descuento]]</f>
        <v>0</v>
      </c>
      <c r="M3655" s="844">
        <v>0</v>
      </c>
      <c r="N3655" s="189"/>
      <c r="O3655" s="1"/>
      <c r="P3655" s="189"/>
      <c r="Q3655" s="190"/>
      <c r="R3655" s="188"/>
      <c r="S3655" s="193"/>
      <c r="T3655" s="192"/>
      <c r="U3655" s="829"/>
      <c r="V3655" s="10"/>
      <c r="W3655" s="10"/>
      <c r="X3655" s="10"/>
      <c r="Y3655" s="10"/>
      <c r="Z3655" s="10"/>
      <c r="AA3655" s="11"/>
      <c r="AB3655" s="11"/>
    </row>
    <row r="3656" spans="2:28" x14ac:dyDescent="0.3">
      <c r="B3656" s="10"/>
      <c r="C3656" s="315"/>
      <c r="D3656" s="868"/>
      <c r="E3656" s="837" t="str">
        <f>IFERROR(IF(_xlfn.XLOOKUP(Imput[[#This Row],[RFC]],'Alta Proveedor'!D:D,'Alta Proveedor'!E:E)=0,"",_xlfn.XLOOKUP(Imput[[#This Row],[RFC]],'Alta Proveedor'!D:D,'Alta Proveedor'!E:E)),"")</f>
        <v/>
      </c>
      <c r="F3656" s="832"/>
      <c r="G3656" s="187"/>
      <c r="H3656" s="1"/>
      <c r="I3656" s="169">
        <f>Imput[[#This Row],[Cantidad]]*Imput[[#This Row],[Precio Unitario]]</f>
        <v>0</v>
      </c>
      <c r="J3656" s="11">
        <f>((Imput[[#This Row],[Sub total]])*(0.16))</f>
        <v>0</v>
      </c>
      <c r="K3656" s="11">
        <v>0</v>
      </c>
      <c r="L3656" s="169">
        <f>Imput[[#This Row],[Sub total]]+Imput[[#This Row],[IVA]]-Imput[[#This Row],[Retención / IEPS / Descuento]]</f>
        <v>0</v>
      </c>
      <c r="M3656" s="844">
        <v>0</v>
      </c>
      <c r="N3656" s="189"/>
      <c r="O3656" s="1"/>
      <c r="P3656" s="189"/>
      <c r="Q3656" s="190"/>
      <c r="R3656" s="188"/>
      <c r="S3656" s="193"/>
      <c r="T3656" s="192"/>
      <c r="U3656" s="829"/>
      <c r="V3656" s="10"/>
      <c r="W3656" s="10"/>
      <c r="X3656" s="10"/>
      <c r="Y3656" s="10"/>
      <c r="Z3656" s="10"/>
      <c r="AA3656" s="11"/>
      <c r="AB3656" s="11"/>
    </row>
    <row r="3657" spans="2:28" x14ac:dyDescent="0.3">
      <c r="B3657" s="10"/>
      <c r="C3657" s="315"/>
      <c r="D3657" s="868"/>
      <c r="E3657" s="837" t="str">
        <f>IFERROR(IF(_xlfn.XLOOKUP(Imput[[#This Row],[RFC]],'Alta Proveedor'!D:D,'Alta Proveedor'!E:E)=0,"",_xlfn.XLOOKUP(Imput[[#This Row],[RFC]],'Alta Proveedor'!D:D,'Alta Proveedor'!E:E)),"")</f>
        <v/>
      </c>
      <c r="F3657" s="832"/>
      <c r="G3657" s="187"/>
      <c r="H3657" s="1"/>
      <c r="I3657" s="169">
        <f>Imput[[#This Row],[Cantidad]]*Imput[[#This Row],[Precio Unitario]]</f>
        <v>0</v>
      </c>
      <c r="J3657" s="11">
        <f>((Imput[[#This Row],[Sub total]])*(0.16))</f>
        <v>0</v>
      </c>
      <c r="K3657" s="11">
        <v>0</v>
      </c>
      <c r="L3657" s="169">
        <f>Imput[[#This Row],[Sub total]]+Imput[[#This Row],[IVA]]-Imput[[#This Row],[Retención / IEPS / Descuento]]</f>
        <v>0</v>
      </c>
      <c r="M3657" s="844">
        <v>0</v>
      </c>
      <c r="N3657" s="189"/>
      <c r="O3657" s="1"/>
      <c r="P3657" s="189"/>
      <c r="Q3657" s="190"/>
      <c r="R3657" s="188"/>
      <c r="S3657" s="193"/>
      <c r="T3657" s="192"/>
      <c r="U3657" s="829"/>
      <c r="V3657" s="10"/>
      <c r="W3657" s="10"/>
      <c r="X3657" s="10"/>
      <c r="Y3657" s="10"/>
      <c r="Z3657" s="10"/>
      <c r="AA3657" s="11"/>
      <c r="AB3657" s="11"/>
    </row>
    <row r="3658" spans="2:28" x14ac:dyDescent="0.3">
      <c r="B3658" s="10"/>
      <c r="C3658" s="315"/>
      <c r="D3658" s="868"/>
      <c r="E3658" s="837" t="str">
        <f>IFERROR(IF(_xlfn.XLOOKUP(Imput[[#This Row],[RFC]],'Alta Proveedor'!D:D,'Alta Proveedor'!E:E)=0,"",_xlfn.XLOOKUP(Imput[[#This Row],[RFC]],'Alta Proveedor'!D:D,'Alta Proveedor'!E:E)),"")</f>
        <v/>
      </c>
      <c r="F3658" s="832"/>
      <c r="G3658" s="187"/>
      <c r="H3658" s="1"/>
      <c r="I3658" s="169">
        <f>Imput[[#This Row],[Cantidad]]*Imput[[#This Row],[Precio Unitario]]</f>
        <v>0</v>
      </c>
      <c r="J3658" s="11">
        <f>((Imput[[#This Row],[Sub total]])*(0.16))</f>
        <v>0</v>
      </c>
      <c r="K3658" s="11">
        <v>0</v>
      </c>
      <c r="L3658" s="169">
        <f>Imput[[#This Row],[Sub total]]+Imput[[#This Row],[IVA]]-Imput[[#This Row],[Retención / IEPS / Descuento]]</f>
        <v>0</v>
      </c>
      <c r="M3658" s="844">
        <v>0</v>
      </c>
      <c r="N3658" s="189"/>
      <c r="O3658" s="1"/>
      <c r="P3658" s="189"/>
      <c r="Q3658" s="190"/>
      <c r="R3658" s="188"/>
      <c r="S3658" s="193"/>
      <c r="T3658" s="192"/>
      <c r="U3658" s="829"/>
      <c r="V3658" s="10"/>
      <c r="W3658" s="10"/>
      <c r="X3658" s="10"/>
      <c r="Y3658" s="10"/>
      <c r="Z3658" s="10"/>
      <c r="AA3658" s="11"/>
      <c r="AB3658" s="11"/>
    </row>
    <row r="3659" spans="2:28" x14ac:dyDescent="0.3">
      <c r="B3659" s="10"/>
      <c r="C3659" s="315"/>
      <c r="D3659" s="868"/>
      <c r="E3659" s="837" t="str">
        <f>IFERROR(IF(_xlfn.XLOOKUP(Imput[[#This Row],[RFC]],'Alta Proveedor'!D:D,'Alta Proveedor'!E:E)=0,"",_xlfn.XLOOKUP(Imput[[#This Row],[RFC]],'Alta Proveedor'!D:D,'Alta Proveedor'!E:E)),"")</f>
        <v/>
      </c>
      <c r="F3659" s="832"/>
      <c r="G3659" s="187"/>
      <c r="H3659" s="1"/>
      <c r="I3659" s="169">
        <f>Imput[[#This Row],[Cantidad]]*Imput[[#This Row],[Precio Unitario]]</f>
        <v>0</v>
      </c>
      <c r="J3659" s="11">
        <f>((Imput[[#This Row],[Sub total]])*(0.16))</f>
        <v>0</v>
      </c>
      <c r="K3659" s="11">
        <v>0</v>
      </c>
      <c r="L3659" s="169">
        <f>Imput[[#This Row],[Sub total]]+Imput[[#This Row],[IVA]]-Imput[[#This Row],[Retención / IEPS / Descuento]]</f>
        <v>0</v>
      </c>
      <c r="M3659" s="844">
        <v>0</v>
      </c>
      <c r="N3659" s="189"/>
      <c r="O3659" s="1"/>
      <c r="P3659" s="189"/>
      <c r="Q3659" s="190"/>
      <c r="R3659" s="188"/>
      <c r="S3659" s="193"/>
      <c r="T3659" s="192"/>
      <c r="U3659" s="829"/>
      <c r="V3659" s="10"/>
      <c r="W3659" s="10"/>
      <c r="X3659" s="10"/>
      <c r="Y3659" s="10"/>
      <c r="Z3659" s="10"/>
      <c r="AA3659" s="11"/>
      <c r="AB3659" s="11"/>
    </row>
    <row r="3660" spans="2:28" x14ac:dyDescent="0.3">
      <c r="B3660" s="10"/>
      <c r="C3660" s="315"/>
      <c r="D3660" s="868"/>
      <c r="E3660" s="837" t="str">
        <f>IFERROR(IF(_xlfn.XLOOKUP(Imput[[#This Row],[RFC]],'Alta Proveedor'!D:D,'Alta Proveedor'!E:E)=0,"",_xlfn.XLOOKUP(Imput[[#This Row],[RFC]],'Alta Proveedor'!D:D,'Alta Proveedor'!E:E)),"")</f>
        <v/>
      </c>
      <c r="F3660" s="832"/>
      <c r="G3660" s="187"/>
      <c r="H3660" s="1"/>
      <c r="I3660" s="169">
        <f>Imput[[#This Row],[Cantidad]]*Imput[[#This Row],[Precio Unitario]]</f>
        <v>0</v>
      </c>
      <c r="J3660" s="11">
        <f>((Imput[[#This Row],[Sub total]])*(0.16))</f>
        <v>0</v>
      </c>
      <c r="K3660" s="11">
        <v>0</v>
      </c>
      <c r="L3660" s="169">
        <f>Imput[[#This Row],[Sub total]]+Imput[[#This Row],[IVA]]-Imput[[#This Row],[Retención / IEPS / Descuento]]</f>
        <v>0</v>
      </c>
      <c r="M3660" s="844">
        <v>0</v>
      </c>
      <c r="N3660" s="189"/>
      <c r="O3660" s="1"/>
      <c r="P3660" s="189"/>
      <c r="Q3660" s="190"/>
      <c r="R3660" s="188"/>
      <c r="S3660" s="193"/>
      <c r="T3660" s="192"/>
      <c r="U3660" s="829"/>
      <c r="V3660" s="10"/>
      <c r="W3660" s="10"/>
      <c r="X3660" s="10"/>
      <c r="Y3660" s="10"/>
      <c r="Z3660" s="10"/>
      <c r="AA3660" s="11"/>
      <c r="AB3660" s="11"/>
    </row>
    <row r="3661" spans="2:28" x14ac:dyDescent="0.3">
      <c r="B3661" s="10"/>
      <c r="C3661" s="315"/>
      <c r="D3661" s="868"/>
      <c r="E3661" s="837" t="str">
        <f>IFERROR(IF(_xlfn.XLOOKUP(Imput[[#This Row],[RFC]],'Alta Proveedor'!D:D,'Alta Proveedor'!E:E)=0,"",_xlfn.XLOOKUP(Imput[[#This Row],[RFC]],'Alta Proveedor'!D:D,'Alta Proveedor'!E:E)),"")</f>
        <v/>
      </c>
      <c r="F3661" s="832"/>
      <c r="G3661" s="187"/>
      <c r="H3661" s="1"/>
      <c r="I3661" s="169">
        <f>Imput[[#This Row],[Cantidad]]*Imput[[#This Row],[Precio Unitario]]</f>
        <v>0</v>
      </c>
      <c r="J3661" s="11">
        <f>((Imput[[#This Row],[Sub total]])*(0.16))</f>
        <v>0</v>
      </c>
      <c r="K3661" s="11">
        <v>0</v>
      </c>
      <c r="L3661" s="169">
        <f>Imput[[#This Row],[Sub total]]+Imput[[#This Row],[IVA]]-Imput[[#This Row],[Retención / IEPS / Descuento]]</f>
        <v>0</v>
      </c>
      <c r="M3661" s="844">
        <v>0</v>
      </c>
      <c r="N3661" s="189"/>
      <c r="O3661" s="1"/>
      <c r="P3661" s="189"/>
      <c r="Q3661" s="190"/>
      <c r="R3661" s="188"/>
      <c r="S3661" s="193"/>
      <c r="T3661" s="192"/>
      <c r="U3661" s="829"/>
      <c r="V3661" s="10"/>
      <c r="W3661" s="10"/>
      <c r="X3661" s="10"/>
      <c r="Y3661" s="10"/>
      <c r="Z3661" s="10"/>
      <c r="AA3661" s="11"/>
      <c r="AB3661" s="11"/>
    </row>
    <row r="3662" spans="2:28" x14ac:dyDescent="0.3">
      <c r="B3662" s="10"/>
      <c r="C3662" s="315"/>
      <c r="D3662" s="868"/>
      <c r="E3662" s="837" t="str">
        <f>IFERROR(IF(_xlfn.XLOOKUP(Imput[[#This Row],[RFC]],'Alta Proveedor'!D:D,'Alta Proveedor'!E:E)=0,"",_xlfn.XLOOKUP(Imput[[#This Row],[RFC]],'Alta Proveedor'!D:D,'Alta Proveedor'!E:E)),"")</f>
        <v/>
      </c>
      <c r="F3662" s="832"/>
      <c r="G3662" s="187"/>
      <c r="H3662" s="1"/>
      <c r="I3662" s="169">
        <f>Imput[[#This Row],[Cantidad]]*Imput[[#This Row],[Precio Unitario]]</f>
        <v>0</v>
      </c>
      <c r="J3662" s="11">
        <f>((Imput[[#This Row],[Sub total]])*(0.16))</f>
        <v>0</v>
      </c>
      <c r="K3662" s="11">
        <v>0</v>
      </c>
      <c r="L3662" s="169">
        <f>Imput[[#This Row],[Sub total]]+Imput[[#This Row],[IVA]]-Imput[[#This Row],[Retención / IEPS / Descuento]]</f>
        <v>0</v>
      </c>
      <c r="M3662" s="844">
        <v>0</v>
      </c>
      <c r="N3662" s="189"/>
      <c r="O3662" s="1"/>
      <c r="P3662" s="189"/>
      <c r="Q3662" s="190"/>
      <c r="R3662" s="188"/>
      <c r="S3662" s="193"/>
      <c r="T3662" s="192"/>
      <c r="U3662" s="829"/>
      <c r="V3662" s="10"/>
      <c r="W3662" s="10"/>
      <c r="X3662" s="10"/>
      <c r="Y3662" s="10"/>
      <c r="Z3662" s="10"/>
      <c r="AA3662" s="11"/>
      <c r="AB3662" s="11"/>
    </row>
    <row r="3663" spans="2:28" x14ac:dyDescent="0.3">
      <c r="B3663" s="10"/>
      <c r="C3663" s="315"/>
      <c r="D3663" s="868"/>
      <c r="E3663" s="837" t="str">
        <f>IFERROR(IF(_xlfn.XLOOKUP(Imput[[#This Row],[RFC]],'Alta Proveedor'!D:D,'Alta Proveedor'!E:E)=0,"",_xlfn.XLOOKUP(Imput[[#This Row],[RFC]],'Alta Proveedor'!D:D,'Alta Proveedor'!E:E)),"")</f>
        <v/>
      </c>
      <c r="F3663" s="832"/>
      <c r="G3663" s="187"/>
      <c r="H3663" s="1"/>
      <c r="I3663" s="169">
        <f>Imput[[#This Row],[Cantidad]]*Imput[[#This Row],[Precio Unitario]]</f>
        <v>0</v>
      </c>
      <c r="J3663" s="11">
        <f>((Imput[[#This Row],[Sub total]])*(0.16))</f>
        <v>0</v>
      </c>
      <c r="K3663" s="11">
        <v>0</v>
      </c>
      <c r="L3663" s="169">
        <f>Imput[[#This Row],[Sub total]]+Imput[[#This Row],[IVA]]-Imput[[#This Row],[Retención / IEPS / Descuento]]</f>
        <v>0</v>
      </c>
      <c r="M3663" s="844">
        <v>0</v>
      </c>
      <c r="N3663" s="189"/>
      <c r="O3663" s="1"/>
      <c r="P3663" s="189"/>
      <c r="Q3663" s="190"/>
      <c r="R3663" s="188"/>
      <c r="S3663" s="193"/>
      <c r="T3663" s="192"/>
      <c r="U3663" s="829"/>
      <c r="V3663" s="10"/>
      <c r="W3663" s="10"/>
      <c r="X3663" s="10"/>
      <c r="Y3663" s="10"/>
      <c r="Z3663" s="10"/>
      <c r="AA3663" s="11"/>
      <c r="AB3663" s="11"/>
    </row>
    <row r="3664" spans="2:28" x14ac:dyDescent="0.3">
      <c r="B3664" s="10"/>
      <c r="C3664" s="315"/>
      <c r="D3664" s="868"/>
      <c r="E3664" s="837" t="str">
        <f>IFERROR(IF(_xlfn.XLOOKUP(Imput[[#This Row],[RFC]],'Alta Proveedor'!D:D,'Alta Proveedor'!E:E)=0,"",_xlfn.XLOOKUP(Imput[[#This Row],[RFC]],'Alta Proveedor'!D:D,'Alta Proveedor'!E:E)),"")</f>
        <v/>
      </c>
      <c r="F3664" s="832"/>
      <c r="G3664" s="187"/>
      <c r="H3664" s="1"/>
      <c r="I3664" s="169">
        <f>Imput[[#This Row],[Cantidad]]*Imput[[#This Row],[Precio Unitario]]</f>
        <v>0</v>
      </c>
      <c r="J3664" s="11">
        <f>((Imput[[#This Row],[Sub total]])*(0.16))</f>
        <v>0</v>
      </c>
      <c r="K3664" s="11">
        <v>0</v>
      </c>
      <c r="L3664" s="169">
        <f>Imput[[#This Row],[Sub total]]+Imput[[#This Row],[IVA]]-Imput[[#This Row],[Retención / IEPS / Descuento]]</f>
        <v>0</v>
      </c>
      <c r="M3664" s="844">
        <v>0</v>
      </c>
      <c r="N3664" s="189"/>
      <c r="O3664" s="1"/>
      <c r="P3664" s="189"/>
      <c r="Q3664" s="190"/>
      <c r="R3664" s="188"/>
      <c r="S3664" s="193"/>
      <c r="T3664" s="192"/>
      <c r="U3664" s="829"/>
      <c r="V3664" s="10"/>
      <c r="W3664" s="10"/>
      <c r="X3664" s="10"/>
      <c r="Y3664" s="10"/>
      <c r="Z3664" s="10"/>
      <c r="AA3664" s="11"/>
      <c r="AB3664" s="11"/>
    </row>
    <row r="3665" spans="2:28" x14ac:dyDescent="0.3">
      <c r="B3665" s="10"/>
      <c r="C3665" s="315"/>
      <c r="D3665" s="868"/>
      <c r="E3665" s="837" t="str">
        <f>IFERROR(IF(_xlfn.XLOOKUP(Imput[[#This Row],[RFC]],'Alta Proveedor'!D:D,'Alta Proveedor'!E:E)=0,"",_xlfn.XLOOKUP(Imput[[#This Row],[RFC]],'Alta Proveedor'!D:D,'Alta Proveedor'!E:E)),"")</f>
        <v/>
      </c>
      <c r="F3665" s="832"/>
      <c r="G3665" s="187"/>
      <c r="H3665" s="1"/>
      <c r="I3665" s="169">
        <f>Imput[[#This Row],[Cantidad]]*Imput[[#This Row],[Precio Unitario]]</f>
        <v>0</v>
      </c>
      <c r="J3665" s="11">
        <f>((Imput[[#This Row],[Sub total]])*(0.16))</f>
        <v>0</v>
      </c>
      <c r="K3665" s="11">
        <v>0</v>
      </c>
      <c r="L3665" s="169">
        <f>Imput[[#This Row],[Sub total]]+Imput[[#This Row],[IVA]]-Imput[[#This Row],[Retención / IEPS / Descuento]]</f>
        <v>0</v>
      </c>
      <c r="M3665" s="844">
        <v>0</v>
      </c>
      <c r="N3665" s="189"/>
      <c r="O3665" s="1"/>
      <c r="P3665" s="189"/>
      <c r="Q3665" s="190"/>
      <c r="R3665" s="188"/>
      <c r="S3665" s="193"/>
      <c r="T3665" s="192"/>
      <c r="U3665" s="829"/>
      <c r="V3665" s="10"/>
      <c r="W3665" s="10"/>
      <c r="X3665" s="10"/>
      <c r="Y3665" s="10"/>
      <c r="Z3665" s="10"/>
      <c r="AA3665" s="11"/>
      <c r="AB3665" s="11"/>
    </row>
    <row r="3666" spans="2:28" x14ac:dyDescent="0.3">
      <c r="B3666" s="10"/>
      <c r="C3666" s="315"/>
      <c r="D3666" s="868"/>
      <c r="E3666" s="837" t="str">
        <f>IFERROR(IF(_xlfn.XLOOKUP(Imput[[#This Row],[RFC]],'Alta Proveedor'!D:D,'Alta Proveedor'!E:E)=0,"",_xlfn.XLOOKUP(Imput[[#This Row],[RFC]],'Alta Proveedor'!D:D,'Alta Proveedor'!E:E)),"")</f>
        <v/>
      </c>
      <c r="F3666" s="832"/>
      <c r="G3666" s="187"/>
      <c r="H3666" s="1"/>
      <c r="I3666" s="169">
        <f>Imput[[#This Row],[Cantidad]]*Imput[[#This Row],[Precio Unitario]]</f>
        <v>0</v>
      </c>
      <c r="J3666" s="11">
        <f>((Imput[[#This Row],[Sub total]])*(0.16))</f>
        <v>0</v>
      </c>
      <c r="K3666" s="11">
        <v>0</v>
      </c>
      <c r="L3666" s="169">
        <f>Imput[[#This Row],[Sub total]]+Imput[[#This Row],[IVA]]-Imput[[#This Row],[Retención / IEPS / Descuento]]</f>
        <v>0</v>
      </c>
      <c r="M3666" s="844">
        <v>0</v>
      </c>
      <c r="N3666" s="189"/>
      <c r="O3666" s="1"/>
      <c r="P3666" s="189"/>
      <c r="Q3666" s="190"/>
      <c r="R3666" s="188"/>
      <c r="S3666" s="193"/>
      <c r="T3666" s="192"/>
      <c r="U3666" s="829"/>
      <c r="V3666" s="10"/>
      <c r="W3666" s="10"/>
      <c r="X3666" s="10"/>
      <c r="Y3666" s="10"/>
      <c r="Z3666" s="10"/>
      <c r="AA3666" s="11"/>
      <c r="AB3666" s="11"/>
    </row>
    <row r="3667" spans="2:28" x14ac:dyDescent="0.3">
      <c r="B3667" s="10"/>
      <c r="C3667" s="315"/>
      <c r="D3667" s="868"/>
      <c r="E3667" s="837" t="str">
        <f>IFERROR(IF(_xlfn.XLOOKUP(Imput[[#This Row],[RFC]],'Alta Proveedor'!D:D,'Alta Proveedor'!E:E)=0,"",_xlfn.XLOOKUP(Imput[[#This Row],[RFC]],'Alta Proveedor'!D:D,'Alta Proveedor'!E:E)),"")</f>
        <v/>
      </c>
      <c r="F3667" s="832"/>
      <c r="G3667" s="187"/>
      <c r="H3667" s="1"/>
      <c r="I3667" s="169">
        <f>Imput[[#This Row],[Cantidad]]*Imput[[#This Row],[Precio Unitario]]</f>
        <v>0</v>
      </c>
      <c r="J3667" s="11">
        <f>((Imput[[#This Row],[Sub total]])*(0.16))</f>
        <v>0</v>
      </c>
      <c r="K3667" s="11">
        <v>0</v>
      </c>
      <c r="L3667" s="169">
        <f>Imput[[#This Row],[Sub total]]+Imput[[#This Row],[IVA]]-Imput[[#This Row],[Retención / IEPS / Descuento]]</f>
        <v>0</v>
      </c>
      <c r="M3667" s="844">
        <v>0</v>
      </c>
      <c r="N3667" s="189"/>
      <c r="O3667" s="1"/>
      <c r="P3667" s="189"/>
      <c r="Q3667" s="190"/>
      <c r="R3667" s="188"/>
      <c r="S3667" s="193"/>
      <c r="T3667" s="192"/>
      <c r="U3667" s="829"/>
      <c r="V3667" s="10"/>
      <c r="W3667" s="10"/>
      <c r="X3667" s="10"/>
      <c r="Y3667" s="10"/>
      <c r="Z3667" s="10"/>
      <c r="AA3667" s="11"/>
      <c r="AB3667" s="11"/>
    </row>
    <row r="3668" spans="2:28" x14ac:dyDescent="0.3">
      <c r="B3668" s="10"/>
      <c r="C3668" s="315"/>
      <c r="D3668" s="868"/>
      <c r="E3668" s="837" t="str">
        <f>IFERROR(IF(_xlfn.XLOOKUP(Imput[[#This Row],[RFC]],'Alta Proveedor'!D:D,'Alta Proveedor'!E:E)=0,"",_xlfn.XLOOKUP(Imput[[#This Row],[RFC]],'Alta Proveedor'!D:D,'Alta Proveedor'!E:E)),"")</f>
        <v/>
      </c>
      <c r="F3668" s="832"/>
      <c r="G3668" s="187"/>
      <c r="H3668" s="1"/>
      <c r="I3668" s="169">
        <f>Imput[[#This Row],[Cantidad]]*Imput[[#This Row],[Precio Unitario]]</f>
        <v>0</v>
      </c>
      <c r="J3668" s="11">
        <f>((Imput[[#This Row],[Sub total]])*(0.16))</f>
        <v>0</v>
      </c>
      <c r="K3668" s="11">
        <v>0</v>
      </c>
      <c r="L3668" s="169">
        <f>Imput[[#This Row],[Sub total]]+Imput[[#This Row],[IVA]]-Imput[[#This Row],[Retención / IEPS / Descuento]]</f>
        <v>0</v>
      </c>
      <c r="M3668" s="844">
        <v>0</v>
      </c>
      <c r="N3668" s="189"/>
      <c r="O3668" s="1"/>
      <c r="P3668" s="189"/>
      <c r="Q3668" s="190"/>
      <c r="R3668" s="188"/>
      <c r="S3668" s="193"/>
      <c r="T3668" s="192"/>
      <c r="U3668" s="829"/>
      <c r="V3668" s="10"/>
      <c r="W3668" s="10"/>
      <c r="X3668" s="10"/>
      <c r="Y3668" s="10"/>
      <c r="Z3668" s="10"/>
      <c r="AA3668" s="11"/>
      <c r="AB3668" s="11"/>
    </row>
    <row r="3669" spans="2:28" x14ac:dyDescent="0.3">
      <c r="B3669" s="10"/>
      <c r="C3669" s="315"/>
      <c r="D3669" s="868"/>
      <c r="E3669" s="837" t="str">
        <f>IFERROR(IF(_xlfn.XLOOKUP(Imput[[#This Row],[RFC]],'Alta Proveedor'!D:D,'Alta Proveedor'!E:E)=0,"",_xlfn.XLOOKUP(Imput[[#This Row],[RFC]],'Alta Proveedor'!D:D,'Alta Proveedor'!E:E)),"")</f>
        <v/>
      </c>
      <c r="F3669" s="832"/>
      <c r="G3669" s="187"/>
      <c r="H3669" s="1"/>
      <c r="I3669" s="169">
        <f>Imput[[#This Row],[Cantidad]]*Imput[[#This Row],[Precio Unitario]]</f>
        <v>0</v>
      </c>
      <c r="J3669" s="11">
        <f>((Imput[[#This Row],[Sub total]])*(0.16))</f>
        <v>0</v>
      </c>
      <c r="K3669" s="11">
        <v>0</v>
      </c>
      <c r="L3669" s="169">
        <f>Imput[[#This Row],[Sub total]]+Imput[[#This Row],[IVA]]-Imput[[#This Row],[Retención / IEPS / Descuento]]</f>
        <v>0</v>
      </c>
      <c r="M3669" s="844">
        <v>0</v>
      </c>
      <c r="N3669" s="189"/>
      <c r="O3669" s="1"/>
      <c r="P3669" s="189"/>
      <c r="Q3669" s="190"/>
      <c r="R3669" s="188"/>
      <c r="S3669" s="193"/>
      <c r="T3669" s="192"/>
      <c r="U3669" s="829"/>
      <c r="V3669" s="10"/>
      <c r="W3669" s="10"/>
      <c r="X3669" s="10"/>
      <c r="Y3669" s="10"/>
      <c r="Z3669" s="10"/>
      <c r="AA3669" s="11"/>
      <c r="AB3669" s="11"/>
    </row>
    <row r="3670" spans="2:28" x14ac:dyDescent="0.3">
      <c r="B3670" s="10"/>
      <c r="C3670" s="315"/>
      <c r="D3670" s="868"/>
      <c r="E3670" s="837" t="str">
        <f>IFERROR(IF(_xlfn.XLOOKUP(Imput[[#This Row],[RFC]],'Alta Proveedor'!D:D,'Alta Proveedor'!E:E)=0,"",_xlfn.XLOOKUP(Imput[[#This Row],[RFC]],'Alta Proveedor'!D:D,'Alta Proveedor'!E:E)),"")</f>
        <v/>
      </c>
      <c r="F3670" s="832"/>
      <c r="G3670" s="187"/>
      <c r="H3670" s="1"/>
      <c r="I3670" s="169">
        <f>Imput[[#This Row],[Cantidad]]*Imput[[#This Row],[Precio Unitario]]</f>
        <v>0</v>
      </c>
      <c r="J3670" s="11">
        <f>((Imput[[#This Row],[Sub total]])*(0.16))</f>
        <v>0</v>
      </c>
      <c r="K3670" s="11">
        <v>0</v>
      </c>
      <c r="L3670" s="169">
        <f>Imput[[#This Row],[Sub total]]+Imput[[#This Row],[IVA]]-Imput[[#This Row],[Retención / IEPS / Descuento]]</f>
        <v>0</v>
      </c>
      <c r="M3670" s="844">
        <v>0</v>
      </c>
      <c r="N3670" s="189"/>
      <c r="O3670" s="1"/>
      <c r="P3670" s="189"/>
      <c r="Q3670" s="190"/>
      <c r="R3670" s="188"/>
      <c r="S3670" s="193"/>
      <c r="T3670" s="192"/>
      <c r="U3670" s="829"/>
      <c r="V3670" s="10"/>
      <c r="W3670" s="10"/>
      <c r="X3670" s="10"/>
      <c r="Y3670" s="10"/>
      <c r="Z3670" s="10"/>
      <c r="AA3670" s="11"/>
      <c r="AB3670" s="11"/>
    </row>
    <row r="3671" spans="2:28" x14ac:dyDescent="0.3">
      <c r="B3671" s="10"/>
      <c r="C3671" s="315"/>
      <c r="D3671" s="868"/>
      <c r="E3671" s="837" t="str">
        <f>IFERROR(IF(_xlfn.XLOOKUP(Imput[[#This Row],[RFC]],'Alta Proveedor'!D:D,'Alta Proveedor'!E:E)=0,"",_xlfn.XLOOKUP(Imput[[#This Row],[RFC]],'Alta Proveedor'!D:D,'Alta Proveedor'!E:E)),"")</f>
        <v/>
      </c>
      <c r="F3671" s="832"/>
      <c r="G3671" s="187"/>
      <c r="H3671" s="1"/>
      <c r="I3671" s="169">
        <f>Imput[[#This Row],[Cantidad]]*Imput[[#This Row],[Precio Unitario]]</f>
        <v>0</v>
      </c>
      <c r="J3671" s="11">
        <f>((Imput[[#This Row],[Sub total]])*(0.16))</f>
        <v>0</v>
      </c>
      <c r="K3671" s="11">
        <v>0</v>
      </c>
      <c r="L3671" s="169">
        <f>Imput[[#This Row],[Sub total]]+Imput[[#This Row],[IVA]]-Imput[[#This Row],[Retención / IEPS / Descuento]]</f>
        <v>0</v>
      </c>
      <c r="M3671" s="844">
        <v>0</v>
      </c>
      <c r="N3671" s="189"/>
      <c r="O3671" s="1"/>
      <c r="P3671" s="189"/>
      <c r="Q3671" s="190"/>
      <c r="R3671" s="188"/>
      <c r="S3671" s="193"/>
      <c r="T3671" s="192"/>
      <c r="U3671" s="829"/>
      <c r="V3671" s="10"/>
      <c r="W3671" s="10"/>
      <c r="X3671" s="10"/>
      <c r="Y3671" s="10"/>
      <c r="Z3671" s="10"/>
      <c r="AA3671" s="11"/>
      <c r="AB3671" s="11"/>
    </row>
    <row r="3672" spans="2:28" x14ac:dyDescent="0.3">
      <c r="B3672" s="10"/>
      <c r="C3672" s="315"/>
      <c r="D3672" s="868"/>
      <c r="E3672" s="837" t="str">
        <f>IFERROR(IF(_xlfn.XLOOKUP(Imput[[#This Row],[RFC]],'Alta Proveedor'!D:D,'Alta Proveedor'!E:E)=0,"",_xlfn.XLOOKUP(Imput[[#This Row],[RFC]],'Alta Proveedor'!D:D,'Alta Proveedor'!E:E)),"")</f>
        <v/>
      </c>
      <c r="F3672" s="832"/>
      <c r="G3672" s="187"/>
      <c r="H3672" s="1"/>
      <c r="I3672" s="169">
        <f>Imput[[#This Row],[Cantidad]]*Imput[[#This Row],[Precio Unitario]]</f>
        <v>0</v>
      </c>
      <c r="J3672" s="11">
        <f>((Imput[[#This Row],[Sub total]])*(0.16))</f>
        <v>0</v>
      </c>
      <c r="K3672" s="11">
        <v>0</v>
      </c>
      <c r="L3672" s="169">
        <f>Imput[[#This Row],[Sub total]]+Imput[[#This Row],[IVA]]-Imput[[#This Row],[Retención / IEPS / Descuento]]</f>
        <v>0</v>
      </c>
      <c r="M3672" s="844">
        <v>0</v>
      </c>
      <c r="N3672" s="189"/>
      <c r="O3672" s="1"/>
      <c r="P3672" s="189"/>
      <c r="Q3672" s="190"/>
      <c r="R3672" s="188"/>
      <c r="S3672" s="193"/>
      <c r="T3672" s="192"/>
      <c r="U3672" s="829"/>
      <c r="V3672" s="10"/>
      <c r="W3672" s="10"/>
      <c r="X3672" s="10"/>
      <c r="Y3672" s="10"/>
      <c r="Z3672" s="10"/>
      <c r="AA3672" s="11"/>
      <c r="AB3672" s="11"/>
    </row>
    <row r="3673" spans="2:28" x14ac:dyDescent="0.3">
      <c r="B3673" s="10"/>
      <c r="C3673" s="315"/>
      <c r="D3673" s="868"/>
      <c r="E3673" s="837" t="str">
        <f>IFERROR(IF(_xlfn.XLOOKUP(Imput[[#This Row],[RFC]],'Alta Proveedor'!D:D,'Alta Proveedor'!E:E)=0,"",_xlfn.XLOOKUP(Imput[[#This Row],[RFC]],'Alta Proveedor'!D:D,'Alta Proveedor'!E:E)),"")</f>
        <v/>
      </c>
      <c r="F3673" s="832"/>
      <c r="G3673" s="187"/>
      <c r="H3673" s="1"/>
      <c r="I3673" s="169">
        <f>Imput[[#This Row],[Cantidad]]*Imput[[#This Row],[Precio Unitario]]</f>
        <v>0</v>
      </c>
      <c r="J3673" s="11">
        <f>((Imput[[#This Row],[Sub total]])*(0.16))</f>
        <v>0</v>
      </c>
      <c r="K3673" s="11">
        <v>0</v>
      </c>
      <c r="L3673" s="169">
        <f>Imput[[#This Row],[Sub total]]+Imput[[#This Row],[IVA]]-Imput[[#This Row],[Retención / IEPS / Descuento]]</f>
        <v>0</v>
      </c>
      <c r="M3673" s="844">
        <v>0</v>
      </c>
      <c r="N3673" s="189"/>
      <c r="O3673" s="1"/>
      <c r="P3673" s="189"/>
      <c r="Q3673" s="190"/>
      <c r="R3673" s="188"/>
      <c r="S3673" s="193"/>
      <c r="T3673" s="192"/>
      <c r="U3673" s="829"/>
      <c r="V3673" s="10"/>
      <c r="W3673" s="10"/>
      <c r="X3673" s="10"/>
      <c r="Y3673" s="10"/>
      <c r="Z3673" s="10"/>
      <c r="AA3673" s="11"/>
      <c r="AB3673" s="11"/>
    </row>
    <row r="3674" spans="2:28" x14ac:dyDescent="0.3">
      <c r="B3674" s="10"/>
      <c r="C3674" s="315"/>
      <c r="D3674" s="868"/>
      <c r="E3674" s="837" t="str">
        <f>IFERROR(IF(_xlfn.XLOOKUP(Imput[[#This Row],[RFC]],'Alta Proveedor'!D:D,'Alta Proveedor'!E:E)=0,"",_xlfn.XLOOKUP(Imput[[#This Row],[RFC]],'Alta Proveedor'!D:D,'Alta Proveedor'!E:E)),"")</f>
        <v/>
      </c>
      <c r="F3674" s="832"/>
      <c r="G3674" s="187"/>
      <c r="H3674" s="1"/>
      <c r="I3674" s="169">
        <f>Imput[[#This Row],[Cantidad]]*Imput[[#This Row],[Precio Unitario]]</f>
        <v>0</v>
      </c>
      <c r="J3674" s="11">
        <f>((Imput[[#This Row],[Sub total]])*(0.16))</f>
        <v>0</v>
      </c>
      <c r="K3674" s="11">
        <v>0</v>
      </c>
      <c r="L3674" s="169">
        <f>Imput[[#This Row],[Sub total]]+Imput[[#This Row],[IVA]]-Imput[[#This Row],[Retención / IEPS / Descuento]]</f>
        <v>0</v>
      </c>
      <c r="M3674" s="844">
        <v>0</v>
      </c>
      <c r="N3674" s="189"/>
      <c r="O3674" s="1"/>
      <c r="P3674" s="189"/>
      <c r="Q3674" s="190"/>
      <c r="R3674" s="188"/>
      <c r="S3674" s="193"/>
      <c r="T3674" s="192"/>
      <c r="U3674" s="829"/>
      <c r="V3674" s="10"/>
      <c r="W3674" s="10"/>
      <c r="X3674" s="10"/>
      <c r="Y3674" s="10"/>
      <c r="Z3674" s="10"/>
      <c r="AA3674" s="11"/>
      <c r="AB3674" s="11"/>
    </row>
    <row r="3675" spans="2:28" x14ac:dyDescent="0.3">
      <c r="B3675" s="10"/>
      <c r="C3675" s="315"/>
      <c r="D3675" s="868"/>
      <c r="E3675" s="837" t="str">
        <f>IFERROR(IF(_xlfn.XLOOKUP(Imput[[#This Row],[RFC]],'Alta Proveedor'!D:D,'Alta Proveedor'!E:E)=0,"",_xlfn.XLOOKUP(Imput[[#This Row],[RFC]],'Alta Proveedor'!D:D,'Alta Proveedor'!E:E)),"")</f>
        <v/>
      </c>
      <c r="F3675" s="832"/>
      <c r="G3675" s="187"/>
      <c r="H3675" s="1"/>
      <c r="I3675" s="169">
        <f>Imput[[#This Row],[Cantidad]]*Imput[[#This Row],[Precio Unitario]]</f>
        <v>0</v>
      </c>
      <c r="J3675" s="11">
        <f>((Imput[[#This Row],[Sub total]])*(0.16))</f>
        <v>0</v>
      </c>
      <c r="K3675" s="11">
        <v>0</v>
      </c>
      <c r="L3675" s="169">
        <f>Imput[[#This Row],[Sub total]]+Imput[[#This Row],[IVA]]-Imput[[#This Row],[Retención / IEPS / Descuento]]</f>
        <v>0</v>
      </c>
      <c r="M3675" s="844">
        <v>0</v>
      </c>
      <c r="N3675" s="189"/>
      <c r="O3675" s="1"/>
      <c r="P3675" s="189"/>
      <c r="Q3675" s="190"/>
      <c r="R3675" s="188"/>
      <c r="S3675" s="193"/>
      <c r="T3675" s="192"/>
      <c r="U3675" s="829"/>
      <c r="V3675" s="10"/>
      <c r="W3675" s="10"/>
      <c r="X3675" s="10"/>
      <c r="Y3675" s="10"/>
      <c r="Z3675" s="10"/>
      <c r="AA3675" s="11"/>
      <c r="AB3675" s="11"/>
    </row>
    <row r="3676" spans="2:28" x14ac:dyDescent="0.3">
      <c r="B3676" s="10"/>
      <c r="C3676" s="315"/>
      <c r="D3676" s="868"/>
      <c r="E3676" s="837" t="str">
        <f>IFERROR(IF(_xlfn.XLOOKUP(Imput[[#This Row],[RFC]],'Alta Proveedor'!D:D,'Alta Proveedor'!E:E)=0,"",_xlfn.XLOOKUP(Imput[[#This Row],[RFC]],'Alta Proveedor'!D:D,'Alta Proveedor'!E:E)),"")</f>
        <v/>
      </c>
      <c r="F3676" s="832"/>
      <c r="G3676" s="187"/>
      <c r="H3676" s="1"/>
      <c r="I3676" s="169">
        <f>Imput[[#This Row],[Cantidad]]*Imput[[#This Row],[Precio Unitario]]</f>
        <v>0</v>
      </c>
      <c r="J3676" s="11">
        <f>((Imput[[#This Row],[Sub total]])*(0.16))</f>
        <v>0</v>
      </c>
      <c r="K3676" s="11">
        <v>0</v>
      </c>
      <c r="L3676" s="169">
        <f>Imput[[#This Row],[Sub total]]+Imput[[#This Row],[IVA]]-Imput[[#This Row],[Retención / IEPS / Descuento]]</f>
        <v>0</v>
      </c>
      <c r="M3676" s="844">
        <v>0</v>
      </c>
      <c r="N3676" s="189"/>
      <c r="O3676" s="1"/>
      <c r="P3676" s="189"/>
      <c r="Q3676" s="190"/>
      <c r="R3676" s="188"/>
      <c r="S3676" s="193"/>
      <c r="T3676" s="192"/>
      <c r="U3676" s="829"/>
      <c r="V3676" s="10"/>
      <c r="W3676" s="10"/>
      <c r="X3676" s="10"/>
      <c r="Y3676" s="10"/>
      <c r="Z3676" s="10"/>
      <c r="AA3676" s="11"/>
      <c r="AB3676" s="11"/>
    </row>
    <row r="3677" spans="2:28" x14ac:dyDescent="0.3">
      <c r="B3677" s="10"/>
      <c r="C3677" s="315"/>
      <c r="D3677" s="868"/>
      <c r="E3677" s="837" t="str">
        <f>IFERROR(IF(_xlfn.XLOOKUP(Imput[[#This Row],[RFC]],'Alta Proveedor'!D:D,'Alta Proveedor'!E:E)=0,"",_xlfn.XLOOKUP(Imput[[#This Row],[RFC]],'Alta Proveedor'!D:D,'Alta Proveedor'!E:E)),"")</f>
        <v/>
      </c>
      <c r="F3677" s="832"/>
      <c r="G3677" s="187"/>
      <c r="H3677" s="1"/>
      <c r="I3677" s="169">
        <f>Imput[[#This Row],[Cantidad]]*Imput[[#This Row],[Precio Unitario]]</f>
        <v>0</v>
      </c>
      <c r="J3677" s="11">
        <f>((Imput[[#This Row],[Sub total]])*(0.16))</f>
        <v>0</v>
      </c>
      <c r="K3677" s="11">
        <v>0</v>
      </c>
      <c r="L3677" s="169">
        <f>Imput[[#This Row],[Sub total]]+Imput[[#This Row],[IVA]]-Imput[[#This Row],[Retención / IEPS / Descuento]]</f>
        <v>0</v>
      </c>
      <c r="M3677" s="844">
        <v>0</v>
      </c>
      <c r="N3677" s="189"/>
      <c r="O3677" s="1"/>
      <c r="P3677" s="189"/>
      <c r="Q3677" s="190"/>
      <c r="R3677" s="188"/>
      <c r="S3677" s="193"/>
      <c r="T3677" s="192"/>
      <c r="U3677" s="829"/>
      <c r="V3677" s="10"/>
      <c r="W3677" s="10"/>
      <c r="X3677" s="10"/>
      <c r="Y3677" s="10"/>
      <c r="Z3677" s="10"/>
      <c r="AA3677" s="11"/>
      <c r="AB3677" s="11"/>
    </row>
    <row r="3678" spans="2:28" x14ac:dyDescent="0.3">
      <c r="B3678" s="10"/>
      <c r="C3678" s="315"/>
      <c r="D3678" s="868"/>
      <c r="E3678" s="837" t="str">
        <f>IFERROR(IF(_xlfn.XLOOKUP(Imput[[#This Row],[RFC]],'Alta Proveedor'!D:D,'Alta Proveedor'!E:E)=0,"",_xlfn.XLOOKUP(Imput[[#This Row],[RFC]],'Alta Proveedor'!D:D,'Alta Proveedor'!E:E)),"")</f>
        <v/>
      </c>
      <c r="F3678" s="832"/>
      <c r="G3678" s="187"/>
      <c r="H3678" s="1"/>
      <c r="I3678" s="169">
        <f>Imput[[#This Row],[Cantidad]]*Imput[[#This Row],[Precio Unitario]]</f>
        <v>0</v>
      </c>
      <c r="J3678" s="11">
        <f>((Imput[[#This Row],[Sub total]])*(0.16))</f>
        <v>0</v>
      </c>
      <c r="K3678" s="11">
        <v>0</v>
      </c>
      <c r="L3678" s="169">
        <f>Imput[[#This Row],[Sub total]]+Imput[[#This Row],[IVA]]-Imput[[#This Row],[Retención / IEPS / Descuento]]</f>
        <v>0</v>
      </c>
      <c r="M3678" s="844">
        <v>0</v>
      </c>
      <c r="N3678" s="189"/>
      <c r="O3678" s="1"/>
      <c r="P3678" s="189"/>
      <c r="Q3678" s="190"/>
      <c r="R3678" s="188"/>
      <c r="S3678" s="193"/>
      <c r="T3678" s="192"/>
      <c r="U3678" s="829"/>
      <c r="V3678" s="10"/>
      <c r="W3678" s="10"/>
      <c r="X3678" s="10"/>
      <c r="Y3678" s="10"/>
      <c r="Z3678" s="10"/>
      <c r="AA3678" s="11"/>
      <c r="AB3678" s="11"/>
    </row>
    <row r="3679" spans="2:28" x14ac:dyDescent="0.3">
      <c r="B3679" s="10"/>
      <c r="C3679" s="315"/>
      <c r="D3679" s="868"/>
      <c r="E3679" s="837" t="str">
        <f>IFERROR(IF(_xlfn.XLOOKUP(Imput[[#This Row],[RFC]],'Alta Proveedor'!D:D,'Alta Proveedor'!E:E)=0,"",_xlfn.XLOOKUP(Imput[[#This Row],[RFC]],'Alta Proveedor'!D:D,'Alta Proveedor'!E:E)),"")</f>
        <v/>
      </c>
      <c r="F3679" s="832"/>
      <c r="G3679" s="187"/>
      <c r="H3679" s="1"/>
      <c r="I3679" s="169">
        <f>Imput[[#This Row],[Cantidad]]*Imput[[#This Row],[Precio Unitario]]</f>
        <v>0</v>
      </c>
      <c r="J3679" s="11">
        <f>((Imput[[#This Row],[Sub total]])*(0.16))</f>
        <v>0</v>
      </c>
      <c r="K3679" s="11">
        <v>0</v>
      </c>
      <c r="L3679" s="169">
        <f>Imput[[#This Row],[Sub total]]+Imput[[#This Row],[IVA]]-Imput[[#This Row],[Retención / IEPS / Descuento]]</f>
        <v>0</v>
      </c>
      <c r="M3679" s="844">
        <v>0</v>
      </c>
      <c r="N3679" s="189"/>
      <c r="O3679" s="1"/>
      <c r="P3679" s="189"/>
      <c r="Q3679" s="190"/>
      <c r="R3679" s="188"/>
      <c r="S3679" s="193"/>
      <c r="T3679" s="192"/>
      <c r="U3679" s="829"/>
      <c r="V3679" s="10"/>
      <c r="W3679" s="10"/>
      <c r="X3679" s="10"/>
      <c r="Y3679" s="10"/>
      <c r="Z3679" s="10"/>
      <c r="AA3679" s="11"/>
      <c r="AB3679" s="11"/>
    </row>
    <row r="3680" spans="2:28" x14ac:dyDescent="0.3">
      <c r="B3680" s="10"/>
      <c r="C3680" s="315"/>
      <c r="D3680" s="868"/>
      <c r="E3680" s="837" t="str">
        <f>IFERROR(IF(_xlfn.XLOOKUP(Imput[[#This Row],[RFC]],'Alta Proveedor'!D:D,'Alta Proveedor'!E:E)=0,"",_xlfn.XLOOKUP(Imput[[#This Row],[RFC]],'Alta Proveedor'!D:D,'Alta Proveedor'!E:E)),"")</f>
        <v/>
      </c>
      <c r="F3680" s="832"/>
      <c r="G3680" s="187"/>
      <c r="H3680" s="1"/>
      <c r="I3680" s="169">
        <f>Imput[[#This Row],[Cantidad]]*Imput[[#This Row],[Precio Unitario]]</f>
        <v>0</v>
      </c>
      <c r="J3680" s="11">
        <f>((Imput[[#This Row],[Sub total]])*(0.16))</f>
        <v>0</v>
      </c>
      <c r="K3680" s="11">
        <v>0</v>
      </c>
      <c r="L3680" s="169">
        <f>Imput[[#This Row],[Sub total]]+Imput[[#This Row],[IVA]]-Imput[[#This Row],[Retención / IEPS / Descuento]]</f>
        <v>0</v>
      </c>
      <c r="M3680" s="844">
        <v>0</v>
      </c>
      <c r="N3680" s="189"/>
      <c r="O3680" s="1"/>
      <c r="P3680" s="189"/>
      <c r="Q3680" s="190"/>
      <c r="R3680" s="188"/>
      <c r="S3680" s="193"/>
      <c r="T3680" s="192"/>
      <c r="U3680" s="829"/>
      <c r="V3680" s="10"/>
      <c r="W3680" s="10"/>
      <c r="X3680" s="10"/>
      <c r="Y3680" s="10"/>
      <c r="Z3680" s="10"/>
      <c r="AA3680" s="11"/>
      <c r="AB3680" s="11"/>
    </row>
    <row r="3681" spans="2:28" x14ac:dyDescent="0.3">
      <c r="B3681" s="10"/>
      <c r="C3681" s="315"/>
      <c r="D3681" s="868"/>
      <c r="E3681" s="837" t="str">
        <f>IFERROR(IF(_xlfn.XLOOKUP(Imput[[#This Row],[RFC]],'Alta Proveedor'!D:D,'Alta Proveedor'!E:E)=0,"",_xlfn.XLOOKUP(Imput[[#This Row],[RFC]],'Alta Proveedor'!D:D,'Alta Proveedor'!E:E)),"")</f>
        <v/>
      </c>
      <c r="F3681" s="832"/>
      <c r="G3681" s="187"/>
      <c r="H3681" s="1"/>
      <c r="I3681" s="169">
        <f>Imput[[#This Row],[Cantidad]]*Imput[[#This Row],[Precio Unitario]]</f>
        <v>0</v>
      </c>
      <c r="J3681" s="11">
        <f>((Imput[[#This Row],[Sub total]])*(0.16))</f>
        <v>0</v>
      </c>
      <c r="K3681" s="11">
        <v>0</v>
      </c>
      <c r="L3681" s="169">
        <f>Imput[[#This Row],[Sub total]]+Imput[[#This Row],[IVA]]-Imput[[#This Row],[Retención / IEPS / Descuento]]</f>
        <v>0</v>
      </c>
      <c r="M3681" s="844">
        <v>0</v>
      </c>
      <c r="N3681" s="189"/>
      <c r="O3681" s="1"/>
      <c r="P3681" s="189"/>
      <c r="Q3681" s="190"/>
      <c r="R3681" s="188"/>
      <c r="S3681" s="193"/>
      <c r="T3681" s="192"/>
      <c r="U3681" s="829"/>
      <c r="V3681" s="10"/>
      <c r="W3681" s="10"/>
      <c r="X3681" s="10"/>
      <c r="Y3681" s="10"/>
      <c r="Z3681" s="10"/>
      <c r="AA3681" s="11"/>
      <c r="AB3681" s="11"/>
    </row>
    <row r="3682" spans="2:28" x14ac:dyDescent="0.3">
      <c r="B3682" s="10"/>
      <c r="C3682" s="315"/>
      <c r="D3682" s="868"/>
      <c r="E3682" s="837" t="str">
        <f>IFERROR(IF(_xlfn.XLOOKUP(Imput[[#This Row],[RFC]],'Alta Proveedor'!D:D,'Alta Proveedor'!E:E)=0,"",_xlfn.XLOOKUP(Imput[[#This Row],[RFC]],'Alta Proveedor'!D:D,'Alta Proveedor'!E:E)),"")</f>
        <v/>
      </c>
      <c r="F3682" s="832"/>
      <c r="G3682" s="187"/>
      <c r="H3682" s="1"/>
      <c r="I3682" s="169">
        <f>Imput[[#This Row],[Cantidad]]*Imput[[#This Row],[Precio Unitario]]</f>
        <v>0</v>
      </c>
      <c r="J3682" s="11">
        <f>((Imput[[#This Row],[Sub total]])*(0.16))</f>
        <v>0</v>
      </c>
      <c r="K3682" s="11">
        <v>0</v>
      </c>
      <c r="L3682" s="169">
        <f>Imput[[#This Row],[Sub total]]+Imput[[#This Row],[IVA]]-Imput[[#This Row],[Retención / IEPS / Descuento]]</f>
        <v>0</v>
      </c>
      <c r="M3682" s="844">
        <v>0</v>
      </c>
      <c r="N3682" s="189"/>
      <c r="O3682" s="1"/>
      <c r="P3682" s="189"/>
      <c r="Q3682" s="190"/>
      <c r="R3682" s="188"/>
      <c r="S3682" s="193"/>
      <c r="T3682" s="192"/>
      <c r="U3682" s="829"/>
      <c r="V3682" s="10"/>
      <c r="W3682" s="10"/>
      <c r="X3682" s="10"/>
      <c r="Y3682" s="10"/>
      <c r="Z3682" s="10"/>
      <c r="AA3682" s="11"/>
      <c r="AB3682" s="11"/>
    </row>
    <row r="3683" spans="2:28" x14ac:dyDescent="0.3">
      <c r="B3683" s="10"/>
      <c r="C3683" s="315"/>
      <c r="D3683" s="868"/>
      <c r="E3683" s="837" t="str">
        <f>IFERROR(IF(_xlfn.XLOOKUP(Imput[[#This Row],[RFC]],'Alta Proveedor'!D:D,'Alta Proveedor'!E:E)=0,"",_xlfn.XLOOKUP(Imput[[#This Row],[RFC]],'Alta Proveedor'!D:D,'Alta Proveedor'!E:E)),"")</f>
        <v/>
      </c>
      <c r="F3683" s="832"/>
      <c r="G3683" s="187"/>
      <c r="H3683" s="1"/>
      <c r="I3683" s="169">
        <f>Imput[[#This Row],[Cantidad]]*Imput[[#This Row],[Precio Unitario]]</f>
        <v>0</v>
      </c>
      <c r="J3683" s="11">
        <f>((Imput[[#This Row],[Sub total]])*(0.16))</f>
        <v>0</v>
      </c>
      <c r="K3683" s="11">
        <v>0</v>
      </c>
      <c r="L3683" s="169">
        <f>Imput[[#This Row],[Sub total]]+Imput[[#This Row],[IVA]]-Imput[[#This Row],[Retención / IEPS / Descuento]]</f>
        <v>0</v>
      </c>
      <c r="M3683" s="844">
        <v>0</v>
      </c>
      <c r="N3683" s="189"/>
      <c r="O3683" s="1"/>
      <c r="P3683" s="189"/>
      <c r="Q3683" s="190"/>
      <c r="R3683" s="188"/>
      <c r="S3683" s="193"/>
      <c r="T3683" s="192"/>
      <c r="U3683" s="829"/>
      <c r="V3683" s="10"/>
      <c r="W3683" s="10"/>
      <c r="X3683" s="10"/>
      <c r="Y3683" s="10"/>
      <c r="Z3683" s="10"/>
      <c r="AA3683" s="11"/>
      <c r="AB3683" s="11"/>
    </row>
    <row r="3684" spans="2:28" x14ac:dyDescent="0.3">
      <c r="B3684" s="10"/>
      <c r="C3684" s="315"/>
      <c r="D3684" s="868"/>
      <c r="E3684" s="837" t="str">
        <f>IFERROR(IF(_xlfn.XLOOKUP(Imput[[#This Row],[RFC]],'Alta Proveedor'!D:D,'Alta Proveedor'!E:E)=0,"",_xlfn.XLOOKUP(Imput[[#This Row],[RFC]],'Alta Proveedor'!D:D,'Alta Proveedor'!E:E)),"")</f>
        <v/>
      </c>
      <c r="F3684" s="832"/>
      <c r="G3684" s="187"/>
      <c r="H3684" s="1"/>
      <c r="I3684" s="169">
        <f>Imput[[#This Row],[Cantidad]]*Imput[[#This Row],[Precio Unitario]]</f>
        <v>0</v>
      </c>
      <c r="J3684" s="11">
        <f>((Imput[[#This Row],[Sub total]])*(0.16))</f>
        <v>0</v>
      </c>
      <c r="K3684" s="11">
        <v>0</v>
      </c>
      <c r="L3684" s="169">
        <f>Imput[[#This Row],[Sub total]]+Imput[[#This Row],[IVA]]-Imput[[#This Row],[Retención / IEPS / Descuento]]</f>
        <v>0</v>
      </c>
      <c r="M3684" s="844">
        <v>0</v>
      </c>
      <c r="N3684" s="189"/>
      <c r="O3684" s="1"/>
      <c r="P3684" s="189"/>
      <c r="Q3684" s="190"/>
      <c r="R3684" s="188"/>
      <c r="S3684" s="193"/>
      <c r="T3684" s="192"/>
      <c r="U3684" s="829"/>
      <c r="V3684" s="10"/>
      <c r="W3684" s="10"/>
      <c r="X3684" s="10"/>
      <c r="Y3684" s="10"/>
      <c r="Z3684" s="10"/>
      <c r="AA3684" s="11"/>
      <c r="AB3684" s="11"/>
    </row>
    <row r="3685" spans="2:28" x14ac:dyDescent="0.3">
      <c r="B3685" s="10"/>
      <c r="C3685" s="315"/>
      <c r="D3685" s="868"/>
      <c r="E3685" s="837" t="str">
        <f>IFERROR(IF(_xlfn.XLOOKUP(Imput[[#This Row],[RFC]],'Alta Proveedor'!D:D,'Alta Proveedor'!E:E)=0,"",_xlfn.XLOOKUP(Imput[[#This Row],[RFC]],'Alta Proveedor'!D:D,'Alta Proveedor'!E:E)),"")</f>
        <v/>
      </c>
      <c r="F3685" s="832"/>
      <c r="G3685" s="187"/>
      <c r="H3685" s="1"/>
      <c r="I3685" s="169">
        <f>Imput[[#This Row],[Cantidad]]*Imput[[#This Row],[Precio Unitario]]</f>
        <v>0</v>
      </c>
      <c r="J3685" s="11">
        <f>((Imput[[#This Row],[Sub total]])*(0.16))</f>
        <v>0</v>
      </c>
      <c r="K3685" s="11">
        <v>0</v>
      </c>
      <c r="L3685" s="169">
        <f>Imput[[#This Row],[Sub total]]+Imput[[#This Row],[IVA]]-Imput[[#This Row],[Retención / IEPS / Descuento]]</f>
        <v>0</v>
      </c>
      <c r="M3685" s="844">
        <v>0</v>
      </c>
      <c r="N3685" s="189"/>
      <c r="O3685" s="1"/>
      <c r="P3685" s="189"/>
      <c r="Q3685" s="190"/>
      <c r="R3685" s="188"/>
      <c r="S3685" s="193"/>
      <c r="T3685" s="192"/>
      <c r="U3685" s="829"/>
      <c r="V3685" s="10"/>
      <c r="W3685" s="10"/>
      <c r="X3685" s="10"/>
      <c r="Y3685" s="10"/>
      <c r="Z3685" s="10"/>
      <c r="AA3685" s="11"/>
      <c r="AB3685" s="11"/>
    </row>
    <row r="3686" spans="2:28" x14ac:dyDescent="0.3">
      <c r="B3686" s="10"/>
      <c r="C3686" s="315"/>
      <c r="D3686" s="868"/>
      <c r="E3686" s="837" t="str">
        <f>IFERROR(IF(_xlfn.XLOOKUP(Imput[[#This Row],[RFC]],'Alta Proveedor'!D:D,'Alta Proveedor'!E:E)=0,"",_xlfn.XLOOKUP(Imput[[#This Row],[RFC]],'Alta Proveedor'!D:D,'Alta Proveedor'!E:E)),"")</f>
        <v/>
      </c>
      <c r="F3686" s="832"/>
      <c r="G3686" s="187"/>
      <c r="H3686" s="1"/>
      <c r="I3686" s="169">
        <f>Imput[[#This Row],[Cantidad]]*Imput[[#This Row],[Precio Unitario]]</f>
        <v>0</v>
      </c>
      <c r="J3686" s="11">
        <f>((Imput[[#This Row],[Sub total]])*(0.16))</f>
        <v>0</v>
      </c>
      <c r="K3686" s="11">
        <v>0</v>
      </c>
      <c r="L3686" s="169">
        <f>Imput[[#This Row],[Sub total]]+Imput[[#This Row],[IVA]]-Imput[[#This Row],[Retención / IEPS / Descuento]]</f>
        <v>0</v>
      </c>
      <c r="M3686" s="844">
        <v>0</v>
      </c>
      <c r="N3686" s="189"/>
      <c r="O3686" s="1"/>
      <c r="P3686" s="189"/>
      <c r="Q3686" s="190"/>
      <c r="R3686" s="188"/>
      <c r="S3686" s="193"/>
      <c r="T3686" s="192"/>
      <c r="U3686" s="829"/>
      <c r="V3686" s="10"/>
      <c r="W3686" s="10"/>
      <c r="X3686" s="10"/>
      <c r="Y3686" s="10"/>
      <c r="Z3686" s="10"/>
      <c r="AA3686" s="11"/>
      <c r="AB3686" s="11"/>
    </row>
    <row r="3687" spans="2:28" x14ac:dyDescent="0.3">
      <c r="B3687" s="10"/>
      <c r="C3687" s="315"/>
      <c r="D3687" s="868"/>
      <c r="E3687" s="837" t="str">
        <f>IFERROR(IF(_xlfn.XLOOKUP(Imput[[#This Row],[RFC]],'Alta Proveedor'!D:D,'Alta Proveedor'!E:E)=0,"",_xlfn.XLOOKUP(Imput[[#This Row],[RFC]],'Alta Proveedor'!D:D,'Alta Proveedor'!E:E)),"")</f>
        <v/>
      </c>
      <c r="F3687" s="832"/>
      <c r="G3687" s="187"/>
      <c r="H3687" s="1"/>
      <c r="I3687" s="169">
        <f>Imput[[#This Row],[Cantidad]]*Imput[[#This Row],[Precio Unitario]]</f>
        <v>0</v>
      </c>
      <c r="J3687" s="11">
        <f>((Imput[[#This Row],[Sub total]])*(0.16))</f>
        <v>0</v>
      </c>
      <c r="K3687" s="11">
        <v>0</v>
      </c>
      <c r="L3687" s="169">
        <f>Imput[[#This Row],[Sub total]]+Imput[[#This Row],[IVA]]-Imput[[#This Row],[Retención / IEPS / Descuento]]</f>
        <v>0</v>
      </c>
      <c r="M3687" s="844">
        <v>0</v>
      </c>
      <c r="N3687" s="189"/>
      <c r="O3687" s="1"/>
      <c r="P3687" s="189"/>
      <c r="Q3687" s="190"/>
      <c r="R3687" s="188"/>
      <c r="S3687" s="193"/>
      <c r="T3687" s="192"/>
      <c r="U3687" s="829"/>
      <c r="V3687" s="10"/>
      <c r="W3687" s="10"/>
      <c r="X3687" s="10"/>
      <c r="Y3687" s="10"/>
      <c r="Z3687" s="10"/>
      <c r="AA3687" s="11"/>
      <c r="AB3687" s="11"/>
    </row>
    <row r="3688" spans="2:28" x14ac:dyDescent="0.3">
      <c r="B3688" s="10"/>
      <c r="C3688" s="315"/>
      <c r="D3688" s="868"/>
      <c r="E3688" s="837" t="str">
        <f>IFERROR(IF(_xlfn.XLOOKUP(Imput[[#This Row],[RFC]],'Alta Proveedor'!D:D,'Alta Proveedor'!E:E)=0,"",_xlfn.XLOOKUP(Imput[[#This Row],[RFC]],'Alta Proveedor'!D:D,'Alta Proveedor'!E:E)),"")</f>
        <v/>
      </c>
      <c r="F3688" s="832"/>
      <c r="G3688" s="187"/>
      <c r="H3688" s="1"/>
      <c r="I3688" s="169">
        <f>Imput[[#This Row],[Cantidad]]*Imput[[#This Row],[Precio Unitario]]</f>
        <v>0</v>
      </c>
      <c r="J3688" s="11">
        <f>((Imput[[#This Row],[Sub total]])*(0.16))</f>
        <v>0</v>
      </c>
      <c r="K3688" s="11">
        <v>0</v>
      </c>
      <c r="L3688" s="169">
        <f>Imput[[#This Row],[Sub total]]+Imput[[#This Row],[IVA]]-Imput[[#This Row],[Retención / IEPS / Descuento]]</f>
        <v>0</v>
      </c>
      <c r="M3688" s="844">
        <v>0</v>
      </c>
      <c r="N3688" s="189"/>
      <c r="O3688" s="1"/>
      <c r="P3688" s="189"/>
      <c r="Q3688" s="190"/>
      <c r="R3688" s="188"/>
      <c r="S3688" s="193"/>
      <c r="T3688" s="192"/>
      <c r="U3688" s="829"/>
      <c r="V3688" s="10"/>
      <c r="W3688" s="10"/>
      <c r="X3688" s="10"/>
      <c r="Y3688" s="10"/>
      <c r="Z3688" s="10"/>
      <c r="AA3688" s="11"/>
      <c r="AB3688" s="11"/>
    </row>
    <row r="3689" spans="2:28" x14ac:dyDescent="0.3">
      <c r="B3689" s="10"/>
      <c r="C3689" s="315"/>
      <c r="D3689" s="868"/>
      <c r="E3689" s="837" t="str">
        <f>IFERROR(IF(_xlfn.XLOOKUP(Imput[[#This Row],[RFC]],'Alta Proveedor'!D:D,'Alta Proveedor'!E:E)=0,"",_xlfn.XLOOKUP(Imput[[#This Row],[RFC]],'Alta Proveedor'!D:D,'Alta Proveedor'!E:E)),"")</f>
        <v/>
      </c>
      <c r="F3689" s="832"/>
      <c r="G3689" s="187"/>
      <c r="H3689" s="1"/>
      <c r="I3689" s="169">
        <f>Imput[[#This Row],[Cantidad]]*Imput[[#This Row],[Precio Unitario]]</f>
        <v>0</v>
      </c>
      <c r="J3689" s="11">
        <f>((Imput[[#This Row],[Sub total]])*(0.16))</f>
        <v>0</v>
      </c>
      <c r="K3689" s="11">
        <v>0</v>
      </c>
      <c r="L3689" s="169">
        <f>Imput[[#This Row],[Sub total]]+Imput[[#This Row],[IVA]]-Imput[[#This Row],[Retención / IEPS / Descuento]]</f>
        <v>0</v>
      </c>
      <c r="M3689" s="844">
        <v>0</v>
      </c>
      <c r="N3689" s="189"/>
      <c r="O3689" s="1"/>
      <c r="P3689" s="189"/>
      <c r="Q3689" s="190"/>
      <c r="R3689" s="188"/>
      <c r="S3689" s="193"/>
      <c r="T3689" s="192"/>
      <c r="U3689" s="829"/>
      <c r="V3689" s="10"/>
      <c r="W3689" s="10"/>
      <c r="X3689" s="10"/>
      <c r="Y3689" s="10"/>
      <c r="Z3689" s="10"/>
      <c r="AA3689" s="11"/>
      <c r="AB3689" s="11"/>
    </row>
    <row r="3690" spans="2:28" x14ac:dyDescent="0.3">
      <c r="B3690" s="10"/>
      <c r="C3690" s="315"/>
      <c r="D3690" s="868"/>
      <c r="E3690" s="837" t="str">
        <f>IFERROR(IF(_xlfn.XLOOKUP(Imput[[#This Row],[RFC]],'Alta Proveedor'!D:D,'Alta Proveedor'!E:E)=0,"",_xlfn.XLOOKUP(Imput[[#This Row],[RFC]],'Alta Proveedor'!D:D,'Alta Proveedor'!E:E)),"")</f>
        <v/>
      </c>
      <c r="F3690" s="832"/>
      <c r="G3690" s="187"/>
      <c r="H3690" s="1"/>
      <c r="I3690" s="169">
        <f>Imput[[#This Row],[Cantidad]]*Imput[[#This Row],[Precio Unitario]]</f>
        <v>0</v>
      </c>
      <c r="J3690" s="11">
        <f>((Imput[[#This Row],[Sub total]])*(0.16))</f>
        <v>0</v>
      </c>
      <c r="K3690" s="11">
        <v>0</v>
      </c>
      <c r="L3690" s="169">
        <f>Imput[[#This Row],[Sub total]]+Imput[[#This Row],[IVA]]-Imput[[#This Row],[Retención / IEPS / Descuento]]</f>
        <v>0</v>
      </c>
      <c r="M3690" s="844">
        <v>0</v>
      </c>
      <c r="N3690" s="189"/>
      <c r="O3690" s="1"/>
      <c r="P3690" s="189"/>
      <c r="Q3690" s="190"/>
      <c r="R3690" s="188"/>
      <c r="S3690" s="193"/>
      <c r="T3690" s="192"/>
      <c r="U3690" s="829"/>
      <c r="V3690" s="10"/>
      <c r="W3690" s="10"/>
      <c r="X3690" s="10"/>
      <c r="Y3690" s="10"/>
      <c r="Z3690" s="10"/>
      <c r="AA3690" s="11"/>
      <c r="AB3690" s="11"/>
    </row>
    <row r="3691" spans="2:28" x14ac:dyDescent="0.3">
      <c r="B3691" s="10"/>
      <c r="C3691" s="315"/>
      <c r="D3691" s="868"/>
      <c r="E3691" s="837" t="str">
        <f>IFERROR(IF(_xlfn.XLOOKUP(Imput[[#This Row],[RFC]],'Alta Proveedor'!D:D,'Alta Proveedor'!E:E)=0,"",_xlfn.XLOOKUP(Imput[[#This Row],[RFC]],'Alta Proveedor'!D:D,'Alta Proveedor'!E:E)),"")</f>
        <v/>
      </c>
      <c r="F3691" s="832"/>
      <c r="G3691" s="187"/>
      <c r="H3691" s="1"/>
      <c r="I3691" s="169">
        <f>Imput[[#This Row],[Cantidad]]*Imput[[#This Row],[Precio Unitario]]</f>
        <v>0</v>
      </c>
      <c r="J3691" s="11">
        <f>((Imput[[#This Row],[Sub total]])*(0.16))</f>
        <v>0</v>
      </c>
      <c r="K3691" s="11">
        <v>0</v>
      </c>
      <c r="L3691" s="169">
        <f>Imput[[#This Row],[Sub total]]+Imput[[#This Row],[IVA]]-Imput[[#This Row],[Retención / IEPS / Descuento]]</f>
        <v>0</v>
      </c>
      <c r="M3691" s="844">
        <v>0</v>
      </c>
      <c r="N3691" s="189"/>
      <c r="O3691" s="1"/>
      <c r="P3691" s="189"/>
      <c r="Q3691" s="190"/>
      <c r="R3691" s="188"/>
      <c r="S3691" s="193"/>
      <c r="T3691" s="192"/>
      <c r="U3691" s="829"/>
      <c r="V3691" s="10"/>
      <c r="W3691" s="10"/>
      <c r="X3691" s="10"/>
      <c r="Y3691" s="10"/>
      <c r="Z3691" s="10"/>
      <c r="AA3691" s="11"/>
      <c r="AB3691" s="11"/>
    </row>
    <row r="3692" spans="2:28" x14ac:dyDescent="0.3">
      <c r="B3692" s="10"/>
      <c r="C3692" s="315"/>
      <c r="D3692" s="868"/>
      <c r="E3692" s="837" t="str">
        <f>IFERROR(IF(_xlfn.XLOOKUP(Imput[[#This Row],[RFC]],'Alta Proveedor'!D:D,'Alta Proveedor'!E:E)=0,"",_xlfn.XLOOKUP(Imput[[#This Row],[RFC]],'Alta Proveedor'!D:D,'Alta Proveedor'!E:E)),"")</f>
        <v/>
      </c>
      <c r="F3692" s="832"/>
      <c r="G3692" s="187"/>
      <c r="H3692" s="1"/>
      <c r="I3692" s="169">
        <f>Imput[[#This Row],[Cantidad]]*Imput[[#This Row],[Precio Unitario]]</f>
        <v>0</v>
      </c>
      <c r="J3692" s="11">
        <f>((Imput[[#This Row],[Sub total]])*(0.16))</f>
        <v>0</v>
      </c>
      <c r="K3692" s="11">
        <v>0</v>
      </c>
      <c r="L3692" s="169">
        <f>Imput[[#This Row],[Sub total]]+Imput[[#This Row],[IVA]]-Imput[[#This Row],[Retención / IEPS / Descuento]]</f>
        <v>0</v>
      </c>
      <c r="M3692" s="844">
        <v>0</v>
      </c>
      <c r="N3692" s="189"/>
      <c r="O3692" s="1"/>
      <c r="P3692" s="189"/>
      <c r="Q3692" s="190"/>
      <c r="R3692" s="188"/>
      <c r="S3692" s="193"/>
      <c r="T3692" s="192"/>
      <c r="U3692" s="829"/>
      <c r="V3692" s="10"/>
      <c r="W3692" s="10"/>
      <c r="X3692" s="10"/>
      <c r="Y3692" s="10"/>
      <c r="Z3692" s="10"/>
      <c r="AA3692" s="11"/>
      <c r="AB3692" s="11"/>
    </row>
    <row r="3693" spans="2:28" x14ac:dyDescent="0.3">
      <c r="B3693" s="10"/>
      <c r="C3693" s="315"/>
      <c r="D3693" s="868"/>
      <c r="E3693" s="837" t="str">
        <f>IFERROR(IF(_xlfn.XLOOKUP(Imput[[#This Row],[RFC]],'Alta Proveedor'!D:D,'Alta Proveedor'!E:E)=0,"",_xlfn.XLOOKUP(Imput[[#This Row],[RFC]],'Alta Proveedor'!D:D,'Alta Proveedor'!E:E)),"")</f>
        <v/>
      </c>
      <c r="F3693" s="832"/>
      <c r="G3693" s="187"/>
      <c r="H3693" s="1"/>
      <c r="I3693" s="169">
        <f>Imput[[#This Row],[Cantidad]]*Imput[[#This Row],[Precio Unitario]]</f>
        <v>0</v>
      </c>
      <c r="J3693" s="11">
        <f>((Imput[[#This Row],[Sub total]])*(0.16))</f>
        <v>0</v>
      </c>
      <c r="K3693" s="11">
        <v>0</v>
      </c>
      <c r="L3693" s="169">
        <f>Imput[[#This Row],[Sub total]]+Imput[[#This Row],[IVA]]-Imput[[#This Row],[Retención / IEPS / Descuento]]</f>
        <v>0</v>
      </c>
      <c r="M3693" s="844">
        <v>0</v>
      </c>
      <c r="N3693" s="189"/>
      <c r="O3693" s="1"/>
      <c r="P3693" s="189"/>
      <c r="Q3693" s="190"/>
      <c r="R3693" s="188"/>
      <c r="S3693" s="193"/>
      <c r="T3693" s="192"/>
      <c r="U3693" s="829"/>
      <c r="V3693" s="10"/>
      <c r="W3693" s="10"/>
      <c r="X3693" s="10"/>
      <c r="Y3693" s="10"/>
      <c r="Z3693" s="10"/>
      <c r="AA3693" s="11"/>
      <c r="AB3693" s="11"/>
    </row>
    <row r="3694" spans="2:28" x14ac:dyDescent="0.3">
      <c r="B3694" s="10"/>
      <c r="C3694" s="315"/>
      <c r="D3694" s="868"/>
      <c r="E3694" s="837" t="str">
        <f>IFERROR(IF(_xlfn.XLOOKUP(Imput[[#This Row],[RFC]],'Alta Proveedor'!D:D,'Alta Proveedor'!E:E)=0,"",_xlfn.XLOOKUP(Imput[[#This Row],[RFC]],'Alta Proveedor'!D:D,'Alta Proveedor'!E:E)),"")</f>
        <v/>
      </c>
      <c r="F3694" s="832"/>
      <c r="G3694" s="187"/>
      <c r="H3694" s="1"/>
      <c r="I3694" s="169">
        <f>Imput[[#This Row],[Cantidad]]*Imput[[#This Row],[Precio Unitario]]</f>
        <v>0</v>
      </c>
      <c r="J3694" s="11">
        <f>((Imput[[#This Row],[Sub total]])*(0.16))</f>
        <v>0</v>
      </c>
      <c r="K3694" s="11">
        <v>0</v>
      </c>
      <c r="L3694" s="169">
        <f>Imput[[#This Row],[Sub total]]+Imput[[#This Row],[IVA]]-Imput[[#This Row],[Retención / IEPS / Descuento]]</f>
        <v>0</v>
      </c>
      <c r="M3694" s="844">
        <v>0</v>
      </c>
      <c r="N3694" s="189"/>
      <c r="O3694" s="1"/>
      <c r="P3694" s="189"/>
      <c r="Q3694" s="190"/>
      <c r="R3694" s="188"/>
      <c r="S3694" s="193"/>
      <c r="T3694" s="192"/>
      <c r="U3694" s="829"/>
      <c r="V3694" s="10"/>
      <c r="W3694" s="10"/>
      <c r="X3694" s="10"/>
      <c r="Y3694" s="10"/>
      <c r="Z3694" s="10"/>
      <c r="AA3694" s="11"/>
      <c r="AB3694" s="11"/>
    </row>
    <row r="3695" spans="2:28" x14ac:dyDescent="0.3">
      <c r="B3695" s="10"/>
      <c r="C3695" s="315"/>
      <c r="D3695" s="868"/>
      <c r="E3695" s="837" t="str">
        <f>IFERROR(IF(_xlfn.XLOOKUP(Imput[[#This Row],[RFC]],'Alta Proveedor'!D:D,'Alta Proveedor'!E:E)=0,"",_xlfn.XLOOKUP(Imput[[#This Row],[RFC]],'Alta Proveedor'!D:D,'Alta Proveedor'!E:E)),"")</f>
        <v/>
      </c>
      <c r="F3695" s="832"/>
      <c r="G3695" s="187"/>
      <c r="H3695" s="1"/>
      <c r="I3695" s="169">
        <f>Imput[[#This Row],[Cantidad]]*Imput[[#This Row],[Precio Unitario]]</f>
        <v>0</v>
      </c>
      <c r="J3695" s="11">
        <f>((Imput[[#This Row],[Sub total]])*(0.16))</f>
        <v>0</v>
      </c>
      <c r="K3695" s="11">
        <v>0</v>
      </c>
      <c r="L3695" s="169">
        <f>Imput[[#This Row],[Sub total]]+Imput[[#This Row],[IVA]]-Imput[[#This Row],[Retención / IEPS / Descuento]]</f>
        <v>0</v>
      </c>
      <c r="M3695" s="844">
        <v>0</v>
      </c>
      <c r="N3695" s="189"/>
      <c r="O3695" s="1"/>
      <c r="P3695" s="189"/>
      <c r="Q3695" s="190"/>
      <c r="R3695" s="188"/>
      <c r="S3695" s="193"/>
      <c r="T3695" s="192"/>
      <c r="U3695" s="829"/>
      <c r="V3695" s="10"/>
      <c r="W3695" s="10"/>
      <c r="X3695" s="10"/>
      <c r="Y3695" s="10"/>
      <c r="Z3695" s="10"/>
      <c r="AA3695" s="11"/>
      <c r="AB3695" s="11"/>
    </row>
    <row r="3696" spans="2:28" x14ac:dyDescent="0.3">
      <c r="B3696" s="10"/>
      <c r="C3696" s="315"/>
      <c r="D3696" s="868"/>
      <c r="E3696" s="837" t="str">
        <f>IFERROR(IF(_xlfn.XLOOKUP(Imput[[#This Row],[RFC]],'Alta Proveedor'!D:D,'Alta Proveedor'!E:E)=0,"",_xlfn.XLOOKUP(Imput[[#This Row],[RFC]],'Alta Proveedor'!D:D,'Alta Proveedor'!E:E)),"")</f>
        <v/>
      </c>
      <c r="F3696" s="832"/>
      <c r="G3696" s="187"/>
      <c r="H3696" s="1"/>
      <c r="I3696" s="169">
        <f>Imput[[#This Row],[Cantidad]]*Imput[[#This Row],[Precio Unitario]]</f>
        <v>0</v>
      </c>
      <c r="J3696" s="11">
        <f>((Imput[[#This Row],[Sub total]])*(0.16))</f>
        <v>0</v>
      </c>
      <c r="K3696" s="11">
        <v>0</v>
      </c>
      <c r="L3696" s="169">
        <f>Imput[[#This Row],[Sub total]]+Imput[[#This Row],[IVA]]-Imput[[#This Row],[Retención / IEPS / Descuento]]</f>
        <v>0</v>
      </c>
      <c r="M3696" s="844">
        <v>0</v>
      </c>
      <c r="N3696" s="189"/>
      <c r="O3696" s="1"/>
      <c r="P3696" s="189"/>
      <c r="Q3696" s="190"/>
      <c r="R3696" s="188"/>
      <c r="S3696" s="193"/>
      <c r="T3696" s="192"/>
      <c r="U3696" s="829"/>
      <c r="V3696" s="10"/>
      <c r="W3696" s="10"/>
      <c r="X3696" s="10"/>
      <c r="Y3696" s="10"/>
      <c r="Z3696" s="10"/>
      <c r="AA3696" s="11"/>
      <c r="AB3696" s="11"/>
    </row>
    <row r="3697" spans="2:28" x14ac:dyDescent="0.3">
      <c r="B3697" s="10"/>
      <c r="C3697" s="315"/>
      <c r="D3697" s="868"/>
      <c r="E3697" s="837" t="str">
        <f>IFERROR(IF(_xlfn.XLOOKUP(Imput[[#This Row],[RFC]],'Alta Proveedor'!D:D,'Alta Proveedor'!E:E)=0,"",_xlfn.XLOOKUP(Imput[[#This Row],[RFC]],'Alta Proveedor'!D:D,'Alta Proveedor'!E:E)),"")</f>
        <v/>
      </c>
      <c r="F3697" s="832"/>
      <c r="G3697" s="187"/>
      <c r="H3697" s="1"/>
      <c r="I3697" s="169">
        <f>Imput[[#This Row],[Cantidad]]*Imput[[#This Row],[Precio Unitario]]</f>
        <v>0</v>
      </c>
      <c r="J3697" s="11">
        <f>((Imput[[#This Row],[Sub total]])*(0.16))</f>
        <v>0</v>
      </c>
      <c r="K3697" s="11">
        <v>0</v>
      </c>
      <c r="L3697" s="169">
        <f>Imput[[#This Row],[Sub total]]+Imput[[#This Row],[IVA]]-Imput[[#This Row],[Retención / IEPS / Descuento]]</f>
        <v>0</v>
      </c>
      <c r="M3697" s="844">
        <v>0</v>
      </c>
      <c r="N3697" s="189"/>
      <c r="O3697" s="1"/>
      <c r="P3697" s="189"/>
      <c r="Q3697" s="190"/>
      <c r="R3697" s="188"/>
      <c r="S3697" s="193"/>
      <c r="T3697" s="192"/>
      <c r="U3697" s="829"/>
      <c r="V3697" s="10"/>
      <c r="W3697" s="10"/>
      <c r="X3697" s="10"/>
      <c r="Y3697" s="10"/>
      <c r="Z3697" s="10"/>
      <c r="AA3697" s="11"/>
      <c r="AB3697" s="11"/>
    </row>
    <row r="3698" spans="2:28" x14ac:dyDescent="0.3">
      <c r="B3698" s="10"/>
      <c r="C3698" s="315"/>
      <c r="D3698" s="868"/>
      <c r="E3698" s="837" t="str">
        <f>IFERROR(IF(_xlfn.XLOOKUP(Imput[[#This Row],[RFC]],'Alta Proveedor'!D:D,'Alta Proveedor'!E:E)=0,"",_xlfn.XLOOKUP(Imput[[#This Row],[RFC]],'Alta Proveedor'!D:D,'Alta Proveedor'!E:E)),"")</f>
        <v/>
      </c>
      <c r="F3698" s="832"/>
      <c r="G3698" s="187"/>
      <c r="H3698" s="1"/>
      <c r="I3698" s="169">
        <f>Imput[[#This Row],[Cantidad]]*Imput[[#This Row],[Precio Unitario]]</f>
        <v>0</v>
      </c>
      <c r="J3698" s="11">
        <f>((Imput[[#This Row],[Sub total]])*(0.16))</f>
        <v>0</v>
      </c>
      <c r="K3698" s="11">
        <v>0</v>
      </c>
      <c r="L3698" s="169">
        <f>Imput[[#This Row],[Sub total]]+Imput[[#This Row],[IVA]]-Imput[[#This Row],[Retención / IEPS / Descuento]]</f>
        <v>0</v>
      </c>
      <c r="M3698" s="844">
        <v>0</v>
      </c>
      <c r="N3698" s="189"/>
      <c r="O3698" s="1"/>
      <c r="P3698" s="189"/>
      <c r="Q3698" s="190"/>
      <c r="R3698" s="188"/>
      <c r="S3698" s="193"/>
      <c r="T3698" s="192"/>
      <c r="U3698" s="829"/>
      <c r="V3698" s="10"/>
      <c r="W3698" s="10"/>
      <c r="X3698" s="10"/>
      <c r="Y3698" s="10"/>
      <c r="Z3698" s="10"/>
      <c r="AA3698" s="11"/>
      <c r="AB3698" s="11"/>
    </row>
    <row r="3699" spans="2:28" x14ac:dyDescent="0.3">
      <c r="B3699" s="10"/>
      <c r="C3699" s="315"/>
      <c r="D3699" s="868"/>
      <c r="E3699" s="837" t="str">
        <f>IFERROR(IF(_xlfn.XLOOKUP(Imput[[#This Row],[RFC]],'Alta Proveedor'!D:D,'Alta Proveedor'!E:E)=0,"",_xlfn.XLOOKUP(Imput[[#This Row],[RFC]],'Alta Proveedor'!D:D,'Alta Proveedor'!E:E)),"")</f>
        <v/>
      </c>
      <c r="F3699" s="832"/>
      <c r="G3699" s="187"/>
      <c r="H3699" s="1"/>
      <c r="I3699" s="169">
        <f>Imput[[#This Row],[Cantidad]]*Imput[[#This Row],[Precio Unitario]]</f>
        <v>0</v>
      </c>
      <c r="J3699" s="11">
        <f>((Imput[[#This Row],[Sub total]])*(0.16))</f>
        <v>0</v>
      </c>
      <c r="K3699" s="11">
        <v>0</v>
      </c>
      <c r="L3699" s="169">
        <f>Imput[[#This Row],[Sub total]]+Imput[[#This Row],[IVA]]-Imput[[#This Row],[Retención / IEPS / Descuento]]</f>
        <v>0</v>
      </c>
      <c r="M3699" s="844">
        <v>0</v>
      </c>
      <c r="N3699" s="189"/>
      <c r="O3699" s="1"/>
      <c r="P3699" s="189"/>
      <c r="Q3699" s="190"/>
      <c r="R3699" s="188"/>
      <c r="S3699" s="193"/>
      <c r="T3699" s="192"/>
      <c r="U3699" s="829"/>
      <c r="V3699" s="10"/>
      <c r="W3699" s="10"/>
      <c r="X3699" s="10"/>
      <c r="Y3699" s="10"/>
      <c r="Z3699" s="10"/>
      <c r="AA3699" s="11"/>
      <c r="AB3699" s="11"/>
    </row>
    <row r="3700" spans="2:28" x14ac:dyDescent="0.3">
      <c r="B3700" s="10"/>
      <c r="C3700" s="315"/>
      <c r="D3700" s="868"/>
      <c r="E3700" s="837" t="str">
        <f>IFERROR(IF(_xlfn.XLOOKUP(Imput[[#This Row],[RFC]],'Alta Proveedor'!D:D,'Alta Proveedor'!E:E)=0,"",_xlfn.XLOOKUP(Imput[[#This Row],[RFC]],'Alta Proveedor'!D:D,'Alta Proveedor'!E:E)),"")</f>
        <v/>
      </c>
      <c r="F3700" s="832"/>
      <c r="G3700" s="187"/>
      <c r="H3700" s="1"/>
      <c r="I3700" s="169">
        <f>Imput[[#This Row],[Cantidad]]*Imput[[#This Row],[Precio Unitario]]</f>
        <v>0</v>
      </c>
      <c r="J3700" s="11">
        <f>((Imput[[#This Row],[Sub total]])*(0.16))</f>
        <v>0</v>
      </c>
      <c r="K3700" s="11">
        <v>0</v>
      </c>
      <c r="L3700" s="169">
        <f>Imput[[#This Row],[Sub total]]+Imput[[#This Row],[IVA]]-Imput[[#This Row],[Retención / IEPS / Descuento]]</f>
        <v>0</v>
      </c>
      <c r="M3700" s="844">
        <v>0</v>
      </c>
      <c r="N3700" s="189"/>
      <c r="O3700" s="1"/>
      <c r="P3700" s="189"/>
      <c r="Q3700" s="190"/>
      <c r="R3700" s="188"/>
      <c r="S3700" s="193"/>
      <c r="T3700" s="192"/>
      <c r="U3700" s="829"/>
      <c r="V3700" s="10"/>
      <c r="W3700" s="10"/>
      <c r="X3700" s="10"/>
      <c r="Y3700" s="10"/>
      <c r="Z3700" s="10"/>
      <c r="AA3700" s="11"/>
      <c r="AB3700" s="11"/>
    </row>
    <row r="3701" spans="2:28" x14ac:dyDescent="0.3">
      <c r="B3701" s="10"/>
      <c r="C3701" s="315"/>
      <c r="D3701" s="868"/>
      <c r="E3701" s="837" t="str">
        <f>IFERROR(IF(_xlfn.XLOOKUP(Imput[[#This Row],[RFC]],'Alta Proveedor'!D:D,'Alta Proveedor'!E:E)=0,"",_xlfn.XLOOKUP(Imput[[#This Row],[RFC]],'Alta Proveedor'!D:D,'Alta Proveedor'!E:E)),"")</f>
        <v/>
      </c>
      <c r="F3701" s="832"/>
      <c r="G3701" s="187"/>
      <c r="H3701" s="1"/>
      <c r="I3701" s="169">
        <f>Imput[[#This Row],[Cantidad]]*Imput[[#This Row],[Precio Unitario]]</f>
        <v>0</v>
      </c>
      <c r="J3701" s="11">
        <f>((Imput[[#This Row],[Sub total]])*(0.16))</f>
        <v>0</v>
      </c>
      <c r="K3701" s="11">
        <v>0</v>
      </c>
      <c r="L3701" s="169">
        <f>Imput[[#This Row],[Sub total]]+Imput[[#This Row],[IVA]]-Imput[[#This Row],[Retención / IEPS / Descuento]]</f>
        <v>0</v>
      </c>
      <c r="M3701" s="844">
        <v>0</v>
      </c>
      <c r="N3701" s="189"/>
      <c r="O3701" s="1"/>
      <c r="P3701" s="189"/>
      <c r="Q3701" s="190"/>
      <c r="R3701" s="188"/>
      <c r="S3701" s="193"/>
      <c r="T3701" s="192"/>
      <c r="U3701" s="829"/>
      <c r="V3701" s="10"/>
      <c r="W3701" s="10"/>
      <c r="X3701" s="10"/>
      <c r="Y3701" s="10"/>
      <c r="Z3701" s="10"/>
      <c r="AA3701" s="11"/>
      <c r="AB3701" s="11"/>
    </row>
    <row r="3702" spans="2:28" x14ac:dyDescent="0.3">
      <c r="B3702" s="10"/>
      <c r="C3702" s="315"/>
      <c r="D3702" s="868"/>
      <c r="E3702" s="837" t="str">
        <f>IFERROR(IF(_xlfn.XLOOKUP(Imput[[#This Row],[RFC]],'Alta Proveedor'!D:D,'Alta Proveedor'!E:E)=0,"",_xlfn.XLOOKUP(Imput[[#This Row],[RFC]],'Alta Proveedor'!D:D,'Alta Proveedor'!E:E)),"")</f>
        <v/>
      </c>
      <c r="F3702" s="832"/>
      <c r="G3702" s="187"/>
      <c r="H3702" s="1"/>
      <c r="I3702" s="169">
        <f>Imput[[#This Row],[Cantidad]]*Imput[[#This Row],[Precio Unitario]]</f>
        <v>0</v>
      </c>
      <c r="J3702" s="11">
        <f>((Imput[[#This Row],[Sub total]])*(0.16))</f>
        <v>0</v>
      </c>
      <c r="K3702" s="11">
        <v>0</v>
      </c>
      <c r="L3702" s="169">
        <f>Imput[[#This Row],[Sub total]]+Imput[[#This Row],[IVA]]-Imput[[#This Row],[Retención / IEPS / Descuento]]</f>
        <v>0</v>
      </c>
      <c r="M3702" s="844">
        <v>0</v>
      </c>
      <c r="N3702" s="189"/>
      <c r="O3702" s="1"/>
      <c r="P3702" s="189"/>
      <c r="Q3702" s="190"/>
      <c r="R3702" s="188"/>
      <c r="S3702" s="193"/>
      <c r="T3702" s="192"/>
      <c r="U3702" s="829"/>
      <c r="V3702" s="10"/>
      <c r="W3702" s="10"/>
      <c r="X3702" s="10"/>
      <c r="Y3702" s="10"/>
      <c r="Z3702" s="10"/>
      <c r="AA3702" s="11"/>
      <c r="AB3702" s="11"/>
    </row>
    <row r="3703" spans="2:28" x14ac:dyDescent="0.3">
      <c r="B3703" s="10"/>
      <c r="C3703" s="315"/>
      <c r="D3703" s="868"/>
      <c r="E3703" s="837" t="str">
        <f>IFERROR(IF(_xlfn.XLOOKUP(Imput[[#This Row],[RFC]],'Alta Proveedor'!D:D,'Alta Proveedor'!E:E)=0,"",_xlfn.XLOOKUP(Imput[[#This Row],[RFC]],'Alta Proveedor'!D:D,'Alta Proveedor'!E:E)),"")</f>
        <v/>
      </c>
      <c r="F3703" s="832"/>
      <c r="G3703" s="187"/>
      <c r="H3703" s="1"/>
      <c r="I3703" s="169">
        <f>Imput[[#This Row],[Cantidad]]*Imput[[#This Row],[Precio Unitario]]</f>
        <v>0</v>
      </c>
      <c r="J3703" s="11">
        <f>((Imput[[#This Row],[Sub total]])*(0.16))</f>
        <v>0</v>
      </c>
      <c r="K3703" s="11">
        <v>0</v>
      </c>
      <c r="L3703" s="169">
        <f>Imput[[#This Row],[Sub total]]+Imput[[#This Row],[IVA]]-Imput[[#This Row],[Retención / IEPS / Descuento]]</f>
        <v>0</v>
      </c>
      <c r="M3703" s="844">
        <v>0</v>
      </c>
      <c r="N3703" s="189"/>
      <c r="O3703" s="1"/>
      <c r="P3703" s="189"/>
      <c r="Q3703" s="190"/>
      <c r="R3703" s="188"/>
      <c r="S3703" s="193"/>
      <c r="T3703" s="192"/>
      <c r="U3703" s="829"/>
      <c r="V3703" s="10"/>
      <c r="W3703" s="10"/>
      <c r="X3703" s="10"/>
      <c r="Y3703" s="10"/>
      <c r="Z3703" s="10"/>
      <c r="AA3703" s="11"/>
      <c r="AB3703" s="11"/>
    </row>
    <row r="3704" spans="2:28" x14ac:dyDescent="0.3">
      <c r="B3704" s="10"/>
      <c r="C3704" s="315"/>
      <c r="D3704" s="868"/>
      <c r="E3704" s="837" t="str">
        <f>IFERROR(IF(_xlfn.XLOOKUP(Imput[[#This Row],[RFC]],'Alta Proveedor'!D:D,'Alta Proveedor'!E:E)=0,"",_xlfn.XLOOKUP(Imput[[#This Row],[RFC]],'Alta Proveedor'!D:D,'Alta Proveedor'!E:E)),"")</f>
        <v/>
      </c>
      <c r="F3704" s="832"/>
      <c r="G3704" s="187"/>
      <c r="H3704" s="1"/>
      <c r="I3704" s="169">
        <f>Imput[[#This Row],[Cantidad]]*Imput[[#This Row],[Precio Unitario]]</f>
        <v>0</v>
      </c>
      <c r="J3704" s="11">
        <f>((Imput[[#This Row],[Sub total]])*(0.16))</f>
        <v>0</v>
      </c>
      <c r="K3704" s="11">
        <v>0</v>
      </c>
      <c r="L3704" s="169">
        <f>Imput[[#This Row],[Sub total]]+Imput[[#This Row],[IVA]]-Imput[[#This Row],[Retención / IEPS / Descuento]]</f>
        <v>0</v>
      </c>
      <c r="M3704" s="844">
        <v>0</v>
      </c>
      <c r="N3704" s="189"/>
      <c r="O3704" s="1"/>
      <c r="P3704" s="189"/>
      <c r="Q3704" s="190"/>
      <c r="R3704" s="188"/>
      <c r="S3704" s="193"/>
      <c r="T3704" s="192"/>
      <c r="U3704" s="829"/>
      <c r="V3704" s="10"/>
      <c r="W3704" s="10"/>
      <c r="X3704" s="10"/>
      <c r="Y3704" s="10"/>
      <c r="Z3704" s="10"/>
      <c r="AA3704" s="11"/>
      <c r="AB3704" s="11"/>
    </row>
    <row r="3705" spans="2:28" x14ac:dyDescent="0.3">
      <c r="B3705" s="10"/>
      <c r="C3705" s="315"/>
      <c r="D3705" s="868"/>
      <c r="E3705" s="837" t="str">
        <f>IFERROR(IF(_xlfn.XLOOKUP(Imput[[#This Row],[RFC]],'Alta Proveedor'!D:D,'Alta Proveedor'!E:E)=0,"",_xlfn.XLOOKUP(Imput[[#This Row],[RFC]],'Alta Proveedor'!D:D,'Alta Proveedor'!E:E)),"")</f>
        <v/>
      </c>
      <c r="F3705" s="832"/>
      <c r="G3705" s="187"/>
      <c r="H3705" s="1"/>
      <c r="I3705" s="169">
        <f>Imput[[#This Row],[Cantidad]]*Imput[[#This Row],[Precio Unitario]]</f>
        <v>0</v>
      </c>
      <c r="J3705" s="11">
        <f>((Imput[[#This Row],[Sub total]])*(0.16))</f>
        <v>0</v>
      </c>
      <c r="K3705" s="11">
        <v>0</v>
      </c>
      <c r="L3705" s="169">
        <f>Imput[[#This Row],[Sub total]]+Imput[[#This Row],[IVA]]-Imput[[#This Row],[Retención / IEPS / Descuento]]</f>
        <v>0</v>
      </c>
      <c r="M3705" s="844">
        <v>0</v>
      </c>
      <c r="N3705" s="189"/>
      <c r="O3705" s="1"/>
      <c r="P3705" s="189"/>
      <c r="Q3705" s="190"/>
      <c r="R3705" s="188"/>
      <c r="S3705" s="193"/>
      <c r="T3705" s="192"/>
      <c r="U3705" s="829"/>
      <c r="V3705" s="10"/>
      <c r="W3705" s="10"/>
      <c r="X3705" s="10"/>
      <c r="Y3705" s="10"/>
      <c r="Z3705" s="10"/>
      <c r="AA3705" s="11"/>
      <c r="AB3705" s="11"/>
    </row>
    <row r="3706" spans="2:28" x14ac:dyDescent="0.3">
      <c r="B3706" s="10"/>
      <c r="C3706" s="315"/>
      <c r="D3706" s="868"/>
      <c r="E3706" s="837" t="str">
        <f>IFERROR(IF(_xlfn.XLOOKUP(Imput[[#This Row],[RFC]],'Alta Proveedor'!D:D,'Alta Proveedor'!E:E)=0,"",_xlfn.XLOOKUP(Imput[[#This Row],[RFC]],'Alta Proveedor'!D:D,'Alta Proveedor'!E:E)),"")</f>
        <v/>
      </c>
      <c r="F3706" s="832"/>
      <c r="G3706" s="187"/>
      <c r="H3706" s="1"/>
      <c r="I3706" s="169">
        <f>Imput[[#This Row],[Cantidad]]*Imput[[#This Row],[Precio Unitario]]</f>
        <v>0</v>
      </c>
      <c r="J3706" s="11">
        <f>((Imput[[#This Row],[Sub total]])*(0.16))</f>
        <v>0</v>
      </c>
      <c r="K3706" s="11">
        <v>0</v>
      </c>
      <c r="L3706" s="169">
        <f>Imput[[#This Row],[Sub total]]+Imput[[#This Row],[IVA]]-Imput[[#This Row],[Retención / IEPS / Descuento]]</f>
        <v>0</v>
      </c>
      <c r="M3706" s="844">
        <v>0</v>
      </c>
      <c r="N3706" s="189"/>
      <c r="O3706" s="1"/>
      <c r="P3706" s="189"/>
      <c r="Q3706" s="190"/>
      <c r="R3706" s="188"/>
      <c r="S3706" s="193"/>
      <c r="T3706" s="192"/>
      <c r="U3706" s="829"/>
      <c r="V3706" s="10"/>
      <c r="W3706" s="10"/>
      <c r="X3706" s="10"/>
      <c r="Y3706" s="10"/>
      <c r="Z3706" s="10"/>
      <c r="AA3706" s="11"/>
      <c r="AB3706" s="11"/>
    </row>
    <row r="3707" spans="2:28" x14ac:dyDescent="0.3">
      <c r="B3707" s="10"/>
      <c r="C3707" s="315"/>
      <c r="D3707" s="868"/>
      <c r="E3707" s="837" t="str">
        <f>IFERROR(IF(_xlfn.XLOOKUP(Imput[[#This Row],[RFC]],'Alta Proveedor'!D:D,'Alta Proveedor'!E:E)=0,"",_xlfn.XLOOKUP(Imput[[#This Row],[RFC]],'Alta Proveedor'!D:D,'Alta Proveedor'!E:E)),"")</f>
        <v/>
      </c>
      <c r="F3707" s="832"/>
      <c r="G3707" s="187"/>
      <c r="H3707" s="1"/>
      <c r="I3707" s="169">
        <f>Imput[[#This Row],[Cantidad]]*Imput[[#This Row],[Precio Unitario]]</f>
        <v>0</v>
      </c>
      <c r="J3707" s="11">
        <f>((Imput[[#This Row],[Sub total]])*(0.16))</f>
        <v>0</v>
      </c>
      <c r="K3707" s="11">
        <v>0</v>
      </c>
      <c r="L3707" s="169">
        <f>Imput[[#This Row],[Sub total]]+Imput[[#This Row],[IVA]]-Imput[[#This Row],[Retención / IEPS / Descuento]]</f>
        <v>0</v>
      </c>
      <c r="M3707" s="844">
        <v>0</v>
      </c>
      <c r="N3707" s="189"/>
      <c r="O3707" s="1"/>
      <c r="P3707" s="189"/>
      <c r="Q3707" s="190"/>
      <c r="R3707" s="188"/>
      <c r="S3707" s="193"/>
      <c r="T3707" s="192"/>
      <c r="U3707" s="829"/>
      <c r="V3707" s="10"/>
      <c r="W3707" s="10"/>
      <c r="X3707" s="10"/>
      <c r="Y3707" s="10"/>
      <c r="Z3707" s="10"/>
      <c r="AA3707" s="11"/>
      <c r="AB3707" s="11"/>
    </row>
    <row r="3708" spans="2:28" x14ac:dyDescent="0.3">
      <c r="B3708" s="10"/>
      <c r="C3708" s="315"/>
      <c r="D3708" s="868"/>
      <c r="E3708" s="837" t="str">
        <f>IFERROR(IF(_xlfn.XLOOKUP(Imput[[#This Row],[RFC]],'Alta Proveedor'!D:D,'Alta Proveedor'!E:E)=0,"",_xlfn.XLOOKUP(Imput[[#This Row],[RFC]],'Alta Proveedor'!D:D,'Alta Proveedor'!E:E)),"")</f>
        <v/>
      </c>
      <c r="F3708" s="832"/>
      <c r="G3708" s="187"/>
      <c r="H3708" s="1"/>
      <c r="I3708" s="169">
        <f>Imput[[#This Row],[Cantidad]]*Imput[[#This Row],[Precio Unitario]]</f>
        <v>0</v>
      </c>
      <c r="J3708" s="11">
        <f>((Imput[[#This Row],[Sub total]])*(0.16))</f>
        <v>0</v>
      </c>
      <c r="K3708" s="11">
        <v>0</v>
      </c>
      <c r="L3708" s="169">
        <f>Imput[[#This Row],[Sub total]]+Imput[[#This Row],[IVA]]-Imput[[#This Row],[Retención / IEPS / Descuento]]</f>
        <v>0</v>
      </c>
      <c r="M3708" s="844">
        <v>0</v>
      </c>
      <c r="N3708" s="189"/>
      <c r="O3708" s="1"/>
      <c r="P3708" s="189"/>
      <c r="Q3708" s="190"/>
      <c r="R3708" s="188"/>
      <c r="S3708" s="193"/>
      <c r="T3708" s="192"/>
      <c r="U3708" s="829"/>
      <c r="V3708" s="10"/>
      <c r="W3708" s="10"/>
      <c r="X3708" s="10"/>
      <c r="Y3708" s="10"/>
      <c r="Z3708" s="10"/>
      <c r="AA3708" s="11"/>
      <c r="AB3708" s="11"/>
    </row>
    <row r="3709" spans="2:28" x14ac:dyDescent="0.3">
      <c r="B3709" s="10"/>
      <c r="C3709" s="315"/>
      <c r="D3709" s="868"/>
      <c r="E3709" s="837" t="str">
        <f>IFERROR(IF(_xlfn.XLOOKUP(Imput[[#This Row],[RFC]],'Alta Proveedor'!D:D,'Alta Proveedor'!E:E)=0,"",_xlfn.XLOOKUP(Imput[[#This Row],[RFC]],'Alta Proveedor'!D:D,'Alta Proveedor'!E:E)),"")</f>
        <v/>
      </c>
      <c r="F3709" s="832"/>
      <c r="G3709" s="187"/>
      <c r="H3709" s="1"/>
      <c r="I3709" s="169">
        <f>Imput[[#This Row],[Cantidad]]*Imput[[#This Row],[Precio Unitario]]</f>
        <v>0</v>
      </c>
      <c r="J3709" s="11">
        <f>((Imput[[#This Row],[Sub total]])*(0.16))</f>
        <v>0</v>
      </c>
      <c r="K3709" s="11">
        <v>0</v>
      </c>
      <c r="L3709" s="169">
        <f>Imput[[#This Row],[Sub total]]+Imput[[#This Row],[IVA]]-Imput[[#This Row],[Retención / IEPS / Descuento]]</f>
        <v>0</v>
      </c>
      <c r="M3709" s="844">
        <v>0</v>
      </c>
      <c r="N3709" s="189"/>
      <c r="O3709" s="1"/>
      <c r="P3709" s="189"/>
      <c r="Q3709" s="190"/>
      <c r="R3709" s="188"/>
      <c r="S3709" s="193"/>
      <c r="T3709" s="192"/>
      <c r="U3709" s="829"/>
      <c r="V3709" s="10"/>
      <c r="W3709" s="10"/>
      <c r="X3709" s="10"/>
      <c r="Y3709" s="10"/>
      <c r="Z3709" s="10"/>
      <c r="AA3709" s="11"/>
      <c r="AB3709" s="11"/>
    </row>
    <row r="3710" spans="2:28" x14ac:dyDescent="0.3">
      <c r="B3710" s="10"/>
      <c r="C3710" s="315"/>
      <c r="D3710" s="868"/>
      <c r="E3710" s="837" t="str">
        <f>IFERROR(IF(_xlfn.XLOOKUP(Imput[[#This Row],[RFC]],'Alta Proveedor'!D:D,'Alta Proveedor'!E:E)=0,"",_xlfn.XLOOKUP(Imput[[#This Row],[RFC]],'Alta Proveedor'!D:D,'Alta Proveedor'!E:E)),"")</f>
        <v/>
      </c>
      <c r="F3710" s="832"/>
      <c r="G3710" s="187"/>
      <c r="H3710" s="1"/>
      <c r="I3710" s="169">
        <f>Imput[[#This Row],[Cantidad]]*Imput[[#This Row],[Precio Unitario]]</f>
        <v>0</v>
      </c>
      <c r="J3710" s="11">
        <f>((Imput[[#This Row],[Sub total]])*(0.16))</f>
        <v>0</v>
      </c>
      <c r="K3710" s="11">
        <v>0</v>
      </c>
      <c r="L3710" s="169">
        <f>Imput[[#This Row],[Sub total]]+Imput[[#This Row],[IVA]]-Imput[[#This Row],[Retención / IEPS / Descuento]]</f>
        <v>0</v>
      </c>
      <c r="M3710" s="844">
        <v>0</v>
      </c>
      <c r="N3710" s="189"/>
      <c r="O3710" s="1"/>
      <c r="P3710" s="189"/>
      <c r="Q3710" s="190"/>
      <c r="R3710" s="188"/>
      <c r="S3710" s="193"/>
      <c r="T3710" s="192"/>
      <c r="U3710" s="829"/>
      <c r="V3710" s="10"/>
      <c r="W3710" s="10"/>
      <c r="X3710" s="10"/>
      <c r="Y3710" s="10"/>
      <c r="Z3710" s="10"/>
      <c r="AA3710" s="11"/>
      <c r="AB3710" s="11"/>
    </row>
    <row r="3711" spans="2:28" x14ac:dyDescent="0.3">
      <c r="B3711" s="10"/>
      <c r="C3711" s="315"/>
      <c r="D3711" s="868"/>
      <c r="E3711" s="837" t="str">
        <f>IFERROR(IF(_xlfn.XLOOKUP(Imput[[#This Row],[RFC]],'Alta Proveedor'!D:D,'Alta Proveedor'!E:E)=0,"",_xlfn.XLOOKUP(Imput[[#This Row],[RFC]],'Alta Proveedor'!D:D,'Alta Proveedor'!E:E)),"")</f>
        <v/>
      </c>
      <c r="F3711" s="832"/>
      <c r="G3711" s="187"/>
      <c r="H3711" s="1"/>
      <c r="I3711" s="169">
        <f>Imput[[#This Row],[Cantidad]]*Imput[[#This Row],[Precio Unitario]]</f>
        <v>0</v>
      </c>
      <c r="J3711" s="11">
        <f>((Imput[[#This Row],[Sub total]])*(0.16))</f>
        <v>0</v>
      </c>
      <c r="K3711" s="11">
        <v>0</v>
      </c>
      <c r="L3711" s="169">
        <f>Imput[[#This Row],[Sub total]]+Imput[[#This Row],[IVA]]-Imput[[#This Row],[Retención / IEPS / Descuento]]</f>
        <v>0</v>
      </c>
      <c r="M3711" s="844">
        <v>0</v>
      </c>
      <c r="N3711" s="189"/>
      <c r="O3711" s="1"/>
      <c r="P3711" s="189"/>
      <c r="Q3711" s="190"/>
      <c r="R3711" s="188"/>
      <c r="S3711" s="193"/>
      <c r="T3711" s="192"/>
      <c r="U3711" s="829"/>
      <c r="V3711" s="10"/>
      <c r="W3711" s="10"/>
      <c r="X3711" s="10"/>
      <c r="Y3711" s="10"/>
      <c r="Z3711" s="10"/>
      <c r="AA3711" s="11"/>
      <c r="AB3711" s="11"/>
    </row>
    <row r="3712" spans="2:28" x14ac:dyDescent="0.3">
      <c r="B3712" s="10"/>
      <c r="C3712" s="315"/>
      <c r="D3712" s="868"/>
      <c r="E3712" s="837" t="str">
        <f>IFERROR(IF(_xlfn.XLOOKUP(Imput[[#This Row],[RFC]],'Alta Proveedor'!D:D,'Alta Proveedor'!E:E)=0,"",_xlfn.XLOOKUP(Imput[[#This Row],[RFC]],'Alta Proveedor'!D:D,'Alta Proveedor'!E:E)),"")</f>
        <v/>
      </c>
      <c r="F3712" s="832"/>
      <c r="G3712" s="187"/>
      <c r="H3712" s="1"/>
      <c r="I3712" s="169">
        <f>Imput[[#This Row],[Cantidad]]*Imput[[#This Row],[Precio Unitario]]</f>
        <v>0</v>
      </c>
      <c r="J3712" s="11">
        <f>((Imput[[#This Row],[Sub total]])*(0.16))</f>
        <v>0</v>
      </c>
      <c r="K3712" s="11">
        <v>0</v>
      </c>
      <c r="L3712" s="169">
        <f>Imput[[#This Row],[Sub total]]+Imput[[#This Row],[IVA]]-Imput[[#This Row],[Retención / IEPS / Descuento]]</f>
        <v>0</v>
      </c>
      <c r="M3712" s="844">
        <v>0</v>
      </c>
      <c r="N3712" s="189"/>
      <c r="O3712" s="1"/>
      <c r="P3712" s="189"/>
      <c r="Q3712" s="190"/>
      <c r="R3712" s="188"/>
      <c r="S3712" s="193"/>
      <c r="T3712" s="192"/>
      <c r="U3712" s="829"/>
      <c r="V3712" s="10"/>
      <c r="W3712" s="10"/>
      <c r="X3712" s="10"/>
      <c r="Y3712" s="10"/>
      <c r="Z3712" s="10"/>
      <c r="AA3712" s="11"/>
      <c r="AB3712" s="11"/>
    </row>
    <row r="3713" spans="2:28" x14ac:dyDescent="0.3">
      <c r="B3713" s="10"/>
      <c r="C3713" s="315"/>
      <c r="D3713" s="868"/>
      <c r="E3713" s="837" t="str">
        <f>IFERROR(IF(_xlfn.XLOOKUP(Imput[[#This Row],[RFC]],'Alta Proveedor'!D:D,'Alta Proveedor'!E:E)=0,"",_xlfn.XLOOKUP(Imput[[#This Row],[RFC]],'Alta Proveedor'!D:D,'Alta Proveedor'!E:E)),"")</f>
        <v/>
      </c>
      <c r="F3713" s="832"/>
      <c r="G3713" s="187"/>
      <c r="H3713" s="1"/>
      <c r="I3713" s="169">
        <f>Imput[[#This Row],[Cantidad]]*Imput[[#This Row],[Precio Unitario]]</f>
        <v>0</v>
      </c>
      <c r="J3713" s="11">
        <f>((Imput[[#This Row],[Sub total]])*(0.16))</f>
        <v>0</v>
      </c>
      <c r="K3713" s="11">
        <v>0</v>
      </c>
      <c r="L3713" s="169">
        <f>Imput[[#This Row],[Sub total]]+Imput[[#This Row],[IVA]]-Imput[[#This Row],[Retención / IEPS / Descuento]]</f>
        <v>0</v>
      </c>
      <c r="M3713" s="844">
        <v>0</v>
      </c>
      <c r="N3713" s="189"/>
      <c r="O3713" s="1"/>
      <c r="P3713" s="189"/>
      <c r="Q3713" s="190"/>
      <c r="R3713" s="188"/>
      <c r="S3713" s="193"/>
      <c r="T3713" s="192"/>
      <c r="U3713" s="829"/>
      <c r="V3713" s="10"/>
      <c r="W3713" s="10"/>
      <c r="X3713" s="10"/>
      <c r="Y3713" s="10"/>
      <c r="Z3713" s="10"/>
      <c r="AA3713" s="11"/>
      <c r="AB3713" s="11"/>
    </row>
    <row r="3714" spans="2:28" x14ac:dyDescent="0.3">
      <c r="B3714" s="10"/>
      <c r="C3714" s="315"/>
      <c r="D3714" s="868"/>
      <c r="E3714" s="837" t="str">
        <f>IFERROR(IF(_xlfn.XLOOKUP(Imput[[#This Row],[RFC]],'Alta Proveedor'!D:D,'Alta Proveedor'!E:E)=0,"",_xlfn.XLOOKUP(Imput[[#This Row],[RFC]],'Alta Proveedor'!D:D,'Alta Proveedor'!E:E)),"")</f>
        <v/>
      </c>
      <c r="F3714" s="832"/>
      <c r="G3714" s="187"/>
      <c r="H3714" s="1"/>
      <c r="I3714" s="169">
        <f>Imput[[#This Row],[Cantidad]]*Imput[[#This Row],[Precio Unitario]]</f>
        <v>0</v>
      </c>
      <c r="J3714" s="11">
        <f>((Imput[[#This Row],[Sub total]])*(0.16))</f>
        <v>0</v>
      </c>
      <c r="K3714" s="11">
        <v>0</v>
      </c>
      <c r="L3714" s="169">
        <f>Imput[[#This Row],[Sub total]]+Imput[[#This Row],[IVA]]-Imput[[#This Row],[Retención / IEPS / Descuento]]</f>
        <v>0</v>
      </c>
      <c r="M3714" s="844">
        <v>0</v>
      </c>
      <c r="N3714" s="189"/>
      <c r="O3714" s="1"/>
      <c r="P3714" s="189"/>
      <c r="Q3714" s="190"/>
      <c r="R3714" s="188"/>
      <c r="S3714" s="193"/>
      <c r="T3714" s="192"/>
      <c r="U3714" s="829"/>
      <c r="V3714" s="10"/>
      <c r="W3714" s="10"/>
      <c r="X3714" s="10"/>
      <c r="Y3714" s="10"/>
      <c r="Z3714" s="10"/>
      <c r="AA3714" s="11"/>
      <c r="AB3714" s="11"/>
    </row>
    <row r="3715" spans="2:28" x14ac:dyDescent="0.3">
      <c r="B3715" s="10"/>
      <c r="C3715" s="315"/>
      <c r="D3715" s="868"/>
      <c r="E3715" s="837" t="str">
        <f>IFERROR(IF(_xlfn.XLOOKUP(Imput[[#This Row],[RFC]],'Alta Proveedor'!D:D,'Alta Proveedor'!E:E)=0,"",_xlfn.XLOOKUP(Imput[[#This Row],[RFC]],'Alta Proveedor'!D:D,'Alta Proveedor'!E:E)),"")</f>
        <v/>
      </c>
      <c r="F3715" s="832"/>
      <c r="G3715" s="187"/>
      <c r="H3715" s="1"/>
      <c r="I3715" s="169">
        <f>Imput[[#This Row],[Cantidad]]*Imput[[#This Row],[Precio Unitario]]</f>
        <v>0</v>
      </c>
      <c r="J3715" s="11">
        <f>((Imput[[#This Row],[Sub total]])*(0.16))</f>
        <v>0</v>
      </c>
      <c r="K3715" s="11">
        <v>0</v>
      </c>
      <c r="L3715" s="169">
        <f>Imput[[#This Row],[Sub total]]+Imput[[#This Row],[IVA]]-Imput[[#This Row],[Retención / IEPS / Descuento]]</f>
        <v>0</v>
      </c>
      <c r="M3715" s="844">
        <v>0</v>
      </c>
      <c r="N3715" s="189"/>
      <c r="O3715" s="1"/>
      <c r="P3715" s="189"/>
      <c r="Q3715" s="190"/>
      <c r="R3715" s="188"/>
      <c r="S3715" s="193"/>
      <c r="T3715" s="192"/>
      <c r="U3715" s="829"/>
      <c r="V3715" s="10"/>
      <c r="W3715" s="10"/>
      <c r="X3715" s="10"/>
      <c r="Y3715" s="10"/>
      <c r="Z3715" s="10"/>
      <c r="AA3715" s="11"/>
      <c r="AB3715" s="11"/>
    </row>
    <row r="3716" spans="2:28" x14ac:dyDescent="0.3">
      <c r="B3716" s="10"/>
      <c r="C3716" s="315"/>
      <c r="D3716" s="868"/>
      <c r="E3716" s="837" t="str">
        <f>IFERROR(IF(_xlfn.XLOOKUP(Imput[[#This Row],[RFC]],'Alta Proveedor'!D:D,'Alta Proveedor'!E:E)=0,"",_xlfn.XLOOKUP(Imput[[#This Row],[RFC]],'Alta Proveedor'!D:D,'Alta Proveedor'!E:E)),"")</f>
        <v/>
      </c>
      <c r="F3716" s="832"/>
      <c r="G3716" s="187"/>
      <c r="H3716" s="1"/>
      <c r="I3716" s="169">
        <f>Imput[[#This Row],[Cantidad]]*Imput[[#This Row],[Precio Unitario]]</f>
        <v>0</v>
      </c>
      <c r="J3716" s="11">
        <f>((Imput[[#This Row],[Sub total]])*(0.16))</f>
        <v>0</v>
      </c>
      <c r="K3716" s="11">
        <v>0</v>
      </c>
      <c r="L3716" s="169">
        <f>Imput[[#This Row],[Sub total]]+Imput[[#This Row],[IVA]]-Imput[[#This Row],[Retención / IEPS / Descuento]]</f>
        <v>0</v>
      </c>
      <c r="M3716" s="844">
        <v>0</v>
      </c>
      <c r="N3716" s="189"/>
      <c r="O3716" s="1"/>
      <c r="P3716" s="189"/>
      <c r="Q3716" s="190"/>
      <c r="R3716" s="188"/>
      <c r="S3716" s="193"/>
      <c r="T3716" s="192"/>
      <c r="U3716" s="829"/>
      <c r="V3716" s="10"/>
      <c r="W3716" s="10"/>
      <c r="X3716" s="10"/>
      <c r="Y3716" s="10"/>
      <c r="Z3716" s="10"/>
      <c r="AA3716" s="11"/>
      <c r="AB3716" s="11"/>
    </row>
    <row r="3717" spans="2:28" x14ac:dyDescent="0.3">
      <c r="B3717" s="10"/>
      <c r="C3717" s="315"/>
      <c r="D3717" s="868"/>
      <c r="E3717" s="837" t="str">
        <f>IFERROR(IF(_xlfn.XLOOKUP(Imput[[#This Row],[RFC]],'Alta Proveedor'!D:D,'Alta Proveedor'!E:E)=0,"",_xlfn.XLOOKUP(Imput[[#This Row],[RFC]],'Alta Proveedor'!D:D,'Alta Proveedor'!E:E)),"")</f>
        <v/>
      </c>
      <c r="F3717" s="832"/>
      <c r="G3717" s="187"/>
      <c r="H3717" s="1"/>
      <c r="I3717" s="169">
        <f>Imput[[#This Row],[Cantidad]]*Imput[[#This Row],[Precio Unitario]]</f>
        <v>0</v>
      </c>
      <c r="J3717" s="11">
        <f>((Imput[[#This Row],[Sub total]])*(0.16))</f>
        <v>0</v>
      </c>
      <c r="K3717" s="11">
        <v>0</v>
      </c>
      <c r="L3717" s="169">
        <f>Imput[[#This Row],[Sub total]]+Imput[[#This Row],[IVA]]-Imput[[#This Row],[Retención / IEPS / Descuento]]</f>
        <v>0</v>
      </c>
      <c r="M3717" s="844">
        <v>0</v>
      </c>
      <c r="N3717" s="189"/>
      <c r="O3717" s="1"/>
      <c r="P3717" s="189"/>
      <c r="Q3717" s="190"/>
      <c r="R3717" s="188"/>
      <c r="S3717" s="193"/>
      <c r="T3717" s="192"/>
      <c r="U3717" s="829"/>
      <c r="V3717" s="10"/>
      <c r="W3717" s="10"/>
      <c r="X3717" s="10"/>
      <c r="Y3717" s="10"/>
      <c r="Z3717" s="10"/>
      <c r="AA3717" s="11"/>
      <c r="AB3717" s="11"/>
    </row>
    <row r="3718" spans="2:28" x14ac:dyDescent="0.3">
      <c r="B3718" s="10"/>
      <c r="C3718" s="315"/>
      <c r="D3718" s="868"/>
      <c r="E3718" s="837" t="str">
        <f>IFERROR(IF(_xlfn.XLOOKUP(Imput[[#This Row],[RFC]],'Alta Proveedor'!D:D,'Alta Proveedor'!E:E)=0,"",_xlfn.XLOOKUP(Imput[[#This Row],[RFC]],'Alta Proveedor'!D:D,'Alta Proveedor'!E:E)),"")</f>
        <v/>
      </c>
      <c r="F3718" s="832"/>
      <c r="G3718" s="187"/>
      <c r="H3718" s="1"/>
      <c r="I3718" s="169">
        <f>Imput[[#This Row],[Cantidad]]*Imput[[#This Row],[Precio Unitario]]</f>
        <v>0</v>
      </c>
      <c r="J3718" s="11">
        <f>((Imput[[#This Row],[Sub total]])*(0.16))</f>
        <v>0</v>
      </c>
      <c r="K3718" s="11">
        <v>0</v>
      </c>
      <c r="L3718" s="169">
        <f>Imput[[#This Row],[Sub total]]+Imput[[#This Row],[IVA]]-Imput[[#This Row],[Retención / IEPS / Descuento]]</f>
        <v>0</v>
      </c>
      <c r="M3718" s="844">
        <v>0</v>
      </c>
      <c r="N3718" s="189"/>
      <c r="O3718" s="1"/>
      <c r="P3718" s="189"/>
      <c r="Q3718" s="190"/>
      <c r="R3718" s="188"/>
      <c r="S3718" s="193"/>
      <c r="T3718" s="192"/>
      <c r="U3718" s="829"/>
      <c r="V3718" s="10"/>
      <c r="W3718" s="10"/>
      <c r="X3718" s="10"/>
      <c r="Y3718" s="10"/>
      <c r="Z3718" s="10"/>
      <c r="AA3718" s="11"/>
      <c r="AB3718" s="11"/>
    </row>
    <row r="3719" spans="2:28" x14ac:dyDescent="0.3">
      <c r="B3719" s="10"/>
      <c r="C3719" s="315"/>
      <c r="D3719" s="868"/>
      <c r="E3719" s="837" t="str">
        <f>IFERROR(IF(_xlfn.XLOOKUP(Imput[[#This Row],[RFC]],'Alta Proveedor'!D:D,'Alta Proveedor'!E:E)=0,"",_xlfn.XLOOKUP(Imput[[#This Row],[RFC]],'Alta Proveedor'!D:D,'Alta Proveedor'!E:E)),"")</f>
        <v/>
      </c>
      <c r="F3719" s="832"/>
      <c r="G3719" s="187"/>
      <c r="H3719" s="1"/>
      <c r="I3719" s="169">
        <f>Imput[[#This Row],[Cantidad]]*Imput[[#This Row],[Precio Unitario]]</f>
        <v>0</v>
      </c>
      <c r="J3719" s="11">
        <f>((Imput[[#This Row],[Sub total]])*(0.16))</f>
        <v>0</v>
      </c>
      <c r="K3719" s="11">
        <v>0</v>
      </c>
      <c r="L3719" s="169">
        <f>Imput[[#This Row],[Sub total]]+Imput[[#This Row],[IVA]]-Imput[[#This Row],[Retención / IEPS / Descuento]]</f>
        <v>0</v>
      </c>
      <c r="M3719" s="844">
        <v>0</v>
      </c>
      <c r="N3719" s="189"/>
      <c r="O3719" s="1"/>
      <c r="P3719" s="189"/>
      <c r="Q3719" s="190"/>
      <c r="R3719" s="188"/>
      <c r="S3719" s="193"/>
      <c r="T3719" s="192"/>
      <c r="U3719" s="829"/>
      <c r="V3719" s="10"/>
      <c r="W3719" s="10"/>
      <c r="X3719" s="10"/>
      <c r="Y3719" s="10"/>
      <c r="Z3719" s="10"/>
      <c r="AA3719" s="11"/>
      <c r="AB3719" s="11"/>
    </row>
    <row r="3720" spans="2:28" x14ac:dyDescent="0.3">
      <c r="B3720" s="10"/>
      <c r="C3720" s="315"/>
      <c r="D3720" s="868"/>
      <c r="E3720" s="837" t="str">
        <f>IFERROR(IF(_xlfn.XLOOKUP(Imput[[#This Row],[RFC]],'Alta Proveedor'!D:D,'Alta Proveedor'!E:E)=0,"",_xlfn.XLOOKUP(Imput[[#This Row],[RFC]],'Alta Proveedor'!D:D,'Alta Proveedor'!E:E)),"")</f>
        <v/>
      </c>
      <c r="F3720" s="832"/>
      <c r="G3720" s="187"/>
      <c r="H3720" s="1"/>
      <c r="I3720" s="169">
        <f>Imput[[#This Row],[Cantidad]]*Imput[[#This Row],[Precio Unitario]]</f>
        <v>0</v>
      </c>
      <c r="J3720" s="11">
        <f>((Imput[[#This Row],[Sub total]])*(0.16))</f>
        <v>0</v>
      </c>
      <c r="K3720" s="11">
        <v>0</v>
      </c>
      <c r="L3720" s="169">
        <f>Imput[[#This Row],[Sub total]]+Imput[[#This Row],[IVA]]-Imput[[#This Row],[Retención / IEPS / Descuento]]</f>
        <v>0</v>
      </c>
      <c r="M3720" s="844">
        <v>0</v>
      </c>
      <c r="N3720" s="189"/>
      <c r="O3720" s="1"/>
      <c r="P3720" s="189"/>
      <c r="Q3720" s="190"/>
      <c r="R3720" s="188"/>
      <c r="S3720" s="193"/>
      <c r="T3720" s="192"/>
      <c r="U3720" s="829"/>
      <c r="V3720" s="10"/>
      <c r="W3720" s="10"/>
      <c r="X3720" s="10"/>
      <c r="Y3720" s="10"/>
      <c r="Z3720" s="10"/>
      <c r="AA3720" s="11"/>
      <c r="AB3720" s="11"/>
    </row>
    <row r="3721" spans="2:28" x14ac:dyDescent="0.3">
      <c r="B3721" s="10"/>
      <c r="C3721" s="315"/>
      <c r="D3721" s="868"/>
      <c r="E3721" s="837" t="str">
        <f>IFERROR(IF(_xlfn.XLOOKUP(Imput[[#This Row],[RFC]],'Alta Proveedor'!D:D,'Alta Proveedor'!E:E)=0,"",_xlfn.XLOOKUP(Imput[[#This Row],[RFC]],'Alta Proveedor'!D:D,'Alta Proveedor'!E:E)),"")</f>
        <v/>
      </c>
      <c r="F3721" s="832"/>
      <c r="G3721" s="187"/>
      <c r="H3721" s="1"/>
      <c r="I3721" s="169">
        <f>Imput[[#This Row],[Cantidad]]*Imput[[#This Row],[Precio Unitario]]</f>
        <v>0</v>
      </c>
      <c r="J3721" s="11">
        <f>((Imput[[#This Row],[Sub total]])*(0.16))</f>
        <v>0</v>
      </c>
      <c r="K3721" s="11">
        <v>0</v>
      </c>
      <c r="L3721" s="169">
        <f>Imput[[#This Row],[Sub total]]+Imput[[#This Row],[IVA]]-Imput[[#This Row],[Retención / IEPS / Descuento]]</f>
        <v>0</v>
      </c>
      <c r="M3721" s="844">
        <v>0</v>
      </c>
      <c r="N3721" s="189"/>
      <c r="O3721" s="1"/>
      <c r="P3721" s="189"/>
      <c r="Q3721" s="190"/>
      <c r="R3721" s="188"/>
      <c r="S3721" s="193"/>
      <c r="T3721" s="192"/>
      <c r="U3721" s="829"/>
      <c r="V3721" s="10"/>
      <c r="W3721" s="10"/>
      <c r="X3721" s="10"/>
      <c r="Y3721" s="10"/>
      <c r="Z3721" s="10"/>
      <c r="AA3721" s="11"/>
      <c r="AB3721" s="11"/>
    </row>
    <row r="3722" spans="2:28" x14ac:dyDescent="0.3">
      <c r="B3722" s="10"/>
      <c r="C3722" s="315"/>
      <c r="D3722" s="868"/>
      <c r="E3722" s="837" t="str">
        <f>IFERROR(IF(_xlfn.XLOOKUP(Imput[[#This Row],[RFC]],'Alta Proveedor'!D:D,'Alta Proveedor'!E:E)=0,"",_xlfn.XLOOKUP(Imput[[#This Row],[RFC]],'Alta Proveedor'!D:D,'Alta Proveedor'!E:E)),"")</f>
        <v/>
      </c>
      <c r="F3722" s="832"/>
      <c r="G3722" s="187"/>
      <c r="H3722" s="1"/>
      <c r="I3722" s="169">
        <f>Imput[[#This Row],[Cantidad]]*Imput[[#This Row],[Precio Unitario]]</f>
        <v>0</v>
      </c>
      <c r="J3722" s="11">
        <f>((Imput[[#This Row],[Sub total]])*(0.16))</f>
        <v>0</v>
      </c>
      <c r="K3722" s="11">
        <v>0</v>
      </c>
      <c r="L3722" s="169">
        <f>Imput[[#This Row],[Sub total]]+Imput[[#This Row],[IVA]]-Imput[[#This Row],[Retención / IEPS / Descuento]]</f>
        <v>0</v>
      </c>
      <c r="M3722" s="844">
        <v>0</v>
      </c>
      <c r="N3722" s="189"/>
      <c r="O3722" s="1"/>
      <c r="P3722" s="189"/>
      <c r="Q3722" s="190"/>
      <c r="R3722" s="188"/>
      <c r="S3722" s="193"/>
      <c r="T3722" s="192"/>
      <c r="U3722" s="829"/>
      <c r="V3722" s="10"/>
      <c r="W3722" s="10"/>
      <c r="X3722" s="10"/>
      <c r="Y3722" s="10"/>
      <c r="Z3722" s="10"/>
      <c r="AA3722" s="11"/>
      <c r="AB3722" s="11"/>
    </row>
    <row r="3723" spans="2:28" x14ac:dyDescent="0.3">
      <c r="B3723" s="10"/>
      <c r="C3723" s="315"/>
      <c r="D3723" s="868"/>
      <c r="E3723" s="837" t="str">
        <f>IFERROR(IF(_xlfn.XLOOKUP(Imput[[#This Row],[RFC]],'Alta Proveedor'!D:D,'Alta Proveedor'!E:E)=0,"",_xlfn.XLOOKUP(Imput[[#This Row],[RFC]],'Alta Proveedor'!D:D,'Alta Proveedor'!E:E)),"")</f>
        <v/>
      </c>
      <c r="F3723" s="832"/>
      <c r="G3723" s="187"/>
      <c r="H3723" s="1"/>
      <c r="I3723" s="169">
        <f>Imput[[#This Row],[Cantidad]]*Imput[[#This Row],[Precio Unitario]]</f>
        <v>0</v>
      </c>
      <c r="J3723" s="11">
        <f>((Imput[[#This Row],[Sub total]])*(0.16))</f>
        <v>0</v>
      </c>
      <c r="K3723" s="11">
        <v>0</v>
      </c>
      <c r="L3723" s="169">
        <f>Imput[[#This Row],[Sub total]]+Imput[[#This Row],[IVA]]-Imput[[#This Row],[Retención / IEPS / Descuento]]</f>
        <v>0</v>
      </c>
      <c r="M3723" s="844">
        <v>0</v>
      </c>
      <c r="N3723" s="189"/>
      <c r="O3723" s="1"/>
      <c r="P3723" s="189"/>
      <c r="Q3723" s="190"/>
      <c r="R3723" s="188"/>
      <c r="S3723" s="193"/>
      <c r="T3723" s="192"/>
      <c r="U3723" s="829"/>
      <c r="V3723" s="10"/>
      <c r="W3723" s="10"/>
      <c r="X3723" s="10"/>
      <c r="Y3723" s="10"/>
      <c r="Z3723" s="10"/>
      <c r="AA3723" s="11"/>
      <c r="AB3723" s="11"/>
    </row>
    <row r="3724" spans="2:28" x14ac:dyDescent="0.3">
      <c r="B3724" s="10"/>
      <c r="C3724" s="315"/>
      <c r="D3724" s="868"/>
      <c r="E3724" s="837" t="str">
        <f>IFERROR(IF(_xlfn.XLOOKUP(Imput[[#This Row],[RFC]],'Alta Proveedor'!D:D,'Alta Proveedor'!E:E)=0,"",_xlfn.XLOOKUP(Imput[[#This Row],[RFC]],'Alta Proveedor'!D:D,'Alta Proveedor'!E:E)),"")</f>
        <v/>
      </c>
      <c r="F3724" s="832"/>
      <c r="G3724" s="187"/>
      <c r="H3724" s="1"/>
      <c r="I3724" s="169">
        <f>Imput[[#This Row],[Cantidad]]*Imput[[#This Row],[Precio Unitario]]</f>
        <v>0</v>
      </c>
      <c r="J3724" s="11">
        <f>((Imput[[#This Row],[Sub total]])*(0.16))</f>
        <v>0</v>
      </c>
      <c r="K3724" s="11">
        <v>0</v>
      </c>
      <c r="L3724" s="169">
        <f>Imput[[#This Row],[Sub total]]+Imput[[#This Row],[IVA]]-Imput[[#This Row],[Retención / IEPS / Descuento]]</f>
        <v>0</v>
      </c>
      <c r="M3724" s="844">
        <v>0</v>
      </c>
      <c r="N3724" s="189"/>
      <c r="O3724" s="1"/>
      <c r="P3724" s="189"/>
      <c r="Q3724" s="190"/>
      <c r="R3724" s="188"/>
      <c r="S3724" s="193"/>
      <c r="T3724" s="192"/>
      <c r="U3724" s="829"/>
      <c r="V3724" s="10"/>
      <c r="W3724" s="10"/>
      <c r="X3724" s="10"/>
      <c r="Y3724" s="10"/>
      <c r="Z3724" s="10"/>
      <c r="AA3724" s="11"/>
      <c r="AB3724" s="11"/>
    </row>
    <row r="3725" spans="2:28" x14ac:dyDescent="0.3">
      <c r="B3725" s="10"/>
      <c r="C3725" s="315"/>
      <c r="D3725" s="868"/>
      <c r="E3725" s="837" t="str">
        <f>IFERROR(IF(_xlfn.XLOOKUP(Imput[[#This Row],[RFC]],'Alta Proveedor'!D:D,'Alta Proveedor'!E:E)=0,"",_xlfn.XLOOKUP(Imput[[#This Row],[RFC]],'Alta Proveedor'!D:D,'Alta Proveedor'!E:E)),"")</f>
        <v/>
      </c>
      <c r="F3725" s="832"/>
      <c r="G3725" s="187"/>
      <c r="H3725" s="1"/>
      <c r="I3725" s="169">
        <f>Imput[[#This Row],[Cantidad]]*Imput[[#This Row],[Precio Unitario]]</f>
        <v>0</v>
      </c>
      <c r="J3725" s="11">
        <f>((Imput[[#This Row],[Sub total]])*(0.16))</f>
        <v>0</v>
      </c>
      <c r="K3725" s="11">
        <v>0</v>
      </c>
      <c r="L3725" s="169">
        <f>Imput[[#This Row],[Sub total]]+Imput[[#This Row],[IVA]]-Imput[[#This Row],[Retención / IEPS / Descuento]]</f>
        <v>0</v>
      </c>
      <c r="M3725" s="844">
        <v>0</v>
      </c>
      <c r="N3725" s="189"/>
      <c r="O3725" s="1"/>
      <c r="P3725" s="189"/>
      <c r="Q3725" s="190"/>
      <c r="R3725" s="188"/>
      <c r="S3725" s="193"/>
      <c r="T3725" s="192"/>
      <c r="U3725" s="829"/>
      <c r="V3725" s="10"/>
      <c r="W3725" s="10"/>
      <c r="X3725" s="10"/>
      <c r="Y3725" s="10"/>
      <c r="Z3725" s="10"/>
      <c r="AA3725" s="11"/>
      <c r="AB3725" s="11"/>
    </row>
    <row r="3726" spans="2:28" x14ac:dyDescent="0.3">
      <c r="B3726" s="10"/>
      <c r="C3726" s="315"/>
      <c r="D3726" s="868"/>
      <c r="E3726" s="837" t="str">
        <f>IFERROR(IF(_xlfn.XLOOKUP(Imput[[#This Row],[RFC]],'Alta Proveedor'!D:D,'Alta Proveedor'!E:E)=0,"",_xlfn.XLOOKUP(Imput[[#This Row],[RFC]],'Alta Proveedor'!D:D,'Alta Proveedor'!E:E)),"")</f>
        <v/>
      </c>
      <c r="F3726" s="832"/>
      <c r="G3726" s="187"/>
      <c r="H3726" s="1"/>
      <c r="I3726" s="169">
        <f>Imput[[#This Row],[Cantidad]]*Imput[[#This Row],[Precio Unitario]]</f>
        <v>0</v>
      </c>
      <c r="J3726" s="11">
        <f>((Imput[[#This Row],[Sub total]])*(0.16))</f>
        <v>0</v>
      </c>
      <c r="K3726" s="11">
        <v>0</v>
      </c>
      <c r="L3726" s="169">
        <f>Imput[[#This Row],[Sub total]]+Imput[[#This Row],[IVA]]-Imput[[#This Row],[Retención / IEPS / Descuento]]</f>
        <v>0</v>
      </c>
      <c r="M3726" s="844">
        <v>0</v>
      </c>
      <c r="N3726" s="189"/>
      <c r="O3726" s="1"/>
      <c r="P3726" s="189"/>
      <c r="Q3726" s="190"/>
      <c r="R3726" s="188"/>
      <c r="S3726" s="193"/>
      <c r="T3726" s="192"/>
      <c r="U3726" s="829"/>
      <c r="V3726" s="10"/>
      <c r="W3726" s="10"/>
      <c r="X3726" s="10"/>
      <c r="Y3726" s="10"/>
      <c r="Z3726" s="10"/>
      <c r="AA3726" s="11"/>
      <c r="AB3726" s="11"/>
    </row>
    <row r="3727" spans="2:28" x14ac:dyDescent="0.3">
      <c r="B3727" s="10"/>
      <c r="C3727" s="315"/>
      <c r="D3727" s="868"/>
      <c r="E3727" s="837" t="str">
        <f>IFERROR(IF(_xlfn.XLOOKUP(Imput[[#This Row],[RFC]],'Alta Proveedor'!D:D,'Alta Proveedor'!E:E)=0,"",_xlfn.XLOOKUP(Imput[[#This Row],[RFC]],'Alta Proveedor'!D:D,'Alta Proveedor'!E:E)),"")</f>
        <v/>
      </c>
      <c r="F3727" s="832"/>
      <c r="G3727" s="187"/>
      <c r="H3727" s="1"/>
      <c r="I3727" s="169">
        <f>Imput[[#This Row],[Cantidad]]*Imput[[#This Row],[Precio Unitario]]</f>
        <v>0</v>
      </c>
      <c r="J3727" s="11">
        <f>((Imput[[#This Row],[Sub total]])*(0.16))</f>
        <v>0</v>
      </c>
      <c r="K3727" s="11">
        <v>0</v>
      </c>
      <c r="L3727" s="169">
        <f>Imput[[#This Row],[Sub total]]+Imput[[#This Row],[IVA]]-Imput[[#This Row],[Retención / IEPS / Descuento]]</f>
        <v>0</v>
      </c>
      <c r="M3727" s="844">
        <v>0</v>
      </c>
      <c r="N3727" s="189"/>
      <c r="O3727" s="1"/>
      <c r="P3727" s="189"/>
      <c r="Q3727" s="190"/>
      <c r="R3727" s="188"/>
      <c r="S3727" s="193"/>
      <c r="T3727" s="192"/>
      <c r="U3727" s="829"/>
      <c r="V3727" s="10"/>
      <c r="W3727" s="10"/>
      <c r="X3727" s="10"/>
      <c r="Y3727" s="10"/>
      <c r="Z3727" s="10"/>
      <c r="AA3727" s="11"/>
      <c r="AB3727" s="11"/>
    </row>
    <row r="3728" spans="2:28" x14ac:dyDescent="0.3">
      <c r="B3728" s="10"/>
      <c r="C3728" s="315"/>
      <c r="D3728" s="868"/>
      <c r="E3728" s="837" t="str">
        <f>IFERROR(IF(_xlfn.XLOOKUP(Imput[[#This Row],[RFC]],'Alta Proveedor'!D:D,'Alta Proveedor'!E:E)=0,"",_xlfn.XLOOKUP(Imput[[#This Row],[RFC]],'Alta Proveedor'!D:D,'Alta Proveedor'!E:E)),"")</f>
        <v/>
      </c>
      <c r="F3728" s="832"/>
      <c r="G3728" s="187"/>
      <c r="H3728" s="1"/>
      <c r="I3728" s="169">
        <f>Imput[[#This Row],[Cantidad]]*Imput[[#This Row],[Precio Unitario]]</f>
        <v>0</v>
      </c>
      <c r="J3728" s="11">
        <f>((Imput[[#This Row],[Sub total]])*(0.16))</f>
        <v>0</v>
      </c>
      <c r="K3728" s="11">
        <v>0</v>
      </c>
      <c r="L3728" s="169">
        <f>Imput[[#This Row],[Sub total]]+Imput[[#This Row],[IVA]]-Imput[[#This Row],[Retención / IEPS / Descuento]]</f>
        <v>0</v>
      </c>
      <c r="M3728" s="844">
        <v>0</v>
      </c>
      <c r="N3728" s="189"/>
      <c r="O3728" s="1"/>
      <c r="P3728" s="189"/>
      <c r="Q3728" s="190"/>
      <c r="R3728" s="188"/>
      <c r="S3728" s="193"/>
      <c r="T3728" s="192"/>
      <c r="U3728" s="829"/>
      <c r="V3728" s="10"/>
      <c r="W3728" s="10"/>
      <c r="X3728" s="10"/>
      <c r="Y3728" s="10"/>
      <c r="Z3728" s="10"/>
      <c r="AA3728" s="11"/>
      <c r="AB3728" s="11"/>
    </row>
    <row r="3729" spans="2:28" x14ac:dyDescent="0.3">
      <c r="B3729" s="10"/>
      <c r="C3729" s="315"/>
      <c r="D3729" s="868"/>
      <c r="E3729" s="837" t="str">
        <f>IFERROR(IF(_xlfn.XLOOKUP(Imput[[#This Row],[RFC]],'Alta Proveedor'!D:D,'Alta Proveedor'!E:E)=0,"",_xlfn.XLOOKUP(Imput[[#This Row],[RFC]],'Alta Proveedor'!D:D,'Alta Proveedor'!E:E)),"")</f>
        <v/>
      </c>
      <c r="F3729" s="832"/>
      <c r="G3729" s="187"/>
      <c r="H3729" s="1"/>
      <c r="I3729" s="169">
        <f>Imput[[#This Row],[Cantidad]]*Imput[[#This Row],[Precio Unitario]]</f>
        <v>0</v>
      </c>
      <c r="J3729" s="11">
        <f>((Imput[[#This Row],[Sub total]])*(0.16))</f>
        <v>0</v>
      </c>
      <c r="K3729" s="11">
        <v>0</v>
      </c>
      <c r="L3729" s="169">
        <f>Imput[[#This Row],[Sub total]]+Imput[[#This Row],[IVA]]-Imput[[#This Row],[Retención / IEPS / Descuento]]</f>
        <v>0</v>
      </c>
      <c r="M3729" s="844">
        <v>0</v>
      </c>
      <c r="N3729" s="189"/>
      <c r="O3729" s="1"/>
      <c r="P3729" s="189"/>
      <c r="Q3729" s="190"/>
      <c r="R3729" s="188"/>
      <c r="S3729" s="193"/>
      <c r="T3729" s="192"/>
      <c r="U3729" s="829"/>
      <c r="V3729" s="10"/>
      <c r="W3729" s="10"/>
      <c r="X3729" s="10"/>
      <c r="Y3729" s="10"/>
      <c r="Z3729" s="10"/>
      <c r="AA3729" s="11"/>
      <c r="AB3729" s="11"/>
    </row>
    <row r="3730" spans="2:28" x14ac:dyDescent="0.3">
      <c r="B3730" s="10"/>
      <c r="C3730" s="315"/>
      <c r="D3730" s="868"/>
      <c r="E3730" s="837" t="str">
        <f>IFERROR(IF(_xlfn.XLOOKUP(Imput[[#This Row],[RFC]],'Alta Proveedor'!D:D,'Alta Proveedor'!E:E)=0,"",_xlfn.XLOOKUP(Imput[[#This Row],[RFC]],'Alta Proveedor'!D:D,'Alta Proveedor'!E:E)),"")</f>
        <v/>
      </c>
      <c r="F3730" s="832"/>
      <c r="G3730" s="187"/>
      <c r="H3730" s="1"/>
      <c r="I3730" s="169">
        <f>Imput[[#This Row],[Cantidad]]*Imput[[#This Row],[Precio Unitario]]</f>
        <v>0</v>
      </c>
      <c r="J3730" s="11">
        <f>((Imput[[#This Row],[Sub total]])*(0.16))</f>
        <v>0</v>
      </c>
      <c r="K3730" s="11">
        <v>0</v>
      </c>
      <c r="L3730" s="169">
        <f>Imput[[#This Row],[Sub total]]+Imput[[#This Row],[IVA]]-Imput[[#This Row],[Retención / IEPS / Descuento]]</f>
        <v>0</v>
      </c>
      <c r="M3730" s="844">
        <v>0</v>
      </c>
      <c r="N3730" s="189"/>
      <c r="O3730" s="1"/>
      <c r="P3730" s="189"/>
      <c r="Q3730" s="190"/>
      <c r="R3730" s="188"/>
      <c r="S3730" s="193"/>
      <c r="T3730" s="192"/>
      <c r="U3730" s="829"/>
      <c r="V3730" s="10"/>
      <c r="W3730" s="10"/>
      <c r="X3730" s="10"/>
      <c r="Y3730" s="10"/>
      <c r="Z3730" s="10"/>
      <c r="AA3730" s="11"/>
      <c r="AB3730" s="11"/>
    </row>
    <row r="3731" spans="2:28" x14ac:dyDescent="0.3">
      <c r="B3731" s="10"/>
      <c r="C3731" s="315"/>
      <c r="D3731" s="868"/>
      <c r="E3731" s="837" t="str">
        <f>IFERROR(IF(_xlfn.XLOOKUP(Imput[[#This Row],[RFC]],'Alta Proveedor'!D:D,'Alta Proveedor'!E:E)=0,"",_xlfn.XLOOKUP(Imput[[#This Row],[RFC]],'Alta Proveedor'!D:D,'Alta Proveedor'!E:E)),"")</f>
        <v/>
      </c>
      <c r="F3731" s="832"/>
      <c r="G3731" s="187"/>
      <c r="H3731" s="1"/>
      <c r="I3731" s="169">
        <f>Imput[[#This Row],[Cantidad]]*Imput[[#This Row],[Precio Unitario]]</f>
        <v>0</v>
      </c>
      <c r="J3731" s="11">
        <f>((Imput[[#This Row],[Sub total]])*(0.16))</f>
        <v>0</v>
      </c>
      <c r="K3731" s="11">
        <v>0</v>
      </c>
      <c r="L3731" s="169">
        <f>Imput[[#This Row],[Sub total]]+Imput[[#This Row],[IVA]]-Imput[[#This Row],[Retención / IEPS / Descuento]]</f>
        <v>0</v>
      </c>
      <c r="M3731" s="844">
        <v>0</v>
      </c>
      <c r="N3731" s="189"/>
      <c r="O3731" s="1"/>
      <c r="P3731" s="189"/>
      <c r="Q3731" s="190"/>
      <c r="R3731" s="188"/>
      <c r="S3731" s="193"/>
      <c r="T3731" s="192"/>
      <c r="U3731" s="829"/>
      <c r="V3731" s="10"/>
      <c r="W3731" s="10"/>
      <c r="X3731" s="10"/>
      <c r="Y3731" s="10"/>
      <c r="Z3731" s="10"/>
      <c r="AA3731" s="11"/>
      <c r="AB3731" s="11"/>
    </row>
    <row r="3732" spans="2:28" x14ac:dyDescent="0.3">
      <c r="B3732" s="10"/>
      <c r="C3732" s="315"/>
      <c r="D3732" s="868"/>
      <c r="E3732" s="837" t="str">
        <f>IFERROR(IF(_xlfn.XLOOKUP(Imput[[#This Row],[RFC]],'Alta Proveedor'!D:D,'Alta Proveedor'!E:E)=0,"",_xlfn.XLOOKUP(Imput[[#This Row],[RFC]],'Alta Proveedor'!D:D,'Alta Proveedor'!E:E)),"")</f>
        <v/>
      </c>
      <c r="F3732" s="832"/>
      <c r="G3732" s="187"/>
      <c r="H3732" s="1"/>
      <c r="I3732" s="169">
        <f>Imput[[#This Row],[Cantidad]]*Imput[[#This Row],[Precio Unitario]]</f>
        <v>0</v>
      </c>
      <c r="J3732" s="11">
        <f>((Imput[[#This Row],[Sub total]])*(0.16))</f>
        <v>0</v>
      </c>
      <c r="K3732" s="11">
        <v>0</v>
      </c>
      <c r="L3732" s="169">
        <f>Imput[[#This Row],[Sub total]]+Imput[[#This Row],[IVA]]-Imput[[#This Row],[Retención / IEPS / Descuento]]</f>
        <v>0</v>
      </c>
      <c r="M3732" s="844">
        <v>0</v>
      </c>
      <c r="N3732" s="189"/>
      <c r="O3732" s="1"/>
      <c r="P3732" s="189"/>
      <c r="Q3732" s="190"/>
      <c r="R3732" s="188"/>
      <c r="S3732" s="193"/>
      <c r="T3732" s="192"/>
      <c r="U3732" s="829"/>
      <c r="V3732" s="10"/>
      <c r="W3732" s="10"/>
      <c r="X3732" s="10"/>
      <c r="Y3732" s="10"/>
      <c r="Z3732" s="10"/>
      <c r="AA3732" s="11"/>
      <c r="AB3732" s="11"/>
    </row>
    <row r="3733" spans="2:28" x14ac:dyDescent="0.3">
      <c r="B3733" s="10"/>
      <c r="C3733" s="315"/>
      <c r="D3733" s="868"/>
      <c r="E3733" s="837" t="str">
        <f>IFERROR(IF(_xlfn.XLOOKUP(Imput[[#This Row],[RFC]],'Alta Proveedor'!D:D,'Alta Proveedor'!E:E)=0,"",_xlfn.XLOOKUP(Imput[[#This Row],[RFC]],'Alta Proveedor'!D:D,'Alta Proveedor'!E:E)),"")</f>
        <v/>
      </c>
      <c r="F3733" s="832"/>
      <c r="G3733" s="187"/>
      <c r="H3733" s="1"/>
      <c r="I3733" s="169">
        <f>Imput[[#This Row],[Cantidad]]*Imput[[#This Row],[Precio Unitario]]</f>
        <v>0</v>
      </c>
      <c r="J3733" s="11">
        <f>((Imput[[#This Row],[Sub total]])*(0.16))</f>
        <v>0</v>
      </c>
      <c r="K3733" s="11">
        <v>0</v>
      </c>
      <c r="L3733" s="169">
        <f>Imput[[#This Row],[Sub total]]+Imput[[#This Row],[IVA]]-Imput[[#This Row],[Retención / IEPS / Descuento]]</f>
        <v>0</v>
      </c>
      <c r="M3733" s="844">
        <v>0</v>
      </c>
      <c r="N3733" s="189"/>
      <c r="O3733" s="1"/>
      <c r="P3733" s="189"/>
      <c r="Q3733" s="190"/>
      <c r="R3733" s="188"/>
      <c r="S3733" s="193"/>
      <c r="T3733" s="192"/>
      <c r="U3733" s="829"/>
      <c r="V3733" s="10"/>
      <c r="W3733" s="10"/>
      <c r="X3733" s="10"/>
      <c r="Y3733" s="10"/>
      <c r="Z3733" s="10"/>
      <c r="AA3733" s="11"/>
      <c r="AB3733" s="11"/>
    </row>
    <row r="3734" spans="2:28" x14ac:dyDescent="0.3">
      <c r="B3734" s="10"/>
      <c r="C3734" s="315"/>
      <c r="D3734" s="868"/>
      <c r="E3734" s="837" t="str">
        <f>IFERROR(IF(_xlfn.XLOOKUP(Imput[[#This Row],[RFC]],'Alta Proveedor'!D:D,'Alta Proveedor'!E:E)=0,"",_xlfn.XLOOKUP(Imput[[#This Row],[RFC]],'Alta Proveedor'!D:D,'Alta Proveedor'!E:E)),"")</f>
        <v/>
      </c>
      <c r="F3734" s="832"/>
      <c r="G3734" s="187"/>
      <c r="H3734" s="1"/>
      <c r="I3734" s="169">
        <f>Imput[[#This Row],[Cantidad]]*Imput[[#This Row],[Precio Unitario]]</f>
        <v>0</v>
      </c>
      <c r="J3734" s="11">
        <f>((Imput[[#This Row],[Sub total]])*(0.16))</f>
        <v>0</v>
      </c>
      <c r="K3734" s="11">
        <v>0</v>
      </c>
      <c r="L3734" s="169">
        <f>Imput[[#This Row],[Sub total]]+Imput[[#This Row],[IVA]]-Imput[[#This Row],[Retención / IEPS / Descuento]]</f>
        <v>0</v>
      </c>
      <c r="M3734" s="844">
        <v>0</v>
      </c>
      <c r="N3734" s="189"/>
      <c r="O3734" s="1"/>
      <c r="P3734" s="189"/>
      <c r="Q3734" s="190"/>
      <c r="R3734" s="188"/>
      <c r="S3734" s="193"/>
      <c r="T3734" s="192"/>
      <c r="U3734" s="829"/>
      <c r="V3734" s="10"/>
      <c r="W3734" s="10"/>
      <c r="X3734" s="10"/>
      <c r="Y3734" s="10"/>
      <c r="Z3734" s="10"/>
      <c r="AA3734" s="11"/>
      <c r="AB3734" s="11"/>
    </row>
    <row r="3735" spans="2:28" x14ac:dyDescent="0.3">
      <c r="B3735" s="10"/>
      <c r="C3735" s="315"/>
      <c r="D3735" s="868"/>
      <c r="E3735" s="837" t="str">
        <f>IFERROR(IF(_xlfn.XLOOKUP(Imput[[#This Row],[RFC]],'Alta Proveedor'!D:D,'Alta Proveedor'!E:E)=0,"",_xlfn.XLOOKUP(Imput[[#This Row],[RFC]],'Alta Proveedor'!D:D,'Alta Proveedor'!E:E)),"")</f>
        <v/>
      </c>
      <c r="F3735" s="832"/>
      <c r="G3735" s="187"/>
      <c r="H3735" s="1"/>
      <c r="I3735" s="169">
        <f>Imput[[#This Row],[Cantidad]]*Imput[[#This Row],[Precio Unitario]]</f>
        <v>0</v>
      </c>
      <c r="J3735" s="11">
        <f>((Imput[[#This Row],[Sub total]])*(0.16))</f>
        <v>0</v>
      </c>
      <c r="K3735" s="11">
        <v>0</v>
      </c>
      <c r="L3735" s="169">
        <f>Imput[[#This Row],[Sub total]]+Imput[[#This Row],[IVA]]-Imput[[#This Row],[Retención / IEPS / Descuento]]</f>
        <v>0</v>
      </c>
      <c r="M3735" s="844">
        <v>0</v>
      </c>
      <c r="N3735" s="189"/>
      <c r="O3735" s="1"/>
      <c r="P3735" s="189"/>
      <c r="Q3735" s="190"/>
      <c r="R3735" s="188"/>
      <c r="S3735" s="193"/>
      <c r="T3735" s="192"/>
      <c r="U3735" s="829"/>
      <c r="V3735" s="10"/>
      <c r="W3735" s="10"/>
      <c r="X3735" s="10"/>
      <c r="Y3735" s="10"/>
      <c r="Z3735" s="10"/>
      <c r="AA3735" s="11"/>
      <c r="AB3735" s="11"/>
    </row>
    <row r="3736" spans="2:28" x14ac:dyDescent="0.3">
      <c r="B3736" s="10"/>
      <c r="C3736" s="315"/>
      <c r="D3736" s="868"/>
      <c r="E3736" s="837" t="str">
        <f>IFERROR(IF(_xlfn.XLOOKUP(Imput[[#This Row],[RFC]],'Alta Proveedor'!D:D,'Alta Proveedor'!E:E)=0,"",_xlfn.XLOOKUP(Imput[[#This Row],[RFC]],'Alta Proveedor'!D:D,'Alta Proveedor'!E:E)),"")</f>
        <v/>
      </c>
      <c r="F3736" s="832"/>
      <c r="G3736" s="187"/>
      <c r="H3736" s="1"/>
      <c r="I3736" s="169">
        <f>Imput[[#This Row],[Cantidad]]*Imput[[#This Row],[Precio Unitario]]</f>
        <v>0</v>
      </c>
      <c r="J3736" s="11">
        <f>((Imput[[#This Row],[Sub total]])*(0.16))</f>
        <v>0</v>
      </c>
      <c r="K3736" s="11">
        <v>0</v>
      </c>
      <c r="L3736" s="169">
        <f>Imput[[#This Row],[Sub total]]+Imput[[#This Row],[IVA]]-Imput[[#This Row],[Retención / IEPS / Descuento]]</f>
        <v>0</v>
      </c>
      <c r="M3736" s="844">
        <v>0</v>
      </c>
      <c r="N3736" s="189"/>
      <c r="O3736" s="1"/>
      <c r="P3736" s="189"/>
      <c r="Q3736" s="190"/>
      <c r="R3736" s="188"/>
      <c r="S3736" s="193"/>
      <c r="T3736" s="192"/>
      <c r="U3736" s="829"/>
      <c r="V3736" s="10"/>
      <c r="W3736" s="10"/>
      <c r="X3736" s="10"/>
      <c r="Y3736" s="10"/>
      <c r="Z3736" s="10"/>
      <c r="AA3736" s="11"/>
      <c r="AB3736" s="11"/>
    </row>
    <row r="3737" spans="2:28" x14ac:dyDescent="0.3">
      <c r="B3737" s="10"/>
      <c r="C3737" s="315"/>
      <c r="D3737" s="868"/>
      <c r="E3737" s="837" t="str">
        <f>IFERROR(IF(_xlfn.XLOOKUP(Imput[[#This Row],[RFC]],'Alta Proveedor'!D:D,'Alta Proveedor'!E:E)=0,"",_xlfn.XLOOKUP(Imput[[#This Row],[RFC]],'Alta Proveedor'!D:D,'Alta Proveedor'!E:E)),"")</f>
        <v/>
      </c>
      <c r="F3737" s="832"/>
      <c r="G3737" s="187"/>
      <c r="H3737" s="1"/>
      <c r="I3737" s="169">
        <f>Imput[[#This Row],[Cantidad]]*Imput[[#This Row],[Precio Unitario]]</f>
        <v>0</v>
      </c>
      <c r="J3737" s="11">
        <f>((Imput[[#This Row],[Sub total]])*(0.16))</f>
        <v>0</v>
      </c>
      <c r="K3737" s="11">
        <v>0</v>
      </c>
      <c r="L3737" s="169">
        <f>Imput[[#This Row],[Sub total]]+Imput[[#This Row],[IVA]]-Imput[[#This Row],[Retención / IEPS / Descuento]]</f>
        <v>0</v>
      </c>
      <c r="M3737" s="844">
        <v>0</v>
      </c>
      <c r="N3737" s="189"/>
      <c r="O3737" s="1"/>
      <c r="P3737" s="189"/>
      <c r="Q3737" s="190"/>
      <c r="R3737" s="188"/>
      <c r="S3737" s="193"/>
      <c r="T3737" s="192"/>
      <c r="U3737" s="829"/>
      <c r="V3737" s="10"/>
      <c r="W3737" s="10"/>
      <c r="X3737" s="10"/>
      <c r="Y3737" s="10"/>
      <c r="Z3737" s="10"/>
      <c r="AA3737" s="11"/>
      <c r="AB3737" s="11"/>
    </row>
    <row r="3738" spans="2:28" x14ac:dyDescent="0.3">
      <c r="B3738" s="10"/>
      <c r="C3738" s="315"/>
      <c r="D3738" s="868"/>
      <c r="E3738" s="837" t="str">
        <f>IFERROR(IF(_xlfn.XLOOKUP(Imput[[#This Row],[RFC]],'Alta Proveedor'!D:D,'Alta Proveedor'!E:E)=0,"",_xlfn.XLOOKUP(Imput[[#This Row],[RFC]],'Alta Proveedor'!D:D,'Alta Proveedor'!E:E)),"")</f>
        <v/>
      </c>
      <c r="F3738" s="832"/>
      <c r="G3738" s="187"/>
      <c r="H3738" s="1"/>
      <c r="I3738" s="169">
        <f>Imput[[#This Row],[Cantidad]]*Imput[[#This Row],[Precio Unitario]]</f>
        <v>0</v>
      </c>
      <c r="J3738" s="11">
        <f>((Imput[[#This Row],[Sub total]])*(0.16))</f>
        <v>0</v>
      </c>
      <c r="K3738" s="11">
        <v>0</v>
      </c>
      <c r="L3738" s="169">
        <f>Imput[[#This Row],[Sub total]]+Imput[[#This Row],[IVA]]-Imput[[#This Row],[Retención / IEPS / Descuento]]</f>
        <v>0</v>
      </c>
      <c r="M3738" s="844">
        <v>0</v>
      </c>
      <c r="N3738" s="189"/>
      <c r="O3738" s="1"/>
      <c r="P3738" s="189"/>
      <c r="Q3738" s="190"/>
      <c r="R3738" s="188"/>
      <c r="S3738" s="193"/>
      <c r="T3738" s="192"/>
      <c r="U3738" s="829"/>
      <c r="V3738" s="10"/>
      <c r="W3738" s="10"/>
      <c r="X3738" s="10"/>
      <c r="Y3738" s="10"/>
      <c r="Z3738" s="10"/>
      <c r="AA3738" s="11"/>
      <c r="AB3738" s="11"/>
    </row>
    <row r="3739" spans="2:28" x14ac:dyDescent="0.3">
      <c r="B3739" s="10"/>
      <c r="C3739" s="315"/>
      <c r="D3739" s="868"/>
      <c r="E3739" s="837" t="str">
        <f>IFERROR(IF(_xlfn.XLOOKUP(Imput[[#This Row],[RFC]],'Alta Proveedor'!D:D,'Alta Proveedor'!E:E)=0,"",_xlfn.XLOOKUP(Imput[[#This Row],[RFC]],'Alta Proveedor'!D:D,'Alta Proveedor'!E:E)),"")</f>
        <v/>
      </c>
      <c r="F3739" s="832"/>
      <c r="G3739" s="187"/>
      <c r="H3739" s="1"/>
      <c r="I3739" s="169">
        <f>Imput[[#This Row],[Cantidad]]*Imput[[#This Row],[Precio Unitario]]</f>
        <v>0</v>
      </c>
      <c r="J3739" s="11">
        <f>((Imput[[#This Row],[Sub total]])*(0.16))</f>
        <v>0</v>
      </c>
      <c r="K3739" s="11">
        <v>0</v>
      </c>
      <c r="L3739" s="169">
        <f>Imput[[#This Row],[Sub total]]+Imput[[#This Row],[IVA]]-Imput[[#This Row],[Retención / IEPS / Descuento]]</f>
        <v>0</v>
      </c>
      <c r="M3739" s="844">
        <v>0</v>
      </c>
      <c r="N3739" s="189"/>
      <c r="O3739" s="1"/>
      <c r="P3739" s="189"/>
      <c r="Q3739" s="190"/>
      <c r="R3739" s="188"/>
      <c r="S3739" s="193"/>
      <c r="T3739" s="192"/>
      <c r="U3739" s="829"/>
      <c r="V3739" s="10"/>
      <c r="W3739" s="10"/>
      <c r="X3739" s="10"/>
      <c r="Y3739" s="10"/>
      <c r="Z3739" s="10"/>
      <c r="AA3739" s="11"/>
      <c r="AB3739" s="11"/>
    </row>
    <row r="3740" spans="2:28" x14ac:dyDescent="0.3">
      <c r="B3740" s="10"/>
      <c r="C3740" s="315"/>
      <c r="D3740" s="868"/>
      <c r="E3740" s="837" t="str">
        <f>IFERROR(IF(_xlfn.XLOOKUP(Imput[[#This Row],[RFC]],'Alta Proveedor'!D:D,'Alta Proveedor'!E:E)=0,"",_xlfn.XLOOKUP(Imput[[#This Row],[RFC]],'Alta Proveedor'!D:D,'Alta Proveedor'!E:E)),"")</f>
        <v/>
      </c>
      <c r="F3740" s="832"/>
      <c r="G3740" s="187"/>
      <c r="H3740" s="1"/>
      <c r="I3740" s="169">
        <f>Imput[[#This Row],[Cantidad]]*Imput[[#This Row],[Precio Unitario]]</f>
        <v>0</v>
      </c>
      <c r="J3740" s="11">
        <f>((Imput[[#This Row],[Sub total]])*(0.16))</f>
        <v>0</v>
      </c>
      <c r="K3740" s="11">
        <v>0</v>
      </c>
      <c r="L3740" s="169">
        <f>Imput[[#This Row],[Sub total]]+Imput[[#This Row],[IVA]]-Imput[[#This Row],[Retención / IEPS / Descuento]]</f>
        <v>0</v>
      </c>
      <c r="M3740" s="844">
        <v>0</v>
      </c>
      <c r="N3740" s="189"/>
      <c r="O3740" s="1"/>
      <c r="P3740" s="189"/>
      <c r="Q3740" s="190"/>
      <c r="R3740" s="188"/>
      <c r="S3740" s="193"/>
      <c r="T3740" s="192"/>
      <c r="U3740" s="829"/>
      <c r="V3740" s="10"/>
      <c r="W3740" s="10"/>
      <c r="X3740" s="10"/>
      <c r="Y3740" s="10"/>
      <c r="Z3740" s="10"/>
      <c r="AA3740" s="11"/>
      <c r="AB3740" s="11"/>
    </row>
    <row r="3741" spans="2:28" x14ac:dyDescent="0.3">
      <c r="B3741" s="10"/>
      <c r="C3741" s="315"/>
      <c r="D3741" s="868"/>
      <c r="E3741" s="837" t="str">
        <f>IFERROR(IF(_xlfn.XLOOKUP(Imput[[#This Row],[RFC]],'Alta Proveedor'!D:D,'Alta Proveedor'!E:E)=0,"",_xlfn.XLOOKUP(Imput[[#This Row],[RFC]],'Alta Proveedor'!D:D,'Alta Proveedor'!E:E)),"")</f>
        <v/>
      </c>
      <c r="F3741" s="832"/>
      <c r="G3741" s="187"/>
      <c r="H3741" s="1"/>
      <c r="I3741" s="169">
        <f>Imput[[#This Row],[Cantidad]]*Imput[[#This Row],[Precio Unitario]]</f>
        <v>0</v>
      </c>
      <c r="J3741" s="11">
        <f>((Imput[[#This Row],[Sub total]])*(0.16))</f>
        <v>0</v>
      </c>
      <c r="K3741" s="11">
        <v>0</v>
      </c>
      <c r="L3741" s="169">
        <f>Imput[[#This Row],[Sub total]]+Imput[[#This Row],[IVA]]-Imput[[#This Row],[Retención / IEPS / Descuento]]</f>
        <v>0</v>
      </c>
      <c r="M3741" s="844">
        <v>0</v>
      </c>
      <c r="N3741" s="189"/>
      <c r="O3741" s="1"/>
      <c r="P3741" s="189"/>
      <c r="Q3741" s="190"/>
      <c r="R3741" s="188"/>
      <c r="S3741" s="193"/>
      <c r="T3741" s="192"/>
      <c r="U3741" s="829"/>
      <c r="V3741" s="10"/>
      <c r="W3741" s="10"/>
      <c r="X3741" s="10"/>
      <c r="Y3741" s="10"/>
      <c r="Z3741" s="10"/>
      <c r="AA3741" s="11"/>
      <c r="AB3741" s="11"/>
    </row>
    <row r="3742" spans="2:28" x14ac:dyDescent="0.3">
      <c r="B3742" s="10"/>
      <c r="C3742" s="315"/>
      <c r="D3742" s="868"/>
      <c r="E3742" s="837" t="str">
        <f>IFERROR(IF(_xlfn.XLOOKUP(Imput[[#This Row],[RFC]],'Alta Proveedor'!D:D,'Alta Proveedor'!E:E)=0,"",_xlfn.XLOOKUP(Imput[[#This Row],[RFC]],'Alta Proveedor'!D:D,'Alta Proveedor'!E:E)),"")</f>
        <v/>
      </c>
      <c r="F3742" s="832"/>
      <c r="G3742" s="187"/>
      <c r="H3742" s="1"/>
      <c r="I3742" s="169">
        <f>Imput[[#This Row],[Cantidad]]*Imput[[#This Row],[Precio Unitario]]</f>
        <v>0</v>
      </c>
      <c r="J3742" s="11">
        <f>((Imput[[#This Row],[Sub total]])*(0.16))</f>
        <v>0</v>
      </c>
      <c r="K3742" s="11">
        <v>0</v>
      </c>
      <c r="L3742" s="169">
        <f>Imput[[#This Row],[Sub total]]+Imput[[#This Row],[IVA]]-Imput[[#This Row],[Retención / IEPS / Descuento]]</f>
        <v>0</v>
      </c>
      <c r="M3742" s="844">
        <v>0</v>
      </c>
      <c r="N3742" s="189"/>
      <c r="O3742" s="1"/>
      <c r="P3742" s="189"/>
      <c r="Q3742" s="190"/>
      <c r="R3742" s="188"/>
      <c r="S3742" s="193"/>
      <c r="T3742" s="192"/>
      <c r="U3742" s="829"/>
      <c r="V3742" s="10"/>
      <c r="W3742" s="10"/>
      <c r="X3742" s="10"/>
      <c r="Y3742" s="10"/>
      <c r="Z3742" s="10"/>
      <c r="AA3742" s="11"/>
      <c r="AB3742" s="11"/>
    </row>
    <row r="3743" spans="2:28" x14ac:dyDescent="0.3">
      <c r="B3743" s="10"/>
      <c r="C3743" s="315"/>
      <c r="D3743" s="868"/>
      <c r="E3743" s="837" t="str">
        <f>IFERROR(IF(_xlfn.XLOOKUP(Imput[[#This Row],[RFC]],'Alta Proveedor'!D:D,'Alta Proveedor'!E:E)=0,"",_xlfn.XLOOKUP(Imput[[#This Row],[RFC]],'Alta Proveedor'!D:D,'Alta Proveedor'!E:E)),"")</f>
        <v/>
      </c>
      <c r="F3743" s="832"/>
      <c r="G3743" s="187"/>
      <c r="H3743" s="1"/>
      <c r="I3743" s="169">
        <f>Imput[[#This Row],[Cantidad]]*Imput[[#This Row],[Precio Unitario]]</f>
        <v>0</v>
      </c>
      <c r="J3743" s="11">
        <f>((Imput[[#This Row],[Sub total]])*(0.16))</f>
        <v>0</v>
      </c>
      <c r="K3743" s="11">
        <v>0</v>
      </c>
      <c r="L3743" s="169">
        <f>Imput[[#This Row],[Sub total]]+Imput[[#This Row],[IVA]]-Imput[[#This Row],[Retención / IEPS / Descuento]]</f>
        <v>0</v>
      </c>
      <c r="M3743" s="844">
        <v>0</v>
      </c>
      <c r="N3743" s="189"/>
      <c r="O3743" s="1"/>
      <c r="P3743" s="189"/>
      <c r="Q3743" s="190"/>
      <c r="R3743" s="188"/>
      <c r="S3743" s="193"/>
      <c r="T3743" s="192"/>
      <c r="U3743" s="829"/>
      <c r="V3743" s="10"/>
      <c r="W3743" s="10"/>
      <c r="X3743" s="10"/>
      <c r="Y3743" s="10"/>
      <c r="Z3743" s="10"/>
      <c r="AA3743" s="11"/>
      <c r="AB3743" s="11"/>
    </row>
    <row r="3744" spans="2:28" x14ac:dyDescent="0.3">
      <c r="B3744" s="10"/>
      <c r="C3744" s="315"/>
      <c r="D3744" s="868"/>
      <c r="E3744" s="837" t="str">
        <f>IFERROR(IF(_xlfn.XLOOKUP(Imput[[#This Row],[RFC]],'Alta Proveedor'!D:D,'Alta Proveedor'!E:E)=0,"",_xlfn.XLOOKUP(Imput[[#This Row],[RFC]],'Alta Proveedor'!D:D,'Alta Proveedor'!E:E)),"")</f>
        <v/>
      </c>
      <c r="F3744" s="832"/>
      <c r="G3744" s="187"/>
      <c r="H3744" s="1"/>
      <c r="I3744" s="169">
        <f>Imput[[#This Row],[Cantidad]]*Imput[[#This Row],[Precio Unitario]]</f>
        <v>0</v>
      </c>
      <c r="J3744" s="11">
        <f>((Imput[[#This Row],[Sub total]])*(0.16))</f>
        <v>0</v>
      </c>
      <c r="K3744" s="11">
        <v>0</v>
      </c>
      <c r="L3744" s="169">
        <f>Imput[[#This Row],[Sub total]]+Imput[[#This Row],[IVA]]-Imput[[#This Row],[Retención / IEPS / Descuento]]</f>
        <v>0</v>
      </c>
      <c r="M3744" s="844">
        <v>0</v>
      </c>
      <c r="N3744" s="189"/>
      <c r="O3744" s="1"/>
      <c r="P3744" s="189"/>
      <c r="Q3744" s="190"/>
      <c r="R3744" s="188"/>
      <c r="S3744" s="193"/>
      <c r="T3744" s="192"/>
      <c r="U3744" s="829"/>
      <c r="V3744" s="10"/>
      <c r="W3744" s="10"/>
      <c r="X3744" s="10"/>
      <c r="Y3744" s="10"/>
      <c r="Z3744" s="10"/>
      <c r="AA3744" s="11"/>
      <c r="AB3744" s="11"/>
    </row>
    <row r="3745" spans="2:28" x14ac:dyDescent="0.3">
      <c r="B3745" s="10"/>
      <c r="C3745" s="315"/>
      <c r="D3745" s="868"/>
      <c r="E3745" s="837" t="str">
        <f>IFERROR(IF(_xlfn.XLOOKUP(Imput[[#This Row],[RFC]],'Alta Proveedor'!D:D,'Alta Proveedor'!E:E)=0,"",_xlfn.XLOOKUP(Imput[[#This Row],[RFC]],'Alta Proveedor'!D:D,'Alta Proveedor'!E:E)),"")</f>
        <v/>
      </c>
      <c r="F3745" s="832"/>
      <c r="G3745" s="187"/>
      <c r="H3745" s="1"/>
      <c r="I3745" s="169">
        <f>Imput[[#This Row],[Cantidad]]*Imput[[#This Row],[Precio Unitario]]</f>
        <v>0</v>
      </c>
      <c r="J3745" s="11">
        <f>((Imput[[#This Row],[Sub total]])*(0.16))</f>
        <v>0</v>
      </c>
      <c r="K3745" s="11">
        <v>0</v>
      </c>
      <c r="L3745" s="169">
        <f>Imput[[#This Row],[Sub total]]+Imput[[#This Row],[IVA]]-Imput[[#This Row],[Retención / IEPS / Descuento]]</f>
        <v>0</v>
      </c>
      <c r="M3745" s="844">
        <v>0</v>
      </c>
      <c r="N3745" s="189"/>
      <c r="O3745" s="1"/>
      <c r="P3745" s="189"/>
      <c r="Q3745" s="190"/>
      <c r="R3745" s="188"/>
      <c r="S3745" s="193"/>
      <c r="T3745" s="192"/>
      <c r="U3745" s="829"/>
      <c r="V3745" s="10"/>
      <c r="W3745" s="10"/>
      <c r="X3745" s="10"/>
      <c r="Y3745" s="10"/>
      <c r="Z3745" s="10"/>
      <c r="AA3745" s="11"/>
      <c r="AB3745" s="11"/>
    </row>
    <row r="3746" spans="2:28" x14ac:dyDescent="0.3">
      <c r="B3746" s="10"/>
      <c r="C3746" s="315"/>
      <c r="D3746" s="868"/>
      <c r="E3746" s="837" t="str">
        <f>IFERROR(IF(_xlfn.XLOOKUP(Imput[[#This Row],[RFC]],'Alta Proveedor'!D:D,'Alta Proveedor'!E:E)=0,"",_xlfn.XLOOKUP(Imput[[#This Row],[RFC]],'Alta Proveedor'!D:D,'Alta Proveedor'!E:E)),"")</f>
        <v/>
      </c>
      <c r="F3746" s="832"/>
      <c r="G3746" s="187"/>
      <c r="H3746" s="1"/>
      <c r="I3746" s="169">
        <f>Imput[[#This Row],[Cantidad]]*Imput[[#This Row],[Precio Unitario]]</f>
        <v>0</v>
      </c>
      <c r="J3746" s="11">
        <f>((Imput[[#This Row],[Sub total]])*(0.16))</f>
        <v>0</v>
      </c>
      <c r="K3746" s="11">
        <v>0</v>
      </c>
      <c r="L3746" s="169">
        <f>Imput[[#This Row],[Sub total]]+Imput[[#This Row],[IVA]]-Imput[[#This Row],[Retención / IEPS / Descuento]]</f>
        <v>0</v>
      </c>
      <c r="M3746" s="844">
        <v>0</v>
      </c>
      <c r="N3746" s="189"/>
      <c r="O3746" s="1"/>
      <c r="P3746" s="189"/>
      <c r="Q3746" s="190"/>
      <c r="R3746" s="188"/>
      <c r="S3746" s="193"/>
      <c r="T3746" s="192"/>
      <c r="U3746" s="829"/>
      <c r="V3746" s="10"/>
      <c r="W3746" s="10"/>
      <c r="X3746" s="10"/>
      <c r="Y3746" s="10"/>
      <c r="Z3746" s="10"/>
      <c r="AA3746" s="11"/>
      <c r="AB3746" s="11"/>
    </row>
    <row r="3747" spans="2:28" x14ac:dyDescent="0.3">
      <c r="B3747" s="10"/>
      <c r="C3747" s="315"/>
      <c r="D3747" s="868"/>
      <c r="E3747" s="837" t="str">
        <f>IFERROR(IF(_xlfn.XLOOKUP(Imput[[#This Row],[RFC]],'Alta Proveedor'!D:D,'Alta Proveedor'!E:E)=0,"",_xlfn.XLOOKUP(Imput[[#This Row],[RFC]],'Alta Proveedor'!D:D,'Alta Proveedor'!E:E)),"")</f>
        <v/>
      </c>
      <c r="F3747" s="832"/>
      <c r="G3747" s="187"/>
      <c r="H3747" s="1"/>
      <c r="I3747" s="169">
        <f>Imput[[#This Row],[Cantidad]]*Imput[[#This Row],[Precio Unitario]]</f>
        <v>0</v>
      </c>
      <c r="J3747" s="11">
        <f>((Imput[[#This Row],[Sub total]])*(0.16))</f>
        <v>0</v>
      </c>
      <c r="K3747" s="11">
        <v>0</v>
      </c>
      <c r="L3747" s="169">
        <f>Imput[[#This Row],[Sub total]]+Imput[[#This Row],[IVA]]-Imput[[#This Row],[Retención / IEPS / Descuento]]</f>
        <v>0</v>
      </c>
      <c r="M3747" s="844">
        <v>0</v>
      </c>
      <c r="N3747" s="189"/>
      <c r="O3747" s="1"/>
      <c r="P3747" s="189"/>
      <c r="Q3747" s="190"/>
      <c r="R3747" s="188"/>
      <c r="S3747" s="193"/>
      <c r="T3747" s="192"/>
      <c r="U3747" s="829"/>
      <c r="V3747" s="10"/>
      <c r="W3747" s="10"/>
      <c r="X3747" s="10"/>
      <c r="Y3747" s="10"/>
      <c r="Z3747" s="10"/>
      <c r="AA3747" s="11"/>
      <c r="AB3747" s="11"/>
    </row>
    <row r="3748" spans="2:28" x14ac:dyDescent="0.3">
      <c r="B3748" s="10"/>
      <c r="C3748" s="315"/>
      <c r="D3748" s="868"/>
      <c r="E3748" s="837" t="str">
        <f>IFERROR(IF(_xlfn.XLOOKUP(Imput[[#This Row],[RFC]],'Alta Proveedor'!D:D,'Alta Proveedor'!E:E)=0,"",_xlfn.XLOOKUP(Imput[[#This Row],[RFC]],'Alta Proveedor'!D:D,'Alta Proveedor'!E:E)),"")</f>
        <v/>
      </c>
      <c r="F3748" s="832"/>
      <c r="G3748" s="187"/>
      <c r="H3748" s="1"/>
      <c r="I3748" s="169">
        <f>Imput[[#This Row],[Cantidad]]*Imput[[#This Row],[Precio Unitario]]</f>
        <v>0</v>
      </c>
      <c r="J3748" s="11">
        <f>((Imput[[#This Row],[Sub total]])*(0.16))</f>
        <v>0</v>
      </c>
      <c r="K3748" s="11">
        <v>0</v>
      </c>
      <c r="L3748" s="169">
        <f>Imput[[#This Row],[Sub total]]+Imput[[#This Row],[IVA]]-Imput[[#This Row],[Retención / IEPS / Descuento]]</f>
        <v>0</v>
      </c>
      <c r="M3748" s="844">
        <v>0</v>
      </c>
      <c r="N3748" s="189"/>
      <c r="O3748" s="1"/>
      <c r="P3748" s="189"/>
      <c r="Q3748" s="190"/>
      <c r="R3748" s="188"/>
      <c r="S3748" s="193"/>
      <c r="T3748" s="192"/>
      <c r="U3748" s="829"/>
      <c r="V3748" s="10"/>
      <c r="W3748" s="10"/>
      <c r="X3748" s="10"/>
      <c r="Y3748" s="10"/>
      <c r="Z3748" s="10"/>
      <c r="AA3748" s="11"/>
      <c r="AB3748" s="11"/>
    </row>
    <row r="3749" spans="2:28" x14ac:dyDescent="0.3">
      <c r="B3749" s="10"/>
      <c r="C3749" s="315"/>
      <c r="D3749" s="868"/>
      <c r="E3749" s="837" t="str">
        <f>IFERROR(IF(_xlfn.XLOOKUP(Imput[[#This Row],[RFC]],'Alta Proveedor'!D:D,'Alta Proveedor'!E:E)=0,"",_xlfn.XLOOKUP(Imput[[#This Row],[RFC]],'Alta Proveedor'!D:D,'Alta Proveedor'!E:E)),"")</f>
        <v/>
      </c>
      <c r="F3749" s="832"/>
      <c r="G3749" s="187"/>
      <c r="H3749" s="1"/>
      <c r="I3749" s="169">
        <f>Imput[[#This Row],[Cantidad]]*Imput[[#This Row],[Precio Unitario]]</f>
        <v>0</v>
      </c>
      <c r="J3749" s="11">
        <f>((Imput[[#This Row],[Sub total]])*(0.16))</f>
        <v>0</v>
      </c>
      <c r="K3749" s="11">
        <v>0</v>
      </c>
      <c r="L3749" s="169">
        <f>Imput[[#This Row],[Sub total]]+Imput[[#This Row],[IVA]]-Imput[[#This Row],[Retención / IEPS / Descuento]]</f>
        <v>0</v>
      </c>
      <c r="M3749" s="844">
        <v>0</v>
      </c>
      <c r="N3749" s="189"/>
      <c r="O3749" s="1"/>
      <c r="P3749" s="189"/>
      <c r="Q3749" s="190"/>
      <c r="R3749" s="188"/>
      <c r="S3749" s="193"/>
      <c r="T3749" s="192"/>
      <c r="U3749" s="829"/>
      <c r="V3749" s="10"/>
      <c r="W3749" s="10"/>
      <c r="X3749" s="10"/>
      <c r="Y3749" s="10"/>
      <c r="Z3749" s="10"/>
      <c r="AA3749" s="11"/>
      <c r="AB3749" s="11"/>
    </row>
    <row r="3750" spans="2:28" x14ac:dyDescent="0.3">
      <c r="B3750" s="10"/>
      <c r="C3750" s="315"/>
      <c r="D3750" s="868"/>
      <c r="E3750" s="837" t="str">
        <f>IFERROR(IF(_xlfn.XLOOKUP(Imput[[#This Row],[RFC]],'Alta Proveedor'!D:D,'Alta Proveedor'!E:E)=0,"",_xlfn.XLOOKUP(Imput[[#This Row],[RFC]],'Alta Proveedor'!D:D,'Alta Proveedor'!E:E)),"")</f>
        <v/>
      </c>
      <c r="F3750" s="832"/>
      <c r="G3750" s="187"/>
      <c r="H3750" s="1"/>
      <c r="I3750" s="169">
        <f>Imput[[#This Row],[Cantidad]]*Imput[[#This Row],[Precio Unitario]]</f>
        <v>0</v>
      </c>
      <c r="J3750" s="11">
        <f>((Imput[[#This Row],[Sub total]])*(0.16))</f>
        <v>0</v>
      </c>
      <c r="K3750" s="11">
        <v>0</v>
      </c>
      <c r="L3750" s="169">
        <f>Imput[[#This Row],[Sub total]]+Imput[[#This Row],[IVA]]-Imput[[#This Row],[Retención / IEPS / Descuento]]</f>
        <v>0</v>
      </c>
      <c r="M3750" s="844">
        <v>0</v>
      </c>
      <c r="N3750" s="189"/>
      <c r="O3750" s="1"/>
      <c r="P3750" s="189"/>
      <c r="Q3750" s="190"/>
      <c r="R3750" s="188"/>
      <c r="S3750" s="193"/>
      <c r="T3750" s="192"/>
      <c r="U3750" s="829"/>
      <c r="V3750" s="10"/>
      <c r="W3750" s="10"/>
      <c r="X3750" s="10"/>
      <c r="Y3750" s="10"/>
      <c r="Z3750" s="10"/>
      <c r="AA3750" s="11"/>
      <c r="AB3750" s="11"/>
    </row>
    <row r="3751" spans="2:28" x14ac:dyDescent="0.3">
      <c r="B3751" s="10"/>
      <c r="C3751" s="315"/>
      <c r="D3751" s="868"/>
      <c r="E3751" s="837" t="str">
        <f>IFERROR(IF(_xlfn.XLOOKUP(Imput[[#This Row],[RFC]],'Alta Proveedor'!D:D,'Alta Proveedor'!E:E)=0,"",_xlfn.XLOOKUP(Imput[[#This Row],[RFC]],'Alta Proveedor'!D:D,'Alta Proveedor'!E:E)),"")</f>
        <v/>
      </c>
      <c r="F3751" s="832"/>
      <c r="G3751" s="187"/>
      <c r="H3751" s="1"/>
      <c r="I3751" s="169">
        <f>Imput[[#This Row],[Cantidad]]*Imput[[#This Row],[Precio Unitario]]</f>
        <v>0</v>
      </c>
      <c r="J3751" s="11">
        <f>((Imput[[#This Row],[Sub total]])*(0.16))</f>
        <v>0</v>
      </c>
      <c r="K3751" s="11">
        <v>0</v>
      </c>
      <c r="L3751" s="169">
        <f>Imput[[#This Row],[Sub total]]+Imput[[#This Row],[IVA]]-Imput[[#This Row],[Retención / IEPS / Descuento]]</f>
        <v>0</v>
      </c>
      <c r="M3751" s="844">
        <v>0</v>
      </c>
      <c r="N3751" s="189"/>
      <c r="O3751" s="1"/>
      <c r="P3751" s="189"/>
      <c r="Q3751" s="190"/>
      <c r="R3751" s="188"/>
      <c r="S3751" s="193"/>
      <c r="T3751" s="192"/>
      <c r="U3751" s="829"/>
      <c r="V3751" s="10"/>
      <c r="W3751" s="10"/>
      <c r="X3751" s="10"/>
      <c r="Y3751" s="10"/>
      <c r="Z3751" s="10"/>
      <c r="AA3751" s="11"/>
      <c r="AB3751" s="11"/>
    </row>
  </sheetData>
  <mergeCells count="26">
    <mergeCell ref="C5:F5"/>
    <mergeCell ref="C3:F3"/>
    <mergeCell ref="C4:F4"/>
    <mergeCell ref="Y8:Y10"/>
    <mergeCell ref="U8:U10"/>
    <mergeCell ref="P8:T8"/>
    <mergeCell ref="P9:P10"/>
    <mergeCell ref="D9:D10"/>
    <mergeCell ref="F8:L8"/>
    <mergeCell ref="C8:C10"/>
    <mergeCell ref="O9:O10"/>
    <mergeCell ref="N9:N10"/>
    <mergeCell ref="D8:E8"/>
    <mergeCell ref="B8:B10"/>
    <mergeCell ref="AB8:AB10"/>
    <mergeCell ref="AA8:AA10"/>
    <mergeCell ref="H9:H10"/>
    <mergeCell ref="G9:G10"/>
    <mergeCell ref="F9:F10"/>
    <mergeCell ref="E9:E10"/>
    <mergeCell ref="Z8:Z10"/>
    <mergeCell ref="T9:T10"/>
    <mergeCell ref="S9:S10"/>
    <mergeCell ref="R9:R10"/>
    <mergeCell ref="Q9:Q10"/>
    <mergeCell ref="V8:V10"/>
  </mergeCells>
  <phoneticPr fontId="6" type="noConversion"/>
  <conditionalFormatting sqref="L10:M10">
    <cfRule type="expression" dxfId="22" priority="2">
      <formula>ROUND($M$10,2)=ROUND($L$10,2)</formula>
    </cfRule>
  </conditionalFormatting>
  <conditionalFormatting sqref="P12:P3751">
    <cfRule type="duplicateValues" dxfId="21" priority="427"/>
  </conditionalFormatting>
  <conditionalFormatting sqref="Q12:Q3751">
    <cfRule type="duplicateValues" dxfId="20" priority="429"/>
  </conditionalFormatting>
  <pageMargins left="0.7" right="0.7" top="0.75" bottom="0.75" header="0.3" footer="0.3"/>
  <pageSetup paperSize="9" orientation="portrait" r:id="rId1"/>
  <ignoredErrors>
    <ignoredError sqref="Q1368 P1429:P1431" numberStoredAsText="1"/>
  </ignoredErrors>
  <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0FEDE436-5184-4A2D-9D02-A83D412E92BE}">
          <x14:formula1>
            <xm:f>'Alta Proveedor'!$D$4:$D$303</xm:f>
          </x14:formula1>
          <xm:sqref>D12:D3751</xm:sqref>
        </x14:dataValidation>
        <x14:dataValidation type="list" allowBlank="1" showInputMessage="1" showErrorMessage="1" xr:uid="{61E1DAC0-9A33-4460-BC6F-2408045FA29B}">
          <x14:formula1>
            <xm:f>'Hoja Auxiliar'!$J$5:$J$15</xm:f>
          </x14:formula1>
          <xm:sqref>S12:S3751</xm:sqref>
        </x14:dataValidation>
        <x14:dataValidation type="list" allowBlank="1" showInputMessage="1" showErrorMessage="1" xr:uid="{038FDDA3-8BB6-4F5C-9868-9421F6086B85}">
          <x14:formula1>
            <xm:f>'Hoja Auxiliar'!$N$5:$N$16</xm:f>
          </x14:formula1>
          <xm:sqref>N12:N3751</xm:sqref>
        </x14:dataValidation>
        <x14:dataValidation type="list" allowBlank="1" showInputMessage="1" showErrorMessage="1" xr:uid="{C69414F4-6D39-4A4A-83EA-55872783DE10}">
          <x14:formula1>
            <xm:f>'Hoja Auxiliar'!$C$5:$C$52</xm:f>
          </x14:formula1>
          <xm:sqref>B12:B3751</xm:sqref>
        </x14:dataValidation>
        <x14:dataValidation type="list" allowBlank="1" showInputMessage="1" showErrorMessage="1" xr:uid="{9B9D2576-2C8E-473A-B672-0C530BD79EF1}">
          <x14:formula1>
            <xm:f>'Hoja Auxiliar'!$G$5:$G$950</xm:f>
          </x14:formula1>
          <xm:sqref>C12:C3751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AB1E1-E337-46B9-8911-D15D11F339F5}">
  <sheetPr codeName="Hoja2"/>
  <dimension ref="B2:E303"/>
  <sheetViews>
    <sheetView zoomScale="70" zoomScaleNormal="70" workbookViewId="0">
      <pane ySplit="3" topLeftCell="A192" activePane="bottomLeft" state="frozen"/>
      <selection pane="bottomLeft" activeCell="E221" sqref="E221"/>
    </sheetView>
  </sheetViews>
  <sheetFormatPr baseColWidth="10" defaultColWidth="11.44140625" defaultRowHeight="14.4" x14ac:dyDescent="0.3"/>
  <cols>
    <col min="1" max="1" width="0.44140625" customWidth="1"/>
    <col min="2" max="2" width="4.44140625" style="9" customWidth="1"/>
    <col min="3" max="3" width="0.44140625" style="183" customWidth="1"/>
    <col min="4" max="4" width="20.21875" customWidth="1"/>
    <col min="5" max="5" width="98.77734375" customWidth="1"/>
  </cols>
  <sheetData>
    <row r="2" spans="2:5" ht="14.85" customHeight="1" x14ac:dyDescent="0.3">
      <c r="B2" s="982" t="s">
        <v>313</v>
      </c>
      <c r="C2" s="180"/>
      <c r="D2" s="984" t="s">
        <v>88</v>
      </c>
      <c r="E2" s="985"/>
    </row>
    <row r="3" spans="2:5" x14ac:dyDescent="0.3">
      <c r="B3" s="983"/>
      <c r="C3" s="181"/>
      <c r="D3" s="185" t="s">
        <v>111</v>
      </c>
      <c r="E3" s="186" t="s">
        <v>96</v>
      </c>
    </row>
    <row r="4" spans="2:5" x14ac:dyDescent="0.3">
      <c r="B4" s="182">
        <v>1</v>
      </c>
      <c r="D4" s="443" t="s">
        <v>180</v>
      </c>
      <c r="E4" s="444" t="s">
        <v>314</v>
      </c>
    </row>
    <row r="5" spans="2:5" x14ac:dyDescent="0.3">
      <c r="B5" s="182">
        <f>B4+1</f>
        <v>2</v>
      </c>
      <c r="D5" s="443" t="s">
        <v>121</v>
      </c>
      <c r="E5" s="444" t="s">
        <v>315</v>
      </c>
    </row>
    <row r="6" spans="2:5" x14ac:dyDescent="0.3">
      <c r="B6" s="182">
        <f t="shared" ref="B6:B69" si="0">B5+1</f>
        <v>3</v>
      </c>
      <c r="D6" s="443" t="s">
        <v>131</v>
      </c>
      <c r="E6" s="444" t="s">
        <v>316</v>
      </c>
    </row>
    <row r="7" spans="2:5" x14ac:dyDescent="0.3">
      <c r="B7" s="182">
        <f t="shared" si="0"/>
        <v>4</v>
      </c>
      <c r="D7" s="443" t="s">
        <v>134</v>
      </c>
      <c r="E7" s="444" t="s">
        <v>317</v>
      </c>
    </row>
    <row r="8" spans="2:5" x14ac:dyDescent="0.3">
      <c r="B8" s="182">
        <f t="shared" si="0"/>
        <v>5</v>
      </c>
      <c r="D8" s="443" t="s">
        <v>138</v>
      </c>
      <c r="E8" s="444" t="s">
        <v>318</v>
      </c>
    </row>
    <row r="9" spans="2:5" x14ac:dyDescent="0.3">
      <c r="B9" s="182">
        <f t="shared" si="0"/>
        <v>6</v>
      </c>
      <c r="D9" s="443" t="s">
        <v>143</v>
      </c>
      <c r="E9" s="444" t="s">
        <v>319</v>
      </c>
    </row>
    <row r="10" spans="2:5" x14ac:dyDescent="0.3">
      <c r="B10" s="182">
        <f t="shared" si="0"/>
        <v>7</v>
      </c>
      <c r="D10" s="443" t="s">
        <v>150</v>
      </c>
      <c r="E10" s="444" t="s">
        <v>320</v>
      </c>
    </row>
    <row r="11" spans="2:5" x14ac:dyDescent="0.3">
      <c r="B11" s="182">
        <f t="shared" si="0"/>
        <v>8</v>
      </c>
      <c r="D11" s="443" t="s">
        <v>158</v>
      </c>
      <c r="E11" s="444" t="s">
        <v>321</v>
      </c>
    </row>
    <row r="12" spans="2:5" x14ac:dyDescent="0.3">
      <c r="B12" s="182">
        <f t="shared" si="0"/>
        <v>9</v>
      </c>
      <c r="D12" s="443" t="s">
        <v>164</v>
      </c>
      <c r="E12" s="444" t="s">
        <v>322</v>
      </c>
    </row>
    <row r="13" spans="2:5" x14ac:dyDescent="0.3">
      <c r="B13" s="182">
        <f t="shared" si="0"/>
        <v>10</v>
      </c>
      <c r="D13" s="443" t="s">
        <v>177</v>
      </c>
      <c r="E13" s="444" t="s">
        <v>323</v>
      </c>
    </row>
    <row r="14" spans="2:5" x14ac:dyDescent="0.3">
      <c r="B14" s="182">
        <f t="shared" si="0"/>
        <v>11</v>
      </c>
      <c r="D14" s="443" t="s">
        <v>193</v>
      </c>
      <c r="E14" s="444" t="s">
        <v>324</v>
      </c>
    </row>
    <row r="15" spans="2:5" x14ac:dyDescent="0.3">
      <c r="B15" s="182">
        <f t="shared" si="0"/>
        <v>12</v>
      </c>
      <c r="D15" s="443" t="s">
        <v>197</v>
      </c>
      <c r="E15" s="444" t="s">
        <v>325</v>
      </c>
    </row>
    <row r="16" spans="2:5" x14ac:dyDescent="0.3">
      <c r="B16" s="182">
        <f t="shared" si="0"/>
        <v>13</v>
      </c>
      <c r="D16" s="443" t="s">
        <v>200</v>
      </c>
      <c r="E16" s="444" t="s">
        <v>326</v>
      </c>
    </row>
    <row r="17" spans="2:5" x14ac:dyDescent="0.3">
      <c r="B17" s="182">
        <f t="shared" si="0"/>
        <v>14</v>
      </c>
      <c r="D17" s="443" t="s">
        <v>204</v>
      </c>
      <c r="E17" s="444" t="s">
        <v>327</v>
      </c>
    </row>
    <row r="18" spans="2:5" x14ac:dyDescent="0.3">
      <c r="B18" s="182">
        <f t="shared" si="0"/>
        <v>15</v>
      </c>
      <c r="D18" s="443" t="s">
        <v>207</v>
      </c>
      <c r="E18" s="444" t="s">
        <v>328</v>
      </c>
    </row>
    <row r="19" spans="2:5" x14ac:dyDescent="0.3">
      <c r="B19" s="182">
        <f t="shared" si="0"/>
        <v>16</v>
      </c>
      <c r="D19" s="443" t="s">
        <v>211</v>
      </c>
      <c r="E19" s="444" t="s">
        <v>329</v>
      </c>
    </row>
    <row r="20" spans="2:5" x14ac:dyDescent="0.3">
      <c r="B20" s="182">
        <f t="shared" si="0"/>
        <v>17</v>
      </c>
      <c r="D20" s="443" t="s">
        <v>216</v>
      </c>
      <c r="E20" s="444" t="s">
        <v>330</v>
      </c>
    </row>
    <row r="21" spans="2:5" x14ac:dyDescent="0.3">
      <c r="B21" s="182">
        <f t="shared" si="0"/>
        <v>18</v>
      </c>
      <c r="D21" s="443" t="s">
        <v>220</v>
      </c>
      <c r="E21" s="444" t="s">
        <v>331</v>
      </c>
    </row>
    <row r="22" spans="2:5" x14ac:dyDescent="0.3">
      <c r="B22" s="182">
        <f t="shared" si="0"/>
        <v>19</v>
      </c>
      <c r="D22" s="443" t="s">
        <v>228</v>
      </c>
      <c r="E22" s="444" t="s">
        <v>332</v>
      </c>
    </row>
    <row r="23" spans="2:5" x14ac:dyDescent="0.3">
      <c r="B23" s="182">
        <f t="shared" si="0"/>
        <v>20</v>
      </c>
      <c r="D23" s="443" t="s">
        <v>233</v>
      </c>
      <c r="E23" s="444" t="s">
        <v>1083</v>
      </c>
    </row>
    <row r="24" spans="2:5" x14ac:dyDescent="0.3">
      <c r="B24" s="182">
        <f t="shared" si="0"/>
        <v>21</v>
      </c>
      <c r="D24" s="443" t="s">
        <v>236</v>
      </c>
      <c r="E24" s="444" t="s">
        <v>333</v>
      </c>
    </row>
    <row r="25" spans="2:5" x14ac:dyDescent="0.3">
      <c r="B25" s="182">
        <f t="shared" si="0"/>
        <v>22</v>
      </c>
      <c r="D25" s="443" t="s">
        <v>244</v>
      </c>
      <c r="E25" s="444" t="s">
        <v>334</v>
      </c>
    </row>
    <row r="26" spans="2:5" x14ac:dyDescent="0.3">
      <c r="B26" s="182">
        <f t="shared" si="0"/>
        <v>23</v>
      </c>
      <c r="D26" s="443" t="s">
        <v>256</v>
      </c>
      <c r="E26" s="444" t="s">
        <v>335</v>
      </c>
    </row>
    <row r="27" spans="2:5" x14ac:dyDescent="0.3">
      <c r="B27" s="182">
        <f t="shared" si="0"/>
        <v>24</v>
      </c>
      <c r="D27" s="443" t="s">
        <v>261</v>
      </c>
      <c r="E27" s="444" t="s">
        <v>336</v>
      </c>
    </row>
    <row r="28" spans="2:5" x14ac:dyDescent="0.3">
      <c r="B28" s="182">
        <f t="shared" si="0"/>
        <v>25</v>
      </c>
      <c r="D28" s="443" t="s">
        <v>264</v>
      </c>
      <c r="E28" s="444" t="s">
        <v>337</v>
      </c>
    </row>
    <row r="29" spans="2:5" x14ac:dyDescent="0.3">
      <c r="B29" s="182">
        <f t="shared" si="0"/>
        <v>26</v>
      </c>
      <c r="D29" s="443" t="s">
        <v>271</v>
      </c>
      <c r="E29" s="444" t="s">
        <v>338</v>
      </c>
    </row>
    <row r="30" spans="2:5" x14ac:dyDescent="0.3">
      <c r="B30" s="182">
        <f t="shared" si="0"/>
        <v>27</v>
      </c>
      <c r="D30" s="443" t="s">
        <v>276</v>
      </c>
      <c r="E30" s="444" t="s">
        <v>339</v>
      </c>
    </row>
    <row r="31" spans="2:5" x14ac:dyDescent="0.3">
      <c r="B31" s="182">
        <f t="shared" si="0"/>
        <v>28</v>
      </c>
      <c r="D31" s="443" t="s">
        <v>307</v>
      </c>
      <c r="E31" s="444" t="s">
        <v>340</v>
      </c>
    </row>
    <row r="32" spans="2:5" x14ac:dyDescent="0.3">
      <c r="B32" s="182">
        <f t="shared" si="0"/>
        <v>29</v>
      </c>
      <c r="D32" s="443" t="s">
        <v>1036</v>
      </c>
      <c r="E32" s="444" t="s">
        <v>1037</v>
      </c>
    </row>
    <row r="33" spans="2:5" x14ac:dyDescent="0.3">
      <c r="B33" s="182">
        <f t="shared" si="0"/>
        <v>30</v>
      </c>
      <c r="D33" s="443" t="s">
        <v>1041</v>
      </c>
      <c r="E33" s="444" t="s">
        <v>1042</v>
      </c>
    </row>
    <row r="34" spans="2:5" x14ac:dyDescent="0.3">
      <c r="B34" s="182">
        <f t="shared" si="0"/>
        <v>31</v>
      </c>
      <c r="D34" s="443" t="s">
        <v>1051</v>
      </c>
      <c r="E34" s="444" t="s">
        <v>1052</v>
      </c>
    </row>
    <row r="35" spans="2:5" x14ac:dyDescent="0.3">
      <c r="B35" s="182">
        <f t="shared" si="0"/>
        <v>32</v>
      </c>
      <c r="D35" s="443" t="s">
        <v>1057</v>
      </c>
      <c r="E35" s="444" t="s">
        <v>1058</v>
      </c>
    </row>
    <row r="36" spans="2:5" x14ac:dyDescent="0.3">
      <c r="B36" s="182">
        <f t="shared" si="0"/>
        <v>33</v>
      </c>
      <c r="D36" s="443" t="s">
        <v>1062</v>
      </c>
      <c r="E36" s="444" t="s">
        <v>1063</v>
      </c>
    </row>
    <row r="37" spans="2:5" x14ac:dyDescent="0.3">
      <c r="B37" s="182">
        <f t="shared" si="0"/>
        <v>34</v>
      </c>
      <c r="D37" s="443" t="s">
        <v>1067</v>
      </c>
      <c r="E37" s="444" t="s">
        <v>1068</v>
      </c>
    </row>
    <row r="38" spans="2:5" x14ac:dyDescent="0.3">
      <c r="B38" s="182">
        <f t="shared" si="0"/>
        <v>35</v>
      </c>
      <c r="D38" s="443" t="s">
        <v>1073</v>
      </c>
      <c r="E38" s="444" t="s">
        <v>1074</v>
      </c>
    </row>
    <row r="39" spans="2:5" x14ac:dyDescent="0.3">
      <c r="B39" s="182">
        <f t="shared" si="0"/>
        <v>36</v>
      </c>
      <c r="D39" s="443" t="s">
        <v>1086</v>
      </c>
      <c r="E39" s="444" t="s">
        <v>1087</v>
      </c>
    </row>
    <row r="40" spans="2:5" x14ac:dyDescent="0.3">
      <c r="B40" s="182">
        <f t="shared" si="0"/>
        <v>37</v>
      </c>
      <c r="D40" s="443" t="s">
        <v>1108</v>
      </c>
      <c r="E40" s="444" t="s">
        <v>1109</v>
      </c>
    </row>
    <row r="41" spans="2:5" x14ac:dyDescent="0.3">
      <c r="B41" s="182">
        <f t="shared" si="0"/>
        <v>38</v>
      </c>
      <c r="D41" s="443" t="s">
        <v>1112</v>
      </c>
      <c r="E41" s="444" t="s">
        <v>1113</v>
      </c>
    </row>
    <row r="42" spans="2:5" x14ac:dyDescent="0.3">
      <c r="B42" s="182">
        <f t="shared" si="0"/>
        <v>39</v>
      </c>
      <c r="D42" s="443" t="s">
        <v>1117</v>
      </c>
      <c r="E42" s="444" t="s">
        <v>1118</v>
      </c>
    </row>
    <row r="43" spans="2:5" x14ac:dyDescent="0.3">
      <c r="B43" s="182">
        <f t="shared" si="0"/>
        <v>40</v>
      </c>
      <c r="D43" s="443" t="s">
        <v>1143</v>
      </c>
      <c r="E43" s="444" t="s">
        <v>1144</v>
      </c>
    </row>
    <row r="44" spans="2:5" x14ac:dyDescent="0.3">
      <c r="B44" s="182">
        <f t="shared" si="0"/>
        <v>41</v>
      </c>
      <c r="D44" s="443" t="s">
        <v>1148</v>
      </c>
      <c r="E44" s="444" t="s">
        <v>1149</v>
      </c>
    </row>
    <row r="45" spans="2:5" x14ac:dyDescent="0.3">
      <c r="B45" s="182">
        <f t="shared" si="0"/>
        <v>42</v>
      </c>
      <c r="D45" s="443" t="s">
        <v>1158</v>
      </c>
      <c r="E45" s="444" t="s">
        <v>1159</v>
      </c>
    </row>
    <row r="46" spans="2:5" x14ac:dyDescent="0.3">
      <c r="B46" s="182">
        <f t="shared" si="0"/>
        <v>43</v>
      </c>
      <c r="D46" s="443" t="s">
        <v>1166</v>
      </c>
      <c r="E46" s="445" t="s">
        <v>1167</v>
      </c>
    </row>
    <row r="47" spans="2:5" x14ac:dyDescent="0.3">
      <c r="B47" s="182">
        <f t="shared" si="0"/>
        <v>44</v>
      </c>
      <c r="D47" s="443" t="s">
        <v>1170</v>
      </c>
      <c r="E47" s="444" t="s">
        <v>1171</v>
      </c>
    </row>
    <row r="48" spans="2:5" x14ac:dyDescent="0.3">
      <c r="B48" s="182">
        <f t="shared" si="0"/>
        <v>45</v>
      </c>
      <c r="D48" s="443" t="s">
        <v>1239</v>
      </c>
      <c r="E48" s="444" t="s">
        <v>1240</v>
      </c>
    </row>
    <row r="49" spans="2:5" x14ac:dyDescent="0.3">
      <c r="B49" s="182">
        <f t="shared" si="0"/>
        <v>46</v>
      </c>
      <c r="D49" s="443" t="s">
        <v>1244</v>
      </c>
      <c r="E49" s="444" t="s">
        <v>1245</v>
      </c>
    </row>
    <row r="50" spans="2:5" x14ac:dyDescent="0.3">
      <c r="B50" s="182">
        <f t="shared" si="0"/>
        <v>47</v>
      </c>
      <c r="D50" s="443" t="s">
        <v>1248</v>
      </c>
      <c r="E50" s="444" t="s">
        <v>1249</v>
      </c>
    </row>
    <row r="51" spans="2:5" x14ac:dyDescent="0.3">
      <c r="B51" s="182">
        <f t="shared" si="0"/>
        <v>48</v>
      </c>
      <c r="D51" s="443" t="s">
        <v>1252</v>
      </c>
      <c r="E51" s="444" t="s">
        <v>1253</v>
      </c>
    </row>
    <row r="52" spans="2:5" x14ac:dyDescent="0.3">
      <c r="B52" s="182">
        <f t="shared" si="0"/>
        <v>49</v>
      </c>
      <c r="D52" s="443" t="s">
        <v>1258</v>
      </c>
      <c r="E52" s="444" t="s">
        <v>1259</v>
      </c>
    </row>
    <row r="53" spans="2:5" x14ac:dyDescent="0.3">
      <c r="B53" s="182">
        <f t="shared" si="0"/>
        <v>50</v>
      </c>
      <c r="D53" s="443" t="s">
        <v>1264</v>
      </c>
      <c r="E53" s="444" t="s">
        <v>1265</v>
      </c>
    </row>
    <row r="54" spans="2:5" x14ac:dyDescent="0.3">
      <c r="B54" s="182">
        <f t="shared" si="0"/>
        <v>51</v>
      </c>
      <c r="D54" s="443" t="s">
        <v>1268</v>
      </c>
      <c r="E54" s="444" t="s">
        <v>1269</v>
      </c>
    </row>
    <row r="55" spans="2:5" x14ac:dyDescent="0.3">
      <c r="B55" s="182">
        <f t="shared" si="0"/>
        <v>52</v>
      </c>
      <c r="D55" s="443" t="s">
        <v>1294</v>
      </c>
      <c r="E55" s="444" t="s">
        <v>1295</v>
      </c>
    </row>
    <row r="56" spans="2:5" x14ac:dyDescent="0.3">
      <c r="B56" s="182">
        <f t="shared" si="0"/>
        <v>53</v>
      </c>
      <c r="D56" s="443" t="s">
        <v>1321</v>
      </c>
      <c r="E56" s="444" t="s">
        <v>1322</v>
      </c>
    </row>
    <row r="57" spans="2:5" x14ac:dyDescent="0.3">
      <c r="B57" s="182">
        <f t="shared" si="0"/>
        <v>54</v>
      </c>
      <c r="D57" s="443" t="s">
        <v>1323</v>
      </c>
      <c r="E57" s="444" t="s">
        <v>1324</v>
      </c>
    </row>
    <row r="58" spans="2:5" x14ac:dyDescent="0.3">
      <c r="B58" s="182">
        <f t="shared" si="0"/>
        <v>55</v>
      </c>
      <c r="D58" s="443" t="s">
        <v>1334</v>
      </c>
      <c r="E58" s="444" t="s">
        <v>1333</v>
      </c>
    </row>
    <row r="59" spans="2:5" x14ac:dyDescent="0.3">
      <c r="B59" s="182">
        <f t="shared" si="0"/>
        <v>56</v>
      </c>
      <c r="D59" s="443" t="s">
        <v>1341</v>
      </c>
      <c r="E59" s="444" t="s">
        <v>1342</v>
      </c>
    </row>
    <row r="60" spans="2:5" x14ac:dyDescent="0.3">
      <c r="B60" s="182">
        <f t="shared" si="0"/>
        <v>57</v>
      </c>
      <c r="D60" s="443" t="s">
        <v>1347</v>
      </c>
      <c r="E60" s="444" t="s">
        <v>1348</v>
      </c>
    </row>
    <row r="61" spans="2:5" x14ac:dyDescent="0.3">
      <c r="B61" s="182">
        <f t="shared" si="0"/>
        <v>58</v>
      </c>
      <c r="D61" s="443" t="s">
        <v>1365</v>
      </c>
      <c r="E61" s="444" t="s">
        <v>1366</v>
      </c>
    </row>
    <row r="62" spans="2:5" x14ac:dyDescent="0.3">
      <c r="B62" s="182">
        <f t="shared" si="0"/>
        <v>59</v>
      </c>
      <c r="D62" s="443" t="s">
        <v>1373</v>
      </c>
      <c r="E62" s="444" t="s">
        <v>1374</v>
      </c>
    </row>
    <row r="63" spans="2:5" x14ac:dyDescent="0.3">
      <c r="B63" s="182">
        <f t="shared" si="0"/>
        <v>60</v>
      </c>
      <c r="D63" s="443" t="s">
        <v>1377</v>
      </c>
      <c r="E63" s="444" t="s">
        <v>1378</v>
      </c>
    </row>
    <row r="64" spans="2:5" x14ac:dyDescent="0.3">
      <c r="B64" s="182">
        <f t="shared" si="0"/>
        <v>61</v>
      </c>
      <c r="D64" s="443" t="s">
        <v>1383</v>
      </c>
      <c r="E64" s="444" t="s">
        <v>1384</v>
      </c>
    </row>
    <row r="65" spans="2:5" x14ac:dyDescent="0.3">
      <c r="B65" s="182">
        <f t="shared" si="0"/>
        <v>62</v>
      </c>
      <c r="D65" s="443" t="s">
        <v>1391</v>
      </c>
      <c r="E65" s="444" t="s">
        <v>1392</v>
      </c>
    </row>
    <row r="66" spans="2:5" x14ac:dyDescent="0.3">
      <c r="B66" s="182">
        <f t="shared" si="0"/>
        <v>63</v>
      </c>
      <c r="D66" s="443" t="s">
        <v>1394</v>
      </c>
      <c r="E66" s="444" t="s">
        <v>1395</v>
      </c>
    </row>
    <row r="67" spans="2:5" x14ac:dyDescent="0.3">
      <c r="B67" s="182">
        <f t="shared" si="0"/>
        <v>64</v>
      </c>
      <c r="D67" s="443" t="s">
        <v>1399</v>
      </c>
      <c r="E67" s="444" t="s">
        <v>1400</v>
      </c>
    </row>
    <row r="68" spans="2:5" x14ac:dyDescent="0.3">
      <c r="B68" s="182">
        <f t="shared" si="0"/>
        <v>65</v>
      </c>
      <c r="D68" s="443" t="s">
        <v>1404</v>
      </c>
      <c r="E68" s="444" t="s">
        <v>1403</v>
      </c>
    </row>
    <row r="69" spans="2:5" x14ac:dyDescent="0.3">
      <c r="B69" s="182">
        <f t="shared" si="0"/>
        <v>66</v>
      </c>
      <c r="D69" s="443" t="s">
        <v>1412</v>
      </c>
      <c r="E69" s="444" t="s">
        <v>1411</v>
      </c>
    </row>
    <row r="70" spans="2:5" x14ac:dyDescent="0.3">
      <c r="B70" s="182">
        <f t="shared" ref="B70:B133" si="1">B69+1</f>
        <v>67</v>
      </c>
      <c r="D70" s="443" t="s">
        <v>1415</v>
      </c>
      <c r="E70" s="444" t="s">
        <v>1418</v>
      </c>
    </row>
    <row r="71" spans="2:5" x14ac:dyDescent="0.3">
      <c r="B71" s="182">
        <f t="shared" si="1"/>
        <v>68</v>
      </c>
      <c r="D71" s="443" t="s">
        <v>1446</v>
      </c>
      <c r="E71" s="444" t="s">
        <v>1447</v>
      </c>
    </row>
    <row r="72" spans="2:5" x14ac:dyDescent="0.3">
      <c r="B72" s="182">
        <f t="shared" si="1"/>
        <v>69</v>
      </c>
      <c r="D72" s="443" t="s">
        <v>1464</v>
      </c>
      <c r="E72" s="444" t="s">
        <v>1465</v>
      </c>
    </row>
    <row r="73" spans="2:5" x14ac:dyDescent="0.3">
      <c r="B73" s="182">
        <f t="shared" si="1"/>
        <v>70</v>
      </c>
      <c r="D73" s="443" t="s">
        <v>1468</v>
      </c>
      <c r="E73" s="444" t="s">
        <v>1469</v>
      </c>
    </row>
    <row r="74" spans="2:5" x14ac:dyDescent="0.3">
      <c r="B74" s="182">
        <f t="shared" si="1"/>
        <v>71</v>
      </c>
      <c r="D74" s="443" t="s">
        <v>1472</v>
      </c>
      <c r="E74" s="444" t="s">
        <v>1473</v>
      </c>
    </row>
    <row r="75" spans="2:5" x14ac:dyDescent="0.3">
      <c r="B75" s="182">
        <f t="shared" si="1"/>
        <v>72</v>
      </c>
      <c r="D75" s="443" t="s">
        <v>1478</v>
      </c>
      <c r="E75" s="444" t="s">
        <v>1479</v>
      </c>
    </row>
    <row r="76" spans="2:5" x14ac:dyDescent="0.3">
      <c r="B76" s="182">
        <f t="shared" si="1"/>
        <v>73</v>
      </c>
      <c r="D76" s="443" t="s">
        <v>1492</v>
      </c>
      <c r="E76" s="444" t="s">
        <v>1491</v>
      </c>
    </row>
    <row r="77" spans="2:5" x14ac:dyDescent="0.3">
      <c r="B77" s="182">
        <f t="shared" si="1"/>
        <v>74</v>
      </c>
      <c r="D77" s="443" t="s">
        <v>1499</v>
      </c>
      <c r="E77" s="444" t="s">
        <v>1500</v>
      </c>
    </row>
    <row r="78" spans="2:5" x14ac:dyDescent="0.3">
      <c r="B78" s="182">
        <f t="shared" si="1"/>
        <v>75</v>
      </c>
      <c r="D78" s="443" t="s">
        <v>1510</v>
      </c>
      <c r="E78" s="444" t="s">
        <v>1511</v>
      </c>
    </row>
    <row r="79" spans="2:5" x14ac:dyDescent="0.3">
      <c r="B79" s="182">
        <f t="shared" si="1"/>
        <v>76</v>
      </c>
      <c r="D79" s="443" t="s">
        <v>1530</v>
      </c>
      <c r="E79" s="444" t="s">
        <v>1531</v>
      </c>
    </row>
    <row r="80" spans="2:5" x14ac:dyDescent="0.3">
      <c r="B80" s="182">
        <f t="shared" si="1"/>
        <v>77</v>
      </c>
      <c r="D80" s="443" t="s">
        <v>1535</v>
      </c>
      <c r="E80" s="444" t="s">
        <v>1536</v>
      </c>
    </row>
    <row r="81" spans="2:5" x14ac:dyDescent="0.3">
      <c r="B81" s="182">
        <f t="shared" si="1"/>
        <v>78</v>
      </c>
      <c r="D81" s="443" t="s">
        <v>1539</v>
      </c>
      <c r="E81" s="444" t="s">
        <v>1540</v>
      </c>
    </row>
    <row r="82" spans="2:5" x14ac:dyDescent="0.3">
      <c r="B82" s="182">
        <f t="shared" si="1"/>
        <v>79</v>
      </c>
      <c r="D82" s="443" t="s">
        <v>1553</v>
      </c>
      <c r="E82" s="444" t="s">
        <v>1554</v>
      </c>
    </row>
    <row r="83" spans="2:5" x14ac:dyDescent="0.3">
      <c r="B83" s="182">
        <f t="shared" si="1"/>
        <v>80</v>
      </c>
      <c r="D83" s="443" t="s">
        <v>1568</v>
      </c>
      <c r="E83" s="444" t="s">
        <v>1567</v>
      </c>
    </row>
    <row r="84" spans="2:5" x14ac:dyDescent="0.3">
      <c r="B84" s="182">
        <f t="shared" si="1"/>
        <v>81</v>
      </c>
      <c r="D84" s="443" t="s">
        <v>1572</v>
      </c>
      <c r="E84" s="444" t="s">
        <v>1571</v>
      </c>
    </row>
    <row r="85" spans="2:5" x14ac:dyDescent="0.3">
      <c r="B85" s="182">
        <f t="shared" si="1"/>
        <v>82</v>
      </c>
      <c r="D85" s="443" t="s">
        <v>1857</v>
      </c>
      <c r="E85" s="444" t="s">
        <v>1856</v>
      </c>
    </row>
    <row r="86" spans="2:5" x14ac:dyDescent="0.3">
      <c r="B86" s="182">
        <f t="shared" si="1"/>
        <v>83</v>
      </c>
      <c r="D86" s="443" t="s">
        <v>1937</v>
      </c>
      <c r="E86" s="444" t="s">
        <v>1938</v>
      </c>
    </row>
    <row r="87" spans="2:5" x14ac:dyDescent="0.3">
      <c r="B87" s="182">
        <f t="shared" si="1"/>
        <v>84</v>
      </c>
      <c r="D87" s="443" t="s">
        <v>1943</v>
      </c>
      <c r="E87" s="444" t="s">
        <v>1944</v>
      </c>
    </row>
    <row r="88" spans="2:5" x14ac:dyDescent="0.3">
      <c r="B88" s="182">
        <f t="shared" si="1"/>
        <v>85</v>
      </c>
      <c r="D88" s="443" t="s">
        <v>1953</v>
      </c>
      <c r="E88" s="444" t="s">
        <v>1954</v>
      </c>
    </row>
    <row r="89" spans="2:5" x14ac:dyDescent="0.3">
      <c r="B89" s="182">
        <f t="shared" si="1"/>
        <v>86</v>
      </c>
      <c r="D89" s="443" t="s">
        <v>3118</v>
      </c>
      <c r="E89" s="444" t="s">
        <v>3118</v>
      </c>
    </row>
    <row r="90" spans="2:5" x14ac:dyDescent="0.3">
      <c r="B90" s="182">
        <f t="shared" si="1"/>
        <v>87</v>
      </c>
      <c r="D90" s="443" t="s">
        <v>1967</v>
      </c>
      <c r="E90" s="444" t="s">
        <v>1968</v>
      </c>
    </row>
    <row r="91" spans="2:5" x14ac:dyDescent="0.3">
      <c r="B91" s="182">
        <f t="shared" si="1"/>
        <v>88</v>
      </c>
      <c r="D91" s="443" t="s">
        <v>1971</v>
      </c>
      <c r="E91" s="444" t="s">
        <v>1972</v>
      </c>
    </row>
    <row r="92" spans="2:5" x14ac:dyDescent="0.3">
      <c r="B92" s="182">
        <f t="shared" si="1"/>
        <v>89</v>
      </c>
      <c r="D92" s="443" t="s">
        <v>1975</v>
      </c>
      <c r="E92" s="444" t="s">
        <v>1976</v>
      </c>
    </row>
    <row r="93" spans="2:5" x14ac:dyDescent="0.3">
      <c r="B93" s="182">
        <f t="shared" si="1"/>
        <v>90</v>
      </c>
      <c r="D93" s="443" t="s">
        <v>1979</v>
      </c>
      <c r="E93" s="444" t="s">
        <v>1980</v>
      </c>
    </row>
    <row r="94" spans="2:5" x14ac:dyDescent="0.3">
      <c r="B94" s="182">
        <f t="shared" si="1"/>
        <v>91</v>
      </c>
      <c r="D94" s="443" t="s">
        <v>1983</v>
      </c>
      <c r="E94" s="444" t="s">
        <v>1984</v>
      </c>
    </row>
    <row r="95" spans="2:5" x14ac:dyDescent="0.3">
      <c r="B95" s="182">
        <f t="shared" si="1"/>
        <v>92</v>
      </c>
      <c r="D95" s="443" t="s">
        <v>2032</v>
      </c>
      <c r="E95" s="444" t="s">
        <v>2033</v>
      </c>
    </row>
    <row r="96" spans="2:5" x14ac:dyDescent="0.3">
      <c r="B96" s="182">
        <f t="shared" si="1"/>
        <v>93</v>
      </c>
      <c r="D96" s="443" t="s">
        <v>2044</v>
      </c>
      <c r="E96" s="444" t="s">
        <v>2043</v>
      </c>
    </row>
    <row r="97" spans="2:5" x14ac:dyDescent="0.3">
      <c r="B97" s="182">
        <f t="shared" si="1"/>
        <v>94</v>
      </c>
      <c r="D97" s="443" t="s">
        <v>2047</v>
      </c>
      <c r="E97" s="444" t="s">
        <v>2048</v>
      </c>
    </row>
    <row r="98" spans="2:5" x14ac:dyDescent="0.3">
      <c r="B98" s="182">
        <f t="shared" si="1"/>
        <v>95</v>
      </c>
      <c r="D98" s="443" t="s">
        <v>2055</v>
      </c>
      <c r="E98" s="444" t="s">
        <v>2056</v>
      </c>
    </row>
    <row r="99" spans="2:5" x14ac:dyDescent="0.3">
      <c r="B99" s="182">
        <f t="shared" si="1"/>
        <v>96</v>
      </c>
      <c r="D99" s="443" t="s">
        <v>2077</v>
      </c>
      <c r="E99" s="444" t="s">
        <v>2078</v>
      </c>
    </row>
    <row r="100" spans="2:5" x14ac:dyDescent="0.3">
      <c r="B100" s="182">
        <f t="shared" si="1"/>
        <v>97</v>
      </c>
      <c r="D100" s="443" t="s">
        <v>2081</v>
      </c>
      <c r="E100" s="444" t="s">
        <v>2082</v>
      </c>
    </row>
    <row r="101" spans="2:5" x14ac:dyDescent="0.3">
      <c r="B101" s="182">
        <f t="shared" si="1"/>
        <v>98</v>
      </c>
      <c r="D101" s="443" t="s">
        <v>2088</v>
      </c>
      <c r="E101" s="444" t="s">
        <v>2087</v>
      </c>
    </row>
    <row r="102" spans="2:5" x14ac:dyDescent="0.3">
      <c r="B102" s="182">
        <f t="shared" si="1"/>
        <v>99</v>
      </c>
      <c r="D102" s="443" t="s">
        <v>2092</v>
      </c>
      <c r="E102" s="444" t="s">
        <v>2093</v>
      </c>
    </row>
    <row r="103" spans="2:5" x14ac:dyDescent="0.3">
      <c r="B103" s="182">
        <f t="shared" si="1"/>
        <v>100</v>
      </c>
      <c r="D103" s="443" t="s">
        <v>2913</v>
      </c>
      <c r="E103" s="444" t="s">
        <v>2914</v>
      </c>
    </row>
    <row r="104" spans="2:5" x14ac:dyDescent="0.3">
      <c r="B104" s="182">
        <f t="shared" si="1"/>
        <v>101</v>
      </c>
      <c r="D104" s="443" t="s">
        <v>2923</v>
      </c>
      <c r="E104" s="444" t="s">
        <v>2924</v>
      </c>
    </row>
    <row r="105" spans="2:5" x14ac:dyDescent="0.3">
      <c r="B105" s="182">
        <f t="shared" si="1"/>
        <v>102</v>
      </c>
      <c r="D105" s="443" t="s">
        <v>2932</v>
      </c>
      <c r="E105" s="444" t="s">
        <v>2933</v>
      </c>
    </row>
    <row r="106" spans="2:5" x14ac:dyDescent="0.3">
      <c r="B106" s="182">
        <f t="shared" si="1"/>
        <v>103</v>
      </c>
      <c r="D106" s="443" t="s">
        <v>2938</v>
      </c>
      <c r="E106" s="444" t="s">
        <v>2939</v>
      </c>
    </row>
    <row r="107" spans="2:5" x14ac:dyDescent="0.3">
      <c r="B107" s="182">
        <f t="shared" si="1"/>
        <v>104</v>
      </c>
      <c r="D107" s="443" t="s">
        <v>2956</v>
      </c>
      <c r="E107" s="444" t="s">
        <v>2957</v>
      </c>
    </row>
    <row r="108" spans="2:5" x14ac:dyDescent="0.3">
      <c r="B108" s="182">
        <f t="shared" si="1"/>
        <v>105</v>
      </c>
      <c r="D108" s="443" t="s">
        <v>2964</v>
      </c>
      <c r="E108" s="444" t="s">
        <v>2963</v>
      </c>
    </row>
    <row r="109" spans="2:5" x14ac:dyDescent="0.3">
      <c r="B109" s="182">
        <f t="shared" si="1"/>
        <v>106</v>
      </c>
      <c r="D109" s="443" t="s">
        <v>2971</v>
      </c>
      <c r="E109" s="444" t="s">
        <v>2972</v>
      </c>
    </row>
    <row r="110" spans="2:5" x14ac:dyDescent="0.3">
      <c r="B110" s="182">
        <f t="shared" si="1"/>
        <v>107</v>
      </c>
      <c r="D110" s="443" t="s">
        <v>2975</v>
      </c>
      <c r="E110" s="444" t="s">
        <v>2976</v>
      </c>
    </row>
    <row r="111" spans="2:5" x14ac:dyDescent="0.3">
      <c r="B111" s="182">
        <f t="shared" si="1"/>
        <v>108</v>
      </c>
      <c r="D111" s="443" t="s">
        <v>2980</v>
      </c>
      <c r="E111" s="444" t="s">
        <v>2981</v>
      </c>
    </row>
    <row r="112" spans="2:5" x14ac:dyDescent="0.3">
      <c r="B112" s="182">
        <f t="shared" si="1"/>
        <v>109</v>
      </c>
      <c r="D112" s="443" t="s">
        <v>2985</v>
      </c>
      <c r="E112" s="444" t="s">
        <v>2986</v>
      </c>
    </row>
    <row r="113" spans="2:5" x14ac:dyDescent="0.3">
      <c r="B113" s="182">
        <f t="shared" si="1"/>
        <v>110</v>
      </c>
      <c r="D113" s="443" t="s">
        <v>2996</v>
      </c>
      <c r="E113" s="444" t="s">
        <v>2997</v>
      </c>
    </row>
    <row r="114" spans="2:5" x14ac:dyDescent="0.3">
      <c r="B114" s="182">
        <f t="shared" si="1"/>
        <v>111</v>
      </c>
      <c r="D114" s="443" t="s">
        <v>3002</v>
      </c>
      <c r="E114" s="444" t="s">
        <v>3003</v>
      </c>
    </row>
    <row r="115" spans="2:5" x14ac:dyDescent="0.3">
      <c r="B115" s="182">
        <f t="shared" si="1"/>
        <v>112</v>
      </c>
      <c r="D115" s="443" t="s">
        <v>3006</v>
      </c>
      <c r="E115" s="444" t="s">
        <v>3007</v>
      </c>
    </row>
    <row r="116" spans="2:5" x14ac:dyDescent="0.3">
      <c r="B116" s="182">
        <f t="shared" si="1"/>
        <v>113</v>
      </c>
      <c r="D116" s="443" t="s">
        <v>3024</v>
      </c>
      <c r="E116" s="444" t="s">
        <v>3025</v>
      </c>
    </row>
    <row r="117" spans="2:5" x14ac:dyDescent="0.3">
      <c r="B117" s="182">
        <f t="shared" si="1"/>
        <v>114</v>
      </c>
      <c r="D117" s="443" t="s">
        <v>3078</v>
      </c>
      <c r="E117" s="444" t="s">
        <v>3100</v>
      </c>
    </row>
    <row r="118" spans="2:5" x14ac:dyDescent="0.3">
      <c r="B118" s="182">
        <f t="shared" si="1"/>
        <v>115</v>
      </c>
      <c r="D118" s="443" t="s">
        <v>3079</v>
      </c>
      <c r="E118" s="444" t="s">
        <v>3101</v>
      </c>
    </row>
    <row r="119" spans="2:5" x14ac:dyDescent="0.3">
      <c r="B119" s="182">
        <f t="shared" si="1"/>
        <v>116</v>
      </c>
      <c r="D119" s="443" t="s">
        <v>3080</v>
      </c>
      <c r="E119" s="444" t="s">
        <v>3102</v>
      </c>
    </row>
    <row r="120" spans="2:5" x14ac:dyDescent="0.3">
      <c r="B120" s="182">
        <f t="shared" si="1"/>
        <v>117</v>
      </c>
      <c r="D120" s="443" t="s">
        <v>3081</v>
      </c>
      <c r="E120" s="444" t="s">
        <v>3108</v>
      </c>
    </row>
    <row r="121" spans="2:5" x14ac:dyDescent="0.3">
      <c r="B121" s="182">
        <f t="shared" si="1"/>
        <v>118</v>
      </c>
      <c r="D121" s="443" t="s">
        <v>3082</v>
      </c>
      <c r="E121" s="444" t="s">
        <v>3109</v>
      </c>
    </row>
    <row r="122" spans="2:5" x14ac:dyDescent="0.3">
      <c r="B122" s="182">
        <f t="shared" si="1"/>
        <v>119</v>
      </c>
      <c r="D122" s="443" t="s">
        <v>3083</v>
      </c>
      <c r="E122" s="444" t="s">
        <v>3110</v>
      </c>
    </row>
    <row r="123" spans="2:5" x14ac:dyDescent="0.3">
      <c r="B123" s="182">
        <f t="shared" si="1"/>
        <v>120</v>
      </c>
      <c r="D123" s="443" t="s">
        <v>3084</v>
      </c>
      <c r="E123" s="444" t="s">
        <v>3111</v>
      </c>
    </row>
    <row r="124" spans="2:5" x14ac:dyDescent="0.3">
      <c r="B124" s="182">
        <f t="shared" si="1"/>
        <v>121</v>
      </c>
      <c r="D124" s="443" t="s">
        <v>3113</v>
      </c>
      <c r="E124" s="444" t="s">
        <v>3113</v>
      </c>
    </row>
    <row r="125" spans="2:5" x14ac:dyDescent="0.3">
      <c r="B125" s="182">
        <f t="shared" si="1"/>
        <v>122</v>
      </c>
      <c r="D125" s="443" t="s">
        <v>3114</v>
      </c>
      <c r="E125" s="444" t="s">
        <v>3114</v>
      </c>
    </row>
    <row r="126" spans="2:5" x14ac:dyDescent="0.3">
      <c r="B126" s="182">
        <f t="shared" si="1"/>
        <v>123</v>
      </c>
      <c r="D126" s="443" t="s">
        <v>3115</v>
      </c>
      <c r="E126" s="444" t="s">
        <v>3115</v>
      </c>
    </row>
    <row r="127" spans="2:5" x14ac:dyDescent="0.3">
      <c r="B127" s="182">
        <f t="shared" si="1"/>
        <v>124</v>
      </c>
      <c r="D127" s="443" t="s">
        <v>3119</v>
      </c>
      <c r="E127" s="444" t="s">
        <v>3119</v>
      </c>
    </row>
    <row r="128" spans="2:5" x14ac:dyDescent="0.3">
      <c r="B128" s="182">
        <f t="shared" si="1"/>
        <v>125</v>
      </c>
      <c r="D128" s="443" t="s">
        <v>3225</v>
      </c>
      <c r="E128" s="444" t="s">
        <v>3225</v>
      </c>
    </row>
    <row r="129" spans="2:5" x14ac:dyDescent="0.3">
      <c r="B129" s="182">
        <f t="shared" si="1"/>
        <v>126</v>
      </c>
      <c r="D129" s="443" t="s">
        <v>3257</v>
      </c>
      <c r="E129" s="444" t="s">
        <v>3258</v>
      </c>
    </row>
    <row r="130" spans="2:5" x14ac:dyDescent="0.3">
      <c r="B130" s="182">
        <f t="shared" si="1"/>
        <v>127</v>
      </c>
      <c r="D130" s="443" t="s">
        <v>3263</v>
      </c>
      <c r="E130" s="444" t="s">
        <v>3264</v>
      </c>
    </row>
    <row r="131" spans="2:5" x14ac:dyDescent="0.3">
      <c r="B131" s="182">
        <f t="shared" si="1"/>
        <v>128</v>
      </c>
      <c r="D131" s="443" t="s">
        <v>3279</v>
      </c>
      <c r="E131" s="444" t="s">
        <v>3546</v>
      </c>
    </row>
    <row r="132" spans="2:5" x14ac:dyDescent="0.3">
      <c r="B132" s="182">
        <f t="shared" si="1"/>
        <v>129</v>
      </c>
      <c r="D132" s="443" t="s">
        <v>3284</v>
      </c>
      <c r="E132" s="444" t="s">
        <v>3285</v>
      </c>
    </row>
    <row r="133" spans="2:5" x14ac:dyDescent="0.3">
      <c r="B133" s="182">
        <f t="shared" si="1"/>
        <v>130</v>
      </c>
      <c r="D133" s="443" t="s">
        <v>3288</v>
      </c>
      <c r="E133" s="444" t="s">
        <v>3289</v>
      </c>
    </row>
    <row r="134" spans="2:5" x14ac:dyDescent="0.3">
      <c r="B134" s="182">
        <f t="shared" ref="B134:B296" si="2">B133+1</f>
        <v>131</v>
      </c>
      <c r="D134" s="443" t="s">
        <v>3291</v>
      </c>
      <c r="E134" s="444" t="s">
        <v>3292</v>
      </c>
    </row>
    <row r="135" spans="2:5" x14ac:dyDescent="0.3">
      <c r="B135" s="182">
        <f t="shared" si="2"/>
        <v>132</v>
      </c>
      <c r="D135" s="443" t="s">
        <v>3294</v>
      </c>
      <c r="E135" s="444" t="s">
        <v>3295</v>
      </c>
    </row>
    <row r="136" spans="2:5" x14ac:dyDescent="0.3">
      <c r="B136" s="182">
        <f t="shared" si="2"/>
        <v>133</v>
      </c>
      <c r="D136" s="443" t="s">
        <v>3315</v>
      </c>
      <c r="E136" s="444" t="s">
        <v>3316</v>
      </c>
    </row>
    <row r="137" spans="2:5" x14ac:dyDescent="0.3">
      <c r="B137" s="182">
        <f t="shared" si="2"/>
        <v>134</v>
      </c>
      <c r="D137" s="443" t="s">
        <v>3351</v>
      </c>
      <c r="E137" s="444" t="s">
        <v>3352</v>
      </c>
    </row>
    <row r="138" spans="2:5" x14ac:dyDescent="0.3">
      <c r="B138" s="182">
        <f t="shared" si="2"/>
        <v>135</v>
      </c>
      <c r="D138" s="443" t="s">
        <v>3359</v>
      </c>
      <c r="E138" s="444" t="s">
        <v>3360</v>
      </c>
    </row>
    <row r="139" spans="2:5" x14ac:dyDescent="0.3">
      <c r="B139" s="182">
        <f t="shared" si="2"/>
        <v>136</v>
      </c>
      <c r="D139" s="443" t="s">
        <v>3363</v>
      </c>
      <c r="E139" s="444" t="s">
        <v>3364</v>
      </c>
    </row>
    <row r="140" spans="2:5" x14ac:dyDescent="0.3">
      <c r="B140" s="182">
        <f t="shared" si="2"/>
        <v>137</v>
      </c>
      <c r="D140" s="443" t="s">
        <v>3410</v>
      </c>
      <c r="E140" s="444" t="s">
        <v>3411</v>
      </c>
    </row>
    <row r="141" spans="2:5" x14ac:dyDescent="0.3">
      <c r="B141" s="182">
        <f t="shared" si="2"/>
        <v>138</v>
      </c>
      <c r="D141" s="443" t="s">
        <v>3417</v>
      </c>
      <c r="E141" s="444" t="s">
        <v>3418</v>
      </c>
    </row>
    <row r="142" spans="2:5" x14ac:dyDescent="0.3">
      <c r="B142" s="182">
        <f t="shared" si="2"/>
        <v>139</v>
      </c>
      <c r="D142" s="443" t="s">
        <v>3431</v>
      </c>
      <c r="E142" s="444" t="s">
        <v>3432</v>
      </c>
    </row>
    <row r="143" spans="2:5" x14ac:dyDescent="0.3">
      <c r="B143" s="182">
        <f t="shared" si="2"/>
        <v>140</v>
      </c>
      <c r="D143" s="443" t="s">
        <v>3438</v>
      </c>
      <c r="E143" s="444" t="s">
        <v>3439</v>
      </c>
    </row>
    <row r="144" spans="2:5" x14ac:dyDescent="0.3">
      <c r="B144" s="182">
        <f t="shared" si="2"/>
        <v>141</v>
      </c>
      <c r="D144" s="443" t="s">
        <v>3442</v>
      </c>
      <c r="E144" s="444" t="s">
        <v>3443</v>
      </c>
    </row>
    <row r="145" spans="2:5" x14ac:dyDescent="0.3">
      <c r="B145" s="182">
        <f t="shared" si="2"/>
        <v>142</v>
      </c>
      <c r="D145" s="443" t="s">
        <v>3450</v>
      </c>
      <c r="E145" s="444" t="s">
        <v>3451</v>
      </c>
    </row>
    <row r="146" spans="2:5" x14ac:dyDescent="0.3">
      <c r="B146" s="182">
        <f t="shared" si="2"/>
        <v>143</v>
      </c>
      <c r="D146" s="443" t="s">
        <v>3466</v>
      </c>
      <c r="E146" s="444" t="s">
        <v>3467</v>
      </c>
    </row>
    <row r="147" spans="2:5" x14ac:dyDescent="0.3">
      <c r="B147" s="182">
        <f t="shared" si="2"/>
        <v>144</v>
      </c>
      <c r="D147" s="443" t="s">
        <v>3501</v>
      </c>
      <c r="E147" s="444" t="s">
        <v>3502</v>
      </c>
    </row>
    <row r="148" spans="2:5" x14ac:dyDescent="0.3">
      <c r="B148" s="182">
        <f t="shared" si="2"/>
        <v>145</v>
      </c>
      <c r="D148" s="443" t="s">
        <v>3509</v>
      </c>
      <c r="E148" s="444" t="s">
        <v>3510</v>
      </c>
    </row>
    <row r="149" spans="2:5" x14ac:dyDescent="0.3">
      <c r="B149" s="182">
        <f t="shared" si="2"/>
        <v>146</v>
      </c>
      <c r="D149" s="443" t="s">
        <v>3515</v>
      </c>
      <c r="E149" s="444" t="s">
        <v>3516</v>
      </c>
    </row>
    <row r="150" spans="2:5" x14ac:dyDescent="0.3">
      <c r="B150" s="182">
        <f t="shared" si="2"/>
        <v>147</v>
      </c>
      <c r="D150" s="443" t="s">
        <v>3519</v>
      </c>
      <c r="E150" s="444" t="s">
        <v>3520</v>
      </c>
    </row>
    <row r="151" spans="2:5" x14ac:dyDescent="0.3">
      <c r="B151" s="182">
        <f t="shared" si="2"/>
        <v>148</v>
      </c>
      <c r="D151" s="443" t="s">
        <v>3527</v>
      </c>
      <c r="E151" s="444" t="s">
        <v>3528</v>
      </c>
    </row>
    <row r="152" spans="2:5" x14ac:dyDescent="0.3">
      <c r="B152" s="182">
        <f t="shared" si="2"/>
        <v>149</v>
      </c>
      <c r="D152" s="443" t="s">
        <v>3533</v>
      </c>
      <c r="E152" s="444" t="s">
        <v>3534</v>
      </c>
    </row>
    <row r="153" spans="2:5" x14ac:dyDescent="0.3">
      <c r="B153" s="182">
        <f t="shared" si="2"/>
        <v>150</v>
      </c>
      <c r="D153" s="443" t="s">
        <v>3540</v>
      </c>
      <c r="E153" s="444" t="s">
        <v>3541</v>
      </c>
    </row>
    <row r="154" spans="2:5" x14ac:dyDescent="0.3">
      <c r="B154" s="182">
        <f t="shared" si="2"/>
        <v>151</v>
      </c>
      <c r="D154" s="443" t="s">
        <v>3561</v>
      </c>
      <c r="E154" s="444" t="s">
        <v>3562</v>
      </c>
    </row>
    <row r="155" spans="2:5" x14ac:dyDescent="0.3">
      <c r="B155" s="182">
        <f t="shared" si="2"/>
        <v>152</v>
      </c>
      <c r="D155" s="443" t="s">
        <v>3573</v>
      </c>
      <c r="E155" s="444" t="s">
        <v>3574</v>
      </c>
    </row>
    <row r="156" spans="2:5" x14ac:dyDescent="0.3">
      <c r="B156" s="182">
        <f t="shared" si="2"/>
        <v>153</v>
      </c>
      <c r="D156" s="443" t="s">
        <v>3592</v>
      </c>
      <c r="E156" s="444" t="s">
        <v>3593</v>
      </c>
    </row>
    <row r="157" spans="2:5" x14ac:dyDescent="0.3">
      <c r="B157" s="182">
        <f t="shared" si="2"/>
        <v>154</v>
      </c>
      <c r="D157" s="443" t="s">
        <v>3597</v>
      </c>
      <c r="E157" s="444" t="s">
        <v>3598</v>
      </c>
    </row>
    <row r="158" spans="2:5" x14ac:dyDescent="0.3">
      <c r="B158" s="182">
        <f t="shared" si="2"/>
        <v>155</v>
      </c>
      <c r="D158" s="443" t="s">
        <v>3601</v>
      </c>
      <c r="E158" s="444" t="s">
        <v>3602</v>
      </c>
    </row>
    <row r="159" spans="2:5" x14ac:dyDescent="0.3">
      <c r="B159" s="182">
        <f t="shared" si="2"/>
        <v>156</v>
      </c>
      <c r="D159" s="443" t="s">
        <v>3605</v>
      </c>
      <c r="E159" s="444" t="s">
        <v>3606</v>
      </c>
    </row>
    <row r="160" spans="2:5" x14ac:dyDescent="0.3">
      <c r="B160" s="182">
        <f t="shared" si="2"/>
        <v>157</v>
      </c>
      <c r="D160" s="443" t="s">
        <v>3634</v>
      </c>
      <c r="E160" s="444" t="s">
        <v>3635</v>
      </c>
    </row>
    <row r="161" spans="2:5" x14ac:dyDescent="0.3">
      <c r="B161" s="182">
        <f t="shared" si="2"/>
        <v>158</v>
      </c>
      <c r="D161" s="443" t="s">
        <v>3640</v>
      </c>
      <c r="E161" s="444" t="s">
        <v>3641</v>
      </c>
    </row>
    <row r="162" spans="2:5" x14ac:dyDescent="0.3">
      <c r="B162" s="182">
        <f t="shared" si="2"/>
        <v>159</v>
      </c>
      <c r="D162" s="443" t="s">
        <v>3645</v>
      </c>
      <c r="E162" s="444" t="s">
        <v>3646</v>
      </c>
    </row>
    <row r="163" spans="2:5" x14ac:dyDescent="0.3">
      <c r="B163" s="182">
        <f t="shared" si="2"/>
        <v>160</v>
      </c>
      <c r="D163" s="443" t="s">
        <v>3653</v>
      </c>
      <c r="E163" s="444" t="s">
        <v>3654</v>
      </c>
    </row>
    <row r="164" spans="2:5" x14ac:dyDescent="0.3">
      <c r="B164" s="182">
        <f t="shared" si="2"/>
        <v>161</v>
      </c>
      <c r="D164" s="443" t="s">
        <v>3664</v>
      </c>
      <c r="E164" s="444" t="s">
        <v>3665</v>
      </c>
    </row>
    <row r="165" spans="2:5" x14ac:dyDescent="0.3">
      <c r="B165" s="182">
        <f t="shared" si="2"/>
        <v>162</v>
      </c>
      <c r="D165" s="443" t="s">
        <v>3668</v>
      </c>
      <c r="E165" s="444" t="s">
        <v>3669</v>
      </c>
    </row>
    <row r="166" spans="2:5" x14ac:dyDescent="0.3">
      <c r="B166" s="182">
        <f t="shared" si="2"/>
        <v>163</v>
      </c>
      <c r="D166" s="443" t="s">
        <v>3677</v>
      </c>
      <c r="E166" s="444" t="s">
        <v>3678</v>
      </c>
    </row>
    <row r="167" spans="2:5" x14ac:dyDescent="0.3">
      <c r="B167" s="182">
        <f t="shared" si="2"/>
        <v>164</v>
      </c>
      <c r="D167" s="443" t="s">
        <v>3684</v>
      </c>
      <c r="E167" s="444" t="s">
        <v>3685</v>
      </c>
    </row>
    <row r="168" spans="2:5" x14ac:dyDescent="0.3">
      <c r="B168" s="182">
        <f t="shared" si="2"/>
        <v>165</v>
      </c>
      <c r="D168" s="443" t="s">
        <v>3693</v>
      </c>
      <c r="E168" s="444" t="s">
        <v>3694</v>
      </c>
    </row>
    <row r="169" spans="2:5" x14ac:dyDescent="0.3">
      <c r="B169" s="182">
        <f t="shared" si="2"/>
        <v>166</v>
      </c>
      <c r="D169" s="443" t="s">
        <v>3699</v>
      </c>
      <c r="E169" s="444" t="s">
        <v>3700</v>
      </c>
    </row>
    <row r="170" spans="2:5" x14ac:dyDescent="0.3">
      <c r="B170" s="182">
        <f t="shared" si="2"/>
        <v>167</v>
      </c>
      <c r="D170" s="443" t="s">
        <v>3724</v>
      </c>
      <c r="E170" s="444" t="s">
        <v>3725</v>
      </c>
    </row>
    <row r="171" spans="2:5" x14ac:dyDescent="0.3">
      <c r="B171" s="182">
        <f t="shared" si="2"/>
        <v>168</v>
      </c>
      <c r="D171" s="443" t="s">
        <v>3731</v>
      </c>
      <c r="E171" s="444" t="s">
        <v>4753</v>
      </c>
    </row>
    <row r="172" spans="2:5" x14ac:dyDescent="0.3">
      <c r="B172" s="182">
        <f t="shared" si="2"/>
        <v>169</v>
      </c>
      <c r="D172" s="443" t="s">
        <v>3734</v>
      </c>
      <c r="E172" s="444" t="s">
        <v>3735</v>
      </c>
    </row>
    <row r="173" spans="2:5" x14ac:dyDescent="0.3">
      <c r="B173" s="182">
        <f t="shared" si="2"/>
        <v>170</v>
      </c>
      <c r="D173" s="443" t="s">
        <v>3762</v>
      </c>
      <c r="E173" s="444" t="s">
        <v>3763</v>
      </c>
    </row>
    <row r="174" spans="2:5" x14ac:dyDescent="0.3">
      <c r="B174" s="182">
        <f t="shared" si="2"/>
        <v>171</v>
      </c>
      <c r="D174" s="443" t="s">
        <v>3767</v>
      </c>
      <c r="E174" s="444" t="s">
        <v>3768</v>
      </c>
    </row>
    <row r="175" spans="2:5" x14ac:dyDescent="0.3">
      <c r="B175" s="182">
        <f t="shared" si="2"/>
        <v>172</v>
      </c>
      <c r="D175" s="443" t="s">
        <v>3771</v>
      </c>
      <c r="E175" s="444" t="s">
        <v>3772</v>
      </c>
    </row>
    <row r="176" spans="2:5" x14ac:dyDescent="0.3">
      <c r="B176" s="182">
        <f t="shared" si="2"/>
        <v>173</v>
      </c>
      <c r="D176" s="443" t="s">
        <v>3782</v>
      </c>
      <c r="E176" s="444" t="s">
        <v>3783</v>
      </c>
    </row>
    <row r="177" spans="2:5" x14ac:dyDescent="0.3">
      <c r="B177" s="182">
        <f t="shared" si="2"/>
        <v>174</v>
      </c>
      <c r="D177" s="443" t="s">
        <v>3838</v>
      </c>
      <c r="E177" s="444" t="s">
        <v>3837</v>
      </c>
    </row>
    <row r="178" spans="2:5" x14ac:dyDescent="0.3">
      <c r="B178" s="182">
        <f t="shared" si="2"/>
        <v>175</v>
      </c>
      <c r="D178" s="443" t="s">
        <v>3845</v>
      </c>
      <c r="E178" s="444" t="s">
        <v>3846</v>
      </c>
    </row>
    <row r="179" spans="2:5" x14ac:dyDescent="0.3">
      <c r="B179" s="182">
        <f t="shared" si="2"/>
        <v>176</v>
      </c>
      <c r="D179" s="443" t="s">
        <v>3869</v>
      </c>
      <c r="E179" s="444" t="s">
        <v>3870</v>
      </c>
    </row>
    <row r="180" spans="2:5" x14ac:dyDescent="0.3">
      <c r="B180" s="182">
        <f t="shared" si="2"/>
        <v>177</v>
      </c>
      <c r="D180" s="443" t="s">
        <v>3881</v>
      </c>
      <c r="E180" s="444" t="s">
        <v>3882</v>
      </c>
    </row>
    <row r="181" spans="2:5" x14ac:dyDescent="0.3">
      <c r="B181" s="182">
        <f t="shared" si="2"/>
        <v>178</v>
      </c>
      <c r="D181" s="443" t="s">
        <v>3894</v>
      </c>
      <c r="E181" s="444" t="s">
        <v>3895</v>
      </c>
    </row>
    <row r="182" spans="2:5" x14ac:dyDescent="0.3">
      <c r="B182" s="182">
        <f t="shared" si="2"/>
        <v>179</v>
      </c>
      <c r="D182" s="443" t="s">
        <v>3915</v>
      </c>
      <c r="E182" s="444" t="s">
        <v>3916</v>
      </c>
    </row>
    <row r="183" spans="2:5" x14ac:dyDescent="0.3">
      <c r="B183" s="182">
        <f t="shared" si="2"/>
        <v>180</v>
      </c>
      <c r="D183" s="443" t="s">
        <v>3920</v>
      </c>
      <c r="E183" s="444" t="s">
        <v>3921</v>
      </c>
    </row>
    <row r="184" spans="2:5" x14ac:dyDescent="0.3">
      <c r="B184" s="182">
        <f t="shared" si="2"/>
        <v>181</v>
      </c>
      <c r="D184" s="443" t="s">
        <v>3931</v>
      </c>
      <c r="E184" s="444" t="s">
        <v>3932</v>
      </c>
    </row>
    <row r="185" spans="2:5" x14ac:dyDescent="0.3">
      <c r="B185" s="182">
        <f t="shared" si="2"/>
        <v>182</v>
      </c>
      <c r="D185" s="443" t="s">
        <v>3937</v>
      </c>
      <c r="E185" s="444" t="s">
        <v>3938</v>
      </c>
    </row>
    <row r="186" spans="2:5" x14ac:dyDescent="0.3">
      <c r="B186" s="182">
        <f t="shared" si="2"/>
        <v>183</v>
      </c>
      <c r="D186" s="443" t="s">
        <v>3942</v>
      </c>
      <c r="E186" s="444" t="s">
        <v>3943</v>
      </c>
    </row>
    <row r="187" spans="2:5" x14ac:dyDescent="0.3">
      <c r="B187" s="182">
        <f t="shared" si="2"/>
        <v>184</v>
      </c>
      <c r="D187" s="443" t="s">
        <v>3948</v>
      </c>
      <c r="E187" s="445" t="s">
        <v>3949</v>
      </c>
    </row>
    <row r="188" spans="2:5" x14ac:dyDescent="0.3">
      <c r="B188" s="182">
        <f t="shared" si="2"/>
        <v>185</v>
      </c>
      <c r="D188" s="443" t="s">
        <v>3957</v>
      </c>
      <c r="E188" s="444" t="s">
        <v>3958</v>
      </c>
    </row>
    <row r="189" spans="2:5" x14ac:dyDescent="0.3">
      <c r="B189" s="182">
        <f t="shared" si="2"/>
        <v>186</v>
      </c>
      <c r="D189" s="443" t="s">
        <v>3977</v>
      </c>
      <c r="E189" s="444" t="s">
        <v>3978</v>
      </c>
    </row>
    <row r="190" spans="2:5" x14ac:dyDescent="0.3">
      <c r="B190" s="182">
        <f t="shared" si="2"/>
        <v>187</v>
      </c>
      <c r="D190" s="443" t="s">
        <v>3982</v>
      </c>
      <c r="E190" s="444" t="s">
        <v>3983</v>
      </c>
    </row>
    <row r="191" spans="2:5" x14ac:dyDescent="0.3">
      <c r="B191" s="182">
        <f t="shared" si="2"/>
        <v>188</v>
      </c>
      <c r="D191" s="872" t="s">
        <v>3988</v>
      </c>
      <c r="E191" s="444" t="s">
        <v>3989</v>
      </c>
    </row>
    <row r="192" spans="2:5" x14ac:dyDescent="0.3">
      <c r="B192" s="182">
        <f t="shared" si="2"/>
        <v>189</v>
      </c>
      <c r="D192" s="443" t="s">
        <v>4003</v>
      </c>
      <c r="E192" s="444" t="s">
        <v>4004</v>
      </c>
    </row>
    <row r="193" spans="2:5" x14ac:dyDescent="0.3">
      <c r="B193" s="182">
        <f t="shared" si="2"/>
        <v>190</v>
      </c>
      <c r="D193" s="443" t="s">
        <v>4033</v>
      </c>
      <c r="E193" s="444" t="s">
        <v>4032</v>
      </c>
    </row>
    <row r="194" spans="2:5" x14ac:dyDescent="0.3">
      <c r="B194" s="182">
        <f t="shared" si="2"/>
        <v>191</v>
      </c>
      <c r="D194" s="443" t="s">
        <v>4038</v>
      </c>
      <c r="E194" s="444" t="s">
        <v>4039</v>
      </c>
    </row>
    <row r="195" spans="2:5" x14ac:dyDescent="0.3">
      <c r="B195" s="182">
        <f t="shared" si="2"/>
        <v>192</v>
      </c>
      <c r="D195" s="443" t="s">
        <v>4087</v>
      </c>
      <c r="E195" s="444" t="s">
        <v>4086</v>
      </c>
    </row>
    <row r="196" spans="2:5" x14ac:dyDescent="0.3">
      <c r="B196" s="182">
        <f t="shared" si="2"/>
        <v>193</v>
      </c>
      <c r="D196" s="443" t="s">
        <v>4089</v>
      </c>
      <c r="E196" s="444" t="s">
        <v>4088</v>
      </c>
    </row>
    <row r="197" spans="2:5" x14ac:dyDescent="0.3">
      <c r="B197" s="182">
        <f t="shared" si="2"/>
        <v>194</v>
      </c>
      <c r="D197" s="443" t="s">
        <v>4116</v>
      </c>
      <c r="E197" s="444" t="s">
        <v>4117</v>
      </c>
    </row>
    <row r="198" spans="2:5" x14ac:dyDescent="0.3">
      <c r="B198" s="182">
        <f t="shared" si="2"/>
        <v>195</v>
      </c>
      <c r="D198" s="443" t="s">
        <v>4165</v>
      </c>
      <c r="E198" s="444" t="s">
        <v>4166</v>
      </c>
    </row>
    <row r="199" spans="2:5" x14ac:dyDescent="0.3">
      <c r="B199" s="182">
        <f t="shared" si="2"/>
        <v>196</v>
      </c>
      <c r="D199" s="443" t="s">
        <v>4170</v>
      </c>
      <c r="E199" s="444" t="s">
        <v>4171</v>
      </c>
    </row>
    <row r="200" spans="2:5" x14ac:dyDescent="0.3">
      <c r="B200" s="182">
        <f t="shared" si="2"/>
        <v>197</v>
      </c>
      <c r="D200" s="443" t="s">
        <v>4176</v>
      </c>
      <c r="E200" s="444" t="s">
        <v>4177</v>
      </c>
    </row>
    <row r="201" spans="2:5" x14ac:dyDescent="0.3">
      <c r="B201" s="182">
        <f t="shared" si="2"/>
        <v>198</v>
      </c>
      <c r="D201" s="443" t="s">
        <v>4204</v>
      </c>
      <c r="E201" s="444" t="s">
        <v>4205</v>
      </c>
    </row>
    <row r="202" spans="2:5" x14ac:dyDescent="0.3">
      <c r="B202" s="182">
        <f t="shared" si="2"/>
        <v>199</v>
      </c>
      <c r="D202" s="443" t="s">
        <v>4215</v>
      </c>
      <c r="E202" s="444" t="s">
        <v>4216</v>
      </c>
    </row>
    <row r="203" spans="2:5" x14ac:dyDescent="0.3">
      <c r="B203" s="182">
        <f t="shared" si="2"/>
        <v>200</v>
      </c>
      <c r="D203" s="443" t="s">
        <v>4226</v>
      </c>
      <c r="E203" s="444" t="s">
        <v>4225</v>
      </c>
    </row>
    <row r="204" spans="2:5" x14ac:dyDescent="0.3">
      <c r="B204" s="182">
        <f t="shared" si="2"/>
        <v>201</v>
      </c>
      <c r="D204" s="443" t="s">
        <v>4230</v>
      </c>
      <c r="E204" s="444" t="s">
        <v>4231</v>
      </c>
    </row>
    <row r="205" spans="2:5" x14ac:dyDescent="0.3">
      <c r="B205" s="182">
        <f t="shared" si="2"/>
        <v>202</v>
      </c>
      <c r="D205" s="443" t="s">
        <v>4241</v>
      </c>
      <c r="E205" s="444" t="s">
        <v>4242</v>
      </c>
    </row>
    <row r="206" spans="2:5" x14ac:dyDescent="0.3">
      <c r="B206" s="182">
        <f t="shared" si="2"/>
        <v>203</v>
      </c>
      <c r="D206" s="443" t="s">
        <v>4247</v>
      </c>
      <c r="E206" s="444" t="s">
        <v>4248</v>
      </c>
    </row>
    <row r="207" spans="2:5" x14ac:dyDescent="0.3">
      <c r="B207" s="182">
        <f t="shared" si="2"/>
        <v>204</v>
      </c>
      <c r="D207" s="443" t="s">
        <v>4253</v>
      </c>
      <c r="E207" s="445" t="s">
        <v>4254</v>
      </c>
    </row>
    <row r="208" spans="2:5" x14ac:dyDescent="0.3">
      <c r="B208" s="182">
        <f t="shared" si="2"/>
        <v>205</v>
      </c>
      <c r="D208" s="443" t="s">
        <v>4275</v>
      </c>
      <c r="E208" s="444" t="s">
        <v>4276</v>
      </c>
    </row>
    <row r="209" spans="2:5" x14ac:dyDescent="0.3">
      <c r="B209" s="182">
        <f t="shared" si="2"/>
        <v>206</v>
      </c>
      <c r="D209" s="443" t="s">
        <v>4279</v>
      </c>
      <c r="E209" s="444" t="s">
        <v>4280</v>
      </c>
    </row>
    <row r="210" spans="2:5" x14ac:dyDescent="0.3">
      <c r="B210" s="182">
        <f t="shared" si="2"/>
        <v>207</v>
      </c>
      <c r="D210" s="443" t="s">
        <v>4300</v>
      </c>
      <c r="E210" s="444" t="s">
        <v>4299</v>
      </c>
    </row>
    <row r="211" spans="2:5" x14ac:dyDescent="0.3">
      <c r="B211" s="182">
        <f t="shared" si="2"/>
        <v>208</v>
      </c>
      <c r="D211" s="443" t="s">
        <v>4308</v>
      </c>
      <c r="E211" s="444" t="s">
        <v>4307</v>
      </c>
    </row>
    <row r="212" spans="2:5" x14ac:dyDescent="0.3">
      <c r="B212" s="182">
        <f t="shared" si="2"/>
        <v>209</v>
      </c>
      <c r="D212" s="443" t="s">
        <v>4391</v>
      </c>
      <c r="E212" s="444" t="s">
        <v>4392</v>
      </c>
    </row>
    <row r="213" spans="2:5" x14ac:dyDescent="0.3">
      <c r="B213" s="182">
        <f t="shared" si="2"/>
        <v>210</v>
      </c>
      <c r="D213" s="443" t="s">
        <v>4401</v>
      </c>
      <c r="E213" s="444" t="s">
        <v>4402</v>
      </c>
    </row>
    <row r="214" spans="2:5" x14ac:dyDescent="0.3">
      <c r="B214" s="182">
        <f t="shared" si="2"/>
        <v>211</v>
      </c>
      <c r="D214" s="443" t="s">
        <v>4407</v>
      </c>
      <c r="E214" s="444" t="s">
        <v>4408</v>
      </c>
    </row>
    <row r="215" spans="2:5" x14ac:dyDescent="0.3">
      <c r="B215" s="182">
        <f t="shared" si="2"/>
        <v>212</v>
      </c>
      <c r="D215" s="443" t="s">
        <v>4411</v>
      </c>
      <c r="E215" s="444" t="s">
        <v>4412</v>
      </c>
    </row>
    <row r="216" spans="2:5" x14ac:dyDescent="0.3">
      <c r="B216" s="182">
        <f t="shared" si="2"/>
        <v>213</v>
      </c>
      <c r="D216" s="443" t="s">
        <v>4425</v>
      </c>
      <c r="E216" s="444" t="s">
        <v>4426</v>
      </c>
    </row>
    <row r="217" spans="2:5" x14ac:dyDescent="0.3">
      <c r="B217" s="182">
        <f t="shared" si="2"/>
        <v>214</v>
      </c>
      <c r="D217" s="443" t="s">
        <v>4429</v>
      </c>
      <c r="E217" s="444" t="s">
        <v>4430</v>
      </c>
    </row>
    <row r="218" spans="2:5" x14ac:dyDescent="0.3">
      <c r="B218" s="182">
        <f t="shared" si="2"/>
        <v>215</v>
      </c>
      <c r="D218" s="443" t="s">
        <v>4433</v>
      </c>
      <c r="E218" s="444" t="s">
        <v>4434</v>
      </c>
    </row>
    <row r="219" spans="2:5" x14ac:dyDescent="0.3">
      <c r="B219" s="182">
        <f t="shared" si="2"/>
        <v>216</v>
      </c>
      <c r="D219" s="443" t="s">
        <v>4439</v>
      </c>
      <c r="E219" s="444" t="s">
        <v>4438</v>
      </c>
    </row>
    <row r="220" spans="2:5" x14ac:dyDescent="0.3">
      <c r="B220" s="182">
        <f t="shared" si="2"/>
        <v>217</v>
      </c>
      <c r="D220" s="443" t="s">
        <v>4449</v>
      </c>
      <c r="E220" s="444" t="s">
        <v>4448</v>
      </c>
    </row>
    <row r="221" spans="2:5" x14ac:dyDescent="0.3">
      <c r="B221" s="182">
        <f t="shared" si="2"/>
        <v>218</v>
      </c>
      <c r="D221" s="443" t="s">
        <v>4651</v>
      </c>
      <c r="E221" s="444" t="s">
        <v>4652</v>
      </c>
    </row>
    <row r="222" spans="2:5" x14ac:dyDescent="0.3">
      <c r="B222" s="182">
        <f t="shared" si="2"/>
        <v>219</v>
      </c>
      <c r="D222" s="443" t="s">
        <v>4659</v>
      </c>
      <c r="E222" s="444" t="s">
        <v>4660</v>
      </c>
    </row>
    <row r="223" spans="2:5" x14ac:dyDescent="0.3">
      <c r="B223" s="182">
        <f t="shared" si="2"/>
        <v>220</v>
      </c>
      <c r="D223" s="443" t="s">
        <v>4664</v>
      </c>
      <c r="E223" s="444" t="s">
        <v>4665</v>
      </c>
    </row>
    <row r="224" spans="2:5" x14ac:dyDescent="0.3">
      <c r="B224" s="182">
        <f t="shared" si="2"/>
        <v>221</v>
      </c>
      <c r="D224" s="443" t="s">
        <v>4672</v>
      </c>
      <c r="E224" s="444" t="s">
        <v>4673</v>
      </c>
    </row>
    <row r="225" spans="2:5" x14ac:dyDescent="0.3">
      <c r="B225" s="182">
        <f t="shared" si="2"/>
        <v>222</v>
      </c>
      <c r="D225" s="443" t="s">
        <v>4679</v>
      </c>
      <c r="E225" s="444" t="s">
        <v>4680</v>
      </c>
    </row>
    <row r="226" spans="2:5" x14ac:dyDescent="0.3">
      <c r="B226" s="182">
        <f t="shared" si="2"/>
        <v>223</v>
      </c>
      <c r="D226" s="443" t="s">
        <v>4685</v>
      </c>
      <c r="E226" s="444" t="s">
        <v>4684</v>
      </c>
    </row>
    <row r="227" spans="2:5" x14ac:dyDescent="0.3">
      <c r="B227" s="182">
        <f t="shared" si="2"/>
        <v>224</v>
      </c>
      <c r="D227" s="443" t="s">
        <v>4694</v>
      </c>
      <c r="E227" s="444" t="s">
        <v>4695</v>
      </c>
    </row>
    <row r="228" spans="2:5" x14ac:dyDescent="0.3">
      <c r="B228" s="182">
        <f t="shared" si="2"/>
        <v>225</v>
      </c>
      <c r="D228" s="443" t="s">
        <v>4704</v>
      </c>
      <c r="E228" s="444" t="s">
        <v>4705</v>
      </c>
    </row>
    <row r="229" spans="2:5" x14ac:dyDescent="0.3">
      <c r="B229" s="182">
        <f t="shared" si="2"/>
        <v>226</v>
      </c>
      <c r="D229" s="443" t="s">
        <v>4751</v>
      </c>
      <c r="E229" s="444" t="s">
        <v>4752</v>
      </c>
    </row>
    <row r="230" spans="2:5" x14ac:dyDescent="0.3">
      <c r="B230" s="182">
        <f t="shared" si="2"/>
        <v>227</v>
      </c>
      <c r="D230" s="443" t="s">
        <v>4797</v>
      </c>
      <c r="E230" s="444" t="s">
        <v>4798</v>
      </c>
    </row>
    <row r="231" spans="2:5" x14ac:dyDescent="0.3">
      <c r="B231" s="182">
        <f t="shared" si="2"/>
        <v>228</v>
      </c>
      <c r="D231" s="443"/>
      <c r="E231" s="444"/>
    </row>
    <row r="232" spans="2:5" x14ac:dyDescent="0.3">
      <c r="B232" s="182">
        <f t="shared" si="2"/>
        <v>229</v>
      </c>
      <c r="D232" s="443"/>
      <c r="E232" s="444"/>
    </row>
    <row r="233" spans="2:5" x14ac:dyDescent="0.3">
      <c r="B233" s="182">
        <f t="shared" si="2"/>
        <v>230</v>
      </c>
      <c r="D233" s="443"/>
      <c r="E233" s="444"/>
    </row>
    <row r="234" spans="2:5" x14ac:dyDescent="0.3">
      <c r="B234" s="182">
        <f t="shared" si="2"/>
        <v>231</v>
      </c>
      <c r="D234" s="443"/>
      <c r="E234" s="444"/>
    </row>
    <row r="235" spans="2:5" x14ac:dyDescent="0.3">
      <c r="B235" s="182">
        <f t="shared" si="2"/>
        <v>232</v>
      </c>
      <c r="D235" s="443"/>
      <c r="E235" s="444"/>
    </row>
    <row r="236" spans="2:5" x14ac:dyDescent="0.3">
      <c r="B236" s="182">
        <f t="shared" si="2"/>
        <v>233</v>
      </c>
      <c r="D236" s="443"/>
      <c r="E236" s="444"/>
    </row>
    <row r="237" spans="2:5" x14ac:dyDescent="0.3">
      <c r="B237" s="182">
        <f t="shared" si="2"/>
        <v>234</v>
      </c>
      <c r="D237" s="443"/>
      <c r="E237" s="444"/>
    </row>
    <row r="238" spans="2:5" x14ac:dyDescent="0.3">
      <c r="B238" s="182">
        <f t="shared" si="2"/>
        <v>235</v>
      </c>
      <c r="D238" s="443"/>
      <c r="E238" s="444"/>
    </row>
    <row r="239" spans="2:5" x14ac:dyDescent="0.3">
      <c r="B239" s="182">
        <f t="shared" si="2"/>
        <v>236</v>
      </c>
      <c r="D239" s="443"/>
      <c r="E239" s="444"/>
    </row>
    <row r="240" spans="2:5" x14ac:dyDescent="0.3">
      <c r="B240" s="182">
        <f t="shared" si="2"/>
        <v>237</v>
      </c>
      <c r="D240" s="443"/>
      <c r="E240" s="444"/>
    </row>
    <row r="241" spans="2:5" x14ac:dyDescent="0.3">
      <c r="B241" s="182">
        <f t="shared" si="2"/>
        <v>238</v>
      </c>
      <c r="D241" s="443"/>
      <c r="E241" s="444"/>
    </row>
    <row r="242" spans="2:5" x14ac:dyDescent="0.3">
      <c r="B242" s="182">
        <f t="shared" si="2"/>
        <v>239</v>
      </c>
      <c r="D242" s="443"/>
      <c r="E242" s="444"/>
    </row>
    <row r="243" spans="2:5" x14ac:dyDescent="0.3">
      <c r="B243" s="182">
        <f t="shared" si="2"/>
        <v>240</v>
      </c>
      <c r="D243" s="443"/>
      <c r="E243" s="444"/>
    </row>
    <row r="244" spans="2:5" x14ac:dyDescent="0.3">
      <c r="B244" s="182">
        <f t="shared" si="2"/>
        <v>241</v>
      </c>
      <c r="D244" s="443"/>
      <c r="E244" s="444"/>
    </row>
    <row r="245" spans="2:5" x14ac:dyDescent="0.3">
      <c r="B245" s="182">
        <f t="shared" si="2"/>
        <v>242</v>
      </c>
      <c r="D245" s="443"/>
      <c r="E245" s="444"/>
    </row>
    <row r="246" spans="2:5" x14ac:dyDescent="0.3">
      <c r="B246" s="182">
        <f t="shared" si="2"/>
        <v>243</v>
      </c>
      <c r="D246" s="443"/>
      <c r="E246" s="444"/>
    </row>
    <row r="247" spans="2:5" x14ac:dyDescent="0.3">
      <c r="B247" s="182">
        <f t="shared" si="2"/>
        <v>244</v>
      </c>
      <c r="D247" s="443"/>
      <c r="E247" s="444"/>
    </row>
    <row r="248" spans="2:5" x14ac:dyDescent="0.3">
      <c r="B248" s="182">
        <f t="shared" si="2"/>
        <v>245</v>
      </c>
      <c r="D248" s="443"/>
      <c r="E248" s="444"/>
    </row>
    <row r="249" spans="2:5" x14ac:dyDescent="0.3">
      <c r="B249" s="182">
        <f t="shared" si="2"/>
        <v>246</v>
      </c>
      <c r="D249" s="443"/>
      <c r="E249" s="444"/>
    </row>
    <row r="250" spans="2:5" x14ac:dyDescent="0.3">
      <c r="B250" s="182">
        <f t="shared" si="2"/>
        <v>247</v>
      </c>
      <c r="D250" s="443"/>
      <c r="E250" s="444"/>
    </row>
    <row r="251" spans="2:5" x14ac:dyDescent="0.3">
      <c r="B251" s="182">
        <f t="shared" si="2"/>
        <v>248</v>
      </c>
      <c r="D251" s="443"/>
      <c r="E251" s="444"/>
    </row>
    <row r="252" spans="2:5" x14ac:dyDescent="0.3">
      <c r="B252" s="182">
        <f t="shared" si="2"/>
        <v>249</v>
      </c>
      <c r="D252" s="443"/>
      <c r="E252" s="444"/>
    </row>
    <row r="253" spans="2:5" x14ac:dyDescent="0.3">
      <c r="B253" s="182">
        <f t="shared" si="2"/>
        <v>250</v>
      </c>
      <c r="D253" s="443"/>
      <c r="E253" s="444"/>
    </row>
    <row r="254" spans="2:5" x14ac:dyDescent="0.3">
      <c r="B254" s="182">
        <f t="shared" si="2"/>
        <v>251</v>
      </c>
      <c r="D254" s="443"/>
      <c r="E254" s="444"/>
    </row>
    <row r="255" spans="2:5" x14ac:dyDescent="0.3">
      <c r="B255" s="182">
        <f t="shared" si="2"/>
        <v>252</v>
      </c>
      <c r="D255" s="443"/>
      <c r="E255" s="444"/>
    </row>
    <row r="256" spans="2:5" x14ac:dyDescent="0.3">
      <c r="B256" s="182">
        <f t="shared" si="2"/>
        <v>253</v>
      </c>
      <c r="D256" s="443"/>
      <c r="E256" s="444"/>
    </row>
    <row r="257" spans="2:5" x14ac:dyDescent="0.3">
      <c r="B257" s="182">
        <f t="shared" si="2"/>
        <v>254</v>
      </c>
      <c r="D257" s="443"/>
      <c r="E257" s="444"/>
    </row>
    <row r="258" spans="2:5" x14ac:dyDescent="0.3">
      <c r="B258" s="182">
        <f t="shared" si="2"/>
        <v>255</v>
      </c>
      <c r="D258" s="443"/>
      <c r="E258" s="444"/>
    </row>
    <row r="259" spans="2:5" x14ac:dyDescent="0.3">
      <c r="B259" s="182">
        <f t="shared" si="2"/>
        <v>256</v>
      </c>
      <c r="D259" s="443"/>
      <c r="E259" s="444"/>
    </row>
    <row r="260" spans="2:5" x14ac:dyDescent="0.3">
      <c r="B260" s="182">
        <f t="shared" si="2"/>
        <v>257</v>
      </c>
      <c r="D260" s="443"/>
      <c r="E260" s="444"/>
    </row>
    <row r="261" spans="2:5" x14ac:dyDescent="0.3">
      <c r="B261" s="182">
        <f t="shared" si="2"/>
        <v>258</v>
      </c>
      <c r="D261" s="443"/>
      <c r="E261" s="444"/>
    </row>
    <row r="262" spans="2:5" x14ac:dyDescent="0.3">
      <c r="B262" s="182">
        <f t="shared" si="2"/>
        <v>259</v>
      </c>
      <c r="D262" s="443"/>
      <c r="E262" s="444"/>
    </row>
    <row r="263" spans="2:5" x14ac:dyDescent="0.3">
      <c r="B263" s="182">
        <f t="shared" si="2"/>
        <v>260</v>
      </c>
      <c r="D263" s="443"/>
      <c r="E263" s="444"/>
    </row>
    <row r="264" spans="2:5" x14ac:dyDescent="0.3">
      <c r="B264" s="182">
        <f t="shared" si="2"/>
        <v>261</v>
      </c>
      <c r="D264" s="443"/>
      <c r="E264" s="444"/>
    </row>
    <row r="265" spans="2:5" x14ac:dyDescent="0.3">
      <c r="B265" s="182">
        <f t="shared" si="2"/>
        <v>262</v>
      </c>
      <c r="D265" s="443"/>
      <c r="E265" s="444"/>
    </row>
    <row r="266" spans="2:5" x14ac:dyDescent="0.3">
      <c r="B266" s="182">
        <f t="shared" si="2"/>
        <v>263</v>
      </c>
      <c r="D266" s="443"/>
      <c r="E266" s="444"/>
    </row>
    <row r="267" spans="2:5" x14ac:dyDescent="0.3">
      <c r="B267" s="182">
        <f t="shared" si="2"/>
        <v>264</v>
      </c>
      <c r="D267" s="443"/>
      <c r="E267" s="444"/>
    </row>
    <row r="268" spans="2:5" x14ac:dyDescent="0.3">
      <c r="B268" s="182">
        <f t="shared" si="2"/>
        <v>265</v>
      </c>
      <c r="D268" s="443"/>
      <c r="E268" s="444"/>
    </row>
    <row r="269" spans="2:5" x14ac:dyDescent="0.3">
      <c r="B269" s="182">
        <f t="shared" si="2"/>
        <v>266</v>
      </c>
      <c r="D269" s="443"/>
      <c r="E269" s="444"/>
    </row>
    <row r="270" spans="2:5" x14ac:dyDescent="0.3">
      <c r="B270" s="182">
        <f t="shared" si="2"/>
        <v>267</v>
      </c>
      <c r="D270" s="443"/>
      <c r="E270" s="444"/>
    </row>
    <row r="271" spans="2:5" x14ac:dyDescent="0.3">
      <c r="B271" s="182">
        <f t="shared" si="2"/>
        <v>268</v>
      </c>
      <c r="D271" s="443"/>
      <c r="E271" s="444"/>
    </row>
    <row r="272" spans="2:5" x14ac:dyDescent="0.3">
      <c r="B272" s="182">
        <f t="shared" si="2"/>
        <v>269</v>
      </c>
      <c r="D272" s="443"/>
      <c r="E272" s="444"/>
    </row>
    <row r="273" spans="2:5" x14ac:dyDescent="0.3">
      <c r="B273" s="182">
        <f t="shared" si="2"/>
        <v>270</v>
      </c>
      <c r="D273" s="443"/>
      <c r="E273" s="444"/>
    </row>
    <row r="274" spans="2:5" x14ac:dyDescent="0.3">
      <c r="B274" s="182">
        <f t="shared" si="2"/>
        <v>271</v>
      </c>
      <c r="D274" s="443"/>
      <c r="E274" s="444"/>
    </row>
    <row r="275" spans="2:5" x14ac:dyDescent="0.3">
      <c r="B275" s="182">
        <f t="shared" si="2"/>
        <v>272</v>
      </c>
      <c r="D275" s="443"/>
      <c r="E275" s="444"/>
    </row>
    <row r="276" spans="2:5" x14ac:dyDescent="0.3">
      <c r="B276" s="182">
        <f t="shared" si="2"/>
        <v>273</v>
      </c>
      <c r="D276" s="443"/>
      <c r="E276" s="444"/>
    </row>
    <row r="277" spans="2:5" x14ac:dyDescent="0.3">
      <c r="B277" s="182">
        <f t="shared" si="2"/>
        <v>274</v>
      </c>
      <c r="D277" s="443"/>
      <c r="E277" s="444"/>
    </row>
    <row r="278" spans="2:5" x14ac:dyDescent="0.3">
      <c r="B278" s="182">
        <f t="shared" si="2"/>
        <v>275</v>
      </c>
      <c r="D278" s="443"/>
      <c r="E278" s="444"/>
    </row>
    <row r="279" spans="2:5" x14ac:dyDescent="0.3">
      <c r="B279" s="182">
        <f t="shared" si="2"/>
        <v>276</v>
      </c>
      <c r="D279" s="443"/>
      <c r="E279" s="444"/>
    </row>
    <row r="280" spans="2:5" x14ac:dyDescent="0.3">
      <c r="B280" s="182">
        <f t="shared" si="2"/>
        <v>277</v>
      </c>
      <c r="D280" s="443"/>
      <c r="E280" s="444"/>
    </row>
    <row r="281" spans="2:5" x14ac:dyDescent="0.3">
      <c r="B281" s="182">
        <f t="shared" si="2"/>
        <v>278</v>
      </c>
      <c r="D281" s="443"/>
      <c r="E281" s="444"/>
    </row>
    <row r="282" spans="2:5" x14ac:dyDescent="0.3">
      <c r="B282" s="182">
        <f t="shared" si="2"/>
        <v>279</v>
      </c>
      <c r="D282" s="443"/>
      <c r="E282" s="444"/>
    </row>
    <row r="283" spans="2:5" x14ac:dyDescent="0.3">
      <c r="B283" s="182">
        <f t="shared" si="2"/>
        <v>280</v>
      </c>
      <c r="D283" s="443"/>
      <c r="E283" s="444"/>
    </row>
    <row r="284" spans="2:5" x14ac:dyDescent="0.3">
      <c r="B284" s="182">
        <f t="shared" si="2"/>
        <v>281</v>
      </c>
      <c r="D284" s="443"/>
      <c r="E284" s="444"/>
    </row>
    <row r="285" spans="2:5" x14ac:dyDescent="0.3">
      <c r="B285" s="182">
        <f t="shared" si="2"/>
        <v>282</v>
      </c>
      <c r="D285" s="443"/>
      <c r="E285" s="444"/>
    </row>
    <row r="286" spans="2:5" x14ac:dyDescent="0.3">
      <c r="B286" s="182">
        <f t="shared" si="2"/>
        <v>283</v>
      </c>
      <c r="D286" s="443"/>
      <c r="E286" s="444"/>
    </row>
    <row r="287" spans="2:5" x14ac:dyDescent="0.3">
      <c r="B287" s="182">
        <f t="shared" si="2"/>
        <v>284</v>
      </c>
      <c r="D287" s="443"/>
      <c r="E287" s="444"/>
    </row>
    <row r="288" spans="2:5" x14ac:dyDescent="0.3">
      <c r="B288" s="182">
        <f t="shared" si="2"/>
        <v>285</v>
      </c>
      <c r="D288" s="443"/>
      <c r="E288" s="444"/>
    </row>
    <row r="289" spans="2:5" x14ac:dyDescent="0.3">
      <c r="B289" s="182">
        <f t="shared" si="2"/>
        <v>286</v>
      </c>
      <c r="D289" s="443"/>
      <c r="E289" s="444"/>
    </row>
    <row r="290" spans="2:5" x14ac:dyDescent="0.3">
      <c r="B290" s="182">
        <f t="shared" si="2"/>
        <v>287</v>
      </c>
      <c r="D290" s="443"/>
      <c r="E290" s="444"/>
    </row>
    <row r="291" spans="2:5" x14ac:dyDescent="0.3">
      <c r="B291" s="182">
        <f t="shared" si="2"/>
        <v>288</v>
      </c>
      <c r="D291" s="443"/>
      <c r="E291" s="444"/>
    </row>
    <row r="292" spans="2:5" x14ac:dyDescent="0.3">
      <c r="B292" s="182">
        <f t="shared" si="2"/>
        <v>289</v>
      </c>
      <c r="D292" s="443"/>
      <c r="E292" s="444"/>
    </row>
    <row r="293" spans="2:5" x14ac:dyDescent="0.3">
      <c r="B293" s="182">
        <f t="shared" si="2"/>
        <v>290</v>
      </c>
      <c r="D293" s="443"/>
      <c r="E293" s="444"/>
    </row>
    <row r="294" spans="2:5" x14ac:dyDescent="0.3">
      <c r="B294" s="182">
        <f t="shared" si="2"/>
        <v>291</v>
      </c>
      <c r="D294" s="443"/>
      <c r="E294" s="444"/>
    </row>
    <row r="295" spans="2:5" x14ac:dyDescent="0.3">
      <c r="B295" s="182">
        <f t="shared" si="2"/>
        <v>292</v>
      </c>
      <c r="D295" s="443"/>
      <c r="E295" s="444"/>
    </row>
    <row r="296" spans="2:5" x14ac:dyDescent="0.3">
      <c r="B296" s="182">
        <f t="shared" si="2"/>
        <v>293</v>
      </c>
      <c r="D296" s="443"/>
      <c r="E296" s="444"/>
    </row>
    <row r="297" spans="2:5" x14ac:dyDescent="0.3">
      <c r="B297" s="182">
        <f t="shared" ref="B297:B303" si="3">B296+1</f>
        <v>294</v>
      </c>
      <c r="D297" s="443"/>
      <c r="E297" s="444"/>
    </row>
    <row r="298" spans="2:5" x14ac:dyDescent="0.3">
      <c r="B298" s="182">
        <f t="shared" si="3"/>
        <v>295</v>
      </c>
      <c r="D298" s="443"/>
      <c r="E298" s="444"/>
    </row>
    <row r="299" spans="2:5" x14ac:dyDescent="0.3">
      <c r="B299" s="182">
        <f t="shared" si="3"/>
        <v>296</v>
      </c>
      <c r="D299" s="443"/>
      <c r="E299" s="444"/>
    </row>
    <row r="300" spans="2:5" x14ac:dyDescent="0.3">
      <c r="B300" s="182">
        <f t="shared" si="3"/>
        <v>297</v>
      </c>
      <c r="D300" s="443"/>
      <c r="E300" s="444"/>
    </row>
    <row r="301" spans="2:5" x14ac:dyDescent="0.3">
      <c r="B301" s="182">
        <f t="shared" si="3"/>
        <v>298</v>
      </c>
      <c r="D301" s="443"/>
      <c r="E301" s="444"/>
    </row>
    <row r="302" spans="2:5" x14ac:dyDescent="0.3">
      <c r="B302" s="182">
        <f t="shared" si="3"/>
        <v>299</v>
      </c>
      <c r="D302" s="443"/>
      <c r="E302" s="444"/>
    </row>
    <row r="303" spans="2:5" ht="15" thickBot="1" x14ac:dyDescent="0.35">
      <c r="B303" s="184">
        <f t="shared" si="3"/>
        <v>300</v>
      </c>
      <c r="D303" s="446"/>
      <c r="E303" s="447"/>
    </row>
  </sheetData>
  <mergeCells count="2">
    <mergeCell ref="B2:B3"/>
    <mergeCell ref="D2:E2"/>
  </mergeCells>
  <phoneticPr fontId="6" type="noConversion"/>
  <conditionalFormatting sqref="D4:D303">
    <cfRule type="duplicateValues" dxfId="19" priority="5"/>
    <cfRule type="duplicateValues" dxfId="18" priority="6"/>
    <cfRule type="duplicateValues" dxfId="17" priority="9"/>
    <cfRule type="duplicateValues" dxfId="16" priority="10"/>
  </conditionalFormatting>
  <pageMargins left="0.7" right="0.7" top="0.75" bottom="0.75" header="0.3" footer="0.3"/>
  <pageSetup paperSize="9"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D663-726F-4C79-B335-30E6B2765BCF}">
  <sheetPr codeName="Hoja3"/>
  <dimension ref="B2:P950"/>
  <sheetViews>
    <sheetView topLeftCell="J1" workbookViewId="0">
      <selection activeCell="J18" sqref="J18"/>
    </sheetView>
  </sheetViews>
  <sheetFormatPr baseColWidth="10" defaultColWidth="11.44140625" defaultRowHeight="14.4" x14ac:dyDescent="0.3"/>
  <cols>
    <col min="1" max="1" width="1" customWidth="1"/>
    <col min="2" max="2" width="4.21875" style="2" customWidth="1"/>
    <col min="3" max="3" width="16.21875" style="2" customWidth="1"/>
    <col min="6" max="6" width="3.44140625" customWidth="1"/>
    <col min="7" max="7" width="12.109375" customWidth="1"/>
    <col min="8" max="8" width="91.77734375" customWidth="1"/>
    <col min="9" max="9" width="0.5546875" customWidth="1"/>
    <col min="10" max="10" width="31.5546875" customWidth="1"/>
    <col min="11" max="11" width="0.44140625" customWidth="1"/>
    <col min="12" max="12" width="16.5546875" customWidth="1"/>
    <col min="13" max="13" width="0.44140625" customWidth="1"/>
    <col min="14" max="14" width="23.21875" customWidth="1"/>
    <col min="15" max="15" width="0.44140625" customWidth="1"/>
    <col min="16" max="16" width="23.21875" customWidth="1"/>
  </cols>
  <sheetData>
    <row r="2" spans="2:16" ht="14.85" customHeight="1" x14ac:dyDescent="0.3">
      <c r="B2" s="986"/>
      <c r="C2" s="986" t="s">
        <v>86</v>
      </c>
      <c r="D2" s="990" t="s">
        <v>341</v>
      </c>
      <c r="E2" s="991"/>
      <c r="G2" s="986" t="s">
        <v>87</v>
      </c>
      <c r="H2" s="992" t="s">
        <v>342</v>
      </c>
      <c r="J2" s="988" t="s">
        <v>108</v>
      </c>
      <c r="L2" s="988" t="s">
        <v>109</v>
      </c>
      <c r="N2" s="988" t="s">
        <v>343</v>
      </c>
      <c r="P2" s="988" t="s">
        <v>344</v>
      </c>
    </row>
    <row r="3" spans="2:16" x14ac:dyDescent="0.3">
      <c r="B3" s="987"/>
      <c r="C3" s="987"/>
      <c r="D3" s="177" t="s">
        <v>345</v>
      </c>
      <c r="E3" s="178" t="s">
        <v>346</v>
      </c>
      <c r="G3" s="987"/>
      <c r="H3" s="993"/>
      <c r="J3" s="989"/>
      <c r="L3" s="989"/>
      <c r="N3" s="989"/>
      <c r="P3" s="989"/>
    </row>
    <row r="4" spans="2:16" ht="6.6" customHeight="1" thickBot="1" x14ac:dyDescent="0.35">
      <c r="B4" s="179"/>
      <c r="C4" s="618"/>
      <c r="D4" s="640"/>
      <c r="E4" s="619"/>
      <c r="G4" s="199" t="s">
        <v>87</v>
      </c>
      <c r="H4" s="200" t="s">
        <v>342</v>
      </c>
      <c r="J4" s="194"/>
      <c r="L4" s="194"/>
      <c r="N4" s="194"/>
      <c r="P4" s="194"/>
    </row>
    <row r="5" spans="2:16" x14ac:dyDescent="0.3">
      <c r="B5" s="636" t="s">
        <v>347</v>
      </c>
      <c r="C5" s="641" t="s">
        <v>378</v>
      </c>
      <c r="D5" s="642">
        <v>45809</v>
      </c>
      <c r="E5" s="643">
        <f t="shared" ref="E5:E14" si="0">D6-1</f>
        <v>45823</v>
      </c>
      <c r="G5" s="641" t="str">
        <f>'Indirect Costs'!C11</f>
        <v>C1</v>
      </c>
      <c r="H5" s="799" t="str">
        <f>_xlfn.XLOOKUP(G5,'Indirect Costs'!C:C,'Indirect Costs'!D:D)</f>
        <v>PERSONAL</v>
      </c>
      <c r="J5" s="196" t="s">
        <v>294</v>
      </c>
      <c r="L5" s="195" t="s">
        <v>348</v>
      </c>
      <c r="N5" s="195" t="s">
        <v>349</v>
      </c>
      <c r="P5" s="195" t="s">
        <v>350</v>
      </c>
    </row>
    <row r="6" spans="2:16" x14ac:dyDescent="0.3">
      <c r="B6" s="637" t="s">
        <v>351</v>
      </c>
      <c r="C6" s="4" t="s">
        <v>129</v>
      </c>
      <c r="D6" s="3">
        <v>45824</v>
      </c>
      <c r="E6" s="5">
        <f t="shared" si="0"/>
        <v>45838</v>
      </c>
      <c r="G6" s="4" t="str">
        <f>'Indirect Costs'!C13</f>
        <v>C1-1</v>
      </c>
      <c r="H6" s="800" t="str">
        <f>_xlfn.XLOOKUP(G6,'Indirect Costs'!C:C,'Indirect Costs'!D:D)</f>
        <v>Gerente de Proyecto</v>
      </c>
      <c r="J6" s="195" t="s">
        <v>215</v>
      </c>
      <c r="L6" s="195" t="s">
        <v>352</v>
      </c>
      <c r="N6" s="195" t="s">
        <v>353</v>
      </c>
      <c r="P6" s="195" t="s">
        <v>354</v>
      </c>
    </row>
    <row r="7" spans="2:16" x14ac:dyDescent="0.3">
      <c r="B7" s="638" t="s">
        <v>355</v>
      </c>
      <c r="C7" s="4" t="s">
        <v>142</v>
      </c>
      <c r="D7" s="3">
        <v>45839</v>
      </c>
      <c r="E7" s="5">
        <f t="shared" si="0"/>
        <v>45853</v>
      </c>
      <c r="G7" s="4" t="str">
        <f>'Indirect Costs'!C14</f>
        <v>C1-2</v>
      </c>
      <c r="H7" s="800" t="str">
        <f>_xlfn.XLOOKUP(G7,'Indirect Costs'!C:C,'Indirect Costs'!D:D)</f>
        <v>Gerente Estratégico</v>
      </c>
      <c r="J7" s="196" t="s">
        <v>126</v>
      </c>
      <c r="L7" s="195" t="s">
        <v>63</v>
      </c>
      <c r="N7" s="195" t="s">
        <v>123</v>
      </c>
      <c r="P7" s="195" t="s">
        <v>356</v>
      </c>
    </row>
    <row r="8" spans="2:16" x14ac:dyDescent="0.3">
      <c r="B8" s="638" t="s">
        <v>357</v>
      </c>
      <c r="C8" s="4" t="s">
        <v>290</v>
      </c>
      <c r="D8" s="3">
        <v>45854</v>
      </c>
      <c r="E8" s="5">
        <f t="shared" si="0"/>
        <v>45869</v>
      </c>
      <c r="G8" s="4" t="str">
        <f>'Indirect Costs'!C15</f>
        <v>C1-3</v>
      </c>
      <c r="H8" s="800" t="str">
        <f>_xlfn.XLOOKUP(G8,'Indirect Costs'!C:C,'Indirect Costs'!D:D)</f>
        <v>Gerente Administración</v>
      </c>
      <c r="J8" s="196" t="s">
        <v>358</v>
      </c>
      <c r="L8" s="196" t="s">
        <v>359</v>
      </c>
      <c r="N8" s="196" t="s">
        <v>187</v>
      </c>
      <c r="P8" s="196" t="s">
        <v>360</v>
      </c>
    </row>
    <row r="9" spans="2:16" x14ac:dyDescent="0.3">
      <c r="B9" s="637" t="s">
        <v>361</v>
      </c>
      <c r="C9" s="4" t="s">
        <v>383</v>
      </c>
      <c r="D9" s="3">
        <v>45870</v>
      </c>
      <c r="E9" s="5">
        <f t="shared" si="0"/>
        <v>45884</v>
      </c>
      <c r="G9" s="4" t="str">
        <f>'Indirect Costs'!C16</f>
        <v>C1-4</v>
      </c>
      <c r="H9" s="800" t="str">
        <f>_xlfn.XLOOKUP(G9,'Indirect Costs'!C:C,'Indirect Costs'!D:D)</f>
        <v>Técnico de compras/ control de Costos</v>
      </c>
      <c r="J9" s="196" t="s">
        <v>362</v>
      </c>
      <c r="L9" s="196"/>
      <c r="N9" s="196" t="s">
        <v>363</v>
      </c>
      <c r="P9" s="196" t="s">
        <v>364</v>
      </c>
    </row>
    <row r="10" spans="2:16" x14ac:dyDescent="0.3">
      <c r="B10" s="638" t="s">
        <v>365</v>
      </c>
      <c r="C10" s="4" t="s">
        <v>385</v>
      </c>
      <c r="D10" s="3">
        <v>45885</v>
      </c>
      <c r="E10" s="5">
        <f t="shared" si="0"/>
        <v>45900</v>
      </c>
      <c r="G10" s="4" t="str">
        <f>'Indirect Costs'!C17</f>
        <v>C1-5</v>
      </c>
      <c r="H10" s="800" t="str">
        <f>_xlfn.XLOOKUP(G10,'Indirect Costs'!C:C,'Indirect Costs'!D:D)</f>
        <v>Aux. Administrativo</v>
      </c>
      <c r="J10" s="196" t="s">
        <v>3589</v>
      </c>
      <c r="L10" s="196"/>
      <c r="N10" s="196" t="s">
        <v>366</v>
      </c>
      <c r="P10" s="196"/>
    </row>
    <row r="11" spans="2:16" ht="15" thickBot="1" x14ac:dyDescent="0.35">
      <c r="B11" s="638" t="s">
        <v>367</v>
      </c>
      <c r="C11" s="4" t="s">
        <v>387</v>
      </c>
      <c r="D11" s="3">
        <v>45901</v>
      </c>
      <c r="E11" s="5">
        <f t="shared" si="0"/>
        <v>45915</v>
      </c>
      <c r="G11" s="4" t="str">
        <f>'Indirect Costs'!C19</f>
        <v>C1-6</v>
      </c>
      <c r="H11" s="800" t="str">
        <f>_xlfn.XLOOKUP(G11,'Indirect Costs'!C:C,'Indirect Costs'!D:D)</f>
        <v>Superintendente</v>
      </c>
      <c r="J11" s="196" t="s">
        <v>154</v>
      </c>
      <c r="L11" s="197"/>
      <c r="N11" s="196" t="s">
        <v>369</v>
      </c>
      <c r="P11" s="196"/>
    </row>
    <row r="12" spans="2:16" x14ac:dyDescent="0.3">
      <c r="B12" s="638" t="s">
        <v>370</v>
      </c>
      <c r="C12" s="4" t="s">
        <v>389</v>
      </c>
      <c r="D12" s="3">
        <v>45916</v>
      </c>
      <c r="E12" s="5">
        <f t="shared" si="0"/>
        <v>45930</v>
      </c>
      <c r="G12" s="4" t="str">
        <f>'Indirect Costs'!C20</f>
        <v>C1-7</v>
      </c>
      <c r="H12" s="800" t="str">
        <f>_xlfn.XLOOKUP(G12,'Indirect Costs'!C:C,'Indirect Costs'!D:D)</f>
        <v>Jefe de Producción</v>
      </c>
      <c r="J12" s="196" t="s">
        <v>368</v>
      </c>
      <c r="N12" s="196" t="s">
        <v>372</v>
      </c>
      <c r="P12" s="196"/>
    </row>
    <row r="13" spans="2:16" ht="15" thickBot="1" x14ac:dyDescent="0.35">
      <c r="B13" s="638" t="s">
        <v>373</v>
      </c>
      <c r="C13" s="4" t="s">
        <v>392</v>
      </c>
      <c r="D13" s="3">
        <v>45931</v>
      </c>
      <c r="E13" s="5">
        <f t="shared" si="0"/>
        <v>45945</v>
      </c>
      <c r="G13" s="4" t="str">
        <f>'Indirect Costs'!C21</f>
        <v>C1-8</v>
      </c>
      <c r="H13" s="800" t="str">
        <f>_xlfn.XLOOKUP(G13,'Indirect Costs'!C:C,'Indirect Costs'!D:D)</f>
        <v>Supervisor 1</v>
      </c>
      <c r="J13" s="196" t="s">
        <v>4702</v>
      </c>
      <c r="N13" s="196" t="s">
        <v>375</v>
      </c>
      <c r="P13" s="197"/>
    </row>
    <row r="14" spans="2:16" x14ac:dyDescent="0.3">
      <c r="B14" s="638" t="s">
        <v>376</v>
      </c>
      <c r="C14" s="4" t="s">
        <v>394</v>
      </c>
      <c r="D14" s="3">
        <v>45946</v>
      </c>
      <c r="E14" s="5">
        <f t="shared" si="0"/>
        <v>45961</v>
      </c>
      <c r="G14" s="4" t="str">
        <f>'Indirect Costs'!C22</f>
        <v>C1-9</v>
      </c>
      <c r="H14" s="800" t="str">
        <f>_xlfn.XLOOKUP(G14,'Indirect Costs'!C:C,'Indirect Costs'!D:D)</f>
        <v>Supervisor 2</v>
      </c>
      <c r="J14" s="196" t="s">
        <v>371</v>
      </c>
      <c r="N14" s="196"/>
    </row>
    <row r="15" spans="2:16" ht="15" thickBot="1" x14ac:dyDescent="0.35">
      <c r="B15" s="637" t="s">
        <v>377</v>
      </c>
      <c r="C15" s="4" t="s">
        <v>396</v>
      </c>
      <c r="D15" s="3">
        <v>45962</v>
      </c>
      <c r="E15" s="5">
        <f t="shared" ref="E15:E27" si="1">D16-1</f>
        <v>45976</v>
      </c>
      <c r="G15" s="4" t="str">
        <f>'Indirect Costs'!C23</f>
        <v>C1-10</v>
      </c>
      <c r="H15" s="800" t="str">
        <f>_xlfn.XLOOKUP(G15,'Indirect Costs'!C:C,'Indirect Costs'!D:D)</f>
        <v>Supervisor 3</v>
      </c>
      <c r="J15" s="198" t="s">
        <v>4703</v>
      </c>
      <c r="N15" s="196"/>
    </row>
    <row r="16" spans="2:16" ht="15" thickBot="1" x14ac:dyDescent="0.35">
      <c r="B16" s="638" t="s">
        <v>379</v>
      </c>
      <c r="C16" s="4" t="s">
        <v>398</v>
      </c>
      <c r="D16" s="3">
        <v>45977</v>
      </c>
      <c r="E16" s="5">
        <f t="shared" si="1"/>
        <v>45991</v>
      </c>
      <c r="G16" s="4" t="str">
        <f>'Indirect Costs'!C25</f>
        <v>C1-11</v>
      </c>
      <c r="H16" s="800" t="str">
        <f>_xlfn.XLOOKUP(G16,'Indirect Costs'!C:C,'Indirect Costs'!D:D)</f>
        <v xml:space="preserve">Ingeniero de Diseño (Responsable del Proyecto) </v>
      </c>
      <c r="N16" s="197"/>
    </row>
    <row r="17" spans="2:8" x14ac:dyDescent="0.3">
      <c r="B17" s="638" t="s">
        <v>380</v>
      </c>
      <c r="C17" s="4" t="s">
        <v>400</v>
      </c>
      <c r="D17" s="3">
        <v>45992</v>
      </c>
      <c r="E17" s="5">
        <f t="shared" si="1"/>
        <v>46006</v>
      </c>
      <c r="G17" s="4" t="str">
        <f>'Indirect Costs'!C26</f>
        <v>C1-12</v>
      </c>
      <c r="H17" s="800" t="str">
        <f>_xlfn.XLOOKUP(G17,'Indirect Costs'!C:C,'Indirect Costs'!D:D)</f>
        <v>Coordinador BIM</v>
      </c>
    </row>
    <row r="18" spans="2:8" x14ac:dyDescent="0.3">
      <c r="B18" s="637" t="s">
        <v>381</v>
      </c>
      <c r="C18" s="4" t="s">
        <v>402</v>
      </c>
      <c r="D18" s="3">
        <v>46007</v>
      </c>
      <c r="E18" s="5">
        <f t="shared" si="1"/>
        <v>46022</v>
      </c>
      <c r="G18" s="4" t="str">
        <f>'Indirect Costs'!C27</f>
        <v>C1-13</v>
      </c>
      <c r="H18" s="800" t="str">
        <f>_xlfn.XLOOKUP(G18,'Indirect Costs'!C:C,'Indirect Costs'!D:D)</f>
        <v>Especialista de Disciplina BIM</v>
      </c>
    </row>
    <row r="19" spans="2:8" x14ac:dyDescent="0.3">
      <c r="B19" s="638" t="s">
        <v>382</v>
      </c>
      <c r="C19" s="4" t="s">
        <v>403</v>
      </c>
      <c r="D19" s="3">
        <v>46023</v>
      </c>
      <c r="E19" s="5">
        <f t="shared" si="1"/>
        <v>46037</v>
      </c>
      <c r="G19" s="4" t="str">
        <f>'Indirect Costs'!C28</f>
        <v>C1-14</v>
      </c>
      <c r="H19" s="800" t="str">
        <f>_xlfn.XLOOKUP(G19,'Indirect Costs'!C:C,'Indirect Costs'!D:D)</f>
        <v>Gestor de Información BIM</v>
      </c>
    </row>
    <row r="20" spans="2:8" x14ac:dyDescent="0.3">
      <c r="B20" s="638" t="s">
        <v>384</v>
      </c>
      <c r="C20" s="4" t="s">
        <v>405</v>
      </c>
      <c r="D20" s="3">
        <v>46038</v>
      </c>
      <c r="E20" s="5">
        <f t="shared" si="1"/>
        <v>46053</v>
      </c>
      <c r="G20" s="4" t="str">
        <f>'Indirect Costs'!C29</f>
        <v>C1-15</v>
      </c>
      <c r="H20" s="800" t="str">
        <f>_xlfn.XLOOKUP(G20,'Indirect Costs'!C:C,'Indirect Costs'!D:D)</f>
        <v>Jefe de Topografía y Oficina Técnica</v>
      </c>
    </row>
    <row r="21" spans="2:8" x14ac:dyDescent="0.3">
      <c r="B21" s="637" t="s">
        <v>386</v>
      </c>
      <c r="C21" s="4" t="s">
        <v>407</v>
      </c>
      <c r="D21" s="3">
        <v>46054</v>
      </c>
      <c r="E21" s="5">
        <f t="shared" si="1"/>
        <v>46068</v>
      </c>
      <c r="G21" s="4" t="str">
        <f>'Indirect Costs'!C30</f>
        <v>C1-16</v>
      </c>
      <c r="H21" s="800" t="str">
        <f>_xlfn.XLOOKUP(G21,'Indirect Costs'!C:C,'Indirect Costs'!D:D)</f>
        <v>Topógrafo</v>
      </c>
    </row>
    <row r="22" spans="2:8" x14ac:dyDescent="0.3">
      <c r="B22" s="638" t="s">
        <v>388</v>
      </c>
      <c r="C22" s="4" t="s">
        <v>409</v>
      </c>
      <c r="D22" s="3">
        <v>46069</v>
      </c>
      <c r="E22" s="5">
        <f t="shared" si="1"/>
        <v>46081</v>
      </c>
      <c r="G22" s="4" t="str">
        <f>'Indirect Costs'!C31</f>
        <v>C1-17</v>
      </c>
      <c r="H22" s="800" t="str">
        <f>_xlfn.XLOOKUP(G22,'Indirect Costs'!C:C,'Indirect Costs'!D:D)</f>
        <v>Brigada Topografia (3 personas)</v>
      </c>
    </row>
    <row r="23" spans="2:8" x14ac:dyDescent="0.3">
      <c r="B23" s="638" t="s">
        <v>391</v>
      </c>
      <c r="C23" s="4" t="s">
        <v>411</v>
      </c>
      <c r="D23" s="3">
        <v>46082</v>
      </c>
      <c r="E23" s="5">
        <f t="shared" si="1"/>
        <v>46096</v>
      </c>
      <c r="G23" s="4" t="str">
        <f>'Indirect Costs'!C32</f>
        <v>C1-18</v>
      </c>
      <c r="H23" s="800" t="str">
        <f>_xlfn.XLOOKUP(G23,'Indirect Costs'!C:C,'Indirect Costs'!D:D)</f>
        <v>Jefe Estimaciones</v>
      </c>
    </row>
    <row r="24" spans="2:8" x14ac:dyDescent="0.3">
      <c r="B24" s="637" t="s">
        <v>393</v>
      </c>
      <c r="C24" s="4" t="s">
        <v>413</v>
      </c>
      <c r="D24" s="3">
        <v>46097</v>
      </c>
      <c r="E24" s="5">
        <f t="shared" si="1"/>
        <v>46112</v>
      </c>
      <c r="G24" s="4" t="str">
        <f>'Indirect Costs'!C33</f>
        <v>C1-19</v>
      </c>
      <c r="H24" s="800" t="str">
        <f>_xlfn.XLOOKUP(G24,'Indirect Costs'!C:C,'Indirect Costs'!D:D)</f>
        <v>Técnico Estimaciones</v>
      </c>
    </row>
    <row r="25" spans="2:8" x14ac:dyDescent="0.3">
      <c r="B25" s="638" t="s">
        <v>395</v>
      </c>
      <c r="C25" s="4" t="s">
        <v>415</v>
      </c>
      <c r="D25" s="3">
        <v>46113</v>
      </c>
      <c r="E25" s="5">
        <f t="shared" si="1"/>
        <v>46127</v>
      </c>
      <c r="G25" s="4" t="str">
        <f>'Indirect Costs'!C35</f>
        <v>C1-20</v>
      </c>
      <c r="H25" s="800" t="str">
        <f>_xlfn.XLOOKUP(G25,'Indirect Costs'!C:C,'Indirect Costs'!D:D)</f>
        <v>Jefe Seguridad e Higiene y Vialidad</v>
      </c>
    </row>
    <row r="26" spans="2:8" x14ac:dyDescent="0.3">
      <c r="B26" s="638" t="s">
        <v>397</v>
      </c>
      <c r="C26" s="4" t="s">
        <v>417</v>
      </c>
      <c r="D26" s="3">
        <v>46128</v>
      </c>
      <c r="E26" s="5">
        <f t="shared" si="1"/>
        <v>46152</v>
      </c>
      <c r="G26" s="4" t="str">
        <f>'Indirect Costs'!C36</f>
        <v>C1-21</v>
      </c>
      <c r="H26" s="800" t="str">
        <f>_xlfn.XLOOKUP(G26,'Indirect Costs'!C:C,'Indirect Costs'!D:D)</f>
        <v>Técnico Seguridad</v>
      </c>
    </row>
    <row r="27" spans="2:8" x14ac:dyDescent="0.3">
      <c r="B27" s="637" t="s">
        <v>399</v>
      </c>
      <c r="C27" s="4" t="s">
        <v>419</v>
      </c>
      <c r="D27" s="3">
        <v>46153</v>
      </c>
      <c r="E27" s="5">
        <f t="shared" si="1"/>
        <v>46157</v>
      </c>
      <c r="G27" s="4" t="str">
        <f>'Indirect Costs'!C37</f>
        <v>C1-22</v>
      </c>
      <c r="H27" s="800" t="str">
        <f>_xlfn.XLOOKUP(G27,'Indirect Costs'!C:C,'Indirect Costs'!D:D)</f>
        <v>Jefe Calidad y Medioambiente</v>
      </c>
    </row>
    <row r="28" spans="2:8" x14ac:dyDescent="0.3">
      <c r="B28" s="638" t="s">
        <v>401</v>
      </c>
      <c r="C28" s="4" t="s">
        <v>421</v>
      </c>
      <c r="D28" s="3">
        <v>46158</v>
      </c>
      <c r="E28" s="5">
        <v>46022</v>
      </c>
      <c r="G28" s="4" t="str">
        <f>'Indirect Costs'!C38</f>
        <v>C1-23</v>
      </c>
      <c r="H28" s="800" t="str">
        <f>_xlfn.XLOOKUP(G28,'Indirect Costs'!C:C,'Indirect Costs'!D:D)</f>
        <v>Técnico Calidad y Medioambiente</v>
      </c>
    </row>
    <row r="29" spans="2:8" x14ac:dyDescent="0.3">
      <c r="B29" s="638" t="s">
        <v>214</v>
      </c>
      <c r="C29" s="4" t="s">
        <v>423</v>
      </c>
      <c r="D29" s="3">
        <v>46174</v>
      </c>
      <c r="E29" s="5">
        <f t="shared" ref="E29:E51" si="2">D30-1</f>
        <v>46188</v>
      </c>
      <c r="G29" s="4" t="str">
        <f>'Indirect Costs'!C39</f>
        <v>C1-24</v>
      </c>
      <c r="H29" s="800" t="str">
        <f>_xlfn.XLOOKUP(G29,'Indirect Costs'!C:C,'Indirect Costs'!D:D)</f>
        <v>Brigada Prevención (3 personas)</v>
      </c>
    </row>
    <row r="30" spans="2:8" x14ac:dyDescent="0.3">
      <c r="B30" s="637" t="s">
        <v>404</v>
      </c>
      <c r="C30" s="4" t="s">
        <v>425</v>
      </c>
      <c r="D30" s="3">
        <v>46189</v>
      </c>
      <c r="E30" s="5">
        <f t="shared" si="2"/>
        <v>46203</v>
      </c>
      <c r="G30" s="4" t="str">
        <f>'Indirect Costs'!C41</f>
        <v>C1-25</v>
      </c>
      <c r="H30" s="800" t="str">
        <f>_xlfn.XLOOKUP(G30,'Indirect Costs'!C:C,'Indirect Costs'!D:D)</f>
        <v>Jefe Planificación y Costes</v>
      </c>
    </row>
    <row r="31" spans="2:8" x14ac:dyDescent="0.3">
      <c r="B31" s="638" t="s">
        <v>406</v>
      </c>
      <c r="C31" s="4" t="s">
        <v>427</v>
      </c>
      <c r="D31" s="3">
        <v>46204</v>
      </c>
      <c r="E31" s="5">
        <f t="shared" si="2"/>
        <v>46218</v>
      </c>
      <c r="G31" s="4" t="str">
        <f>'Indirect Costs'!C42</f>
        <v>C1-26</v>
      </c>
      <c r="H31" s="800" t="str">
        <f>_xlfn.XLOOKUP(G31,'Indirect Costs'!C:C,'Indirect Costs'!D:D)</f>
        <v>Técnico Control Costes</v>
      </c>
    </row>
    <row r="32" spans="2:8" x14ac:dyDescent="0.3">
      <c r="B32" s="638" t="s">
        <v>408</v>
      </c>
      <c r="C32" s="4" t="s">
        <v>429</v>
      </c>
      <c r="D32" s="3">
        <v>46219</v>
      </c>
      <c r="E32" s="5">
        <f t="shared" si="2"/>
        <v>46234</v>
      </c>
      <c r="G32" s="4" t="str">
        <f>'Indirect Costs'!C43</f>
        <v>C1-27</v>
      </c>
      <c r="H32" s="800" t="str">
        <f>_xlfn.XLOOKUP(G32,'Indirect Costs'!C:C,'Indirect Costs'!D:D)</f>
        <v>Técnico Compras</v>
      </c>
    </row>
    <row r="33" spans="2:8" x14ac:dyDescent="0.3">
      <c r="B33" s="637" t="s">
        <v>410</v>
      </c>
      <c r="C33" s="4" t="s">
        <v>431</v>
      </c>
      <c r="D33" s="3">
        <v>46235</v>
      </c>
      <c r="E33" s="5">
        <f t="shared" si="2"/>
        <v>46249</v>
      </c>
      <c r="G33" s="4" t="str">
        <f>'Indirect Costs'!C44</f>
        <v>C1-28</v>
      </c>
      <c r="H33" s="800" t="str">
        <f>_xlfn.XLOOKUP(G33,'Indirect Costs'!C:C,'Indirect Costs'!D:D)</f>
        <v>Jefe Administración y Personal</v>
      </c>
    </row>
    <row r="34" spans="2:8" x14ac:dyDescent="0.3">
      <c r="B34" s="638" t="s">
        <v>412</v>
      </c>
      <c r="C34" s="4" t="s">
        <v>433</v>
      </c>
      <c r="D34" s="3">
        <v>46250</v>
      </c>
      <c r="E34" s="5">
        <f t="shared" si="2"/>
        <v>46265</v>
      </c>
      <c r="G34" s="4" t="str">
        <f>'Indirect Costs'!C45</f>
        <v>C1-29</v>
      </c>
      <c r="H34" s="800" t="str">
        <f>_xlfn.XLOOKUP(G34,'Indirect Costs'!C:C,'Indirect Costs'!D:D)</f>
        <v>RRHH</v>
      </c>
    </row>
    <row r="35" spans="2:8" x14ac:dyDescent="0.3">
      <c r="B35" s="638" t="s">
        <v>414</v>
      </c>
      <c r="C35" s="4" t="s">
        <v>435</v>
      </c>
      <c r="D35" s="3">
        <v>46266</v>
      </c>
      <c r="E35" s="5">
        <f t="shared" si="2"/>
        <v>46280</v>
      </c>
      <c r="G35" s="4" t="str">
        <f>'Indirect Costs'!C46</f>
        <v>C1-30</v>
      </c>
      <c r="H35" s="800" t="str">
        <f>_xlfn.XLOOKUP(G35,'Indirect Costs'!C:C,'Indirect Costs'!D:D)</f>
        <v>Contador</v>
      </c>
    </row>
    <row r="36" spans="2:8" x14ac:dyDescent="0.3">
      <c r="B36" s="637" t="s">
        <v>416</v>
      </c>
      <c r="C36" s="4" t="s">
        <v>437</v>
      </c>
      <c r="D36" s="3">
        <v>46281</v>
      </c>
      <c r="E36" s="5">
        <f t="shared" si="2"/>
        <v>46295</v>
      </c>
      <c r="G36" s="4" t="str">
        <f>'Indirect Costs'!C47</f>
        <v>C1-31</v>
      </c>
      <c r="H36" s="800" t="str">
        <f>_xlfn.XLOOKUP(G36,'Indirect Costs'!C:C,'Indirect Costs'!D:D)</f>
        <v>Jefe Almacen</v>
      </c>
    </row>
    <row r="37" spans="2:8" x14ac:dyDescent="0.3">
      <c r="B37" s="638" t="s">
        <v>418</v>
      </c>
      <c r="C37" s="4" t="s">
        <v>439</v>
      </c>
      <c r="D37" s="3">
        <v>46296</v>
      </c>
      <c r="E37" s="5">
        <f t="shared" si="2"/>
        <v>46310</v>
      </c>
      <c r="G37" s="4" t="str">
        <f>'Indirect Costs'!C48</f>
        <v>C1-32</v>
      </c>
      <c r="H37" s="800" t="str">
        <f>_xlfn.XLOOKUP(G37,'Indirect Costs'!C:C,'Indirect Costs'!D:D)</f>
        <v>Brigada Vigilancia armada (3 personas)</v>
      </c>
    </row>
    <row r="38" spans="2:8" x14ac:dyDescent="0.3">
      <c r="B38" s="638" t="s">
        <v>420</v>
      </c>
      <c r="C38" s="4" t="s">
        <v>441</v>
      </c>
      <c r="D38" s="3">
        <v>46311</v>
      </c>
      <c r="E38" s="5">
        <f t="shared" si="2"/>
        <v>46326</v>
      </c>
      <c r="G38" s="4" t="str">
        <f>'Indirect Costs'!C49</f>
        <v>C1-33</v>
      </c>
      <c r="H38" s="800" t="str">
        <f>_xlfn.XLOOKUP(G38,'Indirect Costs'!C:C,'Indirect Costs'!D:D)</f>
        <v>Brigada Vigilancia (3 personas)</v>
      </c>
    </row>
    <row r="39" spans="2:8" x14ac:dyDescent="0.3">
      <c r="B39" s="637" t="s">
        <v>422</v>
      </c>
      <c r="C39" s="4" t="s">
        <v>443</v>
      </c>
      <c r="D39" s="3">
        <v>46327</v>
      </c>
      <c r="E39" s="5">
        <f t="shared" si="2"/>
        <v>46341</v>
      </c>
      <c r="G39" s="4" t="str">
        <f>'Indirect Costs'!C50</f>
        <v>C1-34</v>
      </c>
      <c r="H39" s="800" t="str">
        <f>_xlfn.XLOOKUP(G39,'Indirect Costs'!C:C,'Indirect Costs'!D:D)</f>
        <v>Limpieza</v>
      </c>
    </row>
    <row r="40" spans="2:8" x14ac:dyDescent="0.3">
      <c r="B40" s="638" t="s">
        <v>424</v>
      </c>
      <c r="C40" s="4" t="s">
        <v>445</v>
      </c>
      <c r="D40" s="3">
        <v>46342</v>
      </c>
      <c r="E40" s="5">
        <f t="shared" si="2"/>
        <v>46356</v>
      </c>
      <c r="G40" s="4" t="str">
        <f>'Indirect Costs'!C51</f>
        <v>C1-35</v>
      </c>
      <c r="H40" s="800" t="str">
        <f>_xlfn.XLOOKUP(G40,'Indirect Costs'!C:C,'Indirect Costs'!D:D)</f>
        <v>Chófer transporte personal</v>
      </c>
    </row>
    <row r="41" spans="2:8" x14ac:dyDescent="0.3">
      <c r="B41" s="638" t="s">
        <v>426</v>
      </c>
      <c r="C41" s="4" t="s">
        <v>447</v>
      </c>
      <c r="D41" s="3">
        <v>46357</v>
      </c>
      <c r="E41" s="5">
        <f t="shared" si="2"/>
        <v>46371</v>
      </c>
      <c r="G41" s="4" t="str">
        <f>'Indirect Costs'!C52</f>
        <v>C2</v>
      </c>
      <c r="H41" s="800" t="str">
        <f>_xlfn.XLOOKUP(G41,'Indirect Costs'!C:C,'Indirect Costs'!D:D)</f>
        <v>EQUIPAMIENTO PARA PERSONAL DE OBRA</v>
      </c>
    </row>
    <row r="42" spans="2:8" x14ac:dyDescent="0.3">
      <c r="B42" s="637" t="s">
        <v>428</v>
      </c>
      <c r="C42" s="4" t="s">
        <v>449</v>
      </c>
      <c r="D42" s="3">
        <v>46372</v>
      </c>
      <c r="E42" s="5">
        <f t="shared" si="2"/>
        <v>46387</v>
      </c>
      <c r="G42" s="4" t="str">
        <f>'Indirect Costs'!C53</f>
        <v>C2-1</v>
      </c>
      <c r="H42" s="800" t="str">
        <f>_xlfn.XLOOKUP(G42,'Indirect Costs'!C:C,'Indirect Costs'!D:D)</f>
        <v>Vehículos Jefe de Obra</v>
      </c>
    </row>
    <row r="43" spans="2:8" x14ac:dyDescent="0.3">
      <c r="B43" s="638" t="s">
        <v>430</v>
      </c>
      <c r="C43" s="4" t="s">
        <v>2100</v>
      </c>
      <c r="D43" s="3">
        <v>46388</v>
      </c>
      <c r="E43" s="5">
        <f t="shared" si="2"/>
        <v>46402</v>
      </c>
      <c r="G43" s="4" t="str">
        <f>'Indirect Costs'!C54</f>
        <v>C2-2</v>
      </c>
      <c r="H43" s="800" t="str">
        <f>_xlfn.XLOOKUP(G43,'Indirect Costs'!C:C,'Indirect Costs'!D:D)</f>
        <v>Vehículos Jefe de Producción</v>
      </c>
    </row>
    <row r="44" spans="2:8" x14ac:dyDescent="0.3">
      <c r="B44" s="638" t="s">
        <v>432</v>
      </c>
      <c r="C44" s="4" t="s">
        <v>2101</v>
      </c>
      <c r="D44" s="3">
        <v>46403</v>
      </c>
      <c r="E44" s="5">
        <f t="shared" si="2"/>
        <v>46418</v>
      </c>
      <c r="G44" s="4" t="str">
        <f>'Indirect Costs'!C55</f>
        <v>C2-3</v>
      </c>
      <c r="H44" s="800" t="str">
        <f>_xlfn.XLOOKUP(G44,'Indirect Costs'!C:C,'Indirect Costs'!D:D)</f>
        <v>Vehículos Capataz</v>
      </c>
    </row>
    <row r="45" spans="2:8" x14ac:dyDescent="0.3">
      <c r="B45" s="638" t="s">
        <v>434</v>
      </c>
      <c r="C45" s="4" t="s">
        <v>2102</v>
      </c>
      <c r="D45" s="3">
        <v>46419</v>
      </c>
      <c r="E45" s="5">
        <f t="shared" si="2"/>
        <v>46433</v>
      </c>
      <c r="G45" s="4" t="str">
        <f>'Indirect Costs'!C56</f>
        <v>C2-4</v>
      </c>
      <c r="H45" s="800" t="str">
        <f>_xlfn.XLOOKUP(G45,'Indirect Costs'!C:C,'Indirect Costs'!D:D)</f>
        <v>Vehículo Plataforma</v>
      </c>
    </row>
    <row r="46" spans="2:8" x14ac:dyDescent="0.3">
      <c r="B46" s="638" t="s">
        <v>436</v>
      </c>
      <c r="C46" s="4" t="s">
        <v>2103</v>
      </c>
      <c r="D46" s="3">
        <v>46434</v>
      </c>
      <c r="E46" s="5">
        <f t="shared" si="2"/>
        <v>46446</v>
      </c>
      <c r="G46" s="4" t="str">
        <f>'Indirect Costs'!C57</f>
        <v>C2-5</v>
      </c>
      <c r="H46" s="800" t="str">
        <f>_xlfn.XLOOKUP(G46,'Indirect Costs'!C:C,'Indirect Costs'!D:D)</f>
        <v>Remolque Cuello de Ganso</v>
      </c>
    </row>
    <row r="47" spans="2:8" x14ac:dyDescent="0.3">
      <c r="B47" s="638" t="s">
        <v>438</v>
      </c>
      <c r="C47" s="4" t="s">
        <v>2104</v>
      </c>
      <c r="D47" s="3">
        <v>46447</v>
      </c>
      <c r="E47" s="5">
        <f t="shared" si="2"/>
        <v>46461</v>
      </c>
      <c r="G47" s="4" t="str">
        <f>'Indirect Costs'!C58</f>
        <v>C2-6</v>
      </c>
      <c r="H47" s="800" t="str">
        <f>_xlfn.XLOOKUP(G47,'Indirect Costs'!C:C,'Indirect Costs'!D:D)</f>
        <v>Vehículo de transporte para personal</v>
      </c>
    </row>
    <row r="48" spans="2:8" x14ac:dyDescent="0.3">
      <c r="B48" s="638" t="s">
        <v>440</v>
      </c>
      <c r="C48" s="4" t="s">
        <v>2105</v>
      </c>
      <c r="D48" s="3">
        <v>46462</v>
      </c>
      <c r="E48" s="5">
        <f t="shared" si="2"/>
        <v>46477</v>
      </c>
      <c r="G48" s="4" t="str">
        <f>'Indirect Costs'!C59</f>
        <v>C2-7</v>
      </c>
      <c r="H48" s="800" t="str">
        <f>_xlfn.XLOOKUP(G48,'Indirect Costs'!C:C,'Indirect Costs'!D:D)</f>
        <v>Combustible para vehículos de trabajo</v>
      </c>
    </row>
    <row r="49" spans="2:8" x14ac:dyDescent="0.3">
      <c r="B49" s="638" t="s">
        <v>442</v>
      </c>
      <c r="C49" s="4" t="s">
        <v>2106</v>
      </c>
      <c r="D49" s="3">
        <v>46478</v>
      </c>
      <c r="E49" s="5">
        <f t="shared" si="2"/>
        <v>46492</v>
      </c>
      <c r="G49" s="4" t="str">
        <f>'Indirect Costs'!C60</f>
        <v>C2-8</v>
      </c>
      <c r="H49" s="800" t="str">
        <f>_xlfn.XLOOKUP(G49,'Indirect Costs'!C:C,'Indirect Costs'!D:D)</f>
        <v>Casetas de peaje</v>
      </c>
    </row>
    <row r="50" spans="2:8" x14ac:dyDescent="0.3">
      <c r="B50" s="638" t="s">
        <v>444</v>
      </c>
      <c r="C50" s="4" t="s">
        <v>2107</v>
      </c>
      <c r="D50" s="3">
        <v>46493</v>
      </c>
      <c r="E50" s="5">
        <f t="shared" si="2"/>
        <v>46507</v>
      </c>
      <c r="G50" s="4" t="str">
        <f>'Indirect Costs'!C61</f>
        <v>C2-9</v>
      </c>
      <c r="H50" s="800" t="str">
        <f>_xlfn.XLOOKUP(G50,'Indirect Costs'!C:C,'Indirect Costs'!D:D)</f>
        <v>Traslados para personal de obra</v>
      </c>
    </row>
    <row r="51" spans="2:8" x14ac:dyDescent="0.3">
      <c r="B51" s="638" t="s">
        <v>446</v>
      </c>
      <c r="C51" s="4" t="s">
        <v>2108</v>
      </c>
      <c r="D51" s="3">
        <v>46508</v>
      </c>
      <c r="E51" s="5">
        <f t="shared" si="2"/>
        <v>46522</v>
      </c>
      <c r="G51" s="4" t="str">
        <f>'Indirect Costs'!C62</f>
        <v>C2-10</v>
      </c>
      <c r="H51" s="800" t="str">
        <f>_xlfn.XLOOKUP(G51,'Indirect Costs'!C:C,'Indirect Costs'!D:D)</f>
        <v>Papelería</v>
      </c>
    </row>
    <row r="52" spans="2:8" ht="15" thickBot="1" x14ac:dyDescent="0.35">
      <c r="B52" s="639" t="s">
        <v>448</v>
      </c>
      <c r="C52" s="6" t="s">
        <v>2109</v>
      </c>
      <c r="D52" s="7">
        <v>46523</v>
      </c>
      <c r="E52" s="8">
        <v>46538</v>
      </c>
      <c r="G52" s="4" t="str">
        <f>'Indirect Costs'!C63</f>
        <v>C3</v>
      </c>
      <c r="H52" s="800" t="str">
        <f>_xlfn.XLOOKUP(G52,'Indirect Costs'!C:C,'Indirect Costs'!D:D)</f>
        <v>TRASLADOS Y HOSPEDAJES</v>
      </c>
    </row>
    <row r="53" spans="2:8" x14ac:dyDescent="0.3">
      <c r="G53" s="4" t="str">
        <f>'Indirect Costs'!C64</f>
        <v>C3-1</v>
      </c>
      <c r="H53" s="800" t="str">
        <f>_xlfn.XLOOKUP(G53,'Indirect Costs'!C:C,'Indirect Costs'!D:D)</f>
        <v>Casa Ingenieros de Obra</v>
      </c>
    </row>
    <row r="54" spans="2:8" x14ac:dyDescent="0.3">
      <c r="G54" s="4" t="str">
        <f>'Indirect Costs'!C65</f>
        <v>C3-2</v>
      </c>
      <c r="H54" s="800" t="str">
        <f>_xlfn.XLOOKUP(G54,'Indirect Costs'!C:C,'Indirect Costs'!D:D)</f>
        <v>Casa Personal de obra</v>
      </c>
    </row>
    <row r="55" spans="2:8" x14ac:dyDescent="0.3">
      <c r="G55" s="4" t="str">
        <f>'Indirect Costs'!C66</f>
        <v>C3-3</v>
      </c>
      <c r="H55" s="800" t="str">
        <f>_xlfn.XLOOKUP(G55,'Indirect Costs'!C:C,'Indirect Costs'!D:D)</f>
        <v>Patio de armado</v>
      </c>
    </row>
    <row r="56" spans="2:8" x14ac:dyDescent="0.3">
      <c r="G56" s="4" t="str">
        <f>'Indirect Costs'!C67</f>
        <v>C3-4</v>
      </c>
      <c r="H56" s="800" t="str">
        <f>_xlfn.XLOOKUP(G56,'Indirect Costs'!C:C,'Indirect Costs'!D:D)</f>
        <v>Hoteles</v>
      </c>
    </row>
    <row r="57" spans="2:8" x14ac:dyDescent="0.3">
      <c r="G57" s="4" t="str">
        <f>'Indirect Costs'!C68</f>
        <v>C3-5</v>
      </c>
      <c r="H57" s="800" t="str">
        <f>_xlfn.XLOOKUP(G57,'Indirect Costs'!C:C,'Indirect Costs'!D:D)</f>
        <v>Vuelos</v>
      </c>
    </row>
    <row r="58" spans="2:8" x14ac:dyDescent="0.3">
      <c r="G58" s="4" t="str">
        <f>'Indirect Costs'!C69</f>
        <v>C3-6</v>
      </c>
      <c r="H58" s="800" t="str">
        <f>_xlfn.XLOOKUP(G58,'Indirect Costs'!C:C,'Indirect Costs'!D:D)</f>
        <v>Taxis</v>
      </c>
    </row>
    <row r="59" spans="2:8" x14ac:dyDescent="0.3">
      <c r="G59" s="4" t="str">
        <f>'Indirect Costs'!C70</f>
        <v>C3-7</v>
      </c>
      <c r="H59" s="800" t="str">
        <f>_xlfn.XLOOKUP(G59,'Indirect Costs'!C:C,'Indirect Costs'!D:D)</f>
        <v>Depósito en garantía Renta de Casas</v>
      </c>
    </row>
    <row r="60" spans="2:8" x14ac:dyDescent="0.3">
      <c r="G60" s="4" t="str">
        <f>'Indirect Costs'!C71</f>
        <v>C4</v>
      </c>
      <c r="H60" s="800" t="str">
        <f>_xlfn.XLOOKUP(G60,'Indirect Costs'!C:C,'Indirect Costs'!D:D)</f>
        <v>GASTOS DE OFICINA CENTRAL</v>
      </c>
    </row>
    <row r="61" spans="2:8" x14ac:dyDescent="0.3">
      <c r="G61" s="4" t="str">
        <f>'Indirect Costs'!C72</f>
        <v>C4-1</v>
      </c>
      <c r="H61" s="800" t="str">
        <f>_xlfn.XLOOKUP(G61,'Indirect Costs'!C:C,'Indirect Costs'!D:D)</f>
        <v>Contabilidad</v>
      </c>
    </row>
    <row r="62" spans="2:8" x14ac:dyDescent="0.3">
      <c r="G62" s="4" t="str">
        <f>'Indirect Costs'!C73</f>
        <v>C4-2</v>
      </c>
      <c r="H62" s="800" t="str">
        <f>_xlfn.XLOOKUP(G62,'Indirect Costs'!C:C,'Indirect Costs'!D:D)</f>
        <v>Papelería</v>
      </c>
    </row>
    <row r="63" spans="2:8" x14ac:dyDescent="0.3">
      <c r="G63" s="4" t="str">
        <f>'Indirect Costs'!C74</f>
        <v>C4-3</v>
      </c>
      <c r="H63" s="800" t="str">
        <f>_xlfn.XLOOKUP(G63,'Indirect Costs'!C:C,'Indirect Costs'!D:D)</f>
        <v>Equipos de computación</v>
      </c>
    </row>
    <row r="64" spans="2:8" x14ac:dyDescent="0.3">
      <c r="G64" s="4" t="str">
        <f>'Indirect Costs'!C75</f>
        <v>C4-4</v>
      </c>
      <c r="H64" s="800" t="str">
        <f>_xlfn.XLOOKUP(G64,'Indirect Costs'!C:C,'Indirect Costs'!D:D)</f>
        <v>Impresoras y equipo auxiliar de oficina</v>
      </c>
    </row>
    <row r="65" spans="7:8" x14ac:dyDescent="0.3">
      <c r="G65" s="4" t="str">
        <f>'Indirect Costs'!C76</f>
        <v>C4-5</v>
      </c>
      <c r="H65" s="800" t="str">
        <f>_xlfn.XLOOKUP(G65,'Indirect Costs'!C:C,'Indirect Costs'!D:D)</f>
        <v>Combustible para vehículos de trabajo</v>
      </c>
    </row>
    <row r="66" spans="7:8" x14ac:dyDescent="0.3">
      <c r="G66" s="4" t="str">
        <f>'Indirect Costs'!C77</f>
        <v>C4-6</v>
      </c>
      <c r="H66" s="800" t="str">
        <f>_xlfn.XLOOKUP(G66,'Indirect Costs'!C:C,'Indirect Costs'!D:D)</f>
        <v>Comidas ejecutivas</v>
      </c>
    </row>
    <row r="67" spans="7:8" x14ac:dyDescent="0.3">
      <c r="G67" s="4" t="str">
        <f>'Indirect Costs'!C78</f>
        <v>C4-7</v>
      </c>
      <c r="H67" s="800" t="str">
        <f>_xlfn.XLOOKUP(G67,'Indirect Costs'!C:C,'Indirect Costs'!D:D)</f>
        <v>Viáticos oficina central</v>
      </c>
    </row>
    <row r="68" spans="7:8" x14ac:dyDescent="0.3">
      <c r="G68" s="4" t="str">
        <f>'Indirect Costs'!C79</f>
        <v>C4-8</v>
      </c>
      <c r="H68" s="800" t="str">
        <f>_xlfn.XLOOKUP(G68,'Indirect Costs'!C:C,'Indirect Costs'!D:D)</f>
        <v>Depósito casa en sitio Directivos</v>
      </c>
    </row>
    <row r="69" spans="7:8" x14ac:dyDescent="0.3">
      <c r="G69" s="4" t="str">
        <f>'Indirect Costs'!C80</f>
        <v>C4-9</v>
      </c>
      <c r="H69" s="800" t="str">
        <f>_xlfn.XLOOKUP(G69,'Indirect Costs'!C:C,'Indirect Costs'!D:D)</f>
        <v>Casa en sitio Directivos</v>
      </c>
    </row>
    <row r="70" spans="7:8" x14ac:dyDescent="0.3">
      <c r="G70" s="4" t="str">
        <f>'Indirect Costs'!C81</f>
        <v>C4-10</v>
      </c>
      <c r="H70" s="800" t="str">
        <f>_xlfn.XLOOKUP(G70,'Indirect Costs'!C:C,'Indirect Costs'!D:D)</f>
        <v>Gastos fase de licitación</v>
      </c>
    </row>
    <row r="71" spans="7:8" x14ac:dyDescent="0.3">
      <c r="G71" s="4" t="str">
        <f>'Indirect Costs'!C82</f>
        <v>C5</v>
      </c>
      <c r="H71" s="800" t="str">
        <f>_xlfn.XLOOKUP(G71,'Indirect Costs'!C:C,'Indirect Costs'!D:D)</f>
        <v>IMPLANTACION EN SITIO DE OBRA</v>
      </c>
    </row>
    <row r="72" spans="7:8" x14ac:dyDescent="0.3">
      <c r="G72" s="4" t="str">
        <f>'Indirect Costs'!C83</f>
        <v>C5-1</v>
      </c>
      <c r="H72" s="800" t="str">
        <f>_xlfn.XLOOKUP(G72,'Indirect Costs'!C:C,'Indirect Costs'!D:D)</f>
        <v>Ejecución de terracerías</v>
      </c>
    </row>
    <row r="73" spans="7:8" x14ac:dyDescent="0.3">
      <c r="G73" s="4" t="str">
        <f>'Indirect Costs'!C84</f>
        <v>C5-2</v>
      </c>
      <c r="H73" s="800" t="str">
        <f>_xlfn.XLOOKUP(G73,'Indirect Costs'!C:C,'Indirect Costs'!D:D)</f>
        <v>Losas de concreto p/ implantación</v>
      </c>
    </row>
    <row r="74" spans="7:8" x14ac:dyDescent="0.3">
      <c r="G74" s="4" t="str">
        <f>'Indirect Costs'!C85</f>
        <v>C5-3</v>
      </c>
      <c r="H74" s="800" t="str">
        <f>_xlfn.XLOOKUP(G74,'Indirect Costs'!C:C,'Indirect Costs'!D:D)</f>
        <v>Pago de permisos para acceso</v>
      </c>
    </row>
    <row r="75" spans="7:8" x14ac:dyDescent="0.3">
      <c r="G75" s="4" t="str">
        <f>'Indirect Costs'!C86</f>
        <v>C5-4</v>
      </c>
      <c r="H75" s="800" t="str">
        <f>_xlfn.XLOOKUP(G75,'Indirect Costs'!C:C,'Indirect Costs'!D:D)</f>
        <v>Cercado perimetral</v>
      </c>
    </row>
    <row r="76" spans="7:8" x14ac:dyDescent="0.3">
      <c r="G76" s="4" t="str">
        <f>'Indirect Costs'!C87</f>
        <v>C5-5</v>
      </c>
      <c r="H76" s="800" t="str">
        <f>_xlfn.XLOOKUP(G76,'Indirect Costs'!C:C,'Indirect Costs'!D:D)</f>
        <v>Permisos para agua/ luz en sitio</v>
      </c>
    </row>
    <row r="77" spans="7:8" x14ac:dyDescent="0.3">
      <c r="G77" s="4" t="str">
        <f>'Indirect Costs'!C88</f>
        <v>C5-6</v>
      </c>
      <c r="H77" s="800" t="str">
        <f>_xlfn.XLOOKUP(G77,'Indirect Costs'!C:C,'Indirect Costs'!D:D)</f>
        <v>Mobilización de oficina/ camper</v>
      </c>
    </row>
    <row r="78" spans="7:8" x14ac:dyDescent="0.3">
      <c r="G78" s="4" t="str">
        <f>'Indirect Costs'!C89</f>
        <v>C5-7</v>
      </c>
      <c r="H78" s="800" t="str">
        <f>_xlfn.XLOOKUP(G78,'Indirect Costs'!C:C,'Indirect Costs'!D:D)</f>
        <v>Apertura de caminos a sitio de obra</v>
      </c>
    </row>
    <row r="79" spans="7:8" x14ac:dyDescent="0.3">
      <c r="G79" s="4" t="str">
        <f>'Indirect Costs'!C90</f>
        <v>C5-8</v>
      </c>
      <c r="H79" s="800" t="str">
        <f>_xlfn.XLOOKUP(G79,'Indirect Costs'!C:C,'Indirect Costs'!D:D)</f>
        <v>Desmovilización y limpieza de sitio</v>
      </c>
    </row>
    <row r="80" spans="7:8" x14ac:dyDescent="0.3">
      <c r="G80" s="4" t="str">
        <f>'Indirect Costs'!C91</f>
        <v>C6</v>
      </c>
      <c r="H80" s="800" t="str">
        <f>_xlfn.XLOOKUP(G80,'Indirect Costs'!C:C,'Indirect Costs'!D:D)</f>
        <v>OTROS COSTOS OPERATIVOS</v>
      </c>
    </row>
    <row r="81" spans="7:8" x14ac:dyDescent="0.3">
      <c r="G81" s="4" t="str">
        <f>'Indirect Costs'!C92</f>
        <v>C6-1</v>
      </c>
      <c r="H81" s="800" t="str">
        <f>_xlfn.XLOOKUP(G81,'Indirect Costs'!C:C,'Indirect Costs'!D:D)</f>
        <v>Alquiler de oficina de obra</v>
      </c>
    </row>
    <row r="82" spans="7:8" x14ac:dyDescent="0.3">
      <c r="G82" s="4" t="str">
        <f>'Indirect Costs'!C93</f>
        <v>C6-2</v>
      </c>
      <c r="H82" s="800" t="str">
        <f>_xlfn.XLOOKUP(G82,'Indirect Costs'!C:C,'Indirect Costs'!D:D)</f>
        <v>Alquiler de camper de obra</v>
      </c>
    </row>
    <row r="83" spans="7:8" x14ac:dyDescent="0.3">
      <c r="G83" s="4" t="str">
        <f>'Indirect Costs'!C94</f>
        <v>C6-3</v>
      </c>
      <c r="H83" s="800" t="str">
        <f>_xlfn.XLOOKUP(G83,'Indirect Costs'!C:C,'Indirect Costs'!D:D)</f>
        <v>Arrendamiento de predios de obra</v>
      </c>
    </row>
    <row r="84" spans="7:8" x14ac:dyDescent="0.3">
      <c r="G84" s="4" t="str">
        <f>'Indirect Costs'!C95</f>
        <v>C6-4</v>
      </c>
      <c r="H84" s="800" t="str">
        <f>_xlfn.XLOOKUP(G84,'Indirect Costs'!C:C,'Indirect Costs'!D:D)</f>
        <v>Arrendamiento de Containers</v>
      </c>
    </row>
    <row r="85" spans="7:8" x14ac:dyDescent="0.3">
      <c r="G85" s="4" t="str">
        <f>'Indirect Costs'!C96</f>
        <v>C6-5</v>
      </c>
      <c r="H85" s="800" t="str">
        <f>_xlfn.XLOOKUP(G85,'Indirect Costs'!C:C,'Indirect Costs'!D:D)</f>
        <v>Renta bodega/ Almacén</v>
      </c>
    </row>
    <row r="86" spans="7:8" x14ac:dyDescent="0.3">
      <c r="G86" s="4" t="str">
        <f>'Indirect Costs'!C97</f>
        <v>C6-6</v>
      </c>
      <c r="H86" s="800" t="str">
        <f>_xlfn.XLOOKUP(G86,'Indirect Costs'!C:C,'Indirect Costs'!D:D)</f>
        <v>Adquisición de Drones/ cámaras</v>
      </c>
    </row>
    <row r="87" spans="7:8" x14ac:dyDescent="0.3">
      <c r="G87" s="4" t="str">
        <f>'Indirect Costs'!C98</f>
        <v>C6-7</v>
      </c>
      <c r="H87" s="800" t="str">
        <f>_xlfn.XLOOKUP(G87,'Indirect Costs'!C:C,'Indirect Costs'!D:D)</f>
        <v>Antena satelital Starlink</v>
      </c>
    </row>
    <row r="88" spans="7:8" x14ac:dyDescent="0.3">
      <c r="G88" s="4" t="str">
        <f>'Indirect Costs'!C99</f>
        <v>C6-8</v>
      </c>
      <c r="H88" s="800" t="str">
        <f>_xlfn.XLOOKUP(G88,'Indirect Costs'!C:C,'Indirect Costs'!D:D)</f>
        <v>Internet</v>
      </c>
    </row>
    <row r="89" spans="7:8" x14ac:dyDescent="0.3">
      <c r="G89" s="4" t="str">
        <f>'Indirect Costs'!C100</f>
        <v>C6-9</v>
      </c>
      <c r="H89" s="800" t="str">
        <f>_xlfn.XLOOKUP(G89,'Indirect Costs'!C:C,'Indirect Costs'!D:D)</f>
        <v>Correos ejecutivos</v>
      </c>
    </row>
    <row r="90" spans="7:8" x14ac:dyDescent="0.3">
      <c r="G90" s="4" t="str">
        <f>'Indirect Costs'!C101</f>
        <v>C6-10</v>
      </c>
      <c r="H90" s="800" t="str">
        <f>_xlfn.XLOOKUP(G90,'Indirect Costs'!C:C,'Indirect Costs'!D:D)</f>
        <v>Consumo de agua potable</v>
      </c>
    </row>
    <row r="91" spans="7:8" x14ac:dyDescent="0.3">
      <c r="G91" s="4" t="str">
        <f>'Indirect Costs'!C102</f>
        <v>C6-11</v>
      </c>
      <c r="H91" s="800" t="str">
        <f>_xlfn.XLOOKUP(G91,'Indirect Costs'!C:C,'Indirect Costs'!D:D)</f>
        <v>Consumo de hielo</v>
      </c>
    </row>
    <row r="92" spans="7:8" x14ac:dyDescent="0.3">
      <c r="G92" s="4" t="str">
        <f>'Indirect Costs'!C103</f>
        <v>C6-12</v>
      </c>
      <c r="H92" s="800" t="str">
        <f>_xlfn.XLOOKUP(G92,'Indirect Costs'!C:C,'Indirect Costs'!D:D)</f>
        <v>Publicidad - Vinilos- Pegatinas</v>
      </c>
    </row>
    <row r="93" spans="7:8" x14ac:dyDescent="0.3">
      <c r="G93" s="4" t="str">
        <f>'Indirect Costs'!C104</f>
        <v>C6-13</v>
      </c>
      <c r="H93" s="800" t="str">
        <f>_xlfn.XLOOKUP(G93,'Indirect Costs'!C:C,'Indirect Costs'!D:D)</f>
        <v>Señalética seguridad</v>
      </c>
    </row>
    <row r="94" spans="7:8" x14ac:dyDescent="0.3">
      <c r="G94" s="4" t="str">
        <f>'Indirect Costs'!C105</f>
        <v>C6-14</v>
      </c>
      <c r="H94" s="800" t="str">
        <f>_xlfn.XLOOKUP(G94,'Indirect Costs'!C:C,'Indirect Costs'!D:D)</f>
        <v>Disposición de basura</v>
      </c>
    </row>
    <row r="95" spans="7:8" x14ac:dyDescent="0.3">
      <c r="G95" s="4" t="str">
        <f>'Indirect Costs'!C106</f>
        <v>C6-15</v>
      </c>
      <c r="H95" s="800" t="str">
        <f>_xlfn.XLOOKUP(G95,'Indirect Costs'!C:C,'Indirect Costs'!D:D)</f>
        <v>Limpieza de baños</v>
      </c>
    </row>
    <row r="96" spans="7:8" x14ac:dyDescent="0.3">
      <c r="G96" s="4" t="str">
        <f>'Indirect Costs'!C107</f>
        <v>C6-16</v>
      </c>
      <c r="H96" s="800" t="str">
        <f>_xlfn.XLOOKUP(G96,'Indirect Costs'!C:C,'Indirect Costs'!D:D)</f>
        <v>Disposición de residuos peligrosos</v>
      </c>
    </row>
    <row r="97" spans="7:8" x14ac:dyDescent="0.3">
      <c r="G97" s="4" t="str">
        <f>'Indirect Costs'!C108</f>
        <v>C6-17</v>
      </c>
      <c r="H97" s="800" t="str">
        <f>_xlfn.XLOOKUP(G97,'Indirect Costs'!C:C,'Indirect Costs'!D:D)</f>
        <v>Renta de baños</v>
      </c>
    </row>
    <row r="98" spans="7:8" x14ac:dyDescent="0.3">
      <c r="G98" s="4" t="str">
        <f>'Indirect Costs'!C109</f>
        <v>C6-18</v>
      </c>
      <c r="H98" s="801">
        <f>_xlfn.XLOOKUP(G98,'Indirect Costs'!C:C,'Indirect Costs'!D:D)</f>
        <v>0</v>
      </c>
    </row>
    <row r="99" spans="7:8" x14ac:dyDescent="0.3">
      <c r="G99" s="4" t="str">
        <f>'Indirect Costs'!C110</f>
        <v>C6-19</v>
      </c>
      <c r="H99" s="800" t="str">
        <f>_xlfn.XLOOKUP(G99,'Indirect Costs'!C:C,'Indirect Costs'!D:D)</f>
        <v>Caja chica</v>
      </c>
    </row>
    <row r="100" spans="7:8" x14ac:dyDescent="0.3">
      <c r="G100" s="4" t="str">
        <f>'Indirect Costs'!C111</f>
        <v>C6-20</v>
      </c>
      <c r="H100" s="800" t="str">
        <f>_xlfn.XLOOKUP(G100,'Indirect Costs'!C:C,'Indirect Costs'!D:D)</f>
        <v>Kit médico de primeros auxilios</v>
      </c>
    </row>
    <row r="101" spans="7:8" x14ac:dyDescent="0.3">
      <c r="G101" s="4" t="str">
        <f>'Indirect Costs'!C112</f>
        <v>C6-21</v>
      </c>
      <c r="H101" s="800" t="str">
        <f>_xlfn.XLOOKUP(G101,'Indirect Costs'!C:C,'Indirect Costs'!D:D)</f>
        <v>Generador para camper de obra</v>
      </c>
    </row>
    <row r="102" spans="7:8" x14ac:dyDescent="0.3">
      <c r="G102" s="4" t="str">
        <f>'Indirect Costs'!C113</f>
        <v>C6-22</v>
      </c>
      <c r="H102" s="800" t="str">
        <f>_xlfn.XLOOKUP(G102,'Indirect Costs'!C:C,'Indirect Costs'!D:D)</f>
        <v>Torres de iluminación</v>
      </c>
    </row>
    <row r="103" spans="7:8" x14ac:dyDescent="0.3">
      <c r="G103" s="4" t="str">
        <f>'Indirect Costs'!C114</f>
        <v>C6-23</v>
      </c>
      <c r="H103" s="800" t="str">
        <f>_xlfn.XLOOKUP(G103,'Indirect Costs'!C:C,'Indirect Costs'!D:D)</f>
        <v>EPP</v>
      </c>
    </row>
    <row r="104" spans="7:8" x14ac:dyDescent="0.3">
      <c r="G104" s="4" t="str">
        <f>'Indirect Costs'!C115</f>
        <v>C6-24</v>
      </c>
      <c r="H104" s="800" t="str">
        <f>_xlfn.XLOOKUP(G104,'Indirect Costs'!C:C,'Indirect Costs'!D:D)</f>
        <v>GPS de vehículos</v>
      </c>
    </row>
    <row r="105" spans="7:8" x14ac:dyDescent="0.3">
      <c r="G105" s="4" t="str">
        <f>'Indirect Costs'!C116</f>
        <v>C7</v>
      </c>
      <c r="H105" s="800" t="str">
        <f>_xlfn.XLOOKUP(G105,'Indirect Costs'!C:C,'Indirect Costs'!D:D)</f>
        <v>FIANZAS, SEGUROS Y OTROS PREVIOS</v>
      </c>
    </row>
    <row r="106" spans="7:8" x14ac:dyDescent="0.3">
      <c r="G106" s="4" t="str">
        <f>'Indirect Costs'!C117</f>
        <v>C7-1</v>
      </c>
      <c r="H106" s="800" t="str">
        <f>_xlfn.XLOOKUP(G106,'Indirect Costs'!C:C,'Indirect Costs'!D:D)</f>
        <v>Fianza Anticipo (Aprox 1.3% del valor del anticipo c/IVA)</v>
      </c>
    </row>
    <row r="107" spans="7:8" x14ac:dyDescent="0.3">
      <c r="G107" s="4" t="str">
        <f>'Indirect Costs'!C118</f>
        <v>C7-2</v>
      </c>
      <c r="H107" s="800" t="str">
        <f>_xlfn.XLOOKUP(G107,'Indirect Costs'!C:C,'Indirect Costs'!D:D)</f>
        <v>Fianza Cumplimiento (Aprox 1.7% del valor afianzado)</v>
      </c>
    </row>
    <row r="108" spans="7:8" x14ac:dyDescent="0.3">
      <c r="G108" s="4" t="str">
        <f>'Indirect Costs'!C119</f>
        <v>C7-3</v>
      </c>
      <c r="H108" s="800" t="str">
        <f>_xlfn.XLOOKUP(G108,'Indirect Costs'!C:C,'Indirect Costs'!D:D)</f>
        <v>Fianza Vicios Ocultos (Aprox 1.3% del valor del anticipo)</v>
      </c>
    </row>
    <row r="109" spans="7:8" x14ac:dyDescent="0.3">
      <c r="G109" s="4" t="str">
        <f>'Indirect Costs'!C120</f>
        <v>C7-4</v>
      </c>
      <c r="H109" s="800" t="str">
        <f>_xlfn.XLOOKUP(G109,'Indirect Costs'!C:C,'Indirect Costs'!D:D)</f>
        <v>Seg. Resp. Civil (Aprox 0.11% del contrato c/IVA)</v>
      </c>
    </row>
    <row r="110" spans="7:8" x14ac:dyDescent="0.3">
      <c r="G110" s="4" t="str">
        <f>'Indirect Costs'!C121</f>
        <v>C7-5</v>
      </c>
      <c r="H110" s="800" t="str">
        <f>_xlfn.XLOOKUP(G110,'Indirect Costs'!C:C,'Indirect Costs'!D:D)</f>
        <v>Seguro GMM para empleados</v>
      </c>
    </row>
    <row r="111" spans="7:8" x14ac:dyDescent="0.3">
      <c r="G111" s="4" t="str">
        <f>'Indirect Costs'!C122</f>
        <v>C7-6</v>
      </c>
      <c r="H111" s="800" t="str">
        <f>_xlfn.XLOOKUP(G111,'Indirect Costs'!C:C,'Indirect Costs'!D:D)</f>
        <v>Otros seguros</v>
      </c>
    </row>
    <row r="112" spans="7:8" x14ac:dyDescent="0.3">
      <c r="G112" s="4" t="str">
        <f>'Indirect Costs'!C123</f>
        <v>C7-7</v>
      </c>
      <c r="H112" s="800" t="str">
        <f>_xlfn.XLOOKUP(G112,'Indirect Costs'!C:C,'Indirect Costs'!D:D)</f>
        <v>Diseño/ Ingeniería de Proyecto</v>
      </c>
    </row>
    <row r="113" spans="7:8" x14ac:dyDescent="0.3">
      <c r="G113" s="4" t="str">
        <f>'Indirect Costs'!C124</f>
        <v>C7-8</v>
      </c>
      <c r="H113" s="800" t="str">
        <f>_xlfn.XLOOKUP(G113,'Indirect Costs'!C:C,'Indirect Costs'!D:D)</f>
        <v>Financiamiento</v>
      </c>
    </row>
    <row r="114" spans="7:8" x14ac:dyDescent="0.3">
      <c r="G114" s="4" t="str">
        <f>'Indirect Costs'!C125</f>
        <v>C7-9</v>
      </c>
      <c r="H114" s="800" t="str">
        <f>_xlfn.XLOOKUP(G114,'Indirect Costs'!C:C,'Indirect Costs'!D:D)</f>
        <v>Efecto inflación</v>
      </c>
    </row>
    <row r="115" spans="7:8" x14ac:dyDescent="0.3">
      <c r="G115" s="4" t="str">
        <f>'Indirect Costs'!C126</f>
        <v>C7-10</v>
      </c>
      <c r="H115" s="800" t="str">
        <f>_xlfn.XLOOKUP(G115,'Indirect Costs'!C:C,'Indirect Costs'!D:D)</f>
        <v>Usos jurídicos</v>
      </c>
    </row>
    <row r="116" spans="7:8" x14ac:dyDescent="0.3">
      <c r="G116" s="4" t="str">
        <f>'Indirect Costs'!C127</f>
        <v>C7-11</v>
      </c>
      <c r="H116" s="800" t="str">
        <f>_xlfn.XLOOKUP(G116,'Indirect Costs'!C:C,'Indirect Costs'!D:D)</f>
        <v>Relaciones públicas y Publicidad</v>
      </c>
    </row>
    <row r="117" spans="7:8" x14ac:dyDescent="0.3">
      <c r="G117" s="4" t="str">
        <f>'Indirect Costs'!C128</f>
        <v>C7-12</v>
      </c>
      <c r="H117" s="800" t="str">
        <f>_xlfn.XLOOKUP(G117,'Indirect Costs'!C:C,'Indirect Costs'!D:D)</f>
        <v>Pruebas de laboratorio</v>
      </c>
    </row>
    <row r="118" spans="7:8" x14ac:dyDescent="0.3">
      <c r="G118" s="4" t="str">
        <f>'Indirect Costs'!C129</f>
        <v>C7-13</v>
      </c>
      <c r="H118" s="800" t="str">
        <f>_xlfn.XLOOKUP(G118,'Indirect Costs'!C:C,'Indirect Costs'!D:D)</f>
        <v>Barreras de desvío de tráfico</v>
      </c>
    </row>
    <row r="119" spans="7:8" x14ac:dyDescent="0.3">
      <c r="G119" s="4" t="str">
        <f>'Indirect Costs'!C130</f>
        <v>C7-14</v>
      </c>
      <c r="H119" s="800" t="str">
        <f>_xlfn.XLOOKUP(G119,'Indirect Costs'!C:C,'Indirect Costs'!D:D)</f>
        <v>Barreras de desvío peatonal</v>
      </c>
    </row>
    <row r="120" spans="7:8" x14ac:dyDescent="0.3">
      <c r="G120" s="4" t="str">
        <f>'Indirect Costs'!C131</f>
        <v>C7-15</v>
      </c>
      <c r="H120" s="800" t="str">
        <f>_xlfn.XLOOKUP(G120,'Indirect Costs'!C:C,'Indirect Costs'!D:D)</f>
        <v>Costos fase de Licitación</v>
      </c>
    </row>
    <row r="121" spans="7:8" x14ac:dyDescent="0.3">
      <c r="G121" s="4" t="str">
        <f>'Indirect Costs'!C132</f>
        <v>C8</v>
      </c>
      <c r="H121" s="800" t="str">
        <f>_xlfn.XLOOKUP(G121,'Indirect Costs'!C:C,'Indirect Costs'!D:D)</f>
        <v>PROYECTOS, GESTIONES E IMPUESTOS</v>
      </c>
    </row>
    <row r="122" spans="7:8" x14ac:dyDescent="0.3">
      <c r="G122" s="4" t="str">
        <f>'Indirect Costs'!C133</f>
        <v>C8-1</v>
      </c>
      <c r="H122" s="800" t="str">
        <f>_xlfn.XLOOKUP(G122,'Indirect Costs'!C:C,'Indirect Costs'!D:D)</f>
        <v>Gestiones especiales</v>
      </c>
    </row>
    <row r="123" spans="7:8" x14ac:dyDescent="0.3">
      <c r="G123" s="4" t="str">
        <f>'Indirect Costs'!C134</f>
        <v>C8-2</v>
      </c>
      <c r="H123" s="800" t="str">
        <f>_xlfn.XLOOKUP(G123,'Indirect Costs'!C:C,'Indirect Costs'!D:D)</f>
        <v>Impuestos (ISR Prov) Aprox 2.84% S/neto</v>
      </c>
    </row>
    <row r="124" spans="7:8" x14ac:dyDescent="0.3">
      <c r="G124" s="4" t="str">
        <f>'Indirect Costs'!C135</f>
        <v>C8-3</v>
      </c>
      <c r="H124" s="800" t="str">
        <f>_xlfn.XLOOKUP(G124,'Indirect Costs'!C:C,'Indirect Costs'!D:D)</f>
        <v>Efectos cambiarios</v>
      </c>
    </row>
    <row r="125" spans="7:8" x14ac:dyDescent="0.3">
      <c r="G125" s="4" t="str">
        <f>'Indirect Costs'!C136</f>
        <v>C8-4</v>
      </c>
      <c r="H125" s="800" t="str">
        <f>_xlfn.XLOOKUP(G125,'Indirect Costs'!C:C,'Indirect Costs'!D:D)</f>
        <v>Costo Licitación</v>
      </c>
    </row>
    <row r="126" spans="7:8" x14ac:dyDescent="0.3">
      <c r="G126" s="4" t="str">
        <f>'Indirect Costs'!C137</f>
        <v>C8-5</v>
      </c>
      <c r="H126" s="800" t="str">
        <f>_xlfn.XLOOKUP(G126,'Indirect Costs'!C:C,'Indirect Costs'!D:D)</f>
        <v>Margen de seguridad</v>
      </c>
    </row>
    <row r="127" spans="7:8" x14ac:dyDescent="0.3">
      <c r="G127" s="4" t="str">
        <f>'Indirect Costs'!C138</f>
        <v>C8-6</v>
      </c>
      <c r="H127" s="800" t="str">
        <f>_xlfn.XLOOKUP(G127,'Indirect Costs'!C:C,'Indirect Costs'!D:D)</f>
        <v>Entrega As Built</v>
      </c>
    </row>
    <row r="128" spans="7:8" x14ac:dyDescent="0.3">
      <c r="G128" s="802" t="str">
        <f>'Costo Directo'!D14</f>
        <v>P1</v>
      </c>
      <c r="H128" s="803" t="str">
        <f>'Costo Directo'!E14</f>
        <v>SUBCONTRATOS</v>
      </c>
    </row>
    <row r="129" spans="7:8" x14ac:dyDescent="0.3">
      <c r="G129" s="802" t="str">
        <f>'Costo Directo'!D17</f>
        <v>MAN-P1-1</v>
      </c>
      <c r="H129" s="803" t="str">
        <f>'Costo Directo'!E17</f>
        <v>COLADO DE CONCRETO CON TUBO TREMIE. TIRO DIRECTO</v>
      </c>
    </row>
    <row r="130" spans="7:8" x14ac:dyDescent="0.3">
      <c r="G130" s="802" t="str">
        <f>'Costo Directo'!D18</f>
        <v>MAN-P1-2</v>
      </c>
      <c r="H130" s="803" t="str">
        <f>'Costo Directo'!E18</f>
        <v>COLOCACIÓN DE ARMADO EN EXCAVACIÓN</v>
      </c>
    </row>
    <row r="131" spans="7:8" x14ac:dyDescent="0.3">
      <c r="G131" s="802" t="str">
        <f>'Costo Directo'!D19</f>
        <v>MAN-P1-3</v>
      </c>
      <c r="H131" s="803" t="str">
        <f>'Costo Directo'!E19</f>
        <v>FLETES DEL EQUIPO</v>
      </c>
    </row>
    <row r="132" spans="7:8" x14ac:dyDescent="0.3">
      <c r="G132" s="802" t="str">
        <f>'Costo Directo'!D20</f>
        <v>MAN-P1-4</v>
      </c>
      <c r="H132" s="803" t="str">
        <f>'Costo Directo'!E20</f>
        <v>HABILITADO DE ACERO CORRUGADO DE CUALQUIER DIÁMETRO</v>
      </c>
    </row>
    <row r="133" spans="7:8" x14ac:dyDescent="0.3">
      <c r="G133" s="802" t="str">
        <f>'Costo Directo'!D21</f>
        <v>MAN-P1-5</v>
      </c>
      <c r="H133" s="803" t="str">
        <f>'Costo Directo'!E21</f>
        <v>SUBCONTRATO DE EXCAVACIÓN POR MEDIOS MECÁNICOS</v>
      </c>
    </row>
    <row r="134" spans="7:8" x14ac:dyDescent="0.3">
      <c r="G134" s="802" t="str">
        <f>'Costo Directo'!D22</f>
        <v>MAN-P1-6</v>
      </c>
      <c r="H134" s="803" t="str">
        <f>'Costo Directo'!E22</f>
        <v>SUBCONTRATO DE GROUT Y BANQUETA (lote 10 pilas)</v>
      </c>
    </row>
    <row r="135" spans="7:8" x14ac:dyDescent="0.3">
      <c r="G135" s="802" t="str">
        <f>'Costo Directo'!D23</f>
        <v>MAN-P1-7</v>
      </c>
      <c r="H135" s="803">
        <f>'Costo Directo'!E23</f>
        <v>0</v>
      </c>
    </row>
    <row r="136" spans="7:8" x14ac:dyDescent="0.3">
      <c r="G136" s="802" t="str">
        <f>'Costo Directo'!D24</f>
        <v>MAN-P1-8</v>
      </c>
      <c r="H136" s="803">
        <f>'Costo Directo'!E24</f>
        <v>0</v>
      </c>
    </row>
    <row r="137" spans="7:8" x14ac:dyDescent="0.3">
      <c r="G137" s="802" t="str">
        <f>'Costo Directo'!D26</f>
        <v>P2</v>
      </c>
      <c r="H137" s="803" t="str">
        <f>'Costo Directo'!E26</f>
        <v>MAQUINARIA</v>
      </c>
    </row>
    <row r="138" spans="7:8" x14ac:dyDescent="0.3">
      <c r="G138" s="802" t="str">
        <f>'Costo Directo'!D29</f>
        <v>MAN-P2-1</v>
      </c>
      <c r="H138" s="803" t="str">
        <f>'Costo Directo'!E29</f>
        <v>CORTADORA DE CONCRETO</v>
      </c>
    </row>
    <row r="139" spans="7:8" x14ac:dyDescent="0.3">
      <c r="G139" s="802" t="str">
        <f>'Costo Directo'!D30</f>
        <v>MAN-P2-2</v>
      </c>
      <c r="H139" s="803" t="str">
        <f>'Costo Directo'!E30</f>
        <v>VIBRADOR DE CONCRETO</v>
      </c>
    </row>
    <row r="140" spans="7:8" x14ac:dyDescent="0.3">
      <c r="G140" s="802" t="str">
        <f>'Costo Directo'!D31</f>
        <v>MAN-P2-3</v>
      </c>
      <c r="H140" s="803" t="str">
        <f>'Costo Directo'!E31</f>
        <v>VIBROCOMPACTADOR MANUAL</v>
      </c>
    </row>
    <row r="141" spans="7:8" x14ac:dyDescent="0.3">
      <c r="G141" s="802" t="str">
        <f>'Costo Directo'!D32</f>
        <v>MAN-P2-4</v>
      </c>
      <c r="H141" s="803">
        <f>'Costo Directo'!E32</f>
        <v>0</v>
      </c>
    </row>
    <row r="142" spans="7:8" x14ac:dyDescent="0.3">
      <c r="G142" s="802" t="str">
        <f>'Costo Directo'!D33</f>
        <v>MAN-P2-5</v>
      </c>
      <c r="H142" s="803">
        <f>'Costo Directo'!E33</f>
        <v>0</v>
      </c>
    </row>
    <row r="143" spans="7:8" x14ac:dyDescent="0.3">
      <c r="G143" s="802" t="str">
        <f>'Costo Directo'!D34</f>
        <v>MAN-P2-6</v>
      </c>
      <c r="H143" s="803">
        <f>'Costo Directo'!E34</f>
        <v>0</v>
      </c>
    </row>
    <row r="144" spans="7:8" x14ac:dyDescent="0.3">
      <c r="G144" s="802" t="str">
        <f>'Costo Directo'!D35</f>
        <v>MAN-P2-7</v>
      </c>
      <c r="H144" s="803">
        <f>'Costo Directo'!E35</f>
        <v>0</v>
      </c>
    </row>
    <row r="145" spans="7:8" x14ac:dyDescent="0.3">
      <c r="G145" s="802" t="str">
        <f>'Costo Directo'!D36</f>
        <v>MAN-P2-8</v>
      </c>
      <c r="H145" s="803">
        <f>'Costo Directo'!E36</f>
        <v>0</v>
      </c>
    </row>
    <row r="146" spans="7:8" x14ac:dyDescent="0.3">
      <c r="G146" s="802" t="str">
        <f>'Costo Directo'!D37</f>
        <v>MAN-P2-9</v>
      </c>
      <c r="H146" s="803">
        <f>'Costo Directo'!E37</f>
        <v>0</v>
      </c>
    </row>
    <row r="147" spans="7:8" x14ac:dyDescent="0.3">
      <c r="G147" s="802" t="str">
        <f>'Costo Directo'!D38</f>
        <v>MAN-P2-10</v>
      </c>
      <c r="H147" s="803">
        <f>'Costo Directo'!E38</f>
        <v>0</v>
      </c>
    </row>
    <row r="148" spans="7:8" x14ac:dyDescent="0.3">
      <c r="G148" s="802" t="str">
        <f>'Costo Directo'!D39</f>
        <v>MAN-P2-11</v>
      </c>
      <c r="H148" s="803">
        <f>'Costo Directo'!E39</f>
        <v>0</v>
      </c>
    </row>
    <row r="149" spans="7:8" x14ac:dyDescent="0.3">
      <c r="G149" s="802" t="str">
        <f>'Costo Directo'!D40</f>
        <v>MAN-P2-12</v>
      </c>
      <c r="H149" s="803">
        <f>'Costo Directo'!E40</f>
        <v>0</v>
      </c>
    </row>
    <row r="150" spans="7:8" x14ac:dyDescent="0.3">
      <c r="G150" s="802" t="str">
        <f>'Costo Directo'!D41</f>
        <v>MAN-P2-13</v>
      </c>
      <c r="H150" s="803">
        <f>'Costo Directo'!E41</f>
        <v>0</v>
      </c>
    </row>
    <row r="151" spans="7:8" x14ac:dyDescent="0.3">
      <c r="G151" s="802" t="str">
        <f>'Costo Directo'!D42</f>
        <v>MAN-P2-14</v>
      </c>
      <c r="H151" s="803">
        <f>'Costo Directo'!E42</f>
        <v>0</v>
      </c>
    </row>
    <row r="152" spans="7:8" x14ac:dyDescent="0.3">
      <c r="G152" s="802" t="str">
        <f>'Costo Directo'!D43</f>
        <v>MAN-P2-15</v>
      </c>
      <c r="H152" s="803">
        <f>'Costo Directo'!E43</f>
        <v>0</v>
      </c>
    </row>
    <row r="153" spans="7:8" x14ac:dyDescent="0.3">
      <c r="G153" s="802" t="str">
        <f>'Costo Directo'!D44</f>
        <v>MAN-P2-16</v>
      </c>
      <c r="H153" s="803">
        <f>'Costo Directo'!E44</f>
        <v>0</v>
      </c>
    </row>
    <row r="154" spans="7:8" x14ac:dyDescent="0.3">
      <c r="G154" s="802" t="str">
        <f>'Costo Directo'!D45</f>
        <v>MAN-P2-17</v>
      </c>
      <c r="H154" s="803">
        <f>'Costo Directo'!E45</f>
        <v>0</v>
      </c>
    </row>
    <row r="155" spans="7:8" x14ac:dyDescent="0.3">
      <c r="G155" s="802" t="str">
        <f>'Costo Directo'!D46</f>
        <v>MAN-P2-18</v>
      </c>
      <c r="H155" s="803">
        <f>'Costo Directo'!E46</f>
        <v>0</v>
      </c>
    </row>
    <row r="156" spans="7:8" x14ac:dyDescent="0.3">
      <c r="G156" s="802" t="str">
        <f>'Costo Directo'!D47</f>
        <v>MAN-P2-19</v>
      </c>
      <c r="H156" s="803">
        <f>'Costo Directo'!E47</f>
        <v>0</v>
      </c>
    </row>
    <row r="157" spans="7:8" x14ac:dyDescent="0.3">
      <c r="G157" s="802" t="str">
        <f>'Costo Directo'!D48</f>
        <v>MAN-P2-20</v>
      </c>
      <c r="H157" s="803">
        <f>'Costo Directo'!E48</f>
        <v>0</v>
      </c>
    </row>
    <row r="158" spans="7:8" x14ac:dyDescent="0.3">
      <c r="G158" s="802" t="str">
        <f>'Costo Directo'!D49</f>
        <v>MAN-P2-21</v>
      </c>
      <c r="H158" s="803">
        <f>'Costo Directo'!E49</f>
        <v>0</v>
      </c>
    </row>
    <row r="159" spans="7:8" x14ac:dyDescent="0.3">
      <c r="G159" s="802" t="str">
        <f>'Costo Directo'!D50</f>
        <v>MAN-P2-22</v>
      </c>
      <c r="H159" s="803">
        <f>'Costo Directo'!E50</f>
        <v>0</v>
      </c>
    </row>
    <row r="160" spans="7:8" x14ac:dyDescent="0.3">
      <c r="G160" s="802" t="str">
        <f>'Costo Directo'!D51</f>
        <v>MAN-P2-23</v>
      </c>
      <c r="H160" s="803">
        <f>'Costo Directo'!E51</f>
        <v>0</v>
      </c>
    </row>
    <row r="161" spans="7:8" x14ac:dyDescent="0.3">
      <c r="G161" s="802" t="str">
        <f>'Costo Directo'!D52</f>
        <v>MAN-P2-24</v>
      </c>
      <c r="H161" s="803">
        <f>'Costo Directo'!E52</f>
        <v>0</v>
      </c>
    </row>
    <row r="162" spans="7:8" x14ac:dyDescent="0.3">
      <c r="G162" s="802" t="str">
        <f>'Costo Directo'!D53</f>
        <v>MAN-P2-25</v>
      </c>
      <c r="H162" s="803">
        <f>'Costo Directo'!E53</f>
        <v>0</v>
      </c>
    </row>
    <row r="163" spans="7:8" x14ac:dyDescent="0.3">
      <c r="G163" s="802" t="str">
        <f>'Costo Directo'!D54</f>
        <v>MAN-P2-26</v>
      </c>
      <c r="H163" s="803">
        <f>'Costo Directo'!E54</f>
        <v>0</v>
      </c>
    </row>
    <row r="164" spans="7:8" x14ac:dyDescent="0.3">
      <c r="G164" s="802" t="str">
        <f>'Costo Directo'!D55</f>
        <v>MAN-P2-27</v>
      </c>
      <c r="H164" s="803">
        <f>'Costo Directo'!E55</f>
        <v>0</v>
      </c>
    </row>
    <row r="165" spans="7:8" x14ac:dyDescent="0.3">
      <c r="G165" s="802" t="str">
        <f>'Costo Directo'!D56</f>
        <v>MAN-P2-28</v>
      </c>
      <c r="H165" s="803">
        <f>'Costo Directo'!E56</f>
        <v>0</v>
      </c>
    </row>
    <row r="166" spans="7:8" x14ac:dyDescent="0.3">
      <c r="G166" s="802" t="str">
        <f>'Costo Directo'!D57</f>
        <v>MAN-P2-29</v>
      </c>
      <c r="H166" s="803">
        <f>'Costo Directo'!E57</f>
        <v>0</v>
      </c>
    </row>
    <row r="167" spans="7:8" x14ac:dyDescent="0.3">
      <c r="G167" s="802" t="str">
        <f>'Costo Directo'!D58</f>
        <v>MAN-P2-30</v>
      </c>
      <c r="H167" s="803">
        <f>'Costo Directo'!E58</f>
        <v>0</v>
      </c>
    </row>
    <row r="168" spans="7:8" x14ac:dyDescent="0.3">
      <c r="G168" s="802" t="str">
        <f>'Costo Directo'!D59</f>
        <v>MAN-P2-31</v>
      </c>
      <c r="H168" s="803">
        <f>'Costo Directo'!E59</f>
        <v>0</v>
      </c>
    </row>
    <row r="169" spans="7:8" x14ac:dyDescent="0.3">
      <c r="G169" s="802" t="str">
        <f>'Costo Directo'!D60</f>
        <v>MAN-P2-32</v>
      </c>
      <c r="H169" s="803">
        <f>'Costo Directo'!E60</f>
        <v>0</v>
      </c>
    </row>
    <row r="170" spans="7:8" x14ac:dyDescent="0.3">
      <c r="G170" s="802" t="str">
        <f>'Costo Directo'!D61</f>
        <v>MAN-P2-33</v>
      </c>
      <c r="H170" s="803">
        <f>'Costo Directo'!E61</f>
        <v>0</v>
      </c>
    </row>
    <row r="171" spans="7:8" x14ac:dyDescent="0.3">
      <c r="G171" s="802" t="str">
        <f>'Costo Directo'!D62</f>
        <v>MAN-P2-34</v>
      </c>
      <c r="H171" s="803">
        <f>'Costo Directo'!E62</f>
        <v>0</v>
      </c>
    </row>
    <row r="172" spans="7:8" x14ac:dyDescent="0.3">
      <c r="G172" s="802" t="str">
        <f>'Costo Directo'!D63</f>
        <v>MAN-P2-35</v>
      </c>
      <c r="H172" s="803">
        <f>'Costo Directo'!E63</f>
        <v>0</v>
      </c>
    </row>
    <row r="173" spans="7:8" x14ac:dyDescent="0.3">
      <c r="G173" s="802" t="str">
        <f>'Costo Directo'!D64</f>
        <v>MAN-P2-36</v>
      </c>
      <c r="H173" s="803">
        <f>'Costo Directo'!E64</f>
        <v>0</v>
      </c>
    </row>
    <row r="174" spans="7:8" x14ac:dyDescent="0.3">
      <c r="G174" s="802" t="str">
        <f>'Costo Directo'!D65</f>
        <v>MAN-P2-37</v>
      </c>
      <c r="H174" s="803">
        <f>'Costo Directo'!E65</f>
        <v>0</v>
      </c>
    </row>
    <row r="175" spans="7:8" x14ac:dyDescent="0.3">
      <c r="G175" s="802" t="str">
        <f>'Costo Directo'!D66</f>
        <v>MAN-P2-38</v>
      </c>
      <c r="H175" s="803">
        <f>'Costo Directo'!E66</f>
        <v>0</v>
      </c>
    </row>
    <row r="176" spans="7:8" x14ac:dyDescent="0.3">
      <c r="G176" s="802" t="str">
        <f>'Costo Directo'!D68</f>
        <v>P3</v>
      </c>
      <c r="H176" s="803" t="str">
        <f>'Costo Directo'!E68</f>
        <v>MANO DE OBRA</v>
      </c>
    </row>
    <row r="177" spans="7:8" x14ac:dyDescent="0.3">
      <c r="G177" s="802" t="str">
        <f>'Costo Directo'!D71</f>
        <v>MAN-P3-1</v>
      </c>
      <c r="H177" s="803" t="str">
        <f>'Costo Directo'!E71</f>
        <v>AYUDANTE 01</v>
      </c>
    </row>
    <row r="178" spans="7:8" x14ac:dyDescent="0.3">
      <c r="G178" s="802" t="str">
        <f>'Costo Directo'!D72</f>
        <v>MAN-P3-2</v>
      </c>
      <c r="H178" s="803" t="str">
        <f>'Costo Directo'!E72</f>
        <v>AYUDANTE 02</v>
      </c>
    </row>
    <row r="179" spans="7:8" x14ac:dyDescent="0.3">
      <c r="G179" s="802" t="str">
        <f>'Costo Directo'!D73</f>
        <v>MAN-P3-3</v>
      </c>
      <c r="H179" s="803" t="str">
        <f>'Costo Directo'!E73</f>
        <v>OFICIAL</v>
      </c>
    </row>
    <row r="180" spans="7:8" x14ac:dyDescent="0.3">
      <c r="G180" s="802" t="str">
        <f>'Costo Directo'!D74</f>
        <v>MAN-P3-4</v>
      </c>
      <c r="H180" s="803">
        <f>'Costo Directo'!E74</f>
        <v>0</v>
      </c>
    </row>
    <row r="181" spans="7:8" x14ac:dyDescent="0.3">
      <c r="G181" s="802" t="str">
        <f>'Costo Directo'!D75</f>
        <v>MAN-P3-5</v>
      </c>
      <c r="H181" s="803">
        <f>'Costo Directo'!E75</f>
        <v>0</v>
      </c>
    </row>
    <row r="182" spans="7:8" x14ac:dyDescent="0.3">
      <c r="G182" s="802" t="str">
        <f>'Costo Directo'!D76</f>
        <v>MAN-P3-6</v>
      </c>
      <c r="H182" s="803">
        <f>'Costo Directo'!E76</f>
        <v>0</v>
      </c>
    </row>
    <row r="183" spans="7:8" x14ac:dyDescent="0.3">
      <c r="G183" s="802" t="str">
        <f>'Costo Directo'!D77</f>
        <v>MAN-P3-7</v>
      </c>
      <c r="H183" s="803">
        <f>'Costo Directo'!E77</f>
        <v>0</v>
      </c>
    </row>
    <row r="184" spans="7:8" x14ac:dyDescent="0.3">
      <c r="G184" s="802" t="str">
        <f>'Costo Directo'!D78</f>
        <v>MAN-P3-8</v>
      </c>
      <c r="H184" s="803">
        <f>'Costo Directo'!E78</f>
        <v>0</v>
      </c>
    </row>
    <row r="185" spans="7:8" x14ac:dyDescent="0.3">
      <c r="G185" s="802" t="str">
        <f>'Costo Directo'!D79</f>
        <v>MAN-P3-9</v>
      </c>
      <c r="H185" s="803">
        <f>'Costo Directo'!E79</f>
        <v>0</v>
      </c>
    </row>
    <row r="186" spans="7:8" x14ac:dyDescent="0.3">
      <c r="G186" s="802" t="str">
        <f>'Costo Directo'!D80</f>
        <v>MAN-P3-10</v>
      </c>
      <c r="H186" s="803">
        <f>'Costo Directo'!E80</f>
        <v>0</v>
      </c>
    </row>
    <row r="187" spans="7:8" x14ac:dyDescent="0.3">
      <c r="G187" s="802" t="str">
        <f>'Costo Directo'!D81</f>
        <v>MAN-P3-11</v>
      </c>
      <c r="H187" s="803">
        <f>'Costo Directo'!E81</f>
        <v>0</v>
      </c>
    </row>
    <row r="188" spans="7:8" x14ac:dyDescent="0.3">
      <c r="G188" s="802" t="str">
        <f>'Costo Directo'!D82</f>
        <v>MAN-P3-12</v>
      </c>
      <c r="H188" s="803">
        <f>'Costo Directo'!E82</f>
        <v>0</v>
      </c>
    </row>
    <row r="189" spans="7:8" x14ac:dyDescent="0.3">
      <c r="G189" s="802" t="str">
        <f>'Costo Directo'!D83</f>
        <v>MAN-P3-13</v>
      </c>
      <c r="H189" s="803">
        <f>'Costo Directo'!E83</f>
        <v>0</v>
      </c>
    </row>
    <row r="190" spans="7:8" x14ac:dyDescent="0.3">
      <c r="G190" s="802" t="str">
        <f>'Costo Directo'!D84</f>
        <v>MAN-P3-14</v>
      </c>
      <c r="H190" s="803">
        <f>'Costo Directo'!E84</f>
        <v>0</v>
      </c>
    </row>
    <row r="191" spans="7:8" x14ac:dyDescent="0.3">
      <c r="G191" s="802" t="str">
        <f>'Costo Directo'!D85</f>
        <v>MAN-P3-15</v>
      </c>
      <c r="H191" s="803">
        <f>'Costo Directo'!E85</f>
        <v>0</v>
      </c>
    </row>
    <row r="192" spans="7:8" x14ac:dyDescent="0.3">
      <c r="G192" s="802" t="str">
        <f>'Costo Directo'!D86</f>
        <v>MAN-P3-16</v>
      </c>
      <c r="H192" s="803">
        <f>'Costo Directo'!E86</f>
        <v>0</v>
      </c>
    </row>
    <row r="193" spans="7:8" x14ac:dyDescent="0.3">
      <c r="G193" s="802" t="str">
        <f>'Costo Directo'!D87</f>
        <v>MAN-P3-17</v>
      </c>
      <c r="H193" s="803">
        <f>'Costo Directo'!E87</f>
        <v>0</v>
      </c>
    </row>
    <row r="194" spans="7:8" x14ac:dyDescent="0.3">
      <c r="G194" s="802" t="str">
        <f>'Costo Directo'!D88</f>
        <v>MAN-P3-18</v>
      </c>
      <c r="H194" s="803">
        <f>'Costo Directo'!E88</f>
        <v>0</v>
      </c>
    </row>
    <row r="195" spans="7:8" x14ac:dyDescent="0.3">
      <c r="G195" s="802" t="str">
        <f>'Costo Directo'!D89</f>
        <v>MAN-P3-19</v>
      </c>
      <c r="H195" s="803">
        <f>'Costo Directo'!E89</f>
        <v>0</v>
      </c>
    </row>
    <row r="196" spans="7:8" x14ac:dyDescent="0.3">
      <c r="G196" s="802" t="str">
        <f>'Costo Directo'!D90</f>
        <v>MAN-P3-20</v>
      </c>
      <c r="H196" s="803">
        <f>'Costo Directo'!E90</f>
        <v>0</v>
      </c>
    </row>
    <row r="197" spans="7:8" x14ac:dyDescent="0.3">
      <c r="G197" s="802" t="str">
        <f>'Costo Directo'!D91</f>
        <v>MAN-P3-21</v>
      </c>
      <c r="H197" s="803">
        <f>'Costo Directo'!E91</f>
        <v>0</v>
      </c>
    </row>
    <row r="198" spans="7:8" x14ac:dyDescent="0.3">
      <c r="G198" s="802" t="str">
        <f>'Costo Directo'!D92</f>
        <v>MAN-P3-22</v>
      </c>
      <c r="H198" s="803">
        <f>'Costo Directo'!E92</f>
        <v>0</v>
      </c>
    </row>
    <row r="199" spans="7:8" x14ac:dyDescent="0.3">
      <c r="G199" s="802" t="str">
        <f>'Costo Directo'!D93</f>
        <v>MAN-P3-23</v>
      </c>
      <c r="H199" s="803">
        <f>'Costo Directo'!E93</f>
        <v>0</v>
      </c>
    </row>
    <row r="200" spans="7:8" x14ac:dyDescent="0.3">
      <c r="G200" s="802" t="str">
        <f>'Costo Directo'!D94</f>
        <v>MAN-P3-24</v>
      </c>
      <c r="H200" s="803">
        <f>'Costo Directo'!E94</f>
        <v>0</v>
      </c>
    </row>
    <row r="201" spans="7:8" x14ac:dyDescent="0.3">
      <c r="G201" s="802" t="str">
        <f>'Costo Directo'!D95</f>
        <v>MAN-P3-25</v>
      </c>
      <c r="H201" s="803">
        <f>'Costo Directo'!E95</f>
        <v>0</v>
      </c>
    </row>
    <row r="202" spans="7:8" x14ac:dyDescent="0.3">
      <c r="G202" s="802" t="str">
        <f>'Costo Directo'!D96</f>
        <v>MAN-P3-26</v>
      </c>
      <c r="H202" s="803">
        <f>'Costo Directo'!E96</f>
        <v>0</v>
      </c>
    </row>
    <row r="203" spans="7:8" x14ac:dyDescent="0.3">
      <c r="G203" s="802" t="str">
        <f>'Costo Directo'!D97</f>
        <v>MAN-P3-27</v>
      </c>
      <c r="H203" s="803">
        <f>'Costo Directo'!E97</f>
        <v>0</v>
      </c>
    </row>
    <row r="204" spans="7:8" x14ac:dyDescent="0.3">
      <c r="G204" s="802" t="str">
        <f>'Costo Directo'!D98</f>
        <v>MAN-P3-28</v>
      </c>
      <c r="H204" s="803">
        <f>'Costo Directo'!E98</f>
        <v>0</v>
      </c>
    </row>
    <row r="205" spans="7:8" x14ac:dyDescent="0.3">
      <c r="G205" s="802" t="str">
        <f>'Costo Directo'!D99</f>
        <v>MAN-P3-29</v>
      </c>
      <c r="H205" s="803">
        <f>'Costo Directo'!E99</f>
        <v>0</v>
      </c>
    </row>
    <row r="206" spans="7:8" x14ac:dyDescent="0.3">
      <c r="G206" s="802" t="str">
        <f>'Costo Directo'!D100</f>
        <v>MAN-P3-30</v>
      </c>
      <c r="H206" s="803">
        <f>'Costo Directo'!E100</f>
        <v>0</v>
      </c>
    </row>
    <row r="207" spans="7:8" x14ac:dyDescent="0.3">
      <c r="G207" s="802" t="str">
        <f>'Costo Directo'!D101</f>
        <v>MAN-P3-31</v>
      </c>
      <c r="H207" s="803">
        <f>'Costo Directo'!E101</f>
        <v>0</v>
      </c>
    </row>
    <row r="208" spans="7:8" x14ac:dyDescent="0.3">
      <c r="G208" s="802" t="str">
        <f>'Costo Directo'!D102</f>
        <v>MAN-P3-32</v>
      </c>
      <c r="H208" s="803">
        <f>'Costo Directo'!E102</f>
        <v>0</v>
      </c>
    </row>
    <row r="209" spans="7:8" x14ac:dyDescent="0.3">
      <c r="G209" s="802" t="str">
        <f>'Costo Directo'!D103</f>
        <v>MAN-P3-33</v>
      </c>
      <c r="H209" s="803">
        <f>'Costo Directo'!E103</f>
        <v>0</v>
      </c>
    </row>
    <row r="210" spans="7:8" x14ac:dyDescent="0.3">
      <c r="G210" s="802" t="str">
        <f>'Costo Directo'!D104</f>
        <v>MAN-P3-34</v>
      </c>
      <c r="H210" s="803">
        <f>'Costo Directo'!E104</f>
        <v>0</v>
      </c>
    </row>
    <row r="211" spans="7:8" x14ac:dyDescent="0.3">
      <c r="G211" s="802" t="str">
        <f>'Costo Directo'!D105</f>
        <v>MAN-P3-35</v>
      </c>
      <c r="H211" s="803">
        <f>'Costo Directo'!E105</f>
        <v>0</v>
      </c>
    </row>
    <row r="212" spans="7:8" x14ac:dyDescent="0.3">
      <c r="G212" s="802" t="str">
        <f>'Costo Directo'!D106</f>
        <v>MAN-P3-36</v>
      </c>
      <c r="H212" s="803">
        <f>'Costo Directo'!E106</f>
        <v>0</v>
      </c>
    </row>
    <row r="213" spans="7:8" x14ac:dyDescent="0.3">
      <c r="G213" s="802" t="str">
        <f>'Costo Directo'!D107</f>
        <v>MAN-P3-37</v>
      </c>
      <c r="H213" s="803">
        <f>'Costo Directo'!E107</f>
        <v>0</v>
      </c>
    </row>
    <row r="214" spans="7:8" x14ac:dyDescent="0.3">
      <c r="G214" s="802" t="str">
        <f>'Costo Directo'!D108</f>
        <v>MAN-P3-38</v>
      </c>
      <c r="H214" s="803">
        <f>'Costo Directo'!E108</f>
        <v>0</v>
      </c>
    </row>
    <row r="215" spans="7:8" x14ac:dyDescent="0.3">
      <c r="G215" s="802" t="str">
        <f>'Costo Directo'!D109</f>
        <v>MAN-P3-39</v>
      </c>
      <c r="H215" s="803">
        <f>'Costo Directo'!E109</f>
        <v>0</v>
      </c>
    </row>
    <row r="216" spans="7:8" x14ac:dyDescent="0.3">
      <c r="G216" s="802" t="str">
        <f>'Costo Directo'!D110</f>
        <v>MAN-P3-40</v>
      </c>
      <c r="H216" s="803">
        <f>'Costo Directo'!E110</f>
        <v>0</v>
      </c>
    </row>
    <row r="217" spans="7:8" x14ac:dyDescent="0.3">
      <c r="G217" s="802" t="str">
        <f>'Costo Directo'!D111</f>
        <v>MAN-P3-41</v>
      </c>
      <c r="H217" s="803">
        <f>'Costo Directo'!E111</f>
        <v>0</v>
      </c>
    </row>
    <row r="218" spans="7:8" x14ac:dyDescent="0.3">
      <c r="G218" s="802" t="str">
        <f>'Costo Directo'!D112</f>
        <v>MAN-P3-42</v>
      </c>
      <c r="H218" s="803">
        <f>'Costo Directo'!E112</f>
        <v>0</v>
      </c>
    </row>
    <row r="219" spans="7:8" x14ac:dyDescent="0.3">
      <c r="G219" s="802" t="str">
        <f>'Costo Directo'!D113</f>
        <v>MAN-P3-43</v>
      </c>
      <c r="H219" s="803">
        <f>'Costo Directo'!E113</f>
        <v>0</v>
      </c>
    </row>
    <row r="220" spans="7:8" x14ac:dyDescent="0.3">
      <c r="G220" s="802" t="str">
        <f>'Costo Directo'!D114</f>
        <v>MAN-P3-44</v>
      </c>
      <c r="H220" s="803">
        <f>'Costo Directo'!E114</f>
        <v>0</v>
      </c>
    </row>
    <row r="221" spans="7:8" x14ac:dyDescent="0.3">
      <c r="G221" s="802" t="str">
        <f>'Costo Directo'!D115</f>
        <v>MAN-P3-45</v>
      </c>
      <c r="H221" s="803">
        <f>'Costo Directo'!E115</f>
        <v>0</v>
      </c>
    </row>
    <row r="222" spans="7:8" x14ac:dyDescent="0.3">
      <c r="G222" s="802" t="str">
        <f>'Costo Directo'!D116</f>
        <v>MAN-P3-46</v>
      </c>
      <c r="H222" s="803">
        <f>'Costo Directo'!E116</f>
        <v>0</v>
      </c>
    </row>
    <row r="223" spans="7:8" x14ac:dyDescent="0.3">
      <c r="G223" s="802" t="str">
        <f>'Costo Directo'!D117</f>
        <v>MAN-P3-47</v>
      </c>
      <c r="H223" s="803">
        <f>'Costo Directo'!E117</f>
        <v>0</v>
      </c>
    </row>
    <row r="224" spans="7:8" x14ac:dyDescent="0.3">
      <c r="G224" s="802" t="str">
        <f>'Costo Directo'!D118</f>
        <v>MAN-P3-48</v>
      </c>
      <c r="H224" s="803">
        <f>'Costo Directo'!E118</f>
        <v>0</v>
      </c>
    </row>
    <row r="225" spans="7:8" x14ac:dyDescent="0.3">
      <c r="G225" s="802" t="str">
        <f>'Costo Directo'!D119</f>
        <v>MAN-P3-49</v>
      </c>
      <c r="H225" s="803">
        <f>'Costo Directo'!E119</f>
        <v>0</v>
      </c>
    </row>
    <row r="226" spans="7:8" x14ac:dyDescent="0.3">
      <c r="G226" s="802" t="str">
        <f>'Costo Directo'!D121</f>
        <v>P4</v>
      </c>
      <c r="H226" s="803" t="str">
        <f>'Costo Directo'!E121</f>
        <v>MATERIALES</v>
      </c>
    </row>
    <row r="227" spans="7:8" x14ac:dyDescent="0.3">
      <c r="G227" s="802" t="str">
        <f>'Costo Directo'!D124</f>
        <v>MAN-P4-1</v>
      </c>
      <c r="H227" s="803" t="str">
        <f>'Costo Directo'!E124</f>
        <v>ADITIVO CURADOR</v>
      </c>
    </row>
    <row r="228" spans="7:8" x14ac:dyDescent="0.3">
      <c r="G228" s="802" t="str">
        <f>'Costo Directo'!D125</f>
        <v>MAN-P4-2</v>
      </c>
      <c r="H228" s="803" t="str">
        <f>'Costo Directo'!E125</f>
        <v>ADITIVO DESMOLDANTE SIKA O SIMILAR</v>
      </c>
    </row>
    <row r="229" spans="7:8" x14ac:dyDescent="0.3">
      <c r="G229" s="802" t="str">
        <f>'Costo Directo'!D126</f>
        <v>MAN-P4-3</v>
      </c>
      <c r="H229" s="803" t="str">
        <f>'Costo Directo'!E126</f>
        <v>AGUA</v>
      </c>
    </row>
    <row r="230" spans="7:8" x14ac:dyDescent="0.3">
      <c r="G230" s="802" t="str">
        <f>'Costo Directo'!D127</f>
        <v>MAN-P4-4</v>
      </c>
      <c r="H230" s="803" t="str">
        <f>'Costo Directo'!E127</f>
        <v>ALAMBRE RECOCIDO</v>
      </c>
    </row>
    <row r="231" spans="7:8" x14ac:dyDescent="0.3">
      <c r="G231" s="802" t="str">
        <f>'Costo Directo'!D128</f>
        <v>MAN-P4-5</v>
      </c>
      <c r="H231" s="803" t="str">
        <f>'Costo Directo'!E128</f>
        <v>ARENA</v>
      </c>
    </row>
    <row r="232" spans="7:8" x14ac:dyDescent="0.3">
      <c r="G232" s="802" t="str">
        <f>'Costo Directo'!D129</f>
        <v>MAN-P4-6</v>
      </c>
      <c r="H232" s="803" t="str">
        <f>'Costo Directo'!E129</f>
        <v>CEMENTO</v>
      </c>
    </row>
    <row r="233" spans="7:8" x14ac:dyDescent="0.3">
      <c r="G233" s="802" t="str">
        <f>'Costo Directo'!D130</f>
        <v>MAN-P4-7</v>
      </c>
      <c r="H233" s="803" t="str">
        <f>'Costo Directo'!E130</f>
        <v>CONCRETO F'C=250 KG/CM2</v>
      </c>
    </row>
    <row r="234" spans="7:8" x14ac:dyDescent="0.3">
      <c r="G234" s="802" t="str">
        <f>'Costo Directo'!D131</f>
        <v>MAN-P4-8</v>
      </c>
      <c r="H234" s="803" t="str">
        <f>'Costo Directo'!E131</f>
        <v>GRAVA</v>
      </c>
    </row>
    <row r="235" spans="7:8" x14ac:dyDescent="0.3">
      <c r="G235" s="802" t="str">
        <f>'Costo Directo'!D132</f>
        <v>MAN-P4-9</v>
      </c>
      <c r="H235" s="803" t="str">
        <f>'Costo Directo'!E132</f>
        <v>MADERA PARA CIMBRA DE FRONTERA DE PILA</v>
      </c>
    </row>
    <row r="236" spans="7:8" x14ac:dyDescent="0.3">
      <c r="G236" s="802" t="str">
        <f>'Costo Directo'!D133</f>
        <v>MAN-P4-10</v>
      </c>
      <c r="H236" s="803" t="str">
        <f>'Costo Directo'!E133</f>
        <v>MALLA NARANJA DE PERFORACIÓN</v>
      </c>
    </row>
    <row r="237" spans="7:8" x14ac:dyDescent="0.3">
      <c r="G237" s="802" t="str">
        <f>'Costo Directo'!D134</f>
        <v>MAN-P4-11</v>
      </c>
      <c r="H237" s="803" t="str">
        <f>'Costo Directo'!E134</f>
        <v>MORTERO CEMENTICIO AUTONIVELANTE IMPAC GROUT PRO O SIMILAR</v>
      </c>
    </row>
    <row r="238" spans="7:8" x14ac:dyDescent="0.3">
      <c r="G238" s="802" t="str">
        <f>'Costo Directo'!D135</f>
        <v>MAN-P4-12</v>
      </c>
      <c r="H238" s="803" t="str">
        <f>'Costo Directo'!E135</f>
        <v>POSTE ANARANJADO DE 1.2M PARA CONTROL VIAL</v>
      </c>
    </row>
    <row r="239" spans="7:8" x14ac:dyDescent="0.3">
      <c r="G239" s="802" t="str">
        <f>'Costo Directo'!D136</f>
        <v>MAN-P4-13</v>
      </c>
      <c r="H239" s="803" t="str">
        <f>'Costo Directo'!E136</f>
        <v>SILLETAS INFERIORES (SU 75 Ó SIMILAR)</v>
      </c>
    </row>
    <row r="240" spans="7:8" x14ac:dyDescent="0.3">
      <c r="G240" s="802" t="str">
        <f>'Costo Directo'!D137</f>
        <v>MAN-P4-14</v>
      </c>
      <c r="H240" s="803" t="str">
        <f>'Costo Directo'!E137</f>
        <v>SILLETAS LATERALES (PIL 50 Ó SIMILAR)</v>
      </c>
    </row>
    <row r="241" spans="7:8" x14ac:dyDescent="0.3">
      <c r="G241" s="802" t="str">
        <f>'Costo Directo'!D138</f>
        <v>MAN-P4-15</v>
      </c>
      <c r="H241" s="803" t="str">
        <f>'Costo Directo'!E138</f>
        <v>TUBO DE PVC VERDE DE 1"</v>
      </c>
    </row>
    <row r="242" spans="7:8" x14ac:dyDescent="0.3">
      <c r="G242" s="802" t="str">
        <f>'Costo Directo'!D139</f>
        <v>MAN-P4-16</v>
      </c>
      <c r="H242" s="803" t="str">
        <f>'Costo Directo'!E139</f>
        <v>VARILLA CORRUGADA #03</v>
      </c>
    </row>
    <row r="243" spans="7:8" x14ac:dyDescent="0.3">
      <c r="G243" s="802" t="str">
        <f>'Costo Directo'!D140</f>
        <v>MAN-P4-17</v>
      </c>
      <c r="H243" s="803" t="str">
        <f>'Costo Directo'!E140</f>
        <v>VARILLA CORRUGADA #06</v>
      </c>
    </row>
    <row r="244" spans="7:8" x14ac:dyDescent="0.3">
      <c r="G244" s="802" t="str">
        <f>'Costo Directo'!D141</f>
        <v>MAN-P4-18</v>
      </c>
      <c r="H244" s="803" t="str">
        <f>'Costo Directo'!E141</f>
        <v>OTROS MATERIALES</v>
      </c>
    </row>
    <row r="245" spans="7:8" x14ac:dyDescent="0.3">
      <c r="G245" s="802" t="str">
        <f>'Costo Directo'!D142</f>
        <v>MAN-P4-19</v>
      </c>
      <c r="H245" s="803">
        <f>'Costo Directo'!E142</f>
        <v>0</v>
      </c>
    </row>
    <row r="246" spans="7:8" x14ac:dyDescent="0.3">
      <c r="G246" s="802" t="str">
        <f>'Costo Directo'!D143</f>
        <v>MAN-P4-20</v>
      </c>
      <c r="H246" s="803">
        <f>'Costo Directo'!E143</f>
        <v>0</v>
      </c>
    </row>
    <row r="247" spans="7:8" x14ac:dyDescent="0.3">
      <c r="G247" s="802" t="str">
        <f>'Costo Directo'!D144</f>
        <v>MAN-P4-21</v>
      </c>
      <c r="H247" s="803">
        <f>'Costo Directo'!E144</f>
        <v>0</v>
      </c>
    </row>
    <row r="248" spans="7:8" x14ac:dyDescent="0.3">
      <c r="G248" s="802" t="str">
        <f>'Costo Directo'!D145</f>
        <v>MAN-P4-22</v>
      </c>
      <c r="H248" s="803">
        <f>'Costo Directo'!E145</f>
        <v>0</v>
      </c>
    </row>
    <row r="249" spans="7:8" x14ac:dyDescent="0.3">
      <c r="G249" s="802" t="str">
        <f>'Costo Directo'!D146</f>
        <v>MAN-P4-23</v>
      </c>
      <c r="H249" s="803">
        <f>'Costo Directo'!E146</f>
        <v>0</v>
      </c>
    </row>
    <row r="250" spans="7:8" x14ac:dyDescent="0.3">
      <c r="G250" s="802" t="str">
        <f>'Costo Directo'!D147</f>
        <v>MAN-P4-24</v>
      </c>
      <c r="H250" s="803">
        <f>'Costo Directo'!E147</f>
        <v>0</v>
      </c>
    </row>
    <row r="251" spans="7:8" x14ac:dyDescent="0.3">
      <c r="G251" s="802" t="str">
        <f>'Costo Directo'!D148</f>
        <v>MAN-P4-25</v>
      </c>
      <c r="H251" s="803">
        <f>'Costo Directo'!E148</f>
        <v>0</v>
      </c>
    </row>
    <row r="252" spans="7:8" x14ac:dyDescent="0.3">
      <c r="G252" s="802" t="str">
        <f>'Costo Directo'!D149</f>
        <v>MAN-P4-26</v>
      </c>
      <c r="H252" s="803">
        <f>'Costo Directo'!E149</f>
        <v>0</v>
      </c>
    </row>
    <row r="253" spans="7:8" x14ac:dyDescent="0.3">
      <c r="G253" s="802" t="str">
        <f>'Costo Directo'!D150</f>
        <v>MAN-P4-27</v>
      </c>
      <c r="H253" s="803">
        <f>'Costo Directo'!E150</f>
        <v>0</v>
      </c>
    </row>
    <row r="254" spans="7:8" x14ac:dyDescent="0.3">
      <c r="G254" s="802" t="str">
        <f>'Costo Directo'!D151</f>
        <v>MAN-P4-28</v>
      </c>
      <c r="H254" s="803">
        <f>'Costo Directo'!E151</f>
        <v>0</v>
      </c>
    </row>
    <row r="255" spans="7:8" x14ac:dyDescent="0.3">
      <c r="G255" s="802" t="str">
        <f>'Costo Directo'!D152</f>
        <v>MAN-P4-29</v>
      </c>
      <c r="H255" s="803">
        <f>'Costo Directo'!E152</f>
        <v>0</v>
      </c>
    </row>
    <row r="256" spans="7:8" x14ac:dyDescent="0.3">
      <c r="G256" s="802" t="str">
        <f>'Costo Directo'!D153</f>
        <v>MAN-P4-30</v>
      </c>
      <c r="H256" s="803">
        <f>'Costo Directo'!E153</f>
        <v>0</v>
      </c>
    </row>
    <row r="257" spans="7:8" x14ac:dyDescent="0.3">
      <c r="G257" s="802" t="str">
        <f>'Costo Directo'!D154</f>
        <v>MAN-P4-31</v>
      </c>
      <c r="H257" s="803">
        <f>'Costo Directo'!E154</f>
        <v>0</v>
      </c>
    </row>
    <row r="258" spans="7:8" x14ac:dyDescent="0.3">
      <c r="G258" s="802" t="str">
        <f>'Costo Directo'!D155</f>
        <v>MAN-P4-32</v>
      </c>
      <c r="H258" s="803">
        <f>'Costo Directo'!E155</f>
        <v>0</v>
      </c>
    </row>
    <row r="259" spans="7:8" x14ac:dyDescent="0.3">
      <c r="G259" s="802" t="str">
        <f>'Costo Directo'!D156</f>
        <v>MAN-P4-33</v>
      </c>
      <c r="H259" s="803">
        <f>'Costo Directo'!E156</f>
        <v>0</v>
      </c>
    </row>
    <row r="260" spans="7:8" x14ac:dyDescent="0.3">
      <c r="G260" s="802" t="str">
        <f>'Costo Directo'!D157</f>
        <v>MAN-P4-34</v>
      </c>
      <c r="H260" s="803">
        <f>'Costo Directo'!E157</f>
        <v>0</v>
      </c>
    </row>
    <row r="261" spans="7:8" x14ac:dyDescent="0.3">
      <c r="G261" s="802" t="str">
        <f>'Costo Directo'!D158</f>
        <v>MAN-P4-35</v>
      </c>
      <c r="H261" s="803">
        <f>'Costo Directo'!E158</f>
        <v>0</v>
      </c>
    </row>
    <row r="262" spans="7:8" x14ac:dyDescent="0.3">
      <c r="G262" s="802" t="str">
        <f>'Costo Directo'!D159</f>
        <v>MAN-P4-36</v>
      </c>
      <c r="H262" s="803">
        <f>'Costo Directo'!E159</f>
        <v>0</v>
      </c>
    </row>
    <row r="263" spans="7:8" x14ac:dyDescent="0.3">
      <c r="G263" s="802" t="str">
        <f>'Costo Directo'!D160</f>
        <v>MAN-P4-37</v>
      </c>
      <c r="H263" s="803">
        <f>'Costo Directo'!E160</f>
        <v>0</v>
      </c>
    </row>
    <row r="264" spans="7:8" x14ac:dyDescent="0.3">
      <c r="G264" s="802" t="str">
        <f>'Costo Directo'!D161</f>
        <v>MAN-P4-38</v>
      </c>
      <c r="H264" s="803">
        <f>'Costo Directo'!E161</f>
        <v>0</v>
      </c>
    </row>
    <row r="265" spans="7:8" x14ac:dyDescent="0.3">
      <c r="G265" s="802" t="str">
        <f>'Costo Directo'!D162</f>
        <v>MAN-P4-39</v>
      </c>
      <c r="H265" s="803">
        <f>'Costo Directo'!E162</f>
        <v>0</v>
      </c>
    </row>
    <row r="266" spans="7:8" x14ac:dyDescent="0.3">
      <c r="G266" s="802" t="str">
        <f>'Costo Directo'!D163</f>
        <v>MAN-P4-40</v>
      </c>
      <c r="H266" s="803">
        <f>'Costo Directo'!E163</f>
        <v>0</v>
      </c>
    </row>
    <row r="267" spans="7:8" x14ac:dyDescent="0.3">
      <c r="G267" s="802" t="str">
        <f>'Costo Directo'!D164</f>
        <v>MAN-P4-41</v>
      </c>
      <c r="H267" s="803">
        <f>'Costo Directo'!E164</f>
        <v>0</v>
      </c>
    </row>
    <row r="268" spans="7:8" x14ac:dyDescent="0.3">
      <c r="G268" s="802" t="str">
        <f>'Costo Directo'!D165</f>
        <v>MAN-P4-42</v>
      </c>
      <c r="H268" s="803">
        <f>'Costo Directo'!E165</f>
        <v>0</v>
      </c>
    </row>
    <row r="269" spans="7:8" x14ac:dyDescent="0.3">
      <c r="G269" s="802" t="str">
        <f>'Costo Directo'!D166</f>
        <v>MAN-P4-43</v>
      </c>
      <c r="H269" s="803">
        <f>'Costo Directo'!E166</f>
        <v>0</v>
      </c>
    </row>
    <row r="270" spans="7:8" x14ac:dyDescent="0.3">
      <c r="G270" s="802" t="str">
        <f>'Costo Directo'!D167</f>
        <v>MAN-P4-44</v>
      </c>
      <c r="H270" s="803">
        <f>'Costo Directo'!E167</f>
        <v>0</v>
      </c>
    </row>
    <row r="271" spans="7:8" x14ac:dyDescent="0.3">
      <c r="G271" s="802" t="str">
        <f>'Costo Directo'!D168</f>
        <v>MAN-P4-45</v>
      </c>
      <c r="H271" s="803">
        <f>'Costo Directo'!E168</f>
        <v>0</v>
      </c>
    </row>
    <row r="272" spans="7:8" x14ac:dyDescent="0.3">
      <c r="G272" s="802" t="str">
        <f>'Costo Directo'!D169</f>
        <v>MAN-P4-46</v>
      </c>
      <c r="H272" s="803">
        <f>'Costo Directo'!E169</f>
        <v>0</v>
      </c>
    </row>
    <row r="273" spans="7:8" x14ac:dyDescent="0.3">
      <c r="G273" s="802" t="str">
        <f>'Costo Directo'!D170</f>
        <v>MAN-P4-47</v>
      </c>
      <c r="H273" s="803">
        <f>'Costo Directo'!E170</f>
        <v>0</v>
      </c>
    </row>
    <row r="274" spans="7:8" x14ac:dyDescent="0.3">
      <c r="G274" s="802" t="str">
        <f>'Costo Directo'!D171</f>
        <v>MAN-P4-48</v>
      </c>
      <c r="H274" s="803">
        <f>'Costo Directo'!E171</f>
        <v>0</v>
      </c>
    </row>
    <row r="275" spans="7:8" x14ac:dyDescent="0.3">
      <c r="G275" s="802" t="str">
        <f>'Costo Directo'!D172</f>
        <v>MAN-P4-49</v>
      </c>
      <c r="H275" s="803">
        <f>'Costo Directo'!E172</f>
        <v>0</v>
      </c>
    </row>
    <row r="276" spans="7:8" x14ac:dyDescent="0.3">
      <c r="G276" s="802" t="str">
        <f>'Costo Directo'!D174</f>
        <v>P5</v>
      </c>
      <c r="H276" s="803" t="str">
        <f>'Costo Directo'!E174</f>
        <v>ACARREOS</v>
      </c>
    </row>
    <row r="277" spans="7:8" x14ac:dyDescent="0.3">
      <c r="G277" s="802" t="str">
        <f>'Costo Directo'!D177</f>
        <v>MAN-P5-1</v>
      </c>
      <c r="H277" s="803" t="str">
        <f>'Costo Directo'!E177</f>
        <v>ACARREO A BANCO DE TIRO</v>
      </c>
    </row>
    <row r="278" spans="7:8" x14ac:dyDescent="0.3">
      <c r="G278" s="802" t="str">
        <f>'Costo Directo'!D178</f>
        <v>MAN-P5-2</v>
      </c>
      <c r="H278" s="803">
        <f>'Costo Directo'!E178</f>
        <v>0</v>
      </c>
    </row>
    <row r="279" spans="7:8" x14ac:dyDescent="0.3">
      <c r="G279" s="802" t="str">
        <f>'Costo Directo'!D179</f>
        <v>MAN-P5-3</v>
      </c>
      <c r="H279" s="803">
        <f>'Costo Directo'!E179</f>
        <v>0</v>
      </c>
    </row>
    <row r="280" spans="7:8" x14ac:dyDescent="0.3">
      <c r="G280" s="802" t="str">
        <f>'Costo Directo'!D180</f>
        <v>MAN-P5-4</v>
      </c>
      <c r="H280" s="803">
        <f>'Costo Directo'!E180</f>
        <v>0</v>
      </c>
    </row>
    <row r="281" spans="7:8" x14ac:dyDescent="0.3">
      <c r="G281" s="802" t="str">
        <f>'Costo Directo'!D181</f>
        <v>MAN-P5-5</v>
      </c>
      <c r="H281" s="803">
        <f>'Costo Directo'!E181</f>
        <v>0</v>
      </c>
    </row>
    <row r="282" spans="7:8" x14ac:dyDescent="0.3">
      <c r="G282" s="802" t="str">
        <f>'Costo Directo'!D182</f>
        <v>MAN-P5-6</v>
      </c>
      <c r="H282" s="803">
        <f>'Costo Directo'!E182</f>
        <v>0</v>
      </c>
    </row>
    <row r="283" spans="7:8" x14ac:dyDescent="0.3">
      <c r="G283" s="802" t="str">
        <f>'Costo Directo'!D183</f>
        <v>MAN-P5-7</v>
      </c>
      <c r="H283" s="803">
        <f>'Costo Directo'!E183</f>
        <v>0</v>
      </c>
    </row>
    <row r="284" spans="7:8" x14ac:dyDescent="0.3">
      <c r="G284" s="802" t="str">
        <f>'Costo Directo'!D184</f>
        <v>MAN-P5-8</v>
      </c>
      <c r="H284" s="803">
        <f>'Costo Directo'!E184</f>
        <v>0</v>
      </c>
    </row>
    <row r="285" spans="7:8" x14ac:dyDescent="0.3">
      <c r="G285" s="802" t="str">
        <f>'Costo Directo'!D185</f>
        <v>MAN-P5-9</v>
      </c>
      <c r="H285" s="803">
        <f>'Costo Directo'!E185</f>
        <v>0</v>
      </c>
    </row>
    <row r="286" spans="7:8" x14ac:dyDescent="0.3">
      <c r="G286" s="802" t="str">
        <f>'Costo Directo'!D187</f>
        <v>P6</v>
      </c>
      <c r="H286" s="803" t="str">
        <f>'Costo Directo'!E187</f>
        <v>Fletes</v>
      </c>
    </row>
    <row r="287" spans="7:8" x14ac:dyDescent="0.3">
      <c r="G287" s="802" t="str">
        <f>'Costo Directo'!D190</f>
        <v>MAN-P6-1</v>
      </c>
      <c r="H287" s="803">
        <f>'Costo Directo'!E190</f>
        <v>0</v>
      </c>
    </row>
    <row r="288" spans="7:8" x14ac:dyDescent="0.3">
      <c r="G288" s="802" t="str">
        <f>'Costo Directo'!D191</f>
        <v>MAN-P6-2</v>
      </c>
      <c r="H288" s="803">
        <f>'Costo Directo'!E191</f>
        <v>0</v>
      </c>
    </row>
    <row r="289" spans="7:8" x14ac:dyDescent="0.3">
      <c r="G289" s="802" t="str">
        <f>'Costo Directo'!D192</f>
        <v>MAN-P6-3</v>
      </c>
      <c r="H289" s="803">
        <f>'Costo Directo'!E192</f>
        <v>0</v>
      </c>
    </row>
    <row r="290" spans="7:8" x14ac:dyDescent="0.3">
      <c r="G290" s="802" t="str">
        <f>'Costo Directo'!D193</f>
        <v>MAN-P6-4</v>
      </c>
      <c r="H290" s="803">
        <f>'Costo Directo'!E193</f>
        <v>0</v>
      </c>
    </row>
    <row r="291" spans="7:8" x14ac:dyDescent="0.3">
      <c r="G291" s="802" t="str">
        <f>'Costo Directo'!D194</f>
        <v>MAN-P6-5</v>
      </c>
      <c r="H291" s="803">
        <f>'Costo Directo'!E194</f>
        <v>0</v>
      </c>
    </row>
    <row r="292" spans="7:8" x14ac:dyDescent="0.3">
      <c r="G292" s="802" t="str">
        <f>'Costo Directo'!D195</f>
        <v>MAN-P6-6</v>
      </c>
      <c r="H292" s="803">
        <f>'Costo Directo'!E195</f>
        <v>0</v>
      </c>
    </row>
    <row r="293" spans="7:8" x14ac:dyDescent="0.3">
      <c r="G293" s="802" t="str">
        <f>'Costo Directo'!D196</f>
        <v>MAN-P6-7</v>
      </c>
      <c r="H293" s="803">
        <f>'Costo Directo'!E196</f>
        <v>0</v>
      </c>
    </row>
    <row r="294" spans="7:8" x14ac:dyDescent="0.3">
      <c r="G294" s="802" t="str">
        <f>'Costo Directo'!D197</f>
        <v>MAN-P6-8</v>
      </c>
      <c r="H294" s="803">
        <f>'Costo Directo'!E197</f>
        <v>0</v>
      </c>
    </row>
    <row r="295" spans="7:8" x14ac:dyDescent="0.3">
      <c r="G295" s="802" t="str">
        <f>'Costo Directo'!D198</f>
        <v>MAN-P6-9</v>
      </c>
      <c r="H295" s="803">
        <f>'Costo Directo'!E198</f>
        <v>0</v>
      </c>
    </row>
    <row r="296" spans="7:8" x14ac:dyDescent="0.3">
      <c r="G296" s="802" t="str">
        <f>'Costo Directo'!D199</f>
        <v>MAN-P6-10</v>
      </c>
      <c r="H296" s="803">
        <f>'Costo Directo'!E199</f>
        <v>0</v>
      </c>
    </row>
    <row r="297" spans="7:8" x14ac:dyDescent="0.3">
      <c r="G297" s="802" t="str">
        <f>'Costo Directo'!D200</f>
        <v>MAN-P6-11</v>
      </c>
      <c r="H297" s="803">
        <f>'Costo Directo'!E200</f>
        <v>0</v>
      </c>
    </row>
    <row r="298" spans="7:8" x14ac:dyDescent="0.3">
      <c r="G298" s="802" t="str">
        <f>'Costo Directo'!D201</f>
        <v>MAN-P6-12</v>
      </c>
      <c r="H298" s="803">
        <f>'Costo Directo'!E201</f>
        <v>0</v>
      </c>
    </row>
    <row r="299" spans="7:8" x14ac:dyDescent="0.3">
      <c r="G299" s="802" t="str">
        <f>'Costo Directo'!D202</f>
        <v>MAN-P6-13</v>
      </c>
      <c r="H299" s="803">
        <f>'Costo Directo'!E202</f>
        <v>0</v>
      </c>
    </row>
    <row r="300" spans="7:8" x14ac:dyDescent="0.3">
      <c r="G300" s="802" t="str">
        <f>'Costo Directo'!D203</f>
        <v>MAN-P6-14</v>
      </c>
      <c r="H300" s="803">
        <f>'Costo Directo'!E203</f>
        <v>0</v>
      </c>
    </row>
    <row r="301" spans="7:8" x14ac:dyDescent="0.3">
      <c r="G301" s="802" t="str">
        <f>'Costo Directo'!D204</f>
        <v>MAN-P6-15</v>
      </c>
      <c r="H301" s="803">
        <f>'Costo Directo'!E204</f>
        <v>0</v>
      </c>
    </row>
    <row r="302" spans="7:8" x14ac:dyDescent="0.3">
      <c r="G302" s="802" t="str">
        <f>'Costo Directo'!D205</f>
        <v>MAN-P6-16</v>
      </c>
      <c r="H302" s="803">
        <f>'Costo Directo'!E205</f>
        <v>0</v>
      </c>
    </row>
    <row r="303" spans="7:8" x14ac:dyDescent="0.3">
      <c r="G303" s="802" t="str">
        <f>'Costo Directo'!D206</f>
        <v>MAN-P6-17</v>
      </c>
      <c r="H303" s="803">
        <f>'Costo Directo'!E206</f>
        <v>0</v>
      </c>
    </row>
    <row r="304" spans="7:8" x14ac:dyDescent="0.3">
      <c r="G304" s="802" t="str">
        <f>'Costo Directo'!D207</f>
        <v>MAN-P6-18</v>
      </c>
      <c r="H304" s="803">
        <f>'Costo Directo'!E207</f>
        <v>0</v>
      </c>
    </row>
    <row r="305" spans="7:8" x14ac:dyDescent="0.3">
      <c r="G305" s="802" t="str">
        <f>'Costo Directo'!D208</f>
        <v>MAN-P6-19</v>
      </c>
      <c r="H305" s="803">
        <f>'Costo Directo'!E208</f>
        <v>0</v>
      </c>
    </row>
    <row r="306" spans="7:8" x14ac:dyDescent="0.3">
      <c r="G306" s="802" t="str">
        <f>'Costo Directo'!D210</f>
        <v>P7</v>
      </c>
      <c r="H306" s="803" t="str">
        <f>'Costo Directo'!E210</f>
        <v>Combustibles</v>
      </c>
    </row>
    <row r="307" spans="7:8" x14ac:dyDescent="0.3">
      <c r="G307" s="802" t="str">
        <f>'Costo Directo'!D213</f>
        <v>MAN-P7-1</v>
      </c>
      <c r="H307" s="803">
        <f>'Costo Directo'!E213</f>
        <v>0</v>
      </c>
    </row>
    <row r="308" spans="7:8" x14ac:dyDescent="0.3">
      <c r="G308" s="802" t="str">
        <f>'Costo Directo'!D214</f>
        <v>MAN-P7-2</v>
      </c>
      <c r="H308" s="803">
        <f>'Costo Directo'!E214</f>
        <v>0</v>
      </c>
    </row>
    <row r="309" spans="7:8" x14ac:dyDescent="0.3">
      <c r="G309" s="802" t="str">
        <f>'Costo Directo'!D215</f>
        <v>MAN-P7-3</v>
      </c>
      <c r="H309" s="803">
        <f>'Costo Directo'!E215</f>
        <v>0</v>
      </c>
    </row>
    <row r="310" spans="7:8" x14ac:dyDescent="0.3">
      <c r="G310" s="802" t="str">
        <f>'Costo Directo'!D216</f>
        <v>MAN-P7-4</v>
      </c>
      <c r="H310" s="803">
        <f>'Costo Directo'!E216</f>
        <v>0</v>
      </c>
    </row>
    <row r="311" spans="7:8" x14ac:dyDescent="0.3">
      <c r="G311" s="802" t="str">
        <f>'Costo Directo'!D217</f>
        <v>MAN-P7-5</v>
      </c>
      <c r="H311" s="803">
        <f>'Costo Directo'!E217</f>
        <v>0</v>
      </c>
    </row>
    <row r="312" spans="7:8" x14ac:dyDescent="0.3">
      <c r="G312" s="802" t="str">
        <f>'Costo Directo'!D218</f>
        <v>MAN-P7-6</v>
      </c>
      <c r="H312" s="803">
        <f>'Costo Directo'!E218</f>
        <v>0</v>
      </c>
    </row>
    <row r="313" spans="7:8" x14ac:dyDescent="0.3">
      <c r="G313" s="802" t="str">
        <f>'Costo Directo'!D219</f>
        <v>MAN-P7-7</v>
      </c>
      <c r="H313" s="803">
        <f>'Costo Directo'!E219</f>
        <v>0</v>
      </c>
    </row>
    <row r="314" spans="7:8" x14ac:dyDescent="0.3">
      <c r="G314" s="802" t="str">
        <f>'Costo Directo'!D220</f>
        <v>MAN-P7-8</v>
      </c>
      <c r="H314" s="803">
        <f>'Costo Directo'!E220</f>
        <v>0</v>
      </c>
    </row>
    <row r="315" spans="7:8" x14ac:dyDescent="0.3">
      <c r="G315" s="802" t="str">
        <f>'Costo Directo'!D221</f>
        <v>MAN-P7-9</v>
      </c>
      <c r="H315" s="803">
        <f>'Costo Directo'!E221</f>
        <v>0</v>
      </c>
    </row>
    <row r="316" spans="7:8" x14ac:dyDescent="0.3">
      <c r="G316" s="802" t="str">
        <f>'Costo Directo'!D222</f>
        <v>MAN-P7-10</v>
      </c>
      <c r="H316" s="803">
        <f>'Costo Directo'!E222</f>
        <v>0</v>
      </c>
    </row>
    <row r="317" spans="7:8" x14ac:dyDescent="0.3">
      <c r="G317" s="802" t="str">
        <f>'Costo Directo'!D223</f>
        <v>MAN-P7-11</v>
      </c>
      <c r="H317" s="803">
        <f>'Costo Directo'!E223</f>
        <v>0</v>
      </c>
    </row>
    <row r="318" spans="7:8" x14ac:dyDescent="0.3">
      <c r="G318" s="802" t="str">
        <f>'Costo Directo'!D224</f>
        <v>MAN-P7-12</v>
      </c>
      <c r="H318" s="803">
        <f>'Costo Directo'!E224</f>
        <v>0</v>
      </c>
    </row>
    <row r="319" spans="7:8" x14ac:dyDescent="0.3">
      <c r="G319" s="802" t="str">
        <f>'Costo Directo'!D225</f>
        <v>MAN-P7-13</v>
      </c>
      <c r="H319" s="803">
        <f>'Costo Directo'!E225</f>
        <v>0</v>
      </c>
    </row>
    <row r="320" spans="7:8" x14ac:dyDescent="0.3">
      <c r="G320" s="802" t="str">
        <f>'Costo Directo'!D227</f>
        <v>P8</v>
      </c>
      <c r="H320" s="803" t="str">
        <f>'Costo Directo'!E227</f>
        <v>Madera, Ferretería, Herramienta</v>
      </c>
    </row>
    <row r="321" spans="7:8" x14ac:dyDescent="0.3">
      <c r="G321" s="802" t="str">
        <f>'Costo Directo'!D230</f>
        <v>MAN-P8-1</v>
      </c>
      <c r="H321" s="803">
        <f>'Costo Directo'!E230</f>
        <v>0</v>
      </c>
    </row>
    <row r="322" spans="7:8" x14ac:dyDescent="0.3">
      <c r="G322" s="802" t="str">
        <f>'Costo Directo'!D231</f>
        <v>MAN-P8-2</v>
      </c>
      <c r="H322" s="803">
        <f>'Costo Directo'!E231</f>
        <v>0</v>
      </c>
    </row>
    <row r="323" spans="7:8" x14ac:dyDescent="0.3">
      <c r="G323" s="802" t="str">
        <f>'Costo Directo'!D232</f>
        <v>MAN-P8-3</v>
      </c>
      <c r="H323" s="803">
        <f>'Costo Directo'!E232</f>
        <v>0</v>
      </c>
    </row>
    <row r="324" spans="7:8" x14ac:dyDescent="0.3">
      <c r="G324" s="802" t="str">
        <f>'Costo Directo'!D233</f>
        <v>MAN-P8-4</v>
      </c>
      <c r="H324" s="803">
        <f>'Costo Directo'!E233</f>
        <v>0</v>
      </c>
    </row>
    <row r="325" spans="7:8" x14ac:dyDescent="0.3">
      <c r="G325" s="802" t="str">
        <f>'Costo Directo'!D235</f>
        <v>P9</v>
      </c>
      <c r="H325" s="803" t="str">
        <f>'Costo Directo'!E235</f>
        <v>HERRAMIENTA MENOR Y EPP</v>
      </c>
    </row>
    <row r="326" spans="7:8" x14ac:dyDescent="0.3">
      <c r="G326" s="802" t="str">
        <f>'Costo Directo'!D238</f>
        <v>MAN-P9-1</v>
      </c>
      <c r="H326" s="803" t="str">
        <f>'Costo Directo'!E238</f>
        <v>EPP</v>
      </c>
    </row>
    <row r="327" spans="7:8" x14ac:dyDescent="0.3">
      <c r="G327" s="802" t="str">
        <f>'Costo Directo'!D239</f>
        <v>MAN-P9-2</v>
      </c>
      <c r="H327" s="803" t="str">
        <f>'Costo Directo'!E239</f>
        <v>HERRAMIENTA MENOR</v>
      </c>
    </row>
    <row r="328" spans="7:8" x14ac:dyDescent="0.3">
      <c r="G328" s="802" t="str">
        <f>'Costo Directo'!D241</f>
        <v>P10</v>
      </c>
      <c r="H328" s="803" t="str">
        <f>'Costo Directo'!E241</f>
        <v>Mangueras y Reparaciones</v>
      </c>
    </row>
    <row r="329" spans="7:8" x14ac:dyDescent="0.3">
      <c r="G329" s="802" t="str">
        <f>'Costo Directo'!D244</f>
        <v>MAN-P10-1</v>
      </c>
      <c r="H329" s="803">
        <f>'Costo Directo'!E244</f>
        <v>0</v>
      </c>
    </row>
    <row r="330" spans="7:8" x14ac:dyDescent="0.3">
      <c r="G330" s="802" t="str">
        <f>'Costo Directo'!D245</f>
        <v>MAN-P10-2</v>
      </c>
      <c r="H330" s="803">
        <f>'Costo Directo'!E245</f>
        <v>0</v>
      </c>
    </row>
    <row r="331" spans="7:8" x14ac:dyDescent="0.3">
      <c r="G331" s="802" t="str">
        <f>'Costo Directo'!D246</f>
        <v>MAN-P10-3</v>
      </c>
      <c r="H331" s="803">
        <f>'Costo Directo'!E246</f>
        <v>0</v>
      </c>
    </row>
    <row r="332" spans="7:8" x14ac:dyDescent="0.3">
      <c r="G332" s="802" t="str">
        <f>'Costo Directo'!D250</f>
        <v>P1</v>
      </c>
      <c r="H332" s="803" t="str">
        <f>'Costo Directo'!E250</f>
        <v>SUBCONTRATOS</v>
      </c>
    </row>
    <row r="333" spans="7:8" x14ac:dyDescent="0.3">
      <c r="G333" s="802" t="str">
        <f>'Costo Directo'!D253</f>
        <v>TAM-P1-1</v>
      </c>
      <c r="H333" s="803" t="str">
        <f>'Costo Directo'!E253</f>
        <v>COLADO DE CONCRETO CON TUBO TREMIE. TIRO DIRECTO</v>
      </c>
    </row>
    <row r="334" spans="7:8" x14ac:dyDescent="0.3">
      <c r="G334" s="802" t="str">
        <f>'Costo Directo'!D254</f>
        <v>TAM-P1-2</v>
      </c>
      <c r="H334" s="803" t="str">
        <f>'Costo Directo'!E254</f>
        <v>COLOCACIÓN DE ARMADO EN EXCAVACIÓN</v>
      </c>
    </row>
    <row r="335" spans="7:8" x14ac:dyDescent="0.3">
      <c r="G335" s="802" t="str">
        <f>'Costo Directo'!D255</f>
        <v>TAM-P1-3</v>
      </c>
      <c r="H335" s="803" t="str">
        <f>'Costo Directo'!E255</f>
        <v>FLETES DEL EQUIPO</v>
      </c>
    </row>
    <row r="336" spans="7:8" x14ac:dyDescent="0.3">
      <c r="G336" s="802" t="str">
        <f>'Costo Directo'!D256</f>
        <v>TAM-P1-4</v>
      </c>
      <c r="H336" s="803" t="str">
        <f>'Costo Directo'!E256</f>
        <v>HABILITADO DE ACERO CORRUGADO DE CUALQUIER DIÁMETRO</v>
      </c>
    </row>
    <row r="337" spans="7:8" x14ac:dyDescent="0.3">
      <c r="G337" s="802" t="str">
        <f>'Costo Directo'!D257</f>
        <v>TAM-P1-5</v>
      </c>
      <c r="H337" s="803" t="str">
        <f>'Costo Directo'!E257</f>
        <v>SUBCONTRATO DE EXCAVACIÓN POR MEDIOS MECÁNICOS</v>
      </c>
    </row>
    <row r="338" spans="7:8" x14ac:dyDescent="0.3">
      <c r="G338" s="802" t="str">
        <f>'Costo Directo'!D258</f>
        <v>TAM-P1-6</v>
      </c>
      <c r="H338" s="803" t="str">
        <f>'Costo Directo'!E258</f>
        <v>SUBCONTRATO DE GROUT Y BANQUETA (lote 10 pilas)</v>
      </c>
    </row>
    <row r="339" spans="7:8" x14ac:dyDescent="0.3">
      <c r="G339" s="802" t="str">
        <f>'Costo Directo'!D259</f>
        <v>TAM-P1-7</v>
      </c>
      <c r="H339" s="803">
        <f>'Costo Directo'!E259</f>
        <v>0</v>
      </c>
    </row>
    <row r="340" spans="7:8" x14ac:dyDescent="0.3">
      <c r="G340" s="802" t="str">
        <f>'Costo Directo'!D260</f>
        <v>TAM-P1-8</v>
      </c>
      <c r="H340" s="803">
        <f>'Costo Directo'!E260</f>
        <v>0</v>
      </c>
    </row>
    <row r="341" spans="7:8" x14ac:dyDescent="0.3">
      <c r="G341" s="802" t="str">
        <f>'Costo Directo'!D262</f>
        <v>P2</v>
      </c>
      <c r="H341" s="803" t="str">
        <f>'Costo Directo'!E262</f>
        <v>MAQUINARIA</v>
      </c>
    </row>
    <row r="342" spans="7:8" x14ac:dyDescent="0.3">
      <c r="G342" s="802" t="str">
        <f>'Costo Directo'!D265</f>
        <v>TAM-P2-1</v>
      </c>
      <c r="H342" s="803" t="str">
        <f>'Costo Directo'!E265</f>
        <v>CORTADORA DE CONCRETO</v>
      </c>
    </row>
    <row r="343" spans="7:8" x14ac:dyDescent="0.3">
      <c r="G343" s="802" t="str">
        <f>'Costo Directo'!D266</f>
        <v>TAM-P2-2</v>
      </c>
      <c r="H343" s="803" t="str">
        <f>'Costo Directo'!E266</f>
        <v>VIBRADOR DE CONCRETO</v>
      </c>
    </row>
    <row r="344" spans="7:8" x14ac:dyDescent="0.3">
      <c r="G344" s="802" t="str">
        <f>'Costo Directo'!D267</f>
        <v>TAM-P2-3</v>
      </c>
      <c r="H344" s="803" t="str">
        <f>'Costo Directo'!E267</f>
        <v>VIBROCOMPACTADOR MANUAL</v>
      </c>
    </row>
    <row r="345" spans="7:8" x14ac:dyDescent="0.3">
      <c r="G345" s="802" t="str">
        <f>'Costo Directo'!D268</f>
        <v>TAM-P2-4</v>
      </c>
      <c r="H345" s="803">
        <f>'Costo Directo'!E268</f>
        <v>0</v>
      </c>
    </row>
    <row r="346" spans="7:8" x14ac:dyDescent="0.3">
      <c r="G346" s="802" t="str">
        <f>'Costo Directo'!D269</f>
        <v>TAM-P2-5</v>
      </c>
      <c r="H346" s="803">
        <f>'Costo Directo'!E269</f>
        <v>0</v>
      </c>
    </row>
    <row r="347" spans="7:8" x14ac:dyDescent="0.3">
      <c r="G347" s="802" t="str">
        <f>'Costo Directo'!D270</f>
        <v>TAM-P2-6</v>
      </c>
      <c r="H347" s="803">
        <f>'Costo Directo'!E270</f>
        <v>0</v>
      </c>
    </row>
    <row r="348" spans="7:8" x14ac:dyDescent="0.3">
      <c r="G348" s="802" t="str">
        <f>'Costo Directo'!D271</f>
        <v>TAM-P2-7</v>
      </c>
      <c r="H348" s="803">
        <f>'Costo Directo'!E271</f>
        <v>0</v>
      </c>
    </row>
    <row r="349" spans="7:8" x14ac:dyDescent="0.3">
      <c r="G349" s="802" t="str">
        <f>'Costo Directo'!D272</f>
        <v>TAM-P2-8</v>
      </c>
      <c r="H349" s="803">
        <f>'Costo Directo'!E272</f>
        <v>0</v>
      </c>
    </row>
    <row r="350" spans="7:8" x14ac:dyDescent="0.3">
      <c r="G350" s="802" t="str">
        <f>'Costo Directo'!D273</f>
        <v>TAM-P2-9</v>
      </c>
      <c r="H350" s="803">
        <f>'Costo Directo'!E273</f>
        <v>0</v>
      </c>
    </row>
    <row r="351" spans="7:8" x14ac:dyDescent="0.3">
      <c r="G351" s="802" t="str">
        <f>'Costo Directo'!D274</f>
        <v>TAM-P2-10</v>
      </c>
      <c r="H351" s="803">
        <f>'Costo Directo'!E274</f>
        <v>0</v>
      </c>
    </row>
    <row r="352" spans="7:8" x14ac:dyDescent="0.3">
      <c r="G352" s="802" t="str">
        <f>'Costo Directo'!D275</f>
        <v>TAM-P2-11</v>
      </c>
      <c r="H352" s="803">
        <f>'Costo Directo'!E275</f>
        <v>0</v>
      </c>
    </row>
    <row r="353" spans="7:8" x14ac:dyDescent="0.3">
      <c r="G353" s="802" t="str">
        <f>'Costo Directo'!D276</f>
        <v>TAM-P2-12</v>
      </c>
      <c r="H353" s="803">
        <f>'Costo Directo'!E276</f>
        <v>0</v>
      </c>
    </row>
    <row r="354" spans="7:8" x14ac:dyDescent="0.3">
      <c r="G354" s="802" t="str">
        <f>'Costo Directo'!D277</f>
        <v>TAM-P2-13</v>
      </c>
      <c r="H354" s="803">
        <f>'Costo Directo'!E277</f>
        <v>0</v>
      </c>
    </row>
    <row r="355" spans="7:8" x14ac:dyDescent="0.3">
      <c r="G355" s="802" t="str">
        <f>'Costo Directo'!D278</f>
        <v>TAM-P2-14</v>
      </c>
      <c r="H355" s="803">
        <f>'Costo Directo'!E278</f>
        <v>0</v>
      </c>
    </row>
    <row r="356" spans="7:8" x14ac:dyDescent="0.3">
      <c r="G356" s="802" t="str">
        <f>'Costo Directo'!D279</f>
        <v>TAM-P2-15</v>
      </c>
      <c r="H356" s="803">
        <f>'Costo Directo'!E279</f>
        <v>0</v>
      </c>
    </row>
    <row r="357" spans="7:8" x14ac:dyDescent="0.3">
      <c r="G357" s="802" t="str">
        <f>'Costo Directo'!D280</f>
        <v>TAM-P2-16</v>
      </c>
      <c r="H357" s="803">
        <f>'Costo Directo'!E280</f>
        <v>0</v>
      </c>
    </row>
    <row r="358" spans="7:8" x14ac:dyDescent="0.3">
      <c r="G358" s="802" t="str">
        <f>'Costo Directo'!D281</f>
        <v>TAM-P2-17</v>
      </c>
      <c r="H358" s="803">
        <f>'Costo Directo'!E281</f>
        <v>0</v>
      </c>
    </row>
    <row r="359" spans="7:8" x14ac:dyDescent="0.3">
      <c r="G359" s="802" t="str">
        <f>'Costo Directo'!D282</f>
        <v>TAM-P2-18</v>
      </c>
      <c r="H359" s="803">
        <f>'Costo Directo'!E282</f>
        <v>0</v>
      </c>
    </row>
    <row r="360" spans="7:8" x14ac:dyDescent="0.3">
      <c r="G360" s="802" t="str">
        <f>'Costo Directo'!D283</f>
        <v>TAM-P2-19</v>
      </c>
      <c r="H360" s="803">
        <f>'Costo Directo'!E283</f>
        <v>0</v>
      </c>
    </row>
    <row r="361" spans="7:8" x14ac:dyDescent="0.3">
      <c r="G361" s="802" t="str">
        <f>'Costo Directo'!D284</f>
        <v>TAM-P2-20</v>
      </c>
      <c r="H361" s="803">
        <f>'Costo Directo'!E284</f>
        <v>0</v>
      </c>
    </row>
    <row r="362" spans="7:8" x14ac:dyDescent="0.3">
      <c r="G362" s="802" t="str">
        <f>'Costo Directo'!D285</f>
        <v>TAM-P2-21</v>
      </c>
      <c r="H362" s="803">
        <f>'Costo Directo'!E285</f>
        <v>0</v>
      </c>
    </row>
    <row r="363" spans="7:8" x14ac:dyDescent="0.3">
      <c r="G363" s="802" t="str">
        <f>'Costo Directo'!D286</f>
        <v>TAM-P2-22</v>
      </c>
      <c r="H363" s="803">
        <f>'Costo Directo'!E286</f>
        <v>0</v>
      </c>
    </row>
    <row r="364" spans="7:8" x14ac:dyDescent="0.3">
      <c r="G364" s="802" t="str">
        <f>'Costo Directo'!D287</f>
        <v>TAM-P2-23</v>
      </c>
      <c r="H364" s="803">
        <f>'Costo Directo'!E287</f>
        <v>0</v>
      </c>
    </row>
    <row r="365" spans="7:8" x14ac:dyDescent="0.3">
      <c r="G365" s="802" t="str">
        <f>'Costo Directo'!D288</f>
        <v>TAM-P2-24</v>
      </c>
      <c r="H365" s="803">
        <f>'Costo Directo'!E288</f>
        <v>0</v>
      </c>
    </row>
    <row r="366" spans="7:8" x14ac:dyDescent="0.3">
      <c r="G366" s="802" t="str">
        <f>'Costo Directo'!D289</f>
        <v>TAM-P2-25</v>
      </c>
      <c r="H366" s="803">
        <f>'Costo Directo'!E289</f>
        <v>0</v>
      </c>
    </row>
    <row r="367" spans="7:8" x14ac:dyDescent="0.3">
      <c r="G367" s="802" t="str">
        <f>'Costo Directo'!D290</f>
        <v>TAM-P2-26</v>
      </c>
      <c r="H367" s="803">
        <f>'Costo Directo'!E290</f>
        <v>0</v>
      </c>
    </row>
    <row r="368" spans="7:8" x14ac:dyDescent="0.3">
      <c r="G368" s="802" t="str">
        <f>'Costo Directo'!D291</f>
        <v>TAM-P2-27</v>
      </c>
      <c r="H368" s="803">
        <f>'Costo Directo'!E291</f>
        <v>0</v>
      </c>
    </row>
    <row r="369" spans="7:8" x14ac:dyDescent="0.3">
      <c r="G369" s="802" t="str">
        <f>'Costo Directo'!D292</f>
        <v>TAM-P2-28</v>
      </c>
      <c r="H369" s="803">
        <f>'Costo Directo'!E292</f>
        <v>0</v>
      </c>
    </row>
    <row r="370" spans="7:8" x14ac:dyDescent="0.3">
      <c r="G370" s="802" t="str">
        <f>'Costo Directo'!D293</f>
        <v>TAM-P2-29</v>
      </c>
      <c r="H370" s="803">
        <f>'Costo Directo'!E293</f>
        <v>0</v>
      </c>
    </row>
    <row r="371" spans="7:8" x14ac:dyDescent="0.3">
      <c r="G371" s="802" t="str">
        <f>'Costo Directo'!D294</f>
        <v>TAM-P2-30</v>
      </c>
      <c r="H371" s="803">
        <f>'Costo Directo'!E294</f>
        <v>0</v>
      </c>
    </row>
    <row r="372" spans="7:8" x14ac:dyDescent="0.3">
      <c r="G372" s="802" t="str">
        <f>'Costo Directo'!D295</f>
        <v>TAM-P2-31</v>
      </c>
      <c r="H372" s="803">
        <f>'Costo Directo'!E295</f>
        <v>0</v>
      </c>
    </row>
    <row r="373" spans="7:8" x14ac:dyDescent="0.3">
      <c r="G373" s="802" t="str">
        <f>'Costo Directo'!D296</f>
        <v>TAM-P2-32</v>
      </c>
      <c r="H373" s="803">
        <f>'Costo Directo'!E296</f>
        <v>0</v>
      </c>
    </row>
    <row r="374" spans="7:8" x14ac:dyDescent="0.3">
      <c r="G374" s="802" t="str">
        <f>'Costo Directo'!D297</f>
        <v>TAM-P2-33</v>
      </c>
      <c r="H374" s="803">
        <f>'Costo Directo'!E297</f>
        <v>0</v>
      </c>
    </row>
    <row r="375" spans="7:8" x14ac:dyDescent="0.3">
      <c r="G375" s="802" t="str">
        <f>'Costo Directo'!D298</f>
        <v>TAM-P2-34</v>
      </c>
      <c r="H375" s="803">
        <f>'Costo Directo'!E298</f>
        <v>0</v>
      </c>
    </row>
    <row r="376" spans="7:8" x14ac:dyDescent="0.3">
      <c r="G376" s="802" t="str">
        <f>'Costo Directo'!D299</f>
        <v>TAM-P2-35</v>
      </c>
      <c r="H376" s="803">
        <f>'Costo Directo'!E299</f>
        <v>0</v>
      </c>
    </row>
    <row r="377" spans="7:8" x14ac:dyDescent="0.3">
      <c r="G377" s="802" t="str">
        <f>'Costo Directo'!D300</f>
        <v>TAM-P2-36</v>
      </c>
      <c r="H377" s="803">
        <f>'Costo Directo'!E300</f>
        <v>0</v>
      </c>
    </row>
    <row r="378" spans="7:8" x14ac:dyDescent="0.3">
      <c r="G378" s="802" t="str">
        <f>'Costo Directo'!D301</f>
        <v>TAM-P2-37</v>
      </c>
      <c r="H378" s="803">
        <f>'Costo Directo'!E301</f>
        <v>0</v>
      </c>
    </row>
    <row r="379" spans="7:8" x14ac:dyDescent="0.3">
      <c r="G379" s="802" t="str">
        <f>'Costo Directo'!D302</f>
        <v>TAM-P2-38</v>
      </c>
      <c r="H379" s="803">
        <f>'Costo Directo'!E302</f>
        <v>0</v>
      </c>
    </row>
    <row r="380" spans="7:8" x14ac:dyDescent="0.3">
      <c r="G380" s="802" t="str">
        <f>'Costo Directo'!D304</f>
        <v>P3</v>
      </c>
      <c r="H380" s="803" t="str">
        <f>'Costo Directo'!E304</f>
        <v>MANO DE OBRA</v>
      </c>
    </row>
    <row r="381" spans="7:8" x14ac:dyDescent="0.3">
      <c r="G381" s="802" t="str">
        <f>'Costo Directo'!D307</f>
        <v>TAM-P3-1</v>
      </c>
      <c r="H381" s="803" t="str">
        <f>'Costo Directo'!E307</f>
        <v>AYUDANTE 01</v>
      </c>
    </row>
    <row r="382" spans="7:8" x14ac:dyDescent="0.3">
      <c r="G382" s="802" t="str">
        <f>'Costo Directo'!D308</f>
        <v>TAM-P3-2</v>
      </c>
      <c r="H382" s="803" t="str">
        <f>'Costo Directo'!E308</f>
        <v>AYUDANTE 02</v>
      </c>
    </row>
    <row r="383" spans="7:8" x14ac:dyDescent="0.3">
      <c r="G383" s="802" t="str">
        <f>'Costo Directo'!D309</f>
        <v>TAM-P3-3</v>
      </c>
      <c r="H383" s="803" t="str">
        <f>'Costo Directo'!E309</f>
        <v>OFICIAL</v>
      </c>
    </row>
    <row r="384" spans="7:8" x14ac:dyDescent="0.3">
      <c r="G384" s="802" t="str">
        <f>'Costo Directo'!D310</f>
        <v>TAM-P3-4</v>
      </c>
      <c r="H384" s="803">
        <f>'Costo Directo'!E310</f>
        <v>0</v>
      </c>
    </row>
    <row r="385" spans="7:8" x14ac:dyDescent="0.3">
      <c r="G385" s="802" t="str">
        <f>'Costo Directo'!D311</f>
        <v>TAM-P3-5</v>
      </c>
      <c r="H385" s="803">
        <f>'Costo Directo'!E311</f>
        <v>0</v>
      </c>
    </row>
    <row r="386" spans="7:8" x14ac:dyDescent="0.3">
      <c r="G386" s="802" t="str">
        <f>'Costo Directo'!D312</f>
        <v>TAM-P3-6</v>
      </c>
      <c r="H386" s="803">
        <f>'Costo Directo'!E312</f>
        <v>0</v>
      </c>
    </row>
    <row r="387" spans="7:8" x14ac:dyDescent="0.3">
      <c r="G387" s="802" t="str">
        <f>'Costo Directo'!D313</f>
        <v>TAM-P3-7</v>
      </c>
      <c r="H387" s="803">
        <f>'Costo Directo'!E313</f>
        <v>0</v>
      </c>
    </row>
    <row r="388" spans="7:8" x14ac:dyDescent="0.3">
      <c r="G388" s="802" t="str">
        <f>'Costo Directo'!D314</f>
        <v>TAM-P3-8</v>
      </c>
      <c r="H388" s="803">
        <f>'Costo Directo'!E314</f>
        <v>0</v>
      </c>
    </row>
    <row r="389" spans="7:8" x14ac:dyDescent="0.3">
      <c r="G389" s="802" t="str">
        <f>'Costo Directo'!D315</f>
        <v>TAM-P3-9</v>
      </c>
      <c r="H389" s="803">
        <f>'Costo Directo'!E315</f>
        <v>0</v>
      </c>
    </row>
    <row r="390" spans="7:8" x14ac:dyDescent="0.3">
      <c r="G390" s="802" t="str">
        <f>'Costo Directo'!D316</f>
        <v>TAM-P3-10</v>
      </c>
      <c r="H390" s="803">
        <f>'Costo Directo'!E316</f>
        <v>0</v>
      </c>
    </row>
    <row r="391" spans="7:8" x14ac:dyDescent="0.3">
      <c r="G391" s="802" t="str">
        <f>'Costo Directo'!D317</f>
        <v>TAM-P3-11</v>
      </c>
      <c r="H391" s="803">
        <f>'Costo Directo'!E317</f>
        <v>0</v>
      </c>
    </row>
    <row r="392" spans="7:8" x14ac:dyDescent="0.3">
      <c r="G392" s="802" t="str">
        <f>'Costo Directo'!D318</f>
        <v>TAM-P3-12</v>
      </c>
      <c r="H392" s="803">
        <f>'Costo Directo'!E318</f>
        <v>0</v>
      </c>
    </row>
    <row r="393" spans="7:8" x14ac:dyDescent="0.3">
      <c r="G393" s="802" t="str">
        <f>'Costo Directo'!D319</f>
        <v>TAM-P3-13</v>
      </c>
      <c r="H393" s="803">
        <f>'Costo Directo'!E319</f>
        <v>0</v>
      </c>
    </row>
    <row r="394" spans="7:8" x14ac:dyDescent="0.3">
      <c r="G394" s="802" t="str">
        <f>'Costo Directo'!D320</f>
        <v>TAM-P3-14</v>
      </c>
      <c r="H394" s="803">
        <f>'Costo Directo'!E320</f>
        <v>0</v>
      </c>
    </row>
    <row r="395" spans="7:8" x14ac:dyDescent="0.3">
      <c r="G395" s="802" t="str">
        <f>'Costo Directo'!D321</f>
        <v>TAM-P3-15</v>
      </c>
      <c r="H395" s="803">
        <f>'Costo Directo'!E321</f>
        <v>0</v>
      </c>
    </row>
    <row r="396" spans="7:8" x14ac:dyDescent="0.3">
      <c r="G396" s="802" t="str">
        <f>'Costo Directo'!D322</f>
        <v>TAM-P3-16</v>
      </c>
      <c r="H396" s="803">
        <f>'Costo Directo'!E322</f>
        <v>0</v>
      </c>
    </row>
    <row r="397" spans="7:8" x14ac:dyDescent="0.3">
      <c r="G397" s="802" t="str">
        <f>'Costo Directo'!D323</f>
        <v>TAM-P3-17</v>
      </c>
      <c r="H397" s="803">
        <f>'Costo Directo'!E323</f>
        <v>0</v>
      </c>
    </row>
    <row r="398" spans="7:8" x14ac:dyDescent="0.3">
      <c r="G398" s="802" t="str">
        <f>'Costo Directo'!D324</f>
        <v>TAM-P3-18</v>
      </c>
      <c r="H398" s="803">
        <f>'Costo Directo'!E324</f>
        <v>0</v>
      </c>
    </row>
    <row r="399" spans="7:8" x14ac:dyDescent="0.3">
      <c r="G399" s="802" t="str">
        <f>'Costo Directo'!D325</f>
        <v>TAM-P3-19</v>
      </c>
      <c r="H399" s="803">
        <f>'Costo Directo'!E325</f>
        <v>0</v>
      </c>
    </row>
    <row r="400" spans="7:8" x14ac:dyDescent="0.3">
      <c r="G400" s="802" t="str">
        <f>'Costo Directo'!D326</f>
        <v>TAM-P3-20</v>
      </c>
      <c r="H400" s="803">
        <f>'Costo Directo'!E326</f>
        <v>0</v>
      </c>
    </row>
    <row r="401" spans="7:8" x14ac:dyDescent="0.3">
      <c r="G401" s="802" t="str">
        <f>'Costo Directo'!D327</f>
        <v>TAM-P3-21</v>
      </c>
      <c r="H401" s="803">
        <f>'Costo Directo'!E327</f>
        <v>0</v>
      </c>
    </row>
    <row r="402" spans="7:8" x14ac:dyDescent="0.3">
      <c r="G402" s="802" t="str">
        <f>'Costo Directo'!D328</f>
        <v>TAM-P3-22</v>
      </c>
      <c r="H402" s="803">
        <f>'Costo Directo'!E328</f>
        <v>0</v>
      </c>
    </row>
    <row r="403" spans="7:8" x14ac:dyDescent="0.3">
      <c r="G403" s="802" t="str">
        <f>'Costo Directo'!D329</f>
        <v>TAM-P3-23</v>
      </c>
      <c r="H403" s="803">
        <f>'Costo Directo'!E329</f>
        <v>0</v>
      </c>
    </row>
    <row r="404" spans="7:8" x14ac:dyDescent="0.3">
      <c r="G404" s="802" t="str">
        <f>'Costo Directo'!D330</f>
        <v>TAM-P3-24</v>
      </c>
      <c r="H404" s="803">
        <f>'Costo Directo'!E330</f>
        <v>0</v>
      </c>
    </row>
    <row r="405" spans="7:8" x14ac:dyDescent="0.3">
      <c r="G405" s="802" t="str">
        <f>'Costo Directo'!D331</f>
        <v>TAM-P3-25</v>
      </c>
      <c r="H405" s="803">
        <f>'Costo Directo'!E331</f>
        <v>0</v>
      </c>
    </row>
    <row r="406" spans="7:8" x14ac:dyDescent="0.3">
      <c r="G406" s="802" t="str">
        <f>'Costo Directo'!D332</f>
        <v>TAM-P3-26</v>
      </c>
      <c r="H406" s="803">
        <f>'Costo Directo'!E332</f>
        <v>0</v>
      </c>
    </row>
    <row r="407" spans="7:8" x14ac:dyDescent="0.3">
      <c r="G407" s="802" t="str">
        <f>'Costo Directo'!D333</f>
        <v>TAM-P3-27</v>
      </c>
      <c r="H407" s="803">
        <f>'Costo Directo'!E333</f>
        <v>0</v>
      </c>
    </row>
    <row r="408" spans="7:8" x14ac:dyDescent="0.3">
      <c r="G408" s="802" t="str">
        <f>'Costo Directo'!D334</f>
        <v>TAM-P3-28</v>
      </c>
      <c r="H408" s="803">
        <f>'Costo Directo'!E334</f>
        <v>0</v>
      </c>
    </row>
    <row r="409" spans="7:8" x14ac:dyDescent="0.3">
      <c r="G409" s="802" t="str">
        <f>'Costo Directo'!D335</f>
        <v>TAM-P3-29</v>
      </c>
      <c r="H409" s="803">
        <f>'Costo Directo'!E335</f>
        <v>0</v>
      </c>
    </row>
    <row r="410" spans="7:8" x14ac:dyDescent="0.3">
      <c r="G410" s="802" t="str">
        <f>'Costo Directo'!D336</f>
        <v>TAM-P3-30</v>
      </c>
      <c r="H410" s="803">
        <f>'Costo Directo'!E336</f>
        <v>0</v>
      </c>
    </row>
    <row r="411" spans="7:8" x14ac:dyDescent="0.3">
      <c r="G411" s="802" t="str">
        <f>'Costo Directo'!D337</f>
        <v>TAM-P3-31</v>
      </c>
      <c r="H411" s="803">
        <f>'Costo Directo'!E337</f>
        <v>0</v>
      </c>
    </row>
    <row r="412" spans="7:8" x14ac:dyDescent="0.3">
      <c r="G412" s="802" t="str">
        <f>'Costo Directo'!D338</f>
        <v>TAM-P3-32</v>
      </c>
      <c r="H412" s="803">
        <f>'Costo Directo'!E338</f>
        <v>0</v>
      </c>
    </row>
    <row r="413" spans="7:8" x14ac:dyDescent="0.3">
      <c r="G413" s="802" t="str">
        <f>'Costo Directo'!D339</f>
        <v>TAM-P3-33</v>
      </c>
      <c r="H413" s="803">
        <f>'Costo Directo'!E339</f>
        <v>0</v>
      </c>
    </row>
    <row r="414" spans="7:8" x14ac:dyDescent="0.3">
      <c r="G414" s="802" t="str">
        <f>'Costo Directo'!D340</f>
        <v>TAM-P3-34</v>
      </c>
      <c r="H414" s="803">
        <f>'Costo Directo'!E340</f>
        <v>0</v>
      </c>
    </row>
    <row r="415" spans="7:8" x14ac:dyDescent="0.3">
      <c r="G415" s="802" t="str">
        <f>'Costo Directo'!D341</f>
        <v>TAM-P3-35</v>
      </c>
      <c r="H415" s="803">
        <f>'Costo Directo'!E341</f>
        <v>0</v>
      </c>
    </row>
    <row r="416" spans="7:8" x14ac:dyDescent="0.3">
      <c r="G416" s="802" t="str">
        <f>'Costo Directo'!D342</f>
        <v>TAM-P3-36</v>
      </c>
      <c r="H416" s="803">
        <f>'Costo Directo'!E342</f>
        <v>0</v>
      </c>
    </row>
    <row r="417" spans="7:8" x14ac:dyDescent="0.3">
      <c r="G417" s="802" t="str">
        <f>'Costo Directo'!D343</f>
        <v>TAM-P3-37</v>
      </c>
      <c r="H417" s="803">
        <f>'Costo Directo'!E343</f>
        <v>0</v>
      </c>
    </row>
    <row r="418" spans="7:8" x14ac:dyDescent="0.3">
      <c r="G418" s="802" t="str">
        <f>'Costo Directo'!D344</f>
        <v>TAM-P3-38</v>
      </c>
      <c r="H418" s="803">
        <f>'Costo Directo'!E344</f>
        <v>0</v>
      </c>
    </row>
    <row r="419" spans="7:8" x14ac:dyDescent="0.3">
      <c r="G419" s="802" t="str">
        <f>'Costo Directo'!D345</f>
        <v>TAM-P3-39</v>
      </c>
      <c r="H419" s="803">
        <f>'Costo Directo'!E345</f>
        <v>0</v>
      </c>
    </row>
    <row r="420" spans="7:8" x14ac:dyDescent="0.3">
      <c r="G420" s="802" t="str">
        <f>'Costo Directo'!D346</f>
        <v>TAM-P3-40</v>
      </c>
      <c r="H420" s="803">
        <f>'Costo Directo'!E346</f>
        <v>0</v>
      </c>
    </row>
    <row r="421" spans="7:8" x14ac:dyDescent="0.3">
      <c r="G421" s="802" t="str">
        <f>'Costo Directo'!D347</f>
        <v>TAM-P3-41</v>
      </c>
      <c r="H421" s="803">
        <f>'Costo Directo'!E347</f>
        <v>0</v>
      </c>
    </row>
    <row r="422" spans="7:8" x14ac:dyDescent="0.3">
      <c r="G422" s="802" t="str">
        <f>'Costo Directo'!D348</f>
        <v>TAM-P3-42</v>
      </c>
      <c r="H422" s="803">
        <f>'Costo Directo'!E348</f>
        <v>0</v>
      </c>
    </row>
    <row r="423" spans="7:8" x14ac:dyDescent="0.3">
      <c r="G423" s="802" t="str">
        <f>'Costo Directo'!D349</f>
        <v>TAM-P3-43</v>
      </c>
      <c r="H423" s="803">
        <f>'Costo Directo'!E349</f>
        <v>0</v>
      </c>
    </row>
    <row r="424" spans="7:8" x14ac:dyDescent="0.3">
      <c r="G424" s="802" t="str">
        <f>'Costo Directo'!D350</f>
        <v>TAM-P3-44</v>
      </c>
      <c r="H424" s="803">
        <f>'Costo Directo'!E350</f>
        <v>0</v>
      </c>
    </row>
    <row r="425" spans="7:8" x14ac:dyDescent="0.3">
      <c r="G425" s="802" t="str">
        <f>'Costo Directo'!D351</f>
        <v>TAM-P3-45</v>
      </c>
      <c r="H425" s="803">
        <f>'Costo Directo'!E351</f>
        <v>0</v>
      </c>
    </row>
    <row r="426" spans="7:8" x14ac:dyDescent="0.3">
      <c r="G426" s="802" t="str">
        <f>'Costo Directo'!D352</f>
        <v>TAM-P3-46</v>
      </c>
      <c r="H426" s="803">
        <f>'Costo Directo'!E352</f>
        <v>0</v>
      </c>
    </row>
    <row r="427" spans="7:8" x14ac:dyDescent="0.3">
      <c r="G427" s="802" t="str">
        <f>'Costo Directo'!D353</f>
        <v>TAM-P3-47</v>
      </c>
      <c r="H427" s="803">
        <f>'Costo Directo'!E353</f>
        <v>0</v>
      </c>
    </row>
    <row r="428" spans="7:8" x14ac:dyDescent="0.3">
      <c r="G428" s="802" t="str">
        <f>'Costo Directo'!D354</f>
        <v>TAM-P3-48</v>
      </c>
      <c r="H428" s="803">
        <f>'Costo Directo'!E354</f>
        <v>0</v>
      </c>
    </row>
    <row r="429" spans="7:8" x14ac:dyDescent="0.3">
      <c r="G429" s="802" t="str">
        <f>'Costo Directo'!D355</f>
        <v>TAM-P3-49</v>
      </c>
      <c r="H429" s="803">
        <f>'Costo Directo'!E355</f>
        <v>0</v>
      </c>
    </row>
    <row r="430" spans="7:8" x14ac:dyDescent="0.3">
      <c r="G430" s="802" t="str">
        <f>'Costo Directo'!D357</f>
        <v>P4</v>
      </c>
      <c r="H430" s="803" t="str">
        <f>'Costo Directo'!E357</f>
        <v>MATERIALES</v>
      </c>
    </row>
    <row r="431" spans="7:8" x14ac:dyDescent="0.3">
      <c r="G431" s="802" t="str">
        <f>'Costo Directo'!D360</f>
        <v>TAM-P4-1</v>
      </c>
      <c r="H431" s="803" t="str">
        <f>'Costo Directo'!E360</f>
        <v>ADITIVO CURADOR</v>
      </c>
    </row>
    <row r="432" spans="7:8" x14ac:dyDescent="0.3">
      <c r="G432" s="802" t="str">
        <f>'Costo Directo'!D361</f>
        <v>TAM-P4-2</v>
      </c>
      <c r="H432" s="803" t="str">
        <f>'Costo Directo'!E361</f>
        <v>ADITIVO DESMOLDANTE SIKA O SIMILAR</v>
      </c>
    </row>
    <row r="433" spans="7:8" x14ac:dyDescent="0.3">
      <c r="G433" s="802" t="str">
        <f>'Costo Directo'!D362</f>
        <v>TAM-P4-3</v>
      </c>
      <c r="H433" s="803" t="str">
        <f>'Costo Directo'!E362</f>
        <v>AGUA</v>
      </c>
    </row>
    <row r="434" spans="7:8" x14ac:dyDescent="0.3">
      <c r="G434" s="802" t="str">
        <f>'Costo Directo'!D363</f>
        <v>TAM-P4-4</v>
      </c>
      <c r="H434" s="803" t="str">
        <f>'Costo Directo'!E363</f>
        <v>ALAMBRE RECOCIDO</v>
      </c>
    </row>
    <row r="435" spans="7:8" x14ac:dyDescent="0.3">
      <c r="G435" s="802" t="str">
        <f>'Costo Directo'!D364</f>
        <v>TAM-P4-5</v>
      </c>
      <c r="H435" s="803" t="str">
        <f>'Costo Directo'!E364</f>
        <v>ARENA</v>
      </c>
    </row>
    <row r="436" spans="7:8" x14ac:dyDescent="0.3">
      <c r="G436" s="802" t="str">
        <f>'Costo Directo'!D365</f>
        <v>TAM-P4-6</v>
      </c>
      <c r="H436" s="803" t="str">
        <f>'Costo Directo'!E365</f>
        <v>CEMENTO</v>
      </c>
    </row>
    <row r="437" spans="7:8" x14ac:dyDescent="0.3">
      <c r="G437" s="802" t="str">
        <f>'Costo Directo'!D366</f>
        <v>TAM-P4-7</v>
      </c>
      <c r="H437" s="803" t="str">
        <f>'Costo Directo'!E366</f>
        <v>CONCRETO F'C=250 KG/CM2</v>
      </c>
    </row>
    <row r="438" spans="7:8" x14ac:dyDescent="0.3">
      <c r="G438" s="802" t="str">
        <f>'Costo Directo'!D367</f>
        <v>TAM-P4-8</v>
      </c>
      <c r="H438" s="803" t="str">
        <f>'Costo Directo'!E367</f>
        <v>GRAVA</v>
      </c>
    </row>
    <row r="439" spans="7:8" x14ac:dyDescent="0.3">
      <c r="G439" s="802" t="str">
        <f>'Costo Directo'!D368</f>
        <v>TAM-P4-9</v>
      </c>
      <c r="H439" s="803" t="str">
        <f>'Costo Directo'!E368</f>
        <v>MADERA PARA CIMBRA DE FRONTERA DE PILA</v>
      </c>
    </row>
    <row r="440" spans="7:8" x14ac:dyDescent="0.3">
      <c r="G440" s="802" t="str">
        <f>'Costo Directo'!D369</f>
        <v>TAM-P4-10</v>
      </c>
      <c r="H440" s="803" t="str">
        <f>'Costo Directo'!E369</f>
        <v>MALLA NARANJA DE PERFORACIÓN</v>
      </c>
    </row>
    <row r="441" spans="7:8" x14ac:dyDescent="0.3">
      <c r="G441" s="802" t="str">
        <f>'Costo Directo'!D370</f>
        <v>TAM-P4-11</v>
      </c>
      <c r="H441" s="803" t="str">
        <f>'Costo Directo'!E370</f>
        <v>MORTERO CEMENTICIO AUTONIVELANTE IMPAC GROUT PRO O SIMILAR</v>
      </c>
    </row>
    <row r="442" spans="7:8" x14ac:dyDescent="0.3">
      <c r="G442" s="802" t="str">
        <f>'Costo Directo'!D371</f>
        <v>TAM-P4-12</v>
      </c>
      <c r="H442" s="803" t="str">
        <f>'Costo Directo'!E371</f>
        <v>POSTE ANARANJADO DE 1.2M PARA CONTROL VIAL</v>
      </c>
    </row>
    <row r="443" spans="7:8" x14ac:dyDescent="0.3">
      <c r="G443" s="802" t="str">
        <f>'Costo Directo'!D372</f>
        <v>TAM-P4-13</v>
      </c>
      <c r="H443" s="803" t="str">
        <f>'Costo Directo'!E372</f>
        <v>SILLETAS INFERIORES (SU 75 Ó SIMILAR)</v>
      </c>
    </row>
    <row r="444" spans="7:8" x14ac:dyDescent="0.3">
      <c r="G444" s="802" t="str">
        <f>'Costo Directo'!D373</f>
        <v>TAM-P4-14</v>
      </c>
      <c r="H444" s="803" t="str">
        <f>'Costo Directo'!E373</f>
        <v>SILLETAS LATERALES (PIL 50 Ó SIMILAR)</v>
      </c>
    </row>
    <row r="445" spans="7:8" x14ac:dyDescent="0.3">
      <c r="G445" s="802" t="str">
        <f>'Costo Directo'!D374</f>
        <v>TAM-P4-15</v>
      </c>
      <c r="H445" s="803" t="str">
        <f>'Costo Directo'!E374</f>
        <v>TUBO DE PVC VERDE DE 1"</v>
      </c>
    </row>
    <row r="446" spans="7:8" x14ac:dyDescent="0.3">
      <c r="G446" s="802" t="str">
        <f>'Costo Directo'!D375</f>
        <v>TAM-P4-16</v>
      </c>
      <c r="H446" s="803" t="str">
        <f>'Costo Directo'!E375</f>
        <v>VARILLA CORRUGADA #03</v>
      </c>
    </row>
    <row r="447" spans="7:8" x14ac:dyDescent="0.3">
      <c r="G447" s="802" t="str">
        <f>'Costo Directo'!D376</f>
        <v>TAM-P4-17</v>
      </c>
      <c r="H447" s="803" t="str">
        <f>'Costo Directo'!E376</f>
        <v>VARILLA CORRUGADA #06</v>
      </c>
    </row>
    <row r="448" spans="7:8" x14ac:dyDescent="0.3">
      <c r="G448" s="802" t="str">
        <f>'Costo Directo'!D377</f>
        <v>TAM-P4-18</v>
      </c>
      <c r="H448" s="803" t="str">
        <f>'Costo Directo'!E377</f>
        <v>OTROS MATERIALES</v>
      </c>
    </row>
    <row r="449" spans="7:8" x14ac:dyDescent="0.3">
      <c r="G449" s="802" t="str">
        <f>'Costo Directo'!D378</f>
        <v>TAM-P4-19</v>
      </c>
      <c r="H449" s="803">
        <f>'Costo Directo'!E378</f>
        <v>0</v>
      </c>
    </row>
    <row r="450" spans="7:8" x14ac:dyDescent="0.3">
      <c r="G450" s="802" t="str">
        <f>'Costo Directo'!D379</f>
        <v>TAM-P4-20</v>
      </c>
      <c r="H450" s="803">
        <f>'Costo Directo'!E379</f>
        <v>0</v>
      </c>
    </row>
    <row r="451" spans="7:8" x14ac:dyDescent="0.3">
      <c r="G451" s="802" t="str">
        <f>'Costo Directo'!D380</f>
        <v>TAM-P4-21</v>
      </c>
      <c r="H451" s="803">
        <f>'Costo Directo'!E380</f>
        <v>0</v>
      </c>
    </row>
    <row r="452" spans="7:8" x14ac:dyDescent="0.3">
      <c r="G452" s="802" t="str">
        <f>'Costo Directo'!D381</f>
        <v>TAM-P4-22</v>
      </c>
      <c r="H452" s="803">
        <f>'Costo Directo'!E381</f>
        <v>0</v>
      </c>
    </row>
    <row r="453" spans="7:8" x14ac:dyDescent="0.3">
      <c r="G453" s="802" t="str">
        <f>'Costo Directo'!D382</f>
        <v>TAM-P4-23</v>
      </c>
      <c r="H453" s="803">
        <f>'Costo Directo'!E382</f>
        <v>0</v>
      </c>
    </row>
    <row r="454" spans="7:8" x14ac:dyDescent="0.3">
      <c r="G454" s="802" t="str">
        <f>'Costo Directo'!D383</f>
        <v>TAM-P4-24</v>
      </c>
      <c r="H454" s="803">
        <f>'Costo Directo'!E383</f>
        <v>0</v>
      </c>
    </row>
    <row r="455" spans="7:8" x14ac:dyDescent="0.3">
      <c r="G455" s="802" t="str">
        <f>'Costo Directo'!D384</f>
        <v>TAM-P4-25</v>
      </c>
      <c r="H455" s="803">
        <f>'Costo Directo'!E384</f>
        <v>0</v>
      </c>
    </row>
    <row r="456" spans="7:8" x14ac:dyDescent="0.3">
      <c r="G456" s="802" t="str">
        <f>'Costo Directo'!D385</f>
        <v>TAM-P4-26</v>
      </c>
      <c r="H456" s="803">
        <f>'Costo Directo'!E385</f>
        <v>0</v>
      </c>
    </row>
    <row r="457" spans="7:8" x14ac:dyDescent="0.3">
      <c r="G457" s="802" t="str">
        <f>'Costo Directo'!D386</f>
        <v>TAM-P4-27</v>
      </c>
      <c r="H457" s="803">
        <f>'Costo Directo'!E386</f>
        <v>0</v>
      </c>
    </row>
    <row r="458" spans="7:8" x14ac:dyDescent="0.3">
      <c r="G458" s="802" t="str">
        <f>'Costo Directo'!D387</f>
        <v>TAM-P4-28</v>
      </c>
      <c r="H458" s="803">
        <f>'Costo Directo'!E387</f>
        <v>0</v>
      </c>
    </row>
    <row r="459" spans="7:8" x14ac:dyDescent="0.3">
      <c r="G459" s="802" t="str">
        <f>'Costo Directo'!D388</f>
        <v>TAM-P4-29</v>
      </c>
      <c r="H459" s="803">
        <f>'Costo Directo'!E388</f>
        <v>0</v>
      </c>
    </row>
    <row r="460" spans="7:8" x14ac:dyDescent="0.3">
      <c r="G460" s="802" t="str">
        <f>'Costo Directo'!D389</f>
        <v>TAM-P4-30</v>
      </c>
      <c r="H460" s="803">
        <f>'Costo Directo'!E389</f>
        <v>0</v>
      </c>
    </row>
    <row r="461" spans="7:8" x14ac:dyDescent="0.3">
      <c r="G461" s="802" t="str">
        <f>'Costo Directo'!D390</f>
        <v>TAM-P4-31</v>
      </c>
      <c r="H461" s="803">
        <f>'Costo Directo'!E390</f>
        <v>0</v>
      </c>
    </row>
    <row r="462" spans="7:8" x14ac:dyDescent="0.3">
      <c r="G462" s="802" t="str">
        <f>'Costo Directo'!D391</f>
        <v>TAM-P4-32</v>
      </c>
      <c r="H462" s="803">
        <f>'Costo Directo'!E391</f>
        <v>0</v>
      </c>
    </row>
    <row r="463" spans="7:8" x14ac:dyDescent="0.3">
      <c r="G463" s="802" t="str">
        <f>'Costo Directo'!D392</f>
        <v>TAM-P4-33</v>
      </c>
      <c r="H463" s="803">
        <f>'Costo Directo'!E392</f>
        <v>0</v>
      </c>
    </row>
    <row r="464" spans="7:8" x14ac:dyDescent="0.3">
      <c r="G464" s="802" t="str">
        <f>'Costo Directo'!D393</f>
        <v>TAM-P4-34</v>
      </c>
      <c r="H464" s="803">
        <f>'Costo Directo'!E393</f>
        <v>0</v>
      </c>
    </row>
    <row r="465" spans="7:8" x14ac:dyDescent="0.3">
      <c r="G465" s="802" t="str">
        <f>'Costo Directo'!D394</f>
        <v>TAM-P4-35</v>
      </c>
      <c r="H465" s="803">
        <f>'Costo Directo'!E394</f>
        <v>0</v>
      </c>
    </row>
    <row r="466" spans="7:8" x14ac:dyDescent="0.3">
      <c r="G466" s="802" t="str">
        <f>'Costo Directo'!D395</f>
        <v>TAM-P4-36</v>
      </c>
      <c r="H466" s="803">
        <f>'Costo Directo'!E395</f>
        <v>0</v>
      </c>
    </row>
    <row r="467" spans="7:8" x14ac:dyDescent="0.3">
      <c r="G467" s="802" t="str">
        <f>'Costo Directo'!D396</f>
        <v>TAM-P4-37</v>
      </c>
      <c r="H467" s="803">
        <f>'Costo Directo'!E396</f>
        <v>0</v>
      </c>
    </row>
    <row r="468" spans="7:8" x14ac:dyDescent="0.3">
      <c r="G468" s="802" t="str">
        <f>'Costo Directo'!D397</f>
        <v>TAM-P4-38</v>
      </c>
      <c r="H468" s="803">
        <f>'Costo Directo'!E397</f>
        <v>0</v>
      </c>
    </row>
    <row r="469" spans="7:8" x14ac:dyDescent="0.3">
      <c r="G469" s="802" t="str">
        <f>'Costo Directo'!D398</f>
        <v>TAM-P4-39</v>
      </c>
      <c r="H469" s="803">
        <f>'Costo Directo'!E398</f>
        <v>0</v>
      </c>
    </row>
    <row r="470" spans="7:8" x14ac:dyDescent="0.3">
      <c r="G470" s="802" t="str">
        <f>'Costo Directo'!D399</f>
        <v>TAM-P4-40</v>
      </c>
      <c r="H470" s="803">
        <f>'Costo Directo'!E399</f>
        <v>0</v>
      </c>
    </row>
    <row r="471" spans="7:8" x14ac:dyDescent="0.3">
      <c r="G471" s="802" t="str">
        <f>'Costo Directo'!D400</f>
        <v>TAM-P4-41</v>
      </c>
      <c r="H471" s="803">
        <f>'Costo Directo'!E400</f>
        <v>0</v>
      </c>
    </row>
    <row r="472" spans="7:8" x14ac:dyDescent="0.3">
      <c r="G472" s="802" t="str">
        <f>'Costo Directo'!D401</f>
        <v>TAM-P4-42</v>
      </c>
      <c r="H472" s="803">
        <f>'Costo Directo'!E401</f>
        <v>0</v>
      </c>
    </row>
    <row r="473" spans="7:8" x14ac:dyDescent="0.3">
      <c r="G473" s="802" t="str">
        <f>'Costo Directo'!D402</f>
        <v>TAM-P4-43</v>
      </c>
      <c r="H473" s="803">
        <f>'Costo Directo'!E402</f>
        <v>0</v>
      </c>
    </row>
    <row r="474" spans="7:8" x14ac:dyDescent="0.3">
      <c r="G474" s="802" t="str">
        <f>'Costo Directo'!D403</f>
        <v>TAM-P4-44</v>
      </c>
      <c r="H474" s="803">
        <f>'Costo Directo'!E403</f>
        <v>0</v>
      </c>
    </row>
    <row r="475" spans="7:8" x14ac:dyDescent="0.3">
      <c r="G475" s="802" t="str">
        <f>'Costo Directo'!D404</f>
        <v>TAM-P4-45</v>
      </c>
      <c r="H475" s="803">
        <f>'Costo Directo'!E404</f>
        <v>0</v>
      </c>
    </row>
    <row r="476" spans="7:8" x14ac:dyDescent="0.3">
      <c r="G476" s="802" t="str">
        <f>'Costo Directo'!D405</f>
        <v>TAM-P4-46</v>
      </c>
      <c r="H476" s="803">
        <f>'Costo Directo'!E405</f>
        <v>0</v>
      </c>
    </row>
    <row r="477" spans="7:8" x14ac:dyDescent="0.3">
      <c r="G477" s="802" t="str">
        <f>'Costo Directo'!D406</f>
        <v>TAM-P4-47</v>
      </c>
      <c r="H477" s="803">
        <f>'Costo Directo'!E406</f>
        <v>0</v>
      </c>
    </row>
    <row r="478" spans="7:8" x14ac:dyDescent="0.3">
      <c r="G478" s="802" t="str">
        <f>'Costo Directo'!D407</f>
        <v>TAM-P4-48</v>
      </c>
      <c r="H478" s="803">
        <f>'Costo Directo'!E407</f>
        <v>0</v>
      </c>
    </row>
    <row r="479" spans="7:8" x14ac:dyDescent="0.3">
      <c r="G479" s="802" t="str">
        <f>'Costo Directo'!D408</f>
        <v>TAM-P4-49</v>
      </c>
      <c r="H479" s="803">
        <f>'Costo Directo'!E408</f>
        <v>0</v>
      </c>
    </row>
    <row r="480" spans="7:8" x14ac:dyDescent="0.3">
      <c r="G480" s="802" t="str">
        <f>'Costo Directo'!D410</f>
        <v>P5</v>
      </c>
      <c r="H480" s="803" t="str">
        <f>'Costo Directo'!E410</f>
        <v>ACARREOS</v>
      </c>
    </row>
    <row r="481" spans="7:8" x14ac:dyDescent="0.3">
      <c r="G481" s="802" t="str">
        <f>'Costo Directo'!D413</f>
        <v>TAM-P5-1</v>
      </c>
      <c r="H481" s="803" t="str">
        <f>'Costo Directo'!E413</f>
        <v>ACARREO A BANCO DE TIRO</v>
      </c>
    </row>
    <row r="482" spans="7:8" x14ac:dyDescent="0.3">
      <c r="G482" s="802" t="str">
        <f>'Costo Directo'!D414</f>
        <v>TAM-P5-2</v>
      </c>
      <c r="H482" s="803">
        <f>'Costo Directo'!E414</f>
        <v>0</v>
      </c>
    </row>
    <row r="483" spans="7:8" x14ac:dyDescent="0.3">
      <c r="G483" s="802" t="str">
        <f>'Costo Directo'!D415</f>
        <v>TAM-P5-3</v>
      </c>
      <c r="H483" s="803">
        <f>'Costo Directo'!E415</f>
        <v>0</v>
      </c>
    </row>
    <row r="484" spans="7:8" x14ac:dyDescent="0.3">
      <c r="G484" s="802" t="str">
        <f>'Costo Directo'!D416</f>
        <v>TAM-P5-4</v>
      </c>
      <c r="H484" s="803">
        <f>'Costo Directo'!E416</f>
        <v>0</v>
      </c>
    </row>
    <row r="485" spans="7:8" x14ac:dyDescent="0.3">
      <c r="G485" s="802" t="str">
        <f>'Costo Directo'!D417</f>
        <v>TAM-P5-5</v>
      </c>
      <c r="H485" s="803">
        <f>'Costo Directo'!E417</f>
        <v>0</v>
      </c>
    </row>
    <row r="486" spans="7:8" x14ac:dyDescent="0.3">
      <c r="G486" s="802" t="str">
        <f>'Costo Directo'!D418</f>
        <v>TAM-P5-6</v>
      </c>
      <c r="H486" s="803">
        <f>'Costo Directo'!E418</f>
        <v>0</v>
      </c>
    </row>
    <row r="487" spans="7:8" x14ac:dyDescent="0.3">
      <c r="G487" s="802" t="str">
        <f>'Costo Directo'!D419</f>
        <v>TAM-P5-7</v>
      </c>
      <c r="H487" s="803">
        <f>'Costo Directo'!E419</f>
        <v>0</v>
      </c>
    </row>
    <row r="488" spans="7:8" x14ac:dyDescent="0.3">
      <c r="G488" s="802" t="str">
        <f>'Costo Directo'!D420</f>
        <v>TAM-P5-8</v>
      </c>
      <c r="H488" s="803">
        <f>'Costo Directo'!E420</f>
        <v>0</v>
      </c>
    </row>
    <row r="489" spans="7:8" x14ac:dyDescent="0.3">
      <c r="G489" s="802" t="str">
        <f>'Costo Directo'!D421</f>
        <v>TAM-P5-9</v>
      </c>
      <c r="H489" s="803">
        <f>'Costo Directo'!E421</f>
        <v>0</v>
      </c>
    </row>
    <row r="490" spans="7:8" x14ac:dyDescent="0.3">
      <c r="G490" s="802" t="str">
        <f>'Costo Directo'!D423</f>
        <v>P6</v>
      </c>
      <c r="H490" s="803" t="str">
        <f>'Costo Directo'!E423</f>
        <v>Fletes</v>
      </c>
    </row>
    <row r="491" spans="7:8" x14ac:dyDescent="0.3">
      <c r="G491" s="802" t="str">
        <f>'Costo Directo'!D426</f>
        <v>TAM-P6-1</v>
      </c>
      <c r="H491" s="803">
        <f>'Costo Directo'!E426</f>
        <v>0</v>
      </c>
    </row>
    <row r="492" spans="7:8" x14ac:dyDescent="0.3">
      <c r="G492" s="802" t="str">
        <f>'Costo Directo'!D427</f>
        <v>TAM-P6-2</v>
      </c>
      <c r="H492" s="803">
        <f>'Costo Directo'!E427</f>
        <v>0</v>
      </c>
    </row>
    <row r="493" spans="7:8" x14ac:dyDescent="0.3">
      <c r="G493" s="802" t="str">
        <f>'Costo Directo'!D428</f>
        <v>TAM-P6-3</v>
      </c>
      <c r="H493" s="803">
        <f>'Costo Directo'!E428</f>
        <v>0</v>
      </c>
    </row>
    <row r="494" spans="7:8" x14ac:dyDescent="0.3">
      <c r="G494" s="802" t="str">
        <f>'Costo Directo'!D429</f>
        <v>TAM-P6-4</v>
      </c>
      <c r="H494" s="803">
        <f>'Costo Directo'!E429</f>
        <v>0</v>
      </c>
    </row>
    <row r="495" spans="7:8" x14ac:dyDescent="0.3">
      <c r="G495" s="802" t="str">
        <f>'Costo Directo'!D430</f>
        <v>TAM-P6-5</v>
      </c>
      <c r="H495" s="803">
        <f>'Costo Directo'!E430</f>
        <v>0</v>
      </c>
    </row>
    <row r="496" spans="7:8" x14ac:dyDescent="0.3">
      <c r="G496" s="802" t="str">
        <f>'Costo Directo'!D431</f>
        <v>TAM-P6-6</v>
      </c>
      <c r="H496" s="803">
        <f>'Costo Directo'!E431</f>
        <v>0</v>
      </c>
    </row>
    <row r="497" spans="7:8" x14ac:dyDescent="0.3">
      <c r="G497" s="802" t="str">
        <f>'Costo Directo'!D432</f>
        <v>TAM-P6-7</v>
      </c>
      <c r="H497" s="803">
        <f>'Costo Directo'!E432</f>
        <v>0</v>
      </c>
    </row>
    <row r="498" spans="7:8" x14ac:dyDescent="0.3">
      <c r="G498" s="802" t="str">
        <f>'Costo Directo'!D433</f>
        <v>TAM-P6-8</v>
      </c>
      <c r="H498" s="803">
        <f>'Costo Directo'!E433</f>
        <v>0</v>
      </c>
    </row>
    <row r="499" spans="7:8" x14ac:dyDescent="0.3">
      <c r="G499" s="802" t="str">
        <f>'Costo Directo'!D434</f>
        <v>TAM-P6-9</v>
      </c>
      <c r="H499" s="803">
        <f>'Costo Directo'!E434</f>
        <v>0</v>
      </c>
    </row>
    <row r="500" spans="7:8" x14ac:dyDescent="0.3">
      <c r="G500" s="802" t="str">
        <f>'Costo Directo'!D435</f>
        <v>TAM-P6-10</v>
      </c>
      <c r="H500" s="803">
        <f>'Costo Directo'!E435</f>
        <v>0</v>
      </c>
    </row>
    <row r="501" spans="7:8" x14ac:dyDescent="0.3">
      <c r="G501" s="802" t="str">
        <f>'Costo Directo'!D436</f>
        <v>TAM-P6-11</v>
      </c>
      <c r="H501" s="803">
        <f>'Costo Directo'!E436</f>
        <v>0</v>
      </c>
    </row>
    <row r="502" spans="7:8" x14ac:dyDescent="0.3">
      <c r="G502" s="802" t="str">
        <f>'Costo Directo'!D437</f>
        <v>TAM-P6-12</v>
      </c>
      <c r="H502" s="803">
        <f>'Costo Directo'!E437</f>
        <v>0</v>
      </c>
    </row>
    <row r="503" spans="7:8" x14ac:dyDescent="0.3">
      <c r="G503" s="802" t="str">
        <f>'Costo Directo'!D438</f>
        <v>TAM-P6-13</v>
      </c>
      <c r="H503" s="803">
        <f>'Costo Directo'!E438</f>
        <v>0</v>
      </c>
    </row>
    <row r="504" spans="7:8" x14ac:dyDescent="0.3">
      <c r="G504" s="802" t="str">
        <f>'Costo Directo'!D439</f>
        <v>TAM-P6-14</v>
      </c>
      <c r="H504" s="803">
        <f>'Costo Directo'!E439</f>
        <v>0</v>
      </c>
    </row>
    <row r="505" spans="7:8" x14ac:dyDescent="0.3">
      <c r="G505" s="802" t="str">
        <f>'Costo Directo'!D440</f>
        <v>TAM-P6-15</v>
      </c>
      <c r="H505" s="803">
        <f>'Costo Directo'!E440</f>
        <v>0</v>
      </c>
    </row>
    <row r="506" spans="7:8" x14ac:dyDescent="0.3">
      <c r="G506" s="802" t="str">
        <f>'Costo Directo'!D441</f>
        <v>TAM-P6-16</v>
      </c>
      <c r="H506" s="803">
        <f>'Costo Directo'!E441</f>
        <v>0</v>
      </c>
    </row>
    <row r="507" spans="7:8" x14ac:dyDescent="0.3">
      <c r="G507" s="802" t="str">
        <f>'Costo Directo'!D442</f>
        <v>TAM-P6-17</v>
      </c>
      <c r="H507" s="803">
        <f>'Costo Directo'!E442</f>
        <v>0</v>
      </c>
    </row>
    <row r="508" spans="7:8" x14ac:dyDescent="0.3">
      <c r="G508" s="802" t="str">
        <f>'Costo Directo'!D443</f>
        <v>TAM-P6-18</v>
      </c>
      <c r="H508" s="803">
        <f>'Costo Directo'!E443</f>
        <v>0</v>
      </c>
    </row>
    <row r="509" spans="7:8" x14ac:dyDescent="0.3">
      <c r="G509" s="802" t="str">
        <f>'Costo Directo'!D444</f>
        <v>TAM-P6-19</v>
      </c>
      <c r="H509" s="803">
        <f>'Costo Directo'!E444</f>
        <v>0</v>
      </c>
    </row>
    <row r="510" spans="7:8" x14ac:dyDescent="0.3">
      <c r="G510" s="802" t="str">
        <f>'Costo Directo'!D446</f>
        <v>P7</v>
      </c>
      <c r="H510" s="803" t="str">
        <f>'Costo Directo'!E446</f>
        <v>Combustibles</v>
      </c>
    </row>
    <row r="511" spans="7:8" x14ac:dyDescent="0.3">
      <c r="G511" s="802" t="str">
        <f>'Costo Directo'!D449</f>
        <v>TAM-P7-1</v>
      </c>
      <c r="H511" s="803">
        <f>'Costo Directo'!E449</f>
        <v>0</v>
      </c>
    </row>
    <row r="512" spans="7:8" x14ac:dyDescent="0.3">
      <c r="G512" s="802" t="str">
        <f>'Costo Directo'!D450</f>
        <v>TAM-P7-2</v>
      </c>
      <c r="H512" s="803">
        <f>'Costo Directo'!E450</f>
        <v>0</v>
      </c>
    </row>
    <row r="513" spans="7:8" x14ac:dyDescent="0.3">
      <c r="G513" s="802" t="str">
        <f>'Costo Directo'!D451</f>
        <v>TAM-P7-3</v>
      </c>
      <c r="H513" s="803">
        <f>'Costo Directo'!E451</f>
        <v>0</v>
      </c>
    </row>
    <row r="514" spans="7:8" x14ac:dyDescent="0.3">
      <c r="G514" s="802" t="str">
        <f>'Costo Directo'!D452</f>
        <v>TAM-P7-4</v>
      </c>
      <c r="H514" s="803">
        <f>'Costo Directo'!E452</f>
        <v>0</v>
      </c>
    </row>
    <row r="515" spans="7:8" x14ac:dyDescent="0.3">
      <c r="G515" s="802" t="str">
        <f>'Costo Directo'!D453</f>
        <v>TAM-P7-5</v>
      </c>
      <c r="H515" s="803">
        <f>'Costo Directo'!E453</f>
        <v>0</v>
      </c>
    </row>
    <row r="516" spans="7:8" x14ac:dyDescent="0.3">
      <c r="G516" s="802" t="str">
        <f>'Costo Directo'!D454</f>
        <v>TAM-P7-6</v>
      </c>
      <c r="H516" s="803">
        <f>'Costo Directo'!E454</f>
        <v>0</v>
      </c>
    </row>
    <row r="517" spans="7:8" x14ac:dyDescent="0.3">
      <c r="G517" s="802" t="str">
        <f>'Costo Directo'!D455</f>
        <v>TAM-P7-7</v>
      </c>
      <c r="H517" s="803">
        <f>'Costo Directo'!E455</f>
        <v>0</v>
      </c>
    </row>
    <row r="518" spans="7:8" x14ac:dyDescent="0.3">
      <c r="G518" s="802" t="str">
        <f>'Costo Directo'!D456</f>
        <v>TAM-P7-8</v>
      </c>
      <c r="H518" s="803">
        <f>'Costo Directo'!E456</f>
        <v>0</v>
      </c>
    </row>
    <row r="519" spans="7:8" x14ac:dyDescent="0.3">
      <c r="G519" s="802" t="str">
        <f>'Costo Directo'!D457</f>
        <v>TAM-P7-9</v>
      </c>
      <c r="H519" s="803">
        <f>'Costo Directo'!E457</f>
        <v>0</v>
      </c>
    </row>
    <row r="520" spans="7:8" x14ac:dyDescent="0.3">
      <c r="G520" s="802" t="str">
        <f>'Costo Directo'!D458</f>
        <v>TAM-P7-10</v>
      </c>
      <c r="H520" s="803">
        <f>'Costo Directo'!E458</f>
        <v>0</v>
      </c>
    </row>
    <row r="521" spans="7:8" x14ac:dyDescent="0.3">
      <c r="G521" s="802" t="str">
        <f>'Costo Directo'!D459</f>
        <v>TAM-P7-11</v>
      </c>
      <c r="H521" s="803">
        <f>'Costo Directo'!E459</f>
        <v>0</v>
      </c>
    </row>
    <row r="522" spans="7:8" x14ac:dyDescent="0.3">
      <c r="G522" s="802" t="str">
        <f>'Costo Directo'!D460</f>
        <v>TAM-P7-12</v>
      </c>
      <c r="H522" s="803">
        <f>'Costo Directo'!E460</f>
        <v>0</v>
      </c>
    </row>
    <row r="523" spans="7:8" x14ac:dyDescent="0.3">
      <c r="G523" s="802" t="str">
        <f>'Costo Directo'!D461</f>
        <v>TAM-P7-13</v>
      </c>
      <c r="H523" s="803">
        <f>'Costo Directo'!E461</f>
        <v>0</v>
      </c>
    </row>
    <row r="524" spans="7:8" x14ac:dyDescent="0.3">
      <c r="G524" s="802" t="str">
        <f>'Costo Directo'!D463</f>
        <v>P8</v>
      </c>
      <c r="H524" s="803" t="str">
        <f>'Costo Directo'!E463</f>
        <v>Madera, Ferretería, Herramienta</v>
      </c>
    </row>
    <row r="525" spans="7:8" x14ac:dyDescent="0.3">
      <c r="G525" s="802" t="str">
        <f>'Costo Directo'!D466</f>
        <v>TAM-P8-1</v>
      </c>
      <c r="H525" s="803">
        <f>'Costo Directo'!E466</f>
        <v>0</v>
      </c>
    </row>
    <row r="526" spans="7:8" x14ac:dyDescent="0.3">
      <c r="G526" s="802" t="str">
        <f>'Costo Directo'!D467</f>
        <v>TAM-P8-2</v>
      </c>
      <c r="H526" s="803">
        <f>'Costo Directo'!E467</f>
        <v>0</v>
      </c>
    </row>
    <row r="527" spans="7:8" x14ac:dyDescent="0.3">
      <c r="G527" s="802" t="str">
        <f>'Costo Directo'!D468</f>
        <v>TAM-P8-3</v>
      </c>
      <c r="H527" s="803">
        <f>'Costo Directo'!E468</f>
        <v>0</v>
      </c>
    </row>
    <row r="528" spans="7:8" x14ac:dyDescent="0.3">
      <c r="G528" s="802" t="str">
        <f>'Costo Directo'!D469</f>
        <v>TAM-P8-4</v>
      </c>
      <c r="H528" s="803">
        <f>'Costo Directo'!E469</f>
        <v>0</v>
      </c>
    </row>
    <row r="529" spans="7:8" x14ac:dyDescent="0.3">
      <c r="G529" s="802" t="str">
        <f>'Costo Directo'!D471</f>
        <v>P9</v>
      </c>
      <c r="H529" s="803" t="str">
        <f>'Costo Directo'!E471</f>
        <v>HERRAMIENTA MENOR Y EPP</v>
      </c>
    </row>
    <row r="530" spans="7:8" x14ac:dyDescent="0.3">
      <c r="G530" s="802" t="str">
        <f>'Costo Directo'!D474</f>
        <v>TAM-P9-1</v>
      </c>
      <c r="H530" s="803" t="str">
        <f>'Costo Directo'!E474</f>
        <v>EPP</v>
      </c>
    </row>
    <row r="531" spans="7:8" x14ac:dyDescent="0.3">
      <c r="G531" s="802" t="str">
        <f>'Costo Directo'!D475</f>
        <v>TAM-P9-2</v>
      </c>
      <c r="H531" s="803" t="str">
        <f>'Costo Directo'!E475</f>
        <v>HERRAMIENTA MENOR</v>
      </c>
    </row>
    <row r="532" spans="7:8" x14ac:dyDescent="0.3">
      <c r="G532" s="802" t="str">
        <f>'Costo Directo'!D477</f>
        <v>P10</v>
      </c>
      <c r="H532" s="803" t="str">
        <f>'Costo Directo'!E477</f>
        <v>Mangueras y Reparaciones</v>
      </c>
    </row>
    <row r="533" spans="7:8" x14ac:dyDescent="0.3">
      <c r="G533" s="802" t="str">
        <f>'Costo Directo'!D480</f>
        <v>TAM-P10-1</v>
      </c>
      <c r="H533" s="803">
        <f>'Costo Directo'!E480</f>
        <v>0</v>
      </c>
    </row>
    <row r="534" spans="7:8" x14ac:dyDescent="0.3">
      <c r="G534" s="802" t="str">
        <f>'Costo Directo'!D481</f>
        <v>TAM-P10-2</v>
      </c>
      <c r="H534" s="803">
        <f>'Costo Directo'!E481</f>
        <v>0</v>
      </c>
    </row>
    <row r="535" spans="7:8" x14ac:dyDescent="0.3">
      <c r="G535" s="802" t="str">
        <f>'Costo Directo'!D482</f>
        <v>TAM-P10-3</v>
      </c>
      <c r="H535" s="803">
        <f>'Costo Directo'!E482</f>
        <v>0</v>
      </c>
    </row>
    <row r="536" spans="7:8" x14ac:dyDescent="0.3">
      <c r="G536" s="802" t="str">
        <f>'Costo Directo'!D486</f>
        <v>P1</v>
      </c>
      <c r="H536" s="803" t="str">
        <f>'Costo Directo'!E486</f>
        <v>SUBCONTRATOS</v>
      </c>
    </row>
    <row r="537" spans="7:8" x14ac:dyDescent="0.3">
      <c r="G537" s="802" t="str">
        <f>'Costo Directo'!D489</f>
        <v>VIC-P1-1</v>
      </c>
      <c r="H537" s="803" t="str">
        <f>'Costo Directo'!E489</f>
        <v>COLADO DE CONCRETO CON TUBO TREMIE. TIRO DIRECTO</v>
      </c>
    </row>
    <row r="538" spans="7:8" x14ac:dyDescent="0.3">
      <c r="G538" s="802" t="str">
        <f>'Costo Directo'!D490</f>
        <v>VIC-P1-2</v>
      </c>
      <c r="H538" s="803" t="str">
        <f>'Costo Directo'!E490</f>
        <v>COLOCACIÓN DE ARMADO EN EXCAVACIÓN</v>
      </c>
    </row>
    <row r="539" spans="7:8" x14ac:dyDescent="0.3">
      <c r="G539" s="802" t="str">
        <f>'Costo Directo'!D491</f>
        <v>VIC-P1-3</v>
      </c>
      <c r="H539" s="803" t="str">
        <f>'Costo Directo'!E491</f>
        <v>FLETES DEL EQUIPO</v>
      </c>
    </row>
    <row r="540" spans="7:8" x14ac:dyDescent="0.3">
      <c r="G540" s="802" t="str">
        <f>'Costo Directo'!D492</f>
        <v>VIC-P1-4</v>
      </c>
      <c r="H540" s="803" t="str">
        <f>'Costo Directo'!E492</f>
        <v>HABILITADO DE ACERO CORRUGADO DE CUALQUIER DIÁMETRO</v>
      </c>
    </row>
    <row r="541" spans="7:8" x14ac:dyDescent="0.3">
      <c r="G541" s="802" t="str">
        <f>'Costo Directo'!D493</f>
        <v>VIC-P1-5</v>
      </c>
      <c r="H541" s="803" t="str">
        <f>'Costo Directo'!E493</f>
        <v>SUBCONTRATO DE EXCAVACIÓN POR MEDIOS MECÁNICOS</v>
      </c>
    </row>
    <row r="542" spans="7:8" x14ac:dyDescent="0.3">
      <c r="G542" s="802" t="str">
        <f>'Costo Directo'!D494</f>
        <v>VIC-P1-6</v>
      </c>
      <c r="H542" s="803" t="str">
        <f>'Costo Directo'!E494</f>
        <v>SUBCONTRATO DE GROUT Y BANQUETA (lote 10 pilas)</v>
      </c>
    </row>
    <row r="543" spans="7:8" x14ac:dyDescent="0.3">
      <c r="G543" s="802" t="str">
        <f>'Costo Directo'!D495</f>
        <v>VIC-P1-7</v>
      </c>
      <c r="H543" s="803" t="str">
        <f>'Costo Directo'!E495</f>
        <v>MECÁNICA DE SUELOS</v>
      </c>
    </row>
    <row r="544" spans="7:8" x14ac:dyDescent="0.3">
      <c r="G544" s="802" t="str">
        <f>'Costo Directo'!D496</f>
        <v>VIC-P1-8</v>
      </c>
      <c r="H544" s="803" t="str">
        <f>'Costo Directo'!E496</f>
        <v>TOPOGRAFIA</v>
      </c>
    </row>
    <row r="545" spans="7:8" x14ac:dyDescent="0.3">
      <c r="G545" s="802" t="str">
        <f>'Costo Directo'!D498</f>
        <v>P2</v>
      </c>
      <c r="H545" s="803" t="str">
        <f>'Costo Directo'!E498</f>
        <v>MAQUINARIA</v>
      </c>
    </row>
    <row r="546" spans="7:8" x14ac:dyDescent="0.3">
      <c r="G546" s="802" t="str">
        <f>'Costo Directo'!D501</f>
        <v>VIC-P2-1</v>
      </c>
      <c r="H546" s="803" t="str">
        <f>'Costo Directo'!E501</f>
        <v>CORTADORA DE CONCRETO</v>
      </c>
    </row>
    <row r="547" spans="7:8" x14ac:dyDescent="0.3">
      <c r="G547" s="802" t="str">
        <f>'Costo Directo'!D502</f>
        <v>VIC-P2-2</v>
      </c>
      <c r="H547" s="803" t="str">
        <f>'Costo Directo'!E502</f>
        <v>VIBRADOR DE CONCRETO</v>
      </c>
    </row>
    <row r="548" spans="7:8" x14ac:dyDescent="0.3">
      <c r="G548" s="802" t="str">
        <f>'Costo Directo'!D503</f>
        <v>VIC-P2-3</v>
      </c>
      <c r="H548" s="803" t="str">
        <f>'Costo Directo'!E503</f>
        <v>VIBROCOMPACTADOR MANUAL</v>
      </c>
    </row>
    <row r="549" spans="7:8" x14ac:dyDescent="0.3">
      <c r="G549" s="802" t="str">
        <f>'Costo Directo'!D504</f>
        <v>VIC-P2-4</v>
      </c>
      <c r="H549" s="803">
        <f>'Costo Directo'!E504</f>
        <v>0</v>
      </c>
    </row>
    <row r="550" spans="7:8" x14ac:dyDescent="0.3">
      <c r="G550" s="802" t="str">
        <f>'Costo Directo'!D505</f>
        <v>VIC-P2-5</v>
      </c>
      <c r="H550" s="803">
        <f>'Costo Directo'!E505</f>
        <v>0</v>
      </c>
    </row>
    <row r="551" spans="7:8" x14ac:dyDescent="0.3">
      <c r="G551" s="802" t="str">
        <f>'Costo Directo'!D506</f>
        <v>VIC-P2-6</v>
      </c>
      <c r="H551" s="803">
        <f>'Costo Directo'!E506</f>
        <v>0</v>
      </c>
    </row>
    <row r="552" spans="7:8" x14ac:dyDescent="0.3">
      <c r="G552" s="802" t="str">
        <f>'Costo Directo'!D507</f>
        <v>VIC-P2-7</v>
      </c>
      <c r="H552" s="803">
        <f>'Costo Directo'!E507</f>
        <v>0</v>
      </c>
    </row>
    <row r="553" spans="7:8" x14ac:dyDescent="0.3">
      <c r="G553" s="802" t="str">
        <f>'Costo Directo'!D508</f>
        <v>VIC-P2-8</v>
      </c>
      <c r="H553" s="803">
        <f>'Costo Directo'!E508</f>
        <v>0</v>
      </c>
    </row>
    <row r="554" spans="7:8" x14ac:dyDescent="0.3">
      <c r="G554" s="802" t="str">
        <f>'Costo Directo'!D509</f>
        <v>VIC-P2-9</v>
      </c>
      <c r="H554" s="803">
        <f>'Costo Directo'!E509</f>
        <v>0</v>
      </c>
    </row>
    <row r="555" spans="7:8" x14ac:dyDescent="0.3">
      <c r="G555" s="802" t="str">
        <f>'Costo Directo'!D510</f>
        <v>VIC-P2-10</v>
      </c>
      <c r="H555" s="803">
        <f>'Costo Directo'!E510</f>
        <v>0</v>
      </c>
    </row>
    <row r="556" spans="7:8" x14ac:dyDescent="0.3">
      <c r="G556" s="802" t="str">
        <f>'Costo Directo'!D511</f>
        <v>VIC-P2-11</v>
      </c>
      <c r="H556" s="803">
        <f>'Costo Directo'!E511</f>
        <v>0</v>
      </c>
    </row>
    <row r="557" spans="7:8" x14ac:dyDescent="0.3">
      <c r="G557" s="802" t="str">
        <f>'Costo Directo'!D512</f>
        <v>VIC-P2-12</v>
      </c>
      <c r="H557" s="803">
        <f>'Costo Directo'!E512</f>
        <v>0</v>
      </c>
    </row>
    <row r="558" spans="7:8" x14ac:dyDescent="0.3">
      <c r="G558" s="802" t="str">
        <f>'Costo Directo'!D513</f>
        <v>VIC-P2-13</v>
      </c>
      <c r="H558" s="803">
        <f>'Costo Directo'!E513</f>
        <v>0</v>
      </c>
    </row>
    <row r="559" spans="7:8" x14ac:dyDescent="0.3">
      <c r="G559" s="802" t="str">
        <f>'Costo Directo'!D514</f>
        <v>VIC-P2-14</v>
      </c>
      <c r="H559" s="803">
        <f>'Costo Directo'!E514</f>
        <v>0</v>
      </c>
    </row>
    <row r="560" spans="7:8" x14ac:dyDescent="0.3">
      <c r="G560" s="802" t="str">
        <f>'Costo Directo'!D515</f>
        <v>VIC-P2-15</v>
      </c>
      <c r="H560" s="803">
        <f>'Costo Directo'!E515</f>
        <v>0</v>
      </c>
    </row>
    <row r="561" spans="7:8" x14ac:dyDescent="0.3">
      <c r="G561" s="802" t="str">
        <f>'Costo Directo'!D516</f>
        <v>VIC-P2-16</v>
      </c>
      <c r="H561" s="803">
        <f>'Costo Directo'!E516</f>
        <v>0</v>
      </c>
    </row>
    <row r="562" spans="7:8" x14ac:dyDescent="0.3">
      <c r="G562" s="802" t="str">
        <f>'Costo Directo'!D517</f>
        <v>VIC-P2-17</v>
      </c>
      <c r="H562" s="803">
        <f>'Costo Directo'!E517</f>
        <v>0</v>
      </c>
    </row>
    <row r="563" spans="7:8" x14ac:dyDescent="0.3">
      <c r="G563" s="802" t="str">
        <f>'Costo Directo'!D518</f>
        <v>VIC-P2-18</v>
      </c>
      <c r="H563" s="803">
        <f>'Costo Directo'!E518</f>
        <v>0</v>
      </c>
    </row>
    <row r="564" spans="7:8" x14ac:dyDescent="0.3">
      <c r="G564" s="802" t="str">
        <f>'Costo Directo'!D519</f>
        <v>VIC-P2-19</v>
      </c>
      <c r="H564" s="803">
        <f>'Costo Directo'!E519</f>
        <v>0</v>
      </c>
    </row>
    <row r="565" spans="7:8" x14ac:dyDescent="0.3">
      <c r="G565" s="802" t="str">
        <f>'Costo Directo'!D520</f>
        <v>VIC-P2-20</v>
      </c>
      <c r="H565" s="803">
        <f>'Costo Directo'!E520</f>
        <v>0</v>
      </c>
    </row>
    <row r="566" spans="7:8" x14ac:dyDescent="0.3">
      <c r="G566" s="802" t="str">
        <f>'Costo Directo'!D521</f>
        <v>VIC-P2-21</v>
      </c>
      <c r="H566" s="803">
        <f>'Costo Directo'!E521</f>
        <v>0</v>
      </c>
    </row>
    <row r="567" spans="7:8" x14ac:dyDescent="0.3">
      <c r="G567" s="802" t="str">
        <f>'Costo Directo'!D522</f>
        <v>VIC-P2-22</v>
      </c>
      <c r="H567" s="803">
        <f>'Costo Directo'!E522</f>
        <v>0</v>
      </c>
    </row>
    <row r="568" spans="7:8" x14ac:dyDescent="0.3">
      <c r="G568" s="802" t="str">
        <f>'Costo Directo'!D523</f>
        <v>VIC-P2-23</v>
      </c>
      <c r="H568" s="803">
        <f>'Costo Directo'!E523</f>
        <v>0</v>
      </c>
    </row>
    <row r="569" spans="7:8" x14ac:dyDescent="0.3">
      <c r="G569" s="802" t="str">
        <f>'Costo Directo'!D524</f>
        <v>VIC-P2-24</v>
      </c>
      <c r="H569" s="803">
        <f>'Costo Directo'!E524</f>
        <v>0</v>
      </c>
    </row>
    <row r="570" spans="7:8" x14ac:dyDescent="0.3">
      <c r="G570" s="802" t="str">
        <f>'Costo Directo'!D525</f>
        <v>VIC-P2-25</v>
      </c>
      <c r="H570" s="803">
        <f>'Costo Directo'!E525</f>
        <v>0</v>
      </c>
    </row>
    <row r="571" spans="7:8" x14ac:dyDescent="0.3">
      <c r="G571" s="802" t="str">
        <f>'Costo Directo'!D526</f>
        <v>VIC-P2-26</v>
      </c>
      <c r="H571" s="803">
        <f>'Costo Directo'!E526</f>
        <v>0</v>
      </c>
    </row>
    <row r="572" spans="7:8" x14ac:dyDescent="0.3">
      <c r="G572" s="802" t="str">
        <f>'Costo Directo'!D527</f>
        <v>VIC-P2-27</v>
      </c>
      <c r="H572" s="803">
        <f>'Costo Directo'!E527</f>
        <v>0</v>
      </c>
    </row>
    <row r="573" spans="7:8" x14ac:dyDescent="0.3">
      <c r="G573" s="802" t="str">
        <f>'Costo Directo'!D528</f>
        <v>VIC-P2-28</v>
      </c>
      <c r="H573" s="803">
        <f>'Costo Directo'!E528</f>
        <v>0</v>
      </c>
    </row>
    <row r="574" spans="7:8" x14ac:dyDescent="0.3">
      <c r="G574" s="802" t="str">
        <f>'Costo Directo'!D529</f>
        <v>VIC-P2-29</v>
      </c>
      <c r="H574" s="803">
        <f>'Costo Directo'!E529</f>
        <v>0</v>
      </c>
    </row>
    <row r="575" spans="7:8" x14ac:dyDescent="0.3">
      <c r="G575" s="802" t="str">
        <f>'Costo Directo'!D530</f>
        <v>VIC-P2-30</v>
      </c>
      <c r="H575" s="803">
        <f>'Costo Directo'!E530</f>
        <v>0</v>
      </c>
    </row>
    <row r="576" spans="7:8" x14ac:dyDescent="0.3">
      <c r="G576" s="802" t="str">
        <f>'Costo Directo'!D531</f>
        <v>VIC-P2-31</v>
      </c>
      <c r="H576" s="803">
        <f>'Costo Directo'!E531</f>
        <v>0</v>
      </c>
    </row>
    <row r="577" spans="7:8" x14ac:dyDescent="0.3">
      <c r="G577" s="802" t="str">
        <f>'Costo Directo'!D532</f>
        <v>VIC-P2-32</v>
      </c>
      <c r="H577" s="803">
        <f>'Costo Directo'!E532</f>
        <v>0</v>
      </c>
    </row>
    <row r="578" spans="7:8" x14ac:dyDescent="0.3">
      <c r="G578" s="802" t="str">
        <f>'Costo Directo'!D533</f>
        <v>VIC-P2-33</v>
      </c>
      <c r="H578" s="803">
        <f>'Costo Directo'!E533</f>
        <v>0</v>
      </c>
    </row>
    <row r="579" spans="7:8" x14ac:dyDescent="0.3">
      <c r="G579" s="802" t="str">
        <f>'Costo Directo'!D534</f>
        <v>VIC-P2-34</v>
      </c>
      <c r="H579" s="803">
        <f>'Costo Directo'!E534</f>
        <v>0</v>
      </c>
    </row>
    <row r="580" spans="7:8" x14ac:dyDescent="0.3">
      <c r="G580" s="802" t="str">
        <f>'Costo Directo'!D535</f>
        <v>VIC-P2-35</v>
      </c>
      <c r="H580" s="803">
        <f>'Costo Directo'!E535</f>
        <v>0</v>
      </c>
    </row>
    <row r="581" spans="7:8" x14ac:dyDescent="0.3">
      <c r="G581" s="802" t="str">
        <f>'Costo Directo'!D536</f>
        <v>VIC-P2-36</v>
      </c>
      <c r="H581" s="803">
        <f>'Costo Directo'!E536</f>
        <v>0</v>
      </c>
    </row>
    <row r="582" spans="7:8" x14ac:dyDescent="0.3">
      <c r="G582" s="802" t="str">
        <f>'Costo Directo'!D537</f>
        <v>VIC-P2-37</v>
      </c>
      <c r="H582" s="803">
        <f>'Costo Directo'!E537</f>
        <v>0</v>
      </c>
    </row>
    <row r="583" spans="7:8" x14ac:dyDescent="0.3">
      <c r="G583" s="802" t="str">
        <f>'Costo Directo'!D538</f>
        <v>VIC-P2-38</v>
      </c>
      <c r="H583" s="803">
        <f>'Costo Directo'!E538</f>
        <v>0</v>
      </c>
    </row>
    <row r="584" spans="7:8" x14ac:dyDescent="0.3">
      <c r="G584" s="802" t="str">
        <f>'Costo Directo'!D540</f>
        <v>P3</v>
      </c>
      <c r="H584" s="803" t="str">
        <f>'Costo Directo'!E540</f>
        <v>MANO DE OBRA</v>
      </c>
    </row>
    <row r="585" spans="7:8" x14ac:dyDescent="0.3">
      <c r="G585" s="802" t="str">
        <f>'Costo Directo'!D543</f>
        <v>VIC-P3-1</v>
      </c>
      <c r="H585" s="803" t="str">
        <f>'Costo Directo'!E543</f>
        <v>AYUDANTE 01</v>
      </c>
    </row>
    <row r="586" spans="7:8" x14ac:dyDescent="0.3">
      <c r="G586" s="802" t="str">
        <f>'Costo Directo'!D544</f>
        <v>VIC-P3-2</v>
      </c>
      <c r="H586" s="803" t="str">
        <f>'Costo Directo'!E544</f>
        <v>AYUDANTE 02</v>
      </c>
    </row>
    <row r="587" spans="7:8" x14ac:dyDescent="0.3">
      <c r="G587" s="802" t="str">
        <f>'Costo Directo'!D545</f>
        <v>VIC-P3-3</v>
      </c>
      <c r="H587" s="803" t="str">
        <f>'Costo Directo'!E545</f>
        <v>OFICIAL</v>
      </c>
    </row>
    <row r="588" spans="7:8" x14ac:dyDescent="0.3">
      <c r="G588" s="802" t="str">
        <f>'Costo Directo'!D546</f>
        <v>VIC-P3-4</v>
      </c>
      <c r="H588" s="803">
        <f>'Costo Directo'!E546</f>
        <v>0</v>
      </c>
    </row>
    <row r="589" spans="7:8" x14ac:dyDescent="0.3">
      <c r="G589" s="802" t="str">
        <f>'Costo Directo'!D547</f>
        <v>VIC-P3-5</v>
      </c>
      <c r="H589" s="803">
        <f>'Costo Directo'!E547</f>
        <v>0</v>
      </c>
    </row>
    <row r="590" spans="7:8" x14ac:dyDescent="0.3">
      <c r="G590" s="802" t="str">
        <f>'Costo Directo'!D548</f>
        <v>VIC-P3-6</v>
      </c>
      <c r="H590" s="803">
        <f>'Costo Directo'!E548</f>
        <v>0</v>
      </c>
    </row>
    <row r="591" spans="7:8" x14ac:dyDescent="0.3">
      <c r="G591" s="802" t="str">
        <f>'Costo Directo'!D549</f>
        <v>VIC-P3-7</v>
      </c>
      <c r="H591" s="803">
        <f>'Costo Directo'!E549</f>
        <v>0</v>
      </c>
    </row>
    <row r="592" spans="7:8" x14ac:dyDescent="0.3">
      <c r="G592" s="802" t="str">
        <f>'Costo Directo'!D550</f>
        <v>VIC-P3-8</v>
      </c>
      <c r="H592" s="803">
        <f>'Costo Directo'!E550</f>
        <v>0</v>
      </c>
    </row>
    <row r="593" spans="7:8" x14ac:dyDescent="0.3">
      <c r="G593" s="802" t="str">
        <f>'Costo Directo'!D551</f>
        <v>VIC-P3-9</v>
      </c>
      <c r="H593" s="803">
        <f>'Costo Directo'!E551</f>
        <v>0</v>
      </c>
    </row>
    <row r="594" spans="7:8" x14ac:dyDescent="0.3">
      <c r="G594" s="802" t="str">
        <f>'Costo Directo'!D552</f>
        <v>VIC-P3-10</v>
      </c>
      <c r="H594" s="803">
        <f>'Costo Directo'!E552</f>
        <v>0</v>
      </c>
    </row>
    <row r="595" spans="7:8" x14ac:dyDescent="0.3">
      <c r="G595" s="802" t="str">
        <f>'Costo Directo'!D553</f>
        <v>VIC-P3-11</v>
      </c>
      <c r="H595" s="803">
        <f>'Costo Directo'!E553</f>
        <v>0</v>
      </c>
    </row>
    <row r="596" spans="7:8" x14ac:dyDescent="0.3">
      <c r="G596" s="802" t="str">
        <f>'Costo Directo'!D554</f>
        <v>VIC-P3-12</v>
      </c>
      <c r="H596" s="803">
        <f>'Costo Directo'!E554</f>
        <v>0</v>
      </c>
    </row>
    <row r="597" spans="7:8" x14ac:dyDescent="0.3">
      <c r="G597" s="802" t="str">
        <f>'Costo Directo'!D555</f>
        <v>VIC-P3-13</v>
      </c>
      <c r="H597" s="803">
        <f>'Costo Directo'!E555</f>
        <v>0</v>
      </c>
    </row>
    <row r="598" spans="7:8" x14ac:dyDescent="0.3">
      <c r="G598" s="802" t="str">
        <f>'Costo Directo'!D556</f>
        <v>VIC-P3-14</v>
      </c>
      <c r="H598" s="803">
        <f>'Costo Directo'!E556</f>
        <v>0</v>
      </c>
    </row>
    <row r="599" spans="7:8" x14ac:dyDescent="0.3">
      <c r="G599" s="802" t="str">
        <f>'Costo Directo'!D557</f>
        <v>VIC-P3-15</v>
      </c>
      <c r="H599" s="803">
        <f>'Costo Directo'!E557</f>
        <v>0</v>
      </c>
    </row>
    <row r="600" spans="7:8" x14ac:dyDescent="0.3">
      <c r="G600" s="802" t="str">
        <f>'Costo Directo'!D558</f>
        <v>VIC-P3-16</v>
      </c>
      <c r="H600" s="803">
        <f>'Costo Directo'!E558</f>
        <v>0</v>
      </c>
    </row>
    <row r="601" spans="7:8" x14ac:dyDescent="0.3">
      <c r="G601" s="802" t="str">
        <f>'Costo Directo'!D559</f>
        <v>VIC-P3-17</v>
      </c>
      <c r="H601" s="803">
        <f>'Costo Directo'!E559</f>
        <v>0</v>
      </c>
    </row>
    <row r="602" spans="7:8" x14ac:dyDescent="0.3">
      <c r="G602" s="802" t="str">
        <f>'Costo Directo'!D560</f>
        <v>VIC-P3-18</v>
      </c>
      <c r="H602" s="803">
        <f>'Costo Directo'!E560</f>
        <v>0</v>
      </c>
    </row>
    <row r="603" spans="7:8" x14ac:dyDescent="0.3">
      <c r="G603" s="802" t="str">
        <f>'Costo Directo'!D561</f>
        <v>VIC-P3-19</v>
      </c>
      <c r="H603" s="803">
        <f>'Costo Directo'!E561</f>
        <v>0</v>
      </c>
    </row>
    <row r="604" spans="7:8" x14ac:dyDescent="0.3">
      <c r="G604" s="802" t="str">
        <f>'Costo Directo'!D562</f>
        <v>VIC-P3-20</v>
      </c>
      <c r="H604" s="803">
        <f>'Costo Directo'!E562</f>
        <v>0</v>
      </c>
    </row>
    <row r="605" spans="7:8" x14ac:dyDescent="0.3">
      <c r="G605" s="802" t="str">
        <f>'Costo Directo'!D563</f>
        <v>VIC-P3-21</v>
      </c>
      <c r="H605" s="803">
        <f>'Costo Directo'!E563</f>
        <v>0</v>
      </c>
    </row>
    <row r="606" spans="7:8" x14ac:dyDescent="0.3">
      <c r="G606" s="802" t="str">
        <f>'Costo Directo'!D564</f>
        <v>VIC-P3-22</v>
      </c>
      <c r="H606" s="803">
        <f>'Costo Directo'!E564</f>
        <v>0</v>
      </c>
    </row>
    <row r="607" spans="7:8" x14ac:dyDescent="0.3">
      <c r="G607" s="802" t="str">
        <f>'Costo Directo'!D565</f>
        <v>VIC-P3-23</v>
      </c>
      <c r="H607" s="803">
        <f>'Costo Directo'!E565</f>
        <v>0</v>
      </c>
    </row>
    <row r="608" spans="7:8" x14ac:dyDescent="0.3">
      <c r="G608" s="802" t="str">
        <f>'Costo Directo'!D566</f>
        <v>VIC-P3-24</v>
      </c>
      <c r="H608" s="803">
        <f>'Costo Directo'!E566</f>
        <v>0</v>
      </c>
    </row>
    <row r="609" spans="7:8" x14ac:dyDescent="0.3">
      <c r="G609" s="802" t="str">
        <f>'Costo Directo'!D567</f>
        <v>VIC-P3-25</v>
      </c>
      <c r="H609" s="803">
        <f>'Costo Directo'!E567</f>
        <v>0</v>
      </c>
    </row>
    <row r="610" spans="7:8" x14ac:dyDescent="0.3">
      <c r="G610" s="802" t="str">
        <f>'Costo Directo'!D568</f>
        <v>VIC-P3-26</v>
      </c>
      <c r="H610" s="803">
        <f>'Costo Directo'!E568</f>
        <v>0</v>
      </c>
    </row>
    <row r="611" spans="7:8" x14ac:dyDescent="0.3">
      <c r="G611" s="802" t="str">
        <f>'Costo Directo'!D569</f>
        <v>VIC-P3-27</v>
      </c>
      <c r="H611" s="803">
        <f>'Costo Directo'!E569</f>
        <v>0</v>
      </c>
    </row>
    <row r="612" spans="7:8" x14ac:dyDescent="0.3">
      <c r="G612" s="802" t="str">
        <f>'Costo Directo'!D570</f>
        <v>VIC-P3-28</v>
      </c>
      <c r="H612" s="803">
        <f>'Costo Directo'!E570</f>
        <v>0</v>
      </c>
    </row>
    <row r="613" spans="7:8" x14ac:dyDescent="0.3">
      <c r="G613" s="802" t="str">
        <f>'Costo Directo'!D571</f>
        <v>VIC-P3-29</v>
      </c>
      <c r="H613" s="803">
        <f>'Costo Directo'!E571</f>
        <v>0</v>
      </c>
    </row>
    <row r="614" spans="7:8" x14ac:dyDescent="0.3">
      <c r="G614" s="802" t="str">
        <f>'Costo Directo'!D572</f>
        <v>VIC-P3-30</v>
      </c>
      <c r="H614" s="803">
        <f>'Costo Directo'!E572</f>
        <v>0</v>
      </c>
    </row>
    <row r="615" spans="7:8" x14ac:dyDescent="0.3">
      <c r="G615" s="802" t="str">
        <f>'Costo Directo'!D573</f>
        <v>VIC-P3-31</v>
      </c>
      <c r="H615" s="803">
        <f>'Costo Directo'!E573</f>
        <v>0</v>
      </c>
    </row>
    <row r="616" spans="7:8" x14ac:dyDescent="0.3">
      <c r="G616" s="802" t="str">
        <f>'Costo Directo'!D574</f>
        <v>VIC-P3-32</v>
      </c>
      <c r="H616" s="803">
        <f>'Costo Directo'!E574</f>
        <v>0</v>
      </c>
    </row>
    <row r="617" spans="7:8" x14ac:dyDescent="0.3">
      <c r="G617" s="802" t="str">
        <f>'Costo Directo'!D575</f>
        <v>VIC-P3-33</v>
      </c>
      <c r="H617" s="803">
        <f>'Costo Directo'!E575</f>
        <v>0</v>
      </c>
    </row>
    <row r="618" spans="7:8" x14ac:dyDescent="0.3">
      <c r="G618" s="802" t="str">
        <f>'Costo Directo'!D576</f>
        <v>VIC-P3-34</v>
      </c>
      <c r="H618" s="803">
        <f>'Costo Directo'!E576</f>
        <v>0</v>
      </c>
    </row>
    <row r="619" spans="7:8" x14ac:dyDescent="0.3">
      <c r="G619" s="802" t="str">
        <f>'Costo Directo'!D577</f>
        <v>VIC-P3-35</v>
      </c>
      <c r="H619" s="803">
        <f>'Costo Directo'!E577</f>
        <v>0</v>
      </c>
    </row>
    <row r="620" spans="7:8" x14ac:dyDescent="0.3">
      <c r="G620" s="802" t="str">
        <f>'Costo Directo'!D578</f>
        <v>VIC-P3-36</v>
      </c>
      <c r="H620" s="803">
        <f>'Costo Directo'!E578</f>
        <v>0</v>
      </c>
    </row>
    <row r="621" spans="7:8" x14ac:dyDescent="0.3">
      <c r="G621" s="802" t="str">
        <f>'Costo Directo'!D579</f>
        <v>VIC-P3-37</v>
      </c>
      <c r="H621" s="803">
        <f>'Costo Directo'!E579</f>
        <v>0</v>
      </c>
    </row>
    <row r="622" spans="7:8" x14ac:dyDescent="0.3">
      <c r="G622" s="802" t="str">
        <f>'Costo Directo'!D580</f>
        <v>VIC-P3-38</v>
      </c>
      <c r="H622" s="803">
        <f>'Costo Directo'!E580</f>
        <v>0</v>
      </c>
    </row>
    <row r="623" spans="7:8" x14ac:dyDescent="0.3">
      <c r="G623" s="802" t="str">
        <f>'Costo Directo'!D581</f>
        <v>VIC-P3-39</v>
      </c>
      <c r="H623" s="803">
        <f>'Costo Directo'!E581</f>
        <v>0</v>
      </c>
    </row>
    <row r="624" spans="7:8" x14ac:dyDescent="0.3">
      <c r="G624" s="802" t="str">
        <f>'Costo Directo'!D582</f>
        <v>VIC-P3-40</v>
      </c>
      <c r="H624" s="803">
        <f>'Costo Directo'!E582</f>
        <v>0</v>
      </c>
    </row>
    <row r="625" spans="7:8" x14ac:dyDescent="0.3">
      <c r="G625" s="802" t="str">
        <f>'Costo Directo'!D583</f>
        <v>VIC-P3-41</v>
      </c>
      <c r="H625" s="803">
        <f>'Costo Directo'!E583</f>
        <v>0</v>
      </c>
    </row>
    <row r="626" spans="7:8" x14ac:dyDescent="0.3">
      <c r="G626" s="802" t="str">
        <f>'Costo Directo'!D584</f>
        <v>VIC-P3-42</v>
      </c>
      <c r="H626" s="803">
        <f>'Costo Directo'!E584</f>
        <v>0</v>
      </c>
    </row>
    <row r="627" spans="7:8" x14ac:dyDescent="0.3">
      <c r="G627" s="802" t="str">
        <f>'Costo Directo'!D585</f>
        <v>VIC-P3-43</v>
      </c>
      <c r="H627" s="803">
        <f>'Costo Directo'!E585</f>
        <v>0</v>
      </c>
    </row>
    <row r="628" spans="7:8" x14ac:dyDescent="0.3">
      <c r="G628" s="802" t="str">
        <f>'Costo Directo'!D586</f>
        <v>VIC-P3-44</v>
      </c>
      <c r="H628" s="803">
        <f>'Costo Directo'!E586</f>
        <v>0</v>
      </c>
    </row>
    <row r="629" spans="7:8" x14ac:dyDescent="0.3">
      <c r="G629" s="802" t="str">
        <f>'Costo Directo'!D587</f>
        <v>VIC-P3-45</v>
      </c>
      <c r="H629" s="803">
        <f>'Costo Directo'!E587</f>
        <v>0</v>
      </c>
    </row>
    <row r="630" spans="7:8" x14ac:dyDescent="0.3">
      <c r="G630" s="802" t="str">
        <f>'Costo Directo'!D588</f>
        <v>VIC-P3-46</v>
      </c>
      <c r="H630" s="803">
        <f>'Costo Directo'!E588</f>
        <v>0</v>
      </c>
    </row>
    <row r="631" spans="7:8" x14ac:dyDescent="0.3">
      <c r="G631" s="802" t="str">
        <f>'Costo Directo'!D589</f>
        <v>VIC-P3-47</v>
      </c>
      <c r="H631" s="803">
        <f>'Costo Directo'!E589</f>
        <v>0</v>
      </c>
    </row>
    <row r="632" spans="7:8" x14ac:dyDescent="0.3">
      <c r="G632" s="802" t="str">
        <f>'Costo Directo'!D590</f>
        <v>VIC-P3-48</v>
      </c>
      <c r="H632" s="803">
        <f>'Costo Directo'!E590</f>
        <v>0</v>
      </c>
    </row>
    <row r="633" spans="7:8" x14ac:dyDescent="0.3">
      <c r="G633" s="802" t="str">
        <f>'Costo Directo'!D591</f>
        <v>VIC-P3-49</v>
      </c>
      <c r="H633" s="803">
        <f>'Costo Directo'!E591</f>
        <v>0</v>
      </c>
    </row>
    <row r="634" spans="7:8" x14ac:dyDescent="0.3">
      <c r="G634" s="802" t="str">
        <f>'Costo Directo'!D593</f>
        <v>P4</v>
      </c>
      <c r="H634" s="803" t="str">
        <f>'Costo Directo'!E593</f>
        <v>MATERIALES</v>
      </c>
    </row>
    <row r="635" spans="7:8" x14ac:dyDescent="0.3">
      <c r="G635" s="802" t="str">
        <f>'Costo Directo'!D596</f>
        <v>VIC-P4-1</v>
      </c>
      <c r="H635" s="803" t="str">
        <f>'Costo Directo'!E596</f>
        <v>ADITIVO CURADOR</v>
      </c>
    </row>
    <row r="636" spans="7:8" x14ac:dyDescent="0.3">
      <c r="G636" s="802" t="str">
        <f>'Costo Directo'!D597</f>
        <v>VIC-P4-2</v>
      </c>
      <c r="H636" s="803" t="str">
        <f>'Costo Directo'!E597</f>
        <v>ADITIVO DESMOLDANTE SIKA O SIMILAR</v>
      </c>
    </row>
    <row r="637" spans="7:8" x14ac:dyDescent="0.3">
      <c r="G637" s="802" t="str">
        <f>'Costo Directo'!D598</f>
        <v>VIC-P4-3</v>
      </c>
      <c r="H637" s="803" t="str">
        <f>'Costo Directo'!E598</f>
        <v>AGUA</v>
      </c>
    </row>
    <row r="638" spans="7:8" x14ac:dyDescent="0.3">
      <c r="G638" s="802" t="str">
        <f>'Costo Directo'!D599</f>
        <v>VIC-P4-4</v>
      </c>
      <c r="H638" s="803" t="str">
        <f>'Costo Directo'!E599</f>
        <v>ALAMBRE RECOCIDO</v>
      </c>
    </row>
    <row r="639" spans="7:8" x14ac:dyDescent="0.3">
      <c r="G639" s="802" t="str">
        <f>'Costo Directo'!D600</f>
        <v>VIC-P4-5</v>
      </c>
      <c r="H639" s="803" t="str">
        <f>'Costo Directo'!E600</f>
        <v>ARENA</v>
      </c>
    </row>
    <row r="640" spans="7:8" x14ac:dyDescent="0.3">
      <c r="G640" s="802" t="str">
        <f>'Costo Directo'!D601</f>
        <v>VIC-P4-6</v>
      </c>
      <c r="H640" s="803" t="str">
        <f>'Costo Directo'!E601</f>
        <v>CEMENTO</v>
      </c>
    </row>
    <row r="641" spans="7:8" x14ac:dyDescent="0.3">
      <c r="G641" s="802" t="str">
        <f>'Costo Directo'!D602</f>
        <v>VIC-P4-7</v>
      </c>
      <c r="H641" s="803" t="str">
        <f>'Costo Directo'!E602</f>
        <v>CONCRETO F'C=250 KG/CM2</v>
      </c>
    </row>
    <row r="642" spans="7:8" x14ac:dyDescent="0.3">
      <c r="G642" s="802" t="str">
        <f>'Costo Directo'!D603</f>
        <v>VIC-P4-8</v>
      </c>
      <c r="H642" s="803" t="str">
        <f>'Costo Directo'!E603</f>
        <v>GRAVA</v>
      </c>
    </row>
    <row r="643" spans="7:8" x14ac:dyDescent="0.3">
      <c r="G643" s="802" t="str">
        <f>'Costo Directo'!D604</f>
        <v>VIC-P4-9</v>
      </c>
      <c r="H643" s="803" t="str">
        <f>'Costo Directo'!E604</f>
        <v>MADERA PARA CIMBRA DE FRONTERA DE PILA</v>
      </c>
    </row>
    <row r="644" spans="7:8" x14ac:dyDescent="0.3">
      <c r="G644" s="802" t="str">
        <f>'Costo Directo'!D605</f>
        <v>VIC-P4-10</v>
      </c>
      <c r="H644" s="803" t="str">
        <f>'Costo Directo'!E605</f>
        <v>MALLA NARANJA DE PERFORACIÓN</v>
      </c>
    </row>
    <row r="645" spans="7:8" x14ac:dyDescent="0.3">
      <c r="G645" s="802" t="str">
        <f>'Costo Directo'!D606</f>
        <v>VIC-P4-11</v>
      </c>
      <c r="H645" s="803" t="str">
        <f>'Costo Directo'!E606</f>
        <v>MORTERO CEMENTICIO AUTONIVELANTE IMPAC GROUT PRO O SIMILAR</v>
      </c>
    </row>
    <row r="646" spans="7:8" x14ac:dyDescent="0.3">
      <c r="G646" s="802" t="str">
        <f>'Costo Directo'!D607</f>
        <v>VIC-P4-12</v>
      </c>
      <c r="H646" s="803" t="str">
        <f>'Costo Directo'!E607</f>
        <v>POSTE ANARANJADO DE 1.2M PARA CONTROL VIAL</v>
      </c>
    </row>
    <row r="647" spans="7:8" x14ac:dyDescent="0.3">
      <c r="G647" s="802" t="str">
        <f>'Costo Directo'!D608</f>
        <v>VIC-P4-13</v>
      </c>
      <c r="H647" s="803" t="str">
        <f>'Costo Directo'!E608</f>
        <v>SILLETAS INFERIORES (SU 75 Ó SIMILAR)</v>
      </c>
    </row>
    <row r="648" spans="7:8" x14ac:dyDescent="0.3">
      <c r="G648" s="802" t="str">
        <f>'Costo Directo'!D609</f>
        <v>VIC-P4-14</v>
      </c>
      <c r="H648" s="803" t="str">
        <f>'Costo Directo'!E609</f>
        <v>SILLETAS LATERALES (PIL 50 Ó SIMILAR)</v>
      </c>
    </row>
    <row r="649" spans="7:8" x14ac:dyDescent="0.3">
      <c r="G649" s="802" t="str">
        <f>'Costo Directo'!D610</f>
        <v>VIC-P4-15</v>
      </c>
      <c r="H649" s="803" t="str">
        <f>'Costo Directo'!E610</f>
        <v>TUBO DE PVC VERDE DE 1"</v>
      </c>
    </row>
    <row r="650" spans="7:8" x14ac:dyDescent="0.3">
      <c r="G650" s="802" t="str">
        <f>'Costo Directo'!D611</f>
        <v>VIC-P4-16</v>
      </c>
      <c r="H650" s="803" t="str">
        <f>'Costo Directo'!E611</f>
        <v>VARILLA CORRUGADA #03</v>
      </c>
    </row>
    <row r="651" spans="7:8" x14ac:dyDescent="0.3">
      <c r="G651" s="802" t="str">
        <f>'Costo Directo'!D612</f>
        <v>VIC-P4-17</v>
      </c>
      <c r="H651" s="803" t="str">
        <f>'Costo Directo'!E612</f>
        <v>VARILLA CORRUGADA #06</v>
      </c>
    </row>
    <row r="652" spans="7:8" x14ac:dyDescent="0.3">
      <c r="G652" s="802" t="str">
        <f>'Costo Directo'!D613</f>
        <v>VIC-P4-18</v>
      </c>
      <c r="H652" s="803" t="str">
        <f>'Costo Directo'!E613</f>
        <v>OTROS MATERIALES</v>
      </c>
    </row>
    <row r="653" spans="7:8" x14ac:dyDescent="0.3">
      <c r="G653" s="802" t="str">
        <f>'Costo Directo'!D614</f>
        <v>VIC-P4-19</v>
      </c>
      <c r="H653" s="803">
        <f>'Costo Directo'!E614</f>
        <v>0</v>
      </c>
    </row>
    <row r="654" spans="7:8" x14ac:dyDescent="0.3">
      <c r="G654" s="802" t="str">
        <f>'Costo Directo'!D615</f>
        <v>VIC-P4-20</v>
      </c>
      <c r="H654" s="803">
        <f>'Costo Directo'!E615</f>
        <v>0</v>
      </c>
    </row>
    <row r="655" spans="7:8" x14ac:dyDescent="0.3">
      <c r="G655" s="802" t="str">
        <f>'Costo Directo'!D616</f>
        <v>VIC-P4-21</v>
      </c>
      <c r="H655" s="803">
        <f>'Costo Directo'!E616</f>
        <v>0</v>
      </c>
    </row>
    <row r="656" spans="7:8" x14ac:dyDescent="0.3">
      <c r="G656" s="802" t="str">
        <f>'Costo Directo'!D617</f>
        <v>VIC-P4-22</v>
      </c>
      <c r="H656" s="803">
        <f>'Costo Directo'!E617</f>
        <v>0</v>
      </c>
    </row>
    <row r="657" spans="7:8" x14ac:dyDescent="0.3">
      <c r="G657" s="802" t="str">
        <f>'Costo Directo'!D618</f>
        <v>VIC-P4-23</v>
      </c>
      <c r="H657" s="803">
        <f>'Costo Directo'!E618</f>
        <v>0</v>
      </c>
    </row>
    <row r="658" spans="7:8" x14ac:dyDescent="0.3">
      <c r="G658" s="802" t="str">
        <f>'Costo Directo'!D619</f>
        <v>VIC-P4-24</v>
      </c>
      <c r="H658" s="803">
        <f>'Costo Directo'!E619</f>
        <v>0</v>
      </c>
    </row>
    <row r="659" spans="7:8" x14ac:dyDescent="0.3">
      <c r="G659" s="802" t="str">
        <f>'Costo Directo'!D620</f>
        <v>VIC-P4-25</v>
      </c>
      <c r="H659" s="803">
        <f>'Costo Directo'!E620</f>
        <v>0</v>
      </c>
    </row>
    <row r="660" spans="7:8" x14ac:dyDescent="0.3">
      <c r="G660" s="802" t="str">
        <f>'Costo Directo'!D621</f>
        <v>VIC-P4-26</v>
      </c>
      <c r="H660" s="803">
        <f>'Costo Directo'!E621</f>
        <v>0</v>
      </c>
    </row>
    <row r="661" spans="7:8" x14ac:dyDescent="0.3">
      <c r="G661" s="802" t="str">
        <f>'Costo Directo'!D622</f>
        <v>VIC-P4-27</v>
      </c>
      <c r="H661" s="803">
        <f>'Costo Directo'!E622</f>
        <v>0</v>
      </c>
    </row>
    <row r="662" spans="7:8" x14ac:dyDescent="0.3">
      <c r="G662" s="802" t="str">
        <f>'Costo Directo'!D623</f>
        <v>VIC-P4-28</v>
      </c>
      <c r="H662" s="803">
        <f>'Costo Directo'!E623</f>
        <v>0</v>
      </c>
    </row>
    <row r="663" spans="7:8" x14ac:dyDescent="0.3">
      <c r="G663" s="802" t="str">
        <f>'Costo Directo'!D624</f>
        <v>VIC-P4-29</v>
      </c>
      <c r="H663" s="803">
        <f>'Costo Directo'!E624</f>
        <v>0</v>
      </c>
    </row>
    <row r="664" spans="7:8" x14ac:dyDescent="0.3">
      <c r="G664" s="802" t="str">
        <f>'Costo Directo'!D625</f>
        <v>VIC-P4-30</v>
      </c>
      <c r="H664" s="803">
        <f>'Costo Directo'!E625</f>
        <v>0</v>
      </c>
    </row>
    <row r="665" spans="7:8" x14ac:dyDescent="0.3">
      <c r="G665" s="802" t="str">
        <f>'Costo Directo'!D626</f>
        <v>VIC-P4-31</v>
      </c>
      <c r="H665" s="803">
        <f>'Costo Directo'!E626</f>
        <v>0</v>
      </c>
    </row>
    <row r="666" spans="7:8" x14ac:dyDescent="0.3">
      <c r="G666" s="802" t="str">
        <f>'Costo Directo'!D627</f>
        <v>VIC-P4-32</v>
      </c>
      <c r="H666" s="803">
        <f>'Costo Directo'!E627</f>
        <v>0</v>
      </c>
    </row>
    <row r="667" spans="7:8" x14ac:dyDescent="0.3">
      <c r="G667" s="802" t="str">
        <f>'Costo Directo'!D628</f>
        <v>VIC-P4-33</v>
      </c>
      <c r="H667" s="803">
        <f>'Costo Directo'!E628</f>
        <v>0</v>
      </c>
    </row>
    <row r="668" spans="7:8" x14ac:dyDescent="0.3">
      <c r="G668" s="802" t="str">
        <f>'Costo Directo'!D629</f>
        <v>VIC-P4-34</v>
      </c>
      <c r="H668" s="803">
        <f>'Costo Directo'!E629</f>
        <v>0</v>
      </c>
    </row>
    <row r="669" spans="7:8" x14ac:dyDescent="0.3">
      <c r="G669" s="802" t="str">
        <f>'Costo Directo'!D630</f>
        <v>VIC-P4-35</v>
      </c>
      <c r="H669" s="803">
        <f>'Costo Directo'!E630</f>
        <v>0</v>
      </c>
    </row>
    <row r="670" spans="7:8" x14ac:dyDescent="0.3">
      <c r="G670" s="802" t="str">
        <f>'Costo Directo'!D631</f>
        <v>VIC-P4-36</v>
      </c>
      <c r="H670" s="803">
        <f>'Costo Directo'!E631</f>
        <v>0</v>
      </c>
    </row>
    <row r="671" spans="7:8" x14ac:dyDescent="0.3">
      <c r="G671" s="802" t="str">
        <f>'Costo Directo'!D632</f>
        <v>VIC-P4-37</v>
      </c>
      <c r="H671" s="803">
        <f>'Costo Directo'!E632</f>
        <v>0</v>
      </c>
    </row>
    <row r="672" spans="7:8" x14ac:dyDescent="0.3">
      <c r="G672" s="802" t="str">
        <f>'Costo Directo'!D633</f>
        <v>VIC-P4-38</v>
      </c>
      <c r="H672" s="803">
        <f>'Costo Directo'!E633</f>
        <v>0</v>
      </c>
    </row>
    <row r="673" spans="7:8" x14ac:dyDescent="0.3">
      <c r="G673" s="802" t="str">
        <f>'Costo Directo'!D634</f>
        <v>VIC-P4-39</v>
      </c>
      <c r="H673" s="803">
        <f>'Costo Directo'!E634</f>
        <v>0</v>
      </c>
    </row>
    <row r="674" spans="7:8" x14ac:dyDescent="0.3">
      <c r="G674" s="802" t="str">
        <f>'Costo Directo'!D635</f>
        <v>VIC-P4-40</v>
      </c>
      <c r="H674" s="803">
        <f>'Costo Directo'!E635</f>
        <v>0</v>
      </c>
    </row>
    <row r="675" spans="7:8" x14ac:dyDescent="0.3">
      <c r="G675" s="802" t="str">
        <f>'Costo Directo'!D636</f>
        <v>VIC-P4-41</v>
      </c>
      <c r="H675" s="803">
        <f>'Costo Directo'!E636</f>
        <v>0</v>
      </c>
    </row>
    <row r="676" spans="7:8" x14ac:dyDescent="0.3">
      <c r="G676" s="802" t="str">
        <f>'Costo Directo'!D637</f>
        <v>VIC-P4-42</v>
      </c>
      <c r="H676" s="803">
        <f>'Costo Directo'!E637</f>
        <v>0</v>
      </c>
    </row>
    <row r="677" spans="7:8" x14ac:dyDescent="0.3">
      <c r="G677" s="802" t="str">
        <f>'Costo Directo'!D638</f>
        <v>VIC-P4-43</v>
      </c>
      <c r="H677" s="803">
        <f>'Costo Directo'!E638</f>
        <v>0</v>
      </c>
    </row>
    <row r="678" spans="7:8" x14ac:dyDescent="0.3">
      <c r="G678" s="802" t="str">
        <f>'Costo Directo'!D639</f>
        <v>VIC-P4-44</v>
      </c>
      <c r="H678" s="803">
        <f>'Costo Directo'!E639</f>
        <v>0</v>
      </c>
    </row>
    <row r="679" spans="7:8" x14ac:dyDescent="0.3">
      <c r="G679" s="802" t="str">
        <f>'Costo Directo'!D640</f>
        <v>VIC-P4-45</v>
      </c>
      <c r="H679" s="803">
        <f>'Costo Directo'!E640</f>
        <v>0</v>
      </c>
    </row>
    <row r="680" spans="7:8" x14ac:dyDescent="0.3">
      <c r="G680" s="802" t="str">
        <f>'Costo Directo'!D641</f>
        <v>VIC-P4-46</v>
      </c>
      <c r="H680" s="803">
        <f>'Costo Directo'!E641</f>
        <v>0</v>
      </c>
    </row>
    <row r="681" spans="7:8" x14ac:dyDescent="0.3">
      <c r="G681" s="802" t="str">
        <f>'Costo Directo'!D642</f>
        <v>VIC-P4-47</v>
      </c>
      <c r="H681" s="803">
        <f>'Costo Directo'!E642</f>
        <v>0</v>
      </c>
    </row>
    <row r="682" spans="7:8" x14ac:dyDescent="0.3">
      <c r="G682" s="802" t="str">
        <f>'Costo Directo'!D643</f>
        <v>VIC-P4-48</v>
      </c>
      <c r="H682" s="803">
        <f>'Costo Directo'!E643</f>
        <v>0</v>
      </c>
    </row>
    <row r="683" spans="7:8" x14ac:dyDescent="0.3">
      <c r="G683" s="802" t="str">
        <f>'Costo Directo'!D644</f>
        <v>VIC-P4-49</v>
      </c>
      <c r="H683" s="803">
        <f>'Costo Directo'!E644</f>
        <v>0</v>
      </c>
    </row>
    <row r="684" spans="7:8" x14ac:dyDescent="0.3">
      <c r="G684" s="802" t="str">
        <f>'Costo Directo'!D646</f>
        <v>P5</v>
      </c>
      <c r="H684" s="803" t="str">
        <f>'Costo Directo'!E646</f>
        <v>ACARREOS</v>
      </c>
    </row>
    <row r="685" spans="7:8" x14ac:dyDescent="0.3">
      <c r="G685" s="802" t="str">
        <f>'Costo Directo'!D649</f>
        <v>VIC-P5-1</v>
      </c>
      <c r="H685" s="803" t="str">
        <f>'Costo Directo'!E649</f>
        <v>ACARREO A BANCO DE TIRO</v>
      </c>
    </row>
    <row r="686" spans="7:8" x14ac:dyDescent="0.3">
      <c r="G686" s="802" t="str">
        <f>'Costo Directo'!D650</f>
        <v>VIC-P5-2</v>
      </c>
      <c r="H686" s="803">
        <f>'Costo Directo'!E650</f>
        <v>0</v>
      </c>
    </row>
    <row r="687" spans="7:8" x14ac:dyDescent="0.3">
      <c r="G687" s="802" t="str">
        <f>'Costo Directo'!D651</f>
        <v>VIC-P5-3</v>
      </c>
      <c r="H687" s="803">
        <f>'Costo Directo'!E651</f>
        <v>0</v>
      </c>
    </row>
    <row r="688" spans="7:8" x14ac:dyDescent="0.3">
      <c r="G688" s="802" t="str">
        <f>'Costo Directo'!D652</f>
        <v>VIC-P5-4</v>
      </c>
      <c r="H688" s="803">
        <f>'Costo Directo'!E652</f>
        <v>0</v>
      </c>
    </row>
    <row r="689" spans="7:8" x14ac:dyDescent="0.3">
      <c r="G689" s="802" t="str">
        <f>'Costo Directo'!D653</f>
        <v>VIC-P5-5</v>
      </c>
      <c r="H689" s="803">
        <f>'Costo Directo'!E653</f>
        <v>0</v>
      </c>
    </row>
    <row r="690" spans="7:8" x14ac:dyDescent="0.3">
      <c r="G690" s="802" t="str">
        <f>'Costo Directo'!D654</f>
        <v>VIC-P5-6</v>
      </c>
      <c r="H690" s="803">
        <f>'Costo Directo'!E654</f>
        <v>0</v>
      </c>
    </row>
    <row r="691" spans="7:8" x14ac:dyDescent="0.3">
      <c r="G691" s="802" t="str">
        <f>'Costo Directo'!D655</f>
        <v>VIC-P5-7</v>
      </c>
      <c r="H691" s="803">
        <f>'Costo Directo'!E655</f>
        <v>0</v>
      </c>
    </row>
    <row r="692" spans="7:8" x14ac:dyDescent="0.3">
      <c r="G692" s="802" t="str">
        <f>'Costo Directo'!D656</f>
        <v>VIC-P5-8</v>
      </c>
      <c r="H692" s="803">
        <f>'Costo Directo'!E656</f>
        <v>0</v>
      </c>
    </row>
    <row r="693" spans="7:8" x14ac:dyDescent="0.3">
      <c r="G693" s="802" t="str">
        <f>'Costo Directo'!D657</f>
        <v>VIC-P5-9</v>
      </c>
      <c r="H693" s="803">
        <f>'Costo Directo'!E657</f>
        <v>0</v>
      </c>
    </row>
    <row r="694" spans="7:8" x14ac:dyDescent="0.3">
      <c r="G694" s="802" t="str">
        <f>'Costo Directo'!D659</f>
        <v>P6</v>
      </c>
      <c r="H694" s="803" t="str">
        <f>'Costo Directo'!E659</f>
        <v>Fletes</v>
      </c>
    </row>
    <row r="695" spans="7:8" x14ac:dyDescent="0.3">
      <c r="G695" s="802" t="str">
        <f>'Costo Directo'!D662</f>
        <v>VIC-P6-1</v>
      </c>
      <c r="H695" s="803">
        <f>'Costo Directo'!E662</f>
        <v>0</v>
      </c>
    </row>
    <row r="696" spans="7:8" x14ac:dyDescent="0.3">
      <c r="G696" s="802" t="str">
        <f>'Costo Directo'!D663</f>
        <v>VIC-P6-2</v>
      </c>
      <c r="H696" s="803">
        <f>'Costo Directo'!E663</f>
        <v>0</v>
      </c>
    </row>
    <row r="697" spans="7:8" x14ac:dyDescent="0.3">
      <c r="G697" s="802" t="str">
        <f>'Costo Directo'!D664</f>
        <v>VIC-P6-3</v>
      </c>
      <c r="H697" s="803">
        <f>'Costo Directo'!E664</f>
        <v>0</v>
      </c>
    </row>
    <row r="698" spans="7:8" x14ac:dyDescent="0.3">
      <c r="G698" s="802" t="str">
        <f>'Costo Directo'!D665</f>
        <v>VIC-P6-4</v>
      </c>
      <c r="H698" s="803">
        <f>'Costo Directo'!E665</f>
        <v>0</v>
      </c>
    </row>
    <row r="699" spans="7:8" x14ac:dyDescent="0.3">
      <c r="G699" s="802" t="str">
        <f>'Costo Directo'!D666</f>
        <v>VIC-P6-5</v>
      </c>
      <c r="H699" s="803">
        <f>'Costo Directo'!E666</f>
        <v>0</v>
      </c>
    </row>
    <row r="700" spans="7:8" x14ac:dyDescent="0.3">
      <c r="G700" s="802" t="str">
        <f>'Costo Directo'!D667</f>
        <v>VIC-P6-6</v>
      </c>
      <c r="H700" s="803">
        <f>'Costo Directo'!E667</f>
        <v>0</v>
      </c>
    </row>
    <row r="701" spans="7:8" x14ac:dyDescent="0.3">
      <c r="G701" s="802" t="str">
        <f>'Costo Directo'!D668</f>
        <v>VIC-P6-7</v>
      </c>
      <c r="H701" s="803">
        <f>'Costo Directo'!E668</f>
        <v>0</v>
      </c>
    </row>
    <row r="702" spans="7:8" x14ac:dyDescent="0.3">
      <c r="G702" s="802" t="str">
        <f>'Costo Directo'!D669</f>
        <v>VIC-P6-8</v>
      </c>
      <c r="H702" s="803">
        <f>'Costo Directo'!E669</f>
        <v>0</v>
      </c>
    </row>
    <row r="703" spans="7:8" x14ac:dyDescent="0.3">
      <c r="G703" s="802" t="str">
        <f>'Costo Directo'!D670</f>
        <v>VIC-P6-9</v>
      </c>
      <c r="H703" s="803">
        <f>'Costo Directo'!E670</f>
        <v>0</v>
      </c>
    </row>
    <row r="704" spans="7:8" x14ac:dyDescent="0.3">
      <c r="G704" s="802" t="str">
        <f>'Costo Directo'!D671</f>
        <v>VIC-P6-10</v>
      </c>
      <c r="H704" s="803">
        <f>'Costo Directo'!E671</f>
        <v>0</v>
      </c>
    </row>
    <row r="705" spans="7:8" x14ac:dyDescent="0.3">
      <c r="G705" s="802" t="str">
        <f>'Costo Directo'!D672</f>
        <v>VIC-P6-11</v>
      </c>
      <c r="H705" s="803">
        <f>'Costo Directo'!E672</f>
        <v>0</v>
      </c>
    </row>
    <row r="706" spans="7:8" x14ac:dyDescent="0.3">
      <c r="G706" s="802" t="str">
        <f>'Costo Directo'!D673</f>
        <v>VIC-P6-12</v>
      </c>
      <c r="H706" s="803">
        <f>'Costo Directo'!E673</f>
        <v>0</v>
      </c>
    </row>
    <row r="707" spans="7:8" x14ac:dyDescent="0.3">
      <c r="G707" s="802" t="str">
        <f>'Costo Directo'!D674</f>
        <v>VIC-P6-13</v>
      </c>
      <c r="H707" s="803">
        <f>'Costo Directo'!E674</f>
        <v>0</v>
      </c>
    </row>
    <row r="708" spans="7:8" x14ac:dyDescent="0.3">
      <c r="G708" s="802" t="str">
        <f>'Costo Directo'!D675</f>
        <v>VIC-P6-14</v>
      </c>
      <c r="H708" s="803">
        <f>'Costo Directo'!E675</f>
        <v>0</v>
      </c>
    </row>
    <row r="709" spans="7:8" x14ac:dyDescent="0.3">
      <c r="G709" s="802" t="str">
        <f>'Costo Directo'!D676</f>
        <v>VIC-P6-15</v>
      </c>
      <c r="H709" s="803">
        <f>'Costo Directo'!E676</f>
        <v>0</v>
      </c>
    </row>
    <row r="710" spans="7:8" x14ac:dyDescent="0.3">
      <c r="G710" s="802" t="str">
        <f>'Costo Directo'!D677</f>
        <v>VIC-P6-16</v>
      </c>
      <c r="H710" s="803">
        <f>'Costo Directo'!E677</f>
        <v>0</v>
      </c>
    </row>
    <row r="711" spans="7:8" x14ac:dyDescent="0.3">
      <c r="G711" s="802" t="str">
        <f>'Costo Directo'!D678</f>
        <v>VIC-P6-17</v>
      </c>
      <c r="H711" s="803">
        <f>'Costo Directo'!E678</f>
        <v>0</v>
      </c>
    </row>
    <row r="712" spans="7:8" x14ac:dyDescent="0.3">
      <c r="G712" s="802" t="str">
        <f>'Costo Directo'!D679</f>
        <v>VIC-P6-18</v>
      </c>
      <c r="H712" s="803">
        <f>'Costo Directo'!E679</f>
        <v>0</v>
      </c>
    </row>
    <row r="713" spans="7:8" x14ac:dyDescent="0.3">
      <c r="G713" s="802" t="str">
        <f>'Costo Directo'!D680</f>
        <v>VIC-P6-19</v>
      </c>
      <c r="H713" s="803">
        <f>'Costo Directo'!E680</f>
        <v>0</v>
      </c>
    </row>
    <row r="714" spans="7:8" x14ac:dyDescent="0.3">
      <c r="G714" s="802" t="str">
        <f>'Costo Directo'!D682</f>
        <v>P7</v>
      </c>
      <c r="H714" s="803" t="str">
        <f>'Costo Directo'!E682</f>
        <v>Combustibles</v>
      </c>
    </row>
    <row r="715" spans="7:8" x14ac:dyDescent="0.3">
      <c r="G715" s="802" t="str">
        <f>'Costo Directo'!D685</f>
        <v>VIC-P7-1</v>
      </c>
      <c r="H715" s="803">
        <f>'Costo Directo'!E685</f>
        <v>0</v>
      </c>
    </row>
    <row r="716" spans="7:8" x14ac:dyDescent="0.3">
      <c r="G716" s="802" t="str">
        <f>'Costo Directo'!D686</f>
        <v>VIC-P7-2</v>
      </c>
      <c r="H716" s="803">
        <f>'Costo Directo'!E686</f>
        <v>0</v>
      </c>
    </row>
    <row r="717" spans="7:8" x14ac:dyDescent="0.3">
      <c r="G717" s="802" t="str">
        <f>'Costo Directo'!D687</f>
        <v>VIC-P7-3</v>
      </c>
      <c r="H717" s="803">
        <f>'Costo Directo'!E687</f>
        <v>0</v>
      </c>
    </row>
    <row r="718" spans="7:8" x14ac:dyDescent="0.3">
      <c r="G718" s="802" t="str">
        <f>'Costo Directo'!D688</f>
        <v>VIC-P7-4</v>
      </c>
      <c r="H718" s="803">
        <f>'Costo Directo'!E688</f>
        <v>0</v>
      </c>
    </row>
    <row r="719" spans="7:8" x14ac:dyDescent="0.3">
      <c r="G719" s="802" t="str">
        <f>'Costo Directo'!D689</f>
        <v>VIC-P7-5</v>
      </c>
      <c r="H719" s="803">
        <f>'Costo Directo'!E689</f>
        <v>0</v>
      </c>
    </row>
    <row r="720" spans="7:8" x14ac:dyDescent="0.3">
      <c r="G720" s="802" t="str">
        <f>'Costo Directo'!D690</f>
        <v>VIC-P7-6</v>
      </c>
      <c r="H720" s="803">
        <f>'Costo Directo'!E690</f>
        <v>0</v>
      </c>
    </row>
    <row r="721" spans="7:8" x14ac:dyDescent="0.3">
      <c r="G721" s="802" t="str">
        <f>'Costo Directo'!D691</f>
        <v>VIC-P7-7</v>
      </c>
      <c r="H721" s="803">
        <f>'Costo Directo'!E691</f>
        <v>0</v>
      </c>
    </row>
    <row r="722" spans="7:8" x14ac:dyDescent="0.3">
      <c r="G722" s="802" t="str">
        <f>'Costo Directo'!D692</f>
        <v>VIC-P7-8</v>
      </c>
      <c r="H722" s="803">
        <f>'Costo Directo'!E692</f>
        <v>0</v>
      </c>
    </row>
    <row r="723" spans="7:8" x14ac:dyDescent="0.3">
      <c r="G723" s="802" t="str">
        <f>'Costo Directo'!D693</f>
        <v>VIC-P7-9</v>
      </c>
      <c r="H723" s="803">
        <f>'Costo Directo'!E693</f>
        <v>0</v>
      </c>
    </row>
    <row r="724" spans="7:8" x14ac:dyDescent="0.3">
      <c r="G724" s="802" t="str">
        <f>'Costo Directo'!D694</f>
        <v>VIC-P7-10</v>
      </c>
      <c r="H724" s="803">
        <f>'Costo Directo'!E694</f>
        <v>0</v>
      </c>
    </row>
    <row r="725" spans="7:8" x14ac:dyDescent="0.3">
      <c r="G725" s="802" t="str">
        <f>'Costo Directo'!D695</f>
        <v>VIC-P7-11</v>
      </c>
      <c r="H725" s="803">
        <f>'Costo Directo'!E695</f>
        <v>0</v>
      </c>
    </row>
    <row r="726" spans="7:8" x14ac:dyDescent="0.3">
      <c r="G726" s="802" t="str">
        <f>'Costo Directo'!D696</f>
        <v>VIC-P7-12</v>
      </c>
      <c r="H726" s="803">
        <f>'Costo Directo'!E696</f>
        <v>0</v>
      </c>
    </row>
    <row r="727" spans="7:8" x14ac:dyDescent="0.3">
      <c r="G727" s="802" t="str">
        <f>'Costo Directo'!D697</f>
        <v>VIC-P7-13</v>
      </c>
      <c r="H727" s="803">
        <f>'Costo Directo'!E697</f>
        <v>0</v>
      </c>
    </row>
    <row r="728" spans="7:8" x14ac:dyDescent="0.3">
      <c r="G728" s="802" t="str">
        <f>'Costo Directo'!D699</f>
        <v>P8</v>
      </c>
      <c r="H728" s="803" t="str">
        <f>'Costo Directo'!E699</f>
        <v>Madera, Ferretería, Herramienta</v>
      </c>
    </row>
    <row r="729" spans="7:8" x14ac:dyDescent="0.3">
      <c r="G729" s="802" t="str">
        <f>'Costo Directo'!D702</f>
        <v>VIC-P8-1</v>
      </c>
      <c r="H729" s="803">
        <f>'Costo Directo'!E702</f>
        <v>0</v>
      </c>
    </row>
    <row r="730" spans="7:8" x14ac:dyDescent="0.3">
      <c r="G730" s="802" t="str">
        <f>'Costo Directo'!D703</f>
        <v>VIC-P8-2</v>
      </c>
      <c r="H730" s="803">
        <f>'Costo Directo'!E703</f>
        <v>0</v>
      </c>
    </row>
    <row r="731" spans="7:8" x14ac:dyDescent="0.3">
      <c r="G731" s="802" t="str">
        <f>'Costo Directo'!D704</f>
        <v>VIC-P8-3</v>
      </c>
      <c r="H731" s="803">
        <f>'Costo Directo'!E704</f>
        <v>0</v>
      </c>
    </row>
    <row r="732" spans="7:8" x14ac:dyDescent="0.3">
      <c r="G732" s="802" t="str">
        <f>'Costo Directo'!D705</f>
        <v>VIC-P8-4</v>
      </c>
      <c r="H732" s="803">
        <f>'Costo Directo'!E705</f>
        <v>0</v>
      </c>
    </row>
    <row r="733" spans="7:8" x14ac:dyDescent="0.3">
      <c r="G733" s="802" t="str">
        <f>'Costo Directo'!D707</f>
        <v>P9</v>
      </c>
      <c r="H733" s="803" t="str">
        <f>'Costo Directo'!E707</f>
        <v>HERRAMIENTA MENOR Y EPP</v>
      </c>
    </row>
    <row r="734" spans="7:8" x14ac:dyDescent="0.3">
      <c r="G734" s="802" t="str">
        <f>'Costo Directo'!D710</f>
        <v>VIC-P9-1</v>
      </c>
      <c r="H734" s="803" t="str">
        <f>'Costo Directo'!E710</f>
        <v>EPP</v>
      </c>
    </row>
    <row r="735" spans="7:8" x14ac:dyDescent="0.3">
      <c r="G735" s="802" t="str">
        <f>'Costo Directo'!D711</f>
        <v>VIC-P9-2</v>
      </c>
      <c r="H735" s="803" t="str">
        <f>'Costo Directo'!E711</f>
        <v>HERRAMIENTA MENOR</v>
      </c>
    </row>
    <row r="736" spans="7:8" x14ac:dyDescent="0.3">
      <c r="G736" s="802" t="str">
        <f>'Costo Directo'!D713</f>
        <v>P10</v>
      </c>
      <c r="H736" s="803" t="str">
        <f>'Costo Directo'!E713</f>
        <v>Mangueras y Reparaciones</v>
      </c>
    </row>
    <row r="737" spans="7:8" x14ac:dyDescent="0.3">
      <c r="G737" s="802" t="str">
        <f>'Costo Directo'!D716</f>
        <v>VIC-P10-1</v>
      </c>
      <c r="H737" s="803">
        <f>'Costo Directo'!E716</f>
        <v>0</v>
      </c>
    </row>
    <row r="738" spans="7:8" x14ac:dyDescent="0.3">
      <c r="G738" s="802" t="str">
        <f>'Costo Directo'!D717</f>
        <v>VIC-P10-2</v>
      </c>
      <c r="H738" s="803">
        <f>'Costo Directo'!E717</f>
        <v>0</v>
      </c>
    </row>
    <row r="739" spans="7:8" x14ac:dyDescent="0.3">
      <c r="G739" s="802" t="str">
        <f>'Costo Directo'!D718</f>
        <v>VIC-P10-3</v>
      </c>
      <c r="H739" s="803">
        <f>'Costo Directo'!E718</f>
        <v>0</v>
      </c>
    </row>
    <row r="740" spans="7:8" x14ac:dyDescent="0.3">
      <c r="G740" s="802" t="str">
        <f>'Costo Directo'!D722</f>
        <v>P1</v>
      </c>
      <c r="H740" s="803" t="str">
        <f>'Costo Directo'!E722</f>
        <v>SUBCONTRATOS</v>
      </c>
    </row>
    <row r="741" spans="7:8" x14ac:dyDescent="0.3">
      <c r="G741" s="802" t="str">
        <f>'Costo Directo'!D725</f>
        <v>MAT-P1-1</v>
      </c>
      <c r="H741" s="803" t="str">
        <f>'Costo Directo'!E725</f>
        <v>COLADO DE CONCRETO CON TUBO TREMIE. TIRO DIRECTO</v>
      </c>
    </row>
    <row r="742" spans="7:8" x14ac:dyDescent="0.3">
      <c r="G742" s="802" t="str">
        <f>'Costo Directo'!D726</f>
        <v>MAT-P1-2</v>
      </c>
      <c r="H742" s="803" t="str">
        <f>'Costo Directo'!E726</f>
        <v>COLOCACIÓN DE ARMADO EN EXCAVACIÓN</v>
      </c>
    </row>
    <row r="743" spans="7:8" x14ac:dyDescent="0.3">
      <c r="G743" s="802" t="str">
        <f>'Costo Directo'!D727</f>
        <v>MAT-P1-3</v>
      </c>
      <c r="H743" s="803" t="str">
        <f>'Costo Directo'!E727</f>
        <v>FLETES DEL EQUIPO</v>
      </c>
    </row>
    <row r="744" spans="7:8" x14ac:dyDescent="0.3">
      <c r="G744" s="802" t="str">
        <f>'Costo Directo'!D728</f>
        <v>MAT-P1-4</v>
      </c>
      <c r="H744" s="803" t="str">
        <f>'Costo Directo'!E728</f>
        <v>HABILITADO DE ACERO CORRUGADO DE CUALQUIER DIÁMETRO</v>
      </c>
    </row>
    <row r="745" spans="7:8" x14ac:dyDescent="0.3">
      <c r="G745" s="802" t="str">
        <f>'Costo Directo'!D729</f>
        <v>MAT-P1-5</v>
      </c>
      <c r="H745" s="803" t="str">
        <f>'Costo Directo'!E729</f>
        <v>SUBCONTRATO DE EXCAVACIÓN POR MEDIOS MECÁNICOS</v>
      </c>
    </row>
    <row r="746" spans="7:8" x14ac:dyDescent="0.3">
      <c r="G746" s="802" t="str">
        <f>'Costo Directo'!D730</f>
        <v>MAT-P1-6</v>
      </c>
      <c r="H746" s="803" t="str">
        <f>'Costo Directo'!E730</f>
        <v>SUBCONTRATO DE GROUT Y BANQUETA (lote 10 pilas)</v>
      </c>
    </row>
    <row r="747" spans="7:8" x14ac:dyDescent="0.3">
      <c r="G747" s="802" t="str">
        <f>'Costo Directo'!D731</f>
        <v>MAT-P1-7</v>
      </c>
      <c r="H747" s="803" t="str">
        <f>'Costo Directo'!E731</f>
        <v>MECÁNICA DE SUELOS</v>
      </c>
    </row>
    <row r="748" spans="7:8" x14ac:dyDescent="0.3">
      <c r="G748" s="802" t="str">
        <f>'Costo Directo'!D732</f>
        <v>MAT-P1-8</v>
      </c>
      <c r="H748" s="803" t="str">
        <f>'Costo Directo'!E732</f>
        <v>TOPOGRAFIA</v>
      </c>
    </row>
    <row r="749" spans="7:8" x14ac:dyDescent="0.3">
      <c r="G749" s="802" t="str">
        <f>'Costo Directo'!D734</f>
        <v>P2</v>
      </c>
      <c r="H749" s="803" t="str">
        <f>'Costo Directo'!E734</f>
        <v>MAQUINARIA</v>
      </c>
    </row>
    <row r="750" spans="7:8" x14ac:dyDescent="0.3">
      <c r="G750" s="802" t="str">
        <f>'Costo Directo'!D737</f>
        <v>MAT-P2-1</v>
      </c>
      <c r="H750" s="803" t="str">
        <f>'Costo Directo'!E737</f>
        <v>CORTADORA DE CONCRETO</v>
      </c>
    </row>
    <row r="751" spans="7:8" x14ac:dyDescent="0.3">
      <c r="G751" s="802" t="str">
        <f>'Costo Directo'!D738</f>
        <v>MAT-P2-2</v>
      </c>
      <c r="H751" s="803" t="str">
        <f>'Costo Directo'!E738</f>
        <v>VIBRADOR DE CONCRETO</v>
      </c>
    </row>
    <row r="752" spans="7:8" x14ac:dyDescent="0.3">
      <c r="G752" s="802" t="str">
        <f>'Costo Directo'!D739</f>
        <v>MAT-P2-3</v>
      </c>
      <c r="H752" s="803" t="str">
        <f>'Costo Directo'!E739</f>
        <v>VIBROCOMPACTADOR MANUAL</v>
      </c>
    </row>
    <row r="753" spans="7:8" x14ac:dyDescent="0.3">
      <c r="G753" s="802" t="str">
        <f>'Costo Directo'!D740</f>
        <v>MAT-P2-4</v>
      </c>
      <c r="H753" s="803">
        <f>'Costo Directo'!E740</f>
        <v>0</v>
      </c>
    </row>
    <row r="754" spans="7:8" x14ac:dyDescent="0.3">
      <c r="G754" s="802" t="str">
        <f>'Costo Directo'!D741</f>
        <v>MAT-P2-5</v>
      </c>
      <c r="H754" s="803">
        <f>'Costo Directo'!E741</f>
        <v>0</v>
      </c>
    </row>
    <row r="755" spans="7:8" x14ac:dyDescent="0.3">
      <c r="G755" s="802" t="str">
        <f>'Costo Directo'!D742</f>
        <v>MAT-P2-6</v>
      </c>
      <c r="H755" s="803">
        <f>'Costo Directo'!E742</f>
        <v>0</v>
      </c>
    </row>
    <row r="756" spans="7:8" x14ac:dyDescent="0.3">
      <c r="G756" s="802" t="str">
        <f>'Costo Directo'!D743</f>
        <v>MAT-P2-7</v>
      </c>
      <c r="H756" s="803">
        <f>'Costo Directo'!E743</f>
        <v>0</v>
      </c>
    </row>
    <row r="757" spans="7:8" x14ac:dyDescent="0.3">
      <c r="G757" s="802" t="str">
        <f>'Costo Directo'!D744</f>
        <v>MAT-P2-8</v>
      </c>
      <c r="H757" s="803">
        <f>'Costo Directo'!E744</f>
        <v>0</v>
      </c>
    </row>
    <row r="758" spans="7:8" x14ac:dyDescent="0.3">
      <c r="G758" s="802" t="str">
        <f>'Costo Directo'!D745</f>
        <v>MAT-P2-9</v>
      </c>
      <c r="H758" s="803">
        <f>'Costo Directo'!E745</f>
        <v>0</v>
      </c>
    </row>
    <row r="759" spans="7:8" x14ac:dyDescent="0.3">
      <c r="G759" s="802" t="str">
        <f>'Costo Directo'!D746</f>
        <v>MAT-P2-10</v>
      </c>
      <c r="H759" s="803">
        <f>'Costo Directo'!E746</f>
        <v>0</v>
      </c>
    </row>
    <row r="760" spans="7:8" x14ac:dyDescent="0.3">
      <c r="G760" s="802" t="str">
        <f>'Costo Directo'!D747</f>
        <v>MAT-P2-11</v>
      </c>
      <c r="H760" s="803">
        <f>'Costo Directo'!E747</f>
        <v>0</v>
      </c>
    </row>
    <row r="761" spans="7:8" x14ac:dyDescent="0.3">
      <c r="G761" s="802" t="str">
        <f>'Costo Directo'!D748</f>
        <v>MAT-P2-12</v>
      </c>
      <c r="H761" s="803">
        <f>'Costo Directo'!E748</f>
        <v>0</v>
      </c>
    </row>
    <row r="762" spans="7:8" x14ac:dyDescent="0.3">
      <c r="G762" s="802" t="str">
        <f>'Costo Directo'!D749</f>
        <v>MAT-P2-13</v>
      </c>
      <c r="H762" s="803">
        <f>'Costo Directo'!E749</f>
        <v>0</v>
      </c>
    </row>
    <row r="763" spans="7:8" x14ac:dyDescent="0.3">
      <c r="G763" s="802" t="str">
        <f>'Costo Directo'!D750</f>
        <v>MAT-P2-14</v>
      </c>
      <c r="H763" s="803">
        <f>'Costo Directo'!E750</f>
        <v>0</v>
      </c>
    </row>
    <row r="764" spans="7:8" x14ac:dyDescent="0.3">
      <c r="G764" s="802" t="str">
        <f>'Costo Directo'!D751</f>
        <v>MAT-P2-15</v>
      </c>
      <c r="H764" s="803">
        <f>'Costo Directo'!E751</f>
        <v>0</v>
      </c>
    </row>
    <row r="765" spans="7:8" x14ac:dyDescent="0.3">
      <c r="G765" s="802" t="str">
        <f>'Costo Directo'!D752</f>
        <v>MAT-P2-16</v>
      </c>
      <c r="H765" s="803">
        <f>'Costo Directo'!E752</f>
        <v>0</v>
      </c>
    </row>
    <row r="766" spans="7:8" x14ac:dyDescent="0.3">
      <c r="G766" s="802" t="str">
        <f>'Costo Directo'!D753</f>
        <v>MAT-P2-17</v>
      </c>
      <c r="H766" s="803">
        <f>'Costo Directo'!E753</f>
        <v>0</v>
      </c>
    </row>
    <row r="767" spans="7:8" x14ac:dyDescent="0.3">
      <c r="G767" s="802" t="str">
        <f>'Costo Directo'!D754</f>
        <v>MAT-P2-18</v>
      </c>
      <c r="H767" s="803">
        <f>'Costo Directo'!E754</f>
        <v>0</v>
      </c>
    </row>
    <row r="768" spans="7:8" x14ac:dyDescent="0.3">
      <c r="G768" s="802" t="str">
        <f>'Costo Directo'!D755</f>
        <v>MAT-P2-19</v>
      </c>
      <c r="H768" s="803">
        <f>'Costo Directo'!E755</f>
        <v>0</v>
      </c>
    </row>
    <row r="769" spans="7:8" x14ac:dyDescent="0.3">
      <c r="G769" s="802" t="str">
        <f>'Costo Directo'!D756</f>
        <v>MAT-P2-20</v>
      </c>
      <c r="H769" s="803">
        <f>'Costo Directo'!E756</f>
        <v>0</v>
      </c>
    </row>
    <row r="770" spans="7:8" x14ac:dyDescent="0.3">
      <c r="G770" s="802" t="str">
        <f>'Costo Directo'!D757</f>
        <v>MAT-P2-21</v>
      </c>
      <c r="H770" s="803">
        <f>'Costo Directo'!E757</f>
        <v>0</v>
      </c>
    </row>
    <row r="771" spans="7:8" x14ac:dyDescent="0.3">
      <c r="G771" s="802" t="str">
        <f>'Costo Directo'!D758</f>
        <v>MAT-P2-22</v>
      </c>
      <c r="H771" s="803">
        <f>'Costo Directo'!E758</f>
        <v>0</v>
      </c>
    </row>
    <row r="772" spans="7:8" x14ac:dyDescent="0.3">
      <c r="G772" s="802" t="str">
        <f>'Costo Directo'!D759</f>
        <v>MAT-P2-23</v>
      </c>
      <c r="H772" s="803">
        <f>'Costo Directo'!E759</f>
        <v>0</v>
      </c>
    </row>
    <row r="773" spans="7:8" x14ac:dyDescent="0.3">
      <c r="G773" s="802" t="str">
        <f>'Costo Directo'!D760</f>
        <v>MAT-P2-24</v>
      </c>
      <c r="H773" s="803">
        <f>'Costo Directo'!E760</f>
        <v>0</v>
      </c>
    </row>
    <row r="774" spans="7:8" x14ac:dyDescent="0.3">
      <c r="G774" s="802" t="str">
        <f>'Costo Directo'!D761</f>
        <v>MAT-P2-25</v>
      </c>
      <c r="H774" s="803">
        <f>'Costo Directo'!E761</f>
        <v>0</v>
      </c>
    </row>
    <row r="775" spans="7:8" x14ac:dyDescent="0.3">
      <c r="G775" s="802" t="str">
        <f>'Costo Directo'!D762</f>
        <v>MAT-P2-26</v>
      </c>
      <c r="H775" s="803">
        <f>'Costo Directo'!E762</f>
        <v>0</v>
      </c>
    </row>
    <row r="776" spans="7:8" x14ac:dyDescent="0.3">
      <c r="G776" s="802" t="str">
        <f>'Costo Directo'!D763</f>
        <v>MAT-P2-27</v>
      </c>
      <c r="H776" s="803">
        <f>'Costo Directo'!E763</f>
        <v>0</v>
      </c>
    </row>
    <row r="777" spans="7:8" x14ac:dyDescent="0.3">
      <c r="G777" s="802" t="str">
        <f>'Costo Directo'!D764</f>
        <v>MAT-P2-28</v>
      </c>
      <c r="H777" s="803">
        <f>'Costo Directo'!E764</f>
        <v>0</v>
      </c>
    </row>
    <row r="778" spans="7:8" x14ac:dyDescent="0.3">
      <c r="G778" s="802" t="str">
        <f>'Costo Directo'!D765</f>
        <v>MAT-P2-29</v>
      </c>
      <c r="H778" s="803">
        <f>'Costo Directo'!E765</f>
        <v>0</v>
      </c>
    </row>
    <row r="779" spans="7:8" x14ac:dyDescent="0.3">
      <c r="G779" s="802" t="str">
        <f>'Costo Directo'!D766</f>
        <v>MAT-P2-30</v>
      </c>
      <c r="H779" s="803">
        <f>'Costo Directo'!E766</f>
        <v>0</v>
      </c>
    </row>
    <row r="780" spans="7:8" x14ac:dyDescent="0.3">
      <c r="G780" s="802" t="str">
        <f>'Costo Directo'!D767</f>
        <v>MAT-P2-31</v>
      </c>
      <c r="H780" s="803">
        <f>'Costo Directo'!E767</f>
        <v>0</v>
      </c>
    </row>
    <row r="781" spans="7:8" x14ac:dyDescent="0.3">
      <c r="G781" s="802" t="str">
        <f>'Costo Directo'!D768</f>
        <v>MAT-P2-32</v>
      </c>
      <c r="H781" s="803">
        <f>'Costo Directo'!E768</f>
        <v>0</v>
      </c>
    </row>
    <row r="782" spans="7:8" x14ac:dyDescent="0.3">
      <c r="G782" s="802" t="str">
        <f>'Costo Directo'!D769</f>
        <v>MAT-P2-33</v>
      </c>
      <c r="H782" s="803">
        <f>'Costo Directo'!E769</f>
        <v>0</v>
      </c>
    </row>
    <row r="783" spans="7:8" x14ac:dyDescent="0.3">
      <c r="G783" s="802" t="str">
        <f>'Costo Directo'!D770</f>
        <v>MAT-P2-34</v>
      </c>
      <c r="H783" s="803">
        <f>'Costo Directo'!E770</f>
        <v>0</v>
      </c>
    </row>
    <row r="784" spans="7:8" x14ac:dyDescent="0.3">
      <c r="G784" s="802" t="str">
        <f>'Costo Directo'!D771</f>
        <v>MAT-P2-35</v>
      </c>
      <c r="H784" s="803">
        <f>'Costo Directo'!E771</f>
        <v>0</v>
      </c>
    </row>
    <row r="785" spans="7:8" x14ac:dyDescent="0.3">
      <c r="G785" s="802" t="str">
        <f>'Costo Directo'!D772</f>
        <v>MAT-P2-36</v>
      </c>
      <c r="H785" s="803">
        <f>'Costo Directo'!E772</f>
        <v>0</v>
      </c>
    </row>
    <row r="786" spans="7:8" x14ac:dyDescent="0.3">
      <c r="G786" s="802" t="str">
        <f>'Costo Directo'!D773</f>
        <v>MAT-P2-37</v>
      </c>
      <c r="H786" s="803">
        <f>'Costo Directo'!E773</f>
        <v>0</v>
      </c>
    </row>
    <row r="787" spans="7:8" x14ac:dyDescent="0.3">
      <c r="G787" s="802" t="str">
        <f>'Costo Directo'!D774</f>
        <v>MAT-P2-38</v>
      </c>
      <c r="H787" s="803">
        <f>'Costo Directo'!E774</f>
        <v>0</v>
      </c>
    </row>
    <row r="788" spans="7:8" x14ac:dyDescent="0.3">
      <c r="G788" s="802" t="str">
        <f>'Costo Directo'!D776</f>
        <v>P3</v>
      </c>
      <c r="H788" s="803" t="str">
        <f>'Costo Directo'!E776</f>
        <v>MANO DE OBRA</v>
      </c>
    </row>
    <row r="789" spans="7:8" x14ac:dyDescent="0.3">
      <c r="G789" s="802" t="str">
        <f>'Costo Directo'!D779</f>
        <v>MAT-P3-1</v>
      </c>
      <c r="H789" s="803" t="str">
        <f>'Costo Directo'!E779</f>
        <v>AYUDANTE 01</v>
      </c>
    </row>
    <row r="790" spans="7:8" x14ac:dyDescent="0.3">
      <c r="G790" s="802" t="str">
        <f>'Costo Directo'!D780</f>
        <v>MAT-P3-2</v>
      </c>
      <c r="H790" s="803" t="str">
        <f>'Costo Directo'!E780</f>
        <v>AYUDANTE 02</v>
      </c>
    </row>
    <row r="791" spans="7:8" x14ac:dyDescent="0.3">
      <c r="G791" s="802" t="str">
        <f>'Costo Directo'!D781</f>
        <v>MAT-P3-3</v>
      </c>
      <c r="H791" s="803" t="str">
        <f>'Costo Directo'!E781</f>
        <v>OFICIAL</v>
      </c>
    </row>
    <row r="792" spans="7:8" x14ac:dyDescent="0.3">
      <c r="G792" s="802" t="str">
        <f>'Costo Directo'!D782</f>
        <v>MAT-P3-4</v>
      </c>
      <c r="H792" s="803">
        <f>'Costo Directo'!E782</f>
        <v>0</v>
      </c>
    </row>
    <row r="793" spans="7:8" x14ac:dyDescent="0.3">
      <c r="G793" s="802" t="str">
        <f>'Costo Directo'!D783</f>
        <v>MAT-P3-5</v>
      </c>
      <c r="H793" s="803">
        <f>'Costo Directo'!E783</f>
        <v>0</v>
      </c>
    </row>
    <row r="794" spans="7:8" x14ac:dyDescent="0.3">
      <c r="G794" s="802" t="str">
        <f>'Costo Directo'!D784</f>
        <v>MAT-P3-6</v>
      </c>
      <c r="H794" s="803">
        <f>'Costo Directo'!E784</f>
        <v>0</v>
      </c>
    </row>
    <row r="795" spans="7:8" x14ac:dyDescent="0.3">
      <c r="G795" s="802" t="str">
        <f>'Costo Directo'!D785</f>
        <v>MAT-P3-7</v>
      </c>
      <c r="H795" s="803">
        <f>'Costo Directo'!E785</f>
        <v>0</v>
      </c>
    </row>
    <row r="796" spans="7:8" x14ac:dyDescent="0.3">
      <c r="G796" s="802" t="str">
        <f>'Costo Directo'!D786</f>
        <v>MAT-P3-8</v>
      </c>
      <c r="H796" s="803">
        <f>'Costo Directo'!E786</f>
        <v>0</v>
      </c>
    </row>
    <row r="797" spans="7:8" x14ac:dyDescent="0.3">
      <c r="G797" s="802" t="str">
        <f>'Costo Directo'!D787</f>
        <v>MAT-P3-9</v>
      </c>
      <c r="H797" s="803">
        <f>'Costo Directo'!E787</f>
        <v>0</v>
      </c>
    </row>
    <row r="798" spans="7:8" x14ac:dyDescent="0.3">
      <c r="G798" s="802" t="str">
        <f>'Costo Directo'!D788</f>
        <v>MAT-P3-10</v>
      </c>
      <c r="H798" s="803">
        <f>'Costo Directo'!E788</f>
        <v>0</v>
      </c>
    </row>
    <row r="799" spans="7:8" x14ac:dyDescent="0.3">
      <c r="G799" s="802" t="str">
        <f>'Costo Directo'!D789</f>
        <v>MAT-P3-11</v>
      </c>
      <c r="H799" s="803">
        <f>'Costo Directo'!E789</f>
        <v>0</v>
      </c>
    </row>
    <row r="800" spans="7:8" x14ac:dyDescent="0.3">
      <c r="G800" s="802" t="str">
        <f>'Costo Directo'!D790</f>
        <v>MAT-P3-12</v>
      </c>
      <c r="H800" s="803">
        <f>'Costo Directo'!E790</f>
        <v>0</v>
      </c>
    </row>
    <row r="801" spans="7:8" x14ac:dyDescent="0.3">
      <c r="G801" s="802" t="str">
        <f>'Costo Directo'!D791</f>
        <v>MAT-P3-13</v>
      </c>
      <c r="H801" s="803">
        <f>'Costo Directo'!E791</f>
        <v>0</v>
      </c>
    </row>
    <row r="802" spans="7:8" x14ac:dyDescent="0.3">
      <c r="G802" s="802" t="str">
        <f>'Costo Directo'!D792</f>
        <v>MAT-P3-14</v>
      </c>
      <c r="H802" s="803">
        <f>'Costo Directo'!E792</f>
        <v>0</v>
      </c>
    </row>
    <row r="803" spans="7:8" x14ac:dyDescent="0.3">
      <c r="G803" s="802" t="str">
        <f>'Costo Directo'!D793</f>
        <v>MAT-P3-15</v>
      </c>
      <c r="H803" s="803">
        <f>'Costo Directo'!E793</f>
        <v>0</v>
      </c>
    </row>
    <row r="804" spans="7:8" x14ac:dyDescent="0.3">
      <c r="G804" s="802" t="str">
        <f>'Costo Directo'!D794</f>
        <v>MAT-P3-16</v>
      </c>
      <c r="H804" s="803">
        <f>'Costo Directo'!E794</f>
        <v>0</v>
      </c>
    </row>
    <row r="805" spans="7:8" x14ac:dyDescent="0.3">
      <c r="G805" s="802" t="str">
        <f>'Costo Directo'!D795</f>
        <v>MAT-P3-17</v>
      </c>
      <c r="H805" s="803">
        <f>'Costo Directo'!E795</f>
        <v>0</v>
      </c>
    </row>
    <row r="806" spans="7:8" x14ac:dyDescent="0.3">
      <c r="G806" s="802" t="str">
        <f>'Costo Directo'!D796</f>
        <v>MAT-P3-18</v>
      </c>
      <c r="H806" s="803">
        <f>'Costo Directo'!E796</f>
        <v>0</v>
      </c>
    </row>
    <row r="807" spans="7:8" x14ac:dyDescent="0.3">
      <c r="G807" s="802" t="str">
        <f>'Costo Directo'!D797</f>
        <v>MAT-P3-19</v>
      </c>
      <c r="H807" s="803">
        <f>'Costo Directo'!E797</f>
        <v>0</v>
      </c>
    </row>
    <row r="808" spans="7:8" x14ac:dyDescent="0.3">
      <c r="G808" s="802" t="str">
        <f>'Costo Directo'!D798</f>
        <v>MAT-P3-20</v>
      </c>
      <c r="H808" s="803">
        <f>'Costo Directo'!E798</f>
        <v>0</v>
      </c>
    </row>
    <row r="809" spans="7:8" x14ac:dyDescent="0.3">
      <c r="G809" s="802" t="str">
        <f>'Costo Directo'!D799</f>
        <v>MAT-P3-21</v>
      </c>
      <c r="H809" s="803">
        <f>'Costo Directo'!E799</f>
        <v>0</v>
      </c>
    </row>
    <row r="810" spans="7:8" x14ac:dyDescent="0.3">
      <c r="G810" s="802" t="str">
        <f>'Costo Directo'!D800</f>
        <v>MAT-P3-22</v>
      </c>
      <c r="H810" s="803">
        <f>'Costo Directo'!E800</f>
        <v>0</v>
      </c>
    </row>
    <row r="811" spans="7:8" x14ac:dyDescent="0.3">
      <c r="G811" s="802" t="str">
        <f>'Costo Directo'!D801</f>
        <v>MAT-P3-23</v>
      </c>
      <c r="H811" s="803">
        <f>'Costo Directo'!E801</f>
        <v>0</v>
      </c>
    </row>
    <row r="812" spans="7:8" x14ac:dyDescent="0.3">
      <c r="G812" s="802" t="str">
        <f>'Costo Directo'!D802</f>
        <v>MAT-P3-24</v>
      </c>
      <c r="H812" s="803">
        <f>'Costo Directo'!E802</f>
        <v>0</v>
      </c>
    </row>
    <row r="813" spans="7:8" x14ac:dyDescent="0.3">
      <c r="G813" s="802" t="str">
        <f>'Costo Directo'!D803</f>
        <v>MAT-P3-25</v>
      </c>
      <c r="H813" s="803">
        <f>'Costo Directo'!E803</f>
        <v>0</v>
      </c>
    </row>
    <row r="814" spans="7:8" x14ac:dyDescent="0.3">
      <c r="G814" s="802" t="str">
        <f>'Costo Directo'!D804</f>
        <v>MAT-P3-26</v>
      </c>
      <c r="H814" s="803">
        <f>'Costo Directo'!E804</f>
        <v>0</v>
      </c>
    </row>
    <row r="815" spans="7:8" x14ac:dyDescent="0.3">
      <c r="G815" s="802" t="str">
        <f>'Costo Directo'!D805</f>
        <v>MAT-P3-27</v>
      </c>
      <c r="H815" s="803">
        <f>'Costo Directo'!E805</f>
        <v>0</v>
      </c>
    </row>
    <row r="816" spans="7:8" x14ac:dyDescent="0.3">
      <c r="G816" s="802" t="str">
        <f>'Costo Directo'!D806</f>
        <v>MAT-P3-28</v>
      </c>
      <c r="H816" s="803">
        <f>'Costo Directo'!E806</f>
        <v>0</v>
      </c>
    </row>
    <row r="817" spans="7:8" x14ac:dyDescent="0.3">
      <c r="G817" s="802" t="str">
        <f>'Costo Directo'!D807</f>
        <v>MAT-P3-29</v>
      </c>
      <c r="H817" s="803">
        <f>'Costo Directo'!E807</f>
        <v>0</v>
      </c>
    </row>
    <row r="818" spans="7:8" x14ac:dyDescent="0.3">
      <c r="G818" s="802" t="str">
        <f>'Costo Directo'!D808</f>
        <v>MAT-P3-30</v>
      </c>
      <c r="H818" s="803">
        <f>'Costo Directo'!E808</f>
        <v>0</v>
      </c>
    </row>
    <row r="819" spans="7:8" x14ac:dyDescent="0.3">
      <c r="G819" s="802" t="str">
        <f>'Costo Directo'!D809</f>
        <v>MAT-P3-31</v>
      </c>
      <c r="H819" s="803">
        <f>'Costo Directo'!E809</f>
        <v>0</v>
      </c>
    </row>
    <row r="820" spans="7:8" x14ac:dyDescent="0.3">
      <c r="G820" s="802" t="str">
        <f>'Costo Directo'!D810</f>
        <v>MAT-P3-32</v>
      </c>
      <c r="H820" s="803">
        <f>'Costo Directo'!E810</f>
        <v>0</v>
      </c>
    </row>
    <row r="821" spans="7:8" x14ac:dyDescent="0.3">
      <c r="G821" s="802" t="str">
        <f>'Costo Directo'!D811</f>
        <v>MAT-P3-33</v>
      </c>
      <c r="H821" s="803">
        <f>'Costo Directo'!E811</f>
        <v>0</v>
      </c>
    </row>
    <row r="822" spans="7:8" x14ac:dyDescent="0.3">
      <c r="G822" s="802" t="str">
        <f>'Costo Directo'!D812</f>
        <v>MAT-P3-34</v>
      </c>
      <c r="H822" s="803">
        <f>'Costo Directo'!E812</f>
        <v>0</v>
      </c>
    </row>
    <row r="823" spans="7:8" x14ac:dyDescent="0.3">
      <c r="G823" s="802" t="str">
        <f>'Costo Directo'!D813</f>
        <v>MAT-P3-35</v>
      </c>
      <c r="H823" s="803">
        <f>'Costo Directo'!E813</f>
        <v>0</v>
      </c>
    </row>
    <row r="824" spans="7:8" x14ac:dyDescent="0.3">
      <c r="G824" s="802" t="str">
        <f>'Costo Directo'!D814</f>
        <v>MAT-P3-36</v>
      </c>
      <c r="H824" s="803">
        <f>'Costo Directo'!E814</f>
        <v>0</v>
      </c>
    </row>
    <row r="825" spans="7:8" x14ac:dyDescent="0.3">
      <c r="G825" s="802" t="str">
        <f>'Costo Directo'!D815</f>
        <v>MAT-P3-37</v>
      </c>
      <c r="H825" s="803">
        <f>'Costo Directo'!E815</f>
        <v>0</v>
      </c>
    </row>
    <row r="826" spans="7:8" x14ac:dyDescent="0.3">
      <c r="G826" s="802" t="str">
        <f>'Costo Directo'!D816</f>
        <v>MAT-P3-38</v>
      </c>
      <c r="H826" s="803">
        <f>'Costo Directo'!E816</f>
        <v>0</v>
      </c>
    </row>
    <row r="827" spans="7:8" x14ac:dyDescent="0.3">
      <c r="G827" s="802" t="str">
        <f>'Costo Directo'!D817</f>
        <v>MAT-P3-39</v>
      </c>
      <c r="H827" s="803">
        <f>'Costo Directo'!E817</f>
        <v>0</v>
      </c>
    </row>
    <row r="828" spans="7:8" x14ac:dyDescent="0.3">
      <c r="G828" s="802" t="str">
        <f>'Costo Directo'!D818</f>
        <v>MAT-P3-40</v>
      </c>
      <c r="H828" s="803">
        <f>'Costo Directo'!E818</f>
        <v>0</v>
      </c>
    </row>
    <row r="829" spans="7:8" x14ac:dyDescent="0.3">
      <c r="G829" s="802" t="str">
        <f>'Costo Directo'!D819</f>
        <v>MAT-P3-41</v>
      </c>
      <c r="H829" s="803">
        <f>'Costo Directo'!E819</f>
        <v>0</v>
      </c>
    </row>
    <row r="830" spans="7:8" x14ac:dyDescent="0.3">
      <c r="G830" s="802" t="str">
        <f>'Costo Directo'!D820</f>
        <v>MAT-P3-42</v>
      </c>
      <c r="H830" s="803">
        <f>'Costo Directo'!E820</f>
        <v>0</v>
      </c>
    </row>
    <row r="831" spans="7:8" x14ac:dyDescent="0.3">
      <c r="G831" s="802" t="str">
        <f>'Costo Directo'!D821</f>
        <v>MAT-P3-43</v>
      </c>
      <c r="H831" s="803">
        <f>'Costo Directo'!E821</f>
        <v>0</v>
      </c>
    </row>
    <row r="832" spans="7:8" x14ac:dyDescent="0.3">
      <c r="G832" s="802" t="str">
        <f>'Costo Directo'!D822</f>
        <v>MAT-P3-44</v>
      </c>
      <c r="H832" s="803">
        <f>'Costo Directo'!E822</f>
        <v>0</v>
      </c>
    </row>
    <row r="833" spans="7:8" x14ac:dyDescent="0.3">
      <c r="G833" s="802" t="str">
        <f>'Costo Directo'!D823</f>
        <v>MAT-P3-45</v>
      </c>
      <c r="H833" s="803">
        <f>'Costo Directo'!E823</f>
        <v>0</v>
      </c>
    </row>
    <row r="834" spans="7:8" x14ac:dyDescent="0.3">
      <c r="G834" s="802" t="str">
        <f>'Costo Directo'!D824</f>
        <v>MAT-P3-46</v>
      </c>
      <c r="H834" s="803">
        <f>'Costo Directo'!E824</f>
        <v>0</v>
      </c>
    </row>
    <row r="835" spans="7:8" x14ac:dyDescent="0.3">
      <c r="G835" s="802" t="str">
        <f>'Costo Directo'!D825</f>
        <v>MAT-P3-47</v>
      </c>
      <c r="H835" s="803">
        <f>'Costo Directo'!E825</f>
        <v>0</v>
      </c>
    </row>
    <row r="836" spans="7:8" x14ac:dyDescent="0.3">
      <c r="G836" s="802" t="str">
        <f>'Costo Directo'!D826</f>
        <v>MAT-P3-48</v>
      </c>
      <c r="H836" s="803">
        <f>'Costo Directo'!E826</f>
        <v>0</v>
      </c>
    </row>
    <row r="837" spans="7:8" x14ac:dyDescent="0.3">
      <c r="G837" s="802" t="str">
        <f>'Costo Directo'!D827</f>
        <v>MAT-P3-49</v>
      </c>
      <c r="H837" s="803">
        <f>'Costo Directo'!E827</f>
        <v>0</v>
      </c>
    </row>
    <row r="838" spans="7:8" x14ac:dyDescent="0.3">
      <c r="G838" s="802" t="str">
        <f>'Costo Directo'!D829</f>
        <v>P4</v>
      </c>
      <c r="H838" s="803" t="str">
        <f>'Costo Directo'!E829</f>
        <v>MATERIALES</v>
      </c>
    </row>
    <row r="839" spans="7:8" x14ac:dyDescent="0.3">
      <c r="G839" s="802" t="str">
        <f>'Costo Directo'!D832</f>
        <v>MAT-P4-1</v>
      </c>
      <c r="H839" s="803" t="str">
        <f>'Costo Directo'!E832</f>
        <v>ADITIVO CURADOR</v>
      </c>
    </row>
    <row r="840" spans="7:8" x14ac:dyDescent="0.3">
      <c r="G840" s="802" t="str">
        <f>'Costo Directo'!D833</f>
        <v>MAT-P4-2</v>
      </c>
      <c r="H840" s="803" t="str">
        <f>'Costo Directo'!E833</f>
        <v>ADITIVO DESMOLDANTE SIKA O SIMILAR</v>
      </c>
    </row>
    <row r="841" spans="7:8" x14ac:dyDescent="0.3">
      <c r="G841" s="802" t="str">
        <f>'Costo Directo'!D834</f>
        <v>MAT-P4-3</v>
      </c>
      <c r="H841" s="803" t="str">
        <f>'Costo Directo'!E834</f>
        <v>AGUA</v>
      </c>
    </row>
    <row r="842" spans="7:8" x14ac:dyDescent="0.3">
      <c r="G842" s="802" t="str">
        <f>'Costo Directo'!D835</f>
        <v>MAT-P4-4</v>
      </c>
      <c r="H842" s="803" t="str">
        <f>'Costo Directo'!E835</f>
        <v>ALAMBRE RECOCIDO</v>
      </c>
    </row>
    <row r="843" spans="7:8" x14ac:dyDescent="0.3">
      <c r="G843" s="802" t="str">
        <f>'Costo Directo'!D836</f>
        <v>MAT-P4-5</v>
      </c>
      <c r="H843" s="803" t="str">
        <f>'Costo Directo'!E836</f>
        <v>ARENA</v>
      </c>
    </row>
    <row r="844" spans="7:8" x14ac:dyDescent="0.3">
      <c r="G844" s="802" t="str">
        <f>'Costo Directo'!D837</f>
        <v>MAT-P4-6</v>
      </c>
      <c r="H844" s="803" t="str">
        <f>'Costo Directo'!E837</f>
        <v>CEMENTO</v>
      </c>
    </row>
    <row r="845" spans="7:8" x14ac:dyDescent="0.3">
      <c r="G845" s="802" t="str">
        <f>'Costo Directo'!D838</f>
        <v>MAT-P4-7</v>
      </c>
      <c r="H845" s="803" t="str">
        <f>'Costo Directo'!E838</f>
        <v>CONCRETO F'C=250 KG/CM2</v>
      </c>
    </row>
    <row r="846" spans="7:8" x14ac:dyDescent="0.3">
      <c r="G846" s="802" t="str">
        <f>'Costo Directo'!D839</f>
        <v>MAT-P4-8</v>
      </c>
      <c r="H846" s="803" t="str">
        <f>'Costo Directo'!E839</f>
        <v>GRAVA</v>
      </c>
    </row>
    <row r="847" spans="7:8" x14ac:dyDescent="0.3">
      <c r="G847" s="802" t="str">
        <f>'Costo Directo'!D840</f>
        <v>MAT-P4-9</v>
      </c>
      <c r="H847" s="803" t="str">
        <f>'Costo Directo'!E840</f>
        <v>MADERA PARA CIMBRA DE FRONTERA DE PILA</v>
      </c>
    </row>
    <row r="848" spans="7:8" x14ac:dyDescent="0.3">
      <c r="G848" s="802" t="str">
        <f>'Costo Directo'!D841</f>
        <v>MAT-P4-10</v>
      </c>
      <c r="H848" s="803" t="str">
        <f>'Costo Directo'!E841</f>
        <v>MALLA NARANJA DE PERFORACIÓN</v>
      </c>
    </row>
    <row r="849" spans="7:8" x14ac:dyDescent="0.3">
      <c r="G849" s="802" t="str">
        <f>'Costo Directo'!D842</f>
        <v>MAT-P4-11</v>
      </c>
      <c r="H849" s="803" t="str">
        <f>'Costo Directo'!E842</f>
        <v>MORTERO CEMENTICIO AUTONIVELANTE IMPAC GROUT PRO O SIMILAR</v>
      </c>
    </row>
    <row r="850" spans="7:8" x14ac:dyDescent="0.3">
      <c r="G850" s="802" t="str">
        <f>'Costo Directo'!D843</f>
        <v>MAT-P4-12</v>
      </c>
      <c r="H850" s="803" t="str">
        <f>'Costo Directo'!E843</f>
        <v>POSTE ANARANJADO DE 1.2M PARA CONTROL VIAL</v>
      </c>
    </row>
    <row r="851" spans="7:8" x14ac:dyDescent="0.3">
      <c r="G851" s="802" t="str">
        <f>'Costo Directo'!D844</f>
        <v>MAT-P4-13</v>
      </c>
      <c r="H851" s="803" t="str">
        <f>'Costo Directo'!E844</f>
        <v>SILLETAS INFERIORES (SU 75 Ó SIMILAR)</v>
      </c>
    </row>
    <row r="852" spans="7:8" x14ac:dyDescent="0.3">
      <c r="G852" s="802" t="str">
        <f>'Costo Directo'!D845</f>
        <v>MAT-P4-14</v>
      </c>
      <c r="H852" s="803" t="str">
        <f>'Costo Directo'!E845</f>
        <v>SILLETAS LATERALES (PIL 50 Ó SIMILAR)</v>
      </c>
    </row>
    <row r="853" spans="7:8" x14ac:dyDescent="0.3">
      <c r="G853" s="802" t="str">
        <f>'Costo Directo'!D846</f>
        <v>MAT-P4-15</v>
      </c>
      <c r="H853" s="803" t="str">
        <f>'Costo Directo'!E846</f>
        <v>TUBO DE PVC VERDE DE 1"</v>
      </c>
    </row>
    <row r="854" spans="7:8" x14ac:dyDescent="0.3">
      <c r="G854" s="802" t="str">
        <f>'Costo Directo'!D847</f>
        <v>MAT-P4-16</v>
      </c>
      <c r="H854" s="803" t="str">
        <f>'Costo Directo'!E847</f>
        <v>VARILLA CORRUGADA #03</v>
      </c>
    </row>
    <row r="855" spans="7:8" x14ac:dyDescent="0.3">
      <c r="G855" s="802" t="str">
        <f>'Costo Directo'!D848</f>
        <v>MAT-P4-17</v>
      </c>
      <c r="H855" s="803" t="str">
        <f>'Costo Directo'!E848</f>
        <v>VARILLA CORRUGADA #06</v>
      </c>
    </row>
    <row r="856" spans="7:8" x14ac:dyDescent="0.3">
      <c r="G856" s="802" t="str">
        <f>'Costo Directo'!D849</f>
        <v>MAT-P4-18</v>
      </c>
      <c r="H856" s="803" t="str">
        <f>'Costo Directo'!E849</f>
        <v>OTROS MATERIALES</v>
      </c>
    </row>
    <row r="857" spans="7:8" x14ac:dyDescent="0.3">
      <c r="G857" s="802" t="str">
        <f>'Costo Directo'!D850</f>
        <v>MAT-P4-19</v>
      </c>
      <c r="H857" s="803">
        <f>'Costo Directo'!E850</f>
        <v>0</v>
      </c>
    </row>
    <row r="858" spans="7:8" x14ac:dyDescent="0.3">
      <c r="G858" s="802" t="str">
        <f>'Costo Directo'!D851</f>
        <v>MAT-P4-20</v>
      </c>
      <c r="H858" s="803">
        <f>'Costo Directo'!E851</f>
        <v>0</v>
      </c>
    </row>
    <row r="859" spans="7:8" x14ac:dyDescent="0.3">
      <c r="G859" s="802" t="str">
        <f>'Costo Directo'!D852</f>
        <v>MAT-P4-21</v>
      </c>
      <c r="H859" s="803">
        <f>'Costo Directo'!E852</f>
        <v>0</v>
      </c>
    </row>
    <row r="860" spans="7:8" x14ac:dyDescent="0.3">
      <c r="G860" s="802" t="str">
        <f>'Costo Directo'!D853</f>
        <v>MAT-P4-22</v>
      </c>
      <c r="H860" s="803">
        <f>'Costo Directo'!E853</f>
        <v>0</v>
      </c>
    </row>
    <row r="861" spans="7:8" x14ac:dyDescent="0.3">
      <c r="G861" s="802" t="str">
        <f>'Costo Directo'!D854</f>
        <v>MAT-P4-23</v>
      </c>
      <c r="H861" s="803">
        <f>'Costo Directo'!E854</f>
        <v>0</v>
      </c>
    </row>
    <row r="862" spans="7:8" x14ac:dyDescent="0.3">
      <c r="G862" s="802" t="str">
        <f>'Costo Directo'!D855</f>
        <v>MAT-P4-24</v>
      </c>
      <c r="H862" s="803">
        <f>'Costo Directo'!E855</f>
        <v>0</v>
      </c>
    </row>
    <row r="863" spans="7:8" x14ac:dyDescent="0.3">
      <c r="G863" s="802" t="str">
        <f>'Costo Directo'!D856</f>
        <v>MAT-P4-25</v>
      </c>
      <c r="H863" s="803">
        <f>'Costo Directo'!E856</f>
        <v>0</v>
      </c>
    </row>
    <row r="864" spans="7:8" x14ac:dyDescent="0.3">
      <c r="G864" s="802" t="str">
        <f>'Costo Directo'!D857</f>
        <v>MAT-P4-26</v>
      </c>
      <c r="H864" s="803">
        <f>'Costo Directo'!E857</f>
        <v>0</v>
      </c>
    </row>
    <row r="865" spans="7:8" x14ac:dyDescent="0.3">
      <c r="G865" s="802" t="str">
        <f>'Costo Directo'!D858</f>
        <v>MAT-P4-27</v>
      </c>
      <c r="H865" s="803">
        <f>'Costo Directo'!E858</f>
        <v>0</v>
      </c>
    </row>
    <row r="866" spans="7:8" x14ac:dyDescent="0.3">
      <c r="G866" s="802" t="str">
        <f>'Costo Directo'!D859</f>
        <v>MAT-P4-28</v>
      </c>
      <c r="H866" s="803">
        <f>'Costo Directo'!E859</f>
        <v>0</v>
      </c>
    </row>
    <row r="867" spans="7:8" x14ac:dyDescent="0.3">
      <c r="G867" s="802" t="str">
        <f>'Costo Directo'!D860</f>
        <v>MAT-P4-29</v>
      </c>
      <c r="H867" s="803">
        <f>'Costo Directo'!E860</f>
        <v>0</v>
      </c>
    </row>
    <row r="868" spans="7:8" x14ac:dyDescent="0.3">
      <c r="G868" s="802" t="str">
        <f>'Costo Directo'!D861</f>
        <v>MAT-P4-30</v>
      </c>
      <c r="H868" s="803">
        <f>'Costo Directo'!E861</f>
        <v>0</v>
      </c>
    </row>
    <row r="869" spans="7:8" x14ac:dyDescent="0.3">
      <c r="G869" s="802" t="str">
        <f>'Costo Directo'!D862</f>
        <v>MAT-P4-31</v>
      </c>
      <c r="H869" s="803">
        <f>'Costo Directo'!E862</f>
        <v>0</v>
      </c>
    </row>
    <row r="870" spans="7:8" x14ac:dyDescent="0.3">
      <c r="G870" s="802" t="str">
        <f>'Costo Directo'!D863</f>
        <v>MAT-P4-32</v>
      </c>
      <c r="H870" s="803">
        <f>'Costo Directo'!E863</f>
        <v>0</v>
      </c>
    </row>
    <row r="871" spans="7:8" x14ac:dyDescent="0.3">
      <c r="G871" s="802" t="str">
        <f>'Costo Directo'!D864</f>
        <v>MAT-P4-33</v>
      </c>
      <c r="H871" s="803">
        <f>'Costo Directo'!E864</f>
        <v>0</v>
      </c>
    </row>
    <row r="872" spans="7:8" x14ac:dyDescent="0.3">
      <c r="G872" s="802" t="str">
        <f>'Costo Directo'!D865</f>
        <v>MAT-P4-34</v>
      </c>
      <c r="H872" s="803">
        <f>'Costo Directo'!E865</f>
        <v>0</v>
      </c>
    </row>
    <row r="873" spans="7:8" x14ac:dyDescent="0.3">
      <c r="G873" s="802" t="str">
        <f>'Costo Directo'!D866</f>
        <v>MAT-P4-35</v>
      </c>
      <c r="H873" s="803">
        <f>'Costo Directo'!E866</f>
        <v>0</v>
      </c>
    </row>
    <row r="874" spans="7:8" x14ac:dyDescent="0.3">
      <c r="G874" s="802" t="str">
        <f>'Costo Directo'!D867</f>
        <v>MAT-P4-36</v>
      </c>
      <c r="H874" s="803">
        <f>'Costo Directo'!E867</f>
        <v>0</v>
      </c>
    </row>
    <row r="875" spans="7:8" x14ac:dyDescent="0.3">
      <c r="G875" s="802" t="str">
        <f>'Costo Directo'!D868</f>
        <v>MAT-P4-37</v>
      </c>
      <c r="H875" s="803">
        <f>'Costo Directo'!E868</f>
        <v>0</v>
      </c>
    </row>
    <row r="876" spans="7:8" x14ac:dyDescent="0.3">
      <c r="G876" s="802" t="str">
        <f>'Costo Directo'!D869</f>
        <v>MAT-P4-38</v>
      </c>
      <c r="H876" s="803">
        <f>'Costo Directo'!E869</f>
        <v>0</v>
      </c>
    </row>
    <row r="877" spans="7:8" x14ac:dyDescent="0.3">
      <c r="G877" s="802" t="str">
        <f>'Costo Directo'!D870</f>
        <v>MAT-P4-39</v>
      </c>
      <c r="H877" s="803">
        <f>'Costo Directo'!E870</f>
        <v>0</v>
      </c>
    </row>
    <row r="878" spans="7:8" x14ac:dyDescent="0.3">
      <c r="G878" s="802" t="str">
        <f>'Costo Directo'!D871</f>
        <v>MAT-P4-40</v>
      </c>
      <c r="H878" s="803">
        <f>'Costo Directo'!E871</f>
        <v>0</v>
      </c>
    </row>
    <row r="879" spans="7:8" x14ac:dyDescent="0.3">
      <c r="G879" s="802" t="str">
        <f>'Costo Directo'!D872</f>
        <v>MAT-P4-41</v>
      </c>
      <c r="H879" s="803">
        <f>'Costo Directo'!E872</f>
        <v>0</v>
      </c>
    </row>
    <row r="880" spans="7:8" x14ac:dyDescent="0.3">
      <c r="G880" s="802" t="str">
        <f>'Costo Directo'!D873</f>
        <v>MAT-P4-42</v>
      </c>
      <c r="H880" s="803">
        <f>'Costo Directo'!E873</f>
        <v>0</v>
      </c>
    </row>
    <row r="881" spans="7:8" x14ac:dyDescent="0.3">
      <c r="G881" s="802" t="str">
        <f>'Costo Directo'!D874</f>
        <v>MAT-P4-43</v>
      </c>
      <c r="H881" s="803">
        <f>'Costo Directo'!E874</f>
        <v>0</v>
      </c>
    </row>
    <row r="882" spans="7:8" x14ac:dyDescent="0.3">
      <c r="G882" s="802" t="str">
        <f>'Costo Directo'!D875</f>
        <v>MAT-P4-44</v>
      </c>
      <c r="H882" s="803">
        <f>'Costo Directo'!E875</f>
        <v>0</v>
      </c>
    </row>
    <row r="883" spans="7:8" x14ac:dyDescent="0.3">
      <c r="G883" s="802" t="str">
        <f>'Costo Directo'!D876</f>
        <v>MAT-P4-45</v>
      </c>
      <c r="H883" s="803">
        <f>'Costo Directo'!E876</f>
        <v>0</v>
      </c>
    </row>
    <row r="884" spans="7:8" x14ac:dyDescent="0.3">
      <c r="G884" s="802" t="str">
        <f>'Costo Directo'!D877</f>
        <v>MAT-P4-46</v>
      </c>
      <c r="H884" s="803">
        <f>'Costo Directo'!E877</f>
        <v>0</v>
      </c>
    </row>
    <row r="885" spans="7:8" x14ac:dyDescent="0.3">
      <c r="G885" s="802" t="str">
        <f>'Costo Directo'!D878</f>
        <v>MAT-P4-47</v>
      </c>
      <c r="H885" s="803">
        <f>'Costo Directo'!E878</f>
        <v>0</v>
      </c>
    </row>
    <row r="886" spans="7:8" x14ac:dyDescent="0.3">
      <c r="G886" s="802" t="str">
        <f>'Costo Directo'!D879</f>
        <v>MAT-P4-48</v>
      </c>
      <c r="H886" s="803">
        <f>'Costo Directo'!E879</f>
        <v>0</v>
      </c>
    </row>
    <row r="887" spans="7:8" x14ac:dyDescent="0.3">
      <c r="G887" s="802" t="str">
        <f>'Costo Directo'!D880</f>
        <v>MAT-P4-49</v>
      </c>
      <c r="H887" s="803">
        <f>'Costo Directo'!E880</f>
        <v>0</v>
      </c>
    </row>
    <row r="888" spans="7:8" x14ac:dyDescent="0.3">
      <c r="G888" s="802" t="str">
        <f>'Costo Directo'!D882</f>
        <v>P5</v>
      </c>
      <c r="H888" s="803" t="str">
        <f>'Costo Directo'!E882</f>
        <v>ACARREOS</v>
      </c>
    </row>
    <row r="889" spans="7:8" x14ac:dyDescent="0.3">
      <c r="G889" s="802" t="str">
        <f>'Costo Directo'!D885</f>
        <v>MAT-P5-1</v>
      </c>
      <c r="H889" s="803" t="str">
        <f>'Costo Directo'!E885</f>
        <v>ACARREO A BANCO DE TIRO</v>
      </c>
    </row>
    <row r="890" spans="7:8" x14ac:dyDescent="0.3">
      <c r="G890" s="802" t="str">
        <f>'Costo Directo'!D886</f>
        <v>MAT-P5-2</v>
      </c>
      <c r="H890" s="803">
        <f>'Costo Directo'!E886</f>
        <v>0</v>
      </c>
    </row>
    <row r="891" spans="7:8" x14ac:dyDescent="0.3">
      <c r="G891" s="802" t="str">
        <f>'Costo Directo'!D887</f>
        <v>MAT-P5-3</v>
      </c>
      <c r="H891" s="803">
        <f>'Costo Directo'!E887</f>
        <v>0</v>
      </c>
    </row>
    <row r="892" spans="7:8" x14ac:dyDescent="0.3">
      <c r="G892" s="802" t="str">
        <f>'Costo Directo'!D888</f>
        <v>MAT-P5-4</v>
      </c>
      <c r="H892" s="803">
        <f>'Costo Directo'!E888</f>
        <v>0</v>
      </c>
    </row>
    <row r="893" spans="7:8" x14ac:dyDescent="0.3">
      <c r="G893" s="802" t="str">
        <f>'Costo Directo'!D889</f>
        <v>MAT-P5-5</v>
      </c>
      <c r="H893" s="803">
        <f>'Costo Directo'!E889</f>
        <v>0</v>
      </c>
    </row>
    <row r="894" spans="7:8" x14ac:dyDescent="0.3">
      <c r="G894" s="802" t="str">
        <f>'Costo Directo'!D890</f>
        <v>MAT-P5-6</v>
      </c>
      <c r="H894" s="803">
        <f>'Costo Directo'!E890</f>
        <v>0</v>
      </c>
    </row>
    <row r="895" spans="7:8" x14ac:dyDescent="0.3">
      <c r="G895" s="802" t="str">
        <f>'Costo Directo'!D891</f>
        <v>MAT-P5-7</v>
      </c>
      <c r="H895" s="803">
        <f>'Costo Directo'!E891</f>
        <v>0</v>
      </c>
    </row>
    <row r="896" spans="7:8" x14ac:dyDescent="0.3">
      <c r="G896" s="802" t="str">
        <f>'Costo Directo'!D892</f>
        <v>MAT-P5-8</v>
      </c>
      <c r="H896" s="803">
        <f>'Costo Directo'!E892</f>
        <v>0</v>
      </c>
    </row>
    <row r="897" spans="7:8" x14ac:dyDescent="0.3">
      <c r="G897" s="802" t="str">
        <f>'Costo Directo'!D893</f>
        <v>MAT-P5-9</v>
      </c>
      <c r="H897" s="803">
        <f>'Costo Directo'!E893</f>
        <v>0</v>
      </c>
    </row>
    <row r="898" spans="7:8" x14ac:dyDescent="0.3">
      <c r="G898" s="802" t="str">
        <f>'Costo Directo'!D895</f>
        <v>P6</v>
      </c>
      <c r="H898" s="803" t="str">
        <f>'Costo Directo'!E895</f>
        <v>Fletes</v>
      </c>
    </row>
    <row r="899" spans="7:8" x14ac:dyDescent="0.3">
      <c r="G899" s="802" t="str">
        <f>'Costo Directo'!D898</f>
        <v>MAT-P6-1</v>
      </c>
      <c r="H899" s="803">
        <f>'Costo Directo'!E898</f>
        <v>0</v>
      </c>
    </row>
    <row r="900" spans="7:8" x14ac:dyDescent="0.3">
      <c r="G900" s="802" t="str">
        <f>'Costo Directo'!D899</f>
        <v>MAT-P6-2</v>
      </c>
      <c r="H900" s="803">
        <f>'Costo Directo'!E899</f>
        <v>0</v>
      </c>
    </row>
    <row r="901" spans="7:8" x14ac:dyDescent="0.3">
      <c r="G901" s="802" t="str">
        <f>'Costo Directo'!D900</f>
        <v>MAT-P6-3</v>
      </c>
      <c r="H901" s="803">
        <f>'Costo Directo'!E900</f>
        <v>0</v>
      </c>
    </row>
    <row r="902" spans="7:8" x14ac:dyDescent="0.3">
      <c r="G902" s="802" t="str">
        <f>'Costo Directo'!D901</f>
        <v>MAT-P6-4</v>
      </c>
      <c r="H902" s="803">
        <f>'Costo Directo'!E901</f>
        <v>0</v>
      </c>
    </row>
    <row r="903" spans="7:8" x14ac:dyDescent="0.3">
      <c r="G903" s="802" t="str">
        <f>'Costo Directo'!D902</f>
        <v>MAT-P6-5</v>
      </c>
      <c r="H903" s="803">
        <f>'Costo Directo'!E902</f>
        <v>0</v>
      </c>
    </row>
    <row r="904" spans="7:8" x14ac:dyDescent="0.3">
      <c r="G904" s="802" t="str">
        <f>'Costo Directo'!D903</f>
        <v>MAT-P6-6</v>
      </c>
      <c r="H904" s="803">
        <f>'Costo Directo'!E903</f>
        <v>0</v>
      </c>
    </row>
    <row r="905" spans="7:8" x14ac:dyDescent="0.3">
      <c r="G905" s="802" t="str">
        <f>'Costo Directo'!D904</f>
        <v>MAT-P6-7</v>
      </c>
      <c r="H905" s="803">
        <f>'Costo Directo'!E904</f>
        <v>0</v>
      </c>
    </row>
    <row r="906" spans="7:8" x14ac:dyDescent="0.3">
      <c r="G906" s="802" t="str">
        <f>'Costo Directo'!D905</f>
        <v>MAT-P6-8</v>
      </c>
      <c r="H906" s="803">
        <f>'Costo Directo'!E905</f>
        <v>0</v>
      </c>
    </row>
    <row r="907" spans="7:8" x14ac:dyDescent="0.3">
      <c r="G907" s="802" t="str">
        <f>'Costo Directo'!D906</f>
        <v>MAT-P6-9</v>
      </c>
      <c r="H907" s="803">
        <f>'Costo Directo'!E906</f>
        <v>0</v>
      </c>
    </row>
    <row r="908" spans="7:8" x14ac:dyDescent="0.3">
      <c r="G908" s="802" t="str">
        <f>'Costo Directo'!D907</f>
        <v>MAT-P6-10</v>
      </c>
      <c r="H908" s="803">
        <f>'Costo Directo'!E907</f>
        <v>0</v>
      </c>
    </row>
    <row r="909" spans="7:8" x14ac:dyDescent="0.3">
      <c r="G909" s="802" t="str">
        <f>'Costo Directo'!D908</f>
        <v>MAT-P6-11</v>
      </c>
      <c r="H909" s="803">
        <f>'Costo Directo'!E908</f>
        <v>0</v>
      </c>
    </row>
    <row r="910" spans="7:8" x14ac:dyDescent="0.3">
      <c r="G910" s="802" t="str">
        <f>'Costo Directo'!D909</f>
        <v>MAT-P6-12</v>
      </c>
      <c r="H910" s="803">
        <f>'Costo Directo'!E909</f>
        <v>0</v>
      </c>
    </row>
    <row r="911" spans="7:8" x14ac:dyDescent="0.3">
      <c r="G911" s="802" t="str">
        <f>'Costo Directo'!D910</f>
        <v>MAT-P6-13</v>
      </c>
      <c r="H911" s="803">
        <f>'Costo Directo'!E910</f>
        <v>0</v>
      </c>
    </row>
    <row r="912" spans="7:8" x14ac:dyDescent="0.3">
      <c r="G912" s="802" t="str">
        <f>'Costo Directo'!D911</f>
        <v>MAT-P6-14</v>
      </c>
      <c r="H912" s="803">
        <f>'Costo Directo'!E911</f>
        <v>0</v>
      </c>
    </row>
    <row r="913" spans="7:8" x14ac:dyDescent="0.3">
      <c r="G913" s="802" t="str">
        <f>'Costo Directo'!D912</f>
        <v>MAT-P6-15</v>
      </c>
      <c r="H913" s="803">
        <f>'Costo Directo'!E912</f>
        <v>0</v>
      </c>
    </row>
    <row r="914" spans="7:8" x14ac:dyDescent="0.3">
      <c r="G914" s="802" t="str">
        <f>'Costo Directo'!D913</f>
        <v>MAT-P6-16</v>
      </c>
      <c r="H914" s="803">
        <f>'Costo Directo'!E913</f>
        <v>0</v>
      </c>
    </row>
    <row r="915" spans="7:8" x14ac:dyDescent="0.3">
      <c r="G915" s="802" t="str">
        <f>'Costo Directo'!D914</f>
        <v>MAT-P6-17</v>
      </c>
      <c r="H915" s="803">
        <f>'Costo Directo'!E914</f>
        <v>0</v>
      </c>
    </row>
    <row r="916" spans="7:8" x14ac:dyDescent="0.3">
      <c r="G916" s="802" t="str">
        <f>'Costo Directo'!D915</f>
        <v>MAT-P6-18</v>
      </c>
      <c r="H916" s="803">
        <f>'Costo Directo'!E915</f>
        <v>0</v>
      </c>
    </row>
    <row r="917" spans="7:8" x14ac:dyDescent="0.3">
      <c r="G917" s="802" t="str">
        <f>'Costo Directo'!D916</f>
        <v>MAT-P6-19</v>
      </c>
      <c r="H917" s="803">
        <f>'Costo Directo'!E916</f>
        <v>0</v>
      </c>
    </row>
    <row r="918" spans="7:8" x14ac:dyDescent="0.3">
      <c r="G918" s="802" t="str">
        <f>'Costo Directo'!D918</f>
        <v>P7</v>
      </c>
      <c r="H918" s="803" t="str">
        <f>'Costo Directo'!E918</f>
        <v>Combustibles</v>
      </c>
    </row>
    <row r="919" spans="7:8" x14ac:dyDescent="0.3">
      <c r="G919" s="802" t="str">
        <f>'Costo Directo'!D921</f>
        <v>MAT-P7-1</v>
      </c>
      <c r="H919" s="803">
        <f>'Costo Directo'!E921</f>
        <v>0</v>
      </c>
    </row>
    <row r="920" spans="7:8" x14ac:dyDescent="0.3">
      <c r="G920" s="802" t="str">
        <f>'Costo Directo'!D922</f>
        <v>MAT-P7-2</v>
      </c>
      <c r="H920" s="803">
        <f>'Costo Directo'!E922</f>
        <v>0</v>
      </c>
    </row>
    <row r="921" spans="7:8" x14ac:dyDescent="0.3">
      <c r="G921" s="802" t="str">
        <f>'Costo Directo'!D923</f>
        <v>MAT-P7-3</v>
      </c>
      <c r="H921" s="803">
        <f>'Costo Directo'!E923</f>
        <v>0</v>
      </c>
    </row>
    <row r="922" spans="7:8" x14ac:dyDescent="0.3">
      <c r="G922" s="802" t="str">
        <f>'Costo Directo'!D924</f>
        <v>MAT-P7-4</v>
      </c>
      <c r="H922" s="803">
        <f>'Costo Directo'!E924</f>
        <v>0</v>
      </c>
    </row>
    <row r="923" spans="7:8" x14ac:dyDescent="0.3">
      <c r="G923" s="802" t="str">
        <f>'Costo Directo'!D925</f>
        <v>MAT-P7-5</v>
      </c>
      <c r="H923" s="803">
        <f>'Costo Directo'!E925</f>
        <v>0</v>
      </c>
    </row>
    <row r="924" spans="7:8" x14ac:dyDescent="0.3">
      <c r="G924" s="802" t="str">
        <f>'Costo Directo'!D926</f>
        <v>MAT-P7-6</v>
      </c>
      <c r="H924" s="803">
        <f>'Costo Directo'!E926</f>
        <v>0</v>
      </c>
    </row>
    <row r="925" spans="7:8" x14ac:dyDescent="0.3">
      <c r="G925" s="802" t="str">
        <f>'Costo Directo'!D927</f>
        <v>MAT-P7-7</v>
      </c>
      <c r="H925" s="803">
        <f>'Costo Directo'!E927</f>
        <v>0</v>
      </c>
    </row>
    <row r="926" spans="7:8" x14ac:dyDescent="0.3">
      <c r="G926" s="802" t="str">
        <f>'Costo Directo'!D928</f>
        <v>MAT-P7-8</v>
      </c>
      <c r="H926" s="803">
        <f>'Costo Directo'!E928</f>
        <v>0</v>
      </c>
    </row>
    <row r="927" spans="7:8" x14ac:dyDescent="0.3">
      <c r="G927" s="802" t="str">
        <f>'Costo Directo'!D929</f>
        <v>MAT-P7-9</v>
      </c>
      <c r="H927" s="803">
        <f>'Costo Directo'!E929</f>
        <v>0</v>
      </c>
    </row>
    <row r="928" spans="7:8" x14ac:dyDescent="0.3">
      <c r="G928" s="802" t="str">
        <f>'Costo Directo'!D930</f>
        <v>MAT-P7-10</v>
      </c>
      <c r="H928" s="803">
        <f>'Costo Directo'!E930</f>
        <v>0</v>
      </c>
    </row>
    <row r="929" spans="7:8" x14ac:dyDescent="0.3">
      <c r="G929" s="802" t="str">
        <f>'Costo Directo'!D931</f>
        <v>MAT-P7-11</v>
      </c>
      <c r="H929" s="803">
        <f>'Costo Directo'!E931</f>
        <v>0</v>
      </c>
    </row>
    <row r="930" spans="7:8" x14ac:dyDescent="0.3">
      <c r="G930" s="802" t="str">
        <f>'Costo Directo'!D932</f>
        <v>MAT-P7-12</v>
      </c>
      <c r="H930" s="803">
        <f>'Costo Directo'!E932</f>
        <v>0</v>
      </c>
    </row>
    <row r="931" spans="7:8" x14ac:dyDescent="0.3">
      <c r="G931" s="802" t="str">
        <f>'Costo Directo'!D933</f>
        <v>MAT-P7-13</v>
      </c>
      <c r="H931" s="803">
        <f>'Costo Directo'!E933</f>
        <v>0</v>
      </c>
    </row>
    <row r="932" spans="7:8" x14ac:dyDescent="0.3">
      <c r="G932" s="802" t="str">
        <f>'Costo Directo'!D935</f>
        <v>P8</v>
      </c>
      <c r="H932" s="803" t="str">
        <f>'Costo Directo'!E935</f>
        <v>Madera, Ferretería, Herramienta</v>
      </c>
    </row>
    <row r="933" spans="7:8" x14ac:dyDescent="0.3">
      <c r="G933" s="802" t="str">
        <f>'Costo Directo'!D938</f>
        <v>MAT-P8-1</v>
      </c>
      <c r="H933" s="803">
        <f>'Costo Directo'!E938</f>
        <v>0</v>
      </c>
    </row>
    <row r="934" spans="7:8" x14ac:dyDescent="0.3">
      <c r="G934" s="802" t="str">
        <f>'Costo Directo'!D939</f>
        <v>MAT-P8-2</v>
      </c>
      <c r="H934" s="803">
        <f>'Costo Directo'!E939</f>
        <v>0</v>
      </c>
    </row>
    <row r="935" spans="7:8" x14ac:dyDescent="0.3">
      <c r="G935" s="802" t="str">
        <f>'Costo Directo'!D940</f>
        <v>MAT-P8-3</v>
      </c>
      <c r="H935" s="803">
        <f>'Costo Directo'!E940</f>
        <v>0</v>
      </c>
    </row>
    <row r="936" spans="7:8" x14ac:dyDescent="0.3">
      <c r="G936" s="802" t="str">
        <f>'Costo Directo'!D941</f>
        <v>MAT-P8-4</v>
      </c>
      <c r="H936" s="803">
        <f>'Costo Directo'!E941</f>
        <v>0</v>
      </c>
    </row>
    <row r="937" spans="7:8" x14ac:dyDescent="0.3">
      <c r="G937" s="802" t="str">
        <f>'Costo Directo'!D943</f>
        <v>P9</v>
      </c>
      <c r="H937" s="803" t="str">
        <f>'Costo Directo'!E943</f>
        <v>HERRAMIENTA MENOR Y EPP</v>
      </c>
    </row>
    <row r="938" spans="7:8" x14ac:dyDescent="0.3">
      <c r="G938" s="802" t="str">
        <f>'Costo Directo'!D946</f>
        <v>MAT-P9-1</v>
      </c>
      <c r="H938" s="803" t="str">
        <f>'Costo Directo'!E946</f>
        <v>EPP</v>
      </c>
    </row>
    <row r="939" spans="7:8" x14ac:dyDescent="0.3">
      <c r="G939" s="802" t="str">
        <f>'Costo Directo'!D947</f>
        <v>MAT-P9-2</v>
      </c>
      <c r="H939" s="803" t="str">
        <f>'Costo Directo'!E947</f>
        <v>HERRAMIENTA MENOR</v>
      </c>
    </row>
    <row r="940" spans="7:8" x14ac:dyDescent="0.3">
      <c r="G940" s="802" t="str">
        <f>'Costo Directo'!D949</f>
        <v>P10</v>
      </c>
      <c r="H940" s="803" t="str">
        <f>'Costo Directo'!E949</f>
        <v>Mangueras y Reparaciones</v>
      </c>
    </row>
    <row r="941" spans="7:8" x14ac:dyDescent="0.3">
      <c r="G941" s="802" t="str">
        <f>'Costo Directo'!D952</f>
        <v>MAT-P10-1</v>
      </c>
      <c r="H941" s="803">
        <f>'Costo Directo'!E952</f>
        <v>0</v>
      </c>
    </row>
    <row r="942" spans="7:8" x14ac:dyDescent="0.3">
      <c r="G942" s="802" t="str">
        <f>'Costo Directo'!D953</f>
        <v>MAT-P10-2</v>
      </c>
      <c r="H942" s="803">
        <f>'Costo Directo'!E953</f>
        <v>0</v>
      </c>
    </row>
    <row r="943" spans="7:8" x14ac:dyDescent="0.3">
      <c r="G943" s="802" t="str">
        <f>'Costo Directo'!D954</f>
        <v>MAT-P10-3</v>
      </c>
      <c r="H943" s="803">
        <f>'Costo Directo'!E954</f>
        <v>0</v>
      </c>
    </row>
    <row r="944" spans="7:8" x14ac:dyDescent="0.3">
      <c r="G944" s="802" t="str">
        <f>'Costo Directo'!D1197</f>
        <v>AC</v>
      </c>
      <c r="H944" s="803" t="str">
        <f>'Costo Directo'!E1197</f>
        <v>Activos</v>
      </c>
    </row>
    <row r="945" spans="7:8" x14ac:dyDescent="0.3">
      <c r="G945" s="802" t="str">
        <f>'Costo Directo'!D1200</f>
        <v>AC1</v>
      </c>
      <c r="H945" s="803" t="str">
        <f>'Costo Directo'!E1200</f>
        <v>Equipo de cómputo y oficina</v>
      </c>
    </row>
    <row r="946" spans="7:8" x14ac:dyDescent="0.3">
      <c r="G946" s="802" t="str">
        <f>'Costo Directo'!D1201</f>
        <v>AC2</v>
      </c>
      <c r="H946" s="803" t="str">
        <f>'Costo Directo'!E1201</f>
        <v>Maquinaria (Equipo Menor)</v>
      </c>
    </row>
    <row r="947" spans="7:8" x14ac:dyDescent="0.3">
      <c r="G947" s="802" t="str">
        <f>'Costo Directo'!D1202</f>
        <v>AC3</v>
      </c>
      <c r="H947" s="803" t="str">
        <f>'Costo Directo'!E1202</f>
        <v>Maquinaria (Equipo Mayor)</v>
      </c>
    </row>
    <row r="948" spans="7:8" x14ac:dyDescent="0.3">
      <c r="G948" s="802" t="str">
        <f>'Costo Directo'!D1203</f>
        <v>AC4</v>
      </c>
      <c r="H948" s="803" t="str">
        <f>'Costo Directo'!E1203</f>
        <v>Mobiliario campamentos</v>
      </c>
    </row>
    <row r="949" spans="7:8" x14ac:dyDescent="0.3">
      <c r="G949" s="802" t="str">
        <f>'Costo Directo'!D1204</f>
        <v>AC5</v>
      </c>
      <c r="H949" s="803" t="str">
        <f>'Costo Directo'!E1204</f>
        <v>Mobiliario y equipamiento obra</v>
      </c>
    </row>
    <row r="950" spans="7:8" ht="15" thickBot="1" x14ac:dyDescent="0.35">
      <c r="G950" s="804" t="str">
        <f>'Costo Directo'!D1205</f>
        <v>AC6</v>
      </c>
      <c r="H950" s="805" t="str">
        <f>'Costo Directo'!E1205</f>
        <v>Vehículos utilitarios</v>
      </c>
    </row>
  </sheetData>
  <sortState xmlns:xlrd2="http://schemas.microsoft.com/office/spreadsheetml/2017/richdata2" ref="J6:J15">
    <sortCondition ref="J5:J15"/>
  </sortState>
  <mergeCells count="9">
    <mergeCell ref="B2:B3"/>
    <mergeCell ref="P2:P3"/>
    <mergeCell ref="N2:N3"/>
    <mergeCell ref="L2:L3"/>
    <mergeCell ref="C2:C3"/>
    <mergeCell ref="D2:E2"/>
    <mergeCell ref="G2:G3"/>
    <mergeCell ref="H2:H3"/>
    <mergeCell ref="J2:J3"/>
  </mergeCells>
  <phoneticPr fontId="6" type="noConversion"/>
  <pageMargins left="0.7" right="0.7" top="0.75" bottom="0.75" header="0.3" footer="0.3"/>
  <pageSetup paperSize="9" orientation="portrait" horizontalDpi="300" verticalDpi="300" r:id="rId1"/>
  <ignoredErrors>
    <ignoredError sqref="B5:B52" numberStoredAsText="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D3E86-7745-42DB-B484-ADFF24E2774E}">
  <sheetPr codeName="Hoja5" filterMode="1"/>
  <dimension ref="A1:EI1211"/>
  <sheetViews>
    <sheetView zoomScale="60" zoomScaleNormal="60" workbookViewId="0">
      <pane xSplit="10" ySplit="12" topLeftCell="BG13" activePane="bottomRight" state="frozen"/>
      <selection activeCell="BQ475" sqref="BQ475"/>
      <selection pane="topRight" activeCell="BQ475" sqref="BQ475"/>
      <selection pane="bottomLeft" activeCell="BQ475" sqref="BQ475"/>
      <selection pane="bottomRight" activeCell="D30" sqref="D30"/>
    </sheetView>
  </sheetViews>
  <sheetFormatPr baseColWidth="10" defaultColWidth="11.44140625" defaultRowHeight="13.8" outlineLevelRow="1" outlineLevelCol="2" x14ac:dyDescent="0.3"/>
  <cols>
    <col min="1" max="1" width="7.21875" style="66" customWidth="1"/>
    <col min="2" max="2" width="0.77734375" style="66" customWidth="1"/>
    <col min="3" max="3" width="12.33203125" style="66" customWidth="1"/>
    <col min="4" max="4" width="14.33203125" style="66" customWidth="1"/>
    <col min="5" max="5" width="46.44140625" style="66" customWidth="1"/>
    <col min="6" max="6" width="9.5546875" style="66" customWidth="1"/>
    <col min="7" max="8" width="16.109375" style="66" customWidth="1"/>
    <col min="9" max="9" width="12.21875" style="66" customWidth="1"/>
    <col min="10" max="10" width="22.5546875" style="66" customWidth="1"/>
    <col min="11" max="11" width="5.44140625" style="66" customWidth="1" outlineLevel="2"/>
    <col min="12" max="59" width="19.33203125" style="66" customWidth="1" outlineLevel="2"/>
    <col min="60" max="60" width="0.77734375" style="66" customWidth="1" outlineLevel="2"/>
    <col min="61" max="61" width="2.5546875" style="66" customWidth="1"/>
    <col min="62" max="62" width="11.44140625" style="66" bestFit="1" customWidth="1"/>
    <col min="63" max="63" width="26.21875" style="66" customWidth="1"/>
    <col min="64" max="64" width="4" style="66" customWidth="1"/>
    <col min="65" max="112" width="17.77734375" style="66" customWidth="1"/>
    <col min="113" max="113" width="3" style="66" customWidth="1"/>
    <col min="114" max="139" width="11.44140625" style="66"/>
    <col min="140" max="16384" width="11.44140625" style="18"/>
  </cols>
  <sheetData>
    <row r="1" spans="1:112" s="66" customFormat="1" x14ac:dyDescent="0.3">
      <c r="F1" s="67" t="s">
        <v>458</v>
      </c>
    </row>
    <row r="2" spans="1:112" s="66" customFormat="1" ht="14.4" thickBot="1" x14ac:dyDescent="0.35">
      <c r="C2" s="68"/>
      <c r="D2" s="68"/>
      <c r="E2" s="68"/>
      <c r="F2" s="69" t="s">
        <v>459</v>
      </c>
      <c r="G2" s="68"/>
      <c r="H2" s="68"/>
      <c r="I2" s="68"/>
      <c r="J2" s="68"/>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68"/>
      <c r="BL2" s="68"/>
    </row>
    <row r="3" spans="1:112" s="66" customFormat="1" ht="36" customHeight="1" thickTop="1" thickBot="1" x14ac:dyDescent="0.4">
      <c r="D3" s="586" t="str">
        <f>'Resumen Ejecutivo'!C2</f>
        <v>PROYECTO:</v>
      </c>
      <c r="E3" s="996" t="str">
        <f>IF('Resumen Ejecutivo'!D2=0,"",'Resumen Ejecutivo'!D2)</f>
        <v>CONSTRUCCIÓN DE 50 PILAS DE CONCRETO ARMADO PARA PMI'S EN EL ESTADO DE TAMAULIPAS (TAMPICO Y MANTE)</v>
      </c>
      <c r="F3" s="996"/>
      <c r="G3" s="996"/>
      <c r="H3" s="71"/>
      <c r="I3" s="30" t="s">
        <v>84</v>
      </c>
      <c r="J3" s="526">
        <v>21</v>
      </c>
      <c r="K3" s="72"/>
      <c r="L3" s="97"/>
      <c r="M3" s="97"/>
      <c r="N3" s="750"/>
      <c r="O3" s="750"/>
      <c r="P3" s="751"/>
      <c r="Q3" s="751"/>
      <c r="R3" s="750"/>
      <c r="S3" s="750"/>
      <c r="T3" s="70"/>
      <c r="U3" s="70"/>
      <c r="V3" s="93"/>
      <c r="W3" s="93"/>
      <c r="X3" s="752"/>
      <c r="Y3" s="752"/>
      <c r="Z3" s="70"/>
      <c r="AA3" s="70"/>
      <c r="AB3" s="70"/>
      <c r="AC3" s="70"/>
      <c r="AD3" s="753"/>
      <c r="AE3" s="753"/>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68"/>
      <c r="BL3" s="68"/>
    </row>
    <row r="4" spans="1:112" s="66" customFormat="1" ht="26.55" customHeight="1" thickTop="1" thickBot="1" x14ac:dyDescent="0.4">
      <c r="D4" s="586" t="str">
        <f>'Resumen Ejecutivo'!C3</f>
        <v>CLIENTE:</v>
      </c>
      <c r="E4" s="997" t="str">
        <f>IF('Resumen Ejecutivo'!D3=0,"",'Resumen Ejecutivo'!D3)</f>
        <v>SYM KABAT</v>
      </c>
      <c r="F4" s="997"/>
      <c r="G4" s="997"/>
      <c r="H4" s="73"/>
      <c r="I4" s="73"/>
      <c r="J4" s="73"/>
      <c r="K4" s="72"/>
      <c r="L4" s="97"/>
      <c r="M4" s="97"/>
      <c r="N4" s="750"/>
      <c r="O4" s="750"/>
      <c r="P4" s="751"/>
      <c r="Q4" s="751"/>
      <c r="R4" s="750"/>
      <c r="S4" s="750"/>
      <c r="T4" s="70"/>
      <c r="U4" s="70"/>
      <c r="V4" s="93"/>
      <c r="W4" s="93"/>
      <c r="X4" s="752"/>
      <c r="Y4" s="752"/>
      <c r="Z4" s="70"/>
      <c r="AA4" s="70"/>
      <c r="AB4" s="70"/>
      <c r="AC4" s="70"/>
      <c r="AD4" s="753"/>
      <c r="AE4" s="753"/>
      <c r="AF4" s="70"/>
      <c r="AG4" s="70"/>
      <c r="AH4" s="70"/>
      <c r="AI4" s="70"/>
      <c r="AJ4" s="70"/>
      <c r="AK4" s="70"/>
      <c r="AL4" s="70"/>
      <c r="AM4" s="70"/>
      <c r="AN4" s="70"/>
      <c r="AO4" s="70"/>
      <c r="AP4" s="70"/>
      <c r="AQ4" s="70"/>
      <c r="AR4" s="70"/>
      <c r="AS4" s="70"/>
      <c r="AT4" s="70"/>
      <c r="AU4" s="70"/>
      <c r="AV4" s="70"/>
      <c r="AW4" s="70"/>
      <c r="AX4" s="70"/>
      <c r="AY4" s="70"/>
      <c r="AZ4" s="70"/>
      <c r="BA4" s="70"/>
      <c r="BB4" s="70"/>
      <c r="BC4" s="70"/>
      <c r="BD4" s="70"/>
      <c r="BE4" s="70"/>
      <c r="BF4" s="70"/>
      <c r="BG4" s="70"/>
      <c r="BH4" s="70"/>
      <c r="BI4" s="68"/>
      <c r="BL4" s="68"/>
    </row>
    <row r="5" spans="1:112" s="66" customFormat="1" ht="17.850000000000001" customHeight="1" thickBot="1" x14ac:dyDescent="0.4">
      <c r="F5" s="73"/>
      <c r="G5" s="73"/>
      <c r="H5" s="74" t="str">
        <f>'Indirect Costs'!G4</f>
        <v>MESES DE EJECUCIÓN :</v>
      </c>
      <c r="I5" s="75"/>
      <c r="J5" s="76">
        <v>1</v>
      </c>
      <c r="K5" s="72"/>
      <c r="L5" s="97"/>
      <c r="M5" s="97"/>
      <c r="N5" s="750"/>
      <c r="O5" s="750"/>
      <c r="P5" s="751"/>
      <c r="Q5" s="751"/>
      <c r="R5" s="750"/>
      <c r="S5" s="750"/>
      <c r="T5" s="70"/>
      <c r="U5" s="70"/>
      <c r="V5" s="93"/>
      <c r="W5" s="93"/>
      <c r="X5" s="752"/>
      <c r="Y5" s="752"/>
      <c r="Z5" s="70"/>
      <c r="AA5" s="70"/>
      <c r="AB5" s="70"/>
      <c r="AC5" s="70"/>
      <c r="AD5" s="753"/>
      <c r="AE5" s="753"/>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68"/>
      <c r="BL5" s="68"/>
    </row>
    <row r="6" spans="1:112" s="66" customFormat="1" ht="18" customHeight="1" thickBot="1" x14ac:dyDescent="0.4">
      <c r="C6" s="77"/>
      <c r="D6" s="77"/>
      <c r="E6" s="78"/>
      <c r="F6" s="73"/>
      <c r="G6" s="73"/>
      <c r="H6" s="74" t="s">
        <v>460</v>
      </c>
      <c r="I6" s="75"/>
      <c r="J6" s="79"/>
      <c r="K6" s="72"/>
      <c r="L6" s="754">
        <f>L10/2</f>
        <v>534307.44251939037</v>
      </c>
      <c r="M6" s="754"/>
      <c r="N6" s="754">
        <f>N10/2</f>
        <v>26254.520089285736</v>
      </c>
      <c r="O6" s="754"/>
      <c r="P6" s="754">
        <f>P10/2</f>
        <v>55107.978809285734</v>
      </c>
      <c r="Q6" s="754"/>
      <c r="R6" s="754">
        <f>R10/2</f>
        <v>35442.073660714304</v>
      </c>
      <c r="S6" s="754"/>
      <c r="T6" s="70"/>
      <c r="U6" s="70"/>
      <c r="V6" s="93"/>
      <c r="W6" s="93"/>
      <c r="X6" s="752"/>
      <c r="Y6" s="752"/>
      <c r="Z6" s="70"/>
      <c r="AA6" s="70"/>
      <c r="AB6" s="70"/>
      <c r="AC6" s="70"/>
      <c r="AD6" s="753"/>
      <c r="AE6" s="753"/>
      <c r="AF6" s="70"/>
      <c r="AG6" s="70"/>
      <c r="AH6" s="70"/>
      <c r="AI6" s="70"/>
      <c r="AJ6" s="70"/>
      <c r="AK6" s="70"/>
      <c r="AL6" s="70"/>
      <c r="AM6" s="70"/>
      <c r="AN6" s="70"/>
      <c r="AO6" s="70"/>
      <c r="AP6" s="70"/>
      <c r="AQ6" s="70"/>
      <c r="AR6" s="70"/>
      <c r="AS6" s="70"/>
      <c r="AT6" s="70"/>
      <c r="AU6" s="70"/>
      <c r="AV6" s="70"/>
      <c r="AW6" s="70"/>
      <c r="AX6" s="70"/>
      <c r="AY6" s="70"/>
      <c r="AZ6" s="70"/>
      <c r="BA6" s="70"/>
      <c r="BB6" s="70"/>
      <c r="BC6" s="70"/>
      <c r="BD6" s="70"/>
      <c r="BE6" s="70"/>
      <c r="BF6" s="70"/>
      <c r="BG6" s="70"/>
      <c r="BH6" s="70"/>
      <c r="BI6" s="68"/>
      <c r="BL6" s="68"/>
    </row>
    <row r="7" spans="1:112" s="66" customFormat="1" ht="18" customHeight="1" thickBot="1" x14ac:dyDescent="0.4">
      <c r="C7" s="77"/>
      <c r="D7" s="77"/>
      <c r="E7" s="78"/>
      <c r="F7" s="73"/>
      <c r="G7" s="73"/>
      <c r="H7" s="74" t="s">
        <v>461</v>
      </c>
      <c r="I7" s="75"/>
      <c r="J7" s="603">
        <f>24/1.16</f>
        <v>20.689655172413794</v>
      </c>
      <c r="K7" s="72"/>
      <c r="L7" s="754"/>
      <c r="M7" s="754"/>
      <c r="N7" s="754"/>
      <c r="O7" s="754"/>
      <c r="P7" s="751"/>
      <c r="Q7" s="751"/>
      <c r="R7" s="750"/>
      <c r="S7" s="750"/>
      <c r="T7" s="70"/>
      <c r="U7" s="70"/>
      <c r="V7" s="93"/>
      <c r="W7" s="93"/>
      <c r="X7" s="752"/>
      <c r="Y7" s="752"/>
      <c r="Z7" s="70"/>
      <c r="AA7" s="70"/>
      <c r="AB7" s="70"/>
      <c r="AC7" s="70"/>
      <c r="AD7" s="753"/>
      <c r="AE7" s="753"/>
      <c r="AF7" s="70"/>
      <c r="AG7" s="70"/>
      <c r="AH7" s="70"/>
      <c r="AI7" s="70"/>
      <c r="AJ7" s="70"/>
      <c r="AK7" s="70"/>
      <c r="AL7" s="70"/>
      <c r="AM7" s="70"/>
      <c r="AN7" s="70"/>
      <c r="AO7" s="70"/>
      <c r="AP7" s="70"/>
      <c r="AQ7" s="70"/>
      <c r="AR7" s="70"/>
      <c r="AS7" s="70"/>
      <c r="AT7" s="70"/>
      <c r="AU7" s="70"/>
      <c r="AV7" s="70"/>
      <c r="AW7" s="70"/>
      <c r="AX7" s="70"/>
      <c r="AY7" s="70"/>
      <c r="AZ7" s="70"/>
      <c r="BA7" s="70"/>
      <c r="BB7" s="70"/>
      <c r="BC7" s="70"/>
      <c r="BD7" s="70"/>
      <c r="BE7" s="70"/>
      <c r="BF7" s="70"/>
      <c r="BG7" s="70"/>
      <c r="BH7" s="70"/>
      <c r="BI7" s="68"/>
      <c r="BL7" s="68"/>
    </row>
    <row r="8" spans="1:112" s="66" customFormat="1" ht="16.2" thickBot="1" x14ac:dyDescent="0.35">
      <c r="C8" s="80"/>
      <c r="D8" s="80"/>
      <c r="E8" s="80"/>
      <c r="F8" s="80"/>
      <c r="G8" s="80"/>
      <c r="H8" s="80"/>
      <c r="I8" s="81"/>
      <c r="J8" s="82"/>
      <c r="K8" s="70"/>
      <c r="L8" s="755" t="s">
        <v>462</v>
      </c>
      <c r="M8" s="756"/>
      <c r="N8" s="757"/>
      <c r="O8" s="757"/>
      <c r="P8" s="758"/>
      <c r="Q8" s="758"/>
      <c r="R8" s="759"/>
      <c r="S8" s="759"/>
      <c r="T8" s="994"/>
      <c r="U8" s="994"/>
      <c r="V8" s="995"/>
      <c r="W8" s="604"/>
      <c r="X8" s="756"/>
      <c r="Y8" s="756"/>
      <c r="Z8" s="756"/>
      <c r="AA8" s="756"/>
      <c r="AB8" s="756"/>
      <c r="AC8" s="756"/>
      <c r="AD8" s="756"/>
      <c r="AE8" s="756"/>
      <c r="AF8" s="756"/>
      <c r="AG8" s="756"/>
      <c r="AH8" s="756"/>
      <c r="AI8" s="756"/>
      <c r="AJ8" s="756"/>
      <c r="AK8" s="756"/>
      <c r="AL8" s="756"/>
      <c r="AM8" s="756"/>
      <c r="AN8" s="756"/>
      <c r="AO8" s="756"/>
      <c r="AP8" s="756"/>
      <c r="AQ8" s="756"/>
      <c r="AR8" s="756"/>
      <c r="AS8" s="756"/>
      <c r="AT8" s="756"/>
      <c r="AU8" s="756"/>
      <c r="AV8" s="756"/>
      <c r="AW8" s="756"/>
      <c r="AX8" s="756"/>
      <c r="AY8" s="756"/>
      <c r="AZ8" s="756"/>
      <c r="BA8" s="756"/>
      <c r="BB8" s="756"/>
      <c r="BC8" s="756"/>
      <c r="BD8" s="756"/>
      <c r="BE8" s="756"/>
      <c r="BF8" s="756"/>
      <c r="BG8" s="756"/>
      <c r="BH8" s="760"/>
      <c r="BI8" s="68"/>
      <c r="BJ8" s="154"/>
      <c r="BK8" s="154"/>
      <c r="BL8" s="68"/>
      <c r="BM8" s="154"/>
      <c r="BN8" s="154"/>
      <c r="BO8" s="154"/>
      <c r="BP8" s="154"/>
      <c r="BQ8" s="154"/>
      <c r="BR8" s="154"/>
      <c r="BS8" s="154"/>
      <c r="BT8" s="154"/>
      <c r="BU8" s="154"/>
      <c r="BV8" s="154"/>
      <c r="BW8" s="154"/>
      <c r="BX8" s="154"/>
      <c r="BY8" s="154"/>
      <c r="BZ8" s="154"/>
      <c r="CA8" s="154"/>
      <c r="CB8" s="154"/>
      <c r="CC8" s="154"/>
      <c r="CD8" s="154"/>
      <c r="CE8" s="154"/>
      <c r="CF8" s="154"/>
      <c r="CG8" s="154"/>
      <c r="CH8" s="154"/>
      <c r="CI8" s="154"/>
      <c r="CJ8" s="154"/>
      <c r="CK8" s="154"/>
      <c r="CL8" s="154"/>
      <c r="CM8" s="154"/>
      <c r="CN8" s="154"/>
      <c r="CO8" s="154"/>
      <c r="CP8" s="154"/>
      <c r="CQ8" s="154"/>
      <c r="CR8" s="154"/>
      <c r="CS8" s="154"/>
      <c r="CT8" s="154"/>
      <c r="CU8" s="154"/>
      <c r="CV8" s="154"/>
      <c r="CW8" s="154"/>
      <c r="CX8" s="154"/>
      <c r="CY8" s="154"/>
      <c r="CZ8" s="154"/>
      <c r="DA8" s="154"/>
      <c r="DB8" s="154"/>
      <c r="DC8" s="154"/>
      <c r="DD8" s="154"/>
      <c r="DE8" s="154"/>
      <c r="DF8" s="154"/>
      <c r="DG8" s="154"/>
      <c r="DH8" s="154"/>
    </row>
    <row r="9" spans="1:112" ht="28.35" customHeight="1" thickBot="1" x14ac:dyDescent="0.35">
      <c r="C9" s="83" t="s">
        <v>463</v>
      </c>
      <c r="D9" s="85" t="s">
        <v>87</v>
      </c>
      <c r="E9" s="84" t="s">
        <v>464</v>
      </c>
      <c r="F9" s="84" t="s">
        <v>464</v>
      </c>
      <c r="G9" s="84" t="s">
        <v>464</v>
      </c>
      <c r="H9" s="85" t="s">
        <v>465</v>
      </c>
      <c r="I9" s="85" t="s">
        <v>466</v>
      </c>
      <c r="J9" s="86"/>
      <c r="L9" s="761" t="s">
        <v>378</v>
      </c>
      <c r="M9" s="762" t="s">
        <v>129</v>
      </c>
      <c r="N9" s="762" t="s">
        <v>142</v>
      </c>
      <c r="O9" s="762" t="s">
        <v>290</v>
      </c>
      <c r="P9" s="762" t="s">
        <v>383</v>
      </c>
      <c r="Q9" s="762" t="s">
        <v>385</v>
      </c>
      <c r="R9" s="762" t="s">
        <v>387</v>
      </c>
      <c r="S9" s="762" t="s">
        <v>389</v>
      </c>
      <c r="T9" s="762" t="s">
        <v>392</v>
      </c>
      <c r="U9" s="762" t="s">
        <v>394</v>
      </c>
      <c r="V9" s="762" t="s">
        <v>396</v>
      </c>
      <c r="W9" s="762" t="s">
        <v>398</v>
      </c>
      <c r="X9" s="762" t="s">
        <v>400</v>
      </c>
      <c r="Y9" s="762" t="s">
        <v>402</v>
      </c>
      <c r="Z9" s="762" t="s">
        <v>403</v>
      </c>
      <c r="AA9" s="762" t="s">
        <v>405</v>
      </c>
      <c r="AB9" s="762" t="s">
        <v>407</v>
      </c>
      <c r="AC9" s="762" t="s">
        <v>409</v>
      </c>
      <c r="AD9" s="762" t="s">
        <v>411</v>
      </c>
      <c r="AE9" s="762" t="s">
        <v>413</v>
      </c>
      <c r="AF9" s="762" t="s">
        <v>415</v>
      </c>
      <c r="AG9" s="762" t="s">
        <v>417</v>
      </c>
      <c r="AH9" s="762" t="s">
        <v>419</v>
      </c>
      <c r="AI9" s="762" t="s">
        <v>421</v>
      </c>
      <c r="AJ9" s="762" t="s">
        <v>423</v>
      </c>
      <c r="AK9" s="762" t="s">
        <v>425</v>
      </c>
      <c r="AL9" s="762" t="s">
        <v>427</v>
      </c>
      <c r="AM9" s="762" t="s">
        <v>429</v>
      </c>
      <c r="AN9" s="762" t="s">
        <v>431</v>
      </c>
      <c r="AO9" s="762" t="s">
        <v>433</v>
      </c>
      <c r="AP9" s="762" t="s">
        <v>435</v>
      </c>
      <c r="AQ9" s="762" t="s">
        <v>437</v>
      </c>
      <c r="AR9" s="762" t="s">
        <v>439</v>
      </c>
      <c r="AS9" s="762" t="s">
        <v>441</v>
      </c>
      <c r="AT9" s="762" t="s">
        <v>443</v>
      </c>
      <c r="AU9" s="762" t="s">
        <v>445</v>
      </c>
      <c r="AV9" s="762" t="s">
        <v>447</v>
      </c>
      <c r="AW9" s="762" t="s">
        <v>449</v>
      </c>
      <c r="AX9" s="762" t="s">
        <v>2100</v>
      </c>
      <c r="AY9" s="762" t="s">
        <v>2101</v>
      </c>
      <c r="AZ9" s="762" t="s">
        <v>2102</v>
      </c>
      <c r="BA9" s="762" t="s">
        <v>2103</v>
      </c>
      <c r="BB9" s="762" t="s">
        <v>2104</v>
      </c>
      <c r="BC9" s="762" t="s">
        <v>2105</v>
      </c>
      <c r="BD9" s="762" t="s">
        <v>2106</v>
      </c>
      <c r="BE9" s="762" t="s">
        <v>2107</v>
      </c>
      <c r="BF9" s="762" t="s">
        <v>2108</v>
      </c>
      <c r="BG9" s="763" t="s">
        <v>2109</v>
      </c>
      <c r="BH9" s="599"/>
      <c r="BI9" s="68"/>
      <c r="BJ9" s="156" t="s">
        <v>467</v>
      </c>
      <c r="BK9" s="157" t="s">
        <v>468</v>
      </c>
      <c r="BL9" s="155"/>
      <c r="BM9" s="441" t="str">
        <f>L9</f>
        <v>JUN 2025 Q1</v>
      </c>
      <c r="BN9" s="441" t="str">
        <f t="shared" ref="BN9:DH9" si="0">M9</f>
        <v>JUN 2025 Q2</v>
      </c>
      <c r="BO9" s="441" t="str">
        <f t="shared" si="0"/>
        <v>JUL 2025 Q1</v>
      </c>
      <c r="BP9" s="441" t="str">
        <f t="shared" si="0"/>
        <v>JUL 2025 Q2</v>
      </c>
      <c r="BQ9" s="441" t="str">
        <f t="shared" si="0"/>
        <v>AGO 2025 Q1</v>
      </c>
      <c r="BR9" s="441" t="str">
        <f t="shared" si="0"/>
        <v>AGO 2025 Q2</v>
      </c>
      <c r="BS9" s="441" t="str">
        <f t="shared" si="0"/>
        <v>SEP 2025 Q1</v>
      </c>
      <c r="BT9" s="441" t="str">
        <f t="shared" si="0"/>
        <v>SEP 2025 Q2</v>
      </c>
      <c r="BU9" s="441" t="str">
        <f t="shared" si="0"/>
        <v>OCT 2025 Q1</v>
      </c>
      <c r="BV9" s="441" t="str">
        <f t="shared" si="0"/>
        <v>OCT 2025 Q2</v>
      </c>
      <c r="BW9" s="441" t="str">
        <f t="shared" si="0"/>
        <v>NOV 2025 Q1</v>
      </c>
      <c r="BX9" s="441" t="str">
        <f t="shared" si="0"/>
        <v>NOV 2025 Q2</v>
      </c>
      <c r="BY9" s="441" t="str">
        <f t="shared" si="0"/>
        <v>DIC 2025 Q1</v>
      </c>
      <c r="BZ9" s="441" t="str">
        <f t="shared" si="0"/>
        <v>DIC 2025 Q2</v>
      </c>
      <c r="CA9" s="441" t="str">
        <f t="shared" si="0"/>
        <v>ENE 2026 Q1</v>
      </c>
      <c r="CB9" s="441" t="str">
        <f t="shared" si="0"/>
        <v>ENE 2026 Q2</v>
      </c>
      <c r="CC9" s="441" t="str">
        <f t="shared" si="0"/>
        <v>FEB 2026 Q1</v>
      </c>
      <c r="CD9" s="441" t="str">
        <f t="shared" si="0"/>
        <v>FEB 2026 Q2</v>
      </c>
      <c r="CE9" s="441" t="str">
        <f t="shared" si="0"/>
        <v>MAR 2026 Q1</v>
      </c>
      <c r="CF9" s="441" t="str">
        <f t="shared" si="0"/>
        <v>MAR 2026 Q2</v>
      </c>
      <c r="CG9" s="441" t="str">
        <f t="shared" si="0"/>
        <v>ABR 2026 Q1</v>
      </c>
      <c r="CH9" s="441" t="str">
        <f t="shared" si="0"/>
        <v>ABR 2026 Q2</v>
      </c>
      <c r="CI9" s="441" t="str">
        <f t="shared" si="0"/>
        <v>MAY 2026 Q1</v>
      </c>
      <c r="CJ9" s="441" t="str">
        <f t="shared" si="0"/>
        <v>MAY 2026 Q2</v>
      </c>
      <c r="CK9" s="441" t="str">
        <f t="shared" si="0"/>
        <v>JUN 2026 Q1</v>
      </c>
      <c r="CL9" s="441" t="str">
        <f t="shared" si="0"/>
        <v>JUN 2026 Q2</v>
      </c>
      <c r="CM9" s="441" t="str">
        <f t="shared" si="0"/>
        <v>JUL 2026 Q1</v>
      </c>
      <c r="CN9" s="441" t="str">
        <f t="shared" si="0"/>
        <v>JUL 2026 Q2</v>
      </c>
      <c r="CO9" s="441" t="str">
        <f t="shared" si="0"/>
        <v>AGO 2026 Q1</v>
      </c>
      <c r="CP9" s="441" t="str">
        <f t="shared" si="0"/>
        <v>AGO 2026 Q2</v>
      </c>
      <c r="CQ9" s="441" t="str">
        <f t="shared" si="0"/>
        <v>SEP 2026 Q1</v>
      </c>
      <c r="CR9" s="441" t="str">
        <f t="shared" si="0"/>
        <v>SEP 2026 Q2</v>
      </c>
      <c r="CS9" s="441" t="str">
        <f t="shared" si="0"/>
        <v>OCT 2026 Q1</v>
      </c>
      <c r="CT9" s="441" t="str">
        <f t="shared" si="0"/>
        <v>OCT 2026 Q2</v>
      </c>
      <c r="CU9" s="441" t="str">
        <f t="shared" si="0"/>
        <v>NOV 2026 Q1</v>
      </c>
      <c r="CV9" s="441" t="str">
        <f t="shared" si="0"/>
        <v>NOV 2026 Q2</v>
      </c>
      <c r="CW9" s="441" t="str">
        <f t="shared" si="0"/>
        <v>DIC 2026 Q1</v>
      </c>
      <c r="CX9" s="441" t="str">
        <f t="shared" si="0"/>
        <v>DIC 2026 Q2</v>
      </c>
      <c r="CY9" s="441" t="str">
        <f t="shared" si="0"/>
        <v>ENE 2027 Q1</v>
      </c>
      <c r="CZ9" s="441" t="str">
        <f t="shared" si="0"/>
        <v>ENE 2027 Q2</v>
      </c>
      <c r="DA9" s="441" t="str">
        <f t="shared" si="0"/>
        <v>FEB 2027 Q1</v>
      </c>
      <c r="DB9" s="441" t="str">
        <f t="shared" si="0"/>
        <v>FEB 2027 Q2</v>
      </c>
      <c r="DC9" s="441" t="str">
        <f t="shared" si="0"/>
        <v>MAR 2027 Q1</v>
      </c>
      <c r="DD9" s="441" t="str">
        <f t="shared" si="0"/>
        <v>MAR 2027 Q2</v>
      </c>
      <c r="DE9" s="441" t="str">
        <f t="shared" si="0"/>
        <v>ABR 2027 Q1</v>
      </c>
      <c r="DF9" s="441" t="str">
        <f t="shared" si="0"/>
        <v>ABR 2027 Q2</v>
      </c>
      <c r="DG9" s="441" t="str">
        <f t="shared" si="0"/>
        <v>MAY 2027 Q1</v>
      </c>
      <c r="DH9" s="442" t="str">
        <f t="shared" si="0"/>
        <v>MAY 2027 Q2</v>
      </c>
    </row>
    <row r="10" spans="1:112" ht="14.4" thickBot="1" x14ac:dyDescent="0.35">
      <c r="C10" s="316">
        <f>+J10/SUM(L14:BG14)</f>
        <v>21.406521361552553</v>
      </c>
      <c r="D10" s="317"/>
      <c r="E10" s="87"/>
      <c r="F10" s="88"/>
      <c r="G10" s="88"/>
      <c r="H10" s="520">
        <f>IFERROR(+J10/J6,0)</f>
        <v>0</v>
      </c>
      <c r="I10" s="520"/>
      <c r="J10" s="521">
        <f>SUBTOTAL(9,J13:J1194)</f>
        <v>2445044.3073079875</v>
      </c>
      <c r="K10" s="265"/>
      <c r="L10" s="600">
        <f t="shared" ref="L10:BG10" si="1">SUBTOTAL(9,L13:L1194)</f>
        <v>1068614.8850387807</v>
      </c>
      <c r="M10" s="600">
        <f t="shared" si="1"/>
        <v>23088.077321428573</v>
      </c>
      <c r="N10" s="600">
        <f t="shared" si="1"/>
        <v>52509.040178571471</v>
      </c>
      <c r="O10" s="600">
        <f t="shared" si="1"/>
        <v>59263.977321428581</v>
      </c>
      <c r="P10" s="600">
        <f t="shared" si="1"/>
        <v>110215.95761857147</v>
      </c>
      <c r="Q10" s="600">
        <f t="shared" si="1"/>
        <v>23088.077321428573</v>
      </c>
      <c r="R10" s="600">
        <f t="shared" si="1"/>
        <v>70884.147321428609</v>
      </c>
      <c r="S10" s="600">
        <f t="shared" si="1"/>
        <v>48236.977321428574</v>
      </c>
      <c r="T10" s="601">
        <f t="shared" si="1"/>
        <v>70884.147321428609</v>
      </c>
      <c r="U10" s="601">
        <f t="shared" si="1"/>
        <v>23088.077321428573</v>
      </c>
      <c r="V10" s="601">
        <f t="shared" si="1"/>
        <v>70884.147321428609</v>
      </c>
      <c r="W10" s="601">
        <f t="shared" si="1"/>
        <v>77481.064297428587</v>
      </c>
      <c r="X10" s="601">
        <f t="shared" si="1"/>
        <v>70884.147321428609</v>
      </c>
      <c r="Y10" s="601">
        <f t="shared" si="1"/>
        <v>23595.977321428571</v>
      </c>
      <c r="Z10" s="601">
        <f t="shared" si="1"/>
        <v>110188.91696035131</v>
      </c>
      <c r="AA10" s="601">
        <f t="shared" si="1"/>
        <v>20169.865714285719</v>
      </c>
      <c r="AB10" s="601">
        <f t="shared" si="1"/>
        <v>56431.035714285768</v>
      </c>
      <c r="AC10" s="601">
        <f t="shared" si="1"/>
        <v>9142.8657142857192</v>
      </c>
      <c r="AD10" s="601">
        <f t="shared" si="1"/>
        <v>56431.035714285768</v>
      </c>
      <c r="AE10" s="601">
        <f t="shared" si="1"/>
        <v>50896.265714285699</v>
      </c>
      <c r="AF10" s="601">
        <f t="shared" si="1"/>
        <v>56431.035714285768</v>
      </c>
      <c r="AG10" s="601">
        <f t="shared" si="1"/>
        <v>9142.8657142857192</v>
      </c>
      <c r="AH10" s="601">
        <f t="shared" si="1"/>
        <v>38055.928571428602</v>
      </c>
      <c r="AI10" s="601">
        <f t="shared" si="1"/>
        <v>33783.865714285712</v>
      </c>
      <c r="AJ10" s="601">
        <f t="shared" si="1"/>
        <v>133648.06857142848</v>
      </c>
      <c r="AK10" s="601">
        <f t="shared" si="1"/>
        <v>0</v>
      </c>
      <c r="AL10" s="601">
        <f t="shared" si="1"/>
        <v>0</v>
      </c>
      <c r="AM10" s="601">
        <f t="shared" si="1"/>
        <v>0</v>
      </c>
      <c r="AN10" s="601">
        <f t="shared" si="1"/>
        <v>0</v>
      </c>
      <c r="AO10" s="601">
        <f t="shared" si="1"/>
        <v>0</v>
      </c>
      <c r="AP10" s="601">
        <f t="shared" si="1"/>
        <v>0</v>
      </c>
      <c r="AQ10" s="601">
        <f t="shared" si="1"/>
        <v>0</v>
      </c>
      <c r="AR10" s="601">
        <f t="shared" si="1"/>
        <v>0</v>
      </c>
      <c r="AS10" s="601">
        <f t="shared" si="1"/>
        <v>0</v>
      </c>
      <c r="AT10" s="601">
        <f t="shared" si="1"/>
        <v>0</v>
      </c>
      <c r="AU10" s="601">
        <f t="shared" si="1"/>
        <v>0</v>
      </c>
      <c r="AV10" s="601">
        <f t="shared" si="1"/>
        <v>0</v>
      </c>
      <c r="AW10" s="601">
        <f t="shared" si="1"/>
        <v>0</v>
      </c>
      <c r="AX10" s="601">
        <f t="shared" si="1"/>
        <v>0</v>
      </c>
      <c r="AY10" s="601">
        <f t="shared" si="1"/>
        <v>0</v>
      </c>
      <c r="AZ10" s="601">
        <f t="shared" si="1"/>
        <v>0</v>
      </c>
      <c r="BA10" s="601">
        <f t="shared" si="1"/>
        <v>0</v>
      </c>
      <c r="BB10" s="601">
        <f t="shared" si="1"/>
        <v>0</v>
      </c>
      <c r="BC10" s="601">
        <f t="shared" si="1"/>
        <v>0</v>
      </c>
      <c r="BD10" s="601">
        <f t="shared" si="1"/>
        <v>0</v>
      </c>
      <c r="BE10" s="601">
        <f t="shared" si="1"/>
        <v>0</v>
      </c>
      <c r="BF10" s="601">
        <f t="shared" si="1"/>
        <v>0</v>
      </c>
      <c r="BG10" s="601">
        <f t="shared" si="1"/>
        <v>0</v>
      </c>
      <c r="BH10" s="602"/>
      <c r="BI10" s="68"/>
      <c r="BJ10" s="158">
        <f>IFERROR(BK10/J10,0)</f>
        <v>0.71941307013882905</v>
      </c>
      <c r="BK10" s="149">
        <f>SUM(BM10:DH10)</f>
        <v>1758996.8317459058</v>
      </c>
      <c r="BL10" s="68"/>
      <c r="BM10" s="438">
        <f t="shared" ref="BM10:DH10" si="2">SUBTOTAL(9,BM13:BM1194)</f>
        <v>0</v>
      </c>
      <c r="BN10" s="439">
        <f t="shared" si="2"/>
        <v>104895.59927200001</v>
      </c>
      <c r="BO10" s="439">
        <f t="shared" si="2"/>
        <v>253586.13887174899</v>
      </c>
      <c r="BP10" s="439">
        <f t="shared" si="2"/>
        <v>716665.1952327668</v>
      </c>
      <c r="BQ10" s="439">
        <f t="shared" si="2"/>
        <v>378985.48984466994</v>
      </c>
      <c r="BR10" s="439">
        <f t="shared" si="2"/>
        <v>253319.91897911998</v>
      </c>
      <c r="BS10" s="439">
        <f t="shared" si="2"/>
        <v>28344.489545600001</v>
      </c>
      <c r="BT10" s="439">
        <f t="shared" si="2"/>
        <v>0</v>
      </c>
      <c r="BU10" s="439">
        <f t="shared" si="2"/>
        <v>0</v>
      </c>
      <c r="BV10" s="439">
        <f t="shared" si="2"/>
        <v>0</v>
      </c>
      <c r="BW10" s="439">
        <f t="shared" si="2"/>
        <v>0</v>
      </c>
      <c r="BX10" s="439">
        <f t="shared" si="2"/>
        <v>0</v>
      </c>
      <c r="BY10" s="439">
        <f t="shared" si="2"/>
        <v>0</v>
      </c>
      <c r="BZ10" s="439">
        <f t="shared" si="2"/>
        <v>0</v>
      </c>
      <c r="CA10" s="439">
        <f t="shared" si="2"/>
        <v>0</v>
      </c>
      <c r="CB10" s="439">
        <f t="shared" si="2"/>
        <v>0</v>
      </c>
      <c r="CC10" s="439">
        <f t="shared" si="2"/>
        <v>23200</v>
      </c>
      <c r="CD10" s="439">
        <f t="shared" si="2"/>
        <v>0</v>
      </c>
      <c r="CE10" s="439">
        <f t="shared" si="2"/>
        <v>0</v>
      </c>
      <c r="CF10" s="439">
        <f t="shared" si="2"/>
        <v>0</v>
      </c>
      <c r="CG10" s="439">
        <f t="shared" si="2"/>
        <v>0</v>
      </c>
      <c r="CH10" s="439">
        <f t="shared" si="2"/>
        <v>0</v>
      </c>
      <c r="CI10" s="439">
        <f t="shared" si="2"/>
        <v>0</v>
      </c>
      <c r="CJ10" s="439">
        <f t="shared" si="2"/>
        <v>0</v>
      </c>
      <c r="CK10" s="439">
        <f t="shared" si="2"/>
        <v>0</v>
      </c>
      <c r="CL10" s="439">
        <f t="shared" si="2"/>
        <v>0</v>
      </c>
      <c r="CM10" s="439">
        <f t="shared" si="2"/>
        <v>0</v>
      </c>
      <c r="CN10" s="439">
        <f t="shared" si="2"/>
        <v>0</v>
      </c>
      <c r="CO10" s="439">
        <f t="shared" si="2"/>
        <v>0</v>
      </c>
      <c r="CP10" s="439">
        <f t="shared" si="2"/>
        <v>0</v>
      </c>
      <c r="CQ10" s="439">
        <f t="shared" si="2"/>
        <v>0</v>
      </c>
      <c r="CR10" s="439">
        <f t="shared" si="2"/>
        <v>0</v>
      </c>
      <c r="CS10" s="439">
        <f t="shared" si="2"/>
        <v>0</v>
      </c>
      <c r="CT10" s="439">
        <f t="shared" si="2"/>
        <v>0</v>
      </c>
      <c r="CU10" s="439">
        <f t="shared" si="2"/>
        <v>0</v>
      </c>
      <c r="CV10" s="439">
        <f t="shared" si="2"/>
        <v>0</v>
      </c>
      <c r="CW10" s="439">
        <f t="shared" si="2"/>
        <v>0</v>
      </c>
      <c r="CX10" s="439">
        <f t="shared" si="2"/>
        <v>0</v>
      </c>
      <c r="CY10" s="439">
        <f t="shared" si="2"/>
        <v>0</v>
      </c>
      <c r="CZ10" s="439">
        <f t="shared" si="2"/>
        <v>0</v>
      </c>
      <c r="DA10" s="439">
        <f t="shared" si="2"/>
        <v>0</v>
      </c>
      <c r="DB10" s="439">
        <f t="shared" si="2"/>
        <v>0</v>
      </c>
      <c r="DC10" s="439">
        <f t="shared" si="2"/>
        <v>0</v>
      </c>
      <c r="DD10" s="439">
        <f t="shared" si="2"/>
        <v>0</v>
      </c>
      <c r="DE10" s="439">
        <f t="shared" si="2"/>
        <v>0</v>
      </c>
      <c r="DF10" s="439">
        <f t="shared" si="2"/>
        <v>0</v>
      </c>
      <c r="DG10" s="439">
        <f t="shared" si="2"/>
        <v>0</v>
      </c>
      <c r="DH10" s="440">
        <f t="shared" si="2"/>
        <v>0</v>
      </c>
    </row>
    <row r="11" spans="1:112" ht="15" thickBot="1" x14ac:dyDescent="0.35">
      <c r="C11" s="89"/>
      <c r="D11" s="90"/>
      <c r="E11" s="90"/>
      <c r="F11" s="90"/>
      <c r="G11" s="90"/>
      <c r="H11" s="90"/>
      <c r="I11" s="91"/>
      <c r="J11" s="92"/>
      <c r="L11" s="596"/>
      <c r="M11" s="597"/>
      <c r="N11" s="597"/>
      <c r="O11" s="597"/>
      <c r="P11" s="597"/>
      <c r="Q11" s="597"/>
      <c r="R11" s="597"/>
      <c r="S11" s="597"/>
      <c r="T11" s="597"/>
      <c r="U11" s="597"/>
      <c r="V11" s="597"/>
      <c r="W11" s="597"/>
      <c r="X11" s="597"/>
      <c r="Y11" s="597"/>
      <c r="Z11" s="597"/>
      <c r="AA11" s="597"/>
      <c r="AB11" s="597"/>
      <c r="AC11" s="597"/>
      <c r="AD11" s="597"/>
      <c r="AE11" s="597"/>
      <c r="AF11" s="597"/>
      <c r="AG11" s="597"/>
      <c r="AH11" s="597"/>
      <c r="AI11" s="597"/>
      <c r="AJ11" s="597"/>
      <c r="AK11" s="597"/>
      <c r="AL11" s="597"/>
      <c r="AM11" s="597"/>
      <c r="AN11" s="597"/>
      <c r="AO11" s="597"/>
      <c r="AP11" s="597"/>
      <c r="AQ11" s="597"/>
      <c r="AR11" s="597"/>
      <c r="AS11" s="597"/>
      <c r="AT11" s="597"/>
      <c r="AU11" s="597"/>
      <c r="AV11" s="597"/>
      <c r="AW11" s="597"/>
      <c r="AX11" s="597"/>
      <c r="AY11" s="597"/>
      <c r="AZ11" s="597"/>
      <c r="BA11" s="597"/>
      <c r="BB11" s="597"/>
      <c r="BC11" s="597"/>
      <c r="BD11" s="597"/>
      <c r="BE11" s="597"/>
      <c r="BF11" s="597"/>
      <c r="BG11" s="597"/>
      <c r="BH11" s="598"/>
      <c r="BI11" s="68"/>
      <c r="BJ11" s="89"/>
      <c r="BK11" s="150"/>
      <c r="BL11" s="68"/>
      <c r="BM11" s="89"/>
      <c r="BN11" s="90"/>
      <c r="BO11" s="90"/>
      <c r="BP11" s="90"/>
      <c r="BQ11" s="90"/>
      <c r="BR11" s="90"/>
      <c r="BS11" s="90"/>
      <c r="BT11" s="90"/>
      <c r="BU11" s="90"/>
      <c r="BV11" s="90"/>
      <c r="BW11" s="90"/>
      <c r="BX11" s="90"/>
      <c r="BY11" s="90"/>
      <c r="BZ11" s="90"/>
      <c r="CA11" s="90"/>
      <c r="CB11" s="90"/>
      <c r="CC11" s="90"/>
      <c r="CD11" s="90"/>
      <c r="CE11" s="90"/>
      <c r="CF11" s="90"/>
      <c r="CG11" s="90"/>
      <c r="CH11" s="90"/>
      <c r="CI11" s="90"/>
      <c r="CJ11" s="90"/>
      <c r="CK11" s="90"/>
      <c r="CL11" s="90"/>
      <c r="CM11" s="90"/>
      <c r="CN11" s="90"/>
      <c r="CO11" s="90"/>
      <c r="CP11" s="90"/>
      <c r="CQ11" s="90"/>
      <c r="CR11" s="90"/>
      <c r="CS11" s="90"/>
      <c r="CT11" s="90"/>
      <c r="CU11" s="90"/>
      <c r="CV11" s="90"/>
      <c r="CW11" s="90"/>
      <c r="CX11" s="90"/>
      <c r="CY11" s="90"/>
      <c r="CZ11" s="90"/>
      <c r="DA11" s="90"/>
      <c r="DB11" s="90"/>
      <c r="DC11" s="90"/>
      <c r="DD11" s="90"/>
      <c r="DE11" s="90"/>
      <c r="DF11" s="90"/>
      <c r="DG11" s="90"/>
      <c r="DH11" s="150"/>
    </row>
    <row r="12" spans="1:112" s="66" customFormat="1" ht="15" thickBot="1" x14ac:dyDescent="0.35">
      <c r="A12" s="66" t="s">
        <v>469</v>
      </c>
      <c r="C12" s="94" t="s">
        <v>470</v>
      </c>
      <c r="D12" s="94" t="s">
        <v>87</v>
      </c>
      <c r="E12" s="94"/>
      <c r="F12" s="94"/>
      <c r="G12" s="94"/>
      <c r="H12" s="94"/>
      <c r="I12" s="95"/>
      <c r="J12" s="95"/>
      <c r="K12" s="93"/>
      <c r="L12" s="96"/>
      <c r="M12" s="96"/>
      <c r="N12" s="96"/>
      <c r="O12" s="96"/>
      <c r="P12" s="96"/>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7"/>
      <c r="BI12" s="68"/>
      <c r="BL12" s="68"/>
    </row>
    <row r="13" spans="1:112" s="66" customFormat="1" ht="25.8" thickBot="1" x14ac:dyDescent="0.35">
      <c r="A13" s="66" t="str">
        <f>IF(J13&gt;0,"Imprimir","")</f>
        <v>Imprimir</v>
      </c>
      <c r="C13" s="841" t="s">
        <v>2006</v>
      </c>
      <c r="D13" s="648"/>
      <c r="E13" s="739"/>
      <c r="F13" s="648"/>
      <c r="G13" s="648"/>
      <c r="H13" s="648"/>
      <c r="I13" s="648"/>
      <c r="J13" s="749">
        <f>SUBTOTAL(9,J14:J247)</f>
        <v>302381.5433874827</v>
      </c>
      <c r="K13" s="93"/>
      <c r="L13" s="784">
        <f t="shared" ref="L13:BG13" si="3">SUBTOTAL(9,L14:L248)</f>
        <v>137132.46813346352</v>
      </c>
      <c r="M13" s="785">
        <f t="shared" si="3"/>
        <v>3128.3166071428573</v>
      </c>
      <c r="N13" s="785">
        <f t="shared" si="3"/>
        <v>6502.0466071428582</v>
      </c>
      <c r="O13" s="785">
        <f t="shared" si="3"/>
        <v>7970.0866071428591</v>
      </c>
      <c r="P13" s="785">
        <f t="shared" si="3"/>
        <v>14288.782607142857</v>
      </c>
      <c r="Q13" s="785">
        <f t="shared" si="3"/>
        <v>3128.3166071428573</v>
      </c>
      <c r="R13" s="785">
        <f t="shared" si="3"/>
        <v>8839.5966071428575</v>
      </c>
      <c r="S13" s="785">
        <f t="shared" si="3"/>
        <v>6470.1866071428576</v>
      </c>
      <c r="T13" s="785">
        <f t="shared" si="3"/>
        <v>8839.5966071428575</v>
      </c>
      <c r="U13" s="785">
        <f t="shared" si="3"/>
        <v>3128.3166071428573</v>
      </c>
      <c r="V13" s="785">
        <f t="shared" si="3"/>
        <v>8839.5966071428575</v>
      </c>
      <c r="W13" s="785">
        <f t="shared" si="3"/>
        <v>10491.641007142856</v>
      </c>
      <c r="X13" s="785">
        <f t="shared" si="3"/>
        <v>8839.5966071428575</v>
      </c>
      <c r="Y13" s="785">
        <f t="shared" si="3"/>
        <v>3197.4366071428567</v>
      </c>
      <c r="Z13" s="785">
        <f t="shared" si="3"/>
        <v>13974.977532590676</v>
      </c>
      <c r="AA13" s="785">
        <f t="shared" si="3"/>
        <v>2731.6971428571428</v>
      </c>
      <c r="AB13" s="785">
        <f t="shared" si="3"/>
        <v>6873.9571428571435</v>
      </c>
      <c r="AC13" s="785">
        <f t="shared" si="3"/>
        <v>1231.7971428571425</v>
      </c>
      <c r="AD13" s="785">
        <f t="shared" si="3"/>
        <v>6873.9571428571435</v>
      </c>
      <c r="AE13" s="785">
        <f t="shared" si="3"/>
        <v>6826.4971428571425</v>
      </c>
      <c r="AF13" s="785">
        <f t="shared" si="3"/>
        <v>6873.9571428571435</v>
      </c>
      <c r="AG13" s="785">
        <f t="shared" si="3"/>
        <v>1231.7971428571425</v>
      </c>
      <c r="AH13" s="785">
        <f t="shared" si="3"/>
        <v>4536.4071428571433</v>
      </c>
      <c r="AI13" s="785">
        <f t="shared" si="3"/>
        <v>4504.5471428571427</v>
      </c>
      <c r="AJ13" s="785">
        <f t="shared" si="3"/>
        <v>15958.967142857144</v>
      </c>
      <c r="AK13" s="785">
        <f t="shared" si="3"/>
        <v>0</v>
      </c>
      <c r="AL13" s="785">
        <f t="shared" si="3"/>
        <v>0</v>
      </c>
      <c r="AM13" s="785">
        <f t="shared" si="3"/>
        <v>0</v>
      </c>
      <c r="AN13" s="785">
        <f t="shared" si="3"/>
        <v>0</v>
      </c>
      <c r="AO13" s="785">
        <f t="shared" si="3"/>
        <v>0</v>
      </c>
      <c r="AP13" s="785">
        <f t="shared" si="3"/>
        <v>0</v>
      </c>
      <c r="AQ13" s="785">
        <f t="shared" si="3"/>
        <v>0</v>
      </c>
      <c r="AR13" s="785">
        <f t="shared" si="3"/>
        <v>0</v>
      </c>
      <c r="AS13" s="785">
        <f t="shared" si="3"/>
        <v>0</v>
      </c>
      <c r="AT13" s="785">
        <f t="shared" si="3"/>
        <v>0</v>
      </c>
      <c r="AU13" s="785">
        <f t="shared" si="3"/>
        <v>0</v>
      </c>
      <c r="AV13" s="785">
        <f t="shared" si="3"/>
        <v>0</v>
      </c>
      <c r="AW13" s="785">
        <f t="shared" si="3"/>
        <v>0</v>
      </c>
      <c r="AX13" s="785">
        <f t="shared" si="3"/>
        <v>0</v>
      </c>
      <c r="AY13" s="785">
        <f t="shared" si="3"/>
        <v>0</v>
      </c>
      <c r="AZ13" s="785">
        <f t="shared" si="3"/>
        <v>0</v>
      </c>
      <c r="BA13" s="785">
        <f t="shared" si="3"/>
        <v>0</v>
      </c>
      <c r="BB13" s="785">
        <f t="shared" si="3"/>
        <v>0</v>
      </c>
      <c r="BC13" s="785">
        <f t="shared" si="3"/>
        <v>0</v>
      </c>
      <c r="BD13" s="785">
        <f t="shared" si="3"/>
        <v>0</v>
      </c>
      <c r="BE13" s="785">
        <f t="shared" si="3"/>
        <v>0</v>
      </c>
      <c r="BF13" s="785">
        <f t="shared" si="3"/>
        <v>0</v>
      </c>
      <c r="BG13" s="786">
        <f t="shared" si="3"/>
        <v>0</v>
      </c>
      <c r="BH13" s="792"/>
      <c r="BI13" s="68"/>
      <c r="BJ13" s="740"/>
      <c r="BK13" s="749">
        <f>SUBTOTAL(9,BK14:BK247)</f>
        <v>371644.91131087125</v>
      </c>
      <c r="BL13" s="68"/>
      <c r="BM13" s="794">
        <f t="shared" ref="BM13:DH13" si="4">SUBTOTAL(9,BM14:BM247)</f>
        <v>0</v>
      </c>
      <c r="BN13" s="793">
        <f t="shared" si="4"/>
        <v>0</v>
      </c>
      <c r="BO13" s="793">
        <f t="shared" si="4"/>
        <v>44644.711199999998</v>
      </c>
      <c r="BP13" s="793">
        <f t="shared" si="4"/>
        <v>70050.608222871262</v>
      </c>
      <c r="BQ13" s="793">
        <f t="shared" si="4"/>
        <v>71831.78428800001</v>
      </c>
      <c r="BR13" s="793">
        <f t="shared" si="4"/>
        <v>185117.8076</v>
      </c>
      <c r="BS13" s="793">
        <f t="shared" si="4"/>
        <v>0</v>
      </c>
      <c r="BT13" s="793">
        <f t="shared" si="4"/>
        <v>0</v>
      </c>
      <c r="BU13" s="793">
        <f t="shared" si="4"/>
        <v>0</v>
      </c>
      <c r="BV13" s="793">
        <f t="shared" si="4"/>
        <v>0</v>
      </c>
      <c r="BW13" s="793">
        <f t="shared" si="4"/>
        <v>0</v>
      </c>
      <c r="BX13" s="793">
        <f t="shared" si="4"/>
        <v>0</v>
      </c>
      <c r="BY13" s="793">
        <f t="shared" si="4"/>
        <v>0</v>
      </c>
      <c r="BZ13" s="793">
        <f t="shared" si="4"/>
        <v>0</v>
      </c>
      <c r="CA13" s="793">
        <f t="shared" si="4"/>
        <v>0</v>
      </c>
      <c r="CB13" s="793">
        <f t="shared" si="4"/>
        <v>0</v>
      </c>
      <c r="CC13" s="793">
        <f t="shared" si="4"/>
        <v>0</v>
      </c>
      <c r="CD13" s="793">
        <f t="shared" si="4"/>
        <v>0</v>
      </c>
      <c r="CE13" s="793">
        <f t="shared" si="4"/>
        <v>0</v>
      </c>
      <c r="CF13" s="793">
        <f t="shared" si="4"/>
        <v>0</v>
      </c>
      <c r="CG13" s="793">
        <f t="shared" si="4"/>
        <v>0</v>
      </c>
      <c r="CH13" s="793">
        <f t="shared" si="4"/>
        <v>0</v>
      </c>
      <c r="CI13" s="793">
        <f t="shared" si="4"/>
        <v>0</v>
      </c>
      <c r="CJ13" s="793">
        <f t="shared" si="4"/>
        <v>0</v>
      </c>
      <c r="CK13" s="793">
        <f t="shared" si="4"/>
        <v>0</v>
      </c>
      <c r="CL13" s="793">
        <f t="shared" si="4"/>
        <v>0</v>
      </c>
      <c r="CM13" s="793">
        <f t="shared" si="4"/>
        <v>0</v>
      </c>
      <c r="CN13" s="793">
        <f t="shared" si="4"/>
        <v>0</v>
      </c>
      <c r="CO13" s="793">
        <f t="shared" si="4"/>
        <v>0</v>
      </c>
      <c r="CP13" s="793">
        <f t="shared" si="4"/>
        <v>0</v>
      </c>
      <c r="CQ13" s="793">
        <f t="shared" si="4"/>
        <v>0</v>
      </c>
      <c r="CR13" s="793">
        <f t="shared" si="4"/>
        <v>0</v>
      </c>
      <c r="CS13" s="793">
        <f t="shared" si="4"/>
        <v>0</v>
      </c>
      <c r="CT13" s="793">
        <f t="shared" si="4"/>
        <v>0</v>
      </c>
      <c r="CU13" s="793">
        <f t="shared" si="4"/>
        <v>0</v>
      </c>
      <c r="CV13" s="793">
        <f t="shared" si="4"/>
        <v>0</v>
      </c>
      <c r="CW13" s="793">
        <f t="shared" si="4"/>
        <v>0</v>
      </c>
      <c r="CX13" s="793">
        <f t="shared" si="4"/>
        <v>0</v>
      </c>
      <c r="CY13" s="793">
        <f t="shared" si="4"/>
        <v>0</v>
      </c>
      <c r="CZ13" s="793">
        <f t="shared" si="4"/>
        <v>0</v>
      </c>
      <c r="DA13" s="793">
        <f t="shared" si="4"/>
        <v>0</v>
      </c>
      <c r="DB13" s="793">
        <f t="shared" si="4"/>
        <v>0</v>
      </c>
      <c r="DC13" s="793">
        <f t="shared" si="4"/>
        <v>0</v>
      </c>
      <c r="DD13" s="793">
        <f t="shared" si="4"/>
        <v>0</v>
      </c>
      <c r="DE13" s="793">
        <f t="shared" si="4"/>
        <v>0</v>
      </c>
      <c r="DF13" s="793">
        <f t="shared" si="4"/>
        <v>0</v>
      </c>
      <c r="DG13" s="793">
        <f t="shared" si="4"/>
        <v>0</v>
      </c>
      <c r="DH13" s="749">
        <f t="shared" si="4"/>
        <v>0</v>
      </c>
    </row>
    <row r="14" spans="1:112" collapsed="1" x14ac:dyDescent="0.3">
      <c r="A14" s="66" t="str">
        <f>IF(J14&gt;0,"Imprimir","")</f>
        <v>Imprimir</v>
      </c>
      <c r="C14" s="644"/>
      <c r="D14" s="645" t="s">
        <v>374</v>
      </c>
      <c r="E14" s="645" t="s">
        <v>471</v>
      </c>
      <c r="F14" s="645"/>
      <c r="G14" s="645"/>
      <c r="H14" s="645"/>
      <c r="I14" s="646"/>
      <c r="J14" s="647">
        <f>SUBTOTAL(9,J17:J25)</f>
        <v>114219.6</v>
      </c>
      <c r="K14" s="265"/>
      <c r="L14" s="787">
        <f t="shared" ref="L14:BG14" si="5">SUMPRODUCT($J17:$J25,L17:L25)</f>
        <v>43615.880000000005</v>
      </c>
      <c r="M14" s="788">
        <f t="shared" si="5"/>
        <v>0</v>
      </c>
      <c r="N14" s="788">
        <f t="shared" si="5"/>
        <v>3373.48</v>
      </c>
      <c r="O14" s="788">
        <f t="shared" si="5"/>
        <v>0</v>
      </c>
      <c r="P14" s="788">
        <f t="shared" si="5"/>
        <v>3373.48</v>
      </c>
      <c r="Q14" s="788">
        <f t="shared" si="5"/>
        <v>0</v>
      </c>
      <c r="R14" s="788">
        <f t="shared" si="5"/>
        <v>5710.98</v>
      </c>
      <c r="S14" s="788">
        <f t="shared" si="5"/>
        <v>0</v>
      </c>
      <c r="T14" s="788">
        <f t="shared" si="5"/>
        <v>5710.98</v>
      </c>
      <c r="U14" s="788">
        <f t="shared" si="5"/>
        <v>0</v>
      </c>
      <c r="V14" s="788">
        <f t="shared" si="5"/>
        <v>5710.98</v>
      </c>
      <c r="W14" s="788">
        <f t="shared" si="5"/>
        <v>0</v>
      </c>
      <c r="X14" s="788">
        <f t="shared" si="5"/>
        <v>5710.98</v>
      </c>
      <c r="Y14" s="788">
        <f t="shared" si="5"/>
        <v>0</v>
      </c>
      <c r="Z14" s="788">
        <f t="shared" si="5"/>
        <v>5710.98</v>
      </c>
      <c r="AA14" s="788">
        <f t="shared" si="5"/>
        <v>0</v>
      </c>
      <c r="AB14" s="788">
        <f t="shared" si="5"/>
        <v>5710.98</v>
      </c>
      <c r="AC14" s="788">
        <f t="shared" si="5"/>
        <v>0</v>
      </c>
      <c r="AD14" s="788">
        <f t="shared" si="5"/>
        <v>5710.98</v>
      </c>
      <c r="AE14" s="788">
        <f t="shared" si="5"/>
        <v>0</v>
      </c>
      <c r="AF14" s="788">
        <f t="shared" si="5"/>
        <v>5710.98</v>
      </c>
      <c r="AG14" s="788">
        <f t="shared" si="5"/>
        <v>0</v>
      </c>
      <c r="AH14" s="788">
        <f t="shared" si="5"/>
        <v>3373.48</v>
      </c>
      <c r="AI14" s="788">
        <f t="shared" si="5"/>
        <v>0</v>
      </c>
      <c r="AJ14" s="788">
        <f t="shared" si="5"/>
        <v>14795.44</v>
      </c>
      <c r="AK14" s="788">
        <f t="shared" si="5"/>
        <v>0</v>
      </c>
      <c r="AL14" s="788">
        <f t="shared" si="5"/>
        <v>0</v>
      </c>
      <c r="AM14" s="788">
        <f t="shared" si="5"/>
        <v>0</v>
      </c>
      <c r="AN14" s="788">
        <f t="shared" si="5"/>
        <v>0</v>
      </c>
      <c r="AO14" s="788">
        <f t="shared" si="5"/>
        <v>0</v>
      </c>
      <c r="AP14" s="788">
        <f t="shared" si="5"/>
        <v>0</v>
      </c>
      <c r="AQ14" s="788">
        <f t="shared" si="5"/>
        <v>0</v>
      </c>
      <c r="AR14" s="788">
        <f t="shared" si="5"/>
        <v>0</v>
      </c>
      <c r="AS14" s="788">
        <f t="shared" si="5"/>
        <v>0</v>
      </c>
      <c r="AT14" s="788">
        <f t="shared" si="5"/>
        <v>0</v>
      </c>
      <c r="AU14" s="788">
        <f t="shared" si="5"/>
        <v>0</v>
      </c>
      <c r="AV14" s="788">
        <f t="shared" si="5"/>
        <v>0</v>
      </c>
      <c r="AW14" s="788">
        <f t="shared" si="5"/>
        <v>0</v>
      </c>
      <c r="AX14" s="788">
        <f t="shared" si="5"/>
        <v>0</v>
      </c>
      <c r="AY14" s="788">
        <f t="shared" si="5"/>
        <v>0</v>
      </c>
      <c r="AZ14" s="788">
        <f t="shared" si="5"/>
        <v>0</v>
      </c>
      <c r="BA14" s="788">
        <f t="shared" si="5"/>
        <v>0</v>
      </c>
      <c r="BB14" s="788">
        <f t="shared" si="5"/>
        <v>0</v>
      </c>
      <c r="BC14" s="788">
        <f t="shared" si="5"/>
        <v>0</v>
      </c>
      <c r="BD14" s="788">
        <f t="shared" si="5"/>
        <v>0</v>
      </c>
      <c r="BE14" s="788">
        <f t="shared" si="5"/>
        <v>0</v>
      </c>
      <c r="BF14" s="788">
        <f t="shared" si="5"/>
        <v>0</v>
      </c>
      <c r="BG14" s="789">
        <f t="shared" si="5"/>
        <v>0</v>
      </c>
      <c r="BH14" s="766"/>
      <c r="BI14" s="68"/>
      <c r="BJ14" s="519">
        <f>IFERROR(BK14/J14,0)</f>
        <v>1.0405155764276302</v>
      </c>
      <c r="BK14" s="452">
        <f>SUBTOTAL(9,BK15:BK25)</f>
        <v>118847.27293333334</v>
      </c>
      <c r="BL14" s="68"/>
      <c r="BM14" s="453">
        <f>SUBTOTAL(9,BM15:BM25)</f>
        <v>0</v>
      </c>
      <c r="BN14" s="454">
        <f t="shared" ref="BN14:DH14" si="6">SUBTOTAL(9,BN15:BN25)</f>
        <v>0</v>
      </c>
      <c r="BO14" s="454">
        <f t="shared" si="6"/>
        <v>0</v>
      </c>
      <c r="BP14" s="454">
        <f t="shared" si="6"/>
        <v>2835.0013333333336</v>
      </c>
      <c r="BQ14" s="454">
        <f t="shared" si="6"/>
        <v>29455.531200000001</v>
      </c>
      <c r="BR14" s="454">
        <f t="shared" si="6"/>
        <v>86556.74040000001</v>
      </c>
      <c r="BS14" s="454">
        <f t="shared" si="6"/>
        <v>0</v>
      </c>
      <c r="BT14" s="454">
        <f t="shared" si="6"/>
        <v>0</v>
      </c>
      <c r="BU14" s="454">
        <f t="shared" si="6"/>
        <v>0</v>
      </c>
      <c r="BV14" s="454">
        <f t="shared" si="6"/>
        <v>0</v>
      </c>
      <c r="BW14" s="454">
        <f t="shared" si="6"/>
        <v>0</v>
      </c>
      <c r="BX14" s="454">
        <f t="shared" si="6"/>
        <v>0</v>
      </c>
      <c r="BY14" s="454">
        <f t="shared" si="6"/>
        <v>0</v>
      </c>
      <c r="BZ14" s="454">
        <f t="shared" si="6"/>
        <v>0</v>
      </c>
      <c r="CA14" s="454">
        <f t="shared" si="6"/>
        <v>0</v>
      </c>
      <c r="CB14" s="454">
        <f t="shared" si="6"/>
        <v>0</v>
      </c>
      <c r="CC14" s="454">
        <f t="shared" si="6"/>
        <v>0</v>
      </c>
      <c r="CD14" s="454">
        <f t="shared" si="6"/>
        <v>0</v>
      </c>
      <c r="CE14" s="454">
        <f t="shared" si="6"/>
        <v>0</v>
      </c>
      <c r="CF14" s="454">
        <f t="shared" si="6"/>
        <v>0</v>
      </c>
      <c r="CG14" s="454">
        <f t="shared" si="6"/>
        <v>0</v>
      </c>
      <c r="CH14" s="454">
        <f t="shared" si="6"/>
        <v>0</v>
      </c>
      <c r="CI14" s="454">
        <f t="shared" si="6"/>
        <v>0</v>
      </c>
      <c r="CJ14" s="454">
        <f t="shared" si="6"/>
        <v>0</v>
      </c>
      <c r="CK14" s="454">
        <f t="shared" si="6"/>
        <v>0</v>
      </c>
      <c r="CL14" s="454">
        <f t="shared" si="6"/>
        <v>0</v>
      </c>
      <c r="CM14" s="454">
        <f t="shared" si="6"/>
        <v>0</v>
      </c>
      <c r="CN14" s="454">
        <f t="shared" si="6"/>
        <v>0</v>
      </c>
      <c r="CO14" s="454">
        <f t="shared" si="6"/>
        <v>0</v>
      </c>
      <c r="CP14" s="454">
        <f t="shared" si="6"/>
        <v>0</v>
      </c>
      <c r="CQ14" s="454">
        <f t="shared" si="6"/>
        <v>0</v>
      </c>
      <c r="CR14" s="454">
        <f t="shared" si="6"/>
        <v>0</v>
      </c>
      <c r="CS14" s="454">
        <f t="shared" si="6"/>
        <v>0</v>
      </c>
      <c r="CT14" s="454">
        <f t="shared" si="6"/>
        <v>0</v>
      </c>
      <c r="CU14" s="454">
        <f t="shared" si="6"/>
        <v>0</v>
      </c>
      <c r="CV14" s="454">
        <f t="shared" si="6"/>
        <v>0</v>
      </c>
      <c r="CW14" s="454">
        <f t="shared" si="6"/>
        <v>0</v>
      </c>
      <c r="CX14" s="454">
        <f t="shared" si="6"/>
        <v>0</v>
      </c>
      <c r="CY14" s="454">
        <f t="shared" si="6"/>
        <v>0</v>
      </c>
      <c r="CZ14" s="454">
        <f t="shared" si="6"/>
        <v>0</v>
      </c>
      <c r="DA14" s="454">
        <f t="shared" si="6"/>
        <v>0</v>
      </c>
      <c r="DB14" s="454">
        <f t="shared" si="6"/>
        <v>0</v>
      </c>
      <c r="DC14" s="454">
        <f t="shared" si="6"/>
        <v>0</v>
      </c>
      <c r="DD14" s="454">
        <f t="shared" si="6"/>
        <v>0</v>
      </c>
      <c r="DE14" s="454">
        <f t="shared" si="6"/>
        <v>0</v>
      </c>
      <c r="DF14" s="454">
        <f t="shared" si="6"/>
        <v>0</v>
      </c>
      <c r="DG14" s="454">
        <f t="shared" si="6"/>
        <v>0</v>
      </c>
      <c r="DH14" s="615">
        <f t="shared" si="6"/>
        <v>0</v>
      </c>
    </row>
    <row r="15" spans="1:112" outlineLevel="1" x14ac:dyDescent="0.3">
      <c r="A15" s="66" t="str">
        <f>IF(J14&gt;0,"Imprimir","")</f>
        <v>Imprimir</v>
      </c>
      <c r="C15" s="102"/>
      <c r="D15" s="103"/>
      <c r="E15" s="103"/>
      <c r="F15" s="103" t="s">
        <v>472</v>
      </c>
      <c r="G15" s="103" t="s">
        <v>2128</v>
      </c>
      <c r="H15" s="103" t="s">
        <v>98</v>
      </c>
      <c r="I15" s="103" t="s">
        <v>474</v>
      </c>
      <c r="J15" s="104" t="s">
        <v>29</v>
      </c>
      <c r="K15" s="70"/>
      <c r="L15" s="745"/>
      <c r="M15" s="741"/>
      <c r="N15" s="741"/>
      <c r="O15" s="741"/>
      <c r="P15" s="741"/>
      <c r="Q15" s="741"/>
      <c r="R15" s="741"/>
      <c r="S15" s="741"/>
      <c r="T15" s="741"/>
      <c r="U15" s="741"/>
      <c r="V15" s="741"/>
      <c r="W15" s="741"/>
      <c r="X15" s="741"/>
      <c r="Y15" s="741"/>
      <c r="Z15" s="741"/>
      <c r="AA15" s="741"/>
      <c r="AB15" s="741"/>
      <c r="AC15" s="741"/>
      <c r="AD15" s="741"/>
      <c r="AE15" s="741"/>
      <c r="AF15" s="741"/>
      <c r="AG15" s="741"/>
      <c r="AH15" s="741"/>
      <c r="AI15" s="741"/>
      <c r="AJ15" s="741"/>
      <c r="AK15" s="741"/>
      <c r="AL15" s="741"/>
      <c r="AM15" s="741"/>
      <c r="AN15" s="741"/>
      <c r="AO15" s="741"/>
      <c r="AP15" s="741"/>
      <c r="AQ15" s="741"/>
      <c r="AR15" s="741"/>
      <c r="AS15" s="741"/>
      <c r="AT15" s="741"/>
      <c r="AU15" s="741"/>
      <c r="AV15" s="741"/>
      <c r="AW15" s="741"/>
      <c r="AX15" s="741"/>
      <c r="AY15" s="741"/>
      <c r="AZ15" s="741"/>
      <c r="BA15" s="741"/>
      <c r="BB15" s="741"/>
      <c r="BC15" s="741"/>
      <c r="BD15" s="741"/>
      <c r="BE15" s="741"/>
      <c r="BF15" s="741"/>
      <c r="BG15" s="746"/>
      <c r="BH15" s="792"/>
      <c r="BI15" s="68"/>
      <c r="BJ15" s="161"/>
      <c r="BK15" s="159"/>
      <c r="BL15" s="68"/>
      <c r="BM15" s="151"/>
      <c r="BN15" s="103"/>
      <c r="BO15" s="103"/>
      <c r="BP15" s="103"/>
      <c r="BQ15" s="103"/>
      <c r="BR15" s="103"/>
      <c r="BS15" s="103"/>
      <c r="BT15" s="103"/>
      <c r="BU15" s="103"/>
      <c r="BV15" s="103"/>
      <c r="BW15" s="103"/>
      <c r="BX15" s="103"/>
      <c r="BY15" s="103"/>
      <c r="BZ15" s="103"/>
      <c r="CA15" s="103"/>
      <c r="CB15" s="103"/>
      <c r="CC15" s="103"/>
      <c r="CD15" s="103"/>
      <c r="CE15" s="103"/>
      <c r="CF15" s="103"/>
      <c r="CG15" s="103"/>
      <c r="CH15" s="103"/>
      <c r="CI15" s="103"/>
      <c r="CJ15" s="103"/>
      <c r="CK15" s="103"/>
      <c r="CL15" s="103"/>
      <c r="CM15" s="103"/>
      <c r="CN15" s="103"/>
      <c r="CO15" s="103"/>
      <c r="CP15" s="103"/>
      <c r="CQ15" s="103"/>
      <c r="CR15" s="103"/>
      <c r="CS15" s="103"/>
      <c r="CT15" s="103"/>
      <c r="CU15" s="103"/>
      <c r="CV15" s="103"/>
      <c r="CW15" s="103"/>
      <c r="CX15" s="103"/>
      <c r="CY15" s="103"/>
      <c r="CZ15" s="103"/>
      <c r="DA15" s="103"/>
      <c r="DB15" s="103"/>
      <c r="DC15" s="103"/>
      <c r="DD15" s="103"/>
      <c r="DE15" s="103"/>
      <c r="DF15" s="103"/>
      <c r="DG15" s="103"/>
      <c r="DH15" s="104"/>
    </row>
    <row r="16" spans="1:112" ht="15.6" outlineLevel="1" x14ac:dyDescent="0.3">
      <c r="A16" s="66" t="str">
        <f>IF(J16&gt;0,"Imprimir","")</f>
        <v>Imprimir</v>
      </c>
      <c r="C16" s="106"/>
      <c r="D16" s="318"/>
      <c r="E16" s="107"/>
      <c r="F16" s="108"/>
      <c r="G16" s="108"/>
      <c r="H16" s="109"/>
      <c r="I16" s="110"/>
      <c r="J16" s="219">
        <f>SUBTOTAL(9,J17:J25)</f>
        <v>114219.6</v>
      </c>
      <c r="K16" s="111"/>
      <c r="L16" s="747"/>
      <c r="M16" s="742"/>
      <c r="N16" s="742"/>
      <c r="O16" s="742"/>
      <c r="P16" s="742"/>
      <c r="Q16" s="742"/>
      <c r="R16" s="742"/>
      <c r="S16" s="742"/>
      <c r="T16" s="742"/>
      <c r="U16" s="742"/>
      <c r="V16" s="742"/>
      <c r="W16" s="742"/>
      <c r="X16" s="742"/>
      <c r="Y16" s="742"/>
      <c r="Z16" s="742"/>
      <c r="AA16" s="742"/>
      <c r="AB16" s="742"/>
      <c r="AC16" s="742"/>
      <c r="AD16" s="742"/>
      <c r="AE16" s="742"/>
      <c r="AF16" s="742"/>
      <c r="AG16" s="742"/>
      <c r="AH16" s="742"/>
      <c r="AI16" s="742"/>
      <c r="AJ16" s="742"/>
      <c r="AK16" s="742"/>
      <c r="AL16" s="742"/>
      <c r="AM16" s="742"/>
      <c r="AN16" s="742"/>
      <c r="AO16" s="742"/>
      <c r="AP16" s="742"/>
      <c r="AQ16" s="742"/>
      <c r="AR16" s="742"/>
      <c r="AS16" s="742"/>
      <c r="AT16" s="742"/>
      <c r="AU16" s="742"/>
      <c r="AV16" s="742"/>
      <c r="AW16" s="742"/>
      <c r="AX16" s="742"/>
      <c r="AY16" s="742"/>
      <c r="AZ16" s="742"/>
      <c r="BA16" s="742"/>
      <c r="BB16" s="742"/>
      <c r="BC16" s="742"/>
      <c r="BD16" s="742"/>
      <c r="BE16" s="742"/>
      <c r="BF16" s="742"/>
      <c r="BG16" s="748"/>
      <c r="BH16" s="744"/>
      <c r="BI16" s="68"/>
      <c r="BJ16" s="305"/>
      <c r="BK16" s="160"/>
      <c r="BL16" s="68"/>
      <c r="BM16" s="512"/>
      <c r="BN16" s="513"/>
      <c r="BO16" s="513"/>
      <c r="BP16" s="513"/>
      <c r="BQ16" s="513"/>
      <c r="BR16" s="513"/>
      <c r="BS16" s="513"/>
      <c r="BT16" s="513"/>
      <c r="BU16" s="513"/>
      <c r="BV16" s="513"/>
      <c r="BW16" s="513"/>
      <c r="BX16" s="513"/>
      <c r="BY16" s="513"/>
      <c r="BZ16" s="513"/>
      <c r="CA16" s="513"/>
      <c r="CB16" s="513"/>
      <c r="CC16" s="513"/>
      <c r="CD16" s="513"/>
      <c r="CE16" s="513"/>
      <c r="CF16" s="513"/>
      <c r="CG16" s="513"/>
      <c r="CH16" s="513"/>
      <c r="CI16" s="513"/>
      <c r="CJ16" s="513"/>
      <c r="CK16" s="513"/>
      <c r="CL16" s="513"/>
      <c r="CM16" s="513"/>
      <c r="CN16" s="513"/>
      <c r="CO16" s="513"/>
      <c r="CP16" s="513"/>
      <c r="CQ16" s="513"/>
      <c r="CR16" s="513"/>
      <c r="CS16" s="513"/>
      <c r="CT16" s="513"/>
      <c r="CU16" s="513"/>
      <c r="CV16" s="513"/>
      <c r="CW16" s="513"/>
      <c r="CX16" s="513"/>
      <c r="CY16" s="513"/>
      <c r="CZ16" s="513"/>
      <c r="DA16" s="513"/>
      <c r="DB16" s="513"/>
      <c r="DC16" s="513"/>
      <c r="DD16" s="513"/>
      <c r="DE16" s="513"/>
      <c r="DF16" s="513"/>
      <c r="DG16" s="513"/>
      <c r="DH16" s="514"/>
    </row>
    <row r="17" spans="1:112" outlineLevel="1" x14ac:dyDescent="0.3">
      <c r="A17" s="66" t="str">
        <f t="shared" ref="A17:A24" si="7">IF(J17="","",IF(J17=0,"","Imprimir"))</f>
        <v>Imprimir</v>
      </c>
      <c r="C17" s="527"/>
      <c r="D17" s="528" t="s">
        <v>2130</v>
      </c>
      <c r="E17" s="528" t="s">
        <v>2010</v>
      </c>
      <c r="F17" s="532"/>
      <c r="G17" s="529">
        <v>262</v>
      </c>
      <c r="H17" s="531">
        <f>Producción!G12*1</f>
        <v>17</v>
      </c>
      <c r="I17" s="849">
        <f>IF(E17&gt;0,$J$5,"")</f>
        <v>1</v>
      </c>
      <c r="J17" s="850">
        <f>IFERROR(G17*H17*I17,"")</f>
        <v>4454</v>
      </c>
      <c r="K17" s="70"/>
      <c r="L17" s="854">
        <v>0.3</v>
      </c>
      <c r="M17" s="855"/>
      <c r="N17" s="855">
        <v>0.05</v>
      </c>
      <c r="O17" s="855"/>
      <c r="P17" s="855">
        <v>0.05</v>
      </c>
      <c r="Q17" s="855"/>
      <c r="R17" s="855">
        <v>0.05</v>
      </c>
      <c r="S17" s="855"/>
      <c r="T17" s="855">
        <v>0.05</v>
      </c>
      <c r="U17" s="855"/>
      <c r="V17" s="855">
        <v>0.05</v>
      </c>
      <c r="W17" s="855"/>
      <c r="X17" s="855">
        <v>0.05</v>
      </c>
      <c r="Y17" s="855"/>
      <c r="Z17" s="856">
        <v>0.05</v>
      </c>
      <c r="AA17" s="856"/>
      <c r="AB17" s="856">
        <v>0.05</v>
      </c>
      <c r="AC17" s="856"/>
      <c r="AD17" s="856">
        <v>0.05</v>
      </c>
      <c r="AE17" s="856"/>
      <c r="AF17" s="856">
        <v>0.05</v>
      </c>
      <c r="AG17" s="856"/>
      <c r="AH17" s="856">
        <v>0.05</v>
      </c>
      <c r="AI17" s="856"/>
      <c r="AJ17" s="856">
        <v>0.15</v>
      </c>
      <c r="AK17" s="856"/>
      <c r="AL17" s="856"/>
      <c r="AM17" s="856"/>
      <c r="AN17" s="856"/>
      <c r="AO17" s="856"/>
      <c r="AP17" s="856"/>
      <c r="AQ17" s="856"/>
      <c r="AR17" s="856"/>
      <c r="AS17" s="856"/>
      <c r="AT17" s="856"/>
      <c r="AU17" s="856"/>
      <c r="AV17" s="856"/>
      <c r="AW17" s="856"/>
      <c r="AX17" s="856"/>
      <c r="AY17" s="856"/>
      <c r="AZ17" s="856"/>
      <c r="BA17" s="856"/>
      <c r="BB17" s="856"/>
      <c r="BC17" s="856"/>
      <c r="BD17" s="856"/>
      <c r="BE17" s="856"/>
      <c r="BF17" s="856"/>
      <c r="BG17" s="857"/>
      <c r="BH17" s="743"/>
      <c r="BI17" s="68"/>
      <c r="BJ17" s="518">
        <f t="shared" ref="BJ17:BJ24" si="8">IFERROR(BK17/J17,0)</f>
        <v>0</v>
      </c>
      <c r="BK17" s="517">
        <f t="shared" ref="BK17:BK24" si="9">SUM(BM17:DH17)</f>
        <v>0</v>
      </c>
      <c r="BL17" s="68"/>
      <c r="BM17" s="515">
        <f>SUMIFS(Imput[[Importe Neto]:[Importe Neto]],Imput[[C. Imp.]:[C. Imp.]],$D17,Imput[[PERIODO Imp.]:[PERIODO Imp.]],BM$9)</f>
        <v>0</v>
      </c>
      <c r="BN17" s="516">
        <f>SUMIFS(Imput[[Importe Neto]:[Importe Neto]],Imput[[C. Imp.]:[C. Imp.]],$D17,Imput[[PERIODO Imp.]:[PERIODO Imp.]],BN$9)</f>
        <v>0</v>
      </c>
      <c r="BO17" s="516">
        <f>SUMIFS(Imput[[Importe Neto]:[Importe Neto]],Imput[[C. Imp.]:[C. Imp.]],$D17,Imput[[PERIODO Imp.]:[PERIODO Imp.]],BO$9)</f>
        <v>0</v>
      </c>
      <c r="BP17" s="516">
        <f>SUMIFS(Imput[[Importe Neto]:[Importe Neto]],Imput[[C. Imp.]:[C. Imp.]],$D17,Imput[[PERIODO Imp.]:[PERIODO Imp.]],BP$9)</f>
        <v>0</v>
      </c>
      <c r="BQ17" s="516">
        <f>SUMIFS(Imput[[Importe Neto]:[Importe Neto]],Imput[[C. Imp.]:[C. Imp.]],$D17,Imput[[PERIODO Imp.]:[PERIODO Imp.]],BQ$9)</f>
        <v>0</v>
      </c>
      <c r="BR17" s="516">
        <f>SUMIFS(Imput[[Importe Neto]:[Importe Neto]],Imput[[C. Imp.]:[C. Imp.]],$D17,Imput[[PERIODO Imp.]:[PERIODO Imp.]],BR$9)</f>
        <v>0</v>
      </c>
      <c r="BS17" s="516">
        <f>SUMIFS(Imput[[Importe Neto]:[Importe Neto]],Imput[[C. Imp.]:[C. Imp.]],$D17,Imput[[PERIODO Imp.]:[PERIODO Imp.]],BS$9)</f>
        <v>0</v>
      </c>
      <c r="BT17" s="516">
        <f>SUMIFS(Imput[[Importe Neto]:[Importe Neto]],Imput[[C. Imp.]:[C. Imp.]],$D17,Imput[[PERIODO Imp.]:[PERIODO Imp.]],BT$9)</f>
        <v>0</v>
      </c>
      <c r="BU17" s="516">
        <f>SUMIFS(Imput[[Importe Neto]:[Importe Neto]],Imput[[C. Imp.]:[C. Imp.]],$D17,Imput[[PERIODO Imp.]:[PERIODO Imp.]],BU$9)</f>
        <v>0</v>
      </c>
      <c r="BV17" s="516">
        <f>SUMIFS(Imput[[Importe Neto]:[Importe Neto]],Imput[[C. Imp.]:[C. Imp.]],$D17,Imput[[PERIODO Imp.]:[PERIODO Imp.]],BV$9)</f>
        <v>0</v>
      </c>
      <c r="BW17" s="516">
        <f>SUMIFS(Imput[[Importe Neto]:[Importe Neto]],Imput[[C. Imp.]:[C. Imp.]],$D17,Imput[[PERIODO Imp.]:[PERIODO Imp.]],BW$9)</f>
        <v>0</v>
      </c>
      <c r="BX17" s="516">
        <f>SUMIFS(Imput[[Importe Neto]:[Importe Neto]],Imput[[C. Imp.]:[C. Imp.]],$D17,Imput[[PERIODO Imp.]:[PERIODO Imp.]],BX$9)</f>
        <v>0</v>
      </c>
      <c r="BY17" s="516">
        <f>SUMIFS(Imput[[Importe Neto]:[Importe Neto]],Imput[[C. Imp.]:[C. Imp.]],$D17,Imput[[PERIODO Imp.]:[PERIODO Imp.]],BY$9)</f>
        <v>0</v>
      </c>
      <c r="BZ17" s="516">
        <f>SUMIFS(Imput[[Importe Neto]:[Importe Neto]],Imput[[C. Imp.]:[C. Imp.]],$D17,Imput[[PERIODO Imp.]:[PERIODO Imp.]],BZ$9)</f>
        <v>0</v>
      </c>
      <c r="CA17" s="516">
        <f>SUMIFS(Imput[[Importe Neto]:[Importe Neto]],Imput[[C. Imp.]:[C. Imp.]],$D17,Imput[[PERIODO Imp.]:[PERIODO Imp.]],CA$9)</f>
        <v>0</v>
      </c>
      <c r="CB17" s="516">
        <f>SUMIFS(Imput[[Importe Neto]:[Importe Neto]],Imput[[C. Imp.]:[C. Imp.]],$D17,Imput[[PERIODO Imp.]:[PERIODO Imp.]],CB$9)</f>
        <v>0</v>
      </c>
      <c r="CC17" s="516">
        <f>SUMIFS(Imput[[Importe Neto]:[Importe Neto]],Imput[[C. Imp.]:[C. Imp.]],$D17,Imput[[PERIODO Imp.]:[PERIODO Imp.]],CC$9)</f>
        <v>0</v>
      </c>
      <c r="CD17" s="516">
        <f>SUMIFS(Imput[[Importe Neto]:[Importe Neto]],Imput[[C. Imp.]:[C. Imp.]],$D17,Imput[[PERIODO Imp.]:[PERIODO Imp.]],CD$9)</f>
        <v>0</v>
      </c>
      <c r="CE17" s="516">
        <f>SUMIFS(Imput[[Importe Neto]:[Importe Neto]],Imput[[C. Imp.]:[C. Imp.]],$D17,Imput[[PERIODO Imp.]:[PERIODO Imp.]],CE$9)</f>
        <v>0</v>
      </c>
      <c r="CF17" s="516">
        <f>SUMIFS(Imput[[Importe Neto]:[Importe Neto]],Imput[[C. Imp.]:[C. Imp.]],$D17,Imput[[PERIODO Imp.]:[PERIODO Imp.]],CF$9)</f>
        <v>0</v>
      </c>
      <c r="CG17" s="516">
        <f>SUMIFS(Imput[[Importe Neto]:[Importe Neto]],Imput[[C. Imp.]:[C. Imp.]],$D17,Imput[[PERIODO Imp.]:[PERIODO Imp.]],CG$9)</f>
        <v>0</v>
      </c>
      <c r="CH17" s="516">
        <f>SUMIFS(Imput[[Importe Neto]:[Importe Neto]],Imput[[C. Imp.]:[C. Imp.]],$D17,Imput[[PERIODO Imp.]:[PERIODO Imp.]],CH$9)</f>
        <v>0</v>
      </c>
      <c r="CI17" s="516">
        <f>SUMIFS(Imput[[Importe Neto]:[Importe Neto]],Imput[[C. Imp.]:[C. Imp.]],$D17,Imput[[PERIODO Imp.]:[PERIODO Imp.]],CI$9)</f>
        <v>0</v>
      </c>
      <c r="CJ17" s="516">
        <f>SUMIFS(Imput[[Importe Neto]:[Importe Neto]],Imput[[C. Imp.]:[C. Imp.]],$D17,Imput[[PERIODO Imp.]:[PERIODO Imp.]],CJ$9)</f>
        <v>0</v>
      </c>
      <c r="CK17" s="516">
        <f>SUMIFS(Imput[[Importe Neto]:[Importe Neto]],Imput[[C. Imp.]:[C. Imp.]],$D17,Imput[[PERIODO Imp.]:[PERIODO Imp.]],CK$9)</f>
        <v>0</v>
      </c>
      <c r="CL17" s="516">
        <f>SUMIFS(Imput[[Importe Neto]:[Importe Neto]],Imput[[C. Imp.]:[C. Imp.]],$D17,Imput[[PERIODO Imp.]:[PERIODO Imp.]],CL$9)</f>
        <v>0</v>
      </c>
      <c r="CM17" s="516">
        <f>SUMIFS(Imput[[Importe Neto]:[Importe Neto]],Imput[[C. Imp.]:[C. Imp.]],$D17,Imput[[PERIODO Imp.]:[PERIODO Imp.]],CM$9)</f>
        <v>0</v>
      </c>
      <c r="CN17" s="516">
        <f>SUMIFS(Imput[[Importe Neto]:[Importe Neto]],Imput[[C. Imp.]:[C. Imp.]],$D17,Imput[[PERIODO Imp.]:[PERIODO Imp.]],CN$9)</f>
        <v>0</v>
      </c>
      <c r="CO17" s="516">
        <f>SUMIFS(Imput[[Importe Neto]:[Importe Neto]],Imput[[C. Imp.]:[C. Imp.]],$D17,Imput[[PERIODO Imp.]:[PERIODO Imp.]],CO$9)</f>
        <v>0</v>
      </c>
      <c r="CP17" s="516">
        <f>SUMIFS(Imput[[Importe Neto]:[Importe Neto]],Imput[[C. Imp.]:[C. Imp.]],$D17,Imput[[PERIODO Imp.]:[PERIODO Imp.]],CP$9)</f>
        <v>0</v>
      </c>
      <c r="CQ17" s="516">
        <f>SUMIFS(Imput[[Importe Neto]:[Importe Neto]],Imput[[C. Imp.]:[C. Imp.]],$D17,Imput[[PERIODO Imp.]:[PERIODO Imp.]],CQ$9)</f>
        <v>0</v>
      </c>
      <c r="CR17" s="516">
        <f>SUMIFS(Imput[[Importe Neto]:[Importe Neto]],Imput[[C. Imp.]:[C. Imp.]],$D17,Imput[[PERIODO Imp.]:[PERIODO Imp.]],CR$9)</f>
        <v>0</v>
      </c>
      <c r="CS17" s="516">
        <f>SUMIFS(Imput[[Importe Neto]:[Importe Neto]],Imput[[C. Imp.]:[C. Imp.]],$D17,Imput[[PERIODO Imp.]:[PERIODO Imp.]],CS$9)</f>
        <v>0</v>
      </c>
      <c r="CT17" s="516">
        <f>SUMIFS(Imput[[Importe Neto]:[Importe Neto]],Imput[[C. Imp.]:[C. Imp.]],$D17,Imput[[PERIODO Imp.]:[PERIODO Imp.]],CT$9)</f>
        <v>0</v>
      </c>
      <c r="CU17" s="516">
        <f>SUMIFS(Imput[[Importe Neto]:[Importe Neto]],Imput[[C. Imp.]:[C. Imp.]],$D17,Imput[[PERIODO Imp.]:[PERIODO Imp.]],CU$9)</f>
        <v>0</v>
      </c>
      <c r="CV17" s="516">
        <f>SUMIFS(Imput[[Importe Neto]:[Importe Neto]],Imput[[C. Imp.]:[C. Imp.]],$D17,Imput[[PERIODO Imp.]:[PERIODO Imp.]],CV$9)</f>
        <v>0</v>
      </c>
      <c r="CW17" s="516">
        <f>SUMIFS(Imput[[Importe Neto]:[Importe Neto]],Imput[[C. Imp.]:[C. Imp.]],$D17,Imput[[PERIODO Imp.]:[PERIODO Imp.]],CW$9)</f>
        <v>0</v>
      </c>
      <c r="CX17" s="516">
        <f>SUMIFS(Imput[[Importe Neto]:[Importe Neto]],Imput[[C. Imp.]:[C. Imp.]],$D17,Imput[[PERIODO Imp.]:[PERIODO Imp.]],CX$9)</f>
        <v>0</v>
      </c>
      <c r="CY17" s="516">
        <f>SUMIFS(Imput[[Importe Neto]:[Importe Neto]],Imput[[C. Imp.]:[C. Imp.]],$D17,Imput[[PERIODO Imp.]:[PERIODO Imp.]],CY$9)</f>
        <v>0</v>
      </c>
      <c r="CZ17" s="516">
        <f>SUMIFS(Imput[[Importe Neto]:[Importe Neto]],Imput[[C. Imp.]:[C. Imp.]],$D17,Imput[[PERIODO Imp.]:[PERIODO Imp.]],CZ$9)</f>
        <v>0</v>
      </c>
      <c r="DA17" s="516">
        <f>SUMIFS(Imput[[Importe Neto]:[Importe Neto]],Imput[[C. Imp.]:[C. Imp.]],$D17,Imput[[PERIODO Imp.]:[PERIODO Imp.]],DA$9)</f>
        <v>0</v>
      </c>
      <c r="DB17" s="516">
        <f>SUMIFS(Imput[[Importe Neto]:[Importe Neto]],Imput[[C. Imp.]:[C. Imp.]],$D17,Imput[[PERIODO Imp.]:[PERIODO Imp.]],DB$9)</f>
        <v>0</v>
      </c>
      <c r="DC17" s="516">
        <f>SUMIFS(Imput[[Importe Neto]:[Importe Neto]],Imput[[C. Imp.]:[C. Imp.]],$D17,Imput[[PERIODO Imp.]:[PERIODO Imp.]],DC$9)</f>
        <v>0</v>
      </c>
      <c r="DD17" s="516">
        <f>SUMIFS(Imput[[Importe Neto]:[Importe Neto]],Imput[[C. Imp.]:[C. Imp.]],$D17,Imput[[PERIODO Imp.]:[PERIODO Imp.]],DD$9)</f>
        <v>0</v>
      </c>
      <c r="DE17" s="516">
        <f>SUMIFS(Imput[[Importe Neto]:[Importe Neto]],Imput[[C. Imp.]:[C. Imp.]],$D17,Imput[[PERIODO Imp.]:[PERIODO Imp.]],DE$9)</f>
        <v>0</v>
      </c>
      <c r="DF17" s="516">
        <f>SUMIFS(Imput[[Importe Neto]:[Importe Neto]],Imput[[C. Imp.]:[C. Imp.]],$D17,Imput[[PERIODO Imp.]:[PERIODO Imp.]],DF$9)</f>
        <v>0</v>
      </c>
      <c r="DG17" s="516">
        <f>SUMIFS(Imput[[Importe Neto]:[Importe Neto]],Imput[[C. Imp.]:[C. Imp.]],$D17,Imput[[PERIODO Imp.]:[PERIODO Imp.]],DG$9)</f>
        <v>0</v>
      </c>
      <c r="DH17" s="616">
        <f>SUMIFS(Imput[[Importe Neto]:[Importe Neto]],Imput[[C. Imp.]:[C. Imp.]],$D17,Imput[[PERIODO Imp.]:[PERIODO Imp.]],DH$9)</f>
        <v>0</v>
      </c>
    </row>
    <row r="18" spans="1:112" outlineLevel="1" x14ac:dyDescent="0.3">
      <c r="A18" s="66" t="str">
        <f t="shared" si="7"/>
        <v>Imprimir</v>
      </c>
      <c r="C18" s="527"/>
      <c r="D18" s="528" t="s">
        <v>2131</v>
      </c>
      <c r="E18" s="528" t="s">
        <v>2011</v>
      </c>
      <c r="F18" s="532"/>
      <c r="G18" s="529">
        <v>170</v>
      </c>
      <c r="H18" s="531">
        <f>Producción!G12*1</f>
        <v>17</v>
      </c>
      <c r="I18" s="849">
        <f t="shared" ref="I18:I24" si="10">IF(E18&gt;0,$J$5,"")</f>
        <v>1</v>
      </c>
      <c r="J18" s="850">
        <f t="shared" ref="J18:J24" si="11">IFERROR(G18*H18*I18,"")</f>
        <v>2890</v>
      </c>
      <c r="K18" s="70"/>
      <c r="L18" s="853">
        <v>0.3</v>
      </c>
      <c r="M18" s="855"/>
      <c r="N18" s="855">
        <v>0.05</v>
      </c>
      <c r="O18" s="855"/>
      <c r="P18" s="855">
        <v>0.05</v>
      </c>
      <c r="Q18" s="855"/>
      <c r="R18" s="855">
        <v>0.05</v>
      </c>
      <c r="S18" s="855"/>
      <c r="T18" s="855">
        <v>0.05</v>
      </c>
      <c r="U18" s="855"/>
      <c r="V18" s="855">
        <v>0.05</v>
      </c>
      <c r="W18" s="855"/>
      <c r="X18" s="855">
        <v>0.05</v>
      </c>
      <c r="Y18" s="855"/>
      <c r="Z18" s="856">
        <v>0.05</v>
      </c>
      <c r="AA18" s="856"/>
      <c r="AB18" s="856">
        <v>0.05</v>
      </c>
      <c r="AC18" s="856"/>
      <c r="AD18" s="856">
        <v>0.05</v>
      </c>
      <c r="AE18" s="856"/>
      <c r="AF18" s="856">
        <v>0.05</v>
      </c>
      <c r="AG18" s="856"/>
      <c r="AH18" s="856">
        <v>0.05</v>
      </c>
      <c r="AI18" s="856"/>
      <c r="AJ18" s="856">
        <v>0.15</v>
      </c>
      <c r="AK18" s="856"/>
      <c r="AL18" s="856"/>
      <c r="AM18" s="856"/>
      <c r="AN18" s="856"/>
      <c r="AO18" s="856"/>
      <c r="AP18" s="856"/>
      <c r="AQ18" s="856"/>
      <c r="AR18" s="856"/>
      <c r="AS18" s="856"/>
      <c r="AT18" s="856"/>
      <c r="AU18" s="856"/>
      <c r="AV18" s="856"/>
      <c r="AW18" s="856"/>
      <c r="AX18" s="856"/>
      <c r="AY18" s="856"/>
      <c r="AZ18" s="856"/>
      <c r="BA18" s="856"/>
      <c r="BB18" s="856"/>
      <c r="BC18" s="856"/>
      <c r="BD18" s="856"/>
      <c r="BE18" s="856"/>
      <c r="BF18" s="856"/>
      <c r="BG18" s="857"/>
      <c r="BH18" s="743"/>
      <c r="BI18" s="68"/>
      <c r="BJ18" s="518">
        <f t="shared" si="8"/>
        <v>0</v>
      </c>
      <c r="BK18" s="517">
        <f t="shared" si="9"/>
        <v>0</v>
      </c>
      <c r="BL18" s="68"/>
      <c r="BM18" s="515">
        <f>SUMIFS(Imput[[Importe Neto]:[Importe Neto]],Imput[[C. Imp.]:[C. Imp.]],$D18,Imput[[PERIODO Imp.]:[PERIODO Imp.]],BM$9)</f>
        <v>0</v>
      </c>
      <c r="BN18" s="516">
        <f>SUMIFS(Imput[[Importe Neto]:[Importe Neto]],Imput[[C. Imp.]:[C. Imp.]],$D18,Imput[[PERIODO Imp.]:[PERIODO Imp.]],BN$9)</f>
        <v>0</v>
      </c>
      <c r="BO18" s="516">
        <f>SUMIFS(Imput[[Importe Neto]:[Importe Neto]],Imput[[C. Imp.]:[C. Imp.]],$D18,Imput[[PERIODO Imp.]:[PERIODO Imp.]],BO$9)</f>
        <v>0</v>
      </c>
      <c r="BP18" s="516">
        <f>SUMIFS(Imput[[Importe Neto]:[Importe Neto]],Imput[[C. Imp.]:[C. Imp.]],$D18,Imput[[PERIODO Imp.]:[PERIODO Imp.]],BP$9)</f>
        <v>0</v>
      </c>
      <c r="BQ18" s="516">
        <f>SUMIFS(Imput[[Importe Neto]:[Importe Neto]],Imput[[C. Imp.]:[C. Imp.]],$D18,Imput[[PERIODO Imp.]:[PERIODO Imp.]],BQ$9)</f>
        <v>0</v>
      </c>
      <c r="BR18" s="516">
        <f>SUMIFS(Imput[[Importe Neto]:[Importe Neto]],Imput[[C. Imp.]:[C. Imp.]],$D18,Imput[[PERIODO Imp.]:[PERIODO Imp.]],BR$9)</f>
        <v>0</v>
      </c>
      <c r="BS18" s="516">
        <f>SUMIFS(Imput[[Importe Neto]:[Importe Neto]],Imput[[C. Imp.]:[C. Imp.]],$D18,Imput[[PERIODO Imp.]:[PERIODO Imp.]],BS$9)</f>
        <v>0</v>
      </c>
      <c r="BT18" s="516">
        <f>SUMIFS(Imput[[Importe Neto]:[Importe Neto]],Imput[[C. Imp.]:[C. Imp.]],$D18,Imput[[PERIODO Imp.]:[PERIODO Imp.]],BT$9)</f>
        <v>0</v>
      </c>
      <c r="BU18" s="516">
        <f>SUMIFS(Imput[[Importe Neto]:[Importe Neto]],Imput[[C. Imp.]:[C. Imp.]],$D18,Imput[[PERIODO Imp.]:[PERIODO Imp.]],BU$9)</f>
        <v>0</v>
      </c>
      <c r="BV18" s="516">
        <f>SUMIFS(Imput[[Importe Neto]:[Importe Neto]],Imput[[C. Imp.]:[C. Imp.]],$D18,Imput[[PERIODO Imp.]:[PERIODO Imp.]],BV$9)</f>
        <v>0</v>
      </c>
      <c r="BW18" s="516">
        <f>SUMIFS(Imput[[Importe Neto]:[Importe Neto]],Imput[[C. Imp.]:[C. Imp.]],$D18,Imput[[PERIODO Imp.]:[PERIODO Imp.]],BW$9)</f>
        <v>0</v>
      </c>
      <c r="BX18" s="516">
        <f>SUMIFS(Imput[[Importe Neto]:[Importe Neto]],Imput[[C. Imp.]:[C. Imp.]],$D18,Imput[[PERIODO Imp.]:[PERIODO Imp.]],BX$9)</f>
        <v>0</v>
      </c>
      <c r="BY18" s="516">
        <f>SUMIFS(Imput[[Importe Neto]:[Importe Neto]],Imput[[C. Imp.]:[C. Imp.]],$D18,Imput[[PERIODO Imp.]:[PERIODO Imp.]],BY$9)</f>
        <v>0</v>
      </c>
      <c r="BZ18" s="516">
        <f>SUMIFS(Imput[[Importe Neto]:[Importe Neto]],Imput[[C. Imp.]:[C. Imp.]],$D18,Imput[[PERIODO Imp.]:[PERIODO Imp.]],BZ$9)</f>
        <v>0</v>
      </c>
      <c r="CA18" s="516">
        <f>SUMIFS(Imput[[Importe Neto]:[Importe Neto]],Imput[[C. Imp.]:[C. Imp.]],$D18,Imput[[PERIODO Imp.]:[PERIODO Imp.]],CA$9)</f>
        <v>0</v>
      </c>
      <c r="CB18" s="516">
        <f>SUMIFS(Imput[[Importe Neto]:[Importe Neto]],Imput[[C. Imp.]:[C. Imp.]],$D18,Imput[[PERIODO Imp.]:[PERIODO Imp.]],CB$9)</f>
        <v>0</v>
      </c>
      <c r="CC18" s="516">
        <f>SUMIFS(Imput[[Importe Neto]:[Importe Neto]],Imput[[C. Imp.]:[C. Imp.]],$D18,Imput[[PERIODO Imp.]:[PERIODO Imp.]],CC$9)</f>
        <v>0</v>
      </c>
      <c r="CD18" s="516">
        <f>SUMIFS(Imput[[Importe Neto]:[Importe Neto]],Imput[[C. Imp.]:[C. Imp.]],$D18,Imput[[PERIODO Imp.]:[PERIODO Imp.]],CD$9)</f>
        <v>0</v>
      </c>
      <c r="CE18" s="516">
        <f>SUMIFS(Imput[[Importe Neto]:[Importe Neto]],Imput[[C. Imp.]:[C. Imp.]],$D18,Imput[[PERIODO Imp.]:[PERIODO Imp.]],CE$9)</f>
        <v>0</v>
      </c>
      <c r="CF18" s="516">
        <f>SUMIFS(Imput[[Importe Neto]:[Importe Neto]],Imput[[C. Imp.]:[C. Imp.]],$D18,Imput[[PERIODO Imp.]:[PERIODO Imp.]],CF$9)</f>
        <v>0</v>
      </c>
      <c r="CG18" s="516">
        <f>SUMIFS(Imput[[Importe Neto]:[Importe Neto]],Imput[[C. Imp.]:[C. Imp.]],$D18,Imput[[PERIODO Imp.]:[PERIODO Imp.]],CG$9)</f>
        <v>0</v>
      </c>
      <c r="CH18" s="516">
        <f>SUMIFS(Imput[[Importe Neto]:[Importe Neto]],Imput[[C. Imp.]:[C. Imp.]],$D18,Imput[[PERIODO Imp.]:[PERIODO Imp.]],CH$9)</f>
        <v>0</v>
      </c>
      <c r="CI18" s="516">
        <f>SUMIFS(Imput[[Importe Neto]:[Importe Neto]],Imput[[C. Imp.]:[C. Imp.]],$D18,Imput[[PERIODO Imp.]:[PERIODO Imp.]],CI$9)</f>
        <v>0</v>
      </c>
      <c r="CJ18" s="516">
        <f>SUMIFS(Imput[[Importe Neto]:[Importe Neto]],Imput[[C. Imp.]:[C. Imp.]],$D18,Imput[[PERIODO Imp.]:[PERIODO Imp.]],CJ$9)</f>
        <v>0</v>
      </c>
      <c r="CK18" s="516">
        <f>SUMIFS(Imput[[Importe Neto]:[Importe Neto]],Imput[[C. Imp.]:[C. Imp.]],$D18,Imput[[PERIODO Imp.]:[PERIODO Imp.]],CK$9)</f>
        <v>0</v>
      </c>
      <c r="CL18" s="516">
        <f>SUMIFS(Imput[[Importe Neto]:[Importe Neto]],Imput[[C. Imp.]:[C. Imp.]],$D18,Imput[[PERIODO Imp.]:[PERIODO Imp.]],CL$9)</f>
        <v>0</v>
      </c>
      <c r="CM18" s="516">
        <f>SUMIFS(Imput[[Importe Neto]:[Importe Neto]],Imput[[C. Imp.]:[C. Imp.]],$D18,Imput[[PERIODO Imp.]:[PERIODO Imp.]],CM$9)</f>
        <v>0</v>
      </c>
      <c r="CN18" s="516">
        <f>SUMIFS(Imput[[Importe Neto]:[Importe Neto]],Imput[[C. Imp.]:[C. Imp.]],$D18,Imput[[PERIODO Imp.]:[PERIODO Imp.]],CN$9)</f>
        <v>0</v>
      </c>
      <c r="CO18" s="516">
        <f>SUMIFS(Imput[[Importe Neto]:[Importe Neto]],Imput[[C. Imp.]:[C. Imp.]],$D18,Imput[[PERIODO Imp.]:[PERIODO Imp.]],CO$9)</f>
        <v>0</v>
      </c>
      <c r="CP18" s="516">
        <f>SUMIFS(Imput[[Importe Neto]:[Importe Neto]],Imput[[C. Imp.]:[C. Imp.]],$D18,Imput[[PERIODO Imp.]:[PERIODO Imp.]],CP$9)</f>
        <v>0</v>
      </c>
      <c r="CQ18" s="516">
        <f>SUMIFS(Imput[[Importe Neto]:[Importe Neto]],Imput[[C. Imp.]:[C. Imp.]],$D18,Imput[[PERIODO Imp.]:[PERIODO Imp.]],CQ$9)</f>
        <v>0</v>
      </c>
      <c r="CR18" s="516">
        <f>SUMIFS(Imput[[Importe Neto]:[Importe Neto]],Imput[[C. Imp.]:[C. Imp.]],$D18,Imput[[PERIODO Imp.]:[PERIODO Imp.]],CR$9)</f>
        <v>0</v>
      </c>
      <c r="CS18" s="516">
        <f>SUMIFS(Imput[[Importe Neto]:[Importe Neto]],Imput[[C. Imp.]:[C. Imp.]],$D18,Imput[[PERIODO Imp.]:[PERIODO Imp.]],CS$9)</f>
        <v>0</v>
      </c>
      <c r="CT18" s="516">
        <f>SUMIFS(Imput[[Importe Neto]:[Importe Neto]],Imput[[C. Imp.]:[C. Imp.]],$D18,Imput[[PERIODO Imp.]:[PERIODO Imp.]],CT$9)</f>
        <v>0</v>
      </c>
      <c r="CU18" s="516">
        <f>SUMIFS(Imput[[Importe Neto]:[Importe Neto]],Imput[[C. Imp.]:[C. Imp.]],$D18,Imput[[PERIODO Imp.]:[PERIODO Imp.]],CU$9)</f>
        <v>0</v>
      </c>
      <c r="CV18" s="516">
        <f>SUMIFS(Imput[[Importe Neto]:[Importe Neto]],Imput[[C. Imp.]:[C. Imp.]],$D18,Imput[[PERIODO Imp.]:[PERIODO Imp.]],CV$9)</f>
        <v>0</v>
      </c>
      <c r="CW18" s="516">
        <f>SUMIFS(Imput[[Importe Neto]:[Importe Neto]],Imput[[C. Imp.]:[C. Imp.]],$D18,Imput[[PERIODO Imp.]:[PERIODO Imp.]],CW$9)</f>
        <v>0</v>
      </c>
      <c r="CX18" s="516">
        <f>SUMIFS(Imput[[Importe Neto]:[Importe Neto]],Imput[[C. Imp.]:[C. Imp.]],$D18,Imput[[PERIODO Imp.]:[PERIODO Imp.]],CX$9)</f>
        <v>0</v>
      </c>
      <c r="CY18" s="516">
        <f>SUMIFS(Imput[[Importe Neto]:[Importe Neto]],Imput[[C. Imp.]:[C. Imp.]],$D18,Imput[[PERIODO Imp.]:[PERIODO Imp.]],CY$9)</f>
        <v>0</v>
      </c>
      <c r="CZ18" s="516">
        <f>SUMIFS(Imput[[Importe Neto]:[Importe Neto]],Imput[[C. Imp.]:[C. Imp.]],$D18,Imput[[PERIODO Imp.]:[PERIODO Imp.]],CZ$9)</f>
        <v>0</v>
      </c>
      <c r="DA18" s="516">
        <f>SUMIFS(Imput[[Importe Neto]:[Importe Neto]],Imput[[C. Imp.]:[C. Imp.]],$D18,Imput[[PERIODO Imp.]:[PERIODO Imp.]],DA$9)</f>
        <v>0</v>
      </c>
      <c r="DB18" s="516">
        <f>SUMIFS(Imput[[Importe Neto]:[Importe Neto]],Imput[[C. Imp.]:[C. Imp.]],$D18,Imput[[PERIODO Imp.]:[PERIODO Imp.]],DB$9)</f>
        <v>0</v>
      </c>
      <c r="DC18" s="516">
        <f>SUMIFS(Imput[[Importe Neto]:[Importe Neto]],Imput[[C. Imp.]:[C. Imp.]],$D18,Imput[[PERIODO Imp.]:[PERIODO Imp.]],DC$9)</f>
        <v>0</v>
      </c>
      <c r="DD18" s="516">
        <f>SUMIFS(Imput[[Importe Neto]:[Importe Neto]],Imput[[C. Imp.]:[C. Imp.]],$D18,Imput[[PERIODO Imp.]:[PERIODO Imp.]],DD$9)</f>
        <v>0</v>
      </c>
      <c r="DE18" s="516">
        <f>SUMIFS(Imput[[Importe Neto]:[Importe Neto]],Imput[[C. Imp.]:[C. Imp.]],$D18,Imput[[PERIODO Imp.]:[PERIODO Imp.]],DE$9)</f>
        <v>0</v>
      </c>
      <c r="DF18" s="516">
        <f>SUMIFS(Imput[[Importe Neto]:[Importe Neto]],Imput[[C. Imp.]:[C. Imp.]],$D18,Imput[[PERIODO Imp.]:[PERIODO Imp.]],DF$9)</f>
        <v>0</v>
      </c>
      <c r="DG18" s="516">
        <f>SUMIFS(Imput[[Importe Neto]:[Importe Neto]],Imput[[C. Imp.]:[C. Imp.]],$D18,Imput[[PERIODO Imp.]:[PERIODO Imp.]],DG$9)</f>
        <v>0</v>
      </c>
      <c r="DH18" s="616">
        <f>SUMIFS(Imput[[Importe Neto]:[Importe Neto]],Imput[[C. Imp.]:[C. Imp.]],$D18,Imput[[PERIODO Imp.]:[PERIODO Imp.]],DH$9)</f>
        <v>0</v>
      </c>
    </row>
    <row r="19" spans="1:112" outlineLevel="1" x14ac:dyDescent="0.3">
      <c r="A19" s="66" t="str">
        <f t="shared" si="7"/>
        <v>Imprimir</v>
      </c>
      <c r="C19" s="527"/>
      <c r="D19" s="528" t="s">
        <v>2132</v>
      </c>
      <c r="E19" s="528" t="s">
        <v>476</v>
      </c>
      <c r="F19" s="532"/>
      <c r="G19" s="529">
        <v>80000</v>
      </c>
      <c r="H19" s="531">
        <f>Producción!G12*0.022</f>
        <v>0.374</v>
      </c>
      <c r="I19" s="849">
        <f t="shared" si="10"/>
        <v>1</v>
      </c>
      <c r="J19" s="850">
        <f t="shared" si="11"/>
        <v>29920</v>
      </c>
      <c r="K19" s="70"/>
      <c r="L19" s="853">
        <v>0.3</v>
      </c>
      <c r="M19" s="855"/>
      <c r="N19" s="855">
        <v>0.05</v>
      </c>
      <c r="O19" s="855"/>
      <c r="P19" s="855">
        <v>0.05</v>
      </c>
      <c r="Q19" s="855"/>
      <c r="R19" s="855">
        <v>0.05</v>
      </c>
      <c r="S19" s="855"/>
      <c r="T19" s="855">
        <v>0.05</v>
      </c>
      <c r="U19" s="855"/>
      <c r="V19" s="855">
        <v>0.05</v>
      </c>
      <c r="W19" s="855"/>
      <c r="X19" s="855">
        <v>0.05</v>
      </c>
      <c r="Y19" s="855"/>
      <c r="Z19" s="856">
        <v>0.05</v>
      </c>
      <c r="AA19" s="856"/>
      <c r="AB19" s="856">
        <v>0.05</v>
      </c>
      <c r="AC19" s="856"/>
      <c r="AD19" s="856">
        <v>0.05</v>
      </c>
      <c r="AE19" s="856"/>
      <c r="AF19" s="856">
        <v>0.05</v>
      </c>
      <c r="AG19" s="856"/>
      <c r="AH19" s="856">
        <v>0.05</v>
      </c>
      <c r="AI19" s="856"/>
      <c r="AJ19" s="856">
        <v>0.15</v>
      </c>
      <c r="AK19" s="856"/>
      <c r="AL19" s="856"/>
      <c r="AM19" s="856"/>
      <c r="AN19" s="856"/>
      <c r="AO19" s="856"/>
      <c r="AP19" s="856"/>
      <c r="AQ19" s="856"/>
      <c r="AR19" s="856"/>
      <c r="AS19" s="856"/>
      <c r="AT19" s="856"/>
      <c r="AU19" s="856"/>
      <c r="AV19" s="856"/>
      <c r="AW19" s="856"/>
      <c r="AX19" s="856"/>
      <c r="AY19" s="856"/>
      <c r="AZ19" s="856"/>
      <c r="BA19" s="856"/>
      <c r="BB19" s="856"/>
      <c r="BC19" s="856"/>
      <c r="BD19" s="856"/>
      <c r="BE19" s="856"/>
      <c r="BF19" s="856"/>
      <c r="BG19" s="857"/>
      <c r="BH19" s="743"/>
      <c r="BI19" s="68"/>
      <c r="BJ19" s="518">
        <f t="shared" si="8"/>
        <v>0</v>
      </c>
      <c r="BK19" s="517">
        <f t="shared" si="9"/>
        <v>0</v>
      </c>
      <c r="BL19" s="68"/>
      <c r="BM19" s="515">
        <f>SUMIFS(Imput[[Importe Neto]:[Importe Neto]],Imput[[C. Imp.]:[C. Imp.]],$D19,Imput[[PERIODO Imp.]:[PERIODO Imp.]],BM$9)</f>
        <v>0</v>
      </c>
      <c r="BN19" s="516">
        <f>SUMIFS(Imput[[Importe Neto]:[Importe Neto]],Imput[[C. Imp.]:[C. Imp.]],$D19,Imput[[PERIODO Imp.]:[PERIODO Imp.]],BN$9)</f>
        <v>0</v>
      </c>
      <c r="BO19" s="516">
        <f>SUMIFS(Imput[[Importe Neto]:[Importe Neto]],Imput[[C. Imp.]:[C. Imp.]],$D19,Imput[[PERIODO Imp.]:[PERIODO Imp.]],BO$9)</f>
        <v>0</v>
      </c>
      <c r="BP19" s="516">
        <f>SUMIFS(Imput[[Importe Neto]:[Importe Neto]],Imput[[C. Imp.]:[C. Imp.]],$D19,Imput[[PERIODO Imp.]:[PERIODO Imp.]],BP$9)</f>
        <v>0</v>
      </c>
      <c r="BQ19" s="516">
        <f>SUMIFS(Imput[[Importe Neto]:[Importe Neto]],Imput[[C. Imp.]:[C. Imp.]],$D19,Imput[[PERIODO Imp.]:[PERIODO Imp.]],BQ$9)</f>
        <v>0</v>
      </c>
      <c r="BR19" s="516">
        <f>SUMIFS(Imput[[Importe Neto]:[Importe Neto]],Imput[[C. Imp.]:[C. Imp.]],$D19,Imput[[PERIODO Imp.]:[PERIODO Imp.]],BR$9)</f>
        <v>0</v>
      </c>
      <c r="BS19" s="516">
        <f>SUMIFS(Imput[[Importe Neto]:[Importe Neto]],Imput[[C. Imp.]:[C. Imp.]],$D19,Imput[[PERIODO Imp.]:[PERIODO Imp.]],BS$9)</f>
        <v>0</v>
      </c>
      <c r="BT19" s="516">
        <f>SUMIFS(Imput[[Importe Neto]:[Importe Neto]],Imput[[C. Imp.]:[C. Imp.]],$D19,Imput[[PERIODO Imp.]:[PERIODO Imp.]],BT$9)</f>
        <v>0</v>
      </c>
      <c r="BU19" s="516">
        <f>SUMIFS(Imput[[Importe Neto]:[Importe Neto]],Imput[[C. Imp.]:[C. Imp.]],$D19,Imput[[PERIODO Imp.]:[PERIODO Imp.]],BU$9)</f>
        <v>0</v>
      </c>
      <c r="BV19" s="516">
        <f>SUMIFS(Imput[[Importe Neto]:[Importe Neto]],Imput[[C. Imp.]:[C. Imp.]],$D19,Imput[[PERIODO Imp.]:[PERIODO Imp.]],BV$9)</f>
        <v>0</v>
      </c>
      <c r="BW19" s="516">
        <f>SUMIFS(Imput[[Importe Neto]:[Importe Neto]],Imput[[C. Imp.]:[C. Imp.]],$D19,Imput[[PERIODO Imp.]:[PERIODO Imp.]],BW$9)</f>
        <v>0</v>
      </c>
      <c r="BX19" s="516">
        <f>SUMIFS(Imput[[Importe Neto]:[Importe Neto]],Imput[[C. Imp.]:[C. Imp.]],$D19,Imput[[PERIODO Imp.]:[PERIODO Imp.]],BX$9)</f>
        <v>0</v>
      </c>
      <c r="BY19" s="516">
        <f>SUMIFS(Imput[[Importe Neto]:[Importe Neto]],Imput[[C. Imp.]:[C. Imp.]],$D19,Imput[[PERIODO Imp.]:[PERIODO Imp.]],BY$9)</f>
        <v>0</v>
      </c>
      <c r="BZ19" s="516">
        <f>SUMIFS(Imput[[Importe Neto]:[Importe Neto]],Imput[[C. Imp.]:[C. Imp.]],$D19,Imput[[PERIODO Imp.]:[PERIODO Imp.]],BZ$9)</f>
        <v>0</v>
      </c>
      <c r="CA19" s="516">
        <f>SUMIFS(Imput[[Importe Neto]:[Importe Neto]],Imput[[C. Imp.]:[C. Imp.]],$D19,Imput[[PERIODO Imp.]:[PERIODO Imp.]],CA$9)</f>
        <v>0</v>
      </c>
      <c r="CB19" s="516">
        <f>SUMIFS(Imput[[Importe Neto]:[Importe Neto]],Imput[[C. Imp.]:[C. Imp.]],$D19,Imput[[PERIODO Imp.]:[PERIODO Imp.]],CB$9)</f>
        <v>0</v>
      </c>
      <c r="CC19" s="516">
        <f>SUMIFS(Imput[[Importe Neto]:[Importe Neto]],Imput[[C. Imp.]:[C. Imp.]],$D19,Imput[[PERIODO Imp.]:[PERIODO Imp.]],CC$9)</f>
        <v>0</v>
      </c>
      <c r="CD19" s="516">
        <f>SUMIFS(Imput[[Importe Neto]:[Importe Neto]],Imput[[C. Imp.]:[C. Imp.]],$D19,Imput[[PERIODO Imp.]:[PERIODO Imp.]],CD$9)</f>
        <v>0</v>
      </c>
      <c r="CE19" s="516">
        <f>SUMIFS(Imput[[Importe Neto]:[Importe Neto]],Imput[[C. Imp.]:[C. Imp.]],$D19,Imput[[PERIODO Imp.]:[PERIODO Imp.]],CE$9)</f>
        <v>0</v>
      </c>
      <c r="CF19" s="516">
        <f>SUMIFS(Imput[[Importe Neto]:[Importe Neto]],Imput[[C. Imp.]:[C. Imp.]],$D19,Imput[[PERIODO Imp.]:[PERIODO Imp.]],CF$9)</f>
        <v>0</v>
      </c>
      <c r="CG19" s="516">
        <f>SUMIFS(Imput[[Importe Neto]:[Importe Neto]],Imput[[C. Imp.]:[C. Imp.]],$D19,Imput[[PERIODO Imp.]:[PERIODO Imp.]],CG$9)</f>
        <v>0</v>
      </c>
      <c r="CH19" s="516">
        <f>SUMIFS(Imput[[Importe Neto]:[Importe Neto]],Imput[[C. Imp.]:[C. Imp.]],$D19,Imput[[PERIODO Imp.]:[PERIODO Imp.]],CH$9)</f>
        <v>0</v>
      </c>
      <c r="CI19" s="516">
        <f>SUMIFS(Imput[[Importe Neto]:[Importe Neto]],Imput[[C. Imp.]:[C. Imp.]],$D19,Imput[[PERIODO Imp.]:[PERIODO Imp.]],CI$9)</f>
        <v>0</v>
      </c>
      <c r="CJ19" s="516">
        <f>SUMIFS(Imput[[Importe Neto]:[Importe Neto]],Imput[[C. Imp.]:[C. Imp.]],$D19,Imput[[PERIODO Imp.]:[PERIODO Imp.]],CJ$9)</f>
        <v>0</v>
      </c>
      <c r="CK19" s="516">
        <f>SUMIFS(Imput[[Importe Neto]:[Importe Neto]],Imput[[C. Imp.]:[C. Imp.]],$D19,Imput[[PERIODO Imp.]:[PERIODO Imp.]],CK$9)</f>
        <v>0</v>
      </c>
      <c r="CL19" s="516">
        <f>SUMIFS(Imput[[Importe Neto]:[Importe Neto]],Imput[[C. Imp.]:[C. Imp.]],$D19,Imput[[PERIODO Imp.]:[PERIODO Imp.]],CL$9)</f>
        <v>0</v>
      </c>
      <c r="CM19" s="516">
        <f>SUMIFS(Imput[[Importe Neto]:[Importe Neto]],Imput[[C. Imp.]:[C. Imp.]],$D19,Imput[[PERIODO Imp.]:[PERIODO Imp.]],CM$9)</f>
        <v>0</v>
      </c>
      <c r="CN19" s="516">
        <f>SUMIFS(Imput[[Importe Neto]:[Importe Neto]],Imput[[C. Imp.]:[C. Imp.]],$D19,Imput[[PERIODO Imp.]:[PERIODO Imp.]],CN$9)</f>
        <v>0</v>
      </c>
      <c r="CO19" s="516">
        <f>SUMIFS(Imput[[Importe Neto]:[Importe Neto]],Imput[[C. Imp.]:[C. Imp.]],$D19,Imput[[PERIODO Imp.]:[PERIODO Imp.]],CO$9)</f>
        <v>0</v>
      </c>
      <c r="CP19" s="516">
        <f>SUMIFS(Imput[[Importe Neto]:[Importe Neto]],Imput[[C. Imp.]:[C. Imp.]],$D19,Imput[[PERIODO Imp.]:[PERIODO Imp.]],CP$9)</f>
        <v>0</v>
      </c>
      <c r="CQ19" s="516">
        <f>SUMIFS(Imput[[Importe Neto]:[Importe Neto]],Imput[[C. Imp.]:[C. Imp.]],$D19,Imput[[PERIODO Imp.]:[PERIODO Imp.]],CQ$9)</f>
        <v>0</v>
      </c>
      <c r="CR19" s="516">
        <f>SUMIFS(Imput[[Importe Neto]:[Importe Neto]],Imput[[C. Imp.]:[C. Imp.]],$D19,Imput[[PERIODO Imp.]:[PERIODO Imp.]],CR$9)</f>
        <v>0</v>
      </c>
      <c r="CS19" s="516">
        <f>SUMIFS(Imput[[Importe Neto]:[Importe Neto]],Imput[[C. Imp.]:[C. Imp.]],$D19,Imput[[PERIODO Imp.]:[PERIODO Imp.]],CS$9)</f>
        <v>0</v>
      </c>
      <c r="CT19" s="516">
        <f>SUMIFS(Imput[[Importe Neto]:[Importe Neto]],Imput[[C. Imp.]:[C. Imp.]],$D19,Imput[[PERIODO Imp.]:[PERIODO Imp.]],CT$9)</f>
        <v>0</v>
      </c>
      <c r="CU19" s="516">
        <f>SUMIFS(Imput[[Importe Neto]:[Importe Neto]],Imput[[C. Imp.]:[C. Imp.]],$D19,Imput[[PERIODO Imp.]:[PERIODO Imp.]],CU$9)</f>
        <v>0</v>
      </c>
      <c r="CV19" s="516">
        <f>SUMIFS(Imput[[Importe Neto]:[Importe Neto]],Imput[[C. Imp.]:[C. Imp.]],$D19,Imput[[PERIODO Imp.]:[PERIODO Imp.]],CV$9)</f>
        <v>0</v>
      </c>
      <c r="CW19" s="516">
        <f>SUMIFS(Imput[[Importe Neto]:[Importe Neto]],Imput[[C. Imp.]:[C. Imp.]],$D19,Imput[[PERIODO Imp.]:[PERIODO Imp.]],CW$9)</f>
        <v>0</v>
      </c>
      <c r="CX19" s="516">
        <f>SUMIFS(Imput[[Importe Neto]:[Importe Neto]],Imput[[C. Imp.]:[C. Imp.]],$D19,Imput[[PERIODO Imp.]:[PERIODO Imp.]],CX$9)</f>
        <v>0</v>
      </c>
      <c r="CY19" s="516">
        <f>SUMIFS(Imput[[Importe Neto]:[Importe Neto]],Imput[[C. Imp.]:[C. Imp.]],$D19,Imput[[PERIODO Imp.]:[PERIODO Imp.]],CY$9)</f>
        <v>0</v>
      </c>
      <c r="CZ19" s="516">
        <f>SUMIFS(Imput[[Importe Neto]:[Importe Neto]],Imput[[C. Imp.]:[C. Imp.]],$D19,Imput[[PERIODO Imp.]:[PERIODO Imp.]],CZ$9)</f>
        <v>0</v>
      </c>
      <c r="DA19" s="516">
        <f>SUMIFS(Imput[[Importe Neto]:[Importe Neto]],Imput[[C. Imp.]:[C. Imp.]],$D19,Imput[[PERIODO Imp.]:[PERIODO Imp.]],DA$9)</f>
        <v>0</v>
      </c>
      <c r="DB19" s="516">
        <f>SUMIFS(Imput[[Importe Neto]:[Importe Neto]],Imput[[C. Imp.]:[C. Imp.]],$D19,Imput[[PERIODO Imp.]:[PERIODO Imp.]],DB$9)</f>
        <v>0</v>
      </c>
      <c r="DC19" s="516">
        <f>SUMIFS(Imput[[Importe Neto]:[Importe Neto]],Imput[[C. Imp.]:[C. Imp.]],$D19,Imput[[PERIODO Imp.]:[PERIODO Imp.]],DC$9)</f>
        <v>0</v>
      </c>
      <c r="DD19" s="516">
        <f>SUMIFS(Imput[[Importe Neto]:[Importe Neto]],Imput[[C. Imp.]:[C. Imp.]],$D19,Imput[[PERIODO Imp.]:[PERIODO Imp.]],DD$9)</f>
        <v>0</v>
      </c>
      <c r="DE19" s="516">
        <f>SUMIFS(Imput[[Importe Neto]:[Importe Neto]],Imput[[C. Imp.]:[C. Imp.]],$D19,Imput[[PERIODO Imp.]:[PERIODO Imp.]],DE$9)</f>
        <v>0</v>
      </c>
      <c r="DF19" s="516">
        <f>SUMIFS(Imput[[Importe Neto]:[Importe Neto]],Imput[[C. Imp.]:[C. Imp.]],$D19,Imput[[PERIODO Imp.]:[PERIODO Imp.]],DF$9)</f>
        <v>0</v>
      </c>
      <c r="DG19" s="516">
        <f>SUMIFS(Imput[[Importe Neto]:[Importe Neto]],Imput[[C. Imp.]:[C. Imp.]],$D19,Imput[[PERIODO Imp.]:[PERIODO Imp.]],DG$9)</f>
        <v>0</v>
      </c>
      <c r="DH19" s="616">
        <f>SUMIFS(Imput[[Importe Neto]:[Importe Neto]],Imput[[C. Imp.]:[C. Imp.]],$D19,Imput[[PERIODO Imp.]:[PERIODO Imp.]],DH$9)</f>
        <v>0</v>
      </c>
    </row>
    <row r="20" spans="1:112" outlineLevel="1" x14ac:dyDescent="0.3">
      <c r="A20" s="66" t="str">
        <f t="shared" si="7"/>
        <v>Imprimir</v>
      </c>
      <c r="C20" s="527"/>
      <c r="D20" s="528" t="s">
        <v>2133</v>
      </c>
      <c r="E20" s="528" t="s">
        <v>477</v>
      </c>
      <c r="F20" s="532"/>
      <c r="G20" s="529">
        <v>10</v>
      </c>
      <c r="H20" s="531">
        <f>Producción!G12*127.68</f>
        <v>2170.56</v>
      </c>
      <c r="I20" s="849">
        <f t="shared" si="10"/>
        <v>1</v>
      </c>
      <c r="J20" s="850">
        <f t="shared" si="11"/>
        <v>21705.599999999999</v>
      </c>
      <c r="K20" s="70"/>
      <c r="L20" s="853">
        <v>0.3</v>
      </c>
      <c r="M20" s="855"/>
      <c r="N20" s="855">
        <v>0.05</v>
      </c>
      <c r="O20" s="855"/>
      <c r="P20" s="855">
        <v>0.05</v>
      </c>
      <c r="Q20" s="855"/>
      <c r="R20" s="855">
        <v>0.05</v>
      </c>
      <c r="S20" s="855"/>
      <c r="T20" s="855">
        <v>0.05</v>
      </c>
      <c r="U20" s="855"/>
      <c r="V20" s="855">
        <v>0.05</v>
      </c>
      <c r="W20" s="855"/>
      <c r="X20" s="855">
        <v>0.05</v>
      </c>
      <c r="Y20" s="855"/>
      <c r="Z20" s="856">
        <v>0.05</v>
      </c>
      <c r="AA20" s="856"/>
      <c r="AB20" s="856">
        <v>0.05</v>
      </c>
      <c r="AC20" s="856"/>
      <c r="AD20" s="856">
        <v>0.05</v>
      </c>
      <c r="AE20" s="856"/>
      <c r="AF20" s="856">
        <v>0.05</v>
      </c>
      <c r="AG20" s="856"/>
      <c r="AH20" s="856">
        <v>0.05</v>
      </c>
      <c r="AI20" s="856"/>
      <c r="AJ20" s="856">
        <v>0.15</v>
      </c>
      <c r="AK20" s="856"/>
      <c r="AL20" s="856"/>
      <c r="AM20" s="856"/>
      <c r="AN20" s="856"/>
      <c r="AO20" s="856"/>
      <c r="AP20" s="856"/>
      <c r="AQ20" s="856"/>
      <c r="AR20" s="856"/>
      <c r="AS20" s="856"/>
      <c r="AT20" s="856"/>
      <c r="AU20" s="856"/>
      <c r="AV20" s="856"/>
      <c r="AW20" s="856"/>
      <c r="AX20" s="856"/>
      <c r="AY20" s="856"/>
      <c r="AZ20" s="856"/>
      <c r="BA20" s="856"/>
      <c r="BB20" s="856"/>
      <c r="BC20" s="856"/>
      <c r="BD20" s="856"/>
      <c r="BE20" s="856"/>
      <c r="BF20" s="856"/>
      <c r="BG20" s="857"/>
      <c r="BH20" s="743"/>
      <c r="BI20" s="68"/>
      <c r="BJ20" s="518">
        <f t="shared" si="8"/>
        <v>0</v>
      </c>
      <c r="BK20" s="517">
        <f t="shared" si="9"/>
        <v>0</v>
      </c>
      <c r="BL20" s="68"/>
      <c r="BM20" s="515">
        <f>SUMIFS(Imput[[Importe Neto]:[Importe Neto]],Imput[[C. Imp.]:[C. Imp.]],$D20,Imput[[PERIODO Imp.]:[PERIODO Imp.]],BM$9)</f>
        <v>0</v>
      </c>
      <c r="BN20" s="516">
        <f>SUMIFS(Imput[[Importe Neto]:[Importe Neto]],Imput[[C. Imp.]:[C. Imp.]],$D20,Imput[[PERIODO Imp.]:[PERIODO Imp.]],BN$9)</f>
        <v>0</v>
      </c>
      <c r="BO20" s="516">
        <f>SUMIFS(Imput[[Importe Neto]:[Importe Neto]],Imput[[C. Imp.]:[C. Imp.]],$D20,Imput[[PERIODO Imp.]:[PERIODO Imp.]],BO$9)</f>
        <v>0</v>
      </c>
      <c r="BP20" s="516">
        <f>SUMIFS(Imput[[Importe Neto]:[Importe Neto]],Imput[[C. Imp.]:[C. Imp.]],$D20,Imput[[PERIODO Imp.]:[PERIODO Imp.]],BP$9)</f>
        <v>0</v>
      </c>
      <c r="BQ20" s="516">
        <f>SUMIFS(Imput[[Importe Neto]:[Importe Neto]],Imput[[C. Imp.]:[C. Imp.]],$D20,Imput[[PERIODO Imp.]:[PERIODO Imp.]],BQ$9)</f>
        <v>0</v>
      </c>
      <c r="BR20" s="516">
        <f>SUMIFS(Imput[[Importe Neto]:[Importe Neto]],Imput[[C. Imp.]:[C. Imp.]],$D20,Imput[[PERIODO Imp.]:[PERIODO Imp.]],BR$9)</f>
        <v>0</v>
      </c>
      <c r="BS20" s="516">
        <f>SUMIFS(Imput[[Importe Neto]:[Importe Neto]],Imput[[C. Imp.]:[C. Imp.]],$D20,Imput[[PERIODO Imp.]:[PERIODO Imp.]],BS$9)</f>
        <v>0</v>
      </c>
      <c r="BT20" s="516">
        <f>SUMIFS(Imput[[Importe Neto]:[Importe Neto]],Imput[[C. Imp.]:[C. Imp.]],$D20,Imput[[PERIODO Imp.]:[PERIODO Imp.]],BT$9)</f>
        <v>0</v>
      </c>
      <c r="BU20" s="516">
        <f>SUMIFS(Imput[[Importe Neto]:[Importe Neto]],Imput[[C. Imp.]:[C. Imp.]],$D20,Imput[[PERIODO Imp.]:[PERIODO Imp.]],BU$9)</f>
        <v>0</v>
      </c>
      <c r="BV20" s="516">
        <f>SUMIFS(Imput[[Importe Neto]:[Importe Neto]],Imput[[C. Imp.]:[C. Imp.]],$D20,Imput[[PERIODO Imp.]:[PERIODO Imp.]],BV$9)</f>
        <v>0</v>
      </c>
      <c r="BW20" s="516">
        <f>SUMIFS(Imput[[Importe Neto]:[Importe Neto]],Imput[[C. Imp.]:[C. Imp.]],$D20,Imput[[PERIODO Imp.]:[PERIODO Imp.]],BW$9)</f>
        <v>0</v>
      </c>
      <c r="BX20" s="516">
        <f>SUMIFS(Imput[[Importe Neto]:[Importe Neto]],Imput[[C. Imp.]:[C. Imp.]],$D20,Imput[[PERIODO Imp.]:[PERIODO Imp.]],BX$9)</f>
        <v>0</v>
      </c>
      <c r="BY20" s="516">
        <f>SUMIFS(Imput[[Importe Neto]:[Importe Neto]],Imput[[C. Imp.]:[C. Imp.]],$D20,Imput[[PERIODO Imp.]:[PERIODO Imp.]],BY$9)</f>
        <v>0</v>
      </c>
      <c r="BZ20" s="516">
        <f>SUMIFS(Imput[[Importe Neto]:[Importe Neto]],Imput[[C. Imp.]:[C. Imp.]],$D20,Imput[[PERIODO Imp.]:[PERIODO Imp.]],BZ$9)</f>
        <v>0</v>
      </c>
      <c r="CA20" s="516">
        <f>SUMIFS(Imput[[Importe Neto]:[Importe Neto]],Imput[[C. Imp.]:[C. Imp.]],$D20,Imput[[PERIODO Imp.]:[PERIODO Imp.]],CA$9)</f>
        <v>0</v>
      </c>
      <c r="CB20" s="516">
        <f>SUMIFS(Imput[[Importe Neto]:[Importe Neto]],Imput[[C. Imp.]:[C. Imp.]],$D20,Imput[[PERIODO Imp.]:[PERIODO Imp.]],CB$9)</f>
        <v>0</v>
      </c>
      <c r="CC20" s="516">
        <f>SUMIFS(Imput[[Importe Neto]:[Importe Neto]],Imput[[C. Imp.]:[C. Imp.]],$D20,Imput[[PERIODO Imp.]:[PERIODO Imp.]],CC$9)</f>
        <v>0</v>
      </c>
      <c r="CD20" s="516">
        <f>SUMIFS(Imput[[Importe Neto]:[Importe Neto]],Imput[[C. Imp.]:[C. Imp.]],$D20,Imput[[PERIODO Imp.]:[PERIODO Imp.]],CD$9)</f>
        <v>0</v>
      </c>
      <c r="CE20" s="516">
        <f>SUMIFS(Imput[[Importe Neto]:[Importe Neto]],Imput[[C. Imp.]:[C. Imp.]],$D20,Imput[[PERIODO Imp.]:[PERIODO Imp.]],CE$9)</f>
        <v>0</v>
      </c>
      <c r="CF20" s="516">
        <f>SUMIFS(Imput[[Importe Neto]:[Importe Neto]],Imput[[C. Imp.]:[C. Imp.]],$D20,Imput[[PERIODO Imp.]:[PERIODO Imp.]],CF$9)</f>
        <v>0</v>
      </c>
      <c r="CG20" s="516">
        <f>SUMIFS(Imput[[Importe Neto]:[Importe Neto]],Imput[[C. Imp.]:[C. Imp.]],$D20,Imput[[PERIODO Imp.]:[PERIODO Imp.]],CG$9)</f>
        <v>0</v>
      </c>
      <c r="CH20" s="516">
        <f>SUMIFS(Imput[[Importe Neto]:[Importe Neto]],Imput[[C. Imp.]:[C. Imp.]],$D20,Imput[[PERIODO Imp.]:[PERIODO Imp.]],CH$9)</f>
        <v>0</v>
      </c>
      <c r="CI20" s="516">
        <f>SUMIFS(Imput[[Importe Neto]:[Importe Neto]],Imput[[C. Imp.]:[C. Imp.]],$D20,Imput[[PERIODO Imp.]:[PERIODO Imp.]],CI$9)</f>
        <v>0</v>
      </c>
      <c r="CJ20" s="516">
        <f>SUMIFS(Imput[[Importe Neto]:[Importe Neto]],Imput[[C. Imp.]:[C. Imp.]],$D20,Imput[[PERIODO Imp.]:[PERIODO Imp.]],CJ$9)</f>
        <v>0</v>
      </c>
      <c r="CK20" s="516">
        <f>SUMIFS(Imput[[Importe Neto]:[Importe Neto]],Imput[[C. Imp.]:[C. Imp.]],$D20,Imput[[PERIODO Imp.]:[PERIODO Imp.]],CK$9)</f>
        <v>0</v>
      </c>
      <c r="CL20" s="516">
        <f>SUMIFS(Imput[[Importe Neto]:[Importe Neto]],Imput[[C. Imp.]:[C. Imp.]],$D20,Imput[[PERIODO Imp.]:[PERIODO Imp.]],CL$9)</f>
        <v>0</v>
      </c>
      <c r="CM20" s="516">
        <f>SUMIFS(Imput[[Importe Neto]:[Importe Neto]],Imput[[C. Imp.]:[C. Imp.]],$D20,Imput[[PERIODO Imp.]:[PERIODO Imp.]],CM$9)</f>
        <v>0</v>
      </c>
      <c r="CN20" s="516">
        <f>SUMIFS(Imput[[Importe Neto]:[Importe Neto]],Imput[[C. Imp.]:[C. Imp.]],$D20,Imput[[PERIODO Imp.]:[PERIODO Imp.]],CN$9)</f>
        <v>0</v>
      </c>
      <c r="CO20" s="516">
        <f>SUMIFS(Imput[[Importe Neto]:[Importe Neto]],Imput[[C. Imp.]:[C. Imp.]],$D20,Imput[[PERIODO Imp.]:[PERIODO Imp.]],CO$9)</f>
        <v>0</v>
      </c>
      <c r="CP20" s="516">
        <f>SUMIFS(Imput[[Importe Neto]:[Importe Neto]],Imput[[C. Imp.]:[C. Imp.]],$D20,Imput[[PERIODO Imp.]:[PERIODO Imp.]],CP$9)</f>
        <v>0</v>
      </c>
      <c r="CQ20" s="516">
        <f>SUMIFS(Imput[[Importe Neto]:[Importe Neto]],Imput[[C. Imp.]:[C. Imp.]],$D20,Imput[[PERIODO Imp.]:[PERIODO Imp.]],CQ$9)</f>
        <v>0</v>
      </c>
      <c r="CR20" s="516">
        <f>SUMIFS(Imput[[Importe Neto]:[Importe Neto]],Imput[[C. Imp.]:[C. Imp.]],$D20,Imput[[PERIODO Imp.]:[PERIODO Imp.]],CR$9)</f>
        <v>0</v>
      </c>
      <c r="CS20" s="516">
        <f>SUMIFS(Imput[[Importe Neto]:[Importe Neto]],Imput[[C. Imp.]:[C. Imp.]],$D20,Imput[[PERIODO Imp.]:[PERIODO Imp.]],CS$9)</f>
        <v>0</v>
      </c>
      <c r="CT20" s="516">
        <f>SUMIFS(Imput[[Importe Neto]:[Importe Neto]],Imput[[C. Imp.]:[C. Imp.]],$D20,Imput[[PERIODO Imp.]:[PERIODO Imp.]],CT$9)</f>
        <v>0</v>
      </c>
      <c r="CU20" s="516">
        <f>SUMIFS(Imput[[Importe Neto]:[Importe Neto]],Imput[[C. Imp.]:[C. Imp.]],$D20,Imput[[PERIODO Imp.]:[PERIODO Imp.]],CU$9)</f>
        <v>0</v>
      </c>
      <c r="CV20" s="516">
        <f>SUMIFS(Imput[[Importe Neto]:[Importe Neto]],Imput[[C. Imp.]:[C. Imp.]],$D20,Imput[[PERIODO Imp.]:[PERIODO Imp.]],CV$9)</f>
        <v>0</v>
      </c>
      <c r="CW20" s="516">
        <f>SUMIFS(Imput[[Importe Neto]:[Importe Neto]],Imput[[C. Imp.]:[C. Imp.]],$D20,Imput[[PERIODO Imp.]:[PERIODO Imp.]],CW$9)</f>
        <v>0</v>
      </c>
      <c r="CX20" s="516">
        <f>SUMIFS(Imput[[Importe Neto]:[Importe Neto]],Imput[[C. Imp.]:[C. Imp.]],$D20,Imput[[PERIODO Imp.]:[PERIODO Imp.]],CX$9)</f>
        <v>0</v>
      </c>
      <c r="CY20" s="516">
        <f>SUMIFS(Imput[[Importe Neto]:[Importe Neto]],Imput[[C. Imp.]:[C. Imp.]],$D20,Imput[[PERIODO Imp.]:[PERIODO Imp.]],CY$9)</f>
        <v>0</v>
      </c>
      <c r="CZ20" s="516">
        <f>SUMIFS(Imput[[Importe Neto]:[Importe Neto]],Imput[[C. Imp.]:[C. Imp.]],$D20,Imput[[PERIODO Imp.]:[PERIODO Imp.]],CZ$9)</f>
        <v>0</v>
      </c>
      <c r="DA20" s="516">
        <f>SUMIFS(Imput[[Importe Neto]:[Importe Neto]],Imput[[C. Imp.]:[C. Imp.]],$D20,Imput[[PERIODO Imp.]:[PERIODO Imp.]],DA$9)</f>
        <v>0</v>
      </c>
      <c r="DB20" s="516">
        <f>SUMIFS(Imput[[Importe Neto]:[Importe Neto]],Imput[[C. Imp.]:[C. Imp.]],$D20,Imput[[PERIODO Imp.]:[PERIODO Imp.]],DB$9)</f>
        <v>0</v>
      </c>
      <c r="DC20" s="516">
        <f>SUMIFS(Imput[[Importe Neto]:[Importe Neto]],Imput[[C. Imp.]:[C. Imp.]],$D20,Imput[[PERIODO Imp.]:[PERIODO Imp.]],DC$9)</f>
        <v>0</v>
      </c>
      <c r="DD20" s="516">
        <f>SUMIFS(Imput[[Importe Neto]:[Importe Neto]],Imput[[C. Imp.]:[C. Imp.]],$D20,Imput[[PERIODO Imp.]:[PERIODO Imp.]],DD$9)</f>
        <v>0</v>
      </c>
      <c r="DE20" s="516">
        <f>SUMIFS(Imput[[Importe Neto]:[Importe Neto]],Imput[[C. Imp.]:[C. Imp.]],$D20,Imput[[PERIODO Imp.]:[PERIODO Imp.]],DE$9)</f>
        <v>0</v>
      </c>
      <c r="DF20" s="516">
        <f>SUMIFS(Imput[[Importe Neto]:[Importe Neto]],Imput[[C. Imp.]:[C. Imp.]],$D20,Imput[[PERIODO Imp.]:[PERIODO Imp.]],DF$9)</f>
        <v>0</v>
      </c>
      <c r="DG20" s="516">
        <f>SUMIFS(Imput[[Importe Neto]:[Importe Neto]],Imput[[C. Imp.]:[C. Imp.]],$D20,Imput[[PERIODO Imp.]:[PERIODO Imp.]],DG$9)</f>
        <v>0</v>
      </c>
      <c r="DH20" s="616">
        <f>SUMIFS(Imput[[Importe Neto]:[Importe Neto]],Imput[[C. Imp.]:[C. Imp.]],$D20,Imput[[PERIODO Imp.]:[PERIODO Imp.]],DH$9)</f>
        <v>0</v>
      </c>
    </row>
    <row r="21" spans="1:112" outlineLevel="1" x14ac:dyDescent="0.3">
      <c r="A21" s="66" t="str">
        <f t="shared" si="7"/>
        <v>Imprimir</v>
      </c>
      <c r="C21" s="527"/>
      <c r="D21" s="528" t="s">
        <v>2134</v>
      </c>
      <c r="E21" s="528" t="s">
        <v>475</v>
      </c>
      <c r="F21" s="532"/>
      <c r="G21" s="529">
        <v>1100</v>
      </c>
      <c r="H21" s="531">
        <f>Producción!G12*2.5</f>
        <v>42.5</v>
      </c>
      <c r="I21" s="849">
        <f t="shared" si="10"/>
        <v>1</v>
      </c>
      <c r="J21" s="850">
        <f t="shared" si="11"/>
        <v>46750</v>
      </c>
      <c r="K21" s="70"/>
      <c r="L21" s="853">
        <v>0.5</v>
      </c>
      <c r="M21" s="855"/>
      <c r="N21" s="855"/>
      <c r="O21" s="855"/>
      <c r="P21" s="855"/>
      <c r="Q21" s="855"/>
      <c r="R21" s="855">
        <v>0.05</v>
      </c>
      <c r="S21" s="855"/>
      <c r="T21" s="855">
        <v>0.05</v>
      </c>
      <c r="U21" s="855"/>
      <c r="V21" s="855">
        <v>0.05</v>
      </c>
      <c r="W21" s="855"/>
      <c r="X21" s="855">
        <v>0.05</v>
      </c>
      <c r="Y21" s="855"/>
      <c r="Z21" s="856">
        <v>0.05</v>
      </c>
      <c r="AA21" s="856"/>
      <c r="AB21" s="856">
        <v>0.05</v>
      </c>
      <c r="AC21" s="856"/>
      <c r="AD21" s="856">
        <v>0.05</v>
      </c>
      <c r="AE21" s="856"/>
      <c r="AF21" s="856">
        <v>0.05</v>
      </c>
      <c r="AG21" s="856"/>
      <c r="AH21" s="856"/>
      <c r="AI21" s="856"/>
      <c r="AJ21" s="856">
        <v>0.1</v>
      </c>
      <c r="AK21" s="856"/>
      <c r="AL21" s="856"/>
      <c r="AM21" s="856"/>
      <c r="AN21" s="856"/>
      <c r="AO21" s="856"/>
      <c r="AP21" s="856"/>
      <c r="AQ21" s="856"/>
      <c r="AR21" s="856"/>
      <c r="AS21" s="856"/>
      <c r="AT21" s="856"/>
      <c r="AU21" s="856"/>
      <c r="AV21" s="856"/>
      <c r="AW21" s="856"/>
      <c r="AX21" s="856"/>
      <c r="AY21" s="856"/>
      <c r="AZ21" s="856"/>
      <c r="BA21" s="856"/>
      <c r="BB21" s="856"/>
      <c r="BC21" s="856"/>
      <c r="BD21" s="856"/>
      <c r="BE21" s="856"/>
      <c r="BF21" s="856"/>
      <c r="BG21" s="857"/>
      <c r="BH21" s="743"/>
      <c r="BI21" s="68"/>
      <c r="BJ21" s="518">
        <f t="shared" si="8"/>
        <v>2.3001033839572194</v>
      </c>
      <c r="BK21" s="517">
        <f t="shared" si="9"/>
        <v>107529.83320000001</v>
      </c>
      <c r="BL21" s="68"/>
      <c r="BM21" s="515">
        <f>SUMIFS(Imput[[Importe Neto]:[Importe Neto]],Imput[[C. Imp.]:[C. Imp.]],$D21,Imput[[PERIODO Imp.]:[PERIODO Imp.]],BM$9)</f>
        <v>0</v>
      </c>
      <c r="BN21" s="516">
        <f>SUMIFS(Imput[[Importe Neto]:[Importe Neto]],Imput[[C. Imp.]:[C. Imp.]],$D21,Imput[[PERIODO Imp.]:[PERIODO Imp.]],BN$9)</f>
        <v>0</v>
      </c>
      <c r="BO21" s="516">
        <f>SUMIFS(Imput[[Importe Neto]:[Importe Neto]],Imput[[C. Imp.]:[C. Imp.]],$D21,Imput[[PERIODO Imp.]:[PERIODO Imp.]],BO$9)</f>
        <v>0</v>
      </c>
      <c r="BP21" s="516">
        <f>SUMIFS(Imput[[Importe Neto]:[Importe Neto]],Imput[[C. Imp.]:[C. Imp.]],$D21,Imput[[PERIODO Imp.]:[PERIODO Imp.]],BP$9)</f>
        <v>2445.0016000000005</v>
      </c>
      <c r="BQ21" s="516">
        <f>SUMIFS(Imput[[Importe Neto]:[Importe Neto]],Imput[[C. Imp.]:[C. Imp.]],$D21,Imput[[PERIODO Imp.]:[PERIODO Imp.]],BQ$9)</f>
        <v>29455.531200000001</v>
      </c>
      <c r="BR21" s="516">
        <f>SUMIFS(Imput[[Importe Neto]:[Importe Neto]],Imput[[C. Imp.]:[C. Imp.]],$D21,Imput[[PERIODO Imp.]:[PERIODO Imp.]],BR$9)</f>
        <v>75629.300400000007</v>
      </c>
      <c r="BS21" s="516">
        <f>SUMIFS(Imput[[Importe Neto]:[Importe Neto]],Imput[[C. Imp.]:[C. Imp.]],$D21,Imput[[PERIODO Imp.]:[PERIODO Imp.]],BS$9)</f>
        <v>0</v>
      </c>
      <c r="BT21" s="516">
        <f>SUMIFS(Imput[[Importe Neto]:[Importe Neto]],Imput[[C. Imp.]:[C. Imp.]],$D21,Imput[[PERIODO Imp.]:[PERIODO Imp.]],BT$9)</f>
        <v>0</v>
      </c>
      <c r="BU21" s="516">
        <f>SUMIFS(Imput[[Importe Neto]:[Importe Neto]],Imput[[C. Imp.]:[C. Imp.]],$D21,Imput[[PERIODO Imp.]:[PERIODO Imp.]],BU$9)</f>
        <v>0</v>
      </c>
      <c r="BV21" s="516">
        <f>SUMIFS(Imput[[Importe Neto]:[Importe Neto]],Imput[[C. Imp.]:[C. Imp.]],$D21,Imput[[PERIODO Imp.]:[PERIODO Imp.]],BV$9)</f>
        <v>0</v>
      </c>
      <c r="BW21" s="516">
        <f>SUMIFS(Imput[[Importe Neto]:[Importe Neto]],Imput[[C. Imp.]:[C. Imp.]],$D21,Imput[[PERIODO Imp.]:[PERIODO Imp.]],BW$9)</f>
        <v>0</v>
      </c>
      <c r="BX21" s="516">
        <f>SUMIFS(Imput[[Importe Neto]:[Importe Neto]],Imput[[C. Imp.]:[C. Imp.]],$D21,Imput[[PERIODO Imp.]:[PERIODO Imp.]],BX$9)</f>
        <v>0</v>
      </c>
      <c r="BY21" s="516">
        <f>SUMIFS(Imput[[Importe Neto]:[Importe Neto]],Imput[[C. Imp.]:[C. Imp.]],$D21,Imput[[PERIODO Imp.]:[PERIODO Imp.]],BY$9)</f>
        <v>0</v>
      </c>
      <c r="BZ21" s="516">
        <f>SUMIFS(Imput[[Importe Neto]:[Importe Neto]],Imput[[C. Imp.]:[C. Imp.]],$D21,Imput[[PERIODO Imp.]:[PERIODO Imp.]],BZ$9)</f>
        <v>0</v>
      </c>
      <c r="CA21" s="516">
        <f>SUMIFS(Imput[[Importe Neto]:[Importe Neto]],Imput[[C. Imp.]:[C. Imp.]],$D21,Imput[[PERIODO Imp.]:[PERIODO Imp.]],CA$9)</f>
        <v>0</v>
      </c>
      <c r="CB21" s="516">
        <f>SUMIFS(Imput[[Importe Neto]:[Importe Neto]],Imput[[C. Imp.]:[C. Imp.]],$D21,Imput[[PERIODO Imp.]:[PERIODO Imp.]],CB$9)</f>
        <v>0</v>
      </c>
      <c r="CC21" s="516">
        <f>SUMIFS(Imput[[Importe Neto]:[Importe Neto]],Imput[[C. Imp.]:[C. Imp.]],$D21,Imput[[PERIODO Imp.]:[PERIODO Imp.]],CC$9)</f>
        <v>0</v>
      </c>
      <c r="CD21" s="516">
        <f>SUMIFS(Imput[[Importe Neto]:[Importe Neto]],Imput[[C. Imp.]:[C. Imp.]],$D21,Imput[[PERIODO Imp.]:[PERIODO Imp.]],CD$9)</f>
        <v>0</v>
      </c>
      <c r="CE21" s="516">
        <f>SUMIFS(Imput[[Importe Neto]:[Importe Neto]],Imput[[C. Imp.]:[C. Imp.]],$D21,Imput[[PERIODO Imp.]:[PERIODO Imp.]],CE$9)</f>
        <v>0</v>
      </c>
      <c r="CF21" s="516">
        <f>SUMIFS(Imput[[Importe Neto]:[Importe Neto]],Imput[[C. Imp.]:[C. Imp.]],$D21,Imput[[PERIODO Imp.]:[PERIODO Imp.]],CF$9)</f>
        <v>0</v>
      </c>
      <c r="CG21" s="516">
        <f>SUMIFS(Imput[[Importe Neto]:[Importe Neto]],Imput[[C. Imp.]:[C. Imp.]],$D21,Imput[[PERIODO Imp.]:[PERIODO Imp.]],CG$9)</f>
        <v>0</v>
      </c>
      <c r="CH21" s="516">
        <f>SUMIFS(Imput[[Importe Neto]:[Importe Neto]],Imput[[C. Imp.]:[C. Imp.]],$D21,Imput[[PERIODO Imp.]:[PERIODO Imp.]],CH$9)</f>
        <v>0</v>
      </c>
      <c r="CI21" s="516">
        <f>SUMIFS(Imput[[Importe Neto]:[Importe Neto]],Imput[[C. Imp.]:[C. Imp.]],$D21,Imput[[PERIODO Imp.]:[PERIODO Imp.]],CI$9)</f>
        <v>0</v>
      </c>
      <c r="CJ21" s="516">
        <f>SUMIFS(Imput[[Importe Neto]:[Importe Neto]],Imput[[C. Imp.]:[C. Imp.]],$D21,Imput[[PERIODO Imp.]:[PERIODO Imp.]],CJ$9)</f>
        <v>0</v>
      </c>
      <c r="CK21" s="516">
        <f>SUMIFS(Imput[[Importe Neto]:[Importe Neto]],Imput[[C. Imp.]:[C. Imp.]],$D21,Imput[[PERIODO Imp.]:[PERIODO Imp.]],CK$9)</f>
        <v>0</v>
      </c>
      <c r="CL21" s="516">
        <f>SUMIFS(Imput[[Importe Neto]:[Importe Neto]],Imput[[C. Imp.]:[C. Imp.]],$D21,Imput[[PERIODO Imp.]:[PERIODO Imp.]],CL$9)</f>
        <v>0</v>
      </c>
      <c r="CM21" s="516">
        <f>SUMIFS(Imput[[Importe Neto]:[Importe Neto]],Imput[[C. Imp.]:[C. Imp.]],$D21,Imput[[PERIODO Imp.]:[PERIODO Imp.]],CM$9)</f>
        <v>0</v>
      </c>
      <c r="CN21" s="516">
        <f>SUMIFS(Imput[[Importe Neto]:[Importe Neto]],Imput[[C. Imp.]:[C. Imp.]],$D21,Imput[[PERIODO Imp.]:[PERIODO Imp.]],CN$9)</f>
        <v>0</v>
      </c>
      <c r="CO21" s="516">
        <f>SUMIFS(Imput[[Importe Neto]:[Importe Neto]],Imput[[C. Imp.]:[C. Imp.]],$D21,Imput[[PERIODO Imp.]:[PERIODO Imp.]],CO$9)</f>
        <v>0</v>
      </c>
      <c r="CP21" s="516">
        <f>SUMIFS(Imput[[Importe Neto]:[Importe Neto]],Imput[[C. Imp.]:[C. Imp.]],$D21,Imput[[PERIODO Imp.]:[PERIODO Imp.]],CP$9)</f>
        <v>0</v>
      </c>
      <c r="CQ21" s="516">
        <f>SUMIFS(Imput[[Importe Neto]:[Importe Neto]],Imput[[C. Imp.]:[C. Imp.]],$D21,Imput[[PERIODO Imp.]:[PERIODO Imp.]],CQ$9)</f>
        <v>0</v>
      </c>
      <c r="CR21" s="516">
        <f>SUMIFS(Imput[[Importe Neto]:[Importe Neto]],Imput[[C. Imp.]:[C. Imp.]],$D21,Imput[[PERIODO Imp.]:[PERIODO Imp.]],CR$9)</f>
        <v>0</v>
      </c>
      <c r="CS21" s="516">
        <f>SUMIFS(Imput[[Importe Neto]:[Importe Neto]],Imput[[C. Imp.]:[C. Imp.]],$D21,Imput[[PERIODO Imp.]:[PERIODO Imp.]],CS$9)</f>
        <v>0</v>
      </c>
      <c r="CT21" s="516">
        <f>SUMIFS(Imput[[Importe Neto]:[Importe Neto]],Imput[[C. Imp.]:[C. Imp.]],$D21,Imput[[PERIODO Imp.]:[PERIODO Imp.]],CT$9)</f>
        <v>0</v>
      </c>
      <c r="CU21" s="516">
        <f>SUMIFS(Imput[[Importe Neto]:[Importe Neto]],Imput[[C. Imp.]:[C. Imp.]],$D21,Imput[[PERIODO Imp.]:[PERIODO Imp.]],CU$9)</f>
        <v>0</v>
      </c>
      <c r="CV21" s="516">
        <f>SUMIFS(Imput[[Importe Neto]:[Importe Neto]],Imput[[C. Imp.]:[C. Imp.]],$D21,Imput[[PERIODO Imp.]:[PERIODO Imp.]],CV$9)</f>
        <v>0</v>
      </c>
      <c r="CW21" s="516">
        <f>SUMIFS(Imput[[Importe Neto]:[Importe Neto]],Imput[[C. Imp.]:[C. Imp.]],$D21,Imput[[PERIODO Imp.]:[PERIODO Imp.]],CW$9)</f>
        <v>0</v>
      </c>
      <c r="CX21" s="516">
        <f>SUMIFS(Imput[[Importe Neto]:[Importe Neto]],Imput[[C. Imp.]:[C. Imp.]],$D21,Imput[[PERIODO Imp.]:[PERIODO Imp.]],CX$9)</f>
        <v>0</v>
      </c>
      <c r="CY21" s="516">
        <f>SUMIFS(Imput[[Importe Neto]:[Importe Neto]],Imput[[C. Imp.]:[C. Imp.]],$D21,Imput[[PERIODO Imp.]:[PERIODO Imp.]],CY$9)</f>
        <v>0</v>
      </c>
      <c r="CZ21" s="516">
        <f>SUMIFS(Imput[[Importe Neto]:[Importe Neto]],Imput[[C. Imp.]:[C. Imp.]],$D21,Imput[[PERIODO Imp.]:[PERIODO Imp.]],CZ$9)</f>
        <v>0</v>
      </c>
      <c r="DA21" s="516">
        <f>SUMIFS(Imput[[Importe Neto]:[Importe Neto]],Imput[[C. Imp.]:[C. Imp.]],$D21,Imput[[PERIODO Imp.]:[PERIODO Imp.]],DA$9)</f>
        <v>0</v>
      </c>
      <c r="DB21" s="516">
        <f>SUMIFS(Imput[[Importe Neto]:[Importe Neto]],Imput[[C. Imp.]:[C. Imp.]],$D21,Imput[[PERIODO Imp.]:[PERIODO Imp.]],DB$9)</f>
        <v>0</v>
      </c>
      <c r="DC21" s="516">
        <f>SUMIFS(Imput[[Importe Neto]:[Importe Neto]],Imput[[C. Imp.]:[C. Imp.]],$D21,Imput[[PERIODO Imp.]:[PERIODO Imp.]],DC$9)</f>
        <v>0</v>
      </c>
      <c r="DD21" s="516">
        <f>SUMIFS(Imput[[Importe Neto]:[Importe Neto]],Imput[[C. Imp.]:[C. Imp.]],$D21,Imput[[PERIODO Imp.]:[PERIODO Imp.]],DD$9)</f>
        <v>0</v>
      </c>
      <c r="DE21" s="516">
        <f>SUMIFS(Imput[[Importe Neto]:[Importe Neto]],Imput[[C. Imp.]:[C. Imp.]],$D21,Imput[[PERIODO Imp.]:[PERIODO Imp.]],DE$9)</f>
        <v>0</v>
      </c>
      <c r="DF21" s="516">
        <f>SUMIFS(Imput[[Importe Neto]:[Importe Neto]],Imput[[C. Imp.]:[C. Imp.]],$D21,Imput[[PERIODO Imp.]:[PERIODO Imp.]],DF$9)</f>
        <v>0</v>
      </c>
      <c r="DG21" s="516">
        <f>SUMIFS(Imput[[Importe Neto]:[Importe Neto]],Imput[[C. Imp.]:[C. Imp.]],$D21,Imput[[PERIODO Imp.]:[PERIODO Imp.]],DG$9)</f>
        <v>0</v>
      </c>
      <c r="DH21" s="616">
        <f>SUMIFS(Imput[[Importe Neto]:[Importe Neto]],Imput[[C. Imp.]:[C. Imp.]],$D21,Imput[[PERIODO Imp.]:[PERIODO Imp.]],DH$9)</f>
        <v>0</v>
      </c>
    </row>
    <row r="22" spans="1:112" outlineLevel="1" x14ac:dyDescent="0.3">
      <c r="A22" s="652" t="str">
        <f t="shared" si="7"/>
        <v>Imprimir</v>
      </c>
      <c r="B22" s="652"/>
      <c r="C22" s="685"/>
      <c r="D22" s="686" t="s">
        <v>2135</v>
      </c>
      <c r="E22" s="686" t="s">
        <v>2129</v>
      </c>
      <c r="F22" s="720"/>
      <c r="G22" s="688">
        <v>5000</v>
      </c>
      <c r="H22" s="689">
        <f>Producción!G12*0.1</f>
        <v>1.7000000000000002</v>
      </c>
      <c r="I22" s="851">
        <f t="shared" si="10"/>
        <v>1</v>
      </c>
      <c r="J22" s="852">
        <f t="shared" si="11"/>
        <v>8500</v>
      </c>
      <c r="K22" s="667"/>
      <c r="L22" s="858">
        <v>0.3</v>
      </c>
      <c r="M22" s="859"/>
      <c r="N22" s="859">
        <v>0.05</v>
      </c>
      <c r="O22" s="859"/>
      <c r="P22" s="859">
        <v>0.05</v>
      </c>
      <c r="Q22" s="859"/>
      <c r="R22" s="859">
        <v>0.05</v>
      </c>
      <c r="S22" s="859"/>
      <c r="T22" s="859">
        <v>0.05</v>
      </c>
      <c r="U22" s="859"/>
      <c r="V22" s="859">
        <v>0.05</v>
      </c>
      <c r="W22" s="859"/>
      <c r="X22" s="859">
        <v>0.05</v>
      </c>
      <c r="Y22" s="859"/>
      <c r="Z22" s="860">
        <v>0.05</v>
      </c>
      <c r="AA22" s="860"/>
      <c r="AB22" s="860">
        <v>0.05</v>
      </c>
      <c r="AC22" s="860"/>
      <c r="AD22" s="860">
        <v>0.05</v>
      </c>
      <c r="AE22" s="860"/>
      <c r="AF22" s="860">
        <v>0.05</v>
      </c>
      <c r="AG22" s="860"/>
      <c r="AH22" s="860">
        <v>0.05</v>
      </c>
      <c r="AI22" s="860"/>
      <c r="AJ22" s="860">
        <v>0.15</v>
      </c>
      <c r="AK22" s="860"/>
      <c r="AL22" s="860"/>
      <c r="AM22" s="860"/>
      <c r="AN22" s="860"/>
      <c r="AO22" s="860"/>
      <c r="AP22" s="860"/>
      <c r="AQ22" s="860"/>
      <c r="AR22" s="860"/>
      <c r="AS22" s="860"/>
      <c r="AT22" s="860"/>
      <c r="AU22" s="860"/>
      <c r="AV22" s="860"/>
      <c r="AW22" s="860"/>
      <c r="AX22" s="860"/>
      <c r="AY22" s="860"/>
      <c r="AZ22" s="860"/>
      <c r="BA22" s="860"/>
      <c r="BB22" s="860"/>
      <c r="BC22" s="860"/>
      <c r="BD22" s="860"/>
      <c r="BE22" s="860"/>
      <c r="BF22" s="860"/>
      <c r="BG22" s="861"/>
      <c r="BH22" s="668"/>
      <c r="BI22" s="667"/>
      <c r="BJ22" s="690">
        <f t="shared" si="8"/>
        <v>1.3314634980392159</v>
      </c>
      <c r="BK22" s="691">
        <f t="shared" si="9"/>
        <v>11317.439733333335</v>
      </c>
      <c r="BL22" s="654"/>
      <c r="BM22" s="692">
        <f>SUMIFS(Imput[[Importe Neto]:[Importe Neto]],Imput[[C. Imp.]:[C. Imp.]],$D22,Imput[[PERIODO Imp.]:[PERIODO Imp.]],BM$9)</f>
        <v>0</v>
      </c>
      <c r="BN22" s="693">
        <f>SUMIFS(Imput[[Importe Neto]:[Importe Neto]],Imput[[C. Imp.]:[C. Imp.]],$D22,Imput[[PERIODO Imp.]:[PERIODO Imp.]],BN$9)</f>
        <v>0</v>
      </c>
      <c r="BO22" s="693">
        <f>SUMIFS(Imput[[Importe Neto]:[Importe Neto]],Imput[[C. Imp.]:[C. Imp.]],$D22,Imput[[PERIODO Imp.]:[PERIODO Imp.]],BO$9)</f>
        <v>0</v>
      </c>
      <c r="BP22" s="693">
        <f>SUMIFS(Imput[[Importe Neto]:[Importe Neto]],Imput[[C. Imp.]:[C. Imp.]],$D22,Imput[[PERIODO Imp.]:[PERIODO Imp.]],BP$9)</f>
        <v>389.99973333333332</v>
      </c>
      <c r="BQ22" s="693">
        <f>SUMIFS(Imput[[Importe Neto]:[Importe Neto]],Imput[[C. Imp.]:[C. Imp.]],$D22,Imput[[PERIODO Imp.]:[PERIODO Imp.]],BQ$9)</f>
        <v>0</v>
      </c>
      <c r="BR22" s="693">
        <f>SUMIFS(Imput[[Importe Neto]:[Importe Neto]],Imput[[C. Imp.]:[C. Imp.]],$D22,Imput[[PERIODO Imp.]:[PERIODO Imp.]],BR$9)</f>
        <v>10927.44</v>
      </c>
      <c r="BS22" s="693">
        <f>SUMIFS(Imput[[Importe Neto]:[Importe Neto]],Imput[[C. Imp.]:[C. Imp.]],$D22,Imput[[PERIODO Imp.]:[PERIODO Imp.]],BS$9)</f>
        <v>0</v>
      </c>
      <c r="BT22" s="693">
        <f>SUMIFS(Imput[[Importe Neto]:[Importe Neto]],Imput[[C. Imp.]:[C. Imp.]],$D22,Imput[[PERIODO Imp.]:[PERIODO Imp.]],BT$9)</f>
        <v>0</v>
      </c>
      <c r="BU22" s="693">
        <f>SUMIFS(Imput[[Importe Neto]:[Importe Neto]],Imput[[C. Imp.]:[C. Imp.]],$D22,Imput[[PERIODO Imp.]:[PERIODO Imp.]],BU$9)</f>
        <v>0</v>
      </c>
      <c r="BV22" s="693">
        <f>SUMIFS(Imput[[Importe Neto]:[Importe Neto]],Imput[[C. Imp.]:[C. Imp.]],$D22,Imput[[PERIODO Imp.]:[PERIODO Imp.]],BV$9)</f>
        <v>0</v>
      </c>
      <c r="BW22" s="693">
        <f>SUMIFS(Imput[[Importe Neto]:[Importe Neto]],Imput[[C. Imp.]:[C. Imp.]],$D22,Imput[[PERIODO Imp.]:[PERIODO Imp.]],BW$9)</f>
        <v>0</v>
      </c>
      <c r="BX22" s="693">
        <f>SUMIFS(Imput[[Importe Neto]:[Importe Neto]],Imput[[C. Imp.]:[C. Imp.]],$D22,Imput[[PERIODO Imp.]:[PERIODO Imp.]],BX$9)</f>
        <v>0</v>
      </c>
      <c r="BY22" s="693">
        <f>SUMIFS(Imput[[Importe Neto]:[Importe Neto]],Imput[[C. Imp.]:[C. Imp.]],$D22,Imput[[PERIODO Imp.]:[PERIODO Imp.]],BY$9)</f>
        <v>0</v>
      </c>
      <c r="BZ22" s="693">
        <f>SUMIFS(Imput[[Importe Neto]:[Importe Neto]],Imput[[C. Imp.]:[C. Imp.]],$D22,Imput[[PERIODO Imp.]:[PERIODO Imp.]],BZ$9)</f>
        <v>0</v>
      </c>
      <c r="CA22" s="693">
        <f>SUMIFS(Imput[[Importe Neto]:[Importe Neto]],Imput[[C. Imp.]:[C. Imp.]],$D22,Imput[[PERIODO Imp.]:[PERIODO Imp.]],CA$9)</f>
        <v>0</v>
      </c>
      <c r="CB22" s="693">
        <f>SUMIFS(Imput[[Importe Neto]:[Importe Neto]],Imput[[C. Imp.]:[C. Imp.]],$D22,Imput[[PERIODO Imp.]:[PERIODO Imp.]],CB$9)</f>
        <v>0</v>
      </c>
      <c r="CC22" s="693">
        <f>SUMIFS(Imput[[Importe Neto]:[Importe Neto]],Imput[[C. Imp.]:[C. Imp.]],$D22,Imput[[PERIODO Imp.]:[PERIODO Imp.]],CC$9)</f>
        <v>0</v>
      </c>
      <c r="CD22" s="693">
        <f>SUMIFS(Imput[[Importe Neto]:[Importe Neto]],Imput[[C. Imp.]:[C. Imp.]],$D22,Imput[[PERIODO Imp.]:[PERIODO Imp.]],CD$9)</f>
        <v>0</v>
      </c>
      <c r="CE22" s="693">
        <f>SUMIFS(Imput[[Importe Neto]:[Importe Neto]],Imput[[C. Imp.]:[C. Imp.]],$D22,Imput[[PERIODO Imp.]:[PERIODO Imp.]],CE$9)</f>
        <v>0</v>
      </c>
      <c r="CF22" s="693">
        <f>SUMIFS(Imput[[Importe Neto]:[Importe Neto]],Imput[[C. Imp.]:[C. Imp.]],$D22,Imput[[PERIODO Imp.]:[PERIODO Imp.]],CF$9)</f>
        <v>0</v>
      </c>
      <c r="CG22" s="693">
        <f>SUMIFS(Imput[[Importe Neto]:[Importe Neto]],Imput[[C. Imp.]:[C. Imp.]],$D22,Imput[[PERIODO Imp.]:[PERIODO Imp.]],CG$9)</f>
        <v>0</v>
      </c>
      <c r="CH22" s="693">
        <f>SUMIFS(Imput[[Importe Neto]:[Importe Neto]],Imput[[C. Imp.]:[C. Imp.]],$D22,Imput[[PERIODO Imp.]:[PERIODO Imp.]],CH$9)</f>
        <v>0</v>
      </c>
      <c r="CI22" s="693">
        <f>SUMIFS(Imput[[Importe Neto]:[Importe Neto]],Imput[[C. Imp.]:[C. Imp.]],$D22,Imput[[PERIODO Imp.]:[PERIODO Imp.]],CI$9)</f>
        <v>0</v>
      </c>
      <c r="CJ22" s="693">
        <f>SUMIFS(Imput[[Importe Neto]:[Importe Neto]],Imput[[C. Imp.]:[C. Imp.]],$D22,Imput[[PERIODO Imp.]:[PERIODO Imp.]],CJ$9)</f>
        <v>0</v>
      </c>
      <c r="CK22" s="693">
        <f>SUMIFS(Imput[[Importe Neto]:[Importe Neto]],Imput[[C. Imp.]:[C. Imp.]],$D22,Imput[[PERIODO Imp.]:[PERIODO Imp.]],CK$9)</f>
        <v>0</v>
      </c>
      <c r="CL22" s="693">
        <f>SUMIFS(Imput[[Importe Neto]:[Importe Neto]],Imput[[C. Imp.]:[C. Imp.]],$D22,Imput[[PERIODO Imp.]:[PERIODO Imp.]],CL$9)</f>
        <v>0</v>
      </c>
      <c r="CM22" s="693">
        <f>SUMIFS(Imput[[Importe Neto]:[Importe Neto]],Imput[[C. Imp.]:[C. Imp.]],$D22,Imput[[PERIODO Imp.]:[PERIODO Imp.]],CM$9)</f>
        <v>0</v>
      </c>
      <c r="CN22" s="693">
        <f>SUMIFS(Imput[[Importe Neto]:[Importe Neto]],Imput[[C. Imp.]:[C. Imp.]],$D22,Imput[[PERIODO Imp.]:[PERIODO Imp.]],CN$9)</f>
        <v>0</v>
      </c>
      <c r="CO22" s="693">
        <f>SUMIFS(Imput[[Importe Neto]:[Importe Neto]],Imput[[C. Imp.]:[C. Imp.]],$D22,Imput[[PERIODO Imp.]:[PERIODO Imp.]],CO$9)</f>
        <v>0</v>
      </c>
      <c r="CP22" s="693">
        <f>SUMIFS(Imput[[Importe Neto]:[Importe Neto]],Imput[[C. Imp.]:[C. Imp.]],$D22,Imput[[PERIODO Imp.]:[PERIODO Imp.]],CP$9)</f>
        <v>0</v>
      </c>
      <c r="CQ22" s="693">
        <f>SUMIFS(Imput[[Importe Neto]:[Importe Neto]],Imput[[C. Imp.]:[C. Imp.]],$D22,Imput[[PERIODO Imp.]:[PERIODO Imp.]],CQ$9)</f>
        <v>0</v>
      </c>
      <c r="CR22" s="693">
        <f>SUMIFS(Imput[[Importe Neto]:[Importe Neto]],Imput[[C. Imp.]:[C. Imp.]],$D22,Imput[[PERIODO Imp.]:[PERIODO Imp.]],CR$9)</f>
        <v>0</v>
      </c>
      <c r="CS22" s="693">
        <f>SUMIFS(Imput[[Importe Neto]:[Importe Neto]],Imput[[C. Imp.]:[C. Imp.]],$D22,Imput[[PERIODO Imp.]:[PERIODO Imp.]],CS$9)</f>
        <v>0</v>
      </c>
      <c r="CT22" s="693">
        <f>SUMIFS(Imput[[Importe Neto]:[Importe Neto]],Imput[[C. Imp.]:[C. Imp.]],$D22,Imput[[PERIODO Imp.]:[PERIODO Imp.]],CT$9)</f>
        <v>0</v>
      </c>
      <c r="CU22" s="693">
        <f>SUMIFS(Imput[[Importe Neto]:[Importe Neto]],Imput[[C. Imp.]:[C. Imp.]],$D22,Imput[[PERIODO Imp.]:[PERIODO Imp.]],CU$9)</f>
        <v>0</v>
      </c>
      <c r="CV22" s="693">
        <f>SUMIFS(Imput[[Importe Neto]:[Importe Neto]],Imput[[C. Imp.]:[C. Imp.]],$D22,Imput[[PERIODO Imp.]:[PERIODO Imp.]],CV$9)</f>
        <v>0</v>
      </c>
      <c r="CW22" s="693">
        <f>SUMIFS(Imput[[Importe Neto]:[Importe Neto]],Imput[[C. Imp.]:[C. Imp.]],$D22,Imput[[PERIODO Imp.]:[PERIODO Imp.]],CW$9)</f>
        <v>0</v>
      </c>
      <c r="CX22" s="693">
        <f>SUMIFS(Imput[[Importe Neto]:[Importe Neto]],Imput[[C. Imp.]:[C. Imp.]],$D22,Imput[[PERIODO Imp.]:[PERIODO Imp.]],CX$9)</f>
        <v>0</v>
      </c>
      <c r="CY22" s="693">
        <f>SUMIFS(Imput[[Importe Neto]:[Importe Neto]],Imput[[C. Imp.]:[C. Imp.]],$D22,Imput[[PERIODO Imp.]:[PERIODO Imp.]],CY$9)</f>
        <v>0</v>
      </c>
      <c r="CZ22" s="693">
        <f>SUMIFS(Imput[[Importe Neto]:[Importe Neto]],Imput[[C. Imp.]:[C. Imp.]],$D22,Imput[[PERIODO Imp.]:[PERIODO Imp.]],CZ$9)</f>
        <v>0</v>
      </c>
      <c r="DA22" s="693">
        <f>SUMIFS(Imput[[Importe Neto]:[Importe Neto]],Imput[[C. Imp.]:[C. Imp.]],$D22,Imput[[PERIODO Imp.]:[PERIODO Imp.]],DA$9)</f>
        <v>0</v>
      </c>
      <c r="DB22" s="693">
        <f>SUMIFS(Imput[[Importe Neto]:[Importe Neto]],Imput[[C. Imp.]:[C. Imp.]],$D22,Imput[[PERIODO Imp.]:[PERIODO Imp.]],DB$9)</f>
        <v>0</v>
      </c>
      <c r="DC22" s="693">
        <f>SUMIFS(Imput[[Importe Neto]:[Importe Neto]],Imput[[C. Imp.]:[C. Imp.]],$D22,Imput[[PERIODO Imp.]:[PERIODO Imp.]],DC$9)</f>
        <v>0</v>
      </c>
      <c r="DD22" s="693">
        <f>SUMIFS(Imput[[Importe Neto]:[Importe Neto]],Imput[[C. Imp.]:[C. Imp.]],$D22,Imput[[PERIODO Imp.]:[PERIODO Imp.]],DD$9)</f>
        <v>0</v>
      </c>
      <c r="DE22" s="693">
        <f>SUMIFS(Imput[[Importe Neto]:[Importe Neto]],Imput[[C. Imp.]:[C. Imp.]],$D22,Imput[[PERIODO Imp.]:[PERIODO Imp.]],DE$9)</f>
        <v>0</v>
      </c>
      <c r="DF22" s="693">
        <f>SUMIFS(Imput[[Importe Neto]:[Importe Neto]],Imput[[C. Imp.]:[C. Imp.]],$D22,Imput[[PERIODO Imp.]:[PERIODO Imp.]],DF$9)</f>
        <v>0</v>
      </c>
      <c r="DG22" s="693">
        <f>SUMIFS(Imput[[Importe Neto]:[Importe Neto]],Imput[[C. Imp.]:[C. Imp.]],$D22,Imput[[PERIODO Imp.]:[PERIODO Imp.]],DG$9)</f>
        <v>0</v>
      </c>
      <c r="DH22" s="694">
        <f>SUMIFS(Imput[[Importe Neto]:[Importe Neto]],Imput[[C. Imp.]:[C. Imp.]],$D22,Imput[[PERIODO Imp.]:[PERIODO Imp.]],DH$9)</f>
        <v>0</v>
      </c>
    </row>
    <row r="23" spans="1:112" hidden="1" outlineLevel="1" x14ac:dyDescent="0.3">
      <c r="A23" s="652" t="str">
        <f t="shared" si="7"/>
        <v/>
      </c>
      <c r="B23" s="652"/>
      <c r="C23" s="685"/>
      <c r="D23" s="686" t="s">
        <v>2136</v>
      </c>
      <c r="E23" s="686"/>
      <c r="F23" s="720"/>
      <c r="G23" s="688"/>
      <c r="H23" s="689"/>
      <c r="I23" s="851" t="str">
        <f t="shared" si="10"/>
        <v/>
      </c>
      <c r="J23" s="852" t="str">
        <f t="shared" si="11"/>
        <v/>
      </c>
      <c r="K23" s="667"/>
      <c r="L23" s="858"/>
      <c r="M23" s="859"/>
      <c r="N23" s="859"/>
      <c r="O23" s="859"/>
      <c r="P23" s="859"/>
      <c r="Q23" s="859"/>
      <c r="R23" s="859"/>
      <c r="S23" s="859"/>
      <c r="T23" s="859"/>
      <c r="U23" s="859"/>
      <c r="V23" s="859"/>
      <c r="W23" s="859"/>
      <c r="X23" s="859"/>
      <c r="Y23" s="859"/>
      <c r="Z23" s="860"/>
      <c r="AA23" s="860"/>
      <c r="AB23" s="860"/>
      <c r="AC23" s="860"/>
      <c r="AD23" s="860"/>
      <c r="AE23" s="860"/>
      <c r="AF23" s="860"/>
      <c r="AG23" s="860"/>
      <c r="AH23" s="860"/>
      <c r="AI23" s="860"/>
      <c r="AJ23" s="860"/>
      <c r="AK23" s="860"/>
      <c r="AL23" s="860"/>
      <c r="AM23" s="860"/>
      <c r="AN23" s="860"/>
      <c r="AO23" s="860"/>
      <c r="AP23" s="860"/>
      <c r="AQ23" s="860"/>
      <c r="AR23" s="860"/>
      <c r="AS23" s="860"/>
      <c r="AT23" s="860"/>
      <c r="AU23" s="860"/>
      <c r="AV23" s="860"/>
      <c r="AW23" s="860"/>
      <c r="AX23" s="860"/>
      <c r="AY23" s="860"/>
      <c r="AZ23" s="860"/>
      <c r="BA23" s="860"/>
      <c r="BB23" s="860"/>
      <c r="BC23" s="860"/>
      <c r="BD23" s="860"/>
      <c r="BE23" s="860"/>
      <c r="BF23" s="860"/>
      <c r="BG23" s="861"/>
      <c r="BH23" s="668"/>
      <c r="BI23" s="667"/>
      <c r="BJ23" s="690">
        <f t="shared" si="8"/>
        <v>0</v>
      </c>
      <c r="BK23" s="691">
        <f t="shared" si="9"/>
        <v>0</v>
      </c>
      <c r="BL23" s="654"/>
      <c r="BM23" s="692">
        <f>SUMIFS(Imput[[Importe Neto]:[Importe Neto]],Imput[[C. Imp.]:[C. Imp.]],$D23,Imput[[PERIODO Imp.]:[PERIODO Imp.]],BM$9)</f>
        <v>0</v>
      </c>
      <c r="BN23" s="693">
        <f>SUMIFS(Imput[[Importe Neto]:[Importe Neto]],Imput[[C. Imp.]:[C. Imp.]],$D23,Imput[[PERIODO Imp.]:[PERIODO Imp.]],BN$9)</f>
        <v>0</v>
      </c>
      <c r="BO23" s="693">
        <f>SUMIFS(Imput[[Importe Neto]:[Importe Neto]],Imput[[C. Imp.]:[C. Imp.]],$D23,Imput[[PERIODO Imp.]:[PERIODO Imp.]],BO$9)</f>
        <v>0</v>
      </c>
      <c r="BP23" s="693">
        <f>SUMIFS(Imput[[Importe Neto]:[Importe Neto]],Imput[[C. Imp.]:[C. Imp.]],$D23,Imput[[PERIODO Imp.]:[PERIODO Imp.]],BP$9)</f>
        <v>0</v>
      </c>
      <c r="BQ23" s="693">
        <f>SUMIFS(Imput[[Importe Neto]:[Importe Neto]],Imput[[C. Imp.]:[C. Imp.]],$D23,Imput[[PERIODO Imp.]:[PERIODO Imp.]],BQ$9)</f>
        <v>0</v>
      </c>
      <c r="BR23" s="693">
        <f>SUMIFS(Imput[[Importe Neto]:[Importe Neto]],Imput[[C. Imp.]:[C. Imp.]],$D23,Imput[[PERIODO Imp.]:[PERIODO Imp.]],BR$9)</f>
        <v>0</v>
      </c>
      <c r="BS23" s="693">
        <f>SUMIFS(Imput[[Importe Neto]:[Importe Neto]],Imput[[C. Imp.]:[C. Imp.]],$D23,Imput[[PERIODO Imp.]:[PERIODO Imp.]],BS$9)</f>
        <v>0</v>
      </c>
      <c r="BT23" s="693">
        <f>SUMIFS(Imput[[Importe Neto]:[Importe Neto]],Imput[[C. Imp.]:[C. Imp.]],$D23,Imput[[PERIODO Imp.]:[PERIODO Imp.]],BT$9)</f>
        <v>0</v>
      </c>
      <c r="BU23" s="693">
        <f>SUMIFS(Imput[[Importe Neto]:[Importe Neto]],Imput[[C. Imp.]:[C. Imp.]],$D23,Imput[[PERIODO Imp.]:[PERIODO Imp.]],BU$9)</f>
        <v>0</v>
      </c>
      <c r="BV23" s="693">
        <f>SUMIFS(Imput[[Importe Neto]:[Importe Neto]],Imput[[C. Imp.]:[C. Imp.]],$D23,Imput[[PERIODO Imp.]:[PERIODO Imp.]],BV$9)</f>
        <v>0</v>
      </c>
      <c r="BW23" s="693">
        <f>SUMIFS(Imput[[Importe Neto]:[Importe Neto]],Imput[[C. Imp.]:[C. Imp.]],$D23,Imput[[PERIODO Imp.]:[PERIODO Imp.]],BW$9)</f>
        <v>0</v>
      </c>
      <c r="BX23" s="693">
        <f>SUMIFS(Imput[[Importe Neto]:[Importe Neto]],Imput[[C. Imp.]:[C. Imp.]],$D23,Imput[[PERIODO Imp.]:[PERIODO Imp.]],BX$9)</f>
        <v>0</v>
      </c>
      <c r="BY23" s="693">
        <f>SUMIFS(Imput[[Importe Neto]:[Importe Neto]],Imput[[C. Imp.]:[C. Imp.]],$D23,Imput[[PERIODO Imp.]:[PERIODO Imp.]],BY$9)</f>
        <v>0</v>
      </c>
      <c r="BZ23" s="693">
        <f>SUMIFS(Imput[[Importe Neto]:[Importe Neto]],Imput[[C. Imp.]:[C. Imp.]],$D23,Imput[[PERIODO Imp.]:[PERIODO Imp.]],BZ$9)</f>
        <v>0</v>
      </c>
      <c r="CA23" s="693">
        <f>SUMIFS(Imput[[Importe Neto]:[Importe Neto]],Imput[[C. Imp.]:[C. Imp.]],$D23,Imput[[PERIODO Imp.]:[PERIODO Imp.]],CA$9)</f>
        <v>0</v>
      </c>
      <c r="CB23" s="693">
        <f>SUMIFS(Imput[[Importe Neto]:[Importe Neto]],Imput[[C. Imp.]:[C. Imp.]],$D23,Imput[[PERIODO Imp.]:[PERIODO Imp.]],CB$9)</f>
        <v>0</v>
      </c>
      <c r="CC23" s="693">
        <f>SUMIFS(Imput[[Importe Neto]:[Importe Neto]],Imput[[C. Imp.]:[C. Imp.]],$D23,Imput[[PERIODO Imp.]:[PERIODO Imp.]],CC$9)</f>
        <v>0</v>
      </c>
      <c r="CD23" s="693">
        <f>SUMIFS(Imput[[Importe Neto]:[Importe Neto]],Imput[[C. Imp.]:[C. Imp.]],$D23,Imput[[PERIODO Imp.]:[PERIODO Imp.]],CD$9)</f>
        <v>0</v>
      </c>
      <c r="CE23" s="693">
        <f>SUMIFS(Imput[[Importe Neto]:[Importe Neto]],Imput[[C. Imp.]:[C. Imp.]],$D23,Imput[[PERIODO Imp.]:[PERIODO Imp.]],CE$9)</f>
        <v>0</v>
      </c>
      <c r="CF23" s="693">
        <f>SUMIFS(Imput[[Importe Neto]:[Importe Neto]],Imput[[C. Imp.]:[C. Imp.]],$D23,Imput[[PERIODO Imp.]:[PERIODO Imp.]],CF$9)</f>
        <v>0</v>
      </c>
      <c r="CG23" s="693">
        <f>SUMIFS(Imput[[Importe Neto]:[Importe Neto]],Imput[[C. Imp.]:[C. Imp.]],$D23,Imput[[PERIODO Imp.]:[PERIODO Imp.]],CG$9)</f>
        <v>0</v>
      </c>
      <c r="CH23" s="693">
        <f>SUMIFS(Imput[[Importe Neto]:[Importe Neto]],Imput[[C. Imp.]:[C. Imp.]],$D23,Imput[[PERIODO Imp.]:[PERIODO Imp.]],CH$9)</f>
        <v>0</v>
      </c>
      <c r="CI23" s="693">
        <f>SUMIFS(Imput[[Importe Neto]:[Importe Neto]],Imput[[C. Imp.]:[C. Imp.]],$D23,Imput[[PERIODO Imp.]:[PERIODO Imp.]],CI$9)</f>
        <v>0</v>
      </c>
      <c r="CJ23" s="693">
        <f>SUMIFS(Imput[[Importe Neto]:[Importe Neto]],Imput[[C. Imp.]:[C. Imp.]],$D23,Imput[[PERIODO Imp.]:[PERIODO Imp.]],CJ$9)</f>
        <v>0</v>
      </c>
      <c r="CK23" s="693">
        <f>SUMIFS(Imput[[Importe Neto]:[Importe Neto]],Imput[[C. Imp.]:[C. Imp.]],$D23,Imput[[PERIODO Imp.]:[PERIODO Imp.]],CK$9)</f>
        <v>0</v>
      </c>
      <c r="CL23" s="693">
        <f>SUMIFS(Imput[[Importe Neto]:[Importe Neto]],Imput[[C. Imp.]:[C. Imp.]],$D23,Imput[[PERIODO Imp.]:[PERIODO Imp.]],CL$9)</f>
        <v>0</v>
      </c>
      <c r="CM23" s="693">
        <f>SUMIFS(Imput[[Importe Neto]:[Importe Neto]],Imput[[C. Imp.]:[C. Imp.]],$D23,Imput[[PERIODO Imp.]:[PERIODO Imp.]],CM$9)</f>
        <v>0</v>
      </c>
      <c r="CN23" s="693">
        <f>SUMIFS(Imput[[Importe Neto]:[Importe Neto]],Imput[[C. Imp.]:[C. Imp.]],$D23,Imput[[PERIODO Imp.]:[PERIODO Imp.]],CN$9)</f>
        <v>0</v>
      </c>
      <c r="CO23" s="693">
        <f>SUMIFS(Imput[[Importe Neto]:[Importe Neto]],Imput[[C. Imp.]:[C. Imp.]],$D23,Imput[[PERIODO Imp.]:[PERIODO Imp.]],CO$9)</f>
        <v>0</v>
      </c>
      <c r="CP23" s="693">
        <f>SUMIFS(Imput[[Importe Neto]:[Importe Neto]],Imput[[C. Imp.]:[C. Imp.]],$D23,Imput[[PERIODO Imp.]:[PERIODO Imp.]],CP$9)</f>
        <v>0</v>
      </c>
      <c r="CQ23" s="693">
        <f>SUMIFS(Imput[[Importe Neto]:[Importe Neto]],Imput[[C. Imp.]:[C. Imp.]],$D23,Imput[[PERIODO Imp.]:[PERIODO Imp.]],CQ$9)</f>
        <v>0</v>
      </c>
      <c r="CR23" s="693">
        <f>SUMIFS(Imput[[Importe Neto]:[Importe Neto]],Imput[[C. Imp.]:[C. Imp.]],$D23,Imput[[PERIODO Imp.]:[PERIODO Imp.]],CR$9)</f>
        <v>0</v>
      </c>
      <c r="CS23" s="693">
        <f>SUMIFS(Imput[[Importe Neto]:[Importe Neto]],Imput[[C. Imp.]:[C. Imp.]],$D23,Imput[[PERIODO Imp.]:[PERIODO Imp.]],CS$9)</f>
        <v>0</v>
      </c>
      <c r="CT23" s="693">
        <f>SUMIFS(Imput[[Importe Neto]:[Importe Neto]],Imput[[C. Imp.]:[C. Imp.]],$D23,Imput[[PERIODO Imp.]:[PERIODO Imp.]],CT$9)</f>
        <v>0</v>
      </c>
      <c r="CU23" s="693">
        <f>SUMIFS(Imput[[Importe Neto]:[Importe Neto]],Imput[[C. Imp.]:[C. Imp.]],$D23,Imput[[PERIODO Imp.]:[PERIODO Imp.]],CU$9)</f>
        <v>0</v>
      </c>
      <c r="CV23" s="693">
        <f>SUMIFS(Imput[[Importe Neto]:[Importe Neto]],Imput[[C. Imp.]:[C. Imp.]],$D23,Imput[[PERIODO Imp.]:[PERIODO Imp.]],CV$9)</f>
        <v>0</v>
      </c>
      <c r="CW23" s="693">
        <f>SUMIFS(Imput[[Importe Neto]:[Importe Neto]],Imput[[C. Imp.]:[C. Imp.]],$D23,Imput[[PERIODO Imp.]:[PERIODO Imp.]],CW$9)</f>
        <v>0</v>
      </c>
      <c r="CX23" s="693">
        <f>SUMIFS(Imput[[Importe Neto]:[Importe Neto]],Imput[[C. Imp.]:[C. Imp.]],$D23,Imput[[PERIODO Imp.]:[PERIODO Imp.]],CX$9)</f>
        <v>0</v>
      </c>
      <c r="CY23" s="693">
        <f>SUMIFS(Imput[[Importe Neto]:[Importe Neto]],Imput[[C. Imp.]:[C. Imp.]],$D23,Imput[[PERIODO Imp.]:[PERIODO Imp.]],CY$9)</f>
        <v>0</v>
      </c>
      <c r="CZ23" s="693">
        <f>SUMIFS(Imput[[Importe Neto]:[Importe Neto]],Imput[[C. Imp.]:[C. Imp.]],$D23,Imput[[PERIODO Imp.]:[PERIODO Imp.]],CZ$9)</f>
        <v>0</v>
      </c>
      <c r="DA23" s="693">
        <f>SUMIFS(Imput[[Importe Neto]:[Importe Neto]],Imput[[C. Imp.]:[C. Imp.]],$D23,Imput[[PERIODO Imp.]:[PERIODO Imp.]],DA$9)</f>
        <v>0</v>
      </c>
      <c r="DB23" s="693">
        <f>SUMIFS(Imput[[Importe Neto]:[Importe Neto]],Imput[[C. Imp.]:[C. Imp.]],$D23,Imput[[PERIODO Imp.]:[PERIODO Imp.]],DB$9)</f>
        <v>0</v>
      </c>
      <c r="DC23" s="693">
        <f>SUMIFS(Imput[[Importe Neto]:[Importe Neto]],Imput[[C. Imp.]:[C. Imp.]],$D23,Imput[[PERIODO Imp.]:[PERIODO Imp.]],DC$9)</f>
        <v>0</v>
      </c>
      <c r="DD23" s="693">
        <f>SUMIFS(Imput[[Importe Neto]:[Importe Neto]],Imput[[C. Imp.]:[C. Imp.]],$D23,Imput[[PERIODO Imp.]:[PERIODO Imp.]],DD$9)</f>
        <v>0</v>
      </c>
      <c r="DE23" s="693">
        <f>SUMIFS(Imput[[Importe Neto]:[Importe Neto]],Imput[[C. Imp.]:[C. Imp.]],$D23,Imput[[PERIODO Imp.]:[PERIODO Imp.]],DE$9)</f>
        <v>0</v>
      </c>
      <c r="DF23" s="693">
        <f>SUMIFS(Imput[[Importe Neto]:[Importe Neto]],Imput[[C. Imp.]:[C. Imp.]],$D23,Imput[[PERIODO Imp.]:[PERIODO Imp.]],DF$9)</f>
        <v>0</v>
      </c>
      <c r="DG23" s="693">
        <f>SUMIFS(Imput[[Importe Neto]:[Importe Neto]],Imput[[C. Imp.]:[C. Imp.]],$D23,Imput[[PERIODO Imp.]:[PERIODO Imp.]],DG$9)</f>
        <v>0</v>
      </c>
      <c r="DH23" s="694">
        <f>SUMIFS(Imput[[Importe Neto]:[Importe Neto]],Imput[[C. Imp.]:[C. Imp.]],$D23,Imput[[PERIODO Imp.]:[PERIODO Imp.]],DH$9)</f>
        <v>0</v>
      </c>
    </row>
    <row r="24" spans="1:112" hidden="1" outlineLevel="1" x14ac:dyDescent="0.3">
      <c r="A24" s="66" t="str">
        <f t="shared" si="7"/>
        <v/>
      </c>
      <c r="C24" s="527"/>
      <c r="D24" s="528" t="s">
        <v>2137</v>
      </c>
      <c r="E24" s="528"/>
      <c r="F24" s="533"/>
      <c r="G24" s="529"/>
      <c r="H24" s="530"/>
      <c r="I24" s="849" t="str">
        <f t="shared" si="10"/>
        <v/>
      </c>
      <c r="J24" s="850" t="str">
        <f t="shared" si="11"/>
        <v/>
      </c>
      <c r="K24" s="70"/>
      <c r="L24" s="853"/>
      <c r="M24" s="855"/>
      <c r="N24" s="855"/>
      <c r="O24" s="855"/>
      <c r="P24" s="855"/>
      <c r="Q24" s="855"/>
      <c r="R24" s="855"/>
      <c r="S24" s="855"/>
      <c r="T24" s="855"/>
      <c r="U24" s="855"/>
      <c r="V24" s="855"/>
      <c r="W24" s="855"/>
      <c r="X24" s="855"/>
      <c r="Y24" s="855"/>
      <c r="Z24" s="856"/>
      <c r="AA24" s="856"/>
      <c r="AB24" s="856"/>
      <c r="AC24" s="856"/>
      <c r="AD24" s="856"/>
      <c r="AE24" s="856"/>
      <c r="AF24" s="856"/>
      <c r="AG24" s="856"/>
      <c r="AH24" s="856"/>
      <c r="AI24" s="856"/>
      <c r="AJ24" s="856"/>
      <c r="AK24" s="856"/>
      <c r="AL24" s="856"/>
      <c r="AM24" s="856"/>
      <c r="AN24" s="856"/>
      <c r="AO24" s="856"/>
      <c r="AP24" s="856"/>
      <c r="AQ24" s="856"/>
      <c r="AR24" s="856"/>
      <c r="AS24" s="856"/>
      <c r="AT24" s="856"/>
      <c r="AU24" s="856"/>
      <c r="AV24" s="856"/>
      <c r="AW24" s="856"/>
      <c r="AX24" s="856"/>
      <c r="AY24" s="856"/>
      <c r="AZ24" s="856"/>
      <c r="BA24" s="856"/>
      <c r="BB24" s="856"/>
      <c r="BC24" s="856"/>
      <c r="BD24" s="856"/>
      <c r="BE24" s="856"/>
      <c r="BF24" s="856"/>
      <c r="BG24" s="857"/>
      <c r="BH24" s="743"/>
      <c r="BI24" s="68"/>
      <c r="BJ24" s="518">
        <f t="shared" si="8"/>
        <v>0</v>
      </c>
      <c r="BK24" s="517">
        <f t="shared" si="9"/>
        <v>0</v>
      </c>
      <c r="BL24" s="68"/>
      <c r="BM24" s="610">
        <f>SUMIFS(Imput[[Importe Neto]:[Importe Neto]],Imput[[C. Imp.]:[C. Imp.]],$D24,Imput[[PERIODO Imp.]:[PERIODO Imp.]],BM$9)</f>
        <v>0</v>
      </c>
      <c r="BN24" s="611">
        <f>SUMIFS(Imput[[Importe Neto]:[Importe Neto]],Imput[[C. Imp.]:[C. Imp.]],$D24,Imput[[PERIODO Imp.]:[PERIODO Imp.]],BN$9)</f>
        <v>0</v>
      </c>
      <c r="BO24" s="611">
        <f>SUMIFS(Imput[[Importe Neto]:[Importe Neto]],Imput[[C. Imp.]:[C. Imp.]],$D24,Imput[[PERIODO Imp.]:[PERIODO Imp.]],BO$9)</f>
        <v>0</v>
      </c>
      <c r="BP24" s="611">
        <f>SUMIFS(Imput[[Importe Neto]:[Importe Neto]],Imput[[C. Imp.]:[C. Imp.]],$D24,Imput[[PERIODO Imp.]:[PERIODO Imp.]],BP$9)</f>
        <v>0</v>
      </c>
      <c r="BQ24" s="611">
        <f>SUMIFS(Imput[[Importe Neto]:[Importe Neto]],Imput[[C. Imp.]:[C. Imp.]],$D24,Imput[[PERIODO Imp.]:[PERIODO Imp.]],BQ$9)</f>
        <v>0</v>
      </c>
      <c r="BR24" s="611">
        <f>SUMIFS(Imput[[Importe Neto]:[Importe Neto]],Imput[[C. Imp.]:[C. Imp.]],$D24,Imput[[PERIODO Imp.]:[PERIODO Imp.]],BR$9)</f>
        <v>0</v>
      </c>
      <c r="BS24" s="611">
        <f>SUMIFS(Imput[[Importe Neto]:[Importe Neto]],Imput[[C. Imp.]:[C. Imp.]],$D24,Imput[[PERIODO Imp.]:[PERIODO Imp.]],BS$9)</f>
        <v>0</v>
      </c>
      <c r="BT24" s="611">
        <f>SUMIFS(Imput[[Importe Neto]:[Importe Neto]],Imput[[C. Imp.]:[C. Imp.]],$D24,Imput[[PERIODO Imp.]:[PERIODO Imp.]],BT$9)</f>
        <v>0</v>
      </c>
      <c r="BU24" s="611">
        <f>SUMIFS(Imput[[Importe Neto]:[Importe Neto]],Imput[[C. Imp.]:[C. Imp.]],$D24,Imput[[PERIODO Imp.]:[PERIODO Imp.]],BU$9)</f>
        <v>0</v>
      </c>
      <c r="BV24" s="611">
        <f>SUMIFS(Imput[[Importe Neto]:[Importe Neto]],Imput[[C. Imp.]:[C. Imp.]],$D24,Imput[[PERIODO Imp.]:[PERIODO Imp.]],BV$9)</f>
        <v>0</v>
      </c>
      <c r="BW24" s="611">
        <f>SUMIFS(Imput[[Importe Neto]:[Importe Neto]],Imput[[C. Imp.]:[C. Imp.]],$D24,Imput[[PERIODO Imp.]:[PERIODO Imp.]],BW$9)</f>
        <v>0</v>
      </c>
      <c r="BX24" s="611">
        <f>SUMIFS(Imput[[Importe Neto]:[Importe Neto]],Imput[[C. Imp.]:[C. Imp.]],$D24,Imput[[PERIODO Imp.]:[PERIODO Imp.]],BX$9)</f>
        <v>0</v>
      </c>
      <c r="BY24" s="611">
        <f>SUMIFS(Imput[[Importe Neto]:[Importe Neto]],Imput[[C. Imp.]:[C. Imp.]],$D24,Imput[[PERIODO Imp.]:[PERIODO Imp.]],BY$9)</f>
        <v>0</v>
      </c>
      <c r="BZ24" s="611">
        <f>SUMIFS(Imput[[Importe Neto]:[Importe Neto]],Imput[[C. Imp.]:[C. Imp.]],$D24,Imput[[PERIODO Imp.]:[PERIODO Imp.]],BZ$9)</f>
        <v>0</v>
      </c>
      <c r="CA24" s="611">
        <f>SUMIFS(Imput[[Importe Neto]:[Importe Neto]],Imput[[C. Imp.]:[C. Imp.]],$D24,Imput[[PERIODO Imp.]:[PERIODO Imp.]],CA$9)</f>
        <v>0</v>
      </c>
      <c r="CB24" s="611">
        <f>SUMIFS(Imput[[Importe Neto]:[Importe Neto]],Imput[[C. Imp.]:[C. Imp.]],$D24,Imput[[PERIODO Imp.]:[PERIODO Imp.]],CB$9)</f>
        <v>0</v>
      </c>
      <c r="CC24" s="611">
        <f>SUMIFS(Imput[[Importe Neto]:[Importe Neto]],Imput[[C. Imp.]:[C. Imp.]],$D24,Imput[[PERIODO Imp.]:[PERIODO Imp.]],CC$9)</f>
        <v>0</v>
      </c>
      <c r="CD24" s="611">
        <f>SUMIFS(Imput[[Importe Neto]:[Importe Neto]],Imput[[C. Imp.]:[C. Imp.]],$D24,Imput[[PERIODO Imp.]:[PERIODO Imp.]],CD$9)</f>
        <v>0</v>
      </c>
      <c r="CE24" s="611">
        <f>SUMIFS(Imput[[Importe Neto]:[Importe Neto]],Imput[[C. Imp.]:[C. Imp.]],$D24,Imput[[PERIODO Imp.]:[PERIODO Imp.]],CE$9)</f>
        <v>0</v>
      </c>
      <c r="CF24" s="611">
        <f>SUMIFS(Imput[[Importe Neto]:[Importe Neto]],Imput[[C. Imp.]:[C. Imp.]],$D24,Imput[[PERIODO Imp.]:[PERIODO Imp.]],CF$9)</f>
        <v>0</v>
      </c>
      <c r="CG24" s="611">
        <f>SUMIFS(Imput[[Importe Neto]:[Importe Neto]],Imput[[C. Imp.]:[C. Imp.]],$D24,Imput[[PERIODO Imp.]:[PERIODO Imp.]],CG$9)</f>
        <v>0</v>
      </c>
      <c r="CH24" s="611">
        <f>SUMIFS(Imput[[Importe Neto]:[Importe Neto]],Imput[[C. Imp.]:[C. Imp.]],$D24,Imput[[PERIODO Imp.]:[PERIODO Imp.]],CH$9)</f>
        <v>0</v>
      </c>
      <c r="CI24" s="611">
        <f>SUMIFS(Imput[[Importe Neto]:[Importe Neto]],Imput[[C. Imp.]:[C. Imp.]],$D24,Imput[[PERIODO Imp.]:[PERIODO Imp.]],CI$9)</f>
        <v>0</v>
      </c>
      <c r="CJ24" s="611">
        <f>SUMIFS(Imput[[Importe Neto]:[Importe Neto]],Imput[[C. Imp.]:[C. Imp.]],$D24,Imput[[PERIODO Imp.]:[PERIODO Imp.]],CJ$9)</f>
        <v>0</v>
      </c>
      <c r="CK24" s="611">
        <f>SUMIFS(Imput[[Importe Neto]:[Importe Neto]],Imput[[C. Imp.]:[C. Imp.]],$D24,Imput[[PERIODO Imp.]:[PERIODO Imp.]],CK$9)</f>
        <v>0</v>
      </c>
      <c r="CL24" s="611">
        <f>SUMIFS(Imput[[Importe Neto]:[Importe Neto]],Imput[[C. Imp.]:[C. Imp.]],$D24,Imput[[PERIODO Imp.]:[PERIODO Imp.]],CL$9)</f>
        <v>0</v>
      </c>
      <c r="CM24" s="611">
        <f>SUMIFS(Imput[[Importe Neto]:[Importe Neto]],Imput[[C. Imp.]:[C. Imp.]],$D24,Imput[[PERIODO Imp.]:[PERIODO Imp.]],CM$9)</f>
        <v>0</v>
      </c>
      <c r="CN24" s="611">
        <f>SUMIFS(Imput[[Importe Neto]:[Importe Neto]],Imput[[C. Imp.]:[C. Imp.]],$D24,Imput[[PERIODO Imp.]:[PERIODO Imp.]],CN$9)</f>
        <v>0</v>
      </c>
      <c r="CO24" s="611">
        <f>SUMIFS(Imput[[Importe Neto]:[Importe Neto]],Imput[[C. Imp.]:[C. Imp.]],$D24,Imput[[PERIODO Imp.]:[PERIODO Imp.]],CO$9)</f>
        <v>0</v>
      </c>
      <c r="CP24" s="611">
        <f>SUMIFS(Imput[[Importe Neto]:[Importe Neto]],Imput[[C. Imp.]:[C. Imp.]],$D24,Imput[[PERIODO Imp.]:[PERIODO Imp.]],CP$9)</f>
        <v>0</v>
      </c>
      <c r="CQ24" s="611">
        <f>SUMIFS(Imput[[Importe Neto]:[Importe Neto]],Imput[[C. Imp.]:[C. Imp.]],$D24,Imput[[PERIODO Imp.]:[PERIODO Imp.]],CQ$9)</f>
        <v>0</v>
      </c>
      <c r="CR24" s="611">
        <f>SUMIFS(Imput[[Importe Neto]:[Importe Neto]],Imput[[C. Imp.]:[C. Imp.]],$D24,Imput[[PERIODO Imp.]:[PERIODO Imp.]],CR$9)</f>
        <v>0</v>
      </c>
      <c r="CS24" s="611">
        <f>SUMIFS(Imput[[Importe Neto]:[Importe Neto]],Imput[[C. Imp.]:[C. Imp.]],$D24,Imput[[PERIODO Imp.]:[PERIODO Imp.]],CS$9)</f>
        <v>0</v>
      </c>
      <c r="CT24" s="611">
        <f>SUMIFS(Imput[[Importe Neto]:[Importe Neto]],Imput[[C. Imp.]:[C. Imp.]],$D24,Imput[[PERIODO Imp.]:[PERIODO Imp.]],CT$9)</f>
        <v>0</v>
      </c>
      <c r="CU24" s="611">
        <f>SUMIFS(Imput[[Importe Neto]:[Importe Neto]],Imput[[C. Imp.]:[C. Imp.]],$D24,Imput[[PERIODO Imp.]:[PERIODO Imp.]],CU$9)</f>
        <v>0</v>
      </c>
      <c r="CV24" s="611">
        <f>SUMIFS(Imput[[Importe Neto]:[Importe Neto]],Imput[[C. Imp.]:[C. Imp.]],$D24,Imput[[PERIODO Imp.]:[PERIODO Imp.]],CV$9)</f>
        <v>0</v>
      </c>
      <c r="CW24" s="611">
        <f>SUMIFS(Imput[[Importe Neto]:[Importe Neto]],Imput[[C. Imp.]:[C. Imp.]],$D24,Imput[[PERIODO Imp.]:[PERIODO Imp.]],CW$9)</f>
        <v>0</v>
      </c>
      <c r="CX24" s="611">
        <f>SUMIFS(Imput[[Importe Neto]:[Importe Neto]],Imput[[C. Imp.]:[C. Imp.]],$D24,Imput[[PERIODO Imp.]:[PERIODO Imp.]],CX$9)</f>
        <v>0</v>
      </c>
      <c r="CY24" s="611">
        <f>SUMIFS(Imput[[Importe Neto]:[Importe Neto]],Imput[[C. Imp.]:[C. Imp.]],$D24,Imput[[PERIODO Imp.]:[PERIODO Imp.]],CY$9)</f>
        <v>0</v>
      </c>
      <c r="CZ24" s="611">
        <f>SUMIFS(Imput[[Importe Neto]:[Importe Neto]],Imput[[C. Imp.]:[C. Imp.]],$D24,Imput[[PERIODO Imp.]:[PERIODO Imp.]],CZ$9)</f>
        <v>0</v>
      </c>
      <c r="DA24" s="611">
        <f>SUMIFS(Imput[[Importe Neto]:[Importe Neto]],Imput[[C. Imp.]:[C. Imp.]],$D24,Imput[[PERIODO Imp.]:[PERIODO Imp.]],DA$9)</f>
        <v>0</v>
      </c>
      <c r="DB24" s="611">
        <f>SUMIFS(Imput[[Importe Neto]:[Importe Neto]],Imput[[C. Imp.]:[C. Imp.]],$D24,Imput[[PERIODO Imp.]:[PERIODO Imp.]],DB$9)</f>
        <v>0</v>
      </c>
      <c r="DC24" s="611">
        <f>SUMIFS(Imput[[Importe Neto]:[Importe Neto]],Imput[[C. Imp.]:[C. Imp.]],$D24,Imput[[PERIODO Imp.]:[PERIODO Imp.]],DC$9)</f>
        <v>0</v>
      </c>
      <c r="DD24" s="611">
        <f>SUMIFS(Imput[[Importe Neto]:[Importe Neto]],Imput[[C. Imp.]:[C. Imp.]],$D24,Imput[[PERIODO Imp.]:[PERIODO Imp.]],DD$9)</f>
        <v>0</v>
      </c>
      <c r="DE24" s="611">
        <f>SUMIFS(Imput[[Importe Neto]:[Importe Neto]],Imput[[C. Imp.]:[C. Imp.]],$D24,Imput[[PERIODO Imp.]:[PERIODO Imp.]],DE$9)</f>
        <v>0</v>
      </c>
      <c r="DF24" s="611">
        <f>SUMIFS(Imput[[Importe Neto]:[Importe Neto]],Imput[[C. Imp.]:[C. Imp.]],$D24,Imput[[PERIODO Imp.]:[PERIODO Imp.]],DF$9)</f>
        <v>0</v>
      </c>
      <c r="DG24" s="611">
        <f>SUMIFS(Imput[[Importe Neto]:[Importe Neto]],Imput[[C. Imp.]:[C. Imp.]],$D24,Imput[[PERIODO Imp.]:[PERIODO Imp.]],DG$9)</f>
        <v>0</v>
      </c>
      <c r="DH24" s="797">
        <f>SUMIFS(Imput[[Importe Neto]:[Importe Neto]],Imput[[C. Imp.]:[C. Imp.]],$D24,Imput[[PERIODO Imp.]:[PERIODO Imp.]],DH$9)</f>
        <v>0</v>
      </c>
    </row>
    <row r="25" spans="1:112" ht="14.4" outlineLevel="1" thickBot="1" x14ac:dyDescent="0.35">
      <c r="A25" s="652" t="str">
        <f>IF(J14&gt;0,"Imprimir","")</f>
        <v>Imprimir</v>
      </c>
      <c r="B25" s="652"/>
      <c r="C25" s="699"/>
      <c r="D25" s="700"/>
      <c r="E25" s="700"/>
      <c r="F25" s="701"/>
      <c r="G25" s="702"/>
      <c r="H25" s="703"/>
      <c r="I25" s="704"/>
      <c r="J25" s="705"/>
      <c r="K25" s="667"/>
      <c r="L25" s="706"/>
      <c r="M25" s="707"/>
      <c r="N25" s="777"/>
      <c r="O25" s="777"/>
      <c r="P25" s="778"/>
      <c r="Q25" s="778"/>
      <c r="R25" s="708"/>
      <c r="S25" s="708"/>
      <c r="T25" s="779"/>
      <c r="U25" s="779"/>
      <c r="V25" s="778"/>
      <c r="W25" s="778"/>
      <c r="X25" s="708"/>
      <c r="Y25" s="708"/>
      <c r="Z25" s="708"/>
      <c r="AA25" s="708"/>
      <c r="AB25" s="708"/>
      <c r="AC25" s="708"/>
      <c r="AD25" s="708"/>
      <c r="AE25" s="708"/>
      <c r="AF25" s="708"/>
      <c r="AG25" s="708"/>
      <c r="AH25" s="708"/>
      <c r="AI25" s="708"/>
      <c r="AJ25" s="708"/>
      <c r="AK25" s="708"/>
      <c r="AL25" s="708"/>
      <c r="AM25" s="708"/>
      <c r="AN25" s="708"/>
      <c r="AO25" s="708"/>
      <c r="AP25" s="708"/>
      <c r="AQ25" s="708"/>
      <c r="AR25" s="708"/>
      <c r="AS25" s="708"/>
      <c r="AT25" s="708"/>
      <c r="AU25" s="708"/>
      <c r="AV25" s="708"/>
      <c r="AW25" s="708"/>
      <c r="AX25" s="708"/>
      <c r="AY25" s="708"/>
      <c r="AZ25" s="708"/>
      <c r="BA25" s="708"/>
      <c r="BB25" s="708"/>
      <c r="BC25" s="708"/>
      <c r="BD25" s="708"/>
      <c r="BE25" s="708"/>
      <c r="BF25" s="708"/>
      <c r="BG25" s="721"/>
      <c r="BH25" s="780"/>
      <c r="BI25" s="654"/>
      <c r="BJ25" s="709"/>
      <c r="BK25" s="710"/>
      <c r="BL25" s="654"/>
      <c r="BM25" s="731"/>
      <c r="BN25" s="701"/>
      <c r="BO25" s="701"/>
      <c r="BP25" s="701"/>
      <c r="BQ25" s="701"/>
      <c r="BR25" s="701"/>
      <c r="BS25" s="701"/>
      <c r="BT25" s="701"/>
      <c r="BU25" s="701"/>
      <c r="BV25" s="701"/>
      <c r="BW25" s="701"/>
      <c r="BX25" s="701"/>
      <c r="BY25" s="701"/>
      <c r="BZ25" s="701"/>
      <c r="CA25" s="701"/>
      <c r="CB25" s="701"/>
      <c r="CC25" s="701"/>
      <c r="CD25" s="701"/>
      <c r="CE25" s="701"/>
      <c r="CF25" s="701"/>
      <c r="CG25" s="701"/>
      <c r="CH25" s="701"/>
      <c r="CI25" s="701"/>
      <c r="CJ25" s="701"/>
      <c r="CK25" s="701"/>
      <c r="CL25" s="701"/>
      <c r="CM25" s="701"/>
      <c r="CN25" s="701"/>
      <c r="CO25" s="701"/>
      <c r="CP25" s="701"/>
      <c r="CQ25" s="701"/>
      <c r="CR25" s="701"/>
      <c r="CS25" s="701"/>
      <c r="CT25" s="701"/>
      <c r="CU25" s="701"/>
      <c r="CV25" s="701"/>
      <c r="CW25" s="701"/>
      <c r="CX25" s="701"/>
      <c r="CY25" s="701"/>
      <c r="CZ25" s="701"/>
      <c r="DA25" s="701"/>
      <c r="DB25" s="701"/>
      <c r="DC25" s="701"/>
      <c r="DD25" s="701"/>
      <c r="DE25" s="701"/>
      <c r="DF25" s="701"/>
      <c r="DG25" s="701"/>
      <c r="DH25" s="710"/>
    </row>
    <row r="26" spans="1:112" x14ac:dyDescent="0.3">
      <c r="A26" s="66" t="str">
        <f>IF(J26&gt;0,"Imprimir","")</f>
        <v>Imprimir</v>
      </c>
      <c r="C26" s="98"/>
      <c r="D26" s="99" t="s">
        <v>390</v>
      </c>
      <c r="E26" s="99" t="s">
        <v>478</v>
      </c>
      <c r="F26" s="99"/>
      <c r="G26" s="606"/>
      <c r="H26" s="99"/>
      <c r="I26" s="100"/>
      <c r="J26" s="166">
        <f>SUBTOTAL(9,J29:J67)</f>
        <v>4513.5</v>
      </c>
      <c r="K26" s="265"/>
      <c r="L26" s="770">
        <f t="shared" ref="L26:BG26" si="12">SUMPRODUCT($J29:$J67,L29:L67)</f>
        <v>1354.05</v>
      </c>
      <c r="M26" s="771">
        <f t="shared" si="12"/>
        <v>0</v>
      </c>
      <c r="N26" s="771">
        <f t="shared" si="12"/>
        <v>0</v>
      </c>
      <c r="O26" s="771">
        <f t="shared" si="12"/>
        <v>0</v>
      </c>
      <c r="P26" s="771">
        <f t="shared" si="12"/>
        <v>1354.05</v>
      </c>
      <c r="Q26" s="771">
        <f t="shared" si="12"/>
        <v>0</v>
      </c>
      <c r="R26" s="771">
        <f t="shared" si="12"/>
        <v>0</v>
      </c>
      <c r="S26" s="771">
        <f t="shared" si="12"/>
        <v>0</v>
      </c>
      <c r="T26" s="771">
        <f t="shared" si="12"/>
        <v>0</v>
      </c>
      <c r="U26" s="771">
        <f t="shared" si="12"/>
        <v>0</v>
      </c>
      <c r="V26" s="771">
        <f t="shared" si="12"/>
        <v>0</v>
      </c>
      <c r="W26" s="771">
        <f t="shared" si="12"/>
        <v>1354.05</v>
      </c>
      <c r="X26" s="771">
        <f t="shared" si="12"/>
        <v>0</v>
      </c>
      <c r="Y26" s="771">
        <f t="shared" si="12"/>
        <v>0</v>
      </c>
      <c r="Z26" s="771">
        <f t="shared" si="12"/>
        <v>0</v>
      </c>
      <c r="AA26" s="771">
        <f t="shared" si="12"/>
        <v>0</v>
      </c>
      <c r="AB26" s="771">
        <f t="shared" si="12"/>
        <v>0</v>
      </c>
      <c r="AC26" s="771">
        <f t="shared" si="12"/>
        <v>0</v>
      </c>
      <c r="AD26" s="771">
        <f t="shared" si="12"/>
        <v>0</v>
      </c>
      <c r="AE26" s="771">
        <f t="shared" si="12"/>
        <v>451.35000000000008</v>
      </c>
      <c r="AF26" s="771">
        <f t="shared" si="12"/>
        <v>0</v>
      </c>
      <c r="AG26" s="771">
        <f t="shared" si="12"/>
        <v>0</v>
      </c>
      <c r="AH26" s="771">
        <f t="shared" si="12"/>
        <v>0</v>
      </c>
      <c r="AI26" s="771">
        <f t="shared" si="12"/>
        <v>0</v>
      </c>
      <c r="AJ26" s="771">
        <f t="shared" si="12"/>
        <v>0</v>
      </c>
      <c r="AK26" s="771">
        <f t="shared" si="12"/>
        <v>0</v>
      </c>
      <c r="AL26" s="771">
        <f t="shared" si="12"/>
        <v>0</v>
      </c>
      <c r="AM26" s="771">
        <f t="shared" si="12"/>
        <v>0</v>
      </c>
      <c r="AN26" s="771">
        <f t="shared" si="12"/>
        <v>0</v>
      </c>
      <c r="AO26" s="771">
        <f t="shared" si="12"/>
        <v>0</v>
      </c>
      <c r="AP26" s="771">
        <f t="shared" si="12"/>
        <v>0</v>
      </c>
      <c r="AQ26" s="771">
        <f t="shared" si="12"/>
        <v>0</v>
      </c>
      <c r="AR26" s="771">
        <f t="shared" si="12"/>
        <v>0</v>
      </c>
      <c r="AS26" s="771">
        <f t="shared" si="12"/>
        <v>0</v>
      </c>
      <c r="AT26" s="771">
        <f t="shared" si="12"/>
        <v>0</v>
      </c>
      <c r="AU26" s="771">
        <f t="shared" si="12"/>
        <v>0</v>
      </c>
      <c r="AV26" s="771">
        <f t="shared" si="12"/>
        <v>0</v>
      </c>
      <c r="AW26" s="771">
        <f t="shared" si="12"/>
        <v>0</v>
      </c>
      <c r="AX26" s="771">
        <f t="shared" si="12"/>
        <v>0</v>
      </c>
      <c r="AY26" s="771">
        <f t="shared" si="12"/>
        <v>0</v>
      </c>
      <c r="AZ26" s="771">
        <f t="shared" si="12"/>
        <v>0</v>
      </c>
      <c r="BA26" s="771">
        <f t="shared" si="12"/>
        <v>0</v>
      </c>
      <c r="BB26" s="771">
        <f t="shared" si="12"/>
        <v>0</v>
      </c>
      <c r="BC26" s="771">
        <f t="shared" si="12"/>
        <v>0</v>
      </c>
      <c r="BD26" s="771">
        <f t="shared" si="12"/>
        <v>0</v>
      </c>
      <c r="BE26" s="771">
        <f t="shared" si="12"/>
        <v>0</v>
      </c>
      <c r="BF26" s="771">
        <f t="shared" si="12"/>
        <v>0</v>
      </c>
      <c r="BG26" s="765">
        <f t="shared" si="12"/>
        <v>0</v>
      </c>
      <c r="BH26" s="772"/>
      <c r="BI26" s="68"/>
      <c r="BJ26" s="519">
        <f>IFERROR(BK26/J26,0)</f>
        <v>1.6450648055832502</v>
      </c>
      <c r="BK26" s="452">
        <f>SUBTOTAL(9,BK27:BK67)</f>
        <v>7425</v>
      </c>
      <c r="BL26" s="68"/>
      <c r="BM26" s="453">
        <f>SUBTOTAL(9,BM27:BM67)</f>
        <v>0</v>
      </c>
      <c r="BN26" s="454">
        <f>SUBTOTAL(9,BN27:BN67)</f>
        <v>0</v>
      </c>
      <c r="BO26" s="454">
        <f t="shared" ref="BO26:DG26" si="13">SUBTOTAL(9,BO27:BO67)</f>
        <v>0</v>
      </c>
      <c r="BP26" s="454">
        <f t="shared" si="13"/>
        <v>0</v>
      </c>
      <c r="BQ26" s="454">
        <f t="shared" si="13"/>
        <v>0</v>
      </c>
      <c r="BR26" s="454">
        <f t="shared" si="13"/>
        <v>7425</v>
      </c>
      <c r="BS26" s="454">
        <f t="shared" si="13"/>
        <v>0</v>
      </c>
      <c r="BT26" s="454">
        <f t="shared" si="13"/>
        <v>0</v>
      </c>
      <c r="BU26" s="454">
        <f t="shared" si="13"/>
        <v>0</v>
      </c>
      <c r="BV26" s="454">
        <f t="shared" si="13"/>
        <v>0</v>
      </c>
      <c r="BW26" s="454">
        <f t="shared" si="13"/>
        <v>0</v>
      </c>
      <c r="BX26" s="454">
        <f t="shared" si="13"/>
        <v>0</v>
      </c>
      <c r="BY26" s="454">
        <f t="shared" si="13"/>
        <v>0</v>
      </c>
      <c r="BZ26" s="454">
        <f t="shared" si="13"/>
        <v>0</v>
      </c>
      <c r="CA26" s="454">
        <f t="shared" si="13"/>
        <v>0</v>
      </c>
      <c r="CB26" s="454">
        <f t="shared" si="13"/>
        <v>0</v>
      </c>
      <c r="CC26" s="454">
        <f t="shared" si="13"/>
        <v>0</v>
      </c>
      <c r="CD26" s="454">
        <f t="shared" si="13"/>
        <v>0</v>
      </c>
      <c r="CE26" s="454">
        <f t="shared" si="13"/>
        <v>0</v>
      </c>
      <c r="CF26" s="454">
        <f t="shared" si="13"/>
        <v>0</v>
      </c>
      <c r="CG26" s="454">
        <f t="shared" si="13"/>
        <v>0</v>
      </c>
      <c r="CH26" s="454">
        <f t="shared" si="13"/>
        <v>0</v>
      </c>
      <c r="CI26" s="454">
        <f t="shared" si="13"/>
        <v>0</v>
      </c>
      <c r="CJ26" s="454">
        <f t="shared" si="13"/>
        <v>0</v>
      </c>
      <c r="CK26" s="454">
        <f t="shared" si="13"/>
        <v>0</v>
      </c>
      <c r="CL26" s="454">
        <f t="shared" si="13"/>
        <v>0</v>
      </c>
      <c r="CM26" s="454">
        <f t="shared" si="13"/>
        <v>0</v>
      </c>
      <c r="CN26" s="454">
        <f t="shared" si="13"/>
        <v>0</v>
      </c>
      <c r="CO26" s="454">
        <f t="shared" si="13"/>
        <v>0</v>
      </c>
      <c r="CP26" s="454">
        <f t="shared" si="13"/>
        <v>0</v>
      </c>
      <c r="CQ26" s="454">
        <f t="shared" si="13"/>
        <v>0</v>
      </c>
      <c r="CR26" s="454">
        <f t="shared" si="13"/>
        <v>0</v>
      </c>
      <c r="CS26" s="454">
        <f t="shared" si="13"/>
        <v>0</v>
      </c>
      <c r="CT26" s="454">
        <f t="shared" si="13"/>
        <v>0</v>
      </c>
      <c r="CU26" s="454">
        <f t="shared" si="13"/>
        <v>0</v>
      </c>
      <c r="CV26" s="454">
        <f t="shared" si="13"/>
        <v>0</v>
      </c>
      <c r="CW26" s="454">
        <f t="shared" si="13"/>
        <v>0</v>
      </c>
      <c r="CX26" s="454">
        <f t="shared" si="13"/>
        <v>0</v>
      </c>
      <c r="CY26" s="454">
        <f t="shared" si="13"/>
        <v>0</v>
      </c>
      <c r="CZ26" s="454">
        <f t="shared" si="13"/>
        <v>0</v>
      </c>
      <c r="DA26" s="454">
        <f t="shared" si="13"/>
        <v>0</v>
      </c>
      <c r="DB26" s="454">
        <f t="shared" si="13"/>
        <v>0</v>
      </c>
      <c r="DC26" s="454">
        <f t="shared" si="13"/>
        <v>0</v>
      </c>
      <c r="DD26" s="454">
        <f t="shared" si="13"/>
        <v>0</v>
      </c>
      <c r="DE26" s="454">
        <f t="shared" si="13"/>
        <v>0</v>
      </c>
      <c r="DF26" s="454">
        <f t="shared" si="13"/>
        <v>0</v>
      </c>
      <c r="DG26" s="454">
        <f t="shared" si="13"/>
        <v>0</v>
      </c>
      <c r="DH26" s="615">
        <f>SUBTOTAL(9,DH27:DH67)</f>
        <v>0</v>
      </c>
    </row>
    <row r="27" spans="1:112" outlineLevel="1" x14ac:dyDescent="0.3">
      <c r="A27" s="66" t="str">
        <f>IF(J26&gt;0,"Imprimir","")</f>
        <v>Imprimir</v>
      </c>
      <c r="C27" s="102"/>
      <c r="D27" s="103"/>
      <c r="E27" s="103"/>
      <c r="F27" s="103" t="s">
        <v>472</v>
      </c>
      <c r="G27" s="607" t="s">
        <v>2128</v>
      </c>
      <c r="H27" s="103" t="s">
        <v>98</v>
      </c>
      <c r="I27" s="103" t="s">
        <v>474</v>
      </c>
      <c r="J27" s="104" t="s">
        <v>29</v>
      </c>
      <c r="K27" s="70"/>
      <c r="L27" s="745"/>
      <c r="M27" s="741"/>
      <c r="N27" s="741"/>
      <c r="O27" s="741"/>
      <c r="P27" s="741"/>
      <c r="Q27" s="741"/>
      <c r="R27" s="741"/>
      <c r="S27" s="741"/>
      <c r="T27" s="741"/>
      <c r="U27" s="741"/>
      <c r="V27" s="741"/>
      <c r="W27" s="741"/>
      <c r="X27" s="741"/>
      <c r="Y27" s="741"/>
      <c r="Z27" s="741"/>
      <c r="AA27" s="741"/>
      <c r="AB27" s="741"/>
      <c r="AC27" s="741"/>
      <c r="AD27" s="741"/>
      <c r="AE27" s="741"/>
      <c r="AF27" s="741"/>
      <c r="AG27" s="741"/>
      <c r="AH27" s="741"/>
      <c r="AI27" s="741"/>
      <c r="AJ27" s="741"/>
      <c r="AK27" s="741"/>
      <c r="AL27" s="741"/>
      <c r="AM27" s="741"/>
      <c r="AN27" s="741"/>
      <c r="AO27" s="741"/>
      <c r="AP27" s="741"/>
      <c r="AQ27" s="741"/>
      <c r="AR27" s="741"/>
      <c r="AS27" s="741"/>
      <c r="AT27" s="741"/>
      <c r="AU27" s="741"/>
      <c r="AV27" s="741"/>
      <c r="AW27" s="741"/>
      <c r="AX27" s="741"/>
      <c r="AY27" s="741"/>
      <c r="AZ27" s="741"/>
      <c r="BA27" s="741"/>
      <c r="BB27" s="741"/>
      <c r="BC27" s="741"/>
      <c r="BD27" s="741"/>
      <c r="BE27" s="741"/>
      <c r="BF27" s="741"/>
      <c r="BG27" s="746"/>
      <c r="BH27" s="590"/>
      <c r="BI27" s="68"/>
      <c r="BJ27" s="161"/>
      <c r="BK27" s="159"/>
      <c r="BL27" s="68"/>
      <c r="BM27" s="151"/>
      <c r="BN27" s="103"/>
      <c r="BO27" s="103"/>
      <c r="BP27" s="103"/>
      <c r="BQ27" s="103"/>
      <c r="BR27" s="103"/>
      <c r="BS27" s="103"/>
      <c r="BT27" s="103"/>
      <c r="BU27" s="103"/>
      <c r="BV27" s="103"/>
      <c r="BW27" s="103"/>
      <c r="BX27" s="103"/>
      <c r="BY27" s="103"/>
      <c r="BZ27" s="103"/>
      <c r="CA27" s="103"/>
      <c r="CB27" s="103"/>
      <c r="CC27" s="103"/>
      <c r="CD27" s="103"/>
      <c r="CE27" s="103"/>
      <c r="CF27" s="103"/>
      <c r="CG27" s="103"/>
      <c r="CH27" s="103"/>
      <c r="CI27" s="103"/>
      <c r="CJ27" s="103"/>
      <c r="CK27" s="103"/>
      <c r="CL27" s="103"/>
      <c r="CM27" s="103"/>
      <c r="CN27" s="103"/>
      <c r="CO27" s="103"/>
      <c r="CP27" s="103"/>
      <c r="CQ27" s="103"/>
      <c r="CR27" s="103"/>
      <c r="CS27" s="103"/>
      <c r="CT27" s="103"/>
      <c r="CU27" s="103"/>
      <c r="CV27" s="103"/>
      <c r="CW27" s="103"/>
      <c r="CX27" s="103"/>
      <c r="CY27" s="103"/>
      <c r="CZ27" s="103"/>
      <c r="DA27" s="103"/>
      <c r="DB27" s="103"/>
      <c r="DC27" s="103"/>
      <c r="DD27" s="103"/>
      <c r="DE27" s="103"/>
      <c r="DF27" s="103"/>
      <c r="DG27" s="103"/>
      <c r="DH27" s="104"/>
    </row>
    <row r="28" spans="1:112" ht="15.6" outlineLevel="1" x14ac:dyDescent="0.3">
      <c r="A28" s="66" t="str">
        <f t="shared" ref="A28" si="14">IF(J28&gt;0,"Imprimir","")</f>
        <v>Imprimir</v>
      </c>
      <c r="C28" s="106"/>
      <c r="D28" s="318"/>
      <c r="E28" s="107"/>
      <c r="F28" s="108"/>
      <c r="G28" s="608"/>
      <c r="H28" s="217"/>
      <c r="I28" s="218"/>
      <c r="J28" s="219">
        <f>SUBTOTAL(9,J29:J67)</f>
        <v>4513.5</v>
      </c>
      <c r="K28" s="111"/>
      <c r="L28" s="747"/>
      <c r="M28" s="742"/>
      <c r="N28" s="742"/>
      <c r="O28" s="742"/>
      <c r="P28" s="742"/>
      <c r="Q28" s="742"/>
      <c r="R28" s="742"/>
      <c r="S28" s="742"/>
      <c r="T28" s="742"/>
      <c r="U28" s="742"/>
      <c r="V28" s="742"/>
      <c r="W28" s="742"/>
      <c r="X28" s="742"/>
      <c r="Y28" s="742"/>
      <c r="Z28" s="742"/>
      <c r="AA28" s="742"/>
      <c r="AB28" s="742"/>
      <c r="AC28" s="742"/>
      <c r="AD28" s="742"/>
      <c r="AE28" s="742"/>
      <c r="AF28" s="742"/>
      <c r="AG28" s="742"/>
      <c r="AH28" s="742"/>
      <c r="AI28" s="742"/>
      <c r="AJ28" s="742"/>
      <c r="AK28" s="742"/>
      <c r="AL28" s="742"/>
      <c r="AM28" s="742"/>
      <c r="AN28" s="742"/>
      <c r="AO28" s="742"/>
      <c r="AP28" s="742"/>
      <c r="AQ28" s="742"/>
      <c r="AR28" s="742"/>
      <c r="AS28" s="742"/>
      <c r="AT28" s="742"/>
      <c r="AU28" s="742"/>
      <c r="AV28" s="742"/>
      <c r="AW28" s="742"/>
      <c r="AX28" s="742"/>
      <c r="AY28" s="742"/>
      <c r="AZ28" s="742"/>
      <c r="BA28" s="742"/>
      <c r="BB28" s="742"/>
      <c r="BC28" s="742"/>
      <c r="BD28" s="742"/>
      <c r="BE28" s="742"/>
      <c r="BF28" s="742"/>
      <c r="BG28" s="748"/>
      <c r="BH28" s="590"/>
      <c r="BI28" s="68"/>
      <c r="BJ28" s="305"/>
      <c r="BK28" s="160"/>
      <c r="BL28" s="68"/>
      <c r="BM28" s="512"/>
      <c r="BN28" s="513"/>
      <c r="BO28" s="513"/>
      <c r="BP28" s="513"/>
      <c r="BQ28" s="513"/>
      <c r="BR28" s="513"/>
      <c r="BS28" s="513"/>
      <c r="BT28" s="513"/>
      <c r="BU28" s="513"/>
      <c r="BV28" s="513"/>
      <c r="BW28" s="513"/>
      <c r="BX28" s="513"/>
      <c r="BY28" s="513"/>
      <c r="BZ28" s="513"/>
      <c r="CA28" s="513"/>
      <c r="CB28" s="513"/>
      <c r="CC28" s="513"/>
      <c r="CD28" s="513"/>
      <c r="CE28" s="513"/>
      <c r="CF28" s="513"/>
      <c r="CG28" s="513"/>
      <c r="CH28" s="513"/>
      <c r="CI28" s="513"/>
      <c r="CJ28" s="513"/>
      <c r="CK28" s="513"/>
      <c r="CL28" s="513"/>
      <c r="CM28" s="513"/>
      <c r="CN28" s="513"/>
      <c r="CO28" s="513"/>
      <c r="CP28" s="513"/>
      <c r="CQ28" s="513"/>
      <c r="CR28" s="513"/>
      <c r="CS28" s="513"/>
      <c r="CT28" s="513"/>
      <c r="CU28" s="513"/>
      <c r="CV28" s="513"/>
      <c r="CW28" s="513"/>
      <c r="CX28" s="513"/>
      <c r="CY28" s="513"/>
      <c r="CZ28" s="513"/>
      <c r="DA28" s="513"/>
      <c r="DB28" s="513"/>
      <c r="DC28" s="513"/>
      <c r="DD28" s="513"/>
      <c r="DE28" s="513"/>
      <c r="DF28" s="513"/>
      <c r="DG28" s="513"/>
      <c r="DH28" s="514"/>
    </row>
    <row r="29" spans="1:112" ht="12.6" customHeight="1" outlineLevel="1" x14ac:dyDescent="0.3">
      <c r="A29" s="66" t="str">
        <f t="shared" ref="A29:A66" si="15">IF(J29="","",IF(J29=0,"","Imprimir"))</f>
        <v>Imprimir</v>
      </c>
      <c r="C29" s="527"/>
      <c r="D29" s="528" t="s">
        <v>2138</v>
      </c>
      <c r="E29" s="528" t="s">
        <v>479</v>
      </c>
      <c r="F29" s="534"/>
      <c r="G29" s="529">
        <v>500</v>
      </c>
      <c r="H29" s="531">
        <f>Producción!G12*0.275</f>
        <v>4.6750000000000007</v>
      </c>
      <c r="I29" s="849">
        <f t="shared" ref="I29:I66" si="16">IF(E29&gt;0,$J$5,"")</f>
        <v>1</v>
      </c>
      <c r="J29" s="850">
        <f t="shared" ref="J29:J66" si="17">IFERROR(G29*H29*I29,"")</f>
        <v>2337.5000000000005</v>
      </c>
      <c r="K29" s="70"/>
      <c r="L29" s="853">
        <v>0.3</v>
      </c>
      <c r="M29" s="855"/>
      <c r="N29" s="855"/>
      <c r="O29" s="855"/>
      <c r="P29" s="855">
        <v>0.3</v>
      </c>
      <c r="Q29" s="855"/>
      <c r="R29" s="855"/>
      <c r="S29" s="855"/>
      <c r="T29" s="855"/>
      <c r="U29" s="855"/>
      <c r="V29" s="855"/>
      <c r="W29" s="855">
        <v>0.3</v>
      </c>
      <c r="X29" s="855"/>
      <c r="Y29" s="855"/>
      <c r="Z29" s="856"/>
      <c r="AA29" s="856"/>
      <c r="AB29" s="856"/>
      <c r="AC29" s="856"/>
      <c r="AD29" s="856"/>
      <c r="AE29" s="856">
        <v>0.1</v>
      </c>
      <c r="AF29" s="856"/>
      <c r="AG29" s="856"/>
      <c r="AH29" s="856"/>
      <c r="AI29" s="856"/>
      <c r="AJ29" s="856"/>
      <c r="AK29" s="856"/>
      <c r="AL29" s="856"/>
      <c r="AM29" s="856"/>
      <c r="AN29" s="856"/>
      <c r="AO29" s="856"/>
      <c r="AP29" s="856"/>
      <c r="AQ29" s="856"/>
      <c r="AR29" s="856"/>
      <c r="AS29" s="856"/>
      <c r="AT29" s="856"/>
      <c r="AU29" s="856"/>
      <c r="AV29" s="856"/>
      <c r="AW29" s="856"/>
      <c r="AX29" s="856"/>
      <c r="AY29" s="856"/>
      <c r="AZ29" s="856"/>
      <c r="BA29" s="856"/>
      <c r="BB29" s="856"/>
      <c r="BC29" s="856"/>
      <c r="BD29" s="856"/>
      <c r="BE29" s="856"/>
      <c r="BF29" s="856"/>
      <c r="BG29" s="857"/>
      <c r="BH29" s="590"/>
      <c r="BI29" s="70"/>
      <c r="BJ29" s="518">
        <f t="shared" ref="BJ29:BJ66" si="18">IFERROR(BK29/J29,0)</f>
        <v>3.1764705882352935</v>
      </c>
      <c r="BK29" s="517">
        <f t="shared" ref="BK29:BK66" si="19">SUM(BM29:DH29)</f>
        <v>7425</v>
      </c>
      <c r="BL29" s="68"/>
      <c r="BM29" s="515">
        <f>SUMIFS(Imput[[Importe Neto]:[Importe Neto]],Imput[[C. Imp.]:[C. Imp.]],$D29,Imput[[PERIODO Imp.]:[PERIODO Imp.]],BM$9)</f>
        <v>0</v>
      </c>
      <c r="BN29" s="516">
        <f>SUMIFS(Imput[[Importe Neto]:[Importe Neto]],Imput[[C. Imp.]:[C. Imp.]],$D29,Imput[[PERIODO Imp.]:[PERIODO Imp.]],BN$9)</f>
        <v>0</v>
      </c>
      <c r="BO29" s="516">
        <f>SUMIFS(Imput[[Importe Neto]:[Importe Neto]],Imput[[C. Imp.]:[C. Imp.]],$D29,Imput[[PERIODO Imp.]:[PERIODO Imp.]],BO$9)</f>
        <v>0</v>
      </c>
      <c r="BP29" s="516">
        <f>SUMIFS(Imput[[Importe Neto]:[Importe Neto]],Imput[[C. Imp.]:[C. Imp.]],$D29,Imput[[PERIODO Imp.]:[PERIODO Imp.]],BP$9)</f>
        <v>0</v>
      </c>
      <c r="BQ29" s="516">
        <f>SUMIFS(Imput[[Importe Neto]:[Importe Neto]],Imput[[C. Imp.]:[C. Imp.]],$D29,Imput[[PERIODO Imp.]:[PERIODO Imp.]],BQ$9)</f>
        <v>0</v>
      </c>
      <c r="BR29" s="516">
        <f>SUMIFS(Imput[[Importe Neto]:[Importe Neto]],Imput[[C. Imp.]:[C. Imp.]],$D29,Imput[[PERIODO Imp.]:[PERIODO Imp.]],BR$9)</f>
        <v>7425</v>
      </c>
      <c r="BS29" s="516">
        <f>SUMIFS(Imput[[Importe Neto]:[Importe Neto]],Imput[[C. Imp.]:[C. Imp.]],$D29,Imput[[PERIODO Imp.]:[PERIODO Imp.]],BS$9)</f>
        <v>0</v>
      </c>
      <c r="BT29" s="516">
        <f>SUMIFS(Imput[[Importe Neto]:[Importe Neto]],Imput[[C. Imp.]:[C. Imp.]],$D29,Imput[[PERIODO Imp.]:[PERIODO Imp.]],BT$9)</f>
        <v>0</v>
      </c>
      <c r="BU29" s="516">
        <f>SUMIFS(Imput[[Importe Neto]:[Importe Neto]],Imput[[C. Imp.]:[C. Imp.]],$D29,Imput[[PERIODO Imp.]:[PERIODO Imp.]],BU$9)</f>
        <v>0</v>
      </c>
      <c r="BV29" s="516">
        <f>SUMIFS(Imput[[Importe Neto]:[Importe Neto]],Imput[[C. Imp.]:[C. Imp.]],$D29,Imput[[PERIODO Imp.]:[PERIODO Imp.]],BV$9)</f>
        <v>0</v>
      </c>
      <c r="BW29" s="516">
        <f>SUMIFS(Imput[[Importe Neto]:[Importe Neto]],Imput[[C. Imp.]:[C. Imp.]],$D29,Imput[[PERIODO Imp.]:[PERIODO Imp.]],BW$9)</f>
        <v>0</v>
      </c>
      <c r="BX29" s="516">
        <f>SUMIFS(Imput[[Importe Neto]:[Importe Neto]],Imput[[C. Imp.]:[C. Imp.]],$D29,Imput[[PERIODO Imp.]:[PERIODO Imp.]],BX$9)</f>
        <v>0</v>
      </c>
      <c r="BY29" s="516">
        <f>SUMIFS(Imput[[Importe Neto]:[Importe Neto]],Imput[[C. Imp.]:[C. Imp.]],$D29,Imput[[PERIODO Imp.]:[PERIODO Imp.]],BY$9)</f>
        <v>0</v>
      </c>
      <c r="BZ29" s="516">
        <f>SUMIFS(Imput[[Importe Neto]:[Importe Neto]],Imput[[C. Imp.]:[C. Imp.]],$D29,Imput[[PERIODO Imp.]:[PERIODO Imp.]],BZ$9)</f>
        <v>0</v>
      </c>
      <c r="CA29" s="516">
        <f>SUMIFS(Imput[[Importe Neto]:[Importe Neto]],Imput[[C. Imp.]:[C. Imp.]],$D29,Imput[[PERIODO Imp.]:[PERIODO Imp.]],CA$9)</f>
        <v>0</v>
      </c>
      <c r="CB29" s="516">
        <f>SUMIFS(Imput[[Importe Neto]:[Importe Neto]],Imput[[C. Imp.]:[C. Imp.]],$D29,Imput[[PERIODO Imp.]:[PERIODO Imp.]],CB$9)</f>
        <v>0</v>
      </c>
      <c r="CC29" s="516">
        <f>SUMIFS(Imput[[Importe Neto]:[Importe Neto]],Imput[[C. Imp.]:[C. Imp.]],$D29,Imput[[PERIODO Imp.]:[PERIODO Imp.]],CC$9)</f>
        <v>0</v>
      </c>
      <c r="CD29" s="516">
        <f>SUMIFS(Imput[[Importe Neto]:[Importe Neto]],Imput[[C. Imp.]:[C. Imp.]],$D29,Imput[[PERIODO Imp.]:[PERIODO Imp.]],CD$9)</f>
        <v>0</v>
      </c>
      <c r="CE29" s="516">
        <f>SUMIFS(Imput[[Importe Neto]:[Importe Neto]],Imput[[C. Imp.]:[C. Imp.]],$D29,Imput[[PERIODO Imp.]:[PERIODO Imp.]],CE$9)</f>
        <v>0</v>
      </c>
      <c r="CF29" s="516">
        <f>SUMIFS(Imput[[Importe Neto]:[Importe Neto]],Imput[[C. Imp.]:[C. Imp.]],$D29,Imput[[PERIODO Imp.]:[PERIODO Imp.]],CF$9)</f>
        <v>0</v>
      </c>
      <c r="CG29" s="516">
        <f>SUMIFS(Imput[[Importe Neto]:[Importe Neto]],Imput[[C. Imp.]:[C. Imp.]],$D29,Imput[[PERIODO Imp.]:[PERIODO Imp.]],CG$9)</f>
        <v>0</v>
      </c>
      <c r="CH29" s="516">
        <f>SUMIFS(Imput[[Importe Neto]:[Importe Neto]],Imput[[C. Imp.]:[C. Imp.]],$D29,Imput[[PERIODO Imp.]:[PERIODO Imp.]],CH$9)</f>
        <v>0</v>
      </c>
      <c r="CI29" s="516">
        <f>SUMIFS(Imput[[Importe Neto]:[Importe Neto]],Imput[[C. Imp.]:[C. Imp.]],$D29,Imput[[PERIODO Imp.]:[PERIODO Imp.]],CI$9)</f>
        <v>0</v>
      </c>
      <c r="CJ29" s="516">
        <f>SUMIFS(Imput[[Importe Neto]:[Importe Neto]],Imput[[C. Imp.]:[C. Imp.]],$D29,Imput[[PERIODO Imp.]:[PERIODO Imp.]],CJ$9)</f>
        <v>0</v>
      </c>
      <c r="CK29" s="516">
        <f>SUMIFS(Imput[[Importe Neto]:[Importe Neto]],Imput[[C. Imp.]:[C. Imp.]],$D29,Imput[[PERIODO Imp.]:[PERIODO Imp.]],CK$9)</f>
        <v>0</v>
      </c>
      <c r="CL29" s="516">
        <f>SUMIFS(Imput[[Importe Neto]:[Importe Neto]],Imput[[C. Imp.]:[C. Imp.]],$D29,Imput[[PERIODO Imp.]:[PERIODO Imp.]],CL$9)</f>
        <v>0</v>
      </c>
      <c r="CM29" s="516">
        <f>SUMIFS(Imput[[Importe Neto]:[Importe Neto]],Imput[[C. Imp.]:[C. Imp.]],$D29,Imput[[PERIODO Imp.]:[PERIODO Imp.]],CM$9)</f>
        <v>0</v>
      </c>
      <c r="CN29" s="516">
        <f>SUMIFS(Imput[[Importe Neto]:[Importe Neto]],Imput[[C. Imp.]:[C. Imp.]],$D29,Imput[[PERIODO Imp.]:[PERIODO Imp.]],CN$9)</f>
        <v>0</v>
      </c>
      <c r="CO29" s="516">
        <f>SUMIFS(Imput[[Importe Neto]:[Importe Neto]],Imput[[C. Imp.]:[C. Imp.]],$D29,Imput[[PERIODO Imp.]:[PERIODO Imp.]],CO$9)</f>
        <v>0</v>
      </c>
      <c r="CP29" s="516">
        <f>SUMIFS(Imput[[Importe Neto]:[Importe Neto]],Imput[[C. Imp.]:[C. Imp.]],$D29,Imput[[PERIODO Imp.]:[PERIODO Imp.]],CP$9)</f>
        <v>0</v>
      </c>
      <c r="CQ29" s="516">
        <f>SUMIFS(Imput[[Importe Neto]:[Importe Neto]],Imput[[C. Imp.]:[C. Imp.]],$D29,Imput[[PERIODO Imp.]:[PERIODO Imp.]],CQ$9)</f>
        <v>0</v>
      </c>
      <c r="CR29" s="516">
        <f>SUMIFS(Imput[[Importe Neto]:[Importe Neto]],Imput[[C. Imp.]:[C. Imp.]],$D29,Imput[[PERIODO Imp.]:[PERIODO Imp.]],CR$9)</f>
        <v>0</v>
      </c>
      <c r="CS29" s="516">
        <f>SUMIFS(Imput[[Importe Neto]:[Importe Neto]],Imput[[C. Imp.]:[C. Imp.]],$D29,Imput[[PERIODO Imp.]:[PERIODO Imp.]],CS$9)</f>
        <v>0</v>
      </c>
      <c r="CT29" s="516">
        <f>SUMIFS(Imput[[Importe Neto]:[Importe Neto]],Imput[[C. Imp.]:[C. Imp.]],$D29,Imput[[PERIODO Imp.]:[PERIODO Imp.]],CT$9)</f>
        <v>0</v>
      </c>
      <c r="CU29" s="516">
        <f>SUMIFS(Imput[[Importe Neto]:[Importe Neto]],Imput[[C. Imp.]:[C. Imp.]],$D29,Imput[[PERIODO Imp.]:[PERIODO Imp.]],CU$9)</f>
        <v>0</v>
      </c>
      <c r="CV29" s="516">
        <f>SUMIFS(Imput[[Importe Neto]:[Importe Neto]],Imput[[C. Imp.]:[C. Imp.]],$D29,Imput[[PERIODO Imp.]:[PERIODO Imp.]],CV$9)</f>
        <v>0</v>
      </c>
      <c r="CW29" s="516">
        <f>SUMIFS(Imput[[Importe Neto]:[Importe Neto]],Imput[[C. Imp.]:[C. Imp.]],$D29,Imput[[PERIODO Imp.]:[PERIODO Imp.]],CW$9)</f>
        <v>0</v>
      </c>
      <c r="CX29" s="516">
        <f>SUMIFS(Imput[[Importe Neto]:[Importe Neto]],Imput[[C. Imp.]:[C. Imp.]],$D29,Imput[[PERIODO Imp.]:[PERIODO Imp.]],CX$9)</f>
        <v>0</v>
      </c>
      <c r="CY29" s="516">
        <f>SUMIFS(Imput[[Importe Neto]:[Importe Neto]],Imput[[C. Imp.]:[C. Imp.]],$D29,Imput[[PERIODO Imp.]:[PERIODO Imp.]],CY$9)</f>
        <v>0</v>
      </c>
      <c r="CZ29" s="516">
        <f>SUMIFS(Imput[[Importe Neto]:[Importe Neto]],Imput[[C. Imp.]:[C. Imp.]],$D29,Imput[[PERIODO Imp.]:[PERIODO Imp.]],CZ$9)</f>
        <v>0</v>
      </c>
      <c r="DA29" s="516">
        <f>SUMIFS(Imput[[Importe Neto]:[Importe Neto]],Imput[[C. Imp.]:[C. Imp.]],$D29,Imput[[PERIODO Imp.]:[PERIODO Imp.]],DA$9)</f>
        <v>0</v>
      </c>
      <c r="DB29" s="516">
        <f>SUMIFS(Imput[[Importe Neto]:[Importe Neto]],Imput[[C. Imp.]:[C. Imp.]],$D29,Imput[[PERIODO Imp.]:[PERIODO Imp.]],DB$9)</f>
        <v>0</v>
      </c>
      <c r="DC29" s="516">
        <f>SUMIFS(Imput[[Importe Neto]:[Importe Neto]],Imput[[C. Imp.]:[C. Imp.]],$D29,Imput[[PERIODO Imp.]:[PERIODO Imp.]],DC$9)</f>
        <v>0</v>
      </c>
      <c r="DD29" s="516">
        <f>SUMIFS(Imput[[Importe Neto]:[Importe Neto]],Imput[[C. Imp.]:[C. Imp.]],$D29,Imput[[PERIODO Imp.]:[PERIODO Imp.]],DD$9)</f>
        <v>0</v>
      </c>
      <c r="DE29" s="516">
        <f>SUMIFS(Imput[[Importe Neto]:[Importe Neto]],Imput[[C. Imp.]:[C. Imp.]],$D29,Imput[[PERIODO Imp.]:[PERIODO Imp.]],DE$9)</f>
        <v>0</v>
      </c>
      <c r="DF29" s="516">
        <f>SUMIFS(Imput[[Importe Neto]:[Importe Neto]],Imput[[C. Imp.]:[C. Imp.]],$D29,Imput[[PERIODO Imp.]:[PERIODO Imp.]],DF$9)</f>
        <v>0</v>
      </c>
      <c r="DG29" s="516">
        <f>SUMIFS(Imput[[Importe Neto]:[Importe Neto]],Imput[[C. Imp.]:[C. Imp.]],$D29,Imput[[PERIODO Imp.]:[PERIODO Imp.]],DG$9)</f>
        <v>0</v>
      </c>
      <c r="DH29" s="616">
        <f>SUMIFS(Imput[[Importe Neto]:[Importe Neto]],Imput[[C. Imp.]:[C. Imp.]],$D29,Imput[[PERIODO Imp.]:[PERIODO Imp.]],DH$9)</f>
        <v>0</v>
      </c>
    </row>
    <row r="30" spans="1:112" outlineLevel="1" x14ac:dyDescent="0.3">
      <c r="A30" s="652" t="str">
        <f t="shared" si="15"/>
        <v>Imprimir</v>
      </c>
      <c r="B30" s="652"/>
      <c r="C30" s="685"/>
      <c r="D30" s="686" t="s">
        <v>2139</v>
      </c>
      <c r="E30" s="686" t="s">
        <v>480</v>
      </c>
      <c r="F30" s="720"/>
      <c r="G30" s="688">
        <v>500</v>
      </c>
      <c r="H30" s="689">
        <f>Producción!G12*0.25</f>
        <v>4.25</v>
      </c>
      <c r="I30" s="851">
        <f t="shared" si="16"/>
        <v>1</v>
      </c>
      <c r="J30" s="852">
        <f t="shared" si="17"/>
        <v>2125</v>
      </c>
      <c r="K30" s="667"/>
      <c r="L30" s="858">
        <v>0.3</v>
      </c>
      <c r="M30" s="859"/>
      <c r="N30" s="859"/>
      <c r="O30" s="859"/>
      <c r="P30" s="859">
        <v>0.3</v>
      </c>
      <c r="Q30" s="859"/>
      <c r="R30" s="859"/>
      <c r="S30" s="859"/>
      <c r="T30" s="859"/>
      <c r="U30" s="859"/>
      <c r="V30" s="859"/>
      <c r="W30" s="859">
        <v>0.3</v>
      </c>
      <c r="X30" s="859"/>
      <c r="Y30" s="859"/>
      <c r="Z30" s="860"/>
      <c r="AA30" s="860"/>
      <c r="AB30" s="860"/>
      <c r="AC30" s="860"/>
      <c r="AD30" s="860"/>
      <c r="AE30" s="860">
        <v>0.1</v>
      </c>
      <c r="AF30" s="860"/>
      <c r="AG30" s="860"/>
      <c r="AH30" s="860"/>
      <c r="AI30" s="860"/>
      <c r="AJ30" s="860"/>
      <c r="AK30" s="860"/>
      <c r="AL30" s="860"/>
      <c r="AM30" s="860"/>
      <c r="AN30" s="860"/>
      <c r="AO30" s="860"/>
      <c r="AP30" s="860"/>
      <c r="AQ30" s="860"/>
      <c r="AR30" s="860"/>
      <c r="AS30" s="860"/>
      <c r="AT30" s="860"/>
      <c r="AU30" s="860"/>
      <c r="AV30" s="860"/>
      <c r="AW30" s="860"/>
      <c r="AX30" s="860"/>
      <c r="AY30" s="860"/>
      <c r="AZ30" s="860"/>
      <c r="BA30" s="860"/>
      <c r="BB30" s="860"/>
      <c r="BC30" s="860"/>
      <c r="BD30" s="860"/>
      <c r="BE30" s="860"/>
      <c r="BF30" s="860"/>
      <c r="BG30" s="861"/>
      <c r="BH30" s="668"/>
      <c r="BI30" s="667"/>
      <c r="BJ30" s="690">
        <f t="shared" si="18"/>
        <v>0</v>
      </c>
      <c r="BK30" s="691">
        <f t="shared" si="19"/>
        <v>0</v>
      </c>
      <c r="BL30" s="654"/>
      <c r="BM30" s="692">
        <f>SUMIFS(Imput[[Importe Neto]:[Importe Neto]],Imput[[C. Imp.]:[C. Imp.]],$D30,Imput[[PERIODO Imp.]:[PERIODO Imp.]],BM$9)</f>
        <v>0</v>
      </c>
      <c r="BN30" s="693">
        <f>SUMIFS(Imput[[Importe Neto]:[Importe Neto]],Imput[[C. Imp.]:[C. Imp.]],$D30,Imput[[PERIODO Imp.]:[PERIODO Imp.]],BN$9)</f>
        <v>0</v>
      </c>
      <c r="BO30" s="693">
        <f>SUMIFS(Imput[[Importe Neto]:[Importe Neto]],Imput[[C. Imp.]:[C. Imp.]],$D30,Imput[[PERIODO Imp.]:[PERIODO Imp.]],BO$9)</f>
        <v>0</v>
      </c>
      <c r="BP30" s="693">
        <f>SUMIFS(Imput[[Importe Neto]:[Importe Neto]],Imput[[C. Imp.]:[C. Imp.]],$D30,Imput[[PERIODO Imp.]:[PERIODO Imp.]],BP$9)</f>
        <v>0</v>
      </c>
      <c r="BQ30" s="693">
        <f>SUMIFS(Imput[[Importe Neto]:[Importe Neto]],Imput[[C. Imp.]:[C. Imp.]],$D30,Imput[[PERIODO Imp.]:[PERIODO Imp.]],BQ$9)</f>
        <v>0</v>
      </c>
      <c r="BR30" s="693">
        <f>SUMIFS(Imput[[Importe Neto]:[Importe Neto]],Imput[[C. Imp.]:[C. Imp.]],$D30,Imput[[PERIODO Imp.]:[PERIODO Imp.]],BR$9)</f>
        <v>0</v>
      </c>
      <c r="BS30" s="693">
        <f>SUMIFS(Imput[[Importe Neto]:[Importe Neto]],Imput[[C. Imp.]:[C. Imp.]],$D30,Imput[[PERIODO Imp.]:[PERIODO Imp.]],BS$9)</f>
        <v>0</v>
      </c>
      <c r="BT30" s="693">
        <f>SUMIFS(Imput[[Importe Neto]:[Importe Neto]],Imput[[C. Imp.]:[C. Imp.]],$D30,Imput[[PERIODO Imp.]:[PERIODO Imp.]],BT$9)</f>
        <v>0</v>
      </c>
      <c r="BU30" s="693">
        <f>SUMIFS(Imput[[Importe Neto]:[Importe Neto]],Imput[[C. Imp.]:[C. Imp.]],$D30,Imput[[PERIODO Imp.]:[PERIODO Imp.]],BU$9)</f>
        <v>0</v>
      </c>
      <c r="BV30" s="693">
        <f>SUMIFS(Imput[[Importe Neto]:[Importe Neto]],Imput[[C. Imp.]:[C. Imp.]],$D30,Imput[[PERIODO Imp.]:[PERIODO Imp.]],BV$9)</f>
        <v>0</v>
      </c>
      <c r="BW30" s="693">
        <f>SUMIFS(Imput[[Importe Neto]:[Importe Neto]],Imput[[C. Imp.]:[C. Imp.]],$D30,Imput[[PERIODO Imp.]:[PERIODO Imp.]],BW$9)</f>
        <v>0</v>
      </c>
      <c r="BX30" s="693">
        <f>SUMIFS(Imput[[Importe Neto]:[Importe Neto]],Imput[[C. Imp.]:[C. Imp.]],$D30,Imput[[PERIODO Imp.]:[PERIODO Imp.]],BX$9)</f>
        <v>0</v>
      </c>
      <c r="BY30" s="693">
        <f>SUMIFS(Imput[[Importe Neto]:[Importe Neto]],Imput[[C. Imp.]:[C. Imp.]],$D30,Imput[[PERIODO Imp.]:[PERIODO Imp.]],BY$9)</f>
        <v>0</v>
      </c>
      <c r="BZ30" s="693">
        <f>SUMIFS(Imput[[Importe Neto]:[Importe Neto]],Imput[[C. Imp.]:[C. Imp.]],$D30,Imput[[PERIODO Imp.]:[PERIODO Imp.]],BZ$9)</f>
        <v>0</v>
      </c>
      <c r="CA30" s="693">
        <f>SUMIFS(Imput[[Importe Neto]:[Importe Neto]],Imput[[C. Imp.]:[C. Imp.]],$D30,Imput[[PERIODO Imp.]:[PERIODO Imp.]],CA$9)</f>
        <v>0</v>
      </c>
      <c r="CB30" s="693">
        <f>SUMIFS(Imput[[Importe Neto]:[Importe Neto]],Imput[[C. Imp.]:[C. Imp.]],$D30,Imput[[PERIODO Imp.]:[PERIODO Imp.]],CB$9)</f>
        <v>0</v>
      </c>
      <c r="CC30" s="693">
        <f>SUMIFS(Imput[[Importe Neto]:[Importe Neto]],Imput[[C. Imp.]:[C. Imp.]],$D30,Imput[[PERIODO Imp.]:[PERIODO Imp.]],CC$9)</f>
        <v>0</v>
      </c>
      <c r="CD30" s="693">
        <f>SUMIFS(Imput[[Importe Neto]:[Importe Neto]],Imput[[C. Imp.]:[C. Imp.]],$D30,Imput[[PERIODO Imp.]:[PERIODO Imp.]],CD$9)</f>
        <v>0</v>
      </c>
      <c r="CE30" s="693">
        <f>SUMIFS(Imput[[Importe Neto]:[Importe Neto]],Imput[[C. Imp.]:[C. Imp.]],$D30,Imput[[PERIODO Imp.]:[PERIODO Imp.]],CE$9)</f>
        <v>0</v>
      </c>
      <c r="CF30" s="693">
        <f>SUMIFS(Imput[[Importe Neto]:[Importe Neto]],Imput[[C. Imp.]:[C. Imp.]],$D30,Imput[[PERIODO Imp.]:[PERIODO Imp.]],CF$9)</f>
        <v>0</v>
      </c>
      <c r="CG30" s="693">
        <f>SUMIFS(Imput[[Importe Neto]:[Importe Neto]],Imput[[C. Imp.]:[C. Imp.]],$D30,Imput[[PERIODO Imp.]:[PERIODO Imp.]],CG$9)</f>
        <v>0</v>
      </c>
      <c r="CH30" s="693">
        <f>SUMIFS(Imput[[Importe Neto]:[Importe Neto]],Imput[[C. Imp.]:[C. Imp.]],$D30,Imput[[PERIODO Imp.]:[PERIODO Imp.]],CH$9)</f>
        <v>0</v>
      </c>
      <c r="CI30" s="693">
        <f>SUMIFS(Imput[[Importe Neto]:[Importe Neto]],Imput[[C. Imp.]:[C. Imp.]],$D30,Imput[[PERIODO Imp.]:[PERIODO Imp.]],CI$9)</f>
        <v>0</v>
      </c>
      <c r="CJ30" s="693">
        <f>SUMIFS(Imput[[Importe Neto]:[Importe Neto]],Imput[[C. Imp.]:[C. Imp.]],$D30,Imput[[PERIODO Imp.]:[PERIODO Imp.]],CJ$9)</f>
        <v>0</v>
      </c>
      <c r="CK30" s="693">
        <f>SUMIFS(Imput[[Importe Neto]:[Importe Neto]],Imput[[C. Imp.]:[C. Imp.]],$D30,Imput[[PERIODO Imp.]:[PERIODO Imp.]],CK$9)</f>
        <v>0</v>
      </c>
      <c r="CL30" s="693">
        <f>SUMIFS(Imput[[Importe Neto]:[Importe Neto]],Imput[[C. Imp.]:[C. Imp.]],$D30,Imput[[PERIODO Imp.]:[PERIODO Imp.]],CL$9)</f>
        <v>0</v>
      </c>
      <c r="CM30" s="693">
        <f>SUMIFS(Imput[[Importe Neto]:[Importe Neto]],Imput[[C. Imp.]:[C. Imp.]],$D30,Imput[[PERIODO Imp.]:[PERIODO Imp.]],CM$9)</f>
        <v>0</v>
      </c>
      <c r="CN30" s="693">
        <f>SUMIFS(Imput[[Importe Neto]:[Importe Neto]],Imput[[C. Imp.]:[C. Imp.]],$D30,Imput[[PERIODO Imp.]:[PERIODO Imp.]],CN$9)</f>
        <v>0</v>
      </c>
      <c r="CO30" s="693">
        <f>SUMIFS(Imput[[Importe Neto]:[Importe Neto]],Imput[[C. Imp.]:[C. Imp.]],$D30,Imput[[PERIODO Imp.]:[PERIODO Imp.]],CO$9)</f>
        <v>0</v>
      </c>
      <c r="CP30" s="693">
        <f>SUMIFS(Imput[[Importe Neto]:[Importe Neto]],Imput[[C. Imp.]:[C. Imp.]],$D30,Imput[[PERIODO Imp.]:[PERIODO Imp.]],CP$9)</f>
        <v>0</v>
      </c>
      <c r="CQ30" s="693">
        <f>SUMIFS(Imput[[Importe Neto]:[Importe Neto]],Imput[[C. Imp.]:[C. Imp.]],$D30,Imput[[PERIODO Imp.]:[PERIODO Imp.]],CQ$9)</f>
        <v>0</v>
      </c>
      <c r="CR30" s="693">
        <f>SUMIFS(Imput[[Importe Neto]:[Importe Neto]],Imput[[C. Imp.]:[C. Imp.]],$D30,Imput[[PERIODO Imp.]:[PERIODO Imp.]],CR$9)</f>
        <v>0</v>
      </c>
      <c r="CS30" s="693">
        <f>SUMIFS(Imput[[Importe Neto]:[Importe Neto]],Imput[[C. Imp.]:[C. Imp.]],$D30,Imput[[PERIODO Imp.]:[PERIODO Imp.]],CS$9)</f>
        <v>0</v>
      </c>
      <c r="CT30" s="693">
        <f>SUMIFS(Imput[[Importe Neto]:[Importe Neto]],Imput[[C. Imp.]:[C. Imp.]],$D30,Imput[[PERIODO Imp.]:[PERIODO Imp.]],CT$9)</f>
        <v>0</v>
      </c>
      <c r="CU30" s="693">
        <f>SUMIFS(Imput[[Importe Neto]:[Importe Neto]],Imput[[C. Imp.]:[C. Imp.]],$D30,Imput[[PERIODO Imp.]:[PERIODO Imp.]],CU$9)</f>
        <v>0</v>
      </c>
      <c r="CV30" s="693">
        <f>SUMIFS(Imput[[Importe Neto]:[Importe Neto]],Imput[[C. Imp.]:[C. Imp.]],$D30,Imput[[PERIODO Imp.]:[PERIODO Imp.]],CV$9)</f>
        <v>0</v>
      </c>
      <c r="CW30" s="693">
        <f>SUMIFS(Imput[[Importe Neto]:[Importe Neto]],Imput[[C. Imp.]:[C. Imp.]],$D30,Imput[[PERIODO Imp.]:[PERIODO Imp.]],CW$9)</f>
        <v>0</v>
      </c>
      <c r="CX30" s="693">
        <f>SUMIFS(Imput[[Importe Neto]:[Importe Neto]],Imput[[C. Imp.]:[C. Imp.]],$D30,Imput[[PERIODO Imp.]:[PERIODO Imp.]],CX$9)</f>
        <v>0</v>
      </c>
      <c r="CY30" s="693">
        <f>SUMIFS(Imput[[Importe Neto]:[Importe Neto]],Imput[[C. Imp.]:[C. Imp.]],$D30,Imput[[PERIODO Imp.]:[PERIODO Imp.]],CY$9)</f>
        <v>0</v>
      </c>
      <c r="CZ30" s="693">
        <f>SUMIFS(Imput[[Importe Neto]:[Importe Neto]],Imput[[C. Imp.]:[C. Imp.]],$D30,Imput[[PERIODO Imp.]:[PERIODO Imp.]],CZ$9)</f>
        <v>0</v>
      </c>
      <c r="DA30" s="693">
        <f>SUMIFS(Imput[[Importe Neto]:[Importe Neto]],Imput[[C. Imp.]:[C. Imp.]],$D30,Imput[[PERIODO Imp.]:[PERIODO Imp.]],DA$9)</f>
        <v>0</v>
      </c>
      <c r="DB30" s="693">
        <f>SUMIFS(Imput[[Importe Neto]:[Importe Neto]],Imput[[C. Imp.]:[C. Imp.]],$D30,Imput[[PERIODO Imp.]:[PERIODO Imp.]],DB$9)</f>
        <v>0</v>
      </c>
      <c r="DC30" s="693">
        <f>SUMIFS(Imput[[Importe Neto]:[Importe Neto]],Imput[[C. Imp.]:[C. Imp.]],$D30,Imput[[PERIODO Imp.]:[PERIODO Imp.]],DC$9)</f>
        <v>0</v>
      </c>
      <c r="DD30" s="693">
        <f>SUMIFS(Imput[[Importe Neto]:[Importe Neto]],Imput[[C. Imp.]:[C. Imp.]],$D30,Imput[[PERIODO Imp.]:[PERIODO Imp.]],DD$9)</f>
        <v>0</v>
      </c>
      <c r="DE30" s="693">
        <f>SUMIFS(Imput[[Importe Neto]:[Importe Neto]],Imput[[C. Imp.]:[C. Imp.]],$D30,Imput[[PERIODO Imp.]:[PERIODO Imp.]],DE$9)</f>
        <v>0</v>
      </c>
      <c r="DF30" s="693">
        <f>SUMIFS(Imput[[Importe Neto]:[Importe Neto]],Imput[[C. Imp.]:[C. Imp.]],$D30,Imput[[PERIODO Imp.]:[PERIODO Imp.]],DF$9)</f>
        <v>0</v>
      </c>
      <c r="DG30" s="693">
        <f>SUMIFS(Imput[[Importe Neto]:[Importe Neto]],Imput[[C. Imp.]:[C. Imp.]],$D30,Imput[[PERIODO Imp.]:[PERIODO Imp.]],DG$9)</f>
        <v>0</v>
      </c>
      <c r="DH30" s="694">
        <f>SUMIFS(Imput[[Importe Neto]:[Importe Neto]],Imput[[C. Imp.]:[C. Imp.]],$D30,Imput[[PERIODO Imp.]:[PERIODO Imp.]],DH$9)</f>
        <v>0</v>
      </c>
    </row>
    <row r="31" spans="1:112" outlineLevel="1" x14ac:dyDescent="0.3">
      <c r="A31" s="652" t="str">
        <f t="shared" si="15"/>
        <v>Imprimir</v>
      </c>
      <c r="B31" s="652"/>
      <c r="C31" s="685"/>
      <c r="D31" s="686" t="s">
        <v>2140</v>
      </c>
      <c r="E31" s="686" t="s">
        <v>481</v>
      </c>
      <c r="F31" s="720"/>
      <c r="G31" s="688">
        <v>300</v>
      </c>
      <c r="H31" s="689">
        <f>Producción!G12*0.01</f>
        <v>0.17</v>
      </c>
      <c r="I31" s="851">
        <f t="shared" si="16"/>
        <v>1</v>
      </c>
      <c r="J31" s="852">
        <f t="shared" si="17"/>
        <v>51.000000000000007</v>
      </c>
      <c r="K31" s="667"/>
      <c r="L31" s="858">
        <v>0.3</v>
      </c>
      <c r="M31" s="859"/>
      <c r="N31" s="859"/>
      <c r="O31" s="859"/>
      <c r="P31" s="859">
        <v>0.3</v>
      </c>
      <c r="Q31" s="859"/>
      <c r="R31" s="859"/>
      <c r="S31" s="859"/>
      <c r="T31" s="859"/>
      <c r="U31" s="859"/>
      <c r="V31" s="859"/>
      <c r="W31" s="859">
        <v>0.3</v>
      </c>
      <c r="X31" s="859"/>
      <c r="Y31" s="859"/>
      <c r="Z31" s="860"/>
      <c r="AA31" s="860"/>
      <c r="AB31" s="860"/>
      <c r="AC31" s="860"/>
      <c r="AD31" s="860"/>
      <c r="AE31" s="860">
        <v>0.1</v>
      </c>
      <c r="AF31" s="860"/>
      <c r="AG31" s="860"/>
      <c r="AH31" s="860"/>
      <c r="AI31" s="860"/>
      <c r="AJ31" s="860"/>
      <c r="AK31" s="860"/>
      <c r="AL31" s="860"/>
      <c r="AM31" s="860"/>
      <c r="AN31" s="860"/>
      <c r="AO31" s="860"/>
      <c r="AP31" s="860"/>
      <c r="AQ31" s="860"/>
      <c r="AR31" s="860"/>
      <c r="AS31" s="860"/>
      <c r="AT31" s="860"/>
      <c r="AU31" s="860"/>
      <c r="AV31" s="860"/>
      <c r="AW31" s="860"/>
      <c r="AX31" s="860"/>
      <c r="AY31" s="860"/>
      <c r="AZ31" s="860"/>
      <c r="BA31" s="860"/>
      <c r="BB31" s="860"/>
      <c r="BC31" s="860"/>
      <c r="BD31" s="860"/>
      <c r="BE31" s="860"/>
      <c r="BF31" s="860"/>
      <c r="BG31" s="861"/>
      <c r="BH31" s="668"/>
      <c r="BI31" s="667"/>
      <c r="BJ31" s="690">
        <f t="shared" si="18"/>
        <v>0</v>
      </c>
      <c r="BK31" s="691">
        <f t="shared" si="19"/>
        <v>0</v>
      </c>
      <c r="BL31" s="654"/>
      <c r="BM31" s="692">
        <f>SUMIFS(Imput[[Importe Neto]:[Importe Neto]],Imput[[C. Imp.]:[C. Imp.]],$D31,Imput[[PERIODO Imp.]:[PERIODO Imp.]],BM$9)</f>
        <v>0</v>
      </c>
      <c r="BN31" s="693">
        <f>SUMIFS(Imput[[Importe Neto]:[Importe Neto]],Imput[[C. Imp.]:[C. Imp.]],$D31,Imput[[PERIODO Imp.]:[PERIODO Imp.]],BN$9)</f>
        <v>0</v>
      </c>
      <c r="BO31" s="693">
        <f>SUMIFS(Imput[[Importe Neto]:[Importe Neto]],Imput[[C. Imp.]:[C. Imp.]],$D31,Imput[[PERIODO Imp.]:[PERIODO Imp.]],BO$9)</f>
        <v>0</v>
      </c>
      <c r="BP31" s="693">
        <f>SUMIFS(Imput[[Importe Neto]:[Importe Neto]],Imput[[C. Imp.]:[C. Imp.]],$D31,Imput[[PERIODO Imp.]:[PERIODO Imp.]],BP$9)</f>
        <v>0</v>
      </c>
      <c r="BQ31" s="693">
        <f>SUMIFS(Imput[[Importe Neto]:[Importe Neto]],Imput[[C. Imp.]:[C. Imp.]],$D31,Imput[[PERIODO Imp.]:[PERIODO Imp.]],BQ$9)</f>
        <v>0</v>
      </c>
      <c r="BR31" s="693">
        <f>SUMIFS(Imput[[Importe Neto]:[Importe Neto]],Imput[[C. Imp.]:[C. Imp.]],$D31,Imput[[PERIODO Imp.]:[PERIODO Imp.]],BR$9)</f>
        <v>0</v>
      </c>
      <c r="BS31" s="693">
        <f>SUMIFS(Imput[[Importe Neto]:[Importe Neto]],Imput[[C. Imp.]:[C. Imp.]],$D31,Imput[[PERIODO Imp.]:[PERIODO Imp.]],BS$9)</f>
        <v>0</v>
      </c>
      <c r="BT31" s="693">
        <f>SUMIFS(Imput[[Importe Neto]:[Importe Neto]],Imput[[C. Imp.]:[C. Imp.]],$D31,Imput[[PERIODO Imp.]:[PERIODO Imp.]],BT$9)</f>
        <v>0</v>
      </c>
      <c r="BU31" s="693">
        <f>SUMIFS(Imput[[Importe Neto]:[Importe Neto]],Imput[[C. Imp.]:[C. Imp.]],$D31,Imput[[PERIODO Imp.]:[PERIODO Imp.]],BU$9)</f>
        <v>0</v>
      </c>
      <c r="BV31" s="693">
        <f>SUMIFS(Imput[[Importe Neto]:[Importe Neto]],Imput[[C. Imp.]:[C. Imp.]],$D31,Imput[[PERIODO Imp.]:[PERIODO Imp.]],BV$9)</f>
        <v>0</v>
      </c>
      <c r="BW31" s="693">
        <f>SUMIFS(Imput[[Importe Neto]:[Importe Neto]],Imput[[C. Imp.]:[C. Imp.]],$D31,Imput[[PERIODO Imp.]:[PERIODO Imp.]],BW$9)</f>
        <v>0</v>
      </c>
      <c r="BX31" s="693">
        <f>SUMIFS(Imput[[Importe Neto]:[Importe Neto]],Imput[[C. Imp.]:[C. Imp.]],$D31,Imput[[PERIODO Imp.]:[PERIODO Imp.]],BX$9)</f>
        <v>0</v>
      </c>
      <c r="BY31" s="693">
        <f>SUMIFS(Imput[[Importe Neto]:[Importe Neto]],Imput[[C. Imp.]:[C. Imp.]],$D31,Imput[[PERIODO Imp.]:[PERIODO Imp.]],BY$9)</f>
        <v>0</v>
      </c>
      <c r="BZ31" s="693">
        <f>SUMIFS(Imput[[Importe Neto]:[Importe Neto]],Imput[[C. Imp.]:[C. Imp.]],$D31,Imput[[PERIODO Imp.]:[PERIODO Imp.]],BZ$9)</f>
        <v>0</v>
      </c>
      <c r="CA31" s="693">
        <f>SUMIFS(Imput[[Importe Neto]:[Importe Neto]],Imput[[C. Imp.]:[C. Imp.]],$D31,Imput[[PERIODO Imp.]:[PERIODO Imp.]],CA$9)</f>
        <v>0</v>
      </c>
      <c r="CB31" s="693">
        <f>SUMIFS(Imput[[Importe Neto]:[Importe Neto]],Imput[[C. Imp.]:[C. Imp.]],$D31,Imput[[PERIODO Imp.]:[PERIODO Imp.]],CB$9)</f>
        <v>0</v>
      </c>
      <c r="CC31" s="693">
        <f>SUMIFS(Imput[[Importe Neto]:[Importe Neto]],Imput[[C. Imp.]:[C. Imp.]],$D31,Imput[[PERIODO Imp.]:[PERIODO Imp.]],CC$9)</f>
        <v>0</v>
      </c>
      <c r="CD31" s="693">
        <f>SUMIFS(Imput[[Importe Neto]:[Importe Neto]],Imput[[C. Imp.]:[C. Imp.]],$D31,Imput[[PERIODO Imp.]:[PERIODO Imp.]],CD$9)</f>
        <v>0</v>
      </c>
      <c r="CE31" s="693">
        <f>SUMIFS(Imput[[Importe Neto]:[Importe Neto]],Imput[[C. Imp.]:[C. Imp.]],$D31,Imput[[PERIODO Imp.]:[PERIODO Imp.]],CE$9)</f>
        <v>0</v>
      </c>
      <c r="CF31" s="693">
        <f>SUMIFS(Imput[[Importe Neto]:[Importe Neto]],Imput[[C. Imp.]:[C. Imp.]],$D31,Imput[[PERIODO Imp.]:[PERIODO Imp.]],CF$9)</f>
        <v>0</v>
      </c>
      <c r="CG31" s="693">
        <f>SUMIFS(Imput[[Importe Neto]:[Importe Neto]],Imput[[C. Imp.]:[C. Imp.]],$D31,Imput[[PERIODO Imp.]:[PERIODO Imp.]],CG$9)</f>
        <v>0</v>
      </c>
      <c r="CH31" s="693">
        <f>SUMIFS(Imput[[Importe Neto]:[Importe Neto]],Imput[[C. Imp.]:[C. Imp.]],$D31,Imput[[PERIODO Imp.]:[PERIODO Imp.]],CH$9)</f>
        <v>0</v>
      </c>
      <c r="CI31" s="693">
        <f>SUMIFS(Imput[[Importe Neto]:[Importe Neto]],Imput[[C. Imp.]:[C. Imp.]],$D31,Imput[[PERIODO Imp.]:[PERIODO Imp.]],CI$9)</f>
        <v>0</v>
      </c>
      <c r="CJ31" s="693">
        <f>SUMIFS(Imput[[Importe Neto]:[Importe Neto]],Imput[[C. Imp.]:[C. Imp.]],$D31,Imput[[PERIODO Imp.]:[PERIODO Imp.]],CJ$9)</f>
        <v>0</v>
      </c>
      <c r="CK31" s="693">
        <f>SUMIFS(Imput[[Importe Neto]:[Importe Neto]],Imput[[C. Imp.]:[C. Imp.]],$D31,Imput[[PERIODO Imp.]:[PERIODO Imp.]],CK$9)</f>
        <v>0</v>
      </c>
      <c r="CL31" s="693">
        <f>SUMIFS(Imput[[Importe Neto]:[Importe Neto]],Imput[[C. Imp.]:[C. Imp.]],$D31,Imput[[PERIODO Imp.]:[PERIODO Imp.]],CL$9)</f>
        <v>0</v>
      </c>
      <c r="CM31" s="693">
        <f>SUMIFS(Imput[[Importe Neto]:[Importe Neto]],Imput[[C. Imp.]:[C. Imp.]],$D31,Imput[[PERIODO Imp.]:[PERIODO Imp.]],CM$9)</f>
        <v>0</v>
      </c>
      <c r="CN31" s="693">
        <f>SUMIFS(Imput[[Importe Neto]:[Importe Neto]],Imput[[C. Imp.]:[C. Imp.]],$D31,Imput[[PERIODO Imp.]:[PERIODO Imp.]],CN$9)</f>
        <v>0</v>
      </c>
      <c r="CO31" s="693">
        <f>SUMIFS(Imput[[Importe Neto]:[Importe Neto]],Imput[[C. Imp.]:[C. Imp.]],$D31,Imput[[PERIODO Imp.]:[PERIODO Imp.]],CO$9)</f>
        <v>0</v>
      </c>
      <c r="CP31" s="693">
        <f>SUMIFS(Imput[[Importe Neto]:[Importe Neto]],Imput[[C. Imp.]:[C. Imp.]],$D31,Imput[[PERIODO Imp.]:[PERIODO Imp.]],CP$9)</f>
        <v>0</v>
      </c>
      <c r="CQ31" s="693">
        <f>SUMIFS(Imput[[Importe Neto]:[Importe Neto]],Imput[[C. Imp.]:[C. Imp.]],$D31,Imput[[PERIODO Imp.]:[PERIODO Imp.]],CQ$9)</f>
        <v>0</v>
      </c>
      <c r="CR31" s="693">
        <f>SUMIFS(Imput[[Importe Neto]:[Importe Neto]],Imput[[C. Imp.]:[C. Imp.]],$D31,Imput[[PERIODO Imp.]:[PERIODO Imp.]],CR$9)</f>
        <v>0</v>
      </c>
      <c r="CS31" s="693">
        <f>SUMIFS(Imput[[Importe Neto]:[Importe Neto]],Imput[[C. Imp.]:[C. Imp.]],$D31,Imput[[PERIODO Imp.]:[PERIODO Imp.]],CS$9)</f>
        <v>0</v>
      </c>
      <c r="CT31" s="693">
        <f>SUMIFS(Imput[[Importe Neto]:[Importe Neto]],Imput[[C. Imp.]:[C. Imp.]],$D31,Imput[[PERIODO Imp.]:[PERIODO Imp.]],CT$9)</f>
        <v>0</v>
      </c>
      <c r="CU31" s="693">
        <f>SUMIFS(Imput[[Importe Neto]:[Importe Neto]],Imput[[C. Imp.]:[C. Imp.]],$D31,Imput[[PERIODO Imp.]:[PERIODO Imp.]],CU$9)</f>
        <v>0</v>
      </c>
      <c r="CV31" s="693">
        <f>SUMIFS(Imput[[Importe Neto]:[Importe Neto]],Imput[[C. Imp.]:[C. Imp.]],$D31,Imput[[PERIODO Imp.]:[PERIODO Imp.]],CV$9)</f>
        <v>0</v>
      </c>
      <c r="CW31" s="693">
        <f>SUMIFS(Imput[[Importe Neto]:[Importe Neto]],Imput[[C. Imp.]:[C. Imp.]],$D31,Imput[[PERIODO Imp.]:[PERIODO Imp.]],CW$9)</f>
        <v>0</v>
      </c>
      <c r="CX31" s="693">
        <f>SUMIFS(Imput[[Importe Neto]:[Importe Neto]],Imput[[C. Imp.]:[C. Imp.]],$D31,Imput[[PERIODO Imp.]:[PERIODO Imp.]],CX$9)</f>
        <v>0</v>
      </c>
      <c r="CY31" s="693">
        <f>SUMIFS(Imput[[Importe Neto]:[Importe Neto]],Imput[[C. Imp.]:[C. Imp.]],$D31,Imput[[PERIODO Imp.]:[PERIODO Imp.]],CY$9)</f>
        <v>0</v>
      </c>
      <c r="CZ31" s="693">
        <f>SUMIFS(Imput[[Importe Neto]:[Importe Neto]],Imput[[C. Imp.]:[C. Imp.]],$D31,Imput[[PERIODO Imp.]:[PERIODO Imp.]],CZ$9)</f>
        <v>0</v>
      </c>
      <c r="DA31" s="693">
        <f>SUMIFS(Imput[[Importe Neto]:[Importe Neto]],Imput[[C. Imp.]:[C. Imp.]],$D31,Imput[[PERIODO Imp.]:[PERIODO Imp.]],DA$9)</f>
        <v>0</v>
      </c>
      <c r="DB31" s="693">
        <f>SUMIFS(Imput[[Importe Neto]:[Importe Neto]],Imput[[C. Imp.]:[C. Imp.]],$D31,Imput[[PERIODO Imp.]:[PERIODO Imp.]],DB$9)</f>
        <v>0</v>
      </c>
      <c r="DC31" s="693">
        <f>SUMIFS(Imput[[Importe Neto]:[Importe Neto]],Imput[[C. Imp.]:[C. Imp.]],$D31,Imput[[PERIODO Imp.]:[PERIODO Imp.]],DC$9)</f>
        <v>0</v>
      </c>
      <c r="DD31" s="693">
        <f>SUMIFS(Imput[[Importe Neto]:[Importe Neto]],Imput[[C. Imp.]:[C. Imp.]],$D31,Imput[[PERIODO Imp.]:[PERIODO Imp.]],DD$9)</f>
        <v>0</v>
      </c>
      <c r="DE31" s="693">
        <f>SUMIFS(Imput[[Importe Neto]:[Importe Neto]],Imput[[C. Imp.]:[C. Imp.]],$D31,Imput[[PERIODO Imp.]:[PERIODO Imp.]],DE$9)</f>
        <v>0</v>
      </c>
      <c r="DF31" s="693">
        <f>SUMIFS(Imput[[Importe Neto]:[Importe Neto]],Imput[[C. Imp.]:[C. Imp.]],$D31,Imput[[PERIODO Imp.]:[PERIODO Imp.]],DF$9)</f>
        <v>0</v>
      </c>
      <c r="DG31" s="693">
        <f>SUMIFS(Imput[[Importe Neto]:[Importe Neto]],Imput[[C. Imp.]:[C. Imp.]],$D31,Imput[[PERIODO Imp.]:[PERIODO Imp.]],DG$9)</f>
        <v>0</v>
      </c>
      <c r="DH31" s="694">
        <f>SUMIFS(Imput[[Importe Neto]:[Importe Neto]],Imput[[C. Imp.]:[C. Imp.]],$D31,Imput[[PERIODO Imp.]:[PERIODO Imp.]],DH$9)</f>
        <v>0</v>
      </c>
    </row>
    <row r="32" spans="1:112" hidden="1" outlineLevel="1" x14ac:dyDescent="0.3">
      <c r="A32" s="652" t="str">
        <f t="shared" si="15"/>
        <v/>
      </c>
      <c r="B32" s="652"/>
      <c r="C32" s="685"/>
      <c r="D32" s="686" t="s">
        <v>2141</v>
      </c>
      <c r="E32" s="686"/>
      <c r="F32" s="720"/>
      <c r="G32" s="688"/>
      <c r="H32" s="689"/>
      <c r="I32" s="851" t="str">
        <f t="shared" si="16"/>
        <v/>
      </c>
      <c r="J32" s="852" t="str">
        <f t="shared" si="17"/>
        <v/>
      </c>
      <c r="K32" s="667"/>
      <c r="L32" s="858"/>
      <c r="M32" s="859"/>
      <c r="N32" s="859"/>
      <c r="O32" s="859"/>
      <c r="P32" s="859"/>
      <c r="Q32" s="859"/>
      <c r="R32" s="859"/>
      <c r="S32" s="859"/>
      <c r="T32" s="859"/>
      <c r="U32" s="859"/>
      <c r="V32" s="859"/>
      <c r="W32" s="859"/>
      <c r="X32" s="859"/>
      <c r="Y32" s="859"/>
      <c r="Z32" s="860"/>
      <c r="AA32" s="860"/>
      <c r="AB32" s="860"/>
      <c r="AC32" s="860"/>
      <c r="AD32" s="860"/>
      <c r="AE32" s="860"/>
      <c r="AF32" s="860"/>
      <c r="AG32" s="860"/>
      <c r="AH32" s="860"/>
      <c r="AI32" s="860"/>
      <c r="AJ32" s="860"/>
      <c r="AK32" s="860"/>
      <c r="AL32" s="860"/>
      <c r="AM32" s="860"/>
      <c r="AN32" s="860"/>
      <c r="AO32" s="860"/>
      <c r="AP32" s="860"/>
      <c r="AQ32" s="860"/>
      <c r="AR32" s="860"/>
      <c r="AS32" s="860"/>
      <c r="AT32" s="860"/>
      <c r="AU32" s="860"/>
      <c r="AV32" s="860"/>
      <c r="AW32" s="860"/>
      <c r="AX32" s="860"/>
      <c r="AY32" s="860"/>
      <c r="AZ32" s="860"/>
      <c r="BA32" s="860"/>
      <c r="BB32" s="860"/>
      <c r="BC32" s="860"/>
      <c r="BD32" s="860"/>
      <c r="BE32" s="860"/>
      <c r="BF32" s="860"/>
      <c r="BG32" s="861"/>
      <c r="BH32" s="668"/>
      <c r="BI32" s="667"/>
      <c r="BJ32" s="690">
        <f t="shared" si="18"/>
        <v>0</v>
      </c>
      <c r="BK32" s="691">
        <f t="shared" si="19"/>
        <v>0</v>
      </c>
      <c r="BL32" s="654"/>
      <c r="BM32" s="692">
        <f>SUMIFS(Imput[[Importe Neto]:[Importe Neto]],Imput[[C. Imp.]:[C. Imp.]],$D32,Imput[[PERIODO Imp.]:[PERIODO Imp.]],BM$9)</f>
        <v>0</v>
      </c>
      <c r="BN32" s="693">
        <f>SUMIFS(Imput[[Importe Neto]:[Importe Neto]],Imput[[C. Imp.]:[C. Imp.]],$D32,Imput[[PERIODO Imp.]:[PERIODO Imp.]],BN$9)</f>
        <v>0</v>
      </c>
      <c r="BO32" s="693">
        <f>SUMIFS(Imput[[Importe Neto]:[Importe Neto]],Imput[[C. Imp.]:[C. Imp.]],$D32,Imput[[PERIODO Imp.]:[PERIODO Imp.]],BO$9)</f>
        <v>0</v>
      </c>
      <c r="BP32" s="693">
        <f>SUMIFS(Imput[[Importe Neto]:[Importe Neto]],Imput[[C. Imp.]:[C. Imp.]],$D32,Imput[[PERIODO Imp.]:[PERIODO Imp.]],BP$9)</f>
        <v>0</v>
      </c>
      <c r="BQ32" s="693">
        <f>SUMIFS(Imput[[Importe Neto]:[Importe Neto]],Imput[[C. Imp.]:[C. Imp.]],$D32,Imput[[PERIODO Imp.]:[PERIODO Imp.]],BQ$9)</f>
        <v>0</v>
      </c>
      <c r="BR32" s="693">
        <f>SUMIFS(Imput[[Importe Neto]:[Importe Neto]],Imput[[C. Imp.]:[C. Imp.]],$D32,Imput[[PERIODO Imp.]:[PERIODO Imp.]],BR$9)</f>
        <v>0</v>
      </c>
      <c r="BS32" s="693">
        <f>SUMIFS(Imput[[Importe Neto]:[Importe Neto]],Imput[[C. Imp.]:[C. Imp.]],$D32,Imput[[PERIODO Imp.]:[PERIODO Imp.]],BS$9)</f>
        <v>0</v>
      </c>
      <c r="BT32" s="693">
        <f>SUMIFS(Imput[[Importe Neto]:[Importe Neto]],Imput[[C. Imp.]:[C. Imp.]],$D32,Imput[[PERIODO Imp.]:[PERIODO Imp.]],BT$9)</f>
        <v>0</v>
      </c>
      <c r="BU32" s="693">
        <f>SUMIFS(Imput[[Importe Neto]:[Importe Neto]],Imput[[C. Imp.]:[C. Imp.]],$D32,Imput[[PERIODO Imp.]:[PERIODO Imp.]],BU$9)</f>
        <v>0</v>
      </c>
      <c r="BV32" s="693">
        <f>SUMIFS(Imput[[Importe Neto]:[Importe Neto]],Imput[[C. Imp.]:[C. Imp.]],$D32,Imput[[PERIODO Imp.]:[PERIODO Imp.]],BV$9)</f>
        <v>0</v>
      </c>
      <c r="BW32" s="693">
        <f>SUMIFS(Imput[[Importe Neto]:[Importe Neto]],Imput[[C. Imp.]:[C. Imp.]],$D32,Imput[[PERIODO Imp.]:[PERIODO Imp.]],BW$9)</f>
        <v>0</v>
      </c>
      <c r="BX32" s="693">
        <f>SUMIFS(Imput[[Importe Neto]:[Importe Neto]],Imput[[C. Imp.]:[C. Imp.]],$D32,Imput[[PERIODO Imp.]:[PERIODO Imp.]],BX$9)</f>
        <v>0</v>
      </c>
      <c r="BY32" s="693">
        <f>SUMIFS(Imput[[Importe Neto]:[Importe Neto]],Imput[[C. Imp.]:[C. Imp.]],$D32,Imput[[PERIODO Imp.]:[PERIODO Imp.]],BY$9)</f>
        <v>0</v>
      </c>
      <c r="BZ32" s="693">
        <f>SUMIFS(Imput[[Importe Neto]:[Importe Neto]],Imput[[C. Imp.]:[C. Imp.]],$D32,Imput[[PERIODO Imp.]:[PERIODO Imp.]],BZ$9)</f>
        <v>0</v>
      </c>
      <c r="CA32" s="693">
        <f>SUMIFS(Imput[[Importe Neto]:[Importe Neto]],Imput[[C. Imp.]:[C. Imp.]],$D32,Imput[[PERIODO Imp.]:[PERIODO Imp.]],CA$9)</f>
        <v>0</v>
      </c>
      <c r="CB32" s="693">
        <f>SUMIFS(Imput[[Importe Neto]:[Importe Neto]],Imput[[C. Imp.]:[C. Imp.]],$D32,Imput[[PERIODO Imp.]:[PERIODO Imp.]],CB$9)</f>
        <v>0</v>
      </c>
      <c r="CC32" s="693">
        <f>SUMIFS(Imput[[Importe Neto]:[Importe Neto]],Imput[[C. Imp.]:[C. Imp.]],$D32,Imput[[PERIODO Imp.]:[PERIODO Imp.]],CC$9)</f>
        <v>0</v>
      </c>
      <c r="CD32" s="693">
        <f>SUMIFS(Imput[[Importe Neto]:[Importe Neto]],Imput[[C. Imp.]:[C. Imp.]],$D32,Imput[[PERIODO Imp.]:[PERIODO Imp.]],CD$9)</f>
        <v>0</v>
      </c>
      <c r="CE32" s="693">
        <f>SUMIFS(Imput[[Importe Neto]:[Importe Neto]],Imput[[C. Imp.]:[C. Imp.]],$D32,Imput[[PERIODO Imp.]:[PERIODO Imp.]],CE$9)</f>
        <v>0</v>
      </c>
      <c r="CF32" s="693">
        <f>SUMIFS(Imput[[Importe Neto]:[Importe Neto]],Imput[[C. Imp.]:[C. Imp.]],$D32,Imput[[PERIODO Imp.]:[PERIODO Imp.]],CF$9)</f>
        <v>0</v>
      </c>
      <c r="CG32" s="693">
        <f>SUMIFS(Imput[[Importe Neto]:[Importe Neto]],Imput[[C. Imp.]:[C. Imp.]],$D32,Imput[[PERIODO Imp.]:[PERIODO Imp.]],CG$9)</f>
        <v>0</v>
      </c>
      <c r="CH32" s="693">
        <f>SUMIFS(Imput[[Importe Neto]:[Importe Neto]],Imput[[C. Imp.]:[C. Imp.]],$D32,Imput[[PERIODO Imp.]:[PERIODO Imp.]],CH$9)</f>
        <v>0</v>
      </c>
      <c r="CI32" s="693">
        <f>SUMIFS(Imput[[Importe Neto]:[Importe Neto]],Imput[[C. Imp.]:[C. Imp.]],$D32,Imput[[PERIODO Imp.]:[PERIODO Imp.]],CI$9)</f>
        <v>0</v>
      </c>
      <c r="CJ32" s="693">
        <f>SUMIFS(Imput[[Importe Neto]:[Importe Neto]],Imput[[C. Imp.]:[C. Imp.]],$D32,Imput[[PERIODO Imp.]:[PERIODO Imp.]],CJ$9)</f>
        <v>0</v>
      </c>
      <c r="CK32" s="693">
        <f>SUMIFS(Imput[[Importe Neto]:[Importe Neto]],Imput[[C. Imp.]:[C. Imp.]],$D32,Imput[[PERIODO Imp.]:[PERIODO Imp.]],CK$9)</f>
        <v>0</v>
      </c>
      <c r="CL32" s="693">
        <f>SUMIFS(Imput[[Importe Neto]:[Importe Neto]],Imput[[C. Imp.]:[C. Imp.]],$D32,Imput[[PERIODO Imp.]:[PERIODO Imp.]],CL$9)</f>
        <v>0</v>
      </c>
      <c r="CM32" s="693">
        <f>SUMIFS(Imput[[Importe Neto]:[Importe Neto]],Imput[[C. Imp.]:[C. Imp.]],$D32,Imput[[PERIODO Imp.]:[PERIODO Imp.]],CM$9)</f>
        <v>0</v>
      </c>
      <c r="CN32" s="693">
        <f>SUMIFS(Imput[[Importe Neto]:[Importe Neto]],Imput[[C. Imp.]:[C. Imp.]],$D32,Imput[[PERIODO Imp.]:[PERIODO Imp.]],CN$9)</f>
        <v>0</v>
      </c>
      <c r="CO32" s="693">
        <f>SUMIFS(Imput[[Importe Neto]:[Importe Neto]],Imput[[C. Imp.]:[C. Imp.]],$D32,Imput[[PERIODO Imp.]:[PERIODO Imp.]],CO$9)</f>
        <v>0</v>
      </c>
      <c r="CP32" s="693">
        <f>SUMIFS(Imput[[Importe Neto]:[Importe Neto]],Imput[[C. Imp.]:[C. Imp.]],$D32,Imput[[PERIODO Imp.]:[PERIODO Imp.]],CP$9)</f>
        <v>0</v>
      </c>
      <c r="CQ32" s="693">
        <f>SUMIFS(Imput[[Importe Neto]:[Importe Neto]],Imput[[C. Imp.]:[C. Imp.]],$D32,Imput[[PERIODO Imp.]:[PERIODO Imp.]],CQ$9)</f>
        <v>0</v>
      </c>
      <c r="CR32" s="693">
        <f>SUMIFS(Imput[[Importe Neto]:[Importe Neto]],Imput[[C. Imp.]:[C. Imp.]],$D32,Imput[[PERIODO Imp.]:[PERIODO Imp.]],CR$9)</f>
        <v>0</v>
      </c>
      <c r="CS32" s="693">
        <f>SUMIFS(Imput[[Importe Neto]:[Importe Neto]],Imput[[C. Imp.]:[C. Imp.]],$D32,Imput[[PERIODO Imp.]:[PERIODO Imp.]],CS$9)</f>
        <v>0</v>
      </c>
      <c r="CT32" s="693">
        <f>SUMIFS(Imput[[Importe Neto]:[Importe Neto]],Imput[[C. Imp.]:[C. Imp.]],$D32,Imput[[PERIODO Imp.]:[PERIODO Imp.]],CT$9)</f>
        <v>0</v>
      </c>
      <c r="CU32" s="693">
        <f>SUMIFS(Imput[[Importe Neto]:[Importe Neto]],Imput[[C. Imp.]:[C. Imp.]],$D32,Imput[[PERIODO Imp.]:[PERIODO Imp.]],CU$9)</f>
        <v>0</v>
      </c>
      <c r="CV32" s="693">
        <f>SUMIFS(Imput[[Importe Neto]:[Importe Neto]],Imput[[C. Imp.]:[C. Imp.]],$D32,Imput[[PERIODO Imp.]:[PERIODO Imp.]],CV$9)</f>
        <v>0</v>
      </c>
      <c r="CW32" s="693">
        <f>SUMIFS(Imput[[Importe Neto]:[Importe Neto]],Imput[[C. Imp.]:[C. Imp.]],$D32,Imput[[PERIODO Imp.]:[PERIODO Imp.]],CW$9)</f>
        <v>0</v>
      </c>
      <c r="CX32" s="693">
        <f>SUMIFS(Imput[[Importe Neto]:[Importe Neto]],Imput[[C. Imp.]:[C. Imp.]],$D32,Imput[[PERIODO Imp.]:[PERIODO Imp.]],CX$9)</f>
        <v>0</v>
      </c>
      <c r="CY32" s="693">
        <f>SUMIFS(Imput[[Importe Neto]:[Importe Neto]],Imput[[C. Imp.]:[C. Imp.]],$D32,Imput[[PERIODO Imp.]:[PERIODO Imp.]],CY$9)</f>
        <v>0</v>
      </c>
      <c r="CZ32" s="693">
        <f>SUMIFS(Imput[[Importe Neto]:[Importe Neto]],Imput[[C. Imp.]:[C. Imp.]],$D32,Imput[[PERIODO Imp.]:[PERIODO Imp.]],CZ$9)</f>
        <v>0</v>
      </c>
      <c r="DA32" s="693">
        <f>SUMIFS(Imput[[Importe Neto]:[Importe Neto]],Imput[[C. Imp.]:[C. Imp.]],$D32,Imput[[PERIODO Imp.]:[PERIODO Imp.]],DA$9)</f>
        <v>0</v>
      </c>
      <c r="DB32" s="693">
        <f>SUMIFS(Imput[[Importe Neto]:[Importe Neto]],Imput[[C. Imp.]:[C. Imp.]],$D32,Imput[[PERIODO Imp.]:[PERIODO Imp.]],DB$9)</f>
        <v>0</v>
      </c>
      <c r="DC32" s="693">
        <f>SUMIFS(Imput[[Importe Neto]:[Importe Neto]],Imput[[C. Imp.]:[C. Imp.]],$D32,Imput[[PERIODO Imp.]:[PERIODO Imp.]],DC$9)</f>
        <v>0</v>
      </c>
      <c r="DD32" s="693">
        <f>SUMIFS(Imput[[Importe Neto]:[Importe Neto]],Imput[[C. Imp.]:[C. Imp.]],$D32,Imput[[PERIODO Imp.]:[PERIODO Imp.]],DD$9)</f>
        <v>0</v>
      </c>
      <c r="DE32" s="693">
        <f>SUMIFS(Imput[[Importe Neto]:[Importe Neto]],Imput[[C. Imp.]:[C. Imp.]],$D32,Imput[[PERIODO Imp.]:[PERIODO Imp.]],DE$9)</f>
        <v>0</v>
      </c>
      <c r="DF32" s="693">
        <f>SUMIFS(Imput[[Importe Neto]:[Importe Neto]],Imput[[C. Imp.]:[C. Imp.]],$D32,Imput[[PERIODO Imp.]:[PERIODO Imp.]],DF$9)</f>
        <v>0</v>
      </c>
      <c r="DG32" s="693">
        <f>SUMIFS(Imput[[Importe Neto]:[Importe Neto]],Imput[[C. Imp.]:[C. Imp.]],$D32,Imput[[PERIODO Imp.]:[PERIODO Imp.]],DG$9)</f>
        <v>0</v>
      </c>
      <c r="DH32" s="694">
        <f>SUMIFS(Imput[[Importe Neto]:[Importe Neto]],Imput[[C. Imp.]:[C. Imp.]],$D32,Imput[[PERIODO Imp.]:[PERIODO Imp.]],DH$9)</f>
        <v>0</v>
      </c>
    </row>
    <row r="33" spans="1:112" hidden="1" outlineLevel="1" x14ac:dyDescent="0.3">
      <c r="A33" s="652" t="str">
        <f t="shared" si="15"/>
        <v/>
      </c>
      <c r="B33" s="652"/>
      <c r="C33" s="685"/>
      <c r="D33" s="686" t="s">
        <v>2142</v>
      </c>
      <c r="E33" s="686"/>
      <c r="F33" s="720"/>
      <c r="G33" s="688"/>
      <c r="H33" s="689"/>
      <c r="I33" s="851" t="str">
        <f t="shared" si="16"/>
        <v/>
      </c>
      <c r="J33" s="852" t="str">
        <f t="shared" si="17"/>
        <v/>
      </c>
      <c r="K33" s="667"/>
      <c r="L33" s="858"/>
      <c r="M33" s="859"/>
      <c r="N33" s="859"/>
      <c r="O33" s="859"/>
      <c r="P33" s="859"/>
      <c r="Q33" s="859"/>
      <c r="R33" s="859"/>
      <c r="S33" s="859"/>
      <c r="T33" s="859"/>
      <c r="U33" s="859"/>
      <c r="V33" s="859"/>
      <c r="W33" s="859"/>
      <c r="X33" s="859"/>
      <c r="Y33" s="859"/>
      <c r="Z33" s="860"/>
      <c r="AA33" s="860"/>
      <c r="AB33" s="860"/>
      <c r="AC33" s="860"/>
      <c r="AD33" s="860"/>
      <c r="AE33" s="860"/>
      <c r="AF33" s="860"/>
      <c r="AG33" s="860"/>
      <c r="AH33" s="860"/>
      <c r="AI33" s="860"/>
      <c r="AJ33" s="860"/>
      <c r="AK33" s="860"/>
      <c r="AL33" s="860"/>
      <c r="AM33" s="860"/>
      <c r="AN33" s="860"/>
      <c r="AO33" s="860"/>
      <c r="AP33" s="860"/>
      <c r="AQ33" s="860"/>
      <c r="AR33" s="860"/>
      <c r="AS33" s="860"/>
      <c r="AT33" s="860"/>
      <c r="AU33" s="860"/>
      <c r="AV33" s="860"/>
      <c r="AW33" s="860"/>
      <c r="AX33" s="860"/>
      <c r="AY33" s="860"/>
      <c r="AZ33" s="860"/>
      <c r="BA33" s="860"/>
      <c r="BB33" s="860"/>
      <c r="BC33" s="860"/>
      <c r="BD33" s="860"/>
      <c r="BE33" s="860"/>
      <c r="BF33" s="860"/>
      <c r="BG33" s="861"/>
      <c r="BH33" s="668"/>
      <c r="BI33" s="667"/>
      <c r="BJ33" s="690">
        <f t="shared" si="18"/>
        <v>0</v>
      </c>
      <c r="BK33" s="691">
        <f t="shared" si="19"/>
        <v>0</v>
      </c>
      <c r="BL33" s="654"/>
      <c r="BM33" s="692">
        <f>SUMIFS(Imput[[Importe Neto]:[Importe Neto]],Imput[[C. Imp.]:[C. Imp.]],$D33,Imput[[PERIODO Imp.]:[PERIODO Imp.]],BM$9)</f>
        <v>0</v>
      </c>
      <c r="BN33" s="693">
        <f>SUMIFS(Imput[[Importe Neto]:[Importe Neto]],Imput[[C. Imp.]:[C. Imp.]],$D33,Imput[[PERIODO Imp.]:[PERIODO Imp.]],BN$9)</f>
        <v>0</v>
      </c>
      <c r="BO33" s="693">
        <f>SUMIFS(Imput[[Importe Neto]:[Importe Neto]],Imput[[C. Imp.]:[C. Imp.]],$D33,Imput[[PERIODO Imp.]:[PERIODO Imp.]],BO$9)</f>
        <v>0</v>
      </c>
      <c r="BP33" s="693">
        <f>SUMIFS(Imput[[Importe Neto]:[Importe Neto]],Imput[[C. Imp.]:[C. Imp.]],$D33,Imput[[PERIODO Imp.]:[PERIODO Imp.]],BP$9)</f>
        <v>0</v>
      </c>
      <c r="BQ33" s="693">
        <f>SUMIFS(Imput[[Importe Neto]:[Importe Neto]],Imput[[C. Imp.]:[C. Imp.]],$D33,Imput[[PERIODO Imp.]:[PERIODO Imp.]],BQ$9)</f>
        <v>0</v>
      </c>
      <c r="BR33" s="693">
        <f>SUMIFS(Imput[[Importe Neto]:[Importe Neto]],Imput[[C. Imp.]:[C. Imp.]],$D33,Imput[[PERIODO Imp.]:[PERIODO Imp.]],BR$9)</f>
        <v>0</v>
      </c>
      <c r="BS33" s="693">
        <f>SUMIFS(Imput[[Importe Neto]:[Importe Neto]],Imput[[C. Imp.]:[C. Imp.]],$D33,Imput[[PERIODO Imp.]:[PERIODO Imp.]],BS$9)</f>
        <v>0</v>
      </c>
      <c r="BT33" s="693">
        <f>SUMIFS(Imput[[Importe Neto]:[Importe Neto]],Imput[[C. Imp.]:[C. Imp.]],$D33,Imput[[PERIODO Imp.]:[PERIODO Imp.]],BT$9)</f>
        <v>0</v>
      </c>
      <c r="BU33" s="693">
        <f>SUMIFS(Imput[[Importe Neto]:[Importe Neto]],Imput[[C. Imp.]:[C. Imp.]],$D33,Imput[[PERIODO Imp.]:[PERIODO Imp.]],BU$9)</f>
        <v>0</v>
      </c>
      <c r="BV33" s="693">
        <f>SUMIFS(Imput[[Importe Neto]:[Importe Neto]],Imput[[C. Imp.]:[C. Imp.]],$D33,Imput[[PERIODO Imp.]:[PERIODO Imp.]],BV$9)</f>
        <v>0</v>
      </c>
      <c r="BW33" s="693">
        <f>SUMIFS(Imput[[Importe Neto]:[Importe Neto]],Imput[[C. Imp.]:[C. Imp.]],$D33,Imput[[PERIODO Imp.]:[PERIODO Imp.]],BW$9)</f>
        <v>0</v>
      </c>
      <c r="BX33" s="693">
        <f>SUMIFS(Imput[[Importe Neto]:[Importe Neto]],Imput[[C. Imp.]:[C. Imp.]],$D33,Imput[[PERIODO Imp.]:[PERIODO Imp.]],BX$9)</f>
        <v>0</v>
      </c>
      <c r="BY33" s="693">
        <f>SUMIFS(Imput[[Importe Neto]:[Importe Neto]],Imput[[C. Imp.]:[C. Imp.]],$D33,Imput[[PERIODO Imp.]:[PERIODO Imp.]],BY$9)</f>
        <v>0</v>
      </c>
      <c r="BZ33" s="693">
        <f>SUMIFS(Imput[[Importe Neto]:[Importe Neto]],Imput[[C. Imp.]:[C. Imp.]],$D33,Imput[[PERIODO Imp.]:[PERIODO Imp.]],BZ$9)</f>
        <v>0</v>
      </c>
      <c r="CA33" s="693">
        <f>SUMIFS(Imput[[Importe Neto]:[Importe Neto]],Imput[[C. Imp.]:[C. Imp.]],$D33,Imput[[PERIODO Imp.]:[PERIODO Imp.]],CA$9)</f>
        <v>0</v>
      </c>
      <c r="CB33" s="693">
        <f>SUMIFS(Imput[[Importe Neto]:[Importe Neto]],Imput[[C. Imp.]:[C. Imp.]],$D33,Imput[[PERIODO Imp.]:[PERIODO Imp.]],CB$9)</f>
        <v>0</v>
      </c>
      <c r="CC33" s="693">
        <f>SUMIFS(Imput[[Importe Neto]:[Importe Neto]],Imput[[C. Imp.]:[C. Imp.]],$D33,Imput[[PERIODO Imp.]:[PERIODO Imp.]],CC$9)</f>
        <v>0</v>
      </c>
      <c r="CD33" s="693">
        <f>SUMIFS(Imput[[Importe Neto]:[Importe Neto]],Imput[[C. Imp.]:[C. Imp.]],$D33,Imput[[PERIODO Imp.]:[PERIODO Imp.]],CD$9)</f>
        <v>0</v>
      </c>
      <c r="CE33" s="693">
        <f>SUMIFS(Imput[[Importe Neto]:[Importe Neto]],Imput[[C. Imp.]:[C. Imp.]],$D33,Imput[[PERIODO Imp.]:[PERIODO Imp.]],CE$9)</f>
        <v>0</v>
      </c>
      <c r="CF33" s="693">
        <f>SUMIFS(Imput[[Importe Neto]:[Importe Neto]],Imput[[C. Imp.]:[C. Imp.]],$D33,Imput[[PERIODO Imp.]:[PERIODO Imp.]],CF$9)</f>
        <v>0</v>
      </c>
      <c r="CG33" s="693">
        <f>SUMIFS(Imput[[Importe Neto]:[Importe Neto]],Imput[[C. Imp.]:[C. Imp.]],$D33,Imput[[PERIODO Imp.]:[PERIODO Imp.]],CG$9)</f>
        <v>0</v>
      </c>
      <c r="CH33" s="693">
        <f>SUMIFS(Imput[[Importe Neto]:[Importe Neto]],Imput[[C. Imp.]:[C. Imp.]],$D33,Imput[[PERIODO Imp.]:[PERIODO Imp.]],CH$9)</f>
        <v>0</v>
      </c>
      <c r="CI33" s="693">
        <f>SUMIFS(Imput[[Importe Neto]:[Importe Neto]],Imput[[C. Imp.]:[C. Imp.]],$D33,Imput[[PERIODO Imp.]:[PERIODO Imp.]],CI$9)</f>
        <v>0</v>
      </c>
      <c r="CJ33" s="693">
        <f>SUMIFS(Imput[[Importe Neto]:[Importe Neto]],Imput[[C. Imp.]:[C. Imp.]],$D33,Imput[[PERIODO Imp.]:[PERIODO Imp.]],CJ$9)</f>
        <v>0</v>
      </c>
      <c r="CK33" s="693">
        <f>SUMIFS(Imput[[Importe Neto]:[Importe Neto]],Imput[[C. Imp.]:[C. Imp.]],$D33,Imput[[PERIODO Imp.]:[PERIODO Imp.]],CK$9)</f>
        <v>0</v>
      </c>
      <c r="CL33" s="693">
        <f>SUMIFS(Imput[[Importe Neto]:[Importe Neto]],Imput[[C. Imp.]:[C. Imp.]],$D33,Imput[[PERIODO Imp.]:[PERIODO Imp.]],CL$9)</f>
        <v>0</v>
      </c>
      <c r="CM33" s="693">
        <f>SUMIFS(Imput[[Importe Neto]:[Importe Neto]],Imput[[C. Imp.]:[C. Imp.]],$D33,Imput[[PERIODO Imp.]:[PERIODO Imp.]],CM$9)</f>
        <v>0</v>
      </c>
      <c r="CN33" s="693">
        <f>SUMIFS(Imput[[Importe Neto]:[Importe Neto]],Imput[[C. Imp.]:[C. Imp.]],$D33,Imput[[PERIODO Imp.]:[PERIODO Imp.]],CN$9)</f>
        <v>0</v>
      </c>
      <c r="CO33" s="693">
        <f>SUMIFS(Imput[[Importe Neto]:[Importe Neto]],Imput[[C. Imp.]:[C. Imp.]],$D33,Imput[[PERIODO Imp.]:[PERIODO Imp.]],CO$9)</f>
        <v>0</v>
      </c>
      <c r="CP33" s="693">
        <f>SUMIFS(Imput[[Importe Neto]:[Importe Neto]],Imput[[C. Imp.]:[C. Imp.]],$D33,Imput[[PERIODO Imp.]:[PERIODO Imp.]],CP$9)</f>
        <v>0</v>
      </c>
      <c r="CQ33" s="693">
        <f>SUMIFS(Imput[[Importe Neto]:[Importe Neto]],Imput[[C. Imp.]:[C. Imp.]],$D33,Imput[[PERIODO Imp.]:[PERIODO Imp.]],CQ$9)</f>
        <v>0</v>
      </c>
      <c r="CR33" s="693">
        <f>SUMIFS(Imput[[Importe Neto]:[Importe Neto]],Imput[[C. Imp.]:[C. Imp.]],$D33,Imput[[PERIODO Imp.]:[PERIODO Imp.]],CR$9)</f>
        <v>0</v>
      </c>
      <c r="CS33" s="693">
        <f>SUMIFS(Imput[[Importe Neto]:[Importe Neto]],Imput[[C. Imp.]:[C. Imp.]],$D33,Imput[[PERIODO Imp.]:[PERIODO Imp.]],CS$9)</f>
        <v>0</v>
      </c>
      <c r="CT33" s="693">
        <f>SUMIFS(Imput[[Importe Neto]:[Importe Neto]],Imput[[C. Imp.]:[C. Imp.]],$D33,Imput[[PERIODO Imp.]:[PERIODO Imp.]],CT$9)</f>
        <v>0</v>
      </c>
      <c r="CU33" s="693">
        <f>SUMIFS(Imput[[Importe Neto]:[Importe Neto]],Imput[[C. Imp.]:[C. Imp.]],$D33,Imput[[PERIODO Imp.]:[PERIODO Imp.]],CU$9)</f>
        <v>0</v>
      </c>
      <c r="CV33" s="693">
        <f>SUMIFS(Imput[[Importe Neto]:[Importe Neto]],Imput[[C. Imp.]:[C. Imp.]],$D33,Imput[[PERIODO Imp.]:[PERIODO Imp.]],CV$9)</f>
        <v>0</v>
      </c>
      <c r="CW33" s="693">
        <f>SUMIFS(Imput[[Importe Neto]:[Importe Neto]],Imput[[C. Imp.]:[C. Imp.]],$D33,Imput[[PERIODO Imp.]:[PERIODO Imp.]],CW$9)</f>
        <v>0</v>
      </c>
      <c r="CX33" s="693">
        <f>SUMIFS(Imput[[Importe Neto]:[Importe Neto]],Imput[[C. Imp.]:[C. Imp.]],$D33,Imput[[PERIODO Imp.]:[PERIODO Imp.]],CX$9)</f>
        <v>0</v>
      </c>
      <c r="CY33" s="693">
        <f>SUMIFS(Imput[[Importe Neto]:[Importe Neto]],Imput[[C. Imp.]:[C. Imp.]],$D33,Imput[[PERIODO Imp.]:[PERIODO Imp.]],CY$9)</f>
        <v>0</v>
      </c>
      <c r="CZ33" s="693">
        <f>SUMIFS(Imput[[Importe Neto]:[Importe Neto]],Imput[[C. Imp.]:[C. Imp.]],$D33,Imput[[PERIODO Imp.]:[PERIODO Imp.]],CZ$9)</f>
        <v>0</v>
      </c>
      <c r="DA33" s="693">
        <f>SUMIFS(Imput[[Importe Neto]:[Importe Neto]],Imput[[C. Imp.]:[C. Imp.]],$D33,Imput[[PERIODO Imp.]:[PERIODO Imp.]],DA$9)</f>
        <v>0</v>
      </c>
      <c r="DB33" s="693">
        <f>SUMIFS(Imput[[Importe Neto]:[Importe Neto]],Imput[[C. Imp.]:[C. Imp.]],$D33,Imput[[PERIODO Imp.]:[PERIODO Imp.]],DB$9)</f>
        <v>0</v>
      </c>
      <c r="DC33" s="693">
        <f>SUMIFS(Imput[[Importe Neto]:[Importe Neto]],Imput[[C. Imp.]:[C. Imp.]],$D33,Imput[[PERIODO Imp.]:[PERIODO Imp.]],DC$9)</f>
        <v>0</v>
      </c>
      <c r="DD33" s="693">
        <f>SUMIFS(Imput[[Importe Neto]:[Importe Neto]],Imput[[C. Imp.]:[C. Imp.]],$D33,Imput[[PERIODO Imp.]:[PERIODO Imp.]],DD$9)</f>
        <v>0</v>
      </c>
      <c r="DE33" s="693">
        <f>SUMIFS(Imput[[Importe Neto]:[Importe Neto]],Imput[[C. Imp.]:[C. Imp.]],$D33,Imput[[PERIODO Imp.]:[PERIODO Imp.]],DE$9)</f>
        <v>0</v>
      </c>
      <c r="DF33" s="693">
        <f>SUMIFS(Imput[[Importe Neto]:[Importe Neto]],Imput[[C. Imp.]:[C. Imp.]],$D33,Imput[[PERIODO Imp.]:[PERIODO Imp.]],DF$9)</f>
        <v>0</v>
      </c>
      <c r="DG33" s="693">
        <f>SUMIFS(Imput[[Importe Neto]:[Importe Neto]],Imput[[C. Imp.]:[C. Imp.]],$D33,Imput[[PERIODO Imp.]:[PERIODO Imp.]],DG$9)</f>
        <v>0</v>
      </c>
      <c r="DH33" s="694">
        <f>SUMIFS(Imput[[Importe Neto]:[Importe Neto]],Imput[[C. Imp.]:[C. Imp.]],$D33,Imput[[PERIODO Imp.]:[PERIODO Imp.]],DH$9)</f>
        <v>0</v>
      </c>
    </row>
    <row r="34" spans="1:112" hidden="1" outlineLevel="1" x14ac:dyDescent="0.3">
      <c r="A34" s="66" t="str">
        <f t="shared" si="15"/>
        <v/>
      </c>
      <c r="C34" s="527"/>
      <c r="D34" s="528" t="s">
        <v>2143</v>
      </c>
      <c r="E34" s="528"/>
      <c r="F34" s="534"/>
      <c r="G34" s="529"/>
      <c r="H34" s="531"/>
      <c r="I34" s="849" t="str">
        <f t="shared" si="16"/>
        <v/>
      </c>
      <c r="J34" s="850" t="str">
        <f t="shared" si="17"/>
        <v/>
      </c>
      <c r="K34" s="70"/>
      <c r="L34" s="853"/>
      <c r="M34" s="855"/>
      <c r="N34" s="855"/>
      <c r="O34" s="855"/>
      <c r="P34" s="855"/>
      <c r="Q34" s="855"/>
      <c r="R34" s="855"/>
      <c r="S34" s="855"/>
      <c r="T34" s="855"/>
      <c r="U34" s="855"/>
      <c r="V34" s="855"/>
      <c r="W34" s="855"/>
      <c r="X34" s="855"/>
      <c r="Y34" s="855"/>
      <c r="Z34" s="856"/>
      <c r="AA34" s="856"/>
      <c r="AB34" s="856"/>
      <c r="AC34" s="856"/>
      <c r="AD34" s="856"/>
      <c r="AE34" s="856"/>
      <c r="AF34" s="856"/>
      <c r="AG34" s="856"/>
      <c r="AH34" s="856"/>
      <c r="AI34" s="856"/>
      <c r="AJ34" s="856"/>
      <c r="AK34" s="856"/>
      <c r="AL34" s="856"/>
      <c r="AM34" s="856"/>
      <c r="AN34" s="856"/>
      <c r="AO34" s="856"/>
      <c r="AP34" s="856"/>
      <c r="AQ34" s="856"/>
      <c r="AR34" s="856"/>
      <c r="AS34" s="856"/>
      <c r="AT34" s="856"/>
      <c r="AU34" s="856"/>
      <c r="AV34" s="856"/>
      <c r="AW34" s="856"/>
      <c r="AX34" s="856"/>
      <c r="AY34" s="856"/>
      <c r="AZ34" s="856"/>
      <c r="BA34" s="856"/>
      <c r="BB34" s="856"/>
      <c r="BC34" s="856"/>
      <c r="BD34" s="856"/>
      <c r="BE34" s="856"/>
      <c r="BF34" s="856"/>
      <c r="BG34" s="857"/>
      <c r="BH34" s="590"/>
      <c r="BI34" s="70"/>
      <c r="BJ34" s="518">
        <f t="shared" si="18"/>
        <v>0</v>
      </c>
      <c r="BK34" s="517">
        <f t="shared" si="19"/>
        <v>0</v>
      </c>
      <c r="BL34" s="68"/>
      <c r="BM34" s="515">
        <f>SUMIFS(Imput[[Importe Neto]:[Importe Neto]],Imput[[C. Imp.]:[C. Imp.]],$D34,Imput[[PERIODO Imp.]:[PERIODO Imp.]],BM$9)</f>
        <v>0</v>
      </c>
      <c r="BN34" s="516">
        <f>SUMIFS(Imput[[Importe Neto]:[Importe Neto]],Imput[[C. Imp.]:[C. Imp.]],$D34,Imput[[PERIODO Imp.]:[PERIODO Imp.]],BN$9)</f>
        <v>0</v>
      </c>
      <c r="BO34" s="516">
        <f>SUMIFS(Imput[[Importe Neto]:[Importe Neto]],Imput[[C. Imp.]:[C. Imp.]],$D34,Imput[[PERIODO Imp.]:[PERIODO Imp.]],BO$9)</f>
        <v>0</v>
      </c>
      <c r="BP34" s="516">
        <f>SUMIFS(Imput[[Importe Neto]:[Importe Neto]],Imput[[C. Imp.]:[C. Imp.]],$D34,Imput[[PERIODO Imp.]:[PERIODO Imp.]],BP$9)</f>
        <v>0</v>
      </c>
      <c r="BQ34" s="516">
        <f>SUMIFS(Imput[[Importe Neto]:[Importe Neto]],Imput[[C. Imp.]:[C. Imp.]],$D34,Imput[[PERIODO Imp.]:[PERIODO Imp.]],BQ$9)</f>
        <v>0</v>
      </c>
      <c r="BR34" s="516">
        <f>SUMIFS(Imput[[Importe Neto]:[Importe Neto]],Imput[[C. Imp.]:[C. Imp.]],$D34,Imput[[PERIODO Imp.]:[PERIODO Imp.]],BR$9)</f>
        <v>0</v>
      </c>
      <c r="BS34" s="516">
        <f>SUMIFS(Imput[[Importe Neto]:[Importe Neto]],Imput[[C. Imp.]:[C. Imp.]],$D34,Imput[[PERIODO Imp.]:[PERIODO Imp.]],BS$9)</f>
        <v>0</v>
      </c>
      <c r="BT34" s="516">
        <f>SUMIFS(Imput[[Importe Neto]:[Importe Neto]],Imput[[C. Imp.]:[C. Imp.]],$D34,Imput[[PERIODO Imp.]:[PERIODO Imp.]],BT$9)</f>
        <v>0</v>
      </c>
      <c r="BU34" s="516">
        <f>SUMIFS(Imput[[Importe Neto]:[Importe Neto]],Imput[[C. Imp.]:[C. Imp.]],$D34,Imput[[PERIODO Imp.]:[PERIODO Imp.]],BU$9)</f>
        <v>0</v>
      </c>
      <c r="BV34" s="516">
        <f>SUMIFS(Imput[[Importe Neto]:[Importe Neto]],Imput[[C. Imp.]:[C. Imp.]],$D34,Imput[[PERIODO Imp.]:[PERIODO Imp.]],BV$9)</f>
        <v>0</v>
      </c>
      <c r="BW34" s="516">
        <f>SUMIFS(Imput[[Importe Neto]:[Importe Neto]],Imput[[C. Imp.]:[C. Imp.]],$D34,Imput[[PERIODO Imp.]:[PERIODO Imp.]],BW$9)</f>
        <v>0</v>
      </c>
      <c r="BX34" s="516">
        <f>SUMIFS(Imput[[Importe Neto]:[Importe Neto]],Imput[[C. Imp.]:[C. Imp.]],$D34,Imput[[PERIODO Imp.]:[PERIODO Imp.]],BX$9)</f>
        <v>0</v>
      </c>
      <c r="BY34" s="516">
        <f>SUMIFS(Imput[[Importe Neto]:[Importe Neto]],Imput[[C. Imp.]:[C. Imp.]],$D34,Imput[[PERIODO Imp.]:[PERIODO Imp.]],BY$9)</f>
        <v>0</v>
      </c>
      <c r="BZ34" s="516">
        <f>SUMIFS(Imput[[Importe Neto]:[Importe Neto]],Imput[[C. Imp.]:[C. Imp.]],$D34,Imput[[PERIODO Imp.]:[PERIODO Imp.]],BZ$9)</f>
        <v>0</v>
      </c>
      <c r="CA34" s="516">
        <f>SUMIFS(Imput[[Importe Neto]:[Importe Neto]],Imput[[C. Imp.]:[C. Imp.]],$D34,Imput[[PERIODO Imp.]:[PERIODO Imp.]],CA$9)</f>
        <v>0</v>
      </c>
      <c r="CB34" s="516">
        <f>SUMIFS(Imput[[Importe Neto]:[Importe Neto]],Imput[[C. Imp.]:[C. Imp.]],$D34,Imput[[PERIODO Imp.]:[PERIODO Imp.]],CB$9)</f>
        <v>0</v>
      </c>
      <c r="CC34" s="516">
        <f>SUMIFS(Imput[[Importe Neto]:[Importe Neto]],Imput[[C. Imp.]:[C. Imp.]],$D34,Imput[[PERIODO Imp.]:[PERIODO Imp.]],CC$9)</f>
        <v>0</v>
      </c>
      <c r="CD34" s="516">
        <f>SUMIFS(Imput[[Importe Neto]:[Importe Neto]],Imput[[C. Imp.]:[C. Imp.]],$D34,Imput[[PERIODO Imp.]:[PERIODO Imp.]],CD$9)</f>
        <v>0</v>
      </c>
      <c r="CE34" s="516">
        <f>SUMIFS(Imput[[Importe Neto]:[Importe Neto]],Imput[[C. Imp.]:[C. Imp.]],$D34,Imput[[PERIODO Imp.]:[PERIODO Imp.]],CE$9)</f>
        <v>0</v>
      </c>
      <c r="CF34" s="516">
        <f>SUMIFS(Imput[[Importe Neto]:[Importe Neto]],Imput[[C. Imp.]:[C. Imp.]],$D34,Imput[[PERIODO Imp.]:[PERIODO Imp.]],CF$9)</f>
        <v>0</v>
      </c>
      <c r="CG34" s="516">
        <f>SUMIFS(Imput[[Importe Neto]:[Importe Neto]],Imput[[C. Imp.]:[C. Imp.]],$D34,Imput[[PERIODO Imp.]:[PERIODO Imp.]],CG$9)</f>
        <v>0</v>
      </c>
      <c r="CH34" s="516">
        <f>SUMIFS(Imput[[Importe Neto]:[Importe Neto]],Imput[[C. Imp.]:[C. Imp.]],$D34,Imput[[PERIODO Imp.]:[PERIODO Imp.]],CH$9)</f>
        <v>0</v>
      </c>
      <c r="CI34" s="516">
        <f>SUMIFS(Imput[[Importe Neto]:[Importe Neto]],Imput[[C. Imp.]:[C. Imp.]],$D34,Imput[[PERIODO Imp.]:[PERIODO Imp.]],CI$9)</f>
        <v>0</v>
      </c>
      <c r="CJ34" s="516">
        <f>SUMIFS(Imput[[Importe Neto]:[Importe Neto]],Imput[[C. Imp.]:[C. Imp.]],$D34,Imput[[PERIODO Imp.]:[PERIODO Imp.]],CJ$9)</f>
        <v>0</v>
      </c>
      <c r="CK34" s="516">
        <f>SUMIFS(Imput[[Importe Neto]:[Importe Neto]],Imput[[C. Imp.]:[C. Imp.]],$D34,Imput[[PERIODO Imp.]:[PERIODO Imp.]],CK$9)</f>
        <v>0</v>
      </c>
      <c r="CL34" s="516">
        <f>SUMIFS(Imput[[Importe Neto]:[Importe Neto]],Imput[[C. Imp.]:[C. Imp.]],$D34,Imput[[PERIODO Imp.]:[PERIODO Imp.]],CL$9)</f>
        <v>0</v>
      </c>
      <c r="CM34" s="516">
        <f>SUMIFS(Imput[[Importe Neto]:[Importe Neto]],Imput[[C. Imp.]:[C. Imp.]],$D34,Imput[[PERIODO Imp.]:[PERIODO Imp.]],CM$9)</f>
        <v>0</v>
      </c>
      <c r="CN34" s="516">
        <f>SUMIFS(Imput[[Importe Neto]:[Importe Neto]],Imput[[C. Imp.]:[C. Imp.]],$D34,Imput[[PERIODO Imp.]:[PERIODO Imp.]],CN$9)</f>
        <v>0</v>
      </c>
      <c r="CO34" s="516">
        <f>SUMIFS(Imput[[Importe Neto]:[Importe Neto]],Imput[[C. Imp.]:[C. Imp.]],$D34,Imput[[PERIODO Imp.]:[PERIODO Imp.]],CO$9)</f>
        <v>0</v>
      </c>
      <c r="CP34" s="516">
        <f>SUMIFS(Imput[[Importe Neto]:[Importe Neto]],Imput[[C. Imp.]:[C. Imp.]],$D34,Imput[[PERIODO Imp.]:[PERIODO Imp.]],CP$9)</f>
        <v>0</v>
      </c>
      <c r="CQ34" s="516">
        <f>SUMIFS(Imput[[Importe Neto]:[Importe Neto]],Imput[[C. Imp.]:[C. Imp.]],$D34,Imput[[PERIODO Imp.]:[PERIODO Imp.]],CQ$9)</f>
        <v>0</v>
      </c>
      <c r="CR34" s="516">
        <f>SUMIFS(Imput[[Importe Neto]:[Importe Neto]],Imput[[C. Imp.]:[C. Imp.]],$D34,Imput[[PERIODO Imp.]:[PERIODO Imp.]],CR$9)</f>
        <v>0</v>
      </c>
      <c r="CS34" s="516">
        <f>SUMIFS(Imput[[Importe Neto]:[Importe Neto]],Imput[[C. Imp.]:[C. Imp.]],$D34,Imput[[PERIODO Imp.]:[PERIODO Imp.]],CS$9)</f>
        <v>0</v>
      </c>
      <c r="CT34" s="516">
        <f>SUMIFS(Imput[[Importe Neto]:[Importe Neto]],Imput[[C. Imp.]:[C. Imp.]],$D34,Imput[[PERIODO Imp.]:[PERIODO Imp.]],CT$9)</f>
        <v>0</v>
      </c>
      <c r="CU34" s="516">
        <f>SUMIFS(Imput[[Importe Neto]:[Importe Neto]],Imput[[C. Imp.]:[C. Imp.]],$D34,Imput[[PERIODO Imp.]:[PERIODO Imp.]],CU$9)</f>
        <v>0</v>
      </c>
      <c r="CV34" s="516">
        <f>SUMIFS(Imput[[Importe Neto]:[Importe Neto]],Imput[[C. Imp.]:[C. Imp.]],$D34,Imput[[PERIODO Imp.]:[PERIODO Imp.]],CV$9)</f>
        <v>0</v>
      </c>
      <c r="CW34" s="516">
        <f>SUMIFS(Imput[[Importe Neto]:[Importe Neto]],Imput[[C. Imp.]:[C. Imp.]],$D34,Imput[[PERIODO Imp.]:[PERIODO Imp.]],CW$9)</f>
        <v>0</v>
      </c>
      <c r="CX34" s="516">
        <f>SUMIFS(Imput[[Importe Neto]:[Importe Neto]],Imput[[C. Imp.]:[C. Imp.]],$D34,Imput[[PERIODO Imp.]:[PERIODO Imp.]],CX$9)</f>
        <v>0</v>
      </c>
      <c r="CY34" s="516">
        <f>SUMIFS(Imput[[Importe Neto]:[Importe Neto]],Imput[[C. Imp.]:[C. Imp.]],$D34,Imput[[PERIODO Imp.]:[PERIODO Imp.]],CY$9)</f>
        <v>0</v>
      </c>
      <c r="CZ34" s="516">
        <f>SUMIFS(Imput[[Importe Neto]:[Importe Neto]],Imput[[C. Imp.]:[C. Imp.]],$D34,Imput[[PERIODO Imp.]:[PERIODO Imp.]],CZ$9)</f>
        <v>0</v>
      </c>
      <c r="DA34" s="516">
        <f>SUMIFS(Imput[[Importe Neto]:[Importe Neto]],Imput[[C. Imp.]:[C. Imp.]],$D34,Imput[[PERIODO Imp.]:[PERIODO Imp.]],DA$9)</f>
        <v>0</v>
      </c>
      <c r="DB34" s="516">
        <f>SUMIFS(Imput[[Importe Neto]:[Importe Neto]],Imput[[C. Imp.]:[C. Imp.]],$D34,Imput[[PERIODO Imp.]:[PERIODO Imp.]],DB$9)</f>
        <v>0</v>
      </c>
      <c r="DC34" s="516">
        <f>SUMIFS(Imput[[Importe Neto]:[Importe Neto]],Imput[[C. Imp.]:[C. Imp.]],$D34,Imput[[PERIODO Imp.]:[PERIODO Imp.]],DC$9)</f>
        <v>0</v>
      </c>
      <c r="DD34" s="516">
        <f>SUMIFS(Imput[[Importe Neto]:[Importe Neto]],Imput[[C. Imp.]:[C. Imp.]],$D34,Imput[[PERIODO Imp.]:[PERIODO Imp.]],DD$9)</f>
        <v>0</v>
      </c>
      <c r="DE34" s="516">
        <f>SUMIFS(Imput[[Importe Neto]:[Importe Neto]],Imput[[C. Imp.]:[C. Imp.]],$D34,Imput[[PERIODO Imp.]:[PERIODO Imp.]],DE$9)</f>
        <v>0</v>
      </c>
      <c r="DF34" s="516">
        <f>SUMIFS(Imput[[Importe Neto]:[Importe Neto]],Imput[[C. Imp.]:[C. Imp.]],$D34,Imput[[PERIODO Imp.]:[PERIODO Imp.]],DF$9)</f>
        <v>0</v>
      </c>
      <c r="DG34" s="516">
        <f>SUMIFS(Imput[[Importe Neto]:[Importe Neto]],Imput[[C. Imp.]:[C. Imp.]],$D34,Imput[[PERIODO Imp.]:[PERIODO Imp.]],DG$9)</f>
        <v>0</v>
      </c>
      <c r="DH34" s="616">
        <f>SUMIFS(Imput[[Importe Neto]:[Importe Neto]],Imput[[C. Imp.]:[C. Imp.]],$D34,Imput[[PERIODO Imp.]:[PERIODO Imp.]],DH$9)</f>
        <v>0</v>
      </c>
    </row>
    <row r="35" spans="1:112" hidden="1" outlineLevel="1" x14ac:dyDescent="0.3">
      <c r="A35" s="66" t="str">
        <f t="shared" si="15"/>
        <v/>
      </c>
      <c r="C35" s="527"/>
      <c r="D35" s="528" t="s">
        <v>2144</v>
      </c>
      <c r="E35" s="528"/>
      <c r="F35" s="534"/>
      <c r="G35" s="529"/>
      <c r="H35" s="531"/>
      <c r="I35" s="849" t="str">
        <f t="shared" si="16"/>
        <v/>
      </c>
      <c r="J35" s="850" t="str">
        <f t="shared" si="17"/>
        <v/>
      </c>
      <c r="K35" s="70"/>
      <c r="L35" s="853"/>
      <c r="M35" s="855"/>
      <c r="N35" s="855"/>
      <c r="O35" s="855"/>
      <c r="P35" s="855"/>
      <c r="Q35" s="855"/>
      <c r="R35" s="855"/>
      <c r="S35" s="855"/>
      <c r="T35" s="855"/>
      <c r="U35" s="855"/>
      <c r="V35" s="855"/>
      <c r="W35" s="855"/>
      <c r="X35" s="855"/>
      <c r="Y35" s="855"/>
      <c r="Z35" s="856"/>
      <c r="AA35" s="856"/>
      <c r="AB35" s="856"/>
      <c r="AC35" s="856"/>
      <c r="AD35" s="856"/>
      <c r="AE35" s="856"/>
      <c r="AF35" s="856"/>
      <c r="AG35" s="856"/>
      <c r="AH35" s="856"/>
      <c r="AI35" s="856"/>
      <c r="AJ35" s="856"/>
      <c r="AK35" s="856"/>
      <c r="AL35" s="856"/>
      <c r="AM35" s="856"/>
      <c r="AN35" s="856"/>
      <c r="AO35" s="856"/>
      <c r="AP35" s="856"/>
      <c r="AQ35" s="856"/>
      <c r="AR35" s="856"/>
      <c r="AS35" s="856"/>
      <c r="AT35" s="856"/>
      <c r="AU35" s="856"/>
      <c r="AV35" s="856"/>
      <c r="AW35" s="856"/>
      <c r="AX35" s="856"/>
      <c r="AY35" s="856"/>
      <c r="AZ35" s="856"/>
      <c r="BA35" s="856"/>
      <c r="BB35" s="856"/>
      <c r="BC35" s="856"/>
      <c r="BD35" s="856"/>
      <c r="BE35" s="856"/>
      <c r="BF35" s="856"/>
      <c r="BG35" s="857"/>
      <c r="BH35" s="590"/>
      <c r="BI35" s="70"/>
      <c r="BJ35" s="518">
        <f t="shared" si="18"/>
        <v>0</v>
      </c>
      <c r="BK35" s="517">
        <f t="shared" si="19"/>
        <v>0</v>
      </c>
      <c r="BL35" s="68"/>
      <c r="BM35" s="515">
        <f>SUMIFS(Imput[[Importe Neto]:[Importe Neto]],Imput[[C. Imp.]:[C. Imp.]],$D35,Imput[[PERIODO Imp.]:[PERIODO Imp.]],BM$9)</f>
        <v>0</v>
      </c>
      <c r="BN35" s="516">
        <f>SUMIFS(Imput[[Importe Neto]:[Importe Neto]],Imput[[C. Imp.]:[C. Imp.]],$D35,Imput[[PERIODO Imp.]:[PERIODO Imp.]],BN$9)</f>
        <v>0</v>
      </c>
      <c r="BO35" s="516">
        <f>SUMIFS(Imput[[Importe Neto]:[Importe Neto]],Imput[[C. Imp.]:[C. Imp.]],$D35,Imput[[PERIODO Imp.]:[PERIODO Imp.]],BO$9)</f>
        <v>0</v>
      </c>
      <c r="BP35" s="516">
        <f>SUMIFS(Imput[[Importe Neto]:[Importe Neto]],Imput[[C. Imp.]:[C. Imp.]],$D35,Imput[[PERIODO Imp.]:[PERIODO Imp.]],BP$9)</f>
        <v>0</v>
      </c>
      <c r="BQ35" s="516">
        <f>SUMIFS(Imput[[Importe Neto]:[Importe Neto]],Imput[[C. Imp.]:[C. Imp.]],$D35,Imput[[PERIODO Imp.]:[PERIODO Imp.]],BQ$9)</f>
        <v>0</v>
      </c>
      <c r="BR35" s="516">
        <f>SUMIFS(Imput[[Importe Neto]:[Importe Neto]],Imput[[C. Imp.]:[C. Imp.]],$D35,Imput[[PERIODO Imp.]:[PERIODO Imp.]],BR$9)</f>
        <v>0</v>
      </c>
      <c r="BS35" s="516">
        <f>SUMIFS(Imput[[Importe Neto]:[Importe Neto]],Imput[[C. Imp.]:[C. Imp.]],$D35,Imput[[PERIODO Imp.]:[PERIODO Imp.]],BS$9)</f>
        <v>0</v>
      </c>
      <c r="BT35" s="516">
        <f>SUMIFS(Imput[[Importe Neto]:[Importe Neto]],Imput[[C. Imp.]:[C. Imp.]],$D35,Imput[[PERIODO Imp.]:[PERIODO Imp.]],BT$9)</f>
        <v>0</v>
      </c>
      <c r="BU35" s="516">
        <f>SUMIFS(Imput[[Importe Neto]:[Importe Neto]],Imput[[C. Imp.]:[C. Imp.]],$D35,Imput[[PERIODO Imp.]:[PERIODO Imp.]],BU$9)</f>
        <v>0</v>
      </c>
      <c r="BV35" s="516">
        <f>SUMIFS(Imput[[Importe Neto]:[Importe Neto]],Imput[[C. Imp.]:[C. Imp.]],$D35,Imput[[PERIODO Imp.]:[PERIODO Imp.]],BV$9)</f>
        <v>0</v>
      </c>
      <c r="BW35" s="516">
        <f>SUMIFS(Imput[[Importe Neto]:[Importe Neto]],Imput[[C. Imp.]:[C. Imp.]],$D35,Imput[[PERIODO Imp.]:[PERIODO Imp.]],BW$9)</f>
        <v>0</v>
      </c>
      <c r="BX35" s="516">
        <f>SUMIFS(Imput[[Importe Neto]:[Importe Neto]],Imput[[C. Imp.]:[C. Imp.]],$D35,Imput[[PERIODO Imp.]:[PERIODO Imp.]],BX$9)</f>
        <v>0</v>
      </c>
      <c r="BY35" s="516">
        <f>SUMIFS(Imput[[Importe Neto]:[Importe Neto]],Imput[[C. Imp.]:[C. Imp.]],$D35,Imput[[PERIODO Imp.]:[PERIODO Imp.]],BY$9)</f>
        <v>0</v>
      </c>
      <c r="BZ35" s="516">
        <f>SUMIFS(Imput[[Importe Neto]:[Importe Neto]],Imput[[C. Imp.]:[C. Imp.]],$D35,Imput[[PERIODO Imp.]:[PERIODO Imp.]],BZ$9)</f>
        <v>0</v>
      </c>
      <c r="CA35" s="516">
        <f>SUMIFS(Imput[[Importe Neto]:[Importe Neto]],Imput[[C. Imp.]:[C. Imp.]],$D35,Imput[[PERIODO Imp.]:[PERIODO Imp.]],CA$9)</f>
        <v>0</v>
      </c>
      <c r="CB35" s="516">
        <f>SUMIFS(Imput[[Importe Neto]:[Importe Neto]],Imput[[C. Imp.]:[C. Imp.]],$D35,Imput[[PERIODO Imp.]:[PERIODO Imp.]],CB$9)</f>
        <v>0</v>
      </c>
      <c r="CC35" s="516">
        <f>SUMIFS(Imput[[Importe Neto]:[Importe Neto]],Imput[[C. Imp.]:[C. Imp.]],$D35,Imput[[PERIODO Imp.]:[PERIODO Imp.]],CC$9)</f>
        <v>0</v>
      </c>
      <c r="CD35" s="516">
        <f>SUMIFS(Imput[[Importe Neto]:[Importe Neto]],Imput[[C. Imp.]:[C. Imp.]],$D35,Imput[[PERIODO Imp.]:[PERIODO Imp.]],CD$9)</f>
        <v>0</v>
      </c>
      <c r="CE35" s="516">
        <f>SUMIFS(Imput[[Importe Neto]:[Importe Neto]],Imput[[C. Imp.]:[C. Imp.]],$D35,Imput[[PERIODO Imp.]:[PERIODO Imp.]],CE$9)</f>
        <v>0</v>
      </c>
      <c r="CF35" s="516">
        <f>SUMIFS(Imput[[Importe Neto]:[Importe Neto]],Imput[[C. Imp.]:[C. Imp.]],$D35,Imput[[PERIODO Imp.]:[PERIODO Imp.]],CF$9)</f>
        <v>0</v>
      </c>
      <c r="CG35" s="516">
        <f>SUMIFS(Imput[[Importe Neto]:[Importe Neto]],Imput[[C. Imp.]:[C. Imp.]],$D35,Imput[[PERIODO Imp.]:[PERIODO Imp.]],CG$9)</f>
        <v>0</v>
      </c>
      <c r="CH35" s="516">
        <f>SUMIFS(Imput[[Importe Neto]:[Importe Neto]],Imput[[C. Imp.]:[C. Imp.]],$D35,Imput[[PERIODO Imp.]:[PERIODO Imp.]],CH$9)</f>
        <v>0</v>
      </c>
      <c r="CI35" s="516">
        <f>SUMIFS(Imput[[Importe Neto]:[Importe Neto]],Imput[[C. Imp.]:[C. Imp.]],$D35,Imput[[PERIODO Imp.]:[PERIODO Imp.]],CI$9)</f>
        <v>0</v>
      </c>
      <c r="CJ35" s="516">
        <f>SUMIFS(Imput[[Importe Neto]:[Importe Neto]],Imput[[C. Imp.]:[C. Imp.]],$D35,Imput[[PERIODO Imp.]:[PERIODO Imp.]],CJ$9)</f>
        <v>0</v>
      </c>
      <c r="CK35" s="516">
        <f>SUMIFS(Imput[[Importe Neto]:[Importe Neto]],Imput[[C. Imp.]:[C. Imp.]],$D35,Imput[[PERIODO Imp.]:[PERIODO Imp.]],CK$9)</f>
        <v>0</v>
      </c>
      <c r="CL35" s="516">
        <f>SUMIFS(Imput[[Importe Neto]:[Importe Neto]],Imput[[C. Imp.]:[C. Imp.]],$D35,Imput[[PERIODO Imp.]:[PERIODO Imp.]],CL$9)</f>
        <v>0</v>
      </c>
      <c r="CM35" s="516">
        <f>SUMIFS(Imput[[Importe Neto]:[Importe Neto]],Imput[[C. Imp.]:[C. Imp.]],$D35,Imput[[PERIODO Imp.]:[PERIODO Imp.]],CM$9)</f>
        <v>0</v>
      </c>
      <c r="CN35" s="516">
        <f>SUMIFS(Imput[[Importe Neto]:[Importe Neto]],Imput[[C. Imp.]:[C. Imp.]],$D35,Imput[[PERIODO Imp.]:[PERIODO Imp.]],CN$9)</f>
        <v>0</v>
      </c>
      <c r="CO35" s="516">
        <f>SUMIFS(Imput[[Importe Neto]:[Importe Neto]],Imput[[C. Imp.]:[C. Imp.]],$D35,Imput[[PERIODO Imp.]:[PERIODO Imp.]],CO$9)</f>
        <v>0</v>
      </c>
      <c r="CP35" s="516">
        <f>SUMIFS(Imput[[Importe Neto]:[Importe Neto]],Imput[[C. Imp.]:[C. Imp.]],$D35,Imput[[PERIODO Imp.]:[PERIODO Imp.]],CP$9)</f>
        <v>0</v>
      </c>
      <c r="CQ35" s="516">
        <f>SUMIFS(Imput[[Importe Neto]:[Importe Neto]],Imput[[C. Imp.]:[C. Imp.]],$D35,Imput[[PERIODO Imp.]:[PERIODO Imp.]],CQ$9)</f>
        <v>0</v>
      </c>
      <c r="CR35" s="516">
        <f>SUMIFS(Imput[[Importe Neto]:[Importe Neto]],Imput[[C. Imp.]:[C. Imp.]],$D35,Imput[[PERIODO Imp.]:[PERIODO Imp.]],CR$9)</f>
        <v>0</v>
      </c>
      <c r="CS35" s="516">
        <f>SUMIFS(Imput[[Importe Neto]:[Importe Neto]],Imput[[C. Imp.]:[C. Imp.]],$D35,Imput[[PERIODO Imp.]:[PERIODO Imp.]],CS$9)</f>
        <v>0</v>
      </c>
      <c r="CT35" s="516">
        <f>SUMIFS(Imput[[Importe Neto]:[Importe Neto]],Imput[[C. Imp.]:[C. Imp.]],$D35,Imput[[PERIODO Imp.]:[PERIODO Imp.]],CT$9)</f>
        <v>0</v>
      </c>
      <c r="CU35" s="516">
        <f>SUMIFS(Imput[[Importe Neto]:[Importe Neto]],Imput[[C. Imp.]:[C. Imp.]],$D35,Imput[[PERIODO Imp.]:[PERIODO Imp.]],CU$9)</f>
        <v>0</v>
      </c>
      <c r="CV35" s="516">
        <f>SUMIFS(Imput[[Importe Neto]:[Importe Neto]],Imput[[C. Imp.]:[C. Imp.]],$D35,Imput[[PERIODO Imp.]:[PERIODO Imp.]],CV$9)</f>
        <v>0</v>
      </c>
      <c r="CW35" s="516">
        <f>SUMIFS(Imput[[Importe Neto]:[Importe Neto]],Imput[[C. Imp.]:[C. Imp.]],$D35,Imput[[PERIODO Imp.]:[PERIODO Imp.]],CW$9)</f>
        <v>0</v>
      </c>
      <c r="CX35" s="516">
        <f>SUMIFS(Imput[[Importe Neto]:[Importe Neto]],Imput[[C. Imp.]:[C. Imp.]],$D35,Imput[[PERIODO Imp.]:[PERIODO Imp.]],CX$9)</f>
        <v>0</v>
      </c>
      <c r="CY35" s="516">
        <f>SUMIFS(Imput[[Importe Neto]:[Importe Neto]],Imput[[C. Imp.]:[C. Imp.]],$D35,Imput[[PERIODO Imp.]:[PERIODO Imp.]],CY$9)</f>
        <v>0</v>
      </c>
      <c r="CZ35" s="516">
        <f>SUMIFS(Imput[[Importe Neto]:[Importe Neto]],Imput[[C. Imp.]:[C. Imp.]],$D35,Imput[[PERIODO Imp.]:[PERIODO Imp.]],CZ$9)</f>
        <v>0</v>
      </c>
      <c r="DA35" s="516">
        <f>SUMIFS(Imput[[Importe Neto]:[Importe Neto]],Imput[[C. Imp.]:[C. Imp.]],$D35,Imput[[PERIODO Imp.]:[PERIODO Imp.]],DA$9)</f>
        <v>0</v>
      </c>
      <c r="DB35" s="516">
        <f>SUMIFS(Imput[[Importe Neto]:[Importe Neto]],Imput[[C. Imp.]:[C. Imp.]],$D35,Imput[[PERIODO Imp.]:[PERIODO Imp.]],DB$9)</f>
        <v>0</v>
      </c>
      <c r="DC35" s="516">
        <f>SUMIFS(Imput[[Importe Neto]:[Importe Neto]],Imput[[C. Imp.]:[C. Imp.]],$D35,Imput[[PERIODO Imp.]:[PERIODO Imp.]],DC$9)</f>
        <v>0</v>
      </c>
      <c r="DD35" s="516">
        <f>SUMIFS(Imput[[Importe Neto]:[Importe Neto]],Imput[[C. Imp.]:[C. Imp.]],$D35,Imput[[PERIODO Imp.]:[PERIODO Imp.]],DD$9)</f>
        <v>0</v>
      </c>
      <c r="DE35" s="516">
        <f>SUMIFS(Imput[[Importe Neto]:[Importe Neto]],Imput[[C. Imp.]:[C. Imp.]],$D35,Imput[[PERIODO Imp.]:[PERIODO Imp.]],DE$9)</f>
        <v>0</v>
      </c>
      <c r="DF35" s="516">
        <f>SUMIFS(Imput[[Importe Neto]:[Importe Neto]],Imput[[C. Imp.]:[C. Imp.]],$D35,Imput[[PERIODO Imp.]:[PERIODO Imp.]],DF$9)</f>
        <v>0</v>
      </c>
      <c r="DG35" s="516">
        <f>SUMIFS(Imput[[Importe Neto]:[Importe Neto]],Imput[[C. Imp.]:[C. Imp.]],$D35,Imput[[PERIODO Imp.]:[PERIODO Imp.]],DG$9)</f>
        <v>0</v>
      </c>
      <c r="DH35" s="616">
        <f>SUMIFS(Imput[[Importe Neto]:[Importe Neto]],Imput[[C. Imp.]:[C. Imp.]],$D35,Imput[[PERIODO Imp.]:[PERIODO Imp.]],DH$9)</f>
        <v>0</v>
      </c>
    </row>
    <row r="36" spans="1:112" hidden="1" outlineLevel="1" x14ac:dyDescent="0.3">
      <c r="A36" s="66" t="str">
        <f t="shared" si="15"/>
        <v/>
      </c>
      <c r="C36" s="527"/>
      <c r="D36" s="528" t="s">
        <v>2145</v>
      </c>
      <c r="E36" s="528"/>
      <c r="F36" s="534"/>
      <c r="G36" s="529"/>
      <c r="H36" s="531"/>
      <c r="I36" s="849" t="str">
        <f t="shared" si="16"/>
        <v/>
      </c>
      <c r="J36" s="850" t="str">
        <f t="shared" si="17"/>
        <v/>
      </c>
      <c r="K36" s="70"/>
      <c r="L36" s="853"/>
      <c r="M36" s="855"/>
      <c r="N36" s="855"/>
      <c r="O36" s="855"/>
      <c r="P36" s="855"/>
      <c r="Q36" s="855"/>
      <c r="R36" s="855"/>
      <c r="S36" s="855"/>
      <c r="T36" s="855"/>
      <c r="U36" s="855"/>
      <c r="V36" s="855"/>
      <c r="W36" s="855"/>
      <c r="X36" s="855"/>
      <c r="Y36" s="855"/>
      <c r="Z36" s="856"/>
      <c r="AA36" s="856"/>
      <c r="AB36" s="856"/>
      <c r="AC36" s="856"/>
      <c r="AD36" s="856"/>
      <c r="AE36" s="856"/>
      <c r="AF36" s="856"/>
      <c r="AG36" s="856"/>
      <c r="AH36" s="856"/>
      <c r="AI36" s="856"/>
      <c r="AJ36" s="856"/>
      <c r="AK36" s="856"/>
      <c r="AL36" s="856"/>
      <c r="AM36" s="856"/>
      <c r="AN36" s="856"/>
      <c r="AO36" s="856"/>
      <c r="AP36" s="856"/>
      <c r="AQ36" s="856"/>
      <c r="AR36" s="856"/>
      <c r="AS36" s="856"/>
      <c r="AT36" s="856"/>
      <c r="AU36" s="856"/>
      <c r="AV36" s="856"/>
      <c r="AW36" s="856"/>
      <c r="AX36" s="856"/>
      <c r="AY36" s="856"/>
      <c r="AZ36" s="856"/>
      <c r="BA36" s="856"/>
      <c r="BB36" s="856"/>
      <c r="BC36" s="856"/>
      <c r="BD36" s="856"/>
      <c r="BE36" s="856"/>
      <c r="BF36" s="856"/>
      <c r="BG36" s="857"/>
      <c r="BH36" s="590"/>
      <c r="BI36" s="70"/>
      <c r="BJ36" s="518">
        <f t="shared" si="18"/>
        <v>0</v>
      </c>
      <c r="BK36" s="517">
        <f t="shared" si="19"/>
        <v>0</v>
      </c>
      <c r="BL36" s="68"/>
      <c r="BM36" s="515">
        <f>SUMIFS(Imput[[Importe Neto]:[Importe Neto]],Imput[[C. Imp.]:[C. Imp.]],$D36,Imput[[PERIODO Imp.]:[PERIODO Imp.]],BM$9)</f>
        <v>0</v>
      </c>
      <c r="BN36" s="516">
        <f>SUMIFS(Imput[[Importe Neto]:[Importe Neto]],Imput[[C. Imp.]:[C. Imp.]],$D36,Imput[[PERIODO Imp.]:[PERIODO Imp.]],BN$9)</f>
        <v>0</v>
      </c>
      <c r="BO36" s="516">
        <f>SUMIFS(Imput[[Importe Neto]:[Importe Neto]],Imput[[C. Imp.]:[C. Imp.]],$D36,Imput[[PERIODO Imp.]:[PERIODO Imp.]],BO$9)</f>
        <v>0</v>
      </c>
      <c r="BP36" s="516">
        <f>SUMIFS(Imput[[Importe Neto]:[Importe Neto]],Imput[[C. Imp.]:[C. Imp.]],$D36,Imput[[PERIODO Imp.]:[PERIODO Imp.]],BP$9)</f>
        <v>0</v>
      </c>
      <c r="BQ36" s="516">
        <f>SUMIFS(Imput[[Importe Neto]:[Importe Neto]],Imput[[C. Imp.]:[C. Imp.]],$D36,Imput[[PERIODO Imp.]:[PERIODO Imp.]],BQ$9)</f>
        <v>0</v>
      </c>
      <c r="BR36" s="516">
        <f>SUMIFS(Imput[[Importe Neto]:[Importe Neto]],Imput[[C. Imp.]:[C. Imp.]],$D36,Imput[[PERIODO Imp.]:[PERIODO Imp.]],BR$9)</f>
        <v>0</v>
      </c>
      <c r="BS36" s="516">
        <f>SUMIFS(Imput[[Importe Neto]:[Importe Neto]],Imput[[C. Imp.]:[C. Imp.]],$D36,Imput[[PERIODO Imp.]:[PERIODO Imp.]],BS$9)</f>
        <v>0</v>
      </c>
      <c r="BT36" s="516">
        <f>SUMIFS(Imput[[Importe Neto]:[Importe Neto]],Imput[[C. Imp.]:[C. Imp.]],$D36,Imput[[PERIODO Imp.]:[PERIODO Imp.]],BT$9)</f>
        <v>0</v>
      </c>
      <c r="BU36" s="516">
        <f>SUMIFS(Imput[[Importe Neto]:[Importe Neto]],Imput[[C. Imp.]:[C. Imp.]],$D36,Imput[[PERIODO Imp.]:[PERIODO Imp.]],BU$9)</f>
        <v>0</v>
      </c>
      <c r="BV36" s="516">
        <f>SUMIFS(Imput[[Importe Neto]:[Importe Neto]],Imput[[C. Imp.]:[C. Imp.]],$D36,Imput[[PERIODO Imp.]:[PERIODO Imp.]],BV$9)</f>
        <v>0</v>
      </c>
      <c r="BW36" s="516">
        <f>SUMIFS(Imput[[Importe Neto]:[Importe Neto]],Imput[[C. Imp.]:[C. Imp.]],$D36,Imput[[PERIODO Imp.]:[PERIODO Imp.]],BW$9)</f>
        <v>0</v>
      </c>
      <c r="BX36" s="516">
        <f>SUMIFS(Imput[[Importe Neto]:[Importe Neto]],Imput[[C. Imp.]:[C. Imp.]],$D36,Imput[[PERIODO Imp.]:[PERIODO Imp.]],BX$9)</f>
        <v>0</v>
      </c>
      <c r="BY36" s="516">
        <f>SUMIFS(Imput[[Importe Neto]:[Importe Neto]],Imput[[C. Imp.]:[C. Imp.]],$D36,Imput[[PERIODO Imp.]:[PERIODO Imp.]],BY$9)</f>
        <v>0</v>
      </c>
      <c r="BZ36" s="516">
        <f>SUMIFS(Imput[[Importe Neto]:[Importe Neto]],Imput[[C. Imp.]:[C. Imp.]],$D36,Imput[[PERIODO Imp.]:[PERIODO Imp.]],BZ$9)</f>
        <v>0</v>
      </c>
      <c r="CA36" s="516">
        <f>SUMIFS(Imput[[Importe Neto]:[Importe Neto]],Imput[[C. Imp.]:[C. Imp.]],$D36,Imput[[PERIODO Imp.]:[PERIODO Imp.]],CA$9)</f>
        <v>0</v>
      </c>
      <c r="CB36" s="516">
        <f>SUMIFS(Imput[[Importe Neto]:[Importe Neto]],Imput[[C. Imp.]:[C. Imp.]],$D36,Imput[[PERIODO Imp.]:[PERIODO Imp.]],CB$9)</f>
        <v>0</v>
      </c>
      <c r="CC36" s="516">
        <f>SUMIFS(Imput[[Importe Neto]:[Importe Neto]],Imput[[C. Imp.]:[C. Imp.]],$D36,Imput[[PERIODO Imp.]:[PERIODO Imp.]],CC$9)</f>
        <v>0</v>
      </c>
      <c r="CD36" s="516">
        <f>SUMIFS(Imput[[Importe Neto]:[Importe Neto]],Imput[[C. Imp.]:[C. Imp.]],$D36,Imput[[PERIODO Imp.]:[PERIODO Imp.]],CD$9)</f>
        <v>0</v>
      </c>
      <c r="CE36" s="516">
        <f>SUMIFS(Imput[[Importe Neto]:[Importe Neto]],Imput[[C. Imp.]:[C. Imp.]],$D36,Imput[[PERIODO Imp.]:[PERIODO Imp.]],CE$9)</f>
        <v>0</v>
      </c>
      <c r="CF36" s="516">
        <f>SUMIFS(Imput[[Importe Neto]:[Importe Neto]],Imput[[C. Imp.]:[C. Imp.]],$D36,Imput[[PERIODO Imp.]:[PERIODO Imp.]],CF$9)</f>
        <v>0</v>
      </c>
      <c r="CG36" s="516">
        <f>SUMIFS(Imput[[Importe Neto]:[Importe Neto]],Imput[[C. Imp.]:[C. Imp.]],$D36,Imput[[PERIODO Imp.]:[PERIODO Imp.]],CG$9)</f>
        <v>0</v>
      </c>
      <c r="CH36" s="516">
        <f>SUMIFS(Imput[[Importe Neto]:[Importe Neto]],Imput[[C. Imp.]:[C. Imp.]],$D36,Imput[[PERIODO Imp.]:[PERIODO Imp.]],CH$9)</f>
        <v>0</v>
      </c>
      <c r="CI36" s="516">
        <f>SUMIFS(Imput[[Importe Neto]:[Importe Neto]],Imput[[C. Imp.]:[C. Imp.]],$D36,Imput[[PERIODO Imp.]:[PERIODO Imp.]],CI$9)</f>
        <v>0</v>
      </c>
      <c r="CJ36" s="516">
        <f>SUMIFS(Imput[[Importe Neto]:[Importe Neto]],Imput[[C. Imp.]:[C. Imp.]],$D36,Imput[[PERIODO Imp.]:[PERIODO Imp.]],CJ$9)</f>
        <v>0</v>
      </c>
      <c r="CK36" s="516">
        <f>SUMIFS(Imput[[Importe Neto]:[Importe Neto]],Imput[[C. Imp.]:[C. Imp.]],$D36,Imput[[PERIODO Imp.]:[PERIODO Imp.]],CK$9)</f>
        <v>0</v>
      </c>
      <c r="CL36" s="516">
        <f>SUMIFS(Imput[[Importe Neto]:[Importe Neto]],Imput[[C. Imp.]:[C. Imp.]],$D36,Imput[[PERIODO Imp.]:[PERIODO Imp.]],CL$9)</f>
        <v>0</v>
      </c>
      <c r="CM36" s="516">
        <f>SUMIFS(Imput[[Importe Neto]:[Importe Neto]],Imput[[C. Imp.]:[C. Imp.]],$D36,Imput[[PERIODO Imp.]:[PERIODO Imp.]],CM$9)</f>
        <v>0</v>
      </c>
      <c r="CN36" s="516">
        <f>SUMIFS(Imput[[Importe Neto]:[Importe Neto]],Imput[[C. Imp.]:[C. Imp.]],$D36,Imput[[PERIODO Imp.]:[PERIODO Imp.]],CN$9)</f>
        <v>0</v>
      </c>
      <c r="CO36" s="516">
        <f>SUMIFS(Imput[[Importe Neto]:[Importe Neto]],Imput[[C. Imp.]:[C. Imp.]],$D36,Imput[[PERIODO Imp.]:[PERIODO Imp.]],CO$9)</f>
        <v>0</v>
      </c>
      <c r="CP36" s="516">
        <f>SUMIFS(Imput[[Importe Neto]:[Importe Neto]],Imput[[C. Imp.]:[C. Imp.]],$D36,Imput[[PERIODO Imp.]:[PERIODO Imp.]],CP$9)</f>
        <v>0</v>
      </c>
      <c r="CQ36" s="516">
        <f>SUMIFS(Imput[[Importe Neto]:[Importe Neto]],Imput[[C. Imp.]:[C. Imp.]],$D36,Imput[[PERIODO Imp.]:[PERIODO Imp.]],CQ$9)</f>
        <v>0</v>
      </c>
      <c r="CR36" s="516">
        <f>SUMIFS(Imput[[Importe Neto]:[Importe Neto]],Imput[[C. Imp.]:[C. Imp.]],$D36,Imput[[PERIODO Imp.]:[PERIODO Imp.]],CR$9)</f>
        <v>0</v>
      </c>
      <c r="CS36" s="516">
        <f>SUMIFS(Imput[[Importe Neto]:[Importe Neto]],Imput[[C. Imp.]:[C. Imp.]],$D36,Imput[[PERIODO Imp.]:[PERIODO Imp.]],CS$9)</f>
        <v>0</v>
      </c>
      <c r="CT36" s="516">
        <f>SUMIFS(Imput[[Importe Neto]:[Importe Neto]],Imput[[C. Imp.]:[C. Imp.]],$D36,Imput[[PERIODO Imp.]:[PERIODO Imp.]],CT$9)</f>
        <v>0</v>
      </c>
      <c r="CU36" s="516">
        <f>SUMIFS(Imput[[Importe Neto]:[Importe Neto]],Imput[[C. Imp.]:[C. Imp.]],$D36,Imput[[PERIODO Imp.]:[PERIODO Imp.]],CU$9)</f>
        <v>0</v>
      </c>
      <c r="CV36" s="516">
        <f>SUMIFS(Imput[[Importe Neto]:[Importe Neto]],Imput[[C. Imp.]:[C. Imp.]],$D36,Imput[[PERIODO Imp.]:[PERIODO Imp.]],CV$9)</f>
        <v>0</v>
      </c>
      <c r="CW36" s="516">
        <f>SUMIFS(Imput[[Importe Neto]:[Importe Neto]],Imput[[C. Imp.]:[C. Imp.]],$D36,Imput[[PERIODO Imp.]:[PERIODO Imp.]],CW$9)</f>
        <v>0</v>
      </c>
      <c r="CX36" s="516">
        <f>SUMIFS(Imput[[Importe Neto]:[Importe Neto]],Imput[[C. Imp.]:[C. Imp.]],$D36,Imput[[PERIODO Imp.]:[PERIODO Imp.]],CX$9)</f>
        <v>0</v>
      </c>
      <c r="CY36" s="516">
        <f>SUMIFS(Imput[[Importe Neto]:[Importe Neto]],Imput[[C. Imp.]:[C. Imp.]],$D36,Imput[[PERIODO Imp.]:[PERIODO Imp.]],CY$9)</f>
        <v>0</v>
      </c>
      <c r="CZ36" s="516">
        <f>SUMIFS(Imput[[Importe Neto]:[Importe Neto]],Imput[[C. Imp.]:[C. Imp.]],$D36,Imput[[PERIODO Imp.]:[PERIODO Imp.]],CZ$9)</f>
        <v>0</v>
      </c>
      <c r="DA36" s="516">
        <f>SUMIFS(Imput[[Importe Neto]:[Importe Neto]],Imput[[C. Imp.]:[C. Imp.]],$D36,Imput[[PERIODO Imp.]:[PERIODO Imp.]],DA$9)</f>
        <v>0</v>
      </c>
      <c r="DB36" s="516">
        <f>SUMIFS(Imput[[Importe Neto]:[Importe Neto]],Imput[[C. Imp.]:[C. Imp.]],$D36,Imput[[PERIODO Imp.]:[PERIODO Imp.]],DB$9)</f>
        <v>0</v>
      </c>
      <c r="DC36" s="516">
        <f>SUMIFS(Imput[[Importe Neto]:[Importe Neto]],Imput[[C. Imp.]:[C. Imp.]],$D36,Imput[[PERIODO Imp.]:[PERIODO Imp.]],DC$9)</f>
        <v>0</v>
      </c>
      <c r="DD36" s="516">
        <f>SUMIFS(Imput[[Importe Neto]:[Importe Neto]],Imput[[C. Imp.]:[C. Imp.]],$D36,Imput[[PERIODO Imp.]:[PERIODO Imp.]],DD$9)</f>
        <v>0</v>
      </c>
      <c r="DE36" s="516">
        <f>SUMIFS(Imput[[Importe Neto]:[Importe Neto]],Imput[[C. Imp.]:[C. Imp.]],$D36,Imput[[PERIODO Imp.]:[PERIODO Imp.]],DE$9)</f>
        <v>0</v>
      </c>
      <c r="DF36" s="516">
        <f>SUMIFS(Imput[[Importe Neto]:[Importe Neto]],Imput[[C. Imp.]:[C. Imp.]],$D36,Imput[[PERIODO Imp.]:[PERIODO Imp.]],DF$9)</f>
        <v>0</v>
      </c>
      <c r="DG36" s="516">
        <f>SUMIFS(Imput[[Importe Neto]:[Importe Neto]],Imput[[C. Imp.]:[C. Imp.]],$D36,Imput[[PERIODO Imp.]:[PERIODO Imp.]],DG$9)</f>
        <v>0</v>
      </c>
      <c r="DH36" s="616">
        <f>SUMIFS(Imput[[Importe Neto]:[Importe Neto]],Imput[[C. Imp.]:[C. Imp.]],$D36,Imput[[PERIODO Imp.]:[PERIODO Imp.]],DH$9)</f>
        <v>0</v>
      </c>
    </row>
    <row r="37" spans="1:112" hidden="1" outlineLevel="1" x14ac:dyDescent="0.3">
      <c r="A37" s="66" t="str">
        <f t="shared" si="15"/>
        <v/>
      </c>
      <c r="C37" s="527"/>
      <c r="D37" s="528" t="s">
        <v>2146</v>
      </c>
      <c r="E37" s="528"/>
      <c r="F37" s="534"/>
      <c r="G37" s="529"/>
      <c r="H37" s="531"/>
      <c r="I37" s="849" t="str">
        <f t="shared" si="16"/>
        <v/>
      </c>
      <c r="J37" s="850" t="str">
        <f t="shared" si="17"/>
        <v/>
      </c>
      <c r="K37" s="70"/>
      <c r="L37" s="853"/>
      <c r="M37" s="855"/>
      <c r="N37" s="855"/>
      <c r="O37" s="855"/>
      <c r="P37" s="855"/>
      <c r="Q37" s="855"/>
      <c r="R37" s="855"/>
      <c r="S37" s="855"/>
      <c r="T37" s="855"/>
      <c r="U37" s="855"/>
      <c r="V37" s="855"/>
      <c r="W37" s="855"/>
      <c r="X37" s="855"/>
      <c r="Y37" s="855"/>
      <c r="Z37" s="856"/>
      <c r="AA37" s="856"/>
      <c r="AB37" s="856"/>
      <c r="AC37" s="856"/>
      <c r="AD37" s="856"/>
      <c r="AE37" s="856"/>
      <c r="AF37" s="856"/>
      <c r="AG37" s="856"/>
      <c r="AH37" s="856"/>
      <c r="AI37" s="856"/>
      <c r="AJ37" s="856"/>
      <c r="AK37" s="856"/>
      <c r="AL37" s="856"/>
      <c r="AM37" s="856"/>
      <c r="AN37" s="856"/>
      <c r="AO37" s="856"/>
      <c r="AP37" s="856"/>
      <c r="AQ37" s="856"/>
      <c r="AR37" s="856"/>
      <c r="AS37" s="856"/>
      <c r="AT37" s="856"/>
      <c r="AU37" s="856"/>
      <c r="AV37" s="856"/>
      <c r="AW37" s="856"/>
      <c r="AX37" s="856"/>
      <c r="AY37" s="856"/>
      <c r="AZ37" s="856"/>
      <c r="BA37" s="856"/>
      <c r="BB37" s="856"/>
      <c r="BC37" s="856"/>
      <c r="BD37" s="856"/>
      <c r="BE37" s="856"/>
      <c r="BF37" s="856"/>
      <c r="BG37" s="857"/>
      <c r="BH37" s="773"/>
      <c r="BI37" s="68"/>
      <c r="BJ37" s="518">
        <f t="shared" si="18"/>
        <v>0</v>
      </c>
      <c r="BK37" s="517">
        <f t="shared" si="19"/>
        <v>0</v>
      </c>
      <c r="BL37" s="68"/>
      <c r="BM37" s="515">
        <f>SUMIFS(Imput[[Importe Neto]:[Importe Neto]],Imput[[C. Imp.]:[C. Imp.]],$D37,Imput[[PERIODO Imp.]:[PERIODO Imp.]],BM$9)</f>
        <v>0</v>
      </c>
      <c r="BN37" s="516">
        <f>SUMIFS(Imput[[Importe Neto]:[Importe Neto]],Imput[[C. Imp.]:[C. Imp.]],$D37,Imput[[PERIODO Imp.]:[PERIODO Imp.]],BN$9)</f>
        <v>0</v>
      </c>
      <c r="BO37" s="516">
        <f>SUMIFS(Imput[[Importe Neto]:[Importe Neto]],Imput[[C. Imp.]:[C. Imp.]],$D37,Imput[[PERIODO Imp.]:[PERIODO Imp.]],BO$9)</f>
        <v>0</v>
      </c>
      <c r="BP37" s="516">
        <f>SUMIFS(Imput[[Importe Neto]:[Importe Neto]],Imput[[C. Imp.]:[C. Imp.]],$D37,Imput[[PERIODO Imp.]:[PERIODO Imp.]],BP$9)</f>
        <v>0</v>
      </c>
      <c r="BQ37" s="516">
        <f>SUMIFS(Imput[[Importe Neto]:[Importe Neto]],Imput[[C. Imp.]:[C. Imp.]],$D37,Imput[[PERIODO Imp.]:[PERIODO Imp.]],BQ$9)</f>
        <v>0</v>
      </c>
      <c r="BR37" s="516">
        <f>SUMIFS(Imput[[Importe Neto]:[Importe Neto]],Imput[[C. Imp.]:[C. Imp.]],$D37,Imput[[PERIODO Imp.]:[PERIODO Imp.]],BR$9)</f>
        <v>0</v>
      </c>
      <c r="BS37" s="516">
        <f>SUMIFS(Imput[[Importe Neto]:[Importe Neto]],Imput[[C. Imp.]:[C. Imp.]],$D37,Imput[[PERIODO Imp.]:[PERIODO Imp.]],BS$9)</f>
        <v>0</v>
      </c>
      <c r="BT37" s="516">
        <f>SUMIFS(Imput[[Importe Neto]:[Importe Neto]],Imput[[C. Imp.]:[C. Imp.]],$D37,Imput[[PERIODO Imp.]:[PERIODO Imp.]],BT$9)</f>
        <v>0</v>
      </c>
      <c r="BU37" s="516">
        <f>SUMIFS(Imput[[Importe Neto]:[Importe Neto]],Imput[[C. Imp.]:[C. Imp.]],$D37,Imput[[PERIODO Imp.]:[PERIODO Imp.]],BU$9)</f>
        <v>0</v>
      </c>
      <c r="BV37" s="516">
        <f>SUMIFS(Imput[[Importe Neto]:[Importe Neto]],Imput[[C. Imp.]:[C. Imp.]],$D37,Imput[[PERIODO Imp.]:[PERIODO Imp.]],BV$9)</f>
        <v>0</v>
      </c>
      <c r="BW37" s="516">
        <f>SUMIFS(Imput[[Importe Neto]:[Importe Neto]],Imput[[C. Imp.]:[C. Imp.]],$D37,Imput[[PERIODO Imp.]:[PERIODO Imp.]],BW$9)</f>
        <v>0</v>
      </c>
      <c r="BX37" s="516">
        <f>SUMIFS(Imput[[Importe Neto]:[Importe Neto]],Imput[[C. Imp.]:[C. Imp.]],$D37,Imput[[PERIODO Imp.]:[PERIODO Imp.]],BX$9)</f>
        <v>0</v>
      </c>
      <c r="BY37" s="516">
        <f>SUMIFS(Imput[[Importe Neto]:[Importe Neto]],Imput[[C. Imp.]:[C. Imp.]],$D37,Imput[[PERIODO Imp.]:[PERIODO Imp.]],BY$9)</f>
        <v>0</v>
      </c>
      <c r="BZ37" s="516">
        <f>SUMIFS(Imput[[Importe Neto]:[Importe Neto]],Imput[[C. Imp.]:[C. Imp.]],$D37,Imput[[PERIODO Imp.]:[PERIODO Imp.]],BZ$9)</f>
        <v>0</v>
      </c>
      <c r="CA37" s="516">
        <f>SUMIFS(Imput[[Importe Neto]:[Importe Neto]],Imput[[C. Imp.]:[C. Imp.]],$D37,Imput[[PERIODO Imp.]:[PERIODO Imp.]],CA$9)</f>
        <v>0</v>
      </c>
      <c r="CB37" s="516">
        <f>SUMIFS(Imput[[Importe Neto]:[Importe Neto]],Imput[[C. Imp.]:[C. Imp.]],$D37,Imput[[PERIODO Imp.]:[PERIODO Imp.]],CB$9)</f>
        <v>0</v>
      </c>
      <c r="CC37" s="516">
        <f>SUMIFS(Imput[[Importe Neto]:[Importe Neto]],Imput[[C. Imp.]:[C. Imp.]],$D37,Imput[[PERIODO Imp.]:[PERIODO Imp.]],CC$9)</f>
        <v>0</v>
      </c>
      <c r="CD37" s="516">
        <f>SUMIFS(Imput[[Importe Neto]:[Importe Neto]],Imput[[C. Imp.]:[C. Imp.]],$D37,Imput[[PERIODO Imp.]:[PERIODO Imp.]],CD$9)</f>
        <v>0</v>
      </c>
      <c r="CE37" s="516">
        <f>SUMIFS(Imput[[Importe Neto]:[Importe Neto]],Imput[[C. Imp.]:[C. Imp.]],$D37,Imput[[PERIODO Imp.]:[PERIODO Imp.]],CE$9)</f>
        <v>0</v>
      </c>
      <c r="CF37" s="516">
        <f>SUMIFS(Imput[[Importe Neto]:[Importe Neto]],Imput[[C. Imp.]:[C. Imp.]],$D37,Imput[[PERIODO Imp.]:[PERIODO Imp.]],CF$9)</f>
        <v>0</v>
      </c>
      <c r="CG37" s="516">
        <f>SUMIFS(Imput[[Importe Neto]:[Importe Neto]],Imput[[C. Imp.]:[C. Imp.]],$D37,Imput[[PERIODO Imp.]:[PERIODO Imp.]],CG$9)</f>
        <v>0</v>
      </c>
      <c r="CH37" s="516">
        <f>SUMIFS(Imput[[Importe Neto]:[Importe Neto]],Imput[[C. Imp.]:[C. Imp.]],$D37,Imput[[PERIODO Imp.]:[PERIODO Imp.]],CH$9)</f>
        <v>0</v>
      </c>
      <c r="CI37" s="516">
        <f>SUMIFS(Imput[[Importe Neto]:[Importe Neto]],Imput[[C. Imp.]:[C. Imp.]],$D37,Imput[[PERIODO Imp.]:[PERIODO Imp.]],CI$9)</f>
        <v>0</v>
      </c>
      <c r="CJ37" s="516">
        <f>SUMIFS(Imput[[Importe Neto]:[Importe Neto]],Imput[[C. Imp.]:[C. Imp.]],$D37,Imput[[PERIODO Imp.]:[PERIODO Imp.]],CJ$9)</f>
        <v>0</v>
      </c>
      <c r="CK37" s="516">
        <f>SUMIFS(Imput[[Importe Neto]:[Importe Neto]],Imput[[C. Imp.]:[C. Imp.]],$D37,Imput[[PERIODO Imp.]:[PERIODO Imp.]],CK$9)</f>
        <v>0</v>
      </c>
      <c r="CL37" s="516">
        <f>SUMIFS(Imput[[Importe Neto]:[Importe Neto]],Imput[[C. Imp.]:[C. Imp.]],$D37,Imput[[PERIODO Imp.]:[PERIODO Imp.]],CL$9)</f>
        <v>0</v>
      </c>
      <c r="CM37" s="516">
        <f>SUMIFS(Imput[[Importe Neto]:[Importe Neto]],Imput[[C. Imp.]:[C. Imp.]],$D37,Imput[[PERIODO Imp.]:[PERIODO Imp.]],CM$9)</f>
        <v>0</v>
      </c>
      <c r="CN37" s="516">
        <f>SUMIFS(Imput[[Importe Neto]:[Importe Neto]],Imput[[C. Imp.]:[C. Imp.]],$D37,Imput[[PERIODO Imp.]:[PERIODO Imp.]],CN$9)</f>
        <v>0</v>
      </c>
      <c r="CO37" s="516">
        <f>SUMIFS(Imput[[Importe Neto]:[Importe Neto]],Imput[[C. Imp.]:[C. Imp.]],$D37,Imput[[PERIODO Imp.]:[PERIODO Imp.]],CO$9)</f>
        <v>0</v>
      </c>
      <c r="CP37" s="516">
        <f>SUMIFS(Imput[[Importe Neto]:[Importe Neto]],Imput[[C. Imp.]:[C. Imp.]],$D37,Imput[[PERIODO Imp.]:[PERIODO Imp.]],CP$9)</f>
        <v>0</v>
      </c>
      <c r="CQ37" s="516">
        <f>SUMIFS(Imput[[Importe Neto]:[Importe Neto]],Imput[[C. Imp.]:[C. Imp.]],$D37,Imput[[PERIODO Imp.]:[PERIODO Imp.]],CQ$9)</f>
        <v>0</v>
      </c>
      <c r="CR37" s="516">
        <f>SUMIFS(Imput[[Importe Neto]:[Importe Neto]],Imput[[C. Imp.]:[C. Imp.]],$D37,Imput[[PERIODO Imp.]:[PERIODO Imp.]],CR$9)</f>
        <v>0</v>
      </c>
      <c r="CS37" s="516">
        <f>SUMIFS(Imput[[Importe Neto]:[Importe Neto]],Imput[[C. Imp.]:[C. Imp.]],$D37,Imput[[PERIODO Imp.]:[PERIODO Imp.]],CS$9)</f>
        <v>0</v>
      </c>
      <c r="CT37" s="516">
        <f>SUMIFS(Imput[[Importe Neto]:[Importe Neto]],Imput[[C. Imp.]:[C. Imp.]],$D37,Imput[[PERIODO Imp.]:[PERIODO Imp.]],CT$9)</f>
        <v>0</v>
      </c>
      <c r="CU37" s="516">
        <f>SUMIFS(Imput[[Importe Neto]:[Importe Neto]],Imput[[C. Imp.]:[C. Imp.]],$D37,Imput[[PERIODO Imp.]:[PERIODO Imp.]],CU$9)</f>
        <v>0</v>
      </c>
      <c r="CV37" s="516">
        <f>SUMIFS(Imput[[Importe Neto]:[Importe Neto]],Imput[[C. Imp.]:[C. Imp.]],$D37,Imput[[PERIODO Imp.]:[PERIODO Imp.]],CV$9)</f>
        <v>0</v>
      </c>
      <c r="CW37" s="516">
        <f>SUMIFS(Imput[[Importe Neto]:[Importe Neto]],Imput[[C. Imp.]:[C. Imp.]],$D37,Imput[[PERIODO Imp.]:[PERIODO Imp.]],CW$9)</f>
        <v>0</v>
      </c>
      <c r="CX37" s="516">
        <f>SUMIFS(Imput[[Importe Neto]:[Importe Neto]],Imput[[C. Imp.]:[C. Imp.]],$D37,Imput[[PERIODO Imp.]:[PERIODO Imp.]],CX$9)</f>
        <v>0</v>
      </c>
      <c r="CY37" s="516">
        <f>SUMIFS(Imput[[Importe Neto]:[Importe Neto]],Imput[[C. Imp.]:[C. Imp.]],$D37,Imput[[PERIODO Imp.]:[PERIODO Imp.]],CY$9)</f>
        <v>0</v>
      </c>
      <c r="CZ37" s="516">
        <f>SUMIFS(Imput[[Importe Neto]:[Importe Neto]],Imput[[C. Imp.]:[C. Imp.]],$D37,Imput[[PERIODO Imp.]:[PERIODO Imp.]],CZ$9)</f>
        <v>0</v>
      </c>
      <c r="DA37" s="516">
        <f>SUMIFS(Imput[[Importe Neto]:[Importe Neto]],Imput[[C. Imp.]:[C. Imp.]],$D37,Imput[[PERIODO Imp.]:[PERIODO Imp.]],DA$9)</f>
        <v>0</v>
      </c>
      <c r="DB37" s="516">
        <f>SUMIFS(Imput[[Importe Neto]:[Importe Neto]],Imput[[C. Imp.]:[C. Imp.]],$D37,Imput[[PERIODO Imp.]:[PERIODO Imp.]],DB$9)</f>
        <v>0</v>
      </c>
      <c r="DC37" s="516">
        <f>SUMIFS(Imput[[Importe Neto]:[Importe Neto]],Imput[[C. Imp.]:[C. Imp.]],$D37,Imput[[PERIODO Imp.]:[PERIODO Imp.]],DC$9)</f>
        <v>0</v>
      </c>
      <c r="DD37" s="516">
        <f>SUMIFS(Imput[[Importe Neto]:[Importe Neto]],Imput[[C. Imp.]:[C. Imp.]],$D37,Imput[[PERIODO Imp.]:[PERIODO Imp.]],DD$9)</f>
        <v>0</v>
      </c>
      <c r="DE37" s="516">
        <f>SUMIFS(Imput[[Importe Neto]:[Importe Neto]],Imput[[C. Imp.]:[C. Imp.]],$D37,Imput[[PERIODO Imp.]:[PERIODO Imp.]],DE$9)</f>
        <v>0</v>
      </c>
      <c r="DF37" s="516">
        <f>SUMIFS(Imput[[Importe Neto]:[Importe Neto]],Imput[[C. Imp.]:[C. Imp.]],$D37,Imput[[PERIODO Imp.]:[PERIODO Imp.]],DF$9)</f>
        <v>0</v>
      </c>
      <c r="DG37" s="516">
        <f>SUMIFS(Imput[[Importe Neto]:[Importe Neto]],Imput[[C. Imp.]:[C. Imp.]],$D37,Imput[[PERIODO Imp.]:[PERIODO Imp.]],DG$9)</f>
        <v>0</v>
      </c>
      <c r="DH37" s="616">
        <f>SUMIFS(Imput[[Importe Neto]:[Importe Neto]],Imput[[C. Imp.]:[C. Imp.]],$D37,Imput[[PERIODO Imp.]:[PERIODO Imp.]],DH$9)</f>
        <v>0</v>
      </c>
    </row>
    <row r="38" spans="1:112" hidden="1" outlineLevel="1" x14ac:dyDescent="0.3">
      <c r="A38" s="66" t="str">
        <f t="shared" si="15"/>
        <v/>
      </c>
      <c r="C38" s="527"/>
      <c r="D38" s="528" t="s">
        <v>2147</v>
      </c>
      <c r="E38" s="528"/>
      <c r="F38" s="534"/>
      <c r="G38" s="529"/>
      <c r="H38" s="531"/>
      <c r="I38" s="849" t="str">
        <f t="shared" si="16"/>
        <v/>
      </c>
      <c r="J38" s="850" t="str">
        <f t="shared" si="17"/>
        <v/>
      </c>
      <c r="K38" s="111"/>
      <c r="L38" s="853"/>
      <c r="M38" s="855"/>
      <c r="N38" s="855"/>
      <c r="O38" s="855"/>
      <c r="P38" s="855"/>
      <c r="Q38" s="855"/>
      <c r="R38" s="855"/>
      <c r="S38" s="855"/>
      <c r="T38" s="855"/>
      <c r="U38" s="855"/>
      <c r="V38" s="855"/>
      <c r="W38" s="855"/>
      <c r="X38" s="855"/>
      <c r="Y38" s="855"/>
      <c r="Z38" s="856"/>
      <c r="AA38" s="856"/>
      <c r="AB38" s="856"/>
      <c r="AC38" s="856"/>
      <c r="AD38" s="856"/>
      <c r="AE38" s="856"/>
      <c r="AF38" s="856"/>
      <c r="AG38" s="856"/>
      <c r="AH38" s="856"/>
      <c r="AI38" s="856"/>
      <c r="AJ38" s="856"/>
      <c r="AK38" s="856"/>
      <c r="AL38" s="856"/>
      <c r="AM38" s="856"/>
      <c r="AN38" s="856"/>
      <c r="AO38" s="856"/>
      <c r="AP38" s="856"/>
      <c r="AQ38" s="856"/>
      <c r="AR38" s="856"/>
      <c r="AS38" s="856"/>
      <c r="AT38" s="856"/>
      <c r="AU38" s="856"/>
      <c r="AV38" s="856"/>
      <c r="AW38" s="856"/>
      <c r="AX38" s="856"/>
      <c r="AY38" s="856"/>
      <c r="AZ38" s="856"/>
      <c r="BA38" s="856"/>
      <c r="BB38" s="856"/>
      <c r="BC38" s="856"/>
      <c r="BD38" s="856"/>
      <c r="BE38" s="856"/>
      <c r="BF38" s="856"/>
      <c r="BG38" s="857"/>
      <c r="BH38" s="590"/>
      <c r="BI38" s="68"/>
      <c r="BJ38" s="518">
        <f t="shared" si="18"/>
        <v>0</v>
      </c>
      <c r="BK38" s="517">
        <f t="shared" si="19"/>
        <v>0</v>
      </c>
      <c r="BL38" s="68"/>
      <c r="BM38" s="515">
        <f>SUMIFS(Imput[[Importe Neto]:[Importe Neto]],Imput[[C. Imp.]:[C. Imp.]],$D38,Imput[[PERIODO Imp.]:[PERIODO Imp.]],BM$9)</f>
        <v>0</v>
      </c>
      <c r="BN38" s="516">
        <f>SUMIFS(Imput[[Importe Neto]:[Importe Neto]],Imput[[C. Imp.]:[C. Imp.]],$D38,Imput[[PERIODO Imp.]:[PERIODO Imp.]],BN$9)</f>
        <v>0</v>
      </c>
      <c r="BO38" s="516">
        <f>SUMIFS(Imput[[Importe Neto]:[Importe Neto]],Imput[[C. Imp.]:[C. Imp.]],$D38,Imput[[PERIODO Imp.]:[PERIODO Imp.]],BO$9)</f>
        <v>0</v>
      </c>
      <c r="BP38" s="516">
        <f>SUMIFS(Imput[[Importe Neto]:[Importe Neto]],Imput[[C. Imp.]:[C. Imp.]],$D38,Imput[[PERIODO Imp.]:[PERIODO Imp.]],BP$9)</f>
        <v>0</v>
      </c>
      <c r="BQ38" s="516">
        <f>SUMIFS(Imput[[Importe Neto]:[Importe Neto]],Imput[[C. Imp.]:[C. Imp.]],$D38,Imput[[PERIODO Imp.]:[PERIODO Imp.]],BQ$9)</f>
        <v>0</v>
      </c>
      <c r="BR38" s="516">
        <f>SUMIFS(Imput[[Importe Neto]:[Importe Neto]],Imput[[C. Imp.]:[C. Imp.]],$D38,Imput[[PERIODO Imp.]:[PERIODO Imp.]],BR$9)</f>
        <v>0</v>
      </c>
      <c r="BS38" s="516">
        <f>SUMIFS(Imput[[Importe Neto]:[Importe Neto]],Imput[[C. Imp.]:[C. Imp.]],$D38,Imput[[PERIODO Imp.]:[PERIODO Imp.]],BS$9)</f>
        <v>0</v>
      </c>
      <c r="BT38" s="516">
        <f>SUMIFS(Imput[[Importe Neto]:[Importe Neto]],Imput[[C. Imp.]:[C. Imp.]],$D38,Imput[[PERIODO Imp.]:[PERIODO Imp.]],BT$9)</f>
        <v>0</v>
      </c>
      <c r="BU38" s="516">
        <f>SUMIFS(Imput[[Importe Neto]:[Importe Neto]],Imput[[C. Imp.]:[C. Imp.]],$D38,Imput[[PERIODO Imp.]:[PERIODO Imp.]],BU$9)</f>
        <v>0</v>
      </c>
      <c r="BV38" s="516">
        <f>SUMIFS(Imput[[Importe Neto]:[Importe Neto]],Imput[[C. Imp.]:[C. Imp.]],$D38,Imput[[PERIODO Imp.]:[PERIODO Imp.]],BV$9)</f>
        <v>0</v>
      </c>
      <c r="BW38" s="516">
        <f>SUMIFS(Imput[[Importe Neto]:[Importe Neto]],Imput[[C. Imp.]:[C. Imp.]],$D38,Imput[[PERIODO Imp.]:[PERIODO Imp.]],BW$9)</f>
        <v>0</v>
      </c>
      <c r="BX38" s="516">
        <f>SUMIFS(Imput[[Importe Neto]:[Importe Neto]],Imput[[C. Imp.]:[C. Imp.]],$D38,Imput[[PERIODO Imp.]:[PERIODO Imp.]],BX$9)</f>
        <v>0</v>
      </c>
      <c r="BY38" s="516">
        <f>SUMIFS(Imput[[Importe Neto]:[Importe Neto]],Imput[[C. Imp.]:[C. Imp.]],$D38,Imput[[PERIODO Imp.]:[PERIODO Imp.]],BY$9)</f>
        <v>0</v>
      </c>
      <c r="BZ38" s="516">
        <f>SUMIFS(Imput[[Importe Neto]:[Importe Neto]],Imput[[C. Imp.]:[C. Imp.]],$D38,Imput[[PERIODO Imp.]:[PERIODO Imp.]],BZ$9)</f>
        <v>0</v>
      </c>
      <c r="CA38" s="516">
        <f>SUMIFS(Imput[[Importe Neto]:[Importe Neto]],Imput[[C. Imp.]:[C. Imp.]],$D38,Imput[[PERIODO Imp.]:[PERIODO Imp.]],CA$9)</f>
        <v>0</v>
      </c>
      <c r="CB38" s="516">
        <f>SUMIFS(Imput[[Importe Neto]:[Importe Neto]],Imput[[C. Imp.]:[C. Imp.]],$D38,Imput[[PERIODO Imp.]:[PERIODO Imp.]],CB$9)</f>
        <v>0</v>
      </c>
      <c r="CC38" s="516">
        <f>SUMIFS(Imput[[Importe Neto]:[Importe Neto]],Imput[[C. Imp.]:[C. Imp.]],$D38,Imput[[PERIODO Imp.]:[PERIODO Imp.]],CC$9)</f>
        <v>0</v>
      </c>
      <c r="CD38" s="516">
        <f>SUMIFS(Imput[[Importe Neto]:[Importe Neto]],Imput[[C. Imp.]:[C. Imp.]],$D38,Imput[[PERIODO Imp.]:[PERIODO Imp.]],CD$9)</f>
        <v>0</v>
      </c>
      <c r="CE38" s="516">
        <f>SUMIFS(Imput[[Importe Neto]:[Importe Neto]],Imput[[C. Imp.]:[C. Imp.]],$D38,Imput[[PERIODO Imp.]:[PERIODO Imp.]],CE$9)</f>
        <v>0</v>
      </c>
      <c r="CF38" s="516">
        <f>SUMIFS(Imput[[Importe Neto]:[Importe Neto]],Imput[[C. Imp.]:[C. Imp.]],$D38,Imput[[PERIODO Imp.]:[PERIODO Imp.]],CF$9)</f>
        <v>0</v>
      </c>
      <c r="CG38" s="516">
        <f>SUMIFS(Imput[[Importe Neto]:[Importe Neto]],Imput[[C. Imp.]:[C. Imp.]],$D38,Imput[[PERIODO Imp.]:[PERIODO Imp.]],CG$9)</f>
        <v>0</v>
      </c>
      <c r="CH38" s="516">
        <f>SUMIFS(Imput[[Importe Neto]:[Importe Neto]],Imput[[C. Imp.]:[C. Imp.]],$D38,Imput[[PERIODO Imp.]:[PERIODO Imp.]],CH$9)</f>
        <v>0</v>
      </c>
      <c r="CI38" s="516">
        <f>SUMIFS(Imput[[Importe Neto]:[Importe Neto]],Imput[[C. Imp.]:[C. Imp.]],$D38,Imput[[PERIODO Imp.]:[PERIODO Imp.]],CI$9)</f>
        <v>0</v>
      </c>
      <c r="CJ38" s="516">
        <f>SUMIFS(Imput[[Importe Neto]:[Importe Neto]],Imput[[C. Imp.]:[C. Imp.]],$D38,Imput[[PERIODO Imp.]:[PERIODO Imp.]],CJ$9)</f>
        <v>0</v>
      </c>
      <c r="CK38" s="516">
        <f>SUMIFS(Imput[[Importe Neto]:[Importe Neto]],Imput[[C. Imp.]:[C. Imp.]],$D38,Imput[[PERIODO Imp.]:[PERIODO Imp.]],CK$9)</f>
        <v>0</v>
      </c>
      <c r="CL38" s="516">
        <f>SUMIFS(Imput[[Importe Neto]:[Importe Neto]],Imput[[C. Imp.]:[C. Imp.]],$D38,Imput[[PERIODO Imp.]:[PERIODO Imp.]],CL$9)</f>
        <v>0</v>
      </c>
      <c r="CM38" s="516">
        <f>SUMIFS(Imput[[Importe Neto]:[Importe Neto]],Imput[[C. Imp.]:[C. Imp.]],$D38,Imput[[PERIODO Imp.]:[PERIODO Imp.]],CM$9)</f>
        <v>0</v>
      </c>
      <c r="CN38" s="516">
        <f>SUMIFS(Imput[[Importe Neto]:[Importe Neto]],Imput[[C. Imp.]:[C. Imp.]],$D38,Imput[[PERIODO Imp.]:[PERIODO Imp.]],CN$9)</f>
        <v>0</v>
      </c>
      <c r="CO38" s="516">
        <f>SUMIFS(Imput[[Importe Neto]:[Importe Neto]],Imput[[C. Imp.]:[C. Imp.]],$D38,Imput[[PERIODO Imp.]:[PERIODO Imp.]],CO$9)</f>
        <v>0</v>
      </c>
      <c r="CP38" s="516">
        <f>SUMIFS(Imput[[Importe Neto]:[Importe Neto]],Imput[[C. Imp.]:[C. Imp.]],$D38,Imput[[PERIODO Imp.]:[PERIODO Imp.]],CP$9)</f>
        <v>0</v>
      </c>
      <c r="CQ38" s="516">
        <f>SUMIFS(Imput[[Importe Neto]:[Importe Neto]],Imput[[C. Imp.]:[C. Imp.]],$D38,Imput[[PERIODO Imp.]:[PERIODO Imp.]],CQ$9)</f>
        <v>0</v>
      </c>
      <c r="CR38" s="516">
        <f>SUMIFS(Imput[[Importe Neto]:[Importe Neto]],Imput[[C. Imp.]:[C. Imp.]],$D38,Imput[[PERIODO Imp.]:[PERIODO Imp.]],CR$9)</f>
        <v>0</v>
      </c>
      <c r="CS38" s="516">
        <f>SUMIFS(Imput[[Importe Neto]:[Importe Neto]],Imput[[C. Imp.]:[C. Imp.]],$D38,Imput[[PERIODO Imp.]:[PERIODO Imp.]],CS$9)</f>
        <v>0</v>
      </c>
      <c r="CT38" s="516">
        <f>SUMIFS(Imput[[Importe Neto]:[Importe Neto]],Imput[[C. Imp.]:[C. Imp.]],$D38,Imput[[PERIODO Imp.]:[PERIODO Imp.]],CT$9)</f>
        <v>0</v>
      </c>
      <c r="CU38" s="516">
        <f>SUMIFS(Imput[[Importe Neto]:[Importe Neto]],Imput[[C. Imp.]:[C. Imp.]],$D38,Imput[[PERIODO Imp.]:[PERIODO Imp.]],CU$9)</f>
        <v>0</v>
      </c>
      <c r="CV38" s="516">
        <f>SUMIFS(Imput[[Importe Neto]:[Importe Neto]],Imput[[C. Imp.]:[C. Imp.]],$D38,Imput[[PERIODO Imp.]:[PERIODO Imp.]],CV$9)</f>
        <v>0</v>
      </c>
      <c r="CW38" s="516">
        <f>SUMIFS(Imput[[Importe Neto]:[Importe Neto]],Imput[[C. Imp.]:[C. Imp.]],$D38,Imput[[PERIODO Imp.]:[PERIODO Imp.]],CW$9)</f>
        <v>0</v>
      </c>
      <c r="CX38" s="516">
        <f>SUMIFS(Imput[[Importe Neto]:[Importe Neto]],Imput[[C. Imp.]:[C. Imp.]],$D38,Imput[[PERIODO Imp.]:[PERIODO Imp.]],CX$9)</f>
        <v>0</v>
      </c>
      <c r="CY38" s="516">
        <f>SUMIFS(Imput[[Importe Neto]:[Importe Neto]],Imput[[C. Imp.]:[C. Imp.]],$D38,Imput[[PERIODO Imp.]:[PERIODO Imp.]],CY$9)</f>
        <v>0</v>
      </c>
      <c r="CZ38" s="516">
        <f>SUMIFS(Imput[[Importe Neto]:[Importe Neto]],Imput[[C. Imp.]:[C. Imp.]],$D38,Imput[[PERIODO Imp.]:[PERIODO Imp.]],CZ$9)</f>
        <v>0</v>
      </c>
      <c r="DA38" s="516">
        <f>SUMIFS(Imput[[Importe Neto]:[Importe Neto]],Imput[[C. Imp.]:[C. Imp.]],$D38,Imput[[PERIODO Imp.]:[PERIODO Imp.]],DA$9)</f>
        <v>0</v>
      </c>
      <c r="DB38" s="516">
        <f>SUMIFS(Imput[[Importe Neto]:[Importe Neto]],Imput[[C. Imp.]:[C. Imp.]],$D38,Imput[[PERIODO Imp.]:[PERIODO Imp.]],DB$9)</f>
        <v>0</v>
      </c>
      <c r="DC38" s="516">
        <f>SUMIFS(Imput[[Importe Neto]:[Importe Neto]],Imput[[C. Imp.]:[C. Imp.]],$D38,Imput[[PERIODO Imp.]:[PERIODO Imp.]],DC$9)</f>
        <v>0</v>
      </c>
      <c r="DD38" s="516">
        <f>SUMIFS(Imput[[Importe Neto]:[Importe Neto]],Imput[[C. Imp.]:[C. Imp.]],$D38,Imput[[PERIODO Imp.]:[PERIODO Imp.]],DD$9)</f>
        <v>0</v>
      </c>
      <c r="DE38" s="516">
        <f>SUMIFS(Imput[[Importe Neto]:[Importe Neto]],Imput[[C. Imp.]:[C. Imp.]],$D38,Imput[[PERIODO Imp.]:[PERIODO Imp.]],DE$9)</f>
        <v>0</v>
      </c>
      <c r="DF38" s="516">
        <f>SUMIFS(Imput[[Importe Neto]:[Importe Neto]],Imput[[C. Imp.]:[C. Imp.]],$D38,Imput[[PERIODO Imp.]:[PERIODO Imp.]],DF$9)</f>
        <v>0</v>
      </c>
      <c r="DG38" s="516">
        <f>SUMIFS(Imput[[Importe Neto]:[Importe Neto]],Imput[[C. Imp.]:[C. Imp.]],$D38,Imput[[PERIODO Imp.]:[PERIODO Imp.]],DG$9)</f>
        <v>0</v>
      </c>
      <c r="DH38" s="616">
        <f>SUMIFS(Imput[[Importe Neto]:[Importe Neto]],Imput[[C. Imp.]:[C. Imp.]],$D38,Imput[[PERIODO Imp.]:[PERIODO Imp.]],DH$9)</f>
        <v>0</v>
      </c>
    </row>
    <row r="39" spans="1:112" ht="12.6" hidden="1" customHeight="1" outlineLevel="1" x14ac:dyDescent="0.3">
      <c r="A39" s="66" t="str">
        <f t="shared" si="15"/>
        <v/>
      </c>
      <c r="C39" s="527"/>
      <c r="D39" s="528" t="s">
        <v>2148</v>
      </c>
      <c r="E39" s="528"/>
      <c r="F39" s="534"/>
      <c r="G39" s="529"/>
      <c r="H39" s="531"/>
      <c r="I39" s="849" t="str">
        <f t="shared" si="16"/>
        <v/>
      </c>
      <c r="J39" s="850" t="str">
        <f t="shared" si="17"/>
        <v/>
      </c>
      <c r="K39" s="70"/>
      <c r="L39" s="853"/>
      <c r="M39" s="855"/>
      <c r="N39" s="855"/>
      <c r="O39" s="855"/>
      <c r="P39" s="855"/>
      <c r="Q39" s="855"/>
      <c r="R39" s="855"/>
      <c r="S39" s="855"/>
      <c r="T39" s="855"/>
      <c r="U39" s="855"/>
      <c r="V39" s="855"/>
      <c r="W39" s="855"/>
      <c r="X39" s="855"/>
      <c r="Y39" s="855"/>
      <c r="Z39" s="856"/>
      <c r="AA39" s="856"/>
      <c r="AB39" s="856"/>
      <c r="AC39" s="856"/>
      <c r="AD39" s="856"/>
      <c r="AE39" s="856"/>
      <c r="AF39" s="856"/>
      <c r="AG39" s="856"/>
      <c r="AH39" s="856"/>
      <c r="AI39" s="856"/>
      <c r="AJ39" s="856"/>
      <c r="AK39" s="856"/>
      <c r="AL39" s="856"/>
      <c r="AM39" s="856"/>
      <c r="AN39" s="856"/>
      <c r="AO39" s="856"/>
      <c r="AP39" s="856"/>
      <c r="AQ39" s="856"/>
      <c r="AR39" s="856"/>
      <c r="AS39" s="856"/>
      <c r="AT39" s="856"/>
      <c r="AU39" s="856"/>
      <c r="AV39" s="856"/>
      <c r="AW39" s="856"/>
      <c r="AX39" s="856"/>
      <c r="AY39" s="856"/>
      <c r="AZ39" s="856"/>
      <c r="BA39" s="856"/>
      <c r="BB39" s="856"/>
      <c r="BC39" s="856"/>
      <c r="BD39" s="856"/>
      <c r="BE39" s="856"/>
      <c r="BF39" s="856"/>
      <c r="BG39" s="857"/>
      <c r="BH39" s="590"/>
      <c r="BI39" s="70"/>
      <c r="BJ39" s="518">
        <f t="shared" si="18"/>
        <v>0</v>
      </c>
      <c r="BK39" s="517">
        <f t="shared" si="19"/>
        <v>0</v>
      </c>
      <c r="BL39" s="68"/>
      <c r="BM39" s="515">
        <f>SUMIFS(Imput[[Importe Neto]:[Importe Neto]],Imput[[C. Imp.]:[C. Imp.]],$D39,Imput[[PERIODO Imp.]:[PERIODO Imp.]],BM$9)</f>
        <v>0</v>
      </c>
      <c r="BN39" s="516">
        <f>SUMIFS(Imput[[Importe Neto]:[Importe Neto]],Imput[[C. Imp.]:[C. Imp.]],$D39,Imput[[PERIODO Imp.]:[PERIODO Imp.]],BN$9)</f>
        <v>0</v>
      </c>
      <c r="BO39" s="516">
        <f>SUMIFS(Imput[[Importe Neto]:[Importe Neto]],Imput[[C. Imp.]:[C. Imp.]],$D39,Imput[[PERIODO Imp.]:[PERIODO Imp.]],BO$9)</f>
        <v>0</v>
      </c>
      <c r="BP39" s="516">
        <f>SUMIFS(Imput[[Importe Neto]:[Importe Neto]],Imput[[C. Imp.]:[C. Imp.]],$D39,Imput[[PERIODO Imp.]:[PERIODO Imp.]],BP$9)</f>
        <v>0</v>
      </c>
      <c r="BQ39" s="516">
        <f>SUMIFS(Imput[[Importe Neto]:[Importe Neto]],Imput[[C. Imp.]:[C. Imp.]],$D39,Imput[[PERIODO Imp.]:[PERIODO Imp.]],BQ$9)</f>
        <v>0</v>
      </c>
      <c r="BR39" s="516">
        <f>SUMIFS(Imput[[Importe Neto]:[Importe Neto]],Imput[[C. Imp.]:[C. Imp.]],$D39,Imput[[PERIODO Imp.]:[PERIODO Imp.]],BR$9)</f>
        <v>0</v>
      </c>
      <c r="BS39" s="516">
        <f>SUMIFS(Imput[[Importe Neto]:[Importe Neto]],Imput[[C. Imp.]:[C. Imp.]],$D39,Imput[[PERIODO Imp.]:[PERIODO Imp.]],BS$9)</f>
        <v>0</v>
      </c>
      <c r="BT39" s="516">
        <f>SUMIFS(Imput[[Importe Neto]:[Importe Neto]],Imput[[C. Imp.]:[C. Imp.]],$D39,Imput[[PERIODO Imp.]:[PERIODO Imp.]],BT$9)</f>
        <v>0</v>
      </c>
      <c r="BU39" s="516">
        <f>SUMIFS(Imput[[Importe Neto]:[Importe Neto]],Imput[[C. Imp.]:[C. Imp.]],$D39,Imput[[PERIODO Imp.]:[PERIODO Imp.]],BU$9)</f>
        <v>0</v>
      </c>
      <c r="BV39" s="516">
        <f>SUMIFS(Imput[[Importe Neto]:[Importe Neto]],Imput[[C. Imp.]:[C. Imp.]],$D39,Imput[[PERIODO Imp.]:[PERIODO Imp.]],BV$9)</f>
        <v>0</v>
      </c>
      <c r="BW39" s="516">
        <f>SUMIFS(Imput[[Importe Neto]:[Importe Neto]],Imput[[C. Imp.]:[C. Imp.]],$D39,Imput[[PERIODO Imp.]:[PERIODO Imp.]],BW$9)</f>
        <v>0</v>
      </c>
      <c r="BX39" s="516">
        <f>SUMIFS(Imput[[Importe Neto]:[Importe Neto]],Imput[[C. Imp.]:[C. Imp.]],$D39,Imput[[PERIODO Imp.]:[PERIODO Imp.]],BX$9)</f>
        <v>0</v>
      </c>
      <c r="BY39" s="516">
        <f>SUMIFS(Imput[[Importe Neto]:[Importe Neto]],Imput[[C. Imp.]:[C. Imp.]],$D39,Imput[[PERIODO Imp.]:[PERIODO Imp.]],BY$9)</f>
        <v>0</v>
      </c>
      <c r="BZ39" s="516">
        <f>SUMIFS(Imput[[Importe Neto]:[Importe Neto]],Imput[[C. Imp.]:[C. Imp.]],$D39,Imput[[PERIODO Imp.]:[PERIODO Imp.]],BZ$9)</f>
        <v>0</v>
      </c>
      <c r="CA39" s="516">
        <f>SUMIFS(Imput[[Importe Neto]:[Importe Neto]],Imput[[C. Imp.]:[C. Imp.]],$D39,Imput[[PERIODO Imp.]:[PERIODO Imp.]],CA$9)</f>
        <v>0</v>
      </c>
      <c r="CB39" s="516">
        <f>SUMIFS(Imput[[Importe Neto]:[Importe Neto]],Imput[[C. Imp.]:[C. Imp.]],$D39,Imput[[PERIODO Imp.]:[PERIODO Imp.]],CB$9)</f>
        <v>0</v>
      </c>
      <c r="CC39" s="516">
        <f>SUMIFS(Imput[[Importe Neto]:[Importe Neto]],Imput[[C. Imp.]:[C. Imp.]],$D39,Imput[[PERIODO Imp.]:[PERIODO Imp.]],CC$9)</f>
        <v>0</v>
      </c>
      <c r="CD39" s="516">
        <f>SUMIFS(Imput[[Importe Neto]:[Importe Neto]],Imput[[C. Imp.]:[C. Imp.]],$D39,Imput[[PERIODO Imp.]:[PERIODO Imp.]],CD$9)</f>
        <v>0</v>
      </c>
      <c r="CE39" s="516">
        <f>SUMIFS(Imput[[Importe Neto]:[Importe Neto]],Imput[[C. Imp.]:[C. Imp.]],$D39,Imput[[PERIODO Imp.]:[PERIODO Imp.]],CE$9)</f>
        <v>0</v>
      </c>
      <c r="CF39" s="516">
        <f>SUMIFS(Imput[[Importe Neto]:[Importe Neto]],Imput[[C. Imp.]:[C. Imp.]],$D39,Imput[[PERIODO Imp.]:[PERIODO Imp.]],CF$9)</f>
        <v>0</v>
      </c>
      <c r="CG39" s="516">
        <f>SUMIFS(Imput[[Importe Neto]:[Importe Neto]],Imput[[C. Imp.]:[C. Imp.]],$D39,Imput[[PERIODO Imp.]:[PERIODO Imp.]],CG$9)</f>
        <v>0</v>
      </c>
      <c r="CH39" s="516">
        <f>SUMIFS(Imput[[Importe Neto]:[Importe Neto]],Imput[[C. Imp.]:[C. Imp.]],$D39,Imput[[PERIODO Imp.]:[PERIODO Imp.]],CH$9)</f>
        <v>0</v>
      </c>
      <c r="CI39" s="516">
        <f>SUMIFS(Imput[[Importe Neto]:[Importe Neto]],Imput[[C. Imp.]:[C. Imp.]],$D39,Imput[[PERIODO Imp.]:[PERIODO Imp.]],CI$9)</f>
        <v>0</v>
      </c>
      <c r="CJ39" s="516">
        <f>SUMIFS(Imput[[Importe Neto]:[Importe Neto]],Imput[[C. Imp.]:[C. Imp.]],$D39,Imput[[PERIODO Imp.]:[PERIODO Imp.]],CJ$9)</f>
        <v>0</v>
      </c>
      <c r="CK39" s="516">
        <f>SUMIFS(Imput[[Importe Neto]:[Importe Neto]],Imput[[C. Imp.]:[C. Imp.]],$D39,Imput[[PERIODO Imp.]:[PERIODO Imp.]],CK$9)</f>
        <v>0</v>
      </c>
      <c r="CL39" s="516">
        <f>SUMIFS(Imput[[Importe Neto]:[Importe Neto]],Imput[[C. Imp.]:[C. Imp.]],$D39,Imput[[PERIODO Imp.]:[PERIODO Imp.]],CL$9)</f>
        <v>0</v>
      </c>
      <c r="CM39" s="516">
        <f>SUMIFS(Imput[[Importe Neto]:[Importe Neto]],Imput[[C. Imp.]:[C. Imp.]],$D39,Imput[[PERIODO Imp.]:[PERIODO Imp.]],CM$9)</f>
        <v>0</v>
      </c>
      <c r="CN39" s="516">
        <f>SUMIFS(Imput[[Importe Neto]:[Importe Neto]],Imput[[C. Imp.]:[C. Imp.]],$D39,Imput[[PERIODO Imp.]:[PERIODO Imp.]],CN$9)</f>
        <v>0</v>
      </c>
      <c r="CO39" s="516">
        <f>SUMIFS(Imput[[Importe Neto]:[Importe Neto]],Imput[[C. Imp.]:[C. Imp.]],$D39,Imput[[PERIODO Imp.]:[PERIODO Imp.]],CO$9)</f>
        <v>0</v>
      </c>
      <c r="CP39" s="516">
        <f>SUMIFS(Imput[[Importe Neto]:[Importe Neto]],Imput[[C. Imp.]:[C. Imp.]],$D39,Imput[[PERIODO Imp.]:[PERIODO Imp.]],CP$9)</f>
        <v>0</v>
      </c>
      <c r="CQ39" s="516">
        <f>SUMIFS(Imput[[Importe Neto]:[Importe Neto]],Imput[[C. Imp.]:[C. Imp.]],$D39,Imput[[PERIODO Imp.]:[PERIODO Imp.]],CQ$9)</f>
        <v>0</v>
      </c>
      <c r="CR39" s="516">
        <f>SUMIFS(Imput[[Importe Neto]:[Importe Neto]],Imput[[C. Imp.]:[C. Imp.]],$D39,Imput[[PERIODO Imp.]:[PERIODO Imp.]],CR$9)</f>
        <v>0</v>
      </c>
      <c r="CS39" s="516">
        <f>SUMIFS(Imput[[Importe Neto]:[Importe Neto]],Imput[[C. Imp.]:[C. Imp.]],$D39,Imput[[PERIODO Imp.]:[PERIODO Imp.]],CS$9)</f>
        <v>0</v>
      </c>
      <c r="CT39" s="516">
        <f>SUMIFS(Imput[[Importe Neto]:[Importe Neto]],Imput[[C. Imp.]:[C. Imp.]],$D39,Imput[[PERIODO Imp.]:[PERIODO Imp.]],CT$9)</f>
        <v>0</v>
      </c>
      <c r="CU39" s="516">
        <f>SUMIFS(Imput[[Importe Neto]:[Importe Neto]],Imput[[C. Imp.]:[C. Imp.]],$D39,Imput[[PERIODO Imp.]:[PERIODO Imp.]],CU$9)</f>
        <v>0</v>
      </c>
      <c r="CV39" s="516">
        <f>SUMIFS(Imput[[Importe Neto]:[Importe Neto]],Imput[[C. Imp.]:[C. Imp.]],$D39,Imput[[PERIODO Imp.]:[PERIODO Imp.]],CV$9)</f>
        <v>0</v>
      </c>
      <c r="CW39" s="516">
        <f>SUMIFS(Imput[[Importe Neto]:[Importe Neto]],Imput[[C. Imp.]:[C. Imp.]],$D39,Imput[[PERIODO Imp.]:[PERIODO Imp.]],CW$9)</f>
        <v>0</v>
      </c>
      <c r="CX39" s="516">
        <f>SUMIFS(Imput[[Importe Neto]:[Importe Neto]],Imput[[C. Imp.]:[C. Imp.]],$D39,Imput[[PERIODO Imp.]:[PERIODO Imp.]],CX$9)</f>
        <v>0</v>
      </c>
      <c r="CY39" s="516">
        <f>SUMIFS(Imput[[Importe Neto]:[Importe Neto]],Imput[[C. Imp.]:[C. Imp.]],$D39,Imput[[PERIODO Imp.]:[PERIODO Imp.]],CY$9)</f>
        <v>0</v>
      </c>
      <c r="CZ39" s="516">
        <f>SUMIFS(Imput[[Importe Neto]:[Importe Neto]],Imput[[C. Imp.]:[C. Imp.]],$D39,Imput[[PERIODO Imp.]:[PERIODO Imp.]],CZ$9)</f>
        <v>0</v>
      </c>
      <c r="DA39" s="516">
        <f>SUMIFS(Imput[[Importe Neto]:[Importe Neto]],Imput[[C. Imp.]:[C. Imp.]],$D39,Imput[[PERIODO Imp.]:[PERIODO Imp.]],DA$9)</f>
        <v>0</v>
      </c>
      <c r="DB39" s="516">
        <f>SUMIFS(Imput[[Importe Neto]:[Importe Neto]],Imput[[C. Imp.]:[C. Imp.]],$D39,Imput[[PERIODO Imp.]:[PERIODO Imp.]],DB$9)</f>
        <v>0</v>
      </c>
      <c r="DC39" s="516">
        <f>SUMIFS(Imput[[Importe Neto]:[Importe Neto]],Imput[[C. Imp.]:[C. Imp.]],$D39,Imput[[PERIODO Imp.]:[PERIODO Imp.]],DC$9)</f>
        <v>0</v>
      </c>
      <c r="DD39" s="516">
        <f>SUMIFS(Imput[[Importe Neto]:[Importe Neto]],Imput[[C. Imp.]:[C. Imp.]],$D39,Imput[[PERIODO Imp.]:[PERIODO Imp.]],DD$9)</f>
        <v>0</v>
      </c>
      <c r="DE39" s="516">
        <f>SUMIFS(Imput[[Importe Neto]:[Importe Neto]],Imput[[C. Imp.]:[C. Imp.]],$D39,Imput[[PERIODO Imp.]:[PERIODO Imp.]],DE$9)</f>
        <v>0</v>
      </c>
      <c r="DF39" s="516">
        <f>SUMIFS(Imput[[Importe Neto]:[Importe Neto]],Imput[[C. Imp.]:[C. Imp.]],$D39,Imput[[PERIODO Imp.]:[PERIODO Imp.]],DF$9)</f>
        <v>0</v>
      </c>
      <c r="DG39" s="516">
        <f>SUMIFS(Imput[[Importe Neto]:[Importe Neto]],Imput[[C. Imp.]:[C. Imp.]],$D39,Imput[[PERIODO Imp.]:[PERIODO Imp.]],DG$9)</f>
        <v>0</v>
      </c>
      <c r="DH39" s="616">
        <f>SUMIFS(Imput[[Importe Neto]:[Importe Neto]],Imput[[C. Imp.]:[C. Imp.]],$D39,Imput[[PERIODO Imp.]:[PERIODO Imp.]],DH$9)</f>
        <v>0</v>
      </c>
    </row>
    <row r="40" spans="1:112" hidden="1" outlineLevel="1" x14ac:dyDescent="0.3">
      <c r="A40" s="66" t="str">
        <f t="shared" si="15"/>
        <v/>
      </c>
      <c r="C40" s="527"/>
      <c r="D40" s="528" t="s">
        <v>2149</v>
      </c>
      <c r="E40" s="528"/>
      <c r="F40" s="534"/>
      <c r="G40" s="529"/>
      <c r="H40" s="531"/>
      <c r="I40" s="849" t="str">
        <f t="shared" si="16"/>
        <v/>
      </c>
      <c r="J40" s="850" t="str">
        <f t="shared" si="17"/>
        <v/>
      </c>
      <c r="K40" s="70"/>
      <c r="L40" s="853"/>
      <c r="M40" s="855"/>
      <c r="N40" s="855"/>
      <c r="O40" s="855"/>
      <c r="P40" s="855"/>
      <c r="Q40" s="855"/>
      <c r="R40" s="855"/>
      <c r="S40" s="855"/>
      <c r="T40" s="855"/>
      <c r="U40" s="855"/>
      <c r="V40" s="855"/>
      <c r="W40" s="855"/>
      <c r="X40" s="855"/>
      <c r="Y40" s="855"/>
      <c r="Z40" s="856"/>
      <c r="AA40" s="856"/>
      <c r="AB40" s="856"/>
      <c r="AC40" s="856"/>
      <c r="AD40" s="856"/>
      <c r="AE40" s="856"/>
      <c r="AF40" s="856"/>
      <c r="AG40" s="856"/>
      <c r="AH40" s="856"/>
      <c r="AI40" s="856"/>
      <c r="AJ40" s="856"/>
      <c r="AK40" s="856"/>
      <c r="AL40" s="856"/>
      <c r="AM40" s="856"/>
      <c r="AN40" s="856"/>
      <c r="AO40" s="856"/>
      <c r="AP40" s="856"/>
      <c r="AQ40" s="856"/>
      <c r="AR40" s="856"/>
      <c r="AS40" s="856"/>
      <c r="AT40" s="856"/>
      <c r="AU40" s="856"/>
      <c r="AV40" s="856"/>
      <c r="AW40" s="856"/>
      <c r="AX40" s="856"/>
      <c r="AY40" s="856"/>
      <c r="AZ40" s="856"/>
      <c r="BA40" s="856"/>
      <c r="BB40" s="856"/>
      <c r="BC40" s="856"/>
      <c r="BD40" s="856"/>
      <c r="BE40" s="856"/>
      <c r="BF40" s="856"/>
      <c r="BG40" s="857"/>
      <c r="BH40" s="590"/>
      <c r="BI40" s="70"/>
      <c r="BJ40" s="518">
        <f t="shared" si="18"/>
        <v>0</v>
      </c>
      <c r="BK40" s="517">
        <f t="shared" si="19"/>
        <v>0</v>
      </c>
      <c r="BL40" s="68"/>
      <c r="BM40" s="515">
        <f>SUMIFS(Imput[[Importe Neto]:[Importe Neto]],Imput[[C. Imp.]:[C. Imp.]],$D40,Imput[[PERIODO Imp.]:[PERIODO Imp.]],BM$9)</f>
        <v>0</v>
      </c>
      <c r="BN40" s="516">
        <f>SUMIFS(Imput[[Importe Neto]:[Importe Neto]],Imput[[C. Imp.]:[C. Imp.]],$D40,Imput[[PERIODO Imp.]:[PERIODO Imp.]],BN$9)</f>
        <v>0</v>
      </c>
      <c r="BO40" s="516">
        <f>SUMIFS(Imput[[Importe Neto]:[Importe Neto]],Imput[[C. Imp.]:[C. Imp.]],$D40,Imput[[PERIODO Imp.]:[PERIODO Imp.]],BO$9)</f>
        <v>0</v>
      </c>
      <c r="BP40" s="516">
        <f>SUMIFS(Imput[[Importe Neto]:[Importe Neto]],Imput[[C. Imp.]:[C. Imp.]],$D40,Imput[[PERIODO Imp.]:[PERIODO Imp.]],BP$9)</f>
        <v>0</v>
      </c>
      <c r="BQ40" s="516">
        <f>SUMIFS(Imput[[Importe Neto]:[Importe Neto]],Imput[[C. Imp.]:[C. Imp.]],$D40,Imput[[PERIODO Imp.]:[PERIODO Imp.]],BQ$9)</f>
        <v>0</v>
      </c>
      <c r="BR40" s="516">
        <f>SUMIFS(Imput[[Importe Neto]:[Importe Neto]],Imput[[C. Imp.]:[C. Imp.]],$D40,Imput[[PERIODO Imp.]:[PERIODO Imp.]],BR$9)</f>
        <v>0</v>
      </c>
      <c r="BS40" s="516">
        <f>SUMIFS(Imput[[Importe Neto]:[Importe Neto]],Imput[[C. Imp.]:[C. Imp.]],$D40,Imput[[PERIODO Imp.]:[PERIODO Imp.]],BS$9)</f>
        <v>0</v>
      </c>
      <c r="BT40" s="516">
        <f>SUMIFS(Imput[[Importe Neto]:[Importe Neto]],Imput[[C. Imp.]:[C. Imp.]],$D40,Imput[[PERIODO Imp.]:[PERIODO Imp.]],BT$9)</f>
        <v>0</v>
      </c>
      <c r="BU40" s="516">
        <f>SUMIFS(Imput[[Importe Neto]:[Importe Neto]],Imput[[C. Imp.]:[C. Imp.]],$D40,Imput[[PERIODO Imp.]:[PERIODO Imp.]],BU$9)</f>
        <v>0</v>
      </c>
      <c r="BV40" s="516">
        <f>SUMIFS(Imput[[Importe Neto]:[Importe Neto]],Imput[[C. Imp.]:[C. Imp.]],$D40,Imput[[PERIODO Imp.]:[PERIODO Imp.]],BV$9)</f>
        <v>0</v>
      </c>
      <c r="BW40" s="516">
        <f>SUMIFS(Imput[[Importe Neto]:[Importe Neto]],Imput[[C. Imp.]:[C. Imp.]],$D40,Imput[[PERIODO Imp.]:[PERIODO Imp.]],BW$9)</f>
        <v>0</v>
      </c>
      <c r="BX40" s="516">
        <f>SUMIFS(Imput[[Importe Neto]:[Importe Neto]],Imput[[C. Imp.]:[C. Imp.]],$D40,Imput[[PERIODO Imp.]:[PERIODO Imp.]],BX$9)</f>
        <v>0</v>
      </c>
      <c r="BY40" s="516">
        <f>SUMIFS(Imput[[Importe Neto]:[Importe Neto]],Imput[[C. Imp.]:[C. Imp.]],$D40,Imput[[PERIODO Imp.]:[PERIODO Imp.]],BY$9)</f>
        <v>0</v>
      </c>
      <c r="BZ40" s="516">
        <f>SUMIFS(Imput[[Importe Neto]:[Importe Neto]],Imput[[C. Imp.]:[C. Imp.]],$D40,Imput[[PERIODO Imp.]:[PERIODO Imp.]],BZ$9)</f>
        <v>0</v>
      </c>
      <c r="CA40" s="516">
        <f>SUMIFS(Imput[[Importe Neto]:[Importe Neto]],Imput[[C. Imp.]:[C. Imp.]],$D40,Imput[[PERIODO Imp.]:[PERIODO Imp.]],CA$9)</f>
        <v>0</v>
      </c>
      <c r="CB40" s="516">
        <f>SUMIFS(Imput[[Importe Neto]:[Importe Neto]],Imput[[C. Imp.]:[C. Imp.]],$D40,Imput[[PERIODO Imp.]:[PERIODO Imp.]],CB$9)</f>
        <v>0</v>
      </c>
      <c r="CC40" s="516">
        <f>SUMIFS(Imput[[Importe Neto]:[Importe Neto]],Imput[[C. Imp.]:[C. Imp.]],$D40,Imput[[PERIODO Imp.]:[PERIODO Imp.]],CC$9)</f>
        <v>0</v>
      </c>
      <c r="CD40" s="516">
        <f>SUMIFS(Imput[[Importe Neto]:[Importe Neto]],Imput[[C. Imp.]:[C. Imp.]],$D40,Imput[[PERIODO Imp.]:[PERIODO Imp.]],CD$9)</f>
        <v>0</v>
      </c>
      <c r="CE40" s="516">
        <f>SUMIFS(Imput[[Importe Neto]:[Importe Neto]],Imput[[C. Imp.]:[C. Imp.]],$D40,Imput[[PERIODO Imp.]:[PERIODO Imp.]],CE$9)</f>
        <v>0</v>
      </c>
      <c r="CF40" s="516">
        <f>SUMIFS(Imput[[Importe Neto]:[Importe Neto]],Imput[[C. Imp.]:[C. Imp.]],$D40,Imput[[PERIODO Imp.]:[PERIODO Imp.]],CF$9)</f>
        <v>0</v>
      </c>
      <c r="CG40" s="516">
        <f>SUMIFS(Imput[[Importe Neto]:[Importe Neto]],Imput[[C. Imp.]:[C. Imp.]],$D40,Imput[[PERIODO Imp.]:[PERIODO Imp.]],CG$9)</f>
        <v>0</v>
      </c>
      <c r="CH40" s="516">
        <f>SUMIFS(Imput[[Importe Neto]:[Importe Neto]],Imput[[C. Imp.]:[C. Imp.]],$D40,Imput[[PERIODO Imp.]:[PERIODO Imp.]],CH$9)</f>
        <v>0</v>
      </c>
      <c r="CI40" s="516">
        <f>SUMIFS(Imput[[Importe Neto]:[Importe Neto]],Imput[[C. Imp.]:[C. Imp.]],$D40,Imput[[PERIODO Imp.]:[PERIODO Imp.]],CI$9)</f>
        <v>0</v>
      </c>
      <c r="CJ40" s="516">
        <f>SUMIFS(Imput[[Importe Neto]:[Importe Neto]],Imput[[C. Imp.]:[C. Imp.]],$D40,Imput[[PERIODO Imp.]:[PERIODO Imp.]],CJ$9)</f>
        <v>0</v>
      </c>
      <c r="CK40" s="516">
        <f>SUMIFS(Imput[[Importe Neto]:[Importe Neto]],Imput[[C. Imp.]:[C. Imp.]],$D40,Imput[[PERIODO Imp.]:[PERIODO Imp.]],CK$9)</f>
        <v>0</v>
      </c>
      <c r="CL40" s="516">
        <f>SUMIFS(Imput[[Importe Neto]:[Importe Neto]],Imput[[C. Imp.]:[C. Imp.]],$D40,Imput[[PERIODO Imp.]:[PERIODO Imp.]],CL$9)</f>
        <v>0</v>
      </c>
      <c r="CM40" s="516">
        <f>SUMIFS(Imput[[Importe Neto]:[Importe Neto]],Imput[[C. Imp.]:[C. Imp.]],$D40,Imput[[PERIODO Imp.]:[PERIODO Imp.]],CM$9)</f>
        <v>0</v>
      </c>
      <c r="CN40" s="516">
        <f>SUMIFS(Imput[[Importe Neto]:[Importe Neto]],Imput[[C. Imp.]:[C. Imp.]],$D40,Imput[[PERIODO Imp.]:[PERIODO Imp.]],CN$9)</f>
        <v>0</v>
      </c>
      <c r="CO40" s="516">
        <f>SUMIFS(Imput[[Importe Neto]:[Importe Neto]],Imput[[C. Imp.]:[C. Imp.]],$D40,Imput[[PERIODO Imp.]:[PERIODO Imp.]],CO$9)</f>
        <v>0</v>
      </c>
      <c r="CP40" s="516">
        <f>SUMIFS(Imput[[Importe Neto]:[Importe Neto]],Imput[[C. Imp.]:[C. Imp.]],$D40,Imput[[PERIODO Imp.]:[PERIODO Imp.]],CP$9)</f>
        <v>0</v>
      </c>
      <c r="CQ40" s="516">
        <f>SUMIFS(Imput[[Importe Neto]:[Importe Neto]],Imput[[C. Imp.]:[C. Imp.]],$D40,Imput[[PERIODO Imp.]:[PERIODO Imp.]],CQ$9)</f>
        <v>0</v>
      </c>
      <c r="CR40" s="516">
        <f>SUMIFS(Imput[[Importe Neto]:[Importe Neto]],Imput[[C. Imp.]:[C. Imp.]],$D40,Imput[[PERIODO Imp.]:[PERIODO Imp.]],CR$9)</f>
        <v>0</v>
      </c>
      <c r="CS40" s="516">
        <f>SUMIFS(Imput[[Importe Neto]:[Importe Neto]],Imput[[C. Imp.]:[C. Imp.]],$D40,Imput[[PERIODO Imp.]:[PERIODO Imp.]],CS$9)</f>
        <v>0</v>
      </c>
      <c r="CT40" s="516">
        <f>SUMIFS(Imput[[Importe Neto]:[Importe Neto]],Imput[[C. Imp.]:[C. Imp.]],$D40,Imput[[PERIODO Imp.]:[PERIODO Imp.]],CT$9)</f>
        <v>0</v>
      </c>
      <c r="CU40" s="516">
        <f>SUMIFS(Imput[[Importe Neto]:[Importe Neto]],Imput[[C. Imp.]:[C. Imp.]],$D40,Imput[[PERIODO Imp.]:[PERIODO Imp.]],CU$9)</f>
        <v>0</v>
      </c>
      <c r="CV40" s="516">
        <f>SUMIFS(Imput[[Importe Neto]:[Importe Neto]],Imput[[C. Imp.]:[C. Imp.]],$D40,Imput[[PERIODO Imp.]:[PERIODO Imp.]],CV$9)</f>
        <v>0</v>
      </c>
      <c r="CW40" s="516">
        <f>SUMIFS(Imput[[Importe Neto]:[Importe Neto]],Imput[[C. Imp.]:[C. Imp.]],$D40,Imput[[PERIODO Imp.]:[PERIODO Imp.]],CW$9)</f>
        <v>0</v>
      </c>
      <c r="CX40" s="516">
        <f>SUMIFS(Imput[[Importe Neto]:[Importe Neto]],Imput[[C. Imp.]:[C. Imp.]],$D40,Imput[[PERIODO Imp.]:[PERIODO Imp.]],CX$9)</f>
        <v>0</v>
      </c>
      <c r="CY40" s="516">
        <f>SUMIFS(Imput[[Importe Neto]:[Importe Neto]],Imput[[C. Imp.]:[C. Imp.]],$D40,Imput[[PERIODO Imp.]:[PERIODO Imp.]],CY$9)</f>
        <v>0</v>
      </c>
      <c r="CZ40" s="516">
        <f>SUMIFS(Imput[[Importe Neto]:[Importe Neto]],Imput[[C. Imp.]:[C. Imp.]],$D40,Imput[[PERIODO Imp.]:[PERIODO Imp.]],CZ$9)</f>
        <v>0</v>
      </c>
      <c r="DA40" s="516">
        <f>SUMIFS(Imput[[Importe Neto]:[Importe Neto]],Imput[[C. Imp.]:[C. Imp.]],$D40,Imput[[PERIODO Imp.]:[PERIODO Imp.]],DA$9)</f>
        <v>0</v>
      </c>
      <c r="DB40" s="516">
        <f>SUMIFS(Imput[[Importe Neto]:[Importe Neto]],Imput[[C. Imp.]:[C. Imp.]],$D40,Imput[[PERIODO Imp.]:[PERIODO Imp.]],DB$9)</f>
        <v>0</v>
      </c>
      <c r="DC40" s="516">
        <f>SUMIFS(Imput[[Importe Neto]:[Importe Neto]],Imput[[C. Imp.]:[C. Imp.]],$D40,Imput[[PERIODO Imp.]:[PERIODO Imp.]],DC$9)</f>
        <v>0</v>
      </c>
      <c r="DD40" s="516">
        <f>SUMIFS(Imput[[Importe Neto]:[Importe Neto]],Imput[[C. Imp.]:[C. Imp.]],$D40,Imput[[PERIODO Imp.]:[PERIODO Imp.]],DD$9)</f>
        <v>0</v>
      </c>
      <c r="DE40" s="516">
        <f>SUMIFS(Imput[[Importe Neto]:[Importe Neto]],Imput[[C. Imp.]:[C. Imp.]],$D40,Imput[[PERIODO Imp.]:[PERIODO Imp.]],DE$9)</f>
        <v>0</v>
      </c>
      <c r="DF40" s="516">
        <f>SUMIFS(Imput[[Importe Neto]:[Importe Neto]],Imput[[C. Imp.]:[C. Imp.]],$D40,Imput[[PERIODO Imp.]:[PERIODO Imp.]],DF$9)</f>
        <v>0</v>
      </c>
      <c r="DG40" s="516">
        <f>SUMIFS(Imput[[Importe Neto]:[Importe Neto]],Imput[[C. Imp.]:[C. Imp.]],$D40,Imput[[PERIODO Imp.]:[PERIODO Imp.]],DG$9)</f>
        <v>0</v>
      </c>
      <c r="DH40" s="616">
        <f>SUMIFS(Imput[[Importe Neto]:[Importe Neto]],Imput[[C. Imp.]:[C. Imp.]],$D40,Imput[[PERIODO Imp.]:[PERIODO Imp.]],DH$9)</f>
        <v>0</v>
      </c>
    </row>
    <row r="41" spans="1:112" hidden="1" outlineLevel="1" x14ac:dyDescent="0.3">
      <c r="A41" s="66" t="str">
        <f t="shared" si="15"/>
        <v/>
      </c>
      <c r="C41" s="527"/>
      <c r="D41" s="528" t="s">
        <v>2150</v>
      </c>
      <c r="E41" s="528"/>
      <c r="F41" s="534"/>
      <c r="G41" s="529"/>
      <c r="H41" s="531"/>
      <c r="I41" s="849" t="str">
        <f t="shared" si="16"/>
        <v/>
      </c>
      <c r="J41" s="850" t="str">
        <f t="shared" si="17"/>
        <v/>
      </c>
      <c r="K41" s="70"/>
      <c r="L41" s="853"/>
      <c r="M41" s="855"/>
      <c r="N41" s="855"/>
      <c r="O41" s="855"/>
      <c r="P41" s="855"/>
      <c r="Q41" s="855"/>
      <c r="R41" s="855"/>
      <c r="S41" s="855"/>
      <c r="T41" s="855"/>
      <c r="U41" s="855"/>
      <c r="V41" s="855"/>
      <c r="W41" s="855"/>
      <c r="X41" s="855"/>
      <c r="Y41" s="855"/>
      <c r="Z41" s="856"/>
      <c r="AA41" s="856"/>
      <c r="AB41" s="856"/>
      <c r="AC41" s="856"/>
      <c r="AD41" s="856"/>
      <c r="AE41" s="856"/>
      <c r="AF41" s="856"/>
      <c r="AG41" s="856"/>
      <c r="AH41" s="856"/>
      <c r="AI41" s="856"/>
      <c r="AJ41" s="856"/>
      <c r="AK41" s="856"/>
      <c r="AL41" s="856"/>
      <c r="AM41" s="856"/>
      <c r="AN41" s="856"/>
      <c r="AO41" s="856"/>
      <c r="AP41" s="856"/>
      <c r="AQ41" s="856"/>
      <c r="AR41" s="856"/>
      <c r="AS41" s="856"/>
      <c r="AT41" s="856"/>
      <c r="AU41" s="856"/>
      <c r="AV41" s="856"/>
      <c r="AW41" s="856"/>
      <c r="AX41" s="856"/>
      <c r="AY41" s="856"/>
      <c r="AZ41" s="856"/>
      <c r="BA41" s="856"/>
      <c r="BB41" s="856"/>
      <c r="BC41" s="856"/>
      <c r="BD41" s="856"/>
      <c r="BE41" s="856"/>
      <c r="BF41" s="856"/>
      <c r="BG41" s="857"/>
      <c r="BH41" s="590"/>
      <c r="BI41" s="70"/>
      <c r="BJ41" s="518">
        <f t="shared" si="18"/>
        <v>0</v>
      </c>
      <c r="BK41" s="517">
        <f t="shared" si="19"/>
        <v>0</v>
      </c>
      <c r="BL41" s="68"/>
      <c r="BM41" s="515">
        <f>SUMIFS(Imput[[Importe Neto]:[Importe Neto]],Imput[[C. Imp.]:[C. Imp.]],$D41,Imput[[PERIODO Imp.]:[PERIODO Imp.]],BM$9)</f>
        <v>0</v>
      </c>
      <c r="BN41" s="516">
        <f>SUMIFS(Imput[[Importe Neto]:[Importe Neto]],Imput[[C. Imp.]:[C. Imp.]],$D41,Imput[[PERIODO Imp.]:[PERIODO Imp.]],BN$9)</f>
        <v>0</v>
      </c>
      <c r="BO41" s="516">
        <f>SUMIFS(Imput[[Importe Neto]:[Importe Neto]],Imput[[C. Imp.]:[C. Imp.]],$D41,Imput[[PERIODO Imp.]:[PERIODO Imp.]],BO$9)</f>
        <v>0</v>
      </c>
      <c r="BP41" s="516">
        <f>SUMIFS(Imput[[Importe Neto]:[Importe Neto]],Imput[[C. Imp.]:[C. Imp.]],$D41,Imput[[PERIODO Imp.]:[PERIODO Imp.]],BP$9)</f>
        <v>0</v>
      </c>
      <c r="BQ41" s="516">
        <f>SUMIFS(Imput[[Importe Neto]:[Importe Neto]],Imput[[C. Imp.]:[C. Imp.]],$D41,Imput[[PERIODO Imp.]:[PERIODO Imp.]],BQ$9)</f>
        <v>0</v>
      </c>
      <c r="BR41" s="516">
        <f>SUMIFS(Imput[[Importe Neto]:[Importe Neto]],Imput[[C. Imp.]:[C. Imp.]],$D41,Imput[[PERIODO Imp.]:[PERIODO Imp.]],BR$9)</f>
        <v>0</v>
      </c>
      <c r="BS41" s="516">
        <f>SUMIFS(Imput[[Importe Neto]:[Importe Neto]],Imput[[C. Imp.]:[C. Imp.]],$D41,Imput[[PERIODO Imp.]:[PERIODO Imp.]],BS$9)</f>
        <v>0</v>
      </c>
      <c r="BT41" s="516">
        <f>SUMIFS(Imput[[Importe Neto]:[Importe Neto]],Imput[[C. Imp.]:[C. Imp.]],$D41,Imput[[PERIODO Imp.]:[PERIODO Imp.]],BT$9)</f>
        <v>0</v>
      </c>
      <c r="BU41" s="516">
        <f>SUMIFS(Imput[[Importe Neto]:[Importe Neto]],Imput[[C. Imp.]:[C. Imp.]],$D41,Imput[[PERIODO Imp.]:[PERIODO Imp.]],BU$9)</f>
        <v>0</v>
      </c>
      <c r="BV41" s="516">
        <f>SUMIFS(Imput[[Importe Neto]:[Importe Neto]],Imput[[C. Imp.]:[C. Imp.]],$D41,Imput[[PERIODO Imp.]:[PERIODO Imp.]],BV$9)</f>
        <v>0</v>
      </c>
      <c r="BW41" s="516">
        <f>SUMIFS(Imput[[Importe Neto]:[Importe Neto]],Imput[[C. Imp.]:[C. Imp.]],$D41,Imput[[PERIODO Imp.]:[PERIODO Imp.]],BW$9)</f>
        <v>0</v>
      </c>
      <c r="BX41" s="516">
        <f>SUMIFS(Imput[[Importe Neto]:[Importe Neto]],Imput[[C. Imp.]:[C. Imp.]],$D41,Imput[[PERIODO Imp.]:[PERIODO Imp.]],BX$9)</f>
        <v>0</v>
      </c>
      <c r="BY41" s="516">
        <f>SUMIFS(Imput[[Importe Neto]:[Importe Neto]],Imput[[C. Imp.]:[C. Imp.]],$D41,Imput[[PERIODO Imp.]:[PERIODO Imp.]],BY$9)</f>
        <v>0</v>
      </c>
      <c r="BZ41" s="516">
        <f>SUMIFS(Imput[[Importe Neto]:[Importe Neto]],Imput[[C. Imp.]:[C. Imp.]],$D41,Imput[[PERIODO Imp.]:[PERIODO Imp.]],BZ$9)</f>
        <v>0</v>
      </c>
      <c r="CA41" s="516">
        <f>SUMIFS(Imput[[Importe Neto]:[Importe Neto]],Imput[[C. Imp.]:[C. Imp.]],$D41,Imput[[PERIODO Imp.]:[PERIODO Imp.]],CA$9)</f>
        <v>0</v>
      </c>
      <c r="CB41" s="516">
        <f>SUMIFS(Imput[[Importe Neto]:[Importe Neto]],Imput[[C. Imp.]:[C. Imp.]],$D41,Imput[[PERIODO Imp.]:[PERIODO Imp.]],CB$9)</f>
        <v>0</v>
      </c>
      <c r="CC41" s="516">
        <f>SUMIFS(Imput[[Importe Neto]:[Importe Neto]],Imput[[C. Imp.]:[C. Imp.]],$D41,Imput[[PERIODO Imp.]:[PERIODO Imp.]],CC$9)</f>
        <v>0</v>
      </c>
      <c r="CD41" s="516">
        <f>SUMIFS(Imput[[Importe Neto]:[Importe Neto]],Imput[[C. Imp.]:[C. Imp.]],$D41,Imput[[PERIODO Imp.]:[PERIODO Imp.]],CD$9)</f>
        <v>0</v>
      </c>
      <c r="CE41" s="516">
        <f>SUMIFS(Imput[[Importe Neto]:[Importe Neto]],Imput[[C. Imp.]:[C. Imp.]],$D41,Imput[[PERIODO Imp.]:[PERIODO Imp.]],CE$9)</f>
        <v>0</v>
      </c>
      <c r="CF41" s="516">
        <f>SUMIFS(Imput[[Importe Neto]:[Importe Neto]],Imput[[C. Imp.]:[C. Imp.]],$D41,Imput[[PERIODO Imp.]:[PERIODO Imp.]],CF$9)</f>
        <v>0</v>
      </c>
      <c r="CG41" s="516">
        <f>SUMIFS(Imput[[Importe Neto]:[Importe Neto]],Imput[[C. Imp.]:[C. Imp.]],$D41,Imput[[PERIODO Imp.]:[PERIODO Imp.]],CG$9)</f>
        <v>0</v>
      </c>
      <c r="CH41" s="516">
        <f>SUMIFS(Imput[[Importe Neto]:[Importe Neto]],Imput[[C. Imp.]:[C. Imp.]],$D41,Imput[[PERIODO Imp.]:[PERIODO Imp.]],CH$9)</f>
        <v>0</v>
      </c>
      <c r="CI41" s="516">
        <f>SUMIFS(Imput[[Importe Neto]:[Importe Neto]],Imput[[C. Imp.]:[C. Imp.]],$D41,Imput[[PERIODO Imp.]:[PERIODO Imp.]],CI$9)</f>
        <v>0</v>
      </c>
      <c r="CJ41" s="516">
        <f>SUMIFS(Imput[[Importe Neto]:[Importe Neto]],Imput[[C. Imp.]:[C. Imp.]],$D41,Imput[[PERIODO Imp.]:[PERIODO Imp.]],CJ$9)</f>
        <v>0</v>
      </c>
      <c r="CK41" s="516">
        <f>SUMIFS(Imput[[Importe Neto]:[Importe Neto]],Imput[[C. Imp.]:[C. Imp.]],$D41,Imput[[PERIODO Imp.]:[PERIODO Imp.]],CK$9)</f>
        <v>0</v>
      </c>
      <c r="CL41" s="516">
        <f>SUMIFS(Imput[[Importe Neto]:[Importe Neto]],Imput[[C. Imp.]:[C. Imp.]],$D41,Imput[[PERIODO Imp.]:[PERIODO Imp.]],CL$9)</f>
        <v>0</v>
      </c>
      <c r="CM41" s="516">
        <f>SUMIFS(Imput[[Importe Neto]:[Importe Neto]],Imput[[C. Imp.]:[C. Imp.]],$D41,Imput[[PERIODO Imp.]:[PERIODO Imp.]],CM$9)</f>
        <v>0</v>
      </c>
      <c r="CN41" s="516">
        <f>SUMIFS(Imput[[Importe Neto]:[Importe Neto]],Imput[[C. Imp.]:[C. Imp.]],$D41,Imput[[PERIODO Imp.]:[PERIODO Imp.]],CN$9)</f>
        <v>0</v>
      </c>
      <c r="CO41" s="516">
        <f>SUMIFS(Imput[[Importe Neto]:[Importe Neto]],Imput[[C. Imp.]:[C. Imp.]],$D41,Imput[[PERIODO Imp.]:[PERIODO Imp.]],CO$9)</f>
        <v>0</v>
      </c>
      <c r="CP41" s="516">
        <f>SUMIFS(Imput[[Importe Neto]:[Importe Neto]],Imput[[C. Imp.]:[C. Imp.]],$D41,Imput[[PERIODO Imp.]:[PERIODO Imp.]],CP$9)</f>
        <v>0</v>
      </c>
      <c r="CQ41" s="516">
        <f>SUMIFS(Imput[[Importe Neto]:[Importe Neto]],Imput[[C. Imp.]:[C. Imp.]],$D41,Imput[[PERIODO Imp.]:[PERIODO Imp.]],CQ$9)</f>
        <v>0</v>
      </c>
      <c r="CR41" s="516">
        <f>SUMIFS(Imput[[Importe Neto]:[Importe Neto]],Imput[[C. Imp.]:[C. Imp.]],$D41,Imput[[PERIODO Imp.]:[PERIODO Imp.]],CR$9)</f>
        <v>0</v>
      </c>
      <c r="CS41" s="516">
        <f>SUMIFS(Imput[[Importe Neto]:[Importe Neto]],Imput[[C. Imp.]:[C. Imp.]],$D41,Imput[[PERIODO Imp.]:[PERIODO Imp.]],CS$9)</f>
        <v>0</v>
      </c>
      <c r="CT41" s="516">
        <f>SUMIFS(Imput[[Importe Neto]:[Importe Neto]],Imput[[C. Imp.]:[C. Imp.]],$D41,Imput[[PERIODO Imp.]:[PERIODO Imp.]],CT$9)</f>
        <v>0</v>
      </c>
      <c r="CU41" s="516">
        <f>SUMIFS(Imput[[Importe Neto]:[Importe Neto]],Imput[[C. Imp.]:[C. Imp.]],$D41,Imput[[PERIODO Imp.]:[PERIODO Imp.]],CU$9)</f>
        <v>0</v>
      </c>
      <c r="CV41" s="516">
        <f>SUMIFS(Imput[[Importe Neto]:[Importe Neto]],Imput[[C. Imp.]:[C. Imp.]],$D41,Imput[[PERIODO Imp.]:[PERIODO Imp.]],CV$9)</f>
        <v>0</v>
      </c>
      <c r="CW41" s="516">
        <f>SUMIFS(Imput[[Importe Neto]:[Importe Neto]],Imput[[C. Imp.]:[C. Imp.]],$D41,Imput[[PERIODO Imp.]:[PERIODO Imp.]],CW$9)</f>
        <v>0</v>
      </c>
      <c r="CX41" s="516">
        <f>SUMIFS(Imput[[Importe Neto]:[Importe Neto]],Imput[[C. Imp.]:[C. Imp.]],$D41,Imput[[PERIODO Imp.]:[PERIODO Imp.]],CX$9)</f>
        <v>0</v>
      </c>
      <c r="CY41" s="516">
        <f>SUMIFS(Imput[[Importe Neto]:[Importe Neto]],Imput[[C. Imp.]:[C. Imp.]],$D41,Imput[[PERIODO Imp.]:[PERIODO Imp.]],CY$9)</f>
        <v>0</v>
      </c>
      <c r="CZ41" s="516">
        <f>SUMIFS(Imput[[Importe Neto]:[Importe Neto]],Imput[[C. Imp.]:[C. Imp.]],$D41,Imput[[PERIODO Imp.]:[PERIODO Imp.]],CZ$9)</f>
        <v>0</v>
      </c>
      <c r="DA41" s="516">
        <f>SUMIFS(Imput[[Importe Neto]:[Importe Neto]],Imput[[C. Imp.]:[C. Imp.]],$D41,Imput[[PERIODO Imp.]:[PERIODO Imp.]],DA$9)</f>
        <v>0</v>
      </c>
      <c r="DB41" s="516">
        <f>SUMIFS(Imput[[Importe Neto]:[Importe Neto]],Imput[[C. Imp.]:[C. Imp.]],$D41,Imput[[PERIODO Imp.]:[PERIODO Imp.]],DB$9)</f>
        <v>0</v>
      </c>
      <c r="DC41" s="516">
        <f>SUMIFS(Imput[[Importe Neto]:[Importe Neto]],Imput[[C. Imp.]:[C. Imp.]],$D41,Imput[[PERIODO Imp.]:[PERIODO Imp.]],DC$9)</f>
        <v>0</v>
      </c>
      <c r="DD41" s="516">
        <f>SUMIFS(Imput[[Importe Neto]:[Importe Neto]],Imput[[C. Imp.]:[C. Imp.]],$D41,Imput[[PERIODO Imp.]:[PERIODO Imp.]],DD$9)</f>
        <v>0</v>
      </c>
      <c r="DE41" s="516">
        <f>SUMIFS(Imput[[Importe Neto]:[Importe Neto]],Imput[[C. Imp.]:[C. Imp.]],$D41,Imput[[PERIODO Imp.]:[PERIODO Imp.]],DE$9)</f>
        <v>0</v>
      </c>
      <c r="DF41" s="516">
        <f>SUMIFS(Imput[[Importe Neto]:[Importe Neto]],Imput[[C. Imp.]:[C. Imp.]],$D41,Imput[[PERIODO Imp.]:[PERIODO Imp.]],DF$9)</f>
        <v>0</v>
      </c>
      <c r="DG41" s="516">
        <f>SUMIFS(Imput[[Importe Neto]:[Importe Neto]],Imput[[C. Imp.]:[C. Imp.]],$D41,Imput[[PERIODO Imp.]:[PERIODO Imp.]],DG$9)</f>
        <v>0</v>
      </c>
      <c r="DH41" s="616">
        <f>SUMIFS(Imput[[Importe Neto]:[Importe Neto]],Imput[[C. Imp.]:[C. Imp.]],$D41,Imput[[PERIODO Imp.]:[PERIODO Imp.]],DH$9)</f>
        <v>0</v>
      </c>
    </row>
    <row r="42" spans="1:112" hidden="1" outlineLevel="1" x14ac:dyDescent="0.3">
      <c r="A42" s="66" t="str">
        <f t="shared" si="15"/>
        <v/>
      </c>
      <c r="C42" s="527"/>
      <c r="D42" s="528" t="s">
        <v>2151</v>
      </c>
      <c r="E42" s="528"/>
      <c r="F42" s="534"/>
      <c r="G42" s="529"/>
      <c r="H42" s="531"/>
      <c r="I42" s="849" t="str">
        <f t="shared" si="16"/>
        <v/>
      </c>
      <c r="J42" s="850" t="str">
        <f t="shared" si="17"/>
        <v/>
      </c>
      <c r="K42" s="70"/>
      <c r="L42" s="853"/>
      <c r="M42" s="855"/>
      <c r="N42" s="855"/>
      <c r="O42" s="855"/>
      <c r="P42" s="855"/>
      <c r="Q42" s="855"/>
      <c r="R42" s="855"/>
      <c r="S42" s="855"/>
      <c r="T42" s="855"/>
      <c r="U42" s="855"/>
      <c r="V42" s="855"/>
      <c r="W42" s="855"/>
      <c r="X42" s="855"/>
      <c r="Y42" s="855"/>
      <c r="Z42" s="856"/>
      <c r="AA42" s="856"/>
      <c r="AB42" s="856"/>
      <c r="AC42" s="856"/>
      <c r="AD42" s="856"/>
      <c r="AE42" s="856"/>
      <c r="AF42" s="856"/>
      <c r="AG42" s="856"/>
      <c r="AH42" s="856"/>
      <c r="AI42" s="856"/>
      <c r="AJ42" s="856"/>
      <c r="AK42" s="856"/>
      <c r="AL42" s="856"/>
      <c r="AM42" s="856"/>
      <c r="AN42" s="856"/>
      <c r="AO42" s="856"/>
      <c r="AP42" s="856"/>
      <c r="AQ42" s="856"/>
      <c r="AR42" s="856"/>
      <c r="AS42" s="856"/>
      <c r="AT42" s="856"/>
      <c r="AU42" s="856"/>
      <c r="AV42" s="856"/>
      <c r="AW42" s="856"/>
      <c r="AX42" s="856"/>
      <c r="AY42" s="856"/>
      <c r="AZ42" s="856"/>
      <c r="BA42" s="856"/>
      <c r="BB42" s="856"/>
      <c r="BC42" s="856"/>
      <c r="BD42" s="856"/>
      <c r="BE42" s="856"/>
      <c r="BF42" s="856"/>
      <c r="BG42" s="857"/>
      <c r="BH42" s="590"/>
      <c r="BI42" s="70"/>
      <c r="BJ42" s="518">
        <f t="shared" si="18"/>
        <v>0</v>
      </c>
      <c r="BK42" s="517">
        <f t="shared" si="19"/>
        <v>0</v>
      </c>
      <c r="BL42" s="68"/>
      <c r="BM42" s="515">
        <f>SUMIFS(Imput[[Importe Neto]:[Importe Neto]],Imput[[C. Imp.]:[C. Imp.]],$D42,Imput[[PERIODO Imp.]:[PERIODO Imp.]],BM$9)</f>
        <v>0</v>
      </c>
      <c r="BN42" s="516">
        <f>SUMIFS(Imput[[Importe Neto]:[Importe Neto]],Imput[[C. Imp.]:[C. Imp.]],$D42,Imput[[PERIODO Imp.]:[PERIODO Imp.]],BN$9)</f>
        <v>0</v>
      </c>
      <c r="BO42" s="516">
        <f>SUMIFS(Imput[[Importe Neto]:[Importe Neto]],Imput[[C. Imp.]:[C. Imp.]],$D42,Imput[[PERIODO Imp.]:[PERIODO Imp.]],BO$9)</f>
        <v>0</v>
      </c>
      <c r="BP42" s="516">
        <f>SUMIFS(Imput[[Importe Neto]:[Importe Neto]],Imput[[C. Imp.]:[C. Imp.]],$D42,Imput[[PERIODO Imp.]:[PERIODO Imp.]],BP$9)</f>
        <v>0</v>
      </c>
      <c r="BQ42" s="516">
        <f>SUMIFS(Imput[[Importe Neto]:[Importe Neto]],Imput[[C. Imp.]:[C. Imp.]],$D42,Imput[[PERIODO Imp.]:[PERIODO Imp.]],BQ$9)</f>
        <v>0</v>
      </c>
      <c r="BR42" s="516">
        <f>SUMIFS(Imput[[Importe Neto]:[Importe Neto]],Imput[[C. Imp.]:[C. Imp.]],$D42,Imput[[PERIODO Imp.]:[PERIODO Imp.]],BR$9)</f>
        <v>0</v>
      </c>
      <c r="BS42" s="516">
        <f>SUMIFS(Imput[[Importe Neto]:[Importe Neto]],Imput[[C. Imp.]:[C. Imp.]],$D42,Imput[[PERIODO Imp.]:[PERIODO Imp.]],BS$9)</f>
        <v>0</v>
      </c>
      <c r="BT42" s="516">
        <f>SUMIFS(Imput[[Importe Neto]:[Importe Neto]],Imput[[C. Imp.]:[C. Imp.]],$D42,Imput[[PERIODO Imp.]:[PERIODO Imp.]],BT$9)</f>
        <v>0</v>
      </c>
      <c r="BU42" s="516">
        <f>SUMIFS(Imput[[Importe Neto]:[Importe Neto]],Imput[[C. Imp.]:[C. Imp.]],$D42,Imput[[PERIODO Imp.]:[PERIODO Imp.]],BU$9)</f>
        <v>0</v>
      </c>
      <c r="BV42" s="516">
        <f>SUMIFS(Imput[[Importe Neto]:[Importe Neto]],Imput[[C. Imp.]:[C. Imp.]],$D42,Imput[[PERIODO Imp.]:[PERIODO Imp.]],BV$9)</f>
        <v>0</v>
      </c>
      <c r="BW42" s="516">
        <f>SUMIFS(Imput[[Importe Neto]:[Importe Neto]],Imput[[C. Imp.]:[C. Imp.]],$D42,Imput[[PERIODO Imp.]:[PERIODO Imp.]],BW$9)</f>
        <v>0</v>
      </c>
      <c r="BX42" s="516">
        <f>SUMIFS(Imput[[Importe Neto]:[Importe Neto]],Imput[[C. Imp.]:[C. Imp.]],$D42,Imput[[PERIODO Imp.]:[PERIODO Imp.]],BX$9)</f>
        <v>0</v>
      </c>
      <c r="BY42" s="516">
        <f>SUMIFS(Imput[[Importe Neto]:[Importe Neto]],Imput[[C. Imp.]:[C. Imp.]],$D42,Imput[[PERIODO Imp.]:[PERIODO Imp.]],BY$9)</f>
        <v>0</v>
      </c>
      <c r="BZ42" s="516">
        <f>SUMIFS(Imput[[Importe Neto]:[Importe Neto]],Imput[[C. Imp.]:[C. Imp.]],$D42,Imput[[PERIODO Imp.]:[PERIODO Imp.]],BZ$9)</f>
        <v>0</v>
      </c>
      <c r="CA42" s="516">
        <f>SUMIFS(Imput[[Importe Neto]:[Importe Neto]],Imput[[C. Imp.]:[C. Imp.]],$D42,Imput[[PERIODO Imp.]:[PERIODO Imp.]],CA$9)</f>
        <v>0</v>
      </c>
      <c r="CB42" s="516">
        <f>SUMIFS(Imput[[Importe Neto]:[Importe Neto]],Imput[[C. Imp.]:[C. Imp.]],$D42,Imput[[PERIODO Imp.]:[PERIODO Imp.]],CB$9)</f>
        <v>0</v>
      </c>
      <c r="CC42" s="516">
        <f>SUMIFS(Imput[[Importe Neto]:[Importe Neto]],Imput[[C. Imp.]:[C. Imp.]],$D42,Imput[[PERIODO Imp.]:[PERIODO Imp.]],CC$9)</f>
        <v>0</v>
      </c>
      <c r="CD42" s="516">
        <f>SUMIFS(Imput[[Importe Neto]:[Importe Neto]],Imput[[C. Imp.]:[C. Imp.]],$D42,Imput[[PERIODO Imp.]:[PERIODO Imp.]],CD$9)</f>
        <v>0</v>
      </c>
      <c r="CE42" s="516">
        <f>SUMIFS(Imput[[Importe Neto]:[Importe Neto]],Imput[[C. Imp.]:[C. Imp.]],$D42,Imput[[PERIODO Imp.]:[PERIODO Imp.]],CE$9)</f>
        <v>0</v>
      </c>
      <c r="CF42" s="516">
        <f>SUMIFS(Imput[[Importe Neto]:[Importe Neto]],Imput[[C. Imp.]:[C. Imp.]],$D42,Imput[[PERIODO Imp.]:[PERIODO Imp.]],CF$9)</f>
        <v>0</v>
      </c>
      <c r="CG42" s="516">
        <f>SUMIFS(Imput[[Importe Neto]:[Importe Neto]],Imput[[C. Imp.]:[C. Imp.]],$D42,Imput[[PERIODO Imp.]:[PERIODO Imp.]],CG$9)</f>
        <v>0</v>
      </c>
      <c r="CH42" s="516">
        <f>SUMIFS(Imput[[Importe Neto]:[Importe Neto]],Imput[[C. Imp.]:[C. Imp.]],$D42,Imput[[PERIODO Imp.]:[PERIODO Imp.]],CH$9)</f>
        <v>0</v>
      </c>
      <c r="CI42" s="516">
        <f>SUMIFS(Imput[[Importe Neto]:[Importe Neto]],Imput[[C. Imp.]:[C. Imp.]],$D42,Imput[[PERIODO Imp.]:[PERIODO Imp.]],CI$9)</f>
        <v>0</v>
      </c>
      <c r="CJ42" s="516">
        <f>SUMIFS(Imput[[Importe Neto]:[Importe Neto]],Imput[[C. Imp.]:[C. Imp.]],$D42,Imput[[PERIODO Imp.]:[PERIODO Imp.]],CJ$9)</f>
        <v>0</v>
      </c>
      <c r="CK42" s="516">
        <f>SUMIFS(Imput[[Importe Neto]:[Importe Neto]],Imput[[C. Imp.]:[C. Imp.]],$D42,Imput[[PERIODO Imp.]:[PERIODO Imp.]],CK$9)</f>
        <v>0</v>
      </c>
      <c r="CL42" s="516">
        <f>SUMIFS(Imput[[Importe Neto]:[Importe Neto]],Imput[[C. Imp.]:[C. Imp.]],$D42,Imput[[PERIODO Imp.]:[PERIODO Imp.]],CL$9)</f>
        <v>0</v>
      </c>
      <c r="CM42" s="516">
        <f>SUMIFS(Imput[[Importe Neto]:[Importe Neto]],Imput[[C. Imp.]:[C. Imp.]],$D42,Imput[[PERIODO Imp.]:[PERIODO Imp.]],CM$9)</f>
        <v>0</v>
      </c>
      <c r="CN42" s="516">
        <f>SUMIFS(Imput[[Importe Neto]:[Importe Neto]],Imput[[C. Imp.]:[C. Imp.]],$D42,Imput[[PERIODO Imp.]:[PERIODO Imp.]],CN$9)</f>
        <v>0</v>
      </c>
      <c r="CO42" s="516">
        <f>SUMIFS(Imput[[Importe Neto]:[Importe Neto]],Imput[[C. Imp.]:[C. Imp.]],$D42,Imput[[PERIODO Imp.]:[PERIODO Imp.]],CO$9)</f>
        <v>0</v>
      </c>
      <c r="CP42" s="516">
        <f>SUMIFS(Imput[[Importe Neto]:[Importe Neto]],Imput[[C. Imp.]:[C. Imp.]],$D42,Imput[[PERIODO Imp.]:[PERIODO Imp.]],CP$9)</f>
        <v>0</v>
      </c>
      <c r="CQ42" s="516">
        <f>SUMIFS(Imput[[Importe Neto]:[Importe Neto]],Imput[[C. Imp.]:[C. Imp.]],$D42,Imput[[PERIODO Imp.]:[PERIODO Imp.]],CQ$9)</f>
        <v>0</v>
      </c>
      <c r="CR42" s="516">
        <f>SUMIFS(Imput[[Importe Neto]:[Importe Neto]],Imput[[C. Imp.]:[C. Imp.]],$D42,Imput[[PERIODO Imp.]:[PERIODO Imp.]],CR$9)</f>
        <v>0</v>
      </c>
      <c r="CS42" s="516">
        <f>SUMIFS(Imput[[Importe Neto]:[Importe Neto]],Imput[[C. Imp.]:[C. Imp.]],$D42,Imput[[PERIODO Imp.]:[PERIODO Imp.]],CS$9)</f>
        <v>0</v>
      </c>
      <c r="CT42" s="516">
        <f>SUMIFS(Imput[[Importe Neto]:[Importe Neto]],Imput[[C. Imp.]:[C. Imp.]],$D42,Imput[[PERIODO Imp.]:[PERIODO Imp.]],CT$9)</f>
        <v>0</v>
      </c>
      <c r="CU42" s="516">
        <f>SUMIFS(Imput[[Importe Neto]:[Importe Neto]],Imput[[C. Imp.]:[C. Imp.]],$D42,Imput[[PERIODO Imp.]:[PERIODO Imp.]],CU$9)</f>
        <v>0</v>
      </c>
      <c r="CV42" s="516">
        <f>SUMIFS(Imput[[Importe Neto]:[Importe Neto]],Imput[[C. Imp.]:[C. Imp.]],$D42,Imput[[PERIODO Imp.]:[PERIODO Imp.]],CV$9)</f>
        <v>0</v>
      </c>
      <c r="CW42" s="516">
        <f>SUMIFS(Imput[[Importe Neto]:[Importe Neto]],Imput[[C. Imp.]:[C. Imp.]],$D42,Imput[[PERIODO Imp.]:[PERIODO Imp.]],CW$9)</f>
        <v>0</v>
      </c>
      <c r="CX42" s="516">
        <f>SUMIFS(Imput[[Importe Neto]:[Importe Neto]],Imput[[C. Imp.]:[C. Imp.]],$D42,Imput[[PERIODO Imp.]:[PERIODO Imp.]],CX$9)</f>
        <v>0</v>
      </c>
      <c r="CY42" s="516">
        <f>SUMIFS(Imput[[Importe Neto]:[Importe Neto]],Imput[[C. Imp.]:[C. Imp.]],$D42,Imput[[PERIODO Imp.]:[PERIODO Imp.]],CY$9)</f>
        <v>0</v>
      </c>
      <c r="CZ42" s="516">
        <f>SUMIFS(Imput[[Importe Neto]:[Importe Neto]],Imput[[C. Imp.]:[C. Imp.]],$D42,Imput[[PERIODO Imp.]:[PERIODO Imp.]],CZ$9)</f>
        <v>0</v>
      </c>
      <c r="DA42" s="516">
        <f>SUMIFS(Imput[[Importe Neto]:[Importe Neto]],Imput[[C. Imp.]:[C. Imp.]],$D42,Imput[[PERIODO Imp.]:[PERIODO Imp.]],DA$9)</f>
        <v>0</v>
      </c>
      <c r="DB42" s="516">
        <f>SUMIFS(Imput[[Importe Neto]:[Importe Neto]],Imput[[C. Imp.]:[C. Imp.]],$D42,Imput[[PERIODO Imp.]:[PERIODO Imp.]],DB$9)</f>
        <v>0</v>
      </c>
      <c r="DC42" s="516">
        <f>SUMIFS(Imput[[Importe Neto]:[Importe Neto]],Imput[[C. Imp.]:[C. Imp.]],$D42,Imput[[PERIODO Imp.]:[PERIODO Imp.]],DC$9)</f>
        <v>0</v>
      </c>
      <c r="DD42" s="516">
        <f>SUMIFS(Imput[[Importe Neto]:[Importe Neto]],Imput[[C. Imp.]:[C. Imp.]],$D42,Imput[[PERIODO Imp.]:[PERIODO Imp.]],DD$9)</f>
        <v>0</v>
      </c>
      <c r="DE42" s="516">
        <f>SUMIFS(Imput[[Importe Neto]:[Importe Neto]],Imput[[C. Imp.]:[C. Imp.]],$D42,Imput[[PERIODO Imp.]:[PERIODO Imp.]],DE$9)</f>
        <v>0</v>
      </c>
      <c r="DF42" s="516">
        <f>SUMIFS(Imput[[Importe Neto]:[Importe Neto]],Imput[[C. Imp.]:[C. Imp.]],$D42,Imput[[PERIODO Imp.]:[PERIODO Imp.]],DF$9)</f>
        <v>0</v>
      </c>
      <c r="DG42" s="516">
        <f>SUMIFS(Imput[[Importe Neto]:[Importe Neto]],Imput[[C. Imp.]:[C. Imp.]],$D42,Imput[[PERIODO Imp.]:[PERIODO Imp.]],DG$9)</f>
        <v>0</v>
      </c>
      <c r="DH42" s="616">
        <f>SUMIFS(Imput[[Importe Neto]:[Importe Neto]],Imput[[C. Imp.]:[C. Imp.]],$D42,Imput[[PERIODO Imp.]:[PERIODO Imp.]],DH$9)</f>
        <v>0</v>
      </c>
    </row>
    <row r="43" spans="1:112" hidden="1" outlineLevel="1" x14ac:dyDescent="0.3">
      <c r="A43" s="66" t="str">
        <f t="shared" si="15"/>
        <v/>
      </c>
      <c r="C43" s="527"/>
      <c r="D43" s="528" t="s">
        <v>2152</v>
      </c>
      <c r="E43" s="528"/>
      <c r="F43" s="534"/>
      <c r="G43" s="529"/>
      <c r="H43" s="531"/>
      <c r="I43" s="849" t="str">
        <f t="shared" si="16"/>
        <v/>
      </c>
      <c r="J43" s="850" t="str">
        <f t="shared" si="17"/>
        <v/>
      </c>
      <c r="K43" s="70"/>
      <c r="L43" s="853"/>
      <c r="M43" s="855"/>
      <c r="N43" s="855"/>
      <c r="O43" s="855"/>
      <c r="P43" s="855"/>
      <c r="Q43" s="855"/>
      <c r="R43" s="855"/>
      <c r="S43" s="855"/>
      <c r="T43" s="855"/>
      <c r="U43" s="855"/>
      <c r="V43" s="855"/>
      <c r="W43" s="855"/>
      <c r="X43" s="855"/>
      <c r="Y43" s="855"/>
      <c r="Z43" s="856"/>
      <c r="AA43" s="856"/>
      <c r="AB43" s="856"/>
      <c r="AC43" s="856"/>
      <c r="AD43" s="856"/>
      <c r="AE43" s="856"/>
      <c r="AF43" s="856"/>
      <c r="AG43" s="856"/>
      <c r="AH43" s="856"/>
      <c r="AI43" s="856"/>
      <c r="AJ43" s="856"/>
      <c r="AK43" s="856"/>
      <c r="AL43" s="856"/>
      <c r="AM43" s="856"/>
      <c r="AN43" s="856"/>
      <c r="AO43" s="856"/>
      <c r="AP43" s="856"/>
      <c r="AQ43" s="856"/>
      <c r="AR43" s="856"/>
      <c r="AS43" s="856"/>
      <c r="AT43" s="856"/>
      <c r="AU43" s="856"/>
      <c r="AV43" s="856"/>
      <c r="AW43" s="856"/>
      <c r="AX43" s="856"/>
      <c r="AY43" s="856"/>
      <c r="AZ43" s="856"/>
      <c r="BA43" s="856"/>
      <c r="BB43" s="856"/>
      <c r="BC43" s="856"/>
      <c r="BD43" s="856"/>
      <c r="BE43" s="856"/>
      <c r="BF43" s="856"/>
      <c r="BG43" s="857"/>
      <c r="BH43" s="590"/>
      <c r="BI43" s="70"/>
      <c r="BJ43" s="518">
        <f t="shared" si="18"/>
        <v>0</v>
      </c>
      <c r="BK43" s="517">
        <f t="shared" si="19"/>
        <v>0</v>
      </c>
      <c r="BL43" s="68"/>
      <c r="BM43" s="515">
        <f>SUMIFS(Imput[[Importe Neto]:[Importe Neto]],Imput[[C. Imp.]:[C. Imp.]],$D43,Imput[[PERIODO Imp.]:[PERIODO Imp.]],BM$9)</f>
        <v>0</v>
      </c>
      <c r="BN43" s="516">
        <f>SUMIFS(Imput[[Importe Neto]:[Importe Neto]],Imput[[C. Imp.]:[C. Imp.]],$D43,Imput[[PERIODO Imp.]:[PERIODO Imp.]],BN$9)</f>
        <v>0</v>
      </c>
      <c r="BO43" s="516">
        <f>SUMIFS(Imput[[Importe Neto]:[Importe Neto]],Imput[[C. Imp.]:[C. Imp.]],$D43,Imput[[PERIODO Imp.]:[PERIODO Imp.]],BO$9)</f>
        <v>0</v>
      </c>
      <c r="BP43" s="516">
        <f>SUMIFS(Imput[[Importe Neto]:[Importe Neto]],Imput[[C. Imp.]:[C. Imp.]],$D43,Imput[[PERIODO Imp.]:[PERIODO Imp.]],BP$9)</f>
        <v>0</v>
      </c>
      <c r="BQ43" s="516">
        <f>SUMIFS(Imput[[Importe Neto]:[Importe Neto]],Imput[[C. Imp.]:[C. Imp.]],$D43,Imput[[PERIODO Imp.]:[PERIODO Imp.]],BQ$9)</f>
        <v>0</v>
      </c>
      <c r="BR43" s="516">
        <f>SUMIFS(Imput[[Importe Neto]:[Importe Neto]],Imput[[C. Imp.]:[C. Imp.]],$D43,Imput[[PERIODO Imp.]:[PERIODO Imp.]],BR$9)</f>
        <v>0</v>
      </c>
      <c r="BS43" s="516">
        <f>SUMIFS(Imput[[Importe Neto]:[Importe Neto]],Imput[[C. Imp.]:[C. Imp.]],$D43,Imput[[PERIODO Imp.]:[PERIODO Imp.]],BS$9)</f>
        <v>0</v>
      </c>
      <c r="BT43" s="516">
        <f>SUMIFS(Imput[[Importe Neto]:[Importe Neto]],Imput[[C. Imp.]:[C. Imp.]],$D43,Imput[[PERIODO Imp.]:[PERIODO Imp.]],BT$9)</f>
        <v>0</v>
      </c>
      <c r="BU43" s="516">
        <f>SUMIFS(Imput[[Importe Neto]:[Importe Neto]],Imput[[C. Imp.]:[C. Imp.]],$D43,Imput[[PERIODO Imp.]:[PERIODO Imp.]],BU$9)</f>
        <v>0</v>
      </c>
      <c r="BV43" s="516">
        <f>SUMIFS(Imput[[Importe Neto]:[Importe Neto]],Imput[[C. Imp.]:[C. Imp.]],$D43,Imput[[PERIODO Imp.]:[PERIODO Imp.]],BV$9)</f>
        <v>0</v>
      </c>
      <c r="BW43" s="516">
        <f>SUMIFS(Imput[[Importe Neto]:[Importe Neto]],Imput[[C. Imp.]:[C. Imp.]],$D43,Imput[[PERIODO Imp.]:[PERIODO Imp.]],BW$9)</f>
        <v>0</v>
      </c>
      <c r="BX43" s="516">
        <f>SUMIFS(Imput[[Importe Neto]:[Importe Neto]],Imput[[C. Imp.]:[C. Imp.]],$D43,Imput[[PERIODO Imp.]:[PERIODO Imp.]],BX$9)</f>
        <v>0</v>
      </c>
      <c r="BY43" s="516">
        <f>SUMIFS(Imput[[Importe Neto]:[Importe Neto]],Imput[[C. Imp.]:[C. Imp.]],$D43,Imput[[PERIODO Imp.]:[PERIODO Imp.]],BY$9)</f>
        <v>0</v>
      </c>
      <c r="BZ43" s="516">
        <f>SUMIFS(Imput[[Importe Neto]:[Importe Neto]],Imput[[C. Imp.]:[C. Imp.]],$D43,Imput[[PERIODO Imp.]:[PERIODO Imp.]],BZ$9)</f>
        <v>0</v>
      </c>
      <c r="CA43" s="516">
        <f>SUMIFS(Imput[[Importe Neto]:[Importe Neto]],Imput[[C. Imp.]:[C. Imp.]],$D43,Imput[[PERIODO Imp.]:[PERIODO Imp.]],CA$9)</f>
        <v>0</v>
      </c>
      <c r="CB43" s="516">
        <f>SUMIFS(Imput[[Importe Neto]:[Importe Neto]],Imput[[C. Imp.]:[C. Imp.]],$D43,Imput[[PERIODO Imp.]:[PERIODO Imp.]],CB$9)</f>
        <v>0</v>
      </c>
      <c r="CC43" s="516">
        <f>SUMIFS(Imput[[Importe Neto]:[Importe Neto]],Imput[[C. Imp.]:[C. Imp.]],$D43,Imput[[PERIODO Imp.]:[PERIODO Imp.]],CC$9)</f>
        <v>0</v>
      </c>
      <c r="CD43" s="516">
        <f>SUMIFS(Imput[[Importe Neto]:[Importe Neto]],Imput[[C. Imp.]:[C. Imp.]],$D43,Imput[[PERIODO Imp.]:[PERIODO Imp.]],CD$9)</f>
        <v>0</v>
      </c>
      <c r="CE43" s="516">
        <f>SUMIFS(Imput[[Importe Neto]:[Importe Neto]],Imput[[C. Imp.]:[C. Imp.]],$D43,Imput[[PERIODO Imp.]:[PERIODO Imp.]],CE$9)</f>
        <v>0</v>
      </c>
      <c r="CF43" s="516">
        <f>SUMIFS(Imput[[Importe Neto]:[Importe Neto]],Imput[[C. Imp.]:[C. Imp.]],$D43,Imput[[PERIODO Imp.]:[PERIODO Imp.]],CF$9)</f>
        <v>0</v>
      </c>
      <c r="CG43" s="516">
        <f>SUMIFS(Imput[[Importe Neto]:[Importe Neto]],Imput[[C. Imp.]:[C. Imp.]],$D43,Imput[[PERIODO Imp.]:[PERIODO Imp.]],CG$9)</f>
        <v>0</v>
      </c>
      <c r="CH43" s="516">
        <f>SUMIFS(Imput[[Importe Neto]:[Importe Neto]],Imput[[C. Imp.]:[C. Imp.]],$D43,Imput[[PERIODO Imp.]:[PERIODO Imp.]],CH$9)</f>
        <v>0</v>
      </c>
      <c r="CI43" s="516">
        <f>SUMIFS(Imput[[Importe Neto]:[Importe Neto]],Imput[[C. Imp.]:[C. Imp.]],$D43,Imput[[PERIODO Imp.]:[PERIODO Imp.]],CI$9)</f>
        <v>0</v>
      </c>
      <c r="CJ43" s="516">
        <f>SUMIFS(Imput[[Importe Neto]:[Importe Neto]],Imput[[C. Imp.]:[C. Imp.]],$D43,Imput[[PERIODO Imp.]:[PERIODO Imp.]],CJ$9)</f>
        <v>0</v>
      </c>
      <c r="CK43" s="516">
        <f>SUMIFS(Imput[[Importe Neto]:[Importe Neto]],Imput[[C. Imp.]:[C. Imp.]],$D43,Imput[[PERIODO Imp.]:[PERIODO Imp.]],CK$9)</f>
        <v>0</v>
      </c>
      <c r="CL43" s="516">
        <f>SUMIFS(Imput[[Importe Neto]:[Importe Neto]],Imput[[C. Imp.]:[C. Imp.]],$D43,Imput[[PERIODO Imp.]:[PERIODO Imp.]],CL$9)</f>
        <v>0</v>
      </c>
      <c r="CM43" s="516">
        <f>SUMIFS(Imput[[Importe Neto]:[Importe Neto]],Imput[[C. Imp.]:[C. Imp.]],$D43,Imput[[PERIODO Imp.]:[PERIODO Imp.]],CM$9)</f>
        <v>0</v>
      </c>
      <c r="CN43" s="516">
        <f>SUMIFS(Imput[[Importe Neto]:[Importe Neto]],Imput[[C. Imp.]:[C. Imp.]],$D43,Imput[[PERIODO Imp.]:[PERIODO Imp.]],CN$9)</f>
        <v>0</v>
      </c>
      <c r="CO43" s="516">
        <f>SUMIFS(Imput[[Importe Neto]:[Importe Neto]],Imput[[C. Imp.]:[C. Imp.]],$D43,Imput[[PERIODO Imp.]:[PERIODO Imp.]],CO$9)</f>
        <v>0</v>
      </c>
      <c r="CP43" s="516">
        <f>SUMIFS(Imput[[Importe Neto]:[Importe Neto]],Imput[[C. Imp.]:[C. Imp.]],$D43,Imput[[PERIODO Imp.]:[PERIODO Imp.]],CP$9)</f>
        <v>0</v>
      </c>
      <c r="CQ43" s="516">
        <f>SUMIFS(Imput[[Importe Neto]:[Importe Neto]],Imput[[C. Imp.]:[C. Imp.]],$D43,Imput[[PERIODO Imp.]:[PERIODO Imp.]],CQ$9)</f>
        <v>0</v>
      </c>
      <c r="CR43" s="516">
        <f>SUMIFS(Imput[[Importe Neto]:[Importe Neto]],Imput[[C. Imp.]:[C. Imp.]],$D43,Imput[[PERIODO Imp.]:[PERIODO Imp.]],CR$9)</f>
        <v>0</v>
      </c>
      <c r="CS43" s="516">
        <f>SUMIFS(Imput[[Importe Neto]:[Importe Neto]],Imput[[C. Imp.]:[C. Imp.]],$D43,Imput[[PERIODO Imp.]:[PERIODO Imp.]],CS$9)</f>
        <v>0</v>
      </c>
      <c r="CT43" s="516">
        <f>SUMIFS(Imput[[Importe Neto]:[Importe Neto]],Imput[[C. Imp.]:[C. Imp.]],$D43,Imput[[PERIODO Imp.]:[PERIODO Imp.]],CT$9)</f>
        <v>0</v>
      </c>
      <c r="CU43" s="516">
        <f>SUMIFS(Imput[[Importe Neto]:[Importe Neto]],Imput[[C. Imp.]:[C. Imp.]],$D43,Imput[[PERIODO Imp.]:[PERIODO Imp.]],CU$9)</f>
        <v>0</v>
      </c>
      <c r="CV43" s="516">
        <f>SUMIFS(Imput[[Importe Neto]:[Importe Neto]],Imput[[C. Imp.]:[C. Imp.]],$D43,Imput[[PERIODO Imp.]:[PERIODO Imp.]],CV$9)</f>
        <v>0</v>
      </c>
      <c r="CW43" s="516">
        <f>SUMIFS(Imput[[Importe Neto]:[Importe Neto]],Imput[[C. Imp.]:[C. Imp.]],$D43,Imput[[PERIODO Imp.]:[PERIODO Imp.]],CW$9)</f>
        <v>0</v>
      </c>
      <c r="CX43" s="516">
        <f>SUMIFS(Imput[[Importe Neto]:[Importe Neto]],Imput[[C. Imp.]:[C. Imp.]],$D43,Imput[[PERIODO Imp.]:[PERIODO Imp.]],CX$9)</f>
        <v>0</v>
      </c>
      <c r="CY43" s="516">
        <f>SUMIFS(Imput[[Importe Neto]:[Importe Neto]],Imput[[C. Imp.]:[C. Imp.]],$D43,Imput[[PERIODO Imp.]:[PERIODO Imp.]],CY$9)</f>
        <v>0</v>
      </c>
      <c r="CZ43" s="516">
        <f>SUMIFS(Imput[[Importe Neto]:[Importe Neto]],Imput[[C. Imp.]:[C. Imp.]],$D43,Imput[[PERIODO Imp.]:[PERIODO Imp.]],CZ$9)</f>
        <v>0</v>
      </c>
      <c r="DA43" s="516">
        <f>SUMIFS(Imput[[Importe Neto]:[Importe Neto]],Imput[[C. Imp.]:[C. Imp.]],$D43,Imput[[PERIODO Imp.]:[PERIODO Imp.]],DA$9)</f>
        <v>0</v>
      </c>
      <c r="DB43" s="516">
        <f>SUMIFS(Imput[[Importe Neto]:[Importe Neto]],Imput[[C. Imp.]:[C. Imp.]],$D43,Imput[[PERIODO Imp.]:[PERIODO Imp.]],DB$9)</f>
        <v>0</v>
      </c>
      <c r="DC43" s="516">
        <f>SUMIFS(Imput[[Importe Neto]:[Importe Neto]],Imput[[C. Imp.]:[C. Imp.]],$D43,Imput[[PERIODO Imp.]:[PERIODO Imp.]],DC$9)</f>
        <v>0</v>
      </c>
      <c r="DD43" s="516">
        <f>SUMIFS(Imput[[Importe Neto]:[Importe Neto]],Imput[[C. Imp.]:[C. Imp.]],$D43,Imput[[PERIODO Imp.]:[PERIODO Imp.]],DD$9)</f>
        <v>0</v>
      </c>
      <c r="DE43" s="516">
        <f>SUMIFS(Imput[[Importe Neto]:[Importe Neto]],Imput[[C. Imp.]:[C. Imp.]],$D43,Imput[[PERIODO Imp.]:[PERIODO Imp.]],DE$9)</f>
        <v>0</v>
      </c>
      <c r="DF43" s="516">
        <f>SUMIFS(Imput[[Importe Neto]:[Importe Neto]],Imput[[C. Imp.]:[C. Imp.]],$D43,Imput[[PERIODO Imp.]:[PERIODO Imp.]],DF$9)</f>
        <v>0</v>
      </c>
      <c r="DG43" s="516">
        <f>SUMIFS(Imput[[Importe Neto]:[Importe Neto]],Imput[[C. Imp.]:[C. Imp.]],$D43,Imput[[PERIODO Imp.]:[PERIODO Imp.]],DG$9)</f>
        <v>0</v>
      </c>
      <c r="DH43" s="616">
        <f>SUMIFS(Imput[[Importe Neto]:[Importe Neto]],Imput[[C. Imp.]:[C. Imp.]],$D43,Imput[[PERIODO Imp.]:[PERIODO Imp.]],DH$9)</f>
        <v>0</v>
      </c>
    </row>
    <row r="44" spans="1:112" hidden="1" outlineLevel="1" x14ac:dyDescent="0.3">
      <c r="A44" s="66" t="str">
        <f t="shared" si="15"/>
        <v/>
      </c>
      <c r="C44" s="527"/>
      <c r="D44" s="528" t="s">
        <v>2153</v>
      </c>
      <c r="E44" s="528"/>
      <c r="F44" s="534"/>
      <c r="G44" s="529"/>
      <c r="H44" s="531"/>
      <c r="I44" s="849" t="str">
        <f t="shared" si="16"/>
        <v/>
      </c>
      <c r="J44" s="850" t="str">
        <f t="shared" si="17"/>
        <v/>
      </c>
      <c r="K44" s="70"/>
      <c r="L44" s="853"/>
      <c r="M44" s="855"/>
      <c r="N44" s="855"/>
      <c r="O44" s="855"/>
      <c r="P44" s="855"/>
      <c r="Q44" s="855"/>
      <c r="R44" s="855"/>
      <c r="S44" s="855"/>
      <c r="T44" s="855"/>
      <c r="U44" s="855"/>
      <c r="V44" s="855"/>
      <c r="W44" s="855"/>
      <c r="X44" s="855"/>
      <c r="Y44" s="855"/>
      <c r="Z44" s="856"/>
      <c r="AA44" s="856"/>
      <c r="AB44" s="856"/>
      <c r="AC44" s="856"/>
      <c r="AD44" s="856"/>
      <c r="AE44" s="856"/>
      <c r="AF44" s="856"/>
      <c r="AG44" s="856"/>
      <c r="AH44" s="856"/>
      <c r="AI44" s="856"/>
      <c r="AJ44" s="856"/>
      <c r="AK44" s="856"/>
      <c r="AL44" s="856"/>
      <c r="AM44" s="856"/>
      <c r="AN44" s="856"/>
      <c r="AO44" s="856"/>
      <c r="AP44" s="856"/>
      <c r="AQ44" s="856"/>
      <c r="AR44" s="856"/>
      <c r="AS44" s="856"/>
      <c r="AT44" s="856"/>
      <c r="AU44" s="856"/>
      <c r="AV44" s="856"/>
      <c r="AW44" s="856"/>
      <c r="AX44" s="856"/>
      <c r="AY44" s="856"/>
      <c r="AZ44" s="856"/>
      <c r="BA44" s="856"/>
      <c r="BB44" s="856"/>
      <c r="BC44" s="856"/>
      <c r="BD44" s="856"/>
      <c r="BE44" s="856"/>
      <c r="BF44" s="856"/>
      <c r="BG44" s="857"/>
      <c r="BH44" s="590"/>
      <c r="BI44" s="70"/>
      <c r="BJ44" s="518">
        <f t="shared" si="18"/>
        <v>0</v>
      </c>
      <c r="BK44" s="517">
        <f t="shared" si="19"/>
        <v>0</v>
      </c>
      <c r="BL44" s="68"/>
      <c r="BM44" s="515">
        <f>SUMIFS(Imput[[Importe Neto]:[Importe Neto]],Imput[[C. Imp.]:[C. Imp.]],$D44,Imput[[PERIODO Imp.]:[PERIODO Imp.]],BM$9)</f>
        <v>0</v>
      </c>
      <c r="BN44" s="516">
        <f>SUMIFS(Imput[[Importe Neto]:[Importe Neto]],Imput[[C. Imp.]:[C. Imp.]],$D44,Imput[[PERIODO Imp.]:[PERIODO Imp.]],BN$9)</f>
        <v>0</v>
      </c>
      <c r="BO44" s="516">
        <f>SUMIFS(Imput[[Importe Neto]:[Importe Neto]],Imput[[C. Imp.]:[C. Imp.]],$D44,Imput[[PERIODO Imp.]:[PERIODO Imp.]],BO$9)</f>
        <v>0</v>
      </c>
      <c r="BP44" s="516">
        <f>SUMIFS(Imput[[Importe Neto]:[Importe Neto]],Imput[[C. Imp.]:[C. Imp.]],$D44,Imput[[PERIODO Imp.]:[PERIODO Imp.]],BP$9)</f>
        <v>0</v>
      </c>
      <c r="BQ44" s="516">
        <f>SUMIFS(Imput[[Importe Neto]:[Importe Neto]],Imput[[C. Imp.]:[C. Imp.]],$D44,Imput[[PERIODO Imp.]:[PERIODO Imp.]],BQ$9)</f>
        <v>0</v>
      </c>
      <c r="BR44" s="516">
        <f>SUMIFS(Imput[[Importe Neto]:[Importe Neto]],Imput[[C. Imp.]:[C. Imp.]],$D44,Imput[[PERIODO Imp.]:[PERIODO Imp.]],BR$9)</f>
        <v>0</v>
      </c>
      <c r="BS44" s="516">
        <f>SUMIFS(Imput[[Importe Neto]:[Importe Neto]],Imput[[C. Imp.]:[C. Imp.]],$D44,Imput[[PERIODO Imp.]:[PERIODO Imp.]],BS$9)</f>
        <v>0</v>
      </c>
      <c r="BT44" s="516">
        <f>SUMIFS(Imput[[Importe Neto]:[Importe Neto]],Imput[[C. Imp.]:[C. Imp.]],$D44,Imput[[PERIODO Imp.]:[PERIODO Imp.]],BT$9)</f>
        <v>0</v>
      </c>
      <c r="BU44" s="516">
        <f>SUMIFS(Imput[[Importe Neto]:[Importe Neto]],Imput[[C. Imp.]:[C. Imp.]],$D44,Imput[[PERIODO Imp.]:[PERIODO Imp.]],BU$9)</f>
        <v>0</v>
      </c>
      <c r="BV44" s="516">
        <f>SUMIFS(Imput[[Importe Neto]:[Importe Neto]],Imput[[C. Imp.]:[C. Imp.]],$D44,Imput[[PERIODO Imp.]:[PERIODO Imp.]],BV$9)</f>
        <v>0</v>
      </c>
      <c r="BW44" s="516">
        <f>SUMIFS(Imput[[Importe Neto]:[Importe Neto]],Imput[[C. Imp.]:[C. Imp.]],$D44,Imput[[PERIODO Imp.]:[PERIODO Imp.]],BW$9)</f>
        <v>0</v>
      </c>
      <c r="BX44" s="516">
        <f>SUMIFS(Imput[[Importe Neto]:[Importe Neto]],Imput[[C. Imp.]:[C. Imp.]],$D44,Imput[[PERIODO Imp.]:[PERIODO Imp.]],BX$9)</f>
        <v>0</v>
      </c>
      <c r="BY44" s="516">
        <f>SUMIFS(Imput[[Importe Neto]:[Importe Neto]],Imput[[C. Imp.]:[C. Imp.]],$D44,Imput[[PERIODO Imp.]:[PERIODO Imp.]],BY$9)</f>
        <v>0</v>
      </c>
      <c r="BZ44" s="516">
        <f>SUMIFS(Imput[[Importe Neto]:[Importe Neto]],Imput[[C. Imp.]:[C. Imp.]],$D44,Imput[[PERIODO Imp.]:[PERIODO Imp.]],BZ$9)</f>
        <v>0</v>
      </c>
      <c r="CA44" s="516">
        <f>SUMIFS(Imput[[Importe Neto]:[Importe Neto]],Imput[[C. Imp.]:[C. Imp.]],$D44,Imput[[PERIODO Imp.]:[PERIODO Imp.]],CA$9)</f>
        <v>0</v>
      </c>
      <c r="CB44" s="516">
        <f>SUMIFS(Imput[[Importe Neto]:[Importe Neto]],Imput[[C. Imp.]:[C. Imp.]],$D44,Imput[[PERIODO Imp.]:[PERIODO Imp.]],CB$9)</f>
        <v>0</v>
      </c>
      <c r="CC44" s="516">
        <f>SUMIFS(Imput[[Importe Neto]:[Importe Neto]],Imput[[C. Imp.]:[C. Imp.]],$D44,Imput[[PERIODO Imp.]:[PERIODO Imp.]],CC$9)</f>
        <v>0</v>
      </c>
      <c r="CD44" s="516">
        <f>SUMIFS(Imput[[Importe Neto]:[Importe Neto]],Imput[[C. Imp.]:[C. Imp.]],$D44,Imput[[PERIODO Imp.]:[PERIODO Imp.]],CD$9)</f>
        <v>0</v>
      </c>
      <c r="CE44" s="516">
        <f>SUMIFS(Imput[[Importe Neto]:[Importe Neto]],Imput[[C. Imp.]:[C. Imp.]],$D44,Imput[[PERIODO Imp.]:[PERIODO Imp.]],CE$9)</f>
        <v>0</v>
      </c>
      <c r="CF44" s="516">
        <f>SUMIFS(Imput[[Importe Neto]:[Importe Neto]],Imput[[C. Imp.]:[C. Imp.]],$D44,Imput[[PERIODO Imp.]:[PERIODO Imp.]],CF$9)</f>
        <v>0</v>
      </c>
      <c r="CG44" s="516">
        <f>SUMIFS(Imput[[Importe Neto]:[Importe Neto]],Imput[[C. Imp.]:[C. Imp.]],$D44,Imput[[PERIODO Imp.]:[PERIODO Imp.]],CG$9)</f>
        <v>0</v>
      </c>
      <c r="CH44" s="516">
        <f>SUMIFS(Imput[[Importe Neto]:[Importe Neto]],Imput[[C. Imp.]:[C. Imp.]],$D44,Imput[[PERIODO Imp.]:[PERIODO Imp.]],CH$9)</f>
        <v>0</v>
      </c>
      <c r="CI44" s="516">
        <f>SUMIFS(Imput[[Importe Neto]:[Importe Neto]],Imput[[C. Imp.]:[C. Imp.]],$D44,Imput[[PERIODO Imp.]:[PERIODO Imp.]],CI$9)</f>
        <v>0</v>
      </c>
      <c r="CJ44" s="516">
        <f>SUMIFS(Imput[[Importe Neto]:[Importe Neto]],Imput[[C. Imp.]:[C. Imp.]],$D44,Imput[[PERIODO Imp.]:[PERIODO Imp.]],CJ$9)</f>
        <v>0</v>
      </c>
      <c r="CK44" s="516">
        <f>SUMIFS(Imput[[Importe Neto]:[Importe Neto]],Imput[[C. Imp.]:[C. Imp.]],$D44,Imput[[PERIODO Imp.]:[PERIODO Imp.]],CK$9)</f>
        <v>0</v>
      </c>
      <c r="CL44" s="516">
        <f>SUMIFS(Imput[[Importe Neto]:[Importe Neto]],Imput[[C. Imp.]:[C. Imp.]],$D44,Imput[[PERIODO Imp.]:[PERIODO Imp.]],CL$9)</f>
        <v>0</v>
      </c>
      <c r="CM44" s="516">
        <f>SUMIFS(Imput[[Importe Neto]:[Importe Neto]],Imput[[C. Imp.]:[C. Imp.]],$D44,Imput[[PERIODO Imp.]:[PERIODO Imp.]],CM$9)</f>
        <v>0</v>
      </c>
      <c r="CN44" s="516">
        <f>SUMIFS(Imput[[Importe Neto]:[Importe Neto]],Imput[[C. Imp.]:[C. Imp.]],$D44,Imput[[PERIODO Imp.]:[PERIODO Imp.]],CN$9)</f>
        <v>0</v>
      </c>
      <c r="CO44" s="516">
        <f>SUMIFS(Imput[[Importe Neto]:[Importe Neto]],Imput[[C. Imp.]:[C. Imp.]],$D44,Imput[[PERIODO Imp.]:[PERIODO Imp.]],CO$9)</f>
        <v>0</v>
      </c>
      <c r="CP44" s="516">
        <f>SUMIFS(Imput[[Importe Neto]:[Importe Neto]],Imput[[C. Imp.]:[C. Imp.]],$D44,Imput[[PERIODO Imp.]:[PERIODO Imp.]],CP$9)</f>
        <v>0</v>
      </c>
      <c r="CQ44" s="516">
        <f>SUMIFS(Imput[[Importe Neto]:[Importe Neto]],Imput[[C. Imp.]:[C. Imp.]],$D44,Imput[[PERIODO Imp.]:[PERIODO Imp.]],CQ$9)</f>
        <v>0</v>
      </c>
      <c r="CR44" s="516">
        <f>SUMIFS(Imput[[Importe Neto]:[Importe Neto]],Imput[[C. Imp.]:[C. Imp.]],$D44,Imput[[PERIODO Imp.]:[PERIODO Imp.]],CR$9)</f>
        <v>0</v>
      </c>
      <c r="CS44" s="516">
        <f>SUMIFS(Imput[[Importe Neto]:[Importe Neto]],Imput[[C. Imp.]:[C. Imp.]],$D44,Imput[[PERIODO Imp.]:[PERIODO Imp.]],CS$9)</f>
        <v>0</v>
      </c>
      <c r="CT44" s="516">
        <f>SUMIFS(Imput[[Importe Neto]:[Importe Neto]],Imput[[C. Imp.]:[C. Imp.]],$D44,Imput[[PERIODO Imp.]:[PERIODO Imp.]],CT$9)</f>
        <v>0</v>
      </c>
      <c r="CU44" s="516">
        <f>SUMIFS(Imput[[Importe Neto]:[Importe Neto]],Imput[[C. Imp.]:[C. Imp.]],$D44,Imput[[PERIODO Imp.]:[PERIODO Imp.]],CU$9)</f>
        <v>0</v>
      </c>
      <c r="CV44" s="516">
        <f>SUMIFS(Imput[[Importe Neto]:[Importe Neto]],Imput[[C. Imp.]:[C. Imp.]],$D44,Imput[[PERIODO Imp.]:[PERIODO Imp.]],CV$9)</f>
        <v>0</v>
      </c>
      <c r="CW44" s="516">
        <f>SUMIFS(Imput[[Importe Neto]:[Importe Neto]],Imput[[C. Imp.]:[C. Imp.]],$D44,Imput[[PERIODO Imp.]:[PERIODO Imp.]],CW$9)</f>
        <v>0</v>
      </c>
      <c r="CX44" s="516">
        <f>SUMIFS(Imput[[Importe Neto]:[Importe Neto]],Imput[[C. Imp.]:[C. Imp.]],$D44,Imput[[PERIODO Imp.]:[PERIODO Imp.]],CX$9)</f>
        <v>0</v>
      </c>
      <c r="CY44" s="516">
        <f>SUMIFS(Imput[[Importe Neto]:[Importe Neto]],Imput[[C. Imp.]:[C. Imp.]],$D44,Imput[[PERIODO Imp.]:[PERIODO Imp.]],CY$9)</f>
        <v>0</v>
      </c>
      <c r="CZ44" s="516">
        <f>SUMIFS(Imput[[Importe Neto]:[Importe Neto]],Imput[[C. Imp.]:[C. Imp.]],$D44,Imput[[PERIODO Imp.]:[PERIODO Imp.]],CZ$9)</f>
        <v>0</v>
      </c>
      <c r="DA44" s="516">
        <f>SUMIFS(Imput[[Importe Neto]:[Importe Neto]],Imput[[C. Imp.]:[C. Imp.]],$D44,Imput[[PERIODO Imp.]:[PERIODO Imp.]],DA$9)</f>
        <v>0</v>
      </c>
      <c r="DB44" s="516">
        <f>SUMIFS(Imput[[Importe Neto]:[Importe Neto]],Imput[[C. Imp.]:[C. Imp.]],$D44,Imput[[PERIODO Imp.]:[PERIODO Imp.]],DB$9)</f>
        <v>0</v>
      </c>
      <c r="DC44" s="516">
        <f>SUMIFS(Imput[[Importe Neto]:[Importe Neto]],Imput[[C. Imp.]:[C. Imp.]],$D44,Imput[[PERIODO Imp.]:[PERIODO Imp.]],DC$9)</f>
        <v>0</v>
      </c>
      <c r="DD44" s="516">
        <f>SUMIFS(Imput[[Importe Neto]:[Importe Neto]],Imput[[C. Imp.]:[C. Imp.]],$D44,Imput[[PERIODO Imp.]:[PERIODO Imp.]],DD$9)</f>
        <v>0</v>
      </c>
      <c r="DE44" s="516">
        <f>SUMIFS(Imput[[Importe Neto]:[Importe Neto]],Imput[[C. Imp.]:[C. Imp.]],$D44,Imput[[PERIODO Imp.]:[PERIODO Imp.]],DE$9)</f>
        <v>0</v>
      </c>
      <c r="DF44" s="516">
        <f>SUMIFS(Imput[[Importe Neto]:[Importe Neto]],Imput[[C. Imp.]:[C. Imp.]],$D44,Imput[[PERIODO Imp.]:[PERIODO Imp.]],DF$9)</f>
        <v>0</v>
      </c>
      <c r="DG44" s="516">
        <f>SUMIFS(Imput[[Importe Neto]:[Importe Neto]],Imput[[C. Imp.]:[C. Imp.]],$D44,Imput[[PERIODO Imp.]:[PERIODO Imp.]],DG$9)</f>
        <v>0</v>
      </c>
      <c r="DH44" s="616">
        <f>SUMIFS(Imput[[Importe Neto]:[Importe Neto]],Imput[[C. Imp.]:[C. Imp.]],$D44,Imput[[PERIODO Imp.]:[PERIODO Imp.]],DH$9)</f>
        <v>0</v>
      </c>
    </row>
    <row r="45" spans="1:112" hidden="1" outlineLevel="1" x14ac:dyDescent="0.3">
      <c r="A45" s="66" t="str">
        <f t="shared" si="15"/>
        <v/>
      </c>
      <c r="C45" s="527"/>
      <c r="D45" s="528" t="s">
        <v>2154</v>
      </c>
      <c r="E45" s="528"/>
      <c r="F45" s="534"/>
      <c r="G45" s="529"/>
      <c r="H45" s="531"/>
      <c r="I45" s="849" t="str">
        <f t="shared" si="16"/>
        <v/>
      </c>
      <c r="J45" s="850" t="str">
        <f t="shared" si="17"/>
        <v/>
      </c>
      <c r="K45" s="70"/>
      <c r="L45" s="853"/>
      <c r="M45" s="855"/>
      <c r="N45" s="855"/>
      <c r="O45" s="855"/>
      <c r="P45" s="855"/>
      <c r="Q45" s="855"/>
      <c r="R45" s="855"/>
      <c r="S45" s="855"/>
      <c r="T45" s="855"/>
      <c r="U45" s="855"/>
      <c r="V45" s="855"/>
      <c r="W45" s="855"/>
      <c r="X45" s="855"/>
      <c r="Y45" s="855"/>
      <c r="Z45" s="856"/>
      <c r="AA45" s="856"/>
      <c r="AB45" s="856"/>
      <c r="AC45" s="856"/>
      <c r="AD45" s="856"/>
      <c r="AE45" s="856"/>
      <c r="AF45" s="856"/>
      <c r="AG45" s="856"/>
      <c r="AH45" s="856"/>
      <c r="AI45" s="856"/>
      <c r="AJ45" s="856"/>
      <c r="AK45" s="856"/>
      <c r="AL45" s="856"/>
      <c r="AM45" s="856"/>
      <c r="AN45" s="856"/>
      <c r="AO45" s="856"/>
      <c r="AP45" s="856"/>
      <c r="AQ45" s="856"/>
      <c r="AR45" s="856"/>
      <c r="AS45" s="856"/>
      <c r="AT45" s="856"/>
      <c r="AU45" s="856"/>
      <c r="AV45" s="856"/>
      <c r="AW45" s="856"/>
      <c r="AX45" s="856"/>
      <c r="AY45" s="856"/>
      <c r="AZ45" s="856"/>
      <c r="BA45" s="856"/>
      <c r="BB45" s="856"/>
      <c r="BC45" s="856"/>
      <c r="BD45" s="856"/>
      <c r="BE45" s="856"/>
      <c r="BF45" s="856"/>
      <c r="BG45" s="857"/>
      <c r="BH45" s="590"/>
      <c r="BI45" s="70"/>
      <c r="BJ45" s="518">
        <f t="shared" si="18"/>
        <v>0</v>
      </c>
      <c r="BK45" s="517">
        <f t="shared" si="19"/>
        <v>0</v>
      </c>
      <c r="BL45" s="68"/>
      <c r="BM45" s="515">
        <f>SUMIFS(Imput[[Importe Neto]:[Importe Neto]],Imput[[C. Imp.]:[C. Imp.]],$D45,Imput[[PERIODO Imp.]:[PERIODO Imp.]],BM$9)</f>
        <v>0</v>
      </c>
      <c r="BN45" s="516">
        <f>SUMIFS(Imput[[Importe Neto]:[Importe Neto]],Imput[[C. Imp.]:[C. Imp.]],$D45,Imput[[PERIODO Imp.]:[PERIODO Imp.]],BN$9)</f>
        <v>0</v>
      </c>
      <c r="BO45" s="516">
        <f>SUMIFS(Imput[[Importe Neto]:[Importe Neto]],Imput[[C. Imp.]:[C. Imp.]],$D45,Imput[[PERIODO Imp.]:[PERIODO Imp.]],BO$9)</f>
        <v>0</v>
      </c>
      <c r="BP45" s="516">
        <f>SUMIFS(Imput[[Importe Neto]:[Importe Neto]],Imput[[C. Imp.]:[C. Imp.]],$D45,Imput[[PERIODO Imp.]:[PERIODO Imp.]],BP$9)</f>
        <v>0</v>
      </c>
      <c r="BQ45" s="516">
        <f>SUMIFS(Imput[[Importe Neto]:[Importe Neto]],Imput[[C. Imp.]:[C. Imp.]],$D45,Imput[[PERIODO Imp.]:[PERIODO Imp.]],BQ$9)</f>
        <v>0</v>
      </c>
      <c r="BR45" s="516">
        <f>SUMIFS(Imput[[Importe Neto]:[Importe Neto]],Imput[[C. Imp.]:[C. Imp.]],$D45,Imput[[PERIODO Imp.]:[PERIODO Imp.]],BR$9)</f>
        <v>0</v>
      </c>
      <c r="BS45" s="516">
        <f>SUMIFS(Imput[[Importe Neto]:[Importe Neto]],Imput[[C. Imp.]:[C. Imp.]],$D45,Imput[[PERIODO Imp.]:[PERIODO Imp.]],BS$9)</f>
        <v>0</v>
      </c>
      <c r="BT45" s="516">
        <f>SUMIFS(Imput[[Importe Neto]:[Importe Neto]],Imput[[C. Imp.]:[C. Imp.]],$D45,Imput[[PERIODO Imp.]:[PERIODO Imp.]],BT$9)</f>
        <v>0</v>
      </c>
      <c r="BU45" s="516">
        <f>SUMIFS(Imput[[Importe Neto]:[Importe Neto]],Imput[[C. Imp.]:[C. Imp.]],$D45,Imput[[PERIODO Imp.]:[PERIODO Imp.]],BU$9)</f>
        <v>0</v>
      </c>
      <c r="BV45" s="516">
        <f>SUMIFS(Imput[[Importe Neto]:[Importe Neto]],Imput[[C. Imp.]:[C. Imp.]],$D45,Imput[[PERIODO Imp.]:[PERIODO Imp.]],BV$9)</f>
        <v>0</v>
      </c>
      <c r="BW45" s="516">
        <f>SUMIFS(Imput[[Importe Neto]:[Importe Neto]],Imput[[C. Imp.]:[C. Imp.]],$D45,Imput[[PERIODO Imp.]:[PERIODO Imp.]],BW$9)</f>
        <v>0</v>
      </c>
      <c r="BX45" s="516">
        <f>SUMIFS(Imput[[Importe Neto]:[Importe Neto]],Imput[[C. Imp.]:[C. Imp.]],$D45,Imput[[PERIODO Imp.]:[PERIODO Imp.]],BX$9)</f>
        <v>0</v>
      </c>
      <c r="BY45" s="516">
        <f>SUMIFS(Imput[[Importe Neto]:[Importe Neto]],Imput[[C. Imp.]:[C. Imp.]],$D45,Imput[[PERIODO Imp.]:[PERIODO Imp.]],BY$9)</f>
        <v>0</v>
      </c>
      <c r="BZ45" s="516">
        <f>SUMIFS(Imput[[Importe Neto]:[Importe Neto]],Imput[[C. Imp.]:[C. Imp.]],$D45,Imput[[PERIODO Imp.]:[PERIODO Imp.]],BZ$9)</f>
        <v>0</v>
      </c>
      <c r="CA45" s="516">
        <f>SUMIFS(Imput[[Importe Neto]:[Importe Neto]],Imput[[C. Imp.]:[C. Imp.]],$D45,Imput[[PERIODO Imp.]:[PERIODO Imp.]],CA$9)</f>
        <v>0</v>
      </c>
      <c r="CB45" s="516">
        <f>SUMIFS(Imput[[Importe Neto]:[Importe Neto]],Imput[[C. Imp.]:[C. Imp.]],$D45,Imput[[PERIODO Imp.]:[PERIODO Imp.]],CB$9)</f>
        <v>0</v>
      </c>
      <c r="CC45" s="516">
        <f>SUMIFS(Imput[[Importe Neto]:[Importe Neto]],Imput[[C. Imp.]:[C. Imp.]],$D45,Imput[[PERIODO Imp.]:[PERIODO Imp.]],CC$9)</f>
        <v>0</v>
      </c>
      <c r="CD45" s="516">
        <f>SUMIFS(Imput[[Importe Neto]:[Importe Neto]],Imput[[C. Imp.]:[C. Imp.]],$D45,Imput[[PERIODO Imp.]:[PERIODO Imp.]],CD$9)</f>
        <v>0</v>
      </c>
      <c r="CE45" s="516">
        <f>SUMIFS(Imput[[Importe Neto]:[Importe Neto]],Imput[[C. Imp.]:[C. Imp.]],$D45,Imput[[PERIODO Imp.]:[PERIODO Imp.]],CE$9)</f>
        <v>0</v>
      </c>
      <c r="CF45" s="516">
        <f>SUMIFS(Imput[[Importe Neto]:[Importe Neto]],Imput[[C. Imp.]:[C. Imp.]],$D45,Imput[[PERIODO Imp.]:[PERIODO Imp.]],CF$9)</f>
        <v>0</v>
      </c>
      <c r="CG45" s="516">
        <f>SUMIFS(Imput[[Importe Neto]:[Importe Neto]],Imput[[C. Imp.]:[C. Imp.]],$D45,Imput[[PERIODO Imp.]:[PERIODO Imp.]],CG$9)</f>
        <v>0</v>
      </c>
      <c r="CH45" s="516">
        <f>SUMIFS(Imput[[Importe Neto]:[Importe Neto]],Imput[[C. Imp.]:[C. Imp.]],$D45,Imput[[PERIODO Imp.]:[PERIODO Imp.]],CH$9)</f>
        <v>0</v>
      </c>
      <c r="CI45" s="516">
        <f>SUMIFS(Imput[[Importe Neto]:[Importe Neto]],Imput[[C. Imp.]:[C. Imp.]],$D45,Imput[[PERIODO Imp.]:[PERIODO Imp.]],CI$9)</f>
        <v>0</v>
      </c>
      <c r="CJ45" s="516">
        <f>SUMIFS(Imput[[Importe Neto]:[Importe Neto]],Imput[[C. Imp.]:[C. Imp.]],$D45,Imput[[PERIODO Imp.]:[PERIODO Imp.]],CJ$9)</f>
        <v>0</v>
      </c>
      <c r="CK45" s="516">
        <f>SUMIFS(Imput[[Importe Neto]:[Importe Neto]],Imput[[C. Imp.]:[C. Imp.]],$D45,Imput[[PERIODO Imp.]:[PERIODO Imp.]],CK$9)</f>
        <v>0</v>
      </c>
      <c r="CL45" s="516">
        <f>SUMIFS(Imput[[Importe Neto]:[Importe Neto]],Imput[[C. Imp.]:[C. Imp.]],$D45,Imput[[PERIODO Imp.]:[PERIODO Imp.]],CL$9)</f>
        <v>0</v>
      </c>
      <c r="CM45" s="516">
        <f>SUMIFS(Imput[[Importe Neto]:[Importe Neto]],Imput[[C. Imp.]:[C. Imp.]],$D45,Imput[[PERIODO Imp.]:[PERIODO Imp.]],CM$9)</f>
        <v>0</v>
      </c>
      <c r="CN45" s="516">
        <f>SUMIFS(Imput[[Importe Neto]:[Importe Neto]],Imput[[C. Imp.]:[C. Imp.]],$D45,Imput[[PERIODO Imp.]:[PERIODO Imp.]],CN$9)</f>
        <v>0</v>
      </c>
      <c r="CO45" s="516">
        <f>SUMIFS(Imput[[Importe Neto]:[Importe Neto]],Imput[[C. Imp.]:[C. Imp.]],$D45,Imput[[PERIODO Imp.]:[PERIODO Imp.]],CO$9)</f>
        <v>0</v>
      </c>
      <c r="CP45" s="516">
        <f>SUMIFS(Imput[[Importe Neto]:[Importe Neto]],Imput[[C. Imp.]:[C. Imp.]],$D45,Imput[[PERIODO Imp.]:[PERIODO Imp.]],CP$9)</f>
        <v>0</v>
      </c>
      <c r="CQ45" s="516">
        <f>SUMIFS(Imput[[Importe Neto]:[Importe Neto]],Imput[[C. Imp.]:[C. Imp.]],$D45,Imput[[PERIODO Imp.]:[PERIODO Imp.]],CQ$9)</f>
        <v>0</v>
      </c>
      <c r="CR45" s="516">
        <f>SUMIFS(Imput[[Importe Neto]:[Importe Neto]],Imput[[C. Imp.]:[C. Imp.]],$D45,Imput[[PERIODO Imp.]:[PERIODO Imp.]],CR$9)</f>
        <v>0</v>
      </c>
      <c r="CS45" s="516">
        <f>SUMIFS(Imput[[Importe Neto]:[Importe Neto]],Imput[[C. Imp.]:[C. Imp.]],$D45,Imput[[PERIODO Imp.]:[PERIODO Imp.]],CS$9)</f>
        <v>0</v>
      </c>
      <c r="CT45" s="516">
        <f>SUMIFS(Imput[[Importe Neto]:[Importe Neto]],Imput[[C. Imp.]:[C. Imp.]],$D45,Imput[[PERIODO Imp.]:[PERIODO Imp.]],CT$9)</f>
        <v>0</v>
      </c>
      <c r="CU45" s="516">
        <f>SUMIFS(Imput[[Importe Neto]:[Importe Neto]],Imput[[C. Imp.]:[C. Imp.]],$D45,Imput[[PERIODO Imp.]:[PERIODO Imp.]],CU$9)</f>
        <v>0</v>
      </c>
      <c r="CV45" s="516">
        <f>SUMIFS(Imput[[Importe Neto]:[Importe Neto]],Imput[[C. Imp.]:[C. Imp.]],$D45,Imput[[PERIODO Imp.]:[PERIODO Imp.]],CV$9)</f>
        <v>0</v>
      </c>
      <c r="CW45" s="516">
        <f>SUMIFS(Imput[[Importe Neto]:[Importe Neto]],Imput[[C. Imp.]:[C. Imp.]],$D45,Imput[[PERIODO Imp.]:[PERIODO Imp.]],CW$9)</f>
        <v>0</v>
      </c>
      <c r="CX45" s="516">
        <f>SUMIFS(Imput[[Importe Neto]:[Importe Neto]],Imput[[C. Imp.]:[C. Imp.]],$D45,Imput[[PERIODO Imp.]:[PERIODO Imp.]],CX$9)</f>
        <v>0</v>
      </c>
      <c r="CY45" s="516">
        <f>SUMIFS(Imput[[Importe Neto]:[Importe Neto]],Imput[[C. Imp.]:[C. Imp.]],$D45,Imput[[PERIODO Imp.]:[PERIODO Imp.]],CY$9)</f>
        <v>0</v>
      </c>
      <c r="CZ45" s="516">
        <f>SUMIFS(Imput[[Importe Neto]:[Importe Neto]],Imput[[C. Imp.]:[C. Imp.]],$D45,Imput[[PERIODO Imp.]:[PERIODO Imp.]],CZ$9)</f>
        <v>0</v>
      </c>
      <c r="DA45" s="516">
        <f>SUMIFS(Imput[[Importe Neto]:[Importe Neto]],Imput[[C. Imp.]:[C. Imp.]],$D45,Imput[[PERIODO Imp.]:[PERIODO Imp.]],DA$9)</f>
        <v>0</v>
      </c>
      <c r="DB45" s="516">
        <f>SUMIFS(Imput[[Importe Neto]:[Importe Neto]],Imput[[C. Imp.]:[C. Imp.]],$D45,Imput[[PERIODO Imp.]:[PERIODO Imp.]],DB$9)</f>
        <v>0</v>
      </c>
      <c r="DC45" s="516">
        <f>SUMIFS(Imput[[Importe Neto]:[Importe Neto]],Imput[[C. Imp.]:[C. Imp.]],$D45,Imput[[PERIODO Imp.]:[PERIODO Imp.]],DC$9)</f>
        <v>0</v>
      </c>
      <c r="DD45" s="516">
        <f>SUMIFS(Imput[[Importe Neto]:[Importe Neto]],Imput[[C. Imp.]:[C. Imp.]],$D45,Imput[[PERIODO Imp.]:[PERIODO Imp.]],DD$9)</f>
        <v>0</v>
      </c>
      <c r="DE45" s="516">
        <f>SUMIFS(Imput[[Importe Neto]:[Importe Neto]],Imput[[C. Imp.]:[C. Imp.]],$D45,Imput[[PERIODO Imp.]:[PERIODO Imp.]],DE$9)</f>
        <v>0</v>
      </c>
      <c r="DF45" s="516">
        <f>SUMIFS(Imput[[Importe Neto]:[Importe Neto]],Imput[[C. Imp.]:[C. Imp.]],$D45,Imput[[PERIODO Imp.]:[PERIODO Imp.]],DF$9)</f>
        <v>0</v>
      </c>
      <c r="DG45" s="516">
        <f>SUMIFS(Imput[[Importe Neto]:[Importe Neto]],Imput[[C. Imp.]:[C. Imp.]],$D45,Imput[[PERIODO Imp.]:[PERIODO Imp.]],DG$9)</f>
        <v>0</v>
      </c>
      <c r="DH45" s="616">
        <f>SUMIFS(Imput[[Importe Neto]:[Importe Neto]],Imput[[C. Imp.]:[C. Imp.]],$D45,Imput[[PERIODO Imp.]:[PERIODO Imp.]],DH$9)</f>
        <v>0</v>
      </c>
    </row>
    <row r="46" spans="1:112" hidden="1" outlineLevel="1" x14ac:dyDescent="0.3">
      <c r="A46" s="66" t="str">
        <f t="shared" si="15"/>
        <v/>
      </c>
      <c r="C46" s="527"/>
      <c r="D46" s="528" t="s">
        <v>2155</v>
      </c>
      <c r="E46" s="528"/>
      <c r="F46" s="534"/>
      <c r="G46" s="529"/>
      <c r="H46" s="531"/>
      <c r="I46" s="849" t="str">
        <f t="shared" si="16"/>
        <v/>
      </c>
      <c r="J46" s="850" t="str">
        <f t="shared" si="17"/>
        <v/>
      </c>
      <c r="K46" s="70"/>
      <c r="L46" s="853"/>
      <c r="M46" s="855"/>
      <c r="N46" s="855"/>
      <c r="O46" s="855"/>
      <c r="P46" s="855"/>
      <c r="Q46" s="855"/>
      <c r="R46" s="855"/>
      <c r="S46" s="855"/>
      <c r="T46" s="855"/>
      <c r="U46" s="855"/>
      <c r="V46" s="855"/>
      <c r="W46" s="855"/>
      <c r="X46" s="855"/>
      <c r="Y46" s="855"/>
      <c r="Z46" s="856"/>
      <c r="AA46" s="856"/>
      <c r="AB46" s="856"/>
      <c r="AC46" s="856"/>
      <c r="AD46" s="856"/>
      <c r="AE46" s="856"/>
      <c r="AF46" s="856"/>
      <c r="AG46" s="856"/>
      <c r="AH46" s="856"/>
      <c r="AI46" s="856"/>
      <c r="AJ46" s="856"/>
      <c r="AK46" s="856"/>
      <c r="AL46" s="856"/>
      <c r="AM46" s="856"/>
      <c r="AN46" s="856"/>
      <c r="AO46" s="856"/>
      <c r="AP46" s="856"/>
      <c r="AQ46" s="856"/>
      <c r="AR46" s="856"/>
      <c r="AS46" s="856"/>
      <c r="AT46" s="856"/>
      <c r="AU46" s="856"/>
      <c r="AV46" s="856"/>
      <c r="AW46" s="856"/>
      <c r="AX46" s="856"/>
      <c r="AY46" s="856"/>
      <c r="AZ46" s="856"/>
      <c r="BA46" s="856"/>
      <c r="BB46" s="856"/>
      <c r="BC46" s="856"/>
      <c r="BD46" s="856"/>
      <c r="BE46" s="856"/>
      <c r="BF46" s="856"/>
      <c r="BG46" s="857"/>
      <c r="BH46" s="590"/>
      <c r="BI46" s="70"/>
      <c r="BJ46" s="518">
        <f t="shared" si="18"/>
        <v>0</v>
      </c>
      <c r="BK46" s="517">
        <f t="shared" si="19"/>
        <v>0</v>
      </c>
      <c r="BL46" s="68"/>
      <c r="BM46" s="515">
        <f>SUMIFS(Imput[[Importe Neto]:[Importe Neto]],Imput[[C. Imp.]:[C. Imp.]],$D46,Imput[[PERIODO Imp.]:[PERIODO Imp.]],BM$9)</f>
        <v>0</v>
      </c>
      <c r="BN46" s="516">
        <f>SUMIFS(Imput[[Importe Neto]:[Importe Neto]],Imput[[C. Imp.]:[C. Imp.]],$D46,Imput[[PERIODO Imp.]:[PERIODO Imp.]],BN$9)</f>
        <v>0</v>
      </c>
      <c r="BO46" s="516">
        <f>SUMIFS(Imput[[Importe Neto]:[Importe Neto]],Imput[[C. Imp.]:[C. Imp.]],$D46,Imput[[PERIODO Imp.]:[PERIODO Imp.]],BO$9)</f>
        <v>0</v>
      </c>
      <c r="BP46" s="516">
        <f>SUMIFS(Imput[[Importe Neto]:[Importe Neto]],Imput[[C. Imp.]:[C. Imp.]],$D46,Imput[[PERIODO Imp.]:[PERIODO Imp.]],BP$9)</f>
        <v>0</v>
      </c>
      <c r="BQ46" s="516">
        <f>SUMIFS(Imput[[Importe Neto]:[Importe Neto]],Imput[[C. Imp.]:[C. Imp.]],$D46,Imput[[PERIODO Imp.]:[PERIODO Imp.]],BQ$9)</f>
        <v>0</v>
      </c>
      <c r="BR46" s="516">
        <f>SUMIFS(Imput[[Importe Neto]:[Importe Neto]],Imput[[C. Imp.]:[C. Imp.]],$D46,Imput[[PERIODO Imp.]:[PERIODO Imp.]],BR$9)</f>
        <v>0</v>
      </c>
      <c r="BS46" s="516">
        <f>SUMIFS(Imput[[Importe Neto]:[Importe Neto]],Imput[[C. Imp.]:[C. Imp.]],$D46,Imput[[PERIODO Imp.]:[PERIODO Imp.]],BS$9)</f>
        <v>0</v>
      </c>
      <c r="BT46" s="516">
        <f>SUMIFS(Imput[[Importe Neto]:[Importe Neto]],Imput[[C. Imp.]:[C. Imp.]],$D46,Imput[[PERIODO Imp.]:[PERIODO Imp.]],BT$9)</f>
        <v>0</v>
      </c>
      <c r="BU46" s="516">
        <f>SUMIFS(Imput[[Importe Neto]:[Importe Neto]],Imput[[C. Imp.]:[C. Imp.]],$D46,Imput[[PERIODO Imp.]:[PERIODO Imp.]],BU$9)</f>
        <v>0</v>
      </c>
      <c r="BV46" s="516">
        <f>SUMIFS(Imput[[Importe Neto]:[Importe Neto]],Imput[[C. Imp.]:[C. Imp.]],$D46,Imput[[PERIODO Imp.]:[PERIODO Imp.]],BV$9)</f>
        <v>0</v>
      </c>
      <c r="BW46" s="516">
        <f>SUMIFS(Imput[[Importe Neto]:[Importe Neto]],Imput[[C. Imp.]:[C. Imp.]],$D46,Imput[[PERIODO Imp.]:[PERIODO Imp.]],BW$9)</f>
        <v>0</v>
      </c>
      <c r="BX46" s="516">
        <f>SUMIFS(Imput[[Importe Neto]:[Importe Neto]],Imput[[C. Imp.]:[C. Imp.]],$D46,Imput[[PERIODO Imp.]:[PERIODO Imp.]],BX$9)</f>
        <v>0</v>
      </c>
      <c r="BY46" s="516">
        <f>SUMIFS(Imput[[Importe Neto]:[Importe Neto]],Imput[[C. Imp.]:[C. Imp.]],$D46,Imput[[PERIODO Imp.]:[PERIODO Imp.]],BY$9)</f>
        <v>0</v>
      </c>
      <c r="BZ46" s="516">
        <f>SUMIFS(Imput[[Importe Neto]:[Importe Neto]],Imput[[C. Imp.]:[C. Imp.]],$D46,Imput[[PERIODO Imp.]:[PERIODO Imp.]],BZ$9)</f>
        <v>0</v>
      </c>
      <c r="CA46" s="516">
        <f>SUMIFS(Imput[[Importe Neto]:[Importe Neto]],Imput[[C. Imp.]:[C. Imp.]],$D46,Imput[[PERIODO Imp.]:[PERIODO Imp.]],CA$9)</f>
        <v>0</v>
      </c>
      <c r="CB46" s="516">
        <f>SUMIFS(Imput[[Importe Neto]:[Importe Neto]],Imput[[C. Imp.]:[C. Imp.]],$D46,Imput[[PERIODO Imp.]:[PERIODO Imp.]],CB$9)</f>
        <v>0</v>
      </c>
      <c r="CC46" s="516">
        <f>SUMIFS(Imput[[Importe Neto]:[Importe Neto]],Imput[[C. Imp.]:[C. Imp.]],$D46,Imput[[PERIODO Imp.]:[PERIODO Imp.]],CC$9)</f>
        <v>0</v>
      </c>
      <c r="CD46" s="516">
        <f>SUMIFS(Imput[[Importe Neto]:[Importe Neto]],Imput[[C. Imp.]:[C. Imp.]],$D46,Imput[[PERIODO Imp.]:[PERIODO Imp.]],CD$9)</f>
        <v>0</v>
      </c>
      <c r="CE46" s="516">
        <f>SUMIFS(Imput[[Importe Neto]:[Importe Neto]],Imput[[C. Imp.]:[C. Imp.]],$D46,Imput[[PERIODO Imp.]:[PERIODO Imp.]],CE$9)</f>
        <v>0</v>
      </c>
      <c r="CF46" s="516">
        <f>SUMIFS(Imput[[Importe Neto]:[Importe Neto]],Imput[[C. Imp.]:[C. Imp.]],$D46,Imput[[PERIODO Imp.]:[PERIODO Imp.]],CF$9)</f>
        <v>0</v>
      </c>
      <c r="CG46" s="516">
        <f>SUMIFS(Imput[[Importe Neto]:[Importe Neto]],Imput[[C. Imp.]:[C. Imp.]],$D46,Imput[[PERIODO Imp.]:[PERIODO Imp.]],CG$9)</f>
        <v>0</v>
      </c>
      <c r="CH46" s="516">
        <f>SUMIFS(Imput[[Importe Neto]:[Importe Neto]],Imput[[C. Imp.]:[C. Imp.]],$D46,Imput[[PERIODO Imp.]:[PERIODO Imp.]],CH$9)</f>
        <v>0</v>
      </c>
      <c r="CI46" s="516">
        <f>SUMIFS(Imput[[Importe Neto]:[Importe Neto]],Imput[[C. Imp.]:[C. Imp.]],$D46,Imput[[PERIODO Imp.]:[PERIODO Imp.]],CI$9)</f>
        <v>0</v>
      </c>
      <c r="CJ46" s="516">
        <f>SUMIFS(Imput[[Importe Neto]:[Importe Neto]],Imput[[C. Imp.]:[C. Imp.]],$D46,Imput[[PERIODO Imp.]:[PERIODO Imp.]],CJ$9)</f>
        <v>0</v>
      </c>
      <c r="CK46" s="516">
        <f>SUMIFS(Imput[[Importe Neto]:[Importe Neto]],Imput[[C. Imp.]:[C. Imp.]],$D46,Imput[[PERIODO Imp.]:[PERIODO Imp.]],CK$9)</f>
        <v>0</v>
      </c>
      <c r="CL46" s="516">
        <f>SUMIFS(Imput[[Importe Neto]:[Importe Neto]],Imput[[C. Imp.]:[C. Imp.]],$D46,Imput[[PERIODO Imp.]:[PERIODO Imp.]],CL$9)</f>
        <v>0</v>
      </c>
      <c r="CM46" s="516">
        <f>SUMIFS(Imput[[Importe Neto]:[Importe Neto]],Imput[[C. Imp.]:[C. Imp.]],$D46,Imput[[PERIODO Imp.]:[PERIODO Imp.]],CM$9)</f>
        <v>0</v>
      </c>
      <c r="CN46" s="516">
        <f>SUMIFS(Imput[[Importe Neto]:[Importe Neto]],Imput[[C. Imp.]:[C. Imp.]],$D46,Imput[[PERIODO Imp.]:[PERIODO Imp.]],CN$9)</f>
        <v>0</v>
      </c>
      <c r="CO46" s="516">
        <f>SUMIFS(Imput[[Importe Neto]:[Importe Neto]],Imput[[C. Imp.]:[C. Imp.]],$D46,Imput[[PERIODO Imp.]:[PERIODO Imp.]],CO$9)</f>
        <v>0</v>
      </c>
      <c r="CP46" s="516">
        <f>SUMIFS(Imput[[Importe Neto]:[Importe Neto]],Imput[[C. Imp.]:[C. Imp.]],$D46,Imput[[PERIODO Imp.]:[PERIODO Imp.]],CP$9)</f>
        <v>0</v>
      </c>
      <c r="CQ46" s="516">
        <f>SUMIFS(Imput[[Importe Neto]:[Importe Neto]],Imput[[C. Imp.]:[C. Imp.]],$D46,Imput[[PERIODO Imp.]:[PERIODO Imp.]],CQ$9)</f>
        <v>0</v>
      </c>
      <c r="CR46" s="516">
        <f>SUMIFS(Imput[[Importe Neto]:[Importe Neto]],Imput[[C. Imp.]:[C. Imp.]],$D46,Imput[[PERIODO Imp.]:[PERIODO Imp.]],CR$9)</f>
        <v>0</v>
      </c>
      <c r="CS46" s="516">
        <f>SUMIFS(Imput[[Importe Neto]:[Importe Neto]],Imput[[C. Imp.]:[C. Imp.]],$D46,Imput[[PERIODO Imp.]:[PERIODO Imp.]],CS$9)</f>
        <v>0</v>
      </c>
      <c r="CT46" s="516">
        <f>SUMIFS(Imput[[Importe Neto]:[Importe Neto]],Imput[[C. Imp.]:[C. Imp.]],$D46,Imput[[PERIODO Imp.]:[PERIODO Imp.]],CT$9)</f>
        <v>0</v>
      </c>
      <c r="CU46" s="516">
        <f>SUMIFS(Imput[[Importe Neto]:[Importe Neto]],Imput[[C. Imp.]:[C. Imp.]],$D46,Imput[[PERIODO Imp.]:[PERIODO Imp.]],CU$9)</f>
        <v>0</v>
      </c>
      <c r="CV46" s="516">
        <f>SUMIFS(Imput[[Importe Neto]:[Importe Neto]],Imput[[C. Imp.]:[C. Imp.]],$D46,Imput[[PERIODO Imp.]:[PERIODO Imp.]],CV$9)</f>
        <v>0</v>
      </c>
      <c r="CW46" s="516">
        <f>SUMIFS(Imput[[Importe Neto]:[Importe Neto]],Imput[[C. Imp.]:[C. Imp.]],$D46,Imput[[PERIODO Imp.]:[PERIODO Imp.]],CW$9)</f>
        <v>0</v>
      </c>
      <c r="CX46" s="516">
        <f>SUMIFS(Imput[[Importe Neto]:[Importe Neto]],Imput[[C. Imp.]:[C. Imp.]],$D46,Imput[[PERIODO Imp.]:[PERIODO Imp.]],CX$9)</f>
        <v>0</v>
      </c>
      <c r="CY46" s="516">
        <f>SUMIFS(Imput[[Importe Neto]:[Importe Neto]],Imput[[C. Imp.]:[C. Imp.]],$D46,Imput[[PERIODO Imp.]:[PERIODO Imp.]],CY$9)</f>
        <v>0</v>
      </c>
      <c r="CZ46" s="516">
        <f>SUMIFS(Imput[[Importe Neto]:[Importe Neto]],Imput[[C. Imp.]:[C. Imp.]],$D46,Imput[[PERIODO Imp.]:[PERIODO Imp.]],CZ$9)</f>
        <v>0</v>
      </c>
      <c r="DA46" s="516">
        <f>SUMIFS(Imput[[Importe Neto]:[Importe Neto]],Imput[[C. Imp.]:[C. Imp.]],$D46,Imput[[PERIODO Imp.]:[PERIODO Imp.]],DA$9)</f>
        <v>0</v>
      </c>
      <c r="DB46" s="516">
        <f>SUMIFS(Imput[[Importe Neto]:[Importe Neto]],Imput[[C. Imp.]:[C. Imp.]],$D46,Imput[[PERIODO Imp.]:[PERIODO Imp.]],DB$9)</f>
        <v>0</v>
      </c>
      <c r="DC46" s="516">
        <f>SUMIFS(Imput[[Importe Neto]:[Importe Neto]],Imput[[C. Imp.]:[C. Imp.]],$D46,Imput[[PERIODO Imp.]:[PERIODO Imp.]],DC$9)</f>
        <v>0</v>
      </c>
      <c r="DD46" s="516">
        <f>SUMIFS(Imput[[Importe Neto]:[Importe Neto]],Imput[[C. Imp.]:[C. Imp.]],$D46,Imput[[PERIODO Imp.]:[PERIODO Imp.]],DD$9)</f>
        <v>0</v>
      </c>
      <c r="DE46" s="516">
        <f>SUMIFS(Imput[[Importe Neto]:[Importe Neto]],Imput[[C. Imp.]:[C. Imp.]],$D46,Imput[[PERIODO Imp.]:[PERIODO Imp.]],DE$9)</f>
        <v>0</v>
      </c>
      <c r="DF46" s="516">
        <f>SUMIFS(Imput[[Importe Neto]:[Importe Neto]],Imput[[C. Imp.]:[C. Imp.]],$D46,Imput[[PERIODO Imp.]:[PERIODO Imp.]],DF$9)</f>
        <v>0</v>
      </c>
      <c r="DG46" s="516">
        <f>SUMIFS(Imput[[Importe Neto]:[Importe Neto]],Imput[[C. Imp.]:[C. Imp.]],$D46,Imput[[PERIODO Imp.]:[PERIODO Imp.]],DG$9)</f>
        <v>0</v>
      </c>
      <c r="DH46" s="616">
        <f>SUMIFS(Imput[[Importe Neto]:[Importe Neto]],Imput[[C. Imp.]:[C. Imp.]],$D46,Imput[[PERIODO Imp.]:[PERIODO Imp.]],DH$9)</f>
        <v>0</v>
      </c>
    </row>
    <row r="47" spans="1:112" hidden="1" outlineLevel="1" x14ac:dyDescent="0.3">
      <c r="A47" s="66" t="str">
        <f t="shared" si="15"/>
        <v/>
      </c>
      <c r="C47" s="527"/>
      <c r="D47" s="528" t="s">
        <v>2156</v>
      </c>
      <c r="E47" s="528"/>
      <c r="F47" s="534"/>
      <c r="G47" s="529"/>
      <c r="H47" s="531"/>
      <c r="I47" s="849" t="str">
        <f t="shared" si="16"/>
        <v/>
      </c>
      <c r="J47" s="850" t="str">
        <f t="shared" si="17"/>
        <v/>
      </c>
      <c r="K47" s="70"/>
      <c r="L47" s="853"/>
      <c r="M47" s="855"/>
      <c r="N47" s="855"/>
      <c r="O47" s="855"/>
      <c r="P47" s="855"/>
      <c r="Q47" s="855"/>
      <c r="R47" s="855"/>
      <c r="S47" s="855"/>
      <c r="T47" s="855"/>
      <c r="U47" s="855"/>
      <c r="V47" s="855"/>
      <c r="W47" s="855"/>
      <c r="X47" s="855"/>
      <c r="Y47" s="855"/>
      <c r="Z47" s="856"/>
      <c r="AA47" s="856"/>
      <c r="AB47" s="856"/>
      <c r="AC47" s="856"/>
      <c r="AD47" s="856"/>
      <c r="AE47" s="856"/>
      <c r="AF47" s="856"/>
      <c r="AG47" s="856"/>
      <c r="AH47" s="856"/>
      <c r="AI47" s="856"/>
      <c r="AJ47" s="856"/>
      <c r="AK47" s="856"/>
      <c r="AL47" s="856"/>
      <c r="AM47" s="856"/>
      <c r="AN47" s="856"/>
      <c r="AO47" s="856"/>
      <c r="AP47" s="856"/>
      <c r="AQ47" s="856"/>
      <c r="AR47" s="856"/>
      <c r="AS47" s="856"/>
      <c r="AT47" s="856"/>
      <c r="AU47" s="856"/>
      <c r="AV47" s="856"/>
      <c r="AW47" s="856"/>
      <c r="AX47" s="856"/>
      <c r="AY47" s="856"/>
      <c r="AZ47" s="856"/>
      <c r="BA47" s="856"/>
      <c r="BB47" s="856"/>
      <c r="BC47" s="856"/>
      <c r="BD47" s="856"/>
      <c r="BE47" s="856"/>
      <c r="BF47" s="856"/>
      <c r="BG47" s="857"/>
      <c r="BH47" s="773"/>
      <c r="BI47" s="68"/>
      <c r="BJ47" s="518">
        <f t="shared" si="18"/>
        <v>0</v>
      </c>
      <c r="BK47" s="517">
        <f t="shared" si="19"/>
        <v>0</v>
      </c>
      <c r="BL47" s="68"/>
      <c r="BM47" s="515">
        <f>SUMIFS(Imput[[Importe Neto]:[Importe Neto]],Imput[[C. Imp.]:[C. Imp.]],$D47,Imput[[PERIODO Imp.]:[PERIODO Imp.]],BM$9)</f>
        <v>0</v>
      </c>
      <c r="BN47" s="516">
        <f>SUMIFS(Imput[[Importe Neto]:[Importe Neto]],Imput[[C. Imp.]:[C. Imp.]],$D47,Imput[[PERIODO Imp.]:[PERIODO Imp.]],BN$9)</f>
        <v>0</v>
      </c>
      <c r="BO47" s="516">
        <f>SUMIFS(Imput[[Importe Neto]:[Importe Neto]],Imput[[C. Imp.]:[C. Imp.]],$D47,Imput[[PERIODO Imp.]:[PERIODO Imp.]],BO$9)</f>
        <v>0</v>
      </c>
      <c r="BP47" s="516">
        <f>SUMIFS(Imput[[Importe Neto]:[Importe Neto]],Imput[[C. Imp.]:[C. Imp.]],$D47,Imput[[PERIODO Imp.]:[PERIODO Imp.]],BP$9)</f>
        <v>0</v>
      </c>
      <c r="BQ47" s="516">
        <f>SUMIFS(Imput[[Importe Neto]:[Importe Neto]],Imput[[C. Imp.]:[C. Imp.]],$D47,Imput[[PERIODO Imp.]:[PERIODO Imp.]],BQ$9)</f>
        <v>0</v>
      </c>
      <c r="BR47" s="516">
        <f>SUMIFS(Imput[[Importe Neto]:[Importe Neto]],Imput[[C. Imp.]:[C. Imp.]],$D47,Imput[[PERIODO Imp.]:[PERIODO Imp.]],BR$9)</f>
        <v>0</v>
      </c>
      <c r="BS47" s="516">
        <f>SUMIFS(Imput[[Importe Neto]:[Importe Neto]],Imput[[C. Imp.]:[C. Imp.]],$D47,Imput[[PERIODO Imp.]:[PERIODO Imp.]],BS$9)</f>
        <v>0</v>
      </c>
      <c r="BT47" s="516">
        <f>SUMIFS(Imput[[Importe Neto]:[Importe Neto]],Imput[[C. Imp.]:[C. Imp.]],$D47,Imput[[PERIODO Imp.]:[PERIODO Imp.]],BT$9)</f>
        <v>0</v>
      </c>
      <c r="BU47" s="516">
        <f>SUMIFS(Imput[[Importe Neto]:[Importe Neto]],Imput[[C. Imp.]:[C. Imp.]],$D47,Imput[[PERIODO Imp.]:[PERIODO Imp.]],BU$9)</f>
        <v>0</v>
      </c>
      <c r="BV47" s="516">
        <f>SUMIFS(Imput[[Importe Neto]:[Importe Neto]],Imput[[C. Imp.]:[C. Imp.]],$D47,Imput[[PERIODO Imp.]:[PERIODO Imp.]],BV$9)</f>
        <v>0</v>
      </c>
      <c r="BW47" s="516">
        <f>SUMIFS(Imput[[Importe Neto]:[Importe Neto]],Imput[[C. Imp.]:[C. Imp.]],$D47,Imput[[PERIODO Imp.]:[PERIODO Imp.]],BW$9)</f>
        <v>0</v>
      </c>
      <c r="BX47" s="516">
        <f>SUMIFS(Imput[[Importe Neto]:[Importe Neto]],Imput[[C. Imp.]:[C. Imp.]],$D47,Imput[[PERIODO Imp.]:[PERIODO Imp.]],BX$9)</f>
        <v>0</v>
      </c>
      <c r="BY47" s="516">
        <f>SUMIFS(Imput[[Importe Neto]:[Importe Neto]],Imput[[C. Imp.]:[C. Imp.]],$D47,Imput[[PERIODO Imp.]:[PERIODO Imp.]],BY$9)</f>
        <v>0</v>
      </c>
      <c r="BZ47" s="516">
        <f>SUMIFS(Imput[[Importe Neto]:[Importe Neto]],Imput[[C. Imp.]:[C. Imp.]],$D47,Imput[[PERIODO Imp.]:[PERIODO Imp.]],BZ$9)</f>
        <v>0</v>
      </c>
      <c r="CA47" s="516">
        <f>SUMIFS(Imput[[Importe Neto]:[Importe Neto]],Imput[[C. Imp.]:[C. Imp.]],$D47,Imput[[PERIODO Imp.]:[PERIODO Imp.]],CA$9)</f>
        <v>0</v>
      </c>
      <c r="CB47" s="516">
        <f>SUMIFS(Imput[[Importe Neto]:[Importe Neto]],Imput[[C. Imp.]:[C. Imp.]],$D47,Imput[[PERIODO Imp.]:[PERIODO Imp.]],CB$9)</f>
        <v>0</v>
      </c>
      <c r="CC47" s="516">
        <f>SUMIFS(Imput[[Importe Neto]:[Importe Neto]],Imput[[C. Imp.]:[C. Imp.]],$D47,Imput[[PERIODO Imp.]:[PERIODO Imp.]],CC$9)</f>
        <v>0</v>
      </c>
      <c r="CD47" s="516">
        <f>SUMIFS(Imput[[Importe Neto]:[Importe Neto]],Imput[[C. Imp.]:[C. Imp.]],$D47,Imput[[PERIODO Imp.]:[PERIODO Imp.]],CD$9)</f>
        <v>0</v>
      </c>
      <c r="CE47" s="516">
        <f>SUMIFS(Imput[[Importe Neto]:[Importe Neto]],Imput[[C. Imp.]:[C. Imp.]],$D47,Imput[[PERIODO Imp.]:[PERIODO Imp.]],CE$9)</f>
        <v>0</v>
      </c>
      <c r="CF47" s="516">
        <f>SUMIFS(Imput[[Importe Neto]:[Importe Neto]],Imput[[C. Imp.]:[C. Imp.]],$D47,Imput[[PERIODO Imp.]:[PERIODO Imp.]],CF$9)</f>
        <v>0</v>
      </c>
      <c r="CG47" s="516">
        <f>SUMIFS(Imput[[Importe Neto]:[Importe Neto]],Imput[[C. Imp.]:[C. Imp.]],$D47,Imput[[PERIODO Imp.]:[PERIODO Imp.]],CG$9)</f>
        <v>0</v>
      </c>
      <c r="CH47" s="516">
        <f>SUMIFS(Imput[[Importe Neto]:[Importe Neto]],Imput[[C. Imp.]:[C. Imp.]],$D47,Imput[[PERIODO Imp.]:[PERIODO Imp.]],CH$9)</f>
        <v>0</v>
      </c>
      <c r="CI47" s="516">
        <f>SUMIFS(Imput[[Importe Neto]:[Importe Neto]],Imput[[C. Imp.]:[C. Imp.]],$D47,Imput[[PERIODO Imp.]:[PERIODO Imp.]],CI$9)</f>
        <v>0</v>
      </c>
      <c r="CJ47" s="516">
        <f>SUMIFS(Imput[[Importe Neto]:[Importe Neto]],Imput[[C. Imp.]:[C. Imp.]],$D47,Imput[[PERIODO Imp.]:[PERIODO Imp.]],CJ$9)</f>
        <v>0</v>
      </c>
      <c r="CK47" s="516">
        <f>SUMIFS(Imput[[Importe Neto]:[Importe Neto]],Imput[[C. Imp.]:[C. Imp.]],$D47,Imput[[PERIODO Imp.]:[PERIODO Imp.]],CK$9)</f>
        <v>0</v>
      </c>
      <c r="CL47" s="516">
        <f>SUMIFS(Imput[[Importe Neto]:[Importe Neto]],Imput[[C. Imp.]:[C. Imp.]],$D47,Imput[[PERIODO Imp.]:[PERIODO Imp.]],CL$9)</f>
        <v>0</v>
      </c>
      <c r="CM47" s="516">
        <f>SUMIFS(Imput[[Importe Neto]:[Importe Neto]],Imput[[C. Imp.]:[C. Imp.]],$D47,Imput[[PERIODO Imp.]:[PERIODO Imp.]],CM$9)</f>
        <v>0</v>
      </c>
      <c r="CN47" s="516">
        <f>SUMIFS(Imput[[Importe Neto]:[Importe Neto]],Imput[[C. Imp.]:[C. Imp.]],$D47,Imput[[PERIODO Imp.]:[PERIODO Imp.]],CN$9)</f>
        <v>0</v>
      </c>
      <c r="CO47" s="516">
        <f>SUMIFS(Imput[[Importe Neto]:[Importe Neto]],Imput[[C. Imp.]:[C. Imp.]],$D47,Imput[[PERIODO Imp.]:[PERIODO Imp.]],CO$9)</f>
        <v>0</v>
      </c>
      <c r="CP47" s="516">
        <f>SUMIFS(Imput[[Importe Neto]:[Importe Neto]],Imput[[C. Imp.]:[C. Imp.]],$D47,Imput[[PERIODO Imp.]:[PERIODO Imp.]],CP$9)</f>
        <v>0</v>
      </c>
      <c r="CQ47" s="516">
        <f>SUMIFS(Imput[[Importe Neto]:[Importe Neto]],Imput[[C. Imp.]:[C. Imp.]],$D47,Imput[[PERIODO Imp.]:[PERIODO Imp.]],CQ$9)</f>
        <v>0</v>
      </c>
      <c r="CR47" s="516">
        <f>SUMIFS(Imput[[Importe Neto]:[Importe Neto]],Imput[[C. Imp.]:[C. Imp.]],$D47,Imput[[PERIODO Imp.]:[PERIODO Imp.]],CR$9)</f>
        <v>0</v>
      </c>
      <c r="CS47" s="516">
        <f>SUMIFS(Imput[[Importe Neto]:[Importe Neto]],Imput[[C. Imp.]:[C. Imp.]],$D47,Imput[[PERIODO Imp.]:[PERIODO Imp.]],CS$9)</f>
        <v>0</v>
      </c>
      <c r="CT47" s="516">
        <f>SUMIFS(Imput[[Importe Neto]:[Importe Neto]],Imput[[C. Imp.]:[C. Imp.]],$D47,Imput[[PERIODO Imp.]:[PERIODO Imp.]],CT$9)</f>
        <v>0</v>
      </c>
      <c r="CU47" s="516">
        <f>SUMIFS(Imput[[Importe Neto]:[Importe Neto]],Imput[[C. Imp.]:[C. Imp.]],$D47,Imput[[PERIODO Imp.]:[PERIODO Imp.]],CU$9)</f>
        <v>0</v>
      </c>
      <c r="CV47" s="516">
        <f>SUMIFS(Imput[[Importe Neto]:[Importe Neto]],Imput[[C. Imp.]:[C. Imp.]],$D47,Imput[[PERIODO Imp.]:[PERIODO Imp.]],CV$9)</f>
        <v>0</v>
      </c>
      <c r="CW47" s="516">
        <f>SUMIFS(Imput[[Importe Neto]:[Importe Neto]],Imput[[C. Imp.]:[C. Imp.]],$D47,Imput[[PERIODO Imp.]:[PERIODO Imp.]],CW$9)</f>
        <v>0</v>
      </c>
      <c r="CX47" s="516">
        <f>SUMIFS(Imput[[Importe Neto]:[Importe Neto]],Imput[[C. Imp.]:[C. Imp.]],$D47,Imput[[PERIODO Imp.]:[PERIODO Imp.]],CX$9)</f>
        <v>0</v>
      </c>
      <c r="CY47" s="516">
        <f>SUMIFS(Imput[[Importe Neto]:[Importe Neto]],Imput[[C. Imp.]:[C. Imp.]],$D47,Imput[[PERIODO Imp.]:[PERIODO Imp.]],CY$9)</f>
        <v>0</v>
      </c>
      <c r="CZ47" s="516">
        <f>SUMIFS(Imput[[Importe Neto]:[Importe Neto]],Imput[[C. Imp.]:[C. Imp.]],$D47,Imput[[PERIODO Imp.]:[PERIODO Imp.]],CZ$9)</f>
        <v>0</v>
      </c>
      <c r="DA47" s="516">
        <f>SUMIFS(Imput[[Importe Neto]:[Importe Neto]],Imput[[C. Imp.]:[C. Imp.]],$D47,Imput[[PERIODO Imp.]:[PERIODO Imp.]],DA$9)</f>
        <v>0</v>
      </c>
      <c r="DB47" s="516">
        <f>SUMIFS(Imput[[Importe Neto]:[Importe Neto]],Imput[[C. Imp.]:[C. Imp.]],$D47,Imput[[PERIODO Imp.]:[PERIODO Imp.]],DB$9)</f>
        <v>0</v>
      </c>
      <c r="DC47" s="516">
        <f>SUMIFS(Imput[[Importe Neto]:[Importe Neto]],Imput[[C. Imp.]:[C. Imp.]],$D47,Imput[[PERIODO Imp.]:[PERIODO Imp.]],DC$9)</f>
        <v>0</v>
      </c>
      <c r="DD47" s="516">
        <f>SUMIFS(Imput[[Importe Neto]:[Importe Neto]],Imput[[C. Imp.]:[C. Imp.]],$D47,Imput[[PERIODO Imp.]:[PERIODO Imp.]],DD$9)</f>
        <v>0</v>
      </c>
      <c r="DE47" s="516">
        <f>SUMIFS(Imput[[Importe Neto]:[Importe Neto]],Imput[[C. Imp.]:[C. Imp.]],$D47,Imput[[PERIODO Imp.]:[PERIODO Imp.]],DE$9)</f>
        <v>0</v>
      </c>
      <c r="DF47" s="516">
        <f>SUMIFS(Imput[[Importe Neto]:[Importe Neto]],Imput[[C. Imp.]:[C. Imp.]],$D47,Imput[[PERIODO Imp.]:[PERIODO Imp.]],DF$9)</f>
        <v>0</v>
      </c>
      <c r="DG47" s="516">
        <f>SUMIFS(Imput[[Importe Neto]:[Importe Neto]],Imput[[C. Imp.]:[C. Imp.]],$D47,Imput[[PERIODO Imp.]:[PERIODO Imp.]],DG$9)</f>
        <v>0</v>
      </c>
      <c r="DH47" s="616">
        <f>SUMIFS(Imput[[Importe Neto]:[Importe Neto]],Imput[[C. Imp.]:[C. Imp.]],$D47,Imput[[PERIODO Imp.]:[PERIODO Imp.]],DH$9)</f>
        <v>0</v>
      </c>
    </row>
    <row r="48" spans="1:112" hidden="1" outlineLevel="1" x14ac:dyDescent="0.3">
      <c r="A48" s="66" t="str">
        <f t="shared" si="15"/>
        <v/>
      </c>
      <c r="C48" s="527"/>
      <c r="D48" s="528" t="s">
        <v>2157</v>
      </c>
      <c r="E48" s="528"/>
      <c r="F48" s="534"/>
      <c r="G48" s="529"/>
      <c r="H48" s="531"/>
      <c r="I48" s="849" t="str">
        <f t="shared" si="16"/>
        <v/>
      </c>
      <c r="J48" s="850" t="str">
        <f t="shared" si="17"/>
        <v/>
      </c>
      <c r="K48" s="111"/>
      <c r="L48" s="853"/>
      <c r="M48" s="855"/>
      <c r="N48" s="855"/>
      <c r="O48" s="855"/>
      <c r="P48" s="855"/>
      <c r="Q48" s="855"/>
      <c r="R48" s="855"/>
      <c r="S48" s="855"/>
      <c r="T48" s="855"/>
      <c r="U48" s="855"/>
      <c r="V48" s="855"/>
      <c r="W48" s="855"/>
      <c r="X48" s="855"/>
      <c r="Y48" s="855"/>
      <c r="Z48" s="856"/>
      <c r="AA48" s="856"/>
      <c r="AB48" s="856"/>
      <c r="AC48" s="856"/>
      <c r="AD48" s="856"/>
      <c r="AE48" s="856"/>
      <c r="AF48" s="856"/>
      <c r="AG48" s="856"/>
      <c r="AH48" s="856"/>
      <c r="AI48" s="856"/>
      <c r="AJ48" s="856"/>
      <c r="AK48" s="856"/>
      <c r="AL48" s="856"/>
      <c r="AM48" s="856"/>
      <c r="AN48" s="856"/>
      <c r="AO48" s="856"/>
      <c r="AP48" s="856"/>
      <c r="AQ48" s="856"/>
      <c r="AR48" s="856"/>
      <c r="AS48" s="856"/>
      <c r="AT48" s="856"/>
      <c r="AU48" s="856"/>
      <c r="AV48" s="856"/>
      <c r="AW48" s="856"/>
      <c r="AX48" s="856"/>
      <c r="AY48" s="856"/>
      <c r="AZ48" s="856"/>
      <c r="BA48" s="856"/>
      <c r="BB48" s="856"/>
      <c r="BC48" s="856"/>
      <c r="BD48" s="856"/>
      <c r="BE48" s="856"/>
      <c r="BF48" s="856"/>
      <c r="BG48" s="857"/>
      <c r="BH48" s="590"/>
      <c r="BI48" s="68"/>
      <c r="BJ48" s="518">
        <f t="shared" si="18"/>
        <v>0</v>
      </c>
      <c r="BK48" s="517">
        <f t="shared" si="19"/>
        <v>0</v>
      </c>
      <c r="BL48" s="68"/>
      <c r="BM48" s="515">
        <f>SUMIFS(Imput[[Importe Neto]:[Importe Neto]],Imput[[C. Imp.]:[C. Imp.]],$D48,Imput[[PERIODO Imp.]:[PERIODO Imp.]],BM$9)</f>
        <v>0</v>
      </c>
      <c r="BN48" s="516">
        <f>SUMIFS(Imput[[Importe Neto]:[Importe Neto]],Imput[[C. Imp.]:[C. Imp.]],$D48,Imput[[PERIODO Imp.]:[PERIODO Imp.]],BN$9)</f>
        <v>0</v>
      </c>
      <c r="BO48" s="516">
        <f>SUMIFS(Imput[[Importe Neto]:[Importe Neto]],Imput[[C. Imp.]:[C. Imp.]],$D48,Imput[[PERIODO Imp.]:[PERIODO Imp.]],BO$9)</f>
        <v>0</v>
      </c>
      <c r="BP48" s="516">
        <f>SUMIFS(Imput[[Importe Neto]:[Importe Neto]],Imput[[C. Imp.]:[C. Imp.]],$D48,Imput[[PERIODO Imp.]:[PERIODO Imp.]],BP$9)</f>
        <v>0</v>
      </c>
      <c r="BQ48" s="516">
        <f>SUMIFS(Imput[[Importe Neto]:[Importe Neto]],Imput[[C. Imp.]:[C. Imp.]],$D48,Imput[[PERIODO Imp.]:[PERIODO Imp.]],BQ$9)</f>
        <v>0</v>
      </c>
      <c r="BR48" s="516">
        <f>SUMIFS(Imput[[Importe Neto]:[Importe Neto]],Imput[[C. Imp.]:[C. Imp.]],$D48,Imput[[PERIODO Imp.]:[PERIODO Imp.]],BR$9)</f>
        <v>0</v>
      </c>
      <c r="BS48" s="516">
        <f>SUMIFS(Imput[[Importe Neto]:[Importe Neto]],Imput[[C. Imp.]:[C. Imp.]],$D48,Imput[[PERIODO Imp.]:[PERIODO Imp.]],BS$9)</f>
        <v>0</v>
      </c>
      <c r="BT48" s="516">
        <f>SUMIFS(Imput[[Importe Neto]:[Importe Neto]],Imput[[C. Imp.]:[C. Imp.]],$D48,Imput[[PERIODO Imp.]:[PERIODO Imp.]],BT$9)</f>
        <v>0</v>
      </c>
      <c r="BU48" s="516">
        <f>SUMIFS(Imput[[Importe Neto]:[Importe Neto]],Imput[[C. Imp.]:[C. Imp.]],$D48,Imput[[PERIODO Imp.]:[PERIODO Imp.]],BU$9)</f>
        <v>0</v>
      </c>
      <c r="BV48" s="516">
        <f>SUMIFS(Imput[[Importe Neto]:[Importe Neto]],Imput[[C. Imp.]:[C. Imp.]],$D48,Imput[[PERIODO Imp.]:[PERIODO Imp.]],BV$9)</f>
        <v>0</v>
      </c>
      <c r="BW48" s="516">
        <f>SUMIFS(Imput[[Importe Neto]:[Importe Neto]],Imput[[C. Imp.]:[C. Imp.]],$D48,Imput[[PERIODO Imp.]:[PERIODO Imp.]],BW$9)</f>
        <v>0</v>
      </c>
      <c r="BX48" s="516">
        <f>SUMIFS(Imput[[Importe Neto]:[Importe Neto]],Imput[[C. Imp.]:[C. Imp.]],$D48,Imput[[PERIODO Imp.]:[PERIODO Imp.]],BX$9)</f>
        <v>0</v>
      </c>
      <c r="BY48" s="516">
        <f>SUMIFS(Imput[[Importe Neto]:[Importe Neto]],Imput[[C. Imp.]:[C. Imp.]],$D48,Imput[[PERIODO Imp.]:[PERIODO Imp.]],BY$9)</f>
        <v>0</v>
      </c>
      <c r="BZ48" s="516">
        <f>SUMIFS(Imput[[Importe Neto]:[Importe Neto]],Imput[[C. Imp.]:[C. Imp.]],$D48,Imput[[PERIODO Imp.]:[PERIODO Imp.]],BZ$9)</f>
        <v>0</v>
      </c>
      <c r="CA48" s="516">
        <f>SUMIFS(Imput[[Importe Neto]:[Importe Neto]],Imput[[C. Imp.]:[C. Imp.]],$D48,Imput[[PERIODO Imp.]:[PERIODO Imp.]],CA$9)</f>
        <v>0</v>
      </c>
      <c r="CB48" s="516">
        <f>SUMIFS(Imput[[Importe Neto]:[Importe Neto]],Imput[[C. Imp.]:[C. Imp.]],$D48,Imput[[PERIODO Imp.]:[PERIODO Imp.]],CB$9)</f>
        <v>0</v>
      </c>
      <c r="CC48" s="516">
        <f>SUMIFS(Imput[[Importe Neto]:[Importe Neto]],Imput[[C. Imp.]:[C. Imp.]],$D48,Imput[[PERIODO Imp.]:[PERIODO Imp.]],CC$9)</f>
        <v>0</v>
      </c>
      <c r="CD48" s="516">
        <f>SUMIFS(Imput[[Importe Neto]:[Importe Neto]],Imput[[C. Imp.]:[C. Imp.]],$D48,Imput[[PERIODO Imp.]:[PERIODO Imp.]],CD$9)</f>
        <v>0</v>
      </c>
      <c r="CE48" s="516">
        <f>SUMIFS(Imput[[Importe Neto]:[Importe Neto]],Imput[[C. Imp.]:[C. Imp.]],$D48,Imput[[PERIODO Imp.]:[PERIODO Imp.]],CE$9)</f>
        <v>0</v>
      </c>
      <c r="CF48" s="516">
        <f>SUMIFS(Imput[[Importe Neto]:[Importe Neto]],Imput[[C. Imp.]:[C. Imp.]],$D48,Imput[[PERIODO Imp.]:[PERIODO Imp.]],CF$9)</f>
        <v>0</v>
      </c>
      <c r="CG48" s="516">
        <f>SUMIFS(Imput[[Importe Neto]:[Importe Neto]],Imput[[C. Imp.]:[C. Imp.]],$D48,Imput[[PERIODO Imp.]:[PERIODO Imp.]],CG$9)</f>
        <v>0</v>
      </c>
      <c r="CH48" s="516">
        <f>SUMIFS(Imput[[Importe Neto]:[Importe Neto]],Imput[[C. Imp.]:[C. Imp.]],$D48,Imput[[PERIODO Imp.]:[PERIODO Imp.]],CH$9)</f>
        <v>0</v>
      </c>
      <c r="CI48" s="516">
        <f>SUMIFS(Imput[[Importe Neto]:[Importe Neto]],Imput[[C. Imp.]:[C. Imp.]],$D48,Imput[[PERIODO Imp.]:[PERIODO Imp.]],CI$9)</f>
        <v>0</v>
      </c>
      <c r="CJ48" s="516">
        <f>SUMIFS(Imput[[Importe Neto]:[Importe Neto]],Imput[[C. Imp.]:[C. Imp.]],$D48,Imput[[PERIODO Imp.]:[PERIODO Imp.]],CJ$9)</f>
        <v>0</v>
      </c>
      <c r="CK48" s="516">
        <f>SUMIFS(Imput[[Importe Neto]:[Importe Neto]],Imput[[C. Imp.]:[C. Imp.]],$D48,Imput[[PERIODO Imp.]:[PERIODO Imp.]],CK$9)</f>
        <v>0</v>
      </c>
      <c r="CL48" s="516">
        <f>SUMIFS(Imput[[Importe Neto]:[Importe Neto]],Imput[[C. Imp.]:[C. Imp.]],$D48,Imput[[PERIODO Imp.]:[PERIODO Imp.]],CL$9)</f>
        <v>0</v>
      </c>
      <c r="CM48" s="516">
        <f>SUMIFS(Imput[[Importe Neto]:[Importe Neto]],Imput[[C. Imp.]:[C. Imp.]],$D48,Imput[[PERIODO Imp.]:[PERIODO Imp.]],CM$9)</f>
        <v>0</v>
      </c>
      <c r="CN48" s="516">
        <f>SUMIFS(Imput[[Importe Neto]:[Importe Neto]],Imput[[C. Imp.]:[C. Imp.]],$D48,Imput[[PERIODO Imp.]:[PERIODO Imp.]],CN$9)</f>
        <v>0</v>
      </c>
      <c r="CO48" s="516">
        <f>SUMIFS(Imput[[Importe Neto]:[Importe Neto]],Imput[[C. Imp.]:[C. Imp.]],$D48,Imput[[PERIODO Imp.]:[PERIODO Imp.]],CO$9)</f>
        <v>0</v>
      </c>
      <c r="CP48" s="516">
        <f>SUMIFS(Imput[[Importe Neto]:[Importe Neto]],Imput[[C. Imp.]:[C. Imp.]],$D48,Imput[[PERIODO Imp.]:[PERIODO Imp.]],CP$9)</f>
        <v>0</v>
      </c>
      <c r="CQ48" s="516">
        <f>SUMIFS(Imput[[Importe Neto]:[Importe Neto]],Imput[[C. Imp.]:[C. Imp.]],$D48,Imput[[PERIODO Imp.]:[PERIODO Imp.]],CQ$9)</f>
        <v>0</v>
      </c>
      <c r="CR48" s="516">
        <f>SUMIFS(Imput[[Importe Neto]:[Importe Neto]],Imput[[C. Imp.]:[C. Imp.]],$D48,Imput[[PERIODO Imp.]:[PERIODO Imp.]],CR$9)</f>
        <v>0</v>
      </c>
      <c r="CS48" s="516">
        <f>SUMIFS(Imput[[Importe Neto]:[Importe Neto]],Imput[[C. Imp.]:[C. Imp.]],$D48,Imput[[PERIODO Imp.]:[PERIODO Imp.]],CS$9)</f>
        <v>0</v>
      </c>
      <c r="CT48" s="516">
        <f>SUMIFS(Imput[[Importe Neto]:[Importe Neto]],Imput[[C. Imp.]:[C. Imp.]],$D48,Imput[[PERIODO Imp.]:[PERIODO Imp.]],CT$9)</f>
        <v>0</v>
      </c>
      <c r="CU48" s="516">
        <f>SUMIFS(Imput[[Importe Neto]:[Importe Neto]],Imput[[C. Imp.]:[C. Imp.]],$D48,Imput[[PERIODO Imp.]:[PERIODO Imp.]],CU$9)</f>
        <v>0</v>
      </c>
      <c r="CV48" s="516">
        <f>SUMIFS(Imput[[Importe Neto]:[Importe Neto]],Imput[[C. Imp.]:[C. Imp.]],$D48,Imput[[PERIODO Imp.]:[PERIODO Imp.]],CV$9)</f>
        <v>0</v>
      </c>
      <c r="CW48" s="516">
        <f>SUMIFS(Imput[[Importe Neto]:[Importe Neto]],Imput[[C. Imp.]:[C. Imp.]],$D48,Imput[[PERIODO Imp.]:[PERIODO Imp.]],CW$9)</f>
        <v>0</v>
      </c>
      <c r="CX48" s="516">
        <f>SUMIFS(Imput[[Importe Neto]:[Importe Neto]],Imput[[C. Imp.]:[C. Imp.]],$D48,Imput[[PERIODO Imp.]:[PERIODO Imp.]],CX$9)</f>
        <v>0</v>
      </c>
      <c r="CY48" s="516">
        <f>SUMIFS(Imput[[Importe Neto]:[Importe Neto]],Imput[[C. Imp.]:[C. Imp.]],$D48,Imput[[PERIODO Imp.]:[PERIODO Imp.]],CY$9)</f>
        <v>0</v>
      </c>
      <c r="CZ48" s="516">
        <f>SUMIFS(Imput[[Importe Neto]:[Importe Neto]],Imput[[C. Imp.]:[C. Imp.]],$D48,Imput[[PERIODO Imp.]:[PERIODO Imp.]],CZ$9)</f>
        <v>0</v>
      </c>
      <c r="DA48" s="516">
        <f>SUMIFS(Imput[[Importe Neto]:[Importe Neto]],Imput[[C. Imp.]:[C. Imp.]],$D48,Imput[[PERIODO Imp.]:[PERIODO Imp.]],DA$9)</f>
        <v>0</v>
      </c>
      <c r="DB48" s="516">
        <f>SUMIFS(Imput[[Importe Neto]:[Importe Neto]],Imput[[C. Imp.]:[C. Imp.]],$D48,Imput[[PERIODO Imp.]:[PERIODO Imp.]],DB$9)</f>
        <v>0</v>
      </c>
      <c r="DC48" s="516">
        <f>SUMIFS(Imput[[Importe Neto]:[Importe Neto]],Imput[[C. Imp.]:[C. Imp.]],$D48,Imput[[PERIODO Imp.]:[PERIODO Imp.]],DC$9)</f>
        <v>0</v>
      </c>
      <c r="DD48" s="516">
        <f>SUMIFS(Imput[[Importe Neto]:[Importe Neto]],Imput[[C. Imp.]:[C. Imp.]],$D48,Imput[[PERIODO Imp.]:[PERIODO Imp.]],DD$9)</f>
        <v>0</v>
      </c>
      <c r="DE48" s="516">
        <f>SUMIFS(Imput[[Importe Neto]:[Importe Neto]],Imput[[C. Imp.]:[C. Imp.]],$D48,Imput[[PERIODO Imp.]:[PERIODO Imp.]],DE$9)</f>
        <v>0</v>
      </c>
      <c r="DF48" s="516">
        <f>SUMIFS(Imput[[Importe Neto]:[Importe Neto]],Imput[[C. Imp.]:[C. Imp.]],$D48,Imput[[PERIODO Imp.]:[PERIODO Imp.]],DF$9)</f>
        <v>0</v>
      </c>
      <c r="DG48" s="516">
        <f>SUMIFS(Imput[[Importe Neto]:[Importe Neto]],Imput[[C. Imp.]:[C. Imp.]],$D48,Imput[[PERIODO Imp.]:[PERIODO Imp.]],DG$9)</f>
        <v>0</v>
      </c>
      <c r="DH48" s="616">
        <f>SUMIFS(Imput[[Importe Neto]:[Importe Neto]],Imput[[C. Imp.]:[C. Imp.]],$D48,Imput[[PERIODO Imp.]:[PERIODO Imp.]],DH$9)</f>
        <v>0</v>
      </c>
    </row>
    <row r="49" spans="1:112" hidden="1" outlineLevel="1" x14ac:dyDescent="0.3">
      <c r="A49" s="66" t="str">
        <f t="shared" si="15"/>
        <v/>
      </c>
      <c r="C49" s="527"/>
      <c r="D49" s="528" t="s">
        <v>2158</v>
      </c>
      <c r="E49" s="528"/>
      <c r="F49" s="534"/>
      <c r="G49" s="529"/>
      <c r="H49" s="531"/>
      <c r="I49" s="849" t="str">
        <f t="shared" si="16"/>
        <v/>
      </c>
      <c r="J49" s="850" t="str">
        <f t="shared" si="17"/>
        <v/>
      </c>
      <c r="K49" s="70"/>
      <c r="L49" s="853"/>
      <c r="M49" s="855"/>
      <c r="N49" s="855"/>
      <c r="O49" s="855"/>
      <c r="P49" s="855"/>
      <c r="Q49" s="855"/>
      <c r="R49" s="855"/>
      <c r="S49" s="855"/>
      <c r="T49" s="855"/>
      <c r="U49" s="855"/>
      <c r="V49" s="855"/>
      <c r="W49" s="855"/>
      <c r="X49" s="855"/>
      <c r="Y49" s="855"/>
      <c r="Z49" s="856"/>
      <c r="AA49" s="856"/>
      <c r="AB49" s="856"/>
      <c r="AC49" s="856"/>
      <c r="AD49" s="856"/>
      <c r="AE49" s="856"/>
      <c r="AF49" s="856"/>
      <c r="AG49" s="856"/>
      <c r="AH49" s="856"/>
      <c r="AI49" s="856"/>
      <c r="AJ49" s="856"/>
      <c r="AK49" s="856"/>
      <c r="AL49" s="856"/>
      <c r="AM49" s="856"/>
      <c r="AN49" s="856"/>
      <c r="AO49" s="856"/>
      <c r="AP49" s="856"/>
      <c r="AQ49" s="856"/>
      <c r="AR49" s="856"/>
      <c r="AS49" s="856"/>
      <c r="AT49" s="856"/>
      <c r="AU49" s="856"/>
      <c r="AV49" s="856"/>
      <c r="AW49" s="856"/>
      <c r="AX49" s="856"/>
      <c r="AY49" s="856"/>
      <c r="AZ49" s="856"/>
      <c r="BA49" s="856"/>
      <c r="BB49" s="856"/>
      <c r="BC49" s="856"/>
      <c r="BD49" s="856"/>
      <c r="BE49" s="856"/>
      <c r="BF49" s="856"/>
      <c r="BG49" s="857"/>
      <c r="BH49" s="590"/>
      <c r="BI49" s="70"/>
      <c r="BJ49" s="518">
        <f t="shared" si="18"/>
        <v>0</v>
      </c>
      <c r="BK49" s="517">
        <f t="shared" si="19"/>
        <v>0</v>
      </c>
      <c r="BL49" s="68"/>
      <c r="BM49" s="515">
        <f>SUMIFS(Imput[[Importe Neto]:[Importe Neto]],Imput[[C. Imp.]:[C. Imp.]],$D49,Imput[[PERIODO Imp.]:[PERIODO Imp.]],BM$9)</f>
        <v>0</v>
      </c>
      <c r="BN49" s="516">
        <f>SUMIFS(Imput[[Importe Neto]:[Importe Neto]],Imput[[C. Imp.]:[C. Imp.]],$D49,Imput[[PERIODO Imp.]:[PERIODO Imp.]],BN$9)</f>
        <v>0</v>
      </c>
      <c r="BO49" s="516">
        <f>SUMIFS(Imput[[Importe Neto]:[Importe Neto]],Imput[[C. Imp.]:[C. Imp.]],$D49,Imput[[PERIODO Imp.]:[PERIODO Imp.]],BO$9)</f>
        <v>0</v>
      </c>
      <c r="BP49" s="516">
        <f>SUMIFS(Imput[[Importe Neto]:[Importe Neto]],Imput[[C. Imp.]:[C. Imp.]],$D49,Imput[[PERIODO Imp.]:[PERIODO Imp.]],BP$9)</f>
        <v>0</v>
      </c>
      <c r="BQ49" s="516">
        <f>SUMIFS(Imput[[Importe Neto]:[Importe Neto]],Imput[[C. Imp.]:[C. Imp.]],$D49,Imput[[PERIODO Imp.]:[PERIODO Imp.]],BQ$9)</f>
        <v>0</v>
      </c>
      <c r="BR49" s="516">
        <f>SUMIFS(Imput[[Importe Neto]:[Importe Neto]],Imput[[C. Imp.]:[C. Imp.]],$D49,Imput[[PERIODO Imp.]:[PERIODO Imp.]],BR$9)</f>
        <v>0</v>
      </c>
      <c r="BS49" s="516">
        <f>SUMIFS(Imput[[Importe Neto]:[Importe Neto]],Imput[[C. Imp.]:[C. Imp.]],$D49,Imput[[PERIODO Imp.]:[PERIODO Imp.]],BS$9)</f>
        <v>0</v>
      </c>
      <c r="BT49" s="516">
        <f>SUMIFS(Imput[[Importe Neto]:[Importe Neto]],Imput[[C. Imp.]:[C. Imp.]],$D49,Imput[[PERIODO Imp.]:[PERIODO Imp.]],BT$9)</f>
        <v>0</v>
      </c>
      <c r="BU49" s="516">
        <f>SUMIFS(Imput[[Importe Neto]:[Importe Neto]],Imput[[C. Imp.]:[C. Imp.]],$D49,Imput[[PERIODO Imp.]:[PERIODO Imp.]],BU$9)</f>
        <v>0</v>
      </c>
      <c r="BV49" s="516">
        <f>SUMIFS(Imput[[Importe Neto]:[Importe Neto]],Imput[[C. Imp.]:[C. Imp.]],$D49,Imput[[PERIODO Imp.]:[PERIODO Imp.]],BV$9)</f>
        <v>0</v>
      </c>
      <c r="BW49" s="516">
        <f>SUMIFS(Imput[[Importe Neto]:[Importe Neto]],Imput[[C. Imp.]:[C. Imp.]],$D49,Imput[[PERIODO Imp.]:[PERIODO Imp.]],BW$9)</f>
        <v>0</v>
      </c>
      <c r="BX49" s="516">
        <f>SUMIFS(Imput[[Importe Neto]:[Importe Neto]],Imput[[C. Imp.]:[C. Imp.]],$D49,Imput[[PERIODO Imp.]:[PERIODO Imp.]],BX$9)</f>
        <v>0</v>
      </c>
      <c r="BY49" s="516">
        <f>SUMIFS(Imput[[Importe Neto]:[Importe Neto]],Imput[[C. Imp.]:[C. Imp.]],$D49,Imput[[PERIODO Imp.]:[PERIODO Imp.]],BY$9)</f>
        <v>0</v>
      </c>
      <c r="BZ49" s="516">
        <f>SUMIFS(Imput[[Importe Neto]:[Importe Neto]],Imput[[C. Imp.]:[C. Imp.]],$D49,Imput[[PERIODO Imp.]:[PERIODO Imp.]],BZ$9)</f>
        <v>0</v>
      </c>
      <c r="CA49" s="516">
        <f>SUMIFS(Imput[[Importe Neto]:[Importe Neto]],Imput[[C. Imp.]:[C. Imp.]],$D49,Imput[[PERIODO Imp.]:[PERIODO Imp.]],CA$9)</f>
        <v>0</v>
      </c>
      <c r="CB49" s="516">
        <f>SUMIFS(Imput[[Importe Neto]:[Importe Neto]],Imput[[C. Imp.]:[C. Imp.]],$D49,Imput[[PERIODO Imp.]:[PERIODO Imp.]],CB$9)</f>
        <v>0</v>
      </c>
      <c r="CC49" s="516">
        <f>SUMIFS(Imput[[Importe Neto]:[Importe Neto]],Imput[[C. Imp.]:[C. Imp.]],$D49,Imput[[PERIODO Imp.]:[PERIODO Imp.]],CC$9)</f>
        <v>0</v>
      </c>
      <c r="CD49" s="516">
        <f>SUMIFS(Imput[[Importe Neto]:[Importe Neto]],Imput[[C. Imp.]:[C. Imp.]],$D49,Imput[[PERIODO Imp.]:[PERIODO Imp.]],CD$9)</f>
        <v>0</v>
      </c>
      <c r="CE49" s="516">
        <f>SUMIFS(Imput[[Importe Neto]:[Importe Neto]],Imput[[C. Imp.]:[C. Imp.]],$D49,Imput[[PERIODO Imp.]:[PERIODO Imp.]],CE$9)</f>
        <v>0</v>
      </c>
      <c r="CF49" s="516">
        <f>SUMIFS(Imput[[Importe Neto]:[Importe Neto]],Imput[[C. Imp.]:[C. Imp.]],$D49,Imput[[PERIODO Imp.]:[PERIODO Imp.]],CF$9)</f>
        <v>0</v>
      </c>
      <c r="CG49" s="516">
        <f>SUMIFS(Imput[[Importe Neto]:[Importe Neto]],Imput[[C. Imp.]:[C. Imp.]],$D49,Imput[[PERIODO Imp.]:[PERIODO Imp.]],CG$9)</f>
        <v>0</v>
      </c>
      <c r="CH49" s="516">
        <f>SUMIFS(Imput[[Importe Neto]:[Importe Neto]],Imput[[C. Imp.]:[C. Imp.]],$D49,Imput[[PERIODO Imp.]:[PERIODO Imp.]],CH$9)</f>
        <v>0</v>
      </c>
      <c r="CI49" s="516">
        <f>SUMIFS(Imput[[Importe Neto]:[Importe Neto]],Imput[[C. Imp.]:[C. Imp.]],$D49,Imput[[PERIODO Imp.]:[PERIODO Imp.]],CI$9)</f>
        <v>0</v>
      </c>
      <c r="CJ49" s="516">
        <f>SUMIFS(Imput[[Importe Neto]:[Importe Neto]],Imput[[C. Imp.]:[C. Imp.]],$D49,Imput[[PERIODO Imp.]:[PERIODO Imp.]],CJ$9)</f>
        <v>0</v>
      </c>
      <c r="CK49" s="516">
        <f>SUMIFS(Imput[[Importe Neto]:[Importe Neto]],Imput[[C. Imp.]:[C. Imp.]],$D49,Imput[[PERIODO Imp.]:[PERIODO Imp.]],CK$9)</f>
        <v>0</v>
      </c>
      <c r="CL49" s="516">
        <f>SUMIFS(Imput[[Importe Neto]:[Importe Neto]],Imput[[C. Imp.]:[C. Imp.]],$D49,Imput[[PERIODO Imp.]:[PERIODO Imp.]],CL$9)</f>
        <v>0</v>
      </c>
      <c r="CM49" s="516">
        <f>SUMIFS(Imput[[Importe Neto]:[Importe Neto]],Imput[[C. Imp.]:[C. Imp.]],$D49,Imput[[PERIODO Imp.]:[PERIODO Imp.]],CM$9)</f>
        <v>0</v>
      </c>
      <c r="CN49" s="516">
        <f>SUMIFS(Imput[[Importe Neto]:[Importe Neto]],Imput[[C. Imp.]:[C. Imp.]],$D49,Imput[[PERIODO Imp.]:[PERIODO Imp.]],CN$9)</f>
        <v>0</v>
      </c>
      <c r="CO49" s="516">
        <f>SUMIFS(Imput[[Importe Neto]:[Importe Neto]],Imput[[C. Imp.]:[C. Imp.]],$D49,Imput[[PERIODO Imp.]:[PERIODO Imp.]],CO$9)</f>
        <v>0</v>
      </c>
      <c r="CP49" s="516">
        <f>SUMIFS(Imput[[Importe Neto]:[Importe Neto]],Imput[[C. Imp.]:[C. Imp.]],$D49,Imput[[PERIODO Imp.]:[PERIODO Imp.]],CP$9)</f>
        <v>0</v>
      </c>
      <c r="CQ49" s="516">
        <f>SUMIFS(Imput[[Importe Neto]:[Importe Neto]],Imput[[C. Imp.]:[C. Imp.]],$D49,Imput[[PERIODO Imp.]:[PERIODO Imp.]],CQ$9)</f>
        <v>0</v>
      </c>
      <c r="CR49" s="516">
        <f>SUMIFS(Imput[[Importe Neto]:[Importe Neto]],Imput[[C. Imp.]:[C. Imp.]],$D49,Imput[[PERIODO Imp.]:[PERIODO Imp.]],CR$9)</f>
        <v>0</v>
      </c>
      <c r="CS49" s="516">
        <f>SUMIFS(Imput[[Importe Neto]:[Importe Neto]],Imput[[C. Imp.]:[C. Imp.]],$D49,Imput[[PERIODO Imp.]:[PERIODO Imp.]],CS$9)</f>
        <v>0</v>
      </c>
      <c r="CT49" s="516">
        <f>SUMIFS(Imput[[Importe Neto]:[Importe Neto]],Imput[[C. Imp.]:[C. Imp.]],$D49,Imput[[PERIODO Imp.]:[PERIODO Imp.]],CT$9)</f>
        <v>0</v>
      </c>
      <c r="CU49" s="516">
        <f>SUMIFS(Imput[[Importe Neto]:[Importe Neto]],Imput[[C. Imp.]:[C. Imp.]],$D49,Imput[[PERIODO Imp.]:[PERIODO Imp.]],CU$9)</f>
        <v>0</v>
      </c>
      <c r="CV49" s="516">
        <f>SUMIFS(Imput[[Importe Neto]:[Importe Neto]],Imput[[C. Imp.]:[C. Imp.]],$D49,Imput[[PERIODO Imp.]:[PERIODO Imp.]],CV$9)</f>
        <v>0</v>
      </c>
      <c r="CW49" s="516">
        <f>SUMIFS(Imput[[Importe Neto]:[Importe Neto]],Imput[[C. Imp.]:[C. Imp.]],$D49,Imput[[PERIODO Imp.]:[PERIODO Imp.]],CW$9)</f>
        <v>0</v>
      </c>
      <c r="CX49" s="516">
        <f>SUMIFS(Imput[[Importe Neto]:[Importe Neto]],Imput[[C. Imp.]:[C. Imp.]],$D49,Imput[[PERIODO Imp.]:[PERIODO Imp.]],CX$9)</f>
        <v>0</v>
      </c>
      <c r="CY49" s="516">
        <f>SUMIFS(Imput[[Importe Neto]:[Importe Neto]],Imput[[C. Imp.]:[C. Imp.]],$D49,Imput[[PERIODO Imp.]:[PERIODO Imp.]],CY$9)</f>
        <v>0</v>
      </c>
      <c r="CZ49" s="516">
        <f>SUMIFS(Imput[[Importe Neto]:[Importe Neto]],Imput[[C. Imp.]:[C. Imp.]],$D49,Imput[[PERIODO Imp.]:[PERIODO Imp.]],CZ$9)</f>
        <v>0</v>
      </c>
      <c r="DA49" s="516">
        <f>SUMIFS(Imput[[Importe Neto]:[Importe Neto]],Imput[[C. Imp.]:[C. Imp.]],$D49,Imput[[PERIODO Imp.]:[PERIODO Imp.]],DA$9)</f>
        <v>0</v>
      </c>
      <c r="DB49" s="516">
        <f>SUMIFS(Imput[[Importe Neto]:[Importe Neto]],Imput[[C. Imp.]:[C. Imp.]],$D49,Imput[[PERIODO Imp.]:[PERIODO Imp.]],DB$9)</f>
        <v>0</v>
      </c>
      <c r="DC49" s="516">
        <f>SUMIFS(Imput[[Importe Neto]:[Importe Neto]],Imput[[C. Imp.]:[C. Imp.]],$D49,Imput[[PERIODO Imp.]:[PERIODO Imp.]],DC$9)</f>
        <v>0</v>
      </c>
      <c r="DD49" s="516">
        <f>SUMIFS(Imput[[Importe Neto]:[Importe Neto]],Imput[[C. Imp.]:[C. Imp.]],$D49,Imput[[PERIODO Imp.]:[PERIODO Imp.]],DD$9)</f>
        <v>0</v>
      </c>
      <c r="DE49" s="516">
        <f>SUMIFS(Imput[[Importe Neto]:[Importe Neto]],Imput[[C. Imp.]:[C. Imp.]],$D49,Imput[[PERIODO Imp.]:[PERIODO Imp.]],DE$9)</f>
        <v>0</v>
      </c>
      <c r="DF49" s="516">
        <f>SUMIFS(Imput[[Importe Neto]:[Importe Neto]],Imput[[C. Imp.]:[C. Imp.]],$D49,Imput[[PERIODO Imp.]:[PERIODO Imp.]],DF$9)</f>
        <v>0</v>
      </c>
      <c r="DG49" s="516">
        <f>SUMIFS(Imput[[Importe Neto]:[Importe Neto]],Imput[[C. Imp.]:[C. Imp.]],$D49,Imput[[PERIODO Imp.]:[PERIODO Imp.]],DG$9)</f>
        <v>0</v>
      </c>
      <c r="DH49" s="616">
        <f>SUMIFS(Imput[[Importe Neto]:[Importe Neto]],Imput[[C. Imp.]:[C. Imp.]],$D49,Imput[[PERIODO Imp.]:[PERIODO Imp.]],DH$9)</f>
        <v>0</v>
      </c>
    </row>
    <row r="50" spans="1:112" hidden="1" outlineLevel="1" x14ac:dyDescent="0.3">
      <c r="A50" s="66" t="str">
        <f t="shared" si="15"/>
        <v/>
      </c>
      <c r="C50" s="527"/>
      <c r="D50" s="528" t="s">
        <v>2159</v>
      </c>
      <c r="E50" s="528"/>
      <c r="F50" s="534"/>
      <c r="G50" s="529"/>
      <c r="H50" s="531"/>
      <c r="I50" s="849" t="str">
        <f t="shared" si="16"/>
        <v/>
      </c>
      <c r="J50" s="850" t="str">
        <f t="shared" si="17"/>
        <v/>
      </c>
      <c r="K50" s="70"/>
      <c r="L50" s="853"/>
      <c r="M50" s="855"/>
      <c r="N50" s="855"/>
      <c r="O50" s="855"/>
      <c r="P50" s="855"/>
      <c r="Q50" s="855"/>
      <c r="R50" s="855"/>
      <c r="S50" s="855"/>
      <c r="T50" s="855"/>
      <c r="U50" s="855"/>
      <c r="V50" s="855"/>
      <c r="W50" s="855"/>
      <c r="X50" s="855"/>
      <c r="Y50" s="855"/>
      <c r="Z50" s="856"/>
      <c r="AA50" s="856"/>
      <c r="AB50" s="856"/>
      <c r="AC50" s="856"/>
      <c r="AD50" s="856"/>
      <c r="AE50" s="856"/>
      <c r="AF50" s="856"/>
      <c r="AG50" s="856"/>
      <c r="AH50" s="856"/>
      <c r="AI50" s="856"/>
      <c r="AJ50" s="856"/>
      <c r="AK50" s="856"/>
      <c r="AL50" s="856"/>
      <c r="AM50" s="856"/>
      <c r="AN50" s="856"/>
      <c r="AO50" s="856"/>
      <c r="AP50" s="856"/>
      <c r="AQ50" s="856"/>
      <c r="AR50" s="856"/>
      <c r="AS50" s="856"/>
      <c r="AT50" s="856"/>
      <c r="AU50" s="856"/>
      <c r="AV50" s="856"/>
      <c r="AW50" s="856"/>
      <c r="AX50" s="856"/>
      <c r="AY50" s="856"/>
      <c r="AZ50" s="856"/>
      <c r="BA50" s="856"/>
      <c r="BB50" s="856"/>
      <c r="BC50" s="856"/>
      <c r="BD50" s="856"/>
      <c r="BE50" s="856"/>
      <c r="BF50" s="856"/>
      <c r="BG50" s="857"/>
      <c r="BH50" s="590"/>
      <c r="BI50" s="70"/>
      <c r="BJ50" s="518">
        <f t="shared" si="18"/>
        <v>0</v>
      </c>
      <c r="BK50" s="517">
        <f t="shared" si="19"/>
        <v>0</v>
      </c>
      <c r="BL50" s="68"/>
      <c r="BM50" s="515">
        <f>SUMIFS(Imput[[Importe Neto]:[Importe Neto]],Imput[[C. Imp.]:[C. Imp.]],$D50,Imput[[PERIODO Imp.]:[PERIODO Imp.]],BM$9)</f>
        <v>0</v>
      </c>
      <c r="BN50" s="516">
        <f>SUMIFS(Imput[[Importe Neto]:[Importe Neto]],Imput[[C. Imp.]:[C. Imp.]],$D50,Imput[[PERIODO Imp.]:[PERIODO Imp.]],BN$9)</f>
        <v>0</v>
      </c>
      <c r="BO50" s="516">
        <f>SUMIFS(Imput[[Importe Neto]:[Importe Neto]],Imput[[C. Imp.]:[C. Imp.]],$D50,Imput[[PERIODO Imp.]:[PERIODO Imp.]],BO$9)</f>
        <v>0</v>
      </c>
      <c r="BP50" s="516">
        <f>SUMIFS(Imput[[Importe Neto]:[Importe Neto]],Imput[[C. Imp.]:[C. Imp.]],$D50,Imput[[PERIODO Imp.]:[PERIODO Imp.]],BP$9)</f>
        <v>0</v>
      </c>
      <c r="BQ50" s="516">
        <f>SUMIFS(Imput[[Importe Neto]:[Importe Neto]],Imput[[C. Imp.]:[C. Imp.]],$D50,Imput[[PERIODO Imp.]:[PERIODO Imp.]],BQ$9)</f>
        <v>0</v>
      </c>
      <c r="BR50" s="516">
        <f>SUMIFS(Imput[[Importe Neto]:[Importe Neto]],Imput[[C. Imp.]:[C. Imp.]],$D50,Imput[[PERIODO Imp.]:[PERIODO Imp.]],BR$9)</f>
        <v>0</v>
      </c>
      <c r="BS50" s="516">
        <f>SUMIFS(Imput[[Importe Neto]:[Importe Neto]],Imput[[C. Imp.]:[C. Imp.]],$D50,Imput[[PERIODO Imp.]:[PERIODO Imp.]],BS$9)</f>
        <v>0</v>
      </c>
      <c r="BT50" s="516">
        <f>SUMIFS(Imput[[Importe Neto]:[Importe Neto]],Imput[[C. Imp.]:[C. Imp.]],$D50,Imput[[PERIODO Imp.]:[PERIODO Imp.]],BT$9)</f>
        <v>0</v>
      </c>
      <c r="BU50" s="516">
        <f>SUMIFS(Imput[[Importe Neto]:[Importe Neto]],Imput[[C. Imp.]:[C. Imp.]],$D50,Imput[[PERIODO Imp.]:[PERIODO Imp.]],BU$9)</f>
        <v>0</v>
      </c>
      <c r="BV50" s="516">
        <f>SUMIFS(Imput[[Importe Neto]:[Importe Neto]],Imput[[C. Imp.]:[C. Imp.]],$D50,Imput[[PERIODO Imp.]:[PERIODO Imp.]],BV$9)</f>
        <v>0</v>
      </c>
      <c r="BW50" s="516">
        <f>SUMIFS(Imput[[Importe Neto]:[Importe Neto]],Imput[[C. Imp.]:[C. Imp.]],$D50,Imput[[PERIODO Imp.]:[PERIODO Imp.]],BW$9)</f>
        <v>0</v>
      </c>
      <c r="BX50" s="516">
        <f>SUMIFS(Imput[[Importe Neto]:[Importe Neto]],Imput[[C. Imp.]:[C. Imp.]],$D50,Imput[[PERIODO Imp.]:[PERIODO Imp.]],BX$9)</f>
        <v>0</v>
      </c>
      <c r="BY50" s="516">
        <f>SUMIFS(Imput[[Importe Neto]:[Importe Neto]],Imput[[C. Imp.]:[C. Imp.]],$D50,Imput[[PERIODO Imp.]:[PERIODO Imp.]],BY$9)</f>
        <v>0</v>
      </c>
      <c r="BZ50" s="516">
        <f>SUMIFS(Imput[[Importe Neto]:[Importe Neto]],Imput[[C. Imp.]:[C. Imp.]],$D50,Imput[[PERIODO Imp.]:[PERIODO Imp.]],BZ$9)</f>
        <v>0</v>
      </c>
      <c r="CA50" s="516">
        <f>SUMIFS(Imput[[Importe Neto]:[Importe Neto]],Imput[[C. Imp.]:[C. Imp.]],$D50,Imput[[PERIODO Imp.]:[PERIODO Imp.]],CA$9)</f>
        <v>0</v>
      </c>
      <c r="CB50" s="516">
        <f>SUMIFS(Imput[[Importe Neto]:[Importe Neto]],Imput[[C. Imp.]:[C. Imp.]],$D50,Imput[[PERIODO Imp.]:[PERIODO Imp.]],CB$9)</f>
        <v>0</v>
      </c>
      <c r="CC50" s="516">
        <f>SUMIFS(Imput[[Importe Neto]:[Importe Neto]],Imput[[C. Imp.]:[C. Imp.]],$D50,Imput[[PERIODO Imp.]:[PERIODO Imp.]],CC$9)</f>
        <v>0</v>
      </c>
      <c r="CD50" s="516">
        <f>SUMIFS(Imput[[Importe Neto]:[Importe Neto]],Imput[[C. Imp.]:[C. Imp.]],$D50,Imput[[PERIODO Imp.]:[PERIODO Imp.]],CD$9)</f>
        <v>0</v>
      </c>
      <c r="CE50" s="516">
        <f>SUMIFS(Imput[[Importe Neto]:[Importe Neto]],Imput[[C. Imp.]:[C. Imp.]],$D50,Imput[[PERIODO Imp.]:[PERIODO Imp.]],CE$9)</f>
        <v>0</v>
      </c>
      <c r="CF50" s="516">
        <f>SUMIFS(Imput[[Importe Neto]:[Importe Neto]],Imput[[C. Imp.]:[C. Imp.]],$D50,Imput[[PERIODO Imp.]:[PERIODO Imp.]],CF$9)</f>
        <v>0</v>
      </c>
      <c r="CG50" s="516">
        <f>SUMIFS(Imput[[Importe Neto]:[Importe Neto]],Imput[[C. Imp.]:[C. Imp.]],$D50,Imput[[PERIODO Imp.]:[PERIODO Imp.]],CG$9)</f>
        <v>0</v>
      </c>
      <c r="CH50" s="516">
        <f>SUMIFS(Imput[[Importe Neto]:[Importe Neto]],Imput[[C. Imp.]:[C. Imp.]],$D50,Imput[[PERIODO Imp.]:[PERIODO Imp.]],CH$9)</f>
        <v>0</v>
      </c>
      <c r="CI50" s="516">
        <f>SUMIFS(Imput[[Importe Neto]:[Importe Neto]],Imput[[C. Imp.]:[C. Imp.]],$D50,Imput[[PERIODO Imp.]:[PERIODO Imp.]],CI$9)</f>
        <v>0</v>
      </c>
      <c r="CJ50" s="516">
        <f>SUMIFS(Imput[[Importe Neto]:[Importe Neto]],Imput[[C. Imp.]:[C. Imp.]],$D50,Imput[[PERIODO Imp.]:[PERIODO Imp.]],CJ$9)</f>
        <v>0</v>
      </c>
      <c r="CK50" s="516">
        <f>SUMIFS(Imput[[Importe Neto]:[Importe Neto]],Imput[[C. Imp.]:[C. Imp.]],$D50,Imput[[PERIODO Imp.]:[PERIODO Imp.]],CK$9)</f>
        <v>0</v>
      </c>
      <c r="CL50" s="516">
        <f>SUMIFS(Imput[[Importe Neto]:[Importe Neto]],Imput[[C. Imp.]:[C. Imp.]],$D50,Imput[[PERIODO Imp.]:[PERIODO Imp.]],CL$9)</f>
        <v>0</v>
      </c>
      <c r="CM50" s="516">
        <f>SUMIFS(Imput[[Importe Neto]:[Importe Neto]],Imput[[C. Imp.]:[C. Imp.]],$D50,Imput[[PERIODO Imp.]:[PERIODO Imp.]],CM$9)</f>
        <v>0</v>
      </c>
      <c r="CN50" s="516">
        <f>SUMIFS(Imput[[Importe Neto]:[Importe Neto]],Imput[[C. Imp.]:[C. Imp.]],$D50,Imput[[PERIODO Imp.]:[PERIODO Imp.]],CN$9)</f>
        <v>0</v>
      </c>
      <c r="CO50" s="516">
        <f>SUMIFS(Imput[[Importe Neto]:[Importe Neto]],Imput[[C. Imp.]:[C. Imp.]],$D50,Imput[[PERIODO Imp.]:[PERIODO Imp.]],CO$9)</f>
        <v>0</v>
      </c>
      <c r="CP50" s="516">
        <f>SUMIFS(Imput[[Importe Neto]:[Importe Neto]],Imput[[C. Imp.]:[C. Imp.]],$D50,Imput[[PERIODO Imp.]:[PERIODO Imp.]],CP$9)</f>
        <v>0</v>
      </c>
      <c r="CQ50" s="516">
        <f>SUMIFS(Imput[[Importe Neto]:[Importe Neto]],Imput[[C. Imp.]:[C. Imp.]],$D50,Imput[[PERIODO Imp.]:[PERIODO Imp.]],CQ$9)</f>
        <v>0</v>
      </c>
      <c r="CR50" s="516">
        <f>SUMIFS(Imput[[Importe Neto]:[Importe Neto]],Imput[[C. Imp.]:[C. Imp.]],$D50,Imput[[PERIODO Imp.]:[PERIODO Imp.]],CR$9)</f>
        <v>0</v>
      </c>
      <c r="CS50" s="516">
        <f>SUMIFS(Imput[[Importe Neto]:[Importe Neto]],Imput[[C. Imp.]:[C. Imp.]],$D50,Imput[[PERIODO Imp.]:[PERIODO Imp.]],CS$9)</f>
        <v>0</v>
      </c>
      <c r="CT50" s="516">
        <f>SUMIFS(Imput[[Importe Neto]:[Importe Neto]],Imput[[C. Imp.]:[C. Imp.]],$D50,Imput[[PERIODO Imp.]:[PERIODO Imp.]],CT$9)</f>
        <v>0</v>
      </c>
      <c r="CU50" s="516">
        <f>SUMIFS(Imput[[Importe Neto]:[Importe Neto]],Imput[[C. Imp.]:[C. Imp.]],$D50,Imput[[PERIODO Imp.]:[PERIODO Imp.]],CU$9)</f>
        <v>0</v>
      </c>
      <c r="CV50" s="516">
        <f>SUMIFS(Imput[[Importe Neto]:[Importe Neto]],Imput[[C. Imp.]:[C. Imp.]],$D50,Imput[[PERIODO Imp.]:[PERIODO Imp.]],CV$9)</f>
        <v>0</v>
      </c>
      <c r="CW50" s="516">
        <f>SUMIFS(Imput[[Importe Neto]:[Importe Neto]],Imput[[C. Imp.]:[C. Imp.]],$D50,Imput[[PERIODO Imp.]:[PERIODO Imp.]],CW$9)</f>
        <v>0</v>
      </c>
      <c r="CX50" s="516">
        <f>SUMIFS(Imput[[Importe Neto]:[Importe Neto]],Imput[[C. Imp.]:[C. Imp.]],$D50,Imput[[PERIODO Imp.]:[PERIODO Imp.]],CX$9)</f>
        <v>0</v>
      </c>
      <c r="CY50" s="516">
        <f>SUMIFS(Imput[[Importe Neto]:[Importe Neto]],Imput[[C. Imp.]:[C. Imp.]],$D50,Imput[[PERIODO Imp.]:[PERIODO Imp.]],CY$9)</f>
        <v>0</v>
      </c>
      <c r="CZ50" s="516">
        <f>SUMIFS(Imput[[Importe Neto]:[Importe Neto]],Imput[[C. Imp.]:[C. Imp.]],$D50,Imput[[PERIODO Imp.]:[PERIODO Imp.]],CZ$9)</f>
        <v>0</v>
      </c>
      <c r="DA50" s="516">
        <f>SUMIFS(Imput[[Importe Neto]:[Importe Neto]],Imput[[C. Imp.]:[C. Imp.]],$D50,Imput[[PERIODO Imp.]:[PERIODO Imp.]],DA$9)</f>
        <v>0</v>
      </c>
      <c r="DB50" s="516">
        <f>SUMIFS(Imput[[Importe Neto]:[Importe Neto]],Imput[[C. Imp.]:[C. Imp.]],$D50,Imput[[PERIODO Imp.]:[PERIODO Imp.]],DB$9)</f>
        <v>0</v>
      </c>
      <c r="DC50" s="516">
        <f>SUMIFS(Imput[[Importe Neto]:[Importe Neto]],Imput[[C. Imp.]:[C. Imp.]],$D50,Imput[[PERIODO Imp.]:[PERIODO Imp.]],DC$9)</f>
        <v>0</v>
      </c>
      <c r="DD50" s="516">
        <f>SUMIFS(Imput[[Importe Neto]:[Importe Neto]],Imput[[C. Imp.]:[C. Imp.]],$D50,Imput[[PERIODO Imp.]:[PERIODO Imp.]],DD$9)</f>
        <v>0</v>
      </c>
      <c r="DE50" s="516">
        <f>SUMIFS(Imput[[Importe Neto]:[Importe Neto]],Imput[[C. Imp.]:[C. Imp.]],$D50,Imput[[PERIODO Imp.]:[PERIODO Imp.]],DE$9)</f>
        <v>0</v>
      </c>
      <c r="DF50" s="516">
        <f>SUMIFS(Imput[[Importe Neto]:[Importe Neto]],Imput[[C. Imp.]:[C. Imp.]],$D50,Imput[[PERIODO Imp.]:[PERIODO Imp.]],DF$9)</f>
        <v>0</v>
      </c>
      <c r="DG50" s="516">
        <f>SUMIFS(Imput[[Importe Neto]:[Importe Neto]],Imput[[C. Imp.]:[C. Imp.]],$D50,Imput[[PERIODO Imp.]:[PERIODO Imp.]],DG$9)</f>
        <v>0</v>
      </c>
      <c r="DH50" s="616">
        <f>SUMIFS(Imput[[Importe Neto]:[Importe Neto]],Imput[[C. Imp.]:[C. Imp.]],$D50,Imput[[PERIODO Imp.]:[PERIODO Imp.]],DH$9)</f>
        <v>0</v>
      </c>
    </row>
    <row r="51" spans="1:112" hidden="1" outlineLevel="1" x14ac:dyDescent="0.3">
      <c r="A51" s="66" t="str">
        <f t="shared" si="15"/>
        <v/>
      </c>
      <c r="C51" s="527"/>
      <c r="D51" s="528" t="s">
        <v>2160</v>
      </c>
      <c r="E51" s="528"/>
      <c r="F51" s="534"/>
      <c r="G51" s="529"/>
      <c r="H51" s="531"/>
      <c r="I51" s="849" t="str">
        <f t="shared" si="16"/>
        <v/>
      </c>
      <c r="J51" s="850" t="str">
        <f t="shared" si="17"/>
        <v/>
      </c>
      <c r="K51" s="70"/>
      <c r="L51" s="853"/>
      <c r="M51" s="855"/>
      <c r="N51" s="855"/>
      <c r="O51" s="855"/>
      <c r="P51" s="855"/>
      <c r="Q51" s="855"/>
      <c r="R51" s="855"/>
      <c r="S51" s="855"/>
      <c r="T51" s="855"/>
      <c r="U51" s="855"/>
      <c r="V51" s="855"/>
      <c r="W51" s="855"/>
      <c r="X51" s="855"/>
      <c r="Y51" s="855"/>
      <c r="Z51" s="856"/>
      <c r="AA51" s="856"/>
      <c r="AB51" s="856"/>
      <c r="AC51" s="856"/>
      <c r="AD51" s="856"/>
      <c r="AE51" s="856"/>
      <c r="AF51" s="856"/>
      <c r="AG51" s="856"/>
      <c r="AH51" s="856"/>
      <c r="AI51" s="856"/>
      <c r="AJ51" s="856"/>
      <c r="AK51" s="856"/>
      <c r="AL51" s="856"/>
      <c r="AM51" s="856"/>
      <c r="AN51" s="856"/>
      <c r="AO51" s="856"/>
      <c r="AP51" s="856"/>
      <c r="AQ51" s="856"/>
      <c r="AR51" s="856"/>
      <c r="AS51" s="856"/>
      <c r="AT51" s="856"/>
      <c r="AU51" s="856"/>
      <c r="AV51" s="856"/>
      <c r="AW51" s="856"/>
      <c r="AX51" s="856"/>
      <c r="AY51" s="856"/>
      <c r="AZ51" s="856"/>
      <c r="BA51" s="856"/>
      <c r="BB51" s="856"/>
      <c r="BC51" s="856"/>
      <c r="BD51" s="856"/>
      <c r="BE51" s="856"/>
      <c r="BF51" s="856"/>
      <c r="BG51" s="857"/>
      <c r="BH51" s="590"/>
      <c r="BI51" s="70"/>
      <c r="BJ51" s="518">
        <f t="shared" si="18"/>
        <v>0</v>
      </c>
      <c r="BK51" s="517">
        <f t="shared" si="19"/>
        <v>0</v>
      </c>
      <c r="BL51" s="68"/>
      <c r="BM51" s="515">
        <f>SUMIFS(Imput[[Importe Neto]:[Importe Neto]],Imput[[C. Imp.]:[C. Imp.]],$D51,Imput[[PERIODO Imp.]:[PERIODO Imp.]],BM$9)</f>
        <v>0</v>
      </c>
      <c r="BN51" s="516">
        <f>SUMIFS(Imput[[Importe Neto]:[Importe Neto]],Imput[[C. Imp.]:[C. Imp.]],$D51,Imput[[PERIODO Imp.]:[PERIODO Imp.]],BN$9)</f>
        <v>0</v>
      </c>
      <c r="BO51" s="516">
        <f>SUMIFS(Imput[[Importe Neto]:[Importe Neto]],Imput[[C. Imp.]:[C. Imp.]],$D51,Imput[[PERIODO Imp.]:[PERIODO Imp.]],BO$9)</f>
        <v>0</v>
      </c>
      <c r="BP51" s="516">
        <f>SUMIFS(Imput[[Importe Neto]:[Importe Neto]],Imput[[C. Imp.]:[C. Imp.]],$D51,Imput[[PERIODO Imp.]:[PERIODO Imp.]],BP$9)</f>
        <v>0</v>
      </c>
      <c r="BQ51" s="516">
        <f>SUMIFS(Imput[[Importe Neto]:[Importe Neto]],Imput[[C. Imp.]:[C. Imp.]],$D51,Imput[[PERIODO Imp.]:[PERIODO Imp.]],BQ$9)</f>
        <v>0</v>
      </c>
      <c r="BR51" s="516">
        <f>SUMIFS(Imput[[Importe Neto]:[Importe Neto]],Imput[[C. Imp.]:[C. Imp.]],$D51,Imput[[PERIODO Imp.]:[PERIODO Imp.]],BR$9)</f>
        <v>0</v>
      </c>
      <c r="BS51" s="516">
        <f>SUMIFS(Imput[[Importe Neto]:[Importe Neto]],Imput[[C. Imp.]:[C. Imp.]],$D51,Imput[[PERIODO Imp.]:[PERIODO Imp.]],BS$9)</f>
        <v>0</v>
      </c>
      <c r="BT51" s="516">
        <f>SUMIFS(Imput[[Importe Neto]:[Importe Neto]],Imput[[C. Imp.]:[C. Imp.]],$D51,Imput[[PERIODO Imp.]:[PERIODO Imp.]],BT$9)</f>
        <v>0</v>
      </c>
      <c r="BU51" s="516">
        <f>SUMIFS(Imput[[Importe Neto]:[Importe Neto]],Imput[[C. Imp.]:[C. Imp.]],$D51,Imput[[PERIODO Imp.]:[PERIODO Imp.]],BU$9)</f>
        <v>0</v>
      </c>
      <c r="BV51" s="516">
        <f>SUMIFS(Imput[[Importe Neto]:[Importe Neto]],Imput[[C. Imp.]:[C. Imp.]],$D51,Imput[[PERIODO Imp.]:[PERIODO Imp.]],BV$9)</f>
        <v>0</v>
      </c>
      <c r="BW51" s="516">
        <f>SUMIFS(Imput[[Importe Neto]:[Importe Neto]],Imput[[C. Imp.]:[C. Imp.]],$D51,Imput[[PERIODO Imp.]:[PERIODO Imp.]],BW$9)</f>
        <v>0</v>
      </c>
      <c r="BX51" s="516">
        <f>SUMIFS(Imput[[Importe Neto]:[Importe Neto]],Imput[[C. Imp.]:[C. Imp.]],$D51,Imput[[PERIODO Imp.]:[PERIODO Imp.]],BX$9)</f>
        <v>0</v>
      </c>
      <c r="BY51" s="516">
        <f>SUMIFS(Imput[[Importe Neto]:[Importe Neto]],Imput[[C. Imp.]:[C. Imp.]],$D51,Imput[[PERIODO Imp.]:[PERIODO Imp.]],BY$9)</f>
        <v>0</v>
      </c>
      <c r="BZ51" s="516">
        <f>SUMIFS(Imput[[Importe Neto]:[Importe Neto]],Imput[[C. Imp.]:[C. Imp.]],$D51,Imput[[PERIODO Imp.]:[PERIODO Imp.]],BZ$9)</f>
        <v>0</v>
      </c>
      <c r="CA51" s="516">
        <f>SUMIFS(Imput[[Importe Neto]:[Importe Neto]],Imput[[C. Imp.]:[C. Imp.]],$D51,Imput[[PERIODO Imp.]:[PERIODO Imp.]],CA$9)</f>
        <v>0</v>
      </c>
      <c r="CB51" s="516">
        <f>SUMIFS(Imput[[Importe Neto]:[Importe Neto]],Imput[[C. Imp.]:[C. Imp.]],$D51,Imput[[PERIODO Imp.]:[PERIODO Imp.]],CB$9)</f>
        <v>0</v>
      </c>
      <c r="CC51" s="516">
        <f>SUMIFS(Imput[[Importe Neto]:[Importe Neto]],Imput[[C. Imp.]:[C. Imp.]],$D51,Imput[[PERIODO Imp.]:[PERIODO Imp.]],CC$9)</f>
        <v>0</v>
      </c>
      <c r="CD51" s="516">
        <f>SUMIFS(Imput[[Importe Neto]:[Importe Neto]],Imput[[C. Imp.]:[C. Imp.]],$D51,Imput[[PERIODO Imp.]:[PERIODO Imp.]],CD$9)</f>
        <v>0</v>
      </c>
      <c r="CE51" s="516">
        <f>SUMIFS(Imput[[Importe Neto]:[Importe Neto]],Imput[[C. Imp.]:[C. Imp.]],$D51,Imput[[PERIODO Imp.]:[PERIODO Imp.]],CE$9)</f>
        <v>0</v>
      </c>
      <c r="CF51" s="516">
        <f>SUMIFS(Imput[[Importe Neto]:[Importe Neto]],Imput[[C. Imp.]:[C. Imp.]],$D51,Imput[[PERIODO Imp.]:[PERIODO Imp.]],CF$9)</f>
        <v>0</v>
      </c>
      <c r="CG51" s="516">
        <f>SUMIFS(Imput[[Importe Neto]:[Importe Neto]],Imput[[C. Imp.]:[C. Imp.]],$D51,Imput[[PERIODO Imp.]:[PERIODO Imp.]],CG$9)</f>
        <v>0</v>
      </c>
      <c r="CH51" s="516">
        <f>SUMIFS(Imput[[Importe Neto]:[Importe Neto]],Imput[[C. Imp.]:[C. Imp.]],$D51,Imput[[PERIODO Imp.]:[PERIODO Imp.]],CH$9)</f>
        <v>0</v>
      </c>
      <c r="CI51" s="516">
        <f>SUMIFS(Imput[[Importe Neto]:[Importe Neto]],Imput[[C. Imp.]:[C. Imp.]],$D51,Imput[[PERIODO Imp.]:[PERIODO Imp.]],CI$9)</f>
        <v>0</v>
      </c>
      <c r="CJ51" s="516">
        <f>SUMIFS(Imput[[Importe Neto]:[Importe Neto]],Imput[[C. Imp.]:[C. Imp.]],$D51,Imput[[PERIODO Imp.]:[PERIODO Imp.]],CJ$9)</f>
        <v>0</v>
      </c>
      <c r="CK51" s="516">
        <f>SUMIFS(Imput[[Importe Neto]:[Importe Neto]],Imput[[C. Imp.]:[C. Imp.]],$D51,Imput[[PERIODO Imp.]:[PERIODO Imp.]],CK$9)</f>
        <v>0</v>
      </c>
      <c r="CL51" s="516">
        <f>SUMIFS(Imput[[Importe Neto]:[Importe Neto]],Imput[[C. Imp.]:[C. Imp.]],$D51,Imput[[PERIODO Imp.]:[PERIODO Imp.]],CL$9)</f>
        <v>0</v>
      </c>
      <c r="CM51" s="516">
        <f>SUMIFS(Imput[[Importe Neto]:[Importe Neto]],Imput[[C. Imp.]:[C. Imp.]],$D51,Imput[[PERIODO Imp.]:[PERIODO Imp.]],CM$9)</f>
        <v>0</v>
      </c>
      <c r="CN51" s="516">
        <f>SUMIFS(Imput[[Importe Neto]:[Importe Neto]],Imput[[C. Imp.]:[C. Imp.]],$D51,Imput[[PERIODO Imp.]:[PERIODO Imp.]],CN$9)</f>
        <v>0</v>
      </c>
      <c r="CO51" s="516">
        <f>SUMIFS(Imput[[Importe Neto]:[Importe Neto]],Imput[[C. Imp.]:[C. Imp.]],$D51,Imput[[PERIODO Imp.]:[PERIODO Imp.]],CO$9)</f>
        <v>0</v>
      </c>
      <c r="CP51" s="516">
        <f>SUMIFS(Imput[[Importe Neto]:[Importe Neto]],Imput[[C. Imp.]:[C. Imp.]],$D51,Imput[[PERIODO Imp.]:[PERIODO Imp.]],CP$9)</f>
        <v>0</v>
      </c>
      <c r="CQ51" s="516">
        <f>SUMIFS(Imput[[Importe Neto]:[Importe Neto]],Imput[[C. Imp.]:[C. Imp.]],$D51,Imput[[PERIODO Imp.]:[PERIODO Imp.]],CQ$9)</f>
        <v>0</v>
      </c>
      <c r="CR51" s="516">
        <f>SUMIFS(Imput[[Importe Neto]:[Importe Neto]],Imput[[C. Imp.]:[C. Imp.]],$D51,Imput[[PERIODO Imp.]:[PERIODO Imp.]],CR$9)</f>
        <v>0</v>
      </c>
      <c r="CS51" s="516">
        <f>SUMIFS(Imput[[Importe Neto]:[Importe Neto]],Imput[[C. Imp.]:[C. Imp.]],$D51,Imput[[PERIODO Imp.]:[PERIODO Imp.]],CS$9)</f>
        <v>0</v>
      </c>
      <c r="CT51" s="516">
        <f>SUMIFS(Imput[[Importe Neto]:[Importe Neto]],Imput[[C. Imp.]:[C. Imp.]],$D51,Imput[[PERIODO Imp.]:[PERIODO Imp.]],CT$9)</f>
        <v>0</v>
      </c>
      <c r="CU51" s="516">
        <f>SUMIFS(Imput[[Importe Neto]:[Importe Neto]],Imput[[C. Imp.]:[C. Imp.]],$D51,Imput[[PERIODO Imp.]:[PERIODO Imp.]],CU$9)</f>
        <v>0</v>
      </c>
      <c r="CV51" s="516">
        <f>SUMIFS(Imput[[Importe Neto]:[Importe Neto]],Imput[[C. Imp.]:[C. Imp.]],$D51,Imput[[PERIODO Imp.]:[PERIODO Imp.]],CV$9)</f>
        <v>0</v>
      </c>
      <c r="CW51" s="516">
        <f>SUMIFS(Imput[[Importe Neto]:[Importe Neto]],Imput[[C. Imp.]:[C. Imp.]],$D51,Imput[[PERIODO Imp.]:[PERIODO Imp.]],CW$9)</f>
        <v>0</v>
      </c>
      <c r="CX51" s="516">
        <f>SUMIFS(Imput[[Importe Neto]:[Importe Neto]],Imput[[C. Imp.]:[C. Imp.]],$D51,Imput[[PERIODO Imp.]:[PERIODO Imp.]],CX$9)</f>
        <v>0</v>
      </c>
      <c r="CY51" s="516">
        <f>SUMIFS(Imput[[Importe Neto]:[Importe Neto]],Imput[[C. Imp.]:[C. Imp.]],$D51,Imput[[PERIODO Imp.]:[PERIODO Imp.]],CY$9)</f>
        <v>0</v>
      </c>
      <c r="CZ51" s="516">
        <f>SUMIFS(Imput[[Importe Neto]:[Importe Neto]],Imput[[C. Imp.]:[C. Imp.]],$D51,Imput[[PERIODO Imp.]:[PERIODO Imp.]],CZ$9)</f>
        <v>0</v>
      </c>
      <c r="DA51" s="516">
        <f>SUMIFS(Imput[[Importe Neto]:[Importe Neto]],Imput[[C. Imp.]:[C. Imp.]],$D51,Imput[[PERIODO Imp.]:[PERIODO Imp.]],DA$9)</f>
        <v>0</v>
      </c>
      <c r="DB51" s="516">
        <f>SUMIFS(Imput[[Importe Neto]:[Importe Neto]],Imput[[C. Imp.]:[C. Imp.]],$D51,Imput[[PERIODO Imp.]:[PERIODO Imp.]],DB$9)</f>
        <v>0</v>
      </c>
      <c r="DC51" s="516">
        <f>SUMIFS(Imput[[Importe Neto]:[Importe Neto]],Imput[[C. Imp.]:[C. Imp.]],$D51,Imput[[PERIODO Imp.]:[PERIODO Imp.]],DC$9)</f>
        <v>0</v>
      </c>
      <c r="DD51" s="516">
        <f>SUMIFS(Imput[[Importe Neto]:[Importe Neto]],Imput[[C. Imp.]:[C. Imp.]],$D51,Imput[[PERIODO Imp.]:[PERIODO Imp.]],DD$9)</f>
        <v>0</v>
      </c>
      <c r="DE51" s="516">
        <f>SUMIFS(Imput[[Importe Neto]:[Importe Neto]],Imput[[C. Imp.]:[C. Imp.]],$D51,Imput[[PERIODO Imp.]:[PERIODO Imp.]],DE$9)</f>
        <v>0</v>
      </c>
      <c r="DF51" s="516">
        <f>SUMIFS(Imput[[Importe Neto]:[Importe Neto]],Imput[[C. Imp.]:[C. Imp.]],$D51,Imput[[PERIODO Imp.]:[PERIODO Imp.]],DF$9)</f>
        <v>0</v>
      </c>
      <c r="DG51" s="516">
        <f>SUMIFS(Imput[[Importe Neto]:[Importe Neto]],Imput[[C. Imp.]:[C. Imp.]],$D51,Imput[[PERIODO Imp.]:[PERIODO Imp.]],DG$9)</f>
        <v>0</v>
      </c>
      <c r="DH51" s="616">
        <f>SUMIFS(Imput[[Importe Neto]:[Importe Neto]],Imput[[C. Imp.]:[C. Imp.]],$D51,Imput[[PERIODO Imp.]:[PERIODO Imp.]],DH$9)</f>
        <v>0</v>
      </c>
    </row>
    <row r="52" spans="1:112" ht="12.6" hidden="1" customHeight="1" outlineLevel="1" x14ac:dyDescent="0.3">
      <c r="A52" s="66" t="str">
        <f t="shared" si="15"/>
        <v/>
      </c>
      <c r="C52" s="527"/>
      <c r="D52" s="528" t="s">
        <v>2161</v>
      </c>
      <c r="E52" s="528"/>
      <c r="F52" s="534"/>
      <c r="G52" s="529"/>
      <c r="H52" s="531"/>
      <c r="I52" s="849" t="str">
        <f t="shared" si="16"/>
        <v/>
      </c>
      <c r="J52" s="850" t="str">
        <f t="shared" si="17"/>
        <v/>
      </c>
      <c r="K52" s="70"/>
      <c r="L52" s="853"/>
      <c r="M52" s="855"/>
      <c r="N52" s="855"/>
      <c r="O52" s="855"/>
      <c r="P52" s="855"/>
      <c r="Q52" s="855"/>
      <c r="R52" s="855"/>
      <c r="S52" s="855"/>
      <c r="T52" s="855"/>
      <c r="U52" s="855"/>
      <c r="V52" s="855"/>
      <c r="W52" s="855"/>
      <c r="X52" s="855"/>
      <c r="Y52" s="855"/>
      <c r="Z52" s="856"/>
      <c r="AA52" s="856"/>
      <c r="AB52" s="856"/>
      <c r="AC52" s="856"/>
      <c r="AD52" s="856"/>
      <c r="AE52" s="856"/>
      <c r="AF52" s="856"/>
      <c r="AG52" s="856"/>
      <c r="AH52" s="856"/>
      <c r="AI52" s="856"/>
      <c r="AJ52" s="856"/>
      <c r="AK52" s="856"/>
      <c r="AL52" s="856"/>
      <c r="AM52" s="856"/>
      <c r="AN52" s="856"/>
      <c r="AO52" s="856"/>
      <c r="AP52" s="856"/>
      <c r="AQ52" s="856"/>
      <c r="AR52" s="856"/>
      <c r="AS52" s="856"/>
      <c r="AT52" s="856"/>
      <c r="AU52" s="856"/>
      <c r="AV52" s="856"/>
      <c r="AW52" s="856"/>
      <c r="AX52" s="856"/>
      <c r="AY52" s="856"/>
      <c r="AZ52" s="856"/>
      <c r="BA52" s="856"/>
      <c r="BB52" s="856"/>
      <c r="BC52" s="856"/>
      <c r="BD52" s="856"/>
      <c r="BE52" s="856"/>
      <c r="BF52" s="856"/>
      <c r="BG52" s="857"/>
      <c r="BH52" s="590"/>
      <c r="BI52" s="70"/>
      <c r="BJ52" s="518">
        <f t="shared" si="18"/>
        <v>0</v>
      </c>
      <c r="BK52" s="517">
        <f t="shared" si="19"/>
        <v>0</v>
      </c>
      <c r="BL52" s="68"/>
      <c r="BM52" s="515">
        <f>SUMIFS(Imput[[Importe Neto]:[Importe Neto]],Imput[[C. Imp.]:[C. Imp.]],$D52,Imput[[PERIODO Imp.]:[PERIODO Imp.]],BM$9)</f>
        <v>0</v>
      </c>
      <c r="BN52" s="516">
        <f>SUMIFS(Imput[[Importe Neto]:[Importe Neto]],Imput[[C. Imp.]:[C. Imp.]],$D52,Imput[[PERIODO Imp.]:[PERIODO Imp.]],BN$9)</f>
        <v>0</v>
      </c>
      <c r="BO52" s="516">
        <f>SUMIFS(Imput[[Importe Neto]:[Importe Neto]],Imput[[C. Imp.]:[C. Imp.]],$D52,Imput[[PERIODO Imp.]:[PERIODO Imp.]],BO$9)</f>
        <v>0</v>
      </c>
      <c r="BP52" s="516">
        <f>SUMIFS(Imput[[Importe Neto]:[Importe Neto]],Imput[[C. Imp.]:[C. Imp.]],$D52,Imput[[PERIODO Imp.]:[PERIODO Imp.]],BP$9)</f>
        <v>0</v>
      </c>
      <c r="BQ52" s="516">
        <f>SUMIFS(Imput[[Importe Neto]:[Importe Neto]],Imput[[C. Imp.]:[C. Imp.]],$D52,Imput[[PERIODO Imp.]:[PERIODO Imp.]],BQ$9)</f>
        <v>0</v>
      </c>
      <c r="BR52" s="516">
        <f>SUMIFS(Imput[[Importe Neto]:[Importe Neto]],Imput[[C. Imp.]:[C. Imp.]],$D52,Imput[[PERIODO Imp.]:[PERIODO Imp.]],BR$9)</f>
        <v>0</v>
      </c>
      <c r="BS52" s="516">
        <f>SUMIFS(Imput[[Importe Neto]:[Importe Neto]],Imput[[C. Imp.]:[C. Imp.]],$D52,Imput[[PERIODO Imp.]:[PERIODO Imp.]],BS$9)</f>
        <v>0</v>
      </c>
      <c r="BT52" s="516">
        <f>SUMIFS(Imput[[Importe Neto]:[Importe Neto]],Imput[[C. Imp.]:[C. Imp.]],$D52,Imput[[PERIODO Imp.]:[PERIODO Imp.]],BT$9)</f>
        <v>0</v>
      </c>
      <c r="BU52" s="516">
        <f>SUMIFS(Imput[[Importe Neto]:[Importe Neto]],Imput[[C. Imp.]:[C. Imp.]],$D52,Imput[[PERIODO Imp.]:[PERIODO Imp.]],BU$9)</f>
        <v>0</v>
      </c>
      <c r="BV52" s="516">
        <f>SUMIFS(Imput[[Importe Neto]:[Importe Neto]],Imput[[C. Imp.]:[C. Imp.]],$D52,Imput[[PERIODO Imp.]:[PERIODO Imp.]],BV$9)</f>
        <v>0</v>
      </c>
      <c r="BW52" s="516">
        <f>SUMIFS(Imput[[Importe Neto]:[Importe Neto]],Imput[[C. Imp.]:[C. Imp.]],$D52,Imput[[PERIODO Imp.]:[PERIODO Imp.]],BW$9)</f>
        <v>0</v>
      </c>
      <c r="BX52" s="516">
        <f>SUMIFS(Imput[[Importe Neto]:[Importe Neto]],Imput[[C. Imp.]:[C. Imp.]],$D52,Imput[[PERIODO Imp.]:[PERIODO Imp.]],BX$9)</f>
        <v>0</v>
      </c>
      <c r="BY52" s="516">
        <f>SUMIFS(Imput[[Importe Neto]:[Importe Neto]],Imput[[C. Imp.]:[C. Imp.]],$D52,Imput[[PERIODO Imp.]:[PERIODO Imp.]],BY$9)</f>
        <v>0</v>
      </c>
      <c r="BZ52" s="516">
        <f>SUMIFS(Imput[[Importe Neto]:[Importe Neto]],Imput[[C. Imp.]:[C. Imp.]],$D52,Imput[[PERIODO Imp.]:[PERIODO Imp.]],BZ$9)</f>
        <v>0</v>
      </c>
      <c r="CA52" s="516">
        <f>SUMIFS(Imput[[Importe Neto]:[Importe Neto]],Imput[[C. Imp.]:[C. Imp.]],$D52,Imput[[PERIODO Imp.]:[PERIODO Imp.]],CA$9)</f>
        <v>0</v>
      </c>
      <c r="CB52" s="516">
        <f>SUMIFS(Imput[[Importe Neto]:[Importe Neto]],Imput[[C. Imp.]:[C. Imp.]],$D52,Imput[[PERIODO Imp.]:[PERIODO Imp.]],CB$9)</f>
        <v>0</v>
      </c>
      <c r="CC52" s="516">
        <f>SUMIFS(Imput[[Importe Neto]:[Importe Neto]],Imput[[C. Imp.]:[C. Imp.]],$D52,Imput[[PERIODO Imp.]:[PERIODO Imp.]],CC$9)</f>
        <v>0</v>
      </c>
      <c r="CD52" s="516">
        <f>SUMIFS(Imput[[Importe Neto]:[Importe Neto]],Imput[[C. Imp.]:[C. Imp.]],$D52,Imput[[PERIODO Imp.]:[PERIODO Imp.]],CD$9)</f>
        <v>0</v>
      </c>
      <c r="CE52" s="516">
        <f>SUMIFS(Imput[[Importe Neto]:[Importe Neto]],Imput[[C. Imp.]:[C. Imp.]],$D52,Imput[[PERIODO Imp.]:[PERIODO Imp.]],CE$9)</f>
        <v>0</v>
      </c>
      <c r="CF52" s="516">
        <f>SUMIFS(Imput[[Importe Neto]:[Importe Neto]],Imput[[C. Imp.]:[C. Imp.]],$D52,Imput[[PERIODO Imp.]:[PERIODO Imp.]],CF$9)</f>
        <v>0</v>
      </c>
      <c r="CG52" s="516">
        <f>SUMIFS(Imput[[Importe Neto]:[Importe Neto]],Imput[[C. Imp.]:[C. Imp.]],$D52,Imput[[PERIODO Imp.]:[PERIODO Imp.]],CG$9)</f>
        <v>0</v>
      </c>
      <c r="CH52" s="516">
        <f>SUMIFS(Imput[[Importe Neto]:[Importe Neto]],Imput[[C. Imp.]:[C. Imp.]],$D52,Imput[[PERIODO Imp.]:[PERIODO Imp.]],CH$9)</f>
        <v>0</v>
      </c>
      <c r="CI52" s="516">
        <f>SUMIFS(Imput[[Importe Neto]:[Importe Neto]],Imput[[C. Imp.]:[C. Imp.]],$D52,Imput[[PERIODO Imp.]:[PERIODO Imp.]],CI$9)</f>
        <v>0</v>
      </c>
      <c r="CJ52" s="516">
        <f>SUMIFS(Imput[[Importe Neto]:[Importe Neto]],Imput[[C. Imp.]:[C. Imp.]],$D52,Imput[[PERIODO Imp.]:[PERIODO Imp.]],CJ$9)</f>
        <v>0</v>
      </c>
      <c r="CK52" s="516">
        <f>SUMIFS(Imput[[Importe Neto]:[Importe Neto]],Imput[[C. Imp.]:[C. Imp.]],$D52,Imput[[PERIODO Imp.]:[PERIODO Imp.]],CK$9)</f>
        <v>0</v>
      </c>
      <c r="CL52" s="516">
        <f>SUMIFS(Imput[[Importe Neto]:[Importe Neto]],Imput[[C. Imp.]:[C. Imp.]],$D52,Imput[[PERIODO Imp.]:[PERIODO Imp.]],CL$9)</f>
        <v>0</v>
      </c>
      <c r="CM52" s="516">
        <f>SUMIFS(Imput[[Importe Neto]:[Importe Neto]],Imput[[C. Imp.]:[C. Imp.]],$D52,Imput[[PERIODO Imp.]:[PERIODO Imp.]],CM$9)</f>
        <v>0</v>
      </c>
      <c r="CN52" s="516">
        <f>SUMIFS(Imput[[Importe Neto]:[Importe Neto]],Imput[[C. Imp.]:[C. Imp.]],$D52,Imput[[PERIODO Imp.]:[PERIODO Imp.]],CN$9)</f>
        <v>0</v>
      </c>
      <c r="CO52" s="516">
        <f>SUMIFS(Imput[[Importe Neto]:[Importe Neto]],Imput[[C. Imp.]:[C. Imp.]],$D52,Imput[[PERIODO Imp.]:[PERIODO Imp.]],CO$9)</f>
        <v>0</v>
      </c>
      <c r="CP52" s="516">
        <f>SUMIFS(Imput[[Importe Neto]:[Importe Neto]],Imput[[C. Imp.]:[C. Imp.]],$D52,Imput[[PERIODO Imp.]:[PERIODO Imp.]],CP$9)</f>
        <v>0</v>
      </c>
      <c r="CQ52" s="516">
        <f>SUMIFS(Imput[[Importe Neto]:[Importe Neto]],Imput[[C. Imp.]:[C. Imp.]],$D52,Imput[[PERIODO Imp.]:[PERIODO Imp.]],CQ$9)</f>
        <v>0</v>
      </c>
      <c r="CR52" s="516">
        <f>SUMIFS(Imput[[Importe Neto]:[Importe Neto]],Imput[[C. Imp.]:[C. Imp.]],$D52,Imput[[PERIODO Imp.]:[PERIODO Imp.]],CR$9)</f>
        <v>0</v>
      </c>
      <c r="CS52" s="516">
        <f>SUMIFS(Imput[[Importe Neto]:[Importe Neto]],Imput[[C. Imp.]:[C. Imp.]],$D52,Imput[[PERIODO Imp.]:[PERIODO Imp.]],CS$9)</f>
        <v>0</v>
      </c>
      <c r="CT52" s="516">
        <f>SUMIFS(Imput[[Importe Neto]:[Importe Neto]],Imput[[C. Imp.]:[C. Imp.]],$D52,Imput[[PERIODO Imp.]:[PERIODO Imp.]],CT$9)</f>
        <v>0</v>
      </c>
      <c r="CU52" s="516">
        <f>SUMIFS(Imput[[Importe Neto]:[Importe Neto]],Imput[[C. Imp.]:[C. Imp.]],$D52,Imput[[PERIODO Imp.]:[PERIODO Imp.]],CU$9)</f>
        <v>0</v>
      </c>
      <c r="CV52" s="516">
        <f>SUMIFS(Imput[[Importe Neto]:[Importe Neto]],Imput[[C. Imp.]:[C. Imp.]],$D52,Imput[[PERIODO Imp.]:[PERIODO Imp.]],CV$9)</f>
        <v>0</v>
      </c>
      <c r="CW52" s="516">
        <f>SUMIFS(Imput[[Importe Neto]:[Importe Neto]],Imput[[C. Imp.]:[C. Imp.]],$D52,Imput[[PERIODO Imp.]:[PERIODO Imp.]],CW$9)</f>
        <v>0</v>
      </c>
      <c r="CX52" s="516">
        <f>SUMIFS(Imput[[Importe Neto]:[Importe Neto]],Imput[[C. Imp.]:[C. Imp.]],$D52,Imput[[PERIODO Imp.]:[PERIODO Imp.]],CX$9)</f>
        <v>0</v>
      </c>
      <c r="CY52" s="516">
        <f>SUMIFS(Imput[[Importe Neto]:[Importe Neto]],Imput[[C. Imp.]:[C. Imp.]],$D52,Imput[[PERIODO Imp.]:[PERIODO Imp.]],CY$9)</f>
        <v>0</v>
      </c>
      <c r="CZ52" s="516">
        <f>SUMIFS(Imput[[Importe Neto]:[Importe Neto]],Imput[[C. Imp.]:[C. Imp.]],$D52,Imput[[PERIODO Imp.]:[PERIODO Imp.]],CZ$9)</f>
        <v>0</v>
      </c>
      <c r="DA52" s="516">
        <f>SUMIFS(Imput[[Importe Neto]:[Importe Neto]],Imput[[C. Imp.]:[C. Imp.]],$D52,Imput[[PERIODO Imp.]:[PERIODO Imp.]],DA$9)</f>
        <v>0</v>
      </c>
      <c r="DB52" s="516">
        <f>SUMIFS(Imput[[Importe Neto]:[Importe Neto]],Imput[[C. Imp.]:[C. Imp.]],$D52,Imput[[PERIODO Imp.]:[PERIODO Imp.]],DB$9)</f>
        <v>0</v>
      </c>
      <c r="DC52" s="516">
        <f>SUMIFS(Imput[[Importe Neto]:[Importe Neto]],Imput[[C. Imp.]:[C. Imp.]],$D52,Imput[[PERIODO Imp.]:[PERIODO Imp.]],DC$9)</f>
        <v>0</v>
      </c>
      <c r="DD52" s="516">
        <f>SUMIFS(Imput[[Importe Neto]:[Importe Neto]],Imput[[C. Imp.]:[C. Imp.]],$D52,Imput[[PERIODO Imp.]:[PERIODO Imp.]],DD$9)</f>
        <v>0</v>
      </c>
      <c r="DE52" s="516">
        <f>SUMIFS(Imput[[Importe Neto]:[Importe Neto]],Imput[[C. Imp.]:[C. Imp.]],$D52,Imput[[PERIODO Imp.]:[PERIODO Imp.]],DE$9)</f>
        <v>0</v>
      </c>
      <c r="DF52" s="516">
        <f>SUMIFS(Imput[[Importe Neto]:[Importe Neto]],Imput[[C. Imp.]:[C. Imp.]],$D52,Imput[[PERIODO Imp.]:[PERIODO Imp.]],DF$9)</f>
        <v>0</v>
      </c>
      <c r="DG52" s="516">
        <f>SUMIFS(Imput[[Importe Neto]:[Importe Neto]],Imput[[C. Imp.]:[C. Imp.]],$D52,Imput[[PERIODO Imp.]:[PERIODO Imp.]],DG$9)</f>
        <v>0</v>
      </c>
      <c r="DH52" s="616">
        <f>SUMIFS(Imput[[Importe Neto]:[Importe Neto]],Imput[[C. Imp.]:[C. Imp.]],$D52,Imput[[PERIODO Imp.]:[PERIODO Imp.]],DH$9)</f>
        <v>0</v>
      </c>
    </row>
    <row r="53" spans="1:112" hidden="1" outlineLevel="1" x14ac:dyDescent="0.3">
      <c r="A53" s="66" t="str">
        <f t="shared" si="15"/>
        <v/>
      </c>
      <c r="C53" s="527"/>
      <c r="D53" s="528" t="s">
        <v>2162</v>
      </c>
      <c r="E53" s="528"/>
      <c r="F53" s="534"/>
      <c r="G53" s="529"/>
      <c r="H53" s="531"/>
      <c r="I53" s="849" t="str">
        <f t="shared" si="16"/>
        <v/>
      </c>
      <c r="J53" s="850" t="str">
        <f t="shared" si="17"/>
        <v/>
      </c>
      <c r="K53" s="70"/>
      <c r="L53" s="853"/>
      <c r="M53" s="855"/>
      <c r="N53" s="855"/>
      <c r="O53" s="855"/>
      <c r="P53" s="855"/>
      <c r="Q53" s="855"/>
      <c r="R53" s="855"/>
      <c r="S53" s="855"/>
      <c r="T53" s="855"/>
      <c r="U53" s="855"/>
      <c r="V53" s="855"/>
      <c r="W53" s="855"/>
      <c r="X53" s="855"/>
      <c r="Y53" s="855"/>
      <c r="Z53" s="856"/>
      <c r="AA53" s="856"/>
      <c r="AB53" s="856"/>
      <c r="AC53" s="856"/>
      <c r="AD53" s="856"/>
      <c r="AE53" s="856"/>
      <c r="AF53" s="856"/>
      <c r="AG53" s="856"/>
      <c r="AH53" s="856"/>
      <c r="AI53" s="856"/>
      <c r="AJ53" s="856"/>
      <c r="AK53" s="856"/>
      <c r="AL53" s="856"/>
      <c r="AM53" s="856"/>
      <c r="AN53" s="856"/>
      <c r="AO53" s="856"/>
      <c r="AP53" s="856"/>
      <c r="AQ53" s="856"/>
      <c r="AR53" s="856"/>
      <c r="AS53" s="856"/>
      <c r="AT53" s="856"/>
      <c r="AU53" s="856"/>
      <c r="AV53" s="856"/>
      <c r="AW53" s="856"/>
      <c r="AX53" s="856"/>
      <c r="AY53" s="856"/>
      <c r="AZ53" s="856"/>
      <c r="BA53" s="856"/>
      <c r="BB53" s="856"/>
      <c r="BC53" s="856"/>
      <c r="BD53" s="856"/>
      <c r="BE53" s="856"/>
      <c r="BF53" s="856"/>
      <c r="BG53" s="857"/>
      <c r="BH53" s="590"/>
      <c r="BI53" s="70"/>
      <c r="BJ53" s="518">
        <f t="shared" si="18"/>
        <v>0</v>
      </c>
      <c r="BK53" s="517">
        <f t="shared" si="19"/>
        <v>0</v>
      </c>
      <c r="BL53" s="68"/>
      <c r="BM53" s="515">
        <f>SUMIFS(Imput[[Importe Neto]:[Importe Neto]],Imput[[C. Imp.]:[C. Imp.]],$D53,Imput[[PERIODO Imp.]:[PERIODO Imp.]],BM$9)</f>
        <v>0</v>
      </c>
      <c r="BN53" s="516">
        <f>SUMIFS(Imput[[Importe Neto]:[Importe Neto]],Imput[[C. Imp.]:[C. Imp.]],$D53,Imput[[PERIODO Imp.]:[PERIODO Imp.]],BN$9)</f>
        <v>0</v>
      </c>
      <c r="BO53" s="516">
        <f>SUMIFS(Imput[[Importe Neto]:[Importe Neto]],Imput[[C. Imp.]:[C. Imp.]],$D53,Imput[[PERIODO Imp.]:[PERIODO Imp.]],BO$9)</f>
        <v>0</v>
      </c>
      <c r="BP53" s="516">
        <f>SUMIFS(Imput[[Importe Neto]:[Importe Neto]],Imput[[C. Imp.]:[C. Imp.]],$D53,Imput[[PERIODO Imp.]:[PERIODO Imp.]],BP$9)</f>
        <v>0</v>
      </c>
      <c r="BQ53" s="516">
        <f>SUMIFS(Imput[[Importe Neto]:[Importe Neto]],Imput[[C. Imp.]:[C. Imp.]],$D53,Imput[[PERIODO Imp.]:[PERIODO Imp.]],BQ$9)</f>
        <v>0</v>
      </c>
      <c r="BR53" s="516">
        <f>SUMIFS(Imput[[Importe Neto]:[Importe Neto]],Imput[[C. Imp.]:[C. Imp.]],$D53,Imput[[PERIODO Imp.]:[PERIODO Imp.]],BR$9)</f>
        <v>0</v>
      </c>
      <c r="BS53" s="516">
        <f>SUMIFS(Imput[[Importe Neto]:[Importe Neto]],Imput[[C. Imp.]:[C. Imp.]],$D53,Imput[[PERIODO Imp.]:[PERIODO Imp.]],BS$9)</f>
        <v>0</v>
      </c>
      <c r="BT53" s="516">
        <f>SUMIFS(Imput[[Importe Neto]:[Importe Neto]],Imput[[C. Imp.]:[C. Imp.]],$D53,Imput[[PERIODO Imp.]:[PERIODO Imp.]],BT$9)</f>
        <v>0</v>
      </c>
      <c r="BU53" s="516">
        <f>SUMIFS(Imput[[Importe Neto]:[Importe Neto]],Imput[[C. Imp.]:[C. Imp.]],$D53,Imput[[PERIODO Imp.]:[PERIODO Imp.]],BU$9)</f>
        <v>0</v>
      </c>
      <c r="BV53" s="516">
        <f>SUMIFS(Imput[[Importe Neto]:[Importe Neto]],Imput[[C. Imp.]:[C. Imp.]],$D53,Imput[[PERIODO Imp.]:[PERIODO Imp.]],BV$9)</f>
        <v>0</v>
      </c>
      <c r="BW53" s="516">
        <f>SUMIFS(Imput[[Importe Neto]:[Importe Neto]],Imput[[C. Imp.]:[C. Imp.]],$D53,Imput[[PERIODO Imp.]:[PERIODO Imp.]],BW$9)</f>
        <v>0</v>
      </c>
      <c r="BX53" s="516">
        <f>SUMIFS(Imput[[Importe Neto]:[Importe Neto]],Imput[[C. Imp.]:[C. Imp.]],$D53,Imput[[PERIODO Imp.]:[PERIODO Imp.]],BX$9)</f>
        <v>0</v>
      </c>
      <c r="BY53" s="516">
        <f>SUMIFS(Imput[[Importe Neto]:[Importe Neto]],Imput[[C. Imp.]:[C. Imp.]],$D53,Imput[[PERIODO Imp.]:[PERIODO Imp.]],BY$9)</f>
        <v>0</v>
      </c>
      <c r="BZ53" s="516">
        <f>SUMIFS(Imput[[Importe Neto]:[Importe Neto]],Imput[[C. Imp.]:[C. Imp.]],$D53,Imput[[PERIODO Imp.]:[PERIODO Imp.]],BZ$9)</f>
        <v>0</v>
      </c>
      <c r="CA53" s="516">
        <f>SUMIFS(Imput[[Importe Neto]:[Importe Neto]],Imput[[C. Imp.]:[C. Imp.]],$D53,Imput[[PERIODO Imp.]:[PERIODO Imp.]],CA$9)</f>
        <v>0</v>
      </c>
      <c r="CB53" s="516">
        <f>SUMIFS(Imput[[Importe Neto]:[Importe Neto]],Imput[[C. Imp.]:[C. Imp.]],$D53,Imput[[PERIODO Imp.]:[PERIODO Imp.]],CB$9)</f>
        <v>0</v>
      </c>
      <c r="CC53" s="516">
        <f>SUMIFS(Imput[[Importe Neto]:[Importe Neto]],Imput[[C. Imp.]:[C. Imp.]],$D53,Imput[[PERIODO Imp.]:[PERIODO Imp.]],CC$9)</f>
        <v>0</v>
      </c>
      <c r="CD53" s="516">
        <f>SUMIFS(Imput[[Importe Neto]:[Importe Neto]],Imput[[C. Imp.]:[C. Imp.]],$D53,Imput[[PERIODO Imp.]:[PERIODO Imp.]],CD$9)</f>
        <v>0</v>
      </c>
      <c r="CE53" s="516">
        <f>SUMIFS(Imput[[Importe Neto]:[Importe Neto]],Imput[[C. Imp.]:[C. Imp.]],$D53,Imput[[PERIODO Imp.]:[PERIODO Imp.]],CE$9)</f>
        <v>0</v>
      </c>
      <c r="CF53" s="516">
        <f>SUMIFS(Imput[[Importe Neto]:[Importe Neto]],Imput[[C. Imp.]:[C. Imp.]],$D53,Imput[[PERIODO Imp.]:[PERIODO Imp.]],CF$9)</f>
        <v>0</v>
      </c>
      <c r="CG53" s="516">
        <f>SUMIFS(Imput[[Importe Neto]:[Importe Neto]],Imput[[C. Imp.]:[C. Imp.]],$D53,Imput[[PERIODO Imp.]:[PERIODO Imp.]],CG$9)</f>
        <v>0</v>
      </c>
      <c r="CH53" s="516">
        <f>SUMIFS(Imput[[Importe Neto]:[Importe Neto]],Imput[[C. Imp.]:[C. Imp.]],$D53,Imput[[PERIODO Imp.]:[PERIODO Imp.]],CH$9)</f>
        <v>0</v>
      </c>
      <c r="CI53" s="516">
        <f>SUMIFS(Imput[[Importe Neto]:[Importe Neto]],Imput[[C. Imp.]:[C. Imp.]],$D53,Imput[[PERIODO Imp.]:[PERIODO Imp.]],CI$9)</f>
        <v>0</v>
      </c>
      <c r="CJ53" s="516">
        <f>SUMIFS(Imput[[Importe Neto]:[Importe Neto]],Imput[[C. Imp.]:[C. Imp.]],$D53,Imput[[PERIODO Imp.]:[PERIODO Imp.]],CJ$9)</f>
        <v>0</v>
      </c>
      <c r="CK53" s="516">
        <f>SUMIFS(Imput[[Importe Neto]:[Importe Neto]],Imput[[C. Imp.]:[C. Imp.]],$D53,Imput[[PERIODO Imp.]:[PERIODO Imp.]],CK$9)</f>
        <v>0</v>
      </c>
      <c r="CL53" s="516">
        <f>SUMIFS(Imput[[Importe Neto]:[Importe Neto]],Imput[[C. Imp.]:[C. Imp.]],$D53,Imput[[PERIODO Imp.]:[PERIODO Imp.]],CL$9)</f>
        <v>0</v>
      </c>
      <c r="CM53" s="516">
        <f>SUMIFS(Imput[[Importe Neto]:[Importe Neto]],Imput[[C. Imp.]:[C. Imp.]],$D53,Imput[[PERIODO Imp.]:[PERIODO Imp.]],CM$9)</f>
        <v>0</v>
      </c>
      <c r="CN53" s="516">
        <f>SUMIFS(Imput[[Importe Neto]:[Importe Neto]],Imput[[C. Imp.]:[C. Imp.]],$D53,Imput[[PERIODO Imp.]:[PERIODO Imp.]],CN$9)</f>
        <v>0</v>
      </c>
      <c r="CO53" s="516">
        <f>SUMIFS(Imput[[Importe Neto]:[Importe Neto]],Imput[[C. Imp.]:[C. Imp.]],$D53,Imput[[PERIODO Imp.]:[PERIODO Imp.]],CO$9)</f>
        <v>0</v>
      </c>
      <c r="CP53" s="516">
        <f>SUMIFS(Imput[[Importe Neto]:[Importe Neto]],Imput[[C. Imp.]:[C. Imp.]],$D53,Imput[[PERIODO Imp.]:[PERIODO Imp.]],CP$9)</f>
        <v>0</v>
      </c>
      <c r="CQ53" s="516">
        <f>SUMIFS(Imput[[Importe Neto]:[Importe Neto]],Imput[[C. Imp.]:[C. Imp.]],$D53,Imput[[PERIODO Imp.]:[PERIODO Imp.]],CQ$9)</f>
        <v>0</v>
      </c>
      <c r="CR53" s="516">
        <f>SUMIFS(Imput[[Importe Neto]:[Importe Neto]],Imput[[C. Imp.]:[C. Imp.]],$D53,Imput[[PERIODO Imp.]:[PERIODO Imp.]],CR$9)</f>
        <v>0</v>
      </c>
      <c r="CS53" s="516">
        <f>SUMIFS(Imput[[Importe Neto]:[Importe Neto]],Imput[[C. Imp.]:[C. Imp.]],$D53,Imput[[PERIODO Imp.]:[PERIODO Imp.]],CS$9)</f>
        <v>0</v>
      </c>
      <c r="CT53" s="516">
        <f>SUMIFS(Imput[[Importe Neto]:[Importe Neto]],Imput[[C. Imp.]:[C. Imp.]],$D53,Imput[[PERIODO Imp.]:[PERIODO Imp.]],CT$9)</f>
        <v>0</v>
      </c>
      <c r="CU53" s="516">
        <f>SUMIFS(Imput[[Importe Neto]:[Importe Neto]],Imput[[C. Imp.]:[C. Imp.]],$D53,Imput[[PERIODO Imp.]:[PERIODO Imp.]],CU$9)</f>
        <v>0</v>
      </c>
      <c r="CV53" s="516">
        <f>SUMIFS(Imput[[Importe Neto]:[Importe Neto]],Imput[[C. Imp.]:[C. Imp.]],$D53,Imput[[PERIODO Imp.]:[PERIODO Imp.]],CV$9)</f>
        <v>0</v>
      </c>
      <c r="CW53" s="516">
        <f>SUMIFS(Imput[[Importe Neto]:[Importe Neto]],Imput[[C. Imp.]:[C. Imp.]],$D53,Imput[[PERIODO Imp.]:[PERIODO Imp.]],CW$9)</f>
        <v>0</v>
      </c>
      <c r="CX53" s="516">
        <f>SUMIFS(Imput[[Importe Neto]:[Importe Neto]],Imput[[C. Imp.]:[C. Imp.]],$D53,Imput[[PERIODO Imp.]:[PERIODO Imp.]],CX$9)</f>
        <v>0</v>
      </c>
      <c r="CY53" s="516">
        <f>SUMIFS(Imput[[Importe Neto]:[Importe Neto]],Imput[[C. Imp.]:[C. Imp.]],$D53,Imput[[PERIODO Imp.]:[PERIODO Imp.]],CY$9)</f>
        <v>0</v>
      </c>
      <c r="CZ53" s="516">
        <f>SUMIFS(Imput[[Importe Neto]:[Importe Neto]],Imput[[C. Imp.]:[C. Imp.]],$D53,Imput[[PERIODO Imp.]:[PERIODO Imp.]],CZ$9)</f>
        <v>0</v>
      </c>
      <c r="DA53" s="516">
        <f>SUMIFS(Imput[[Importe Neto]:[Importe Neto]],Imput[[C. Imp.]:[C. Imp.]],$D53,Imput[[PERIODO Imp.]:[PERIODO Imp.]],DA$9)</f>
        <v>0</v>
      </c>
      <c r="DB53" s="516">
        <f>SUMIFS(Imput[[Importe Neto]:[Importe Neto]],Imput[[C. Imp.]:[C. Imp.]],$D53,Imput[[PERIODO Imp.]:[PERIODO Imp.]],DB$9)</f>
        <v>0</v>
      </c>
      <c r="DC53" s="516">
        <f>SUMIFS(Imput[[Importe Neto]:[Importe Neto]],Imput[[C. Imp.]:[C. Imp.]],$D53,Imput[[PERIODO Imp.]:[PERIODO Imp.]],DC$9)</f>
        <v>0</v>
      </c>
      <c r="DD53" s="516">
        <f>SUMIFS(Imput[[Importe Neto]:[Importe Neto]],Imput[[C. Imp.]:[C. Imp.]],$D53,Imput[[PERIODO Imp.]:[PERIODO Imp.]],DD$9)</f>
        <v>0</v>
      </c>
      <c r="DE53" s="516">
        <f>SUMIFS(Imput[[Importe Neto]:[Importe Neto]],Imput[[C. Imp.]:[C. Imp.]],$D53,Imput[[PERIODO Imp.]:[PERIODO Imp.]],DE$9)</f>
        <v>0</v>
      </c>
      <c r="DF53" s="516">
        <f>SUMIFS(Imput[[Importe Neto]:[Importe Neto]],Imput[[C. Imp.]:[C. Imp.]],$D53,Imput[[PERIODO Imp.]:[PERIODO Imp.]],DF$9)</f>
        <v>0</v>
      </c>
      <c r="DG53" s="516">
        <f>SUMIFS(Imput[[Importe Neto]:[Importe Neto]],Imput[[C. Imp.]:[C. Imp.]],$D53,Imput[[PERIODO Imp.]:[PERIODO Imp.]],DG$9)</f>
        <v>0</v>
      </c>
      <c r="DH53" s="616">
        <f>SUMIFS(Imput[[Importe Neto]:[Importe Neto]],Imput[[C. Imp.]:[C. Imp.]],$D53,Imput[[PERIODO Imp.]:[PERIODO Imp.]],DH$9)</f>
        <v>0</v>
      </c>
    </row>
    <row r="54" spans="1:112" hidden="1" outlineLevel="1" x14ac:dyDescent="0.3">
      <c r="A54" s="66" t="str">
        <f t="shared" si="15"/>
        <v/>
      </c>
      <c r="C54" s="527"/>
      <c r="D54" s="528" t="s">
        <v>2163</v>
      </c>
      <c r="E54" s="528"/>
      <c r="F54" s="534"/>
      <c r="G54" s="529"/>
      <c r="H54" s="531"/>
      <c r="I54" s="849" t="str">
        <f t="shared" si="16"/>
        <v/>
      </c>
      <c r="J54" s="850" t="str">
        <f t="shared" si="17"/>
        <v/>
      </c>
      <c r="K54" s="70"/>
      <c r="L54" s="853"/>
      <c r="M54" s="855"/>
      <c r="N54" s="855"/>
      <c r="O54" s="855"/>
      <c r="P54" s="855"/>
      <c r="Q54" s="855"/>
      <c r="R54" s="855"/>
      <c r="S54" s="855"/>
      <c r="T54" s="855"/>
      <c r="U54" s="855"/>
      <c r="V54" s="855"/>
      <c r="W54" s="855"/>
      <c r="X54" s="855"/>
      <c r="Y54" s="855"/>
      <c r="Z54" s="856"/>
      <c r="AA54" s="856"/>
      <c r="AB54" s="856"/>
      <c r="AC54" s="856"/>
      <c r="AD54" s="856"/>
      <c r="AE54" s="856"/>
      <c r="AF54" s="856"/>
      <c r="AG54" s="856"/>
      <c r="AH54" s="856"/>
      <c r="AI54" s="856"/>
      <c r="AJ54" s="856"/>
      <c r="AK54" s="856"/>
      <c r="AL54" s="856"/>
      <c r="AM54" s="856"/>
      <c r="AN54" s="856"/>
      <c r="AO54" s="856"/>
      <c r="AP54" s="856"/>
      <c r="AQ54" s="856"/>
      <c r="AR54" s="856"/>
      <c r="AS54" s="856"/>
      <c r="AT54" s="856"/>
      <c r="AU54" s="856"/>
      <c r="AV54" s="856"/>
      <c r="AW54" s="856"/>
      <c r="AX54" s="856"/>
      <c r="AY54" s="856"/>
      <c r="AZ54" s="856"/>
      <c r="BA54" s="856"/>
      <c r="BB54" s="856"/>
      <c r="BC54" s="856"/>
      <c r="BD54" s="856"/>
      <c r="BE54" s="856"/>
      <c r="BF54" s="856"/>
      <c r="BG54" s="857"/>
      <c r="BH54" s="590"/>
      <c r="BI54" s="70"/>
      <c r="BJ54" s="518">
        <f t="shared" si="18"/>
        <v>0</v>
      </c>
      <c r="BK54" s="517">
        <f t="shared" si="19"/>
        <v>0</v>
      </c>
      <c r="BL54" s="68"/>
      <c r="BM54" s="515">
        <f>SUMIFS(Imput[[Importe Neto]:[Importe Neto]],Imput[[C. Imp.]:[C. Imp.]],$D54,Imput[[PERIODO Imp.]:[PERIODO Imp.]],BM$9)</f>
        <v>0</v>
      </c>
      <c r="BN54" s="516">
        <f>SUMIFS(Imput[[Importe Neto]:[Importe Neto]],Imput[[C. Imp.]:[C. Imp.]],$D54,Imput[[PERIODO Imp.]:[PERIODO Imp.]],BN$9)</f>
        <v>0</v>
      </c>
      <c r="BO54" s="516">
        <f>SUMIFS(Imput[[Importe Neto]:[Importe Neto]],Imput[[C. Imp.]:[C. Imp.]],$D54,Imput[[PERIODO Imp.]:[PERIODO Imp.]],BO$9)</f>
        <v>0</v>
      </c>
      <c r="BP54" s="516">
        <f>SUMIFS(Imput[[Importe Neto]:[Importe Neto]],Imput[[C. Imp.]:[C. Imp.]],$D54,Imput[[PERIODO Imp.]:[PERIODO Imp.]],BP$9)</f>
        <v>0</v>
      </c>
      <c r="BQ54" s="516">
        <f>SUMIFS(Imput[[Importe Neto]:[Importe Neto]],Imput[[C. Imp.]:[C. Imp.]],$D54,Imput[[PERIODO Imp.]:[PERIODO Imp.]],BQ$9)</f>
        <v>0</v>
      </c>
      <c r="BR54" s="516">
        <f>SUMIFS(Imput[[Importe Neto]:[Importe Neto]],Imput[[C. Imp.]:[C. Imp.]],$D54,Imput[[PERIODO Imp.]:[PERIODO Imp.]],BR$9)</f>
        <v>0</v>
      </c>
      <c r="BS54" s="516">
        <f>SUMIFS(Imput[[Importe Neto]:[Importe Neto]],Imput[[C. Imp.]:[C. Imp.]],$D54,Imput[[PERIODO Imp.]:[PERIODO Imp.]],BS$9)</f>
        <v>0</v>
      </c>
      <c r="BT54" s="516">
        <f>SUMIFS(Imput[[Importe Neto]:[Importe Neto]],Imput[[C. Imp.]:[C. Imp.]],$D54,Imput[[PERIODO Imp.]:[PERIODO Imp.]],BT$9)</f>
        <v>0</v>
      </c>
      <c r="BU54" s="516">
        <f>SUMIFS(Imput[[Importe Neto]:[Importe Neto]],Imput[[C. Imp.]:[C. Imp.]],$D54,Imput[[PERIODO Imp.]:[PERIODO Imp.]],BU$9)</f>
        <v>0</v>
      </c>
      <c r="BV54" s="516">
        <f>SUMIFS(Imput[[Importe Neto]:[Importe Neto]],Imput[[C. Imp.]:[C. Imp.]],$D54,Imput[[PERIODO Imp.]:[PERIODO Imp.]],BV$9)</f>
        <v>0</v>
      </c>
      <c r="BW54" s="516">
        <f>SUMIFS(Imput[[Importe Neto]:[Importe Neto]],Imput[[C. Imp.]:[C. Imp.]],$D54,Imput[[PERIODO Imp.]:[PERIODO Imp.]],BW$9)</f>
        <v>0</v>
      </c>
      <c r="BX54" s="516">
        <f>SUMIFS(Imput[[Importe Neto]:[Importe Neto]],Imput[[C. Imp.]:[C. Imp.]],$D54,Imput[[PERIODO Imp.]:[PERIODO Imp.]],BX$9)</f>
        <v>0</v>
      </c>
      <c r="BY54" s="516">
        <f>SUMIFS(Imput[[Importe Neto]:[Importe Neto]],Imput[[C. Imp.]:[C. Imp.]],$D54,Imput[[PERIODO Imp.]:[PERIODO Imp.]],BY$9)</f>
        <v>0</v>
      </c>
      <c r="BZ54" s="516">
        <f>SUMIFS(Imput[[Importe Neto]:[Importe Neto]],Imput[[C. Imp.]:[C. Imp.]],$D54,Imput[[PERIODO Imp.]:[PERIODO Imp.]],BZ$9)</f>
        <v>0</v>
      </c>
      <c r="CA54" s="516">
        <f>SUMIFS(Imput[[Importe Neto]:[Importe Neto]],Imput[[C. Imp.]:[C. Imp.]],$D54,Imput[[PERIODO Imp.]:[PERIODO Imp.]],CA$9)</f>
        <v>0</v>
      </c>
      <c r="CB54" s="516">
        <f>SUMIFS(Imput[[Importe Neto]:[Importe Neto]],Imput[[C. Imp.]:[C. Imp.]],$D54,Imput[[PERIODO Imp.]:[PERIODO Imp.]],CB$9)</f>
        <v>0</v>
      </c>
      <c r="CC54" s="516">
        <f>SUMIFS(Imput[[Importe Neto]:[Importe Neto]],Imput[[C. Imp.]:[C. Imp.]],$D54,Imput[[PERIODO Imp.]:[PERIODO Imp.]],CC$9)</f>
        <v>0</v>
      </c>
      <c r="CD54" s="516">
        <f>SUMIFS(Imput[[Importe Neto]:[Importe Neto]],Imput[[C. Imp.]:[C. Imp.]],$D54,Imput[[PERIODO Imp.]:[PERIODO Imp.]],CD$9)</f>
        <v>0</v>
      </c>
      <c r="CE54" s="516">
        <f>SUMIFS(Imput[[Importe Neto]:[Importe Neto]],Imput[[C. Imp.]:[C. Imp.]],$D54,Imput[[PERIODO Imp.]:[PERIODO Imp.]],CE$9)</f>
        <v>0</v>
      </c>
      <c r="CF54" s="516">
        <f>SUMIFS(Imput[[Importe Neto]:[Importe Neto]],Imput[[C. Imp.]:[C. Imp.]],$D54,Imput[[PERIODO Imp.]:[PERIODO Imp.]],CF$9)</f>
        <v>0</v>
      </c>
      <c r="CG54" s="516">
        <f>SUMIFS(Imput[[Importe Neto]:[Importe Neto]],Imput[[C. Imp.]:[C. Imp.]],$D54,Imput[[PERIODO Imp.]:[PERIODO Imp.]],CG$9)</f>
        <v>0</v>
      </c>
      <c r="CH54" s="516">
        <f>SUMIFS(Imput[[Importe Neto]:[Importe Neto]],Imput[[C. Imp.]:[C. Imp.]],$D54,Imput[[PERIODO Imp.]:[PERIODO Imp.]],CH$9)</f>
        <v>0</v>
      </c>
      <c r="CI54" s="516">
        <f>SUMIFS(Imput[[Importe Neto]:[Importe Neto]],Imput[[C. Imp.]:[C. Imp.]],$D54,Imput[[PERIODO Imp.]:[PERIODO Imp.]],CI$9)</f>
        <v>0</v>
      </c>
      <c r="CJ54" s="516">
        <f>SUMIFS(Imput[[Importe Neto]:[Importe Neto]],Imput[[C. Imp.]:[C. Imp.]],$D54,Imput[[PERIODO Imp.]:[PERIODO Imp.]],CJ$9)</f>
        <v>0</v>
      </c>
      <c r="CK54" s="516">
        <f>SUMIFS(Imput[[Importe Neto]:[Importe Neto]],Imput[[C. Imp.]:[C. Imp.]],$D54,Imput[[PERIODO Imp.]:[PERIODO Imp.]],CK$9)</f>
        <v>0</v>
      </c>
      <c r="CL54" s="516">
        <f>SUMIFS(Imput[[Importe Neto]:[Importe Neto]],Imput[[C. Imp.]:[C. Imp.]],$D54,Imput[[PERIODO Imp.]:[PERIODO Imp.]],CL$9)</f>
        <v>0</v>
      </c>
      <c r="CM54" s="516">
        <f>SUMIFS(Imput[[Importe Neto]:[Importe Neto]],Imput[[C. Imp.]:[C. Imp.]],$D54,Imput[[PERIODO Imp.]:[PERIODO Imp.]],CM$9)</f>
        <v>0</v>
      </c>
      <c r="CN54" s="516">
        <f>SUMIFS(Imput[[Importe Neto]:[Importe Neto]],Imput[[C. Imp.]:[C. Imp.]],$D54,Imput[[PERIODO Imp.]:[PERIODO Imp.]],CN$9)</f>
        <v>0</v>
      </c>
      <c r="CO54" s="516">
        <f>SUMIFS(Imput[[Importe Neto]:[Importe Neto]],Imput[[C. Imp.]:[C. Imp.]],$D54,Imput[[PERIODO Imp.]:[PERIODO Imp.]],CO$9)</f>
        <v>0</v>
      </c>
      <c r="CP54" s="516">
        <f>SUMIFS(Imput[[Importe Neto]:[Importe Neto]],Imput[[C. Imp.]:[C. Imp.]],$D54,Imput[[PERIODO Imp.]:[PERIODO Imp.]],CP$9)</f>
        <v>0</v>
      </c>
      <c r="CQ54" s="516">
        <f>SUMIFS(Imput[[Importe Neto]:[Importe Neto]],Imput[[C. Imp.]:[C. Imp.]],$D54,Imput[[PERIODO Imp.]:[PERIODO Imp.]],CQ$9)</f>
        <v>0</v>
      </c>
      <c r="CR54" s="516">
        <f>SUMIFS(Imput[[Importe Neto]:[Importe Neto]],Imput[[C. Imp.]:[C. Imp.]],$D54,Imput[[PERIODO Imp.]:[PERIODO Imp.]],CR$9)</f>
        <v>0</v>
      </c>
      <c r="CS54" s="516">
        <f>SUMIFS(Imput[[Importe Neto]:[Importe Neto]],Imput[[C. Imp.]:[C. Imp.]],$D54,Imput[[PERIODO Imp.]:[PERIODO Imp.]],CS$9)</f>
        <v>0</v>
      </c>
      <c r="CT54" s="516">
        <f>SUMIFS(Imput[[Importe Neto]:[Importe Neto]],Imput[[C. Imp.]:[C. Imp.]],$D54,Imput[[PERIODO Imp.]:[PERIODO Imp.]],CT$9)</f>
        <v>0</v>
      </c>
      <c r="CU54" s="516">
        <f>SUMIFS(Imput[[Importe Neto]:[Importe Neto]],Imput[[C. Imp.]:[C. Imp.]],$D54,Imput[[PERIODO Imp.]:[PERIODO Imp.]],CU$9)</f>
        <v>0</v>
      </c>
      <c r="CV54" s="516">
        <f>SUMIFS(Imput[[Importe Neto]:[Importe Neto]],Imput[[C. Imp.]:[C. Imp.]],$D54,Imput[[PERIODO Imp.]:[PERIODO Imp.]],CV$9)</f>
        <v>0</v>
      </c>
      <c r="CW54" s="516">
        <f>SUMIFS(Imput[[Importe Neto]:[Importe Neto]],Imput[[C. Imp.]:[C. Imp.]],$D54,Imput[[PERIODO Imp.]:[PERIODO Imp.]],CW$9)</f>
        <v>0</v>
      </c>
      <c r="CX54" s="516">
        <f>SUMIFS(Imput[[Importe Neto]:[Importe Neto]],Imput[[C. Imp.]:[C. Imp.]],$D54,Imput[[PERIODO Imp.]:[PERIODO Imp.]],CX$9)</f>
        <v>0</v>
      </c>
      <c r="CY54" s="516">
        <f>SUMIFS(Imput[[Importe Neto]:[Importe Neto]],Imput[[C. Imp.]:[C. Imp.]],$D54,Imput[[PERIODO Imp.]:[PERIODO Imp.]],CY$9)</f>
        <v>0</v>
      </c>
      <c r="CZ54" s="516">
        <f>SUMIFS(Imput[[Importe Neto]:[Importe Neto]],Imput[[C. Imp.]:[C. Imp.]],$D54,Imput[[PERIODO Imp.]:[PERIODO Imp.]],CZ$9)</f>
        <v>0</v>
      </c>
      <c r="DA54" s="516">
        <f>SUMIFS(Imput[[Importe Neto]:[Importe Neto]],Imput[[C. Imp.]:[C. Imp.]],$D54,Imput[[PERIODO Imp.]:[PERIODO Imp.]],DA$9)</f>
        <v>0</v>
      </c>
      <c r="DB54" s="516">
        <f>SUMIFS(Imput[[Importe Neto]:[Importe Neto]],Imput[[C. Imp.]:[C. Imp.]],$D54,Imput[[PERIODO Imp.]:[PERIODO Imp.]],DB$9)</f>
        <v>0</v>
      </c>
      <c r="DC54" s="516">
        <f>SUMIFS(Imput[[Importe Neto]:[Importe Neto]],Imput[[C. Imp.]:[C. Imp.]],$D54,Imput[[PERIODO Imp.]:[PERIODO Imp.]],DC$9)</f>
        <v>0</v>
      </c>
      <c r="DD54" s="516">
        <f>SUMIFS(Imput[[Importe Neto]:[Importe Neto]],Imput[[C. Imp.]:[C. Imp.]],$D54,Imput[[PERIODO Imp.]:[PERIODO Imp.]],DD$9)</f>
        <v>0</v>
      </c>
      <c r="DE54" s="516">
        <f>SUMIFS(Imput[[Importe Neto]:[Importe Neto]],Imput[[C. Imp.]:[C. Imp.]],$D54,Imput[[PERIODO Imp.]:[PERIODO Imp.]],DE$9)</f>
        <v>0</v>
      </c>
      <c r="DF54" s="516">
        <f>SUMIFS(Imput[[Importe Neto]:[Importe Neto]],Imput[[C. Imp.]:[C. Imp.]],$D54,Imput[[PERIODO Imp.]:[PERIODO Imp.]],DF$9)</f>
        <v>0</v>
      </c>
      <c r="DG54" s="516">
        <f>SUMIFS(Imput[[Importe Neto]:[Importe Neto]],Imput[[C. Imp.]:[C. Imp.]],$D54,Imput[[PERIODO Imp.]:[PERIODO Imp.]],DG$9)</f>
        <v>0</v>
      </c>
      <c r="DH54" s="616">
        <f>SUMIFS(Imput[[Importe Neto]:[Importe Neto]],Imput[[C. Imp.]:[C. Imp.]],$D54,Imput[[PERIODO Imp.]:[PERIODO Imp.]],DH$9)</f>
        <v>0</v>
      </c>
    </row>
    <row r="55" spans="1:112" hidden="1" outlineLevel="1" x14ac:dyDescent="0.3">
      <c r="A55" s="66" t="str">
        <f t="shared" si="15"/>
        <v/>
      </c>
      <c r="C55" s="527"/>
      <c r="D55" s="528" t="s">
        <v>2164</v>
      </c>
      <c r="E55" s="528"/>
      <c r="F55" s="534"/>
      <c r="G55" s="529"/>
      <c r="H55" s="531"/>
      <c r="I55" s="849" t="str">
        <f t="shared" si="16"/>
        <v/>
      </c>
      <c r="J55" s="850" t="str">
        <f t="shared" si="17"/>
        <v/>
      </c>
      <c r="K55" s="70"/>
      <c r="L55" s="853"/>
      <c r="M55" s="855"/>
      <c r="N55" s="855"/>
      <c r="O55" s="855"/>
      <c r="P55" s="855"/>
      <c r="Q55" s="855"/>
      <c r="R55" s="855"/>
      <c r="S55" s="855"/>
      <c r="T55" s="855"/>
      <c r="U55" s="855"/>
      <c r="V55" s="855"/>
      <c r="W55" s="855"/>
      <c r="X55" s="855"/>
      <c r="Y55" s="855"/>
      <c r="Z55" s="856"/>
      <c r="AA55" s="856"/>
      <c r="AB55" s="856"/>
      <c r="AC55" s="856"/>
      <c r="AD55" s="856"/>
      <c r="AE55" s="856"/>
      <c r="AF55" s="856"/>
      <c r="AG55" s="856"/>
      <c r="AH55" s="856"/>
      <c r="AI55" s="856"/>
      <c r="AJ55" s="856"/>
      <c r="AK55" s="856"/>
      <c r="AL55" s="856"/>
      <c r="AM55" s="856"/>
      <c r="AN55" s="856"/>
      <c r="AO55" s="856"/>
      <c r="AP55" s="856"/>
      <c r="AQ55" s="856"/>
      <c r="AR55" s="856"/>
      <c r="AS55" s="856"/>
      <c r="AT55" s="856"/>
      <c r="AU55" s="856"/>
      <c r="AV55" s="856"/>
      <c r="AW55" s="856"/>
      <c r="AX55" s="856"/>
      <c r="AY55" s="856"/>
      <c r="AZ55" s="856"/>
      <c r="BA55" s="856"/>
      <c r="BB55" s="856"/>
      <c r="BC55" s="856"/>
      <c r="BD55" s="856"/>
      <c r="BE55" s="856"/>
      <c r="BF55" s="856"/>
      <c r="BG55" s="857"/>
      <c r="BH55" s="590"/>
      <c r="BI55" s="70"/>
      <c r="BJ55" s="518">
        <f t="shared" si="18"/>
        <v>0</v>
      </c>
      <c r="BK55" s="517">
        <f t="shared" si="19"/>
        <v>0</v>
      </c>
      <c r="BL55" s="68"/>
      <c r="BM55" s="515">
        <f>SUMIFS(Imput[[Importe Neto]:[Importe Neto]],Imput[[C. Imp.]:[C. Imp.]],$D55,Imput[[PERIODO Imp.]:[PERIODO Imp.]],BM$9)</f>
        <v>0</v>
      </c>
      <c r="BN55" s="516">
        <f>SUMIFS(Imput[[Importe Neto]:[Importe Neto]],Imput[[C. Imp.]:[C. Imp.]],$D55,Imput[[PERIODO Imp.]:[PERIODO Imp.]],BN$9)</f>
        <v>0</v>
      </c>
      <c r="BO55" s="516">
        <f>SUMIFS(Imput[[Importe Neto]:[Importe Neto]],Imput[[C. Imp.]:[C. Imp.]],$D55,Imput[[PERIODO Imp.]:[PERIODO Imp.]],BO$9)</f>
        <v>0</v>
      </c>
      <c r="BP55" s="516">
        <f>SUMIFS(Imput[[Importe Neto]:[Importe Neto]],Imput[[C. Imp.]:[C. Imp.]],$D55,Imput[[PERIODO Imp.]:[PERIODO Imp.]],BP$9)</f>
        <v>0</v>
      </c>
      <c r="BQ55" s="516">
        <f>SUMIFS(Imput[[Importe Neto]:[Importe Neto]],Imput[[C. Imp.]:[C. Imp.]],$D55,Imput[[PERIODO Imp.]:[PERIODO Imp.]],BQ$9)</f>
        <v>0</v>
      </c>
      <c r="BR55" s="516">
        <f>SUMIFS(Imput[[Importe Neto]:[Importe Neto]],Imput[[C. Imp.]:[C. Imp.]],$D55,Imput[[PERIODO Imp.]:[PERIODO Imp.]],BR$9)</f>
        <v>0</v>
      </c>
      <c r="BS55" s="516">
        <f>SUMIFS(Imput[[Importe Neto]:[Importe Neto]],Imput[[C. Imp.]:[C. Imp.]],$D55,Imput[[PERIODO Imp.]:[PERIODO Imp.]],BS$9)</f>
        <v>0</v>
      </c>
      <c r="BT55" s="516">
        <f>SUMIFS(Imput[[Importe Neto]:[Importe Neto]],Imput[[C. Imp.]:[C. Imp.]],$D55,Imput[[PERIODO Imp.]:[PERIODO Imp.]],BT$9)</f>
        <v>0</v>
      </c>
      <c r="BU55" s="516">
        <f>SUMIFS(Imput[[Importe Neto]:[Importe Neto]],Imput[[C. Imp.]:[C. Imp.]],$D55,Imput[[PERIODO Imp.]:[PERIODO Imp.]],BU$9)</f>
        <v>0</v>
      </c>
      <c r="BV55" s="516">
        <f>SUMIFS(Imput[[Importe Neto]:[Importe Neto]],Imput[[C. Imp.]:[C. Imp.]],$D55,Imput[[PERIODO Imp.]:[PERIODO Imp.]],BV$9)</f>
        <v>0</v>
      </c>
      <c r="BW55" s="516">
        <f>SUMIFS(Imput[[Importe Neto]:[Importe Neto]],Imput[[C. Imp.]:[C. Imp.]],$D55,Imput[[PERIODO Imp.]:[PERIODO Imp.]],BW$9)</f>
        <v>0</v>
      </c>
      <c r="BX55" s="516">
        <f>SUMIFS(Imput[[Importe Neto]:[Importe Neto]],Imput[[C. Imp.]:[C. Imp.]],$D55,Imput[[PERIODO Imp.]:[PERIODO Imp.]],BX$9)</f>
        <v>0</v>
      </c>
      <c r="BY55" s="516">
        <f>SUMIFS(Imput[[Importe Neto]:[Importe Neto]],Imput[[C. Imp.]:[C. Imp.]],$D55,Imput[[PERIODO Imp.]:[PERIODO Imp.]],BY$9)</f>
        <v>0</v>
      </c>
      <c r="BZ55" s="516">
        <f>SUMIFS(Imput[[Importe Neto]:[Importe Neto]],Imput[[C. Imp.]:[C. Imp.]],$D55,Imput[[PERIODO Imp.]:[PERIODO Imp.]],BZ$9)</f>
        <v>0</v>
      </c>
      <c r="CA55" s="516">
        <f>SUMIFS(Imput[[Importe Neto]:[Importe Neto]],Imput[[C. Imp.]:[C. Imp.]],$D55,Imput[[PERIODO Imp.]:[PERIODO Imp.]],CA$9)</f>
        <v>0</v>
      </c>
      <c r="CB55" s="516">
        <f>SUMIFS(Imput[[Importe Neto]:[Importe Neto]],Imput[[C. Imp.]:[C. Imp.]],$D55,Imput[[PERIODO Imp.]:[PERIODO Imp.]],CB$9)</f>
        <v>0</v>
      </c>
      <c r="CC55" s="516">
        <f>SUMIFS(Imput[[Importe Neto]:[Importe Neto]],Imput[[C. Imp.]:[C. Imp.]],$D55,Imput[[PERIODO Imp.]:[PERIODO Imp.]],CC$9)</f>
        <v>0</v>
      </c>
      <c r="CD55" s="516">
        <f>SUMIFS(Imput[[Importe Neto]:[Importe Neto]],Imput[[C. Imp.]:[C. Imp.]],$D55,Imput[[PERIODO Imp.]:[PERIODO Imp.]],CD$9)</f>
        <v>0</v>
      </c>
      <c r="CE55" s="516">
        <f>SUMIFS(Imput[[Importe Neto]:[Importe Neto]],Imput[[C. Imp.]:[C. Imp.]],$D55,Imput[[PERIODO Imp.]:[PERIODO Imp.]],CE$9)</f>
        <v>0</v>
      </c>
      <c r="CF55" s="516">
        <f>SUMIFS(Imput[[Importe Neto]:[Importe Neto]],Imput[[C. Imp.]:[C. Imp.]],$D55,Imput[[PERIODO Imp.]:[PERIODO Imp.]],CF$9)</f>
        <v>0</v>
      </c>
      <c r="CG55" s="516">
        <f>SUMIFS(Imput[[Importe Neto]:[Importe Neto]],Imput[[C. Imp.]:[C. Imp.]],$D55,Imput[[PERIODO Imp.]:[PERIODO Imp.]],CG$9)</f>
        <v>0</v>
      </c>
      <c r="CH55" s="516">
        <f>SUMIFS(Imput[[Importe Neto]:[Importe Neto]],Imput[[C. Imp.]:[C. Imp.]],$D55,Imput[[PERIODO Imp.]:[PERIODO Imp.]],CH$9)</f>
        <v>0</v>
      </c>
      <c r="CI55" s="516">
        <f>SUMIFS(Imput[[Importe Neto]:[Importe Neto]],Imput[[C. Imp.]:[C. Imp.]],$D55,Imput[[PERIODO Imp.]:[PERIODO Imp.]],CI$9)</f>
        <v>0</v>
      </c>
      <c r="CJ55" s="516">
        <f>SUMIFS(Imput[[Importe Neto]:[Importe Neto]],Imput[[C. Imp.]:[C. Imp.]],$D55,Imput[[PERIODO Imp.]:[PERIODO Imp.]],CJ$9)</f>
        <v>0</v>
      </c>
      <c r="CK55" s="516">
        <f>SUMIFS(Imput[[Importe Neto]:[Importe Neto]],Imput[[C. Imp.]:[C. Imp.]],$D55,Imput[[PERIODO Imp.]:[PERIODO Imp.]],CK$9)</f>
        <v>0</v>
      </c>
      <c r="CL55" s="516">
        <f>SUMIFS(Imput[[Importe Neto]:[Importe Neto]],Imput[[C. Imp.]:[C. Imp.]],$D55,Imput[[PERIODO Imp.]:[PERIODO Imp.]],CL$9)</f>
        <v>0</v>
      </c>
      <c r="CM55" s="516">
        <f>SUMIFS(Imput[[Importe Neto]:[Importe Neto]],Imput[[C. Imp.]:[C. Imp.]],$D55,Imput[[PERIODO Imp.]:[PERIODO Imp.]],CM$9)</f>
        <v>0</v>
      </c>
      <c r="CN55" s="516">
        <f>SUMIFS(Imput[[Importe Neto]:[Importe Neto]],Imput[[C. Imp.]:[C. Imp.]],$D55,Imput[[PERIODO Imp.]:[PERIODO Imp.]],CN$9)</f>
        <v>0</v>
      </c>
      <c r="CO55" s="516">
        <f>SUMIFS(Imput[[Importe Neto]:[Importe Neto]],Imput[[C. Imp.]:[C. Imp.]],$D55,Imput[[PERIODO Imp.]:[PERIODO Imp.]],CO$9)</f>
        <v>0</v>
      </c>
      <c r="CP55" s="516">
        <f>SUMIFS(Imput[[Importe Neto]:[Importe Neto]],Imput[[C. Imp.]:[C. Imp.]],$D55,Imput[[PERIODO Imp.]:[PERIODO Imp.]],CP$9)</f>
        <v>0</v>
      </c>
      <c r="CQ55" s="516">
        <f>SUMIFS(Imput[[Importe Neto]:[Importe Neto]],Imput[[C. Imp.]:[C. Imp.]],$D55,Imput[[PERIODO Imp.]:[PERIODO Imp.]],CQ$9)</f>
        <v>0</v>
      </c>
      <c r="CR55" s="516">
        <f>SUMIFS(Imput[[Importe Neto]:[Importe Neto]],Imput[[C. Imp.]:[C. Imp.]],$D55,Imput[[PERIODO Imp.]:[PERIODO Imp.]],CR$9)</f>
        <v>0</v>
      </c>
      <c r="CS55" s="516">
        <f>SUMIFS(Imput[[Importe Neto]:[Importe Neto]],Imput[[C. Imp.]:[C. Imp.]],$D55,Imput[[PERIODO Imp.]:[PERIODO Imp.]],CS$9)</f>
        <v>0</v>
      </c>
      <c r="CT55" s="516">
        <f>SUMIFS(Imput[[Importe Neto]:[Importe Neto]],Imput[[C. Imp.]:[C. Imp.]],$D55,Imput[[PERIODO Imp.]:[PERIODO Imp.]],CT$9)</f>
        <v>0</v>
      </c>
      <c r="CU55" s="516">
        <f>SUMIFS(Imput[[Importe Neto]:[Importe Neto]],Imput[[C. Imp.]:[C. Imp.]],$D55,Imput[[PERIODO Imp.]:[PERIODO Imp.]],CU$9)</f>
        <v>0</v>
      </c>
      <c r="CV55" s="516">
        <f>SUMIFS(Imput[[Importe Neto]:[Importe Neto]],Imput[[C. Imp.]:[C. Imp.]],$D55,Imput[[PERIODO Imp.]:[PERIODO Imp.]],CV$9)</f>
        <v>0</v>
      </c>
      <c r="CW55" s="516">
        <f>SUMIFS(Imput[[Importe Neto]:[Importe Neto]],Imput[[C. Imp.]:[C. Imp.]],$D55,Imput[[PERIODO Imp.]:[PERIODO Imp.]],CW$9)</f>
        <v>0</v>
      </c>
      <c r="CX55" s="516">
        <f>SUMIFS(Imput[[Importe Neto]:[Importe Neto]],Imput[[C. Imp.]:[C. Imp.]],$D55,Imput[[PERIODO Imp.]:[PERIODO Imp.]],CX$9)</f>
        <v>0</v>
      </c>
      <c r="CY55" s="516">
        <f>SUMIFS(Imput[[Importe Neto]:[Importe Neto]],Imput[[C. Imp.]:[C. Imp.]],$D55,Imput[[PERIODO Imp.]:[PERIODO Imp.]],CY$9)</f>
        <v>0</v>
      </c>
      <c r="CZ55" s="516">
        <f>SUMIFS(Imput[[Importe Neto]:[Importe Neto]],Imput[[C. Imp.]:[C. Imp.]],$D55,Imput[[PERIODO Imp.]:[PERIODO Imp.]],CZ$9)</f>
        <v>0</v>
      </c>
      <c r="DA55" s="516">
        <f>SUMIFS(Imput[[Importe Neto]:[Importe Neto]],Imput[[C. Imp.]:[C. Imp.]],$D55,Imput[[PERIODO Imp.]:[PERIODO Imp.]],DA$9)</f>
        <v>0</v>
      </c>
      <c r="DB55" s="516">
        <f>SUMIFS(Imput[[Importe Neto]:[Importe Neto]],Imput[[C. Imp.]:[C. Imp.]],$D55,Imput[[PERIODO Imp.]:[PERIODO Imp.]],DB$9)</f>
        <v>0</v>
      </c>
      <c r="DC55" s="516">
        <f>SUMIFS(Imput[[Importe Neto]:[Importe Neto]],Imput[[C. Imp.]:[C. Imp.]],$D55,Imput[[PERIODO Imp.]:[PERIODO Imp.]],DC$9)</f>
        <v>0</v>
      </c>
      <c r="DD55" s="516">
        <f>SUMIFS(Imput[[Importe Neto]:[Importe Neto]],Imput[[C. Imp.]:[C. Imp.]],$D55,Imput[[PERIODO Imp.]:[PERIODO Imp.]],DD$9)</f>
        <v>0</v>
      </c>
      <c r="DE55" s="516">
        <f>SUMIFS(Imput[[Importe Neto]:[Importe Neto]],Imput[[C. Imp.]:[C. Imp.]],$D55,Imput[[PERIODO Imp.]:[PERIODO Imp.]],DE$9)</f>
        <v>0</v>
      </c>
      <c r="DF55" s="516">
        <f>SUMIFS(Imput[[Importe Neto]:[Importe Neto]],Imput[[C. Imp.]:[C. Imp.]],$D55,Imput[[PERIODO Imp.]:[PERIODO Imp.]],DF$9)</f>
        <v>0</v>
      </c>
      <c r="DG55" s="516">
        <f>SUMIFS(Imput[[Importe Neto]:[Importe Neto]],Imput[[C. Imp.]:[C. Imp.]],$D55,Imput[[PERIODO Imp.]:[PERIODO Imp.]],DG$9)</f>
        <v>0</v>
      </c>
      <c r="DH55" s="616">
        <f>SUMIFS(Imput[[Importe Neto]:[Importe Neto]],Imput[[C. Imp.]:[C. Imp.]],$D55,Imput[[PERIODO Imp.]:[PERIODO Imp.]],DH$9)</f>
        <v>0</v>
      </c>
    </row>
    <row r="56" spans="1:112" hidden="1" outlineLevel="1" x14ac:dyDescent="0.3">
      <c r="A56" s="66" t="str">
        <f t="shared" si="15"/>
        <v/>
      </c>
      <c r="C56" s="527"/>
      <c r="D56" s="528" t="s">
        <v>2165</v>
      </c>
      <c r="E56" s="528"/>
      <c r="F56" s="534"/>
      <c r="G56" s="529"/>
      <c r="H56" s="531"/>
      <c r="I56" s="849" t="str">
        <f t="shared" si="16"/>
        <v/>
      </c>
      <c r="J56" s="850" t="str">
        <f t="shared" si="17"/>
        <v/>
      </c>
      <c r="K56" s="70"/>
      <c r="L56" s="853"/>
      <c r="M56" s="855"/>
      <c r="N56" s="855"/>
      <c r="O56" s="855"/>
      <c r="P56" s="855"/>
      <c r="Q56" s="855"/>
      <c r="R56" s="855"/>
      <c r="S56" s="855"/>
      <c r="T56" s="855"/>
      <c r="U56" s="855"/>
      <c r="V56" s="855"/>
      <c r="W56" s="855"/>
      <c r="X56" s="855"/>
      <c r="Y56" s="855"/>
      <c r="Z56" s="856"/>
      <c r="AA56" s="856"/>
      <c r="AB56" s="856"/>
      <c r="AC56" s="856"/>
      <c r="AD56" s="856"/>
      <c r="AE56" s="856"/>
      <c r="AF56" s="856"/>
      <c r="AG56" s="856"/>
      <c r="AH56" s="856"/>
      <c r="AI56" s="856"/>
      <c r="AJ56" s="856"/>
      <c r="AK56" s="856"/>
      <c r="AL56" s="856"/>
      <c r="AM56" s="856"/>
      <c r="AN56" s="856"/>
      <c r="AO56" s="856"/>
      <c r="AP56" s="856"/>
      <c r="AQ56" s="856"/>
      <c r="AR56" s="856"/>
      <c r="AS56" s="856"/>
      <c r="AT56" s="856"/>
      <c r="AU56" s="856"/>
      <c r="AV56" s="856"/>
      <c r="AW56" s="856"/>
      <c r="AX56" s="856"/>
      <c r="AY56" s="856"/>
      <c r="AZ56" s="856"/>
      <c r="BA56" s="856"/>
      <c r="BB56" s="856"/>
      <c r="BC56" s="856"/>
      <c r="BD56" s="856"/>
      <c r="BE56" s="856"/>
      <c r="BF56" s="856"/>
      <c r="BG56" s="857"/>
      <c r="BH56" s="590"/>
      <c r="BI56" s="70"/>
      <c r="BJ56" s="518">
        <f t="shared" si="18"/>
        <v>0</v>
      </c>
      <c r="BK56" s="517">
        <f t="shared" si="19"/>
        <v>0</v>
      </c>
      <c r="BL56" s="68"/>
      <c r="BM56" s="515">
        <f>SUMIFS(Imput[[Importe Neto]:[Importe Neto]],Imput[[C. Imp.]:[C. Imp.]],$D56,Imput[[PERIODO Imp.]:[PERIODO Imp.]],BM$9)</f>
        <v>0</v>
      </c>
      <c r="BN56" s="516">
        <f>SUMIFS(Imput[[Importe Neto]:[Importe Neto]],Imput[[C. Imp.]:[C. Imp.]],$D56,Imput[[PERIODO Imp.]:[PERIODO Imp.]],BN$9)</f>
        <v>0</v>
      </c>
      <c r="BO56" s="516">
        <f>SUMIFS(Imput[[Importe Neto]:[Importe Neto]],Imput[[C. Imp.]:[C. Imp.]],$D56,Imput[[PERIODO Imp.]:[PERIODO Imp.]],BO$9)</f>
        <v>0</v>
      </c>
      <c r="BP56" s="516">
        <f>SUMIFS(Imput[[Importe Neto]:[Importe Neto]],Imput[[C. Imp.]:[C. Imp.]],$D56,Imput[[PERIODO Imp.]:[PERIODO Imp.]],BP$9)</f>
        <v>0</v>
      </c>
      <c r="BQ56" s="516">
        <f>SUMIFS(Imput[[Importe Neto]:[Importe Neto]],Imput[[C. Imp.]:[C. Imp.]],$D56,Imput[[PERIODO Imp.]:[PERIODO Imp.]],BQ$9)</f>
        <v>0</v>
      </c>
      <c r="BR56" s="516">
        <f>SUMIFS(Imput[[Importe Neto]:[Importe Neto]],Imput[[C. Imp.]:[C. Imp.]],$D56,Imput[[PERIODO Imp.]:[PERIODO Imp.]],BR$9)</f>
        <v>0</v>
      </c>
      <c r="BS56" s="516">
        <f>SUMIFS(Imput[[Importe Neto]:[Importe Neto]],Imput[[C. Imp.]:[C. Imp.]],$D56,Imput[[PERIODO Imp.]:[PERIODO Imp.]],BS$9)</f>
        <v>0</v>
      </c>
      <c r="BT56" s="516">
        <f>SUMIFS(Imput[[Importe Neto]:[Importe Neto]],Imput[[C. Imp.]:[C. Imp.]],$D56,Imput[[PERIODO Imp.]:[PERIODO Imp.]],BT$9)</f>
        <v>0</v>
      </c>
      <c r="BU56" s="516">
        <f>SUMIFS(Imput[[Importe Neto]:[Importe Neto]],Imput[[C. Imp.]:[C. Imp.]],$D56,Imput[[PERIODO Imp.]:[PERIODO Imp.]],BU$9)</f>
        <v>0</v>
      </c>
      <c r="BV56" s="516">
        <f>SUMIFS(Imput[[Importe Neto]:[Importe Neto]],Imput[[C. Imp.]:[C. Imp.]],$D56,Imput[[PERIODO Imp.]:[PERIODO Imp.]],BV$9)</f>
        <v>0</v>
      </c>
      <c r="BW56" s="516">
        <f>SUMIFS(Imput[[Importe Neto]:[Importe Neto]],Imput[[C. Imp.]:[C. Imp.]],$D56,Imput[[PERIODO Imp.]:[PERIODO Imp.]],BW$9)</f>
        <v>0</v>
      </c>
      <c r="BX56" s="516">
        <f>SUMIFS(Imput[[Importe Neto]:[Importe Neto]],Imput[[C. Imp.]:[C. Imp.]],$D56,Imput[[PERIODO Imp.]:[PERIODO Imp.]],BX$9)</f>
        <v>0</v>
      </c>
      <c r="BY56" s="516">
        <f>SUMIFS(Imput[[Importe Neto]:[Importe Neto]],Imput[[C. Imp.]:[C. Imp.]],$D56,Imput[[PERIODO Imp.]:[PERIODO Imp.]],BY$9)</f>
        <v>0</v>
      </c>
      <c r="BZ56" s="516">
        <f>SUMIFS(Imput[[Importe Neto]:[Importe Neto]],Imput[[C. Imp.]:[C. Imp.]],$D56,Imput[[PERIODO Imp.]:[PERIODO Imp.]],BZ$9)</f>
        <v>0</v>
      </c>
      <c r="CA56" s="516">
        <f>SUMIFS(Imput[[Importe Neto]:[Importe Neto]],Imput[[C. Imp.]:[C. Imp.]],$D56,Imput[[PERIODO Imp.]:[PERIODO Imp.]],CA$9)</f>
        <v>0</v>
      </c>
      <c r="CB56" s="516">
        <f>SUMIFS(Imput[[Importe Neto]:[Importe Neto]],Imput[[C. Imp.]:[C. Imp.]],$D56,Imput[[PERIODO Imp.]:[PERIODO Imp.]],CB$9)</f>
        <v>0</v>
      </c>
      <c r="CC56" s="516">
        <f>SUMIFS(Imput[[Importe Neto]:[Importe Neto]],Imput[[C. Imp.]:[C. Imp.]],$D56,Imput[[PERIODO Imp.]:[PERIODO Imp.]],CC$9)</f>
        <v>0</v>
      </c>
      <c r="CD56" s="516">
        <f>SUMIFS(Imput[[Importe Neto]:[Importe Neto]],Imput[[C. Imp.]:[C. Imp.]],$D56,Imput[[PERIODO Imp.]:[PERIODO Imp.]],CD$9)</f>
        <v>0</v>
      </c>
      <c r="CE56" s="516">
        <f>SUMIFS(Imput[[Importe Neto]:[Importe Neto]],Imput[[C. Imp.]:[C. Imp.]],$D56,Imput[[PERIODO Imp.]:[PERIODO Imp.]],CE$9)</f>
        <v>0</v>
      </c>
      <c r="CF56" s="516">
        <f>SUMIFS(Imput[[Importe Neto]:[Importe Neto]],Imput[[C. Imp.]:[C. Imp.]],$D56,Imput[[PERIODO Imp.]:[PERIODO Imp.]],CF$9)</f>
        <v>0</v>
      </c>
      <c r="CG56" s="516">
        <f>SUMIFS(Imput[[Importe Neto]:[Importe Neto]],Imput[[C. Imp.]:[C. Imp.]],$D56,Imput[[PERIODO Imp.]:[PERIODO Imp.]],CG$9)</f>
        <v>0</v>
      </c>
      <c r="CH56" s="516">
        <f>SUMIFS(Imput[[Importe Neto]:[Importe Neto]],Imput[[C. Imp.]:[C. Imp.]],$D56,Imput[[PERIODO Imp.]:[PERIODO Imp.]],CH$9)</f>
        <v>0</v>
      </c>
      <c r="CI56" s="516">
        <f>SUMIFS(Imput[[Importe Neto]:[Importe Neto]],Imput[[C. Imp.]:[C. Imp.]],$D56,Imput[[PERIODO Imp.]:[PERIODO Imp.]],CI$9)</f>
        <v>0</v>
      </c>
      <c r="CJ56" s="516">
        <f>SUMIFS(Imput[[Importe Neto]:[Importe Neto]],Imput[[C. Imp.]:[C. Imp.]],$D56,Imput[[PERIODO Imp.]:[PERIODO Imp.]],CJ$9)</f>
        <v>0</v>
      </c>
      <c r="CK56" s="516">
        <f>SUMIFS(Imput[[Importe Neto]:[Importe Neto]],Imput[[C. Imp.]:[C. Imp.]],$D56,Imput[[PERIODO Imp.]:[PERIODO Imp.]],CK$9)</f>
        <v>0</v>
      </c>
      <c r="CL56" s="516">
        <f>SUMIFS(Imput[[Importe Neto]:[Importe Neto]],Imput[[C. Imp.]:[C. Imp.]],$D56,Imput[[PERIODO Imp.]:[PERIODO Imp.]],CL$9)</f>
        <v>0</v>
      </c>
      <c r="CM56" s="516">
        <f>SUMIFS(Imput[[Importe Neto]:[Importe Neto]],Imput[[C. Imp.]:[C. Imp.]],$D56,Imput[[PERIODO Imp.]:[PERIODO Imp.]],CM$9)</f>
        <v>0</v>
      </c>
      <c r="CN56" s="516">
        <f>SUMIFS(Imput[[Importe Neto]:[Importe Neto]],Imput[[C. Imp.]:[C. Imp.]],$D56,Imput[[PERIODO Imp.]:[PERIODO Imp.]],CN$9)</f>
        <v>0</v>
      </c>
      <c r="CO56" s="516">
        <f>SUMIFS(Imput[[Importe Neto]:[Importe Neto]],Imput[[C. Imp.]:[C. Imp.]],$D56,Imput[[PERIODO Imp.]:[PERIODO Imp.]],CO$9)</f>
        <v>0</v>
      </c>
      <c r="CP56" s="516">
        <f>SUMIFS(Imput[[Importe Neto]:[Importe Neto]],Imput[[C. Imp.]:[C. Imp.]],$D56,Imput[[PERIODO Imp.]:[PERIODO Imp.]],CP$9)</f>
        <v>0</v>
      </c>
      <c r="CQ56" s="516">
        <f>SUMIFS(Imput[[Importe Neto]:[Importe Neto]],Imput[[C. Imp.]:[C. Imp.]],$D56,Imput[[PERIODO Imp.]:[PERIODO Imp.]],CQ$9)</f>
        <v>0</v>
      </c>
      <c r="CR56" s="516">
        <f>SUMIFS(Imput[[Importe Neto]:[Importe Neto]],Imput[[C. Imp.]:[C. Imp.]],$D56,Imput[[PERIODO Imp.]:[PERIODO Imp.]],CR$9)</f>
        <v>0</v>
      </c>
      <c r="CS56" s="516">
        <f>SUMIFS(Imput[[Importe Neto]:[Importe Neto]],Imput[[C. Imp.]:[C. Imp.]],$D56,Imput[[PERIODO Imp.]:[PERIODO Imp.]],CS$9)</f>
        <v>0</v>
      </c>
      <c r="CT56" s="516">
        <f>SUMIFS(Imput[[Importe Neto]:[Importe Neto]],Imput[[C. Imp.]:[C. Imp.]],$D56,Imput[[PERIODO Imp.]:[PERIODO Imp.]],CT$9)</f>
        <v>0</v>
      </c>
      <c r="CU56" s="516">
        <f>SUMIFS(Imput[[Importe Neto]:[Importe Neto]],Imput[[C. Imp.]:[C. Imp.]],$D56,Imput[[PERIODO Imp.]:[PERIODO Imp.]],CU$9)</f>
        <v>0</v>
      </c>
      <c r="CV56" s="516">
        <f>SUMIFS(Imput[[Importe Neto]:[Importe Neto]],Imput[[C. Imp.]:[C. Imp.]],$D56,Imput[[PERIODO Imp.]:[PERIODO Imp.]],CV$9)</f>
        <v>0</v>
      </c>
      <c r="CW56" s="516">
        <f>SUMIFS(Imput[[Importe Neto]:[Importe Neto]],Imput[[C. Imp.]:[C. Imp.]],$D56,Imput[[PERIODO Imp.]:[PERIODO Imp.]],CW$9)</f>
        <v>0</v>
      </c>
      <c r="CX56" s="516">
        <f>SUMIFS(Imput[[Importe Neto]:[Importe Neto]],Imput[[C. Imp.]:[C. Imp.]],$D56,Imput[[PERIODO Imp.]:[PERIODO Imp.]],CX$9)</f>
        <v>0</v>
      </c>
      <c r="CY56" s="516">
        <f>SUMIFS(Imput[[Importe Neto]:[Importe Neto]],Imput[[C. Imp.]:[C. Imp.]],$D56,Imput[[PERIODO Imp.]:[PERIODO Imp.]],CY$9)</f>
        <v>0</v>
      </c>
      <c r="CZ56" s="516">
        <f>SUMIFS(Imput[[Importe Neto]:[Importe Neto]],Imput[[C. Imp.]:[C. Imp.]],$D56,Imput[[PERIODO Imp.]:[PERIODO Imp.]],CZ$9)</f>
        <v>0</v>
      </c>
      <c r="DA56" s="516">
        <f>SUMIFS(Imput[[Importe Neto]:[Importe Neto]],Imput[[C. Imp.]:[C. Imp.]],$D56,Imput[[PERIODO Imp.]:[PERIODO Imp.]],DA$9)</f>
        <v>0</v>
      </c>
      <c r="DB56" s="516">
        <f>SUMIFS(Imput[[Importe Neto]:[Importe Neto]],Imput[[C. Imp.]:[C. Imp.]],$D56,Imput[[PERIODO Imp.]:[PERIODO Imp.]],DB$9)</f>
        <v>0</v>
      </c>
      <c r="DC56" s="516">
        <f>SUMIFS(Imput[[Importe Neto]:[Importe Neto]],Imput[[C. Imp.]:[C. Imp.]],$D56,Imput[[PERIODO Imp.]:[PERIODO Imp.]],DC$9)</f>
        <v>0</v>
      </c>
      <c r="DD56" s="516">
        <f>SUMIFS(Imput[[Importe Neto]:[Importe Neto]],Imput[[C. Imp.]:[C. Imp.]],$D56,Imput[[PERIODO Imp.]:[PERIODO Imp.]],DD$9)</f>
        <v>0</v>
      </c>
      <c r="DE56" s="516">
        <f>SUMIFS(Imput[[Importe Neto]:[Importe Neto]],Imput[[C. Imp.]:[C. Imp.]],$D56,Imput[[PERIODO Imp.]:[PERIODO Imp.]],DE$9)</f>
        <v>0</v>
      </c>
      <c r="DF56" s="516">
        <f>SUMIFS(Imput[[Importe Neto]:[Importe Neto]],Imput[[C. Imp.]:[C. Imp.]],$D56,Imput[[PERIODO Imp.]:[PERIODO Imp.]],DF$9)</f>
        <v>0</v>
      </c>
      <c r="DG56" s="516">
        <f>SUMIFS(Imput[[Importe Neto]:[Importe Neto]],Imput[[C. Imp.]:[C. Imp.]],$D56,Imput[[PERIODO Imp.]:[PERIODO Imp.]],DG$9)</f>
        <v>0</v>
      </c>
      <c r="DH56" s="616">
        <f>SUMIFS(Imput[[Importe Neto]:[Importe Neto]],Imput[[C. Imp.]:[C. Imp.]],$D56,Imput[[PERIODO Imp.]:[PERIODO Imp.]],DH$9)</f>
        <v>0</v>
      </c>
    </row>
    <row r="57" spans="1:112" hidden="1" outlineLevel="1" x14ac:dyDescent="0.3">
      <c r="A57" s="66" t="str">
        <f t="shared" si="15"/>
        <v/>
      </c>
      <c r="C57" s="527"/>
      <c r="D57" s="528" t="s">
        <v>2166</v>
      </c>
      <c r="E57" s="528"/>
      <c r="F57" s="534"/>
      <c r="G57" s="529"/>
      <c r="H57" s="531"/>
      <c r="I57" s="849" t="str">
        <f t="shared" si="16"/>
        <v/>
      </c>
      <c r="J57" s="850" t="str">
        <f t="shared" si="17"/>
        <v/>
      </c>
      <c r="K57" s="70"/>
      <c r="L57" s="853"/>
      <c r="M57" s="855"/>
      <c r="N57" s="855"/>
      <c r="O57" s="855"/>
      <c r="P57" s="855"/>
      <c r="Q57" s="855"/>
      <c r="R57" s="855"/>
      <c r="S57" s="855"/>
      <c r="T57" s="855"/>
      <c r="U57" s="855"/>
      <c r="V57" s="855"/>
      <c r="W57" s="855"/>
      <c r="X57" s="855"/>
      <c r="Y57" s="855"/>
      <c r="Z57" s="856"/>
      <c r="AA57" s="856"/>
      <c r="AB57" s="856"/>
      <c r="AC57" s="856"/>
      <c r="AD57" s="856"/>
      <c r="AE57" s="856"/>
      <c r="AF57" s="856"/>
      <c r="AG57" s="856"/>
      <c r="AH57" s="856"/>
      <c r="AI57" s="856"/>
      <c r="AJ57" s="856"/>
      <c r="AK57" s="856"/>
      <c r="AL57" s="856"/>
      <c r="AM57" s="856"/>
      <c r="AN57" s="856"/>
      <c r="AO57" s="856"/>
      <c r="AP57" s="856"/>
      <c r="AQ57" s="856"/>
      <c r="AR57" s="856"/>
      <c r="AS57" s="856"/>
      <c r="AT57" s="856"/>
      <c r="AU57" s="856"/>
      <c r="AV57" s="856"/>
      <c r="AW57" s="856"/>
      <c r="AX57" s="856"/>
      <c r="AY57" s="856"/>
      <c r="AZ57" s="856"/>
      <c r="BA57" s="856"/>
      <c r="BB57" s="856"/>
      <c r="BC57" s="856"/>
      <c r="BD57" s="856"/>
      <c r="BE57" s="856"/>
      <c r="BF57" s="856"/>
      <c r="BG57" s="857"/>
      <c r="BH57" s="590"/>
      <c r="BI57" s="70"/>
      <c r="BJ57" s="518">
        <f t="shared" si="18"/>
        <v>0</v>
      </c>
      <c r="BK57" s="517">
        <f t="shared" si="19"/>
        <v>0</v>
      </c>
      <c r="BL57" s="68"/>
      <c r="BM57" s="515">
        <f>SUMIFS(Imput[[Importe Neto]:[Importe Neto]],Imput[[C. Imp.]:[C. Imp.]],$D57,Imput[[PERIODO Imp.]:[PERIODO Imp.]],BM$9)</f>
        <v>0</v>
      </c>
      <c r="BN57" s="516">
        <f>SUMIFS(Imput[[Importe Neto]:[Importe Neto]],Imput[[C. Imp.]:[C. Imp.]],$D57,Imput[[PERIODO Imp.]:[PERIODO Imp.]],BN$9)</f>
        <v>0</v>
      </c>
      <c r="BO57" s="516">
        <f>SUMIFS(Imput[[Importe Neto]:[Importe Neto]],Imput[[C. Imp.]:[C. Imp.]],$D57,Imput[[PERIODO Imp.]:[PERIODO Imp.]],BO$9)</f>
        <v>0</v>
      </c>
      <c r="BP57" s="516">
        <f>SUMIFS(Imput[[Importe Neto]:[Importe Neto]],Imput[[C. Imp.]:[C. Imp.]],$D57,Imput[[PERIODO Imp.]:[PERIODO Imp.]],BP$9)</f>
        <v>0</v>
      </c>
      <c r="BQ57" s="516">
        <f>SUMIFS(Imput[[Importe Neto]:[Importe Neto]],Imput[[C. Imp.]:[C. Imp.]],$D57,Imput[[PERIODO Imp.]:[PERIODO Imp.]],BQ$9)</f>
        <v>0</v>
      </c>
      <c r="BR57" s="516">
        <f>SUMIFS(Imput[[Importe Neto]:[Importe Neto]],Imput[[C. Imp.]:[C. Imp.]],$D57,Imput[[PERIODO Imp.]:[PERIODO Imp.]],BR$9)</f>
        <v>0</v>
      </c>
      <c r="BS57" s="516">
        <f>SUMIFS(Imput[[Importe Neto]:[Importe Neto]],Imput[[C. Imp.]:[C. Imp.]],$D57,Imput[[PERIODO Imp.]:[PERIODO Imp.]],BS$9)</f>
        <v>0</v>
      </c>
      <c r="BT57" s="516">
        <f>SUMIFS(Imput[[Importe Neto]:[Importe Neto]],Imput[[C. Imp.]:[C. Imp.]],$D57,Imput[[PERIODO Imp.]:[PERIODO Imp.]],BT$9)</f>
        <v>0</v>
      </c>
      <c r="BU57" s="516">
        <f>SUMIFS(Imput[[Importe Neto]:[Importe Neto]],Imput[[C. Imp.]:[C. Imp.]],$D57,Imput[[PERIODO Imp.]:[PERIODO Imp.]],BU$9)</f>
        <v>0</v>
      </c>
      <c r="BV57" s="516">
        <f>SUMIFS(Imput[[Importe Neto]:[Importe Neto]],Imput[[C. Imp.]:[C. Imp.]],$D57,Imput[[PERIODO Imp.]:[PERIODO Imp.]],BV$9)</f>
        <v>0</v>
      </c>
      <c r="BW57" s="516">
        <f>SUMIFS(Imput[[Importe Neto]:[Importe Neto]],Imput[[C. Imp.]:[C. Imp.]],$D57,Imput[[PERIODO Imp.]:[PERIODO Imp.]],BW$9)</f>
        <v>0</v>
      </c>
      <c r="BX57" s="516">
        <f>SUMIFS(Imput[[Importe Neto]:[Importe Neto]],Imput[[C. Imp.]:[C. Imp.]],$D57,Imput[[PERIODO Imp.]:[PERIODO Imp.]],BX$9)</f>
        <v>0</v>
      </c>
      <c r="BY57" s="516">
        <f>SUMIFS(Imput[[Importe Neto]:[Importe Neto]],Imput[[C. Imp.]:[C. Imp.]],$D57,Imput[[PERIODO Imp.]:[PERIODO Imp.]],BY$9)</f>
        <v>0</v>
      </c>
      <c r="BZ57" s="516">
        <f>SUMIFS(Imput[[Importe Neto]:[Importe Neto]],Imput[[C. Imp.]:[C. Imp.]],$D57,Imput[[PERIODO Imp.]:[PERIODO Imp.]],BZ$9)</f>
        <v>0</v>
      </c>
      <c r="CA57" s="516">
        <f>SUMIFS(Imput[[Importe Neto]:[Importe Neto]],Imput[[C. Imp.]:[C. Imp.]],$D57,Imput[[PERIODO Imp.]:[PERIODO Imp.]],CA$9)</f>
        <v>0</v>
      </c>
      <c r="CB57" s="516">
        <f>SUMIFS(Imput[[Importe Neto]:[Importe Neto]],Imput[[C. Imp.]:[C. Imp.]],$D57,Imput[[PERIODO Imp.]:[PERIODO Imp.]],CB$9)</f>
        <v>0</v>
      </c>
      <c r="CC57" s="516">
        <f>SUMIFS(Imput[[Importe Neto]:[Importe Neto]],Imput[[C. Imp.]:[C. Imp.]],$D57,Imput[[PERIODO Imp.]:[PERIODO Imp.]],CC$9)</f>
        <v>0</v>
      </c>
      <c r="CD57" s="516">
        <f>SUMIFS(Imput[[Importe Neto]:[Importe Neto]],Imput[[C. Imp.]:[C. Imp.]],$D57,Imput[[PERIODO Imp.]:[PERIODO Imp.]],CD$9)</f>
        <v>0</v>
      </c>
      <c r="CE57" s="516">
        <f>SUMIFS(Imput[[Importe Neto]:[Importe Neto]],Imput[[C. Imp.]:[C. Imp.]],$D57,Imput[[PERIODO Imp.]:[PERIODO Imp.]],CE$9)</f>
        <v>0</v>
      </c>
      <c r="CF57" s="516">
        <f>SUMIFS(Imput[[Importe Neto]:[Importe Neto]],Imput[[C. Imp.]:[C. Imp.]],$D57,Imput[[PERIODO Imp.]:[PERIODO Imp.]],CF$9)</f>
        <v>0</v>
      </c>
      <c r="CG57" s="516">
        <f>SUMIFS(Imput[[Importe Neto]:[Importe Neto]],Imput[[C. Imp.]:[C. Imp.]],$D57,Imput[[PERIODO Imp.]:[PERIODO Imp.]],CG$9)</f>
        <v>0</v>
      </c>
      <c r="CH57" s="516">
        <f>SUMIFS(Imput[[Importe Neto]:[Importe Neto]],Imput[[C. Imp.]:[C. Imp.]],$D57,Imput[[PERIODO Imp.]:[PERIODO Imp.]],CH$9)</f>
        <v>0</v>
      </c>
      <c r="CI57" s="516">
        <f>SUMIFS(Imput[[Importe Neto]:[Importe Neto]],Imput[[C. Imp.]:[C. Imp.]],$D57,Imput[[PERIODO Imp.]:[PERIODO Imp.]],CI$9)</f>
        <v>0</v>
      </c>
      <c r="CJ57" s="516">
        <f>SUMIFS(Imput[[Importe Neto]:[Importe Neto]],Imput[[C. Imp.]:[C. Imp.]],$D57,Imput[[PERIODO Imp.]:[PERIODO Imp.]],CJ$9)</f>
        <v>0</v>
      </c>
      <c r="CK57" s="516">
        <f>SUMIFS(Imput[[Importe Neto]:[Importe Neto]],Imput[[C. Imp.]:[C. Imp.]],$D57,Imput[[PERIODO Imp.]:[PERIODO Imp.]],CK$9)</f>
        <v>0</v>
      </c>
      <c r="CL57" s="516">
        <f>SUMIFS(Imput[[Importe Neto]:[Importe Neto]],Imput[[C. Imp.]:[C. Imp.]],$D57,Imput[[PERIODO Imp.]:[PERIODO Imp.]],CL$9)</f>
        <v>0</v>
      </c>
      <c r="CM57" s="516">
        <f>SUMIFS(Imput[[Importe Neto]:[Importe Neto]],Imput[[C. Imp.]:[C. Imp.]],$D57,Imput[[PERIODO Imp.]:[PERIODO Imp.]],CM$9)</f>
        <v>0</v>
      </c>
      <c r="CN57" s="516">
        <f>SUMIFS(Imput[[Importe Neto]:[Importe Neto]],Imput[[C. Imp.]:[C. Imp.]],$D57,Imput[[PERIODO Imp.]:[PERIODO Imp.]],CN$9)</f>
        <v>0</v>
      </c>
      <c r="CO57" s="516">
        <f>SUMIFS(Imput[[Importe Neto]:[Importe Neto]],Imput[[C. Imp.]:[C. Imp.]],$D57,Imput[[PERIODO Imp.]:[PERIODO Imp.]],CO$9)</f>
        <v>0</v>
      </c>
      <c r="CP57" s="516">
        <f>SUMIFS(Imput[[Importe Neto]:[Importe Neto]],Imput[[C. Imp.]:[C. Imp.]],$D57,Imput[[PERIODO Imp.]:[PERIODO Imp.]],CP$9)</f>
        <v>0</v>
      </c>
      <c r="CQ57" s="516">
        <f>SUMIFS(Imput[[Importe Neto]:[Importe Neto]],Imput[[C. Imp.]:[C. Imp.]],$D57,Imput[[PERIODO Imp.]:[PERIODO Imp.]],CQ$9)</f>
        <v>0</v>
      </c>
      <c r="CR57" s="516">
        <f>SUMIFS(Imput[[Importe Neto]:[Importe Neto]],Imput[[C. Imp.]:[C. Imp.]],$D57,Imput[[PERIODO Imp.]:[PERIODO Imp.]],CR$9)</f>
        <v>0</v>
      </c>
      <c r="CS57" s="516">
        <f>SUMIFS(Imput[[Importe Neto]:[Importe Neto]],Imput[[C. Imp.]:[C. Imp.]],$D57,Imput[[PERIODO Imp.]:[PERIODO Imp.]],CS$9)</f>
        <v>0</v>
      </c>
      <c r="CT57" s="516">
        <f>SUMIFS(Imput[[Importe Neto]:[Importe Neto]],Imput[[C. Imp.]:[C. Imp.]],$D57,Imput[[PERIODO Imp.]:[PERIODO Imp.]],CT$9)</f>
        <v>0</v>
      </c>
      <c r="CU57" s="516">
        <f>SUMIFS(Imput[[Importe Neto]:[Importe Neto]],Imput[[C. Imp.]:[C. Imp.]],$D57,Imput[[PERIODO Imp.]:[PERIODO Imp.]],CU$9)</f>
        <v>0</v>
      </c>
      <c r="CV57" s="516">
        <f>SUMIFS(Imput[[Importe Neto]:[Importe Neto]],Imput[[C. Imp.]:[C. Imp.]],$D57,Imput[[PERIODO Imp.]:[PERIODO Imp.]],CV$9)</f>
        <v>0</v>
      </c>
      <c r="CW57" s="516">
        <f>SUMIFS(Imput[[Importe Neto]:[Importe Neto]],Imput[[C. Imp.]:[C. Imp.]],$D57,Imput[[PERIODO Imp.]:[PERIODO Imp.]],CW$9)</f>
        <v>0</v>
      </c>
      <c r="CX57" s="516">
        <f>SUMIFS(Imput[[Importe Neto]:[Importe Neto]],Imput[[C. Imp.]:[C. Imp.]],$D57,Imput[[PERIODO Imp.]:[PERIODO Imp.]],CX$9)</f>
        <v>0</v>
      </c>
      <c r="CY57" s="516">
        <f>SUMIFS(Imput[[Importe Neto]:[Importe Neto]],Imput[[C. Imp.]:[C. Imp.]],$D57,Imput[[PERIODO Imp.]:[PERIODO Imp.]],CY$9)</f>
        <v>0</v>
      </c>
      <c r="CZ57" s="516">
        <f>SUMIFS(Imput[[Importe Neto]:[Importe Neto]],Imput[[C. Imp.]:[C. Imp.]],$D57,Imput[[PERIODO Imp.]:[PERIODO Imp.]],CZ$9)</f>
        <v>0</v>
      </c>
      <c r="DA57" s="516">
        <f>SUMIFS(Imput[[Importe Neto]:[Importe Neto]],Imput[[C. Imp.]:[C. Imp.]],$D57,Imput[[PERIODO Imp.]:[PERIODO Imp.]],DA$9)</f>
        <v>0</v>
      </c>
      <c r="DB57" s="516">
        <f>SUMIFS(Imput[[Importe Neto]:[Importe Neto]],Imput[[C. Imp.]:[C. Imp.]],$D57,Imput[[PERIODO Imp.]:[PERIODO Imp.]],DB$9)</f>
        <v>0</v>
      </c>
      <c r="DC57" s="516">
        <f>SUMIFS(Imput[[Importe Neto]:[Importe Neto]],Imput[[C. Imp.]:[C. Imp.]],$D57,Imput[[PERIODO Imp.]:[PERIODO Imp.]],DC$9)</f>
        <v>0</v>
      </c>
      <c r="DD57" s="516">
        <f>SUMIFS(Imput[[Importe Neto]:[Importe Neto]],Imput[[C. Imp.]:[C. Imp.]],$D57,Imput[[PERIODO Imp.]:[PERIODO Imp.]],DD$9)</f>
        <v>0</v>
      </c>
      <c r="DE57" s="516">
        <f>SUMIFS(Imput[[Importe Neto]:[Importe Neto]],Imput[[C. Imp.]:[C. Imp.]],$D57,Imput[[PERIODO Imp.]:[PERIODO Imp.]],DE$9)</f>
        <v>0</v>
      </c>
      <c r="DF57" s="516">
        <f>SUMIFS(Imput[[Importe Neto]:[Importe Neto]],Imput[[C. Imp.]:[C. Imp.]],$D57,Imput[[PERIODO Imp.]:[PERIODO Imp.]],DF$9)</f>
        <v>0</v>
      </c>
      <c r="DG57" s="516">
        <f>SUMIFS(Imput[[Importe Neto]:[Importe Neto]],Imput[[C. Imp.]:[C. Imp.]],$D57,Imput[[PERIODO Imp.]:[PERIODO Imp.]],DG$9)</f>
        <v>0</v>
      </c>
      <c r="DH57" s="616">
        <f>SUMIFS(Imput[[Importe Neto]:[Importe Neto]],Imput[[C. Imp.]:[C. Imp.]],$D57,Imput[[PERIODO Imp.]:[PERIODO Imp.]],DH$9)</f>
        <v>0</v>
      </c>
    </row>
    <row r="58" spans="1:112" hidden="1" outlineLevel="1" x14ac:dyDescent="0.3">
      <c r="A58" s="66" t="str">
        <f t="shared" si="15"/>
        <v/>
      </c>
      <c r="C58" s="527"/>
      <c r="D58" s="528" t="s">
        <v>2167</v>
      </c>
      <c r="E58" s="528"/>
      <c r="F58" s="534"/>
      <c r="G58" s="529"/>
      <c r="H58" s="531"/>
      <c r="I58" s="849" t="str">
        <f t="shared" si="16"/>
        <v/>
      </c>
      <c r="J58" s="850" t="str">
        <f t="shared" si="17"/>
        <v/>
      </c>
      <c r="K58" s="70"/>
      <c r="L58" s="853"/>
      <c r="M58" s="855"/>
      <c r="N58" s="855"/>
      <c r="O58" s="855"/>
      <c r="P58" s="855"/>
      <c r="Q58" s="855"/>
      <c r="R58" s="855"/>
      <c r="S58" s="855"/>
      <c r="T58" s="855"/>
      <c r="U58" s="855"/>
      <c r="V58" s="855"/>
      <c r="W58" s="855"/>
      <c r="X58" s="855"/>
      <c r="Y58" s="855"/>
      <c r="Z58" s="856"/>
      <c r="AA58" s="856"/>
      <c r="AB58" s="856"/>
      <c r="AC58" s="856"/>
      <c r="AD58" s="856"/>
      <c r="AE58" s="856"/>
      <c r="AF58" s="856"/>
      <c r="AG58" s="856"/>
      <c r="AH58" s="856"/>
      <c r="AI58" s="856"/>
      <c r="AJ58" s="856"/>
      <c r="AK58" s="856"/>
      <c r="AL58" s="856"/>
      <c r="AM58" s="856"/>
      <c r="AN58" s="856"/>
      <c r="AO58" s="856"/>
      <c r="AP58" s="856"/>
      <c r="AQ58" s="856"/>
      <c r="AR58" s="856"/>
      <c r="AS58" s="856"/>
      <c r="AT58" s="856"/>
      <c r="AU58" s="856"/>
      <c r="AV58" s="856"/>
      <c r="AW58" s="856"/>
      <c r="AX58" s="856"/>
      <c r="AY58" s="856"/>
      <c r="AZ58" s="856"/>
      <c r="BA58" s="856"/>
      <c r="BB58" s="856"/>
      <c r="BC58" s="856"/>
      <c r="BD58" s="856"/>
      <c r="BE58" s="856"/>
      <c r="BF58" s="856"/>
      <c r="BG58" s="857"/>
      <c r="BH58" s="590"/>
      <c r="BI58" s="70"/>
      <c r="BJ58" s="518">
        <f t="shared" si="18"/>
        <v>0</v>
      </c>
      <c r="BK58" s="517">
        <f t="shared" si="19"/>
        <v>0</v>
      </c>
      <c r="BL58" s="68"/>
      <c r="BM58" s="515">
        <f>SUMIFS(Imput[[Importe Neto]:[Importe Neto]],Imput[[C. Imp.]:[C. Imp.]],$D58,Imput[[PERIODO Imp.]:[PERIODO Imp.]],BM$9)</f>
        <v>0</v>
      </c>
      <c r="BN58" s="516">
        <f>SUMIFS(Imput[[Importe Neto]:[Importe Neto]],Imput[[C. Imp.]:[C. Imp.]],$D58,Imput[[PERIODO Imp.]:[PERIODO Imp.]],BN$9)</f>
        <v>0</v>
      </c>
      <c r="BO58" s="516">
        <f>SUMIFS(Imput[[Importe Neto]:[Importe Neto]],Imput[[C. Imp.]:[C. Imp.]],$D58,Imput[[PERIODO Imp.]:[PERIODO Imp.]],BO$9)</f>
        <v>0</v>
      </c>
      <c r="BP58" s="516">
        <f>SUMIFS(Imput[[Importe Neto]:[Importe Neto]],Imput[[C. Imp.]:[C. Imp.]],$D58,Imput[[PERIODO Imp.]:[PERIODO Imp.]],BP$9)</f>
        <v>0</v>
      </c>
      <c r="BQ58" s="516">
        <f>SUMIFS(Imput[[Importe Neto]:[Importe Neto]],Imput[[C. Imp.]:[C. Imp.]],$D58,Imput[[PERIODO Imp.]:[PERIODO Imp.]],BQ$9)</f>
        <v>0</v>
      </c>
      <c r="BR58" s="516">
        <f>SUMIFS(Imput[[Importe Neto]:[Importe Neto]],Imput[[C. Imp.]:[C. Imp.]],$D58,Imput[[PERIODO Imp.]:[PERIODO Imp.]],BR$9)</f>
        <v>0</v>
      </c>
      <c r="BS58" s="516">
        <f>SUMIFS(Imput[[Importe Neto]:[Importe Neto]],Imput[[C. Imp.]:[C. Imp.]],$D58,Imput[[PERIODO Imp.]:[PERIODO Imp.]],BS$9)</f>
        <v>0</v>
      </c>
      <c r="BT58" s="516">
        <f>SUMIFS(Imput[[Importe Neto]:[Importe Neto]],Imput[[C. Imp.]:[C. Imp.]],$D58,Imput[[PERIODO Imp.]:[PERIODO Imp.]],BT$9)</f>
        <v>0</v>
      </c>
      <c r="BU58" s="516">
        <f>SUMIFS(Imput[[Importe Neto]:[Importe Neto]],Imput[[C. Imp.]:[C. Imp.]],$D58,Imput[[PERIODO Imp.]:[PERIODO Imp.]],BU$9)</f>
        <v>0</v>
      </c>
      <c r="BV58" s="516">
        <f>SUMIFS(Imput[[Importe Neto]:[Importe Neto]],Imput[[C. Imp.]:[C. Imp.]],$D58,Imput[[PERIODO Imp.]:[PERIODO Imp.]],BV$9)</f>
        <v>0</v>
      </c>
      <c r="BW58" s="516">
        <f>SUMIFS(Imput[[Importe Neto]:[Importe Neto]],Imput[[C. Imp.]:[C. Imp.]],$D58,Imput[[PERIODO Imp.]:[PERIODO Imp.]],BW$9)</f>
        <v>0</v>
      </c>
      <c r="BX58" s="516">
        <f>SUMIFS(Imput[[Importe Neto]:[Importe Neto]],Imput[[C. Imp.]:[C. Imp.]],$D58,Imput[[PERIODO Imp.]:[PERIODO Imp.]],BX$9)</f>
        <v>0</v>
      </c>
      <c r="BY58" s="516">
        <f>SUMIFS(Imput[[Importe Neto]:[Importe Neto]],Imput[[C. Imp.]:[C. Imp.]],$D58,Imput[[PERIODO Imp.]:[PERIODO Imp.]],BY$9)</f>
        <v>0</v>
      </c>
      <c r="BZ58" s="516">
        <f>SUMIFS(Imput[[Importe Neto]:[Importe Neto]],Imput[[C. Imp.]:[C. Imp.]],$D58,Imput[[PERIODO Imp.]:[PERIODO Imp.]],BZ$9)</f>
        <v>0</v>
      </c>
      <c r="CA58" s="516">
        <f>SUMIFS(Imput[[Importe Neto]:[Importe Neto]],Imput[[C. Imp.]:[C. Imp.]],$D58,Imput[[PERIODO Imp.]:[PERIODO Imp.]],CA$9)</f>
        <v>0</v>
      </c>
      <c r="CB58" s="516">
        <f>SUMIFS(Imput[[Importe Neto]:[Importe Neto]],Imput[[C. Imp.]:[C. Imp.]],$D58,Imput[[PERIODO Imp.]:[PERIODO Imp.]],CB$9)</f>
        <v>0</v>
      </c>
      <c r="CC58" s="516">
        <f>SUMIFS(Imput[[Importe Neto]:[Importe Neto]],Imput[[C. Imp.]:[C. Imp.]],$D58,Imput[[PERIODO Imp.]:[PERIODO Imp.]],CC$9)</f>
        <v>0</v>
      </c>
      <c r="CD58" s="516">
        <f>SUMIFS(Imput[[Importe Neto]:[Importe Neto]],Imput[[C. Imp.]:[C. Imp.]],$D58,Imput[[PERIODO Imp.]:[PERIODO Imp.]],CD$9)</f>
        <v>0</v>
      </c>
      <c r="CE58" s="516">
        <f>SUMIFS(Imput[[Importe Neto]:[Importe Neto]],Imput[[C. Imp.]:[C. Imp.]],$D58,Imput[[PERIODO Imp.]:[PERIODO Imp.]],CE$9)</f>
        <v>0</v>
      </c>
      <c r="CF58" s="516">
        <f>SUMIFS(Imput[[Importe Neto]:[Importe Neto]],Imput[[C. Imp.]:[C. Imp.]],$D58,Imput[[PERIODO Imp.]:[PERIODO Imp.]],CF$9)</f>
        <v>0</v>
      </c>
      <c r="CG58" s="516">
        <f>SUMIFS(Imput[[Importe Neto]:[Importe Neto]],Imput[[C. Imp.]:[C. Imp.]],$D58,Imput[[PERIODO Imp.]:[PERIODO Imp.]],CG$9)</f>
        <v>0</v>
      </c>
      <c r="CH58" s="516">
        <f>SUMIFS(Imput[[Importe Neto]:[Importe Neto]],Imput[[C. Imp.]:[C. Imp.]],$D58,Imput[[PERIODO Imp.]:[PERIODO Imp.]],CH$9)</f>
        <v>0</v>
      </c>
      <c r="CI58" s="516">
        <f>SUMIFS(Imput[[Importe Neto]:[Importe Neto]],Imput[[C. Imp.]:[C. Imp.]],$D58,Imput[[PERIODO Imp.]:[PERIODO Imp.]],CI$9)</f>
        <v>0</v>
      </c>
      <c r="CJ58" s="516">
        <f>SUMIFS(Imput[[Importe Neto]:[Importe Neto]],Imput[[C. Imp.]:[C. Imp.]],$D58,Imput[[PERIODO Imp.]:[PERIODO Imp.]],CJ$9)</f>
        <v>0</v>
      </c>
      <c r="CK58" s="516">
        <f>SUMIFS(Imput[[Importe Neto]:[Importe Neto]],Imput[[C. Imp.]:[C. Imp.]],$D58,Imput[[PERIODO Imp.]:[PERIODO Imp.]],CK$9)</f>
        <v>0</v>
      </c>
      <c r="CL58" s="516">
        <f>SUMIFS(Imput[[Importe Neto]:[Importe Neto]],Imput[[C. Imp.]:[C. Imp.]],$D58,Imput[[PERIODO Imp.]:[PERIODO Imp.]],CL$9)</f>
        <v>0</v>
      </c>
      <c r="CM58" s="516">
        <f>SUMIFS(Imput[[Importe Neto]:[Importe Neto]],Imput[[C. Imp.]:[C. Imp.]],$D58,Imput[[PERIODO Imp.]:[PERIODO Imp.]],CM$9)</f>
        <v>0</v>
      </c>
      <c r="CN58" s="516">
        <f>SUMIFS(Imput[[Importe Neto]:[Importe Neto]],Imput[[C. Imp.]:[C. Imp.]],$D58,Imput[[PERIODO Imp.]:[PERIODO Imp.]],CN$9)</f>
        <v>0</v>
      </c>
      <c r="CO58" s="516">
        <f>SUMIFS(Imput[[Importe Neto]:[Importe Neto]],Imput[[C. Imp.]:[C. Imp.]],$D58,Imput[[PERIODO Imp.]:[PERIODO Imp.]],CO$9)</f>
        <v>0</v>
      </c>
      <c r="CP58" s="516">
        <f>SUMIFS(Imput[[Importe Neto]:[Importe Neto]],Imput[[C. Imp.]:[C. Imp.]],$D58,Imput[[PERIODO Imp.]:[PERIODO Imp.]],CP$9)</f>
        <v>0</v>
      </c>
      <c r="CQ58" s="516">
        <f>SUMIFS(Imput[[Importe Neto]:[Importe Neto]],Imput[[C. Imp.]:[C. Imp.]],$D58,Imput[[PERIODO Imp.]:[PERIODO Imp.]],CQ$9)</f>
        <v>0</v>
      </c>
      <c r="CR58" s="516">
        <f>SUMIFS(Imput[[Importe Neto]:[Importe Neto]],Imput[[C. Imp.]:[C. Imp.]],$D58,Imput[[PERIODO Imp.]:[PERIODO Imp.]],CR$9)</f>
        <v>0</v>
      </c>
      <c r="CS58" s="516">
        <f>SUMIFS(Imput[[Importe Neto]:[Importe Neto]],Imput[[C. Imp.]:[C. Imp.]],$D58,Imput[[PERIODO Imp.]:[PERIODO Imp.]],CS$9)</f>
        <v>0</v>
      </c>
      <c r="CT58" s="516">
        <f>SUMIFS(Imput[[Importe Neto]:[Importe Neto]],Imput[[C. Imp.]:[C. Imp.]],$D58,Imput[[PERIODO Imp.]:[PERIODO Imp.]],CT$9)</f>
        <v>0</v>
      </c>
      <c r="CU58" s="516">
        <f>SUMIFS(Imput[[Importe Neto]:[Importe Neto]],Imput[[C. Imp.]:[C. Imp.]],$D58,Imput[[PERIODO Imp.]:[PERIODO Imp.]],CU$9)</f>
        <v>0</v>
      </c>
      <c r="CV58" s="516">
        <f>SUMIFS(Imput[[Importe Neto]:[Importe Neto]],Imput[[C. Imp.]:[C. Imp.]],$D58,Imput[[PERIODO Imp.]:[PERIODO Imp.]],CV$9)</f>
        <v>0</v>
      </c>
      <c r="CW58" s="516">
        <f>SUMIFS(Imput[[Importe Neto]:[Importe Neto]],Imput[[C. Imp.]:[C. Imp.]],$D58,Imput[[PERIODO Imp.]:[PERIODO Imp.]],CW$9)</f>
        <v>0</v>
      </c>
      <c r="CX58" s="516">
        <f>SUMIFS(Imput[[Importe Neto]:[Importe Neto]],Imput[[C. Imp.]:[C. Imp.]],$D58,Imput[[PERIODO Imp.]:[PERIODO Imp.]],CX$9)</f>
        <v>0</v>
      </c>
      <c r="CY58" s="516">
        <f>SUMIFS(Imput[[Importe Neto]:[Importe Neto]],Imput[[C. Imp.]:[C. Imp.]],$D58,Imput[[PERIODO Imp.]:[PERIODO Imp.]],CY$9)</f>
        <v>0</v>
      </c>
      <c r="CZ58" s="516">
        <f>SUMIFS(Imput[[Importe Neto]:[Importe Neto]],Imput[[C. Imp.]:[C. Imp.]],$D58,Imput[[PERIODO Imp.]:[PERIODO Imp.]],CZ$9)</f>
        <v>0</v>
      </c>
      <c r="DA58" s="516">
        <f>SUMIFS(Imput[[Importe Neto]:[Importe Neto]],Imput[[C. Imp.]:[C. Imp.]],$D58,Imput[[PERIODO Imp.]:[PERIODO Imp.]],DA$9)</f>
        <v>0</v>
      </c>
      <c r="DB58" s="516">
        <f>SUMIFS(Imput[[Importe Neto]:[Importe Neto]],Imput[[C. Imp.]:[C. Imp.]],$D58,Imput[[PERIODO Imp.]:[PERIODO Imp.]],DB$9)</f>
        <v>0</v>
      </c>
      <c r="DC58" s="516">
        <f>SUMIFS(Imput[[Importe Neto]:[Importe Neto]],Imput[[C. Imp.]:[C. Imp.]],$D58,Imput[[PERIODO Imp.]:[PERIODO Imp.]],DC$9)</f>
        <v>0</v>
      </c>
      <c r="DD58" s="516">
        <f>SUMIFS(Imput[[Importe Neto]:[Importe Neto]],Imput[[C. Imp.]:[C. Imp.]],$D58,Imput[[PERIODO Imp.]:[PERIODO Imp.]],DD$9)</f>
        <v>0</v>
      </c>
      <c r="DE58" s="516">
        <f>SUMIFS(Imput[[Importe Neto]:[Importe Neto]],Imput[[C. Imp.]:[C. Imp.]],$D58,Imput[[PERIODO Imp.]:[PERIODO Imp.]],DE$9)</f>
        <v>0</v>
      </c>
      <c r="DF58" s="516">
        <f>SUMIFS(Imput[[Importe Neto]:[Importe Neto]],Imput[[C. Imp.]:[C. Imp.]],$D58,Imput[[PERIODO Imp.]:[PERIODO Imp.]],DF$9)</f>
        <v>0</v>
      </c>
      <c r="DG58" s="516">
        <f>SUMIFS(Imput[[Importe Neto]:[Importe Neto]],Imput[[C. Imp.]:[C. Imp.]],$D58,Imput[[PERIODO Imp.]:[PERIODO Imp.]],DG$9)</f>
        <v>0</v>
      </c>
      <c r="DH58" s="616">
        <f>SUMIFS(Imput[[Importe Neto]:[Importe Neto]],Imput[[C. Imp.]:[C. Imp.]],$D58,Imput[[PERIODO Imp.]:[PERIODO Imp.]],DH$9)</f>
        <v>0</v>
      </c>
    </row>
    <row r="59" spans="1:112" hidden="1" outlineLevel="1" x14ac:dyDescent="0.3">
      <c r="A59" s="66" t="str">
        <f t="shared" si="15"/>
        <v/>
      </c>
      <c r="C59" s="527"/>
      <c r="D59" s="528" t="s">
        <v>2168</v>
      </c>
      <c r="E59" s="528"/>
      <c r="F59" s="534"/>
      <c r="G59" s="529"/>
      <c r="H59" s="531"/>
      <c r="I59" s="849" t="str">
        <f t="shared" si="16"/>
        <v/>
      </c>
      <c r="J59" s="850" t="str">
        <f t="shared" si="17"/>
        <v/>
      </c>
      <c r="K59" s="70"/>
      <c r="L59" s="853"/>
      <c r="M59" s="855"/>
      <c r="N59" s="855"/>
      <c r="O59" s="855"/>
      <c r="P59" s="855"/>
      <c r="Q59" s="855"/>
      <c r="R59" s="855"/>
      <c r="S59" s="855"/>
      <c r="T59" s="855"/>
      <c r="U59" s="855"/>
      <c r="V59" s="855"/>
      <c r="W59" s="855"/>
      <c r="X59" s="855"/>
      <c r="Y59" s="855"/>
      <c r="Z59" s="856"/>
      <c r="AA59" s="856"/>
      <c r="AB59" s="856"/>
      <c r="AC59" s="856"/>
      <c r="AD59" s="856"/>
      <c r="AE59" s="856"/>
      <c r="AF59" s="856"/>
      <c r="AG59" s="856"/>
      <c r="AH59" s="856"/>
      <c r="AI59" s="856"/>
      <c r="AJ59" s="856"/>
      <c r="AK59" s="856"/>
      <c r="AL59" s="856"/>
      <c r="AM59" s="856"/>
      <c r="AN59" s="856"/>
      <c r="AO59" s="856"/>
      <c r="AP59" s="856"/>
      <c r="AQ59" s="856"/>
      <c r="AR59" s="856"/>
      <c r="AS59" s="856"/>
      <c r="AT59" s="856"/>
      <c r="AU59" s="856"/>
      <c r="AV59" s="856"/>
      <c r="AW59" s="856"/>
      <c r="AX59" s="856"/>
      <c r="AY59" s="856"/>
      <c r="AZ59" s="856"/>
      <c r="BA59" s="856"/>
      <c r="BB59" s="856"/>
      <c r="BC59" s="856"/>
      <c r="BD59" s="856"/>
      <c r="BE59" s="856"/>
      <c r="BF59" s="856"/>
      <c r="BG59" s="857"/>
      <c r="BH59" s="590"/>
      <c r="BI59" s="70"/>
      <c r="BJ59" s="518">
        <f t="shared" si="18"/>
        <v>0</v>
      </c>
      <c r="BK59" s="517">
        <f t="shared" si="19"/>
        <v>0</v>
      </c>
      <c r="BL59" s="68"/>
      <c r="BM59" s="515">
        <f>SUMIFS(Imput[[Importe Neto]:[Importe Neto]],Imput[[C. Imp.]:[C. Imp.]],$D59,Imput[[PERIODO Imp.]:[PERIODO Imp.]],BM$9)</f>
        <v>0</v>
      </c>
      <c r="BN59" s="516">
        <f>SUMIFS(Imput[[Importe Neto]:[Importe Neto]],Imput[[C. Imp.]:[C. Imp.]],$D59,Imput[[PERIODO Imp.]:[PERIODO Imp.]],BN$9)</f>
        <v>0</v>
      </c>
      <c r="BO59" s="516">
        <f>SUMIFS(Imput[[Importe Neto]:[Importe Neto]],Imput[[C. Imp.]:[C. Imp.]],$D59,Imput[[PERIODO Imp.]:[PERIODO Imp.]],BO$9)</f>
        <v>0</v>
      </c>
      <c r="BP59" s="516">
        <f>SUMIFS(Imput[[Importe Neto]:[Importe Neto]],Imput[[C. Imp.]:[C. Imp.]],$D59,Imput[[PERIODO Imp.]:[PERIODO Imp.]],BP$9)</f>
        <v>0</v>
      </c>
      <c r="BQ59" s="516">
        <f>SUMIFS(Imput[[Importe Neto]:[Importe Neto]],Imput[[C. Imp.]:[C. Imp.]],$D59,Imput[[PERIODO Imp.]:[PERIODO Imp.]],BQ$9)</f>
        <v>0</v>
      </c>
      <c r="BR59" s="516">
        <f>SUMIFS(Imput[[Importe Neto]:[Importe Neto]],Imput[[C. Imp.]:[C. Imp.]],$D59,Imput[[PERIODO Imp.]:[PERIODO Imp.]],BR$9)</f>
        <v>0</v>
      </c>
      <c r="BS59" s="516">
        <f>SUMIFS(Imput[[Importe Neto]:[Importe Neto]],Imput[[C. Imp.]:[C. Imp.]],$D59,Imput[[PERIODO Imp.]:[PERIODO Imp.]],BS$9)</f>
        <v>0</v>
      </c>
      <c r="BT59" s="516">
        <f>SUMIFS(Imput[[Importe Neto]:[Importe Neto]],Imput[[C. Imp.]:[C. Imp.]],$D59,Imput[[PERIODO Imp.]:[PERIODO Imp.]],BT$9)</f>
        <v>0</v>
      </c>
      <c r="BU59" s="516">
        <f>SUMIFS(Imput[[Importe Neto]:[Importe Neto]],Imput[[C. Imp.]:[C. Imp.]],$D59,Imput[[PERIODO Imp.]:[PERIODO Imp.]],BU$9)</f>
        <v>0</v>
      </c>
      <c r="BV59" s="516">
        <f>SUMIFS(Imput[[Importe Neto]:[Importe Neto]],Imput[[C. Imp.]:[C. Imp.]],$D59,Imput[[PERIODO Imp.]:[PERIODO Imp.]],BV$9)</f>
        <v>0</v>
      </c>
      <c r="BW59" s="516">
        <f>SUMIFS(Imput[[Importe Neto]:[Importe Neto]],Imput[[C. Imp.]:[C. Imp.]],$D59,Imput[[PERIODO Imp.]:[PERIODO Imp.]],BW$9)</f>
        <v>0</v>
      </c>
      <c r="BX59" s="516">
        <f>SUMIFS(Imput[[Importe Neto]:[Importe Neto]],Imput[[C. Imp.]:[C. Imp.]],$D59,Imput[[PERIODO Imp.]:[PERIODO Imp.]],BX$9)</f>
        <v>0</v>
      </c>
      <c r="BY59" s="516">
        <f>SUMIFS(Imput[[Importe Neto]:[Importe Neto]],Imput[[C. Imp.]:[C. Imp.]],$D59,Imput[[PERIODO Imp.]:[PERIODO Imp.]],BY$9)</f>
        <v>0</v>
      </c>
      <c r="BZ59" s="516">
        <f>SUMIFS(Imput[[Importe Neto]:[Importe Neto]],Imput[[C. Imp.]:[C. Imp.]],$D59,Imput[[PERIODO Imp.]:[PERIODO Imp.]],BZ$9)</f>
        <v>0</v>
      </c>
      <c r="CA59" s="516">
        <f>SUMIFS(Imput[[Importe Neto]:[Importe Neto]],Imput[[C. Imp.]:[C. Imp.]],$D59,Imput[[PERIODO Imp.]:[PERIODO Imp.]],CA$9)</f>
        <v>0</v>
      </c>
      <c r="CB59" s="516">
        <f>SUMIFS(Imput[[Importe Neto]:[Importe Neto]],Imput[[C. Imp.]:[C. Imp.]],$D59,Imput[[PERIODO Imp.]:[PERIODO Imp.]],CB$9)</f>
        <v>0</v>
      </c>
      <c r="CC59" s="516">
        <f>SUMIFS(Imput[[Importe Neto]:[Importe Neto]],Imput[[C. Imp.]:[C. Imp.]],$D59,Imput[[PERIODO Imp.]:[PERIODO Imp.]],CC$9)</f>
        <v>0</v>
      </c>
      <c r="CD59" s="516">
        <f>SUMIFS(Imput[[Importe Neto]:[Importe Neto]],Imput[[C. Imp.]:[C. Imp.]],$D59,Imput[[PERIODO Imp.]:[PERIODO Imp.]],CD$9)</f>
        <v>0</v>
      </c>
      <c r="CE59" s="516">
        <f>SUMIFS(Imput[[Importe Neto]:[Importe Neto]],Imput[[C. Imp.]:[C. Imp.]],$D59,Imput[[PERIODO Imp.]:[PERIODO Imp.]],CE$9)</f>
        <v>0</v>
      </c>
      <c r="CF59" s="516">
        <f>SUMIFS(Imput[[Importe Neto]:[Importe Neto]],Imput[[C. Imp.]:[C. Imp.]],$D59,Imput[[PERIODO Imp.]:[PERIODO Imp.]],CF$9)</f>
        <v>0</v>
      </c>
      <c r="CG59" s="516">
        <f>SUMIFS(Imput[[Importe Neto]:[Importe Neto]],Imput[[C. Imp.]:[C. Imp.]],$D59,Imput[[PERIODO Imp.]:[PERIODO Imp.]],CG$9)</f>
        <v>0</v>
      </c>
      <c r="CH59" s="516">
        <f>SUMIFS(Imput[[Importe Neto]:[Importe Neto]],Imput[[C. Imp.]:[C. Imp.]],$D59,Imput[[PERIODO Imp.]:[PERIODO Imp.]],CH$9)</f>
        <v>0</v>
      </c>
      <c r="CI59" s="516">
        <f>SUMIFS(Imput[[Importe Neto]:[Importe Neto]],Imput[[C. Imp.]:[C. Imp.]],$D59,Imput[[PERIODO Imp.]:[PERIODO Imp.]],CI$9)</f>
        <v>0</v>
      </c>
      <c r="CJ59" s="516">
        <f>SUMIFS(Imput[[Importe Neto]:[Importe Neto]],Imput[[C. Imp.]:[C. Imp.]],$D59,Imput[[PERIODO Imp.]:[PERIODO Imp.]],CJ$9)</f>
        <v>0</v>
      </c>
      <c r="CK59" s="516">
        <f>SUMIFS(Imput[[Importe Neto]:[Importe Neto]],Imput[[C. Imp.]:[C. Imp.]],$D59,Imput[[PERIODO Imp.]:[PERIODO Imp.]],CK$9)</f>
        <v>0</v>
      </c>
      <c r="CL59" s="516">
        <f>SUMIFS(Imput[[Importe Neto]:[Importe Neto]],Imput[[C. Imp.]:[C. Imp.]],$D59,Imput[[PERIODO Imp.]:[PERIODO Imp.]],CL$9)</f>
        <v>0</v>
      </c>
      <c r="CM59" s="516">
        <f>SUMIFS(Imput[[Importe Neto]:[Importe Neto]],Imput[[C. Imp.]:[C. Imp.]],$D59,Imput[[PERIODO Imp.]:[PERIODO Imp.]],CM$9)</f>
        <v>0</v>
      </c>
      <c r="CN59" s="516">
        <f>SUMIFS(Imput[[Importe Neto]:[Importe Neto]],Imput[[C. Imp.]:[C. Imp.]],$D59,Imput[[PERIODO Imp.]:[PERIODO Imp.]],CN$9)</f>
        <v>0</v>
      </c>
      <c r="CO59" s="516">
        <f>SUMIFS(Imput[[Importe Neto]:[Importe Neto]],Imput[[C. Imp.]:[C. Imp.]],$D59,Imput[[PERIODO Imp.]:[PERIODO Imp.]],CO$9)</f>
        <v>0</v>
      </c>
      <c r="CP59" s="516">
        <f>SUMIFS(Imput[[Importe Neto]:[Importe Neto]],Imput[[C. Imp.]:[C. Imp.]],$D59,Imput[[PERIODO Imp.]:[PERIODO Imp.]],CP$9)</f>
        <v>0</v>
      </c>
      <c r="CQ59" s="516">
        <f>SUMIFS(Imput[[Importe Neto]:[Importe Neto]],Imput[[C. Imp.]:[C. Imp.]],$D59,Imput[[PERIODO Imp.]:[PERIODO Imp.]],CQ$9)</f>
        <v>0</v>
      </c>
      <c r="CR59" s="516">
        <f>SUMIFS(Imput[[Importe Neto]:[Importe Neto]],Imput[[C. Imp.]:[C. Imp.]],$D59,Imput[[PERIODO Imp.]:[PERIODO Imp.]],CR$9)</f>
        <v>0</v>
      </c>
      <c r="CS59" s="516">
        <f>SUMIFS(Imput[[Importe Neto]:[Importe Neto]],Imput[[C. Imp.]:[C. Imp.]],$D59,Imput[[PERIODO Imp.]:[PERIODO Imp.]],CS$9)</f>
        <v>0</v>
      </c>
      <c r="CT59" s="516">
        <f>SUMIFS(Imput[[Importe Neto]:[Importe Neto]],Imput[[C. Imp.]:[C. Imp.]],$D59,Imput[[PERIODO Imp.]:[PERIODO Imp.]],CT$9)</f>
        <v>0</v>
      </c>
      <c r="CU59" s="516">
        <f>SUMIFS(Imput[[Importe Neto]:[Importe Neto]],Imput[[C. Imp.]:[C. Imp.]],$D59,Imput[[PERIODO Imp.]:[PERIODO Imp.]],CU$9)</f>
        <v>0</v>
      </c>
      <c r="CV59" s="516">
        <f>SUMIFS(Imput[[Importe Neto]:[Importe Neto]],Imput[[C. Imp.]:[C. Imp.]],$D59,Imput[[PERIODO Imp.]:[PERIODO Imp.]],CV$9)</f>
        <v>0</v>
      </c>
      <c r="CW59" s="516">
        <f>SUMIFS(Imput[[Importe Neto]:[Importe Neto]],Imput[[C. Imp.]:[C. Imp.]],$D59,Imput[[PERIODO Imp.]:[PERIODO Imp.]],CW$9)</f>
        <v>0</v>
      </c>
      <c r="CX59" s="516">
        <f>SUMIFS(Imput[[Importe Neto]:[Importe Neto]],Imput[[C. Imp.]:[C. Imp.]],$D59,Imput[[PERIODO Imp.]:[PERIODO Imp.]],CX$9)</f>
        <v>0</v>
      </c>
      <c r="CY59" s="516">
        <f>SUMIFS(Imput[[Importe Neto]:[Importe Neto]],Imput[[C. Imp.]:[C. Imp.]],$D59,Imput[[PERIODO Imp.]:[PERIODO Imp.]],CY$9)</f>
        <v>0</v>
      </c>
      <c r="CZ59" s="516">
        <f>SUMIFS(Imput[[Importe Neto]:[Importe Neto]],Imput[[C. Imp.]:[C. Imp.]],$D59,Imput[[PERIODO Imp.]:[PERIODO Imp.]],CZ$9)</f>
        <v>0</v>
      </c>
      <c r="DA59" s="516">
        <f>SUMIFS(Imput[[Importe Neto]:[Importe Neto]],Imput[[C. Imp.]:[C. Imp.]],$D59,Imput[[PERIODO Imp.]:[PERIODO Imp.]],DA$9)</f>
        <v>0</v>
      </c>
      <c r="DB59" s="516">
        <f>SUMIFS(Imput[[Importe Neto]:[Importe Neto]],Imput[[C. Imp.]:[C. Imp.]],$D59,Imput[[PERIODO Imp.]:[PERIODO Imp.]],DB$9)</f>
        <v>0</v>
      </c>
      <c r="DC59" s="516">
        <f>SUMIFS(Imput[[Importe Neto]:[Importe Neto]],Imput[[C. Imp.]:[C. Imp.]],$D59,Imput[[PERIODO Imp.]:[PERIODO Imp.]],DC$9)</f>
        <v>0</v>
      </c>
      <c r="DD59" s="516">
        <f>SUMIFS(Imput[[Importe Neto]:[Importe Neto]],Imput[[C. Imp.]:[C. Imp.]],$D59,Imput[[PERIODO Imp.]:[PERIODO Imp.]],DD$9)</f>
        <v>0</v>
      </c>
      <c r="DE59" s="516">
        <f>SUMIFS(Imput[[Importe Neto]:[Importe Neto]],Imput[[C. Imp.]:[C. Imp.]],$D59,Imput[[PERIODO Imp.]:[PERIODO Imp.]],DE$9)</f>
        <v>0</v>
      </c>
      <c r="DF59" s="516">
        <f>SUMIFS(Imput[[Importe Neto]:[Importe Neto]],Imput[[C. Imp.]:[C. Imp.]],$D59,Imput[[PERIODO Imp.]:[PERIODO Imp.]],DF$9)</f>
        <v>0</v>
      </c>
      <c r="DG59" s="516">
        <f>SUMIFS(Imput[[Importe Neto]:[Importe Neto]],Imput[[C. Imp.]:[C. Imp.]],$D59,Imput[[PERIODO Imp.]:[PERIODO Imp.]],DG$9)</f>
        <v>0</v>
      </c>
      <c r="DH59" s="616">
        <f>SUMIFS(Imput[[Importe Neto]:[Importe Neto]],Imput[[C. Imp.]:[C. Imp.]],$D59,Imput[[PERIODO Imp.]:[PERIODO Imp.]],DH$9)</f>
        <v>0</v>
      </c>
    </row>
    <row r="60" spans="1:112" hidden="1" outlineLevel="1" x14ac:dyDescent="0.3">
      <c r="A60" s="66" t="str">
        <f t="shared" si="15"/>
        <v/>
      </c>
      <c r="C60" s="527"/>
      <c r="D60" s="528" t="s">
        <v>2169</v>
      </c>
      <c r="E60" s="528"/>
      <c r="F60" s="534"/>
      <c r="G60" s="529"/>
      <c r="H60" s="531"/>
      <c r="I60" s="849" t="str">
        <f t="shared" si="16"/>
        <v/>
      </c>
      <c r="J60" s="850" t="str">
        <f t="shared" si="17"/>
        <v/>
      </c>
      <c r="K60" s="70"/>
      <c r="L60" s="853"/>
      <c r="M60" s="855"/>
      <c r="N60" s="855"/>
      <c r="O60" s="855"/>
      <c r="P60" s="855"/>
      <c r="Q60" s="855"/>
      <c r="R60" s="855"/>
      <c r="S60" s="855"/>
      <c r="T60" s="855"/>
      <c r="U60" s="855"/>
      <c r="V60" s="855"/>
      <c r="W60" s="855"/>
      <c r="X60" s="855"/>
      <c r="Y60" s="855"/>
      <c r="Z60" s="856"/>
      <c r="AA60" s="856"/>
      <c r="AB60" s="856"/>
      <c r="AC60" s="856"/>
      <c r="AD60" s="856"/>
      <c r="AE60" s="856"/>
      <c r="AF60" s="856"/>
      <c r="AG60" s="856"/>
      <c r="AH60" s="856"/>
      <c r="AI60" s="856"/>
      <c r="AJ60" s="856"/>
      <c r="AK60" s="856"/>
      <c r="AL60" s="856"/>
      <c r="AM60" s="856"/>
      <c r="AN60" s="856"/>
      <c r="AO60" s="856"/>
      <c r="AP60" s="856"/>
      <c r="AQ60" s="856"/>
      <c r="AR60" s="856"/>
      <c r="AS60" s="856"/>
      <c r="AT60" s="856"/>
      <c r="AU60" s="856"/>
      <c r="AV60" s="856"/>
      <c r="AW60" s="856"/>
      <c r="AX60" s="856"/>
      <c r="AY60" s="856"/>
      <c r="AZ60" s="856"/>
      <c r="BA60" s="856"/>
      <c r="BB60" s="856"/>
      <c r="BC60" s="856"/>
      <c r="BD60" s="856"/>
      <c r="BE60" s="856"/>
      <c r="BF60" s="856"/>
      <c r="BG60" s="857"/>
      <c r="BH60" s="773"/>
      <c r="BI60" s="68"/>
      <c r="BJ60" s="518">
        <f t="shared" si="18"/>
        <v>0</v>
      </c>
      <c r="BK60" s="517">
        <f t="shared" si="19"/>
        <v>0</v>
      </c>
      <c r="BL60" s="68"/>
      <c r="BM60" s="515">
        <f>SUMIFS(Imput[[Importe Neto]:[Importe Neto]],Imput[[C. Imp.]:[C. Imp.]],$D60,Imput[[PERIODO Imp.]:[PERIODO Imp.]],BM$9)</f>
        <v>0</v>
      </c>
      <c r="BN60" s="516">
        <f>SUMIFS(Imput[[Importe Neto]:[Importe Neto]],Imput[[C. Imp.]:[C. Imp.]],$D60,Imput[[PERIODO Imp.]:[PERIODO Imp.]],BN$9)</f>
        <v>0</v>
      </c>
      <c r="BO60" s="516">
        <f>SUMIFS(Imput[[Importe Neto]:[Importe Neto]],Imput[[C. Imp.]:[C. Imp.]],$D60,Imput[[PERIODO Imp.]:[PERIODO Imp.]],BO$9)</f>
        <v>0</v>
      </c>
      <c r="BP60" s="516">
        <f>SUMIFS(Imput[[Importe Neto]:[Importe Neto]],Imput[[C. Imp.]:[C. Imp.]],$D60,Imput[[PERIODO Imp.]:[PERIODO Imp.]],BP$9)</f>
        <v>0</v>
      </c>
      <c r="BQ60" s="516">
        <f>SUMIFS(Imput[[Importe Neto]:[Importe Neto]],Imput[[C. Imp.]:[C. Imp.]],$D60,Imput[[PERIODO Imp.]:[PERIODO Imp.]],BQ$9)</f>
        <v>0</v>
      </c>
      <c r="BR60" s="516">
        <f>SUMIFS(Imput[[Importe Neto]:[Importe Neto]],Imput[[C. Imp.]:[C. Imp.]],$D60,Imput[[PERIODO Imp.]:[PERIODO Imp.]],BR$9)</f>
        <v>0</v>
      </c>
      <c r="BS60" s="516">
        <f>SUMIFS(Imput[[Importe Neto]:[Importe Neto]],Imput[[C. Imp.]:[C. Imp.]],$D60,Imput[[PERIODO Imp.]:[PERIODO Imp.]],BS$9)</f>
        <v>0</v>
      </c>
      <c r="BT60" s="516">
        <f>SUMIFS(Imput[[Importe Neto]:[Importe Neto]],Imput[[C. Imp.]:[C. Imp.]],$D60,Imput[[PERIODO Imp.]:[PERIODO Imp.]],BT$9)</f>
        <v>0</v>
      </c>
      <c r="BU60" s="516">
        <f>SUMIFS(Imput[[Importe Neto]:[Importe Neto]],Imput[[C. Imp.]:[C. Imp.]],$D60,Imput[[PERIODO Imp.]:[PERIODO Imp.]],BU$9)</f>
        <v>0</v>
      </c>
      <c r="BV60" s="516">
        <f>SUMIFS(Imput[[Importe Neto]:[Importe Neto]],Imput[[C. Imp.]:[C. Imp.]],$D60,Imput[[PERIODO Imp.]:[PERIODO Imp.]],BV$9)</f>
        <v>0</v>
      </c>
      <c r="BW60" s="516">
        <f>SUMIFS(Imput[[Importe Neto]:[Importe Neto]],Imput[[C. Imp.]:[C. Imp.]],$D60,Imput[[PERIODO Imp.]:[PERIODO Imp.]],BW$9)</f>
        <v>0</v>
      </c>
      <c r="BX60" s="516">
        <f>SUMIFS(Imput[[Importe Neto]:[Importe Neto]],Imput[[C. Imp.]:[C. Imp.]],$D60,Imput[[PERIODO Imp.]:[PERIODO Imp.]],BX$9)</f>
        <v>0</v>
      </c>
      <c r="BY60" s="516">
        <f>SUMIFS(Imput[[Importe Neto]:[Importe Neto]],Imput[[C. Imp.]:[C. Imp.]],$D60,Imput[[PERIODO Imp.]:[PERIODO Imp.]],BY$9)</f>
        <v>0</v>
      </c>
      <c r="BZ60" s="516">
        <f>SUMIFS(Imput[[Importe Neto]:[Importe Neto]],Imput[[C. Imp.]:[C. Imp.]],$D60,Imput[[PERIODO Imp.]:[PERIODO Imp.]],BZ$9)</f>
        <v>0</v>
      </c>
      <c r="CA60" s="516">
        <f>SUMIFS(Imput[[Importe Neto]:[Importe Neto]],Imput[[C. Imp.]:[C. Imp.]],$D60,Imput[[PERIODO Imp.]:[PERIODO Imp.]],CA$9)</f>
        <v>0</v>
      </c>
      <c r="CB60" s="516">
        <f>SUMIFS(Imput[[Importe Neto]:[Importe Neto]],Imput[[C. Imp.]:[C. Imp.]],$D60,Imput[[PERIODO Imp.]:[PERIODO Imp.]],CB$9)</f>
        <v>0</v>
      </c>
      <c r="CC60" s="516">
        <f>SUMIFS(Imput[[Importe Neto]:[Importe Neto]],Imput[[C. Imp.]:[C. Imp.]],$D60,Imput[[PERIODO Imp.]:[PERIODO Imp.]],CC$9)</f>
        <v>0</v>
      </c>
      <c r="CD60" s="516">
        <f>SUMIFS(Imput[[Importe Neto]:[Importe Neto]],Imput[[C. Imp.]:[C. Imp.]],$D60,Imput[[PERIODO Imp.]:[PERIODO Imp.]],CD$9)</f>
        <v>0</v>
      </c>
      <c r="CE60" s="516">
        <f>SUMIFS(Imput[[Importe Neto]:[Importe Neto]],Imput[[C. Imp.]:[C. Imp.]],$D60,Imput[[PERIODO Imp.]:[PERIODO Imp.]],CE$9)</f>
        <v>0</v>
      </c>
      <c r="CF60" s="516">
        <f>SUMIFS(Imput[[Importe Neto]:[Importe Neto]],Imput[[C. Imp.]:[C. Imp.]],$D60,Imput[[PERIODO Imp.]:[PERIODO Imp.]],CF$9)</f>
        <v>0</v>
      </c>
      <c r="CG60" s="516">
        <f>SUMIFS(Imput[[Importe Neto]:[Importe Neto]],Imput[[C. Imp.]:[C. Imp.]],$D60,Imput[[PERIODO Imp.]:[PERIODO Imp.]],CG$9)</f>
        <v>0</v>
      </c>
      <c r="CH60" s="516">
        <f>SUMIFS(Imput[[Importe Neto]:[Importe Neto]],Imput[[C. Imp.]:[C. Imp.]],$D60,Imput[[PERIODO Imp.]:[PERIODO Imp.]],CH$9)</f>
        <v>0</v>
      </c>
      <c r="CI60" s="516">
        <f>SUMIFS(Imput[[Importe Neto]:[Importe Neto]],Imput[[C. Imp.]:[C. Imp.]],$D60,Imput[[PERIODO Imp.]:[PERIODO Imp.]],CI$9)</f>
        <v>0</v>
      </c>
      <c r="CJ60" s="516">
        <f>SUMIFS(Imput[[Importe Neto]:[Importe Neto]],Imput[[C. Imp.]:[C. Imp.]],$D60,Imput[[PERIODO Imp.]:[PERIODO Imp.]],CJ$9)</f>
        <v>0</v>
      </c>
      <c r="CK60" s="516">
        <f>SUMIFS(Imput[[Importe Neto]:[Importe Neto]],Imput[[C. Imp.]:[C. Imp.]],$D60,Imput[[PERIODO Imp.]:[PERIODO Imp.]],CK$9)</f>
        <v>0</v>
      </c>
      <c r="CL60" s="516">
        <f>SUMIFS(Imput[[Importe Neto]:[Importe Neto]],Imput[[C. Imp.]:[C. Imp.]],$D60,Imput[[PERIODO Imp.]:[PERIODO Imp.]],CL$9)</f>
        <v>0</v>
      </c>
      <c r="CM60" s="516">
        <f>SUMIFS(Imput[[Importe Neto]:[Importe Neto]],Imput[[C. Imp.]:[C. Imp.]],$D60,Imput[[PERIODO Imp.]:[PERIODO Imp.]],CM$9)</f>
        <v>0</v>
      </c>
      <c r="CN60" s="516">
        <f>SUMIFS(Imput[[Importe Neto]:[Importe Neto]],Imput[[C. Imp.]:[C. Imp.]],$D60,Imput[[PERIODO Imp.]:[PERIODO Imp.]],CN$9)</f>
        <v>0</v>
      </c>
      <c r="CO60" s="516">
        <f>SUMIFS(Imput[[Importe Neto]:[Importe Neto]],Imput[[C. Imp.]:[C. Imp.]],$D60,Imput[[PERIODO Imp.]:[PERIODO Imp.]],CO$9)</f>
        <v>0</v>
      </c>
      <c r="CP60" s="516">
        <f>SUMIFS(Imput[[Importe Neto]:[Importe Neto]],Imput[[C. Imp.]:[C. Imp.]],$D60,Imput[[PERIODO Imp.]:[PERIODO Imp.]],CP$9)</f>
        <v>0</v>
      </c>
      <c r="CQ60" s="516">
        <f>SUMIFS(Imput[[Importe Neto]:[Importe Neto]],Imput[[C. Imp.]:[C. Imp.]],$D60,Imput[[PERIODO Imp.]:[PERIODO Imp.]],CQ$9)</f>
        <v>0</v>
      </c>
      <c r="CR60" s="516">
        <f>SUMIFS(Imput[[Importe Neto]:[Importe Neto]],Imput[[C. Imp.]:[C. Imp.]],$D60,Imput[[PERIODO Imp.]:[PERIODO Imp.]],CR$9)</f>
        <v>0</v>
      </c>
      <c r="CS60" s="516">
        <f>SUMIFS(Imput[[Importe Neto]:[Importe Neto]],Imput[[C. Imp.]:[C. Imp.]],$D60,Imput[[PERIODO Imp.]:[PERIODO Imp.]],CS$9)</f>
        <v>0</v>
      </c>
      <c r="CT60" s="516">
        <f>SUMIFS(Imput[[Importe Neto]:[Importe Neto]],Imput[[C. Imp.]:[C. Imp.]],$D60,Imput[[PERIODO Imp.]:[PERIODO Imp.]],CT$9)</f>
        <v>0</v>
      </c>
      <c r="CU60" s="516">
        <f>SUMIFS(Imput[[Importe Neto]:[Importe Neto]],Imput[[C. Imp.]:[C. Imp.]],$D60,Imput[[PERIODO Imp.]:[PERIODO Imp.]],CU$9)</f>
        <v>0</v>
      </c>
      <c r="CV60" s="516">
        <f>SUMIFS(Imput[[Importe Neto]:[Importe Neto]],Imput[[C. Imp.]:[C. Imp.]],$D60,Imput[[PERIODO Imp.]:[PERIODO Imp.]],CV$9)</f>
        <v>0</v>
      </c>
      <c r="CW60" s="516">
        <f>SUMIFS(Imput[[Importe Neto]:[Importe Neto]],Imput[[C. Imp.]:[C. Imp.]],$D60,Imput[[PERIODO Imp.]:[PERIODO Imp.]],CW$9)</f>
        <v>0</v>
      </c>
      <c r="CX60" s="516">
        <f>SUMIFS(Imput[[Importe Neto]:[Importe Neto]],Imput[[C. Imp.]:[C. Imp.]],$D60,Imput[[PERIODO Imp.]:[PERIODO Imp.]],CX$9)</f>
        <v>0</v>
      </c>
      <c r="CY60" s="516">
        <f>SUMIFS(Imput[[Importe Neto]:[Importe Neto]],Imput[[C. Imp.]:[C. Imp.]],$D60,Imput[[PERIODO Imp.]:[PERIODO Imp.]],CY$9)</f>
        <v>0</v>
      </c>
      <c r="CZ60" s="516">
        <f>SUMIFS(Imput[[Importe Neto]:[Importe Neto]],Imput[[C. Imp.]:[C. Imp.]],$D60,Imput[[PERIODO Imp.]:[PERIODO Imp.]],CZ$9)</f>
        <v>0</v>
      </c>
      <c r="DA60" s="516">
        <f>SUMIFS(Imput[[Importe Neto]:[Importe Neto]],Imput[[C. Imp.]:[C. Imp.]],$D60,Imput[[PERIODO Imp.]:[PERIODO Imp.]],DA$9)</f>
        <v>0</v>
      </c>
      <c r="DB60" s="516">
        <f>SUMIFS(Imput[[Importe Neto]:[Importe Neto]],Imput[[C. Imp.]:[C. Imp.]],$D60,Imput[[PERIODO Imp.]:[PERIODO Imp.]],DB$9)</f>
        <v>0</v>
      </c>
      <c r="DC60" s="516">
        <f>SUMIFS(Imput[[Importe Neto]:[Importe Neto]],Imput[[C. Imp.]:[C. Imp.]],$D60,Imput[[PERIODO Imp.]:[PERIODO Imp.]],DC$9)</f>
        <v>0</v>
      </c>
      <c r="DD60" s="516">
        <f>SUMIFS(Imput[[Importe Neto]:[Importe Neto]],Imput[[C. Imp.]:[C. Imp.]],$D60,Imput[[PERIODO Imp.]:[PERIODO Imp.]],DD$9)</f>
        <v>0</v>
      </c>
      <c r="DE60" s="516">
        <f>SUMIFS(Imput[[Importe Neto]:[Importe Neto]],Imput[[C. Imp.]:[C. Imp.]],$D60,Imput[[PERIODO Imp.]:[PERIODO Imp.]],DE$9)</f>
        <v>0</v>
      </c>
      <c r="DF60" s="516">
        <f>SUMIFS(Imput[[Importe Neto]:[Importe Neto]],Imput[[C. Imp.]:[C. Imp.]],$D60,Imput[[PERIODO Imp.]:[PERIODO Imp.]],DF$9)</f>
        <v>0</v>
      </c>
      <c r="DG60" s="516">
        <f>SUMIFS(Imput[[Importe Neto]:[Importe Neto]],Imput[[C. Imp.]:[C. Imp.]],$D60,Imput[[PERIODO Imp.]:[PERIODO Imp.]],DG$9)</f>
        <v>0</v>
      </c>
      <c r="DH60" s="616">
        <f>SUMIFS(Imput[[Importe Neto]:[Importe Neto]],Imput[[C. Imp.]:[C. Imp.]],$D60,Imput[[PERIODO Imp.]:[PERIODO Imp.]],DH$9)</f>
        <v>0</v>
      </c>
    </row>
    <row r="61" spans="1:112" hidden="1" outlineLevel="1" x14ac:dyDescent="0.3">
      <c r="A61" s="66" t="str">
        <f t="shared" si="15"/>
        <v/>
      </c>
      <c r="C61" s="527"/>
      <c r="D61" s="528" t="s">
        <v>2170</v>
      </c>
      <c r="E61" s="528"/>
      <c r="F61" s="534"/>
      <c r="G61" s="529"/>
      <c r="H61" s="531"/>
      <c r="I61" s="849" t="str">
        <f t="shared" si="16"/>
        <v/>
      </c>
      <c r="J61" s="850" t="str">
        <f t="shared" si="17"/>
        <v/>
      </c>
      <c r="K61" s="111"/>
      <c r="L61" s="853"/>
      <c r="M61" s="855"/>
      <c r="N61" s="855"/>
      <c r="O61" s="855"/>
      <c r="P61" s="855"/>
      <c r="Q61" s="855"/>
      <c r="R61" s="855"/>
      <c r="S61" s="855"/>
      <c r="T61" s="855"/>
      <c r="U61" s="855"/>
      <c r="V61" s="855"/>
      <c r="W61" s="855"/>
      <c r="X61" s="855"/>
      <c r="Y61" s="855"/>
      <c r="Z61" s="856"/>
      <c r="AA61" s="856"/>
      <c r="AB61" s="856"/>
      <c r="AC61" s="856"/>
      <c r="AD61" s="856"/>
      <c r="AE61" s="856"/>
      <c r="AF61" s="856"/>
      <c r="AG61" s="856"/>
      <c r="AH61" s="856"/>
      <c r="AI61" s="856"/>
      <c r="AJ61" s="856"/>
      <c r="AK61" s="856"/>
      <c r="AL61" s="856"/>
      <c r="AM61" s="856"/>
      <c r="AN61" s="856"/>
      <c r="AO61" s="856"/>
      <c r="AP61" s="856"/>
      <c r="AQ61" s="856"/>
      <c r="AR61" s="856"/>
      <c r="AS61" s="856"/>
      <c r="AT61" s="856"/>
      <c r="AU61" s="856"/>
      <c r="AV61" s="856"/>
      <c r="AW61" s="856"/>
      <c r="AX61" s="856"/>
      <c r="AY61" s="856"/>
      <c r="AZ61" s="856"/>
      <c r="BA61" s="856"/>
      <c r="BB61" s="856"/>
      <c r="BC61" s="856"/>
      <c r="BD61" s="856"/>
      <c r="BE61" s="856"/>
      <c r="BF61" s="856"/>
      <c r="BG61" s="857"/>
      <c r="BH61" s="590"/>
      <c r="BI61" s="68"/>
      <c r="BJ61" s="518">
        <f t="shared" si="18"/>
        <v>0</v>
      </c>
      <c r="BK61" s="517">
        <f t="shared" si="19"/>
        <v>0</v>
      </c>
      <c r="BL61" s="68"/>
      <c r="BM61" s="515">
        <f>SUMIFS(Imput[[Importe Neto]:[Importe Neto]],Imput[[C. Imp.]:[C. Imp.]],$D61,Imput[[PERIODO Imp.]:[PERIODO Imp.]],BM$9)</f>
        <v>0</v>
      </c>
      <c r="BN61" s="516">
        <f>SUMIFS(Imput[[Importe Neto]:[Importe Neto]],Imput[[C. Imp.]:[C. Imp.]],$D61,Imput[[PERIODO Imp.]:[PERIODO Imp.]],BN$9)</f>
        <v>0</v>
      </c>
      <c r="BO61" s="516">
        <f>SUMIFS(Imput[[Importe Neto]:[Importe Neto]],Imput[[C. Imp.]:[C. Imp.]],$D61,Imput[[PERIODO Imp.]:[PERIODO Imp.]],BO$9)</f>
        <v>0</v>
      </c>
      <c r="BP61" s="516">
        <f>SUMIFS(Imput[[Importe Neto]:[Importe Neto]],Imput[[C. Imp.]:[C. Imp.]],$D61,Imput[[PERIODO Imp.]:[PERIODO Imp.]],BP$9)</f>
        <v>0</v>
      </c>
      <c r="BQ61" s="516">
        <f>SUMIFS(Imput[[Importe Neto]:[Importe Neto]],Imput[[C. Imp.]:[C. Imp.]],$D61,Imput[[PERIODO Imp.]:[PERIODO Imp.]],BQ$9)</f>
        <v>0</v>
      </c>
      <c r="BR61" s="516">
        <f>SUMIFS(Imput[[Importe Neto]:[Importe Neto]],Imput[[C. Imp.]:[C. Imp.]],$D61,Imput[[PERIODO Imp.]:[PERIODO Imp.]],BR$9)</f>
        <v>0</v>
      </c>
      <c r="BS61" s="516">
        <f>SUMIFS(Imput[[Importe Neto]:[Importe Neto]],Imput[[C. Imp.]:[C. Imp.]],$D61,Imput[[PERIODO Imp.]:[PERIODO Imp.]],BS$9)</f>
        <v>0</v>
      </c>
      <c r="BT61" s="516">
        <f>SUMIFS(Imput[[Importe Neto]:[Importe Neto]],Imput[[C. Imp.]:[C. Imp.]],$D61,Imput[[PERIODO Imp.]:[PERIODO Imp.]],BT$9)</f>
        <v>0</v>
      </c>
      <c r="BU61" s="516">
        <f>SUMIFS(Imput[[Importe Neto]:[Importe Neto]],Imput[[C. Imp.]:[C. Imp.]],$D61,Imput[[PERIODO Imp.]:[PERIODO Imp.]],BU$9)</f>
        <v>0</v>
      </c>
      <c r="BV61" s="516">
        <f>SUMIFS(Imput[[Importe Neto]:[Importe Neto]],Imput[[C. Imp.]:[C. Imp.]],$D61,Imput[[PERIODO Imp.]:[PERIODO Imp.]],BV$9)</f>
        <v>0</v>
      </c>
      <c r="BW61" s="516">
        <f>SUMIFS(Imput[[Importe Neto]:[Importe Neto]],Imput[[C. Imp.]:[C. Imp.]],$D61,Imput[[PERIODO Imp.]:[PERIODO Imp.]],BW$9)</f>
        <v>0</v>
      </c>
      <c r="BX61" s="516">
        <f>SUMIFS(Imput[[Importe Neto]:[Importe Neto]],Imput[[C. Imp.]:[C. Imp.]],$D61,Imput[[PERIODO Imp.]:[PERIODO Imp.]],BX$9)</f>
        <v>0</v>
      </c>
      <c r="BY61" s="516">
        <f>SUMIFS(Imput[[Importe Neto]:[Importe Neto]],Imput[[C. Imp.]:[C. Imp.]],$D61,Imput[[PERIODO Imp.]:[PERIODO Imp.]],BY$9)</f>
        <v>0</v>
      </c>
      <c r="BZ61" s="516">
        <f>SUMIFS(Imput[[Importe Neto]:[Importe Neto]],Imput[[C. Imp.]:[C. Imp.]],$D61,Imput[[PERIODO Imp.]:[PERIODO Imp.]],BZ$9)</f>
        <v>0</v>
      </c>
      <c r="CA61" s="516">
        <f>SUMIFS(Imput[[Importe Neto]:[Importe Neto]],Imput[[C. Imp.]:[C. Imp.]],$D61,Imput[[PERIODO Imp.]:[PERIODO Imp.]],CA$9)</f>
        <v>0</v>
      </c>
      <c r="CB61" s="516">
        <f>SUMIFS(Imput[[Importe Neto]:[Importe Neto]],Imput[[C. Imp.]:[C. Imp.]],$D61,Imput[[PERIODO Imp.]:[PERIODO Imp.]],CB$9)</f>
        <v>0</v>
      </c>
      <c r="CC61" s="516">
        <f>SUMIFS(Imput[[Importe Neto]:[Importe Neto]],Imput[[C. Imp.]:[C. Imp.]],$D61,Imput[[PERIODO Imp.]:[PERIODO Imp.]],CC$9)</f>
        <v>0</v>
      </c>
      <c r="CD61" s="516">
        <f>SUMIFS(Imput[[Importe Neto]:[Importe Neto]],Imput[[C. Imp.]:[C. Imp.]],$D61,Imput[[PERIODO Imp.]:[PERIODO Imp.]],CD$9)</f>
        <v>0</v>
      </c>
      <c r="CE61" s="516">
        <f>SUMIFS(Imput[[Importe Neto]:[Importe Neto]],Imput[[C. Imp.]:[C. Imp.]],$D61,Imput[[PERIODO Imp.]:[PERIODO Imp.]],CE$9)</f>
        <v>0</v>
      </c>
      <c r="CF61" s="516">
        <f>SUMIFS(Imput[[Importe Neto]:[Importe Neto]],Imput[[C. Imp.]:[C. Imp.]],$D61,Imput[[PERIODO Imp.]:[PERIODO Imp.]],CF$9)</f>
        <v>0</v>
      </c>
      <c r="CG61" s="516">
        <f>SUMIFS(Imput[[Importe Neto]:[Importe Neto]],Imput[[C. Imp.]:[C. Imp.]],$D61,Imput[[PERIODO Imp.]:[PERIODO Imp.]],CG$9)</f>
        <v>0</v>
      </c>
      <c r="CH61" s="516">
        <f>SUMIFS(Imput[[Importe Neto]:[Importe Neto]],Imput[[C. Imp.]:[C. Imp.]],$D61,Imput[[PERIODO Imp.]:[PERIODO Imp.]],CH$9)</f>
        <v>0</v>
      </c>
      <c r="CI61" s="516">
        <f>SUMIFS(Imput[[Importe Neto]:[Importe Neto]],Imput[[C. Imp.]:[C. Imp.]],$D61,Imput[[PERIODO Imp.]:[PERIODO Imp.]],CI$9)</f>
        <v>0</v>
      </c>
      <c r="CJ61" s="516">
        <f>SUMIFS(Imput[[Importe Neto]:[Importe Neto]],Imput[[C. Imp.]:[C. Imp.]],$D61,Imput[[PERIODO Imp.]:[PERIODO Imp.]],CJ$9)</f>
        <v>0</v>
      </c>
      <c r="CK61" s="516">
        <f>SUMIFS(Imput[[Importe Neto]:[Importe Neto]],Imput[[C. Imp.]:[C. Imp.]],$D61,Imput[[PERIODO Imp.]:[PERIODO Imp.]],CK$9)</f>
        <v>0</v>
      </c>
      <c r="CL61" s="516">
        <f>SUMIFS(Imput[[Importe Neto]:[Importe Neto]],Imput[[C. Imp.]:[C. Imp.]],$D61,Imput[[PERIODO Imp.]:[PERIODO Imp.]],CL$9)</f>
        <v>0</v>
      </c>
      <c r="CM61" s="516">
        <f>SUMIFS(Imput[[Importe Neto]:[Importe Neto]],Imput[[C. Imp.]:[C. Imp.]],$D61,Imput[[PERIODO Imp.]:[PERIODO Imp.]],CM$9)</f>
        <v>0</v>
      </c>
      <c r="CN61" s="516">
        <f>SUMIFS(Imput[[Importe Neto]:[Importe Neto]],Imput[[C. Imp.]:[C. Imp.]],$D61,Imput[[PERIODO Imp.]:[PERIODO Imp.]],CN$9)</f>
        <v>0</v>
      </c>
      <c r="CO61" s="516">
        <f>SUMIFS(Imput[[Importe Neto]:[Importe Neto]],Imput[[C. Imp.]:[C. Imp.]],$D61,Imput[[PERIODO Imp.]:[PERIODO Imp.]],CO$9)</f>
        <v>0</v>
      </c>
      <c r="CP61" s="516">
        <f>SUMIFS(Imput[[Importe Neto]:[Importe Neto]],Imput[[C. Imp.]:[C. Imp.]],$D61,Imput[[PERIODO Imp.]:[PERIODO Imp.]],CP$9)</f>
        <v>0</v>
      </c>
      <c r="CQ61" s="516">
        <f>SUMIFS(Imput[[Importe Neto]:[Importe Neto]],Imput[[C. Imp.]:[C. Imp.]],$D61,Imput[[PERIODO Imp.]:[PERIODO Imp.]],CQ$9)</f>
        <v>0</v>
      </c>
      <c r="CR61" s="516">
        <f>SUMIFS(Imput[[Importe Neto]:[Importe Neto]],Imput[[C. Imp.]:[C. Imp.]],$D61,Imput[[PERIODO Imp.]:[PERIODO Imp.]],CR$9)</f>
        <v>0</v>
      </c>
      <c r="CS61" s="516">
        <f>SUMIFS(Imput[[Importe Neto]:[Importe Neto]],Imput[[C. Imp.]:[C. Imp.]],$D61,Imput[[PERIODO Imp.]:[PERIODO Imp.]],CS$9)</f>
        <v>0</v>
      </c>
      <c r="CT61" s="516">
        <f>SUMIFS(Imput[[Importe Neto]:[Importe Neto]],Imput[[C. Imp.]:[C. Imp.]],$D61,Imput[[PERIODO Imp.]:[PERIODO Imp.]],CT$9)</f>
        <v>0</v>
      </c>
      <c r="CU61" s="516">
        <f>SUMIFS(Imput[[Importe Neto]:[Importe Neto]],Imput[[C. Imp.]:[C. Imp.]],$D61,Imput[[PERIODO Imp.]:[PERIODO Imp.]],CU$9)</f>
        <v>0</v>
      </c>
      <c r="CV61" s="516">
        <f>SUMIFS(Imput[[Importe Neto]:[Importe Neto]],Imput[[C. Imp.]:[C. Imp.]],$D61,Imput[[PERIODO Imp.]:[PERIODO Imp.]],CV$9)</f>
        <v>0</v>
      </c>
      <c r="CW61" s="516">
        <f>SUMIFS(Imput[[Importe Neto]:[Importe Neto]],Imput[[C. Imp.]:[C. Imp.]],$D61,Imput[[PERIODO Imp.]:[PERIODO Imp.]],CW$9)</f>
        <v>0</v>
      </c>
      <c r="CX61" s="516">
        <f>SUMIFS(Imput[[Importe Neto]:[Importe Neto]],Imput[[C. Imp.]:[C. Imp.]],$D61,Imput[[PERIODO Imp.]:[PERIODO Imp.]],CX$9)</f>
        <v>0</v>
      </c>
      <c r="CY61" s="516">
        <f>SUMIFS(Imput[[Importe Neto]:[Importe Neto]],Imput[[C. Imp.]:[C. Imp.]],$D61,Imput[[PERIODO Imp.]:[PERIODO Imp.]],CY$9)</f>
        <v>0</v>
      </c>
      <c r="CZ61" s="516">
        <f>SUMIFS(Imput[[Importe Neto]:[Importe Neto]],Imput[[C. Imp.]:[C. Imp.]],$D61,Imput[[PERIODO Imp.]:[PERIODO Imp.]],CZ$9)</f>
        <v>0</v>
      </c>
      <c r="DA61" s="516">
        <f>SUMIFS(Imput[[Importe Neto]:[Importe Neto]],Imput[[C. Imp.]:[C. Imp.]],$D61,Imput[[PERIODO Imp.]:[PERIODO Imp.]],DA$9)</f>
        <v>0</v>
      </c>
      <c r="DB61" s="516">
        <f>SUMIFS(Imput[[Importe Neto]:[Importe Neto]],Imput[[C. Imp.]:[C. Imp.]],$D61,Imput[[PERIODO Imp.]:[PERIODO Imp.]],DB$9)</f>
        <v>0</v>
      </c>
      <c r="DC61" s="516">
        <f>SUMIFS(Imput[[Importe Neto]:[Importe Neto]],Imput[[C. Imp.]:[C. Imp.]],$D61,Imput[[PERIODO Imp.]:[PERIODO Imp.]],DC$9)</f>
        <v>0</v>
      </c>
      <c r="DD61" s="516">
        <f>SUMIFS(Imput[[Importe Neto]:[Importe Neto]],Imput[[C. Imp.]:[C. Imp.]],$D61,Imput[[PERIODO Imp.]:[PERIODO Imp.]],DD$9)</f>
        <v>0</v>
      </c>
      <c r="DE61" s="516">
        <f>SUMIFS(Imput[[Importe Neto]:[Importe Neto]],Imput[[C. Imp.]:[C. Imp.]],$D61,Imput[[PERIODO Imp.]:[PERIODO Imp.]],DE$9)</f>
        <v>0</v>
      </c>
      <c r="DF61" s="516">
        <f>SUMIFS(Imput[[Importe Neto]:[Importe Neto]],Imput[[C. Imp.]:[C. Imp.]],$D61,Imput[[PERIODO Imp.]:[PERIODO Imp.]],DF$9)</f>
        <v>0</v>
      </c>
      <c r="DG61" s="516">
        <f>SUMIFS(Imput[[Importe Neto]:[Importe Neto]],Imput[[C. Imp.]:[C. Imp.]],$D61,Imput[[PERIODO Imp.]:[PERIODO Imp.]],DG$9)</f>
        <v>0</v>
      </c>
      <c r="DH61" s="616">
        <f>SUMIFS(Imput[[Importe Neto]:[Importe Neto]],Imput[[C. Imp.]:[C. Imp.]],$D61,Imput[[PERIODO Imp.]:[PERIODO Imp.]],DH$9)</f>
        <v>0</v>
      </c>
    </row>
    <row r="62" spans="1:112" hidden="1" outlineLevel="1" x14ac:dyDescent="0.3">
      <c r="A62" s="66" t="str">
        <f t="shared" si="15"/>
        <v/>
      </c>
      <c r="C62" s="527"/>
      <c r="D62" s="528" t="s">
        <v>2171</v>
      </c>
      <c r="E62" s="528"/>
      <c r="F62" s="534"/>
      <c r="G62" s="529"/>
      <c r="H62" s="531"/>
      <c r="I62" s="849" t="str">
        <f t="shared" si="16"/>
        <v/>
      </c>
      <c r="J62" s="850" t="str">
        <f t="shared" si="17"/>
        <v/>
      </c>
      <c r="K62" s="70"/>
      <c r="L62" s="853"/>
      <c r="M62" s="855"/>
      <c r="N62" s="855"/>
      <c r="O62" s="855"/>
      <c r="P62" s="855"/>
      <c r="Q62" s="855"/>
      <c r="R62" s="855"/>
      <c r="S62" s="855"/>
      <c r="T62" s="855"/>
      <c r="U62" s="855"/>
      <c r="V62" s="855"/>
      <c r="W62" s="855"/>
      <c r="X62" s="855"/>
      <c r="Y62" s="855"/>
      <c r="Z62" s="856"/>
      <c r="AA62" s="856"/>
      <c r="AB62" s="856"/>
      <c r="AC62" s="856"/>
      <c r="AD62" s="856"/>
      <c r="AE62" s="856"/>
      <c r="AF62" s="856"/>
      <c r="AG62" s="856"/>
      <c r="AH62" s="856"/>
      <c r="AI62" s="856"/>
      <c r="AJ62" s="856"/>
      <c r="AK62" s="856"/>
      <c r="AL62" s="856"/>
      <c r="AM62" s="856"/>
      <c r="AN62" s="856"/>
      <c r="AO62" s="856"/>
      <c r="AP62" s="856"/>
      <c r="AQ62" s="856"/>
      <c r="AR62" s="856"/>
      <c r="AS62" s="856"/>
      <c r="AT62" s="856"/>
      <c r="AU62" s="856"/>
      <c r="AV62" s="856"/>
      <c r="AW62" s="856"/>
      <c r="AX62" s="856"/>
      <c r="AY62" s="856"/>
      <c r="AZ62" s="856"/>
      <c r="BA62" s="856"/>
      <c r="BB62" s="856"/>
      <c r="BC62" s="856"/>
      <c r="BD62" s="856"/>
      <c r="BE62" s="856"/>
      <c r="BF62" s="856"/>
      <c r="BG62" s="857"/>
      <c r="BH62" s="590"/>
      <c r="BI62" s="70"/>
      <c r="BJ62" s="518">
        <f t="shared" si="18"/>
        <v>0</v>
      </c>
      <c r="BK62" s="517">
        <f t="shared" si="19"/>
        <v>0</v>
      </c>
      <c r="BL62" s="68"/>
      <c r="BM62" s="515">
        <f>SUMIFS(Imput[[Importe Neto]:[Importe Neto]],Imput[[C. Imp.]:[C. Imp.]],$D62,Imput[[PERIODO Imp.]:[PERIODO Imp.]],BM$9)</f>
        <v>0</v>
      </c>
      <c r="BN62" s="516">
        <f>SUMIFS(Imput[[Importe Neto]:[Importe Neto]],Imput[[C. Imp.]:[C. Imp.]],$D62,Imput[[PERIODO Imp.]:[PERIODO Imp.]],BN$9)</f>
        <v>0</v>
      </c>
      <c r="BO62" s="516">
        <f>SUMIFS(Imput[[Importe Neto]:[Importe Neto]],Imput[[C. Imp.]:[C. Imp.]],$D62,Imput[[PERIODO Imp.]:[PERIODO Imp.]],BO$9)</f>
        <v>0</v>
      </c>
      <c r="BP62" s="516">
        <f>SUMIFS(Imput[[Importe Neto]:[Importe Neto]],Imput[[C. Imp.]:[C. Imp.]],$D62,Imput[[PERIODO Imp.]:[PERIODO Imp.]],BP$9)</f>
        <v>0</v>
      </c>
      <c r="BQ62" s="516">
        <f>SUMIFS(Imput[[Importe Neto]:[Importe Neto]],Imput[[C. Imp.]:[C. Imp.]],$D62,Imput[[PERIODO Imp.]:[PERIODO Imp.]],BQ$9)</f>
        <v>0</v>
      </c>
      <c r="BR62" s="516">
        <f>SUMIFS(Imput[[Importe Neto]:[Importe Neto]],Imput[[C. Imp.]:[C. Imp.]],$D62,Imput[[PERIODO Imp.]:[PERIODO Imp.]],BR$9)</f>
        <v>0</v>
      </c>
      <c r="BS62" s="516">
        <f>SUMIFS(Imput[[Importe Neto]:[Importe Neto]],Imput[[C. Imp.]:[C. Imp.]],$D62,Imput[[PERIODO Imp.]:[PERIODO Imp.]],BS$9)</f>
        <v>0</v>
      </c>
      <c r="BT62" s="516">
        <f>SUMIFS(Imput[[Importe Neto]:[Importe Neto]],Imput[[C. Imp.]:[C. Imp.]],$D62,Imput[[PERIODO Imp.]:[PERIODO Imp.]],BT$9)</f>
        <v>0</v>
      </c>
      <c r="BU62" s="516">
        <f>SUMIFS(Imput[[Importe Neto]:[Importe Neto]],Imput[[C. Imp.]:[C. Imp.]],$D62,Imput[[PERIODO Imp.]:[PERIODO Imp.]],BU$9)</f>
        <v>0</v>
      </c>
      <c r="BV62" s="516">
        <f>SUMIFS(Imput[[Importe Neto]:[Importe Neto]],Imput[[C. Imp.]:[C. Imp.]],$D62,Imput[[PERIODO Imp.]:[PERIODO Imp.]],BV$9)</f>
        <v>0</v>
      </c>
      <c r="BW62" s="516">
        <f>SUMIFS(Imput[[Importe Neto]:[Importe Neto]],Imput[[C. Imp.]:[C. Imp.]],$D62,Imput[[PERIODO Imp.]:[PERIODO Imp.]],BW$9)</f>
        <v>0</v>
      </c>
      <c r="BX62" s="516">
        <f>SUMIFS(Imput[[Importe Neto]:[Importe Neto]],Imput[[C. Imp.]:[C. Imp.]],$D62,Imput[[PERIODO Imp.]:[PERIODO Imp.]],BX$9)</f>
        <v>0</v>
      </c>
      <c r="BY62" s="516">
        <f>SUMIFS(Imput[[Importe Neto]:[Importe Neto]],Imput[[C. Imp.]:[C. Imp.]],$D62,Imput[[PERIODO Imp.]:[PERIODO Imp.]],BY$9)</f>
        <v>0</v>
      </c>
      <c r="BZ62" s="516">
        <f>SUMIFS(Imput[[Importe Neto]:[Importe Neto]],Imput[[C. Imp.]:[C. Imp.]],$D62,Imput[[PERIODO Imp.]:[PERIODO Imp.]],BZ$9)</f>
        <v>0</v>
      </c>
      <c r="CA62" s="516">
        <f>SUMIFS(Imput[[Importe Neto]:[Importe Neto]],Imput[[C. Imp.]:[C. Imp.]],$D62,Imput[[PERIODO Imp.]:[PERIODO Imp.]],CA$9)</f>
        <v>0</v>
      </c>
      <c r="CB62" s="516">
        <f>SUMIFS(Imput[[Importe Neto]:[Importe Neto]],Imput[[C. Imp.]:[C. Imp.]],$D62,Imput[[PERIODO Imp.]:[PERIODO Imp.]],CB$9)</f>
        <v>0</v>
      </c>
      <c r="CC62" s="516">
        <f>SUMIFS(Imput[[Importe Neto]:[Importe Neto]],Imput[[C. Imp.]:[C. Imp.]],$D62,Imput[[PERIODO Imp.]:[PERIODO Imp.]],CC$9)</f>
        <v>0</v>
      </c>
      <c r="CD62" s="516">
        <f>SUMIFS(Imput[[Importe Neto]:[Importe Neto]],Imput[[C. Imp.]:[C. Imp.]],$D62,Imput[[PERIODO Imp.]:[PERIODO Imp.]],CD$9)</f>
        <v>0</v>
      </c>
      <c r="CE62" s="516">
        <f>SUMIFS(Imput[[Importe Neto]:[Importe Neto]],Imput[[C. Imp.]:[C. Imp.]],$D62,Imput[[PERIODO Imp.]:[PERIODO Imp.]],CE$9)</f>
        <v>0</v>
      </c>
      <c r="CF62" s="516">
        <f>SUMIFS(Imput[[Importe Neto]:[Importe Neto]],Imput[[C. Imp.]:[C. Imp.]],$D62,Imput[[PERIODO Imp.]:[PERIODO Imp.]],CF$9)</f>
        <v>0</v>
      </c>
      <c r="CG62" s="516">
        <f>SUMIFS(Imput[[Importe Neto]:[Importe Neto]],Imput[[C. Imp.]:[C. Imp.]],$D62,Imput[[PERIODO Imp.]:[PERIODO Imp.]],CG$9)</f>
        <v>0</v>
      </c>
      <c r="CH62" s="516">
        <f>SUMIFS(Imput[[Importe Neto]:[Importe Neto]],Imput[[C. Imp.]:[C. Imp.]],$D62,Imput[[PERIODO Imp.]:[PERIODO Imp.]],CH$9)</f>
        <v>0</v>
      </c>
      <c r="CI62" s="516">
        <f>SUMIFS(Imput[[Importe Neto]:[Importe Neto]],Imput[[C. Imp.]:[C. Imp.]],$D62,Imput[[PERIODO Imp.]:[PERIODO Imp.]],CI$9)</f>
        <v>0</v>
      </c>
      <c r="CJ62" s="516">
        <f>SUMIFS(Imput[[Importe Neto]:[Importe Neto]],Imput[[C. Imp.]:[C. Imp.]],$D62,Imput[[PERIODO Imp.]:[PERIODO Imp.]],CJ$9)</f>
        <v>0</v>
      </c>
      <c r="CK62" s="516">
        <f>SUMIFS(Imput[[Importe Neto]:[Importe Neto]],Imput[[C. Imp.]:[C. Imp.]],$D62,Imput[[PERIODO Imp.]:[PERIODO Imp.]],CK$9)</f>
        <v>0</v>
      </c>
      <c r="CL62" s="516">
        <f>SUMIFS(Imput[[Importe Neto]:[Importe Neto]],Imput[[C. Imp.]:[C. Imp.]],$D62,Imput[[PERIODO Imp.]:[PERIODO Imp.]],CL$9)</f>
        <v>0</v>
      </c>
      <c r="CM62" s="516">
        <f>SUMIFS(Imput[[Importe Neto]:[Importe Neto]],Imput[[C. Imp.]:[C. Imp.]],$D62,Imput[[PERIODO Imp.]:[PERIODO Imp.]],CM$9)</f>
        <v>0</v>
      </c>
      <c r="CN62" s="516">
        <f>SUMIFS(Imput[[Importe Neto]:[Importe Neto]],Imput[[C. Imp.]:[C. Imp.]],$D62,Imput[[PERIODO Imp.]:[PERIODO Imp.]],CN$9)</f>
        <v>0</v>
      </c>
      <c r="CO62" s="516">
        <f>SUMIFS(Imput[[Importe Neto]:[Importe Neto]],Imput[[C. Imp.]:[C. Imp.]],$D62,Imput[[PERIODO Imp.]:[PERIODO Imp.]],CO$9)</f>
        <v>0</v>
      </c>
      <c r="CP62" s="516">
        <f>SUMIFS(Imput[[Importe Neto]:[Importe Neto]],Imput[[C. Imp.]:[C. Imp.]],$D62,Imput[[PERIODO Imp.]:[PERIODO Imp.]],CP$9)</f>
        <v>0</v>
      </c>
      <c r="CQ62" s="516">
        <f>SUMIFS(Imput[[Importe Neto]:[Importe Neto]],Imput[[C. Imp.]:[C. Imp.]],$D62,Imput[[PERIODO Imp.]:[PERIODO Imp.]],CQ$9)</f>
        <v>0</v>
      </c>
      <c r="CR62" s="516">
        <f>SUMIFS(Imput[[Importe Neto]:[Importe Neto]],Imput[[C. Imp.]:[C. Imp.]],$D62,Imput[[PERIODO Imp.]:[PERIODO Imp.]],CR$9)</f>
        <v>0</v>
      </c>
      <c r="CS62" s="516">
        <f>SUMIFS(Imput[[Importe Neto]:[Importe Neto]],Imput[[C. Imp.]:[C. Imp.]],$D62,Imput[[PERIODO Imp.]:[PERIODO Imp.]],CS$9)</f>
        <v>0</v>
      </c>
      <c r="CT62" s="516">
        <f>SUMIFS(Imput[[Importe Neto]:[Importe Neto]],Imput[[C. Imp.]:[C. Imp.]],$D62,Imput[[PERIODO Imp.]:[PERIODO Imp.]],CT$9)</f>
        <v>0</v>
      </c>
      <c r="CU62" s="516">
        <f>SUMIFS(Imput[[Importe Neto]:[Importe Neto]],Imput[[C. Imp.]:[C. Imp.]],$D62,Imput[[PERIODO Imp.]:[PERIODO Imp.]],CU$9)</f>
        <v>0</v>
      </c>
      <c r="CV62" s="516">
        <f>SUMIFS(Imput[[Importe Neto]:[Importe Neto]],Imput[[C. Imp.]:[C. Imp.]],$D62,Imput[[PERIODO Imp.]:[PERIODO Imp.]],CV$9)</f>
        <v>0</v>
      </c>
      <c r="CW62" s="516">
        <f>SUMIFS(Imput[[Importe Neto]:[Importe Neto]],Imput[[C. Imp.]:[C. Imp.]],$D62,Imput[[PERIODO Imp.]:[PERIODO Imp.]],CW$9)</f>
        <v>0</v>
      </c>
      <c r="CX62" s="516">
        <f>SUMIFS(Imput[[Importe Neto]:[Importe Neto]],Imput[[C. Imp.]:[C. Imp.]],$D62,Imput[[PERIODO Imp.]:[PERIODO Imp.]],CX$9)</f>
        <v>0</v>
      </c>
      <c r="CY62" s="516">
        <f>SUMIFS(Imput[[Importe Neto]:[Importe Neto]],Imput[[C. Imp.]:[C. Imp.]],$D62,Imput[[PERIODO Imp.]:[PERIODO Imp.]],CY$9)</f>
        <v>0</v>
      </c>
      <c r="CZ62" s="516">
        <f>SUMIFS(Imput[[Importe Neto]:[Importe Neto]],Imput[[C. Imp.]:[C. Imp.]],$D62,Imput[[PERIODO Imp.]:[PERIODO Imp.]],CZ$9)</f>
        <v>0</v>
      </c>
      <c r="DA62" s="516">
        <f>SUMIFS(Imput[[Importe Neto]:[Importe Neto]],Imput[[C. Imp.]:[C. Imp.]],$D62,Imput[[PERIODO Imp.]:[PERIODO Imp.]],DA$9)</f>
        <v>0</v>
      </c>
      <c r="DB62" s="516">
        <f>SUMIFS(Imput[[Importe Neto]:[Importe Neto]],Imput[[C. Imp.]:[C. Imp.]],$D62,Imput[[PERIODO Imp.]:[PERIODO Imp.]],DB$9)</f>
        <v>0</v>
      </c>
      <c r="DC62" s="516">
        <f>SUMIFS(Imput[[Importe Neto]:[Importe Neto]],Imput[[C. Imp.]:[C. Imp.]],$D62,Imput[[PERIODO Imp.]:[PERIODO Imp.]],DC$9)</f>
        <v>0</v>
      </c>
      <c r="DD62" s="516">
        <f>SUMIFS(Imput[[Importe Neto]:[Importe Neto]],Imput[[C. Imp.]:[C. Imp.]],$D62,Imput[[PERIODO Imp.]:[PERIODO Imp.]],DD$9)</f>
        <v>0</v>
      </c>
      <c r="DE62" s="516">
        <f>SUMIFS(Imput[[Importe Neto]:[Importe Neto]],Imput[[C. Imp.]:[C. Imp.]],$D62,Imput[[PERIODO Imp.]:[PERIODO Imp.]],DE$9)</f>
        <v>0</v>
      </c>
      <c r="DF62" s="516">
        <f>SUMIFS(Imput[[Importe Neto]:[Importe Neto]],Imput[[C. Imp.]:[C. Imp.]],$D62,Imput[[PERIODO Imp.]:[PERIODO Imp.]],DF$9)</f>
        <v>0</v>
      </c>
      <c r="DG62" s="516">
        <f>SUMIFS(Imput[[Importe Neto]:[Importe Neto]],Imput[[C. Imp.]:[C. Imp.]],$D62,Imput[[PERIODO Imp.]:[PERIODO Imp.]],DG$9)</f>
        <v>0</v>
      </c>
      <c r="DH62" s="616">
        <f>SUMIFS(Imput[[Importe Neto]:[Importe Neto]],Imput[[C. Imp.]:[C. Imp.]],$D62,Imput[[PERIODO Imp.]:[PERIODO Imp.]],DH$9)</f>
        <v>0</v>
      </c>
    </row>
    <row r="63" spans="1:112" hidden="1" outlineLevel="1" x14ac:dyDescent="0.3">
      <c r="A63" s="66" t="str">
        <f t="shared" si="15"/>
        <v/>
      </c>
      <c r="C63" s="527"/>
      <c r="D63" s="528" t="s">
        <v>2172</v>
      </c>
      <c r="E63" s="528"/>
      <c r="F63" s="534"/>
      <c r="G63" s="529"/>
      <c r="H63" s="531"/>
      <c r="I63" s="849" t="str">
        <f t="shared" si="16"/>
        <v/>
      </c>
      <c r="J63" s="850" t="str">
        <f t="shared" si="17"/>
        <v/>
      </c>
      <c r="K63" s="70"/>
      <c r="L63" s="853"/>
      <c r="M63" s="855"/>
      <c r="N63" s="855"/>
      <c r="O63" s="855"/>
      <c r="P63" s="855"/>
      <c r="Q63" s="855"/>
      <c r="R63" s="855"/>
      <c r="S63" s="855"/>
      <c r="T63" s="855"/>
      <c r="U63" s="855"/>
      <c r="V63" s="855"/>
      <c r="W63" s="855"/>
      <c r="X63" s="855"/>
      <c r="Y63" s="855"/>
      <c r="Z63" s="856"/>
      <c r="AA63" s="856"/>
      <c r="AB63" s="856"/>
      <c r="AC63" s="856"/>
      <c r="AD63" s="856"/>
      <c r="AE63" s="856"/>
      <c r="AF63" s="856"/>
      <c r="AG63" s="856"/>
      <c r="AH63" s="856"/>
      <c r="AI63" s="856"/>
      <c r="AJ63" s="856"/>
      <c r="AK63" s="856"/>
      <c r="AL63" s="856"/>
      <c r="AM63" s="856"/>
      <c r="AN63" s="856"/>
      <c r="AO63" s="856"/>
      <c r="AP63" s="856"/>
      <c r="AQ63" s="856"/>
      <c r="AR63" s="856"/>
      <c r="AS63" s="856"/>
      <c r="AT63" s="856"/>
      <c r="AU63" s="856"/>
      <c r="AV63" s="856"/>
      <c r="AW63" s="856"/>
      <c r="AX63" s="856"/>
      <c r="AY63" s="856"/>
      <c r="AZ63" s="856"/>
      <c r="BA63" s="856"/>
      <c r="BB63" s="856"/>
      <c r="BC63" s="856"/>
      <c r="BD63" s="856"/>
      <c r="BE63" s="856"/>
      <c r="BF63" s="856"/>
      <c r="BG63" s="857"/>
      <c r="BH63" s="590"/>
      <c r="BI63" s="70"/>
      <c r="BJ63" s="518">
        <f t="shared" si="18"/>
        <v>0</v>
      </c>
      <c r="BK63" s="517">
        <f t="shared" si="19"/>
        <v>0</v>
      </c>
      <c r="BL63" s="68"/>
      <c r="BM63" s="515">
        <f>SUMIFS(Imput[[Importe Neto]:[Importe Neto]],Imput[[C. Imp.]:[C. Imp.]],$D63,Imput[[PERIODO Imp.]:[PERIODO Imp.]],BM$9)</f>
        <v>0</v>
      </c>
      <c r="BN63" s="516">
        <f>SUMIFS(Imput[[Importe Neto]:[Importe Neto]],Imput[[C. Imp.]:[C. Imp.]],$D63,Imput[[PERIODO Imp.]:[PERIODO Imp.]],BN$9)</f>
        <v>0</v>
      </c>
      <c r="BO63" s="516">
        <f>SUMIFS(Imput[[Importe Neto]:[Importe Neto]],Imput[[C. Imp.]:[C. Imp.]],$D63,Imput[[PERIODO Imp.]:[PERIODO Imp.]],BO$9)</f>
        <v>0</v>
      </c>
      <c r="BP63" s="516">
        <f>SUMIFS(Imput[[Importe Neto]:[Importe Neto]],Imput[[C. Imp.]:[C. Imp.]],$D63,Imput[[PERIODO Imp.]:[PERIODO Imp.]],BP$9)</f>
        <v>0</v>
      </c>
      <c r="BQ63" s="516">
        <f>SUMIFS(Imput[[Importe Neto]:[Importe Neto]],Imput[[C. Imp.]:[C. Imp.]],$D63,Imput[[PERIODO Imp.]:[PERIODO Imp.]],BQ$9)</f>
        <v>0</v>
      </c>
      <c r="BR63" s="516">
        <f>SUMIFS(Imput[[Importe Neto]:[Importe Neto]],Imput[[C. Imp.]:[C. Imp.]],$D63,Imput[[PERIODO Imp.]:[PERIODO Imp.]],BR$9)</f>
        <v>0</v>
      </c>
      <c r="BS63" s="516">
        <f>SUMIFS(Imput[[Importe Neto]:[Importe Neto]],Imput[[C. Imp.]:[C. Imp.]],$D63,Imput[[PERIODO Imp.]:[PERIODO Imp.]],BS$9)</f>
        <v>0</v>
      </c>
      <c r="BT63" s="516">
        <f>SUMIFS(Imput[[Importe Neto]:[Importe Neto]],Imput[[C. Imp.]:[C. Imp.]],$D63,Imput[[PERIODO Imp.]:[PERIODO Imp.]],BT$9)</f>
        <v>0</v>
      </c>
      <c r="BU63" s="516">
        <f>SUMIFS(Imput[[Importe Neto]:[Importe Neto]],Imput[[C. Imp.]:[C. Imp.]],$D63,Imput[[PERIODO Imp.]:[PERIODO Imp.]],BU$9)</f>
        <v>0</v>
      </c>
      <c r="BV63" s="516">
        <f>SUMIFS(Imput[[Importe Neto]:[Importe Neto]],Imput[[C. Imp.]:[C. Imp.]],$D63,Imput[[PERIODO Imp.]:[PERIODO Imp.]],BV$9)</f>
        <v>0</v>
      </c>
      <c r="BW63" s="516">
        <f>SUMIFS(Imput[[Importe Neto]:[Importe Neto]],Imput[[C. Imp.]:[C. Imp.]],$D63,Imput[[PERIODO Imp.]:[PERIODO Imp.]],BW$9)</f>
        <v>0</v>
      </c>
      <c r="BX63" s="516">
        <f>SUMIFS(Imput[[Importe Neto]:[Importe Neto]],Imput[[C. Imp.]:[C. Imp.]],$D63,Imput[[PERIODO Imp.]:[PERIODO Imp.]],BX$9)</f>
        <v>0</v>
      </c>
      <c r="BY63" s="516">
        <f>SUMIFS(Imput[[Importe Neto]:[Importe Neto]],Imput[[C. Imp.]:[C. Imp.]],$D63,Imput[[PERIODO Imp.]:[PERIODO Imp.]],BY$9)</f>
        <v>0</v>
      </c>
      <c r="BZ63" s="516">
        <f>SUMIFS(Imput[[Importe Neto]:[Importe Neto]],Imput[[C. Imp.]:[C. Imp.]],$D63,Imput[[PERIODO Imp.]:[PERIODO Imp.]],BZ$9)</f>
        <v>0</v>
      </c>
      <c r="CA63" s="516">
        <f>SUMIFS(Imput[[Importe Neto]:[Importe Neto]],Imput[[C. Imp.]:[C. Imp.]],$D63,Imput[[PERIODO Imp.]:[PERIODO Imp.]],CA$9)</f>
        <v>0</v>
      </c>
      <c r="CB63" s="516">
        <f>SUMIFS(Imput[[Importe Neto]:[Importe Neto]],Imput[[C. Imp.]:[C. Imp.]],$D63,Imput[[PERIODO Imp.]:[PERIODO Imp.]],CB$9)</f>
        <v>0</v>
      </c>
      <c r="CC63" s="516">
        <f>SUMIFS(Imput[[Importe Neto]:[Importe Neto]],Imput[[C. Imp.]:[C. Imp.]],$D63,Imput[[PERIODO Imp.]:[PERIODO Imp.]],CC$9)</f>
        <v>0</v>
      </c>
      <c r="CD63" s="516">
        <f>SUMIFS(Imput[[Importe Neto]:[Importe Neto]],Imput[[C. Imp.]:[C. Imp.]],$D63,Imput[[PERIODO Imp.]:[PERIODO Imp.]],CD$9)</f>
        <v>0</v>
      </c>
      <c r="CE63" s="516">
        <f>SUMIFS(Imput[[Importe Neto]:[Importe Neto]],Imput[[C. Imp.]:[C. Imp.]],$D63,Imput[[PERIODO Imp.]:[PERIODO Imp.]],CE$9)</f>
        <v>0</v>
      </c>
      <c r="CF63" s="516">
        <f>SUMIFS(Imput[[Importe Neto]:[Importe Neto]],Imput[[C. Imp.]:[C. Imp.]],$D63,Imput[[PERIODO Imp.]:[PERIODO Imp.]],CF$9)</f>
        <v>0</v>
      </c>
      <c r="CG63" s="516">
        <f>SUMIFS(Imput[[Importe Neto]:[Importe Neto]],Imput[[C. Imp.]:[C. Imp.]],$D63,Imput[[PERIODO Imp.]:[PERIODO Imp.]],CG$9)</f>
        <v>0</v>
      </c>
      <c r="CH63" s="516">
        <f>SUMIFS(Imput[[Importe Neto]:[Importe Neto]],Imput[[C. Imp.]:[C. Imp.]],$D63,Imput[[PERIODO Imp.]:[PERIODO Imp.]],CH$9)</f>
        <v>0</v>
      </c>
      <c r="CI63" s="516">
        <f>SUMIFS(Imput[[Importe Neto]:[Importe Neto]],Imput[[C. Imp.]:[C. Imp.]],$D63,Imput[[PERIODO Imp.]:[PERIODO Imp.]],CI$9)</f>
        <v>0</v>
      </c>
      <c r="CJ63" s="516">
        <f>SUMIFS(Imput[[Importe Neto]:[Importe Neto]],Imput[[C. Imp.]:[C. Imp.]],$D63,Imput[[PERIODO Imp.]:[PERIODO Imp.]],CJ$9)</f>
        <v>0</v>
      </c>
      <c r="CK63" s="516">
        <f>SUMIFS(Imput[[Importe Neto]:[Importe Neto]],Imput[[C. Imp.]:[C. Imp.]],$D63,Imput[[PERIODO Imp.]:[PERIODO Imp.]],CK$9)</f>
        <v>0</v>
      </c>
      <c r="CL63" s="516">
        <f>SUMIFS(Imput[[Importe Neto]:[Importe Neto]],Imput[[C. Imp.]:[C. Imp.]],$D63,Imput[[PERIODO Imp.]:[PERIODO Imp.]],CL$9)</f>
        <v>0</v>
      </c>
      <c r="CM63" s="516">
        <f>SUMIFS(Imput[[Importe Neto]:[Importe Neto]],Imput[[C. Imp.]:[C. Imp.]],$D63,Imput[[PERIODO Imp.]:[PERIODO Imp.]],CM$9)</f>
        <v>0</v>
      </c>
      <c r="CN63" s="516">
        <f>SUMIFS(Imput[[Importe Neto]:[Importe Neto]],Imput[[C. Imp.]:[C. Imp.]],$D63,Imput[[PERIODO Imp.]:[PERIODO Imp.]],CN$9)</f>
        <v>0</v>
      </c>
      <c r="CO63" s="516">
        <f>SUMIFS(Imput[[Importe Neto]:[Importe Neto]],Imput[[C. Imp.]:[C. Imp.]],$D63,Imput[[PERIODO Imp.]:[PERIODO Imp.]],CO$9)</f>
        <v>0</v>
      </c>
      <c r="CP63" s="516">
        <f>SUMIFS(Imput[[Importe Neto]:[Importe Neto]],Imput[[C. Imp.]:[C. Imp.]],$D63,Imput[[PERIODO Imp.]:[PERIODO Imp.]],CP$9)</f>
        <v>0</v>
      </c>
      <c r="CQ63" s="516">
        <f>SUMIFS(Imput[[Importe Neto]:[Importe Neto]],Imput[[C. Imp.]:[C. Imp.]],$D63,Imput[[PERIODO Imp.]:[PERIODO Imp.]],CQ$9)</f>
        <v>0</v>
      </c>
      <c r="CR63" s="516">
        <f>SUMIFS(Imput[[Importe Neto]:[Importe Neto]],Imput[[C. Imp.]:[C. Imp.]],$D63,Imput[[PERIODO Imp.]:[PERIODO Imp.]],CR$9)</f>
        <v>0</v>
      </c>
      <c r="CS63" s="516">
        <f>SUMIFS(Imput[[Importe Neto]:[Importe Neto]],Imput[[C. Imp.]:[C. Imp.]],$D63,Imput[[PERIODO Imp.]:[PERIODO Imp.]],CS$9)</f>
        <v>0</v>
      </c>
      <c r="CT63" s="516">
        <f>SUMIFS(Imput[[Importe Neto]:[Importe Neto]],Imput[[C. Imp.]:[C. Imp.]],$D63,Imput[[PERIODO Imp.]:[PERIODO Imp.]],CT$9)</f>
        <v>0</v>
      </c>
      <c r="CU63" s="516">
        <f>SUMIFS(Imput[[Importe Neto]:[Importe Neto]],Imput[[C. Imp.]:[C. Imp.]],$D63,Imput[[PERIODO Imp.]:[PERIODO Imp.]],CU$9)</f>
        <v>0</v>
      </c>
      <c r="CV63" s="516">
        <f>SUMIFS(Imput[[Importe Neto]:[Importe Neto]],Imput[[C. Imp.]:[C. Imp.]],$D63,Imput[[PERIODO Imp.]:[PERIODO Imp.]],CV$9)</f>
        <v>0</v>
      </c>
      <c r="CW63" s="516">
        <f>SUMIFS(Imput[[Importe Neto]:[Importe Neto]],Imput[[C. Imp.]:[C. Imp.]],$D63,Imput[[PERIODO Imp.]:[PERIODO Imp.]],CW$9)</f>
        <v>0</v>
      </c>
      <c r="CX63" s="516">
        <f>SUMIFS(Imput[[Importe Neto]:[Importe Neto]],Imput[[C. Imp.]:[C. Imp.]],$D63,Imput[[PERIODO Imp.]:[PERIODO Imp.]],CX$9)</f>
        <v>0</v>
      </c>
      <c r="CY63" s="516">
        <f>SUMIFS(Imput[[Importe Neto]:[Importe Neto]],Imput[[C. Imp.]:[C. Imp.]],$D63,Imput[[PERIODO Imp.]:[PERIODO Imp.]],CY$9)</f>
        <v>0</v>
      </c>
      <c r="CZ63" s="516">
        <f>SUMIFS(Imput[[Importe Neto]:[Importe Neto]],Imput[[C. Imp.]:[C. Imp.]],$D63,Imput[[PERIODO Imp.]:[PERIODO Imp.]],CZ$9)</f>
        <v>0</v>
      </c>
      <c r="DA63" s="516">
        <f>SUMIFS(Imput[[Importe Neto]:[Importe Neto]],Imput[[C. Imp.]:[C. Imp.]],$D63,Imput[[PERIODO Imp.]:[PERIODO Imp.]],DA$9)</f>
        <v>0</v>
      </c>
      <c r="DB63" s="516">
        <f>SUMIFS(Imput[[Importe Neto]:[Importe Neto]],Imput[[C. Imp.]:[C. Imp.]],$D63,Imput[[PERIODO Imp.]:[PERIODO Imp.]],DB$9)</f>
        <v>0</v>
      </c>
      <c r="DC63" s="516">
        <f>SUMIFS(Imput[[Importe Neto]:[Importe Neto]],Imput[[C. Imp.]:[C. Imp.]],$D63,Imput[[PERIODO Imp.]:[PERIODO Imp.]],DC$9)</f>
        <v>0</v>
      </c>
      <c r="DD63" s="516">
        <f>SUMIFS(Imput[[Importe Neto]:[Importe Neto]],Imput[[C. Imp.]:[C. Imp.]],$D63,Imput[[PERIODO Imp.]:[PERIODO Imp.]],DD$9)</f>
        <v>0</v>
      </c>
      <c r="DE63" s="516">
        <f>SUMIFS(Imput[[Importe Neto]:[Importe Neto]],Imput[[C. Imp.]:[C. Imp.]],$D63,Imput[[PERIODO Imp.]:[PERIODO Imp.]],DE$9)</f>
        <v>0</v>
      </c>
      <c r="DF63" s="516">
        <f>SUMIFS(Imput[[Importe Neto]:[Importe Neto]],Imput[[C. Imp.]:[C. Imp.]],$D63,Imput[[PERIODO Imp.]:[PERIODO Imp.]],DF$9)</f>
        <v>0</v>
      </c>
      <c r="DG63" s="516">
        <f>SUMIFS(Imput[[Importe Neto]:[Importe Neto]],Imput[[C. Imp.]:[C. Imp.]],$D63,Imput[[PERIODO Imp.]:[PERIODO Imp.]],DG$9)</f>
        <v>0</v>
      </c>
      <c r="DH63" s="616">
        <f>SUMIFS(Imput[[Importe Neto]:[Importe Neto]],Imput[[C. Imp.]:[C. Imp.]],$D63,Imput[[PERIODO Imp.]:[PERIODO Imp.]],DH$9)</f>
        <v>0</v>
      </c>
    </row>
    <row r="64" spans="1:112" hidden="1" outlineLevel="1" x14ac:dyDescent="0.3">
      <c r="A64" s="66" t="str">
        <f t="shared" si="15"/>
        <v/>
      </c>
      <c r="C64" s="527"/>
      <c r="D64" s="528" t="s">
        <v>2173</v>
      </c>
      <c r="E64" s="528"/>
      <c r="F64" s="534"/>
      <c r="G64" s="529"/>
      <c r="H64" s="531"/>
      <c r="I64" s="849" t="str">
        <f t="shared" si="16"/>
        <v/>
      </c>
      <c r="J64" s="850" t="str">
        <f t="shared" si="17"/>
        <v/>
      </c>
      <c r="K64" s="70"/>
      <c r="L64" s="853"/>
      <c r="M64" s="855"/>
      <c r="N64" s="855"/>
      <c r="O64" s="855"/>
      <c r="P64" s="855"/>
      <c r="Q64" s="855"/>
      <c r="R64" s="855"/>
      <c r="S64" s="855"/>
      <c r="T64" s="855"/>
      <c r="U64" s="855"/>
      <c r="V64" s="855"/>
      <c r="W64" s="855"/>
      <c r="X64" s="855"/>
      <c r="Y64" s="855"/>
      <c r="Z64" s="856"/>
      <c r="AA64" s="856"/>
      <c r="AB64" s="856"/>
      <c r="AC64" s="856"/>
      <c r="AD64" s="856"/>
      <c r="AE64" s="856"/>
      <c r="AF64" s="856"/>
      <c r="AG64" s="856"/>
      <c r="AH64" s="856"/>
      <c r="AI64" s="856"/>
      <c r="AJ64" s="856"/>
      <c r="AK64" s="856"/>
      <c r="AL64" s="856"/>
      <c r="AM64" s="856"/>
      <c r="AN64" s="856"/>
      <c r="AO64" s="856"/>
      <c r="AP64" s="856"/>
      <c r="AQ64" s="856"/>
      <c r="AR64" s="856"/>
      <c r="AS64" s="856"/>
      <c r="AT64" s="856"/>
      <c r="AU64" s="856"/>
      <c r="AV64" s="856"/>
      <c r="AW64" s="856"/>
      <c r="AX64" s="856"/>
      <c r="AY64" s="856"/>
      <c r="AZ64" s="856"/>
      <c r="BA64" s="856"/>
      <c r="BB64" s="856"/>
      <c r="BC64" s="856"/>
      <c r="BD64" s="856"/>
      <c r="BE64" s="856"/>
      <c r="BF64" s="856"/>
      <c r="BG64" s="857"/>
      <c r="BH64" s="590"/>
      <c r="BI64" s="70"/>
      <c r="BJ64" s="518">
        <f t="shared" si="18"/>
        <v>0</v>
      </c>
      <c r="BK64" s="517">
        <f t="shared" si="19"/>
        <v>0</v>
      </c>
      <c r="BL64" s="68"/>
      <c r="BM64" s="515">
        <f>SUMIFS(Imput[[Importe Neto]:[Importe Neto]],Imput[[C. Imp.]:[C. Imp.]],$D64,Imput[[PERIODO Imp.]:[PERIODO Imp.]],BM$9)</f>
        <v>0</v>
      </c>
      <c r="BN64" s="516">
        <f>SUMIFS(Imput[[Importe Neto]:[Importe Neto]],Imput[[C. Imp.]:[C. Imp.]],$D64,Imput[[PERIODO Imp.]:[PERIODO Imp.]],BN$9)</f>
        <v>0</v>
      </c>
      <c r="BO64" s="516">
        <f>SUMIFS(Imput[[Importe Neto]:[Importe Neto]],Imput[[C. Imp.]:[C. Imp.]],$D64,Imput[[PERIODO Imp.]:[PERIODO Imp.]],BO$9)</f>
        <v>0</v>
      </c>
      <c r="BP64" s="516">
        <f>SUMIFS(Imput[[Importe Neto]:[Importe Neto]],Imput[[C. Imp.]:[C. Imp.]],$D64,Imput[[PERIODO Imp.]:[PERIODO Imp.]],BP$9)</f>
        <v>0</v>
      </c>
      <c r="BQ64" s="516">
        <f>SUMIFS(Imput[[Importe Neto]:[Importe Neto]],Imput[[C. Imp.]:[C. Imp.]],$D64,Imput[[PERIODO Imp.]:[PERIODO Imp.]],BQ$9)</f>
        <v>0</v>
      </c>
      <c r="BR64" s="516">
        <f>SUMIFS(Imput[[Importe Neto]:[Importe Neto]],Imput[[C. Imp.]:[C. Imp.]],$D64,Imput[[PERIODO Imp.]:[PERIODO Imp.]],BR$9)</f>
        <v>0</v>
      </c>
      <c r="BS64" s="516">
        <f>SUMIFS(Imput[[Importe Neto]:[Importe Neto]],Imput[[C. Imp.]:[C. Imp.]],$D64,Imput[[PERIODO Imp.]:[PERIODO Imp.]],BS$9)</f>
        <v>0</v>
      </c>
      <c r="BT64" s="516">
        <f>SUMIFS(Imput[[Importe Neto]:[Importe Neto]],Imput[[C. Imp.]:[C. Imp.]],$D64,Imput[[PERIODO Imp.]:[PERIODO Imp.]],BT$9)</f>
        <v>0</v>
      </c>
      <c r="BU64" s="516">
        <f>SUMIFS(Imput[[Importe Neto]:[Importe Neto]],Imput[[C. Imp.]:[C. Imp.]],$D64,Imput[[PERIODO Imp.]:[PERIODO Imp.]],BU$9)</f>
        <v>0</v>
      </c>
      <c r="BV64" s="516">
        <f>SUMIFS(Imput[[Importe Neto]:[Importe Neto]],Imput[[C. Imp.]:[C. Imp.]],$D64,Imput[[PERIODO Imp.]:[PERIODO Imp.]],BV$9)</f>
        <v>0</v>
      </c>
      <c r="BW64" s="516">
        <f>SUMIFS(Imput[[Importe Neto]:[Importe Neto]],Imput[[C. Imp.]:[C. Imp.]],$D64,Imput[[PERIODO Imp.]:[PERIODO Imp.]],BW$9)</f>
        <v>0</v>
      </c>
      <c r="BX64" s="516">
        <f>SUMIFS(Imput[[Importe Neto]:[Importe Neto]],Imput[[C. Imp.]:[C. Imp.]],$D64,Imput[[PERIODO Imp.]:[PERIODO Imp.]],BX$9)</f>
        <v>0</v>
      </c>
      <c r="BY64" s="516">
        <f>SUMIFS(Imput[[Importe Neto]:[Importe Neto]],Imput[[C. Imp.]:[C. Imp.]],$D64,Imput[[PERIODO Imp.]:[PERIODO Imp.]],BY$9)</f>
        <v>0</v>
      </c>
      <c r="BZ64" s="516">
        <f>SUMIFS(Imput[[Importe Neto]:[Importe Neto]],Imput[[C. Imp.]:[C. Imp.]],$D64,Imput[[PERIODO Imp.]:[PERIODO Imp.]],BZ$9)</f>
        <v>0</v>
      </c>
      <c r="CA64" s="516">
        <f>SUMIFS(Imput[[Importe Neto]:[Importe Neto]],Imput[[C. Imp.]:[C. Imp.]],$D64,Imput[[PERIODO Imp.]:[PERIODO Imp.]],CA$9)</f>
        <v>0</v>
      </c>
      <c r="CB64" s="516">
        <f>SUMIFS(Imput[[Importe Neto]:[Importe Neto]],Imput[[C. Imp.]:[C. Imp.]],$D64,Imput[[PERIODO Imp.]:[PERIODO Imp.]],CB$9)</f>
        <v>0</v>
      </c>
      <c r="CC64" s="516">
        <f>SUMIFS(Imput[[Importe Neto]:[Importe Neto]],Imput[[C. Imp.]:[C. Imp.]],$D64,Imput[[PERIODO Imp.]:[PERIODO Imp.]],CC$9)</f>
        <v>0</v>
      </c>
      <c r="CD64" s="516">
        <f>SUMIFS(Imput[[Importe Neto]:[Importe Neto]],Imput[[C. Imp.]:[C. Imp.]],$D64,Imput[[PERIODO Imp.]:[PERIODO Imp.]],CD$9)</f>
        <v>0</v>
      </c>
      <c r="CE64" s="516">
        <f>SUMIFS(Imput[[Importe Neto]:[Importe Neto]],Imput[[C. Imp.]:[C. Imp.]],$D64,Imput[[PERIODO Imp.]:[PERIODO Imp.]],CE$9)</f>
        <v>0</v>
      </c>
      <c r="CF64" s="516">
        <f>SUMIFS(Imput[[Importe Neto]:[Importe Neto]],Imput[[C. Imp.]:[C. Imp.]],$D64,Imput[[PERIODO Imp.]:[PERIODO Imp.]],CF$9)</f>
        <v>0</v>
      </c>
      <c r="CG64" s="516">
        <f>SUMIFS(Imput[[Importe Neto]:[Importe Neto]],Imput[[C. Imp.]:[C. Imp.]],$D64,Imput[[PERIODO Imp.]:[PERIODO Imp.]],CG$9)</f>
        <v>0</v>
      </c>
      <c r="CH64" s="516">
        <f>SUMIFS(Imput[[Importe Neto]:[Importe Neto]],Imput[[C. Imp.]:[C. Imp.]],$D64,Imput[[PERIODO Imp.]:[PERIODO Imp.]],CH$9)</f>
        <v>0</v>
      </c>
      <c r="CI64" s="516">
        <f>SUMIFS(Imput[[Importe Neto]:[Importe Neto]],Imput[[C. Imp.]:[C. Imp.]],$D64,Imput[[PERIODO Imp.]:[PERIODO Imp.]],CI$9)</f>
        <v>0</v>
      </c>
      <c r="CJ64" s="516">
        <f>SUMIFS(Imput[[Importe Neto]:[Importe Neto]],Imput[[C. Imp.]:[C. Imp.]],$D64,Imput[[PERIODO Imp.]:[PERIODO Imp.]],CJ$9)</f>
        <v>0</v>
      </c>
      <c r="CK64" s="516">
        <f>SUMIFS(Imput[[Importe Neto]:[Importe Neto]],Imput[[C. Imp.]:[C. Imp.]],$D64,Imput[[PERIODO Imp.]:[PERIODO Imp.]],CK$9)</f>
        <v>0</v>
      </c>
      <c r="CL64" s="516">
        <f>SUMIFS(Imput[[Importe Neto]:[Importe Neto]],Imput[[C. Imp.]:[C. Imp.]],$D64,Imput[[PERIODO Imp.]:[PERIODO Imp.]],CL$9)</f>
        <v>0</v>
      </c>
      <c r="CM64" s="516">
        <f>SUMIFS(Imput[[Importe Neto]:[Importe Neto]],Imput[[C. Imp.]:[C. Imp.]],$D64,Imput[[PERIODO Imp.]:[PERIODO Imp.]],CM$9)</f>
        <v>0</v>
      </c>
      <c r="CN64" s="516">
        <f>SUMIFS(Imput[[Importe Neto]:[Importe Neto]],Imput[[C. Imp.]:[C. Imp.]],$D64,Imput[[PERIODO Imp.]:[PERIODO Imp.]],CN$9)</f>
        <v>0</v>
      </c>
      <c r="CO64" s="516">
        <f>SUMIFS(Imput[[Importe Neto]:[Importe Neto]],Imput[[C. Imp.]:[C. Imp.]],$D64,Imput[[PERIODO Imp.]:[PERIODO Imp.]],CO$9)</f>
        <v>0</v>
      </c>
      <c r="CP64" s="516">
        <f>SUMIFS(Imput[[Importe Neto]:[Importe Neto]],Imput[[C. Imp.]:[C. Imp.]],$D64,Imput[[PERIODO Imp.]:[PERIODO Imp.]],CP$9)</f>
        <v>0</v>
      </c>
      <c r="CQ64" s="516">
        <f>SUMIFS(Imput[[Importe Neto]:[Importe Neto]],Imput[[C. Imp.]:[C. Imp.]],$D64,Imput[[PERIODO Imp.]:[PERIODO Imp.]],CQ$9)</f>
        <v>0</v>
      </c>
      <c r="CR64" s="516">
        <f>SUMIFS(Imput[[Importe Neto]:[Importe Neto]],Imput[[C. Imp.]:[C. Imp.]],$D64,Imput[[PERIODO Imp.]:[PERIODO Imp.]],CR$9)</f>
        <v>0</v>
      </c>
      <c r="CS64" s="516">
        <f>SUMIFS(Imput[[Importe Neto]:[Importe Neto]],Imput[[C. Imp.]:[C. Imp.]],$D64,Imput[[PERIODO Imp.]:[PERIODO Imp.]],CS$9)</f>
        <v>0</v>
      </c>
      <c r="CT64" s="516">
        <f>SUMIFS(Imput[[Importe Neto]:[Importe Neto]],Imput[[C. Imp.]:[C. Imp.]],$D64,Imput[[PERIODO Imp.]:[PERIODO Imp.]],CT$9)</f>
        <v>0</v>
      </c>
      <c r="CU64" s="516">
        <f>SUMIFS(Imput[[Importe Neto]:[Importe Neto]],Imput[[C. Imp.]:[C. Imp.]],$D64,Imput[[PERIODO Imp.]:[PERIODO Imp.]],CU$9)</f>
        <v>0</v>
      </c>
      <c r="CV64" s="516">
        <f>SUMIFS(Imput[[Importe Neto]:[Importe Neto]],Imput[[C. Imp.]:[C. Imp.]],$D64,Imput[[PERIODO Imp.]:[PERIODO Imp.]],CV$9)</f>
        <v>0</v>
      </c>
      <c r="CW64" s="516">
        <f>SUMIFS(Imput[[Importe Neto]:[Importe Neto]],Imput[[C. Imp.]:[C. Imp.]],$D64,Imput[[PERIODO Imp.]:[PERIODO Imp.]],CW$9)</f>
        <v>0</v>
      </c>
      <c r="CX64" s="516">
        <f>SUMIFS(Imput[[Importe Neto]:[Importe Neto]],Imput[[C. Imp.]:[C. Imp.]],$D64,Imput[[PERIODO Imp.]:[PERIODO Imp.]],CX$9)</f>
        <v>0</v>
      </c>
      <c r="CY64" s="516">
        <f>SUMIFS(Imput[[Importe Neto]:[Importe Neto]],Imput[[C. Imp.]:[C. Imp.]],$D64,Imput[[PERIODO Imp.]:[PERIODO Imp.]],CY$9)</f>
        <v>0</v>
      </c>
      <c r="CZ64" s="516">
        <f>SUMIFS(Imput[[Importe Neto]:[Importe Neto]],Imput[[C. Imp.]:[C. Imp.]],$D64,Imput[[PERIODO Imp.]:[PERIODO Imp.]],CZ$9)</f>
        <v>0</v>
      </c>
      <c r="DA64" s="516">
        <f>SUMIFS(Imput[[Importe Neto]:[Importe Neto]],Imput[[C. Imp.]:[C. Imp.]],$D64,Imput[[PERIODO Imp.]:[PERIODO Imp.]],DA$9)</f>
        <v>0</v>
      </c>
      <c r="DB64" s="516">
        <f>SUMIFS(Imput[[Importe Neto]:[Importe Neto]],Imput[[C. Imp.]:[C. Imp.]],$D64,Imput[[PERIODO Imp.]:[PERIODO Imp.]],DB$9)</f>
        <v>0</v>
      </c>
      <c r="DC64" s="516">
        <f>SUMIFS(Imput[[Importe Neto]:[Importe Neto]],Imput[[C. Imp.]:[C. Imp.]],$D64,Imput[[PERIODO Imp.]:[PERIODO Imp.]],DC$9)</f>
        <v>0</v>
      </c>
      <c r="DD64" s="516">
        <f>SUMIFS(Imput[[Importe Neto]:[Importe Neto]],Imput[[C. Imp.]:[C. Imp.]],$D64,Imput[[PERIODO Imp.]:[PERIODO Imp.]],DD$9)</f>
        <v>0</v>
      </c>
      <c r="DE64" s="516">
        <f>SUMIFS(Imput[[Importe Neto]:[Importe Neto]],Imput[[C. Imp.]:[C. Imp.]],$D64,Imput[[PERIODO Imp.]:[PERIODO Imp.]],DE$9)</f>
        <v>0</v>
      </c>
      <c r="DF64" s="516">
        <f>SUMIFS(Imput[[Importe Neto]:[Importe Neto]],Imput[[C. Imp.]:[C. Imp.]],$D64,Imput[[PERIODO Imp.]:[PERIODO Imp.]],DF$9)</f>
        <v>0</v>
      </c>
      <c r="DG64" s="516">
        <f>SUMIFS(Imput[[Importe Neto]:[Importe Neto]],Imput[[C. Imp.]:[C. Imp.]],$D64,Imput[[PERIODO Imp.]:[PERIODO Imp.]],DG$9)</f>
        <v>0</v>
      </c>
      <c r="DH64" s="616">
        <f>SUMIFS(Imput[[Importe Neto]:[Importe Neto]],Imput[[C. Imp.]:[C. Imp.]],$D64,Imput[[PERIODO Imp.]:[PERIODO Imp.]],DH$9)</f>
        <v>0</v>
      </c>
    </row>
    <row r="65" spans="1:112" hidden="1" outlineLevel="1" x14ac:dyDescent="0.3">
      <c r="A65" s="66" t="str">
        <f t="shared" si="15"/>
        <v/>
      </c>
      <c r="C65" s="527"/>
      <c r="D65" s="528" t="s">
        <v>2174</v>
      </c>
      <c r="E65" s="528"/>
      <c r="F65" s="534"/>
      <c r="G65" s="529"/>
      <c r="H65" s="531"/>
      <c r="I65" s="849" t="str">
        <f t="shared" si="16"/>
        <v/>
      </c>
      <c r="J65" s="850" t="str">
        <f t="shared" si="17"/>
        <v/>
      </c>
      <c r="K65" s="70"/>
      <c r="L65" s="853"/>
      <c r="M65" s="855"/>
      <c r="N65" s="855"/>
      <c r="O65" s="855"/>
      <c r="P65" s="855"/>
      <c r="Q65" s="855"/>
      <c r="R65" s="855"/>
      <c r="S65" s="855"/>
      <c r="T65" s="855"/>
      <c r="U65" s="855"/>
      <c r="V65" s="855"/>
      <c r="W65" s="855"/>
      <c r="X65" s="855"/>
      <c r="Y65" s="855"/>
      <c r="Z65" s="856"/>
      <c r="AA65" s="856"/>
      <c r="AB65" s="856"/>
      <c r="AC65" s="856"/>
      <c r="AD65" s="856"/>
      <c r="AE65" s="856"/>
      <c r="AF65" s="856"/>
      <c r="AG65" s="856"/>
      <c r="AH65" s="856"/>
      <c r="AI65" s="856"/>
      <c r="AJ65" s="856"/>
      <c r="AK65" s="856"/>
      <c r="AL65" s="856"/>
      <c r="AM65" s="856"/>
      <c r="AN65" s="856"/>
      <c r="AO65" s="856"/>
      <c r="AP65" s="856"/>
      <c r="AQ65" s="856"/>
      <c r="AR65" s="856"/>
      <c r="AS65" s="856"/>
      <c r="AT65" s="856"/>
      <c r="AU65" s="856"/>
      <c r="AV65" s="856"/>
      <c r="AW65" s="856"/>
      <c r="AX65" s="856"/>
      <c r="AY65" s="856"/>
      <c r="AZ65" s="856"/>
      <c r="BA65" s="856"/>
      <c r="BB65" s="856"/>
      <c r="BC65" s="856"/>
      <c r="BD65" s="856"/>
      <c r="BE65" s="856"/>
      <c r="BF65" s="856"/>
      <c r="BG65" s="857"/>
      <c r="BH65" s="590"/>
      <c r="BI65" s="70"/>
      <c r="BJ65" s="518">
        <f t="shared" si="18"/>
        <v>0</v>
      </c>
      <c r="BK65" s="517">
        <f t="shared" si="19"/>
        <v>0</v>
      </c>
      <c r="BL65" s="68"/>
      <c r="BM65" s="515">
        <f>SUMIFS(Imput[[Importe Neto]:[Importe Neto]],Imput[[C. Imp.]:[C. Imp.]],$D65,Imput[[PERIODO Imp.]:[PERIODO Imp.]],BM$9)</f>
        <v>0</v>
      </c>
      <c r="BN65" s="516">
        <f>SUMIFS(Imput[[Importe Neto]:[Importe Neto]],Imput[[C. Imp.]:[C. Imp.]],$D65,Imput[[PERIODO Imp.]:[PERIODO Imp.]],BN$9)</f>
        <v>0</v>
      </c>
      <c r="BO65" s="516">
        <f>SUMIFS(Imput[[Importe Neto]:[Importe Neto]],Imput[[C. Imp.]:[C. Imp.]],$D65,Imput[[PERIODO Imp.]:[PERIODO Imp.]],BO$9)</f>
        <v>0</v>
      </c>
      <c r="BP65" s="516">
        <f>SUMIFS(Imput[[Importe Neto]:[Importe Neto]],Imput[[C. Imp.]:[C. Imp.]],$D65,Imput[[PERIODO Imp.]:[PERIODO Imp.]],BP$9)</f>
        <v>0</v>
      </c>
      <c r="BQ65" s="516">
        <f>SUMIFS(Imput[[Importe Neto]:[Importe Neto]],Imput[[C. Imp.]:[C. Imp.]],$D65,Imput[[PERIODO Imp.]:[PERIODO Imp.]],BQ$9)</f>
        <v>0</v>
      </c>
      <c r="BR65" s="516">
        <f>SUMIFS(Imput[[Importe Neto]:[Importe Neto]],Imput[[C. Imp.]:[C. Imp.]],$D65,Imput[[PERIODO Imp.]:[PERIODO Imp.]],BR$9)</f>
        <v>0</v>
      </c>
      <c r="BS65" s="516">
        <f>SUMIFS(Imput[[Importe Neto]:[Importe Neto]],Imput[[C. Imp.]:[C. Imp.]],$D65,Imput[[PERIODO Imp.]:[PERIODO Imp.]],BS$9)</f>
        <v>0</v>
      </c>
      <c r="BT65" s="516">
        <f>SUMIFS(Imput[[Importe Neto]:[Importe Neto]],Imput[[C. Imp.]:[C. Imp.]],$D65,Imput[[PERIODO Imp.]:[PERIODO Imp.]],BT$9)</f>
        <v>0</v>
      </c>
      <c r="BU65" s="516">
        <f>SUMIFS(Imput[[Importe Neto]:[Importe Neto]],Imput[[C. Imp.]:[C. Imp.]],$D65,Imput[[PERIODO Imp.]:[PERIODO Imp.]],BU$9)</f>
        <v>0</v>
      </c>
      <c r="BV65" s="516">
        <f>SUMIFS(Imput[[Importe Neto]:[Importe Neto]],Imput[[C. Imp.]:[C. Imp.]],$D65,Imput[[PERIODO Imp.]:[PERIODO Imp.]],BV$9)</f>
        <v>0</v>
      </c>
      <c r="BW65" s="516">
        <f>SUMIFS(Imput[[Importe Neto]:[Importe Neto]],Imput[[C. Imp.]:[C. Imp.]],$D65,Imput[[PERIODO Imp.]:[PERIODO Imp.]],BW$9)</f>
        <v>0</v>
      </c>
      <c r="BX65" s="516">
        <f>SUMIFS(Imput[[Importe Neto]:[Importe Neto]],Imput[[C. Imp.]:[C. Imp.]],$D65,Imput[[PERIODO Imp.]:[PERIODO Imp.]],BX$9)</f>
        <v>0</v>
      </c>
      <c r="BY65" s="516">
        <f>SUMIFS(Imput[[Importe Neto]:[Importe Neto]],Imput[[C. Imp.]:[C. Imp.]],$D65,Imput[[PERIODO Imp.]:[PERIODO Imp.]],BY$9)</f>
        <v>0</v>
      </c>
      <c r="BZ65" s="516">
        <f>SUMIFS(Imput[[Importe Neto]:[Importe Neto]],Imput[[C. Imp.]:[C. Imp.]],$D65,Imput[[PERIODO Imp.]:[PERIODO Imp.]],BZ$9)</f>
        <v>0</v>
      </c>
      <c r="CA65" s="516">
        <f>SUMIFS(Imput[[Importe Neto]:[Importe Neto]],Imput[[C. Imp.]:[C. Imp.]],$D65,Imput[[PERIODO Imp.]:[PERIODO Imp.]],CA$9)</f>
        <v>0</v>
      </c>
      <c r="CB65" s="516">
        <f>SUMIFS(Imput[[Importe Neto]:[Importe Neto]],Imput[[C. Imp.]:[C. Imp.]],$D65,Imput[[PERIODO Imp.]:[PERIODO Imp.]],CB$9)</f>
        <v>0</v>
      </c>
      <c r="CC65" s="516">
        <f>SUMIFS(Imput[[Importe Neto]:[Importe Neto]],Imput[[C. Imp.]:[C. Imp.]],$D65,Imput[[PERIODO Imp.]:[PERIODO Imp.]],CC$9)</f>
        <v>0</v>
      </c>
      <c r="CD65" s="516">
        <f>SUMIFS(Imput[[Importe Neto]:[Importe Neto]],Imput[[C. Imp.]:[C. Imp.]],$D65,Imput[[PERIODO Imp.]:[PERIODO Imp.]],CD$9)</f>
        <v>0</v>
      </c>
      <c r="CE65" s="516">
        <f>SUMIFS(Imput[[Importe Neto]:[Importe Neto]],Imput[[C. Imp.]:[C. Imp.]],$D65,Imput[[PERIODO Imp.]:[PERIODO Imp.]],CE$9)</f>
        <v>0</v>
      </c>
      <c r="CF65" s="516">
        <f>SUMIFS(Imput[[Importe Neto]:[Importe Neto]],Imput[[C. Imp.]:[C. Imp.]],$D65,Imput[[PERIODO Imp.]:[PERIODO Imp.]],CF$9)</f>
        <v>0</v>
      </c>
      <c r="CG65" s="516">
        <f>SUMIFS(Imput[[Importe Neto]:[Importe Neto]],Imput[[C. Imp.]:[C. Imp.]],$D65,Imput[[PERIODO Imp.]:[PERIODO Imp.]],CG$9)</f>
        <v>0</v>
      </c>
      <c r="CH65" s="516">
        <f>SUMIFS(Imput[[Importe Neto]:[Importe Neto]],Imput[[C. Imp.]:[C. Imp.]],$D65,Imput[[PERIODO Imp.]:[PERIODO Imp.]],CH$9)</f>
        <v>0</v>
      </c>
      <c r="CI65" s="516">
        <f>SUMIFS(Imput[[Importe Neto]:[Importe Neto]],Imput[[C. Imp.]:[C. Imp.]],$D65,Imput[[PERIODO Imp.]:[PERIODO Imp.]],CI$9)</f>
        <v>0</v>
      </c>
      <c r="CJ65" s="516">
        <f>SUMIFS(Imput[[Importe Neto]:[Importe Neto]],Imput[[C. Imp.]:[C. Imp.]],$D65,Imput[[PERIODO Imp.]:[PERIODO Imp.]],CJ$9)</f>
        <v>0</v>
      </c>
      <c r="CK65" s="516">
        <f>SUMIFS(Imput[[Importe Neto]:[Importe Neto]],Imput[[C. Imp.]:[C. Imp.]],$D65,Imput[[PERIODO Imp.]:[PERIODO Imp.]],CK$9)</f>
        <v>0</v>
      </c>
      <c r="CL65" s="516">
        <f>SUMIFS(Imput[[Importe Neto]:[Importe Neto]],Imput[[C. Imp.]:[C. Imp.]],$D65,Imput[[PERIODO Imp.]:[PERIODO Imp.]],CL$9)</f>
        <v>0</v>
      </c>
      <c r="CM65" s="516">
        <f>SUMIFS(Imput[[Importe Neto]:[Importe Neto]],Imput[[C. Imp.]:[C. Imp.]],$D65,Imput[[PERIODO Imp.]:[PERIODO Imp.]],CM$9)</f>
        <v>0</v>
      </c>
      <c r="CN65" s="516">
        <f>SUMIFS(Imput[[Importe Neto]:[Importe Neto]],Imput[[C. Imp.]:[C. Imp.]],$D65,Imput[[PERIODO Imp.]:[PERIODO Imp.]],CN$9)</f>
        <v>0</v>
      </c>
      <c r="CO65" s="516">
        <f>SUMIFS(Imput[[Importe Neto]:[Importe Neto]],Imput[[C. Imp.]:[C. Imp.]],$D65,Imput[[PERIODO Imp.]:[PERIODO Imp.]],CO$9)</f>
        <v>0</v>
      </c>
      <c r="CP65" s="516">
        <f>SUMIFS(Imput[[Importe Neto]:[Importe Neto]],Imput[[C. Imp.]:[C. Imp.]],$D65,Imput[[PERIODO Imp.]:[PERIODO Imp.]],CP$9)</f>
        <v>0</v>
      </c>
      <c r="CQ65" s="516">
        <f>SUMIFS(Imput[[Importe Neto]:[Importe Neto]],Imput[[C. Imp.]:[C. Imp.]],$D65,Imput[[PERIODO Imp.]:[PERIODO Imp.]],CQ$9)</f>
        <v>0</v>
      </c>
      <c r="CR65" s="516">
        <f>SUMIFS(Imput[[Importe Neto]:[Importe Neto]],Imput[[C. Imp.]:[C. Imp.]],$D65,Imput[[PERIODO Imp.]:[PERIODO Imp.]],CR$9)</f>
        <v>0</v>
      </c>
      <c r="CS65" s="516">
        <f>SUMIFS(Imput[[Importe Neto]:[Importe Neto]],Imput[[C. Imp.]:[C. Imp.]],$D65,Imput[[PERIODO Imp.]:[PERIODO Imp.]],CS$9)</f>
        <v>0</v>
      </c>
      <c r="CT65" s="516">
        <f>SUMIFS(Imput[[Importe Neto]:[Importe Neto]],Imput[[C. Imp.]:[C. Imp.]],$D65,Imput[[PERIODO Imp.]:[PERIODO Imp.]],CT$9)</f>
        <v>0</v>
      </c>
      <c r="CU65" s="516">
        <f>SUMIFS(Imput[[Importe Neto]:[Importe Neto]],Imput[[C. Imp.]:[C. Imp.]],$D65,Imput[[PERIODO Imp.]:[PERIODO Imp.]],CU$9)</f>
        <v>0</v>
      </c>
      <c r="CV65" s="516">
        <f>SUMIFS(Imput[[Importe Neto]:[Importe Neto]],Imput[[C. Imp.]:[C. Imp.]],$D65,Imput[[PERIODO Imp.]:[PERIODO Imp.]],CV$9)</f>
        <v>0</v>
      </c>
      <c r="CW65" s="516">
        <f>SUMIFS(Imput[[Importe Neto]:[Importe Neto]],Imput[[C. Imp.]:[C. Imp.]],$D65,Imput[[PERIODO Imp.]:[PERIODO Imp.]],CW$9)</f>
        <v>0</v>
      </c>
      <c r="CX65" s="516">
        <f>SUMIFS(Imput[[Importe Neto]:[Importe Neto]],Imput[[C. Imp.]:[C. Imp.]],$D65,Imput[[PERIODO Imp.]:[PERIODO Imp.]],CX$9)</f>
        <v>0</v>
      </c>
      <c r="CY65" s="516">
        <f>SUMIFS(Imput[[Importe Neto]:[Importe Neto]],Imput[[C. Imp.]:[C. Imp.]],$D65,Imput[[PERIODO Imp.]:[PERIODO Imp.]],CY$9)</f>
        <v>0</v>
      </c>
      <c r="CZ65" s="516">
        <f>SUMIFS(Imput[[Importe Neto]:[Importe Neto]],Imput[[C. Imp.]:[C. Imp.]],$D65,Imput[[PERIODO Imp.]:[PERIODO Imp.]],CZ$9)</f>
        <v>0</v>
      </c>
      <c r="DA65" s="516">
        <f>SUMIFS(Imput[[Importe Neto]:[Importe Neto]],Imput[[C. Imp.]:[C. Imp.]],$D65,Imput[[PERIODO Imp.]:[PERIODO Imp.]],DA$9)</f>
        <v>0</v>
      </c>
      <c r="DB65" s="516">
        <f>SUMIFS(Imput[[Importe Neto]:[Importe Neto]],Imput[[C. Imp.]:[C. Imp.]],$D65,Imput[[PERIODO Imp.]:[PERIODO Imp.]],DB$9)</f>
        <v>0</v>
      </c>
      <c r="DC65" s="516">
        <f>SUMIFS(Imput[[Importe Neto]:[Importe Neto]],Imput[[C. Imp.]:[C. Imp.]],$D65,Imput[[PERIODO Imp.]:[PERIODO Imp.]],DC$9)</f>
        <v>0</v>
      </c>
      <c r="DD65" s="516">
        <f>SUMIFS(Imput[[Importe Neto]:[Importe Neto]],Imput[[C. Imp.]:[C. Imp.]],$D65,Imput[[PERIODO Imp.]:[PERIODO Imp.]],DD$9)</f>
        <v>0</v>
      </c>
      <c r="DE65" s="516">
        <f>SUMIFS(Imput[[Importe Neto]:[Importe Neto]],Imput[[C. Imp.]:[C. Imp.]],$D65,Imput[[PERIODO Imp.]:[PERIODO Imp.]],DE$9)</f>
        <v>0</v>
      </c>
      <c r="DF65" s="516">
        <f>SUMIFS(Imput[[Importe Neto]:[Importe Neto]],Imput[[C. Imp.]:[C. Imp.]],$D65,Imput[[PERIODO Imp.]:[PERIODO Imp.]],DF$9)</f>
        <v>0</v>
      </c>
      <c r="DG65" s="516">
        <f>SUMIFS(Imput[[Importe Neto]:[Importe Neto]],Imput[[C. Imp.]:[C. Imp.]],$D65,Imput[[PERIODO Imp.]:[PERIODO Imp.]],DG$9)</f>
        <v>0</v>
      </c>
      <c r="DH65" s="616">
        <f>SUMIFS(Imput[[Importe Neto]:[Importe Neto]],Imput[[C. Imp.]:[C. Imp.]],$D65,Imput[[PERIODO Imp.]:[PERIODO Imp.]],DH$9)</f>
        <v>0</v>
      </c>
    </row>
    <row r="66" spans="1:112" hidden="1" outlineLevel="1" x14ac:dyDescent="0.3">
      <c r="A66" s="66" t="str">
        <f t="shared" si="15"/>
        <v/>
      </c>
      <c r="C66" s="527"/>
      <c r="D66" s="528" t="s">
        <v>2175</v>
      </c>
      <c r="E66" s="528"/>
      <c r="F66" s="534"/>
      <c r="G66" s="529"/>
      <c r="H66" s="531"/>
      <c r="I66" s="849" t="str">
        <f t="shared" si="16"/>
        <v/>
      </c>
      <c r="J66" s="850" t="str">
        <f t="shared" si="17"/>
        <v/>
      </c>
      <c r="K66" s="70"/>
      <c r="L66" s="853"/>
      <c r="M66" s="855"/>
      <c r="N66" s="855"/>
      <c r="O66" s="855"/>
      <c r="P66" s="855"/>
      <c r="Q66" s="855"/>
      <c r="R66" s="855"/>
      <c r="S66" s="855"/>
      <c r="T66" s="855"/>
      <c r="U66" s="855"/>
      <c r="V66" s="855"/>
      <c r="W66" s="855"/>
      <c r="X66" s="855"/>
      <c r="Y66" s="855"/>
      <c r="Z66" s="856"/>
      <c r="AA66" s="856"/>
      <c r="AB66" s="856"/>
      <c r="AC66" s="856"/>
      <c r="AD66" s="856"/>
      <c r="AE66" s="856"/>
      <c r="AF66" s="856"/>
      <c r="AG66" s="856"/>
      <c r="AH66" s="856"/>
      <c r="AI66" s="856"/>
      <c r="AJ66" s="856"/>
      <c r="AK66" s="856"/>
      <c r="AL66" s="856"/>
      <c r="AM66" s="856"/>
      <c r="AN66" s="856"/>
      <c r="AO66" s="856"/>
      <c r="AP66" s="856"/>
      <c r="AQ66" s="856"/>
      <c r="AR66" s="856"/>
      <c r="AS66" s="856"/>
      <c r="AT66" s="856"/>
      <c r="AU66" s="856"/>
      <c r="AV66" s="856"/>
      <c r="AW66" s="856"/>
      <c r="AX66" s="856"/>
      <c r="AY66" s="856"/>
      <c r="AZ66" s="856"/>
      <c r="BA66" s="856"/>
      <c r="BB66" s="856"/>
      <c r="BC66" s="856"/>
      <c r="BD66" s="856"/>
      <c r="BE66" s="856"/>
      <c r="BF66" s="856"/>
      <c r="BG66" s="857"/>
      <c r="BH66" s="590"/>
      <c r="BI66" s="70"/>
      <c r="BJ66" s="518">
        <f t="shared" si="18"/>
        <v>0</v>
      </c>
      <c r="BK66" s="517">
        <f t="shared" si="19"/>
        <v>0</v>
      </c>
      <c r="BL66" s="68"/>
      <c r="BM66" s="610">
        <f>SUMIFS(Imput[[Importe Neto]:[Importe Neto]],Imput[[C. Imp.]:[C. Imp.]],$D66,Imput[[PERIODO Imp.]:[PERIODO Imp.]],BM$9)</f>
        <v>0</v>
      </c>
      <c r="BN66" s="611">
        <f>SUMIFS(Imput[[Importe Neto]:[Importe Neto]],Imput[[C. Imp.]:[C. Imp.]],$D66,Imput[[PERIODO Imp.]:[PERIODO Imp.]],BN$9)</f>
        <v>0</v>
      </c>
      <c r="BO66" s="611">
        <f>SUMIFS(Imput[[Importe Neto]:[Importe Neto]],Imput[[C. Imp.]:[C. Imp.]],$D66,Imput[[PERIODO Imp.]:[PERIODO Imp.]],BO$9)</f>
        <v>0</v>
      </c>
      <c r="BP66" s="611">
        <f>SUMIFS(Imput[[Importe Neto]:[Importe Neto]],Imput[[C. Imp.]:[C. Imp.]],$D66,Imput[[PERIODO Imp.]:[PERIODO Imp.]],BP$9)</f>
        <v>0</v>
      </c>
      <c r="BQ66" s="611">
        <f>SUMIFS(Imput[[Importe Neto]:[Importe Neto]],Imput[[C. Imp.]:[C. Imp.]],$D66,Imput[[PERIODO Imp.]:[PERIODO Imp.]],BQ$9)</f>
        <v>0</v>
      </c>
      <c r="BR66" s="611">
        <f>SUMIFS(Imput[[Importe Neto]:[Importe Neto]],Imput[[C. Imp.]:[C. Imp.]],$D66,Imput[[PERIODO Imp.]:[PERIODO Imp.]],BR$9)</f>
        <v>0</v>
      </c>
      <c r="BS66" s="611">
        <f>SUMIFS(Imput[[Importe Neto]:[Importe Neto]],Imput[[C. Imp.]:[C. Imp.]],$D66,Imput[[PERIODO Imp.]:[PERIODO Imp.]],BS$9)</f>
        <v>0</v>
      </c>
      <c r="BT66" s="611">
        <f>SUMIFS(Imput[[Importe Neto]:[Importe Neto]],Imput[[C. Imp.]:[C. Imp.]],$D66,Imput[[PERIODO Imp.]:[PERIODO Imp.]],BT$9)</f>
        <v>0</v>
      </c>
      <c r="BU66" s="611">
        <f>SUMIFS(Imput[[Importe Neto]:[Importe Neto]],Imput[[C. Imp.]:[C. Imp.]],$D66,Imput[[PERIODO Imp.]:[PERIODO Imp.]],BU$9)</f>
        <v>0</v>
      </c>
      <c r="BV66" s="611">
        <f>SUMIFS(Imput[[Importe Neto]:[Importe Neto]],Imput[[C. Imp.]:[C. Imp.]],$D66,Imput[[PERIODO Imp.]:[PERIODO Imp.]],BV$9)</f>
        <v>0</v>
      </c>
      <c r="BW66" s="611">
        <f>SUMIFS(Imput[[Importe Neto]:[Importe Neto]],Imput[[C. Imp.]:[C. Imp.]],$D66,Imput[[PERIODO Imp.]:[PERIODO Imp.]],BW$9)</f>
        <v>0</v>
      </c>
      <c r="BX66" s="611">
        <f>SUMIFS(Imput[[Importe Neto]:[Importe Neto]],Imput[[C. Imp.]:[C. Imp.]],$D66,Imput[[PERIODO Imp.]:[PERIODO Imp.]],BX$9)</f>
        <v>0</v>
      </c>
      <c r="BY66" s="611">
        <f>SUMIFS(Imput[[Importe Neto]:[Importe Neto]],Imput[[C. Imp.]:[C. Imp.]],$D66,Imput[[PERIODO Imp.]:[PERIODO Imp.]],BY$9)</f>
        <v>0</v>
      </c>
      <c r="BZ66" s="611">
        <f>SUMIFS(Imput[[Importe Neto]:[Importe Neto]],Imput[[C. Imp.]:[C. Imp.]],$D66,Imput[[PERIODO Imp.]:[PERIODO Imp.]],BZ$9)</f>
        <v>0</v>
      </c>
      <c r="CA66" s="611">
        <f>SUMIFS(Imput[[Importe Neto]:[Importe Neto]],Imput[[C. Imp.]:[C. Imp.]],$D66,Imput[[PERIODO Imp.]:[PERIODO Imp.]],CA$9)</f>
        <v>0</v>
      </c>
      <c r="CB66" s="611">
        <f>SUMIFS(Imput[[Importe Neto]:[Importe Neto]],Imput[[C. Imp.]:[C. Imp.]],$D66,Imput[[PERIODO Imp.]:[PERIODO Imp.]],CB$9)</f>
        <v>0</v>
      </c>
      <c r="CC66" s="611">
        <f>SUMIFS(Imput[[Importe Neto]:[Importe Neto]],Imput[[C. Imp.]:[C. Imp.]],$D66,Imput[[PERIODO Imp.]:[PERIODO Imp.]],CC$9)</f>
        <v>0</v>
      </c>
      <c r="CD66" s="611">
        <f>SUMIFS(Imput[[Importe Neto]:[Importe Neto]],Imput[[C. Imp.]:[C. Imp.]],$D66,Imput[[PERIODO Imp.]:[PERIODO Imp.]],CD$9)</f>
        <v>0</v>
      </c>
      <c r="CE66" s="611">
        <f>SUMIFS(Imput[[Importe Neto]:[Importe Neto]],Imput[[C. Imp.]:[C. Imp.]],$D66,Imput[[PERIODO Imp.]:[PERIODO Imp.]],CE$9)</f>
        <v>0</v>
      </c>
      <c r="CF66" s="611">
        <f>SUMIFS(Imput[[Importe Neto]:[Importe Neto]],Imput[[C. Imp.]:[C. Imp.]],$D66,Imput[[PERIODO Imp.]:[PERIODO Imp.]],CF$9)</f>
        <v>0</v>
      </c>
      <c r="CG66" s="611">
        <f>SUMIFS(Imput[[Importe Neto]:[Importe Neto]],Imput[[C. Imp.]:[C. Imp.]],$D66,Imput[[PERIODO Imp.]:[PERIODO Imp.]],CG$9)</f>
        <v>0</v>
      </c>
      <c r="CH66" s="611">
        <f>SUMIFS(Imput[[Importe Neto]:[Importe Neto]],Imput[[C. Imp.]:[C. Imp.]],$D66,Imput[[PERIODO Imp.]:[PERIODO Imp.]],CH$9)</f>
        <v>0</v>
      </c>
      <c r="CI66" s="611">
        <f>SUMIFS(Imput[[Importe Neto]:[Importe Neto]],Imput[[C. Imp.]:[C. Imp.]],$D66,Imput[[PERIODO Imp.]:[PERIODO Imp.]],CI$9)</f>
        <v>0</v>
      </c>
      <c r="CJ66" s="611">
        <f>SUMIFS(Imput[[Importe Neto]:[Importe Neto]],Imput[[C. Imp.]:[C. Imp.]],$D66,Imput[[PERIODO Imp.]:[PERIODO Imp.]],CJ$9)</f>
        <v>0</v>
      </c>
      <c r="CK66" s="611">
        <f>SUMIFS(Imput[[Importe Neto]:[Importe Neto]],Imput[[C. Imp.]:[C. Imp.]],$D66,Imput[[PERIODO Imp.]:[PERIODO Imp.]],CK$9)</f>
        <v>0</v>
      </c>
      <c r="CL66" s="611">
        <f>SUMIFS(Imput[[Importe Neto]:[Importe Neto]],Imput[[C. Imp.]:[C. Imp.]],$D66,Imput[[PERIODO Imp.]:[PERIODO Imp.]],CL$9)</f>
        <v>0</v>
      </c>
      <c r="CM66" s="611">
        <f>SUMIFS(Imput[[Importe Neto]:[Importe Neto]],Imput[[C. Imp.]:[C. Imp.]],$D66,Imput[[PERIODO Imp.]:[PERIODO Imp.]],CM$9)</f>
        <v>0</v>
      </c>
      <c r="CN66" s="611">
        <f>SUMIFS(Imput[[Importe Neto]:[Importe Neto]],Imput[[C. Imp.]:[C. Imp.]],$D66,Imput[[PERIODO Imp.]:[PERIODO Imp.]],CN$9)</f>
        <v>0</v>
      </c>
      <c r="CO66" s="611">
        <f>SUMIFS(Imput[[Importe Neto]:[Importe Neto]],Imput[[C. Imp.]:[C. Imp.]],$D66,Imput[[PERIODO Imp.]:[PERIODO Imp.]],CO$9)</f>
        <v>0</v>
      </c>
      <c r="CP66" s="611">
        <f>SUMIFS(Imput[[Importe Neto]:[Importe Neto]],Imput[[C. Imp.]:[C. Imp.]],$D66,Imput[[PERIODO Imp.]:[PERIODO Imp.]],CP$9)</f>
        <v>0</v>
      </c>
      <c r="CQ66" s="611">
        <f>SUMIFS(Imput[[Importe Neto]:[Importe Neto]],Imput[[C. Imp.]:[C. Imp.]],$D66,Imput[[PERIODO Imp.]:[PERIODO Imp.]],CQ$9)</f>
        <v>0</v>
      </c>
      <c r="CR66" s="611">
        <f>SUMIFS(Imput[[Importe Neto]:[Importe Neto]],Imput[[C. Imp.]:[C. Imp.]],$D66,Imput[[PERIODO Imp.]:[PERIODO Imp.]],CR$9)</f>
        <v>0</v>
      </c>
      <c r="CS66" s="611">
        <f>SUMIFS(Imput[[Importe Neto]:[Importe Neto]],Imput[[C. Imp.]:[C. Imp.]],$D66,Imput[[PERIODO Imp.]:[PERIODO Imp.]],CS$9)</f>
        <v>0</v>
      </c>
      <c r="CT66" s="611">
        <f>SUMIFS(Imput[[Importe Neto]:[Importe Neto]],Imput[[C. Imp.]:[C. Imp.]],$D66,Imput[[PERIODO Imp.]:[PERIODO Imp.]],CT$9)</f>
        <v>0</v>
      </c>
      <c r="CU66" s="611">
        <f>SUMIFS(Imput[[Importe Neto]:[Importe Neto]],Imput[[C. Imp.]:[C. Imp.]],$D66,Imput[[PERIODO Imp.]:[PERIODO Imp.]],CU$9)</f>
        <v>0</v>
      </c>
      <c r="CV66" s="611">
        <f>SUMIFS(Imput[[Importe Neto]:[Importe Neto]],Imput[[C. Imp.]:[C. Imp.]],$D66,Imput[[PERIODO Imp.]:[PERIODO Imp.]],CV$9)</f>
        <v>0</v>
      </c>
      <c r="CW66" s="611">
        <f>SUMIFS(Imput[[Importe Neto]:[Importe Neto]],Imput[[C. Imp.]:[C. Imp.]],$D66,Imput[[PERIODO Imp.]:[PERIODO Imp.]],CW$9)</f>
        <v>0</v>
      </c>
      <c r="CX66" s="611">
        <f>SUMIFS(Imput[[Importe Neto]:[Importe Neto]],Imput[[C. Imp.]:[C. Imp.]],$D66,Imput[[PERIODO Imp.]:[PERIODO Imp.]],CX$9)</f>
        <v>0</v>
      </c>
      <c r="CY66" s="611">
        <f>SUMIFS(Imput[[Importe Neto]:[Importe Neto]],Imput[[C. Imp.]:[C. Imp.]],$D66,Imput[[PERIODO Imp.]:[PERIODO Imp.]],CY$9)</f>
        <v>0</v>
      </c>
      <c r="CZ66" s="611">
        <f>SUMIFS(Imput[[Importe Neto]:[Importe Neto]],Imput[[C. Imp.]:[C. Imp.]],$D66,Imput[[PERIODO Imp.]:[PERIODO Imp.]],CZ$9)</f>
        <v>0</v>
      </c>
      <c r="DA66" s="611">
        <f>SUMIFS(Imput[[Importe Neto]:[Importe Neto]],Imput[[C. Imp.]:[C. Imp.]],$D66,Imput[[PERIODO Imp.]:[PERIODO Imp.]],DA$9)</f>
        <v>0</v>
      </c>
      <c r="DB66" s="611">
        <f>SUMIFS(Imput[[Importe Neto]:[Importe Neto]],Imput[[C. Imp.]:[C. Imp.]],$D66,Imput[[PERIODO Imp.]:[PERIODO Imp.]],DB$9)</f>
        <v>0</v>
      </c>
      <c r="DC66" s="611">
        <f>SUMIFS(Imput[[Importe Neto]:[Importe Neto]],Imput[[C. Imp.]:[C. Imp.]],$D66,Imput[[PERIODO Imp.]:[PERIODO Imp.]],DC$9)</f>
        <v>0</v>
      </c>
      <c r="DD66" s="611">
        <f>SUMIFS(Imput[[Importe Neto]:[Importe Neto]],Imput[[C. Imp.]:[C. Imp.]],$D66,Imput[[PERIODO Imp.]:[PERIODO Imp.]],DD$9)</f>
        <v>0</v>
      </c>
      <c r="DE66" s="611">
        <f>SUMIFS(Imput[[Importe Neto]:[Importe Neto]],Imput[[C. Imp.]:[C. Imp.]],$D66,Imput[[PERIODO Imp.]:[PERIODO Imp.]],DE$9)</f>
        <v>0</v>
      </c>
      <c r="DF66" s="611">
        <f>SUMIFS(Imput[[Importe Neto]:[Importe Neto]],Imput[[C. Imp.]:[C. Imp.]],$D66,Imput[[PERIODO Imp.]:[PERIODO Imp.]],DF$9)</f>
        <v>0</v>
      </c>
      <c r="DG66" s="611">
        <f>SUMIFS(Imput[[Importe Neto]:[Importe Neto]],Imput[[C. Imp.]:[C. Imp.]],$D66,Imput[[PERIODO Imp.]:[PERIODO Imp.]],DG$9)</f>
        <v>0</v>
      </c>
      <c r="DH66" s="797">
        <f>SUMIFS(Imput[[Importe Neto]:[Importe Neto]],Imput[[C. Imp.]:[C. Imp.]],$D66,Imput[[PERIODO Imp.]:[PERIODO Imp.]],DH$9)</f>
        <v>0</v>
      </c>
    </row>
    <row r="67" spans="1:112" ht="14.4" outlineLevel="1" thickBot="1" x14ac:dyDescent="0.35">
      <c r="A67" s="652" t="str">
        <f>IF(J26&gt;0,"Imprimir","")</f>
        <v>Imprimir</v>
      </c>
      <c r="B67" s="652"/>
      <c r="C67" s="699"/>
      <c r="D67" s="700"/>
      <c r="E67" s="700"/>
      <c r="F67" s="701"/>
      <c r="G67" s="702"/>
      <c r="H67" s="703"/>
      <c r="I67" s="704"/>
      <c r="J67" s="705"/>
      <c r="K67" s="667"/>
      <c r="L67" s="706"/>
      <c r="M67" s="707"/>
      <c r="N67" s="777"/>
      <c r="O67" s="777"/>
      <c r="P67" s="778"/>
      <c r="Q67" s="778"/>
      <c r="R67" s="708"/>
      <c r="S67" s="708"/>
      <c r="T67" s="779"/>
      <c r="U67" s="779"/>
      <c r="V67" s="778"/>
      <c r="W67" s="778"/>
      <c r="X67" s="708"/>
      <c r="Y67" s="708"/>
      <c r="Z67" s="708"/>
      <c r="AA67" s="708"/>
      <c r="AB67" s="708"/>
      <c r="AC67" s="708"/>
      <c r="AD67" s="708"/>
      <c r="AE67" s="708"/>
      <c r="AF67" s="708"/>
      <c r="AG67" s="708"/>
      <c r="AH67" s="708"/>
      <c r="AI67" s="708"/>
      <c r="AJ67" s="708"/>
      <c r="AK67" s="708"/>
      <c r="AL67" s="708"/>
      <c r="AM67" s="708"/>
      <c r="AN67" s="708"/>
      <c r="AO67" s="708"/>
      <c r="AP67" s="708"/>
      <c r="AQ67" s="708"/>
      <c r="AR67" s="708"/>
      <c r="AS67" s="708"/>
      <c r="AT67" s="708"/>
      <c r="AU67" s="708"/>
      <c r="AV67" s="708"/>
      <c r="AW67" s="708"/>
      <c r="AX67" s="708"/>
      <c r="AY67" s="708"/>
      <c r="AZ67" s="708"/>
      <c r="BA67" s="708"/>
      <c r="BB67" s="708"/>
      <c r="BC67" s="708"/>
      <c r="BD67" s="708"/>
      <c r="BE67" s="708"/>
      <c r="BF67" s="708"/>
      <c r="BG67" s="721"/>
      <c r="BH67" s="780"/>
      <c r="BI67" s="654"/>
      <c r="BJ67" s="709"/>
      <c r="BK67" s="710"/>
      <c r="BL67" s="654"/>
      <c r="BM67" s="731"/>
      <c r="BN67" s="701"/>
      <c r="BO67" s="701"/>
      <c r="BP67" s="701"/>
      <c r="BQ67" s="701"/>
      <c r="BR67" s="701"/>
      <c r="BS67" s="701"/>
      <c r="BT67" s="701"/>
      <c r="BU67" s="701"/>
      <c r="BV67" s="701"/>
      <c r="BW67" s="701"/>
      <c r="BX67" s="701"/>
      <c r="BY67" s="701"/>
      <c r="BZ67" s="701"/>
      <c r="CA67" s="701"/>
      <c r="CB67" s="701"/>
      <c r="CC67" s="701"/>
      <c r="CD67" s="701"/>
      <c r="CE67" s="701"/>
      <c r="CF67" s="701"/>
      <c r="CG67" s="701"/>
      <c r="CH67" s="701"/>
      <c r="CI67" s="701"/>
      <c r="CJ67" s="701"/>
      <c r="CK67" s="701"/>
      <c r="CL67" s="701"/>
      <c r="CM67" s="701"/>
      <c r="CN67" s="701"/>
      <c r="CO67" s="701"/>
      <c r="CP67" s="701"/>
      <c r="CQ67" s="701"/>
      <c r="CR67" s="701"/>
      <c r="CS67" s="701"/>
      <c r="CT67" s="701"/>
      <c r="CU67" s="701"/>
      <c r="CV67" s="701"/>
      <c r="CW67" s="701"/>
      <c r="CX67" s="701"/>
      <c r="CY67" s="701"/>
      <c r="CZ67" s="701"/>
      <c r="DA67" s="701"/>
      <c r="DB67" s="701"/>
      <c r="DC67" s="701"/>
      <c r="DD67" s="701"/>
      <c r="DE67" s="701"/>
      <c r="DF67" s="701"/>
      <c r="DG67" s="701"/>
      <c r="DH67" s="710"/>
    </row>
    <row r="68" spans="1:112" x14ac:dyDescent="0.3">
      <c r="A68" s="652" t="str">
        <f>IF(J68&gt;0,"Imprimir","")</f>
        <v>Imprimir</v>
      </c>
      <c r="B68" s="652"/>
      <c r="C68" s="711"/>
      <c r="D68" s="712" t="s">
        <v>450</v>
      </c>
      <c r="E68" s="712" t="s">
        <v>482</v>
      </c>
      <c r="F68" s="712"/>
      <c r="G68" s="713"/>
      <c r="H68" s="712"/>
      <c r="I68" s="714"/>
      <c r="J68" s="715">
        <f>SUBTOTAL(9,J71:J120)</f>
        <v>29063.928571428569</v>
      </c>
      <c r="K68" s="658"/>
      <c r="L68" s="770">
        <f t="shared" ref="L68:BG68" si="20">SUMPRODUCT($J71:$J120,L71:L120)</f>
        <v>1162.5571428571427</v>
      </c>
      <c r="M68" s="771">
        <f t="shared" si="20"/>
        <v>1162.5571428571427</v>
      </c>
      <c r="N68" s="771">
        <f t="shared" si="20"/>
        <v>1162.5571428571427</v>
      </c>
      <c r="O68" s="771">
        <f t="shared" si="20"/>
        <v>1162.5571428571427</v>
      </c>
      <c r="P68" s="771">
        <f t="shared" si="20"/>
        <v>1162.5571428571427</v>
      </c>
      <c r="Q68" s="771">
        <f t="shared" si="20"/>
        <v>1162.5571428571427</v>
      </c>
      <c r="R68" s="771">
        <f t="shared" si="20"/>
        <v>1162.5571428571427</v>
      </c>
      <c r="S68" s="771">
        <f t="shared" si="20"/>
        <v>1162.5571428571427</v>
      </c>
      <c r="T68" s="771">
        <f t="shared" si="20"/>
        <v>1162.5571428571427</v>
      </c>
      <c r="U68" s="771">
        <f t="shared" si="20"/>
        <v>1162.5571428571427</v>
      </c>
      <c r="V68" s="771">
        <f t="shared" si="20"/>
        <v>1162.5571428571427</v>
      </c>
      <c r="W68" s="771">
        <f t="shared" si="20"/>
        <v>1162.5571428571427</v>
      </c>
      <c r="X68" s="771">
        <f t="shared" si="20"/>
        <v>1162.5571428571427</v>
      </c>
      <c r="Y68" s="771">
        <f t="shared" si="20"/>
        <v>1162.5571428571427</v>
      </c>
      <c r="Z68" s="771">
        <f t="shared" si="20"/>
        <v>1162.5571428571427</v>
      </c>
      <c r="AA68" s="771">
        <f t="shared" si="20"/>
        <v>1162.5571428571427</v>
      </c>
      <c r="AB68" s="771">
        <f t="shared" si="20"/>
        <v>1162.5571428571427</v>
      </c>
      <c r="AC68" s="771">
        <f t="shared" si="20"/>
        <v>1162.5571428571427</v>
      </c>
      <c r="AD68" s="771">
        <f t="shared" si="20"/>
        <v>1162.5571428571427</v>
      </c>
      <c r="AE68" s="771">
        <f t="shared" si="20"/>
        <v>1162.5571428571427</v>
      </c>
      <c r="AF68" s="771">
        <f t="shared" si="20"/>
        <v>1162.5571428571427</v>
      </c>
      <c r="AG68" s="771">
        <f t="shared" si="20"/>
        <v>1162.5571428571427</v>
      </c>
      <c r="AH68" s="771">
        <f t="shared" si="20"/>
        <v>1162.5571428571427</v>
      </c>
      <c r="AI68" s="771">
        <f t="shared" si="20"/>
        <v>1162.5571428571427</v>
      </c>
      <c r="AJ68" s="771">
        <f t="shared" si="20"/>
        <v>1162.5571428571427</v>
      </c>
      <c r="AK68" s="771">
        <f t="shared" si="20"/>
        <v>0</v>
      </c>
      <c r="AL68" s="771">
        <f t="shared" si="20"/>
        <v>0</v>
      </c>
      <c r="AM68" s="771">
        <f t="shared" si="20"/>
        <v>0</v>
      </c>
      <c r="AN68" s="771">
        <f t="shared" si="20"/>
        <v>0</v>
      </c>
      <c r="AO68" s="771">
        <f t="shared" si="20"/>
        <v>0</v>
      </c>
      <c r="AP68" s="771">
        <f t="shared" si="20"/>
        <v>0</v>
      </c>
      <c r="AQ68" s="771">
        <f t="shared" si="20"/>
        <v>0</v>
      </c>
      <c r="AR68" s="771">
        <f t="shared" si="20"/>
        <v>0</v>
      </c>
      <c r="AS68" s="771">
        <f t="shared" si="20"/>
        <v>0</v>
      </c>
      <c r="AT68" s="771">
        <f t="shared" si="20"/>
        <v>0</v>
      </c>
      <c r="AU68" s="771">
        <f t="shared" si="20"/>
        <v>0</v>
      </c>
      <c r="AV68" s="771">
        <f t="shared" si="20"/>
        <v>0</v>
      </c>
      <c r="AW68" s="771">
        <f t="shared" si="20"/>
        <v>0</v>
      </c>
      <c r="AX68" s="771">
        <f t="shared" si="20"/>
        <v>0</v>
      </c>
      <c r="AY68" s="771">
        <f t="shared" si="20"/>
        <v>0</v>
      </c>
      <c r="AZ68" s="771">
        <f t="shared" si="20"/>
        <v>0</v>
      </c>
      <c r="BA68" s="771">
        <f t="shared" si="20"/>
        <v>0</v>
      </c>
      <c r="BB68" s="771">
        <f t="shared" si="20"/>
        <v>0</v>
      </c>
      <c r="BC68" s="771">
        <f t="shared" si="20"/>
        <v>0</v>
      </c>
      <c r="BD68" s="771">
        <f t="shared" si="20"/>
        <v>0</v>
      </c>
      <c r="BE68" s="771">
        <f t="shared" si="20"/>
        <v>0</v>
      </c>
      <c r="BF68" s="771">
        <f t="shared" si="20"/>
        <v>0</v>
      </c>
      <c r="BG68" s="765">
        <f t="shared" si="20"/>
        <v>0</v>
      </c>
      <c r="BH68" s="776"/>
      <c r="BI68" s="654"/>
      <c r="BJ68" s="659">
        <f>IFERROR(BK68/J68,0)</f>
        <v>1.2457301465980171</v>
      </c>
      <c r="BK68" s="660">
        <f>SUBTOTAL(9,BK69:BK120)</f>
        <v>36205.812000000005</v>
      </c>
      <c r="BL68" s="654"/>
      <c r="BM68" s="661">
        <f>SUBTOTAL(9,BM69:BM120)</f>
        <v>0</v>
      </c>
      <c r="BN68" s="662">
        <f>SUBTOTAL(9,BN69:BN120)</f>
        <v>0</v>
      </c>
      <c r="BO68" s="662">
        <f t="shared" ref="BO68:DH68" si="21">SUBTOTAL(9,BO69:BO120)</f>
        <v>0</v>
      </c>
      <c r="BP68" s="662">
        <f t="shared" si="21"/>
        <v>0</v>
      </c>
      <c r="BQ68" s="662">
        <f t="shared" si="21"/>
        <v>0</v>
      </c>
      <c r="BR68" s="662">
        <f t="shared" si="21"/>
        <v>36205.812000000005</v>
      </c>
      <c r="BS68" s="662">
        <f t="shared" si="21"/>
        <v>0</v>
      </c>
      <c r="BT68" s="662">
        <f t="shared" si="21"/>
        <v>0</v>
      </c>
      <c r="BU68" s="662">
        <f t="shared" si="21"/>
        <v>0</v>
      </c>
      <c r="BV68" s="662">
        <f t="shared" si="21"/>
        <v>0</v>
      </c>
      <c r="BW68" s="662">
        <f t="shared" si="21"/>
        <v>0</v>
      </c>
      <c r="BX68" s="662">
        <f t="shared" si="21"/>
        <v>0</v>
      </c>
      <c r="BY68" s="662">
        <f t="shared" si="21"/>
        <v>0</v>
      </c>
      <c r="BZ68" s="662">
        <f t="shared" si="21"/>
        <v>0</v>
      </c>
      <c r="CA68" s="662">
        <f t="shared" si="21"/>
        <v>0</v>
      </c>
      <c r="CB68" s="662">
        <f t="shared" si="21"/>
        <v>0</v>
      </c>
      <c r="CC68" s="662">
        <f t="shared" si="21"/>
        <v>0</v>
      </c>
      <c r="CD68" s="662">
        <f t="shared" si="21"/>
        <v>0</v>
      </c>
      <c r="CE68" s="662">
        <f t="shared" si="21"/>
        <v>0</v>
      </c>
      <c r="CF68" s="662">
        <f t="shared" si="21"/>
        <v>0</v>
      </c>
      <c r="CG68" s="662">
        <f t="shared" si="21"/>
        <v>0</v>
      </c>
      <c r="CH68" s="662">
        <f t="shared" si="21"/>
        <v>0</v>
      </c>
      <c r="CI68" s="662">
        <f t="shared" si="21"/>
        <v>0</v>
      </c>
      <c r="CJ68" s="662">
        <f t="shared" si="21"/>
        <v>0</v>
      </c>
      <c r="CK68" s="662">
        <f t="shared" si="21"/>
        <v>0</v>
      </c>
      <c r="CL68" s="662">
        <f t="shared" si="21"/>
        <v>0</v>
      </c>
      <c r="CM68" s="662">
        <f t="shared" si="21"/>
        <v>0</v>
      </c>
      <c r="CN68" s="662">
        <f t="shared" si="21"/>
        <v>0</v>
      </c>
      <c r="CO68" s="662">
        <f t="shared" si="21"/>
        <v>0</v>
      </c>
      <c r="CP68" s="662">
        <f t="shared" si="21"/>
        <v>0</v>
      </c>
      <c r="CQ68" s="662">
        <f t="shared" si="21"/>
        <v>0</v>
      </c>
      <c r="CR68" s="662">
        <f t="shared" si="21"/>
        <v>0</v>
      </c>
      <c r="CS68" s="662">
        <f t="shared" si="21"/>
        <v>0</v>
      </c>
      <c r="CT68" s="662">
        <f t="shared" si="21"/>
        <v>0</v>
      </c>
      <c r="CU68" s="662">
        <f t="shared" si="21"/>
        <v>0</v>
      </c>
      <c r="CV68" s="662">
        <f t="shared" si="21"/>
        <v>0</v>
      </c>
      <c r="CW68" s="662">
        <f t="shared" si="21"/>
        <v>0</v>
      </c>
      <c r="CX68" s="662">
        <f t="shared" si="21"/>
        <v>0</v>
      </c>
      <c r="CY68" s="662">
        <f t="shared" si="21"/>
        <v>0</v>
      </c>
      <c r="CZ68" s="662">
        <f t="shared" si="21"/>
        <v>0</v>
      </c>
      <c r="DA68" s="662">
        <f t="shared" si="21"/>
        <v>0</v>
      </c>
      <c r="DB68" s="662">
        <f t="shared" si="21"/>
        <v>0</v>
      </c>
      <c r="DC68" s="662">
        <f t="shared" si="21"/>
        <v>0</v>
      </c>
      <c r="DD68" s="662">
        <f t="shared" si="21"/>
        <v>0</v>
      </c>
      <c r="DE68" s="662">
        <f t="shared" si="21"/>
        <v>0</v>
      </c>
      <c r="DF68" s="662">
        <f t="shared" si="21"/>
        <v>0</v>
      </c>
      <c r="DG68" s="662">
        <f t="shared" si="21"/>
        <v>0</v>
      </c>
      <c r="DH68" s="663">
        <f t="shared" si="21"/>
        <v>0</v>
      </c>
    </row>
    <row r="69" spans="1:112" s="649" customFormat="1" outlineLevel="1" x14ac:dyDescent="0.3">
      <c r="A69" s="652" t="str">
        <f>IF(J68&gt;0,"Imprimir","")</f>
        <v>Imprimir</v>
      </c>
      <c r="B69" s="652"/>
      <c r="C69" s="664"/>
      <c r="D69" s="665"/>
      <c r="E69" s="665"/>
      <c r="F69" s="665" t="s">
        <v>472</v>
      </c>
      <c r="G69" s="716" t="s">
        <v>2128</v>
      </c>
      <c r="H69" s="665" t="str">
        <f>H15</f>
        <v>Cantidad</v>
      </c>
      <c r="I69" s="665" t="s">
        <v>474</v>
      </c>
      <c r="J69" s="666" t="s">
        <v>29</v>
      </c>
      <c r="K69" s="667"/>
      <c r="L69" s="745"/>
      <c r="M69" s="741"/>
      <c r="N69" s="741"/>
      <c r="O69" s="741"/>
      <c r="P69" s="741"/>
      <c r="Q69" s="741"/>
      <c r="R69" s="741"/>
      <c r="S69" s="741"/>
      <c r="T69" s="741"/>
      <c r="U69" s="741"/>
      <c r="V69" s="741"/>
      <c r="W69" s="741"/>
      <c r="X69" s="741"/>
      <c r="Y69" s="741"/>
      <c r="Z69" s="741"/>
      <c r="AA69" s="741"/>
      <c r="AB69" s="741"/>
      <c r="AC69" s="741"/>
      <c r="AD69" s="741"/>
      <c r="AE69" s="741"/>
      <c r="AF69" s="741"/>
      <c r="AG69" s="741"/>
      <c r="AH69" s="741"/>
      <c r="AI69" s="741"/>
      <c r="AJ69" s="741"/>
      <c r="AK69" s="741"/>
      <c r="AL69" s="741"/>
      <c r="AM69" s="741"/>
      <c r="AN69" s="741"/>
      <c r="AO69" s="741"/>
      <c r="AP69" s="741"/>
      <c r="AQ69" s="741"/>
      <c r="AR69" s="741"/>
      <c r="AS69" s="741"/>
      <c r="AT69" s="741"/>
      <c r="AU69" s="741"/>
      <c r="AV69" s="741"/>
      <c r="AW69" s="741"/>
      <c r="AX69" s="741"/>
      <c r="AY69" s="741"/>
      <c r="AZ69" s="741"/>
      <c r="BA69" s="741"/>
      <c r="BB69" s="741"/>
      <c r="BC69" s="741"/>
      <c r="BD69" s="741"/>
      <c r="BE69" s="741"/>
      <c r="BF69" s="741"/>
      <c r="BG69" s="746"/>
      <c r="BH69" s="668"/>
      <c r="BI69" s="654"/>
      <c r="BJ69" s="669"/>
      <c r="BK69" s="670"/>
      <c r="BL69" s="654"/>
      <c r="BM69" s="671"/>
      <c r="BN69" s="665"/>
      <c r="BO69" s="665"/>
      <c r="BP69" s="665"/>
      <c r="BQ69" s="665"/>
      <c r="BR69" s="665"/>
      <c r="BS69" s="665"/>
      <c r="BT69" s="665"/>
      <c r="BU69" s="665"/>
      <c r="BV69" s="665"/>
      <c r="BW69" s="665"/>
      <c r="BX69" s="665"/>
      <c r="BY69" s="665"/>
      <c r="BZ69" s="665"/>
      <c r="CA69" s="665"/>
      <c r="CB69" s="665"/>
      <c r="CC69" s="665"/>
      <c r="CD69" s="665"/>
      <c r="CE69" s="665"/>
      <c r="CF69" s="665"/>
      <c r="CG69" s="665"/>
      <c r="CH69" s="665"/>
      <c r="CI69" s="665"/>
      <c r="CJ69" s="665"/>
      <c r="CK69" s="665"/>
      <c r="CL69" s="665"/>
      <c r="CM69" s="665"/>
      <c r="CN69" s="665"/>
      <c r="CO69" s="665"/>
      <c r="CP69" s="665"/>
      <c r="CQ69" s="665"/>
      <c r="CR69" s="665"/>
      <c r="CS69" s="665"/>
      <c r="CT69" s="665"/>
      <c r="CU69" s="665"/>
      <c r="CV69" s="665"/>
      <c r="CW69" s="665"/>
      <c r="CX69" s="665"/>
      <c r="CY69" s="665"/>
      <c r="CZ69" s="665"/>
      <c r="DA69" s="665"/>
      <c r="DB69" s="665"/>
      <c r="DC69" s="665"/>
      <c r="DD69" s="665"/>
      <c r="DE69" s="665"/>
      <c r="DF69" s="665"/>
      <c r="DG69" s="665"/>
      <c r="DH69" s="666"/>
    </row>
    <row r="70" spans="1:112" ht="15.6" outlineLevel="1" x14ac:dyDescent="0.3">
      <c r="A70" s="652" t="str">
        <f>IF(J70&gt;0,"Imprimir","")</f>
        <v>Imprimir</v>
      </c>
      <c r="B70" s="652"/>
      <c r="C70" s="672"/>
      <c r="D70" s="673"/>
      <c r="E70" s="674" t="s">
        <v>483</v>
      </c>
      <c r="F70" s="675"/>
      <c r="G70" s="717"/>
      <c r="H70" s="718"/>
      <c r="I70" s="719"/>
      <c r="J70" s="219">
        <f>SUBTOTAL(9,J71:J120)</f>
        <v>29063.928571428569</v>
      </c>
      <c r="K70" s="678"/>
      <c r="L70" s="747"/>
      <c r="M70" s="742"/>
      <c r="N70" s="742"/>
      <c r="O70" s="742"/>
      <c r="P70" s="742"/>
      <c r="Q70" s="742"/>
      <c r="R70" s="742"/>
      <c r="S70" s="742"/>
      <c r="T70" s="742"/>
      <c r="U70" s="742"/>
      <c r="V70" s="742"/>
      <c r="W70" s="742"/>
      <c r="X70" s="742"/>
      <c r="Y70" s="742"/>
      <c r="Z70" s="742"/>
      <c r="AA70" s="742"/>
      <c r="AB70" s="742"/>
      <c r="AC70" s="742"/>
      <c r="AD70" s="742"/>
      <c r="AE70" s="742"/>
      <c r="AF70" s="742"/>
      <c r="AG70" s="742"/>
      <c r="AH70" s="742"/>
      <c r="AI70" s="742"/>
      <c r="AJ70" s="742"/>
      <c r="AK70" s="742"/>
      <c r="AL70" s="742"/>
      <c r="AM70" s="742"/>
      <c r="AN70" s="742"/>
      <c r="AO70" s="742"/>
      <c r="AP70" s="742"/>
      <c r="AQ70" s="742"/>
      <c r="AR70" s="742"/>
      <c r="AS70" s="742"/>
      <c r="AT70" s="742"/>
      <c r="AU70" s="742"/>
      <c r="AV70" s="742"/>
      <c r="AW70" s="742"/>
      <c r="AX70" s="742"/>
      <c r="AY70" s="742"/>
      <c r="AZ70" s="742"/>
      <c r="BA70" s="742"/>
      <c r="BB70" s="742"/>
      <c r="BC70" s="742"/>
      <c r="BD70" s="742"/>
      <c r="BE70" s="742"/>
      <c r="BF70" s="742"/>
      <c r="BG70" s="748"/>
      <c r="BH70" s="668"/>
      <c r="BI70" s="654"/>
      <c r="BJ70" s="680"/>
      <c r="BK70" s="681"/>
      <c r="BL70" s="654"/>
      <c r="BM70" s="682"/>
      <c r="BN70" s="683"/>
      <c r="BO70" s="683"/>
      <c r="BP70" s="683"/>
      <c r="BQ70" s="683"/>
      <c r="BR70" s="683"/>
      <c r="BS70" s="683"/>
      <c r="BT70" s="683"/>
      <c r="BU70" s="683"/>
      <c r="BV70" s="683"/>
      <c r="BW70" s="683"/>
      <c r="BX70" s="683"/>
      <c r="BY70" s="683"/>
      <c r="BZ70" s="683"/>
      <c r="CA70" s="683"/>
      <c r="CB70" s="683"/>
      <c r="CC70" s="683"/>
      <c r="CD70" s="683"/>
      <c r="CE70" s="683"/>
      <c r="CF70" s="683"/>
      <c r="CG70" s="683"/>
      <c r="CH70" s="683"/>
      <c r="CI70" s="683"/>
      <c r="CJ70" s="683"/>
      <c r="CK70" s="683"/>
      <c r="CL70" s="683"/>
      <c r="CM70" s="683"/>
      <c r="CN70" s="683"/>
      <c r="CO70" s="683"/>
      <c r="CP70" s="683"/>
      <c r="CQ70" s="683"/>
      <c r="CR70" s="683"/>
      <c r="CS70" s="683"/>
      <c r="CT70" s="683"/>
      <c r="CU70" s="683"/>
      <c r="CV70" s="683"/>
      <c r="CW70" s="683"/>
      <c r="CX70" s="683"/>
      <c r="CY70" s="683"/>
      <c r="CZ70" s="683"/>
      <c r="DA70" s="683"/>
      <c r="DB70" s="683"/>
      <c r="DC70" s="683"/>
      <c r="DD70" s="683"/>
      <c r="DE70" s="683"/>
      <c r="DF70" s="683"/>
      <c r="DG70" s="683"/>
      <c r="DH70" s="684"/>
    </row>
    <row r="71" spans="1:112" outlineLevel="1" x14ac:dyDescent="0.3">
      <c r="A71" s="652" t="str">
        <f t="shared" ref="A71:A119" si="22">IF(J71="","",IF(J71=0,"","Imprimir"))</f>
        <v>Imprimir</v>
      </c>
      <c r="B71" s="652"/>
      <c r="C71" s="685"/>
      <c r="D71" s="686" t="s">
        <v>2178</v>
      </c>
      <c r="E71" s="686" t="s">
        <v>484</v>
      </c>
      <c r="F71" s="720"/>
      <c r="G71" s="688">
        <v>442.85714285714283</v>
      </c>
      <c r="H71" s="689">
        <f>Producción!G12*1.4625</f>
        <v>24.862499999999997</v>
      </c>
      <c r="I71" s="851">
        <f t="shared" ref="I71:I119" si="23">IF(E71&gt;0,$J$5,"")</f>
        <v>1</v>
      </c>
      <c r="J71" s="852">
        <f t="shared" ref="J71:J119" si="24">IFERROR(G71*H71*I71,"")</f>
        <v>11010.535714285712</v>
      </c>
      <c r="K71" s="667"/>
      <c r="L71" s="858">
        <v>0.04</v>
      </c>
      <c r="M71" s="859">
        <v>0.04</v>
      </c>
      <c r="N71" s="859">
        <v>0.04</v>
      </c>
      <c r="O71" s="859">
        <v>0.04</v>
      </c>
      <c r="P71" s="859">
        <v>0.04</v>
      </c>
      <c r="Q71" s="859">
        <v>0.04</v>
      </c>
      <c r="R71" s="859">
        <v>0.04</v>
      </c>
      <c r="S71" s="859">
        <v>0.04</v>
      </c>
      <c r="T71" s="859">
        <v>0.04</v>
      </c>
      <c r="U71" s="859">
        <v>0.04</v>
      </c>
      <c r="V71" s="859">
        <v>0.04</v>
      </c>
      <c r="W71" s="859">
        <v>0.04</v>
      </c>
      <c r="X71" s="859">
        <v>0.04</v>
      </c>
      <c r="Y71" s="859">
        <v>0.04</v>
      </c>
      <c r="Z71" s="860">
        <v>0.04</v>
      </c>
      <c r="AA71" s="860">
        <v>0.04</v>
      </c>
      <c r="AB71" s="860">
        <v>0.04</v>
      </c>
      <c r="AC71" s="860">
        <v>0.04</v>
      </c>
      <c r="AD71" s="860">
        <v>0.04</v>
      </c>
      <c r="AE71" s="860">
        <v>0.04</v>
      </c>
      <c r="AF71" s="860">
        <v>0.04</v>
      </c>
      <c r="AG71" s="860">
        <v>0.04</v>
      </c>
      <c r="AH71" s="860">
        <v>0.04</v>
      </c>
      <c r="AI71" s="860">
        <v>0.04</v>
      </c>
      <c r="AJ71" s="860">
        <v>0.04</v>
      </c>
      <c r="AK71" s="860"/>
      <c r="AL71" s="860"/>
      <c r="AM71" s="860"/>
      <c r="AN71" s="860"/>
      <c r="AO71" s="860"/>
      <c r="AP71" s="860"/>
      <c r="AQ71" s="860"/>
      <c r="AR71" s="860"/>
      <c r="AS71" s="860"/>
      <c r="AT71" s="860"/>
      <c r="AU71" s="860"/>
      <c r="AV71" s="860"/>
      <c r="AW71" s="860"/>
      <c r="AX71" s="860"/>
      <c r="AY71" s="860"/>
      <c r="AZ71" s="860"/>
      <c r="BA71" s="860"/>
      <c r="BB71" s="860"/>
      <c r="BC71" s="860"/>
      <c r="BD71" s="860"/>
      <c r="BE71" s="860"/>
      <c r="BF71" s="860"/>
      <c r="BG71" s="861"/>
      <c r="BH71" s="668"/>
      <c r="BI71" s="667"/>
      <c r="BJ71" s="690">
        <f t="shared" ref="BJ71:BJ119" si="25">IFERROR(BK71/J71,0)</f>
        <v>1.9021199824843094</v>
      </c>
      <c r="BK71" s="691">
        <f t="shared" ref="BK71:BK119" si="26">SUM(BM71:DH71)</f>
        <v>20943.36</v>
      </c>
      <c r="BL71" s="654"/>
      <c r="BM71" s="692">
        <f>SUMIFS(Imput[[Importe Neto]:[Importe Neto]],Imput[[C. Imp.]:[C. Imp.]],$D71,Imput[[PERIODO Imp.]:[PERIODO Imp.]],BM$9)</f>
        <v>0</v>
      </c>
      <c r="BN71" s="693">
        <f>SUMIFS(Imput[[Importe Neto]:[Importe Neto]],Imput[[C. Imp.]:[C. Imp.]],$D71,Imput[[PERIODO Imp.]:[PERIODO Imp.]],BN$9)</f>
        <v>0</v>
      </c>
      <c r="BO71" s="693">
        <f>SUMIFS(Imput[[Importe Neto]:[Importe Neto]],Imput[[C. Imp.]:[C. Imp.]],$D71,Imput[[PERIODO Imp.]:[PERIODO Imp.]],BO$9)</f>
        <v>0</v>
      </c>
      <c r="BP71" s="693">
        <f>SUMIFS(Imput[[Importe Neto]:[Importe Neto]],Imput[[C. Imp.]:[C. Imp.]],$D71,Imput[[PERIODO Imp.]:[PERIODO Imp.]],BP$9)</f>
        <v>0</v>
      </c>
      <c r="BQ71" s="693">
        <f>SUMIFS(Imput[[Importe Neto]:[Importe Neto]],Imput[[C. Imp.]:[C. Imp.]],$D71,Imput[[PERIODO Imp.]:[PERIODO Imp.]],BQ$9)</f>
        <v>0</v>
      </c>
      <c r="BR71" s="693">
        <f>SUMIFS(Imput[[Importe Neto]:[Importe Neto]],Imput[[C. Imp.]:[C. Imp.]],$D71,Imput[[PERIODO Imp.]:[PERIODO Imp.]],BR$9)</f>
        <v>20943.36</v>
      </c>
      <c r="BS71" s="693">
        <f>SUMIFS(Imput[[Importe Neto]:[Importe Neto]],Imput[[C. Imp.]:[C. Imp.]],$D71,Imput[[PERIODO Imp.]:[PERIODO Imp.]],BS$9)</f>
        <v>0</v>
      </c>
      <c r="BT71" s="693">
        <f>SUMIFS(Imput[[Importe Neto]:[Importe Neto]],Imput[[C. Imp.]:[C. Imp.]],$D71,Imput[[PERIODO Imp.]:[PERIODO Imp.]],BT$9)</f>
        <v>0</v>
      </c>
      <c r="BU71" s="693">
        <f>SUMIFS(Imput[[Importe Neto]:[Importe Neto]],Imput[[C. Imp.]:[C. Imp.]],$D71,Imput[[PERIODO Imp.]:[PERIODO Imp.]],BU$9)</f>
        <v>0</v>
      </c>
      <c r="BV71" s="693">
        <f>SUMIFS(Imput[[Importe Neto]:[Importe Neto]],Imput[[C. Imp.]:[C. Imp.]],$D71,Imput[[PERIODO Imp.]:[PERIODO Imp.]],BV$9)</f>
        <v>0</v>
      </c>
      <c r="BW71" s="693">
        <f>SUMIFS(Imput[[Importe Neto]:[Importe Neto]],Imput[[C. Imp.]:[C. Imp.]],$D71,Imput[[PERIODO Imp.]:[PERIODO Imp.]],BW$9)</f>
        <v>0</v>
      </c>
      <c r="BX71" s="693">
        <f>SUMIFS(Imput[[Importe Neto]:[Importe Neto]],Imput[[C. Imp.]:[C. Imp.]],$D71,Imput[[PERIODO Imp.]:[PERIODO Imp.]],BX$9)</f>
        <v>0</v>
      </c>
      <c r="BY71" s="693">
        <f>SUMIFS(Imput[[Importe Neto]:[Importe Neto]],Imput[[C. Imp.]:[C. Imp.]],$D71,Imput[[PERIODO Imp.]:[PERIODO Imp.]],BY$9)</f>
        <v>0</v>
      </c>
      <c r="BZ71" s="693">
        <f>SUMIFS(Imput[[Importe Neto]:[Importe Neto]],Imput[[C. Imp.]:[C. Imp.]],$D71,Imput[[PERIODO Imp.]:[PERIODO Imp.]],BZ$9)</f>
        <v>0</v>
      </c>
      <c r="CA71" s="693">
        <f>SUMIFS(Imput[[Importe Neto]:[Importe Neto]],Imput[[C. Imp.]:[C. Imp.]],$D71,Imput[[PERIODO Imp.]:[PERIODO Imp.]],CA$9)</f>
        <v>0</v>
      </c>
      <c r="CB71" s="693">
        <f>SUMIFS(Imput[[Importe Neto]:[Importe Neto]],Imput[[C. Imp.]:[C. Imp.]],$D71,Imput[[PERIODO Imp.]:[PERIODO Imp.]],CB$9)</f>
        <v>0</v>
      </c>
      <c r="CC71" s="693">
        <f>SUMIFS(Imput[[Importe Neto]:[Importe Neto]],Imput[[C. Imp.]:[C. Imp.]],$D71,Imput[[PERIODO Imp.]:[PERIODO Imp.]],CC$9)</f>
        <v>0</v>
      </c>
      <c r="CD71" s="693">
        <f>SUMIFS(Imput[[Importe Neto]:[Importe Neto]],Imput[[C. Imp.]:[C. Imp.]],$D71,Imput[[PERIODO Imp.]:[PERIODO Imp.]],CD$9)</f>
        <v>0</v>
      </c>
      <c r="CE71" s="693">
        <f>SUMIFS(Imput[[Importe Neto]:[Importe Neto]],Imput[[C. Imp.]:[C. Imp.]],$D71,Imput[[PERIODO Imp.]:[PERIODO Imp.]],CE$9)</f>
        <v>0</v>
      </c>
      <c r="CF71" s="693">
        <f>SUMIFS(Imput[[Importe Neto]:[Importe Neto]],Imput[[C. Imp.]:[C. Imp.]],$D71,Imput[[PERIODO Imp.]:[PERIODO Imp.]],CF$9)</f>
        <v>0</v>
      </c>
      <c r="CG71" s="693">
        <f>SUMIFS(Imput[[Importe Neto]:[Importe Neto]],Imput[[C. Imp.]:[C. Imp.]],$D71,Imput[[PERIODO Imp.]:[PERIODO Imp.]],CG$9)</f>
        <v>0</v>
      </c>
      <c r="CH71" s="693">
        <f>SUMIFS(Imput[[Importe Neto]:[Importe Neto]],Imput[[C. Imp.]:[C. Imp.]],$D71,Imput[[PERIODO Imp.]:[PERIODO Imp.]],CH$9)</f>
        <v>0</v>
      </c>
      <c r="CI71" s="693">
        <f>SUMIFS(Imput[[Importe Neto]:[Importe Neto]],Imput[[C. Imp.]:[C. Imp.]],$D71,Imput[[PERIODO Imp.]:[PERIODO Imp.]],CI$9)</f>
        <v>0</v>
      </c>
      <c r="CJ71" s="693">
        <f>SUMIFS(Imput[[Importe Neto]:[Importe Neto]],Imput[[C. Imp.]:[C. Imp.]],$D71,Imput[[PERIODO Imp.]:[PERIODO Imp.]],CJ$9)</f>
        <v>0</v>
      </c>
      <c r="CK71" s="693">
        <f>SUMIFS(Imput[[Importe Neto]:[Importe Neto]],Imput[[C. Imp.]:[C. Imp.]],$D71,Imput[[PERIODO Imp.]:[PERIODO Imp.]],CK$9)</f>
        <v>0</v>
      </c>
      <c r="CL71" s="693">
        <f>SUMIFS(Imput[[Importe Neto]:[Importe Neto]],Imput[[C. Imp.]:[C. Imp.]],$D71,Imput[[PERIODO Imp.]:[PERIODO Imp.]],CL$9)</f>
        <v>0</v>
      </c>
      <c r="CM71" s="693">
        <f>SUMIFS(Imput[[Importe Neto]:[Importe Neto]],Imput[[C. Imp.]:[C. Imp.]],$D71,Imput[[PERIODO Imp.]:[PERIODO Imp.]],CM$9)</f>
        <v>0</v>
      </c>
      <c r="CN71" s="693">
        <f>SUMIFS(Imput[[Importe Neto]:[Importe Neto]],Imput[[C. Imp.]:[C. Imp.]],$D71,Imput[[PERIODO Imp.]:[PERIODO Imp.]],CN$9)</f>
        <v>0</v>
      </c>
      <c r="CO71" s="693">
        <f>SUMIFS(Imput[[Importe Neto]:[Importe Neto]],Imput[[C. Imp.]:[C. Imp.]],$D71,Imput[[PERIODO Imp.]:[PERIODO Imp.]],CO$9)</f>
        <v>0</v>
      </c>
      <c r="CP71" s="693">
        <f>SUMIFS(Imput[[Importe Neto]:[Importe Neto]],Imput[[C. Imp.]:[C. Imp.]],$D71,Imput[[PERIODO Imp.]:[PERIODO Imp.]],CP$9)</f>
        <v>0</v>
      </c>
      <c r="CQ71" s="693">
        <f>SUMIFS(Imput[[Importe Neto]:[Importe Neto]],Imput[[C. Imp.]:[C. Imp.]],$D71,Imput[[PERIODO Imp.]:[PERIODO Imp.]],CQ$9)</f>
        <v>0</v>
      </c>
      <c r="CR71" s="693">
        <f>SUMIFS(Imput[[Importe Neto]:[Importe Neto]],Imput[[C. Imp.]:[C. Imp.]],$D71,Imput[[PERIODO Imp.]:[PERIODO Imp.]],CR$9)</f>
        <v>0</v>
      </c>
      <c r="CS71" s="693">
        <f>SUMIFS(Imput[[Importe Neto]:[Importe Neto]],Imput[[C. Imp.]:[C. Imp.]],$D71,Imput[[PERIODO Imp.]:[PERIODO Imp.]],CS$9)</f>
        <v>0</v>
      </c>
      <c r="CT71" s="693">
        <f>SUMIFS(Imput[[Importe Neto]:[Importe Neto]],Imput[[C. Imp.]:[C. Imp.]],$D71,Imput[[PERIODO Imp.]:[PERIODO Imp.]],CT$9)</f>
        <v>0</v>
      </c>
      <c r="CU71" s="693">
        <f>SUMIFS(Imput[[Importe Neto]:[Importe Neto]],Imput[[C. Imp.]:[C. Imp.]],$D71,Imput[[PERIODO Imp.]:[PERIODO Imp.]],CU$9)</f>
        <v>0</v>
      </c>
      <c r="CV71" s="693">
        <f>SUMIFS(Imput[[Importe Neto]:[Importe Neto]],Imput[[C. Imp.]:[C. Imp.]],$D71,Imput[[PERIODO Imp.]:[PERIODO Imp.]],CV$9)</f>
        <v>0</v>
      </c>
      <c r="CW71" s="693">
        <f>SUMIFS(Imput[[Importe Neto]:[Importe Neto]],Imput[[C. Imp.]:[C. Imp.]],$D71,Imput[[PERIODO Imp.]:[PERIODO Imp.]],CW$9)</f>
        <v>0</v>
      </c>
      <c r="CX71" s="693">
        <f>SUMIFS(Imput[[Importe Neto]:[Importe Neto]],Imput[[C. Imp.]:[C. Imp.]],$D71,Imput[[PERIODO Imp.]:[PERIODO Imp.]],CX$9)</f>
        <v>0</v>
      </c>
      <c r="CY71" s="693">
        <f>SUMIFS(Imput[[Importe Neto]:[Importe Neto]],Imput[[C. Imp.]:[C. Imp.]],$D71,Imput[[PERIODO Imp.]:[PERIODO Imp.]],CY$9)</f>
        <v>0</v>
      </c>
      <c r="CZ71" s="693">
        <f>SUMIFS(Imput[[Importe Neto]:[Importe Neto]],Imput[[C. Imp.]:[C. Imp.]],$D71,Imput[[PERIODO Imp.]:[PERIODO Imp.]],CZ$9)</f>
        <v>0</v>
      </c>
      <c r="DA71" s="693">
        <f>SUMIFS(Imput[[Importe Neto]:[Importe Neto]],Imput[[C. Imp.]:[C. Imp.]],$D71,Imput[[PERIODO Imp.]:[PERIODO Imp.]],DA$9)</f>
        <v>0</v>
      </c>
      <c r="DB71" s="693">
        <f>SUMIFS(Imput[[Importe Neto]:[Importe Neto]],Imput[[C. Imp.]:[C. Imp.]],$D71,Imput[[PERIODO Imp.]:[PERIODO Imp.]],DB$9)</f>
        <v>0</v>
      </c>
      <c r="DC71" s="693">
        <f>SUMIFS(Imput[[Importe Neto]:[Importe Neto]],Imput[[C. Imp.]:[C. Imp.]],$D71,Imput[[PERIODO Imp.]:[PERIODO Imp.]],DC$9)</f>
        <v>0</v>
      </c>
      <c r="DD71" s="693">
        <f>SUMIFS(Imput[[Importe Neto]:[Importe Neto]],Imput[[C. Imp.]:[C. Imp.]],$D71,Imput[[PERIODO Imp.]:[PERIODO Imp.]],DD$9)</f>
        <v>0</v>
      </c>
      <c r="DE71" s="693">
        <f>SUMIFS(Imput[[Importe Neto]:[Importe Neto]],Imput[[C. Imp.]:[C. Imp.]],$D71,Imput[[PERIODO Imp.]:[PERIODO Imp.]],DE$9)</f>
        <v>0</v>
      </c>
      <c r="DF71" s="693">
        <f>SUMIFS(Imput[[Importe Neto]:[Importe Neto]],Imput[[C. Imp.]:[C. Imp.]],$D71,Imput[[PERIODO Imp.]:[PERIODO Imp.]],DF$9)</f>
        <v>0</v>
      </c>
      <c r="DG71" s="693">
        <f>SUMIFS(Imput[[Importe Neto]:[Importe Neto]],Imput[[C. Imp.]:[C. Imp.]],$D71,Imput[[PERIODO Imp.]:[PERIODO Imp.]],DG$9)</f>
        <v>0</v>
      </c>
      <c r="DH71" s="694">
        <f>SUMIFS(Imput[[Importe Neto]:[Importe Neto]],Imput[[C. Imp.]:[C. Imp.]],$D71,Imput[[PERIODO Imp.]:[PERIODO Imp.]],DH$9)</f>
        <v>0</v>
      </c>
    </row>
    <row r="72" spans="1:112" outlineLevel="1" x14ac:dyDescent="0.3">
      <c r="A72" s="652" t="str">
        <f t="shared" si="22"/>
        <v>Imprimir</v>
      </c>
      <c r="B72" s="652"/>
      <c r="C72" s="685"/>
      <c r="D72" s="686" t="s">
        <v>2179</v>
      </c>
      <c r="E72" s="686" t="s">
        <v>485</v>
      </c>
      <c r="F72" s="720"/>
      <c r="G72" s="688">
        <v>442.85714285714283</v>
      </c>
      <c r="H72" s="689">
        <f>Producción!G12*0.275</f>
        <v>4.6750000000000007</v>
      </c>
      <c r="I72" s="851">
        <f t="shared" si="23"/>
        <v>1</v>
      </c>
      <c r="J72" s="852">
        <f t="shared" si="24"/>
        <v>2070.3571428571431</v>
      </c>
      <c r="K72" s="667"/>
      <c r="L72" s="858">
        <v>0.04</v>
      </c>
      <c r="M72" s="859">
        <v>0.04</v>
      </c>
      <c r="N72" s="859">
        <v>0.04</v>
      </c>
      <c r="O72" s="859">
        <v>0.04</v>
      </c>
      <c r="P72" s="859">
        <v>0.04</v>
      </c>
      <c r="Q72" s="859">
        <v>0.04</v>
      </c>
      <c r="R72" s="859">
        <v>0.04</v>
      </c>
      <c r="S72" s="859">
        <v>0.04</v>
      </c>
      <c r="T72" s="859">
        <v>0.04</v>
      </c>
      <c r="U72" s="859">
        <v>0.04</v>
      </c>
      <c r="V72" s="859">
        <v>0.04</v>
      </c>
      <c r="W72" s="859">
        <v>0.04</v>
      </c>
      <c r="X72" s="859">
        <v>0.04</v>
      </c>
      <c r="Y72" s="859">
        <v>0.04</v>
      </c>
      <c r="Z72" s="860">
        <v>0.04</v>
      </c>
      <c r="AA72" s="860">
        <v>0.04</v>
      </c>
      <c r="AB72" s="860">
        <v>0.04</v>
      </c>
      <c r="AC72" s="860">
        <v>0.04</v>
      </c>
      <c r="AD72" s="860">
        <v>0.04</v>
      </c>
      <c r="AE72" s="860">
        <v>0.04</v>
      </c>
      <c r="AF72" s="860">
        <v>0.04</v>
      </c>
      <c r="AG72" s="860">
        <v>0.04</v>
      </c>
      <c r="AH72" s="860">
        <v>0.04</v>
      </c>
      <c r="AI72" s="860">
        <v>0.04</v>
      </c>
      <c r="AJ72" s="860">
        <v>0.04</v>
      </c>
      <c r="AK72" s="860"/>
      <c r="AL72" s="860"/>
      <c r="AM72" s="860"/>
      <c r="AN72" s="860"/>
      <c r="AO72" s="860"/>
      <c r="AP72" s="860"/>
      <c r="AQ72" s="860"/>
      <c r="AR72" s="860"/>
      <c r="AS72" s="860"/>
      <c r="AT72" s="860"/>
      <c r="AU72" s="860"/>
      <c r="AV72" s="860"/>
      <c r="AW72" s="860"/>
      <c r="AX72" s="860"/>
      <c r="AY72" s="860"/>
      <c r="AZ72" s="860"/>
      <c r="BA72" s="860"/>
      <c r="BB72" s="860"/>
      <c r="BC72" s="860"/>
      <c r="BD72" s="860"/>
      <c r="BE72" s="860"/>
      <c r="BF72" s="860"/>
      <c r="BG72" s="861"/>
      <c r="BH72" s="668"/>
      <c r="BI72" s="667"/>
      <c r="BJ72" s="690">
        <f t="shared" si="25"/>
        <v>0.99113334483353444</v>
      </c>
      <c r="BK72" s="691">
        <f t="shared" si="26"/>
        <v>2052</v>
      </c>
      <c r="BL72" s="654"/>
      <c r="BM72" s="692">
        <f>SUMIFS(Imput[[Importe Neto]:[Importe Neto]],Imput[[C. Imp.]:[C. Imp.]],$D72,Imput[[PERIODO Imp.]:[PERIODO Imp.]],BM$9)</f>
        <v>0</v>
      </c>
      <c r="BN72" s="693">
        <f>SUMIFS(Imput[[Importe Neto]:[Importe Neto]],Imput[[C. Imp.]:[C. Imp.]],$D72,Imput[[PERIODO Imp.]:[PERIODO Imp.]],BN$9)</f>
        <v>0</v>
      </c>
      <c r="BO72" s="693">
        <f>SUMIFS(Imput[[Importe Neto]:[Importe Neto]],Imput[[C. Imp.]:[C. Imp.]],$D72,Imput[[PERIODO Imp.]:[PERIODO Imp.]],BO$9)</f>
        <v>0</v>
      </c>
      <c r="BP72" s="693">
        <f>SUMIFS(Imput[[Importe Neto]:[Importe Neto]],Imput[[C. Imp.]:[C. Imp.]],$D72,Imput[[PERIODO Imp.]:[PERIODO Imp.]],BP$9)</f>
        <v>0</v>
      </c>
      <c r="BQ72" s="693">
        <f>SUMIFS(Imput[[Importe Neto]:[Importe Neto]],Imput[[C. Imp.]:[C. Imp.]],$D72,Imput[[PERIODO Imp.]:[PERIODO Imp.]],BQ$9)</f>
        <v>0</v>
      </c>
      <c r="BR72" s="693">
        <f>SUMIFS(Imput[[Importe Neto]:[Importe Neto]],Imput[[C. Imp.]:[C. Imp.]],$D72,Imput[[PERIODO Imp.]:[PERIODO Imp.]],BR$9)</f>
        <v>2052</v>
      </c>
      <c r="BS72" s="693">
        <f>SUMIFS(Imput[[Importe Neto]:[Importe Neto]],Imput[[C. Imp.]:[C. Imp.]],$D72,Imput[[PERIODO Imp.]:[PERIODO Imp.]],BS$9)</f>
        <v>0</v>
      </c>
      <c r="BT72" s="693">
        <f>SUMIFS(Imput[[Importe Neto]:[Importe Neto]],Imput[[C. Imp.]:[C. Imp.]],$D72,Imput[[PERIODO Imp.]:[PERIODO Imp.]],BT$9)</f>
        <v>0</v>
      </c>
      <c r="BU72" s="693">
        <f>SUMIFS(Imput[[Importe Neto]:[Importe Neto]],Imput[[C. Imp.]:[C. Imp.]],$D72,Imput[[PERIODO Imp.]:[PERIODO Imp.]],BU$9)</f>
        <v>0</v>
      </c>
      <c r="BV72" s="693">
        <f>SUMIFS(Imput[[Importe Neto]:[Importe Neto]],Imput[[C. Imp.]:[C. Imp.]],$D72,Imput[[PERIODO Imp.]:[PERIODO Imp.]],BV$9)</f>
        <v>0</v>
      </c>
      <c r="BW72" s="693">
        <f>SUMIFS(Imput[[Importe Neto]:[Importe Neto]],Imput[[C. Imp.]:[C. Imp.]],$D72,Imput[[PERIODO Imp.]:[PERIODO Imp.]],BW$9)</f>
        <v>0</v>
      </c>
      <c r="BX72" s="693">
        <f>SUMIFS(Imput[[Importe Neto]:[Importe Neto]],Imput[[C. Imp.]:[C. Imp.]],$D72,Imput[[PERIODO Imp.]:[PERIODO Imp.]],BX$9)</f>
        <v>0</v>
      </c>
      <c r="BY72" s="693">
        <f>SUMIFS(Imput[[Importe Neto]:[Importe Neto]],Imput[[C. Imp.]:[C. Imp.]],$D72,Imput[[PERIODO Imp.]:[PERIODO Imp.]],BY$9)</f>
        <v>0</v>
      </c>
      <c r="BZ72" s="693">
        <f>SUMIFS(Imput[[Importe Neto]:[Importe Neto]],Imput[[C. Imp.]:[C. Imp.]],$D72,Imput[[PERIODO Imp.]:[PERIODO Imp.]],BZ$9)</f>
        <v>0</v>
      </c>
      <c r="CA72" s="693">
        <f>SUMIFS(Imput[[Importe Neto]:[Importe Neto]],Imput[[C. Imp.]:[C. Imp.]],$D72,Imput[[PERIODO Imp.]:[PERIODO Imp.]],CA$9)</f>
        <v>0</v>
      </c>
      <c r="CB72" s="693">
        <f>SUMIFS(Imput[[Importe Neto]:[Importe Neto]],Imput[[C. Imp.]:[C. Imp.]],$D72,Imput[[PERIODO Imp.]:[PERIODO Imp.]],CB$9)</f>
        <v>0</v>
      </c>
      <c r="CC72" s="693">
        <f>SUMIFS(Imput[[Importe Neto]:[Importe Neto]],Imput[[C. Imp.]:[C. Imp.]],$D72,Imput[[PERIODO Imp.]:[PERIODO Imp.]],CC$9)</f>
        <v>0</v>
      </c>
      <c r="CD72" s="693">
        <f>SUMIFS(Imput[[Importe Neto]:[Importe Neto]],Imput[[C. Imp.]:[C. Imp.]],$D72,Imput[[PERIODO Imp.]:[PERIODO Imp.]],CD$9)</f>
        <v>0</v>
      </c>
      <c r="CE72" s="693">
        <f>SUMIFS(Imput[[Importe Neto]:[Importe Neto]],Imput[[C. Imp.]:[C. Imp.]],$D72,Imput[[PERIODO Imp.]:[PERIODO Imp.]],CE$9)</f>
        <v>0</v>
      </c>
      <c r="CF72" s="693">
        <f>SUMIFS(Imput[[Importe Neto]:[Importe Neto]],Imput[[C. Imp.]:[C. Imp.]],$D72,Imput[[PERIODO Imp.]:[PERIODO Imp.]],CF$9)</f>
        <v>0</v>
      </c>
      <c r="CG72" s="693">
        <f>SUMIFS(Imput[[Importe Neto]:[Importe Neto]],Imput[[C. Imp.]:[C. Imp.]],$D72,Imput[[PERIODO Imp.]:[PERIODO Imp.]],CG$9)</f>
        <v>0</v>
      </c>
      <c r="CH72" s="693">
        <f>SUMIFS(Imput[[Importe Neto]:[Importe Neto]],Imput[[C. Imp.]:[C. Imp.]],$D72,Imput[[PERIODO Imp.]:[PERIODO Imp.]],CH$9)</f>
        <v>0</v>
      </c>
      <c r="CI72" s="693">
        <f>SUMIFS(Imput[[Importe Neto]:[Importe Neto]],Imput[[C. Imp.]:[C. Imp.]],$D72,Imput[[PERIODO Imp.]:[PERIODO Imp.]],CI$9)</f>
        <v>0</v>
      </c>
      <c r="CJ72" s="693">
        <f>SUMIFS(Imput[[Importe Neto]:[Importe Neto]],Imput[[C. Imp.]:[C. Imp.]],$D72,Imput[[PERIODO Imp.]:[PERIODO Imp.]],CJ$9)</f>
        <v>0</v>
      </c>
      <c r="CK72" s="693">
        <f>SUMIFS(Imput[[Importe Neto]:[Importe Neto]],Imput[[C. Imp.]:[C. Imp.]],$D72,Imput[[PERIODO Imp.]:[PERIODO Imp.]],CK$9)</f>
        <v>0</v>
      </c>
      <c r="CL72" s="693">
        <f>SUMIFS(Imput[[Importe Neto]:[Importe Neto]],Imput[[C. Imp.]:[C. Imp.]],$D72,Imput[[PERIODO Imp.]:[PERIODO Imp.]],CL$9)</f>
        <v>0</v>
      </c>
      <c r="CM72" s="693">
        <f>SUMIFS(Imput[[Importe Neto]:[Importe Neto]],Imput[[C. Imp.]:[C. Imp.]],$D72,Imput[[PERIODO Imp.]:[PERIODO Imp.]],CM$9)</f>
        <v>0</v>
      </c>
      <c r="CN72" s="693">
        <f>SUMIFS(Imput[[Importe Neto]:[Importe Neto]],Imput[[C. Imp.]:[C. Imp.]],$D72,Imput[[PERIODO Imp.]:[PERIODO Imp.]],CN$9)</f>
        <v>0</v>
      </c>
      <c r="CO72" s="693">
        <f>SUMIFS(Imput[[Importe Neto]:[Importe Neto]],Imput[[C. Imp.]:[C. Imp.]],$D72,Imput[[PERIODO Imp.]:[PERIODO Imp.]],CO$9)</f>
        <v>0</v>
      </c>
      <c r="CP72" s="693">
        <f>SUMIFS(Imput[[Importe Neto]:[Importe Neto]],Imput[[C. Imp.]:[C. Imp.]],$D72,Imput[[PERIODO Imp.]:[PERIODO Imp.]],CP$9)</f>
        <v>0</v>
      </c>
      <c r="CQ72" s="693">
        <f>SUMIFS(Imput[[Importe Neto]:[Importe Neto]],Imput[[C. Imp.]:[C. Imp.]],$D72,Imput[[PERIODO Imp.]:[PERIODO Imp.]],CQ$9)</f>
        <v>0</v>
      </c>
      <c r="CR72" s="693">
        <f>SUMIFS(Imput[[Importe Neto]:[Importe Neto]],Imput[[C. Imp.]:[C. Imp.]],$D72,Imput[[PERIODO Imp.]:[PERIODO Imp.]],CR$9)</f>
        <v>0</v>
      </c>
      <c r="CS72" s="693">
        <f>SUMIFS(Imput[[Importe Neto]:[Importe Neto]],Imput[[C. Imp.]:[C. Imp.]],$D72,Imput[[PERIODO Imp.]:[PERIODO Imp.]],CS$9)</f>
        <v>0</v>
      </c>
      <c r="CT72" s="693">
        <f>SUMIFS(Imput[[Importe Neto]:[Importe Neto]],Imput[[C. Imp.]:[C. Imp.]],$D72,Imput[[PERIODO Imp.]:[PERIODO Imp.]],CT$9)</f>
        <v>0</v>
      </c>
      <c r="CU72" s="693">
        <f>SUMIFS(Imput[[Importe Neto]:[Importe Neto]],Imput[[C. Imp.]:[C. Imp.]],$D72,Imput[[PERIODO Imp.]:[PERIODO Imp.]],CU$9)</f>
        <v>0</v>
      </c>
      <c r="CV72" s="693">
        <f>SUMIFS(Imput[[Importe Neto]:[Importe Neto]],Imput[[C. Imp.]:[C. Imp.]],$D72,Imput[[PERIODO Imp.]:[PERIODO Imp.]],CV$9)</f>
        <v>0</v>
      </c>
      <c r="CW72" s="693">
        <f>SUMIFS(Imput[[Importe Neto]:[Importe Neto]],Imput[[C. Imp.]:[C. Imp.]],$D72,Imput[[PERIODO Imp.]:[PERIODO Imp.]],CW$9)</f>
        <v>0</v>
      </c>
      <c r="CX72" s="693">
        <f>SUMIFS(Imput[[Importe Neto]:[Importe Neto]],Imput[[C. Imp.]:[C. Imp.]],$D72,Imput[[PERIODO Imp.]:[PERIODO Imp.]],CX$9)</f>
        <v>0</v>
      </c>
      <c r="CY72" s="693">
        <f>SUMIFS(Imput[[Importe Neto]:[Importe Neto]],Imput[[C. Imp.]:[C. Imp.]],$D72,Imput[[PERIODO Imp.]:[PERIODO Imp.]],CY$9)</f>
        <v>0</v>
      </c>
      <c r="CZ72" s="693">
        <f>SUMIFS(Imput[[Importe Neto]:[Importe Neto]],Imput[[C. Imp.]:[C. Imp.]],$D72,Imput[[PERIODO Imp.]:[PERIODO Imp.]],CZ$9)</f>
        <v>0</v>
      </c>
      <c r="DA72" s="693">
        <f>SUMIFS(Imput[[Importe Neto]:[Importe Neto]],Imput[[C. Imp.]:[C. Imp.]],$D72,Imput[[PERIODO Imp.]:[PERIODO Imp.]],DA$9)</f>
        <v>0</v>
      </c>
      <c r="DB72" s="693">
        <f>SUMIFS(Imput[[Importe Neto]:[Importe Neto]],Imput[[C. Imp.]:[C. Imp.]],$D72,Imput[[PERIODO Imp.]:[PERIODO Imp.]],DB$9)</f>
        <v>0</v>
      </c>
      <c r="DC72" s="693">
        <f>SUMIFS(Imput[[Importe Neto]:[Importe Neto]],Imput[[C. Imp.]:[C. Imp.]],$D72,Imput[[PERIODO Imp.]:[PERIODO Imp.]],DC$9)</f>
        <v>0</v>
      </c>
      <c r="DD72" s="693">
        <f>SUMIFS(Imput[[Importe Neto]:[Importe Neto]],Imput[[C. Imp.]:[C. Imp.]],$D72,Imput[[PERIODO Imp.]:[PERIODO Imp.]],DD$9)</f>
        <v>0</v>
      </c>
      <c r="DE72" s="693">
        <f>SUMIFS(Imput[[Importe Neto]:[Importe Neto]],Imput[[C. Imp.]:[C. Imp.]],$D72,Imput[[PERIODO Imp.]:[PERIODO Imp.]],DE$9)</f>
        <v>0</v>
      </c>
      <c r="DF72" s="693">
        <f>SUMIFS(Imput[[Importe Neto]:[Importe Neto]],Imput[[C. Imp.]:[C. Imp.]],$D72,Imput[[PERIODO Imp.]:[PERIODO Imp.]],DF$9)</f>
        <v>0</v>
      </c>
      <c r="DG72" s="693">
        <f>SUMIFS(Imput[[Importe Neto]:[Importe Neto]],Imput[[C. Imp.]:[C. Imp.]],$D72,Imput[[PERIODO Imp.]:[PERIODO Imp.]],DG$9)</f>
        <v>0</v>
      </c>
      <c r="DH72" s="694">
        <f>SUMIFS(Imput[[Importe Neto]:[Importe Neto]],Imput[[C. Imp.]:[C. Imp.]],$D72,Imput[[PERIODO Imp.]:[PERIODO Imp.]],DH$9)</f>
        <v>0</v>
      </c>
    </row>
    <row r="73" spans="1:112" outlineLevel="1" x14ac:dyDescent="0.3">
      <c r="A73" s="652" t="str">
        <f t="shared" si="22"/>
        <v>Imprimir</v>
      </c>
      <c r="B73" s="652"/>
      <c r="C73" s="685"/>
      <c r="D73" s="686" t="s">
        <v>2185</v>
      </c>
      <c r="E73" s="686" t="s">
        <v>486</v>
      </c>
      <c r="F73" s="720"/>
      <c r="G73" s="688">
        <v>642.85714285714289</v>
      </c>
      <c r="H73" s="689">
        <f>Producción!G12*1.4625</f>
        <v>24.862499999999997</v>
      </c>
      <c r="I73" s="851">
        <f t="shared" si="23"/>
        <v>1</v>
      </c>
      <c r="J73" s="852">
        <f t="shared" si="24"/>
        <v>15983.035714285714</v>
      </c>
      <c r="K73" s="667"/>
      <c r="L73" s="858">
        <v>0.04</v>
      </c>
      <c r="M73" s="859">
        <v>0.04</v>
      </c>
      <c r="N73" s="859">
        <v>0.04</v>
      </c>
      <c r="O73" s="859">
        <v>0.04</v>
      </c>
      <c r="P73" s="859">
        <v>0.04</v>
      </c>
      <c r="Q73" s="859">
        <v>0.04</v>
      </c>
      <c r="R73" s="859">
        <v>0.04</v>
      </c>
      <c r="S73" s="859">
        <v>0.04</v>
      </c>
      <c r="T73" s="859">
        <v>0.04</v>
      </c>
      <c r="U73" s="859">
        <v>0.04</v>
      </c>
      <c r="V73" s="859">
        <v>0.04</v>
      </c>
      <c r="W73" s="859">
        <v>0.04</v>
      </c>
      <c r="X73" s="859">
        <v>0.04</v>
      </c>
      <c r="Y73" s="859">
        <v>0.04</v>
      </c>
      <c r="Z73" s="860">
        <v>0.04</v>
      </c>
      <c r="AA73" s="860">
        <v>0.04</v>
      </c>
      <c r="AB73" s="860">
        <v>0.04</v>
      </c>
      <c r="AC73" s="860">
        <v>0.04</v>
      </c>
      <c r="AD73" s="860">
        <v>0.04</v>
      </c>
      <c r="AE73" s="860">
        <v>0.04</v>
      </c>
      <c r="AF73" s="860">
        <v>0.04</v>
      </c>
      <c r="AG73" s="860">
        <v>0.04</v>
      </c>
      <c r="AH73" s="860">
        <v>0.04</v>
      </c>
      <c r="AI73" s="860">
        <v>0.04</v>
      </c>
      <c r="AJ73" s="860">
        <v>0.04</v>
      </c>
      <c r="AK73" s="860"/>
      <c r="AL73" s="860"/>
      <c r="AM73" s="860"/>
      <c r="AN73" s="860"/>
      <c r="AO73" s="860"/>
      <c r="AP73" s="860"/>
      <c r="AQ73" s="860"/>
      <c r="AR73" s="860"/>
      <c r="AS73" s="860"/>
      <c r="AT73" s="860"/>
      <c r="AU73" s="860"/>
      <c r="AV73" s="860"/>
      <c r="AW73" s="860"/>
      <c r="AX73" s="860"/>
      <c r="AY73" s="860"/>
      <c r="AZ73" s="860"/>
      <c r="BA73" s="860"/>
      <c r="BB73" s="860"/>
      <c r="BC73" s="860"/>
      <c r="BD73" s="860"/>
      <c r="BE73" s="860"/>
      <c r="BF73" s="860"/>
      <c r="BG73" s="861"/>
      <c r="BH73" s="668"/>
      <c r="BI73" s="667"/>
      <c r="BJ73" s="690">
        <f t="shared" si="25"/>
        <v>0.82652959276018112</v>
      </c>
      <c r="BK73" s="691">
        <f t="shared" si="26"/>
        <v>13210.452000000001</v>
      </c>
      <c r="BL73" s="654"/>
      <c r="BM73" s="692">
        <f>SUMIFS(Imput[[Importe Neto]:[Importe Neto]],Imput[[C. Imp.]:[C. Imp.]],$D73,Imput[[PERIODO Imp.]:[PERIODO Imp.]],BM$9)</f>
        <v>0</v>
      </c>
      <c r="BN73" s="693">
        <f>SUMIFS(Imput[[Importe Neto]:[Importe Neto]],Imput[[C. Imp.]:[C. Imp.]],$D73,Imput[[PERIODO Imp.]:[PERIODO Imp.]],BN$9)</f>
        <v>0</v>
      </c>
      <c r="BO73" s="693">
        <f>SUMIFS(Imput[[Importe Neto]:[Importe Neto]],Imput[[C. Imp.]:[C. Imp.]],$D73,Imput[[PERIODO Imp.]:[PERIODO Imp.]],BO$9)</f>
        <v>0</v>
      </c>
      <c r="BP73" s="693">
        <f>SUMIFS(Imput[[Importe Neto]:[Importe Neto]],Imput[[C. Imp.]:[C. Imp.]],$D73,Imput[[PERIODO Imp.]:[PERIODO Imp.]],BP$9)</f>
        <v>0</v>
      </c>
      <c r="BQ73" s="693">
        <f>SUMIFS(Imput[[Importe Neto]:[Importe Neto]],Imput[[C. Imp.]:[C. Imp.]],$D73,Imput[[PERIODO Imp.]:[PERIODO Imp.]],BQ$9)</f>
        <v>0</v>
      </c>
      <c r="BR73" s="693">
        <f>SUMIFS(Imput[[Importe Neto]:[Importe Neto]],Imput[[C. Imp.]:[C. Imp.]],$D73,Imput[[PERIODO Imp.]:[PERIODO Imp.]],BR$9)</f>
        <v>13210.452000000001</v>
      </c>
      <c r="BS73" s="693">
        <f>SUMIFS(Imput[[Importe Neto]:[Importe Neto]],Imput[[C. Imp.]:[C. Imp.]],$D73,Imput[[PERIODO Imp.]:[PERIODO Imp.]],BS$9)</f>
        <v>0</v>
      </c>
      <c r="BT73" s="693">
        <f>SUMIFS(Imput[[Importe Neto]:[Importe Neto]],Imput[[C. Imp.]:[C. Imp.]],$D73,Imput[[PERIODO Imp.]:[PERIODO Imp.]],BT$9)</f>
        <v>0</v>
      </c>
      <c r="BU73" s="693">
        <f>SUMIFS(Imput[[Importe Neto]:[Importe Neto]],Imput[[C. Imp.]:[C. Imp.]],$D73,Imput[[PERIODO Imp.]:[PERIODO Imp.]],BU$9)</f>
        <v>0</v>
      </c>
      <c r="BV73" s="693">
        <f>SUMIFS(Imput[[Importe Neto]:[Importe Neto]],Imput[[C. Imp.]:[C. Imp.]],$D73,Imput[[PERIODO Imp.]:[PERIODO Imp.]],BV$9)</f>
        <v>0</v>
      </c>
      <c r="BW73" s="693">
        <f>SUMIFS(Imput[[Importe Neto]:[Importe Neto]],Imput[[C. Imp.]:[C. Imp.]],$D73,Imput[[PERIODO Imp.]:[PERIODO Imp.]],BW$9)</f>
        <v>0</v>
      </c>
      <c r="BX73" s="693">
        <f>SUMIFS(Imput[[Importe Neto]:[Importe Neto]],Imput[[C. Imp.]:[C. Imp.]],$D73,Imput[[PERIODO Imp.]:[PERIODO Imp.]],BX$9)</f>
        <v>0</v>
      </c>
      <c r="BY73" s="693">
        <f>SUMIFS(Imput[[Importe Neto]:[Importe Neto]],Imput[[C. Imp.]:[C. Imp.]],$D73,Imput[[PERIODO Imp.]:[PERIODO Imp.]],BY$9)</f>
        <v>0</v>
      </c>
      <c r="BZ73" s="693">
        <f>SUMIFS(Imput[[Importe Neto]:[Importe Neto]],Imput[[C. Imp.]:[C. Imp.]],$D73,Imput[[PERIODO Imp.]:[PERIODO Imp.]],BZ$9)</f>
        <v>0</v>
      </c>
      <c r="CA73" s="693">
        <f>SUMIFS(Imput[[Importe Neto]:[Importe Neto]],Imput[[C. Imp.]:[C. Imp.]],$D73,Imput[[PERIODO Imp.]:[PERIODO Imp.]],CA$9)</f>
        <v>0</v>
      </c>
      <c r="CB73" s="693">
        <f>SUMIFS(Imput[[Importe Neto]:[Importe Neto]],Imput[[C. Imp.]:[C. Imp.]],$D73,Imput[[PERIODO Imp.]:[PERIODO Imp.]],CB$9)</f>
        <v>0</v>
      </c>
      <c r="CC73" s="693">
        <f>SUMIFS(Imput[[Importe Neto]:[Importe Neto]],Imput[[C. Imp.]:[C. Imp.]],$D73,Imput[[PERIODO Imp.]:[PERIODO Imp.]],CC$9)</f>
        <v>0</v>
      </c>
      <c r="CD73" s="693">
        <f>SUMIFS(Imput[[Importe Neto]:[Importe Neto]],Imput[[C. Imp.]:[C. Imp.]],$D73,Imput[[PERIODO Imp.]:[PERIODO Imp.]],CD$9)</f>
        <v>0</v>
      </c>
      <c r="CE73" s="693">
        <f>SUMIFS(Imput[[Importe Neto]:[Importe Neto]],Imput[[C. Imp.]:[C. Imp.]],$D73,Imput[[PERIODO Imp.]:[PERIODO Imp.]],CE$9)</f>
        <v>0</v>
      </c>
      <c r="CF73" s="693">
        <f>SUMIFS(Imput[[Importe Neto]:[Importe Neto]],Imput[[C. Imp.]:[C. Imp.]],$D73,Imput[[PERIODO Imp.]:[PERIODO Imp.]],CF$9)</f>
        <v>0</v>
      </c>
      <c r="CG73" s="693">
        <f>SUMIFS(Imput[[Importe Neto]:[Importe Neto]],Imput[[C. Imp.]:[C. Imp.]],$D73,Imput[[PERIODO Imp.]:[PERIODO Imp.]],CG$9)</f>
        <v>0</v>
      </c>
      <c r="CH73" s="693">
        <f>SUMIFS(Imput[[Importe Neto]:[Importe Neto]],Imput[[C. Imp.]:[C. Imp.]],$D73,Imput[[PERIODO Imp.]:[PERIODO Imp.]],CH$9)</f>
        <v>0</v>
      </c>
      <c r="CI73" s="693">
        <f>SUMIFS(Imput[[Importe Neto]:[Importe Neto]],Imput[[C. Imp.]:[C. Imp.]],$D73,Imput[[PERIODO Imp.]:[PERIODO Imp.]],CI$9)</f>
        <v>0</v>
      </c>
      <c r="CJ73" s="693">
        <f>SUMIFS(Imput[[Importe Neto]:[Importe Neto]],Imput[[C. Imp.]:[C. Imp.]],$D73,Imput[[PERIODO Imp.]:[PERIODO Imp.]],CJ$9)</f>
        <v>0</v>
      </c>
      <c r="CK73" s="693">
        <f>SUMIFS(Imput[[Importe Neto]:[Importe Neto]],Imput[[C. Imp.]:[C. Imp.]],$D73,Imput[[PERIODO Imp.]:[PERIODO Imp.]],CK$9)</f>
        <v>0</v>
      </c>
      <c r="CL73" s="693">
        <f>SUMIFS(Imput[[Importe Neto]:[Importe Neto]],Imput[[C. Imp.]:[C. Imp.]],$D73,Imput[[PERIODO Imp.]:[PERIODO Imp.]],CL$9)</f>
        <v>0</v>
      </c>
      <c r="CM73" s="693">
        <f>SUMIFS(Imput[[Importe Neto]:[Importe Neto]],Imput[[C. Imp.]:[C. Imp.]],$D73,Imput[[PERIODO Imp.]:[PERIODO Imp.]],CM$9)</f>
        <v>0</v>
      </c>
      <c r="CN73" s="693">
        <f>SUMIFS(Imput[[Importe Neto]:[Importe Neto]],Imput[[C. Imp.]:[C. Imp.]],$D73,Imput[[PERIODO Imp.]:[PERIODO Imp.]],CN$9)</f>
        <v>0</v>
      </c>
      <c r="CO73" s="693">
        <f>SUMIFS(Imput[[Importe Neto]:[Importe Neto]],Imput[[C. Imp.]:[C. Imp.]],$D73,Imput[[PERIODO Imp.]:[PERIODO Imp.]],CO$9)</f>
        <v>0</v>
      </c>
      <c r="CP73" s="693">
        <f>SUMIFS(Imput[[Importe Neto]:[Importe Neto]],Imput[[C. Imp.]:[C. Imp.]],$D73,Imput[[PERIODO Imp.]:[PERIODO Imp.]],CP$9)</f>
        <v>0</v>
      </c>
      <c r="CQ73" s="693">
        <f>SUMIFS(Imput[[Importe Neto]:[Importe Neto]],Imput[[C. Imp.]:[C. Imp.]],$D73,Imput[[PERIODO Imp.]:[PERIODO Imp.]],CQ$9)</f>
        <v>0</v>
      </c>
      <c r="CR73" s="693">
        <f>SUMIFS(Imput[[Importe Neto]:[Importe Neto]],Imput[[C. Imp.]:[C. Imp.]],$D73,Imput[[PERIODO Imp.]:[PERIODO Imp.]],CR$9)</f>
        <v>0</v>
      </c>
      <c r="CS73" s="693">
        <f>SUMIFS(Imput[[Importe Neto]:[Importe Neto]],Imput[[C. Imp.]:[C. Imp.]],$D73,Imput[[PERIODO Imp.]:[PERIODO Imp.]],CS$9)</f>
        <v>0</v>
      </c>
      <c r="CT73" s="693">
        <f>SUMIFS(Imput[[Importe Neto]:[Importe Neto]],Imput[[C. Imp.]:[C. Imp.]],$D73,Imput[[PERIODO Imp.]:[PERIODO Imp.]],CT$9)</f>
        <v>0</v>
      </c>
      <c r="CU73" s="693">
        <f>SUMIFS(Imput[[Importe Neto]:[Importe Neto]],Imput[[C. Imp.]:[C. Imp.]],$D73,Imput[[PERIODO Imp.]:[PERIODO Imp.]],CU$9)</f>
        <v>0</v>
      </c>
      <c r="CV73" s="693">
        <f>SUMIFS(Imput[[Importe Neto]:[Importe Neto]],Imput[[C. Imp.]:[C. Imp.]],$D73,Imput[[PERIODO Imp.]:[PERIODO Imp.]],CV$9)</f>
        <v>0</v>
      </c>
      <c r="CW73" s="693">
        <f>SUMIFS(Imput[[Importe Neto]:[Importe Neto]],Imput[[C. Imp.]:[C. Imp.]],$D73,Imput[[PERIODO Imp.]:[PERIODO Imp.]],CW$9)</f>
        <v>0</v>
      </c>
      <c r="CX73" s="693">
        <f>SUMIFS(Imput[[Importe Neto]:[Importe Neto]],Imput[[C. Imp.]:[C. Imp.]],$D73,Imput[[PERIODO Imp.]:[PERIODO Imp.]],CX$9)</f>
        <v>0</v>
      </c>
      <c r="CY73" s="693">
        <f>SUMIFS(Imput[[Importe Neto]:[Importe Neto]],Imput[[C. Imp.]:[C. Imp.]],$D73,Imput[[PERIODO Imp.]:[PERIODO Imp.]],CY$9)</f>
        <v>0</v>
      </c>
      <c r="CZ73" s="693">
        <f>SUMIFS(Imput[[Importe Neto]:[Importe Neto]],Imput[[C. Imp.]:[C. Imp.]],$D73,Imput[[PERIODO Imp.]:[PERIODO Imp.]],CZ$9)</f>
        <v>0</v>
      </c>
      <c r="DA73" s="693">
        <f>SUMIFS(Imput[[Importe Neto]:[Importe Neto]],Imput[[C. Imp.]:[C. Imp.]],$D73,Imput[[PERIODO Imp.]:[PERIODO Imp.]],DA$9)</f>
        <v>0</v>
      </c>
      <c r="DB73" s="693">
        <f>SUMIFS(Imput[[Importe Neto]:[Importe Neto]],Imput[[C. Imp.]:[C. Imp.]],$D73,Imput[[PERIODO Imp.]:[PERIODO Imp.]],DB$9)</f>
        <v>0</v>
      </c>
      <c r="DC73" s="693">
        <f>SUMIFS(Imput[[Importe Neto]:[Importe Neto]],Imput[[C. Imp.]:[C. Imp.]],$D73,Imput[[PERIODO Imp.]:[PERIODO Imp.]],DC$9)</f>
        <v>0</v>
      </c>
      <c r="DD73" s="693">
        <f>SUMIFS(Imput[[Importe Neto]:[Importe Neto]],Imput[[C. Imp.]:[C. Imp.]],$D73,Imput[[PERIODO Imp.]:[PERIODO Imp.]],DD$9)</f>
        <v>0</v>
      </c>
      <c r="DE73" s="693">
        <f>SUMIFS(Imput[[Importe Neto]:[Importe Neto]],Imput[[C. Imp.]:[C. Imp.]],$D73,Imput[[PERIODO Imp.]:[PERIODO Imp.]],DE$9)</f>
        <v>0</v>
      </c>
      <c r="DF73" s="693">
        <f>SUMIFS(Imput[[Importe Neto]:[Importe Neto]],Imput[[C. Imp.]:[C. Imp.]],$D73,Imput[[PERIODO Imp.]:[PERIODO Imp.]],DF$9)</f>
        <v>0</v>
      </c>
      <c r="DG73" s="693">
        <f>SUMIFS(Imput[[Importe Neto]:[Importe Neto]],Imput[[C. Imp.]:[C. Imp.]],$D73,Imput[[PERIODO Imp.]:[PERIODO Imp.]],DG$9)</f>
        <v>0</v>
      </c>
      <c r="DH73" s="694">
        <f>SUMIFS(Imput[[Importe Neto]:[Importe Neto]],Imput[[C. Imp.]:[C. Imp.]],$D73,Imput[[PERIODO Imp.]:[PERIODO Imp.]],DH$9)</f>
        <v>0</v>
      </c>
    </row>
    <row r="74" spans="1:112" hidden="1" outlineLevel="1" x14ac:dyDescent="0.3">
      <c r="A74" s="652" t="str">
        <f t="shared" si="22"/>
        <v/>
      </c>
      <c r="B74" s="652"/>
      <c r="C74" s="685"/>
      <c r="D74" s="686" t="s">
        <v>2186</v>
      </c>
      <c r="E74" s="686"/>
      <c r="F74" s="720"/>
      <c r="G74" s="688"/>
      <c r="H74" s="689"/>
      <c r="I74" s="851" t="str">
        <f t="shared" si="23"/>
        <v/>
      </c>
      <c r="J74" s="852" t="str">
        <f t="shared" si="24"/>
        <v/>
      </c>
      <c r="K74" s="667"/>
      <c r="L74" s="858"/>
      <c r="M74" s="859"/>
      <c r="N74" s="859"/>
      <c r="O74" s="859"/>
      <c r="P74" s="859"/>
      <c r="Q74" s="859"/>
      <c r="R74" s="859"/>
      <c r="S74" s="859"/>
      <c r="T74" s="859"/>
      <c r="U74" s="859"/>
      <c r="V74" s="859"/>
      <c r="W74" s="859"/>
      <c r="X74" s="859"/>
      <c r="Y74" s="859"/>
      <c r="Z74" s="860"/>
      <c r="AA74" s="860"/>
      <c r="AB74" s="860"/>
      <c r="AC74" s="860"/>
      <c r="AD74" s="860"/>
      <c r="AE74" s="860"/>
      <c r="AF74" s="860"/>
      <c r="AG74" s="860"/>
      <c r="AH74" s="860"/>
      <c r="AI74" s="860"/>
      <c r="AJ74" s="860"/>
      <c r="AK74" s="860"/>
      <c r="AL74" s="860"/>
      <c r="AM74" s="860"/>
      <c r="AN74" s="860"/>
      <c r="AO74" s="860"/>
      <c r="AP74" s="860"/>
      <c r="AQ74" s="860"/>
      <c r="AR74" s="860"/>
      <c r="AS74" s="860"/>
      <c r="AT74" s="860"/>
      <c r="AU74" s="860"/>
      <c r="AV74" s="860"/>
      <c r="AW74" s="860"/>
      <c r="AX74" s="860"/>
      <c r="AY74" s="860"/>
      <c r="AZ74" s="860"/>
      <c r="BA74" s="860"/>
      <c r="BB74" s="860"/>
      <c r="BC74" s="860"/>
      <c r="BD74" s="860"/>
      <c r="BE74" s="860"/>
      <c r="BF74" s="860"/>
      <c r="BG74" s="861"/>
      <c r="BH74" s="668"/>
      <c r="BI74" s="667"/>
      <c r="BJ74" s="690">
        <f t="shared" si="25"/>
        <v>0</v>
      </c>
      <c r="BK74" s="691">
        <f t="shared" si="26"/>
        <v>0</v>
      </c>
      <c r="BL74" s="654"/>
      <c r="BM74" s="692">
        <f>SUMIFS(Imput[[Importe Neto]:[Importe Neto]],Imput[[C. Imp.]:[C. Imp.]],$D74,Imput[[PERIODO Imp.]:[PERIODO Imp.]],BM$9)</f>
        <v>0</v>
      </c>
      <c r="BN74" s="693">
        <f>SUMIFS(Imput[[Importe Neto]:[Importe Neto]],Imput[[C. Imp.]:[C. Imp.]],$D74,Imput[[PERIODO Imp.]:[PERIODO Imp.]],BN$9)</f>
        <v>0</v>
      </c>
      <c r="BO74" s="693">
        <f>SUMIFS(Imput[[Importe Neto]:[Importe Neto]],Imput[[C. Imp.]:[C. Imp.]],$D74,Imput[[PERIODO Imp.]:[PERIODO Imp.]],BO$9)</f>
        <v>0</v>
      </c>
      <c r="BP74" s="693">
        <f>SUMIFS(Imput[[Importe Neto]:[Importe Neto]],Imput[[C. Imp.]:[C. Imp.]],$D74,Imput[[PERIODO Imp.]:[PERIODO Imp.]],BP$9)</f>
        <v>0</v>
      </c>
      <c r="BQ74" s="693">
        <f>SUMIFS(Imput[[Importe Neto]:[Importe Neto]],Imput[[C. Imp.]:[C. Imp.]],$D74,Imput[[PERIODO Imp.]:[PERIODO Imp.]],BQ$9)</f>
        <v>0</v>
      </c>
      <c r="BR74" s="693">
        <f>SUMIFS(Imput[[Importe Neto]:[Importe Neto]],Imput[[C. Imp.]:[C. Imp.]],$D74,Imput[[PERIODO Imp.]:[PERIODO Imp.]],BR$9)</f>
        <v>0</v>
      </c>
      <c r="BS74" s="693">
        <f>SUMIFS(Imput[[Importe Neto]:[Importe Neto]],Imput[[C. Imp.]:[C. Imp.]],$D74,Imput[[PERIODO Imp.]:[PERIODO Imp.]],BS$9)</f>
        <v>0</v>
      </c>
      <c r="BT74" s="693">
        <f>SUMIFS(Imput[[Importe Neto]:[Importe Neto]],Imput[[C. Imp.]:[C. Imp.]],$D74,Imput[[PERIODO Imp.]:[PERIODO Imp.]],BT$9)</f>
        <v>0</v>
      </c>
      <c r="BU74" s="693">
        <f>SUMIFS(Imput[[Importe Neto]:[Importe Neto]],Imput[[C. Imp.]:[C. Imp.]],$D74,Imput[[PERIODO Imp.]:[PERIODO Imp.]],BU$9)</f>
        <v>0</v>
      </c>
      <c r="BV74" s="693">
        <f>SUMIFS(Imput[[Importe Neto]:[Importe Neto]],Imput[[C. Imp.]:[C. Imp.]],$D74,Imput[[PERIODO Imp.]:[PERIODO Imp.]],BV$9)</f>
        <v>0</v>
      </c>
      <c r="BW74" s="693">
        <f>SUMIFS(Imput[[Importe Neto]:[Importe Neto]],Imput[[C. Imp.]:[C. Imp.]],$D74,Imput[[PERIODO Imp.]:[PERIODO Imp.]],BW$9)</f>
        <v>0</v>
      </c>
      <c r="BX74" s="693">
        <f>SUMIFS(Imput[[Importe Neto]:[Importe Neto]],Imput[[C. Imp.]:[C. Imp.]],$D74,Imput[[PERIODO Imp.]:[PERIODO Imp.]],BX$9)</f>
        <v>0</v>
      </c>
      <c r="BY74" s="693">
        <f>SUMIFS(Imput[[Importe Neto]:[Importe Neto]],Imput[[C. Imp.]:[C. Imp.]],$D74,Imput[[PERIODO Imp.]:[PERIODO Imp.]],BY$9)</f>
        <v>0</v>
      </c>
      <c r="BZ74" s="693">
        <f>SUMIFS(Imput[[Importe Neto]:[Importe Neto]],Imput[[C. Imp.]:[C. Imp.]],$D74,Imput[[PERIODO Imp.]:[PERIODO Imp.]],BZ$9)</f>
        <v>0</v>
      </c>
      <c r="CA74" s="693">
        <f>SUMIFS(Imput[[Importe Neto]:[Importe Neto]],Imput[[C. Imp.]:[C. Imp.]],$D74,Imput[[PERIODO Imp.]:[PERIODO Imp.]],CA$9)</f>
        <v>0</v>
      </c>
      <c r="CB74" s="693">
        <f>SUMIFS(Imput[[Importe Neto]:[Importe Neto]],Imput[[C. Imp.]:[C. Imp.]],$D74,Imput[[PERIODO Imp.]:[PERIODO Imp.]],CB$9)</f>
        <v>0</v>
      </c>
      <c r="CC74" s="693">
        <f>SUMIFS(Imput[[Importe Neto]:[Importe Neto]],Imput[[C. Imp.]:[C. Imp.]],$D74,Imput[[PERIODO Imp.]:[PERIODO Imp.]],CC$9)</f>
        <v>0</v>
      </c>
      <c r="CD74" s="693">
        <f>SUMIFS(Imput[[Importe Neto]:[Importe Neto]],Imput[[C. Imp.]:[C. Imp.]],$D74,Imput[[PERIODO Imp.]:[PERIODO Imp.]],CD$9)</f>
        <v>0</v>
      </c>
      <c r="CE74" s="693">
        <f>SUMIFS(Imput[[Importe Neto]:[Importe Neto]],Imput[[C. Imp.]:[C. Imp.]],$D74,Imput[[PERIODO Imp.]:[PERIODO Imp.]],CE$9)</f>
        <v>0</v>
      </c>
      <c r="CF74" s="693">
        <f>SUMIFS(Imput[[Importe Neto]:[Importe Neto]],Imput[[C. Imp.]:[C. Imp.]],$D74,Imput[[PERIODO Imp.]:[PERIODO Imp.]],CF$9)</f>
        <v>0</v>
      </c>
      <c r="CG74" s="693">
        <f>SUMIFS(Imput[[Importe Neto]:[Importe Neto]],Imput[[C. Imp.]:[C. Imp.]],$D74,Imput[[PERIODO Imp.]:[PERIODO Imp.]],CG$9)</f>
        <v>0</v>
      </c>
      <c r="CH74" s="693">
        <f>SUMIFS(Imput[[Importe Neto]:[Importe Neto]],Imput[[C. Imp.]:[C. Imp.]],$D74,Imput[[PERIODO Imp.]:[PERIODO Imp.]],CH$9)</f>
        <v>0</v>
      </c>
      <c r="CI74" s="693">
        <f>SUMIFS(Imput[[Importe Neto]:[Importe Neto]],Imput[[C. Imp.]:[C. Imp.]],$D74,Imput[[PERIODO Imp.]:[PERIODO Imp.]],CI$9)</f>
        <v>0</v>
      </c>
      <c r="CJ74" s="693">
        <f>SUMIFS(Imput[[Importe Neto]:[Importe Neto]],Imput[[C. Imp.]:[C. Imp.]],$D74,Imput[[PERIODO Imp.]:[PERIODO Imp.]],CJ$9)</f>
        <v>0</v>
      </c>
      <c r="CK74" s="693">
        <f>SUMIFS(Imput[[Importe Neto]:[Importe Neto]],Imput[[C. Imp.]:[C. Imp.]],$D74,Imput[[PERIODO Imp.]:[PERIODO Imp.]],CK$9)</f>
        <v>0</v>
      </c>
      <c r="CL74" s="693">
        <f>SUMIFS(Imput[[Importe Neto]:[Importe Neto]],Imput[[C. Imp.]:[C. Imp.]],$D74,Imput[[PERIODO Imp.]:[PERIODO Imp.]],CL$9)</f>
        <v>0</v>
      </c>
      <c r="CM74" s="693">
        <f>SUMIFS(Imput[[Importe Neto]:[Importe Neto]],Imput[[C. Imp.]:[C. Imp.]],$D74,Imput[[PERIODO Imp.]:[PERIODO Imp.]],CM$9)</f>
        <v>0</v>
      </c>
      <c r="CN74" s="693">
        <f>SUMIFS(Imput[[Importe Neto]:[Importe Neto]],Imput[[C. Imp.]:[C. Imp.]],$D74,Imput[[PERIODO Imp.]:[PERIODO Imp.]],CN$9)</f>
        <v>0</v>
      </c>
      <c r="CO74" s="693">
        <f>SUMIFS(Imput[[Importe Neto]:[Importe Neto]],Imput[[C. Imp.]:[C. Imp.]],$D74,Imput[[PERIODO Imp.]:[PERIODO Imp.]],CO$9)</f>
        <v>0</v>
      </c>
      <c r="CP74" s="693">
        <f>SUMIFS(Imput[[Importe Neto]:[Importe Neto]],Imput[[C. Imp.]:[C. Imp.]],$D74,Imput[[PERIODO Imp.]:[PERIODO Imp.]],CP$9)</f>
        <v>0</v>
      </c>
      <c r="CQ74" s="693">
        <f>SUMIFS(Imput[[Importe Neto]:[Importe Neto]],Imput[[C. Imp.]:[C. Imp.]],$D74,Imput[[PERIODO Imp.]:[PERIODO Imp.]],CQ$9)</f>
        <v>0</v>
      </c>
      <c r="CR74" s="693">
        <f>SUMIFS(Imput[[Importe Neto]:[Importe Neto]],Imput[[C. Imp.]:[C. Imp.]],$D74,Imput[[PERIODO Imp.]:[PERIODO Imp.]],CR$9)</f>
        <v>0</v>
      </c>
      <c r="CS74" s="693">
        <f>SUMIFS(Imput[[Importe Neto]:[Importe Neto]],Imput[[C. Imp.]:[C. Imp.]],$D74,Imput[[PERIODO Imp.]:[PERIODO Imp.]],CS$9)</f>
        <v>0</v>
      </c>
      <c r="CT74" s="693">
        <f>SUMIFS(Imput[[Importe Neto]:[Importe Neto]],Imput[[C. Imp.]:[C. Imp.]],$D74,Imput[[PERIODO Imp.]:[PERIODO Imp.]],CT$9)</f>
        <v>0</v>
      </c>
      <c r="CU74" s="693">
        <f>SUMIFS(Imput[[Importe Neto]:[Importe Neto]],Imput[[C. Imp.]:[C. Imp.]],$D74,Imput[[PERIODO Imp.]:[PERIODO Imp.]],CU$9)</f>
        <v>0</v>
      </c>
      <c r="CV74" s="693">
        <f>SUMIFS(Imput[[Importe Neto]:[Importe Neto]],Imput[[C. Imp.]:[C. Imp.]],$D74,Imput[[PERIODO Imp.]:[PERIODO Imp.]],CV$9)</f>
        <v>0</v>
      </c>
      <c r="CW74" s="693">
        <f>SUMIFS(Imput[[Importe Neto]:[Importe Neto]],Imput[[C. Imp.]:[C. Imp.]],$D74,Imput[[PERIODO Imp.]:[PERIODO Imp.]],CW$9)</f>
        <v>0</v>
      </c>
      <c r="CX74" s="693">
        <f>SUMIFS(Imput[[Importe Neto]:[Importe Neto]],Imput[[C. Imp.]:[C. Imp.]],$D74,Imput[[PERIODO Imp.]:[PERIODO Imp.]],CX$9)</f>
        <v>0</v>
      </c>
      <c r="CY74" s="693">
        <f>SUMIFS(Imput[[Importe Neto]:[Importe Neto]],Imput[[C. Imp.]:[C. Imp.]],$D74,Imput[[PERIODO Imp.]:[PERIODO Imp.]],CY$9)</f>
        <v>0</v>
      </c>
      <c r="CZ74" s="693">
        <f>SUMIFS(Imput[[Importe Neto]:[Importe Neto]],Imput[[C. Imp.]:[C. Imp.]],$D74,Imput[[PERIODO Imp.]:[PERIODO Imp.]],CZ$9)</f>
        <v>0</v>
      </c>
      <c r="DA74" s="693">
        <f>SUMIFS(Imput[[Importe Neto]:[Importe Neto]],Imput[[C. Imp.]:[C. Imp.]],$D74,Imput[[PERIODO Imp.]:[PERIODO Imp.]],DA$9)</f>
        <v>0</v>
      </c>
      <c r="DB74" s="693">
        <f>SUMIFS(Imput[[Importe Neto]:[Importe Neto]],Imput[[C. Imp.]:[C. Imp.]],$D74,Imput[[PERIODO Imp.]:[PERIODO Imp.]],DB$9)</f>
        <v>0</v>
      </c>
      <c r="DC74" s="693">
        <f>SUMIFS(Imput[[Importe Neto]:[Importe Neto]],Imput[[C. Imp.]:[C. Imp.]],$D74,Imput[[PERIODO Imp.]:[PERIODO Imp.]],DC$9)</f>
        <v>0</v>
      </c>
      <c r="DD74" s="693">
        <f>SUMIFS(Imput[[Importe Neto]:[Importe Neto]],Imput[[C. Imp.]:[C. Imp.]],$D74,Imput[[PERIODO Imp.]:[PERIODO Imp.]],DD$9)</f>
        <v>0</v>
      </c>
      <c r="DE74" s="693">
        <f>SUMIFS(Imput[[Importe Neto]:[Importe Neto]],Imput[[C. Imp.]:[C. Imp.]],$D74,Imput[[PERIODO Imp.]:[PERIODO Imp.]],DE$9)</f>
        <v>0</v>
      </c>
      <c r="DF74" s="693">
        <f>SUMIFS(Imput[[Importe Neto]:[Importe Neto]],Imput[[C. Imp.]:[C. Imp.]],$D74,Imput[[PERIODO Imp.]:[PERIODO Imp.]],DF$9)</f>
        <v>0</v>
      </c>
      <c r="DG74" s="693">
        <f>SUMIFS(Imput[[Importe Neto]:[Importe Neto]],Imput[[C. Imp.]:[C. Imp.]],$D74,Imput[[PERIODO Imp.]:[PERIODO Imp.]],DG$9)</f>
        <v>0</v>
      </c>
      <c r="DH74" s="694">
        <f>SUMIFS(Imput[[Importe Neto]:[Importe Neto]],Imput[[C. Imp.]:[C. Imp.]],$D74,Imput[[PERIODO Imp.]:[PERIODO Imp.]],DH$9)</f>
        <v>0</v>
      </c>
    </row>
    <row r="75" spans="1:112" hidden="1" outlineLevel="1" x14ac:dyDescent="0.3">
      <c r="A75" s="652" t="str">
        <f t="shared" si="22"/>
        <v/>
      </c>
      <c r="B75" s="652"/>
      <c r="C75" s="685"/>
      <c r="D75" s="686" t="s">
        <v>2187</v>
      </c>
      <c r="E75" s="686"/>
      <c r="F75" s="720"/>
      <c r="G75" s="688"/>
      <c r="H75" s="689"/>
      <c r="I75" s="851" t="str">
        <f t="shared" si="23"/>
        <v/>
      </c>
      <c r="J75" s="852" t="str">
        <f t="shared" si="24"/>
        <v/>
      </c>
      <c r="K75" s="667"/>
      <c r="L75" s="858"/>
      <c r="M75" s="859"/>
      <c r="N75" s="859"/>
      <c r="O75" s="859"/>
      <c r="P75" s="859"/>
      <c r="Q75" s="859"/>
      <c r="R75" s="859"/>
      <c r="S75" s="859"/>
      <c r="T75" s="859"/>
      <c r="U75" s="859"/>
      <c r="V75" s="859"/>
      <c r="W75" s="859"/>
      <c r="X75" s="859"/>
      <c r="Y75" s="859"/>
      <c r="Z75" s="860"/>
      <c r="AA75" s="860"/>
      <c r="AB75" s="860"/>
      <c r="AC75" s="860"/>
      <c r="AD75" s="860"/>
      <c r="AE75" s="860"/>
      <c r="AF75" s="860"/>
      <c r="AG75" s="860"/>
      <c r="AH75" s="860"/>
      <c r="AI75" s="860"/>
      <c r="AJ75" s="860"/>
      <c r="AK75" s="860"/>
      <c r="AL75" s="860"/>
      <c r="AM75" s="860"/>
      <c r="AN75" s="860"/>
      <c r="AO75" s="860"/>
      <c r="AP75" s="860"/>
      <c r="AQ75" s="860"/>
      <c r="AR75" s="860"/>
      <c r="AS75" s="860"/>
      <c r="AT75" s="860"/>
      <c r="AU75" s="860"/>
      <c r="AV75" s="860"/>
      <c r="AW75" s="860"/>
      <c r="AX75" s="860"/>
      <c r="AY75" s="860"/>
      <c r="AZ75" s="860"/>
      <c r="BA75" s="860"/>
      <c r="BB75" s="860"/>
      <c r="BC75" s="860"/>
      <c r="BD75" s="860"/>
      <c r="BE75" s="860"/>
      <c r="BF75" s="860"/>
      <c r="BG75" s="861"/>
      <c r="BH75" s="668"/>
      <c r="BI75" s="667"/>
      <c r="BJ75" s="690">
        <f t="shared" si="25"/>
        <v>0</v>
      </c>
      <c r="BK75" s="691">
        <f t="shared" si="26"/>
        <v>0</v>
      </c>
      <c r="BL75" s="654"/>
      <c r="BM75" s="692">
        <f>SUMIFS(Imput[[Importe Neto]:[Importe Neto]],Imput[[C. Imp.]:[C. Imp.]],$D75,Imput[[PERIODO Imp.]:[PERIODO Imp.]],BM$9)</f>
        <v>0</v>
      </c>
      <c r="BN75" s="693">
        <f>SUMIFS(Imput[[Importe Neto]:[Importe Neto]],Imput[[C. Imp.]:[C. Imp.]],$D75,Imput[[PERIODO Imp.]:[PERIODO Imp.]],BN$9)</f>
        <v>0</v>
      </c>
      <c r="BO75" s="693">
        <f>SUMIFS(Imput[[Importe Neto]:[Importe Neto]],Imput[[C. Imp.]:[C. Imp.]],$D75,Imput[[PERIODO Imp.]:[PERIODO Imp.]],BO$9)</f>
        <v>0</v>
      </c>
      <c r="BP75" s="693">
        <f>SUMIFS(Imput[[Importe Neto]:[Importe Neto]],Imput[[C. Imp.]:[C. Imp.]],$D75,Imput[[PERIODO Imp.]:[PERIODO Imp.]],BP$9)</f>
        <v>0</v>
      </c>
      <c r="BQ75" s="693">
        <f>SUMIFS(Imput[[Importe Neto]:[Importe Neto]],Imput[[C. Imp.]:[C. Imp.]],$D75,Imput[[PERIODO Imp.]:[PERIODO Imp.]],BQ$9)</f>
        <v>0</v>
      </c>
      <c r="BR75" s="693">
        <f>SUMIFS(Imput[[Importe Neto]:[Importe Neto]],Imput[[C. Imp.]:[C. Imp.]],$D75,Imput[[PERIODO Imp.]:[PERIODO Imp.]],BR$9)</f>
        <v>0</v>
      </c>
      <c r="BS75" s="693">
        <f>SUMIFS(Imput[[Importe Neto]:[Importe Neto]],Imput[[C. Imp.]:[C. Imp.]],$D75,Imput[[PERIODO Imp.]:[PERIODO Imp.]],BS$9)</f>
        <v>0</v>
      </c>
      <c r="BT75" s="693">
        <f>SUMIFS(Imput[[Importe Neto]:[Importe Neto]],Imput[[C. Imp.]:[C. Imp.]],$D75,Imput[[PERIODO Imp.]:[PERIODO Imp.]],BT$9)</f>
        <v>0</v>
      </c>
      <c r="BU75" s="693">
        <f>SUMIFS(Imput[[Importe Neto]:[Importe Neto]],Imput[[C. Imp.]:[C. Imp.]],$D75,Imput[[PERIODO Imp.]:[PERIODO Imp.]],BU$9)</f>
        <v>0</v>
      </c>
      <c r="BV75" s="693">
        <f>SUMIFS(Imput[[Importe Neto]:[Importe Neto]],Imput[[C. Imp.]:[C. Imp.]],$D75,Imput[[PERIODO Imp.]:[PERIODO Imp.]],BV$9)</f>
        <v>0</v>
      </c>
      <c r="BW75" s="693">
        <f>SUMIFS(Imput[[Importe Neto]:[Importe Neto]],Imput[[C. Imp.]:[C. Imp.]],$D75,Imput[[PERIODO Imp.]:[PERIODO Imp.]],BW$9)</f>
        <v>0</v>
      </c>
      <c r="BX75" s="693">
        <f>SUMIFS(Imput[[Importe Neto]:[Importe Neto]],Imput[[C. Imp.]:[C. Imp.]],$D75,Imput[[PERIODO Imp.]:[PERIODO Imp.]],BX$9)</f>
        <v>0</v>
      </c>
      <c r="BY75" s="693">
        <f>SUMIFS(Imput[[Importe Neto]:[Importe Neto]],Imput[[C. Imp.]:[C. Imp.]],$D75,Imput[[PERIODO Imp.]:[PERIODO Imp.]],BY$9)</f>
        <v>0</v>
      </c>
      <c r="BZ75" s="693">
        <f>SUMIFS(Imput[[Importe Neto]:[Importe Neto]],Imput[[C. Imp.]:[C. Imp.]],$D75,Imput[[PERIODO Imp.]:[PERIODO Imp.]],BZ$9)</f>
        <v>0</v>
      </c>
      <c r="CA75" s="693">
        <f>SUMIFS(Imput[[Importe Neto]:[Importe Neto]],Imput[[C. Imp.]:[C. Imp.]],$D75,Imput[[PERIODO Imp.]:[PERIODO Imp.]],CA$9)</f>
        <v>0</v>
      </c>
      <c r="CB75" s="693">
        <f>SUMIFS(Imput[[Importe Neto]:[Importe Neto]],Imput[[C. Imp.]:[C. Imp.]],$D75,Imput[[PERIODO Imp.]:[PERIODO Imp.]],CB$9)</f>
        <v>0</v>
      </c>
      <c r="CC75" s="693">
        <f>SUMIFS(Imput[[Importe Neto]:[Importe Neto]],Imput[[C. Imp.]:[C. Imp.]],$D75,Imput[[PERIODO Imp.]:[PERIODO Imp.]],CC$9)</f>
        <v>0</v>
      </c>
      <c r="CD75" s="693">
        <f>SUMIFS(Imput[[Importe Neto]:[Importe Neto]],Imput[[C. Imp.]:[C. Imp.]],$D75,Imput[[PERIODO Imp.]:[PERIODO Imp.]],CD$9)</f>
        <v>0</v>
      </c>
      <c r="CE75" s="693">
        <f>SUMIFS(Imput[[Importe Neto]:[Importe Neto]],Imput[[C. Imp.]:[C. Imp.]],$D75,Imput[[PERIODO Imp.]:[PERIODO Imp.]],CE$9)</f>
        <v>0</v>
      </c>
      <c r="CF75" s="693">
        <f>SUMIFS(Imput[[Importe Neto]:[Importe Neto]],Imput[[C. Imp.]:[C. Imp.]],$D75,Imput[[PERIODO Imp.]:[PERIODO Imp.]],CF$9)</f>
        <v>0</v>
      </c>
      <c r="CG75" s="693">
        <f>SUMIFS(Imput[[Importe Neto]:[Importe Neto]],Imput[[C. Imp.]:[C. Imp.]],$D75,Imput[[PERIODO Imp.]:[PERIODO Imp.]],CG$9)</f>
        <v>0</v>
      </c>
      <c r="CH75" s="693">
        <f>SUMIFS(Imput[[Importe Neto]:[Importe Neto]],Imput[[C. Imp.]:[C. Imp.]],$D75,Imput[[PERIODO Imp.]:[PERIODO Imp.]],CH$9)</f>
        <v>0</v>
      </c>
      <c r="CI75" s="693">
        <f>SUMIFS(Imput[[Importe Neto]:[Importe Neto]],Imput[[C. Imp.]:[C. Imp.]],$D75,Imput[[PERIODO Imp.]:[PERIODO Imp.]],CI$9)</f>
        <v>0</v>
      </c>
      <c r="CJ75" s="693">
        <f>SUMIFS(Imput[[Importe Neto]:[Importe Neto]],Imput[[C. Imp.]:[C. Imp.]],$D75,Imput[[PERIODO Imp.]:[PERIODO Imp.]],CJ$9)</f>
        <v>0</v>
      </c>
      <c r="CK75" s="693">
        <f>SUMIFS(Imput[[Importe Neto]:[Importe Neto]],Imput[[C. Imp.]:[C. Imp.]],$D75,Imput[[PERIODO Imp.]:[PERIODO Imp.]],CK$9)</f>
        <v>0</v>
      </c>
      <c r="CL75" s="693">
        <f>SUMIFS(Imput[[Importe Neto]:[Importe Neto]],Imput[[C. Imp.]:[C. Imp.]],$D75,Imput[[PERIODO Imp.]:[PERIODO Imp.]],CL$9)</f>
        <v>0</v>
      </c>
      <c r="CM75" s="693">
        <f>SUMIFS(Imput[[Importe Neto]:[Importe Neto]],Imput[[C. Imp.]:[C. Imp.]],$D75,Imput[[PERIODO Imp.]:[PERIODO Imp.]],CM$9)</f>
        <v>0</v>
      </c>
      <c r="CN75" s="693">
        <f>SUMIFS(Imput[[Importe Neto]:[Importe Neto]],Imput[[C. Imp.]:[C. Imp.]],$D75,Imput[[PERIODO Imp.]:[PERIODO Imp.]],CN$9)</f>
        <v>0</v>
      </c>
      <c r="CO75" s="693">
        <f>SUMIFS(Imput[[Importe Neto]:[Importe Neto]],Imput[[C. Imp.]:[C. Imp.]],$D75,Imput[[PERIODO Imp.]:[PERIODO Imp.]],CO$9)</f>
        <v>0</v>
      </c>
      <c r="CP75" s="693">
        <f>SUMIFS(Imput[[Importe Neto]:[Importe Neto]],Imput[[C. Imp.]:[C. Imp.]],$D75,Imput[[PERIODO Imp.]:[PERIODO Imp.]],CP$9)</f>
        <v>0</v>
      </c>
      <c r="CQ75" s="693">
        <f>SUMIFS(Imput[[Importe Neto]:[Importe Neto]],Imput[[C. Imp.]:[C. Imp.]],$D75,Imput[[PERIODO Imp.]:[PERIODO Imp.]],CQ$9)</f>
        <v>0</v>
      </c>
      <c r="CR75" s="693">
        <f>SUMIFS(Imput[[Importe Neto]:[Importe Neto]],Imput[[C. Imp.]:[C. Imp.]],$D75,Imput[[PERIODO Imp.]:[PERIODO Imp.]],CR$9)</f>
        <v>0</v>
      </c>
      <c r="CS75" s="693">
        <f>SUMIFS(Imput[[Importe Neto]:[Importe Neto]],Imput[[C. Imp.]:[C. Imp.]],$D75,Imput[[PERIODO Imp.]:[PERIODO Imp.]],CS$9)</f>
        <v>0</v>
      </c>
      <c r="CT75" s="693">
        <f>SUMIFS(Imput[[Importe Neto]:[Importe Neto]],Imput[[C. Imp.]:[C. Imp.]],$D75,Imput[[PERIODO Imp.]:[PERIODO Imp.]],CT$9)</f>
        <v>0</v>
      </c>
      <c r="CU75" s="693">
        <f>SUMIFS(Imput[[Importe Neto]:[Importe Neto]],Imput[[C. Imp.]:[C. Imp.]],$D75,Imput[[PERIODO Imp.]:[PERIODO Imp.]],CU$9)</f>
        <v>0</v>
      </c>
      <c r="CV75" s="693">
        <f>SUMIFS(Imput[[Importe Neto]:[Importe Neto]],Imput[[C. Imp.]:[C. Imp.]],$D75,Imput[[PERIODO Imp.]:[PERIODO Imp.]],CV$9)</f>
        <v>0</v>
      </c>
      <c r="CW75" s="693">
        <f>SUMIFS(Imput[[Importe Neto]:[Importe Neto]],Imput[[C. Imp.]:[C. Imp.]],$D75,Imput[[PERIODO Imp.]:[PERIODO Imp.]],CW$9)</f>
        <v>0</v>
      </c>
      <c r="CX75" s="693">
        <f>SUMIFS(Imput[[Importe Neto]:[Importe Neto]],Imput[[C. Imp.]:[C. Imp.]],$D75,Imput[[PERIODO Imp.]:[PERIODO Imp.]],CX$9)</f>
        <v>0</v>
      </c>
      <c r="CY75" s="693">
        <f>SUMIFS(Imput[[Importe Neto]:[Importe Neto]],Imput[[C. Imp.]:[C. Imp.]],$D75,Imput[[PERIODO Imp.]:[PERIODO Imp.]],CY$9)</f>
        <v>0</v>
      </c>
      <c r="CZ75" s="693">
        <f>SUMIFS(Imput[[Importe Neto]:[Importe Neto]],Imput[[C. Imp.]:[C. Imp.]],$D75,Imput[[PERIODO Imp.]:[PERIODO Imp.]],CZ$9)</f>
        <v>0</v>
      </c>
      <c r="DA75" s="693">
        <f>SUMIFS(Imput[[Importe Neto]:[Importe Neto]],Imput[[C. Imp.]:[C. Imp.]],$D75,Imput[[PERIODO Imp.]:[PERIODO Imp.]],DA$9)</f>
        <v>0</v>
      </c>
      <c r="DB75" s="693">
        <f>SUMIFS(Imput[[Importe Neto]:[Importe Neto]],Imput[[C. Imp.]:[C. Imp.]],$D75,Imput[[PERIODO Imp.]:[PERIODO Imp.]],DB$9)</f>
        <v>0</v>
      </c>
      <c r="DC75" s="693">
        <f>SUMIFS(Imput[[Importe Neto]:[Importe Neto]],Imput[[C. Imp.]:[C. Imp.]],$D75,Imput[[PERIODO Imp.]:[PERIODO Imp.]],DC$9)</f>
        <v>0</v>
      </c>
      <c r="DD75" s="693">
        <f>SUMIFS(Imput[[Importe Neto]:[Importe Neto]],Imput[[C. Imp.]:[C. Imp.]],$D75,Imput[[PERIODO Imp.]:[PERIODO Imp.]],DD$9)</f>
        <v>0</v>
      </c>
      <c r="DE75" s="693">
        <f>SUMIFS(Imput[[Importe Neto]:[Importe Neto]],Imput[[C. Imp.]:[C. Imp.]],$D75,Imput[[PERIODO Imp.]:[PERIODO Imp.]],DE$9)</f>
        <v>0</v>
      </c>
      <c r="DF75" s="693">
        <f>SUMIFS(Imput[[Importe Neto]:[Importe Neto]],Imput[[C. Imp.]:[C. Imp.]],$D75,Imput[[PERIODO Imp.]:[PERIODO Imp.]],DF$9)</f>
        <v>0</v>
      </c>
      <c r="DG75" s="693">
        <f>SUMIFS(Imput[[Importe Neto]:[Importe Neto]],Imput[[C. Imp.]:[C. Imp.]],$D75,Imput[[PERIODO Imp.]:[PERIODO Imp.]],DG$9)</f>
        <v>0</v>
      </c>
      <c r="DH75" s="694">
        <f>SUMIFS(Imput[[Importe Neto]:[Importe Neto]],Imput[[C. Imp.]:[C. Imp.]],$D75,Imput[[PERIODO Imp.]:[PERIODO Imp.]],DH$9)</f>
        <v>0</v>
      </c>
    </row>
    <row r="76" spans="1:112" hidden="1" outlineLevel="1" x14ac:dyDescent="0.3">
      <c r="A76" s="66" t="str">
        <f t="shared" si="22"/>
        <v/>
      </c>
      <c r="C76" s="527"/>
      <c r="D76" s="528" t="s">
        <v>2188</v>
      </c>
      <c r="E76" s="528"/>
      <c r="F76" s="534"/>
      <c r="G76" s="529"/>
      <c r="H76" s="531"/>
      <c r="I76" s="849" t="str">
        <f t="shared" si="23"/>
        <v/>
      </c>
      <c r="J76" s="850" t="str">
        <f t="shared" si="24"/>
        <v/>
      </c>
      <c r="K76" s="70"/>
      <c r="L76" s="853"/>
      <c r="M76" s="855"/>
      <c r="N76" s="855"/>
      <c r="O76" s="855"/>
      <c r="P76" s="855"/>
      <c r="Q76" s="855"/>
      <c r="R76" s="855"/>
      <c r="S76" s="855"/>
      <c r="T76" s="855"/>
      <c r="U76" s="855"/>
      <c r="V76" s="855"/>
      <c r="W76" s="855"/>
      <c r="X76" s="855"/>
      <c r="Y76" s="855"/>
      <c r="Z76" s="856"/>
      <c r="AA76" s="856"/>
      <c r="AB76" s="856"/>
      <c r="AC76" s="856"/>
      <c r="AD76" s="856"/>
      <c r="AE76" s="856"/>
      <c r="AF76" s="856"/>
      <c r="AG76" s="856"/>
      <c r="AH76" s="856"/>
      <c r="AI76" s="856"/>
      <c r="AJ76" s="856"/>
      <c r="AK76" s="856"/>
      <c r="AL76" s="856"/>
      <c r="AM76" s="856"/>
      <c r="AN76" s="856"/>
      <c r="AO76" s="856"/>
      <c r="AP76" s="856"/>
      <c r="AQ76" s="856"/>
      <c r="AR76" s="856"/>
      <c r="AS76" s="856"/>
      <c r="AT76" s="856"/>
      <c r="AU76" s="856"/>
      <c r="AV76" s="856"/>
      <c r="AW76" s="856"/>
      <c r="AX76" s="856"/>
      <c r="AY76" s="856"/>
      <c r="AZ76" s="856"/>
      <c r="BA76" s="856"/>
      <c r="BB76" s="856"/>
      <c r="BC76" s="856"/>
      <c r="BD76" s="856"/>
      <c r="BE76" s="856"/>
      <c r="BF76" s="856"/>
      <c r="BG76" s="857"/>
      <c r="BH76" s="590"/>
      <c r="BI76" s="70"/>
      <c r="BJ76" s="518">
        <f t="shared" si="25"/>
        <v>0</v>
      </c>
      <c r="BK76" s="517">
        <f t="shared" si="26"/>
        <v>0</v>
      </c>
      <c r="BL76" s="68"/>
      <c r="BM76" s="515">
        <f>SUMIFS(Imput[[Importe Neto]:[Importe Neto]],Imput[[C. Imp.]:[C. Imp.]],$D76,Imput[[PERIODO Imp.]:[PERIODO Imp.]],BM$9)</f>
        <v>0</v>
      </c>
      <c r="BN76" s="516">
        <f>SUMIFS(Imput[[Importe Neto]:[Importe Neto]],Imput[[C. Imp.]:[C. Imp.]],$D76,Imput[[PERIODO Imp.]:[PERIODO Imp.]],BN$9)</f>
        <v>0</v>
      </c>
      <c r="BO76" s="516">
        <f>SUMIFS(Imput[[Importe Neto]:[Importe Neto]],Imput[[C. Imp.]:[C. Imp.]],$D76,Imput[[PERIODO Imp.]:[PERIODO Imp.]],BO$9)</f>
        <v>0</v>
      </c>
      <c r="BP76" s="516">
        <f>SUMIFS(Imput[[Importe Neto]:[Importe Neto]],Imput[[C. Imp.]:[C. Imp.]],$D76,Imput[[PERIODO Imp.]:[PERIODO Imp.]],BP$9)</f>
        <v>0</v>
      </c>
      <c r="BQ76" s="516">
        <f>SUMIFS(Imput[[Importe Neto]:[Importe Neto]],Imput[[C. Imp.]:[C. Imp.]],$D76,Imput[[PERIODO Imp.]:[PERIODO Imp.]],BQ$9)</f>
        <v>0</v>
      </c>
      <c r="BR76" s="516">
        <f>SUMIFS(Imput[[Importe Neto]:[Importe Neto]],Imput[[C. Imp.]:[C. Imp.]],$D76,Imput[[PERIODO Imp.]:[PERIODO Imp.]],BR$9)</f>
        <v>0</v>
      </c>
      <c r="BS76" s="516">
        <f>SUMIFS(Imput[[Importe Neto]:[Importe Neto]],Imput[[C. Imp.]:[C. Imp.]],$D76,Imput[[PERIODO Imp.]:[PERIODO Imp.]],BS$9)</f>
        <v>0</v>
      </c>
      <c r="BT76" s="516">
        <f>SUMIFS(Imput[[Importe Neto]:[Importe Neto]],Imput[[C. Imp.]:[C. Imp.]],$D76,Imput[[PERIODO Imp.]:[PERIODO Imp.]],BT$9)</f>
        <v>0</v>
      </c>
      <c r="BU76" s="516">
        <f>SUMIFS(Imput[[Importe Neto]:[Importe Neto]],Imput[[C. Imp.]:[C. Imp.]],$D76,Imput[[PERIODO Imp.]:[PERIODO Imp.]],BU$9)</f>
        <v>0</v>
      </c>
      <c r="BV76" s="516">
        <f>SUMIFS(Imput[[Importe Neto]:[Importe Neto]],Imput[[C. Imp.]:[C. Imp.]],$D76,Imput[[PERIODO Imp.]:[PERIODO Imp.]],BV$9)</f>
        <v>0</v>
      </c>
      <c r="BW76" s="516">
        <f>SUMIFS(Imput[[Importe Neto]:[Importe Neto]],Imput[[C. Imp.]:[C. Imp.]],$D76,Imput[[PERIODO Imp.]:[PERIODO Imp.]],BW$9)</f>
        <v>0</v>
      </c>
      <c r="BX76" s="516">
        <f>SUMIFS(Imput[[Importe Neto]:[Importe Neto]],Imput[[C. Imp.]:[C. Imp.]],$D76,Imput[[PERIODO Imp.]:[PERIODO Imp.]],BX$9)</f>
        <v>0</v>
      </c>
      <c r="BY76" s="516">
        <f>SUMIFS(Imput[[Importe Neto]:[Importe Neto]],Imput[[C. Imp.]:[C. Imp.]],$D76,Imput[[PERIODO Imp.]:[PERIODO Imp.]],BY$9)</f>
        <v>0</v>
      </c>
      <c r="BZ76" s="516">
        <f>SUMIFS(Imput[[Importe Neto]:[Importe Neto]],Imput[[C. Imp.]:[C. Imp.]],$D76,Imput[[PERIODO Imp.]:[PERIODO Imp.]],BZ$9)</f>
        <v>0</v>
      </c>
      <c r="CA76" s="516">
        <f>SUMIFS(Imput[[Importe Neto]:[Importe Neto]],Imput[[C. Imp.]:[C. Imp.]],$D76,Imput[[PERIODO Imp.]:[PERIODO Imp.]],CA$9)</f>
        <v>0</v>
      </c>
      <c r="CB76" s="516">
        <f>SUMIFS(Imput[[Importe Neto]:[Importe Neto]],Imput[[C. Imp.]:[C. Imp.]],$D76,Imput[[PERIODO Imp.]:[PERIODO Imp.]],CB$9)</f>
        <v>0</v>
      </c>
      <c r="CC76" s="516">
        <f>SUMIFS(Imput[[Importe Neto]:[Importe Neto]],Imput[[C. Imp.]:[C. Imp.]],$D76,Imput[[PERIODO Imp.]:[PERIODO Imp.]],CC$9)</f>
        <v>0</v>
      </c>
      <c r="CD76" s="516">
        <f>SUMIFS(Imput[[Importe Neto]:[Importe Neto]],Imput[[C. Imp.]:[C. Imp.]],$D76,Imput[[PERIODO Imp.]:[PERIODO Imp.]],CD$9)</f>
        <v>0</v>
      </c>
      <c r="CE76" s="516">
        <f>SUMIFS(Imput[[Importe Neto]:[Importe Neto]],Imput[[C. Imp.]:[C. Imp.]],$D76,Imput[[PERIODO Imp.]:[PERIODO Imp.]],CE$9)</f>
        <v>0</v>
      </c>
      <c r="CF76" s="516">
        <f>SUMIFS(Imput[[Importe Neto]:[Importe Neto]],Imput[[C. Imp.]:[C. Imp.]],$D76,Imput[[PERIODO Imp.]:[PERIODO Imp.]],CF$9)</f>
        <v>0</v>
      </c>
      <c r="CG76" s="516">
        <f>SUMIFS(Imput[[Importe Neto]:[Importe Neto]],Imput[[C. Imp.]:[C. Imp.]],$D76,Imput[[PERIODO Imp.]:[PERIODO Imp.]],CG$9)</f>
        <v>0</v>
      </c>
      <c r="CH76" s="516">
        <f>SUMIFS(Imput[[Importe Neto]:[Importe Neto]],Imput[[C. Imp.]:[C. Imp.]],$D76,Imput[[PERIODO Imp.]:[PERIODO Imp.]],CH$9)</f>
        <v>0</v>
      </c>
      <c r="CI76" s="516">
        <f>SUMIFS(Imput[[Importe Neto]:[Importe Neto]],Imput[[C. Imp.]:[C. Imp.]],$D76,Imput[[PERIODO Imp.]:[PERIODO Imp.]],CI$9)</f>
        <v>0</v>
      </c>
      <c r="CJ76" s="516">
        <f>SUMIFS(Imput[[Importe Neto]:[Importe Neto]],Imput[[C. Imp.]:[C. Imp.]],$D76,Imput[[PERIODO Imp.]:[PERIODO Imp.]],CJ$9)</f>
        <v>0</v>
      </c>
      <c r="CK76" s="516">
        <f>SUMIFS(Imput[[Importe Neto]:[Importe Neto]],Imput[[C. Imp.]:[C. Imp.]],$D76,Imput[[PERIODO Imp.]:[PERIODO Imp.]],CK$9)</f>
        <v>0</v>
      </c>
      <c r="CL76" s="516">
        <f>SUMIFS(Imput[[Importe Neto]:[Importe Neto]],Imput[[C. Imp.]:[C. Imp.]],$D76,Imput[[PERIODO Imp.]:[PERIODO Imp.]],CL$9)</f>
        <v>0</v>
      </c>
      <c r="CM76" s="516">
        <f>SUMIFS(Imput[[Importe Neto]:[Importe Neto]],Imput[[C. Imp.]:[C. Imp.]],$D76,Imput[[PERIODO Imp.]:[PERIODO Imp.]],CM$9)</f>
        <v>0</v>
      </c>
      <c r="CN76" s="516">
        <f>SUMIFS(Imput[[Importe Neto]:[Importe Neto]],Imput[[C. Imp.]:[C. Imp.]],$D76,Imput[[PERIODO Imp.]:[PERIODO Imp.]],CN$9)</f>
        <v>0</v>
      </c>
      <c r="CO76" s="516">
        <f>SUMIFS(Imput[[Importe Neto]:[Importe Neto]],Imput[[C. Imp.]:[C. Imp.]],$D76,Imput[[PERIODO Imp.]:[PERIODO Imp.]],CO$9)</f>
        <v>0</v>
      </c>
      <c r="CP76" s="516">
        <f>SUMIFS(Imput[[Importe Neto]:[Importe Neto]],Imput[[C. Imp.]:[C. Imp.]],$D76,Imput[[PERIODO Imp.]:[PERIODO Imp.]],CP$9)</f>
        <v>0</v>
      </c>
      <c r="CQ76" s="516">
        <f>SUMIFS(Imput[[Importe Neto]:[Importe Neto]],Imput[[C. Imp.]:[C. Imp.]],$D76,Imput[[PERIODO Imp.]:[PERIODO Imp.]],CQ$9)</f>
        <v>0</v>
      </c>
      <c r="CR76" s="516">
        <f>SUMIFS(Imput[[Importe Neto]:[Importe Neto]],Imput[[C. Imp.]:[C. Imp.]],$D76,Imput[[PERIODO Imp.]:[PERIODO Imp.]],CR$9)</f>
        <v>0</v>
      </c>
      <c r="CS76" s="516">
        <f>SUMIFS(Imput[[Importe Neto]:[Importe Neto]],Imput[[C. Imp.]:[C. Imp.]],$D76,Imput[[PERIODO Imp.]:[PERIODO Imp.]],CS$9)</f>
        <v>0</v>
      </c>
      <c r="CT76" s="516">
        <f>SUMIFS(Imput[[Importe Neto]:[Importe Neto]],Imput[[C. Imp.]:[C. Imp.]],$D76,Imput[[PERIODO Imp.]:[PERIODO Imp.]],CT$9)</f>
        <v>0</v>
      </c>
      <c r="CU76" s="516">
        <f>SUMIFS(Imput[[Importe Neto]:[Importe Neto]],Imput[[C. Imp.]:[C. Imp.]],$D76,Imput[[PERIODO Imp.]:[PERIODO Imp.]],CU$9)</f>
        <v>0</v>
      </c>
      <c r="CV76" s="516">
        <f>SUMIFS(Imput[[Importe Neto]:[Importe Neto]],Imput[[C. Imp.]:[C. Imp.]],$D76,Imput[[PERIODO Imp.]:[PERIODO Imp.]],CV$9)</f>
        <v>0</v>
      </c>
      <c r="CW76" s="516">
        <f>SUMIFS(Imput[[Importe Neto]:[Importe Neto]],Imput[[C. Imp.]:[C. Imp.]],$D76,Imput[[PERIODO Imp.]:[PERIODO Imp.]],CW$9)</f>
        <v>0</v>
      </c>
      <c r="CX76" s="516">
        <f>SUMIFS(Imput[[Importe Neto]:[Importe Neto]],Imput[[C. Imp.]:[C. Imp.]],$D76,Imput[[PERIODO Imp.]:[PERIODO Imp.]],CX$9)</f>
        <v>0</v>
      </c>
      <c r="CY76" s="516">
        <f>SUMIFS(Imput[[Importe Neto]:[Importe Neto]],Imput[[C. Imp.]:[C. Imp.]],$D76,Imput[[PERIODO Imp.]:[PERIODO Imp.]],CY$9)</f>
        <v>0</v>
      </c>
      <c r="CZ76" s="516">
        <f>SUMIFS(Imput[[Importe Neto]:[Importe Neto]],Imput[[C. Imp.]:[C. Imp.]],$D76,Imput[[PERIODO Imp.]:[PERIODO Imp.]],CZ$9)</f>
        <v>0</v>
      </c>
      <c r="DA76" s="516">
        <f>SUMIFS(Imput[[Importe Neto]:[Importe Neto]],Imput[[C. Imp.]:[C. Imp.]],$D76,Imput[[PERIODO Imp.]:[PERIODO Imp.]],DA$9)</f>
        <v>0</v>
      </c>
      <c r="DB76" s="516">
        <f>SUMIFS(Imput[[Importe Neto]:[Importe Neto]],Imput[[C. Imp.]:[C. Imp.]],$D76,Imput[[PERIODO Imp.]:[PERIODO Imp.]],DB$9)</f>
        <v>0</v>
      </c>
      <c r="DC76" s="516">
        <f>SUMIFS(Imput[[Importe Neto]:[Importe Neto]],Imput[[C. Imp.]:[C. Imp.]],$D76,Imput[[PERIODO Imp.]:[PERIODO Imp.]],DC$9)</f>
        <v>0</v>
      </c>
      <c r="DD76" s="516">
        <f>SUMIFS(Imput[[Importe Neto]:[Importe Neto]],Imput[[C. Imp.]:[C. Imp.]],$D76,Imput[[PERIODO Imp.]:[PERIODO Imp.]],DD$9)</f>
        <v>0</v>
      </c>
      <c r="DE76" s="516">
        <f>SUMIFS(Imput[[Importe Neto]:[Importe Neto]],Imput[[C. Imp.]:[C. Imp.]],$D76,Imput[[PERIODO Imp.]:[PERIODO Imp.]],DE$9)</f>
        <v>0</v>
      </c>
      <c r="DF76" s="516">
        <f>SUMIFS(Imput[[Importe Neto]:[Importe Neto]],Imput[[C. Imp.]:[C. Imp.]],$D76,Imput[[PERIODO Imp.]:[PERIODO Imp.]],DF$9)</f>
        <v>0</v>
      </c>
      <c r="DG76" s="516">
        <f>SUMIFS(Imput[[Importe Neto]:[Importe Neto]],Imput[[C. Imp.]:[C. Imp.]],$D76,Imput[[PERIODO Imp.]:[PERIODO Imp.]],DG$9)</f>
        <v>0</v>
      </c>
      <c r="DH76" s="616">
        <f>SUMIFS(Imput[[Importe Neto]:[Importe Neto]],Imput[[C. Imp.]:[C. Imp.]],$D76,Imput[[PERIODO Imp.]:[PERIODO Imp.]],DH$9)</f>
        <v>0</v>
      </c>
    </row>
    <row r="77" spans="1:112" hidden="1" outlineLevel="1" x14ac:dyDescent="0.3">
      <c r="A77" s="66" t="str">
        <f t="shared" si="22"/>
        <v/>
      </c>
      <c r="C77" s="527"/>
      <c r="D77" s="528" t="s">
        <v>2189</v>
      </c>
      <c r="E77" s="528"/>
      <c r="F77" s="534"/>
      <c r="G77" s="529"/>
      <c r="H77" s="531"/>
      <c r="I77" s="849" t="str">
        <f t="shared" si="23"/>
        <v/>
      </c>
      <c r="J77" s="850" t="str">
        <f t="shared" si="24"/>
        <v/>
      </c>
      <c r="K77" s="70"/>
      <c r="L77" s="853"/>
      <c r="M77" s="855"/>
      <c r="N77" s="855"/>
      <c r="O77" s="855"/>
      <c r="P77" s="855"/>
      <c r="Q77" s="855"/>
      <c r="R77" s="855"/>
      <c r="S77" s="855"/>
      <c r="T77" s="855"/>
      <c r="U77" s="855"/>
      <c r="V77" s="855"/>
      <c r="W77" s="855"/>
      <c r="X77" s="855"/>
      <c r="Y77" s="855"/>
      <c r="Z77" s="856"/>
      <c r="AA77" s="856"/>
      <c r="AB77" s="856"/>
      <c r="AC77" s="856"/>
      <c r="AD77" s="856"/>
      <c r="AE77" s="856"/>
      <c r="AF77" s="856"/>
      <c r="AG77" s="856"/>
      <c r="AH77" s="856"/>
      <c r="AI77" s="856"/>
      <c r="AJ77" s="856"/>
      <c r="AK77" s="856"/>
      <c r="AL77" s="856"/>
      <c r="AM77" s="856"/>
      <c r="AN77" s="856"/>
      <c r="AO77" s="856"/>
      <c r="AP77" s="856"/>
      <c r="AQ77" s="856"/>
      <c r="AR77" s="856"/>
      <c r="AS77" s="856"/>
      <c r="AT77" s="856"/>
      <c r="AU77" s="856"/>
      <c r="AV77" s="856"/>
      <c r="AW77" s="856"/>
      <c r="AX77" s="856"/>
      <c r="AY77" s="856"/>
      <c r="AZ77" s="856"/>
      <c r="BA77" s="856"/>
      <c r="BB77" s="856"/>
      <c r="BC77" s="856"/>
      <c r="BD77" s="856"/>
      <c r="BE77" s="856"/>
      <c r="BF77" s="856"/>
      <c r="BG77" s="857"/>
      <c r="BH77" s="590"/>
      <c r="BI77" s="70"/>
      <c r="BJ77" s="518">
        <f t="shared" si="25"/>
        <v>0</v>
      </c>
      <c r="BK77" s="517">
        <f t="shared" si="26"/>
        <v>0</v>
      </c>
      <c r="BL77" s="68"/>
      <c r="BM77" s="515">
        <f>SUMIFS(Imput[[Importe Neto]:[Importe Neto]],Imput[[C. Imp.]:[C. Imp.]],$D77,Imput[[PERIODO Imp.]:[PERIODO Imp.]],BM$9)</f>
        <v>0</v>
      </c>
      <c r="BN77" s="516">
        <f>SUMIFS(Imput[[Importe Neto]:[Importe Neto]],Imput[[C. Imp.]:[C. Imp.]],$D77,Imput[[PERIODO Imp.]:[PERIODO Imp.]],BN$9)</f>
        <v>0</v>
      </c>
      <c r="BO77" s="516">
        <f>SUMIFS(Imput[[Importe Neto]:[Importe Neto]],Imput[[C. Imp.]:[C. Imp.]],$D77,Imput[[PERIODO Imp.]:[PERIODO Imp.]],BO$9)</f>
        <v>0</v>
      </c>
      <c r="BP77" s="516">
        <f>SUMIFS(Imput[[Importe Neto]:[Importe Neto]],Imput[[C. Imp.]:[C. Imp.]],$D77,Imput[[PERIODO Imp.]:[PERIODO Imp.]],BP$9)</f>
        <v>0</v>
      </c>
      <c r="BQ77" s="516">
        <f>SUMIFS(Imput[[Importe Neto]:[Importe Neto]],Imput[[C. Imp.]:[C. Imp.]],$D77,Imput[[PERIODO Imp.]:[PERIODO Imp.]],BQ$9)</f>
        <v>0</v>
      </c>
      <c r="BR77" s="516">
        <f>SUMIFS(Imput[[Importe Neto]:[Importe Neto]],Imput[[C. Imp.]:[C. Imp.]],$D77,Imput[[PERIODO Imp.]:[PERIODO Imp.]],BR$9)</f>
        <v>0</v>
      </c>
      <c r="BS77" s="516">
        <f>SUMIFS(Imput[[Importe Neto]:[Importe Neto]],Imput[[C. Imp.]:[C. Imp.]],$D77,Imput[[PERIODO Imp.]:[PERIODO Imp.]],BS$9)</f>
        <v>0</v>
      </c>
      <c r="BT77" s="516">
        <f>SUMIFS(Imput[[Importe Neto]:[Importe Neto]],Imput[[C. Imp.]:[C. Imp.]],$D77,Imput[[PERIODO Imp.]:[PERIODO Imp.]],BT$9)</f>
        <v>0</v>
      </c>
      <c r="BU77" s="516">
        <f>SUMIFS(Imput[[Importe Neto]:[Importe Neto]],Imput[[C. Imp.]:[C. Imp.]],$D77,Imput[[PERIODO Imp.]:[PERIODO Imp.]],BU$9)</f>
        <v>0</v>
      </c>
      <c r="BV77" s="516">
        <f>SUMIFS(Imput[[Importe Neto]:[Importe Neto]],Imput[[C. Imp.]:[C. Imp.]],$D77,Imput[[PERIODO Imp.]:[PERIODO Imp.]],BV$9)</f>
        <v>0</v>
      </c>
      <c r="BW77" s="516">
        <f>SUMIFS(Imput[[Importe Neto]:[Importe Neto]],Imput[[C. Imp.]:[C. Imp.]],$D77,Imput[[PERIODO Imp.]:[PERIODO Imp.]],BW$9)</f>
        <v>0</v>
      </c>
      <c r="BX77" s="516">
        <f>SUMIFS(Imput[[Importe Neto]:[Importe Neto]],Imput[[C. Imp.]:[C. Imp.]],$D77,Imput[[PERIODO Imp.]:[PERIODO Imp.]],BX$9)</f>
        <v>0</v>
      </c>
      <c r="BY77" s="516">
        <f>SUMIFS(Imput[[Importe Neto]:[Importe Neto]],Imput[[C. Imp.]:[C. Imp.]],$D77,Imput[[PERIODO Imp.]:[PERIODO Imp.]],BY$9)</f>
        <v>0</v>
      </c>
      <c r="BZ77" s="516">
        <f>SUMIFS(Imput[[Importe Neto]:[Importe Neto]],Imput[[C. Imp.]:[C. Imp.]],$D77,Imput[[PERIODO Imp.]:[PERIODO Imp.]],BZ$9)</f>
        <v>0</v>
      </c>
      <c r="CA77" s="516">
        <f>SUMIFS(Imput[[Importe Neto]:[Importe Neto]],Imput[[C. Imp.]:[C. Imp.]],$D77,Imput[[PERIODO Imp.]:[PERIODO Imp.]],CA$9)</f>
        <v>0</v>
      </c>
      <c r="CB77" s="516">
        <f>SUMIFS(Imput[[Importe Neto]:[Importe Neto]],Imput[[C. Imp.]:[C. Imp.]],$D77,Imput[[PERIODO Imp.]:[PERIODO Imp.]],CB$9)</f>
        <v>0</v>
      </c>
      <c r="CC77" s="516">
        <f>SUMIFS(Imput[[Importe Neto]:[Importe Neto]],Imput[[C. Imp.]:[C. Imp.]],$D77,Imput[[PERIODO Imp.]:[PERIODO Imp.]],CC$9)</f>
        <v>0</v>
      </c>
      <c r="CD77" s="516">
        <f>SUMIFS(Imput[[Importe Neto]:[Importe Neto]],Imput[[C. Imp.]:[C. Imp.]],$D77,Imput[[PERIODO Imp.]:[PERIODO Imp.]],CD$9)</f>
        <v>0</v>
      </c>
      <c r="CE77" s="516">
        <f>SUMIFS(Imput[[Importe Neto]:[Importe Neto]],Imput[[C. Imp.]:[C. Imp.]],$D77,Imput[[PERIODO Imp.]:[PERIODO Imp.]],CE$9)</f>
        <v>0</v>
      </c>
      <c r="CF77" s="516">
        <f>SUMIFS(Imput[[Importe Neto]:[Importe Neto]],Imput[[C. Imp.]:[C. Imp.]],$D77,Imput[[PERIODO Imp.]:[PERIODO Imp.]],CF$9)</f>
        <v>0</v>
      </c>
      <c r="CG77" s="516">
        <f>SUMIFS(Imput[[Importe Neto]:[Importe Neto]],Imput[[C. Imp.]:[C. Imp.]],$D77,Imput[[PERIODO Imp.]:[PERIODO Imp.]],CG$9)</f>
        <v>0</v>
      </c>
      <c r="CH77" s="516">
        <f>SUMIFS(Imput[[Importe Neto]:[Importe Neto]],Imput[[C. Imp.]:[C. Imp.]],$D77,Imput[[PERIODO Imp.]:[PERIODO Imp.]],CH$9)</f>
        <v>0</v>
      </c>
      <c r="CI77" s="516">
        <f>SUMIFS(Imput[[Importe Neto]:[Importe Neto]],Imput[[C. Imp.]:[C. Imp.]],$D77,Imput[[PERIODO Imp.]:[PERIODO Imp.]],CI$9)</f>
        <v>0</v>
      </c>
      <c r="CJ77" s="516">
        <f>SUMIFS(Imput[[Importe Neto]:[Importe Neto]],Imput[[C. Imp.]:[C. Imp.]],$D77,Imput[[PERIODO Imp.]:[PERIODO Imp.]],CJ$9)</f>
        <v>0</v>
      </c>
      <c r="CK77" s="516">
        <f>SUMIFS(Imput[[Importe Neto]:[Importe Neto]],Imput[[C. Imp.]:[C. Imp.]],$D77,Imput[[PERIODO Imp.]:[PERIODO Imp.]],CK$9)</f>
        <v>0</v>
      </c>
      <c r="CL77" s="516">
        <f>SUMIFS(Imput[[Importe Neto]:[Importe Neto]],Imput[[C. Imp.]:[C. Imp.]],$D77,Imput[[PERIODO Imp.]:[PERIODO Imp.]],CL$9)</f>
        <v>0</v>
      </c>
      <c r="CM77" s="516">
        <f>SUMIFS(Imput[[Importe Neto]:[Importe Neto]],Imput[[C. Imp.]:[C. Imp.]],$D77,Imput[[PERIODO Imp.]:[PERIODO Imp.]],CM$9)</f>
        <v>0</v>
      </c>
      <c r="CN77" s="516">
        <f>SUMIFS(Imput[[Importe Neto]:[Importe Neto]],Imput[[C. Imp.]:[C. Imp.]],$D77,Imput[[PERIODO Imp.]:[PERIODO Imp.]],CN$9)</f>
        <v>0</v>
      </c>
      <c r="CO77" s="516">
        <f>SUMIFS(Imput[[Importe Neto]:[Importe Neto]],Imput[[C. Imp.]:[C. Imp.]],$D77,Imput[[PERIODO Imp.]:[PERIODO Imp.]],CO$9)</f>
        <v>0</v>
      </c>
      <c r="CP77" s="516">
        <f>SUMIFS(Imput[[Importe Neto]:[Importe Neto]],Imput[[C. Imp.]:[C. Imp.]],$D77,Imput[[PERIODO Imp.]:[PERIODO Imp.]],CP$9)</f>
        <v>0</v>
      </c>
      <c r="CQ77" s="516">
        <f>SUMIFS(Imput[[Importe Neto]:[Importe Neto]],Imput[[C. Imp.]:[C. Imp.]],$D77,Imput[[PERIODO Imp.]:[PERIODO Imp.]],CQ$9)</f>
        <v>0</v>
      </c>
      <c r="CR77" s="516">
        <f>SUMIFS(Imput[[Importe Neto]:[Importe Neto]],Imput[[C. Imp.]:[C. Imp.]],$D77,Imput[[PERIODO Imp.]:[PERIODO Imp.]],CR$9)</f>
        <v>0</v>
      </c>
      <c r="CS77" s="516">
        <f>SUMIFS(Imput[[Importe Neto]:[Importe Neto]],Imput[[C. Imp.]:[C. Imp.]],$D77,Imput[[PERIODO Imp.]:[PERIODO Imp.]],CS$9)</f>
        <v>0</v>
      </c>
      <c r="CT77" s="516">
        <f>SUMIFS(Imput[[Importe Neto]:[Importe Neto]],Imput[[C. Imp.]:[C. Imp.]],$D77,Imput[[PERIODO Imp.]:[PERIODO Imp.]],CT$9)</f>
        <v>0</v>
      </c>
      <c r="CU77" s="516">
        <f>SUMIFS(Imput[[Importe Neto]:[Importe Neto]],Imput[[C. Imp.]:[C. Imp.]],$D77,Imput[[PERIODO Imp.]:[PERIODO Imp.]],CU$9)</f>
        <v>0</v>
      </c>
      <c r="CV77" s="516">
        <f>SUMIFS(Imput[[Importe Neto]:[Importe Neto]],Imput[[C. Imp.]:[C. Imp.]],$D77,Imput[[PERIODO Imp.]:[PERIODO Imp.]],CV$9)</f>
        <v>0</v>
      </c>
      <c r="CW77" s="516">
        <f>SUMIFS(Imput[[Importe Neto]:[Importe Neto]],Imput[[C. Imp.]:[C. Imp.]],$D77,Imput[[PERIODO Imp.]:[PERIODO Imp.]],CW$9)</f>
        <v>0</v>
      </c>
      <c r="CX77" s="516">
        <f>SUMIFS(Imput[[Importe Neto]:[Importe Neto]],Imput[[C. Imp.]:[C. Imp.]],$D77,Imput[[PERIODO Imp.]:[PERIODO Imp.]],CX$9)</f>
        <v>0</v>
      </c>
      <c r="CY77" s="516">
        <f>SUMIFS(Imput[[Importe Neto]:[Importe Neto]],Imput[[C. Imp.]:[C. Imp.]],$D77,Imput[[PERIODO Imp.]:[PERIODO Imp.]],CY$9)</f>
        <v>0</v>
      </c>
      <c r="CZ77" s="516">
        <f>SUMIFS(Imput[[Importe Neto]:[Importe Neto]],Imput[[C. Imp.]:[C. Imp.]],$D77,Imput[[PERIODO Imp.]:[PERIODO Imp.]],CZ$9)</f>
        <v>0</v>
      </c>
      <c r="DA77" s="516">
        <f>SUMIFS(Imput[[Importe Neto]:[Importe Neto]],Imput[[C. Imp.]:[C. Imp.]],$D77,Imput[[PERIODO Imp.]:[PERIODO Imp.]],DA$9)</f>
        <v>0</v>
      </c>
      <c r="DB77" s="516">
        <f>SUMIFS(Imput[[Importe Neto]:[Importe Neto]],Imput[[C. Imp.]:[C. Imp.]],$D77,Imput[[PERIODO Imp.]:[PERIODO Imp.]],DB$9)</f>
        <v>0</v>
      </c>
      <c r="DC77" s="516">
        <f>SUMIFS(Imput[[Importe Neto]:[Importe Neto]],Imput[[C. Imp.]:[C. Imp.]],$D77,Imput[[PERIODO Imp.]:[PERIODO Imp.]],DC$9)</f>
        <v>0</v>
      </c>
      <c r="DD77" s="516">
        <f>SUMIFS(Imput[[Importe Neto]:[Importe Neto]],Imput[[C. Imp.]:[C. Imp.]],$D77,Imput[[PERIODO Imp.]:[PERIODO Imp.]],DD$9)</f>
        <v>0</v>
      </c>
      <c r="DE77" s="516">
        <f>SUMIFS(Imput[[Importe Neto]:[Importe Neto]],Imput[[C. Imp.]:[C. Imp.]],$D77,Imput[[PERIODO Imp.]:[PERIODO Imp.]],DE$9)</f>
        <v>0</v>
      </c>
      <c r="DF77" s="516">
        <f>SUMIFS(Imput[[Importe Neto]:[Importe Neto]],Imput[[C. Imp.]:[C. Imp.]],$D77,Imput[[PERIODO Imp.]:[PERIODO Imp.]],DF$9)</f>
        <v>0</v>
      </c>
      <c r="DG77" s="516">
        <f>SUMIFS(Imput[[Importe Neto]:[Importe Neto]],Imput[[C. Imp.]:[C. Imp.]],$D77,Imput[[PERIODO Imp.]:[PERIODO Imp.]],DG$9)</f>
        <v>0</v>
      </c>
      <c r="DH77" s="616">
        <f>SUMIFS(Imput[[Importe Neto]:[Importe Neto]],Imput[[C. Imp.]:[C. Imp.]],$D77,Imput[[PERIODO Imp.]:[PERIODO Imp.]],DH$9)</f>
        <v>0</v>
      </c>
    </row>
    <row r="78" spans="1:112" hidden="1" outlineLevel="1" x14ac:dyDescent="0.3">
      <c r="A78" s="66" t="str">
        <f t="shared" si="22"/>
        <v/>
      </c>
      <c r="C78" s="527"/>
      <c r="D78" s="528" t="s">
        <v>2190</v>
      </c>
      <c r="E78" s="528"/>
      <c r="F78" s="534"/>
      <c r="G78" s="529"/>
      <c r="H78" s="531"/>
      <c r="I78" s="849" t="str">
        <f t="shared" si="23"/>
        <v/>
      </c>
      <c r="J78" s="850" t="str">
        <f t="shared" si="24"/>
        <v/>
      </c>
      <c r="K78" s="70"/>
      <c r="L78" s="853"/>
      <c r="M78" s="855"/>
      <c r="N78" s="855"/>
      <c r="O78" s="855"/>
      <c r="P78" s="855"/>
      <c r="Q78" s="855"/>
      <c r="R78" s="855"/>
      <c r="S78" s="855"/>
      <c r="T78" s="855"/>
      <c r="U78" s="855"/>
      <c r="V78" s="855"/>
      <c r="W78" s="855"/>
      <c r="X78" s="855"/>
      <c r="Y78" s="855"/>
      <c r="Z78" s="856"/>
      <c r="AA78" s="856"/>
      <c r="AB78" s="856"/>
      <c r="AC78" s="856"/>
      <c r="AD78" s="856"/>
      <c r="AE78" s="856"/>
      <c r="AF78" s="856"/>
      <c r="AG78" s="856"/>
      <c r="AH78" s="856"/>
      <c r="AI78" s="856"/>
      <c r="AJ78" s="856"/>
      <c r="AK78" s="856"/>
      <c r="AL78" s="856"/>
      <c r="AM78" s="856"/>
      <c r="AN78" s="856"/>
      <c r="AO78" s="856"/>
      <c r="AP78" s="856"/>
      <c r="AQ78" s="856"/>
      <c r="AR78" s="856"/>
      <c r="AS78" s="856"/>
      <c r="AT78" s="856"/>
      <c r="AU78" s="856"/>
      <c r="AV78" s="856"/>
      <c r="AW78" s="856"/>
      <c r="AX78" s="856"/>
      <c r="AY78" s="856"/>
      <c r="AZ78" s="856"/>
      <c r="BA78" s="856"/>
      <c r="BB78" s="856"/>
      <c r="BC78" s="856"/>
      <c r="BD78" s="856"/>
      <c r="BE78" s="856"/>
      <c r="BF78" s="856"/>
      <c r="BG78" s="857"/>
      <c r="BH78" s="590"/>
      <c r="BI78" s="70"/>
      <c r="BJ78" s="518">
        <f t="shared" si="25"/>
        <v>0</v>
      </c>
      <c r="BK78" s="517">
        <f t="shared" si="26"/>
        <v>0</v>
      </c>
      <c r="BL78" s="68"/>
      <c r="BM78" s="515">
        <f>SUMIFS(Imput[[Importe Neto]:[Importe Neto]],Imput[[C. Imp.]:[C. Imp.]],$D78,Imput[[PERIODO Imp.]:[PERIODO Imp.]],BM$9)</f>
        <v>0</v>
      </c>
      <c r="BN78" s="516">
        <f>SUMIFS(Imput[[Importe Neto]:[Importe Neto]],Imput[[C. Imp.]:[C. Imp.]],$D78,Imput[[PERIODO Imp.]:[PERIODO Imp.]],BN$9)</f>
        <v>0</v>
      </c>
      <c r="BO78" s="516">
        <f>SUMIFS(Imput[[Importe Neto]:[Importe Neto]],Imput[[C. Imp.]:[C. Imp.]],$D78,Imput[[PERIODO Imp.]:[PERIODO Imp.]],BO$9)</f>
        <v>0</v>
      </c>
      <c r="BP78" s="516">
        <f>SUMIFS(Imput[[Importe Neto]:[Importe Neto]],Imput[[C. Imp.]:[C. Imp.]],$D78,Imput[[PERIODO Imp.]:[PERIODO Imp.]],BP$9)</f>
        <v>0</v>
      </c>
      <c r="BQ78" s="516">
        <f>SUMIFS(Imput[[Importe Neto]:[Importe Neto]],Imput[[C. Imp.]:[C. Imp.]],$D78,Imput[[PERIODO Imp.]:[PERIODO Imp.]],BQ$9)</f>
        <v>0</v>
      </c>
      <c r="BR78" s="516">
        <f>SUMIFS(Imput[[Importe Neto]:[Importe Neto]],Imput[[C. Imp.]:[C. Imp.]],$D78,Imput[[PERIODO Imp.]:[PERIODO Imp.]],BR$9)</f>
        <v>0</v>
      </c>
      <c r="BS78" s="516">
        <f>SUMIFS(Imput[[Importe Neto]:[Importe Neto]],Imput[[C. Imp.]:[C. Imp.]],$D78,Imput[[PERIODO Imp.]:[PERIODO Imp.]],BS$9)</f>
        <v>0</v>
      </c>
      <c r="BT78" s="516">
        <f>SUMIFS(Imput[[Importe Neto]:[Importe Neto]],Imput[[C. Imp.]:[C. Imp.]],$D78,Imput[[PERIODO Imp.]:[PERIODO Imp.]],BT$9)</f>
        <v>0</v>
      </c>
      <c r="BU78" s="516">
        <f>SUMIFS(Imput[[Importe Neto]:[Importe Neto]],Imput[[C. Imp.]:[C. Imp.]],$D78,Imput[[PERIODO Imp.]:[PERIODO Imp.]],BU$9)</f>
        <v>0</v>
      </c>
      <c r="BV78" s="516">
        <f>SUMIFS(Imput[[Importe Neto]:[Importe Neto]],Imput[[C. Imp.]:[C. Imp.]],$D78,Imput[[PERIODO Imp.]:[PERIODO Imp.]],BV$9)</f>
        <v>0</v>
      </c>
      <c r="BW78" s="516">
        <f>SUMIFS(Imput[[Importe Neto]:[Importe Neto]],Imput[[C. Imp.]:[C. Imp.]],$D78,Imput[[PERIODO Imp.]:[PERIODO Imp.]],BW$9)</f>
        <v>0</v>
      </c>
      <c r="BX78" s="516">
        <f>SUMIFS(Imput[[Importe Neto]:[Importe Neto]],Imput[[C. Imp.]:[C. Imp.]],$D78,Imput[[PERIODO Imp.]:[PERIODO Imp.]],BX$9)</f>
        <v>0</v>
      </c>
      <c r="BY78" s="516">
        <f>SUMIFS(Imput[[Importe Neto]:[Importe Neto]],Imput[[C. Imp.]:[C. Imp.]],$D78,Imput[[PERIODO Imp.]:[PERIODO Imp.]],BY$9)</f>
        <v>0</v>
      </c>
      <c r="BZ78" s="516">
        <f>SUMIFS(Imput[[Importe Neto]:[Importe Neto]],Imput[[C. Imp.]:[C. Imp.]],$D78,Imput[[PERIODO Imp.]:[PERIODO Imp.]],BZ$9)</f>
        <v>0</v>
      </c>
      <c r="CA78" s="516">
        <f>SUMIFS(Imput[[Importe Neto]:[Importe Neto]],Imput[[C. Imp.]:[C. Imp.]],$D78,Imput[[PERIODO Imp.]:[PERIODO Imp.]],CA$9)</f>
        <v>0</v>
      </c>
      <c r="CB78" s="516">
        <f>SUMIFS(Imput[[Importe Neto]:[Importe Neto]],Imput[[C. Imp.]:[C. Imp.]],$D78,Imput[[PERIODO Imp.]:[PERIODO Imp.]],CB$9)</f>
        <v>0</v>
      </c>
      <c r="CC78" s="516">
        <f>SUMIFS(Imput[[Importe Neto]:[Importe Neto]],Imput[[C. Imp.]:[C. Imp.]],$D78,Imput[[PERIODO Imp.]:[PERIODO Imp.]],CC$9)</f>
        <v>0</v>
      </c>
      <c r="CD78" s="516">
        <f>SUMIFS(Imput[[Importe Neto]:[Importe Neto]],Imput[[C. Imp.]:[C. Imp.]],$D78,Imput[[PERIODO Imp.]:[PERIODO Imp.]],CD$9)</f>
        <v>0</v>
      </c>
      <c r="CE78" s="516">
        <f>SUMIFS(Imput[[Importe Neto]:[Importe Neto]],Imput[[C. Imp.]:[C. Imp.]],$D78,Imput[[PERIODO Imp.]:[PERIODO Imp.]],CE$9)</f>
        <v>0</v>
      </c>
      <c r="CF78" s="516">
        <f>SUMIFS(Imput[[Importe Neto]:[Importe Neto]],Imput[[C. Imp.]:[C. Imp.]],$D78,Imput[[PERIODO Imp.]:[PERIODO Imp.]],CF$9)</f>
        <v>0</v>
      </c>
      <c r="CG78" s="516">
        <f>SUMIFS(Imput[[Importe Neto]:[Importe Neto]],Imput[[C. Imp.]:[C. Imp.]],$D78,Imput[[PERIODO Imp.]:[PERIODO Imp.]],CG$9)</f>
        <v>0</v>
      </c>
      <c r="CH78" s="516">
        <f>SUMIFS(Imput[[Importe Neto]:[Importe Neto]],Imput[[C. Imp.]:[C. Imp.]],$D78,Imput[[PERIODO Imp.]:[PERIODO Imp.]],CH$9)</f>
        <v>0</v>
      </c>
      <c r="CI78" s="516">
        <f>SUMIFS(Imput[[Importe Neto]:[Importe Neto]],Imput[[C. Imp.]:[C. Imp.]],$D78,Imput[[PERIODO Imp.]:[PERIODO Imp.]],CI$9)</f>
        <v>0</v>
      </c>
      <c r="CJ78" s="516">
        <f>SUMIFS(Imput[[Importe Neto]:[Importe Neto]],Imput[[C. Imp.]:[C. Imp.]],$D78,Imput[[PERIODO Imp.]:[PERIODO Imp.]],CJ$9)</f>
        <v>0</v>
      </c>
      <c r="CK78" s="516">
        <f>SUMIFS(Imput[[Importe Neto]:[Importe Neto]],Imput[[C. Imp.]:[C. Imp.]],$D78,Imput[[PERIODO Imp.]:[PERIODO Imp.]],CK$9)</f>
        <v>0</v>
      </c>
      <c r="CL78" s="516">
        <f>SUMIFS(Imput[[Importe Neto]:[Importe Neto]],Imput[[C. Imp.]:[C. Imp.]],$D78,Imput[[PERIODO Imp.]:[PERIODO Imp.]],CL$9)</f>
        <v>0</v>
      </c>
      <c r="CM78" s="516">
        <f>SUMIFS(Imput[[Importe Neto]:[Importe Neto]],Imput[[C. Imp.]:[C. Imp.]],$D78,Imput[[PERIODO Imp.]:[PERIODO Imp.]],CM$9)</f>
        <v>0</v>
      </c>
      <c r="CN78" s="516">
        <f>SUMIFS(Imput[[Importe Neto]:[Importe Neto]],Imput[[C. Imp.]:[C. Imp.]],$D78,Imput[[PERIODO Imp.]:[PERIODO Imp.]],CN$9)</f>
        <v>0</v>
      </c>
      <c r="CO78" s="516">
        <f>SUMIFS(Imput[[Importe Neto]:[Importe Neto]],Imput[[C. Imp.]:[C. Imp.]],$D78,Imput[[PERIODO Imp.]:[PERIODO Imp.]],CO$9)</f>
        <v>0</v>
      </c>
      <c r="CP78" s="516">
        <f>SUMIFS(Imput[[Importe Neto]:[Importe Neto]],Imput[[C. Imp.]:[C. Imp.]],$D78,Imput[[PERIODO Imp.]:[PERIODO Imp.]],CP$9)</f>
        <v>0</v>
      </c>
      <c r="CQ78" s="516">
        <f>SUMIFS(Imput[[Importe Neto]:[Importe Neto]],Imput[[C. Imp.]:[C. Imp.]],$D78,Imput[[PERIODO Imp.]:[PERIODO Imp.]],CQ$9)</f>
        <v>0</v>
      </c>
      <c r="CR78" s="516">
        <f>SUMIFS(Imput[[Importe Neto]:[Importe Neto]],Imput[[C. Imp.]:[C. Imp.]],$D78,Imput[[PERIODO Imp.]:[PERIODO Imp.]],CR$9)</f>
        <v>0</v>
      </c>
      <c r="CS78" s="516">
        <f>SUMIFS(Imput[[Importe Neto]:[Importe Neto]],Imput[[C. Imp.]:[C. Imp.]],$D78,Imput[[PERIODO Imp.]:[PERIODO Imp.]],CS$9)</f>
        <v>0</v>
      </c>
      <c r="CT78" s="516">
        <f>SUMIFS(Imput[[Importe Neto]:[Importe Neto]],Imput[[C. Imp.]:[C. Imp.]],$D78,Imput[[PERIODO Imp.]:[PERIODO Imp.]],CT$9)</f>
        <v>0</v>
      </c>
      <c r="CU78" s="516">
        <f>SUMIFS(Imput[[Importe Neto]:[Importe Neto]],Imput[[C. Imp.]:[C. Imp.]],$D78,Imput[[PERIODO Imp.]:[PERIODO Imp.]],CU$9)</f>
        <v>0</v>
      </c>
      <c r="CV78" s="516">
        <f>SUMIFS(Imput[[Importe Neto]:[Importe Neto]],Imput[[C. Imp.]:[C. Imp.]],$D78,Imput[[PERIODO Imp.]:[PERIODO Imp.]],CV$9)</f>
        <v>0</v>
      </c>
      <c r="CW78" s="516">
        <f>SUMIFS(Imput[[Importe Neto]:[Importe Neto]],Imput[[C. Imp.]:[C. Imp.]],$D78,Imput[[PERIODO Imp.]:[PERIODO Imp.]],CW$9)</f>
        <v>0</v>
      </c>
      <c r="CX78" s="516">
        <f>SUMIFS(Imput[[Importe Neto]:[Importe Neto]],Imput[[C. Imp.]:[C. Imp.]],$D78,Imput[[PERIODO Imp.]:[PERIODO Imp.]],CX$9)</f>
        <v>0</v>
      </c>
      <c r="CY78" s="516">
        <f>SUMIFS(Imput[[Importe Neto]:[Importe Neto]],Imput[[C. Imp.]:[C. Imp.]],$D78,Imput[[PERIODO Imp.]:[PERIODO Imp.]],CY$9)</f>
        <v>0</v>
      </c>
      <c r="CZ78" s="516">
        <f>SUMIFS(Imput[[Importe Neto]:[Importe Neto]],Imput[[C. Imp.]:[C. Imp.]],$D78,Imput[[PERIODO Imp.]:[PERIODO Imp.]],CZ$9)</f>
        <v>0</v>
      </c>
      <c r="DA78" s="516">
        <f>SUMIFS(Imput[[Importe Neto]:[Importe Neto]],Imput[[C. Imp.]:[C. Imp.]],$D78,Imput[[PERIODO Imp.]:[PERIODO Imp.]],DA$9)</f>
        <v>0</v>
      </c>
      <c r="DB78" s="516">
        <f>SUMIFS(Imput[[Importe Neto]:[Importe Neto]],Imput[[C. Imp.]:[C. Imp.]],$D78,Imput[[PERIODO Imp.]:[PERIODO Imp.]],DB$9)</f>
        <v>0</v>
      </c>
      <c r="DC78" s="516">
        <f>SUMIFS(Imput[[Importe Neto]:[Importe Neto]],Imput[[C. Imp.]:[C. Imp.]],$D78,Imput[[PERIODO Imp.]:[PERIODO Imp.]],DC$9)</f>
        <v>0</v>
      </c>
      <c r="DD78" s="516">
        <f>SUMIFS(Imput[[Importe Neto]:[Importe Neto]],Imput[[C. Imp.]:[C. Imp.]],$D78,Imput[[PERIODO Imp.]:[PERIODO Imp.]],DD$9)</f>
        <v>0</v>
      </c>
      <c r="DE78" s="516">
        <f>SUMIFS(Imput[[Importe Neto]:[Importe Neto]],Imput[[C. Imp.]:[C. Imp.]],$D78,Imput[[PERIODO Imp.]:[PERIODO Imp.]],DE$9)</f>
        <v>0</v>
      </c>
      <c r="DF78" s="516">
        <f>SUMIFS(Imput[[Importe Neto]:[Importe Neto]],Imput[[C. Imp.]:[C. Imp.]],$D78,Imput[[PERIODO Imp.]:[PERIODO Imp.]],DF$9)</f>
        <v>0</v>
      </c>
      <c r="DG78" s="516">
        <f>SUMIFS(Imput[[Importe Neto]:[Importe Neto]],Imput[[C. Imp.]:[C. Imp.]],$D78,Imput[[PERIODO Imp.]:[PERIODO Imp.]],DG$9)</f>
        <v>0</v>
      </c>
      <c r="DH78" s="616">
        <f>SUMIFS(Imput[[Importe Neto]:[Importe Neto]],Imput[[C. Imp.]:[C. Imp.]],$D78,Imput[[PERIODO Imp.]:[PERIODO Imp.]],DH$9)</f>
        <v>0</v>
      </c>
    </row>
    <row r="79" spans="1:112" hidden="1" outlineLevel="1" x14ac:dyDescent="0.3">
      <c r="A79" s="66" t="str">
        <f t="shared" si="22"/>
        <v/>
      </c>
      <c r="C79" s="527"/>
      <c r="D79" s="528" t="s">
        <v>2191</v>
      </c>
      <c r="E79" s="528"/>
      <c r="F79" s="534"/>
      <c r="G79" s="529"/>
      <c r="H79" s="531"/>
      <c r="I79" s="849" t="str">
        <f t="shared" si="23"/>
        <v/>
      </c>
      <c r="J79" s="850" t="str">
        <f t="shared" si="24"/>
        <v/>
      </c>
      <c r="K79" s="70"/>
      <c r="L79" s="853"/>
      <c r="M79" s="855"/>
      <c r="N79" s="855"/>
      <c r="O79" s="855"/>
      <c r="P79" s="855"/>
      <c r="Q79" s="855"/>
      <c r="R79" s="855"/>
      <c r="S79" s="855"/>
      <c r="T79" s="855"/>
      <c r="U79" s="855"/>
      <c r="V79" s="855"/>
      <c r="W79" s="855"/>
      <c r="X79" s="855"/>
      <c r="Y79" s="855"/>
      <c r="Z79" s="856"/>
      <c r="AA79" s="856"/>
      <c r="AB79" s="856"/>
      <c r="AC79" s="856"/>
      <c r="AD79" s="856"/>
      <c r="AE79" s="856"/>
      <c r="AF79" s="856"/>
      <c r="AG79" s="856"/>
      <c r="AH79" s="856"/>
      <c r="AI79" s="856"/>
      <c r="AJ79" s="856"/>
      <c r="AK79" s="856"/>
      <c r="AL79" s="856"/>
      <c r="AM79" s="856"/>
      <c r="AN79" s="856"/>
      <c r="AO79" s="856"/>
      <c r="AP79" s="856"/>
      <c r="AQ79" s="856"/>
      <c r="AR79" s="856"/>
      <c r="AS79" s="856"/>
      <c r="AT79" s="856"/>
      <c r="AU79" s="856"/>
      <c r="AV79" s="856"/>
      <c r="AW79" s="856"/>
      <c r="AX79" s="856"/>
      <c r="AY79" s="856"/>
      <c r="AZ79" s="856"/>
      <c r="BA79" s="856"/>
      <c r="BB79" s="856"/>
      <c r="BC79" s="856"/>
      <c r="BD79" s="856"/>
      <c r="BE79" s="856"/>
      <c r="BF79" s="856"/>
      <c r="BG79" s="857"/>
      <c r="BH79" s="590"/>
      <c r="BI79" s="70"/>
      <c r="BJ79" s="518">
        <f t="shared" si="25"/>
        <v>0</v>
      </c>
      <c r="BK79" s="517">
        <f t="shared" si="26"/>
        <v>0</v>
      </c>
      <c r="BL79" s="68"/>
      <c r="BM79" s="515">
        <f>SUMIFS(Imput[[Importe Neto]:[Importe Neto]],Imput[[C. Imp.]:[C. Imp.]],$D79,Imput[[PERIODO Imp.]:[PERIODO Imp.]],BM$9)</f>
        <v>0</v>
      </c>
      <c r="BN79" s="516">
        <f>SUMIFS(Imput[[Importe Neto]:[Importe Neto]],Imput[[C. Imp.]:[C. Imp.]],$D79,Imput[[PERIODO Imp.]:[PERIODO Imp.]],BN$9)</f>
        <v>0</v>
      </c>
      <c r="BO79" s="516">
        <f>SUMIFS(Imput[[Importe Neto]:[Importe Neto]],Imput[[C. Imp.]:[C. Imp.]],$D79,Imput[[PERIODO Imp.]:[PERIODO Imp.]],BO$9)</f>
        <v>0</v>
      </c>
      <c r="BP79" s="516">
        <f>SUMIFS(Imput[[Importe Neto]:[Importe Neto]],Imput[[C. Imp.]:[C. Imp.]],$D79,Imput[[PERIODO Imp.]:[PERIODO Imp.]],BP$9)</f>
        <v>0</v>
      </c>
      <c r="BQ79" s="516">
        <f>SUMIFS(Imput[[Importe Neto]:[Importe Neto]],Imput[[C. Imp.]:[C. Imp.]],$D79,Imput[[PERIODO Imp.]:[PERIODO Imp.]],BQ$9)</f>
        <v>0</v>
      </c>
      <c r="BR79" s="516">
        <f>SUMIFS(Imput[[Importe Neto]:[Importe Neto]],Imput[[C. Imp.]:[C. Imp.]],$D79,Imput[[PERIODO Imp.]:[PERIODO Imp.]],BR$9)</f>
        <v>0</v>
      </c>
      <c r="BS79" s="516">
        <f>SUMIFS(Imput[[Importe Neto]:[Importe Neto]],Imput[[C. Imp.]:[C. Imp.]],$D79,Imput[[PERIODO Imp.]:[PERIODO Imp.]],BS$9)</f>
        <v>0</v>
      </c>
      <c r="BT79" s="516">
        <f>SUMIFS(Imput[[Importe Neto]:[Importe Neto]],Imput[[C. Imp.]:[C. Imp.]],$D79,Imput[[PERIODO Imp.]:[PERIODO Imp.]],BT$9)</f>
        <v>0</v>
      </c>
      <c r="BU79" s="516">
        <f>SUMIFS(Imput[[Importe Neto]:[Importe Neto]],Imput[[C. Imp.]:[C. Imp.]],$D79,Imput[[PERIODO Imp.]:[PERIODO Imp.]],BU$9)</f>
        <v>0</v>
      </c>
      <c r="BV79" s="516">
        <f>SUMIFS(Imput[[Importe Neto]:[Importe Neto]],Imput[[C. Imp.]:[C. Imp.]],$D79,Imput[[PERIODO Imp.]:[PERIODO Imp.]],BV$9)</f>
        <v>0</v>
      </c>
      <c r="BW79" s="516">
        <f>SUMIFS(Imput[[Importe Neto]:[Importe Neto]],Imput[[C. Imp.]:[C. Imp.]],$D79,Imput[[PERIODO Imp.]:[PERIODO Imp.]],BW$9)</f>
        <v>0</v>
      </c>
      <c r="BX79" s="516">
        <f>SUMIFS(Imput[[Importe Neto]:[Importe Neto]],Imput[[C. Imp.]:[C. Imp.]],$D79,Imput[[PERIODO Imp.]:[PERIODO Imp.]],BX$9)</f>
        <v>0</v>
      </c>
      <c r="BY79" s="516">
        <f>SUMIFS(Imput[[Importe Neto]:[Importe Neto]],Imput[[C. Imp.]:[C. Imp.]],$D79,Imput[[PERIODO Imp.]:[PERIODO Imp.]],BY$9)</f>
        <v>0</v>
      </c>
      <c r="BZ79" s="516">
        <f>SUMIFS(Imput[[Importe Neto]:[Importe Neto]],Imput[[C. Imp.]:[C. Imp.]],$D79,Imput[[PERIODO Imp.]:[PERIODO Imp.]],BZ$9)</f>
        <v>0</v>
      </c>
      <c r="CA79" s="516">
        <f>SUMIFS(Imput[[Importe Neto]:[Importe Neto]],Imput[[C. Imp.]:[C. Imp.]],$D79,Imput[[PERIODO Imp.]:[PERIODO Imp.]],CA$9)</f>
        <v>0</v>
      </c>
      <c r="CB79" s="516">
        <f>SUMIFS(Imput[[Importe Neto]:[Importe Neto]],Imput[[C. Imp.]:[C. Imp.]],$D79,Imput[[PERIODO Imp.]:[PERIODO Imp.]],CB$9)</f>
        <v>0</v>
      </c>
      <c r="CC79" s="516">
        <f>SUMIFS(Imput[[Importe Neto]:[Importe Neto]],Imput[[C. Imp.]:[C. Imp.]],$D79,Imput[[PERIODO Imp.]:[PERIODO Imp.]],CC$9)</f>
        <v>0</v>
      </c>
      <c r="CD79" s="516">
        <f>SUMIFS(Imput[[Importe Neto]:[Importe Neto]],Imput[[C. Imp.]:[C. Imp.]],$D79,Imput[[PERIODO Imp.]:[PERIODO Imp.]],CD$9)</f>
        <v>0</v>
      </c>
      <c r="CE79" s="516">
        <f>SUMIFS(Imput[[Importe Neto]:[Importe Neto]],Imput[[C. Imp.]:[C. Imp.]],$D79,Imput[[PERIODO Imp.]:[PERIODO Imp.]],CE$9)</f>
        <v>0</v>
      </c>
      <c r="CF79" s="516">
        <f>SUMIFS(Imput[[Importe Neto]:[Importe Neto]],Imput[[C. Imp.]:[C. Imp.]],$D79,Imput[[PERIODO Imp.]:[PERIODO Imp.]],CF$9)</f>
        <v>0</v>
      </c>
      <c r="CG79" s="516">
        <f>SUMIFS(Imput[[Importe Neto]:[Importe Neto]],Imput[[C. Imp.]:[C. Imp.]],$D79,Imput[[PERIODO Imp.]:[PERIODO Imp.]],CG$9)</f>
        <v>0</v>
      </c>
      <c r="CH79" s="516">
        <f>SUMIFS(Imput[[Importe Neto]:[Importe Neto]],Imput[[C. Imp.]:[C. Imp.]],$D79,Imput[[PERIODO Imp.]:[PERIODO Imp.]],CH$9)</f>
        <v>0</v>
      </c>
      <c r="CI79" s="516">
        <f>SUMIFS(Imput[[Importe Neto]:[Importe Neto]],Imput[[C. Imp.]:[C. Imp.]],$D79,Imput[[PERIODO Imp.]:[PERIODO Imp.]],CI$9)</f>
        <v>0</v>
      </c>
      <c r="CJ79" s="516">
        <f>SUMIFS(Imput[[Importe Neto]:[Importe Neto]],Imput[[C. Imp.]:[C. Imp.]],$D79,Imput[[PERIODO Imp.]:[PERIODO Imp.]],CJ$9)</f>
        <v>0</v>
      </c>
      <c r="CK79" s="516">
        <f>SUMIFS(Imput[[Importe Neto]:[Importe Neto]],Imput[[C. Imp.]:[C. Imp.]],$D79,Imput[[PERIODO Imp.]:[PERIODO Imp.]],CK$9)</f>
        <v>0</v>
      </c>
      <c r="CL79" s="516">
        <f>SUMIFS(Imput[[Importe Neto]:[Importe Neto]],Imput[[C. Imp.]:[C. Imp.]],$D79,Imput[[PERIODO Imp.]:[PERIODO Imp.]],CL$9)</f>
        <v>0</v>
      </c>
      <c r="CM79" s="516">
        <f>SUMIFS(Imput[[Importe Neto]:[Importe Neto]],Imput[[C. Imp.]:[C. Imp.]],$D79,Imput[[PERIODO Imp.]:[PERIODO Imp.]],CM$9)</f>
        <v>0</v>
      </c>
      <c r="CN79" s="516">
        <f>SUMIFS(Imput[[Importe Neto]:[Importe Neto]],Imput[[C. Imp.]:[C. Imp.]],$D79,Imput[[PERIODO Imp.]:[PERIODO Imp.]],CN$9)</f>
        <v>0</v>
      </c>
      <c r="CO79" s="516">
        <f>SUMIFS(Imput[[Importe Neto]:[Importe Neto]],Imput[[C. Imp.]:[C. Imp.]],$D79,Imput[[PERIODO Imp.]:[PERIODO Imp.]],CO$9)</f>
        <v>0</v>
      </c>
      <c r="CP79" s="516">
        <f>SUMIFS(Imput[[Importe Neto]:[Importe Neto]],Imput[[C. Imp.]:[C. Imp.]],$D79,Imput[[PERIODO Imp.]:[PERIODO Imp.]],CP$9)</f>
        <v>0</v>
      </c>
      <c r="CQ79" s="516">
        <f>SUMIFS(Imput[[Importe Neto]:[Importe Neto]],Imput[[C. Imp.]:[C. Imp.]],$D79,Imput[[PERIODO Imp.]:[PERIODO Imp.]],CQ$9)</f>
        <v>0</v>
      </c>
      <c r="CR79" s="516">
        <f>SUMIFS(Imput[[Importe Neto]:[Importe Neto]],Imput[[C. Imp.]:[C. Imp.]],$D79,Imput[[PERIODO Imp.]:[PERIODO Imp.]],CR$9)</f>
        <v>0</v>
      </c>
      <c r="CS79" s="516">
        <f>SUMIFS(Imput[[Importe Neto]:[Importe Neto]],Imput[[C. Imp.]:[C. Imp.]],$D79,Imput[[PERIODO Imp.]:[PERIODO Imp.]],CS$9)</f>
        <v>0</v>
      </c>
      <c r="CT79" s="516">
        <f>SUMIFS(Imput[[Importe Neto]:[Importe Neto]],Imput[[C. Imp.]:[C. Imp.]],$D79,Imput[[PERIODO Imp.]:[PERIODO Imp.]],CT$9)</f>
        <v>0</v>
      </c>
      <c r="CU79" s="516">
        <f>SUMIFS(Imput[[Importe Neto]:[Importe Neto]],Imput[[C. Imp.]:[C. Imp.]],$D79,Imput[[PERIODO Imp.]:[PERIODO Imp.]],CU$9)</f>
        <v>0</v>
      </c>
      <c r="CV79" s="516">
        <f>SUMIFS(Imput[[Importe Neto]:[Importe Neto]],Imput[[C. Imp.]:[C. Imp.]],$D79,Imput[[PERIODO Imp.]:[PERIODO Imp.]],CV$9)</f>
        <v>0</v>
      </c>
      <c r="CW79" s="516">
        <f>SUMIFS(Imput[[Importe Neto]:[Importe Neto]],Imput[[C. Imp.]:[C. Imp.]],$D79,Imput[[PERIODO Imp.]:[PERIODO Imp.]],CW$9)</f>
        <v>0</v>
      </c>
      <c r="CX79" s="516">
        <f>SUMIFS(Imput[[Importe Neto]:[Importe Neto]],Imput[[C. Imp.]:[C. Imp.]],$D79,Imput[[PERIODO Imp.]:[PERIODO Imp.]],CX$9)</f>
        <v>0</v>
      </c>
      <c r="CY79" s="516">
        <f>SUMIFS(Imput[[Importe Neto]:[Importe Neto]],Imput[[C. Imp.]:[C. Imp.]],$D79,Imput[[PERIODO Imp.]:[PERIODO Imp.]],CY$9)</f>
        <v>0</v>
      </c>
      <c r="CZ79" s="516">
        <f>SUMIFS(Imput[[Importe Neto]:[Importe Neto]],Imput[[C. Imp.]:[C. Imp.]],$D79,Imput[[PERIODO Imp.]:[PERIODO Imp.]],CZ$9)</f>
        <v>0</v>
      </c>
      <c r="DA79" s="516">
        <f>SUMIFS(Imput[[Importe Neto]:[Importe Neto]],Imput[[C. Imp.]:[C. Imp.]],$D79,Imput[[PERIODO Imp.]:[PERIODO Imp.]],DA$9)</f>
        <v>0</v>
      </c>
      <c r="DB79" s="516">
        <f>SUMIFS(Imput[[Importe Neto]:[Importe Neto]],Imput[[C. Imp.]:[C. Imp.]],$D79,Imput[[PERIODO Imp.]:[PERIODO Imp.]],DB$9)</f>
        <v>0</v>
      </c>
      <c r="DC79" s="516">
        <f>SUMIFS(Imput[[Importe Neto]:[Importe Neto]],Imput[[C. Imp.]:[C. Imp.]],$D79,Imput[[PERIODO Imp.]:[PERIODO Imp.]],DC$9)</f>
        <v>0</v>
      </c>
      <c r="DD79" s="516">
        <f>SUMIFS(Imput[[Importe Neto]:[Importe Neto]],Imput[[C. Imp.]:[C. Imp.]],$D79,Imput[[PERIODO Imp.]:[PERIODO Imp.]],DD$9)</f>
        <v>0</v>
      </c>
      <c r="DE79" s="516">
        <f>SUMIFS(Imput[[Importe Neto]:[Importe Neto]],Imput[[C. Imp.]:[C. Imp.]],$D79,Imput[[PERIODO Imp.]:[PERIODO Imp.]],DE$9)</f>
        <v>0</v>
      </c>
      <c r="DF79" s="516">
        <f>SUMIFS(Imput[[Importe Neto]:[Importe Neto]],Imput[[C. Imp.]:[C. Imp.]],$D79,Imput[[PERIODO Imp.]:[PERIODO Imp.]],DF$9)</f>
        <v>0</v>
      </c>
      <c r="DG79" s="516">
        <f>SUMIFS(Imput[[Importe Neto]:[Importe Neto]],Imput[[C. Imp.]:[C. Imp.]],$D79,Imput[[PERIODO Imp.]:[PERIODO Imp.]],DG$9)</f>
        <v>0</v>
      </c>
      <c r="DH79" s="616">
        <f>SUMIFS(Imput[[Importe Neto]:[Importe Neto]],Imput[[C. Imp.]:[C. Imp.]],$D79,Imput[[PERIODO Imp.]:[PERIODO Imp.]],DH$9)</f>
        <v>0</v>
      </c>
    </row>
    <row r="80" spans="1:112" hidden="1" outlineLevel="1" x14ac:dyDescent="0.3">
      <c r="A80" s="66" t="str">
        <f t="shared" si="22"/>
        <v/>
      </c>
      <c r="C80" s="527"/>
      <c r="D80" s="528" t="s">
        <v>2192</v>
      </c>
      <c r="E80" s="528"/>
      <c r="F80" s="534"/>
      <c r="G80" s="529"/>
      <c r="H80" s="531"/>
      <c r="I80" s="849" t="str">
        <f t="shared" si="23"/>
        <v/>
      </c>
      <c r="J80" s="850" t="str">
        <f t="shared" si="24"/>
        <v/>
      </c>
      <c r="K80" s="70"/>
      <c r="L80" s="853"/>
      <c r="M80" s="855"/>
      <c r="N80" s="855"/>
      <c r="O80" s="855"/>
      <c r="P80" s="855"/>
      <c r="Q80" s="855"/>
      <c r="R80" s="855"/>
      <c r="S80" s="855"/>
      <c r="T80" s="855"/>
      <c r="U80" s="855"/>
      <c r="V80" s="855"/>
      <c r="W80" s="855"/>
      <c r="X80" s="855"/>
      <c r="Y80" s="855"/>
      <c r="Z80" s="856"/>
      <c r="AA80" s="856"/>
      <c r="AB80" s="856"/>
      <c r="AC80" s="856"/>
      <c r="AD80" s="856"/>
      <c r="AE80" s="856"/>
      <c r="AF80" s="856"/>
      <c r="AG80" s="856"/>
      <c r="AH80" s="856"/>
      <c r="AI80" s="856"/>
      <c r="AJ80" s="856"/>
      <c r="AK80" s="856"/>
      <c r="AL80" s="856"/>
      <c r="AM80" s="856"/>
      <c r="AN80" s="856"/>
      <c r="AO80" s="856"/>
      <c r="AP80" s="856"/>
      <c r="AQ80" s="856"/>
      <c r="AR80" s="856"/>
      <c r="AS80" s="856"/>
      <c r="AT80" s="856"/>
      <c r="AU80" s="856"/>
      <c r="AV80" s="856"/>
      <c r="AW80" s="856"/>
      <c r="AX80" s="856"/>
      <c r="AY80" s="856"/>
      <c r="AZ80" s="856"/>
      <c r="BA80" s="856"/>
      <c r="BB80" s="856"/>
      <c r="BC80" s="856"/>
      <c r="BD80" s="856"/>
      <c r="BE80" s="856"/>
      <c r="BF80" s="856"/>
      <c r="BG80" s="857"/>
      <c r="BH80" s="590"/>
      <c r="BI80" s="70"/>
      <c r="BJ80" s="518">
        <f t="shared" si="25"/>
        <v>0</v>
      </c>
      <c r="BK80" s="517">
        <f t="shared" si="26"/>
        <v>0</v>
      </c>
      <c r="BL80" s="68"/>
      <c r="BM80" s="515">
        <f>SUMIFS(Imput[[Importe Neto]:[Importe Neto]],Imput[[C. Imp.]:[C. Imp.]],$D80,Imput[[PERIODO Imp.]:[PERIODO Imp.]],BM$9)</f>
        <v>0</v>
      </c>
      <c r="BN80" s="516">
        <f>SUMIFS(Imput[[Importe Neto]:[Importe Neto]],Imput[[C. Imp.]:[C. Imp.]],$D80,Imput[[PERIODO Imp.]:[PERIODO Imp.]],BN$9)</f>
        <v>0</v>
      </c>
      <c r="BO80" s="516">
        <f>SUMIFS(Imput[[Importe Neto]:[Importe Neto]],Imput[[C. Imp.]:[C. Imp.]],$D80,Imput[[PERIODO Imp.]:[PERIODO Imp.]],BO$9)</f>
        <v>0</v>
      </c>
      <c r="BP80" s="516">
        <f>SUMIFS(Imput[[Importe Neto]:[Importe Neto]],Imput[[C. Imp.]:[C. Imp.]],$D80,Imput[[PERIODO Imp.]:[PERIODO Imp.]],BP$9)</f>
        <v>0</v>
      </c>
      <c r="BQ80" s="516">
        <f>SUMIFS(Imput[[Importe Neto]:[Importe Neto]],Imput[[C. Imp.]:[C. Imp.]],$D80,Imput[[PERIODO Imp.]:[PERIODO Imp.]],BQ$9)</f>
        <v>0</v>
      </c>
      <c r="BR80" s="516">
        <f>SUMIFS(Imput[[Importe Neto]:[Importe Neto]],Imput[[C. Imp.]:[C. Imp.]],$D80,Imput[[PERIODO Imp.]:[PERIODO Imp.]],BR$9)</f>
        <v>0</v>
      </c>
      <c r="BS80" s="516">
        <f>SUMIFS(Imput[[Importe Neto]:[Importe Neto]],Imput[[C. Imp.]:[C. Imp.]],$D80,Imput[[PERIODO Imp.]:[PERIODO Imp.]],BS$9)</f>
        <v>0</v>
      </c>
      <c r="BT80" s="516">
        <f>SUMIFS(Imput[[Importe Neto]:[Importe Neto]],Imput[[C. Imp.]:[C. Imp.]],$D80,Imput[[PERIODO Imp.]:[PERIODO Imp.]],BT$9)</f>
        <v>0</v>
      </c>
      <c r="BU80" s="516">
        <f>SUMIFS(Imput[[Importe Neto]:[Importe Neto]],Imput[[C. Imp.]:[C. Imp.]],$D80,Imput[[PERIODO Imp.]:[PERIODO Imp.]],BU$9)</f>
        <v>0</v>
      </c>
      <c r="BV80" s="516">
        <f>SUMIFS(Imput[[Importe Neto]:[Importe Neto]],Imput[[C. Imp.]:[C. Imp.]],$D80,Imput[[PERIODO Imp.]:[PERIODO Imp.]],BV$9)</f>
        <v>0</v>
      </c>
      <c r="BW80" s="516">
        <f>SUMIFS(Imput[[Importe Neto]:[Importe Neto]],Imput[[C. Imp.]:[C. Imp.]],$D80,Imput[[PERIODO Imp.]:[PERIODO Imp.]],BW$9)</f>
        <v>0</v>
      </c>
      <c r="BX80" s="516">
        <f>SUMIFS(Imput[[Importe Neto]:[Importe Neto]],Imput[[C. Imp.]:[C. Imp.]],$D80,Imput[[PERIODO Imp.]:[PERIODO Imp.]],BX$9)</f>
        <v>0</v>
      </c>
      <c r="BY80" s="516">
        <f>SUMIFS(Imput[[Importe Neto]:[Importe Neto]],Imput[[C. Imp.]:[C. Imp.]],$D80,Imput[[PERIODO Imp.]:[PERIODO Imp.]],BY$9)</f>
        <v>0</v>
      </c>
      <c r="BZ80" s="516">
        <f>SUMIFS(Imput[[Importe Neto]:[Importe Neto]],Imput[[C. Imp.]:[C. Imp.]],$D80,Imput[[PERIODO Imp.]:[PERIODO Imp.]],BZ$9)</f>
        <v>0</v>
      </c>
      <c r="CA80" s="516">
        <f>SUMIFS(Imput[[Importe Neto]:[Importe Neto]],Imput[[C. Imp.]:[C. Imp.]],$D80,Imput[[PERIODO Imp.]:[PERIODO Imp.]],CA$9)</f>
        <v>0</v>
      </c>
      <c r="CB80" s="516">
        <f>SUMIFS(Imput[[Importe Neto]:[Importe Neto]],Imput[[C. Imp.]:[C. Imp.]],$D80,Imput[[PERIODO Imp.]:[PERIODO Imp.]],CB$9)</f>
        <v>0</v>
      </c>
      <c r="CC80" s="516">
        <f>SUMIFS(Imput[[Importe Neto]:[Importe Neto]],Imput[[C. Imp.]:[C. Imp.]],$D80,Imput[[PERIODO Imp.]:[PERIODO Imp.]],CC$9)</f>
        <v>0</v>
      </c>
      <c r="CD80" s="516">
        <f>SUMIFS(Imput[[Importe Neto]:[Importe Neto]],Imput[[C. Imp.]:[C. Imp.]],$D80,Imput[[PERIODO Imp.]:[PERIODO Imp.]],CD$9)</f>
        <v>0</v>
      </c>
      <c r="CE80" s="516">
        <f>SUMIFS(Imput[[Importe Neto]:[Importe Neto]],Imput[[C. Imp.]:[C. Imp.]],$D80,Imput[[PERIODO Imp.]:[PERIODO Imp.]],CE$9)</f>
        <v>0</v>
      </c>
      <c r="CF80" s="516">
        <f>SUMIFS(Imput[[Importe Neto]:[Importe Neto]],Imput[[C. Imp.]:[C. Imp.]],$D80,Imput[[PERIODO Imp.]:[PERIODO Imp.]],CF$9)</f>
        <v>0</v>
      </c>
      <c r="CG80" s="516">
        <f>SUMIFS(Imput[[Importe Neto]:[Importe Neto]],Imput[[C. Imp.]:[C. Imp.]],$D80,Imput[[PERIODO Imp.]:[PERIODO Imp.]],CG$9)</f>
        <v>0</v>
      </c>
      <c r="CH80" s="516">
        <f>SUMIFS(Imput[[Importe Neto]:[Importe Neto]],Imput[[C. Imp.]:[C. Imp.]],$D80,Imput[[PERIODO Imp.]:[PERIODO Imp.]],CH$9)</f>
        <v>0</v>
      </c>
      <c r="CI80" s="516">
        <f>SUMIFS(Imput[[Importe Neto]:[Importe Neto]],Imput[[C. Imp.]:[C. Imp.]],$D80,Imput[[PERIODO Imp.]:[PERIODO Imp.]],CI$9)</f>
        <v>0</v>
      </c>
      <c r="CJ80" s="516">
        <f>SUMIFS(Imput[[Importe Neto]:[Importe Neto]],Imput[[C. Imp.]:[C. Imp.]],$D80,Imput[[PERIODO Imp.]:[PERIODO Imp.]],CJ$9)</f>
        <v>0</v>
      </c>
      <c r="CK80" s="516">
        <f>SUMIFS(Imput[[Importe Neto]:[Importe Neto]],Imput[[C. Imp.]:[C. Imp.]],$D80,Imput[[PERIODO Imp.]:[PERIODO Imp.]],CK$9)</f>
        <v>0</v>
      </c>
      <c r="CL80" s="516">
        <f>SUMIFS(Imput[[Importe Neto]:[Importe Neto]],Imput[[C. Imp.]:[C. Imp.]],$D80,Imput[[PERIODO Imp.]:[PERIODO Imp.]],CL$9)</f>
        <v>0</v>
      </c>
      <c r="CM80" s="516">
        <f>SUMIFS(Imput[[Importe Neto]:[Importe Neto]],Imput[[C. Imp.]:[C. Imp.]],$D80,Imput[[PERIODO Imp.]:[PERIODO Imp.]],CM$9)</f>
        <v>0</v>
      </c>
      <c r="CN80" s="516">
        <f>SUMIFS(Imput[[Importe Neto]:[Importe Neto]],Imput[[C. Imp.]:[C. Imp.]],$D80,Imput[[PERIODO Imp.]:[PERIODO Imp.]],CN$9)</f>
        <v>0</v>
      </c>
      <c r="CO80" s="516">
        <f>SUMIFS(Imput[[Importe Neto]:[Importe Neto]],Imput[[C. Imp.]:[C. Imp.]],$D80,Imput[[PERIODO Imp.]:[PERIODO Imp.]],CO$9)</f>
        <v>0</v>
      </c>
      <c r="CP80" s="516">
        <f>SUMIFS(Imput[[Importe Neto]:[Importe Neto]],Imput[[C. Imp.]:[C. Imp.]],$D80,Imput[[PERIODO Imp.]:[PERIODO Imp.]],CP$9)</f>
        <v>0</v>
      </c>
      <c r="CQ80" s="516">
        <f>SUMIFS(Imput[[Importe Neto]:[Importe Neto]],Imput[[C. Imp.]:[C. Imp.]],$D80,Imput[[PERIODO Imp.]:[PERIODO Imp.]],CQ$9)</f>
        <v>0</v>
      </c>
      <c r="CR80" s="516">
        <f>SUMIFS(Imput[[Importe Neto]:[Importe Neto]],Imput[[C. Imp.]:[C. Imp.]],$D80,Imput[[PERIODO Imp.]:[PERIODO Imp.]],CR$9)</f>
        <v>0</v>
      </c>
      <c r="CS80" s="516">
        <f>SUMIFS(Imput[[Importe Neto]:[Importe Neto]],Imput[[C. Imp.]:[C. Imp.]],$D80,Imput[[PERIODO Imp.]:[PERIODO Imp.]],CS$9)</f>
        <v>0</v>
      </c>
      <c r="CT80" s="516">
        <f>SUMIFS(Imput[[Importe Neto]:[Importe Neto]],Imput[[C. Imp.]:[C. Imp.]],$D80,Imput[[PERIODO Imp.]:[PERIODO Imp.]],CT$9)</f>
        <v>0</v>
      </c>
      <c r="CU80" s="516">
        <f>SUMIFS(Imput[[Importe Neto]:[Importe Neto]],Imput[[C. Imp.]:[C. Imp.]],$D80,Imput[[PERIODO Imp.]:[PERIODO Imp.]],CU$9)</f>
        <v>0</v>
      </c>
      <c r="CV80" s="516">
        <f>SUMIFS(Imput[[Importe Neto]:[Importe Neto]],Imput[[C. Imp.]:[C. Imp.]],$D80,Imput[[PERIODO Imp.]:[PERIODO Imp.]],CV$9)</f>
        <v>0</v>
      </c>
      <c r="CW80" s="516">
        <f>SUMIFS(Imput[[Importe Neto]:[Importe Neto]],Imput[[C. Imp.]:[C. Imp.]],$D80,Imput[[PERIODO Imp.]:[PERIODO Imp.]],CW$9)</f>
        <v>0</v>
      </c>
      <c r="CX80" s="516">
        <f>SUMIFS(Imput[[Importe Neto]:[Importe Neto]],Imput[[C. Imp.]:[C. Imp.]],$D80,Imput[[PERIODO Imp.]:[PERIODO Imp.]],CX$9)</f>
        <v>0</v>
      </c>
      <c r="CY80" s="516">
        <f>SUMIFS(Imput[[Importe Neto]:[Importe Neto]],Imput[[C. Imp.]:[C. Imp.]],$D80,Imput[[PERIODO Imp.]:[PERIODO Imp.]],CY$9)</f>
        <v>0</v>
      </c>
      <c r="CZ80" s="516">
        <f>SUMIFS(Imput[[Importe Neto]:[Importe Neto]],Imput[[C. Imp.]:[C. Imp.]],$D80,Imput[[PERIODO Imp.]:[PERIODO Imp.]],CZ$9)</f>
        <v>0</v>
      </c>
      <c r="DA80" s="516">
        <f>SUMIFS(Imput[[Importe Neto]:[Importe Neto]],Imput[[C. Imp.]:[C. Imp.]],$D80,Imput[[PERIODO Imp.]:[PERIODO Imp.]],DA$9)</f>
        <v>0</v>
      </c>
      <c r="DB80" s="516">
        <f>SUMIFS(Imput[[Importe Neto]:[Importe Neto]],Imput[[C. Imp.]:[C. Imp.]],$D80,Imput[[PERIODO Imp.]:[PERIODO Imp.]],DB$9)</f>
        <v>0</v>
      </c>
      <c r="DC80" s="516">
        <f>SUMIFS(Imput[[Importe Neto]:[Importe Neto]],Imput[[C. Imp.]:[C. Imp.]],$D80,Imput[[PERIODO Imp.]:[PERIODO Imp.]],DC$9)</f>
        <v>0</v>
      </c>
      <c r="DD80" s="516">
        <f>SUMIFS(Imput[[Importe Neto]:[Importe Neto]],Imput[[C. Imp.]:[C. Imp.]],$D80,Imput[[PERIODO Imp.]:[PERIODO Imp.]],DD$9)</f>
        <v>0</v>
      </c>
      <c r="DE80" s="516">
        <f>SUMIFS(Imput[[Importe Neto]:[Importe Neto]],Imput[[C. Imp.]:[C. Imp.]],$D80,Imput[[PERIODO Imp.]:[PERIODO Imp.]],DE$9)</f>
        <v>0</v>
      </c>
      <c r="DF80" s="516">
        <f>SUMIFS(Imput[[Importe Neto]:[Importe Neto]],Imput[[C. Imp.]:[C. Imp.]],$D80,Imput[[PERIODO Imp.]:[PERIODO Imp.]],DF$9)</f>
        <v>0</v>
      </c>
      <c r="DG80" s="516">
        <f>SUMIFS(Imput[[Importe Neto]:[Importe Neto]],Imput[[C. Imp.]:[C. Imp.]],$D80,Imput[[PERIODO Imp.]:[PERIODO Imp.]],DG$9)</f>
        <v>0</v>
      </c>
      <c r="DH80" s="616">
        <f>SUMIFS(Imput[[Importe Neto]:[Importe Neto]],Imput[[C. Imp.]:[C. Imp.]],$D80,Imput[[PERIODO Imp.]:[PERIODO Imp.]],DH$9)</f>
        <v>0</v>
      </c>
    </row>
    <row r="81" spans="1:112" hidden="1" outlineLevel="1" x14ac:dyDescent="0.3">
      <c r="A81" s="66" t="str">
        <f t="shared" si="22"/>
        <v/>
      </c>
      <c r="C81" s="527"/>
      <c r="D81" s="528" t="s">
        <v>2193</v>
      </c>
      <c r="E81" s="528"/>
      <c r="F81" s="534"/>
      <c r="G81" s="529"/>
      <c r="H81" s="531"/>
      <c r="I81" s="849" t="str">
        <f t="shared" si="23"/>
        <v/>
      </c>
      <c r="J81" s="850" t="str">
        <f t="shared" si="24"/>
        <v/>
      </c>
      <c r="K81" s="70"/>
      <c r="L81" s="853"/>
      <c r="M81" s="855"/>
      <c r="N81" s="855"/>
      <c r="O81" s="855"/>
      <c r="P81" s="855"/>
      <c r="Q81" s="855"/>
      <c r="R81" s="855"/>
      <c r="S81" s="855"/>
      <c r="T81" s="855"/>
      <c r="U81" s="855"/>
      <c r="V81" s="855"/>
      <c r="W81" s="855"/>
      <c r="X81" s="855"/>
      <c r="Y81" s="855"/>
      <c r="Z81" s="856"/>
      <c r="AA81" s="856"/>
      <c r="AB81" s="856"/>
      <c r="AC81" s="856"/>
      <c r="AD81" s="856"/>
      <c r="AE81" s="856"/>
      <c r="AF81" s="856"/>
      <c r="AG81" s="856"/>
      <c r="AH81" s="856"/>
      <c r="AI81" s="856"/>
      <c r="AJ81" s="856"/>
      <c r="AK81" s="856"/>
      <c r="AL81" s="856"/>
      <c r="AM81" s="856"/>
      <c r="AN81" s="856"/>
      <c r="AO81" s="856"/>
      <c r="AP81" s="856"/>
      <c r="AQ81" s="856"/>
      <c r="AR81" s="856"/>
      <c r="AS81" s="856"/>
      <c r="AT81" s="856"/>
      <c r="AU81" s="856"/>
      <c r="AV81" s="856"/>
      <c r="AW81" s="856"/>
      <c r="AX81" s="856"/>
      <c r="AY81" s="856"/>
      <c r="AZ81" s="856"/>
      <c r="BA81" s="856"/>
      <c r="BB81" s="856"/>
      <c r="BC81" s="856"/>
      <c r="BD81" s="856"/>
      <c r="BE81" s="856"/>
      <c r="BF81" s="856"/>
      <c r="BG81" s="857"/>
      <c r="BH81" s="590"/>
      <c r="BI81" s="70"/>
      <c r="BJ81" s="518">
        <f t="shared" si="25"/>
        <v>0</v>
      </c>
      <c r="BK81" s="517">
        <f t="shared" si="26"/>
        <v>0</v>
      </c>
      <c r="BL81" s="68"/>
      <c r="BM81" s="515">
        <f>SUMIFS(Imput[[Importe Neto]:[Importe Neto]],Imput[[C. Imp.]:[C. Imp.]],$D81,Imput[[PERIODO Imp.]:[PERIODO Imp.]],BM$9)</f>
        <v>0</v>
      </c>
      <c r="BN81" s="516">
        <f>SUMIFS(Imput[[Importe Neto]:[Importe Neto]],Imput[[C. Imp.]:[C. Imp.]],$D81,Imput[[PERIODO Imp.]:[PERIODO Imp.]],BN$9)</f>
        <v>0</v>
      </c>
      <c r="BO81" s="516">
        <f>SUMIFS(Imput[[Importe Neto]:[Importe Neto]],Imput[[C. Imp.]:[C. Imp.]],$D81,Imput[[PERIODO Imp.]:[PERIODO Imp.]],BO$9)</f>
        <v>0</v>
      </c>
      <c r="BP81" s="516">
        <f>SUMIFS(Imput[[Importe Neto]:[Importe Neto]],Imput[[C. Imp.]:[C. Imp.]],$D81,Imput[[PERIODO Imp.]:[PERIODO Imp.]],BP$9)</f>
        <v>0</v>
      </c>
      <c r="BQ81" s="516">
        <f>SUMIFS(Imput[[Importe Neto]:[Importe Neto]],Imput[[C. Imp.]:[C. Imp.]],$D81,Imput[[PERIODO Imp.]:[PERIODO Imp.]],BQ$9)</f>
        <v>0</v>
      </c>
      <c r="BR81" s="516">
        <f>SUMIFS(Imput[[Importe Neto]:[Importe Neto]],Imput[[C. Imp.]:[C. Imp.]],$D81,Imput[[PERIODO Imp.]:[PERIODO Imp.]],BR$9)</f>
        <v>0</v>
      </c>
      <c r="BS81" s="516">
        <f>SUMIFS(Imput[[Importe Neto]:[Importe Neto]],Imput[[C. Imp.]:[C. Imp.]],$D81,Imput[[PERIODO Imp.]:[PERIODO Imp.]],BS$9)</f>
        <v>0</v>
      </c>
      <c r="BT81" s="516">
        <f>SUMIFS(Imput[[Importe Neto]:[Importe Neto]],Imput[[C. Imp.]:[C. Imp.]],$D81,Imput[[PERIODO Imp.]:[PERIODO Imp.]],BT$9)</f>
        <v>0</v>
      </c>
      <c r="BU81" s="516">
        <f>SUMIFS(Imput[[Importe Neto]:[Importe Neto]],Imput[[C. Imp.]:[C. Imp.]],$D81,Imput[[PERIODO Imp.]:[PERIODO Imp.]],BU$9)</f>
        <v>0</v>
      </c>
      <c r="BV81" s="516">
        <f>SUMIFS(Imput[[Importe Neto]:[Importe Neto]],Imput[[C. Imp.]:[C. Imp.]],$D81,Imput[[PERIODO Imp.]:[PERIODO Imp.]],BV$9)</f>
        <v>0</v>
      </c>
      <c r="BW81" s="516">
        <f>SUMIFS(Imput[[Importe Neto]:[Importe Neto]],Imput[[C. Imp.]:[C. Imp.]],$D81,Imput[[PERIODO Imp.]:[PERIODO Imp.]],BW$9)</f>
        <v>0</v>
      </c>
      <c r="BX81" s="516">
        <f>SUMIFS(Imput[[Importe Neto]:[Importe Neto]],Imput[[C. Imp.]:[C. Imp.]],$D81,Imput[[PERIODO Imp.]:[PERIODO Imp.]],BX$9)</f>
        <v>0</v>
      </c>
      <c r="BY81" s="516">
        <f>SUMIFS(Imput[[Importe Neto]:[Importe Neto]],Imput[[C. Imp.]:[C. Imp.]],$D81,Imput[[PERIODO Imp.]:[PERIODO Imp.]],BY$9)</f>
        <v>0</v>
      </c>
      <c r="BZ81" s="516">
        <f>SUMIFS(Imput[[Importe Neto]:[Importe Neto]],Imput[[C. Imp.]:[C. Imp.]],$D81,Imput[[PERIODO Imp.]:[PERIODO Imp.]],BZ$9)</f>
        <v>0</v>
      </c>
      <c r="CA81" s="516">
        <f>SUMIFS(Imput[[Importe Neto]:[Importe Neto]],Imput[[C. Imp.]:[C. Imp.]],$D81,Imput[[PERIODO Imp.]:[PERIODO Imp.]],CA$9)</f>
        <v>0</v>
      </c>
      <c r="CB81" s="516">
        <f>SUMIFS(Imput[[Importe Neto]:[Importe Neto]],Imput[[C. Imp.]:[C. Imp.]],$D81,Imput[[PERIODO Imp.]:[PERIODO Imp.]],CB$9)</f>
        <v>0</v>
      </c>
      <c r="CC81" s="516">
        <f>SUMIFS(Imput[[Importe Neto]:[Importe Neto]],Imput[[C. Imp.]:[C. Imp.]],$D81,Imput[[PERIODO Imp.]:[PERIODO Imp.]],CC$9)</f>
        <v>0</v>
      </c>
      <c r="CD81" s="516">
        <f>SUMIFS(Imput[[Importe Neto]:[Importe Neto]],Imput[[C. Imp.]:[C. Imp.]],$D81,Imput[[PERIODO Imp.]:[PERIODO Imp.]],CD$9)</f>
        <v>0</v>
      </c>
      <c r="CE81" s="516">
        <f>SUMIFS(Imput[[Importe Neto]:[Importe Neto]],Imput[[C. Imp.]:[C. Imp.]],$D81,Imput[[PERIODO Imp.]:[PERIODO Imp.]],CE$9)</f>
        <v>0</v>
      </c>
      <c r="CF81" s="516">
        <f>SUMIFS(Imput[[Importe Neto]:[Importe Neto]],Imput[[C. Imp.]:[C. Imp.]],$D81,Imput[[PERIODO Imp.]:[PERIODO Imp.]],CF$9)</f>
        <v>0</v>
      </c>
      <c r="CG81" s="516">
        <f>SUMIFS(Imput[[Importe Neto]:[Importe Neto]],Imput[[C. Imp.]:[C. Imp.]],$D81,Imput[[PERIODO Imp.]:[PERIODO Imp.]],CG$9)</f>
        <v>0</v>
      </c>
      <c r="CH81" s="516">
        <f>SUMIFS(Imput[[Importe Neto]:[Importe Neto]],Imput[[C. Imp.]:[C. Imp.]],$D81,Imput[[PERIODO Imp.]:[PERIODO Imp.]],CH$9)</f>
        <v>0</v>
      </c>
      <c r="CI81" s="516">
        <f>SUMIFS(Imput[[Importe Neto]:[Importe Neto]],Imput[[C. Imp.]:[C. Imp.]],$D81,Imput[[PERIODO Imp.]:[PERIODO Imp.]],CI$9)</f>
        <v>0</v>
      </c>
      <c r="CJ81" s="516">
        <f>SUMIFS(Imput[[Importe Neto]:[Importe Neto]],Imput[[C. Imp.]:[C. Imp.]],$D81,Imput[[PERIODO Imp.]:[PERIODO Imp.]],CJ$9)</f>
        <v>0</v>
      </c>
      <c r="CK81" s="516">
        <f>SUMIFS(Imput[[Importe Neto]:[Importe Neto]],Imput[[C. Imp.]:[C. Imp.]],$D81,Imput[[PERIODO Imp.]:[PERIODO Imp.]],CK$9)</f>
        <v>0</v>
      </c>
      <c r="CL81" s="516">
        <f>SUMIFS(Imput[[Importe Neto]:[Importe Neto]],Imput[[C. Imp.]:[C. Imp.]],$D81,Imput[[PERIODO Imp.]:[PERIODO Imp.]],CL$9)</f>
        <v>0</v>
      </c>
      <c r="CM81" s="516">
        <f>SUMIFS(Imput[[Importe Neto]:[Importe Neto]],Imput[[C. Imp.]:[C. Imp.]],$D81,Imput[[PERIODO Imp.]:[PERIODO Imp.]],CM$9)</f>
        <v>0</v>
      </c>
      <c r="CN81" s="516">
        <f>SUMIFS(Imput[[Importe Neto]:[Importe Neto]],Imput[[C. Imp.]:[C. Imp.]],$D81,Imput[[PERIODO Imp.]:[PERIODO Imp.]],CN$9)</f>
        <v>0</v>
      </c>
      <c r="CO81" s="516">
        <f>SUMIFS(Imput[[Importe Neto]:[Importe Neto]],Imput[[C. Imp.]:[C. Imp.]],$D81,Imput[[PERIODO Imp.]:[PERIODO Imp.]],CO$9)</f>
        <v>0</v>
      </c>
      <c r="CP81" s="516">
        <f>SUMIFS(Imput[[Importe Neto]:[Importe Neto]],Imput[[C. Imp.]:[C. Imp.]],$D81,Imput[[PERIODO Imp.]:[PERIODO Imp.]],CP$9)</f>
        <v>0</v>
      </c>
      <c r="CQ81" s="516">
        <f>SUMIFS(Imput[[Importe Neto]:[Importe Neto]],Imput[[C. Imp.]:[C. Imp.]],$D81,Imput[[PERIODO Imp.]:[PERIODO Imp.]],CQ$9)</f>
        <v>0</v>
      </c>
      <c r="CR81" s="516">
        <f>SUMIFS(Imput[[Importe Neto]:[Importe Neto]],Imput[[C. Imp.]:[C. Imp.]],$D81,Imput[[PERIODO Imp.]:[PERIODO Imp.]],CR$9)</f>
        <v>0</v>
      </c>
      <c r="CS81" s="516">
        <f>SUMIFS(Imput[[Importe Neto]:[Importe Neto]],Imput[[C. Imp.]:[C. Imp.]],$D81,Imput[[PERIODO Imp.]:[PERIODO Imp.]],CS$9)</f>
        <v>0</v>
      </c>
      <c r="CT81" s="516">
        <f>SUMIFS(Imput[[Importe Neto]:[Importe Neto]],Imput[[C. Imp.]:[C. Imp.]],$D81,Imput[[PERIODO Imp.]:[PERIODO Imp.]],CT$9)</f>
        <v>0</v>
      </c>
      <c r="CU81" s="516">
        <f>SUMIFS(Imput[[Importe Neto]:[Importe Neto]],Imput[[C. Imp.]:[C. Imp.]],$D81,Imput[[PERIODO Imp.]:[PERIODO Imp.]],CU$9)</f>
        <v>0</v>
      </c>
      <c r="CV81" s="516">
        <f>SUMIFS(Imput[[Importe Neto]:[Importe Neto]],Imput[[C. Imp.]:[C. Imp.]],$D81,Imput[[PERIODO Imp.]:[PERIODO Imp.]],CV$9)</f>
        <v>0</v>
      </c>
      <c r="CW81" s="516">
        <f>SUMIFS(Imput[[Importe Neto]:[Importe Neto]],Imput[[C. Imp.]:[C. Imp.]],$D81,Imput[[PERIODO Imp.]:[PERIODO Imp.]],CW$9)</f>
        <v>0</v>
      </c>
      <c r="CX81" s="516">
        <f>SUMIFS(Imput[[Importe Neto]:[Importe Neto]],Imput[[C. Imp.]:[C. Imp.]],$D81,Imput[[PERIODO Imp.]:[PERIODO Imp.]],CX$9)</f>
        <v>0</v>
      </c>
      <c r="CY81" s="516">
        <f>SUMIFS(Imput[[Importe Neto]:[Importe Neto]],Imput[[C. Imp.]:[C. Imp.]],$D81,Imput[[PERIODO Imp.]:[PERIODO Imp.]],CY$9)</f>
        <v>0</v>
      </c>
      <c r="CZ81" s="516">
        <f>SUMIFS(Imput[[Importe Neto]:[Importe Neto]],Imput[[C. Imp.]:[C. Imp.]],$D81,Imput[[PERIODO Imp.]:[PERIODO Imp.]],CZ$9)</f>
        <v>0</v>
      </c>
      <c r="DA81" s="516">
        <f>SUMIFS(Imput[[Importe Neto]:[Importe Neto]],Imput[[C. Imp.]:[C. Imp.]],$D81,Imput[[PERIODO Imp.]:[PERIODO Imp.]],DA$9)</f>
        <v>0</v>
      </c>
      <c r="DB81" s="516">
        <f>SUMIFS(Imput[[Importe Neto]:[Importe Neto]],Imput[[C. Imp.]:[C. Imp.]],$D81,Imput[[PERIODO Imp.]:[PERIODO Imp.]],DB$9)</f>
        <v>0</v>
      </c>
      <c r="DC81" s="516">
        <f>SUMIFS(Imput[[Importe Neto]:[Importe Neto]],Imput[[C. Imp.]:[C. Imp.]],$D81,Imput[[PERIODO Imp.]:[PERIODO Imp.]],DC$9)</f>
        <v>0</v>
      </c>
      <c r="DD81" s="516">
        <f>SUMIFS(Imput[[Importe Neto]:[Importe Neto]],Imput[[C. Imp.]:[C. Imp.]],$D81,Imput[[PERIODO Imp.]:[PERIODO Imp.]],DD$9)</f>
        <v>0</v>
      </c>
      <c r="DE81" s="516">
        <f>SUMIFS(Imput[[Importe Neto]:[Importe Neto]],Imput[[C. Imp.]:[C. Imp.]],$D81,Imput[[PERIODO Imp.]:[PERIODO Imp.]],DE$9)</f>
        <v>0</v>
      </c>
      <c r="DF81" s="516">
        <f>SUMIFS(Imput[[Importe Neto]:[Importe Neto]],Imput[[C. Imp.]:[C. Imp.]],$D81,Imput[[PERIODO Imp.]:[PERIODO Imp.]],DF$9)</f>
        <v>0</v>
      </c>
      <c r="DG81" s="516">
        <f>SUMIFS(Imput[[Importe Neto]:[Importe Neto]],Imput[[C. Imp.]:[C. Imp.]],$D81,Imput[[PERIODO Imp.]:[PERIODO Imp.]],DG$9)</f>
        <v>0</v>
      </c>
      <c r="DH81" s="616">
        <f>SUMIFS(Imput[[Importe Neto]:[Importe Neto]],Imput[[C. Imp.]:[C. Imp.]],$D81,Imput[[PERIODO Imp.]:[PERIODO Imp.]],DH$9)</f>
        <v>0</v>
      </c>
    </row>
    <row r="82" spans="1:112" hidden="1" outlineLevel="1" x14ac:dyDescent="0.3">
      <c r="A82" s="66" t="str">
        <f t="shared" si="22"/>
        <v/>
      </c>
      <c r="C82" s="527"/>
      <c r="D82" s="528" t="s">
        <v>2194</v>
      </c>
      <c r="E82" s="528"/>
      <c r="F82" s="534"/>
      <c r="G82" s="529"/>
      <c r="H82" s="531"/>
      <c r="I82" s="849" t="str">
        <f t="shared" si="23"/>
        <v/>
      </c>
      <c r="J82" s="850" t="str">
        <f t="shared" si="24"/>
        <v/>
      </c>
      <c r="K82" s="70"/>
      <c r="L82" s="853"/>
      <c r="M82" s="855"/>
      <c r="N82" s="855"/>
      <c r="O82" s="855"/>
      <c r="P82" s="855"/>
      <c r="Q82" s="855"/>
      <c r="R82" s="855"/>
      <c r="S82" s="855"/>
      <c r="T82" s="855"/>
      <c r="U82" s="855"/>
      <c r="V82" s="855"/>
      <c r="W82" s="855"/>
      <c r="X82" s="855"/>
      <c r="Y82" s="855"/>
      <c r="Z82" s="856"/>
      <c r="AA82" s="856"/>
      <c r="AB82" s="856"/>
      <c r="AC82" s="856"/>
      <c r="AD82" s="856"/>
      <c r="AE82" s="856"/>
      <c r="AF82" s="856"/>
      <c r="AG82" s="856"/>
      <c r="AH82" s="856"/>
      <c r="AI82" s="856"/>
      <c r="AJ82" s="856"/>
      <c r="AK82" s="856"/>
      <c r="AL82" s="856"/>
      <c r="AM82" s="856"/>
      <c r="AN82" s="856"/>
      <c r="AO82" s="856"/>
      <c r="AP82" s="856"/>
      <c r="AQ82" s="856"/>
      <c r="AR82" s="856"/>
      <c r="AS82" s="856"/>
      <c r="AT82" s="856"/>
      <c r="AU82" s="856"/>
      <c r="AV82" s="856"/>
      <c r="AW82" s="856"/>
      <c r="AX82" s="856"/>
      <c r="AY82" s="856"/>
      <c r="AZ82" s="856"/>
      <c r="BA82" s="856"/>
      <c r="BB82" s="856"/>
      <c r="BC82" s="856"/>
      <c r="BD82" s="856"/>
      <c r="BE82" s="856"/>
      <c r="BF82" s="856"/>
      <c r="BG82" s="857"/>
      <c r="BH82" s="590"/>
      <c r="BI82" s="70"/>
      <c r="BJ82" s="518">
        <f t="shared" si="25"/>
        <v>0</v>
      </c>
      <c r="BK82" s="517">
        <f t="shared" si="26"/>
        <v>0</v>
      </c>
      <c r="BL82" s="68"/>
      <c r="BM82" s="515">
        <f>SUMIFS(Imput[[Importe Neto]:[Importe Neto]],Imput[[C. Imp.]:[C. Imp.]],$D82,Imput[[PERIODO Imp.]:[PERIODO Imp.]],BM$9)</f>
        <v>0</v>
      </c>
      <c r="BN82" s="516">
        <f>SUMIFS(Imput[[Importe Neto]:[Importe Neto]],Imput[[C. Imp.]:[C. Imp.]],$D82,Imput[[PERIODO Imp.]:[PERIODO Imp.]],BN$9)</f>
        <v>0</v>
      </c>
      <c r="BO82" s="516">
        <f>SUMIFS(Imput[[Importe Neto]:[Importe Neto]],Imput[[C. Imp.]:[C. Imp.]],$D82,Imput[[PERIODO Imp.]:[PERIODO Imp.]],BO$9)</f>
        <v>0</v>
      </c>
      <c r="BP82" s="516">
        <f>SUMIFS(Imput[[Importe Neto]:[Importe Neto]],Imput[[C. Imp.]:[C. Imp.]],$D82,Imput[[PERIODO Imp.]:[PERIODO Imp.]],BP$9)</f>
        <v>0</v>
      </c>
      <c r="BQ82" s="516">
        <f>SUMIFS(Imput[[Importe Neto]:[Importe Neto]],Imput[[C. Imp.]:[C. Imp.]],$D82,Imput[[PERIODO Imp.]:[PERIODO Imp.]],BQ$9)</f>
        <v>0</v>
      </c>
      <c r="BR82" s="516">
        <f>SUMIFS(Imput[[Importe Neto]:[Importe Neto]],Imput[[C. Imp.]:[C. Imp.]],$D82,Imput[[PERIODO Imp.]:[PERIODO Imp.]],BR$9)</f>
        <v>0</v>
      </c>
      <c r="BS82" s="516">
        <f>SUMIFS(Imput[[Importe Neto]:[Importe Neto]],Imput[[C. Imp.]:[C. Imp.]],$D82,Imput[[PERIODO Imp.]:[PERIODO Imp.]],BS$9)</f>
        <v>0</v>
      </c>
      <c r="BT82" s="516">
        <f>SUMIFS(Imput[[Importe Neto]:[Importe Neto]],Imput[[C. Imp.]:[C. Imp.]],$D82,Imput[[PERIODO Imp.]:[PERIODO Imp.]],BT$9)</f>
        <v>0</v>
      </c>
      <c r="BU82" s="516">
        <f>SUMIFS(Imput[[Importe Neto]:[Importe Neto]],Imput[[C. Imp.]:[C. Imp.]],$D82,Imput[[PERIODO Imp.]:[PERIODO Imp.]],BU$9)</f>
        <v>0</v>
      </c>
      <c r="BV82" s="516">
        <f>SUMIFS(Imput[[Importe Neto]:[Importe Neto]],Imput[[C. Imp.]:[C. Imp.]],$D82,Imput[[PERIODO Imp.]:[PERIODO Imp.]],BV$9)</f>
        <v>0</v>
      </c>
      <c r="BW82" s="516">
        <f>SUMIFS(Imput[[Importe Neto]:[Importe Neto]],Imput[[C. Imp.]:[C. Imp.]],$D82,Imput[[PERIODO Imp.]:[PERIODO Imp.]],BW$9)</f>
        <v>0</v>
      </c>
      <c r="BX82" s="516">
        <f>SUMIFS(Imput[[Importe Neto]:[Importe Neto]],Imput[[C. Imp.]:[C. Imp.]],$D82,Imput[[PERIODO Imp.]:[PERIODO Imp.]],BX$9)</f>
        <v>0</v>
      </c>
      <c r="BY82" s="516">
        <f>SUMIFS(Imput[[Importe Neto]:[Importe Neto]],Imput[[C. Imp.]:[C. Imp.]],$D82,Imput[[PERIODO Imp.]:[PERIODO Imp.]],BY$9)</f>
        <v>0</v>
      </c>
      <c r="BZ82" s="516">
        <f>SUMIFS(Imput[[Importe Neto]:[Importe Neto]],Imput[[C. Imp.]:[C. Imp.]],$D82,Imput[[PERIODO Imp.]:[PERIODO Imp.]],BZ$9)</f>
        <v>0</v>
      </c>
      <c r="CA82" s="516">
        <f>SUMIFS(Imput[[Importe Neto]:[Importe Neto]],Imput[[C. Imp.]:[C. Imp.]],$D82,Imput[[PERIODO Imp.]:[PERIODO Imp.]],CA$9)</f>
        <v>0</v>
      </c>
      <c r="CB82" s="516">
        <f>SUMIFS(Imput[[Importe Neto]:[Importe Neto]],Imput[[C. Imp.]:[C. Imp.]],$D82,Imput[[PERIODO Imp.]:[PERIODO Imp.]],CB$9)</f>
        <v>0</v>
      </c>
      <c r="CC82" s="516">
        <f>SUMIFS(Imput[[Importe Neto]:[Importe Neto]],Imput[[C. Imp.]:[C. Imp.]],$D82,Imput[[PERIODO Imp.]:[PERIODO Imp.]],CC$9)</f>
        <v>0</v>
      </c>
      <c r="CD82" s="516">
        <f>SUMIFS(Imput[[Importe Neto]:[Importe Neto]],Imput[[C. Imp.]:[C. Imp.]],$D82,Imput[[PERIODO Imp.]:[PERIODO Imp.]],CD$9)</f>
        <v>0</v>
      </c>
      <c r="CE82" s="516">
        <f>SUMIFS(Imput[[Importe Neto]:[Importe Neto]],Imput[[C. Imp.]:[C. Imp.]],$D82,Imput[[PERIODO Imp.]:[PERIODO Imp.]],CE$9)</f>
        <v>0</v>
      </c>
      <c r="CF82" s="516">
        <f>SUMIFS(Imput[[Importe Neto]:[Importe Neto]],Imput[[C. Imp.]:[C. Imp.]],$D82,Imput[[PERIODO Imp.]:[PERIODO Imp.]],CF$9)</f>
        <v>0</v>
      </c>
      <c r="CG82" s="516">
        <f>SUMIFS(Imput[[Importe Neto]:[Importe Neto]],Imput[[C. Imp.]:[C. Imp.]],$D82,Imput[[PERIODO Imp.]:[PERIODO Imp.]],CG$9)</f>
        <v>0</v>
      </c>
      <c r="CH82" s="516">
        <f>SUMIFS(Imput[[Importe Neto]:[Importe Neto]],Imput[[C. Imp.]:[C. Imp.]],$D82,Imput[[PERIODO Imp.]:[PERIODO Imp.]],CH$9)</f>
        <v>0</v>
      </c>
      <c r="CI82" s="516">
        <f>SUMIFS(Imput[[Importe Neto]:[Importe Neto]],Imput[[C. Imp.]:[C. Imp.]],$D82,Imput[[PERIODO Imp.]:[PERIODO Imp.]],CI$9)</f>
        <v>0</v>
      </c>
      <c r="CJ82" s="516">
        <f>SUMIFS(Imput[[Importe Neto]:[Importe Neto]],Imput[[C. Imp.]:[C. Imp.]],$D82,Imput[[PERIODO Imp.]:[PERIODO Imp.]],CJ$9)</f>
        <v>0</v>
      </c>
      <c r="CK82" s="516">
        <f>SUMIFS(Imput[[Importe Neto]:[Importe Neto]],Imput[[C. Imp.]:[C. Imp.]],$D82,Imput[[PERIODO Imp.]:[PERIODO Imp.]],CK$9)</f>
        <v>0</v>
      </c>
      <c r="CL82" s="516">
        <f>SUMIFS(Imput[[Importe Neto]:[Importe Neto]],Imput[[C. Imp.]:[C. Imp.]],$D82,Imput[[PERIODO Imp.]:[PERIODO Imp.]],CL$9)</f>
        <v>0</v>
      </c>
      <c r="CM82" s="516">
        <f>SUMIFS(Imput[[Importe Neto]:[Importe Neto]],Imput[[C. Imp.]:[C. Imp.]],$D82,Imput[[PERIODO Imp.]:[PERIODO Imp.]],CM$9)</f>
        <v>0</v>
      </c>
      <c r="CN82" s="516">
        <f>SUMIFS(Imput[[Importe Neto]:[Importe Neto]],Imput[[C. Imp.]:[C. Imp.]],$D82,Imput[[PERIODO Imp.]:[PERIODO Imp.]],CN$9)</f>
        <v>0</v>
      </c>
      <c r="CO82" s="516">
        <f>SUMIFS(Imput[[Importe Neto]:[Importe Neto]],Imput[[C. Imp.]:[C. Imp.]],$D82,Imput[[PERIODO Imp.]:[PERIODO Imp.]],CO$9)</f>
        <v>0</v>
      </c>
      <c r="CP82" s="516">
        <f>SUMIFS(Imput[[Importe Neto]:[Importe Neto]],Imput[[C. Imp.]:[C. Imp.]],$D82,Imput[[PERIODO Imp.]:[PERIODO Imp.]],CP$9)</f>
        <v>0</v>
      </c>
      <c r="CQ82" s="516">
        <f>SUMIFS(Imput[[Importe Neto]:[Importe Neto]],Imput[[C. Imp.]:[C. Imp.]],$D82,Imput[[PERIODO Imp.]:[PERIODO Imp.]],CQ$9)</f>
        <v>0</v>
      </c>
      <c r="CR82" s="516">
        <f>SUMIFS(Imput[[Importe Neto]:[Importe Neto]],Imput[[C. Imp.]:[C. Imp.]],$D82,Imput[[PERIODO Imp.]:[PERIODO Imp.]],CR$9)</f>
        <v>0</v>
      </c>
      <c r="CS82" s="516">
        <f>SUMIFS(Imput[[Importe Neto]:[Importe Neto]],Imput[[C. Imp.]:[C. Imp.]],$D82,Imput[[PERIODO Imp.]:[PERIODO Imp.]],CS$9)</f>
        <v>0</v>
      </c>
      <c r="CT82" s="516">
        <f>SUMIFS(Imput[[Importe Neto]:[Importe Neto]],Imput[[C. Imp.]:[C. Imp.]],$D82,Imput[[PERIODO Imp.]:[PERIODO Imp.]],CT$9)</f>
        <v>0</v>
      </c>
      <c r="CU82" s="516">
        <f>SUMIFS(Imput[[Importe Neto]:[Importe Neto]],Imput[[C. Imp.]:[C. Imp.]],$D82,Imput[[PERIODO Imp.]:[PERIODO Imp.]],CU$9)</f>
        <v>0</v>
      </c>
      <c r="CV82" s="516">
        <f>SUMIFS(Imput[[Importe Neto]:[Importe Neto]],Imput[[C. Imp.]:[C. Imp.]],$D82,Imput[[PERIODO Imp.]:[PERIODO Imp.]],CV$9)</f>
        <v>0</v>
      </c>
      <c r="CW82" s="516">
        <f>SUMIFS(Imput[[Importe Neto]:[Importe Neto]],Imput[[C. Imp.]:[C. Imp.]],$D82,Imput[[PERIODO Imp.]:[PERIODO Imp.]],CW$9)</f>
        <v>0</v>
      </c>
      <c r="CX82" s="516">
        <f>SUMIFS(Imput[[Importe Neto]:[Importe Neto]],Imput[[C. Imp.]:[C. Imp.]],$D82,Imput[[PERIODO Imp.]:[PERIODO Imp.]],CX$9)</f>
        <v>0</v>
      </c>
      <c r="CY82" s="516">
        <f>SUMIFS(Imput[[Importe Neto]:[Importe Neto]],Imput[[C. Imp.]:[C. Imp.]],$D82,Imput[[PERIODO Imp.]:[PERIODO Imp.]],CY$9)</f>
        <v>0</v>
      </c>
      <c r="CZ82" s="516">
        <f>SUMIFS(Imput[[Importe Neto]:[Importe Neto]],Imput[[C. Imp.]:[C. Imp.]],$D82,Imput[[PERIODO Imp.]:[PERIODO Imp.]],CZ$9)</f>
        <v>0</v>
      </c>
      <c r="DA82" s="516">
        <f>SUMIFS(Imput[[Importe Neto]:[Importe Neto]],Imput[[C. Imp.]:[C. Imp.]],$D82,Imput[[PERIODO Imp.]:[PERIODO Imp.]],DA$9)</f>
        <v>0</v>
      </c>
      <c r="DB82" s="516">
        <f>SUMIFS(Imput[[Importe Neto]:[Importe Neto]],Imput[[C. Imp.]:[C. Imp.]],$D82,Imput[[PERIODO Imp.]:[PERIODO Imp.]],DB$9)</f>
        <v>0</v>
      </c>
      <c r="DC82" s="516">
        <f>SUMIFS(Imput[[Importe Neto]:[Importe Neto]],Imput[[C. Imp.]:[C. Imp.]],$D82,Imput[[PERIODO Imp.]:[PERIODO Imp.]],DC$9)</f>
        <v>0</v>
      </c>
      <c r="DD82" s="516">
        <f>SUMIFS(Imput[[Importe Neto]:[Importe Neto]],Imput[[C. Imp.]:[C. Imp.]],$D82,Imput[[PERIODO Imp.]:[PERIODO Imp.]],DD$9)</f>
        <v>0</v>
      </c>
      <c r="DE82" s="516">
        <f>SUMIFS(Imput[[Importe Neto]:[Importe Neto]],Imput[[C. Imp.]:[C. Imp.]],$D82,Imput[[PERIODO Imp.]:[PERIODO Imp.]],DE$9)</f>
        <v>0</v>
      </c>
      <c r="DF82" s="516">
        <f>SUMIFS(Imput[[Importe Neto]:[Importe Neto]],Imput[[C. Imp.]:[C. Imp.]],$D82,Imput[[PERIODO Imp.]:[PERIODO Imp.]],DF$9)</f>
        <v>0</v>
      </c>
      <c r="DG82" s="516">
        <f>SUMIFS(Imput[[Importe Neto]:[Importe Neto]],Imput[[C. Imp.]:[C. Imp.]],$D82,Imput[[PERIODO Imp.]:[PERIODO Imp.]],DG$9)</f>
        <v>0</v>
      </c>
      <c r="DH82" s="616">
        <f>SUMIFS(Imput[[Importe Neto]:[Importe Neto]],Imput[[C. Imp.]:[C. Imp.]],$D82,Imput[[PERIODO Imp.]:[PERIODO Imp.]],DH$9)</f>
        <v>0</v>
      </c>
    </row>
    <row r="83" spans="1:112" hidden="1" outlineLevel="1" x14ac:dyDescent="0.3">
      <c r="A83" s="66" t="str">
        <f t="shared" si="22"/>
        <v/>
      </c>
      <c r="C83" s="527"/>
      <c r="D83" s="528" t="s">
        <v>2195</v>
      </c>
      <c r="E83" s="528"/>
      <c r="F83" s="534"/>
      <c r="G83" s="529"/>
      <c r="H83" s="531"/>
      <c r="I83" s="849" t="str">
        <f t="shared" si="23"/>
        <v/>
      </c>
      <c r="J83" s="850" t="str">
        <f t="shared" si="24"/>
        <v/>
      </c>
      <c r="K83" s="111"/>
      <c r="L83" s="853"/>
      <c r="M83" s="855"/>
      <c r="N83" s="855"/>
      <c r="O83" s="855"/>
      <c r="P83" s="855"/>
      <c r="Q83" s="855"/>
      <c r="R83" s="855"/>
      <c r="S83" s="855"/>
      <c r="T83" s="855"/>
      <c r="U83" s="855"/>
      <c r="V83" s="855"/>
      <c r="W83" s="855"/>
      <c r="X83" s="855"/>
      <c r="Y83" s="855"/>
      <c r="Z83" s="856"/>
      <c r="AA83" s="856"/>
      <c r="AB83" s="856"/>
      <c r="AC83" s="856"/>
      <c r="AD83" s="856"/>
      <c r="AE83" s="856"/>
      <c r="AF83" s="856"/>
      <c r="AG83" s="856"/>
      <c r="AH83" s="856"/>
      <c r="AI83" s="856"/>
      <c r="AJ83" s="856"/>
      <c r="AK83" s="856"/>
      <c r="AL83" s="856"/>
      <c r="AM83" s="856"/>
      <c r="AN83" s="856"/>
      <c r="AO83" s="856"/>
      <c r="AP83" s="856"/>
      <c r="AQ83" s="856"/>
      <c r="AR83" s="856"/>
      <c r="AS83" s="856"/>
      <c r="AT83" s="856"/>
      <c r="AU83" s="856"/>
      <c r="AV83" s="856"/>
      <c r="AW83" s="856"/>
      <c r="AX83" s="856"/>
      <c r="AY83" s="856"/>
      <c r="AZ83" s="856"/>
      <c r="BA83" s="856"/>
      <c r="BB83" s="856"/>
      <c r="BC83" s="856"/>
      <c r="BD83" s="856"/>
      <c r="BE83" s="856"/>
      <c r="BF83" s="856"/>
      <c r="BG83" s="857"/>
      <c r="BH83" s="590"/>
      <c r="BI83" s="68"/>
      <c r="BJ83" s="518">
        <f t="shared" si="25"/>
        <v>0</v>
      </c>
      <c r="BK83" s="517">
        <f t="shared" si="26"/>
        <v>0</v>
      </c>
      <c r="BL83" s="68"/>
      <c r="BM83" s="515">
        <f>SUMIFS(Imput[[Importe Neto]:[Importe Neto]],Imput[[C. Imp.]:[C. Imp.]],$D83,Imput[[PERIODO Imp.]:[PERIODO Imp.]],BM$9)</f>
        <v>0</v>
      </c>
      <c r="BN83" s="516">
        <f>SUMIFS(Imput[[Importe Neto]:[Importe Neto]],Imput[[C. Imp.]:[C. Imp.]],$D83,Imput[[PERIODO Imp.]:[PERIODO Imp.]],BN$9)</f>
        <v>0</v>
      </c>
      <c r="BO83" s="516">
        <f>SUMIFS(Imput[[Importe Neto]:[Importe Neto]],Imput[[C. Imp.]:[C. Imp.]],$D83,Imput[[PERIODO Imp.]:[PERIODO Imp.]],BO$9)</f>
        <v>0</v>
      </c>
      <c r="BP83" s="516">
        <f>SUMIFS(Imput[[Importe Neto]:[Importe Neto]],Imput[[C. Imp.]:[C. Imp.]],$D83,Imput[[PERIODO Imp.]:[PERIODO Imp.]],BP$9)</f>
        <v>0</v>
      </c>
      <c r="BQ83" s="516">
        <f>SUMIFS(Imput[[Importe Neto]:[Importe Neto]],Imput[[C. Imp.]:[C. Imp.]],$D83,Imput[[PERIODO Imp.]:[PERIODO Imp.]],BQ$9)</f>
        <v>0</v>
      </c>
      <c r="BR83" s="516">
        <f>SUMIFS(Imput[[Importe Neto]:[Importe Neto]],Imput[[C. Imp.]:[C. Imp.]],$D83,Imput[[PERIODO Imp.]:[PERIODO Imp.]],BR$9)</f>
        <v>0</v>
      </c>
      <c r="BS83" s="516">
        <f>SUMIFS(Imput[[Importe Neto]:[Importe Neto]],Imput[[C. Imp.]:[C. Imp.]],$D83,Imput[[PERIODO Imp.]:[PERIODO Imp.]],BS$9)</f>
        <v>0</v>
      </c>
      <c r="BT83" s="516">
        <f>SUMIFS(Imput[[Importe Neto]:[Importe Neto]],Imput[[C. Imp.]:[C. Imp.]],$D83,Imput[[PERIODO Imp.]:[PERIODO Imp.]],BT$9)</f>
        <v>0</v>
      </c>
      <c r="BU83" s="516">
        <f>SUMIFS(Imput[[Importe Neto]:[Importe Neto]],Imput[[C. Imp.]:[C. Imp.]],$D83,Imput[[PERIODO Imp.]:[PERIODO Imp.]],BU$9)</f>
        <v>0</v>
      </c>
      <c r="BV83" s="516">
        <f>SUMIFS(Imput[[Importe Neto]:[Importe Neto]],Imput[[C. Imp.]:[C. Imp.]],$D83,Imput[[PERIODO Imp.]:[PERIODO Imp.]],BV$9)</f>
        <v>0</v>
      </c>
      <c r="BW83" s="516">
        <f>SUMIFS(Imput[[Importe Neto]:[Importe Neto]],Imput[[C. Imp.]:[C. Imp.]],$D83,Imput[[PERIODO Imp.]:[PERIODO Imp.]],BW$9)</f>
        <v>0</v>
      </c>
      <c r="BX83" s="516">
        <f>SUMIFS(Imput[[Importe Neto]:[Importe Neto]],Imput[[C. Imp.]:[C. Imp.]],$D83,Imput[[PERIODO Imp.]:[PERIODO Imp.]],BX$9)</f>
        <v>0</v>
      </c>
      <c r="BY83" s="516">
        <f>SUMIFS(Imput[[Importe Neto]:[Importe Neto]],Imput[[C. Imp.]:[C. Imp.]],$D83,Imput[[PERIODO Imp.]:[PERIODO Imp.]],BY$9)</f>
        <v>0</v>
      </c>
      <c r="BZ83" s="516">
        <f>SUMIFS(Imput[[Importe Neto]:[Importe Neto]],Imput[[C. Imp.]:[C. Imp.]],$D83,Imput[[PERIODO Imp.]:[PERIODO Imp.]],BZ$9)</f>
        <v>0</v>
      </c>
      <c r="CA83" s="516">
        <f>SUMIFS(Imput[[Importe Neto]:[Importe Neto]],Imput[[C. Imp.]:[C. Imp.]],$D83,Imput[[PERIODO Imp.]:[PERIODO Imp.]],CA$9)</f>
        <v>0</v>
      </c>
      <c r="CB83" s="516">
        <f>SUMIFS(Imput[[Importe Neto]:[Importe Neto]],Imput[[C. Imp.]:[C. Imp.]],$D83,Imput[[PERIODO Imp.]:[PERIODO Imp.]],CB$9)</f>
        <v>0</v>
      </c>
      <c r="CC83" s="516">
        <f>SUMIFS(Imput[[Importe Neto]:[Importe Neto]],Imput[[C. Imp.]:[C. Imp.]],$D83,Imput[[PERIODO Imp.]:[PERIODO Imp.]],CC$9)</f>
        <v>0</v>
      </c>
      <c r="CD83" s="516">
        <f>SUMIFS(Imput[[Importe Neto]:[Importe Neto]],Imput[[C. Imp.]:[C. Imp.]],$D83,Imput[[PERIODO Imp.]:[PERIODO Imp.]],CD$9)</f>
        <v>0</v>
      </c>
      <c r="CE83" s="516">
        <f>SUMIFS(Imput[[Importe Neto]:[Importe Neto]],Imput[[C. Imp.]:[C. Imp.]],$D83,Imput[[PERIODO Imp.]:[PERIODO Imp.]],CE$9)</f>
        <v>0</v>
      </c>
      <c r="CF83" s="516">
        <f>SUMIFS(Imput[[Importe Neto]:[Importe Neto]],Imput[[C. Imp.]:[C. Imp.]],$D83,Imput[[PERIODO Imp.]:[PERIODO Imp.]],CF$9)</f>
        <v>0</v>
      </c>
      <c r="CG83" s="516">
        <f>SUMIFS(Imput[[Importe Neto]:[Importe Neto]],Imput[[C. Imp.]:[C. Imp.]],$D83,Imput[[PERIODO Imp.]:[PERIODO Imp.]],CG$9)</f>
        <v>0</v>
      </c>
      <c r="CH83" s="516">
        <f>SUMIFS(Imput[[Importe Neto]:[Importe Neto]],Imput[[C. Imp.]:[C. Imp.]],$D83,Imput[[PERIODO Imp.]:[PERIODO Imp.]],CH$9)</f>
        <v>0</v>
      </c>
      <c r="CI83" s="516">
        <f>SUMIFS(Imput[[Importe Neto]:[Importe Neto]],Imput[[C. Imp.]:[C. Imp.]],$D83,Imput[[PERIODO Imp.]:[PERIODO Imp.]],CI$9)</f>
        <v>0</v>
      </c>
      <c r="CJ83" s="516">
        <f>SUMIFS(Imput[[Importe Neto]:[Importe Neto]],Imput[[C. Imp.]:[C. Imp.]],$D83,Imput[[PERIODO Imp.]:[PERIODO Imp.]],CJ$9)</f>
        <v>0</v>
      </c>
      <c r="CK83" s="516">
        <f>SUMIFS(Imput[[Importe Neto]:[Importe Neto]],Imput[[C. Imp.]:[C. Imp.]],$D83,Imput[[PERIODO Imp.]:[PERIODO Imp.]],CK$9)</f>
        <v>0</v>
      </c>
      <c r="CL83" s="516">
        <f>SUMIFS(Imput[[Importe Neto]:[Importe Neto]],Imput[[C. Imp.]:[C. Imp.]],$D83,Imput[[PERIODO Imp.]:[PERIODO Imp.]],CL$9)</f>
        <v>0</v>
      </c>
      <c r="CM83" s="516">
        <f>SUMIFS(Imput[[Importe Neto]:[Importe Neto]],Imput[[C. Imp.]:[C. Imp.]],$D83,Imput[[PERIODO Imp.]:[PERIODO Imp.]],CM$9)</f>
        <v>0</v>
      </c>
      <c r="CN83" s="516">
        <f>SUMIFS(Imput[[Importe Neto]:[Importe Neto]],Imput[[C. Imp.]:[C. Imp.]],$D83,Imput[[PERIODO Imp.]:[PERIODO Imp.]],CN$9)</f>
        <v>0</v>
      </c>
      <c r="CO83" s="516">
        <f>SUMIFS(Imput[[Importe Neto]:[Importe Neto]],Imput[[C. Imp.]:[C. Imp.]],$D83,Imput[[PERIODO Imp.]:[PERIODO Imp.]],CO$9)</f>
        <v>0</v>
      </c>
      <c r="CP83" s="516">
        <f>SUMIFS(Imput[[Importe Neto]:[Importe Neto]],Imput[[C. Imp.]:[C. Imp.]],$D83,Imput[[PERIODO Imp.]:[PERIODO Imp.]],CP$9)</f>
        <v>0</v>
      </c>
      <c r="CQ83" s="516">
        <f>SUMIFS(Imput[[Importe Neto]:[Importe Neto]],Imput[[C. Imp.]:[C. Imp.]],$D83,Imput[[PERIODO Imp.]:[PERIODO Imp.]],CQ$9)</f>
        <v>0</v>
      </c>
      <c r="CR83" s="516">
        <f>SUMIFS(Imput[[Importe Neto]:[Importe Neto]],Imput[[C. Imp.]:[C. Imp.]],$D83,Imput[[PERIODO Imp.]:[PERIODO Imp.]],CR$9)</f>
        <v>0</v>
      </c>
      <c r="CS83" s="516">
        <f>SUMIFS(Imput[[Importe Neto]:[Importe Neto]],Imput[[C. Imp.]:[C. Imp.]],$D83,Imput[[PERIODO Imp.]:[PERIODO Imp.]],CS$9)</f>
        <v>0</v>
      </c>
      <c r="CT83" s="516">
        <f>SUMIFS(Imput[[Importe Neto]:[Importe Neto]],Imput[[C. Imp.]:[C. Imp.]],$D83,Imput[[PERIODO Imp.]:[PERIODO Imp.]],CT$9)</f>
        <v>0</v>
      </c>
      <c r="CU83" s="516">
        <f>SUMIFS(Imput[[Importe Neto]:[Importe Neto]],Imput[[C. Imp.]:[C. Imp.]],$D83,Imput[[PERIODO Imp.]:[PERIODO Imp.]],CU$9)</f>
        <v>0</v>
      </c>
      <c r="CV83" s="516">
        <f>SUMIFS(Imput[[Importe Neto]:[Importe Neto]],Imput[[C. Imp.]:[C. Imp.]],$D83,Imput[[PERIODO Imp.]:[PERIODO Imp.]],CV$9)</f>
        <v>0</v>
      </c>
      <c r="CW83" s="516">
        <f>SUMIFS(Imput[[Importe Neto]:[Importe Neto]],Imput[[C. Imp.]:[C. Imp.]],$D83,Imput[[PERIODO Imp.]:[PERIODO Imp.]],CW$9)</f>
        <v>0</v>
      </c>
      <c r="CX83" s="516">
        <f>SUMIFS(Imput[[Importe Neto]:[Importe Neto]],Imput[[C. Imp.]:[C. Imp.]],$D83,Imput[[PERIODO Imp.]:[PERIODO Imp.]],CX$9)</f>
        <v>0</v>
      </c>
      <c r="CY83" s="516">
        <f>SUMIFS(Imput[[Importe Neto]:[Importe Neto]],Imput[[C. Imp.]:[C. Imp.]],$D83,Imput[[PERIODO Imp.]:[PERIODO Imp.]],CY$9)</f>
        <v>0</v>
      </c>
      <c r="CZ83" s="516">
        <f>SUMIFS(Imput[[Importe Neto]:[Importe Neto]],Imput[[C. Imp.]:[C. Imp.]],$D83,Imput[[PERIODO Imp.]:[PERIODO Imp.]],CZ$9)</f>
        <v>0</v>
      </c>
      <c r="DA83" s="516">
        <f>SUMIFS(Imput[[Importe Neto]:[Importe Neto]],Imput[[C. Imp.]:[C. Imp.]],$D83,Imput[[PERIODO Imp.]:[PERIODO Imp.]],DA$9)</f>
        <v>0</v>
      </c>
      <c r="DB83" s="516">
        <f>SUMIFS(Imput[[Importe Neto]:[Importe Neto]],Imput[[C. Imp.]:[C. Imp.]],$D83,Imput[[PERIODO Imp.]:[PERIODO Imp.]],DB$9)</f>
        <v>0</v>
      </c>
      <c r="DC83" s="516">
        <f>SUMIFS(Imput[[Importe Neto]:[Importe Neto]],Imput[[C. Imp.]:[C. Imp.]],$D83,Imput[[PERIODO Imp.]:[PERIODO Imp.]],DC$9)</f>
        <v>0</v>
      </c>
      <c r="DD83" s="516">
        <f>SUMIFS(Imput[[Importe Neto]:[Importe Neto]],Imput[[C. Imp.]:[C. Imp.]],$D83,Imput[[PERIODO Imp.]:[PERIODO Imp.]],DD$9)</f>
        <v>0</v>
      </c>
      <c r="DE83" s="516">
        <f>SUMIFS(Imput[[Importe Neto]:[Importe Neto]],Imput[[C. Imp.]:[C. Imp.]],$D83,Imput[[PERIODO Imp.]:[PERIODO Imp.]],DE$9)</f>
        <v>0</v>
      </c>
      <c r="DF83" s="516">
        <f>SUMIFS(Imput[[Importe Neto]:[Importe Neto]],Imput[[C. Imp.]:[C. Imp.]],$D83,Imput[[PERIODO Imp.]:[PERIODO Imp.]],DF$9)</f>
        <v>0</v>
      </c>
      <c r="DG83" s="516">
        <f>SUMIFS(Imput[[Importe Neto]:[Importe Neto]],Imput[[C. Imp.]:[C. Imp.]],$D83,Imput[[PERIODO Imp.]:[PERIODO Imp.]],DG$9)</f>
        <v>0</v>
      </c>
      <c r="DH83" s="616">
        <f>SUMIFS(Imput[[Importe Neto]:[Importe Neto]],Imput[[C. Imp.]:[C. Imp.]],$D83,Imput[[PERIODO Imp.]:[PERIODO Imp.]],DH$9)</f>
        <v>0</v>
      </c>
    </row>
    <row r="84" spans="1:112" hidden="1" outlineLevel="1" x14ac:dyDescent="0.3">
      <c r="A84" s="66" t="str">
        <f t="shared" si="22"/>
        <v/>
      </c>
      <c r="C84" s="527"/>
      <c r="D84" s="528" t="s">
        <v>2196</v>
      </c>
      <c r="E84" s="528"/>
      <c r="F84" s="534"/>
      <c r="G84" s="529"/>
      <c r="H84" s="531"/>
      <c r="I84" s="849" t="str">
        <f t="shared" si="23"/>
        <v/>
      </c>
      <c r="J84" s="850" t="str">
        <f t="shared" si="24"/>
        <v/>
      </c>
      <c r="K84" s="70"/>
      <c r="L84" s="853"/>
      <c r="M84" s="855"/>
      <c r="N84" s="855"/>
      <c r="O84" s="855"/>
      <c r="P84" s="855"/>
      <c r="Q84" s="855"/>
      <c r="R84" s="855"/>
      <c r="S84" s="855"/>
      <c r="T84" s="855"/>
      <c r="U84" s="855"/>
      <c r="V84" s="855"/>
      <c r="W84" s="855"/>
      <c r="X84" s="855"/>
      <c r="Y84" s="855"/>
      <c r="Z84" s="856"/>
      <c r="AA84" s="856"/>
      <c r="AB84" s="856"/>
      <c r="AC84" s="856"/>
      <c r="AD84" s="856"/>
      <c r="AE84" s="856"/>
      <c r="AF84" s="856"/>
      <c r="AG84" s="856"/>
      <c r="AH84" s="856"/>
      <c r="AI84" s="856"/>
      <c r="AJ84" s="856"/>
      <c r="AK84" s="856"/>
      <c r="AL84" s="856"/>
      <c r="AM84" s="856"/>
      <c r="AN84" s="856"/>
      <c r="AO84" s="856"/>
      <c r="AP84" s="856"/>
      <c r="AQ84" s="856"/>
      <c r="AR84" s="856"/>
      <c r="AS84" s="856"/>
      <c r="AT84" s="856"/>
      <c r="AU84" s="856"/>
      <c r="AV84" s="856"/>
      <c r="AW84" s="856"/>
      <c r="AX84" s="856"/>
      <c r="AY84" s="856"/>
      <c r="AZ84" s="856"/>
      <c r="BA84" s="856"/>
      <c r="BB84" s="856"/>
      <c r="BC84" s="856"/>
      <c r="BD84" s="856"/>
      <c r="BE84" s="856"/>
      <c r="BF84" s="856"/>
      <c r="BG84" s="857"/>
      <c r="BH84" s="590"/>
      <c r="BI84" s="70"/>
      <c r="BJ84" s="518">
        <f t="shared" si="25"/>
        <v>0</v>
      </c>
      <c r="BK84" s="517">
        <f t="shared" si="26"/>
        <v>0</v>
      </c>
      <c r="BL84" s="68"/>
      <c r="BM84" s="515">
        <f>SUMIFS(Imput[[Importe Neto]:[Importe Neto]],Imput[[C. Imp.]:[C. Imp.]],$D84,Imput[[PERIODO Imp.]:[PERIODO Imp.]],BM$9)</f>
        <v>0</v>
      </c>
      <c r="BN84" s="516">
        <f>SUMIFS(Imput[[Importe Neto]:[Importe Neto]],Imput[[C. Imp.]:[C. Imp.]],$D84,Imput[[PERIODO Imp.]:[PERIODO Imp.]],BN$9)</f>
        <v>0</v>
      </c>
      <c r="BO84" s="516">
        <f>SUMIFS(Imput[[Importe Neto]:[Importe Neto]],Imput[[C. Imp.]:[C. Imp.]],$D84,Imput[[PERIODO Imp.]:[PERIODO Imp.]],BO$9)</f>
        <v>0</v>
      </c>
      <c r="BP84" s="516">
        <f>SUMIFS(Imput[[Importe Neto]:[Importe Neto]],Imput[[C. Imp.]:[C. Imp.]],$D84,Imput[[PERIODO Imp.]:[PERIODO Imp.]],BP$9)</f>
        <v>0</v>
      </c>
      <c r="BQ84" s="516">
        <f>SUMIFS(Imput[[Importe Neto]:[Importe Neto]],Imput[[C. Imp.]:[C. Imp.]],$D84,Imput[[PERIODO Imp.]:[PERIODO Imp.]],BQ$9)</f>
        <v>0</v>
      </c>
      <c r="BR84" s="516">
        <f>SUMIFS(Imput[[Importe Neto]:[Importe Neto]],Imput[[C. Imp.]:[C. Imp.]],$D84,Imput[[PERIODO Imp.]:[PERIODO Imp.]],BR$9)</f>
        <v>0</v>
      </c>
      <c r="BS84" s="516">
        <f>SUMIFS(Imput[[Importe Neto]:[Importe Neto]],Imput[[C. Imp.]:[C. Imp.]],$D84,Imput[[PERIODO Imp.]:[PERIODO Imp.]],BS$9)</f>
        <v>0</v>
      </c>
      <c r="BT84" s="516">
        <f>SUMIFS(Imput[[Importe Neto]:[Importe Neto]],Imput[[C. Imp.]:[C. Imp.]],$D84,Imput[[PERIODO Imp.]:[PERIODO Imp.]],BT$9)</f>
        <v>0</v>
      </c>
      <c r="BU84" s="516">
        <f>SUMIFS(Imput[[Importe Neto]:[Importe Neto]],Imput[[C. Imp.]:[C. Imp.]],$D84,Imput[[PERIODO Imp.]:[PERIODO Imp.]],BU$9)</f>
        <v>0</v>
      </c>
      <c r="BV84" s="516">
        <f>SUMIFS(Imput[[Importe Neto]:[Importe Neto]],Imput[[C. Imp.]:[C. Imp.]],$D84,Imput[[PERIODO Imp.]:[PERIODO Imp.]],BV$9)</f>
        <v>0</v>
      </c>
      <c r="BW84" s="516">
        <f>SUMIFS(Imput[[Importe Neto]:[Importe Neto]],Imput[[C. Imp.]:[C. Imp.]],$D84,Imput[[PERIODO Imp.]:[PERIODO Imp.]],BW$9)</f>
        <v>0</v>
      </c>
      <c r="BX84" s="516">
        <f>SUMIFS(Imput[[Importe Neto]:[Importe Neto]],Imput[[C. Imp.]:[C. Imp.]],$D84,Imput[[PERIODO Imp.]:[PERIODO Imp.]],BX$9)</f>
        <v>0</v>
      </c>
      <c r="BY84" s="516">
        <f>SUMIFS(Imput[[Importe Neto]:[Importe Neto]],Imput[[C. Imp.]:[C. Imp.]],$D84,Imput[[PERIODO Imp.]:[PERIODO Imp.]],BY$9)</f>
        <v>0</v>
      </c>
      <c r="BZ84" s="516">
        <f>SUMIFS(Imput[[Importe Neto]:[Importe Neto]],Imput[[C. Imp.]:[C. Imp.]],$D84,Imput[[PERIODO Imp.]:[PERIODO Imp.]],BZ$9)</f>
        <v>0</v>
      </c>
      <c r="CA84" s="516">
        <f>SUMIFS(Imput[[Importe Neto]:[Importe Neto]],Imput[[C. Imp.]:[C. Imp.]],$D84,Imput[[PERIODO Imp.]:[PERIODO Imp.]],CA$9)</f>
        <v>0</v>
      </c>
      <c r="CB84" s="516">
        <f>SUMIFS(Imput[[Importe Neto]:[Importe Neto]],Imput[[C. Imp.]:[C. Imp.]],$D84,Imput[[PERIODO Imp.]:[PERIODO Imp.]],CB$9)</f>
        <v>0</v>
      </c>
      <c r="CC84" s="516">
        <f>SUMIFS(Imput[[Importe Neto]:[Importe Neto]],Imput[[C. Imp.]:[C. Imp.]],$D84,Imput[[PERIODO Imp.]:[PERIODO Imp.]],CC$9)</f>
        <v>0</v>
      </c>
      <c r="CD84" s="516">
        <f>SUMIFS(Imput[[Importe Neto]:[Importe Neto]],Imput[[C. Imp.]:[C. Imp.]],$D84,Imput[[PERIODO Imp.]:[PERIODO Imp.]],CD$9)</f>
        <v>0</v>
      </c>
      <c r="CE84" s="516">
        <f>SUMIFS(Imput[[Importe Neto]:[Importe Neto]],Imput[[C. Imp.]:[C. Imp.]],$D84,Imput[[PERIODO Imp.]:[PERIODO Imp.]],CE$9)</f>
        <v>0</v>
      </c>
      <c r="CF84" s="516">
        <f>SUMIFS(Imput[[Importe Neto]:[Importe Neto]],Imput[[C. Imp.]:[C. Imp.]],$D84,Imput[[PERIODO Imp.]:[PERIODO Imp.]],CF$9)</f>
        <v>0</v>
      </c>
      <c r="CG84" s="516">
        <f>SUMIFS(Imput[[Importe Neto]:[Importe Neto]],Imput[[C. Imp.]:[C. Imp.]],$D84,Imput[[PERIODO Imp.]:[PERIODO Imp.]],CG$9)</f>
        <v>0</v>
      </c>
      <c r="CH84" s="516">
        <f>SUMIFS(Imput[[Importe Neto]:[Importe Neto]],Imput[[C. Imp.]:[C. Imp.]],$D84,Imput[[PERIODO Imp.]:[PERIODO Imp.]],CH$9)</f>
        <v>0</v>
      </c>
      <c r="CI84" s="516">
        <f>SUMIFS(Imput[[Importe Neto]:[Importe Neto]],Imput[[C. Imp.]:[C. Imp.]],$D84,Imput[[PERIODO Imp.]:[PERIODO Imp.]],CI$9)</f>
        <v>0</v>
      </c>
      <c r="CJ84" s="516">
        <f>SUMIFS(Imput[[Importe Neto]:[Importe Neto]],Imput[[C. Imp.]:[C. Imp.]],$D84,Imput[[PERIODO Imp.]:[PERIODO Imp.]],CJ$9)</f>
        <v>0</v>
      </c>
      <c r="CK84" s="516">
        <f>SUMIFS(Imput[[Importe Neto]:[Importe Neto]],Imput[[C. Imp.]:[C. Imp.]],$D84,Imput[[PERIODO Imp.]:[PERIODO Imp.]],CK$9)</f>
        <v>0</v>
      </c>
      <c r="CL84" s="516">
        <f>SUMIFS(Imput[[Importe Neto]:[Importe Neto]],Imput[[C. Imp.]:[C. Imp.]],$D84,Imput[[PERIODO Imp.]:[PERIODO Imp.]],CL$9)</f>
        <v>0</v>
      </c>
      <c r="CM84" s="516">
        <f>SUMIFS(Imput[[Importe Neto]:[Importe Neto]],Imput[[C. Imp.]:[C. Imp.]],$D84,Imput[[PERIODO Imp.]:[PERIODO Imp.]],CM$9)</f>
        <v>0</v>
      </c>
      <c r="CN84" s="516">
        <f>SUMIFS(Imput[[Importe Neto]:[Importe Neto]],Imput[[C. Imp.]:[C. Imp.]],$D84,Imput[[PERIODO Imp.]:[PERIODO Imp.]],CN$9)</f>
        <v>0</v>
      </c>
      <c r="CO84" s="516">
        <f>SUMIFS(Imput[[Importe Neto]:[Importe Neto]],Imput[[C. Imp.]:[C. Imp.]],$D84,Imput[[PERIODO Imp.]:[PERIODO Imp.]],CO$9)</f>
        <v>0</v>
      </c>
      <c r="CP84" s="516">
        <f>SUMIFS(Imput[[Importe Neto]:[Importe Neto]],Imput[[C. Imp.]:[C. Imp.]],$D84,Imput[[PERIODO Imp.]:[PERIODO Imp.]],CP$9)</f>
        <v>0</v>
      </c>
      <c r="CQ84" s="516">
        <f>SUMIFS(Imput[[Importe Neto]:[Importe Neto]],Imput[[C. Imp.]:[C. Imp.]],$D84,Imput[[PERIODO Imp.]:[PERIODO Imp.]],CQ$9)</f>
        <v>0</v>
      </c>
      <c r="CR84" s="516">
        <f>SUMIFS(Imput[[Importe Neto]:[Importe Neto]],Imput[[C. Imp.]:[C. Imp.]],$D84,Imput[[PERIODO Imp.]:[PERIODO Imp.]],CR$9)</f>
        <v>0</v>
      </c>
      <c r="CS84" s="516">
        <f>SUMIFS(Imput[[Importe Neto]:[Importe Neto]],Imput[[C. Imp.]:[C. Imp.]],$D84,Imput[[PERIODO Imp.]:[PERIODO Imp.]],CS$9)</f>
        <v>0</v>
      </c>
      <c r="CT84" s="516">
        <f>SUMIFS(Imput[[Importe Neto]:[Importe Neto]],Imput[[C. Imp.]:[C. Imp.]],$D84,Imput[[PERIODO Imp.]:[PERIODO Imp.]],CT$9)</f>
        <v>0</v>
      </c>
      <c r="CU84" s="516">
        <f>SUMIFS(Imput[[Importe Neto]:[Importe Neto]],Imput[[C. Imp.]:[C. Imp.]],$D84,Imput[[PERIODO Imp.]:[PERIODO Imp.]],CU$9)</f>
        <v>0</v>
      </c>
      <c r="CV84" s="516">
        <f>SUMIFS(Imput[[Importe Neto]:[Importe Neto]],Imput[[C. Imp.]:[C. Imp.]],$D84,Imput[[PERIODO Imp.]:[PERIODO Imp.]],CV$9)</f>
        <v>0</v>
      </c>
      <c r="CW84" s="516">
        <f>SUMIFS(Imput[[Importe Neto]:[Importe Neto]],Imput[[C. Imp.]:[C. Imp.]],$D84,Imput[[PERIODO Imp.]:[PERIODO Imp.]],CW$9)</f>
        <v>0</v>
      </c>
      <c r="CX84" s="516">
        <f>SUMIFS(Imput[[Importe Neto]:[Importe Neto]],Imput[[C. Imp.]:[C. Imp.]],$D84,Imput[[PERIODO Imp.]:[PERIODO Imp.]],CX$9)</f>
        <v>0</v>
      </c>
      <c r="CY84" s="516">
        <f>SUMIFS(Imput[[Importe Neto]:[Importe Neto]],Imput[[C. Imp.]:[C. Imp.]],$D84,Imput[[PERIODO Imp.]:[PERIODO Imp.]],CY$9)</f>
        <v>0</v>
      </c>
      <c r="CZ84" s="516">
        <f>SUMIFS(Imput[[Importe Neto]:[Importe Neto]],Imput[[C. Imp.]:[C. Imp.]],$D84,Imput[[PERIODO Imp.]:[PERIODO Imp.]],CZ$9)</f>
        <v>0</v>
      </c>
      <c r="DA84" s="516">
        <f>SUMIFS(Imput[[Importe Neto]:[Importe Neto]],Imput[[C. Imp.]:[C. Imp.]],$D84,Imput[[PERIODO Imp.]:[PERIODO Imp.]],DA$9)</f>
        <v>0</v>
      </c>
      <c r="DB84" s="516">
        <f>SUMIFS(Imput[[Importe Neto]:[Importe Neto]],Imput[[C. Imp.]:[C. Imp.]],$D84,Imput[[PERIODO Imp.]:[PERIODO Imp.]],DB$9)</f>
        <v>0</v>
      </c>
      <c r="DC84" s="516">
        <f>SUMIFS(Imput[[Importe Neto]:[Importe Neto]],Imput[[C. Imp.]:[C. Imp.]],$D84,Imput[[PERIODO Imp.]:[PERIODO Imp.]],DC$9)</f>
        <v>0</v>
      </c>
      <c r="DD84" s="516">
        <f>SUMIFS(Imput[[Importe Neto]:[Importe Neto]],Imput[[C. Imp.]:[C. Imp.]],$D84,Imput[[PERIODO Imp.]:[PERIODO Imp.]],DD$9)</f>
        <v>0</v>
      </c>
      <c r="DE84" s="516">
        <f>SUMIFS(Imput[[Importe Neto]:[Importe Neto]],Imput[[C. Imp.]:[C. Imp.]],$D84,Imput[[PERIODO Imp.]:[PERIODO Imp.]],DE$9)</f>
        <v>0</v>
      </c>
      <c r="DF84" s="516">
        <f>SUMIFS(Imput[[Importe Neto]:[Importe Neto]],Imput[[C. Imp.]:[C. Imp.]],$D84,Imput[[PERIODO Imp.]:[PERIODO Imp.]],DF$9)</f>
        <v>0</v>
      </c>
      <c r="DG84" s="516">
        <f>SUMIFS(Imput[[Importe Neto]:[Importe Neto]],Imput[[C. Imp.]:[C. Imp.]],$D84,Imput[[PERIODO Imp.]:[PERIODO Imp.]],DG$9)</f>
        <v>0</v>
      </c>
      <c r="DH84" s="616">
        <f>SUMIFS(Imput[[Importe Neto]:[Importe Neto]],Imput[[C. Imp.]:[C. Imp.]],$D84,Imput[[PERIODO Imp.]:[PERIODO Imp.]],DH$9)</f>
        <v>0</v>
      </c>
    </row>
    <row r="85" spans="1:112" hidden="1" outlineLevel="1" x14ac:dyDescent="0.3">
      <c r="A85" s="66" t="str">
        <f t="shared" si="22"/>
        <v/>
      </c>
      <c r="C85" s="527"/>
      <c r="D85" s="528" t="s">
        <v>2197</v>
      </c>
      <c r="E85" s="528"/>
      <c r="F85" s="534"/>
      <c r="G85" s="529"/>
      <c r="H85" s="531"/>
      <c r="I85" s="849" t="str">
        <f t="shared" si="23"/>
        <v/>
      </c>
      <c r="J85" s="850" t="str">
        <f t="shared" si="24"/>
        <v/>
      </c>
      <c r="K85" s="70"/>
      <c r="L85" s="853"/>
      <c r="M85" s="855"/>
      <c r="N85" s="855"/>
      <c r="O85" s="855"/>
      <c r="P85" s="855"/>
      <c r="Q85" s="855"/>
      <c r="R85" s="855"/>
      <c r="S85" s="855"/>
      <c r="T85" s="855"/>
      <c r="U85" s="855"/>
      <c r="V85" s="855"/>
      <c r="W85" s="855"/>
      <c r="X85" s="855"/>
      <c r="Y85" s="855"/>
      <c r="Z85" s="856"/>
      <c r="AA85" s="856"/>
      <c r="AB85" s="856"/>
      <c r="AC85" s="856"/>
      <c r="AD85" s="856"/>
      <c r="AE85" s="856"/>
      <c r="AF85" s="856"/>
      <c r="AG85" s="856"/>
      <c r="AH85" s="856"/>
      <c r="AI85" s="856"/>
      <c r="AJ85" s="856"/>
      <c r="AK85" s="856"/>
      <c r="AL85" s="856"/>
      <c r="AM85" s="856"/>
      <c r="AN85" s="856"/>
      <c r="AO85" s="856"/>
      <c r="AP85" s="856"/>
      <c r="AQ85" s="856"/>
      <c r="AR85" s="856"/>
      <c r="AS85" s="856"/>
      <c r="AT85" s="856"/>
      <c r="AU85" s="856"/>
      <c r="AV85" s="856"/>
      <c r="AW85" s="856"/>
      <c r="AX85" s="856"/>
      <c r="AY85" s="856"/>
      <c r="AZ85" s="856"/>
      <c r="BA85" s="856"/>
      <c r="BB85" s="856"/>
      <c r="BC85" s="856"/>
      <c r="BD85" s="856"/>
      <c r="BE85" s="856"/>
      <c r="BF85" s="856"/>
      <c r="BG85" s="857"/>
      <c r="BH85" s="590"/>
      <c r="BI85" s="70"/>
      <c r="BJ85" s="518">
        <f t="shared" si="25"/>
        <v>0</v>
      </c>
      <c r="BK85" s="517">
        <f t="shared" si="26"/>
        <v>0</v>
      </c>
      <c r="BL85" s="68"/>
      <c r="BM85" s="515">
        <f>SUMIFS(Imput[[Importe Neto]:[Importe Neto]],Imput[[C. Imp.]:[C. Imp.]],$D85,Imput[[PERIODO Imp.]:[PERIODO Imp.]],BM$9)</f>
        <v>0</v>
      </c>
      <c r="BN85" s="516">
        <f>SUMIFS(Imput[[Importe Neto]:[Importe Neto]],Imput[[C. Imp.]:[C. Imp.]],$D85,Imput[[PERIODO Imp.]:[PERIODO Imp.]],BN$9)</f>
        <v>0</v>
      </c>
      <c r="BO85" s="516">
        <f>SUMIFS(Imput[[Importe Neto]:[Importe Neto]],Imput[[C. Imp.]:[C. Imp.]],$D85,Imput[[PERIODO Imp.]:[PERIODO Imp.]],BO$9)</f>
        <v>0</v>
      </c>
      <c r="BP85" s="516">
        <f>SUMIFS(Imput[[Importe Neto]:[Importe Neto]],Imput[[C. Imp.]:[C. Imp.]],$D85,Imput[[PERIODO Imp.]:[PERIODO Imp.]],BP$9)</f>
        <v>0</v>
      </c>
      <c r="BQ85" s="516">
        <f>SUMIFS(Imput[[Importe Neto]:[Importe Neto]],Imput[[C. Imp.]:[C. Imp.]],$D85,Imput[[PERIODO Imp.]:[PERIODO Imp.]],BQ$9)</f>
        <v>0</v>
      </c>
      <c r="BR85" s="516">
        <f>SUMIFS(Imput[[Importe Neto]:[Importe Neto]],Imput[[C. Imp.]:[C. Imp.]],$D85,Imput[[PERIODO Imp.]:[PERIODO Imp.]],BR$9)</f>
        <v>0</v>
      </c>
      <c r="BS85" s="516">
        <f>SUMIFS(Imput[[Importe Neto]:[Importe Neto]],Imput[[C. Imp.]:[C. Imp.]],$D85,Imput[[PERIODO Imp.]:[PERIODO Imp.]],BS$9)</f>
        <v>0</v>
      </c>
      <c r="BT85" s="516">
        <f>SUMIFS(Imput[[Importe Neto]:[Importe Neto]],Imput[[C. Imp.]:[C. Imp.]],$D85,Imput[[PERIODO Imp.]:[PERIODO Imp.]],BT$9)</f>
        <v>0</v>
      </c>
      <c r="BU85" s="516">
        <f>SUMIFS(Imput[[Importe Neto]:[Importe Neto]],Imput[[C. Imp.]:[C. Imp.]],$D85,Imput[[PERIODO Imp.]:[PERIODO Imp.]],BU$9)</f>
        <v>0</v>
      </c>
      <c r="BV85" s="516">
        <f>SUMIFS(Imput[[Importe Neto]:[Importe Neto]],Imput[[C. Imp.]:[C. Imp.]],$D85,Imput[[PERIODO Imp.]:[PERIODO Imp.]],BV$9)</f>
        <v>0</v>
      </c>
      <c r="BW85" s="516">
        <f>SUMIFS(Imput[[Importe Neto]:[Importe Neto]],Imput[[C. Imp.]:[C. Imp.]],$D85,Imput[[PERIODO Imp.]:[PERIODO Imp.]],BW$9)</f>
        <v>0</v>
      </c>
      <c r="BX85" s="516">
        <f>SUMIFS(Imput[[Importe Neto]:[Importe Neto]],Imput[[C. Imp.]:[C. Imp.]],$D85,Imput[[PERIODO Imp.]:[PERIODO Imp.]],BX$9)</f>
        <v>0</v>
      </c>
      <c r="BY85" s="516">
        <f>SUMIFS(Imput[[Importe Neto]:[Importe Neto]],Imput[[C. Imp.]:[C. Imp.]],$D85,Imput[[PERIODO Imp.]:[PERIODO Imp.]],BY$9)</f>
        <v>0</v>
      </c>
      <c r="BZ85" s="516">
        <f>SUMIFS(Imput[[Importe Neto]:[Importe Neto]],Imput[[C. Imp.]:[C. Imp.]],$D85,Imput[[PERIODO Imp.]:[PERIODO Imp.]],BZ$9)</f>
        <v>0</v>
      </c>
      <c r="CA85" s="516">
        <f>SUMIFS(Imput[[Importe Neto]:[Importe Neto]],Imput[[C. Imp.]:[C. Imp.]],$D85,Imput[[PERIODO Imp.]:[PERIODO Imp.]],CA$9)</f>
        <v>0</v>
      </c>
      <c r="CB85" s="516">
        <f>SUMIFS(Imput[[Importe Neto]:[Importe Neto]],Imput[[C. Imp.]:[C. Imp.]],$D85,Imput[[PERIODO Imp.]:[PERIODO Imp.]],CB$9)</f>
        <v>0</v>
      </c>
      <c r="CC85" s="516">
        <f>SUMIFS(Imput[[Importe Neto]:[Importe Neto]],Imput[[C. Imp.]:[C. Imp.]],$D85,Imput[[PERIODO Imp.]:[PERIODO Imp.]],CC$9)</f>
        <v>0</v>
      </c>
      <c r="CD85" s="516">
        <f>SUMIFS(Imput[[Importe Neto]:[Importe Neto]],Imput[[C. Imp.]:[C. Imp.]],$D85,Imput[[PERIODO Imp.]:[PERIODO Imp.]],CD$9)</f>
        <v>0</v>
      </c>
      <c r="CE85" s="516">
        <f>SUMIFS(Imput[[Importe Neto]:[Importe Neto]],Imput[[C. Imp.]:[C. Imp.]],$D85,Imput[[PERIODO Imp.]:[PERIODO Imp.]],CE$9)</f>
        <v>0</v>
      </c>
      <c r="CF85" s="516">
        <f>SUMIFS(Imput[[Importe Neto]:[Importe Neto]],Imput[[C. Imp.]:[C. Imp.]],$D85,Imput[[PERIODO Imp.]:[PERIODO Imp.]],CF$9)</f>
        <v>0</v>
      </c>
      <c r="CG85" s="516">
        <f>SUMIFS(Imput[[Importe Neto]:[Importe Neto]],Imput[[C. Imp.]:[C. Imp.]],$D85,Imput[[PERIODO Imp.]:[PERIODO Imp.]],CG$9)</f>
        <v>0</v>
      </c>
      <c r="CH85" s="516">
        <f>SUMIFS(Imput[[Importe Neto]:[Importe Neto]],Imput[[C. Imp.]:[C. Imp.]],$D85,Imput[[PERIODO Imp.]:[PERIODO Imp.]],CH$9)</f>
        <v>0</v>
      </c>
      <c r="CI85" s="516">
        <f>SUMIFS(Imput[[Importe Neto]:[Importe Neto]],Imput[[C. Imp.]:[C. Imp.]],$D85,Imput[[PERIODO Imp.]:[PERIODO Imp.]],CI$9)</f>
        <v>0</v>
      </c>
      <c r="CJ85" s="516">
        <f>SUMIFS(Imput[[Importe Neto]:[Importe Neto]],Imput[[C. Imp.]:[C. Imp.]],$D85,Imput[[PERIODO Imp.]:[PERIODO Imp.]],CJ$9)</f>
        <v>0</v>
      </c>
      <c r="CK85" s="516">
        <f>SUMIFS(Imput[[Importe Neto]:[Importe Neto]],Imput[[C. Imp.]:[C. Imp.]],$D85,Imput[[PERIODO Imp.]:[PERIODO Imp.]],CK$9)</f>
        <v>0</v>
      </c>
      <c r="CL85" s="516">
        <f>SUMIFS(Imput[[Importe Neto]:[Importe Neto]],Imput[[C. Imp.]:[C. Imp.]],$D85,Imput[[PERIODO Imp.]:[PERIODO Imp.]],CL$9)</f>
        <v>0</v>
      </c>
      <c r="CM85" s="516">
        <f>SUMIFS(Imput[[Importe Neto]:[Importe Neto]],Imput[[C. Imp.]:[C. Imp.]],$D85,Imput[[PERIODO Imp.]:[PERIODO Imp.]],CM$9)</f>
        <v>0</v>
      </c>
      <c r="CN85" s="516">
        <f>SUMIFS(Imput[[Importe Neto]:[Importe Neto]],Imput[[C. Imp.]:[C. Imp.]],$D85,Imput[[PERIODO Imp.]:[PERIODO Imp.]],CN$9)</f>
        <v>0</v>
      </c>
      <c r="CO85" s="516">
        <f>SUMIFS(Imput[[Importe Neto]:[Importe Neto]],Imput[[C. Imp.]:[C. Imp.]],$D85,Imput[[PERIODO Imp.]:[PERIODO Imp.]],CO$9)</f>
        <v>0</v>
      </c>
      <c r="CP85" s="516">
        <f>SUMIFS(Imput[[Importe Neto]:[Importe Neto]],Imput[[C. Imp.]:[C. Imp.]],$D85,Imput[[PERIODO Imp.]:[PERIODO Imp.]],CP$9)</f>
        <v>0</v>
      </c>
      <c r="CQ85" s="516">
        <f>SUMIFS(Imput[[Importe Neto]:[Importe Neto]],Imput[[C. Imp.]:[C. Imp.]],$D85,Imput[[PERIODO Imp.]:[PERIODO Imp.]],CQ$9)</f>
        <v>0</v>
      </c>
      <c r="CR85" s="516">
        <f>SUMIFS(Imput[[Importe Neto]:[Importe Neto]],Imput[[C. Imp.]:[C. Imp.]],$D85,Imput[[PERIODO Imp.]:[PERIODO Imp.]],CR$9)</f>
        <v>0</v>
      </c>
      <c r="CS85" s="516">
        <f>SUMIFS(Imput[[Importe Neto]:[Importe Neto]],Imput[[C. Imp.]:[C. Imp.]],$D85,Imput[[PERIODO Imp.]:[PERIODO Imp.]],CS$9)</f>
        <v>0</v>
      </c>
      <c r="CT85" s="516">
        <f>SUMIFS(Imput[[Importe Neto]:[Importe Neto]],Imput[[C. Imp.]:[C. Imp.]],$D85,Imput[[PERIODO Imp.]:[PERIODO Imp.]],CT$9)</f>
        <v>0</v>
      </c>
      <c r="CU85" s="516">
        <f>SUMIFS(Imput[[Importe Neto]:[Importe Neto]],Imput[[C. Imp.]:[C. Imp.]],$D85,Imput[[PERIODO Imp.]:[PERIODO Imp.]],CU$9)</f>
        <v>0</v>
      </c>
      <c r="CV85" s="516">
        <f>SUMIFS(Imput[[Importe Neto]:[Importe Neto]],Imput[[C. Imp.]:[C. Imp.]],$D85,Imput[[PERIODO Imp.]:[PERIODO Imp.]],CV$9)</f>
        <v>0</v>
      </c>
      <c r="CW85" s="516">
        <f>SUMIFS(Imput[[Importe Neto]:[Importe Neto]],Imput[[C. Imp.]:[C. Imp.]],$D85,Imput[[PERIODO Imp.]:[PERIODO Imp.]],CW$9)</f>
        <v>0</v>
      </c>
      <c r="CX85" s="516">
        <f>SUMIFS(Imput[[Importe Neto]:[Importe Neto]],Imput[[C. Imp.]:[C. Imp.]],$D85,Imput[[PERIODO Imp.]:[PERIODO Imp.]],CX$9)</f>
        <v>0</v>
      </c>
      <c r="CY85" s="516">
        <f>SUMIFS(Imput[[Importe Neto]:[Importe Neto]],Imput[[C. Imp.]:[C. Imp.]],$D85,Imput[[PERIODO Imp.]:[PERIODO Imp.]],CY$9)</f>
        <v>0</v>
      </c>
      <c r="CZ85" s="516">
        <f>SUMIFS(Imput[[Importe Neto]:[Importe Neto]],Imput[[C. Imp.]:[C. Imp.]],$D85,Imput[[PERIODO Imp.]:[PERIODO Imp.]],CZ$9)</f>
        <v>0</v>
      </c>
      <c r="DA85" s="516">
        <f>SUMIFS(Imput[[Importe Neto]:[Importe Neto]],Imput[[C. Imp.]:[C. Imp.]],$D85,Imput[[PERIODO Imp.]:[PERIODO Imp.]],DA$9)</f>
        <v>0</v>
      </c>
      <c r="DB85" s="516">
        <f>SUMIFS(Imput[[Importe Neto]:[Importe Neto]],Imput[[C. Imp.]:[C. Imp.]],$D85,Imput[[PERIODO Imp.]:[PERIODO Imp.]],DB$9)</f>
        <v>0</v>
      </c>
      <c r="DC85" s="516">
        <f>SUMIFS(Imput[[Importe Neto]:[Importe Neto]],Imput[[C. Imp.]:[C. Imp.]],$D85,Imput[[PERIODO Imp.]:[PERIODO Imp.]],DC$9)</f>
        <v>0</v>
      </c>
      <c r="DD85" s="516">
        <f>SUMIFS(Imput[[Importe Neto]:[Importe Neto]],Imput[[C. Imp.]:[C. Imp.]],$D85,Imput[[PERIODO Imp.]:[PERIODO Imp.]],DD$9)</f>
        <v>0</v>
      </c>
      <c r="DE85" s="516">
        <f>SUMIFS(Imput[[Importe Neto]:[Importe Neto]],Imput[[C. Imp.]:[C. Imp.]],$D85,Imput[[PERIODO Imp.]:[PERIODO Imp.]],DE$9)</f>
        <v>0</v>
      </c>
      <c r="DF85" s="516">
        <f>SUMIFS(Imput[[Importe Neto]:[Importe Neto]],Imput[[C. Imp.]:[C. Imp.]],$D85,Imput[[PERIODO Imp.]:[PERIODO Imp.]],DF$9)</f>
        <v>0</v>
      </c>
      <c r="DG85" s="516">
        <f>SUMIFS(Imput[[Importe Neto]:[Importe Neto]],Imput[[C. Imp.]:[C. Imp.]],$D85,Imput[[PERIODO Imp.]:[PERIODO Imp.]],DG$9)</f>
        <v>0</v>
      </c>
      <c r="DH85" s="616">
        <f>SUMIFS(Imput[[Importe Neto]:[Importe Neto]],Imput[[C. Imp.]:[C. Imp.]],$D85,Imput[[PERIODO Imp.]:[PERIODO Imp.]],DH$9)</f>
        <v>0</v>
      </c>
    </row>
    <row r="86" spans="1:112" hidden="1" outlineLevel="1" x14ac:dyDescent="0.3">
      <c r="A86" s="66" t="str">
        <f t="shared" si="22"/>
        <v/>
      </c>
      <c r="C86" s="527"/>
      <c r="D86" s="528" t="s">
        <v>2198</v>
      </c>
      <c r="E86" s="528"/>
      <c r="F86" s="534"/>
      <c r="G86" s="529"/>
      <c r="H86" s="531"/>
      <c r="I86" s="849" t="str">
        <f t="shared" si="23"/>
        <v/>
      </c>
      <c r="J86" s="850" t="str">
        <f t="shared" si="24"/>
        <v/>
      </c>
      <c r="K86" s="70"/>
      <c r="L86" s="853"/>
      <c r="M86" s="855"/>
      <c r="N86" s="855"/>
      <c r="O86" s="855"/>
      <c r="P86" s="855"/>
      <c r="Q86" s="855"/>
      <c r="R86" s="855"/>
      <c r="S86" s="855"/>
      <c r="T86" s="855"/>
      <c r="U86" s="855"/>
      <c r="V86" s="855"/>
      <c r="W86" s="855"/>
      <c r="X86" s="855"/>
      <c r="Y86" s="855"/>
      <c r="Z86" s="856"/>
      <c r="AA86" s="856"/>
      <c r="AB86" s="856"/>
      <c r="AC86" s="856"/>
      <c r="AD86" s="856"/>
      <c r="AE86" s="856"/>
      <c r="AF86" s="856"/>
      <c r="AG86" s="856"/>
      <c r="AH86" s="856"/>
      <c r="AI86" s="856"/>
      <c r="AJ86" s="856"/>
      <c r="AK86" s="856"/>
      <c r="AL86" s="856"/>
      <c r="AM86" s="856"/>
      <c r="AN86" s="856"/>
      <c r="AO86" s="856"/>
      <c r="AP86" s="856"/>
      <c r="AQ86" s="856"/>
      <c r="AR86" s="856"/>
      <c r="AS86" s="856"/>
      <c r="AT86" s="856"/>
      <c r="AU86" s="856"/>
      <c r="AV86" s="856"/>
      <c r="AW86" s="856"/>
      <c r="AX86" s="856"/>
      <c r="AY86" s="856"/>
      <c r="AZ86" s="856"/>
      <c r="BA86" s="856"/>
      <c r="BB86" s="856"/>
      <c r="BC86" s="856"/>
      <c r="BD86" s="856"/>
      <c r="BE86" s="856"/>
      <c r="BF86" s="856"/>
      <c r="BG86" s="857"/>
      <c r="BH86" s="590"/>
      <c r="BI86" s="70"/>
      <c r="BJ86" s="518">
        <f t="shared" si="25"/>
        <v>0</v>
      </c>
      <c r="BK86" s="517">
        <f t="shared" si="26"/>
        <v>0</v>
      </c>
      <c r="BL86" s="68"/>
      <c r="BM86" s="515">
        <f>SUMIFS(Imput[[Importe Neto]:[Importe Neto]],Imput[[C. Imp.]:[C. Imp.]],$D86,Imput[[PERIODO Imp.]:[PERIODO Imp.]],BM$9)</f>
        <v>0</v>
      </c>
      <c r="BN86" s="516">
        <f>SUMIFS(Imput[[Importe Neto]:[Importe Neto]],Imput[[C. Imp.]:[C. Imp.]],$D86,Imput[[PERIODO Imp.]:[PERIODO Imp.]],BN$9)</f>
        <v>0</v>
      </c>
      <c r="BO86" s="516">
        <f>SUMIFS(Imput[[Importe Neto]:[Importe Neto]],Imput[[C. Imp.]:[C. Imp.]],$D86,Imput[[PERIODO Imp.]:[PERIODO Imp.]],BO$9)</f>
        <v>0</v>
      </c>
      <c r="BP86" s="516">
        <f>SUMIFS(Imput[[Importe Neto]:[Importe Neto]],Imput[[C. Imp.]:[C. Imp.]],$D86,Imput[[PERIODO Imp.]:[PERIODO Imp.]],BP$9)</f>
        <v>0</v>
      </c>
      <c r="BQ86" s="516">
        <f>SUMIFS(Imput[[Importe Neto]:[Importe Neto]],Imput[[C. Imp.]:[C. Imp.]],$D86,Imput[[PERIODO Imp.]:[PERIODO Imp.]],BQ$9)</f>
        <v>0</v>
      </c>
      <c r="BR86" s="516">
        <f>SUMIFS(Imput[[Importe Neto]:[Importe Neto]],Imput[[C. Imp.]:[C. Imp.]],$D86,Imput[[PERIODO Imp.]:[PERIODO Imp.]],BR$9)</f>
        <v>0</v>
      </c>
      <c r="BS86" s="516">
        <f>SUMIFS(Imput[[Importe Neto]:[Importe Neto]],Imput[[C. Imp.]:[C. Imp.]],$D86,Imput[[PERIODO Imp.]:[PERIODO Imp.]],BS$9)</f>
        <v>0</v>
      </c>
      <c r="BT86" s="516">
        <f>SUMIFS(Imput[[Importe Neto]:[Importe Neto]],Imput[[C. Imp.]:[C. Imp.]],$D86,Imput[[PERIODO Imp.]:[PERIODO Imp.]],BT$9)</f>
        <v>0</v>
      </c>
      <c r="BU86" s="516">
        <f>SUMIFS(Imput[[Importe Neto]:[Importe Neto]],Imput[[C. Imp.]:[C. Imp.]],$D86,Imput[[PERIODO Imp.]:[PERIODO Imp.]],BU$9)</f>
        <v>0</v>
      </c>
      <c r="BV86" s="516">
        <f>SUMIFS(Imput[[Importe Neto]:[Importe Neto]],Imput[[C. Imp.]:[C. Imp.]],$D86,Imput[[PERIODO Imp.]:[PERIODO Imp.]],BV$9)</f>
        <v>0</v>
      </c>
      <c r="BW86" s="516">
        <f>SUMIFS(Imput[[Importe Neto]:[Importe Neto]],Imput[[C. Imp.]:[C. Imp.]],$D86,Imput[[PERIODO Imp.]:[PERIODO Imp.]],BW$9)</f>
        <v>0</v>
      </c>
      <c r="BX86" s="516">
        <f>SUMIFS(Imput[[Importe Neto]:[Importe Neto]],Imput[[C. Imp.]:[C. Imp.]],$D86,Imput[[PERIODO Imp.]:[PERIODO Imp.]],BX$9)</f>
        <v>0</v>
      </c>
      <c r="BY86" s="516">
        <f>SUMIFS(Imput[[Importe Neto]:[Importe Neto]],Imput[[C. Imp.]:[C. Imp.]],$D86,Imput[[PERIODO Imp.]:[PERIODO Imp.]],BY$9)</f>
        <v>0</v>
      </c>
      <c r="BZ86" s="516">
        <f>SUMIFS(Imput[[Importe Neto]:[Importe Neto]],Imput[[C. Imp.]:[C. Imp.]],$D86,Imput[[PERIODO Imp.]:[PERIODO Imp.]],BZ$9)</f>
        <v>0</v>
      </c>
      <c r="CA86" s="516">
        <f>SUMIFS(Imput[[Importe Neto]:[Importe Neto]],Imput[[C. Imp.]:[C. Imp.]],$D86,Imput[[PERIODO Imp.]:[PERIODO Imp.]],CA$9)</f>
        <v>0</v>
      </c>
      <c r="CB86" s="516">
        <f>SUMIFS(Imput[[Importe Neto]:[Importe Neto]],Imput[[C. Imp.]:[C. Imp.]],$D86,Imput[[PERIODO Imp.]:[PERIODO Imp.]],CB$9)</f>
        <v>0</v>
      </c>
      <c r="CC86" s="516">
        <f>SUMIFS(Imput[[Importe Neto]:[Importe Neto]],Imput[[C. Imp.]:[C. Imp.]],$D86,Imput[[PERIODO Imp.]:[PERIODO Imp.]],CC$9)</f>
        <v>0</v>
      </c>
      <c r="CD86" s="516">
        <f>SUMIFS(Imput[[Importe Neto]:[Importe Neto]],Imput[[C. Imp.]:[C. Imp.]],$D86,Imput[[PERIODO Imp.]:[PERIODO Imp.]],CD$9)</f>
        <v>0</v>
      </c>
      <c r="CE86" s="516">
        <f>SUMIFS(Imput[[Importe Neto]:[Importe Neto]],Imput[[C. Imp.]:[C. Imp.]],$D86,Imput[[PERIODO Imp.]:[PERIODO Imp.]],CE$9)</f>
        <v>0</v>
      </c>
      <c r="CF86" s="516">
        <f>SUMIFS(Imput[[Importe Neto]:[Importe Neto]],Imput[[C. Imp.]:[C. Imp.]],$D86,Imput[[PERIODO Imp.]:[PERIODO Imp.]],CF$9)</f>
        <v>0</v>
      </c>
      <c r="CG86" s="516">
        <f>SUMIFS(Imput[[Importe Neto]:[Importe Neto]],Imput[[C. Imp.]:[C. Imp.]],$D86,Imput[[PERIODO Imp.]:[PERIODO Imp.]],CG$9)</f>
        <v>0</v>
      </c>
      <c r="CH86" s="516">
        <f>SUMIFS(Imput[[Importe Neto]:[Importe Neto]],Imput[[C. Imp.]:[C. Imp.]],$D86,Imput[[PERIODO Imp.]:[PERIODO Imp.]],CH$9)</f>
        <v>0</v>
      </c>
      <c r="CI86" s="516">
        <f>SUMIFS(Imput[[Importe Neto]:[Importe Neto]],Imput[[C. Imp.]:[C. Imp.]],$D86,Imput[[PERIODO Imp.]:[PERIODO Imp.]],CI$9)</f>
        <v>0</v>
      </c>
      <c r="CJ86" s="516">
        <f>SUMIFS(Imput[[Importe Neto]:[Importe Neto]],Imput[[C. Imp.]:[C. Imp.]],$D86,Imput[[PERIODO Imp.]:[PERIODO Imp.]],CJ$9)</f>
        <v>0</v>
      </c>
      <c r="CK86" s="516">
        <f>SUMIFS(Imput[[Importe Neto]:[Importe Neto]],Imput[[C. Imp.]:[C. Imp.]],$D86,Imput[[PERIODO Imp.]:[PERIODO Imp.]],CK$9)</f>
        <v>0</v>
      </c>
      <c r="CL86" s="516">
        <f>SUMIFS(Imput[[Importe Neto]:[Importe Neto]],Imput[[C. Imp.]:[C. Imp.]],$D86,Imput[[PERIODO Imp.]:[PERIODO Imp.]],CL$9)</f>
        <v>0</v>
      </c>
      <c r="CM86" s="516">
        <f>SUMIFS(Imput[[Importe Neto]:[Importe Neto]],Imput[[C. Imp.]:[C. Imp.]],$D86,Imput[[PERIODO Imp.]:[PERIODO Imp.]],CM$9)</f>
        <v>0</v>
      </c>
      <c r="CN86" s="516">
        <f>SUMIFS(Imput[[Importe Neto]:[Importe Neto]],Imput[[C. Imp.]:[C. Imp.]],$D86,Imput[[PERIODO Imp.]:[PERIODO Imp.]],CN$9)</f>
        <v>0</v>
      </c>
      <c r="CO86" s="516">
        <f>SUMIFS(Imput[[Importe Neto]:[Importe Neto]],Imput[[C. Imp.]:[C. Imp.]],$D86,Imput[[PERIODO Imp.]:[PERIODO Imp.]],CO$9)</f>
        <v>0</v>
      </c>
      <c r="CP86" s="516">
        <f>SUMIFS(Imput[[Importe Neto]:[Importe Neto]],Imput[[C. Imp.]:[C. Imp.]],$D86,Imput[[PERIODO Imp.]:[PERIODO Imp.]],CP$9)</f>
        <v>0</v>
      </c>
      <c r="CQ86" s="516">
        <f>SUMIFS(Imput[[Importe Neto]:[Importe Neto]],Imput[[C. Imp.]:[C. Imp.]],$D86,Imput[[PERIODO Imp.]:[PERIODO Imp.]],CQ$9)</f>
        <v>0</v>
      </c>
      <c r="CR86" s="516">
        <f>SUMIFS(Imput[[Importe Neto]:[Importe Neto]],Imput[[C. Imp.]:[C. Imp.]],$D86,Imput[[PERIODO Imp.]:[PERIODO Imp.]],CR$9)</f>
        <v>0</v>
      </c>
      <c r="CS86" s="516">
        <f>SUMIFS(Imput[[Importe Neto]:[Importe Neto]],Imput[[C. Imp.]:[C. Imp.]],$D86,Imput[[PERIODO Imp.]:[PERIODO Imp.]],CS$9)</f>
        <v>0</v>
      </c>
      <c r="CT86" s="516">
        <f>SUMIFS(Imput[[Importe Neto]:[Importe Neto]],Imput[[C. Imp.]:[C. Imp.]],$D86,Imput[[PERIODO Imp.]:[PERIODO Imp.]],CT$9)</f>
        <v>0</v>
      </c>
      <c r="CU86" s="516">
        <f>SUMIFS(Imput[[Importe Neto]:[Importe Neto]],Imput[[C. Imp.]:[C. Imp.]],$D86,Imput[[PERIODO Imp.]:[PERIODO Imp.]],CU$9)</f>
        <v>0</v>
      </c>
      <c r="CV86" s="516">
        <f>SUMIFS(Imput[[Importe Neto]:[Importe Neto]],Imput[[C. Imp.]:[C. Imp.]],$D86,Imput[[PERIODO Imp.]:[PERIODO Imp.]],CV$9)</f>
        <v>0</v>
      </c>
      <c r="CW86" s="516">
        <f>SUMIFS(Imput[[Importe Neto]:[Importe Neto]],Imput[[C. Imp.]:[C. Imp.]],$D86,Imput[[PERIODO Imp.]:[PERIODO Imp.]],CW$9)</f>
        <v>0</v>
      </c>
      <c r="CX86" s="516">
        <f>SUMIFS(Imput[[Importe Neto]:[Importe Neto]],Imput[[C. Imp.]:[C. Imp.]],$D86,Imput[[PERIODO Imp.]:[PERIODO Imp.]],CX$9)</f>
        <v>0</v>
      </c>
      <c r="CY86" s="516">
        <f>SUMIFS(Imput[[Importe Neto]:[Importe Neto]],Imput[[C. Imp.]:[C. Imp.]],$D86,Imput[[PERIODO Imp.]:[PERIODO Imp.]],CY$9)</f>
        <v>0</v>
      </c>
      <c r="CZ86" s="516">
        <f>SUMIFS(Imput[[Importe Neto]:[Importe Neto]],Imput[[C. Imp.]:[C. Imp.]],$D86,Imput[[PERIODO Imp.]:[PERIODO Imp.]],CZ$9)</f>
        <v>0</v>
      </c>
      <c r="DA86" s="516">
        <f>SUMIFS(Imput[[Importe Neto]:[Importe Neto]],Imput[[C. Imp.]:[C. Imp.]],$D86,Imput[[PERIODO Imp.]:[PERIODO Imp.]],DA$9)</f>
        <v>0</v>
      </c>
      <c r="DB86" s="516">
        <f>SUMIFS(Imput[[Importe Neto]:[Importe Neto]],Imput[[C. Imp.]:[C. Imp.]],$D86,Imput[[PERIODO Imp.]:[PERIODO Imp.]],DB$9)</f>
        <v>0</v>
      </c>
      <c r="DC86" s="516">
        <f>SUMIFS(Imput[[Importe Neto]:[Importe Neto]],Imput[[C. Imp.]:[C. Imp.]],$D86,Imput[[PERIODO Imp.]:[PERIODO Imp.]],DC$9)</f>
        <v>0</v>
      </c>
      <c r="DD86" s="516">
        <f>SUMIFS(Imput[[Importe Neto]:[Importe Neto]],Imput[[C. Imp.]:[C. Imp.]],$D86,Imput[[PERIODO Imp.]:[PERIODO Imp.]],DD$9)</f>
        <v>0</v>
      </c>
      <c r="DE86" s="516">
        <f>SUMIFS(Imput[[Importe Neto]:[Importe Neto]],Imput[[C. Imp.]:[C. Imp.]],$D86,Imput[[PERIODO Imp.]:[PERIODO Imp.]],DE$9)</f>
        <v>0</v>
      </c>
      <c r="DF86" s="516">
        <f>SUMIFS(Imput[[Importe Neto]:[Importe Neto]],Imput[[C. Imp.]:[C. Imp.]],$D86,Imput[[PERIODO Imp.]:[PERIODO Imp.]],DF$9)</f>
        <v>0</v>
      </c>
      <c r="DG86" s="516">
        <f>SUMIFS(Imput[[Importe Neto]:[Importe Neto]],Imput[[C. Imp.]:[C. Imp.]],$D86,Imput[[PERIODO Imp.]:[PERIODO Imp.]],DG$9)</f>
        <v>0</v>
      </c>
      <c r="DH86" s="616">
        <f>SUMIFS(Imput[[Importe Neto]:[Importe Neto]],Imput[[C. Imp.]:[C. Imp.]],$D86,Imput[[PERIODO Imp.]:[PERIODO Imp.]],DH$9)</f>
        <v>0</v>
      </c>
    </row>
    <row r="87" spans="1:112" hidden="1" outlineLevel="1" x14ac:dyDescent="0.3">
      <c r="A87" s="66" t="str">
        <f t="shared" si="22"/>
        <v/>
      </c>
      <c r="C87" s="527"/>
      <c r="D87" s="528" t="s">
        <v>2199</v>
      </c>
      <c r="E87" s="528"/>
      <c r="F87" s="534"/>
      <c r="G87" s="529"/>
      <c r="H87" s="531"/>
      <c r="I87" s="849" t="str">
        <f t="shared" si="23"/>
        <v/>
      </c>
      <c r="J87" s="850" t="str">
        <f t="shared" si="24"/>
        <v/>
      </c>
      <c r="K87" s="70"/>
      <c r="L87" s="853"/>
      <c r="M87" s="855"/>
      <c r="N87" s="855"/>
      <c r="O87" s="855"/>
      <c r="P87" s="855"/>
      <c r="Q87" s="855"/>
      <c r="R87" s="855"/>
      <c r="S87" s="855"/>
      <c r="T87" s="855"/>
      <c r="U87" s="855"/>
      <c r="V87" s="855"/>
      <c r="W87" s="855"/>
      <c r="X87" s="855"/>
      <c r="Y87" s="855"/>
      <c r="Z87" s="856"/>
      <c r="AA87" s="856"/>
      <c r="AB87" s="856"/>
      <c r="AC87" s="856"/>
      <c r="AD87" s="856"/>
      <c r="AE87" s="856"/>
      <c r="AF87" s="856"/>
      <c r="AG87" s="856"/>
      <c r="AH87" s="856"/>
      <c r="AI87" s="856"/>
      <c r="AJ87" s="856"/>
      <c r="AK87" s="856"/>
      <c r="AL87" s="856"/>
      <c r="AM87" s="856"/>
      <c r="AN87" s="856"/>
      <c r="AO87" s="856"/>
      <c r="AP87" s="856"/>
      <c r="AQ87" s="856"/>
      <c r="AR87" s="856"/>
      <c r="AS87" s="856"/>
      <c r="AT87" s="856"/>
      <c r="AU87" s="856"/>
      <c r="AV87" s="856"/>
      <c r="AW87" s="856"/>
      <c r="AX87" s="856"/>
      <c r="AY87" s="856"/>
      <c r="AZ87" s="856"/>
      <c r="BA87" s="856"/>
      <c r="BB87" s="856"/>
      <c r="BC87" s="856"/>
      <c r="BD87" s="856"/>
      <c r="BE87" s="856"/>
      <c r="BF87" s="856"/>
      <c r="BG87" s="857"/>
      <c r="BH87" s="590"/>
      <c r="BI87" s="70"/>
      <c r="BJ87" s="518">
        <f t="shared" si="25"/>
        <v>0</v>
      </c>
      <c r="BK87" s="517">
        <f t="shared" si="26"/>
        <v>0</v>
      </c>
      <c r="BL87" s="68"/>
      <c r="BM87" s="515">
        <f>SUMIFS(Imput[[Importe Neto]:[Importe Neto]],Imput[[C. Imp.]:[C. Imp.]],$D87,Imput[[PERIODO Imp.]:[PERIODO Imp.]],BM$9)</f>
        <v>0</v>
      </c>
      <c r="BN87" s="516">
        <f>SUMIFS(Imput[[Importe Neto]:[Importe Neto]],Imput[[C. Imp.]:[C. Imp.]],$D87,Imput[[PERIODO Imp.]:[PERIODO Imp.]],BN$9)</f>
        <v>0</v>
      </c>
      <c r="BO87" s="516">
        <f>SUMIFS(Imput[[Importe Neto]:[Importe Neto]],Imput[[C. Imp.]:[C. Imp.]],$D87,Imput[[PERIODO Imp.]:[PERIODO Imp.]],BO$9)</f>
        <v>0</v>
      </c>
      <c r="BP87" s="516">
        <f>SUMIFS(Imput[[Importe Neto]:[Importe Neto]],Imput[[C. Imp.]:[C. Imp.]],$D87,Imput[[PERIODO Imp.]:[PERIODO Imp.]],BP$9)</f>
        <v>0</v>
      </c>
      <c r="BQ87" s="516">
        <f>SUMIFS(Imput[[Importe Neto]:[Importe Neto]],Imput[[C. Imp.]:[C. Imp.]],$D87,Imput[[PERIODO Imp.]:[PERIODO Imp.]],BQ$9)</f>
        <v>0</v>
      </c>
      <c r="BR87" s="516">
        <f>SUMIFS(Imput[[Importe Neto]:[Importe Neto]],Imput[[C. Imp.]:[C. Imp.]],$D87,Imput[[PERIODO Imp.]:[PERIODO Imp.]],BR$9)</f>
        <v>0</v>
      </c>
      <c r="BS87" s="516">
        <f>SUMIFS(Imput[[Importe Neto]:[Importe Neto]],Imput[[C. Imp.]:[C. Imp.]],$D87,Imput[[PERIODO Imp.]:[PERIODO Imp.]],BS$9)</f>
        <v>0</v>
      </c>
      <c r="BT87" s="516">
        <f>SUMIFS(Imput[[Importe Neto]:[Importe Neto]],Imput[[C. Imp.]:[C. Imp.]],$D87,Imput[[PERIODO Imp.]:[PERIODO Imp.]],BT$9)</f>
        <v>0</v>
      </c>
      <c r="BU87" s="516">
        <f>SUMIFS(Imput[[Importe Neto]:[Importe Neto]],Imput[[C. Imp.]:[C. Imp.]],$D87,Imput[[PERIODO Imp.]:[PERIODO Imp.]],BU$9)</f>
        <v>0</v>
      </c>
      <c r="BV87" s="516">
        <f>SUMIFS(Imput[[Importe Neto]:[Importe Neto]],Imput[[C. Imp.]:[C. Imp.]],$D87,Imput[[PERIODO Imp.]:[PERIODO Imp.]],BV$9)</f>
        <v>0</v>
      </c>
      <c r="BW87" s="516">
        <f>SUMIFS(Imput[[Importe Neto]:[Importe Neto]],Imput[[C. Imp.]:[C. Imp.]],$D87,Imput[[PERIODO Imp.]:[PERIODO Imp.]],BW$9)</f>
        <v>0</v>
      </c>
      <c r="BX87" s="516">
        <f>SUMIFS(Imput[[Importe Neto]:[Importe Neto]],Imput[[C. Imp.]:[C. Imp.]],$D87,Imput[[PERIODO Imp.]:[PERIODO Imp.]],BX$9)</f>
        <v>0</v>
      </c>
      <c r="BY87" s="516">
        <f>SUMIFS(Imput[[Importe Neto]:[Importe Neto]],Imput[[C. Imp.]:[C. Imp.]],$D87,Imput[[PERIODO Imp.]:[PERIODO Imp.]],BY$9)</f>
        <v>0</v>
      </c>
      <c r="BZ87" s="516">
        <f>SUMIFS(Imput[[Importe Neto]:[Importe Neto]],Imput[[C. Imp.]:[C. Imp.]],$D87,Imput[[PERIODO Imp.]:[PERIODO Imp.]],BZ$9)</f>
        <v>0</v>
      </c>
      <c r="CA87" s="516">
        <f>SUMIFS(Imput[[Importe Neto]:[Importe Neto]],Imput[[C. Imp.]:[C. Imp.]],$D87,Imput[[PERIODO Imp.]:[PERIODO Imp.]],CA$9)</f>
        <v>0</v>
      </c>
      <c r="CB87" s="516">
        <f>SUMIFS(Imput[[Importe Neto]:[Importe Neto]],Imput[[C. Imp.]:[C. Imp.]],$D87,Imput[[PERIODO Imp.]:[PERIODO Imp.]],CB$9)</f>
        <v>0</v>
      </c>
      <c r="CC87" s="516">
        <f>SUMIFS(Imput[[Importe Neto]:[Importe Neto]],Imput[[C. Imp.]:[C. Imp.]],$D87,Imput[[PERIODO Imp.]:[PERIODO Imp.]],CC$9)</f>
        <v>0</v>
      </c>
      <c r="CD87" s="516">
        <f>SUMIFS(Imput[[Importe Neto]:[Importe Neto]],Imput[[C. Imp.]:[C. Imp.]],$D87,Imput[[PERIODO Imp.]:[PERIODO Imp.]],CD$9)</f>
        <v>0</v>
      </c>
      <c r="CE87" s="516">
        <f>SUMIFS(Imput[[Importe Neto]:[Importe Neto]],Imput[[C. Imp.]:[C. Imp.]],$D87,Imput[[PERIODO Imp.]:[PERIODO Imp.]],CE$9)</f>
        <v>0</v>
      </c>
      <c r="CF87" s="516">
        <f>SUMIFS(Imput[[Importe Neto]:[Importe Neto]],Imput[[C. Imp.]:[C. Imp.]],$D87,Imput[[PERIODO Imp.]:[PERIODO Imp.]],CF$9)</f>
        <v>0</v>
      </c>
      <c r="CG87" s="516">
        <f>SUMIFS(Imput[[Importe Neto]:[Importe Neto]],Imput[[C. Imp.]:[C. Imp.]],$D87,Imput[[PERIODO Imp.]:[PERIODO Imp.]],CG$9)</f>
        <v>0</v>
      </c>
      <c r="CH87" s="516">
        <f>SUMIFS(Imput[[Importe Neto]:[Importe Neto]],Imput[[C. Imp.]:[C. Imp.]],$D87,Imput[[PERIODO Imp.]:[PERIODO Imp.]],CH$9)</f>
        <v>0</v>
      </c>
      <c r="CI87" s="516">
        <f>SUMIFS(Imput[[Importe Neto]:[Importe Neto]],Imput[[C. Imp.]:[C. Imp.]],$D87,Imput[[PERIODO Imp.]:[PERIODO Imp.]],CI$9)</f>
        <v>0</v>
      </c>
      <c r="CJ87" s="516">
        <f>SUMIFS(Imput[[Importe Neto]:[Importe Neto]],Imput[[C. Imp.]:[C. Imp.]],$D87,Imput[[PERIODO Imp.]:[PERIODO Imp.]],CJ$9)</f>
        <v>0</v>
      </c>
      <c r="CK87" s="516">
        <f>SUMIFS(Imput[[Importe Neto]:[Importe Neto]],Imput[[C. Imp.]:[C. Imp.]],$D87,Imput[[PERIODO Imp.]:[PERIODO Imp.]],CK$9)</f>
        <v>0</v>
      </c>
      <c r="CL87" s="516">
        <f>SUMIFS(Imput[[Importe Neto]:[Importe Neto]],Imput[[C. Imp.]:[C. Imp.]],$D87,Imput[[PERIODO Imp.]:[PERIODO Imp.]],CL$9)</f>
        <v>0</v>
      </c>
      <c r="CM87" s="516">
        <f>SUMIFS(Imput[[Importe Neto]:[Importe Neto]],Imput[[C. Imp.]:[C. Imp.]],$D87,Imput[[PERIODO Imp.]:[PERIODO Imp.]],CM$9)</f>
        <v>0</v>
      </c>
      <c r="CN87" s="516">
        <f>SUMIFS(Imput[[Importe Neto]:[Importe Neto]],Imput[[C. Imp.]:[C. Imp.]],$D87,Imput[[PERIODO Imp.]:[PERIODO Imp.]],CN$9)</f>
        <v>0</v>
      </c>
      <c r="CO87" s="516">
        <f>SUMIFS(Imput[[Importe Neto]:[Importe Neto]],Imput[[C. Imp.]:[C. Imp.]],$D87,Imput[[PERIODO Imp.]:[PERIODO Imp.]],CO$9)</f>
        <v>0</v>
      </c>
      <c r="CP87" s="516">
        <f>SUMIFS(Imput[[Importe Neto]:[Importe Neto]],Imput[[C. Imp.]:[C. Imp.]],$D87,Imput[[PERIODO Imp.]:[PERIODO Imp.]],CP$9)</f>
        <v>0</v>
      </c>
      <c r="CQ87" s="516">
        <f>SUMIFS(Imput[[Importe Neto]:[Importe Neto]],Imput[[C. Imp.]:[C. Imp.]],$D87,Imput[[PERIODO Imp.]:[PERIODO Imp.]],CQ$9)</f>
        <v>0</v>
      </c>
      <c r="CR87" s="516">
        <f>SUMIFS(Imput[[Importe Neto]:[Importe Neto]],Imput[[C. Imp.]:[C. Imp.]],$D87,Imput[[PERIODO Imp.]:[PERIODO Imp.]],CR$9)</f>
        <v>0</v>
      </c>
      <c r="CS87" s="516">
        <f>SUMIFS(Imput[[Importe Neto]:[Importe Neto]],Imput[[C. Imp.]:[C. Imp.]],$D87,Imput[[PERIODO Imp.]:[PERIODO Imp.]],CS$9)</f>
        <v>0</v>
      </c>
      <c r="CT87" s="516">
        <f>SUMIFS(Imput[[Importe Neto]:[Importe Neto]],Imput[[C. Imp.]:[C. Imp.]],$D87,Imput[[PERIODO Imp.]:[PERIODO Imp.]],CT$9)</f>
        <v>0</v>
      </c>
      <c r="CU87" s="516">
        <f>SUMIFS(Imput[[Importe Neto]:[Importe Neto]],Imput[[C. Imp.]:[C. Imp.]],$D87,Imput[[PERIODO Imp.]:[PERIODO Imp.]],CU$9)</f>
        <v>0</v>
      </c>
      <c r="CV87" s="516">
        <f>SUMIFS(Imput[[Importe Neto]:[Importe Neto]],Imput[[C. Imp.]:[C. Imp.]],$D87,Imput[[PERIODO Imp.]:[PERIODO Imp.]],CV$9)</f>
        <v>0</v>
      </c>
      <c r="CW87" s="516">
        <f>SUMIFS(Imput[[Importe Neto]:[Importe Neto]],Imput[[C. Imp.]:[C. Imp.]],$D87,Imput[[PERIODO Imp.]:[PERIODO Imp.]],CW$9)</f>
        <v>0</v>
      </c>
      <c r="CX87" s="516">
        <f>SUMIFS(Imput[[Importe Neto]:[Importe Neto]],Imput[[C. Imp.]:[C. Imp.]],$D87,Imput[[PERIODO Imp.]:[PERIODO Imp.]],CX$9)</f>
        <v>0</v>
      </c>
      <c r="CY87" s="516">
        <f>SUMIFS(Imput[[Importe Neto]:[Importe Neto]],Imput[[C. Imp.]:[C. Imp.]],$D87,Imput[[PERIODO Imp.]:[PERIODO Imp.]],CY$9)</f>
        <v>0</v>
      </c>
      <c r="CZ87" s="516">
        <f>SUMIFS(Imput[[Importe Neto]:[Importe Neto]],Imput[[C. Imp.]:[C. Imp.]],$D87,Imput[[PERIODO Imp.]:[PERIODO Imp.]],CZ$9)</f>
        <v>0</v>
      </c>
      <c r="DA87" s="516">
        <f>SUMIFS(Imput[[Importe Neto]:[Importe Neto]],Imput[[C. Imp.]:[C. Imp.]],$D87,Imput[[PERIODO Imp.]:[PERIODO Imp.]],DA$9)</f>
        <v>0</v>
      </c>
      <c r="DB87" s="516">
        <f>SUMIFS(Imput[[Importe Neto]:[Importe Neto]],Imput[[C. Imp.]:[C. Imp.]],$D87,Imput[[PERIODO Imp.]:[PERIODO Imp.]],DB$9)</f>
        <v>0</v>
      </c>
      <c r="DC87" s="516">
        <f>SUMIFS(Imput[[Importe Neto]:[Importe Neto]],Imput[[C. Imp.]:[C. Imp.]],$D87,Imput[[PERIODO Imp.]:[PERIODO Imp.]],DC$9)</f>
        <v>0</v>
      </c>
      <c r="DD87" s="516">
        <f>SUMIFS(Imput[[Importe Neto]:[Importe Neto]],Imput[[C. Imp.]:[C. Imp.]],$D87,Imput[[PERIODO Imp.]:[PERIODO Imp.]],DD$9)</f>
        <v>0</v>
      </c>
      <c r="DE87" s="516">
        <f>SUMIFS(Imput[[Importe Neto]:[Importe Neto]],Imput[[C. Imp.]:[C. Imp.]],$D87,Imput[[PERIODO Imp.]:[PERIODO Imp.]],DE$9)</f>
        <v>0</v>
      </c>
      <c r="DF87" s="516">
        <f>SUMIFS(Imput[[Importe Neto]:[Importe Neto]],Imput[[C. Imp.]:[C. Imp.]],$D87,Imput[[PERIODO Imp.]:[PERIODO Imp.]],DF$9)</f>
        <v>0</v>
      </c>
      <c r="DG87" s="516">
        <f>SUMIFS(Imput[[Importe Neto]:[Importe Neto]],Imput[[C. Imp.]:[C. Imp.]],$D87,Imput[[PERIODO Imp.]:[PERIODO Imp.]],DG$9)</f>
        <v>0</v>
      </c>
      <c r="DH87" s="616">
        <f>SUMIFS(Imput[[Importe Neto]:[Importe Neto]],Imput[[C. Imp.]:[C. Imp.]],$D87,Imput[[PERIODO Imp.]:[PERIODO Imp.]],DH$9)</f>
        <v>0</v>
      </c>
    </row>
    <row r="88" spans="1:112" hidden="1" outlineLevel="1" x14ac:dyDescent="0.3">
      <c r="A88" s="66" t="str">
        <f t="shared" si="22"/>
        <v/>
      </c>
      <c r="C88" s="527"/>
      <c r="D88" s="528" t="s">
        <v>2200</v>
      </c>
      <c r="E88" s="528"/>
      <c r="F88" s="534"/>
      <c r="G88" s="529"/>
      <c r="H88" s="531"/>
      <c r="I88" s="849" t="str">
        <f t="shared" si="23"/>
        <v/>
      </c>
      <c r="J88" s="850" t="str">
        <f t="shared" si="24"/>
        <v/>
      </c>
      <c r="K88" s="70"/>
      <c r="L88" s="853"/>
      <c r="M88" s="855"/>
      <c r="N88" s="855"/>
      <c r="O88" s="855"/>
      <c r="P88" s="855"/>
      <c r="Q88" s="855"/>
      <c r="R88" s="855"/>
      <c r="S88" s="855"/>
      <c r="T88" s="855"/>
      <c r="U88" s="855"/>
      <c r="V88" s="855"/>
      <c r="W88" s="855"/>
      <c r="X88" s="855"/>
      <c r="Y88" s="855"/>
      <c r="Z88" s="856"/>
      <c r="AA88" s="856"/>
      <c r="AB88" s="856"/>
      <c r="AC88" s="856"/>
      <c r="AD88" s="856"/>
      <c r="AE88" s="856"/>
      <c r="AF88" s="856"/>
      <c r="AG88" s="856"/>
      <c r="AH88" s="856"/>
      <c r="AI88" s="856"/>
      <c r="AJ88" s="856"/>
      <c r="AK88" s="856"/>
      <c r="AL88" s="856"/>
      <c r="AM88" s="856"/>
      <c r="AN88" s="856"/>
      <c r="AO88" s="856"/>
      <c r="AP88" s="856"/>
      <c r="AQ88" s="856"/>
      <c r="AR88" s="856"/>
      <c r="AS88" s="856"/>
      <c r="AT88" s="856"/>
      <c r="AU88" s="856"/>
      <c r="AV88" s="856"/>
      <c r="AW88" s="856"/>
      <c r="AX88" s="856"/>
      <c r="AY88" s="856"/>
      <c r="AZ88" s="856"/>
      <c r="BA88" s="856"/>
      <c r="BB88" s="856"/>
      <c r="BC88" s="856"/>
      <c r="BD88" s="856"/>
      <c r="BE88" s="856"/>
      <c r="BF88" s="856"/>
      <c r="BG88" s="857"/>
      <c r="BH88" s="590"/>
      <c r="BI88" s="70"/>
      <c r="BJ88" s="518">
        <f t="shared" si="25"/>
        <v>0</v>
      </c>
      <c r="BK88" s="517">
        <f t="shared" si="26"/>
        <v>0</v>
      </c>
      <c r="BL88" s="68"/>
      <c r="BM88" s="515">
        <f>SUMIFS(Imput[[Importe Neto]:[Importe Neto]],Imput[[C. Imp.]:[C. Imp.]],$D88,Imput[[PERIODO Imp.]:[PERIODO Imp.]],BM$9)</f>
        <v>0</v>
      </c>
      <c r="BN88" s="516">
        <f>SUMIFS(Imput[[Importe Neto]:[Importe Neto]],Imput[[C. Imp.]:[C. Imp.]],$D88,Imput[[PERIODO Imp.]:[PERIODO Imp.]],BN$9)</f>
        <v>0</v>
      </c>
      <c r="BO88" s="516">
        <f>SUMIFS(Imput[[Importe Neto]:[Importe Neto]],Imput[[C. Imp.]:[C. Imp.]],$D88,Imput[[PERIODO Imp.]:[PERIODO Imp.]],BO$9)</f>
        <v>0</v>
      </c>
      <c r="BP88" s="516">
        <f>SUMIFS(Imput[[Importe Neto]:[Importe Neto]],Imput[[C. Imp.]:[C. Imp.]],$D88,Imput[[PERIODO Imp.]:[PERIODO Imp.]],BP$9)</f>
        <v>0</v>
      </c>
      <c r="BQ88" s="516">
        <f>SUMIFS(Imput[[Importe Neto]:[Importe Neto]],Imput[[C. Imp.]:[C. Imp.]],$D88,Imput[[PERIODO Imp.]:[PERIODO Imp.]],BQ$9)</f>
        <v>0</v>
      </c>
      <c r="BR88" s="516">
        <f>SUMIFS(Imput[[Importe Neto]:[Importe Neto]],Imput[[C. Imp.]:[C. Imp.]],$D88,Imput[[PERIODO Imp.]:[PERIODO Imp.]],BR$9)</f>
        <v>0</v>
      </c>
      <c r="BS88" s="516">
        <f>SUMIFS(Imput[[Importe Neto]:[Importe Neto]],Imput[[C. Imp.]:[C. Imp.]],$D88,Imput[[PERIODO Imp.]:[PERIODO Imp.]],BS$9)</f>
        <v>0</v>
      </c>
      <c r="BT88" s="516">
        <f>SUMIFS(Imput[[Importe Neto]:[Importe Neto]],Imput[[C. Imp.]:[C. Imp.]],$D88,Imput[[PERIODO Imp.]:[PERIODO Imp.]],BT$9)</f>
        <v>0</v>
      </c>
      <c r="BU88" s="516">
        <f>SUMIFS(Imput[[Importe Neto]:[Importe Neto]],Imput[[C. Imp.]:[C. Imp.]],$D88,Imput[[PERIODO Imp.]:[PERIODO Imp.]],BU$9)</f>
        <v>0</v>
      </c>
      <c r="BV88" s="516">
        <f>SUMIFS(Imput[[Importe Neto]:[Importe Neto]],Imput[[C. Imp.]:[C. Imp.]],$D88,Imput[[PERIODO Imp.]:[PERIODO Imp.]],BV$9)</f>
        <v>0</v>
      </c>
      <c r="BW88" s="516">
        <f>SUMIFS(Imput[[Importe Neto]:[Importe Neto]],Imput[[C. Imp.]:[C. Imp.]],$D88,Imput[[PERIODO Imp.]:[PERIODO Imp.]],BW$9)</f>
        <v>0</v>
      </c>
      <c r="BX88" s="516">
        <f>SUMIFS(Imput[[Importe Neto]:[Importe Neto]],Imput[[C. Imp.]:[C. Imp.]],$D88,Imput[[PERIODO Imp.]:[PERIODO Imp.]],BX$9)</f>
        <v>0</v>
      </c>
      <c r="BY88" s="516">
        <f>SUMIFS(Imput[[Importe Neto]:[Importe Neto]],Imput[[C. Imp.]:[C. Imp.]],$D88,Imput[[PERIODO Imp.]:[PERIODO Imp.]],BY$9)</f>
        <v>0</v>
      </c>
      <c r="BZ88" s="516">
        <f>SUMIFS(Imput[[Importe Neto]:[Importe Neto]],Imput[[C. Imp.]:[C. Imp.]],$D88,Imput[[PERIODO Imp.]:[PERIODO Imp.]],BZ$9)</f>
        <v>0</v>
      </c>
      <c r="CA88" s="516">
        <f>SUMIFS(Imput[[Importe Neto]:[Importe Neto]],Imput[[C. Imp.]:[C. Imp.]],$D88,Imput[[PERIODO Imp.]:[PERIODO Imp.]],CA$9)</f>
        <v>0</v>
      </c>
      <c r="CB88" s="516">
        <f>SUMIFS(Imput[[Importe Neto]:[Importe Neto]],Imput[[C. Imp.]:[C. Imp.]],$D88,Imput[[PERIODO Imp.]:[PERIODO Imp.]],CB$9)</f>
        <v>0</v>
      </c>
      <c r="CC88" s="516">
        <f>SUMIFS(Imput[[Importe Neto]:[Importe Neto]],Imput[[C. Imp.]:[C. Imp.]],$D88,Imput[[PERIODO Imp.]:[PERIODO Imp.]],CC$9)</f>
        <v>0</v>
      </c>
      <c r="CD88" s="516">
        <f>SUMIFS(Imput[[Importe Neto]:[Importe Neto]],Imput[[C. Imp.]:[C. Imp.]],$D88,Imput[[PERIODO Imp.]:[PERIODO Imp.]],CD$9)</f>
        <v>0</v>
      </c>
      <c r="CE88" s="516">
        <f>SUMIFS(Imput[[Importe Neto]:[Importe Neto]],Imput[[C. Imp.]:[C. Imp.]],$D88,Imput[[PERIODO Imp.]:[PERIODO Imp.]],CE$9)</f>
        <v>0</v>
      </c>
      <c r="CF88" s="516">
        <f>SUMIFS(Imput[[Importe Neto]:[Importe Neto]],Imput[[C. Imp.]:[C. Imp.]],$D88,Imput[[PERIODO Imp.]:[PERIODO Imp.]],CF$9)</f>
        <v>0</v>
      </c>
      <c r="CG88" s="516">
        <f>SUMIFS(Imput[[Importe Neto]:[Importe Neto]],Imput[[C. Imp.]:[C. Imp.]],$D88,Imput[[PERIODO Imp.]:[PERIODO Imp.]],CG$9)</f>
        <v>0</v>
      </c>
      <c r="CH88" s="516">
        <f>SUMIFS(Imput[[Importe Neto]:[Importe Neto]],Imput[[C. Imp.]:[C. Imp.]],$D88,Imput[[PERIODO Imp.]:[PERIODO Imp.]],CH$9)</f>
        <v>0</v>
      </c>
      <c r="CI88" s="516">
        <f>SUMIFS(Imput[[Importe Neto]:[Importe Neto]],Imput[[C. Imp.]:[C. Imp.]],$D88,Imput[[PERIODO Imp.]:[PERIODO Imp.]],CI$9)</f>
        <v>0</v>
      </c>
      <c r="CJ88" s="516">
        <f>SUMIFS(Imput[[Importe Neto]:[Importe Neto]],Imput[[C. Imp.]:[C. Imp.]],$D88,Imput[[PERIODO Imp.]:[PERIODO Imp.]],CJ$9)</f>
        <v>0</v>
      </c>
      <c r="CK88" s="516">
        <f>SUMIFS(Imput[[Importe Neto]:[Importe Neto]],Imput[[C. Imp.]:[C. Imp.]],$D88,Imput[[PERIODO Imp.]:[PERIODO Imp.]],CK$9)</f>
        <v>0</v>
      </c>
      <c r="CL88" s="516">
        <f>SUMIFS(Imput[[Importe Neto]:[Importe Neto]],Imput[[C. Imp.]:[C. Imp.]],$D88,Imput[[PERIODO Imp.]:[PERIODO Imp.]],CL$9)</f>
        <v>0</v>
      </c>
      <c r="CM88" s="516">
        <f>SUMIFS(Imput[[Importe Neto]:[Importe Neto]],Imput[[C. Imp.]:[C. Imp.]],$D88,Imput[[PERIODO Imp.]:[PERIODO Imp.]],CM$9)</f>
        <v>0</v>
      </c>
      <c r="CN88" s="516">
        <f>SUMIFS(Imput[[Importe Neto]:[Importe Neto]],Imput[[C. Imp.]:[C. Imp.]],$D88,Imput[[PERIODO Imp.]:[PERIODO Imp.]],CN$9)</f>
        <v>0</v>
      </c>
      <c r="CO88" s="516">
        <f>SUMIFS(Imput[[Importe Neto]:[Importe Neto]],Imput[[C. Imp.]:[C. Imp.]],$D88,Imput[[PERIODO Imp.]:[PERIODO Imp.]],CO$9)</f>
        <v>0</v>
      </c>
      <c r="CP88" s="516">
        <f>SUMIFS(Imput[[Importe Neto]:[Importe Neto]],Imput[[C. Imp.]:[C. Imp.]],$D88,Imput[[PERIODO Imp.]:[PERIODO Imp.]],CP$9)</f>
        <v>0</v>
      </c>
      <c r="CQ88" s="516">
        <f>SUMIFS(Imput[[Importe Neto]:[Importe Neto]],Imput[[C. Imp.]:[C. Imp.]],$D88,Imput[[PERIODO Imp.]:[PERIODO Imp.]],CQ$9)</f>
        <v>0</v>
      </c>
      <c r="CR88" s="516">
        <f>SUMIFS(Imput[[Importe Neto]:[Importe Neto]],Imput[[C. Imp.]:[C. Imp.]],$D88,Imput[[PERIODO Imp.]:[PERIODO Imp.]],CR$9)</f>
        <v>0</v>
      </c>
      <c r="CS88" s="516">
        <f>SUMIFS(Imput[[Importe Neto]:[Importe Neto]],Imput[[C. Imp.]:[C. Imp.]],$D88,Imput[[PERIODO Imp.]:[PERIODO Imp.]],CS$9)</f>
        <v>0</v>
      </c>
      <c r="CT88" s="516">
        <f>SUMIFS(Imput[[Importe Neto]:[Importe Neto]],Imput[[C. Imp.]:[C. Imp.]],$D88,Imput[[PERIODO Imp.]:[PERIODO Imp.]],CT$9)</f>
        <v>0</v>
      </c>
      <c r="CU88" s="516">
        <f>SUMIFS(Imput[[Importe Neto]:[Importe Neto]],Imput[[C. Imp.]:[C. Imp.]],$D88,Imput[[PERIODO Imp.]:[PERIODO Imp.]],CU$9)</f>
        <v>0</v>
      </c>
      <c r="CV88" s="516">
        <f>SUMIFS(Imput[[Importe Neto]:[Importe Neto]],Imput[[C. Imp.]:[C. Imp.]],$D88,Imput[[PERIODO Imp.]:[PERIODO Imp.]],CV$9)</f>
        <v>0</v>
      </c>
      <c r="CW88" s="516">
        <f>SUMIFS(Imput[[Importe Neto]:[Importe Neto]],Imput[[C. Imp.]:[C. Imp.]],$D88,Imput[[PERIODO Imp.]:[PERIODO Imp.]],CW$9)</f>
        <v>0</v>
      </c>
      <c r="CX88" s="516">
        <f>SUMIFS(Imput[[Importe Neto]:[Importe Neto]],Imput[[C. Imp.]:[C. Imp.]],$D88,Imput[[PERIODO Imp.]:[PERIODO Imp.]],CX$9)</f>
        <v>0</v>
      </c>
      <c r="CY88" s="516">
        <f>SUMIFS(Imput[[Importe Neto]:[Importe Neto]],Imput[[C. Imp.]:[C. Imp.]],$D88,Imput[[PERIODO Imp.]:[PERIODO Imp.]],CY$9)</f>
        <v>0</v>
      </c>
      <c r="CZ88" s="516">
        <f>SUMIFS(Imput[[Importe Neto]:[Importe Neto]],Imput[[C. Imp.]:[C. Imp.]],$D88,Imput[[PERIODO Imp.]:[PERIODO Imp.]],CZ$9)</f>
        <v>0</v>
      </c>
      <c r="DA88" s="516">
        <f>SUMIFS(Imput[[Importe Neto]:[Importe Neto]],Imput[[C. Imp.]:[C. Imp.]],$D88,Imput[[PERIODO Imp.]:[PERIODO Imp.]],DA$9)</f>
        <v>0</v>
      </c>
      <c r="DB88" s="516">
        <f>SUMIFS(Imput[[Importe Neto]:[Importe Neto]],Imput[[C. Imp.]:[C. Imp.]],$D88,Imput[[PERIODO Imp.]:[PERIODO Imp.]],DB$9)</f>
        <v>0</v>
      </c>
      <c r="DC88" s="516">
        <f>SUMIFS(Imput[[Importe Neto]:[Importe Neto]],Imput[[C. Imp.]:[C. Imp.]],$D88,Imput[[PERIODO Imp.]:[PERIODO Imp.]],DC$9)</f>
        <v>0</v>
      </c>
      <c r="DD88" s="516">
        <f>SUMIFS(Imput[[Importe Neto]:[Importe Neto]],Imput[[C. Imp.]:[C. Imp.]],$D88,Imput[[PERIODO Imp.]:[PERIODO Imp.]],DD$9)</f>
        <v>0</v>
      </c>
      <c r="DE88" s="516">
        <f>SUMIFS(Imput[[Importe Neto]:[Importe Neto]],Imput[[C. Imp.]:[C. Imp.]],$D88,Imput[[PERIODO Imp.]:[PERIODO Imp.]],DE$9)</f>
        <v>0</v>
      </c>
      <c r="DF88" s="516">
        <f>SUMIFS(Imput[[Importe Neto]:[Importe Neto]],Imput[[C. Imp.]:[C. Imp.]],$D88,Imput[[PERIODO Imp.]:[PERIODO Imp.]],DF$9)</f>
        <v>0</v>
      </c>
      <c r="DG88" s="516">
        <f>SUMIFS(Imput[[Importe Neto]:[Importe Neto]],Imput[[C. Imp.]:[C. Imp.]],$D88,Imput[[PERIODO Imp.]:[PERIODO Imp.]],DG$9)</f>
        <v>0</v>
      </c>
      <c r="DH88" s="616">
        <f>SUMIFS(Imput[[Importe Neto]:[Importe Neto]],Imput[[C. Imp.]:[C. Imp.]],$D88,Imput[[PERIODO Imp.]:[PERIODO Imp.]],DH$9)</f>
        <v>0</v>
      </c>
    </row>
    <row r="89" spans="1:112" hidden="1" outlineLevel="1" x14ac:dyDescent="0.3">
      <c r="A89" s="66" t="str">
        <f t="shared" si="22"/>
        <v/>
      </c>
      <c r="C89" s="527"/>
      <c r="D89" s="528" t="s">
        <v>2201</v>
      </c>
      <c r="E89" s="528"/>
      <c r="F89" s="534"/>
      <c r="G89" s="529"/>
      <c r="H89" s="531"/>
      <c r="I89" s="849" t="str">
        <f t="shared" si="23"/>
        <v/>
      </c>
      <c r="J89" s="850" t="str">
        <f t="shared" si="24"/>
        <v/>
      </c>
      <c r="K89" s="70"/>
      <c r="L89" s="853"/>
      <c r="M89" s="855"/>
      <c r="N89" s="855"/>
      <c r="O89" s="855"/>
      <c r="P89" s="855"/>
      <c r="Q89" s="855"/>
      <c r="R89" s="855"/>
      <c r="S89" s="855"/>
      <c r="T89" s="855"/>
      <c r="U89" s="855"/>
      <c r="V89" s="855"/>
      <c r="W89" s="855"/>
      <c r="X89" s="855"/>
      <c r="Y89" s="855"/>
      <c r="Z89" s="856"/>
      <c r="AA89" s="856"/>
      <c r="AB89" s="856"/>
      <c r="AC89" s="856"/>
      <c r="AD89" s="856"/>
      <c r="AE89" s="856"/>
      <c r="AF89" s="856"/>
      <c r="AG89" s="856"/>
      <c r="AH89" s="856"/>
      <c r="AI89" s="856"/>
      <c r="AJ89" s="856"/>
      <c r="AK89" s="856"/>
      <c r="AL89" s="856"/>
      <c r="AM89" s="856"/>
      <c r="AN89" s="856"/>
      <c r="AO89" s="856"/>
      <c r="AP89" s="856"/>
      <c r="AQ89" s="856"/>
      <c r="AR89" s="856"/>
      <c r="AS89" s="856"/>
      <c r="AT89" s="856"/>
      <c r="AU89" s="856"/>
      <c r="AV89" s="856"/>
      <c r="AW89" s="856"/>
      <c r="AX89" s="856"/>
      <c r="AY89" s="856"/>
      <c r="AZ89" s="856"/>
      <c r="BA89" s="856"/>
      <c r="BB89" s="856"/>
      <c r="BC89" s="856"/>
      <c r="BD89" s="856"/>
      <c r="BE89" s="856"/>
      <c r="BF89" s="856"/>
      <c r="BG89" s="857"/>
      <c r="BH89" s="590"/>
      <c r="BI89" s="70"/>
      <c r="BJ89" s="518">
        <f t="shared" si="25"/>
        <v>0</v>
      </c>
      <c r="BK89" s="517">
        <f t="shared" si="26"/>
        <v>0</v>
      </c>
      <c r="BL89" s="68"/>
      <c r="BM89" s="515">
        <f>SUMIFS(Imput[[Importe Neto]:[Importe Neto]],Imput[[C. Imp.]:[C. Imp.]],$D89,Imput[[PERIODO Imp.]:[PERIODO Imp.]],BM$9)</f>
        <v>0</v>
      </c>
      <c r="BN89" s="516">
        <f>SUMIFS(Imput[[Importe Neto]:[Importe Neto]],Imput[[C. Imp.]:[C. Imp.]],$D89,Imput[[PERIODO Imp.]:[PERIODO Imp.]],BN$9)</f>
        <v>0</v>
      </c>
      <c r="BO89" s="516">
        <f>SUMIFS(Imput[[Importe Neto]:[Importe Neto]],Imput[[C. Imp.]:[C. Imp.]],$D89,Imput[[PERIODO Imp.]:[PERIODO Imp.]],BO$9)</f>
        <v>0</v>
      </c>
      <c r="BP89" s="516">
        <f>SUMIFS(Imput[[Importe Neto]:[Importe Neto]],Imput[[C. Imp.]:[C. Imp.]],$D89,Imput[[PERIODO Imp.]:[PERIODO Imp.]],BP$9)</f>
        <v>0</v>
      </c>
      <c r="BQ89" s="516">
        <f>SUMIFS(Imput[[Importe Neto]:[Importe Neto]],Imput[[C. Imp.]:[C. Imp.]],$D89,Imput[[PERIODO Imp.]:[PERIODO Imp.]],BQ$9)</f>
        <v>0</v>
      </c>
      <c r="BR89" s="516">
        <f>SUMIFS(Imput[[Importe Neto]:[Importe Neto]],Imput[[C. Imp.]:[C. Imp.]],$D89,Imput[[PERIODO Imp.]:[PERIODO Imp.]],BR$9)</f>
        <v>0</v>
      </c>
      <c r="BS89" s="516">
        <f>SUMIFS(Imput[[Importe Neto]:[Importe Neto]],Imput[[C. Imp.]:[C. Imp.]],$D89,Imput[[PERIODO Imp.]:[PERIODO Imp.]],BS$9)</f>
        <v>0</v>
      </c>
      <c r="BT89" s="516">
        <f>SUMIFS(Imput[[Importe Neto]:[Importe Neto]],Imput[[C. Imp.]:[C. Imp.]],$D89,Imput[[PERIODO Imp.]:[PERIODO Imp.]],BT$9)</f>
        <v>0</v>
      </c>
      <c r="BU89" s="516">
        <f>SUMIFS(Imput[[Importe Neto]:[Importe Neto]],Imput[[C. Imp.]:[C. Imp.]],$D89,Imput[[PERIODO Imp.]:[PERIODO Imp.]],BU$9)</f>
        <v>0</v>
      </c>
      <c r="BV89" s="516">
        <f>SUMIFS(Imput[[Importe Neto]:[Importe Neto]],Imput[[C. Imp.]:[C. Imp.]],$D89,Imput[[PERIODO Imp.]:[PERIODO Imp.]],BV$9)</f>
        <v>0</v>
      </c>
      <c r="BW89" s="516">
        <f>SUMIFS(Imput[[Importe Neto]:[Importe Neto]],Imput[[C. Imp.]:[C. Imp.]],$D89,Imput[[PERIODO Imp.]:[PERIODO Imp.]],BW$9)</f>
        <v>0</v>
      </c>
      <c r="BX89" s="516">
        <f>SUMIFS(Imput[[Importe Neto]:[Importe Neto]],Imput[[C. Imp.]:[C. Imp.]],$D89,Imput[[PERIODO Imp.]:[PERIODO Imp.]],BX$9)</f>
        <v>0</v>
      </c>
      <c r="BY89" s="516">
        <f>SUMIFS(Imput[[Importe Neto]:[Importe Neto]],Imput[[C. Imp.]:[C. Imp.]],$D89,Imput[[PERIODO Imp.]:[PERIODO Imp.]],BY$9)</f>
        <v>0</v>
      </c>
      <c r="BZ89" s="516">
        <f>SUMIFS(Imput[[Importe Neto]:[Importe Neto]],Imput[[C. Imp.]:[C. Imp.]],$D89,Imput[[PERIODO Imp.]:[PERIODO Imp.]],BZ$9)</f>
        <v>0</v>
      </c>
      <c r="CA89" s="516">
        <f>SUMIFS(Imput[[Importe Neto]:[Importe Neto]],Imput[[C. Imp.]:[C. Imp.]],$D89,Imput[[PERIODO Imp.]:[PERIODO Imp.]],CA$9)</f>
        <v>0</v>
      </c>
      <c r="CB89" s="516">
        <f>SUMIFS(Imput[[Importe Neto]:[Importe Neto]],Imput[[C. Imp.]:[C. Imp.]],$D89,Imput[[PERIODO Imp.]:[PERIODO Imp.]],CB$9)</f>
        <v>0</v>
      </c>
      <c r="CC89" s="516">
        <f>SUMIFS(Imput[[Importe Neto]:[Importe Neto]],Imput[[C. Imp.]:[C. Imp.]],$D89,Imput[[PERIODO Imp.]:[PERIODO Imp.]],CC$9)</f>
        <v>0</v>
      </c>
      <c r="CD89" s="516">
        <f>SUMIFS(Imput[[Importe Neto]:[Importe Neto]],Imput[[C. Imp.]:[C. Imp.]],$D89,Imput[[PERIODO Imp.]:[PERIODO Imp.]],CD$9)</f>
        <v>0</v>
      </c>
      <c r="CE89" s="516">
        <f>SUMIFS(Imput[[Importe Neto]:[Importe Neto]],Imput[[C. Imp.]:[C. Imp.]],$D89,Imput[[PERIODO Imp.]:[PERIODO Imp.]],CE$9)</f>
        <v>0</v>
      </c>
      <c r="CF89" s="516">
        <f>SUMIFS(Imput[[Importe Neto]:[Importe Neto]],Imput[[C. Imp.]:[C. Imp.]],$D89,Imput[[PERIODO Imp.]:[PERIODO Imp.]],CF$9)</f>
        <v>0</v>
      </c>
      <c r="CG89" s="516">
        <f>SUMIFS(Imput[[Importe Neto]:[Importe Neto]],Imput[[C. Imp.]:[C. Imp.]],$D89,Imput[[PERIODO Imp.]:[PERIODO Imp.]],CG$9)</f>
        <v>0</v>
      </c>
      <c r="CH89" s="516">
        <f>SUMIFS(Imput[[Importe Neto]:[Importe Neto]],Imput[[C. Imp.]:[C. Imp.]],$D89,Imput[[PERIODO Imp.]:[PERIODO Imp.]],CH$9)</f>
        <v>0</v>
      </c>
      <c r="CI89" s="516">
        <f>SUMIFS(Imput[[Importe Neto]:[Importe Neto]],Imput[[C. Imp.]:[C. Imp.]],$D89,Imput[[PERIODO Imp.]:[PERIODO Imp.]],CI$9)</f>
        <v>0</v>
      </c>
      <c r="CJ89" s="516">
        <f>SUMIFS(Imput[[Importe Neto]:[Importe Neto]],Imput[[C. Imp.]:[C. Imp.]],$D89,Imput[[PERIODO Imp.]:[PERIODO Imp.]],CJ$9)</f>
        <v>0</v>
      </c>
      <c r="CK89" s="516">
        <f>SUMIFS(Imput[[Importe Neto]:[Importe Neto]],Imput[[C. Imp.]:[C. Imp.]],$D89,Imput[[PERIODO Imp.]:[PERIODO Imp.]],CK$9)</f>
        <v>0</v>
      </c>
      <c r="CL89" s="516">
        <f>SUMIFS(Imput[[Importe Neto]:[Importe Neto]],Imput[[C. Imp.]:[C. Imp.]],$D89,Imput[[PERIODO Imp.]:[PERIODO Imp.]],CL$9)</f>
        <v>0</v>
      </c>
      <c r="CM89" s="516">
        <f>SUMIFS(Imput[[Importe Neto]:[Importe Neto]],Imput[[C. Imp.]:[C. Imp.]],$D89,Imput[[PERIODO Imp.]:[PERIODO Imp.]],CM$9)</f>
        <v>0</v>
      </c>
      <c r="CN89" s="516">
        <f>SUMIFS(Imput[[Importe Neto]:[Importe Neto]],Imput[[C. Imp.]:[C. Imp.]],$D89,Imput[[PERIODO Imp.]:[PERIODO Imp.]],CN$9)</f>
        <v>0</v>
      </c>
      <c r="CO89" s="516">
        <f>SUMIFS(Imput[[Importe Neto]:[Importe Neto]],Imput[[C. Imp.]:[C. Imp.]],$D89,Imput[[PERIODO Imp.]:[PERIODO Imp.]],CO$9)</f>
        <v>0</v>
      </c>
      <c r="CP89" s="516">
        <f>SUMIFS(Imput[[Importe Neto]:[Importe Neto]],Imput[[C. Imp.]:[C. Imp.]],$D89,Imput[[PERIODO Imp.]:[PERIODO Imp.]],CP$9)</f>
        <v>0</v>
      </c>
      <c r="CQ89" s="516">
        <f>SUMIFS(Imput[[Importe Neto]:[Importe Neto]],Imput[[C. Imp.]:[C. Imp.]],$D89,Imput[[PERIODO Imp.]:[PERIODO Imp.]],CQ$9)</f>
        <v>0</v>
      </c>
      <c r="CR89" s="516">
        <f>SUMIFS(Imput[[Importe Neto]:[Importe Neto]],Imput[[C. Imp.]:[C. Imp.]],$D89,Imput[[PERIODO Imp.]:[PERIODO Imp.]],CR$9)</f>
        <v>0</v>
      </c>
      <c r="CS89" s="516">
        <f>SUMIFS(Imput[[Importe Neto]:[Importe Neto]],Imput[[C. Imp.]:[C. Imp.]],$D89,Imput[[PERIODO Imp.]:[PERIODO Imp.]],CS$9)</f>
        <v>0</v>
      </c>
      <c r="CT89" s="516">
        <f>SUMIFS(Imput[[Importe Neto]:[Importe Neto]],Imput[[C. Imp.]:[C. Imp.]],$D89,Imput[[PERIODO Imp.]:[PERIODO Imp.]],CT$9)</f>
        <v>0</v>
      </c>
      <c r="CU89" s="516">
        <f>SUMIFS(Imput[[Importe Neto]:[Importe Neto]],Imput[[C. Imp.]:[C. Imp.]],$D89,Imput[[PERIODO Imp.]:[PERIODO Imp.]],CU$9)</f>
        <v>0</v>
      </c>
      <c r="CV89" s="516">
        <f>SUMIFS(Imput[[Importe Neto]:[Importe Neto]],Imput[[C. Imp.]:[C. Imp.]],$D89,Imput[[PERIODO Imp.]:[PERIODO Imp.]],CV$9)</f>
        <v>0</v>
      </c>
      <c r="CW89" s="516">
        <f>SUMIFS(Imput[[Importe Neto]:[Importe Neto]],Imput[[C. Imp.]:[C. Imp.]],$D89,Imput[[PERIODO Imp.]:[PERIODO Imp.]],CW$9)</f>
        <v>0</v>
      </c>
      <c r="CX89" s="516">
        <f>SUMIFS(Imput[[Importe Neto]:[Importe Neto]],Imput[[C. Imp.]:[C. Imp.]],$D89,Imput[[PERIODO Imp.]:[PERIODO Imp.]],CX$9)</f>
        <v>0</v>
      </c>
      <c r="CY89" s="516">
        <f>SUMIFS(Imput[[Importe Neto]:[Importe Neto]],Imput[[C. Imp.]:[C. Imp.]],$D89,Imput[[PERIODO Imp.]:[PERIODO Imp.]],CY$9)</f>
        <v>0</v>
      </c>
      <c r="CZ89" s="516">
        <f>SUMIFS(Imput[[Importe Neto]:[Importe Neto]],Imput[[C. Imp.]:[C. Imp.]],$D89,Imput[[PERIODO Imp.]:[PERIODO Imp.]],CZ$9)</f>
        <v>0</v>
      </c>
      <c r="DA89" s="516">
        <f>SUMIFS(Imput[[Importe Neto]:[Importe Neto]],Imput[[C. Imp.]:[C. Imp.]],$D89,Imput[[PERIODO Imp.]:[PERIODO Imp.]],DA$9)</f>
        <v>0</v>
      </c>
      <c r="DB89" s="516">
        <f>SUMIFS(Imput[[Importe Neto]:[Importe Neto]],Imput[[C. Imp.]:[C. Imp.]],$D89,Imput[[PERIODO Imp.]:[PERIODO Imp.]],DB$9)</f>
        <v>0</v>
      </c>
      <c r="DC89" s="516">
        <f>SUMIFS(Imput[[Importe Neto]:[Importe Neto]],Imput[[C. Imp.]:[C. Imp.]],$D89,Imput[[PERIODO Imp.]:[PERIODO Imp.]],DC$9)</f>
        <v>0</v>
      </c>
      <c r="DD89" s="516">
        <f>SUMIFS(Imput[[Importe Neto]:[Importe Neto]],Imput[[C. Imp.]:[C. Imp.]],$D89,Imput[[PERIODO Imp.]:[PERIODO Imp.]],DD$9)</f>
        <v>0</v>
      </c>
      <c r="DE89" s="516">
        <f>SUMIFS(Imput[[Importe Neto]:[Importe Neto]],Imput[[C. Imp.]:[C. Imp.]],$D89,Imput[[PERIODO Imp.]:[PERIODO Imp.]],DE$9)</f>
        <v>0</v>
      </c>
      <c r="DF89" s="516">
        <f>SUMIFS(Imput[[Importe Neto]:[Importe Neto]],Imput[[C. Imp.]:[C. Imp.]],$D89,Imput[[PERIODO Imp.]:[PERIODO Imp.]],DF$9)</f>
        <v>0</v>
      </c>
      <c r="DG89" s="516">
        <f>SUMIFS(Imput[[Importe Neto]:[Importe Neto]],Imput[[C. Imp.]:[C. Imp.]],$D89,Imput[[PERIODO Imp.]:[PERIODO Imp.]],DG$9)</f>
        <v>0</v>
      </c>
      <c r="DH89" s="616">
        <f>SUMIFS(Imput[[Importe Neto]:[Importe Neto]],Imput[[C. Imp.]:[C. Imp.]],$D89,Imput[[PERIODO Imp.]:[PERIODO Imp.]],DH$9)</f>
        <v>0</v>
      </c>
    </row>
    <row r="90" spans="1:112" hidden="1" outlineLevel="1" x14ac:dyDescent="0.3">
      <c r="A90" s="66" t="str">
        <f t="shared" si="22"/>
        <v/>
      </c>
      <c r="C90" s="527"/>
      <c r="D90" s="528" t="s">
        <v>2202</v>
      </c>
      <c r="E90" s="528"/>
      <c r="F90" s="534"/>
      <c r="G90" s="529"/>
      <c r="H90" s="531"/>
      <c r="I90" s="849" t="str">
        <f t="shared" si="23"/>
        <v/>
      </c>
      <c r="J90" s="850" t="str">
        <f t="shared" si="24"/>
        <v/>
      </c>
      <c r="K90" s="70"/>
      <c r="L90" s="853"/>
      <c r="M90" s="855"/>
      <c r="N90" s="855"/>
      <c r="O90" s="855"/>
      <c r="P90" s="855"/>
      <c r="Q90" s="855"/>
      <c r="R90" s="855"/>
      <c r="S90" s="855"/>
      <c r="T90" s="855"/>
      <c r="U90" s="855"/>
      <c r="V90" s="855"/>
      <c r="W90" s="855"/>
      <c r="X90" s="855"/>
      <c r="Y90" s="855"/>
      <c r="Z90" s="856"/>
      <c r="AA90" s="856"/>
      <c r="AB90" s="856"/>
      <c r="AC90" s="856"/>
      <c r="AD90" s="856"/>
      <c r="AE90" s="856"/>
      <c r="AF90" s="856"/>
      <c r="AG90" s="856"/>
      <c r="AH90" s="856"/>
      <c r="AI90" s="856"/>
      <c r="AJ90" s="856"/>
      <c r="AK90" s="856"/>
      <c r="AL90" s="856"/>
      <c r="AM90" s="856"/>
      <c r="AN90" s="856"/>
      <c r="AO90" s="856"/>
      <c r="AP90" s="856"/>
      <c r="AQ90" s="856"/>
      <c r="AR90" s="856"/>
      <c r="AS90" s="856"/>
      <c r="AT90" s="856"/>
      <c r="AU90" s="856"/>
      <c r="AV90" s="856"/>
      <c r="AW90" s="856"/>
      <c r="AX90" s="856"/>
      <c r="AY90" s="856"/>
      <c r="AZ90" s="856"/>
      <c r="BA90" s="856"/>
      <c r="BB90" s="856"/>
      <c r="BC90" s="856"/>
      <c r="BD90" s="856"/>
      <c r="BE90" s="856"/>
      <c r="BF90" s="856"/>
      <c r="BG90" s="857"/>
      <c r="BH90" s="590"/>
      <c r="BI90" s="70"/>
      <c r="BJ90" s="518">
        <f t="shared" si="25"/>
        <v>0</v>
      </c>
      <c r="BK90" s="517">
        <f t="shared" si="26"/>
        <v>0</v>
      </c>
      <c r="BL90" s="68"/>
      <c r="BM90" s="515">
        <f>SUMIFS(Imput[[Importe Neto]:[Importe Neto]],Imput[[C. Imp.]:[C. Imp.]],$D90,Imput[[PERIODO Imp.]:[PERIODO Imp.]],BM$9)</f>
        <v>0</v>
      </c>
      <c r="BN90" s="516">
        <f>SUMIFS(Imput[[Importe Neto]:[Importe Neto]],Imput[[C. Imp.]:[C. Imp.]],$D90,Imput[[PERIODO Imp.]:[PERIODO Imp.]],BN$9)</f>
        <v>0</v>
      </c>
      <c r="BO90" s="516">
        <f>SUMIFS(Imput[[Importe Neto]:[Importe Neto]],Imput[[C. Imp.]:[C. Imp.]],$D90,Imput[[PERIODO Imp.]:[PERIODO Imp.]],BO$9)</f>
        <v>0</v>
      </c>
      <c r="BP90" s="516">
        <f>SUMIFS(Imput[[Importe Neto]:[Importe Neto]],Imput[[C. Imp.]:[C. Imp.]],$D90,Imput[[PERIODO Imp.]:[PERIODO Imp.]],BP$9)</f>
        <v>0</v>
      </c>
      <c r="BQ90" s="516">
        <f>SUMIFS(Imput[[Importe Neto]:[Importe Neto]],Imput[[C. Imp.]:[C. Imp.]],$D90,Imput[[PERIODO Imp.]:[PERIODO Imp.]],BQ$9)</f>
        <v>0</v>
      </c>
      <c r="BR90" s="516">
        <f>SUMIFS(Imput[[Importe Neto]:[Importe Neto]],Imput[[C. Imp.]:[C. Imp.]],$D90,Imput[[PERIODO Imp.]:[PERIODO Imp.]],BR$9)</f>
        <v>0</v>
      </c>
      <c r="BS90" s="516">
        <f>SUMIFS(Imput[[Importe Neto]:[Importe Neto]],Imput[[C. Imp.]:[C. Imp.]],$D90,Imput[[PERIODO Imp.]:[PERIODO Imp.]],BS$9)</f>
        <v>0</v>
      </c>
      <c r="BT90" s="516">
        <f>SUMIFS(Imput[[Importe Neto]:[Importe Neto]],Imput[[C. Imp.]:[C. Imp.]],$D90,Imput[[PERIODO Imp.]:[PERIODO Imp.]],BT$9)</f>
        <v>0</v>
      </c>
      <c r="BU90" s="516">
        <f>SUMIFS(Imput[[Importe Neto]:[Importe Neto]],Imput[[C. Imp.]:[C. Imp.]],$D90,Imput[[PERIODO Imp.]:[PERIODO Imp.]],BU$9)</f>
        <v>0</v>
      </c>
      <c r="BV90" s="516">
        <f>SUMIFS(Imput[[Importe Neto]:[Importe Neto]],Imput[[C. Imp.]:[C. Imp.]],$D90,Imput[[PERIODO Imp.]:[PERIODO Imp.]],BV$9)</f>
        <v>0</v>
      </c>
      <c r="BW90" s="516">
        <f>SUMIFS(Imput[[Importe Neto]:[Importe Neto]],Imput[[C. Imp.]:[C. Imp.]],$D90,Imput[[PERIODO Imp.]:[PERIODO Imp.]],BW$9)</f>
        <v>0</v>
      </c>
      <c r="BX90" s="516">
        <f>SUMIFS(Imput[[Importe Neto]:[Importe Neto]],Imput[[C. Imp.]:[C. Imp.]],$D90,Imput[[PERIODO Imp.]:[PERIODO Imp.]],BX$9)</f>
        <v>0</v>
      </c>
      <c r="BY90" s="516">
        <f>SUMIFS(Imput[[Importe Neto]:[Importe Neto]],Imput[[C. Imp.]:[C. Imp.]],$D90,Imput[[PERIODO Imp.]:[PERIODO Imp.]],BY$9)</f>
        <v>0</v>
      </c>
      <c r="BZ90" s="516">
        <f>SUMIFS(Imput[[Importe Neto]:[Importe Neto]],Imput[[C. Imp.]:[C. Imp.]],$D90,Imput[[PERIODO Imp.]:[PERIODO Imp.]],BZ$9)</f>
        <v>0</v>
      </c>
      <c r="CA90" s="516">
        <f>SUMIFS(Imput[[Importe Neto]:[Importe Neto]],Imput[[C. Imp.]:[C. Imp.]],$D90,Imput[[PERIODO Imp.]:[PERIODO Imp.]],CA$9)</f>
        <v>0</v>
      </c>
      <c r="CB90" s="516">
        <f>SUMIFS(Imput[[Importe Neto]:[Importe Neto]],Imput[[C. Imp.]:[C. Imp.]],$D90,Imput[[PERIODO Imp.]:[PERIODO Imp.]],CB$9)</f>
        <v>0</v>
      </c>
      <c r="CC90" s="516">
        <f>SUMIFS(Imput[[Importe Neto]:[Importe Neto]],Imput[[C. Imp.]:[C. Imp.]],$D90,Imput[[PERIODO Imp.]:[PERIODO Imp.]],CC$9)</f>
        <v>0</v>
      </c>
      <c r="CD90" s="516">
        <f>SUMIFS(Imput[[Importe Neto]:[Importe Neto]],Imput[[C. Imp.]:[C. Imp.]],$D90,Imput[[PERIODO Imp.]:[PERIODO Imp.]],CD$9)</f>
        <v>0</v>
      </c>
      <c r="CE90" s="516">
        <f>SUMIFS(Imput[[Importe Neto]:[Importe Neto]],Imput[[C. Imp.]:[C. Imp.]],$D90,Imput[[PERIODO Imp.]:[PERIODO Imp.]],CE$9)</f>
        <v>0</v>
      </c>
      <c r="CF90" s="516">
        <f>SUMIFS(Imput[[Importe Neto]:[Importe Neto]],Imput[[C. Imp.]:[C. Imp.]],$D90,Imput[[PERIODO Imp.]:[PERIODO Imp.]],CF$9)</f>
        <v>0</v>
      </c>
      <c r="CG90" s="516">
        <f>SUMIFS(Imput[[Importe Neto]:[Importe Neto]],Imput[[C. Imp.]:[C. Imp.]],$D90,Imput[[PERIODO Imp.]:[PERIODO Imp.]],CG$9)</f>
        <v>0</v>
      </c>
      <c r="CH90" s="516">
        <f>SUMIFS(Imput[[Importe Neto]:[Importe Neto]],Imput[[C. Imp.]:[C. Imp.]],$D90,Imput[[PERIODO Imp.]:[PERIODO Imp.]],CH$9)</f>
        <v>0</v>
      </c>
      <c r="CI90" s="516">
        <f>SUMIFS(Imput[[Importe Neto]:[Importe Neto]],Imput[[C. Imp.]:[C. Imp.]],$D90,Imput[[PERIODO Imp.]:[PERIODO Imp.]],CI$9)</f>
        <v>0</v>
      </c>
      <c r="CJ90" s="516">
        <f>SUMIFS(Imput[[Importe Neto]:[Importe Neto]],Imput[[C. Imp.]:[C. Imp.]],$D90,Imput[[PERIODO Imp.]:[PERIODO Imp.]],CJ$9)</f>
        <v>0</v>
      </c>
      <c r="CK90" s="516">
        <f>SUMIFS(Imput[[Importe Neto]:[Importe Neto]],Imput[[C. Imp.]:[C. Imp.]],$D90,Imput[[PERIODO Imp.]:[PERIODO Imp.]],CK$9)</f>
        <v>0</v>
      </c>
      <c r="CL90" s="516">
        <f>SUMIFS(Imput[[Importe Neto]:[Importe Neto]],Imput[[C. Imp.]:[C. Imp.]],$D90,Imput[[PERIODO Imp.]:[PERIODO Imp.]],CL$9)</f>
        <v>0</v>
      </c>
      <c r="CM90" s="516">
        <f>SUMIFS(Imput[[Importe Neto]:[Importe Neto]],Imput[[C. Imp.]:[C. Imp.]],$D90,Imput[[PERIODO Imp.]:[PERIODO Imp.]],CM$9)</f>
        <v>0</v>
      </c>
      <c r="CN90" s="516">
        <f>SUMIFS(Imput[[Importe Neto]:[Importe Neto]],Imput[[C. Imp.]:[C. Imp.]],$D90,Imput[[PERIODO Imp.]:[PERIODO Imp.]],CN$9)</f>
        <v>0</v>
      </c>
      <c r="CO90" s="516">
        <f>SUMIFS(Imput[[Importe Neto]:[Importe Neto]],Imput[[C. Imp.]:[C. Imp.]],$D90,Imput[[PERIODO Imp.]:[PERIODO Imp.]],CO$9)</f>
        <v>0</v>
      </c>
      <c r="CP90" s="516">
        <f>SUMIFS(Imput[[Importe Neto]:[Importe Neto]],Imput[[C. Imp.]:[C. Imp.]],$D90,Imput[[PERIODO Imp.]:[PERIODO Imp.]],CP$9)</f>
        <v>0</v>
      </c>
      <c r="CQ90" s="516">
        <f>SUMIFS(Imput[[Importe Neto]:[Importe Neto]],Imput[[C. Imp.]:[C. Imp.]],$D90,Imput[[PERIODO Imp.]:[PERIODO Imp.]],CQ$9)</f>
        <v>0</v>
      </c>
      <c r="CR90" s="516">
        <f>SUMIFS(Imput[[Importe Neto]:[Importe Neto]],Imput[[C. Imp.]:[C. Imp.]],$D90,Imput[[PERIODO Imp.]:[PERIODO Imp.]],CR$9)</f>
        <v>0</v>
      </c>
      <c r="CS90" s="516">
        <f>SUMIFS(Imput[[Importe Neto]:[Importe Neto]],Imput[[C. Imp.]:[C. Imp.]],$D90,Imput[[PERIODO Imp.]:[PERIODO Imp.]],CS$9)</f>
        <v>0</v>
      </c>
      <c r="CT90" s="516">
        <f>SUMIFS(Imput[[Importe Neto]:[Importe Neto]],Imput[[C. Imp.]:[C. Imp.]],$D90,Imput[[PERIODO Imp.]:[PERIODO Imp.]],CT$9)</f>
        <v>0</v>
      </c>
      <c r="CU90" s="516">
        <f>SUMIFS(Imput[[Importe Neto]:[Importe Neto]],Imput[[C. Imp.]:[C. Imp.]],$D90,Imput[[PERIODO Imp.]:[PERIODO Imp.]],CU$9)</f>
        <v>0</v>
      </c>
      <c r="CV90" s="516">
        <f>SUMIFS(Imput[[Importe Neto]:[Importe Neto]],Imput[[C. Imp.]:[C. Imp.]],$D90,Imput[[PERIODO Imp.]:[PERIODO Imp.]],CV$9)</f>
        <v>0</v>
      </c>
      <c r="CW90" s="516">
        <f>SUMIFS(Imput[[Importe Neto]:[Importe Neto]],Imput[[C. Imp.]:[C. Imp.]],$D90,Imput[[PERIODO Imp.]:[PERIODO Imp.]],CW$9)</f>
        <v>0</v>
      </c>
      <c r="CX90" s="516">
        <f>SUMIFS(Imput[[Importe Neto]:[Importe Neto]],Imput[[C. Imp.]:[C. Imp.]],$D90,Imput[[PERIODO Imp.]:[PERIODO Imp.]],CX$9)</f>
        <v>0</v>
      </c>
      <c r="CY90" s="516">
        <f>SUMIFS(Imput[[Importe Neto]:[Importe Neto]],Imput[[C. Imp.]:[C. Imp.]],$D90,Imput[[PERIODO Imp.]:[PERIODO Imp.]],CY$9)</f>
        <v>0</v>
      </c>
      <c r="CZ90" s="516">
        <f>SUMIFS(Imput[[Importe Neto]:[Importe Neto]],Imput[[C. Imp.]:[C. Imp.]],$D90,Imput[[PERIODO Imp.]:[PERIODO Imp.]],CZ$9)</f>
        <v>0</v>
      </c>
      <c r="DA90" s="516">
        <f>SUMIFS(Imput[[Importe Neto]:[Importe Neto]],Imput[[C. Imp.]:[C. Imp.]],$D90,Imput[[PERIODO Imp.]:[PERIODO Imp.]],DA$9)</f>
        <v>0</v>
      </c>
      <c r="DB90" s="516">
        <f>SUMIFS(Imput[[Importe Neto]:[Importe Neto]],Imput[[C. Imp.]:[C. Imp.]],$D90,Imput[[PERIODO Imp.]:[PERIODO Imp.]],DB$9)</f>
        <v>0</v>
      </c>
      <c r="DC90" s="516">
        <f>SUMIFS(Imput[[Importe Neto]:[Importe Neto]],Imput[[C. Imp.]:[C. Imp.]],$D90,Imput[[PERIODO Imp.]:[PERIODO Imp.]],DC$9)</f>
        <v>0</v>
      </c>
      <c r="DD90" s="516">
        <f>SUMIFS(Imput[[Importe Neto]:[Importe Neto]],Imput[[C. Imp.]:[C. Imp.]],$D90,Imput[[PERIODO Imp.]:[PERIODO Imp.]],DD$9)</f>
        <v>0</v>
      </c>
      <c r="DE90" s="516">
        <f>SUMIFS(Imput[[Importe Neto]:[Importe Neto]],Imput[[C. Imp.]:[C. Imp.]],$D90,Imput[[PERIODO Imp.]:[PERIODO Imp.]],DE$9)</f>
        <v>0</v>
      </c>
      <c r="DF90" s="516">
        <f>SUMIFS(Imput[[Importe Neto]:[Importe Neto]],Imput[[C. Imp.]:[C. Imp.]],$D90,Imput[[PERIODO Imp.]:[PERIODO Imp.]],DF$9)</f>
        <v>0</v>
      </c>
      <c r="DG90" s="516">
        <f>SUMIFS(Imput[[Importe Neto]:[Importe Neto]],Imput[[C. Imp.]:[C. Imp.]],$D90,Imput[[PERIODO Imp.]:[PERIODO Imp.]],DG$9)</f>
        <v>0</v>
      </c>
      <c r="DH90" s="616">
        <f>SUMIFS(Imput[[Importe Neto]:[Importe Neto]],Imput[[C. Imp.]:[C. Imp.]],$D90,Imput[[PERIODO Imp.]:[PERIODO Imp.]],DH$9)</f>
        <v>0</v>
      </c>
    </row>
    <row r="91" spans="1:112" hidden="1" outlineLevel="1" x14ac:dyDescent="0.3">
      <c r="A91" s="66" t="str">
        <f t="shared" si="22"/>
        <v/>
      </c>
      <c r="C91" s="527"/>
      <c r="D91" s="528" t="s">
        <v>2203</v>
      </c>
      <c r="E91" s="528"/>
      <c r="F91" s="534"/>
      <c r="G91" s="529"/>
      <c r="H91" s="531"/>
      <c r="I91" s="849" t="str">
        <f t="shared" si="23"/>
        <v/>
      </c>
      <c r="J91" s="850" t="str">
        <f t="shared" si="24"/>
        <v/>
      </c>
      <c r="K91" s="70"/>
      <c r="L91" s="853"/>
      <c r="M91" s="855"/>
      <c r="N91" s="855"/>
      <c r="O91" s="855"/>
      <c r="P91" s="855"/>
      <c r="Q91" s="855"/>
      <c r="R91" s="855"/>
      <c r="S91" s="855"/>
      <c r="T91" s="855"/>
      <c r="U91" s="855"/>
      <c r="V91" s="855"/>
      <c r="W91" s="855"/>
      <c r="X91" s="855"/>
      <c r="Y91" s="855"/>
      <c r="Z91" s="856"/>
      <c r="AA91" s="856"/>
      <c r="AB91" s="856"/>
      <c r="AC91" s="856"/>
      <c r="AD91" s="856"/>
      <c r="AE91" s="856"/>
      <c r="AF91" s="856"/>
      <c r="AG91" s="856"/>
      <c r="AH91" s="856"/>
      <c r="AI91" s="856"/>
      <c r="AJ91" s="856"/>
      <c r="AK91" s="856"/>
      <c r="AL91" s="856"/>
      <c r="AM91" s="856"/>
      <c r="AN91" s="856"/>
      <c r="AO91" s="856"/>
      <c r="AP91" s="856"/>
      <c r="AQ91" s="856"/>
      <c r="AR91" s="856"/>
      <c r="AS91" s="856"/>
      <c r="AT91" s="856"/>
      <c r="AU91" s="856"/>
      <c r="AV91" s="856"/>
      <c r="AW91" s="856"/>
      <c r="AX91" s="856"/>
      <c r="AY91" s="856"/>
      <c r="AZ91" s="856"/>
      <c r="BA91" s="856"/>
      <c r="BB91" s="856"/>
      <c r="BC91" s="856"/>
      <c r="BD91" s="856"/>
      <c r="BE91" s="856"/>
      <c r="BF91" s="856"/>
      <c r="BG91" s="857"/>
      <c r="BH91" s="590"/>
      <c r="BI91" s="70"/>
      <c r="BJ91" s="518">
        <f t="shared" si="25"/>
        <v>0</v>
      </c>
      <c r="BK91" s="517">
        <f t="shared" si="26"/>
        <v>0</v>
      </c>
      <c r="BL91" s="68"/>
      <c r="BM91" s="515">
        <f>SUMIFS(Imput[[Importe Neto]:[Importe Neto]],Imput[[C. Imp.]:[C. Imp.]],$D91,Imput[[PERIODO Imp.]:[PERIODO Imp.]],BM$9)</f>
        <v>0</v>
      </c>
      <c r="BN91" s="516">
        <f>SUMIFS(Imput[[Importe Neto]:[Importe Neto]],Imput[[C. Imp.]:[C. Imp.]],$D91,Imput[[PERIODO Imp.]:[PERIODO Imp.]],BN$9)</f>
        <v>0</v>
      </c>
      <c r="BO91" s="516">
        <f>SUMIFS(Imput[[Importe Neto]:[Importe Neto]],Imput[[C. Imp.]:[C. Imp.]],$D91,Imput[[PERIODO Imp.]:[PERIODO Imp.]],BO$9)</f>
        <v>0</v>
      </c>
      <c r="BP91" s="516">
        <f>SUMIFS(Imput[[Importe Neto]:[Importe Neto]],Imput[[C. Imp.]:[C. Imp.]],$D91,Imput[[PERIODO Imp.]:[PERIODO Imp.]],BP$9)</f>
        <v>0</v>
      </c>
      <c r="BQ91" s="516">
        <f>SUMIFS(Imput[[Importe Neto]:[Importe Neto]],Imput[[C. Imp.]:[C. Imp.]],$D91,Imput[[PERIODO Imp.]:[PERIODO Imp.]],BQ$9)</f>
        <v>0</v>
      </c>
      <c r="BR91" s="516">
        <f>SUMIFS(Imput[[Importe Neto]:[Importe Neto]],Imput[[C. Imp.]:[C. Imp.]],$D91,Imput[[PERIODO Imp.]:[PERIODO Imp.]],BR$9)</f>
        <v>0</v>
      </c>
      <c r="BS91" s="516">
        <f>SUMIFS(Imput[[Importe Neto]:[Importe Neto]],Imput[[C. Imp.]:[C. Imp.]],$D91,Imput[[PERIODO Imp.]:[PERIODO Imp.]],BS$9)</f>
        <v>0</v>
      </c>
      <c r="BT91" s="516">
        <f>SUMIFS(Imput[[Importe Neto]:[Importe Neto]],Imput[[C. Imp.]:[C. Imp.]],$D91,Imput[[PERIODO Imp.]:[PERIODO Imp.]],BT$9)</f>
        <v>0</v>
      </c>
      <c r="BU91" s="516">
        <f>SUMIFS(Imput[[Importe Neto]:[Importe Neto]],Imput[[C. Imp.]:[C. Imp.]],$D91,Imput[[PERIODO Imp.]:[PERIODO Imp.]],BU$9)</f>
        <v>0</v>
      </c>
      <c r="BV91" s="516">
        <f>SUMIFS(Imput[[Importe Neto]:[Importe Neto]],Imput[[C. Imp.]:[C. Imp.]],$D91,Imput[[PERIODO Imp.]:[PERIODO Imp.]],BV$9)</f>
        <v>0</v>
      </c>
      <c r="BW91" s="516">
        <f>SUMIFS(Imput[[Importe Neto]:[Importe Neto]],Imput[[C. Imp.]:[C. Imp.]],$D91,Imput[[PERIODO Imp.]:[PERIODO Imp.]],BW$9)</f>
        <v>0</v>
      </c>
      <c r="BX91" s="516">
        <f>SUMIFS(Imput[[Importe Neto]:[Importe Neto]],Imput[[C. Imp.]:[C. Imp.]],$D91,Imput[[PERIODO Imp.]:[PERIODO Imp.]],BX$9)</f>
        <v>0</v>
      </c>
      <c r="BY91" s="516">
        <f>SUMIFS(Imput[[Importe Neto]:[Importe Neto]],Imput[[C. Imp.]:[C. Imp.]],$D91,Imput[[PERIODO Imp.]:[PERIODO Imp.]],BY$9)</f>
        <v>0</v>
      </c>
      <c r="BZ91" s="516">
        <f>SUMIFS(Imput[[Importe Neto]:[Importe Neto]],Imput[[C. Imp.]:[C. Imp.]],$D91,Imput[[PERIODO Imp.]:[PERIODO Imp.]],BZ$9)</f>
        <v>0</v>
      </c>
      <c r="CA91" s="516">
        <f>SUMIFS(Imput[[Importe Neto]:[Importe Neto]],Imput[[C. Imp.]:[C. Imp.]],$D91,Imput[[PERIODO Imp.]:[PERIODO Imp.]],CA$9)</f>
        <v>0</v>
      </c>
      <c r="CB91" s="516">
        <f>SUMIFS(Imput[[Importe Neto]:[Importe Neto]],Imput[[C. Imp.]:[C. Imp.]],$D91,Imput[[PERIODO Imp.]:[PERIODO Imp.]],CB$9)</f>
        <v>0</v>
      </c>
      <c r="CC91" s="516">
        <f>SUMIFS(Imput[[Importe Neto]:[Importe Neto]],Imput[[C. Imp.]:[C. Imp.]],$D91,Imput[[PERIODO Imp.]:[PERIODO Imp.]],CC$9)</f>
        <v>0</v>
      </c>
      <c r="CD91" s="516">
        <f>SUMIFS(Imput[[Importe Neto]:[Importe Neto]],Imput[[C. Imp.]:[C. Imp.]],$D91,Imput[[PERIODO Imp.]:[PERIODO Imp.]],CD$9)</f>
        <v>0</v>
      </c>
      <c r="CE91" s="516">
        <f>SUMIFS(Imput[[Importe Neto]:[Importe Neto]],Imput[[C. Imp.]:[C. Imp.]],$D91,Imput[[PERIODO Imp.]:[PERIODO Imp.]],CE$9)</f>
        <v>0</v>
      </c>
      <c r="CF91" s="516">
        <f>SUMIFS(Imput[[Importe Neto]:[Importe Neto]],Imput[[C. Imp.]:[C. Imp.]],$D91,Imput[[PERIODO Imp.]:[PERIODO Imp.]],CF$9)</f>
        <v>0</v>
      </c>
      <c r="CG91" s="516">
        <f>SUMIFS(Imput[[Importe Neto]:[Importe Neto]],Imput[[C. Imp.]:[C. Imp.]],$D91,Imput[[PERIODO Imp.]:[PERIODO Imp.]],CG$9)</f>
        <v>0</v>
      </c>
      <c r="CH91" s="516">
        <f>SUMIFS(Imput[[Importe Neto]:[Importe Neto]],Imput[[C. Imp.]:[C. Imp.]],$D91,Imput[[PERIODO Imp.]:[PERIODO Imp.]],CH$9)</f>
        <v>0</v>
      </c>
      <c r="CI91" s="516">
        <f>SUMIFS(Imput[[Importe Neto]:[Importe Neto]],Imput[[C. Imp.]:[C. Imp.]],$D91,Imput[[PERIODO Imp.]:[PERIODO Imp.]],CI$9)</f>
        <v>0</v>
      </c>
      <c r="CJ91" s="516">
        <f>SUMIFS(Imput[[Importe Neto]:[Importe Neto]],Imput[[C. Imp.]:[C. Imp.]],$D91,Imput[[PERIODO Imp.]:[PERIODO Imp.]],CJ$9)</f>
        <v>0</v>
      </c>
      <c r="CK91" s="516">
        <f>SUMIFS(Imput[[Importe Neto]:[Importe Neto]],Imput[[C. Imp.]:[C. Imp.]],$D91,Imput[[PERIODO Imp.]:[PERIODO Imp.]],CK$9)</f>
        <v>0</v>
      </c>
      <c r="CL91" s="516">
        <f>SUMIFS(Imput[[Importe Neto]:[Importe Neto]],Imput[[C. Imp.]:[C. Imp.]],$D91,Imput[[PERIODO Imp.]:[PERIODO Imp.]],CL$9)</f>
        <v>0</v>
      </c>
      <c r="CM91" s="516">
        <f>SUMIFS(Imput[[Importe Neto]:[Importe Neto]],Imput[[C. Imp.]:[C. Imp.]],$D91,Imput[[PERIODO Imp.]:[PERIODO Imp.]],CM$9)</f>
        <v>0</v>
      </c>
      <c r="CN91" s="516">
        <f>SUMIFS(Imput[[Importe Neto]:[Importe Neto]],Imput[[C. Imp.]:[C. Imp.]],$D91,Imput[[PERIODO Imp.]:[PERIODO Imp.]],CN$9)</f>
        <v>0</v>
      </c>
      <c r="CO91" s="516">
        <f>SUMIFS(Imput[[Importe Neto]:[Importe Neto]],Imput[[C. Imp.]:[C. Imp.]],$D91,Imput[[PERIODO Imp.]:[PERIODO Imp.]],CO$9)</f>
        <v>0</v>
      </c>
      <c r="CP91" s="516">
        <f>SUMIFS(Imput[[Importe Neto]:[Importe Neto]],Imput[[C. Imp.]:[C. Imp.]],$D91,Imput[[PERIODO Imp.]:[PERIODO Imp.]],CP$9)</f>
        <v>0</v>
      </c>
      <c r="CQ91" s="516">
        <f>SUMIFS(Imput[[Importe Neto]:[Importe Neto]],Imput[[C. Imp.]:[C. Imp.]],$D91,Imput[[PERIODO Imp.]:[PERIODO Imp.]],CQ$9)</f>
        <v>0</v>
      </c>
      <c r="CR91" s="516">
        <f>SUMIFS(Imput[[Importe Neto]:[Importe Neto]],Imput[[C. Imp.]:[C. Imp.]],$D91,Imput[[PERIODO Imp.]:[PERIODO Imp.]],CR$9)</f>
        <v>0</v>
      </c>
      <c r="CS91" s="516">
        <f>SUMIFS(Imput[[Importe Neto]:[Importe Neto]],Imput[[C. Imp.]:[C. Imp.]],$D91,Imput[[PERIODO Imp.]:[PERIODO Imp.]],CS$9)</f>
        <v>0</v>
      </c>
      <c r="CT91" s="516">
        <f>SUMIFS(Imput[[Importe Neto]:[Importe Neto]],Imput[[C. Imp.]:[C. Imp.]],$D91,Imput[[PERIODO Imp.]:[PERIODO Imp.]],CT$9)</f>
        <v>0</v>
      </c>
      <c r="CU91" s="516">
        <f>SUMIFS(Imput[[Importe Neto]:[Importe Neto]],Imput[[C. Imp.]:[C. Imp.]],$D91,Imput[[PERIODO Imp.]:[PERIODO Imp.]],CU$9)</f>
        <v>0</v>
      </c>
      <c r="CV91" s="516">
        <f>SUMIFS(Imput[[Importe Neto]:[Importe Neto]],Imput[[C. Imp.]:[C. Imp.]],$D91,Imput[[PERIODO Imp.]:[PERIODO Imp.]],CV$9)</f>
        <v>0</v>
      </c>
      <c r="CW91" s="516">
        <f>SUMIFS(Imput[[Importe Neto]:[Importe Neto]],Imput[[C. Imp.]:[C. Imp.]],$D91,Imput[[PERIODO Imp.]:[PERIODO Imp.]],CW$9)</f>
        <v>0</v>
      </c>
      <c r="CX91" s="516">
        <f>SUMIFS(Imput[[Importe Neto]:[Importe Neto]],Imput[[C. Imp.]:[C. Imp.]],$D91,Imput[[PERIODO Imp.]:[PERIODO Imp.]],CX$9)</f>
        <v>0</v>
      </c>
      <c r="CY91" s="516">
        <f>SUMIFS(Imput[[Importe Neto]:[Importe Neto]],Imput[[C. Imp.]:[C. Imp.]],$D91,Imput[[PERIODO Imp.]:[PERIODO Imp.]],CY$9)</f>
        <v>0</v>
      </c>
      <c r="CZ91" s="516">
        <f>SUMIFS(Imput[[Importe Neto]:[Importe Neto]],Imput[[C. Imp.]:[C. Imp.]],$D91,Imput[[PERIODO Imp.]:[PERIODO Imp.]],CZ$9)</f>
        <v>0</v>
      </c>
      <c r="DA91" s="516">
        <f>SUMIFS(Imput[[Importe Neto]:[Importe Neto]],Imput[[C. Imp.]:[C. Imp.]],$D91,Imput[[PERIODO Imp.]:[PERIODO Imp.]],DA$9)</f>
        <v>0</v>
      </c>
      <c r="DB91" s="516">
        <f>SUMIFS(Imput[[Importe Neto]:[Importe Neto]],Imput[[C. Imp.]:[C. Imp.]],$D91,Imput[[PERIODO Imp.]:[PERIODO Imp.]],DB$9)</f>
        <v>0</v>
      </c>
      <c r="DC91" s="516">
        <f>SUMIFS(Imput[[Importe Neto]:[Importe Neto]],Imput[[C. Imp.]:[C. Imp.]],$D91,Imput[[PERIODO Imp.]:[PERIODO Imp.]],DC$9)</f>
        <v>0</v>
      </c>
      <c r="DD91" s="516">
        <f>SUMIFS(Imput[[Importe Neto]:[Importe Neto]],Imput[[C. Imp.]:[C. Imp.]],$D91,Imput[[PERIODO Imp.]:[PERIODO Imp.]],DD$9)</f>
        <v>0</v>
      </c>
      <c r="DE91" s="516">
        <f>SUMIFS(Imput[[Importe Neto]:[Importe Neto]],Imput[[C. Imp.]:[C. Imp.]],$D91,Imput[[PERIODO Imp.]:[PERIODO Imp.]],DE$9)</f>
        <v>0</v>
      </c>
      <c r="DF91" s="516">
        <f>SUMIFS(Imput[[Importe Neto]:[Importe Neto]],Imput[[C. Imp.]:[C. Imp.]],$D91,Imput[[PERIODO Imp.]:[PERIODO Imp.]],DF$9)</f>
        <v>0</v>
      </c>
      <c r="DG91" s="516">
        <f>SUMIFS(Imput[[Importe Neto]:[Importe Neto]],Imput[[C. Imp.]:[C. Imp.]],$D91,Imput[[PERIODO Imp.]:[PERIODO Imp.]],DG$9)</f>
        <v>0</v>
      </c>
      <c r="DH91" s="616">
        <f>SUMIFS(Imput[[Importe Neto]:[Importe Neto]],Imput[[C. Imp.]:[C. Imp.]],$D91,Imput[[PERIODO Imp.]:[PERIODO Imp.]],DH$9)</f>
        <v>0</v>
      </c>
    </row>
    <row r="92" spans="1:112" hidden="1" outlineLevel="1" x14ac:dyDescent="0.3">
      <c r="A92" s="66" t="str">
        <f t="shared" si="22"/>
        <v/>
      </c>
      <c r="C92" s="527"/>
      <c r="D92" s="528" t="s">
        <v>2204</v>
      </c>
      <c r="E92" s="528"/>
      <c r="F92" s="534"/>
      <c r="G92" s="529"/>
      <c r="H92" s="531"/>
      <c r="I92" s="849" t="str">
        <f t="shared" si="23"/>
        <v/>
      </c>
      <c r="J92" s="850" t="str">
        <f t="shared" si="24"/>
        <v/>
      </c>
      <c r="K92" s="70"/>
      <c r="L92" s="853"/>
      <c r="M92" s="855"/>
      <c r="N92" s="855"/>
      <c r="O92" s="855"/>
      <c r="P92" s="855"/>
      <c r="Q92" s="855"/>
      <c r="R92" s="855"/>
      <c r="S92" s="855"/>
      <c r="T92" s="855"/>
      <c r="U92" s="855"/>
      <c r="V92" s="855"/>
      <c r="W92" s="855"/>
      <c r="X92" s="855"/>
      <c r="Y92" s="855"/>
      <c r="Z92" s="856"/>
      <c r="AA92" s="856"/>
      <c r="AB92" s="856"/>
      <c r="AC92" s="856"/>
      <c r="AD92" s="856"/>
      <c r="AE92" s="856"/>
      <c r="AF92" s="856"/>
      <c r="AG92" s="856"/>
      <c r="AH92" s="856"/>
      <c r="AI92" s="856"/>
      <c r="AJ92" s="856"/>
      <c r="AK92" s="856"/>
      <c r="AL92" s="856"/>
      <c r="AM92" s="856"/>
      <c r="AN92" s="856"/>
      <c r="AO92" s="856"/>
      <c r="AP92" s="856"/>
      <c r="AQ92" s="856"/>
      <c r="AR92" s="856"/>
      <c r="AS92" s="856"/>
      <c r="AT92" s="856"/>
      <c r="AU92" s="856"/>
      <c r="AV92" s="856"/>
      <c r="AW92" s="856"/>
      <c r="AX92" s="856"/>
      <c r="AY92" s="856"/>
      <c r="AZ92" s="856"/>
      <c r="BA92" s="856"/>
      <c r="BB92" s="856"/>
      <c r="BC92" s="856"/>
      <c r="BD92" s="856"/>
      <c r="BE92" s="856"/>
      <c r="BF92" s="856"/>
      <c r="BG92" s="857"/>
      <c r="BH92" s="590"/>
      <c r="BI92" s="70"/>
      <c r="BJ92" s="518">
        <f t="shared" si="25"/>
        <v>0</v>
      </c>
      <c r="BK92" s="517">
        <f t="shared" si="26"/>
        <v>0</v>
      </c>
      <c r="BL92" s="68"/>
      <c r="BM92" s="515">
        <f>SUMIFS(Imput[[Importe Neto]:[Importe Neto]],Imput[[C. Imp.]:[C. Imp.]],$D92,Imput[[PERIODO Imp.]:[PERIODO Imp.]],BM$9)</f>
        <v>0</v>
      </c>
      <c r="BN92" s="516">
        <f>SUMIFS(Imput[[Importe Neto]:[Importe Neto]],Imput[[C. Imp.]:[C. Imp.]],$D92,Imput[[PERIODO Imp.]:[PERIODO Imp.]],BN$9)</f>
        <v>0</v>
      </c>
      <c r="BO92" s="516">
        <f>SUMIFS(Imput[[Importe Neto]:[Importe Neto]],Imput[[C. Imp.]:[C. Imp.]],$D92,Imput[[PERIODO Imp.]:[PERIODO Imp.]],BO$9)</f>
        <v>0</v>
      </c>
      <c r="BP92" s="516">
        <f>SUMIFS(Imput[[Importe Neto]:[Importe Neto]],Imput[[C. Imp.]:[C. Imp.]],$D92,Imput[[PERIODO Imp.]:[PERIODO Imp.]],BP$9)</f>
        <v>0</v>
      </c>
      <c r="BQ92" s="516">
        <f>SUMIFS(Imput[[Importe Neto]:[Importe Neto]],Imput[[C. Imp.]:[C. Imp.]],$D92,Imput[[PERIODO Imp.]:[PERIODO Imp.]],BQ$9)</f>
        <v>0</v>
      </c>
      <c r="BR92" s="516">
        <f>SUMIFS(Imput[[Importe Neto]:[Importe Neto]],Imput[[C. Imp.]:[C. Imp.]],$D92,Imput[[PERIODO Imp.]:[PERIODO Imp.]],BR$9)</f>
        <v>0</v>
      </c>
      <c r="BS92" s="516">
        <f>SUMIFS(Imput[[Importe Neto]:[Importe Neto]],Imput[[C. Imp.]:[C. Imp.]],$D92,Imput[[PERIODO Imp.]:[PERIODO Imp.]],BS$9)</f>
        <v>0</v>
      </c>
      <c r="BT92" s="516">
        <f>SUMIFS(Imput[[Importe Neto]:[Importe Neto]],Imput[[C. Imp.]:[C. Imp.]],$D92,Imput[[PERIODO Imp.]:[PERIODO Imp.]],BT$9)</f>
        <v>0</v>
      </c>
      <c r="BU92" s="516">
        <f>SUMIFS(Imput[[Importe Neto]:[Importe Neto]],Imput[[C. Imp.]:[C. Imp.]],$D92,Imput[[PERIODO Imp.]:[PERIODO Imp.]],BU$9)</f>
        <v>0</v>
      </c>
      <c r="BV92" s="516">
        <f>SUMIFS(Imput[[Importe Neto]:[Importe Neto]],Imput[[C. Imp.]:[C. Imp.]],$D92,Imput[[PERIODO Imp.]:[PERIODO Imp.]],BV$9)</f>
        <v>0</v>
      </c>
      <c r="BW92" s="516">
        <f>SUMIFS(Imput[[Importe Neto]:[Importe Neto]],Imput[[C. Imp.]:[C. Imp.]],$D92,Imput[[PERIODO Imp.]:[PERIODO Imp.]],BW$9)</f>
        <v>0</v>
      </c>
      <c r="BX92" s="516">
        <f>SUMIFS(Imput[[Importe Neto]:[Importe Neto]],Imput[[C. Imp.]:[C. Imp.]],$D92,Imput[[PERIODO Imp.]:[PERIODO Imp.]],BX$9)</f>
        <v>0</v>
      </c>
      <c r="BY92" s="516">
        <f>SUMIFS(Imput[[Importe Neto]:[Importe Neto]],Imput[[C. Imp.]:[C. Imp.]],$D92,Imput[[PERIODO Imp.]:[PERIODO Imp.]],BY$9)</f>
        <v>0</v>
      </c>
      <c r="BZ92" s="516">
        <f>SUMIFS(Imput[[Importe Neto]:[Importe Neto]],Imput[[C. Imp.]:[C. Imp.]],$D92,Imput[[PERIODO Imp.]:[PERIODO Imp.]],BZ$9)</f>
        <v>0</v>
      </c>
      <c r="CA92" s="516">
        <f>SUMIFS(Imput[[Importe Neto]:[Importe Neto]],Imput[[C. Imp.]:[C. Imp.]],$D92,Imput[[PERIODO Imp.]:[PERIODO Imp.]],CA$9)</f>
        <v>0</v>
      </c>
      <c r="CB92" s="516">
        <f>SUMIFS(Imput[[Importe Neto]:[Importe Neto]],Imput[[C. Imp.]:[C. Imp.]],$D92,Imput[[PERIODO Imp.]:[PERIODO Imp.]],CB$9)</f>
        <v>0</v>
      </c>
      <c r="CC92" s="516">
        <f>SUMIFS(Imput[[Importe Neto]:[Importe Neto]],Imput[[C. Imp.]:[C. Imp.]],$D92,Imput[[PERIODO Imp.]:[PERIODO Imp.]],CC$9)</f>
        <v>0</v>
      </c>
      <c r="CD92" s="516">
        <f>SUMIFS(Imput[[Importe Neto]:[Importe Neto]],Imput[[C. Imp.]:[C. Imp.]],$D92,Imput[[PERIODO Imp.]:[PERIODO Imp.]],CD$9)</f>
        <v>0</v>
      </c>
      <c r="CE92" s="516">
        <f>SUMIFS(Imput[[Importe Neto]:[Importe Neto]],Imput[[C. Imp.]:[C. Imp.]],$D92,Imput[[PERIODO Imp.]:[PERIODO Imp.]],CE$9)</f>
        <v>0</v>
      </c>
      <c r="CF92" s="516">
        <f>SUMIFS(Imput[[Importe Neto]:[Importe Neto]],Imput[[C. Imp.]:[C. Imp.]],$D92,Imput[[PERIODO Imp.]:[PERIODO Imp.]],CF$9)</f>
        <v>0</v>
      </c>
      <c r="CG92" s="516">
        <f>SUMIFS(Imput[[Importe Neto]:[Importe Neto]],Imput[[C. Imp.]:[C. Imp.]],$D92,Imput[[PERIODO Imp.]:[PERIODO Imp.]],CG$9)</f>
        <v>0</v>
      </c>
      <c r="CH92" s="516">
        <f>SUMIFS(Imput[[Importe Neto]:[Importe Neto]],Imput[[C. Imp.]:[C. Imp.]],$D92,Imput[[PERIODO Imp.]:[PERIODO Imp.]],CH$9)</f>
        <v>0</v>
      </c>
      <c r="CI92" s="516">
        <f>SUMIFS(Imput[[Importe Neto]:[Importe Neto]],Imput[[C. Imp.]:[C. Imp.]],$D92,Imput[[PERIODO Imp.]:[PERIODO Imp.]],CI$9)</f>
        <v>0</v>
      </c>
      <c r="CJ92" s="516">
        <f>SUMIFS(Imput[[Importe Neto]:[Importe Neto]],Imput[[C. Imp.]:[C. Imp.]],$D92,Imput[[PERIODO Imp.]:[PERIODO Imp.]],CJ$9)</f>
        <v>0</v>
      </c>
      <c r="CK92" s="516">
        <f>SUMIFS(Imput[[Importe Neto]:[Importe Neto]],Imput[[C. Imp.]:[C. Imp.]],$D92,Imput[[PERIODO Imp.]:[PERIODO Imp.]],CK$9)</f>
        <v>0</v>
      </c>
      <c r="CL92" s="516">
        <f>SUMIFS(Imput[[Importe Neto]:[Importe Neto]],Imput[[C. Imp.]:[C. Imp.]],$D92,Imput[[PERIODO Imp.]:[PERIODO Imp.]],CL$9)</f>
        <v>0</v>
      </c>
      <c r="CM92" s="516">
        <f>SUMIFS(Imput[[Importe Neto]:[Importe Neto]],Imput[[C. Imp.]:[C. Imp.]],$D92,Imput[[PERIODO Imp.]:[PERIODO Imp.]],CM$9)</f>
        <v>0</v>
      </c>
      <c r="CN92" s="516">
        <f>SUMIFS(Imput[[Importe Neto]:[Importe Neto]],Imput[[C. Imp.]:[C. Imp.]],$D92,Imput[[PERIODO Imp.]:[PERIODO Imp.]],CN$9)</f>
        <v>0</v>
      </c>
      <c r="CO92" s="516">
        <f>SUMIFS(Imput[[Importe Neto]:[Importe Neto]],Imput[[C. Imp.]:[C. Imp.]],$D92,Imput[[PERIODO Imp.]:[PERIODO Imp.]],CO$9)</f>
        <v>0</v>
      </c>
      <c r="CP92" s="516">
        <f>SUMIFS(Imput[[Importe Neto]:[Importe Neto]],Imput[[C. Imp.]:[C. Imp.]],$D92,Imput[[PERIODO Imp.]:[PERIODO Imp.]],CP$9)</f>
        <v>0</v>
      </c>
      <c r="CQ92" s="516">
        <f>SUMIFS(Imput[[Importe Neto]:[Importe Neto]],Imput[[C. Imp.]:[C. Imp.]],$D92,Imput[[PERIODO Imp.]:[PERIODO Imp.]],CQ$9)</f>
        <v>0</v>
      </c>
      <c r="CR92" s="516">
        <f>SUMIFS(Imput[[Importe Neto]:[Importe Neto]],Imput[[C. Imp.]:[C. Imp.]],$D92,Imput[[PERIODO Imp.]:[PERIODO Imp.]],CR$9)</f>
        <v>0</v>
      </c>
      <c r="CS92" s="516">
        <f>SUMIFS(Imput[[Importe Neto]:[Importe Neto]],Imput[[C. Imp.]:[C. Imp.]],$D92,Imput[[PERIODO Imp.]:[PERIODO Imp.]],CS$9)</f>
        <v>0</v>
      </c>
      <c r="CT92" s="516">
        <f>SUMIFS(Imput[[Importe Neto]:[Importe Neto]],Imput[[C. Imp.]:[C. Imp.]],$D92,Imput[[PERIODO Imp.]:[PERIODO Imp.]],CT$9)</f>
        <v>0</v>
      </c>
      <c r="CU92" s="516">
        <f>SUMIFS(Imput[[Importe Neto]:[Importe Neto]],Imput[[C. Imp.]:[C. Imp.]],$D92,Imput[[PERIODO Imp.]:[PERIODO Imp.]],CU$9)</f>
        <v>0</v>
      </c>
      <c r="CV92" s="516">
        <f>SUMIFS(Imput[[Importe Neto]:[Importe Neto]],Imput[[C. Imp.]:[C. Imp.]],$D92,Imput[[PERIODO Imp.]:[PERIODO Imp.]],CV$9)</f>
        <v>0</v>
      </c>
      <c r="CW92" s="516">
        <f>SUMIFS(Imput[[Importe Neto]:[Importe Neto]],Imput[[C. Imp.]:[C. Imp.]],$D92,Imput[[PERIODO Imp.]:[PERIODO Imp.]],CW$9)</f>
        <v>0</v>
      </c>
      <c r="CX92" s="516">
        <f>SUMIFS(Imput[[Importe Neto]:[Importe Neto]],Imput[[C. Imp.]:[C. Imp.]],$D92,Imput[[PERIODO Imp.]:[PERIODO Imp.]],CX$9)</f>
        <v>0</v>
      </c>
      <c r="CY92" s="516">
        <f>SUMIFS(Imput[[Importe Neto]:[Importe Neto]],Imput[[C. Imp.]:[C. Imp.]],$D92,Imput[[PERIODO Imp.]:[PERIODO Imp.]],CY$9)</f>
        <v>0</v>
      </c>
      <c r="CZ92" s="516">
        <f>SUMIFS(Imput[[Importe Neto]:[Importe Neto]],Imput[[C. Imp.]:[C. Imp.]],$D92,Imput[[PERIODO Imp.]:[PERIODO Imp.]],CZ$9)</f>
        <v>0</v>
      </c>
      <c r="DA92" s="516">
        <f>SUMIFS(Imput[[Importe Neto]:[Importe Neto]],Imput[[C. Imp.]:[C. Imp.]],$D92,Imput[[PERIODO Imp.]:[PERIODO Imp.]],DA$9)</f>
        <v>0</v>
      </c>
      <c r="DB92" s="516">
        <f>SUMIFS(Imput[[Importe Neto]:[Importe Neto]],Imput[[C. Imp.]:[C. Imp.]],$D92,Imput[[PERIODO Imp.]:[PERIODO Imp.]],DB$9)</f>
        <v>0</v>
      </c>
      <c r="DC92" s="516">
        <f>SUMIFS(Imput[[Importe Neto]:[Importe Neto]],Imput[[C. Imp.]:[C. Imp.]],$D92,Imput[[PERIODO Imp.]:[PERIODO Imp.]],DC$9)</f>
        <v>0</v>
      </c>
      <c r="DD92" s="516">
        <f>SUMIFS(Imput[[Importe Neto]:[Importe Neto]],Imput[[C. Imp.]:[C. Imp.]],$D92,Imput[[PERIODO Imp.]:[PERIODO Imp.]],DD$9)</f>
        <v>0</v>
      </c>
      <c r="DE92" s="516">
        <f>SUMIFS(Imput[[Importe Neto]:[Importe Neto]],Imput[[C. Imp.]:[C. Imp.]],$D92,Imput[[PERIODO Imp.]:[PERIODO Imp.]],DE$9)</f>
        <v>0</v>
      </c>
      <c r="DF92" s="516">
        <f>SUMIFS(Imput[[Importe Neto]:[Importe Neto]],Imput[[C. Imp.]:[C. Imp.]],$D92,Imput[[PERIODO Imp.]:[PERIODO Imp.]],DF$9)</f>
        <v>0</v>
      </c>
      <c r="DG92" s="516">
        <f>SUMIFS(Imput[[Importe Neto]:[Importe Neto]],Imput[[C. Imp.]:[C. Imp.]],$D92,Imput[[PERIODO Imp.]:[PERIODO Imp.]],DG$9)</f>
        <v>0</v>
      </c>
      <c r="DH92" s="616">
        <f>SUMIFS(Imput[[Importe Neto]:[Importe Neto]],Imput[[C. Imp.]:[C. Imp.]],$D92,Imput[[PERIODO Imp.]:[PERIODO Imp.]],DH$9)</f>
        <v>0</v>
      </c>
    </row>
    <row r="93" spans="1:112" hidden="1" outlineLevel="1" x14ac:dyDescent="0.3">
      <c r="A93" s="66" t="str">
        <f t="shared" si="22"/>
        <v/>
      </c>
      <c r="C93" s="527"/>
      <c r="D93" s="528" t="s">
        <v>2205</v>
      </c>
      <c r="E93" s="528"/>
      <c r="F93" s="534"/>
      <c r="G93" s="529"/>
      <c r="H93" s="531"/>
      <c r="I93" s="849" t="str">
        <f t="shared" si="23"/>
        <v/>
      </c>
      <c r="J93" s="850" t="str">
        <f t="shared" si="24"/>
        <v/>
      </c>
      <c r="K93" s="70"/>
      <c r="L93" s="853"/>
      <c r="M93" s="855"/>
      <c r="N93" s="855"/>
      <c r="O93" s="855"/>
      <c r="P93" s="855"/>
      <c r="Q93" s="855"/>
      <c r="R93" s="855"/>
      <c r="S93" s="855"/>
      <c r="T93" s="855"/>
      <c r="U93" s="855"/>
      <c r="V93" s="855"/>
      <c r="W93" s="855"/>
      <c r="X93" s="855"/>
      <c r="Y93" s="855"/>
      <c r="Z93" s="856"/>
      <c r="AA93" s="856"/>
      <c r="AB93" s="856"/>
      <c r="AC93" s="856"/>
      <c r="AD93" s="856"/>
      <c r="AE93" s="856"/>
      <c r="AF93" s="856"/>
      <c r="AG93" s="856"/>
      <c r="AH93" s="856"/>
      <c r="AI93" s="856"/>
      <c r="AJ93" s="856"/>
      <c r="AK93" s="856"/>
      <c r="AL93" s="856"/>
      <c r="AM93" s="856"/>
      <c r="AN93" s="856"/>
      <c r="AO93" s="856"/>
      <c r="AP93" s="856"/>
      <c r="AQ93" s="856"/>
      <c r="AR93" s="856"/>
      <c r="AS93" s="856"/>
      <c r="AT93" s="856"/>
      <c r="AU93" s="856"/>
      <c r="AV93" s="856"/>
      <c r="AW93" s="856"/>
      <c r="AX93" s="856"/>
      <c r="AY93" s="856"/>
      <c r="AZ93" s="856"/>
      <c r="BA93" s="856"/>
      <c r="BB93" s="856"/>
      <c r="BC93" s="856"/>
      <c r="BD93" s="856"/>
      <c r="BE93" s="856"/>
      <c r="BF93" s="856"/>
      <c r="BG93" s="857"/>
      <c r="BH93" s="590"/>
      <c r="BI93" s="70"/>
      <c r="BJ93" s="518">
        <f t="shared" si="25"/>
        <v>0</v>
      </c>
      <c r="BK93" s="517">
        <f t="shared" si="26"/>
        <v>0</v>
      </c>
      <c r="BL93" s="68"/>
      <c r="BM93" s="515">
        <f>SUMIFS(Imput[[Importe Neto]:[Importe Neto]],Imput[[C. Imp.]:[C. Imp.]],$D93,Imput[[PERIODO Imp.]:[PERIODO Imp.]],BM$9)</f>
        <v>0</v>
      </c>
      <c r="BN93" s="516">
        <f>SUMIFS(Imput[[Importe Neto]:[Importe Neto]],Imput[[C. Imp.]:[C. Imp.]],$D93,Imput[[PERIODO Imp.]:[PERIODO Imp.]],BN$9)</f>
        <v>0</v>
      </c>
      <c r="BO93" s="516">
        <f>SUMIFS(Imput[[Importe Neto]:[Importe Neto]],Imput[[C. Imp.]:[C. Imp.]],$D93,Imput[[PERIODO Imp.]:[PERIODO Imp.]],BO$9)</f>
        <v>0</v>
      </c>
      <c r="BP93" s="516">
        <f>SUMIFS(Imput[[Importe Neto]:[Importe Neto]],Imput[[C. Imp.]:[C. Imp.]],$D93,Imput[[PERIODO Imp.]:[PERIODO Imp.]],BP$9)</f>
        <v>0</v>
      </c>
      <c r="BQ93" s="516">
        <f>SUMIFS(Imput[[Importe Neto]:[Importe Neto]],Imput[[C. Imp.]:[C. Imp.]],$D93,Imput[[PERIODO Imp.]:[PERIODO Imp.]],BQ$9)</f>
        <v>0</v>
      </c>
      <c r="BR93" s="516">
        <f>SUMIFS(Imput[[Importe Neto]:[Importe Neto]],Imput[[C. Imp.]:[C. Imp.]],$D93,Imput[[PERIODO Imp.]:[PERIODO Imp.]],BR$9)</f>
        <v>0</v>
      </c>
      <c r="BS93" s="516">
        <f>SUMIFS(Imput[[Importe Neto]:[Importe Neto]],Imput[[C. Imp.]:[C. Imp.]],$D93,Imput[[PERIODO Imp.]:[PERIODO Imp.]],BS$9)</f>
        <v>0</v>
      </c>
      <c r="BT93" s="516">
        <f>SUMIFS(Imput[[Importe Neto]:[Importe Neto]],Imput[[C. Imp.]:[C. Imp.]],$D93,Imput[[PERIODO Imp.]:[PERIODO Imp.]],BT$9)</f>
        <v>0</v>
      </c>
      <c r="BU93" s="516">
        <f>SUMIFS(Imput[[Importe Neto]:[Importe Neto]],Imput[[C. Imp.]:[C. Imp.]],$D93,Imput[[PERIODO Imp.]:[PERIODO Imp.]],BU$9)</f>
        <v>0</v>
      </c>
      <c r="BV93" s="516">
        <f>SUMIFS(Imput[[Importe Neto]:[Importe Neto]],Imput[[C. Imp.]:[C. Imp.]],$D93,Imput[[PERIODO Imp.]:[PERIODO Imp.]],BV$9)</f>
        <v>0</v>
      </c>
      <c r="BW93" s="516">
        <f>SUMIFS(Imput[[Importe Neto]:[Importe Neto]],Imput[[C. Imp.]:[C. Imp.]],$D93,Imput[[PERIODO Imp.]:[PERIODO Imp.]],BW$9)</f>
        <v>0</v>
      </c>
      <c r="BX93" s="516">
        <f>SUMIFS(Imput[[Importe Neto]:[Importe Neto]],Imput[[C. Imp.]:[C. Imp.]],$D93,Imput[[PERIODO Imp.]:[PERIODO Imp.]],BX$9)</f>
        <v>0</v>
      </c>
      <c r="BY93" s="516">
        <f>SUMIFS(Imput[[Importe Neto]:[Importe Neto]],Imput[[C. Imp.]:[C. Imp.]],$D93,Imput[[PERIODO Imp.]:[PERIODO Imp.]],BY$9)</f>
        <v>0</v>
      </c>
      <c r="BZ93" s="516">
        <f>SUMIFS(Imput[[Importe Neto]:[Importe Neto]],Imput[[C. Imp.]:[C. Imp.]],$D93,Imput[[PERIODO Imp.]:[PERIODO Imp.]],BZ$9)</f>
        <v>0</v>
      </c>
      <c r="CA93" s="516">
        <f>SUMIFS(Imput[[Importe Neto]:[Importe Neto]],Imput[[C. Imp.]:[C. Imp.]],$D93,Imput[[PERIODO Imp.]:[PERIODO Imp.]],CA$9)</f>
        <v>0</v>
      </c>
      <c r="CB93" s="516">
        <f>SUMIFS(Imput[[Importe Neto]:[Importe Neto]],Imput[[C. Imp.]:[C. Imp.]],$D93,Imput[[PERIODO Imp.]:[PERIODO Imp.]],CB$9)</f>
        <v>0</v>
      </c>
      <c r="CC93" s="516">
        <f>SUMIFS(Imput[[Importe Neto]:[Importe Neto]],Imput[[C. Imp.]:[C. Imp.]],$D93,Imput[[PERIODO Imp.]:[PERIODO Imp.]],CC$9)</f>
        <v>0</v>
      </c>
      <c r="CD93" s="516">
        <f>SUMIFS(Imput[[Importe Neto]:[Importe Neto]],Imput[[C. Imp.]:[C. Imp.]],$D93,Imput[[PERIODO Imp.]:[PERIODO Imp.]],CD$9)</f>
        <v>0</v>
      </c>
      <c r="CE93" s="516">
        <f>SUMIFS(Imput[[Importe Neto]:[Importe Neto]],Imput[[C. Imp.]:[C. Imp.]],$D93,Imput[[PERIODO Imp.]:[PERIODO Imp.]],CE$9)</f>
        <v>0</v>
      </c>
      <c r="CF93" s="516">
        <f>SUMIFS(Imput[[Importe Neto]:[Importe Neto]],Imput[[C. Imp.]:[C. Imp.]],$D93,Imput[[PERIODO Imp.]:[PERIODO Imp.]],CF$9)</f>
        <v>0</v>
      </c>
      <c r="CG93" s="516">
        <f>SUMIFS(Imput[[Importe Neto]:[Importe Neto]],Imput[[C. Imp.]:[C. Imp.]],$D93,Imput[[PERIODO Imp.]:[PERIODO Imp.]],CG$9)</f>
        <v>0</v>
      </c>
      <c r="CH93" s="516">
        <f>SUMIFS(Imput[[Importe Neto]:[Importe Neto]],Imput[[C. Imp.]:[C. Imp.]],$D93,Imput[[PERIODO Imp.]:[PERIODO Imp.]],CH$9)</f>
        <v>0</v>
      </c>
      <c r="CI93" s="516">
        <f>SUMIFS(Imput[[Importe Neto]:[Importe Neto]],Imput[[C. Imp.]:[C. Imp.]],$D93,Imput[[PERIODO Imp.]:[PERIODO Imp.]],CI$9)</f>
        <v>0</v>
      </c>
      <c r="CJ93" s="516">
        <f>SUMIFS(Imput[[Importe Neto]:[Importe Neto]],Imput[[C. Imp.]:[C. Imp.]],$D93,Imput[[PERIODO Imp.]:[PERIODO Imp.]],CJ$9)</f>
        <v>0</v>
      </c>
      <c r="CK93" s="516">
        <f>SUMIFS(Imput[[Importe Neto]:[Importe Neto]],Imput[[C. Imp.]:[C. Imp.]],$D93,Imput[[PERIODO Imp.]:[PERIODO Imp.]],CK$9)</f>
        <v>0</v>
      </c>
      <c r="CL93" s="516">
        <f>SUMIFS(Imput[[Importe Neto]:[Importe Neto]],Imput[[C. Imp.]:[C. Imp.]],$D93,Imput[[PERIODO Imp.]:[PERIODO Imp.]],CL$9)</f>
        <v>0</v>
      </c>
      <c r="CM93" s="516">
        <f>SUMIFS(Imput[[Importe Neto]:[Importe Neto]],Imput[[C. Imp.]:[C. Imp.]],$D93,Imput[[PERIODO Imp.]:[PERIODO Imp.]],CM$9)</f>
        <v>0</v>
      </c>
      <c r="CN93" s="516">
        <f>SUMIFS(Imput[[Importe Neto]:[Importe Neto]],Imput[[C. Imp.]:[C. Imp.]],$D93,Imput[[PERIODO Imp.]:[PERIODO Imp.]],CN$9)</f>
        <v>0</v>
      </c>
      <c r="CO93" s="516">
        <f>SUMIFS(Imput[[Importe Neto]:[Importe Neto]],Imput[[C. Imp.]:[C. Imp.]],$D93,Imput[[PERIODO Imp.]:[PERIODO Imp.]],CO$9)</f>
        <v>0</v>
      </c>
      <c r="CP93" s="516">
        <f>SUMIFS(Imput[[Importe Neto]:[Importe Neto]],Imput[[C. Imp.]:[C. Imp.]],$D93,Imput[[PERIODO Imp.]:[PERIODO Imp.]],CP$9)</f>
        <v>0</v>
      </c>
      <c r="CQ93" s="516">
        <f>SUMIFS(Imput[[Importe Neto]:[Importe Neto]],Imput[[C. Imp.]:[C. Imp.]],$D93,Imput[[PERIODO Imp.]:[PERIODO Imp.]],CQ$9)</f>
        <v>0</v>
      </c>
      <c r="CR93" s="516">
        <f>SUMIFS(Imput[[Importe Neto]:[Importe Neto]],Imput[[C. Imp.]:[C. Imp.]],$D93,Imput[[PERIODO Imp.]:[PERIODO Imp.]],CR$9)</f>
        <v>0</v>
      </c>
      <c r="CS93" s="516">
        <f>SUMIFS(Imput[[Importe Neto]:[Importe Neto]],Imput[[C. Imp.]:[C. Imp.]],$D93,Imput[[PERIODO Imp.]:[PERIODO Imp.]],CS$9)</f>
        <v>0</v>
      </c>
      <c r="CT93" s="516">
        <f>SUMIFS(Imput[[Importe Neto]:[Importe Neto]],Imput[[C. Imp.]:[C. Imp.]],$D93,Imput[[PERIODO Imp.]:[PERIODO Imp.]],CT$9)</f>
        <v>0</v>
      </c>
      <c r="CU93" s="516">
        <f>SUMIFS(Imput[[Importe Neto]:[Importe Neto]],Imput[[C. Imp.]:[C. Imp.]],$D93,Imput[[PERIODO Imp.]:[PERIODO Imp.]],CU$9)</f>
        <v>0</v>
      </c>
      <c r="CV93" s="516">
        <f>SUMIFS(Imput[[Importe Neto]:[Importe Neto]],Imput[[C. Imp.]:[C. Imp.]],$D93,Imput[[PERIODO Imp.]:[PERIODO Imp.]],CV$9)</f>
        <v>0</v>
      </c>
      <c r="CW93" s="516">
        <f>SUMIFS(Imput[[Importe Neto]:[Importe Neto]],Imput[[C. Imp.]:[C. Imp.]],$D93,Imput[[PERIODO Imp.]:[PERIODO Imp.]],CW$9)</f>
        <v>0</v>
      </c>
      <c r="CX93" s="516">
        <f>SUMIFS(Imput[[Importe Neto]:[Importe Neto]],Imput[[C. Imp.]:[C. Imp.]],$D93,Imput[[PERIODO Imp.]:[PERIODO Imp.]],CX$9)</f>
        <v>0</v>
      </c>
      <c r="CY93" s="516">
        <f>SUMIFS(Imput[[Importe Neto]:[Importe Neto]],Imput[[C. Imp.]:[C. Imp.]],$D93,Imput[[PERIODO Imp.]:[PERIODO Imp.]],CY$9)</f>
        <v>0</v>
      </c>
      <c r="CZ93" s="516">
        <f>SUMIFS(Imput[[Importe Neto]:[Importe Neto]],Imput[[C. Imp.]:[C. Imp.]],$D93,Imput[[PERIODO Imp.]:[PERIODO Imp.]],CZ$9)</f>
        <v>0</v>
      </c>
      <c r="DA93" s="516">
        <f>SUMIFS(Imput[[Importe Neto]:[Importe Neto]],Imput[[C. Imp.]:[C. Imp.]],$D93,Imput[[PERIODO Imp.]:[PERIODO Imp.]],DA$9)</f>
        <v>0</v>
      </c>
      <c r="DB93" s="516">
        <f>SUMIFS(Imput[[Importe Neto]:[Importe Neto]],Imput[[C. Imp.]:[C. Imp.]],$D93,Imput[[PERIODO Imp.]:[PERIODO Imp.]],DB$9)</f>
        <v>0</v>
      </c>
      <c r="DC93" s="516">
        <f>SUMIFS(Imput[[Importe Neto]:[Importe Neto]],Imput[[C. Imp.]:[C. Imp.]],$D93,Imput[[PERIODO Imp.]:[PERIODO Imp.]],DC$9)</f>
        <v>0</v>
      </c>
      <c r="DD93" s="516">
        <f>SUMIFS(Imput[[Importe Neto]:[Importe Neto]],Imput[[C. Imp.]:[C. Imp.]],$D93,Imput[[PERIODO Imp.]:[PERIODO Imp.]],DD$9)</f>
        <v>0</v>
      </c>
      <c r="DE93" s="516">
        <f>SUMIFS(Imput[[Importe Neto]:[Importe Neto]],Imput[[C. Imp.]:[C. Imp.]],$D93,Imput[[PERIODO Imp.]:[PERIODO Imp.]],DE$9)</f>
        <v>0</v>
      </c>
      <c r="DF93" s="516">
        <f>SUMIFS(Imput[[Importe Neto]:[Importe Neto]],Imput[[C. Imp.]:[C. Imp.]],$D93,Imput[[PERIODO Imp.]:[PERIODO Imp.]],DF$9)</f>
        <v>0</v>
      </c>
      <c r="DG93" s="516">
        <f>SUMIFS(Imput[[Importe Neto]:[Importe Neto]],Imput[[C. Imp.]:[C. Imp.]],$D93,Imput[[PERIODO Imp.]:[PERIODO Imp.]],DG$9)</f>
        <v>0</v>
      </c>
      <c r="DH93" s="616">
        <f>SUMIFS(Imput[[Importe Neto]:[Importe Neto]],Imput[[C. Imp.]:[C. Imp.]],$D93,Imput[[PERIODO Imp.]:[PERIODO Imp.]],DH$9)</f>
        <v>0</v>
      </c>
    </row>
    <row r="94" spans="1:112" hidden="1" outlineLevel="1" x14ac:dyDescent="0.3">
      <c r="A94" s="66" t="str">
        <f t="shared" si="22"/>
        <v/>
      </c>
      <c r="C94" s="527"/>
      <c r="D94" s="528" t="s">
        <v>2206</v>
      </c>
      <c r="E94" s="528"/>
      <c r="F94" s="534"/>
      <c r="G94" s="529"/>
      <c r="H94" s="531"/>
      <c r="I94" s="849" t="str">
        <f t="shared" si="23"/>
        <v/>
      </c>
      <c r="J94" s="850" t="str">
        <f t="shared" si="24"/>
        <v/>
      </c>
      <c r="K94" s="70"/>
      <c r="L94" s="853"/>
      <c r="M94" s="855"/>
      <c r="N94" s="855"/>
      <c r="O94" s="855"/>
      <c r="P94" s="855"/>
      <c r="Q94" s="855"/>
      <c r="R94" s="855"/>
      <c r="S94" s="855"/>
      <c r="T94" s="855"/>
      <c r="U94" s="855"/>
      <c r="V94" s="855"/>
      <c r="W94" s="855"/>
      <c r="X94" s="855"/>
      <c r="Y94" s="855"/>
      <c r="Z94" s="856"/>
      <c r="AA94" s="856"/>
      <c r="AB94" s="856"/>
      <c r="AC94" s="856"/>
      <c r="AD94" s="856"/>
      <c r="AE94" s="856"/>
      <c r="AF94" s="856"/>
      <c r="AG94" s="856"/>
      <c r="AH94" s="856"/>
      <c r="AI94" s="856"/>
      <c r="AJ94" s="856"/>
      <c r="AK94" s="856"/>
      <c r="AL94" s="856"/>
      <c r="AM94" s="856"/>
      <c r="AN94" s="856"/>
      <c r="AO94" s="856"/>
      <c r="AP94" s="856"/>
      <c r="AQ94" s="856"/>
      <c r="AR94" s="856"/>
      <c r="AS94" s="856"/>
      <c r="AT94" s="856"/>
      <c r="AU94" s="856"/>
      <c r="AV94" s="856"/>
      <c r="AW94" s="856"/>
      <c r="AX94" s="856"/>
      <c r="AY94" s="856"/>
      <c r="AZ94" s="856"/>
      <c r="BA94" s="856"/>
      <c r="BB94" s="856"/>
      <c r="BC94" s="856"/>
      <c r="BD94" s="856"/>
      <c r="BE94" s="856"/>
      <c r="BF94" s="856"/>
      <c r="BG94" s="857"/>
      <c r="BH94" s="590"/>
      <c r="BI94" s="70"/>
      <c r="BJ94" s="518">
        <f t="shared" si="25"/>
        <v>0</v>
      </c>
      <c r="BK94" s="517">
        <f t="shared" si="26"/>
        <v>0</v>
      </c>
      <c r="BL94" s="68"/>
      <c r="BM94" s="515">
        <f>SUMIFS(Imput[[Importe Neto]:[Importe Neto]],Imput[[C. Imp.]:[C. Imp.]],$D94,Imput[[PERIODO Imp.]:[PERIODO Imp.]],BM$9)</f>
        <v>0</v>
      </c>
      <c r="BN94" s="516">
        <f>SUMIFS(Imput[[Importe Neto]:[Importe Neto]],Imput[[C. Imp.]:[C. Imp.]],$D94,Imput[[PERIODO Imp.]:[PERIODO Imp.]],BN$9)</f>
        <v>0</v>
      </c>
      <c r="BO94" s="516">
        <f>SUMIFS(Imput[[Importe Neto]:[Importe Neto]],Imput[[C. Imp.]:[C. Imp.]],$D94,Imput[[PERIODO Imp.]:[PERIODO Imp.]],BO$9)</f>
        <v>0</v>
      </c>
      <c r="BP94" s="516">
        <f>SUMIFS(Imput[[Importe Neto]:[Importe Neto]],Imput[[C. Imp.]:[C. Imp.]],$D94,Imput[[PERIODO Imp.]:[PERIODO Imp.]],BP$9)</f>
        <v>0</v>
      </c>
      <c r="BQ94" s="516">
        <f>SUMIFS(Imput[[Importe Neto]:[Importe Neto]],Imput[[C. Imp.]:[C. Imp.]],$D94,Imput[[PERIODO Imp.]:[PERIODO Imp.]],BQ$9)</f>
        <v>0</v>
      </c>
      <c r="BR94" s="516">
        <f>SUMIFS(Imput[[Importe Neto]:[Importe Neto]],Imput[[C. Imp.]:[C. Imp.]],$D94,Imput[[PERIODO Imp.]:[PERIODO Imp.]],BR$9)</f>
        <v>0</v>
      </c>
      <c r="BS94" s="516">
        <f>SUMIFS(Imput[[Importe Neto]:[Importe Neto]],Imput[[C. Imp.]:[C. Imp.]],$D94,Imput[[PERIODO Imp.]:[PERIODO Imp.]],BS$9)</f>
        <v>0</v>
      </c>
      <c r="BT94" s="516">
        <f>SUMIFS(Imput[[Importe Neto]:[Importe Neto]],Imput[[C. Imp.]:[C. Imp.]],$D94,Imput[[PERIODO Imp.]:[PERIODO Imp.]],BT$9)</f>
        <v>0</v>
      </c>
      <c r="BU94" s="516">
        <f>SUMIFS(Imput[[Importe Neto]:[Importe Neto]],Imput[[C. Imp.]:[C. Imp.]],$D94,Imput[[PERIODO Imp.]:[PERIODO Imp.]],BU$9)</f>
        <v>0</v>
      </c>
      <c r="BV94" s="516">
        <f>SUMIFS(Imput[[Importe Neto]:[Importe Neto]],Imput[[C. Imp.]:[C. Imp.]],$D94,Imput[[PERIODO Imp.]:[PERIODO Imp.]],BV$9)</f>
        <v>0</v>
      </c>
      <c r="BW94" s="516">
        <f>SUMIFS(Imput[[Importe Neto]:[Importe Neto]],Imput[[C. Imp.]:[C. Imp.]],$D94,Imput[[PERIODO Imp.]:[PERIODO Imp.]],BW$9)</f>
        <v>0</v>
      </c>
      <c r="BX94" s="516">
        <f>SUMIFS(Imput[[Importe Neto]:[Importe Neto]],Imput[[C. Imp.]:[C. Imp.]],$D94,Imput[[PERIODO Imp.]:[PERIODO Imp.]],BX$9)</f>
        <v>0</v>
      </c>
      <c r="BY94" s="516">
        <f>SUMIFS(Imput[[Importe Neto]:[Importe Neto]],Imput[[C. Imp.]:[C. Imp.]],$D94,Imput[[PERIODO Imp.]:[PERIODO Imp.]],BY$9)</f>
        <v>0</v>
      </c>
      <c r="BZ94" s="516">
        <f>SUMIFS(Imput[[Importe Neto]:[Importe Neto]],Imput[[C. Imp.]:[C. Imp.]],$D94,Imput[[PERIODO Imp.]:[PERIODO Imp.]],BZ$9)</f>
        <v>0</v>
      </c>
      <c r="CA94" s="516">
        <f>SUMIFS(Imput[[Importe Neto]:[Importe Neto]],Imput[[C. Imp.]:[C. Imp.]],$D94,Imput[[PERIODO Imp.]:[PERIODO Imp.]],CA$9)</f>
        <v>0</v>
      </c>
      <c r="CB94" s="516">
        <f>SUMIFS(Imput[[Importe Neto]:[Importe Neto]],Imput[[C. Imp.]:[C. Imp.]],$D94,Imput[[PERIODO Imp.]:[PERIODO Imp.]],CB$9)</f>
        <v>0</v>
      </c>
      <c r="CC94" s="516">
        <f>SUMIFS(Imput[[Importe Neto]:[Importe Neto]],Imput[[C. Imp.]:[C. Imp.]],$D94,Imput[[PERIODO Imp.]:[PERIODO Imp.]],CC$9)</f>
        <v>0</v>
      </c>
      <c r="CD94" s="516">
        <f>SUMIFS(Imput[[Importe Neto]:[Importe Neto]],Imput[[C. Imp.]:[C. Imp.]],$D94,Imput[[PERIODO Imp.]:[PERIODO Imp.]],CD$9)</f>
        <v>0</v>
      </c>
      <c r="CE94" s="516">
        <f>SUMIFS(Imput[[Importe Neto]:[Importe Neto]],Imput[[C. Imp.]:[C. Imp.]],$D94,Imput[[PERIODO Imp.]:[PERIODO Imp.]],CE$9)</f>
        <v>0</v>
      </c>
      <c r="CF94" s="516">
        <f>SUMIFS(Imput[[Importe Neto]:[Importe Neto]],Imput[[C. Imp.]:[C. Imp.]],$D94,Imput[[PERIODO Imp.]:[PERIODO Imp.]],CF$9)</f>
        <v>0</v>
      </c>
      <c r="CG94" s="516">
        <f>SUMIFS(Imput[[Importe Neto]:[Importe Neto]],Imput[[C. Imp.]:[C. Imp.]],$D94,Imput[[PERIODO Imp.]:[PERIODO Imp.]],CG$9)</f>
        <v>0</v>
      </c>
      <c r="CH94" s="516">
        <f>SUMIFS(Imput[[Importe Neto]:[Importe Neto]],Imput[[C. Imp.]:[C. Imp.]],$D94,Imput[[PERIODO Imp.]:[PERIODO Imp.]],CH$9)</f>
        <v>0</v>
      </c>
      <c r="CI94" s="516">
        <f>SUMIFS(Imput[[Importe Neto]:[Importe Neto]],Imput[[C. Imp.]:[C. Imp.]],$D94,Imput[[PERIODO Imp.]:[PERIODO Imp.]],CI$9)</f>
        <v>0</v>
      </c>
      <c r="CJ94" s="516">
        <f>SUMIFS(Imput[[Importe Neto]:[Importe Neto]],Imput[[C. Imp.]:[C. Imp.]],$D94,Imput[[PERIODO Imp.]:[PERIODO Imp.]],CJ$9)</f>
        <v>0</v>
      </c>
      <c r="CK94" s="516">
        <f>SUMIFS(Imput[[Importe Neto]:[Importe Neto]],Imput[[C. Imp.]:[C. Imp.]],$D94,Imput[[PERIODO Imp.]:[PERIODO Imp.]],CK$9)</f>
        <v>0</v>
      </c>
      <c r="CL94" s="516">
        <f>SUMIFS(Imput[[Importe Neto]:[Importe Neto]],Imput[[C. Imp.]:[C. Imp.]],$D94,Imput[[PERIODO Imp.]:[PERIODO Imp.]],CL$9)</f>
        <v>0</v>
      </c>
      <c r="CM94" s="516">
        <f>SUMIFS(Imput[[Importe Neto]:[Importe Neto]],Imput[[C. Imp.]:[C. Imp.]],$D94,Imput[[PERIODO Imp.]:[PERIODO Imp.]],CM$9)</f>
        <v>0</v>
      </c>
      <c r="CN94" s="516">
        <f>SUMIFS(Imput[[Importe Neto]:[Importe Neto]],Imput[[C. Imp.]:[C. Imp.]],$D94,Imput[[PERIODO Imp.]:[PERIODO Imp.]],CN$9)</f>
        <v>0</v>
      </c>
      <c r="CO94" s="516">
        <f>SUMIFS(Imput[[Importe Neto]:[Importe Neto]],Imput[[C. Imp.]:[C. Imp.]],$D94,Imput[[PERIODO Imp.]:[PERIODO Imp.]],CO$9)</f>
        <v>0</v>
      </c>
      <c r="CP94" s="516">
        <f>SUMIFS(Imput[[Importe Neto]:[Importe Neto]],Imput[[C. Imp.]:[C. Imp.]],$D94,Imput[[PERIODO Imp.]:[PERIODO Imp.]],CP$9)</f>
        <v>0</v>
      </c>
      <c r="CQ94" s="516">
        <f>SUMIFS(Imput[[Importe Neto]:[Importe Neto]],Imput[[C. Imp.]:[C. Imp.]],$D94,Imput[[PERIODO Imp.]:[PERIODO Imp.]],CQ$9)</f>
        <v>0</v>
      </c>
      <c r="CR94" s="516">
        <f>SUMIFS(Imput[[Importe Neto]:[Importe Neto]],Imput[[C. Imp.]:[C. Imp.]],$D94,Imput[[PERIODO Imp.]:[PERIODO Imp.]],CR$9)</f>
        <v>0</v>
      </c>
      <c r="CS94" s="516">
        <f>SUMIFS(Imput[[Importe Neto]:[Importe Neto]],Imput[[C. Imp.]:[C. Imp.]],$D94,Imput[[PERIODO Imp.]:[PERIODO Imp.]],CS$9)</f>
        <v>0</v>
      </c>
      <c r="CT94" s="516">
        <f>SUMIFS(Imput[[Importe Neto]:[Importe Neto]],Imput[[C. Imp.]:[C. Imp.]],$D94,Imput[[PERIODO Imp.]:[PERIODO Imp.]],CT$9)</f>
        <v>0</v>
      </c>
      <c r="CU94" s="516">
        <f>SUMIFS(Imput[[Importe Neto]:[Importe Neto]],Imput[[C. Imp.]:[C. Imp.]],$D94,Imput[[PERIODO Imp.]:[PERIODO Imp.]],CU$9)</f>
        <v>0</v>
      </c>
      <c r="CV94" s="516">
        <f>SUMIFS(Imput[[Importe Neto]:[Importe Neto]],Imput[[C. Imp.]:[C. Imp.]],$D94,Imput[[PERIODO Imp.]:[PERIODO Imp.]],CV$9)</f>
        <v>0</v>
      </c>
      <c r="CW94" s="516">
        <f>SUMIFS(Imput[[Importe Neto]:[Importe Neto]],Imput[[C. Imp.]:[C. Imp.]],$D94,Imput[[PERIODO Imp.]:[PERIODO Imp.]],CW$9)</f>
        <v>0</v>
      </c>
      <c r="CX94" s="516">
        <f>SUMIFS(Imput[[Importe Neto]:[Importe Neto]],Imput[[C. Imp.]:[C. Imp.]],$D94,Imput[[PERIODO Imp.]:[PERIODO Imp.]],CX$9)</f>
        <v>0</v>
      </c>
      <c r="CY94" s="516">
        <f>SUMIFS(Imput[[Importe Neto]:[Importe Neto]],Imput[[C. Imp.]:[C. Imp.]],$D94,Imput[[PERIODO Imp.]:[PERIODO Imp.]],CY$9)</f>
        <v>0</v>
      </c>
      <c r="CZ94" s="516">
        <f>SUMIFS(Imput[[Importe Neto]:[Importe Neto]],Imput[[C. Imp.]:[C. Imp.]],$D94,Imput[[PERIODO Imp.]:[PERIODO Imp.]],CZ$9)</f>
        <v>0</v>
      </c>
      <c r="DA94" s="516">
        <f>SUMIFS(Imput[[Importe Neto]:[Importe Neto]],Imput[[C. Imp.]:[C. Imp.]],$D94,Imput[[PERIODO Imp.]:[PERIODO Imp.]],DA$9)</f>
        <v>0</v>
      </c>
      <c r="DB94" s="516">
        <f>SUMIFS(Imput[[Importe Neto]:[Importe Neto]],Imput[[C. Imp.]:[C. Imp.]],$D94,Imput[[PERIODO Imp.]:[PERIODO Imp.]],DB$9)</f>
        <v>0</v>
      </c>
      <c r="DC94" s="516">
        <f>SUMIFS(Imput[[Importe Neto]:[Importe Neto]],Imput[[C. Imp.]:[C. Imp.]],$D94,Imput[[PERIODO Imp.]:[PERIODO Imp.]],DC$9)</f>
        <v>0</v>
      </c>
      <c r="DD94" s="516">
        <f>SUMIFS(Imput[[Importe Neto]:[Importe Neto]],Imput[[C. Imp.]:[C. Imp.]],$D94,Imput[[PERIODO Imp.]:[PERIODO Imp.]],DD$9)</f>
        <v>0</v>
      </c>
      <c r="DE94" s="516">
        <f>SUMIFS(Imput[[Importe Neto]:[Importe Neto]],Imput[[C. Imp.]:[C. Imp.]],$D94,Imput[[PERIODO Imp.]:[PERIODO Imp.]],DE$9)</f>
        <v>0</v>
      </c>
      <c r="DF94" s="516">
        <f>SUMIFS(Imput[[Importe Neto]:[Importe Neto]],Imput[[C. Imp.]:[C. Imp.]],$D94,Imput[[PERIODO Imp.]:[PERIODO Imp.]],DF$9)</f>
        <v>0</v>
      </c>
      <c r="DG94" s="516">
        <f>SUMIFS(Imput[[Importe Neto]:[Importe Neto]],Imput[[C. Imp.]:[C. Imp.]],$D94,Imput[[PERIODO Imp.]:[PERIODO Imp.]],DG$9)</f>
        <v>0</v>
      </c>
      <c r="DH94" s="616">
        <f>SUMIFS(Imput[[Importe Neto]:[Importe Neto]],Imput[[C. Imp.]:[C. Imp.]],$D94,Imput[[PERIODO Imp.]:[PERIODO Imp.]],DH$9)</f>
        <v>0</v>
      </c>
    </row>
    <row r="95" spans="1:112" hidden="1" outlineLevel="1" x14ac:dyDescent="0.3">
      <c r="A95" s="66" t="str">
        <f t="shared" si="22"/>
        <v/>
      </c>
      <c r="C95" s="527"/>
      <c r="D95" s="528" t="s">
        <v>2207</v>
      </c>
      <c r="E95" s="528"/>
      <c r="F95" s="534"/>
      <c r="G95" s="529"/>
      <c r="H95" s="531"/>
      <c r="I95" s="849" t="str">
        <f t="shared" si="23"/>
        <v/>
      </c>
      <c r="J95" s="850" t="str">
        <f t="shared" si="24"/>
        <v/>
      </c>
      <c r="K95" s="70"/>
      <c r="L95" s="853"/>
      <c r="M95" s="855"/>
      <c r="N95" s="855"/>
      <c r="O95" s="855"/>
      <c r="P95" s="855"/>
      <c r="Q95" s="855"/>
      <c r="R95" s="855"/>
      <c r="S95" s="855"/>
      <c r="T95" s="855"/>
      <c r="U95" s="855"/>
      <c r="V95" s="855"/>
      <c r="W95" s="855"/>
      <c r="X95" s="855"/>
      <c r="Y95" s="855"/>
      <c r="Z95" s="856"/>
      <c r="AA95" s="856"/>
      <c r="AB95" s="856"/>
      <c r="AC95" s="856"/>
      <c r="AD95" s="856"/>
      <c r="AE95" s="856"/>
      <c r="AF95" s="856"/>
      <c r="AG95" s="856"/>
      <c r="AH95" s="856"/>
      <c r="AI95" s="856"/>
      <c r="AJ95" s="856"/>
      <c r="AK95" s="856"/>
      <c r="AL95" s="856"/>
      <c r="AM95" s="856"/>
      <c r="AN95" s="856"/>
      <c r="AO95" s="856"/>
      <c r="AP95" s="856"/>
      <c r="AQ95" s="856"/>
      <c r="AR95" s="856"/>
      <c r="AS95" s="856"/>
      <c r="AT95" s="856"/>
      <c r="AU95" s="856"/>
      <c r="AV95" s="856"/>
      <c r="AW95" s="856"/>
      <c r="AX95" s="856"/>
      <c r="AY95" s="856"/>
      <c r="AZ95" s="856"/>
      <c r="BA95" s="856"/>
      <c r="BB95" s="856"/>
      <c r="BC95" s="856"/>
      <c r="BD95" s="856"/>
      <c r="BE95" s="856"/>
      <c r="BF95" s="856"/>
      <c r="BG95" s="857"/>
      <c r="BH95" s="590"/>
      <c r="BI95" s="70"/>
      <c r="BJ95" s="518">
        <f t="shared" si="25"/>
        <v>0</v>
      </c>
      <c r="BK95" s="517">
        <f t="shared" si="26"/>
        <v>0</v>
      </c>
      <c r="BL95" s="68"/>
      <c r="BM95" s="515">
        <f>SUMIFS(Imput[[Importe Neto]:[Importe Neto]],Imput[[C. Imp.]:[C. Imp.]],$D95,Imput[[PERIODO Imp.]:[PERIODO Imp.]],BM$9)</f>
        <v>0</v>
      </c>
      <c r="BN95" s="516">
        <f>SUMIFS(Imput[[Importe Neto]:[Importe Neto]],Imput[[C. Imp.]:[C. Imp.]],$D95,Imput[[PERIODO Imp.]:[PERIODO Imp.]],BN$9)</f>
        <v>0</v>
      </c>
      <c r="BO95" s="516">
        <f>SUMIFS(Imput[[Importe Neto]:[Importe Neto]],Imput[[C. Imp.]:[C. Imp.]],$D95,Imput[[PERIODO Imp.]:[PERIODO Imp.]],BO$9)</f>
        <v>0</v>
      </c>
      <c r="BP95" s="516">
        <f>SUMIFS(Imput[[Importe Neto]:[Importe Neto]],Imput[[C. Imp.]:[C. Imp.]],$D95,Imput[[PERIODO Imp.]:[PERIODO Imp.]],BP$9)</f>
        <v>0</v>
      </c>
      <c r="BQ95" s="516">
        <f>SUMIFS(Imput[[Importe Neto]:[Importe Neto]],Imput[[C. Imp.]:[C. Imp.]],$D95,Imput[[PERIODO Imp.]:[PERIODO Imp.]],BQ$9)</f>
        <v>0</v>
      </c>
      <c r="BR95" s="516">
        <f>SUMIFS(Imput[[Importe Neto]:[Importe Neto]],Imput[[C. Imp.]:[C. Imp.]],$D95,Imput[[PERIODO Imp.]:[PERIODO Imp.]],BR$9)</f>
        <v>0</v>
      </c>
      <c r="BS95" s="516">
        <f>SUMIFS(Imput[[Importe Neto]:[Importe Neto]],Imput[[C. Imp.]:[C. Imp.]],$D95,Imput[[PERIODO Imp.]:[PERIODO Imp.]],BS$9)</f>
        <v>0</v>
      </c>
      <c r="BT95" s="516">
        <f>SUMIFS(Imput[[Importe Neto]:[Importe Neto]],Imput[[C. Imp.]:[C. Imp.]],$D95,Imput[[PERIODO Imp.]:[PERIODO Imp.]],BT$9)</f>
        <v>0</v>
      </c>
      <c r="BU95" s="516">
        <f>SUMIFS(Imput[[Importe Neto]:[Importe Neto]],Imput[[C. Imp.]:[C. Imp.]],$D95,Imput[[PERIODO Imp.]:[PERIODO Imp.]],BU$9)</f>
        <v>0</v>
      </c>
      <c r="BV95" s="516">
        <f>SUMIFS(Imput[[Importe Neto]:[Importe Neto]],Imput[[C. Imp.]:[C. Imp.]],$D95,Imput[[PERIODO Imp.]:[PERIODO Imp.]],BV$9)</f>
        <v>0</v>
      </c>
      <c r="BW95" s="516">
        <f>SUMIFS(Imput[[Importe Neto]:[Importe Neto]],Imput[[C. Imp.]:[C. Imp.]],$D95,Imput[[PERIODO Imp.]:[PERIODO Imp.]],BW$9)</f>
        <v>0</v>
      </c>
      <c r="BX95" s="516">
        <f>SUMIFS(Imput[[Importe Neto]:[Importe Neto]],Imput[[C. Imp.]:[C. Imp.]],$D95,Imput[[PERIODO Imp.]:[PERIODO Imp.]],BX$9)</f>
        <v>0</v>
      </c>
      <c r="BY95" s="516">
        <f>SUMIFS(Imput[[Importe Neto]:[Importe Neto]],Imput[[C. Imp.]:[C. Imp.]],$D95,Imput[[PERIODO Imp.]:[PERIODO Imp.]],BY$9)</f>
        <v>0</v>
      </c>
      <c r="BZ95" s="516">
        <f>SUMIFS(Imput[[Importe Neto]:[Importe Neto]],Imput[[C. Imp.]:[C. Imp.]],$D95,Imput[[PERIODO Imp.]:[PERIODO Imp.]],BZ$9)</f>
        <v>0</v>
      </c>
      <c r="CA95" s="516">
        <f>SUMIFS(Imput[[Importe Neto]:[Importe Neto]],Imput[[C. Imp.]:[C. Imp.]],$D95,Imput[[PERIODO Imp.]:[PERIODO Imp.]],CA$9)</f>
        <v>0</v>
      </c>
      <c r="CB95" s="516">
        <f>SUMIFS(Imput[[Importe Neto]:[Importe Neto]],Imput[[C. Imp.]:[C. Imp.]],$D95,Imput[[PERIODO Imp.]:[PERIODO Imp.]],CB$9)</f>
        <v>0</v>
      </c>
      <c r="CC95" s="516">
        <f>SUMIFS(Imput[[Importe Neto]:[Importe Neto]],Imput[[C. Imp.]:[C. Imp.]],$D95,Imput[[PERIODO Imp.]:[PERIODO Imp.]],CC$9)</f>
        <v>0</v>
      </c>
      <c r="CD95" s="516">
        <f>SUMIFS(Imput[[Importe Neto]:[Importe Neto]],Imput[[C. Imp.]:[C. Imp.]],$D95,Imput[[PERIODO Imp.]:[PERIODO Imp.]],CD$9)</f>
        <v>0</v>
      </c>
      <c r="CE95" s="516">
        <f>SUMIFS(Imput[[Importe Neto]:[Importe Neto]],Imput[[C. Imp.]:[C. Imp.]],$D95,Imput[[PERIODO Imp.]:[PERIODO Imp.]],CE$9)</f>
        <v>0</v>
      </c>
      <c r="CF95" s="516">
        <f>SUMIFS(Imput[[Importe Neto]:[Importe Neto]],Imput[[C. Imp.]:[C. Imp.]],$D95,Imput[[PERIODO Imp.]:[PERIODO Imp.]],CF$9)</f>
        <v>0</v>
      </c>
      <c r="CG95" s="516">
        <f>SUMIFS(Imput[[Importe Neto]:[Importe Neto]],Imput[[C. Imp.]:[C. Imp.]],$D95,Imput[[PERIODO Imp.]:[PERIODO Imp.]],CG$9)</f>
        <v>0</v>
      </c>
      <c r="CH95" s="516">
        <f>SUMIFS(Imput[[Importe Neto]:[Importe Neto]],Imput[[C. Imp.]:[C. Imp.]],$D95,Imput[[PERIODO Imp.]:[PERIODO Imp.]],CH$9)</f>
        <v>0</v>
      </c>
      <c r="CI95" s="516">
        <f>SUMIFS(Imput[[Importe Neto]:[Importe Neto]],Imput[[C. Imp.]:[C. Imp.]],$D95,Imput[[PERIODO Imp.]:[PERIODO Imp.]],CI$9)</f>
        <v>0</v>
      </c>
      <c r="CJ95" s="516">
        <f>SUMIFS(Imput[[Importe Neto]:[Importe Neto]],Imput[[C. Imp.]:[C. Imp.]],$D95,Imput[[PERIODO Imp.]:[PERIODO Imp.]],CJ$9)</f>
        <v>0</v>
      </c>
      <c r="CK95" s="516">
        <f>SUMIFS(Imput[[Importe Neto]:[Importe Neto]],Imput[[C. Imp.]:[C. Imp.]],$D95,Imput[[PERIODO Imp.]:[PERIODO Imp.]],CK$9)</f>
        <v>0</v>
      </c>
      <c r="CL95" s="516">
        <f>SUMIFS(Imput[[Importe Neto]:[Importe Neto]],Imput[[C. Imp.]:[C. Imp.]],$D95,Imput[[PERIODO Imp.]:[PERIODO Imp.]],CL$9)</f>
        <v>0</v>
      </c>
      <c r="CM95" s="516">
        <f>SUMIFS(Imput[[Importe Neto]:[Importe Neto]],Imput[[C. Imp.]:[C. Imp.]],$D95,Imput[[PERIODO Imp.]:[PERIODO Imp.]],CM$9)</f>
        <v>0</v>
      </c>
      <c r="CN95" s="516">
        <f>SUMIFS(Imput[[Importe Neto]:[Importe Neto]],Imput[[C. Imp.]:[C. Imp.]],$D95,Imput[[PERIODO Imp.]:[PERIODO Imp.]],CN$9)</f>
        <v>0</v>
      </c>
      <c r="CO95" s="516">
        <f>SUMIFS(Imput[[Importe Neto]:[Importe Neto]],Imput[[C. Imp.]:[C. Imp.]],$D95,Imput[[PERIODO Imp.]:[PERIODO Imp.]],CO$9)</f>
        <v>0</v>
      </c>
      <c r="CP95" s="516">
        <f>SUMIFS(Imput[[Importe Neto]:[Importe Neto]],Imput[[C. Imp.]:[C. Imp.]],$D95,Imput[[PERIODO Imp.]:[PERIODO Imp.]],CP$9)</f>
        <v>0</v>
      </c>
      <c r="CQ95" s="516">
        <f>SUMIFS(Imput[[Importe Neto]:[Importe Neto]],Imput[[C. Imp.]:[C. Imp.]],$D95,Imput[[PERIODO Imp.]:[PERIODO Imp.]],CQ$9)</f>
        <v>0</v>
      </c>
      <c r="CR95" s="516">
        <f>SUMIFS(Imput[[Importe Neto]:[Importe Neto]],Imput[[C. Imp.]:[C. Imp.]],$D95,Imput[[PERIODO Imp.]:[PERIODO Imp.]],CR$9)</f>
        <v>0</v>
      </c>
      <c r="CS95" s="516">
        <f>SUMIFS(Imput[[Importe Neto]:[Importe Neto]],Imput[[C. Imp.]:[C. Imp.]],$D95,Imput[[PERIODO Imp.]:[PERIODO Imp.]],CS$9)</f>
        <v>0</v>
      </c>
      <c r="CT95" s="516">
        <f>SUMIFS(Imput[[Importe Neto]:[Importe Neto]],Imput[[C. Imp.]:[C. Imp.]],$D95,Imput[[PERIODO Imp.]:[PERIODO Imp.]],CT$9)</f>
        <v>0</v>
      </c>
      <c r="CU95" s="516">
        <f>SUMIFS(Imput[[Importe Neto]:[Importe Neto]],Imput[[C. Imp.]:[C. Imp.]],$D95,Imput[[PERIODO Imp.]:[PERIODO Imp.]],CU$9)</f>
        <v>0</v>
      </c>
      <c r="CV95" s="516">
        <f>SUMIFS(Imput[[Importe Neto]:[Importe Neto]],Imput[[C. Imp.]:[C. Imp.]],$D95,Imput[[PERIODO Imp.]:[PERIODO Imp.]],CV$9)</f>
        <v>0</v>
      </c>
      <c r="CW95" s="516">
        <f>SUMIFS(Imput[[Importe Neto]:[Importe Neto]],Imput[[C. Imp.]:[C. Imp.]],$D95,Imput[[PERIODO Imp.]:[PERIODO Imp.]],CW$9)</f>
        <v>0</v>
      </c>
      <c r="CX95" s="516">
        <f>SUMIFS(Imput[[Importe Neto]:[Importe Neto]],Imput[[C. Imp.]:[C. Imp.]],$D95,Imput[[PERIODO Imp.]:[PERIODO Imp.]],CX$9)</f>
        <v>0</v>
      </c>
      <c r="CY95" s="516">
        <f>SUMIFS(Imput[[Importe Neto]:[Importe Neto]],Imput[[C. Imp.]:[C. Imp.]],$D95,Imput[[PERIODO Imp.]:[PERIODO Imp.]],CY$9)</f>
        <v>0</v>
      </c>
      <c r="CZ95" s="516">
        <f>SUMIFS(Imput[[Importe Neto]:[Importe Neto]],Imput[[C. Imp.]:[C. Imp.]],$D95,Imput[[PERIODO Imp.]:[PERIODO Imp.]],CZ$9)</f>
        <v>0</v>
      </c>
      <c r="DA95" s="516">
        <f>SUMIFS(Imput[[Importe Neto]:[Importe Neto]],Imput[[C. Imp.]:[C. Imp.]],$D95,Imput[[PERIODO Imp.]:[PERIODO Imp.]],DA$9)</f>
        <v>0</v>
      </c>
      <c r="DB95" s="516">
        <f>SUMIFS(Imput[[Importe Neto]:[Importe Neto]],Imput[[C. Imp.]:[C. Imp.]],$D95,Imput[[PERIODO Imp.]:[PERIODO Imp.]],DB$9)</f>
        <v>0</v>
      </c>
      <c r="DC95" s="516">
        <f>SUMIFS(Imput[[Importe Neto]:[Importe Neto]],Imput[[C. Imp.]:[C. Imp.]],$D95,Imput[[PERIODO Imp.]:[PERIODO Imp.]],DC$9)</f>
        <v>0</v>
      </c>
      <c r="DD95" s="516">
        <f>SUMIFS(Imput[[Importe Neto]:[Importe Neto]],Imput[[C. Imp.]:[C. Imp.]],$D95,Imput[[PERIODO Imp.]:[PERIODO Imp.]],DD$9)</f>
        <v>0</v>
      </c>
      <c r="DE95" s="516">
        <f>SUMIFS(Imput[[Importe Neto]:[Importe Neto]],Imput[[C. Imp.]:[C. Imp.]],$D95,Imput[[PERIODO Imp.]:[PERIODO Imp.]],DE$9)</f>
        <v>0</v>
      </c>
      <c r="DF95" s="516">
        <f>SUMIFS(Imput[[Importe Neto]:[Importe Neto]],Imput[[C. Imp.]:[C. Imp.]],$D95,Imput[[PERIODO Imp.]:[PERIODO Imp.]],DF$9)</f>
        <v>0</v>
      </c>
      <c r="DG95" s="516">
        <f>SUMIFS(Imput[[Importe Neto]:[Importe Neto]],Imput[[C. Imp.]:[C. Imp.]],$D95,Imput[[PERIODO Imp.]:[PERIODO Imp.]],DG$9)</f>
        <v>0</v>
      </c>
      <c r="DH95" s="616">
        <f>SUMIFS(Imput[[Importe Neto]:[Importe Neto]],Imput[[C. Imp.]:[C. Imp.]],$D95,Imput[[PERIODO Imp.]:[PERIODO Imp.]],DH$9)</f>
        <v>0</v>
      </c>
    </row>
    <row r="96" spans="1:112" hidden="1" outlineLevel="1" x14ac:dyDescent="0.3">
      <c r="A96" s="66" t="str">
        <f t="shared" si="22"/>
        <v/>
      </c>
      <c r="C96" s="527"/>
      <c r="D96" s="528" t="s">
        <v>2208</v>
      </c>
      <c r="E96" s="528"/>
      <c r="F96" s="534"/>
      <c r="G96" s="529"/>
      <c r="H96" s="531"/>
      <c r="I96" s="849" t="str">
        <f t="shared" si="23"/>
        <v/>
      </c>
      <c r="J96" s="850" t="str">
        <f t="shared" si="24"/>
        <v/>
      </c>
      <c r="K96" s="70"/>
      <c r="L96" s="853"/>
      <c r="M96" s="855"/>
      <c r="N96" s="855"/>
      <c r="O96" s="855"/>
      <c r="P96" s="855"/>
      <c r="Q96" s="855"/>
      <c r="R96" s="855"/>
      <c r="S96" s="855"/>
      <c r="T96" s="855"/>
      <c r="U96" s="855"/>
      <c r="V96" s="855"/>
      <c r="W96" s="855"/>
      <c r="X96" s="855"/>
      <c r="Y96" s="855"/>
      <c r="Z96" s="856"/>
      <c r="AA96" s="856"/>
      <c r="AB96" s="856"/>
      <c r="AC96" s="856"/>
      <c r="AD96" s="856"/>
      <c r="AE96" s="856"/>
      <c r="AF96" s="856"/>
      <c r="AG96" s="856"/>
      <c r="AH96" s="856"/>
      <c r="AI96" s="856"/>
      <c r="AJ96" s="856"/>
      <c r="AK96" s="856"/>
      <c r="AL96" s="856"/>
      <c r="AM96" s="856"/>
      <c r="AN96" s="856"/>
      <c r="AO96" s="856"/>
      <c r="AP96" s="856"/>
      <c r="AQ96" s="856"/>
      <c r="AR96" s="856"/>
      <c r="AS96" s="856"/>
      <c r="AT96" s="856"/>
      <c r="AU96" s="856"/>
      <c r="AV96" s="856"/>
      <c r="AW96" s="856"/>
      <c r="AX96" s="856"/>
      <c r="AY96" s="856"/>
      <c r="AZ96" s="856"/>
      <c r="BA96" s="856"/>
      <c r="BB96" s="856"/>
      <c r="BC96" s="856"/>
      <c r="BD96" s="856"/>
      <c r="BE96" s="856"/>
      <c r="BF96" s="856"/>
      <c r="BG96" s="857"/>
      <c r="BH96" s="590"/>
      <c r="BI96" s="70"/>
      <c r="BJ96" s="518">
        <f t="shared" si="25"/>
        <v>0</v>
      </c>
      <c r="BK96" s="517">
        <f t="shared" si="26"/>
        <v>0</v>
      </c>
      <c r="BL96" s="68"/>
      <c r="BM96" s="515">
        <f>SUMIFS(Imput[[Importe Neto]:[Importe Neto]],Imput[[C. Imp.]:[C. Imp.]],$D96,Imput[[PERIODO Imp.]:[PERIODO Imp.]],BM$9)</f>
        <v>0</v>
      </c>
      <c r="BN96" s="516">
        <f>SUMIFS(Imput[[Importe Neto]:[Importe Neto]],Imput[[C. Imp.]:[C. Imp.]],$D96,Imput[[PERIODO Imp.]:[PERIODO Imp.]],BN$9)</f>
        <v>0</v>
      </c>
      <c r="BO96" s="516">
        <f>SUMIFS(Imput[[Importe Neto]:[Importe Neto]],Imput[[C. Imp.]:[C. Imp.]],$D96,Imput[[PERIODO Imp.]:[PERIODO Imp.]],BO$9)</f>
        <v>0</v>
      </c>
      <c r="BP96" s="516">
        <f>SUMIFS(Imput[[Importe Neto]:[Importe Neto]],Imput[[C. Imp.]:[C. Imp.]],$D96,Imput[[PERIODO Imp.]:[PERIODO Imp.]],BP$9)</f>
        <v>0</v>
      </c>
      <c r="BQ96" s="516">
        <f>SUMIFS(Imput[[Importe Neto]:[Importe Neto]],Imput[[C. Imp.]:[C. Imp.]],$D96,Imput[[PERIODO Imp.]:[PERIODO Imp.]],BQ$9)</f>
        <v>0</v>
      </c>
      <c r="BR96" s="516">
        <f>SUMIFS(Imput[[Importe Neto]:[Importe Neto]],Imput[[C. Imp.]:[C. Imp.]],$D96,Imput[[PERIODO Imp.]:[PERIODO Imp.]],BR$9)</f>
        <v>0</v>
      </c>
      <c r="BS96" s="516">
        <f>SUMIFS(Imput[[Importe Neto]:[Importe Neto]],Imput[[C. Imp.]:[C. Imp.]],$D96,Imput[[PERIODO Imp.]:[PERIODO Imp.]],BS$9)</f>
        <v>0</v>
      </c>
      <c r="BT96" s="516">
        <f>SUMIFS(Imput[[Importe Neto]:[Importe Neto]],Imput[[C. Imp.]:[C. Imp.]],$D96,Imput[[PERIODO Imp.]:[PERIODO Imp.]],BT$9)</f>
        <v>0</v>
      </c>
      <c r="BU96" s="516">
        <f>SUMIFS(Imput[[Importe Neto]:[Importe Neto]],Imput[[C. Imp.]:[C. Imp.]],$D96,Imput[[PERIODO Imp.]:[PERIODO Imp.]],BU$9)</f>
        <v>0</v>
      </c>
      <c r="BV96" s="516">
        <f>SUMIFS(Imput[[Importe Neto]:[Importe Neto]],Imput[[C. Imp.]:[C. Imp.]],$D96,Imput[[PERIODO Imp.]:[PERIODO Imp.]],BV$9)</f>
        <v>0</v>
      </c>
      <c r="BW96" s="516">
        <f>SUMIFS(Imput[[Importe Neto]:[Importe Neto]],Imput[[C. Imp.]:[C. Imp.]],$D96,Imput[[PERIODO Imp.]:[PERIODO Imp.]],BW$9)</f>
        <v>0</v>
      </c>
      <c r="BX96" s="516">
        <f>SUMIFS(Imput[[Importe Neto]:[Importe Neto]],Imput[[C. Imp.]:[C. Imp.]],$D96,Imput[[PERIODO Imp.]:[PERIODO Imp.]],BX$9)</f>
        <v>0</v>
      </c>
      <c r="BY96" s="516">
        <f>SUMIFS(Imput[[Importe Neto]:[Importe Neto]],Imput[[C. Imp.]:[C. Imp.]],$D96,Imput[[PERIODO Imp.]:[PERIODO Imp.]],BY$9)</f>
        <v>0</v>
      </c>
      <c r="BZ96" s="516">
        <f>SUMIFS(Imput[[Importe Neto]:[Importe Neto]],Imput[[C. Imp.]:[C. Imp.]],$D96,Imput[[PERIODO Imp.]:[PERIODO Imp.]],BZ$9)</f>
        <v>0</v>
      </c>
      <c r="CA96" s="516">
        <f>SUMIFS(Imput[[Importe Neto]:[Importe Neto]],Imput[[C. Imp.]:[C. Imp.]],$D96,Imput[[PERIODO Imp.]:[PERIODO Imp.]],CA$9)</f>
        <v>0</v>
      </c>
      <c r="CB96" s="516">
        <f>SUMIFS(Imput[[Importe Neto]:[Importe Neto]],Imput[[C. Imp.]:[C. Imp.]],$D96,Imput[[PERIODO Imp.]:[PERIODO Imp.]],CB$9)</f>
        <v>0</v>
      </c>
      <c r="CC96" s="516">
        <f>SUMIFS(Imput[[Importe Neto]:[Importe Neto]],Imput[[C. Imp.]:[C. Imp.]],$D96,Imput[[PERIODO Imp.]:[PERIODO Imp.]],CC$9)</f>
        <v>0</v>
      </c>
      <c r="CD96" s="516">
        <f>SUMIFS(Imput[[Importe Neto]:[Importe Neto]],Imput[[C. Imp.]:[C. Imp.]],$D96,Imput[[PERIODO Imp.]:[PERIODO Imp.]],CD$9)</f>
        <v>0</v>
      </c>
      <c r="CE96" s="516">
        <f>SUMIFS(Imput[[Importe Neto]:[Importe Neto]],Imput[[C. Imp.]:[C. Imp.]],$D96,Imput[[PERIODO Imp.]:[PERIODO Imp.]],CE$9)</f>
        <v>0</v>
      </c>
      <c r="CF96" s="516">
        <f>SUMIFS(Imput[[Importe Neto]:[Importe Neto]],Imput[[C. Imp.]:[C. Imp.]],$D96,Imput[[PERIODO Imp.]:[PERIODO Imp.]],CF$9)</f>
        <v>0</v>
      </c>
      <c r="CG96" s="516">
        <f>SUMIFS(Imput[[Importe Neto]:[Importe Neto]],Imput[[C. Imp.]:[C. Imp.]],$D96,Imput[[PERIODO Imp.]:[PERIODO Imp.]],CG$9)</f>
        <v>0</v>
      </c>
      <c r="CH96" s="516">
        <f>SUMIFS(Imput[[Importe Neto]:[Importe Neto]],Imput[[C. Imp.]:[C. Imp.]],$D96,Imput[[PERIODO Imp.]:[PERIODO Imp.]],CH$9)</f>
        <v>0</v>
      </c>
      <c r="CI96" s="516">
        <f>SUMIFS(Imput[[Importe Neto]:[Importe Neto]],Imput[[C. Imp.]:[C. Imp.]],$D96,Imput[[PERIODO Imp.]:[PERIODO Imp.]],CI$9)</f>
        <v>0</v>
      </c>
      <c r="CJ96" s="516">
        <f>SUMIFS(Imput[[Importe Neto]:[Importe Neto]],Imput[[C. Imp.]:[C. Imp.]],$D96,Imput[[PERIODO Imp.]:[PERIODO Imp.]],CJ$9)</f>
        <v>0</v>
      </c>
      <c r="CK96" s="516">
        <f>SUMIFS(Imput[[Importe Neto]:[Importe Neto]],Imput[[C. Imp.]:[C. Imp.]],$D96,Imput[[PERIODO Imp.]:[PERIODO Imp.]],CK$9)</f>
        <v>0</v>
      </c>
      <c r="CL96" s="516">
        <f>SUMIFS(Imput[[Importe Neto]:[Importe Neto]],Imput[[C. Imp.]:[C. Imp.]],$D96,Imput[[PERIODO Imp.]:[PERIODO Imp.]],CL$9)</f>
        <v>0</v>
      </c>
      <c r="CM96" s="516">
        <f>SUMIFS(Imput[[Importe Neto]:[Importe Neto]],Imput[[C. Imp.]:[C. Imp.]],$D96,Imput[[PERIODO Imp.]:[PERIODO Imp.]],CM$9)</f>
        <v>0</v>
      </c>
      <c r="CN96" s="516">
        <f>SUMIFS(Imput[[Importe Neto]:[Importe Neto]],Imput[[C. Imp.]:[C. Imp.]],$D96,Imput[[PERIODO Imp.]:[PERIODO Imp.]],CN$9)</f>
        <v>0</v>
      </c>
      <c r="CO96" s="516">
        <f>SUMIFS(Imput[[Importe Neto]:[Importe Neto]],Imput[[C. Imp.]:[C. Imp.]],$D96,Imput[[PERIODO Imp.]:[PERIODO Imp.]],CO$9)</f>
        <v>0</v>
      </c>
      <c r="CP96" s="516">
        <f>SUMIFS(Imput[[Importe Neto]:[Importe Neto]],Imput[[C. Imp.]:[C. Imp.]],$D96,Imput[[PERIODO Imp.]:[PERIODO Imp.]],CP$9)</f>
        <v>0</v>
      </c>
      <c r="CQ96" s="516">
        <f>SUMIFS(Imput[[Importe Neto]:[Importe Neto]],Imput[[C. Imp.]:[C. Imp.]],$D96,Imput[[PERIODO Imp.]:[PERIODO Imp.]],CQ$9)</f>
        <v>0</v>
      </c>
      <c r="CR96" s="516">
        <f>SUMIFS(Imput[[Importe Neto]:[Importe Neto]],Imput[[C. Imp.]:[C. Imp.]],$D96,Imput[[PERIODO Imp.]:[PERIODO Imp.]],CR$9)</f>
        <v>0</v>
      </c>
      <c r="CS96" s="516">
        <f>SUMIFS(Imput[[Importe Neto]:[Importe Neto]],Imput[[C. Imp.]:[C. Imp.]],$D96,Imput[[PERIODO Imp.]:[PERIODO Imp.]],CS$9)</f>
        <v>0</v>
      </c>
      <c r="CT96" s="516">
        <f>SUMIFS(Imput[[Importe Neto]:[Importe Neto]],Imput[[C. Imp.]:[C. Imp.]],$D96,Imput[[PERIODO Imp.]:[PERIODO Imp.]],CT$9)</f>
        <v>0</v>
      </c>
      <c r="CU96" s="516">
        <f>SUMIFS(Imput[[Importe Neto]:[Importe Neto]],Imput[[C. Imp.]:[C. Imp.]],$D96,Imput[[PERIODO Imp.]:[PERIODO Imp.]],CU$9)</f>
        <v>0</v>
      </c>
      <c r="CV96" s="516">
        <f>SUMIFS(Imput[[Importe Neto]:[Importe Neto]],Imput[[C. Imp.]:[C. Imp.]],$D96,Imput[[PERIODO Imp.]:[PERIODO Imp.]],CV$9)</f>
        <v>0</v>
      </c>
      <c r="CW96" s="516">
        <f>SUMIFS(Imput[[Importe Neto]:[Importe Neto]],Imput[[C. Imp.]:[C. Imp.]],$D96,Imput[[PERIODO Imp.]:[PERIODO Imp.]],CW$9)</f>
        <v>0</v>
      </c>
      <c r="CX96" s="516">
        <f>SUMIFS(Imput[[Importe Neto]:[Importe Neto]],Imput[[C. Imp.]:[C. Imp.]],$D96,Imput[[PERIODO Imp.]:[PERIODO Imp.]],CX$9)</f>
        <v>0</v>
      </c>
      <c r="CY96" s="516">
        <f>SUMIFS(Imput[[Importe Neto]:[Importe Neto]],Imput[[C. Imp.]:[C. Imp.]],$D96,Imput[[PERIODO Imp.]:[PERIODO Imp.]],CY$9)</f>
        <v>0</v>
      </c>
      <c r="CZ96" s="516">
        <f>SUMIFS(Imput[[Importe Neto]:[Importe Neto]],Imput[[C. Imp.]:[C. Imp.]],$D96,Imput[[PERIODO Imp.]:[PERIODO Imp.]],CZ$9)</f>
        <v>0</v>
      </c>
      <c r="DA96" s="516">
        <f>SUMIFS(Imput[[Importe Neto]:[Importe Neto]],Imput[[C. Imp.]:[C. Imp.]],$D96,Imput[[PERIODO Imp.]:[PERIODO Imp.]],DA$9)</f>
        <v>0</v>
      </c>
      <c r="DB96" s="516">
        <f>SUMIFS(Imput[[Importe Neto]:[Importe Neto]],Imput[[C. Imp.]:[C. Imp.]],$D96,Imput[[PERIODO Imp.]:[PERIODO Imp.]],DB$9)</f>
        <v>0</v>
      </c>
      <c r="DC96" s="516">
        <f>SUMIFS(Imput[[Importe Neto]:[Importe Neto]],Imput[[C. Imp.]:[C. Imp.]],$D96,Imput[[PERIODO Imp.]:[PERIODO Imp.]],DC$9)</f>
        <v>0</v>
      </c>
      <c r="DD96" s="516">
        <f>SUMIFS(Imput[[Importe Neto]:[Importe Neto]],Imput[[C. Imp.]:[C. Imp.]],$D96,Imput[[PERIODO Imp.]:[PERIODO Imp.]],DD$9)</f>
        <v>0</v>
      </c>
      <c r="DE96" s="516">
        <f>SUMIFS(Imput[[Importe Neto]:[Importe Neto]],Imput[[C. Imp.]:[C. Imp.]],$D96,Imput[[PERIODO Imp.]:[PERIODO Imp.]],DE$9)</f>
        <v>0</v>
      </c>
      <c r="DF96" s="516">
        <f>SUMIFS(Imput[[Importe Neto]:[Importe Neto]],Imput[[C. Imp.]:[C. Imp.]],$D96,Imput[[PERIODO Imp.]:[PERIODO Imp.]],DF$9)</f>
        <v>0</v>
      </c>
      <c r="DG96" s="516">
        <f>SUMIFS(Imput[[Importe Neto]:[Importe Neto]],Imput[[C. Imp.]:[C. Imp.]],$D96,Imput[[PERIODO Imp.]:[PERIODO Imp.]],DG$9)</f>
        <v>0</v>
      </c>
      <c r="DH96" s="616">
        <f>SUMIFS(Imput[[Importe Neto]:[Importe Neto]],Imput[[C. Imp.]:[C. Imp.]],$D96,Imput[[PERIODO Imp.]:[PERIODO Imp.]],DH$9)</f>
        <v>0</v>
      </c>
    </row>
    <row r="97" spans="1:112" hidden="1" outlineLevel="1" x14ac:dyDescent="0.3">
      <c r="A97" s="66" t="str">
        <f t="shared" si="22"/>
        <v/>
      </c>
      <c r="C97" s="527"/>
      <c r="D97" s="528" t="s">
        <v>2209</v>
      </c>
      <c r="E97" s="528"/>
      <c r="F97" s="534"/>
      <c r="G97" s="529"/>
      <c r="H97" s="531"/>
      <c r="I97" s="849" t="str">
        <f t="shared" si="23"/>
        <v/>
      </c>
      <c r="J97" s="850" t="str">
        <f t="shared" si="24"/>
        <v/>
      </c>
      <c r="K97" s="70"/>
      <c r="L97" s="853"/>
      <c r="M97" s="855"/>
      <c r="N97" s="855"/>
      <c r="O97" s="855"/>
      <c r="P97" s="855"/>
      <c r="Q97" s="855"/>
      <c r="R97" s="855"/>
      <c r="S97" s="855"/>
      <c r="T97" s="855"/>
      <c r="U97" s="855"/>
      <c r="V97" s="855"/>
      <c r="W97" s="855"/>
      <c r="X97" s="855"/>
      <c r="Y97" s="855"/>
      <c r="Z97" s="856"/>
      <c r="AA97" s="856"/>
      <c r="AB97" s="856"/>
      <c r="AC97" s="856"/>
      <c r="AD97" s="856"/>
      <c r="AE97" s="856"/>
      <c r="AF97" s="856"/>
      <c r="AG97" s="856"/>
      <c r="AH97" s="856"/>
      <c r="AI97" s="856"/>
      <c r="AJ97" s="856"/>
      <c r="AK97" s="856"/>
      <c r="AL97" s="856"/>
      <c r="AM97" s="856"/>
      <c r="AN97" s="856"/>
      <c r="AO97" s="856"/>
      <c r="AP97" s="856"/>
      <c r="AQ97" s="856"/>
      <c r="AR97" s="856"/>
      <c r="AS97" s="856"/>
      <c r="AT97" s="856"/>
      <c r="AU97" s="856"/>
      <c r="AV97" s="856"/>
      <c r="AW97" s="856"/>
      <c r="AX97" s="856"/>
      <c r="AY97" s="856"/>
      <c r="AZ97" s="856"/>
      <c r="BA97" s="856"/>
      <c r="BB97" s="856"/>
      <c r="BC97" s="856"/>
      <c r="BD97" s="856"/>
      <c r="BE97" s="856"/>
      <c r="BF97" s="856"/>
      <c r="BG97" s="857"/>
      <c r="BH97" s="590"/>
      <c r="BI97" s="70"/>
      <c r="BJ97" s="518">
        <f t="shared" si="25"/>
        <v>0</v>
      </c>
      <c r="BK97" s="517">
        <f t="shared" si="26"/>
        <v>0</v>
      </c>
      <c r="BL97" s="68"/>
      <c r="BM97" s="515">
        <f>SUMIFS(Imput[[Importe Neto]:[Importe Neto]],Imput[[C. Imp.]:[C. Imp.]],$D97,Imput[[PERIODO Imp.]:[PERIODO Imp.]],BM$9)</f>
        <v>0</v>
      </c>
      <c r="BN97" s="516">
        <f>SUMIFS(Imput[[Importe Neto]:[Importe Neto]],Imput[[C. Imp.]:[C. Imp.]],$D97,Imput[[PERIODO Imp.]:[PERIODO Imp.]],BN$9)</f>
        <v>0</v>
      </c>
      <c r="BO97" s="516">
        <f>SUMIFS(Imput[[Importe Neto]:[Importe Neto]],Imput[[C. Imp.]:[C. Imp.]],$D97,Imput[[PERIODO Imp.]:[PERIODO Imp.]],BO$9)</f>
        <v>0</v>
      </c>
      <c r="BP97" s="516">
        <f>SUMIFS(Imput[[Importe Neto]:[Importe Neto]],Imput[[C. Imp.]:[C. Imp.]],$D97,Imput[[PERIODO Imp.]:[PERIODO Imp.]],BP$9)</f>
        <v>0</v>
      </c>
      <c r="BQ97" s="516">
        <f>SUMIFS(Imput[[Importe Neto]:[Importe Neto]],Imput[[C. Imp.]:[C. Imp.]],$D97,Imput[[PERIODO Imp.]:[PERIODO Imp.]],BQ$9)</f>
        <v>0</v>
      </c>
      <c r="BR97" s="516">
        <f>SUMIFS(Imput[[Importe Neto]:[Importe Neto]],Imput[[C. Imp.]:[C. Imp.]],$D97,Imput[[PERIODO Imp.]:[PERIODO Imp.]],BR$9)</f>
        <v>0</v>
      </c>
      <c r="BS97" s="516">
        <f>SUMIFS(Imput[[Importe Neto]:[Importe Neto]],Imput[[C. Imp.]:[C. Imp.]],$D97,Imput[[PERIODO Imp.]:[PERIODO Imp.]],BS$9)</f>
        <v>0</v>
      </c>
      <c r="BT97" s="516">
        <f>SUMIFS(Imput[[Importe Neto]:[Importe Neto]],Imput[[C. Imp.]:[C. Imp.]],$D97,Imput[[PERIODO Imp.]:[PERIODO Imp.]],BT$9)</f>
        <v>0</v>
      </c>
      <c r="BU97" s="516">
        <f>SUMIFS(Imput[[Importe Neto]:[Importe Neto]],Imput[[C. Imp.]:[C. Imp.]],$D97,Imput[[PERIODO Imp.]:[PERIODO Imp.]],BU$9)</f>
        <v>0</v>
      </c>
      <c r="BV97" s="516">
        <f>SUMIFS(Imput[[Importe Neto]:[Importe Neto]],Imput[[C. Imp.]:[C. Imp.]],$D97,Imput[[PERIODO Imp.]:[PERIODO Imp.]],BV$9)</f>
        <v>0</v>
      </c>
      <c r="BW97" s="516">
        <f>SUMIFS(Imput[[Importe Neto]:[Importe Neto]],Imput[[C. Imp.]:[C. Imp.]],$D97,Imput[[PERIODO Imp.]:[PERIODO Imp.]],BW$9)</f>
        <v>0</v>
      </c>
      <c r="BX97" s="516">
        <f>SUMIFS(Imput[[Importe Neto]:[Importe Neto]],Imput[[C. Imp.]:[C. Imp.]],$D97,Imput[[PERIODO Imp.]:[PERIODO Imp.]],BX$9)</f>
        <v>0</v>
      </c>
      <c r="BY97" s="516">
        <f>SUMIFS(Imput[[Importe Neto]:[Importe Neto]],Imput[[C. Imp.]:[C. Imp.]],$D97,Imput[[PERIODO Imp.]:[PERIODO Imp.]],BY$9)</f>
        <v>0</v>
      </c>
      <c r="BZ97" s="516">
        <f>SUMIFS(Imput[[Importe Neto]:[Importe Neto]],Imput[[C. Imp.]:[C. Imp.]],$D97,Imput[[PERIODO Imp.]:[PERIODO Imp.]],BZ$9)</f>
        <v>0</v>
      </c>
      <c r="CA97" s="516">
        <f>SUMIFS(Imput[[Importe Neto]:[Importe Neto]],Imput[[C. Imp.]:[C. Imp.]],$D97,Imput[[PERIODO Imp.]:[PERIODO Imp.]],CA$9)</f>
        <v>0</v>
      </c>
      <c r="CB97" s="516">
        <f>SUMIFS(Imput[[Importe Neto]:[Importe Neto]],Imput[[C. Imp.]:[C. Imp.]],$D97,Imput[[PERIODO Imp.]:[PERIODO Imp.]],CB$9)</f>
        <v>0</v>
      </c>
      <c r="CC97" s="516">
        <f>SUMIFS(Imput[[Importe Neto]:[Importe Neto]],Imput[[C. Imp.]:[C. Imp.]],$D97,Imput[[PERIODO Imp.]:[PERIODO Imp.]],CC$9)</f>
        <v>0</v>
      </c>
      <c r="CD97" s="516">
        <f>SUMIFS(Imput[[Importe Neto]:[Importe Neto]],Imput[[C. Imp.]:[C. Imp.]],$D97,Imput[[PERIODO Imp.]:[PERIODO Imp.]],CD$9)</f>
        <v>0</v>
      </c>
      <c r="CE97" s="516">
        <f>SUMIFS(Imput[[Importe Neto]:[Importe Neto]],Imput[[C. Imp.]:[C. Imp.]],$D97,Imput[[PERIODO Imp.]:[PERIODO Imp.]],CE$9)</f>
        <v>0</v>
      </c>
      <c r="CF97" s="516">
        <f>SUMIFS(Imput[[Importe Neto]:[Importe Neto]],Imput[[C. Imp.]:[C. Imp.]],$D97,Imput[[PERIODO Imp.]:[PERIODO Imp.]],CF$9)</f>
        <v>0</v>
      </c>
      <c r="CG97" s="516">
        <f>SUMIFS(Imput[[Importe Neto]:[Importe Neto]],Imput[[C. Imp.]:[C. Imp.]],$D97,Imput[[PERIODO Imp.]:[PERIODO Imp.]],CG$9)</f>
        <v>0</v>
      </c>
      <c r="CH97" s="516">
        <f>SUMIFS(Imput[[Importe Neto]:[Importe Neto]],Imput[[C. Imp.]:[C. Imp.]],$D97,Imput[[PERIODO Imp.]:[PERIODO Imp.]],CH$9)</f>
        <v>0</v>
      </c>
      <c r="CI97" s="516">
        <f>SUMIFS(Imput[[Importe Neto]:[Importe Neto]],Imput[[C. Imp.]:[C. Imp.]],$D97,Imput[[PERIODO Imp.]:[PERIODO Imp.]],CI$9)</f>
        <v>0</v>
      </c>
      <c r="CJ97" s="516">
        <f>SUMIFS(Imput[[Importe Neto]:[Importe Neto]],Imput[[C. Imp.]:[C. Imp.]],$D97,Imput[[PERIODO Imp.]:[PERIODO Imp.]],CJ$9)</f>
        <v>0</v>
      </c>
      <c r="CK97" s="516">
        <f>SUMIFS(Imput[[Importe Neto]:[Importe Neto]],Imput[[C. Imp.]:[C. Imp.]],$D97,Imput[[PERIODO Imp.]:[PERIODO Imp.]],CK$9)</f>
        <v>0</v>
      </c>
      <c r="CL97" s="516">
        <f>SUMIFS(Imput[[Importe Neto]:[Importe Neto]],Imput[[C. Imp.]:[C. Imp.]],$D97,Imput[[PERIODO Imp.]:[PERIODO Imp.]],CL$9)</f>
        <v>0</v>
      </c>
      <c r="CM97" s="516">
        <f>SUMIFS(Imput[[Importe Neto]:[Importe Neto]],Imput[[C. Imp.]:[C. Imp.]],$D97,Imput[[PERIODO Imp.]:[PERIODO Imp.]],CM$9)</f>
        <v>0</v>
      </c>
      <c r="CN97" s="516">
        <f>SUMIFS(Imput[[Importe Neto]:[Importe Neto]],Imput[[C. Imp.]:[C. Imp.]],$D97,Imput[[PERIODO Imp.]:[PERIODO Imp.]],CN$9)</f>
        <v>0</v>
      </c>
      <c r="CO97" s="516">
        <f>SUMIFS(Imput[[Importe Neto]:[Importe Neto]],Imput[[C. Imp.]:[C. Imp.]],$D97,Imput[[PERIODO Imp.]:[PERIODO Imp.]],CO$9)</f>
        <v>0</v>
      </c>
      <c r="CP97" s="516">
        <f>SUMIFS(Imput[[Importe Neto]:[Importe Neto]],Imput[[C. Imp.]:[C. Imp.]],$D97,Imput[[PERIODO Imp.]:[PERIODO Imp.]],CP$9)</f>
        <v>0</v>
      </c>
      <c r="CQ97" s="516">
        <f>SUMIFS(Imput[[Importe Neto]:[Importe Neto]],Imput[[C. Imp.]:[C. Imp.]],$D97,Imput[[PERIODO Imp.]:[PERIODO Imp.]],CQ$9)</f>
        <v>0</v>
      </c>
      <c r="CR97" s="516">
        <f>SUMIFS(Imput[[Importe Neto]:[Importe Neto]],Imput[[C. Imp.]:[C. Imp.]],$D97,Imput[[PERIODO Imp.]:[PERIODO Imp.]],CR$9)</f>
        <v>0</v>
      </c>
      <c r="CS97" s="516">
        <f>SUMIFS(Imput[[Importe Neto]:[Importe Neto]],Imput[[C. Imp.]:[C. Imp.]],$D97,Imput[[PERIODO Imp.]:[PERIODO Imp.]],CS$9)</f>
        <v>0</v>
      </c>
      <c r="CT97" s="516">
        <f>SUMIFS(Imput[[Importe Neto]:[Importe Neto]],Imput[[C. Imp.]:[C. Imp.]],$D97,Imput[[PERIODO Imp.]:[PERIODO Imp.]],CT$9)</f>
        <v>0</v>
      </c>
      <c r="CU97" s="516">
        <f>SUMIFS(Imput[[Importe Neto]:[Importe Neto]],Imput[[C. Imp.]:[C. Imp.]],$D97,Imput[[PERIODO Imp.]:[PERIODO Imp.]],CU$9)</f>
        <v>0</v>
      </c>
      <c r="CV97" s="516">
        <f>SUMIFS(Imput[[Importe Neto]:[Importe Neto]],Imput[[C. Imp.]:[C. Imp.]],$D97,Imput[[PERIODO Imp.]:[PERIODO Imp.]],CV$9)</f>
        <v>0</v>
      </c>
      <c r="CW97" s="516">
        <f>SUMIFS(Imput[[Importe Neto]:[Importe Neto]],Imput[[C. Imp.]:[C. Imp.]],$D97,Imput[[PERIODO Imp.]:[PERIODO Imp.]],CW$9)</f>
        <v>0</v>
      </c>
      <c r="CX97" s="516">
        <f>SUMIFS(Imput[[Importe Neto]:[Importe Neto]],Imput[[C. Imp.]:[C. Imp.]],$D97,Imput[[PERIODO Imp.]:[PERIODO Imp.]],CX$9)</f>
        <v>0</v>
      </c>
      <c r="CY97" s="516">
        <f>SUMIFS(Imput[[Importe Neto]:[Importe Neto]],Imput[[C. Imp.]:[C. Imp.]],$D97,Imput[[PERIODO Imp.]:[PERIODO Imp.]],CY$9)</f>
        <v>0</v>
      </c>
      <c r="CZ97" s="516">
        <f>SUMIFS(Imput[[Importe Neto]:[Importe Neto]],Imput[[C. Imp.]:[C. Imp.]],$D97,Imput[[PERIODO Imp.]:[PERIODO Imp.]],CZ$9)</f>
        <v>0</v>
      </c>
      <c r="DA97" s="516">
        <f>SUMIFS(Imput[[Importe Neto]:[Importe Neto]],Imput[[C. Imp.]:[C. Imp.]],$D97,Imput[[PERIODO Imp.]:[PERIODO Imp.]],DA$9)</f>
        <v>0</v>
      </c>
      <c r="DB97" s="516">
        <f>SUMIFS(Imput[[Importe Neto]:[Importe Neto]],Imput[[C. Imp.]:[C. Imp.]],$D97,Imput[[PERIODO Imp.]:[PERIODO Imp.]],DB$9)</f>
        <v>0</v>
      </c>
      <c r="DC97" s="516">
        <f>SUMIFS(Imput[[Importe Neto]:[Importe Neto]],Imput[[C. Imp.]:[C. Imp.]],$D97,Imput[[PERIODO Imp.]:[PERIODO Imp.]],DC$9)</f>
        <v>0</v>
      </c>
      <c r="DD97" s="516">
        <f>SUMIFS(Imput[[Importe Neto]:[Importe Neto]],Imput[[C. Imp.]:[C. Imp.]],$D97,Imput[[PERIODO Imp.]:[PERIODO Imp.]],DD$9)</f>
        <v>0</v>
      </c>
      <c r="DE97" s="516">
        <f>SUMIFS(Imput[[Importe Neto]:[Importe Neto]],Imput[[C. Imp.]:[C. Imp.]],$D97,Imput[[PERIODO Imp.]:[PERIODO Imp.]],DE$9)</f>
        <v>0</v>
      </c>
      <c r="DF97" s="516">
        <f>SUMIFS(Imput[[Importe Neto]:[Importe Neto]],Imput[[C. Imp.]:[C. Imp.]],$D97,Imput[[PERIODO Imp.]:[PERIODO Imp.]],DF$9)</f>
        <v>0</v>
      </c>
      <c r="DG97" s="516">
        <f>SUMIFS(Imput[[Importe Neto]:[Importe Neto]],Imput[[C. Imp.]:[C. Imp.]],$D97,Imput[[PERIODO Imp.]:[PERIODO Imp.]],DG$9)</f>
        <v>0</v>
      </c>
      <c r="DH97" s="616">
        <f>SUMIFS(Imput[[Importe Neto]:[Importe Neto]],Imput[[C. Imp.]:[C. Imp.]],$D97,Imput[[PERIODO Imp.]:[PERIODO Imp.]],DH$9)</f>
        <v>0</v>
      </c>
    </row>
    <row r="98" spans="1:112" hidden="1" outlineLevel="1" x14ac:dyDescent="0.3">
      <c r="A98" s="66" t="str">
        <f t="shared" si="22"/>
        <v/>
      </c>
      <c r="C98" s="527"/>
      <c r="D98" s="528" t="s">
        <v>2210</v>
      </c>
      <c r="E98" s="528"/>
      <c r="F98" s="534"/>
      <c r="G98" s="529"/>
      <c r="H98" s="531"/>
      <c r="I98" s="849" t="str">
        <f t="shared" si="23"/>
        <v/>
      </c>
      <c r="J98" s="850" t="str">
        <f t="shared" si="24"/>
        <v/>
      </c>
      <c r="K98" s="70"/>
      <c r="L98" s="853"/>
      <c r="M98" s="855"/>
      <c r="N98" s="855"/>
      <c r="O98" s="855"/>
      <c r="P98" s="855"/>
      <c r="Q98" s="855"/>
      <c r="R98" s="855"/>
      <c r="S98" s="855"/>
      <c r="T98" s="855"/>
      <c r="U98" s="855"/>
      <c r="V98" s="855"/>
      <c r="W98" s="855"/>
      <c r="X98" s="855"/>
      <c r="Y98" s="855"/>
      <c r="Z98" s="856"/>
      <c r="AA98" s="856"/>
      <c r="AB98" s="856"/>
      <c r="AC98" s="856"/>
      <c r="AD98" s="856"/>
      <c r="AE98" s="856"/>
      <c r="AF98" s="856"/>
      <c r="AG98" s="856"/>
      <c r="AH98" s="856"/>
      <c r="AI98" s="856"/>
      <c r="AJ98" s="856"/>
      <c r="AK98" s="856"/>
      <c r="AL98" s="856"/>
      <c r="AM98" s="856"/>
      <c r="AN98" s="856"/>
      <c r="AO98" s="856"/>
      <c r="AP98" s="856"/>
      <c r="AQ98" s="856"/>
      <c r="AR98" s="856"/>
      <c r="AS98" s="856"/>
      <c r="AT98" s="856"/>
      <c r="AU98" s="856"/>
      <c r="AV98" s="856"/>
      <c r="AW98" s="856"/>
      <c r="AX98" s="856"/>
      <c r="AY98" s="856"/>
      <c r="AZ98" s="856"/>
      <c r="BA98" s="856"/>
      <c r="BB98" s="856"/>
      <c r="BC98" s="856"/>
      <c r="BD98" s="856"/>
      <c r="BE98" s="856"/>
      <c r="BF98" s="856"/>
      <c r="BG98" s="857"/>
      <c r="BH98" s="590"/>
      <c r="BI98" s="70"/>
      <c r="BJ98" s="518">
        <f t="shared" si="25"/>
        <v>0</v>
      </c>
      <c r="BK98" s="517">
        <f t="shared" si="26"/>
        <v>0</v>
      </c>
      <c r="BL98" s="68"/>
      <c r="BM98" s="515">
        <f>SUMIFS(Imput[[Importe Neto]:[Importe Neto]],Imput[[C. Imp.]:[C. Imp.]],$D98,Imput[[PERIODO Imp.]:[PERIODO Imp.]],BM$9)</f>
        <v>0</v>
      </c>
      <c r="BN98" s="516">
        <f>SUMIFS(Imput[[Importe Neto]:[Importe Neto]],Imput[[C. Imp.]:[C. Imp.]],$D98,Imput[[PERIODO Imp.]:[PERIODO Imp.]],BN$9)</f>
        <v>0</v>
      </c>
      <c r="BO98" s="516">
        <f>SUMIFS(Imput[[Importe Neto]:[Importe Neto]],Imput[[C. Imp.]:[C. Imp.]],$D98,Imput[[PERIODO Imp.]:[PERIODO Imp.]],BO$9)</f>
        <v>0</v>
      </c>
      <c r="BP98" s="516">
        <f>SUMIFS(Imput[[Importe Neto]:[Importe Neto]],Imput[[C. Imp.]:[C. Imp.]],$D98,Imput[[PERIODO Imp.]:[PERIODO Imp.]],BP$9)</f>
        <v>0</v>
      </c>
      <c r="BQ98" s="516">
        <f>SUMIFS(Imput[[Importe Neto]:[Importe Neto]],Imput[[C. Imp.]:[C. Imp.]],$D98,Imput[[PERIODO Imp.]:[PERIODO Imp.]],BQ$9)</f>
        <v>0</v>
      </c>
      <c r="BR98" s="516">
        <f>SUMIFS(Imput[[Importe Neto]:[Importe Neto]],Imput[[C. Imp.]:[C. Imp.]],$D98,Imput[[PERIODO Imp.]:[PERIODO Imp.]],BR$9)</f>
        <v>0</v>
      </c>
      <c r="BS98" s="516">
        <f>SUMIFS(Imput[[Importe Neto]:[Importe Neto]],Imput[[C. Imp.]:[C. Imp.]],$D98,Imput[[PERIODO Imp.]:[PERIODO Imp.]],BS$9)</f>
        <v>0</v>
      </c>
      <c r="BT98" s="516">
        <f>SUMIFS(Imput[[Importe Neto]:[Importe Neto]],Imput[[C. Imp.]:[C. Imp.]],$D98,Imput[[PERIODO Imp.]:[PERIODO Imp.]],BT$9)</f>
        <v>0</v>
      </c>
      <c r="BU98" s="516">
        <f>SUMIFS(Imput[[Importe Neto]:[Importe Neto]],Imput[[C. Imp.]:[C. Imp.]],$D98,Imput[[PERIODO Imp.]:[PERIODO Imp.]],BU$9)</f>
        <v>0</v>
      </c>
      <c r="BV98" s="516">
        <f>SUMIFS(Imput[[Importe Neto]:[Importe Neto]],Imput[[C. Imp.]:[C. Imp.]],$D98,Imput[[PERIODO Imp.]:[PERIODO Imp.]],BV$9)</f>
        <v>0</v>
      </c>
      <c r="BW98" s="516">
        <f>SUMIFS(Imput[[Importe Neto]:[Importe Neto]],Imput[[C. Imp.]:[C. Imp.]],$D98,Imput[[PERIODO Imp.]:[PERIODO Imp.]],BW$9)</f>
        <v>0</v>
      </c>
      <c r="BX98" s="516">
        <f>SUMIFS(Imput[[Importe Neto]:[Importe Neto]],Imput[[C. Imp.]:[C. Imp.]],$D98,Imput[[PERIODO Imp.]:[PERIODO Imp.]],BX$9)</f>
        <v>0</v>
      </c>
      <c r="BY98" s="516">
        <f>SUMIFS(Imput[[Importe Neto]:[Importe Neto]],Imput[[C. Imp.]:[C. Imp.]],$D98,Imput[[PERIODO Imp.]:[PERIODO Imp.]],BY$9)</f>
        <v>0</v>
      </c>
      <c r="BZ98" s="516">
        <f>SUMIFS(Imput[[Importe Neto]:[Importe Neto]],Imput[[C. Imp.]:[C. Imp.]],$D98,Imput[[PERIODO Imp.]:[PERIODO Imp.]],BZ$9)</f>
        <v>0</v>
      </c>
      <c r="CA98" s="516">
        <f>SUMIFS(Imput[[Importe Neto]:[Importe Neto]],Imput[[C. Imp.]:[C. Imp.]],$D98,Imput[[PERIODO Imp.]:[PERIODO Imp.]],CA$9)</f>
        <v>0</v>
      </c>
      <c r="CB98" s="516">
        <f>SUMIFS(Imput[[Importe Neto]:[Importe Neto]],Imput[[C. Imp.]:[C. Imp.]],$D98,Imput[[PERIODO Imp.]:[PERIODO Imp.]],CB$9)</f>
        <v>0</v>
      </c>
      <c r="CC98" s="516">
        <f>SUMIFS(Imput[[Importe Neto]:[Importe Neto]],Imput[[C. Imp.]:[C. Imp.]],$D98,Imput[[PERIODO Imp.]:[PERIODO Imp.]],CC$9)</f>
        <v>0</v>
      </c>
      <c r="CD98" s="516">
        <f>SUMIFS(Imput[[Importe Neto]:[Importe Neto]],Imput[[C. Imp.]:[C. Imp.]],$D98,Imput[[PERIODO Imp.]:[PERIODO Imp.]],CD$9)</f>
        <v>0</v>
      </c>
      <c r="CE98" s="516">
        <f>SUMIFS(Imput[[Importe Neto]:[Importe Neto]],Imput[[C. Imp.]:[C. Imp.]],$D98,Imput[[PERIODO Imp.]:[PERIODO Imp.]],CE$9)</f>
        <v>0</v>
      </c>
      <c r="CF98" s="516">
        <f>SUMIFS(Imput[[Importe Neto]:[Importe Neto]],Imput[[C. Imp.]:[C. Imp.]],$D98,Imput[[PERIODO Imp.]:[PERIODO Imp.]],CF$9)</f>
        <v>0</v>
      </c>
      <c r="CG98" s="516">
        <f>SUMIFS(Imput[[Importe Neto]:[Importe Neto]],Imput[[C. Imp.]:[C. Imp.]],$D98,Imput[[PERIODO Imp.]:[PERIODO Imp.]],CG$9)</f>
        <v>0</v>
      </c>
      <c r="CH98" s="516">
        <f>SUMIFS(Imput[[Importe Neto]:[Importe Neto]],Imput[[C. Imp.]:[C. Imp.]],$D98,Imput[[PERIODO Imp.]:[PERIODO Imp.]],CH$9)</f>
        <v>0</v>
      </c>
      <c r="CI98" s="516">
        <f>SUMIFS(Imput[[Importe Neto]:[Importe Neto]],Imput[[C. Imp.]:[C. Imp.]],$D98,Imput[[PERIODO Imp.]:[PERIODO Imp.]],CI$9)</f>
        <v>0</v>
      </c>
      <c r="CJ98" s="516">
        <f>SUMIFS(Imput[[Importe Neto]:[Importe Neto]],Imput[[C. Imp.]:[C. Imp.]],$D98,Imput[[PERIODO Imp.]:[PERIODO Imp.]],CJ$9)</f>
        <v>0</v>
      </c>
      <c r="CK98" s="516">
        <f>SUMIFS(Imput[[Importe Neto]:[Importe Neto]],Imput[[C. Imp.]:[C. Imp.]],$D98,Imput[[PERIODO Imp.]:[PERIODO Imp.]],CK$9)</f>
        <v>0</v>
      </c>
      <c r="CL98" s="516">
        <f>SUMIFS(Imput[[Importe Neto]:[Importe Neto]],Imput[[C. Imp.]:[C. Imp.]],$D98,Imput[[PERIODO Imp.]:[PERIODO Imp.]],CL$9)</f>
        <v>0</v>
      </c>
      <c r="CM98" s="516">
        <f>SUMIFS(Imput[[Importe Neto]:[Importe Neto]],Imput[[C. Imp.]:[C. Imp.]],$D98,Imput[[PERIODO Imp.]:[PERIODO Imp.]],CM$9)</f>
        <v>0</v>
      </c>
      <c r="CN98" s="516">
        <f>SUMIFS(Imput[[Importe Neto]:[Importe Neto]],Imput[[C. Imp.]:[C. Imp.]],$D98,Imput[[PERIODO Imp.]:[PERIODO Imp.]],CN$9)</f>
        <v>0</v>
      </c>
      <c r="CO98" s="516">
        <f>SUMIFS(Imput[[Importe Neto]:[Importe Neto]],Imput[[C. Imp.]:[C. Imp.]],$D98,Imput[[PERIODO Imp.]:[PERIODO Imp.]],CO$9)</f>
        <v>0</v>
      </c>
      <c r="CP98" s="516">
        <f>SUMIFS(Imput[[Importe Neto]:[Importe Neto]],Imput[[C. Imp.]:[C. Imp.]],$D98,Imput[[PERIODO Imp.]:[PERIODO Imp.]],CP$9)</f>
        <v>0</v>
      </c>
      <c r="CQ98" s="516">
        <f>SUMIFS(Imput[[Importe Neto]:[Importe Neto]],Imput[[C. Imp.]:[C. Imp.]],$D98,Imput[[PERIODO Imp.]:[PERIODO Imp.]],CQ$9)</f>
        <v>0</v>
      </c>
      <c r="CR98" s="516">
        <f>SUMIFS(Imput[[Importe Neto]:[Importe Neto]],Imput[[C. Imp.]:[C. Imp.]],$D98,Imput[[PERIODO Imp.]:[PERIODO Imp.]],CR$9)</f>
        <v>0</v>
      </c>
      <c r="CS98" s="516">
        <f>SUMIFS(Imput[[Importe Neto]:[Importe Neto]],Imput[[C. Imp.]:[C. Imp.]],$D98,Imput[[PERIODO Imp.]:[PERIODO Imp.]],CS$9)</f>
        <v>0</v>
      </c>
      <c r="CT98" s="516">
        <f>SUMIFS(Imput[[Importe Neto]:[Importe Neto]],Imput[[C. Imp.]:[C. Imp.]],$D98,Imput[[PERIODO Imp.]:[PERIODO Imp.]],CT$9)</f>
        <v>0</v>
      </c>
      <c r="CU98" s="516">
        <f>SUMIFS(Imput[[Importe Neto]:[Importe Neto]],Imput[[C. Imp.]:[C. Imp.]],$D98,Imput[[PERIODO Imp.]:[PERIODO Imp.]],CU$9)</f>
        <v>0</v>
      </c>
      <c r="CV98" s="516">
        <f>SUMIFS(Imput[[Importe Neto]:[Importe Neto]],Imput[[C. Imp.]:[C. Imp.]],$D98,Imput[[PERIODO Imp.]:[PERIODO Imp.]],CV$9)</f>
        <v>0</v>
      </c>
      <c r="CW98" s="516">
        <f>SUMIFS(Imput[[Importe Neto]:[Importe Neto]],Imput[[C. Imp.]:[C. Imp.]],$D98,Imput[[PERIODO Imp.]:[PERIODO Imp.]],CW$9)</f>
        <v>0</v>
      </c>
      <c r="CX98" s="516">
        <f>SUMIFS(Imput[[Importe Neto]:[Importe Neto]],Imput[[C. Imp.]:[C. Imp.]],$D98,Imput[[PERIODO Imp.]:[PERIODO Imp.]],CX$9)</f>
        <v>0</v>
      </c>
      <c r="CY98" s="516">
        <f>SUMIFS(Imput[[Importe Neto]:[Importe Neto]],Imput[[C. Imp.]:[C. Imp.]],$D98,Imput[[PERIODO Imp.]:[PERIODO Imp.]],CY$9)</f>
        <v>0</v>
      </c>
      <c r="CZ98" s="516">
        <f>SUMIFS(Imput[[Importe Neto]:[Importe Neto]],Imput[[C. Imp.]:[C. Imp.]],$D98,Imput[[PERIODO Imp.]:[PERIODO Imp.]],CZ$9)</f>
        <v>0</v>
      </c>
      <c r="DA98" s="516">
        <f>SUMIFS(Imput[[Importe Neto]:[Importe Neto]],Imput[[C. Imp.]:[C. Imp.]],$D98,Imput[[PERIODO Imp.]:[PERIODO Imp.]],DA$9)</f>
        <v>0</v>
      </c>
      <c r="DB98" s="516">
        <f>SUMIFS(Imput[[Importe Neto]:[Importe Neto]],Imput[[C. Imp.]:[C. Imp.]],$D98,Imput[[PERIODO Imp.]:[PERIODO Imp.]],DB$9)</f>
        <v>0</v>
      </c>
      <c r="DC98" s="516">
        <f>SUMIFS(Imput[[Importe Neto]:[Importe Neto]],Imput[[C. Imp.]:[C. Imp.]],$D98,Imput[[PERIODO Imp.]:[PERIODO Imp.]],DC$9)</f>
        <v>0</v>
      </c>
      <c r="DD98" s="516">
        <f>SUMIFS(Imput[[Importe Neto]:[Importe Neto]],Imput[[C. Imp.]:[C. Imp.]],$D98,Imput[[PERIODO Imp.]:[PERIODO Imp.]],DD$9)</f>
        <v>0</v>
      </c>
      <c r="DE98" s="516">
        <f>SUMIFS(Imput[[Importe Neto]:[Importe Neto]],Imput[[C. Imp.]:[C. Imp.]],$D98,Imput[[PERIODO Imp.]:[PERIODO Imp.]],DE$9)</f>
        <v>0</v>
      </c>
      <c r="DF98" s="516">
        <f>SUMIFS(Imput[[Importe Neto]:[Importe Neto]],Imput[[C. Imp.]:[C. Imp.]],$D98,Imput[[PERIODO Imp.]:[PERIODO Imp.]],DF$9)</f>
        <v>0</v>
      </c>
      <c r="DG98" s="516">
        <f>SUMIFS(Imput[[Importe Neto]:[Importe Neto]],Imput[[C. Imp.]:[C. Imp.]],$D98,Imput[[PERIODO Imp.]:[PERIODO Imp.]],DG$9)</f>
        <v>0</v>
      </c>
      <c r="DH98" s="616">
        <f>SUMIFS(Imput[[Importe Neto]:[Importe Neto]],Imput[[C. Imp.]:[C. Imp.]],$D98,Imput[[PERIODO Imp.]:[PERIODO Imp.]],DH$9)</f>
        <v>0</v>
      </c>
    </row>
    <row r="99" spans="1:112" hidden="1" outlineLevel="1" x14ac:dyDescent="0.3">
      <c r="A99" s="66" t="str">
        <f t="shared" si="22"/>
        <v/>
      </c>
      <c r="C99" s="527"/>
      <c r="D99" s="528" t="s">
        <v>2211</v>
      </c>
      <c r="E99" s="528"/>
      <c r="F99" s="534"/>
      <c r="G99" s="529"/>
      <c r="H99" s="531"/>
      <c r="I99" s="849" t="str">
        <f t="shared" si="23"/>
        <v/>
      </c>
      <c r="J99" s="850" t="str">
        <f t="shared" si="24"/>
        <v/>
      </c>
      <c r="K99" s="70"/>
      <c r="L99" s="853"/>
      <c r="M99" s="855"/>
      <c r="N99" s="855"/>
      <c r="O99" s="855"/>
      <c r="P99" s="855"/>
      <c r="Q99" s="855"/>
      <c r="R99" s="855"/>
      <c r="S99" s="855"/>
      <c r="T99" s="855"/>
      <c r="U99" s="855"/>
      <c r="V99" s="855"/>
      <c r="W99" s="855"/>
      <c r="X99" s="855"/>
      <c r="Y99" s="855"/>
      <c r="Z99" s="856"/>
      <c r="AA99" s="856"/>
      <c r="AB99" s="856"/>
      <c r="AC99" s="856"/>
      <c r="AD99" s="856"/>
      <c r="AE99" s="856"/>
      <c r="AF99" s="856"/>
      <c r="AG99" s="856"/>
      <c r="AH99" s="856"/>
      <c r="AI99" s="856"/>
      <c r="AJ99" s="856"/>
      <c r="AK99" s="856"/>
      <c r="AL99" s="856"/>
      <c r="AM99" s="856"/>
      <c r="AN99" s="856"/>
      <c r="AO99" s="856"/>
      <c r="AP99" s="856"/>
      <c r="AQ99" s="856"/>
      <c r="AR99" s="856"/>
      <c r="AS99" s="856"/>
      <c r="AT99" s="856"/>
      <c r="AU99" s="856"/>
      <c r="AV99" s="856"/>
      <c r="AW99" s="856"/>
      <c r="AX99" s="856"/>
      <c r="AY99" s="856"/>
      <c r="AZ99" s="856"/>
      <c r="BA99" s="856"/>
      <c r="BB99" s="856"/>
      <c r="BC99" s="856"/>
      <c r="BD99" s="856"/>
      <c r="BE99" s="856"/>
      <c r="BF99" s="856"/>
      <c r="BG99" s="857"/>
      <c r="BH99" s="590"/>
      <c r="BI99" s="70"/>
      <c r="BJ99" s="518">
        <f t="shared" si="25"/>
        <v>0</v>
      </c>
      <c r="BK99" s="517">
        <f t="shared" si="26"/>
        <v>0</v>
      </c>
      <c r="BL99" s="68"/>
      <c r="BM99" s="515">
        <f>SUMIFS(Imput[[Importe Neto]:[Importe Neto]],Imput[[C. Imp.]:[C. Imp.]],$D99,Imput[[PERIODO Imp.]:[PERIODO Imp.]],BM$9)</f>
        <v>0</v>
      </c>
      <c r="BN99" s="516">
        <f>SUMIFS(Imput[[Importe Neto]:[Importe Neto]],Imput[[C. Imp.]:[C. Imp.]],$D99,Imput[[PERIODO Imp.]:[PERIODO Imp.]],BN$9)</f>
        <v>0</v>
      </c>
      <c r="BO99" s="516">
        <f>SUMIFS(Imput[[Importe Neto]:[Importe Neto]],Imput[[C. Imp.]:[C. Imp.]],$D99,Imput[[PERIODO Imp.]:[PERIODO Imp.]],BO$9)</f>
        <v>0</v>
      </c>
      <c r="BP99" s="516">
        <f>SUMIFS(Imput[[Importe Neto]:[Importe Neto]],Imput[[C. Imp.]:[C. Imp.]],$D99,Imput[[PERIODO Imp.]:[PERIODO Imp.]],BP$9)</f>
        <v>0</v>
      </c>
      <c r="BQ99" s="516">
        <f>SUMIFS(Imput[[Importe Neto]:[Importe Neto]],Imput[[C. Imp.]:[C. Imp.]],$D99,Imput[[PERIODO Imp.]:[PERIODO Imp.]],BQ$9)</f>
        <v>0</v>
      </c>
      <c r="BR99" s="516">
        <f>SUMIFS(Imput[[Importe Neto]:[Importe Neto]],Imput[[C. Imp.]:[C. Imp.]],$D99,Imput[[PERIODO Imp.]:[PERIODO Imp.]],BR$9)</f>
        <v>0</v>
      </c>
      <c r="BS99" s="516">
        <f>SUMIFS(Imput[[Importe Neto]:[Importe Neto]],Imput[[C. Imp.]:[C. Imp.]],$D99,Imput[[PERIODO Imp.]:[PERIODO Imp.]],BS$9)</f>
        <v>0</v>
      </c>
      <c r="BT99" s="516">
        <f>SUMIFS(Imput[[Importe Neto]:[Importe Neto]],Imput[[C. Imp.]:[C. Imp.]],$D99,Imput[[PERIODO Imp.]:[PERIODO Imp.]],BT$9)</f>
        <v>0</v>
      </c>
      <c r="BU99" s="516">
        <f>SUMIFS(Imput[[Importe Neto]:[Importe Neto]],Imput[[C. Imp.]:[C. Imp.]],$D99,Imput[[PERIODO Imp.]:[PERIODO Imp.]],BU$9)</f>
        <v>0</v>
      </c>
      <c r="BV99" s="516">
        <f>SUMIFS(Imput[[Importe Neto]:[Importe Neto]],Imput[[C. Imp.]:[C. Imp.]],$D99,Imput[[PERIODO Imp.]:[PERIODO Imp.]],BV$9)</f>
        <v>0</v>
      </c>
      <c r="BW99" s="516">
        <f>SUMIFS(Imput[[Importe Neto]:[Importe Neto]],Imput[[C. Imp.]:[C. Imp.]],$D99,Imput[[PERIODO Imp.]:[PERIODO Imp.]],BW$9)</f>
        <v>0</v>
      </c>
      <c r="BX99" s="516">
        <f>SUMIFS(Imput[[Importe Neto]:[Importe Neto]],Imput[[C. Imp.]:[C. Imp.]],$D99,Imput[[PERIODO Imp.]:[PERIODO Imp.]],BX$9)</f>
        <v>0</v>
      </c>
      <c r="BY99" s="516">
        <f>SUMIFS(Imput[[Importe Neto]:[Importe Neto]],Imput[[C. Imp.]:[C. Imp.]],$D99,Imput[[PERIODO Imp.]:[PERIODO Imp.]],BY$9)</f>
        <v>0</v>
      </c>
      <c r="BZ99" s="516">
        <f>SUMIFS(Imput[[Importe Neto]:[Importe Neto]],Imput[[C. Imp.]:[C. Imp.]],$D99,Imput[[PERIODO Imp.]:[PERIODO Imp.]],BZ$9)</f>
        <v>0</v>
      </c>
      <c r="CA99" s="516">
        <f>SUMIFS(Imput[[Importe Neto]:[Importe Neto]],Imput[[C. Imp.]:[C. Imp.]],$D99,Imput[[PERIODO Imp.]:[PERIODO Imp.]],CA$9)</f>
        <v>0</v>
      </c>
      <c r="CB99" s="516">
        <f>SUMIFS(Imput[[Importe Neto]:[Importe Neto]],Imput[[C. Imp.]:[C. Imp.]],$D99,Imput[[PERIODO Imp.]:[PERIODO Imp.]],CB$9)</f>
        <v>0</v>
      </c>
      <c r="CC99" s="516">
        <f>SUMIFS(Imput[[Importe Neto]:[Importe Neto]],Imput[[C. Imp.]:[C. Imp.]],$D99,Imput[[PERIODO Imp.]:[PERIODO Imp.]],CC$9)</f>
        <v>0</v>
      </c>
      <c r="CD99" s="516">
        <f>SUMIFS(Imput[[Importe Neto]:[Importe Neto]],Imput[[C. Imp.]:[C. Imp.]],$D99,Imput[[PERIODO Imp.]:[PERIODO Imp.]],CD$9)</f>
        <v>0</v>
      </c>
      <c r="CE99" s="516">
        <f>SUMIFS(Imput[[Importe Neto]:[Importe Neto]],Imput[[C. Imp.]:[C. Imp.]],$D99,Imput[[PERIODO Imp.]:[PERIODO Imp.]],CE$9)</f>
        <v>0</v>
      </c>
      <c r="CF99" s="516">
        <f>SUMIFS(Imput[[Importe Neto]:[Importe Neto]],Imput[[C. Imp.]:[C. Imp.]],$D99,Imput[[PERIODO Imp.]:[PERIODO Imp.]],CF$9)</f>
        <v>0</v>
      </c>
      <c r="CG99" s="516">
        <f>SUMIFS(Imput[[Importe Neto]:[Importe Neto]],Imput[[C. Imp.]:[C. Imp.]],$D99,Imput[[PERIODO Imp.]:[PERIODO Imp.]],CG$9)</f>
        <v>0</v>
      </c>
      <c r="CH99" s="516">
        <f>SUMIFS(Imput[[Importe Neto]:[Importe Neto]],Imput[[C. Imp.]:[C. Imp.]],$D99,Imput[[PERIODO Imp.]:[PERIODO Imp.]],CH$9)</f>
        <v>0</v>
      </c>
      <c r="CI99" s="516">
        <f>SUMIFS(Imput[[Importe Neto]:[Importe Neto]],Imput[[C. Imp.]:[C. Imp.]],$D99,Imput[[PERIODO Imp.]:[PERIODO Imp.]],CI$9)</f>
        <v>0</v>
      </c>
      <c r="CJ99" s="516">
        <f>SUMIFS(Imput[[Importe Neto]:[Importe Neto]],Imput[[C. Imp.]:[C. Imp.]],$D99,Imput[[PERIODO Imp.]:[PERIODO Imp.]],CJ$9)</f>
        <v>0</v>
      </c>
      <c r="CK99" s="516">
        <f>SUMIFS(Imput[[Importe Neto]:[Importe Neto]],Imput[[C. Imp.]:[C. Imp.]],$D99,Imput[[PERIODO Imp.]:[PERIODO Imp.]],CK$9)</f>
        <v>0</v>
      </c>
      <c r="CL99" s="516">
        <f>SUMIFS(Imput[[Importe Neto]:[Importe Neto]],Imput[[C. Imp.]:[C. Imp.]],$D99,Imput[[PERIODO Imp.]:[PERIODO Imp.]],CL$9)</f>
        <v>0</v>
      </c>
      <c r="CM99" s="516">
        <f>SUMIFS(Imput[[Importe Neto]:[Importe Neto]],Imput[[C. Imp.]:[C. Imp.]],$D99,Imput[[PERIODO Imp.]:[PERIODO Imp.]],CM$9)</f>
        <v>0</v>
      </c>
      <c r="CN99" s="516">
        <f>SUMIFS(Imput[[Importe Neto]:[Importe Neto]],Imput[[C. Imp.]:[C. Imp.]],$D99,Imput[[PERIODO Imp.]:[PERIODO Imp.]],CN$9)</f>
        <v>0</v>
      </c>
      <c r="CO99" s="516">
        <f>SUMIFS(Imput[[Importe Neto]:[Importe Neto]],Imput[[C. Imp.]:[C. Imp.]],$D99,Imput[[PERIODO Imp.]:[PERIODO Imp.]],CO$9)</f>
        <v>0</v>
      </c>
      <c r="CP99" s="516">
        <f>SUMIFS(Imput[[Importe Neto]:[Importe Neto]],Imput[[C. Imp.]:[C. Imp.]],$D99,Imput[[PERIODO Imp.]:[PERIODO Imp.]],CP$9)</f>
        <v>0</v>
      </c>
      <c r="CQ99" s="516">
        <f>SUMIFS(Imput[[Importe Neto]:[Importe Neto]],Imput[[C. Imp.]:[C. Imp.]],$D99,Imput[[PERIODO Imp.]:[PERIODO Imp.]],CQ$9)</f>
        <v>0</v>
      </c>
      <c r="CR99" s="516">
        <f>SUMIFS(Imput[[Importe Neto]:[Importe Neto]],Imput[[C. Imp.]:[C. Imp.]],$D99,Imput[[PERIODO Imp.]:[PERIODO Imp.]],CR$9)</f>
        <v>0</v>
      </c>
      <c r="CS99" s="516">
        <f>SUMIFS(Imput[[Importe Neto]:[Importe Neto]],Imput[[C. Imp.]:[C. Imp.]],$D99,Imput[[PERIODO Imp.]:[PERIODO Imp.]],CS$9)</f>
        <v>0</v>
      </c>
      <c r="CT99" s="516">
        <f>SUMIFS(Imput[[Importe Neto]:[Importe Neto]],Imput[[C. Imp.]:[C. Imp.]],$D99,Imput[[PERIODO Imp.]:[PERIODO Imp.]],CT$9)</f>
        <v>0</v>
      </c>
      <c r="CU99" s="516">
        <f>SUMIFS(Imput[[Importe Neto]:[Importe Neto]],Imput[[C. Imp.]:[C. Imp.]],$D99,Imput[[PERIODO Imp.]:[PERIODO Imp.]],CU$9)</f>
        <v>0</v>
      </c>
      <c r="CV99" s="516">
        <f>SUMIFS(Imput[[Importe Neto]:[Importe Neto]],Imput[[C. Imp.]:[C. Imp.]],$D99,Imput[[PERIODO Imp.]:[PERIODO Imp.]],CV$9)</f>
        <v>0</v>
      </c>
      <c r="CW99" s="516">
        <f>SUMIFS(Imput[[Importe Neto]:[Importe Neto]],Imput[[C. Imp.]:[C. Imp.]],$D99,Imput[[PERIODO Imp.]:[PERIODO Imp.]],CW$9)</f>
        <v>0</v>
      </c>
      <c r="CX99" s="516">
        <f>SUMIFS(Imput[[Importe Neto]:[Importe Neto]],Imput[[C. Imp.]:[C. Imp.]],$D99,Imput[[PERIODO Imp.]:[PERIODO Imp.]],CX$9)</f>
        <v>0</v>
      </c>
      <c r="CY99" s="516">
        <f>SUMIFS(Imput[[Importe Neto]:[Importe Neto]],Imput[[C. Imp.]:[C. Imp.]],$D99,Imput[[PERIODO Imp.]:[PERIODO Imp.]],CY$9)</f>
        <v>0</v>
      </c>
      <c r="CZ99" s="516">
        <f>SUMIFS(Imput[[Importe Neto]:[Importe Neto]],Imput[[C. Imp.]:[C. Imp.]],$D99,Imput[[PERIODO Imp.]:[PERIODO Imp.]],CZ$9)</f>
        <v>0</v>
      </c>
      <c r="DA99" s="516">
        <f>SUMIFS(Imput[[Importe Neto]:[Importe Neto]],Imput[[C. Imp.]:[C. Imp.]],$D99,Imput[[PERIODO Imp.]:[PERIODO Imp.]],DA$9)</f>
        <v>0</v>
      </c>
      <c r="DB99" s="516">
        <f>SUMIFS(Imput[[Importe Neto]:[Importe Neto]],Imput[[C. Imp.]:[C. Imp.]],$D99,Imput[[PERIODO Imp.]:[PERIODO Imp.]],DB$9)</f>
        <v>0</v>
      </c>
      <c r="DC99" s="516">
        <f>SUMIFS(Imput[[Importe Neto]:[Importe Neto]],Imput[[C. Imp.]:[C. Imp.]],$D99,Imput[[PERIODO Imp.]:[PERIODO Imp.]],DC$9)</f>
        <v>0</v>
      </c>
      <c r="DD99" s="516">
        <f>SUMIFS(Imput[[Importe Neto]:[Importe Neto]],Imput[[C. Imp.]:[C. Imp.]],$D99,Imput[[PERIODO Imp.]:[PERIODO Imp.]],DD$9)</f>
        <v>0</v>
      </c>
      <c r="DE99" s="516">
        <f>SUMIFS(Imput[[Importe Neto]:[Importe Neto]],Imput[[C. Imp.]:[C. Imp.]],$D99,Imput[[PERIODO Imp.]:[PERIODO Imp.]],DE$9)</f>
        <v>0</v>
      </c>
      <c r="DF99" s="516">
        <f>SUMIFS(Imput[[Importe Neto]:[Importe Neto]],Imput[[C. Imp.]:[C. Imp.]],$D99,Imput[[PERIODO Imp.]:[PERIODO Imp.]],DF$9)</f>
        <v>0</v>
      </c>
      <c r="DG99" s="516">
        <f>SUMIFS(Imput[[Importe Neto]:[Importe Neto]],Imput[[C. Imp.]:[C. Imp.]],$D99,Imput[[PERIODO Imp.]:[PERIODO Imp.]],DG$9)</f>
        <v>0</v>
      </c>
      <c r="DH99" s="616">
        <f>SUMIFS(Imput[[Importe Neto]:[Importe Neto]],Imput[[C. Imp.]:[C. Imp.]],$D99,Imput[[PERIODO Imp.]:[PERIODO Imp.]],DH$9)</f>
        <v>0</v>
      </c>
    </row>
    <row r="100" spans="1:112" hidden="1" outlineLevel="1" x14ac:dyDescent="0.3">
      <c r="A100" s="66" t="str">
        <f t="shared" si="22"/>
        <v/>
      </c>
      <c r="C100" s="527"/>
      <c r="D100" s="528" t="s">
        <v>2212</v>
      </c>
      <c r="E100" s="528"/>
      <c r="F100" s="534"/>
      <c r="G100" s="529"/>
      <c r="H100" s="531"/>
      <c r="I100" s="849" t="str">
        <f t="shared" si="23"/>
        <v/>
      </c>
      <c r="J100" s="850" t="str">
        <f t="shared" si="24"/>
        <v/>
      </c>
      <c r="K100" s="70"/>
      <c r="L100" s="853"/>
      <c r="M100" s="855"/>
      <c r="N100" s="855"/>
      <c r="O100" s="855"/>
      <c r="P100" s="855"/>
      <c r="Q100" s="855"/>
      <c r="R100" s="855"/>
      <c r="S100" s="855"/>
      <c r="T100" s="855"/>
      <c r="U100" s="855"/>
      <c r="V100" s="855"/>
      <c r="W100" s="855"/>
      <c r="X100" s="855"/>
      <c r="Y100" s="855"/>
      <c r="Z100" s="856"/>
      <c r="AA100" s="856"/>
      <c r="AB100" s="856"/>
      <c r="AC100" s="856"/>
      <c r="AD100" s="856"/>
      <c r="AE100" s="856"/>
      <c r="AF100" s="856"/>
      <c r="AG100" s="856"/>
      <c r="AH100" s="856"/>
      <c r="AI100" s="856"/>
      <c r="AJ100" s="856"/>
      <c r="AK100" s="856"/>
      <c r="AL100" s="856"/>
      <c r="AM100" s="856"/>
      <c r="AN100" s="856"/>
      <c r="AO100" s="856"/>
      <c r="AP100" s="856"/>
      <c r="AQ100" s="856"/>
      <c r="AR100" s="856"/>
      <c r="AS100" s="856"/>
      <c r="AT100" s="856"/>
      <c r="AU100" s="856"/>
      <c r="AV100" s="856"/>
      <c r="AW100" s="856"/>
      <c r="AX100" s="856"/>
      <c r="AY100" s="856"/>
      <c r="AZ100" s="856"/>
      <c r="BA100" s="856"/>
      <c r="BB100" s="856"/>
      <c r="BC100" s="856"/>
      <c r="BD100" s="856"/>
      <c r="BE100" s="856"/>
      <c r="BF100" s="856"/>
      <c r="BG100" s="857"/>
      <c r="BH100" s="590"/>
      <c r="BI100" s="70"/>
      <c r="BJ100" s="518">
        <f t="shared" si="25"/>
        <v>0</v>
      </c>
      <c r="BK100" s="517">
        <f t="shared" si="26"/>
        <v>0</v>
      </c>
      <c r="BL100" s="68"/>
      <c r="BM100" s="515">
        <f>SUMIFS(Imput[[Importe Neto]:[Importe Neto]],Imput[[C. Imp.]:[C. Imp.]],$D100,Imput[[PERIODO Imp.]:[PERIODO Imp.]],BM$9)</f>
        <v>0</v>
      </c>
      <c r="BN100" s="516">
        <f>SUMIFS(Imput[[Importe Neto]:[Importe Neto]],Imput[[C. Imp.]:[C. Imp.]],$D100,Imput[[PERIODO Imp.]:[PERIODO Imp.]],BN$9)</f>
        <v>0</v>
      </c>
      <c r="BO100" s="516">
        <f>SUMIFS(Imput[[Importe Neto]:[Importe Neto]],Imput[[C. Imp.]:[C. Imp.]],$D100,Imput[[PERIODO Imp.]:[PERIODO Imp.]],BO$9)</f>
        <v>0</v>
      </c>
      <c r="BP100" s="516">
        <f>SUMIFS(Imput[[Importe Neto]:[Importe Neto]],Imput[[C. Imp.]:[C. Imp.]],$D100,Imput[[PERIODO Imp.]:[PERIODO Imp.]],BP$9)</f>
        <v>0</v>
      </c>
      <c r="BQ100" s="516">
        <f>SUMIFS(Imput[[Importe Neto]:[Importe Neto]],Imput[[C. Imp.]:[C. Imp.]],$D100,Imput[[PERIODO Imp.]:[PERIODO Imp.]],BQ$9)</f>
        <v>0</v>
      </c>
      <c r="BR100" s="516">
        <f>SUMIFS(Imput[[Importe Neto]:[Importe Neto]],Imput[[C. Imp.]:[C. Imp.]],$D100,Imput[[PERIODO Imp.]:[PERIODO Imp.]],BR$9)</f>
        <v>0</v>
      </c>
      <c r="BS100" s="516">
        <f>SUMIFS(Imput[[Importe Neto]:[Importe Neto]],Imput[[C. Imp.]:[C. Imp.]],$D100,Imput[[PERIODO Imp.]:[PERIODO Imp.]],BS$9)</f>
        <v>0</v>
      </c>
      <c r="BT100" s="516">
        <f>SUMIFS(Imput[[Importe Neto]:[Importe Neto]],Imput[[C. Imp.]:[C. Imp.]],$D100,Imput[[PERIODO Imp.]:[PERIODO Imp.]],BT$9)</f>
        <v>0</v>
      </c>
      <c r="BU100" s="516">
        <f>SUMIFS(Imput[[Importe Neto]:[Importe Neto]],Imput[[C. Imp.]:[C. Imp.]],$D100,Imput[[PERIODO Imp.]:[PERIODO Imp.]],BU$9)</f>
        <v>0</v>
      </c>
      <c r="BV100" s="516">
        <f>SUMIFS(Imput[[Importe Neto]:[Importe Neto]],Imput[[C. Imp.]:[C. Imp.]],$D100,Imput[[PERIODO Imp.]:[PERIODO Imp.]],BV$9)</f>
        <v>0</v>
      </c>
      <c r="BW100" s="516">
        <f>SUMIFS(Imput[[Importe Neto]:[Importe Neto]],Imput[[C. Imp.]:[C. Imp.]],$D100,Imput[[PERIODO Imp.]:[PERIODO Imp.]],BW$9)</f>
        <v>0</v>
      </c>
      <c r="BX100" s="516">
        <f>SUMIFS(Imput[[Importe Neto]:[Importe Neto]],Imput[[C. Imp.]:[C. Imp.]],$D100,Imput[[PERIODO Imp.]:[PERIODO Imp.]],BX$9)</f>
        <v>0</v>
      </c>
      <c r="BY100" s="516">
        <f>SUMIFS(Imput[[Importe Neto]:[Importe Neto]],Imput[[C. Imp.]:[C. Imp.]],$D100,Imput[[PERIODO Imp.]:[PERIODO Imp.]],BY$9)</f>
        <v>0</v>
      </c>
      <c r="BZ100" s="516">
        <f>SUMIFS(Imput[[Importe Neto]:[Importe Neto]],Imput[[C. Imp.]:[C. Imp.]],$D100,Imput[[PERIODO Imp.]:[PERIODO Imp.]],BZ$9)</f>
        <v>0</v>
      </c>
      <c r="CA100" s="516">
        <f>SUMIFS(Imput[[Importe Neto]:[Importe Neto]],Imput[[C. Imp.]:[C. Imp.]],$D100,Imput[[PERIODO Imp.]:[PERIODO Imp.]],CA$9)</f>
        <v>0</v>
      </c>
      <c r="CB100" s="516">
        <f>SUMIFS(Imput[[Importe Neto]:[Importe Neto]],Imput[[C. Imp.]:[C. Imp.]],$D100,Imput[[PERIODO Imp.]:[PERIODO Imp.]],CB$9)</f>
        <v>0</v>
      </c>
      <c r="CC100" s="516">
        <f>SUMIFS(Imput[[Importe Neto]:[Importe Neto]],Imput[[C. Imp.]:[C. Imp.]],$D100,Imput[[PERIODO Imp.]:[PERIODO Imp.]],CC$9)</f>
        <v>0</v>
      </c>
      <c r="CD100" s="516">
        <f>SUMIFS(Imput[[Importe Neto]:[Importe Neto]],Imput[[C. Imp.]:[C. Imp.]],$D100,Imput[[PERIODO Imp.]:[PERIODO Imp.]],CD$9)</f>
        <v>0</v>
      </c>
      <c r="CE100" s="516">
        <f>SUMIFS(Imput[[Importe Neto]:[Importe Neto]],Imput[[C. Imp.]:[C. Imp.]],$D100,Imput[[PERIODO Imp.]:[PERIODO Imp.]],CE$9)</f>
        <v>0</v>
      </c>
      <c r="CF100" s="516">
        <f>SUMIFS(Imput[[Importe Neto]:[Importe Neto]],Imput[[C. Imp.]:[C. Imp.]],$D100,Imput[[PERIODO Imp.]:[PERIODO Imp.]],CF$9)</f>
        <v>0</v>
      </c>
      <c r="CG100" s="516">
        <f>SUMIFS(Imput[[Importe Neto]:[Importe Neto]],Imput[[C. Imp.]:[C. Imp.]],$D100,Imput[[PERIODO Imp.]:[PERIODO Imp.]],CG$9)</f>
        <v>0</v>
      </c>
      <c r="CH100" s="516">
        <f>SUMIFS(Imput[[Importe Neto]:[Importe Neto]],Imput[[C. Imp.]:[C. Imp.]],$D100,Imput[[PERIODO Imp.]:[PERIODO Imp.]],CH$9)</f>
        <v>0</v>
      </c>
      <c r="CI100" s="516">
        <f>SUMIFS(Imput[[Importe Neto]:[Importe Neto]],Imput[[C. Imp.]:[C. Imp.]],$D100,Imput[[PERIODO Imp.]:[PERIODO Imp.]],CI$9)</f>
        <v>0</v>
      </c>
      <c r="CJ100" s="516">
        <f>SUMIFS(Imput[[Importe Neto]:[Importe Neto]],Imput[[C. Imp.]:[C. Imp.]],$D100,Imput[[PERIODO Imp.]:[PERIODO Imp.]],CJ$9)</f>
        <v>0</v>
      </c>
      <c r="CK100" s="516">
        <f>SUMIFS(Imput[[Importe Neto]:[Importe Neto]],Imput[[C. Imp.]:[C. Imp.]],$D100,Imput[[PERIODO Imp.]:[PERIODO Imp.]],CK$9)</f>
        <v>0</v>
      </c>
      <c r="CL100" s="516">
        <f>SUMIFS(Imput[[Importe Neto]:[Importe Neto]],Imput[[C. Imp.]:[C. Imp.]],$D100,Imput[[PERIODO Imp.]:[PERIODO Imp.]],CL$9)</f>
        <v>0</v>
      </c>
      <c r="CM100" s="516">
        <f>SUMIFS(Imput[[Importe Neto]:[Importe Neto]],Imput[[C. Imp.]:[C. Imp.]],$D100,Imput[[PERIODO Imp.]:[PERIODO Imp.]],CM$9)</f>
        <v>0</v>
      </c>
      <c r="CN100" s="516">
        <f>SUMIFS(Imput[[Importe Neto]:[Importe Neto]],Imput[[C. Imp.]:[C. Imp.]],$D100,Imput[[PERIODO Imp.]:[PERIODO Imp.]],CN$9)</f>
        <v>0</v>
      </c>
      <c r="CO100" s="516">
        <f>SUMIFS(Imput[[Importe Neto]:[Importe Neto]],Imput[[C. Imp.]:[C. Imp.]],$D100,Imput[[PERIODO Imp.]:[PERIODO Imp.]],CO$9)</f>
        <v>0</v>
      </c>
      <c r="CP100" s="516">
        <f>SUMIFS(Imput[[Importe Neto]:[Importe Neto]],Imput[[C. Imp.]:[C. Imp.]],$D100,Imput[[PERIODO Imp.]:[PERIODO Imp.]],CP$9)</f>
        <v>0</v>
      </c>
      <c r="CQ100" s="516">
        <f>SUMIFS(Imput[[Importe Neto]:[Importe Neto]],Imput[[C. Imp.]:[C. Imp.]],$D100,Imput[[PERIODO Imp.]:[PERIODO Imp.]],CQ$9)</f>
        <v>0</v>
      </c>
      <c r="CR100" s="516">
        <f>SUMIFS(Imput[[Importe Neto]:[Importe Neto]],Imput[[C. Imp.]:[C. Imp.]],$D100,Imput[[PERIODO Imp.]:[PERIODO Imp.]],CR$9)</f>
        <v>0</v>
      </c>
      <c r="CS100" s="516">
        <f>SUMIFS(Imput[[Importe Neto]:[Importe Neto]],Imput[[C. Imp.]:[C. Imp.]],$D100,Imput[[PERIODO Imp.]:[PERIODO Imp.]],CS$9)</f>
        <v>0</v>
      </c>
      <c r="CT100" s="516">
        <f>SUMIFS(Imput[[Importe Neto]:[Importe Neto]],Imput[[C. Imp.]:[C. Imp.]],$D100,Imput[[PERIODO Imp.]:[PERIODO Imp.]],CT$9)</f>
        <v>0</v>
      </c>
      <c r="CU100" s="516">
        <f>SUMIFS(Imput[[Importe Neto]:[Importe Neto]],Imput[[C. Imp.]:[C. Imp.]],$D100,Imput[[PERIODO Imp.]:[PERIODO Imp.]],CU$9)</f>
        <v>0</v>
      </c>
      <c r="CV100" s="516">
        <f>SUMIFS(Imput[[Importe Neto]:[Importe Neto]],Imput[[C. Imp.]:[C. Imp.]],$D100,Imput[[PERIODO Imp.]:[PERIODO Imp.]],CV$9)</f>
        <v>0</v>
      </c>
      <c r="CW100" s="516">
        <f>SUMIFS(Imput[[Importe Neto]:[Importe Neto]],Imput[[C. Imp.]:[C. Imp.]],$D100,Imput[[PERIODO Imp.]:[PERIODO Imp.]],CW$9)</f>
        <v>0</v>
      </c>
      <c r="CX100" s="516">
        <f>SUMIFS(Imput[[Importe Neto]:[Importe Neto]],Imput[[C. Imp.]:[C. Imp.]],$D100,Imput[[PERIODO Imp.]:[PERIODO Imp.]],CX$9)</f>
        <v>0</v>
      </c>
      <c r="CY100" s="516">
        <f>SUMIFS(Imput[[Importe Neto]:[Importe Neto]],Imput[[C. Imp.]:[C. Imp.]],$D100,Imput[[PERIODO Imp.]:[PERIODO Imp.]],CY$9)</f>
        <v>0</v>
      </c>
      <c r="CZ100" s="516">
        <f>SUMIFS(Imput[[Importe Neto]:[Importe Neto]],Imput[[C. Imp.]:[C. Imp.]],$D100,Imput[[PERIODO Imp.]:[PERIODO Imp.]],CZ$9)</f>
        <v>0</v>
      </c>
      <c r="DA100" s="516">
        <f>SUMIFS(Imput[[Importe Neto]:[Importe Neto]],Imput[[C. Imp.]:[C. Imp.]],$D100,Imput[[PERIODO Imp.]:[PERIODO Imp.]],DA$9)</f>
        <v>0</v>
      </c>
      <c r="DB100" s="516">
        <f>SUMIFS(Imput[[Importe Neto]:[Importe Neto]],Imput[[C. Imp.]:[C. Imp.]],$D100,Imput[[PERIODO Imp.]:[PERIODO Imp.]],DB$9)</f>
        <v>0</v>
      </c>
      <c r="DC100" s="516">
        <f>SUMIFS(Imput[[Importe Neto]:[Importe Neto]],Imput[[C. Imp.]:[C. Imp.]],$D100,Imput[[PERIODO Imp.]:[PERIODO Imp.]],DC$9)</f>
        <v>0</v>
      </c>
      <c r="DD100" s="516">
        <f>SUMIFS(Imput[[Importe Neto]:[Importe Neto]],Imput[[C. Imp.]:[C. Imp.]],$D100,Imput[[PERIODO Imp.]:[PERIODO Imp.]],DD$9)</f>
        <v>0</v>
      </c>
      <c r="DE100" s="516">
        <f>SUMIFS(Imput[[Importe Neto]:[Importe Neto]],Imput[[C. Imp.]:[C. Imp.]],$D100,Imput[[PERIODO Imp.]:[PERIODO Imp.]],DE$9)</f>
        <v>0</v>
      </c>
      <c r="DF100" s="516">
        <f>SUMIFS(Imput[[Importe Neto]:[Importe Neto]],Imput[[C. Imp.]:[C. Imp.]],$D100,Imput[[PERIODO Imp.]:[PERIODO Imp.]],DF$9)</f>
        <v>0</v>
      </c>
      <c r="DG100" s="516">
        <f>SUMIFS(Imput[[Importe Neto]:[Importe Neto]],Imput[[C. Imp.]:[C. Imp.]],$D100,Imput[[PERIODO Imp.]:[PERIODO Imp.]],DG$9)</f>
        <v>0</v>
      </c>
      <c r="DH100" s="616">
        <f>SUMIFS(Imput[[Importe Neto]:[Importe Neto]],Imput[[C. Imp.]:[C. Imp.]],$D100,Imput[[PERIODO Imp.]:[PERIODO Imp.]],DH$9)</f>
        <v>0</v>
      </c>
    </row>
    <row r="101" spans="1:112" hidden="1" outlineLevel="1" x14ac:dyDescent="0.3">
      <c r="A101" s="66" t="str">
        <f t="shared" si="22"/>
        <v/>
      </c>
      <c r="C101" s="527"/>
      <c r="D101" s="528" t="s">
        <v>2213</v>
      </c>
      <c r="E101" s="528"/>
      <c r="F101" s="534"/>
      <c r="G101" s="529"/>
      <c r="H101" s="531"/>
      <c r="I101" s="849" t="str">
        <f t="shared" si="23"/>
        <v/>
      </c>
      <c r="J101" s="850" t="str">
        <f t="shared" si="24"/>
        <v/>
      </c>
      <c r="K101" s="70"/>
      <c r="L101" s="853"/>
      <c r="M101" s="855"/>
      <c r="N101" s="855"/>
      <c r="O101" s="855"/>
      <c r="P101" s="855"/>
      <c r="Q101" s="855"/>
      <c r="R101" s="855"/>
      <c r="S101" s="855"/>
      <c r="T101" s="855"/>
      <c r="U101" s="855"/>
      <c r="V101" s="855"/>
      <c r="W101" s="855"/>
      <c r="X101" s="855"/>
      <c r="Y101" s="855"/>
      <c r="Z101" s="856"/>
      <c r="AA101" s="856"/>
      <c r="AB101" s="856"/>
      <c r="AC101" s="856"/>
      <c r="AD101" s="856"/>
      <c r="AE101" s="856"/>
      <c r="AF101" s="856"/>
      <c r="AG101" s="856"/>
      <c r="AH101" s="856"/>
      <c r="AI101" s="856"/>
      <c r="AJ101" s="856"/>
      <c r="AK101" s="856"/>
      <c r="AL101" s="856"/>
      <c r="AM101" s="856"/>
      <c r="AN101" s="856"/>
      <c r="AO101" s="856"/>
      <c r="AP101" s="856"/>
      <c r="AQ101" s="856"/>
      <c r="AR101" s="856"/>
      <c r="AS101" s="856"/>
      <c r="AT101" s="856"/>
      <c r="AU101" s="856"/>
      <c r="AV101" s="856"/>
      <c r="AW101" s="856"/>
      <c r="AX101" s="856"/>
      <c r="AY101" s="856"/>
      <c r="AZ101" s="856"/>
      <c r="BA101" s="856"/>
      <c r="BB101" s="856"/>
      <c r="BC101" s="856"/>
      <c r="BD101" s="856"/>
      <c r="BE101" s="856"/>
      <c r="BF101" s="856"/>
      <c r="BG101" s="857"/>
      <c r="BH101" s="590"/>
      <c r="BI101" s="70"/>
      <c r="BJ101" s="518">
        <f t="shared" si="25"/>
        <v>0</v>
      </c>
      <c r="BK101" s="517">
        <f t="shared" si="26"/>
        <v>0</v>
      </c>
      <c r="BL101" s="68"/>
      <c r="BM101" s="515">
        <f>SUMIFS(Imput[[Importe Neto]:[Importe Neto]],Imput[[C. Imp.]:[C. Imp.]],$D101,Imput[[PERIODO Imp.]:[PERIODO Imp.]],BM$9)</f>
        <v>0</v>
      </c>
      <c r="BN101" s="516">
        <f>SUMIFS(Imput[[Importe Neto]:[Importe Neto]],Imput[[C. Imp.]:[C. Imp.]],$D101,Imput[[PERIODO Imp.]:[PERIODO Imp.]],BN$9)</f>
        <v>0</v>
      </c>
      <c r="BO101" s="516">
        <f>SUMIFS(Imput[[Importe Neto]:[Importe Neto]],Imput[[C. Imp.]:[C. Imp.]],$D101,Imput[[PERIODO Imp.]:[PERIODO Imp.]],BO$9)</f>
        <v>0</v>
      </c>
      <c r="BP101" s="516">
        <f>SUMIFS(Imput[[Importe Neto]:[Importe Neto]],Imput[[C. Imp.]:[C. Imp.]],$D101,Imput[[PERIODO Imp.]:[PERIODO Imp.]],BP$9)</f>
        <v>0</v>
      </c>
      <c r="BQ101" s="516">
        <f>SUMIFS(Imput[[Importe Neto]:[Importe Neto]],Imput[[C. Imp.]:[C. Imp.]],$D101,Imput[[PERIODO Imp.]:[PERIODO Imp.]],BQ$9)</f>
        <v>0</v>
      </c>
      <c r="BR101" s="516">
        <f>SUMIFS(Imput[[Importe Neto]:[Importe Neto]],Imput[[C. Imp.]:[C. Imp.]],$D101,Imput[[PERIODO Imp.]:[PERIODO Imp.]],BR$9)</f>
        <v>0</v>
      </c>
      <c r="BS101" s="516">
        <f>SUMIFS(Imput[[Importe Neto]:[Importe Neto]],Imput[[C. Imp.]:[C. Imp.]],$D101,Imput[[PERIODO Imp.]:[PERIODO Imp.]],BS$9)</f>
        <v>0</v>
      </c>
      <c r="BT101" s="516">
        <f>SUMIFS(Imput[[Importe Neto]:[Importe Neto]],Imput[[C. Imp.]:[C. Imp.]],$D101,Imput[[PERIODO Imp.]:[PERIODO Imp.]],BT$9)</f>
        <v>0</v>
      </c>
      <c r="BU101" s="516">
        <f>SUMIFS(Imput[[Importe Neto]:[Importe Neto]],Imput[[C. Imp.]:[C. Imp.]],$D101,Imput[[PERIODO Imp.]:[PERIODO Imp.]],BU$9)</f>
        <v>0</v>
      </c>
      <c r="BV101" s="516">
        <f>SUMIFS(Imput[[Importe Neto]:[Importe Neto]],Imput[[C. Imp.]:[C. Imp.]],$D101,Imput[[PERIODO Imp.]:[PERIODO Imp.]],BV$9)</f>
        <v>0</v>
      </c>
      <c r="BW101" s="516">
        <f>SUMIFS(Imput[[Importe Neto]:[Importe Neto]],Imput[[C. Imp.]:[C. Imp.]],$D101,Imput[[PERIODO Imp.]:[PERIODO Imp.]],BW$9)</f>
        <v>0</v>
      </c>
      <c r="BX101" s="516">
        <f>SUMIFS(Imput[[Importe Neto]:[Importe Neto]],Imput[[C. Imp.]:[C. Imp.]],$D101,Imput[[PERIODO Imp.]:[PERIODO Imp.]],BX$9)</f>
        <v>0</v>
      </c>
      <c r="BY101" s="516">
        <f>SUMIFS(Imput[[Importe Neto]:[Importe Neto]],Imput[[C. Imp.]:[C. Imp.]],$D101,Imput[[PERIODO Imp.]:[PERIODO Imp.]],BY$9)</f>
        <v>0</v>
      </c>
      <c r="BZ101" s="516">
        <f>SUMIFS(Imput[[Importe Neto]:[Importe Neto]],Imput[[C. Imp.]:[C. Imp.]],$D101,Imput[[PERIODO Imp.]:[PERIODO Imp.]],BZ$9)</f>
        <v>0</v>
      </c>
      <c r="CA101" s="516">
        <f>SUMIFS(Imput[[Importe Neto]:[Importe Neto]],Imput[[C. Imp.]:[C. Imp.]],$D101,Imput[[PERIODO Imp.]:[PERIODO Imp.]],CA$9)</f>
        <v>0</v>
      </c>
      <c r="CB101" s="516">
        <f>SUMIFS(Imput[[Importe Neto]:[Importe Neto]],Imput[[C. Imp.]:[C. Imp.]],$D101,Imput[[PERIODO Imp.]:[PERIODO Imp.]],CB$9)</f>
        <v>0</v>
      </c>
      <c r="CC101" s="516">
        <f>SUMIFS(Imput[[Importe Neto]:[Importe Neto]],Imput[[C. Imp.]:[C. Imp.]],$D101,Imput[[PERIODO Imp.]:[PERIODO Imp.]],CC$9)</f>
        <v>0</v>
      </c>
      <c r="CD101" s="516">
        <f>SUMIFS(Imput[[Importe Neto]:[Importe Neto]],Imput[[C. Imp.]:[C. Imp.]],$D101,Imput[[PERIODO Imp.]:[PERIODO Imp.]],CD$9)</f>
        <v>0</v>
      </c>
      <c r="CE101" s="516">
        <f>SUMIFS(Imput[[Importe Neto]:[Importe Neto]],Imput[[C. Imp.]:[C. Imp.]],$D101,Imput[[PERIODO Imp.]:[PERIODO Imp.]],CE$9)</f>
        <v>0</v>
      </c>
      <c r="CF101" s="516">
        <f>SUMIFS(Imput[[Importe Neto]:[Importe Neto]],Imput[[C. Imp.]:[C. Imp.]],$D101,Imput[[PERIODO Imp.]:[PERIODO Imp.]],CF$9)</f>
        <v>0</v>
      </c>
      <c r="CG101" s="516">
        <f>SUMIFS(Imput[[Importe Neto]:[Importe Neto]],Imput[[C. Imp.]:[C. Imp.]],$D101,Imput[[PERIODO Imp.]:[PERIODO Imp.]],CG$9)</f>
        <v>0</v>
      </c>
      <c r="CH101" s="516">
        <f>SUMIFS(Imput[[Importe Neto]:[Importe Neto]],Imput[[C. Imp.]:[C. Imp.]],$D101,Imput[[PERIODO Imp.]:[PERIODO Imp.]],CH$9)</f>
        <v>0</v>
      </c>
      <c r="CI101" s="516">
        <f>SUMIFS(Imput[[Importe Neto]:[Importe Neto]],Imput[[C. Imp.]:[C. Imp.]],$D101,Imput[[PERIODO Imp.]:[PERIODO Imp.]],CI$9)</f>
        <v>0</v>
      </c>
      <c r="CJ101" s="516">
        <f>SUMIFS(Imput[[Importe Neto]:[Importe Neto]],Imput[[C. Imp.]:[C. Imp.]],$D101,Imput[[PERIODO Imp.]:[PERIODO Imp.]],CJ$9)</f>
        <v>0</v>
      </c>
      <c r="CK101" s="516">
        <f>SUMIFS(Imput[[Importe Neto]:[Importe Neto]],Imput[[C. Imp.]:[C. Imp.]],$D101,Imput[[PERIODO Imp.]:[PERIODO Imp.]],CK$9)</f>
        <v>0</v>
      </c>
      <c r="CL101" s="516">
        <f>SUMIFS(Imput[[Importe Neto]:[Importe Neto]],Imput[[C. Imp.]:[C. Imp.]],$D101,Imput[[PERIODO Imp.]:[PERIODO Imp.]],CL$9)</f>
        <v>0</v>
      </c>
      <c r="CM101" s="516">
        <f>SUMIFS(Imput[[Importe Neto]:[Importe Neto]],Imput[[C. Imp.]:[C. Imp.]],$D101,Imput[[PERIODO Imp.]:[PERIODO Imp.]],CM$9)</f>
        <v>0</v>
      </c>
      <c r="CN101" s="516">
        <f>SUMIFS(Imput[[Importe Neto]:[Importe Neto]],Imput[[C. Imp.]:[C. Imp.]],$D101,Imput[[PERIODO Imp.]:[PERIODO Imp.]],CN$9)</f>
        <v>0</v>
      </c>
      <c r="CO101" s="516">
        <f>SUMIFS(Imput[[Importe Neto]:[Importe Neto]],Imput[[C. Imp.]:[C. Imp.]],$D101,Imput[[PERIODO Imp.]:[PERIODO Imp.]],CO$9)</f>
        <v>0</v>
      </c>
      <c r="CP101" s="516">
        <f>SUMIFS(Imput[[Importe Neto]:[Importe Neto]],Imput[[C. Imp.]:[C. Imp.]],$D101,Imput[[PERIODO Imp.]:[PERIODO Imp.]],CP$9)</f>
        <v>0</v>
      </c>
      <c r="CQ101" s="516">
        <f>SUMIFS(Imput[[Importe Neto]:[Importe Neto]],Imput[[C. Imp.]:[C. Imp.]],$D101,Imput[[PERIODO Imp.]:[PERIODO Imp.]],CQ$9)</f>
        <v>0</v>
      </c>
      <c r="CR101" s="516">
        <f>SUMIFS(Imput[[Importe Neto]:[Importe Neto]],Imput[[C. Imp.]:[C. Imp.]],$D101,Imput[[PERIODO Imp.]:[PERIODO Imp.]],CR$9)</f>
        <v>0</v>
      </c>
      <c r="CS101" s="516">
        <f>SUMIFS(Imput[[Importe Neto]:[Importe Neto]],Imput[[C. Imp.]:[C. Imp.]],$D101,Imput[[PERIODO Imp.]:[PERIODO Imp.]],CS$9)</f>
        <v>0</v>
      </c>
      <c r="CT101" s="516">
        <f>SUMIFS(Imput[[Importe Neto]:[Importe Neto]],Imput[[C. Imp.]:[C. Imp.]],$D101,Imput[[PERIODO Imp.]:[PERIODO Imp.]],CT$9)</f>
        <v>0</v>
      </c>
      <c r="CU101" s="516">
        <f>SUMIFS(Imput[[Importe Neto]:[Importe Neto]],Imput[[C. Imp.]:[C. Imp.]],$D101,Imput[[PERIODO Imp.]:[PERIODO Imp.]],CU$9)</f>
        <v>0</v>
      </c>
      <c r="CV101" s="516">
        <f>SUMIFS(Imput[[Importe Neto]:[Importe Neto]],Imput[[C. Imp.]:[C. Imp.]],$D101,Imput[[PERIODO Imp.]:[PERIODO Imp.]],CV$9)</f>
        <v>0</v>
      </c>
      <c r="CW101" s="516">
        <f>SUMIFS(Imput[[Importe Neto]:[Importe Neto]],Imput[[C. Imp.]:[C. Imp.]],$D101,Imput[[PERIODO Imp.]:[PERIODO Imp.]],CW$9)</f>
        <v>0</v>
      </c>
      <c r="CX101" s="516">
        <f>SUMIFS(Imput[[Importe Neto]:[Importe Neto]],Imput[[C. Imp.]:[C. Imp.]],$D101,Imput[[PERIODO Imp.]:[PERIODO Imp.]],CX$9)</f>
        <v>0</v>
      </c>
      <c r="CY101" s="516">
        <f>SUMIFS(Imput[[Importe Neto]:[Importe Neto]],Imput[[C. Imp.]:[C. Imp.]],$D101,Imput[[PERIODO Imp.]:[PERIODO Imp.]],CY$9)</f>
        <v>0</v>
      </c>
      <c r="CZ101" s="516">
        <f>SUMIFS(Imput[[Importe Neto]:[Importe Neto]],Imput[[C. Imp.]:[C. Imp.]],$D101,Imput[[PERIODO Imp.]:[PERIODO Imp.]],CZ$9)</f>
        <v>0</v>
      </c>
      <c r="DA101" s="516">
        <f>SUMIFS(Imput[[Importe Neto]:[Importe Neto]],Imput[[C. Imp.]:[C. Imp.]],$D101,Imput[[PERIODO Imp.]:[PERIODO Imp.]],DA$9)</f>
        <v>0</v>
      </c>
      <c r="DB101" s="516">
        <f>SUMIFS(Imput[[Importe Neto]:[Importe Neto]],Imput[[C. Imp.]:[C. Imp.]],$D101,Imput[[PERIODO Imp.]:[PERIODO Imp.]],DB$9)</f>
        <v>0</v>
      </c>
      <c r="DC101" s="516">
        <f>SUMIFS(Imput[[Importe Neto]:[Importe Neto]],Imput[[C. Imp.]:[C. Imp.]],$D101,Imput[[PERIODO Imp.]:[PERIODO Imp.]],DC$9)</f>
        <v>0</v>
      </c>
      <c r="DD101" s="516">
        <f>SUMIFS(Imput[[Importe Neto]:[Importe Neto]],Imput[[C. Imp.]:[C. Imp.]],$D101,Imput[[PERIODO Imp.]:[PERIODO Imp.]],DD$9)</f>
        <v>0</v>
      </c>
      <c r="DE101" s="516">
        <f>SUMIFS(Imput[[Importe Neto]:[Importe Neto]],Imput[[C. Imp.]:[C. Imp.]],$D101,Imput[[PERIODO Imp.]:[PERIODO Imp.]],DE$9)</f>
        <v>0</v>
      </c>
      <c r="DF101" s="516">
        <f>SUMIFS(Imput[[Importe Neto]:[Importe Neto]],Imput[[C. Imp.]:[C. Imp.]],$D101,Imput[[PERIODO Imp.]:[PERIODO Imp.]],DF$9)</f>
        <v>0</v>
      </c>
      <c r="DG101" s="516">
        <f>SUMIFS(Imput[[Importe Neto]:[Importe Neto]],Imput[[C. Imp.]:[C. Imp.]],$D101,Imput[[PERIODO Imp.]:[PERIODO Imp.]],DG$9)</f>
        <v>0</v>
      </c>
      <c r="DH101" s="616">
        <f>SUMIFS(Imput[[Importe Neto]:[Importe Neto]],Imput[[C. Imp.]:[C. Imp.]],$D101,Imput[[PERIODO Imp.]:[PERIODO Imp.]],DH$9)</f>
        <v>0</v>
      </c>
    </row>
    <row r="102" spans="1:112" hidden="1" outlineLevel="1" x14ac:dyDescent="0.3">
      <c r="A102" s="66" t="str">
        <f t="shared" si="22"/>
        <v/>
      </c>
      <c r="C102" s="527"/>
      <c r="D102" s="528" t="s">
        <v>2214</v>
      </c>
      <c r="E102" s="528"/>
      <c r="F102" s="534"/>
      <c r="G102" s="529"/>
      <c r="H102" s="531"/>
      <c r="I102" s="849" t="str">
        <f t="shared" si="23"/>
        <v/>
      </c>
      <c r="J102" s="850" t="str">
        <f t="shared" si="24"/>
        <v/>
      </c>
      <c r="K102" s="70"/>
      <c r="L102" s="853"/>
      <c r="M102" s="855"/>
      <c r="N102" s="855"/>
      <c r="O102" s="855"/>
      <c r="P102" s="855"/>
      <c r="Q102" s="855"/>
      <c r="R102" s="855"/>
      <c r="S102" s="855"/>
      <c r="T102" s="855"/>
      <c r="U102" s="855"/>
      <c r="V102" s="855"/>
      <c r="W102" s="855"/>
      <c r="X102" s="855"/>
      <c r="Y102" s="855"/>
      <c r="Z102" s="856"/>
      <c r="AA102" s="856"/>
      <c r="AB102" s="856"/>
      <c r="AC102" s="856"/>
      <c r="AD102" s="856"/>
      <c r="AE102" s="856"/>
      <c r="AF102" s="856"/>
      <c r="AG102" s="856"/>
      <c r="AH102" s="856"/>
      <c r="AI102" s="856"/>
      <c r="AJ102" s="856"/>
      <c r="AK102" s="856"/>
      <c r="AL102" s="856"/>
      <c r="AM102" s="856"/>
      <c r="AN102" s="856"/>
      <c r="AO102" s="856"/>
      <c r="AP102" s="856"/>
      <c r="AQ102" s="856"/>
      <c r="AR102" s="856"/>
      <c r="AS102" s="856"/>
      <c r="AT102" s="856"/>
      <c r="AU102" s="856"/>
      <c r="AV102" s="856"/>
      <c r="AW102" s="856"/>
      <c r="AX102" s="856"/>
      <c r="AY102" s="856"/>
      <c r="AZ102" s="856"/>
      <c r="BA102" s="856"/>
      <c r="BB102" s="856"/>
      <c r="BC102" s="856"/>
      <c r="BD102" s="856"/>
      <c r="BE102" s="856"/>
      <c r="BF102" s="856"/>
      <c r="BG102" s="857"/>
      <c r="BH102" s="590"/>
      <c r="BI102" s="70"/>
      <c r="BJ102" s="518">
        <f t="shared" si="25"/>
        <v>0</v>
      </c>
      <c r="BK102" s="517">
        <f t="shared" si="26"/>
        <v>0</v>
      </c>
      <c r="BL102" s="68"/>
      <c r="BM102" s="515">
        <f>SUMIFS(Imput[[Importe Neto]:[Importe Neto]],Imput[[C. Imp.]:[C. Imp.]],$D102,Imput[[PERIODO Imp.]:[PERIODO Imp.]],BM$9)</f>
        <v>0</v>
      </c>
      <c r="BN102" s="516">
        <f>SUMIFS(Imput[[Importe Neto]:[Importe Neto]],Imput[[C. Imp.]:[C. Imp.]],$D102,Imput[[PERIODO Imp.]:[PERIODO Imp.]],BN$9)</f>
        <v>0</v>
      </c>
      <c r="BO102" s="516">
        <f>SUMIFS(Imput[[Importe Neto]:[Importe Neto]],Imput[[C. Imp.]:[C. Imp.]],$D102,Imput[[PERIODO Imp.]:[PERIODO Imp.]],BO$9)</f>
        <v>0</v>
      </c>
      <c r="BP102" s="516">
        <f>SUMIFS(Imput[[Importe Neto]:[Importe Neto]],Imput[[C. Imp.]:[C. Imp.]],$D102,Imput[[PERIODO Imp.]:[PERIODO Imp.]],BP$9)</f>
        <v>0</v>
      </c>
      <c r="BQ102" s="516">
        <f>SUMIFS(Imput[[Importe Neto]:[Importe Neto]],Imput[[C. Imp.]:[C. Imp.]],$D102,Imput[[PERIODO Imp.]:[PERIODO Imp.]],BQ$9)</f>
        <v>0</v>
      </c>
      <c r="BR102" s="516">
        <f>SUMIFS(Imput[[Importe Neto]:[Importe Neto]],Imput[[C. Imp.]:[C. Imp.]],$D102,Imput[[PERIODO Imp.]:[PERIODO Imp.]],BR$9)</f>
        <v>0</v>
      </c>
      <c r="BS102" s="516">
        <f>SUMIFS(Imput[[Importe Neto]:[Importe Neto]],Imput[[C. Imp.]:[C. Imp.]],$D102,Imput[[PERIODO Imp.]:[PERIODO Imp.]],BS$9)</f>
        <v>0</v>
      </c>
      <c r="BT102" s="516">
        <f>SUMIFS(Imput[[Importe Neto]:[Importe Neto]],Imput[[C. Imp.]:[C. Imp.]],$D102,Imput[[PERIODO Imp.]:[PERIODO Imp.]],BT$9)</f>
        <v>0</v>
      </c>
      <c r="BU102" s="516">
        <f>SUMIFS(Imput[[Importe Neto]:[Importe Neto]],Imput[[C. Imp.]:[C. Imp.]],$D102,Imput[[PERIODO Imp.]:[PERIODO Imp.]],BU$9)</f>
        <v>0</v>
      </c>
      <c r="BV102" s="516">
        <f>SUMIFS(Imput[[Importe Neto]:[Importe Neto]],Imput[[C. Imp.]:[C. Imp.]],$D102,Imput[[PERIODO Imp.]:[PERIODO Imp.]],BV$9)</f>
        <v>0</v>
      </c>
      <c r="BW102" s="516">
        <f>SUMIFS(Imput[[Importe Neto]:[Importe Neto]],Imput[[C. Imp.]:[C. Imp.]],$D102,Imput[[PERIODO Imp.]:[PERIODO Imp.]],BW$9)</f>
        <v>0</v>
      </c>
      <c r="BX102" s="516">
        <f>SUMIFS(Imput[[Importe Neto]:[Importe Neto]],Imput[[C. Imp.]:[C. Imp.]],$D102,Imput[[PERIODO Imp.]:[PERIODO Imp.]],BX$9)</f>
        <v>0</v>
      </c>
      <c r="BY102" s="516">
        <f>SUMIFS(Imput[[Importe Neto]:[Importe Neto]],Imput[[C. Imp.]:[C. Imp.]],$D102,Imput[[PERIODO Imp.]:[PERIODO Imp.]],BY$9)</f>
        <v>0</v>
      </c>
      <c r="BZ102" s="516">
        <f>SUMIFS(Imput[[Importe Neto]:[Importe Neto]],Imput[[C. Imp.]:[C. Imp.]],$D102,Imput[[PERIODO Imp.]:[PERIODO Imp.]],BZ$9)</f>
        <v>0</v>
      </c>
      <c r="CA102" s="516">
        <f>SUMIFS(Imput[[Importe Neto]:[Importe Neto]],Imput[[C. Imp.]:[C. Imp.]],$D102,Imput[[PERIODO Imp.]:[PERIODO Imp.]],CA$9)</f>
        <v>0</v>
      </c>
      <c r="CB102" s="516">
        <f>SUMIFS(Imput[[Importe Neto]:[Importe Neto]],Imput[[C. Imp.]:[C. Imp.]],$D102,Imput[[PERIODO Imp.]:[PERIODO Imp.]],CB$9)</f>
        <v>0</v>
      </c>
      <c r="CC102" s="516">
        <f>SUMIFS(Imput[[Importe Neto]:[Importe Neto]],Imput[[C. Imp.]:[C. Imp.]],$D102,Imput[[PERIODO Imp.]:[PERIODO Imp.]],CC$9)</f>
        <v>0</v>
      </c>
      <c r="CD102" s="516">
        <f>SUMIFS(Imput[[Importe Neto]:[Importe Neto]],Imput[[C. Imp.]:[C. Imp.]],$D102,Imput[[PERIODO Imp.]:[PERIODO Imp.]],CD$9)</f>
        <v>0</v>
      </c>
      <c r="CE102" s="516">
        <f>SUMIFS(Imput[[Importe Neto]:[Importe Neto]],Imput[[C. Imp.]:[C. Imp.]],$D102,Imput[[PERIODO Imp.]:[PERIODO Imp.]],CE$9)</f>
        <v>0</v>
      </c>
      <c r="CF102" s="516">
        <f>SUMIFS(Imput[[Importe Neto]:[Importe Neto]],Imput[[C. Imp.]:[C. Imp.]],$D102,Imput[[PERIODO Imp.]:[PERIODO Imp.]],CF$9)</f>
        <v>0</v>
      </c>
      <c r="CG102" s="516">
        <f>SUMIFS(Imput[[Importe Neto]:[Importe Neto]],Imput[[C. Imp.]:[C. Imp.]],$D102,Imput[[PERIODO Imp.]:[PERIODO Imp.]],CG$9)</f>
        <v>0</v>
      </c>
      <c r="CH102" s="516">
        <f>SUMIFS(Imput[[Importe Neto]:[Importe Neto]],Imput[[C. Imp.]:[C. Imp.]],$D102,Imput[[PERIODO Imp.]:[PERIODO Imp.]],CH$9)</f>
        <v>0</v>
      </c>
      <c r="CI102" s="516">
        <f>SUMIFS(Imput[[Importe Neto]:[Importe Neto]],Imput[[C. Imp.]:[C. Imp.]],$D102,Imput[[PERIODO Imp.]:[PERIODO Imp.]],CI$9)</f>
        <v>0</v>
      </c>
      <c r="CJ102" s="516">
        <f>SUMIFS(Imput[[Importe Neto]:[Importe Neto]],Imput[[C. Imp.]:[C. Imp.]],$D102,Imput[[PERIODO Imp.]:[PERIODO Imp.]],CJ$9)</f>
        <v>0</v>
      </c>
      <c r="CK102" s="516">
        <f>SUMIFS(Imput[[Importe Neto]:[Importe Neto]],Imput[[C. Imp.]:[C. Imp.]],$D102,Imput[[PERIODO Imp.]:[PERIODO Imp.]],CK$9)</f>
        <v>0</v>
      </c>
      <c r="CL102" s="516">
        <f>SUMIFS(Imput[[Importe Neto]:[Importe Neto]],Imput[[C. Imp.]:[C. Imp.]],$D102,Imput[[PERIODO Imp.]:[PERIODO Imp.]],CL$9)</f>
        <v>0</v>
      </c>
      <c r="CM102" s="516">
        <f>SUMIFS(Imput[[Importe Neto]:[Importe Neto]],Imput[[C. Imp.]:[C. Imp.]],$D102,Imput[[PERIODO Imp.]:[PERIODO Imp.]],CM$9)</f>
        <v>0</v>
      </c>
      <c r="CN102" s="516">
        <f>SUMIFS(Imput[[Importe Neto]:[Importe Neto]],Imput[[C. Imp.]:[C. Imp.]],$D102,Imput[[PERIODO Imp.]:[PERIODO Imp.]],CN$9)</f>
        <v>0</v>
      </c>
      <c r="CO102" s="516">
        <f>SUMIFS(Imput[[Importe Neto]:[Importe Neto]],Imput[[C. Imp.]:[C. Imp.]],$D102,Imput[[PERIODO Imp.]:[PERIODO Imp.]],CO$9)</f>
        <v>0</v>
      </c>
      <c r="CP102" s="516">
        <f>SUMIFS(Imput[[Importe Neto]:[Importe Neto]],Imput[[C. Imp.]:[C. Imp.]],$D102,Imput[[PERIODO Imp.]:[PERIODO Imp.]],CP$9)</f>
        <v>0</v>
      </c>
      <c r="CQ102" s="516">
        <f>SUMIFS(Imput[[Importe Neto]:[Importe Neto]],Imput[[C. Imp.]:[C. Imp.]],$D102,Imput[[PERIODO Imp.]:[PERIODO Imp.]],CQ$9)</f>
        <v>0</v>
      </c>
      <c r="CR102" s="516">
        <f>SUMIFS(Imput[[Importe Neto]:[Importe Neto]],Imput[[C. Imp.]:[C. Imp.]],$D102,Imput[[PERIODO Imp.]:[PERIODO Imp.]],CR$9)</f>
        <v>0</v>
      </c>
      <c r="CS102" s="516">
        <f>SUMIFS(Imput[[Importe Neto]:[Importe Neto]],Imput[[C. Imp.]:[C. Imp.]],$D102,Imput[[PERIODO Imp.]:[PERIODO Imp.]],CS$9)</f>
        <v>0</v>
      </c>
      <c r="CT102" s="516">
        <f>SUMIFS(Imput[[Importe Neto]:[Importe Neto]],Imput[[C. Imp.]:[C. Imp.]],$D102,Imput[[PERIODO Imp.]:[PERIODO Imp.]],CT$9)</f>
        <v>0</v>
      </c>
      <c r="CU102" s="516">
        <f>SUMIFS(Imput[[Importe Neto]:[Importe Neto]],Imput[[C. Imp.]:[C. Imp.]],$D102,Imput[[PERIODO Imp.]:[PERIODO Imp.]],CU$9)</f>
        <v>0</v>
      </c>
      <c r="CV102" s="516">
        <f>SUMIFS(Imput[[Importe Neto]:[Importe Neto]],Imput[[C. Imp.]:[C. Imp.]],$D102,Imput[[PERIODO Imp.]:[PERIODO Imp.]],CV$9)</f>
        <v>0</v>
      </c>
      <c r="CW102" s="516">
        <f>SUMIFS(Imput[[Importe Neto]:[Importe Neto]],Imput[[C. Imp.]:[C. Imp.]],$D102,Imput[[PERIODO Imp.]:[PERIODO Imp.]],CW$9)</f>
        <v>0</v>
      </c>
      <c r="CX102" s="516">
        <f>SUMIFS(Imput[[Importe Neto]:[Importe Neto]],Imput[[C. Imp.]:[C. Imp.]],$D102,Imput[[PERIODO Imp.]:[PERIODO Imp.]],CX$9)</f>
        <v>0</v>
      </c>
      <c r="CY102" s="516">
        <f>SUMIFS(Imput[[Importe Neto]:[Importe Neto]],Imput[[C. Imp.]:[C. Imp.]],$D102,Imput[[PERIODO Imp.]:[PERIODO Imp.]],CY$9)</f>
        <v>0</v>
      </c>
      <c r="CZ102" s="516">
        <f>SUMIFS(Imput[[Importe Neto]:[Importe Neto]],Imput[[C. Imp.]:[C. Imp.]],$D102,Imput[[PERIODO Imp.]:[PERIODO Imp.]],CZ$9)</f>
        <v>0</v>
      </c>
      <c r="DA102" s="516">
        <f>SUMIFS(Imput[[Importe Neto]:[Importe Neto]],Imput[[C. Imp.]:[C. Imp.]],$D102,Imput[[PERIODO Imp.]:[PERIODO Imp.]],DA$9)</f>
        <v>0</v>
      </c>
      <c r="DB102" s="516">
        <f>SUMIFS(Imput[[Importe Neto]:[Importe Neto]],Imput[[C. Imp.]:[C. Imp.]],$D102,Imput[[PERIODO Imp.]:[PERIODO Imp.]],DB$9)</f>
        <v>0</v>
      </c>
      <c r="DC102" s="516">
        <f>SUMIFS(Imput[[Importe Neto]:[Importe Neto]],Imput[[C. Imp.]:[C. Imp.]],$D102,Imput[[PERIODO Imp.]:[PERIODO Imp.]],DC$9)</f>
        <v>0</v>
      </c>
      <c r="DD102" s="516">
        <f>SUMIFS(Imput[[Importe Neto]:[Importe Neto]],Imput[[C. Imp.]:[C. Imp.]],$D102,Imput[[PERIODO Imp.]:[PERIODO Imp.]],DD$9)</f>
        <v>0</v>
      </c>
      <c r="DE102" s="516">
        <f>SUMIFS(Imput[[Importe Neto]:[Importe Neto]],Imput[[C. Imp.]:[C. Imp.]],$D102,Imput[[PERIODO Imp.]:[PERIODO Imp.]],DE$9)</f>
        <v>0</v>
      </c>
      <c r="DF102" s="516">
        <f>SUMIFS(Imput[[Importe Neto]:[Importe Neto]],Imput[[C. Imp.]:[C. Imp.]],$D102,Imput[[PERIODO Imp.]:[PERIODO Imp.]],DF$9)</f>
        <v>0</v>
      </c>
      <c r="DG102" s="516">
        <f>SUMIFS(Imput[[Importe Neto]:[Importe Neto]],Imput[[C. Imp.]:[C. Imp.]],$D102,Imput[[PERIODO Imp.]:[PERIODO Imp.]],DG$9)</f>
        <v>0</v>
      </c>
      <c r="DH102" s="616">
        <f>SUMIFS(Imput[[Importe Neto]:[Importe Neto]],Imput[[C. Imp.]:[C. Imp.]],$D102,Imput[[PERIODO Imp.]:[PERIODO Imp.]],DH$9)</f>
        <v>0</v>
      </c>
    </row>
    <row r="103" spans="1:112" hidden="1" outlineLevel="1" x14ac:dyDescent="0.3">
      <c r="A103" s="66" t="str">
        <f t="shared" si="22"/>
        <v/>
      </c>
      <c r="C103" s="527"/>
      <c r="D103" s="528" t="s">
        <v>2215</v>
      </c>
      <c r="E103" s="528"/>
      <c r="F103" s="534"/>
      <c r="G103" s="529"/>
      <c r="H103" s="531"/>
      <c r="I103" s="849" t="str">
        <f t="shared" si="23"/>
        <v/>
      </c>
      <c r="J103" s="850" t="str">
        <f t="shared" si="24"/>
        <v/>
      </c>
      <c r="K103" s="70"/>
      <c r="L103" s="853"/>
      <c r="M103" s="855"/>
      <c r="N103" s="855"/>
      <c r="O103" s="855"/>
      <c r="P103" s="855"/>
      <c r="Q103" s="855"/>
      <c r="R103" s="855"/>
      <c r="S103" s="855"/>
      <c r="T103" s="855"/>
      <c r="U103" s="855"/>
      <c r="V103" s="855"/>
      <c r="W103" s="855"/>
      <c r="X103" s="855"/>
      <c r="Y103" s="855"/>
      <c r="Z103" s="856"/>
      <c r="AA103" s="856"/>
      <c r="AB103" s="856"/>
      <c r="AC103" s="856"/>
      <c r="AD103" s="856"/>
      <c r="AE103" s="856"/>
      <c r="AF103" s="856"/>
      <c r="AG103" s="856"/>
      <c r="AH103" s="856"/>
      <c r="AI103" s="856"/>
      <c r="AJ103" s="856"/>
      <c r="AK103" s="856"/>
      <c r="AL103" s="856"/>
      <c r="AM103" s="856"/>
      <c r="AN103" s="856"/>
      <c r="AO103" s="856"/>
      <c r="AP103" s="856"/>
      <c r="AQ103" s="856"/>
      <c r="AR103" s="856"/>
      <c r="AS103" s="856"/>
      <c r="AT103" s="856"/>
      <c r="AU103" s="856"/>
      <c r="AV103" s="856"/>
      <c r="AW103" s="856"/>
      <c r="AX103" s="856"/>
      <c r="AY103" s="856"/>
      <c r="AZ103" s="856"/>
      <c r="BA103" s="856"/>
      <c r="BB103" s="856"/>
      <c r="BC103" s="856"/>
      <c r="BD103" s="856"/>
      <c r="BE103" s="856"/>
      <c r="BF103" s="856"/>
      <c r="BG103" s="857"/>
      <c r="BH103" s="590"/>
      <c r="BI103" s="70"/>
      <c r="BJ103" s="518">
        <f t="shared" si="25"/>
        <v>0</v>
      </c>
      <c r="BK103" s="517">
        <f t="shared" si="26"/>
        <v>0</v>
      </c>
      <c r="BL103" s="68"/>
      <c r="BM103" s="515">
        <f>SUMIFS(Imput[[Importe Neto]:[Importe Neto]],Imput[[C. Imp.]:[C. Imp.]],$D103,Imput[[PERIODO Imp.]:[PERIODO Imp.]],BM$9)</f>
        <v>0</v>
      </c>
      <c r="BN103" s="516">
        <f>SUMIFS(Imput[[Importe Neto]:[Importe Neto]],Imput[[C. Imp.]:[C. Imp.]],$D103,Imput[[PERIODO Imp.]:[PERIODO Imp.]],BN$9)</f>
        <v>0</v>
      </c>
      <c r="BO103" s="516">
        <f>SUMIFS(Imput[[Importe Neto]:[Importe Neto]],Imput[[C. Imp.]:[C. Imp.]],$D103,Imput[[PERIODO Imp.]:[PERIODO Imp.]],BO$9)</f>
        <v>0</v>
      </c>
      <c r="BP103" s="516">
        <f>SUMIFS(Imput[[Importe Neto]:[Importe Neto]],Imput[[C. Imp.]:[C. Imp.]],$D103,Imput[[PERIODO Imp.]:[PERIODO Imp.]],BP$9)</f>
        <v>0</v>
      </c>
      <c r="BQ103" s="516">
        <f>SUMIFS(Imput[[Importe Neto]:[Importe Neto]],Imput[[C. Imp.]:[C. Imp.]],$D103,Imput[[PERIODO Imp.]:[PERIODO Imp.]],BQ$9)</f>
        <v>0</v>
      </c>
      <c r="BR103" s="516">
        <f>SUMIFS(Imput[[Importe Neto]:[Importe Neto]],Imput[[C. Imp.]:[C. Imp.]],$D103,Imput[[PERIODO Imp.]:[PERIODO Imp.]],BR$9)</f>
        <v>0</v>
      </c>
      <c r="BS103" s="516">
        <f>SUMIFS(Imput[[Importe Neto]:[Importe Neto]],Imput[[C. Imp.]:[C. Imp.]],$D103,Imput[[PERIODO Imp.]:[PERIODO Imp.]],BS$9)</f>
        <v>0</v>
      </c>
      <c r="BT103" s="516">
        <f>SUMIFS(Imput[[Importe Neto]:[Importe Neto]],Imput[[C. Imp.]:[C. Imp.]],$D103,Imput[[PERIODO Imp.]:[PERIODO Imp.]],BT$9)</f>
        <v>0</v>
      </c>
      <c r="BU103" s="516">
        <f>SUMIFS(Imput[[Importe Neto]:[Importe Neto]],Imput[[C. Imp.]:[C. Imp.]],$D103,Imput[[PERIODO Imp.]:[PERIODO Imp.]],BU$9)</f>
        <v>0</v>
      </c>
      <c r="BV103" s="516">
        <f>SUMIFS(Imput[[Importe Neto]:[Importe Neto]],Imput[[C. Imp.]:[C. Imp.]],$D103,Imput[[PERIODO Imp.]:[PERIODO Imp.]],BV$9)</f>
        <v>0</v>
      </c>
      <c r="BW103" s="516">
        <f>SUMIFS(Imput[[Importe Neto]:[Importe Neto]],Imput[[C. Imp.]:[C. Imp.]],$D103,Imput[[PERIODO Imp.]:[PERIODO Imp.]],BW$9)</f>
        <v>0</v>
      </c>
      <c r="BX103" s="516">
        <f>SUMIFS(Imput[[Importe Neto]:[Importe Neto]],Imput[[C. Imp.]:[C. Imp.]],$D103,Imput[[PERIODO Imp.]:[PERIODO Imp.]],BX$9)</f>
        <v>0</v>
      </c>
      <c r="BY103" s="516">
        <f>SUMIFS(Imput[[Importe Neto]:[Importe Neto]],Imput[[C. Imp.]:[C. Imp.]],$D103,Imput[[PERIODO Imp.]:[PERIODO Imp.]],BY$9)</f>
        <v>0</v>
      </c>
      <c r="BZ103" s="516">
        <f>SUMIFS(Imput[[Importe Neto]:[Importe Neto]],Imput[[C. Imp.]:[C. Imp.]],$D103,Imput[[PERIODO Imp.]:[PERIODO Imp.]],BZ$9)</f>
        <v>0</v>
      </c>
      <c r="CA103" s="516">
        <f>SUMIFS(Imput[[Importe Neto]:[Importe Neto]],Imput[[C. Imp.]:[C. Imp.]],$D103,Imput[[PERIODO Imp.]:[PERIODO Imp.]],CA$9)</f>
        <v>0</v>
      </c>
      <c r="CB103" s="516">
        <f>SUMIFS(Imput[[Importe Neto]:[Importe Neto]],Imput[[C. Imp.]:[C. Imp.]],$D103,Imput[[PERIODO Imp.]:[PERIODO Imp.]],CB$9)</f>
        <v>0</v>
      </c>
      <c r="CC103" s="516">
        <f>SUMIFS(Imput[[Importe Neto]:[Importe Neto]],Imput[[C. Imp.]:[C. Imp.]],$D103,Imput[[PERIODO Imp.]:[PERIODO Imp.]],CC$9)</f>
        <v>0</v>
      </c>
      <c r="CD103" s="516">
        <f>SUMIFS(Imput[[Importe Neto]:[Importe Neto]],Imput[[C. Imp.]:[C. Imp.]],$D103,Imput[[PERIODO Imp.]:[PERIODO Imp.]],CD$9)</f>
        <v>0</v>
      </c>
      <c r="CE103" s="516">
        <f>SUMIFS(Imput[[Importe Neto]:[Importe Neto]],Imput[[C. Imp.]:[C. Imp.]],$D103,Imput[[PERIODO Imp.]:[PERIODO Imp.]],CE$9)</f>
        <v>0</v>
      </c>
      <c r="CF103" s="516">
        <f>SUMIFS(Imput[[Importe Neto]:[Importe Neto]],Imput[[C. Imp.]:[C. Imp.]],$D103,Imput[[PERIODO Imp.]:[PERIODO Imp.]],CF$9)</f>
        <v>0</v>
      </c>
      <c r="CG103" s="516">
        <f>SUMIFS(Imput[[Importe Neto]:[Importe Neto]],Imput[[C. Imp.]:[C. Imp.]],$D103,Imput[[PERIODO Imp.]:[PERIODO Imp.]],CG$9)</f>
        <v>0</v>
      </c>
      <c r="CH103" s="516">
        <f>SUMIFS(Imput[[Importe Neto]:[Importe Neto]],Imput[[C. Imp.]:[C. Imp.]],$D103,Imput[[PERIODO Imp.]:[PERIODO Imp.]],CH$9)</f>
        <v>0</v>
      </c>
      <c r="CI103" s="516">
        <f>SUMIFS(Imput[[Importe Neto]:[Importe Neto]],Imput[[C. Imp.]:[C. Imp.]],$D103,Imput[[PERIODO Imp.]:[PERIODO Imp.]],CI$9)</f>
        <v>0</v>
      </c>
      <c r="CJ103" s="516">
        <f>SUMIFS(Imput[[Importe Neto]:[Importe Neto]],Imput[[C. Imp.]:[C. Imp.]],$D103,Imput[[PERIODO Imp.]:[PERIODO Imp.]],CJ$9)</f>
        <v>0</v>
      </c>
      <c r="CK103" s="516">
        <f>SUMIFS(Imput[[Importe Neto]:[Importe Neto]],Imput[[C. Imp.]:[C. Imp.]],$D103,Imput[[PERIODO Imp.]:[PERIODO Imp.]],CK$9)</f>
        <v>0</v>
      </c>
      <c r="CL103" s="516">
        <f>SUMIFS(Imput[[Importe Neto]:[Importe Neto]],Imput[[C. Imp.]:[C. Imp.]],$D103,Imput[[PERIODO Imp.]:[PERIODO Imp.]],CL$9)</f>
        <v>0</v>
      </c>
      <c r="CM103" s="516">
        <f>SUMIFS(Imput[[Importe Neto]:[Importe Neto]],Imput[[C. Imp.]:[C. Imp.]],$D103,Imput[[PERIODO Imp.]:[PERIODO Imp.]],CM$9)</f>
        <v>0</v>
      </c>
      <c r="CN103" s="516">
        <f>SUMIFS(Imput[[Importe Neto]:[Importe Neto]],Imput[[C. Imp.]:[C. Imp.]],$D103,Imput[[PERIODO Imp.]:[PERIODO Imp.]],CN$9)</f>
        <v>0</v>
      </c>
      <c r="CO103" s="516">
        <f>SUMIFS(Imput[[Importe Neto]:[Importe Neto]],Imput[[C. Imp.]:[C. Imp.]],$D103,Imput[[PERIODO Imp.]:[PERIODO Imp.]],CO$9)</f>
        <v>0</v>
      </c>
      <c r="CP103" s="516">
        <f>SUMIFS(Imput[[Importe Neto]:[Importe Neto]],Imput[[C. Imp.]:[C. Imp.]],$D103,Imput[[PERIODO Imp.]:[PERIODO Imp.]],CP$9)</f>
        <v>0</v>
      </c>
      <c r="CQ103" s="516">
        <f>SUMIFS(Imput[[Importe Neto]:[Importe Neto]],Imput[[C. Imp.]:[C. Imp.]],$D103,Imput[[PERIODO Imp.]:[PERIODO Imp.]],CQ$9)</f>
        <v>0</v>
      </c>
      <c r="CR103" s="516">
        <f>SUMIFS(Imput[[Importe Neto]:[Importe Neto]],Imput[[C. Imp.]:[C. Imp.]],$D103,Imput[[PERIODO Imp.]:[PERIODO Imp.]],CR$9)</f>
        <v>0</v>
      </c>
      <c r="CS103" s="516">
        <f>SUMIFS(Imput[[Importe Neto]:[Importe Neto]],Imput[[C. Imp.]:[C. Imp.]],$D103,Imput[[PERIODO Imp.]:[PERIODO Imp.]],CS$9)</f>
        <v>0</v>
      </c>
      <c r="CT103" s="516">
        <f>SUMIFS(Imput[[Importe Neto]:[Importe Neto]],Imput[[C. Imp.]:[C. Imp.]],$D103,Imput[[PERIODO Imp.]:[PERIODO Imp.]],CT$9)</f>
        <v>0</v>
      </c>
      <c r="CU103" s="516">
        <f>SUMIFS(Imput[[Importe Neto]:[Importe Neto]],Imput[[C. Imp.]:[C. Imp.]],$D103,Imput[[PERIODO Imp.]:[PERIODO Imp.]],CU$9)</f>
        <v>0</v>
      </c>
      <c r="CV103" s="516">
        <f>SUMIFS(Imput[[Importe Neto]:[Importe Neto]],Imput[[C. Imp.]:[C. Imp.]],$D103,Imput[[PERIODO Imp.]:[PERIODO Imp.]],CV$9)</f>
        <v>0</v>
      </c>
      <c r="CW103" s="516">
        <f>SUMIFS(Imput[[Importe Neto]:[Importe Neto]],Imput[[C. Imp.]:[C. Imp.]],$D103,Imput[[PERIODO Imp.]:[PERIODO Imp.]],CW$9)</f>
        <v>0</v>
      </c>
      <c r="CX103" s="516">
        <f>SUMIFS(Imput[[Importe Neto]:[Importe Neto]],Imput[[C. Imp.]:[C. Imp.]],$D103,Imput[[PERIODO Imp.]:[PERIODO Imp.]],CX$9)</f>
        <v>0</v>
      </c>
      <c r="CY103" s="516">
        <f>SUMIFS(Imput[[Importe Neto]:[Importe Neto]],Imput[[C. Imp.]:[C. Imp.]],$D103,Imput[[PERIODO Imp.]:[PERIODO Imp.]],CY$9)</f>
        <v>0</v>
      </c>
      <c r="CZ103" s="516">
        <f>SUMIFS(Imput[[Importe Neto]:[Importe Neto]],Imput[[C. Imp.]:[C. Imp.]],$D103,Imput[[PERIODO Imp.]:[PERIODO Imp.]],CZ$9)</f>
        <v>0</v>
      </c>
      <c r="DA103" s="516">
        <f>SUMIFS(Imput[[Importe Neto]:[Importe Neto]],Imput[[C. Imp.]:[C. Imp.]],$D103,Imput[[PERIODO Imp.]:[PERIODO Imp.]],DA$9)</f>
        <v>0</v>
      </c>
      <c r="DB103" s="516">
        <f>SUMIFS(Imput[[Importe Neto]:[Importe Neto]],Imput[[C. Imp.]:[C. Imp.]],$D103,Imput[[PERIODO Imp.]:[PERIODO Imp.]],DB$9)</f>
        <v>0</v>
      </c>
      <c r="DC103" s="516">
        <f>SUMIFS(Imput[[Importe Neto]:[Importe Neto]],Imput[[C. Imp.]:[C. Imp.]],$D103,Imput[[PERIODO Imp.]:[PERIODO Imp.]],DC$9)</f>
        <v>0</v>
      </c>
      <c r="DD103" s="516">
        <f>SUMIFS(Imput[[Importe Neto]:[Importe Neto]],Imput[[C. Imp.]:[C. Imp.]],$D103,Imput[[PERIODO Imp.]:[PERIODO Imp.]],DD$9)</f>
        <v>0</v>
      </c>
      <c r="DE103" s="516">
        <f>SUMIFS(Imput[[Importe Neto]:[Importe Neto]],Imput[[C. Imp.]:[C. Imp.]],$D103,Imput[[PERIODO Imp.]:[PERIODO Imp.]],DE$9)</f>
        <v>0</v>
      </c>
      <c r="DF103" s="516">
        <f>SUMIFS(Imput[[Importe Neto]:[Importe Neto]],Imput[[C. Imp.]:[C. Imp.]],$D103,Imput[[PERIODO Imp.]:[PERIODO Imp.]],DF$9)</f>
        <v>0</v>
      </c>
      <c r="DG103" s="516">
        <f>SUMIFS(Imput[[Importe Neto]:[Importe Neto]],Imput[[C. Imp.]:[C. Imp.]],$D103,Imput[[PERIODO Imp.]:[PERIODO Imp.]],DG$9)</f>
        <v>0</v>
      </c>
      <c r="DH103" s="616">
        <f>SUMIFS(Imput[[Importe Neto]:[Importe Neto]],Imput[[C. Imp.]:[C. Imp.]],$D103,Imput[[PERIODO Imp.]:[PERIODO Imp.]],DH$9)</f>
        <v>0</v>
      </c>
    </row>
    <row r="104" spans="1:112" hidden="1" outlineLevel="1" x14ac:dyDescent="0.3">
      <c r="A104" s="66" t="str">
        <f t="shared" si="22"/>
        <v/>
      </c>
      <c r="C104" s="527"/>
      <c r="D104" s="528" t="s">
        <v>2216</v>
      </c>
      <c r="E104" s="528"/>
      <c r="F104" s="534"/>
      <c r="G104" s="529"/>
      <c r="H104" s="531"/>
      <c r="I104" s="849" t="str">
        <f t="shared" si="23"/>
        <v/>
      </c>
      <c r="J104" s="850" t="str">
        <f t="shared" si="24"/>
        <v/>
      </c>
      <c r="K104" s="70"/>
      <c r="L104" s="853"/>
      <c r="M104" s="855"/>
      <c r="N104" s="855"/>
      <c r="O104" s="855"/>
      <c r="P104" s="855"/>
      <c r="Q104" s="855"/>
      <c r="R104" s="855"/>
      <c r="S104" s="855"/>
      <c r="T104" s="855"/>
      <c r="U104" s="855"/>
      <c r="V104" s="855"/>
      <c r="W104" s="855"/>
      <c r="X104" s="855"/>
      <c r="Y104" s="855"/>
      <c r="Z104" s="856"/>
      <c r="AA104" s="856"/>
      <c r="AB104" s="856"/>
      <c r="AC104" s="856"/>
      <c r="AD104" s="856"/>
      <c r="AE104" s="856"/>
      <c r="AF104" s="856"/>
      <c r="AG104" s="856"/>
      <c r="AH104" s="856"/>
      <c r="AI104" s="856"/>
      <c r="AJ104" s="856"/>
      <c r="AK104" s="856"/>
      <c r="AL104" s="856"/>
      <c r="AM104" s="856"/>
      <c r="AN104" s="856"/>
      <c r="AO104" s="856"/>
      <c r="AP104" s="856"/>
      <c r="AQ104" s="856"/>
      <c r="AR104" s="856"/>
      <c r="AS104" s="856"/>
      <c r="AT104" s="856"/>
      <c r="AU104" s="856"/>
      <c r="AV104" s="856"/>
      <c r="AW104" s="856"/>
      <c r="AX104" s="856"/>
      <c r="AY104" s="856"/>
      <c r="AZ104" s="856"/>
      <c r="BA104" s="856"/>
      <c r="BB104" s="856"/>
      <c r="BC104" s="856"/>
      <c r="BD104" s="856"/>
      <c r="BE104" s="856"/>
      <c r="BF104" s="856"/>
      <c r="BG104" s="857"/>
      <c r="BH104" s="590"/>
      <c r="BI104" s="70"/>
      <c r="BJ104" s="518">
        <f t="shared" si="25"/>
        <v>0</v>
      </c>
      <c r="BK104" s="517">
        <f t="shared" si="26"/>
        <v>0</v>
      </c>
      <c r="BL104" s="68"/>
      <c r="BM104" s="515">
        <f>SUMIFS(Imput[[Importe Neto]:[Importe Neto]],Imput[[C. Imp.]:[C. Imp.]],$D104,Imput[[PERIODO Imp.]:[PERIODO Imp.]],BM$9)</f>
        <v>0</v>
      </c>
      <c r="BN104" s="516">
        <f>SUMIFS(Imput[[Importe Neto]:[Importe Neto]],Imput[[C. Imp.]:[C. Imp.]],$D104,Imput[[PERIODO Imp.]:[PERIODO Imp.]],BN$9)</f>
        <v>0</v>
      </c>
      <c r="BO104" s="516">
        <f>SUMIFS(Imput[[Importe Neto]:[Importe Neto]],Imput[[C. Imp.]:[C. Imp.]],$D104,Imput[[PERIODO Imp.]:[PERIODO Imp.]],BO$9)</f>
        <v>0</v>
      </c>
      <c r="BP104" s="516">
        <f>SUMIFS(Imput[[Importe Neto]:[Importe Neto]],Imput[[C. Imp.]:[C. Imp.]],$D104,Imput[[PERIODO Imp.]:[PERIODO Imp.]],BP$9)</f>
        <v>0</v>
      </c>
      <c r="BQ104" s="516">
        <f>SUMIFS(Imput[[Importe Neto]:[Importe Neto]],Imput[[C. Imp.]:[C. Imp.]],$D104,Imput[[PERIODO Imp.]:[PERIODO Imp.]],BQ$9)</f>
        <v>0</v>
      </c>
      <c r="BR104" s="516">
        <f>SUMIFS(Imput[[Importe Neto]:[Importe Neto]],Imput[[C. Imp.]:[C. Imp.]],$D104,Imput[[PERIODO Imp.]:[PERIODO Imp.]],BR$9)</f>
        <v>0</v>
      </c>
      <c r="BS104" s="516">
        <f>SUMIFS(Imput[[Importe Neto]:[Importe Neto]],Imput[[C. Imp.]:[C. Imp.]],$D104,Imput[[PERIODO Imp.]:[PERIODO Imp.]],BS$9)</f>
        <v>0</v>
      </c>
      <c r="BT104" s="516">
        <f>SUMIFS(Imput[[Importe Neto]:[Importe Neto]],Imput[[C. Imp.]:[C. Imp.]],$D104,Imput[[PERIODO Imp.]:[PERIODO Imp.]],BT$9)</f>
        <v>0</v>
      </c>
      <c r="BU104" s="516">
        <f>SUMIFS(Imput[[Importe Neto]:[Importe Neto]],Imput[[C. Imp.]:[C. Imp.]],$D104,Imput[[PERIODO Imp.]:[PERIODO Imp.]],BU$9)</f>
        <v>0</v>
      </c>
      <c r="BV104" s="516">
        <f>SUMIFS(Imput[[Importe Neto]:[Importe Neto]],Imput[[C. Imp.]:[C. Imp.]],$D104,Imput[[PERIODO Imp.]:[PERIODO Imp.]],BV$9)</f>
        <v>0</v>
      </c>
      <c r="BW104" s="516">
        <f>SUMIFS(Imput[[Importe Neto]:[Importe Neto]],Imput[[C. Imp.]:[C. Imp.]],$D104,Imput[[PERIODO Imp.]:[PERIODO Imp.]],BW$9)</f>
        <v>0</v>
      </c>
      <c r="BX104" s="516">
        <f>SUMIFS(Imput[[Importe Neto]:[Importe Neto]],Imput[[C. Imp.]:[C. Imp.]],$D104,Imput[[PERIODO Imp.]:[PERIODO Imp.]],BX$9)</f>
        <v>0</v>
      </c>
      <c r="BY104" s="516">
        <f>SUMIFS(Imput[[Importe Neto]:[Importe Neto]],Imput[[C. Imp.]:[C. Imp.]],$D104,Imput[[PERIODO Imp.]:[PERIODO Imp.]],BY$9)</f>
        <v>0</v>
      </c>
      <c r="BZ104" s="516">
        <f>SUMIFS(Imput[[Importe Neto]:[Importe Neto]],Imput[[C. Imp.]:[C. Imp.]],$D104,Imput[[PERIODO Imp.]:[PERIODO Imp.]],BZ$9)</f>
        <v>0</v>
      </c>
      <c r="CA104" s="516">
        <f>SUMIFS(Imput[[Importe Neto]:[Importe Neto]],Imput[[C. Imp.]:[C. Imp.]],$D104,Imput[[PERIODO Imp.]:[PERIODO Imp.]],CA$9)</f>
        <v>0</v>
      </c>
      <c r="CB104" s="516">
        <f>SUMIFS(Imput[[Importe Neto]:[Importe Neto]],Imput[[C. Imp.]:[C. Imp.]],$D104,Imput[[PERIODO Imp.]:[PERIODO Imp.]],CB$9)</f>
        <v>0</v>
      </c>
      <c r="CC104" s="516">
        <f>SUMIFS(Imput[[Importe Neto]:[Importe Neto]],Imput[[C. Imp.]:[C. Imp.]],$D104,Imput[[PERIODO Imp.]:[PERIODO Imp.]],CC$9)</f>
        <v>0</v>
      </c>
      <c r="CD104" s="516">
        <f>SUMIFS(Imput[[Importe Neto]:[Importe Neto]],Imput[[C. Imp.]:[C. Imp.]],$D104,Imput[[PERIODO Imp.]:[PERIODO Imp.]],CD$9)</f>
        <v>0</v>
      </c>
      <c r="CE104" s="516">
        <f>SUMIFS(Imput[[Importe Neto]:[Importe Neto]],Imput[[C. Imp.]:[C. Imp.]],$D104,Imput[[PERIODO Imp.]:[PERIODO Imp.]],CE$9)</f>
        <v>0</v>
      </c>
      <c r="CF104" s="516">
        <f>SUMIFS(Imput[[Importe Neto]:[Importe Neto]],Imput[[C. Imp.]:[C. Imp.]],$D104,Imput[[PERIODO Imp.]:[PERIODO Imp.]],CF$9)</f>
        <v>0</v>
      </c>
      <c r="CG104" s="516">
        <f>SUMIFS(Imput[[Importe Neto]:[Importe Neto]],Imput[[C. Imp.]:[C. Imp.]],$D104,Imput[[PERIODO Imp.]:[PERIODO Imp.]],CG$9)</f>
        <v>0</v>
      </c>
      <c r="CH104" s="516">
        <f>SUMIFS(Imput[[Importe Neto]:[Importe Neto]],Imput[[C. Imp.]:[C. Imp.]],$D104,Imput[[PERIODO Imp.]:[PERIODO Imp.]],CH$9)</f>
        <v>0</v>
      </c>
      <c r="CI104" s="516">
        <f>SUMIFS(Imput[[Importe Neto]:[Importe Neto]],Imput[[C. Imp.]:[C. Imp.]],$D104,Imput[[PERIODO Imp.]:[PERIODO Imp.]],CI$9)</f>
        <v>0</v>
      </c>
      <c r="CJ104" s="516">
        <f>SUMIFS(Imput[[Importe Neto]:[Importe Neto]],Imput[[C. Imp.]:[C. Imp.]],$D104,Imput[[PERIODO Imp.]:[PERIODO Imp.]],CJ$9)</f>
        <v>0</v>
      </c>
      <c r="CK104" s="516">
        <f>SUMIFS(Imput[[Importe Neto]:[Importe Neto]],Imput[[C. Imp.]:[C. Imp.]],$D104,Imput[[PERIODO Imp.]:[PERIODO Imp.]],CK$9)</f>
        <v>0</v>
      </c>
      <c r="CL104" s="516">
        <f>SUMIFS(Imput[[Importe Neto]:[Importe Neto]],Imput[[C. Imp.]:[C. Imp.]],$D104,Imput[[PERIODO Imp.]:[PERIODO Imp.]],CL$9)</f>
        <v>0</v>
      </c>
      <c r="CM104" s="516">
        <f>SUMIFS(Imput[[Importe Neto]:[Importe Neto]],Imput[[C. Imp.]:[C. Imp.]],$D104,Imput[[PERIODO Imp.]:[PERIODO Imp.]],CM$9)</f>
        <v>0</v>
      </c>
      <c r="CN104" s="516">
        <f>SUMIFS(Imput[[Importe Neto]:[Importe Neto]],Imput[[C. Imp.]:[C. Imp.]],$D104,Imput[[PERIODO Imp.]:[PERIODO Imp.]],CN$9)</f>
        <v>0</v>
      </c>
      <c r="CO104" s="516">
        <f>SUMIFS(Imput[[Importe Neto]:[Importe Neto]],Imput[[C. Imp.]:[C. Imp.]],$D104,Imput[[PERIODO Imp.]:[PERIODO Imp.]],CO$9)</f>
        <v>0</v>
      </c>
      <c r="CP104" s="516">
        <f>SUMIFS(Imput[[Importe Neto]:[Importe Neto]],Imput[[C. Imp.]:[C. Imp.]],$D104,Imput[[PERIODO Imp.]:[PERIODO Imp.]],CP$9)</f>
        <v>0</v>
      </c>
      <c r="CQ104" s="516">
        <f>SUMIFS(Imput[[Importe Neto]:[Importe Neto]],Imput[[C. Imp.]:[C. Imp.]],$D104,Imput[[PERIODO Imp.]:[PERIODO Imp.]],CQ$9)</f>
        <v>0</v>
      </c>
      <c r="CR104" s="516">
        <f>SUMIFS(Imput[[Importe Neto]:[Importe Neto]],Imput[[C. Imp.]:[C. Imp.]],$D104,Imput[[PERIODO Imp.]:[PERIODO Imp.]],CR$9)</f>
        <v>0</v>
      </c>
      <c r="CS104" s="516">
        <f>SUMIFS(Imput[[Importe Neto]:[Importe Neto]],Imput[[C. Imp.]:[C. Imp.]],$D104,Imput[[PERIODO Imp.]:[PERIODO Imp.]],CS$9)</f>
        <v>0</v>
      </c>
      <c r="CT104" s="516">
        <f>SUMIFS(Imput[[Importe Neto]:[Importe Neto]],Imput[[C. Imp.]:[C. Imp.]],$D104,Imput[[PERIODO Imp.]:[PERIODO Imp.]],CT$9)</f>
        <v>0</v>
      </c>
      <c r="CU104" s="516">
        <f>SUMIFS(Imput[[Importe Neto]:[Importe Neto]],Imput[[C. Imp.]:[C. Imp.]],$D104,Imput[[PERIODO Imp.]:[PERIODO Imp.]],CU$9)</f>
        <v>0</v>
      </c>
      <c r="CV104" s="516">
        <f>SUMIFS(Imput[[Importe Neto]:[Importe Neto]],Imput[[C. Imp.]:[C. Imp.]],$D104,Imput[[PERIODO Imp.]:[PERIODO Imp.]],CV$9)</f>
        <v>0</v>
      </c>
      <c r="CW104" s="516">
        <f>SUMIFS(Imput[[Importe Neto]:[Importe Neto]],Imput[[C. Imp.]:[C. Imp.]],$D104,Imput[[PERIODO Imp.]:[PERIODO Imp.]],CW$9)</f>
        <v>0</v>
      </c>
      <c r="CX104" s="516">
        <f>SUMIFS(Imput[[Importe Neto]:[Importe Neto]],Imput[[C. Imp.]:[C. Imp.]],$D104,Imput[[PERIODO Imp.]:[PERIODO Imp.]],CX$9)</f>
        <v>0</v>
      </c>
      <c r="CY104" s="516">
        <f>SUMIFS(Imput[[Importe Neto]:[Importe Neto]],Imput[[C. Imp.]:[C. Imp.]],$D104,Imput[[PERIODO Imp.]:[PERIODO Imp.]],CY$9)</f>
        <v>0</v>
      </c>
      <c r="CZ104" s="516">
        <f>SUMIFS(Imput[[Importe Neto]:[Importe Neto]],Imput[[C. Imp.]:[C. Imp.]],$D104,Imput[[PERIODO Imp.]:[PERIODO Imp.]],CZ$9)</f>
        <v>0</v>
      </c>
      <c r="DA104" s="516">
        <f>SUMIFS(Imput[[Importe Neto]:[Importe Neto]],Imput[[C. Imp.]:[C. Imp.]],$D104,Imput[[PERIODO Imp.]:[PERIODO Imp.]],DA$9)</f>
        <v>0</v>
      </c>
      <c r="DB104" s="516">
        <f>SUMIFS(Imput[[Importe Neto]:[Importe Neto]],Imput[[C. Imp.]:[C. Imp.]],$D104,Imput[[PERIODO Imp.]:[PERIODO Imp.]],DB$9)</f>
        <v>0</v>
      </c>
      <c r="DC104" s="516">
        <f>SUMIFS(Imput[[Importe Neto]:[Importe Neto]],Imput[[C. Imp.]:[C. Imp.]],$D104,Imput[[PERIODO Imp.]:[PERIODO Imp.]],DC$9)</f>
        <v>0</v>
      </c>
      <c r="DD104" s="516">
        <f>SUMIFS(Imput[[Importe Neto]:[Importe Neto]],Imput[[C. Imp.]:[C. Imp.]],$D104,Imput[[PERIODO Imp.]:[PERIODO Imp.]],DD$9)</f>
        <v>0</v>
      </c>
      <c r="DE104" s="516">
        <f>SUMIFS(Imput[[Importe Neto]:[Importe Neto]],Imput[[C. Imp.]:[C. Imp.]],$D104,Imput[[PERIODO Imp.]:[PERIODO Imp.]],DE$9)</f>
        <v>0</v>
      </c>
      <c r="DF104" s="516">
        <f>SUMIFS(Imput[[Importe Neto]:[Importe Neto]],Imput[[C. Imp.]:[C. Imp.]],$D104,Imput[[PERIODO Imp.]:[PERIODO Imp.]],DF$9)</f>
        <v>0</v>
      </c>
      <c r="DG104" s="516">
        <f>SUMIFS(Imput[[Importe Neto]:[Importe Neto]],Imput[[C. Imp.]:[C. Imp.]],$D104,Imput[[PERIODO Imp.]:[PERIODO Imp.]],DG$9)</f>
        <v>0</v>
      </c>
      <c r="DH104" s="616">
        <f>SUMIFS(Imput[[Importe Neto]:[Importe Neto]],Imput[[C. Imp.]:[C. Imp.]],$D104,Imput[[PERIODO Imp.]:[PERIODO Imp.]],DH$9)</f>
        <v>0</v>
      </c>
    </row>
    <row r="105" spans="1:112" hidden="1" outlineLevel="1" x14ac:dyDescent="0.3">
      <c r="A105" s="66" t="str">
        <f t="shared" si="22"/>
        <v/>
      </c>
      <c r="C105" s="527"/>
      <c r="D105" s="528" t="s">
        <v>2217</v>
      </c>
      <c r="E105" s="528"/>
      <c r="F105" s="534"/>
      <c r="G105" s="529"/>
      <c r="H105" s="531"/>
      <c r="I105" s="849" t="str">
        <f t="shared" si="23"/>
        <v/>
      </c>
      <c r="J105" s="850" t="str">
        <f t="shared" si="24"/>
        <v/>
      </c>
      <c r="K105" s="70"/>
      <c r="L105" s="853"/>
      <c r="M105" s="855"/>
      <c r="N105" s="855"/>
      <c r="O105" s="855"/>
      <c r="P105" s="855"/>
      <c r="Q105" s="855"/>
      <c r="R105" s="855"/>
      <c r="S105" s="855"/>
      <c r="T105" s="855"/>
      <c r="U105" s="855"/>
      <c r="V105" s="855"/>
      <c r="W105" s="855"/>
      <c r="X105" s="855"/>
      <c r="Y105" s="855"/>
      <c r="Z105" s="856"/>
      <c r="AA105" s="856"/>
      <c r="AB105" s="856"/>
      <c r="AC105" s="856"/>
      <c r="AD105" s="856"/>
      <c r="AE105" s="856"/>
      <c r="AF105" s="856"/>
      <c r="AG105" s="856"/>
      <c r="AH105" s="856"/>
      <c r="AI105" s="856"/>
      <c r="AJ105" s="856"/>
      <c r="AK105" s="856"/>
      <c r="AL105" s="856"/>
      <c r="AM105" s="856"/>
      <c r="AN105" s="856"/>
      <c r="AO105" s="856"/>
      <c r="AP105" s="856"/>
      <c r="AQ105" s="856"/>
      <c r="AR105" s="856"/>
      <c r="AS105" s="856"/>
      <c r="AT105" s="856"/>
      <c r="AU105" s="856"/>
      <c r="AV105" s="856"/>
      <c r="AW105" s="856"/>
      <c r="AX105" s="856"/>
      <c r="AY105" s="856"/>
      <c r="AZ105" s="856"/>
      <c r="BA105" s="856"/>
      <c r="BB105" s="856"/>
      <c r="BC105" s="856"/>
      <c r="BD105" s="856"/>
      <c r="BE105" s="856"/>
      <c r="BF105" s="856"/>
      <c r="BG105" s="857"/>
      <c r="BH105" s="590"/>
      <c r="BI105" s="68"/>
      <c r="BJ105" s="518">
        <f t="shared" si="25"/>
        <v>0</v>
      </c>
      <c r="BK105" s="517">
        <f t="shared" si="26"/>
        <v>0</v>
      </c>
      <c r="BL105" s="68"/>
      <c r="BM105" s="515">
        <f>SUMIFS(Imput[[Importe Neto]:[Importe Neto]],Imput[[C. Imp.]:[C. Imp.]],$D105,Imput[[PERIODO Imp.]:[PERIODO Imp.]],BM$9)</f>
        <v>0</v>
      </c>
      <c r="BN105" s="516">
        <f>SUMIFS(Imput[[Importe Neto]:[Importe Neto]],Imput[[C. Imp.]:[C. Imp.]],$D105,Imput[[PERIODO Imp.]:[PERIODO Imp.]],BN$9)</f>
        <v>0</v>
      </c>
      <c r="BO105" s="516">
        <f>SUMIFS(Imput[[Importe Neto]:[Importe Neto]],Imput[[C. Imp.]:[C. Imp.]],$D105,Imput[[PERIODO Imp.]:[PERIODO Imp.]],BO$9)</f>
        <v>0</v>
      </c>
      <c r="BP105" s="516">
        <f>SUMIFS(Imput[[Importe Neto]:[Importe Neto]],Imput[[C. Imp.]:[C. Imp.]],$D105,Imput[[PERIODO Imp.]:[PERIODO Imp.]],BP$9)</f>
        <v>0</v>
      </c>
      <c r="BQ105" s="516">
        <f>SUMIFS(Imput[[Importe Neto]:[Importe Neto]],Imput[[C. Imp.]:[C. Imp.]],$D105,Imput[[PERIODO Imp.]:[PERIODO Imp.]],BQ$9)</f>
        <v>0</v>
      </c>
      <c r="BR105" s="516">
        <f>SUMIFS(Imput[[Importe Neto]:[Importe Neto]],Imput[[C. Imp.]:[C. Imp.]],$D105,Imput[[PERIODO Imp.]:[PERIODO Imp.]],BR$9)</f>
        <v>0</v>
      </c>
      <c r="BS105" s="516">
        <f>SUMIFS(Imput[[Importe Neto]:[Importe Neto]],Imput[[C. Imp.]:[C. Imp.]],$D105,Imput[[PERIODO Imp.]:[PERIODO Imp.]],BS$9)</f>
        <v>0</v>
      </c>
      <c r="BT105" s="516">
        <f>SUMIFS(Imput[[Importe Neto]:[Importe Neto]],Imput[[C. Imp.]:[C. Imp.]],$D105,Imput[[PERIODO Imp.]:[PERIODO Imp.]],BT$9)</f>
        <v>0</v>
      </c>
      <c r="BU105" s="516">
        <f>SUMIFS(Imput[[Importe Neto]:[Importe Neto]],Imput[[C. Imp.]:[C. Imp.]],$D105,Imput[[PERIODO Imp.]:[PERIODO Imp.]],BU$9)</f>
        <v>0</v>
      </c>
      <c r="BV105" s="516">
        <f>SUMIFS(Imput[[Importe Neto]:[Importe Neto]],Imput[[C. Imp.]:[C. Imp.]],$D105,Imput[[PERIODO Imp.]:[PERIODO Imp.]],BV$9)</f>
        <v>0</v>
      </c>
      <c r="BW105" s="516">
        <f>SUMIFS(Imput[[Importe Neto]:[Importe Neto]],Imput[[C. Imp.]:[C. Imp.]],$D105,Imput[[PERIODO Imp.]:[PERIODO Imp.]],BW$9)</f>
        <v>0</v>
      </c>
      <c r="BX105" s="516">
        <f>SUMIFS(Imput[[Importe Neto]:[Importe Neto]],Imput[[C. Imp.]:[C. Imp.]],$D105,Imput[[PERIODO Imp.]:[PERIODO Imp.]],BX$9)</f>
        <v>0</v>
      </c>
      <c r="BY105" s="516">
        <f>SUMIFS(Imput[[Importe Neto]:[Importe Neto]],Imput[[C. Imp.]:[C. Imp.]],$D105,Imput[[PERIODO Imp.]:[PERIODO Imp.]],BY$9)</f>
        <v>0</v>
      </c>
      <c r="BZ105" s="516">
        <f>SUMIFS(Imput[[Importe Neto]:[Importe Neto]],Imput[[C. Imp.]:[C. Imp.]],$D105,Imput[[PERIODO Imp.]:[PERIODO Imp.]],BZ$9)</f>
        <v>0</v>
      </c>
      <c r="CA105" s="516">
        <f>SUMIFS(Imput[[Importe Neto]:[Importe Neto]],Imput[[C. Imp.]:[C. Imp.]],$D105,Imput[[PERIODO Imp.]:[PERIODO Imp.]],CA$9)</f>
        <v>0</v>
      </c>
      <c r="CB105" s="516">
        <f>SUMIFS(Imput[[Importe Neto]:[Importe Neto]],Imput[[C. Imp.]:[C. Imp.]],$D105,Imput[[PERIODO Imp.]:[PERIODO Imp.]],CB$9)</f>
        <v>0</v>
      </c>
      <c r="CC105" s="516">
        <f>SUMIFS(Imput[[Importe Neto]:[Importe Neto]],Imput[[C. Imp.]:[C. Imp.]],$D105,Imput[[PERIODO Imp.]:[PERIODO Imp.]],CC$9)</f>
        <v>0</v>
      </c>
      <c r="CD105" s="516">
        <f>SUMIFS(Imput[[Importe Neto]:[Importe Neto]],Imput[[C. Imp.]:[C. Imp.]],$D105,Imput[[PERIODO Imp.]:[PERIODO Imp.]],CD$9)</f>
        <v>0</v>
      </c>
      <c r="CE105" s="516">
        <f>SUMIFS(Imput[[Importe Neto]:[Importe Neto]],Imput[[C. Imp.]:[C. Imp.]],$D105,Imput[[PERIODO Imp.]:[PERIODO Imp.]],CE$9)</f>
        <v>0</v>
      </c>
      <c r="CF105" s="516">
        <f>SUMIFS(Imput[[Importe Neto]:[Importe Neto]],Imput[[C. Imp.]:[C. Imp.]],$D105,Imput[[PERIODO Imp.]:[PERIODO Imp.]],CF$9)</f>
        <v>0</v>
      </c>
      <c r="CG105" s="516">
        <f>SUMIFS(Imput[[Importe Neto]:[Importe Neto]],Imput[[C. Imp.]:[C. Imp.]],$D105,Imput[[PERIODO Imp.]:[PERIODO Imp.]],CG$9)</f>
        <v>0</v>
      </c>
      <c r="CH105" s="516">
        <f>SUMIFS(Imput[[Importe Neto]:[Importe Neto]],Imput[[C. Imp.]:[C. Imp.]],$D105,Imput[[PERIODO Imp.]:[PERIODO Imp.]],CH$9)</f>
        <v>0</v>
      </c>
      <c r="CI105" s="516">
        <f>SUMIFS(Imput[[Importe Neto]:[Importe Neto]],Imput[[C. Imp.]:[C. Imp.]],$D105,Imput[[PERIODO Imp.]:[PERIODO Imp.]],CI$9)</f>
        <v>0</v>
      </c>
      <c r="CJ105" s="516">
        <f>SUMIFS(Imput[[Importe Neto]:[Importe Neto]],Imput[[C. Imp.]:[C. Imp.]],$D105,Imput[[PERIODO Imp.]:[PERIODO Imp.]],CJ$9)</f>
        <v>0</v>
      </c>
      <c r="CK105" s="516">
        <f>SUMIFS(Imput[[Importe Neto]:[Importe Neto]],Imput[[C. Imp.]:[C. Imp.]],$D105,Imput[[PERIODO Imp.]:[PERIODO Imp.]],CK$9)</f>
        <v>0</v>
      </c>
      <c r="CL105" s="516">
        <f>SUMIFS(Imput[[Importe Neto]:[Importe Neto]],Imput[[C. Imp.]:[C. Imp.]],$D105,Imput[[PERIODO Imp.]:[PERIODO Imp.]],CL$9)</f>
        <v>0</v>
      </c>
      <c r="CM105" s="516">
        <f>SUMIFS(Imput[[Importe Neto]:[Importe Neto]],Imput[[C. Imp.]:[C. Imp.]],$D105,Imput[[PERIODO Imp.]:[PERIODO Imp.]],CM$9)</f>
        <v>0</v>
      </c>
      <c r="CN105" s="516">
        <f>SUMIFS(Imput[[Importe Neto]:[Importe Neto]],Imput[[C. Imp.]:[C. Imp.]],$D105,Imput[[PERIODO Imp.]:[PERIODO Imp.]],CN$9)</f>
        <v>0</v>
      </c>
      <c r="CO105" s="516">
        <f>SUMIFS(Imput[[Importe Neto]:[Importe Neto]],Imput[[C. Imp.]:[C. Imp.]],$D105,Imput[[PERIODO Imp.]:[PERIODO Imp.]],CO$9)</f>
        <v>0</v>
      </c>
      <c r="CP105" s="516">
        <f>SUMIFS(Imput[[Importe Neto]:[Importe Neto]],Imput[[C. Imp.]:[C. Imp.]],$D105,Imput[[PERIODO Imp.]:[PERIODO Imp.]],CP$9)</f>
        <v>0</v>
      </c>
      <c r="CQ105" s="516">
        <f>SUMIFS(Imput[[Importe Neto]:[Importe Neto]],Imput[[C. Imp.]:[C. Imp.]],$D105,Imput[[PERIODO Imp.]:[PERIODO Imp.]],CQ$9)</f>
        <v>0</v>
      </c>
      <c r="CR105" s="516">
        <f>SUMIFS(Imput[[Importe Neto]:[Importe Neto]],Imput[[C. Imp.]:[C. Imp.]],$D105,Imput[[PERIODO Imp.]:[PERIODO Imp.]],CR$9)</f>
        <v>0</v>
      </c>
      <c r="CS105" s="516">
        <f>SUMIFS(Imput[[Importe Neto]:[Importe Neto]],Imput[[C. Imp.]:[C. Imp.]],$D105,Imput[[PERIODO Imp.]:[PERIODO Imp.]],CS$9)</f>
        <v>0</v>
      </c>
      <c r="CT105" s="516">
        <f>SUMIFS(Imput[[Importe Neto]:[Importe Neto]],Imput[[C. Imp.]:[C. Imp.]],$D105,Imput[[PERIODO Imp.]:[PERIODO Imp.]],CT$9)</f>
        <v>0</v>
      </c>
      <c r="CU105" s="516">
        <f>SUMIFS(Imput[[Importe Neto]:[Importe Neto]],Imput[[C. Imp.]:[C. Imp.]],$D105,Imput[[PERIODO Imp.]:[PERIODO Imp.]],CU$9)</f>
        <v>0</v>
      </c>
      <c r="CV105" s="516">
        <f>SUMIFS(Imput[[Importe Neto]:[Importe Neto]],Imput[[C. Imp.]:[C. Imp.]],$D105,Imput[[PERIODO Imp.]:[PERIODO Imp.]],CV$9)</f>
        <v>0</v>
      </c>
      <c r="CW105" s="516">
        <f>SUMIFS(Imput[[Importe Neto]:[Importe Neto]],Imput[[C. Imp.]:[C. Imp.]],$D105,Imput[[PERIODO Imp.]:[PERIODO Imp.]],CW$9)</f>
        <v>0</v>
      </c>
      <c r="CX105" s="516">
        <f>SUMIFS(Imput[[Importe Neto]:[Importe Neto]],Imput[[C. Imp.]:[C. Imp.]],$D105,Imput[[PERIODO Imp.]:[PERIODO Imp.]],CX$9)</f>
        <v>0</v>
      </c>
      <c r="CY105" s="516">
        <f>SUMIFS(Imput[[Importe Neto]:[Importe Neto]],Imput[[C. Imp.]:[C. Imp.]],$D105,Imput[[PERIODO Imp.]:[PERIODO Imp.]],CY$9)</f>
        <v>0</v>
      </c>
      <c r="CZ105" s="516">
        <f>SUMIFS(Imput[[Importe Neto]:[Importe Neto]],Imput[[C. Imp.]:[C. Imp.]],$D105,Imput[[PERIODO Imp.]:[PERIODO Imp.]],CZ$9)</f>
        <v>0</v>
      </c>
      <c r="DA105" s="516">
        <f>SUMIFS(Imput[[Importe Neto]:[Importe Neto]],Imput[[C. Imp.]:[C. Imp.]],$D105,Imput[[PERIODO Imp.]:[PERIODO Imp.]],DA$9)</f>
        <v>0</v>
      </c>
      <c r="DB105" s="516">
        <f>SUMIFS(Imput[[Importe Neto]:[Importe Neto]],Imput[[C. Imp.]:[C. Imp.]],$D105,Imput[[PERIODO Imp.]:[PERIODO Imp.]],DB$9)</f>
        <v>0</v>
      </c>
      <c r="DC105" s="516">
        <f>SUMIFS(Imput[[Importe Neto]:[Importe Neto]],Imput[[C. Imp.]:[C. Imp.]],$D105,Imput[[PERIODO Imp.]:[PERIODO Imp.]],DC$9)</f>
        <v>0</v>
      </c>
      <c r="DD105" s="516">
        <f>SUMIFS(Imput[[Importe Neto]:[Importe Neto]],Imput[[C. Imp.]:[C. Imp.]],$D105,Imput[[PERIODO Imp.]:[PERIODO Imp.]],DD$9)</f>
        <v>0</v>
      </c>
      <c r="DE105" s="516">
        <f>SUMIFS(Imput[[Importe Neto]:[Importe Neto]],Imput[[C. Imp.]:[C. Imp.]],$D105,Imput[[PERIODO Imp.]:[PERIODO Imp.]],DE$9)</f>
        <v>0</v>
      </c>
      <c r="DF105" s="516">
        <f>SUMIFS(Imput[[Importe Neto]:[Importe Neto]],Imput[[C. Imp.]:[C. Imp.]],$D105,Imput[[PERIODO Imp.]:[PERIODO Imp.]],DF$9)</f>
        <v>0</v>
      </c>
      <c r="DG105" s="516">
        <f>SUMIFS(Imput[[Importe Neto]:[Importe Neto]],Imput[[C. Imp.]:[C. Imp.]],$D105,Imput[[PERIODO Imp.]:[PERIODO Imp.]],DG$9)</f>
        <v>0</v>
      </c>
      <c r="DH105" s="616">
        <f>SUMIFS(Imput[[Importe Neto]:[Importe Neto]],Imput[[C. Imp.]:[C. Imp.]],$D105,Imput[[PERIODO Imp.]:[PERIODO Imp.]],DH$9)</f>
        <v>0</v>
      </c>
    </row>
    <row r="106" spans="1:112" hidden="1" outlineLevel="1" x14ac:dyDescent="0.3">
      <c r="A106" s="66" t="str">
        <f t="shared" si="22"/>
        <v/>
      </c>
      <c r="C106" s="527"/>
      <c r="D106" s="528" t="s">
        <v>2218</v>
      </c>
      <c r="E106" s="528"/>
      <c r="F106" s="534"/>
      <c r="G106" s="529"/>
      <c r="H106" s="531"/>
      <c r="I106" s="849" t="str">
        <f t="shared" si="23"/>
        <v/>
      </c>
      <c r="J106" s="850" t="str">
        <f t="shared" si="24"/>
        <v/>
      </c>
      <c r="K106" s="70"/>
      <c r="L106" s="853"/>
      <c r="M106" s="855"/>
      <c r="N106" s="855"/>
      <c r="O106" s="855"/>
      <c r="P106" s="855"/>
      <c r="Q106" s="855"/>
      <c r="R106" s="855"/>
      <c r="S106" s="855"/>
      <c r="T106" s="855"/>
      <c r="U106" s="855"/>
      <c r="V106" s="855"/>
      <c r="W106" s="855"/>
      <c r="X106" s="855"/>
      <c r="Y106" s="855"/>
      <c r="Z106" s="856"/>
      <c r="AA106" s="856"/>
      <c r="AB106" s="856"/>
      <c r="AC106" s="856"/>
      <c r="AD106" s="856"/>
      <c r="AE106" s="856"/>
      <c r="AF106" s="856"/>
      <c r="AG106" s="856"/>
      <c r="AH106" s="856"/>
      <c r="AI106" s="856"/>
      <c r="AJ106" s="856"/>
      <c r="AK106" s="856"/>
      <c r="AL106" s="856"/>
      <c r="AM106" s="856"/>
      <c r="AN106" s="856"/>
      <c r="AO106" s="856"/>
      <c r="AP106" s="856"/>
      <c r="AQ106" s="856"/>
      <c r="AR106" s="856"/>
      <c r="AS106" s="856"/>
      <c r="AT106" s="856"/>
      <c r="AU106" s="856"/>
      <c r="AV106" s="856"/>
      <c r="AW106" s="856"/>
      <c r="AX106" s="856"/>
      <c r="AY106" s="856"/>
      <c r="AZ106" s="856"/>
      <c r="BA106" s="856"/>
      <c r="BB106" s="856"/>
      <c r="BC106" s="856"/>
      <c r="BD106" s="856"/>
      <c r="BE106" s="856"/>
      <c r="BF106" s="856"/>
      <c r="BG106" s="857"/>
      <c r="BH106" s="590"/>
      <c r="BI106" s="68"/>
      <c r="BJ106" s="518">
        <f t="shared" si="25"/>
        <v>0</v>
      </c>
      <c r="BK106" s="517">
        <f t="shared" si="26"/>
        <v>0</v>
      </c>
      <c r="BL106" s="68"/>
      <c r="BM106" s="515">
        <f>SUMIFS(Imput[[Importe Neto]:[Importe Neto]],Imput[[C. Imp.]:[C. Imp.]],$D106,Imput[[PERIODO Imp.]:[PERIODO Imp.]],BM$9)</f>
        <v>0</v>
      </c>
      <c r="BN106" s="516">
        <f>SUMIFS(Imput[[Importe Neto]:[Importe Neto]],Imput[[C. Imp.]:[C. Imp.]],$D106,Imput[[PERIODO Imp.]:[PERIODO Imp.]],BN$9)</f>
        <v>0</v>
      </c>
      <c r="BO106" s="516">
        <f>SUMIFS(Imput[[Importe Neto]:[Importe Neto]],Imput[[C. Imp.]:[C. Imp.]],$D106,Imput[[PERIODO Imp.]:[PERIODO Imp.]],BO$9)</f>
        <v>0</v>
      </c>
      <c r="BP106" s="516">
        <f>SUMIFS(Imput[[Importe Neto]:[Importe Neto]],Imput[[C. Imp.]:[C. Imp.]],$D106,Imput[[PERIODO Imp.]:[PERIODO Imp.]],BP$9)</f>
        <v>0</v>
      </c>
      <c r="BQ106" s="516">
        <f>SUMIFS(Imput[[Importe Neto]:[Importe Neto]],Imput[[C. Imp.]:[C. Imp.]],$D106,Imput[[PERIODO Imp.]:[PERIODO Imp.]],BQ$9)</f>
        <v>0</v>
      </c>
      <c r="BR106" s="516">
        <f>SUMIFS(Imput[[Importe Neto]:[Importe Neto]],Imput[[C. Imp.]:[C. Imp.]],$D106,Imput[[PERIODO Imp.]:[PERIODO Imp.]],BR$9)</f>
        <v>0</v>
      </c>
      <c r="BS106" s="516">
        <f>SUMIFS(Imput[[Importe Neto]:[Importe Neto]],Imput[[C. Imp.]:[C. Imp.]],$D106,Imput[[PERIODO Imp.]:[PERIODO Imp.]],BS$9)</f>
        <v>0</v>
      </c>
      <c r="BT106" s="516">
        <f>SUMIFS(Imput[[Importe Neto]:[Importe Neto]],Imput[[C. Imp.]:[C. Imp.]],$D106,Imput[[PERIODO Imp.]:[PERIODO Imp.]],BT$9)</f>
        <v>0</v>
      </c>
      <c r="BU106" s="516">
        <f>SUMIFS(Imput[[Importe Neto]:[Importe Neto]],Imput[[C. Imp.]:[C. Imp.]],$D106,Imput[[PERIODO Imp.]:[PERIODO Imp.]],BU$9)</f>
        <v>0</v>
      </c>
      <c r="BV106" s="516">
        <f>SUMIFS(Imput[[Importe Neto]:[Importe Neto]],Imput[[C. Imp.]:[C. Imp.]],$D106,Imput[[PERIODO Imp.]:[PERIODO Imp.]],BV$9)</f>
        <v>0</v>
      </c>
      <c r="BW106" s="516">
        <f>SUMIFS(Imput[[Importe Neto]:[Importe Neto]],Imput[[C. Imp.]:[C. Imp.]],$D106,Imput[[PERIODO Imp.]:[PERIODO Imp.]],BW$9)</f>
        <v>0</v>
      </c>
      <c r="BX106" s="516">
        <f>SUMIFS(Imput[[Importe Neto]:[Importe Neto]],Imput[[C. Imp.]:[C. Imp.]],$D106,Imput[[PERIODO Imp.]:[PERIODO Imp.]],BX$9)</f>
        <v>0</v>
      </c>
      <c r="BY106" s="516">
        <f>SUMIFS(Imput[[Importe Neto]:[Importe Neto]],Imput[[C. Imp.]:[C. Imp.]],$D106,Imput[[PERIODO Imp.]:[PERIODO Imp.]],BY$9)</f>
        <v>0</v>
      </c>
      <c r="BZ106" s="516">
        <f>SUMIFS(Imput[[Importe Neto]:[Importe Neto]],Imput[[C. Imp.]:[C. Imp.]],$D106,Imput[[PERIODO Imp.]:[PERIODO Imp.]],BZ$9)</f>
        <v>0</v>
      </c>
      <c r="CA106" s="516">
        <f>SUMIFS(Imput[[Importe Neto]:[Importe Neto]],Imput[[C. Imp.]:[C. Imp.]],$D106,Imput[[PERIODO Imp.]:[PERIODO Imp.]],CA$9)</f>
        <v>0</v>
      </c>
      <c r="CB106" s="516">
        <f>SUMIFS(Imput[[Importe Neto]:[Importe Neto]],Imput[[C. Imp.]:[C. Imp.]],$D106,Imput[[PERIODO Imp.]:[PERIODO Imp.]],CB$9)</f>
        <v>0</v>
      </c>
      <c r="CC106" s="516">
        <f>SUMIFS(Imput[[Importe Neto]:[Importe Neto]],Imput[[C. Imp.]:[C. Imp.]],$D106,Imput[[PERIODO Imp.]:[PERIODO Imp.]],CC$9)</f>
        <v>0</v>
      </c>
      <c r="CD106" s="516">
        <f>SUMIFS(Imput[[Importe Neto]:[Importe Neto]],Imput[[C. Imp.]:[C. Imp.]],$D106,Imput[[PERIODO Imp.]:[PERIODO Imp.]],CD$9)</f>
        <v>0</v>
      </c>
      <c r="CE106" s="516">
        <f>SUMIFS(Imput[[Importe Neto]:[Importe Neto]],Imput[[C. Imp.]:[C. Imp.]],$D106,Imput[[PERIODO Imp.]:[PERIODO Imp.]],CE$9)</f>
        <v>0</v>
      </c>
      <c r="CF106" s="516">
        <f>SUMIFS(Imput[[Importe Neto]:[Importe Neto]],Imput[[C. Imp.]:[C. Imp.]],$D106,Imput[[PERIODO Imp.]:[PERIODO Imp.]],CF$9)</f>
        <v>0</v>
      </c>
      <c r="CG106" s="516">
        <f>SUMIFS(Imput[[Importe Neto]:[Importe Neto]],Imput[[C. Imp.]:[C. Imp.]],$D106,Imput[[PERIODO Imp.]:[PERIODO Imp.]],CG$9)</f>
        <v>0</v>
      </c>
      <c r="CH106" s="516">
        <f>SUMIFS(Imput[[Importe Neto]:[Importe Neto]],Imput[[C. Imp.]:[C. Imp.]],$D106,Imput[[PERIODO Imp.]:[PERIODO Imp.]],CH$9)</f>
        <v>0</v>
      </c>
      <c r="CI106" s="516">
        <f>SUMIFS(Imput[[Importe Neto]:[Importe Neto]],Imput[[C. Imp.]:[C. Imp.]],$D106,Imput[[PERIODO Imp.]:[PERIODO Imp.]],CI$9)</f>
        <v>0</v>
      </c>
      <c r="CJ106" s="516">
        <f>SUMIFS(Imput[[Importe Neto]:[Importe Neto]],Imput[[C. Imp.]:[C. Imp.]],$D106,Imput[[PERIODO Imp.]:[PERIODO Imp.]],CJ$9)</f>
        <v>0</v>
      </c>
      <c r="CK106" s="516">
        <f>SUMIFS(Imput[[Importe Neto]:[Importe Neto]],Imput[[C. Imp.]:[C. Imp.]],$D106,Imput[[PERIODO Imp.]:[PERIODO Imp.]],CK$9)</f>
        <v>0</v>
      </c>
      <c r="CL106" s="516">
        <f>SUMIFS(Imput[[Importe Neto]:[Importe Neto]],Imput[[C. Imp.]:[C. Imp.]],$D106,Imput[[PERIODO Imp.]:[PERIODO Imp.]],CL$9)</f>
        <v>0</v>
      </c>
      <c r="CM106" s="516">
        <f>SUMIFS(Imput[[Importe Neto]:[Importe Neto]],Imput[[C. Imp.]:[C. Imp.]],$D106,Imput[[PERIODO Imp.]:[PERIODO Imp.]],CM$9)</f>
        <v>0</v>
      </c>
      <c r="CN106" s="516">
        <f>SUMIFS(Imput[[Importe Neto]:[Importe Neto]],Imput[[C. Imp.]:[C. Imp.]],$D106,Imput[[PERIODO Imp.]:[PERIODO Imp.]],CN$9)</f>
        <v>0</v>
      </c>
      <c r="CO106" s="516">
        <f>SUMIFS(Imput[[Importe Neto]:[Importe Neto]],Imput[[C. Imp.]:[C. Imp.]],$D106,Imput[[PERIODO Imp.]:[PERIODO Imp.]],CO$9)</f>
        <v>0</v>
      </c>
      <c r="CP106" s="516">
        <f>SUMIFS(Imput[[Importe Neto]:[Importe Neto]],Imput[[C. Imp.]:[C. Imp.]],$D106,Imput[[PERIODO Imp.]:[PERIODO Imp.]],CP$9)</f>
        <v>0</v>
      </c>
      <c r="CQ106" s="516">
        <f>SUMIFS(Imput[[Importe Neto]:[Importe Neto]],Imput[[C. Imp.]:[C. Imp.]],$D106,Imput[[PERIODO Imp.]:[PERIODO Imp.]],CQ$9)</f>
        <v>0</v>
      </c>
      <c r="CR106" s="516">
        <f>SUMIFS(Imput[[Importe Neto]:[Importe Neto]],Imput[[C. Imp.]:[C. Imp.]],$D106,Imput[[PERIODO Imp.]:[PERIODO Imp.]],CR$9)</f>
        <v>0</v>
      </c>
      <c r="CS106" s="516">
        <f>SUMIFS(Imput[[Importe Neto]:[Importe Neto]],Imput[[C. Imp.]:[C. Imp.]],$D106,Imput[[PERIODO Imp.]:[PERIODO Imp.]],CS$9)</f>
        <v>0</v>
      </c>
      <c r="CT106" s="516">
        <f>SUMIFS(Imput[[Importe Neto]:[Importe Neto]],Imput[[C. Imp.]:[C. Imp.]],$D106,Imput[[PERIODO Imp.]:[PERIODO Imp.]],CT$9)</f>
        <v>0</v>
      </c>
      <c r="CU106" s="516">
        <f>SUMIFS(Imput[[Importe Neto]:[Importe Neto]],Imput[[C. Imp.]:[C. Imp.]],$D106,Imput[[PERIODO Imp.]:[PERIODO Imp.]],CU$9)</f>
        <v>0</v>
      </c>
      <c r="CV106" s="516">
        <f>SUMIFS(Imput[[Importe Neto]:[Importe Neto]],Imput[[C. Imp.]:[C. Imp.]],$D106,Imput[[PERIODO Imp.]:[PERIODO Imp.]],CV$9)</f>
        <v>0</v>
      </c>
      <c r="CW106" s="516">
        <f>SUMIFS(Imput[[Importe Neto]:[Importe Neto]],Imput[[C. Imp.]:[C. Imp.]],$D106,Imput[[PERIODO Imp.]:[PERIODO Imp.]],CW$9)</f>
        <v>0</v>
      </c>
      <c r="CX106" s="516">
        <f>SUMIFS(Imput[[Importe Neto]:[Importe Neto]],Imput[[C. Imp.]:[C. Imp.]],$D106,Imput[[PERIODO Imp.]:[PERIODO Imp.]],CX$9)</f>
        <v>0</v>
      </c>
      <c r="CY106" s="516">
        <f>SUMIFS(Imput[[Importe Neto]:[Importe Neto]],Imput[[C. Imp.]:[C. Imp.]],$D106,Imput[[PERIODO Imp.]:[PERIODO Imp.]],CY$9)</f>
        <v>0</v>
      </c>
      <c r="CZ106" s="516">
        <f>SUMIFS(Imput[[Importe Neto]:[Importe Neto]],Imput[[C. Imp.]:[C. Imp.]],$D106,Imput[[PERIODO Imp.]:[PERIODO Imp.]],CZ$9)</f>
        <v>0</v>
      </c>
      <c r="DA106" s="516">
        <f>SUMIFS(Imput[[Importe Neto]:[Importe Neto]],Imput[[C. Imp.]:[C. Imp.]],$D106,Imput[[PERIODO Imp.]:[PERIODO Imp.]],DA$9)</f>
        <v>0</v>
      </c>
      <c r="DB106" s="516">
        <f>SUMIFS(Imput[[Importe Neto]:[Importe Neto]],Imput[[C. Imp.]:[C. Imp.]],$D106,Imput[[PERIODO Imp.]:[PERIODO Imp.]],DB$9)</f>
        <v>0</v>
      </c>
      <c r="DC106" s="516">
        <f>SUMIFS(Imput[[Importe Neto]:[Importe Neto]],Imput[[C. Imp.]:[C. Imp.]],$D106,Imput[[PERIODO Imp.]:[PERIODO Imp.]],DC$9)</f>
        <v>0</v>
      </c>
      <c r="DD106" s="516">
        <f>SUMIFS(Imput[[Importe Neto]:[Importe Neto]],Imput[[C. Imp.]:[C. Imp.]],$D106,Imput[[PERIODO Imp.]:[PERIODO Imp.]],DD$9)</f>
        <v>0</v>
      </c>
      <c r="DE106" s="516">
        <f>SUMIFS(Imput[[Importe Neto]:[Importe Neto]],Imput[[C. Imp.]:[C. Imp.]],$D106,Imput[[PERIODO Imp.]:[PERIODO Imp.]],DE$9)</f>
        <v>0</v>
      </c>
      <c r="DF106" s="516">
        <f>SUMIFS(Imput[[Importe Neto]:[Importe Neto]],Imput[[C. Imp.]:[C. Imp.]],$D106,Imput[[PERIODO Imp.]:[PERIODO Imp.]],DF$9)</f>
        <v>0</v>
      </c>
      <c r="DG106" s="516">
        <f>SUMIFS(Imput[[Importe Neto]:[Importe Neto]],Imput[[C. Imp.]:[C. Imp.]],$D106,Imput[[PERIODO Imp.]:[PERIODO Imp.]],DG$9)</f>
        <v>0</v>
      </c>
      <c r="DH106" s="616">
        <f>SUMIFS(Imput[[Importe Neto]:[Importe Neto]],Imput[[C. Imp.]:[C. Imp.]],$D106,Imput[[PERIODO Imp.]:[PERIODO Imp.]],DH$9)</f>
        <v>0</v>
      </c>
    </row>
    <row r="107" spans="1:112" hidden="1" outlineLevel="1" x14ac:dyDescent="0.3">
      <c r="A107" s="66" t="str">
        <f t="shared" si="22"/>
        <v/>
      </c>
      <c r="C107" s="527"/>
      <c r="D107" s="528" t="s">
        <v>2219</v>
      </c>
      <c r="E107" s="528"/>
      <c r="F107" s="534"/>
      <c r="G107" s="529"/>
      <c r="H107" s="531"/>
      <c r="I107" s="849" t="str">
        <f t="shared" si="23"/>
        <v/>
      </c>
      <c r="J107" s="850" t="str">
        <f t="shared" si="24"/>
        <v/>
      </c>
      <c r="K107" s="70"/>
      <c r="L107" s="853"/>
      <c r="M107" s="855"/>
      <c r="N107" s="855"/>
      <c r="O107" s="855"/>
      <c r="P107" s="855"/>
      <c r="Q107" s="855"/>
      <c r="R107" s="855"/>
      <c r="S107" s="855"/>
      <c r="T107" s="855"/>
      <c r="U107" s="855"/>
      <c r="V107" s="855"/>
      <c r="W107" s="855"/>
      <c r="X107" s="855"/>
      <c r="Y107" s="855"/>
      <c r="Z107" s="856"/>
      <c r="AA107" s="856"/>
      <c r="AB107" s="856"/>
      <c r="AC107" s="856"/>
      <c r="AD107" s="856"/>
      <c r="AE107" s="856"/>
      <c r="AF107" s="856"/>
      <c r="AG107" s="856"/>
      <c r="AH107" s="856"/>
      <c r="AI107" s="856"/>
      <c r="AJ107" s="856"/>
      <c r="AK107" s="856"/>
      <c r="AL107" s="856"/>
      <c r="AM107" s="856"/>
      <c r="AN107" s="856"/>
      <c r="AO107" s="856"/>
      <c r="AP107" s="856"/>
      <c r="AQ107" s="856"/>
      <c r="AR107" s="856"/>
      <c r="AS107" s="856"/>
      <c r="AT107" s="856"/>
      <c r="AU107" s="856"/>
      <c r="AV107" s="856"/>
      <c r="AW107" s="856"/>
      <c r="AX107" s="856"/>
      <c r="AY107" s="856"/>
      <c r="AZ107" s="856"/>
      <c r="BA107" s="856"/>
      <c r="BB107" s="856"/>
      <c r="BC107" s="856"/>
      <c r="BD107" s="856"/>
      <c r="BE107" s="856"/>
      <c r="BF107" s="856"/>
      <c r="BG107" s="857"/>
      <c r="BH107" s="590"/>
      <c r="BI107" s="68"/>
      <c r="BJ107" s="518">
        <f t="shared" si="25"/>
        <v>0</v>
      </c>
      <c r="BK107" s="517">
        <f t="shared" si="26"/>
        <v>0</v>
      </c>
      <c r="BL107" s="68"/>
      <c r="BM107" s="515">
        <f>SUMIFS(Imput[[Importe Neto]:[Importe Neto]],Imput[[C. Imp.]:[C. Imp.]],$D107,Imput[[PERIODO Imp.]:[PERIODO Imp.]],BM$9)</f>
        <v>0</v>
      </c>
      <c r="BN107" s="516">
        <f>SUMIFS(Imput[[Importe Neto]:[Importe Neto]],Imput[[C. Imp.]:[C. Imp.]],$D107,Imput[[PERIODO Imp.]:[PERIODO Imp.]],BN$9)</f>
        <v>0</v>
      </c>
      <c r="BO107" s="516">
        <f>SUMIFS(Imput[[Importe Neto]:[Importe Neto]],Imput[[C. Imp.]:[C. Imp.]],$D107,Imput[[PERIODO Imp.]:[PERIODO Imp.]],BO$9)</f>
        <v>0</v>
      </c>
      <c r="BP107" s="516">
        <f>SUMIFS(Imput[[Importe Neto]:[Importe Neto]],Imput[[C. Imp.]:[C. Imp.]],$D107,Imput[[PERIODO Imp.]:[PERIODO Imp.]],BP$9)</f>
        <v>0</v>
      </c>
      <c r="BQ107" s="516">
        <f>SUMIFS(Imput[[Importe Neto]:[Importe Neto]],Imput[[C. Imp.]:[C. Imp.]],$D107,Imput[[PERIODO Imp.]:[PERIODO Imp.]],BQ$9)</f>
        <v>0</v>
      </c>
      <c r="BR107" s="516">
        <f>SUMIFS(Imput[[Importe Neto]:[Importe Neto]],Imput[[C. Imp.]:[C. Imp.]],$D107,Imput[[PERIODO Imp.]:[PERIODO Imp.]],BR$9)</f>
        <v>0</v>
      </c>
      <c r="BS107" s="516">
        <f>SUMIFS(Imput[[Importe Neto]:[Importe Neto]],Imput[[C. Imp.]:[C. Imp.]],$D107,Imput[[PERIODO Imp.]:[PERIODO Imp.]],BS$9)</f>
        <v>0</v>
      </c>
      <c r="BT107" s="516">
        <f>SUMIFS(Imput[[Importe Neto]:[Importe Neto]],Imput[[C. Imp.]:[C. Imp.]],$D107,Imput[[PERIODO Imp.]:[PERIODO Imp.]],BT$9)</f>
        <v>0</v>
      </c>
      <c r="BU107" s="516">
        <f>SUMIFS(Imput[[Importe Neto]:[Importe Neto]],Imput[[C. Imp.]:[C. Imp.]],$D107,Imput[[PERIODO Imp.]:[PERIODO Imp.]],BU$9)</f>
        <v>0</v>
      </c>
      <c r="BV107" s="516">
        <f>SUMIFS(Imput[[Importe Neto]:[Importe Neto]],Imput[[C. Imp.]:[C. Imp.]],$D107,Imput[[PERIODO Imp.]:[PERIODO Imp.]],BV$9)</f>
        <v>0</v>
      </c>
      <c r="BW107" s="516">
        <f>SUMIFS(Imput[[Importe Neto]:[Importe Neto]],Imput[[C. Imp.]:[C. Imp.]],$D107,Imput[[PERIODO Imp.]:[PERIODO Imp.]],BW$9)</f>
        <v>0</v>
      </c>
      <c r="BX107" s="516">
        <f>SUMIFS(Imput[[Importe Neto]:[Importe Neto]],Imput[[C. Imp.]:[C. Imp.]],$D107,Imput[[PERIODO Imp.]:[PERIODO Imp.]],BX$9)</f>
        <v>0</v>
      </c>
      <c r="BY107" s="516">
        <f>SUMIFS(Imput[[Importe Neto]:[Importe Neto]],Imput[[C. Imp.]:[C. Imp.]],$D107,Imput[[PERIODO Imp.]:[PERIODO Imp.]],BY$9)</f>
        <v>0</v>
      </c>
      <c r="BZ107" s="516">
        <f>SUMIFS(Imput[[Importe Neto]:[Importe Neto]],Imput[[C. Imp.]:[C. Imp.]],$D107,Imput[[PERIODO Imp.]:[PERIODO Imp.]],BZ$9)</f>
        <v>0</v>
      </c>
      <c r="CA107" s="516">
        <f>SUMIFS(Imput[[Importe Neto]:[Importe Neto]],Imput[[C. Imp.]:[C. Imp.]],$D107,Imput[[PERIODO Imp.]:[PERIODO Imp.]],CA$9)</f>
        <v>0</v>
      </c>
      <c r="CB107" s="516">
        <f>SUMIFS(Imput[[Importe Neto]:[Importe Neto]],Imput[[C. Imp.]:[C. Imp.]],$D107,Imput[[PERIODO Imp.]:[PERIODO Imp.]],CB$9)</f>
        <v>0</v>
      </c>
      <c r="CC107" s="516">
        <f>SUMIFS(Imput[[Importe Neto]:[Importe Neto]],Imput[[C. Imp.]:[C. Imp.]],$D107,Imput[[PERIODO Imp.]:[PERIODO Imp.]],CC$9)</f>
        <v>0</v>
      </c>
      <c r="CD107" s="516">
        <f>SUMIFS(Imput[[Importe Neto]:[Importe Neto]],Imput[[C. Imp.]:[C. Imp.]],$D107,Imput[[PERIODO Imp.]:[PERIODO Imp.]],CD$9)</f>
        <v>0</v>
      </c>
      <c r="CE107" s="516">
        <f>SUMIFS(Imput[[Importe Neto]:[Importe Neto]],Imput[[C. Imp.]:[C. Imp.]],$D107,Imput[[PERIODO Imp.]:[PERIODO Imp.]],CE$9)</f>
        <v>0</v>
      </c>
      <c r="CF107" s="516">
        <f>SUMIFS(Imput[[Importe Neto]:[Importe Neto]],Imput[[C. Imp.]:[C. Imp.]],$D107,Imput[[PERIODO Imp.]:[PERIODO Imp.]],CF$9)</f>
        <v>0</v>
      </c>
      <c r="CG107" s="516">
        <f>SUMIFS(Imput[[Importe Neto]:[Importe Neto]],Imput[[C. Imp.]:[C. Imp.]],$D107,Imput[[PERIODO Imp.]:[PERIODO Imp.]],CG$9)</f>
        <v>0</v>
      </c>
      <c r="CH107" s="516">
        <f>SUMIFS(Imput[[Importe Neto]:[Importe Neto]],Imput[[C. Imp.]:[C. Imp.]],$D107,Imput[[PERIODO Imp.]:[PERIODO Imp.]],CH$9)</f>
        <v>0</v>
      </c>
      <c r="CI107" s="516">
        <f>SUMIFS(Imput[[Importe Neto]:[Importe Neto]],Imput[[C. Imp.]:[C. Imp.]],$D107,Imput[[PERIODO Imp.]:[PERIODO Imp.]],CI$9)</f>
        <v>0</v>
      </c>
      <c r="CJ107" s="516">
        <f>SUMIFS(Imput[[Importe Neto]:[Importe Neto]],Imput[[C. Imp.]:[C. Imp.]],$D107,Imput[[PERIODO Imp.]:[PERIODO Imp.]],CJ$9)</f>
        <v>0</v>
      </c>
      <c r="CK107" s="516">
        <f>SUMIFS(Imput[[Importe Neto]:[Importe Neto]],Imput[[C. Imp.]:[C. Imp.]],$D107,Imput[[PERIODO Imp.]:[PERIODO Imp.]],CK$9)</f>
        <v>0</v>
      </c>
      <c r="CL107" s="516">
        <f>SUMIFS(Imput[[Importe Neto]:[Importe Neto]],Imput[[C. Imp.]:[C. Imp.]],$D107,Imput[[PERIODO Imp.]:[PERIODO Imp.]],CL$9)</f>
        <v>0</v>
      </c>
      <c r="CM107" s="516">
        <f>SUMIFS(Imput[[Importe Neto]:[Importe Neto]],Imput[[C. Imp.]:[C. Imp.]],$D107,Imput[[PERIODO Imp.]:[PERIODO Imp.]],CM$9)</f>
        <v>0</v>
      </c>
      <c r="CN107" s="516">
        <f>SUMIFS(Imput[[Importe Neto]:[Importe Neto]],Imput[[C. Imp.]:[C. Imp.]],$D107,Imput[[PERIODO Imp.]:[PERIODO Imp.]],CN$9)</f>
        <v>0</v>
      </c>
      <c r="CO107" s="516">
        <f>SUMIFS(Imput[[Importe Neto]:[Importe Neto]],Imput[[C. Imp.]:[C. Imp.]],$D107,Imput[[PERIODO Imp.]:[PERIODO Imp.]],CO$9)</f>
        <v>0</v>
      </c>
      <c r="CP107" s="516">
        <f>SUMIFS(Imput[[Importe Neto]:[Importe Neto]],Imput[[C. Imp.]:[C. Imp.]],$D107,Imput[[PERIODO Imp.]:[PERIODO Imp.]],CP$9)</f>
        <v>0</v>
      </c>
      <c r="CQ107" s="516">
        <f>SUMIFS(Imput[[Importe Neto]:[Importe Neto]],Imput[[C. Imp.]:[C. Imp.]],$D107,Imput[[PERIODO Imp.]:[PERIODO Imp.]],CQ$9)</f>
        <v>0</v>
      </c>
      <c r="CR107" s="516">
        <f>SUMIFS(Imput[[Importe Neto]:[Importe Neto]],Imput[[C. Imp.]:[C. Imp.]],$D107,Imput[[PERIODO Imp.]:[PERIODO Imp.]],CR$9)</f>
        <v>0</v>
      </c>
      <c r="CS107" s="516">
        <f>SUMIFS(Imput[[Importe Neto]:[Importe Neto]],Imput[[C. Imp.]:[C. Imp.]],$D107,Imput[[PERIODO Imp.]:[PERIODO Imp.]],CS$9)</f>
        <v>0</v>
      </c>
      <c r="CT107" s="516">
        <f>SUMIFS(Imput[[Importe Neto]:[Importe Neto]],Imput[[C. Imp.]:[C. Imp.]],$D107,Imput[[PERIODO Imp.]:[PERIODO Imp.]],CT$9)</f>
        <v>0</v>
      </c>
      <c r="CU107" s="516">
        <f>SUMIFS(Imput[[Importe Neto]:[Importe Neto]],Imput[[C. Imp.]:[C. Imp.]],$D107,Imput[[PERIODO Imp.]:[PERIODO Imp.]],CU$9)</f>
        <v>0</v>
      </c>
      <c r="CV107" s="516">
        <f>SUMIFS(Imput[[Importe Neto]:[Importe Neto]],Imput[[C. Imp.]:[C. Imp.]],$D107,Imput[[PERIODO Imp.]:[PERIODO Imp.]],CV$9)</f>
        <v>0</v>
      </c>
      <c r="CW107" s="516">
        <f>SUMIFS(Imput[[Importe Neto]:[Importe Neto]],Imput[[C. Imp.]:[C. Imp.]],$D107,Imput[[PERIODO Imp.]:[PERIODO Imp.]],CW$9)</f>
        <v>0</v>
      </c>
      <c r="CX107" s="516">
        <f>SUMIFS(Imput[[Importe Neto]:[Importe Neto]],Imput[[C. Imp.]:[C. Imp.]],$D107,Imput[[PERIODO Imp.]:[PERIODO Imp.]],CX$9)</f>
        <v>0</v>
      </c>
      <c r="CY107" s="516">
        <f>SUMIFS(Imput[[Importe Neto]:[Importe Neto]],Imput[[C. Imp.]:[C. Imp.]],$D107,Imput[[PERIODO Imp.]:[PERIODO Imp.]],CY$9)</f>
        <v>0</v>
      </c>
      <c r="CZ107" s="516">
        <f>SUMIFS(Imput[[Importe Neto]:[Importe Neto]],Imput[[C. Imp.]:[C. Imp.]],$D107,Imput[[PERIODO Imp.]:[PERIODO Imp.]],CZ$9)</f>
        <v>0</v>
      </c>
      <c r="DA107" s="516">
        <f>SUMIFS(Imput[[Importe Neto]:[Importe Neto]],Imput[[C. Imp.]:[C. Imp.]],$D107,Imput[[PERIODO Imp.]:[PERIODO Imp.]],DA$9)</f>
        <v>0</v>
      </c>
      <c r="DB107" s="516">
        <f>SUMIFS(Imput[[Importe Neto]:[Importe Neto]],Imput[[C. Imp.]:[C. Imp.]],$D107,Imput[[PERIODO Imp.]:[PERIODO Imp.]],DB$9)</f>
        <v>0</v>
      </c>
      <c r="DC107" s="516">
        <f>SUMIFS(Imput[[Importe Neto]:[Importe Neto]],Imput[[C. Imp.]:[C. Imp.]],$D107,Imput[[PERIODO Imp.]:[PERIODO Imp.]],DC$9)</f>
        <v>0</v>
      </c>
      <c r="DD107" s="516">
        <f>SUMIFS(Imput[[Importe Neto]:[Importe Neto]],Imput[[C. Imp.]:[C. Imp.]],$D107,Imput[[PERIODO Imp.]:[PERIODO Imp.]],DD$9)</f>
        <v>0</v>
      </c>
      <c r="DE107" s="516">
        <f>SUMIFS(Imput[[Importe Neto]:[Importe Neto]],Imput[[C. Imp.]:[C. Imp.]],$D107,Imput[[PERIODO Imp.]:[PERIODO Imp.]],DE$9)</f>
        <v>0</v>
      </c>
      <c r="DF107" s="516">
        <f>SUMIFS(Imput[[Importe Neto]:[Importe Neto]],Imput[[C. Imp.]:[C. Imp.]],$D107,Imput[[PERIODO Imp.]:[PERIODO Imp.]],DF$9)</f>
        <v>0</v>
      </c>
      <c r="DG107" s="516">
        <f>SUMIFS(Imput[[Importe Neto]:[Importe Neto]],Imput[[C. Imp.]:[C. Imp.]],$D107,Imput[[PERIODO Imp.]:[PERIODO Imp.]],DG$9)</f>
        <v>0</v>
      </c>
      <c r="DH107" s="616">
        <f>SUMIFS(Imput[[Importe Neto]:[Importe Neto]],Imput[[C. Imp.]:[C. Imp.]],$D107,Imput[[PERIODO Imp.]:[PERIODO Imp.]],DH$9)</f>
        <v>0</v>
      </c>
    </row>
    <row r="108" spans="1:112" hidden="1" outlineLevel="1" x14ac:dyDescent="0.3">
      <c r="A108" s="66" t="str">
        <f t="shared" si="22"/>
        <v/>
      </c>
      <c r="C108" s="527"/>
      <c r="D108" s="528" t="s">
        <v>2220</v>
      </c>
      <c r="E108" s="528"/>
      <c r="F108" s="534"/>
      <c r="G108" s="529"/>
      <c r="H108" s="531"/>
      <c r="I108" s="849" t="str">
        <f t="shared" si="23"/>
        <v/>
      </c>
      <c r="J108" s="850" t="str">
        <f t="shared" si="24"/>
        <v/>
      </c>
      <c r="K108" s="70"/>
      <c r="L108" s="853"/>
      <c r="M108" s="855"/>
      <c r="N108" s="855"/>
      <c r="O108" s="855"/>
      <c r="P108" s="855"/>
      <c r="Q108" s="855"/>
      <c r="R108" s="855"/>
      <c r="S108" s="855"/>
      <c r="T108" s="855"/>
      <c r="U108" s="855"/>
      <c r="V108" s="855"/>
      <c r="W108" s="855"/>
      <c r="X108" s="855"/>
      <c r="Y108" s="855"/>
      <c r="Z108" s="856"/>
      <c r="AA108" s="856"/>
      <c r="AB108" s="856"/>
      <c r="AC108" s="856"/>
      <c r="AD108" s="856"/>
      <c r="AE108" s="856"/>
      <c r="AF108" s="856"/>
      <c r="AG108" s="856"/>
      <c r="AH108" s="856"/>
      <c r="AI108" s="856"/>
      <c r="AJ108" s="856"/>
      <c r="AK108" s="856"/>
      <c r="AL108" s="856"/>
      <c r="AM108" s="856"/>
      <c r="AN108" s="856"/>
      <c r="AO108" s="856"/>
      <c r="AP108" s="856"/>
      <c r="AQ108" s="856"/>
      <c r="AR108" s="856"/>
      <c r="AS108" s="856"/>
      <c r="AT108" s="856"/>
      <c r="AU108" s="856"/>
      <c r="AV108" s="856"/>
      <c r="AW108" s="856"/>
      <c r="AX108" s="856"/>
      <c r="AY108" s="856"/>
      <c r="AZ108" s="856"/>
      <c r="BA108" s="856"/>
      <c r="BB108" s="856"/>
      <c r="BC108" s="856"/>
      <c r="BD108" s="856"/>
      <c r="BE108" s="856"/>
      <c r="BF108" s="856"/>
      <c r="BG108" s="857"/>
      <c r="BH108" s="590"/>
      <c r="BI108" s="68"/>
      <c r="BJ108" s="518">
        <f t="shared" si="25"/>
        <v>0</v>
      </c>
      <c r="BK108" s="517">
        <f t="shared" si="26"/>
        <v>0</v>
      </c>
      <c r="BL108" s="68"/>
      <c r="BM108" s="515">
        <f>SUMIFS(Imput[[Importe Neto]:[Importe Neto]],Imput[[C. Imp.]:[C. Imp.]],$D108,Imput[[PERIODO Imp.]:[PERIODO Imp.]],BM$9)</f>
        <v>0</v>
      </c>
      <c r="BN108" s="516">
        <f>SUMIFS(Imput[[Importe Neto]:[Importe Neto]],Imput[[C. Imp.]:[C. Imp.]],$D108,Imput[[PERIODO Imp.]:[PERIODO Imp.]],BN$9)</f>
        <v>0</v>
      </c>
      <c r="BO108" s="516">
        <f>SUMIFS(Imput[[Importe Neto]:[Importe Neto]],Imput[[C. Imp.]:[C. Imp.]],$D108,Imput[[PERIODO Imp.]:[PERIODO Imp.]],BO$9)</f>
        <v>0</v>
      </c>
      <c r="BP108" s="516">
        <f>SUMIFS(Imput[[Importe Neto]:[Importe Neto]],Imput[[C. Imp.]:[C. Imp.]],$D108,Imput[[PERIODO Imp.]:[PERIODO Imp.]],BP$9)</f>
        <v>0</v>
      </c>
      <c r="BQ108" s="516">
        <f>SUMIFS(Imput[[Importe Neto]:[Importe Neto]],Imput[[C. Imp.]:[C. Imp.]],$D108,Imput[[PERIODO Imp.]:[PERIODO Imp.]],BQ$9)</f>
        <v>0</v>
      </c>
      <c r="BR108" s="516">
        <f>SUMIFS(Imput[[Importe Neto]:[Importe Neto]],Imput[[C. Imp.]:[C. Imp.]],$D108,Imput[[PERIODO Imp.]:[PERIODO Imp.]],BR$9)</f>
        <v>0</v>
      </c>
      <c r="BS108" s="516">
        <f>SUMIFS(Imput[[Importe Neto]:[Importe Neto]],Imput[[C. Imp.]:[C. Imp.]],$D108,Imput[[PERIODO Imp.]:[PERIODO Imp.]],BS$9)</f>
        <v>0</v>
      </c>
      <c r="BT108" s="516">
        <f>SUMIFS(Imput[[Importe Neto]:[Importe Neto]],Imput[[C. Imp.]:[C. Imp.]],$D108,Imput[[PERIODO Imp.]:[PERIODO Imp.]],BT$9)</f>
        <v>0</v>
      </c>
      <c r="BU108" s="516">
        <f>SUMIFS(Imput[[Importe Neto]:[Importe Neto]],Imput[[C. Imp.]:[C. Imp.]],$D108,Imput[[PERIODO Imp.]:[PERIODO Imp.]],BU$9)</f>
        <v>0</v>
      </c>
      <c r="BV108" s="516">
        <f>SUMIFS(Imput[[Importe Neto]:[Importe Neto]],Imput[[C. Imp.]:[C. Imp.]],$D108,Imput[[PERIODO Imp.]:[PERIODO Imp.]],BV$9)</f>
        <v>0</v>
      </c>
      <c r="BW108" s="516">
        <f>SUMIFS(Imput[[Importe Neto]:[Importe Neto]],Imput[[C. Imp.]:[C. Imp.]],$D108,Imput[[PERIODO Imp.]:[PERIODO Imp.]],BW$9)</f>
        <v>0</v>
      </c>
      <c r="BX108" s="516">
        <f>SUMIFS(Imput[[Importe Neto]:[Importe Neto]],Imput[[C. Imp.]:[C. Imp.]],$D108,Imput[[PERIODO Imp.]:[PERIODO Imp.]],BX$9)</f>
        <v>0</v>
      </c>
      <c r="BY108" s="516">
        <f>SUMIFS(Imput[[Importe Neto]:[Importe Neto]],Imput[[C. Imp.]:[C. Imp.]],$D108,Imput[[PERIODO Imp.]:[PERIODO Imp.]],BY$9)</f>
        <v>0</v>
      </c>
      <c r="BZ108" s="516">
        <f>SUMIFS(Imput[[Importe Neto]:[Importe Neto]],Imput[[C. Imp.]:[C. Imp.]],$D108,Imput[[PERIODO Imp.]:[PERIODO Imp.]],BZ$9)</f>
        <v>0</v>
      </c>
      <c r="CA108" s="516">
        <f>SUMIFS(Imput[[Importe Neto]:[Importe Neto]],Imput[[C. Imp.]:[C. Imp.]],$D108,Imput[[PERIODO Imp.]:[PERIODO Imp.]],CA$9)</f>
        <v>0</v>
      </c>
      <c r="CB108" s="516">
        <f>SUMIFS(Imput[[Importe Neto]:[Importe Neto]],Imput[[C. Imp.]:[C. Imp.]],$D108,Imput[[PERIODO Imp.]:[PERIODO Imp.]],CB$9)</f>
        <v>0</v>
      </c>
      <c r="CC108" s="516">
        <f>SUMIFS(Imput[[Importe Neto]:[Importe Neto]],Imput[[C. Imp.]:[C. Imp.]],$D108,Imput[[PERIODO Imp.]:[PERIODO Imp.]],CC$9)</f>
        <v>0</v>
      </c>
      <c r="CD108" s="516">
        <f>SUMIFS(Imput[[Importe Neto]:[Importe Neto]],Imput[[C. Imp.]:[C. Imp.]],$D108,Imput[[PERIODO Imp.]:[PERIODO Imp.]],CD$9)</f>
        <v>0</v>
      </c>
      <c r="CE108" s="516">
        <f>SUMIFS(Imput[[Importe Neto]:[Importe Neto]],Imput[[C. Imp.]:[C. Imp.]],$D108,Imput[[PERIODO Imp.]:[PERIODO Imp.]],CE$9)</f>
        <v>0</v>
      </c>
      <c r="CF108" s="516">
        <f>SUMIFS(Imput[[Importe Neto]:[Importe Neto]],Imput[[C. Imp.]:[C. Imp.]],$D108,Imput[[PERIODO Imp.]:[PERIODO Imp.]],CF$9)</f>
        <v>0</v>
      </c>
      <c r="CG108" s="516">
        <f>SUMIFS(Imput[[Importe Neto]:[Importe Neto]],Imput[[C. Imp.]:[C. Imp.]],$D108,Imput[[PERIODO Imp.]:[PERIODO Imp.]],CG$9)</f>
        <v>0</v>
      </c>
      <c r="CH108" s="516">
        <f>SUMIFS(Imput[[Importe Neto]:[Importe Neto]],Imput[[C. Imp.]:[C. Imp.]],$D108,Imput[[PERIODO Imp.]:[PERIODO Imp.]],CH$9)</f>
        <v>0</v>
      </c>
      <c r="CI108" s="516">
        <f>SUMIFS(Imput[[Importe Neto]:[Importe Neto]],Imput[[C. Imp.]:[C. Imp.]],$D108,Imput[[PERIODO Imp.]:[PERIODO Imp.]],CI$9)</f>
        <v>0</v>
      </c>
      <c r="CJ108" s="516">
        <f>SUMIFS(Imput[[Importe Neto]:[Importe Neto]],Imput[[C. Imp.]:[C. Imp.]],$D108,Imput[[PERIODO Imp.]:[PERIODO Imp.]],CJ$9)</f>
        <v>0</v>
      </c>
      <c r="CK108" s="516">
        <f>SUMIFS(Imput[[Importe Neto]:[Importe Neto]],Imput[[C. Imp.]:[C. Imp.]],$D108,Imput[[PERIODO Imp.]:[PERIODO Imp.]],CK$9)</f>
        <v>0</v>
      </c>
      <c r="CL108" s="516">
        <f>SUMIFS(Imput[[Importe Neto]:[Importe Neto]],Imput[[C. Imp.]:[C. Imp.]],$D108,Imput[[PERIODO Imp.]:[PERIODO Imp.]],CL$9)</f>
        <v>0</v>
      </c>
      <c r="CM108" s="516">
        <f>SUMIFS(Imput[[Importe Neto]:[Importe Neto]],Imput[[C. Imp.]:[C. Imp.]],$D108,Imput[[PERIODO Imp.]:[PERIODO Imp.]],CM$9)</f>
        <v>0</v>
      </c>
      <c r="CN108" s="516">
        <f>SUMIFS(Imput[[Importe Neto]:[Importe Neto]],Imput[[C. Imp.]:[C. Imp.]],$D108,Imput[[PERIODO Imp.]:[PERIODO Imp.]],CN$9)</f>
        <v>0</v>
      </c>
      <c r="CO108" s="516">
        <f>SUMIFS(Imput[[Importe Neto]:[Importe Neto]],Imput[[C. Imp.]:[C. Imp.]],$D108,Imput[[PERIODO Imp.]:[PERIODO Imp.]],CO$9)</f>
        <v>0</v>
      </c>
      <c r="CP108" s="516">
        <f>SUMIFS(Imput[[Importe Neto]:[Importe Neto]],Imput[[C. Imp.]:[C. Imp.]],$D108,Imput[[PERIODO Imp.]:[PERIODO Imp.]],CP$9)</f>
        <v>0</v>
      </c>
      <c r="CQ108" s="516">
        <f>SUMIFS(Imput[[Importe Neto]:[Importe Neto]],Imput[[C. Imp.]:[C. Imp.]],$D108,Imput[[PERIODO Imp.]:[PERIODO Imp.]],CQ$9)</f>
        <v>0</v>
      </c>
      <c r="CR108" s="516">
        <f>SUMIFS(Imput[[Importe Neto]:[Importe Neto]],Imput[[C. Imp.]:[C. Imp.]],$D108,Imput[[PERIODO Imp.]:[PERIODO Imp.]],CR$9)</f>
        <v>0</v>
      </c>
      <c r="CS108" s="516">
        <f>SUMIFS(Imput[[Importe Neto]:[Importe Neto]],Imput[[C. Imp.]:[C. Imp.]],$D108,Imput[[PERIODO Imp.]:[PERIODO Imp.]],CS$9)</f>
        <v>0</v>
      </c>
      <c r="CT108" s="516">
        <f>SUMIFS(Imput[[Importe Neto]:[Importe Neto]],Imput[[C. Imp.]:[C. Imp.]],$D108,Imput[[PERIODO Imp.]:[PERIODO Imp.]],CT$9)</f>
        <v>0</v>
      </c>
      <c r="CU108" s="516">
        <f>SUMIFS(Imput[[Importe Neto]:[Importe Neto]],Imput[[C. Imp.]:[C. Imp.]],$D108,Imput[[PERIODO Imp.]:[PERIODO Imp.]],CU$9)</f>
        <v>0</v>
      </c>
      <c r="CV108" s="516">
        <f>SUMIFS(Imput[[Importe Neto]:[Importe Neto]],Imput[[C. Imp.]:[C. Imp.]],$D108,Imput[[PERIODO Imp.]:[PERIODO Imp.]],CV$9)</f>
        <v>0</v>
      </c>
      <c r="CW108" s="516">
        <f>SUMIFS(Imput[[Importe Neto]:[Importe Neto]],Imput[[C. Imp.]:[C. Imp.]],$D108,Imput[[PERIODO Imp.]:[PERIODO Imp.]],CW$9)</f>
        <v>0</v>
      </c>
      <c r="CX108" s="516">
        <f>SUMIFS(Imput[[Importe Neto]:[Importe Neto]],Imput[[C. Imp.]:[C. Imp.]],$D108,Imput[[PERIODO Imp.]:[PERIODO Imp.]],CX$9)</f>
        <v>0</v>
      </c>
      <c r="CY108" s="516">
        <f>SUMIFS(Imput[[Importe Neto]:[Importe Neto]],Imput[[C. Imp.]:[C. Imp.]],$D108,Imput[[PERIODO Imp.]:[PERIODO Imp.]],CY$9)</f>
        <v>0</v>
      </c>
      <c r="CZ108" s="516">
        <f>SUMIFS(Imput[[Importe Neto]:[Importe Neto]],Imput[[C. Imp.]:[C. Imp.]],$D108,Imput[[PERIODO Imp.]:[PERIODO Imp.]],CZ$9)</f>
        <v>0</v>
      </c>
      <c r="DA108" s="516">
        <f>SUMIFS(Imput[[Importe Neto]:[Importe Neto]],Imput[[C. Imp.]:[C. Imp.]],$D108,Imput[[PERIODO Imp.]:[PERIODO Imp.]],DA$9)</f>
        <v>0</v>
      </c>
      <c r="DB108" s="516">
        <f>SUMIFS(Imput[[Importe Neto]:[Importe Neto]],Imput[[C. Imp.]:[C. Imp.]],$D108,Imput[[PERIODO Imp.]:[PERIODO Imp.]],DB$9)</f>
        <v>0</v>
      </c>
      <c r="DC108" s="516">
        <f>SUMIFS(Imput[[Importe Neto]:[Importe Neto]],Imput[[C. Imp.]:[C. Imp.]],$D108,Imput[[PERIODO Imp.]:[PERIODO Imp.]],DC$9)</f>
        <v>0</v>
      </c>
      <c r="DD108" s="516">
        <f>SUMIFS(Imput[[Importe Neto]:[Importe Neto]],Imput[[C. Imp.]:[C. Imp.]],$D108,Imput[[PERIODO Imp.]:[PERIODO Imp.]],DD$9)</f>
        <v>0</v>
      </c>
      <c r="DE108" s="516">
        <f>SUMIFS(Imput[[Importe Neto]:[Importe Neto]],Imput[[C. Imp.]:[C. Imp.]],$D108,Imput[[PERIODO Imp.]:[PERIODO Imp.]],DE$9)</f>
        <v>0</v>
      </c>
      <c r="DF108" s="516">
        <f>SUMIFS(Imput[[Importe Neto]:[Importe Neto]],Imput[[C. Imp.]:[C. Imp.]],$D108,Imput[[PERIODO Imp.]:[PERIODO Imp.]],DF$9)</f>
        <v>0</v>
      </c>
      <c r="DG108" s="516">
        <f>SUMIFS(Imput[[Importe Neto]:[Importe Neto]],Imput[[C. Imp.]:[C. Imp.]],$D108,Imput[[PERIODO Imp.]:[PERIODO Imp.]],DG$9)</f>
        <v>0</v>
      </c>
      <c r="DH108" s="616">
        <f>SUMIFS(Imput[[Importe Neto]:[Importe Neto]],Imput[[C. Imp.]:[C. Imp.]],$D108,Imput[[PERIODO Imp.]:[PERIODO Imp.]],DH$9)</f>
        <v>0</v>
      </c>
    </row>
    <row r="109" spans="1:112" hidden="1" outlineLevel="1" x14ac:dyDescent="0.3">
      <c r="A109" s="66" t="str">
        <f t="shared" si="22"/>
        <v/>
      </c>
      <c r="C109" s="527"/>
      <c r="D109" s="528" t="s">
        <v>2221</v>
      </c>
      <c r="E109" s="528"/>
      <c r="F109" s="534"/>
      <c r="G109" s="529"/>
      <c r="H109" s="531"/>
      <c r="I109" s="849" t="str">
        <f t="shared" si="23"/>
        <v/>
      </c>
      <c r="J109" s="850" t="str">
        <f t="shared" si="24"/>
        <v/>
      </c>
      <c r="K109" s="111"/>
      <c r="L109" s="853"/>
      <c r="M109" s="855"/>
      <c r="N109" s="855"/>
      <c r="O109" s="855"/>
      <c r="P109" s="855"/>
      <c r="Q109" s="855"/>
      <c r="R109" s="855"/>
      <c r="S109" s="855"/>
      <c r="T109" s="855"/>
      <c r="U109" s="855"/>
      <c r="V109" s="855"/>
      <c r="W109" s="855"/>
      <c r="X109" s="855"/>
      <c r="Y109" s="855"/>
      <c r="Z109" s="856"/>
      <c r="AA109" s="856"/>
      <c r="AB109" s="856"/>
      <c r="AC109" s="856"/>
      <c r="AD109" s="856"/>
      <c r="AE109" s="856"/>
      <c r="AF109" s="856"/>
      <c r="AG109" s="856"/>
      <c r="AH109" s="856"/>
      <c r="AI109" s="856"/>
      <c r="AJ109" s="856"/>
      <c r="AK109" s="856"/>
      <c r="AL109" s="856"/>
      <c r="AM109" s="856"/>
      <c r="AN109" s="856"/>
      <c r="AO109" s="856"/>
      <c r="AP109" s="856"/>
      <c r="AQ109" s="856"/>
      <c r="AR109" s="856"/>
      <c r="AS109" s="856"/>
      <c r="AT109" s="856"/>
      <c r="AU109" s="856"/>
      <c r="AV109" s="856"/>
      <c r="AW109" s="856"/>
      <c r="AX109" s="856"/>
      <c r="AY109" s="856"/>
      <c r="AZ109" s="856"/>
      <c r="BA109" s="856"/>
      <c r="BB109" s="856"/>
      <c r="BC109" s="856"/>
      <c r="BD109" s="856"/>
      <c r="BE109" s="856"/>
      <c r="BF109" s="856"/>
      <c r="BG109" s="857"/>
      <c r="BH109" s="590"/>
      <c r="BI109" s="68"/>
      <c r="BJ109" s="518">
        <f t="shared" si="25"/>
        <v>0</v>
      </c>
      <c r="BK109" s="517">
        <f t="shared" si="26"/>
        <v>0</v>
      </c>
      <c r="BL109" s="68"/>
      <c r="BM109" s="515">
        <f>SUMIFS(Imput[[Importe Neto]:[Importe Neto]],Imput[[C. Imp.]:[C. Imp.]],$D109,Imput[[PERIODO Imp.]:[PERIODO Imp.]],BM$9)</f>
        <v>0</v>
      </c>
      <c r="BN109" s="516">
        <f>SUMIFS(Imput[[Importe Neto]:[Importe Neto]],Imput[[C. Imp.]:[C. Imp.]],$D109,Imput[[PERIODO Imp.]:[PERIODO Imp.]],BN$9)</f>
        <v>0</v>
      </c>
      <c r="BO109" s="516">
        <f>SUMIFS(Imput[[Importe Neto]:[Importe Neto]],Imput[[C. Imp.]:[C. Imp.]],$D109,Imput[[PERIODO Imp.]:[PERIODO Imp.]],BO$9)</f>
        <v>0</v>
      </c>
      <c r="BP109" s="516">
        <f>SUMIFS(Imput[[Importe Neto]:[Importe Neto]],Imput[[C. Imp.]:[C. Imp.]],$D109,Imput[[PERIODO Imp.]:[PERIODO Imp.]],BP$9)</f>
        <v>0</v>
      </c>
      <c r="BQ109" s="516">
        <f>SUMIFS(Imput[[Importe Neto]:[Importe Neto]],Imput[[C. Imp.]:[C. Imp.]],$D109,Imput[[PERIODO Imp.]:[PERIODO Imp.]],BQ$9)</f>
        <v>0</v>
      </c>
      <c r="BR109" s="516">
        <f>SUMIFS(Imput[[Importe Neto]:[Importe Neto]],Imput[[C. Imp.]:[C. Imp.]],$D109,Imput[[PERIODO Imp.]:[PERIODO Imp.]],BR$9)</f>
        <v>0</v>
      </c>
      <c r="BS109" s="516">
        <f>SUMIFS(Imput[[Importe Neto]:[Importe Neto]],Imput[[C. Imp.]:[C. Imp.]],$D109,Imput[[PERIODO Imp.]:[PERIODO Imp.]],BS$9)</f>
        <v>0</v>
      </c>
      <c r="BT109" s="516">
        <f>SUMIFS(Imput[[Importe Neto]:[Importe Neto]],Imput[[C. Imp.]:[C. Imp.]],$D109,Imput[[PERIODO Imp.]:[PERIODO Imp.]],BT$9)</f>
        <v>0</v>
      </c>
      <c r="BU109" s="516">
        <f>SUMIFS(Imput[[Importe Neto]:[Importe Neto]],Imput[[C. Imp.]:[C. Imp.]],$D109,Imput[[PERIODO Imp.]:[PERIODO Imp.]],BU$9)</f>
        <v>0</v>
      </c>
      <c r="BV109" s="516">
        <f>SUMIFS(Imput[[Importe Neto]:[Importe Neto]],Imput[[C. Imp.]:[C. Imp.]],$D109,Imput[[PERIODO Imp.]:[PERIODO Imp.]],BV$9)</f>
        <v>0</v>
      </c>
      <c r="BW109" s="516">
        <f>SUMIFS(Imput[[Importe Neto]:[Importe Neto]],Imput[[C. Imp.]:[C. Imp.]],$D109,Imput[[PERIODO Imp.]:[PERIODO Imp.]],BW$9)</f>
        <v>0</v>
      </c>
      <c r="BX109" s="516">
        <f>SUMIFS(Imput[[Importe Neto]:[Importe Neto]],Imput[[C. Imp.]:[C. Imp.]],$D109,Imput[[PERIODO Imp.]:[PERIODO Imp.]],BX$9)</f>
        <v>0</v>
      </c>
      <c r="BY109" s="516">
        <f>SUMIFS(Imput[[Importe Neto]:[Importe Neto]],Imput[[C. Imp.]:[C. Imp.]],$D109,Imput[[PERIODO Imp.]:[PERIODO Imp.]],BY$9)</f>
        <v>0</v>
      </c>
      <c r="BZ109" s="516">
        <f>SUMIFS(Imput[[Importe Neto]:[Importe Neto]],Imput[[C. Imp.]:[C. Imp.]],$D109,Imput[[PERIODO Imp.]:[PERIODO Imp.]],BZ$9)</f>
        <v>0</v>
      </c>
      <c r="CA109" s="516">
        <f>SUMIFS(Imput[[Importe Neto]:[Importe Neto]],Imput[[C. Imp.]:[C. Imp.]],$D109,Imput[[PERIODO Imp.]:[PERIODO Imp.]],CA$9)</f>
        <v>0</v>
      </c>
      <c r="CB109" s="516">
        <f>SUMIFS(Imput[[Importe Neto]:[Importe Neto]],Imput[[C. Imp.]:[C. Imp.]],$D109,Imput[[PERIODO Imp.]:[PERIODO Imp.]],CB$9)</f>
        <v>0</v>
      </c>
      <c r="CC109" s="516">
        <f>SUMIFS(Imput[[Importe Neto]:[Importe Neto]],Imput[[C. Imp.]:[C. Imp.]],$D109,Imput[[PERIODO Imp.]:[PERIODO Imp.]],CC$9)</f>
        <v>0</v>
      </c>
      <c r="CD109" s="516">
        <f>SUMIFS(Imput[[Importe Neto]:[Importe Neto]],Imput[[C. Imp.]:[C. Imp.]],$D109,Imput[[PERIODO Imp.]:[PERIODO Imp.]],CD$9)</f>
        <v>0</v>
      </c>
      <c r="CE109" s="516">
        <f>SUMIFS(Imput[[Importe Neto]:[Importe Neto]],Imput[[C. Imp.]:[C. Imp.]],$D109,Imput[[PERIODO Imp.]:[PERIODO Imp.]],CE$9)</f>
        <v>0</v>
      </c>
      <c r="CF109" s="516">
        <f>SUMIFS(Imput[[Importe Neto]:[Importe Neto]],Imput[[C. Imp.]:[C. Imp.]],$D109,Imput[[PERIODO Imp.]:[PERIODO Imp.]],CF$9)</f>
        <v>0</v>
      </c>
      <c r="CG109" s="516">
        <f>SUMIFS(Imput[[Importe Neto]:[Importe Neto]],Imput[[C. Imp.]:[C. Imp.]],$D109,Imput[[PERIODO Imp.]:[PERIODO Imp.]],CG$9)</f>
        <v>0</v>
      </c>
      <c r="CH109" s="516">
        <f>SUMIFS(Imput[[Importe Neto]:[Importe Neto]],Imput[[C. Imp.]:[C. Imp.]],$D109,Imput[[PERIODO Imp.]:[PERIODO Imp.]],CH$9)</f>
        <v>0</v>
      </c>
      <c r="CI109" s="516">
        <f>SUMIFS(Imput[[Importe Neto]:[Importe Neto]],Imput[[C. Imp.]:[C. Imp.]],$D109,Imput[[PERIODO Imp.]:[PERIODO Imp.]],CI$9)</f>
        <v>0</v>
      </c>
      <c r="CJ109" s="516">
        <f>SUMIFS(Imput[[Importe Neto]:[Importe Neto]],Imput[[C. Imp.]:[C. Imp.]],$D109,Imput[[PERIODO Imp.]:[PERIODO Imp.]],CJ$9)</f>
        <v>0</v>
      </c>
      <c r="CK109" s="516">
        <f>SUMIFS(Imput[[Importe Neto]:[Importe Neto]],Imput[[C. Imp.]:[C. Imp.]],$D109,Imput[[PERIODO Imp.]:[PERIODO Imp.]],CK$9)</f>
        <v>0</v>
      </c>
      <c r="CL109" s="516">
        <f>SUMIFS(Imput[[Importe Neto]:[Importe Neto]],Imput[[C. Imp.]:[C. Imp.]],$D109,Imput[[PERIODO Imp.]:[PERIODO Imp.]],CL$9)</f>
        <v>0</v>
      </c>
      <c r="CM109" s="516">
        <f>SUMIFS(Imput[[Importe Neto]:[Importe Neto]],Imput[[C. Imp.]:[C. Imp.]],$D109,Imput[[PERIODO Imp.]:[PERIODO Imp.]],CM$9)</f>
        <v>0</v>
      </c>
      <c r="CN109" s="516">
        <f>SUMIFS(Imput[[Importe Neto]:[Importe Neto]],Imput[[C. Imp.]:[C. Imp.]],$D109,Imput[[PERIODO Imp.]:[PERIODO Imp.]],CN$9)</f>
        <v>0</v>
      </c>
      <c r="CO109" s="516">
        <f>SUMIFS(Imput[[Importe Neto]:[Importe Neto]],Imput[[C. Imp.]:[C. Imp.]],$D109,Imput[[PERIODO Imp.]:[PERIODO Imp.]],CO$9)</f>
        <v>0</v>
      </c>
      <c r="CP109" s="516">
        <f>SUMIFS(Imput[[Importe Neto]:[Importe Neto]],Imput[[C. Imp.]:[C. Imp.]],$D109,Imput[[PERIODO Imp.]:[PERIODO Imp.]],CP$9)</f>
        <v>0</v>
      </c>
      <c r="CQ109" s="516">
        <f>SUMIFS(Imput[[Importe Neto]:[Importe Neto]],Imput[[C. Imp.]:[C. Imp.]],$D109,Imput[[PERIODO Imp.]:[PERIODO Imp.]],CQ$9)</f>
        <v>0</v>
      </c>
      <c r="CR109" s="516">
        <f>SUMIFS(Imput[[Importe Neto]:[Importe Neto]],Imput[[C. Imp.]:[C. Imp.]],$D109,Imput[[PERIODO Imp.]:[PERIODO Imp.]],CR$9)</f>
        <v>0</v>
      </c>
      <c r="CS109" s="516">
        <f>SUMIFS(Imput[[Importe Neto]:[Importe Neto]],Imput[[C. Imp.]:[C. Imp.]],$D109,Imput[[PERIODO Imp.]:[PERIODO Imp.]],CS$9)</f>
        <v>0</v>
      </c>
      <c r="CT109" s="516">
        <f>SUMIFS(Imput[[Importe Neto]:[Importe Neto]],Imput[[C. Imp.]:[C. Imp.]],$D109,Imput[[PERIODO Imp.]:[PERIODO Imp.]],CT$9)</f>
        <v>0</v>
      </c>
      <c r="CU109" s="516">
        <f>SUMIFS(Imput[[Importe Neto]:[Importe Neto]],Imput[[C. Imp.]:[C. Imp.]],$D109,Imput[[PERIODO Imp.]:[PERIODO Imp.]],CU$9)</f>
        <v>0</v>
      </c>
      <c r="CV109" s="516">
        <f>SUMIFS(Imput[[Importe Neto]:[Importe Neto]],Imput[[C. Imp.]:[C. Imp.]],$D109,Imput[[PERIODO Imp.]:[PERIODO Imp.]],CV$9)</f>
        <v>0</v>
      </c>
      <c r="CW109" s="516">
        <f>SUMIFS(Imput[[Importe Neto]:[Importe Neto]],Imput[[C. Imp.]:[C. Imp.]],$D109,Imput[[PERIODO Imp.]:[PERIODO Imp.]],CW$9)</f>
        <v>0</v>
      </c>
      <c r="CX109" s="516">
        <f>SUMIFS(Imput[[Importe Neto]:[Importe Neto]],Imput[[C. Imp.]:[C. Imp.]],$D109,Imput[[PERIODO Imp.]:[PERIODO Imp.]],CX$9)</f>
        <v>0</v>
      </c>
      <c r="CY109" s="516">
        <f>SUMIFS(Imput[[Importe Neto]:[Importe Neto]],Imput[[C. Imp.]:[C. Imp.]],$D109,Imput[[PERIODO Imp.]:[PERIODO Imp.]],CY$9)</f>
        <v>0</v>
      </c>
      <c r="CZ109" s="516">
        <f>SUMIFS(Imput[[Importe Neto]:[Importe Neto]],Imput[[C. Imp.]:[C. Imp.]],$D109,Imput[[PERIODO Imp.]:[PERIODO Imp.]],CZ$9)</f>
        <v>0</v>
      </c>
      <c r="DA109" s="516">
        <f>SUMIFS(Imput[[Importe Neto]:[Importe Neto]],Imput[[C. Imp.]:[C. Imp.]],$D109,Imput[[PERIODO Imp.]:[PERIODO Imp.]],DA$9)</f>
        <v>0</v>
      </c>
      <c r="DB109" s="516">
        <f>SUMIFS(Imput[[Importe Neto]:[Importe Neto]],Imput[[C. Imp.]:[C. Imp.]],$D109,Imput[[PERIODO Imp.]:[PERIODO Imp.]],DB$9)</f>
        <v>0</v>
      </c>
      <c r="DC109" s="516">
        <f>SUMIFS(Imput[[Importe Neto]:[Importe Neto]],Imput[[C. Imp.]:[C. Imp.]],$D109,Imput[[PERIODO Imp.]:[PERIODO Imp.]],DC$9)</f>
        <v>0</v>
      </c>
      <c r="DD109" s="516">
        <f>SUMIFS(Imput[[Importe Neto]:[Importe Neto]],Imput[[C. Imp.]:[C. Imp.]],$D109,Imput[[PERIODO Imp.]:[PERIODO Imp.]],DD$9)</f>
        <v>0</v>
      </c>
      <c r="DE109" s="516">
        <f>SUMIFS(Imput[[Importe Neto]:[Importe Neto]],Imput[[C. Imp.]:[C. Imp.]],$D109,Imput[[PERIODO Imp.]:[PERIODO Imp.]],DE$9)</f>
        <v>0</v>
      </c>
      <c r="DF109" s="516">
        <f>SUMIFS(Imput[[Importe Neto]:[Importe Neto]],Imput[[C. Imp.]:[C. Imp.]],$D109,Imput[[PERIODO Imp.]:[PERIODO Imp.]],DF$9)</f>
        <v>0</v>
      </c>
      <c r="DG109" s="516">
        <f>SUMIFS(Imput[[Importe Neto]:[Importe Neto]],Imput[[C. Imp.]:[C. Imp.]],$D109,Imput[[PERIODO Imp.]:[PERIODO Imp.]],DG$9)</f>
        <v>0</v>
      </c>
      <c r="DH109" s="616">
        <f>SUMIFS(Imput[[Importe Neto]:[Importe Neto]],Imput[[C. Imp.]:[C. Imp.]],$D109,Imput[[PERIODO Imp.]:[PERIODO Imp.]],DH$9)</f>
        <v>0</v>
      </c>
    </row>
    <row r="110" spans="1:112" hidden="1" outlineLevel="1" x14ac:dyDescent="0.3">
      <c r="A110" s="66" t="str">
        <f t="shared" si="22"/>
        <v/>
      </c>
      <c r="C110" s="527"/>
      <c r="D110" s="528" t="s">
        <v>2222</v>
      </c>
      <c r="E110" s="536"/>
      <c r="F110" s="534"/>
      <c r="G110" s="529"/>
      <c r="H110" s="531"/>
      <c r="I110" s="849" t="str">
        <f t="shared" si="23"/>
        <v/>
      </c>
      <c r="J110" s="850" t="str">
        <f t="shared" si="24"/>
        <v/>
      </c>
      <c r="K110" s="70"/>
      <c r="L110" s="853"/>
      <c r="M110" s="855"/>
      <c r="N110" s="855"/>
      <c r="O110" s="855"/>
      <c r="P110" s="855"/>
      <c r="Q110" s="855"/>
      <c r="R110" s="855"/>
      <c r="S110" s="855"/>
      <c r="T110" s="855"/>
      <c r="U110" s="855"/>
      <c r="V110" s="855"/>
      <c r="W110" s="855"/>
      <c r="X110" s="855"/>
      <c r="Y110" s="855"/>
      <c r="Z110" s="856"/>
      <c r="AA110" s="856"/>
      <c r="AB110" s="856"/>
      <c r="AC110" s="856"/>
      <c r="AD110" s="856"/>
      <c r="AE110" s="856"/>
      <c r="AF110" s="856"/>
      <c r="AG110" s="856"/>
      <c r="AH110" s="856"/>
      <c r="AI110" s="856"/>
      <c r="AJ110" s="856"/>
      <c r="AK110" s="856"/>
      <c r="AL110" s="856"/>
      <c r="AM110" s="856"/>
      <c r="AN110" s="856"/>
      <c r="AO110" s="856"/>
      <c r="AP110" s="856"/>
      <c r="AQ110" s="856"/>
      <c r="AR110" s="856"/>
      <c r="AS110" s="856"/>
      <c r="AT110" s="856"/>
      <c r="AU110" s="856"/>
      <c r="AV110" s="856"/>
      <c r="AW110" s="856"/>
      <c r="AX110" s="856"/>
      <c r="AY110" s="856"/>
      <c r="AZ110" s="856"/>
      <c r="BA110" s="856"/>
      <c r="BB110" s="856"/>
      <c r="BC110" s="856"/>
      <c r="BD110" s="856"/>
      <c r="BE110" s="856"/>
      <c r="BF110" s="856"/>
      <c r="BG110" s="857"/>
      <c r="BH110" s="590"/>
      <c r="BI110" s="70"/>
      <c r="BJ110" s="518">
        <f t="shared" si="25"/>
        <v>0</v>
      </c>
      <c r="BK110" s="517">
        <f t="shared" si="26"/>
        <v>0</v>
      </c>
      <c r="BL110" s="68"/>
      <c r="BM110" s="515">
        <f>SUMIFS(Imput[[Importe Neto]:[Importe Neto]],Imput[[C. Imp.]:[C. Imp.]],$D110,Imput[[PERIODO Imp.]:[PERIODO Imp.]],BM$9)</f>
        <v>0</v>
      </c>
      <c r="BN110" s="516">
        <f>SUMIFS(Imput[[Importe Neto]:[Importe Neto]],Imput[[C. Imp.]:[C. Imp.]],$D110,Imput[[PERIODO Imp.]:[PERIODO Imp.]],BN$9)</f>
        <v>0</v>
      </c>
      <c r="BO110" s="516">
        <f>SUMIFS(Imput[[Importe Neto]:[Importe Neto]],Imput[[C. Imp.]:[C. Imp.]],$D110,Imput[[PERIODO Imp.]:[PERIODO Imp.]],BO$9)</f>
        <v>0</v>
      </c>
      <c r="BP110" s="516">
        <f>SUMIFS(Imput[[Importe Neto]:[Importe Neto]],Imput[[C. Imp.]:[C. Imp.]],$D110,Imput[[PERIODO Imp.]:[PERIODO Imp.]],BP$9)</f>
        <v>0</v>
      </c>
      <c r="BQ110" s="516">
        <f>SUMIFS(Imput[[Importe Neto]:[Importe Neto]],Imput[[C. Imp.]:[C. Imp.]],$D110,Imput[[PERIODO Imp.]:[PERIODO Imp.]],BQ$9)</f>
        <v>0</v>
      </c>
      <c r="BR110" s="516">
        <f>SUMIFS(Imput[[Importe Neto]:[Importe Neto]],Imput[[C. Imp.]:[C. Imp.]],$D110,Imput[[PERIODO Imp.]:[PERIODO Imp.]],BR$9)</f>
        <v>0</v>
      </c>
      <c r="BS110" s="516">
        <f>SUMIFS(Imput[[Importe Neto]:[Importe Neto]],Imput[[C. Imp.]:[C. Imp.]],$D110,Imput[[PERIODO Imp.]:[PERIODO Imp.]],BS$9)</f>
        <v>0</v>
      </c>
      <c r="BT110" s="516">
        <f>SUMIFS(Imput[[Importe Neto]:[Importe Neto]],Imput[[C. Imp.]:[C. Imp.]],$D110,Imput[[PERIODO Imp.]:[PERIODO Imp.]],BT$9)</f>
        <v>0</v>
      </c>
      <c r="BU110" s="516">
        <f>SUMIFS(Imput[[Importe Neto]:[Importe Neto]],Imput[[C. Imp.]:[C. Imp.]],$D110,Imput[[PERIODO Imp.]:[PERIODO Imp.]],BU$9)</f>
        <v>0</v>
      </c>
      <c r="BV110" s="516">
        <f>SUMIFS(Imput[[Importe Neto]:[Importe Neto]],Imput[[C. Imp.]:[C. Imp.]],$D110,Imput[[PERIODO Imp.]:[PERIODO Imp.]],BV$9)</f>
        <v>0</v>
      </c>
      <c r="BW110" s="516">
        <f>SUMIFS(Imput[[Importe Neto]:[Importe Neto]],Imput[[C. Imp.]:[C. Imp.]],$D110,Imput[[PERIODO Imp.]:[PERIODO Imp.]],BW$9)</f>
        <v>0</v>
      </c>
      <c r="BX110" s="516">
        <f>SUMIFS(Imput[[Importe Neto]:[Importe Neto]],Imput[[C. Imp.]:[C. Imp.]],$D110,Imput[[PERIODO Imp.]:[PERIODO Imp.]],BX$9)</f>
        <v>0</v>
      </c>
      <c r="BY110" s="516">
        <f>SUMIFS(Imput[[Importe Neto]:[Importe Neto]],Imput[[C. Imp.]:[C. Imp.]],$D110,Imput[[PERIODO Imp.]:[PERIODO Imp.]],BY$9)</f>
        <v>0</v>
      </c>
      <c r="BZ110" s="516">
        <f>SUMIFS(Imput[[Importe Neto]:[Importe Neto]],Imput[[C. Imp.]:[C. Imp.]],$D110,Imput[[PERIODO Imp.]:[PERIODO Imp.]],BZ$9)</f>
        <v>0</v>
      </c>
      <c r="CA110" s="516">
        <f>SUMIFS(Imput[[Importe Neto]:[Importe Neto]],Imput[[C. Imp.]:[C. Imp.]],$D110,Imput[[PERIODO Imp.]:[PERIODO Imp.]],CA$9)</f>
        <v>0</v>
      </c>
      <c r="CB110" s="516">
        <f>SUMIFS(Imput[[Importe Neto]:[Importe Neto]],Imput[[C. Imp.]:[C. Imp.]],$D110,Imput[[PERIODO Imp.]:[PERIODO Imp.]],CB$9)</f>
        <v>0</v>
      </c>
      <c r="CC110" s="516">
        <f>SUMIFS(Imput[[Importe Neto]:[Importe Neto]],Imput[[C. Imp.]:[C. Imp.]],$D110,Imput[[PERIODO Imp.]:[PERIODO Imp.]],CC$9)</f>
        <v>0</v>
      </c>
      <c r="CD110" s="516">
        <f>SUMIFS(Imput[[Importe Neto]:[Importe Neto]],Imput[[C. Imp.]:[C. Imp.]],$D110,Imput[[PERIODO Imp.]:[PERIODO Imp.]],CD$9)</f>
        <v>0</v>
      </c>
      <c r="CE110" s="516">
        <f>SUMIFS(Imput[[Importe Neto]:[Importe Neto]],Imput[[C. Imp.]:[C. Imp.]],$D110,Imput[[PERIODO Imp.]:[PERIODO Imp.]],CE$9)</f>
        <v>0</v>
      </c>
      <c r="CF110" s="516">
        <f>SUMIFS(Imput[[Importe Neto]:[Importe Neto]],Imput[[C. Imp.]:[C. Imp.]],$D110,Imput[[PERIODO Imp.]:[PERIODO Imp.]],CF$9)</f>
        <v>0</v>
      </c>
      <c r="CG110" s="516">
        <f>SUMIFS(Imput[[Importe Neto]:[Importe Neto]],Imput[[C. Imp.]:[C. Imp.]],$D110,Imput[[PERIODO Imp.]:[PERIODO Imp.]],CG$9)</f>
        <v>0</v>
      </c>
      <c r="CH110" s="516">
        <f>SUMIFS(Imput[[Importe Neto]:[Importe Neto]],Imput[[C. Imp.]:[C. Imp.]],$D110,Imput[[PERIODO Imp.]:[PERIODO Imp.]],CH$9)</f>
        <v>0</v>
      </c>
      <c r="CI110" s="516">
        <f>SUMIFS(Imput[[Importe Neto]:[Importe Neto]],Imput[[C. Imp.]:[C. Imp.]],$D110,Imput[[PERIODO Imp.]:[PERIODO Imp.]],CI$9)</f>
        <v>0</v>
      </c>
      <c r="CJ110" s="516">
        <f>SUMIFS(Imput[[Importe Neto]:[Importe Neto]],Imput[[C. Imp.]:[C. Imp.]],$D110,Imput[[PERIODO Imp.]:[PERIODO Imp.]],CJ$9)</f>
        <v>0</v>
      </c>
      <c r="CK110" s="516">
        <f>SUMIFS(Imput[[Importe Neto]:[Importe Neto]],Imput[[C. Imp.]:[C. Imp.]],$D110,Imput[[PERIODO Imp.]:[PERIODO Imp.]],CK$9)</f>
        <v>0</v>
      </c>
      <c r="CL110" s="516">
        <f>SUMIFS(Imput[[Importe Neto]:[Importe Neto]],Imput[[C. Imp.]:[C. Imp.]],$D110,Imput[[PERIODO Imp.]:[PERIODO Imp.]],CL$9)</f>
        <v>0</v>
      </c>
      <c r="CM110" s="516">
        <f>SUMIFS(Imput[[Importe Neto]:[Importe Neto]],Imput[[C. Imp.]:[C. Imp.]],$D110,Imput[[PERIODO Imp.]:[PERIODO Imp.]],CM$9)</f>
        <v>0</v>
      </c>
      <c r="CN110" s="516">
        <f>SUMIFS(Imput[[Importe Neto]:[Importe Neto]],Imput[[C. Imp.]:[C. Imp.]],$D110,Imput[[PERIODO Imp.]:[PERIODO Imp.]],CN$9)</f>
        <v>0</v>
      </c>
      <c r="CO110" s="516">
        <f>SUMIFS(Imput[[Importe Neto]:[Importe Neto]],Imput[[C. Imp.]:[C. Imp.]],$D110,Imput[[PERIODO Imp.]:[PERIODO Imp.]],CO$9)</f>
        <v>0</v>
      </c>
      <c r="CP110" s="516">
        <f>SUMIFS(Imput[[Importe Neto]:[Importe Neto]],Imput[[C. Imp.]:[C. Imp.]],$D110,Imput[[PERIODO Imp.]:[PERIODO Imp.]],CP$9)</f>
        <v>0</v>
      </c>
      <c r="CQ110" s="516">
        <f>SUMIFS(Imput[[Importe Neto]:[Importe Neto]],Imput[[C. Imp.]:[C. Imp.]],$D110,Imput[[PERIODO Imp.]:[PERIODO Imp.]],CQ$9)</f>
        <v>0</v>
      </c>
      <c r="CR110" s="516">
        <f>SUMIFS(Imput[[Importe Neto]:[Importe Neto]],Imput[[C. Imp.]:[C. Imp.]],$D110,Imput[[PERIODO Imp.]:[PERIODO Imp.]],CR$9)</f>
        <v>0</v>
      </c>
      <c r="CS110" s="516">
        <f>SUMIFS(Imput[[Importe Neto]:[Importe Neto]],Imput[[C. Imp.]:[C. Imp.]],$D110,Imput[[PERIODO Imp.]:[PERIODO Imp.]],CS$9)</f>
        <v>0</v>
      </c>
      <c r="CT110" s="516">
        <f>SUMIFS(Imput[[Importe Neto]:[Importe Neto]],Imput[[C. Imp.]:[C. Imp.]],$D110,Imput[[PERIODO Imp.]:[PERIODO Imp.]],CT$9)</f>
        <v>0</v>
      </c>
      <c r="CU110" s="516">
        <f>SUMIFS(Imput[[Importe Neto]:[Importe Neto]],Imput[[C. Imp.]:[C. Imp.]],$D110,Imput[[PERIODO Imp.]:[PERIODO Imp.]],CU$9)</f>
        <v>0</v>
      </c>
      <c r="CV110" s="516">
        <f>SUMIFS(Imput[[Importe Neto]:[Importe Neto]],Imput[[C. Imp.]:[C. Imp.]],$D110,Imput[[PERIODO Imp.]:[PERIODO Imp.]],CV$9)</f>
        <v>0</v>
      </c>
      <c r="CW110" s="516">
        <f>SUMIFS(Imput[[Importe Neto]:[Importe Neto]],Imput[[C. Imp.]:[C. Imp.]],$D110,Imput[[PERIODO Imp.]:[PERIODO Imp.]],CW$9)</f>
        <v>0</v>
      </c>
      <c r="CX110" s="516">
        <f>SUMIFS(Imput[[Importe Neto]:[Importe Neto]],Imput[[C. Imp.]:[C. Imp.]],$D110,Imput[[PERIODO Imp.]:[PERIODO Imp.]],CX$9)</f>
        <v>0</v>
      </c>
      <c r="CY110" s="516">
        <f>SUMIFS(Imput[[Importe Neto]:[Importe Neto]],Imput[[C. Imp.]:[C. Imp.]],$D110,Imput[[PERIODO Imp.]:[PERIODO Imp.]],CY$9)</f>
        <v>0</v>
      </c>
      <c r="CZ110" s="516">
        <f>SUMIFS(Imput[[Importe Neto]:[Importe Neto]],Imput[[C. Imp.]:[C. Imp.]],$D110,Imput[[PERIODO Imp.]:[PERIODO Imp.]],CZ$9)</f>
        <v>0</v>
      </c>
      <c r="DA110" s="516">
        <f>SUMIFS(Imput[[Importe Neto]:[Importe Neto]],Imput[[C. Imp.]:[C. Imp.]],$D110,Imput[[PERIODO Imp.]:[PERIODO Imp.]],DA$9)</f>
        <v>0</v>
      </c>
      <c r="DB110" s="516">
        <f>SUMIFS(Imput[[Importe Neto]:[Importe Neto]],Imput[[C. Imp.]:[C. Imp.]],$D110,Imput[[PERIODO Imp.]:[PERIODO Imp.]],DB$9)</f>
        <v>0</v>
      </c>
      <c r="DC110" s="516">
        <f>SUMIFS(Imput[[Importe Neto]:[Importe Neto]],Imput[[C. Imp.]:[C. Imp.]],$D110,Imput[[PERIODO Imp.]:[PERIODO Imp.]],DC$9)</f>
        <v>0</v>
      </c>
      <c r="DD110" s="516">
        <f>SUMIFS(Imput[[Importe Neto]:[Importe Neto]],Imput[[C. Imp.]:[C. Imp.]],$D110,Imput[[PERIODO Imp.]:[PERIODO Imp.]],DD$9)</f>
        <v>0</v>
      </c>
      <c r="DE110" s="516">
        <f>SUMIFS(Imput[[Importe Neto]:[Importe Neto]],Imput[[C. Imp.]:[C. Imp.]],$D110,Imput[[PERIODO Imp.]:[PERIODO Imp.]],DE$9)</f>
        <v>0</v>
      </c>
      <c r="DF110" s="516">
        <f>SUMIFS(Imput[[Importe Neto]:[Importe Neto]],Imput[[C. Imp.]:[C. Imp.]],$D110,Imput[[PERIODO Imp.]:[PERIODO Imp.]],DF$9)</f>
        <v>0</v>
      </c>
      <c r="DG110" s="516">
        <f>SUMIFS(Imput[[Importe Neto]:[Importe Neto]],Imput[[C. Imp.]:[C. Imp.]],$D110,Imput[[PERIODO Imp.]:[PERIODO Imp.]],DG$9)</f>
        <v>0</v>
      </c>
      <c r="DH110" s="616">
        <f>SUMIFS(Imput[[Importe Neto]:[Importe Neto]],Imput[[C. Imp.]:[C. Imp.]],$D110,Imput[[PERIODO Imp.]:[PERIODO Imp.]],DH$9)</f>
        <v>0</v>
      </c>
    </row>
    <row r="111" spans="1:112" hidden="1" outlineLevel="1" x14ac:dyDescent="0.3">
      <c r="A111" s="66" t="str">
        <f t="shared" si="22"/>
        <v/>
      </c>
      <c r="C111" s="527"/>
      <c r="D111" s="528" t="s">
        <v>2223</v>
      </c>
      <c r="E111" s="536"/>
      <c r="F111" s="534"/>
      <c r="G111" s="529"/>
      <c r="H111" s="531"/>
      <c r="I111" s="849" t="str">
        <f t="shared" si="23"/>
        <v/>
      </c>
      <c r="J111" s="850" t="str">
        <f t="shared" si="24"/>
        <v/>
      </c>
      <c r="K111" s="70"/>
      <c r="L111" s="853"/>
      <c r="M111" s="855"/>
      <c r="N111" s="855"/>
      <c r="O111" s="855"/>
      <c r="P111" s="855"/>
      <c r="Q111" s="855"/>
      <c r="R111" s="855"/>
      <c r="S111" s="855"/>
      <c r="T111" s="855"/>
      <c r="U111" s="855"/>
      <c r="V111" s="855"/>
      <c r="W111" s="855"/>
      <c r="X111" s="855"/>
      <c r="Y111" s="855"/>
      <c r="Z111" s="856"/>
      <c r="AA111" s="856"/>
      <c r="AB111" s="856"/>
      <c r="AC111" s="856"/>
      <c r="AD111" s="856"/>
      <c r="AE111" s="856"/>
      <c r="AF111" s="856"/>
      <c r="AG111" s="856"/>
      <c r="AH111" s="856"/>
      <c r="AI111" s="856"/>
      <c r="AJ111" s="856"/>
      <c r="AK111" s="856"/>
      <c r="AL111" s="856"/>
      <c r="AM111" s="856"/>
      <c r="AN111" s="856"/>
      <c r="AO111" s="856"/>
      <c r="AP111" s="856"/>
      <c r="AQ111" s="856"/>
      <c r="AR111" s="856"/>
      <c r="AS111" s="856"/>
      <c r="AT111" s="856"/>
      <c r="AU111" s="856"/>
      <c r="AV111" s="856"/>
      <c r="AW111" s="856"/>
      <c r="AX111" s="856"/>
      <c r="AY111" s="856"/>
      <c r="AZ111" s="856"/>
      <c r="BA111" s="856"/>
      <c r="BB111" s="856"/>
      <c r="BC111" s="856"/>
      <c r="BD111" s="856"/>
      <c r="BE111" s="856"/>
      <c r="BF111" s="856"/>
      <c r="BG111" s="857"/>
      <c r="BH111" s="590"/>
      <c r="BI111" s="70"/>
      <c r="BJ111" s="518">
        <f t="shared" si="25"/>
        <v>0</v>
      </c>
      <c r="BK111" s="517">
        <f t="shared" si="26"/>
        <v>0</v>
      </c>
      <c r="BL111" s="68"/>
      <c r="BM111" s="515">
        <f>SUMIFS(Imput[[Importe Neto]:[Importe Neto]],Imput[[C. Imp.]:[C. Imp.]],$D111,Imput[[PERIODO Imp.]:[PERIODO Imp.]],BM$9)</f>
        <v>0</v>
      </c>
      <c r="BN111" s="516">
        <f>SUMIFS(Imput[[Importe Neto]:[Importe Neto]],Imput[[C. Imp.]:[C. Imp.]],$D111,Imput[[PERIODO Imp.]:[PERIODO Imp.]],BN$9)</f>
        <v>0</v>
      </c>
      <c r="BO111" s="516">
        <f>SUMIFS(Imput[[Importe Neto]:[Importe Neto]],Imput[[C. Imp.]:[C. Imp.]],$D111,Imput[[PERIODO Imp.]:[PERIODO Imp.]],BO$9)</f>
        <v>0</v>
      </c>
      <c r="BP111" s="516">
        <f>SUMIFS(Imput[[Importe Neto]:[Importe Neto]],Imput[[C. Imp.]:[C. Imp.]],$D111,Imput[[PERIODO Imp.]:[PERIODO Imp.]],BP$9)</f>
        <v>0</v>
      </c>
      <c r="BQ111" s="516">
        <f>SUMIFS(Imput[[Importe Neto]:[Importe Neto]],Imput[[C. Imp.]:[C. Imp.]],$D111,Imput[[PERIODO Imp.]:[PERIODO Imp.]],BQ$9)</f>
        <v>0</v>
      </c>
      <c r="BR111" s="516">
        <f>SUMIFS(Imput[[Importe Neto]:[Importe Neto]],Imput[[C. Imp.]:[C. Imp.]],$D111,Imput[[PERIODO Imp.]:[PERIODO Imp.]],BR$9)</f>
        <v>0</v>
      </c>
      <c r="BS111" s="516">
        <f>SUMIFS(Imput[[Importe Neto]:[Importe Neto]],Imput[[C. Imp.]:[C. Imp.]],$D111,Imput[[PERIODO Imp.]:[PERIODO Imp.]],BS$9)</f>
        <v>0</v>
      </c>
      <c r="BT111" s="516">
        <f>SUMIFS(Imput[[Importe Neto]:[Importe Neto]],Imput[[C. Imp.]:[C. Imp.]],$D111,Imput[[PERIODO Imp.]:[PERIODO Imp.]],BT$9)</f>
        <v>0</v>
      </c>
      <c r="BU111" s="516">
        <f>SUMIFS(Imput[[Importe Neto]:[Importe Neto]],Imput[[C. Imp.]:[C. Imp.]],$D111,Imput[[PERIODO Imp.]:[PERIODO Imp.]],BU$9)</f>
        <v>0</v>
      </c>
      <c r="BV111" s="516">
        <f>SUMIFS(Imput[[Importe Neto]:[Importe Neto]],Imput[[C. Imp.]:[C. Imp.]],$D111,Imput[[PERIODO Imp.]:[PERIODO Imp.]],BV$9)</f>
        <v>0</v>
      </c>
      <c r="BW111" s="516">
        <f>SUMIFS(Imput[[Importe Neto]:[Importe Neto]],Imput[[C. Imp.]:[C. Imp.]],$D111,Imput[[PERIODO Imp.]:[PERIODO Imp.]],BW$9)</f>
        <v>0</v>
      </c>
      <c r="BX111" s="516">
        <f>SUMIFS(Imput[[Importe Neto]:[Importe Neto]],Imput[[C. Imp.]:[C. Imp.]],$D111,Imput[[PERIODO Imp.]:[PERIODO Imp.]],BX$9)</f>
        <v>0</v>
      </c>
      <c r="BY111" s="516">
        <f>SUMIFS(Imput[[Importe Neto]:[Importe Neto]],Imput[[C. Imp.]:[C. Imp.]],$D111,Imput[[PERIODO Imp.]:[PERIODO Imp.]],BY$9)</f>
        <v>0</v>
      </c>
      <c r="BZ111" s="516">
        <f>SUMIFS(Imput[[Importe Neto]:[Importe Neto]],Imput[[C. Imp.]:[C. Imp.]],$D111,Imput[[PERIODO Imp.]:[PERIODO Imp.]],BZ$9)</f>
        <v>0</v>
      </c>
      <c r="CA111" s="516">
        <f>SUMIFS(Imput[[Importe Neto]:[Importe Neto]],Imput[[C. Imp.]:[C. Imp.]],$D111,Imput[[PERIODO Imp.]:[PERIODO Imp.]],CA$9)</f>
        <v>0</v>
      </c>
      <c r="CB111" s="516">
        <f>SUMIFS(Imput[[Importe Neto]:[Importe Neto]],Imput[[C. Imp.]:[C. Imp.]],$D111,Imput[[PERIODO Imp.]:[PERIODO Imp.]],CB$9)</f>
        <v>0</v>
      </c>
      <c r="CC111" s="516">
        <f>SUMIFS(Imput[[Importe Neto]:[Importe Neto]],Imput[[C. Imp.]:[C. Imp.]],$D111,Imput[[PERIODO Imp.]:[PERIODO Imp.]],CC$9)</f>
        <v>0</v>
      </c>
      <c r="CD111" s="516">
        <f>SUMIFS(Imput[[Importe Neto]:[Importe Neto]],Imput[[C. Imp.]:[C. Imp.]],$D111,Imput[[PERIODO Imp.]:[PERIODO Imp.]],CD$9)</f>
        <v>0</v>
      </c>
      <c r="CE111" s="516">
        <f>SUMIFS(Imput[[Importe Neto]:[Importe Neto]],Imput[[C. Imp.]:[C. Imp.]],$D111,Imput[[PERIODO Imp.]:[PERIODO Imp.]],CE$9)</f>
        <v>0</v>
      </c>
      <c r="CF111" s="516">
        <f>SUMIFS(Imput[[Importe Neto]:[Importe Neto]],Imput[[C. Imp.]:[C. Imp.]],$D111,Imput[[PERIODO Imp.]:[PERIODO Imp.]],CF$9)</f>
        <v>0</v>
      </c>
      <c r="CG111" s="516">
        <f>SUMIFS(Imput[[Importe Neto]:[Importe Neto]],Imput[[C. Imp.]:[C. Imp.]],$D111,Imput[[PERIODO Imp.]:[PERIODO Imp.]],CG$9)</f>
        <v>0</v>
      </c>
      <c r="CH111" s="516">
        <f>SUMIFS(Imput[[Importe Neto]:[Importe Neto]],Imput[[C. Imp.]:[C. Imp.]],$D111,Imput[[PERIODO Imp.]:[PERIODO Imp.]],CH$9)</f>
        <v>0</v>
      </c>
      <c r="CI111" s="516">
        <f>SUMIFS(Imput[[Importe Neto]:[Importe Neto]],Imput[[C. Imp.]:[C. Imp.]],$D111,Imput[[PERIODO Imp.]:[PERIODO Imp.]],CI$9)</f>
        <v>0</v>
      </c>
      <c r="CJ111" s="516">
        <f>SUMIFS(Imput[[Importe Neto]:[Importe Neto]],Imput[[C. Imp.]:[C. Imp.]],$D111,Imput[[PERIODO Imp.]:[PERIODO Imp.]],CJ$9)</f>
        <v>0</v>
      </c>
      <c r="CK111" s="516">
        <f>SUMIFS(Imput[[Importe Neto]:[Importe Neto]],Imput[[C. Imp.]:[C. Imp.]],$D111,Imput[[PERIODO Imp.]:[PERIODO Imp.]],CK$9)</f>
        <v>0</v>
      </c>
      <c r="CL111" s="516">
        <f>SUMIFS(Imput[[Importe Neto]:[Importe Neto]],Imput[[C. Imp.]:[C. Imp.]],$D111,Imput[[PERIODO Imp.]:[PERIODO Imp.]],CL$9)</f>
        <v>0</v>
      </c>
      <c r="CM111" s="516">
        <f>SUMIFS(Imput[[Importe Neto]:[Importe Neto]],Imput[[C. Imp.]:[C. Imp.]],$D111,Imput[[PERIODO Imp.]:[PERIODO Imp.]],CM$9)</f>
        <v>0</v>
      </c>
      <c r="CN111" s="516">
        <f>SUMIFS(Imput[[Importe Neto]:[Importe Neto]],Imput[[C. Imp.]:[C. Imp.]],$D111,Imput[[PERIODO Imp.]:[PERIODO Imp.]],CN$9)</f>
        <v>0</v>
      </c>
      <c r="CO111" s="516">
        <f>SUMIFS(Imput[[Importe Neto]:[Importe Neto]],Imput[[C. Imp.]:[C. Imp.]],$D111,Imput[[PERIODO Imp.]:[PERIODO Imp.]],CO$9)</f>
        <v>0</v>
      </c>
      <c r="CP111" s="516">
        <f>SUMIFS(Imput[[Importe Neto]:[Importe Neto]],Imput[[C. Imp.]:[C. Imp.]],$D111,Imput[[PERIODO Imp.]:[PERIODO Imp.]],CP$9)</f>
        <v>0</v>
      </c>
      <c r="CQ111" s="516">
        <f>SUMIFS(Imput[[Importe Neto]:[Importe Neto]],Imput[[C. Imp.]:[C. Imp.]],$D111,Imput[[PERIODO Imp.]:[PERIODO Imp.]],CQ$9)</f>
        <v>0</v>
      </c>
      <c r="CR111" s="516">
        <f>SUMIFS(Imput[[Importe Neto]:[Importe Neto]],Imput[[C. Imp.]:[C. Imp.]],$D111,Imput[[PERIODO Imp.]:[PERIODO Imp.]],CR$9)</f>
        <v>0</v>
      </c>
      <c r="CS111" s="516">
        <f>SUMIFS(Imput[[Importe Neto]:[Importe Neto]],Imput[[C. Imp.]:[C. Imp.]],$D111,Imput[[PERIODO Imp.]:[PERIODO Imp.]],CS$9)</f>
        <v>0</v>
      </c>
      <c r="CT111" s="516">
        <f>SUMIFS(Imput[[Importe Neto]:[Importe Neto]],Imput[[C. Imp.]:[C. Imp.]],$D111,Imput[[PERIODO Imp.]:[PERIODO Imp.]],CT$9)</f>
        <v>0</v>
      </c>
      <c r="CU111" s="516">
        <f>SUMIFS(Imput[[Importe Neto]:[Importe Neto]],Imput[[C. Imp.]:[C. Imp.]],$D111,Imput[[PERIODO Imp.]:[PERIODO Imp.]],CU$9)</f>
        <v>0</v>
      </c>
      <c r="CV111" s="516">
        <f>SUMIFS(Imput[[Importe Neto]:[Importe Neto]],Imput[[C. Imp.]:[C. Imp.]],$D111,Imput[[PERIODO Imp.]:[PERIODO Imp.]],CV$9)</f>
        <v>0</v>
      </c>
      <c r="CW111" s="516">
        <f>SUMIFS(Imput[[Importe Neto]:[Importe Neto]],Imput[[C. Imp.]:[C. Imp.]],$D111,Imput[[PERIODO Imp.]:[PERIODO Imp.]],CW$9)</f>
        <v>0</v>
      </c>
      <c r="CX111" s="516">
        <f>SUMIFS(Imput[[Importe Neto]:[Importe Neto]],Imput[[C. Imp.]:[C. Imp.]],$D111,Imput[[PERIODO Imp.]:[PERIODO Imp.]],CX$9)</f>
        <v>0</v>
      </c>
      <c r="CY111" s="516">
        <f>SUMIFS(Imput[[Importe Neto]:[Importe Neto]],Imput[[C. Imp.]:[C. Imp.]],$D111,Imput[[PERIODO Imp.]:[PERIODO Imp.]],CY$9)</f>
        <v>0</v>
      </c>
      <c r="CZ111" s="516">
        <f>SUMIFS(Imput[[Importe Neto]:[Importe Neto]],Imput[[C. Imp.]:[C. Imp.]],$D111,Imput[[PERIODO Imp.]:[PERIODO Imp.]],CZ$9)</f>
        <v>0</v>
      </c>
      <c r="DA111" s="516">
        <f>SUMIFS(Imput[[Importe Neto]:[Importe Neto]],Imput[[C. Imp.]:[C. Imp.]],$D111,Imput[[PERIODO Imp.]:[PERIODO Imp.]],DA$9)</f>
        <v>0</v>
      </c>
      <c r="DB111" s="516">
        <f>SUMIFS(Imput[[Importe Neto]:[Importe Neto]],Imput[[C. Imp.]:[C. Imp.]],$D111,Imput[[PERIODO Imp.]:[PERIODO Imp.]],DB$9)</f>
        <v>0</v>
      </c>
      <c r="DC111" s="516">
        <f>SUMIFS(Imput[[Importe Neto]:[Importe Neto]],Imput[[C. Imp.]:[C. Imp.]],$D111,Imput[[PERIODO Imp.]:[PERIODO Imp.]],DC$9)</f>
        <v>0</v>
      </c>
      <c r="DD111" s="516">
        <f>SUMIFS(Imput[[Importe Neto]:[Importe Neto]],Imput[[C. Imp.]:[C. Imp.]],$D111,Imput[[PERIODO Imp.]:[PERIODO Imp.]],DD$9)</f>
        <v>0</v>
      </c>
      <c r="DE111" s="516">
        <f>SUMIFS(Imput[[Importe Neto]:[Importe Neto]],Imput[[C. Imp.]:[C. Imp.]],$D111,Imput[[PERIODO Imp.]:[PERIODO Imp.]],DE$9)</f>
        <v>0</v>
      </c>
      <c r="DF111" s="516">
        <f>SUMIFS(Imput[[Importe Neto]:[Importe Neto]],Imput[[C. Imp.]:[C. Imp.]],$D111,Imput[[PERIODO Imp.]:[PERIODO Imp.]],DF$9)</f>
        <v>0</v>
      </c>
      <c r="DG111" s="516">
        <f>SUMIFS(Imput[[Importe Neto]:[Importe Neto]],Imput[[C. Imp.]:[C. Imp.]],$D111,Imput[[PERIODO Imp.]:[PERIODO Imp.]],DG$9)</f>
        <v>0</v>
      </c>
      <c r="DH111" s="616">
        <f>SUMIFS(Imput[[Importe Neto]:[Importe Neto]],Imput[[C. Imp.]:[C. Imp.]],$D111,Imput[[PERIODO Imp.]:[PERIODO Imp.]],DH$9)</f>
        <v>0</v>
      </c>
    </row>
    <row r="112" spans="1:112" hidden="1" outlineLevel="1" x14ac:dyDescent="0.3">
      <c r="A112" s="66" t="str">
        <f t="shared" si="22"/>
        <v/>
      </c>
      <c r="C112" s="527"/>
      <c r="D112" s="528" t="s">
        <v>2224</v>
      </c>
      <c r="E112" s="536"/>
      <c r="F112" s="534"/>
      <c r="G112" s="529"/>
      <c r="H112" s="531"/>
      <c r="I112" s="849" t="str">
        <f t="shared" si="23"/>
        <v/>
      </c>
      <c r="J112" s="850" t="str">
        <f t="shared" si="24"/>
        <v/>
      </c>
      <c r="K112" s="70"/>
      <c r="L112" s="853"/>
      <c r="M112" s="855"/>
      <c r="N112" s="855"/>
      <c r="O112" s="855"/>
      <c r="P112" s="855"/>
      <c r="Q112" s="855"/>
      <c r="R112" s="855"/>
      <c r="S112" s="855"/>
      <c r="T112" s="855"/>
      <c r="U112" s="855"/>
      <c r="V112" s="855"/>
      <c r="W112" s="855"/>
      <c r="X112" s="855"/>
      <c r="Y112" s="855"/>
      <c r="Z112" s="856"/>
      <c r="AA112" s="856"/>
      <c r="AB112" s="856"/>
      <c r="AC112" s="856"/>
      <c r="AD112" s="856"/>
      <c r="AE112" s="856"/>
      <c r="AF112" s="856"/>
      <c r="AG112" s="856"/>
      <c r="AH112" s="856"/>
      <c r="AI112" s="856"/>
      <c r="AJ112" s="856"/>
      <c r="AK112" s="856"/>
      <c r="AL112" s="856"/>
      <c r="AM112" s="856"/>
      <c r="AN112" s="856"/>
      <c r="AO112" s="856"/>
      <c r="AP112" s="856"/>
      <c r="AQ112" s="856"/>
      <c r="AR112" s="856"/>
      <c r="AS112" s="856"/>
      <c r="AT112" s="856"/>
      <c r="AU112" s="856"/>
      <c r="AV112" s="856"/>
      <c r="AW112" s="856"/>
      <c r="AX112" s="856"/>
      <c r="AY112" s="856"/>
      <c r="AZ112" s="856"/>
      <c r="BA112" s="856"/>
      <c r="BB112" s="856"/>
      <c r="BC112" s="856"/>
      <c r="BD112" s="856"/>
      <c r="BE112" s="856"/>
      <c r="BF112" s="856"/>
      <c r="BG112" s="857"/>
      <c r="BH112" s="590"/>
      <c r="BI112" s="70"/>
      <c r="BJ112" s="518">
        <f t="shared" si="25"/>
        <v>0</v>
      </c>
      <c r="BK112" s="517">
        <f t="shared" si="26"/>
        <v>0</v>
      </c>
      <c r="BL112" s="68"/>
      <c r="BM112" s="515">
        <f>SUMIFS(Imput[[Importe Neto]:[Importe Neto]],Imput[[C. Imp.]:[C. Imp.]],$D112,Imput[[PERIODO Imp.]:[PERIODO Imp.]],BM$9)</f>
        <v>0</v>
      </c>
      <c r="BN112" s="516">
        <f>SUMIFS(Imput[[Importe Neto]:[Importe Neto]],Imput[[C. Imp.]:[C. Imp.]],$D112,Imput[[PERIODO Imp.]:[PERIODO Imp.]],BN$9)</f>
        <v>0</v>
      </c>
      <c r="BO112" s="516">
        <f>SUMIFS(Imput[[Importe Neto]:[Importe Neto]],Imput[[C. Imp.]:[C. Imp.]],$D112,Imput[[PERIODO Imp.]:[PERIODO Imp.]],BO$9)</f>
        <v>0</v>
      </c>
      <c r="BP112" s="516">
        <f>SUMIFS(Imput[[Importe Neto]:[Importe Neto]],Imput[[C. Imp.]:[C. Imp.]],$D112,Imput[[PERIODO Imp.]:[PERIODO Imp.]],BP$9)</f>
        <v>0</v>
      </c>
      <c r="BQ112" s="516">
        <f>SUMIFS(Imput[[Importe Neto]:[Importe Neto]],Imput[[C. Imp.]:[C. Imp.]],$D112,Imput[[PERIODO Imp.]:[PERIODO Imp.]],BQ$9)</f>
        <v>0</v>
      </c>
      <c r="BR112" s="516">
        <f>SUMIFS(Imput[[Importe Neto]:[Importe Neto]],Imput[[C. Imp.]:[C. Imp.]],$D112,Imput[[PERIODO Imp.]:[PERIODO Imp.]],BR$9)</f>
        <v>0</v>
      </c>
      <c r="BS112" s="516">
        <f>SUMIFS(Imput[[Importe Neto]:[Importe Neto]],Imput[[C. Imp.]:[C. Imp.]],$D112,Imput[[PERIODO Imp.]:[PERIODO Imp.]],BS$9)</f>
        <v>0</v>
      </c>
      <c r="BT112" s="516">
        <f>SUMIFS(Imput[[Importe Neto]:[Importe Neto]],Imput[[C. Imp.]:[C. Imp.]],$D112,Imput[[PERIODO Imp.]:[PERIODO Imp.]],BT$9)</f>
        <v>0</v>
      </c>
      <c r="BU112" s="516">
        <f>SUMIFS(Imput[[Importe Neto]:[Importe Neto]],Imput[[C. Imp.]:[C. Imp.]],$D112,Imput[[PERIODO Imp.]:[PERIODO Imp.]],BU$9)</f>
        <v>0</v>
      </c>
      <c r="BV112" s="516">
        <f>SUMIFS(Imput[[Importe Neto]:[Importe Neto]],Imput[[C. Imp.]:[C. Imp.]],$D112,Imput[[PERIODO Imp.]:[PERIODO Imp.]],BV$9)</f>
        <v>0</v>
      </c>
      <c r="BW112" s="516">
        <f>SUMIFS(Imput[[Importe Neto]:[Importe Neto]],Imput[[C. Imp.]:[C. Imp.]],$D112,Imput[[PERIODO Imp.]:[PERIODO Imp.]],BW$9)</f>
        <v>0</v>
      </c>
      <c r="BX112" s="516">
        <f>SUMIFS(Imput[[Importe Neto]:[Importe Neto]],Imput[[C. Imp.]:[C. Imp.]],$D112,Imput[[PERIODO Imp.]:[PERIODO Imp.]],BX$9)</f>
        <v>0</v>
      </c>
      <c r="BY112" s="516">
        <f>SUMIFS(Imput[[Importe Neto]:[Importe Neto]],Imput[[C. Imp.]:[C. Imp.]],$D112,Imput[[PERIODO Imp.]:[PERIODO Imp.]],BY$9)</f>
        <v>0</v>
      </c>
      <c r="BZ112" s="516">
        <f>SUMIFS(Imput[[Importe Neto]:[Importe Neto]],Imput[[C. Imp.]:[C. Imp.]],$D112,Imput[[PERIODO Imp.]:[PERIODO Imp.]],BZ$9)</f>
        <v>0</v>
      </c>
      <c r="CA112" s="516">
        <f>SUMIFS(Imput[[Importe Neto]:[Importe Neto]],Imput[[C. Imp.]:[C. Imp.]],$D112,Imput[[PERIODO Imp.]:[PERIODO Imp.]],CA$9)</f>
        <v>0</v>
      </c>
      <c r="CB112" s="516">
        <f>SUMIFS(Imput[[Importe Neto]:[Importe Neto]],Imput[[C. Imp.]:[C. Imp.]],$D112,Imput[[PERIODO Imp.]:[PERIODO Imp.]],CB$9)</f>
        <v>0</v>
      </c>
      <c r="CC112" s="516">
        <f>SUMIFS(Imput[[Importe Neto]:[Importe Neto]],Imput[[C. Imp.]:[C. Imp.]],$D112,Imput[[PERIODO Imp.]:[PERIODO Imp.]],CC$9)</f>
        <v>0</v>
      </c>
      <c r="CD112" s="516">
        <f>SUMIFS(Imput[[Importe Neto]:[Importe Neto]],Imput[[C. Imp.]:[C. Imp.]],$D112,Imput[[PERIODO Imp.]:[PERIODO Imp.]],CD$9)</f>
        <v>0</v>
      </c>
      <c r="CE112" s="516">
        <f>SUMIFS(Imput[[Importe Neto]:[Importe Neto]],Imput[[C. Imp.]:[C. Imp.]],$D112,Imput[[PERIODO Imp.]:[PERIODO Imp.]],CE$9)</f>
        <v>0</v>
      </c>
      <c r="CF112" s="516">
        <f>SUMIFS(Imput[[Importe Neto]:[Importe Neto]],Imput[[C. Imp.]:[C. Imp.]],$D112,Imput[[PERIODO Imp.]:[PERIODO Imp.]],CF$9)</f>
        <v>0</v>
      </c>
      <c r="CG112" s="516">
        <f>SUMIFS(Imput[[Importe Neto]:[Importe Neto]],Imput[[C. Imp.]:[C. Imp.]],$D112,Imput[[PERIODO Imp.]:[PERIODO Imp.]],CG$9)</f>
        <v>0</v>
      </c>
      <c r="CH112" s="516">
        <f>SUMIFS(Imput[[Importe Neto]:[Importe Neto]],Imput[[C. Imp.]:[C. Imp.]],$D112,Imput[[PERIODO Imp.]:[PERIODO Imp.]],CH$9)</f>
        <v>0</v>
      </c>
      <c r="CI112" s="516">
        <f>SUMIFS(Imput[[Importe Neto]:[Importe Neto]],Imput[[C. Imp.]:[C. Imp.]],$D112,Imput[[PERIODO Imp.]:[PERIODO Imp.]],CI$9)</f>
        <v>0</v>
      </c>
      <c r="CJ112" s="516">
        <f>SUMIFS(Imput[[Importe Neto]:[Importe Neto]],Imput[[C. Imp.]:[C. Imp.]],$D112,Imput[[PERIODO Imp.]:[PERIODO Imp.]],CJ$9)</f>
        <v>0</v>
      </c>
      <c r="CK112" s="516">
        <f>SUMIFS(Imput[[Importe Neto]:[Importe Neto]],Imput[[C. Imp.]:[C. Imp.]],$D112,Imput[[PERIODO Imp.]:[PERIODO Imp.]],CK$9)</f>
        <v>0</v>
      </c>
      <c r="CL112" s="516">
        <f>SUMIFS(Imput[[Importe Neto]:[Importe Neto]],Imput[[C. Imp.]:[C. Imp.]],$D112,Imput[[PERIODO Imp.]:[PERIODO Imp.]],CL$9)</f>
        <v>0</v>
      </c>
      <c r="CM112" s="516">
        <f>SUMIFS(Imput[[Importe Neto]:[Importe Neto]],Imput[[C. Imp.]:[C. Imp.]],$D112,Imput[[PERIODO Imp.]:[PERIODO Imp.]],CM$9)</f>
        <v>0</v>
      </c>
      <c r="CN112" s="516">
        <f>SUMIFS(Imput[[Importe Neto]:[Importe Neto]],Imput[[C. Imp.]:[C. Imp.]],$D112,Imput[[PERIODO Imp.]:[PERIODO Imp.]],CN$9)</f>
        <v>0</v>
      </c>
      <c r="CO112" s="516">
        <f>SUMIFS(Imput[[Importe Neto]:[Importe Neto]],Imput[[C. Imp.]:[C. Imp.]],$D112,Imput[[PERIODO Imp.]:[PERIODO Imp.]],CO$9)</f>
        <v>0</v>
      </c>
      <c r="CP112" s="516">
        <f>SUMIFS(Imput[[Importe Neto]:[Importe Neto]],Imput[[C. Imp.]:[C. Imp.]],$D112,Imput[[PERIODO Imp.]:[PERIODO Imp.]],CP$9)</f>
        <v>0</v>
      </c>
      <c r="CQ112" s="516">
        <f>SUMIFS(Imput[[Importe Neto]:[Importe Neto]],Imput[[C. Imp.]:[C. Imp.]],$D112,Imput[[PERIODO Imp.]:[PERIODO Imp.]],CQ$9)</f>
        <v>0</v>
      </c>
      <c r="CR112" s="516">
        <f>SUMIFS(Imput[[Importe Neto]:[Importe Neto]],Imput[[C. Imp.]:[C. Imp.]],$D112,Imput[[PERIODO Imp.]:[PERIODO Imp.]],CR$9)</f>
        <v>0</v>
      </c>
      <c r="CS112" s="516">
        <f>SUMIFS(Imput[[Importe Neto]:[Importe Neto]],Imput[[C. Imp.]:[C. Imp.]],$D112,Imput[[PERIODO Imp.]:[PERIODO Imp.]],CS$9)</f>
        <v>0</v>
      </c>
      <c r="CT112" s="516">
        <f>SUMIFS(Imput[[Importe Neto]:[Importe Neto]],Imput[[C. Imp.]:[C. Imp.]],$D112,Imput[[PERIODO Imp.]:[PERIODO Imp.]],CT$9)</f>
        <v>0</v>
      </c>
      <c r="CU112" s="516">
        <f>SUMIFS(Imput[[Importe Neto]:[Importe Neto]],Imput[[C. Imp.]:[C. Imp.]],$D112,Imput[[PERIODO Imp.]:[PERIODO Imp.]],CU$9)</f>
        <v>0</v>
      </c>
      <c r="CV112" s="516">
        <f>SUMIFS(Imput[[Importe Neto]:[Importe Neto]],Imput[[C. Imp.]:[C. Imp.]],$D112,Imput[[PERIODO Imp.]:[PERIODO Imp.]],CV$9)</f>
        <v>0</v>
      </c>
      <c r="CW112" s="516">
        <f>SUMIFS(Imput[[Importe Neto]:[Importe Neto]],Imput[[C. Imp.]:[C. Imp.]],$D112,Imput[[PERIODO Imp.]:[PERIODO Imp.]],CW$9)</f>
        <v>0</v>
      </c>
      <c r="CX112" s="516">
        <f>SUMIFS(Imput[[Importe Neto]:[Importe Neto]],Imput[[C. Imp.]:[C. Imp.]],$D112,Imput[[PERIODO Imp.]:[PERIODO Imp.]],CX$9)</f>
        <v>0</v>
      </c>
      <c r="CY112" s="516">
        <f>SUMIFS(Imput[[Importe Neto]:[Importe Neto]],Imput[[C. Imp.]:[C. Imp.]],$D112,Imput[[PERIODO Imp.]:[PERIODO Imp.]],CY$9)</f>
        <v>0</v>
      </c>
      <c r="CZ112" s="516">
        <f>SUMIFS(Imput[[Importe Neto]:[Importe Neto]],Imput[[C. Imp.]:[C. Imp.]],$D112,Imput[[PERIODO Imp.]:[PERIODO Imp.]],CZ$9)</f>
        <v>0</v>
      </c>
      <c r="DA112" s="516">
        <f>SUMIFS(Imput[[Importe Neto]:[Importe Neto]],Imput[[C. Imp.]:[C. Imp.]],$D112,Imput[[PERIODO Imp.]:[PERIODO Imp.]],DA$9)</f>
        <v>0</v>
      </c>
      <c r="DB112" s="516">
        <f>SUMIFS(Imput[[Importe Neto]:[Importe Neto]],Imput[[C. Imp.]:[C. Imp.]],$D112,Imput[[PERIODO Imp.]:[PERIODO Imp.]],DB$9)</f>
        <v>0</v>
      </c>
      <c r="DC112" s="516">
        <f>SUMIFS(Imput[[Importe Neto]:[Importe Neto]],Imput[[C. Imp.]:[C. Imp.]],$D112,Imput[[PERIODO Imp.]:[PERIODO Imp.]],DC$9)</f>
        <v>0</v>
      </c>
      <c r="DD112" s="516">
        <f>SUMIFS(Imput[[Importe Neto]:[Importe Neto]],Imput[[C. Imp.]:[C. Imp.]],$D112,Imput[[PERIODO Imp.]:[PERIODO Imp.]],DD$9)</f>
        <v>0</v>
      </c>
      <c r="DE112" s="516">
        <f>SUMIFS(Imput[[Importe Neto]:[Importe Neto]],Imput[[C. Imp.]:[C. Imp.]],$D112,Imput[[PERIODO Imp.]:[PERIODO Imp.]],DE$9)</f>
        <v>0</v>
      </c>
      <c r="DF112" s="516">
        <f>SUMIFS(Imput[[Importe Neto]:[Importe Neto]],Imput[[C. Imp.]:[C. Imp.]],$D112,Imput[[PERIODO Imp.]:[PERIODO Imp.]],DF$9)</f>
        <v>0</v>
      </c>
      <c r="DG112" s="516">
        <f>SUMIFS(Imput[[Importe Neto]:[Importe Neto]],Imput[[C. Imp.]:[C. Imp.]],$D112,Imput[[PERIODO Imp.]:[PERIODO Imp.]],DG$9)</f>
        <v>0</v>
      </c>
      <c r="DH112" s="616">
        <f>SUMIFS(Imput[[Importe Neto]:[Importe Neto]],Imput[[C. Imp.]:[C. Imp.]],$D112,Imput[[PERIODO Imp.]:[PERIODO Imp.]],DH$9)</f>
        <v>0</v>
      </c>
    </row>
    <row r="113" spans="1:112" hidden="1" outlineLevel="1" x14ac:dyDescent="0.3">
      <c r="A113" s="66" t="str">
        <f t="shared" si="22"/>
        <v/>
      </c>
      <c r="C113" s="527"/>
      <c r="D113" s="528" t="s">
        <v>2225</v>
      </c>
      <c r="E113" s="528"/>
      <c r="F113" s="534"/>
      <c r="G113" s="529"/>
      <c r="H113" s="531"/>
      <c r="I113" s="849" t="str">
        <f t="shared" si="23"/>
        <v/>
      </c>
      <c r="J113" s="850" t="str">
        <f t="shared" si="24"/>
        <v/>
      </c>
      <c r="K113" s="70"/>
      <c r="L113" s="853"/>
      <c r="M113" s="855"/>
      <c r="N113" s="855"/>
      <c r="O113" s="855"/>
      <c r="P113" s="855"/>
      <c r="Q113" s="855"/>
      <c r="R113" s="855"/>
      <c r="S113" s="855"/>
      <c r="T113" s="855"/>
      <c r="U113" s="855"/>
      <c r="V113" s="855"/>
      <c r="W113" s="855"/>
      <c r="X113" s="855"/>
      <c r="Y113" s="855"/>
      <c r="Z113" s="856"/>
      <c r="AA113" s="856"/>
      <c r="AB113" s="856"/>
      <c r="AC113" s="856"/>
      <c r="AD113" s="856"/>
      <c r="AE113" s="856"/>
      <c r="AF113" s="856"/>
      <c r="AG113" s="856"/>
      <c r="AH113" s="856"/>
      <c r="AI113" s="856"/>
      <c r="AJ113" s="856"/>
      <c r="AK113" s="856"/>
      <c r="AL113" s="856"/>
      <c r="AM113" s="856"/>
      <c r="AN113" s="856"/>
      <c r="AO113" s="856"/>
      <c r="AP113" s="856"/>
      <c r="AQ113" s="856"/>
      <c r="AR113" s="856"/>
      <c r="AS113" s="856"/>
      <c r="AT113" s="856"/>
      <c r="AU113" s="856"/>
      <c r="AV113" s="856"/>
      <c r="AW113" s="856"/>
      <c r="AX113" s="856"/>
      <c r="AY113" s="856"/>
      <c r="AZ113" s="856"/>
      <c r="BA113" s="856"/>
      <c r="BB113" s="856"/>
      <c r="BC113" s="856"/>
      <c r="BD113" s="856"/>
      <c r="BE113" s="856"/>
      <c r="BF113" s="856"/>
      <c r="BG113" s="857"/>
      <c r="BH113" s="590"/>
      <c r="BI113" s="70"/>
      <c r="BJ113" s="518">
        <f t="shared" si="25"/>
        <v>0</v>
      </c>
      <c r="BK113" s="517">
        <f t="shared" si="26"/>
        <v>0</v>
      </c>
      <c r="BL113" s="68"/>
      <c r="BM113" s="515">
        <f>SUMIFS(Imput[[Importe Neto]:[Importe Neto]],Imput[[C. Imp.]:[C. Imp.]],$D113,Imput[[PERIODO Imp.]:[PERIODO Imp.]],BM$9)</f>
        <v>0</v>
      </c>
      <c r="BN113" s="516">
        <f>SUMIFS(Imput[[Importe Neto]:[Importe Neto]],Imput[[C. Imp.]:[C. Imp.]],$D113,Imput[[PERIODO Imp.]:[PERIODO Imp.]],BN$9)</f>
        <v>0</v>
      </c>
      <c r="BO113" s="516">
        <f>SUMIFS(Imput[[Importe Neto]:[Importe Neto]],Imput[[C. Imp.]:[C. Imp.]],$D113,Imput[[PERIODO Imp.]:[PERIODO Imp.]],BO$9)</f>
        <v>0</v>
      </c>
      <c r="BP113" s="516">
        <f>SUMIFS(Imput[[Importe Neto]:[Importe Neto]],Imput[[C. Imp.]:[C. Imp.]],$D113,Imput[[PERIODO Imp.]:[PERIODO Imp.]],BP$9)</f>
        <v>0</v>
      </c>
      <c r="BQ113" s="516">
        <f>SUMIFS(Imput[[Importe Neto]:[Importe Neto]],Imput[[C. Imp.]:[C. Imp.]],$D113,Imput[[PERIODO Imp.]:[PERIODO Imp.]],BQ$9)</f>
        <v>0</v>
      </c>
      <c r="BR113" s="516">
        <f>SUMIFS(Imput[[Importe Neto]:[Importe Neto]],Imput[[C. Imp.]:[C. Imp.]],$D113,Imput[[PERIODO Imp.]:[PERIODO Imp.]],BR$9)</f>
        <v>0</v>
      </c>
      <c r="BS113" s="516">
        <f>SUMIFS(Imput[[Importe Neto]:[Importe Neto]],Imput[[C. Imp.]:[C. Imp.]],$D113,Imput[[PERIODO Imp.]:[PERIODO Imp.]],BS$9)</f>
        <v>0</v>
      </c>
      <c r="BT113" s="516">
        <f>SUMIFS(Imput[[Importe Neto]:[Importe Neto]],Imput[[C. Imp.]:[C. Imp.]],$D113,Imput[[PERIODO Imp.]:[PERIODO Imp.]],BT$9)</f>
        <v>0</v>
      </c>
      <c r="BU113" s="516">
        <f>SUMIFS(Imput[[Importe Neto]:[Importe Neto]],Imput[[C. Imp.]:[C. Imp.]],$D113,Imput[[PERIODO Imp.]:[PERIODO Imp.]],BU$9)</f>
        <v>0</v>
      </c>
      <c r="BV113" s="516">
        <f>SUMIFS(Imput[[Importe Neto]:[Importe Neto]],Imput[[C. Imp.]:[C. Imp.]],$D113,Imput[[PERIODO Imp.]:[PERIODO Imp.]],BV$9)</f>
        <v>0</v>
      </c>
      <c r="BW113" s="516">
        <f>SUMIFS(Imput[[Importe Neto]:[Importe Neto]],Imput[[C. Imp.]:[C. Imp.]],$D113,Imput[[PERIODO Imp.]:[PERIODO Imp.]],BW$9)</f>
        <v>0</v>
      </c>
      <c r="BX113" s="516">
        <f>SUMIFS(Imput[[Importe Neto]:[Importe Neto]],Imput[[C. Imp.]:[C. Imp.]],$D113,Imput[[PERIODO Imp.]:[PERIODO Imp.]],BX$9)</f>
        <v>0</v>
      </c>
      <c r="BY113" s="516">
        <f>SUMIFS(Imput[[Importe Neto]:[Importe Neto]],Imput[[C. Imp.]:[C. Imp.]],$D113,Imput[[PERIODO Imp.]:[PERIODO Imp.]],BY$9)</f>
        <v>0</v>
      </c>
      <c r="BZ113" s="516">
        <f>SUMIFS(Imput[[Importe Neto]:[Importe Neto]],Imput[[C. Imp.]:[C. Imp.]],$D113,Imput[[PERIODO Imp.]:[PERIODO Imp.]],BZ$9)</f>
        <v>0</v>
      </c>
      <c r="CA113" s="516">
        <f>SUMIFS(Imput[[Importe Neto]:[Importe Neto]],Imput[[C. Imp.]:[C. Imp.]],$D113,Imput[[PERIODO Imp.]:[PERIODO Imp.]],CA$9)</f>
        <v>0</v>
      </c>
      <c r="CB113" s="516">
        <f>SUMIFS(Imput[[Importe Neto]:[Importe Neto]],Imput[[C. Imp.]:[C. Imp.]],$D113,Imput[[PERIODO Imp.]:[PERIODO Imp.]],CB$9)</f>
        <v>0</v>
      </c>
      <c r="CC113" s="516">
        <f>SUMIFS(Imput[[Importe Neto]:[Importe Neto]],Imput[[C. Imp.]:[C. Imp.]],$D113,Imput[[PERIODO Imp.]:[PERIODO Imp.]],CC$9)</f>
        <v>0</v>
      </c>
      <c r="CD113" s="516">
        <f>SUMIFS(Imput[[Importe Neto]:[Importe Neto]],Imput[[C. Imp.]:[C. Imp.]],$D113,Imput[[PERIODO Imp.]:[PERIODO Imp.]],CD$9)</f>
        <v>0</v>
      </c>
      <c r="CE113" s="516">
        <f>SUMIFS(Imput[[Importe Neto]:[Importe Neto]],Imput[[C. Imp.]:[C. Imp.]],$D113,Imput[[PERIODO Imp.]:[PERIODO Imp.]],CE$9)</f>
        <v>0</v>
      </c>
      <c r="CF113" s="516">
        <f>SUMIFS(Imput[[Importe Neto]:[Importe Neto]],Imput[[C. Imp.]:[C. Imp.]],$D113,Imput[[PERIODO Imp.]:[PERIODO Imp.]],CF$9)</f>
        <v>0</v>
      </c>
      <c r="CG113" s="516">
        <f>SUMIFS(Imput[[Importe Neto]:[Importe Neto]],Imput[[C. Imp.]:[C. Imp.]],$D113,Imput[[PERIODO Imp.]:[PERIODO Imp.]],CG$9)</f>
        <v>0</v>
      </c>
      <c r="CH113" s="516">
        <f>SUMIFS(Imput[[Importe Neto]:[Importe Neto]],Imput[[C. Imp.]:[C. Imp.]],$D113,Imput[[PERIODO Imp.]:[PERIODO Imp.]],CH$9)</f>
        <v>0</v>
      </c>
      <c r="CI113" s="516">
        <f>SUMIFS(Imput[[Importe Neto]:[Importe Neto]],Imput[[C. Imp.]:[C. Imp.]],$D113,Imput[[PERIODO Imp.]:[PERIODO Imp.]],CI$9)</f>
        <v>0</v>
      </c>
      <c r="CJ113" s="516">
        <f>SUMIFS(Imput[[Importe Neto]:[Importe Neto]],Imput[[C. Imp.]:[C. Imp.]],$D113,Imput[[PERIODO Imp.]:[PERIODO Imp.]],CJ$9)</f>
        <v>0</v>
      </c>
      <c r="CK113" s="516">
        <f>SUMIFS(Imput[[Importe Neto]:[Importe Neto]],Imput[[C. Imp.]:[C. Imp.]],$D113,Imput[[PERIODO Imp.]:[PERIODO Imp.]],CK$9)</f>
        <v>0</v>
      </c>
      <c r="CL113" s="516">
        <f>SUMIFS(Imput[[Importe Neto]:[Importe Neto]],Imput[[C. Imp.]:[C. Imp.]],$D113,Imput[[PERIODO Imp.]:[PERIODO Imp.]],CL$9)</f>
        <v>0</v>
      </c>
      <c r="CM113" s="516">
        <f>SUMIFS(Imput[[Importe Neto]:[Importe Neto]],Imput[[C. Imp.]:[C. Imp.]],$D113,Imput[[PERIODO Imp.]:[PERIODO Imp.]],CM$9)</f>
        <v>0</v>
      </c>
      <c r="CN113" s="516">
        <f>SUMIFS(Imput[[Importe Neto]:[Importe Neto]],Imput[[C. Imp.]:[C. Imp.]],$D113,Imput[[PERIODO Imp.]:[PERIODO Imp.]],CN$9)</f>
        <v>0</v>
      </c>
      <c r="CO113" s="516">
        <f>SUMIFS(Imput[[Importe Neto]:[Importe Neto]],Imput[[C. Imp.]:[C. Imp.]],$D113,Imput[[PERIODO Imp.]:[PERIODO Imp.]],CO$9)</f>
        <v>0</v>
      </c>
      <c r="CP113" s="516">
        <f>SUMIFS(Imput[[Importe Neto]:[Importe Neto]],Imput[[C. Imp.]:[C. Imp.]],$D113,Imput[[PERIODO Imp.]:[PERIODO Imp.]],CP$9)</f>
        <v>0</v>
      </c>
      <c r="CQ113" s="516">
        <f>SUMIFS(Imput[[Importe Neto]:[Importe Neto]],Imput[[C. Imp.]:[C. Imp.]],$D113,Imput[[PERIODO Imp.]:[PERIODO Imp.]],CQ$9)</f>
        <v>0</v>
      </c>
      <c r="CR113" s="516">
        <f>SUMIFS(Imput[[Importe Neto]:[Importe Neto]],Imput[[C. Imp.]:[C. Imp.]],$D113,Imput[[PERIODO Imp.]:[PERIODO Imp.]],CR$9)</f>
        <v>0</v>
      </c>
      <c r="CS113" s="516">
        <f>SUMIFS(Imput[[Importe Neto]:[Importe Neto]],Imput[[C. Imp.]:[C. Imp.]],$D113,Imput[[PERIODO Imp.]:[PERIODO Imp.]],CS$9)</f>
        <v>0</v>
      </c>
      <c r="CT113" s="516">
        <f>SUMIFS(Imput[[Importe Neto]:[Importe Neto]],Imput[[C. Imp.]:[C. Imp.]],$D113,Imput[[PERIODO Imp.]:[PERIODO Imp.]],CT$9)</f>
        <v>0</v>
      </c>
      <c r="CU113" s="516">
        <f>SUMIFS(Imput[[Importe Neto]:[Importe Neto]],Imput[[C. Imp.]:[C. Imp.]],$D113,Imput[[PERIODO Imp.]:[PERIODO Imp.]],CU$9)</f>
        <v>0</v>
      </c>
      <c r="CV113" s="516">
        <f>SUMIFS(Imput[[Importe Neto]:[Importe Neto]],Imput[[C. Imp.]:[C. Imp.]],$D113,Imput[[PERIODO Imp.]:[PERIODO Imp.]],CV$9)</f>
        <v>0</v>
      </c>
      <c r="CW113" s="516">
        <f>SUMIFS(Imput[[Importe Neto]:[Importe Neto]],Imput[[C. Imp.]:[C. Imp.]],$D113,Imput[[PERIODO Imp.]:[PERIODO Imp.]],CW$9)</f>
        <v>0</v>
      </c>
      <c r="CX113" s="516">
        <f>SUMIFS(Imput[[Importe Neto]:[Importe Neto]],Imput[[C. Imp.]:[C. Imp.]],$D113,Imput[[PERIODO Imp.]:[PERIODO Imp.]],CX$9)</f>
        <v>0</v>
      </c>
      <c r="CY113" s="516">
        <f>SUMIFS(Imput[[Importe Neto]:[Importe Neto]],Imput[[C. Imp.]:[C. Imp.]],$D113,Imput[[PERIODO Imp.]:[PERIODO Imp.]],CY$9)</f>
        <v>0</v>
      </c>
      <c r="CZ113" s="516">
        <f>SUMIFS(Imput[[Importe Neto]:[Importe Neto]],Imput[[C. Imp.]:[C. Imp.]],$D113,Imput[[PERIODO Imp.]:[PERIODO Imp.]],CZ$9)</f>
        <v>0</v>
      </c>
      <c r="DA113" s="516">
        <f>SUMIFS(Imput[[Importe Neto]:[Importe Neto]],Imput[[C. Imp.]:[C. Imp.]],$D113,Imput[[PERIODO Imp.]:[PERIODO Imp.]],DA$9)</f>
        <v>0</v>
      </c>
      <c r="DB113" s="516">
        <f>SUMIFS(Imput[[Importe Neto]:[Importe Neto]],Imput[[C. Imp.]:[C. Imp.]],$D113,Imput[[PERIODO Imp.]:[PERIODO Imp.]],DB$9)</f>
        <v>0</v>
      </c>
      <c r="DC113" s="516">
        <f>SUMIFS(Imput[[Importe Neto]:[Importe Neto]],Imput[[C. Imp.]:[C. Imp.]],$D113,Imput[[PERIODO Imp.]:[PERIODO Imp.]],DC$9)</f>
        <v>0</v>
      </c>
      <c r="DD113" s="516">
        <f>SUMIFS(Imput[[Importe Neto]:[Importe Neto]],Imput[[C. Imp.]:[C. Imp.]],$D113,Imput[[PERIODO Imp.]:[PERIODO Imp.]],DD$9)</f>
        <v>0</v>
      </c>
      <c r="DE113" s="516">
        <f>SUMIFS(Imput[[Importe Neto]:[Importe Neto]],Imput[[C. Imp.]:[C. Imp.]],$D113,Imput[[PERIODO Imp.]:[PERIODO Imp.]],DE$9)</f>
        <v>0</v>
      </c>
      <c r="DF113" s="516">
        <f>SUMIFS(Imput[[Importe Neto]:[Importe Neto]],Imput[[C. Imp.]:[C. Imp.]],$D113,Imput[[PERIODO Imp.]:[PERIODO Imp.]],DF$9)</f>
        <v>0</v>
      </c>
      <c r="DG113" s="516">
        <f>SUMIFS(Imput[[Importe Neto]:[Importe Neto]],Imput[[C. Imp.]:[C. Imp.]],$D113,Imput[[PERIODO Imp.]:[PERIODO Imp.]],DG$9)</f>
        <v>0</v>
      </c>
      <c r="DH113" s="616">
        <f>SUMIFS(Imput[[Importe Neto]:[Importe Neto]],Imput[[C. Imp.]:[C. Imp.]],$D113,Imput[[PERIODO Imp.]:[PERIODO Imp.]],DH$9)</f>
        <v>0</v>
      </c>
    </row>
    <row r="114" spans="1:112" hidden="1" outlineLevel="1" x14ac:dyDescent="0.3">
      <c r="A114" s="66" t="str">
        <f t="shared" si="22"/>
        <v/>
      </c>
      <c r="C114" s="527"/>
      <c r="D114" s="528" t="s">
        <v>2226</v>
      </c>
      <c r="E114" s="528"/>
      <c r="F114" s="534"/>
      <c r="G114" s="529"/>
      <c r="H114" s="530"/>
      <c r="I114" s="849" t="str">
        <f t="shared" si="23"/>
        <v/>
      </c>
      <c r="J114" s="850" t="str">
        <f t="shared" si="24"/>
        <v/>
      </c>
      <c r="K114" s="70"/>
      <c r="L114" s="853"/>
      <c r="M114" s="855"/>
      <c r="N114" s="855"/>
      <c r="O114" s="855"/>
      <c r="P114" s="855"/>
      <c r="Q114" s="855"/>
      <c r="R114" s="855"/>
      <c r="S114" s="855"/>
      <c r="T114" s="855"/>
      <c r="U114" s="855"/>
      <c r="V114" s="855"/>
      <c r="W114" s="855"/>
      <c r="X114" s="855"/>
      <c r="Y114" s="855"/>
      <c r="Z114" s="856"/>
      <c r="AA114" s="856"/>
      <c r="AB114" s="856"/>
      <c r="AC114" s="856"/>
      <c r="AD114" s="856"/>
      <c r="AE114" s="856"/>
      <c r="AF114" s="856"/>
      <c r="AG114" s="856"/>
      <c r="AH114" s="856"/>
      <c r="AI114" s="856"/>
      <c r="AJ114" s="856"/>
      <c r="AK114" s="856"/>
      <c r="AL114" s="856"/>
      <c r="AM114" s="856"/>
      <c r="AN114" s="856"/>
      <c r="AO114" s="856"/>
      <c r="AP114" s="856"/>
      <c r="AQ114" s="856"/>
      <c r="AR114" s="856"/>
      <c r="AS114" s="856"/>
      <c r="AT114" s="856"/>
      <c r="AU114" s="856"/>
      <c r="AV114" s="856"/>
      <c r="AW114" s="856"/>
      <c r="AX114" s="856"/>
      <c r="AY114" s="856"/>
      <c r="AZ114" s="856"/>
      <c r="BA114" s="856"/>
      <c r="BB114" s="856"/>
      <c r="BC114" s="856"/>
      <c r="BD114" s="856"/>
      <c r="BE114" s="856"/>
      <c r="BF114" s="856"/>
      <c r="BG114" s="857"/>
      <c r="BH114" s="590"/>
      <c r="BI114" s="70"/>
      <c r="BJ114" s="518">
        <f t="shared" si="25"/>
        <v>0</v>
      </c>
      <c r="BK114" s="517">
        <f t="shared" si="26"/>
        <v>0</v>
      </c>
      <c r="BL114" s="68"/>
      <c r="BM114" s="515">
        <f>SUMIFS(Imput[[Importe Neto]:[Importe Neto]],Imput[[C. Imp.]:[C. Imp.]],$D114,Imput[[PERIODO Imp.]:[PERIODO Imp.]],BM$9)</f>
        <v>0</v>
      </c>
      <c r="BN114" s="516">
        <f>SUMIFS(Imput[[Importe Neto]:[Importe Neto]],Imput[[C. Imp.]:[C. Imp.]],$D114,Imput[[PERIODO Imp.]:[PERIODO Imp.]],BN$9)</f>
        <v>0</v>
      </c>
      <c r="BO114" s="516">
        <f>SUMIFS(Imput[[Importe Neto]:[Importe Neto]],Imput[[C. Imp.]:[C. Imp.]],$D114,Imput[[PERIODO Imp.]:[PERIODO Imp.]],BO$9)</f>
        <v>0</v>
      </c>
      <c r="BP114" s="516">
        <f>SUMIFS(Imput[[Importe Neto]:[Importe Neto]],Imput[[C. Imp.]:[C. Imp.]],$D114,Imput[[PERIODO Imp.]:[PERIODO Imp.]],BP$9)</f>
        <v>0</v>
      </c>
      <c r="BQ114" s="516">
        <f>SUMIFS(Imput[[Importe Neto]:[Importe Neto]],Imput[[C. Imp.]:[C. Imp.]],$D114,Imput[[PERIODO Imp.]:[PERIODO Imp.]],BQ$9)</f>
        <v>0</v>
      </c>
      <c r="BR114" s="516">
        <f>SUMIFS(Imput[[Importe Neto]:[Importe Neto]],Imput[[C. Imp.]:[C. Imp.]],$D114,Imput[[PERIODO Imp.]:[PERIODO Imp.]],BR$9)</f>
        <v>0</v>
      </c>
      <c r="BS114" s="516">
        <f>SUMIFS(Imput[[Importe Neto]:[Importe Neto]],Imput[[C. Imp.]:[C. Imp.]],$D114,Imput[[PERIODO Imp.]:[PERIODO Imp.]],BS$9)</f>
        <v>0</v>
      </c>
      <c r="BT114" s="516">
        <f>SUMIFS(Imput[[Importe Neto]:[Importe Neto]],Imput[[C. Imp.]:[C. Imp.]],$D114,Imput[[PERIODO Imp.]:[PERIODO Imp.]],BT$9)</f>
        <v>0</v>
      </c>
      <c r="BU114" s="516">
        <f>SUMIFS(Imput[[Importe Neto]:[Importe Neto]],Imput[[C. Imp.]:[C. Imp.]],$D114,Imput[[PERIODO Imp.]:[PERIODO Imp.]],BU$9)</f>
        <v>0</v>
      </c>
      <c r="BV114" s="516">
        <f>SUMIFS(Imput[[Importe Neto]:[Importe Neto]],Imput[[C. Imp.]:[C. Imp.]],$D114,Imput[[PERIODO Imp.]:[PERIODO Imp.]],BV$9)</f>
        <v>0</v>
      </c>
      <c r="BW114" s="516">
        <f>SUMIFS(Imput[[Importe Neto]:[Importe Neto]],Imput[[C. Imp.]:[C. Imp.]],$D114,Imput[[PERIODO Imp.]:[PERIODO Imp.]],BW$9)</f>
        <v>0</v>
      </c>
      <c r="BX114" s="516">
        <f>SUMIFS(Imput[[Importe Neto]:[Importe Neto]],Imput[[C. Imp.]:[C. Imp.]],$D114,Imput[[PERIODO Imp.]:[PERIODO Imp.]],BX$9)</f>
        <v>0</v>
      </c>
      <c r="BY114" s="516">
        <f>SUMIFS(Imput[[Importe Neto]:[Importe Neto]],Imput[[C. Imp.]:[C. Imp.]],$D114,Imput[[PERIODO Imp.]:[PERIODO Imp.]],BY$9)</f>
        <v>0</v>
      </c>
      <c r="BZ114" s="516">
        <f>SUMIFS(Imput[[Importe Neto]:[Importe Neto]],Imput[[C. Imp.]:[C. Imp.]],$D114,Imput[[PERIODO Imp.]:[PERIODO Imp.]],BZ$9)</f>
        <v>0</v>
      </c>
      <c r="CA114" s="516">
        <f>SUMIFS(Imput[[Importe Neto]:[Importe Neto]],Imput[[C. Imp.]:[C. Imp.]],$D114,Imput[[PERIODO Imp.]:[PERIODO Imp.]],CA$9)</f>
        <v>0</v>
      </c>
      <c r="CB114" s="516">
        <f>SUMIFS(Imput[[Importe Neto]:[Importe Neto]],Imput[[C. Imp.]:[C. Imp.]],$D114,Imput[[PERIODO Imp.]:[PERIODO Imp.]],CB$9)</f>
        <v>0</v>
      </c>
      <c r="CC114" s="516">
        <f>SUMIFS(Imput[[Importe Neto]:[Importe Neto]],Imput[[C. Imp.]:[C. Imp.]],$D114,Imput[[PERIODO Imp.]:[PERIODO Imp.]],CC$9)</f>
        <v>0</v>
      </c>
      <c r="CD114" s="516">
        <f>SUMIFS(Imput[[Importe Neto]:[Importe Neto]],Imput[[C. Imp.]:[C. Imp.]],$D114,Imput[[PERIODO Imp.]:[PERIODO Imp.]],CD$9)</f>
        <v>0</v>
      </c>
      <c r="CE114" s="516">
        <f>SUMIFS(Imput[[Importe Neto]:[Importe Neto]],Imput[[C. Imp.]:[C. Imp.]],$D114,Imput[[PERIODO Imp.]:[PERIODO Imp.]],CE$9)</f>
        <v>0</v>
      </c>
      <c r="CF114" s="516">
        <f>SUMIFS(Imput[[Importe Neto]:[Importe Neto]],Imput[[C. Imp.]:[C. Imp.]],$D114,Imput[[PERIODO Imp.]:[PERIODO Imp.]],CF$9)</f>
        <v>0</v>
      </c>
      <c r="CG114" s="516">
        <f>SUMIFS(Imput[[Importe Neto]:[Importe Neto]],Imput[[C. Imp.]:[C. Imp.]],$D114,Imput[[PERIODO Imp.]:[PERIODO Imp.]],CG$9)</f>
        <v>0</v>
      </c>
      <c r="CH114" s="516">
        <f>SUMIFS(Imput[[Importe Neto]:[Importe Neto]],Imput[[C. Imp.]:[C. Imp.]],$D114,Imput[[PERIODO Imp.]:[PERIODO Imp.]],CH$9)</f>
        <v>0</v>
      </c>
      <c r="CI114" s="516">
        <f>SUMIFS(Imput[[Importe Neto]:[Importe Neto]],Imput[[C. Imp.]:[C. Imp.]],$D114,Imput[[PERIODO Imp.]:[PERIODO Imp.]],CI$9)</f>
        <v>0</v>
      </c>
      <c r="CJ114" s="516">
        <f>SUMIFS(Imput[[Importe Neto]:[Importe Neto]],Imput[[C. Imp.]:[C. Imp.]],$D114,Imput[[PERIODO Imp.]:[PERIODO Imp.]],CJ$9)</f>
        <v>0</v>
      </c>
      <c r="CK114" s="516">
        <f>SUMIFS(Imput[[Importe Neto]:[Importe Neto]],Imput[[C. Imp.]:[C. Imp.]],$D114,Imput[[PERIODO Imp.]:[PERIODO Imp.]],CK$9)</f>
        <v>0</v>
      </c>
      <c r="CL114" s="516">
        <f>SUMIFS(Imput[[Importe Neto]:[Importe Neto]],Imput[[C. Imp.]:[C. Imp.]],$D114,Imput[[PERIODO Imp.]:[PERIODO Imp.]],CL$9)</f>
        <v>0</v>
      </c>
      <c r="CM114" s="516">
        <f>SUMIFS(Imput[[Importe Neto]:[Importe Neto]],Imput[[C. Imp.]:[C. Imp.]],$D114,Imput[[PERIODO Imp.]:[PERIODO Imp.]],CM$9)</f>
        <v>0</v>
      </c>
      <c r="CN114" s="516">
        <f>SUMIFS(Imput[[Importe Neto]:[Importe Neto]],Imput[[C. Imp.]:[C. Imp.]],$D114,Imput[[PERIODO Imp.]:[PERIODO Imp.]],CN$9)</f>
        <v>0</v>
      </c>
      <c r="CO114" s="516">
        <f>SUMIFS(Imput[[Importe Neto]:[Importe Neto]],Imput[[C. Imp.]:[C. Imp.]],$D114,Imput[[PERIODO Imp.]:[PERIODO Imp.]],CO$9)</f>
        <v>0</v>
      </c>
      <c r="CP114" s="516">
        <f>SUMIFS(Imput[[Importe Neto]:[Importe Neto]],Imput[[C. Imp.]:[C. Imp.]],$D114,Imput[[PERIODO Imp.]:[PERIODO Imp.]],CP$9)</f>
        <v>0</v>
      </c>
      <c r="CQ114" s="516">
        <f>SUMIFS(Imput[[Importe Neto]:[Importe Neto]],Imput[[C. Imp.]:[C. Imp.]],$D114,Imput[[PERIODO Imp.]:[PERIODO Imp.]],CQ$9)</f>
        <v>0</v>
      </c>
      <c r="CR114" s="516">
        <f>SUMIFS(Imput[[Importe Neto]:[Importe Neto]],Imput[[C. Imp.]:[C. Imp.]],$D114,Imput[[PERIODO Imp.]:[PERIODO Imp.]],CR$9)</f>
        <v>0</v>
      </c>
      <c r="CS114" s="516">
        <f>SUMIFS(Imput[[Importe Neto]:[Importe Neto]],Imput[[C. Imp.]:[C. Imp.]],$D114,Imput[[PERIODO Imp.]:[PERIODO Imp.]],CS$9)</f>
        <v>0</v>
      </c>
      <c r="CT114" s="516">
        <f>SUMIFS(Imput[[Importe Neto]:[Importe Neto]],Imput[[C. Imp.]:[C. Imp.]],$D114,Imput[[PERIODO Imp.]:[PERIODO Imp.]],CT$9)</f>
        <v>0</v>
      </c>
      <c r="CU114" s="516">
        <f>SUMIFS(Imput[[Importe Neto]:[Importe Neto]],Imput[[C. Imp.]:[C. Imp.]],$D114,Imput[[PERIODO Imp.]:[PERIODO Imp.]],CU$9)</f>
        <v>0</v>
      </c>
      <c r="CV114" s="516">
        <f>SUMIFS(Imput[[Importe Neto]:[Importe Neto]],Imput[[C. Imp.]:[C. Imp.]],$D114,Imput[[PERIODO Imp.]:[PERIODO Imp.]],CV$9)</f>
        <v>0</v>
      </c>
      <c r="CW114" s="516">
        <f>SUMIFS(Imput[[Importe Neto]:[Importe Neto]],Imput[[C. Imp.]:[C. Imp.]],$D114,Imput[[PERIODO Imp.]:[PERIODO Imp.]],CW$9)</f>
        <v>0</v>
      </c>
      <c r="CX114" s="516">
        <f>SUMIFS(Imput[[Importe Neto]:[Importe Neto]],Imput[[C. Imp.]:[C. Imp.]],$D114,Imput[[PERIODO Imp.]:[PERIODO Imp.]],CX$9)</f>
        <v>0</v>
      </c>
      <c r="CY114" s="516">
        <f>SUMIFS(Imput[[Importe Neto]:[Importe Neto]],Imput[[C. Imp.]:[C. Imp.]],$D114,Imput[[PERIODO Imp.]:[PERIODO Imp.]],CY$9)</f>
        <v>0</v>
      </c>
      <c r="CZ114" s="516">
        <f>SUMIFS(Imput[[Importe Neto]:[Importe Neto]],Imput[[C. Imp.]:[C. Imp.]],$D114,Imput[[PERIODO Imp.]:[PERIODO Imp.]],CZ$9)</f>
        <v>0</v>
      </c>
      <c r="DA114" s="516">
        <f>SUMIFS(Imput[[Importe Neto]:[Importe Neto]],Imput[[C. Imp.]:[C. Imp.]],$D114,Imput[[PERIODO Imp.]:[PERIODO Imp.]],DA$9)</f>
        <v>0</v>
      </c>
      <c r="DB114" s="516">
        <f>SUMIFS(Imput[[Importe Neto]:[Importe Neto]],Imput[[C. Imp.]:[C. Imp.]],$D114,Imput[[PERIODO Imp.]:[PERIODO Imp.]],DB$9)</f>
        <v>0</v>
      </c>
      <c r="DC114" s="516">
        <f>SUMIFS(Imput[[Importe Neto]:[Importe Neto]],Imput[[C. Imp.]:[C. Imp.]],$D114,Imput[[PERIODO Imp.]:[PERIODO Imp.]],DC$9)</f>
        <v>0</v>
      </c>
      <c r="DD114" s="516">
        <f>SUMIFS(Imput[[Importe Neto]:[Importe Neto]],Imput[[C. Imp.]:[C. Imp.]],$D114,Imput[[PERIODO Imp.]:[PERIODO Imp.]],DD$9)</f>
        <v>0</v>
      </c>
      <c r="DE114" s="516">
        <f>SUMIFS(Imput[[Importe Neto]:[Importe Neto]],Imput[[C. Imp.]:[C. Imp.]],$D114,Imput[[PERIODO Imp.]:[PERIODO Imp.]],DE$9)</f>
        <v>0</v>
      </c>
      <c r="DF114" s="516">
        <f>SUMIFS(Imput[[Importe Neto]:[Importe Neto]],Imput[[C. Imp.]:[C. Imp.]],$D114,Imput[[PERIODO Imp.]:[PERIODO Imp.]],DF$9)</f>
        <v>0</v>
      </c>
      <c r="DG114" s="516">
        <f>SUMIFS(Imput[[Importe Neto]:[Importe Neto]],Imput[[C. Imp.]:[C. Imp.]],$D114,Imput[[PERIODO Imp.]:[PERIODO Imp.]],DG$9)</f>
        <v>0</v>
      </c>
      <c r="DH114" s="616">
        <f>SUMIFS(Imput[[Importe Neto]:[Importe Neto]],Imput[[C. Imp.]:[C. Imp.]],$D114,Imput[[PERIODO Imp.]:[PERIODO Imp.]],DH$9)</f>
        <v>0</v>
      </c>
    </row>
    <row r="115" spans="1:112" hidden="1" outlineLevel="1" x14ac:dyDescent="0.3">
      <c r="A115" s="66" t="str">
        <f t="shared" si="22"/>
        <v/>
      </c>
      <c r="C115" s="527"/>
      <c r="D115" s="528" t="s">
        <v>2227</v>
      </c>
      <c r="E115" s="528"/>
      <c r="F115" s="534"/>
      <c r="G115" s="529"/>
      <c r="H115" s="530"/>
      <c r="I115" s="849" t="str">
        <f t="shared" si="23"/>
        <v/>
      </c>
      <c r="J115" s="850" t="str">
        <f t="shared" si="24"/>
        <v/>
      </c>
      <c r="K115" s="70"/>
      <c r="L115" s="853"/>
      <c r="M115" s="855"/>
      <c r="N115" s="855"/>
      <c r="O115" s="855"/>
      <c r="P115" s="855"/>
      <c r="Q115" s="855"/>
      <c r="R115" s="855"/>
      <c r="S115" s="855"/>
      <c r="T115" s="855"/>
      <c r="U115" s="855"/>
      <c r="V115" s="855"/>
      <c r="W115" s="855"/>
      <c r="X115" s="855"/>
      <c r="Y115" s="855"/>
      <c r="Z115" s="856"/>
      <c r="AA115" s="856"/>
      <c r="AB115" s="856"/>
      <c r="AC115" s="856"/>
      <c r="AD115" s="856"/>
      <c r="AE115" s="856"/>
      <c r="AF115" s="856"/>
      <c r="AG115" s="856"/>
      <c r="AH115" s="856"/>
      <c r="AI115" s="856"/>
      <c r="AJ115" s="856"/>
      <c r="AK115" s="856"/>
      <c r="AL115" s="856"/>
      <c r="AM115" s="856"/>
      <c r="AN115" s="856"/>
      <c r="AO115" s="856"/>
      <c r="AP115" s="856"/>
      <c r="AQ115" s="856"/>
      <c r="AR115" s="856"/>
      <c r="AS115" s="856"/>
      <c r="AT115" s="856"/>
      <c r="AU115" s="856"/>
      <c r="AV115" s="856"/>
      <c r="AW115" s="856"/>
      <c r="AX115" s="856"/>
      <c r="AY115" s="856"/>
      <c r="AZ115" s="856"/>
      <c r="BA115" s="856"/>
      <c r="BB115" s="856"/>
      <c r="BC115" s="856"/>
      <c r="BD115" s="856"/>
      <c r="BE115" s="856"/>
      <c r="BF115" s="856"/>
      <c r="BG115" s="857"/>
      <c r="BH115" s="590"/>
      <c r="BI115" s="70"/>
      <c r="BJ115" s="518">
        <f t="shared" si="25"/>
        <v>0</v>
      </c>
      <c r="BK115" s="517">
        <f t="shared" si="26"/>
        <v>0</v>
      </c>
      <c r="BL115" s="68"/>
      <c r="BM115" s="515">
        <f>SUMIFS(Imput[[Importe Neto]:[Importe Neto]],Imput[[C. Imp.]:[C. Imp.]],$D115,Imput[[PERIODO Imp.]:[PERIODO Imp.]],BM$9)</f>
        <v>0</v>
      </c>
      <c r="BN115" s="516">
        <f>SUMIFS(Imput[[Importe Neto]:[Importe Neto]],Imput[[C. Imp.]:[C. Imp.]],$D115,Imput[[PERIODO Imp.]:[PERIODO Imp.]],BN$9)</f>
        <v>0</v>
      </c>
      <c r="BO115" s="516">
        <f>SUMIFS(Imput[[Importe Neto]:[Importe Neto]],Imput[[C. Imp.]:[C. Imp.]],$D115,Imput[[PERIODO Imp.]:[PERIODO Imp.]],BO$9)</f>
        <v>0</v>
      </c>
      <c r="BP115" s="516">
        <f>SUMIFS(Imput[[Importe Neto]:[Importe Neto]],Imput[[C. Imp.]:[C. Imp.]],$D115,Imput[[PERIODO Imp.]:[PERIODO Imp.]],BP$9)</f>
        <v>0</v>
      </c>
      <c r="BQ115" s="516">
        <f>SUMIFS(Imput[[Importe Neto]:[Importe Neto]],Imput[[C. Imp.]:[C. Imp.]],$D115,Imput[[PERIODO Imp.]:[PERIODO Imp.]],BQ$9)</f>
        <v>0</v>
      </c>
      <c r="BR115" s="516">
        <f>SUMIFS(Imput[[Importe Neto]:[Importe Neto]],Imput[[C. Imp.]:[C. Imp.]],$D115,Imput[[PERIODO Imp.]:[PERIODO Imp.]],BR$9)</f>
        <v>0</v>
      </c>
      <c r="BS115" s="516">
        <f>SUMIFS(Imput[[Importe Neto]:[Importe Neto]],Imput[[C. Imp.]:[C. Imp.]],$D115,Imput[[PERIODO Imp.]:[PERIODO Imp.]],BS$9)</f>
        <v>0</v>
      </c>
      <c r="BT115" s="516">
        <f>SUMIFS(Imput[[Importe Neto]:[Importe Neto]],Imput[[C. Imp.]:[C. Imp.]],$D115,Imput[[PERIODO Imp.]:[PERIODO Imp.]],BT$9)</f>
        <v>0</v>
      </c>
      <c r="BU115" s="516">
        <f>SUMIFS(Imput[[Importe Neto]:[Importe Neto]],Imput[[C. Imp.]:[C. Imp.]],$D115,Imput[[PERIODO Imp.]:[PERIODO Imp.]],BU$9)</f>
        <v>0</v>
      </c>
      <c r="BV115" s="516">
        <f>SUMIFS(Imput[[Importe Neto]:[Importe Neto]],Imput[[C. Imp.]:[C. Imp.]],$D115,Imput[[PERIODO Imp.]:[PERIODO Imp.]],BV$9)</f>
        <v>0</v>
      </c>
      <c r="BW115" s="516">
        <f>SUMIFS(Imput[[Importe Neto]:[Importe Neto]],Imput[[C. Imp.]:[C. Imp.]],$D115,Imput[[PERIODO Imp.]:[PERIODO Imp.]],BW$9)</f>
        <v>0</v>
      </c>
      <c r="BX115" s="516">
        <f>SUMIFS(Imput[[Importe Neto]:[Importe Neto]],Imput[[C. Imp.]:[C. Imp.]],$D115,Imput[[PERIODO Imp.]:[PERIODO Imp.]],BX$9)</f>
        <v>0</v>
      </c>
      <c r="BY115" s="516">
        <f>SUMIFS(Imput[[Importe Neto]:[Importe Neto]],Imput[[C. Imp.]:[C. Imp.]],$D115,Imput[[PERIODO Imp.]:[PERIODO Imp.]],BY$9)</f>
        <v>0</v>
      </c>
      <c r="BZ115" s="516">
        <f>SUMIFS(Imput[[Importe Neto]:[Importe Neto]],Imput[[C. Imp.]:[C. Imp.]],$D115,Imput[[PERIODO Imp.]:[PERIODO Imp.]],BZ$9)</f>
        <v>0</v>
      </c>
      <c r="CA115" s="516">
        <f>SUMIFS(Imput[[Importe Neto]:[Importe Neto]],Imput[[C. Imp.]:[C. Imp.]],$D115,Imput[[PERIODO Imp.]:[PERIODO Imp.]],CA$9)</f>
        <v>0</v>
      </c>
      <c r="CB115" s="516">
        <f>SUMIFS(Imput[[Importe Neto]:[Importe Neto]],Imput[[C. Imp.]:[C. Imp.]],$D115,Imput[[PERIODO Imp.]:[PERIODO Imp.]],CB$9)</f>
        <v>0</v>
      </c>
      <c r="CC115" s="516">
        <f>SUMIFS(Imput[[Importe Neto]:[Importe Neto]],Imput[[C. Imp.]:[C. Imp.]],$D115,Imput[[PERIODO Imp.]:[PERIODO Imp.]],CC$9)</f>
        <v>0</v>
      </c>
      <c r="CD115" s="516">
        <f>SUMIFS(Imput[[Importe Neto]:[Importe Neto]],Imput[[C. Imp.]:[C. Imp.]],$D115,Imput[[PERIODO Imp.]:[PERIODO Imp.]],CD$9)</f>
        <v>0</v>
      </c>
      <c r="CE115" s="516">
        <f>SUMIFS(Imput[[Importe Neto]:[Importe Neto]],Imput[[C. Imp.]:[C. Imp.]],$D115,Imput[[PERIODO Imp.]:[PERIODO Imp.]],CE$9)</f>
        <v>0</v>
      </c>
      <c r="CF115" s="516">
        <f>SUMIFS(Imput[[Importe Neto]:[Importe Neto]],Imput[[C. Imp.]:[C. Imp.]],$D115,Imput[[PERIODO Imp.]:[PERIODO Imp.]],CF$9)</f>
        <v>0</v>
      </c>
      <c r="CG115" s="516">
        <f>SUMIFS(Imput[[Importe Neto]:[Importe Neto]],Imput[[C. Imp.]:[C. Imp.]],$D115,Imput[[PERIODO Imp.]:[PERIODO Imp.]],CG$9)</f>
        <v>0</v>
      </c>
      <c r="CH115" s="516">
        <f>SUMIFS(Imput[[Importe Neto]:[Importe Neto]],Imput[[C. Imp.]:[C. Imp.]],$D115,Imput[[PERIODO Imp.]:[PERIODO Imp.]],CH$9)</f>
        <v>0</v>
      </c>
      <c r="CI115" s="516">
        <f>SUMIFS(Imput[[Importe Neto]:[Importe Neto]],Imput[[C. Imp.]:[C. Imp.]],$D115,Imput[[PERIODO Imp.]:[PERIODO Imp.]],CI$9)</f>
        <v>0</v>
      </c>
      <c r="CJ115" s="516">
        <f>SUMIFS(Imput[[Importe Neto]:[Importe Neto]],Imput[[C. Imp.]:[C. Imp.]],$D115,Imput[[PERIODO Imp.]:[PERIODO Imp.]],CJ$9)</f>
        <v>0</v>
      </c>
      <c r="CK115" s="516">
        <f>SUMIFS(Imput[[Importe Neto]:[Importe Neto]],Imput[[C. Imp.]:[C. Imp.]],$D115,Imput[[PERIODO Imp.]:[PERIODO Imp.]],CK$9)</f>
        <v>0</v>
      </c>
      <c r="CL115" s="516">
        <f>SUMIFS(Imput[[Importe Neto]:[Importe Neto]],Imput[[C. Imp.]:[C. Imp.]],$D115,Imput[[PERIODO Imp.]:[PERIODO Imp.]],CL$9)</f>
        <v>0</v>
      </c>
      <c r="CM115" s="516">
        <f>SUMIFS(Imput[[Importe Neto]:[Importe Neto]],Imput[[C. Imp.]:[C. Imp.]],$D115,Imput[[PERIODO Imp.]:[PERIODO Imp.]],CM$9)</f>
        <v>0</v>
      </c>
      <c r="CN115" s="516">
        <f>SUMIFS(Imput[[Importe Neto]:[Importe Neto]],Imput[[C. Imp.]:[C. Imp.]],$D115,Imput[[PERIODO Imp.]:[PERIODO Imp.]],CN$9)</f>
        <v>0</v>
      </c>
      <c r="CO115" s="516">
        <f>SUMIFS(Imput[[Importe Neto]:[Importe Neto]],Imput[[C. Imp.]:[C. Imp.]],$D115,Imput[[PERIODO Imp.]:[PERIODO Imp.]],CO$9)</f>
        <v>0</v>
      </c>
      <c r="CP115" s="516">
        <f>SUMIFS(Imput[[Importe Neto]:[Importe Neto]],Imput[[C. Imp.]:[C. Imp.]],$D115,Imput[[PERIODO Imp.]:[PERIODO Imp.]],CP$9)</f>
        <v>0</v>
      </c>
      <c r="CQ115" s="516">
        <f>SUMIFS(Imput[[Importe Neto]:[Importe Neto]],Imput[[C. Imp.]:[C. Imp.]],$D115,Imput[[PERIODO Imp.]:[PERIODO Imp.]],CQ$9)</f>
        <v>0</v>
      </c>
      <c r="CR115" s="516">
        <f>SUMIFS(Imput[[Importe Neto]:[Importe Neto]],Imput[[C. Imp.]:[C. Imp.]],$D115,Imput[[PERIODO Imp.]:[PERIODO Imp.]],CR$9)</f>
        <v>0</v>
      </c>
      <c r="CS115" s="516">
        <f>SUMIFS(Imput[[Importe Neto]:[Importe Neto]],Imput[[C. Imp.]:[C. Imp.]],$D115,Imput[[PERIODO Imp.]:[PERIODO Imp.]],CS$9)</f>
        <v>0</v>
      </c>
      <c r="CT115" s="516">
        <f>SUMIFS(Imput[[Importe Neto]:[Importe Neto]],Imput[[C. Imp.]:[C. Imp.]],$D115,Imput[[PERIODO Imp.]:[PERIODO Imp.]],CT$9)</f>
        <v>0</v>
      </c>
      <c r="CU115" s="516">
        <f>SUMIFS(Imput[[Importe Neto]:[Importe Neto]],Imput[[C. Imp.]:[C. Imp.]],$D115,Imput[[PERIODO Imp.]:[PERIODO Imp.]],CU$9)</f>
        <v>0</v>
      </c>
      <c r="CV115" s="516">
        <f>SUMIFS(Imput[[Importe Neto]:[Importe Neto]],Imput[[C. Imp.]:[C. Imp.]],$D115,Imput[[PERIODO Imp.]:[PERIODO Imp.]],CV$9)</f>
        <v>0</v>
      </c>
      <c r="CW115" s="516">
        <f>SUMIFS(Imput[[Importe Neto]:[Importe Neto]],Imput[[C. Imp.]:[C. Imp.]],$D115,Imput[[PERIODO Imp.]:[PERIODO Imp.]],CW$9)</f>
        <v>0</v>
      </c>
      <c r="CX115" s="516">
        <f>SUMIFS(Imput[[Importe Neto]:[Importe Neto]],Imput[[C. Imp.]:[C. Imp.]],$D115,Imput[[PERIODO Imp.]:[PERIODO Imp.]],CX$9)</f>
        <v>0</v>
      </c>
      <c r="CY115" s="516">
        <f>SUMIFS(Imput[[Importe Neto]:[Importe Neto]],Imput[[C. Imp.]:[C. Imp.]],$D115,Imput[[PERIODO Imp.]:[PERIODO Imp.]],CY$9)</f>
        <v>0</v>
      </c>
      <c r="CZ115" s="516">
        <f>SUMIFS(Imput[[Importe Neto]:[Importe Neto]],Imput[[C. Imp.]:[C. Imp.]],$D115,Imput[[PERIODO Imp.]:[PERIODO Imp.]],CZ$9)</f>
        <v>0</v>
      </c>
      <c r="DA115" s="516">
        <f>SUMIFS(Imput[[Importe Neto]:[Importe Neto]],Imput[[C. Imp.]:[C. Imp.]],$D115,Imput[[PERIODO Imp.]:[PERIODO Imp.]],DA$9)</f>
        <v>0</v>
      </c>
      <c r="DB115" s="516">
        <f>SUMIFS(Imput[[Importe Neto]:[Importe Neto]],Imput[[C. Imp.]:[C. Imp.]],$D115,Imput[[PERIODO Imp.]:[PERIODO Imp.]],DB$9)</f>
        <v>0</v>
      </c>
      <c r="DC115" s="516">
        <f>SUMIFS(Imput[[Importe Neto]:[Importe Neto]],Imput[[C. Imp.]:[C. Imp.]],$D115,Imput[[PERIODO Imp.]:[PERIODO Imp.]],DC$9)</f>
        <v>0</v>
      </c>
      <c r="DD115" s="516">
        <f>SUMIFS(Imput[[Importe Neto]:[Importe Neto]],Imput[[C. Imp.]:[C. Imp.]],$D115,Imput[[PERIODO Imp.]:[PERIODO Imp.]],DD$9)</f>
        <v>0</v>
      </c>
      <c r="DE115" s="516">
        <f>SUMIFS(Imput[[Importe Neto]:[Importe Neto]],Imput[[C. Imp.]:[C. Imp.]],$D115,Imput[[PERIODO Imp.]:[PERIODO Imp.]],DE$9)</f>
        <v>0</v>
      </c>
      <c r="DF115" s="516">
        <f>SUMIFS(Imput[[Importe Neto]:[Importe Neto]],Imput[[C. Imp.]:[C. Imp.]],$D115,Imput[[PERIODO Imp.]:[PERIODO Imp.]],DF$9)</f>
        <v>0</v>
      </c>
      <c r="DG115" s="516">
        <f>SUMIFS(Imput[[Importe Neto]:[Importe Neto]],Imput[[C. Imp.]:[C. Imp.]],$D115,Imput[[PERIODO Imp.]:[PERIODO Imp.]],DG$9)</f>
        <v>0</v>
      </c>
      <c r="DH115" s="616">
        <f>SUMIFS(Imput[[Importe Neto]:[Importe Neto]],Imput[[C. Imp.]:[C. Imp.]],$D115,Imput[[PERIODO Imp.]:[PERIODO Imp.]],DH$9)</f>
        <v>0</v>
      </c>
    </row>
    <row r="116" spans="1:112" hidden="1" outlineLevel="1" x14ac:dyDescent="0.3">
      <c r="A116" s="66" t="str">
        <f t="shared" si="22"/>
        <v/>
      </c>
      <c r="C116" s="527"/>
      <c r="D116" s="528" t="s">
        <v>2228</v>
      </c>
      <c r="E116" s="528"/>
      <c r="F116" s="534"/>
      <c r="G116" s="529"/>
      <c r="H116" s="530"/>
      <c r="I116" s="849" t="str">
        <f t="shared" si="23"/>
        <v/>
      </c>
      <c r="J116" s="850" t="str">
        <f t="shared" si="24"/>
        <v/>
      </c>
      <c r="K116" s="111"/>
      <c r="L116" s="853"/>
      <c r="M116" s="855"/>
      <c r="N116" s="855"/>
      <c r="O116" s="855"/>
      <c r="P116" s="855"/>
      <c r="Q116" s="855"/>
      <c r="R116" s="855"/>
      <c r="S116" s="855"/>
      <c r="T116" s="855"/>
      <c r="U116" s="855"/>
      <c r="V116" s="855"/>
      <c r="W116" s="855"/>
      <c r="X116" s="855"/>
      <c r="Y116" s="855"/>
      <c r="Z116" s="856"/>
      <c r="AA116" s="856"/>
      <c r="AB116" s="856"/>
      <c r="AC116" s="856"/>
      <c r="AD116" s="856"/>
      <c r="AE116" s="856"/>
      <c r="AF116" s="856"/>
      <c r="AG116" s="856"/>
      <c r="AH116" s="856"/>
      <c r="AI116" s="856"/>
      <c r="AJ116" s="856"/>
      <c r="AK116" s="856"/>
      <c r="AL116" s="856"/>
      <c r="AM116" s="856"/>
      <c r="AN116" s="856"/>
      <c r="AO116" s="856"/>
      <c r="AP116" s="856"/>
      <c r="AQ116" s="856"/>
      <c r="AR116" s="856"/>
      <c r="AS116" s="856"/>
      <c r="AT116" s="856"/>
      <c r="AU116" s="856"/>
      <c r="AV116" s="856"/>
      <c r="AW116" s="856"/>
      <c r="AX116" s="856"/>
      <c r="AY116" s="856"/>
      <c r="AZ116" s="856"/>
      <c r="BA116" s="856"/>
      <c r="BB116" s="856"/>
      <c r="BC116" s="856"/>
      <c r="BD116" s="856"/>
      <c r="BE116" s="856"/>
      <c r="BF116" s="856"/>
      <c r="BG116" s="857"/>
      <c r="BH116" s="590"/>
      <c r="BI116" s="68"/>
      <c r="BJ116" s="518">
        <f t="shared" si="25"/>
        <v>0</v>
      </c>
      <c r="BK116" s="517">
        <f t="shared" si="26"/>
        <v>0</v>
      </c>
      <c r="BL116" s="68"/>
      <c r="BM116" s="515">
        <f>SUMIFS(Imput[[Importe Neto]:[Importe Neto]],Imput[[C. Imp.]:[C. Imp.]],$D116,Imput[[PERIODO Imp.]:[PERIODO Imp.]],BM$9)</f>
        <v>0</v>
      </c>
      <c r="BN116" s="516">
        <f>SUMIFS(Imput[[Importe Neto]:[Importe Neto]],Imput[[C. Imp.]:[C. Imp.]],$D116,Imput[[PERIODO Imp.]:[PERIODO Imp.]],BN$9)</f>
        <v>0</v>
      </c>
      <c r="BO116" s="516">
        <f>SUMIFS(Imput[[Importe Neto]:[Importe Neto]],Imput[[C. Imp.]:[C. Imp.]],$D116,Imput[[PERIODO Imp.]:[PERIODO Imp.]],BO$9)</f>
        <v>0</v>
      </c>
      <c r="BP116" s="516">
        <f>SUMIFS(Imput[[Importe Neto]:[Importe Neto]],Imput[[C. Imp.]:[C. Imp.]],$D116,Imput[[PERIODO Imp.]:[PERIODO Imp.]],BP$9)</f>
        <v>0</v>
      </c>
      <c r="BQ116" s="516">
        <f>SUMIFS(Imput[[Importe Neto]:[Importe Neto]],Imput[[C. Imp.]:[C. Imp.]],$D116,Imput[[PERIODO Imp.]:[PERIODO Imp.]],BQ$9)</f>
        <v>0</v>
      </c>
      <c r="BR116" s="516">
        <f>SUMIFS(Imput[[Importe Neto]:[Importe Neto]],Imput[[C. Imp.]:[C. Imp.]],$D116,Imput[[PERIODO Imp.]:[PERIODO Imp.]],BR$9)</f>
        <v>0</v>
      </c>
      <c r="BS116" s="516">
        <f>SUMIFS(Imput[[Importe Neto]:[Importe Neto]],Imput[[C. Imp.]:[C. Imp.]],$D116,Imput[[PERIODO Imp.]:[PERIODO Imp.]],BS$9)</f>
        <v>0</v>
      </c>
      <c r="BT116" s="516">
        <f>SUMIFS(Imput[[Importe Neto]:[Importe Neto]],Imput[[C. Imp.]:[C. Imp.]],$D116,Imput[[PERIODO Imp.]:[PERIODO Imp.]],BT$9)</f>
        <v>0</v>
      </c>
      <c r="BU116" s="516">
        <f>SUMIFS(Imput[[Importe Neto]:[Importe Neto]],Imput[[C. Imp.]:[C. Imp.]],$D116,Imput[[PERIODO Imp.]:[PERIODO Imp.]],BU$9)</f>
        <v>0</v>
      </c>
      <c r="BV116" s="516">
        <f>SUMIFS(Imput[[Importe Neto]:[Importe Neto]],Imput[[C. Imp.]:[C. Imp.]],$D116,Imput[[PERIODO Imp.]:[PERIODO Imp.]],BV$9)</f>
        <v>0</v>
      </c>
      <c r="BW116" s="516">
        <f>SUMIFS(Imput[[Importe Neto]:[Importe Neto]],Imput[[C. Imp.]:[C. Imp.]],$D116,Imput[[PERIODO Imp.]:[PERIODO Imp.]],BW$9)</f>
        <v>0</v>
      </c>
      <c r="BX116" s="516">
        <f>SUMIFS(Imput[[Importe Neto]:[Importe Neto]],Imput[[C. Imp.]:[C. Imp.]],$D116,Imput[[PERIODO Imp.]:[PERIODO Imp.]],BX$9)</f>
        <v>0</v>
      </c>
      <c r="BY116" s="516">
        <f>SUMIFS(Imput[[Importe Neto]:[Importe Neto]],Imput[[C. Imp.]:[C. Imp.]],$D116,Imput[[PERIODO Imp.]:[PERIODO Imp.]],BY$9)</f>
        <v>0</v>
      </c>
      <c r="BZ116" s="516">
        <f>SUMIFS(Imput[[Importe Neto]:[Importe Neto]],Imput[[C. Imp.]:[C. Imp.]],$D116,Imput[[PERIODO Imp.]:[PERIODO Imp.]],BZ$9)</f>
        <v>0</v>
      </c>
      <c r="CA116" s="516">
        <f>SUMIFS(Imput[[Importe Neto]:[Importe Neto]],Imput[[C. Imp.]:[C. Imp.]],$D116,Imput[[PERIODO Imp.]:[PERIODO Imp.]],CA$9)</f>
        <v>0</v>
      </c>
      <c r="CB116" s="516">
        <f>SUMIFS(Imput[[Importe Neto]:[Importe Neto]],Imput[[C. Imp.]:[C. Imp.]],$D116,Imput[[PERIODO Imp.]:[PERIODO Imp.]],CB$9)</f>
        <v>0</v>
      </c>
      <c r="CC116" s="516">
        <f>SUMIFS(Imput[[Importe Neto]:[Importe Neto]],Imput[[C. Imp.]:[C. Imp.]],$D116,Imput[[PERIODO Imp.]:[PERIODO Imp.]],CC$9)</f>
        <v>0</v>
      </c>
      <c r="CD116" s="516">
        <f>SUMIFS(Imput[[Importe Neto]:[Importe Neto]],Imput[[C. Imp.]:[C. Imp.]],$D116,Imput[[PERIODO Imp.]:[PERIODO Imp.]],CD$9)</f>
        <v>0</v>
      </c>
      <c r="CE116" s="516">
        <f>SUMIFS(Imput[[Importe Neto]:[Importe Neto]],Imput[[C. Imp.]:[C. Imp.]],$D116,Imput[[PERIODO Imp.]:[PERIODO Imp.]],CE$9)</f>
        <v>0</v>
      </c>
      <c r="CF116" s="516">
        <f>SUMIFS(Imput[[Importe Neto]:[Importe Neto]],Imput[[C. Imp.]:[C. Imp.]],$D116,Imput[[PERIODO Imp.]:[PERIODO Imp.]],CF$9)</f>
        <v>0</v>
      </c>
      <c r="CG116" s="516">
        <f>SUMIFS(Imput[[Importe Neto]:[Importe Neto]],Imput[[C. Imp.]:[C. Imp.]],$D116,Imput[[PERIODO Imp.]:[PERIODO Imp.]],CG$9)</f>
        <v>0</v>
      </c>
      <c r="CH116" s="516">
        <f>SUMIFS(Imput[[Importe Neto]:[Importe Neto]],Imput[[C. Imp.]:[C. Imp.]],$D116,Imput[[PERIODO Imp.]:[PERIODO Imp.]],CH$9)</f>
        <v>0</v>
      </c>
      <c r="CI116" s="516">
        <f>SUMIFS(Imput[[Importe Neto]:[Importe Neto]],Imput[[C. Imp.]:[C. Imp.]],$D116,Imput[[PERIODO Imp.]:[PERIODO Imp.]],CI$9)</f>
        <v>0</v>
      </c>
      <c r="CJ116" s="516">
        <f>SUMIFS(Imput[[Importe Neto]:[Importe Neto]],Imput[[C. Imp.]:[C. Imp.]],$D116,Imput[[PERIODO Imp.]:[PERIODO Imp.]],CJ$9)</f>
        <v>0</v>
      </c>
      <c r="CK116" s="516">
        <f>SUMIFS(Imput[[Importe Neto]:[Importe Neto]],Imput[[C. Imp.]:[C. Imp.]],$D116,Imput[[PERIODO Imp.]:[PERIODO Imp.]],CK$9)</f>
        <v>0</v>
      </c>
      <c r="CL116" s="516">
        <f>SUMIFS(Imput[[Importe Neto]:[Importe Neto]],Imput[[C. Imp.]:[C. Imp.]],$D116,Imput[[PERIODO Imp.]:[PERIODO Imp.]],CL$9)</f>
        <v>0</v>
      </c>
      <c r="CM116" s="516">
        <f>SUMIFS(Imput[[Importe Neto]:[Importe Neto]],Imput[[C. Imp.]:[C. Imp.]],$D116,Imput[[PERIODO Imp.]:[PERIODO Imp.]],CM$9)</f>
        <v>0</v>
      </c>
      <c r="CN116" s="516">
        <f>SUMIFS(Imput[[Importe Neto]:[Importe Neto]],Imput[[C. Imp.]:[C. Imp.]],$D116,Imput[[PERIODO Imp.]:[PERIODO Imp.]],CN$9)</f>
        <v>0</v>
      </c>
      <c r="CO116" s="516">
        <f>SUMIFS(Imput[[Importe Neto]:[Importe Neto]],Imput[[C. Imp.]:[C. Imp.]],$D116,Imput[[PERIODO Imp.]:[PERIODO Imp.]],CO$9)</f>
        <v>0</v>
      </c>
      <c r="CP116" s="516">
        <f>SUMIFS(Imput[[Importe Neto]:[Importe Neto]],Imput[[C. Imp.]:[C. Imp.]],$D116,Imput[[PERIODO Imp.]:[PERIODO Imp.]],CP$9)</f>
        <v>0</v>
      </c>
      <c r="CQ116" s="516">
        <f>SUMIFS(Imput[[Importe Neto]:[Importe Neto]],Imput[[C. Imp.]:[C. Imp.]],$D116,Imput[[PERIODO Imp.]:[PERIODO Imp.]],CQ$9)</f>
        <v>0</v>
      </c>
      <c r="CR116" s="516">
        <f>SUMIFS(Imput[[Importe Neto]:[Importe Neto]],Imput[[C. Imp.]:[C. Imp.]],$D116,Imput[[PERIODO Imp.]:[PERIODO Imp.]],CR$9)</f>
        <v>0</v>
      </c>
      <c r="CS116" s="516">
        <f>SUMIFS(Imput[[Importe Neto]:[Importe Neto]],Imput[[C. Imp.]:[C. Imp.]],$D116,Imput[[PERIODO Imp.]:[PERIODO Imp.]],CS$9)</f>
        <v>0</v>
      </c>
      <c r="CT116" s="516">
        <f>SUMIFS(Imput[[Importe Neto]:[Importe Neto]],Imput[[C. Imp.]:[C. Imp.]],$D116,Imput[[PERIODO Imp.]:[PERIODO Imp.]],CT$9)</f>
        <v>0</v>
      </c>
      <c r="CU116" s="516">
        <f>SUMIFS(Imput[[Importe Neto]:[Importe Neto]],Imput[[C. Imp.]:[C. Imp.]],$D116,Imput[[PERIODO Imp.]:[PERIODO Imp.]],CU$9)</f>
        <v>0</v>
      </c>
      <c r="CV116" s="516">
        <f>SUMIFS(Imput[[Importe Neto]:[Importe Neto]],Imput[[C. Imp.]:[C. Imp.]],$D116,Imput[[PERIODO Imp.]:[PERIODO Imp.]],CV$9)</f>
        <v>0</v>
      </c>
      <c r="CW116" s="516">
        <f>SUMIFS(Imput[[Importe Neto]:[Importe Neto]],Imput[[C. Imp.]:[C. Imp.]],$D116,Imput[[PERIODO Imp.]:[PERIODO Imp.]],CW$9)</f>
        <v>0</v>
      </c>
      <c r="CX116" s="516">
        <f>SUMIFS(Imput[[Importe Neto]:[Importe Neto]],Imput[[C. Imp.]:[C. Imp.]],$D116,Imput[[PERIODO Imp.]:[PERIODO Imp.]],CX$9)</f>
        <v>0</v>
      </c>
      <c r="CY116" s="516">
        <f>SUMIFS(Imput[[Importe Neto]:[Importe Neto]],Imput[[C. Imp.]:[C. Imp.]],$D116,Imput[[PERIODO Imp.]:[PERIODO Imp.]],CY$9)</f>
        <v>0</v>
      </c>
      <c r="CZ116" s="516">
        <f>SUMIFS(Imput[[Importe Neto]:[Importe Neto]],Imput[[C. Imp.]:[C. Imp.]],$D116,Imput[[PERIODO Imp.]:[PERIODO Imp.]],CZ$9)</f>
        <v>0</v>
      </c>
      <c r="DA116" s="516">
        <f>SUMIFS(Imput[[Importe Neto]:[Importe Neto]],Imput[[C. Imp.]:[C. Imp.]],$D116,Imput[[PERIODO Imp.]:[PERIODO Imp.]],DA$9)</f>
        <v>0</v>
      </c>
      <c r="DB116" s="516">
        <f>SUMIFS(Imput[[Importe Neto]:[Importe Neto]],Imput[[C. Imp.]:[C. Imp.]],$D116,Imput[[PERIODO Imp.]:[PERIODO Imp.]],DB$9)</f>
        <v>0</v>
      </c>
      <c r="DC116" s="516">
        <f>SUMIFS(Imput[[Importe Neto]:[Importe Neto]],Imput[[C. Imp.]:[C. Imp.]],$D116,Imput[[PERIODO Imp.]:[PERIODO Imp.]],DC$9)</f>
        <v>0</v>
      </c>
      <c r="DD116" s="516">
        <f>SUMIFS(Imput[[Importe Neto]:[Importe Neto]],Imput[[C. Imp.]:[C. Imp.]],$D116,Imput[[PERIODO Imp.]:[PERIODO Imp.]],DD$9)</f>
        <v>0</v>
      </c>
      <c r="DE116" s="516">
        <f>SUMIFS(Imput[[Importe Neto]:[Importe Neto]],Imput[[C. Imp.]:[C. Imp.]],$D116,Imput[[PERIODO Imp.]:[PERIODO Imp.]],DE$9)</f>
        <v>0</v>
      </c>
      <c r="DF116" s="516">
        <f>SUMIFS(Imput[[Importe Neto]:[Importe Neto]],Imput[[C. Imp.]:[C. Imp.]],$D116,Imput[[PERIODO Imp.]:[PERIODO Imp.]],DF$9)</f>
        <v>0</v>
      </c>
      <c r="DG116" s="516">
        <f>SUMIFS(Imput[[Importe Neto]:[Importe Neto]],Imput[[C. Imp.]:[C. Imp.]],$D116,Imput[[PERIODO Imp.]:[PERIODO Imp.]],DG$9)</f>
        <v>0</v>
      </c>
      <c r="DH116" s="616">
        <f>SUMIFS(Imput[[Importe Neto]:[Importe Neto]],Imput[[C. Imp.]:[C. Imp.]],$D116,Imput[[PERIODO Imp.]:[PERIODO Imp.]],DH$9)</f>
        <v>0</v>
      </c>
    </row>
    <row r="117" spans="1:112" hidden="1" outlineLevel="1" x14ac:dyDescent="0.3">
      <c r="A117" s="66" t="str">
        <f t="shared" si="22"/>
        <v/>
      </c>
      <c r="C117" s="527"/>
      <c r="D117" s="528" t="s">
        <v>2229</v>
      </c>
      <c r="E117" s="536"/>
      <c r="F117" s="534"/>
      <c r="G117" s="529"/>
      <c r="H117" s="530"/>
      <c r="I117" s="849" t="str">
        <f t="shared" si="23"/>
        <v/>
      </c>
      <c r="J117" s="850" t="str">
        <f t="shared" si="24"/>
        <v/>
      </c>
      <c r="K117" s="70"/>
      <c r="L117" s="853"/>
      <c r="M117" s="855"/>
      <c r="N117" s="855"/>
      <c r="O117" s="855"/>
      <c r="P117" s="855"/>
      <c r="Q117" s="855"/>
      <c r="R117" s="855"/>
      <c r="S117" s="855"/>
      <c r="T117" s="855"/>
      <c r="U117" s="855"/>
      <c r="V117" s="855"/>
      <c r="W117" s="855"/>
      <c r="X117" s="855"/>
      <c r="Y117" s="855"/>
      <c r="Z117" s="856"/>
      <c r="AA117" s="856"/>
      <c r="AB117" s="856"/>
      <c r="AC117" s="856"/>
      <c r="AD117" s="856"/>
      <c r="AE117" s="856"/>
      <c r="AF117" s="856"/>
      <c r="AG117" s="856"/>
      <c r="AH117" s="856"/>
      <c r="AI117" s="856"/>
      <c r="AJ117" s="856"/>
      <c r="AK117" s="856"/>
      <c r="AL117" s="856"/>
      <c r="AM117" s="856"/>
      <c r="AN117" s="856"/>
      <c r="AO117" s="856"/>
      <c r="AP117" s="856"/>
      <c r="AQ117" s="856"/>
      <c r="AR117" s="856"/>
      <c r="AS117" s="856"/>
      <c r="AT117" s="856"/>
      <c r="AU117" s="856"/>
      <c r="AV117" s="856"/>
      <c r="AW117" s="856"/>
      <c r="AX117" s="856"/>
      <c r="AY117" s="856"/>
      <c r="AZ117" s="856"/>
      <c r="BA117" s="856"/>
      <c r="BB117" s="856"/>
      <c r="BC117" s="856"/>
      <c r="BD117" s="856"/>
      <c r="BE117" s="856"/>
      <c r="BF117" s="856"/>
      <c r="BG117" s="857"/>
      <c r="BH117" s="590"/>
      <c r="BI117" s="70"/>
      <c r="BJ117" s="518">
        <f t="shared" si="25"/>
        <v>0</v>
      </c>
      <c r="BK117" s="517">
        <f t="shared" si="26"/>
        <v>0</v>
      </c>
      <c r="BL117" s="68"/>
      <c r="BM117" s="515">
        <f>SUMIFS(Imput[[Importe Neto]:[Importe Neto]],Imput[[C. Imp.]:[C. Imp.]],$D117,Imput[[PERIODO Imp.]:[PERIODO Imp.]],BM$9)</f>
        <v>0</v>
      </c>
      <c r="BN117" s="516">
        <f>SUMIFS(Imput[[Importe Neto]:[Importe Neto]],Imput[[C. Imp.]:[C. Imp.]],$D117,Imput[[PERIODO Imp.]:[PERIODO Imp.]],BN$9)</f>
        <v>0</v>
      </c>
      <c r="BO117" s="516">
        <f>SUMIFS(Imput[[Importe Neto]:[Importe Neto]],Imput[[C. Imp.]:[C. Imp.]],$D117,Imput[[PERIODO Imp.]:[PERIODO Imp.]],BO$9)</f>
        <v>0</v>
      </c>
      <c r="BP117" s="516">
        <f>SUMIFS(Imput[[Importe Neto]:[Importe Neto]],Imput[[C. Imp.]:[C. Imp.]],$D117,Imput[[PERIODO Imp.]:[PERIODO Imp.]],BP$9)</f>
        <v>0</v>
      </c>
      <c r="BQ117" s="516">
        <f>SUMIFS(Imput[[Importe Neto]:[Importe Neto]],Imput[[C. Imp.]:[C. Imp.]],$D117,Imput[[PERIODO Imp.]:[PERIODO Imp.]],BQ$9)</f>
        <v>0</v>
      </c>
      <c r="BR117" s="516">
        <f>SUMIFS(Imput[[Importe Neto]:[Importe Neto]],Imput[[C. Imp.]:[C. Imp.]],$D117,Imput[[PERIODO Imp.]:[PERIODO Imp.]],BR$9)</f>
        <v>0</v>
      </c>
      <c r="BS117" s="516">
        <f>SUMIFS(Imput[[Importe Neto]:[Importe Neto]],Imput[[C. Imp.]:[C. Imp.]],$D117,Imput[[PERIODO Imp.]:[PERIODO Imp.]],BS$9)</f>
        <v>0</v>
      </c>
      <c r="BT117" s="516">
        <f>SUMIFS(Imput[[Importe Neto]:[Importe Neto]],Imput[[C. Imp.]:[C. Imp.]],$D117,Imput[[PERIODO Imp.]:[PERIODO Imp.]],BT$9)</f>
        <v>0</v>
      </c>
      <c r="BU117" s="516">
        <f>SUMIFS(Imput[[Importe Neto]:[Importe Neto]],Imput[[C. Imp.]:[C. Imp.]],$D117,Imput[[PERIODO Imp.]:[PERIODO Imp.]],BU$9)</f>
        <v>0</v>
      </c>
      <c r="BV117" s="516">
        <f>SUMIFS(Imput[[Importe Neto]:[Importe Neto]],Imput[[C. Imp.]:[C. Imp.]],$D117,Imput[[PERIODO Imp.]:[PERIODO Imp.]],BV$9)</f>
        <v>0</v>
      </c>
      <c r="BW117" s="516">
        <f>SUMIFS(Imput[[Importe Neto]:[Importe Neto]],Imput[[C. Imp.]:[C. Imp.]],$D117,Imput[[PERIODO Imp.]:[PERIODO Imp.]],BW$9)</f>
        <v>0</v>
      </c>
      <c r="BX117" s="516">
        <f>SUMIFS(Imput[[Importe Neto]:[Importe Neto]],Imput[[C. Imp.]:[C. Imp.]],$D117,Imput[[PERIODO Imp.]:[PERIODO Imp.]],BX$9)</f>
        <v>0</v>
      </c>
      <c r="BY117" s="516">
        <f>SUMIFS(Imput[[Importe Neto]:[Importe Neto]],Imput[[C. Imp.]:[C. Imp.]],$D117,Imput[[PERIODO Imp.]:[PERIODO Imp.]],BY$9)</f>
        <v>0</v>
      </c>
      <c r="BZ117" s="516">
        <f>SUMIFS(Imput[[Importe Neto]:[Importe Neto]],Imput[[C. Imp.]:[C. Imp.]],$D117,Imput[[PERIODO Imp.]:[PERIODO Imp.]],BZ$9)</f>
        <v>0</v>
      </c>
      <c r="CA117" s="516">
        <f>SUMIFS(Imput[[Importe Neto]:[Importe Neto]],Imput[[C. Imp.]:[C. Imp.]],$D117,Imput[[PERIODO Imp.]:[PERIODO Imp.]],CA$9)</f>
        <v>0</v>
      </c>
      <c r="CB117" s="516">
        <f>SUMIFS(Imput[[Importe Neto]:[Importe Neto]],Imput[[C. Imp.]:[C. Imp.]],$D117,Imput[[PERIODO Imp.]:[PERIODO Imp.]],CB$9)</f>
        <v>0</v>
      </c>
      <c r="CC117" s="516">
        <f>SUMIFS(Imput[[Importe Neto]:[Importe Neto]],Imput[[C. Imp.]:[C. Imp.]],$D117,Imput[[PERIODO Imp.]:[PERIODO Imp.]],CC$9)</f>
        <v>0</v>
      </c>
      <c r="CD117" s="516">
        <f>SUMIFS(Imput[[Importe Neto]:[Importe Neto]],Imput[[C. Imp.]:[C. Imp.]],$D117,Imput[[PERIODO Imp.]:[PERIODO Imp.]],CD$9)</f>
        <v>0</v>
      </c>
      <c r="CE117" s="516">
        <f>SUMIFS(Imput[[Importe Neto]:[Importe Neto]],Imput[[C. Imp.]:[C. Imp.]],$D117,Imput[[PERIODO Imp.]:[PERIODO Imp.]],CE$9)</f>
        <v>0</v>
      </c>
      <c r="CF117" s="516">
        <f>SUMIFS(Imput[[Importe Neto]:[Importe Neto]],Imput[[C. Imp.]:[C. Imp.]],$D117,Imput[[PERIODO Imp.]:[PERIODO Imp.]],CF$9)</f>
        <v>0</v>
      </c>
      <c r="CG117" s="516">
        <f>SUMIFS(Imput[[Importe Neto]:[Importe Neto]],Imput[[C. Imp.]:[C. Imp.]],$D117,Imput[[PERIODO Imp.]:[PERIODO Imp.]],CG$9)</f>
        <v>0</v>
      </c>
      <c r="CH117" s="516">
        <f>SUMIFS(Imput[[Importe Neto]:[Importe Neto]],Imput[[C. Imp.]:[C. Imp.]],$D117,Imput[[PERIODO Imp.]:[PERIODO Imp.]],CH$9)</f>
        <v>0</v>
      </c>
      <c r="CI117" s="516">
        <f>SUMIFS(Imput[[Importe Neto]:[Importe Neto]],Imput[[C. Imp.]:[C. Imp.]],$D117,Imput[[PERIODO Imp.]:[PERIODO Imp.]],CI$9)</f>
        <v>0</v>
      </c>
      <c r="CJ117" s="516">
        <f>SUMIFS(Imput[[Importe Neto]:[Importe Neto]],Imput[[C. Imp.]:[C. Imp.]],$D117,Imput[[PERIODO Imp.]:[PERIODO Imp.]],CJ$9)</f>
        <v>0</v>
      </c>
      <c r="CK117" s="516">
        <f>SUMIFS(Imput[[Importe Neto]:[Importe Neto]],Imput[[C. Imp.]:[C. Imp.]],$D117,Imput[[PERIODO Imp.]:[PERIODO Imp.]],CK$9)</f>
        <v>0</v>
      </c>
      <c r="CL117" s="516">
        <f>SUMIFS(Imput[[Importe Neto]:[Importe Neto]],Imput[[C. Imp.]:[C. Imp.]],$D117,Imput[[PERIODO Imp.]:[PERIODO Imp.]],CL$9)</f>
        <v>0</v>
      </c>
      <c r="CM117" s="516">
        <f>SUMIFS(Imput[[Importe Neto]:[Importe Neto]],Imput[[C. Imp.]:[C. Imp.]],$D117,Imput[[PERIODO Imp.]:[PERIODO Imp.]],CM$9)</f>
        <v>0</v>
      </c>
      <c r="CN117" s="516">
        <f>SUMIFS(Imput[[Importe Neto]:[Importe Neto]],Imput[[C. Imp.]:[C. Imp.]],$D117,Imput[[PERIODO Imp.]:[PERIODO Imp.]],CN$9)</f>
        <v>0</v>
      </c>
      <c r="CO117" s="516">
        <f>SUMIFS(Imput[[Importe Neto]:[Importe Neto]],Imput[[C. Imp.]:[C. Imp.]],$D117,Imput[[PERIODO Imp.]:[PERIODO Imp.]],CO$9)</f>
        <v>0</v>
      </c>
      <c r="CP117" s="516">
        <f>SUMIFS(Imput[[Importe Neto]:[Importe Neto]],Imput[[C. Imp.]:[C. Imp.]],$D117,Imput[[PERIODO Imp.]:[PERIODO Imp.]],CP$9)</f>
        <v>0</v>
      </c>
      <c r="CQ117" s="516">
        <f>SUMIFS(Imput[[Importe Neto]:[Importe Neto]],Imput[[C. Imp.]:[C. Imp.]],$D117,Imput[[PERIODO Imp.]:[PERIODO Imp.]],CQ$9)</f>
        <v>0</v>
      </c>
      <c r="CR117" s="516">
        <f>SUMIFS(Imput[[Importe Neto]:[Importe Neto]],Imput[[C. Imp.]:[C. Imp.]],$D117,Imput[[PERIODO Imp.]:[PERIODO Imp.]],CR$9)</f>
        <v>0</v>
      </c>
      <c r="CS117" s="516">
        <f>SUMIFS(Imput[[Importe Neto]:[Importe Neto]],Imput[[C. Imp.]:[C. Imp.]],$D117,Imput[[PERIODO Imp.]:[PERIODO Imp.]],CS$9)</f>
        <v>0</v>
      </c>
      <c r="CT117" s="516">
        <f>SUMIFS(Imput[[Importe Neto]:[Importe Neto]],Imput[[C. Imp.]:[C. Imp.]],$D117,Imput[[PERIODO Imp.]:[PERIODO Imp.]],CT$9)</f>
        <v>0</v>
      </c>
      <c r="CU117" s="516">
        <f>SUMIFS(Imput[[Importe Neto]:[Importe Neto]],Imput[[C. Imp.]:[C. Imp.]],$D117,Imput[[PERIODO Imp.]:[PERIODO Imp.]],CU$9)</f>
        <v>0</v>
      </c>
      <c r="CV117" s="516">
        <f>SUMIFS(Imput[[Importe Neto]:[Importe Neto]],Imput[[C. Imp.]:[C. Imp.]],$D117,Imput[[PERIODO Imp.]:[PERIODO Imp.]],CV$9)</f>
        <v>0</v>
      </c>
      <c r="CW117" s="516">
        <f>SUMIFS(Imput[[Importe Neto]:[Importe Neto]],Imput[[C. Imp.]:[C. Imp.]],$D117,Imput[[PERIODO Imp.]:[PERIODO Imp.]],CW$9)</f>
        <v>0</v>
      </c>
      <c r="CX117" s="516">
        <f>SUMIFS(Imput[[Importe Neto]:[Importe Neto]],Imput[[C. Imp.]:[C. Imp.]],$D117,Imput[[PERIODO Imp.]:[PERIODO Imp.]],CX$9)</f>
        <v>0</v>
      </c>
      <c r="CY117" s="516">
        <f>SUMIFS(Imput[[Importe Neto]:[Importe Neto]],Imput[[C. Imp.]:[C. Imp.]],$D117,Imput[[PERIODO Imp.]:[PERIODO Imp.]],CY$9)</f>
        <v>0</v>
      </c>
      <c r="CZ117" s="516">
        <f>SUMIFS(Imput[[Importe Neto]:[Importe Neto]],Imput[[C. Imp.]:[C. Imp.]],$D117,Imput[[PERIODO Imp.]:[PERIODO Imp.]],CZ$9)</f>
        <v>0</v>
      </c>
      <c r="DA117" s="516">
        <f>SUMIFS(Imput[[Importe Neto]:[Importe Neto]],Imput[[C. Imp.]:[C. Imp.]],$D117,Imput[[PERIODO Imp.]:[PERIODO Imp.]],DA$9)</f>
        <v>0</v>
      </c>
      <c r="DB117" s="516">
        <f>SUMIFS(Imput[[Importe Neto]:[Importe Neto]],Imput[[C. Imp.]:[C. Imp.]],$D117,Imput[[PERIODO Imp.]:[PERIODO Imp.]],DB$9)</f>
        <v>0</v>
      </c>
      <c r="DC117" s="516">
        <f>SUMIFS(Imput[[Importe Neto]:[Importe Neto]],Imput[[C. Imp.]:[C. Imp.]],$D117,Imput[[PERIODO Imp.]:[PERIODO Imp.]],DC$9)</f>
        <v>0</v>
      </c>
      <c r="DD117" s="516">
        <f>SUMIFS(Imput[[Importe Neto]:[Importe Neto]],Imput[[C. Imp.]:[C. Imp.]],$D117,Imput[[PERIODO Imp.]:[PERIODO Imp.]],DD$9)</f>
        <v>0</v>
      </c>
      <c r="DE117" s="516">
        <f>SUMIFS(Imput[[Importe Neto]:[Importe Neto]],Imput[[C. Imp.]:[C. Imp.]],$D117,Imput[[PERIODO Imp.]:[PERIODO Imp.]],DE$9)</f>
        <v>0</v>
      </c>
      <c r="DF117" s="516">
        <f>SUMIFS(Imput[[Importe Neto]:[Importe Neto]],Imput[[C. Imp.]:[C. Imp.]],$D117,Imput[[PERIODO Imp.]:[PERIODO Imp.]],DF$9)</f>
        <v>0</v>
      </c>
      <c r="DG117" s="516">
        <f>SUMIFS(Imput[[Importe Neto]:[Importe Neto]],Imput[[C. Imp.]:[C. Imp.]],$D117,Imput[[PERIODO Imp.]:[PERIODO Imp.]],DG$9)</f>
        <v>0</v>
      </c>
      <c r="DH117" s="616">
        <f>SUMIFS(Imput[[Importe Neto]:[Importe Neto]],Imput[[C. Imp.]:[C. Imp.]],$D117,Imput[[PERIODO Imp.]:[PERIODO Imp.]],DH$9)</f>
        <v>0</v>
      </c>
    </row>
    <row r="118" spans="1:112" hidden="1" outlineLevel="1" x14ac:dyDescent="0.3">
      <c r="A118" s="66" t="str">
        <f t="shared" si="22"/>
        <v/>
      </c>
      <c r="C118" s="527"/>
      <c r="D118" s="528" t="s">
        <v>2230</v>
      </c>
      <c r="E118" s="536"/>
      <c r="F118" s="534"/>
      <c r="G118" s="529"/>
      <c r="H118" s="530"/>
      <c r="I118" s="849" t="str">
        <f t="shared" si="23"/>
        <v/>
      </c>
      <c r="J118" s="850" t="str">
        <f t="shared" si="24"/>
        <v/>
      </c>
      <c r="K118" s="111"/>
      <c r="L118" s="853"/>
      <c r="M118" s="855"/>
      <c r="N118" s="855"/>
      <c r="O118" s="855"/>
      <c r="P118" s="855"/>
      <c r="Q118" s="855"/>
      <c r="R118" s="855"/>
      <c r="S118" s="855"/>
      <c r="T118" s="855"/>
      <c r="U118" s="855"/>
      <c r="V118" s="855"/>
      <c r="W118" s="855"/>
      <c r="X118" s="855"/>
      <c r="Y118" s="855"/>
      <c r="Z118" s="856"/>
      <c r="AA118" s="856"/>
      <c r="AB118" s="856"/>
      <c r="AC118" s="856"/>
      <c r="AD118" s="856"/>
      <c r="AE118" s="856"/>
      <c r="AF118" s="856"/>
      <c r="AG118" s="856"/>
      <c r="AH118" s="856"/>
      <c r="AI118" s="856"/>
      <c r="AJ118" s="856"/>
      <c r="AK118" s="856"/>
      <c r="AL118" s="856"/>
      <c r="AM118" s="856"/>
      <c r="AN118" s="856"/>
      <c r="AO118" s="856"/>
      <c r="AP118" s="856"/>
      <c r="AQ118" s="856"/>
      <c r="AR118" s="856"/>
      <c r="AS118" s="856"/>
      <c r="AT118" s="856"/>
      <c r="AU118" s="856"/>
      <c r="AV118" s="856"/>
      <c r="AW118" s="856"/>
      <c r="AX118" s="856"/>
      <c r="AY118" s="856"/>
      <c r="AZ118" s="856"/>
      <c r="BA118" s="856"/>
      <c r="BB118" s="856"/>
      <c r="BC118" s="856"/>
      <c r="BD118" s="856"/>
      <c r="BE118" s="856"/>
      <c r="BF118" s="856"/>
      <c r="BG118" s="857"/>
      <c r="BH118" s="590"/>
      <c r="BI118" s="68"/>
      <c r="BJ118" s="518">
        <f t="shared" si="25"/>
        <v>0</v>
      </c>
      <c r="BK118" s="517">
        <f t="shared" si="26"/>
        <v>0</v>
      </c>
      <c r="BL118" s="68"/>
      <c r="BM118" s="515">
        <f>SUMIFS(Imput[[Importe Neto]:[Importe Neto]],Imput[[C. Imp.]:[C. Imp.]],$D118,Imput[[PERIODO Imp.]:[PERIODO Imp.]],BM$9)</f>
        <v>0</v>
      </c>
      <c r="BN118" s="516">
        <f>SUMIFS(Imput[[Importe Neto]:[Importe Neto]],Imput[[C. Imp.]:[C. Imp.]],$D118,Imput[[PERIODO Imp.]:[PERIODO Imp.]],BN$9)</f>
        <v>0</v>
      </c>
      <c r="BO118" s="516">
        <f>SUMIFS(Imput[[Importe Neto]:[Importe Neto]],Imput[[C. Imp.]:[C. Imp.]],$D118,Imput[[PERIODO Imp.]:[PERIODO Imp.]],BO$9)</f>
        <v>0</v>
      </c>
      <c r="BP118" s="516">
        <f>SUMIFS(Imput[[Importe Neto]:[Importe Neto]],Imput[[C. Imp.]:[C. Imp.]],$D118,Imput[[PERIODO Imp.]:[PERIODO Imp.]],BP$9)</f>
        <v>0</v>
      </c>
      <c r="BQ118" s="516">
        <f>SUMIFS(Imput[[Importe Neto]:[Importe Neto]],Imput[[C. Imp.]:[C. Imp.]],$D118,Imput[[PERIODO Imp.]:[PERIODO Imp.]],BQ$9)</f>
        <v>0</v>
      </c>
      <c r="BR118" s="516">
        <f>SUMIFS(Imput[[Importe Neto]:[Importe Neto]],Imput[[C. Imp.]:[C. Imp.]],$D118,Imput[[PERIODO Imp.]:[PERIODO Imp.]],BR$9)</f>
        <v>0</v>
      </c>
      <c r="BS118" s="516">
        <f>SUMIFS(Imput[[Importe Neto]:[Importe Neto]],Imput[[C. Imp.]:[C. Imp.]],$D118,Imput[[PERIODO Imp.]:[PERIODO Imp.]],BS$9)</f>
        <v>0</v>
      </c>
      <c r="BT118" s="516">
        <f>SUMIFS(Imput[[Importe Neto]:[Importe Neto]],Imput[[C. Imp.]:[C. Imp.]],$D118,Imput[[PERIODO Imp.]:[PERIODO Imp.]],BT$9)</f>
        <v>0</v>
      </c>
      <c r="BU118" s="516">
        <f>SUMIFS(Imput[[Importe Neto]:[Importe Neto]],Imput[[C. Imp.]:[C. Imp.]],$D118,Imput[[PERIODO Imp.]:[PERIODO Imp.]],BU$9)</f>
        <v>0</v>
      </c>
      <c r="BV118" s="516">
        <f>SUMIFS(Imput[[Importe Neto]:[Importe Neto]],Imput[[C. Imp.]:[C. Imp.]],$D118,Imput[[PERIODO Imp.]:[PERIODO Imp.]],BV$9)</f>
        <v>0</v>
      </c>
      <c r="BW118" s="516">
        <f>SUMIFS(Imput[[Importe Neto]:[Importe Neto]],Imput[[C. Imp.]:[C. Imp.]],$D118,Imput[[PERIODO Imp.]:[PERIODO Imp.]],BW$9)</f>
        <v>0</v>
      </c>
      <c r="BX118" s="516">
        <f>SUMIFS(Imput[[Importe Neto]:[Importe Neto]],Imput[[C. Imp.]:[C. Imp.]],$D118,Imput[[PERIODO Imp.]:[PERIODO Imp.]],BX$9)</f>
        <v>0</v>
      </c>
      <c r="BY118" s="516">
        <f>SUMIFS(Imput[[Importe Neto]:[Importe Neto]],Imput[[C. Imp.]:[C. Imp.]],$D118,Imput[[PERIODO Imp.]:[PERIODO Imp.]],BY$9)</f>
        <v>0</v>
      </c>
      <c r="BZ118" s="516">
        <f>SUMIFS(Imput[[Importe Neto]:[Importe Neto]],Imput[[C. Imp.]:[C. Imp.]],$D118,Imput[[PERIODO Imp.]:[PERIODO Imp.]],BZ$9)</f>
        <v>0</v>
      </c>
      <c r="CA118" s="516">
        <f>SUMIFS(Imput[[Importe Neto]:[Importe Neto]],Imput[[C. Imp.]:[C. Imp.]],$D118,Imput[[PERIODO Imp.]:[PERIODO Imp.]],CA$9)</f>
        <v>0</v>
      </c>
      <c r="CB118" s="516">
        <f>SUMIFS(Imput[[Importe Neto]:[Importe Neto]],Imput[[C. Imp.]:[C. Imp.]],$D118,Imput[[PERIODO Imp.]:[PERIODO Imp.]],CB$9)</f>
        <v>0</v>
      </c>
      <c r="CC118" s="516">
        <f>SUMIFS(Imput[[Importe Neto]:[Importe Neto]],Imput[[C. Imp.]:[C. Imp.]],$D118,Imput[[PERIODO Imp.]:[PERIODO Imp.]],CC$9)</f>
        <v>0</v>
      </c>
      <c r="CD118" s="516">
        <f>SUMIFS(Imput[[Importe Neto]:[Importe Neto]],Imput[[C. Imp.]:[C. Imp.]],$D118,Imput[[PERIODO Imp.]:[PERIODO Imp.]],CD$9)</f>
        <v>0</v>
      </c>
      <c r="CE118" s="516">
        <f>SUMIFS(Imput[[Importe Neto]:[Importe Neto]],Imput[[C. Imp.]:[C. Imp.]],$D118,Imput[[PERIODO Imp.]:[PERIODO Imp.]],CE$9)</f>
        <v>0</v>
      </c>
      <c r="CF118" s="516">
        <f>SUMIFS(Imput[[Importe Neto]:[Importe Neto]],Imput[[C. Imp.]:[C. Imp.]],$D118,Imput[[PERIODO Imp.]:[PERIODO Imp.]],CF$9)</f>
        <v>0</v>
      </c>
      <c r="CG118" s="516">
        <f>SUMIFS(Imput[[Importe Neto]:[Importe Neto]],Imput[[C. Imp.]:[C. Imp.]],$D118,Imput[[PERIODO Imp.]:[PERIODO Imp.]],CG$9)</f>
        <v>0</v>
      </c>
      <c r="CH118" s="516">
        <f>SUMIFS(Imput[[Importe Neto]:[Importe Neto]],Imput[[C. Imp.]:[C. Imp.]],$D118,Imput[[PERIODO Imp.]:[PERIODO Imp.]],CH$9)</f>
        <v>0</v>
      </c>
      <c r="CI118" s="516">
        <f>SUMIFS(Imput[[Importe Neto]:[Importe Neto]],Imput[[C. Imp.]:[C. Imp.]],$D118,Imput[[PERIODO Imp.]:[PERIODO Imp.]],CI$9)</f>
        <v>0</v>
      </c>
      <c r="CJ118" s="516">
        <f>SUMIFS(Imput[[Importe Neto]:[Importe Neto]],Imput[[C. Imp.]:[C. Imp.]],$D118,Imput[[PERIODO Imp.]:[PERIODO Imp.]],CJ$9)</f>
        <v>0</v>
      </c>
      <c r="CK118" s="516">
        <f>SUMIFS(Imput[[Importe Neto]:[Importe Neto]],Imput[[C. Imp.]:[C. Imp.]],$D118,Imput[[PERIODO Imp.]:[PERIODO Imp.]],CK$9)</f>
        <v>0</v>
      </c>
      <c r="CL118" s="516">
        <f>SUMIFS(Imput[[Importe Neto]:[Importe Neto]],Imput[[C. Imp.]:[C. Imp.]],$D118,Imput[[PERIODO Imp.]:[PERIODO Imp.]],CL$9)</f>
        <v>0</v>
      </c>
      <c r="CM118" s="516">
        <f>SUMIFS(Imput[[Importe Neto]:[Importe Neto]],Imput[[C. Imp.]:[C. Imp.]],$D118,Imput[[PERIODO Imp.]:[PERIODO Imp.]],CM$9)</f>
        <v>0</v>
      </c>
      <c r="CN118" s="516">
        <f>SUMIFS(Imput[[Importe Neto]:[Importe Neto]],Imput[[C. Imp.]:[C. Imp.]],$D118,Imput[[PERIODO Imp.]:[PERIODO Imp.]],CN$9)</f>
        <v>0</v>
      </c>
      <c r="CO118" s="516">
        <f>SUMIFS(Imput[[Importe Neto]:[Importe Neto]],Imput[[C. Imp.]:[C. Imp.]],$D118,Imput[[PERIODO Imp.]:[PERIODO Imp.]],CO$9)</f>
        <v>0</v>
      </c>
      <c r="CP118" s="516">
        <f>SUMIFS(Imput[[Importe Neto]:[Importe Neto]],Imput[[C. Imp.]:[C. Imp.]],$D118,Imput[[PERIODO Imp.]:[PERIODO Imp.]],CP$9)</f>
        <v>0</v>
      </c>
      <c r="CQ118" s="516">
        <f>SUMIFS(Imput[[Importe Neto]:[Importe Neto]],Imput[[C. Imp.]:[C. Imp.]],$D118,Imput[[PERIODO Imp.]:[PERIODO Imp.]],CQ$9)</f>
        <v>0</v>
      </c>
      <c r="CR118" s="516">
        <f>SUMIFS(Imput[[Importe Neto]:[Importe Neto]],Imput[[C. Imp.]:[C. Imp.]],$D118,Imput[[PERIODO Imp.]:[PERIODO Imp.]],CR$9)</f>
        <v>0</v>
      </c>
      <c r="CS118" s="516">
        <f>SUMIFS(Imput[[Importe Neto]:[Importe Neto]],Imput[[C. Imp.]:[C. Imp.]],$D118,Imput[[PERIODO Imp.]:[PERIODO Imp.]],CS$9)</f>
        <v>0</v>
      </c>
      <c r="CT118" s="516">
        <f>SUMIFS(Imput[[Importe Neto]:[Importe Neto]],Imput[[C. Imp.]:[C. Imp.]],$D118,Imput[[PERIODO Imp.]:[PERIODO Imp.]],CT$9)</f>
        <v>0</v>
      </c>
      <c r="CU118" s="516">
        <f>SUMIFS(Imput[[Importe Neto]:[Importe Neto]],Imput[[C. Imp.]:[C. Imp.]],$D118,Imput[[PERIODO Imp.]:[PERIODO Imp.]],CU$9)</f>
        <v>0</v>
      </c>
      <c r="CV118" s="516">
        <f>SUMIFS(Imput[[Importe Neto]:[Importe Neto]],Imput[[C. Imp.]:[C. Imp.]],$D118,Imput[[PERIODO Imp.]:[PERIODO Imp.]],CV$9)</f>
        <v>0</v>
      </c>
      <c r="CW118" s="516">
        <f>SUMIFS(Imput[[Importe Neto]:[Importe Neto]],Imput[[C. Imp.]:[C. Imp.]],$D118,Imput[[PERIODO Imp.]:[PERIODO Imp.]],CW$9)</f>
        <v>0</v>
      </c>
      <c r="CX118" s="516">
        <f>SUMIFS(Imput[[Importe Neto]:[Importe Neto]],Imput[[C. Imp.]:[C. Imp.]],$D118,Imput[[PERIODO Imp.]:[PERIODO Imp.]],CX$9)</f>
        <v>0</v>
      </c>
      <c r="CY118" s="516">
        <f>SUMIFS(Imput[[Importe Neto]:[Importe Neto]],Imput[[C. Imp.]:[C. Imp.]],$D118,Imput[[PERIODO Imp.]:[PERIODO Imp.]],CY$9)</f>
        <v>0</v>
      </c>
      <c r="CZ118" s="516">
        <f>SUMIFS(Imput[[Importe Neto]:[Importe Neto]],Imput[[C. Imp.]:[C. Imp.]],$D118,Imput[[PERIODO Imp.]:[PERIODO Imp.]],CZ$9)</f>
        <v>0</v>
      </c>
      <c r="DA118" s="516">
        <f>SUMIFS(Imput[[Importe Neto]:[Importe Neto]],Imput[[C. Imp.]:[C. Imp.]],$D118,Imput[[PERIODO Imp.]:[PERIODO Imp.]],DA$9)</f>
        <v>0</v>
      </c>
      <c r="DB118" s="516">
        <f>SUMIFS(Imput[[Importe Neto]:[Importe Neto]],Imput[[C. Imp.]:[C. Imp.]],$D118,Imput[[PERIODO Imp.]:[PERIODO Imp.]],DB$9)</f>
        <v>0</v>
      </c>
      <c r="DC118" s="516">
        <f>SUMIFS(Imput[[Importe Neto]:[Importe Neto]],Imput[[C. Imp.]:[C. Imp.]],$D118,Imput[[PERIODO Imp.]:[PERIODO Imp.]],DC$9)</f>
        <v>0</v>
      </c>
      <c r="DD118" s="516">
        <f>SUMIFS(Imput[[Importe Neto]:[Importe Neto]],Imput[[C. Imp.]:[C. Imp.]],$D118,Imput[[PERIODO Imp.]:[PERIODO Imp.]],DD$9)</f>
        <v>0</v>
      </c>
      <c r="DE118" s="516">
        <f>SUMIFS(Imput[[Importe Neto]:[Importe Neto]],Imput[[C. Imp.]:[C. Imp.]],$D118,Imput[[PERIODO Imp.]:[PERIODO Imp.]],DE$9)</f>
        <v>0</v>
      </c>
      <c r="DF118" s="516">
        <f>SUMIFS(Imput[[Importe Neto]:[Importe Neto]],Imput[[C. Imp.]:[C. Imp.]],$D118,Imput[[PERIODO Imp.]:[PERIODO Imp.]],DF$9)</f>
        <v>0</v>
      </c>
      <c r="DG118" s="516">
        <f>SUMIFS(Imput[[Importe Neto]:[Importe Neto]],Imput[[C. Imp.]:[C. Imp.]],$D118,Imput[[PERIODO Imp.]:[PERIODO Imp.]],DG$9)</f>
        <v>0</v>
      </c>
      <c r="DH118" s="616">
        <f>SUMIFS(Imput[[Importe Neto]:[Importe Neto]],Imput[[C. Imp.]:[C. Imp.]],$D118,Imput[[PERIODO Imp.]:[PERIODO Imp.]],DH$9)</f>
        <v>0</v>
      </c>
    </row>
    <row r="119" spans="1:112" hidden="1" outlineLevel="1" x14ac:dyDescent="0.3">
      <c r="A119" s="66" t="str">
        <f t="shared" si="22"/>
        <v/>
      </c>
      <c r="C119" s="527"/>
      <c r="D119" s="528" t="s">
        <v>2231</v>
      </c>
      <c r="E119" s="536"/>
      <c r="F119" s="534"/>
      <c r="G119" s="529"/>
      <c r="H119" s="530"/>
      <c r="I119" s="849" t="str">
        <f t="shared" si="23"/>
        <v/>
      </c>
      <c r="J119" s="850" t="str">
        <f t="shared" si="24"/>
        <v/>
      </c>
      <c r="K119" s="70"/>
      <c r="L119" s="853"/>
      <c r="M119" s="855"/>
      <c r="N119" s="855"/>
      <c r="O119" s="855"/>
      <c r="P119" s="855"/>
      <c r="Q119" s="855"/>
      <c r="R119" s="855"/>
      <c r="S119" s="855"/>
      <c r="T119" s="855"/>
      <c r="U119" s="855"/>
      <c r="V119" s="855"/>
      <c r="W119" s="855"/>
      <c r="X119" s="855"/>
      <c r="Y119" s="855"/>
      <c r="Z119" s="856"/>
      <c r="AA119" s="856"/>
      <c r="AB119" s="856"/>
      <c r="AC119" s="856"/>
      <c r="AD119" s="856"/>
      <c r="AE119" s="856"/>
      <c r="AF119" s="856"/>
      <c r="AG119" s="856"/>
      <c r="AH119" s="856"/>
      <c r="AI119" s="856"/>
      <c r="AJ119" s="856"/>
      <c r="AK119" s="856"/>
      <c r="AL119" s="856"/>
      <c r="AM119" s="856"/>
      <c r="AN119" s="856"/>
      <c r="AO119" s="856"/>
      <c r="AP119" s="856"/>
      <c r="AQ119" s="856"/>
      <c r="AR119" s="856"/>
      <c r="AS119" s="856"/>
      <c r="AT119" s="856"/>
      <c r="AU119" s="856"/>
      <c r="AV119" s="856"/>
      <c r="AW119" s="856"/>
      <c r="AX119" s="856"/>
      <c r="AY119" s="856"/>
      <c r="AZ119" s="856"/>
      <c r="BA119" s="856"/>
      <c r="BB119" s="856"/>
      <c r="BC119" s="856"/>
      <c r="BD119" s="856"/>
      <c r="BE119" s="856"/>
      <c r="BF119" s="856"/>
      <c r="BG119" s="857"/>
      <c r="BH119" s="590"/>
      <c r="BI119" s="68"/>
      <c r="BJ119" s="518">
        <f t="shared" si="25"/>
        <v>0</v>
      </c>
      <c r="BK119" s="517">
        <f t="shared" si="26"/>
        <v>0</v>
      </c>
      <c r="BL119" s="68"/>
      <c r="BM119" s="610">
        <f>SUMIFS(Imput[[Importe Neto]:[Importe Neto]],Imput[[C. Imp.]:[C. Imp.]],$D119,Imput[[PERIODO Imp.]:[PERIODO Imp.]],BM$9)</f>
        <v>0</v>
      </c>
      <c r="BN119" s="611">
        <f>SUMIFS(Imput[[Importe Neto]:[Importe Neto]],Imput[[C. Imp.]:[C. Imp.]],$D119,Imput[[PERIODO Imp.]:[PERIODO Imp.]],BN$9)</f>
        <v>0</v>
      </c>
      <c r="BO119" s="611">
        <f>SUMIFS(Imput[[Importe Neto]:[Importe Neto]],Imput[[C. Imp.]:[C. Imp.]],$D119,Imput[[PERIODO Imp.]:[PERIODO Imp.]],BO$9)</f>
        <v>0</v>
      </c>
      <c r="BP119" s="611">
        <f>SUMIFS(Imput[[Importe Neto]:[Importe Neto]],Imput[[C. Imp.]:[C. Imp.]],$D119,Imput[[PERIODO Imp.]:[PERIODO Imp.]],BP$9)</f>
        <v>0</v>
      </c>
      <c r="BQ119" s="611">
        <f>SUMIFS(Imput[[Importe Neto]:[Importe Neto]],Imput[[C. Imp.]:[C. Imp.]],$D119,Imput[[PERIODO Imp.]:[PERIODO Imp.]],BQ$9)</f>
        <v>0</v>
      </c>
      <c r="BR119" s="611">
        <f>SUMIFS(Imput[[Importe Neto]:[Importe Neto]],Imput[[C. Imp.]:[C. Imp.]],$D119,Imput[[PERIODO Imp.]:[PERIODO Imp.]],BR$9)</f>
        <v>0</v>
      </c>
      <c r="BS119" s="611">
        <f>SUMIFS(Imput[[Importe Neto]:[Importe Neto]],Imput[[C. Imp.]:[C. Imp.]],$D119,Imput[[PERIODO Imp.]:[PERIODO Imp.]],BS$9)</f>
        <v>0</v>
      </c>
      <c r="BT119" s="611">
        <f>SUMIFS(Imput[[Importe Neto]:[Importe Neto]],Imput[[C. Imp.]:[C. Imp.]],$D119,Imput[[PERIODO Imp.]:[PERIODO Imp.]],BT$9)</f>
        <v>0</v>
      </c>
      <c r="BU119" s="611">
        <f>SUMIFS(Imput[[Importe Neto]:[Importe Neto]],Imput[[C. Imp.]:[C. Imp.]],$D119,Imput[[PERIODO Imp.]:[PERIODO Imp.]],BU$9)</f>
        <v>0</v>
      </c>
      <c r="BV119" s="611">
        <f>SUMIFS(Imput[[Importe Neto]:[Importe Neto]],Imput[[C. Imp.]:[C. Imp.]],$D119,Imput[[PERIODO Imp.]:[PERIODO Imp.]],BV$9)</f>
        <v>0</v>
      </c>
      <c r="BW119" s="611">
        <f>SUMIFS(Imput[[Importe Neto]:[Importe Neto]],Imput[[C. Imp.]:[C. Imp.]],$D119,Imput[[PERIODO Imp.]:[PERIODO Imp.]],BW$9)</f>
        <v>0</v>
      </c>
      <c r="BX119" s="611">
        <f>SUMIFS(Imput[[Importe Neto]:[Importe Neto]],Imput[[C. Imp.]:[C. Imp.]],$D119,Imput[[PERIODO Imp.]:[PERIODO Imp.]],BX$9)</f>
        <v>0</v>
      </c>
      <c r="BY119" s="611">
        <f>SUMIFS(Imput[[Importe Neto]:[Importe Neto]],Imput[[C. Imp.]:[C. Imp.]],$D119,Imput[[PERIODO Imp.]:[PERIODO Imp.]],BY$9)</f>
        <v>0</v>
      </c>
      <c r="BZ119" s="611">
        <f>SUMIFS(Imput[[Importe Neto]:[Importe Neto]],Imput[[C. Imp.]:[C. Imp.]],$D119,Imput[[PERIODO Imp.]:[PERIODO Imp.]],BZ$9)</f>
        <v>0</v>
      </c>
      <c r="CA119" s="611">
        <f>SUMIFS(Imput[[Importe Neto]:[Importe Neto]],Imput[[C. Imp.]:[C. Imp.]],$D119,Imput[[PERIODO Imp.]:[PERIODO Imp.]],CA$9)</f>
        <v>0</v>
      </c>
      <c r="CB119" s="611">
        <f>SUMIFS(Imput[[Importe Neto]:[Importe Neto]],Imput[[C. Imp.]:[C. Imp.]],$D119,Imput[[PERIODO Imp.]:[PERIODO Imp.]],CB$9)</f>
        <v>0</v>
      </c>
      <c r="CC119" s="611">
        <f>SUMIFS(Imput[[Importe Neto]:[Importe Neto]],Imput[[C. Imp.]:[C. Imp.]],$D119,Imput[[PERIODO Imp.]:[PERIODO Imp.]],CC$9)</f>
        <v>0</v>
      </c>
      <c r="CD119" s="611">
        <f>SUMIFS(Imput[[Importe Neto]:[Importe Neto]],Imput[[C. Imp.]:[C. Imp.]],$D119,Imput[[PERIODO Imp.]:[PERIODO Imp.]],CD$9)</f>
        <v>0</v>
      </c>
      <c r="CE119" s="611">
        <f>SUMIFS(Imput[[Importe Neto]:[Importe Neto]],Imput[[C. Imp.]:[C. Imp.]],$D119,Imput[[PERIODO Imp.]:[PERIODO Imp.]],CE$9)</f>
        <v>0</v>
      </c>
      <c r="CF119" s="611">
        <f>SUMIFS(Imput[[Importe Neto]:[Importe Neto]],Imput[[C. Imp.]:[C. Imp.]],$D119,Imput[[PERIODO Imp.]:[PERIODO Imp.]],CF$9)</f>
        <v>0</v>
      </c>
      <c r="CG119" s="611">
        <f>SUMIFS(Imput[[Importe Neto]:[Importe Neto]],Imput[[C. Imp.]:[C. Imp.]],$D119,Imput[[PERIODO Imp.]:[PERIODO Imp.]],CG$9)</f>
        <v>0</v>
      </c>
      <c r="CH119" s="611">
        <f>SUMIFS(Imput[[Importe Neto]:[Importe Neto]],Imput[[C. Imp.]:[C. Imp.]],$D119,Imput[[PERIODO Imp.]:[PERIODO Imp.]],CH$9)</f>
        <v>0</v>
      </c>
      <c r="CI119" s="611">
        <f>SUMIFS(Imput[[Importe Neto]:[Importe Neto]],Imput[[C. Imp.]:[C. Imp.]],$D119,Imput[[PERIODO Imp.]:[PERIODO Imp.]],CI$9)</f>
        <v>0</v>
      </c>
      <c r="CJ119" s="611">
        <f>SUMIFS(Imput[[Importe Neto]:[Importe Neto]],Imput[[C. Imp.]:[C. Imp.]],$D119,Imput[[PERIODO Imp.]:[PERIODO Imp.]],CJ$9)</f>
        <v>0</v>
      </c>
      <c r="CK119" s="611">
        <f>SUMIFS(Imput[[Importe Neto]:[Importe Neto]],Imput[[C. Imp.]:[C. Imp.]],$D119,Imput[[PERIODO Imp.]:[PERIODO Imp.]],CK$9)</f>
        <v>0</v>
      </c>
      <c r="CL119" s="611">
        <f>SUMIFS(Imput[[Importe Neto]:[Importe Neto]],Imput[[C. Imp.]:[C. Imp.]],$D119,Imput[[PERIODO Imp.]:[PERIODO Imp.]],CL$9)</f>
        <v>0</v>
      </c>
      <c r="CM119" s="611">
        <f>SUMIFS(Imput[[Importe Neto]:[Importe Neto]],Imput[[C. Imp.]:[C. Imp.]],$D119,Imput[[PERIODO Imp.]:[PERIODO Imp.]],CM$9)</f>
        <v>0</v>
      </c>
      <c r="CN119" s="611">
        <f>SUMIFS(Imput[[Importe Neto]:[Importe Neto]],Imput[[C. Imp.]:[C. Imp.]],$D119,Imput[[PERIODO Imp.]:[PERIODO Imp.]],CN$9)</f>
        <v>0</v>
      </c>
      <c r="CO119" s="611">
        <f>SUMIFS(Imput[[Importe Neto]:[Importe Neto]],Imput[[C. Imp.]:[C. Imp.]],$D119,Imput[[PERIODO Imp.]:[PERIODO Imp.]],CO$9)</f>
        <v>0</v>
      </c>
      <c r="CP119" s="611">
        <f>SUMIFS(Imput[[Importe Neto]:[Importe Neto]],Imput[[C. Imp.]:[C. Imp.]],$D119,Imput[[PERIODO Imp.]:[PERIODO Imp.]],CP$9)</f>
        <v>0</v>
      </c>
      <c r="CQ119" s="611">
        <f>SUMIFS(Imput[[Importe Neto]:[Importe Neto]],Imput[[C. Imp.]:[C. Imp.]],$D119,Imput[[PERIODO Imp.]:[PERIODO Imp.]],CQ$9)</f>
        <v>0</v>
      </c>
      <c r="CR119" s="611">
        <f>SUMIFS(Imput[[Importe Neto]:[Importe Neto]],Imput[[C. Imp.]:[C. Imp.]],$D119,Imput[[PERIODO Imp.]:[PERIODO Imp.]],CR$9)</f>
        <v>0</v>
      </c>
      <c r="CS119" s="611">
        <f>SUMIFS(Imput[[Importe Neto]:[Importe Neto]],Imput[[C. Imp.]:[C. Imp.]],$D119,Imput[[PERIODO Imp.]:[PERIODO Imp.]],CS$9)</f>
        <v>0</v>
      </c>
      <c r="CT119" s="611">
        <f>SUMIFS(Imput[[Importe Neto]:[Importe Neto]],Imput[[C. Imp.]:[C. Imp.]],$D119,Imput[[PERIODO Imp.]:[PERIODO Imp.]],CT$9)</f>
        <v>0</v>
      </c>
      <c r="CU119" s="611">
        <f>SUMIFS(Imput[[Importe Neto]:[Importe Neto]],Imput[[C. Imp.]:[C. Imp.]],$D119,Imput[[PERIODO Imp.]:[PERIODO Imp.]],CU$9)</f>
        <v>0</v>
      </c>
      <c r="CV119" s="611">
        <f>SUMIFS(Imput[[Importe Neto]:[Importe Neto]],Imput[[C. Imp.]:[C. Imp.]],$D119,Imput[[PERIODO Imp.]:[PERIODO Imp.]],CV$9)</f>
        <v>0</v>
      </c>
      <c r="CW119" s="611">
        <f>SUMIFS(Imput[[Importe Neto]:[Importe Neto]],Imput[[C. Imp.]:[C. Imp.]],$D119,Imput[[PERIODO Imp.]:[PERIODO Imp.]],CW$9)</f>
        <v>0</v>
      </c>
      <c r="CX119" s="611">
        <f>SUMIFS(Imput[[Importe Neto]:[Importe Neto]],Imput[[C. Imp.]:[C. Imp.]],$D119,Imput[[PERIODO Imp.]:[PERIODO Imp.]],CX$9)</f>
        <v>0</v>
      </c>
      <c r="CY119" s="611">
        <f>SUMIFS(Imput[[Importe Neto]:[Importe Neto]],Imput[[C. Imp.]:[C. Imp.]],$D119,Imput[[PERIODO Imp.]:[PERIODO Imp.]],CY$9)</f>
        <v>0</v>
      </c>
      <c r="CZ119" s="611">
        <f>SUMIFS(Imput[[Importe Neto]:[Importe Neto]],Imput[[C. Imp.]:[C. Imp.]],$D119,Imput[[PERIODO Imp.]:[PERIODO Imp.]],CZ$9)</f>
        <v>0</v>
      </c>
      <c r="DA119" s="611">
        <f>SUMIFS(Imput[[Importe Neto]:[Importe Neto]],Imput[[C. Imp.]:[C. Imp.]],$D119,Imput[[PERIODO Imp.]:[PERIODO Imp.]],DA$9)</f>
        <v>0</v>
      </c>
      <c r="DB119" s="611">
        <f>SUMIFS(Imput[[Importe Neto]:[Importe Neto]],Imput[[C. Imp.]:[C. Imp.]],$D119,Imput[[PERIODO Imp.]:[PERIODO Imp.]],DB$9)</f>
        <v>0</v>
      </c>
      <c r="DC119" s="611">
        <f>SUMIFS(Imput[[Importe Neto]:[Importe Neto]],Imput[[C. Imp.]:[C. Imp.]],$D119,Imput[[PERIODO Imp.]:[PERIODO Imp.]],DC$9)</f>
        <v>0</v>
      </c>
      <c r="DD119" s="611">
        <f>SUMIFS(Imput[[Importe Neto]:[Importe Neto]],Imput[[C. Imp.]:[C. Imp.]],$D119,Imput[[PERIODO Imp.]:[PERIODO Imp.]],DD$9)</f>
        <v>0</v>
      </c>
      <c r="DE119" s="611">
        <f>SUMIFS(Imput[[Importe Neto]:[Importe Neto]],Imput[[C. Imp.]:[C. Imp.]],$D119,Imput[[PERIODO Imp.]:[PERIODO Imp.]],DE$9)</f>
        <v>0</v>
      </c>
      <c r="DF119" s="611">
        <f>SUMIFS(Imput[[Importe Neto]:[Importe Neto]],Imput[[C. Imp.]:[C. Imp.]],$D119,Imput[[PERIODO Imp.]:[PERIODO Imp.]],DF$9)</f>
        <v>0</v>
      </c>
      <c r="DG119" s="611">
        <f>SUMIFS(Imput[[Importe Neto]:[Importe Neto]],Imput[[C. Imp.]:[C. Imp.]],$D119,Imput[[PERIODO Imp.]:[PERIODO Imp.]],DG$9)</f>
        <v>0</v>
      </c>
      <c r="DH119" s="797">
        <f>SUMIFS(Imput[[Importe Neto]:[Importe Neto]],Imput[[C. Imp.]:[C. Imp.]],$D119,Imput[[PERIODO Imp.]:[PERIODO Imp.]],DH$9)</f>
        <v>0</v>
      </c>
    </row>
    <row r="120" spans="1:112" ht="14.4" outlineLevel="1" thickBot="1" x14ac:dyDescent="0.35">
      <c r="A120" s="652" t="str">
        <f>IF(J68&gt;0,"Imprimir","")</f>
        <v>Imprimir</v>
      </c>
      <c r="B120" s="652"/>
      <c r="C120" s="699"/>
      <c r="D120" s="700"/>
      <c r="E120" s="700"/>
      <c r="F120" s="701"/>
      <c r="G120" s="702"/>
      <c r="H120" s="703"/>
      <c r="I120" s="704"/>
      <c r="J120" s="705"/>
      <c r="K120" s="667"/>
      <c r="L120" s="706"/>
      <c r="M120" s="707"/>
      <c r="N120" s="777"/>
      <c r="O120" s="777"/>
      <c r="P120" s="778"/>
      <c r="Q120" s="778"/>
      <c r="R120" s="708"/>
      <c r="S120" s="708"/>
      <c r="T120" s="779"/>
      <c r="U120" s="779"/>
      <c r="V120" s="778"/>
      <c r="W120" s="778"/>
      <c r="X120" s="708"/>
      <c r="Y120" s="708"/>
      <c r="Z120" s="708"/>
      <c r="AA120" s="708"/>
      <c r="AB120" s="708"/>
      <c r="AC120" s="708"/>
      <c r="AD120" s="708"/>
      <c r="AE120" s="708"/>
      <c r="AF120" s="708"/>
      <c r="AG120" s="708"/>
      <c r="AH120" s="708"/>
      <c r="AI120" s="708"/>
      <c r="AJ120" s="708"/>
      <c r="AK120" s="708"/>
      <c r="AL120" s="708"/>
      <c r="AM120" s="708"/>
      <c r="AN120" s="708"/>
      <c r="AO120" s="708"/>
      <c r="AP120" s="708"/>
      <c r="AQ120" s="708"/>
      <c r="AR120" s="708"/>
      <c r="AS120" s="708"/>
      <c r="AT120" s="708"/>
      <c r="AU120" s="708"/>
      <c r="AV120" s="708"/>
      <c r="AW120" s="708"/>
      <c r="AX120" s="708"/>
      <c r="AY120" s="708"/>
      <c r="AZ120" s="708"/>
      <c r="BA120" s="708"/>
      <c r="BB120" s="708"/>
      <c r="BC120" s="708"/>
      <c r="BD120" s="708"/>
      <c r="BE120" s="708"/>
      <c r="BF120" s="708"/>
      <c r="BG120" s="721"/>
      <c r="BH120" s="780"/>
      <c r="BI120" s="654"/>
      <c r="BJ120" s="709"/>
      <c r="BK120" s="710"/>
      <c r="BL120" s="654"/>
      <c r="BM120" s="731"/>
      <c r="BN120" s="701"/>
      <c r="BO120" s="701"/>
      <c r="BP120" s="701"/>
      <c r="BQ120" s="701"/>
      <c r="BR120" s="701"/>
      <c r="BS120" s="701"/>
      <c r="BT120" s="701"/>
      <c r="BU120" s="701"/>
      <c r="BV120" s="701"/>
      <c r="BW120" s="701"/>
      <c r="BX120" s="701"/>
      <c r="BY120" s="701"/>
      <c r="BZ120" s="701"/>
      <c r="CA120" s="701"/>
      <c r="CB120" s="701"/>
      <c r="CC120" s="701"/>
      <c r="CD120" s="701"/>
      <c r="CE120" s="701"/>
      <c r="CF120" s="701"/>
      <c r="CG120" s="701"/>
      <c r="CH120" s="701"/>
      <c r="CI120" s="701"/>
      <c r="CJ120" s="701"/>
      <c r="CK120" s="701"/>
      <c r="CL120" s="701"/>
      <c r="CM120" s="701"/>
      <c r="CN120" s="701"/>
      <c r="CO120" s="701"/>
      <c r="CP120" s="701"/>
      <c r="CQ120" s="701"/>
      <c r="CR120" s="701"/>
      <c r="CS120" s="701"/>
      <c r="CT120" s="701"/>
      <c r="CU120" s="701"/>
      <c r="CV120" s="701"/>
      <c r="CW120" s="701"/>
      <c r="CX120" s="701"/>
      <c r="CY120" s="701"/>
      <c r="CZ120" s="701"/>
      <c r="DA120" s="701"/>
      <c r="DB120" s="701"/>
      <c r="DC120" s="701"/>
      <c r="DD120" s="701"/>
      <c r="DE120" s="701"/>
      <c r="DF120" s="701"/>
      <c r="DG120" s="701"/>
      <c r="DH120" s="710"/>
    </row>
    <row r="121" spans="1:112" x14ac:dyDescent="0.3">
      <c r="A121" s="652" t="str">
        <f>IF(J121&gt;0,"Imprimir","")</f>
        <v>Imprimir</v>
      </c>
      <c r="B121" s="652"/>
      <c r="C121" s="711"/>
      <c r="D121" s="712" t="s">
        <v>451</v>
      </c>
      <c r="E121" s="712" t="s">
        <v>487</v>
      </c>
      <c r="F121" s="712"/>
      <c r="G121" s="713"/>
      <c r="H121" s="712"/>
      <c r="I121" s="714"/>
      <c r="J121" s="715">
        <f>SUBTOTAL(9,J124:J173)</f>
        <v>124378.57839789474</v>
      </c>
      <c r="K121" s="658"/>
      <c r="L121" s="770">
        <f t="shared" ref="L121:BG121" si="27">SUMPRODUCT($J124:$J173,L124:L173)</f>
        <v>79001.605497894721</v>
      </c>
      <c r="M121" s="771">
        <f t="shared" si="27"/>
        <v>1965.6037500000002</v>
      </c>
      <c r="N121" s="771">
        <f t="shared" si="27"/>
        <v>1965.6037500000002</v>
      </c>
      <c r="O121" s="771">
        <f t="shared" si="27"/>
        <v>3534.0237500000003</v>
      </c>
      <c r="P121" s="771">
        <f t="shared" si="27"/>
        <v>8395.9897500000006</v>
      </c>
      <c r="Q121" s="771">
        <f t="shared" si="27"/>
        <v>1965.6037500000002</v>
      </c>
      <c r="R121" s="771">
        <f t="shared" si="27"/>
        <v>1965.6037500000002</v>
      </c>
      <c r="S121" s="771">
        <f t="shared" si="27"/>
        <v>2034.6237500000002</v>
      </c>
      <c r="T121" s="771">
        <f t="shared" si="27"/>
        <v>1965.6037500000002</v>
      </c>
      <c r="U121" s="771">
        <f t="shared" si="27"/>
        <v>1965.6037500000002</v>
      </c>
      <c r="V121" s="771">
        <f t="shared" si="27"/>
        <v>1965.6037500000002</v>
      </c>
      <c r="W121" s="771">
        <f t="shared" si="27"/>
        <v>7972.7781500000001</v>
      </c>
      <c r="X121" s="771">
        <f t="shared" si="27"/>
        <v>1965.6037500000002</v>
      </c>
      <c r="Y121" s="771">
        <f t="shared" si="27"/>
        <v>2034.6237500000002</v>
      </c>
      <c r="Z121" s="771">
        <f t="shared" si="27"/>
        <v>1965.6037500000002</v>
      </c>
      <c r="AA121" s="771">
        <f t="shared" si="27"/>
        <v>1568.42</v>
      </c>
      <c r="AB121" s="771">
        <f t="shared" si="27"/>
        <v>0</v>
      </c>
      <c r="AC121" s="771">
        <f t="shared" si="27"/>
        <v>69.02000000000001</v>
      </c>
      <c r="AD121" s="771">
        <f t="shared" si="27"/>
        <v>0</v>
      </c>
      <c r="AE121" s="771">
        <f t="shared" si="27"/>
        <v>1939.02</v>
      </c>
      <c r="AF121" s="771">
        <f t="shared" si="27"/>
        <v>0</v>
      </c>
      <c r="AG121" s="771">
        <f t="shared" si="27"/>
        <v>69.02000000000001</v>
      </c>
      <c r="AH121" s="771">
        <f t="shared" si="27"/>
        <v>0</v>
      </c>
      <c r="AI121" s="771">
        <f t="shared" si="27"/>
        <v>69.02000000000001</v>
      </c>
      <c r="AJ121" s="771">
        <f t="shared" si="27"/>
        <v>0</v>
      </c>
      <c r="AK121" s="771">
        <f t="shared" si="27"/>
        <v>0</v>
      </c>
      <c r="AL121" s="771">
        <f t="shared" si="27"/>
        <v>0</v>
      </c>
      <c r="AM121" s="771">
        <f t="shared" si="27"/>
        <v>0</v>
      </c>
      <c r="AN121" s="771">
        <f t="shared" si="27"/>
        <v>0</v>
      </c>
      <c r="AO121" s="771">
        <f t="shared" si="27"/>
        <v>0</v>
      </c>
      <c r="AP121" s="771">
        <f t="shared" si="27"/>
        <v>0</v>
      </c>
      <c r="AQ121" s="771">
        <f t="shared" si="27"/>
        <v>0</v>
      </c>
      <c r="AR121" s="771">
        <f t="shared" si="27"/>
        <v>0</v>
      </c>
      <c r="AS121" s="771">
        <f t="shared" si="27"/>
        <v>0</v>
      </c>
      <c r="AT121" s="771">
        <f t="shared" si="27"/>
        <v>0</v>
      </c>
      <c r="AU121" s="771">
        <f t="shared" si="27"/>
        <v>0</v>
      </c>
      <c r="AV121" s="771">
        <f t="shared" si="27"/>
        <v>0</v>
      </c>
      <c r="AW121" s="771">
        <f t="shared" si="27"/>
        <v>0</v>
      </c>
      <c r="AX121" s="771">
        <f t="shared" si="27"/>
        <v>0</v>
      </c>
      <c r="AY121" s="771">
        <f t="shared" si="27"/>
        <v>0</v>
      </c>
      <c r="AZ121" s="771">
        <f t="shared" si="27"/>
        <v>0</v>
      </c>
      <c r="BA121" s="771">
        <f t="shared" si="27"/>
        <v>0</v>
      </c>
      <c r="BB121" s="771">
        <f t="shared" si="27"/>
        <v>0</v>
      </c>
      <c r="BC121" s="771">
        <f t="shared" si="27"/>
        <v>0</v>
      </c>
      <c r="BD121" s="771">
        <f t="shared" si="27"/>
        <v>0</v>
      </c>
      <c r="BE121" s="771">
        <f t="shared" si="27"/>
        <v>0</v>
      </c>
      <c r="BF121" s="771">
        <f t="shared" si="27"/>
        <v>0</v>
      </c>
      <c r="BG121" s="765">
        <f t="shared" si="27"/>
        <v>0</v>
      </c>
      <c r="BH121" s="776"/>
      <c r="BI121" s="654"/>
      <c r="BJ121" s="659">
        <f>IFERROR(BK121/J121,0)</f>
        <v>0.91191625113412467</v>
      </c>
      <c r="BK121" s="660">
        <f>SUBTOTAL(9,BK122:BK173)</f>
        <v>113422.846934</v>
      </c>
      <c r="BL121" s="654"/>
      <c r="BM121" s="661">
        <f>SUBTOTAL(9,BM122:BM173)</f>
        <v>0</v>
      </c>
      <c r="BN121" s="662">
        <f>SUBTOTAL(9,BN122:BN173)</f>
        <v>0</v>
      </c>
      <c r="BO121" s="662">
        <f t="shared" ref="BO121" si="28">SUBTOTAL(9,BO122:BO173)</f>
        <v>43812.689599999998</v>
      </c>
      <c r="BP121" s="662">
        <f t="shared" ref="BP121" si="29">SUBTOTAL(9,BP122:BP173)</f>
        <v>58749.893045999997</v>
      </c>
      <c r="BQ121" s="662">
        <f t="shared" ref="BQ121" si="30">SUBTOTAL(9,BQ122:BQ173)</f>
        <v>1290.009088</v>
      </c>
      <c r="BR121" s="662">
        <f t="shared" ref="BR121" si="31">SUBTOTAL(9,BR122:BR173)</f>
        <v>9570.2551999999996</v>
      </c>
      <c r="BS121" s="662">
        <f t="shared" ref="BS121" si="32">SUBTOTAL(9,BS122:BS173)</f>
        <v>0</v>
      </c>
      <c r="BT121" s="662">
        <f t="shared" ref="BT121" si="33">SUBTOTAL(9,BT122:BT173)</f>
        <v>0</v>
      </c>
      <c r="BU121" s="662">
        <f t="shared" ref="BU121" si="34">SUBTOTAL(9,BU122:BU173)</f>
        <v>0</v>
      </c>
      <c r="BV121" s="662">
        <f t="shared" ref="BV121" si="35">SUBTOTAL(9,BV122:BV173)</f>
        <v>0</v>
      </c>
      <c r="BW121" s="662">
        <f t="shared" ref="BW121" si="36">SUBTOTAL(9,BW122:BW173)</f>
        <v>0</v>
      </c>
      <c r="BX121" s="662">
        <f t="shared" ref="BX121" si="37">SUBTOTAL(9,BX122:BX173)</f>
        <v>0</v>
      </c>
      <c r="BY121" s="662">
        <f t="shared" ref="BY121" si="38">SUBTOTAL(9,BY122:BY173)</f>
        <v>0</v>
      </c>
      <c r="BZ121" s="662">
        <f t="shared" ref="BZ121" si="39">SUBTOTAL(9,BZ122:BZ173)</f>
        <v>0</v>
      </c>
      <c r="CA121" s="662">
        <f t="shared" ref="CA121" si="40">SUBTOTAL(9,CA122:CA173)</f>
        <v>0</v>
      </c>
      <c r="CB121" s="662">
        <f t="shared" ref="CB121" si="41">SUBTOTAL(9,CB122:CB173)</f>
        <v>0</v>
      </c>
      <c r="CC121" s="662">
        <f t="shared" ref="CC121" si="42">SUBTOTAL(9,CC122:CC173)</f>
        <v>0</v>
      </c>
      <c r="CD121" s="662">
        <f t="shared" ref="CD121" si="43">SUBTOTAL(9,CD122:CD173)</f>
        <v>0</v>
      </c>
      <c r="CE121" s="662">
        <f t="shared" ref="CE121" si="44">SUBTOTAL(9,CE122:CE173)</f>
        <v>0</v>
      </c>
      <c r="CF121" s="662">
        <f t="shared" ref="CF121" si="45">SUBTOTAL(9,CF122:CF173)</f>
        <v>0</v>
      </c>
      <c r="CG121" s="662">
        <f t="shared" ref="CG121" si="46">SUBTOTAL(9,CG122:CG173)</f>
        <v>0</v>
      </c>
      <c r="CH121" s="662">
        <f t="shared" ref="CH121" si="47">SUBTOTAL(9,CH122:CH173)</f>
        <v>0</v>
      </c>
      <c r="CI121" s="662">
        <f t="shared" ref="CI121" si="48">SUBTOTAL(9,CI122:CI173)</f>
        <v>0</v>
      </c>
      <c r="CJ121" s="662">
        <f t="shared" ref="CJ121" si="49">SUBTOTAL(9,CJ122:CJ173)</f>
        <v>0</v>
      </c>
      <c r="CK121" s="662">
        <f t="shared" ref="CK121" si="50">SUBTOTAL(9,CK122:CK173)</f>
        <v>0</v>
      </c>
      <c r="CL121" s="662">
        <f t="shared" ref="CL121" si="51">SUBTOTAL(9,CL122:CL173)</f>
        <v>0</v>
      </c>
      <c r="CM121" s="662">
        <f t="shared" ref="CM121" si="52">SUBTOTAL(9,CM122:CM173)</f>
        <v>0</v>
      </c>
      <c r="CN121" s="662">
        <f t="shared" ref="CN121" si="53">SUBTOTAL(9,CN122:CN173)</f>
        <v>0</v>
      </c>
      <c r="CO121" s="662">
        <f t="shared" ref="CO121" si="54">SUBTOTAL(9,CO122:CO173)</f>
        <v>0</v>
      </c>
      <c r="CP121" s="662">
        <f t="shared" ref="CP121" si="55">SUBTOTAL(9,CP122:CP173)</f>
        <v>0</v>
      </c>
      <c r="CQ121" s="662">
        <f t="shared" ref="CQ121" si="56">SUBTOTAL(9,CQ122:CQ173)</f>
        <v>0</v>
      </c>
      <c r="CR121" s="662">
        <f t="shared" ref="CR121" si="57">SUBTOTAL(9,CR122:CR173)</f>
        <v>0</v>
      </c>
      <c r="CS121" s="662">
        <f t="shared" ref="CS121" si="58">SUBTOTAL(9,CS122:CS173)</f>
        <v>0</v>
      </c>
      <c r="CT121" s="662">
        <f t="shared" ref="CT121" si="59">SUBTOTAL(9,CT122:CT173)</f>
        <v>0</v>
      </c>
      <c r="CU121" s="662">
        <f t="shared" ref="CU121" si="60">SUBTOTAL(9,CU122:CU173)</f>
        <v>0</v>
      </c>
      <c r="CV121" s="662">
        <f t="shared" ref="CV121" si="61">SUBTOTAL(9,CV122:CV173)</f>
        <v>0</v>
      </c>
      <c r="CW121" s="662">
        <f t="shared" ref="CW121" si="62">SUBTOTAL(9,CW122:CW173)</f>
        <v>0</v>
      </c>
      <c r="CX121" s="662">
        <f t="shared" ref="CX121" si="63">SUBTOTAL(9,CX122:CX173)</f>
        <v>0</v>
      </c>
      <c r="CY121" s="662">
        <f t="shared" ref="CY121" si="64">SUBTOTAL(9,CY122:CY173)</f>
        <v>0</v>
      </c>
      <c r="CZ121" s="662">
        <f t="shared" ref="CZ121" si="65">SUBTOTAL(9,CZ122:CZ173)</f>
        <v>0</v>
      </c>
      <c r="DA121" s="662">
        <f t="shared" ref="DA121" si="66">SUBTOTAL(9,DA122:DA173)</f>
        <v>0</v>
      </c>
      <c r="DB121" s="662">
        <f t="shared" ref="DB121" si="67">SUBTOTAL(9,DB122:DB173)</f>
        <v>0</v>
      </c>
      <c r="DC121" s="662">
        <f t="shared" ref="DC121" si="68">SUBTOTAL(9,DC122:DC173)</f>
        <v>0</v>
      </c>
      <c r="DD121" s="662">
        <f t="shared" ref="DD121" si="69">SUBTOTAL(9,DD122:DD173)</f>
        <v>0</v>
      </c>
      <c r="DE121" s="662">
        <f t="shared" ref="DE121" si="70">SUBTOTAL(9,DE122:DE173)</f>
        <v>0</v>
      </c>
      <c r="DF121" s="662">
        <f t="shared" ref="DF121" si="71">SUBTOTAL(9,DF122:DF173)</f>
        <v>0</v>
      </c>
      <c r="DG121" s="662">
        <f t="shared" ref="DG121" si="72">SUBTOTAL(9,DG122:DG173)</f>
        <v>0</v>
      </c>
      <c r="DH121" s="663">
        <f>SUBTOTAL(9,DH122:DH173)</f>
        <v>0</v>
      </c>
    </row>
    <row r="122" spans="1:112" s="649" customFormat="1" outlineLevel="1" x14ac:dyDescent="0.3">
      <c r="A122" s="652" t="str">
        <f>IF(J121&gt;0,"Imprimir","")</f>
        <v>Imprimir</v>
      </c>
      <c r="B122" s="652"/>
      <c r="C122" s="664"/>
      <c r="D122" s="665"/>
      <c r="E122" s="665"/>
      <c r="F122" s="665" t="s">
        <v>472</v>
      </c>
      <c r="G122" s="716" t="s">
        <v>2128</v>
      </c>
      <c r="H122" s="665" t="str">
        <f>H15</f>
        <v>Cantidad</v>
      </c>
      <c r="I122" s="665" t="s">
        <v>474</v>
      </c>
      <c r="J122" s="666" t="s">
        <v>29</v>
      </c>
      <c r="K122" s="667"/>
      <c r="L122" s="745"/>
      <c r="M122" s="741"/>
      <c r="N122" s="741"/>
      <c r="O122" s="741"/>
      <c r="P122" s="741"/>
      <c r="Q122" s="741"/>
      <c r="R122" s="741"/>
      <c r="S122" s="741"/>
      <c r="T122" s="741"/>
      <c r="U122" s="741"/>
      <c r="V122" s="741"/>
      <c r="W122" s="741"/>
      <c r="X122" s="741"/>
      <c r="Y122" s="741"/>
      <c r="Z122" s="741"/>
      <c r="AA122" s="741"/>
      <c r="AB122" s="741"/>
      <c r="AC122" s="741"/>
      <c r="AD122" s="741"/>
      <c r="AE122" s="741"/>
      <c r="AF122" s="741"/>
      <c r="AG122" s="741"/>
      <c r="AH122" s="741"/>
      <c r="AI122" s="741"/>
      <c r="AJ122" s="741"/>
      <c r="AK122" s="741"/>
      <c r="AL122" s="741"/>
      <c r="AM122" s="741"/>
      <c r="AN122" s="741"/>
      <c r="AO122" s="741"/>
      <c r="AP122" s="741"/>
      <c r="AQ122" s="741"/>
      <c r="AR122" s="741"/>
      <c r="AS122" s="741"/>
      <c r="AT122" s="741"/>
      <c r="AU122" s="741"/>
      <c r="AV122" s="741"/>
      <c r="AW122" s="741"/>
      <c r="AX122" s="741"/>
      <c r="AY122" s="741"/>
      <c r="AZ122" s="741"/>
      <c r="BA122" s="741"/>
      <c r="BB122" s="741"/>
      <c r="BC122" s="741"/>
      <c r="BD122" s="741"/>
      <c r="BE122" s="741"/>
      <c r="BF122" s="741"/>
      <c r="BG122" s="746"/>
      <c r="BH122" s="668"/>
      <c r="BI122" s="654"/>
      <c r="BJ122" s="669"/>
      <c r="BK122" s="670"/>
      <c r="BL122" s="654"/>
      <c r="BM122" s="671"/>
      <c r="BN122" s="665"/>
      <c r="BO122" s="665"/>
      <c r="BP122" s="665"/>
      <c r="BQ122" s="665"/>
      <c r="BR122" s="665"/>
      <c r="BS122" s="665"/>
      <c r="BT122" s="665"/>
      <c r="BU122" s="665"/>
      <c r="BV122" s="665"/>
      <c r="BW122" s="665"/>
      <c r="BX122" s="665"/>
      <c r="BY122" s="665"/>
      <c r="BZ122" s="665"/>
      <c r="CA122" s="665"/>
      <c r="CB122" s="665"/>
      <c r="CC122" s="665"/>
      <c r="CD122" s="665"/>
      <c r="CE122" s="665"/>
      <c r="CF122" s="665"/>
      <c r="CG122" s="665"/>
      <c r="CH122" s="665"/>
      <c r="CI122" s="665"/>
      <c r="CJ122" s="665"/>
      <c r="CK122" s="665"/>
      <c r="CL122" s="665"/>
      <c r="CM122" s="665"/>
      <c r="CN122" s="665"/>
      <c r="CO122" s="665"/>
      <c r="CP122" s="665"/>
      <c r="CQ122" s="665"/>
      <c r="CR122" s="665"/>
      <c r="CS122" s="665"/>
      <c r="CT122" s="665"/>
      <c r="CU122" s="665"/>
      <c r="CV122" s="665"/>
      <c r="CW122" s="665"/>
      <c r="CX122" s="665"/>
      <c r="CY122" s="665"/>
      <c r="CZ122" s="665"/>
      <c r="DA122" s="665"/>
      <c r="DB122" s="665"/>
      <c r="DC122" s="665"/>
      <c r="DD122" s="665"/>
      <c r="DE122" s="665"/>
      <c r="DF122" s="665"/>
      <c r="DG122" s="665"/>
      <c r="DH122" s="666"/>
    </row>
    <row r="123" spans="1:112" ht="15.6" outlineLevel="1" x14ac:dyDescent="0.3">
      <c r="A123" s="652" t="str">
        <f t="shared" ref="A123" si="73">IF(J123&gt;0,"Imprimir","")</f>
        <v>Imprimir</v>
      </c>
      <c r="B123" s="652"/>
      <c r="C123" s="672"/>
      <c r="D123" s="673"/>
      <c r="E123" s="674"/>
      <c r="F123" s="675"/>
      <c r="G123" s="717"/>
      <c r="H123" s="718"/>
      <c r="I123" s="719"/>
      <c r="J123" s="219">
        <f>SUBTOTAL(9,J124:J173)</f>
        <v>124378.57839789474</v>
      </c>
      <c r="K123" s="678"/>
      <c r="L123" s="747"/>
      <c r="M123" s="742"/>
      <c r="N123" s="742"/>
      <c r="O123" s="742"/>
      <c r="P123" s="742"/>
      <c r="Q123" s="742"/>
      <c r="R123" s="742"/>
      <c r="S123" s="742"/>
      <c r="T123" s="742"/>
      <c r="U123" s="742"/>
      <c r="V123" s="742"/>
      <c r="W123" s="742"/>
      <c r="X123" s="742"/>
      <c r="Y123" s="742"/>
      <c r="Z123" s="742"/>
      <c r="AA123" s="742"/>
      <c r="AB123" s="742"/>
      <c r="AC123" s="742"/>
      <c r="AD123" s="742"/>
      <c r="AE123" s="742"/>
      <c r="AF123" s="742"/>
      <c r="AG123" s="742"/>
      <c r="AH123" s="742"/>
      <c r="AI123" s="742"/>
      <c r="AJ123" s="742"/>
      <c r="AK123" s="742"/>
      <c r="AL123" s="742"/>
      <c r="AM123" s="742"/>
      <c r="AN123" s="742"/>
      <c r="AO123" s="742"/>
      <c r="AP123" s="742"/>
      <c r="AQ123" s="742"/>
      <c r="AR123" s="742"/>
      <c r="AS123" s="742"/>
      <c r="AT123" s="742"/>
      <c r="AU123" s="742"/>
      <c r="AV123" s="742"/>
      <c r="AW123" s="742"/>
      <c r="AX123" s="742"/>
      <c r="AY123" s="742"/>
      <c r="AZ123" s="742"/>
      <c r="BA123" s="742"/>
      <c r="BB123" s="742"/>
      <c r="BC123" s="742"/>
      <c r="BD123" s="742"/>
      <c r="BE123" s="742"/>
      <c r="BF123" s="742"/>
      <c r="BG123" s="748"/>
      <c r="BH123" s="668"/>
      <c r="BI123" s="654"/>
      <c r="BJ123" s="680"/>
      <c r="BK123" s="681"/>
      <c r="BL123" s="654"/>
      <c r="BM123" s="682"/>
      <c r="BN123" s="683"/>
      <c r="BO123" s="683"/>
      <c r="BP123" s="683"/>
      <c r="BQ123" s="683"/>
      <c r="BR123" s="683"/>
      <c r="BS123" s="683"/>
      <c r="BT123" s="683"/>
      <c r="BU123" s="683"/>
      <c r="BV123" s="683"/>
      <c r="BW123" s="683"/>
      <c r="BX123" s="683"/>
      <c r="BY123" s="683"/>
      <c r="BZ123" s="683"/>
      <c r="CA123" s="683"/>
      <c r="CB123" s="683"/>
      <c r="CC123" s="683"/>
      <c r="CD123" s="683"/>
      <c r="CE123" s="683"/>
      <c r="CF123" s="683"/>
      <c r="CG123" s="683"/>
      <c r="CH123" s="683"/>
      <c r="CI123" s="683"/>
      <c r="CJ123" s="683"/>
      <c r="CK123" s="683"/>
      <c r="CL123" s="683"/>
      <c r="CM123" s="683"/>
      <c r="CN123" s="683"/>
      <c r="CO123" s="683"/>
      <c r="CP123" s="683"/>
      <c r="CQ123" s="683"/>
      <c r="CR123" s="683"/>
      <c r="CS123" s="683"/>
      <c r="CT123" s="683"/>
      <c r="CU123" s="683"/>
      <c r="CV123" s="683"/>
      <c r="CW123" s="683"/>
      <c r="CX123" s="683"/>
      <c r="CY123" s="683"/>
      <c r="CZ123" s="683"/>
      <c r="DA123" s="683"/>
      <c r="DB123" s="683"/>
      <c r="DC123" s="683"/>
      <c r="DD123" s="683"/>
      <c r="DE123" s="683"/>
      <c r="DF123" s="683"/>
      <c r="DG123" s="683"/>
      <c r="DH123" s="684"/>
    </row>
    <row r="124" spans="1:112" outlineLevel="1" x14ac:dyDescent="0.3">
      <c r="A124" s="652" t="str">
        <f t="shared" ref="A124:A172" si="74">IF(J124="","",IF(J124=0,"","Imprimir"))</f>
        <v>Imprimir</v>
      </c>
      <c r="B124" s="652"/>
      <c r="C124" s="685"/>
      <c r="D124" s="686" t="s">
        <v>2232</v>
      </c>
      <c r="E124" s="686" t="s">
        <v>488</v>
      </c>
      <c r="F124" s="720"/>
      <c r="G124" s="688">
        <v>68.421052631578945</v>
      </c>
      <c r="H124" s="689">
        <f>Producción!G12*0.1</f>
        <v>1.7000000000000002</v>
      </c>
      <c r="I124" s="851">
        <f t="shared" ref="I124:I172" si="75">IF(E124&gt;0,$J$5,"")</f>
        <v>1</v>
      </c>
      <c r="J124" s="852">
        <f t="shared" ref="J124:J172" si="76">IFERROR(G124*H124*I124,"")</f>
        <v>116.31578947368422</v>
      </c>
      <c r="K124" s="667"/>
      <c r="L124" s="858">
        <v>1</v>
      </c>
      <c r="M124" s="859"/>
      <c r="N124" s="859"/>
      <c r="O124" s="859"/>
      <c r="P124" s="859"/>
      <c r="Q124" s="859"/>
      <c r="R124" s="859"/>
      <c r="S124" s="859"/>
      <c r="T124" s="859"/>
      <c r="U124" s="859"/>
      <c r="V124" s="859"/>
      <c r="W124" s="859"/>
      <c r="X124" s="859"/>
      <c r="Y124" s="859"/>
      <c r="Z124" s="860"/>
      <c r="AA124" s="860"/>
      <c r="AB124" s="860"/>
      <c r="AC124" s="860"/>
      <c r="AD124" s="860"/>
      <c r="AE124" s="860"/>
      <c r="AF124" s="860"/>
      <c r="AG124" s="860"/>
      <c r="AH124" s="860"/>
      <c r="AI124" s="860"/>
      <c r="AJ124" s="860"/>
      <c r="AK124" s="860"/>
      <c r="AL124" s="860"/>
      <c r="AM124" s="860"/>
      <c r="AN124" s="860"/>
      <c r="AO124" s="860"/>
      <c r="AP124" s="860"/>
      <c r="AQ124" s="860"/>
      <c r="AR124" s="860"/>
      <c r="AS124" s="860"/>
      <c r="AT124" s="860"/>
      <c r="AU124" s="860"/>
      <c r="AV124" s="860"/>
      <c r="AW124" s="860"/>
      <c r="AX124" s="860"/>
      <c r="AY124" s="860"/>
      <c r="AZ124" s="860"/>
      <c r="BA124" s="860"/>
      <c r="BB124" s="860"/>
      <c r="BC124" s="860"/>
      <c r="BD124" s="860"/>
      <c r="BE124" s="860"/>
      <c r="BF124" s="860"/>
      <c r="BG124" s="861"/>
      <c r="BH124" s="668"/>
      <c r="BI124" s="667"/>
      <c r="BJ124" s="690">
        <f t="shared" ref="BJ124:BJ172" si="77">IFERROR(BK124/J124,0)</f>
        <v>0</v>
      </c>
      <c r="BK124" s="691">
        <f t="shared" ref="BK124:BK172" si="78">SUM(BM124:DH124)</f>
        <v>0</v>
      </c>
      <c r="BL124" s="654"/>
      <c r="BM124" s="692">
        <f>SUMIFS(Imput[[Importe Neto]:[Importe Neto]],Imput[[C. Imp.]:[C. Imp.]],$D124,Imput[[PERIODO Imp.]:[PERIODO Imp.]],BM$9)</f>
        <v>0</v>
      </c>
      <c r="BN124" s="693">
        <f>SUMIFS(Imput[[Importe Neto]:[Importe Neto]],Imput[[C. Imp.]:[C. Imp.]],$D124,Imput[[PERIODO Imp.]:[PERIODO Imp.]],BN$9)</f>
        <v>0</v>
      </c>
      <c r="BO124" s="693">
        <f>SUMIFS(Imput[[Importe Neto]:[Importe Neto]],Imput[[C. Imp.]:[C. Imp.]],$D124,Imput[[PERIODO Imp.]:[PERIODO Imp.]],BO$9)</f>
        <v>0</v>
      </c>
      <c r="BP124" s="693">
        <f>SUMIFS(Imput[[Importe Neto]:[Importe Neto]],Imput[[C. Imp.]:[C. Imp.]],$D124,Imput[[PERIODO Imp.]:[PERIODO Imp.]],BP$9)</f>
        <v>0</v>
      </c>
      <c r="BQ124" s="693">
        <f>SUMIFS(Imput[[Importe Neto]:[Importe Neto]],Imput[[C. Imp.]:[C. Imp.]],$D124,Imput[[PERIODO Imp.]:[PERIODO Imp.]],BQ$9)</f>
        <v>0</v>
      </c>
      <c r="BR124" s="693">
        <f>SUMIFS(Imput[[Importe Neto]:[Importe Neto]],Imput[[C. Imp.]:[C. Imp.]],$D124,Imput[[PERIODO Imp.]:[PERIODO Imp.]],BR$9)</f>
        <v>0</v>
      </c>
      <c r="BS124" s="693">
        <f>SUMIFS(Imput[[Importe Neto]:[Importe Neto]],Imput[[C. Imp.]:[C. Imp.]],$D124,Imput[[PERIODO Imp.]:[PERIODO Imp.]],BS$9)</f>
        <v>0</v>
      </c>
      <c r="BT124" s="693">
        <f>SUMIFS(Imput[[Importe Neto]:[Importe Neto]],Imput[[C. Imp.]:[C. Imp.]],$D124,Imput[[PERIODO Imp.]:[PERIODO Imp.]],BT$9)</f>
        <v>0</v>
      </c>
      <c r="BU124" s="693">
        <f>SUMIFS(Imput[[Importe Neto]:[Importe Neto]],Imput[[C. Imp.]:[C. Imp.]],$D124,Imput[[PERIODO Imp.]:[PERIODO Imp.]],BU$9)</f>
        <v>0</v>
      </c>
      <c r="BV124" s="693">
        <f>SUMIFS(Imput[[Importe Neto]:[Importe Neto]],Imput[[C. Imp.]:[C. Imp.]],$D124,Imput[[PERIODO Imp.]:[PERIODO Imp.]],BV$9)</f>
        <v>0</v>
      </c>
      <c r="BW124" s="693">
        <f>SUMIFS(Imput[[Importe Neto]:[Importe Neto]],Imput[[C. Imp.]:[C. Imp.]],$D124,Imput[[PERIODO Imp.]:[PERIODO Imp.]],BW$9)</f>
        <v>0</v>
      </c>
      <c r="BX124" s="693">
        <f>SUMIFS(Imput[[Importe Neto]:[Importe Neto]],Imput[[C. Imp.]:[C. Imp.]],$D124,Imput[[PERIODO Imp.]:[PERIODO Imp.]],BX$9)</f>
        <v>0</v>
      </c>
      <c r="BY124" s="693">
        <f>SUMIFS(Imput[[Importe Neto]:[Importe Neto]],Imput[[C. Imp.]:[C. Imp.]],$D124,Imput[[PERIODO Imp.]:[PERIODO Imp.]],BY$9)</f>
        <v>0</v>
      </c>
      <c r="BZ124" s="693">
        <f>SUMIFS(Imput[[Importe Neto]:[Importe Neto]],Imput[[C. Imp.]:[C. Imp.]],$D124,Imput[[PERIODO Imp.]:[PERIODO Imp.]],BZ$9)</f>
        <v>0</v>
      </c>
      <c r="CA124" s="693">
        <f>SUMIFS(Imput[[Importe Neto]:[Importe Neto]],Imput[[C. Imp.]:[C. Imp.]],$D124,Imput[[PERIODO Imp.]:[PERIODO Imp.]],CA$9)</f>
        <v>0</v>
      </c>
      <c r="CB124" s="693">
        <f>SUMIFS(Imput[[Importe Neto]:[Importe Neto]],Imput[[C. Imp.]:[C. Imp.]],$D124,Imput[[PERIODO Imp.]:[PERIODO Imp.]],CB$9)</f>
        <v>0</v>
      </c>
      <c r="CC124" s="693">
        <f>SUMIFS(Imput[[Importe Neto]:[Importe Neto]],Imput[[C. Imp.]:[C. Imp.]],$D124,Imput[[PERIODO Imp.]:[PERIODO Imp.]],CC$9)</f>
        <v>0</v>
      </c>
      <c r="CD124" s="693">
        <f>SUMIFS(Imput[[Importe Neto]:[Importe Neto]],Imput[[C. Imp.]:[C. Imp.]],$D124,Imput[[PERIODO Imp.]:[PERIODO Imp.]],CD$9)</f>
        <v>0</v>
      </c>
      <c r="CE124" s="693">
        <f>SUMIFS(Imput[[Importe Neto]:[Importe Neto]],Imput[[C. Imp.]:[C. Imp.]],$D124,Imput[[PERIODO Imp.]:[PERIODO Imp.]],CE$9)</f>
        <v>0</v>
      </c>
      <c r="CF124" s="693">
        <f>SUMIFS(Imput[[Importe Neto]:[Importe Neto]],Imput[[C. Imp.]:[C. Imp.]],$D124,Imput[[PERIODO Imp.]:[PERIODO Imp.]],CF$9)</f>
        <v>0</v>
      </c>
      <c r="CG124" s="693">
        <f>SUMIFS(Imput[[Importe Neto]:[Importe Neto]],Imput[[C. Imp.]:[C. Imp.]],$D124,Imput[[PERIODO Imp.]:[PERIODO Imp.]],CG$9)</f>
        <v>0</v>
      </c>
      <c r="CH124" s="693">
        <f>SUMIFS(Imput[[Importe Neto]:[Importe Neto]],Imput[[C. Imp.]:[C. Imp.]],$D124,Imput[[PERIODO Imp.]:[PERIODO Imp.]],CH$9)</f>
        <v>0</v>
      </c>
      <c r="CI124" s="693">
        <f>SUMIFS(Imput[[Importe Neto]:[Importe Neto]],Imput[[C. Imp.]:[C. Imp.]],$D124,Imput[[PERIODO Imp.]:[PERIODO Imp.]],CI$9)</f>
        <v>0</v>
      </c>
      <c r="CJ124" s="693">
        <f>SUMIFS(Imput[[Importe Neto]:[Importe Neto]],Imput[[C. Imp.]:[C. Imp.]],$D124,Imput[[PERIODO Imp.]:[PERIODO Imp.]],CJ$9)</f>
        <v>0</v>
      </c>
      <c r="CK124" s="693">
        <f>SUMIFS(Imput[[Importe Neto]:[Importe Neto]],Imput[[C. Imp.]:[C. Imp.]],$D124,Imput[[PERIODO Imp.]:[PERIODO Imp.]],CK$9)</f>
        <v>0</v>
      </c>
      <c r="CL124" s="693">
        <f>SUMIFS(Imput[[Importe Neto]:[Importe Neto]],Imput[[C. Imp.]:[C. Imp.]],$D124,Imput[[PERIODO Imp.]:[PERIODO Imp.]],CL$9)</f>
        <v>0</v>
      </c>
      <c r="CM124" s="693">
        <f>SUMIFS(Imput[[Importe Neto]:[Importe Neto]],Imput[[C. Imp.]:[C. Imp.]],$D124,Imput[[PERIODO Imp.]:[PERIODO Imp.]],CM$9)</f>
        <v>0</v>
      </c>
      <c r="CN124" s="693">
        <f>SUMIFS(Imput[[Importe Neto]:[Importe Neto]],Imput[[C. Imp.]:[C. Imp.]],$D124,Imput[[PERIODO Imp.]:[PERIODO Imp.]],CN$9)</f>
        <v>0</v>
      </c>
      <c r="CO124" s="693">
        <f>SUMIFS(Imput[[Importe Neto]:[Importe Neto]],Imput[[C. Imp.]:[C. Imp.]],$D124,Imput[[PERIODO Imp.]:[PERIODO Imp.]],CO$9)</f>
        <v>0</v>
      </c>
      <c r="CP124" s="693">
        <f>SUMIFS(Imput[[Importe Neto]:[Importe Neto]],Imput[[C. Imp.]:[C. Imp.]],$D124,Imput[[PERIODO Imp.]:[PERIODO Imp.]],CP$9)</f>
        <v>0</v>
      </c>
      <c r="CQ124" s="693">
        <f>SUMIFS(Imput[[Importe Neto]:[Importe Neto]],Imput[[C. Imp.]:[C. Imp.]],$D124,Imput[[PERIODO Imp.]:[PERIODO Imp.]],CQ$9)</f>
        <v>0</v>
      </c>
      <c r="CR124" s="693">
        <f>SUMIFS(Imput[[Importe Neto]:[Importe Neto]],Imput[[C. Imp.]:[C. Imp.]],$D124,Imput[[PERIODO Imp.]:[PERIODO Imp.]],CR$9)</f>
        <v>0</v>
      </c>
      <c r="CS124" s="693">
        <f>SUMIFS(Imput[[Importe Neto]:[Importe Neto]],Imput[[C. Imp.]:[C. Imp.]],$D124,Imput[[PERIODO Imp.]:[PERIODO Imp.]],CS$9)</f>
        <v>0</v>
      </c>
      <c r="CT124" s="693">
        <f>SUMIFS(Imput[[Importe Neto]:[Importe Neto]],Imput[[C. Imp.]:[C. Imp.]],$D124,Imput[[PERIODO Imp.]:[PERIODO Imp.]],CT$9)</f>
        <v>0</v>
      </c>
      <c r="CU124" s="693">
        <f>SUMIFS(Imput[[Importe Neto]:[Importe Neto]],Imput[[C. Imp.]:[C. Imp.]],$D124,Imput[[PERIODO Imp.]:[PERIODO Imp.]],CU$9)</f>
        <v>0</v>
      </c>
      <c r="CV124" s="693">
        <f>SUMIFS(Imput[[Importe Neto]:[Importe Neto]],Imput[[C. Imp.]:[C. Imp.]],$D124,Imput[[PERIODO Imp.]:[PERIODO Imp.]],CV$9)</f>
        <v>0</v>
      </c>
      <c r="CW124" s="693">
        <f>SUMIFS(Imput[[Importe Neto]:[Importe Neto]],Imput[[C. Imp.]:[C. Imp.]],$D124,Imput[[PERIODO Imp.]:[PERIODO Imp.]],CW$9)</f>
        <v>0</v>
      </c>
      <c r="CX124" s="693">
        <f>SUMIFS(Imput[[Importe Neto]:[Importe Neto]],Imput[[C. Imp.]:[C. Imp.]],$D124,Imput[[PERIODO Imp.]:[PERIODO Imp.]],CX$9)</f>
        <v>0</v>
      </c>
      <c r="CY124" s="693">
        <f>SUMIFS(Imput[[Importe Neto]:[Importe Neto]],Imput[[C. Imp.]:[C. Imp.]],$D124,Imput[[PERIODO Imp.]:[PERIODO Imp.]],CY$9)</f>
        <v>0</v>
      </c>
      <c r="CZ124" s="693">
        <f>SUMIFS(Imput[[Importe Neto]:[Importe Neto]],Imput[[C. Imp.]:[C. Imp.]],$D124,Imput[[PERIODO Imp.]:[PERIODO Imp.]],CZ$9)</f>
        <v>0</v>
      </c>
      <c r="DA124" s="693">
        <f>SUMIFS(Imput[[Importe Neto]:[Importe Neto]],Imput[[C. Imp.]:[C. Imp.]],$D124,Imput[[PERIODO Imp.]:[PERIODO Imp.]],DA$9)</f>
        <v>0</v>
      </c>
      <c r="DB124" s="693">
        <f>SUMIFS(Imput[[Importe Neto]:[Importe Neto]],Imput[[C. Imp.]:[C. Imp.]],$D124,Imput[[PERIODO Imp.]:[PERIODO Imp.]],DB$9)</f>
        <v>0</v>
      </c>
      <c r="DC124" s="693">
        <f>SUMIFS(Imput[[Importe Neto]:[Importe Neto]],Imput[[C. Imp.]:[C. Imp.]],$D124,Imput[[PERIODO Imp.]:[PERIODO Imp.]],DC$9)</f>
        <v>0</v>
      </c>
      <c r="DD124" s="693">
        <f>SUMIFS(Imput[[Importe Neto]:[Importe Neto]],Imput[[C. Imp.]:[C. Imp.]],$D124,Imput[[PERIODO Imp.]:[PERIODO Imp.]],DD$9)</f>
        <v>0</v>
      </c>
      <c r="DE124" s="693">
        <f>SUMIFS(Imput[[Importe Neto]:[Importe Neto]],Imput[[C. Imp.]:[C. Imp.]],$D124,Imput[[PERIODO Imp.]:[PERIODO Imp.]],DE$9)</f>
        <v>0</v>
      </c>
      <c r="DF124" s="693">
        <f>SUMIFS(Imput[[Importe Neto]:[Importe Neto]],Imput[[C. Imp.]:[C. Imp.]],$D124,Imput[[PERIODO Imp.]:[PERIODO Imp.]],DF$9)</f>
        <v>0</v>
      </c>
      <c r="DG124" s="693">
        <f>SUMIFS(Imput[[Importe Neto]:[Importe Neto]],Imput[[C. Imp.]:[C. Imp.]],$D124,Imput[[PERIODO Imp.]:[PERIODO Imp.]],DG$9)</f>
        <v>0</v>
      </c>
      <c r="DH124" s="694">
        <f>SUMIFS(Imput[[Importe Neto]:[Importe Neto]],Imput[[C. Imp.]:[C. Imp.]],$D124,Imput[[PERIODO Imp.]:[PERIODO Imp.]],DH$9)</f>
        <v>0</v>
      </c>
    </row>
    <row r="125" spans="1:112" outlineLevel="1" x14ac:dyDescent="0.3">
      <c r="A125" s="66" t="str">
        <f t="shared" si="74"/>
        <v>Imprimir</v>
      </c>
      <c r="C125" s="527"/>
      <c r="D125" s="528" t="s">
        <v>2233</v>
      </c>
      <c r="E125" s="528" t="s">
        <v>489</v>
      </c>
      <c r="F125" s="534"/>
      <c r="G125" s="529">
        <v>115.73684210526316</v>
      </c>
      <c r="H125" s="531">
        <f>Producción!G12*0.09</f>
        <v>1.53</v>
      </c>
      <c r="I125" s="849">
        <f t="shared" si="75"/>
        <v>1</v>
      </c>
      <c r="J125" s="850">
        <f t="shared" si="76"/>
        <v>177.07736842105265</v>
      </c>
      <c r="K125" s="70"/>
      <c r="L125" s="853">
        <v>1</v>
      </c>
      <c r="M125" s="855"/>
      <c r="N125" s="855"/>
      <c r="O125" s="855"/>
      <c r="P125" s="855"/>
      <c r="Q125" s="855"/>
      <c r="R125" s="855"/>
      <c r="S125" s="855"/>
      <c r="T125" s="855"/>
      <c r="U125" s="855"/>
      <c r="V125" s="855"/>
      <c r="W125" s="855"/>
      <c r="X125" s="855"/>
      <c r="Y125" s="855"/>
      <c r="Z125" s="856"/>
      <c r="AA125" s="856"/>
      <c r="AB125" s="856"/>
      <c r="AC125" s="856"/>
      <c r="AD125" s="856"/>
      <c r="AE125" s="856"/>
      <c r="AF125" s="856"/>
      <c r="AG125" s="856"/>
      <c r="AH125" s="856"/>
      <c r="AI125" s="856"/>
      <c r="AJ125" s="856"/>
      <c r="AK125" s="856"/>
      <c r="AL125" s="856"/>
      <c r="AM125" s="856"/>
      <c r="AN125" s="856"/>
      <c r="AO125" s="856"/>
      <c r="AP125" s="856"/>
      <c r="AQ125" s="856"/>
      <c r="AR125" s="856"/>
      <c r="AS125" s="856"/>
      <c r="AT125" s="856"/>
      <c r="AU125" s="856"/>
      <c r="AV125" s="856"/>
      <c r="AW125" s="856"/>
      <c r="AX125" s="856"/>
      <c r="AY125" s="856"/>
      <c r="AZ125" s="856"/>
      <c r="BA125" s="856"/>
      <c r="BB125" s="856"/>
      <c r="BC125" s="856"/>
      <c r="BD125" s="856"/>
      <c r="BE125" s="856"/>
      <c r="BF125" s="856"/>
      <c r="BG125" s="857"/>
      <c r="BH125" s="590"/>
      <c r="BI125" s="70"/>
      <c r="BJ125" s="518">
        <f t="shared" si="77"/>
        <v>0</v>
      </c>
      <c r="BK125" s="517">
        <f t="shared" si="78"/>
        <v>0</v>
      </c>
      <c r="BL125" s="68"/>
      <c r="BM125" s="515">
        <f>SUMIFS(Imput[[Importe Neto]:[Importe Neto]],Imput[[C. Imp.]:[C. Imp.]],$D125,Imput[[PERIODO Imp.]:[PERIODO Imp.]],BM$9)</f>
        <v>0</v>
      </c>
      <c r="BN125" s="516">
        <f>SUMIFS(Imput[[Importe Neto]:[Importe Neto]],Imput[[C. Imp.]:[C. Imp.]],$D125,Imput[[PERIODO Imp.]:[PERIODO Imp.]],BN$9)</f>
        <v>0</v>
      </c>
      <c r="BO125" s="516">
        <f>SUMIFS(Imput[[Importe Neto]:[Importe Neto]],Imput[[C. Imp.]:[C. Imp.]],$D125,Imput[[PERIODO Imp.]:[PERIODO Imp.]],BO$9)</f>
        <v>0</v>
      </c>
      <c r="BP125" s="516">
        <f>SUMIFS(Imput[[Importe Neto]:[Importe Neto]],Imput[[C. Imp.]:[C. Imp.]],$D125,Imput[[PERIODO Imp.]:[PERIODO Imp.]],BP$9)</f>
        <v>0</v>
      </c>
      <c r="BQ125" s="516">
        <f>SUMIFS(Imput[[Importe Neto]:[Importe Neto]],Imput[[C. Imp.]:[C. Imp.]],$D125,Imput[[PERIODO Imp.]:[PERIODO Imp.]],BQ$9)</f>
        <v>0</v>
      </c>
      <c r="BR125" s="516">
        <f>SUMIFS(Imput[[Importe Neto]:[Importe Neto]],Imput[[C. Imp.]:[C. Imp.]],$D125,Imput[[PERIODO Imp.]:[PERIODO Imp.]],BR$9)</f>
        <v>0</v>
      </c>
      <c r="BS125" s="516">
        <f>SUMIFS(Imput[[Importe Neto]:[Importe Neto]],Imput[[C. Imp.]:[C. Imp.]],$D125,Imput[[PERIODO Imp.]:[PERIODO Imp.]],BS$9)</f>
        <v>0</v>
      </c>
      <c r="BT125" s="516">
        <f>SUMIFS(Imput[[Importe Neto]:[Importe Neto]],Imput[[C. Imp.]:[C. Imp.]],$D125,Imput[[PERIODO Imp.]:[PERIODO Imp.]],BT$9)</f>
        <v>0</v>
      </c>
      <c r="BU125" s="516">
        <f>SUMIFS(Imput[[Importe Neto]:[Importe Neto]],Imput[[C. Imp.]:[C. Imp.]],$D125,Imput[[PERIODO Imp.]:[PERIODO Imp.]],BU$9)</f>
        <v>0</v>
      </c>
      <c r="BV125" s="516">
        <f>SUMIFS(Imput[[Importe Neto]:[Importe Neto]],Imput[[C. Imp.]:[C. Imp.]],$D125,Imput[[PERIODO Imp.]:[PERIODO Imp.]],BV$9)</f>
        <v>0</v>
      </c>
      <c r="BW125" s="516">
        <f>SUMIFS(Imput[[Importe Neto]:[Importe Neto]],Imput[[C. Imp.]:[C. Imp.]],$D125,Imput[[PERIODO Imp.]:[PERIODO Imp.]],BW$9)</f>
        <v>0</v>
      </c>
      <c r="BX125" s="516">
        <f>SUMIFS(Imput[[Importe Neto]:[Importe Neto]],Imput[[C. Imp.]:[C. Imp.]],$D125,Imput[[PERIODO Imp.]:[PERIODO Imp.]],BX$9)</f>
        <v>0</v>
      </c>
      <c r="BY125" s="516">
        <f>SUMIFS(Imput[[Importe Neto]:[Importe Neto]],Imput[[C. Imp.]:[C. Imp.]],$D125,Imput[[PERIODO Imp.]:[PERIODO Imp.]],BY$9)</f>
        <v>0</v>
      </c>
      <c r="BZ125" s="516">
        <f>SUMIFS(Imput[[Importe Neto]:[Importe Neto]],Imput[[C. Imp.]:[C. Imp.]],$D125,Imput[[PERIODO Imp.]:[PERIODO Imp.]],BZ$9)</f>
        <v>0</v>
      </c>
      <c r="CA125" s="516">
        <f>SUMIFS(Imput[[Importe Neto]:[Importe Neto]],Imput[[C. Imp.]:[C. Imp.]],$D125,Imput[[PERIODO Imp.]:[PERIODO Imp.]],CA$9)</f>
        <v>0</v>
      </c>
      <c r="CB125" s="516">
        <f>SUMIFS(Imput[[Importe Neto]:[Importe Neto]],Imput[[C. Imp.]:[C. Imp.]],$D125,Imput[[PERIODO Imp.]:[PERIODO Imp.]],CB$9)</f>
        <v>0</v>
      </c>
      <c r="CC125" s="516">
        <f>SUMIFS(Imput[[Importe Neto]:[Importe Neto]],Imput[[C. Imp.]:[C. Imp.]],$D125,Imput[[PERIODO Imp.]:[PERIODO Imp.]],CC$9)</f>
        <v>0</v>
      </c>
      <c r="CD125" s="516">
        <f>SUMIFS(Imput[[Importe Neto]:[Importe Neto]],Imput[[C. Imp.]:[C. Imp.]],$D125,Imput[[PERIODO Imp.]:[PERIODO Imp.]],CD$9)</f>
        <v>0</v>
      </c>
      <c r="CE125" s="516">
        <f>SUMIFS(Imput[[Importe Neto]:[Importe Neto]],Imput[[C. Imp.]:[C. Imp.]],$D125,Imput[[PERIODO Imp.]:[PERIODO Imp.]],CE$9)</f>
        <v>0</v>
      </c>
      <c r="CF125" s="516">
        <f>SUMIFS(Imput[[Importe Neto]:[Importe Neto]],Imput[[C. Imp.]:[C. Imp.]],$D125,Imput[[PERIODO Imp.]:[PERIODO Imp.]],CF$9)</f>
        <v>0</v>
      </c>
      <c r="CG125" s="516">
        <f>SUMIFS(Imput[[Importe Neto]:[Importe Neto]],Imput[[C. Imp.]:[C. Imp.]],$D125,Imput[[PERIODO Imp.]:[PERIODO Imp.]],CG$9)</f>
        <v>0</v>
      </c>
      <c r="CH125" s="516">
        <f>SUMIFS(Imput[[Importe Neto]:[Importe Neto]],Imput[[C. Imp.]:[C. Imp.]],$D125,Imput[[PERIODO Imp.]:[PERIODO Imp.]],CH$9)</f>
        <v>0</v>
      </c>
      <c r="CI125" s="516">
        <f>SUMIFS(Imput[[Importe Neto]:[Importe Neto]],Imput[[C. Imp.]:[C. Imp.]],$D125,Imput[[PERIODO Imp.]:[PERIODO Imp.]],CI$9)</f>
        <v>0</v>
      </c>
      <c r="CJ125" s="516">
        <f>SUMIFS(Imput[[Importe Neto]:[Importe Neto]],Imput[[C. Imp.]:[C. Imp.]],$D125,Imput[[PERIODO Imp.]:[PERIODO Imp.]],CJ$9)</f>
        <v>0</v>
      </c>
      <c r="CK125" s="516">
        <f>SUMIFS(Imput[[Importe Neto]:[Importe Neto]],Imput[[C. Imp.]:[C. Imp.]],$D125,Imput[[PERIODO Imp.]:[PERIODO Imp.]],CK$9)</f>
        <v>0</v>
      </c>
      <c r="CL125" s="516">
        <f>SUMIFS(Imput[[Importe Neto]:[Importe Neto]],Imput[[C. Imp.]:[C. Imp.]],$D125,Imput[[PERIODO Imp.]:[PERIODO Imp.]],CL$9)</f>
        <v>0</v>
      </c>
      <c r="CM125" s="516">
        <f>SUMIFS(Imput[[Importe Neto]:[Importe Neto]],Imput[[C. Imp.]:[C. Imp.]],$D125,Imput[[PERIODO Imp.]:[PERIODO Imp.]],CM$9)</f>
        <v>0</v>
      </c>
      <c r="CN125" s="516">
        <f>SUMIFS(Imput[[Importe Neto]:[Importe Neto]],Imput[[C. Imp.]:[C. Imp.]],$D125,Imput[[PERIODO Imp.]:[PERIODO Imp.]],CN$9)</f>
        <v>0</v>
      </c>
      <c r="CO125" s="516">
        <f>SUMIFS(Imput[[Importe Neto]:[Importe Neto]],Imput[[C. Imp.]:[C. Imp.]],$D125,Imput[[PERIODO Imp.]:[PERIODO Imp.]],CO$9)</f>
        <v>0</v>
      </c>
      <c r="CP125" s="516">
        <f>SUMIFS(Imput[[Importe Neto]:[Importe Neto]],Imput[[C. Imp.]:[C. Imp.]],$D125,Imput[[PERIODO Imp.]:[PERIODO Imp.]],CP$9)</f>
        <v>0</v>
      </c>
      <c r="CQ125" s="516">
        <f>SUMIFS(Imput[[Importe Neto]:[Importe Neto]],Imput[[C. Imp.]:[C. Imp.]],$D125,Imput[[PERIODO Imp.]:[PERIODO Imp.]],CQ$9)</f>
        <v>0</v>
      </c>
      <c r="CR125" s="516">
        <f>SUMIFS(Imput[[Importe Neto]:[Importe Neto]],Imput[[C. Imp.]:[C. Imp.]],$D125,Imput[[PERIODO Imp.]:[PERIODO Imp.]],CR$9)</f>
        <v>0</v>
      </c>
      <c r="CS125" s="516">
        <f>SUMIFS(Imput[[Importe Neto]:[Importe Neto]],Imput[[C. Imp.]:[C. Imp.]],$D125,Imput[[PERIODO Imp.]:[PERIODO Imp.]],CS$9)</f>
        <v>0</v>
      </c>
      <c r="CT125" s="516">
        <f>SUMIFS(Imput[[Importe Neto]:[Importe Neto]],Imput[[C. Imp.]:[C. Imp.]],$D125,Imput[[PERIODO Imp.]:[PERIODO Imp.]],CT$9)</f>
        <v>0</v>
      </c>
      <c r="CU125" s="516">
        <f>SUMIFS(Imput[[Importe Neto]:[Importe Neto]],Imput[[C. Imp.]:[C. Imp.]],$D125,Imput[[PERIODO Imp.]:[PERIODO Imp.]],CU$9)</f>
        <v>0</v>
      </c>
      <c r="CV125" s="516">
        <f>SUMIFS(Imput[[Importe Neto]:[Importe Neto]],Imput[[C. Imp.]:[C. Imp.]],$D125,Imput[[PERIODO Imp.]:[PERIODO Imp.]],CV$9)</f>
        <v>0</v>
      </c>
      <c r="CW125" s="516">
        <f>SUMIFS(Imput[[Importe Neto]:[Importe Neto]],Imput[[C. Imp.]:[C. Imp.]],$D125,Imput[[PERIODO Imp.]:[PERIODO Imp.]],CW$9)</f>
        <v>0</v>
      </c>
      <c r="CX125" s="516">
        <f>SUMIFS(Imput[[Importe Neto]:[Importe Neto]],Imput[[C. Imp.]:[C. Imp.]],$D125,Imput[[PERIODO Imp.]:[PERIODO Imp.]],CX$9)</f>
        <v>0</v>
      </c>
      <c r="CY125" s="516">
        <f>SUMIFS(Imput[[Importe Neto]:[Importe Neto]],Imput[[C. Imp.]:[C. Imp.]],$D125,Imput[[PERIODO Imp.]:[PERIODO Imp.]],CY$9)</f>
        <v>0</v>
      </c>
      <c r="CZ125" s="516">
        <f>SUMIFS(Imput[[Importe Neto]:[Importe Neto]],Imput[[C. Imp.]:[C. Imp.]],$D125,Imput[[PERIODO Imp.]:[PERIODO Imp.]],CZ$9)</f>
        <v>0</v>
      </c>
      <c r="DA125" s="516">
        <f>SUMIFS(Imput[[Importe Neto]:[Importe Neto]],Imput[[C. Imp.]:[C. Imp.]],$D125,Imput[[PERIODO Imp.]:[PERIODO Imp.]],DA$9)</f>
        <v>0</v>
      </c>
      <c r="DB125" s="516">
        <f>SUMIFS(Imput[[Importe Neto]:[Importe Neto]],Imput[[C. Imp.]:[C. Imp.]],$D125,Imput[[PERIODO Imp.]:[PERIODO Imp.]],DB$9)</f>
        <v>0</v>
      </c>
      <c r="DC125" s="516">
        <f>SUMIFS(Imput[[Importe Neto]:[Importe Neto]],Imput[[C. Imp.]:[C. Imp.]],$D125,Imput[[PERIODO Imp.]:[PERIODO Imp.]],DC$9)</f>
        <v>0</v>
      </c>
      <c r="DD125" s="516">
        <f>SUMIFS(Imput[[Importe Neto]:[Importe Neto]],Imput[[C. Imp.]:[C. Imp.]],$D125,Imput[[PERIODO Imp.]:[PERIODO Imp.]],DD$9)</f>
        <v>0</v>
      </c>
      <c r="DE125" s="516">
        <f>SUMIFS(Imput[[Importe Neto]:[Importe Neto]],Imput[[C. Imp.]:[C. Imp.]],$D125,Imput[[PERIODO Imp.]:[PERIODO Imp.]],DE$9)</f>
        <v>0</v>
      </c>
      <c r="DF125" s="516">
        <f>SUMIFS(Imput[[Importe Neto]:[Importe Neto]],Imput[[C. Imp.]:[C. Imp.]],$D125,Imput[[PERIODO Imp.]:[PERIODO Imp.]],DF$9)</f>
        <v>0</v>
      </c>
      <c r="DG125" s="516">
        <f>SUMIFS(Imput[[Importe Neto]:[Importe Neto]],Imput[[C. Imp.]:[C. Imp.]],$D125,Imput[[PERIODO Imp.]:[PERIODO Imp.]],DG$9)</f>
        <v>0</v>
      </c>
      <c r="DH125" s="616">
        <f>SUMIFS(Imput[[Importe Neto]:[Importe Neto]],Imput[[C. Imp.]:[C. Imp.]],$D125,Imput[[PERIODO Imp.]:[PERIODO Imp.]],DH$9)</f>
        <v>0</v>
      </c>
    </row>
    <row r="126" spans="1:112" outlineLevel="1" x14ac:dyDescent="0.3">
      <c r="A126" s="66" t="str">
        <f t="shared" si="74"/>
        <v>Imprimir</v>
      </c>
      <c r="C126" s="527"/>
      <c r="D126" s="528" t="s">
        <v>2234</v>
      </c>
      <c r="E126" s="528" t="s">
        <v>490</v>
      </c>
      <c r="F126" s="534"/>
      <c r="G126" s="529">
        <v>50</v>
      </c>
      <c r="H126" s="531">
        <f>Producción!G12*0.812</f>
        <v>13.804</v>
      </c>
      <c r="I126" s="849">
        <f t="shared" si="75"/>
        <v>1</v>
      </c>
      <c r="J126" s="850">
        <f t="shared" si="76"/>
        <v>690.2</v>
      </c>
      <c r="K126" s="70"/>
      <c r="L126" s="853">
        <v>0.1</v>
      </c>
      <c r="M126" s="855"/>
      <c r="N126" s="855"/>
      <c r="O126" s="855">
        <v>0.1</v>
      </c>
      <c r="P126" s="855"/>
      <c r="Q126" s="855"/>
      <c r="R126" s="855"/>
      <c r="S126" s="855">
        <v>0.1</v>
      </c>
      <c r="T126" s="855"/>
      <c r="U126" s="855"/>
      <c r="V126" s="855"/>
      <c r="W126" s="855">
        <v>0.1</v>
      </c>
      <c r="X126" s="855"/>
      <c r="Y126" s="855">
        <v>0.1</v>
      </c>
      <c r="Z126" s="856"/>
      <c r="AA126" s="856">
        <v>0.1</v>
      </c>
      <c r="AB126" s="856"/>
      <c r="AC126" s="856">
        <v>0.1</v>
      </c>
      <c r="AD126" s="856"/>
      <c r="AE126" s="856">
        <v>0.1</v>
      </c>
      <c r="AF126" s="856"/>
      <c r="AG126" s="856">
        <v>0.1</v>
      </c>
      <c r="AH126" s="856"/>
      <c r="AI126" s="856">
        <v>0.1</v>
      </c>
      <c r="AJ126" s="856"/>
      <c r="AK126" s="856"/>
      <c r="AL126" s="856"/>
      <c r="AM126" s="856"/>
      <c r="AN126" s="856"/>
      <c r="AO126" s="856"/>
      <c r="AP126" s="856"/>
      <c r="AQ126" s="856"/>
      <c r="AR126" s="856"/>
      <c r="AS126" s="856"/>
      <c r="AT126" s="856"/>
      <c r="AU126" s="856"/>
      <c r="AV126" s="856"/>
      <c r="AW126" s="856"/>
      <c r="AX126" s="856"/>
      <c r="AY126" s="856"/>
      <c r="AZ126" s="856"/>
      <c r="BA126" s="856"/>
      <c r="BB126" s="856"/>
      <c r="BC126" s="856"/>
      <c r="BD126" s="856"/>
      <c r="BE126" s="856"/>
      <c r="BF126" s="856"/>
      <c r="BG126" s="857"/>
      <c r="BH126" s="590"/>
      <c r="BI126" s="70"/>
      <c r="BJ126" s="518">
        <f t="shared" si="77"/>
        <v>0</v>
      </c>
      <c r="BK126" s="517">
        <f t="shared" si="78"/>
        <v>0</v>
      </c>
      <c r="BL126" s="68"/>
      <c r="BM126" s="515">
        <f>SUMIFS(Imput[[Importe Neto]:[Importe Neto]],Imput[[C. Imp.]:[C. Imp.]],$D126,Imput[[PERIODO Imp.]:[PERIODO Imp.]],BM$9)</f>
        <v>0</v>
      </c>
      <c r="BN126" s="516">
        <f>SUMIFS(Imput[[Importe Neto]:[Importe Neto]],Imput[[C. Imp.]:[C. Imp.]],$D126,Imput[[PERIODO Imp.]:[PERIODO Imp.]],BN$9)</f>
        <v>0</v>
      </c>
      <c r="BO126" s="516">
        <f>SUMIFS(Imput[[Importe Neto]:[Importe Neto]],Imput[[C. Imp.]:[C. Imp.]],$D126,Imput[[PERIODO Imp.]:[PERIODO Imp.]],BO$9)</f>
        <v>0</v>
      </c>
      <c r="BP126" s="516">
        <f>SUMIFS(Imput[[Importe Neto]:[Importe Neto]],Imput[[C. Imp.]:[C. Imp.]],$D126,Imput[[PERIODO Imp.]:[PERIODO Imp.]],BP$9)</f>
        <v>0</v>
      </c>
      <c r="BQ126" s="516">
        <f>SUMIFS(Imput[[Importe Neto]:[Importe Neto]],Imput[[C. Imp.]:[C. Imp.]],$D126,Imput[[PERIODO Imp.]:[PERIODO Imp.]],BQ$9)</f>
        <v>0</v>
      </c>
      <c r="BR126" s="516">
        <f>SUMIFS(Imput[[Importe Neto]:[Importe Neto]],Imput[[C. Imp.]:[C. Imp.]],$D126,Imput[[PERIODO Imp.]:[PERIODO Imp.]],BR$9)</f>
        <v>0</v>
      </c>
      <c r="BS126" s="516">
        <f>SUMIFS(Imput[[Importe Neto]:[Importe Neto]],Imput[[C. Imp.]:[C. Imp.]],$D126,Imput[[PERIODO Imp.]:[PERIODO Imp.]],BS$9)</f>
        <v>0</v>
      </c>
      <c r="BT126" s="516">
        <f>SUMIFS(Imput[[Importe Neto]:[Importe Neto]],Imput[[C. Imp.]:[C. Imp.]],$D126,Imput[[PERIODO Imp.]:[PERIODO Imp.]],BT$9)</f>
        <v>0</v>
      </c>
      <c r="BU126" s="516">
        <f>SUMIFS(Imput[[Importe Neto]:[Importe Neto]],Imput[[C. Imp.]:[C. Imp.]],$D126,Imput[[PERIODO Imp.]:[PERIODO Imp.]],BU$9)</f>
        <v>0</v>
      </c>
      <c r="BV126" s="516">
        <f>SUMIFS(Imput[[Importe Neto]:[Importe Neto]],Imput[[C. Imp.]:[C. Imp.]],$D126,Imput[[PERIODO Imp.]:[PERIODO Imp.]],BV$9)</f>
        <v>0</v>
      </c>
      <c r="BW126" s="516">
        <f>SUMIFS(Imput[[Importe Neto]:[Importe Neto]],Imput[[C. Imp.]:[C. Imp.]],$D126,Imput[[PERIODO Imp.]:[PERIODO Imp.]],BW$9)</f>
        <v>0</v>
      </c>
      <c r="BX126" s="516">
        <f>SUMIFS(Imput[[Importe Neto]:[Importe Neto]],Imput[[C. Imp.]:[C. Imp.]],$D126,Imput[[PERIODO Imp.]:[PERIODO Imp.]],BX$9)</f>
        <v>0</v>
      </c>
      <c r="BY126" s="516">
        <f>SUMIFS(Imput[[Importe Neto]:[Importe Neto]],Imput[[C. Imp.]:[C. Imp.]],$D126,Imput[[PERIODO Imp.]:[PERIODO Imp.]],BY$9)</f>
        <v>0</v>
      </c>
      <c r="BZ126" s="516">
        <f>SUMIFS(Imput[[Importe Neto]:[Importe Neto]],Imput[[C. Imp.]:[C. Imp.]],$D126,Imput[[PERIODO Imp.]:[PERIODO Imp.]],BZ$9)</f>
        <v>0</v>
      </c>
      <c r="CA126" s="516">
        <f>SUMIFS(Imput[[Importe Neto]:[Importe Neto]],Imput[[C. Imp.]:[C. Imp.]],$D126,Imput[[PERIODO Imp.]:[PERIODO Imp.]],CA$9)</f>
        <v>0</v>
      </c>
      <c r="CB126" s="516">
        <f>SUMIFS(Imput[[Importe Neto]:[Importe Neto]],Imput[[C. Imp.]:[C. Imp.]],$D126,Imput[[PERIODO Imp.]:[PERIODO Imp.]],CB$9)</f>
        <v>0</v>
      </c>
      <c r="CC126" s="516">
        <f>SUMIFS(Imput[[Importe Neto]:[Importe Neto]],Imput[[C. Imp.]:[C. Imp.]],$D126,Imput[[PERIODO Imp.]:[PERIODO Imp.]],CC$9)</f>
        <v>0</v>
      </c>
      <c r="CD126" s="516">
        <f>SUMIFS(Imput[[Importe Neto]:[Importe Neto]],Imput[[C. Imp.]:[C. Imp.]],$D126,Imput[[PERIODO Imp.]:[PERIODO Imp.]],CD$9)</f>
        <v>0</v>
      </c>
      <c r="CE126" s="516">
        <f>SUMIFS(Imput[[Importe Neto]:[Importe Neto]],Imput[[C. Imp.]:[C. Imp.]],$D126,Imput[[PERIODO Imp.]:[PERIODO Imp.]],CE$9)</f>
        <v>0</v>
      </c>
      <c r="CF126" s="516">
        <f>SUMIFS(Imput[[Importe Neto]:[Importe Neto]],Imput[[C. Imp.]:[C. Imp.]],$D126,Imput[[PERIODO Imp.]:[PERIODO Imp.]],CF$9)</f>
        <v>0</v>
      </c>
      <c r="CG126" s="516">
        <f>SUMIFS(Imput[[Importe Neto]:[Importe Neto]],Imput[[C. Imp.]:[C. Imp.]],$D126,Imput[[PERIODO Imp.]:[PERIODO Imp.]],CG$9)</f>
        <v>0</v>
      </c>
      <c r="CH126" s="516">
        <f>SUMIFS(Imput[[Importe Neto]:[Importe Neto]],Imput[[C. Imp.]:[C. Imp.]],$D126,Imput[[PERIODO Imp.]:[PERIODO Imp.]],CH$9)</f>
        <v>0</v>
      </c>
      <c r="CI126" s="516">
        <f>SUMIFS(Imput[[Importe Neto]:[Importe Neto]],Imput[[C. Imp.]:[C. Imp.]],$D126,Imput[[PERIODO Imp.]:[PERIODO Imp.]],CI$9)</f>
        <v>0</v>
      </c>
      <c r="CJ126" s="516">
        <f>SUMIFS(Imput[[Importe Neto]:[Importe Neto]],Imput[[C. Imp.]:[C. Imp.]],$D126,Imput[[PERIODO Imp.]:[PERIODO Imp.]],CJ$9)</f>
        <v>0</v>
      </c>
      <c r="CK126" s="516">
        <f>SUMIFS(Imput[[Importe Neto]:[Importe Neto]],Imput[[C. Imp.]:[C. Imp.]],$D126,Imput[[PERIODO Imp.]:[PERIODO Imp.]],CK$9)</f>
        <v>0</v>
      </c>
      <c r="CL126" s="516">
        <f>SUMIFS(Imput[[Importe Neto]:[Importe Neto]],Imput[[C. Imp.]:[C. Imp.]],$D126,Imput[[PERIODO Imp.]:[PERIODO Imp.]],CL$9)</f>
        <v>0</v>
      </c>
      <c r="CM126" s="516">
        <f>SUMIFS(Imput[[Importe Neto]:[Importe Neto]],Imput[[C. Imp.]:[C. Imp.]],$D126,Imput[[PERIODO Imp.]:[PERIODO Imp.]],CM$9)</f>
        <v>0</v>
      </c>
      <c r="CN126" s="516">
        <f>SUMIFS(Imput[[Importe Neto]:[Importe Neto]],Imput[[C. Imp.]:[C. Imp.]],$D126,Imput[[PERIODO Imp.]:[PERIODO Imp.]],CN$9)</f>
        <v>0</v>
      </c>
      <c r="CO126" s="516">
        <f>SUMIFS(Imput[[Importe Neto]:[Importe Neto]],Imput[[C. Imp.]:[C. Imp.]],$D126,Imput[[PERIODO Imp.]:[PERIODO Imp.]],CO$9)</f>
        <v>0</v>
      </c>
      <c r="CP126" s="516">
        <f>SUMIFS(Imput[[Importe Neto]:[Importe Neto]],Imput[[C. Imp.]:[C. Imp.]],$D126,Imput[[PERIODO Imp.]:[PERIODO Imp.]],CP$9)</f>
        <v>0</v>
      </c>
      <c r="CQ126" s="516">
        <f>SUMIFS(Imput[[Importe Neto]:[Importe Neto]],Imput[[C. Imp.]:[C. Imp.]],$D126,Imput[[PERIODO Imp.]:[PERIODO Imp.]],CQ$9)</f>
        <v>0</v>
      </c>
      <c r="CR126" s="516">
        <f>SUMIFS(Imput[[Importe Neto]:[Importe Neto]],Imput[[C. Imp.]:[C. Imp.]],$D126,Imput[[PERIODO Imp.]:[PERIODO Imp.]],CR$9)</f>
        <v>0</v>
      </c>
      <c r="CS126" s="516">
        <f>SUMIFS(Imput[[Importe Neto]:[Importe Neto]],Imput[[C. Imp.]:[C. Imp.]],$D126,Imput[[PERIODO Imp.]:[PERIODO Imp.]],CS$9)</f>
        <v>0</v>
      </c>
      <c r="CT126" s="516">
        <f>SUMIFS(Imput[[Importe Neto]:[Importe Neto]],Imput[[C. Imp.]:[C. Imp.]],$D126,Imput[[PERIODO Imp.]:[PERIODO Imp.]],CT$9)</f>
        <v>0</v>
      </c>
      <c r="CU126" s="516">
        <f>SUMIFS(Imput[[Importe Neto]:[Importe Neto]],Imput[[C. Imp.]:[C. Imp.]],$D126,Imput[[PERIODO Imp.]:[PERIODO Imp.]],CU$9)</f>
        <v>0</v>
      </c>
      <c r="CV126" s="516">
        <f>SUMIFS(Imput[[Importe Neto]:[Importe Neto]],Imput[[C. Imp.]:[C. Imp.]],$D126,Imput[[PERIODO Imp.]:[PERIODO Imp.]],CV$9)</f>
        <v>0</v>
      </c>
      <c r="CW126" s="516">
        <f>SUMIFS(Imput[[Importe Neto]:[Importe Neto]],Imput[[C. Imp.]:[C. Imp.]],$D126,Imput[[PERIODO Imp.]:[PERIODO Imp.]],CW$9)</f>
        <v>0</v>
      </c>
      <c r="CX126" s="516">
        <f>SUMIFS(Imput[[Importe Neto]:[Importe Neto]],Imput[[C. Imp.]:[C. Imp.]],$D126,Imput[[PERIODO Imp.]:[PERIODO Imp.]],CX$9)</f>
        <v>0</v>
      </c>
      <c r="CY126" s="516">
        <f>SUMIFS(Imput[[Importe Neto]:[Importe Neto]],Imput[[C. Imp.]:[C. Imp.]],$D126,Imput[[PERIODO Imp.]:[PERIODO Imp.]],CY$9)</f>
        <v>0</v>
      </c>
      <c r="CZ126" s="516">
        <f>SUMIFS(Imput[[Importe Neto]:[Importe Neto]],Imput[[C. Imp.]:[C. Imp.]],$D126,Imput[[PERIODO Imp.]:[PERIODO Imp.]],CZ$9)</f>
        <v>0</v>
      </c>
      <c r="DA126" s="516">
        <f>SUMIFS(Imput[[Importe Neto]:[Importe Neto]],Imput[[C. Imp.]:[C. Imp.]],$D126,Imput[[PERIODO Imp.]:[PERIODO Imp.]],DA$9)</f>
        <v>0</v>
      </c>
      <c r="DB126" s="516">
        <f>SUMIFS(Imput[[Importe Neto]:[Importe Neto]],Imput[[C. Imp.]:[C. Imp.]],$D126,Imput[[PERIODO Imp.]:[PERIODO Imp.]],DB$9)</f>
        <v>0</v>
      </c>
      <c r="DC126" s="516">
        <f>SUMIFS(Imput[[Importe Neto]:[Importe Neto]],Imput[[C. Imp.]:[C. Imp.]],$D126,Imput[[PERIODO Imp.]:[PERIODO Imp.]],DC$9)</f>
        <v>0</v>
      </c>
      <c r="DD126" s="516">
        <f>SUMIFS(Imput[[Importe Neto]:[Importe Neto]],Imput[[C. Imp.]:[C. Imp.]],$D126,Imput[[PERIODO Imp.]:[PERIODO Imp.]],DD$9)</f>
        <v>0</v>
      </c>
      <c r="DE126" s="516">
        <f>SUMIFS(Imput[[Importe Neto]:[Importe Neto]],Imput[[C. Imp.]:[C. Imp.]],$D126,Imput[[PERIODO Imp.]:[PERIODO Imp.]],DE$9)</f>
        <v>0</v>
      </c>
      <c r="DF126" s="516">
        <f>SUMIFS(Imput[[Importe Neto]:[Importe Neto]],Imput[[C. Imp.]:[C. Imp.]],$D126,Imput[[PERIODO Imp.]:[PERIODO Imp.]],DF$9)</f>
        <v>0</v>
      </c>
      <c r="DG126" s="516">
        <f>SUMIFS(Imput[[Importe Neto]:[Importe Neto]],Imput[[C. Imp.]:[C. Imp.]],$D126,Imput[[PERIODO Imp.]:[PERIODO Imp.]],DG$9)</f>
        <v>0</v>
      </c>
      <c r="DH126" s="616">
        <f>SUMIFS(Imput[[Importe Neto]:[Importe Neto]],Imput[[C. Imp.]:[C. Imp.]],$D126,Imput[[PERIODO Imp.]:[PERIODO Imp.]],DH$9)</f>
        <v>0</v>
      </c>
    </row>
    <row r="127" spans="1:112" outlineLevel="1" x14ac:dyDescent="0.3">
      <c r="A127" s="66" t="str">
        <f t="shared" si="74"/>
        <v>Imprimir</v>
      </c>
      <c r="C127" s="527"/>
      <c r="D127" s="528" t="s">
        <v>2235</v>
      </c>
      <c r="E127" s="528" t="s">
        <v>491</v>
      </c>
      <c r="F127" s="534"/>
      <c r="G127" s="529">
        <v>24</v>
      </c>
      <c r="H127" s="531">
        <f>Producción!G12*4.0215</f>
        <v>68.365499999999997</v>
      </c>
      <c r="I127" s="849">
        <f t="shared" si="75"/>
        <v>1</v>
      </c>
      <c r="J127" s="850">
        <f t="shared" si="76"/>
        <v>1640.7719999999999</v>
      </c>
      <c r="K127" s="70"/>
      <c r="L127" s="853">
        <v>0.3</v>
      </c>
      <c r="M127" s="855"/>
      <c r="N127" s="855"/>
      <c r="O127" s="855"/>
      <c r="P127" s="855">
        <v>0.5</v>
      </c>
      <c r="Q127" s="855"/>
      <c r="R127" s="855"/>
      <c r="S127" s="855"/>
      <c r="T127" s="855"/>
      <c r="U127" s="855"/>
      <c r="V127" s="855"/>
      <c r="W127" s="855">
        <v>0.2</v>
      </c>
      <c r="X127" s="855"/>
      <c r="Y127" s="855"/>
      <c r="Z127" s="856"/>
      <c r="AA127" s="856"/>
      <c r="AB127" s="856"/>
      <c r="AC127" s="856"/>
      <c r="AD127" s="856"/>
      <c r="AE127" s="856"/>
      <c r="AF127" s="856"/>
      <c r="AG127" s="856"/>
      <c r="AH127" s="856"/>
      <c r="AI127" s="856"/>
      <c r="AJ127" s="856"/>
      <c r="AK127" s="856"/>
      <c r="AL127" s="856"/>
      <c r="AM127" s="856"/>
      <c r="AN127" s="856"/>
      <c r="AO127" s="856"/>
      <c r="AP127" s="856"/>
      <c r="AQ127" s="856"/>
      <c r="AR127" s="856"/>
      <c r="AS127" s="856"/>
      <c r="AT127" s="856"/>
      <c r="AU127" s="856"/>
      <c r="AV127" s="856"/>
      <c r="AW127" s="856"/>
      <c r="AX127" s="856"/>
      <c r="AY127" s="856"/>
      <c r="AZ127" s="856"/>
      <c r="BA127" s="856"/>
      <c r="BB127" s="856"/>
      <c r="BC127" s="856"/>
      <c r="BD127" s="856"/>
      <c r="BE127" s="856"/>
      <c r="BF127" s="856"/>
      <c r="BG127" s="857"/>
      <c r="BH127" s="590"/>
      <c r="BI127" s="70"/>
      <c r="BJ127" s="518">
        <f t="shared" si="77"/>
        <v>1.228047943285234</v>
      </c>
      <c r="BK127" s="517">
        <f t="shared" si="78"/>
        <v>2014.94668</v>
      </c>
      <c r="BL127" s="68"/>
      <c r="BM127" s="515">
        <f>SUMIFS(Imput[[Importe Neto]:[Importe Neto]],Imput[[C. Imp.]:[C. Imp.]],$D127,Imput[[PERIODO Imp.]:[PERIODO Imp.]],BM$9)</f>
        <v>0</v>
      </c>
      <c r="BN127" s="516">
        <f>SUMIFS(Imput[[Importe Neto]:[Importe Neto]],Imput[[C. Imp.]:[C. Imp.]],$D127,Imput[[PERIODO Imp.]:[PERIODO Imp.]],BN$9)</f>
        <v>0</v>
      </c>
      <c r="BO127" s="516">
        <f>SUMIFS(Imput[[Importe Neto]:[Importe Neto]],Imput[[C. Imp.]:[C. Imp.]],$D127,Imput[[PERIODO Imp.]:[PERIODO Imp.]],BO$9)</f>
        <v>1595.9975999999999</v>
      </c>
      <c r="BP127" s="516">
        <f>SUMIFS(Imput[[Importe Neto]:[Importe Neto]],Imput[[C. Imp.]:[C. Imp.]],$D127,Imput[[PERIODO Imp.]:[PERIODO Imp.]],BP$9)</f>
        <v>418.94907999999998</v>
      </c>
      <c r="BQ127" s="516">
        <f>SUMIFS(Imput[[Importe Neto]:[Importe Neto]],Imput[[C. Imp.]:[C. Imp.]],$D127,Imput[[PERIODO Imp.]:[PERIODO Imp.]],BQ$9)</f>
        <v>0</v>
      </c>
      <c r="BR127" s="516">
        <f>SUMIFS(Imput[[Importe Neto]:[Importe Neto]],Imput[[C. Imp.]:[C. Imp.]],$D127,Imput[[PERIODO Imp.]:[PERIODO Imp.]],BR$9)</f>
        <v>0</v>
      </c>
      <c r="BS127" s="516">
        <f>SUMIFS(Imput[[Importe Neto]:[Importe Neto]],Imput[[C. Imp.]:[C. Imp.]],$D127,Imput[[PERIODO Imp.]:[PERIODO Imp.]],BS$9)</f>
        <v>0</v>
      </c>
      <c r="BT127" s="516">
        <f>SUMIFS(Imput[[Importe Neto]:[Importe Neto]],Imput[[C. Imp.]:[C. Imp.]],$D127,Imput[[PERIODO Imp.]:[PERIODO Imp.]],BT$9)</f>
        <v>0</v>
      </c>
      <c r="BU127" s="516">
        <f>SUMIFS(Imput[[Importe Neto]:[Importe Neto]],Imput[[C. Imp.]:[C. Imp.]],$D127,Imput[[PERIODO Imp.]:[PERIODO Imp.]],BU$9)</f>
        <v>0</v>
      </c>
      <c r="BV127" s="516">
        <f>SUMIFS(Imput[[Importe Neto]:[Importe Neto]],Imput[[C. Imp.]:[C. Imp.]],$D127,Imput[[PERIODO Imp.]:[PERIODO Imp.]],BV$9)</f>
        <v>0</v>
      </c>
      <c r="BW127" s="516">
        <f>SUMIFS(Imput[[Importe Neto]:[Importe Neto]],Imput[[C. Imp.]:[C. Imp.]],$D127,Imput[[PERIODO Imp.]:[PERIODO Imp.]],BW$9)</f>
        <v>0</v>
      </c>
      <c r="BX127" s="516">
        <f>SUMIFS(Imput[[Importe Neto]:[Importe Neto]],Imput[[C. Imp.]:[C. Imp.]],$D127,Imput[[PERIODO Imp.]:[PERIODO Imp.]],BX$9)</f>
        <v>0</v>
      </c>
      <c r="BY127" s="516">
        <f>SUMIFS(Imput[[Importe Neto]:[Importe Neto]],Imput[[C. Imp.]:[C. Imp.]],$D127,Imput[[PERIODO Imp.]:[PERIODO Imp.]],BY$9)</f>
        <v>0</v>
      </c>
      <c r="BZ127" s="516">
        <f>SUMIFS(Imput[[Importe Neto]:[Importe Neto]],Imput[[C. Imp.]:[C. Imp.]],$D127,Imput[[PERIODO Imp.]:[PERIODO Imp.]],BZ$9)</f>
        <v>0</v>
      </c>
      <c r="CA127" s="516">
        <f>SUMIFS(Imput[[Importe Neto]:[Importe Neto]],Imput[[C. Imp.]:[C. Imp.]],$D127,Imput[[PERIODO Imp.]:[PERIODO Imp.]],CA$9)</f>
        <v>0</v>
      </c>
      <c r="CB127" s="516">
        <f>SUMIFS(Imput[[Importe Neto]:[Importe Neto]],Imput[[C. Imp.]:[C. Imp.]],$D127,Imput[[PERIODO Imp.]:[PERIODO Imp.]],CB$9)</f>
        <v>0</v>
      </c>
      <c r="CC127" s="516">
        <f>SUMIFS(Imput[[Importe Neto]:[Importe Neto]],Imput[[C. Imp.]:[C. Imp.]],$D127,Imput[[PERIODO Imp.]:[PERIODO Imp.]],CC$9)</f>
        <v>0</v>
      </c>
      <c r="CD127" s="516">
        <f>SUMIFS(Imput[[Importe Neto]:[Importe Neto]],Imput[[C. Imp.]:[C. Imp.]],$D127,Imput[[PERIODO Imp.]:[PERIODO Imp.]],CD$9)</f>
        <v>0</v>
      </c>
      <c r="CE127" s="516">
        <f>SUMIFS(Imput[[Importe Neto]:[Importe Neto]],Imput[[C. Imp.]:[C. Imp.]],$D127,Imput[[PERIODO Imp.]:[PERIODO Imp.]],CE$9)</f>
        <v>0</v>
      </c>
      <c r="CF127" s="516">
        <f>SUMIFS(Imput[[Importe Neto]:[Importe Neto]],Imput[[C. Imp.]:[C. Imp.]],$D127,Imput[[PERIODO Imp.]:[PERIODO Imp.]],CF$9)</f>
        <v>0</v>
      </c>
      <c r="CG127" s="516">
        <f>SUMIFS(Imput[[Importe Neto]:[Importe Neto]],Imput[[C. Imp.]:[C. Imp.]],$D127,Imput[[PERIODO Imp.]:[PERIODO Imp.]],CG$9)</f>
        <v>0</v>
      </c>
      <c r="CH127" s="516">
        <f>SUMIFS(Imput[[Importe Neto]:[Importe Neto]],Imput[[C. Imp.]:[C. Imp.]],$D127,Imput[[PERIODO Imp.]:[PERIODO Imp.]],CH$9)</f>
        <v>0</v>
      </c>
      <c r="CI127" s="516">
        <f>SUMIFS(Imput[[Importe Neto]:[Importe Neto]],Imput[[C. Imp.]:[C. Imp.]],$D127,Imput[[PERIODO Imp.]:[PERIODO Imp.]],CI$9)</f>
        <v>0</v>
      </c>
      <c r="CJ127" s="516">
        <f>SUMIFS(Imput[[Importe Neto]:[Importe Neto]],Imput[[C. Imp.]:[C. Imp.]],$D127,Imput[[PERIODO Imp.]:[PERIODO Imp.]],CJ$9)</f>
        <v>0</v>
      </c>
      <c r="CK127" s="516">
        <f>SUMIFS(Imput[[Importe Neto]:[Importe Neto]],Imput[[C. Imp.]:[C. Imp.]],$D127,Imput[[PERIODO Imp.]:[PERIODO Imp.]],CK$9)</f>
        <v>0</v>
      </c>
      <c r="CL127" s="516">
        <f>SUMIFS(Imput[[Importe Neto]:[Importe Neto]],Imput[[C. Imp.]:[C. Imp.]],$D127,Imput[[PERIODO Imp.]:[PERIODO Imp.]],CL$9)</f>
        <v>0</v>
      </c>
      <c r="CM127" s="516">
        <f>SUMIFS(Imput[[Importe Neto]:[Importe Neto]],Imput[[C. Imp.]:[C. Imp.]],$D127,Imput[[PERIODO Imp.]:[PERIODO Imp.]],CM$9)</f>
        <v>0</v>
      </c>
      <c r="CN127" s="516">
        <f>SUMIFS(Imput[[Importe Neto]:[Importe Neto]],Imput[[C. Imp.]:[C. Imp.]],$D127,Imput[[PERIODO Imp.]:[PERIODO Imp.]],CN$9)</f>
        <v>0</v>
      </c>
      <c r="CO127" s="516">
        <f>SUMIFS(Imput[[Importe Neto]:[Importe Neto]],Imput[[C. Imp.]:[C. Imp.]],$D127,Imput[[PERIODO Imp.]:[PERIODO Imp.]],CO$9)</f>
        <v>0</v>
      </c>
      <c r="CP127" s="516">
        <f>SUMIFS(Imput[[Importe Neto]:[Importe Neto]],Imput[[C. Imp.]:[C. Imp.]],$D127,Imput[[PERIODO Imp.]:[PERIODO Imp.]],CP$9)</f>
        <v>0</v>
      </c>
      <c r="CQ127" s="516">
        <f>SUMIFS(Imput[[Importe Neto]:[Importe Neto]],Imput[[C. Imp.]:[C. Imp.]],$D127,Imput[[PERIODO Imp.]:[PERIODO Imp.]],CQ$9)</f>
        <v>0</v>
      </c>
      <c r="CR127" s="516">
        <f>SUMIFS(Imput[[Importe Neto]:[Importe Neto]],Imput[[C. Imp.]:[C. Imp.]],$D127,Imput[[PERIODO Imp.]:[PERIODO Imp.]],CR$9)</f>
        <v>0</v>
      </c>
      <c r="CS127" s="516">
        <f>SUMIFS(Imput[[Importe Neto]:[Importe Neto]],Imput[[C. Imp.]:[C. Imp.]],$D127,Imput[[PERIODO Imp.]:[PERIODO Imp.]],CS$9)</f>
        <v>0</v>
      </c>
      <c r="CT127" s="516">
        <f>SUMIFS(Imput[[Importe Neto]:[Importe Neto]],Imput[[C. Imp.]:[C. Imp.]],$D127,Imput[[PERIODO Imp.]:[PERIODO Imp.]],CT$9)</f>
        <v>0</v>
      </c>
      <c r="CU127" s="516">
        <f>SUMIFS(Imput[[Importe Neto]:[Importe Neto]],Imput[[C. Imp.]:[C. Imp.]],$D127,Imput[[PERIODO Imp.]:[PERIODO Imp.]],CU$9)</f>
        <v>0</v>
      </c>
      <c r="CV127" s="516">
        <f>SUMIFS(Imput[[Importe Neto]:[Importe Neto]],Imput[[C. Imp.]:[C. Imp.]],$D127,Imput[[PERIODO Imp.]:[PERIODO Imp.]],CV$9)</f>
        <v>0</v>
      </c>
      <c r="CW127" s="516">
        <f>SUMIFS(Imput[[Importe Neto]:[Importe Neto]],Imput[[C. Imp.]:[C. Imp.]],$D127,Imput[[PERIODO Imp.]:[PERIODO Imp.]],CW$9)</f>
        <v>0</v>
      </c>
      <c r="CX127" s="516">
        <f>SUMIFS(Imput[[Importe Neto]:[Importe Neto]],Imput[[C. Imp.]:[C. Imp.]],$D127,Imput[[PERIODO Imp.]:[PERIODO Imp.]],CX$9)</f>
        <v>0</v>
      </c>
      <c r="CY127" s="516">
        <f>SUMIFS(Imput[[Importe Neto]:[Importe Neto]],Imput[[C. Imp.]:[C. Imp.]],$D127,Imput[[PERIODO Imp.]:[PERIODO Imp.]],CY$9)</f>
        <v>0</v>
      </c>
      <c r="CZ127" s="516">
        <f>SUMIFS(Imput[[Importe Neto]:[Importe Neto]],Imput[[C. Imp.]:[C. Imp.]],$D127,Imput[[PERIODO Imp.]:[PERIODO Imp.]],CZ$9)</f>
        <v>0</v>
      </c>
      <c r="DA127" s="516">
        <f>SUMIFS(Imput[[Importe Neto]:[Importe Neto]],Imput[[C. Imp.]:[C. Imp.]],$D127,Imput[[PERIODO Imp.]:[PERIODO Imp.]],DA$9)</f>
        <v>0</v>
      </c>
      <c r="DB127" s="516">
        <f>SUMIFS(Imput[[Importe Neto]:[Importe Neto]],Imput[[C. Imp.]:[C. Imp.]],$D127,Imput[[PERIODO Imp.]:[PERIODO Imp.]],DB$9)</f>
        <v>0</v>
      </c>
      <c r="DC127" s="516">
        <f>SUMIFS(Imput[[Importe Neto]:[Importe Neto]],Imput[[C. Imp.]:[C. Imp.]],$D127,Imput[[PERIODO Imp.]:[PERIODO Imp.]],DC$9)</f>
        <v>0</v>
      </c>
      <c r="DD127" s="516">
        <f>SUMIFS(Imput[[Importe Neto]:[Importe Neto]],Imput[[C. Imp.]:[C. Imp.]],$D127,Imput[[PERIODO Imp.]:[PERIODO Imp.]],DD$9)</f>
        <v>0</v>
      </c>
      <c r="DE127" s="516">
        <f>SUMIFS(Imput[[Importe Neto]:[Importe Neto]],Imput[[C. Imp.]:[C. Imp.]],$D127,Imput[[PERIODO Imp.]:[PERIODO Imp.]],DE$9)</f>
        <v>0</v>
      </c>
      <c r="DF127" s="516">
        <f>SUMIFS(Imput[[Importe Neto]:[Importe Neto]],Imput[[C. Imp.]:[C. Imp.]],$D127,Imput[[PERIODO Imp.]:[PERIODO Imp.]],DF$9)</f>
        <v>0</v>
      </c>
      <c r="DG127" s="516">
        <f>SUMIFS(Imput[[Importe Neto]:[Importe Neto]],Imput[[C. Imp.]:[C. Imp.]],$D127,Imput[[PERIODO Imp.]:[PERIODO Imp.]],DG$9)</f>
        <v>0</v>
      </c>
      <c r="DH127" s="616">
        <f>SUMIFS(Imput[[Importe Neto]:[Importe Neto]],Imput[[C. Imp.]:[C. Imp.]],$D127,Imput[[PERIODO Imp.]:[PERIODO Imp.]],DH$9)</f>
        <v>0</v>
      </c>
    </row>
    <row r="128" spans="1:112" outlineLevel="1" x14ac:dyDescent="0.3">
      <c r="A128" s="66" t="str">
        <f t="shared" si="74"/>
        <v>Imprimir</v>
      </c>
      <c r="C128" s="527"/>
      <c r="D128" s="528" t="s">
        <v>2236</v>
      </c>
      <c r="E128" s="528" t="s">
        <v>492</v>
      </c>
      <c r="F128" s="534"/>
      <c r="G128" s="529">
        <v>600</v>
      </c>
      <c r="H128" s="531">
        <f>Producción!G12*0.01936</f>
        <v>0.32911999999999997</v>
      </c>
      <c r="I128" s="849">
        <f t="shared" si="75"/>
        <v>1</v>
      </c>
      <c r="J128" s="850">
        <f t="shared" si="76"/>
        <v>197.47199999999998</v>
      </c>
      <c r="K128" s="70"/>
      <c r="L128" s="853">
        <v>1</v>
      </c>
      <c r="M128" s="855"/>
      <c r="N128" s="855"/>
      <c r="O128" s="855"/>
      <c r="P128" s="855"/>
      <c r="Q128" s="855"/>
      <c r="R128" s="855"/>
      <c r="S128" s="855"/>
      <c r="T128" s="855"/>
      <c r="U128" s="855"/>
      <c r="V128" s="855"/>
      <c r="W128" s="855"/>
      <c r="X128" s="855"/>
      <c r="Y128" s="855"/>
      <c r="Z128" s="856"/>
      <c r="AA128" s="856"/>
      <c r="AB128" s="856"/>
      <c r="AC128" s="856"/>
      <c r="AD128" s="856"/>
      <c r="AE128" s="856"/>
      <c r="AF128" s="856"/>
      <c r="AG128" s="856"/>
      <c r="AH128" s="856"/>
      <c r="AI128" s="856"/>
      <c r="AJ128" s="856"/>
      <c r="AK128" s="856"/>
      <c r="AL128" s="856"/>
      <c r="AM128" s="856"/>
      <c r="AN128" s="856"/>
      <c r="AO128" s="856"/>
      <c r="AP128" s="856"/>
      <c r="AQ128" s="856"/>
      <c r="AR128" s="856"/>
      <c r="AS128" s="856"/>
      <c r="AT128" s="856"/>
      <c r="AU128" s="856"/>
      <c r="AV128" s="856"/>
      <c r="AW128" s="856"/>
      <c r="AX128" s="856"/>
      <c r="AY128" s="856"/>
      <c r="AZ128" s="856"/>
      <c r="BA128" s="856"/>
      <c r="BB128" s="856"/>
      <c r="BC128" s="856"/>
      <c r="BD128" s="856"/>
      <c r="BE128" s="856"/>
      <c r="BF128" s="856"/>
      <c r="BG128" s="857"/>
      <c r="BH128" s="590"/>
      <c r="BI128" s="70"/>
      <c r="BJ128" s="518">
        <f t="shared" si="77"/>
        <v>0</v>
      </c>
      <c r="BK128" s="517">
        <f t="shared" si="78"/>
        <v>0</v>
      </c>
      <c r="BL128" s="68"/>
      <c r="BM128" s="515">
        <f>SUMIFS(Imput[[Importe Neto]:[Importe Neto]],Imput[[C. Imp.]:[C. Imp.]],$D128,Imput[[PERIODO Imp.]:[PERIODO Imp.]],BM$9)</f>
        <v>0</v>
      </c>
      <c r="BN128" s="516">
        <f>SUMIFS(Imput[[Importe Neto]:[Importe Neto]],Imput[[C. Imp.]:[C. Imp.]],$D128,Imput[[PERIODO Imp.]:[PERIODO Imp.]],BN$9)</f>
        <v>0</v>
      </c>
      <c r="BO128" s="516">
        <f>SUMIFS(Imput[[Importe Neto]:[Importe Neto]],Imput[[C. Imp.]:[C. Imp.]],$D128,Imput[[PERIODO Imp.]:[PERIODO Imp.]],BO$9)</f>
        <v>0</v>
      </c>
      <c r="BP128" s="516">
        <f>SUMIFS(Imput[[Importe Neto]:[Importe Neto]],Imput[[C. Imp.]:[C. Imp.]],$D128,Imput[[PERIODO Imp.]:[PERIODO Imp.]],BP$9)</f>
        <v>0</v>
      </c>
      <c r="BQ128" s="516">
        <f>SUMIFS(Imput[[Importe Neto]:[Importe Neto]],Imput[[C. Imp.]:[C. Imp.]],$D128,Imput[[PERIODO Imp.]:[PERIODO Imp.]],BQ$9)</f>
        <v>0</v>
      </c>
      <c r="BR128" s="516">
        <f>SUMIFS(Imput[[Importe Neto]:[Importe Neto]],Imput[[C. Imp.]:[C. Imp.]],$D128,Imput[[PERIODO Imp.]:[PERIODO Imp.]],BR$9)</f>
        <v>0</v>
      </c>
      <c r="BS128" s="516">
        <f>SUMIFS(Imput[[Importe Neto]:[Importe Neto]],Imput[[C. Imp.]:[C. Imp.]],$D128,Imput[[PERIODO Imp.]:[PERIODO Imp.]],BS$9)</f>
        <v>0</v>
      </c>
      <c r="BT128" s="516">
        <f>SUMIFS(Imput[[Importe Neto]:[Importe Neto]],Imput[[C. Imp.]:[C. Imp.]],$D128,Imput[[PERIODO Imp.]:[PERIODO Imp.]],BT$9)</f>
        <v>0</v>
      </c>
      <c r="BU128" s="516">
        <f>SUMIFS(Imput[[Importe Neto]:[Importe Neto]],Imput[[C. Imp.]:[C. Imp.]],$D128,Imput[[PERIODO Imp.]:[PERIODO Imp.]],BU$9)</f>
        <v>0</v>
      </c>
      <c r="BV128" s="516">
        <f>SUMIFS(Imput[[Importe Neto]:[Importe Neto]],Imput[[C. Imp.]:[C. Imp.]],$D128,Imput[[PERIODO Imp.]:[PERIODO Imp.]],BV$9)</f>
        <v>0</v>
      </c>
      <c r="BW128" s="516">
        <f>SUMIFS(Imput[[Importe Neto]:[Importe Neto]],Imput[[C. Imp.]:[C. Imp.]],$D128,Imput[[PERIODO Imp.]:[PERIODO Imp.]],BW$9)</f>
        <v>0</v>
      </c>
      <c r="BX128" s="516">
        <f>SUMIFS(Imput[[Importe Neto]:[Importe Neto]],Imput[[C. Imp.]:[C. Imp.]],$D128,Imput[[PERIODO Imp.]:[PERIODO Imp.]],BX$9)</f>
        <v>0</v>
      </c>
      <c r="BY128" s="516">
        <f>SUMIFS(Imput[[Importe Neto]:[Importe Neto]],Imput[[C. Imp.]:[C. Imp.]],$D128,Imput[[PERIODO Imp.]:[PERIODO Imp.]],BY$9)</f>
        <v>0</v>
      </c>
      <c r="BZ128" s="516">
        <f>SUMIFS(Imput[[Importe Neto]:[Importe Neto]],Imput[[C. Imp.]:[C. Imp.]],$D128,Imput[[PERIODO Imp.]:[PERIODO Imp.]],BZ$9)</f>
        <v>0</v>
      </c>
      <c r="CA128" s="516">
        <f>SUMIFS(Imput[[Importe Neto]:[Importe Neto]],Imput[[C. Imp.]:[C. Imp.]],$D128,Imput[[PERIODO Imp.]:[PERIODO Imp.]],CA$9)</f>
        <v>0</v>
      </c>
      <c r="CB128" s="516">
        <f>SUMIFS(Imput[[Importe Neto]:[Importe Neto]],Imput[[C. Imp.]:[C. Imp.]],$D128,Imput[[PERIODO Imp.]:[PERIODO Imp.]],CB$9)</f>
        <v>0</v>
      </c>
      <c r="CC128" s="516">
        <f>SUMIFS(Imput[[Importe Neto]:[Importe Neto]],Imput[[C. Imp.]:[C. Imp.]],$D128,Imput[[PERIODO Imp.]:[PERIODO Imp.]],CC$9)</f>
        <v>0</v>
      </c>
      <c r="CD128" s="516">
        <f>SUMIFS(Imput[[Importe Neto]:[Importe Neto]],Imput[[C. Imp.]:[C. Imp.]],$D128,Imput[[PERIODO Imp.]:[PERIODO Imp.]],CD$9)</f>
        <v>0</v>
      </c>
      <c r="CE128" s="516">
        <f>SUMIFS(Imput[[Importe Neto]:[Importe Neto]],Imput[[C. Imp.]:[C. Imp.]],$D128,Imput[[PERIODO Imp.]:[PERIODO Imp.]],CE$9)</f>
        <v>0</v>
      </c>
      <c r="CF128" s="516">
        <f>SUMIFS(Imput[[Importe Neto]:[Importe Neto]],Imput[[C. Imp.]:[C. Imp.]],$D128,Imput[[PERIODO Imp.]:[PERIODO Imp.]],CF$9)</f>
        <v>0</v>
      </c>
      <c r="CG128" s="516">
        <f>SUMIFS(Imput[[Importe Neto]:[Importe Neto]],Imput[[C. Imp.]:[C. Imp.]],$D128,Imput[[PERIODO Imp.]:[PERIODO Imp.]],CG$9)</f>
        <v>0</v>
      </c>
      <c r="CH128" s="516">
        <f>SUMIFS(Imput[[Importe Neto]:[Importe Neto]],Imput[[C. Imp.]:[C. Imp.]],$D128,Imput[[PERIODO Imp.]:[PERIODO Imp.]],CH$9)</f>
        <v>0</v>
      </c>
      <c r="CI128" s="516">
        <f>SUMIFS(Imput[[Importe Neto]:[Importe Neto]],Imput[[C. Imp.]:[C. Imp.]],$D128,Imput[[PERIODO Imp.]:[PERIODO Imp.]],CI$9)</f>
        <v>0</v>
      </c>
      <c r="CJ128" s="516">
        <f>SUMIFS(Imput[[Importe Neto]:[Importe Neto]],Imput[[C. Imp.]:[C. Imp.]],$D128,Imput[[PERIODO Imp.]:[PERIODO Imp.]],CJ$9)</f>
        <v>0</v>
      </c>
      <c r="CK128" s="516">
        <f>SUMIFS(Imput[[Importe Neto]:[Importe Neto]],Imput[[C. Imp.]:[C. Imp.]],$D128,Imput[[PERIODO Imp.]:[PERIODO Imp.]],CK$9)</f>
        <v>0</v>
      </c>
      <c r="CL128" s="516">
        <f>SUMIFS(Imput[[Importe Neto]:[Importe Neto]],Imput[[C. Imp.]:[C. Imp.]],$D128,Imput[[PERIODO Imp.]:[PERIODO Imp.]],CL$9)</f>
        <v>0</v>
      </c>
      <c r="CM128" s="516">
        <f>SUMIFS(Imput[[Importe Neto]:[Importe Neto]],Imput[[C. Imp.]:[C. Imp.]],$D128,Imput[[PERIODO Imp.]:[PERIODO Imp.]],CM$9)</f>
        <v>0</v>
      </c>
      <c r="CN128" s="516">
        <f>SUMIFS(Imput[[Importe Neto]:[Importe Neto]],Imput[[C. Imp.]:[C. Imp.]],$D128,Imput[[PERIODO Imp.]:[PERIODO Imp.]],CN$9)</f>
        <v>0</v>
      </c>
      <c r="CO128" s="516">
        <f>SUMIFS(Imput[[Importe Neto]:[Importe Neto]],Imput[[C. Imp.]:[C. Imp.]],$D128,Imput[[PERIODO Imp.]:[PERIODO Imp.]],CO$9)</f>
        <v>0</v>
      </c>
      <c r="CP128" s="516">
        <f>SUMIFS(Imput[[Importe Neto]:[Importe Neto]],Imput[[C. Imp.]:[C. Imp.]],$D128,Imput[[PERIODO Imp.]:[PERIODO Imp.]],CP$9)</f>
        <v>0</v>
      </c>
      <c r="CQ128" s="516">
        <f>SUMIFS(Imput[[Importe Neto]:[Importe Neto]],Imput[[C. Imp.]:[C. Imp.]],$D128,Imput[[PERIODO Imp.]:[PERIODO Imp.]],CQ$9)</f>
        <v>0</v>
      </c>
      <c r="CR128" s="516">
        <f>SUMIFS(Imput[[Importe Neto]:[Importe Neto]],Imput[[C. Imp.]:[C. Imp.]],$D128,Imput[[PERIODO Imp.]:[PERIODO Imp.]],CR$9)</f>
        <v>0</v>
      </c>
      <c r="CS128" s="516">
        <f>SUMIFS(Imput[[Importe Neto]:[Importe Neto]],Imput[[C. Imp.]:[C. Imp.]],$D128,Imput[[PERIODO Imp.]:[PERIODO Imp.]],CS$9)</f>
        <v>0</v>
      </c>
      <c r="CT128" s="516">
        <f>SUMIFS(Imput[[Importe Neto]:[Importe Neto]],Imput[[C. Imp.]:[C. Imp.]],$D128,Imput[[PERIODO Imp.]:[PERIODO Imp.]],CT$9)</f>
        <v>0</v>
      </c>
      <c r="CU128" s="516">
        <f>SUMIFS(Imput[[Importe Neto]:[Importe Neto]],Imput[[C. Imp.]:[C. Imp.]],$D128,Imput[[PERIODO Imp.]:[PERIODO Imp.]],CU$9)</f>
        <v>0</v>
      </c>
      <c r="CV128" s="516">
        <f>SUMIFS(Imput[[Importe Neto]:[Importe Neto]],Imput[[C. Imp.]:[C. Imp.]],$D128,Imput[[PERIODO Imp.]:[PERIODO Imp.]],CV$9)</f>
        <v>0</v>
      </c>
      <c r="CW128" s="516">
        <f>SUMIFS(Imput[[Importe Neto]:[Importe Neto]],Imput[[C. Imp.]:[C. Imp.]],$D128,Imput[[PERIODO Imp.]:[PERIODO Imp.]],CW$9)</f>
        <v>0</v>
      </c>
      <c r="CX128" s="516">
        <f>SUMIFS(Imput[[Importe Neto]:[Importe Neto]],Imput[[C. Imp.]:[C. Imp.]],$D128,Imput[[PERIODO Imp.]:[PERIODO Imp.]],CX$9)</f>
        <v>0</v>
      </c>
      <c r="CY128" s="516">
        <f>SUMIFS(Imput[[Importe Neto]:[Importe Neto]],Imput[[C. Imp.]:[C. Imp.]],$D128,Imput[[PERIODO Imp.]:[PERIODO Imp.]],CY$9)</f>
        <v>0</v>
      </c>
      <c r="CZ128" s="516">
        <f>SUMIFS(Imput[[Importe Neto]:[Importe Neto]],Imput[[C. Imp.]:[C. Imp.]],$D128,Imput[[PERIODO Imp.]:[PERIODO Imp.]],CZ$9)</f>
        <v>0</v>
      </c>
      <c r="DA128" s="516">
        <f>SUMIFS(Imput[[Importe Neto]:[Importe Neto]],Imput[[C. Imp.]:[C. Imp.]],$D128,Imput[[PERIODO Imp.]:[PERIODO Imp.]],DA$9)</f>
        <v>0</v>
      </c>
      <c r="DB128" s="516">
        <f>SUMIFS(Imput[[Importe Neto]:[Importe Neto]],Imput[[C. Imp.]:[C. Imp.]],$D128,Imput[[PERIODO Imp.]:[PERIODO Imp.]],DB$9)</f>
        <v>0</v>
      </c>
      <c r="DC128" s="516">
        <f>SUMIFS(Imput[[Importe Neto]:[Importe Neto]],Imput[[C. Imp.]:[C. Imp.]],$D128,Imput[[PERIODO Imp.]:[PERIODO Imp.]],DC$9)</f>
        <v>0</v>
      </c>
      <c r="DD128" s="516">
        <f>SUMIFS(Imput[[Importe Neto]:[Importe Neto]],Imput[[C. Imp.]:[C. Imp.]],$D128,Imput[[PERIODO Imp.]:[PERIODO Imp.]],DD$9)</f>
        <v>0</v>
      </c>
      <c r="DE128" s="516">
        <f>SUMIFS(Imput[[Importe Neto]:[Importe Neto]],Imput[[C. Imp.]:[C. Imp.]],$D128,Imput[[PERIODO Imp.]:[PERIODO Imp.]],DE$9)</f>
        <v>0</v>
      </c>
      <c r="DF128" s="516">
        <f>SUMIFS(Imput[[Importe Neto]:[Importe Neto]],Imput[[C. Imp.]:[C. Imp.]],$D128,Imput[[PERIODO Imp.]:[PERIODO Imp.]],DF$9)</f>
        <v>0</v>
      </c>
      <c r="DG128" s="516">
        <f>SUMIFS(Imput[[Importe Neto]:[Importe Neto]],Imput[[C. Imp.]:[C. Imp.]],$D128,Imput[[PERIODO Imp.]:[PERIODO Imp.]],DG$9)</f>
        <v>0</v>
      </c>
      <c r="DH128" s="616">
        <f>SUMIFS(Imput[[Importe Neto]:[Importe Neto]],Imput[[C. Imp.]:[C. Imp.]],$D128,Imput[[PERIODO Imp.]:[PERIODO Imp.]],DH$9)</f>
        <v>0</v>
      </c>
    </row>
    <row r="129" spans="1:112" outlineLevel="1" x14ac:dyDescent="0.3">
      <c r="A129" s="66" t="str">
        <f t="shared" si="74"/>
        <v>Imprimir</v>
      </c>
      <c r="C129" s="527"/>
      <c r="D129" s="528" t="s">
        <v>2237</v>
      </c>
      <c r="E129" s="528" t="s">
        <v>493</v>
      </c>
      <c r="F129" s="534"/>
      <c r="G129" s="529">
        <v>4.74</v>
      </c>
      <c r="H129" s="531">
        <f>Producción!G12*8.228</f>
        <v>139.876</v>
      </c>
      <c r="I129" s="849">
        <f t="shared" si="75"/>
        <v>1</v>
      </c>
      <c r="J129" s="850">
        <f t="shared" si="76"/>
        <v>663.01224000000002</v>
      </c>
      <c r="K129" s="70"/>
      <c r="L129" s="853">
        <v>1</v>
      </c>
      <c r="M129" s="855"/>
      <c r="N129" s="855"/>
      <c r="O129" s="855"/>
      <c r="P129" s="855"/>
      <c r="Q129" s="855"/>
      <c r="R129" s="855"/>
      <c r="S129" s="855"/>
      <c r="T129" s="855"/>
      <c r="U129" s="855"/>
      <c r="V129" s="855"/>
      <c r="W129" s="855"/>
      <c r="X129" s="855"/>
      <c r="Y129" s="855"/>
      <c r="Z129" s="856"/>
      <c r="AA129" s="856"/>
      <c r="AB129" s="856"/>
      <c r="AC129" s="856"/>
      <c r="AD129" s="856"/>
      <c r="AE129" s="856"/>
      <c r="AF129" s="856"/>
      <c r="AG129" s="856"/>
      <c r="AH129" s="856"/>
      <c r="AI129" s="856"/>
      <c r="AJ129" s="856"/>
      <c r="AK129" s="856"/>
      <c r="AL129" s="856"/>
      <c r="AM129" s="856"/>
      <c r="AN129" s="856"/>
      <c r="AO129" s="856"/>
      <c r="AP129" s="856"/>
      <c r="AQ129" s="856"/>
      <c r="AR129" s="856"/>
      <c r="AS129" s="856"/>
      <c r="AT129" s="856"/>
      <c r="AU129" s="856"/>
      <c r="AV129" s="856"/>
      <c r="AW129" s="856"/>
      <c r="AX129" s="856"/>
      <c r="AY129" s="856"/>
      <c r="AZ129" s="856"/>
      <c r="BA129" s="856"/>
      <c r="BB129" s="856"/>
      <c r="BC129" s="856"/>
      <c r="BD129" s="856"/>
      <c r="BE129" s="856"/>
      <c r="BF129" s="856"/>
      <c r="BG129" s="857"/>
      <c r="BH129" s="590"/>
      <c r="BI129" s="70"/>
      <c r="BJ129" s="518">
        <f t="shared" si="77"/>
        <v>0</v>
      </c>
      <c r="BK129" s="517">
        <f t="shared" si="78"/>
        <v>0</v>
      </c>
      <c r="BL129" s="68"/>
      <c r="BM129" s="515">
        <f>SUMIFS(Imput[[Importe Neto]:[Importe Neto]],Imput[[C. Imp.]:[C. Imp.]],$D129,Imput[[PERIODO Imp.]:[PERIODO Imp.]],BM$9)</f>
        <v>0</v>
      </c>
      <c r="BN129" s="516">
        <f>SUMIFS(Imput[[Importe Neto]:[Importe Neto]],Imput[[C. Imp.]:[C. Imp.]],$D129,Imput[[PERIODO Imp.]:[PERIODO Imp.]],BN$9)</f>
        <v>0</v>
      </c>
      <c r="BO129" s="516">
        <f>SUMIFS(Imput[[Importe Neto]:[Importe Neto]],Imput[[C. Imp.]:[C. Imp.]],$D129,Imput[[PERIODO Imp.]:[PERIODO Imp.]],BO$9)</f>
        <v>0</v>
      </c>
      <c r="BP129" s="516">
        <f>SUMIFS(Imput[[Importe Neto]:[Importe Neto]],Imput[[C. Imp.]:[C. Imp.]],$D129,Imput[[PERIODO Imp.]:[PERIODO Imp.]],BP$9)</f>
        <v>0</v>
      </c>
      <c r="BQ129" s="516">
        <f>SUMIFS(Imput[[Importe Neto]:[Importe Neto]],Imput[[C. Imp.]:[C. Imp.]],$D129,Imput[[PERIODO Imp.]:[PERIODO Imp.]],BQ$9)</f>
        <v>0</v>
      </c>
      <c r="BR129" s="516">
        <f>SUMIFS(Imput[[Importe Neto]:[Importe Neto]],Imput[[C. Imp.]:[C. Imp.]],$D129,Imput[[PERIODO Imp.]:[PERIODO Imp.]],BR$9)</f>
        <v>0</v>
      </c>
      <c r="BS129" s="516">
        <f>SUMIFS(Imput[[Importe Neto]:[Importe Neto]],Imput[[C. Imp.]:[C. Imp.]],$D129,Imput[[PERIODO Imp.]:[PERIODO Imp.]],BS$9)</f>
        <v>0</v>
      </c>
      <c r="BT129" s="516">
        <f>SUMIFS(Imput[[Importe Neto]:[Importe Neto]],Imput[[C. Imp.]:[C. Imp.]],$D129,Imput[[PERIODO Imp.]:[PERIODO Imp.]],BT$9)</f>
        <v>0</v>
      </c>
      <c r="BU129" s="516">
        <f>SUMIFS(Imput[[Importe Neto]:[Importe Neto]],Imput[[C. Imp.]:[C. Imp.]],$D129,Imput[[PERIODO Imp.]:[PERIODO Imp.]],BU$9)</f>
        <v>0</v>
      </c>
      <c r="BV129" s="516">
        <f>SUMIFS(Imput[[Importe Neto]:[Importe Neto]],Imput[[C. Imp.]:[C. Imp.]],$D129,Imput[[PERIODO Imp.]:[PERIODO Imp.]],BV$9)</f>
        <v>0</v>
      </c>
      <c r="BW129" s="516">
        <f>SUMIFS(Imput[[Importe Neto]:[Importe Neto]],Imput[[C. Imp.]:[C. Imp.]],$D129,Imput[[PERIODO Imp.]:[PERIODO Imp.]],BW$9)</f>
        <v>0</v>
      </c>
      <c r="BX129" s="516">
        <f>SUMIFS(Imput[[Importe Neto]:[Importe Neto]],Imput[[C. Imp.]:[C. Imp.]],$D129,Imput[[PERIODO Imp.]:[PERIODO Imp.]],BX$9)</f>
        <v>0</v>
      </c>
      <c r="BY129" s="516">
        <f>SUMIFS(Imput[[Importe Neto]:[Importe Neto]],Imput[[C. Imp.]:[C. Imp.]],$D129,Imput[[PERIODO Imp.]:[PERIODO Imp.]],BY$9)</f>
        <v>0</v>
      </c>
      <c r="BZ129" s="516">
        <f>SUMIFS(Imput[[Importe Neto]:[Importe Neto]],Imput[[C. Imp.]:[C. Imp.]],$D129,Imput[[PERIODO Imp.]:[PERIODO Imp.]],BZ$9)</f>
        <v>0</v>
      </c>
      <c r="CA129" s="516">
        <f>SUMIFS(Imput[[Importe Neto]:[Importe Neto]],Imput[[C. Imp.]:[C. Imp.]],$D129,Imput[[PERIODO Imp.]:[PERIODO Imp.]],CA$9)</f>
        <v>0</v>
      </c>
      <c r="CB129" s="516">
        <f>SUMIFS(Imput[[Importe Neto]:[Importe Neto]],Imput[[C. Imp.]:[C. Imp.]],$D129,Imput[[PERIODO Imp.]:[PERIODO Imp.]],CB$9)</f>
        <v>0</v>
      </c>
      <c r="CC129" s="516">
        <f>SUMIFS(Imput[[Importe Neto]:[Importe Neto]],Imput[[C. Imp.]:[C. Imp.]],$D129,Imput[[PERIODO Imp.]:[PERIODO Imp.]],CC$9)</f>
        <v>0</v>
      </c>
      <c r="CD129" s="516">
        <f>SUMIFS(Imput[[Importe Neto]:[Importe Neto]],Imput[[C. Imp.]:[C. Imp.]],$D129,Imput[[PERIODO Imp.]:[PERIODO Imp.]],CD$9)</f>
        <v>0</v>
      </c>
      <c r="CE129" s="516">
        <f>SUMIFS(Imput[[Importe Neto]:[Importe Neto]],Imput[[C. Imp.]:[C. Imp.]],$D129,Imput[[PERIODO Imp.]:[PERIODO Imp.]],CE$9)</f>
        <v>0</v>
      </c>
      <c r="CF129" s="516">
        <f>SUMIFS(Imput[[Importe Neto]:[Importe Neto]],Imput[[C. Imp.]:[C. Imp.]],$D129,Imput[[PERIODO Imp.]:[PERIODO Imp.]],CF$9)</f>
        <v>0</v>
      </c>
      <c r="CG129" s="516">
        <f>SUMIFS(Imput[[Importe Neto]:[Importe Neto]],Imput[[C. Imp.]:[C. Imp.]],$D129,Imput[[PERIODO Imp.]:[PERIODO Imp.]],CG$9)</f>
        <v>0</v>
      </c>
      <c r="CH129" s="516">
        <f>SUMIFS(Imput[[Importe Neto]:[Importe Neto]],Imput[[C. Imp.]:[C. Imp.]],$D129,Imput[[PERIODO Imp.]:[PERIODO Imp.]],CH$9)</f>
        <v>0</v>
      </c>
      <c r="CI129" s="516">
        <f>SUMIFS(Imput[[Importe Neto]:[Importe Neto]],Imput[[C. Imp.]:[C. Imp.]],$D129,Imput[[PERIODO Imp.]:[PERIODO Imp.]],CI$9)</f>
        <v>0</v>
      </c>
      <c r="CJ129" s="516">
        <f>SUMIFS(Imput[[Importe Neto]:[Importe Neto]],Imput[[C. Imp.]:[C. Imp.]],$D129,Imput[[PERIODO Imp.]:[PERIODO Imp.]],CJ$9)</f>
        <v>0</v>
      </c>
      <c r="CK129" s="516">
        <f>SUMIFS(Imput[[Importe Neto]:[Importe Neto]],Imput[[C. Imp.]:[C. Imp.]],$D129,Imput[[PERIODO Imp.]:[PERIODO Imp.]],CK$9)</f>
        <v>0</v>
      </c>
      <c r="CL129" s="516">
        <f>SUMIFS(Imput[[Importe Neto]:[Importe Neto]],Imput[[C. Imp.]:[C. Imp.]],$D129,Imput[[PERIODO Imp.]:[PERIODO Imp.]],CL$9)</f>
        <v>0</v>
      </c>
      <c r="CM129" s="516">
        <f>SUMIFS(Imput[[Importe Neto]:[Importe Neto]],Imput[[C. Imp.]:[C. Imp.]],$D129,Imput[[PERIODO Imp.]:[PERIODO Imp.]],CM$9)</f>
        <v>0</v>
      </c>
      <c r="CN129" s="516">
        <f>SUMIFS(Imput[[Importe Neto]:[Importe Neto]],Imput[[C. Imp.]:[C. Imp.]],$D129,Imput[[PERIODO Imp.]:[PERIODO Imp.]],CN$9)</f>
        <v>0</v>
      </c>
      <c r="CO129" s="516">
        <f>SUMIFS(Imput[[Importe Neto]:[Importe Neto]],Imput[[C. Imp.]:[C. Imp.]],$D129,Imput[[PERIODO Imp.]:[PERIODO Imp.]],CO$9)</f>
        <v>0</v>
      </c>
      <c r="CP129" s="516">
        <f>SUMIFS(Imput[[Importe Neto]:[Importe Neto]],Imput[[C. Imp.]:[C. Imp.]],$D129,Imput[[PERIODO Imp.]:[PERIODO Imp.]],CP$9)</f>
        <v>0</v>
      </c>
      <c r="CQ129" s="516">
        <f>SUMIFS(Imput[[Importe Neto]:[Importe Neto]],Imput[[C. Imp.]:[C. Imp.]],$D129,Imput[[PERIODO Imp.]:[PERIODO Imp.]],CQ$9)</f>
        <v>0</v>
      </c>
      <c r="CR129" s="516">
        <f>SUMIFS(Imput[[Importe Neto]:[Importe Neto]],Imput[[C. Imp.]:[C. Imp.]],$D129,Imput[[PERIODO Imp.]:[PERIODO Imp.]],CR$9)</f>
        <v>0</v>
      </c>
      <c r="CS129" s="516">
        <f>SUMIFS(Imput[[Importe Neto]:[Importe Neto]],Imput[[C. Imp.]:[C. Imp.]],$D129,Imput[[PERIODO Imp.]:[PERIODO Imp.]],CS$9)</f>
        <v>0</v>
      </c>
      <c r="CT129" s="516">
        <f>SUMIFS(Imput[[Importe Neto]:[Importe Neto]],Imput[[C. Imp.]:[C. Imp.]],$D129,Imput[[PERIODO Imp.]:[PERIODO Imp.]],CT$9)</f>
        <v>0</v>
      </c>
      <c r="CU129" s="516">
        <f>SUMIFS(Imput[[Importe Neto]:[Importe Neto]],Imput[[C. Imp.]:[C. Imp.]],$D129,Imput[[PERIODO Imp.]:[PERIODO Imp.]],CU$9)</f>
        <v>0</v>
      </c>
      <c r="CV129" s="516">
        <f>SUMIFS(Imput[[Importe Neto]:[Importe Neto]],Imput[[C. Imp.]:[C. Imp.]],$D129,Imput[[PERIODO Imp.]:[PERIODO Imp.]],CV$9)</f>
        <v>0</v>
      </c>
      <c r="CW129" s="516">
        <f>SUMIFS(Imput[[Importe Neto]:[Importe Neto]],Imput[[C. Imp.]:[C. Imp.]],$D129,Imput[[PERIODO Imp.]:[PERIODO Imp.]],CW$9)</f>
        <v>0</v>
      </c>
      <c r="CX129" s="516">
        <f>SUMIFS(Imput[[Importe Neto]:[Importe Neto]],Imput[[C. Imp.]:[C. Imp.]],$D129,Imput[[PERIODO Imp.]:[PERIODO Imp.]],CX$9)</f>
        <v>0</v>
      </c>
      <c r="CY129" s="516">
        <f>SUMIFS(Imput[[Importe Neto]:[Importe Neto]],Imput[[C. Imp.]:[C. Imp.]],$D129,Imput[[PERIODO Imp.]:[PERIODO Imp.]],CY$9)</f>
        <v>0</v>
      </c>
      <c r="CZ129" s="516">
        <f>SUMIFS(Imput[[Importe Neto]:[Importe Neto]],Imput[[C. Imp.]:[C. Imp.]],$D129,Imput[[PERIODO Imp.]:[PERIODO Imp.]],CZ$9)</f>
        <v>0</v>
      </c>
      <c r="DA129" s="516">
        <f>SUMIFS(Imput[[Importe Neto]:[Importe Neto]],Imput[[C. Imp.]:[C. Imp.]],$D129,Imput[[PERIODO Imp.]:[PERIODO Imp.]],DA$9)</f>
        <v>0</v>
      </c>
      <c r="DB129" s="516">
        <f>SUMIFS(Imput[[Importe Neto]:[Importe Neto]],Imput[[C. Imp.]:[C. Imp.]],$D129,Imput[[PERIODO Imp.]:[PERIODO Imp.]],DB$9)</f>
        <v>0</v>
      </c>
      <c r="DC129" s="516">
        <f>SUMIFS(Imput[[Importe Neto]:[Importe Neto]],Imput[[C. Imp.]:[C. Imp.]],$D129,Imput[[PERIODO Imp.]:[PERIODO Imp.]],DC$9)</f>
        <v>0</v>
      </c>
      <c r="DD129" s="516">
        <f>SUMIFS(Imput[[Importe Neto]:[Importe Neto]],Imput[[C. Imp.]:[C. Imp.]],$D129,Imput[[PERIODO Imp.]:[PERIODO Imp.]],DD$9)</f>
        <v>0</v>
      </c>
      <c r="DE129" s="516">
        <f>SUMIFS(Imput[[Importe Neto]:[Importe Neto]],Imput[[C. Imp.]:[C. Imp.]],$D129,Imput[[PERIODO Imp.]:[PERIODO Imp.]],DE$9)</f>
        <v>0</v>
      </c>
      <c r="DF129" s="516">
        <f>SUMIFS(Imput[[Importe Neto]:[Importe Neto]],Imput[[C. Imp.]:[C. Imp.]],$D129,Imput[[PERIODO Imp.]:[PERIODO Imp.]],DF$9)</f>
        <v>0</v>
      </c>
      <c r="DG129" s="516">
        <f>SUMIFS(Imput[[Importe Neto]:[Importe Neto]],Imput[[C. Imp.]:[C. Imp.]],$D129,Imput[[PERIODO Imp.]:[PERIODO Imp.]],DG$9)</f>
        <v>0</v>
      </c>
      <c r="DH129" s="616">
        <f>SUMIFS(Imput[[Importe Neto]:[Importe Neto]],Imput[[C. Imp.]:[C. Imp.]],$D129,Imput[[PERIODO Imp.]:[PERIODO Imp.]],DH$9)</f>
        <v>0</v>
      </c>
    </row>
    <row r="130" spans="1:112" outlineLevel="1" x14ac:dyDescent="0.3">
      <c r="A130" s="66" t="str">
        <f t="shared" si="74"/>
        <v>Imprimir</v>
      </c>
      <c r="C130" s="527"/>
      <c r="D130" s="528" t="s">
        <v>2238</v>
      </c>
      <c r="E130" s="528" t="s">
        <v>494</v>
      </c>
      <c r="F130" s="534"/>
      <c r="G130" s="529">
        <v>2803</v>
      </c>
      <c r="H130" s="531">
        <f>Producción!G12*1.155</f>
        <v>19.635000000000002</v>
      </c>
      <c r="I130" s="849">
        <f t="shared" si="75"/>
        <v>1</v>
      </c>
      <c r="J130" s="850">
        <f t="shared" si="76"/>
        <v>55036.905000000006</v>
      </c>
      <c r="K130" s="70"/>
      <c r="L130" s="853">
        <v>0.5</v>
      </c>
      <c r="M130" s="855">
        <v>3.5714285714285712E-2</v>
      </c>
      <c r="N130" s="855">
        <v>3.5714285714285712E-2</v>
      </c>
      <c r="O130" s="855">
        <v>3.5714285714285712E-2</v>
      </c>
      <c r="P130" s="855">
        <v>3.5714285714285712E-2</v>
      </c>
      <c r="Q130" s="855">
        <v>3.5714285714285712E-2</v>
      </c>
      <c r="R130" s="855">
        <v>3.5714285714285712E-2</v>
      </c>
      <c r="S130" s="855">
        <v>3.5714285714285712E-2</v>
      </c>
      <c r="T130" s="855">
        <v>3.5714285714285712E-2</v>
      </c>
      <c r="U130" s="855">
        <v>3.5714285714285712E-2</v>
      </c>
      <c r="V130" s="855">
        <v>3.5714285714285712E-2</v>
      </c>
      <c r="W130" s="855">
        <v>3.5714285714285712E-2</v>
      </c>
      <c r="X130" s="855">
        <v>3.5714285714285712E-2</v>
      </c>
      <c r="Y130" s="855">
        <v>3.5714285714285712E-2</v>
      </c>
      <c r="Z130" s="856">
        <v>3.5714285714285712E-2</v>
      </c>
      <c r="AA130" s="856"/>
      <c r="AB130" s="856"/>
      <c r="AC130" s="856"/>
      <c r="AD130" s="856"/>
      <c r="AE130" s="856"/>
      <c r="AF130" s="856"/>
      <c r="AG130" s="856"/>
      <c r="AH130" s="856"/>
      <c r="AI130" s="856"/>
      <c r="AJ130" s="856"/>
      <c r="AK130" s="856"/>
      <c r="AL130" s="856"/>
      <c r="AM130" s="856"/>
      <c r="AN130" s="856"/>
      <c r="AO130" s="856"/>
      <c r="AP130" s="856"/>
      <c r="AQ130" s="856"/>
      <c r="AR130" s="856"/>
      <c r="AS130" s="856"/>
      <c r="AT130" s="856"/>
      <c r="AU130" s="856"/>
      <c r="AV130" s="856"/>
      <c r="AW130" s="856"/>
      <c r="AX130" s="856"/>
      <c r="AY130" s="856"/>
      <c r="AZ130" s="856"/>
      <c r="BA130" s="856"/>
      <c r="BB130" s="856"/>
      <c r="BC130" s="856"/>
      <c r="BD130" s="856"/>
      <c r="BE130" s="856"/>
      <c r="BF130" s="856"/>
      <c r="BG130" s="857"/>
      <c r="BH130" s="590"/>
      <c r="BI130" s="70"/>
      <c r="BJ130" s="518">
        <f t="shared" si="77"/>
        <v>1.0338444076751772</v>
      </c>
      <c r="BK130" s="517">
        <f t="shared" si="78"/>
        <v>56899.596449999997</v>
      </c>
      <c r="BL130" s="68"/>
      <c r="BM130" s="515">
        <f>SUMIFS(Imput[[Importe Neto]:[Importe Neto]],Imput[[C. Imp.]:[C. Imp.]],$D130,Imput[[PERIODO Imp.]:[PERIODO Imp.]],BM$9)</f>
        <v>0</v>
      </c>
      <c r="BN130" s="516">
        <f>SUMIFS(Imput[[Importe Neto]:[Importe Neto]],Imput[[C. Imp.]:[C. Imp.]],$D130,Imput[[PERIODO Imp.]:[PERIODO Imp.]],BN$9)</f>
        <v>0</v>
      </c>
      <c r="BO130" s="516">
        <f>SUMIFS(Imput[[Importe Neto]:[Importe Neto]],Imput[[C. Imp.]:[C. Imp.]],$D130,Imput[[PERIODO Imp.]:[PERIODO Imp.]],BO$9)</f>
        <v>0</v>
      </c>
      <c r="BP130" s="516">
        <f>SUMIFS(Imput[[Importe Neto]:[Importe Neto]],Imput[[C. Imp.]:[C. Imp.]],$D130,Imput[[PERIODO Imp.]:[PERIODO Imp.]],BP$9)</f>
        <v>56495.951249999998</v>
      </c>
      <c r="BQ130" s="516">
        <f>SUMIFS(Imput[[Importe Neto]:[Importe Neto]],Imput[[C. Imp.]:[C. Imp.]],$D130,Imput[[PERIODO Imp.]:[PERIODO Imp.]],BQ$9)</f>
        <v>0</v>
      </c>
      <c r="BR130" s="516">
        <f>SUMIFS(Imput[[Importe Neto]:[Importe Neto]],Imput[[C. Imp.]:[C. Imp.]],$D130,Imput[[PERIODO Imp.]:[PERIODO Imp.]],BR$9)</f>
        <v>403.64519999999999</v>
      </c>
      <c r="BS130" s="516">
        <f>SUMIFS(Imput[[Importe Neto]:[Importe Neto]],Imput[[C. Imp.]:[C. Imp.]],$D130,Imput[[PERIODO Imp.]:[PERIODO Imp.]],BS$9)</f>
        <v>0</v>
      </c>
      <c r="BT130" s="516">
        <f>SUMIFS(Imput[[Importe Neto]:[Importe Neto]],Imput[[C. Imp.]:[C. Imp.]],$D130,Imput[[PERIODO Imp.]:[PERIODO Imp.]],BT$9)</f>
        <v>0</v>
      </c>
      <c r="BU130" s="516">
        <f>SUMIFS(Imput[[Importe Neto]:[Importe Neto]],Imput[[C. Imp.]:[C. Imp.]],$D130,Imput[[PERIODO Imp.]:[PERIODO Imp.]],BU$9)</f>
        <v>0</v>
      </c>
      <c r="BV130" s="516">
        <f>SUMIFS(Imput[[Importe Neto]:[Importe Neto]],Imput[[C. Imp.]:[C. Imp.]],$D130,Imput[[PERIODO Imp.]:[PERIODO Imp.]],BV$9)</f>
        <v>0</v>
      </c>
      <c r="BW130" s="516">
        <f>SUMIFS(Imput[[Importe Neto]:[Importe Neto]],Imput[[C. Imp.]:[C. Imp.]],$D130,Imput[[PERIODO Imp.]:[PERIODO Imp.]],BW$9)</f>
        <v>0</v>
      </c>
      <c r="BX130" s="516">
        <f>SUMIFS(Imput[[Importe Neto]:[Importe Neto]],Imput[[C. Imp.]:[C. Imp.]],$D130,Imput[[PERIODO Imp.]:[PERIODO Imp.]],BX$9)</f>
        <v>0</v>
      </c>
      <c r="BY130" s="516">
        <f>SUMIFS(Imput[[Importe Neto]:[Importe Neto]],Imput[[C. Imp.]:[C. Imp.]],$D130,Imput[[PERIODO Imp.]:[PERIODO Imp.]],BY$9)</f>
        <v>0</v>
      </c>
      <c r="BZ130" s="516">
        <f>SUMIFS(Imput[[Importe Neto]:[Importe Neto]],Imput[[C. Imp.]:[C. Imp.]],$D130,Imput[[PERIODO Imp.]:[PERIODO Imp.]],BZ$9)</f>
        <v>0</v>
      </c>
      <c r="CA130" s="516">
        <f>SUMIFS(Imput[[Importe Neto]:[Importe Neto]],Imput[[C. Imp.]:[C. Imp.]],$D130,Imput[[PERIODO Imp.]:[PERIODO Imp.]],CA$9)</f>
        <v>0</v>
      </c>
      <c r="CB130" s="516">
        <f>SUMIFS(Imput[[Importe Neto]:[Importe Neto]],Imput[[C. Imp.]:[C. Imp.]],$D130,Imput[[PERIODO Imp.]:[PERIODO Imp.]],CB$9)</f>
        <v>0</v>
      </c>
      <c r="CC130" s="516">
        <f>SUMIFS(Imput[[Importe Neto]:[Importe Neto]],Imput[[C. Imp.]:[C. Imp.]],$D130,Imput[[PERIODO Imp.]:[PERIODO Imp.]],CC$9)</f>
        <v>0</v>
      </c>
      <c r="CD130" s="516">
        <f>SUMIFS(Imput[[Importe Neto]:[Importe Neto]],Imput[[C. Imp.]:[C. Imp.]],$D130,Imput[[PERIODO Imp.]:[PERIODO Imp.]],CD$9)</f>
        <v>0</v>
      </c>
      <c r="CE130" s="516">
        <f>SUMIFS(Imput[[Importe Neto]:[Importe Neto]],Imput[[C. Imp.]:[C. Imp.]],$D130,Imput[[PERIODO Imp.]:[PERIODO Imp.]],CE$9)</f>
        <v>0</v>
      </c>
      <c r="CF130" s="516">
        <f>SUMIFS(Imput[[Importe Neto]:[Importe Neto]],Imput[[C. Imp.]:[C. Imp.]],$D130,Imput[[PERIODO Imp.]:[PERIODO Imp.]],CF$9)</f>
        <v>0</v>
      </c>
      <c r="CG130" s="516">
        <f>SUMIFS(Imput[[Importe Neto]:[Importe Neto]],Imput[[C. Imp.]:[C. Imp.]],$D130,Imput[[PERIODO Imp.]:[PERIODO Imp.]],CG$9)</f>
        <v>0</v>
      </c>
      <c r="CH130" s="516">
        <f>SUMIFS(Imput[[Importe Neto]:[Importe Neto]],Imput[[C. Imp.]:[C. Imp.]],$D130,Imput[[PERIODO Imp.]:[PERIODO Imp.]],CH$9)</f>
        <v>0</v>
      </c>
      <c r="CI130" s="516">
        <f>SUMIFS(Imput[[Importe Neto]:[Importe Neto]],Imput[[C. Imp.]:[C. Imp.]],$D130,Imput[[PERIODO Imp.]:[PERIODO Imp.]],CI$9)</f>
        <v>0</v>
      </c>
      <c r="CJ130" s="516">
        <f>SUMIFS(Imput[[Importe Neto]:[Importe Neto]],Imput[[C. Imp.]:[C. Imp.]],$D130,Imput[[PERIODO Imp.]:[PERIODO Imp.]],CJ$9)</f>
        <v>0</v>
      </c>
      <c r="CK130" s="516">
        <f>SUMIFS(Imput[[Importe Neto]:[Importe Neto]],Imput[[C. Imp.]:[C. Imp.]],$D130,Imput[[PERIODO Imp.]:[PERIODO Imp.]],CK$9)</f>
        <v>0</v>
      </c>
      <c r="CL130" s="516">
        <f>SUMIFS(Imput[[Importe Neto]:[Importe Neto]],Imput[[C. Imp.]:[C. Imp.]],$D130,Imput[[PERIODO Imp.]:[PERIODO Imp.]],CL$9)</f>
        <v>0</v>
      </c>
      <c r="CM130" s="516">
        <f>SUMIFS(Imput[[Importe Neto]:[Importe Neto]],Imput[[C. Imp.]:[C. Imp.]],$D130,Imput[[PERIODO Imp.]:[PERIODO Imp.]],CM$9)</f>
        <v>0</v>
      </c>
      <c r="CN130" s="516">
        <f>SUMIFS(Imput[[Importe Neto]:[Importe Neto]],Imput[[C. Imp.]:[C. Imp.]],$D130,Imput[[PERIODO Imp.]:[PERIODO Imp.]],CN$9)</f>
        <v>0</v>
      </c>
      <c r="CO130" s="516">
        <f>SUMIFS(Imput[[Importe Neto]:[Importe Neto]],Imput[[C. Imp.]:[C. Imp.]],$D130,Imput[[PERIODO Imp.]:[PERIODO Imp.]],CO$9)</f>
        <v>0</v>
      </c>
      <c r="CP130" s="516">
        <f>SUMIFS(Imput[[Importe Neto]:[Importe Neto]],Imput[[C. Imp.]:[C. Imp.]],$D130,Imput[[PERIODO Imp.]:[PERIODO Imp.]],CP$9)</f>
        <v>0</v>
      </c>
      <c r="CQ130" s="516">
        <f>SUMIFS(Imput[[Importe Neto]:[Importe Neto]],Imput[[C. Imp.]:[C. Imp.]],$D130,Imput[[PERIODO Imp.]:[PERIODO Imp.]],CQ$9)</f>
        <v>0</v>
      </c>
      <c r="CR130" s="516">
        <f>SUMIFS(Imput[[Importe Neto]:[Importe Neto]],Imput[[C. Imp.]:[C. Imp.]],$D130,Imput[[PERIODO Imp.]:[PERIODO Imp.]],CR$9)</f>
        <v>0</v>
      </c>
      <c r="CS130" s="516">
        <f>SUMIFS(Imput[[Importe Neto]:[Importe Neto]],Imput[[C. Imp.]:[C. Imp.]],$D130,Imput[[PERIODO Imp.]:[PERIODO Imp.]],CS$9)</f>
        <v>0</v>
      </c>
      <c r="CT130" s="516">
        <f>SUMIFS(Imput[[Importe Neto]:[Importe Neto]],Imput[[C. Imp.]:[C. Imp.]],$D130,Imput[[PERIODO Imp.]:[PERIODO Imp.]],CT$9)</f>
        <v>0</v>
      </c>
      <c r="CU130" s="516">
        <f>SUMIFS(Imput[[Importe Neto]:[Importe Neto]],Imput[[C. Imp.]:[C. Imp.]],$D130,Imput[[PERIODO Imp.]:[PERIODO Imp.]],CU$9)</f>
        <v>0</v>
      </c>
      <c r="CV130" s="516">
        <f>SUMIFS(Imput[[Importe Neto]:[Importe Neto]],Imput[[C. Imp.]:[C. Imp.]],$D130,Imput[[PERIODO Imp.]:[PERIODO Imp.]],CV$9)</f>
        <v>0</v>
      </c>
      <c r="CW130" s="516">
        <f>SUMIFS(Imput[[Importe Neto]:[Importe Neto]],Imput[[C. Imp.]:[C. Imp.]],$D130,Imput[[PERIODO Imp.]:[PERIODO Imp.]],CW$9)</f>
        <v>0</v>
      </c>
      <c r="CX130" s="516">
        <f>SUMIFS(Imput[[Importe Neto]:[Importe Neto]],Imput[[C. Imp.]:[C. Imp.]],$D130,Imput[[PERIODO Imp.]:[PERIODO Imp.]],CX$9)</f>
        <v>0</v>
      </c>
      <c r="CY130" s="516">
        <f>SUMIFS(Imput[[Importe Neto]:[Importe Neto]],Imput[[C. Imp.]:[C. Imp.]],$D130,Imput[[PERIODO Imp.]:[PERIODO Imp.]],CY$9)</f>
        <v>0</v>
      </c>
      <c r="CZ130" s="516">
        <f>SUMIFS(Imput[[Importe Neto]:[Importe Neto]],Imput[[C. Imp.]:[C. Imp.]],$D130,Imput[[PERIODO Imp.]:[PERIODO Imp.]],CZ$9)</f>
        <v>0</v>
      </c>
      <c r="DA130" s="516">
        <f>SUMIFS(Imput[[Importe Neto]:[Importe Neto]],Imput[[C. Imp.]:[C. Imp.]],$D130,Imput[[PERIODO Imp.]:[PERIODO Imp.]],DA$9)</f>
        <v>0</v>
      </c>
      <c r="DB130" s="516">
        <f>SUMIFS(Imput[[Importe Neto]:[Importe Neto]],Imput[[C. Imp.]:[C. Imp.]],$D130,Imput[[PERIODO Imp.]:[PERIODO Imp.]],DB$9)</f>
        <v>0</v>
      </c>
      <c r="DC130" s="516">
        <f>SUMIFS(Imput[[Importe Neto]:[Importe Neto]],Imput[[C. Imp.]:[C. Imp.]],$D130,Imput[[PERIODO Imp.]:[PERIODO Imp.]],DC$9)</f>
        <v>0</v>
      </c>
      <c r="DD130" s="516">
        <f>SUMIFS(Imput[[Importe Neto]:[Importe Neto]],Imput[[C. Imp.]:[C. Imp.]],$D130,Imput[[PERIODO Imp.]:[PERIODO Imp.]],DD$9)</f>
        <v>0</v>
      </c>
      <c r="DE130" s="516">
        <f>SUMIFS(Imput[[Importe Neto]:[Importe Neto]],Imput[[C. Imp.]:[C. Imp.]],$D130,Imput[[PERIODO Imp.]:[PERIODO Imp.]],DE$9)</f>
        <v>0</v>
      </c>
      <c r="DF130" s="516">
        <f>SUMIFS(Imput[[Importe Neto]:[Importe Neto]],Imput[[C. Imp.]:[C. Imp.]],$D130,Imput[[PERIODO Imp.]:[PERIODO Imp.]],DF$9)</f>
        <v>0</v>
      </c>
      <c r="DG130" s="516">
        <f>SUMIFS(Imput[[Importe Neto]:[Importe Neto]],Imput[[C. Imp.]:[C. Imp.]],$D130,Imput[[PERIODO Imp.]:[PERIODO Imp.]],DG$9)</f>
        <v>0</v>
      </c>
      <c r="DH130" s="616">
        <f>SUMIFS(Imput[[Importe Neto]:[Importe Neto]],Imput[[C. Imp.]:[C. Imp.]],$D130,Imput[[PERIODO Imp.]:[PERIODO Imp.]],DH$9)</f>
        <v>0</v>
      </c>
    </row>
    <row r="131" spans="1:112" outlineLevel="1" x14ac:dyDescent="0.3">
      <c r="A131" s="66" t="str">
        <f t="shared" si="74"/>
        <v>Imprimir</v>
      </c>
      <c r="C131" s="527"/>
      <c r="D131" s="528" t="s">
        <v>2239</v>
      </c>
      <c r="E131" s="528" t="s">
        <v>495</v>
      </c>
      <c r="F131" s="534"/>
      <c r="G131" s="529">
        <v>600</v>
      </c>
      <c r="H131" s="531">
        <f>Producción!G12*0.0242</f>
        <v>0.41139999999999999</v>
      </c>
      <c r="I131" s="849">
        <f t="shared" si="75"/>
        <v>1</v>
      </c>
      <c r="J131" s="850">
        <f t="shared" si="76"/>
        <v>246.84</v>
      </c>
      <c r="K131" s="70"/>
      <c r="L131" s="853">
        <v>1</v>
      </c>
      <c r="M131" s="855"/>
      <c r="N131" s="855"/>
      <c r="O131" s="855"/>
      <c r="P131" s="855"/>
      <c r="Q131" s="855"/>
      <c r="R131" s="855"/>
      <c r="S131" s="855"/>
      <c r="T131" s="855"/>
      <c r="U131" s="855"/>
      <c r="V131" s="855"/>
      <c r="W131" s="855"/>
      <c r="X131" s="855"/>
      <c r="Y131" s="855"/>
      <c r="Z131" s="856"/>
      <c r="AA131" s="856"/>
      <c r="AB131" s="856"/>
      <c r="AC131" s="856"/>
      <c r="AD131" s="856"/>
      <c r="AE131" s="856"/>
      <c r="AF131" s="856"/>
      <c r="AG131" s="856"/>
      <c r="AH131" s="856"/>
      <c r="AI131" s="856"/>
      <c r="AJ131" s="856"/>
      <c r="AK131" s="856"/>
      <c r="AL131" s="856"/>
      <c r="AM131" s="856"/>
      <c r="AN131" s="856"/>
      <c r="AO131" s="856"/>
      <c r="AP131" s="856"/>
      <c r="AQ131" s="856"/>
      <c r="AR131" s="856"/>
      <c r="AS131" s="856"/>
      <c r="AT131" s="856"/>
      <c r="AU131" s="856"/>
      <c r="AV131" s="856"/>
      <c r="AW131" s="856"/>
      <c r="AX131" s="856"/>
      <c r="AY131" s="856"/>
      <c r="AZ131" s="856"/>
      <c r="BA131" s="856"/>
      <c r="BB131" s="856"/>
      <c r="BC131" s="856"/>
      <c r="BD131" s="856"/>
      <c r="BE131" s="856"/>
      <c r="BF131" s="856"/>
      <c r="BG131" s="857"/>
      <c r="BH131" s="590"/>
      <c r="BI131" s="70"/>
      <c r="BJ131" s="518">
        <f t="shared" si="77"/>
        <v>0</v>
      </c>
      <c r="BK131" s="517">
        <f t="shared" si="78"/>
        <v>0</v>
      </c>
      <c r="BL131" s="68"/>
      <c r="BM131" s="515">
        <f>SUMIFS(Imput[[Importe Neto]:[Importe Neto]],Imput[[C. Imp.]:[C. Imp.]],$D131,Imput[[PERIODO Imp.]:[PERIODO Imp.]],BM$9)</f>
        <v>0</v>
      </c>
      <c r="BN131" s="516">
        <f>SUMIFS(Imput[[Importe Neto]:[Importe Neto]],Imput[[C. Imp.]:[C. Imp.]],$D131,Imput[[PERIODO Imp.]:[PERIODO Imp.]],BN$9)</f>
        <v>0</v>
      </c>
      <c r="BO131" s="516">
        <f>SUMIFS(Imput[[Importe Neto]:[Importe Neto]],Imput[[C. Imp.]:[C. Imp.]],$D131,Imput[[PERIODO Imp.]:[PERIODO Imp.]],BO$9)</f>
        <v>0</v>
      </c>
      <c r="BP131" s="516">
        <f>SUMIFS(Imput[[Importe Neto]:[Importe Neto]],Imput[[C. Imp.]:[C. Imp.]],$D131,Imput[[PERIODO Imp.]:[PERIODO Imp.]],BP$9)</f>
        <v>0</v>
      </c>
      <c r="BQ131" s="516">
        <f>SUMIFS(Imput[[Importe Neto]:[Importe Neto]],Imput[[C. Imp.]:[C. Imp.]],$D131,Imput[[PERIODO Imp.]:[PERIODO Imp.]],BQ$9)</f>
        <v>0</v>
      </c>
      <c r="BR131" s="516">
        <f>SUMIFS(Imput[[Importe Neto]:[Importe Neto]],Imput[[C. Imp.]:[C. Imp.]],$D131,Imput[[PERIODO Imp.]:[PERIODO Imp.]],BR$9)</f>
        <v>0</v>
      </c>
      <c r="BS131" s="516">
        <f>SUMIFS(Imput[[Importe Neto]:[Importe Neto]],Imput[[C. Imp.]:[C. Imp.]],$D131,Imput[[PERIODO Imp.]:[PERIODO Imp.]],BS$9)</f>
        <v>0</v>
      </c>
      <c r="BT131" s="516">
        <f>SUMIFS(Imput[[Importe Neto]:[Importe Neto]],Imput[[C. Imp.]:[C. Imp.]],$D131,Imput[[PERIODO Imp.]:[PERIODO Imp.]],BT$9)</f>
        <v>0</v>
      </c>
      <c r="BU131" s="516">
        <f>SUMIFS(Imput[[Importe Neto]:[Importe Neto]],Imput[[C. Imp.]:[C. Imp.]],$D131,Imput[[PERIODO Imp.]:[PERIODO Imp.]],BU$9)</f>
        <v>0</v>
      </c>
      <c r="BV131" s="516">
        <f>SUMIFS(Imput[[Importe Neto]:[Importe Neto]],Imput[[C. Imp.]:[C. Imp.]],$D131,Imput[[PERIODO Imp.]:[PERIODO Imp.]],BV$9)</f>
        <v>0</v>
      </c>
      <c r="BW131" s="516">
        <f>SUMIFS(Imput[[Importe Neto]:[Importe Neto]],Imput[[C. Imp.]:[C. Imp.]],$D131,Imput[[PERIODO Imp.]:[PERIODO Imp.]],BW$9)</f>
        <v>0</v>
      </c>
      <c r="BX131" s="516">
        <f>SUMIFS(Imput[[Importe Neto]:[Importe Neto]],Imput[[C. Imp.]:[C. Imp.]],$D131,Imput[[PERIODO Imp.]:[PERIODO Imp.]],BX$9)</f>
        <v>0</v>
      </c>
      <c r="BY131" s="516">
        <f>SUMIFS(Imput[[Importe Neto]:[Importe Neto]],Imput[[C. Imp.]:[C. Imp.]],$D131,Imput[[PERIODO Imp.]:[PERIODO Imp.]],BY$9)</f>
        <v>0</v>
      </c>
      <c r="BZ131" s="516">
        <f>SUMIFS(Imput[[Importe Neto]:[Importe Neto]],Imput[[C. Imp.]:[C. Imp.]],$D131,Imput[[PERIODO Imp.]:[PERIODO Imp.]],BZ$9)</f>
        <v>0</v>
      </c>
      <c r="CA131" s="516">
        <f>SUMIFS(Imput[[Importe Neto]:[Importe Neto]],Imput[[C. Imp.]:[C. Imp.]],$D131,Imput[[PERIODO Imp.]:[PERIODO Imp.]],CA$9)</f>
        <v>0</v>
      </c>
      <c r="CB131" s="516">
        <f>SUMIFS(Imput[[Importe Neto]:[Importe Neto]],Imput[[C. Imp.]:[C. Imp.]],$D131,Imput[[PERIODO Imp.]:[PERIODO Imp.]],CB$9)</f>
        <v>0</v>
      </c>
      <c r="CC131" s="516">
        <f>SUMIFS(Imput[[Importe Neto]:[Importe Neto]],Imput[[C. Imp.]:[C. Imp.]],$D131,Imput[[PERIODO Imp.]:[PERIODO Imp.]],CC$9)</f>
        <v>0</v>
      </c>
      <c r="CD131" s="516">
        <f>SUMIFS(Imput[[Importe Neto]:[Importe Neto]],Imput[[C. Imp.]:[C. Imp.]],$D131,Imput[[PERIODO Imp.]:[PERIODO Imp.]],CD$9)</f>
        <v>0</v>
      </c>
      <c r="CE131" s="516">
        <f>SUMIFS(Imput[[Importe Neto]:[Importe Neto]],Imput[[C. Imp.]:[C. Imp.]],$D131,Imput[[PERIODO Imp.]:[PERIODO Imp.]],CE$9)</f>
        <v>0</v>
      </c>
      <c r="CF131" s="516">
        <f>SUMIFS(Imput[[Importe Neto]:[Importe Neto]],Imput[[C. Imp.]:[C. Imp.]],$D131,Imput[[PERIODO Imp.]:[PERIODO Imp.]],CF$9)</f>
        <v>0</v>
      </c>
      <c r="CG131" s="516">
        <f>SUMIFS(Imput[[Importe Neto]:[Importe Neto]],Imput[[C. Imp.]:[C. Imp.]],$D131,Imput[[PERIODO Imp.]:[PERIODO Imp.]],CG$9)</f>
        <v>0</v>
      </c>
      <c r="CH131" s="516">
        <f>SUMIFS(Imput[[Importe Neto]:[Importe Neto]],Imput[[C. Imp.]:[C. Imp.]],$D131,Imput[[PERIODO Imp.]:[PERIODO Imp.]],CH$9)</f>
        <v>0</v>
      </c>
      <c r="CI131" s="516">
        <f>SUMIFS(Imput[[Importe Neto]:[Importe Neto]],Imput[[C. Imp.]:[C. Imp.]],$D131,Imput[[PERIODO Imp.]:[PERIODO Imp.]],CI$9)</f>
        <v>0</v>
      </c>
      <c r="CJ131" s="516">
        <f>SUMIFS(Imput[[Importe Neto]:[Importe Neto]],Imput[[C. Imp.]:[C. Imp.]],$D131,Imput[[PERIODO Imp.]:[PERIODO Imp.]],CJ$9)</f>
        <v>0</v>
      </c>
      <c r="CK131" s="516">
        <f>SUMIFS(Imput[[Importe Neto]:[Importe Neto]],Imput[[C. Imp.]:[C. Imp.]],$D131,Imput[[PERIODO Imp.]:[PERIODO Imp.]],CK$9)</f>
        <v>0</v>
      </c>
      <c r="CL131" s="516">
        <f>SUMIFS(Imput[[Importe Neto]:[Importe Neto]],Imput[[C. Imp.]:[C. Imp.]],$D131,Imput[[PERIODO Imp.]:[PERIODO Imp.]],CL$9)</f>
        <v>0</v>
      </c>
      <c r="CM131" s="516">
        <f>SUMIFS(Imput[[Importe Neto]:[Importe Neto]],Imput[[C. Imp.]:[C. Imp.]],$D131,Imput[[PERIODO Imp.]:[PERIODO Imp.]],CM$9)</f>
        <v>0</v>
      </c>
      <c r="CN131" s="516">
        <f>SUMIFS(Imput[[Importe Neto]:[Importe Neto]],Imput[[C. Imp.]:[C. Imp.]],$D131,Imput[[PERIODO Imp.]:[PERIODO Imp.]],CN$9)</f>
        <v>0</v>
      </c>
      <c r="CO131" s="516">
        <f>SUMIFS(Imput[[Importe Neto]:[Importe Neto]],Imput[[C. Imp.]:[C. Imp.]],$D131,Imput[[PERIODO Imp.]:[PERIODO Imp.]],CO$9)</f>
        <v>0</v>
      </c>
      <c r="CP131" s="516">
        <f>SUMIFS(Imput[[Importe Neto]:[Importe Neto]],Imput[[C. Imp.]:[C. Imp.]],$D131,Imput[[PERIODO Imp.]:[PERIODO Imp.]],CP$9)</f>
        <v>0</v>
      </c>
      <c r="CQ131" s="516">
        <f>SUMIFS(Imput[[Importe Neto]:[Importe Neto]],Imput[[C. Imp.]:[C. Imp.]],$D131,Imput[[PERIODO Imp.]:[PERIODO Imp.]],CQ$9)</f>
        <v>0</v>
      </c>
      <c r="CR131" s="516">
        <f>SUMIFS(Imput[[Importe Neto]:[Importe Neto]],Imput[[C. Imp.]:[C. Imp.]],$D131,Imput[[PERIODO Imp.]:[PERIODO Imp.]],CR$9)</f>
        <v>0</v>
      </c>
      <c r="CS131" s="516">
        <f>SUMIFS(Imput[[Importe Neto]:[Importe Neto]],Imput[[C. Imp.]:[C. Imp.]],$D131,Imput[[PERIODO Imp.]:[PERIODO Imp.]],CS$9)</f>
        <v>0</v>
      </c>
      <c r="CT131" s="516">
        <f>SUMIFS(Imput[[Importe Neto]:[Importe Neto]],Imput[[C. Imp.]:[C. Imp.]],$D131,Imput[[PERIODO Imp.]:[PERIODO Imp.]],CT$9)</f>
        <v>0</v>
      </c>
      <c r="CU131" s="516">
        <f>SUMIFS(Imput[[Importe Neto]:[Importe Neto]],Imput[[C. Imp.]:[C. Imp.]],$D131,Imput[[PERIODO Imp.]:[PERIODO Imp.]],CU$9)</f>
        <v>0</v>
      </c>
      <c r="CV131" s="516">
        <f>SUMIFS(Imput[[Importe Neto]:[Importe Neto]],Imput[[C. Imp.]:[C. Imp.]],$D131,Imput[[PERIODO Imp.]:[PERIODO Imp.]],CV$9)</f>
        <v>0</v>
      </c>
      <c r="CW131" s="516">
        <f>SUMIFS(Imput[[Importe Neto]:[Importe Neto]],Imput[[C. Imp.]:[C. Imp.]],$D131,Imput[[PERIODO Imp.]:[PERIODO Imp.]],CW$9)</f>
        <v>0</v>
      </c>
      <c r="CX131" s="516">
        <f>SUMIFS(Imput[[Importe Neto]:[Importe Neto]],Imput[[C. Imp.]:[C. Imp.]],$D131,Imput[[PERIODO Imp.]:[PERIODO Imp.]],CX$9)</f>
        <v>0</v>
      </c>
      <c r="CY131" s="516">
        <f>SUMIFS(Imput[[Importe Neto]:[Importe Neto]],Imput[[C. Imp.]:[C. Imp.]],$D131,Imput[[PERIODO Imp.]:[PERIODO Imp.]],CY$9)</f>
        <v>0</v>
      </c>
      <c r="CZ131" s="516">
        <f>SUMIFS(Imput[[Importe Neto]:[Importe Neto]],Imput[[C. Imp.]:[C. Imp.]],$D131,Imput[[PERIODO Imp.]:[PERIODO Imp.]],CZ$9)</f>
        <v>0</v>
      </c>
      <c r="DA131" s="516">
        <f>SUMIFS(Imput[[Importe Neto]:[Importe Neto]],Imput[[C. Imp.]:[C. Imp.]],$D131,Imput[[PERIODO Imp.]:[PERIODO Imp.]],DA$9)</f>
        <v>0</v>
      </c>
      <c r="DB131" s="516">
        <f>SUMIFS(Imput[[Importe Neto]:[Importe Neto]],Imput[[C. Imp.]:[C. Imp.]],$D131,Imput[[PERIODO Imp.]:[PERIODO Imp.]],DB$9)</f>
        <v>0</v>
      </c>
      <c r="DC131" s="516">
        <f>SUMIFS(Imput[[Importe Neto]:[Importe Neto]],Imput[[C. Imp.]:[C. Imp.]],$D131,Imput[[PERIODO Imp.]:[PERIODO Imp.]],DC$9)</f>
        <v>0</v>
      </c>
      <c r="DD131" s="516">
        <f>SUMIFS(Imput[[Importe Neto]:[Importe Neto]],Imput[[C. Imp.]:[C. Imp.]],$D131,Imput[[PERIODO Imp.]:[PERIODO Imp.]],DD$9)</f>
        <v>0</v>
      </c>
      <c r="DE131" s="516">
        <f>SUMIFS(Imput[[Importe Neto]:[Importe Neto]],Imput[[C. Imp.]:[C. Imp.]],$D131,Imput[[PERIODO Imp.]:[PERIODO Imp.]],DE$9)</f>
        <v>0</v>
      </c>
      <c r="DF131" s="516">
        <f>SUMIFS(Imput[[Importe Neto]:[Importe Neto]],Imput[[C. Imp.]:[C. Imp.]],$D131,Imput[[PERIODO Imp.]:[PERIODO Imp.]],DF$9)</f>
        <v>0</v>
      </c>
      <c r="DG131" s="516">
        <f>SUMIFS(Imput[[Importe Neto]:[Importe Neto]],Imput[[C. Imp.]:[C. Imp.]],$D131,Imput[[PERIODO Imp.]:[PERIODO Imp.]],DG$9)</f>
        <v>0</v>
      </c>
      <c r="DH131" s="616">
        <f>SUMIFS(Imput[[Importe Neto]:[Importe Neto]],Imput[[C. Imp.]:[C. Imp.]],$D131,Imput[[PERIODO Imp.]:[PERIODO Imp.]],DH$9)</f>
        <v>0</v>
      </c>
    </row>
    <row r="132" spans="1:112" outlineLevel="1" x14ac:dyDescent="0.3">
      <c r="A132" s="66" t="str">
        <f t="shared" si="74"/>
        <v>Imprimir</v>
      </c>
      <c r="C132" s="527"/>
      <c r="D132" s="528" t="s">
        <v>2240</v>
      </c>
      <c r="E132" s="528" t="s">
        <v>496</v>
      </c>
      <c r="F132" s="534"/>
      <c r="G132" s="529">
        <v>450</v>
      </c>
      <c r="H132" s="531">
        <f>Producción!G12*0.024</f>
        <v>0.40800000000000003</v>
      </c>
      <c r="I132" s="849">
        <f t="shared" si="75"/>
        <v>1</v>
      </c>
      <c r="J132" s="850">
        <f t="shared" si="76"/>
        <v>183.60000000000002</v>
      </c>
      <c r="K132" s="70"/>
      <c r="L132" s="853">
        <v>1</v>
      </c>
      <c r="M132" s="855"/>
      <c r="N132" s="855"/>
      <c r="O132" s="855"/>
      <c r="P132" s="855"/>
      <c r="Q132" s="855"/>
      <c r="R132" s="855"/>
      <c r="S132" s="855"/>
      <c r="T132" s="855"/>
      <c r="U132" s="855"/>
      <c r="V132" s="855"/>
      <c r="W132" s="855"/>
      <c r="X132" s="855"/>
      <c r="Y132" s="855"/>
      <c r="Z132" s="856"/>
      <c r="AA132" s="856"/>
      <c r="AB132" s="856"/>
      <c r="AC132" s="856"/>
      <c r="AD132" s="856"/>
      <c r="AE132" s="856"/>
      <c r="AF132" s="856"/>
      <c r="AG132" s="856"/>
      <c r="AH132" s="856"/>
      <c r="AI132" s="856"/>
      <c r="AJ132" s="856"/>
      <c r="AK132" s="856"/>
      <c r="AL132" s="856"/>
      <c r="AM132" s="856"/>
      <c r="AN132" s="856"/>
      <c r="AO132" s="856"/>
      <c r="AP132" s="856"/>
      <c r="AQ132" s="856"/>
      <c r="AR132" s="856"/>
      <c r="AS132" s="856"/>
      <c r="AT132" s="856"/>
      <c r="AU132" s="856"/>
      <c r="AV132" s="856"/>
      <c r="AW132" s="856"/>
      <c r="AX132" s="856"/>
      <c r="AY132" s="856"/>
      <c r="AZ132" s="856"/>
      <c r="BA132" s="856"/>
      <c r="BB132" s="856"/>
      <c r="BC132" s="856"/>
      <c r="BD132" s="856"/>
      <c r="BE132" s="856"/>
      <c r="BF132" s="856"/>
      <c r="BG132" s="857"/>
      <c r="BH132" s="590"/>
      <c r="BI132" s="70"/>
      <c r="BJ132" s="518">
        <f t="shared" si="77"/>
        <v>0</v>
      </c>
      <c r="BK132" s="517">
        <f t="shared" si="78"/>
        <v>0</v>
      </c>
      <c r="BL132" s="68"/>
      <c r="BM132" s="515">
        <f>SUMIFS(Imput[[Importe Neto]:[Importe Neto]],Imput[[C. Imp.]:[C. Imp.]],$D132,Imput[[PERIODO Imp.]:[PERIODO Imp.]],BM$9)</f>
        <v>0</v>
      </c>
      <c r="BN132" s="516">
        <f>SUMIFS(Imput[[Importe Neto]:[Importe Neto]],Imput[[C. Imp.]:[C. Imp.]],$D132,Imput[[PERIODO Imp.]:[PERIODO Imp.]],BN$9)</f>
        <v>0</v>
      </c>
      <c r="BO132" s="516">
        <f>SUMIFS(Imput[[Importe Neto]:[Importe Neto]],Imput[[C. Imp.]:[C. Imp.]],$D132,Imput[[PERIODO Imp.]:[PERIODO Imp.]],BO$9)</f>
        <v>0</v>
      </c>
      <c r="BP132" s="516">
        <f>SUMIFS(Imput[[Importe Neto]:[Importe Neto]],Imput[[C. Imp.]:[C. Imp.]],$D132,Imput[[PERIODO Imp.]:[PERIODO Imp.]],BP$9)</f>
        <v>0</v>
      </c>
      <c r="BQ132" s="516">
        <f>SUMIFS(Imput[[Importe Neto]:[Importe Neto]],Imput[[C. Imp.]:[C. Imp.]],$D132,Imput[[PERIODO Imp.]:[PERIODO Imp.]],BQ$9)</f>
        <v>0</v>
      </c>
      <c r="BR132" s="516">
        <f>SUMIFS(Imput[[Importe Neto]:[Importe Neto]],Imput[[C. Imp.]:[C. Imp.]],$D132,Imput[[PERIODO Imp.]:[PERIODO Imp.]],BR$9)</f>
        <v>0</v>
      </c>
      <c r="BS132" s="516">
        <f>SUMIFS(Imput[[Importe Neto]:[Importe Neto]],Imput[[C. Imp.]:[C. Imp.]],$D132,Imput[[PERIODO Imp.]:[PERIODO Imp.]],BS$9)</f>
        <v>0</v>
      </c>
      <c r="BT132" s="516">
        <f>SUMIFS(Imput[[Importe Neto]:[Importe Neto]],Imput[[C. Imp.]:[C. Imp.]],$D132,Imput[[PERIODO Imp.]:[PERIODO Imp.]],BT$9)</f>
        <v>0</v>
      </c>
      <c r="BU132" s="516">
        <f>SUMIFS(Imput[[Importe Neto]:[Importe Neto]],Imput[[C. Imp.]:[C. Imp.]],$D132,Imput[[PERIODO Imp.]:[PERIODO Imp.]],BU$9)</f>
        <v>0</v>
      </c>
      <c r="BV132" s="516">
        <f>SUMIFS(Imput[[Importe Neto]:[Importe Neto]],Imput[[C. Imp.]:[C. Imp.]],$D132,Imput[[PERIODO Imp.]:[PERIODO Imp.]],BV$9)</f>
        <v>0</v>
      </c>
      <c r="BW132" s="516">
        <f>SUMIFS(Imput[[Importe Neto]:[Importe Neto]],Imput[[C. Imp.]:[C. Imp.]],$D132,Imput[[PERIODO Imp.]:[PERIODO Imp.]],BW$9)</f>
        <v>0</v>
      </c>
      <c r="BX132" s="516">
        <f>SUMIFS(Imput[[Importe Neto]:[Importe Neto]],Imput[[C. Imp.]:[C. Imp.]],$D132,Imput[[PERIODO Imp.]:[PERIODO Imp.]],BX$9)</f>
        <v>0</v>
      </c>
      <c r="BY132" s="516">
        <f>SUMIFS(Imput[[Importe Neto]:[Importe Neto]],Imput[[C. Imp.]:[C. Imp.]],$D132,Imput[[PERIODO Imp.]:[PERIODO Imp.]],BY$9)</f>
        <v>0</v>
      </c>
      <c r="BZ132" s="516">
        <f>SUMIFS(Imput[[Importe Neto]:[Importe Neto]],Imput[[C. Imp.]:[C. Imp.]],$D132,Imput[[PERIODO Imp.]:[PERIODO Imp.]],BZ$9)</f>
        <v>0</v>
      </c>
      <c r="CA132" s="516">
        <f>SUMIFS(Imput[[Importe Neto]:[Importe Neto]],Imput[[C. Imp.]:[C. Imp.]],$D132,Imput[[PERIODO Imp.]:[PERIODO Imp.]],CA$9)</f>
        <v>0</v>
      </c>
      <c r="CB132" s="516">
        <f>SUMIFS(Imput[[Importe Neto]:[Importe Neto]],Imput[[C. Imp.]:[C. Imp.]],$D132,Imput[[PERIODO Imp.]:[PERIODO Imp.]],CB$9)</f>
        <v>0</v>
      </c>
      <c r="CC132" s="516">
        <f>SUMIFS(Imput[[Importe Neto]:[Importe Neto]],Imput[[C. Imp.]:[C. Imp.]],$D132,Imput[[PERIODO Imp.]:[PERIODO Imp.]],CC$9)</f>
        <v>0</v>
      </c>
      <c r="CD132" s="516">
        <f>SUMIFS(Imput[[Importe Neto]:[Importe Neto]],Imput[[C. Imp.]:[C. Imp.]],$D132,Imput[[PERIODO Imp.]:[PERIODO Imp.]],CD$9)</f>
        <v>0</v>
      </c>
      <c r="CE132" s="516">
        <f>SUMIFS(Imput[[Importe Neto]:[Importe Neto]],Imput[[C. Imp.]:[C. Imp.]],$D132,Imput[[PERIODO Imp.]:[PERIODO Imp.]],CE$9)</f>
        <v>0</v>
      </c>
      <c r="CF132" s="516">
        <f>SUMIFS(Imput[[Importe Neto]:[Importe Neto]],Imput[[C. Imp.]:[C. Imp.]],$D132,Imput[[PERIODO Imp.]:[PERIODO Imp.]],CF$9)</f>
        <v>0</v>
      </c>
      <c r="CG132" s="516">
        <f>SUMIFS(Imput[[Importe Neto]:[Importe Neto]],Imput[[C. Imp.]:[C. Imp.]],$D132,Imput[[PERIODO Imp.]:[PERIODO Imp.]],CG$9)</f>
        <v>0</v>
      </c>
      <c r="CH132" s="516">
        <f>SUMIFS(Imput[[Importe Neto]:[Importe Neto]],Imput[[C. Imp.]:[C. Imp.]],$D132,Imput[[PERIODO Imp.]:[PERIODO Imp.]],CH$9)</f>
        <v>0</v>
      </c>
      <c r="CI132" s="516">
        <f>SUMIFS(Imput[[Importe Neto]:[Importe Neto]],Imput[[C. Imp.]:[C. Imp.]],$D132,Imput[[PERIODO Imp.]:[PERIODO Imp.]],CI$9)</f>
        <v>0</v>
      </c>
      <c r="CJ132" s="516">
        <f>SUMIFS(Imput[[Importe Neto]:[Importe Neto]],Imput[[C. Imp.]:[C. Imp.]],$D132,Imput[[PERIODO Imp.]:[PERIODO Imp.]],CJ$9)</f>
        <v>0</v>
      </c>
      <c r="CK132" s="516">
        <f>SUMIFS(Imput[[Importe Neto]:[Importe Neto]],Imput[[C. Imp.]:[C. Imp.]],$D132,Imput[[PERIODO Imp.]:[PERIODO Imp.]],CK$9)</f>
        <v>0</v>
      </c>
      <c r="CL132" s="516">
        <f>SUMIFS(Imput[[Importe Neto]:[Importe Neto]],Imput[[C. Imp.]:[C. Imp.]],$D132,Imput[[PERIODO Imp.]:[PERIODO Imp.]],CL$9)</f>
        <v>0</v>
      </c>
      <c r="CM132" s="516">
        <f>SUMIFS(Imput[[Importe Neto]:[Importe Neto]],Imput[[C. Imp.]:[C. Imp.]],$D132,Imput[[PERIODO Imp.]:[PERIODO Imp.]],CM$9)</f>
        <v>0</v>
      </c>
      <c r="CN132" s="516">
        <f>SUMIFS(Imput[[Importe Neto]:[Importe Neto]],Imput[[C. Imp.]:[C. Imp.]],$D132,Imput[[PERIODO Imp.]:[PERIODO Imp.]],CN$9)</f>
        <v>0</v>
      </c>
      <c r="CO132" s="516">
        <f>SUMIFS(Imput[[Importe Neto]:[Importe Neto]],Imput[[C. Imp.]:[C. Imp.]],$D132,Imput[[PERIODO Imp.]:[PERIODO Imp.]],CO$9)</f>
        <v>0</v>
      </c>
      <c r="CP132" s="516">
        <f>SUMIFS(Imput[[Importe Neto]:[Importe Neto]],Imput[[C. Imp.]:[C. Imp.]],$D132,Imput[[PERIODO Imp.]:[PERIODO Imp.]],CP$9)</f>
        <v>0</v>
      </c>
      <c r="CQ132" s="516">
        <f>SUMIFS(Imput[[Importe Neto]:[Importe Neto]],Imput[[C. Imp.]:[C. Imp.]],$D132,Imput[[PERIODO Imp.]:[PERIODO Imp.]],CQ$9)</f>
        <v>0</v>
      </c>
      <c r="CR132" s="516">
        <f>SUMIFS(Imput[[Importe Neto]:[Importe Neto]],Imput[[C. Imp.]:[C. Imp.]],$D132,Imput[[PERIODO Imp.]:[PERIODO Imp.]],CR$9)</f>
        <v>0</v>
      </c>
      <c r="CS132" s="516">
        <f>SUMIFS(Imput[[Importe Neto]:[Importe Neto]],Imput[[C. Imp.]:[C. Imp.]],$D132,Imput[[PERIODO Imp.]:[PERIODO Imp.]],CS$9)</f>
        <v>0</v>
      </c>
      <c r="CT132" s="516">
        <f>SUMIFS(Imput[[Importe Neto]:[Importe Neto]],Imput[[C. Imp.]:[C. Imp.]],$D132,Imput[[PERIODO Imp.]:[PERIODO Imp.]],CT$9)</f>
        <v>0</v>
      </c>
      <c r="CU132" s="516">
        <f>SUMIFS(Imput[[Importe Neto]:[Importe Neto]],Imput[[C. Imp.]:[C. Imp.]],$D132,Imput[[PERIODO Imp.]:[PERIODO Imp.]],CU$9)</f>
        <v>0</v>
      </c>
      <c r="CV132" s="516">
        <f>SUMIFS(Imput[[Importe Neto]:[Importe Neto]],Imput[[C. Imp.]:[C. Imp.]],$D132,Imput[[PERIODO Imp.]:[PERIODO Imp.]],CV$9)</f>
        <v>0</v>
      </c>
      <c r="CW132" s="516">
        <f>SUMIFS(Imput[[Importe Neto]:[Importe Neto]],Imput[[C. Imp.]:[C. Imp.]],$D132,Imput[[PERIODO Imp.]:[PERIODO Imp.]],CW$9)</f>
        <v>0</v>
      </c>
      <c r="CX132" s="516">
        <f>SUMIFS(Imput[[Importe Neto]:[Importe Neto]],Imput[[C. Imp.]:[C. Imp.]],$D132,Imput[[PERIODO Imp.]:[PERIODO Imp.]],CX$9)</f>
        <v>0</v>
      </c>
      <c r="CY132" s="516">
        <f>SUMIFS(Imput[[Importe Neto]:[Importe Neto]],Imput[[C. Imp.]:[C. Imp.]],$D132,Imput[[PERIODO Imp.]:[PERIODO Imp.]],CY$9)</f>
        <v>0</v>
      </c>
      <c r="CZ132" s="516">
        <f>SUMIFS(Imput[[Importe Neto]:[Importe Neto]],Imput[[C. Imp.]:[C. Imp.]],$D132,Imput[[PERIODO Imp.]:[PERIODO Imp.]],CZ$9)</f>
        <v>0</v>
      </c>
      <c r="DA132" s="516">
        <f>SUMIFS(Imput[[Importe Neto]:[Importe Neto]],Imput[[C. Imp.]:[C. Imp.]],$D132,Imput[[PERIODO Imp.]:[PERIODO Imp.]],DA$9)</f>
        <v>0</v>
      </c>
      <c r="DB132" s="516">
        <f>SUMIFS(Imput[[Importe Neto]:[Importe Neto]],Imput[[C. Imp.]:[C. Imp.]],$D132,Imput[[PERIODO Imp.]:[PERIODO Imp.]],DB$9)</f>
        <v>0</v>
      </c>
      <c r="DC132" s="516">
        <f>SUMIFS(Imput[[Importe Neto]:[Importe Neto]],Imput[[C. Imp.]:[C. Imp.]],$D132,Imput[[PERIODO Imp.]:[PERIODO Imp.]],DC$9)</f>
        <v>0</v>
      </c>
      <c r="DD132" s="516">
        <f>SUMIFS(Imput[[Importe Neto]:[Importe Neto]],Imput[[C. Imp.]:[C. Imp.]],$D132,Imput[[PERIODO Imp.]:[PERIODO Imp.]],DD$9)</f>
        <v>0</v>
      </c>
      <c r="DE132" s="516">
        <f>SUMIFS(Imput[[Importe Neto]:[Importe Neto]],Imput[[C. Imp.]:[C. Imp.]],$D132,Imput[[PERIODO Imp.]:[PERIODO Imp.]],DE$9)</f>
        <v>0</v>
      </c>
      <c r="DF132" s="516">
        <f>SUMIFS(Imput[[Importe Neto]:[Importe Neto]],Imput[[C. Imp.]:[C. Imp.]],$D132,Imput[[PERIODO Imp.]:[PERIODO Imp.]],DF$9)</f>
        <v>0</v>
      </c>
      <c r="DG132" s="516">
        <f>SUMIFS(Imput[[Importe Neto]:[Importe Neto]],Imput[[C. Imp.]:[C. Imp.]],$D132,Imput[[PERIODO Imp.]:[PERIODO Imp.]],DG$9)</f>
        <v>0</v>
      </c>
      <c r="DH132" s="616">
        <f>SUMIFS(Imput[[Importe Neto]:[Importe Neto]],Imput[[C. Imp.]:[C. Imp.]],$D132,Imput[[PERIODO Imp.]:[PERIODO Imp.]],DH$9)</f>
        <v>0</v>
      </c>
    </row>
    <row r="133" spans="1:112" outlineLevel="1" x14ac:dyDescent="0.3">
      <c r="A133" s="66" t="str">
        <f t="shared" si="74"/>
        <v>Imprimir</v>
      </c>
      <c r="C133" s="527"/>
      <c r="D133" s="528" t="s">
        <v>2241</v>
      </c>
      <c r="E133" s="528" t="s">
        <v>497</v>
      </c>
      <c r="F133" s="534"/>
      <c r="G133" s="529">
        <v>9.8333333333333339</v>
      </c>
      <c r="H133" s="531">
        <f>Producción!G12*12</f>
        <v>204</v>
      </c>
      <c r="I133" s="849">
        <f t="shared" si="75"/>
        <v>1</v>
      </c>
      <c r="J133" s="850">
        <f t="shared" si="76"/>
        <v>2006.0000000000002</v>
      </c>
      <c r="K133" s="70"/>
      <c r="L133" s="853">
        <v>0.3</v>
      </c>
      <c r="M133" s="855"/>
      <c r="N133" s="855"/>
      <c r="O133" s="855"/>
      <c r="P133" s="855">
        <v>0.3</v>
      </c>
      <c r="Q133" s="855"/>
      <c r="R133" s="855"/>
      <c r="S133" s="855"/>
      <c r="T133" s="855"/>
      <c r="U133" s="855"/>
      <c r="V133" s="855"/>
      <c r="W133" s="855">
        <v>0.3</v>
      </c>
      <c r="X133" s="855"/>
      <c r="Y133" s="855"/>
      <c r="Z133" s="856"/>
      <c r="AA133" s="856"/>
      <c r="AB133" s="856"/>
      <c r="AC133" s="856"/>
      <c r="AD133" s="856"/>
      <c r="AE133" s="856">
        <v>0.1</v>
      </c>
      <c r="AF133" s="856"/>
      <c r="AG133" s="856"/>
      <c r="AH133" s="856"/>
      <c r="AI133" s="856"/>
      <c r="AJ133" s="856"/>
      <c r="AK133" s="856"/>
      <c r="AL133" s="856"/>
      <c r="AM133" s="856"/>
      <c r="AN133" s="856"/>
      <c r="AO133" s="856"/>
      <c r="AP133" s="856"/>
      <c r="AQ133" s="856"/>
      <c r="AR133" s="856"/>
      <c r="AS133" s="856"/>
      <c r="AT133" s="856"/>
      <c r="AU133" s="856"/>
      <c r="AV133" s="856"/>
      <c r="AW133" s="856"/>
      <c r="AX133" s="856"/>
      <c r="AY133" s="856"/>
      <c r="AZ133" s="856"/>
      <c r="BA133" s="856"/>
      <c r="BB133" s="856"/>
      <c r="BC133" s="856"/>
      <c r="BD133" s="856"/>
      <c r="BE133" s="856"/>
      <c r="BF133" s="856"/>
      <c r="BG133" s="857"/>
      <c r="BH133" s="590"/>
      <c r="BI133" s="70"/>
      <c r="BJ133" s="518">
        <f t="shared" si="77"/>
        <v>1.3231343968095712</v>
      </c>
      <c r="BK133" s="517">
        <f t="shared" si="78"/>
        <v>2654.2076000000002</v>
      </c>
      <c r="BL133" s="68"/>
      <c r="BM133" s="515">
        <f>SUMIFS(Imput[[Importe Neto]:[Importe Neto]],Imput[[C. Imp.]:[C. Imp.]],$D133,Imput[[PERIODO Imp.]:[PERIODO Imp.]],BM$9)</f>
        <v>0</v>
      </c>
      <c r="BN133" s="516">
        <f>SUMIFS(Imput[[Importe Neto]:[Importe Neto]],Imput[[C. Imp.]:[C. Imp.]],$D133,Imput[[PERIODO Imp.]:[PERIODO Imp.]],BN$9)</f>
        <v>0</v>
      </c>
      <c r="BO133" s="516">
        <f>SUMIFS(Imput[[Importe Neto]:[Importe Neto]],Imput[[C. Imp.]:[C. Imp.]],$D133,Imput[[PERIODO Imp.]:[PERIODO Imp.]],BO$9)</f>
        <v>0</v>
      </c>
      <c r="BP133" s="516">
        <f>SUMIFS(Imput[[Importe Neto]:[Importe Neto]],Imput[[C. Imp.]:[C. Imp.]],$D133,Imput[[PERIODO Imp.]:[PERIODO Imp.]],BP$9)</f>
        <v>1416.0004000000001</v>
      </c>
      <c r="BQ133" s="516">
        <f>SUMIFS(Imput[[Importe Neto]:[Importe Neto]],Imput[[C. Imp.]:[C. Imp.]],$D133,Imput[[PERIODO Imp.]:[PERIODO Imp.]],BQ$9)</f>
        <v>406.30160000000001</v>
      </c>
      <c r="BR133" s="516">
        <f>SUMIFS(Imput[[Importe Neto]:[Importe Neto]],Imput[[C. Imp.]:[C. Imp.]],$D133,Imput[[PERIODO Imp.]:[PERIODO Imp.]],BR$9)</f>
        <v>831.90559999999994</v>
      </c>
      <c r="BS133" s="516">
        <f>SUMIFS(Imput[[Importe Neto]:[Importe Neto]],Imput[[C. Imp.]:[C. Imp.]],$D133,Imput[[PERIODO Imp.]:[PERIODO Imp.]],BS$9)</f>
        <v>0</v>
      </c>
      <c r="BT133" s="516">
        <f>SUMIFS(Imput[[Importe Neto]:[Importe Neto]],Imput[[C. Imp.]:[C. Imp.]],$D133,Imput[[PERIODO Imp.]:[PERIODO Imp.]],BT$9)</f>
        <v>0</v>
      </c>
      <c r="BU133" s="516">
        <f>SUMIFS(Imput[[Importe Neto]:[Importe Neto]],Imput[[C. Imp.]:[C. Imp.]],$D133,Imput[[PERIODO Imp.]:[PERIODO Imp.]],BU$9)</f>
        <v>0</v>
      </c>
      <c r="BV133" s="516">
        <f>SUMIFS(Imput[[Importe Neto]:[Importe Neto]],Imput[[C. Imp.]:[C. Imp.]],$D133,Imput[[PERIODO Imp.]:[PERIODO Imp.]],BV$9)</f>
        <v>0</v>
      </c>
      <c r="BW133" s="516">
        <f>SUMIFS(Imput[[Importe Neto]:[Importe Neto]],Imput[[C. Imp.]:[C. Imp.]],$D133,Imput[[PERIODO Imp.]:[PERIODO Imp.]],BW$9)</f>
        <v>0</v>
      </c>
      <c r="BX133" s="516">
        <f>SUMIFS(Imput[[Importe Neto]:[Importe Neto]],Imput[[C. Imp.]:[C. Imp.]],$D133,Imput[[PERIODO Imp.]:[PERIODO Imp.]],BX$9)</f>
        <v>0</v>
      </c>
      <c r="BY133" s="516">
        <f>SUMIFS(Imput[[Importe Neto]:[Importe Neto]],Imput[[C. Imp.]:[C. Imp.]],$D133,Imput[[PERIODO Imp.]:[PERIODO Imp.]],BY$9)</f>
        <v>0</v>
      </c>
      <c r="BZ133" s="516">
        <f>SUMIFS(Imput[[Importe Neto]:[Importe Neto]],Imput[[C. Imp.]:[C. Imp.]],$D133,Imput[[PERIODO Imp.]:[PERIODO Imp.]],BZ$9)</f>
        <v>0</v>
      </c>
      <c r="CA133" s="516">
        <f>SUMIFS(Imput[[Importe Neto]:[Importe Neto]],Imput[[C. Imp.]:[C. Imp.]],$D133,Imput[[PERIODO Imp.]:[PERIODO Imp.]],CA$9)</f>
        <v>0</v>
      </c>
      <c r="CB133" s="516">
        <f>SUMIFS(Imput[[Importe Neto]:[Importe Neto]],Imput[[C. Imp.]:[C. Imp.]],$D133,Imput[[PERIODO Imp.]:[PERIODO Imp.]],CB$9)</f>
        <v>0</v>
      </c>
      <c r="CC133" s="516">
        <f>SUMIFS(Imput[[Importe Neto]:[Importe Neto]],Imput[[C. Imp.]:[C. Imp.]],$D133,Imput[[PERIODO Imp.]:[PERIODO Imp.]],CC$9)</f>
        <v>0</v>
      </c>
      <c r="CD133" s="516">
        <f>SUMIFS(Imput[[Importe Neto]:[Importe Neto]],Imput[[C. Imp.]:[C. Imp.]],$D133,Imput[[PERIODO Imp.]:[PERIODO Imp.]],CD$9)</f>
        <v>0</v>
      </c>
      <c r="CE133" s="516">
        <f>SUMIFS(Imput[[Importe Neto]:[Importe Neto]],Imput[[C. Imp.]:[C. Imp.]],$D133,Imput[[PERIODO Imp.]:[PERIODO Imp.]],CE$9)</f>
        <v>0</v>
      </c>
      <c r="CF133" s="516">
        <f>SUMIFS(Imput[[Importe Neto]:[Importe Neto]],Imput[[C. Imp.]:[C. Imp.]],$D133,Imput[[PERIODO Imp.]:[PERIODO Imp.]],CF$9)</f>
        <v>0</v>
      </c>
      <c r="CG133" s="516">
        <f>SUMIFS(Imput[[Importe Neto]:[Importe Neto]],Imput[[C. Imp.]:[C. Imp.]],$D133,Imput[[PERIODO Imp.]:[PERIODO Imp.]],CG$9)</f>
        <v>0</v>
      </c>
      <c r="CH133" s="516">
        <f>SUMIFS(Imput[[Importe Neto]:[Importe Neto]],Imput[[C. Imp.]:[C. Imp.]],$D133,Imput[[PERIODO Imp.]:[PERIODO Imp.]],CH$9)</f>
        <v>0</v>
      </c>
      <c r="CI133" s="516">
        <f>SUMIFS(Imput[[Importe Neto]:[Importe Neto]],Imput[[C. Imp.]:[C. Imp.]],$D133,Imput[[PERIODO Imp.]:[PERIODO Imp.]],CI$9)</f>
        <v>0</v>
      </c>
      <c r="CJ133" s="516">
        <f>SUMIFS(Imput[[Importe Neto]:[Importe Neto]],Imput[[C. Imp.]:[C. Imp.]],$D133,Imput[[PERIODO Imp.]:[PERIODO Imp.]],CJ$9)</f>
        <v>0</v>
      </c>
      <c r="CK133" s="516">
        <f>SUMIFS(Imput[[Importe Neto]:[Importe Neto]],Imput[[C. Imp.]:[C. Imp.]],$D133,Imput[[PERIODO Imp.]:[PERIODO Imp.]],CK$9)</f>
        <v>0</v>
      </c>
      <c r="CL133" s="516">
        <f>SUMIFS(Imput[[Importe Neto]:[Importe Neto]],Imput[[C. Imp.]:[C. Imp.]],$D133,Imput[[PERIODO Imp.]:[PERIODO Imp.]],CL$9)</f>
        <v>0</v>
      </c>
      <c r="CM133" s="516">
        <f>SUMIFS(Imput[[Importe Neto]:[Importe Neto]],Imput[[C. Imp.]:[C. Imp.]],$D133,Imput[[PERIODO Imp.]:[PERIODO Imp.]],CM$9)</f>
        <v>0</v>
      </c>
      <c r="CN133" s="516">
        <f>SUMIFS(Imput[[Importe Neto]:[Importe Neto]],Imput[[C. Imp.]:[C. Imp.]],$D133,Imput[[PERIODO Imp.]:[PERIODO Imp.]],CN$9)</f>
        <v>0</v>
      </c>
      <c r="CO133" s="516">
        <f>SUMIFS(Imput[[Importe Neto]:[Importe Neto]],Imput[[C. Imp.]:[C. Imp.]],$D133,Imput[[PERIODO Imp.]:[PERIODO Imp.]],CO$9)</f>
        <v>0</v>
      </c>
      <c r="CP133" s="516">
        <f>SUMIFS(Imput[[Importe Neto]:[Importe Neto]],Imput[[C. Imp.]:[C. Imp.]],$D133,Imput[[PERIODO Imp.]:[PERIODO Imp.]],CP$9)</f>
        <v>0</v>
      </c>
      <c r="CQ133" s="516">
        <f>SUMIFS(Imput[[Importe Neto]:[Importe Neto]],Imput[[C. Imp.]:[C. Imp.]],$D133,Imput[[PERIODO Imp.]:[PERIODO Imp.]],CQ$9)</f>
        <v>0</v>
      </c>
      <c r="CR133" s="516">
        <f>SUMIFS(Imput[[Importe Neto]:[Importe Neto]],Imput[[C. Imp.]:[C. Imp.]],$D133,Imput[[PERIODO Imp.]:[PERIODO Imp.]],CR$9)</f>
        <v>0</v>
      </c>
      <c r="CS133" s="516">
        <f>SUMIFS(Imput[[Importe Neto]:[Importe Neto]],Imput[[C. Imp.]:[C. Imp.]],$D133,Imput[[PERIODO Imp.]:[PERIODO Imp.]],CS$9)</f>
        <v>0</v>
      </c>
      <c r="CT133" s="516">
        <f>SUMIFS(Imput[[Importe Neto]:[Importe Neto]],Imput[[C. Imp.]:[C. Imp.]],$D133,Imput[[PERIODO Imp.]:[PERIODO Imp.]],CT$9)</f>
        <v>0</v>
      </c>
      <c r="CU133" s="516">
        <f>SUMIFS(Imput[[Importe Neto]:[Importe Neto]],Imput[[C. Imp.]:[C. Imp.]],$D133,Imput[[PERIODO Imp.]:[PERIODO Imp.]],CU$9)</f>
        <v>0</v>
      </c>
      <c r="CV133" s="516">
        <f>SUMIFS(Imput[[Importe Neto]:[Importe Neto]],Imput[[C. Imp.]:[C. Imp.]],$D133,Imput[[PERIODO Imp.]:[PERIODO Imp.]],CV$9)</f>
        <v>0</v>
      </c>
      <c r="CW133" s="516">
        <f>SUMIFS(Imput[[Importe Neto]:[Importe Neto]],Imput[[C. Imp.]:[C. Imp.]],$D133,Imput[[PERIODO Imp.]:[PERIODO Imp.]],CW$9)</f>
        <v>0</v>
      </c>
      <c r="CX133" s="516">
        <f>SUMIFS(Imput[[Importe Neto]:[Importe Neto]],Imput[[C. Imp.]:[C. Imp.]],$D133,Imput[[PERIODO Imp.]:[PERIODO Imp.]],CX$9)</f>
        <v>0</v>
      </c>
      <c r="CY133" s="516">
        <f>SUMIFS(Imput[[Importe Neto]:[Importe Neto]],Imput[[C. Imp.]:[C. Imp.]],$D133,Imput[[PERIODO Imp.]:[PERIODO Imp.]],CY$9)</f>
        <v>0</v>
      </c>
      <c r="CZ133" s="516">
        <f>SUMIFS(Imput[[Importe Neto]:[Importe Neto]],Imput[[C. Imp.]:[C. Imp.]],$D133,Imput[[PERIODO Imp.]:[PERIODO Imp.]],CZ$9)</f>
        <v>0</v>
      </c>
      <c r="DA133" s="516">
        <f>SUMIFS(Imput[[Importe Neto]:[Importe Neto]],Imput[[C. Imp.]:[C. Imp.]],$D133,Imput[[PERIODO Imp.]:[PERIODO Imp.]],DA$9)</f>
        <v>0</v>
      </c>
      <c r="DB133" s="516">
        <f>SUMIFS(Imput[[Importe Neto]:[Importe Neto]],Imput[[C. Imp.]:[C. Imp.]],$D133,Imput[[PERIODO Imp.]:[PERIODO Imp.]],DB$9)</f>
        <v>0</v>
      </c>
      <c r="DC133" s="516">
        <f>SUMIFS(Imput[[Importe Neto]:[Importe Neto]],Imput[[C. Imp.]:[C. Imp.]],$D133,Imput[[PERIODO Imp.]:[PERIODO Imp.]],DC$9)</f>
        <v>0</v>
      </c>
      <c r="DD133" s="516">
        <f>SUMIFS(Imput[[Importe Neto]:[Importe Neto]],Imput[[C. Imp.]:[C. Imp.]],$D133,Imput[[PERIODO Imp.]:[PERIODO Imp.]],DD$9)</f>
        <v>0</v>
      </c>
      <c r="DE133" s="516">
        <f>SUMIFS(Imput[[Importe Neto]:[Importe Neto]],Imput[[C. Imp.]:[C. Imp.]],$D133,Imput[[PERIODO Imp.]:[PERIODO Imp.]],DE$9)</f>
        <v>0</v>
      </c>
      <c r="DF133" s="516">
        <f>SUMIFS(Imput[[Importe Neto]:[Importe Neto]],Imput[[C. Imp.]:[C. Imp.]],$D133,Imput[[PERIODO Imp.]:[PERIODO Imp.]],DF$9)</f>
        <v>0</v>
      </c>
      <c r="DG133" s="516">
        <f>SUMIFS(Imput[[Importe Neto]:[Importe Neto]],Imput[[C. Imp.]:[C. Imp.]],$D133,Imput[[PERIODO Imp.]:[PERIODO Imp.]],DG$9)</f>
        <v>0</v>
      </c>
      <c r="DH133" s="616">
        <f>SUMIFS(Imput[[Importe Neto]:[Importe Neto]],Imput[[C. Imp.]:[C. Imp.]],$D133,Imput[[PERIODO Imp.]:[PERIODO Imp.]],DH$9)</f>
        <v>0</v>
      </c>
    </row>
    <row r="134" spans="1:112" outlineLevel="1" x14ac:dyDescent="0.3">
      <c r="A134" s="66" t="str">
        <f t="shared" si="74"/>
        <v>Imprimir</v>
      </c>
      <c r="C134" s="527"/>
      <c r="D134" s="528" t="s">
        <v>2242</v>
      </c>
      <c r="E134" s="528" t="s">
        <v>498</v>
      </c>
      <c r="F134" s="534"/>
      <c r="G134" s="529">
        <v>19</v>
      </c>
      <c r="H134" s="531">
        <f>Producción!G12*50</f>
        <v>850</v>
      </c>
      <c r="I134" s="849">
        <f t="shared" si="75"/>
        <v>1</v>
      </c>
      <c r="J134" s="850">
        <f t="shared" si="76"/>
        <v>16150</v>
      </c>
      <c r="K134" s="70"/>
      <c r="L134" s="853">
        <v>0.3</v>
      </c>
      <c r="M134" s="855"/>
      <c r="N134" s="855"/>
      <c r="O134" s="855"/>
      <c r="P134" s="855">
        <v>0.3</v>
      </c>
      <c r="Q134" s="855"/>
      <c r="R134" s="855"/>
      <c r="S134" s="855"/>
      <c r="T134" s="855"/>
      <c r="U134" s="855"/>
      <c r="V134" s="855"/>
      <c r="W134" s="855">
        <v>0.3</v>
      </c>
      <c r="X134" s="855"/>
      <c r="Y134" s="855"/>
      <c r="Z134" s="856"/>
      <c r="AA134" s="856"/>
      <c r="AB134" s="856"/>
      <c r="AC134" s="856"/>
      <c r="AD134" s="856"/>
      <c r="AE134" s="856">
        <v>0.1</v>
      </c>
      <c r="AF134" s="856"/>
      <c r="AG134" s="856"/>
      <c r="AH134" s="856"/>
      <c r="AI134" s="856"/>
      <c r="AJ134" s="856"/>
      <c r="AK134" s="856"/>
      <c r="AL134" s="856"/>
      <c r="AM134" s="856"/>
      <c r="AN134" s="856"/>
      <c r="AO134" s="856"/>
      <c r="AP134" s="856"/>
      <c r="AQ134" s="856"/>
      <c r="AR134" s="856"/>
      <c r="AS134" s="856"/>
      <c r="AT134" s="856"/>
      <c r="AU134" s="856"/>
      <c r="AV134" s="856"/>
      <c r="AW134" s="856"/>
      <c r="AX134" s="856"/>
      <c r="AY134" s="856"/>
      <c r="AZ134" s="856"/>
      <c r="BA134" s="856"/>
      <c r="BB134" s="856"/>
      <c r="BC134" s="856"/>
      <c r="BD134" s="856"/>
      <c r="BE134" s="856"/>
      <c r="BF134" s="856"/>
      <c r="BG134" s="857"/>
      <c r="BH134" s="590"/>
      <c r="BI134" s="70"/>
      <c r="BJ134" s="518">
        <f t="shared" si="77"/>
        <v>0.41470610526315788</v>
      </c>
      <c r="BK134" s="517">
        <f t="shared" si="78"/>
        <v>6697.5036</v>
      </c>
      <c r="BL134" s="68"/>
      <c r="BM134" s="515">
        <f>SUMIFS(Imput[[Importe Neto]:[Importe Neto]],Imput[[C. Imp.]:[C. Imp.]],$D134,Imput[[PERIODO Imp.]:[PERIODO Imp.]],BM$9)</f>
        <v>0</v>
      </c>
      <c r="BN134" s="516">
        <f>SUMIFS(Imput[[Importe Neto]:[Importe Neto]],Imput[[C. Imp.]:[C. Imp.]],$D134,Imput[[PERIODO Imp.]:[PERIODO Imp.]],BN$9)</f>
        <v>0</v>
      </c>
      <c r="BO134" s="516">
        <f>SUMIFS(Imput[[Importe Neto]:[Importe Neto]],Imput[[C. Imp.]:[C. Imp.]],$D134,Imput[[PERIODO Imp.]:[PERIODO Imp.]],BO$9)</f>
        <v>0</v>
      </c>
      <c r="BP134" s="516">
        <f>SUMIFS(Imput[[Importe Neto]:[Importe Neto]],Imput[[C. Imp.]:[C. Imp.]],$D134,Imput[[PERIODO Imp.]:[PERIODO Imp.]],BP$9)</f>
        <v>0</v>
      </c>
      <c r="BQ134" s="516">
        <f>SUMIFS(Imput[[Importe Neto]:[Importe Neto]],Imput[[C. Imp.]:[C. Imp.]],$D134,Imput[[PERIODO Imp.]:[PERIODO Imp.]],BQ$9)</f>
        <v>0</v>
      </c>
      <c r="BR134" s="516">
        <f>SUMIFS(Imput[[Importe Neto]:[Importe Neto]],Imput[[C. Imp.]:[C. Imp.]],$D134,Imput[[PERIODO Imp.]:[PERIODO Imp.]],BR$9)</f>
        <v>6697.5036</v>
      </c>
      <c r="BS134" s="516">
        <f>SUMIFS(Imput[[Importe Neto]:[Importe Neto]],Imput[[C. Imp.]:[C. Imp.]],$D134,Imput[[PERIODO Imp.]:[PERIODO Imp.]],BS$9)</f>
        <v>0</v>
      </c>
      <c r="BT134" s="516">
        <f>SUMIFS(Imput[[Importe Neto]:[Importe Neto]],Imput[[C. Imp.]:[C. Imp.]],$D134,Imput[[PERIODO Imp.]:[PERIODO Imp.]],BT$9)</f>
        <v>0</v>
      </c>
      <c r="BU134" s="516">
        <f>SUMIFS(Imput[[Importe Neto]:[Importe Neto]],Imput[[C. Imp.]:[C. Imp.]],$D134,Imput[[PERIODO Imp.]:[PERIODO Imp.]],BU$9)</f>
        <v>0</v>
      </c>
      <c r="BV134" s="516">
        <f>SUMIFS(Imput[[Importe Neto]:[Importe Neto]],Imput[[C. Imp.]:[C. Imp.]],$D134,Imput[[PERIODO Imp.]:[PERIODO Imp.]],BV$9)</f>
        <v>0</v>
      </c>
      <c r="BW134" s="516">
        <f>SUMIFS(Imput[[Importe Neto]:[Importe Neto]],Imput[[C. Imp.]:[C. Imp.]],$D134,Imput[[PERIODO Imp.]:[PERIODO Imp.]],BW$9)</f>
        <v>0</v>
      </c>
      <c r="BX134" s="516">
        <f>SUMIFS(Imput[[Importe Neto]:[Importe Neto]],Imput[[C. Imp.]:[C. Imp.]],$D134,Imput[[PERIODO Imp.]:[PERIODO Imp.]],BX$9)</f>
        <v>0</v>
      </c>
      <c r="BY134" s="516">
        <f>SUMIFS(Imput[[Importe Neto]:[Importe Neto]],Imput[[C. Imp.]:[C. Imp.]],$D134,Imput[[PERIODO Imp.]:[PERIODO Imp.]],BY$9)</f>
        <v>0</v>
      </c>
      <c r="BZ134" s="516">
        <f>SUMIFS(Imput[[Importe Neto]:[Importe Neto]],Imput[[C. Imp.]:[C. Imp.]],$D134,Imput[[PERIODO Imp.]:[PERIODO Imp.]],BZ$9)</f>
        <v>0</v>
      </c>
      <c r="CA134" s="516">
        <f>SUMIFS(Imput[[Importe Neto]:[Importe Neto]],Imput[[C. Imp.]:[C. Imp.]],$D134,Imput[[PERIODO Imp.]:[PERIODO Imp.]],CA$9)</f>
        <v>0</v>
      </c>
      <c r="CB134" s="516">
        <f>SUMIFS(Imput[[Importe Neto]:[Importe Neto]],Imput[[C. Imp.]:[C. Imp.]],$D134,Imput[[PERIODO Imp.]:[PERIODO Imp.]],CB$9)</f>
        <v>0</v>
      </c>
      <c r="CC134" s="516">
        <f>SUMIFS(Imput[[Importe Neto]:[Importe Neto]],Imput[[C. Imp.]:[C. Imp.]],$D134,Imput[[PERIODO Imp.]:[PERIODO Imp.]],CC$9)</f>
        <v>0</v>
      </c>
      <c r="CD134" s="516">
        <f>SUMIFS(Imput[[Importe Neto]:[Importe Neto]],Imput[[C. Imp.]:[C. Imp.]],$D134,Imput[[PERIODO Imp.]:[PERIODO Imp.]],CD$9)</f>
        <v>0</v>
      </c>
      <c r="CE134" s="516">
        <f>SUMIFS(Imput[[Importe Neto]:[Importe Neto]],Imput[[C. Imp.]:[C. Imp.]],$D134,Imput[[PERIODO Imp.]:[PERIODO Imp.]],CE$9)</f>
        <v>0</v>
      </c>
      <c r="CF134" s="516">
        <f>SUMIFS(Imput[[Importe Neto]:[Importe Neto]],Imput[[C. Imp.]:[C. Imp.]],$D134,Imput[[PERIODO Imp.]:[PERIODO Imp.]],CF$9)</f>
        <v>0</v>
      </c>
      <c r="CG134" s="516">
        <f>SUMIFS(Imput[[Importe Neto]:[Importe Neto]],Imput[[C. Imp.]:[C. Imp.]],$D134,Imput[[PERIODO Imp.]:[PERIODO Imp.]],CG$9)</f>
        <v>0</v>
      </c>
      <c r="CH134" s="516">
        <f>SUMIFS(Imput[[Importe Neto]:[Importe Neto]],Imput[[C. Imp.]:[C. Imp.]],$D134,Imput[[PERIODO Imp.]:[PERIODO Imp.]],CH$9)</f>
        <v>0</v>
      </c>
      <c r="CI134" s="516">
        <f>SUMIFS(Imput[[Importe Neto]:[Importe Neto]],Imput[[C. Imp.]:[C. Imp.]],$D134,Imput[[PERIODO Imp.]:[PERIODO Imp.]],CI$9)</f>
        <v>0</v>
      </c>
      <c r="CJ134" s="516">
        <f>SUMIFS(Imput[[Importe Neto]:[Importe Neto]],Imput[[C. Imp.]:[C. Imp.]],$D134,Imput[[PERIODO Imp.]:[PERIODO Imp.]],CJ$9)</f>
        <v>0</v>
      </c>
      <c r="CK134" s="516">
        <f>SUMIFS(Imput[[Importe Neto]:[Importe Neto]],Imput[[C. Imp.]:[C. Imp.]],$D134,Imput[[PERIODO Imp.]:[PERIODO Imp.]],CK$9)</f>
        <v>0</v>
      </c>
      <c r="CL134" s="516">
        <f>SUMIFS(Imput[[Importe Neto]:[Importe Neto]],Imput[[C. Imp.]:[C. Imp.]],$D134,Imput[[PERIODO Imp.]:[PERIODO Imp.]],CL$9)</f>
        <v>0</v>
      </c>
      <c r="CM134" s="516">
        <f>SUMIFS(Imput[[Importe Neto]:[Importe Neto]],Imput[[C. Imp.]:[C. Imp.]],$D134,Imput[[PERIODO Imp.]:[PERIODO Imp.]],CM$9)</f>
        <v>0</v>
      </c>
      <c r="CN134" s="516">
        <f>SUMIFS(Imput[[Importe Neto]:[Importe Neto]],Imput[[C. Imp.]:[C. Imp.]],$D134,Imput[[PERIODO Imp.]:[PERIODO Imp.]],CN$9)</f>
        <v>0</v>
      </c>
      <c r="CO134" s="516">
        <f>SUMIFS(Imput[[Importe Neto]:[Importe Neto]],Imput[[C. Imp.]:[C. Imp.]],$D134,Imput[[PERIODO Imp.]:[PERIODO Imp.]],CO$9)</f>
        <v>0</v>
      </c>
      <c r="CP134" s="516">
        <f>SUMIFS(Imput[[Importe Neto]:[Importe Neto]],Imput[[C. Imp.]:[C. Imp.]],$D134,Imput[[PERIODO Imp.]:[PERIODO Imp.]],CP$9)</f>
        <v>0</v>
      </c>
      <c r="CQ134" s="516">
        <f>SUMIFS(Imput[[Importe Neto]:[Importe Neto]],Imput[[C. Imp.]:[C. Imp.]],$D134,Imput[[PERIODO Imp.]:[PERIODO Imp.]],CQ$9)</f>
        <v>0</v>
      </c>
      <c r="CR134" s="516">
        <f>SUMIFS(Imput[[Importe Neto]:[Importe Neto]],Imput[[C. Imp.]:[C. Imp.]],$D134,Imput[[PERIODO Imp.]:[PERIODO Imp.]],CR$9)</f>
        <v>0</v>
      </c>
      <c r="CS134" s="516">
        <f>SUMIFS(Imput[[Importe Neto]:[Importe Neto]],Imput[[C. Imp.]:[C. Imp.]],$D134,Imput[[PERIODO Imp.]:[PERIODO Imp.]],CS$9)</f>
        <v>0</v>
      </c>
      <c r="CT134" s="516">
        <f>SUMIFS(Imput[[Importe Neto]:[Importe Neto]],Imput[[C. Imp.]:[C. Imp.]],$D134,Imput[[PERIODO Imp.]:[PERIODO Imp.]],CT$9)</f>
        <v>0</v>
      </c>
      <c r="CU134" s="516">
        <f>SUMIFS(Imput[[Importe Neto]:[Importe Neto]],Imput[[C. Imp.]:[C. Imp.]],$D134,Imput[[PERIODO Imp.]:[PERIODO Imp.]],CU$9)</f>
        <v>0</v>
      </c>
      <c r="CV134" s="516">
        <f>SUMIFS(Imput[[Importe Neto]:[Importe Neto]],Imput[[C. Imp.]:[C. Imp.]],$D134,Imput[[PERIODO Imp.]:[PERIODO Imp.]],CV$9)</f>
        <v>0</v>
      </c>
      <c r="CW134" s="516">
        <f>SUMIFS(Imput[[Importe Neto]:[Importe Neto]],Imput[[C. Imp.]:[C. Imp.]],$D134,Imput[[PERIODO Imp.]:[PERIODO Imp.]],CW$9)</f>
        <v>0</v>
      </c>
      <c r="CX134" s="516">
        <f>SUMIFS(Imput[[Importe Neto]:[Importe Neto]],Imput[[C. Imp.]:[C. Imp.]],$D134,Imput[[PERIODO Imp.]:[PERIODO Imp.]],CX$9)</f>
        <v>0</v>
      </c>
      <c r="CY134" s="516">
        <f>SUMIFS(Imput[[Importe Neto]:[Importe Neto]],Imput[[C. Imp.]:[C. Imp.]],$D134,Imput[[PERIODO Imp.]:[PERIODO Imp.]],CY$9)</f>
        <v>0</v>
      </c>
      <c r="CZ134" s="516">
        <f>SUMIFS(Imput[[Importe Neto]:[Importe Neto]],Imput[[C. Imp.]:[C. Imp.]],$D134,Imput[[PERIODO Imp.]:[PERIODO Imp.]],CZ$9)</f>
        <v>0</v>
      </c>
      <c r="DA134" s="516">
        <f>SUMIFS(Imput[[Importe Neto]:[Importe Neto]],Imput[[C. Imp.]:[C. Imp.]],$D134,Imput[[PERIODO Imp.]:[PERIODO Imp.]],DA$9)</f>
        <v>0</v>
      </c>
      <c r="DB134" s="516">
        <f>SUMIFS(Imput[[Importe Neto]:[Importe Neto]],Imput[[C. Imp.]:[C. Imp.]],$D134,Imput[[PERIODO Imp.]:[PERIODO Imp.]],DB$9)</f>
        <v>0</v>
      </c>
      <c r="DC134" s="516">
        <f>SUMIFS(Imput[[Importe Neto]:[Importe Neto]],Imput[[C. Imp.]:[C. Imp.]],$D134,Imput[[PERIODO Imp.]:[PERIODO Imp.]],DC$9)</f>
        <v>0</v>
      </c>
      <c r="DD134" s="516">
        <f>SUMIFS(Imput[[Importe Neto]:[Importe Neto]],Imput[[C. Imp.]:[C. Imp.]],$D134,Imput[[PERIODO Imp.]:[PERIODO Imp.]],DD$9)</f>
        <v>0</v>
      </c>
      <c r="DE134" s="516">
        <f>SUMIFS(Imput[[Importe Neto]:[Importe Neto]],Imput[[C. Imp.]:[C. Imp.]],$D134,Imput[[PERIODO Imp.]:[PERIODO Imp.]],DE$9)</f>
        <v>0</v>
      </c>
      <c r="DF134" s="516">
        <f>SUMIFS(Imput[[Importe Neto]:[Importe Neto]],Imput[[C. Imp.]:[C. Imp.]],$D134,Imput[[PERIODO Imp.]:[PERIODO Imp.]],DF$9)</f>
        <v>0</v>
      </c>
      <c r="DG134" s="516">
        <f>SUMIFS(Imput[[Importe Neto]:[Importe Neto]],Imput[[C. Imp.]:[C. Imp.]],$D134,Imput[[PERIODO Imp.]:[PERIODO Imp.]],DG$9)</f>
        <v>0</v>
      </c>
      <c r="DH134" s="616">
        <f>SUMIFS(Imput[[Importe Neto]:[Importe Neto]],Imput[[C. Imp.]:[C. Imp.]],$D134,Imput[[PERIODO Imp.]:[PERIODO Imp.]],DH$9)</f>
        <v>0</v>
      </c>
    </row>
    <row r="135" spans="1:112" outlineLevel="1" x14ac:dyDescent="0.3">
      <c r="A135" s="66" t="str">
        <f t="shared" si="74"/>
        <v>Imprimir</v>
      </c>
      <c r="C135" s="527"/>
      <c r="D135" s="528" t="s">
        <v>2243</v>
      </c>
      <c r="E135" s="528" t="s">
        <v>499</v>
      </c>
      <c r="F135" s="534"/>
      <c r="G135" s="529">
        <v>735</v>
      </c>
      <c r="H135" s="531">
        <f>Producción!G12*0.24</f>
        <v>4.08</v>
      </c>
      <c r="I135" s="849">
        <f t="shared" si="75"/>
        <v>1</v>
      </c>
      <c r="J135" s="850">
        <f t="shared" si="76"/>
        <v>2998.8</v>
      </c>
      <c r="K135" s="70"/>
      <c r="L135" s="853"/>
      <c r="M135" s="855"/>
      <c r="N135" s="855"/>
      <c r="O135" s="855">
        <v>0.5</v>
      </c>
      <c r="P135" s="855"/>
      <c r="Q135" s="855"/>
      <c r="R135" s="855"/>
      <c r="S135" s="855"/>
      <c r="T135" s="855"/>
      <c r="U135" s="855"/>
      <c r="V135" s="855"/>
      <c r="W135" s="855"/>
      <c r="X135" s="855"/>
      <c r="Y135" s="855"/>
      <c r="Z135" s="856"/>
      <c r="AA135" s="856">
        <v>0.5</v>
      </c>
      <c r="AB135" s="856"/>
      <c r="AC135" s="856"/>
      <c r="AD135" s="856"/>
      <c r="AE135" s="856"/>
      <c r="AF135" s="856"/>
      <c r="AG135" s="856"/>
      <c r="AH135" s="856"/>
      <c r="AI135" s="856"/>
      <c r="AJ135" s="856"/>
      <c r="AK135" s="856"/>
      <c r="AL135" s="856"/>
      <c r="AM135" s="856"/>
      <c r="AN135" s="856"/>
      <c r="AO135" s="856"/>
      <c r="AP135" s="856"/>
      <c r="AQ135" s="856"/>
      <c r="AR135" s="856"/>
      <c r="AS135" s="856"/>
      <c r="AT135" s="856"/>
      <c r="AU135" s="856"/>
      <c r="AV135" s="856"/>
      <c r="AW135" s="856"/>
      <c r="AX135" s="856"/>
      <c r="AY135" s="856"/>
      <c r="AZ135" s="856"/>
      <c r="BA135" s="856"/>
      <c r="BB135" s="856"/>
      <c r="BC135" s="856"/>
      <c r="BD135" s="856"/>
      <c r="BE135" s="856"/>
      <c r="BF135" s="856"/>
      <c r="BG135" s="857"/>
      <c r="BH135" s="590"/>
      <c r="BI135" s="70"/>
      <c r="BJ135" s="518">
        <f t="shared" si="77"/>
        <v>0</v>
      </c>
      <c r="BK135" s="517">
        <f t="shared" si="78"/>
        <v>0</v>
      </c>
      <c r="BL135" s="68"/>
      <c r="BM135" s="515">
        <f>SUMIFS(Imput[[Importe Neto]:[Importe Neto]],Imput[[C. Imp.]:[C. Imp.]],$D135,Imput[[PERIODO Imp.]:[PERIODO Imp.]],BM$9)</f>
        <v>0</v>
      </c>
      <c r="BN135" s="516">
        <f>SUMIFS(Imput[[Importe Neto]:[Importe Neto]],Imput[[C. Imp.]:[C. Imp.]],$D135,Imput[[PERIODO Imp.]:[PERIODO Imp.]],BN$9)</f>
        <v>0</v>
      </c>
      <c r="BO135" s="516">
        <f>SUMIFS(Imput[[Importe Neto]:[Importe Neto]],Imput[[C. Imp.]:[C. Imp.]],$D135,Imput[[PERIODO Imp.]:[PERIODO Imp.]],BO$9)</f>
        <v>0</v>
      </c>
      <c r="BP135" s="516">
        <f>SUMIFS(Imput[[Importe Neto]:[Importe Neto]],Imput[[C. Imp.]:[C. Imp.]],$D135,Imput[[PERIODO Imp.]:[PERIODO Imp.]],BP$9)</f>
        <v>0</v>
      </c>
      <c r="BQ135" s="516">
        <f>SUMIFS(Imput[[Importe Neto]:[Importe Neto]],Imput[[C. Imp.]:[C. Imp.]],$D135,Imput[[PERIODO Imp.]:[PERIODO Imp.]],BQ$9)</f>
        <v>0</v>
      </c>
      <c r="BR135" s="516">
        <f>SUMIFS(Imput[[Importe Neto]:[Importe Neto]],Imput[[C. Imp.]:[C. Imp.]],$D135,Imput[[PERIODO Imp.]:[PERIODO Imp.]],BR$9)</f>
        <v>0</v>
      </c>
      <c r="BS135" s="516">
        <f>SUMIFS(Imput[[Importe Neto]:[Importe Neto]],Imput[[C. Imp.]:[C. Imp.]],$D135,Imput[[PERIODO Imp.]:[PERIODO Imp.]],BS$9)</f>
        <v>0</v>
      </c>
      <c r="BT135" s="516">
        <f>SUMIFS(Imput[[Importe Neto]:[Importe Neto]],Imput[[C. Imp.]:[C. Imp.]],$D135,Imput[[PERIODO Imp.]:[PERIODO Imp.]],BT$9)</f>
        <v>0</v>
      </c>
      <c r="BU135" s="516">
        <f>SUMIFS(Imput[[Importe Neto]:[Importe Neto]],Imput[[C. Imp.]:[C. Imp.]],$D135,Imput[[PERIODO Imp.]:[PERIODO Imp.]],BU$9)</f>
        <v>0</v>
      </c>
      <c r="BV135" s="516">
        <f>SUMIFS(Imput[[Importe Neto]:[Importe Neto]],Imput[[C. Imp.]:[C. Imp.]],$D135,Imput[[PERIODO Imp.]:[PERIODO Imp.]],BV$9)</f>
        <v>0</v>
      </c>
      <c r="BW135" s="516">
        <f>SUMIFS(Imput[[Importe Neto]:[Importe Neto]],Imput[[C. Imp.]:[C. Imp.]],$D135,Imput[[PERIODO Imp.]:[PERIODO Imp.]],BW$9)</f>
        <v>0</v>
      </c>
      <c r="BX135" s="516">
        <f>SUMIFS(Imput[[Importe Neto]:[Importe Neto]],Imput[[C. Imp.]:[C. Imp.]],$D135,Imput[[PERIODO Imp.]:[PERIODO Imp.]],BX$9)</f>
        <v>0</v>
      </c>
      <c r="BY135" s="516">
        <f>SUMIFS(Imput[[Importe Neto]:[Importe Neto]],Imput[[C. Imp.]:[C. Imp.]],$D135,Imput[[PERIODO Imp.]:[PERIODO Imp.]],BY$9)</f>
        <v>0</v>
      </c>
      <c r="BZ135" s="516">
        <f>SUMIFS(Imput[[Importe Neto]:[Importe Neto]],Imput[[C. Imp.]:[C. Imp.]],$D135,Imput[[PERIODO Imp.]:[PERIODO Imp.]],BZ$9)</f>
        <v>0</v>
      </c>
      <c r="CA135" s="516">
        <f>SUMIFS(Imput[[Importe Neto]:[Importe Neto]],Imput[[C. Imp.]:[C. Imp.]],$D135,Imput[[PERIODO Imp.]:[PERIODO Imp.]],CA$9)</f>
        <v>0</v>
      </c>
      <c r="CB135" s="516">
        <f>SUMIFS(Imput[[Importe Neto]:[Importe Neto]],Imput[[C. Imp.]:[C. Imp.]],$D135,Imput[[PERIODO Imp.]:[PERIODO Imp.]],CB$9)</f>
        <v>0</v>
      </c>
      <c r="CC135" s="516">
        <f>SUMIFS(Imput[[Importe Neto]:[Importe Neto]],Imput[[C. Imp.]:[C. Imp.]],$D135,Imput[[PERIODO Imp.]:[PERIODO Imp.]],CC$9)</f>
        <v>0</v>
      </c>
      <c r="CD135" s="516">
        <f>SUMIFS(Imput[[Importe Neto]:[Importe Neto]],Imput[[C. Imp.]:[C. Imp.]],$D135,Imput[[PERIODO Imp.]:[PERIODO Imp.]],CD$9)</f>
        <v>0</v>
      </c>
      <c r="CE135" s="516">
        <f>SUMIFS(Imput[[Importe Neto]:[Importe Neto]],Imput[[C. Imp.]:[C. Imp.]],$D135,Imput[[PERIODO Imp.]:[PERIODO Imp.]],CE$9)</f>
        <v>0</v>
      </c>
      <c r="CF135" s="516">
        <f>SUMIFS(Imput[[Importe Neto]:[Importe Neto]],Imput[[C. Imp.]:[C. Imp.]],$D135,Imput[[PERIODO Imp.]:[PERIODO Imp.]],CF$9)</f>
        <v>0</v>
      </c>
      <c r="CG135" s="516">
        <f>SUMIFS(Imput[[Importe Neto]:[Importe Neto]],Imput[[C. Imp.]:[C. Imp.]],$D135,Imput[[PERIODO Imp.]:[PERIODO Imp.]],CG$9)</f>
        <v>0</v>
      </c>
      <c r="CH135" s="516">
        <f>SUMIFS(Imput[[Importe Neto]:[Importe Neto]],Imput[[C. Imp.]:[C. Imp.]],$D135,Imput[[PERIODO Imp.]:[PERIODO Imp.]],CH$9)</f>
        <v>0</v>
      </c>
      <c r="CI135" s="516">
        <f>SUMIFS(Imput[[Importe Neto]:[Importe Neto]],Imput[[C. Imp.]:[C. Imp.]],$D135,Imput[[PERIODO Imp.]:[PERIODO Imp.]],CI$9)</f>
        <v>0</v>
      </c>
      <c r="CJ135" s="516">
        <f>SUMIFS(Imput[[Importe Neto]:[Importe Neto]],Imput[[C. Imp.]:[C. Imp.]],$D135,Imput[[PERIODO Imp.]:[PERIODO Imp.]],CJ$9)</f>
        <v>0</v>
      </c>
      <c r="CK135" s="516">
        <f>SUMIFS(Imput[[Importe Neto]:[Importe Neto]],Imput[[C. Imp.]:[C. Imp.]],$D135,Imput[[PERIODO Imp.]:[PERIODO Imp.]],CK$9)</f>
        <v>0</v>
      </c>
      <c r="CL135" s="516">
        <f>SUMIFS(Imput[[Importe Neto]:[Importe Neto]],Imput[[C. Imp.]:[C. Imp.]],$D135,Imput[[PERIODO Imp.]:[PERIODO Imp.]],CL$9)</f>
        <v>0</v>
      </c>
      <c r="CM135" s="516">
        <f>SUMIFS(Imput[[Importe Neto]:[Importe Neto]],Imput[[C. Imp.]:[C. Imp.]],$D135,Imput[[PERIODO Imp.]:[PERIODO Imp.]],CM$9)</f>
        <v>0</v>
      </c>
      <c r="CN135" s="516">
        <f>SUMIFS(Imput[[Importe Neto]:[Importe Neto]],Imput[[C. Imp.]:[C. Imp.]],$D135,Imput[[PERIODO Imp.]:[PERIODO Imp.]],CN$9)</f>
        <v>0</v>
      </c>
      <c r="CO135" s="516">
        <f>SUMIFS(Imput[[Importe Neto]:[Importe Neto]],Imput[[C. Imp.]:[C. Imp.]],$D135,Imput[[PERIODO Imp.]:[PERIODO Imp.]],CO$9)</f>
        <v>0</v>
      </c>
      <c r="CP135" s="516">
        <f>SUMIFS(Imput[[Importe Neto]:[Importe Neto]],Imput[[C. Imp.]:[C. Imp.]],$D135,Imput[[PERIODO Imp.]:[PERIODO Imp.]],CP$9)</f>
        <v>0</v>
      </c>
      <c r="CQ135" s="516">
        <f>SUMIFS(Imput[[Importe Neto]:[Importe Neto]],Imput[[C. Imp.]:[C. Imp.]],$D135,Imput[[PERIODO Imp.]:[PERIODO Imp.]],CQ$9)</f>
        <v>0</v>
      </c>
      <c r="CR135" s="516">
        <f>SUMIFS(Imput[[Importe Neto]:[Importe Neto]],Imput[[C. Imp.]:[C. Imp.]],$D135,Imput[[PERIODO Imp.]:[PERIODO Imp.]],CR$9)</f>
        <v>0</v>
      </c>
      <c r="CS135" s="516">
        <f>SUMIFS(Imput[[Importe Neto]:[Importe Neto]],Imput[[C. Imp.]:[C. Imp.]],$D135,Imput[[PERIODO Imp.]:[PERIODO Imp.]],CS$9)</f>
        <v>0</v>
      </c>
      <c r="CT135" s="516">
        <f>SUMIFS(Imput[[Importe Neto]:[Importe Neto]],Imput[[C. Imp.]:[C. Imp.]],$D135,Imput[[PERIODO Imp.]:[PERIODO Imp.]],CT$9)</f>
        <v>0</v>
      </c>
      <c r="CU135" s="516">
        <f>SUMIFS(Imput[[Importe Neto]:[Importe Neto]],Imput[[C. Imp.]:[C. Imp.]],$D135,Imput[[PERIODO Imp.]:[PERIODO Imp.]],CU$9)</f>
        <v>0</v>
      </c>
      <c r="CV135" s="516">
        <f>SUMIFS(Imput[[Importe Neto]:[Importe Neto]],Imput[[C. Imp.]:[C. Imp.]],$D135,Imput[[PERIODO Imp.]:[PERIODO Imp.]],CV$9)</f>
        <v>0</v>
      </c>
      <c r="CW135" s="516">
        <f>SUMIFS(Imput[[Importe Neto]:[Importe Neto]],Imput[[C. Imp.]:[C. Imp.]],$D135,Imput[[PERIODO Imp.]:[PERIODO Imp.]],CW$9)</f>
        <v>0</v>
      </c>
      <c r="CX135" s="516">
        <f>SUMIFS(Imput[[Importe Neto]:[Importe Neto]],Imput[[C. Imp.]:[C. Imp.]],$D135,Imput[[PERIODO Imp.]:[PERIODO Imp.]],CX$9)</f>
        <v>0</v>
      </c>
      <c r="CY135" s="516">
        <f>SUMIFS(Imput[[Importe Neto]:[Importe Neto]],Imput[[C. Imp.]:[C. Imp.]],$D135,Imput[[PERIODO Imp.]:[PERIODO Imp.]],CY$9)</f>
        <v>0</v>
      </c>
      <c r="CZ135" s="516">
        <f>SUMIFS(Imput[[Importe Neto]:[Importe Neto]],Imput[[C. Imp.]:[C. Imp.]],$D135,Imput[[PERIODO Imp.]:[PERIODO Imp.]],CZ$9)</f>
        <v>0</v>
      </c>
      <c r="DA135" s="516">
        <f>SUMIFS(Imput[[Importe Neto]:[Importe Neto]],Imput[[C. Imp.]:[C. Imp.]],$D135,Imput[[PERIODO Imp.]:[PERIODO Imp.]],DA$9)</f>
        <v>0</v>
      </c>
      <c r="DB135" s="516">
        <f>SUMIFS(Imput[[Importe Neto]:[Importe Neto]],Imput[[C. Imp.]:[C. Imp.]],$D135,Imput[[PERIODO Imp.]:[PERIODO Imp.]],DB$9)</f>
        <v>0</v>
      </c>
      <c r="DC135" s="516">
        <f>SUMIFS(Imput[[Importe Neto]:[Importe Neto]],Imput[[C. Imp.]:[C. Imp.]],$D135,Imput[[PERIODO Imp.]:[PERIODO Imp.]],DC$9)</f>
        <v>0</v>
      </c>
      <c r="DD135" s="516">
        <f>SUMIFS(Imput[[Importe Neto]:[Importe Neto]],Imput[[C. Imp.]:[C. Imp.]],$D135,Imput[[PERIODO Imp.]:[PERIODO Imp.]],DD$9)</f>
        <v>0</v>
      </c>
      <c r="DE135" s="516">
        <f>SUMIFS(Imput[[Importe Neto]:[Importe Neto]],Imput[[C. Imp.]:[C. Imp.]],$D135,Imput[[PERIODO Imp.]:[PERIODO Imp.]],DE$9)</f>
        <v>0</v>
      </c>
      <c r="DF135" s="516">
        <f>SUMIFS(Imput[[Importe Neto]:[Importe Neto]],Imput[[C. Imp.]:[C. Imp.]],$D135,Imput[[PERIODO Imp.]:[PERIODO Imp.]],DF$9)</f>
        <v>0</v>
      </c>
      <c r="DG135" s="516">
        <f>SUMIFS(Imput[[Importe Neto]:[Importe Neto]],Imput[[C. Imp.]:[C. Imp.]],$D135,Imput[[PERIODO Imp.]:[PERIODO Imp.]],DG$9)</f>
        <v>0</v>
      </c>
      <c r="DH135" s="616">
        <f>SUMIFS(Imput[[Importe Neto]:[Importe Neto]],Imput[[C. Imp.]:[C. Imp.]],$D135,Imput[[PERIODO Imp.]:[PERIODO Imp.]],DH$9)</f>
        <v>0</v>
      </c>
    </row>
    <row r="136" spans="1:112" outlineLevel="1" x14ac:dyDescent="0.3">
      <c r="A136" s="66" t="str">
        <f t="shared" si="74"/>
        <v>Imprimir</v>
      </c>
      <c r="C136" s="527"/>
      <c r="D136" s="528" t="s">
        <v>2244</v>
      </c>
      <c r="E136" s="528" t="s">
        <v>500</v>
      </c>
      <c r="F136" s="534"/>
      <c r="G136" s="529">
        <v>8</v>
      </c>
      <c r="H136" s="531">
        <f>Producción!G12*4</f>
        <v>68</v>
      </c>
      <c r="I136" s="849">
        <f t="shared" si="75"/>
        <v>1</v>
      </c>
      <c r="J136" s="850">
        <f t="shared" si="76"/>
        <v>544</v>
      </c>
      <c r="K136" s="111"/>
      <c r="L136" s="853">
        <v>0.3</v>
      </c>
      <c r="M136" s="855"/>
      <c r="N136" s="855"/>
      <c r="O136" s="855"/>
      <c r="P136" s="855">
        <v>0.3</v>
      </c>
      <c r="Q136" s="855"/>
      <c r="R136" s="855"/>
      <c r="S136" s="855"/>
      <c r="T136" s="855"/>
      <c r="U136" s="855"/>
      <c r="V136" s="855"/>
      <c r="W136" s="855">
        <v>0.3</v>
      </c>
      <c r="X136" s="855"/>
      <c r="Y136" s="855"/>
      <c r="Z136" s="856"/>
      <c r="AA136" s="856"/>
      <c r="AB136" s="856"/>
      <c r="AC136" s="856"/>
      <c r="AD136" s="856"/>
      <c r="AE136" s="856">
        <v>0.1</v>
      </c>
      <c r="AF136" s="856"/>
      <c r="AG136" s="856"/>
      <c r="AH136" s="856"/>
      <c r="AI136" s="856"/>
      <c r="AJ136" s="856"/>
      <c r="AK136" s="856"/>
      <c r="AL136" s="856"/>
      <c r="AM136" s="856"/>
      <c r="AN136" s="856"/>
      <c r="AO136" s="856"/>
      <c r="AP136" s="856"/>
      <c r="AQ136" s="856"/>
      <c r="AR136" s="856"/>
      <c r="AS136" s="856"/>
      <c r="AT136" s="856"/>
      <c r="AU136" s="856"/>
      <c r="AV136" s="856"/>
      <c r="AW136" s="856"/>
      <c r="AX136" s="856"/>
      <c r="AY136" s="856"/>
      <c r="AZ136" s="856"/>
      <c r="BA136" s="856"/>
      <c r="BB136" s="856"/>
      <c r="BC136" s="856"/>
      <c r="BD136" s="856"/>
      <c r="BE136" s="856"/>
      <c r="BF136" s="856"/>
      <c r="BG136" s="857"/>
      <c r="BH136" s="590"/>
      <c r="BI136" s="68"/>
      <c r="BJ136" s="518">
        <f t="shared" si="77"/>
        <v>0</v>
      </c>
      <c r="BK136" s="517">
        <f t="shared" si="78"/>
        <v>0</v>
      </c>
      <c r="BL136" s="68"/>
      <c r="BM136" s="515">
        <f>SUMIFS(Imput[[Importe Neto]:[Importe Neto]],Imput[[C. Imp.]:[C. Imp.]],$D136,Imput[[PERIODO Imp.]:[PERIODO Imp.]],BM$9)</f>
        <v>0</v>
      </c>
      <c r="BN136" s="516">
        <f>SUMIFS(Imput[[Importe Neto]:[Importe Neto]],Imput[[C. Imp.]:[C. Imp.]],$D136,Imput[[PERIODO Imp.]:[PERIODO Imp.]],BN$9)</f>
        <v>0</v>
      </c>
      <c r="BO136" s="516">
        <f>SUMIFS(Imput[[Importe Neto]:[Importe Neto]],Imput[[C. Imp.]:[C. Imp.]],$D136,Imput[[PERIODO Imp.]:[PERIODO Imp.]],BO$9)</f>
        <v>0</v>
      </c>
      <c r="BP136" s="516">
        <f>SUMIFS(Imput[[Importe Neto]:[Importe Neto]],Imput[[C. Imp.]:[C. Imp.]],$D136,Imput[[PERIODO Imp.]:[PERIODO Imp.]],BP$9)</f>
        <v>0</v>
      </c>
      <c r="BQ136" s="516">
        <f>SUMIFS(Imput[[Importe Neto]:[Importe Neto]],Imput[[C. Imp.]:[C. Imp.]],$D136,Imput[[PERIODO Imp.]:[PERIODO Imp.]],BQ$9)</f>
        <v>0</v>
      </c>
      <c r="BR136" s="516">
        <f>SUMIFS(Imput[[Importe Neto]:[Importe Neto]],Imput[[C. Imp.]:[C. Imp.]],$D136,Imput[[PERIODO Imp.]:[PERIODO Imp.]],BR$9)</f>
        <v>0</v>
      </c>
      <c r="BS136" s="516">
        <f>SUMIFS(Imput[[Importe Neto]:[Importe Neto]],Imput[[C. Imp.]:[C. Imp.]],$D136,Imput[[PERIODO Imp.]:[PERIODO Imp.]],BS$9)</f>
        <v>0</v>
      </c>
      <c r="BT136" s="516">
        <f>SUMIFS(Imput[[Importe Neto]:[Importe Neto]],Imput[[C. Imp.]:[C. Imp.]],$D136,Imput[[PERIODO Imp.]:[PERIODO Imp.]],BT$9)</f>
        <v>0</v>
      </c>
      <c r="BU136" s="516">
        <f>SUMIFS(Imput[[Importe Neto]:[Importe Neto]],Imput[[C. Imp.]:[C. Imp.]],$D136,Imput[[PERIODO Imp.]:[PERIODO Imp.]],BU$9)</f>
        <v>0</v>
      </c>
      <c r="BV136" s="516">
        <f>SUMIFS(Imput[[Importe Neto]:[Importe Neto]],Imput[[C. Imp.]:[C. Imp.]],$D136,Imput[[PERIODO Imp.]:[PERIODO Imp.]],BV$9)</f>
        <v>0</v>
      </c>
      <c r="BW136" s="516">
        <f>SUMIFS(Imput[[Importe Neto]:[Importe Neto]],Imput[[C. Imp.]:[C. Imp.]],$D136,Imput[[PERIODO Imp.]:[PERIODO Imp.]],BW$9)</f>
        <v>0</v>
      </c>
      <c r="BX136" s="516">
        <f>SUMIFS(Imput[[Importe Neto]:[Importe Neto]],Imput[[C. Imp.]:[C. Imp.]],$D136,Imput[[PERIODO Imp.]:[PERIODO Imp.]],BX$9)</f>
        <v>0</v>
      </c>
      <c r="BY136" s="516">
        <f>SUMIFS(Imput[[Importe Neto]:[Importe Neto]],Imput[[C. Imp.]:[C. Imp.]],$D136,Imput[[PERIODO Imp.]:[PERIODO Imp.]],BY$9)</f>
        <v>0</v>
      </c>
      <c r="BZ136" s="516">
        <f>SUMIFS(Imput[[Importe Neto]:[Importe Neto]],Imput[[C. Imp.]:[C. Imp.]],$D136,Imput[[PERIODO Imp.]:[PERIODO Imp.]],BZ$9)</f>
        <v>0</v>
      </c>
      <c r="CA136" s="516">
        <f>SUMIFS(Imput[[Importe Neto]:[Importe Neto]],Imput[[C. Imp.]:[C. Imp.]],$D136,Imput[[PERIODO Imp.]:[PERIODO Imp.]],CA$9)</f>
        <v>0</v>
      </c>
      <c r="CB136" s="516">
        <f>SUMIFS(Imput[[Importe Neto]:[Importe Neto]],Imput[[C. Imp.]:[C. Imp.]],$D136,Imput[[PERIODO Imp.]:[PERIODO Imp.]],CB$9)</f>
        <v>0</v>
      </c>
      <c r="CC136" s="516">
        <f>SUMIFS(Imput[[Importe Neto]:[Importe Neto]],Imput[[C. Imp.]:[C. Imp.]],$D136,Imput[[PERIODO Imp.]:[PERIODO Imp.]],CC$9)</f>
        <v>0</v>
      </c>
      <c r="CD136" s="516">
        <f>SUMIFS(Imput[[Importe Neto]:[Importe Neto]],Imput[[C. Imp.]:[C. Imp.]],$D136,Imput[[PERIODO Imp.]:[PERIODO Imp.]],CD$9)</f>
        <v>0</v>
      </c>
      <c r="CE136" s="516">
        <f>SUMIFS(Imput[[Importe Neto]:[Importe Neto]],Imput[[C. Imp.]:[C. Imp.]],$D136,Imput[[PERIODO Imp.]:[PERIODO Imp.]],CE$9)</f>
        <v>0</v>
      </c>
      <c r="CF136" s="516">
        <f>SUMIFS(Imput[[Importe Neto]:[Importe Neto]],Imput[[C. Imp.]:[C. Imp.]],$D136,Imput[[PERIODO Imp.]:[PERIODO Imp.]],CF$9)</f>
        <v>0</v>
      </c>
      <c r="CG136" s="516">
        <f>SUMIFS(Imput[[Importe Neto]:[Importe Neto]],Imput[[C. Imp.]:[C. Imp.]],$D136,Imput[[PERIODO Imp.]:[PERIODO Imp.]],CG$9)</f>
        <v>0</v>
      </c>
      <c r="CH136" s="516">
        <f>SUMIFS(Imput[[Importe Neto]:[Importe Neto]],Imput[[C. Imp.]:[C. Imp.]],$D136,Imput[[PERIODO Imp.]:[PERIODO Imp.]],CH$9)</f>
        <v>0</v>
      </c>
      <c r="CI136" s="516">
        <f>SUMIFS(Imput[[Importe Neto]:[Importe Neto]],Imput[[C. Imp.]:[C. Imp.]],$D136,Imput[[PERIODO Imp.]:[PERIODO Imp.]],CI$9)</f>
        <v>0</v>
      </c>
      <c r="CJ136" s="516">
        <f>SUMIFS(Imput[[Importe Neto]:[Importe Neto]],Imput[[C. Imp.]:[C. Imp.]],$D136,Imput[[PERIODO Imp.]:[PERIODO Imp.]],CJ$9)</f>
        <v>0</v>
      </c>
      <c r="CK136" s="516">
        <f>SUMIFS(Imput[[Importe Neto]:[Importe Neto]],Imput[[C. Imp.]:[C. Imp.]],$D136,Imput[[PERIODO Imp.]:[PERIODO Imp.]],CK$9)</f>
        <v>0</v>
      </c>
      <c r="CL136" s="516">
        <f>SUMIFS(Imput[[Importe Neto]:[Importe Neto]],Imput[[C. Imp.]:[C. Imp.]],$D136,Imput[[PERIODO Imp.]:[PERIODO Imp.]],CL$9)</f>
        <v>0</v>
      </c>
      <c r="CM136" s="516">
        <f>SUMIFS(Imput[[Importe Neto]:[Importe Neto]],Imput[[C. Imp.]:[C. Imp.]],$D136,Imput[[PERIODO Imp.]:[PERIODO Imp.]],CM$9)</f>
        <v>0</v>
      </c>
      <c r="CN136" s="516">
        <f>SUMIFS(Imput[[Importe Neto]:[Importe Neto]],Imput[[C. Imp.]:[C. Imp.]],$D136,Imput[[PERIODO Imp.]:[PERIODO Imp.]],CN$9)</f>
        <v>0</v>
      </c>
      <c r="CO136" s="516">
        <f>SUMIFS(Imput[[Importe Neto]:[Importe Neto]],Imput[[C. Imp.]:[C. Imp.]],$D136,Imput[[PERIODO Imp.]:[PERIODO Imp.]],CO$9)</f>
        <v>0</v>
      </c>
      <c r="CP136" s="516">
        <f>SUMIFS(Imput[[Importe Neto]:[Importe Neto]],Imput[[C. Imp.]:[C. Imp.]],$D136,Imput[[PERIODO Imp.]:[PERIODO Imp.]],CP$9)</f>
        <v>0</v>
      </c>
      <c r="CQ136" s="516">
        <f>SUMIFS(Imput[[Importe Neto]:[Importe Neto]],Imput[[C. Imp.]:[C. Imp.]],$D136,Imput[[PERIODO Imp.]:[PERIODO Imp.]],CQ$9)</f>
        <v>0</v>
      </c>
      <c r="CR136" s="516">
        <f>SUMIFS(Imput[[Importe Neto]:[Importe Neto]],Imput[[C. Imp.]:[C. Imp.]],$D136,Imput[[PERIODO Imp.]:[PERIODO Imp.]],CR$9)</f>
        <v>0</v>
      </c>
      <c r="CS136" s="516">
        <f>SUMIFS(Imput[[Importe Neto]:[Importe Neto]],Imput[[C. Imp.]:[C. Imp.]],$D136,Imput[[PERIODO Imp.]:[PERIODO Imp.]],CS$9)</f>
        <v>0</v>
      </c>
      <c r="CT136" s="516">
        <f>SUMIFS(Imput[[Importe Neto]:[Importe Neto]],Imput[[C. Imp.]:[C. Imp.]],$D136,Imput[[PERIODO Imp.]:[PERIODO Imp.]],CT$9)</f>
        <v>0</v>
      </c>
      <c r="CU136" s="516">
        <f>SUMIFS(Imput[[Importe Neto]:[Importe Neto]],Imput[[C. Imp.]:[C. Imp.]],$D136,Imput[[PERIODO Imp.]:[PERIODO Imp.]],CU$9)</f>
        <v>0</v>
      </c>
      <c r="CV136" s="516">
        <f>SUMIFS(Imput[[Importe Neto]:[Importe Neto]],Imput[[C. Imp.]:[C. Imp.]],$D136,Imput[[PERIODO Imp.]:[PERIODO Imp.]],CV$9)</f>
        <v>0</v>
      </c>
      <c r="CW136" s="516">
        <f>SUMIFS(Imput[[Importe Neto]:[Importe Neto]],Imput[[C. Imp.]:[C. Imp.]],$D136,Imput[[PERIODO Imp.]:[PERIODO Imp.]],CW$9)</f>
        <v>0</v>
      </c>
      <c r="CX136" s="516">
        <f>SUMIFS(Imput[[Importe Neto]:[Importe Neto]],Imput[[C. Imp.]:[C. Imp.]],$D136,Imput[[PERIODO Imp.]:[PERIODO Imp.]],CX$9)</f>
        <v>0</v>
      </c>
      <c r="CY136" s="516">
        <f>SUMIFS(Imput[[Importe Neto]:[Importe Neto]],Imput[[C. Imp.]:[C. Imp.]],$D136,Imput[[PERIODO Imp.]:[PERIODO Imp.]],CY$9)</f>
        <v>0</v>
      </c>
      <c r="CZ136" s="516">
        <f>SUMIFS(Imput[[Importe Neto]:[Importe Neto]],Imput[[C. Imp.]:[C. Imp.]],$D136,Imput[[PERIODO Imp.]:[PERIODO Imp.]],CZ$9)</f>
        <v>0</v>
      </c>
      <c r="DA136" s="516">
        <f>SUMIFS(Imput[[Importe Neto]:[Importe Neto]],Imput[[C. Imp.]:[C. Imp.]],$D136,Imput[[PERIODO Imp.]:[PERIODO Imp.]],DA$9)</f>
        <v>0</v>
      </c>
      <c r="DB136" s="516">
        <f>SUMIFS(Imput[[Importe Neto]:[Importe Neto]],Imput[[C. Imp.]:[C. Imp.]],$D136,Imput[[PERIODO Imp.]:[PERIODO Imp.]],DB$9)</f>
        <v>0</v>
      </c>
      <c r="DC136" s="516">
        <f>SUMIFS(Imput[[Importe Neto]:[Importe Neto]],Imput[[C. Imp.]:[C. Imp.]],$D136,Imput[[PERIODO Imp.]:[PERIODO Imp.]],DC$9)</f>
        <v>0</v>
      </c>
      <c r="DD136" s="516">
        <f>SUMIFS(Imput[[Importe Neto]:[Importe Neto]],Imput[[C. Imp.]:[C. Imp.]],$D136,Imput[[PERIODO Imp.]:[PERIODO Imp.]],DD$9)</f>
        <v>0</v>
      </c>
      <c r="DE136" s="516">
        <f>SUMIFS(Imput[[Importe Neto]:[Importe Neto]],Imput[[C. Imp.]:[C. Imp.]],$D136,Imput[[PERIODO Imp.]:[PERIODO Imp.]],DE$9)</f>
        <v>0</v>
      </c>
      <c r="DF136" s="516">
        <f>SUMIFS(Imput[[Importe Neto]:[Importe Neto]],Imput[[C. Imp.]:[C. Imp.]],$D136,Imput[[PERIODO Imp.]:[PERIODO Imp.]],DF$9)</f>
        <v>0</v>
      </c>
      <c r="DG136" s="516">
        <f>SUMIFS(Imput[[Importe Neto]:[Importe Neto]],Imput[[C. Imp.]:[C. Imp.]],$D136,Imput[[PERIODO Imp.]:[PERIODO Imp.]],DG$9)</f>
        <v>0</v>
      </c>
      <c r="DH136" s="616">
        <f>SUMIFS(Imput[[Importe Neto]:[Importe Neto]],Imput[[C. Imp.]:[C. Imp.]],$D136,Imput[[PERIODO Imp.]:[PERIODO Imp.]],DH$9)</f>
        <v>0</v>
      </c>
    </row>
    <row r="137" spans="1:112" outlineLevel="1" x14ac:dyDescent="0.3">
      <c r="A137" s="66" t="str">
        <f t="shared" si="74"/>
        <v>Imprimir</v>
      </c>
      <c r="C137" s="527"/>
      <c r="D137" s="528" t="s">
        <v>2245</v>
      </c>
      <c r="E137" s="528" t="s">
        <v>501</v>
      </c>
      <c r="F137" s="534"/>
      <c r="G137" s="529">
        <v>6</v>
      </c>
      <c r="H137" s="531">
        <f>Producción!G12*12</f>
        <v>204</v>
      </c>
      <c r="I137" s="849">
        <f t="shared" si="75"/>
        <v>1</v>
      </c>
      <c r="J137" s="850">
        <f t="shared" si="76"/>
        <v>1224</v>
      </c>
      <c r="K137" s="70"/>
      <c r="L137" s="853">
        <v>1</v>
      </c>
      <c r="M137" s="855"/>
      <c r="N137" s="855"/>
      <c r="O137" s="855"/>
      <c r="P137" s="855"/>
      <c r="Q137" s="855"/>
      <c r="R137" s="855"/>
      <c r="S137" s="855"/>
      <c r="T137" s="855"/>
      <c r="U137" s="855"/>
      <c r="V137" s="855"/>
      <c r="W137" s="855"/>
      <c r="X137" s="855"/>
      <c r="Y137" s="855"/>
      <c r="Z137" s="856"/>
      <c r="AA137" s="856"/>
      <c r="AB137" s="856"/>
      <c r="AC137" s="856"/>
      <c r="AD137" s="856"/>
      <c r="AE137" s="856"/>
      <c r="AF137" s="856"/>
      <c r="AG137" s="856"/>
      <c r="AH137" s="856"/>
      <c r="AI137" s="856"/>
      <c r="AJ137" s="856"/>
      <c r="AK137" s="856"/>
      <c r="AL137" s="856"/>
      <c r="AM137" s="856"/>
      <c r="AN137" s="856"/>
      <c r="AO137" s="856"/>
      <c r="AP137" s="856"/>
      <c r="AQ137" s="856"/>
      <c r="AR137" s="856"/>
      <c r="AS137" s="856"/>
      <c r="AT137" s="856"/>
      <c r="AU137" s="856"/>
      <c r="AV137" s="856"/>
      <c r="AW137" s="856"/>
      <c r="AX137" s="856"/>
      <c r="AY137" s="856"/>
      <c r="AZ137" s="856"/>
      <c r="BA137" s="856"/>
      <c r="BB137" s="856"/>
      <c r="BC137" s="856"/>
      <c r="BD137" s="856"/>
      <c r="BE137" s="856"/>
      <c r="BF137" s="856"/>
      <c r="BG137" s="857"/>
      <c r="BH137" s="590"/>
      <c r="BI137" s="70"/>
      <c r="BJ137" s="518">
        <f t="shared" si="77"/>
        <v>0</v>
      </c>
      <c r="BK137" s="517">
        <f t="shared" si="78"/>
        <v>0</v>
      </c>
      <c r="BL137" s="68"/>
      <c r="BM137" s="515">
        <f>SUMIFS(Imput[[Importe Neto]:[Importe Neto]],Imput[[C. Imp.]:[C. Imp.]],$D137,Imput[[PERIODO Imp.]:[PERIODO Imp.]],BM$9)</f>
        <v>0</v>
      </c>
      <c r="BN137" s="516">
        <f>SUMIFS(Imput[[Importe Neto]:[Importe Neto]],Imput[[C. Imp.]:[C. Imp.]],$D137,Imput[[PERIODO Imp.]:[PERIODO Imp.]],BN$9)</f>
        <v>0</v>
      </c>
      <c r="BO137" s="516">
        <f>SUMIFS(Imput[[Importe Neto]:[Importe Neto]],Imput[[C. Imp.]:[C. Imp.]],$D137,Imput[[PERIODO Imp.]:[PERIODO Imp.]],BO$9)</f>
        <v>0</v>
      </c>
      <c r="BP137" s="516">
        <f>SUMIFS(Imput[[Importe Neto]:[Importe Neto]],Imput[[C. Imp.]:[C. Imp.]],$D137,Imput[[PERIODO Imp.]:[PERIODO Imp.]],BP$9)</f>
        <v>0</v>
      </c>
      <c r="BQ137" s="516">
        <f>SUMIFS(Imput[[Importe Neto]:[Importe Neto]],Imput[[C. Imp.]:[C. Imp.]],$D137,Imput[[PERIODO Imp.]:[PERIODO Imp.]],BQ$9)</f>
        <v>0</v>
      </c>
      <c r="BR137" s="516">
        <f>SUMIFS(Imput[[Importe Neto]:[Importe Neto]],Imput[[C. Imp.]:[C. Imp.]],$D137,Imput[[PERIODO Imp.]:[PERIODO Imp.]],BR$9)</f>
        <v>0</v>
      </c>
      <c r="BS137" s="516">
        <f>SUMIFS(Imput[[Importe Neto]:[Importe Neto]],Imput[[C. Imp.]:[C. Imp.]],$D137,Imput[[PERIODO Imp.]:[PERIODO Imp.]],BS$9)</f>
        <v>0</v>
      </c>
      <c r="BT137" s="516">
        <f>SUMIFS(Imput[[Importe Neto]:[Importe Neto]],Imput[[C. Imp.]:[C. Imp.]],$D137,Imput[[PERIODO Imp.]:[PERIODO Imp.]],BT$9)</f>
        <v>0</v>
      </c>
      <c r="BU137" s="516">
        <f>SUMIFS(Imput[[Importe Neto]:[Importe Neto]],Imput[[C. Imp.]:[C. Imp.]],$D137,Imput[[PERIODO Imp.]:[PERIODO Imp.]],BU$9)</f>
        <v>0</v>
      </c>
      <c r="BV137" s="516">
        <f>SUMIFS(Imput[[Importe Neto]:[Importe Neto]],Imput[[C. Imp.]:[C. Imp.]],$D137,Imput[[PERIODO Imp.]:[PERIODO Imp.]],BV$9)</f>
        <v>0</v>
      </c>
      <c r="BW137" s="516">
        <f>SUMIFS(Imput[[Importe Neto]:[Importe Neto]],Imput[[C. Imp.]:[C. Imp.]],$D137,Imput[[PERIODO Imp.]:[PERIODO Imp.]],BW$9)</f>
        <v>0</v>
      </c>
      <c r="BX137" s="516">
        <f>SUMIFS(Imput[[Importe Neto]:[Importe Neto]],Imput[[C. Imp.]:[C. Imp.]],$D137,Imput[[PERIODO Imp.]:[PERIODO Imp.]],BX$9)</f>
        <v>0</v>
      </c>
      <c r="BY137" s="516">
        <f>SUMIFS(Imput[[Importe Neto]:[Importe Neto]],Imput[[C. Imp.]:[C. Imp.]],$D137,Imput[[PERIODO Imp.]:[PERIODO Imp.]],BY$9)</f>
        <v>0</v>
      </c>
      <c r="BZ137" s="516">
        <f>SUMIFS(Imput[[Importe Neto]:[Importe Neto]],Imput[[C. Imp.]:[C. Imp.]],$D137,Imput[[PERIODO Imp.]:[PERIODO Imp.]],BZ$9)</f>
        <v>0</v>
      </c>
      <c r="CA137" s="516">
        <f>SUMIFS(Imput[[Importe Neto]:[Importe Neto]],Imput[[C. Imp.]:[C. Imp.]],$D137,Imput[[PERIODO Imp.]:[PERIODO Imp.]],CA$9)</f>
        <v>0</v>
      </c>
      <c r="CB137" s="516">
        <f>SUMIFS(Imput[[Importe Neto]:[Importe Neto]],Imput[[C. Imp.]:[C. Imp.]],$D137,Imput[[PERIODO Imp.]:[PERIODO Imp.]],CB$9)</f>
        <v>0</v>
      </c>
      <c r="CC137" s="516">
        <f>SUMIFS(Imput[[Importe Neto]:[Importe Neto]],Imput[[C. Imp.]:[C. Imp.]],$D137,Imput[[PERIODO Imp.]:[PERIODO Imp.]],CC$9)</f>
        <v>0</v>
      </c>
      <c r="CD137" s="516">
        <f>SUMIFS(Imput[[Importe Neto]:[Importe Neto]],Imput[[C. Imp.]:[C. Imp.]],$D137,Imput[[PERIODO Imp.]:[PERIODO Imp.]],CD$9)</f>
        <v>0</v>
      </c>
      <c r="CE137" s="516">
        <f>SUMIFS(Imput[[Importe Neto]:[Importe Neto]],Imput[[C. Imp.]:[C. Imp.]],$D137,Imput[[PERIODO Imp.]:[PERIODO Imp.]],CE$9)</f>
        <v>0</v>
      </c>
      <c r="CF137" s="516">
        <f>SUMIFS(Imput[[Importe Neto]:[Importe Neto]],Imput[[C. Imp.]:[C. Imp.]],$D137,Imput[[PERIODO Imp.]:[PERIODO Imp.]],CF$9)</f>
        <v>0</v>
      </c>
      <c r="CG137" s="516">
        <f>SUMIFS(Imput[[Importe Neto]:[Importe Neto]],Imput[[C. Imp.]:[C. Imp.]],$D137,Imput[[PERIODO Imp.]:[PERIODO Imp.]],CG$9)</f>
        <v>0</v>
      </c>
      <c r="CH137" s="516">
        <f>SUMIFS(Imput[[Importe Neto]:[Importe Neto]],Imput[[C. Imp.]:[C. Imp.]],$D137,Imput[[PERIODO Imp.]:[PERIODO Imp.]],CH$9)</f>
        <v>0</v>
      </c>
      <c r="CI137" s="516">
        <f>SUMIFS(Imput[[Importe Neto]:[Importe Neto]],Imput[[C. Imp.]:[C. Imp.]],$D137,Imput[[PERIODO Imp.]:[PERIODO Imp.]],CI$9)</f>
        <v>0</v>
      </c>
      <c r="CJ137" s="516">
        <f>SUMIFS(Imput[[Importe Neto]:[Importe Neto]],Imput[[C. Imp.]:[C. Imp.]],$D137,Imput[[PERIODO Imp.]:[PERIODO Imp.]],CJ$9)</f>
        <v>0</v>
      </c>
      <c r="CK137" s="516">
        <f>SUMIFS(Imput[[Importe Neto]:[Importe Neto]],Imput[[C. Imp.]:[C. Imp.]],$D137,Imput[[PERIODO Imp.]:[PERIODO Imp.]],CK$9)</f>
        <v>0</v>
      </c>
      <c r="CL137" s="516">
        <f>SUMIFS(Imput[[Importe Neto]:[Importe Neto]],Imput[[C. Imp.]:[C. Imp.]],$D137,Imput[[PERIODO Imp.]:[PERIODO Imp.]],CL$9)</f>
        <v>0</v>
      </c>
      <c r="CM137" s="516">
        <f>SUMIFS(Imput[[Importe Neto]:[Importe Neto]],Imput[[C. Imp.]:[C. Imp.]],$D137,Imput[[PERIODO Imp.]:[PERIODO Imp.]],CM$9)</f>
        <v>0</v>
      </c>
      <c r="CN137" s="516">
        <f>SUMIFS(Imput[[Importe Neto]:[Importe Neto]],Imput[[C. Imp.]:[C. Imp.]],$D137,Imput[[PERIODO Imp.]:[PERIODO Imp.]],CN$9)</f>
        <v>0</v>
      </c>
      <c r="CO137" s="516">
        <f>SUMIFS(Imput[[Importe Neto]:[Importe Neto]],Imput[[C. Imp.]:[C. Imp.]],$D137,Imput[[PERIODO Imp.]:[PERIODO Imp.]],CO$9)</f>
        <v>0</v>
      </c>
      <c r="CP137" s="516">
        <f>SUMIFS(Imput[[Importe Neto]:[Importe Neto]],Imput[[C. Imp.]:[C. Imp.]],$D137,Imput[[PERIODO Imp.]:[PERIODO Imp.]],CP$9)</f>
        <v>0</v>
      </c>
      <c r="CQ137" s="516">
        <f>SUMIFS(Imput[[Importe Neto]:[Importe Neto]],Imput[[C. Imp.]:[C. Imp.]],$D137,Imput[[PERIODO Imp.]:[PERIODO Imp.]],CQ$9)</f>
        <v>0</v>
      </c>
      <c r="CR137" s="516">
        <f>SUMIFS(Imput[[Importe Neto]:[Importe Neto]],Imput[[C. Imp.]:[C. Imp.]],$D137,Imput[[PERIODO Imp.]:[PERIODO Imp.]],CR$9)</f>
        <v>0</v>
      </c>
      <c r="CS137" s="516">
        <f>SUMIFS(Imput[[Importe Neto]:[Importe Neto]],Imput[[C. Imp.]:[C. Imp.]],$D137,Imput[[PERIODO Imp.]:[PERIODO Imp.]],CS$9)</f>
        <v>0</v>
      </c>
      <c r="CT137" s="516">
        <f>SUMIFS(Imput[[Importe Neto]:[Importe Neto]],Imput[[C. Imp.]:[C. Imp.]],$D137,Imput[[PERIODO Imp.]:[PERIODO Imp.]],CT$9)</f>
        <v>0</v>
      </c>
      <c r="CU137" s="516">
        <f>SUMIFS(Imput[[Importe Neto]:[Importe Neto]],Imput[[C. Imp.]:[C. Imp.]],$D137,Imput[[PERIODO Imp.]:[PERIODO Imp.]],CU$9)</f>
        <v>0</v>
      </c>
      <c r="CV137" s="516">
        <f>SUMIFS(Imput[[Importe Neto]:[Importe Neto]],Imput[[C. Imp.]:[C. Imp.]],$D137,Imput[[PERIODO Imp.]:[PERIODO Imp.]],CV$9)</f>
        <v>0</v>
      </c>
      <c r="CW137" s="516">
        <f>SUMIFS(Imput[[Importe Neto]:[Importe Neto]],Imput[[C. Imp.]:[C. Imp.]],$D137,Imput[[PERIODO Imp.]:[PERIODO Imp.]],CW$9)</f>
        <v>0</v>
      </c>
      <c r="CX137" s="516">
        <f>SUMIFS(Imput[[Importe Neto]:[Importe Neto]],Imput[[C. Imp.]:[C. Imp.]],$D137,Imput[[PERIODO Imp.]:[PERIODO Imp.]],CX$9)</f>
        <v>0</v>
      </c>
      <c r="CY137" s="516">
        <f>SUMIFS(Imput[[Importe Neto]:[Importe Neto]],Imput[[C. Imp.]:[C. Imp.]],$D137,Imput[[PERIODO Imp.]:[PERIODO Imp.]],CY$9)</f>
        <v>0</v>
      </c>
      <c r="CZ137" s="516">
        <f>SUMIFS(Imput[[Importe Neto]:[Importe Neto]],Imput[[C. Imp.]:[C. Imp.]],$D137,Imput[[PERIODO Imp.]:[PERIODO Imp.]],CZ$9)</f>
        <v>0</v>
      </c>
      <c r="DA137" s="516">
        <f>SUMIFS(Imput[[Importe Neto]:[Importe Neto]],Imput[[C. Imp.]:[C. Imp.]],$D137,Imput[[PERIODO Imp.]:[PERIODO Imp.]],DA$9)</f>
        <v>0</v>
      </c>
      <c r="DB137" s="516">
        <f>SUMIFS(Imput[[Importe Neto]:[Importe Neto]],Imput[[C. Imp.]:[C. Imp.]],$D137,Imput[[PERIODO Imp.]:[PERIODO Imp.]],DB$9)</f>
        <v>0</v>
      </c>
      <c r="DC137" s="516">
        <f>SUMIFS(Imput[[Importe Neto]:[Importe Neto]],Imput[[C. Imp.]:[C. Imp.]],$D137,Imput[[PERIODO Imp.]:[PERIODO Imp.]],DC$9)</f>
        <v>0</v>
      </c>
      <c r="DD137" s="516">
        <f>SUMIFS(Imput[[Importe Neto]:[Importe Neto]],Imput[[C. Imp.]:[C. Imp.]],$D137,Imput[[PERIODO Imp.]:[PERIODO Imp.]],DD$9)</f>
        <v>0</v>
      </c>
      <c r="DE137" s="516">
        <f>SUMIFS(Imput[[Importe Neto]:[Importe Neto]],Imput[[C. Imp.]:[C. Imp.]],$D137,Imput[[PERIODO Imp.]:[PERIODO Imp.]],DE$9)</f>
        <v>0</v>
      </c>
      <c r="DF137" s="516">
        <f>SUMIFS(Imput[[Importe Neto]:[Importe Neto]],Imput[[C. Imp.]:[C. Imp.]],$D137,Imput[[PERIODO Imp.]:[PERIODO Imp.]],DF$9)</f>
        <v>0</v>
      </c>
      <c r="DG137" s="516">
        <f>SUMIFS(Imput[[Importe Neto]:[Importe Neto]],Imput[[C. Imp.]:[C. Imp.]],$D137,Imput[[PERIODO Imp.]:[PERIODO Imp.]],DG$9)</f>
        <v>0</v>
      </c>
      <c r="DH137" s="616">
        <f>SUMIFS(Imput[[Importe Neto]:[Importe Neto]],Imput[[C. Imp.]:[C. Imp.]],$D137,Imput[[PERIODO Imp.]:[PERIODO Imp.]],DH$9)</f>
        <v>0</v>
      </c>
    </row>
    <row r="138" spans="1:112" outlineLevel="1" x14ac:dyDescent="0.3">
      <c r="A138" s="66" t="str">
        <f t="shared" si="74"/>
        <v>Imprimir</v>
      </c>
      <c r="C138" s="527"/>
      <c r="D138" s="528" t="s">
        <v>2246</v>
      </c>
      <c r="E138" s="528" t="s">
        <v>502</v>
      </c>
      <c r="F138" s="534"/>
      <c r="G138" s="529">
        <v>30</v>
      </c>
      <c r="H138" s="531">
        <f>Producción!G12*2.9</f>
        <v>49.3</v>
      </c>
      <c r="I138" s="849">
        <f t="shared" si="75"/>
        <v>1</v>
      </c>
      <c r="J138" s="850">
        <f t="shared" si="76"/>
        <v>1479</v>
      </c>
      <c r="K138" s="70"/>
      <c r="L138" s="853">
        <v>1</v>
      </c>
      <c r="M138" s="855"/>
      <c r="N138" s="855"/>
      <c r="O138" s="855"/>
      <c r="P138" s="855"/>
      <c r="Q138" s="855"/>
      <c r="R138" s="855"/>
      <c r="S138" s="855"/>
      <c r="T138" s="855"/>
      <c r="U138" s="855"/>
      <c r="V138" s="855"/>
      <c r="W138" s="855"/>
      <c r="X138" s="855"/>
      <c r="Y138" s="855"/>
      <c r="Z138" s="856"/>
      <c r="AA138" s="856"/>
      <c r="AB138" s="856"/>
      <c r="AC138" s="856"/>
      <c r="AD138" s="856"/>
      <c r="AE138" s="856"/>
      <c r="AF138" s="856"/>
      <c r="AG138" s="856"/>
      <c r="AH138" s="856"/>
      <c r="AI138" s="856"/>
      <c r="AJ138" s="856"/>
      <c r="AK138" s="856"/>
      <c r="AL138" s="856"/>
      <c r="AM138" s="856"/>
      <c r="AN138" s="856"/>
      <c r="AO138" s="856"/>
      <c r="AP138" s="856"/>
      <c r="AQ138" s="856"/>
      <c r="AR138" s="856"/>
      <c r="AS138" s="856"/>
      <c r="AT138" s="856"/>
      <c r="AU138" s="856"/>
      <c r="AV138" s="856"/>
      <c r="AW138" s="856"/>
      <c r="AX138" s="856"/>
      <c r="AY138" s="856"/>
      <c r="AZ138" s="856"/>
      <c r="BA138" s="856"/>
      <c r="BB138" s="856"/>
      <c r="BC138" s="856"/>
      <c r="BD138" s="856"/>
      <c r="BE138" s="856"/>
      <c r="BF138" s="856"/>
      <c r="BG138" s="857"/>
      <c r="BH138" s="590"/>
      <c r="BI138" s="70"/>
      <c r="BJ138" s="518">
        <f t="shared" si="77"/>
        <v>1.0048074509803921</v>
      </c>
      <c r="BK138" s="517">
        <f t="shared" si="78"/>
        <v>1486.11022</v>
      </c>
      <c r="BL138" s="68"/>
      <c r="BM138" s="515">
        <f>SUMIFS(Imput[[Importe Neto]:[Importe Neto]],Imput[[C. Imp.]:[C. Imp.]],$D138,Imput[[PERIODO Imp.]:[PERIODO Imp.]],BM$9)</f>
        <v>0</v>
      </c>
      <c r="BN138" s="516">
        <f>SUMIFS(Imput[[Importe Neto]:[Importe Neto]],Imput[[C. Imp.]:[C. Imp.]],$D138,Imput[[PERIODO Imp.]:[PERIODO Imp.]],BN$9)</f>
        <v>0</v>
      </c>
      <c r="BO138" s="516">
        <f>SUMIFS(Imput[[Importe Neto]:[Importe Neto]],Imput[[C. Imp.]:[C. Imp.]],$D138,Imput[[PERIODO Imp.]:[PERIODO Imp.]],BO$9)</f>
        <v>0</v>
      </c>
      <c r="BP138" s="516">
        <f>SUMIFS(Imput[[Importe Neto]:[Importe Neto]],Imput[[C. Imp.]:[C. Imp.]],$D138,Imput[[PERIODO Imp.]:[PERIODO Imp.]],BP$9)</f>
        <v>0</v>
      </c>
      <c r="BQ138" s="516">
        <f>SUMIFS(Imput[[Importe Neto]:[Importe Neto]],Imput[[C. Imp.]:[C. Imp.]],$D138,Imput[[PERIODO Imp.]:[PERIODO Imp.]],BQ$9)</f>
        <v>743.90742</v>
      </c>
      <c r="BR138" s="516">
        <f>SUMIFS(Imput[[Importe Neto]:[Importe Neto]],Imput[[C. Imp.]:[C. Imp.]],$D138,Imput[[PERIODO Imp.]:[PERIODO Imp.]],BR$9)</f>
        <v>742.20280000000002</v>
      </c>
      <c r="BS138" s="516">
        <f>SUMIFS(Imput[[Importe Neto]:[Importe Neto]],Imput[[C. Imp.]:[C. Imp.]],$D138,Imput[[PERIODO Imp.]:[PERIODO Imp.]],BS$9)</f>
        <v>0</v>
      </c>
      <c r="BT138" s="516">
        <f>SUMIFS(Imput[[Importe Neto]:[Importe Neto]],Imput[[C. Imp.]:[C. Imp.]],$D138,Imput[[PERIODO Imp.]:[PERIODO Imp.]],BT$9)</f>
        <v>0</v>
      </c>
      <c r="BU138" s="516">
        <f>SUMIFS(Imput[[Importe Neto]:[Importe Neto]],Imput[[C. Imp.]:[C. Imp.]],$D138,Imput[[PERIODO Imp.]:[PERIODO Imp.]],BU$9)</f>
        <v>0</v>
      </c>
      <c r="BV138" s="516">
        <f>SUMIFS(Imput[[Importe Neto]:[Importe Neto]],Imput[[C. Imp.]:[C. Imp.]],$D138,Imput[[PERIODO Imp.]:[PERIODO Imp.]],BV$9)</f>
        <v>0</v>
      </c>
      <c r="BW138" s="516">
        <f>SUMIFS(Imput[[Importe Neto]:[Importe Neto]],Imput[[C. Imp.]:[C. Imp.]],$D138,Imput[[PERIODO Imp.]:[PERIODO Imp.]],BW$9)</f>
        <v>0</v>
      </c>
      <c r="BX138" s="516">
        <f>SUMIFS(Imput[[Importe Neto]:[Importe Neto]],Imput[[C. Imp.]:[C. Imp.]],$D138,Imput[[PERIODO Imp.]:[PERIODO Imp.]],BX$9)</f>
        <v>0</v>
      </c>
      <c r="BY138" s="516">
        <f>SUMIFS(Imput[[Importe Neto]:[Importe Neto]],Imput[[C. Imp.]:[C. Imp.]],$D138,Imput[[PERIODO Imp.]:[PERIODO Imp.]],BY$9)</f>
        <v>0</v>
      </c>
      <c r="BZ138" s="516">
        <f>SUMIFS(Imput[[Importe Neto]:[Importe Neto]],Imput[[C. Imp.]:[C. Imp.]],$D138,Imput[[PERIODO Imp.]:[PERIODO Imp.]],BZ$9)</f>
        <v>0</v>
      </c>
      <c r="CA138" s="516">
        <f>SUMIFS(Imput[[Importe Neto]:[Importe Neto]],Imput[[C. Imp.]:[C. Imp.]],$D138,Imput[[PERIODO Imp.]:[PERIODO Imp.]],CA$9)</f>
        <v>0</v>
      </c>
      <c r="CB138" s="516">
        <f>SUMIFS(Imput[[Importe Neto]:[Importe Neto]],Imput[[C. Imp.]:[C. Imp.]],$D138,Imput[[PERIODO Imp.]:[PERIODO Imp.]],CB$9)</f>
        <v>0</v>
      </c>
      <c r="CC138" s="516">
        <f>SUMIFS(Imput[[Importe Neto]:[Importe Neto]],Imput[[C. Imp.]:[C. Imp.]],$D138,Imput[[PERIODO Imp.]:[PERIODO Imp.]],CC$9)</f>
        <v>0</v>
      </c>
      <c r="CD138" s="516">
        <f>SUMIFS(Imput[[Importe Neto]:[Importe Neto]],Imput[[C. Imp.]:[C. Imp.]],$D138,Imput[[PERIODO Imp.]:[PERIODO Imp.]],CD$9)</f>
        <v>0</v>
      </c>
      <c r="CE138" s="516">
        <f>SUMIFS(Imput[[Importe Neto]:[Importe Neto]],Imput[[C. Imp.]:[C. Imp.]],$D138,Imput[[PERIODO Imp.]:[PERIODO Imp.]],CE$9)</f>
        <v>0</v>
      </c>
      <c r="CF138" s="516">
        <f>SUMIFS(Imput[[Importe Neto]:[Importe Neto]],Imput[[C. Imp.]:[C. Imp.]],$D138,Imput[[PERIODO Imp.]:[PERIODO Imp.]],CF$9)</f>
        <v>0</v>
      </c>
      <c r="CG138" s="516">
        <f>SUMIFS(Imput[[Importe Neto]:[Importe Neto]],Imput[[C. Imp.]:[C. Imp.]],$D138,Imput[[PERIODO Imp.]:[PERIODO Imp.]],CG$9)</f>
        <v>0</v>
      </c>
      <c r="CH138" s="516">
        <f>SUMIFS(Imput[[Importe Neto]:[Importe Neto]],Imput[[C. Imp.]:[C. Imp.]],$D138,Imput[[PERIODO Imp.]:[PERIODO Imp.]],CH$9)</f>
        <v>0</v>
      </c>
      <c r="CI138" s="516">
        <f>SUMIFS(Imput[[Importe Neto]:[Importe Neto]],Imput[[C. Imp.]:[C. Imp.]],$D138,Imput[[PERIODO Imp.]:[PERIODO Imp.]],CI$9)</f>
        <v>0</v>
      </c>
      <c r="CJ138" s="516">
        <f>SUMIFS(Imput[[Importe Neto]:[Importe Neto]],Imput[[C. Imp.]:[C. Imp.]],$D138,Imput[[PERIODO Imp.]:[PERIODO Imp.]],CJ$9)</f>
        <v>0</v>
      </c>
      <c r="CK138" s="516">
        <f>SUMIFS(Imput[[Importe Neto]:[Importe Neto]],Imput[[C. Imp.]:[C. Imp.]],$D138,Imput[[PERIODO Imp.]:[PERIODO Imp.]],CK$9)</f>
        <v>0</v>
      </c>
      <c r="CL138" s="516">
        <f>SUMIFS(Imput[[Importe Neto]:[Importe Neto]],Imput[[C. Imp.]:[C. Imp.]],$D138,Imput[[PERIODO Imp.]:[PERIODO Imp.]],CL$9)</f>
        <v>0</v>
      </c>
      <c r="CM138" s="516">
        <f>SUMIFS(Imput[[Importe Neto]:[Importe Neto]],Imput[[C. Imp.]:[C. Imp.]],$D138,Imput[[PERIODO Imp.]:[PERIODO Imp.]],CM$9)</f>
        <v>0</v>
      </c>
      <c r="CN138" s="516">
        <f>SUMIFS(Imput[[Importe Neto]:[Importe Neto]],Imput[[C. Imp.]:[C. Imp.]],$D138,Imput[[PERIODO Imp.]:[PERIODO Imp.]],CN$9)</f>
        <v>0</v>
      </c>
      <c r="CO138" s="516">
        <f>SUMIFS(Imput[[Importe Neto]:[Importe Neto]],Imput[[C. Imp.]:[C. Imp.]],$D138,Imput[[PERIODO Imp.]:[PERIODO Imp.]],CO$9)</f>
        <v>0</v>
      </c>
      <c r="CP138" s="516">
        <f>SUMIFS(Imput[[Importe Neto]:[Importe Neto]],Imput[[C. Imp.]:[C. Imp.]],$D138,Imput[[PERIODO Imp.]:[PERIODO Imp.]],CP$9)</f>
        <v>0</v>
      </c>
      <c r="CQ138" s="516">
        <f>SUMIFS(Imput[[Importe Neto]:[Importe Neto]],Imput[[C. Imp.]:[C. Imp.]],$D138,Imput[[PERIODO Imp.]:[PERIODO Imp.]],CQ$9)</f>
        <v>0</v>
      </c>
      <c r="CR138" s="516">
        <f>SUMIFS(Imput[[Importe Neto]:[Importe Neto]],Imput[[C. Imp.]:[C. Imp.]],$D138,Imput[[PERIODO Imp.]:[PERIODO Imp.]],CR$9)</f>
        <v>0</v>
      </c>
      <c r="CS138" s="516">
        <f>SUMIFS(Imput[[Importe Neto]:[Importe Neto]],Imput[[C. Imp.]:[C. Imp.]],$D138,Imput[[PERIODO Imp.]:[PERIODO Imp.]],CS$9)</f>
        <v>0</v>
      </c>
      <c r="CT138" s="516">
        <f>SUMIFS(Imput[[Importe Neto]:[Importe Neto]],Imput[[C. Imp.]:[C. Imp.]],$D138,Imput[[PERIODO Imp.]:[PERIODO Imp.]],CT$9)</f>
        <v>0</v>
      </c>
      <c r="CU138" s="516">
        <f>SUMIFS(Imput[[Importe Neto]:[Importe Neto]],Imput[[C. Imp.]:[C. Imp.]],$D138,Imput[[PERIODO Imp.]:[PERIODO Imp.]],CU$9)</f>
        <v>0</v>
      </c>
      <c r="CV138" s="516">
        <f>SUMIFS(Imput[[Importe Neto]:[Importe Neto]],Imput[[C. Imp.]:[C. Imp.]],$D138,Imput[[PERIODO Imp.]:[PERIODO Imp.]],CV$9)</f>
        <v>0</v>
      </c>
      <c r="CW138" s="516">
        <f>SUMIFS(Imput[[Importe Neto]:[Importe Neto]],Imput[[C. Imp.]:[C. Imp.]],$D138,Imput[[PERIODO Imp.]:[PERIODO Imp.]],CW$9)</f>
        <v>0</v>
      </c>
      <c r="CX138" s="516">
        <f>SUMIFS(Imput[[Importe Neto]:[Importe Neto]],Imput[[C. Imp.]:[C. Imp.]],$D138,Imput[[PERIODO Imp.]:[PERIODO Imp.]],CX$9)</f>
        <v>0</v>
      </c>
      <c r="CY138" s="516">
        <f>SUMIFS(Imput[[Importe Neto]:[Importe Neto]],Imput[[C. Imp.]:[C. Imp.]],$D138,Imput[[PERIODO Imp.]:[PERIODO Imp.]],CY$9)</f>
        <v>0</v>
      </c>
      <c r="CZ138" s="516">
        <f>SUMIFS(Imput[[Importe Neto]:[Importe Neto]],Imput[[C. Imp.]:[C. Imp.]],$D138,Imput[[PERIODO Imp.]:[PERIODO Imp.]],CZ$9)</f>
        <v>0</v>
      </c>
      <c r="DA138" s="516">
        <f>SUMIFS(Imput[[Importe Neto]:[Importe Neto]],Imput[[C. Imp.]:[C. Imp.]],$D138,Imput[[PERIODO Imp.]:[PERIODO Imp.]],DA$9)</f>
        <v>0</v>
      </c>
      <c r="DB138" s="516">
        <f>SUMIFS(Imput[[Importe Neto]:[Importe Neto]],Imput[[C. Imp.]:[C. Imp.]],$D138,Imput[[PERIODO Imp.]:[PERIODO Imp.]],DB$9)</f>
        <v>0</v>
      </c>
      <c r="DC138" s="516">
        <f>SUMIFS(Imput[[Importe Neto]:[Importe Neto]],Imput[[C. Imp.]:[C. Imp.]],$D138,Imput[[PERIODO Imp.]:[PERIODO Imp.]],DC$9)</f>
        <v>0</v>
      </c>
      <c r="DD138" s="516">
        <f>SUMIFS(Imput[[Importe Neto]:[Importe Neto]],Imput[[C. Imp.]:[C. Imp.]],$D138,Imput[[PERIODO Imp.]:[PERIODO Imp.]],DD$9)</f>
        <v>0</v>
      </c>
      <c r="DE138" s="516">
        <f>SUMIFS(Imput[[Importe Neto]:[Importe Neto]],Imput[[C. Imp.]:[C. Imp.]],$D138,Imput[[PERIODO Imp.]:[PERIODO Imp.]],DE$9)</f>
        <v>0</v>
      </c>
      <c r="DF138" s="516">
        <f>SUMIFS(Imput[[Importe Neto]:[Importe Neto]],Imput[[C. Imp.]:[C. Imp.]],$D138,Imput[[PERIODO Imp.]:[PERIODO Imp.]],DF$9)</f>
        <v>0</v>
      </c>
      <c r="DG138" s="516">
        <f>SUMIFS(Imput[[Importe Neto]:[Importe Neto]],Imput[[C. Imp.]:[C. Imp.]],$D138,Imput[[PERIODO Imp.]:[PERIODO Imp.]],DG$9)</f>
        <v>0</v>
      </c>
      <c r="DH138" s="616">
        <f>SUMIFS(Imput[[Importe Neto]:[Importe Neto]],Imput[[C. Imp.]:[C. Imp.]],$D138,Imput[[PERIODO Imp.]:[PERIODO Imp.]],DH$9)</f>
        <v>0</v>
      </c>
    </row>
    <row r="139" spans="1:112" outlineLevel="1" x14ac:dyDescent="0.3">
      <c r="A139" s="652" t="str">
        <f t="shared" si="74"/>
        <v>Imprimir</v>
      </c>
      <c r="B139" s="652"/>
      <c r="C139" s="685"/>
      <c r="D139" s="686" t="s">
        <v>2247</v>
      </c>
      <c r="E139" s="686" t="s">
        <v>503</v>
      </c>
      <c r="F139" s="720"/>
      <c r="G139" s="688">
        <v>18</v>
      </c>
      <c r="H139" s="689">
        <f>Producción!G12*21.168</f>
        <v>359.85599999999999</v>
      </c>
      <c r="I139" s="851">
        <f t="shared" si="75"/>
        <v>1</v>
      </c>
      <c r="J139" s="852">
        <f t="shared" si="76"/>
        <v>6477.4079999999994</v>
      </c>
      <c r="K139" s="667"/>
      <c r="L139" s="858">
        <v>1</v>
      </c>
      <c r="M139" s="859"/>
      <c r="N139" s="859"/>
      <c r="O139" s="859"/>
      <c r="P139" s="859"/>
      <c r="Q139" s="859"/>
      <c r="R139" s="859"/>
      <c r="S139" s="859"/>
      <c r="T139" s="859"/>
      <c r="U139" s="859"/>
      <c r="V139" s="859"/>
      <c r="W139" s="859"/>
      <c r="X139" s="859"/>
      <c r="Y139" s="859"/>
      <c r="Z139" s="860"/>
      <c r="AA139" s="860"/>
      <c r="AB139" s="860"/>
      <c r="AC139" s="860"/>
      <c r="AD139" s="860"/>
      <c r="AE139" s="860"/>
      <c r="AF139" s="860"/>
      <c r="AG139" s="860"/>
      <c r="AH139" s="860"/>
      <c r="AI139" s="860"/>
      <c r="AJ139" s="860"/>
      <c r="AK139" s="860"/>
      <c r="AL139" s="860"/>
      <c r="AM139" s="860"/>
      <c r="AN139" s="860"/>
      <c r="AO139" s="860"/>
      <c r="AP139" s="860"/>
      <c r="AQ139" s="860"/>
      <c r="AR139" s="860"/>
      <c r="AS139" s="860"/>
      <c r="AT139" s="860"/>
      <c r="AU139" s="860"/>
      <c r="AV139" s="860"/>
      <c r="AW139" s="860"/>
      <c r="AX139" s="860"/>
      <c r="AY139" s="860"/>
      <c r="AZ139" s="860"/>
      <c r="BA139" s="860"/>
      <c r="BB139" s="860"/>
      <c r="BC139" s="860"/>
      <c r="BD139" s="860"/>
      <c r="BE139" s="860"/>
      <c r="BF139" s="860"/>
      <c r="BG139" s="861"/>
      <c r="BH139" s="668"/>
      <c r="BI139" s="667"/>
      <c r="BJ139" s="690">
        <f t="shared" si="77"/>
        <v>0.75215271293702668</v>
      </c>
      <c r="BK139" s="691">
        <f t="shared" si="78"/>
        <v>4872</v>
      </c>
      <c r="BL139" s="654"/>
      <c r="BM139" s="692">
        <f>SUMIFS(Imput[[Importe Neto]:[Importe Neto]],Imput[[C. Imp.]:[C. Imp.]],$D139,Imput[[PERIODO Imp.]:[PERIODO Imp.]],BM$9)</f>
        <v>0</v>
      </c>
      <c r="BN139" s="693">
        <f>SUMIFS(Imput[[Importe Neto]:[Importe Neto]],Imput[[C. Imp.]:[C. Imp.]],$D139,Imput[[PERIODO Imp.]:[PERIODO Imp.]],BN$9)</f>
        <v>0</v>
      </c>
      <c r="BO139" s="693">
        <f>SUMIFS(Imput[[Importe Neto]:[Importe Neto]],Imput[[C. Imp.]:[C. Imp.]],$D139,Imput[[PERIODO Imp.]:[PERIODO Imp.]],BO$9)</f>
        <v>4872</v>
      </c>
      <c r="BP139" s="693">
        <f>SUMIFS(Imput[[Importe Neto]:[Importe Neto]],Imput[[C. Imp.]:[C. Imp.]],$D139,Imput[[PERIODO Imp.]:[PERIODO Imp.]],BP$9)</f>
        <v>0</v>
      </c>
      <c r="BQ139" s="693">
        <f>SUMIFS(Imput[[Importe Neto]:[Importe Neto]],Imput[[C. Imp.]:[C. Imp.]],$D139,Imput[[PERIODO Imp.]:[PERIODO Imp.]],BQ$9)</f>
        <v>0</v>
      </c>
      <c r="BR139" s="693">
        <f>SUMIFS(Imput[[Importe Neto]:[Importe Neto]],Imput[[C. Imp.]:[C. Imp.]],$D139,Imput[[PERIODO Imp.]:[PERIODO Imp.]],BR$9)</f>
        <v>0</v>
      </c>
      <c r="BS139" s="693">
        <f>SUMIFS(Imput[[Importe Neto]:[Importe Neto]],Imput[[C. Imp.]:[C. Imp.]],$D139,Imput[[PERIODO Imp.]:[PERIODO Imp.]],BS$9)</f>
        <v>0</v>
      </c>
      <c r="BT139" s="693">
        <f>SUMIFS(Imput[[Importe Neto]:[Importe Neto]],Imput[[C. Imp.]:[C. Imp.]],$D139,Imput[[PERIODO Imp.]:[PERIODO Imp.]],BT$9)</f>
        <v>0</v>
      </c>
      <c r="BU139" s="693">
        <f>SUMIFS(Imput[[Importe Neto]:[Importe Neto]],Imput[[C. Imp.]:[C. Imp.]],$D139,Imput[[PERIODO Imp.]:[PERIODO Imp.]],BU$9)</f>
        <v>0</v>
      </c>
      <c r="BV139" s="693">
        <f>SUMIFS(Imput[[Importe Neto]:[Importe Neto]],Imput[[C. Imp.]:[C. Imp.]],$D139,Imput[[PERIODO Imp.]:[PERIODO Imp.]],BV$9)</f>
        <v>0</v>
      </c>
      <c r="BW139" s="693">
        <f>SUMIFS(Imput[[Importe Neto]:[Importe Neto]],Imput[[C. Imp.]:[C. Imp.]],$D139,Imput[[PERIODO Imp.]:[PERIODO Imp.]],BW$9)</f>
        <v>0</v>
      </c>
      <c r="BX139" s="693">
        <f>SUMIFS(Imput[[Importe Neto]:[Importe Neto]],Imput[[C. Imp.]:[C. Imp.]],$D139,Imput[[PERIODO Imp.]:[PERIODO Imp.]],BX$9)</f>
        <v>0</v>
      </c>
      <c r="BY139" s="693">
        <f>SUMIFS(Imput[[Importe Neto]:[Importe Neto]],Imput[[C. Imp.]:[C. Imp.]],$D139,Imput[[PERIODO Imp.]:[PERIODO Imp.]],BY$9)</f>
        <v>0</v>
      </c>
      <c r="BZ139" s="693">
        <f>SUMIFS(Imput[[Importe Neto]:[Importe Neto]],Imput[[C. Imp.]:[C. Imp.]],$D139,Imput[[PERIODO Imp.]:[PERIODO Imp.]],BZ$9)</f>
        <v>0</v>
      </c>
      <c r="CA139" s="693">
        <f>SUMIFS(Imput[[Importe Neto]:[Importe Neto]],Imput[[C. Imp.]:[C. Imp.]],$D139,Imput[[PERIODO Imp.]:[PERIODO Imp.]],CA$9)</f>
        <v>0</v>
      </c>
      <c r="CB139" s="693">
        <f>SUMIFS(Imput[[Importe Neto]:[Importe Neto]],Imput[[C. Imp.]:[C. Imp.]],$D139,Imput[[PERIODO Imp.]:[PERIODO Imp.]],CB$9)</f>
        <v>0</v>
      </c>
      <c r="CC139" s="693">
        <f>SUMIFS(Imput[[Importe Neto]:[Importe Neto]],Imput[[C. Imp.]:[C. Imp.]],$D139,Imput[[PERIODO Imp.]:[PERIODO Imp.]],CC$9)</f>
        <v>0</v>
      </c>
      <c r="CD139" s="693">
        <f>SUMIFS(Imput[[Importe Neto]:[Importe Neto]],Imput[[C. Imp.]:[C. Imp.]],$D139,Imput[[PERIODO Imp.]:[PERIODO Imp.]],CD$9)</f>
        <v>0</v>
      </c>
      <c r="CE139" s="693">
        <f>SUMIFS(Imput[[Importe Neto]:[Importe Neto]],Imput[[C. Imp.]:[C. Imp.]],$D139,Imput[[PERIODO Imp.]:[PERIODO Imp.]],CE$9)</f>
        <v>0</v>
      </c>
      <c r="CF139" s="693">
        <f>SUMIFS(Imput[[Importe Neto]:[Importe Neto]],Imput[[C. Imp.]:[C. Imp.]],$D139,Imput[[PERIODO Imp.]:[PERIODO Imp.]],CF$9)</f>
        <v>0</v>
      </c>
      <c r="CG139" s="693">
        <f>SUMIFS(Imput[[Importe Neto]:[Importe Neto]],Imput[[C. Imp.]:[C. Imp.]],$D139,Imput[[PERIODO Imp.]:[PERIODO Imp.]],CG$9)</f>
        <v>0</v>
      </c>
      <c r="CH139" s="693">
        <f>SUMIFS(Imput[[Importe Neto]:[Importe Neto]],Imput[[C. Imp.]:[C. Imp.]],$D139,Imput[[PERIODO Imp.]:[PERIODO Imp.]],CH$9)</f>
        <v>0</v>
      </c>
      <c r="CI139" s="693">
        <f>SUMIFS(Imput[[Importe Neto]:[Importe Neto]],Imput[[C. Imp.]:[C. Imp.]],$D139,Imput[[PERIODO Imp.]:[PERIODO Imp.]],CI$9)</f>
        <v>0</v>
      </c>
      <c r="CJ139" s="693">
        <f>SUMIFS(Imput[[Importe Neto]:[Importe Neto]],Imput[[C. Imp.]:[C. Imp.]],$D139,Imput[[PERIODO Imp.]:[PERIODO Imp.]],CJ$9)</f>
        <v>0</v>
      </c>
      <c r="CK139" s="693">
        <f>SUMIFS(Imput[[Importe Neto]:[Importe Neto]],Imput[[C. Imp.]:[C. Imp.]],$D139,Imput[[PERIODO Imp.]:[PERIODO Imp.]],CK$9)</f>
        <v>0</v>
      </c>
      <c r="CL139" s="693">
        <f>SUMIFS(Imput[[Importe Neto]:[Importe Neto]],Imput[[C. Imp.]:[C. Imp.]],$D139,Imput[[PERIODO Imp.]:[PERIODO Imp.]],CL$9)</f>
        <v>0</v>
      </c>
      <c r="CM139" s="693">
        <f>SUMIFS(Imput[[Importe Neto]:[Importe Neto]],Imput[[C. Imp.]:[C. Imp.]],$D139,Imput[[PERIODO Imp.]:[PERIODO Imp.]],CM$9)</f>
        <v>0</v>
      </c>
      <c r="CN139" s="693">
        <f>SUMIFS(Imput[[Importe Neto]:[Importe Neto]],Imput[[C. Imp.]:[C. Imp.]],$D139,Imput[[PERIODO Imp.]:[PERIODO Imp.]],CN$9)</f>
        <v>0</v>
      </c>
      <c r="CO139" s="693">
        <f>SUMIFS(Imput[[Importe Neto]:[Importe Neto]],Imput[[C. Imp.]:[C. Imp.]],$D139,Imput[[PERIODO Imp.]:[PERIODO Imp.]],CO$9)</f>
        <v>0</v>
      </c>
      <c r="CP139" s="693">
        <f>SUMIFS(Imput[[Importe Neto]:[Importe Neto]],Imput[[C. Imp.]:[C. Imp.]],$D139,Imput[[PERIODO Imp.]:[PERIODO Imp.]],CP$9)</f>
        <v>0</v>
      </c>
      <c r="CQ139" s="693">
        <f>SUMIFS(Imput[[Importe Neto]:[Importe Neto]],Imput[[C. Imp.]:[C. Imp.]],$D139,Imput[[PERIODO Imp.]:[PERIODO Imp.]],CQ$9)</f>
        <v>0</v>
      </c>
      <c r="CR139" s="693">
        <f>SUMIFS(Imput[[Importe Neto]:[Importe Neto]],Imput[[C. Imp.]:[C. Imp.]],$D139,Imput[[PERIODO Imp.]:[PERIODO Imp.]],CR$9)</f>
        <v>0</v>
      </c>
      <c r="CS139" s="693">
        <f>SUMIFS(Imput[[Importe Neto]:[Importe Neto]],Imput[[C. Imp.]:[C. Imp.]],$D139,Imput[[PERIODO Imp.]:[PERIODO Imp.]],CS$9)</f>
        <v>0</v>
      </c>
      <c r="CT139" s="693">
        <f>SUMIFS(Imput[[Importe Neto]:[Importe Neto]],Imput[[C. Imp.]:[C. Imp.]],$D139,Imput[[PERIODO Imp.]:[PERIODO Imp.]],CT$9)</f>
        <v>0</v>
      </c>
      <c r="CU139" s="693">
        <f>SUMIFS(Imput[[Importe Neto]:[Importe Neto]],Imput[[C. Imp.]:[C. Imp.]],$D139,Imput[[PERIODO Imp.]:[PERIODO Imp.]],CU$9)</f>
        <v>0</v>
      </c>
      <c r="CV139" s="693">
        <f>SUMIFS(Imput[[Importe Neto]:[Importe Neto]],Imput[[C. Imp.]:[C. Imp.]],$D139,Imput[[PERIODO Imp.]:[PERIODO Imp.]],CV$9)</f>
        <v>0</v>
      </c>
      <c r="CW139" s="693">
        <f>SUMIFS(Imput[[Importe Neto]:[Importe Neto]],Imput[[C. Imp.]:[C. Imp.]],$D139,Imput[[PERIODO Imp.]:[PERIODO Imp.]],CW$9)</f>
        <v>0</v>
      </c>
      <c r="CX139" s="693">
        <f>SUMIFS(Imput[[Importe Neto]:[Importe Neto]],Imput[[C. Imp.]:[C. Imp.]],$D139,Imput[[PERIODO Imp.]:[PERIODO Imp.]],CX$9)</f>
        <v>0</v>
      </c>
      <c r="CY139" s="693">
        <f>SUMIFS(Imput[[Importe Neto]:[Importe Neto]],Imput[[C. Imp.]:[C. Imp.]],$D139,Imput[[PERIODO Imp.]:[PERIODO Imp.]],CY$9)</f>
        <v>0</v>
      </c>
      <c r="CZ139" s="693">
        <f>SUMIFS(Imput[[Importe Neto]:[Importe Neto]],Imput[[C. Imp.]:[C. Imp.]],$D139,Imput[[PERIODO Imp.]:[PERIODO Imp.]],CZ$9)</f>
        <v>0</v>
      </c>
      <c r="DA139" s="693">
        <f>SUMIFS(Imput[[Importe Neto]:[Importe Neto]],Imput[[C. Imp.]:[C. Imp.]],$D139,Imput[[PERIODO Imp.]:[PERIODO Imp.]],DA$9)</f>
        <v>0</v>
      </c>
      <c r="DB139" s="693">
        <f>SUMIFS(Imput[[Importe Neto]:[Importe Neto]],Imput[[C. Imp.]:[C. Imp.]],$D139,Imput[[PERIODO Imp.]:[PERIODO Imp.]],DB$9)</f>
        <v>0</v>
      </c>
      <c r="DC139" s="693">
        <f>SUMIFS(Imput[[Importe Neto]:[Importe Neto]],Imput[[C. Imp.]:[C. Imp.]],$D139,Imput[[PERIODO Imp.]:[PERIODO Imp.]],DC$9)</f>
        <v>0</v>
      </c>
      <c r="DD139" s="693">
        <f>SUMIFS(Imput[[Importe Neto]:[Importe Neto]],Imput[[C. Imp.]:[C. Imp.]],$D139,Imput[[PERIODO Imp.]:[PERIODO Imp.]],DD$9)</f>
        <v>0</v>
      </c>
      <c r="DE139" s="693">
        <f>SUMIFS(Imput[[Importe Neto]:[Importe Neto]],Imput[[C. Imp.]:[C. Imp.]],$D139,Imput[[PERIODO Imp.]:[PERIODO Imp.]],DE$9)</f>
        <v>0</v>
      </c>
      <c r="DF139" s="693">
        <f>SUMIFS(Imput[[Importe Neto]:[Importe Neto]],Imput[[C. Imp.]:[C. Imp.]],$D139,Imput[[PERIODO Imp.]:[PERIODO Imp.]],DF$9)</f>
        <v>0</v>
      </c>
      <c r="DG139" s="693">
        <f>SUMIFS(Imput[[Importe Neto]:[Importe Neto]],Imput[[C. Imp.]:[C. Imp.]],$D139,Imput[[PERIODO Imp.]:[PERIODO Imp.]],DG$9)</f>
        <v>0</v>
      </c>
      <c r="DH139" s="694">
        <f>SUMIFS(Imput[[Importe Neto]:[Importe Neto]],Imput[[C. Imp.]:[C. Imp.]],$D139,Imput[[PERIODO Imp.]:[PERIODO Imp.]],DH$9)</f>
        <v>0</v>
      </c>
    </row>
    <row r="140" spans="1:112" outlineLevel="1" x14ac:dyDescent="0.3">
      <c r="A140" s="652" t="str">
        <f t="shared" si="74"/>
        <v>Imprimir</v>
      </c>
      <c r="B140" s="652"/>
      <c r="C140" s="685"/>
      <c r="D140" s="686" t="s">
        <v>2248</v>
      </c>
      <c r="E140" s="686" t="s">
        <v>504</v>
      </c>
      <c r="F140" s="720"/>
      <c r="G140" s="688">
        <v>18</v>
      </c>
      <c r="H140" s="689">
        <f>Producción!G12*112.896</f>
        <v>1919.232</v>
      </c>
      <c r="I140" s="851">
        <f t="shared" si="75"/>
        <v>1</v>
      </c>
      <c r="J140" s="852">
        <f t="shared" si="76"/>
        <v>34546.175999999999</v>
      </c>
      <c r="K140" s="667"/>
      <c r="L140" s="858">
        <v>1</v>
      </c>
      <c r="M140" s="859"/>
      <c r="N140" s="859"/>
      <c r="O140" s="859"/>
      <c r="P140" s="859"/>
      <c r="Q140" s="859"/>
      <c r="R140" s="859"/>
      <c r="S140" s="859"/>
      <c r="T140" s="859"/>
      <c r="U140" s="859"/>
      <c r="V140" s="859"/>
      <c r="W140" s="859"/>
      <c r="X140" s="859"/>
      <c r="Y140" s="859"/>
      <c r="Z140" s="860"/>
      <c r="AA140" s="860"/>
      <c r="AB140" s="860"/>
      <c r="AC140" s="860"/>
      <c r="AD140" s="860"/>
      <c r="AE140" s="860"/>
      <c r="AF140" s="860"/>
      <c r="AG140" s="860"/>
      <c r="AH140" s="860"/>
      <c r="AI140" s="860"/>
      <c r="AJ140" s="860"/>
      <c r="AK140" s="860"/>
      <c r="AL140" s="860"/>
      <c r="AM140" s="860"/>
      <c r="AN140" s="860"/>
      <c r="AO140" s="860"/>
      <c r="AP140" s="860"/>
      <c r="AQ140" s="860"/>
      <c r="AR140" s="860"/>
      <c r="AS140" s="860"/>
      <c r="AT140" s="860"/>
      <c r="AU140" s="860"/>
      <c r="AV140" s="860"/>
      <c r="AW140" s="860"/>
      <c r="AX140" s="860"/>
      <c r="AY140" s="860"/>
      <c r="AZ140" s="860"/>
      <c r="BA140" s="860"/>
      <c r="BB140" s="860"/>
      <c r="BC140" s="860"/>
      <c r="BD140" s="860"/>
      <c r="BE140" s="860"/>
      <c r="BF140" s="860"/>
      <c r="BG140" s="861"/>
      <c r="BH140" s="668"/>
      <c r="BI140" s="667"/>
      <c r="BJ140" s="690">
        <f t="shared" si="77"/>
        <v>1.0810079818964622</v>
      </c>
      <c r="BK140" s="691">
        <f t="shared" si="78"/>
        <v>37344.691999999995</v>
      </c>
      <c r="BL140" s="654"/>
      <c r="BM140" s="692">
        <f>SUMIFS(Imput[[Importe Neto]:[Importe Neto]],Imput[[C. Imp.]:[C. Imp.]],$D140,Imput[[PERIODO Imp.]:[PERIODO Imp.]],BM$9)</f>
        <v>0</v>
      </c>
      <c r="BN140" s="693">
        <f>SUMIFS(Imput[[Importe Neto]:[Importe Neto]],Imput[[C. Imp.]:[C. Imp.]],$D140,Imput[[PERIODO Imp.]:[PERIODO Imp.]],BN$9)</f>
        <v>0</v>
      </c>
      <c r="BO140" s="693">
        <f>SUMIFS(Imput[[Importe Neto]:[Importe Neto]],Imput[[C. Imp.]:[C. Imp.]],$D140,Imput[[PERIODO Imp.]:[PERIODO Imp.]],BO$9)</f>
        <v>37344.691999999995</v>
      </c>
      <c r="BP140" s="693">
        <f>SUMIFS(Imput[[Importe Neto]:[Importe Neto]],Imput[[C. Imp.]:[C. Imp.]],$D140,Imput[[PERIODO Imp.]:[PERIODO Imp.]],BP$9)</f>
        <v>0</v>
      </c>
      <c r="BQ140" s="693">
        <f>SUMIFS(Imput[[Importe Neto]:[Importe Neto]],Imput[[C. Imp.]:[C. Imp.]],$D140,Imput[[PERIODO Imp.]:[PERIODO Imp.]],BQ$9)</f>
        <v>0</v>
      </c>
      <c r="BR140" s="693">
        <f>SUMIFS(Imput[[Importe Neto]:[Importe Neto]],Imput[[C. Imp.]:[C. Imp.]],$D140,Imput[[PERIODO Imp.]:[PERIODO Imp.]],BR$9)</f>
        <v>0</v>
      </c>
      <c r="BS140" s="693">
        <f>SUMIFS(Imput[[Importe Neto]:[Importe Neto]],Imput[[C. Imp.]:[C. Imp.]],$D140,Imput[[PERIODO Imp.]:[PERIODO Imp.]],BS$9)</f>
        <v>0</v>
      </c>
      <c r="BT140" s="693">
        <f>SUMIFS(Imput[[Importe Neto]:[Importe Neto]],Imput[[C. Imp.]:[C. Imp.]],$D140,Imput[[PERIODO Imp.]:[PERIODO Imp.]],BT$9)</f>
        <v>0</v>
      </c>
      <c r="BU140" s="693">
        <f>SUMIFS(Imput[[Importe Neto]:[Importe Neto]],Imput[[C. Imp.]:[C. Imp.]],$D140,Imput[[PERIODO Imp.]:[PERIODO Imp.]],BU$9)</f>
        <v>0</v>
      </c>
      <c r="BV140" s="693">
        <f>SUMIFS(Imput[[Importe Neto]:[Importe Neto]],Imput[[C. Imp.]:[C. Imp.]],$D140,Imput[[PERIODO Imp.]:[PERIODO Imp.]],BV$9)</f>
        <v>0</v>
      </c>
      <c r="BW140" s="693">
        <f>SUMIFS(Imput[[Importe Neto]:[Importe Neto]],Imput[[C. Imp.]:[C. Imp.]],$D140,Imput[[PERIODO Imp.]:[PERIODO Imp.]],BW$9)</f>
        <v>0</v>
      </c>
      <c r="BX140" s="693">
        <f>SUMIFS(Imput[[Importe Neto]:[Importe Neto]],Imput[[C. Imp.]:[C. Imp.]],$D140,Imput[[PERIODO Imp.]:[PERIODO Imp.]],BX$9)</f>
        <v>0</v>
      </c>
      <c r="BY140" s="693">
        <f>SUMIFS(Imput[[Importe Neto]:[Importe Neto]],Imput[[C. Imp.]:[C. Imp.]],$D140,Imput[[PERIODO Imp.]:[PERIODO Imp.]],BY$9)</f>
        <v>0</v>
      </c>
      <c r="BZ140" s="693">
        <f>SUMIFS(Imput[[Importe Neto]:[Importe Neto]],Imput[[C. Imp.]:[C. Imp.]],$D140,Imput[[PERIODO Imp.]:[PERIODO Imp.]],BZ$9)</f>
        <v>0</v>
      </c>
      <c r="CA140" s="693">
        <f>SUMIFS(Imput[[Importe Neto]:[Importe Neto]],Imput[[C. Imp.]:[C. Imp.]],$D140,Imput[[PERIODO Imp.]:[PERIODO Imp.]],CA$9)</f>
        <v>0</v>
      </c>
      <c r="CB140" s="693">
        <f>SUMIFS(Imput[[Importe Neto]:[Importe Neto]],Imput[[C. Imp.]:[C. Imp.]],$D140,Imput[[PERIODO Imp.]:[PERIODO Imp.]],CB$9)</f>
        <v>0</v>
      </c>
      <c r="CC140" s="693">
        <f>SUMIFS(Imput[[Importe Neto]:[Importe Neto]],Imput[[C. Imp.]:[C. Imp.]],$D140,Imput[[PERIODO Imp.]:[PERIODO Imp.]],CC$9)</f>
        <v>0</v>
      </c>
      <c r="CD140" s="693">
        <f>SUMIFS(Imput[[Importe Neto]:[Importe Neto]],Imput[[C. Imp.]:[C. Imp.]],$D140,Imput[[PERIODO Imp.]:[PERIODO Imp.]],CD$9)</f>
        <v>0</v>
      </c>
      <c r="CE140" s="693">
        <f>SUMIFS(Imput[[Importe Neto]:[Importe Neto]],Imput[[C. Imp.]:[C. Imp.]],$D140,Imput[[PERIODO Imp.]:[PERIODO Imp.]],CE$9)</f>
        <v>0</v>
      </c>
      <c r="CF140" s="693">
        <f>SUMIFS(Imput[[Importe Neto]:[Importe Neto]],Imput[[C. Imp.]:[C. Imp.]],$D140,Imput[[PERIODO Imp.]:[PERIODO Imp.]],CF$9)</f>
        <v>0</v>
      </c>
      <c r="CG140" s="693">
        <f>SUMIFS(Imput[[Importe Neto]:[Importe Neto]],Imput[[C. Imp.]:[C. Imp.]],$D140,Imput[[PERIODO Imp.]:[PERIODO Imp.]],CG$9)</f>
        <v>0</v>
      </c>
      <c r="CH140" s="693">
        <f>SUMIFS(Imput[[Importe Neto]:[Importe Neto]],Imput[[C. Imp.]:[C. Imp.]],$D140,Imput[[PERIODO Imp.]:[PERIODO Imp.]],CH$9)</f>
        <v>0</v>
      </c>
      <c r="CI140" s="693">
        <f>SUMIFS(Imput[[Importe Neto]:[Importe Neto]],Imput[[C. Imp.]:[C. Imp.]],$D140,Imput[[PERIODO Imp.]:[PERIODO Imp.]],CI$9)</f>
        <v>0</v>
      </c>
      <c r="CJ140" s="693">
        <f>SUMIFS(Imput[[Importe Neto]:[Importe Neto]],Imput[[C. Imp.]:[C. Imp.]],$D140,Imput[[PERIODO Imp.]:[PERIODO Imp.]],CJ$9)</f>
        <v>0</v>
      </c>
      <c r="CK140" s="693">
        <f>SUMIFS(Imput[[Importe Neto]:[Importe Neto]],Imput[[C. Imp.]:[C. Imp.]],$D140,Imput[[PERIODO Imp.]:[PERIODO Imp.]],CK$9)</f>
        <v>0</v>
      </c>
      <c r="CL140" s="693">
        <f>SUMIFS(Imput[[Importe Neto]:[Importe Neto]],Imput[[C. Imp.]:[C. Imp.]],$D140,Imput[[PERIODO Imp.]:[PERIODO Imp.]],CL$9)</f>
        <v>0</v>
      </c>
      <c r="CM140" s="693">
        <f>SUMIFS(Imput[[Importe Neto]:[Importe Neto]],Imput[[C. Imp.]:[C. Imp.]],$D140,Imput[[PERIODO Imp.]:[PERIODO Imp.]],CM$9)</f>
        <v>0</v>
      </c>
      <c r="CN140" s="693">
        <f>SUMIFS(Imput[[Importe Neto]:[Importe Neto]],Imput[[C. Imp.]:[C. Imp.]],$D140,Imput[[PERIODO Imp.]:[PERIODO Imp.]],CN$9)</f>
        <v>0</v>
      </c>
      <c r="CO140" s="693">
        <f>SUMIFS(Imput[[Importe Neto]:[Importe Neto]],Imput[[C. Imp.]:[C. Imp.]],$D140,Imput[[PERIODO Imp.]:[PERIODO Imp.]],CO$9)</f>
        <v>0</v>
      </c>
      <c r="CP140" s="693">
        <f>SUMIFS(Imput[[Importe Neto]:[Importe Neto]],Imput[[C. Imp.]:[C. Imp.]],$D140,Imput[[PERIODO Imp.]:[PERIODO Imp.]],CP$9)</f>
        <v>0</v>
      </c>
      <c r="CQ140" s="693">
        <f>SUMIFS(Imput[[Importe Neto]:[Importe Neto]],Imput[[C. Imp.]:[C. Imp.]],$D140,Imput[[PERIODO Imp.]:[PERIODO Imp.]],CQ$9)</f>
        <v>0</v>
      </c>
      <c r="CR140" s="693">
        <f>SUMIFS(Imput[[Importe Neto]:[Importe Neto]],Imput[[C. Imp.]:[C. Imp.]],$D140,Imput[[PERIODO Imp.]:[PERIODO Imp.]],CR$9)</f>
        <v>0</v>
      </c>
      <c r="CS140" s="693">
        <f>SUMIFS(Imput[[Importe Neto]:[Importe Neto]],Imput[[C. Imp.]:[C. Imp.]],$D140,Imput[[PERIODO Imp.]:[PERIODO Imp.]],CS$9)</f>
        <v>0</v>
      </c>
      <c r="CT140" s="693">
        <f>SUMIFS(Imput[[Importe Neto]:[Importe Neto]],Imput[[C. Imp.]:[C. Imp.]],$D140,Imput[[PERIODO Imp.]:[PERIODO Imp.]],CT$9)</f>
        <v>0</v>
      </c>
      <c r="CU140" s="693">
        <f>SUMIFS(Imput[[Importe Neto]:[Importe Neto]],Imput[[C. Imp.]:[C. Imp.]],$D140,Imput[[PERIODO Imp.]:[PERIODO Imp.]],CU$9)</f>
        <v>0</v>
      </c>
      <c r="CV140" s="693">
        <f>SUMIFS(Imput[[Importe Neto]:[Importe Neto]],Imput[[C. Imp.]:[C. Imp.]],$D140,Imput[[PERIODO Imp.]:[PERIODO Imp.]],CV$9)</f>
        <v>0</v>
      </c>
      <c r="CW140" s="693">
        <f>SUMIFS(Imput[[Importe Neto]:[Importe Neto]],Imput[[C. Imp.]:[C. Imp.]],$D140,Imput[[PERIODO Imp.]:[PERIODO Imp.]],CW$9)</f>
        <v>0</v>
      </c>
      <c r="CX140" s="693">
        <f>SUMIFS(Imput[[Importe Neto]:[Importe Neto]],Imput[[C. Imp.]:[C. Imp.]],$D140,Imput[[PERIODO Imp.]:[PERIODO Imp.]],CX$9)</f>
        <v>0</v>
      </c>
      <c r="CY140" s="693">
        <f>SUMIFS(Imput[[Importe Neto]:[Importe Neto]],Imput[[C. Imp.]:[C. Imp.]],$D140,Imput[[PERIODO Imp.]:[PERIODO Imp.]],CY$9)</f>
        <v>0</v>
      </c>
      <c r="CZ140" s="693">
        <f>SUMIFS(Imput[[Importe Neto]:[Importe Neto]],Imput[[C. Imp.]:[C. Imp.]],$D140,Imput[[PERIODO Imp.]:[PERIODO Imp.]],CZ$9)</f>
        <v>0</v>
      </c>
      <c r="DA140" s="693">
        <f>SUMIFS(Imput[[Importe Neto]:[Importe Neto]],Imput[[C. Imp.]:[C. Imp.]],$D140,Imput[[PERIODO Imp.]:[PERIODO Imp.]],DA$9)</f>
        <v>0</v>
      </c>
      <c r="DB140" s="693">
        <f>SUMIFS(Imput[[Importe Neto]:[Importe Neto]],Imput[[C. Imp.]:[C. Imp.]],$D140,Imput[[PERIODO Imp.]:[PERIODO Imp.]],DB$9)</f>
        <v>0</v>
      </c>
      <c r="DC140" s="693">
        <f>SUMIFS(Imput[[Importe Neto]:[Importe Neto]],Imput[[C. Imp.]:[C. Imp.]],$D140,Imput[[PERIODO Imp.]:[PERIODO Imp.]],DC$9)</f>
        <v>0</v>
      </c>
      <c r="DD140" s="693">
        <f>SUMIFS(Imput[[Importe Neto]:[Importe Neto]],Imput[[C. Imp.]:[C. Imp.]],$D140,Imput[[PERIODO Imp.]:[PERIODO Imp.]],DD$9)</f>
        <v>0</v>
      </c>
      <c r="DE140" s="693">
        <f>SUMIFS(Imput[[Importe Neto]:[Importe Neto]],Imput[[C. Imp.]:[C. Imp.]],$D140,Imput[[PERIODO Imp.]:[PERIODO Imp.]],DE$9)</f>
        <v>0</v>
      </c>
      <c r="DF140" s="693">
        <f>SUMIFS(Imput[[Importe Neto]:[Importe Neto]],Imput[[C. Imp.]:[C. Imp.]],$D140,Imput[[PERIODO Imp.]:[PERIODO Imp.]],DF$9)</f>
        <v>0</v>
      </c>
      <c r="DG140" s="693">
        <f>SUMIFS(Imput[[Importe Neto]:[Importe Neto]],Imput[[C. Imp.]:[C. Imp.]],$D140,Imput[[PERIODO Imp.]:[PERIODO Imp.]],DG$9)</f>
        <v>0</v>
      </c>
      <c r="DH140" s="694">
        <f>SUMIFS(Imput[[Importe Neto]:[Importe Neto]],Imput[[C. Imp.]:[C. Imp.]],$D140,Imput[[PERIODO Imp.]:[PERIODO Imp.]],DH$9)</f>
        <v>0</v>
      </c>
    </row>
    <row r="141" spans="1:112" outlineLevel="1" x14ac:dyDescent="0.3">
      <c r="A141" s="652" t="str">
        <f t="shared" si="74"/>
        <v>Imprimir</v>
      </c>
      <c r="B141" s="652"/>
      <c r="C141" s="685"/>
      <c r="D141" s="686" t="s">
        <v>2249</v>
      </c>
      <c r="E141" s="686" t="s">
        <v>3299</v>
      </c>
      <c r="F141" s="720"/>
      <c r="G141" s="863">
        <v>1</v>
      </c>
      <c r="H141" s="864">
        <v>1</v>
      </c>
      <c r="I141" s="851">
        <f t="shared" si="75"/>
        <v>1</v>
      </c>
      <c r="J141" s="852">
        <f t="shared" si="76"/>
        <v>1</v>
      </c>
      <c r="K141" s="667"/>
      <c r="L141" s="858">
        <v>1</v>
      </c>
      <c r="M141" s="859"/>
      <c r="N141" s="859"/>
      <c r="O141" s="859"/>
      <c r="P141" s="859"/>
      <c r="Q141" s="859"/>
      <c r="R141" s="859"/>
      <c r="S141" s="859"/>
      <c r="T141" s="859"/>
      <c r="U141" s="859"/>
      <c r="V141" s="859"/>
      <c r="W141" s="859"/>
      <c r="X141" s="859"/>
      <c r="Y141" s="859"/>
      <c r="Z141" s="860"/>
      <c r="AA141" s="860"/>
      <c r="AB141" s="860"/>
      <c r="AC141" s="860"/>
      <c r="AD141" s="860"/>
      <c r="AE141" s="860"/>
      <c r="AF141" s="860"/>
      <c r="AG141" s="860"/>
      <c r="AH141" s="860"/>
      <c r="AI141" s="860"/>
      <c r="AJ141" s="860"/>
      <c r="AK141" s="860"/>
      <c r="AL141" s="860"/>
      <c r="AM141" s="860"/>
      <c r="AN141" s="860"/>
      <c r="AO141" s="860"/>
      <c r="AP141" s="860"/>
      <c r="AQ141" s="860"/>
      <c r="AR141" s="860"/>
      <c r="AS141" s="860"/>
      <c r="AT141" s="860"/>
      <c r="AU141" s="860"/>
      <c r="AV141" s="860"/>
      <c r="AW141" s="860"/>
      <c r="AX141" s="860"/>
      <c r="AY141" s="860"/>
      <c r="AZ141" s="860"/>
      <c r="BA141" s="860"/>
      <c r="BB141" s="860"/>
      <c r="BC141" s="860"/>
      <c r="BD141" s="860"/>
      <c r="BE141" s="860"/>
      <c r="BF141" s="860"/>
      <c r="BG141" s="861"/>
      <c r="BH141" s="668"/>
      <c r="BI141" s="667"/>
      <c r="BJ141" s="690">
        <f t="shared" si="77"/>
        <v>1453.7903839999999</v>
      </c>
      <c r="BK141" s="691">
        <f t="shared" si="78"/>
        <v>1453.7903839999999</v>
      </c>
      <c r="BL141" s="654"/>
      <c r="BM141" s="692">
        <f>SUMIFS(Imput[[Importe Neto]:[Importe Neto]],Imput[[C. Imp.]:[C. Imp.]],$D141,Imput[[PERIODO Imp.]:[PERIODO Imp.]],BM$9)</f>
        <v>0</v>
      </c>
      <c r="BN141" s="693">
        <f>SUMIFS(Imput[[Importe Neto]:[Importe Neto]],Imput[[C. Imp.]:[C. Imp.]],$D141,Imput[[PERIODO Imp.]:[PERIODO Imp.]],BN$9)</f>
        <v>0</v>
      </c>
      <c r="BO141" s="693">
        <f>SUMIFS(Imput[[Importe Neto]:[Importe Neto]],Imput[[C. Imp.]:[C. Imp.]],$D141,Imput[[PERIODO Imp.]:[PERIODO Imp.]],BO$9)</f>
        <v>0</v>
      </c>
      <c r="BP141" s="693">
        <f>SUMIFS(Imput[[Importe Neto]:[Importe Neto]],Imput[[C. Imp.]:[C. Imp.]],$D141,Imput[[PERIODO Imp.]:[PERIODO Imp.]],BP$9)</f>
        <v>418.99231599999996</v>
      </c>
      <c r="BQ141" s="693">
        <f>SUMIFS(Imput[[Importe Neto]:[Importe Neto]],Imput[[C. Imp.]:[C. Imp.]],$D141,Imput[[PERIODO Imp.]:[PERIODO Imp.]],BQ$9)</f>
        <v>139.80006800000001</v>
      </c>
      <c r="BR141" s="693">
        <f>SUMIFS(Imput[[Importe Neto]:[Importe Neto]],Imput[[C. Imp.]:[C. Imp.]],$D141,Imput[[PERIODO Imp.]:[PERIODO Imp.]],BR$9)</f>
        <v>894.99799999999993</v>
      </c>
      <c r="BS141" s="693">
        <f>SUMIFS(Imput[[Importe Neto]:[Importe Neto]],Imput[[C. Imp.]:[C. Imp.]],$D141,Imput[[PERIODO Imp.]:[PERIODO Imp.]],BS$9)</f>
        <v>0</v>
      </c>
      <c r="BT141" s="693">
        <f>SUMIFS(Imput[[Importe Neto]:[Importe Neto]],Imput[[C. Imp.]:[C. Imp.]],$D141,Imput[[PERIODO Imp.]:[PERIODO Imp.]],BT$9)</f>
        <v>0</v>
      </c>
      <c r="BU141" s="693">
        <f>SUMIFS(Imput[[Importe Neto]:[Importe Neto]],Imput[[C. Imp.]:[C. Imp.]],$D141,Imput[[PERIODO Imp.]:[PERIODO Imp.]],BU$9)</f>
        <v>0</v>
      </c>
      <c r="BV141" s="693">
        <f>SUMIFS(Imput[[Importe Neto]:[Importe Neto]],Imput[[C. Imp.]:[C. Imp.]],$D141,Imput[[PERIODO Imp.]:[PERIODO Imp.]],BV$9)</f>
        <v>0</v>
      </c>
      <c r="BW141" s="693">
        <f>SUMIFS(Imput[[Importe Neto]:[Importe Neto]],Imput[[C. Imp.]:[C. Imp.]],$D141,Imput[[PERIODO Imp.]:[PERIODO Imp.]],BW$9)</f>
        <v>0</v>
      </c>
      <c r="BX141" s="693">
        <f>SUMIFS(Imput[[Importe Neto]:[Importe Neto]],Imput[[C. Imp.]:[C. Imp.]],$D141,Imput[[PERIODO Imp.]:[PERIODO Imp.]],BX$9)</f>
        <v>0</v>
      </c>
      <c r="BY141" s="693">
        <f>SUMIFS(Imput[[Importe Neto]:[Importe Neto]],Imput[[C. Imp.]:[C. Imp.]],$D141,Imput[[PERIODO Imp.]:[PERIODO Imp.]],BY$9)</f>
        <v>0</v>
      </c>
      <c r="BZ141" s="693">
        <f>SUMIFS(Imput[[Importe Neto]:[Importe Neto]],Imput[[C. Imp.]:[C. Imp.]],$D141,Imput[[PERIODO Imp.]:[PERIODO Imp.]],BZ$9)</f>
        <v>0</v>
      </c>
      <c r="CA141" s="693">
        <f>SUMIFS(Imput[[Importe Neto]:[Importe Neto]],Imput[[C. Imp.]:[C. Imp.]],$D141,Imput[[PERIODO Imp.]:[PERIODO Imp.]],CA$9)</f>
        <v>0</v>
      </c>
      <c r="CB141" s="693">
        <f>SUMIFS(Imput[[Importe Neto]:[Importe Neto]],Imput[[C. Imp.]:[C. Imp.]],$D141,Imput[[PERIODO Imp.]:[PERIODO Imp.]],CB$9)</f>
        <v>0</v>
      </c>
      <c r="CC141" s="693">
        <f>SUMIFS(Imput[[Importe Neto]:[Importe Neto]],Imput[[C. Imp.]:[C. Imp.]],$D141,Imput[[PERIODO Imp.]:[PERIODO Imp.]],CC$9)</f>
        <v>0</v>
      </c>
      <c r="CD141" s="693">
        <f>SUMIFS(Imput[[Importe Neto]:[Importe Neto]],Imput[[C. Imp.]:[C. Imp.]],$D141,Imput[[PERIODO Imp.]:[PERIODO Imp.]],CD$9)</f>
        <v>0</v>
      </c>
      <c r="CE141" s="693">
        <f>SUMIFS(Imput[[Importe Neto]:[Importe Neto]],Imput[[C. Imp.]:[C. Imp.]],$D141,Imput[[PERIODO Imp.]:[PERIODO Imp.]],CE$9)</f>
        <v>0</v>
      </c>
      <c r="CF141" s="693">
        <f>SUMIFS(Imput[[Importe Neto]:[Importe Neto]],Imput[[C. Imp.]:[C. Imp.]],$D141,Imput[[PERIODO Imp.]:[PERIODO Imp.]],CF$9)</f>
        <v>0</v>
      </c>
      <c r="CG141" s="693">
        <f>SUMIFS(Imput[[Importe Neto]:[Importe Neto]],Imput[[C. Imp.]:[C. Imp.]],$D141,Imput[[PERIODO Imp.]:[PERIODO Imp.]],CG$9)</f>
        <v>0</v>
      </c>
      <c r="CH141" s="693">
        <f>SUMIFS(Imput[[Importe Neto]:[Importe Neto]],Imput[[C. Imp.]:[C. Imp.]],$D141,Imput[[PERIODO Imp.]:[PERIODO Imp.]],CH$9)</f>
        <v>0</v>
      </c>
      <c r="CI141" s="693">
        <f>SUMIFS(Imput[[Importe Neto]:[Importe Neto]],Imput[[C. Imp.]:[C. Imp.]],$D141,Imput[[PERIODO Imp.]:[PERIODO Imp.]],CI$9)</f>
        <v>0</v>
      </c>
      <c r="CJ141" s="693">
        <f>SUMIFS(Imput[[Importe Neto]:[Importe Neto]],Imput[[C. Imp.]:[C. Imp.]],$D141,Imput[[PERIODO Imp.]:[PERIODO Imp.]],CJ$9)</f>
        <v>0</v>
      </c>
      <c r="CK141" s="693">
        <f>SUMIFS(Imput[[Importe Neto]:[Importe Neto]],Imput[[C. Imp.]:[C. Imp.]],$D141,Imput[[PERIODO Imp.]:[PERIODO Imp.]],CK$9)</f>
        <v>0</v>
      </c>
      <c r="CL141" s="693">
        <f>SUMIFS(Imput[[Importe Neto]:[Importe Neto]],Imput[[C. Imp.]:[C. Imp.]],$D141,Imput[[PERIODO Imp.]:[PERIODO Imp.]],CL$9)</f>
        <v>0</v>
      </c>
      <c r="CM141" s="693">
        <f>SUMIFS(Imput[[Importe Neto]:[Importe Neto]],Imput[[C. Imp.]:[C. Imp.]],$D141,Imput[[PERIODO Imp.]:[PERIODO Imp.]],CM$9)</f>
        <v>0</v>
      </c>
      <c r="CN141" s="693">
        <f>SUMIFS(Imput[[Importe Neto]:[Importe Neto]],Imput[[C. Imp.]:[C. Imp.]],$D141,Imput[[PERIODO Imp.]:[PERIODO Imp.]],CN$9)</f>
        <v>0</v>
      </c>
      <c r="CO141" s="693">
        <f>SUMIFS(Imput[[Importe Neto]:[Importe Neto]],Imput[[C. Imp.]:[C. Imp.]],$D141,Imput[[PERIODO Imp.]:[PERIODO Imp.]],CO$9)</f>
        <v>0</v>
      </c>
      <c r="CP141" s="693">
        <f>SUMIFS(Imput[[Importe Neto]:[Importe Neto]],Imput[[C. Imp.]:[C. Imp.]],$D141,Imput[[PERIODO Imp.]:[PERIODO Imp.]],CP$9)</f>
        <v>0</v>
      </c>
      <c r="CQ141" s="693">
        <f>SUMIFS(Imput[[Importe Neto]:[Importe Neto]],Imput[[C. Imp.]:[C. Imp.]],$D141,Imput[[PERIODO Imp.]:[PERIODO Imp.]],CQ$9)</f>
        <v>0</v>
      </c>
      <c r="CR141" s="693">
        <f>SUMIFS(Imput[[Importe Neto]:[Importe Neto]],Imput[[C. Imp.]:[C. Imp.]],$D141,Imput[[PERIODO Imp.]:[PERIODO Imp.]],CR$9)</f>
        <v>0</v>
      </c>
      <c r="CS141" s="693">
        <f>SUMIFS(Imput[[Importe Neto]:[Importe Neto]],Imput[[C. Imp.]:[C. Imp.]],$D141,Imput[[PERIODO Imp.]:[PERIODO Imp.]],CS$9)</f>
        <v>0</v>
      </c>
      <c r="CT141" s="693">
        <f>SUMIFS(Imput[[Importe Neto]:[Importe Neto]],Imput[[C. Imp.]:[C. Imp.]],$D141,Imput[[PERIODO Imp.]:[PERIODO Imp.]],CT$9)</f>
        <v>0</v>
      </c>
      <c r="CU141" s="693">
        <f>SUMIFS(Imput[[Importe Neto]:[Importe Neto]],Imput[[C. Imp.]:[C. Imp.]],$D141,Imput[[PERIODO Imp.]:[PERIODO Imp.]],CU$9)</f>
        <v>0</v>
      </c>
      <c r="CV141" s="693">
        <f>SUMIFS(Imput[[Importe Neto]:[Importe Neto]],Imput[[C. Imp.]:[C. Imp.]],$D141,Imput[[PERIODO Imp.]:[PERIODO Imp.]],CV$9)</f>
        <v>0</v>
      </c>
      <c r="CW141" s="693">
        <f>SUMIFS(Imput[[Importe Neto]:[Importe Neto]],Imput[[C. Imp.]:[C. Imp.]],$D141,Imput[[PERIODO Imp.]:[PERIODO Imp.]],CW$9)</f>
        <v>0</v>
      </c>
      <c r="CX141" s="693">
        <f>SUMIFS(Imput[[Importe Neto]:[Importe Neto]],Imput[[C. Imp.]:[C. Imp.]],$D141,Imput[[PERIODO Imp.]:[PERIODO Imp.]],CX$9)</f>
        <v>0</v>
      </c>
      <c r="CY141" s="693">
        <f>SUMIFS(Imput[[Importe Neto]:[Importe Neto]],Imput[[C. Imp.]:[C. Imp.]],$D141,Imput[[PERIODO Imp.]:[PERIODO Imp.]],CY$9)</f>
        <v>0</v>
      </c>
      <c r="CZ141" s="693">
        <f>SUMIFS(Imput[[Importe Neto]:[Importe Neto]],Imput[[C. Imp.]:[C. Imp.]],$D141,Imput[[PERIODO Imp.]:[PERIODO Imp.]],CZ$9)</f>
        <v>0</v>
      </c>
      <c r="DA141" s="693">
        <f>SUMIFS(Imput[[Importe Neto]:[Importe Neto]],Imput[[C. Imp.]:[C. Imp.]],$D141,Imput[[PERIODO Imp.]:[PERIODO Imp.]],DA$9)</f>
        <v>0</v>
      </c>
      <c r="DB141" s="693">
        <f>SUMIFS(Imput[[Importe Neto]:[Importe Neto]],Imput[[C. Imp.]:[C. Imp.]],$D141,Imput[[PERIODO Imp.]:[PERIODO Imp.]],DB$9)</f>
        <v>0</v>
      </c>
      <c r="DC141" s="693">
        <f>SUMIFS(Imput[[Importe Neto]:[Importe Neto]],Imput[[C. Imp.]:[C. Imp.]],$D141,Imput[[PERIODO Imp.]:[PERIODO Imp.]],DC$9)</f>
        <v>0</v>
      </c>
      <c r="DD141" s="693">
        <f>SUMIFS(Imput[[Importe Neto]:[Importe Neto]],Imput[[C. Imp.]:[C. Imp.]],$D141,Imput[[PERIODO Imp.]:[PERIODO Imp.]],DD$9)</f>
        <v>0</v>
      </c>
      <c r="DE141" s="693">
        <f>SUMIFS(Imput[[Importe Neto]:[Importe Neto]],Imput[[C. Imp.]:[C. Imp.]],$D141,Imput[[PERIODO Imp.]:[PERIODO Imp.]],DE$9)</f>
        <v>0</v>
      </c>
      <c r="DF141" s="693">
        <f>SUMIFS(Imput[[Importe Neto]:[Importe Neto]],Imput[[C. Imp.]:[C. Imp.]],$D141,Imput[[PERIODO Imp.]:[PERIODO Imp.]],DF$9)</f>
        <v>0</v>
      </c>
      <c r="DG141" s="693">
        <f>SUMIFS(Imput[[Importe Neto]:[Importe Neto]],Imput[[C. Imp.]:[C. Imp.]],$D141,Imput[[PERIODO Imp.]:[PERIODO Imp.]],DG$9)</f>
        <v>0</v>
      </c>
      <c r="DH141" s="694">
        <f>SUMIFS(Imput[[Importe Neto]:[Importe Neto]],Imput[[C. Imp.]:[C. Imp.]],$D141,Imput[[PERIODO Imp.]:[PERIODO Imp.]],DH$9)</f>
        <v>0</v>
      </c>
    </row>
    <row r="142" spans="1:112" hidden="1" outlineLevel="1" x14ac:dyDescent="0.3">
      <c r="A142" s="652" t="str">
        <f t="shared" si="74"/>
        <v/>
      </c>
      <c r="B142" s="652"/>
      <c r="C142" s="685"/>
      <c r="D142" s="686" t="s">
        <v>2250</v>
      </c>
      <c r="E142" s="686"/>
      <c r="F142" s="720"/>
      <c r="G142" s="688"/>
      <c r="H142" s="689"/>
      <c r="I142" s="851" t="str">
        <f t="shared" si="75"/>
        <v/>
      </c>
      <c r="J142" s="852" t="str">
        <f t="shared" si="76"/>
        <v/>
      </c>
      <c r="K142" s="667"/>
      <c r="L142" s="858"/>
      <c r="M142" s="859"/>
      <c r="N142" s="859"/>
      <c r="O142" s="859"/>
      <c r="P142" s="859"/>
      <c r="Q142" s="859"/>
      <c r="R142" s="859"/>
      <c r="S142" s="859"/>
      <c r="T142" s="859"/>
      <c r="U142" s="859"/>
      <c r="V142" s="859"/>
      <c r="W142" s="859"/>
      <c r="X142" s="859"/>
      <c r="Y142" s="859"/>
      <c r="Z142" s="860"/>
      <c r="AA142" s="860"/>
      <c r="AB142" s="860"/>
      <c r="AC142" s="860"/>
      <c r="AD142" s="860"/>
      <c r="AE142" s="860"/>
      <c r="AF142" s="860"/>
      <c r="AG142" s="860"/>
      <c r="AH142" s="860"/>
      <c r="AI142" s="860"/>
      <c r="AJ142" s="860"/>
      <c r="AK142" s="860"/>
      <c r="AL142" s="860"/>
      <c r="AM142" s="860"/>
      <c r="AN142" s="860"/>
      <c r="AO142" s="860"/>
      <c r="AP142" s="860"/>
      <c r="AQ142" s="860"/>
      <c r="AR142" s="860"/>
      <c r="AS142" s="860"/>
      <c r="AT142" s="860"/>
      <c r="AU142" s="860"/>
      <c r="AV142" s="860"/>
      <c r="AW142" s="860"/>
      <c r="AX142" s="860"/>
      <c r="AY142" s="860"/>
      <c r="AZ142" s="860"/>
      <c r="BA142" s="860"/>
      <c r="BB142" s="860"/>
      <c r="BC142" s="860"/>
      <c r="BD142" s="860"/>
      <c r="BE142" s="860"/>
      <c r="BF142" s="860"/>
      <c r="BG142" s="861"/>
      <c r="BH142" s="668"/>
      <c r="BI142" s="667"/>
      <c r="BJ142" s="690">
        <f t="shared" si="77"/>
        <v>0</v>
      </c>
      <c r="BK142" s="691">
        <f t="shared" si="78"/>
        <v>0</v>
      </c>
      <c r="BL142" s="654"/>
      <c r="BM142" s="692">
        <f>SUMIFS(Imput[[Importe Neto]:[Importe Neto]],Imput[[C. Imp.]:[C. Imp.]],$D142,Imput[[PERIODO Imp.]:[PERIODO Imp.]],BM$9)</f>
        <v>0</v>
      </c>
      <c r="BN142" s="693">
        <f>SUMIFS(Imput[[Importe Neto]:[Importe Neto]],Imput[[C. Imp.]:[C. Imp.]],$D142,Imput[[PERIODO Imp.]:[PERIODO Imp.]],BN$9)</f>
        <v>0</v>
      </c>
      <c r="BO142" s="693">
        <f>SUMIFS(Imput[[Importe Neto]:[Importe Neto]],Imput[[C. Imp.]:[C. Imp.]],$D142,Imput[[PERIODO Imp.]:[PERIODO Imp.]],BO$9)</f>
        <v>0</v>
      </c>
      <c r="BP142" s="693">
        <f>SUMIFS(Imput[[Importe Neto]:[Importe Neto]],Imput[[C. Imp.]:[C. Imp.]],$D142,Imput[[PERIODO Imp.]:[PERIODO Imp.]],BP$9)</f>
        <v>0</v>
      </c>
      <c r="BQ142" s="693">
        <f>SUMIFS(Imput[[Importe Neto]:[Importe Neto]],Imput[[C. Imp.]:[C. Imp.]],$D142,Imput[[PERIODO Imp.]:[PERIODO Imp.]],BQ$9)</f>
        <v>0</v>
      </c>
      <c r="BR142" s="693">
        <f>SUMIFS(Imput[[Importe Neto]:[Importe Neto]],Imput[[C. Imp.]:[C. Imp.]],$D142,Imput[[PERIODO Imp.]:[PERIODO Imp.]],BR$9)</f>
        <v>0</v>
      </c>
      <c r="BS142" s="693">
        <f>SUMIFS(Imput[[Importe Neto]:[Importe Neto]],Imput[[C. Imp.]:[C. Imp.]],$D142,Imput[[PERIODO Imp.]:[PERIODO Imp.]],BS$9)</f>
        <v>0</v>
      </c>
      <c r="BT142" s="693">
        <f>SUMIFS(Imput[[Importe Neto]:[Importe Neto]],Imput[[C. Imp.]:[C. Imp.]],$D142,Imput[[PERIODO Imp.]:[PERIODO Imp.]],BT$9)</f>
        <v>0</v>
      </c>
      <c r="BU142" s="693">
        <f>SUMIFS(Imput[[Importe Neto]:[Importe Neto]],Imput[[C. Imp.]:[C. Imp.]],$D142,Imput[[PERIODO Imp.]:[PERIODO Imp.]],BU$9)</f>
        <v>0</v>
      </c>
      <c r="BV142" s="693">
        <f>SUMIFS(Imput[[Importe Neto]:[Importe Neto]],Imput[[C. Imp.]:[C. Imp.]],$D142,Imput[[PERIODO Imp.]:[PERIODO Imp.]],BV$9)</f>
        <v>0</v>
      </c>
      <c r="BW142" s="693">
        <f>SUMIFS(Imput[[Importe Neto]:[Importe Neto]],Imput[[C. Imp.]:[C. Imp.]],$D142,Imput[[PERIODO Imp.]:[PERIODO Imp.]],BW$9)</f>
        <v>0</v>
      </c>
      <c r="BX142" s="693">
        <f>SUMIFS(Imput[[Importe Neto]:[Importe Neto]],Imput[[C. Imp.]:[C. Imp.]],$D142,Imput[[PERIODO Imp.]:[PERIODO Imp.]],BX$9)</f>
        <v>0</v>
      </c>
      <c r="BY142" s="693">
        <f>SUMIFS(Imput[[Importe Neto]:[Importe Neto]],Imput[[C. Imp.]:[C. Imp.]],$D142,Imput[[PERIODO Imp.]:[PERIODO Imp.]],BY$9)</f>
        <v>0</v>
      </c>
      <c r="BZ142" s="693">
        <f>SUMIFS(Imput[[Importe Neto]:[Importe Neto]],Imput[[C. Imp.]:[C. Imp.]],$D142,Imput[[PERIODO Imp.]:[PERIODO Imp.]],BZ$9)</f>
        <v>0</v>
      </c>
      <c r="CA142" s="693">
        <f>SUMIFS(Imput[[Importe Neto]:[Importe Neto]],Imput[[C. Imp.]:[C. Imp.]],$D142,Imput[[PERIODO Imp.]:[PERIODO Imp.]],CA$9)</f>
        <v>0</v>
      </c>
      <c r="CB142" s="693">
        <f>SUMIFS(Imput[[Importe Neto]:[Importe Neto]],Imput[[C. Imp.]:[C. Imp.]],$D142,Imput[[PERIODO Imp.]:[PERIODO Imp.]],CB$9)</f>
        <v>0</v>
      </c>
      <c r="CC142" s="693">
        <f>SUMIFS(Imput[[Importe Neto]:[Importe Neto]],Imput[[C. Imp.]:[C. Imp.]],$D142,Imput[[PERIODO Imp.]:[PERIODO Imp.]],CC$9)</f>
        <v>0</v>
      </c>
      <c r="CD142" s="693">
        <f>SUMIFS(Imput[[Importe Neto]:[Importe Neto]],Imput[[C. Imp.]:[C. Imp.]],$D142,Imput[[PERIODO Imp.]:[PERIODO Imp.]],CD$9)</f>
        <v>0</v>
      </c>
      <c r="CE142" s="693">
        <f>SUMIFS(Imput[[Importe Neto]:[Importe Neto]],Imput[[C. Imp.]:[C. Imp.]],$D142,Imput[[PERIODO Imp.]:[PERIODO Imp.]],CE$9)</f>
        <v>0</v>
      </c>
      <c r="CF142" s="693">
        <f>SUMIFS(Imput[[Importe Neto]:[Importe Neto]],Imput[[C. Imp.]:[C. Imp.]],$D142,Imput[[PERIODO Imp.]:[PERIODO Imp.]],CF$9)</f>
        <v>0</v>
      </c>
      <c r="CG142" s="693">
        <f>SUMIFS(Imput[[Importe Neto]:[Importe Neto]],Imput[[C. Imp.]:[C. Imp.]],$D142,Imput[[PERIODO Imp.]:[PERIODO Imp.]],CG$9)</f>
        <v>0</v>
      </c>
      <c r="CH142" s="693">
        <f>SUMIFS(Imput[[Importe Neto]:[Importe Neto]],Imput[[C. Imp.]:[C. Imp.]],$D142,Imput[[PERIODO Imp.]:[PERIODO Imp.]],CH$9)</f>
        <v>0</v>
      </c>
      <c r="CI142" s="693">
        <f>SUMIFS(Imput[[Importe Neto]:[Importe Neto]],Imput[[C. Imp.]:[C. Imp.]],$D142,Imput[[PERIODO Imp.]:[PERIODO Imp.]],CI$9)</f>
        <v>0</v>
      </c>
      <c r="CJ142" s="693">
        <f>SUMIFS(Imput[[Importe Neto]:[Importe Neto]],Imput[[C. Imp.]:[C. Imp.]],$D142,Imput[[PERIODO Imp.]:[PERIODO Imp.]],CJ$9)</f>
        <v>0</v>
      </c>
      <c r="CK142" s="693">
        <f>SUMIFS(Imput[[Importe Neto]:[Importe Neto]],Imput[[C. Imp.]:[C. Imp.]],$D142,Imput[[PERIODO Imp.]:[PERIODO Imp.]],CK$9)</f>
        <v>0</v>
      </c>
      <c r="CL142" s="693">
        <f>SUMIFS(Imput[[Importe Neto]:[Importe Neto]],Imput[[C. Imp.]:[C. Imp.]],$D142,Imput[[PERIODO Imp.]:[PERIODO Imp.]],CL$9)</f>
        <v>0</v>
      </c>
      <c r="CM142" s="693">
        <f>SUMIFS(Imput[[Importe Neto]:[Importe Neto]],Imput[[C. Imp.]:[C. Imp.]],$D142,Imput[[PERIODO Imp.]:[PERIODO Imp.]],CM$9)</f>
        <v>0</v>
      </c>
      <c r="CN142" s="693">
        <f>SUMIFS(Imput[[Importe Neto]:[Importe Neto]],Imput[[C. Imp.]:[C. Imp.]],$D142,Imput[[PERIODO Imp.]:[PERIODO Imp.]],CN$9)</f>
        <v>0</v>
      </c>
      <c r="CO142" s="693">
        <f>SUMIFS(Imput[[Importe Neto]:[Importe Neto]],Imput[[C. Imp.]:[C. Imp.]],$D142,Imput[[PERIODO Imp.]:[PERIODO Imp.]],CO$9)</f>
        <v>0</v>
      </c>
      <c r="CP142" s="693">
        <f>SUMIFS(Imput[[Importe Neto]:[Importe Neto]],Imput[[C. Imp.]:[C. Imp.]],$D142,Imput[[PERIODO Imp.]:[PERIODO Imp.]],CP$9)</f>
        <v>0</v>
      </c>
      <c r="CQ142" s="693">
        <f>SUMIFS(Imput[[Importe Neto]:[Importe Neto]],Imput[[C. Imp.]:[C. Imp.]],$D142,Imput[[PERIODO Imp.]:[PERIODO Imp.]],CQ$9)</f>
        <v>0</v>
      </c>
      <c r="CR142" s="693">
        <f>SUMIFS(Imput[[Importe Neto]:[Importe Neto]],Imput[[C. Imp.]:[C. Imp.]],$D142,Imput[[PERIODO Imp.]:[PERIODO Imp.]],CR$9)</f>
        <v>0</v>
      </c>
      <c r="CS142" s="693">
        <f>SUMIFS(Imput[[Importe Neto]:[Importe Neto]],Imput[[C. Imp.]:[C. Imp.]],$D142,Imput[[PERIODO Imp.]:[PERIODO Imp.]],CS$9)</f>
        <v>0</v>
      </c>
      <c r="CT142" s="693">
        <f>SUMIFS(Imput[[Importe Neto]:[Importe Neto]],Imput[[C. Imp.]:[C. Imp.]],$D142,Imput[[PERIODO Imp.]:[PERIODO Imp.]],CT$9)</f>
        <v>0</v>
      </c>
      <c r="CU142" s="693">
        <f>SUMIFS(Imput[[Importe Neto]:[Importe Neto]],Imput[[C. Imp.]:[C. Imp.]],$D142,Imput[[PERIODO Imp.]:[PERIODO Imp.]],CU$9)</f>
        <v>0</v>
      </c>
      <c r="CV142" s="693">
        <f>SUMIFS(Imput[[Importe Neto]:[Importe Neto]],Imput[[C. Imp.]:[C. Imp.]],$D142,Imput[[PERIODO Imp.]:[PERIODO Imp.]],CV$9)</f>
        <v>0</v>
      </c>
      <c r="CW142" s="693">
        <f>SUMIFS(Imput[[Importe Neto]:[Importe Neto]],Imput[[C. Imp.]:[C. Imp.]],$D142,Imput[[PERIODO Imp.]:[PERIODO Imp.]],CW$9)</f>
        <v>0</v>
      </c>
      <c r="CX142" s="693">
        <f>SUMIFS(Imput[[Importe Neto]:[Importe Neto]],Imput[[C. Imp.]:[C. Imp.]],$D142,Imput[[PERIODO Imp.]:[PERIODO Imp.]],CX$9)</f>
        <v>0</v>
      </c>
      <c r="CY142" s="693">
        <f>SUMIFS(Imput[[Importe Neto]:[Importe Neto]],Imput[[C. Imp.]:[C. Imp.]],$D142,Imput[[PERIODO Imp.]:[PERIODO Imp.]],CY$9)</f>
        <v>0</v>
      </c>
      <c r="CZ142" s="693">
        <f>SUMIFS(Imput[[Importe Neto]:[Importe Neto]],Imput[[C. Imp.]:[C. Imp.]],$D142,Imput[[PERIODO Imp.]:[PERIODO Imp.]],CZ$9)</f>
        <v>0</v>
      </c>
      <c r="DA142" s="693">
        <f>SUMIFS(Imput[[Importe Neto]:[Importe Neto]],Imput[[C. Imp.]:[C. Imp.]],$D142,Imput[[PERIODO Imp.]:[PERIODO Imp.]],DA$9)</f>
        <v>0</v>
      </c>
      <c r="DB142" s="693">
        <f>SUMIFS(Imput[[Importe Neto]:[Importe Neto]],Imput[[C. Imp.]:[C. Imp.]],$D142,Imput[[PERIODO Imp.]:[PERIODO Imp.]],DB$9)</f>
        <v>0</v>
      </c>
      <c r="DC142" s="693">
        <f>SUMIFS(Imput[[Importe Neto]:[Importe Neto]],Imput[[C. Imp.]:[C. Imp.]],$D142,Imput[[PERIODO Imp.]:[PERIODO Imp.]],DC$9)</f>
        <v>0</v>
      </c>
      <c r="DD142" s="693">
        <f>SUMIFS(Imput[[Importe Neto]:[Importe Neto]],Imput[[C. Imp.]:[C. Imp.]],$D142,Imput[[PERIODO Imp.]:[PERIODO Imp.]],DD$9)</f>
        <v>0</v>
      </c>
      <c r="DE142" s="693">
        <f>SUMIFS(Imput[[Importe Neto]:[Importe Neto]],Imput[[C. Imp.]:[C. Imp.]],$D142,Imput[[PERIODO Imp.]:[PERIODO Imp.]],DE$9)</f>
        <v>0</v>
      </c>
      <c r="DF142" s="693">
        <f>SUMIFS(Imput[[Importe Neto]:[Importe Neto]],Imput[[C. Imp.]:[C. Imp.]],$D142,Imput[[PERIODO Imp.]:[PERIODO Imp.]],DF$9)</f>
        <v>0</v>
      </c>
      <c r="DG142" s="693">
        <f>SUMIFS(Imput[[Importe Neto]:[Importe Neto]],Imput[[C. Imp.]:[C. Imp.]],$D142,Imput[[PERIODO Imp.]:[PERIODO Imp.]],DG$9)</f>
        <v>0</v>
      </c>
      <c r="DH142" s="694">
        <f>SUMIFS(Imput[[Importe Neto]:[Importe Neto]],Imput[[C. Imp.]:[C. Imp.]],$D142,Imput[[PERIODO Imp.]:[PERIODO Imp.]],DH$9)</f>
        <v>0</v>
      </c>
    </row>
    <row r="143" spans="1:112" hidden="1" outlineLevel="1" x14ac:dyDescent="0.3">
      <c r="A143" s="66" t="str">
        <f t="shared" si="74"/>
        <v/>
      </c>
      <c r="C143" s="527"/>
      <c r="D143" s="528" t="s">
        <v>2251</v>
      </c>
      <c r="E143" s="528"/>
      <c r="F143" s="534"/>
      <c r="G143" s="529"/>
      <c r="H143" s="531"/>
      <c r="I143" s="849" t="str">
        <f t="shared" si="75"/>
        <v/>
      </c>
      <c r="J143" s="850" t="str">
        <f t="shared" si="76"/>
        <v/>
      </c>
      <c r="K143" s="70"/>
      <c r="L143" s="853"/>
      <c r="M143" s="855"/>
      <c r="N143" s="855"/>
      <c r="O143" s="855"/>
      <c r="P143" s="855"/>
      <c r="Q143" s="855"/>
      <c r="R143" s="855"/>
      <c r="S143" s="855"/>
      <c r="T143" s="855"/>
      <c r="U143" s="855"/>
      <c r="V143" s="855"/>
      <c r="W143" s="855"/>
      <c r="X143" s="855"/>
      <c r="Y143" s="855"/>
      <c r="Z143" s="856"/>
      <c r="AA143" s="856"/>
      <c r="AB143" s="856"/>
      <c r="AC143" s="856"/>
      <c r="AD143" s="856"/>
      <c r="AE143" s="856"/>
      <c r="AF143" s="856"/>
      <c r="AG143" s="856"/>
      <c r="AH143" s="856"/>
      <c r="AI143" s="856"/>
      <c r="AJ143" s="856"/>
      <c r="AK143" s="856"/>
      <c r="AL143" s="856"/>
      <c r="AM143" s="856"/>
      <c r="AN143" s="856"/>
      <c r="AO143" s="856"/>
      <c r="AP143" s="856"/>
      <c r="AQ143" s="856"/>
      <c r="AR143" s="856"/>
      <c r="AS143" s="856"/>
      <c r="AT143" s="856"/>
      <c r="AU143" s="856"/>
      <c r="AV143" s="856"/>
      <c r="AW143" s="856"/>
      <c r="AX143" s="856"/>
      <c r="AY143" s="856"/>
      <c r="AZ143" s="856"/>
      <c r="BA143" s="856"/>
      <c r="BB143" s="856"/>
      <c r="BC143" s="856"/>
      <c r="BD143" s="856"/>
      <c r="BE143" s="856"/>
      <c r="BF143" s="856"/>
      <c r="BG143" s="857"/>
      <c r="BH143" s="590"/>
      <c r="BI143" s="70"/>
      <c r="BJ143" s="518">
        <f t="shared" si="77"/>
        <v>0</v>
      </c>
      <c r="BK143" s="517">
        <f t="shared" si="78"/>
        <v>0</v>
      </c>
      <c r="BL143" s="68"/>
      <c r="BM143" s="515">
        <f>SUMIFS(Imput[[Importe Neto]:[Importe Neto]],Imput[[C. Imp.]:[C. Imp.]],$D143,Imput[[PERIODO Imp.]:[PERIODO Imp.]],BM$9)</f>
        <v>0</v>
      </c>
      <c r="BN143" s="516">
        <f>SUMIFS(Imput[[Importe Neto]:[Importe Neto]],Imput[[C. Imp.]:[C. Imp.]],$D143,Imput[[PERIODO Imp.]:[PERIODO Imp.]],BN$9)</f>
        <v>0</v>
      </c>
      <c r="BO143" s="516">
        <f>SUMIFS(Imput[[Importe Neto]:[Importe Neto]],Imput[[C. Imp.]:[C. Imp.]],$D143,Imput[[PERIODO Imp.]:[PERIODO Imp.]],BO$9)</f>
        <v>0</v>
      </c>
      <c r="BP143" s="516">
        <f>SUMIFS(Imput[[Importe Neto]:[Importe Neto]],Imput[[C. Imp.]:[C. Imp.]],$D143,Imput[[PERIODO Imp.]:[PERIODO Imp.]],BP$9)</f>
        <v>0</v>
      </c>
      <c r="BQ143" s="516">
        <f>SUMIFS(Imput[[Importe Neto]:[Importe Neto]],Imput[[C. Imp.]:[C. Imp.]],$D143,Imput[[PERIODO Imp.]:[PERIODO Imp.]],BQ$9)</f>
        <v>0</v>
      </c>
      <c r="BR143" s="516">
        <f>SUMIFS(Imput[[Importe Neto]:[Importe Neto]],Imput[[C. Imp.]:[C. Imp.]],$D143,Imput[[PERIODO Imp.]:[PERIODO Imp.]],BR$9)</f>
        <v>0</v>
      </c>
      <c r="BS143" s="516">
        <f>SUMIFS(Imput[[Importe Neto]:[Importe Neto]],Imput[[C. Imp.]:[C. Imp.]],$D143,Imput[[PERIODO Imp.]:[PERIODO Imp.]],BS$9)</f>
        <v>0</v>
      </c>
      <c r="BT143" s="516">
        <f>SUMIFS(Imput[[Importe Neto]:[Importe Neto]],Imput[[C. Imp.]:[C. Imp.]],$D143,Imput[[PERIODO Imp.]:[PERIODO Imp.]],BT$9)</f>
        <v>0</v>
      </c>
      <c r="BU143" s="516">
        <f>SUMIFS(Imput[[Importe Neto]:[Importe Neto]],Imput[[C. Imp.]:[C. Imp.]],$D143,Imput[[PERIODO Imp.]:[PERIODO Imp.]],BU$9)</f>
        <v>0</v>
      </c>
      <c r="BV143" s="516">
        <f>SUMIFS(Imput[[Importe Neto]:[Importe Neto]],Imput[[C. Imp.]:[C. Imp.]],$D143,Imput[[PERIODO Imp.]:[PERIODO Imp.]],BV$9)</f>
        <v>0</v>
      </c>
      <c r="BW143" s="516">
        <f>SUMIFS(Imput[[Importe Neto]:[Importe Neto]],Imput[[C. Imp.]:[C. Imp.]],$D143,Imput[[PERIODO Imp.]:[PERIODO Imp.]],BW$9)</f>
        <v>0</v>
      </c>
      <c r="BX143" s="516">
        <f>SUMIFS(Imput[[Importe Neto]:[Importe Neto]],Imput[[C. Imp.]:[C. Imp.]],$D143,Imput[[PERIODO Imp.]:[PERIODO Imp.]],BX$9)</f>
        <v>0</v>
      </c>
      <c r="BY143" s="516">
        <f>SUMIFS(Imput[[Importe Neto]:[Importe Neto]],Imput[[C. Imp.]:[C. Imp.]],$D143,Imput[[PERIODO Imp.]:[PERIODO Imp.]],BY$9)</f>
        <v>0</v>
      </c>
      <c r="BZ143" s="516">
        <f>SUMIFS(Imput[[Importe Neto]:[Importe Neto]],Imput[[C. Imp.]:[C. Imp.]],$D143,Imput[[PERIODO Imp.]:[PERIODO Imp.]],BZ$9)</f>
        <v>0</v>
      </c>
      <c r="CA143" s="516">
        <f>SUMIFS(Imput[[Importe Neto]:[Importe Neto]],Imput[[C. Imp.]:[C. Imp.]],$D143,Imput[[PERIODO Imp.]:[PERIODO Imp.]],CA$9)</f>
        <v>0</v>
      </c>
      <c r="CB143" s="516">
        <f>SUMIFS(Imput[[Importe Neto]:[Importe Neto]],Imput[[C. Imp.]:[C. Imp.]],$D143,Imput[[PERIODO Imp.]:[PERIODO Imp.]],CB$9)</f>
        <v>0</v>
      </c>
      <c r="CC143" s="516">
        <f>SUMIFS(Imput[[Importe Neto]:[Importe Neto]],Imput[[C. Imp.]:[C. Imp.]],$D143,Imput[[PERIODO Imp.]:[PERIODO Imp.]],CC$9)</f>
        <v>0</v>
      </c>
      <c r="CD143" s="516">
        <f>SUMIFS(Imput[[Importe Neto]:[Importe Neto]],Imput[[C. Imp.]:[C. Imp.]],$D143,Imput[[PERIODO Imp.]:[PERIODO Imp.]],CD$9)</f>
        <v>0</v>
      </c>
      <c r="CE143" s="516">
        <f>SUMIFS(Imput[[Importe Neto]:[Importe Neto]],Imput[[C. Imp.]:[C. Imp.]],$D143,Imput[[PERIODO Imp.]:[PERIODO Imp.]],CE$9)</f>
        <v>0</v>
      </c>
      <c r="CF143" s="516">
        <f>SUMIFS(Imput[[Importe Neto]:[Importe Neto]],Imput[[C. Imp.]:[C. Imp.]],$D143,Imput[[PERIODO Imp.]:[PERIODO Imp.]],CF$9)</f>
        <v>0</v>
      </c>
      <c r="CG143" s="516">
        <f>SUMIFS(Imput[[Importe Neto]:[Importe Neto]],Imput[[C. Imp.]:[C. Imp.]],$D143,Imput[[PERIODO Imp.]:[PERIODO Imp.]],CG$9)</f>
        <v>0</v>
      </c>
      <c r="CH143" s="516">
        <f>SUMIFS(Imput[[Importe Neto]:[Importe Neto]],Imput[[C. Imp.]:[C. Imp.]],$D143,Imput[[PERIODO Imp.]:[PERIODO Imp.]],CH$9)</f>
        <v>0</v>
      </c>
      <c r="CI143" s="516">
        <f>SUMIFS(Imput[[Importe Neto]:[Importe Neto]],Imput[[C. Imp.]:[C. Imp.]],$D143,Imput[[PERIODO Imp.]:[PERIODO Imp.]],CI$9)</f>
        <v>0</v>
      </c>
      <c r="CJ143" s="516">
        <f>SUMIFS(Imput[[Importe Neto]:[Importe Neto]],Imput[[C. Imp.]:[C. Imp.]],$D143,Imput[[PERIODO Imp.]:[PERIODO Imp.]],CJ$9)</f>
        <v>0</v>
      </c>
      <c r="CK143" s="516">
        <f>SUMIFS(Imput[[Importe Neto]:[Importe Neto]],Imput[[C. Imp.]:[C. Imp.]],$D143,Imput[[PERIODO Imp.]:[PERIODO Imp.]],CK$9)</f>
        <v>0</v>
      </c>
      <c r="CL143" s="516">
        <f>SUMIFS(Imput[[Importe Neto]:[Importe Neto]],Imput[[C. Imp.]:[C. Imp.]],$D143,Imput[[PERIODO Imp.]:[PERIODO Imp.]],CL$9)</f>
        <v>0</v>
      </c>
      <c r="CM143" s="516">
        <f>SUMIFS(Imput[[Importe Neto]:[Importe Neto]],Imput[[C. Imp.]:[C. Imp.]],$D143,Imput[[PERIODO Imp.]:[PERIODO Imp.]],CM$9)</f>
        <v>0</v>
      </c>
      <c r="CN143" s="516">
        <f>SUMIFS(Imput[[Importe Neto]:[Importe Neto]],Imput[[C. Imp.]:[C. Imp.]],$D143,Imput[[PERIODO Imp.]:[PERIODO Imp.]],CN$9)</f>
        <v>0</v>
      </c>
      <c r="CO143" s="516">
        <f>SUMIFS(Imput[[Importe Neto]:[Importe Neto]],Imput[[C. Imp.]:[C. Imp.]],$D143,Imput[[PERIODO Imp.]:[PERIODO Imp.]],CO$9)</f>
        <v>0</v>
      </c>
      <c r="CP143" s="516">
        <f>SUMIFS(Imput[[Importe Neto]:[Importe Neto]],Imput[[C. Imp.]:[C. Imp.]],$D143,Imput[[PERIODO Imp.]:[PERIODO Imp.]],CP$9)</f>
        <v>0</v>
      </c>
      <c r="CQ143" s="516">
        <f>SUMIFS(Imput[[Importe Neto]:[Importe Neto]],Imput[[C. Imp.]:[C. Imp.]],$D143,Imput[[PERIODO Imp.]:[PERIODO Imp.]],CQ$9)</f>
        <v>0</v>
      </c>
      <c r="CR143" s="516">
        <f>SUMIFS(Imput[[Importe Neto]:[Importe Neto]],Imput[[C. Imp.]:[C. Imp.]],$D143,Imput[[PERIODO Imp.]:[PERIODO Imp.]],CR$9)</f>
        <v>0</v>
      </c>
      <c r="CS143" s="516">
        <f>SUMIFS(Imput[[Importe Neto]:[Importe Neto]],Imput[[C. Imp.]:[C. Imp.]],$D143,Imput[[PERIODO Imp.]:[PERIODO Imp.]],CS$9)</f>
        <v>0</v>
      </c>
      <c r="CT143" s="516">
        <f>SUMIFS(Imput[[Importe Neto]:[Importe Neto]],Imput[[C. Imp.]:[C. Imp.]],$D143,Imput[[PERIODO Imp.]:[PERIODO Imp.]],CT$9)</f>
        <v>0</v>
      </c>
      <c r="CU143" s="516">
        <f>SUMIFS(Imput[[Importe Neto]:[Importe Neto]],Imput[[C. Imp.]:[C. Imp.]],$D143,Imput[[PERIODO Imp.]:[PERIODO Imp.]],CU$9)</f>
        <v>0</v>
      </c>
      <c r="CV143" s="516">
        <f>SUMIFS(Imput[[Importe Neto]:[Importe Neto]],Imput[[C. Imp.]:[C. Imp.]],$D143,Imput[[PERIODO Imp.]:[PERIODO Imp.]],CV$9)</f>
        <v>0</v>
      </c>
      <c r="CW143" s="516">
        <f>SUMIFS(Imput[[Importe Neto]:[Importe Neto]],Imput[[C. Imp.]:[C. Imp.]],$D143,Imput[[PERIODO Imp.]:[PERIODO Imp.]],CW$9)</f>
        <v>0</v>
      </c>
      <c r="CX143" s="516">
        <f>SUMIFS(Imput[[Importe Neto]:[Importe Neto]],Imput[[C. Imp.]:[C. Imp.]],$D143,Imput[[PERIODO Imp.]:[PERIODO Imp.]],CX$9)</f>
        <v>0</v>
      </c>
      <c r="CY143" s="516">
        <f>SUMIFS(Imput[[Importe Neto]:[Importe Neto]],Imput[[C. Imp.]:[C. Imp.]],$D143,Imput[[PERIODO Imp.]:[PERIODO Imp.]],CY$9)</f>
        <v>0</v>
      </c>
      <c r="CZ143" s="516">
        <f>SUMIFS(Imput[[Importe Neto]:[Importe Neto]],Imput[[C. Imp.]:[C. Imp.]],$D143,Imput[[PERIODO Imp.]:[PERIODO Imp.]],CZ$9)</f>
        <v>0</v>
      </c>
      <c r="DA143" s="516">
        <f>SUMIFS(Imput[[Importe Neto]:[Importe Neto]],Imput[[C. Imp.]:[C. Imp.]],$D143,Imput[[PERIODO Imp.]:[PERIODO Imp.]],DA$9)</f>
        <v>0</v>
      </c>
      <c r="DB143" s="516">
        <f>SUMIFS(Imput[[Importe Neto]:[Importe Neto]],Imput[[C. Imp.]:[C. Imp.]],$D143,Imput[[PERIODO Imp.]:[PERIODO Imp.]],DB$9)</f>
        <v>0</v>
      </c>
      <c r="DC143" s="516">
        <f>SUMIFS(Imput[[Importe Neto]:[Importe Neto]],Imput[[C. Imp.]:[C. Imp.]],$D143,Imput[[PERIODO Imp.]:[PERIODO Imp.]],DC$9)</f>
        <v>0</v>
      </c>
      <c r="DD143" s="516">
        <f>SUMIFS(Imput[[Importe Neto]:[Importe Neto]],Imput[[C. Imp.]:[C. Imp.]],$D143,Imput[[PERIODO Imp.]:[PERIODO Imp.]],DD$9)</f>
        <v>0</v>
      </c>
      <c r="DE143" s="516">
        <f>SUMIFS(Imput[[Importe Neto]:[Importe Neto]],Imput[[C. Imp.]:[C. Imp.]],$D143,Imput[[PERIODO Imp.]:[PERIODO Imp.]],DE$9)</f>
        <v>0</v>
      </c>
      <c r="DF143" s="516">
        <f>SUMIFS(Imput[[Importe Neto]:[Importe Neto]],Imput[[C. Imp.]:[C. Imp.]],$D143,Imput[[PERIODO Imp.]:[PERIODO Imp.]],DF$9)</f>
        <v>0</v>
      </c>
      <c r="DG143" s="516">
        <f>SUMIFS(Imput[[Importe Neto]:[Importe Neto]],Imput[[C. Imp.]:[C. Imp.]],$D143,Imput[[PERIODO Imp.]:[PERIODO Imp.]],DG$9)</f>
        <v>0</v>
      </c>
      <c r="DH143" s="616">
        <f>SUMIFS(Imput[[Importe Neto]:[Importe Neto]],Imput[[C. Imp.]:[C. Imp.]],$D143,Imput[[PERIODO Imp.]:[PERIODO Imp.]],DH$9)</f>
        <v>0</v>
      </c>
    </row>
    <row r="144" spans="1:112" hidden="1" outlineLevel="1" x14ac:dyDescent="0.3">
      <c r="A144" s="66" t="str">
        <f t="shared" si="74"/>
        <v/>
      </c>
      <c r="C144" s="527"/>
      <c r="D144" s="528" t="s">
        <v>2252</v>
      </c>
      <c r="E144" s="528"/>
      <c r="F144" s="534"/>
      <c r="G144" s="529"/>
      <c r="H144" s="531"/>
      <c r="I144" s="849" t="str">
        <f t="shared" si="75"/>
        <v/>
      </c>
      <c r="J144" s="850" t="str">
        <f t="shared" si="76"/>
        <v/>
      </c>
      <c r="K144" s="70"/>
      <c r="L144" s="853"/>
      <c r="M144" s="855"/>
      <c r="N144" s="855"/>
      <c r="O144" s="855"/>
      <c r="P144" s="855"/>
      <c r="Q144" s="855"/>
      <c r="R144" s="855"/>
      <c r="S144" s="855"/>
      <c r="T144" s="855"/>
      <c r="U144" s="855"/>
      <c r="V144" s="855"/>
      <c r="W144" s="855"/>
      <c r="X144" s="855"/>
      <c r="Y144" s="855"/>
      <c r="Z144" s="856"/>
      <c r="AA144" s="856"/>
      <c r="AB144" s="856"/>
      <c r="AC144" s="856"/>
      <c r="AD144" s="856"/>
      <c r="AE144" s="856"/>
      <c r="AF144" s="856"/>
      <c r="AG144" s="856"/>
      <c r="AH144" s="856"/>
      <c r="AI144" s="856"/>
      <c r="AJ144" s="856"/>
      <c r="AK144" s="856"/>
      <c r="AL144" s="856"/>
      <c r="AM144" s="856"/>
      <c r="AN144" s="856"/>
      <c r="AO144" s="856"/>
      <c r="AP144" s="856"/>
      <c r="AQ144" s="856"/>
      <c r="AR144" s="856"/>
      <c r="AS144" s="856"/>
      <c r="AT144" s="856"/>
      <c r="AU144" s="856"/>
      <c r="AV144" s="856"/>
      <c r="AW144" s="856"/>
      <c r="AX144" s="856"/>
      <c r="AY144" s="856"/>
      <c r="AZ144" s="856"/>
      <c r="BA144" s="856"/>
      <c r="BB144" s="856"/>
      <c r="BC144" s="856"/>
      <c r="BD144" s="856"/>
      <c r="BE144" s="856"/>
      <c r="BF144" s="856"/>
      <c r="BG144" s="857"/>
      <c r="BH144" s="590"/>
      <c r="BI144" s="70"/>
      <c r="BJ144" s="518">
        <f t="shared" si="77"/>
        <v>0</v>
      </c>
      <c r="BK144" s="517">
        <f t="shared" si="78"/>
        <v>0</v>
      </c>
      <c r="BL144" s="68"/>
      <c r="BM144" s="515">
        <f>SUMIFS(Imput[[Importe Neto]:[Importe Neto]],Imput[[C. Imp.]:[C. Imp.]],$D144,Imput[[PERIODO Imp.]:[PERIODO Imp.]],BM$9)</f>
        <v>0</v>
      </c>
      <c r="BN144" s="516">
        <f>SUMIFS(Imput[[Importe Neto]:[Importe Neto]],Imput[[C. Imp.]:[C. Imp.]],$D144,Imput[[PERIODO Imp.]:[PERIODO Imp.]],BN$9)</f>
        <v>0</v>
      </c>
      <c r="BO144" s="516">
        <f>SUMIFS(Imput[[Importe Neto]:[Importe Neto]],Imput[[C. Imp.]:[C. Imp.]],$D144,Imput[[PERIODO Imp.]:[PERIODO Imp.]],BO$9)</f>
        <v>0</v>
      </c>
      <c r="BP144" s="516">
        <f>SUMIFS(Imput[[Importe Neto]:[Importe Neto]],Imput[[C. Imp.]:[C. Imp.]],$D144,Imput[[PERIODO Imp.]:[PERIODO Imp.]],BP$9)</f>
        <v>0</v>
      </c>
      <c r="BQ144" s="516">
        <f>SUMIFS(Imput[[Importe Neto]:[Importe Neto]],Imput[[C. Imp.]:[C. Imp.]],$D144,Imput[[PERIODO Imp.]:[PERIODO Imp.]],BQ$9)</f>
        <v>0</v>
      </c>
      <c r="BR144" s="516">
        <f>SUMIFS(Imput[[Importe Neto]:[Importe Neto]],Imput[[C. Imp.]:[C. Imp.]],$D144,Imput[[PERIODO Imp.]:[PERIODO Imp.]],BR$9)</f>
        <v>0</v>
      </c>
      <c r="BS144" s="516">
        <f>SUMIFS(Imput[[Importe Neto]:[Importe Neto]],Imput[[C. Imp.]:[C. Imp.]],$D144,Imput[[PERIODO Imp.]:[PERIODO Imp.]],BS$9)</f>
        <v>0</v>
      </c>
      <c r="BT144" s="516">
        <f>SUMIFS(Imput[[Importe Neto]:[Importe Neto]],Imput[[C. Imp.]:[C. Imp.]],$D144,Imput[[PERIODO Imp.]:[PERIODO Imp.]],BT$9)</f>
        <v>0</v>
      </c>
      <c r="BU144" s="516">
        <f>SUMIFS(Imput[[Importe Neto]:[Importe Neto]],Imput[[C. Imp.]:[C. Imp.]],$D144,Imput[[PERIODO Imp.]:[PERIODO Imp.]],BU$9)</f>
        <v>0</v>
      </c>
      <c r="BV144" s="516">
        <f>SUMIFS(Imput[[Importe Neto]:[Importe Neto]],Imput[[C. Imp.]:[C. Imp.]],$D144,Imput[[PERIODO Imp.]:[PERIODO Imp.]],BV$9)</f>
        <v>0</v>
      </c>
      <c r="BW144" s="516">
        <f>SUMIFS(Imput[[Importe Neto]:[Importe Neto]],Imput[[C. Imp.]:[C. Imp.]],$D144,Imput[[PERIODO Imp.]:[PERIODO Imp.]],BW$9)</f>
        <v>0</v>
      </c>
      <c r="BX144" s="516">
        <f>SUMIFS(Imput[[Importe Neto]:[Importe Neto]],Imput[[C. Imp.]:[C. Imp.]],$D144,Imput[[PERIODO Imp.]:[PERIODO Imp.]],BX$9)</f>
        <v>0</v>
      </c>
      <c r="BY144" s="516">
        <f>SUMIFS(Imput[[Importe Neto]:[Importe Neto]],Imput[[C. Imp.]:[C. Imp.]],$D144,Imput[[PERIODO Imp.]:[PERIODO Imp.]],BY$9)</f>
        <v>0</v>
      </c>
      <c r="BZ144" s="516">
        <f>SUMIFS(Imput[[Importe Neto]:[Importe Neto]],Imput[[C. Imp.]:[C. Imp.]],$D144,Imput[[PERIODO Imp.]:[PERIODO Imp.]],BZ$9)</f>
        <v>0</v>
      </c>
      <c r="CA144" s="516">
        <f>SUMIFS(Imput[[Importe Neto]:[Importe Neto]],Imput[[C. Imp.]:[C. Imp.]],$D144,Imput[[PERIODO Imp.]:[PERIODO Imp.]],CA$9)</f>
        <v>0</v>
      </c>
      <c r="CB144" s="516">
        <f>SUMIFS(Imput[[Importe Neto]:[Importe Neto]],Imput[[C. Imp.]:[C. Imp.]],$D144,Imput[[PERIODO Imp.]:[PERIODO Imp.]],CB$9)</f>
        <v>0</v>
      </c>
      <c r="CC144" s="516">
        <f>SUMIFS(Imput[[Importe Neto]:[Importe Neto]],Imput[[C. Imp.]:[C. Imp.]],$D144,Imput[[PERIODO Imp.]:[PERIODO Imp.]],CC$9)</f>
        <v>0</v>
      </c>
      <c r="CD144" s="516">
        <f>SUMIFS(Imput[[Importe Neto]:[Importe Neto]],Imput[[C. Imp.]:[C. Imp.]],$D144,Imput[[PERIODO Imp.]:[PERIODO Imp.]],CD$9)</f>
        <v>0</v>
      </c>
      <c r="CE144" s="516">
        <f>SUMIFS(Imput[[Importe Neto]:[Importe Neto]],Imput[[C. Imp.]:[C. Imp.]],$D144,Imput[[PERIODO Imp.]:[PERIODO Imp.]],CE$9)</f>
        <v>0</v>
      </c>
      <c r="CF144" s="516">
        <f>SUMIFS(Imput[[Importe Neto]:[Importe Neto]],Imput[[C. Imp.]:[C. Imp.]],$D144,Imput[[PERIODO Imp.]:[PERIODO Imp.]],CF$9)</f>
        <v>0</v>
      </c>
      <c r="CG144" s="516">
        <f>SUMIFS(Imput[[Importe Neto]:[Importe Neto]],Imput[[C. Imp.]:[C. Imp.]],$D144,Imput[[PERIODO Imp.]:[PERIODO Imp.]],CG$9)</f>
        <v>0</v>
      </c>
      <c r="CH144" s="516">
        <f>SUMIFS(Imput[[Importe Neto]:[Importe Neto]],Imput[[C. Imp.]:[C. Imp.]],$D144,Imput[[PERIODO Imp.]:[PERIODO Imp.]],CH$9)</f>
        <v>0</v>
      </c>
      <c r="CI144" s="516">
        <f>SUMIFS(Imput[[Importe Neto]:[Importe Neto]],Imput[[C. Imp.]:[C. Imp.]],$D144,Imput[[PERIODO Imp.]:[PERIODO Imp.]],CI$9)</f>
        <v>0</v>
      </c>
      <c r="CJ144" s="516">
        <f>SUMIFS(Imput[[Importe Neto]:[Importe Neto]],Imput[[C. Imp.]:[C. Imp.]],$D144,Imput[[PERIODO Imp.]:[PERIODO Imp.]],CJ$9)</f>
        <v>0</v>
      </c>
      <c r="CK144" s="516">
        <f>SUMIFS(Imput[[Importe Neto]:[Importe Neto]],Imput[[C. Imp.]:[C. Imp.]],$D144,Imput[[PERIODO Imp.]:[PERIODO Imp.]],CK$9)</f>
        <v>0</v>
      </c>
      <c r="CL144" s="516">
        <f>SUMIFS(Imput[[Importe Neto]:[Importe Neto]],Imput[[C. Imp.]:[C. Imp.]],$D144,Imput[[PERIODO Imp.]:[PERIODO Imp.]],CL$9)</f>
        <v>0</v>
      </c>
      <c r="CM144" s="516">
        <f>SUMIFS(Imput[[Importe Neto]:[Importe Neto]],Imput[[C. Imp.]:[C. Imp.]],$D144,Imput[[PERIODO Imp.]:[PERIODO Imp.]],CM$9)</f>
        <v>0</v>
      </c>
      <c r="CN144" s="516">
        <f>SUMIFS(Imput[[Importe Neto]:[Importe Neto]],Imput[[C. Imp.]:[C. Imp.]],$D144,Imput[[PERIODO Imp.]:[PERIODO Imp.]],CN$9)</f>
        <v>0</v>
      </c>
      <c r="CO144" s="516">
        <f>SUMIFS(Imput[[Importe Neto]:[Importe Neto]],Imput[[C. Imp.]:[C. Imp.]],$D144,Imput[[PERIODO Imp.]:[PERIODO Imp.]],CO$9)</f>
        <v>0</v>
      </c>
      <c r="CP144" s="516">
        <f>SUMIFS(Imput[[Importe Neto]:[Importe Neto]],Imput[[C. Imp.]:[C. Imp.]],$D144,Imput[[PERIODO Imp.]:[PERIODO Imp.]],CP$9)</f>
        <v>0</v>
      </c>
      <c r="CQ144" s="516">
        <f>SUMIFS(Imput[[Importe Neto]:[Importe Neto]],Imput[[C. Imp.]:[C. Imp.]],$D144,Imput[[PERIODO Imp.]:[PERIODO Imp.]],CQ$9)</f>
        <v>0</v>
      </c>
      <c r="CR144" s="516">
        <f>SUMIFS(Imput[[Importe Neto]:[Importe Neto]],Imput[[C. Imp.]:[C. Imp.]],$D144,Imput[[PERIODO Imp.]:[PERIODO Imp.]],CR$9)</f>
        <v>0</v>
      </c>
      <c r="CS144" s="516">
        <f>SUMIFS(Imput[[Importe Neto]:[Importe Neto]],Imput[[C. Imp.]:[C. Imp.]],$D144,Imput[[PERIODO Imp.]:[PERIODO Imp.]],CS$9)</f>
        <v>0</v>
      </c>
      <c r="CT144" s="516">
        <f>SUMIFS(Imput[[Importe Neto]:[Importe Neto]],Imput[[C. Imp.]:[C. Imp.]],$D144,Imput[[PERIODO Imp.]:[PERIODO Imp.]],CT$9)</f>
        <v>0</v>
      </c>
      <c r="CU144" s="516">
        <f>SUMIFS(Imput[[Importe Neto]:[Importe Neto]],Imput[[C. Imp.]:[C. Imp.]],$D144,Imput[[PERIODO Imp.]:[PERIODO Imp.]],CU$9)</f>
        <v>0</v>
      </c>
      <c r="CV144" s="516">
        <f>SUMIFS(Imput[[Importe Neto]:[Importe Neto]],Imput[[C. Imp.]:[C. Imp.]],$D144,Imput[[PERIODO Imp.]:[PERIODO Imp.]],CV$9)</f>
        <v>0</v>
      </c>
      <c r="CW144" s="516">
        <f>SUMIFS(Imput[[Importe Neto]:[Importe Neto]],Imput[[C. Imp.]:[C. Imp.]],$D144,Imput[[PERIODO Imp.]:[PERIODO Imp.]],CW$9)</f>
        <v>0</v>
      </c>
      <c r="CX144" s="516">
        <f>SUMIFS(Imput[[Importe Neto]:[Importe Neto]],Imput[[C. Imp.]:[C. Imp.]],$D144,Imput[[PERIODO Imp.]:[PERIODO Imp.]],CX$9)</f>
        <v>0</v>
      </c>
      <c r="CY144" s="516">
        <f>SUMIFS(Imput[[Importe Neto]:[Importe Neto]],Imput[[C. Imp.]:[C. Imp.]],$D144,Imput[[PERIODO Imp.]:[PERIODO Imp.]],CY$9)</f>
        <v>0</v>
      </c>
      <c r="CZ144" s="516">
        <f>SUMIFS(Imput[[Importe Neto]:[Importe Neto]],Imput[[C. Imp.]:[C. Imp.]],$D144,Imput[[PERIODO Imp.]:[PERIODO Imp.]],CZ$9)</f>
        <v>0</v>
      </c>
      <c r="DA144" s="516">
        <f>SUMIFS(Imput[[Importe Neto]:[Importe Neto]],Imput[[C. Imp.]:[C. Imp.]],$D144,Imput[[PERIODO Imp.]:[PERIODO Imp.]],DA$9)</f>
        <v>0</v>
      </c>
      <c r="DB144" s="516">
        <f>SUMIFS(Imput[[Importe Neto]:[Importe Neto]],Imput[[C. Imp.]:[C. Imp.]],$D144,Imput[[PERIODO Imp.]:[PERIODO Imp.]],DB$9)</f>
        <v>0</v>
      </c>
      <c r="DC144" s="516">
        <f>SUMIFS(Imput[[Importe Neto]:[Importe Neto]],Imput[[C. Imp.]:[C. Imp.]],$D144,Imput[[PERIODO Imp.]:[PERIODO Imp.]],DC$9)</f>
        <v>0</v>
      </c>
      <c r="DD144" s="516">
        <f>SUMIFS(Imput[[Importe Neto]:[Importe Neto]],Imput[[C. Imp.]:[C. Imp.]],$D144,Imput[[PERIODO Imp.]:[PERIODO Imp.]],DD$9)</f>
        <v>0</v>
      </c>
      <c r="DE144" s="516">
        <f>SUMIFS(Imput[[Importe Neto]:[Importe Neto]],Imput[[C. Imp.]:[C. Imp.]],$D144,Imput[[PERIODO Imp.]:[PERIODO Imp.]],DE$9)</f>
        <v>0</v>
      </c>
      <c r="DF144" s="516">
        <f>SUMIFS(Imput[[Importe Neto]:[Importe Neto]],Imput[[C. Imp.]:[C. Imp.]],$D144,Imput[[PERIODO Imp.]:[PERIODO Imp.]],DF$9)</f>
        <v>0</v>
      </c>
      <c r="DG144" s="516">
        <f>SUMIFS(Imput[[Importe Neto]:[Importe Neto]],Imput[[C. Imp.]:[C. Imp.]],$D144,Imput[[PERIODO Imp.]:[PERIODO Imp.]],DG$9)</f>
        <v>0</v>
      </c>
      <c r="DH144" s="616">
        <f>SUMIFS(Imput[[Importe Neto]:[Importe Neto]],Imput[[C. Imp.]:[C. Imp.]],$D144,Imput[[PERIODO Imp.]:[PERIODO Imp.]],DH$9)</f>
        <v>0</v>
      </c>
    </row>
    <row r="145" spans="1:112" hidden="1" outlineLevel="1" x14ac:dyDescent="0.3">
      <c r="A145" s="66" t="str">
        <f t="shared" si="74"/>
        <v/>
      </c>
      <c r="C145" s="527"/>
      <c r="D145" s="528" t="s">
        <v>2253</v>
      </c>
      <c r="E145" s="528"/>
      <c r="F145" s="534"/>
      <c r="G145" s="529"/>
      <c r="H145" s="531"/>
      <c r="I145" s="849" t="str">
        <f t="shared" si="75"/>
        <v/>
      </c>
      <c r="J145" s="850" t="str">
        <f t="shared" si="76"/>
        <v/>
      </c>
      <c r="K145" s="70"/>
      <c r="L145" s="853"/>
      <c r="M145" s="855"/>
      <c r="N145" s="855"/>
      <c r="O145" s="855"/>
      <c r="P145" s="855"/>
      <c r="Q145" s="855"/>
      <c r="R145" s="855"/>
      <c r="S145" s="855"/>
      <c r="T145" s="855"/>
      <c r="U145" s="855"/>
      <c r="V145" s="855"/>
      <c r="W145" s="855"/>
      <c r="X145" s="855"/>
      <c r="Y145" s="855"/>
      <c r="Z145" s="856"/>
      <c r="AA145" s="856"/>
      <c r="AB145" s="856"/>
      <c r="AC145" s="856"/>
      <c r="AD145" s="856"/>
      <c r="AE145" s="856"/>
      <c r="AF145" s="856"/>
      <c r="AG145" s="856"/>
      <c r="AH145" s="856"/>
      <c r="AI145" s="856"/>
      <c r="AJ145" s="856"/>
      <c r="AK145" s="856"/>
      <c r="AL145" s="856"/>
      <c r="AM145" s="856"/>
      <c r="AN145" s="856"/>
      <c r="AO145" s="856"/>
      <c r="AP145" s="856"/>
      <c r="AQ145" s="856"/>
      <c r="AR145" s="856"/>
      <c r="AS145" s="856"/>
      <c r="AT145" s="856"/>
      <c r="AU145" s="856"/>
      <c r="AV145" s="856"/>
      <c r="AW145" s="856"/>
      <c r="AX145" s="856"/>
      <c r="AY145" s="856"/>
      <c r="AZ145" s="856"/>
      <c r="BA145" s="856"/>
      <c r="BB145" s="856"/>
      <c r="BC145" s="856"/>
      <c r="BD145" s="856"/>
      <c r="BE145" s="856"/>
      <c r="BF145" s="856"/>
      <c r="BG145" s="857"/>
      <c r="BH145" s="590"/>
      <c r="BI145" s="70"/>
      <c r="BJ145" s="518">
        <f t="shared" si="77"/>
        <v>0</v>
      </c>
      <c r="BK145" s="517">
        <f t="shared" si="78"/>
        <v>0</v>
      </c>
      <c r="BL145" s="68"/>
      <c r="BM145" s="515">
        <f>SUMIFS(Imput[[Importe Neto]:[Importe Neto]],Imput[[C. Imp.]:[C. Imp.]],$D145,Imput[[PERIODO Imp.]:[PERIODO Imp.]],BM$9)</f>
        <v>0</v>
      </c>
      <c r="BN145" s="516">
        <f>SUMIFS(Imput[[Importe Neto]:[Importe Neto]],Imput[[C. Imp.]:[C. Imp.]],$D145,Imput[[PERIODO Imp.]:[PERIODO Imp.]],BN$9)</f>
        <v>0</v>
      </c>
      <c r="BO145" s="516">
        <f>SUMIFS(Imput[[Importe Neto]:[Importe Neto]],Imput[[C. Imp.]:[C. Imp.]],$D145,Imput[[PERIODO Imp.]:[PERIODO Imp.]],BO$9)</f>
        <v>0</v>
      </c>
      <c r="BP145" s="516">
        <f>SUMIFS(Imput[[Importe Neto]:[Importe Neto]],Imput[[C. Imp.]:[C. Imp.]],$D145,Imput[[PERIODO Imp.]:[PERIODO Imp.]],BP$9)</f>
        <v>0</v>
      </c>
      <c r="BQ145" s="516">
        <f>SUMIFS(Imput[[Importe Neto]:[Importe Neto]],Imput[[C. Imp.]:[C. Imp.]],$D145,Imput[[PERIODO Imp.]:[PERIODO Imp.]],BQ$9)</f>
        <v>0</v>
      </c>
      <c r="BR145" s="516">
        <f>SUMIFS(Imput[[Importe Neto]:[Importe Neto]],Imput[[C. Imp.]:[C. Imp.]],$D145,Imput[[PERIODO Imp.]:[PERIODO Imp.]],BR$9)</f>
        <v>0</v>
      </c>
      <c r="BS145" s="516">
        <f>SUMIFS(Imput[[Importe Neto]:[Importe Neto]],Imput[[C. Imp.]:[C. Imp.]],$D145,Imput[[PERIODO Imp.]:[PERIODO Imp.]],BS$9)</f>
        <v>0</v>
      </c>
      <c r="BT145" s="516">
        <f>SUMIFS(Imput[[Importe Neto]:[Importe Neto]],Imput[[C. Imp.]:[C. Imp.]],$D145,Imput[[PERIODO Imp.]:[PERIODO Imp.]],BT$9)</f>
        <v>0</v>
      </c>
      <c r="BU145" s="516">
        <f>SUMIFS(Imput[[Importe Neto]:[Importe Neto]],Imput[[C. Imp.]:[C. Imp.]],$D145,Imput[[PERIODO Imp.]:[PERIODO Imp.]],BU$9)</f>
        <v>0</v>
      </c>
      <c r="BV145" s="516">
        <f>SUMIFS(Imput[[Importe Neto]:[Importe Neto]],Imput[[C. Imp.]:[C. Imp.]],$D145,Imput[[PERIODO Imp.]:[PERIODO Imp.]],BV$9)</f>
        <v>0</v>
      </c>
      <c r="BW145" s="516">
        <f>SUMIFS(Imput[[Importe Neto]:[Importe Neto]],Imput[[C. Imp.]:[C. Imp.]],$D145,Imput[[PERIODO Imp.]:[PERIODO Imp.]],BW$9)</f>
        <v>0</v>
      </c>
      <c r="BX145" s="516">
        <f>SUMIFS(Imput[[Importe Neto]:[Importe Neto]],Imput[[C. Imp.]:[C. Imp.]],$D145,Imput[[PERIODO Imp.]:[PERIODO Imp.]],BX$9)</f>
        <v>0</v>
      </c>
      <c r="BY145" s="516">
        <f>SUMIFS(Imput[[Importe Neto]:[Importe Neto]],Imput[[C. Imp.]:[C. Imp.]],$D145,Imput[[PERIODO Imp.]:[PERIODO Imp.]],BY$9)</f>
        <v>0</v>
      </c>
      <c r="BZ145" s="516">
        <f>SUMIFS(Imput[[Importe Neto]:[Importe Neto]],Imput[[C. Imp.]:[C. Imp.]],$D145,Imput[[PERIODO Imp.]:[PERIODO Imp.]],BZ$9)</f>
        <v>0</v>
      </c>
      <c r="CA145" s="516">
        <f>SUMIFS(Imput[[Importe Neto]:[Importe Neto]],Imput[[C. Imp.]:[C. Imp.]],$D145,Imput[[PERIODO Imp.]:[PERIODO Imp.]],CA$9)</f>
        <v>0</v>
      </c>
      <c r="CB145" s="516">
        <f>SUMIFS(Imput[[Importe Neto]:[Importe Neto]],Imput[[C. Imp.]:[C. Imp.]],$D145,Imput[[PERIODO Imp.]:[PERIODO Imp.]],CB$9)</f>
        <v>0</v>
      </c>
      <c r="CC145" s="516">
        <f>SUMIFS(Imput[[Importe Neto]:[Importe Neto]],Imput[[C. Imp.]:[C. Imp.]],$D145,Imput[[PERIODO Imp.]:[PERIODO Imp.]],CC$9)</f>
        <v>0</v>
      </c>
      <c r="CD145" s="516">
        <f>SUMIFS(Imput[[Importe Neto]:[Importe Neto]],Imput[[C. Imp.]:[C. Imp.]],$D145,Imput[[PERIODO Imp.]:[PERIODO Imp.]],CD$9)</f>
        <v>0</v>
      </c>
      <c r="CE145" s="516">
        <f>SUMIFS(Imput[[Importe Neto]:[Importe Neto]],Imput[[C. Imp.]:[C. Imp.]],$D145,Imput[[PERIODO Imp.]:[PERIODO Imp.]],CE$9)</f>
        <v>0</v>
      </c>
      <c r="CF145" s="516">
        <f>SUMIFS(Imput[[Importe Neto]:[Importe Neto]],Imput[[C. Imp.]:[C. Imp.]],$D145,Imput[[PERIODO Imp.]:[PERIODO Imp.]],CF$9)</f>
        <v>0</v>
      </c>
      <c r="CG145" s="516">
        <f>SUMIFS(Imput[[Importe Neto]:[Importe Neto]],Imput[[C. Imp.]:[C. Imp.]],$D145,Imput[[PERIODO Imp.]:[PERIODO Imp.]],CG$9)</f>
        <v>0</v>
      </c>
      <c r="CH145" s="516">
        <f>SUMIFS(Imput[[Importe Neto]:[Importe Neto]],Imput[[C. Imp.]:[C. Imp.]],$D145,Imput[[PERIODO Imp.]:[PERIODO Imp.]],CH$9)</f>
        <v>0</v>
      </c>
      <c r="CI145" s="516">
        <f>SUMIFS(Imput[[Importe Neto]:[Importe Neto]],Imput[[C. Imp.]:[C. Imp.]],$D145,Imput[[PERIODO Imp.]:[PERIODO Imp.]],CI$9)</f>
        <v>0</v>
      </c>
      <c r="CJ145" s="516">
        <f>SUMIFS(Imput[[Importe Neto]:[Importe Neto]],Imput[[C. Imp.]:[C. Imp.]],$D145,Imput[[PERIODO Imp.]:[PERIODO Imp.]],CJ$9)</f>
        <v>0</v>
      </c>
      <c r="CK145" s="516">
        <f>SUMIFS(Imput[[Importe Neto]:[Importe Neto]],Imput[[C. Imp.]:[C. Imp.]],$D145,Imput[[PERIODO Imp.]:[PERIODO Imp.]],CK$9)</f>
        <v>0</v>
      </c>
      <c r="CL145" s="516">
        <f>SUMIFS(Imput[[Importe Neto]:[Importe Neto]],Imput[[C. Imp.]:[C. Imp.]],$D145,Imput[[PERIODO Imp.]:[PERIODO Imp.]],CL$9)</f>
        <v>0</v>
      </c>
      <c r="CM145" s="516">
        <f>SUMIFS(Imput[[Importe Neto]:[Importe Neto]],Imput[[C. Imp.]:[C. Imp.]],$D145,Imput[[PERIODO Imp.]:[PERIODO Imp.]],CM$9)</f>
        <v>0</v>
      </c>
      <c r="CN145" s="516">
        <f>SUMIFS(Imput[[Importe Neto]:[Importe Neto]],Imput[[C. Imp.]:[C. Imp.]],$D145,Imput[[PERIODO Imp.]:[PERIODO Imp.]],CN$9)</f>
        <v>0</v>
      </c>
      <c r="CO145" s="516">
        <f>SUMIFS(Imput[[Importe Neto]:[Importe Neto]],Imput[[C. Imp.]:[C. Imp.]],$D145,Imput[[PERIODO Imp.]:[PERIODO Imp.]],CO$9)</f>
        <v>0</v>
      </c>
      <c r="CP145" s="516">
        <f>SUMIFS(Imput[[Importe Neto]:[Importe Neto]],Imput[[C. Imp.]:[C. Imp.]],$D145,Imput[[PERIODO Imp.]:[PERIODO Imp.]],CP$9)</f>
        <v>0</v>
      </c>
      <c r="CQ145" s="516">
        <f>SUMIFS(Imput[[Importe Neto]:[Importe Neto]],Imput[[C. Imp.]:[C. Imp.]],$D145,Imput[[PERIODO Imp.]:[PERIODO Imp.]],CQ$9)</f>
        <v>0</v>
      </c>
      <c r="CR145" s="516">
        <f>SUMIFS(Imput[[Importe Neto]:[Importe Neto]],Imput[[C. Imp.]:[C. Imp.]],$D145,Imput[[PERIODO Imp.]:[PERIODO Imp.]],CR$9)</f>
        <v>0</v>
      </c>
      <c r="CS145" s="516">
        <f>SUMIFS(Imput[[Importe Neto]:[Importe Neto]],Imput[[C. Imp.]:[C. Imp.]],$D145,Imput[[PERIODO Imp.]:[PERIODO Imp.]],CS$9)</f>
        <v>0</v>
      </c>
      <c r="CT145" s="516">
        <f>SUMIFS(Imput[[Importe Neto]:[Importe Neto]],Imput[[C. Imp.]:[C. Imp.]],$D145,Imput[[PERIODO Imp.]:[PERIODO Imp.]],CT$9)</f>
        <v>0</v>
      </c>
      <c r="CU145" s="516">
        <f>SUMIFS(Imput[[Importe Neto]:[Importe Neto]],Imput[[C. Imp.]:[C. Imp.]],$D145,Imput[[PERIODO Imp.]:[PERIODO Imp.]],CU$9)</f>
        <v>0</v>
      </c>
      <c r="CV145" s="516">
        <f>SUMIFS(Imput[[Importe Neto]:[Importe Neto]],Imput[[C. Imp.]:[C. Imp.]],$D145,Imput[[PERIODO Imp.]:[PERIODO Imp.]],CV$9)</f>
        <v>0</v>
      </c>
      <c r="CW145" s="516">
        <f>SUMIFS(Imput[[Importe Neto]:[Importe Neto]],Imput[[C. Imp.]:[C. Imp.]],$D145,Imput[[PERIODO Imp.]:[PERIODO Imp.]],CW$9)</f>
        <v>0</v>
      </c>
      <c r="CX145" s="516">
        <f>SUMIFS(Imput[[Importe Neto]:[Importe Neto]],Imput[[C. Imp.]:[C. Imp.]],$D145,Imput[[PERIODO Imp.]:[PERIODO Imp.]],CX$9)</f>
        <v>0</v>
      </c>
      <c r="CY145" s="516">
        <f>SUMIFS(Imput[[Importe Neto]:[Importe Neto]],Imput[[C. Imp.]:[C. Imp.]],$D145,Imput[[PERIODO Imp.]:[PERIODO Imp.]],CY$9)</f>
        <v>0</v>
      </c>
      <c r="CZ145" s="516">
        <f>SUMIFS(Imput[[Importe Neto]:[Importe Neto]],Imput[[C. Imp.]:[C. Imp.]],$D145,Imput[[PERIODO Imp.]:[PERIODO Imp.]],CZ$9)</f>
        <v>0</v>
      </c>
      <c r="DA145" s="516">
        <f>SUMIFS(Imput[[Importe Neto]:[Importe Neto]],Imput[[C. Imp.]:[C. Imp.]],$D145,Imput[[PERIODO Imp.]:[PERIODO Imp.]],DA$9)</f>
        <v>0</v>
      </c>
      <c r="DB145" s="516">
        <f>SUMIFS(Imput[[Importe Neto]:[Importe Neto]],Imput[[C. Imp.]:[C. Imp.]],$D145,Imput[[PERIODO Imp.]:[PERIODO Imp.]],DB$9)</f>
        <v>0</v>
      </c>
      <c r="DC145" s="516">
        <f>SUMIFS(Imput[[Importe Neto]:[Importe Neto]],Imput[[C. Imp.]:[C. Imp.]],$D145,Imput[[PERIODO Imp.]:[PERIODO Imp.]],DC$9)</f>
        <v>0</v>
      </c>
      <c r="DD145" s="516">
        <f>SUMIFS(Imput[[Importe Neto]:[Importe Neto]],Imput[[C. Imp.]:[C. Imp.]],$D145,Imput[[PERIODO Imp.]:[PERIODO Imp.]],DD$9)</f>
        <v>0</v>
      </c>
      <c r="DE145" s="516">
        <f>SUMIFS(Imput[[Importe Neto]:[Importe Neto]],Imput[[C. Imp.]:[C. Imp.]],$D145,Imput[[PERIODO Imp.]:[PERIODO Imp.]],DE$9)</f>
        <v>0</v>
      </c>
      <c r="DF145" s="516">
        <f>SUMIFS(Imput[[Importe Neto]:[Importe Neto]],Imput[[C. Imp.]:[C. Imp.]],$D145,Imput[[PERIODO Imp.]:[PERIODO Imp.]],DF$9)</f>
        <v>0</v>
      </c>
      <c r="DG145" s="516">
        <f>SUMIFS(Imput[[Importe Neto]:[Importe Neto]],Imput[[C. Imp.]:[C. Imp.]],$D145,Imput[[PERIODO Imp.]:[PERIODO Imp.]],DG$9)</f>
        <v>0</v>
      </c>
      <c r="DH145" s="616">
        <f>SUMIFS(Imput[[Importe Neto]:[Importe Neto]],Imput[[C. Imp.]:[C. Imp.]],$D145,Imput[[PERIODO Imp.]:[PERIODO Imp.]],DH$9)</f>
        <v>0</v>
      </c>
    </row>
    <row r="146" spans="1:112" hidden="1" outlineLevel="1" x14ac:dyDescent="0.3">
      <c r="A146" s="66" t="str">
        <f t="shared" si="74"/>
        <v/>
      </c>
      <c r="C146" s="527"/>
      <c r="D146" s="528" t="s">
        <v>2254</v>
      </c>
      <c r="E146" s="528"/>
      <c r="F146" s="534"/>
      <c r="G146" s="529"/>
      <c r="H146" s="531"/>
      <c r="I146" s="849" t="str">
        <f t="shared" si="75"/>
        <v/>
      </c>
      <c r="J146" s="850" t="str">
        <f t="shared" si="76"/>
        <v/>
      </c>
      <c r="K146" s="70"/>
      <c r="L146" s="853"/>
      <c r="M146" s="855"/>
      <c r="N146" s="855"/>
      <c r="O146" s="855"/>
      <c r="P146" s="855"/>
      <c r="Q146" s="855"/>
      <c r="R146" s="855"/>
      <c r="S146" s="855"/>
      <c r="T146" s="855"/>
      <c r="U146" s="855"/>
      <c r="V146" s="855"/>
      <c r="W146" s="855"/>
      <c r="X146" s="855"/>
      <c r="Y146" s="855"/>
      <c r="Z146" s="856"/>
      <c r="AA146" s="856"/>
      <c r="AB146" s="856"/>
      <c r="AC146" s="856"/>
      <c r="AD146" s="856"/>
      <c r="AE146" s="856"/>
      <c r="AF146" s="856"/>
      <c r="AG146" s="856"/>
      <c r="AH146" s="856"/>
      <c r="AI146" s="856"/>
      <c r="AJ146" s="856"/>
      <c r="AK146" s="856"/>
      <c r="AL146" s="856"/>
      <c r="AM146" s="856"/>
      <c r="AN146" s="856"/>
      <c r="AO146" s="856"/>
      <c r="AP146" s="856"/>
      <c r="AQ146" s="856"/>
      <c r="AR146" s="856"/>
      <c r="AS146" s="856"/>
      <c r="AT146" s="856"/>
      <c r="AU146" s="856"/>
      <c r="AV146" s="856"/>
      <c r="AW146" s="856"/>
      <c r="AX146" s="856"/>
      <c r="AY146" s="856"/>
      <c r="AZ146" s="856"/>
      <c r="BA146" s="856"/>
      <c r="BB146" s="856"/>
      <c r="BC146" s="856"/>
      <c r="BD146" s="856"/>
      <c r="BE146" s="856"/>
      <c r="BF146" s="856"/>
      <c r="BG146" s="857"/>
      <c r="BH146" s="590"/>
      <c r="BI146" s="70"/>
      <c r="BJ146" s="518">
        <f t="shared" si="77"/>
        <v>0</v>
      </c>
      <c r="BK146" s="517">
        <f t="shared" si="78"/>
        <v>0</v>
      </c>
      <c r="BL146" s="68"/>
      <c r="BM146" s="515">
        <f>SUMIFS(Imput[[Importe Neto]:[Importe Neto]],Imput[[C. Imp.]:[C. Imp.]],$D146,Imput[[PERIODO Imp.]:[PERIODO Imp.]],BM$9)</f>
        <v>0</v>
      </c>
      <c r="BN146" s="516">
        <f>SUMIFS(Imput[[Importe Neto]:[Importe Neto]],Imput[[C. Imp.]:[C. Imp.]],$D146,Imput[[PERIODO Imp.]:[PERIODO Imp.]],BN$9)</f>
        <v>0</v>
      </c>
      <c r="BO146" s="516">
        <f>SUMIFS(Imput[[Importe Neto]:[Importe Neto]],Imput[[C. Imp.]:[C. Imp.]],$D146,Imput[[PERIODO Imp.]:[PERIODO Imp.]],BO$9)</f>
        <v>0</v>
      </c>
      <c r="BP146" s="516">
        <f>SUMIFS(Imput[[Importe Neto]:[Importe Neto]],Imput[[C. Imp.]:[C. Imp.]],$D146,Imput[[PERIODO Imp.]:[PERIODO Imp.]],BP$9)</f>
        <v>0</v>
      </c>
      <c r="BQ146" s="516">
        <f>SUMIFS(Imput[[Importe Neto]:[Importe Neto]],Imput[[C. Imp.]:[C. Imp.]],$D146,Imput[[PERIODO Imp.]:[PERIODO Imp.]],BQ$9)</f>
        <v>0</v>
      </c>
      <c r="BR146" s="516">
        <f>SUMIFS(Imput[[Importe Neto]:[Importe Neto]],Imput[[C. Imp.]:[C. Imp.]],$D146,Imput[[PERIODO Imp.]:[PERIODO Imp.]],BR$9)</f>
        <v>0</v>
      </c>
      <c r="BS146" s="516">
        <f>SUMIFS(Imput[[Importe Neto]:[Importe Neto]],Imput[[C. Imp.]:[C. Imp.]],$D146,Imput[[PERIODO Imp.]:[PERIODO Imp.]],BS$9)</f>
        <v>0</v>
      </c>
      <c r="BT146" s="516">
        <f>SUMIFS(Imput[[Importe Neto]:[Importe Neto]],Imput[[C. Imp.]:[C. Imp.]],$D146,Imput[[PERIODO Imp.]:[PERIODO Imp.]],BT$9)</f>
        <v>0</v>
      </c>
      <c r="BU146" s="516">
        <f>SUMIFS(Imput[[Importe Neto]:[Importe Neto]],Imput[[C. Imp.]:[C. Imp.]],$D146,Imput[[PERIODO Imp.]:[PERIODO Imp.]],BU$9)</f>
        <v>0</v>
      </c>
      <c r="BV146" s="516">
        <f>SUMIFS(Imput[[Importe Neto]:[Importe Neto]],Imput[[C. Imp.]:[C. Imp.]],$D146,Imput[[PERIODO Imp.]:[PERIODO Imp.]],BV$9)</f>
        <v>0</v>
      </c>
      <c r="BW146" s="516">
        <f>SUMIFS(Imput[[Importe Neto]:[Importe Neto]],Imput[[C. Imp.]:[C. Imp.]],$D146,Imput[[PERIODO Imp.]:[PERIODO Imp.]],BW$9)</f>
        <v>0</v>
      </c>
      <c r="BX146" s="516">
        <f>SUMIFS(Imput[[Importe Neto]:[Importe Neto]],Imput[[C. Imp.]:[C. Imp.]],$D146,Imput[[PERIODO Imp.]:[PERIODO Imp.]],BX$9)</f>
        <v>0</v>
      </c>
      <c r="BY146" s="516">
        <f>SUMIFS(Imput[[Importe Neto]:[Importe Neto]],Imput[[C. Imp.]:[C. Imp.]],$D146,Imput[[PERIODO Imp.]:[PERIODO Imp.]],BY$9)</f>
        <v>0</v>
      </c>
      <c r="BZ146" s="516">
        <f>SUMIFS(Imput[[Importe Neto]:[Importe Neto]],Imput[[C. Imp.]:[C. Imp.]],$D146,Imput[[PERIODO Imp.]:[PERIODO Imp.]],BZ$9)</f>
        <v>0</v>
      </c>
      <c r="CA146" s="516">
        <f>SUMIFS(Imput[[Importe Neto]:[Importe Neto]],Imput[[C. Imp.]:[C. Imp.]],$D146,Imput[[PERIODO Imp.]:[PERIODO Imp.]],CA$9)</f>
        <v>0</v>
      </c>
      <c r="CB146" s="516">
        <f>SUMIFS(Imput[[Importe Neto]:[Importe Neto]],Imput[[C. Imp.]:[C. Imp.]],$D146,Imput[[PERIODO Imp.]:[PERIODO Imp.]],CB$9)</f>
        <v>0</v>
      </c>
      <c r="CC146" s="516">
        <f>SUMIFS(Imput[[Importe Neto]:[Importe Neto]],Imput[[C. Imp.]:[C. Imp.]],$D146,Imput[[PERIODO Imp.]:[PERIODO Imp.]],CC$9)</f>
        <v>0</v>
      </c>
      <c r="CD146" s="516">
        <f>SUMIFS(Imput[[Importe Neto]:[Importe Neto]],Imput[[C. Imp.]:[C. Imp.]],$D146,Imput[[PERIODO Imp.]:[PERIODO Imp.]],CD$9)</f>
        <v>0</v>
      </c>
      <c r="CE146" s="516">
        <f>SUMIFS(Imput[[Importe Neto]:[Importe Neto]],Imput[[C. Imp.]:[C. Imp.]],$D146,Imput[[PERIODO Imp.]:[PERIODO Imp.]],CE$9)</f>
        <v>0</v>
      </c>
      <c r="CF146" s="516">
        <f>SUMIFS(Imput[[Importe Neto]:[Importe Neto]],Imput[[C. Imp.]:[C. Imp.]],$D146,Imput[[PERIODO Imp.]:[PERIODO Imp.]],CF$9)</f>
        <v>0</v>
      </c>
      <c r="CG146" s="516">
        <f>SUMIFS(Imput[[Importe Neto]:[Importe Neto]],Imput[[C. Imp.]:[C. Imp.]],$D146,Imput[[PERIODO Imp.]:[PERIODO Imp.]],CG$9)</f>
        <v>0</v>
      </c>
      <c r="CH146" s="516">
        <f>SUMIFS(Imput[[Importe Neto]:[Importe Neto]],Imput[[C. Imp.]:[C. Imp.]],$D146,Imput[[PERIODO Imp.]:[PERIODO Imp.]],CH$9)</f>
        <v>0</v>
      </c>
      <c r="CI146" s="516">
        <f>SUMIFS(Imput[[Importe Neto]:[Importe Neto]],Imput[[C. Imp.]:[C. Imp.]],$D146,Imput[[PERIODO Imp.]:[PERIODO Imp.]],CI$9)</f>
        <v>0</v>
      </c>
      <c r="CJ146" s="516">
        <f>SUMIFS(Imput[[Importe Neto]:[Importe Neto]],Imput[[C. Imp.]:[C. Imp.]],$D146,Imput[[PERIODO Imp.]:[PERIODO Imp.]],CJ$9)</f>
        <v>0</v>
      </c>
      <c r="CK146" s="516">
        <f>SUMIFS(Imput[[Importe Neto]:[Importe Neto]],Imput[[C. Imp.]:[C. Imp.]],$D146,Imput[[PERIODO Imp.]:[PERIODO Imp.]],CK$9)</f>
        <v>0</v>
      </c>
      <c r="CL146" s="516">
        <f>SUMIFS(Imput[[Importe Neto]:[Importe Neto]],Imput[[C. Imp.]:[C. Imp.]],$D146,Imput[[PERIODO Imp.]:[PERIODO Imp.]],CL$9)</f>
        <v>0</v>
      </c>
      <c r="CM146" s="516">
        <f>SUMIFS(Imput[[Importe Neto]:[Importe Neto]],Imput[[C. Imp.]:[C. Imp.]],$D146,Imput[[PERIODO Imp.]:[PERIODO Imp.]],CM$9)</f>
        <v>0</v>
      </c>
      <c r="CN146" s="516">
        <f>SUMIFS(Imput[[Importe Neto]:[Importe Neto]],Imput[[C. Imp.]:[C. Imp.]],$D146,Imput[[PERIODO Imp.]:[PERIODO Imp.]],CN$9)</f>
        <v>0</v>
      </c>
      <c r="CO146" s="516">
        <f>SUMIFS(Imput[[Importe Neto]:[Importe Neto]],Imput[[C. Imp.]:[C. Imp.]],$D146,Imput[[PERIODO Imp.]:[PERIODO Imp.]],CO$9)</f>
        <v>0</v>
      </c>
      <c r="CP146" s="516">
        <f>SUMIFS(Imput[[Importe Neto]:[Importe Neto]],Imput[[C. Imp.]:[C. Imp.]],$D146,Imput[[PERIODO Imp.]:[PERIODO Imp.]],CP$9)</f>
        <v>0</v>
      </c>
      <c r="CQ146" s="516">
        <f>SUMIFS(Imput[[Importe Neto]:[Importe Neto]],Imput[[C. Imp.]:[C. Imp.]],$D146,Imput[[PERIODO Imp.]:[PERIODO Imp.]],CQ$9)</f>
        <v>0</v>
      </c>
      <c r="CR146" s="516">
        <f>SUMIFS(Imput[[Importe Neto]:[Importe Neto]],Imput[[C. Imp.]:[C. Imp.]],$D146,Imput[[PERIODO Imp.]:[PERIODO Imp.]],CR$9)</f>
        <v>0</v>
      </c>
      <c r="CS146" s="516">
        <f>SUMIFS(Imput[[Importe Neto]:[Importe Neto]],Imput[[C. Imp.]:[C. Imp.]],$D146,Imput[[PERIODO Imp.]:[PERIODO Imp.]],CS$9)</f>
        <v>0</v>
      </c>
      <c r="CT146" s="516">
        <f>SUMIFS(Imput[[Importe Neto]:[Importe Neto]],Imput[[C. Imp.]:[C. Imp.]],$D146,Imput[[PERIODO Imp.]:[PERIODO Imp.]],CT$9)</f>
        <v>0</v>
      </c>
      <c r="CU146" s="516">
        <f>SUMIFS(Imput[[Importe Neto]:[Importe Neto]],Imput[[C. Imp.]:[C. Imp.]],$D146,Imput[[PERIODO Imp.]:[PERIODO Imp.]],CU$9)</f>
        <v>0</v>
      </c>
      <c r="CV146" s="516">
        <f>SUMIFS(Imput[[Importe Neto]:[Importe Neto]],Imput[[C. Imp.]:[C. Imp.]],$D146,Imput[[PERIODO Imp.]:[PERIODO Imp.]],CV$9)</f>
        <v>0</v>
      </c>
      <c r="CW146" s="516">
        <f>SUMIFS(Imput[[Importe Neto]:[Importe Neto]],Imput[[C. Imp.]:[C. Imp.]],$D146,Imput[[PERIODO Imp.]:[PERIODO Imp.]],CW$9)</f>
        <v>0</v>
      </c>
      <c r="CX146" s="516">
        <f>SUMIFS(Imput[[Importe Neto]:[Importe Neto]],Imput[[C. Imp.]:[C. Imp.]],$D146,Imput[[PERIODO Imp.]:[PERIODO Imp.]],CX$9)</f>
        <v>0</v>
      </c>
      <c r="CY146" s="516">
        <f>SUMIFS(Imput[[Importe Neto]:[Importe Neto]],Imput[[C. Imp.]:[C. Imp.]],$D146,Imput[[PERIODO Imp.]:[PERIODO Imp.]],CY$9)</f>
        <v>0</v>
      </c>
      <c r="CZ146" s="516">
        <f>SUMIFS(Imput[[Importe Neto]:[Importe Neto]],Imput[[C. Imp.]:[C. Imp.]],$D146,Imput[[PERIODO Imp.]:[PERIODO Imp.]],CZ$9)</f>
        <v>0</v>
      </c>
      <c r="DA146" s="516">
        <f>SUMIFS(Imput[[Importe Neto]:[Importe Neto]],Imput[[C. Imp.]:[C. Imp.]],$D146,Imput[[PERIODO Imp.]:[PERIODO Imp.]],DA$9)</f>
        <v>0</v>
      </c>
      <c r="DB146" s="516">
        <f>SUMIFS(Imput[[Importe Neto]:[Importe Neto]],Imput[[C. Imp.]:[C. Imp.]],$D146,Imput[[PERIODO Imp.]:[PERIODO Imp.]],DB$9)</f>
        <v>0</v>
      </c>
      <c r="DC146" s="516">
        <f>SUMIFS(Imput[[Importe Neto]:[Importe Neto]],Imput[[C. Imp.]:[C. Imp.]],$D146,Imput[[PERIODO Imp.]:[PERIODO Imp.]],DC$9)</f>
        <v>0</v>
      </c>
      <c r="DD146" s="516">
        <f>SUMIFS(Imput[[Importe Neto]:[Importe Neto]],Imput[[C. Imp.]:[C. Imp.]],$D146,Imput[[PERIODO Imp.]:[PERIODO Imp.]],DD$9)</f>
        <v>0</v>
      </c>
      <c r="DE146" s="516">
        <f>SUMIFS(Imput[[Importe Neto]:[Importe Neto]],Imput[[C. Imp.]:[C. Imp.]],$D146,Imput[[PERIODO Imp.]:[PERIODO Imp.]],DE$9)</f>
        <v>0</v>
      </c>
      <c r="DF146" s="516">
        <f>SUMIFS(Imput[[Importe Neto]:[Importe Neto]],Imput[[C. Imp.]:[C. Imp.]],$D146,Imput[[PERIODO Imp.]:[PERIODO Imp.]],DF$9)</f>
        <v>0</v>
      </c>
      <c r="DG146" s="516">
        <f>SUMIFS(Imput[[Importe Neto]:[Importe Neto]],Imput[[C. Imp.]:[C. Imp.]],$D146,Imput[[PERIODO Imp.]:[PERIODO Imp.]],DG$9)</f>
        <v>0</v>
      </c>
      <c r="DH146" s="616">
        <f>SUMIFS(Imput[[Importe Neto]:[Importe Neto]],Imput[[C. Imp.]:[C. Imp.]],$D146,Imput[[PERIODO Imp.]:[PERIODO Imp.]],DH$9)</f>
        <v>0</v>
      </c>
    </row>
    <row r="147" spans="1:112" hidden="1" outlineLevel="1" x14ac:dyDescent="0.3">
      <c r="A147" s="66" t="str">
        <f t="shared" si="74"/>
        <v/>
      </c>
      <c r="C147" s="527"/>
      <c r="D147" s="528" t="s">
        <v>2255</v>
      </c>
      <c r="E147" s="528"/>
      <c r="F147" s="534"/>
      <c r="G147" s="529"/>
      <c r="H147" s="531"/>
      <c r="I147" s="849" t="str">
        <f t="shared" si="75"/>
        <v/>
      </c>
      <c r="J147" s="850" t="str">
        <f t="shared" si="76"/>
        <v/>
      </c>
      <c r="K147" s="70"/>
      <c r="L147" s="853"/>
      <c r="M147" s="855"/>
      <c r="N147" s="855"/>
      <c r="O147" s="855"/>
      <c r="P147" s="855"/>
      <c r="Q147" s="855"/>
      <c r="R147" s="855"/>
      <c r="S147" s="855"/>
      <c r="T147" s="855"/>
      <c r="U147" s="855"/>
      <c r="V147" s="855"/>
      <c r="W147" s="855"/>
      <c r="X147" s="855"/>
      <c r="Y147" s="855"/>
      <c r="Z147" s="856"/>
      <c r="AA147" s="856"/>
      <c r="AB147" s="856"/>
      <c r="AC147" s="856"/>
      <c r="AD147" s="856"/>
      <c r="AE147" s="856"/>
      <c r="AF147" s="856"/>
      <c r="AG147" s="856"/>
      <c r="AH147" s="856"/>
      <c r="AI147" s="856"/>
      <c r="AJ147" s="856"/>
      <c r="AK147" s="856"/>
      <c r="AL147" s="856"/>
      <c r="AM147" s="856"/>
      <c r="AN147" s="856"/>
      <c r="AO147" s="856"/>
      <c r="AP147" s="856"/>
      <c r="AQ147" s="856"/>
      <c r="AR147" s="856"/>
      <c r="AS147" s="856"/>
      <c r="AT147" s="856"/>
      <c r="AU147" s="856"/>
      <c r="AV147" s="856"/>
      <c r="AW147" s="856"/>
      <c r="AX147" s="856"/>
      <c r="AY147" s="856"/>
      <c r="AZ147" s="856"/>
      <c r="BA147" s="856"/>
      <c r="BB147" s="856"/>
      <c r="BC147" s="856"/>
      <c r="BD147" s="856"/>
      <c r="BE147" s="856"/>
      <c r="BF147" s="856"/>
      <c r="BG147" s="857"/>
      <c r="BH147" s="590"/>
      <c r="BI147" s="70"/>
      <c r="BJ147" s="518">
        <f t="shared" si="77"/>
        <v>0</v>
      </c>
      <c r="BK147" s="517">
        <f t="shared" si="78"/>
        <v>0</v>
      </c>
      <c r="BL147" s="68"/>
      <c r="BM147" s="515">
        <f>SUMIFS(Imput[[Importe Neto]:[Importe Neto]],Imput[[C. Imp.]:[C. Imp.]],$D147,Imput[[PERIODO Imp.]:[PERIODO Imp.]],BM$9)</f>
        <v>0</v>
      </c>
      <c r="BN147" s="516">
        <f>SUMIFS(Imput[[Importe Neto]:[Importe Neto]],Imput[[C. Imp.]:[C. Imp.]],$D147,Imput[[PERIODO Imp.]:[PERIODO Imp.]],BN$9)</f>
        <v>0</v>
      </c>
      <c r="BO147" s="516">
        <f>SUMIFS(Imput[[Importe Neto]:[Importe Neto]],Imput[[C. Imp.]:[C. Imp.]],$D147,Imput[[PERIODO Imp.]:[PERIODO Imp.]],BO$9)</f>
        <v>0</v>
      </c>
      <c r="BP147" s="516">
        <f>SUMIFS(Imput[[Importe Neto]:[Importe Neto]],Imput[[C. Imp.]:[C. Imp.]],$D147,Imput[[PERIODO Imp.]:[PERIODO Imp.]],BP$9)</f>
        <v>0</v>
      </c>
      <c r="BQ147" s="516">
        <f>SUMIFS(Imput[[Importe Neto]:[Importe Neto]],Imput[[C. Imp.]:[C. Imp.]],$D147,Imput[[PERIODO Imp.]:[PERIODO Imp.]],BQ$9)</f>
        <v>0</v>
      </c>
      <c r="BR147" s="516">
        <f>SUMIFS(Imput[[Importe Neto]:[Importe Neto]],Imput[[C. Imp.]:[C. Imp.]],$D147,Imput[[PERIODO Imp.]:[PERIODO Imp.]],BR$9)</f>
        <v>0</v>
      </c>
      <c r="BS147" s="516">
        <f>SUMIFS(Imput[[Importe Neto]:[Importe Neto]],Imput[[C. Imp.]:[C. Imp.]],$D147,Imput[[PERIODO Imp.]:[PERIODO Imp.]],BS$9)</f>
        <v>0</v>
      </c>
      <c r="BT147" s="516">
        <f>SUMIFS(Imput[[Importe Neto]:[Importe Neto]],Imput[[C. Imp.]:[C. Imp.]],$D147,Imput[[PERIODO Imp.]:[PERIODO Imp.]],BT$9)</f>
        <v>0</v>
      </c>
      <c r="BU147" s="516">
        <f>SUMIFS(Imput[[Importe Neto]:[Importe Neto]],Imput[[C. Imp.]:[C. Imp.]],$D147,Imput[[PERIODO Imp.]:[PERIODO Imp.]],BU$9)</f>
        <v>0</v>
      </c>
      <c r="BV147" s="516">
        <f>SUMIFS(Imput[[Importe Neto]:[Importe Neto]],Imput[[C. Imp.]:[C. Imp.]],$D147,Imput[[PERIODO Imp.]:[PERIODO Imp.]],BV$9)</f>
        <v>0</v>
      </c>
      <c r="BW147" s="516">
        <f>SUMIFS(Imput[[Importe Neto]:[Importe Neto]],Imput[[C. Imp.]:[C. Imp.]],$D147,Imput[[PERIODO Imp.]:[PERIODO Imp.]],BW$9)</f>
        <v>0</v>
      </c>
      <c r="BX147" s="516">
        <f>SUMIFS(Imput[[Importe Neto]:[Importe Neto]],Imput[[C. Imp.]:[C. Imp.]],$D147,Imput[[PERIODO Imp.]:[PERIODO Imp.]],BX$9)</f>
        <v>0</v>
      </c>
      <c r="BY147" s="516">
        <f>SUMIFS(Imput[[Importe Neto]:[Importe Neto]],Imput[[C. Imp.]:[C. Imp.]],$D147,Imput[[PERIODO Imp.]:[PERIODO Imp.]],BY$9)</f>
        <v>0</v>
      </c>
      <c r="BZ147" s="516">
        <f>SUMIFS(Imput[[Importe Neto]:[Importe Neto]],Imput[[C. Imp.]:[C. Imp.]],$D147,Imput[[PERIODO Imp.]:[PERIODO Imp.]],BZ$9)</f>
        <v>0</v>
      </c>
      <c r="CA147" s="516">
        <f>SUMIFS(Imput[[Importe Neto]:[Importe Neto]],Imput[[C. Imp.]:[C. Imp.]],$D147,Imput[[PERIODO Imp.]:[PERIODO Imp.]],CA$9)</f>
        <v>0</v>
      </c>
      <c r="CB147" s="516">
        <f>SUMIFS(Imput[[Importe Neto]:[Importe Neto]],Imput[[C. Imp.]:[C. Imp.]],$D147,Imput[[PERIODO Imp.]:[PERIODO Imp.]],CB$9)</f>
        <v>0</v>
      </c>
      <c r="CC147" s="516">
        <f>SUMIFS(Imput[[Importe Neto]:[Importe Neto]],Imput[[C. Imp.]:[C. Imp.]],$D147,Imput[[PERIODO Imp.]:[PERIODO Imp.]],CC$9)</f>
        <v>0</v>
      </c>
      <c r="CD147" s="516">
        <f>SUMIFS(Imput[[Importe Neto]:[Importe Neto]],Imput[[C. Imp.]:[C. Imp.]],$D147,Imput[[PERIODO Imp.]:[PERIODO Imp.]],CD$9)</f>
        <v>0</v>
      </c>
      <c r="CE147" s="516">
        <f>SUMIFS(Imput[[Importe Neto]:[Importe Neto]],Imput[[C. Imp.]:[C. Imp.]],$D147,Imput[[PERIODO Imp.]:[PERIODO Imp.]],CE$9)</f>
        <v>0</v>
      </c>
      <c r="CF147" s="516">
        <f>SUMIFS(Imput[[Importe Neto]:[Importe Neto]],Imput[[C. Imp.]:[C. Imp.]],$D147,Imput[[PERIODO Imp.]:[PERIODO Imp.]],CF$9)</f>
        <v>0</v>
      </c>
      <c r="CG147" s="516">
        <f>SUMIFS(Imput[[Importe Neto]:[Importe Neto]],Imput[[C. Imp.]:[C. Imp.]],$D147,Imput[[PERIODO Imp.]:[PERIODO Imp.]],CG$9)</f>
        <v>0</v>
      </c>
      <c r="CH147" s="516">
        <f>SUMIFS(Imput[[Importe Neto]:[Importe Neto]],Imput[[C. Imp.]:[C. Imp.]],$D147,Imput[[PERIODO Imp.]:[PERIODO Imp.]],CH$9)</f>
        <v>0</v>
      </c>
      <c r="CI147" s="516">
        <f>SUMIFS(Imput[[Importe Neto]:[Importe Neto]],Imput[[C. Imp.]:[C. Imp.]],$D147,Imput[[PERIODO Imp.]:[PERIODO Imp.]],CI$9)</f>
        <v>0</v>
      </c>
      <c r="CJ147" s="516">
        <f>SUMIFS(Imput[[Importe Neto]:[Importe Neto]],Imput[[C. Imp.]:[C. Imp.]],$D147,Imput[[PERIODO Imp.]:[PERIODO Imp.]],CJ$9)</f>
        <v>0</v>
      </c>
      <c r="CK147" s="516">
        <f>SUMIFS(Imput[[Importe Neto]:[Importe Neto]],Imput[[C. Imp.]:[C. Imp.]],$D147,Imput[[PERIODO Imp.]:[PERIODO Imp.]],CK$9)</f>
        <v>0</v>
      </c>
      <c r="CL147" s="516">
        <f>SUMIFS(Imput[[Importe Neto]:[Importe Neto]],Imput[[C. Imp.]:[C. Imp.]],$D147,Imput[[PERIODO Imp.]:[PERIODO Imp.]],CL$9)</f>
        <v>0</v>
      </c>
      <c r="CM147" s="516">
        <f>SUMIFS(Imput[[Importe Neto]:[Importe Neto]],Imput[[C. Imp.]:[C. Imp.]],$D147,Imput[[PERIODO Imp.]:[PERIODO Imp.]],CM$9)</f>
        <v>0</v>
      </c>
      <c r="CN147" s="516">
        <f>SUMIFS(Imput[[Importe Neto]:[Importe Neto]],Imput[[C. Imp.]:[C. Imp.]],$D147,Imput[[PERIODO Imp.]:[PERIODO Imp.]],CN$9)</f>
        <v>0</v>
      </c>
      <c r="CO147" s="516">
        <f>SUMIFS(Imput[[Importe Neto]:[Importe Neto]],Imput[[C. Imp.]:[C. Imp.]],$D147,Imput[[PERIODO Imp.]:[PERIODO Imp.]],CO$9)</f>
        <v>0</v>
      </c>
      <c r="CP147" s="516">
        <f>SUMIFS(Imput[[Importe Neto]:[Importe Neto]],Imput[[C. Imp.]:[C. Imp.]],$D147,Imput[[PERIODO Imp.]:[PERIODO Imp.]],CP$9)</f>
        <v>0</v>
      </c>
      <c r="CQ147" s="516">
        <f>SUMIFS(Imput[[Importe Neto]:[Importe Neto]],Imput[[C. Imp.]:[C. Imp.]],$D147,Imput[[PERIODO Imp.]:[PERIODO Imp.]],CQ$9)</f>
        <v>0</v>
      </c>
      <c r="CR147" s="516">
        <f>SUMIFS(Imput[[Importe Neto]:[Importe Neto]],Imput[[C. Imp.]:[C. Imp.]],$D147,Imput[[PERIODO Imp.]:[PERIODO Imp.]],CR$9)</f>
        <v>0</v>
      </c>
      <c r="CS147" s="516">
        <f>SUMIFS(Imput[[Importe Neto]:[Importe Neto]],Imput[[C. Imp.]:[C. Imp.]],$D147,Imput[[PERIODO Imp.]:[PERIODO Imp.]],CS$9)</f>
        <v>0</v>
      </c>
      <c r="CT147" s="516">
        <f>SUMIFS(Imput[[Importe Neto]:[Importe Neto]],Imput[[C. Imp.]:[C. Imp.]],$D147,Imput[[PERIODO Imp.]:[PERIODO Imp.]],CT$9)</f>
        <v>0</v>
      </c>
      <c r="CU147" s="516">
        <f>SUMIFS(Imput[[Importe Neto]:[Importe Neto]],Imput[[C. Imp.]:[C. Imp.]],$D147,Imput[[PERIODO Imp.]:[PERIODO Imp.]],CU$9)</f>
        <v>0</v>
      </c>
      <c r="CV147" s="516">
        <f>SUMIFS(Imput[[Importe Neto]:[Importe Neto]],Imput[[C. Imp.]:[C. Imp.]],$D147,Imput[[PERIODO Imp.]:[PERIODO Imp.]],CV$9)</f>
        <v>0</v>
      </c>
      <c r="CW147" s="516">
        <f>SUMIFS(Imput[[Importe Neto]:[Importe Neto]],Imput[[C. Imp.]:[C. Imp.]],$D147,Imput[[PERIODO Imp.]:[PERIODO Imp.]],CW$9)</f>
        <v>0</v>
      </c>
      <c r="CX147" s="516">
        <f>SUMIFS(Imput[[Importe Neto]:[Importe Neto]],Imput[[C. Imp.]:[C. Imp.]],$D147,Imput[[PERIODO Imp.]:[PERIODO Imp.]],CX$9)</f>
        <v>0</v>
      </c>
      <c r="CY147" s="516">
        <f>SUMIFS(Imput[[Importe Neto]:[Importe Neto]],Imput[[C. Imp.]:[C. Imp.]],$D147,Imput[[PERIODO Imp.]:[PERIODO Imp.]],CY$9)</f>
        <v>0</v>
      </c>
      <c r="CZ147" s="516">
        <f>SUMIFS(Imput[[Importe Neto]:[Importe Neto]],Imput[[C. Imp.]:[C. Imp.]],$D147,Imput[[PERIODO Imp.]:[PERIODO Imp.]],CZ$9)</f>
        <v>0</v>
      </c>
      <c r="DA147" s="516">
        <f>SUMIFS(Imput[[Importe Neto]:[Importe Neto]],Imput[[C. Imp.]:[C. Imp.]],$D147,Imput[[PERIODO Imp.]:[PERIODO Imp.]],DA$9)</f>
        <v>0</v>
      </c>
      <c r="DB147" s="516">
        <f>SUMIFS(Imput[[Importe Neto]:[Importe Neto]],Imput[[C. Imp.]:[C. Imp.]],$D147,Imput[[PERIODO Imp.]:[PERIODO Imp.]],DB$9)</f>
        <v>0</v>
      </c>
      <c r="DC147" s="516">
        <f>SUMIFS(Imput[[Importe Neto]:[Importe Neto]],Imput[[C. Imp.]:[C. Imp.]],$D147,Imput[[PERIODO Imp.]:[PERIODO Imp.]],DC$9)</f>
        <v>0</v>
      </c>
      <c r="DD147" s="516">
        <f>SUMIFS(Imput[[Importe Neto]:[Importe Neto]],Imput[[C. Imp.]:[C. Imp.]],$D147,Imput[[PERIODO Imp.]:[PERIODO Imp.]],DD$9)</f>
        <v>0</v>
      </c>
      <c r="DE147" s="516">
        <f>SUMIFS(Imput[[Importe Neto]:[Importe Neto]],Imput[[C. Imp.]:[C. Imp.]],$D147,Imput[[PERIODO Imp.]:[PERIODO Imp.]],DE$9)</f>
        <v>0</v>
      </c>
      <c r="DF147" s="516">
        <f>SUMIFS(Imput[[Importe Neto]:[Importe Neto]],Imput[[C. Imp.]:[C. Imp.]],$D147,Imput[[PERIODO Imp.]:[PERIODO Imp.]],DF$9)</f>
        <v>0</v>
      </c>
      <c r="DG147" s="516">
        <f>SUMIFS(Imput[[Importe Neto]:[Importe Neto]],Imput[[C. Imp.]:[C. Imp.]],$D147,Imput[[PERIODO Imp.]:[PERIODO Imp.]],DG$9)</f>
        <v>0</v>
      </c>
      <c r="DH147" s="616">
        <f>SUMIFS(Imput[[Importe Neto]:[Importe Neto]],Imput[[C. Imp.]:[C. Imp.]],$D147,Imput[[PERIODO Imp.]:[PERIODO Imp.]],DH$9)</f>
        <v>0</v>
      </c>
    </row>
    <row r="148" spans="1:112" hidden="1" outlineLevel="1" x14ac:dyDescent="0.3">
      <c r="A148" s="66" t="str">
        <f t="shared" si="74"/>
        <v/>
      </c>
      <c r="C148" s="527"/>
      <c r="D148" s="528" t="s">
        <v>2256</v>
      </c>
      <c r="E148" s="528"/>
      <c r="F148" s="534"/>
      <c r="G148" s="529"/>
      <c r="H148" s="531"/>
      <c r="I148" s="849" t="str">
        <f t="shared" si="75"/>
        <v/>
      </c>
      <c r="J148" s="850" t="str">
        <f t="shared" si="76"/>
        <v/>
      </c>
      <c r="K148" s="70"/>
      <c r="L148" s="853"/>
      <c r="M148" s="855"/>
      <c r="N148" s="855"/>
      <c r="O148" s="855"/>
      <c r="P148" s="855"/>
      <c r="Q148" s="855"/>
      <c r="R148" s="855"/>
      <c r="S148" s="855"/>
      <c r="T148" s="855"/>
      <c r="U148" s="855"/>
      <c r="V148" s="855"/>
      <c r="W148" s="855"/>
      <c r="X148" s="855"/>
      <c r="Y148" s="855"/>
      <c r="Z148" s="856"/>
      <c r="AA148" s="856"/>
      <c r="AB148" s="856"/>
      <c r="AC148" s="856"/>
      <c r="AD148" s="856"/>
      <c r="AE148" s="856"/>
      <c r="AF148" s="856"/>
      <c r="AG148" s="856"/>
      <c r="AH148" s="856"/>
      <c r="AI148" s="856"/>
      <c r="AJ148" s="856"/>
      <c r="AK148" s="856"/>
      <c r="AL148" s="856"/>
      <c r="AM148" s="856"/>
      <c r="AN148" s="856"/>
      <c r="AO148" s="856"/>
      <c r="AP148" s="856"/>
      <c r="AQ148" s="856"/>
      <c r="AR148" s="856"/>
      <c r="AS148" s="856"/>
      <c r="AT148" s="856"/>
      <c r="AU148" s="856"/>
      <c r="AV148" s="856"/>
      <c r="AW148" s="856"/>
      <c r="AX148" s="856"/>
      <c r="AY148" s="856"/>
      <c r="AZ148" s="856"/>
      <c r="BA148" s="856"/>
      <c r="BB148" s="856"/>
      <c r="BC148" s="856"/>
      <c r="BD148" s="856"/>
      <c r="BE148" s="856"/>
      <c r="BF148" s="856"/>
      <c r="BG148" s="857"/>
      <c r="BH148" s="590"/>
      <c r="BI148" s="70"/>
      <c r="BJ148" s="518">
        <f t="shared" si="77"/>
        <v>0</v>
      </c>
      <c r="BK148" s="517">
        <f t="shared" si="78"/>
        <v>0</v>
      </c>
      <c r="BL148" s="68"/>
      <c r="BM148" s="515">
        <f>SUMIFS(Imput[[Importe Neto]:[Importe Neto]],Imput[[C. Imp.]:[C. Imp.]],$D148,Imput[[PERIODO Imp.]:[PERIODO Imp.]],BM$9)</f>
        <v>0</v>
      </c>
      <c r="BN148" s="516">
        <f>SUMIFS(Imput[[Importe Neto]:[Importe Neto]],Imput[[C. Imp.]:[C. Imp.]],$D148,Imput[[PERIODO Imp.]:[PERIODO Imp.]],BN$9)</f>
        <v>0</v>
      </c>
      <c r="BO148" s="516">
        <f>SUMIFS(Imput[[Importe Neto]:[Importe Neto]],Imput[[C. Imp.]:[C. Imp.]],$D148,Imput[[PERIODO Imp.]:[PERIODO Imp.]],BO$9)</f>
        <v>0</v>
      </c>
      <c r="BP148" s="516">
        <f>SUMIFS(Imput[[Importe Neto]:[Importe Neto]],Imput[[C. Imp.]:[C. Imp.]],$D148,Imput[[PERIODO Imp.]:[PERIODO Imp.]],BP$9)</f>
        <v>0</v>
      </c>
      <c r="BQ148" s="516">
        <f>SUMIFS(Imput[[Importe Neto]:[Importe Neto]],Imput[[C. Imp.]:[C. Imp.]],$D148,Imput[[PERIODO Imp.]:[PERIODO Imp.]],BQ$9)</f>
        <v>0</v>
      </c>
      <c r="BR148" s="516">
        <f>SUMIFS(Imput[[Importe Neto]:[Importe Neto]],Imput[[C. Imp.]:[C. Imp.]],$D148,Imput[[PERIODO Imp.]:[PERIODO Imp.]],BR$9)</f>
        <v>0</v>
      </c>
      <c r="BS148" s="516">
        <f>SUMIFS(Imput[[Importe Neto]:[Importe Neto]],Imput[[C. Imp.]:[C. Imp.]],$D148,Imput[[PERIODO Imp.]:[PERIODO Imp.]],BS$9)</f>
        <v>0</v>
      </c>
      <c r="BT148" s="516">
        <f>SUMIFS(Imput[[Importe Neto]:[Importe Neto]],Imput[[C. Imp.]:[C. Imp.]],$D148,Imput[[PERIODO Imp.]:[PERIODO Imp.]],BT$9)</f>
        <v>0</v>
      </c>
      <c r="BU148" s="516">
        <f>SUMIFS(Imput[[Importe Neto]:[Importe Neto]],Imput[[C. Imp.]:[C. Imp.]],$D148,Imput[[PERIODO Imp.]:[PERIODO Imp.]],BU$9)</f>
        <v>0</v>
      </c>
      <c r="BV148" s="516">
        <f>SUMIFS(Imput[[Importe Neto]:[Importe Neto]],Imput[[C. Imp.]:[C. Imp.]],$D148,Imput[[PERIODO Imp.]:[PERIODO Imp.]],BV$9)</f>
        <v>0</v>
      </c>
      <c r="BW148" s="516">
        <f>SUMIFS(Imput[[Importe Neto]:[Importe Neto]],Imput[[C. Imp.]:[C. Imp.]],$D148,Imput[[PERIODO Imp.]:[PERIODO Imp.]],BW$9)</f>
        <v>0</v>
      </c>
      <c r="BX148" s="516">
        <f>SUMIFS(Imput[[Importe Neto]:[Importe Neto]],Imput[[C. Imp.]:[C. Imp.]],$D148,Imput[[PERIODO Imp.]:[PERIODO Imp.]],BX$9)</f>
        <v>0</v>
      </c>
      <c r="BY148" s="516">
        <f>SUMIFS(Imput[[Importe Neto]:[Importe Neto]],Imput[[C. Imp.]:[C. Imp.]],$D148,Imput[[PERIODO Imp.]:[PERIODO Imp.]],BY$9)</f>
        <v>0</v>
      </c>
      <c r="BZ148" s="516">
        <f>SUMIFS(Imput[[Importe Neto]:[Importe Neto]],Imput[[C. Imp.]:[C. Imp.]],$D148,Imput[[PERIODO Imp.]:[PERIODO Imp.]],BZ$9)</f>
        <v>0</v>
      </c>
      <c r="CA148" s="516">
        <f>SUMIFS(Imput[[Importe Neto]:[Importe Neto]],Imput[[C. Imp.]:[C. Imp.]],$D148,Imput[[PERIODO Imp.]:[PERIODO Imp.]],CA$9)</f>
        <v>0</v>
      </c>
      <c r="CB148" s="516">
        <f>SUMIFS(Imput[[Importe Neto]:[Importe Neto]],Imput[[C. Imp.]:[C. Imp.]],$D148,Imput[[PERIODO Imp.]:[PERIODO Imp.]],CB$9)</f>
        <v>0</v>
      </c>
      <c r="CC148" s="516">
        <f>SUMIFS(Imput[[Importe Neto]:[Importe Neto]],Imput[[C. Imp.]:[C. Imp.]],$D148,Imput[[PERIODO Imp.]:[PERIODO Imp.]],CC$9)</f>
        <v>0</v>
      </c>
      <c r="CD148" s="516">
        <f>SUMIFS(Imput[[Importe Neto]:[Importe Neto]],Imput[[C. Imp.]:[C. Imp.]],$D148,Imput[[PERIODO Imp.]:[PERIODO Imp.]],CD$9)</f>
        <v>0</v>
      </c>
      <c r="CE148" s="516">
        <f>SUMIFS(Imput[[Importe Neto]:[Importe Neto]],Imput[[C. Imp.]:[C. Imp.]],$D148,Imput[[PERIODO Imp.]:[PERIODO Imp.]],CE$9)</f>
        <v>0</v>
      </c>
      <c r="CF148" s="516">
        <f>SUMIFS(Imput[[Importe Neto]:[Importe Neto]],Imput[[C. Imp.]:[C. Imp.]],$D148,Imput[[PERIODO Imp.]:[PERIODO Imp.]],CF$9)</f>
        <v>0</v>
      </c>
      <c r="CG148" s="516">
        <f>SUMIFS(Imput[[Importe Neto]:[Importe Neto]],Imput[[C. Imp.]:[C. Imp.]],$D148,Imput[[PERIODO Imp.]:[PERIODO Imp.]],CG$9)</f>
        <v>0</v>
      </c>
      <c r="CH148" s="516">
        <f>SUMIFS(Imput[[Importe Neto]:[Importe Neto]],Imput[[C. Imp.]:[C. Imp.]],$D148,Imput[[PERIODO Imp.]:[PERIODO Imp.]],CH$9)</f>
        <v>0</v>
      </c>
      <c r="CI148" s="516">
        <f>SUMIFS(Imput[[Importe Neto]:[Importe Neto]],Imput[[C. Imp.]:[C. Imp.]],$D148,Imput[[PERIODO Imp.]:[PERIODO Imp.]],CI$9)</f>
        <v>0</v>
      </c>
      <c r="CJ148" s="516">
        <f>SUMIFS(Imput[[Importe Neto]:[Importe Neto]],Imput[[C. Imp.]:[C. Imp.]],$D148,Imput[[PERIODO Imp.]:[PERIODO Imp.]],CJ$9)</f>
        <v>0</v>
      </c>
      <c r="CK148" s="516">
        <f>SUMIFS(Imput[[Importe Neto]:[Importe Neto]],Imput[[C. Imp.]:[C. Imp.]],$D148,Imput[[PERIODO Imp.]:[PERIODO Imp.]],CK$9)</f>
        <v>0</v>
      </c>
      <c r="CL148" s="516">
        <f>SUMIFS(Imput[[Importe Neto]:[Importe Neto]],Imput[[C. Imp.]:[C. Imp.]],$D148,Imput[[PERIODO Imp.]:[PERIODO Imp.]],CL$9)</f>
        <v>0</v>
      </c>
      <c r="CM148" s="516">
        <f>SUMIFS(Imput[[Importe Neto]:[Importe Neto]],Imput[[C. Imp.]:[C. Imp.]],$D148,Imput[[PERIODO Imp.]:[PERIODO Imp.]],CM$9)</f>
        <v>0</v>
      </c>
      <c r="CN148" s="516">
        <f>SUMIFS(Imput[[Importe Neto]:[Importe Neto]],Imput[[C. Imp.]:[C. Imp.]],$D148,Imput[[PERIODO Imp.]:[PERIODO Imp.]],CN$9)</f>
        <v>0</v>
      </c>
      <c r="CO148" s="516">
        <f>SUMIFS(Imput[[Importe Neto]:[Importe Neto]],Imput[[C. Imp.]:[C. Imp.]],$D148,Imput[[PERIODO Imp.]:[PERIODO Imp.]],CO$9)</f>
        <v>0</v>
      </c>
      <c r="CP148" s="516">
        <f>SUMIFS(Imput[[Importe Neto]:[Importe Neto]],Imput[[C. Imp.]:[C. Imp.]],$D148,Imput[[PERIODO Imp.]:[PERIODO Imp.]],CP$9)</f>
        <v>0</v>
      </c>
      <c r="CQ148" s="516">
        <f>SUMIFS(Imput[[Importe Neto]:[Importe Neto]],Imput[[C. Imp.]:[C. Imp.]],$D148,Imput[[PERIODO Imp.]:[PERIODO Imp.]],CQ$9)</f>
        <v>0</v>
      </c>
      <c r="CR148" s="516">
        <f>SUMIFS(Imput[[Importe Neto]:[Importe Neto]],Imput[[C. Imp.]:[C. Imp.]],$D148,Imput[[PERIODO Imp.]:[PERIODO Imp.]],CR$9)</f>
        <v>0</v>
      </c>
      <c r="CS148" s="516">
        <f>SUMIFS(Imput[[Importe Neto]:[Importe Neto]],Imput[[C. Imp.]:[C. Imp.]],$D148,Imput[[PERIODO Imp.]:[PERIODO Imp.]],CS$9)</f>
        <v>0</v>
      </c>
      <c r="CT148" s="516">
        <f>SUMIFS(Imput[[Importe Neto]:[Importe Neto]],Imput[[C. Imp.]:[C. Imp.]],$D148,Imput[[PERIODO Imp.]:[PERIODO Imp.]],CT$9)</f>
        <v>0</v>
      </c>
      <c r="CU148" s="516">
        <f>SUMIFS(Imput[[Importe Neto]:[Importe Neto]],Imput[[C. Imp.]:[C. Imp.]],$D148,Imput[[PERIODO Imp.]:[PERIODO Imp.]],CU$9)</f>
        <v>0</v>
      </c>
      <c r="CV148" s="516">
        <f>SUMIFS(Imput[[Importe Neto]:[Importe Neto]],Imput[[C. Imp.]:[C. Imp.]],$D148,Imput[[PERIODO Imp.]:[PERIODO Imp.]],CV$9)</f>
        <v>0</v>
      </c>
      <c r="CW148" s="516">
        <f>SUMIFS(Imput[[Importe Neto]:[Importe Neto]],Imput[[C. Imp.]:[C. Imp.]],$D148,Imput[[PERIODO Imp.]:[PERIODO Imp.]],CW$9)</f>
        <v>0</v>
      </c>
      <c r="CX148" s="516">
        <f>SUMIFS(Imput[[Importe Neto]:[Importe Neto]],Imput[[C. Imp.]:[C. Imp.]],$D148,Imput[[PERIODO Imp.]:[PERIODO Imp.]],CX$9)</f>
        <v>0</v>
      </c>
      <c r="CY148" s="516">
        <f>SUMIFS(Imput[[Importe Neto]:[Importe Neto]],Imput[[C. Imp.]:[C. Imp.]],$D148,Imput[[PERIODO Imp.]:[PERIODO Imp.]],CY$9)</f>
        <v>0</v>
      </c>
      <c r="CZ148" s="516">
        <f>SUMIFS(Imput[[Importe Neto]:[Importe Neto]],Imput[[C. Imp.]:[C. Imp.]],$D148,Imput[[PERIODO Imp.]:[PERIODO Imp.]],CZ$9)</f>
        <v>0</v>
      </c>
      <c r="DA148" s="516">
        <f>SUMIFS(Imput[[Importe Neto]:[Importe Neto]],Imput[[C. Imp.]:[C. Imp.]],$D148,Imput[[PERIODO Imp.]:[PERIODO Imp.]],DA$9)</f>
        <v>0</v>
      </c>
      <c r="DB148" s="516">
        <f>SUMIFS(Imput[[Importe Neto]:[Importe Neto]],Imput[[C. Imp.]:[C. Imp.]],$D148,Imput[[PERIODO Imp.]:[PERIODO Imp.]],DB$9)</f>
        <v>0</v>
      </c>
      <c r="DC148" s="516">
        <f>SUMIFS(Imput[[Importe Neto]:[Importe Neto]],Imput[[C. Imp.]:[C. Imp.]],$D148,Imput[[PERIODO Imp.]:[PERIODO Imp.]],DC$9)</f>
        <v>0</v>
      </c>
      <c r="DD148" s="516">
        <f>SUMIFS(Imput[[Importe Neto]:[Importe Neto]],Imput[[C. Imp.]:[C. Imp.]],$D148,Imput[[PERIODO Imp.]:[PERIODO Imp.]],DD$9)</f>
        <v>0</v>
      </c>
      <c r="DE148" s="516">
        <f>SUMIFS(Imput[[Importe Neto]:[Importe Neto]],Imput[[C. Imp.]:[C. Imp.]],$D148,Imput[[PERIODO Imp.]:[PERIODO Imp.]],DE$9)</f>
        <v>0</v>
      </c>
      <c r="DF148" s="516">
        <f>SUMIFS(Imput[[Importe Neto]:[Importe Neto]],Imput[[C. Imp.]:[C. Imp.]],$D148,Imput[[PERIODO Imp.]:[PERIODO Imp.]],DF$9)</f>
        <v>0</v>
      </c>
      <c r="DG148" s="516">
        <f>SUMIFS(Imput[[Importe Neto]:[Importe Neto]],Imput[[C. Imp.]:[C. Imp.]],$D148,Imput[[PERIODO Imp.]:[PERIODO Imp.]],DG$9)</f>
        <v>0</v>
      </c>
      <c r="DH148" s="616">
        <f>SUMIFS(Imput[[Importe Neto]:[Importe Neto]],Imput[[C. Imp.]:[C. Imp.]],$D148,Imput[[PERIODO Imp.]:[PERIODO Imp.]],DH$9)</f>
        <v>0</v>
      </c>
    </row>
    <row r="149" spans="1:112" hidden="1" outlineLevel="1" x14ac:dyDescent="0.3">
      <c r="A149" s="66" t="str">
        <f t="shared" si="74"/>
        <v/>
      </c>
      <c r="C149" s="527"/>
      <c r="D149" s="528" t="s">
        <v>2257</v>
      </c>
      <c r="E149" s="528"/>
      <c r="F149" s="534"/>
      <c r="G149" s="529"/>
      <c r="H149" s="531"/>
      <c r="I149" s="849" t="str">
        <f t="shared" si="75"/>
        <v/>
      </c>
      <c r="J149" s="850" t="str">
        <f t="shared" si="76"/>
        <v/>
      </c>
      <c r="K149" s="70"/>
      <c r="L149" s="853"/>
      <c r="M149" s="855"/>
      <c r="N149" s="855"/>
      <c r="O149" s="855"/>
      <c r="P149" s="855"/>
      <c r="Q149" s="855"/>
      <c r="R149" s="855"/>
      <c r="S149" s="855"/>
      <c r="T149" s="855"/>
      <c r="U149" s="855"/>
      <c r="V149" s="855"/>
      <c r="W149" s="855"/>
      <c r="X149" s="855"/>
      <c r="Y149" s="855"/>
      <c r="Z149" s="856"/>
      <c r="AA149" s="856"/>
      <c r="AB149" s="856"/>
      <c r="AC149" s="856"/>
      <c r="AD149" s="856"/>
      <c r="AE149" s="856"/>
      <c r="AF149" s="856"/>
      <c r="AG149" s="856"/>
      <c r="AH149" s="856"/>
      <c r="AI149" s="856"/>
      <c r="AJ149" s="856"/>
      <c r="AK149" s="856"/>
      <c r="AL149" s="856"/>
      <c r="AM149" s="856"/>
      <c r="AN149" s="856"/>
      <c r="AO149" s="856"/>
      <c r="AP149" s="856"/>
      <c r="AQ149" s="856"/>
      <c r="AR149" s="856"/>
      <c r="AS149" s="856"/>
      <c r="AT149" s="856"/>
      <c r="AU149" s="856"/>
      <c r="AV149" s="856"/>
      <c r="AW149" s="856"/>
      <c r="AX149" s="856"/>
      <c r="AY149" s="856"/>
      <c r="AZ149" s="856"/>
      <c r="BA149" s="856"/>
      <c r="BB149" s="856"/>
      <c r="BC149" s="856"/>
      <c r="BD149" s="856"/>
      <c r="BE149" s="856"/>
      <c r="BF149" s="856"/>
      <c r="BG149" s="857"/>
      <c r="BH149" s="590"/>
      <c r="BI149" s="70"/>
      <c r="BJ149" s="518">
        <f t="shared" si="77"/>
        <v>0</v>
      </c>
      <c r="BK149" s="517">
        <f t="shared" si="78"/>
        <v>0</v>
      </c>
      <c r="BL149" s="68"/>
      <c r="BM149" s="515">
        <f>SUMIFS(Imput[[Importe Neto]:[Importe Neto]],Imput[[C. Imp.]:[C. Imp.]],$D149,Imput[[PERIODO Imp.]:[PERIODO Imp.]],BM$9)</f>
        <v>0</v>
      </c>
      <c r="BN149" s="516">
        <f>SUMIFS(Imput[[Importe Neto]:[Importe Neto]],Imput[[C. Imp.]:[C. Imp.]],$D149,Imput[[PERIODO Imp.]:[PERIODO Imp.]],BN$9)</f>
        <v>0</v>
      </c>
      <c r="BO149" s="516">
        <f>SUMIFS(Imput[[Importe Neto]:[Importe Neto]],Imput[[C. Imp.]:[C. Imp.]],$D149,Imput[[PERIODO Imp.]:[PERIODO Imp.]],BO$9)</f>
        <v>0</v>
      </c>
      <c r="BP149" s="516">
        <f>SUMIFS(Imput[[Importe Neto]:[Importe Neto]],Imput[[C. Imp.]:[C. Imp.]],$D149,Imput[[PERIODO Imp.]:[PERIODO Imp.]],BP$9)</f>
        <v>0</v>
      </c>
      <c r="BQ149" s="516">
        <f>SUMIFS(Imput[[Importe Neto]:[Importe Neto]],Imput[[C. Imp.]:[C. Imp.]],$D149,Imput[[PERIODO Imp.]:[PERIODO Imp.]],BQ$9)</f>
        <v>0</v>
      </c>
      <c r="BR149" s="516">
        <f>SUMIFS(Imput[[Importe Neto]:[Importe Neto]],Imput[[C. Imp.]:[C. Imp.]],$D149,Imput[[PERIODO Imp.]:[PERIODO Imp.]],BR$9)</f>
        <v>0</v>
      </c>
      <c r="BS149" s="516">
        <f>SUMIFS(Imput[[Importe Neto]:[Importe Neto]],Imput[[C. Imp.]:[C. Imp.]],$D149,Imput[[PERIODO Imp.]:[PERIODO Imp.]],BS$9)</f>
        <v>0</v>
      </c>
      <c r="BT149" s="516">
        <f>SUMIFS(Imput[[Importe Neto]:[Importe Neto]],Imput[[C. Imp.]:[C. Imp.]],$D149,Imput[[PERIODO Imp.]:[PERIODO Imp.]],BT$9)</f>
        <v>0</v>
      </c>
      <c r="BU149" s="516">
        <f>SUMIFS(Imput[[Importe Neto]:[Importe Neto]],Imput[[C. Imp.]:[C. Imp.]],$D149,Imput[[PERIODO Imp.]:[PERIODO Imp.]],BU$9)</f>
        <v>0</v>
      </c>
      <c r="BV149" s="516">
        <f>SUMIFS(Imput[[Importe Neto]:[Importe Neto]],Imput[[C. Imp.]:[C. Imp.]],$D149,Imput[[PERIODO Imp.]:[PERIODO Imp.]],BV$9)</f>
        <v>0</v>
      </c>
      <c r="BW149" s="516">
        <f>SUMIFS(Imput[[Importe Neto]:[Importe Neto]],Imput[[C. Imp.]:[C. Imp.]],$D149,Imput[[PERIODO Imp.]:[PERIODO Imp.]],BW$9)</f>
        <v>0</v>
      </c>
      <c r="BX149" s="516">
        <f>SUMIFS(Imput[[Importe Neto]:[Importe Neto]],Imput[[C. Imp.]:[C. Imp.]],$D149,Imput[[PERIODO Imp.]:[PERIODO Imp.]],BX$9)</f>
        <v>0</v>
      </c>
      <c r="BY149" s="516">
        <f>SUMIFS(Imput[[Importe Neto]:[Importe Neto]],Imput[[C. Imp.]:[C. Imp.]],$D149,Imput[[PERIODO Imp.]:[PERIODO Imp.]],BY$9)</f>
        <v>0</v>
      </c>
      <c r="BZ149" s="516">
        <f>SUMIFS(Imput[[Importe Neto]:[Importe Neto]],Imput[[C. Imp.]:[C. Imp.]],$D149,Imput[[PERIODO Imp.]:[PERIODO Imp.]],BZ$9)</f>
        <v>0</v>
      </c>
      <c r="CA149" s="516">
        <f>SUMIFS(Imput[[Importe Neto]:[Importe Neto]],Imput[[C. Imp.]:[C. Imp.]],$D149,Imput[[PERIODO Imp.]:[PERIODO Imp.]],CA$9)</f>
        <v>0</v>
      </c>
      <c r="CB149" s="516">
        <f>SUMIFS(Imput[[Importe Neto]:[Importe Neto]],Imput[[C. Imp.]:[C. Imp.]],$D149,Imput[[PERIODO Imp.]:[PERIODO Imp.]],CB$9)</f>
        <v>0</v>
      </c>
      <c r="CC149" s="516">
        <f>SUMIFS(Imput[[Importe Neto]:[Importe Neto]],Imput[[C. Imp.]:[C. Imp.]],$D149,Imput[[PERIODO Imp.]:[PERIODO Imp.]],CC$9)</f>
        <v>0</v>
      </c>
      <c r="CD149" s="516">
        <f>SUMIFS(Imput[[Importe Neto]:[Importe Neto]],Imput[[C. Imp.]:[C. Imp.]],$D149,Imput[[PERIODO Imp.]:[PERIODO Imp.]],CD$9)</f>
        <v>0</v>
      </c>
      <c r="CE149" s="516">
        <f>SUMIFS(Imput[[Importe Neto]:[Importe Neto]],Imput[[C. Imp.]:[C. Imp.]],$D149,Imput[[PERIODO Imp.]:[PERIODO Imp.]],CE$9)</f>
        <v>0</v>
      </c>
      <c r="CF149" s="516">
        <f>SUMIFS(Imput[[Importe Neto]:[Importe Neto]],Imput[[C. Imp.]:[C. Imp.]],$D149,Imput[[PERIODO Imp.]:[PERIODO Imp.]],CF$9)</f>
        <v>0</v>
      </c>
      <c r="CG149" s="516">
        <f>SUMIFS(Imput[[Importe Neto]:[Importe Neto]],Imput[[C. Imp.]:[C. Imp.]],$D149,Imput[[PERIODO Imp.]:[PERIODO Imp.]],CG$9)</f>
        <v>0</v>
      </c>
      <c r="CH149" s="516">
        <f>SUMIFS(Imput[[Importe Neto]:[Importe Neto]],Imput[[C. Imp.]:[C. Imp.]],$D149,Imput[[PERIODO Imp.]:[PERIODO Imp.]],CH$9)</f>
        <v>0</v>
      </c>
      <c r="CI149" s="516">
        <f>SUMIFS(Imput[[Importe Neto]:[Importe Neto]],Imput[[C. Imp.]:[C. Imp.]],$D149,Imput[[PERIODO Imp.]:[PERIODO Imp.]],CI$9)</f>
        <v>0</v>
      </c>
      <c r="CJ149" s="516">
        <f>SUMIFS(Imput[[Importe Neto]:[Importe Neto]],Imput[[C. Imp.]:[C. Imp.]],$D149,Imput[[PERIODO Imp.]:[PERIODO Imp.]],CJ$9)</f>
        <v>0</v>
      </c>
      <c r="CK149" s="516">
        <f>SUMIFS(Imput[[Importe Neto]:[Importe Neto]],Imput[[C. Imp.]:[C. Imp.]],$D149,Imput[[PERIODO Imp.]:[PERIODO Imp.]],CK$9)</f>
        <v>0</v>
      </c>
      <c r="CL149" s="516">
        <f>SUMIFS(Imput[[Importe Neto]:[Importe Neto]],Imput[[C. Imp.]:[C. Imp.]],$D149,Imput[[PERIODO Imp.]:[PERIODO Imp.]],CL$9)</f>
        <v>0</v>
      </c>
      <c r="CM149" s="516">
        <f>SUMIFS(Imput[[Importe Neto]:[Importe Neto]],Imput[[C. Imp.]:[C. Imp.]],$D149,Imput[[PERIODO Imp.]:[PERIODO Imp.]],CM$9)</f>
        <v>0</v>
      </c>
      <c r="CN149" s="516">
        <f>SUMIFS(Imput[[Importe Neto]:[Importe Neto]],Imput[[C. Imp.]:[C. Imp.]],$D149,Imput[[PERIODO Imp.]:[PERIODO Imp.]],CN$9)</f>
        <v>0</v>
      </c>
      <c r="CO149" s="516">
        <f>SUMIFS(Imput[[Importe Neto]:[Importe Neto]],Imput[[C. Imp.]:[C. Imp.]],$D149,Imput[[PERIODO Imp.]:[PERIODO Imp.]],CO$9)</f>
        <v>0</v>
      </c>
      <c r="CP149" s="516">
        <f>SUMIFS(Imput[[Importe Neto]:[Importe Neto]],Imput[[C. Imp.]:[C. Imp.]],$D149,Imput[[PERIODO Imp.]:[PERIODO Imp.]],CP$9)</f>
        <v>0</v>
      </c>
      <c r="CQ149" s="516">
        <f>SUMIFS(Imput[[Importe Neto]:[Importe Neto]],Imput[[C. Imp.]:[C. Imp.]],$D149,Imput[[PERIODO Imp.]:[PERIODO Imp.]],CQ$9)</f>
        <v>0</v>
      </c>
      <c r="CR149" s="516">
        <f>SUMIFS(Imput[[Importe Neto]:[Importe Neto]],Imput[[C. Imp.]:[C. Imp.]],$D149,Imput[[PERIODO Imp.]:[PERIODO Imp.]],CR$9)</f>
        <v>0</v>
      </c>
      <c r="CS149" s="516">
        <f>SUMIFS(Imput[[Importe Neto]:[Importe Neto]],Imput[[C. Imp.]:[C. Imp.]],$D149,Imput[[PERIODO Imp.]:[PERIODO Imp.]],CS$9)</f>
        <v>0</v>
      </c>
      <c r="CT149" s="516">
        <f>SUMIFS(Imput[[Importe Neto]:[Importe Neto]],Imput[[C. Imp.]:[C. Imp.]],$D149,Imput[[PERIODO Imp.]:[PERIODO Imp.]],CT$9)</f>
        <v>0</v>
      </c>
      <c r="CU149" s="516">
        <f>SUMIFS(Imput[[Importe Neto]:[Importe Neto]],Imput[[C. Imp.]:[C. Imp.]],$D149,Imput[[PERIODO Imp.]:[PERIODO Imp.]],CU$9)</f>
        <v>0</v>
      </c>
      <c r="CV149" s="516">
        <f>SUMIFS(Imput[[Importe Neto]:[Importe Neto]],Imput[[C. Imp.]:[C. Imp.]],$D149,Imput[[PERIODO Imp.]:[PERIODO Imp.]],CV$9)</f>
        <v>0</v>
      </c>
      <c r="CW149" s="516">
        <f>SUMIFS(Imput[[Importe Neto]:[Importe Neto]],Imput[[C. Imp.]:[C. Imp.]],$D149,Imput[[PERIODO Imp.]:[PERIODO Imp.]],CW$9)</f>
        <v>0</v>
      </c>
      <c r="CX149" s="516">
        <f>SUMIFS(Imput[[Importe Neto]:[Importe Neto]],Imput[[C. Imp.]:[C. Imp.]],$D149,Imput[[PERIODO Imp.]:[PERIODO Imp.]],CX$9)</f>
        <v>0</v>
      </c>
      <c r="CY149" s="516">
        <f>SUMIFS(Imput[[Importe Neto]:[Importe Neto]],Imput[[C. Imp.]:[C. Imp.]],$D149,Imput[[PERIODO Imp.]:[PERIODO Imp.]],CY$9)</f>
        <v>0</v>
      </c>
      <c r="CZ149" s="516">
        <f>SUMIFS(Imput[[Importe Neto]:[Importe Neto]],Imput[[C. Imp.]:[C. Imp.]],$D149,Imput[[PERIODO Imp.]:[PERIODO Imp.]],CZ$9)</f>
        <v>0</v>
      </c>
      <c r="DA149" s="516">
        <f>SUMIFS(Imput[[Importe Neto]:[Importe Neto]],Imput[[C. Imp.]:[C. Imp.]],$D149,Imput[[PERIODO Imp.]:[PERIODO Imp.]],DA$9)</f>
        <v>0</v>
      </c>
      <c r="DB149" s="516">
        <f>SUMIFS(Imput[[Importe Neto]:[Importe Neto]],Imput[[C. Imp.]:[C. Imp.]],$D149,Imput[[PERIODO Imp.]:[PERIODO Imp.]],DB$9)</f>
        <v>0</v>
      </c>
      <c r="DC149" s="516">
        <f>SUMIFS(Imput[[Importe Neto]:[Importe Neto]],Imput[[C. Imp.]:[C. Imp.]],$D149,Imput[[PERIODO Imp.]:[PERIODO Imp.]],DC$9)</f>
        <v>0</v>
      </c>
      <c r="DD149" s="516">
        <f>SUMIFS(Imput[[Importe Neto]:[Importe Neto]],Imput[[C. Imp.]:[C. Imp.]],$D149,Imput[[PERIODO Imp.]:[PERIODO Imp.]],DD$9)</f>
        <v>0</v>
      </c>
      <c r="DE149" s="516">
        <f>SUMIFS(Imput[[Importe Neto]:[Importe Neto]],Imput[[C. Imp.]:[C. Imp.]],$D149,Imput[[PERIODO Imp.]:[PERIODO Imp.]],DE$9)</f>
        <v>0</v>
      </c>
      <c r="DF149" s="516">
        <f>SUMIFS(Imput[[Importe Neto]:[Importe Neto]],Imput[[C. Imp.]:[C. Imp.]],$D149,Imput[[PERIODO Imp.]:[PERIODO Imp.]],DF$9)</f>
        <v>0</v>
      </c>
      <c r="DG149" s="516">
        <f>SUMIFS(Imput[[Importe Neto]:[Importe Neto]],Imput[[C. Imp.]:[C. Imp.]],$D149,Imput[[PERIODO Imp.]:[PERIODO Imp.]],DG$9)</f>
        <v>0</v>
      </c>
      <c r="DH149" s="616">
        <f>SUMIFS(Imput[[Importe Neto]:[Importe Neto]],Imput[[C. Imp.]:[C. Imp.]],$D149,Imput[[PERIODO Imp.]:[PERIODO Imp.]],DH$9)</f>
        <v>0</v>
      </c>
    </row>
    <row r="150" spans="1:112" hidden="1" outlineLevel="1" x14ac:dyDescent="0.3">
      <c r="A150" s="66" t="str">
        <f t="shared" si="74"/>
        <v/>
      </c>
      <c r="C150" s="527"/>
      <c r="D150" s="528" t="s">
        <v>2258</v>
      </c>
      <c r="E150" s="528"/>
      <c r="F150" s="534"/>
      <c r="G150" s="529"/>
      <c r="H150" s="531"/>
      <c r="I150" s="849" t="str">
        <f t="shared" si="75"/>
        <v/>
      </c>
      <c r="J150" s="850" t="str">
        <f t="shared" si="76"/>
        <v/>
      </c>
      <c r="K150" s="70"/>
      <c r="L150" s="853"/>
      <c r="M150" s="855"/>
      <c r="N150" s="855"/>
      <c r="O150" s="855"/>
      <c r="P150" s="855"/>
      <c r="Q150" s="855"/>
      <c r="R150" s="855"/>
      <c r="S150" s="855"/>
      <c r="T150" s="855"/>
      <c r="U150" s="855"/>
      <c r="V150" s="855"/>
      <c r="W150" s="855"/>
      <c r="X150" s="855"/>
      <c r="Y150" s="855"/>
      <c r="Z150" s="856"/>
      <c r="AA150" s="856"/>
      <c r="AB150" s="856"/>
      <c r="AC150" s="856"/>
      <c r="AD150" s="856"/>
      <c r="AE150" s="856"/>
      <c r="AF150" s="856"/>
      <c r="AG150" s="856"/>
      <c r="AH150" s="856"/>
      <c r="AI150" s="856"/>
      <c r="AJ150" s="856"/>
      <c r="AK150" s="856"/>
      <c r="AL150" s="856"/>
      <c r="AM150" s="856"/>
      <c r="AN150" s="856"/>
      <c r="AO150" s="856"/>
      <c r="AP150" s="856"/>
      <c r="AQ150" s="856"/>
      <c r="AR150" s="856"/>
      <c r="AS150" s="856"/>
      <c r="AT150" s="856"/>
      <c r="AU150" s="856"/>
      <c r="AV150" s="856"/>
      <c r="AW150" s="856"/>
      <c r="AX150" s="856"/>
      <c r="AY150" s="856"/>
      <c r="AZ150" s="856"/>
      <c r="BA150" s="856"/>
      <c r="BB150" s="856"/>
      <c r="BC150" s="856"/>
      <c r="BD150" s="856"/>
      <c r="BE150" s="856"/>
      <c r="BF150" s="856"/>
      <c r="BG150" s="857"/>
      <c r="BH150" s="590"/>
      <c r="BI150" s="70"/>
      <c r="BJ150" s="518">
        <f t="shared" si="77"/>
        <v>0</v>
      </c>
      <c r="BK150" s="517">
        <f t="shared" si="78"/>
        <v>0</v>
      </c>
      <c r="BL150" s="68"/>
      <c r="BM150" s="515">
        <f>SUMIFS(Imput[[Importe Neto]:[Importe Neto]],Imput[[C. Imp.]:[C. Imp.]],$D150,Imput[[PERIODO Imp.]:[PERIODO Imp.]],BM$9)</f>
        <v>0</v>
      </c>
      <c r="BN150" s="516">
        <f>SUMIFS(Imput[[Importe Neto]:[Importe Neto]],Imput[[C. Imp.]:[C. Imp.]],$D150,Imput[[PERIODO Imp.]:[PERIODO Imp.]],BN$9)</f>
        <v>0</v>
      </c>
      <c r="BO150" s="516">
        <f>SUMIFS(Imput[[Importe Neto]:[Importe Neto]],Imput[[C. Imp.]:[C. Imp.]],$D150,Imput[[PERIODO Imp.]:[PERIODO Imp.]],BO$9)</f>
        <v>0</v>
      </c>
      <c r="BP150" s="516">
        <f>SUMIFS(Imput[[Importe Neto]:[Importe Neto]],Imput[[C. Imp.]:[C. Imp.]],$D150,Imput[[PERIODO Imp.]:[PERIODO Imp.]],BP$9)</f>
        <v>0</v>
      </c>
      <c r="BQ150" s="516">
        <f>SUMIFS(Imput[[Importe Neto]:[Importe Neto]],Imput[[C. Imp.]:[C. Imp.]],$D150,Imput[[PERIODO Imp.]:[PERIODO Imp.]],BQ$9)</f>
        <v>0</v>
      </c>
      <c r="BR150" s="516">
        <f>SUMIFS(Imput[[Importe Neto]:[Importe Neto]],Imput[[C. Imp.]:[C. Imp.]],$D150,Imput[[PERIODO Imp.]:[PERIODO Imp.]],BR$9)</f>
        <v>0</v>
      </c>
      <c r="BS150" s="516">
        <f>SUMIFS(Imput[[Importe Neto]:[Importe Neto]],Imput[[C. Imp.]:[C. Imp.]],$D150,Imput[[PERIODO Imp.]:[PERIODO Imp.]],BS$9)</f>
        <v>0</v>
      </c>
      <c r="BT150" s="516">
        <f>SUMIFS(Imput[[Importe Neto]:[Importe Neto]],Imput[[C. Imp.]:[C. Imp.]],$D150,Imput[[PERIODO Imp.]:[PERIODO Imp.]],BT$9)</f>
        <v>0</v>
      </c>
      <c r="BU150" s="516">
        <f>SUMIFS(Imput[[Importe Neto]:[Importe Neto]],Imput[[C. Imp.]:[C. Imp.]],$D150,Imput[[PERIODO Imp.]:[PERIODO Imp.]],BU$9)</f>
        <v>0</v>
      </c>
      <c r="BV150" s="516">
        <f>SUMIFS(Imput[[Importe Neto]:[Importe Neto]],Imput[[C. Imp.]:[C. Imp.]],$D150,Imput[[PERIODO Imp.]:[PERIODO Imp.]],BV$9)</f>
        <v>0</v>
      </c>
      <c r="BW150" s="516">
        <f>SUMIFS(Imput[[Importe Neto]:[Importe Neto]],Imput[[C. Imp.]:[C. Imp.]],$D150,Imput[[PERIODO Imp.]:[PERIODO Imp.]],BW$9)</f>
        <v>0</v>
      </c>
      <c r="BX150" s="516">
        <f>SUMIFS(Imput[[Importe Neto]:[Importe Neto]],Imput[[C. Imp.]:[C. Imp.]],$D150,Imput[[PERIODO Imp.]:[PERIODO Imp.]],BX$9)</f>
        <v>0</v>
      </c>
      <c r="BY150" s="516">
        <f>SUMIFS(Imput[[Importe Neto]:[Importe Neto]],Imput[[C. Imp.]:[C. Imp.]],$D150,Imput[[PERIODO Imp.]:[PERIODO Imp.]],BY$9)</f>
        <v>0</v>
      </c>
      <c r="BZ150" s="516">
        <f>SUMIFS(Imput[[Importe Neto]:[Importe Neto]],Imput[[C. Imp.]:[C. Imp.]],$D150,Imput[[PERIODO Imp.]:[PERIODO Imp.]],BZ$9)</f>
        <v>0</v>
      </c>
      <c r="CA150" s="516">
        <f>SUMIFS(Imput[[Importe Neto]:[Importe Neto]],Imput[[C. Imp.]:[C. Imp.]],$D150,Imput[[PERIODO Imp.]:[PERIODO Imp.]],CA$9)</f>
        <v>0</v>
      </c>
      <c r="CB150" s="516">
        <f>SUMIFS(Imput[[Importe Neto]:[Importe Neto]],Imput[[C. Imp.]:[C. Imp.]],$D150,Imput[[PERIODO Imp.]:[PERIODO Imp.]],CB$9)</f>
        <v>0</v>
      </c>
      <c r="CC150" s="516">
        <f>SUMIFS(Imput[[Importe Neto]:[Importe Neto]],Imput[[C. Imp.]:[C. Imp.]],$D150,Imput[[PERIODO Imp.]:[PERIODO Imp.]],CC$9)</f>
        <v>0</v>
      </c>
      <c r="CD150" s="516">
        <f>SUMIFS(Imput[[Importe Neto]:[Importe Neto]],Imput[[C. Imp.]:[C. Imp.]],$D150,Imput[[PERIODO Imp.]:[PERIODO Imp.]],CD$9)</f>
        <v>0</v>
      </c>
      <c r="CE150" s="516">
        <f>SUMIFS(Imput[[Importe Neto]:[Importe Neto]],Imput[[C. Imp.]:[C. Imp.]],$D150,Imput[[PERIODO Imp.]:[PERIODO Imp.]],CE$9)</f>
        <v>0</v>
      </c>
      <c r="CF150" s="516">
        <f>SUMIFS(Imput[[Importe Neto]:[Importe Neto]],Imput[[C. Imp.]:[C. Imp.]],$D150,Imput[[PERIODO Imp.]:[PERIODO Imp.]],CF$9)</f>
        <v>0</v>
      </c>
      <c r="CG150" s="516">
        <f>SUMIFS(Imput[[Importe Neto]:[Importe Neto]],Imput[[C. Imp.]:[C. Imp.]],$D150,Imput[[PERIODO Imp.]:[PERIODO Imp.]],CG$9)</f>
        <v>0</v>
      </c>
      <c r="CH150" s="516">
        <f>SUMIFS(Imput[[Importe Neto]:[Importe Neto]],Imput[[C. Imp.]:[C. Imp.]],$D150,Imput[[PERIODO Imp.]:[PERIODO Imp.]],CH$9)</f>
        <v>0</v>
      </c>
      <c r="CI150" s="516">
        <f>SUMIFS(Imput[[Importe Neto]:[Importe Neto]],Imput[[C. Imp.]:[C. Imp.]],$D150,Imput[[PERIODO Imp.]:[PERIODO Imp.]],CI$9)</f>
        <v>0</v>
      </c>
      <c r="CJ150" s="516">
        <f>SUMIFS(Imput[[Importe Neto]:[Importe Neto]],Imput[[C. Imp.]:[C. Imp.]],$D150,Imput[[PERIODO Imp.]:[PERIODO Imp.]],CJ$9)</f>
        <v>0</v>
      </c>
      <c r="CK150" s="516">
        <f>SUMIFS(Imput[[Importe Neto]:[Importe Neto]],Imput[[C. Imp.]:[C. Imp.]],$D150,Imput[[PERIODO Imp.]:[PERIODO Imp.]],CK$9)</f>
        <v>0</v>
      </c>
      <c r="CL150" s="516">
        <f>SUMIFS(Imput[[Importe Neto]:[Importe Neto]],Imput[[C. Imp.]:[C. Imp.]],$D150,Imput[[PERIODO Imp.]:[PERIODO Imp.]],CL$9)</f>
        <v>0</v>
      </c>
      <c r="CM150" s="516">
        <f>SUMIFS(Imput[[Importe Neto]:[Importe Neto]],Imput[[C. Imp.]:[C. Imp.]],$D150,Imput[[PERIODO Imp.]:[PERIODO Imp.]],CM$9)</f>
        <v>0</v>
      </c>
      <c r="CN150" s="516">
        <f>SUMIFS(Imput[[Importe Neto]:[Importe Neto]],Imput[[C. Imp.]:[C. Imp.]],$D150,Imput[[PERIODO Imp.]:[PERIODO Imp.]],CN$9)</f>
        <v>0</v>
      </c>
      <c r="CO150" s="516">
        <f>SUMIFS(Imput[[Importe Neto]:[Importe Neto]],Imput[[C. Imp.]:[C. Imp.]],$D150,Imput[[PERIODO Imp.]:[PERIODO Imp.]],CO$9)</f>
        <v>0</v>
      </c>
      <c r="CP150" s="516">
        <f>SUMIFS(Imput[[Importe Neto]:[Importe Neto]],Imput[[C. Imp.]:[C. Imp.]],$D150,Imput[[PERIODO Imp.]:[PERIODO Imp.]],CP$9)</f>
        <v>0</v>
      </c>
      <c r="CQ150" s="516">
        <f>SUMIFS(Imput[[Importe Neto]:[Importe Neto]],Imput[[C. Imp.]:[C. Imp.]],$D150,Imput[[PERIODO Imp.]:[PERIODO Imp.]],CQ$9)</f>
        <v>0</v>
      </c>
      <c r="CR150" s="516">
        <f>SUMIFS(Imput[[Importe Neto]:[Importe Neto]],Imput[[C. Imp.]:[C. Imp.]],$D150,Imput[[PERIODO Imp.]:[PERIODO Imp.]],CR$9)</f>
        <v>0</v>
      </c>
      <c r="CS150" s="516">
        <f>SUMIFS(Imput[[Importe Neto]:[Importe Neto]],Imput[[C. Imp.]:[C. Imp.]],$D150,Imput[[PERIODO Imp.]:[PERIODO Imp.]],CS$9)</f>
        <v>0</v>
      </c>
      <c r="CT150" s="516">
        <f>SUMIFS(Imput[[Importe Neto]:[Importe Neto]],Imput[[C. Imp.]:[C. Imp.]],$D150,Imput[[PERIODO Imp.]:[PERIODO Imp.]],CT$9)</f>
        <v>0</v>
      </c>
      <c r="CU150" s="516">
        <f>SUMIFS(Imput[[Importe Neto]:[Importe Neto]],Imput[[C. Imp.]:[C. Imp.]],$D150,Imput[[PERIODO Imp.]:[PERIODO Imp.]],CU$9)</f>
        <v>0</v>
      </c>
      <c r="CV150" s="516">
        <f>SUMIFS(Imput[[Importe Neto]:[Importe Neto]],Imput[[C. Imp.]:[C. Imp.]],$D150,Imput[[PERIODO Imp.]:[PERIODO Imp.]],CV$9)</f>
        <v>0</v>
      </c>
      <c r="CW150" s="516">
        <f>SUMIFS(Imput[[Importe Neto]:[Importe Neto]],Imput[[C. Imp.]:[C. Imp.]],$D150,Imput[[PERIODO Imp.]:[PERIODO Imp.]],CW$9)</f>
        <v>0</v>
      </c>
      <c r="CX150" s="516">
        <f>SUMIFS(Imput[[Importe Neto]:[Importe Neto]],Imput[[C. Imp.]:[C. Imp.]],$D150,Imput[[PERIODO Imp.]:[PERIODO Imp.]],CX$9)</f>
        <v>0</v>
      </c>
      <c r="CY150" s="516">
        <f>SUMIFS(Imput[[Importe Neto]:[Importe Neto]],Imput[[C. Imp.]:[C. Imp.]],$D150,Imput[[PERIODO Imp.]:[PERIODO Imp.]],CY$9)</f>
        <v>0</v>
      </c>
      <c r="CZ150" s="516">
        <f>SUMIFS(Imput[[Importe Neto]:[Importe Neto]],Imput[[C. Imp.]:[C. Imp.]],$D150,Imput[[PERIODO Imp.]:[PERIODO Imp.]],CZ$9)</f>
        <v>0</v>
      </c>
      <c r="DA150" s="516">
        <f>SUMIFS(Imput[[Importe Neto]:[Importe Neto]],Imput[[C. Imp.]:[C. Imp.]],$D150,Imput[[PERIODO Imp.]:[PERIODO Imp.]],DA$9)</f>
        <v>0</v>
      </c>
      <c r="DB150" s="516">
        <f>SUMIFS(Imput[[Importe Neto]:[Importe Neto]],Imput[[C. Imp.]:[C. Imp.]],$D150,Imput[[PERIODO Imp.]:[PERIODO Imp.]],DB$9)</f>
        <v>0</v>
      </c>
      <c r="DC150" s="516">
        <f>SUMIFS(Imput[[Importe Neto]:[Importe Neto]],Imput[[C. Imp.]:[C. Imp.]],$D150,Imput[[PERIODO Imp.]:[PERIODO Imp.]],DC$9)</f>
        <v>0</v>
      </c>
      <c r="DD150" s="516">
        <f>SUMIFS(Imput[[Importe Neto]:[Importe Neto]],Imput[[C. Imp.]:[C. Imp.]],$D150,Imput[[PERIODO Imp.]:[PERIODO Imp.]],DD$9)</f>
        <v>0</v>
      </c>
      <c r="DE150" s="516">
        <f>SUMIFS(Imput[[Importe Neto]:[Importe Neto]],Imput[[C. Imp.]:[C. Imp.]],$D150,Imput[[PERIODO Imp.]:[PERIODO Imp.]],DE$9)</f>
        <v>0</v>
      </c>
      <c r="DF150" s="516">
        <f>SUMIFS(Imput[[Importe Neto]:[Importe Neto]],Imput[[C. Imp.]:[C. Imp.]],$D150,Imput[[PERIODO Imp.]:[PERIODO Imp.]],DF$9)</f>
        <v>0</v>
      </c>
      <c r="DG150" s="516">
        <f>SUMIFS(Imput[[Importe Neto]:[Importe Neto]],Imput[[C. Imp.]:[C. Imp.]],$D150,Imput[[PERIODO Imp.]:[PERIODO Imp.]],DG$9)</f>
        <v>0</v>
      </c>
      <c r="DH150" s="616">
        <f>SUMIFS(Imput[[Importe Neto]:[Importe Neto]],Imput[[C. Imp.]:[C. Imp.]],$D150,Imput[[PERIODO Imp.]:[PERIODO Imp.]],DH$9)</f>
        <v>0</v>
      </c>
    </row>
    <row r="151" spans="1:112" hidden="1" outlineLevel="1" x14ac:dyDescent="0.3">
      <c r="A151" s="66" t="str">
        <f t="shared" si="74"/>
        <v/>
      </c>
      <c r="C151" s="527"/>
      <c r="D151" s="528" t="s">
        <v>2259</v>
      </c>
      <c r="E151" s="528"/>
      <c r="F151" s="534"/>
      <c r="G151" s="529"/>
      <c r="H151" s="531"/>
      <c r="I151" s="849" t="str">
        <f t="shared" si="75"/>
        <v/>
      </c>
      <c r="J151" s="850" t="str">
        <f t="shared" si="76"/>
        <v/>
      </c>
      <c r="K151" s="70"/>
      <c r="L151" s="853"/>
      <c r="M151" s="855"/>
      <c r="N151" s="855"/>
      <c r="O151" s="855"/>
      <c r="P151" s="855"/>
      <c r="Q151" s="855"/>
      <c r="R151" s="855"/>
      <c r="S151" s="855"/>
      <c r="T151" s="855"/>
      <c r="U151" s="855"/>
      <c r="V151" s="855"/>
      <c r="W151" s="855"/>
      <c r="X151" s="855"/>
      <c r="Y151" s="855"/>
      <c r="Z151" s="856"/>
      <c r="AA151" s="856"/>
      <c r="AB151" s="856"/>
      <c r="AC151" s="856"/>
      <c r="AD151" s="856"/>
      <c r="AE151" s="856"/>
      <c r="AF151" s="856"/>
      <c r="AG151" s="856"/>
      <c r="AH151" s="856"/>
      <c r="AI151" s="856"/>
      <c r="AJ151" s="856"/>
      <c r="AK151" s="856"/>
      <c r="AL151" s="856"/>
      <c r="AM151" s="856"/>
      <c r="AN151" s="856"/>
      <c r="AO151" s="856"/>
      <c r="AP151" s="856"/>
      <c r="AQ151" s="856"/>
      <c r="AR151" s="856"/>
      <c r="AS151" s="856"/>
      <c r="AT151" s="856"/>
      <c r="AU151" s="856"/>
      <c r="AV151" s="856"/>
      <c r="AW151" s="856"/>
      <c r="AX151" s="856"/>
      <c r="AY151" s="856"/>
      <c r="AZ151" s="856"/>
      <c r="BA151" s="856"/>
      <c r="BB151" s="856"/>
      <c r="BC151" s="856"/>
      <c r="BD151" s="856"/>
      <c r="BE151" s="856"/>
      <c r="BF151" s="856"/>
      <c r="BG151" s="857"/>
      <c r="BH151" s="590"/>
      <c r="BI151" s="70"/>
      <c r="BJ151" s="518">
        <f t="shared" si="77"/>
        <v>0</v>
      </c>
      <c r="BK151" s="517">
        <f t="shared" si="78"/>
        <v>0</v>
      </c>
      <c r="BL151" s="68"/>
      <c r="BM151" s="515">
        <f>SUMIFS(Imput[[Importe Neto]:[Importe Neto]],Imput[[C. Imp.]:[C. Imp.]],$D151,Imput[[PERIODO Imp.]:[PERIODO Imp.]],BM$9)</f>
        <v>0</v>
      </c>
      <c r="BN151" s="516">
        <f>SUMIFS(Imput[[Importe Neto]:[Importe Neto]],Imput[[C. Imp.]:[C. Imp.]],$D151,Imput[[PERIODO Imp.]:[PERIODO Imp.]],BN$9)</f>
        <v>0</v>
      </c>
      <c r="BO151" s="516">
        <f>SUMIFS(Imput[[Importe Neto]:[Importe Neto]],Imput[[C. Imp.]:[C. Imp.]],$D151,Imput[[PERIODO Imp.]:[PERIODO Imp.]],BO$9)</f>
        <v>0</v>
      </c>
      <c r="BP151" s="516">
        <f>SUMIFS(Imput[[Importe Neto]:[Importe Neto]],Imput[[C. Imp.]:[C. Imp.]],$D151,Imput[[PERIODO Imp.]:[PERIODO Imp.]],BP$9)</f>
        <v>0</v>
      </c>
      <c r="BQ151" s="516">
        <f>SUMIFS(Imput[[Importe Neto]:[Importe Neto]],Imput[[C. Imp.]:[C. Imp.]],$D151,Imput[[PERIODO Imp.]:[PERIODO Imp.]],BQ$9)</f>
        <v>0</v>
      </c>
      <c r="BR151" s="516">
        <f>SUMIFS(Imput[[Importe Neto]:[Importe Neto]],Imput[[C. Imp.]:[C. Imp.]],$D151,Imput[[PERIODO Imp.]:[PERIODO Imp.]],BR$9)</f>
        <v>0</v>
      </c>
      <c r="BS151" s="516">
        <f>SUMIFS(Imput[[Importe Neto]:[Importe Neto]],Imput[[C. Imp.]:[C. Imp.]],$D151,Imput[[PERIODO Imp.]:[PERIODO Imp.]],BS$9)</f>
        <v>0</v>
      </c>
      <c r="BT151" s="516">
        <f>SUMIFS(Imput[[Importe Neto]:[Importe Neto]],Imput[[C. Imp.]:[C. Imp.]],$D151,Imput[[PERIODO Imp.]:[PERIODO Imp.]],BT$9)</f>
        <v>0</v>
      </c>
      <c r="BU151" s="516">
        <f>SUMIFS(Imput[[Importe Neto]:[Importe Neto]],Imput[[C. Imp.]:[C. Imp.]],$D151,Imput[[PERIODO Imp.]:[PERIODO Imp.]],BU$9)</f>
        <v>0</v>
      </c>
      <c r="BV151" s="516">
        <f>SUMIFS(Imput[[Importe Neto]:[Importe Neto]],Imput[[C. Imp.]:[C. Imp.]],$D151,Imput[[PERIODO Imp.]:[PERIODO Imp.]],BV$9)</f>
        <v>0</v>
      </c>
      <c r="BW151" s="516">
        <f>SUMIFS(Imput[[Importe Neto]:[Importe Neto]],Imput[[C. Imp.]:[C. Imp.]],$D151,Imput[[PERIODO Imp.]:[PERIODO Imp.]],BW$9)</f>
        <v>0</v>
      </c>
      <c r="BX151" s="516">
        <f>SUMIFS(Imput[[Importe Neto]:[Importe Neto]],Imput[[C. Imp.]:[C. Imp.]],$D151,Imput[[PERIODO Imp.]:[PERIODO Imp.]],BX$9)</f>
        <v>0</v>
      </c>
      <c r="BY151" s="516">
        <f>SUMIFS(Imput[[Importe Neto]:[Importe Neto]],Imput[[C. Imp.]:[C. Imp.]],$D151,Imput[[PERIODO Imp.]:[PERIODO Imp.]],BY$9)</f>
        <v>0</v>
      </c>
      <c r="BZ151" s="516">
        <f>SUMIFS(Imput[[Importe Neto]:[Importe Neto]],Imput[[C. Imp.]:[C. Imp.]],$D151,Imput[[PERIODO Imp.]:[PERIODO Imp.]],BZ$9)</f>
        <v>0</v>
      </c>
      <c r="CA151" s="516">
        <f>SUMIFS(Imput[[Importe Neto]:[Importe Neto]],Imput[[C. Imp.]:[C. Imp.]],$D151,Imput[[PERIODO Imp.]:[PERIODO Imp.]],CA$9)</f>
        <v>0</v>
      </c>
      <c r="CB151" s="516">
        <f>SUMIFS(Imput[[Importe Neto]:[Importe Neto]],Imput[[C. Imp.]:[C. Imp.]],$D151,Imput[[PERIODO Imp.]:[PERIODO Imp.]],CB$9)</f>
        <v>0</v>
      </c>
      <c r="CC151" s="516">
        <f>SUMIFS(Imput[[Importe Neto]:[Importe Neto]],Imput[[C. Imp.]:[C. Imp.]],$D151,Imput[[PERIODO Imp.]:[PERIODO Imp.]],CC$9)</f>
        <v>0</v>
      </c>
      <c r="CD151" s="516">
        <f>SUMIFS(Imput[[Importe Neto]:[Importe Neto]],Imput[[C. Imp.]:[C. Imp.]],$D151,Imput[[PERIODO Imp.]:[PERIODO Imp.]],CD$9)</f>
        <v>0</v>
      </c>
      <c r="CE151" s="516">
        <f>SUMIFS(Imput[[Importe Neto]:[Importe Neto]],Imput[[C. Imp.]:[C. Imp.]],$D151,Imput[[PERIODO Imp.]:[PERIODO Imp.]],CE$9)</f>
        <v>0</v>
      </c>
      <c r="CF151" s="516">
        <f>SUMIFS(Imput[[Importe Neto]:[Importe Neto]],Imput[[C. Imp.]:[C. Imp.]],$D151,Imput[[PERIODO Imp.]:[PERIODO Imp.]],CF$9)</f>
        <v>0</v>
      </c>
      <c r="CG151" s="516">
        <f>SUMIFS(Imput[[Importe Neto]:[Importe Neto]],Imput[[C. Imp.]:[C. Imp.]],$D151,Imput[[PERIODO Imp.]:[PERIODO Imp.]],CG$9)</f>
        <v>0</v>
      </c>
      <c r="CH151" s="516">
        <f>SUMIFS(Imput[[Importe Neto]:[Importe Neto]],Imput[[C. Imp.]:[C. Imp.]],$D151,Imput[[PERIODO Imp.]:[PERIODO Imp.]],CH$9)</f>
        <v>0</v>
      </c>
      <c r="CI151" s="516">
        <f>SUMIFS(Imput[[Importe Neto]:[Importe Neto]],Imput[[C. Imp.]:[C. Imp.]],$D151,Imput[[PERIODO Imp.]:[PERIODO Imp.]],CI$9)</f>
        <v>0</v>
      </c>
      <c r="CJ151" s="516">
        <f>SUMIFS(Imput[[Importe Neto]:[Importe Neto]],Imput[[C. Imp.]:[C. Imp.]],$D151,Imput[[PERIODO Imp.]:[PERIODO Imp.]],CJ$9)</f>
        <v>0</v>
      </c>
      <c r="CK151" s="516">
        <f>SUMIFS(Imput[[Importe Neto]:[Importe Neto]],Imput[[C. Imp.]:[C. Imp.]],$D151,Imput[[PERIODO Imp.]:[PERIODO Imp.]],CK$9)</f>
        <v>0</v>
      </c>
      <c r="CL151" s="516">
        <f>SUMIFS(Imput[[Importe Neto]:[Importe Neto]],Imput[[C. Imp.]:[C. Imp.]],$D151,Imput[[PERIODO Imp.]:[PERIODO Imp.]],CL$9)</f>
        <v>0</v>
      </c>
      <c r="CM151" s="516">
        <f>SUMIFS(Imput[[Importe Neto]:[Importe Neto]],Imput[[C. Imp.]:[C. Imp.]],$D151,Imput[[PERIODO Imp.]:[PERIODO Imp.]],CM$9)</f>
        <v>0</v>
      </c>
      <c r="CN151" s="516">
        <f>SUMIFS(Imput[[Importe Neto]:[Importe Neto]],Imput[[C. Imp.]:[C. Imp.]],$D151,Imput[[PERIODO Imp.]:[PERIODO Imp.]],CN$9)</f>
        <v>0</v>
      </c>
      <c r="CO151" s="516">
        <f>SUMIFS(Imput[[Importe Neto]:[Importe Neto]],Imput[[C. Imp.]:[C. Imp.]],$D151,Imput[[PERIODO Imp.]:[PERIODO Imp.]],CO$9)</f>
        <v>0</v>
      </c>
      <c r="CP151" s="516">
        <f>SUMIFS(Imput[[Importe Neto]:[Importe Neto]],Imput[[C. Imp.]:[C. Imp.]],$D151,Imput[[PERIODO Imp.]:[PERIODO Imp.]],CP$9)</f>
        <v>0</v>
      </c>
      <c r="CQ151" s="516">
        <f>SUMIFS(Imput[[Importe Neto]:[Importe Neto]],Imput[[C. Imp.]:[C. Imp.]],$D151,Imput[[PERIODO Imp.]:[PERIODO Imp.]],CQ$9)</f>
        <v>0</v>
      </c>
      <c r="CR151" s="516">
        <f>SUMIFS(Imput[[Importe Neto]:[Importe Neto]],Imput[[C. Imp.]:[C. Imp.]],$D151,Imput[[PERIODO Imp.]:[PERIODO Imp.]],CR$9)</f>
        <v>0</v>
      </c>
      <c r="CS151" s="516">
        <f>SUMIFS(Imput[[Importe Neto]:[Importe Neto]],Imput[[C. Imp.]:[C. Imp.]],$D151,Imput[[PERIODO Imp.]:[PERIODO Imp.]],CS$9)</f>
        <v>0</v>
      </c>
      <c r="CT151" s="516">
        <f>SUMIFS(Imput[[Importe Neto]:[Importe Neto]],Imput[[C. Imp.]:[C. Imp.]],$D151,Imput[[PERIODO Imp.]:[PERIODO Imp.]],CT$9)</f>
        <v>0</v>
      </c>
      <c r="CU151" s="516">
        <f>SUMIFS(Imput[[Importe Neto]:[Importe Neto]],Imput[[C. Imp.]:[C. Imp.]],$D151,Imput[[PERIODO Imp.]:[PERIODO Imp.]],CU$9)</f>
        <v>0</v>
      </c>
      <c r="CV151" s="516">
        <f>SUMIFS(Imput[[Importe Neto]:[Importe Neto]],Imput[[C. Imp.]:[C. Imp.]],$D151,Imput[[PERIODO Imp.]:[PERIODO Imp.]],CV$9)</f>
        <v>0</v>
      </c>
      <c r="CW151" s="516">
        <f>SUMIFS(Imput[[Importe Neto]:[Importe Neto]],Imput[[C. Imp.]:[C. Imp.]],$D151,Imput[[PERIODO Imp.]:[PERIODO Imp.]],CW$9)</f>
        <v>0</v>
      </c>
      <c r="CX151" s="516">
        <f>SUMIFS(Imput[[Importe Neto]:[Importe Neto]],Imput[[C. Imp.]:[C. Imp.]],$D151,Imput[[PERIODO Imp.]:[PERIODO Imp.]],CX$9)</f>
        <v>0</v>
      </c>
      <c r="CY151" s="516">
        <f>SUMIFS(Imput[[Importe Neto]:[Importe Neto]],Imput[[C. Imp.]:[C. Imp.]],$D151,Imput[[PERIODO Imp.]:[PERIODO Imp.]],CY$9)</f>
        <v>0</v>
      </c>
      <c r="CZ151" s="516">
        <f>SUMIFS(Imput[[Importe Neto]:[Importe Neto]],Imput[[C. Imp.]:[C. Imp.]],$D151,Imput[[PERIODO Imp.]:[PERIODO Imp.]],CZ$9)</f>
        <v>0</v>
      </c>
      <c r="DA151" s="516">
        <f>SUMIFS(Imput[[Importe Neto]:[Importe Neto]],Imput[[C. Imp.]:[C. Imp.]],$D151,Imput[[PERIODO Imp.]:[PERIODO Imp.]],DA$9)</f>
        <v>0</v>
      </c>
      <c r="DB151" s="516">
        <f>SUMIFS(Imput[[Importe Neto]:[Importe Neto]],Imput[[C. Imp.]:[C. Imp.]],$D151,Imput[[PERIODO Imp.]:[PERIODO Imp.]],DB$9)</f>
        <v>0</v>
      </c>
      <c r="DC151" s="516">
        <f>SUMIFS(Imput[[Importe Neto]:[Importe Neto]],Imput[[C. Imp.]:[C. Imp.]],$D151,Imput[[PERIODO Imp.]:[PERIODO Imp.]],DC$9)</f>
        <v>0</v>
      </c>
      <c r="DD151" s="516">
        <f>SUMIFS(Imput[[Importe Neto]:[Importe Neto]],Imput[[C. Imp.]:[C. Imp.]],$D151,Imput[[PERIODO Imp.]:[PERIODO Imp.]],DD$9)</f>
        <v>0</v>
      </c>
      <c r="DE151" s="516">
        <f>SUMIFS(Imput[[Importe Neto]:[Importe Neto]],Imput[[C. Imp.]:[C. Imp.]],$D151,Imput[[PERIODO Imp.]:[PERIODO Imp.]],DE$9)</f>
        <v>0</v>
      </c>
      <c r="DF151" s="516">
        <f>SUMIFS(Imput[[Importe Neto]:[Importe Neto]],Imput[[C. Imp.]:[C. Imp.]],$D151,Imput[[PERIODO Imp.]:[PERIODO Imp.]],DF$9)</f>
        <v>0</v>
      </c>
      <c r="DG151" s="516">
        <f>SUMIFS(Imput[[Importe Neto]:[Importe Neto]],Imput[[C. Imp.]:[C. Imp.]],$D151,Imput[[PERIODO Imp.]:[PERIODO Imp.]],DG$9)</f>
        <v>0</v>
      </c>
      <c r="DH151" s="616">
        <f>SUMIFS(Imput[[Importe Neto]:[Importe Neto]],Imput[[C. Imp.]:[C. Imp.]],$D151,Imput[[PERIODO Imp.]:[PERIODO Imp.]],DH$9)</f>
        <v>0</v>
      </c>
    </row>
    <row r="152" spans="1:112" hidden="1" outlineLevel="1" x14ac:dyDescent="0.3">
      <c r="A152" s="66" t="str">
        <f t="shared" si="74"/>
        <v/>
      </c>
      <c r="C152" s="527"/>
      <c r="D152" s="528" t="s">
        <v>2260</v>
      </c>
      <c r="E152" s="528"/>
      <c r="F152" s="534"/>
      <c r="G152" s="529"/>
      <c r="H152" s="531"/>
      <c r="I152" s="849" t="str">
        <f t="shared" si="75"/>
        <v/>
      </c>
      <c r="J152" s="850" t="str">
        <f t="shared" si="76"/>
        <v/>
      </c>
      <c r="K152" s="70"/>
      <c r="L152" s="853"/>
      <c r="M152" s="855"/>
      <c r="N152" s="855"/>
      <c r="O152" s="855"/>
      <c r="P152" s="855"/>
      <c r="Q152" s="855"/>
      <c r="R152" s="855"/>
      <c r="S152" s="855"/>
      <c r="T152" s="855"/>
      <c r="U152" s="855"/>
      <c r="V152" s="855"/>
      <c r="W152" s="855"/>
      <c r="X152" s="855"/>
      <c r="Y152" s="855"/>
      <c r="Z152" s="856"/>
      <c r="AA152" s="856"/>
      <c r="AB152" s="856"/>
      <c r="AC152" s="856"/>
      <c r="AD152" s="856"/>
      <c r="AE152" s="856"/>
      <c r="AF152" s="856"/>
      <c r="AG152" s="856"/>
      <c r="AH152" s="856"/>
      <c r="AI152" s="856"/>
      <c r="AJ152" s="856"/>
      <c r="AK152" s="856"/>
      <c r="AL152" s="856"/>
      <c r="AM152" s="856"/>
      <c r="AN152" s="856"/>
      <c r="AO152" s="856"/>
      <c r="AP152" s="856"/>
      <c r="AQ152" s="856"/>
      <c r="AR152" s="856"/>
      <c r="AS152" s="856"/>
      <c r="AT152" s="856"/>
      <c r="AU152" s="856"/>
      <c r="AV152" s="856"/>
      <c r="AW152" s="856"/>
      <c r="AX152" s="856"/>
      <c r="AY152" s="856"/>
      <c r="AZ152" s="856"/>
      <c r="BA152" s="856"/>
      <c r="BB152" s="856"/>
      <c r="BC152" s="856"/>
      <c r="BD152" s="856"/>
      <c r="BE152" s="856"/>
      <c r="BF152" s="856"/>
      <c r="BG152" s="857"/>
      <c r="BH152" s="590"/>
      <c r="BI152" s="70"/>
      <c r="BJ152" s="518">
        <f t="shared" si="77"/>
        <v>0</v>
      </c>
      <c r="BK152" s="517">
        <f t="shared" si="78"/>
        <v>0</v>
      </c>
      <c r="BL152" s="68"/>
      <c r="BM152" s="515">
        <f>SUMIFS(Imput[[Importe Neto]:[Importe Neto]],Imput[[C. Imp.]:[C. Imp.]],$D152,Imput[[PERIODO Imp.]:[PERIODO Imp.]],BM$9)</f>
        <v>0</v>
      </c>
      <c r="BN152" s="516">
        <f>SUMIFS(Imput[[Importe Neto]:[Importe Neto]],Imput[[C. Imp.]:[C. Imp.]],$D152,Imput[[PERIODO Imp.]:[PERIODO Imp.]],BN$9)</f>
        <v>0</v>
      </c>
      <c r="BO152" s="516">
        <f>SUMIFS(Imput[[Importe Neto]:[Importe Neto]],Imput[[C. Imp.]:[C. Imp.]],$D152,Imput[[PERIODO Imp.]:[PERIODO Imp.]],BO$9)</f>
        <v>0</v>
      </c>
      <c r="BP152" s="516">
        <f>SUMIFS(Imput[[Importe Neto]:[Importe Neto]],Imput[[C. Imp.]:[C. Imp.]],$D152,Imput[[PERIODO Imp.]:[PERIODO Imp.]],BP$9)</f>
        <v>0</v>
      </c>
      <c r="BQ152" s="516">
        <f>SUMIFS(Imput[[Importe Neto]:[Importe Neto]],Imput[[C. Imp.]:[C. Imp.]],$D152,Imput[[PERIODO Imp.]:[PERIODO Imp.]],BQ$9)</f>
        <v>0</v>
      </c>
      <c r="BR152" s="516">
        <f>SUMIFS(Imput[[Importe Neto]:[Importe Neto]],Imput[[C. Imp.]:[C. Imp.]],$D152,Imput[[PERIODO Imp.]:[PERIODO Imp.]],BR$9)</f>
        <v>0</v>
      </c>
      <c r="BS152" s="516">
        <f>SUMIFS(Imput[[Importe Neto]:[Importe Neto]],Imput[[C. Imp.]:[C. Imp.]],$D152,Imput[[PERIODO Imp.]:[PERIODO Imp.]],BS$9)</f>
        <v>0</v>
      </c>
      <c r="BT152" s="516">
        <f>SUMIFS(Imput[[Importe Neto]:[Importe Neto]],Imput[[C. Imp.]:[C. Imp.]],$D152,Imput[[PERIODO Imp.]:[PERIODO Imp.]],BT$9)</f>
        <v>0</v>
      </c>
      <c r="BU152" s="516">
        <f>SUMIFS(Imput[[Importe Neto]:[Importe Neto]],Imput[[C. Imp.]:[C. Imp.]],$D152,Imput[[PERIODO Imp.]:[PERIODO Imp.]],BU$9)</f>
        <v>0</v>
      </c>
      <c r="BV152" s="516">
        <f>SUMIFS(Imput[[Importe Neto]:[Importe Neto]],Imput[[C. Imp.]:[C. Imp.]],$D152,Imput[[PERIODO Imp.]:[PERIODO Imp.]],BV$9)</f>
        <v>0</v>
      </c>
      <c r="BW152" s="516">
        <f>SUMIFS(Imput[[Importe Neto]:[Importe Neto]],Imput[[C. Imp.]:[C. Imp.]],$D152,Imput[[PERIODO Imp.]:[PERIODO Imp.]],BW$9)</f>
        <v>0</v>
      </c>
      <c r="BX152" s="516">
        <f>SUMIFS(Imput[[Importe Neto]:[Importe Neto]],Imput[[C. Imp.]:[C. Imp.]],$D152,Imput[[PERIODO Imp.]:[PERIODO Imp.]],BX$9)</f>
        <v>0</v>
      </c>
      <c r="BY152" s="516">
        <f>SUMIFS(Imput[[Importe Neto]:[Importe Neto]],Imput[[C. Imp.]:[C. Imp.]],$D152,Imput[[PERIODO Imp.]:[PERIODO Imp.]],BY$9)</f>
        <v>0</v>
      </c>
      <c r="BZ152" s="516">
        <f>SUMIFS(Imput[[Importe Neto]:[Importe Neto]],Imput[[C. Imp.]:[C. Imp.]],$D152,Imput[[PERIODO Imp.]:[PERIODO Imp.]],BZ$9)</f>
        <v>0</v>
      </c>
      <c r="CA152" s="516">
        <f>SUMIFS(Imput[[Importe Neto]:[Importe Neto]],Imput[[C. Imp.]:[C. Imp.]],$D152,Imput[[PERIODO Imp.]:[PERIODO Imp.]],CA$9)</f>
        <v>0</v>
      </c>
      <c r="CB152" s="516">
        <f>SUMIFS(Imput[[Importe Neto]:[Importe Neto]],Imput[[C. Imp.]:[C. Imp.]],$D152,Imput[[PERIODO Imp.]:[PERIODO Imp.]],CB$9)</f>
        <v>0</v>
      </c>
      <c r="CC152" s="516">
        <f>SUMIFS(Imput[[Importe Neto]:[Importe Neto]],Imput[[C. Imp.]:[C. Imp.]],$D152,Imput[[PERIODO Imp.]:[PERIODO Imp.]],CC$9)</f>
        <v>0</v>
      </c>
      <c r="CD152" s="516">
        <f>SUMIFS(Imput[[Importe Neto]:[Importe Neto]],Imput[[C. Imp.]:[C. Imp.]],$D152,Imput[[PERIODO Imp.]:[PERIODO Imp.]],CD$9)</f>
        <v>0</v>
      </c>
      <c r="CE152" s="516">
        <f>SUMIFS(Imput[[Importe Neto]:[Importe Neto]],Imput[[C. Imp.]:[C. Imp.]],$D152,Imput[[PERIODO Imp.]:[PERIODO Imp.]],CE$9)</f>
        <v>0</v>
      </c>
      <c r="CF152" s="516">
        <f>SUMIFS(Imput[[Importe Neto]:[Importe Neto]],Imput[[C. Imp.]:[C. Imp.]],$D152,Imput[[PERIODO Imp.]:[PERIODO Imp.]],CF$9)</f>
        <v>0</v>
      </c>
      <c r="CG152" s="516">
        <f>SUMIFS(Imput[[Importe Neto]:[Importe Neto]],Imput[[C. Imp.]:[C. Imp.]],$D152,Imput[[PERIODO Imp.]:[PERIODO Imp.]],CG$9)</f>
        <v>0</v>
      </c>
      <c r="CH152" s="516">
        <f>SUMIFS(Imput[[Importe Neto]:[Importe Neto]],Imput[[C. Imp.]:[C. Imp.]],$D152,Imput[[PERIODO Imp.]:[PERIODO Imp.]],CH$9)</f>
        <v>0</v>
      </c>
      <c r="CI152" s="516">
        <f>SUMIFS(Imput[[Importe Neto]:[Importe Neto]],Imput[[C. Imp.]:[C. Imp.]],$D152,Imput[[PERIODO Imp.]:[PERIODO Imp.]],CI$9)</f>
        <v>0</v>
      </c>
      <c r="CJ152" s="516">
        <f>SUMIFS(Imput[[Importe Neto]:[Importe Neto]],Imput[[C. Imp.]:[C. Imp.]],$D152,Imput[[PERIODO Imp.]:[PERIODO Imp.]],CJ$9)</f>
        <v>0</v>
      </c>
      <c r="CK152" s="516">
        <f>SUMIFS(Imput[[Importe Neto]:[Importe Neto]],Imput[[C. Imp.]:[C. Imp.]],$D152,Imput[[PERIODO Imp.]:[PERIODO Imp.]],CK$9)</f>
        <v>0</v>
      </c>
      <c r="CL152" s="516">
        <f>SUMIFS(Imput[[Importe Neto]:[Importe Neto]],Imput[[C. Imp.]:[C. Imp.]],$D152,Imput[[PERIODO Imp.]:[PERIODO Imp.]],CL$9)</f>
        <v>0</v>
      </c>
      <c r="CM152" s="516">
        <f>SUMIFS(Imput[[Importe Neto]:[Importe Neto]],Imput[[C. Imp.]:[C. Imp.]],$D152,Imput[[PERIODO Imp.]:[PERIODO Imp.]],CM$9)</f>
        <v>0</v>
      </c>
      <c r="CN152" s="516">
        <f>SUMIFS(Imput[[Importe Neto]:[Importe Neto]],Imput[[C. Imp.]:[C. Imp.]],$D152,Imput[[PERIODO Imp.]:[PERIODO Imp.]],CN$9)</f>
        <v>0</v>
      </c>
      <c r="CO152" s="516">
        <f>SUMIFS(Imput[[Importe Neto]:[Importe Neto]],Imput[[C. Imp.]:[C. Imp.]],$D152,Imput[[PERIODO Imp.]:[PERIODO Imp.]],CO$9)</f>
        <v>0</v>
      </c>
      <c r="CP152" s="516">
        <f>SUMIFS(Imput[[Importe Neto]:[Importe Neto]],Imput[[C. Imp.]:[C. Imp.]],$D152,Imput[[PERIODO Imp.]:[PERIODO Imp.]],CP$9)</f>
        <v>0</v>
      </c>
      <c r="CQ152" s="516">
        <f>SUMIFS(Imput[[Importe Neto]:[Importe Neto]],Imput[[C. Imp.]:[C. Imp.]],$D152,Imput[[PERIODO Imp.]:[PERIODO Imp.]],CQ$9)</f>
        <v>0</v>
      </c>
      <c r="CR152" s="516">
        <f>SUMIFS(Imput[[Importe Neto]:[Importe Neto]],Imput[[C. Imp.]:[C. Imp.]],$D152,Imput[[PERIODO Imp.]:[PERIODO Imp.]],CR$9)</f>
        <v>0</v>
      </c>
      <c r="CS152" s="516">
        <f>SUMIFS(Imput[[Importe Neto]:[Importe Neto]],Imput[[C. Imp.]:[C. Imp.]],$D152,Imput[[PERIODO Imp.]:[PERIODO Imp.]],CS$9)</f>
        <v>0</v>
      </c>
      <c r="CT152" s="516">
        <f>SUMIFS(Imput[[Importe Neto]:[Importe Neto]],Imput[[C. Imp.]:[C. Imp.]],$D152,Imput[[PERIODO Imp.]:[PERIODO Imp.]],CT$9)</f>
        <v>0</v>
      </c>
      <c r="CU152" s="516">
        <f>SUMIFS(Imput[[Importe Neto]:[Importe Neto]],Imput[[C. Imp.]:[C. Imp.]],$D152,Imput[[PERIODO Imp.]:[PERIODO Imp.]],CU$9)</f>
        <v>0</v>
      </c>
      <c r="CV152" s="516">
        <f>SUMIFS(Imput[[Importe Neto]:[Importe Neto]],Imput[[C. Imp.]:[C. Imp.]],$D152,Imput[[PERIODO Imp.]:[PERIODO Imp.]],CV$9)</f>
        <v>0</v>
      </c>
      <c r="CW152" s="516">
        <f>SUMIFS(Imput[[Importe Neto]:[Importe Neto]],Imput[[C. Imp.]:[C. Imp.]],$D152,Imput[[PERIODO Imp.]:[PERIODO Imp.]],CW$9)</f>
        <v>0</v>
      </c>
      <c r="CX152" s="516">
        <f>SUMIFS(Imput[[Importe Neto]:[Importe Neto]],Imput[[C. Imp.]:[C. Imp.]],$D152,Imput[[PERIODO Imp.]:[PERIODO Imp.]],CX$9)</f>
        <v>0</v>
      </c>
      <c r="CY152" s="516">
        <f>SUMIFS(Imput[[Importe Neto]:[Importe Neto]],Imput[[C. Imp.]:[C. Imp.]],$D152,Imput[[PERIODO Imp.]:[PERIODO Imp.]],CY$9)</f>
        <v>0</v>
      </c>
      <c r="CZ152" s="516">
        <f>SUMIFS(Imput[[Importe Neto]:[Importe Neto]],Imput[[C. Imp.]:[C. Imp.]],$D152,Imput[[PERIODO Imp.]:[PERIODO Imp.]],CZ$9)</f>
        <v>0</v>
      </c>
      <c r="DA152" s="516">
        <f>SUMIFS(Imput[[Importe Neto]:[Importe Neto]],Imput[[C. Imp.]:[C. Imp.]],$D152,Imput[[PERIODO Imp.]:[PERIODO Imp.]],DA$9)</f>
        <v>0</v>
      </c>
      <c r="DB152" s="516">
        <f>SUMIFS(Imput[[Importe Neto]:[Importe Neto]],Imput[[C. Imp.]:[C. Imp.]],$D152,Imput[[PERIODO Imp.]:[PERIODO Imp.]],DB$9)</f>
        <v>0</v>
      </c>
      <c r="DC152" s="516">
        <f>SUMIFS(Imput[[Importe Neto]:[Importe Neto]],Imput[[C. Imp.]:[C. Imp.]],$D152,Imput[[PERIODO Imp.]:[PERIODO Imp.]],DC$9)</f>
        <v>0</v>
      </c>
      <c r="DD152" s="516">
        <f>SUMIFS(Imput[[Importe Neto]:[Importe Neto]],Imput[[C. Imp.]:[C. Imp.]],$D152,Imput[[PERIODO Imp.]:[PERIODO Imp.]],DD$9)</f>
        <v>0</v>
      </c>
      <c r="DE152" s="516">
        <f>SUMIFS(Imput[[Importe Neto]:[Importe Neto]],Imput[[C. Imp.]:[C. Imp.]],$D152,Imput[[PERIODO Imp.]:[PERIODO Imp.]],DE$9)</f>
        <v>0</v>
      </c>
      <c r="DF152" s="516">
        <f>SUMIFS(Imput[[Importe Neto]:[Importe Neto]],Imput[[C. Imp.]:[C. Imp.]],$D152,Imput[[PERIODO Imp.]:[PERIODO Imp.]],DF$9)</f>
        <v>0</v>
      </c>
      <c r="DG152" s="516">
        <f>SUMIFS(Imput[[Importe Neto]:[Importe Neto]],Imput[[C. Imp.]:[C. Imp.]],$D152,Imput[[PERIODO Imp.]:[PERIODO Imp.]],DG$9)</f>
        <v>0</v>
      </c>
      <c r="DH152" s="616">
        <f>SUMIFS(Imput[[Importe Neto]:[Importe Neto]],Imput[[C. Imp.]:[C. Imp.]],$D152,Imput[[PERIODO Imp.]:[PERIODO Imp.]],DH$9)</f>
        <v>0</v>
      </c>
    </row>
    <row r="153" spans="1:112" hidden="1" outlineLevel="1" x14ac:dyDescent="0.3">
      <c r="A153" s="66" t="str">
        <f t="shared" si="74"/>
        <v/>
      </c>
      <c r="C153" s="527"/>
      <c r="D153" s="528" t="s">
        <v>2261</v>
      </c>
      <c r="E153" s="528"/>
      <c r="F153" s="534"/>
      <c r="G153" s="529"/>
      <c r="H153" s="531"/>
      <c r="I153" s="849" t="str">
        <f t="shared" si="75"/>
        <v/>
      </c>
      <c r="J153" s="850" t="str">
        <f t="shared" si="76"/>
        <v/>
      </c>
      <c r="K153" s="70"/>
      <c r="L153" s="853"/>
      <c r="M153" s="855"/>
      <c r="N153" s="855"/>
      <c r="O153" s="855"/>
      <c r="P153" s="855"/>
      <c r="Q153" s="855"/>
      <c r="R153" s="855"/>
      <c r="S153" s="855"/>
      <c r="T153" s="855"/>
      <c r="U153" s="855"/>
      <c r="V153" s="855"/>
      <c r="W153" s="855"/>
      <c r="X153" s="855"/>
      <c r="Y153" s="855"/>
      <c r="Z153" s="856"/>
      <c r="AA153" s="856"/>
      <c r="AB153" s="856"/>
      <c r="AC153" s="856"/>
      <c r="AD153" s="856"/>
      <c r="AE153" s="856"/>
      <c r="AF153" s="856"/>
      <c r="AG153" s="856"/>
      <c r="AH153" s="856"/>
      <c r="AI153" s="856"/>
      <c r="AJ153" s="856"/>
      <c r="AK153" s="856"/>
      <c r="AL153" s="856"/>
      <c r="AM153" s="856"/>
      <c r="AN153" s="856"/>
      <c r="AO153" s="856"/>
      <c r="AP153" s="856"/>
      <c r="AQ153" s="856"/>
      <c r="AR153" s="856"/>
      <c r="AS153" s="856"/>
      <c r="AT153" s="856"/>
      <c r="AU153" s="856"/>
      <c r="AV153" s="856"/>
      <c r="AW153" s="856"/>
      <c r="AX153" s="856"/>
      <c r="AY153" s="856"/>
      <c r="AZ153" s="856"/>
      <c r="BA153" s="856"/>
      <c r="BB153" s="856"/>
      <c r="BC153" s="856"/>
      <c r="BD153" s="856"/>
      <c r="BE153" s="856"/>
      <c r="BF153" s="856"/>
      <c r="BG153" s="857"/>
      <c r="BH153" s="590"/>
      <c r="BI153" s="70"/>
      <c r="BJ153" s="518">
        <f t="shared" si="77"/>
        <v>0</v>
      </c>
      <c r="BK153" s="517">
        <f t="shared" si="78"/>
        <v>0</v>
      </c>
      <c r="BL153" s="68"/>
      <c r="BM153" s="515">
        <f>SUMIFS(Imput[[Importe Neto]:[Importe Neto]],Imput[[C. Imp.]:[C. Imp.]],$D153,Imput[[PERIODO Imp.]:[PERIODO Imp.]],BM$9)</f>
        <v>0</v>
      </c>
      <c r="BN153" s="516">
        <f>SUMIFS(Imput[[Importe Neto]:[Importe Neto]],Imput[[C. Imp.]:[C. Imp.]],$D153,Imput[[PERIODO Imp.]:[PERIODO Imp.]],BN$9)</f>
        <v>0</v>
      </c>
      <c r="BO153" s="516">
        <f>SUMIFS(Imput[[Importe Neto]:[Importe Neto]],Imput[[C. Imp.]:[C. Imp.]],$D153,Imput[[PERIODO Imp.]:[PERIODO Imp.]],BO$9)</f>
        <v>0</v>
      </c>
      <c r="BP153" s="516">
        <f>SUMIFS(Imput[[Importe Neto]:[Importe Neto]],Imput[[C. Imp.]:[C. Imp.]],$D153,Imput[[PERIODO Imp.]:[PERIODO Imp.]],BP$9)</f>
        <v>0</v>
      </c>
      <c r="BQ153" s="516">
        <f>SUMIFS(Imput[[Importe Neto]:[Importe Neto]],Imput[[C. Imp.]:[C. Imp.]],$D153,Imput[[PERIODO Imp.]:[PERIODO Imp.]],BQ$9)</f>
        <v>0</v>
      </c>
      <c r="BR153" s="516">
        <f>SUMIFS(Imput[[Importe Neto]:[Importe Neto]],Imput[[C. Imp.]:[C. Imp.]],$D153,Imput[[PERIODO Imp.]:[PERIODO Imp.]],BR$9)</f>
        <v>0</v>
      </c>
      <c r="BS153" s="516">
        <f>SUMIFS(Imput[[Importe Neto]:[Importe Neto]],Imput[[C. Imp.]:[C. Imp.]],$D153,Imput[[PERIODO Imp.]:[PERIODO Imp.]],BS$9)</f>
        <v>0</v>
      </c>
      <c r="BT153" s="516">
        <f>SUMIFS(Imput[[Importe Neto]:[Importe Neto]],Imput[[C. Imp.]:[C. Imp.]],$D153,Imput[[PERIODO Imp.]:[PERIODO Imp.]],BT$9)</f>
        <v>0</v>
      </c>
      <c r="BU153" s="516">
        <f>SUMIFS(Imput[[Importe Neto]:[Importe Neto]],Imput[[C. Imp.]:[C. Imp.]],$D153,Imput[[PERIODO Imp.]:[PERIODO Imp.]],BU$9)</f>
        <v>0</v>
      </c>
      <c r="BV153" s="516">
        <f>SUMIFS(Imput[[Importe Neto]:[Importe Neto]],Imput[[C. Imp.]:[C. Imp.]],$D153,Imput[[PERIODO Imp.]:[PERIODO Imp.]],BV$9)</f>
        <v>0</v>
      </c>
      <c r="BW153" s="516">
        <f>SUMIFS(Imput[[Importe Neto]:[Importe Neto]],Imput[[C. Imp.]:[C. Imp.]],$D153,Imput[[PERIODO Imp.]:[PERIODO Imp.]],BW$9)</f>
        <v>0</v>
      </c>
      <c r="BX153" s="516">
        <f>SUMIFS(Imput[[Importe Neto]:[Importe Neto]],Imput[[C. Imp.]:[C. Imp.]],$D153,Imput[[PERIODO Imp.]:[PERIODO Imp.]],BX$9)</f>
        <v>0</v>
      </c>
      <c r="BY153" s="516">
        <f>SUMIFS(Imput[[Importe Neto]:[Importe Neto]],Imput[[C. Imp.]:[C. Imp.]],$D153,Imput[[PERIODO Imp.]:[PERIODO Imp.]],BY$9)</f>
        <v>0</v>
      </c>
      <c r="BZ153" s="516">
        <f>SUMIFS(Imput[[Importe Neto]:[Importe Neto]],Imput[[C. Imp.]:[C. Imp.]],$D153,Imput[[PERIODO Imp.]:[PERIODO Imp.]],BZ$9)</f>
        <v>0</v>
      </c>
      <c r="CA153" s="516">
        <f>SUMIFS(Imput[[Importe Neto]:[Importe Neto]],Imput[[C. Imp.]:[C. Imp.]],$D153,Imput[[PERIODO Imp.]:[PERIODO Imp.]],CA$9)</f>
        <v>0</v>
      </c>
      <c r="CB153" s="516">
        <f>SUMIFS(Imput[[Importe Neto]:[Importe Neto]],Imput[[C. Imp.]:[C. Imp.]],$D153,Imput[[PERIODO Imp.]:[PERIODO Imp.]],CB$9)</f>
        <v>0</v>
      </c>
      <c r="CC153" s="516">
        <f>SUMIFS(Imput[[Importe Neto]:[Importe Neto]],Imput[[C. Imp.]:[C. Imp.]],$D153,Imput[[PERIODO Imp.]:[PERIODO Imp.]],CC$9)</f>
        <v>0</v>
      </c>
      <c r="CD153" s="516">
        <f>SUMIFS(Imput[[Importe Neto]:[Importe Neto]],Imput[[C. Imp.]:[C. Imp.]],$D153,Imput[[PERIODO Imp.]:[PERIODO Imp.]],CD$9)</f>
        <v>0</v>
      </c>
      <c r="CE153" s="516">
        <f>SUMIFS(Imput[[Importe Neto]:[Importe Neto]],Imput[[C. Imp.]:[C. Imp.]],$D153,Imput[[PERIODO Imp.]:[PERIODO Imp.]],CE$9)</f>
        <v>0</v>
      </c>
      <c r="CF153" s="516">
        <f>SUMIFS(Imput[[Importe Neto]:[Importe Neto]],Imput[[C. Imp.]:[C. Imp.]],$D153,Imput[[PERIODO Imp.]:[PERIODO Imp.]],CF$9)</f>
        <v>0</v>
      </c>
      <c r="CG153" s="516">
        <f>SUMIFS(Imput[[Importe Neto]:[Importe Neto]],Imput[[C. Imp.]:[C. Imp.]],$D153,Imput[[PERIODO Imp.]:[PERIODO Imp.]],CG$9)</f>
        <v>0</v>
      </c>
      <c r="CH153" s="516">
        <f>SUMIFS(Imput[[Importe Neto]:[Importe Neto]],Imput[[C. Imp.]:[C. Imp.]],$D153,Imput[[PERIODO Imp.]:[PERIODO Imp.]],CH$9)</f>
        <v>0</v>
      </c>
      <c r="CI153" s="516">
        <f>SUMIFS(Imput[[Importe Neto]:[Importe Neto]],Imput[[C. Imp.]:[C. Imp.]],$D153,Imput[[PERIODO Imp.]:[PERIODO Imp.]],CI$9)</f>
        <v>0</v>
      </c>
      <c r="CJ153" s="516">
        <f>SUMIFS(Imput[[Importe Neto]:[Importe Neto]],Imput[[C. Imp.]:[C. Imp.]],$D153,Imput[[PERIODO Imp.]:[PERIODO Imp.]],CJ$9)</f>
        <v>0</v>
      </c>
      <c r="CK153" s="516">
        <f>SUMIFS(Imput[[Importe Neto]:[Importe Neto]],Imput[[C. Imp.]:[C. Imp.]],$D153,Imput[[PERIODO Imp.]:[PERIODO Imp.]],CK$9)</f>
        <v>0</v>
      </c>
      <c r="CL153" s="516">
        <f>SUMIFS(Imput[[Importe Neto]:[Importe Neto]],Imput[[C. Imp.]:[C. Imp.]],$D153,Imput[[PERIODO Imp.]:[PERIODO Imp.]],CL$9)</f>
        <v>0</v>
      </c>
      <c r="CM153" s="516">
        <f>SUMIFS(Imput[[Importe Neto]:[Importe Neto]],Imput[[C. Imp.]:[C. Imp.]],$D153,Imput[[PERIODO Imp.]:[PERIODO Imp.]],CM$9)</f>
        <v>0</v>
      </c>
      <c r="CN153" s="516">
        <f>SUMIFS(Imput[[Importe Neto]:[Importe Neto]],Imput[[C. Imp.]:[C. Imp.]],$D153,Imput[[PERIODO Imp.]:[PERIODO Imp.]],CN$9)</f>
        <v>0</v>
      </c>
      <c r="CO153" s="516">
        <f>SUMIFS(Imput[[Importe Neto]:[Importe Neto]],Imput[[C. Imp.]:[C. Imp.]],$D153,Imput[[PERIODO Imp.]:[PERIODO Imp.]],CO$9)</f>
        <v>0</v>
      </c>
      <c r="CP153" s="516">
        <f>SUMIFS(Imput[[Importe Neto]:[Importe Neto]],Imput[[C. Imp.]:[C. Imp.]],$D153,Imput[[PERIODO Imp.]:[PERIODO Imp.]],CP$9)</f>
        <v>0</v>
      </c>
      <c r="CQ153" s="516">
        <f>SUMIFS(Imput[[Importe Neto]:[Importe Neto]],Imput[[C. Imp.]:[C. Imp.]],$D153,Imput[[PERIODO Imp.]:[PERIODO Imp.]],CQ$9)</f>
        <v>0</v>
      </c>
      <c r="CR153" s="516">
        <f>SUMIFS(Imput[[Importe Neto]:[Importe Neto]],Imput[[C. Imp.]:[C. Imp.]],$D153,Imput[[PERIODO Imp.]:[PERIODO Imp.]],CR$9)</f>
        <v>0</v>
      </c>
      <c r="CS153" s="516">
        <f>SUMIFS(Imput[[Importe Neto]:[Importe Neto]],Imput[[C. Imp.]:[C. Imp.]],$D153,Imput[[PERIODO Imp.]:[PERIODO Imp.]],CS$9)</f>
        <v>0</v>
      </c>
      <c r="CT153" s="516">
        <f>SUMIFS(Imput[[Importe Neto]:[Importe Neto]],Imput[[C. Imp.]:[C. Imp.]],$D153,Imput[[PERIODO Imp.]:[PERIODO Imp.]],CT$9)</f>
        <v>0</v>
      </c>
      <c r="CU153" s="516">
        <f>SUMIFS(Imput[[Importe Neto]:[Importe Neto]],Imput[[C. Imp.]:[C. Imp.]],$D153,Imput[[PERIODO Imp.]:[PERIODO Imp.]],CU$9)</f>
        <v>0</v>
      </c>
      <c r="CV153" s="516">
        <f>SUMIFS(Imput[[Importe Neto]:[Importe Neto]],Imput[[C. Imp.]:[C. Imp.]],$D153,Imput[[PERIODO Imp.]:[PERIODO Imp.]],CV$9)</f>
        <v>0</v>
      </c>
      <c r="CW153" s="516">
        <f>SUMIFS(Imput[[Importe Neto]:[Importe Neto]],Imput[[C. Imp.]:[C. Imp.]],$D153,Imput[[PERIODO Imp.]:[PERIODO Imp.]],CW$9)</f>
        <v>0</v>
      </c>
      <c r="CX153" s="516">
        <f>SUMIFS(Imput[[Importe Neto]:[Importe Neto]],Imput[[C. Imp.]:[C. Imp.]],$D153,Imput[[PERIODO Imp.]:[PERIODO Imp.]],CX$9)</f>
        <v>0</v>
      </c>
      <c r="CY153" s="516">
        <f>SUMIFS(Imput[[Importe Neto]:[Importe Neto]],Imput[[C. Imp.]:[C. Imp.]],$D153,Imput[[PERIODO Imp.]:[PERIODO Imp.]],CY$9)</f>
        <v>0</v>
      </c>
      <c r="CZ153" s="516">
        <f>SUMIFS(Imput[[Importe Neto]:[Importe Neto]],Imput[[C. Imp.]:[C. Imp.]],$D153,Imput[[PERIODO Imp.]:[PERIODO Imp.]],CZ$9)</f>
        <v>0</v>
      </c>
      <c r="DA153" s="516">
        <f>SUMIFS(Imput[[Importe Neto]:[Importe Neto]],Imput[[C. Imp.]:[C. Imp.]],$D153,Imput[[PERIODO Imp.]:[PERIODO Imp.]],DA$9)</f>
        <v>0</v>
      </c>
      <c r="DB153" s="516">
        <f>SUMIFS(Imput[[Importe Neto]:[Importe Neto]],Imput[[C. Imp.]:[C. Imp.]],$D153,Imput[[PERIODO Imp.]:[PERIODO Imp.]],DB$9)</f>
        <v>0</v>
      </c>
      <c r="DC153" s="516">
        <f>SUMIFS(Imput[[Importe Neto]:[Importe Neto]],Imput[[C. Imp.]:[C. Imp.]],$D153,Imput[[PERIODO Imp.]:[PERIODO Imp.]],DC$9)</f>
        <v>0</v>
      </c>
      <c r="DD153" s="516">
        <f>SUMIFS(Imput[[Importe Neto]:[Importe Neto]],Imput[[C. Imp.]:[C. Imp.]],$D153,Imput[[PERIODO Imp.]:[PERIODO Imp.]],DD$9)</f>
        <v>0</v>
      </c>
      <c r="DE153" s="516">
        <f>SUMIFS(Imput[[Importe Neto]:[Importe Neto]],Imput[[C. Imp.]:[C. Imp.]],$D153,Imput[[PERIODO Imp.]:[PERIODO Imp.]],DE$9)</f>
        <v>0</v>
      </c>
      <c r="DF153" s="516">
        <f>SUMIFS(Imput[[Importe Neto]:[Importe Neto]],Imput[[C. Imp.]:[C. Imp.]],$D153,Imput[[PERIODO Imp.]:[PERIODO Imp.]],DF$9)</f>
        <v>0</v>
      </c>
      <c r="DG153" s="516">
        <f>SUMIFS(Imput[[Importe Neto]:[Importe Neto]],Imput[[C. Imp.]:[C. Imp.]],$D153,Imput[[PERIODO Imp.]:[PERIODO Imp.]],DG$9)</f>
        <v>0</v>
      </c>
      <c r="DH153" s="616">
        <f>SUMIFS(Imput[[Importe Neto]:[Importe Neto]],Imput[[C. Imp.]:[C. Imp.]],$D153,Imput[[PERIODO Imp.]:[PERIODO Imp.]],DH$9)</f>
        <v>0</v>
      </c>
    </row>
    <row r="154" spans="1:112" hidden="1" outlineLevel="1" x14ac:dyDescent="0.3">
      <c r="A154" s="66" t="str">
        <f t="shared" si="74"/>
        <v/>
      </c>
      <c r="C154" s="527"/>
      <c r="D154" s="528" t="s">
        <v>2262</v>
      </c>
      <c r="E154" s="528"/>
      <c r="F154" s="534"/>
      <c r="G154" s="529"/>
      <c r="H154" s="531"/>
      <c r="I154" s="849" t="str">
        <f t="shared" si="75"/>
        <v/>
      </c>
      <c r="J154" s="850" t="str">
        <f t="shared" si="76"/>
        <v/>
      </c>
      <c r="K154" s="70"/>
      <c r="L154" s="853"/>
      <c r="M154" s="855"/>
      <c r="N154" s="855"/>
      <c r="O154" s="855"/>
      <c r="P154" s="855"/>
      <c r="Q154" s="855"/>
      <c r="R154" s="855"/>
      <c r="S154" s="855"/>
      <c r="T154" s="855"/>
      <c r="U154" s="855"/>
      <c r="V154" s="855"/>
      <c r="W154" s="855"/>
      <c r="X154" s="855"/>
      <c r="Y154" s="855"/>
      <c r="Z154" s="856"/>
      <c r="AA154" s="856"/>
      <c r="AB154" s="856"/>
      <c r="AC154" s="856"/>
      <c r="AD154" s="856"/>
      <c r="AE154" s="856"/>
      <c r="AF154" s="856"/>
      <c r="AG154" s="856"/>
      <c r="AH154" s="856"/>
      <c r="AI154" s="856"/>
      <c r="AJ154" s="856"/>
      <c r="AK154" s="856"/>
      <c r="AL154" s="856"/>
      <c r="AM154" s="856"/>
      <c r="AN154" s="856"/>
      <c r="AO154" s="856"/>
      <c r="AP154" s="856"/>
      <c r="AQ154" s="856"/>
      <c r="AR154" s="856"/>
      <c r="AS154" s="856"/>
      <c r="AT154" s="856"/>
      <c r="AU154" s="856"/>
      <c r="AV154" s="856"/>
      <c r="AW154" s="856"/>
      <c r="AX154" s="856"/>
      <c r="AY154" s="856"/>
      <c r="AZ154" s="856"/>
      <c r="BA154" s="856"/>
      <c r="BB154" s="856"/>
      <c r="BC154" s="856"/>
      <c r="BD154" s="856"/>
      <c r="BE154" s="856"/>
      <c r="BF154" s="856"/>
      <c r="BG154" s="857"/>
      <c r="BH154" s="590"/>
      <c r="BI154" s="70"/>
      <c r="BJ154" s="518">
        <f t="shared" si="77"/>
        <v>0</v>
      </c>
      <c r="BK154" s="517">
        <f t="shared" si="78"/>
        <v>0</v>
      </c>
      <c r="BL154" s="68"/>
      <c r="BM154" s="515">
        <f>SUMIFS(Imput[[Importe Neto]:[Importe Neto]],Imput[[C. Imp.]:[C. Imp.]],$D154,Imput[[PERIODO Imp.]:[PERIODO Imp.]],BM$9)</f>
        <v>0</v>
      </c>
      <c r="BN154" s="516">
        <f>SUMIFS(Imput[[Importe Neto]:[Importe Neto]],Imput[[C. Imp.]:[C. Imp.]],$D154,Imput[[PERIODO Imp.]:[PERIODO Imp.]],BN$9)</f>
        <v>0</v>
      </c>
      <c r="BO154" s="516">
        <f>SUMIFS(Imput[[Importe Neto]:[Importe Neto]],Imput[[C. Imp.]:[C. Imp.]],$D154,Imput[[PERIODO Imp.]:[PERIODO Imp.]],BO$9)</f>
        <v>0</v>
      </c>
      <c r="BP154" s="516">
        <f>SUMIFS(Imput[[Importe Neto]:[Importe Neto]],Imput[[C. Imp.]:[C. Imp.]],$D154,Imput[[PERIODO Imp.]:[PERIODO Imp.]],BP$9)</f>
        <v>0</v>
      </c>
      <c r="BQ154" s="516">
        <f>SUMIFS(Imput[[Importe Neto]:[Importe Neto]],Imput[[C. Imp.]:[C. Imp.]],$D154,Imput[[PERIODO Imp.]:[PERIODO Imp.]],BQ$9)</f>
        <v>0</v>
      </c>
      <c r="BR154" s="516">
        <f>SUMIFS(Imput[[Importe Neto]:[Importe Neto]],Imput[[C. Imp.]:[C. Imp.]],$D154,Imput[[PERIODO Imp.]:[PERIODO Imp.]],BR$9)</f>
        <v>0</v>
      </c>
      <c r="BS154" s="516">
        <f>SUMIFS(Imput[[Importe Neto]:[Importe Neto]],Imput[[C. Imp.]:[C. Imp.]],$D154,Imput[[PERIODO Imp.]:[PERIODO Imp.]],BS$9)</f>
        <v>0</v>
      </c>
      <c r="BT154" s="516">
        <f>SUMIFS(Imput[[Importe Neto]:[Importe Neto]],Imput[[C. Imp.]:[C. Imp.]],$D154,Imput[[PERIODO Imp.]:[PERIODO Imp.]],BT$9)</f>
        <v>0</v>
      </c>
      <c r="BU154" s="516">
        <f>SUMIFS(Imput[[Importe Neto]:[Importe Neto]],Imput[[C. Imp.]:[C. Imp.]],$D154,Imput[[PERIODO Imp.]:[PERIODO Imp.]],BU$9)</f>
        <v>0</v>
      </c>
      <c r="BV154" s="516">
        <f>SUMIFS(Imput[[Importe Neto]:[Importe Neto]],Imput[[C. Imp.]:[C. Imp.]],$D154,Imput[[PERIODO Imp.]:[PERIODO Imp.]],BV$9)</f>
        <v>0</v>
      </c>
      <c r="BW154" s="516">
        <f>SUMIFS(Imput[[Importe Neto]:[Importe Neto]],Imput[[C. Imp.]:[C. Imp.]],$D154,Imput[[PERIODO Imp.]:[PERIODO Imp.]],BW$9)</f>
        <v>0</v>
      </c>
      <c r="BX154" s="516">
        <f>SUMIFS(Imput[[Importe Neto]:[Importe Neto]],Imput[[C. Imp.]:[C. Imp.]],$D154,Imput[[PERIODO Imp.]:[PERIODO Imp.]],BX$9)</f>
        <v>0</v>
      </c>
      <c r="BY154" s="516">
        <f>SUMIFS(Imput[[Importe Neto]:[Importe Neto]],Imput[[C. Imp.]:[C. Imp.]],$D154,Imput[[PERIODO Imp.]:[PERIODO Imp.]],BY$9)</f>
        <v>0</v>
      </c>
      <c r="BZ154" s="516">
        <f>SUMIFS(Imput[[Importe Neto]:[Importe Neto]],Imput[[C. Imp.]:[C. Imp.]],$D154,Imput[[PERIODO Imp.]:[PERIODO Imp.]],BZ$9)</f>
        <v>0</v>
      </c>
      <c r="CA154" s="516">
        <f>SUMIFS(Imput[[Importe Neto]:[Importe Neto]],Imput[[C. Imp.]:[C. Imp.]],$D154,Imput[[PERIODO Imp.]:[PERIODO Imp.]],CA$9)</f>
        <v>0</v>
      </c>
      <c r="CB154" s="516">
        <f>SUMIFS(Imput[[Importe Neto]:[Importe Neto]],Imput[[C. Imp.]:[C. Imp.]],$D154,Imput[[PERIODO Imp.]:[PERIODO Imp.]],CB$9)</f>
        <v>0</v>
      </c>
      <c r="CC154" s="516">
        <f>SUMIFS(Imput[[Importe Neto]:[Importe Neto]],Imput[[C. Imp.]:[C. Imp.]],$D154,Imput[[PERIODO Imp.]:[PERIODO Imp.]],CC$9)</f>
        <v>0</v>
      </c>
      <c r="CD154" s="516">
        <f>SUMIFS(Imput[[Importe Neto]:[Importe Neto]],Imput[[C. Imp.]:[C. Imp.]],$D154,Imput[[PERIODO Imp.]:[PERIODO Imp.]],CD$9)</f>
        <v>0</v>
      </c>
      <c r="CE154" s="516">
        <f>SUMIFS(Imput[[Importe Neto]:[Importe Neto]],Imput[[C. Imp.]:[C. Imp.]],$D154,Imput[[PERIODO Imp.]:[PERIODO Imp.]],CE$9)</f>
        <v>0</v>
      </c>
      <c r="CF154" s="516">
        <f>SUMIFS(Imput[[Importe Neto]:[Importe Neto]],Imput[[C. Imp.]:[C. Imp.]],$D154,Imput[[PERIODO Imp.]:[PERIODO Imp.]],CF$9)</f>
        <v>0</v>
      </c>
      <c r="CG154" s="516">
        <f>SUMIFS(Imput[[Importe Neto]:[Importe Neto]],Imput[[C. Imp.]:[C. Imp.]],$D154,Imput[[PERIODO Imp.]:[PERIODO Imp.]],CG$9)</f>
        <v>0</v>
      </c>
      <c r="CH154" s="516">
        <f>SUMIFS(Imput[[Importe Neto]:[Importe Neto]],Imput[[C. Imp.]:[C. Imp.]],$D154,Imput[[PERIODO Imp.]:[PERIODO Imp.]],CH$9)</f>
        <v>0</v>
      </c>
      <c r="CI154" s="516">
        <f>SUMIFS(Imput[[Importe Neto]:[Importe Neto]],Imput[[C. Imp.]:[C. Imp.]],$D154,Imput[[PERIODO Imp.]:[PERIODO Imp.]],CI$9)</f>
        <v>0</v>
      </c>
      <c r="CJ154" s="516">
        <f>SUMIFS(Imput[[Importe Neto]:[Importe Neto]],Imput[[C. Imp.]:[C. Imp.]],$D154,Imput[[PERIODO Imp.]:[PERIODO Imp.]],CJ$9)</f>
        <v>0</v>
      </c>
      <c r="CK154" s="516">
        <f>SUMIFS(Imput[[Importe Neto]:[Importe Neto]],Imput[[C. Imp.]:[C. Imp.]],$D154,Imput[[PERIODO Imp.]:[PERIODO Imp.]],CK$9)</f>
        <v>0</v>
      </c>
      <c r="CL154" s="516">
        <f>SUMIFS(Imput[[Importe Neto]:[Importe Neto]],Imput[[C. Imp.]:[C. Imp.]],$D154,Imput[[PERIODO Imp.]:[PERIODO Imp.]],CL$9)</f>
        <v>0</v>
      </c>
      <c r="CM154" s="516">
        <f>SUMIFS(Imput[[Importe Neto]:[Importe Neto]],Imput[[C. Imp.]:[C. Imp.]],$D154,Imput[[PERIODO Imp.]:[PERIODO Imp.]],CM$9)</f>
        <v>0</v>
      </c>
      <c r="CN154" s="516">
        <f>SUMIFS(Imput[[Importe Neto]:[Importe Neto]],Imput[[C. Imp.]:[C. Imp.]],$D154,Imput[[PERIODO Imp.]:[PERIODO Imp.]],CN$9)</f>
        <v>0</v>
      </c>
      <c r="CO154" s="516">
        <f>SUMIFS(Imput[[Importe Neto]:[Importe Neto]],Imput[[C. Imp.]:[C. Imp.]],$D154,Imput[[PERIODO Imp.]:[PERIODO Imp.]],CO$9)</f>
        <v>0</v>
      </c>
      <c r="CP154" s="516">
        <f>SUMIFS(Imput[[Importe Neto]:[Importe Neto]],Imput[[C. Imp.]:[C. Imp.]],$D154,Imput[[PERIODO Imp.]:[PERIODO Imp.]],CP$9)</f>
        <v>0</v>
      </c>
      <c r="CQ154" s="516">
        <f>SUMIFS(Imput[[Importe Neto]:[Importe Neto]],Imput[[C. Imp.]:[C. Imp.]],$D154,Imput[[PERIODO Imp.]:[PERIODO Imp.]],CQ$9)</f>
        <v>0</v>
      </c>
      <c r="CR154" s="516">
        <f>SUMIFS(Imput[[Importe Neto]:[Importe Neto]],Imput[[C. Imp.]:[C. Imp.]],$D154,Imput[[PERIODO Imp.]:[PERIODO Imp.]],CR$9)</f>
        <v>0</v>
      </c>
      <c r="CS154" s="516">
        <f>SUMIFS(Imput[[Importe Neto]:[Importe Neto]],Imput[[C. Imp.]:[C. Imp.]],$D154,Imput[[PERIODO Imp.]:[PERIODO Imp.]],CS$9)</f>
        <v>0</v>
      </c>
      <c r="CT154" s="516">
        <f>SUMIFS(Imput[[Importe Neto]:[Importe Neto]],Imput[[C. Imp.]:[C. Imp.]],$D154,Imput[[PERIODO Imp.]:[PERIODO Imp.]],CT$9)</f>
        <v>0</v>
      </c>
      <c r="CU154" s="516">
        <f>SUMIFS(Imput[[Importe Neto]:[Importe Neto]],Imput[[C. Imp.]:[C. Imp.]],$D154,Imput[[PERIODO Imp.]:[PERIODO Imp.]],CU$9)</f>
        <v>0</v>
      </c>
      <c r="CV154" s="516">
        <f>SUMIFS(Imput[[Importe Neto]:[Importe Neto]],Imput[[C. Imp.]:[C. Imp.]],$D154,Imput[[PERIODO Imp.]:[PERIODO Imp.]],CV$9)</f>
        <v>0</v>
      </c>
      <c r="CW154" s="516">
        <f>SUMIFS(Imput[[Importe Neto]:[Importe Neto]],Imput[[C. Imp.]:[C. Imp.]],$D154,Imput[[PERIODO Imp.]:[PERIODO Imp.]],CW$9)</f>
        <v>0</v>
      </c>
      <c r="CX154" s="516">
        <f>SUMIFS(Imput[[Importe Neto]:[Importe Neto]],Imput[[C. Imp.]:[C. Imp.]],$D154,Imput[[PERIODO Imp.]:[PERIODO Imp.]],CX$9)</f>
        <v>0</v>
      </c>
      <c r="CY154" s="516">
        <f>SUMIFS(Imput[[Importe Neto]:[Importe Neto]],Imput[[C. Imp.]:[C. Imp.]],$D154,Imput[[PERIODO Imp.]:[PERIODO Imp.]],CY$9)</f>
        <v>0</v>
      </c>
      <c r="CZ154" s="516">
        <f>SUMIFS(Imput[[Importe Neto]:[Importe Neto]],Imput[[C. Imp.]:[C. Imp.]],$D154,Imput[[PERIODO Imp.]:[PERIODO Imp.]],CZ$9)</f>
        <v>0</v>
      </c>
      <c r="DA154" s="516">
        <f>SUMIFS(Imput[[Importe Neto]:[Importe Neto]],Imput[[C. Imp.]:[C. Imp.]],$D154,Imput[[PERIODO Imp.]:[PERIODO Imp.]],DA$9)</f>
        <v>0</v>
      </c>
      <c r="DB154" s="516">
        <f>SUMIFS(Imput[[Importe Neto]:[Importe Neto]],Imput[[C. Imp.]:[C. Imp.]],$D154,Imput[[PERIODO Imp.]:[PERIODO Imp.]],DB$9)</f>
        <v>0</v>
      </c>
      <c r="DC154" s="516">
        <f>SUMIFS(Imput[[Importe Neto]:[Importe Neto]],Imput[[C. Imp.]:[C. Imp.]],$D154,Imput[[PERIODO Imp.]:[PERIODO Imp.]],DC$9)</f>
        <v>0</v>
      </c>
      <c r="DD154" s="516">
        <f>SUMIFS(Imput[[Importe Neto]:[Importe Neto]],Imput[[C. Imp.]:[C. Imp.]],$D154,Imput[[PERIODO Imp.]:[PERIODO Imp.]],DD$9)</f>
        <v>0</v>
      </c>
      <c r="DE154" s="516">
        <f>SUMIFS(Imput[[Importe Neto]:[Importe Neto]],Imput[[C. Imp.]:[C. Imp.]],$D154,Imput[[PERIODO Imp.]:[PERIODO Imp.]],DE$9)</f>
        <v>0</v>
      </c>
      <c r="DF154" s="516">
        <f>SUMIFS(Imput[[Importe Neto]:[Importe Neto]],Imput[[C. Imp.]:[C. Imp.]],$D154,Imput[[PERIODO Imp.]:[PERIODO Imp.]],DF$9)</f>
        <v>0</v>
      </c>
      <c r="DG154" s="516">
        <f>SUMIFS(Imput[[Importe Neto]:[Importe Neto]],Imput[[C. Imp.]:[C. Imp.]],$D154,Imput[[PERIODO Imp.]:[PERIODO Imp.]],DG$9)</f>
        <v>0</v>
      </c>
      <c r="DH154" s="616">
        <f>SUMIFS(Imput[[Importe Neto]:[Importe Neto]],Imput[[C. Imp.]:[C. Imp.]],$D154,Imput[[PERIODO Imp.]:[PERIODO Imp.]],DH$9)</f>
        <v>0</v>
      </c>
    </row>
    <row r="155" spans="1:112" hidden="1" outlineLevel="1" x14ac:dyDescent="0.3">
      <c r="A155" s="66" t="str">
        <f t="shared" si="74"/>
        <v/>
      </c>
      <c r="C155" s="527"/>
      <c r="D155" s="528" t="s">
        <v>2263</v>
      </c>
      <c r="E155" s="528"/>
      <c r="F155" s="534"/>
      <c r="G155" s="529"/>
      <c r="H155" s="531"/>
      <c r="I155" s="849" t="str">
        <f t="shared" si="75"/>
        <v/>
      </c>
      <c r="J155" s="850" t="str">
        <f t="shared" si="76"/>
        <v/>
      </c>
      <c r="K155" s="70"/>
      <c r="L155" s="853"/>
      <c r="M155" s="855"/>
      <c r="N155" s="855"/>
      <c r="O155" s="855"/>
      <c r="P155" s="855"/>
      <c r="Q155" s="855"/>
      <c r="R155" s="855"/>
      <c r="S155" s="855"/>
      <c r="T155" s="855"/>
      <c r="U155" s="855"/>
      <c r="V155" s="855"/>
      <c r="W155" s="855"/>
      <c r="X155" s="855"/>
      <c r="Y155" s="855"/>
      <c r="Z155" s="856"/>
      <c r="AA155" s="856"/>
      <c r="AB155" s="856"/>
      <c r="AC155" s="856"/>
      <c r="AD155" s="856"/>
      <c r="AE155" s="856"/>
      <c r="AF155" s="856"/>
      <c r="AG155" s="856"/>
      <c r="AH155" s="856"/>
      <c r="AI155" s="856"/>
      <c r="AJ155" s="856"/>
      <c r="AK155" s="856"/>
      <c r="AL155" s="856"/>
      <c r="AM155" s="856"/>
      <c r="AN155" s="856"/>
      <c r="AO155" s="856"/>
      <c r="AP155" s="856"/>
      <c r="AQ155" s="856"/>
      <c r="AR155" s="856"/>
      <c r="AS155" s="856"/>
      <c r="AT155" s="856"/>
      <c r="AU155" s="856"/>
      <c r="AV155" s="856"/>
      <c r="AW155" s="856"/>
      <c r="AX155" s="856"/>
      <c r="AY155" s="856"/>
      <c r="AZ155" s="856"/>
      <c r="BA155" s="856"/>
      <c r="BB155" s="856"/>
      <c r="BC155" s="856"/>
      <c r="BD155" s="856"/>
      <c r="BE155" s="856"/>
      <c r="BF155" s="856"/>
      <c r="BG155" s="857"/>
      <c r="BH155" s="590"/>
      <c r="BI155" s="70"/>
      <c r="BJ155" s="518">
        <f t="shared" si="77"/>
        <v>0</v>
      </c>
      <c r="BK155" s="517">
        <f t="shared" si="78"/>
        <v>0</v>
      </c>
      <c r="BL155" s="68"/>
      <c r="BM155" s="515">
        <f>SUMIFS(Imput[[Importe Neto]:[Importe Neto]],Imput[[C. Imp.]:[C. Imp.]],$D155,Imput[[PERIODO Imp.]:[PERIODO Imp.]],BM$9)</f>
        <v>0</v>
      </c>
      <c r="BN155" s="516">
        <f>SUMIFS(Imput[[Importe Neto]:[Importe Neto]],Imput[[C. Imp.]:[C. Imp.]],$D155,Imput[[PERIODO Imp.]:[PERIODO Imp.]],BN$9)</f>
        <v>0</v>
      </c>
      <c r="BO155" s="516">
        <f>SUMIFS(Imput[[Importe Neto]:[Importe Neto]],Imput[[C. Imp.]:[C. Imp.]],$D155,Imput[[PERIODO Imp.]:[PERIODO Imp.]],BO$9)</f>
        <v>0</v>
      </c>
      <c r="BP155" s="516">
        <f>SUMIFS(Imput[[Importe Neto]:[Importe Neto]],Imput[[C. Imp.]:[C. Imp.]],$D155,Imput[[PERIODO Imp.]:[PERIODO Imp.]],BP$9)</f>
        <v>0</v>
      </c>
      <c r="BQ155" s="516">
        <f>SUMIFS(Imput[[Importe Neto]:[Importe Neto]],Imput[[C. Imp.]:[C. Imp.]],$D155,Imput[[PERIODO Imp.]:[PERIODO Imp.]],BQ$9)</f>
        <v>0</v>
      </c>
      <c r="BR155" s="516">
        <f>SUMIFS(Imput[[Importe Neto]:[Importe Neto]],Imput[[C. Imp.]:[C. Imp.]],$D155,Imput[[PERIODO Imp.]:[PERIODO Imp.]],BR$9)</f>
        <v>0</v>
      </c>
      <c r="BS155" s="516">
        <f>SUMIFS(Imput[[Importe Neto]:[Importe Neto]],Imput[[C. Imp.]:[C. Imp.]],$D155,Imput[[PERIODO Imp.]:[PERIODO Imp.]],BS$9)</f>
        <v>0</v>
      </c>
      <c r="BT155" s="516">
        <f>SUMIFS(Imput[[Importe Neto]:[Importe Neto]],Imput[[C. Imp.]:[C. Imp.]],$D155,Imput[[PERIODO Imp.]:[PERIODO Imp.]],BT$9)</f>
        <v>0</v>
      </c>
      <c r="BU155" s="516">
        <f>SUMIFS(Imput[[Importe Neto]:[Importe Neto]],Imput[[C. Imp.]:[C. Imp.]],$D155,Imput[[PERIODO Imp.]:[PERIODO Imp.]],BU$9)</f>
        <v>0</v>
      </c>
      <c r="BV155" s="516">
        <f>SUMIFS(Imput[[Importe Neto]:[Importe Neto]],Imput[[C. Imp.]:[C. Imp.]],$D155,Imput[[PERIODO Imp.]:[PERIODO Imp.]],BV$9)</f>
        <v>0</v>
      </c>
      <c r="BW155" s="516">
        <f>SUMIFS(Imput[[Importe Neto]:[Importe Neto]],Imput[[C. Imp.]:[C. Imp.]],$D155,Imput[[PERIODO Imp.]:[PERIODO Imp.]],BW$9)</f>
        <v>0</v>
      </c>
      <c r="BX155" s="516">
        <f>SUMIFS(Imput[[Importe Neto]:[Importe Neto]],Imput[[C. Imp.]:[C. Imp.]],$D155,Imput[[PERIODO Imp.]:[PERIODO Imp.]],BX$9)</f>
        <v>0</v>
      </c>
      <c r="BY155" s="516">
        <f>SUMIFS(Imput[[Importe Neto]:[Importe Neto]],Imput[[C. Imp.]:[C. Imp.]],$D155,Imput[[PERIODO Imp.]:[PERIODO Imp.]],BY$9)</f>
        <v>0</v>
      </c>
      <c r="BZ155" s="516">
        <f>SUMIFS(Imput[[Importe Neto]:[Importe Neto]],Imput[[C. Imp.]:[C. Imp.]],$D155,Imput[[PERIODO Imp.]:[PERIODO Imp.]],BZ$9)</f>
        <v>0</v>
      </c>
      <c r="CA155" s="516">
        <f>SUMIFS(Imput[[Importe Neto]:[Importe Neto]],Imput[[C. Imp.]:[C. Imp.]],$D155,Imput[[PERIODO Imp.]:[PERIODO Imp.]],CA$9)</f>
        <v>0</v>
      </c>
      <c r="CB155" s="516">
        <f>SUMIFS(Imput[[Importe Neto]:[Importe Neto]],Imput[[C. Imp.]:[C. Imp.]],$D155,Imput[[PERIODO Imp.]:[PERIODO Imp.]],CB$9)</f>
        <v>0</v>
      </c>
      <c r="CC155" s="516">
        <f>SUMIFS(Imput[[Importe Neto]:[Importe Neto]],Imput[[C. Imp.]:[C. Imp.]],$D155,Imput[[PERIODO Imp.]:[PERIODO Imp.]],CC$9)</f>
        <v>0</v>
      </c>
      <c r="CD155" s="516">
        <f>SUMIFS(Imput[[Importe Neto]:[Importe Neto]],Imput[[C. Imp.]:[C. Imp.]],$D155,Imput[[PERIODO Imp.]:[PERIODO Imp.]],CD$9)</f>
        <v>0</v>
      </c>
      <c r="CE155" s="516">
        <f>SUMIFS(Imput[[Importe Neto]:[Importe Neto]],Imput[[C. Imp.]:[C. Imp.]],$D155,Imput[[PERIODO Imp.]:[PERIODO Imp.]],CE$9)</f>
        <v>0</v>
      </c>
      <c r="CF155" s="516">
        <f>SUMIFS(Imput[[Importe Neto]:[Importe Neto]],Imput[[C. Imp.]:[C. Imp.]],$D155,Imput[[PERIODO Imp.]:[PERIODO Imp.]],CF$9)</f>
        <v>0</v>
      </c>
      <c r="CG155" s="516">
        <f>SUMIFS(Imput[[Importe Neto]:[Importe Neto]],Imput[[C. Imp.]:[C. Imp.]],$D155,Imput[[PERIODO Imp.]:[PERIODO Imp.]],CG$9)</f>
        <v>0</v>
      </c>
      <c r="CH155" s="516">
        <f>SUMIFS(Imput[[Importe Neto]:[Importe Neto]],Imput[[C. Imp.]:[C. Imp.]],$D155,Imput[[PERIODO Imp.]:[PERIODO Imp.]],CH$9)</f>
        <v>0</v>
      </c>
      <c r="CI155" s="516">
        <f>SUMIFS(Imput[[Importe Neto]:[Importe Neto]],Imput[[C. Imp.]:[C. Imp.]],$D155,Imput[[PERIODO Imp.]:[PERIODO Imp.]],CI$9)</f>
        <v>0</v>
      </c>
      <c r="CJ155" s="516">
        <f>SUMIFS(Imput[[Importe Neto]:[Importe Neto]],Imput[[C. Imp.]:[C. Imp.]],$D155,Imput[[PERIODO Imp.]:[PERIODO Imp.]],CJ$9)</f>
        <v>0</v>
      </c>
      <c r="CK155" s="516">
        <f>SUMIFS(Imput[[Importe Neto]:[Importe Neto]],Imput[[C. Imp.]:[C. Imp.]],$D155,Imput[[PERIODO Imp.]:[PERIODO Imp.]],CK$9)</f>
        <v>0</v>
      </c>
      <c r="CL155" s="516">
        <f>SUMIFS(Imput[[Importe Neto]:[Importe Neto]],Imput[[C. Imp.]:[C. Imp.]],$D155,Imput[[PERIODO Imp.]:[PERIODO Imp.]],CL$9)</f>
        <v>0</v>
      </c>
      <c r="CM155" s="516">
        <f>SUMIFS(Imput[[Importe Neto]:[Importe Neto]],Imput[[C. Imp.]:[C. Imp.]],$D155,Imput[[PERIODO Imp.]:[PERIODO Imp.]],CM$9)</f>
        <v>0</v>
      </c>
      <c r="CN155" s="516">
        <f>SUMIFS(Imput[[Importe Neto]:[Importe Neto]],Imput[[C. Imp.]:[C. Imp.]],$D155,Imput[[PERIODO Imp.]:[PERIODO Imp.]],CN$9)</f>
        <v>0</v>
      </c>
      <c r="CO155" s="516">
        <f>SUMIFS(Imput[[Importe Neto]:[Importe Neto]],Imput[[C. Imp.]:[C. Imp.]],$D155,Imput[[PERIODO Imp.]:[PERIODO Imp.]],CO$9)</f>
        <v>0</v>
      </c>
      <c r="CP155" s="516">
        <f>SUMIFS(Imput[[Importe Neto]:[Importe Neto]],Imput[[C. Imp.]:[C. Imp.]],$D155,Imput[[PERIODO Imp.]:[PERIODO Imp.]],CP$9)</f>
        <v>0</v>
      </c>
      <c r="CQ155" s="516">
        <f>SUMIFS(Imput[[Importe Neto]:[Importe Neto]],Imput[[C. Imp.]:[C. Imp.]],$D155,Imput[[PERIODO Imp.]:[PERIODO Imp.]],CQ$9)</f>
        <v>0</v>
      </c>
      <c r="CR155" s="516">
        <f>SUMIFS(Imput[[Importe Neto]:[Importe Neto]],Imput[[C. Imp.]:[C. Imp.]],$D155,Imput[[PERIODO Imp.]:[PERIODO Imp.]],CR$9)</f>
        <v>0</v>
      </c>
      <c r="CS155" s="516">
        <f>SUMIFS(Imput[[Importe Neto]:[Importe Neto]],Imput[[C. Imp.]:[C. Imp.]],$D155,Imput[[PERIODO Imp.]:[PERIODO Imp.]],CS$9)</f>
        <v>0</v>
      </c>
      <c r="CT155" s="516">
        <f>SUMIFS(Imput[[Importe Neto]:[Importe Neto]],Imput[[C. Imp.]:[C. Imp.]],$D155,Imput[[PERIODO Imp.]:[PERIODO Imp.]],CT$9)</f>
        <v>0</v>
      </c>
      <c r="CU155" s="516">
        <f>SUMIFS(Imput[[Importe Neto]:[Importe Neto]],Imput[[C. Imp.]:[C. Imp.]],$D155,Imput[[PERIODO Imp.]:[PERIODO Imp.]],CU$9)</f>
        <v>0</v>
      </c>
      <c r="CV155" s="516">
        <f>SUMIFS(Imput[[Importe Neto]:[Importe Neto]],Imput[[C. Imp.]:[C. Imp.]],$D155,Imput[[PERIODO Imp.]:[PERIODO Imp.]],CV$9)</f>
        <v>0</v>
      </c>
      <c r="CW155" s="516">
        <f>SUMIFS(Imput[[Importe Neto]:[Importe Neto]],Imput[[C. Imp.]:[C. Imp.]],$D155,Imput[[PERIODO Imp.]:[PERIODO Imp.]],CW$9)</f>
        <v>0</v>
      </c>
      <c r="CX155" s="516">
        <f>SUMIFS(Imput[[Importe Neto]:[Importe Neto]],Imput[[C. Imp.]:[C. Imp.]],$D155,Imput[[PERIODO Imp.]:[PERIODO Imp.]],CX$9)</f>
        <v>0</v>
      </c>
      <c r="CY155" s="516">
        <f>SUMIFS(Imput[[Importe Neto]:[Importe Neto]],Imput[[C. Imp.]:[C. Imp.]],$D155,Imput[[PERIODO Imp.]:[PERIODO Imp.]],CY$9)</f>
        <v>0</v>
      </c>
      <c r="CZ155" s="516">
        <f>SUMIFS(Imput[[Importe Neto]:[Importe Neto]],Imput[[C. Imp.]:[C. Imp.]],$D155,Imput[[PERIODO Imp.]:[PERIODO Imp.]],CZ$9)</f>
        <v>0</v>
      </c>
      <c r="DA155" s="516">
        <f>SUMIFS(Imput[[Importe Neto]:[Importe Neto]],Imput[[C. Imp.]:[C. Imp.]],$D155,Imput[[PERIODO Imp.]:[PERIODO Imp.]],DA$9)</f>
        <v>0</v>
      </c>
      <c r="DB155" s="516">
        <f>SUMIFS(Imput[[Importe Neto]:[Importe Neto]],Imput[[C. Imp.]:[C. Imp.]],$D155,Imput[[PERIODO Imp.]:[PERIODO Imp.]],DB$9)</f>
        <v>0</v>
      </c>
      <c r="DC155" s="516">
        <f>SUMIFS(Imput[[Importe Neto]:[Importe Neto]],Imput[[C. Imp.]:[C. Imp.]],$D155,Imput[[PERIODO Imp.]:[PERIODO Imp.]],DC$9)</f>
        <v>0</v>
      </c>
      <c r="DD155" s="516">
        <f>SUMIFS(Imput[[Importe Neto]:[Importe Neto]],Imput[[C. Imp.]:[C. Imp.]],$D155,Imput[[PERIODO Imp.]:[PERIODO Imp.]],DD$9)</f>
        <v>0</v>
      </c>
      <c r="DE155" s="516">
        <f>SUMIFS(Imput[[Importe Neto]:[Importe Neto]],Imput[[C. Imp.]:[C. Imp.]],$D155,Imput[[PERIODO Imp.]:[PERIODO Imp.]],DE$9)</f>
        <v>0</v>
      </c>
      <c r="DF155" s="516">
        <f>SUMIFS(Imput[[Importe Neto]:[Importe Neto]],Imput[[C. Imp.]:[C. Imp.]],$D155,Imput[[PERIODO Imp.]:[PERIODO Imp.]],DF$9)</f>
        <v>0</v>
      </c>
      <c r="DG155" s="516">
        <f>SUMIFS(Imput[[Importe Neto]:[Importe Neto]],Imput[[C. Imp.]:[C. Imp.]],$D155,Imput[[PERIODO Imp.]:[PERIODO Imp.]],DG$9)</f>
        <v>0</v>
      </c>
      <c r="DH155" s="616">
        <f>SUMIFS(Imput[[Importe Neto]:[Importe Neto]],Imput[[C. Imp.]:[C. Imp.]],$D155,Imput[[PERIODO Imp.]:[PERIODO Imp.]],DH$9)</f>
        <v>0</v>
      </c>
    </row>
    <row r="156" spans="1:112" hidden="1" outlineLevel="1" x14ac:dyDescent="0.3">
      <c r="A156" s="66" t="str">
        <f t="shared" si="74"/>
        <v/>
      </c>
      <c r="C156" s="527"/>
      <c r="D156" s="528" t="s">
        <v>2264</v>
      </c>
      <c r="E156" s="528"/>
      <c r="F156" s="534"/>
      <c r="G156" s="529"/>
      <c r="H156" s="531"/>
      <c r="I156" s="849" t="str">
        <f t="shared" si="75"/>
        <v/>
      </c>
      <c r="J156" s="850" t="str">
        <f t="shared" si="76"/>
        <v/>
      </c>
      <c r="K156" s="70"/>
      <c r="L156" s="853"/>
      <c r="M156" s="855"/>
      <c r="N156" s="855"/>
      <c r="O156" s="855"/>
      <c r="P156" s="855"/>
      <c r="Q156" s="855"/>
      <c r="R156" s="855"/>
      <c r="S156" s="855"/>
      <c r="T156" s="855"/>
      <c r="U156" s="855"/>
      <c r="V156" s="855"/>
      <c r="W156" s="855"/>
      <c r="X156" s="855"/>
      <c r="Y156" s="855"/>
      <c r="Z156" s="856"/>
      <c r="AA156" s="856"/>
      <c r="AB156" s="856"/>
      <c r="AC156" s="856"/>
      <c r="AD156" s="856"/>
      <c r="AE156" s="856"/>
      <c r="AF156" s="856"/>
      <c r="AG156" s="856"/>
      <c r="AH156" s="856"/>
      <c r="AI156" s="856"/>
      <c r="AJ156" s="856"/>
      <c r="AK156" s="856"/>
      <c r="AL156" s="856"/>
      <c r="AM156" s="856"/>
      <c r="AN156" s="856"/>
      <c r="AO156" s="856"/>
      <c r="AP156" s="856"/>
      <c r="AQ156" s="856"/>
      <c r="AR156" s="856"/>
      <c r="AS156" s="856"/>
      <c r="AT156" s="856"/>
      <c r="AU156" s="856"/>
      <c r="AV156" s="856"/>
      <c r="AW156" s="856"/>
      <c r="AX156" s="856"/>
      <c r="AY156" s="856"/>
      <c r="AZ156" s="856"/>
      <c r="BA156" s="856"/>
      <c r="BB156" s="856"/>
      <c r="BC156" s="856"/>
      <c r="BD156" s="856"/>
      <c r="BE156" s="856"/>
      <c r="BF156" s="856"/>
      <c r="BG156" s="857"/>
      <c r="BH156" s="590"/>
      <c r="BI156" s="70"/>
      <c r="BJ156" s="518">
        <f t="shared" si="77"/>
        <v>0</v>
      </c>
      <c r="BK156" s="517">
        <f t="shared" si="78"/>
        <v>0</v>
      </c>
      <c r="BL156" s="68"/>
      <c r="BM156" s="515">
        <f>SUMIFS(Imput[[Importe Neto]:[Importe Neto]],Imput[[C. Imp.]:[C. Imp.]],$D156,Imput[[PERIODO Imp.]:[PERIODO Imp.]],BM$9)</f>
        <v>0</v>
      </c>
      <c r="BN156" s="516">
        <f>SUMIFS(Imput[[Importe Neto]:[Importe Neto]],Imput[[C. Imp.]:[C. Imp.]],$D156,Imput[[PERIODO Imp.]:[PERIODO Imp.]],BN$9)</f>
        <v>0</v>
      </c>
      <c r="BO156" s="516">
        <f>SUMIFS(Imput[[Importe Neto]:[Importe Neto]],Imput[[C. Imp.]:[C. Imp.]],$D156,Imput[[PERIODO Imp.]:[PERIODO Imp.]],BO$9)</f>
        <v>0</v>
      </c>
      <c r="BP156" s="516">
        <f>SUMIFS(Imput[[Importe Neto]:[Importe Neto]],Imput[[C. Imp.]:[C. Imp.]],$D156,Imput[[PERIODO Imp.]:[PERIODO Imp.]],BP$9)</f>
        <v>0</v>
      </c>
      <c r="BQ156" s="516">
        <f>SUMIFS(Imput[[Importe Neto]:[Importe Neto]],Imput[[C. Imp.]:[C. Imp.]],$D156,Imput[[PERIODO Imp.]:[PERIODO Imp.]],BQ$9)</f>
        <v>0</v>
      </c>
      <c r="BR156" s="516">
        <f>SUMIFS(Imput[[Importe Neto]:[Importe Neto]],Imput[[C. Imp.]:[C. Imp.]],$D156,Imput[[PERIODO Imp.]:[PERIODO Imp.]],BR$9)</f>
        <v>0</v>
      </c>
      <c r="BS156" s="516">
        <f>SUMIFS(Imput[[Importe Neto]:[Importe Neto]],Imput[[C. Imp.]:[C. Imp.]],$D156,Imput[[PERIODO Imp.]:[PERIODO Imp.]],BS$9)</f>
        <v>0</v>
      </c>
      <c r="BT156" s="516">
        <f>SUMIFS(Imput[[Importe Neto]:[Importe Neto]],Imput[[C. Imp.]:[C. Imp.]],$D156,Imput[[PERIODO Imp.]:[PERIODO Imp.]],BT$9)</f>
        <v>0</v>
      </c>
      <c r="BU156" s="516">
        <f>SUMIFS(Imput[[Importe Neto]:[Importe Neto]],Imput[[C. Imp.]:[C. Imp.]],$D156,Imput[[PERIODO Imp.]:[PERIODO Imp.]],BU$9)</f>
        <v>0</v>
      </c>
      <c r="BV156" s="516">
        <f>SUMIFS(Imput[[Importe Neto]:[Importe Neto]],Imput[[C. Imp.]:[C. Imp.]],$D156,Imput[[PERIODO Imp.]:[PERIODO Imp.]],BV$9)</f>
        <v>0</v>
      </c>
      <c r="BW156" s="516">
        <f>SUMIFS(Imput[[Importe Neto]:[Importe Neto]],Imput[[C. Imp.]:[C. Imp.]],$D156,Imput[[PERIODO Imp.]:[PERIODO Imp.]],BW$9)</f>
        <v>0</v>
      </c>
      <c r="BX156" s="516">
        <f>SUMIFS(Imput[[Importe Neto]:[Importe Neto]],Imput[[C. Imp.]:[C. Imp.]],$D156,Imput[[PERIODO Imp.]:[PERIODO Imp.]],BX$9)</f>
        <v>0</v>
      </c>
      <c r="BY156" s="516">
        <f>SUMIFS(Imput[[Importe Neto]:[Importe Neto]],Imput[[C. Imp.]:[C. Imp.]],$D156,Imput[[PERIODO Imp.]:[PERIODO Imp.]],BY$9)</f>
        <v>0</v>
      </c>
      <c r="BZ156" s="516">
        <f>SUMIFS(Imput[[Importe Neto]:[Importe Neto]],Imput[[C. Imp.]:[C. Imp.]],$D156,Imput[[PERIODO Imp.]:[PERIODO Imp.]],BZ$9)</f>
        <v>0</v>
      </c>
      <c r="CA156" s="516">
        <f>SUMIFS(Imput[[Importe Neto]:[Importe Neto]],Imput[[C. Imp.]:[C. Imp.]],$D156,Imput[[PERIODO Imp.]:[PERIODO Imp.]],CA$9)</f>
        <v>0</v>
      </c>
      <c r="CB156" s="516">
        <f>SUMIFS(Imput[[Importe Neto]:[Importe Neto]],Imput[[C. Imp.]:[C. Imp.]],$D156,Imput[[PERIODO Imp.]:[PERIODO Imp.]],CB$9)</f>
        <v>0</v>
      </c>
      <c r="CC156" s="516">
        <f>SUMIFS(Imput[[Importe Neto]:[Importe Neto]],Imput[[C. Imp.]:[C. Imp.]],$D156,Imput[[PERIODO Imp.]:[PERIODO Imp.]],CC$9)</f>
        <v>0</v>
      </c>
      <c r="CD156" s="516">
        <f>SUMIFS(Imput[[Importe Neto]:[Importe Neto]],Imput[[C. Imp.]:[C. Imp.]],$D156,Imput[[PERIODO Imp.]:[PERIODO Imp.]],CD$9)</f>
        <v>0</v>
      </c>
      <c r="CE156" s="516">
        <f>SUMIFS(Imput[[Importe Neto]:[Importe Neto]],Imput[[C. Imp.]:[C. Imp.]],$D156,Imput[[PERIODO Imp.]:[PERIODO Imp.]],CE$9)</f>
        <v>0</v>
      </c>
      <c r="CF156" s="516">
        <f>SUMIFS(Imput[[Importe Neto]:[Importe Neto]],Imput[[C. Imp.]:[C. Imp.]],$D156,Imput[[PERIODO Imp.]:[PERIODO Imp.]],CF$9)</f>
        <v>0</v>
      </c>
      <c r="CG156" s="516">
        <f>SUMIFS(Imput[[Importe Neto]:[Importe Neto]],Imput[[C. Imp.]:[C. Imp.]],$D156,Imput[[PERIODO Imp.]:[PERIODO Imp.]],CG$9)</f>
        <v>0</v>
      </c>
      <c r="CH156" s="516">
        <f>SUMIFS(Imput[[Importe Neto]:[Importe Neto]],Imput[[C. Imp.]:[C. Imp.]],$D156,Imput[[PERIODO Imp.]:[PERIODO Imp.]],CH$9)</f>
        <v>0</v>
      </c>
      <c r="CI156" s="516">
        <f>SUMIFS(Imput[[Importe Neto]:[Importe Neto]],Imput[[C. Imp.]:[C. Imp.]],$D156,Imput[[PERIODO Imp.]:[PERIODO Imp.]],CI$9)</f>
        <v>0</v>
      </c>
      <c r="CJ156" s="516">
        <f>SUMIFS(Imput[[Importe Neto]:[Importe Neto]],Imput[[C. Imp.]:[C. Imp.]],$D156,Imput[[PERIODO Imp.]:[PERIODO Imp.]],CJ$9)</f>
        <v>0</v>
      </c>
      <c r="CK156" s="516">
        <f>SUMIFS(Imput[[Importe Neto]:[Importe Neto]],Imput[[C. Imp.]:[C. Imp.]],$D156,Imput[[PERIODO Imp.]:[PERIODO Imp.]],CK$9)</f>
        <v>0</v>
      </c>
      <c r="CL156" s="516">
        <f>SUMIFS(Imput[[Importe Neto]:[Importe Neto]],Imput[[C. Imp.]:[C. Imp.]],$D156,Imput[[PERIODO Imp.]:[PERIODO Imp.]],CL$9)</f>
        <v>0</v>
      </c>
      <c r="CM156" s="516">
        <f>SUMIFS(Imput[[Importe Neto]:[Importe Neto]],Imput[[C. Imp.]:[C. Imp.]],$D156,Imput[[PERIODO Imp.]:[PERIODO Imp.]],CM$9)</f>
        <v>0</v>
      </c>
      <c r="CN156" s="516">
        <f>SUMIFS(Imput[[Importe Neto]:[Importe Neto]],Imput[[C. Imp.]:[C. Imp.]],$D156,Imput[[PERIODO Imp.]:[PERIODO Imp.]],CN$9)</f>
        <v>0</v>
      </c>
      <c r="CO156" s="516">
        <f>SUMIFS(Imput[[Importe Neto]:[Importe Neto]],Imput[[C. Imp.]:[C. Imp.]],$D156,Imput[[PERIODO Imp.]:[PERIODO Imp.]],CO$9)</f>
        <v>0</v>
      </c>
      <c r="CP156" s="516">
        <f>SUMIFS(Imput[[Importe Neto]:[Importe Neto]],Imput[[C. Imp.]:[C. Imp.]],$D156,Imput[[PERIODO Imp.]:[PERIODO Imp.]],CP$9)</f>
        <v>0</v>
      </c>
      <c r="CQ156" s="516">
        <f>SUMIFS(Imput[[Importe Neto]:[Importe Neto]],Imput[[C. Imp.]:[C. Imp.]],$D156,Imput[[PERIODO Imp.]:[PERIODO Imp.]],CQ$9)</f>
        <v>0</v>
      </c>
      <c r="CR156" s="516">
        <f>SUMIFS(Imput[[Importe Neto]:[Importe Neto]],Imput[[C. Imp.]:[C. Imp.]],$D156,Imput[[PERIODO Imp.]:[PERIODO Imp.]],CR$9)</f>
        <v>0</v>
      </c>
      <c r="CS156" s="516">
        <f>SUMIFS(Imput[[Importe Neto]:[Importe Neto]],Imput[[C. Imp.]:[C. Imp.]],$D156,Imput[[PERIODO Imp.]:[PERIODO Imp.]],CS$9)</f>
        <v>0</v>
      </c>
      <c r="CT156" s="516">
        <f>SUMIFS(Imput[[Importe Neto]:[Importe Neto]],Imput[[C. Imp.]:[C. Imp.]],$D156,Imput[[PERIODO Imp.]:[PERIODO Imp.]],CT$9)</f>
        <v>0</v>
      </c>
      <c r="CU156" s="516">
        <f>SUMIFS(Imput[[Importe Neto]:[Importe Neto]],Imput[[C. Imp.]:[C. Imp.]],$D156,Imput[[PERIODO Imp.]:[PERIODO Imp.]],CU$9)</f>
        <v>0</v>
      </c>
      <c r="CV156" s="516">
        <f>SUMIFS(Imput[[Importe Neto]:[Importe Neto]],Imput[[C. Imp.]:[C. Imp.]],$D156,Imput[[PERIODO Imp.]:[PERIODO Imp.]],CV$9)</f>
        <v>0</v>
      </c>
      <c r="CW156" s="516">
        <f>SUMIFS(Imput[[Importe Neto]:[Importe Neto]],Imput[[C. Imp.]:[C. Imp.]],$D156,Imput[[PERIODO Imp.]:[PERIODO Imp.]],CW$9)</f>
        <v>0</v>
      </c>
      <c r="CX156" s="516">
        <f>SUMIFS(Imput[[Importe Neto]:[Importe Neto]],Imput[[C. Imp.]:[C. Imp.]],$D156,Imput[[PERIODO Imp.]:[PERIODO Imp.]],CX$9)</f>
        <v>0</v>
      </c>
      <c r="CY156" s="516">
        <f>SUMIFS(Imput[[Importe Neto]:[Importe Neto]],Imput[[C. Imp.]:[C. Imp.]],$D156,Imput[[PERIODO Imp.]:[PERIODO Imp.]],CY$9)</f>
        <v>0</v>
      </c>
      <c r="CZ156" s="516">
        <f>SUMIFS(Imput[[Importe Neto]:[Importe Neto]],Imput[[C. Imp.]:[C. Imp.]],$D156,Imput[[PERIODO Imp.]:[PERIODO Imp.]],CZ$9)</f>
        <v>0</v>
      </c>
      <c r="DA156" s="516">
        <f>SUMIFS(Imput[[Importe Neto]:[Importe Neto]],Imput[[C. Imp.]:[C. Imp.]],$D156,Imput[[PERIODO Imp.]:[PERIODO Imp.]],DA$9)</f>
        <v>0</v>
      </c>
      <c r="DB156" s="516">
        <f>SUMIFS(Imput[[Importe Neto]:[Importe Neto]],Imput[[C. Imp.]:[C. Imp.]],$D156,Imput[[PERIODO Imp.]:[PERIODO Imp.]],DB$9)</f>
        <v>0</v>
      </c>
      <c r="DC156" s="516">
        <f>SUMIFS(Imput[[Importe Neto]:[Importe Neto]],Imput[[C. Imp.]:[C. Imp.]],$D156,Imput[[PERIODO Imp.]:[PERIODO Imp.]],DC$9)</f>
        <v>0</v>
      </c>
      <c r="DD156" s="516">
        <f>SUMIFS(Imput[[Importe Neto]:[Importe Neto]],Imput[[C. Imp.]:[C. Imp.]],$D156,Imput[[PERIODO Imp.]:[PERIODO Imp.]],DD$9)</f>
        <v>0</v>
      </c>
      <c r="DE156" s="516">
        <f>SUMIFS(Imput[[Importe Neto]:[Importe Neto]],Imput[[C. Imp.]:[C. Imp.]],$D156,Imput[[PERIODO Imp.]:[PERIODO Imp.]],DE$9)</f>
        <v>0</v>
      </c>
      <c r="DF156" s="516">
        <f>SUMIFS(Imput[[Importe Neto]:[Importe Neto]],Imput[[C. Imp.]:[C. Imp.]],$D156,Imput[[PERIODO Imp.]:[PERIODO Imp.]],DF$9)</f>
        <v>0</v>
      </c>
      <c r="DG156" s="516">
        <f>SUMIFS(Imput[[Importe Neto]:[Importe Neto]],Imput[[C. Imp.]:[C. Imp.]],$D156,Imput[[PERIODO Imp.]:[PERIODO Imp.]],DG$9)</f>
        <v>0</v>
      </c>
      <c r="DH156" s="616">
        <f>SUMIFS(Imput[[Importe Neto]:[Importe Neto]],Imput[[C. Imp.]:[C. Imp.]],$D156,Imput[[PERIODO Imp.]:[PERIODO Imp.]],DH$9)</f>
        <v>0</v>
      </c>
    </row>
    <row r="157" spans="1:112" hidden="1" outlineLevel="1" x14ac:dyDescent="0.3">
      <c r="A157" s="66" t="str">
        <f t="shared" si="74"/>
        <v/>
      </c>
      <c r="C157" s="527"/>
      <c r="D157" s="528" t="s">
        <v>2265</v>
      </c>
      <c r="E157" s="528"/>
      <c r="F157" s="534"/>
      <c r="G157" s="529"/>
      <c r="H157" s="531"/>
      <c r="I157" s="849" t="str">
        <f t="shared" si="75"/>
        <v/>
      </c>
      <c r="J157" s="850" t="str">
        <f t="shared" si="76"/>
        <v/>
      </c>
      <c r="K157" s="70"/>
      <c r="L157" s="853"/>
      <c r="M157" s="855"/>
      <c r="N157" s="855"/>
      <c r="O157" s="855"/>
      <c r="P157" s="855"/>
      <c r="Q157" s="855"/>
      <c r="R157" s="855"/>
      <c r="S157" s="855"/>
      <c r="T157" s="855"/>
      <c r="U157" s="855"/>
      <c r="V157" s="855"/>
      <c r="W157" s="855"/>
      <c r="X157" s="855"/>
      <c r="Y157" s="855"/>
      <c r="Z157" s="856"/>
      <c r="AA157" s="856"/>
      <c r="AB157" s="856"/>
      <c r="AC157" s="856"/>
      <c r="AD157" s="856"/>
      <c r="AE157" s="856"/>
      <c r="AF157" s="856"/>
      <c r="AG157" s="856"/>
      <c r="AH157" s="856"/>
      <c r="AI157" s="856"/>
      <c r="AJ157" s="856"/>
      <c r="AK157" s="856"/>
      <c r="AL157" s="856"/>
      <c r="AM157" s="856"/>
      <c r="AN157" s="856"/>
      <c r="AO157" s="856"/>
      <c r="AP157" s="856"/>
      <c r="AQ157" s="856"/>
      <c r="AR157" s="856"/>
      <c r="AS157" s="856"/>
      <c r="AT157" s="856"/>
      <c r="AU157" s="856"/>
      <c r="AV157" s="856"/>
      <c r="AW157" s="856"/>
      <c r="AX157" s="856"/>
      <c r="AY157" s="856"/>
      <c r="AZ157" s="856"/>
      <c r="BA157" s="856"/>
      <c r="BB157" s="856"/>
      <c r="BC157" s="856"/>
      <c r="BD157" s="856"/>
      <c r="BE157" s="856"/>
      <c r="BF157" s="856"/>
      <c r="BG157" s="857"/>
      <c r="BH157" s="590"/>
      <c r="BI157" s="70"/>
      <c r="BJ157" s="518">
        <f t="shared" si="77"/>
        <v>0</v>
      </c>
      <c r="BK157" s="517">
        <f t="shared" si="78"/>
        <v>0</v>
      </c>
      <c r="BL157" s="68"/>
      <c r="BM157" s="515">
        <f>SUMIFS(Imput[[Importe Neto]:[Importe Neto]],Imput[[C. Imp.]:[C. Imp.]],$D157,Imput[[PERIODO Imp.]:[PERIODO Imp.]],BM$9)</f>
        <v>0</v>
      </c>
      <c r="BN157" s="516">
        <f>SUMIFS(Imput[[Importe Neto]:[Importe Neto]],Imput[[C. Imp.]:[C. Imp.]],$D157,Imput[[PERIODO Imp.]:[PERIODO Imp.]],BN$9)</f>
        <v>0</v>
      </c>
      <c r="BO157" s="516">
        <f>SUMIFS(Imput[[Importe Neto]:[Importe Neto]],Imput[[C. Imp.]:[C. Imp.]],$D157,Imput[[PERIODO Imp.]:[PERIODO Imp.]],BO$9)</f>
        <v>0</v>
      </c>
      <c r="BP157" s="516">
        <f>SUMIFS(Imput[[Importe Neto]:[Importe Neto]],Imput[[C. Imp.]:[C. Imp.]],$D157,Imput[[PERIODO Imp.]:[PERIODO Imp.]],BP$9)</f>
        <v>0</v>
      </c>
      <c r="BQ157" s="516">
        <f>SUMIFS(Imput[[Importe Neto]:[Importe Neto]],Imput[[C. Imp.]:[C. Imp.]],$D157,Imput[[PERIODO Imp.]:[PERIODO Imp.]],BQ$9)</f>
        <v>0</v>
      </c>
      <c r="BR157" s="516">
        <f>SUMIFS(Imput[[Importe Neto]:[Importe Neto]],Imput[[C. Imp.]:[C. Imp.]],$D157,Imput[[PERIODO Imp.]:[PERIODO Imp.]],BR$9)</f>
        <v>0</v>
      </c>
      <c r="BS157" s="516">
        <f>SUMIFS(Imput[[Importe Neto]:[Importe Neto]],Imput[[C. Imp.]:[C. Imp.]],$D157,Imput[[PERIODO Imp.]:[PERIODO Imp.]],BS$9)</f>
        <v>0</v>
      </c>
      <c r="BT157" s="516">
        <f>SUMIFS(Imput[[Importe Neto]:[Importe Neto]],Imput[[C. Imp.]:[C. Imp.]],$D157,Imput[[PERIODO Imp.]:[PERIODO Imp.]],BT$9)</f>
        <v>0</v>
      </c>
      <c r="BU157" s="516">
        <f>SUMIFS(Imput[[Importe Neto]:[Importe Neto]],Imput[[C. Imp.]:[C. Imp.]],$D157,Imput[[PERIODO Imp.]:[PERIODO Imp.]],BU$9)</f>
        <v>0</v>
      </c>
      <c r="BV157" s="516">
        <f>SUMIFS(Imput[[Importe Neto]:[Importe Neto]],Imput[[C. Imp.]:[C. Imp.]],$D157,Imput[[PERIODO Imp.]:[PERIODO Imp.]],BV$9)</f>
        <v>0</v>
      </c>
      <c r="BW157" s="516">
        <f>SUMIFS(Imput[[Importe Neto]:[Importe Neto]],Imput[[C. Imp.]:[C. Imp.]],$D157,Imput[[PERIODO Imp.]:[PERIODO Imp.]],BW$9)</f>
        <v>0</v>
      </c>
      <c r="BX157" s="516">
        <f>SUMIFS(Imput[[Importe Neto]:[Importe Neto]],Imput[[C. Imp.]:[C. Imp.]],$D157,Imput[[PERIODO Imp.]:[PERIODO Imp.]],BX$9)</f>
        <v>0</v>
      </c>
      <c r="BY157" s="516">
        <f>SUMIFS(Imput[[Importe Neto]:[Importe Neto]],Imput[[C. Imp.]:[C. Imp.]],$D157,Imput[[PERIODO Imp.]:[PERIODO Imp.]],BY$9)</f>
        <v>0</v>
      </c>
      <c r="BZ157" s="516">
        <f>SUMIFS(Imput[[Importe Neto]:[Importe Neto]],Imput[[C. Imp.]:[C. Imp.]],$D157,Imput[[PERIODO Imp.]:[PERIODO Imp.]],BZ$9)</f>
        <v>0</v>
      </c>
      <c r="CA157" s="516">
        <f>SUMIFS(Imput[[Importe Neto]:[Importe Neto]],Imput[[C. Imp.]:[C. Imp.]],$D157,Imput[[PERIODO Imp.]:[PERIODO Imp.]],CA$9)</f>
        <v>0</v>
      </c>
      <c r="CB157" s="516">
        <f>SUMIFS(Imput[[Importe Neto]:[Importe Neto]],Imput[[C. Imp.]:[C. Imp.]],$D157,Imput[[PERIODO Imp.]:[PERIODO Imp.]],CB$9)</f>
        <v>0</v>
      </c>
      <c r="CC157" s="516">
        <f>SUMIFS(Imput[[Importe Neto]:[Importe Neto]],Imput[[C. Imp.]:[C. Imp.]],$D157,Imput[[PERIODO Imp.]:[PERIODO Imp.]],CC$9)</f>
        <v>0</v>
      </c>
      <c r="CD157" s="516">
        <f>SUMIFS(Imput[[Importe Neto]:[Importe Neto]],Imput[[C. Imp.]:[C. Imp.]],$D157,Imput[[PERIODO Imp.]:[PERIODO Imp.]],CD$9)</f>
        <v>0</v>
      </c>
      <c r="CE157" s="516">
        <f>SUMIFS(Imput[[Importe Neto]:[Importe Neto]],Imput[[C. Imp.]:[C. Imp.]],$D157,Imput[[PERIODO Imp.]:[PERIODO Imp.]],CE$9)</f>
        <v>0</v>
      </c>
      <c r="CF157" s="516">
        <f>SUMIFS(Imput[[Importe Neto]:[Importe Neto]],Imput[[C. Imp.]:[C. Imp.]],$D157,Imput[[PERIODO Imp.]:[PERIODO Imp.]],CF$9)</f>
        <v>0</v>
      </c>
      <c r="CG157" s="516">
        <f>SUMIFS(Imput[[Importe Neto]:[Importe Neto]],Imput[[C. Imp.]:[C. Imp.]],$D157,Imput[[PERIODO Imp.]:[PERIODO Imp.]],CG$9)</f>
        <v>0</v>
      </c>
      <c r="CH157" s="516">
        <f>SUMIFS(Imput[[Importe Neto]:[Importe Neto]],Imput[[C. Imp.]:[C. Imp.]],$D157,Imput[[PERIODO Imp.]:[PERIODO Imp.]],CH$9)</f>
        <v>0</v>
      </c>
      <c r="CI157" s="516">
        <f>SUMIFS(Imput[[Importe Neto]:[Importe Neto]],Imput[[C. Imp.]:[C. Imp.]],$D157,Imput[[PERIODO Imp.]:[PERIODO Imp.]],CI$9)</f>
        <v>0</v>
      </c>
      <c r="CJ157" s="516">
        <f>SUMIFS(Imput[[Importe Neto]:[Importe Neto]],Imput[[C. Imp.]:[C. Imp.]],$D157,Imput[[PERIODO Imp.]:[PERIODO Imp.]],CJ$9)</f>
        <v>0</v>
      </c>
      <c r="CK157" s="516">
        <f>SUMIFS(Imput[[Importe Neto]:[Importe Neto]],Imput[[C. Imp.]:[C. Imp.]],$D157,Imput[[PERIODO Imp.]:[PERIODO Imp.]],CK$9)</f>
        <v>0</v>
      </c>
      <c r="CL157" s="516">
        <f>SUMIFS(Imput[[Importe Neto]:[Importe Neto]],Imput[[C. Imp.]:[C. Imp.]],$D157,Imput[[PERIODO Imp.]:[PERIODO Imp.]],CL$9)</f>
        <v>0</v>
      </c>
      <c r="CM157" s="516">
        <f>SUMIFS(Imput[[Importe Neto]:[Importe Neto]],Imput[[C. Imp.]:[C. Imp.]],$D157,Imput[[PERIODO Imp.]:[PERIODO Imp.]],CM$9)</f>
        <v>0</v>
      </c>
      <c r="CN157" s="516">
        <f>SUMIFS(Imput[[Importe Neto]:[Importe Neto]],Imput[[C. Imp.]:[C. Imp.]],$D157,Imput[[PERIODO Imp.]:[PERIODO Imp.]],CN$9)</f>
        <v>0</v>
      </c>
      <c r="CO157" s="516">
        <f>SUMIFS(Imput[[Importe Neto]:[Importe Neto]],Imput[[C. Imp.]:[C. Imp.]],$D157,Imput[[PERIODO Imp.]:[PERIODO Imp.]],CO$9)</f>
        <v>0</v>
      </c>
      <c r="CP157" s="516">
        <f>SUMIFS(Imput[[Importe Neto]:[Importe Neto]],Imput[[C. Imp.]:[C. Imp.]],$D157,Imput[[PERIODO Imp.]:[PERIODO Imp.]],CP$9)</f>
        <v>0</v>
      </c>
      <c r="CQ157" s="516">
        <f>SUMIFS(Imput[[Importe Neto]:[Importe Neto]],Imput[[C. Imp.]:[C. Imp.]],$D157,Imput[[PERIODO Imp.]:[PERIODO Imp.]],CQ$9)</f>
        <v>0</v>
      </c>
      <c r="CR157" s="516">
        <f>SUMIFS(Imput[[Importe Neto]:[Importe Neto]],Imput[[C. Imp.]:[C. Imp.]],$D157,Imput[[PERIODO Imp.]:[PERIODO Imp.]],CR$9)</f>
        <v>0</v>
      </c>
      <c r="CS157" s="516">
        <f>SUMIFS(Imput[[Importe Neto]:[Importe Neto]],Imput[[C. Imp.]:[C. Imp.]],$D157,Imput[[PERIODO Imp.]:[PERIODO Imp.]],CS$9)</f>
        <v>0</v>
      </c>
      <c r="CT157" s="516">
        <f>SUMIFS(Imput[[Importe Neto]:[Importe Neto]],Imput[[C. Imp.]:[C. Imp.]],$D157,Imput[[PERIODO Imp.]:[PERIODO Imp.]],CT$9)</f>
        <v>0</v>
      </c>
      <c r="CU157" s="516">
        <f>SUMIFS(Imput[[Importe Neto]:[Importe Neto]],Imput[[C. Imp.]:[C. Imp.]],$D157,Imput[[PERIODO Imp.]:[PERIODO Imp.]],CU$9)</f>
        <v>0</v>
      </c>
      <c r="CV157" s="516">
        <f>SUMIFS(Imput[[Importe Neto]:[Importe Neto]],Imput[[C. Imp.]:[C. Imp.]],$D157,Imput[[PERIODO Imp.]:[PERIODO Imp.]],CV$9)</f>
        <v>0</v>
      </c>
      <c r="CW157" s="516">
        <f>SUMIFS(Imput[[Importe Neto]:[Importe Neto]],Imput[[C. Imp.]:[C. Imp.]],$D157,Imput[[PERIODO Imp.]:[PERIODO Imp.]],CW$9)</f>
        <v>0</v>
      </c>
      <c r="CX157" s="516">
        <f>SUMIFS(Imput[[Importe Neto]:[Importe Neto]],Imput[[C. Imp.]:[C. Imp.]],$D157,Imput[[PERIODO Imp.]:[PERIODO Imp.]],CX$9)</f>
        <v>0</v>
      </c>
      <c r="CY157" s="516">
        <f>SUMIFS(Imput[[Importe Neto]:[Importe Neto]],Imput[[C. Imp.]:[C. Imp.]],$D157,Imput[[PERIODO Imp.]:[PERIODO Imp.]],CY$9)</f>
        <v>0</v>
      </c>
      <c r="CZ157" s="516">
        <f>SUMIFS(Imput[[Importe Neto]:[Importe Neto]],Imput[[C. Imp.]:[C. Imp.]],$D157,Imput[[PERIODO Imp.]:[PERIODO Imp.]],CZ$9)</f>
        <v>0</v>
      </c>
      <c r="DA157" s="516">
        <f>SUMIFS(Imput[[Importe Neto]:[Importe Neto]],Imput[[C. Imp.]:[C. Imp.]],$D157,Imput[[PERIODO Imp.]:[PERIODO Imp.]],DA$9)</f>
        <v>0</v>
      </c>
      <c r="DB157" s="516">
        <f>SUMIFS(Imput[[Importe Neto]:[Importe Neto]],Imput[[C. Imp.]:[C. Imp.]],$D157,Imput[[PERIODO Imp.]:[PERIODO Imp.]],DB$9)</f>
        <v>0</v>
      </c>
      <c r="DC157" s="516">
        <f>SUMIFS(Imput[[Importe Neto]:[Importe Neto]],Imput[[C. Imp.]:[C. Imp.]],$D157,Imput[[PERIODO Imp.]:[PERIODO Imp.]],DC$9)</f>
        <v>0</v>
      </c>
      <c r="DD157" s="516">
        <f>SUMIFS(Imput[[Importe Neto]:[Importe Neto]],Imput[[C. Imp.]:[C. Imp.]],$D157,Imput[[PERIODO Imp.]:[PERIODO Imp.]],DD$9)</f>
        <v>0</v>
      </c>
      <c r="DE157" s="516">
        <f>SUMIFS(Imput[[Importe Neto]:[Importe Neto]],Imput[[C. Imp.]:[C. Imp.]],$D157,Imput[[PERIODO Imp.]:[PERIODO Imp.]],DE$9)</f>
        <v>0</v>
      </c>
      <c r="DF157" s="516">
        <f>SUMIFS(Imput[[Importe Neto]:[Importe Neto]],Imput[[C. Imp.]:[C. Imp.]],$D157,Imput[[PERIODO Imp.]:[PERIODO Imp.]],DF$9)</f>
        <v>0</v>
      </c>
      <c r="DG157" s="516">
        <f>SUMIFS(Imput[[Importe Neto]:[Importe Neto]],Imput[[C. Imp.]:[C. Imp.]],$D157,Imput[[PERIODO Imp.]:[PERIODO Imp.]],DG$9)</f>
        <v>0</v>
      </c>
      <c r="DH157" s="616">
        <f>SUMIFS(Imput[[Importe Neto]:[Importe Neto]],Imput[[C. Imp.]:[C. Imp.]],$D157,Imput[[PERIODO Imp.]:[PERIODO Imp.]],DH$9)</f>
        <v>0</v>
      </c>
    </row>
    <row r="158" spans="1:112" hidden="1" outlineLevel="1" x14ac:dyDescent="0.3">
      <c r="A158" s="66" t="str">
        <f t="shared" si="74"/>
        <v/>
      </c>
      <c r="C158" s="527"/>
      <c r="D158" s="528" t="s">
        <v>2266</v>
      </c>
      <c r="E158" s="528"/>
      <c r="F158" s="534"/>
      <c r="G158" s="529"/>
      <c r="H158" s="531"/>
      <c r="I158" s="849" t="str">
        <f t="shared" si="75"/>
        <v/>
      </c>
      <c r="J158" s="850" t="str">
        <f t="shared" si="76"/>
        <v/>
      </c>
      <c r="K158" s="70"/>
      <c r="L158" s="853"/>
      <c r="M158" s="855"/>
      <c r="N158" s="855"/>
      <c r="O158" s="855"/>
      <c r="P158" s="855"/>
      <c r="Q158" s="855"/>
      <c r="R158" s="855"/>
      <c r="S158" s="855"/>
      <c r="T158" s="855"/>
      <c r="U158" s="855"/>
      <c r="V158" s="855"/>
      <c r="W158" s="855"/>
      <c r="X158" s="855"/>
      <c r="Y158" s="855"/>
      <c r="Z158" s="856"/>
      <c r="AA158" s="856"/>
      <c r="AB158" s="856"/>
      <c r="AC158" s="856"/>
      <c r="AD158" s="856"/>
      <c r="AE158" s="856"/>
      <c r="AF158" s="856"/>
      <c r="AG158" s="856"/>
      <c r="AH158" s="856"/>
      <c r="AI158" s="856"/>
      <c r="AJ158" s="856"/>
      <c r="AK158" s="856"/>
      <c r="AL158" s="856"/>
      <c r="AM158" s="856"/>
      <c r="AN158" s="856"/>
      <c r="AO158" s="856"/>
      <c r="AP158" s="856"/>
      <c r="AQ158" s="856"/>
      <c r="AR158" s="856"/>
      <c r="AS158" s="856"/>
      <c r="AT158" s="856"/>
      <c r="AU158" s="856"/>
      <c r="AV158" s="856"/>
      <c r="AW158" s="856"/>
      <c r="AX158" s="856"/>
      <c r="AY158" s="856"/>
      <c r="AZ158" s="856"/>
      <c r="BA158" s="856"/>
      <c r="BB158" s="856"/>
      <c r="BC158" s="856"/>
      <c r="BD158" s="856"/>
      <c r="BE158" s="856"/>
      <c r="BF158" s="856"/>
      <c r="BG158" s="857"/>
      <c r="BH158" s="590"/>
      <c r="BI158" s="68"/>
      <c r="BJ158" s="518">
        <f t="shared" si="77"/>
        <v>0</v>
      </c>
      <c r="BK158" s="517">
        <f t="shared" si="78"/>
        <v>0</v>
      </c>
      <c r="BL158" s="68"/>
      <c r="BM158" s="515">
        <f>SUMIFS(Imput[[Importe Neto]:[Importe Neto]],Imput[[C. Imp.]:[C. Imp.]],$D158,Imput[[PERIODO Imp.]:[PERIODO Imp.]],BM$9)</f>
        <v>0</v>
      </c>
      <c r="BN158" s="516">
        <f>SUMIFS(Imput[[Importe Neto]:[Importe Neto]],Imput[[C. Imp.]:[C. Imp.]],$D158,Imput[[PERIODO Imp.]:[PERIODO Imp.]],BN$9)</f>
        <v>0</v>
      </c>
      <c r="BO158" s="516">
        <f>SUMIFS(Imput[[Importe Neto]:[Importe Neto]],Imput[[C. Imp.]:[C. Imp.]],$D158,Imput[[PERIODO Imp.]:[PERIODO Imp.]],BO$9)</f>
        <v>0</v>
      </c>
      <c r="BP158" s="516">
        <f>SUMIFS(Imput[[Importe Neto]:[Importe Neto]],Imput[[C. Imp.]:[C. Imp.]],$D158,Imput[[PERIODO Imp.]:[PERIODO Imp.]],BP$9)</f>
        <v>0</v>
      </c>
      <c r="BQ158" s="516">
        <f>SUMIFS(Imput[[Importe Neto]:[Importe Neto]],Imput[[C. Imp.]:[C. Imp.]],$D158,Imput[[PERIODO Imp.]:[PERIODO Imp.]],BQ$9)</f>
        <v>0</v>
      </c>
      <c r="BR158" s="516">
        <f>SUMIFS(Imput[[Importe Neto]:[Importe Neto]],Imput[[C. Imp.]:[C. Imp.]],$D158,Imput[[PERIODO Imp.]:[PERIODO Imp.]],BR$9)</f>
        <v>0</v>
      </c>
      <c r="BS158" s="516">
        <f>SUMIFS(Imput[[Importe Neto]:[Importe Neto]],Imput[[C. Imp.]:[C. Imp.]],$D158,Imput[[PERIODO Imp.]:[PERIODO Imp.]],BS$9)</f>
        <v>0</v>
      </c>
      <c r="BT158" s="516">
        <f>SUMIFS(Imput[[Importe Neto]:[Importe Neto]],Imput[[C. Imp.]:[C. Imp.]],$D158,Imput[[PERIODO Imp.]:[PERIODO Imp.]],BT$9)</f>
        <v>0</v>
      </c>
      <c r="BU158" s="516">
        <f>SUMIFS(Imput[[Importe Neto]:[Importe Neto]],Imput[[C. Imp.]:[C. Imp.]],$D158,Imput[[PERIODO Imp.]:[PERIODO Imp.]],BU$9)</f>
        <v>0</v>
      </c>
      <c r="BV158" s="516">
        <f>SUMIFS(Imput[[Importe Neto]:[Importe Neto]],Imput[[C. Imp.]:[C. Imp.]],$D158,Imput[[PERIODO Imp.]:[PERIODO Imp.]],BV$9)</f>
        <v>0</v>
      </c>
      <c r="BW158" s="516">
        <f>SUMIFS(Imput[[Importe Neto]:[Importe Neto]],Imput[[C. Imp.]:[C. Imp.]],$D158,Imput[[PERIODO Imp.]:[PERIODO Imp.]],BW$9)</f>
        <v>0</v>
      </c>
      <c r="BX158" s="516">
        <f>SUMIFS(Imput[[Importe Neto]:[Importe Neto]],Imput[[C. Imp.]:[C. Imp.]],$D158,Imput[[PERIODO Imp.]:[PERIODO Imp.]],BX$9)</f>
        <v>0</v>
      </c>
      <c r="BY158" s="516">
        <f>SUMIFS(Imput[[Importe Neto]:[Importe Neto]],Imput[[C. Imp.]:[C. Imp.]],$D158,Imput[[PERIODO Imp.]:[PERIODO Imp.]],BY$9)</f>
        <v>0</v>
      </c>
      <c r="BZ158" s="516">
        <f>SUMIFS(Imput[[Importe Neto]:[Importe Neto]],Imput[[C. Imp.]:[C. Imp.]],$D158,Imput[[PERIODO Imp.]:[PERIODO Imp.]],BZ$9)</f>
        <v>0</v>
      </c>
      <c r="CA158" s="516">
        <f>SUMIFS(Imput[[Importe Neto]:[Importe Neto]],Imput[[C. Imp.]:[C. Imp.]],$D158,Imput[[PERIODO Imp.]:[PERIODO Imp.]],CA$9)</f>
        <v>0</v>
      </c>
      <c r="CB158" s="516">
        <f>SUMIFS(Imput[[Importe Neto]:[Importe Neto]],Imput[[C. Imp.]:[C. Imp.]],$D158,Imput[[PERIODO Imp.]:[PERIODO Imp.]],CB$9)</f>
        <v>0</v>
      </c>
      <c r="CC158" s="516">
        <f>SUMIFS(Imput[[Importe Neto]:[Importe Neto]],Imput[[C. Imp.]:[C. Imp.]],$D158,Imput[[PERIODO Imp.]:[PERIODO Imp.]],CC$9)</f>
        <v>0</v>
      </c>
      <c r="CD158" s="516">
        <f>SUMIFS(Imput[[Importe Neto]:[Importe Neto]],Imput[[C. Imp.]:[C. Imp.]],$D158,Imput[[PERIODO Imp.]:[PERIODO Imp.]],CD$9)</f>
        <v>0</v>
      </c>
      <c r="CE158" s="516">
        <f>SUMIFS(Imput[[Importe Neto]:[Importe Neto]],Imput[[C. Imp.]:[C. Imp.]],$D158,Imput[[PERIODO Imp.]:[PERIODO Imp.]],CE$9)</f>
        <v>0</v>
      </c>
      <c r="CF158" s="516">
        <f>SUMIFS(Imput[[Importe Neto]:[Importe Neto]],Imput[[C. Imp.]:[C. Imp.]],$D158,Imput[[PERIODO Imp.]:[PERIODO Imp.]],CF$9)</f>
        <v>0</v>
      </c>
      <c r="CG158" s="516">
        <f>SUMIFS(Imput[[Importe Neto]:[Importe Neto]],Imput[[C. Imp.]:[C. Imp.]],$D158,Imput[[PERIODO Imp.]:[PERIODO Imp.]],CG$9)</f>
        <v>0</v>
      </c>
      <c r="CH158" s="516">
        <f>SUMIFS(Imput[[Importe Neto]:[Importe Neto]],Imput[[C. Imp.]:[C. Imp.]],$D158,Imput[[PERIODO Imp.]:[PERIODO Imp.]],CH$9)</f>
        <v>0</v>
      </c>
      <c r="CI158" s="516">
        <f>SUMIFS(Imput[[Importe Neto]:[Importe Neto]],Imput[[C. Imp.]:[C. Imp.]],$D158,Imput[[PERIODO Imp.]:[PERIODO Imp.]],CI$9)</f>
        <v>0</v>
      </c>
      <c r="CJ158" s="516">
        <f>SUMIFS(Imput[[Importe Neto]:[Importe Neto]],Imput[[C. Imp.]:[C. Imp.]],$D158,Imput[[PERIODO Imp.]:[PERIODO Imp.]],CJ$9)</f>
        <v>0</v>
      </c>
      <c r="CK158" s="516">
        <f>SUMIFS(Imput[[Importe Neto]:[Importe Neto]],Imput[[C. Imp.]:[C. Imp.]],$D158,Imput[[PERIODO Imp.]:[PERIODO Imp.]],CK$9)</f>
        <v>0</v>
      </c>
      <c r="CL158" s="516">
        <f>SUMIFS(Imput[[Importe Neto]:[Importe Neto]],Imput[[C. Imp.]:[C. Imp.]],$D158,Imput[[PERIODO Imp.]:[PERIODO Imp.]],CL$9)</f>
        <v>0</v>
      </c>
      <c r="CM158" s="516">
        <f>SUMIFS(Imput[[Importe Neto]:[Importe Neto]],Imput[[C. Imp.]:[C. Imp.]],$D158,Imput[[PERIODO Imp.]:[PERIODO Imp.]],CM$9)</f>
        <v>0</v>
      </c>
      <c r="CN158" s="516">
        <f>SUMIFS(Imput[[Importe Neto]:[Importe Neto]],Imput[[C. Imp.]:[C. Imp.]],$D158,Imput[[PERIODO Imp.]:[PERIODO Imp.]],CN$9)</f>
        <v>0</v>
      </c>
      <c r="CO158" s="516">
        <f>SUMIFS(Imput[[Importe Neto]:[Importe Neto]],Imput[[C. Imp.]:[C. Imp.]],$D158,Imput[[PERIODO Imp.]:[PERIODO Imp.]],CO$9)</f>
        <v>0</v>
      </c>
      <c r="CP158" s="516">
        <f>SUMIFS(Imput[[Importe Neto]:[Importe Neto]],Imput[[C. Imp.]:[C. Imp.]],$D158,Imput[[PERIODO Imp.]:[PERIODO Imp.]],CP$9)</f>
        <v>0</v>
      </c>
      <c r="CQ158" s="516">
        <f>SUMIFS(Imput[[Importe Neto]:[Importe Neto]],Imput[[C. Imp.]:[C. Imp.]],$D158,Imput[[PERIODO Imp.]:[PERIODO Imp.]],CQ$9)</f>
        <v>0</v>
      </c>
      <c r="CR158" s="516">
        <f>SUMIFS(Imput[[Importe Neto]:[Importe Neto]],Imput[[C. Imp.]:[C. Imp.]],$D158,Imput[[PERIODO Imp.]:[PERIODO Imp.]],CR$9)</f>
        <v>0</v>
      </c>
      <c r="CS158" s="516">
        <f>SUMIFS(Imput[[Importe Neto]:[Importe Neto]],Imput[[C. Imp.]:[C. Imp.]],$D158,Imput[[PERIODO Imp.]:[PERIODO Imp.]],CS$9)</f>
        <v>0</v>
      </c>
      <c r="CT158" s="516">
        <f>SUMIFS(Imput[[Importe Neto]:[Importe Neto]],Imput[[C. Imp.]:[C. Imp.]],$D158,Imput[[PERIODO Imp.]:[PERIODO Imp.]],CT$9)</f>
        <v>0</v>
      </c>
      <c r="CU158" s="516">
        <f>SUMIFS(Imput[[Importe Neto]:[Importe Neto]],Imput[[C. Imp.]:[C. Imp.]],$D158,Imput[[PERIODO Imp.]:[PERIODO Imp.]],CU$9)</f>
        <v>0</v>
      </c>
      <c r="CV158" s="516">
        <f>SUMIFS(Imput[[Importe Neto]:[Importe Neto]],Imput[[C. Imp.]:[C. Imp.]],$D158,Imput[[PERIODO Imp.]:[PERIODO Imp.]],CV$9)</f>
        <v>0</v>
      </c>
      <c r="CW158" s="516">
        <f>SUMIFS(Imput[[Importe Neto]:[Importe Neto]],Imput[[C. Imp.]:[C. Imp.]],$D158,Imput[[PERIODO Imp.]:[PERIODO Imp.]],CW$9)</f>
        <v>0</v>
      </c>
      <c r="CX158" s="516">
        <f>SUMIFS(Imput[[Importe Neto]:[Importe Neto]],Imput[[C. Imp.]:[C. Imp.]],$D158,Imput[[PERIODO Imp.]:[PERIODO Imp.]],CX$9)</f>
        <v>0</v>
      </c>
      <c r="CY158" s="516">
        <f>SUMIFS(Imput[[Importe Neto]:[Importe Neto]],Imput[[C. Imp.]:[C. Imp.]],$D158,Imput[[PERIODO Imp.]:[PERIODO Imp.]],CY$9)</f>
        <v>0</v>
      </c>
      <c r="CZ158" s="516">
        <f>SUMIFS(Imput[[Importe Neto]:[Importe Neto]],Imput[[C. Imp.]:[C. Imp.]],$D158,Imput[[PERIODO Imp.]:[PERIODO Imp.]],CZ$9)</f>
        <v>0</v>
      </c>
      <c r="DA158" s="516">
        <f>SUMIFS(Imput[[Importe Neto]:[Importe Neto]],Imput[[C. Imp.]:[C. Imp.]],$D158,Imput[[PERIODO Imp.]:[PERIODO Imp.]],DA$9)</f>
        <v>0</v>
      </c>
      <c r="DB158" s="516">
        <f>SUMIFS(Imput[[Importe Neto]:[Importe Neto]],Imput[[C. Imp.]:[C. Imp.]],$D158,Imput[[PERIODO Imp.]:[PERIODO Imp.]],DB$9)</f>
        <v>0</v>
      </c>
      <c r="DC158" s="516">
        <f>SUMIFS(Imput[[Importe Neto]:[Importe Neto]],Imput[[C. Imp.]:[C. Imp.]],$D158,Imput[[PERIODO Imp.]:[PERIODO Imp.]],DC$9)</f>
        <v>0</v>
      </c>
      <c r="DD158" s="516">
        <f>SUMIFS(Imput[[Importe Neto]:[Importe Neto]],Imput[[C. Imp.]:[C. Imp.]],$D158,Imput[[PERIODO Imp.]:[PERIODO Imp.]],DD$9)</f>
        <v>0</v>
      </c>
      <c r="DE158" s="516">
        <f>SUMIFS(Imput[[Importe Neto]:[Importe Neto]],Imput[[C. Imp.]:[C. Imp.]],$D158,Imput[[PERIODO Imp.]:[PERIODO Imp.]],DE$9)</f>
        <v>0</v>
      </c>
      <c r="DF158" s="516">
        <f>SUMIFS(Imput[[Importe Neto]:[Importe Neto]],Imput[[C. Imp.]:[C. Imp.]],$D158,Imput[[PERIODO Imp.]:[PERIODO Imp.]],DF$9)</f>
        <v>0</v>
      </c>
      <c r="DG158" s="516">
        <f>SUMIFS(Imput[[Importe Neto]:[Importe Neto]],Imput[[C. Imp.]:[C. Imp.]],$D158,Imput[[PERIODO Imp.]:[PERIODO Imp.]],DG$9)</f>
        <v>0</v>
      </c>
      <c r="DH158" s="616">
        <f>SUMIFS(Imput[[Importe Neto]:[Importe Neto]],Imput[[C. Imp.]:[C. Imp.]],$D158,Imput[[PERIODO Imp.]:[PERIODO Imp.]],DH$9)</f>
        <v>0</v>
      </c>
    </row>
    <row r="159" spans="1:112" hidden="1" outlineLevel="1" x14ac:dyDescent="0.3">
      <c r="A159" s="66" t="str">
        <f t="shared" si="74"/>
        <v/>
      </c>
      <c r="C159" s="527"/>
      <c r="D159" s="528" t="s">
        <v>2267</v>
      </c>
      <c r="E159" s="528"/>
      <c r="F159" s="534"/>
      <c r="G159" s="529"/>
      <c r="H159" s="531"/>
      <c r="I159" s="849" t="str">
        <f t="shared" si="75"/>
        <v/>
      </c>
      <c r="J159" s="850" t="str">
        <f t="shared" si="76"/>
        <v/>
      </c>
      <c r="K159" s="70"/>
      <c r="L159" s="853"/>
      <c r="M159" s="855"/>
      <c r="N159" s="855"/>
      <c r="O159" s="855"/>
      <c r="P159" s="855"/>
      <c r="Q159" s="855"/>
      <c r="R159" s="855"/>
      <c r="S159" s="855"/>
      <c r="T159" s="855"/>
      <c r="U159" s="855"/>
      <c r="V159" s="855"/>
      <c r="W159" s="855"/>
      <c r="X159" s="855"/>
      <c r="Y159" s="855"/>
      <c r="Z159" s="856"/>
      <c r="AA159" s="856"/>
      <c r="AB159" s="856"/>
      <c r="AC159" s="856"/>
      <c r="AD159" s="856"/>
      <c r="AE159" s="856"/>
      <c r="AF159" s="856"/>
      <c r="AG159" s="856"/>
      <c r="AH159" s="856"/>
      <c r="AI159" s="856"/>
      <c r="AJ159" s="856"/>
      <c r="AK159" s="856"/>
      <c r="AL159" s="856"/>
      <c r="AM159" s="856"/>
      <c r="AN159" s="856"/>
      <c r="AO159" s="856"/>
      <c r="AP159" s="856"/>
      <c r="AQ159" s="856"/>
      <c r="AR159" s="856"/>
      <c r="AS159" s="856"/>
      <c r="AT159" s="856"/>
      <c r="AU159" s="856"/>
      <c r="AV159" s="856"/>
      <c r="AW159" s="856"/>
      <c r="AX159" s="856"/>
      <c r="AY159" s="856"/>
      <c r="AZ159" s="856"/>
      <c r="BA159" s="856"/>
      <c r="BB159" s="856"/>
      <c r="BC159" s="856"/>
      <c r="BD159" s="856"/>
      <c r="BE159" s="856"/>
      <c r="BF159" s="856"/>
      <c r="BG159" s="857"/>
      <c r="BH159" s="590"/>
      <c r="BI159" s="68"/>
      <c r="BJ159" s="518">
        <f t="shared" si="77"/>
        <v>0</v>
      </c>
      <c r="BK159" s="517">
        <f t="shared" si="78"/>
        <v>0</v>
      </c>
      <c r="BL159" s="68"/>
      <c r="BM159" s="515">
        <f>SUMIFS(Imput[[Importe Neto]:[Importe Neto]],Imput[[C. Imp.]:[C. Imp.]],$D159,Imput[[PERIODO Imp.]:[PERIODO Imp.]],BM$9)</f>
        <v>0</v>
      </c>
      <c r="BN159" s="516">
        <f>SUMIFS(Imput[[Importe Neto]:[Importe Neto]],Imput[[C. Imp.]:[C. Imp.]],$D159,Imput[[PERIODO Imp.]:[PERIODO Imp.]],BN$9)</f>
        <v>0</v>
      </c>
      <c r="BO159" s="516">
        <f>SUMIFS(Imput[[Importe Neto]:[Importe Neto]],Imput[[C. Imp.]:[C. Imp.]],$D159,Imput[[PERIODO Imp.]:[PERIODO Imp.]],BO$9)</f>
        <v>0</v>
      </c>
      <c r="BP159" s="516">
        <f>SUMIFS(Imput[[Importe Neto]:[Importe Neto]],Imput[[C. Imp.]:[C. Imp.]],$D159,Imput[[PERIODO Imp.]:[PERIODO Imp.]],BP$9)</f>
        <v>0</v>
      </c>
      <c r="BQ159" s="516">
        <f>SUMIFS(Imput[[Importe Neto]:[Importe Neto]],Imput[[C. Imp.]:[C. Imp.]],$D159,Imput[[PERIODO Imp.]:[PERIODO Imp.]],BQ$9)</f>
        <v>0</v>
      </c>
      <c r="BR159" s="516">
        <f>SUMIFS(Imput[[Importe Neto]:[Importe Neto]],Imput[[C. Imp.]:[C. Imp.]],$D159,Imput[[PERIODO Imp.]:[PERIODO Imp.]],BR$9)</f>
        <v>0</v>
      </c>
      <c r="BS159" s="516">
        <f>SUMIFS(Imput[[Importe Neto]:[Importe Neto]],Imput[[C. Imp.]:[C. Imp.]],$D159,Imput[[PERIODO Imp.]:[PERIODO Imp.]],BS$9)</f>
        <v>0</v>
      </c>
      <c r="BT159" s="516">
        <f>SUMIFS(Imput[[Importe Neto]:[Importe Neto]],Imput[[C. Imp.]:[C. Imp.]],$D159,Imput[[PERIODO Imp.]:[PERIODO Imp.]],BT$9)</f>
        <v>0</v>
      </c>
      <c r="BU159" s="516">
        <f>SUMIFS(Imput[[Importe Neto]:[Importe Neto]],Imput[[C. Imp.]:[C. Imp.]],$D159,Imput[[PERIODO Imp.]:[PERIODO Imp.]],BU$9)</f>
        <v>0</v>
      </c>
      <c r="BV159" s="516">
        <f>SUMIFS(Imput[[Importe Neto]:[Importe Neto]],Imput[[C. Imp.]:[C. Imp.]],$D159,Imput[[PERIODO Imp.]:[PERIODO Imp.]],BV$9)</f>
        <v>0</v>
      </c>
      <c r="BW159" s="516">
        <f>SUMIFS(Imput[[Importe Neto]:[Importe Neto]],Imput[[C. Imp.]:[C. Imp.]],$D159,Imput[[PERIODO Imp.]:[PERIODO Imp.]],BW$9)</f>
        <v>0</v>
      </c>
      <c r="BX159" s="516">
        <f>SUMIFS(Imput[[Importe Neto]:[Importe Neto]],Imput[[C. Imp.]:[C. Imp.]],$D159,Imput[[PERIODO Imp.]:[PERIODO Imp.]],BX$9)</f>
        <v>0</v>
      </c>
      <c r="BY159" s="516">
        <f>SUMIFS(Imput[[Importe Neto]:[Importe Neto]],Imput[[C. Imp.]:[C. Imp.]],$D159,Imput[[PERIODO Imp.]:[PERIODO Imp.]],BY$9)</f>
        <v>0</v>
      </c>
      <c r="BZ159" s="516">
        <f>SUMIFS(Imput[[Importe Neto]:[Importe Neto]],Imput[[C. Imp.]:[C. Imp.]],$D159,Imput[[PERIODO Imp.]:[PERIODO Imp.]],BZ$9)</f>
        <v>0</v>
      </c>
      <c r="CA159" s="516">
        <f>SUMIFS(Imput[[Importe Neto]:[Importe Neto]],Imput[[C. Imp.]:[C. Imp.]],$D159,Imput[[PERIODO Imp.]:[PERIODO Imp.]],CA$9)</f>
        <v>0</v>
      </c>
      <c r="CB159" s="516">
        <f>SUMIFS(Imput[[Importe Neto]:[Importe Neto]],Imput[[C. Imp.]:[C. Imp.]],$D159,Imput[[PERIODO Imp.]:[PERIODO Imp.]],CB$9)</f>
        <v>0</v>
      </c>
      <c r="CC159" s="516">
        <f>SUMIFS(Imput[[Importe Neto]:[Importe Neto]],Imput[[C. Imp.]:[C. Imp.]],$D159,Imput[[PERIODO Imp.]:[PERIODO Imp.]],CC$9)</f>
        <v>0</v>
      </c>
      <c r="CD159" s="516">
        <f>SUMIFS(Imput[[Importe Neto]:[Importe Neto]],Imput[[C. Imp.]:[C. Imp.]],$D159,Imput[[PERIODO Imp.]:[PERIODO Imp.]],CD$9)</f>
        <v>0</v>
      </c>
      <c r="CE159" s="516">
        <f>SUMIFS(Imput[[Importe Neto]:[Importe Neto]],Imput[[C. Imp.]:[C. Imp.]],$D159,Imput[[PERIODO Imp.]:[PERIODO Imp.]],CE$9)</f>
        <v>0</v>
      </c>
      <c r="CF159" s="516">
        <f>SUMIFS(Imput[[Importe Neto]:[Importe Neto]],Imput[[C. Imp.]:[C. Imp.]],$D159,Imput[[PERIODO Imp.]:[PERIODO Imp.]],CF$9)</f>
        <v>0</v>
      </c>
      <c r="CG159" s="516">
        <f>SUMIFS(Imput[[Importe Neto]:[Importe Neto]],Imput[[C. Imp.]:[C. Imp.]],$D159,Imput[[PERIODO Imp.]:[PERIODO Imp.]],CG$9)</f>
        <v>0</v>
      </c>
      <c r="CH159" s="516">
        <f>SUMIFS(Imput[[Importe Neto]:[Importe Neto]],Imput[[C. Imp.]:[C. Imp.]],$D159,Imput[[PERIODO Imp.]:[PERIODO Imp.]],CH$9)</f>
        <v>0</v>
      </c>
      <c r="CI159" s="516">
        <f>SUMIFS(Imput[[Importe Neto]:[Importe Neto]],Imput[[C. Imp.]:[C. Imp.]],$D159,Imput[[PERIODO Imp.]:[PERIODO Imp.]],CI$9)</f>
        <v>0</v>
      </c>
      <c r="CJ159" s="516">
        <f>SUMIFS(Imput[[Importe Neto]:[Importe Neto]],Imput[[C. Imp.]:[C. Imp.]],$D159,Imput[[PERIODO Imp.]:[PERIODO Imp.]],CJ$9)</f>
        <v>0</v>
      </c>
      <c r="CK159" s="516">
        <f>SUMIFS(Imput[[Importe Neto]:[Importe Neto]],Imput[[C. Imp.]:[C. Imp.]],$D159,Imput[[PERIODO Imp.]:[PERIODO Imp.]],CK$9)</f>
        <v>0</v>
      </c>
      <c r="CL159" s="516">
        <f>SUMIFS(Imput[[Importe Neto]:[Importe Neto]],Imput[[C. Imp.]:[C. Imp.]],$D159,Imput[[PERIODO Imp.]:[PERIODO Imp.]],CL$9)</f>
        <v>0</v>
      </c>
      <c r="CM159" s="516">
        <f>SUMIFS(Imput[[Importe Neto]:[Importe Neto]],Imput[[C. Imp.]:[C. Imp.]],$D159,Imput[[PERIODO Imp.]:[PERIODO Imp.]],CM$9)</f>
        <v>0</v>
      </c>
      <c r="CN159" s="516">
        <f>SUMIFS(Imput[[Importe Neto]:[Importe Neto]],Imput[[C. Imp.]:[C. Imp.]],$D159,Imput[[PERIODO Imp.]:[PERIODO Imp.]],CN$9)</f>
        <v>0</v>
      </c>
      <c r="CO159" s="516">
        <f>SUMIFS(Imput[[Importe Neto]:[Importe Neto]],Imput[[C. Imp.]:[C. Imp.]],$D159,Imput[[PERIODO Imp.]:[PERIODO Imp.]],CO$9)</f>
        <v>0</v>
      </c>
      <c r="CP159" s="516">
        <f>SUMIFS(Imput[[Importe Neto]:[Importe Neto]],Imput[[C. Imp.]:[C. Imp.]],$D159,Imput[[PERIODO Imp.]:[PERIODO Imp.]],CP$9)</f>
        <v>0</v>
      </c>
      <c r="CQ159" s="516">
        <f>SUMIFS(Imput[[Importe Neto]:[Importe Neto]],Imput[[C. Imp.]:[C. Imp.]],$D159,Imput[[PERIODO Imp.]:[PERIODO Imp.]],CQ$9)</f>
        <v>0</v>
      </c>
      <c r="CR159" s="516">
        <f>SUMIFS(Imput[[Importe Neto]:[Importe Neto]],Imput[[C. Imp.]:[C. Imp.]],$D159,Imput[[PERIODO Imp.]:[PERIODO Imp.]],CR$9)</f>
        <v>0</v>
      </c>
      <c r="CS159" s="516">
        <f>SUMIFS(Imput[[Importe Neto]:[Importe Neto]],Imput[[C. Imp.]:[C. Imp.]],$D159,Imput[[PERIODO Imp.]:[PERIODO Imp.]],CS$9)</f>
        <v>0</v>
      </c>
      <c r="CT159" s="516">
        <f>SUMIFS(Imput[[Importe Neto]:[Importe Neto]],Imput[[C. Imp.]:[C. Imp.]],$D159,Imput[[PERIODO Imp.]:[PERIODO Imp.]],CT$9)</f>
        <v>0</v>
      </c>
      <c r="CU159" s="516">
        <f>SUMIFS(Imput[[Importe Neto]:[Importe Neto]],Imput[[C. Imp.]:[C. Imp.]],$D159,Imput[[PERIODO Imp.]:[PERIODO Imp.]],CU$9)</f>
        <v>0</v>
      </c>
      <c r="CV159" s="516">
        <f>SUMIFS(Imput[[Importe Neto]:[Importe Neto]],Imput[[C. Imp.]:[C. Imp.]],$D159,Imput[[PERIODO Imp.]:[PERIODO Imp.]],CV$9)</f>
        <v>0</v>
      </c>
      <c r="CW159" s="516">
        <f>SUMIFS(Imput[[Importe Neto]:[Importe Neto]],Imput[[C. Imp.]:[C. Imp.]],$D159,Imput[[PERIODO Imp.]:[PERIODO Imp.]],CW$9)</f>
        <v>0</v>
      </c>
      <c r="CX159" s="516">
        <f>SUMIFS(Imput[[Importe Neto]:[Importe Neto]],Imput[[C. Imp.]:[C. Imp.]],$D159,Imput[[PERIODO Imp.]:[PERIODO Imp.]],CX$9)</f>
        <v>0</v>
      </c>
      <c r="CY159" s="516">
        <f>SUMIFS(Imput[[Importe Neto]:[Importe Neto]],Imput[[C. Imp.]:[C. Imp.]],$D159,Imput[[PERIODO Imp.]:[PERIODO Imp.]],CY$9)</f>
        <v>0</v>
      </c>
      <c r="CZ159" s="516">
        <f>SUMIFS(Imput[[Importe Neto]:[Importe Neto]],Imput[[C. Imp.]:[C. Imp.]],$D159,Imput[[PERIODO Imp.]:[PERIODO Imp.]],CZ$9)</f>
        <v>0</v>
      </c>
      <c r="DA159" s="516">
        <f>SUMIFS(Imput[[Importe Neto]:[Importe Neto]],Imput[[C. Imp.]:[C. Imp.]],$D159,Imput[[PERIODO Imp.]:[PERIODO Imp.]],DA$9)</f>
        <v>0</v>
      </c>
      <c r="DB159" s="516">
        <f>SUMIFS(Imput[[Importe Neto]:[Importe Neto]],Imput[[C. Imp.]:[C. Imp.]],$D159,Imput[[PERIODO Imp.]:[PERIODO Imp.]],DB$9)</f>
        <v>0</v>
      </c>
      <c r="DC159" s="516">
        <f>SUMIFS(Imput[[Importe Neto]:[Importe Neto]],Imput[[C. Imp.]:[C. Imp.]],$D159,Imput[[PERIODO Imp.]:[PERIODO Imp.]],DC$9)</f>
        <v>0</v>
      </c>
      <c r="DD159" s="516">
        <f>SUMIFS(Imput[[Importe Neto]:[Importe Neto]],Imput[[C. Imp.]:[C. Imp.]],$D159,Imput[[PERIODO Imp.]:[PERIODO Imp.]],DD$9)</f>
        <v>0</v>
      </c>
      <c r="DE159" s="516">
        <f>SUMIFS(Imput[[Importe Neto]:[Importe Neto]],Imput[[C. Imp.]:[C. Imp.]],$D159,Imput[[PERIODO Imp.]:[PERIODO Imp.]],DE$9)</f>
        <v>0</v>
      </c>
      <c r="DF159" s="516">
        <f>SUMIFS(Imput[[Importe Neto]:[Importe Neto]],Imput[[C. Imp.]:[C. Imp.]],$D159,Imput[[PERIODO Imp.]:[PERIODO Imp.]],DF$9)</f>
        <v>0</v>
      </c>
      <c r="DG159" s="516">
        <f>SUMIFS(Imput[[Importe Neto]:[Importe Neto]],Imput[[C. Imp.]:[C. Imp.]],$D159,Imput[[PERIODO Imp.]:[PERIODO Imp.]],DG$9)</f>
        <v>0</v>
      </c>
      <c r="DH159" s="616">
        <f>SUMIFS(Imput[[Importe Neto]:[Importe Neto]],Imput[[C. Imp.]:[C. Imp.]],$D159,Imput[[PERIODO Imp.]:[PERIODO Imp.]],DH$9)</f>
        <v>0</v>
      </c>
    </row>
    <row r="160" spans="1:112" hidden="1" outlineLevel="1" x14ac:dyDescent="0.3">
      <c r="A160" s="66" t="str">
        <f t="shared" si="74"/>
        <v/>
      </c>
      <c r="C160" s="527"/>
      <c r="D160" s="528" t="s">
        <v>2268</v>
      </c>
      <c r="E160" s="528"/>
      <c r="F160" s="534"/>
      <c r="G160" s="529"/>
      <c r="H160" s="531"/>
      <c r="I160" s="849" t="str">
        <f t="shared" si="75"/>
        <v/>
      </c>
      <c r="J160" s="850" t="str">
        <f t="shared" si="76"/>
        <v/>
      </c>
      <c r="K160" s="70"/>
      <c r="L160" s="853"/>
      <c r="M160" s="855"/>
      <c r="N160" s="855"/>
      <c r="O160" s="855"/>
      <c r="P160" s="855"/>
      <c r="Q160" s="855"/>
      <c r="R160" s="855"/>
      <c r="S160" s="855"/>
      <c r="T160" s="855"/>
      <c r="U160" s="855"/>
      <c r="V160" s="855"/>
      <c r="W160" s="855"/>
      <c r="X160" s="855"/>
      <c r="Y160" s="855"/>
      <c r="Z160" s="856"/>
      <c r="AA160" s="856"/>
      <c r="AB160" s="856"/>
      <c r="AC160" s="856"/>
      <c r="AD160" s="856"/>
      <c r="AE160" s="856"/>
      <c r="AF160" s="856"/>
      <c r="AG160" s="856"/>
      <c r="AH160" s="856"/>
      <c r="AI160" s="856"/>
      <c r="AJ160" s="856"/>
      <c r="AK160" s="856"/>
      <c r="AL160" s="856"/>
      <c r="AM160" s="856"/>
      <c r="AN160" s="856"/>
      <c r="AO160" s="856"/>
      <c r="AP160" s="856"/>
      <c r="AQ160" s="856"/>
      <c r="AR160" s="856"/>
      <c r="AS160" s="856"/>
      <c r="AT160" s="856"/>
      <c r="AU160" s="856"/>
      <c r="AV160" s="856"/>
      <c r="AW160" s="856"/>
      <c r="AX160" s="856"/>
      <c r="AY160" s="856"/>
      <c r="AZ160" s="856"/>
      <c r="BA160" s="856"/>
      <c r="BB160" s="856"/>
      <c r="BC160" s="856"/>
      <c r="BD160" s="856"/>
      <c r="BE160" s="856"/>
      <c r="BF160" s="856"/>
      <c r="BG160" s="857"/>
      <c r="BH160" s="590"/>
      <c r="BI160" s="68"/>
      <c r="BJ160" s="518">
        <f t="shared" si="77"/>
        <v>0</v>
      </c>
      <c r="BK160" s="517">
        <f t="shared" si="78"/>
        <v>0</v>
      </c>
      <c r="BL160" s="68"/>
      <c r="BM160" s="515">
        <f>SUMIFS(Imput[[Importe Neto]:[Importe Neto]],Imput[[C. Imp.]:[C. Imp.]],$D160,Imput[[PERIODO Imp.]:[PERIODO Imp.]],BM$9)</f>
        <v>0</v>
      </c>
      <c r="BN160" s="516">
        <f>SUMIFS(Imput[[Importe Neto]:[Importe Neto]],Imput[[C. Imp.]:[C. Imp.]],$D160,Imput[[PERIODO Imp.]:[PERIODO Imp.]],BN$9)</f>
        <v>0</v>
      </c>
      <c r="BO160" s="516">
        <f>SUMIFS(Imput[[Importe Neto]:[Importe Neto]],Imput[[C. Imp.]:[C. Imp.]],$D160,Imput[[PERIODO Imp.]:[PERIODO Imp.]],BO$9)</f>
        <v>0</v>
      </c>
      <c r="BP160" s="516">
        <f>SUMIFS(Imput[[Importe Neto]:[Importe Neto]],Imput[[C. Imp.]:[C. Imp.]],$D160,Imput[[PERIODO Imp.]:[PERIODO Imp.]],BP$9)</f>
        <v>0</v>
      </c>
      <c r="BQ160" s="516">
        <f>SUMIFS(Imput[[Importe Neto]:[Importe Neto]],Imput[[C. Imp.]:[C. Imp.]],$D160,Imput[[PERIODO Imp.]:[PERIODO Imp.]],BQ$9)</f>
        <v>0</v>
      </c>
      <c r="BR160" s="516">
        <f>SUMIFS(Imput[[Importe Neto]:[Importe Neto]],Imput[[C. Imp.]:[C. Imp.]],$D160,Imput[[PERIODO Imp.]:[PERIODO Imp.]],BR$9)</f>
        <v>0</v>
      </c>
      <c r="BS160" s="516">
        <f>SUMIFS(Imput[[Importe Neto]:[Importe Neto]],Imput[[C. Imp.]:[C. Imp.]],$D160,Imput[[PERIODO Imp.]:[PERIODO Imp.]],BS$9)</f>
        <v>0</v>
      </c>
      <c r="BT160" s="516">
        <f>SUMIFS(Imput[[Importe Neto]:[Importe Neto]],Imput[[C. Imp.]:[C. Imp.]],$D160,Imput[[PERIODO Imp.]:[PERIODO Imp.]],BT$9)</f>
        <v>0</v>
      </c>
      <c r="BU160" s="516">
        <f>SUMIFS(Imput[[Importe Neto]:[Importe Neto]],Imput[[C. Imp.]:[C. Imp.]],$D160,Imput[[PERIODO Imp.]:[PERIODO Imp.]],BU$9)</f>
        <v>0</v>
      </c>
      <c r="BV160" s="516">
        <f>SUMIFS(Imput[[Importe Neto]:[Importe Neto]],Imput[[C. Imp.]:[C. Imp.]],$D160,Imput[[PERIODO Imp.]:[PERIODO Imp.]],BV$9)</f>
        <v>0</v>
      </c>
      <c r="BW160" s="516">
        <f>SUMIFS(Imput[[Importe Neto]:[Importe Neto]],Imput[[C. Imp.]:[C. Imp.]],$D160,Imput[[PERIODO Imp.]:[PERIODO Imp.]],BW$9)</f>
        <v>0</v>
      </c>
      <c r="BX160" s="516">
        <f>SUMIFS(Imput[[Importe Neto]:[Importe Neto]],Imput[[C. Imp.]:[C. Imp.]],$D160,Imput[[PERIODO Imp.]:[PERIODO Imp.]],BX$9)</f>
        <v>0</v>
      </c>
      <c r="BY160" s="516">
        <f>SUMIFS(Imput[[Importe Neto]:[Importe Neto]],Imput[[C. Imp.]:[C. Imp.]],$D160,Imput[[PERIODO Imp.]:[PERIODO Imp.]],BY$9)</f>
        <v>0</v>
      </c>
      <c r="BZ160" s="516">
        <f>SUMIFS(Imput[[Importe Neto]:[Importe Neto]],Imput[[C. Imp.]:[C. Imp.]],$D160,Imput[[PERIODO Imp.]:[PERIODO Imp.]],BZ$9)</f>
        <v>0</v>
      </c>
      <c r="CA160" s="516">
        <f>SUMIFS(Imput[[Importe Neto]:[Importe Neto]],Imput[[C. Imp.]:[C. Imp.]],$D160,Imput[[PERIODO Imp.]:[PERIODO Imp.]],CA$9)</f>
        <v>0</v>
      </c>
      <c r="CB160" s="516">
        <f>SUMIFS(Imput[[Importe Neto]:[Importe Neto]],Imput[[C. Imp.]:[C. Imp.]],$D160,Imput[[PERIODO Imp.]:[PERIODO Imp.]],CB$9)</f>
        <v>0</v>
      </c>
      <c r="CC160" s="516">
        <f>SUMIFS(Imput[[Importe Neto]:[Importe Neto]],Imput[[C. Imp.]:[C. Imp.]],$D160,Imput[[PERIODO Imp.]:[PERIODO Imp.]],CC$9)</f>
        <v>0</v>
      </c>
      <c r="CD160" s="516">
        <f>SUMIFS(Imput[[Importe Neto]:[Importe Neto]],Imput[[C. Imp.]:[C. Imp.]],$D160,Imput[[PERIODO Imp.]:[PERIODO Imp.]],CD$9)</f>
        <v>0</v>
      </c>
      <c r="CE160" s="516">
        <f>SUMIFS(Imput[[Importe Neto]:[Importe Neto]],Imput[[C. Imp.]:[C. Imp.]],$D160,Imput[[PERIODO Imp.]:[PERIODO Imp.]],CE$9)</f>
        <v>0</v>
      </c>
      <c r="CF160" s="516">
        <f>SUMIFS(Imput[[Importe Neto]:[Importe Neto]],Imput[[C. Imp.]:[C. Imp.]],$D160,Imput[[PERIODO Imp.]:[PERIODO Imp.]],CF$9)</f>
        <v>0</v>
      </c>
      <c r="CG160" s="516">
        <f>SUMIFS(Imput[[Importe Neto]:[Importe Neto]],Imput[[C. Imp.]:[C. Imp.]],$D160,Imput[[PERIODO Imp.]:[PERIODO Imp.]],CG$9)</f>
        <v>0</v>
      </c>
      <c r="CH160" s="516">
        <f>SUMIFS(Imput[[Importe Neto]:[Importe Neto]],Imput[[C. Imp.]:[C. Imp.]],$D160,Imput[[PERIODO Imp.]:[PERIODO Imp.]],CH$9)</f>
        <v>0</v>
      </c>
      <c r="CI160" s="516">
        <f>SUMIFS(Imput[[Importe Neto]:[Importe Neto]],Imput[[C. Imp.]:[C. Imp.]],$D160,Imput[[PERIODO Imp.]:[PERIODO Imp.]],CI$9)</f>
        <v>0</v>
      </c>
      <c r="CJ160" s="516">
        <f>SUMIFS(Imput[[Importe Neto]:[Importe Neto]],Imput[[C. Imp.]:[C. Imp.]],$D160,Imput[[PERIODO Imp.]:[PERIODO Imp.]],CJ$9)</f>
        <v>0</v>
      </c>
      <c r="CK160" s="516">
        <f>SUMIFS(Imput[[Importe Neto]:[Importe Neto]],Imput[[C. Imp.]:[C. Imp.]],$D160,Imput[[PERIODO Imp.]:[PERIODO Imp.]],CK$9)</f>
        <v>0</v>
      </c>
      <c r="CL160" s="516">
        <f>SUMIFS(Imput[[Importe Neto]:[Importe Neto]],Imput[[C. Imp.]:[C. Imp.]],$D160,Imput[[PERIODO Imp.]:[PERIODO Imp.]],CL$9)</f>
        <v>0</v>
      </c>
      <c r="CM160" s="516">
        <f>SUMIFS(Imput[[Importe Neto]:[Importe Neto]],Imput[[C. Imp.]:[C. Imp.]],$D160,Imput[[PERIODO Imp.]:[PERIODO Imp.]],CM$9)</f>
        <v>0</v>
      </c>
      <c r="CN160" s="516">
        <f>SUMIFS(Imput[[Importe Neto]:[Importe Neto]],Imput[[C. Imp.]:[C. Imp.]],$D160,Imput[[PERIODO Imp.]:[PERIODO Imp.]],CN$9)</f>
        <v>0</v>
      </c>
      <c r="CO160" s="516">
        <f>SUMIFS(Imput[[Importe Neto]:[Importe Neto]],Imput[[C. Imp.]:[C. Imp.]],$D160,Imput[[PERIODO Imp.]:[PERIODO Imp.]],CO$9)</f>
        <v>0</v>
      </c>
      <c r="CP160" s="516">
        <f>SUMIFS(Imput[[Importe Neto]:[Importe Neto]],Imput[[C. Imp.]:[C. Imp.]],$D160,Imput[[PERIODO Imp.]:[PERIODO Imp.]],CP$9)</f>
        <v>0</v>
      </c>
      <c r="CQ160" s="516">
        <f>SUMIFS(Imput[[Importe Neto]:[Importe Neto]],Imput[[C. Imp.]:[C. Imp.]],$D160,Imput[[PERIODO Imp.]:[PERIODO Imp.]],CQ$9)</f>
        <v>0</v>
      </c>
      <c r="CR160" s="516">
        <f>SUMIFS(Imput[[Importe Neto]:[Importe Neto]],Imput[[C. Imp.]:[C. Imp.]],$D160,Imput[[PERIODO Imp.]:[PERIODO Imp.]],CR$9)</f>
        <v>0</v>
      </c>
      <c r="CS160" s="516">
        <f>SUMIFS(Imput[[Importe Neto]:[Importe Neto]],Imput[[C. Imp.]:[C. Imp.]],$D160,Imput[[PERIODO Imp.]:[PERIODO Imp.]],CS$9)</f>
        <v>0</v>
      </c>
      <c r="CT160" s="516">
        <f>SUMIFS(Imput[[Importe Neto]:[Importe Neto]],Imput[[C. Imp.]:[C. Imp.]],$D160,Imput[[PERIODO Imp.]:[PERIODO Imp.]],CT$9)</f>
        <v>0</v>
      </c>
      <c r="CU160" s="516">
        <f>SUMIFS(Imput[[Importe Neto]:[Importe Neto]],Imput[[C. Imp.]:[C. Imp.]],$D160,Imput[[PERIODO Imp.]:[PERIODO Imp.]],CU$9)</f>
        <v>0</v>
      </c>
      <c r="CV160" s="516">
        <f>SUMIFS(Imput[[Importe Neto]:[Importe Neto]],Imput[[C. Imp.]:[C. Imp.]],$D160,Imput[[PERIODO Imp.]:[PERIODO Imp.]],CV$9)</f>
        <v>0</v>
      </c>
      <c r="CW160" s="516">
        <f>SUMIFS(Imput[[Importe Neto]:[Importe Neto]],Imput[[C. Imp.]:[C. Imp.]],$D160,Imput[[PERIODO Imp.]:[PERIODO Imp.]],CW$9)</f>
        <v>0</v>
      </c>
      <c r="CX160" s="516">
        <f>SUMIFS(Imput[[Importe Neto]:[Importe Neto]],Imput[[C. Imp.]:[C. Imp.]],$D160,Imput[[PERIODO Imp.]:[PERIODO Imp.]],CX$9)</f>
        <v>0</v>
      </c>
      <c r="CY160" s="516">
        <f>SUMIFS(Imput[[Importe Neto]:[Importe Neto]],Imput[[C. Imp.]:[C. Imp.]],$D160,Imput[[PERIODO Imp.]:[PERIODO Imp.]],CY$9)</f>
        <v>0</v>
      </c>
      <c r="CZ160" s="516">
        <f>SUMIFS(Imput[[Importe Neto]:[Importe Neto]],Imput[[C. Imp.]:[C. Imp.]],$D160,Imput[[PERIODO Imp.]:[PERIODO Imp.]],CZ$9)</f>
        <v>0</v>
      </c>
      <c r="DA160" s="516">
        <f>SUMIFS(Imput[[Importe Neto]:[Importe Neto]],Imput[[C. Imp.]:[C. Imp.]],$D160,Imput[[PERIODO Imp.]:[PERIODO Imp.]],DA$9)</f>
        <v>0</v>
      </c>
      <c r="DB160" s="516">
        <f>SUMIFS(Imput[[Importe Neto]:[Importe Neto]],Imput[[C. Imp.]:[C. Imp.]],$D160,Imput[[PERIODO Imp.]:[PERIODO Imp.]],DB$9)</f>
        <v>0</v>
      </c>
      <c r="DC160" s="516">
        <f>SUMIFS(Imput[[Importe Neto]:[Importe Neto]],Imput[[C. Imp.]:[C. Imp.]],$D160,Imput[[PERIODO Imp.]:[PERIODO Imp.]],DC$9)</f>
        <v>0</v>
      </c>
      <c r="DD160" s="516">
        <f>SUMIFS(Imput[[Importe Neto]:[Importe Neto]],Imput[[C. Imp.]:[C. Imp.]],$D160,Imput[[PERIODO Imp.]:[PERIODO Imp.]],DD$9)</f>
        <v>0</v>
      </c>
      <c r="DE160" s="516">
        <f>SUMIFS(Imput[[Importe Neto]:[Importe Neto]],Imput[[C. Imp.]:[C. Imp.]],$D160,Imput[[PERIODO Imp.]:[PERIODO Imp.]],DE$9)</f>
        <v>0</v>
      </c>
      <c r="DF160" s="516">
        <f>SUMIFS(Imput[[Importe Neto]:[Importe Neto]],Imput[[C. Imp.]:[C. Imp.]],$D160,Imput[[PERIODO Imp.]:[PERIODO Imp.]],DF$9)</f>
        <v>0</v>
      </c>
      <c r="DG160" s="516">
        <f>SUMIFS(Imput[[Importe Neto]:[Importe Neto]],Imput[[C. Imp.]:[C. Imp.]],$D160,Imput[[PERIODO Imp.]:[PERIODO Imp.]],DG$9)</f>
        <v>0</v>
      </c>
      <c r="DH160" s="616">
        <f>SUMIFS(Imput[[Importe Neto]:[Importe Neto]],Imput[[C. Imp.]:[C. Imp.]],$D160,Imput[[PERIODO Imp.]:[PERIODO Imp.]],DH$9)</f>
        <v>0</v>
      </c>
    </row>
    <row r="161" spans="1:112" hidden="1" outlineLevel="1" x14ac:dyDescent="0.3">
      <c r="A161" s="66" t="str">
        <f t="shared" si="74"/>
        <v/>
      </c>
      <c r="C161" s="527"/>
      <c r="D161" s="528" t="s">
        <v>2269</v>
      </c>
      <c r="E161" s="528"/>
      <c r="F161" s="534"/>
      <c r="G161" s="529"/>
      <c r="H161" s="531"/>
      <c r="I161" s="849" t="str">
        <f t="shared" si="75"/>
        <v/>
      </c>
      <c r="J161" s="850" t="str">
        <f t="shared" si="76"/>
        <v/>
      </c>
      <c r="K161" s="70"/>
      <c r="L161" s="853"/>
      <c r="M161" s="855"/>
      <c r="N161" s="855"/>
      <c r="O161" s="855"/>
      <c r="P161" s="855"/>
      <c r="Q161" s="855"/>
      <c r="R161" s="855"/>
      <c r="S161" s="855"/>
      <c r="T161" s="855"/>
      <c r="U161" s="855"/>
      <c r="V161" s="855"/>
      <c r="W161" s="855"/>
      <c r="X161" s="855"/>
      <c r="Y161" s="855"/>
      <c r="Z161" s="856"/>
      <c r="AA161" s="856"/>
      <c r="AB161" s="856"/>
      <c r="AC161" s="856"/>
      <c r="AD161" s="856"/>
      <c r="AE161" s="856"/>
      <c r="AF161" s="856"/>
      <c r="AG161" s="856"/>
      <c r="AH161" s="856"/>
      <c r="AI161" s="856"/>
      <c r="AJ161" s="856"/>
      <c r="AK161" s="856"/>
      <c r="AL161" s="856"/>
      <c r="AM161" s="856"/>
      <c r="AN161" s="856"/>
      <c r="AO161" s="856"/>
      <c r="AP161" s="856"/>
      <c r="AQ161" s="856"/>
      <c r="AR161" s="856"/>
      <c r="AS161" s="856"/>
      <c r="AT161" s="856"/>
      <c r="AU161" s="856"/>
      <c r="AV161" s="856"/>
      <c r="AW161" s="856"/>
      <c r="AX161" s="856"/>
      <c r="AY161" s="856"/>
      <c r="AZ161" s="856"/>
      <c r="BA161" s="856"/>
      <c r="BB161" s="856"/>
      <c r="BC161" s="856"/>
      <c r="BD161" s="856"/>
      <c r="BE161" s="856"/>
      <c r="BF161" s="856"/>
      <c r="BG161" s="857"/>
      <c r="BH161" s="590"/>
      <c r="BI161" s="68"/>
      <c r="BJ161" s="518">
        <f t="shared" si="77"/>
        <v>0</v>
      </c>
      <c r="BK161" s="517">
        <f t="shared" si="78"/>
        <v>0</v>
      </c>
      <c r="BL161" s="68"/>
      <c r="BM161" s="515">
        <f>SUMIFS(Imput[[Importe Neto]:[Importe Neto]],Imput[[C. Imp.]:[C. Imp.]],$D161,Imput[[PERIODO Imp.]:[PERIODO Imp.]],BM$9)</f>
        <v>0</v>
      </c>
      <c r="BN161" s="516">
        <f>SUMIFS(Imput[[Importe Neto]:[Importe Neto]],Imput[[C. Imp.]:[C. Imp.]],$D161,Imput[[PERIODO Imp.]:[PERIODO Imp.]],BN$9)</f>
        <v>0</v>
      </c>
      <c r="BO161" s="516">
        <f>SUMIFS(Imput[[Importe Neto]:[Importe Neto]],Imput[[C. Imp.]:[C. Imp.]],$D161,Imput[[PERIODO Imp.]:[PERIODO Imp.]],BO$9)</f>
        <v>0</v>
      </c>
      <c r="BP161" s="516">
        <f>SUMIFS(Imput[[Importe Neto]:[Importe Neto]],Imput[[C. Imp.]:[C. Imp.]],$D161,Imput[[PERIODO Imp.]:[PERIODO Imp.]],BP$9)</f>
        <v>0</v>
      </c>
      <c r="BQ161" s="516">
        <f>SUMIFS(Imput[[Importe Neto]:[Importe Neto]],Imput[[C. Imp.]:[C. Imp.]],$D161,Imput[[PERIODO Imp.]:[PERIODO Imp.]],BQ$9)</f>
        <v>0</v>
      </c>
      <c r="BR161" s="516">
        <f>SUMIFS(Imput[[Importe Neto]:[Importe Neto]],Imput[[C. Imp.]:[C. Imp.]],$D161,Imput[[PERIODO Imp.]:[PERIODO Imp.]],BR$9)</f>
        <v>0</v>
      </c>
      <c r="BS161" s="516">
        <f>SUMIFS(Imput[[Importe Neto]:[Importe Neto]],Imput[[C. Imp.]:[C. Imp.]],$D161,Imput[[PERIODO Imp.]:[PERIODO Imp.]],BS$9)</f>
        <v>0</v>
      </c>
      <c r="BT161" s="516">
        <f>SUMIFS(Imput[[Importe Neto]:[Importe Neto]],Imput[[C. Imp.]:[C. Imp.]],$D161,Imput[[PERIODO Imp.]:[PERIODO Imp.]],BT$9)</f>
        <v>0</v>
      </c>
      <c r="BU161" s="516">
        <f>SUMIFS(Imput[[Importe Neto]:[Importe Neto]],Imput[[C. Imp.]:[C. Imp.]],$D161,Imput[[PERIODO Imp.]:[PERIODO Imp.]],BU$9)</f>
        <v>0</v>
      </c>
      <c r="BV161" s="516">
        <f>SUMIFS(Imput[[Importe Neto]:[Importe Neto]],Imput[[C. Imp.]:[C. Imp.]],$D161,Imput[[PERIODO Imp.]:[PERIODO Imp.]],BV$9)</f>
        <v>0</v>
      </c>
      <c r="BW161" s="516">
        <f>SUMIFS(Imput[[Importe Neto]:[Importe Neto]],Imput[[C. Imp.]:[C. Imp.]],$D161,Imput[[PERIODO Imp.]:[PERIODO Imp.]],BW$9)</f>
        <v>0</v>
      </c>
      <c r="BX161" s="516">
        <f>SUMIFS(Imput[[Importe Neto]:[Importe Neto]],Imput[[C. Imp.]:[C. Imp.]],$D161,Imput[[PERIODO Imp.]:[PERIODO Imp.]],BX$9)</f>
        <v>0</v>
      </c>
      <c r="BY161" s="516">
        <f>SUMIFS(Imput[[Importe Neto]:[Importe Neto]],Imput[[C. Imp.]:[C. Imp.]],$D161,Imput[[PERIODO Imp.]:[PERIODO Imp.]],BY$9)</f>
        <v>0</v>
      </c>
      <c r="BZ161" s="516">
        <f>SUMIFS(Imput[[Importe Neto]:[Importe Neto]],Imput[[C. Imp.]:[C. Imp.]],$D161,Imput[[PERIODO Imp.]:[PERIODO Imp.]],BZ$9)</f>
        <v>0</v>
      </c>
      <c r="CA161" s="516">
        <f>SUMIFS(Imput[[Importe Neto]:[Importe Neto]],Imput[[C. Imp.]:[C. Imp.]],$D161,Imput[[PERIODO Imp.]:[PERIODO Imp.]],CA$9)</f>
        <v>0</v>
      </c>
      <c r="CB161" s="516">
        <f>SUMIFS(Imput[[Importe Neto]:[Importe Neto]],Imput[[C. Imp.]:[C. Imp.]],$D161,Imput[[PERIODO Imp.]:[PERIODO Imp.]],CB$9)</f>
        <v>0</v>
      </c>
      <c r="CC161" s="516">
        <f>SUMIFS(Imput[[Importe Neto]:[Importe Neto]],Imput[[C. Imp.]:[C. Imp.]],$D161,Imput[[PERIODO Imp.]:[PERIODO Imp.]],CC$9)</f>
        <v>0</v>
      </c>
      <c r="CD161" s="516">
        <f>SUMIFS(Imput[[Importe Neto]:[Importe Neto]],Imput[[C. Imp.]:[C. Imp.]],$D161,Imput[[PERIODO Imp.]:[PERIODO Imp.]],CD$9)</f>
        <v>0</v>
      </c>
      <c r="CE161" s="516">
        <f>SUMIFS(Imput[[Importe Neto]:[Importe Neto]],Imput[[C. Imp.]:[C. Imp.]],$D161,Imput[[PERIODO Imp.]:[PERIODO Imp.]],CE$9)</f>
        <v>0</v>
      </c>
      <c r="CF161" s="516">
        <f>SUMIFS(Imput[[Importe Neto]:[Importe Neto]],Imput[[C. Imp.]:[C. Imp.]],$D161,Imput[[PERIODO Imp.]:[PERIODO Imp.]],CF$9)</f>
        <v>0</v>
      </c>
      <c r="CG161" s="516">
        <f>SUMIFS(Imput[[Importe Neto]:[Importe Neto]],Imput[[C. Imp.]:[C. Imp.]],$D161,Imput[[PERIODO Imp.]:[PERIODO Imp.]],CG$9)</f>
        <v>0</v>
      </c>
      <c r="CH161" s="516">
        <f>SUMIFS(Imput[[Importe Neto]:[Importe Neto]],Imput[[C. Imp.]:[C. Imp.]],$D161,Imput[[PERIODO Imp.]:[PERIODO Imp.]],CH$9)</f>
        <v>0</v>
      </c>
      <c r="CI161" s="516">
        <f>SUMIFS(Imput[[Importe Neto]:[Importe Neto]],Imput[[C. Imp.]:[C. Imp.]],$D161,Imput[[PERIODO Imp.]:[PERIODO Imp.]],CI$9)</f>
        <v>0</v>
      </c>
      <c r="CJ161" s="516">
        <f>SUMIFS(Imput[[Importe Neto]:[Importe Neto]],Imput[[C. Imp.]:[C. Imp.]],$D161,Imput[[PERIODO Imp.]:[PERIODO Imp.]],CJ$9)</f>
        <v>0</v>
      </c>
      <c r="CK161" s="516">
        <f>SUMIFS(Imput[[Importe Neto]:[Importe Neto]],Imput[[C. Imp.]:[C. Imp.]],$D161,Imput[[PERIODO Imp.]:[PERIODO Imp.]],CK$9)</f>
        <v>0</v>
      </c>
      <c r="CL161" s="516">
        <f>SUMIFS(Imput[[Importe Neto]:[Importe Neto]],Imput[[C. Imp.]:[C. Imp.]],$D161,Imput[[PERIODO Imp.]:[PERIODO Imp.]],CL$9)</f>
        <v>0</v>
      </c>
      <c r="CM161" s="516">
        <f>SUMIFS(Imput[[Importe Neto]:[Importe Neto]],Imput[[C. Imp.]:[C. Imp.]],$D161,Imput[[PERIODO Imp.]:[PERIODO Imp.]],CM$9)</f>
        <v>0</v>
      </c>
      <c r="CN161" s="516">
        <f>SUMIFS(Imput[[Importe Neto]:[Importe Neto]],Imput[[C. Imp.]:[C. Imp.]],$D161,Imput[[PERIODO Imp.]:[PERIODO Imp.]],CN$9)</f>
        <v>0</v>
      </c>
      <c r="CO161" s="516">
        <f>SUMIFS(Imput[[Importe Neto]:[Importe Neto]],Imput[[C. Imp.]:[C. Imp.]],$D161,Imput[[PERIODO Imp.]:[PERIODO Imp.]],CO$9)</f>
        <v>0</v>
      </c>
      <c r="CP161" s="516">
        <f>SUMIFS(Imput[[Importe Neto]:[Importe Neto]],Imput[[C. Imp.]:[C. Imp.]],$D161,Imput[[PERIODO Imp.]:[PERIODO Imp.]],CP$9)</f>
        <v>0</v>
      </c>
      <c r="CQ161" s="516">
        <f>SUMIFS(Imput[[Importe Neto]:[Importe Neto]],Imput[[C. Imp.]:[C. Imp.]],$D161,Imput[[PERIODO Imp.]:[PERIODO Imp.]],CQ$9)</f>
        <v>0</v>
      </c>
      <c r="CR161" s="516">
        <f>SUMIFS(Imput[[Importe Neto]:[Importe Neto]],Imput[[C. Imp.]:[C. Imp.]],$D161,Imput[[PERIODO Imp.]:[PERIODO Imp.]],CR$9)</f>
        <v>0</v>
      </c>
      <c r="CS161" s="516">
        <f>SUMIFS(Imput[[Importe Neto]:[Importe Neto]],Imput[[C. Imp.]:[C. Imp.]],$D161,Imput[[PERIODO Imp.]:[PERIODO Imp.]],CS$9)</f>
        <v>0</v>
      </c>
      <c r="CT161" s="516">
        <f>SUMIFS(Imput[[Importe Neto]:[Importe Neto]],Imput[[C. Imp.]:[C. Imp.]],$D161,Imput[[PERIODO Imp.]:[PERIODO Imp.]],CT$9)</f>
        <v>0</v>
      </c>
      <c r="CU161" s="516">
        <f>SUMIFS(Imput[[Importe Neto]:[Importe Neto]],Imput[[C. Imp.]:[C. Imp.]],$D161,Imput[[PERIODO Imp.]:[PERIODO Imp.]],CU$9)</f>
        <v>0</v>
      </c>
      <c r="CV161" s="516">
        <f>SUMIFS(Imput[[Importe Neto]:[Importe Neto]],Imput[[C. Imp.]:[C. Imp.]],$D161,Imput[[PERIODO Imp.]:[PERIODO Imp.]],CV$9)</f>
        <v>0</v>
      </c>
      <c r="CW161" s="516">
        <f>SUMIFS(Imput[[Importe Neto]:[Importe Neto]],Imput[[C. Imp.]:[C. Imp.]],$D161,Imput[[PERIODO Imp.]:[PERIODO Imp.]],CW$9)</f>
        <v>0</v>
      </c>
      <c r="CX161" s="516">
        <f>SUMIFS(Imput[[Importe Neto]:[Importe Neto]],Imput[[C. Imp.]:[C. Imp.]],$D161,Imput[[PERIODO Imp.]:[PERIODO Imp.]],CX$9)</f>
        <v>0</v>
      </c>
      <c r="CY161" s="516">
        <f>SUMIFS(Imput[[Importe Neto]:[Importe Neto]],Imput[[C. Imp.]:[C. Imp.]],$D161,Imput[[PERIODO Imp.]:[PERIODO Imp.]],CY$9)</f>
        <v>0</v>
      </c>
      <c r="CZ161" s="516">
        <f>SUMIFS(Imput[[Importe Neto]:[Importe Neto]],Imput[[C. Imp.]:[C. Imp.]],$D161,Imput[[PERIODO Imp.]:[PERIODO Imp.]],CZ$9)</f>
        <v>0</v>
      </c>
      <c r="DA161" s="516">
        <f>SUMIFS(Imput[[Importe Neto]:[Importe Neto]],Imput[[C. Imp.]:[C. Imp.]],$D161,Imput[[PERIODO Imp.]:[PERIODO Imp.]],DA$9)</f>
        <v>0</v>
      </c>
      <c r="DB161" s="516">
        <f>SUMIFS(Imput[[Importe Neto]:[Importe Neto]],Imput[[C. Imp.]:[C. Imp.]],$D161,Imput[[PERIODO Imp.]:[PERIODO Imp.]],DB$9)</f>
        <v>0</v>
      </c>
      <c r="DC161" s="516">
        <f>SUMIFS(Imput[[Importe Neto]:[Importe Neto]],Imput[[C. Imp.]:[C. Imp.]],$D161,Imput[[PERIODO Imp.]:[PERIODO Imp.]],DC$9)</f>
        <v>0</v>
      </c>
      <c r="DD161" s="516">
        <f>SUMIFS(Imput[[Importe Neto]:[Importe Neto]],Imput[[C. Imp.]:[C. Imp.]],$D161,Imput[[PERIODO Imp.]:[PERIODO Imp.]],DD$9)</f>
        <v>0</v>
      </c>
      <c r="DE161" s="516">
        <f>SUMIFS(Imput[[Importe Neto]:[Importe Neto]],Imput[[C. Imp.]:[C. Imp.]],$D161,Imput[[PERIODO Imp.]:[PERIODO Imp.]],DE$9)</f>
        <v>0</v>
      </c>
      <c r="DF161" s="516">
        <f>SUMIFS(Imput[[Importe Neto]:[Importe Neto]],Imput[[C. Imp.]:[C. Imp.]],$D161,Imput[[PERIODO Imp.]:[PERIODO Imp.]],DF$9)</f>
        <v>0</v>
      </c>
      <c r="DG161" s="516">
        <f>SUMIFS(Imput[[Importe Neto]:[Importe Neto]],Imput[[C. Imp.]:[C. Imp.]],$D161,Imput[[PERIODO Imp.]:[PERIODO Imp.]],DG$9)</f>
        <v>0</v>
      </c>
      <c r="DH161" s="616">
        <f>SUMIFS(Imput[[Importe Neto]:[Importe Neto]],Imput[[C. Imp.]:[C. Imp.]],$D161,Imput[[PERIODO Imp.]:[PERIODO Imp.]],DH$9)</f>
        <v>0</v>
      </c>
    </row>
    <row r="162" spans="1:112" hidden="1" outlineLevel="1" x14ac:dyDescent="0.3">
      <c r="A162" s="66" t="str">
        <f t="shared" si="74"/>
        <v/>
      </c>
      <c r="C162" s="527"/>
      <c r="D162" s="528" t="s">
        <v>2270</v>
      </c>
      <c r="E162" s="528"/>
      <c r="F162" s="534"/>
      <c r="G162" s="529"/>
      <c r="H162" s="531"/>
      <c r="I162" s="849" t="str">
        <f t="shared" si="75"/>
        <v/>
      </c>
      <c r="J162" s="850" t="str">
        <f t="shared" si="76"/>
        <v/>
      </c>
      <c r="K162" s="111"/>
      <c r="L162" s="853"/>
      <c r="M162" s="855"/>
      <c r="N162" s="855"/>
      <c r="O162" s="855"/>
      <c r="P162" s="855"/>
      <c r="Q162" s="855"/>
      <c r="R162" s="855"/>
      <c r="S162" s="855"/>
      <c r="T162" s="855"/>
      <c r="U162" s="855"/>
      <c r="V162" s="855"/>
      <c r="W162" s="855"/>
      <c r="X162" s="855"/>
      <c r="Y162" s="855"/>
      <c r="Z162" s="856"/>
      <c r="AA162" s="856"/>
      <c r="AB162" s="856"/>
      <c r="AC162" s="856"/>
      <c r="AD162" s="856"/>
      <c r="AE162" s="856"/>
      <c r="AF162" s="856"/>
      <c r="AG162" s="856"/>
      <c r="AH162" s="856"/>
      <c r="AI162" s="856"/>
      <c r="AJ162" s="856"/>
      <c r="AK162" s="856"/>
      <c r="AL162" s="856"/>
      <c r="AM162" s="856"/>
      <c r="AN162" s="856"/>
      <c r="AO162" s="856"/>
      <c r="AP162" s="856"/>
      <c r="AQ162" s="856"/>
      <c r="AR162" s="856"/>
      <c r="AS162" s="856"/>
      <c r="AT162" s="856"/>
      <c r="AU162" s="856"/>
      <c r="AV162" s="856"/>
      <c r="AW162" s="856"/>
      <c r="AX162" s="856"/>
      <c r="AY162" s="856"/>
      <c r="AZ162" s="856"/>
      <c r="BA162" s="856"/>
      <c r="BB162" s="856"/>
      <c r="BC162" s="856"/>
      <c r="BD162" s="856"/>
      <c r="BE162" s="856"/>
      <c r="BF162" s="856"/>
      <c r="BG162" s="857"/>
      <c r="BH162" s="590"/>
      <c r="BI162" s="68"/>
      <c r="BJ162" s="518">
        <f t="shared" si="77"/>
        <v>0</v>
      </c>
      <c r="BK162" s="517">
        <f t="shared" si="78"/>
        <v>0</v>
      </c>
      <c r="BL162" s="68"/>
      <c r="BM162" s="515">
        <f>SUMIFS(Imput[[Importe Neto]:[Importe Neto]],Imput[[C. Imp.]:[C. Imp.]],$D162,Imput[[PERIODO Imp.]:[PERIODO Imp.]],BM$9)</f>
        <v>0</v>
      </c>
      <c r="BN162" s="516">
        <f>SUMIFS(Imput[[Importe Neto]:[Importe Neto]],Imput[[C. Imp.]:[C. Imp.]],$D162,Imput[[PERIODO Imp.]:[PERIODO Imp.]],BN$9)</f>
        <v>0</v>
      </c>
      <c r="BO162" s="516">
        <f>SUMIFS(Imput[[Importe Neto]:[Importe Neto]],Imput[[C. Imp.]:[C. Imp.]],$D162,Imput[[PERIODO Imp.]:[PERIODO Imp.]],BO$9)</f>
        <v>0</v>
      </c>
      <c r="BP162" s="516">
        <f>SUMIFS(Imput[[Importe Neto]:[Importe Neto]],Imput[[C. Imp.]:[C. Imp.]],$D162,Imput[[PERIODO Imp.]:[PERIODO Imp.]],BP$9)</f>
        <v>0</v>
      </c>
      <c r="BQ162" s="516">
        <f>SUMIFS(Imput[[Importe Neto]:[Importe Neto]],Imput[[C. Imp.]:[C. Imp.]],$D162,Imput[[PERIODO Imp.]:[PERIODO Imp.]],BQ$9)</f>
        <v>0</v>
      </c>
      <c r="BR162" s="516">
        <f>SUMIFS(Imput[[Importe Neto]:[Importe Neto]],Imput[[C. Imp.]:[C. Imp.]],$D162,Imput[[PERIODO Imp.]:[PERIODO Imp.]],BR$9)</f>
        <v>0</v>
      </c>
      <c r="BS162" s="516">
        <f>SUMIFS(Imput[[Importe Neto]:[Importe Neto]],Imput[[C. Imp.]:[C. Imp.]],$D162,Imput[[PERIODO Imp.]:[PERIODO Imp.]],BS$9)</f>
        <v>0</v>
      </c>
      <c r="BT162" s="516">
        <f>SUMIFS(Imput[[Importe Neto]:[Importe Neto]],Imput[[C. Imp.]:[C. Imp.]],$D162,Imput[[PERIODO Imp.]:[PERIODO Imp.]],BT$9)</f>
        <v>0</v>
      </c>
      <c r="BU162" s="516">
        <f>SUMIFS(Imput[[Importe Neto]:[Importe Neto]],Imput[[C. Imp.]:[C. Imp.]],$D162,Imput[[PERIODO Imp.]:[PERIODO Imp.]],BU$9)</f>
        <v>0</v>
      </c>
      <c r="BV162" s="516">
        <f>SUMIFS(Imput[[Importe Neto]:[Importe Neto]],Imput[[C. Imp.]:[C. Imp.]],$D162,Imput[[PERIODO Imp.]:[PERIODO Imp.]],BV$9)</f>
        <v>0</v>
      </c>
      <c r="BW162" s="516">
        <f>SUMIFS(Imput[[Importe Neto]:[Importe Neto]],Imput[[C. Imp.]:[C. Imp.]],$D162,Imput[[PERIODO Imp.]:[PERIODO Imp.]],BW$9)</f>
        <v>0</v>
      </c>
      <c r="BX162" s="516">
        <f>SUMIFS(Imput[[Importe Neto]:[Importe Neto]],Imput[[C. Imp.]:[C. Imp.]],$D162,Imput[[PERIODO Imp.]:[PERIODO Imp.]],BX$9)</f>
        <v>0</v>
      </c>
      <c r="BY162" s="516">
        <f>SUMIFS(Imput[[Importe Neto]:[Importe Neto]],Imput[[C. Imp.]:[C. Imp.]],$D162,Imput[[PERIODO Imp.]:[PERIODO Imp.]],BY$9)</f>
        <v>0</v>
      </c>
      <c r="BZ162" s="516">
        <f>SUMIFS(Imput[[Importe Neto]:[Importe Neto]],Imput[[C. Imp.]:[C. Imp.]],$D162,Imput[[PERIODO Imp.]:[PERIODO Imp.]],BZ$9)</f>
        <v>0</v>
      </c>
      <c r="CA162" s="516">
        <f>SUMIFS(Imput[[Importe Neto]:[Importe Neto]],Imput[[C. Imp.]:[C. Imp.]],$D162,Imput[[PERIODO Imp.]:[PERIODO Imp.]],CA$9)</f>
        <v>0</v>
      </c>
      <c r="CB162" s="516">
        <f>SUMIFS(Imput[[Importe Neto]:[Importe Neto]],Imput[[C. Imp.]:[C. Imp.]],$D162,Imput[[PERIODO Imp.]:[PERIODO Imp.]],CB$9)</f>
        <v>0</v>
      </c>
      <c r="CC162" s="516">
        <f>SUMIFS(Imput[[Importe Neto]:[Importe Neto]],Imput[[C. Imp.]:[C. Imp.]],$D162,Imput[[PERIODO Imp.]:[PERIODO Imp.]],CC$9)</f>
        <v>0</v>
      </c>
      <c r="CD162" s="516">
        <f>SUMIFS(Imput[[Importe Neto]:[Importe Neto]],Imput[[C. Imp.]:[C. Imp.]],$D162,Imput[[PERIODO Imp.]:[PERIODO Imp.]],CD$9)</f>
        <v>0</v>
      </c>
      <c r="CE162" s="516">
        <f>SUMIFS(Imput[[Importe Neto]:[Importe Neto]],Imput[[C. Imp.]:[C. Imp.]],$D162,Imput[[PERIODO Imp.]:[PERIODO Imp.]],CE$9)</f>
        <v>0</v>
      </c>
      <c r="CF162" s="516">
        <f>SUMIFS(Imput[[Importe Neto]:[Importe Neto]],Imput[[C. Imp.]:[C. Imp.]],$D162,Imput[[PERIODO Imp.]:[PERIODO Imp.]],CF$9)</f>
        <v>0</v>
      </c>
      <c r="CG162" s="516">
        <f>SUMIFS(Imput[[Importe Neto]:[Importe Neto]],Imput[[C. Imp.]:[C. Imp.]],$D162,Imput[[PERIODO Imp.]:[PERIODO Imp.]],CG$9)</f>
        <v>0</v>
      </c>
      <c r="CH162" s="516">
        <f>SUMIFS(Imput[[Importe Neto]:[Importe Neto]],Imput[[C. Imp.]:[C. Imp.]],$D162,Imput[[PERIODO Imp.]:[PERIODO Imp.]],CH$9)</f>
        <v>0</v>
      </c>
      <c r="CI162" s="516">
        <f>SUMIFS(Imput[[Importe Neto]:[Importe Neto]],Imput[[C. Imp.]:[C. Imp.]],$D162,Imput[[PERIODO Imp.]:[PERIODO Imp.]],CI$9)</f>
        <v>0</v>
      </c>
      <c r="CJ162" s="516">
        <f>SUMIFS(Imput[[Importe Neto]:[Importe Neto]],Imput[[C. Imp.]:[C. Imp.]],$D162,Imput[[PERIODO Imp.]:[PERIODO Imp.]],CJ$9)</f>
        <v>0</v>
      </c>
      <c r="CK162" s="516">
        <f>SUMIFS(Imput[[Importe Neto]:[Importe Neto]],Imput[[C. Imp.]:[C. Imp.]],$D162,Imput[[PERIODO Imp.]:[PERIODO Imp.]],CK$9)</f>
        <v>0</v>
      </c>
      <c r="CL162" s="516">
        <f>SUMIFS(Imput[[Importe Neto]:[Importe Neto]],Imput[[C. Imp.]:[C. Imp.]],$D162,Imput[[PERIODO Imp.]:[PERIODO Imp.]],CL$9)</f>
        <v>0</v>
      </c>
      <c r="CM162" s="516">
        <f>SUMIFS(Imput[[Importe Neto]:[Importe Neto]],Imput[[C. Imp.]:[C. Imp.]],$D162,Imput[[PERIODO Imp.]:[PERIODO Imp.]],CM$9)</f>
        <v>0</v>
      </c>
      <c r="CN162" s="516">
        <f>SUMIFS(Imput[[Importe Neto]:[Importe Neto]],Imput[[C. Imp.]:[C. Imp.]],$D162,Imput[[PERIODO Imp.]:[PERIODO Imp.]],CN$9)</f>
        <v>0</v>
      </c>
      <c r="CO162" s="516">
        <f>SUMIFS(Imput[[Importe Neto]:[Importe Neto]],Imput[[C. Imp.]:[C. Imp.]],$D162,Imput[[PERIODO Imp.]:[PERIODO Imp.]],CO$9)</f>
        <v>0</v>
      </c>
      <c r="CP162" s="516">
        <f>SUMIFS(Imput[[Importe Neto]:[Importe Neto]],Imput[[C. Imp.]:[C. Imp.]],$D162,Imput[[PERIODO Imp.]:[PERIODO Imp.]],CP$9)</f>
        <v>0</v>
      </c>
      <c r="CQ162" s="516">
        <f>SUMIFS(Imput[[Importe Neto]:[Importe Neto]],Imput[[C. Imp.]:[C. Imp.]],$D162,Imput[[PERIODO Imp.]:[PERIODO Imp.]],CQ$9)</f>
        <v>0</v>
      </c>
      <c r="CR162" s="516">
        <f>SUMIFS(Imput[[Importe Neto]:[Importe Neto]],Imput[[C. Imp.]:[C. Imp.]],$D162,Imput[[PERIODO Imp.]:[PERIODO Imp.]],CR$9)</f>
        <v>0</v>
      </c>
      <c r="CS162" s="516">
        <f>SUMIFS(Imput[[Importe Neto]:[Importe Neto]],Imput[[C. Imp.]:[C. Imp.]],$D162,Imput[[PERIODO Imp.]:[PERIODO Imp.]],CS$9)</f>
        <v>0</v>
      </c>
      <c r="CT162" s="516">
        <f>SUMIFS(Imput[[Importe Neto]:[Importe Neto]],Imput[[C. Imp.]:[C. Imp.]],$D162,Imput[[PERIODO Imp.]:[PERIODO Imp.]],CT$9)</f>
        <v>0</v>
      </c>
      <c r="CU162" s="516">
        <f>SUMIFS(Imput[[Importe Neto]:[Importe Neto]],Imput[[C. Imp.]:[C. Imp.]],$D162,Imput[[PERIODO Imp.]:[PERIODO Imp.]],CU$9)</f>
        <v>0</v>
      </c>
      <c r="CV162" s="516">
        <f>SUMIFS(Imput[[Importe Neto]:[Importe Neto]],Imput[[C. Imp.]:[C. Imp.]],$D162,Imput[[PERIODO Imp.]:[PERIODO Imp.]],CV$9)</f>
        <v>0</v>
      </c>
      <c r="CW162" s="516">
        <f>SUMIFS(Imput[[Importe Neto]:[Importe Neto]],Imput[[C. Imp.]:[C. Imp.]],$D162,Imput[[PERIODO Imp.]:[PERIODO Imp.]],CW$9)</f>
        <v>0</v>
      </c>
      <c r="CX162" s="516">
        <f>SUMIFS(Imput[[Importe Neto]:[Importe Neto]],Imput[[C. Imp.]:[C. Imp.]],$D162,Imput[[PERIODO Imp.]:[PERIODO Imp.]],CX$9)</f>
        <v>0</v>
      </c>
      <c r="CY162" s="516">
        <f>SUMIFS(Imput[[Importe Neto]:[Importe Neto]],Imput[[C. Imp.]:[C. Imp.]],$D162,Imput[[PERIODO Imp.]:[PERIODO Imp.]],CY$9)</f>
        <v>0</v>
      </c>
      <c r="CZ162" s="516">
        <f>SUMIFS(Imput[[Importe Neto]:[Importe Neto]],Imput[[C. Imp.]:[C. Imp.]],$D162,Imput[[PERIODO Imp.]:[PERIODO Imp.]],CZ$9)</f>
        <v>0</v>
      </c>
      <c r="DA162" s="516">
        <f>SUMIFS(Imput[[Importe Neto]:[Importe Neto]],Imput[[C. Imp.]:[C. Imp.]],$D162,Imput[[PERIODO Imp.]:[PERIODO Imp.]],DA$9)</f>
        <v>0</v>
      </c>
      <c r="DB162" s="516">
        <f>SUMIFS(Imput[[Importe Neto]:[Importe Neto]],Imput[[C. Imp.]:[C. Imp.]],$D162,Imput[[PERIODO Imp.]:[PERIODO Imp.]],DB$9)</f>
        <v>0</v>
      </c>
      <c r="DC162" s="516">
        <f>SUMIFS(Imput[[Importe Neto]:[Importe Neto]],Imput[[C. Imp.]:[C. Imp.]],$D162,Imput[[PERIODO Imp.]:[PERIODO Imp.]],DC$9)</f>
        <v>0</v>
      </c>
      <c r="DD162" s="516">
        <f>SUMIFS(Imput[[Importe Neto]:[Importe Neto]],Imput[[C. Imp.]:[C. Imp.]],$D162,Imput[[PERIODO Imp.]:[PERIODO Imp.]],DD$9)</f>
        <v>0</v>
      </c>
      <c r="DE162" s="516">
        <f>SUMIFS(Imput[[Importe Neto]:[Importe Neto]],Imput[[C. Imp.]:[C. Imp.]],$D162,Imput[[PERIODO Imp.]:[PERIODO Imp.]],DE$9)</f>
        <v>0</v>
      </c>
      <c r="DF162" s="516">
        <f>SUMIFS(Imput[[Importe Neto]:[Importe Neto]],Imput[[C. Imp.]:[C. Imp.]],$D162,Imput[[PERIODO Imp.]:[PERIODO Imp.]],DF$9)</f>
        <v>0</v>
      </c>
      <c r="DG162" s="516">
        <f>SUMIFS(Imput[[Importe Neto]:[Importe Neto]],Imput[[C. Imp.]:[C. Imp.]],$D162,Imput[[PERIODO Imp.]:[PERIODO Imp.]],DG$9)</f>
        <v>0</v>
      </c>
      <c r="DH162" s="616">
        <f>SUMIFS(Imput[[Importe Neto]:[Importe Neto]],Imput[[C. Imp.]:[C. Imp.]],$D162,Imput[[PERIODO Imp.]:[PERIODO Imp.]],DH$9)</f>
        <v>0</v>
      </c>
    </row>
    <row r="163" spans="1:112" hidden="1" outlineLevel="1" x14ac:dyDescent="0.3">
      <c r="A163" s="66" t="str">
        <f t="shared" si="74"/>
        <v/>
      </c>
      <c r="C163" s="527"/>
      <c r="D163" s="528" t="s">
        <v>2271</v>
      </c>
      <c r="E163" s="536"/>
      <c r="F163" s="534"/>
      <c r="G163" s="529"/>
      <c r="H163" s="531"/>
      <c r="I163" s="849" t="str">
        <f t="shared" si="75"/>
        <v/>
      </c>
      <c r="J163" s="850" t="str">
        <f t="shared" si="76"/>
        <v/>
      </c>
      <c r="K163" s="70"/>
      <c r="L163" s="853"/>
      <c r="M163" s="855"/>
      <c r="N163" s="855"/>
      <c r="O163" s="855"/>
      <c r="P163" s="855"/>
      <c r="Q163" s="855"/>
      <c r="R163" s="855"/>
      <c r="S163" s="855"/>
      <c r="T163" s="855"/>
      <c r="U163" s="855"/>
      <c r="V163" s="855"/>
      <c r="W163" s="855"/>
      <c r="X163" s="855"/>
      <c r="Y163" s="855"/>
      <c r="Z163" s="856"/>
      <c r="AA163" s="856"/>
      <c r="AB163" s="856"/>
      <c r="AC163" s="856"/>
      <c r="AD163" s="856"/>
      <c r="AE163" s="856"/>
      <c r="AF163" s="856"/>
      <c r="AG163" s="856"/>
      <c r="AH163" s="856"/>
      <c r="AI163" s="856"/>
      <c r="AJ163" s="856"/>
      <c r="AK163" s="856"/>
      <c r="AL163" s="856"/>
      <c r="AM163" s="856"/>
      <c r="AN163" s="856"/>
      <c r="AO163" s="856"/>
      <c r="AP163" s="856"/>
      <c r="AQ163" s="856"/>
      <c r="AR163" s="856"/>
      <c r="AS163" s="856"/>
      <c r="AT163" s="856"/>
      <c r="AU163" s="856"/>
      <c r="AV163" s="856"/>
      <c r="AW163" s="856"/>
      <c r="AX163" s="856"/>
      <c r="AY163" s="856"/>
      <c r="AZ163" s="856"/>
      <c r="BA163" s="856"/>
      <c r="BB163" s="856"/>
      <c r="BC163" s="856"/>
      <c r="BD163" s="856"/>
      <c r="BE163" s="856"/>
      <c r="BF163" s="856"/>
      <c r="BG163" s="857"/>
      <c r="BH163" s="590"/>
      <c r="BI163" s="70"/>
      <c r="BJ163" s="518">
        <f t="shared" si="77"/>
        <v>0</v>
      </c>
      <c r="BK163" s="517">
        <f t="shared" si="78"/>
        <v>0</v>
      </c>
      <c r="BL163" s="68"/>
      <c r="BM163" s="515">
        <f>SUMIFS(Imput[[Importe Neto]:[Importe Neto]],Imput[[C. Imp.]:[C. Imp.]],$D163,Imput[[PERIODO Imp.]:[PERIODO Imp.]],BM$9)</f>
        <v>0</v>
      </c>
      <c r="BN163" s="516">
        <f>SUMIFS(Imput[[Importe Neto]:[Importe Neto]],Imput[[C. Imp.]:[C. Imp.]],$D163,Imput[[PERIODO Imp.]:[PERIODO Imp.]],BN$9)</f>
        <v>0</v>
      </c>
      <c r="BO163" s="516">
        <f>SUMIFS(Imput[[Importe Neto]:[Importe Neto]],Imput[[C. Imp.]:[C. Imp.]],$D163,Imput[[PERIODO Imp.]:[PERIODO Imp.]],BO$9)</f>
        <v>0</v>
      </c>
      <c r="BP163" s="516">
        <f>SUMIFS(Imput[[Importe Neto]:[Importe Neto]],Imput[[C. Imp.]:[C. Imp.]],$D163,Imput[[PERIODO Imp.]:[PERIODO Imp.]],BP$9)</f>
        <v>0</v>
      </c>
      <c r="BQ163" s="516">
        <f>SUMIFS(Imput[[Importe Neto]:[Importe Neto]],Imput[[C. Imp.]:[C. Imp.]],$D163,Imput[[PERIODO Imp.]:[PERIODO Imp.]],BQ$9)</f>
        <v>0</v>
      </c>
      <c r="BR163" s="516">
        <f>SUMIFS(Imput[[Importe Neto]:[Importe Neto]],Imput[[C. Imp.]:[C. Imp.]],$D163,Imput[[PERIODO Imp.]:[PERIODO Imp.]],BR$9)</f>
        <v>0</v>
      </c>
      <c r="BS163" s="516">
        <f>SUMIFS(Imput[[Importe Neto]:[Importe Neto]],Imput[[C. Imp.]:[C. Imp.]],$D163,Imput[[PERIODO Imp.]:[PERIODO Imp.]],BS$9)</f>
        <v>0</v>
      </c>
      <c r="BT163" s="516">
        <f>SUMIFS(Imput[[Importe Neto]:[Importe Neto]],Imput[[C. Imp.]:[C. Imp.]],$D163,Imput[[PERIODO Imp.]:[PERIODO Imp.]],BT$9)</f>
        <v>0</v>
      </c>
      <c r="BU163" s="516">
        <f>SUMIFS(Imput[[Importe Neto]:[Importe Neto]],Imput[[C. Imp.]:[C. Imp.]],$D163,Imput[[PERIODO Imp.]:[PERIODO Imp.]],BU$9)</f>
        <v>0</v>
      </c>
      <c r="BV163" s="516">
        <f>SUMIFS(Imput[[Importe Neto]:[Importe Neto]],Imput[[C. Imp.]:[C. Imp.]],$D163,Imput[[PERIODO Imp.]:[PERIODO Imp.]],BV$9)</f>
        <v>0</v>
      </c>
      <c r="BW163" s="516">
        <f>SUMIFS(Imput[[Importe Neto]:[Importe Neto]],Imput[[C. Imp.]:[C. Imp.]],$D163,Imput[[PERIODO Imp.]:[PERIODO Imp.]],BW$9)</f>
        <v>0</v>
      </c>
      <c r="BX163" s="516">
        <f>SUMIFS(Imput[[Importe Neto]:[Importe Neto]],Imput[[C. Imp.]:[C. Imp.]],$D163,Imput[[PERIODO Imp.]:[PERIODO Imp.]],BX$9)</f>
        <v>0</v>
      </c>
      <c r="BY163" s="516">
        <f>SUMIFS(Imput[[Importe Neto]:[Importe Neto]],Imput[[C. Imp.]:[C. Imp.]],$D163,Imput[[PERIODO Imp.]:[PERIODO Imp.]],BY$9)</f>
        <v>0</v>
      </c>
      <c r="BZ163" s="516">
        <f>SUMIFS(Imput[[Importe Neto]:[Importe Neto]],Imput[[C. Imp.]:[C. Imp.]],$D163,Imput[[PERIODO Imp.]:[PERIODO Imp.]],BZ$9)</f>
        <v>0</v>
      </c>
      <c r="CA163" s="516">
        <f>SUMIFS(Imput[[Importe Neto]:[Importe Neto]],Imput[[C. Imp.]:[C. Imp.]],$D163,Imput[[PERIODO Imp.]:[PERIODO Imp.]],CA$9)</f>
        <v>0</v>
      </c>
      <c r="CB163" s="516">
        <f>SUMIFS(Imput[[Importe Neto]:[Importe Neto]],Imput[[C. Imp.]:[C. Imp.]],$D163,Imput[[PERIODO Imp.]:[PERIODO Imp.]],CB$9)</f>
        <v>0</v>
      </c>
      <c r="CC163" s="516">
        <f>SUMIFS(Imput[[Importe Neto]:[Importe Neto]],Imput[[C. Imp.]:[C. Imp.]],$D163,Imput[[PERIODO Imp.]:[PERIODO Imp.]],CC$9)</f>
        <v>0</v>
      </c>
      <c r="CD163" s="516">
        <f>SUMIFS(Imput[[Importe Neto]:[Importe Neto]],Imput[[C. Imp.]:[C. Imp.]],$D163,Imput[[PERIODO Imp.]:[PERIODO Imp.]],CD$9)</f>
        <v>0</v>
      </c>
      <c r="CE163" s="516">
        <f>SUMIFS(Imput[[Importe Neto]:[Importe Neto]],Imput[[C. Imp.]:[C. Imp.]],$D163,Imput[[PERIODO Imp.]:[PERIODO Imp.]],CE$9)</f>
        <v>0</v>
      </c>
      <c r="CF163" s="516">
        <f>SUMIFS(Imput[[Importe Neto]:[Importe Neto]],Imput[[C. Imp.]:[C. Imp.]],$D163,Imput[[PERIODO Imp.]:[PERIODO Imp.]],CF$9)</f>
        <v>0</v>
      </c>
      <c r="CG163" s="516">
        <f>SUMIFS(Imput[[Importe Neto]:[Importe Neto]],Imput[[C. Imp.]:[C. Imp.]],$D163,Imput[[PERIODO Imp.]:[PERIODO Imp.]],CG$9)</f>
        <v>0</v>
      </c>
      <c r="CH163" s="516">
        <f>SUMIFS(Imput[[Importe Neto]:[Importe Neto]],Imput[[C. Imp.]:[C. Imp.]],$D163,Imput[[PERIODO Imp.]:[PERIODO Imp.]],CH$9)</f>
        <v>0</v>
      </c>
      <c r="CI163" s="516">
        <f>SUMIFS(Imput[[Importe Neto]:[Importe Neto]],Imput[[C. Imp.]:[C. Imp.]],$D163,Imput[[PERIODO Imp.]:[PERIODO Imp.]],CI$9)</f>
        <v>0</v>
      </c>
      <c r="CJ163" s="516">
        <f>SUMIFS(Imput[[Importe Neto]:[Importe Neto]],Imput[[C. Imp.]:[C. Imp.]],$D163,Imput[[PERIODO Imp.]:[PERIODO Imp.]],CJ$9)</f>
        <v>0</v>
      </c>
      <c r="CK163" s="516">
        <f>SUMIFS(Imput[[Importe Neto]:[Importe Neto]],Imput[[C. Imp.]:[C. Imp.]],$D163,Imput[[PERIODO Imp.]:[PERIODO Imp.]],CK$9)</f>
        <v>0</v>
      </c>
      <c r="CL163" s="516">
        <f>SUMIFS(Imput[[Importe Neto]:[Importe Neto]],Imput[[C. Imp.]:[C. Imp.]],$D163,Imput[[PERIODO Imp.]:[PERIODO Imp.]],CL$9)</f>
        <v>0</v>
      </c>
      <c r="CM163" s="516">
        <f>SUMIFS(Imput[[Importe Neto]:[Importe Neto]],Imput[[C. Imp.]:[C. Imp.]],$D163,Imput[[PERIODO Imp.]:[PERIODO Imp.]],CM$9)</f>
        <v>0</v>
      </c>
      <c r="CN163" s="516">
        <f>SUMIFS(Imput[[Importe Neto]:[Importe Neto]],Imput[[C. Imp.]:[C. Imp.]],$D163,Imput[[PERIODO Imp.]:[PERIODO Imp.]],CN$9)</f>
        <v>0</v>
      </c>
      <c r="CO163" s="516">
        <f>SUMIFS(Imput[[Importe Neto]:[Importe Neto]],Imput[[C. Imp.]:[C. Imp.]],$D163,Imput[[PERIODO Imp.]:[PERIODO Imp.]],CO$9)</f>
        <v>0</v>
      </c>
      <c r="CP163" s="516">
        <f>SUMIFS(Imput[[Importe Neto]:[Importe Neto]],Imput[[C. Imp.]:[C. Imp.]],$D163,Imput[[PERIODO Imp.]:[PERIODO Imp.]],CP$9)</f>
        <v>0</v>
      </c>
      <c r="CQ163" s="516">
        <f>SUMIFS(Imput[[Importe Neto]:[Importe Neto]],Imput[[C. Imp.]:[C. Imp.]],$D163,Imput[[PERIODO Imp.]:[PERIODO Imp.]],CQ$9)</f>
        <v>0</v>
      </c>
      <c r="CR163" s="516">
        <f>SUMIFS(Imput[[Importe Neto]:[Importe Neto]],Imput[[C. Imp.]:[C. Imp.]],$D163,Imput[[PERIODO Imp.]:[PERIODO Imp.]],CR$9)</f>
        <v>0</v>
      </c>
      <c r="CS163" s="516">
        <f>SUMIFS(Imput[[Importe Neto]:[Importe Neto]],Imput[[C. Imp.]:[C. Imp.]],$D163,Imput[[PERIODO Imp.]:[PERIODO Imp.]],CS$9)</f>
        <v>0</v>
      </c>
      <c r="CT163" s="516">
        <f>SUMIFS(Imput[[Importe Neto]:[Importe Neto]],Imput[[C. Imp.]:[C. Imp.]],$D163,Imput[[PERIODO Imp.]:[PERIODO Imp.]],CT$9)</f>
        <v>0</v>
      </c>
      <c r="CU163" s="516">
        <f>SUMIFS(Imput[[Importe Neto]:[Importe Neto]],Imput[[C. Imp.]:[C. Imp.]],$D163,Imput[[PERIODO Imp.]:[PERIODO Imp.]],CU$9)</f>
        <v>0</v>
      </c>
      <c r="CV163" s="516">
        <f>SUMIFS(Imput[[Importe Neto]:[Importe Neto]],Imput[[C. Imp.]:[C. Imp.]],$D163,Imput[[PERIODO Imp.]:[PERIODO Imp.]],CV$9)</f>
        <v>0</v>
      </c>
      <c r="CW163" s="516">
        <f>SUMIFS(Imput[[Importe Neto]:[Importe Neto]],Imput[[C. Imp.]:[C. Imp.]],$D163,Imput[[PERIODO Imp.]:[PERIODO Imp.]],CW$9)</f>
        <v>0</v>
      </c>
      <c r="CX163" s="516">
        <f>SUMIFS(Imput[[Importe Neto]:[Importe Neto]],Imput[[C. Imp.]:[C. Imp.]],$D163,Imput[[PERIODO Imp.]:[PERIODO Imp.]],CX$9)</f>
        <v>0</v>
      </c>
      <c r="CY163" s="516">
        <f>SUMIFS(Imput[[Importe Neto]:[Importe Neto]],Imput[[C. Imp.]:[C. Imp.]],$D163,Imput[[PERIODO Imp.]:[PERIODO Imp.]],CY$9)</f>
        <v>0</v>
      </c>
      <c r="CZ163" s="516">
        <f>SUMIFS(Imput[[Importe Neto]:[Importe Neto]],Imput[[C. Imp.]:[C. Imp.]],$D163,Imput[[PERIODO Imp.]:[PERIODO Imp.]],CZ$9)</f>
        <v>0</v>
      </c>
      <c r="DA163" s="516">
        <f>SUMIFS(Imput[[Importe Neto]:[Importe Neto]],Imput[[C. Imp.]:[C. Imp.]],$D163,Imput[[PERIODO Imp.]:[PERIODO Imp.]],DA$9)</f>
        <v>0</v>
      </c>
      <c r="DB163" s="516">
        <f>SUMIFS(Imput[[Importe Neto]:[Importe Neto]],Imput[[C. Imp.]:[C. Imp.]],$D163,Imput[[PERIODO Imp.]:[PERIODO Imp.]],DB$9)</f>
        <v>0</v>
      </c>
      <c r="DC163" s="516">
        <f>SUMIFS(Imput[[Importe Neto]:[Importe Neto]],Imput[[C. Imp.]:[C. Imp.]],$D163,Imput[[PERIODO Imp.]:[PERIODO Imp.]],DC$9)</f>
        <v>0</v>
      </c>
      <c r="DD163" s="516">
        <f>SUMIFS(Imput[[Importe Neto]:[Importe Neto]],Imput[[C. Imp.]:[C. Imp.]],$D163,Imput[[PERIODO Imp.]:[PERIODO Imp.]],DD$9)</f>
        <v>0</v>
      </c>
      <c r="DE163" s="516">
        <f>SUMIFS(Imput[[Importe Neto]:[Importe Neto]],Imput[[C. Imp.]:[C. Imp.]],$D163,Imput[[PERIODO Imp.]:[PERIODO Imp.]],DE$9)</f>
        <v>0</v>
      </c>
      <c r="DF163" s="516">
        <f>SUMIFS(Imput[[Importe Neto]:[Importe Neto]],Imput[[C. Imp.]:[C. Imp.]],$D163,Imput[[PERIODO Imp.]:[PERIODO Imp.]],DF$9)</f>
        <v>0</v>
      </c>
      <c r="DG163" s="516">
        <f>SUMIFS(Imput[[Importe Neto]:[Importe Neto]],Imput[[C. Imp.]:[C. Imp.]],$D163,Imput[[PERIODO Imp.]:[PERIODO Imp.]],DG$9)</f>
        <v>0</v>
      </c>
      <c r="DH163" s="616">
        <f>SUMIFS(Imput[[Importe Neto]:[Importe Neto]],Imput[[C. Imp.]:[C. Imp.]],$D163,Imput[[PERIODO Imp.]:[PERIODO Imp.]],DH$9)</f>
        <v>0</v>
      </c>
    </row>
    <row r="164" spans="1:112" hidden="1" outlineLevel="1" x14ac:dyDescent="0.3">
      <c r="A164" s="66" t="str">
        <f t="shared" si="74"/>
        <v/>
      </c>
      <c r="C164" s="527"/>
      <c r="D164" s="528" t="s">
        <v>2272</v>
      </c>
      <c r="E164" s="536"/>
      <c r="F164" s="534"/>
      <c r="G164" s="529"/>
      <c r="H164" s="531"/>
      <c r="I164" s="849" t="str">
        <f t="shared" si="75"/>
        <v/>
      </c>
      <c r="J164" s="850" t="str">
        <f t="shared" si="76"/>
        <v/>
      </c>
      <c r="K164" s="70"/>
      <c r="L164" s="853"/>
      <c r="M164" s="855"/>
      <c r="N164" s="855"/>
      <c r="O164" s="855"/>
      <c r="P164" s="855"/>
      <c r="Q164" s="855"/>
      <c r="R164" s="855"/>
      <c r="S164" s="855"/>
      <c r="T164" s="855"/>
      <c r="U164" s="855"/>
      <c r="V164" s="855"/>
      <c r="W164" s="855"/>
      <c r="X164" s="855"/>
      <c r="Y164" s="855"/>
      <c r="Z164" s="856"/>
      <c r="AA164" s="856"/>
      <c r="AB164" s="856"/>
      <c r="AC164" s="856"/>
      <c r="AD164" s="856"/>
      <c r="AE164" s="856"/>
      <c r="AF164" s="856"/>
      <c r="AG164" s="856"/>
      <c r="AH164" s="856"/>
      <c r="AI164" s="856"/>
      <c r="AJ164" s="856"/>
      <c r="AK164" s="856"/>
      <c r="AL164" s="856"/>
      <c r="AM164" s="856"/>
      <c r="AN164" s="856"/>
      <c r="AO164" s="856"/>
      <c r="AP164" s="856"/>
      <c r="AQ164" s="856"/>
      <c r="AR164" s="856"/>
      <c r="AS164" s="856"/>
      <c r="AT164" s="856"/>
      <c r="AU164" s="856"/>
      <c r="AV164" s="856"/>
      <c r="AW164" s="856"/>
      <c r="AX164" s="856"/>
      <c r="AY164" s="856"/>
      <c r="AZ164" s="856"/>
      <c r="BA164" s="856"/>
      <c r="BB164" s="856"/>
      <c r="BC164" s="856"/>
      <c r="BD164" s="856"/>
      <c r="BE164" s="856"/>
      <c r="BF164" s="856"/>
      <c r="BG164" s="857"/>
      <c r="BH164" s="590"/>
      <c r="BI164" s="70"/>
      <c r="BJ164" s="518">
        <f t="shared" si="77"/>
        <v>0</v>
      </c>
      <c r="BK164" s="517">
        <f t="shared" si="78"/>
        <v>0</v>
      </c>
      <c r="BL164" s="68"/>
      <c r="BM164" s="515">
        <f>SUMIFS(Imput[[Importe Neto]:[Importe Neto]],Imput[[C. Imp.]:[C. Imp.]],$D164,Imput[[PERIODO Imp.]:[PERIODO Imp.]],BM$9)</f>
        <v>0</v>
      </c>
      <c r="BN164" s="516">
        <f>SUMIFS(Imput[[Importe Neto]:[Importe Neto]],Imput[[C. Imp.]:[C. Imp.]],$D164,Imput[[PERIODO Imp.]:[PERIODO Imp.]],BN$9)</f>
        <v>0</v>
      </c>
      <c r="BO164" s="516">
        <f>SUMIFS(Imput[[Importe Neto]:[Importe Neto]],Imput[[C. Imp.]:[C. Imp.]],$D164,Imput[[PERIODO Imp.]:[PERIODO Imp.]],BO$9)</f>
        <v>0</v>
      </c>
      <c r="BP164" s="516">
        <f>SUMIFS(Imput[[Importe Neto]:[Importe Neto]],Imput[[C. Imp.]:[C. Imp.]],$D164,Imput[[PERIODO Imp.]:[PERIODO Imp.]],BP$9)</f>
        <v>0</v>
      </c>
      <c r="BQ164" s="516">
        <f>SUMIFS(Imput[[Importe Neto]:[Importe Neto]],Imput[[C. Imp.]:[C. Imp.]],$D164,Imput[[PERIODO Imp.]:[PERIODO Imp.]],BQ$9)</f>
        <v>0</v>
      </c>
      <c r="BR164" s="516">
        <f>SUMIFS(Imput[[Importe Neto]:[Importe Neto]],Imput[[C. Imp.]:[C. Imp.]],$D164,Imput[[PERIODO Imp.]:[PERIODO Imp.]],BR$9)</f>
        <v>0</v>
      </c>
      <c r="BS164" s="516">
        <f>SUMIFS(Imput[[Importe Neto]:[Importe Neto]],Imput[[C. Imp.]:[C. Imp.]],$D164,Imput[[PERIODO Imp.]:[PERIODO Imp.]],BS$9)</f>
        <v>0</v>
      </c>
      <c r="BT164" s="516">
        <f>SUMIFS(Imput[[Importe Neto]:[Importe Neto]],Imput[[C. Imp.]:[C. Imp.]],$D164,Imput[[PERIODO Imp.]:[PERIODO Imp.]],BT$9)</f>
        <v>0</v>
      </c>
      <c r="BU164" s="516">
        <f>SUMIFS(Imput[[Importe Neto]:[Importe Neto]],Imput[[C. Imp.]:[C. Imp.]],$D164,Imput[[PERIODO Imp.]:[PERIODO Imp.]],BU$9)</f>
        <v>0</v>
      </c>
      <c r="BV164" s="516">
        <f>SUMIFS(Imput[[Importe Neto]:[Importe Neto]],Imput[[C. Imp.]:[C. Imp.]],$D164,Imput[[PERIODO Imp.]:[PERIODO Imp.]],BV$9)</f>
        <v>0</v>
      </c>
      <c r="BW164" s="516">
        <f>SUMIFS(Imput[[Importe Neto]:[Importe Neto]],Imput[[C. Imp.]:[C. Imp.]],$D164,Imput[[PERIODO Imp.]:[PERIODO Imp.]],BW$9)</f>
        <v>0</v>
      </c>
      <c r="BX164" s="516">
        <f>SUMIFS(Imput[[Importe Neto]:[Importe Neto]],Imput[[C. Imp.]:[C. Imp.]],$D164,Imput[[PERIODO Imp.]:[PERIODO Imp.]],BX$9)</f>
        <v>0</v>
      </c>
      <c r="BY164" s="516">
        <f>SUMIFS(Imput[[Importe Neto]:[Importe Neto]],Imput[[C. Imp.]:[C. Imp.]],$D164,Imput[[PERIODO Imp.]:[PERIODO Imp.]],BY$9)</f>
        <v>0</v>
      </c>
      <c r="BZ164" s="516">
        <f>SUMIFS(Imput[[Importe Neto]:[Importe Neto]],Imput[[C. Imp.]:[C. Imp.]],$D164,Imput[[PERIODO Imp.]:[PERIODO Imp.]],BZ$9)</f>
        <v>0</v>
      </c>
      <c r="CA164" s="516">
        <f>SUMIFS(Imput[[Importe Neto]:[Importe Neto]],Imput[[C. Imp.]:[C. Imp.]],$D164,Imput[[PERIODO Imp.]:[PERIODO Imp.]],CA$9)</f>
        <v>0</v>
      </c>
      <c r="CB164" s="516">
        <f>SUMIFS(Imput[[Importe Neto]:[Importe Neto]],Imput[[C. Imp.]:[C. Imp.]],$D164,Imput[[PERIODO Imp.]:[PERIODO Imp.]],CB$9)</f>
        <v>0</v>
      </c>
      <c r="CC164" s="516">
        <f>SUMIFS(Imput[[Importe Neto]:[Importe Neto]],Imput[[C. Imp.]:[C. Imp.]],$D164,Imput[[PERIODO Imp.]:[PERIODO Imp.]],CC$9)</f>
        <v>0</v>
      </c>
      <c r="CD164" s="516">
        <f>SUMIFS(Imput[[Importe Neto]:[Importe Neto]],Imput[[C. Imp.]:[C. Imp.]],$D164,Imput[[PERIODO Imp.]:[PERIODO Imp.]],CD$9)</f>
        <v>0</v>
      </c>
      <c r="CE164" s="516">
        <f>SUMIFS(Imput[[Importe Neto]:[Importe Neto]],Imput[[C. Imp.]:[C. Imp.]],$D164,Imput[[PERIODO Imp.]:[PERIODO Imp.]],CE$9)</f>
        <v>0</v>
      </c>
      <c r="CF164" s="516">
        <f>SUMIFS(Imput[[Importe Neto]:[Importe Neto]],Imput[[C. Imp.]:[C. Imp.]],$D164,Imput[[PERIODO Imp.]:[PERIODO Imp.]],CF$9)</f>
        <v>0</v>
      </c>
      <c r="CG164" s="516">
        <f>SUMIFS(Imput[[Importe Neto]:[Importe Neto]],Imput[[C. Imp.]:[C. Imp.]],$D164,Imput[[PERIODO Imp.]:[PERIODO Imp.]],CG$9)</f>
        <v>0</v>
      </c>
      <c r="CH164" s="516">
        <f>SUMIFS(Imput[[Importe Neto]:[Importe Neto]],Imput[[C. Imp.]:[C. Imp.]],$D164,Imput[[PERIODO Imp.]:[PERIODO Imp.]],CH$9)</f>
        <v>0</v>
      </c>
      <c r="CI164" s="516">
        <f>SUMIFS(Imput[[Importe Neto]:[Importe Neto]],Imput[[C. Imp.]:[C. Imp.]],$D164,Imput[[PERIODO Imp.]:[PERIODO Imp.]],CI$9)</f>
        <v>0</v>
      </c>
      <c r="CJ164" s="516">
        <f>SUMIFS(Imput[[Importe Neto]:[Importe Neto]],Imput[[C. Imp.]:[C. Imp.]],$D164,Imput[[PERIODO Imp.]:[PERIODO Imp.]],CJ$9)</f>
        <v>0</v>
      </c>
      <c r="CK164" s="516">
        <f>SUMIFS(Imput[[Importe Neto]:[Importe Neto]],Imput[[C. Imp.]:[C. Imp.]],$D164,Imput[[PERIODO Imp.]:[PERIODO Imp.]],CK$9)</f>
        <v>0</v>
      </c>
      <c r="CL164" s="516">
        <f>SUMIFS(Imput[[Importe Neto]:[Importe Neto]],Imput[[C. Imp.]:[C. Imp.]],$D164,Imput[[PERIODO Imp.]:[PERIODO Imp.]],CL$9)</f>
        <v>0</v>
      </c>
      <c r="CM164" s="516">
        <f>SUMIFS(Imput[[Importe Neto]:[Importe Neto]],Imput[[C. Imp.]:[C. Imp.]],$D164,Imput[[PERIODO Imp.]:[PERIODO Imp.]],CM$9)</f>
        <v>0</v>
      </c>
      <c r="CN164" s="516">
        <f>SUMIFS(Imput[[Importe Neto]:[Importe Neto]],Imput[[C. Imp.]:[C. Imp.]],$D164,Imput[[PERIODO Imp.]:[PERIODO Imp.]],CN$9)</f>
        <v>0</v>
      </c>
      <c r="CO164" s="516">
        <f>SUMIFS(Imput[[Importe Neto]:[Importe Neto]],Imput[[C. Imp.]:[C. Imp.]],$D164,Imput[[PERIODO Imp.]:[PERIODO Imp.]],CO$9)</f>
        <v>0</v>
      </c>
      <c r="CP164" s="516">
        <f>SUMIFS(Imput[[Importe Neto]:[Importe Neto]],Imput[[C. Imp.]:[C. Imp.]],$D164,Imput[[PERIODO Imp.]:[PERIODO Imp.]],CP$9)</f>
        <v>0</v>
      </c>
      <c r="CQ164" s="516">
        <f>SUMIFS(Imput[[Importe Neto]:[Importe Neto]],Imput[[C. Imp.]:[C. Imp.]],$D164,Imput[[PERIODO Imp.]:[PERIODO Imp.]],CQ$9)</f>
        <v>0</v>
      </c>
      <c r="CR164" s="516">
        <f>SUMIFS(Imput[[Importe Neto]:[Importe Neto]],Imput[[C. Imp.]:[C. Imp.]],$D164,Imput[[PERIODO Imp.]:[PERIODO Imp.]],CR$9)</f>
        <v>0</v>
      </c>
      <c r="CS164" s="516">
        <f>SUMIFS(Imput[[Importe Neto]:[Importe Neto]],Imput[[C. Imp.]:[C. Imp.]],$D164,Imput[[PERIODO Imp.]:[PERIODO Imp.]],CS$9)</f>
        <v>0</v>
      </c>
      <c r="CT164" s="516">
        <f>SUMIFS(Imput[[Importe Neto]:[Importe Neto]],Imput[[C. Imp.]:[C. Imp.]],$D164,Imput[[PERIODO Imp.]:[PERIODO Imp.]],CT$9)</f>
        <v>0</v>
      </c>
      <c r="CU164" s="516">
        <f>SUMIFS(Imput[[Importe Neto]:[Importe Neto]],Imput[[C. Imp.]:[C. Imp.]],$D164,Imput[[PERIODO Imp.]:[PERIODO Imp.]],CU$9)</f>
        <v>0</v>
      </c>
      <c r="CV164" s="516">
        <f>SUMIFS(Imput[[Importe Neto]:[Importe Neto]],Imput[[C. Imp.]:[C. Imp.]],$D164,Imput[[PERIODO Imp.]:[PERIODO Imp.]],CV$9)</f>
        <v>0</v>
      </c>
      <c r="CW164" s="516">
        <f>SUMIFS(Imput[[Importe Neto]:[Importe Neto]],Imput[[C. Imp.]:[C. Imp.]],$D164,Imput[[PERIODO Imp.]:[PERIODO Imp.]],CW$9)</f>
        <v>0</v>
      </c>
      <c r="CX164" s="516">
        <f>SUMIFS(Imput[[Importe Neto]:[Importe Neto]],Imput[[C. Imp.]:[C. Imp.]],$D164,Imput[[PERIODO Imp.]:[PERIODO Imp.]],CX$9)</f>
        <v>0</v>
      </c>
      <c r="CY164" s="516">
        <f>SUMIFS(Imput[[Importe Neto]:[Importe Neto]],Imput[[C. Imp.]:[C. Imp.]],$D164,Imput[[PERIODO Imp.]:[PERIODO Imp.]],CY$9)</f>
        <v>0</v>
      </c>
      <c r="CZ164" s="516">
        <f>SUMIFS(Imput[[Importe Neto]:[Importe Neto]],Imput[[C. Imp.]:[C. Imp.]],$D164,Imput[[PERIODO Imp.]:[PERIODO Imp.]],CZ$9)</f>
        <v>0</v>
      </c>
      <c r="DA164" s="516">
        <f>SUMIFS(Imput[[Importe Neto]:[Importe Neto]],Imput[[C. Imp.]:[C. Imp.]],$D164,Imput[[PERIODO Imp.]:[PERIODO Imp.]],DA$9)</f>
        <v>0</v>
      </c>
      <c r="DB164" s="516">
        <f>SUMIFS(Imput[[Importe Neto]:[Importe Neto]],Imput[[C. Imp.]:[C. Imp.]],$D164,Imput[[PERIODO Imp.]:[PERIODO Imp.]],DB$9)</f>
        <v>0</v>
      </c>
      <c r="DC164" s="516">
        <f>SUMIFS(Imput[[Importe Neto]:[Importe Neto]],Imput[[C. Imp.]:[C. Imp.]],$D164,Imput[[PERIODO Imp.]:[PERIODO Imp.]],DC$9)</f>
        <v>0</v>
      </c>
      <c r="DD164" s="516">
        <f>SUMIFS(Imput[[Importe Neto]:[Importe Neto]],Imput[[C. Imp.]:[C. Imp.]],$D164,Imput[[PERIODO Imp.]:[PERIODO Imp.]],DD$9)</f>
        <v>0</v>
      </c>
      <c r="DE164" s="516">
        <f>SUMIFS(Imput[[Importe Neto]:[Importe Neto]],Imput[[C. Imp.]:[C. Imp.]],$D164,Imput[[PERIODO Imp.]:[PERIODO Imp.]],DE$9)</f>
        <v>0</v>
      </c>
      <c r="DF164" s="516">
        <f>SUMIFS(Imput[[Importe Neto]:[Importe Neto]],Imput[[C. Imp.]:[C. Imp.]],$D164,Imput[[PERIODO Imp.]:[PERIODO Imp.]],DF$9)</f>
        <v>0</v>
      </c>
      <c r="DG164" s="516">
        <f>SUMIFS(Imput[[Importe Neto]:[Importe Neto]],Imput[[C. Imp.]:[C. Imp.]],$D164,Imput[[PERIODO Imp.]:[PERIODO Imp.]],DG$9)</f>
        <v>0</v>
      </c>
      <c r="DH164" s="616">
        <f>SUMIFS(Imput[[Importe Neto]:[Importe Neto]],Imput[[C. Imp.]:[C. Imp.]],$D164,Imput[[PERIODO Imp.]:[PERIODO Imp.]],DH$9)</f>
        <v>0</v>
      </c>
    </row>
    <row r="165" spans="1:112" hidden="1" outlineLevel="1" x14ac:dyDescent="0.3">
      <c r="A165" s="66" t="str">
        <f t="shared" si="74"/>
        <v/>
      </c>
      <c r="C165" s="527"/>
      <c r="D165" s="528" t="s">
        <v>2273</v>
      </c>
      <c r="E165" s="536"/>
      <c r="F165" s="534"/>
      <c r="G165" s="529"/>
      <c r="H165" s="531"/>
      <c r="I165" s="849" t="str">
        <f t="shared" si="75"/>
        <v/>
      </c>
      <c r="J165" s="850" t="str">
        <f t="shared" si="76"/>
        <v/>
      </c>
      <c r="K165" s="70"/>
      <c r="L165" s="853"/>
      <c r="M165" s="855"/>
      <c r="N165" s="855"/>
      <c r="O165" s="855"/>
      <c r="P165" s="855"/>
      <c r="Q165" s="855"/>
      <c r="R165" s="855"/>
      <c r="S165" s="855"/>
      <c r="T165" s="855"/>
      <c r="U165" s="855"/>
      <c r="V165" s="855"/>
      <c r="W165" s="855"/>
      <c r="X165" s="855"/>
      <c r="Y165" s="855"/>
      <c r="Z165" s="856"/>
      <c r="AA165" s="856"/>
      <c r="AB165" s="856"/>
      <c r="AC165" s="856"/>
      <c r="AD165" s="856"/>
      <c r="AE165" s="856"/>
      <c r="AF165" s="856"/>
      <c r="AG165" s="856"/>
      <c r="AH165" s="856"/>
      <c r="AI165" s="856"/>
      <c r="AJ165" s="856"/>
      <c r="AK165" s="856"/>
      <c r="AL165" s="856"/>
      <c r="AM165" s="856"/>
      <c r="AN165" s="856"/>
      <c r="AO165" s="856"/>
      <c r="AP165" s="856"/>
      <c r="AQ165" s="856"/>
      <c r="AR165" s="856"/>
      <c r="AS165" s="856"/>
      <c r="AT165" s="856"/>
      <c r="AU165" s="856"/>
      <c r="AV165" s="856"/>
      <c r="AW165" s="856"/>
      <c r="AX165" s="856"/>
      <c r="AY165" s="856"/>
      <c r="AZ165" s="856"/>
      <c r="BA165" s="856"/>
      <c r="BB165" s="856"/>
      <c r="BC165" s="856"/>
      <c r="BD165" s="856"/>
      <c r="BE165" s="856"/>
      <c r="BF165" s="856"/>
      <c r="BG165" s="857"/>
      <c r="BH165" s="590"/>
      <c r="BI165" s="70"/>
      <c r="BJ165" s="518">
        <f t="shared" si="77"/>
        <v>0</v>
      </c>
      <c r="BK165" s="517">
        <f t="shared" si="78"/>
        <v>0</v>
      </c>
      <c r="BL165" s="68"/>
      <c r="BM165" s="515">
        <f>SUMIFS(Imput[[Importe Neto]:[Importe Neto]],Imput[[C. Imp.]:[C. Imp.]],$D165,Imput[[PERIODO Imp.]:[PERIODO Imp.]],BM$9)</f>
        <v>0</v>
      </c>
      <c r="BN165" s="516">
        <f>SUMIFS(Imput[[Importe Neto]:[Importe Neto]],Imput[[C. Imp.]:[C. Imp.]],$D165,Imput[[PERIODO Imp.]:[PERIODO Imp.]],BN$9)</f>
        <v>0</v>
      </c>
      <c r="BO165" s="516">
        <f>SUMIFS(Imput[[Importe Neto]:[Importe Neto]],Imput[[C. Imp.]:[C. Imp.]],$D165,Imput[[PERIODO Imp.]:[PERIODO Imp.]],BO$9)</f>
        <v>0</v>
      </c>
      <c r="BP165" s="516">
        <f>SUMIFS(Imput[[Importe Neto]:[Importe Neto]],Imput[[C. Imp.]:[C. Imp.]],$D165,Imput[[PERIODO Imp.]:[PERIODO Imp.]],BP$9)</f>
        <v>0</v>
      </c>
      <c r="BQ165" s="516">
        <f>SUMIFS(Imput[[Importe Neto]:[Importe Neto]],Imput[[C. Imp.]:[C. Imp.]],$D165,Imput[[PERIODO Imp.]:[PERIODO Imp.]],BQ$9)</f>
        <v>0</v>
      </c>
      <c r="BR165" s="516">
        <f>SUMIFS(Imput[[Importe Neto]:[Importe Neto]],Imput[[C. Imp.]:[C. Imp.]],$D165,Imput[[PERIODO Imp.]:[PERIODO Imp.]],BR$9)</f>
        <v>0</v>
      </c>
      <c r="BS165" s="516">
        <f>SUMIFS(Imput[[Importe Neto]:[Importe Neto]],Imput[[C. Imp.]:[C. Imp.]],$D165,Imput[[PERIODO Imp.]:[PERIODO Imp.]],BS$9)</f>
        <v>0</v>
      </c>
      <c r="BT165" s="516">
        <f>SUMIFS(Imput[[Importe Neto]:[Importe Neto]],Imput[[C. Imp.]:[C. Imp.]],$D165,Imput[[PERIODO Imp.]:[PERIODO Imp.]],BT$9)</f>
        <v>0</v>
      </c>
      <c r="BU165" s="516">
        <f>SUMIFS(Imput[[Importe Neto]:[Importe Neto]],Imput[[C. Imp.]:[C. Imp.]],$D165,Imput[[PERIODO Imp.]:[PERIODO Imp.]],BU$9)</f>
        <v>0</v>
      </c>
      <c r="BV165" s="516">
        <f>SUMIFS(Imput[[Importe Neto]:[Importe Neto]],Imput[[C. Imp.]:[C. Imp.]],$D165,Imput[[PERIODO Imp.]:[PERIODO Imp.]],BV$9)</f>
        <v>0</v>
      </c>
      <c r="BW165" s="516">
        <f>SUMIFS(Imput[[Importe Neto]:[Importe Neto]],Imput[[C. Imp.]:[C. Imp.]],$D165,Imput[[PERIODO Imp.]:[PERIODO Imp.]],BW$9)</f>
        <v>0</v>
      </c>
      <c r="BX165" s="516">
        <f>SUMIFS(Imput[[Importe Neto]:[Importe Neto]],Imput[[C. Imp.]:[C. Imp.]],$D165,Imput[[PERIODO Imp.]:[PERIODO Imp.]],BX$9)</f>
        <v>0</v>
      </c>
      <c r="BY165" s="516">
        <f>SUMIFS(Imput[[Importe Neto]:[Importe Neto]],Imput[[C. Imp.]:[C. Imp.]],$D165,Imput[[PERIODO Imp.]:[PERIODO Imp.]],BY$9)</f>
        <v>0</v>
      </c>
      <c r="BZ165" s="516">
        <f>SUMIFS(Imput[[Importe Neto]:[Importe Neto]],Imput[[C. Imp.]:[C. Imp.]],$D165,Imput[[PERIODO Imp.]:[PERIODO Imp.]],BZ$9)</f>
        <v>0</v>
      </c>
      <c r="CA165" s="516">
        <f>SUMIFS(Imput[[Importe Neto]:[Importe Neto]],Imput[[C. Imp.]:[C. Imp.]],$D165,Imput[[PERIODO Imp.]:[PERIODO Imp.]],CA$9)</f>
        <v>0</v>
      </c>
      <c r="CB165" s="516">
        <f>SUMIFS(Imput[[Importe Neto]:[Importe Neto]],Imput[[C. Imp.]:[C. Imp.]],$D165,Imput[[PERIODO Imp.]:[PERIODO Imp.]],CB$9)</f>
        <v>0</v>
      </c>
      <c r="CC165" s="516">
        <f>SUMIFS(Imput[[Importe Neto]:[Importe Neto]],Imput[[C. Imp.]:[C. Imp.]],$D165,Imput[[PERIODO Imp.]:[PERIODO Imp.]],CC$9)</f>
        <v>0</v>
      </c>
      <c r="CD165" s="516">
        <f>SUMIFS(Imput[[Importe Neto]:[Importe Neto]],Imput[[C. Imp.]:[C. Imp.]],$D165,Imput[[PERIODO Imp.]:[PERIODO Imp.]],CD$9)</f>
        <v>0</v>
      </c>
      <c r="CE165" s="516">
        <f>SUMIFS(Imput[[Importe Neto]:[Importe Neto]],Imput[[C. Imp.]:[C. Imp.]],$D165,Imput[[PERIODO Imp.]:[PERIODO Imp.]],CE$9)</f>
        <v>0</v>
      </c>
      <c r="CF165" s="516">
        <f>SUMIFS(Imput[[Importe Neto]:[Importe Neto]],Imput[[C. Imp.]:[C. Imp.]],$D165,Imput[[PERIODO Imp.]:[PERIODO Imp.]],CF$9)</f>
        <v>0</v>
      </c>
      <c r="CG165" s="516">
        <f>SUMIFS(Imput[[Importe Neto]:[Importe Neto]],Imput[[C. Imp.]:[C. Imp.]],$D165,Imput[[PERIODO Imp.]:[PERIODO Imp.]],CG$9)</f>
        <v>0</v>
      </c>
      <c r="CH165" s="516">
        <f>SUMIFS(Imput[[Importe Neto]:[Importe Neto]],Imput[[C. Imp.]:[C. Imp.]],$D165,Imput[[PERIODO Imp.]:[PERIODO Imp.]],CH$9)</f>
        <v>0</v>
      </c>
      <c r="CI165" s="516">
        <f>SUMIFS(Imput[[Importe Neto]:[Importe Neto]],Imput[[C. Imp.]:[C. Imp.]],$D165,Imput[[PERIODO Imp.]:[PERIODO Imp.]],CI$9)</f>
        <v>0</v>
      </c>
      <c r="CJ165" s="516">
        <f>SUMIFS(Imput[[Importe Neto]:[Importe Neto]],Imput[[C. Imp.]:[C. Imp.]],$D165,Imput[[PERIODO Imp.]:[PERIODO Imp.]],CJ$9)</f>
        <v>0</v>
      </c>
      <c r="CK165" s="516">
        <f>SUMIFS(Imput[[Importe Neto]:[Importe Neto]],Imput[[C. Imp.]:[C. Imp.]],$D165,Imput[[PERIODO Imp.]:[PERIODO Imp.]],CK$9)</f>
        <v>0</v>
      </c>
      <c r="CL165" s="516">
        <f>SUMIFS(Imput[[Importe Neto]:[Importe Neto]],Imput[[C. Imp.]:[C. Imp.]],$D165,Imput[[PERIODO Imp.]:[PERIODO Imp.]],CL$9)</f>
        <v>0</v>
      </c>
      <c r="CM165" s="516">
        <f>SUMIFS(Imput[[Importe Neto]:[Importe Neto]],Imput[[C. Imp.]:[C. Imp.]],$D165,Imput[[PERIODO Imp.]:[PERIODO Imp.]],CM$9)</f>
        <v>0</v>
      </c>
      <c r="CN165" s="516">
        <f>SUMIFS(Imput[[Importe Neto]:[Importe Neto]],Imput[[C. Imp.]:[C. Imp.]],$D165,Imput[[PERIODO Imp.]:[PERIODO Imp.]],CN$9)</f>
        <v>0</v>
      </c>
      <c r="CO165" s="516">
        <f>SUMIFS(Imput[[Importe Neto]:[Importe Neto]],Imput[[C. Imp.]:[C. Imp.]],$D165,Imput[[PERIODO Imp.]:[PERIODO Imp.]],CO$9)</f>
        <v>0</v>
      </c>
      <c r="CP165" s="516">
        <f>SUMIFS(Imput[[Importe Neto]:[Importe Neto]],Imput[[C. Imp.]:[C. Imp.]],$D165,Imput[[PERIODO Imp.]:[PERIODO Imp.]],CP$9)</f>
        <v>0</v>
      </c>
      <c r="CQ165" s="516">
        <f>SUMIFS(Imput[[Importe Neto]:[Importe Neto]],Imput[[C. Imp.]:[C. Imp.]],$D165,Imput[[PERIODO Imp.]:[PERIODO Imp.]],CQ$9)</f>
        <v>0</v>
      </c>
      <c r="CR165" s="516">
        <f>SUMIFS(Imput[[Importe Neto]:[Importe Neto]],Imput[[C. Imp.]:[C. Imp.]],$D165,Imput[[PERIODO Imp.]:[PERIODO Imp.]],CR$9)</f>
        <v>0</v>
      </c>
      <c r="CS165" s="516">
        <f>SUMIFS(Imput[[Importe Neto]:[Importe Neto]],Imput[[C. Imp.]:[C. Imp.]],$D165,Imput[[PERIODO Imp.]:[PERIODO Imp.]],CS$9)</f>
        <v>0</v>
      </c>
      <c r="CT165" s="516">
        <f>SUMIFS(Imput[[Importe Neto]:[Importe Neto]],Imput[[C. Imp.]:[C. Imp.]],$D165,Imput[[PERIODO Imp.]:[PERIODO Imp.]],CT$9)</f>
        <v>0</v>
      </c>
      <c r="CU165" s="516">
        <f>SUMIFS(Imput[[Importe Neto]:[Importe Neto]],Imput[[C. Imp.]:[C. Imp.]],$D165,Imput[[PERIODO Imp.]:[PERIODO Imp.]],CU$9)</f>
        <v>0</v>
      </c>
      <c r="CV165" s="516">
        <f>SUMIFS(Imput[[Importe Neto]:[Importe Neto]],Imput[[C. Imp.]:[C. Imp.]],$D165,Imput[[PERIODO Imp.]:[PERIODO Imp.]],CV$9)</f>
        <v>0</v>
      </c>
      <c r="CW165" s="516">
        <f>SUMIFS(Imput[[Importe Neto]:[Importe Neto]],Imput[[C. Imp.]:[C. Imp.]],$D165,Imput[[PERIODO Imp.]:[PERIODO Imp.]],CW$9)</f>
        <v>0</v>
      </c>
      <c r="CX165" s="516">
        <f>SUMIFS(Imput[[Importe Neto]:[Importe Neto]],Imput[[C. Imp.]:[C. Imp.]],$D165,Imput[[PERIODO Imp.]:[PERIODO Imp.]],CX$9)</f>
        <v>0</v>
      </c>
      <c r="CY165" s="516">
        <f>SUMIFS(Imput[[Importe Neto]:[Importe Neto]],Imput[[C. Imp.]:[C. Imp.]],$D165,Imput[[PERIODO Imp.]:[PERIODO Imp.]],CY$9)</f>
        <v>0</v>
      </c>
      <c r="CZ165" s="516">
        <f>SUMIFS(Imput[[Importe Neto]:[Importe Neto]],Imput[[C. Imp.]:[C. Imp.]],$D165,Imput[[PERIODO Imp.]:[PERIODO Imp.]],CZ$9)</f>
        <v>0</v>
      </c>
      <c r="DA165" s="516">
        <f>SUMIFS(Imput[[Importe Neto]:[Importe Neto]],Imput[[C. Imp.]:[C. Imp.]],$D165,Imput[[PERIODO Imp.]:[PERIODO Imp.]],DA$9)</f>
        <v>0</v>
      </c>
      <c r="DB165" s="516">
        <f>SUMIFS(Imput[[Importe Neto]:[Importe Neto]],Imput[[C. Imp.]:[C. Imp.]],$D165,Imput[[PERIODO Imp.]:[PERIODO Imp.]],DB$9)</f>
        <v>0</v>
      </c>
      <c r="DC165" s="516">
        <f>SUMIFS(Imput[[Importe Neto]:[Importe Neto]],Imput[[C. Imp.]:[C. Imp.]],$D165,Imput[[PERIODO Imp.]:[PERIODO Imp.]],DC$9)</f>
        <v>0</v>
      </c>
      <c r="DD165" s="516">
        <f>SUMIFS(Imput[[Importe Neto]:[Importe Neto]],Imput[[C. Imp.]:[C. Imp.]],$D165,Imput[[PERIODO Imp.]:[PERIODO Imp.]],DD$9)</f>
        <v>0</v>
      </c>
      <c r="DE165" s="516">
        <f>SUMIFS(Imput[[Importe Neto]:[Importe Neto]],Imput[[C. Imp.]:[C. Imp.]],$D165,Imput[[PERIODO Imp.]:[PERIODO Imp.]],DE$9)</f>
        <v>0</v>
      </c>
      <c r="DF165" s="516">
        <f>SUMIFS(Imput[[Importe Neto]:[Importe Neto]],Imput[[C. Imp.]:[C. Imp.]],$D165,Imput[[PERIODO Imp.]:[PERIODO Imp.]],DF$9)</f>
        <v>0</v>
      </c>
      <c r="DG165" s="516">
        <f>SUMIFS(Imput[[Importe Neto]:[Importe Neto]],Imput[[C. Imp.]:[C. Imp.]],$D165,Imput[[PERIODO Imp.]:[PERIODO Imp.]],DG$9)</f>
        <v>0</v>
      </c>
      <c r="DH165" s="616">
        <f>SUMIFS(Imput[[Importe Neto]:[Importe Neto]],Imput[[C. Imp.]:[C. Imp.]],$D165,Imput[[PERIODO Imp.]:[PERIODO Imp.]],DH$9)</f>
        <v>0</v>
      </c>
    </row>
    <row r="166" spans="1:112" hidden="1" outlineLevel="1" x14ac:dyDescent="0.3">
      <c r="A166" s="66" t="str">
        <f t="shared" si="74"/>
        <v/>
      </c>
      <c r="C166" s="527"/>
      <c r="D166" s="528" t="s">
        <v>2274</v>
      </c>
      <c r="E166" s="528"/>
      <c r="F166" s="534"/>
      <c r="G166" s="529"/>
      <c r="H166" s="531"/>
      <c r="I166" s="849" t="str">
        <f t="shared" si="75"/>
        <v/>
      </c>
      <c r="J166" s="850" t="str">
        <f t="shared" si="76"/>
        <v/>
      </c>
      <c r="K166" s="70"/>
      <c r="L166" s="853"/>
      <c r="M166" s="855"/>
      <c r="N166" s="855"/>
      <c r="O166" s="855"/>
      <c r="P166" s="855"/>
      <c r="Q166" s="855"/>
      <c r="R166" s="855"/>
      <c r="S166" s="855"/>
      <c r="T166" s="855"/>
      <c r="U166" s="855"/>
      <c r="V166" s="855"/>
      <c r="W166" s="855"/>
      <c r="X166" s="855"/>
      <c r="Y166" s="855"/>
      <c r="Z166" s="856"/>
      <c r="AA166" s="856"/>
      <c r="AB166" s="856"/>
      <c r="AC166" s="856"/>
      <c r="AD166" s="856"/>
      <c r="AE166" s="856"/>
      <c r="AF166" s="856"/>
      <c r="AG166" s="856"/>
      <c r="AH166" s="856"/>
      <c r="AI166" s="856"/>
      <c r="AJ166" s="856"/>
      <c r="AK166" s="856"/>
      <c r="AL166" s="856"/>
      <c r="AM166" s="856"/>
      <c r="AN166" s="856"/>
      <c r="AO166" s="856"/>
      <c r="AP166" s="856"/>
      <c r="AQ166" s="856"/>
      <c r="AR166" s="856"/>
      <c r="AS166" s="856"/>
      <c r="AT166" s="856"/>
      <c r="AU166" s="856"/>
      <c r="AV166" s="856"/>
      <c r="AW166" s="856"/>
      <c r="AX166" s="856"/>
      <c r="AY166" s="856"/>
      <c r="AZ166" s="856"/>
      <c r="BA166" s="856"/>
      <c r="BB166" s="856"/>
      <c r="BC166" s="856"/>
      <c r="BD166" s="856"/>
      <c r="BE166" s="856"/>
      <c r="BF166" s="856"/>
      <c r="BG166" s="857"/>
      <c r="BH166" s="590"/>
      <c r="BI166" s="70"/>
      <c r="BJ166" s="518">
        <f t="shared" si="77"/>
        <v>0</v>
      </c>
      <c r="BK166" s="517">
        <f t="shared" si="78"/>
        <v>0</v>
      </c>
      <c r="BL166" s="68"/>
      <c r="BM166" s="515">
        <f>SUMIFS(Imput[[Importe Neto]:[Importe Neto]],Imput[[C. Imp.]:[C. Imp.]],$D166,Imput[[PERIODO Imp.]:[PERIODO Imp.]],BM$9)</f>
        <v>0</v>
      </c>
      <c r="BN166" s="516">
        <f>SUMIFS(Imput[[Importe Neto]:[Importe Neto]],Imput[[C. Imp.]:[C. Imp.]],$D166,Imput[[PERIODO Imp.]:[PERIODO Imp.]],BN$9)</f>
        <v>0</v>
      </c>
      <c r="BO166" s="516">
        <f>SUMIFS(Imput[[Importe Neto]:[Importe Neto]],Imput[[C. Imp.]:[C. Imp.]],$D166,Imput[[PERIODO Imp.]:[PERIODO Imp.]],BO$9)</f>
        <v>0</v>
      </c>
      <c r="BP166" s="516">
        <f>SUMIFS(Imput[[Importe Neto]:[Importe Neto]],Imput[[C. Imp.]:[C. Imp.]],$D166,Imput[[PERIODO Imp.]:[PERIODO Imp.]],BP$9)</f>
        <v>0</v>
      </c>
      <c r="BQ166" s="516">
        <f>SUMIFS(Imput[[Importe Neto]:[Importe Neto]],Imput[[C. Imp.]:[C. Imp.]],$D166,Imput[[PERIODO Imp.]:[PERIODO Imp.]],BQ$9)</f>
        <v>0</v>
      </c>
      <c r="BR166" s="516">
        <f>SUMIFS(Imput[[Importe Neto]:[Importe Neto]],Imput[[C. Imp.]:[C. Imp.]],$D166,Imput[[PERIODO Imp.]:[PERIODO Imp.]],BR$9)</f>
        <v>0</v>
      </c>
      <c r="BS166" s="516">
        <f>SUMIFS(Imput[[Importe Neto]:[Importe Neto]],Imput[[C. Imp.]:[C. Imp.]],$D166,Imput[[PERIODO Imp.]:[PERIODO Imp.]],BS$9)</f>
        <v>0</v>
      </c>
      <c r="BT166" s="516">
        <f>SUMIFS(Imput[[Importe Neto]:[Importe Neto]],Imput[[C. Imp.]:[C. Imp.]],$D166,Imput[[PERIODO Imp.]:[PERIODO Imp.]],BT$9)</f>
        <v>0</v>
      </c>
      <c r="BU166" s="516">
        <f>SUMIFS(Imput[[Importe Neto]:[Importe Neto]],Imput[[C. Imp.]:[C. Imp.]],$D166,Imput[[PERIODO Imp.]:[PERIODO Imp.]],BU$9)</f>
        <v>0</v>
      </c>
      <c r="BV166" s="516">
        <f>SUMIFS(Imput[[Importe Neto]:[Importe Neto]],Imput[[C. Imp.]:[C. Imp.]],$D166,Imput[[PERIODO Imp.]:[PERIODO Imp.]],BV$9)</f>
        <v>0</v>
      </c>
      <c r="BW166" s="516">
        <f>SUMIFS(Imput[[Importe Neto]:[Importe Neto]],Imput[[C. Imp.]:[C. Imp.]],$D166,Imput[[PERIODO Imp.]:[PERIODO Imp.]],BW$9)</f>
        <v>0</v>
      </c>
      <c r="BX166" s="516">
        <f>SUMIFS(Imput[[Importe Neto]:[Importe Neto]],Imput[[C. Imp.]:[C. Imp.]],$D166,Imput[[PERIODO Imp.]:[PERIODO Imp.]],BX$9)</f>
        <v>0</v>
      </c>
      <c r="BY166" s="516">
        <f>SUMIFS(Imput[[Importe Neto]:[Importe Neto]],Imput[[C. Imp.]:[C. Imp.]],$D166,Imput[[PERIODO Imp.]:[PERIODO Imp.]],BY$9)</f>
        <v>0</v>
      </c>
      <c r="BZ166" s="516">
        <f>SUMIFS(Imput[[Importe Neto]:[Importe Neto]],Imput[[C. Imp.]:[C. Imp.]],$D166,Imput[[PERIODO Imp.]:[PERIODO Imp.]],BZ$9)</f>
        <v>0</v>
      </c>
      <c r="CA166" s="516">
        <f>SUMIFS(Imput[[Importe Neto]:[Importe Neto]],Imput[[C. Imp.]:[C. Imp.]],$D166,Imput[[PERIODO Imp.]:[PERIODO Imp.]],CA$9)</f>
        <v>0</v>
      </c>
      <c r="CB166" s="516">
        <f>SUMIFS(Imput[[Importe Neto]:[Importe Neto]],Imput[[C. Imp.]:[C. Imp.]],$D166,Imput[[PERIODO Imp.]:[PERIODO Imp.]],CB$9)</f>
        <v>0</v>
      </c>
      <c r="CC166" s="516">
        <f>SUMIFS(Imput[[Importe Neto]:[Importe Neto]],Imput[[C. Imp.]:[C. Imp.]],$D166,Imput[[PERIODO Imp.]:[PERIODO Imp.]],CC$9)</f>
        <v>0</v>
      </c>
      <c r="CD166" s="516">
        <f>SUMIFS(Imput[[Importe Neto]:[Importe Neto]],Imput[[C. Imp.]:[C. Imp.]],$D166,Imput[[PERIODO Imp.]:[PERIODO Imp.]],CD$9)</f>
        <v>0</v>
      </c>
      <c r="CE166" s="516">
        <f>SUMIFS(Imput[[Importe Neto]:[Importe Neto]],Imput[[C. Imp.]:[C. Imp.]],$D166,Imput[[PERIODO Imp.]:[PERIODO Imp.]],CE$9)</f>
        <v>0</v>
      </c>
      <c r="CF166" s="516">
        <f>SUMIFS(Imput[[Importe Neto]:[Importe Neto]],Imput[[C. Imp.]:[C. Imp.]],$D166,Imput[[PERIODO Imp.]:[PERIODO Imp.]],CF$9)</f>
        <v>0</v>
      </c>
      <c r="CG166" s="516">
        <f>SUMIFS(Imput[[Importe Neto]:[Importe Neto]],Imput[[C. Imp.]:[C. Imp.]],$D166,Imput[[PERIODO Imp.]:[PERIODO Imp.]],CG$9)</f>
        <v>0</v>
      </c>
      <c r="CH166" s="516">
        <f>SUMIFS(Imput[[Importe Neto]:[Importe Neto]],Imput[[C. Imp.]:[C. Imp.]],$D166,Imput[[PERIODO Imp.]:[PERIODO Imp.]],CH$9)</f>
        <v>0</v>
      </c>
      <c r="CI166" s="516">
        <f>SUMIFS(Imput[[Importe Neto]:[Importe Neto]],Imput[[C. Imp.]:[C. Imp.]],$D166,Imput[[PERIODO Imp.]:[PERIODO Imp.]],CI$9)</f>
        <v>0</v>
      </c>
      <c r="CJ166" s="516">
        <f>SUMIFS(Imput[[Importe Neto]:[Importe Neto]],Imput[[C. Imp.]:[C. Imp.]],$D166,Imput[[PERIODO Imp.]:[PERIODO Imp.]],CJ$9)</f>
        <v>0</v>
      </c>
      <c r="CK166" s="516">
        <f>SUMIFS(Imput[[Importe Neto]:[Importe Neto]],Imput[[C. Imp.]:[C. Imp.]],$D166,Imput[[PERIODO Imp.]:[PERIODO Imp.]],CK$9)</f>
        <v>0</v>
      </c>
      <c r="CL166" s="516">
        <f>SUMIFS(Imput[[Importe Neto]:[Importe Neto]],Imput[[C. Imp.]:[C. Imp.]],$D166,Imput[[PERIODO Imp.]:[PERIODO Imp.]],CL$9)</f>
        <v>0</v>
      </c>
      <c r="CM166" s="516">
        <f>SUMIFS(Imput[[Importe Neto]:[Importe Neto]],Imput[[C. Imp.]:[C. Imp.]],$D166,Imput[[PERIODO Imp.]:[PERIODO Imp.]],CM$9)</f>
        <v>0</v>
      </c>
      <c r="CN166" s="516">
        <f>SUMIFS(Imput[[Importe Neto]:[Importe Neto]],Imput[[C. Imp.]:[C. Imp.]],$D166,Imput[[PERIODO Imp.]:[PERIODO Imp.]],CN$9)</f>
        <v>0</v>
      </c>
      <c r="CO166" s="516">
        <f>SUMIFS(Imput[[Importe Neto]:[Importe Neto]],Imput[[C. Imp.]:[C. Imp.]],$D166,Imput[[PERIODO Imp.]:[PERIODO Imp.]],CO$9)</f>
        <v>0</v>
      </c>
      <c r="CP166" s="516">
        <f>SUMIFS(Imput[[Importe Neto]:[Importe Neto]],Imput[[C. Imp.]:[C. Imp.]],$D166,Imput[[PERIODO Imp.]:[PERIODO Imp.]],CP$9)</f>
        <v>0</v>
      </c>
      <c r="CQ166" s="516">
        <f>SUMIFS(Imput[[Importe Neto]:[Importe Neto]],Imput[[C. Imp.]:[C. Imp.]],$D166,Imput[[PERIODO Imp.]:[PERIODO Imp.]],CQ$9)</f>
        <v>0</v>
      </c>
      <c r="CR166" s="516">
        <f>SUMIFS(Imput[[Importe Neto]:[Importe Neto]],Imput[[C. Imp.]:[C. Imp.]],$D166,Imput[[PERIODO Imp.]:[PERIODO Imp.]],CR$9)</f>
        <v>0</v>
      </c>
      <c r="CS166" s="516">
        <f>SUMIFS(Imput[[Importe Neto]:[Importe Neto]],Imput[[C. Imp.]:[C. Imp.]],$D166,Imput[[PERIODO Imp.]:[PERIODO Imp.]],CS$9)</f>
        <v>0</v>
      </c>
      <c r="CT166" s="516">
        <f>SUMIFS(Imput[[Importe Neto]:[Importe Neto]],Imput[[C. Imp.]:[C. Imp.]],$D166,Imput[[PERIODO Imp.]:[PERIODO Imp.]],CT$9)</f>
        <v>0</v>
      </c>
      <c r="CU166" s="516">
        <f>SUMIFS(Imput[[Importe Neto]:[Importe Neto]],Imput[[C. Imp.]:[C. Imp.]],$D166,Imput[[PERIODO Imp.]:[PERIODO Imp.]],CU$9)</f>
        <v>0</v>
      </c>
      <c r="CV166" s="516">
        <f>SUMIFS(Imput[[Importe Neto]:[Importe Neto]],Imput[[C. Imp.]:[C. Imp.]],$D166,Imput[[PERIODO Imp.]:[PERIODO Imp.]],CV$9)</f>
        <v>0</v>
      </c>
      <c r="CW166" s="516">
        <f>SUMIFS(Imput[[Importe Neto]:[Importe Neto]],Imput[[C. Imp.]:[C. Imp.]],$D166,Imput[[PERIODO Imp.]:[PERIODO Imp.]],CW$9)</f>
        <v>0</v>
      </c>
      <c r="CX166" s="516">
        <f>SUMIFS(Imput[[Importe Neto]:[Importe Neto]],Imput[[C. Imp.]:[C. Imp.]],$D166,Imput[[PERIODO Imp.]:[PERIODO Imp.]],CX$9)</f>
        <v>0</v>
      </c>
      <c r="CY166" s="516">
        <f>SUMIFS(Imput[[Importe Neto]:[Importe Neto]],Imput[[C. Imp.]:[C. Imp.]],$D166,Imput[[PERIODO Imp.]:[PERIODO Imp.]],CY$9)</f>
        <v>0</v>
      </c>
      <c r="CZ166" s="516">
        <f>SUMIFS(Imput[[Importe Neto]:[Importe Neto]],Imput[[C. Imp.]:[C. Imp.]],$D166,Imput[[PERIODO Imp.]:[PERIODO Imp.]],CZ$9)</f>
        <v>0</v>
      </c>
      <c r="DA166" s="516">
        <f>SUMIFS(Imput[[Importe Neto]:[Importe Neto]],Imput[[C. Imp.]:[C. Imp.]],$D166,Imput[[PERIODO Imp.]:[PERIODO Imp.]],DA$9)</f>
        <v>0</v>
      </c>
      <c r="DB166" s="516">
        <f>SUMIFS(Imput[[Importe Neto]:[Importe Neto]],Imput[[C. Imp.]:[C. Imp.]],$D166,Imput[[PERIODO Imp.]:[PERIODO Imp.]],DB$9)</f>
        <v>0</v>
      </c>
      <c r="DC166" s="516">
        <f>SUMIFS(Imput[[Importe Neto]:[Importe Neto]],Imput[[C. Imp.]:[C. Imp.]],$D166,Imput[[PERIODO Imp.]:[PERIODO Imp.]],DC$9)</f>
        <v>0</v>
      </c>
      <c r="DD166" s="516">
        <f>SUMIFS(Imput[[Importe Neto]:[Importe Neto]],Imput[[C. Imp.]:[C. Imp.]],$D166,Imput[[PERIODO Imp.]:[PERIODO Imp.]],DD$9)</f>
        <v>0</v>
      </c>
      <c r="DE166" s="516">
        <f>SUMIFS(Imput[[Importe Neto]:[Importe Neto]],Imput[[C. Imp.]:[C. Imp.]],$D166,Imput[[PERIODO Imp.]:[PERIODO Imp.]],DE$9)</f>
        <v>0</v>
      </c>
      <c r="DF166" s="516">
        <f>SUMIFS(Imput[[Importe Neto]:[Importe Neto]],Imput[[C. Imp.]:[C. Imp.]],$D166,Imput[[PERIODO Imp.]:[PERIODO Imp.]],DF$9)</f>
        <v>0</v>
      </c>
      <c r="DG166" s="516">
        <f>SUMIFS(Imput[[Importe Neto]:[Importe Neto]],Imput[[C. Imp.]:[C. Imp.]],$D166,Imput[[PERIODO Imp.]:[PERIODO Imp.]],DG$9)</f>
        <v>0</v>
      </c>
      <c r="DH166" s="616">
        <f>SUMIFS(Imput[[Importe Neto]:[Importe Neto]],Imput[[C. Imp.]:[C. Imp.]],$D166,Imput[[PERIODO Imp.]:[PERIODO Imp.]],DH$9)</f>
        <v>0</v>
      </c>
    </row>
    <row r="167" spans="1:112" hidden="1" outlineLevel="1" x14ac:dyDescent="0.3">
      <c r="A167" s="66" t="str">
        <f t="shared" si="74"/>
        <v/>
      </c>
      <c r="C167" s="527"/>
      <c r="D167" s="528" t="s">
        <v>2275</v>
      </c>
      <c r="E167" s="528"/>
      <c r="F167" s="534"/>
      <c r="G167" s="529"/>
      <c r="H167" s="530"/>
      <c r="I167" s="849" t="str">
        <f t="shared" si="75"/>
        <v/>
      </c>
      <c r="J167" s="850" t="str">
        <f t="shared" si="76"/>
        <v/>
      </c>
      <c r="K167" s="70"/>
      <c r="L167" s="853"/>
      <c r="M167" s="855"/>
      <c r="N167" s="855"/>
      <c r="O167" s="855"/>
      <c r="P167" s="855"/>
      <c r="Q167" s="855"/>
      <c r="R167" s="855"/>
      <c r="S167" s="855"/>
      <c r="T167" s="855"/>
      <c r="U167" s="855"/>
      <c r="V167" s="855"/>
      <c r="W167" s="855"/>
      <c r="X167" s="855"/>
      <c r="Y167" s="855"/>
      <c r="Z167" s="856"/>
      <c r="AA167" s="856"/>
      <c r="AB167" s="856"/>
      <c r="AC167" s="856"/>
      <c r="AD167" s="856"/>
      <c r="AE167" s="856"/>
      <c r="AF167" s="856"/>
      <c r="AG167" s="856"/>
      <c r="AH167" s="856"/>
      <c r="AI167" s="856"/>
      <c r="AJ167" s="856"/>
      <c r="AK167" s="856"/>
      <c r="AL167" s="856"/>
      <c r="AM167" s="856"/>
      <c r="AN167" s="856"/>
      <c r="AO167" s="856"/>
      <c r="AP167" s="856"/>
      <c r="AQ167" s="856"/>
      <c r="AR167" s="856"/>
      <c r="AS167" s="856"/>
      <c r="AT167" s="856"/>
      <c r="AU167" s="856"/>
      <c r="AV167" s="856"/>
      <c r="AW167" s="856"/>
      <c r="AX167" s="856"/>
      <c r="AY167" s="856"/>
      <c r="AZ167" s="856"/>
      <c r="BA167" s="856"/>
      <c r="BB167" s="856"/>
      <c r="BC167" s="856"/>
      <c r="BD167" s="856"/>
      <c r="BE167" s="856"/>
      <c r="BF167" s="856"/>
      <c r="BG167" s="857"/>
      <c r="BH167" s="590"/>
      <c r="BI167" s="70"/>
      <c r="BJ167" s="518">
        <f t="shared" si="77"/>
        <v>0</v>
      </c>
      <c r="BK167" s="517">
        <f t="shared" si="78"/>
        <v>0</v>
      </c>
      <c r="BL167" s="68"/>
      <c r="BM167" s="515">
        <f>SUMIFS(Imput[[Importe Neto]:[Importe Neto]],Imput[[C. Imp.]:[C. Imp.]],$D167,Imput[[PERIODO Imp.]:[PERIODO Imp.]],BM$9)</f>
        <v>0</v>
      </c>
      <c r="BN167" s="516">
        <f>SUMIFS(Imput[[Importe Neto]:[Importe Neto]],Imput[[C. Imp.]:[C. Imp.]],$D167,Imput[[PERIODO Imp.]:[PERIODO Imp.]],BN$9)</f>
        <v>0</v>
      </c>
      <c r="BO167" s="516">
        <f>SUMIFS(Imput[[Importe Neto]:[Importe Neto]],Imput[[C. Imp.]:[C. Imp.]],$D167,Imput[[PERIODO Imp.]:[PERIODO Imp.]],BO$9)</f>
        <v>0</v>
      </c>
      <c r="BP167" s="516">
        <f>SUMIFS(Imput[[Importe Neto]:[Importe Neto]],Imput[[C. Imp.]:[C. Imp.]],$D167,Imput[[PERIODO Imp.]:[PERIODO Imp.]],BP$9)</f>
        <v>0</v>
      </c>
      <c r="BQ167" s="516">
        <f>SUMIFS(Imput[[Importe Neto]:[Importe Neto]],Imput[[C. Imp.]:[C. Imp.]],$D167,Imput[[PERIODO Imp.]:[PERIODO Imp.]],BQ$9)</f>
        <v>0</v>
      </c>
      <c r="BR167" s="516">
        <f>SUMIFS(Imput[[Importe Neto]:[Importe Neto]],Imput[[C. Imp.]:[C. Imp.]],$D167,Imput[[PERIODO Imp.]:[PERIODO Imp.]],BR$9)</f>
        <v>0</v>
      </c>
      <c r="BS167" s="516">
        <f>SUMIFS(Imput[[Importe Neto]:[Importe Neto]],Imput[[C. Imp.]:[C. Imp.]],$D167,Imput[[PERIODO Imp.]:[PERIODO Imp.]],BS$9)</f>
        <v>0</v>
      </c>
      <c r="BT167" s="516">
        <f>SUMIFS(Imput[[Importe Neto]:[Importe Neto]],Imput[[C. Imp.]:[C. Imp.]],$D167,Imput[[PERIODO Imp.]:[PERIODO Imp.]],BT$9)</f>
        <v>0</v>
      </c>
      <c r="BU167" s="516">
        <f>SUMIFS(Imput[[Importe Neto]:[Importe Neto]],Imput[[C. Imp.]:[C. Imp.]],$D167,Imput[[PERIODO Imp.]:[PERIODO Imp.]],BU$9)</f>
        <v>0</v>
      </c>
      <c r="BV167" s="516">
        <f>SUMIFS(Imput[[Importe Neto]:[Importe Neto]],Imput[[C. Imp.]:[C. Imp.]],$D167,Imput[[PERIODO Imp.]:[PERIODO Imp.]],BV$9)</f>
        <v>0</v>
      </c>
      <c r="BW167" s="516">
        <f>SUMIFS(Imput[[Importe Neto]:[Importe Neto]],Imput[[C. Imp.]:[C. Imp.]],$D167,Imput[[PERIODO Imp.]:[PERIODO Imp.]],BW$9)</f>
        <v>0</v>
      </c>
      <c r="BX167" s="516">
        <f>SUMIFS(Imput[[Importe Neto]:[Importe Neto]],Imput[[C. Imp.]:[C. Imp.]],$D167,Imput[[PERIODO Imp.]:[PERIODO Imp.]],BX$9)</f>
        <v>0</v>
      </c>
      <c r="BY167" s="516">
        <f>SUMIFS(Imput[[Importe Neto]:[Importe Neto]],Imput[[C. Imp.]:[C. Imp.]],$D167,Imput[[PERIODO Imp.]:[PERIODO Imp.]],BY$9)</f>
        <v>0</v>
      </c>
      <c r="BZ167" s="516">
        <f>SUMIFS(Imput[[Importe Neto]:[Importe Neto]],Imput[[C. Imp.]:[C. Imp.]],$D167,Imput[[PERIODO Imp.]:[PERIODO Imp.]],BZ$9)</f>
        <v>0</v>
      </c>
      <c r="CA167" s="516">
        <f>SUMIFS(Imput[[Importe Neto]:[Importe Neto]],Imput[[C. Imp.]:[C. Imp.]],$D167,Imput[[PERIODO Imp.]:[PERIODO Imp.]],CA$9)</f>
        <v>0</v>
      </c>
      <c r="CB167" s="516">
        <f>SUMIFS(Imput[[Importe Neto]:[Importe Neto]],Imput[[C. Imp.]:[C. Imp.]],$D167,Imput[[PERIODO Imp.]:[PERIODO Imp.]],CB$9)</f>
        <v>0</v>
      </c>
      <c r="CC167" s="516">
        <f>SUMIFS(Imput[[Importe Neto]:[Importe Neto]],Imput[[C. Imp.]:[C. Imp.]],$D167,Imput[[PERIODO Imp.]:[PERIODO Imp.]],CC$9)</f>
        <v>0</v>
      </c>
      <c r="CD167" s="516">
        <f>SUMIFS(Imput[[Importe Neto]:[Importe Neto]],Imput[[C. Imp.]:[C. Imp.]],$D167,Imput[[PERIODO Imp.]:[PERIODO Imp.]],CD$9)</f>
        <v>0</v>
      </c>
      <c r="CE167" s="516">
        <f>SUMIFS(Imput[[Importe Neto]:[Importe Neto]],Imput[[C. Imp.]:[C. Imp.]],$D167,Imput[[PERIODO Imp.]:[PERIODO Imp.]],CE$9)</f>
        <v>0</v>
      </c>
      <c r="CF167" s="516">
        <f>SUMIFS(Imput[[Importe Neto]:[Importe Neto]],Imput[[C. Imp.]:[C. Imp.]],$D167,Imput[[PERIODO Imp.]:[PERIODO Imp.]],CF$9)</f>
        <v>0</v>
      </c>
      <c r="CG167" s="516">
        <f>SUMIFS(Imput[[Importe Neto]:[Importe Neto]],Imput[[C. Imp.]:[C. Imp.]],$D167,Imput[[PERIODO Imp.]:[PERIODO Imp.]],CG$9)</f>
        <v>0</v>
      </c>
      <c r="CH167" s="516">
        <f>SUMIFS(Imput[[Importe Neto]:[Importe Neto]],Imput[[C. Imp.]:[C. Imp.]],$D167,Imput[[PERIODO Imp.]:[PERIODO Imp.]],CH$9)</f>
        <v>0</v>
      </c>
      <c r="CI167" s="516">
        <f>SUMIFS(Imput[[Importe Neto]:[Importe Neto]],Imput[[C. Imp.]:[C. Imp.]],$D167,Imput[[PERIODO Imp.]:[PERIODO Imp.]],CI$9)</f>
        <v>0</v>
      </c>
      <c r="CJ167" s="516">
        <f>SUMIFS(Imput[[Importe Neto]:[Importe Neto]],Imput[[C. Imp.]:[C. Imp.]],$D167,Imput[[PERIODO Imp.]:[PERIODO Imp.]],CJ$9)</f>
        <v>0</v>
      </c>
      <c r="CK167" s="516">
        <f>SUMIFS(Imput[[Importe Neto]:[Importe Neto]],Imput[[C. Imp.]:[C. Imp.]],$D167,Imput[[PERIODO Imp.]:[PERIODO Imp.]],CK$9)</f>
        <v>0</v>
      </c>
      <c r="CL167" s="516">
        <f>SUMIFS(Imput[[Importe Neto]:[Importe Neto]],Imput[[C. Imp.]:[C. Imp.]],$D167,Imput[[PERIODO Imp.]:[PERIODO Imp.]],CL$9)</f>
        <v>0</v>
      </c>
      <c r="CM167" s="516">
        <f>SUMIFS(Imput[[Importe Neto]:[Importe Neto]],Imput[[C. Imp.]:[C. Imp.]],$D167,Imput[[PERIODO Imp.]:[PERIODO Imp.]],CM$9)</f>
        <v>0</v>
      </c>
      <c r="CN167" s="516">
        <f>SUMIFS(Imput[[Importe Neto]:[Importe Neto]],Imput[[C. Imp.]:[C. Imp.]],$D167,Imput[[PERIODO Imp.]:[PERIODO Imp.]],CN$9)</f>
        <v>0</v>
      </c>
      <c r="CO167" s="516">
        <f>SUMIFS(Imput[[Importe Neto]:[Importe Neto]],Imput[[C. Imp.]:[C. Imp.]],$D167,Imput[[PERIODO Imp.]:[PERIODO Imp.]],CO$9)</f>
        <v>0</v>
      </c>
      <c r="CP167" s="516">
        <f>SUMIFS(Imput[[Importe Neto]:[Importe Neto]],Imput[[C. Imp.]:[C. Imp.]],$D167,Imput[[PERIODO Imp.]:[PERIODO Imp.]],CP$9)</f>
        <v>0</v>
      </c>
      <c r="CQ167" s="516">
        <f>SUMIFS(Imput[[Importe Neto]:[Importe Neto]],Imput[[C. Imp.]:[C. Imp.]],$D167,Imput[[PERIODO Imp.]:[PERIODO Imp.]],CQ$9)</f>
        <v>0</v>
      </c>
      <c r="CR167" s="516">
        <f>SUMIFS(Imput[[Importe Neto]:[Importe Neto]],Imput[[C. Imp.]:[C. Imp.]],$D167,Imput[[PERIODO Imp.]:[PERIODO Imp.]],CR$9)</f>
        <v>0</v>
      </c>
      <c r="CS167" s="516">
        <f>SUMIFS(Imput[[Importe Neto]:[Importe Neto]],Imput[[C. Imp.]:[C. Imp.]],$D167,Imput[[PERIODO Imp.]:[PERIODO Imp.]],CS$9)</f>
        <v>0</v>
      </c>
      <c r="CT167" s="516">
        <f>SUMIFS(Imput[[Importe Neto]:[Importe Neto]],Imput[[C. Imp.]:[C. Imp.]],$D167,Imput[[PERIODO Imp.]:[PERIODO Imp.]],CT$9)</f>
        <v>0</v>
      </c>
      <c r="CU167" s="516">
        <f>SUMIFS(Imput[[Importe Neto]:[Importe Neto]],Imput[[C. Imp.]:[C. Imp.]],$D167,Imput[[PERIODO Imp.]:[PERIODO Imp.]],CU$9)</f>
        <v>0</v>
      </c>
      <c r="CV167" s="516">
        <f>SUMIFS(Imput[[Importe Neto]:[Importe Neto]],Imput[[C. Imp.]:[C. Imp.]],$D167,Imput[[PERIODO Imp.]:[PERIODO Imp.]],CV$9)</f>
        <v>0</v>
      </c>
      <c r="CW167" s="516">
        <f>SUMIFS(Imput[[Importe Neto]:[Importe Neto]],Imput[[C. Imp.]:[C. Imp.]],$D167,Imput[[PERIODO Imp.]:[PERIODO Imp.]],CW$9)</f>
        <v>0</v>
      </c>
      <c r="CX167" s="516">
        <f>SUMIFS(Imput[[Importe Neto]:[Importe Neto]],Imput[[C. Imp.]:[C. Imp.]],$D167,Imput[[PERIODO Imp.]:[PERIODO Imp.]],CX$9)</f>
        <v>0</v>
      </c>
      <c r="CY167" s="516">
        <f>SUMIFS(Imput[[Importe Neto]:[Importe Neto]],Imput[[C. Imp.]:[C. Imp.]],$D167,Imput[[PERIODO Imp.]:[PERIODO Imp.]],CY$9)</f>
        <v>0</v>
      </c>
      <c r="CZ167" s="516">
        <f>SUMIFS(Imput[[Importe Neto]:[Importe Neto]],Imput[[C. Imp.]:[C. Imp.]],$D167,Imput[[PERIODO Imp.]:[PERIODO Imp.]],CZ$9)</f>
        <v>0</v>
      </c>
      <c r="DA167" s="516">
        <f>SUMIFS(Imput[[Importe Neto]:[Importe Neto]],Imput[[C. Imp.]:[C. Imp.]],$D167,Imput[[PERIODO Imp.]:[PERIODO Imp.]],DA$9)</f>
        <v>0</v>
      </c>
      <c r="DB167" s="516">
        <f>SUMIFS(Imput[[Importe Neto]:[Importe Neto]],Imput[[C. Imp.]:[C. Imp.]],$D167,Imput[[PERIODO Imp.]:[PERIODO Imp.]],DB$9)</f>
        <v>0</v>
      </c>
      <c r="DC167" s="516">
        <f>SUMIFS(Imput[[Importe Neto]:[Importe Neto]],Imput[[C. Imp.]:[C. Imp.]],$D167,Imput[[PERIODO Imp.]:[PERIODO Imp.]],DC$9)</f>
        <v>0</v>
      </c>
      <c r="DD167" s="516">
        <f>SUMIFS(Imput[[Importe Neto]:[Importe Neto]],Imput[[C. Imp.]:[C. Imp.]],$D167,Imput[[PERIODO Imp.]:[PERIODO Imp.]],DD$9)</f>
        <v>0</v>
      </c>
      <c r="DE167" s="516">
        <f>SUMIFS(Imput[[Importe Neto]:[Importe Neto]],Imput[[C. Imp.]:[C. Imp.]],$D167,Imput[[PERIODO Imp.]:[PERIODO Imp.]],DE$9)</f>
        <v>0</v>
      </c>
      <c r="DF167" s="516">
        <f>SUMIFS(Imput[[Importe Neto]:[Importe Neto]],Imput[[C. Imp.]:[C. Imp.]],$D167,Imput[[PERIODO Imp.]:[PERIODO Imp.]],DF$9)</f>
        <v>0</v>
      </c>
      <c r="DG167" s="516">
        <f>SUMIFS(Imput[[Importe Neto]:[Importe Neto]],Imput[[C. Imp.]:[C. Imp.]],$D167,Imput[[PERIODO Imp.]:[PERIODO Imp.]],DG$9)</f>
        <v>0</v>
      </c>
      <c r="DH167" s="616">
        <f>SUMIFS(Imput[[Importe Neto]:[Importe Neto]],Imput[[C. Imp.]:[C. Imp.]],$D167,Imput[[PERIODO Imp.]:[PERIODO Imp.]],DH$9)</f>
        <v>0</v>
      </c>
    </row>
    <row r="168" spans="1:112" hidden="1" outlineLevel="1" x14ac:dyDescent="0.3">
      <c r="A168" s="66" t="str">
        <f t="shared" si="74"/>
        <v/>
      </c>
      <c r="C168" s="527"/>
      <c r="D168" s="528" t="s">
        <v>2276</v>
      </c>
      <c r="E168" s="528"/>
      <c r="F168" s="534"/>
      <c r="G168" s="529"/>
      <c r="H168" s="530"/>
      <c r="I168" s="849" t="str">
        <f t="shared" si="75"/>
        <v/>
      </c>
      <c r="J168" s="850" t="str">
        <f t="shared" si="76"/>
        <v/>
      </c>
      <c r="K168" s="70"/>
      <c r="L168" s="853"/>
      <c r="M168" s="855"/>
      <c r="N168" s="855"/>
      <c r="O168" s="855"/>
      <c r="P168" s="855"/>
      <c r="Q168" s="855"/>
      <c r="R168" s="855"/>
      <c r="S168" s="855"/>
      <c r="T168" s="855"/>
      <c r="U168" s="855"/>
      <c r="V168" s="855"/>
      <c r="W168" s="855"/>
      <c r="X168" s="855"/>
      <c r="Y168" s="855"/>
      <c r="Z168" s="856"/>
      <c r="AA168" s="856"/>
      <c r="AB168" s="856"/>
      <c r="AC168" s="856"/>
      <c r="AD168" s="856"/>
      <c r="AE168" s="856"/>
      <c r="AF168" s="856"/>
      <c r="AG168" s="856"/>
      <c r="AH168" s="856"/>
      <c r="AI168" s="856"/>
      <c r="AJ168" s="856"/>
      <c r="AK168" s="856"/>
      <c r="AL168" s="856"/>
      <c r="AM168" s="856"/>
      <c r="AN168" s="856"/>
      <c r="AO168" s="856"/>
      <c r="AP168" s="856"/>
      <c r="AQ168" s="856"/>
      <c r="AR168" s="856"/>
      <c r="AS168" s="856"/>
      <c r="AT168" s="856"/>
      <c r="AU168" s="856"/>
      <c r="AV168" s="856"/>
      <c r="AW168" s="856"/>
      <c r="AX168" s="856"/>
      <c r="AY168" s="856"/>
      <c r="AZ168" s="856"/>
      <c r="BA168" s="856"/>
      <c r="BB168" s="856"/>
      <c r="BC168" s="856"/>
      <c r="BD168" s="856"/>
      <c r="BE168" s="856"/>
      <c r="BF168" s="856"/>
      <c r="BG168" s="857"/>
      <c r="BH168" s="590"/>
      <c r="BI168" s="70"/>
      <c r="BJ168" s="518">
        <f t="shared" si="77"/>
        <v>0</v>
      </c>
      <c r="BK168" s="517">
        <f t="shared" si="78"/>
        <v>0</v>
      </c>
      <c r="BL168" s="68"/>
      <c r="BM168" s="515">
        <f>SUMIFS(Imput[[Importe Neto]:[Importe Neto]],Imput[[C. Imp.]:[C. Imp.]],$D168,Imput[[PERIODO Imp.]:[PERIODO Imp.]],BM$9)</f>
        <v>0</v>
      </c>
      <c r="BN168" s="516">
        <f>SUMIFS(Imput[[Importe Neto]:[Importe Neto]],Imput[[C. Imp.]:[C. Imp.]],$D168,Imput[[PERIODO Imp.]:[PERIODO Imp.]],BN$9)</f>
        <v>0</v>
      </c>
      <c r="BO168" s="516">
        <f>SUMIFS(Imput[[Importe Neto]:[Importe Neto]],Imput[[C. Imp.]:[C. Imp.]],$D168,Imput[[PERIODO Imp.]:[PERIODO Imp.]],BO$9)</f>
        <v>0</v>
      </c>
      <c r="BP168" s="516">
        <f>SUMIFS(Imput[[Importe Neto]:[Importe Neto]],Imput[[C. Imp.]:[C. Imp.]],$D168,Imput[[PERIODO Imp.]:[PERIODO Imp.]],BP$9)</f>
        <v>0</v>
      </c>
      <c r="BQ168" s="516">
        <f>SUMIFS(Imput[[Importe Neto]:[Importe Neto]],Imput[[C. Imp.]:[C. Imp.]],$D168,Imput[[PERIODO Imp.]:[PERIODO Imp.]],BQ$9)</f>
        <v>0</v>
      </c>
      <c r="BR168" s="516">
        <f>SUMIFS(Imput[[Importe Neto]:[Importe Neto]],Imput[[C. Imp.]:[C. Imp.]],$D168,Imput[[PERIODO Imp.]:[PERIODO Imp.]],BR$9)</f>
        <v>0</v>
      </c>
      <c r="BS168" s="516">
        <f>SUMIFS(Imput[[Importe Neto]:[Importe Neto]],Imput[[C. Imp.]:[C. Imp.]],$D168,Imput[[PERIODO Imp.]:[PERIODO Imp.]],BS$9)</f>
        <v>0</v>
      </c>
      <c r="BT168" s="516">
        <f>SUMIFS(Imput[[Importe Neto]:[Importe Neto]],Imput[[C. Imp.]:[C. Imp.]],$D168,Imput[[PERIODO Imp.]:[PERIODO Imp.]],BT$9)</f>
        <v>0</v>
      </c>
      <c r="BU168" s="516">
        <f>SUMIFS(Imput[[Importe Neto]:[Importe Neto]],Imput[[C. Imp.]:[C. Imp.]],$D168,Imput[[PERIODO Imp.]:[PERIODO Imp.]],BU$9)</f>
        <v>0</v>
      </c>
      <c r="BV168" s="516">
        <f>SUMIFS(Imput[[Importe Neto]:[Importe Neto]],Imput[[C. Imp.]:[C. Imp.]],$D168,Imput[[PERIODO Imp.]:[PERIODO Imp.]],BV$9)</f>
        <v>0</v>
      </c>
      <c r="BW168" s="516">
        <f>SUMIFS(Imput[[Importe Neto]:[Importe Neto]],Imput[[C. Imp.]:[C. Imp.]],$D168,Imput[[PERIODO Imp.]:[PERIODO Imp.]],BW$9)</f>
        <v>0</v>
      </c>
      <c r="BX168" s="516">
        <f>SUMIFS(Imput[[Importe Neto]:[Importe Neto]],Imput[[C. Imp.]:[C. Imp.]],$D168,Imput[[PERIODO Imp.]:[PERIODO Imp.]],BX$9)</f>
        <v>0</v>
      </c>
      <c r="BY168" s="516">
        <f>SUMIFS(Imput[[Importe Neto]:[Importe Neto]],Imput[[C. Imp.]:[C. Imp.]],$D168,Imput[[PERIODO Imp.]:[PERIODO Imp.]],BY$9)</f>
        <v>0</v>
      </c>
      <c r="BZ168" s="516">
        <f>SUMIFS(Imput[[Importe Neto]:[Importe Neto]],Imput[[C. Imp.]:[C. Imp.]],$D168,Imput[[PERIODO Imp.]:[PERIODO Imp.]],BZ$9)</f>
        <v>0</v>
      </c>
      <c r="CA168" s="516">
        <f>SUMIFS(Imput[[Importe Neto]:[Importe Neto]],Imput[[C. Imp.]:[C. Imp.]],$D168,Imput[[PERIODO Imp.]:[PERIODO Imp.]],CA$9)</f>
        <v>0</v>
      </c>
      <c r="CB168" s="516">
        <f>SUMIFS(Imput[[Importe Neto]:[Importe Neto]],Imput[[C. Imp.]:[C. Imp.]],$D168,Imput[[PERIODO Imp.]:[PERIODO Imp.]],CB$9)</f>
        <v>0</v>
      </c>
      <c r="CC168" s="516">
        <f>SUMIFS(Imput[[Importe Neto]:[Importe Neto]],Imput[[C. Imp.]:[C. Imp.]],$D168,Imput[[PERIODO Imp.]:[PERIODO Imp.]],CC$9)</f>
        <v>0</v>
      </c>
      <c r="CD168" s="516">
        <f>SUMIFS(Imput[[Importe Neto]:[Importe Neto]],Imput[[C. Imp.]:[C. Imp.]],$D168,Imput[[PERIODO Imp.]:[PERIODO Imp.]],CD$9)</f>
        <v>0</v>
      </c>
      <c r="CE168" s="516">
        <f>SUMIFS(Imput[[Importe Neto]:[Importe Neto]],Imput[[C. Imp.]:[C. Imp.]],$D168,Imput[[PERIODO Imp.]:[PERIODO Imp.]],CE$9)</f>
        <v>0</v>
      </c>
      <c r="CF168" s="516">
        <f>SUMIFS(Imput[[Importe Neto]:[Importe Neto]],Imput[[C. Imp.]:[C. Imp.]],$D168,Imput[[PERIODO Imp.]:[PERIODO Imp.]],CF$9)</f>
        <v>0</v>
      </c>
      <c r="CG168" s="516">
        <f>SUMIFS(Imput[[Importe Neto]:[Importe Neto]],Imput[[C. Imp.]:[C. Imp.]],$D168,Imput[[PERIODO Imp.]:[PERIODO Imp.]],CG$9)</f>
        <v>0</v>
      </c>
      <c r="CH168" s="516">
        <f>SUMIFS(Imput[[Importe Neto]:[Importe Neto]],Imput[[C. Imp.]:[C. Imp.]],$D168,Imput[[PERIODO Imp.]:[PERIODO Imp.]],CH$9)</f>
        <v>0</v>
      </c>
      <c r="CI168" s="516">
        <f>SUMIFS(Imput[[Importe Neto]:[Importe Neto]],Imput[[C. Imp.]:[C. Imp.]],$D168,Imput[[PERIODO Imp.]:[PERIODO Imp.]],CI$9)</f>
        <v>0</v>
      </c>
      <c r="CJ168" s="516">
        <f>SUMIFS(Imput[[Importe Neto]:[Importe Neto]],Imput[[C. Imp.]:[C. Imp.]],$D168,Imput[[PERIODO Imp.]:[PERIODO Imp.]],CJ$9)</f>
        <v>0</v>
      </c>
      <c r="CK168" s="516">
        <f>SUMIFS(Imput[[Importe Neto]:[Importe Neto]],Imput[[C. Imp.]:[C. Imp.]],$D168,Imput[[PERIODO Imp.]:[PERIODO Imp.]],CK$9)</f>
        <v>0</v>
      </c>
      <c r="CL168" s="516">
        <f>SUMIFS(Imput[[Importe Neto]:[Importe Neto]],Imput[[C. Imp.]:[C. Imp.]],$D168,Imput[[PERIODO Imp.]:[PERIODO Imp.]],CL$9)</f>
        <v>0</v>
      </c>
      <c r="CM168" s="516">
        <f>SUMIFS(Imput[[Importe Neto]:[Importe Neto]],Imput[[C. Imp.]:[C. Imp.]],$D168,Imput[[PERIODO Imp.]:[PERIODO Imp.]],CM$9)</f>
        <v>0</v>
      </c>
      <c r="CN168" s="516">
        <f>SUMIFS(Imput[[Importe Neto]:[Importe Neto]],Imput[[C. Imp.]:[C. Imp.]],$D168,Imput[[PERIODO Imp.]:[PERIODO Imp.]],CN$9)</f>
        <v>0</v>
      </c>
      <c r="CO168" s="516">
        <f>SUMIFS(Imput[[Importe Neto]:[Importe Neto]],Imput[[C. Imp.]:[C. Imp.]],$D168,Imput[[PERIODO Imp.]:[PERIODO Imp.]],CO$9)</f>
        <v>0</v>
      </c>
      <c r="CP168" s="516">
        <f>SUMIFS(Imput[[Importe Neto]:[Importe Neto]],Imput[[C. Imp.]:[C. Imp.]],$D168,Imput[[PERIODO Imp.]:[PERIODO Imp.]],CP$9)</f>
        <v>0</v>
      </c>
      <c r="CQ168" s="516">
        <f>SUMIFS(Imput[[Importe Neto]:[Importe Neto]],Imput[[C. Imp.]:[C. Imp.]],$D168,Imput[[PERIODO Imp.]:[PERIODO Imp.]],CQ$9)</f>
        <v>0</v>
      </c>
      <c r="CR168" s="516">
        <f>SUMIFS(Imput[[Importe Neto]:[Importe Neto]],Imput[[C. Imp.]:[C. Imp.]],$D168,Imput[[PERIODO Imp.]:[PERIODO Imp.]],CR$9)</f>
        <v>0</v>
      </c>
      <c r="CS168" s="516">
        <f>SUMIFS(Imput[[Importe Neto]:[Importe Neto]],Imput[[C. Imp.]:[C. Imp.]],$D168,Imput[[PERIODO Imp.]:[PERIODO Imp.]],CS$9)</f>
        <v>0</v>
      </c>
      <c r="CT168" s="516">
        <f>SUMIFS(Imput[[Importe Neto]:[Importe Neto]],Imput[[C. Imp.]:[C. Imp.]],$D168,Imput[[PERIODO Imp.]:[PERIODO Imp.]],CT$9)</f>
        <v>0</v>
      </c>
      <c r="CU168" s="516">
        <f>SUMIFS(Imput[[Importe Neto]:[Importe Neto]],Imput[[C. Imp.]:[C. Imp.]],$D168,Imput[[PERIODO Imp.]:[PERIODO Imp.]],CU$9)</f>
        <v>0</v>
      </c>
      <c r="CV168" s="516">
        <f>SUMIFS(Imput[[Importe Neto]:[Importe Neto]],Imput[[C. Imp.]:[C. Imp.]],$D168,Imput[[PERIODO Imp.]:[PERIODO Imp.]],CV$9)</f>
        <v>0</v>
      </c>
      <c r="CW168" s="516">
        <f>SUMIFS(Imput[[Importe Neto]:[Importe Neto]],Imput[[C. Imp.]:[C. Imp.]],$D168,Imput[[PERIODO Imp.]:[PERIODO Imp.]],CW$9)</f>
        <v>0</v>
      </c>
      <c r="CX168" s="516">
        <f>SUMIFS(Imput[[Importe Neto]:[Importe Neto]],Imput[[C. Imp.]:[C. Imp.]],$D168,Imput[[PERIODO Imp.]:[PERIODO Imp.]],CX$9)</f>
        <v>0</v>
      </c>
      <c r="CY168" s="516">
        <f>SUMIFS(Imput[[Importe Neto]:[Importe Neto]],Imput[[C. Imp.]:[C. Imp.]],$D168,Imput[[PERIODO Imp.]:[PERIODO Imp.]],CY$9)</f>
        <v>0</v>
      </c>
      <c r="CZ168" s="516">
        <f>SUMIFS(Imput[[Importe Neto]:[Importe Neto]],Imput[[C. Imp.]:[C. Imp.]],$D168,Imput[[PERIODO Imp.]:[PERIODO Imp.]],CZ$9)</f>
        <v>0</v>
      </c>
      <c r="DA168" s="516">
        <f>SUMIFS(Imput[[Importe Neto]:[Importe Neto]],Imput[[C. Imp.]:[C. Imp.]],$D168,Imput[[PERIODO Imp.]:[PERIODO Imp.]],DA$9)</f>
        <v>0</v>
      </c>
      <c r="DB168" s="516">
        <f>SUMIFS(Imput[[Importe Neto]:[Importe Neto]],Imput[[C. Imp.]:[C. Imp.]],$D168,Imput[[PERIODO Imp.]:[PERIODO Imp.]],DB$9)</f>
        <v>0</v>
      </c>
      <c r="DC168" s="516">
        <f>SUMIFS(Imput[[Importe Neto]:[Importe Neto]],Imput[[C. Imp.]:[C. Imp.]],$D168,Imput[[PERIODO Imp.]:[PERIODO Imp.]],DC$9)</f>
        <v>0</v>
      </c>
      <c r="DD168" s="516">
        <f>SUMIFS(Imput[[Importe Neto]:[Importe Neto]],Imput[[C. Imp.]:[C. Imp.]],$D168,Imput[[PERIODO Imp.]:[PERIODO Imp.]],DD$9)</f>
        <v>0</v>
      </c>
      <c r="DE168" s="516">
        <f>SUMIFS(Imput[[Importe Neto]:[Importe Neto]],Imput[[C. Imp.]:[C. Imp.]],$D168,Imput[[PERIODO Imp.]:[PERIODO Imp.]],DE$9)</f>
        <v>0</v>
      </c>
      <c r="DF168" s="516">
        <f>SUMIFS(Imput[[Importe Neto]:[Importe Neto]],Imput[[C. Imp.]:[C. Imp.]],$D168,Imput[[PERIODO Imp.]:[PERIODO Imp.]],DF$9)</f>
        <v>0</v>
      </c>
      <c r="DG168" s="516">
        <f>SUMIFS(Imput[[Importe Neto]:[Importe Neto]],Imput[[C. Imp.]:[C. Imp.]],$D168,Imput[[PERIODO Imp.]:[PERIODO Imp.]],DG$9)</f>
        <v>0</v>
      </c>
      <c r="DH168" s="616">
        <f>SUMIFS(Imput[[Importe Neto]:[Importe Neto]],Imput[[C. Imp.]:[C. Imp.]],$D168,Imput[[PERIODO Imp.]:[PERIODO Imp.]],DH$9)</f>
        <v>0</v>
      </c>
    </row>
    <row r="169" spans="1:112" hidden="1" outlineLevel="1" x14ac:dyDescent="0.3">
      <c r="A169" s="66" t="str">
        <f t="shared" si="74"/>
        <v/>
      </c>
      <c r="C169" s="527"/>
      <c r="D169" s="528" t="s">
        <v>2277</v>
      </c>
      <c r="E169" s="528"/>
      <c r="F169" s="534"/>
      <c r="G169" s="529"/>
      <c r="H169" s="530"/>
      <c r="I169" s="849" t="str">
        <f t="shared" si="75"/>
        <v/>
      </c>
      <c r="J169" s="850" t="str">
        <f t="shared" si="76"/>
        <v/>
      </c>
      <c r="K169" s="111"/>
      <c r="L169" s="853"/>
      <c r="M169" s="855"/>
      <c r="N169" s="855"/>
      <c r="O169" s="855"/>
      <c r="P169" s="855"/>
      <c r="Q169" s="855"/>
      <c r="R169" s="855"/>
      <c r="S169" s="855"/>
      <c r="T169" s="855"/>
      <c r="U169" s="855"/>
      <c r="V169" s="855"/>
      <c r="W169" s="855"/>
      <c r="X169" s="855"/>
      <c r="Y169" s="855"/>
      <c r="Z169" s="856"/>
      <c r="AA169" s="856"/>
      <c r="AB169" s="856"/>
      <c r="AC169" s="856"/>
      <c r="AD169" s="856"/>
      <c r="AE169" s="856"/>
      <c r="AF169" s="856"/>
      <c r="AG169" s="856"/>
      <c r="AH169" s="856"/>
      <c r="AI169" s="856"/>
      <c r="AJ169" s="856"/>
      <c r="AK169" s="856"/>
      <c r="AL169" s="856"/>
      <c r="AM169" s="856"/>
      <c r="AN169" s="856"/>
      <c r="AO169" s="856"/>
      <c r="AP169" s="856"/>
      <c r="AQ169" s="856"/>
      <c r="AR169" s="856"/>
      <c r="AS169" s="856"/>
      <c r="AT169" s="856"/>
      <c r="AU169" s="856"/>
      <c r="AV169" s="856"/>
      <c r="AW169" s="856"/>
      <c r="AX169" s="856"/>
      <c r="AY169" s="856"/>
      <c r="AZ169" s="856"/>
      <c r="BA169" s="856"/>
      <c r="BB169" s="856"/>
      <c r="BC169" s="856"/>
      <c r="BD169" s="856"/>
      <c r="BE169" s="856"/>
      <c r="BF169" s="856"/>
      <c r="BG169" s="857"/>
      <c r="BH169" s="590"/>
      <c r="BI169" s="68"/>
      <c r="BJ169" s="518">
        <f t="shared" si="77"/>
        <v>0</v>
      </c>
      <c r="BK169" s="517">
        <f t="shared" si="78"/>
        <v>0</v>
      </c>
      <c r="BL169" s="68"/>
      <c r="BM169" s="515">
        <f>SUMIFS(Imput[[Importe Neto]:[Importe Neto]],Imput[[C. Imp.]:[C. Imp.]],$D169,Imput[[PERIODO Imp.]:[PERIODO Imp.]],BM$9)</f>
        <v>0</v>
      </c>
      <c r="BN169" s="516">
        <f>SUMIFS(Imput[[Importe Neto]:[Importe Neto]],Imput[[C. Imp.]:[C. Imp.]],$D169,Imput[[PERIODO Imp.]:[PERIODO Imp.]],BN$9)</f>
        <v>0</v>
      </c>
      <c r="BO169" s="516">
        <f>SUMIFS(Imput[[Importe Neto]:[Importe Neto]],Imput[[C. Imp.]:[C. Imp.]],$D169,Imput[[PERIODO Imp.]:[PERIODO Imp.]],BO$9)</f>
        <v>0</v>
      </c>
      <c r="BP169" s="516">
        <f>SUMIFS(Imput[[Importe Neto]:[Importe Neto]],Imput[[C. Imp.]:[C. Imp.]],$D169,Imput[[PERIODO Imp.]:[PERIODO Imp.]],BP$9)</f>
        <v>0</v>
      </c>
      <c r="BQ169" s="516">
        <f>SUMIFS(Imput[[Importe Neto]:[Importe Neto]],Imput[[C. Imp.]:[C. Imp.]],$D169,Imput[[PERIODO Imp.]:[PERIODO Imp.]],BQ$9)</f>
        <v>0</v>
      </c>
      <c r="BR169" s="516">
        <f>SUMIFS(Imput[[Importe Neto]:[Importe Neto]],Imput[[C. Imp.]:[C. Imp.]],$D169,Imput[[PERIODO Imp.]:[PERIODO Imp.]],BR$9)</f>
        <v>0</v>
      </c>
      <c r="BS169" s="516">
        <f>SUMIFS(Imput[[Importe Neto]:[Importe Neto]],Imput[[C. Imp.]:[C. Imp.]],$D169,Imput[[PERIODO Imp.]:[PERIODO Imp.]],BS$9)</f>
        <v>0</v>
      </c>
      <c r="BT169" s="516">
        <f>SUMIFS(Imput[[Importe Neto]:[Importe Neto]],Imput[[C. Imp.]:[C. Imp.]],$D169,Imput[[PERIODO Imp.]:[PERIODO Imp.]],BT$9)</f>
        <v>0</v>
      </c>
      <c r="BU169" s="516">
        <f>SUMIFS(Imput[[Importe Neto]:[Importe Neto]],Imput[[C. Imp.]:[C. Imp.]],$D169,Imput[[PERIODO Imp.]:[PERIODO Imp.]],BU$9)</f>
        <v>0</v>
      </c>
      <c r="BV169" s="516">
        <f>SUMIFS(Imput[[Importe Neto]:[Importe Neto]],Imput[[C. Imp.]:[C. Imp.]],$D169,Imput[[PERIODO Imp.]:[PERIODO Imp.]],BV$9)</f>
        <v>0</v>
      </c>
      <c r="BW169" s="516">
        <f>SUMIFS(Imput[[Importe Neto]:[Importe Neto]],Imput[[C. Imp.]:[C. Imp.]],$D169,Imput[[PERIODO Imp.]:[PERIODO Imp.]],BW$9)</f>
        <v>0</v>
      </c>
      <c r="BX169" s="516">
        <f>SUMIFS(Imput[[Importe Neto]:[Importe Neto]],Imput[[C. Imp.]:[C. Imp.]],$D169,Imput[[PERIODO Imp.]:[PERIODO Imp.]],BX$9)</f>
        <v>0</v>
      </c>
      <c r="BY169" s="516">
        <f>SUMIFS(Imput[[Importe Neto]:[Importe Neto]],Imput[[C. Imp.]:[C. Imp.]],$D169,Imput[[PERIODO Imp.]:[PERIODO Imp.]],BY$9)</f>
        <v>0</v>
      </c>
      <c r="BZ169" s="516">
        <f>SUMIFS(Imput[[Importe Neto]:[Importe Neto]],Imput[[C. Imp.]:[C. Imp.]],$D169,Imput[[PERIODO Imp.]:[PERIODO Imp.]],BZ$9)</f>
        <v>0</v>
      </c>
      <c r="CA169" s="516">
        <f>SUMIFS(Imput[[Importe Neto]:[Importe Neto]],Imput[[C. Imp.]:[C. Imp.]],$D169,Imput[[PERIODO Imp.]:[PERIODO Imp.]],CA$9)</f>
        <v>0</v>
      </c>
      <c r="CB169" s="516">
        <f>SUMIFS(Imput[[Importe Neto]:[Importe Neto]],Imput[[C. Imp.]:[C. Imp.]],$D169,Imput[[PERIODO Imp.]:[PERIODO Imp.]],CB$9)</f>
        <v>0</v>
      </c>
      <c r="CC169" s="516">
        <f>SUMIFS(Imput[[Importe Neto]:[Importe Neto]],Imput[[C. Imp.]:[C. Imp.]],$D169,Imput[[PERIODO Imp.]:[PERIODO Imp.]],CC$9)</f>
        <v>0</v>
      </c>
      <c r="CD169" s="516">
        <f>SUMIFS(Imput[[Importe Neto]:[Importe Neto]],Imput[[C. Imp.]:[C. Imp.]],$D169,Imput[[PERIODO Imp.]:[PERIODO Imp.]],CD$9)</f>
        <v>0</v>
      </c>
      <c r="CE169" s="516">
        <f>SUMIFS(Imput[[Importe Neto]:[Importe Neto]],Imput[[C. Imp.]:[C. Imp.]],$D169,Imput[[PERIODO Imp.]:[PERIODO Imp.]],CE$9)</f>
        <v>0</v>
      </c>
      <c r="CF169" s="516">
        <f>SUMIFS(Imput[[Importe Neto]:[Importe Neto]],Imput[[C. Imp.]:[C. Imp.]],$D169,Imput[[PERIODO Imp.]:[PERIODO Imp.]],CF$9)</f>
        <v>0</v>
      </c>
      <c r="CG169" s="516">
        <f>SUMIFS(Imput[[Importe Neto]:[Importe Neto]],Imput[[C. Imp.]:[C. Imp.]],$D169,Imput[[PERIODO Imp.]:[PERIODO Imp.]],CG$9)</f>
        <v>0</v>
      </c>
      <c r="CH169" s="516">
        <f>SUMIFS(Imput[[Importe Neto]:[Importe Neto]],Imput[[C. Imp.]:[C. Imp.]],$D169,Imput[[PERIODO Imp.]:[PERIODO Imp.]],CH$9)</f>
        <v>0</v>
      </c>
      <c r="CI169" s="516">
        <f>SUMIFS(Imput[[Importe Neto]:[Importe Neto]],Imput[[C. Imp.]:[C. Imp.]],$D169,Imput[[PERIODO Imp.]:[PERIODO Imp.]],CI$9)</f>
        <v>0</v>
      </c>
      <c r="CJ169" s="516">
        <f>SUMIFS(Imput[[Importe Neto]:[Importe Neto]],Imput[[C. Imp.]:[C. Imp.]],$D169,Imput[[PERIODO Imp.]:[PERIODO Imp.]],CJ$9)</f>
        <v>0</v>
      </c>
      <c r="CK169" s="516">
        <f>SUMIFS(Imput[[Importe Neto]:[Importe Neto]],Imput[[C. Imp.]:[C. Imp.]],$D169,Imput[[PERIODO Imp.]:[PERIODO Imp.]],CK$9)</f>
        <v>0</v>
      </c>
      <c r="CL169" s="516">
        <f>SUMIFS(Imput[[Importe Neto]:[Importe Neto]],Imput[[C. Imp.]:[C. Imp.]],$D169,Imput[[PERIODO Imp.]:[PERIODO Imp.]],CL$9)</f>
        <v>0</v>
      </c>
      <c r="CM169" s="516">
        <f>SUMIFS(Imput[[Importe Neto]:[Importe Neto]],Imput[[C. Imp.]:[C. Imp.]],$D169,Imput[[PERIODO Imp.]:[PERIODO Imp.]],CM$9)</f>
        <v>0</v>
      </c>
      <c r="CN169" s="516">
        <f>SUMIFS(Imput[[Importe Neto]:[Importe Neto]],Imput[[C. Imp.]:[C. Imp.]],$D169,Imput[[PERIODO Imp.]:[PERIODO Imp.]],CN$9)</f>
        <v>0</v>
      </c>
      <c r="CO169" s="516">
        <f>SUMIFS(Imput[[Importe Neto]:[Importe Neto]],Imput[[C. Imp.]:[C. Imp.]],$D169,Imput[[PERIODO Imp.]:[PERIODO Imp.]],CO$9)</f>
        <v>0</v>
      </c>
      <c r="CP169" s="516">
        <f>SUMIFS(Imput[[Importe Neto]:[Importe Neto]],Imput[[C. Imp.]:[C. Imp.]],$D169,Imput[[PERIODO Imp.]:[PERIODO Imp.]],CP$9)</f>
        <v>0</v>
      </c>
      <c r="CQ169" s="516">
        <f>SUMIFS(Imput[[Importe Neto]:[Importe Neto]],Imput[[C. Imp.]:[C. Imp.]],$D169,Imput[[PERIODO Imp.]:[PERIODO Imp.]],CQ$9)</f>
        <v>0</v>
      </c>
      <c r="CR169" s="516">
        <f>SUMIFS(Imput[[Importe Neto]:[Importe Neto]],Imput[[C. Imp.]:[C. Imp.]],$D169,Imput[[PERIODO Imp.]:[PERIODO Imp.]],CR$9)</f>
        <v>0</v>
      </c>
      <c r="CS169" s="516">
        <f>SUMIFS(Imput[[Importe Neto]:[Importe Neto]],Imput[[C. Imp.]:[C. Imp.]],$D169,Imput[[PERIODO Imp.]:[PERIODO Imp.]],CS$9)</f>
        <v>0</v>
      </c>
      <c r="CT169" s="516">
        <f>SUMIFS(Imput[[Importe Neto]:[Importe Neto]],Imput[[C. Imp.]:[C. Imp.]],$D169,Imput[[PERIODO Imp.]:[PERIODO Imp.]],CT$9)</f>
        <v>0</v>
      </c>
      <c r="CU169" s="516">
        <f>SUMIFS(Imput[[Importe Neto]:[Importe Neto]],Imput[[C. Imp.]:[C. Imp.]],$D169,Imput[[PERIODO Imp.]:[PERIODO Imp.]],CU$9)</f>
        <v>0</v>
      </c>
      <c r="CV169" s="516">
        <f>SUMIFS(Imput[[Importe Neto]:[Importe Neto]],Imput[[C. Imp.]:[C. Imp.]],$D169,Imput[[PERIODO Imp.]:[PERIODO Imp.]],CV$9)</f>
        <v>0</v>
      </c>
      <c r="CW169" s="516">
        <f>SUMIFS(Imput[[Importe Neto]:[Importe Neto]],Imput[[C. Imp.]:[C. Imp.]],$D169,Imput[[PERIODO Imp.]:[PERIODO Imp.]],CW$9)</f>
        <v>0</v>
      </c>
      <c r="CX169" s="516">
        <f>SUMIFS(Imput[[Importe Neto]:[Importe Neto]],Imput[[C. Imp.]:[C. Imp.]],$D169,Imput[[PERIODO Imp.]:[PERIODO Imp.]],CX$9)</f>
        <v>0</v>
      </c>
      <c r="CY169" s="516">
        <f>SUMIFS(Imput[[Importe Neto]:[Importe Neto]],Imput[[C. Imp.]:[C. Imp.]],$D169,Imput[[PERIODO Imp.]:[PERIODO Imp.]],CY$9)</f>
        <v>0</v>
      </c>
      <c r="CZ169" s="516">
        <f>SUMIFS(Imput[[Importe Neto]:[Importe Neto]],Imput[[C. Imp.]:[C. Imp.]],$D169,Imput[[PERIODO Imp.]:[PERIODO Imp.]],CZ$9)</f>
        <v>0</v>
      </c>
      <c r="DA169" s="516">
        <f>SUMIFS(Imput[[Importe Neto]:[Importe Neto]],Imput[[C. Imp.]:[C. Imp.]],$D169,Imput[[PERIODO Imp.]:[PERIODO Imp.]],DA$9)</f>
        <v>0</v>
      </c>
      <c r="DB169" s="516">
        <f>SUMIFS(Imput[[Importe Neto]:[Importe Neto]],Imput[[C. Imp.]:[C. Imp.]],$D169,Imput[[PERIODO Imp.]:[PERIODO Imp.]],DB$9)</f>
        <v>0</v>
      </c>
      <c r="DC169" s="516">
        <f>SUMIFS(Imput[[Importe Neto]:[Importe Neto]],Imput[[C. Imp.]:[C. Imp.]],$D169,Imput[[PERIODO Imp.]:[PERIODO Imp.]],DC$9)</f>
        <v>0</v>
      </c>
      <c r="DD169" s="516">
        <f>SUMIFS(Imput[[Importe Neto]:[Importe Neto]],Imput[[C. Imp.]:[C. Imp.]],$D169,Imput[[PERIODO Imp.]:[PERIODO Imp.]],DD$9)</f>
        <v>0</v>
      </c>
      <c r="DE169" s="516">
        <f>SUMIFS(Imput[[Importe Neto]:[Importe Neto]],Imput[[C. Imp.]:[C. Imp.]],$D169,Imput[[PERIODO Imp.]:[PERIODO Imp.]],DE$9)</f>
        <v>0</v>
      </c>
      <c r="DF169" s="516">
        <f>SUMIFS(Imput[[Importe Neto]:[Importe Neto]],Imput[[C. Imp.]:[C. Imp.]],$D169,Imput[[PERIODO Imp.]:[PERIODO Imp.]],DF$9)</f>
        <v>0</v>
      </c>
      <c r="DG169" s="516">
        <f>SUMIFS(Imput[[Importe Neto]:[Importe Neto]],Imput[[C. Imp.]:[C. Imp.]],$D169,Imput[[PERIODO Imp.]:[PERIODO Imp.]],DG$9)</f>
        <v>0</v>
      </c>
      <c r="DH169" s="616">
        <f>SUMIFS(Imput[[Importe Neto]:[Importe Neto]],Imput[[C. Imp.]:[C. Imp.]],$D169,Imput[[PERIODO Imp.]:[PERIODO Imp.]],DH$9)</f>
        <v>0</v>
      </c>
    </row>
    <row r="170" spans="1:112" hidden="1" outlineLevel="1" x14ac:dyDescent="0.3">
      <c r="A170" s="66" t="str">
        <f t="shared" si="74"/>
        <v/>
      </c>
      <c r="C170" s="527"/>
      <c r="D170" s="528" t="s">
        <v>2278</v>
      </c>
      <c r="E170" s="536"/>
      <c r="F170" s="534"/>
      <c r="G170" s="529"/>
      <c r="H170" s="530"/>
      <c r="I170" s="849" t="str">
        <f t="shared" si="75"/>
        <v/>
      </c>
      <c r="J170" s="850" t="str">
        <f t="shared" si="76"/>
        <v/>
      </c>
      <c r="K170" s="70"/>
      <c r="L170" s="853"/>
      <c r="M170" s="855"/>
      <c r="N170" s="855"/>
      <c r="O170" s="855"/>
      <c r="P170" s="855"/>
      <c r="Q170" s="855"/>
      <c r="R170" s="855"/>
      <c r="S170" s="855"/>
      <c r="T170" s="855"/>
      <c r="U170" s="855"/>
      <c r="V170" s="855"/>
      <c r="W170" s="855"/>
      <c r="X170" s="855"/>
      <c r="Y170" s="855"/>
      <c r="Z170" s="856"/>
      <c r="AA170" s="856"/>
      <c r="AB170" s="856"/>
      <c r="AC170" s="856"/>
      <c r="AD170" s="856"/>
      <c r="AE170" s="856"/>
      <c r="AF170" s="856"/>
      <c r="AG170" s="856"/>
      <c r="AH170" s="856"/>
      <c r="AI170" s="856"/>
      <c r="AJ170" s="856"/>
      <c r="AK170" s="856"/>
      <c r="AL170" s="856"/>
      <c r="AM170" s="856"/>
      <c r="AN170" s="856"/>
      <c r="AO170" s="856"/>
      <c r="AP170" s="856"/>
      <c r="AQ170" s="856"/>
      <c r="AR170" s="856"/>
      <c r="AS170" s="856"/>
      <c r="AT170" s="856"/>
      <c r="AU170" s="856"/>
      <c r="AV170" s="856"/>
      <c r="AW170" s="856"/>
      <c r="AX170" s="856"/>
      <c r="AY170" s="856"/>
      <c r="AZ170" s="856"/>
      <c r="BA170" s="856"/>
      <c r="BB170" s="856"/>
      <c r="BC170" s="856"/>
      <c r="BD170" s="856"/>
      <c r="BE170" s="856"/>
      <c r="BF170" s="856"/>
      <c r="BG170" s="857"/>
      <c r="BH170" s="590"/>
      <c r="BI170" s="70"/>
      <c r="BJ170" s="518">
        <f t="shared" si="77"/>
        <v>0</v>
      </c>
      <c r="BK170" s="517">
        <f t="shared" si="78"/>
        <v>0</v>
      </c>
      <c r="BL170" s="68"/>
      <c r="BM170" s="515">
        <f>SUMIFS(Imput[[Importe Neto]:[Importe Neto]],Imput[[C. Imp.]:[C. Imp.]],$D170,Imput[[PERIODO Imp.]:[PERIODO Imp.]],BM$9)</f>
        <v>0</v>
      </c>
      <c r="BN170" s="516">
        <f>SUMIFS(Imput[[Importe Neto]:[Importe Neto]],Imput[[C. Imp.]:[C. Imp.]],$D170,Imput[[PERIODO Imp.]:[PERIODO Imp.]],BN$9)</f>
        <v>0</v>
      </c>
      <c r="BO170" s="516">
        <f>SUMIFS(Imput[[Importe Neto]:[Importe Neto]],Imput[[C. Imp.]:[C. Imp.]],$D170,Imput[[PERIODO Imp.]:[PERIODO Imp.]],BO$9)</f>
        <v>0</v>
      </c>
      <c r="BP170" s="516">
        <f>SUMIFS(Imput[[Importe Neto]:[Importe Neto]],Imput[[C. Imp.]:[C. Imp.]],$D170,Imput[[PERIODO Imp.]:[PERIODO Imp.]],BP$9)</f>
        <v>0</v>
      </c>
      <c r="BQ170" s="516">
        <f>SUMIFS(Imput[[Importe Neto]:[Importe Neto]],Imput[[C. Imp.]:[C. Imp.]],$D170,Imput[[PERIODO Imp.]:[PERIODO Imp.]],BQ$9)</f>
        <v>0</v>
      </c>
      <c r="BR170" s="516">
        <f>SUMIFS(Imput[[Importe Neto]:[Importe Neto]],Imput[[C. Imp.]:[C. Imp.]],$D170,Imput[[PERIODO Imp.]:[PERIODO Imp.]],BR$9)</f>
        <v>0</v>
      </c>
      <c r="BS170" s="516">
        <f>SUMIFS(Imput[[Importe Neto]:[Importe Neto]],Imput[[C. Imp.]:[C. Imp.]],$D170,Imput[[PERIODO Imp.]:[PERIODO Imp.]],BS$9)</f>
        <v>0</v>
      </c>
      <c r="BT170" s="516">
        <f>SUMIFS(Imput[[Importe Neto]:[Importe Neto]],Imput[[C. Imp.]:[C. Imp.]],$D170,Imput[[PERIODO Imp.]:[PERIODO Imp.]],BT$9)</f>
        <v>0</v>
      </c>
      <c r="BU170" s="516">
        <f>SUMIFS(Imput[[Importe Neto]:[Importe Neto]],Imput[[C. Imp.]:[C. Imp.]],$D170,Imput[[PERIODO Imp.]:[PERIODO Imp.]],BU$9)</f>
        <v>0</v>
      </c>
      <c r="BV170" s="516">
        <f>SUMIFS(Imput[[Importe Neto]:[Importe Neto]],Imput[[C. Imp.]:[C. Imp.]],$D170,Imput[[PERIODO Imp.]:[PERIODO Imp.]],BV$9)</f>
        <v>0</v>
      </c>
      <c r="BW170" s="516">
        <f>SUMIFS(Imput[[Importe Neto]:[Importe Neto]],Imput[[C. Imp.]:[C. Imp.]],$D170,Imput[[PERIODO Imp.]:[PERIODO Imp.]],BW$9)</f>
        <v>0</v>
      </c>
      <c r="BX170" s="516">
        <f>SUMIFS(Imput[[Importe Neto]:[Importe Neto]],Imput[[C. Imp.]:[C. Imp.]],$D170,Imput[[PERIODO Imp.]:[PERIODO Imp.]],BX$9)</f>
        <v>0</v>
      </c>
      <c r="BY170" s="516">
        <f>SUMIFS(Imput[[Importe Neto]:[Importe Neto]],Imput[[C. Imp.]:[C. Imp.]],$D170,Imput[[PERIODO Imp.]:[PERIODO Imp.]],BY$9)</f>
        <v>0</v>
      </c>
      <c r="BZ170" s="516">
        <f>SUMIFS(Imput[[Importe Neto]:[Importe Neto]],Imput[[C. Imp.]:[C. Imp.]],$D170,Imput[[PERIODO Imp.]:[PERIODO Imp.]],BZ$9)</f>
        <v>0</v>
      </c>
      <c r="CA170" s="516">
        <f>SUMIFS(Imput[[Importe Neto]:[Importe Neto]],Imput[[C. Imp.]:[C. Imp.]],$D170,Imput[[PERIODO Imp.]:[PERIODO Imp.]],CA$9)</f>
        <v>0</v>
      </c>
      <c r="CB170" s="516">
        <f>SUMIFS(Imput[[Importe Neto]:[Importe Neto]],Imput[[C. Imp.]:[C. Imp.]],$D170,Imput[[PERIODO Imp.]:[PERIODO Imp.]],CB$9)</f>
        <v>0</v>
      </c>
      <c r="CC170" s="516">
        <f>SUMIFS(Imput[[Importe Neto]:[Importe Neto]],Imput[[C. Imp.]:[C. Imp.]],$D170,Imput[[PERIODO Imp.]:[PERIODO Imp.]],CC$9)</f>
        <v>0</v>
      </c>
      <c r="CD170" s="516">
        <f>SUMIFS(Imput[[Importe Neto]:[Importe Neto]],Imput[[C. Imp.]:[C. Imp.]],$D170,Imput[[PERIODO Imp.]:[PERIODO Imp.]],CD$9)</f>
        <v>0</v>
      </c>
      <c r="CE170" s="516">
        <f>SUMIFS(Imput[[Importe Neto]:[Importe Neto]],Imput[[C. Imp.]:[C. Imp.]],$D170,Imput[[PERIODO Imp.]:[PERIODO Imp.]],CE$9)</f>
        <v>0</v>
      </c>
      <c r="CF170" s="516">
        <f>SUMIFS(Imput[[Importe Neto]:[Importe Neto]],Imput[[C. Imp.]:[C. Imp.]],$D170,Imput[[PERIODO Imp.]:[PERIODO Imp.]],CF$9)</f>
        <v>0</v>
      </c>
      <c r="CG170" s="516">
        <f>SUMIFS(Imput[[Importe Neto]:[Importe Neto]],Imput[[C. Imp.]:[C. Imp.]],$D170,Imput[[PERIODO Imp.]:[PERIODO Imp.]],CG$9)</f>
        <v>0</v>
      </c>
      <c r="CH170" s="516">
        <f>SUMIFS(Imput[[Importe Neto]:[Importe Neto]],Imput[[C. Imp.]:[C. Imp.]],$D170,Imput[[PERIODO Imp.]:[PERIODO Imp.]],CH$9)</f>
        <v>0</v>
      </c>
      <c r="CI170" s="516">
        <f>SUMIFS(Imput[[Importe Neto]:[Importe Neto]],Imput[[C. Imp.]:[C. Imp.]],$D170,Imput[[PERIODO Imp.]:[PERIODO Imp.]],CI$9)</f>
        <v>0</v>
      </c>
      <c r="CJ170" s="516">
        <f>SUMIFS(Imput[[Importe Neto]:[Importe Neto]],Imput[[C. Imp.]:[C. Imp.]],$D170,Imput[[PERIODO Imp.]:[PERIODO Imp.]],CJ$9)</f>
        <v>0</v>
      </c>
      <c r="CK170" s="516">
        <f>SUMIFS(Imput[[Importe Neto]:[Importe Neto]],Imput[[C. Imp.]:[C. Imp.]],$D170,Imput[[PERIODO Imp.]:[PERIODO Imp.]],CK$9)</f>
        <v>0</v>
      </c>
      <c r="CL170" s="516">
        <f>SUMIFS(Imput[[Importe Neto]:[Importe Neto]],Imput[[C. Imp.]:[C. Imp.]],$D170,Imput[[PERIODO Imp.]:[PERIODO Imp.]],CL$9)</f>
        <v>0</v>
      </c>
      <c r="CM170" s="516">
        <f>SUMIFS(Imput[[Importe Neto]:[Importe Neto]],Imput[[C. Imp.]:[C. Imp.]],$D170,Imput[[PERIODO Imp.]:[PERIODO Imp.]],CM$9)</f>
        <v>0</v>
      </c>
      <c r="CN170" s="516">
        <f>SUMIFS(Imput[[Importe Neto]:[Importe Neto]],Imput[[C. Imp.]:[C. Imp.]],$D170,Imput[[PERIODO Imp.]:[PERIODO Imp.]],CN$9)</f>
        <v>0</v>
      </c>
      <c r="CO170" s="516">
        <f>SUMIFS(Imput[[Importe Neto]:[Importe Neto]],Imput[[C. Imp.]:[C. Imp.]],$D170,Imput[[PERIODO Imp.]:[PERIODO Imp.]],CO$9)</f>
        <v>0</v>
      </c>
      <c r="CP170" s="516">
        <f>SUMIFS(Imput[[Importe Neto]:[Importe Neto]],Imput[[C. Imp.]:[C. Imp.]],$D170,Imput[[PERIODO Imp.]:[PERIODO Imp.]],CP$9)</f>
        <v>0</v>
      </c>
      <c r="CQ170" s="516">
        <f>SUMIFS(Imput[[Importe Neto]:[Importe Neto]],Imput[[C. Imp.]:[C. Imp.]],$D170,Imput[[PERIODO Imp.]:[PERIODO Imp.]],CQ$9)</f>
        <v>0</v>
      </c>
      <c r="CR170" s="516">
        <f>SUMIFS(Imput[[Importe Neto]:[Importe Neto]],Imput[[C. Imp.]:[C. Imp.]],$D170,Imput[[PERIODO Imp.]:[PERIODO Imp.]],CR$9)</f>
        <v>0</v>
      </c>
      <c r="CS170" s="516">
        <f>SUMIFS(Imput[[Importe Neto]:[Importe Neto]],Imput[[C. Imp.]:[C. Imp.]],$D170,Imput[[PERIODO Imp.]:[PERIODO Imp.]],CS$9)</f>
        <v>0</v>
      </c>
      <c r="CT170" s="516">
        <f>SUMIFS(Imput[[Importe Neto]:[Importe Neto]],Imput[[C. Imp.]:[C. Imp.]],$D170,Imput[[PERIODO Imp.]:[PERIODO Imp.]],CT$9)</f>
        <v>0</v>
      </c>
      <c r="CU170" s="516">
        <f>SUMIFS(Imput[[Importe Neto]:[Importe Neto]],Imput[[C. Imp.]:[C. Imp.]],$D170,Imput[[PERIODO Imp.]:[PERIODO Imp.]],CU$9)</f>
        <v>0</v>
      </c>
      <c r="CV170" s="516">
        <f>SUMIFS(Imput[[Importe Neto]:[Importe Neto]],Imput[[C. Imp.]:[C. Imp.]],$D170,Imput[[PERIODO Imp.]:[PERIODO Imp.]],CV$9)</f>
        <v>0</v>
      </c>
      <c r="CW170" s="516">
        <f>SUMIFS(Imput[[Importe Neto]:[Importe Neto]],Imput[[C. Imp.]:[C. Imp.]],$D170,Imput[[PERIODO Imp.]:[PERIODO Imp.]],CW$9)</f>
        <v>0</v>
      </c>
      <c r="CX170" s="516">
        <f>SUMIFS(Imput[[Importe Neto]:[Importe Neto]],Imput[[C. Imp.]:[C. Imp.]],$D170,Imput[[PERIODO Imp.]:[PERIODO Imp.]],CX$9)</f>
        <v>0</v>
      </c>
      <c r="CY170" s="516">
        <f>SUMIFS(Imput[[Importe Neto]:[Importe Neto]],Imput[[C. Imp.]:[C. Imp.]],$D170,Imput[[PERIODO Imp.]:[PERIODO Imp.]],CY$9)</f>
        <v>0</v>
      </c>
      <c r="CZ170" s="516">
        <f>SUMIFS(Imput[[Importe Neto]:[Importe Neto]],Imput[[C. Imp.]:[C. Imp.]],$D170,Imput[[PERIODO Imp.]:[PERIODO Imp.]],CZ$9)</f>
        <v>0</v>
      </c>
      <c r="DA170" s="516">
        <f>SUMIFS(Imput[[Importe Neto]:[Importe Neto]],Imput[[C. Imp.]:[C. Imp.]],$D170,Imput[[PERIODO Imp.]:[PERIODO Imp.]],DA$9)</f>
        <v>0</v>
      </c>
      <c r="DB170" s="516">
        <f>SUMIFS(Imput[[Importe Neto]:[Importe Neto]],Imput[[C. Imp.]:[C. Imp.]],$D170,Imput[[PERIODO Imp.]:[PERIODO Imp.]],DB$9)</f>
        <v>0</v>
      </c>
      <c r="DC170" s="516">
        <f>SUMIFS(Imput[[Importe Neto]:[Importe Neto]],Imput[[C. Imp.]:[C. Imp.]],$D170,Imput[[PERIODO Imp.]:[PERIODO Imp.]],DC$9)</f>
        <v>0</v>
      </c>
      <c r="DD170" s="516">
        <f>SUMIFS(Imput[[Importe Neto]:[Importe Neto]],Imput[[C. Imp.]:[C. Imp.]],$D170,Imput[[PERIODO Imp.]:[PERIODO Imp.]],DD$9)</f>
        <v>0</v>
      </c>
      <c r="DE170" s="516">
        <f>SUMIFS(Imput[[Importe Neto]:[Importe Neto]],Imput[[C. Imp.]:[C. Imp.]],$D170,Imput[[PERIODO Imp.]:[PERIODO Imp.]],DE$9)</f>
        <v>0</v>
      </c>
      <c r="DF170" s="516">
        <f>SUMIFS(Imput[[Importe Neto]:[Importe Neto]],Imput[[C. Imp.]:[C. Imp.]],$D170,Imput[[PERIODO Imp.]:[PERIODO Imp.]],DF$9)</f>
        <v>0</v>
      </c>
      <c r="DG170" s="516">
        <f>SUMIFS(Imput[[Importe Neto]:[Importe Neto]],Imput[[C. Imp.]:[C. Imp.]],$D170,Imput[[PERIODO Imp.]:[PERIODO Imp.]],DG$9)</f>
        <v>0</v>
      </c>
      <c r="DH170" s="616">
        <f>SUMIFS(Imput[[Importe Neto]:[Importe Neto]],Imput[[C. Imp.]:[C. Imp.]],$D170,Imput[[PERIODO Imp.]:[PERIODO Imp.]],DH$9)</f>
        <v>0</v>
      </c>
    </row>
    <row r="171" spans="1:112" hidden="1" outlineLevel="1" x14ac:dyDescent="0.3">
      <c r="A171" s="66" t="str">
        <f t="shared" si="74"/>
        <v/>
      </c>
      <c r="C171" s="527"/>
      <c r="D171" s="528" t="s">
        <v>2279</v>
      </c>
      <c r="E171" s="536"/>
      <c r="F171" s="534"/>
      <c r="G171" s="529"/>
      <c r="H171" s="530"/>
      <c r="I171" s="849" t="str">
        <f t="shared" si="75"/>
        <v/>
      </c>
      <c r="J171" s="850" t="str">
        <f t="shared" si="76"/>
        <v/>
      </c>
      <c r="K171" s="111"/>
      <c r="L171" s="853"/>
      <c r="M171" s="855"/>
      <c r="N171" s="855"/>
      <c r="O171" s="855"/>
      <c r="P171" s="855"/>
      <c r="Q171" s="855"/>
      <c r="R171" s="855"/>
      <c r="S171" s="855"/>
      <c r="T171" s="855"/>
      <c r="U171" s="855"/>
      <c r="V171" s="855"/>
      <c r="W171" s="855"/>
      <c r="X171" s="855"/>
      <c r="Y171" s="855"/>
      <c r="Z171" s="856"/>
      <c r="AA171" s="856"/>
      <c r="AB171" s="856"/>
      <c r="AC171" s="856"/>
      <c r="AD171" s="856"/>
      <c r="AE171" s="856"/>
      <c r="AF171" s="856"/>
      <c r="AG171" s="856"/>
      <c r="AH171" s="856"/>
      <c r="AI171" s="856"/>
      <c r="AJ171" s="856"/>
      <c r="AK171" s="856"/>
      <c r="AL171" s="856"/>
      <c r="AM171" s="856"/>
      <c r="AN171" s="856"/>
      <c r="AO171" s="856"/>
      <c r="AP171" s="856"/>
      <c r="AQ171" s="856"/>
      <c r="AR171" s="856"/>
      <c r="AS171" s="856"/>
      <c r="AT171" s="856"/>
      <c r="AU171" s="856"/>
      <c r="AV171" s="856"/>
      <c r="AW171" s="856"/>
      <c r="AX171" s="856"/>
      <c r="AY171" s="856"/>
      <c r="AZ171" s="856"/>
      <c r="BA171" s="856"/>
      <c r="BB171" s="856"/>
      <c r="BC171" s="856"/>
      <c r="BD171" s="856"/>
      <c r="BE171" s="856"/>
      <c r="BF171" s="856"/>
      <c r="BG171" s="857"/>
      <c r="BH171" s="590"/>
      <c r="BI171" s="68"/>
      <c r="BJ171" s="518">
        <f t="shared" si="77"/>
        <v>0</v>
      </c>
      <c r="BK171" s="517">
        <f t="shared" si="78"/>
        <v>0</v>
      </c>
      <c r="BL171" s="68"/>
      <c r="BM171" s="515">
        <f>SUMIFS(Imput[[Importe Neto]:[Importe Neto]],Imput[[C. Imp.]:[C. Imp.]],$D171,Imput[[PERIODO Imp.]:[PERIODO Imp.]],BM$9)</f>
        <v>0</v>
      </c>
      <c r="BN171" s="516">
        <f>SUMIFS(Imput[[Importe Neto]:[Importe Neto]],Imput[[C. Imp.]:[C. Imp.]],$D171,Imput[[PERIODO Imp.]:[PERIODO Imp.]],BN$9)</f>
        <v>0</v>
      </c>
      <c r="BO171" s="516">
        <f>SUMIFS(Imput[[Importe Neto]:[Importe Neto]],Imput[[C. Imp.]:[C. Imp.]],$D171,Imput[[PERIODO Imp.]:[PERIODO Imp.]],BO$9)</f>
        <v>0</v>
      </c>
      <c r="BP171" s="516">
        <f>SUMIFS(Imput[[Importe Neto]:[Importe Neto]],Imput[[C. Imp.]:[C. Imp.]],$D171,Imput[[PERIODO Imp.]:[PERIODO Imp.]],BP$9)</f>
        <v>0</v>
      </c>
      <c r="BQ171" s="516">
        <f>SUMIFS(Imput[[Importe Neto]:[Importe Neto]],Imput[[C. Imp.]:[C. Imp.]],$D171,Imput[[PERIODO Imp.]:[PERIODO Imp.]],BQ$9)</f>
        <v>0</v>
      </c>
      <c r="BR171" s="516">
        <f>SUMIFS(Imput[[Importe Neto]:[Importe Neto]],Imput[[C. Imp.]:[C. Imp.]],$D171,Imput[[PERIODO Imp.]:[PERIODO Imp.]],BR$9)</f>
        <v>0</v>
      </c>
      <c r="BS171" s="516">
        <f>SUMIFS(Imput[[Importe Neto]:[Importe Neto]],Imput[[C. Imp.]:[C. Imp.]],$D171,Imput[[PERIODO Imp.]:[PERIODO Imp.]],BS$9)</f>
        <v>0</v>
      </c>
      <c r="BT171" s="516">
        <f>SUMIFS(Imput[[Importe Neto]:[Importe Neto]],Imput[[C. Imp.]:[C. Imp.]],$D171,Imput[[PERIODO Imp.]:[PERIODO Imp.]],BT$9)</f>
        <v>0</v>
      </c>
      <c r="BU171" s="516">
        <f>SUMIFS(Imput[[Importe Neto]:[Importe Neto]],Imput[[C. Imp.]:[C. Imp.]],$D171,Imput[[PERIODO Imp.]:[PERIODO Imp.]],BU$9)</f>
        <v>0</v>
      </c>
      <c r="BV171" s="516">
        <f>SUMIFS(Imput[[Importe Neto]:[Importe Neto]],Imput[[C. Imp.]:[C. Imp.]],$D171,Imput[[PERIODO Imp.]:[PERIODO Imp.]],BV$9)</f>
        <v>0</v>
      </c>
      <c r="BW171" s="516">
        <f>SUMIFS(Imput[[Importe Neto]:[Importe Neto]],Imput[[C. Imp.]:[C. Imp.]],$D171,Imput[[PERIODO Imp.]:[PERIODO Imp.]],BW$9)</f>
        <v>0</v>
      </c>
      <c r="BX171" s="516">
        <f>SUMIFS(Imput[[Importe Neto]:[Importe Neto]],Imput[[C. Imp.]:[C. Imp.]],$D171,Imput[[PERIODO Imp.]:[PERIODO Imp.]],BX$9)</f>
        <v>0</v>
      </c>
      <c r="BY171" s="516">
        <f>SUMIFS(Imput[[Importe Neto]:[Importe Neto]],Imput[[C. Imp.]:[C. Imp.]],$D171,Imput[[PERIODO Imp.]:[PERIODO Imp.]],BY$9)</f>
        <v>0</v>
      </c>
      <c r="BZ171" s="516">
        <f>SUMIFS(Imput[[Importe Neto]:[Importe Neto]],Imput[[C. Imp.]:[C. Imp.]],$D171,Imput[[PERIODO Imp.]:[PERIODO Imp.]],BZ$9)</f>
        <v>0</v>
      </c>
      <c r="CA171" s="516">
        <f>SUMIFS(Imput[[Importe Neto]:[Importe Neto]],Imput[[C. Imp.]:[C. Imp.]],$D171,Imput[[PERIODO Imp.]:[PERIODO Imp.]],CA$9)</f>
        <v>0</v>
      </c>
      <c r="CB171" s="516">
        <f>SUMIFS(Imput[[Importe Neto]:[Importe Neto]],Imput[[C. Imp.]:[C. Imp.]],$D171,Imput[[PERIODO Imp.]:[PERIODO Imp.]],CB$9)</f>
        <v>0</v>
      </c>
      <c r="CC171" s="516">
        <f>SUMIFS(Imput[[Importe Neto]:[Importe Neto]],Imput[[C. Imp.]:[C. Imp.]],$D171,Imput[[PERIODO Imp.]:[PERIODO Imp.]],CC$9)</f>
        <v>0</v>
      </c>
      <c r="CD171" s="516">
        <f>SUMIFS(Imput[[Importe Neto]:[Importe Neto]],Imput[[C. Imp.]:[C. Imp.]],$D171,Imput[[PERIODO Imp.]:[PERIODO Imp.]],CD$9)</f>
        <v>0</v>
      </c>
      <c r="CE171" s="516">
        <f>SUMIFS(Imput[[Importe Neto]:[Importe Neto]],Imput[[C. Imp.]:[C. Imp.]],$D171,Imput[[PERIODO Imp.]:[PERIODO Imp.]],CE$9)</f>
        <v>0</v>
      </c>
      <c r="CF171" s="516">
        <f>SUMIFS(Imput[[Importe Neto]:[Importe Neto]],Imput[[C. Imp.]:[C. Imp.]],$D171,Imput[[PERIODO Imp.]:[PERIODO Imp.]],CF$9)</f>
        <v>0</v>
      </c>
      <c r="CG171" s="516">
        <f>SUMIFS(Imput[[Importe Neto]:[Importe Neto]],Imput[[C. Imp.]:[C. Imp.]],$D171,Imput[[PERIODO Imp.]:[PERIODO Imp.]],CG$9)</f>
        <v>0</v>
      </c>
      <c r="CH171" s="516">
        <f>SUMIFS(Imput[[Importe Neto]:[Importe Neto]],Imput[[C. Imp.]:[C. Imp.]],$D171,Imput[[PERIODO Imp.]:[PERIODO Imp.]],CH$9)</f>
        <v>0</v>
      </c>
      <c r="CI171" s="516">
        <f>SUMIFS(Imput[[Importe Neto]:[Importe Neto]],Imput[[C. Imp.]:[C. Imp.]],$D171,Imput[[PERIODO Imp.]:[PERIODO Imp.]],CI$9)</f>
        <v>0</v>
      </c>
      <c r="CJ171" s="516">
        <f>SUMIFS(Imput[[Importe Neto]:[Importe Neto]],Imput[[C. Imp.]:[C. Imp.]],$D171,Imput[[PERIODO Imp.]:[PERIODO Imp.]],CJ$9)</f>
        <v>0</v>
      </c>
      <c r="CK171" s="516">
        <f>SUMIFS(Imput[[Importe Neto]:[Importe Neto]],Imput[[C. Imp.]:[C. Imp.]],$D171,Imput[[PERIODO Imp.]:[PERIODO Imp.]],CK$9)</f>
        <v>0</v>
      </c>
      <c r="CL171" s="516">
        <f>SUMIFS(Imput[[Importe Neto]:[Importe Neto]],Imput[[C. Imp.]:[C. Imp.]],$D171,Imput[[PERIODO Imp.]:[PERIODO Imp.]],CL$9)</f>
        <v>0</v>
      </c>
      <c r="CM171" s="516">
        <f>SUMIFS(Imput[[Importe Neto]:[Importe Neto]],Imput[[C. Imp.]:[C. Imp.]],$D171,Imput[[PERIODO Imp.]:[PERIODO Imp.]],CM$9)</f>
        <v>0</v>
      </c>
      <c r="CN171" s="516">
        <f>SUMIFS(Imput[[Importe Neto]:[Importe Neto]],Imput[[C. Imp.]:[C. Imp.]],$D171,Imput[[PERIODO Imp.]:[PERIODO Imp.]],CN$9)</f>
        <v>0</v>
      </c>
      <c r="CO171" s="516">
        <f>SUMIFS(Imput[[Importe Neto]:[Importe Neto]],Imput[[C. Imp.]:[C. Imp.]],$D171,Imput[[PERIODO Imp.]:[PERIODO Imp.]],CO$9)</f>
        <v>0</v>
      </c>
      <c r="CP171" s="516">
        <f>SUMIFS(Imput[[Importe Neto]:[Importe Neto]],Imput[[C. Imp.]:[C. Imp.]],$D171,Imput[[PERIODO Imp.]:[PERIODO Imp.]],CP$9)</f>
        <v>0</v>
      </c>
      <c r="CQ171" s="516">
        <f>SUMIFS(Imput[[Importe Neto]:[Importe Neto]],Imput[[C. Imp.]:[C. Imp.]],$D171,Imput[[PERIODO Imp.]:[PERIODO Imp.]],CQ$9)</f>
        <v>0</v>
      </c>
      <c r="CR171" s="516">
        <f>SUMIFS(Imput[[Importe Neto]:[Importe Neto]],Imput[[C. Imp.]:[C. Imp.]],$D171,Imput[[PERIODO Imp.]:[PERIODO Imp.]],CR$9)</f>
        <v>0</v>
      </c>
      <c r="CS171" s="516">
        <f>SUMIFS(Imput[[Importe Neto]:[Importe Neto]],Imput[[C. Imp.]:[C. Imp.]],$D171,Imput[[PERIODO Imp.]:[PERIODO Imp.]],CS$9)</f>
        <v>0</v>
      </c>
      <c r="CT171" s="516">
        <f>SUMIFS(Imput[[Importe Neto]:[Importe Neto]],Imput[[C. Imp.]:[C. Imp.]],$D171,Imput[[PERIODO Imp.]:[PERIODO Imp.]],CT$9)</f>
        <v>0</v>
      </c>
      <c r="CU171" s="516">
        <f>SUMIFS(Imput[[Importe Neto]:[Importe Neto]],Imput[[C. Imp.]:[C. Imp.]],$D171,Imput[[PERIODO Imp.]:[PERIODO Imp.]],CU$9)</f>
        <v>0</v>
      </c>
      <c r="CV171" s="516">
        <f>SUMIFS(Imput[[Importe Neto]:[Importe Neto]],Imput[[C. Imp.]:[C. Imp.]],$D171,Imput[[PERIODO Imp.]:[PERIODO Imp.]],CV$9)</f>
        <v>0</v>
      </c>
      <c r="CW171" s="516">
        <f>SUMIFS(Imput[[Importe Neto]:[Importe Neto]],Imput[[C. Imp.]:[C. Imp.]],$D171,Imput[[PERIODO Imp.]:[PERIODO Imp.]],CW$9)</f>
        <v>0</v>
      </c>
      <c r="CX171" s="516">
        <f>SUMIFS(Imput[[Importe Neto]:[Importe Neto]],Imput[[C. Imp.]:[C. Imp.]],$D171,Imput[[PERIODO Imp.]:[PERIODO Imp.]],CX$9)</f>
        <v>0</v>
      </c>
      <c r="CY171" s="516">
        <f>SUMIFS(Imput[[Importe Neto]:[Importe Neto]],Imput[[C. Imp.]:[C. Imp.]],$D171,Imput[[PERIODO Imp.]:[PERIODO Imp.]],CY$9)</f>
        <v>0</v>
      </c>
      <c r="CZ171" s="516">
        <f>SUMIFS(Imput[[Importe Neto]:[Importe Neto]],Imput[[C. Imp.]:[C. Imp.]],$D171,Imput[[PERIODO Imp.]:[PERIODO Imp.]],CZ$9)</f>
        <v>0</v>
      </c>
      <c r="DA171" s="516">
        <f>SUMIFS(Imput[[Importe Neto]:[Importe Neto]],Imput[[C. Imp.]:[C. Imp.]],$D171,Imput[[PERIODO Imp.]:[PERIODO Imp.]],DA$9)</f>
        <v>0</v>
      </c>
      <c r="DB171" s="516">
        <f>SUMIFS(Imput[[Importe Neto]:[Importe Neto]],Imput[[C. Imp.]:[C. Imp.]],$D171,Imput[[PERIODO Imp.]:[PERIODO Imp.]],DB$9)</f>
        <v>0</v>
      </c>
      <c r="DC171" s="516">
        <f>SUMIFS(Imput[[Importe Neto]:[Importe Neto]],Imput[[C. Imp.]:[C. Imp.]],$D171,Imput[[PERIODO Imp.]:[PERIODO Imp.]],DC$9)</f>
        <v>0</v>
      </c>
      <c r="DD171" s="516">
        <f>SUMIFS(Imput[[Importe Neto]:[Importe Neto]],Imput[[C. Imp.]:[C. Imp.]],$D171,Imput[[PERIODO Imp.]:[PERIODO Imp.]],DD$9)</f>
        <v>0</v>
      </c>
      <c r="DE171" s="516">
        <f>SUMIFS(Imput[[Importe Neto]:[Importe Neto]],Imput[[C. Imp.]:[C. Imp.]],$D171,Imput[[PERIODO Imp.]:[PERIODO Imp.]],DE$9)</f>
        <v>0</v>
      </c>
      <c r="DF171" s="516">
        <f>SUMIFS(Imput[[Importe Neto]:[Importe Neto]],Imput[[C. Imp.]:[C. Imp.]],$D171,Imput[[PERIODO Imp.]:[PERIODO Imp.]],DF$9)</f>
        <v>0</v>
      </c>
      <c r="DG171" s="516">
        <f>SUMIFS(Imput[[Importe Neto]:[Importe Neto]],Imput[[C. Imp.]:[C. Imp.]],$D171,Imput[[PERIODO Imp.]:[PERIODO Imp.]],DG$9)</f>
        <v>0</v>
      </c>
      <c r="DH171" s="616">
        <f>SUMIFS(Imput[[Importe Neto]:[Importe Neto]],Imput[[C. Imp.]:[C. Imp.]],$D171,Imput[[PERIODO Imp.]:[PERIODO Imp.]],DH$9)</f>
        <v>0</v>
      </c>
    </row>
    <row r="172" spans="1:112" hidden="1" outlineLevel="1" x14ac:dyDescent="0.3">
      <c r="A172" s="66" t="str">
        <f t="shared" si="74"/>
        <v/>
      </c>
      <c r="C172" s="527"/>
      <c r="D172" s="528" t="s">
        <v>2280</v>
      </c>
      <c r="E172" s="536"/>
      <c r="F172" s="534"/>
      <c r="G172" s="529"/>
      <c r="H172" s="530"/>
      <c r="I172" s="849" t="str">
        <f t="shared" si="75"/>
        <v/>
      </c>
      <c r="J172" s="850" t="str">
        <f t="shared" si="76"/>
        <v/>
      </c>
      <c r="K172" s="70"/>
      <c r="L172" s="853"/>
      <c r="M172" s="855"/>
      <c r="N172" s="855"/>
      <c r="O172" s="855"/>
      <c r="P172" s="855"/>
      <c r="Q172" s="855"/>
      <c r="R172" s="855"/>
      <c r="S172" s="855"/>
      <c r="T172" s="855"/>
      <c r="U172" s="855"/>
      <c r="V172" s="855"/>
      <c r="W172" s="855"/>
      <c r="X172" s="855"/>
      <c r="Y172" s="855"/>
      <c r="Z172" s="856"/>
      <c r="AA172" s="856"/>
      <c r="AB172" s="856"/>
      <c r="AC172" s="856"/>
      <c r="AD172" s="856"/>
      <c r="AE172" s="856"/>
      <c r="AF172" s="856"/>
      <c r="AG172" s="856"/>
      <c r="AH172" s="856"/>
      <c r="AI172" s="856"/>
      <c r="AJ172" s="856"/>
      <c r="AK172" s="856"/>
      <c r="AL172" s="856"/>
      <c r="AM172" s="856"/>
      <c r="AN172" s="856"/>
      <c r="AO172" s="856"/>
      <c r="AP172" s="856"/>
      <c r="AQ172" s="856"/>
      <c r="AR172" s="856"/>
      <c r="AS172" s="856"/>
      <c r="AT172" s="856"/>
      <c r="AU172" s="856"/>
      <c r="AV172" s="856"/>
      <c r="AW172" s="856"/>
      <c r="AX172" s="856"/>
      <c r="AY172" s="856"/>
      <c r="AZ172" s="856"/>
      <c r="BA172" s="856"/>
      <c r="BB172" s="856"/>
      <c r="BC172" s="856"/>
      <c r="BD172" s="856"/>
      <c r="BE172" s="856"/>
      <c r="BF172" s="856"/>
      <c r="BG172" s="857"/>
      <c r="BH172" s="590"/>
      <c r="BI172" s="68"/>
      <c r="BJ172" s="518">
        <f t="shared" si="77"/>
        <v>0</v>
      </c>
      <c r="BK172" s="517">
        <f t="shared" si="78"/>
        <v>0</v>
      </c>
      <c r="BL172" s="68"/>
      <c r="BM172" s="610">
        <f>SUMIFS(Imput[[Importe Neto]:[Importe Neto]],Imput[[C. Imp.]:[C. Imp.]],$D172,Imput[[PERIODO Imp.]:[PERIODO Imp.]],BM$9)</f>
        <v>0</v>
      </c>
      <c r="BN172" s="611">
        <f>SUMIFS(Imput[[Importe Neto]:[Importe Neto]],Imput[[C. Imp.]:[C. Imp.]],$D172,Imput[[PERIODO Imp.]:[PERIODO Imp.]],BN$9)</f>
        <v>0</v>
      </c>
      <c r="BO172" s="611">
        <f>SUMIFS(Imput[[Importe Neto]:[Importe Neto]],Imput[[C. Imp.]:[C. Imp.]],$D172,Imput[[PERIODO Imp.]:[PERIODO Imp.]],BO$9)</f>
        <v>0</v>
      </c>
      <c r="BP172" s="611">
        <f>SUMIFS(Imput[[Importe Neto]:[Importe Neto]],Imput[[C. Imp.]:[C. Imp.]],$D172,Imput[[PERIODO Imp.]:[PERIODO Imp.]],BP$9)</f>
        <v>0</v>
      </c>
      <c r="BQ172" s="611">
        <f>SUMIFS(Imput[[Importe Neto]:[Importe Neto]],Imput[[C. Imp.]:[C. Imp.]],$D172,Imput[[PERIODO Imp.]:[PERIODO Imp.]],BQ$9)</f>
        <v>0</v>
      </c>
      <c r="BR172" s="611">
        <f>SUMIFS(Imput[[Importe Neto]:[Importe Neto]],Imput[[C. Imp.]:[C. Imp.]],$D172,Imput[[PERIODO Imp.]:[PERIODO Imp.]],BR$9)</f>
        <v>0</v>
      </c>
      <c r="BS172" s="611">
        <f>SUMIFS(Imput[[Importe Neto]:[Importe Neto]],Imput[[C. Imp.]:[C. Imp.]],$D172,Imput[[PERIODO Imp.]:[PERIODO Imp.]],BS$9)</f>
        <v>0</v>
      </c>
      <c r="BT172" s="611">
        <f>SUMIFS(Imput[[Importe Neto]:[Importe Neto]],Imput[[C. Imp.]:[C. Imp.]],$D172,Imput[[PERIODO Imp.]:[PERIODO Imp.]],BT$9)</f>
        <v>0</v>
      </c>
      <c r="BU172" s="611">
        <f>SUMIFS(Imput[[Importe Neto]:[Importe Neto]],Imput[[C. Imp.]:[C. Imp.]],$D172,Imput[[PERIODO Imp.]:[PERIODO Imp.]],BU$9)</f>
        <v>0</v>
      </c>
      <c r="BV172" s="611">
        <f>SUMIFS(Imput[[Importe Neto]:[Importe Neto]],Imput[[C. Imp.]:[C. Imp.]],$D172,Imput[[PERIODO Imp.]:[PERIODO Imp.]],BV$9)</f>
        <v>0</v>
      </c>
      <c r="BW172" s="611">
        <f>SUMIFS(Imput[[Importe Neto]:[Importe Neto]],Imput[[C. Imp.]:[C. Imp.]],$D172,Imput[[PERIODO Imp.]:[PERIODO Imp.]],BW$9)</f>
        <v>0</v>
      </c>
      <c r="BX172" s="611">
        <f>SUMIFS(Imput[[Importe Neto]:[Importe Neto]],Imput[[C. Imp.]:[C. Imp.]],$D172,Imput[[PERIODO Imp.]:[PERIODO Imp.]],BX$9)</f>
        <v>0</v>
      </c>
      <c r="BY172" s="611">
        <f>SUMIFS(Imput[[Importe Neto]:[Importe Neto]],Imput[[C. Imp.]:[C. Imp.]],$D172,Imput[[PERIODO Imp.]:[PERIODO Imp.]],BY$9)</f>
        <v>0</v>
      </c>
      <c r="BZ172" s="611">
        <f>SUMIFS(Imput[[Importe Neto]:[Importe Neto]],Imput[[C. Imp.]:[C. Imp.]],$D172,Imput[[PERIODO Imp.]:[PERIODO Imp.]],BZ$9)</f>
        <v>0</v>
      </c>
      <c r="CA172" s="611">
        <f>SUMIFS(Imput[[Importe Neto]:[Importe Neto]],Imput[[C. Imp.]:[C. Imp.]],$D172,Imput[[PERIODO Imp.]:[PERIODO Imp.]],CA$9)</f>
        <v>0</v>
      </c>
      <c r="CB172" s="611">
        <f>SUMIFS(Imput[[Importe Neto]:[Importe Neto]],Imput[[C. Imp.]:[C. Imp.]],$D172,Imput[[PERIODO Imp.]:[PERIODO Imp.]],CB$9)</f>
        <v>0</v>
      </c>
      <c r="CC172" s="611">
        <f>SUMIFS(Imput[[Importe Neto]:[Importe Neto]],Imput[[C. Imp.]:[C. Imp.]],$D172,Imput[[PERIODO Imp.]:[PERIODO Imp.]],CC$9)</f>
        <v>0</v>
      </c>
      <c r="CD172" s="611">
        <f>SUMIFS(Imput[[Importe Neto]:[Importe Neto]],Imput[[C. Imp.]:[C. Imp.]],$D172,Imput[[PERIODO Imp.]:[PERIODO Imp.]],CD$9)</f>
        <v>0</v>
      </c>
      <c r="CE172" s="611">
        <f>SUMIFS(Imput[[Importe Neto]:[Importe Neto]],Imput[[C. Imp.]:[C. Imp.]],$D172,Imput[[PERIODO Imp.]:[PERIODO Imp.]],CE$9)</f>
        <v>0</v>
      </c>
      <c r="CF172" s="611">
        <f>SUMIFS(Imput[[Importe Neto]:[Importe Neto]],Imput[[C. Imp.]:[C. Imp.]],$D172,Imput[[PERIODO Imp.]:[PERIODO Imp.]],CF$9)</f>
        <v>0</v>
      </c>
      <c r="CG172" s="611">
        <f>SUMIFS(Imput[[Importe Neto]:[Importe Neto]],Imput[[C. Imp.]:[C. Imp.]],$D172,Imput[[PERIODO Imp.]:[PERIODO Imp.]],CG$9)</f>
        <v>0</v>
      </c>
      <c r="CH172" s="611">
        <f>SUMIFS(Imput[[Importe Neto]:[Importe Neto]],Imput[[C. Imp.]:[C. Imp.]],$D172,Imput[[PERIODO Imp.]:[PERIODO Imp.]],CH$9)</f>
        <v>0</v>
      </c>
      <c r="CI172" s="611">
        <f>SUMIFS(Imput[[Importe Neto]:[Importe Neto]],Imput[[C. Imp.]:[C. Imp.]],$D172,Imput[[PERIODO Imp.]:[PERIODO Imp.]],CI$9)</f>
        <v>0</v>
      </c>
      <c r="CJ172" s="611">
        <f>SUMIFS(Imput[[Importe Neto]:[Importe Neto]],Imput[[C. Imp.]:[C. Imp.]],$D172,Imput[[PERIODO Imp.]:[PERIODO Imp.]],CJ$9)</f>
        <v>0</v>
      </c>
      <c r="CK172" s="611">
        <f>SUMIFS(Imput[[Importe Neto]:[Importe Neto]],Imput[[C. Imp.]:[C. Imp.]],$D172,Imput[[PERIODO Imp.]:[PERIODO Imp.]],CK$9)</f>
        <v>0</v>
      </c>
      <c r="CL172" s="611">
        <f>SUMIFS(Imput[[Importe Neto]:[Importe Neto]],Imput[[C. Imp.]:[C. Imp.]],$D172,Imput[[PERIODO Imp.]:[PERIODO Imp.]],CL$9)</f>
        <v>0</v>
      </c>
      <c r="CM172" s="611">
        <f>SUMIFS(Imput[[Importe Neto]:[Importe Neto]],Imput[[C. Imp.]:[C. Imp.]],$D172,Imput[[PERIODO Imp.]:[PERIODO Imp.]],CM$9)</f>
        <v>0</v>
      </c>
      <c r="CN172" s="611">
        <f>SUMIFS(Imput[[Importe Neto]:[Importe Neto]],Imput[[C. Imp.]:[C. Imp.]],$D172,Imput[[PERIODO Imp.]:[PERIODO Imp.]],CN$9)</f>
        <v>0</v>
      </c>
      <c r="CO172" s="611">
        <f>SUMIFS(Imput[[Importe Neto]:[Importe Neto]],Imput[[C. Imp.]:[C. Imp.]],$D172,Imput[[PERIODO Imp.]:[PERIODO Imp.]],CO$9)</f>
        <v>0</v>
      </c>
      <c r="CP172" s="611">
        <f>SUMIFS(Imput[[Importe Neto]:[Importe Neto]],Imput[[C. Imp.]:[C. Imp.]],$D172,Imput[[PERIODO Imp.]:[PERIODO Imp.]],CP$9)</f>
        <v>0</v>
      </c>
      <c r="CQ172" s="611">
        <f>SUMIFS(Imput[[Importe Neto]:[Importe Neto]],Imput[[C. Imp.]:[C. Imp.]],$D172,Imput[[PERIODO Imp.]:[PERIODO Imp.]],CQ$9)</f>
        <v>0</v>
      </c>
      <c r="CR172" s="611">
        <f>SUMIFS(Imput[[Importe Neto]:[Importe Neto]],Imput[[C. Imp.]:[C. Imp.]],$D172,Imput[[PERIODO Imp.]:[PERIODO Imp.]],CR$9)</f>
        <v>0</v>
      </c>
      <c r="CS172" s="611">
        <f>SUMIFS(Imput[[Importe Neto]:[Importe Neto]],Imput[[C. Imp.]:[C. Imp.]],$D172,Imput[[PERIODO Imp.]:[PERIODO Imp.]],CS$9)</f>
        <v>0</v>
      </c>
      <c r="CT172" s="611">
        <f>SUMIFS(Imput[[Importe Neto]:[Importe Neto]],Imput[[C. Imp.]:[C. Imp.]],$D172,Imput[[PERIODO Imp.]:[PERIODO Imp.]],CT$9)</f>
        <v>0</v>
      </c>
      <c r="CU172" s="611">
        <f>SUMIFS(Imput[[Importe Neto]:[Importe Neto]],Imput[[C. Imp.]:[C. Imp.]],$D172,Imput[[PERIODO Imp.]:[PERIODO Imp.]],CU$9)</f>
        <v>0</v>
      </c>
      <c r="CV172" s="611">
        <f>SUMIFS(Imput[[Importe Neto]:[Importe Neto]],Imput[[C. Imp.]:[C. Imp.]],$D172,Imput[[PERIODO Imp.]:[PERIODO Imp.]],CV$9)</f>
        <v>0</v>
      </c>
      <c r="CW172" s="611">
        <f>SUMIFS(Imput[[Importe Neto]:[Importe Neto]],Imput[[C. Imp.]:[C. Imp.]],$D172,Imput[[PERIODO Imp.]:[PERIODO Imp.]],CW$9)</f>
        <v>0</v>
      </c>
      <c r="CX172" s="611">
        <f>SUMIFS(Imput[[Importe Neto]:[Importe Neto]],Imput[[C. Imp.]:[C. Imp.]],$D172,Imput[[PERIODO Imp.]:[PERIODO Imp.]],CX$9)</f>
        <v>0</v>
      </c>
      <c r="CY172" s="611">
        <f>SUMIFS(Imput[[Importe Neto]:[Importe Neto]],Imput[[C. Imp.]:[C. Imp.]],$D172,Imput[[PERIODO Imp.]:[PERIODO Imp.]],CY$9)</f>
        <v>0</v>
      </c>
      <c r="CZ172" s="611">
        <f>SUMIFS(Imput[[Importe Neto]:[Importe Neto]],Imput[[C. Imp.]:[C. Imp.]],$D172,Imput[[PERIODO Imp.]:[PERIODO Imp.]],CZ$9)</f>
        <v>0</v>
      </c>
      <c r="DA172" s="611">
        <f>SUMIFS(Imput[[Importe Neto]:[Importe Neto]],Imput[[C. Imp.]:[C. Imp.]],$D172,Imput[[PERIODO Imp.]:[PERIODO Imp.]],DA$9)</f>
        <v>0</v>
      </c>
      <c r="DB172" s="611">
        <f>SUMIFS(Imput[[Importe Neto]:[Importe Neto]],Imput[[C. Imp.]:[C. Imp.]],$D172,Imput[[PERIODO Imp.]:[PERIODO Imp.]],DB$9)</f>
        <v>0</v>
      </c>
      <c r="DC172" s="611">
        <f>SUMIFS(Imput[[Importe Neto]:[Importe Neto]],Imput[[C. Imp.]:[C. Imp.]],$D172,Imput[[PERIODO Imp.]:[PERIODO Imp.]],DC$9)</f>
        <v>0</v>
      </c>
      <c r="DD172" s="611">
        <f>SUMIFS(Imput[[Importe Neto]:[Importe Neto]],Imput[[C. Imp.]:[C. Imp.]],$D172,Imput[[PERIODO Imp.]:[PERIODO Imp.]],DD$9)</f>
        <v>0</v>
      </c>
      <c r="DE172" s="611">
        <f>SUMIFS(Imput[[Importe Neto]:[Importe Neto]],Imput[[C. Imp.]:[C. Imp.]],$D172,Imput[[PERIODO Imp.]:[PERIODO Imp.]],DE$9)</f>
        <v>0</v>
      </c>
      <c r="DF172" s="611">
        <f>SUMIFS(Imput[[Importe Neto]:[Importe Neto]],Imput[[C. Imp.]:[C. Imp.]],$D172,Imput[[PERIODO Imp.]:[PERIODO Imp.]],DF$9)</f>
        <v>0</v>
      </c>
      <c r="DG172" s="611">
        <f>SUMIFS(Imput[[Importe Neto]:[Importe Neto]],Imput[[C. Imp.]:[C. Imp.]],$D172,Imput[[PERIODO Imp.]:[PERIODO Imp.]],DG$9)</f>
        <v>0</v>
      </c>
      <c r="DH172" s="797">
        <f>SUMIFS(Imput[[Importe Neto]:[Importe Neto]],Imput[[C. Imp.]:[C. Imp.]],$D172,Imput[[PERIODO Imp.]:[PERIODO Imp.]],DH$9)</f>
        <v>0</v>
      </c>
    </row>
    <row r="173" spans="1:112" ht="14.4" outlineLevel="1" thickBot="1" x14ac:dyDescent="0.35">
      <c r="A173" s="652" t="str">
        <f>IF(J121&gt;0,"Imprimir","")</f>
        <v>Imprimir</v>
      </c>
      <c r="B173" s="652"/>
      <c r="C173" s="699"/>
      <c r="D173" s="700"/>
      <c r="E173" s="700"/>
      <c r="F173" s="701"/>
      <c r="G173" s="702"/>
      <c r="H173" s="703"/>
      <c r="I173" s="704"/>
      <c r="J173" s="705"/>
      <c r="K173" s="667"/>
      <c r="L173" s="706"/>
      <c r="M173" s="707"/>
      <c r="N173" s="777"/>
      <c r="O173" s="777"/>
      <c r="P173" s="778"/>
      <c r="Q173" s="778"/>
      <c r="R173" s="708"/>
      <c r="S173" s="708"/>
      <c r="T173" s="779"/>
      <c r="U173" s="779"/>
      <c r="V173" s="778"/>
      <c r="W173" s="778"/>
      <c r="X173" s="708"/>
      <c r="Y173" s="708"/>
      <c r="Z173" s="708"/>
      <c r="AA173" s="708"/>
      <c r="AB173" s="708"/>
      <c r="AC173" s="708"/>
      <c r="AD173" s="708"/>
      <c r="AE173" s="708"/>
      <c r="AF173" s="708"/>
      <c r="AG173" s="708"/>
      <c r="AH173" s="708"/>
      <c r="AI173" s="708"/>
      <c r="AJ173" s="708"/>
      <c r="AK173" s="708"/>
      <c r="AL173" s="708"/>
      <c r="AM173" s="708"/>
      <c r="AN173" s="708"/>
      <c r="AO173" s="708"/>
      <c r="AP173" s="708"/>
      <c r="AQ173" s="708"/>
      <c r="AR173" s="708"/>
      <c r="AS173" s="708"/>
      <c r="AT173" s="708"/>
      <c r="AU173" s="708"/>
      <c r="AV173" s="708"/>
      <c r="AW173" s="708"/>
      <c r="AX173" s="708"/>
      <c r="AY173" s="708"/>
      <c r="AZ173" s="708"/>
      <c r="BA173" s="708"/>
      <c r="BB173" s="708"/>
      <c r="BC173" s="708"/>
      <c r="BD173" s="708"/>
      <c r="BE173" s="708"/>
      <c r="BF173" s="708"/>
      <c r="BG173" s="721"/>
      <c r="BH173" s="780"/>
      <c r="BI173" s="654"/>
      <c r="BJ173" s="709"/>
      <c r="BK173" s="710"/>
      <c r="BL173" s="654"/>
      <c r="BM173" s="731"/>
      <c r="BN173" s="701"/>
      <c r="BO173" s="701"/>
      <c r="BP173" s="701"/>
      <c r="BQ173" s="701"/>
      <c r="BR173" s="701"/>
      <c r="BS173" s="701"/>
      <c r="BT173" s="701"/>
      <c r="BU173" s="701"/>
      <c r="BV173" s="701"/>
      <c r="BW173" s="701"/>
      <c r="BX173" s="701"/>
      <c r="BY173" s="701"/>
      <c r="BZ173" s="701"/>
      <c r="CA173" s="701"/>
      <c r="CB173" s="701"/>
      <c r="CC173" s="701"/>
      <c r="CD173" s="701"/>
      <c r="CE173" s="701"/>
      <c r="CF173" s="701"/>
      <c r="CG173" s="701"/>
      <c r="CH173" s="701"/>
      <c r="CI173" s="701"/>
      <c r="CJ173" s="701"/>
      <c r="CK173" s="701"/>
      <c r="CL173" s="701"/>
      <c r="CM173" s="701"/>
      <c r="CN173" s="701"/>
      <c r="CO173" s="701"/>
      <c r="CP173" s="701"/>
      <c r="CQ173" s="701"/>
      <c r="CR173" s="701"/>
      <c r="CS173" s="701"/>
      <c r="CT173" s="701"/>
      <c r="CU173" s="701"/>
      <c r="CV173" s="701"/>
      <c r="CW173" s="701"/>
      <c r="CX173" s="701"/>
      <c r="CY173" s="701"/>
      <c r="CZ173" s="701"/>
      <c r="DA173" s="701"/>
      <c r="DB173" s="701"/>
      <c r="DC173" s="701"/>
      <c r="DD173" s="701"/>
      <c r="DE173" s="701"/>
      <c r="DF173" s="701"/>
      <c r="DG173" s="701"/>
      <c r="DH173" s="710"/>
    </row>
    <row r="174" spans="1:112" x14ac:dyDescent="0.3">
      <c r="A174" s="652" t="str">
        <f>IF(J174&gt;0,"Imprimir","")</f>
        <v>Imprimir</v>
      </c>
      <c r="B174" s="652"/>
      <c r="C174" s="711"/>
      <c r="D174" s="712" t="s">
        <v>452</v>
      </c>
      <c r="E174" s="712" t="s">
        <v>505</v>
      </c>
      <c r="F174" s="712"/>
      <c r="G174" s="713"/>
      <c r="H174" s="712"/>
      <c r="I174" s="714"/>
      <c r="J174" s="715">
        <f>SUBTOTAL(9,J177:J186)</f>
        <v>13090.000000000002</v>
      </c>
      <c r="K174" s="658"/>
      <c r="L174" s="770">
        <f t="shared" ref="L174:BG174" si="79">SUMPRODUCT($J177:$J186,L177:L186)</f>
        <v>0</v>
      </c>
      <c r="M174" s="771">
        <f t="shared" si="79"/>
        <v>0</v>
      </c>
      <c r="N174" s="771">
        <f t="shared" si="79"/>
        <v>0</v>
      </c>
      <c r="O174" s="771">
        <f t="shared" si="79"/>
        <v>3272.5000000000005</v>
      </c>
      <c r="P174" s="771">
        <f t="shared" si="79"/>
        <v>0</v>
      </c>
      <c r="Q174" s="771">
        <f t="shared" si="79"/>
        <v>0</v>
      </c>
      <c r="R174" s="771">
        <f t="shared" si="79"/>
        <v>0</v>
      </c>
      <c r="S174" s="771">
        <f t="shared" si="79"/>
        <v>3272.5000000000005</v>
      </c>
      <c r="T174" s="771">
        <f t="shared" si="79"/>
        <v>0</v>
      </c>
      <c r="U174" s="771">
        <f t="shared" si="79"/>
        <v>0</v>
      </c>
      <c r="V174" s="771">
        <f t="shared" si="79"/>
        <v>0</v>
      </c>
      <c r="W174" s="771">
        <f t="shared" si="79"/>
        <v>0</v>
      </c>
      <c r="X174" s="771">
        <f t="shared" si="79"/>
        <v>0</v>
      </c>
      <c r="Y174" s="771">
        <f t="shared" si="79"/>
        <v>0</v>
      </c>
      <c r="Z174" s="771">
        <f t="shared" si="79"/>
        <v>0</v>
      </c>
      <c r="AA174" s="771">
        <f t="shared" si="79"/>
        <v>0</v>
      </c>
      <c r="AB174" s="771">
        <f t="shared" si="79"/>
        <v>0</v>
      </c>
      <c r="AC174" s="771">
        <f t="shared" si="79"/>
        <v>0</v>
      </c>
      <c r="AD174" s="771">
        <f t="shared" si="79"/>
        <v>0</v>
      </c>
      <c r="AE174" s="771">
        <f t="shared" si="79"/>
        <v>3272.5000000000005</v>
      </c>
      <c r="AF174" s="771">
        <f t="shared" si="79"/>
        <v>0</v>
      </c>
      <c r="AG174" s="771">
        <f t="shared" si="79"/>
        <v>0</v>
      </c>
      <c r="AH174" s="771">
        <f t="shared" si="79"/>
        <v>0</v>
      </c>
      <c r="AI174" s="771">
        <f t="shared" si="79"/>
        <v>3272.5000000000005</v>
      </c>
      <c r="AJ174" s="771">
        <f t="shared" si="79"/>
        <v>0</v>
      </c>
      <c r="AK174" s="771">
        <f t="shared" si="79"/>
        <v>0</v>
      </c>
      <c r="AL174" s="771">
        <f t="shared" si="79"/>
        <v>0</v>
      </c>
      <c r="AM174" s="771">
        <f t="shared" si="79"/>
        <v>0</v>
      </c>
      <c r="AN174" s="771">
        <f t="shared" si="79"/>
        <v>0</v>
      </c>
      <c r="AO174" s="771">
        <f t="shared" si="79"/>
        <v>0</v>
      </c>
      <c r="AP174" s="771">
        <f t="shared" si="79"/>
        <v>0</v>
      </c>
      <c r="AQ174" s="771">
        <f t="shared" si="79"/>
        <v>0</v>
      </c>
      <c r="AR174" s="771">
        <f t="shared" si="79"/>
        <v>0</v>
      </c>
      <c r="AS174" s="771">
        <f t="shared" si="79"/>
        <v>0</v>
      </c>
      <c r="AT174" s="771">
        <f t="shared" si="79"/>
        <v>0</v>
      </c>
      <c r="AU174" s="771">
        <f t="shared" si="79"/>
        <v>0</v>
      </c>
      <c r="AV174" s="771">
        <f t="shared" si="79"/>
        <v>0</v>
      </c>
      <c r="AW174" s="771">
        <f t="shared" si="79"/>
        <v>0</v>
      </c>
      <c r="AX174" s="771">
        <f t="shared" si="79"/>
        <v>0</v>
      </c>
      <c r="AY174" s="771">
        <f t="shared" si="79"/>
        <v>0</v>
      </c>
      <c r="AZ174" s="771">
        <f t="shared" si="79"/>
        <v>0</v>
      </c>
      <c r="BA174" s="771">
        <f t="shared" si="79"/>
        <v>0</v>
      </c>
      <c r="BB174" s="771">
        <f t="shared" si="79"/>
        <v>0</v>
      </c>
      <c r="BC174" s="771">
        <f t="shared" si="79"/>
        <v>0</v>
      </c>
      <c r="BD174" s="771">
        <f t="shared" si="79"/>
        <v>0</v>
      </c>
      <c r="BE174" s="771">
        <f t="shared" si="79"/>
        <v>0</v>
      </c>
      <c r="BF174" s="771">
        <f t="shared" si="79"/>
        <v>0</v>
      </c>
      <c r="BG174" s="765">
        <f t="shared" si="79"/>
        <v>0</v>
      </c>
      <c r="BH174" s="776"/>
      <c r="BI174" s="654"/>
      <c r="BJ174" s="659">
        <f>IFERROR(BK174/J174,0)</f>
        <v>6.517952635599694</v>
      </c>
      <c r="BK174" s="660">
        <f>SUBTOTAL(9,BK175:BK186)</f>
        <v>85320</v>
      </c>
      <c r="BL174" s="654"/>
      <c r="BM174" s="661">
        <f>SUBTOTAL(9,BM175:BM186)</f>
        <v>0</v>
      </c>
      <c r="BN174" s="662">
        <f>SUBTOTAL(9,BN175:BN186)</f>
        <v>0</v>
      </c>
      <c r="BO174" s="662">
        <f t="shared" ref="BO174:DH174" si="80">SUBTOTAL(9,BO175:BO186)</f>
        <v>0</v>
      </c>
      <c r="BP174" s="662">
        <f t="shared" si="80"/>
        <v>0</v>
      </c>
      <c r="BQ174" s="662">
        <f t="shared" si="80"/>
        <v>39960</v>
      </c>
      <c r="BR174" s="662">
        <f t="shared" si="80"/>
        <v>45360</v>
      </c>
      <c r="BS174" s="662">
        <f t="shared" si="80"/>
        <v>0</v>
      </c>
      <c r="BT174" s="662">
        <f t="shared" si="80"/>
        <v>0</v>
      </c>
      <c r="BU174" s="662">
        <f t="shared" si="80"/>
        <v>0</v>
      </c>
      <c r="BV174" s="662">
        <f t="shared" si="80"/>
        <v>0</v>
      </c>
      <c r="BW174" s="662">
        <f t="shared" si="80"/>
        <v>0</v>
      </c>
      <c r="BX174" s="662">
        <f t="shared" si="80"/>
        <v>0</v>
      </c>
      <c r="BY174" s="662">
        <f t="shared" si="80"/>
        <v>0</v>
      </c>
      <c r="BZ174" s="662">
        <f t="shared" si="80"/>
        <v>0</v>
      </c>
      <c r="CA174" s="662">
        <f t="shared" si="80"/>
        <v>0</v>
      </c>
      <c r="CB174" s="662">
        <f t="shared" si="80"/>
        <v>0</v>
      </c>
      <c r="CC174" s="662">
        <f t="shared" si="80"/>
        <v>0</v>
      </c>
      <c r="CD174" s="662">
        <f t="shared" si="80"/>
        <v>0</v>
      </c>
      <c r="CE174" s="662">
        <f t="shared" si="80"/>
        <v>0</v>
      </c>
      <c r="CF174" s="662">
        <f t="shared" si="80"/>
        <v>0</v>
      </c>
      <c r="CG174" s="662">
        <f t="shared" si="80"/>
        <v>0</v>
      </c>
      <c r="CH174" s="662">
        <f t="shared" si="80"/>
        <v>0</v>
      </c>
      <c r="CI174" s="662">
        <f t="shared" si="80"/>
        <v>0</v>
      </c>
      <c r="CJ174" s="662">
        <f t="shared" si="80"/>
        <v>0</v>
      </c>
      <c r="CK174" s="662">
        <f t="shared" si="80"/>
        <v>0</v>
      </c>
      <c r="CL174" s="662">
        <f t="shared" si="80"/>
        <v>0</v>
      </c>
      <c r="CM174" s="662">
        <f t="shared" si="80"/>
        <v>0</v>
      </c>
      <c r="CN174" s="662">
        <f t="shared" si="80"/>
        <v>0</v>
      </c>
      <c r="CO174" s="662">
        <f t="shared" si="80"/>
        <v>0</v>
      </c>
      <c r="CP174" s="662">
        <f t="shared" si="80"/>
        <v>0</v>
      </c>
      <c r="CQ174" s="662">
        <f t="shared" si="80"/>
        <v>0</v>
      </c>
      <c r="CR174" s="662">
        <f t="shared" si="80"/>
        <v>0</v>
      </c>
      <c r="CS174" s="662">
        <f t="shared" si="80"/>
        <v>0</v>
      </c>
      <c r="CT174" s="662">
        <f t="shared" si="80"/>
        <v>0</v>
      </c>
      <c r="CU174" s="662">
        <f t="shared" si="80"/>
        <v>0</v>
      </c>
      <c r="CV174" s="662">
        <f t="shared" si="80"/>
        <v>0</v>
      </c>
      <c r="CW174" s="662">
        <f t="shared" si="80"/>
        <v>0</v>
      </c>
      <c r="CX174" s="662">
        <f t="shared" si="80"/>
        <v>0</v>
      </c>
      <c r="CY174" s="662">
        <f t="shared" si="80"/>
        <v>0</v>
      </c>
      <c r="CZ174" s="662">
        <f t="shared" si="80"/>
        <v>0</v>
      </c>
      <c r="DA174" s="662">
        <f t="shared" si="80"/>
        <v>0</v>
      </c>
      <c r="DB174" s="662">
        <f t="shared" si="80"/>
        <v>0</v>
      </c>
      <c r="DC174" s="662">
        <f t="shared" si="80"/>
        <v>0</v>
      </c>
      <c r="DD174" s="662">
        <f t="shared" si="80"/>
        <v>0</v>
      </c>
      <c r="DE174" s="662">
        <f t="shared" si="80"/>
        <v>0</v>
      </c>
      <c r="DF174" s="662">
        <f t="shared" si="80"/>
        <v>0</v>
      </c>
      <c r="DG174" s="662">
        <f t="shared" si="80"/>
        <v>0</v>
      </c>
      <c r="DH174" s="663">
        <f t="shared" si="80"/>
        <v>0</v>
      </c>
    </row>
    <row r="175" spans="1:112" outlineLevel="1" x14ac:dyDescent="0.3">
      <c r="A175" s="652" t="str">
        <f>IF(J174&gt;0,"Imprimir","")</f>
        <v>Imprimir</v>
      </c>
      <c r="B175" s="652"/>
      <c r="C175" s="664"/>
      <c r="D175" s="665"/>
      <c r="E175" s="665"/>
      <c r="F175" s="665" t="s">
        <v>472</v>
      </c>
      <c r="G175" s="716" t="s">
        <v>2128</v>
      </c>
      <c r="H175" s="665" t="str">
        <f>H15</f>
        <v>Cantidad</v>
      </c>
      <c r="I175" s="665" t="s">
        <v>474</v>
      </c>
      <c r="J175" s="666" t="s">
        <v>29</v>
      </c>
      <c r="K175" s="667"/>
      <c r="L175" s="745"/>
      <c r="M175" s="741"/>
      <c r="N175" s="741"/>
      <c r="O175" s="741"/>
      <c r="P175" s="741"/>
      <c r="Q175" s="741"/>
      <c r="R175" s="741"/>
      <c r="S175" s="741"/>
      <c r="T175" s="741"/>
      <c r="U175" s="741"/>
      <c r="V175" s="741"/>
      <c r="W175" s="741"/>
      <c r="X175" s="741"/>
      <c r="Y175" s="741"/>
      <c r="Z175" s="741"/>
      <c r="AA175" s="741"/>
      <c r="AB175" s="741"/>
      <c r="AC175" s="741"/>
      <c r="AD175" s="741"/>
      <c r="AE175" s="741"/>
      <c r="AF175" s="741"/>
      <c r="AG175" s="741"/>
      <c r="AH175" s="741"/>
      <c r="AI175" s="741"/>
      <c r="AJ175" s="741"/>
      <c r="AK175" s="741"/>
      <c r="AL175" s="741"/>
      <c r="AM175" s="741"/>
      <c r="AN175" s="741"/>
      <c r="AO175" s="741"/>
      <c r="AP175" s="741"/>
      <c r="AQ175" s="741"/>
      <c r="AR175" s="741"/>
      <c r="AS175" s="741"/>
      <c r="AT175" s="741"/>
      <c r="AU175" s="741"/>
      <c r="AV175" s="741"/>
      <c r="AW175" s="741"/>
      <c r="AX175" s="741"/>
      <c r="AY175" s="741"/>
      <c r="AZ175" s="741"/>
      <c r="BA175" s="741"/>
      <c r="BB175" s="741"/>
      <c r="BC175" s="741"/>
      <c r="BD175" s="741"/>
      <c r="BE175" s="741"/>
      <c r="BF175" s="741"/>
      <c r="BG175" s="746"/>
      <c r="BH175" s="668"/>
      <c r="BI175" s="654"/>
      <c r="BJ175" s="669"/>
      <c r="BK175" s="670"/>
      <c r="BL175" s="654"/>
      <c r="BM175" s="671"/>
      <c r="BN175" s="665"/>
      <c r="BO175" s="665"/>
      <c r="BP175" s="665"/>
      <c r="BQ175" s="665"/>
      <c r="BR175" s="665"/>
      <c r="BS175" s="665"/>
      <c r="BT175" s="665"/>
      <c r="BU175" s="665"/>
      <c r="BV175" s="665"/>
      <c r="BW175" s="665"/>
      <c r="BX175" s="665"/>
      <c r="BY175" s="665"/>
      <c r="BZ175" s="665"/>
      <c r="CA175" s="665"/>
      <c r="CB175" s="665"/>
      <c r="CC175" s="665"/>
      <c r="CD175" s="665"/>
      <c r="CE175" s="665"/>
      <c r="CF175" s="665"/>
      <c r="CG175" s="665"/>
      <c r="CH175" s="665"/>
      <c r="CI175" s="665"/>
      <c r="CJ175" s="665"/>
      <c r="CK175" s="665"/>
      <c r="CL175" s="665"/>
      <c r="CM175" s="665"/>
      <c r="CN175" s="665"/>
      <c r="CO175" s="665"/>
      <c r="CP175" s="665"/>
      <c r="CQ175" s="665"/>
      <c r="CR175" s="665"/>
      <c r="CS175" s="665"/>
      <c r="CT175" s="665"/>
      <c r="CU175" s="665"/>
      <c r="CV175" s="665"/>
      <c r="CW175" s="665"/>
      <c r="CX175" s="665"/>
      <c r="CY175" s="665"/>
      <c r="CZ175" s="665"/>
      <c r="DA175" s="665"/>
      <c r="DB175" s="665"/>
      <c r="DC175" s="665"/>
      <c r="DD175" s="665"/>
      <c r="DE175" s="665"/>
      <c r="DF175" s="665"/>
      <c r="DG175" s="665"/>
      <c r="DH175" s="666"/>
    </row>
    <row r="176" spans="1:112" ht="15.6" outlineLevel="1" x14ac:dyDescent="0.3">
      <c r="A176" s="652" t="str">
        <f t="shared" ref="A176" si="81">IF(J176&gt;0,"Imprimir","")</f>
        <v>Imprimir</v>
      </c>
      <c r="B176" s="652"/>
      <c r="C176" s="672"/>
      <c r="D176" s="673"/>
      <c r="E176" s="674"/>
      <c r="F176" s="675"/>
      <c r="G176" s="717"/>
      <c r="H176" s="718"/>
      <c r="I176" s="719"/>
      <c r="J176" s="219">
        <f>SUBTOTAL(9,J177:J186)</f>
        <v>13090.000000000002</v>
      </c>
      <c r="K176" s="678"/>
      <c r="L176" s="747"/>
      <c r="M176" s="742"/>
      <c r="N176" s="742"/>
      <c r="O176" s="742"/>
      <c r="P176" s="742"/>
      <c r="Q176" s="742"/>
      <c r="R176" s="742"/>
      <c r="S176" s="742"/>
      <c r="T176" s="742"/>
      <c r="U176" s="742"/>
      <c r="V176" s="742"/>
      <c r="W176" s="742"/>
      <c r="X176" s="742"/>
      <c r="Y176" s="742"/>
      <c r="Z176" s="742"/>
      <c r="AA176" s="742"/>
      <c r="AB176" s="742"/>
      <c r="AC176" s="742"/>
      <c r="AD176" s="742"/>
      <c r="AE176" s="742"/>
      <c r="AF176" s="742"/>
      <c r="AG176" s="742"/>
      <c r="AH176" s="742"/>
      <c r="AI176" s="742"/>
      <c r="AJ176" s="742"/>
      <c r="AK176" s="742"/>
      <c r="AL176" s="742"/>
      <c r="AM176" s="742"/>
      <c r="AN176" s="742"/>
      <c r="AO176" s="742"/>
      <c r="AP176" s="742"/>
      <c r="AQ176" s="742"/>
      <c r="AR176" s="742"/>
      <c r="AS176" s="742"/>
      <c r="AT176" s="742"/>
      <c r="AU176" s="742"/>
      <c r="AV176" s="742"/>
      <c r="AW176" s="742"/>
      <c r="AX176" s="742"/>
      <c r="AY176" s="742"/>
      <c r="AZ176" s="742"/>
      <c r="BA176" s="742"/>
      <c r="BB176" s="742"/>
      <c r="BC176" s="742"/>
      <c r="BD176" s="742"/>
      <c r="BE176" s="742"/>
      <c r="BF176" s="742"/>
      <c r="BG176" s="748"/>
      <c r="BH176" s="668"/>
      <c r="BI176" s="654"/>
      <c r="BJ176" s="680"/>
      <c r="BK176" s="681"/>
      <c r="BL176" s="654"/>
      <c r="BM176" s="682"/>
      <c r="BN176" s="683"/>
      <c r="BO176" s="683"/>
      <c r="BP176" s="683"/>
      <c r="BQ176" s="683"/>
      <c r="BR176" s="683"/>
      <c r="BS176" s="683"/>
      <c r="BT176" s="683"/>
      <c r="BU176" s="683"/>
      <c r="BV176" s="683"/>
      <c r="BW176" s="683"/>
      <c r="BX176" s="683"/>
      <c r="BY176" s="683"/>
      <c r="BZ176" s="683"/>
      <c r="CA176" s="683"/>
      <c r="CB176" s="683"/>
      <c r="CC176" s="683"/>
      <c r="CD176" s="683"/>
      <c r="CE176" s="683"/>
      <c r="CF176" s="683"/>
      <c r="CG176" s="683"/>
      <c r="CH176" s="683"/>
      <c r="CI176" s="683"/>
      <c r="CJ176" s="683"/>
      <c r="CK176" s="683"/>
      <c r="CL176" s="683"/>
      <c r="CM176" s="683"/>
      <c r="CN176" s="683"/>
      <c r="CO176" s="683"/>
      <c r="CP176" s="683"/>
      <c r="CQ176" s="683"/>
      <c r="CR176" s="683"/>
      <c r="CS176" s="683"/>
      <c r="CT176" s="683"/>
      <c r="CU176" s="683"/>
      <c r="CV176" s="683"/>
      <c r="CW176" s="683"/>
      <c r="CX176" s="683"/>
      <c r="CY176" s="683"/>
      <c r="CZ176" s="683"/>
      <c r="DA176" s="683"/>
      <c r="DB176" s="683"/>
      <c r="DC176" s="683"/>
      <c r="DD176" s="683"/>
      <c r="DE176" s="683"/>
      <c r="DF176" s="683"/>
      <c r="DG176" s="683"/>
      <c r="DH176" s="684"/>
    </row>
    <row r="177" spans="1:112" outlineLevel="1" x14ac:dyDescent="0.3">
      <c r="A177" s="652" t="str">
        <f t="shared" ref="A177:A185" si="82">IF(J177="","",IF(J177=0,"","Imprimir"))</f>
        <v>Imprimir</v>
      </c>
      <c r="B177" s="652"/>
      <c r="C177" s="685"/>
      <c r="D177" s="686" t="s">
        <v>2281</v>
      </c>
      <c r="E177" s="686" t="s">
        <v>506</v>
      </c>
      <c r="F177" s="720"/>
      <c r="G177" s="688">
        <v>700</v>
      </c>
      <c r="H177" s="689">
        <f>Producción!G12*1.1</f>
        <v>18.700000000000003</v>
      </c>
      <c r="I177" s="851">
        <f t="shared" ref="I177:I185" si="83">IF(E177&gt;0,$J$5,"")</f>
        <v>1</v>
      </c>
      <c r="J177" s="852">
        <f t="shared" ref="J177:J185" si="84">IFERROR(G177*H177*I177,"")</f>
        <v>13090.000000000002</v>
      </c>
      <c r="K177" s="667"/>
      <c r="L177" s="858"/>
      <c r="M177" s="859"/>
      <c r="N177" s="859"/>
      <c r="O177" s="859">
        <v>0.25</v>
      </c>
      <c r="P177" s="859"/>
      <c r="Q177" s="859"/>
      <c r="R177" s="859"/>
      <c r="S177" s="859">
        <v>0.25</v>
      </c>
      <c r="T177" s="859"/>
      <c r="U177" s="859"/>
      <c r="V177" s="859"/>
      <c r="W177" s="859"/>
      <c r="X177" s="859"/>
      <c r="Y177" s="859"/>
      <c r="Z177" s="860"/>
      <c r="AA177" s="860"/>
      <c r="AB177" s="860"/>
      <c r="AC177" s="860"/>
      <c r="AD177" s="860"/>
      <c r="AE177" s="860">
        <v>0.25</v>
      </c>
      <c r="AF177" s="860"/>
      <c r="AG177" s="860"/>
      <c r="AH177" s="860"/>
      <c r="AI177" s="860">
        <v>0.25</v>
      </c>
      <c r="AJ177" s="860"/>
      <c r="AK177" s="860"/>
      <c r="AL177" s="860"/>
      <c r="AM177" s="860"/>
      <c r="AN177" s="860"/>
      <c r="AO177" s="860"/>
      <c r="AP177" s="860"/>
      <c r="AQ177" s="860"/>
      <c r="AR177" s="860"/>
      <c r="AS177" s="860"/>
      <c r="AT177" s="860"/>
      <c r="AU177" s="860"/>
      <c r="AV177" s="860"/>
      <c r="AW177" s="860"/>
      <c r="AX177" s="860"/>
      <c r="AY177" s="860"/>
      <c r="AZ177" s="860"/>
      <c r="BA177" s="860"/>
      <c r="BB177" s="860"/>
      <c r="BC177" s="860"/>
      <c r="BD177" s="860"/>
      <c r="BE177" s="860"/>
      <c r="BF177" s="860"/>
      <c r="BG177" s="861"/>
      <c r="BH177" s="668"/>
      <c r="BI177" s="667"/>
      <c r="BJ177" s="690">
        <f t="shared" ref="BJ177:BJ185" si="85">IFERROR(BK177/J177,0)</f>
        <v>6.517952635599694</v>
      </c>
      <c r="BK177" s="691">
        <f t="shared" ref="BK177:BK185" si="86">SUM(BM177:DH177)</f>
        <v>85320</v>
      </c>
      <c r="BL177" s="654"/>
      <c r="BM177" s="692">
        <f>SUMIFS(Imput[[Importe Neto]:[Importe Neto]],Imput[[C. Imp.]:[C. Imp.]],$D177,Imput[[PERIODO Imp.]:[PERIODO Imp.]],BM$9)</f>
        <v>0</v>
      </c>
      <c r="BN177" s="693">
        <f>SUMIFS(Imput[[Importe Neto]:[Importe Neto]],Imput[[C. Imp.]:[C. Imp.]],$D177,Imput[[PERIODO Imp.]:[PERIODO Imp.]],BN$9)</f>
        <v>0</v>
      </c>
      <c r="BO177" s="693">
        <f>SUMIFS(Imput[[Importe Neto]:[Importe Neto]],Imput[[C. Imp.]:[C. Imp.]],$D177,Imput[[PERIODO Imp.]:[PERIODO Imp.]],BO$9)</f>
        <v>0</v>
      </c>
      <c r="BP177" s="693">
        <f>SUMIFS(Imput[[Importe Neto]:[Importe Neto]],Imput[[C. Imp.]:[C. Imp.]],$D177,Imput[[PERIODO Imp.]:[PERIODO Imp.]],BP$9)</f>
        <v>0</v>
      </c>
      <c r="BQ177" s="693">
        <f>SUMIFS(Imput[[Importe Neto]:[Importe Neto]],Imput[[C. Imp.]:[C. Imp.]],$D177,Imput[[PERIODO Imp.]:[PERIODO Imp.]],BQ$9)</f>
        <v>39960</v>
      </c>
      <c r="BR177" s="693">
        <f>SUMIFS(Imput[[Importe Neto]:[Importe Neto]],Imput[[C. Imp.]:[C. Imp.]],$D177,Imput[[PERIODO Imp.]:[PERIODO Imp.]],BR$9)</f>
        <v>45360</v>
      </c>
      <c r="BS177" s="693">
        <f>SUMIFS(Imput[[Importe Neto]:[Importe Neto]],Imput[[C. Imp.]:[C. Imp.]],$D177,Imput[[PERIODO Imp.]:[PERIODO Imp.]],BS$9)</f>
        <v>0</v>
      </c>
      <c r="BT177" s="693">
        <f>SUMIFS(Imput[[Importe Neto]:[Importe Neto]],Imput[[C. Imp.]:[C. Imp.]],$D177,Imput[[PERIODO Imp.]:[PERIODO Imp.]],BT$9)</f>
        <v>0</v>
      </c>
      <c r="BU177" s="693">
        <f>SUMIFS(Imput[[Importe Neto]:[Importe Neto]],Imput[[C. Imp.]:[C. Imp.]],$D177,Imput[[PERIODO Imp.]:[PERIODO Imp.]],BU$9)</f>
        <v>0</v>
      </c>
      <c r="BV177" s="693">
        <f>SUMIFS(Imput[[Importe Neto]:[Importe Neto]],Imput[[C. Imp.]:[C. Imp.]],$D177,Imput[[PERIODO Imp.]:[PERIODO Imp.]],BV$9)</f>
        <v>0</v>
      </c>
      <c r="BW177" s="693">
        <f>SUMIFS(Imput[[Importe Neto]:[Importe Neto]],Imput[[C. Imp.]:[C. Imp.]],$D177,Imput[[PERIODO Imp.]:[PERIODO Imp.]],BW$9)</f>
        <v>0</v>
      </c>
      <c r="BX177" s="693">
        <f>SUMIFS(Imput[[Importe Neto]:[Importe Neto]],Imput[[C. Imp.]:[C. Imp.]],$D177,Imput[[PERIODO Imp.]:[PERIODO Imp.]],BX$9)</f>
        <v>0</v>
      </c>
      <c r="BY177" s="693">
        <f>SUMIFS(Imput[[Importe Neto]:[Importe Neto]],Imput[[C. Imp.]:[C. Imp.]],$D177,Imput[[PERIODO Imp.]:[PERIODO Imp.]],BY$9)</f>
        <v>0</v>
      </c>
      <c r="BZ177" s="693">
        <f>SUMIFS(Imput[[Importe Neto]:[Importe Neto]],Imput[[C. Imp.]:[C. Imp.]],$D177,Imput[[PERIODO Imp.]:[PERIODO Imp.]],BZ$9)</f>
        <v>0</v>
      </c>
      <c r="CA177" s="693">
        <f>SUMIFS(Imput[[Importe Neto]:[Importe Neto]],Imput[[C. Imp.]:[C. Imp.]],$D177,Imput[[PERIODO Imp.]:[PERIODO Imp.]],CA$9)</f>
        <v>0</v>
      </c>
      <c r="CB177" s="693">
        <f>SUMIFS(Imput[[Importe Neto]:[Importe Neto]],Imput[[C. Imp.]:[C. Imp.]],$D177,Imput[[PERIODO Imp.]:[PERIODO Imp.]],CB$9)</f>
        <v>0</v>
      </c>
      <c r="CC177" s="693">
        <f>SUMIFS(Imput[[Importe Neto]:[Importe Neto]],Imput[[C. Imp.]:[C. Imp.]],$D177,Imput[[PERIODO Imp.]:[PERIODO Imp.]],CC$9)</f>
        <v>0</v>
      </c>
      <c r="CD177" s="693">
        <f>SUMIFS(Imput[[Importe Neto]:[Importe Neto]],Imput[[C. Imp.]:[C. Imp.]],$D177,Imput[[PERIODO Imp.]:[PERIODO Imp.]],CD$9)</f>
        <v>0</v>
      </c>
      <c r="CE177" s="693">
        <f>SUMIFS(Imput[[Importe Neto]:[Importe Neto]],Imput[[C. Imp.]:[C. Imp.]],$D177,Imput[[PERIODO Imp.]:[PERIODO Imp.]],CE$9)</f>
        <v>0</v>
      </c>
      <c r="CF177" s="693">
        <f>SUMIFS(Imput[[Importe Neto]:[Importe Neto]],Imput[[C. Imp.]:[C. Imp.]],$D177,Imput[[PERIODO Imp.]:[PERIODO Imp.]],CF$9)</f>
        <v>0</v>
      </c>
      <c r="CG177" s="693">
        <f>SUMIFS(Imput[[Importe Neto]:[Importe Neto]],Imput[[C. Imp.]:[C. Imp.]],$D177,Imput[[PERIODO Imp.]:[PERIODO Imp.]],CG$9)</f>
        <v>0</v>
      </c>
      <c r="CH177" s="693">
        <f>SUMIFS(Imput[[Importe Neto]:[Importe Neto]],Imput[[C. Imp.]:[C. Imp.]],$D177,Imput[[PERIODO Imp.]:[PERIODO Imp.]],CH$9)</f>
        <v>0</v>
      </c>
      <c r="CI177" s="693">
        <f>SUMIFS(Imput[[Importe Neto]:[Importe Neto]],Imput[[C. Imp.]:[C. Imp.]],$D177,Imput[[PERIODO Imp.]:[PERIODO Imp.]],CI$9)</f>
        <v>0</v>
      </c>
      <c r="CJ177" s="693">
        <f>SUMIFS(Imput[[Importe Neto]:[Importe Neto]],Imput[[C. Imp.]:[C. Imp.]],$D177,Imput[[PERIODO Imp.]:[PERIODO Imp.]],CJ$9)</f>
        <v>0</v>
      </c>
      <c r="CK177" s="693">
        <f>SUMIFS(Imput[[Importe Neto]:[Importe Neto]],Imput[[C. Imp.]:[C. Imp.]],$D177,Imput[[PERIODO Imp.]:[PERIODO Imp.]],CK$9)</f>
        <v>0</v>
      </c>
      <c r="CL177" s="693">
        <f>SUMIFS(Imput[[Importe Neto]:[Importe Neto]],Imput[[C. Imp.]:[C. Imp.]],$D177,Imput[[PERIODO Imp.]:[PERIODO Imp.]],CL$9)</f>
        <v>0</v>
      </c>
      <c r="CM177" s="693">
        <f>SUMIFS(Imput[[Importe Neto]:[Importe Neto]],Imput[[C. Imp.]:[C. Imp.]],$D177,Imput[[PERIODO Imp.]:[PERIODO Imp.]],CM$9)</f>
        <v>0</v>
      </c>
      <c r="CN177" s="693">
        <f>SUMIFS(Imput[[Importe Neto]:[Importe Neto]],Imput[[C. Imp.]:[C. Imp.]],$D177,Imput[[PERIODO Imp.]:[PERIODO Imp.]],CN$9)</f>
        <v>0</v>
      </c>
      <c r="CO177" s="693">
        <f>SUMIFS(Imput[[Importe Neto]:[Importe Neto]],Imput[[C. Imp.]:[C. Imp.]],$D177,Imput[[PERIODO Imp.]:[PERIODO Imp.]],CO$9)</f>
        <v>0</v>
      </c>
      <c r="CP177" s="693">
        <f>SUMIFS(Imput[[Importe Neto]:[Importe Neto]],Imput[[C. Imp.]:[C. Imp.]],$D177,Imput[[PERIODO Imp.]:[PERIODO Imp.]],CP$9)</f>
        <v>0</v>
      </c>
      <c r="CQ177" s="693">
        <f>SUMIFS(Imput[[Importe Neto]:[Importe Neto]],Imput[[C. Imp.]:[C. Imp.]],$D177,Imput[[PERIODO Imp.]:[PERIODO Imp.]],CQ$9)</f>
        <v>0</v>
      </c>
      <c r="CR177" s="693">
        <f>SUMIFS(Imput[[Importe Neto]:[Importe Neto]],Imput[[C. Imp.]:[C. Imp.]],$D177,Imput[[PERIODO Imp.]:[PERIODO Imp.]],CR$9)</f>
        <v>0</v>
      </c>
      <c r="CS177" s="693">
        <f>SUMIFS(Imput[[Importe Neto]:[Importe Neto]],Imput[[C. Imp.]:[C. Imp.]],$D177,Imput[[PERIODO Imp.]:[PERIODO Imp.]],CS$9)</f>
        <v>0</v>
      </c>
      <c r="CT177" s="693">
        <f>SUMIFS(Imput[[Importe Neto]:[Importe Neto]],Imput[[C. Imp.]:[C. Imp.]],$D177,Imput[[PERIODO Imp.]:[PERIODO Imp.]],CT$9)</f>
        <v>0</v>
      </c>
      <c r="CU177" s="693">
        <f>SUMIFS(Imput[[Importe Neto]:[Importe Neto]],Imput[[C. Imp.]:[C. Imp.]],$D177,Imput[[PERIODO Imp.]:[PERIODO Imp.]],CU$9)</f>
        <v>0</v>
      </c>
      <c r="CV177" s="693">
        <f>SUMIFS(Imput[[Importe Neto]:[Importe Neto]],Imput[[C. Imp.]:[C. Imp.]],$D177,Imput[[PERIODO Imp.]:[PERIODO Imp.]],CV$9)</f>
        <v>0</v>
      </c>
      <c r="CW177" s="693">
        <f>SUMIFS(Imput[[Importe Neto]:[Importe Neto]],Imput[[C. Imp.]:[C. Imp.]],$D177,Imput[[PERIODO Imp.]:[PERIODO Imp.]],CW$9)</f>
        <v>0</v>
      </c>
      <c r="CX177" s="693">
        <f>SUMIFS(Imput[[Importe Neto]:[Importe Neto]],Imput[[C. Imp.]:[C. Imp.]],$D177,Imput[[PERIODO Imp.]:[PERIODO Imp.]],CX$9)</f>
        <v>0</v>
      </c>
      <c r="CY177" s="693">
        <f>SUMIFS(Imput[[Importe Neto]:[Importe Neto]],Imput[[C. Imp.]:[C. Imp.]],$D177,Imput[[PERIODO Imp.]:[PERIODO Imp.]],CY$9)</f>
        <v>0</v>
      </c>
      <c r="CZ177" s="693">
        <f>SUMIFS(Imput[[Importe Neto]:[Importe Neto]],Imput[[C. Imp.]:[C. Imp.]],$D177,Imput[[PERIODO Imp.]:[PERIODO Imp.]],CZ$9)</f>
        <v>0</v>
      </c>
      <c r="DA177" s="693">
        <f>SUMIFS(Imput[[Importe Neto]:[Importe Neto]],Imput[[C. Imp.]:[C. Imp.]],$D177,Imput[[PERIODO Imp.]:[PERIODO Imp.]],DA$9)</f>
        <v>0</v>
      </c>
      <c r="DB177" s="693">
        <f>SUMIFS(Imput[[Importe Neto]:[Importe Neto]],Imput[[C. Imp.]:[C. Imp.]],$D177,Imput[[PERIODO Imp.]:[PERIODO Imp.]],DB$9)</f>
        <v>0</v>
      </c>
      <c r="DC177" s="693">
        <f>SUMIFS(Imput[[Importe Neto]:[Importe Neto]],Imput[[C. Imp.]:[C. Imp.]],$D177,Imput[[PERIODO Imp.]:[PERIODO Imp.]],DC$9)</f>
        <v>0</v>
      </c>
      <c r="DD177" s="693">
        <f>SUMIFS(Imput[[Importe Neto]:[Importe Neto]],Imput[[C. Imp.]:[C. Imp.]],$D177,Imput[[PERIODO Imp.]:[PERIODO Imp.]],DD$9)</f>
        <v>0</v>
      </c>
      <c r="DE177" s="693">
        <f>SUMIFS(Imput[[Importe Neto]:[Importe Neto]],Imput[[C. Imp.]:[C. Imp.]],$D177,Imput[[PERIODO Imp.]:[PERIODO Imp.]],DE$9)</f>
        <v>0</v>
      </c>
      <c r="DF177" s="693">
        <f>SUMIFS(Imput[[Importe Neto]:[Importe Neto]],Imput[[C. Imp.]:[C. Imp.]],$D177,Imput[[PERIODO Imp.]:[PERIODO Imp.]],DF$9)</f>
        <v>0</v>
      </c>
      <c r="DG177" s="693">
        <f>SUMIFS(Imput[[Importe Neto]:[Importe Neto]],Imput[[C. Imp.]:[C. Imp.]],$D177,Imput[[PERIODO Imp.]:[PERIODO Imp.]],DG$9)</f>
        <v>0</v>
      </c>
      <c r="DH177" s="694">
        <f>SUMIFS(Imput[[Importe Neto]:[Importe Neto]],Imput[[C. Imp.]:[C. Imp.]],$D177,Imput[[PERIODO Imp.]:[PERIODO Imp.]],DH$9)</f>
        <v>0</v>
      </c>
    </row>
    <row r="178" spans="1:112" hidden="1" outlineLevel="1" x14ac:dyDescent="0.3">
      <c r="A178" s="652" t="str">
        <f t="shared" si="82"/>
        <v/>
      </c>
      <c r="B178" s="652"/>
      <c r="C178" s="685"/>
      <c r="D178" s="686" t="s">
        <v>2282</v>
      </c>
      <c r="E178" s="686"/>
      <c r="F178" s="720"/>
      <c r="G178" s="688"/>
      <c r="H178" s="689"/>
      <c r="I178" s="851" t="str">
        <f t="shared" si="83"/>
        <v/>
      </c>
      <c r="J178" s="852" t="str">
        <f t="shared" si="84"/>
        <v/>
      </c>
      <c r="K178" s="667"/>
      <c r="L178" s="858"/>
      <c r="M178" s="859"/>
      <c r="N178" s="859"/>
      <c r="O178" s="859"/>
      <c r="P178" s="859"/>
      <c r="Q178" s="859"/>
      <c r="R178" s="859"/>
      <c r="S178" s="859"/>
      <c r="T178" s="859"/>
      <c r="U178" s="859"/>
      <c r="V178" s="859"/>
      <c r="W178" s="859"/>
      <c r="X178" s="859"/>
      <c r="Y178" s="859"/>
      <c r="Z178" s="860"/>
      <c r="AA178" s="860"/>
      <c r="AB178" s="860"/>
      <c r="AC178" s="860"/>
      <c r="AD178" s="860"/>
      <c r="AE178" s="860"/>
      <c r="AF178" s="860"/>
      <c r="AG178" s="860"/>
      <c r="AH178" s="860"/>
      <c r="AI178" s="860"/>
      <c r="AJ178" s="860"/>
      <c r="AK178" s="860"/>
      <c r="AL178" s="860"/>
      <c r="AM178" s="860"/>
      <c r="AN178" s="860"/>
      <c r="AO178" s="860"/>
      <c r="AP178" s="860"/>
      <c r="AQ178" s="860"/>
      <c r="AR178" s="860"/>
      <c r="AS178" s="860"/>
      <c r="AT178" s="860"/>
      <c r="AU178" s="860"/>
      <c r="AV178" s="860"/>
      <c r="AW178" s="860"/>
      <c r="AX178" s="860"/>
      <c r="AY178" s="860"/>
      <c r="AZ178" s="860"/>
      <c r="BA178" s="860"/>
      <c r="BB178" s="860"/>
      <c r="BC178" s="860"/>
      <c r="BD178" s="860"/>
      <c r="BE178" s="860"/>
      <c r="BF178" s="860"/>
      <c r="BG178" s="861"/>
      <c r="BH178" s="668"/>
      <c r="BI178" s="667"/>
      <c r="BJ178" s="690">
        <f t="shared" si="85"/>
        <v>0</v>
      </c>
      <c r="BK178" s="691">
        <f t="shared" si="86"/>
        <v>0</v>
      </c>
      <c r="BL178" s="654"/>
      <c r="BM178" s="692">
        <f>SUMIFS(Imput[[Importe Neto]:[Importe Neto]],Imput[[C. Imp.]:[C. Imp.]],$D178,Imput[[PERIODO Imp.]:[PERIODO Imp.]],BM$9)</f>
        <v>0</v>
      </c>
      <c r="BN178" s="693">
        <f>SUMIFS(Imput[[Importe Neto]:[Importe Neto]],Imput[[C. Imp.]:[C. Imp.]],$D178,Imput[[PERIODO Imp.]:[PERIODO Imp.]],BN$9)</f>
        <v>0</v>
      </c>
      <c r="BO178" s="693">
        <f>SUMIFS(Imput[[Importe Neto]:[Importe Neto]],Imput[[C. Imp.]:[C. Imp.]],$D178,Imput[[PERIODO Imp.]:[PERIODO Imp.]],BO$9)</f>
        <v>0</v>
      </c>
      <c r="BP178" s="693">
        <f>SUMIFS(Imput[[Importe Neto]:[Importe Neto]],Imput[[C. Imp.]:[C. Imp.]],$D178,Imput[[PERIODO Imp.]:[PERIODO Imp.]],BP$9)</f>
        <v>0</v>
      </c>
      <c r="BQ178" s="693">
        <f>SUMIFS(Imput[[Importe Neto]:[Importe Neto]],Imput[[C. Imp.]:[C. Imp.]],$D178,Imput[[PERIODO Imp.]:[PERIODO Imp.]],BQ$9)</f>
        <v>0</v>
      </c>
      <c r="BR178" s="693">
        <f>SUMIFS(Imput[[Importe Neto]:[Importe Neto]],Imput[[C. Imp.]:[C. Imp.]],$D178,Imput[[PERIODO Imp.]:[PERIODO Imp.]],BR$9)</f>
        <v>0</v>
      </c>
      <c r="BS178" s="693">
        <f>SUMIFS(Imput[[Importe Neto]:[Importe Neto]],Imput[[C. Imp.]:[C. Imp.]],$D178,Imput[[PERIODO Imp.]:[PERIODO Imp.]],BS$9)</f>
        <v>0</v>
      </c>
      <c r="BT178" s="693">
        <f>SUMIFS(Imput[[Importe Neto]:[Importe Neto]],Imput[[C. Imp.]:[C. Imp.]],$D178,Imput[[PERIODO Imp.]:[PERIODO Imp.]],BT$9)</f>
        <v>0</v>
      </c>
      <c r="BU178" s="693">
        <f>SUMIFS(Imput[[Importe Neto]:[Importe Neto]],Imput[[C. Imp.]:[C. Imp.]],$D178,Imput[[PERIODO Imp.]:[PERIODO Imp.]],BU$9)</f>
        <v>0</v>
      </c>
      <c r="BV178" s="693">
        <f>SUMIFS(Imput[[Importe Neto]:[Importe Neto]],Imput[[C. Imp.]:[C. Imp.]],$D178,Imput[[PERIODO Imp.]:[PERIODO Imp.]],BV$9)</f>
        <v>0</v>
      </c>
      <c r="BW178" s="693">
        <f>SUMIFS(Imput[[Importe Neto]:[Importe Neto]],Imput[[C. Imp.]:[C. Imp.]],$D178,Imput[[PERIODO Imp.]:[PERIODO Imp.]],BW$9)</f>
        <v>0</v>
      </c>
      <c r="BX178" s="693">
        <f>SUMIFS(Imput[[Importe Neto]:[Importe Neto]],Imput[[C. Imp.]:[C. Imp.]],$D178,Imput[[PERIODO Imp.]:[PERIODO Imp.]],BX$9)</f>
        <v>0</v>
      </c>
      <c r="BY178" s="693">
        <f>SUMIFS(Imput[[Importe Neto]:[Importe Neto]],Imput[[C. Imp.]:[C. Imp.]],$D178,Imput[[PERIODO Imp.]:[PERIODO Imp.]],BY$9)</f>
        <v>0</v>
      </c>
      <c r="BZ178" s="693">
        <f>SUMIFS(Imput[[Importe Neto]:[Importe Neto]],Imput[[C. Imp.]:[C. Imp.]],$D178,Imput[[PERIODO Imp.]:[PERIODO Imp.]],BZ$9)</f>
        <v>0</v>
      </c>
      <c r="CA178" s="693">
        <f>SUMIFS(Imput[[Importe Neto]:[Importe Neto]],Imput[[C. Imp.]:[C. Imp.]],$D178,Imput[[PERIODO Imp.]:[PERIODO Imp.]],CA$9)</f>
        <v>0</v>
      </c>
      <c r="CB178" s="693">
        <f>SUMIFS(Imput[[Importe Neto]:[Importe Neto]],Imput[[C. Imp.]:[C. Imp.]],$D178,Imput[[PERIODO Imp.]:[PERIODO Imp.]],CB$9)</f>
        <v>0</v>
      </c>
      <c r="CC178" s="693">
        <f>SUMIFS(Imput[[Importe Neto]:[Importe Neto]],Imput[[C. Imp.]:[C. Imp.]],$D178,Imput[[PERIODO Imp.]:[PERIODO Imp.]],CC$9)</f>
        <v>0</v>
      </c>
      <c r="CD178" s="693">
        <f>SUMIFS(Imput[[Importe Neto]:[Importe Neto]],Imput[[C. Imp.]:[C. Imp.]],$D178,Imput[[PERIODO Imp.]:[PERIODO Imp.]],CD$9)</f>
        <v>0</v>
      </c>
      <c r="CE178" s="693">
        <f>SUMIFS(Imput[[Importe Neto]:[Importe Neto]],Imput[[C. Imp.]:[C. Imp.]],$D178,Imput[[PERIODO Imp.]:[PERIODO Imp.]],CE$9)</f>
        <v>0</v>
      </c>
      <c r="CF178" s="693">
        <f>SUMIFS(Imput[[Importe Neto]:[Importe Neto]],Imput[[C. Imp.]:[C. Imp.]],$D178,Imput[[PERIODO Imp.]:[PERIODO Imp.]],CF$9)</f>
        <v>0</v>
      </c>
      <c r="CG178" s="693">
        <f>SUMIFS(Imput[[Importe Neto]:[Importe Neto]],Imput[[C. Imp.]:[C. Imp.]],$D178,Imput[[PERIODO Imp.]:[PERIODO Imp.]],CG$9)</f>
        <v>0</v>
      </c>
      <c r="CH178" s="693">
        <f>SUMIFS(Imput[[Importe Neto]:[Importe Neto]],Imput[[C. Imp.]:[C. Imp.]],$D178,Imput[[PERIODO Imp.]:[PERIODO Imp.]],CH$9)</f>
        <v>0</v>
      </c>
      <c r="CI178" s="693">
        <f>SUMIFS(Imput[[Importe Neto]:[Importe Neto]],Imput[[C. Imp.]:[C. Imp.]],$D178,Imput[[PERIODO Imp.]:[PERIODO Imp.]],CI$9)</f>
        <v>0</v>
      </c>
      <c r="CJ178" s="693">
        <f>SUMIFS(Imput[[Importe Neto]:[Importe Neto]],Imput[[C. Imp.]:[C. Imp.]],$D178,Imput[[PERIODO Imp.]:[PERIODO Imp.]],CJ$9)</f>
        <v>0</v>
      </c>
      <c r="CK178" s="693">
        <f>SUMIFS(Imput[[Importe Neto]:[Importe Neto]],Imput[[C. Imp.]:[C. Imp.]],$D178,Imput[[PERIODO Imp.]:[PERIODO Imp.]],CK$9)</f>
        <v>0</v>
      </c>
      <c r="CL178" s="693">
        <f>SUMIFS(Imput[[Importe Neto]:[Importe Neto]],Imput[[C. Imp.]:[C. Imp.]],$D178,Imput[[PERIODO Imp.]:[PERIODO Imp.]],CL$9)</f>
        <v>0</v>
      </c>
      <c r="CM178" s="693">
        <f>SUMIFS(Imput[[Importe Neto]:[Importe Neto]],Imput[[C. Imp.]:[C. Imp.]],$D178,Imput[[PERIODO Imp.]:[PERIODO Imp.]],CM$9)</f>
        <v>0</v>
      </c>
      <c r="CN178" s="693">
        <f>SUMIFS(Imput[[Importe Neto]:[Importe Neto]],Imput[[C. Imp.]:[C. Imp.]],$D178,Imput[[PERIODO Imp.]:[PERIODO Imp.]],CN$9)</f>
        <v>0</v>
      </c>
      <c r="CO178" s="693">
        <f>SUMIFS(Imput[[Importe Neto]:[Importe Neto]],Imput[[C. Imp.]:[C. Imp.]],$D178,Imput[[PERIODO Imp.]:[PERIODO Imp.]],CO$9)</f>
        <v>0</v>
      </c>
      <c r="CP178" s="693">
        <f>SUMIFS(Imput[[Importe Neto]:[Importe Neto]],Imput[[C. Imp.]:[C. Imp.]],$D178,Imput[[PERIODO Imp.]:[PERIODO Imp.]],CP$9)</f>
        <v>0</v>
      </c>
      <c r="CQ178" s="693">
        <f>SUMIFS(Imput[[Importe Neto]:[Importe Neto]],Imput[[C. Imp.]:[C. Imp.]],$D178,Imput[[PERIODO Imp.]:[PERIODO Imp.]],CQ$9)</f>
        <v>0</v>
      </c>
      <c r="CR178" s="693">
        <f>SUMIFS(Imput[[Importe Neto]:[Importe Neto]],Imput[[C. Imp.]:[C. Imp.]],$D178,Imput[[PERIODO Imp.]:[PERIODO Imp.]],CR$9)</f>
        <v>0</v>
      </c>
      <c r="CS178" s="693">
        <f>SUMIFS(Imput[[Importe Neto]:[Importe Neto]],Imput[[C. Imp.]:[C. Imp.]],$D178,Imput[[PERIODO Imp.]:[PERIODO Imp.]],CS$9)</f>
        <v>0</v>
      </c>
      <c r="CT178" s="693">
        <f>SUMIFS(Imput[[Importe Neto]:[Importe Neto]],Imput[[C. Imp.]:[C. Imp.]],$D178,Imput[[PERIODO Imp.]:[PERIODO Imp.]],CT$9)</f>
        <v>0</v>
      </c>
      <c r="CU178" s="693">
        <f>SUMIFS(Imput[[Importe Neto]:[Importe Neto]],Imput[[C. Imp.]:[C. Imp.]],$D178,Imput[[PERIODO Imp.]:[PERIODO Imp.]],CU$9)</f>
        <v>0</v>
      </c>
      <c r="CV178" s="693">
        <f>SUMIFS(Imput[[Importe Neto]:[Importe Neto]],Imput[[C. Imp.]:[C. Imp.]],$D178,Imput[[PERIODO Imp.]:[PERIODO Imp.]],CV$9)</f>
        <v>0</v>
      </c>
      <c r="CW178" s="693">
        <f>SUMIFS(Imput[[Importe Neto]:[Importe Neto]],Imput[[C. Imp.]:[C. Imp.]],$D178,Imput[[PERIODO Imp.]:[PERIODO Imp.]],CW$9)</f>
        <v>0</v>
      </c>
      <c r="CX178" s="693">
        <f>SUMIFS(Imput[[Importe Neto]:[Importe Neto]],Imput[[C. Imp.]:[C. Imp.]],$D178,Imput[[PERIODO Imp.]:[PERIODO Imp.]],CX$9)</f>
        <v>0</v>
      </c>
      <c r="CY178" s="693">
        <f>SUMIFS(Imput[[Importe Neto]:[Importe Neto]],Imput[[C. Imp.]:[C. Imp.]],$D178,Imput[[PERIODO Imp.]:[PERIODO Imp.]],CY$9)</f>
        <v>0</v>
      </c>
      <c r="CZ178" s="693">
        <f>SUMIFS(Imput[[Importe Neto]:[Importe Neto]],Imput[[C. Imp.]:[C. Imp.]],$D178,Imput[[PERIODO Imp.]:[PERIODO Imp.]],CZ$9)</f>
        <v>0</v>
      </c>
      <c r="DA178" s="693">
        <f>SUMIFS(Imput[[Importe Neto]:[Importe Neto]],Imput[[C. Imp.]:[C. Imp.]],$D178,Imput[[PERIODO Imp.]:[PERIODO Imp.]],DA$9)</f>
        <v>0</v>
      </c>
      <c r="DB178" s="693">
        <f>SUMIFS(Imput[[Importe Neto]:[Importe Neto]],Imput[[C. Imp.]:[C. Imp.]],$D178,Imput[[PERIODO Imp.]:[PERIODO Imp.]],DB$9)</f>
        <v>0</v>
      </c>
      <c r="DC178" s="693">
        <f>SUMIFS(Imput[[Importe Neto]:[Importe Neto]],Imput[[C. Imp.]:[C. Imp.]],$D178,Imput[[PERIODO Imp.]:[PERIODO Imp.]],DC$9)</f>
        <v>0</v>
      </c>
      <c r="DD178" s="693">
        <f>SUMIFS(Imput[[Importe Neto]:[Importe Neto]],Imput[[C. Imp.]:[C. Imp.]],$D178,Imput[[PERIODO Imp.]:[PERIODO Imp.]],DD$9)</f>
        <v>0</v>
      </c>
      <c r="DE178" s="693">
        <f>SUMIFS(Imput[[Importe Neto]:[Importe Neto]],Imput[[C. Imp.]:[C. Imp.]],$D178,Imput[[PERIODO Imp.]:[PERIODO Imp.]],DE$9)</f>
        <v>0</v>
      </c>
      <c r="DF178" s="693">
        <f>SUMIFS(Imput[[Importe Neto]:[Importe Neto]],Imput[[C. Imp.]:[C. Imp.]],$D178,Imput[[PERIODO Imp.]:[PERIODO Imp.]],DF$9)</f>
        <v>0</v>
      </c>
      <c r="DG178" s="693">
        <f>SUMIFS(Imput[[Importe Neto]:[Importe Neto]],Imput[[C. Imp.]:[C. Imp.]],$D178,Imput[[PERIODO Imp.]:[PERIODO Imp.]],DG$9)</f>
        <v>0</v>
      </c>
      <c r="DH178" s="694">
        <f>SUMIFS(Imput[[Importe Neto]:[Importe Neto]],Imput[[C. Imp.]:[C. Imp.]],$D178,Imput[[PERIODO Imp.]:[PERIODO Imp.]],DH$9)</f>
        <v>0</v>
      </c>
    </row>
    <row r="179" spans="1:112" hidden="1" outlineLevel="1" x14ac:dyDescent="0.3">
      <c r="A179" s="652" t="str">
        <f t="shared" si="82"/>
        <v/>
      </c>
      <c r="B179" s="652"/>
      <c r="C179" s="685"/>
      <c r="D179" s="686" t="s">
        <v>2283</v>
      </c>
      <c r="E179" s="686"/>
      <c r="F179" s="720"/>
      <c r="G179" s="688"/>
      <c r="H179" s="689"/>
      <c r="I179" s="851" t="str">
        <f t="shared" si="83"/>
        <v/>
      </c>
      <c r="J179" s="852" t="str">
        <f t="shared" si="84"/>
        <v/>
      </c>
      <c r="K179" s="667"/>
      <c r="L179" s="858"/>
      <c r="M179" s="859"/>
      <c r="N179" s="859"/>
      <c r="O179" s="859"/>
      <c r="P179" s="859"/>
      <c r="Q179" s="859"/>
      <c r="R179" s="859"/>
      <c r="S179" s="859"/>
      <c r="T179" s="859"/>
      <c r="U179" s="859"/>
      <c r="V179" s="859"/>
      <c r="W179" s="859"/>
      <c r="X179" s="859"/>
      <c r="Y179" s="859"/>
      <c r="Z179" s="860"/>
      <c r="AA179" s="860"/>
      <c r="AB179" s="860"/>
      <c r="AC179" s="860"/>
      <c r="AD179" s="860"/>
      <c r="AE179" s="860"/>
      <c r="AF179" s="860"/>
      <c r="AG179" s="860"/>
      <c r="AH179" s="860"/>
      <c r="AI179" s="860"/>
      <c r="AJ179" s="860"/>
      <c r="AK179" s="860"/>
      <c r="AL179" s="860"/>
      <c r="AM179" s="860"/>
      <c r="AN179" s="860"/>
      <c r="AO179" s="860"/>
      <c r="AP179" s="860"/>
      <c r="AQ179" s="860"/>
      <c r="AR179" s="860"/>
      <c r="AS179" s="860"/>
      <c r="AT179" s="860"/>
      <c r="AU179" s="860"/>
      <c r="AV179" s="860"/>
      <c r="AW179" s="860"/>
      <c r="AX179" s="860"/>
      <c r="AY179" s="860"/>
      <c r="AZ179" s="860"/>
      <c r="BA179" s="860"/>
      <c r="BB179" s="860"/>
      <c r="BC179" s="860"/>
      <c r="BD179" s="860"/>
      <c r="BE179" s="860"/>
      <c r="BF179" s="860"/>
      <c r="BG179" s="861"/>
      <c r="BH179" s="668"/>
      <c r="BI179" s="667"/>
      <c r="BJ179" s="690">
        <f t="shared" si="85"/>
        <v>0</v>
      </c>
      <c r="BK179" s="691">
        <f t="shared" si="86"/>
        <v>0</v>
      </c>
      <c r="BL179" s="654"/>
      <c r="BM179" s="692">
        <f>SUMIFS(Imput[[Importe Neto]:[Importe Neto]],Imput[[C. Imp.]:[C. Imp.]],$D179,Imput[[PERIODO Imp.]:[PERIODO Imp.]],BM$9)</f>
        <v>0</v>
      </c>
      <c r="BN179" s="693">
        <f>SUMIFS(Imput[[Importe Neto]:[Importe Neto]],Imput[[C. Imp.]:[C. Imp.]],$D179,Imput[[PERIODO Imp.]:[PERIODO Imp.]],BN$9)</f>
        <v>0</v>
      </c>
      <c r="BO179" s="693">
        <f>SUMIFS(Imput[[Importe Neto]:[Importe Neto]],Imput[[C. Imp.]:[C. Imp.]],$D179,Imput[[PERIODO Imp.]:[PERIODO Imp.]],BO$9)</f>
        <v>0</v>
      </c>
      <c r="BP179" s="693">
        <f>SUMIFS(Imput[[Importe Neto]:[Importe Neto]],Imput[[C. Imp.]:[C. Imp.]],$D179,Imput[[PERIODO Imp.]:[PERIODO Imp.]],BP$9)</f>
        <v>0</v>
      </c>
      <c r="BQ179" s="693">
        <f>SUMIFS(Imput[[Importe Neto]:[Importe Neto]],Imput[[C. Imp.]:[C. Imp.]],$D179,Imput[[PERIODO Imp.]:[PERIODO Imp.]],BQ$9)</f>
        <v>0</v>
      </c>
      <c r="BR179" s="693">
        <f>SUMIFS(Imput[[Importe Neto]:[Importe Neto]],Imput[[C. Imp.]:[C. Imp.]],$D179,Imput[[PERIODO Imp.]:[PERIODO Imp.]],BR$9)</f>
        <v>0</v>
      </c>
      <c r="BS179" s="693">
        <f>SUMIFS(Imput[[Importe Neto]:[Importe Neto]],Imput[[C. Imp.]:[C. Imp.]],$D179,Imput[[PERIODO Imp.]:[PERIODO Imp.]],BS$9)</f>
        <v>0</v>
      </c>
      <c r="BT179" s="693">
        <f>SUMIFS(Imput[[Importe Neto]:[Importe Neto]],Imput[[C. Imp.]:[C. Imp.]],$D179,Imput[[PERIODO Imp.]:[PERIODO Imp.]],BT$9)</f>
        <v>0</v>
      </c>
      <c r="BU179" s="693">
        <f>SUMIFS(Imput[[Importe Neto]:[Importe Neto]],Imput[[C. Imp.]:[C. Imp.]],$D179,Imput[[PERIODO Imp.]:[PERIODO Imp.]],BU$9)</f>
        <v>0</v>
      </c>
      <c r="BV179" s="693">
        <f>SUMIFS(Imput[[Importe Neto]:[Importe Neto]],Imput[[C. Imp.]:[C. Imp.]],$D179,Imput[[PERIODO Imp.]:[PERIODO Imp.]],BV$9)</f>
        <v>0</v>
      </c>
      <c r="BW179" s="693">
        <f>SUMIFS(Imput[[Importe Neto]:[Importe Neto]],Imput[[C. Imp.]:[C. Imp.]],$D179,Imput[[PERIODO Imp.]:[PERIODO Imp.]],BW$9)</f>
        <v>0</v>
      </c>
      <c r="BX179" s="693">
        <f>SUMIFS(Imput[[Importe Neto]:[Importe Neto]],Imput[[C. Imp.]:[C. Imp.]],$D179,Imput[[PERIODO Imp.]:[PERIODO Imp.]],BX$9)</f>
        <v>0</v>
      </c>
      <c r="BY179" s="693">
        <f>SUMIFS(Imput[[Importe Neto]:[Importe Neto]],Imput[[C. Imp.]:[C. Imp.]],$D179,Imput[[PERIODO Imp.]:[PERIODO Imp.]],BY$9)</f>
        <v>0</v>
      </c>
      <c r="BZ179" s="693">
        <f>SUMIFS(Imput[[Importe Neto]:[Importe Neto]],Imput[[C. Imp.]:[C. Imp.]],$D179,Imput[[PERIODO Imp.]:[PERIODO Imp.]],BZ$9)</f>
        <v>0</v>
      </c>
      <c r="CA179" s="693">
        <f>SUMIFS(Imput[[Importe Neto]:[Importe Neto]],Imput[[C. Imp.]:[C. Imp.]],$D179,Imput[[PERIODO Imp.]:[PERIODO Imp.]],CA$9)</f>
        <v>0</v>
      </c>
      <c r="CB179" s="693">
        <f>SUMIFS(Imput[[Importe Neto]:[Importe Neto]],Imput[[C. Imp.]:[C. Imp.]],$D179,Imput[[PERIODO Imp.]:[PERIODO Imp.]],CB$9)</f>
        <v>0</v>
      </c>
      <c r="CC179" s="693">
        <f>SUMIFS(Imput[[Importe Neto]:[Importe Neto]],Imput[[C. Imp.]:[C. Imp.]],$D179,Imput[[PERIODO Imp.]:[PERIODO Imp.]],CC$9)</f>
        <v>0</v>
      </c>
      <c r="CD179" s="693">
        <f>SUMIFS(Imput[[Importe Neto]:[Importe Neto]],Imput[[C. Imp.]:[C. Imp.]],$D179,Imput[[PERIODO Imp.]:[PERIODO Imp.]],CD$9)</f>
        <v>0</v>
      </c>
      <c r="CE179" s="693">
        <f>SUMIFS(Imput[[Importe Neto]:[Importe Neto]],Imput[[C. Imp.]:[C. Imp.]],$D179,Imput[[PERIODO Imp.]:[PERIODO Imp.]],CE$9)</f>
        <v>0</v>
      </c>
      <c r="CF179" s="693">
        <f>SUMIFS(Imput[[Importe Neto]:[Importe Neto]],Imput[[C. Imp.]:[C. Imp.]],$D179,Imput[[PERIODO Imp.]:[PERIODO Imp.]],CF$9)</f>
        <v>0</v>
      </c>
      <c r="CG179" s="693">
        <f>SUMIFS(Imput[[Importe Neto]:[Importe Neto]],Imput[[C. Imp.]:[C. Imp.]],$D179,Imput[[PERIODO Imp.]:[PERIODO Imp.]],CG$9)</f>
        <v>0</v>
      </c>
      <c r="CH179" s="693">
        <f>SUMIFS(Imput[[Importe Neto]:[Importe Neto]],Imput[[C. Imp.]:[C. Imp.]],$D179,Imput[[PERIODO Imp.]:[PERIODO Imp.]],CH$9)</f>
        <v>0</v>
      </c>
      <c r="CI179" s="693">
        <f>SUMIFS(Imput[[Importe Neto]:[Importe Neto]],Imput[[C. Imp.]:[C. Imp.]],$D179,Imput[[PERIODO Imp.]:[PERIODO Imp.]],CI$9)</f>
        <v>0</v>
      </c>
      <c r="CJ179" s="693">
        <f>SUMIFS(Imput[[Importe Neto]:[Importe Neto]],Imput[[C. Imp.]:[C. Imp.]],$D179,Imput[[PERIODO Imp.]:[PERIODO Imp.]],CJ$9)</f>
        <v>0</v>
      </c>
      <c r="CK179" s="693">
        <f>SUMIFS(Imput[[Importe Neto]:[Importe Neto]],Imput[[C. Imp.]:[C. Imp.]],$D179,Imput[[PERIODO Imp.]:[PERIODO Imp.]],CK$9)</f>
        <v>0</v>
      </c>
      <c r="CL179" s="693">
        <f>SUMIFS(Imput[[Importe Neto]:[Importe Neto]],Imput[[C. Imp.]:[C. Imp.]],$D179,Imput[[PERIODO Imp.]:[PERIODO Imp.]],CL$9)</f>
        <v>0</v>
      </c>
      <c r="CM179" s="693">
        <f>SUMIFS(Imput[[Importe Neto]:[Importe Neto]],Imput[[C. Imp.]:[C. Imp.]],$D179,Imput[[PERIODO Imp.]:[PERIODO Imp.]],CM$9)</f>
        <v>0</v>
      </c>
      <c r="CN179" s="693">
        <f>SUMIFS(Imput[[Importe Neto]:[Importe Neto]],Imput[[C. Imp.]:[C. Imp.]],$D179,Imput[[PERIODO Imp.]:[PERIODO Imp.]],CN$9)</f>
        <v>0</v>
      </c>
      <c r="CO179" s="693">
        <f>SUMIFS(Imput[[Importe Neto]:[Importe Neto]],Imput[[C. Imp.]:[C. Imp.]],$D179,Imput[[PERIODO Imp.]:[PERIODO Imp.]],CO$9)</f>
        <v>0</v>
      </c>
      <c r="CP179" s="693">
        <f>SUMIFS(Imput[[Importe Neto]:[Importe Neto]],Imput[[C. Imp.]:[C. Imp.]],$D179,Imput[[PERIODO Imp.]:[PERIODO Imp.]],CP$9)</f>
        <v>0</v>
      </c>
      <c r="CQ179" s="693">
        <f>SUMIFS(Imput[[Importe Neto]:[Importe Neto]],Imput[[C. Imp.]:[C. Imp.]],$D179,Imput[[PERIODO Imp.]:[PERIODO Imp.]],CQ$9)</f>
        <v>0</v>
      </c>
      <c r="CR179" s="693">
        <f>SUMIFS(Imput[[Importe Neto]:[Importe Neto]],Imput[[C. Imp.]:[C. Imp.]],$D179,Imput[[PERIODO Imp.]:[PERIODO Imp.]],CR$9)</f>
        <v>0</v>
      </c>
      <c r="CS179" s="693">
        <f>SUMIFS(Imput[[Importe Neto]:[Importe Neto]],Imput[[C. Imp.]:[C. Imp.]],$D179,Imput[[PERIODO Imp.]:[PERIODO Imp.]],CS$9)</f>
        <v>0</v>
      </c>
      <c r="CT179" s="693">
        <f>SUMIFS(Imput[[Importe Neto]:[Importe Neto]],Imput[[C. Imp.]:[C. Imp.]],$D179,Imput[[PERIODO Imp.]:[PERIODO Imp.]],CT$9)</f>
        <v>0</v>
      </c>
      <c r="CU179" s="693">
        <f>SUMIFS(Imput[[Importe Neto]:[Importe Neto]],Imput[[C. Imp.]:[C. Imp.]],$D179,Imput[[PERIODO Imp.]:[PERIODO Imp.]],CU$9)</f>
        <v>0</v>
      </c>
      <c r="CV179" s="693">
        <f>SUMIFS(Imput[[Importe Neto]:[Importe Neto]],Imput[[C. Imp.]:[C. Imp.]],$D179,Imput[[PERIODO Imp.]:[PERIODO Imp.]],CV$9)</f>
        <v>0</v>
      </c>
      <c r="CW179" s="693">
        <f>SUMIFS(Imput[[Importe Neto]:[Importe Neto]],Imput[[C. Imp.]:[C. Imp.]],$D179,Imput[[PERIODO Imp.]:[PERIODO Imp.]],CW$9)</f>
        <v>0</v>
      </c>
      <c r="CX179" s="693">
        <f>SUMIFS(Imput[[Importe Neto]:[Importe Neto]],Imput[[C. Imp.]:[C. Imp.]],$D179,Imput[[PERIODO Imp.]:[PERIODO Imp.]],CX$9)</f>
        <v>0</v>
      </c>
      <c r="CY179" s="693">
        <f>SUMIFS(Imput[[Importe Neto]:[Importe Neto]],Imput[[C. Imp.]:[C. Imp.]],$D179,Imput[[PERIODO Imp.]:[PERIODO Imp.]],CY$9)</f>
        <v>0</v>
      </c>
      <c r="CZ179" s="693">
        <f>SUMIFS(Imput[[Importe Neto]:[Importe Neto]],Imput[[C. Imp.]:[C. Imp.]],$D179,Imput[[PERIODO Imp.]:[PERIODO Imp.]],CZ$9)</f>
        <v>0</v>
      </c>
      <c r="DA179" s="693">
        <f>SUMIFS(Imput[[Importe Neto]:[Importe Neto]],Imput[[C. Imp.]:[C. Imp.]],$D179,Imput[[PERIODO Imp.]:[PERIODO Imp.]],DA$9)</f>
        <v>0</v>
      </c>
      <c r="DB179" s="693">
        <f>SUMIFS(Imput[[Importe Neto]:[Importe Neto]],Imput[[C. Imp.]:[C. Imp.]],$D179,Imput[[PERIODO Imp.]:[PERIODO Imp.]],DB$9)</f>
        <v>0</v>
      </c>
      <c r="DC179" s="693">
        <f>SUMIFS(Imput[[Importe Neto]:[Importe Neto]],Imput[[C. Imp.]:[C. Imp.]],$D179,Imput[[PERIODO Imp.]:[PERIODO Imp.]],DC$9)</f>
        <v>0</v>
      </c>
      <c r="DD179" s="693">
        <f>SUMIFS(Imput[[Importe Neto]:[Importe Neto]],Imput[[C. Imp.]:[C. Imp.]],$D179,Imput[[PERIODO Imp.]:[PERIODO Imp.]],DD$9)</f>
        <v>0</v>
      </c>
      <c r="DE179" s="693">
        <f>SUMIFS(Imput[[Importe Neto]:[Importe Neto]],Imput[[C. Imp.]:[C. Imp.]],$D179,Imput[[PERIODO Imp.]:[PERIODO Imp.]],DE$9)</f>
        <v>0</v>
      </c>
      <c r="DF179" s="693">
        <f>SUMIFS(Imput[[Importe Neto]:[Importe Neto]],Imput[[C. Imp.]:[C. Imp.]],$D179,Imput[[PERIODO Imp.]:[PERIODO Imp.]],DF$9)</f>
        <v>0</v>
      </c>
      <c r="DG179" s="693">
        <f>SUMIFS(Imput[[Importe Neto]:[Importe Neto]],Imput[[C. Imp.]:[C. Imp.]],$D179,Imput[[PERIODO Imp.]:[PERIODO Imp.]],DG$9)</f>
        <v>0</v>
      </c>
      <c r="DH179" s="694">
        <f>SUMIFS(Imput[[Importe Neto]:[Importe Neto]],Imput[[C. Imp.]:[C. Imp.]],$D179,Imput[[PERIODO Imp.]:[PERIODO Imp.]],DH$9)</f>
        <v>0</v>
      </c>
    </row>
    <row r="180" spans="1:112" hidden="1" outlineLevel="1" x14ac:dyDescent="0.3">
      <c r="A180" s="66" t="str">
        <f t="shared" si="82"/>
        <v/>
      </c>
      <c r="C180" s="527"/>
      <c r="D180" s="528" t="s">
        <v>2284</v>
      </c>
      <c r="E180" s="528"/>
      <c r="F180" s="534"/>
      <c r="G180" s="529"/>
      <c r="H180" s="530"/>
      <c r="I180" s="849" t="str">
        <f t="shared" si="83"/>
        <v/>
      </c>
      <c r="J180" s="517" t="str">
        <f t="shared" si="84"/>
        <v/>
      </c>
      <c r="K180" s="70"/>
      <c r="L180" s="853"/>
      <c r="M180" s="855"/>
      <c r="N180" s="855"/>
      <c r="O180" s="855"/>
      <c r="P180" s="855"/>
      <c r="Q180" s="855"/>
      <c r="R180" s="855"/>
      <c r="S180" s="855"/>
      <c r="T180" s="855"/>
      <c r="U180" s="855"/>
      <c r="V180" s="855"/>
      <c r="W180" s="855"/>
      <c r="X180" s="855"/>
      <c r="Y180" s="855"/>
      <c r="Z180" s="856"/>
      <c r="AA180" s="856"/>
      <c r="AB180" s="856"/>
      <c r="AC180" s="856"/>
      <c r="AD180" s="856"/>
      <c r="AE180" s="856"/>
      <c r="AF180" s="856"/>
      <c r="AG180" s="856"/>
      <c r="AH180" s="856"/>
      <c r="AI180" s="856"/>
      <c r="AJ180" s="856"/>
      <c r="AK180" s="856"/>
      <c r="AL180" s="856"/>
      <c r="AM180" s="856"/>
      <c r="AN180" s="856"/>
      <c r="AO180" s="856"/>
      <c r="AP180" s="856"/>
      <c r="AQ180" s="856"/>
      <c r="AR180" s="856"/>
      <c r="AS180" s="856"/>
      <c r="AT180" s="856"/>
      <c r="AU180" s="856"/>
      <c r="AV180" s="856"/>
      <c r="AW180" s="856"/>
      <c r="AX180" s="856"/>
      <c r="AY180" s="856"/>
      <c r="AZ180" s="856"/>
      <c r="BA180" s="856"/>
      <c r="BB180" s="856"/>
      <c r="BC180" s="856"/>
      <c r="BD180" s="856"/>
      <c r="BE180" s="856"/>
      <c r="BF180" s="856"/>
      <c r="BG180" s="857"/>
      <c r="BH180" s="590"/>
      <c r="BI180" s="68"/>
      <c r="BJ180" s="518">
        <f t="shared" si="85"/>
        <v>0</v>
      </c>
      <c r="BK180" s="517">
        <f t="shared" si="86"/>
        <v>0</v>
      </c>
      <c r="BL180" s="68"/>
      <c r="BM180" s="515">
        <f>SUMIFS(Imput[[Importe Neto]:[Importe Neto]],Imput[[C. Imp.]:[C. Imp.]],$D180,Imput[[PERIODO Imp.]:[PERIODO Imp.]],BM$9)</f>
        <v>0</v>
      </c>
      <c r="BN180" s="516">
        <f>SUMIFS(Imput[[Importe Neto]:[Importe Neto]],Imput[[C. Imp.]:[C. Imp.]],$D180,Imput[[PERIODO Imp.]:[PERIODO Imp.]],BN$9)</f>
        <v>0</v>
      </c>
      <c r="BO180" s="516">
        <f>SUMIFS(Imput[[Importe Neto]:[Importe Neto]],Imput[[C. Imp.]:[C. Imp.]],$D180,Imput[[PERIODO Imp.]:[PERIODO Imp.]],BO$9)</f>
        <v>0</v>
      </c>
      <c r="BP180" s="516">
        <f>SUMIFS(Imput[[Importe Neto]:[Importe Neto]],Imput[[C. Imp.]:[C. Imp.]],$D180,Imput[[PERIODO Imp.]:[PERIODO Imp.]],BP$9)</f>
        <v>0</v>
      </c>
      <c r="BQ180" s="516">
        <f>SUMIFS(Imput[[Importe Neto]:[Importe Neto]],Imput[[C. Imp.]:[C. Imp.]],$D180,Imput[[PERIODO Imp.]:[PERIODO Imp.]],BQ$9)</f>
        <v>0</v>
      </c>
      <c r="BR180" s="516">
        <f>SUMIFS(Imput[[Importe Neto]:[Importe Neto]],Imput[[C. Imp.]:[C. Imp.]],$D180,Imput[[PERIODO Imp.]:[PERIODO Imp.]],BR$9)</f>
        <v>0</v>
      </c>
      <c r="BS180" s="516">
        <f>SUMIFS(Imput[[Importe Neto]:[Importe Neto]],Imput[[C. Imp.]:[C. Imp.]],$D180,Imput[[PERIODO Imp.]:[PERIODO Imp.]],BS$9)</f>
        <v>0</v>
      </c>
      <c r="BT180" s="516">
        <f>SUMIFS(Imput[[Importe Neto]:[Importe Neto]],Imput[[C. Imp.]:[C. Imp.]],$D180,Imput[[PERIODO Imp.]:[PERIODO Imp.]],BT$9)</f>
        <v>0</v>
      </c>
      <c r="BU180" s="516">
        <f>SUMIFS(Imput[[Importe Neto]:[Importe Neto]],Imput[[C. Imp.]:[C. Imp.]],$D180,Imput[[PERIODO Imp.]:[PERIODO Imp.]],BU$9)</f>
        <v>0</v>
      </c>
      <c r="BV180" s="516">
        <f>SUMIFS(Imput[[Importe Neto]:[Importe Neto]],Imput[[C. Imp.]:[C. Imp.]],$D180,Imput[[PERIODO Imp.]:[PERIODO Imp.]],BV$9)</f>
        <v>0</v>
      </c>
      <c r="BW180" s="516">
        <f>SUMIFS(Imput[[Importe Neto]:[Importe Neto]],Imput[[C. Imp.]:[C. Imp.]],$D180,Imput[[PERIODO Imp.]:[PERIODO Imp.]],BW$9)</f>
        <v>0</v>
      </c>
      <c r="BX180" s="516">
        <f>SUMIFS(Imput[[Importe Neto]:[Importe Neto]],Imput[[C. Imp.]:[C. Imp.]],$D180,Imput[[PERIODO Imp.]:[PERIODO Imp.]],BX$9)</f>
        <v>0</v>
      </c>
      <c r="BY180" s="516">
        <f>SUMIFS(Imput[[Importe Neto]:[Importe Neto]],Imput[[C. Imp.]:[C. Imp.]],$D180,Imput[[PERIODO Imp.]:[PERIODO Imp.]],BY$9)</f>
        <v>0</v>
      </c>
      <c r="BZ180" s="516">
        <f>SUMIFS(Imput[[Importe Neto]:[Importe Neto]],Imput[[C. Imp.]:[C. Imp.]],$D180,Imput[[PERIODO Imp.]:[PERIODO Imp.]],BZ$9)</f>
        <v>0</v>
      </c>
      <c r="CA180" s="516">
        <f>SUMIFS(Imput[[Importe Neto]:[Importe Neto]],Imput[[C. Imp.]:[C. Imp.]],$D180,Imput[[PERIODO Imp.]:[PERIODO Imp.]],CA$9)</f>
        <v>0</v>
      </c>
      <c r="CB180" s="516">
        <f>SUMIFS(Imput[[Importe Neto]:[Importe Neto]],Imput[[C. Imp.]:[C. Imp.]],$D180,Imput[[PERIODO Imp.]:[PERIODO Imp.]],CB$9)</f>
        <v>0</v>
      </c>
      <c r="CC180" s="516">
        <f>SUMIFS(Imput[[Importe Neto]:[Importe Neto]],Imput[[C. Imp.]:[C. Imp.]],$D180,Imput[[PERIODO Imp.]:[PERIODO Imp.]],CC$9)</f>
        <v>0</v>
      </c>
      <c r="CD180" s="516">
        <f>SUMIFS(Imput[[Importe Neto]:[Importe Neto]],Imput[[C. Imp.]:[C. Imp.]],$D180,Imput[[PERIODO Imp.]:[PERIODO Imp.]],CD$9)</f>
        <v>0</v>
      </c>
      <c r="CE180" s="516">
        <f>SUMIFS(Imput[[Importe Neto]:[Importe Neto]],Imput[[C. Imp.]:[C. Imp.]],$D180,Imput[[PERIODO Imp.]:[PERIODO Imp.]],CE$9)</f>
        <v>0</v>
      </c>
      <c r="CF180" s="516">
        <f>SUMIFS(Imput[[Importe Neto]:[Importe Neto]],Imput[[C. Imp.]:[C. Imp.]],$D180,Imput[[PERIODO Imp.]:[PERIODO Imp.]],CF$9)</f>
        <v>0</v>
      </c>
      <c r="CG180" s="516">
        <f>SUMIFS(Imput[[Importe Neto]:[Importe Neto]],Imput[[C. Imp.]:[C. Imp.]],$D180,Imput[[PERIODO Imp.]:[PERIODO Imp.]],CG$9)</f>
        <v>0</v>
      </c>
      <c r="CH180" s="516">
        <f>SUMIFS(Imput[[Importe Neto]:[Importe Neto]],Imput[[C. Imp.]:[C. Imp.]],$D180,Imput[[PERIODO Imp.]:[PERIODO Imp.]],CH$9)</f>
        <v>0</v>
      </c>
      <c r="CI180" s="516">
        <f>SUMIFS(Imput[[Importe Neto]:[Importe Neto]],Imput[[C. Imp.]:[C. Imp.]],$D180,Imput[[PERIODO Imp.]:[PERIODO Imp.]],CI$9)</f>
        <v>0</v>
      </c>
      <c r="CJ180" s="516">
        <f>SUMIFS(Imput[[Importe Neto]:[Importe Neto]],Imput[[C. Imp.]:[C. Imp.]],$D180,Imput[[PERIODO Imp.]:[PERIODO Imp.]],CJ$9)</f>
        <v>0</v>
      </c>
      <c r="CK180" s="516">
        <f>SUMIFS(Imput[[Importe Neto]:[Importe Neto]],Imput[[C. Imp.]:[C. Imp.]],$D180,Imput[[PERIODO Imp.]:[PERIODO Imp.]],CK$9)</f>
        <v>0</v>
      </c>
      <c r="CL180" s="516">
        <f>SUMIFS(Imput[[Importe Neto]:[Importe Neto]],Imput[[C. Imp.]:[C. Imp.]],$D180,Imput[[PERIODO Imp.]:[PERIODO Imp.]],CL$9)</f>
        <v>0</v>
      </c>
      <c r="CM180" s="516">
        <f>SUMIFS(Imput[[Importe Neto]:[Importe Neto]],Imput[[C. Imp.]:[C. Imp.]],$D180,Imput[[PERIODO Imp.]:[PERIODO Imp.]],CM$9)</f>
        <v>0</v>
      </c>
      <c r="CN180" s="516">
        <f>SUMIFS(Imput[[Importe Neto]:[Importe Neto]],Imput[[C. Imp.]:[C. Imp.]],$D180,Imput[[PERIODO Imp.]:[PERIODO Imp.]],CN$9)</f>
        <v>0</v>
      </c>
      <c r="CO180" s="516">
        <f>SUMIFS(Imput[[Importe Neto]:[Importe Neto]],Imput[[C. Imp.]:[C. Imp.]],$D180,Imput[[PERIODO Imp.]:[PERIODO Imp.]],CO$9)</f>
        <v>0</v>
      </c>
      <c r="CP180" s="516">
        <f>SUMIFS(Imput[[Importe Neto]:[Importe Neto]],Imput[[C. Imp.]:[C. Imp.]],$D180,Imput[[PERIODO Imp.]:[PERIODO Imp.]],CP$9)</f>
        <v>0</v>
      </c>
      <c r="CQ180" s="516">
        <f>SUMIFS(Imput[[Importe Neto]:[Importe Neto]],Imput[[C. Imp.]:[C. Imp.]],$D180,Imput[[PERIODO Imp.]:[PERIODO Imp.]],CQ$9)</f>
        <v>0</v>
      </c>
      <c r="CR180" s="516">
        <f>SUMIFS(Imput[[Importe Neto]:[Importe Neto]],Imput[[C. Imp.]:[C. Imp.]],$D180,Imput[[PERIODO Imp.]:[PERIODO Imp.]],CR$9)</f>
        <v>0</v>
      </c>
      <c r="CS180" s="516">
        <f>SUMIFS(Imput[[Importe Neto]:[Importe Neto]],Imput[[C. Imp.]:[C. Imp.]],$D180,Imput[[PERIODO Imp.]:[PERIODO Imp.]],CS$9)</f>
        <v>0</v>
      </c>
      <c r="CT180" s="516">
        <f>SUMIFS(Imput[[Importe Neto]:[Importe Neto]],Imput[[C. Imp.]:[C. Imp.]],$D180,Imput[[PERIODO Imp.]:[PERIODO Imp.]],CT$9)</f>
        <v>0</v>
      </c>
      <c r="CU180" s="516">
        <f>SUMIFS(Imput[[Importe Neto]:[Importe Neto]],Imput[[C. Imp.]:[C. Imp.]],$D180,Imput[[PERIODO Imp.]:[PERIODO Imp.]],CU$9)</f>
        <v>0</v>
      </c>
      <c r="CV180" s="516">
        <f>SUMIFS(Imput[[Importe Neto]:[Importe Neto]],Imput[[C. Imp.]:[C. Imp.]],$D180,Imput[[PERIODO Imp.]:[PERIODO Imp.]],CV$9)</f>
        <v>0</v>
      </c>
      <c r="CW180" s="516">
        <f>SUMIFS(Imput[[Importe Neto]:[Importe Neto]],Imput[[C. Imp.]:[C. Imp.]],$D180,Imput[[PERIODO Imp.]:[PERIODO Imp.]],CW$9)</f>
        <v>0</v>
      </c>
      <c r="CX180" s="516">
        <f>SUMIFS(Imput[[Importe Neto]:[Importe Neto]],Imput[[C. Imp.]:[C. Imp.]],$D180,Imput[[PERIODO Imp.]:[PERIODO Imp.]],CX$9)</f>
        <v>0</v>
      </c>
      <c r="CY180" s="516">
        <f>SUMIFS(Imput[[Importe Neto]:[Importe Neto]],Imput[[C. Imp.]:[C. Imp.]],$D180,Imput[[PERIODO Imp.]:[PERIODO Imp.]],CY$9)</f>
        <v>0</v>
      </c>
      <c r="CZ180" s="516">
        <f>SUMIFS(Imput[[Importe Neto]:[Importe Neto]],Imput[[C. Imp.]:[C. Imp.]],$D180,Imput[[PERIODO Imp.]:[PERIODO Imp.]],CZ$9)</f>
        <v>0</v>
      </c>
      <c r="DA180" s="516">
        <f>SUMIFS(Imput[[Importe Neto]:[Importe Neto]],Imput[[C. Imp.]:[C. Imp.]],$D180,Imput[[PERIODO Imp.]:[PERIODO Imp.]],DA$9)</f>
        <v>0</v>
      </c>
      <c r="DB180" s="516">
        <f>SUMIFS(Imput[[Importe Neto]:[Importe Neto]],Imput[[C. Imp.]:[C. Imp.]],$D180,Imput[[PERIODO Imp.]:[PERIODO Imp.]],DB$9)</f>
        <v>0</v>
      </c>
      <c r="DC180" s="516">
        <f>SUMIFS(Imput[[Importe Neto]:[Importe Neto]],Imput[[C. Imp.]:[C. Imp.]],$D180,Imput[[PERIODO Imp.]:[PERIODO Imp.]],DC$9)</f>
        <v>0</v>
      </c>
      <c r="DD180" s="516">
        <f>SUMIFS(Imput[[Importe Neto]:[Importe Neto]],Imput[[C. Imp.]:[C. Imp.]],$D180,Imput[[PERIODO Imp.]:[PERIODO Imp.]],DD$9)</f>
        <v>0</v>
      </c>
      <c r="DE180" s="516">
        <f>SUMIFS(Imput[[Importe Neto]:[Importe Neto]],Imput[[C. Imp.]:[C. Imp.]],$D180,Imput[[PERIODO Imp.]:[PERIODO Imp.]],DE$9)</f>
        <v>0</v>
      </c>
      <c r="DF180" s="516">
        <f>SUMIFS(Imput[[Importe Neto]:[Importe Neto]],Imput[[C. Imp.]:[C. Imp.]],$D180,Imput[[PERIODO Imp.]:[PERIODO Imp.]],DF$9)</f>
        <v>0</v>
      </c>
      <c r="DG180" s="516">
        <f>SUMIFS(Imput[[Importe Neto]:[Importe Neto]],Imput[[C. Imp.]:[C. Imp.]],$D180,Imput[[PERIODO Imp.]:[PERIODO Imp.]],DG$9)</f>
        <v>0</v>
      </c>
      <c r="DH180" s="616">
        <f>SUMIFS(Imput[[Importe Neto]:[Importe Neto]],Imput[[C. Imp.]:[C. Imp.]],$D180,Imput[[PERIODO Imp.]:[PERIODO Imp.]],DH$9)</f>
        <v>0</v>
      </c>
    </row>
    <row r="181" spans="1:112" hidden="1" outlineLevel="1" x14ac:dyDescent="0.3">
      <c r="A181" s="66" t="str">
        <f t="shared" si="82"/>
        <v/>
      </c>
      <c r="C181" s="527"/>
      <c r="D181" s="528" t="s">
        <v>2285</v>
      </c>
      <c r="E181" s="528"/>
      <c r="F181" s="534"/>
      <c r="G181" s="529"/>
      <c r="H181" s="530"/>
      <c r="I181" s="849" t="str">
        <f t="shared" si="83"/>
        <v/>
      </c>
      <c r="J181" s="517" t="str">
        <f t="shared" si="84"/>
        <v/>
      </c>
      <c r="K181" s="70"/>
      <c r="L181" s="853"/>
      <c r="M181" s="855"/>
      <c r="N181" s="855"/>
      <c r="O181" s="855"/>
      <c r="P181" s="855"/>
      <c r="Q181" s="855"/>
      <c r="R181" s="855"/>
      <c r="S181" s="855"/>
      <c r="T181" s="855"/>
      <c r="U181" s="855"/>
      <c r="V181" s="855"/>
      <c r="W181" s="855"/>
      <c r="X181" s="855"/>
      <c r="Y181" s="855"/>
      <c r="Z181" s="856"/>
      <c r="AA181" s="856"/>
      <c r="AB181" s="856"/>
      <c r="AC181" s="856"/>
      <c r="AD181" s="856"/>
      <c r="AE181" s="856"/>
      <c r="AF181" s="856"/>
      <c r="AG181" s="856"/>
      <c r="AH181" s="856"/>
      <c r="AI181" s="856"/>
      <c r="AJ181" s="856"/>
      <c r="AK181" s="856"/>
      <c r="AL181" s="856"/>
      <c r="AM181" s="856"/>
      <c r="AN181" s="856"/>
      <c r="AO181" s="856"/>
      <c r="AP181" s="856"/>
      <c r="AQ181" s="856"/>
      <c r="AR181" s="856"/>
      <c r="AS181" s="856"/>
      <c r="AT181" s="856"/>
      <c r="AU181" s="856"/>
      <c r="AV181" s="856"/>
      <c r="AW181" s="856"/>
      <c r="AX181" s="856"/>
      <c r="AY181" s="856"/>
      <c r="AZ181" s="856"/>
      <c r="BA181" s="856"/>
      <c r="BB181" s="856"/>
      <c r="BC181" s="856"/>
      <c r="BD181" s="856"/>
      <c r="BE181" s="856"/>
      <c r="BF181" s="856"/>
      <c r="BG181" s="857"/>
      <c r="BH181" s="590"/>
      <c r="BI181" s="68"/>
      <c r="BJ181" s="518">
        <f t="shared" si="85"/>
        <v>0</v>
      </c>
      <c r="BK181" s="517">
        <f t="shared" si="86"/>
        <v>0</v>
      </c>
      <c r="BL181" s="68"/>
      <c r="BM181" s="515">
        <f>SUMIFS(Imput[[Importe Neto]:[Importe Neto]],Imput[[C. Imp.]:[C. Imp.]],$D181,Imput[[PERIODO Imp.]:[PERIODO Imp.]],BM$9)</f>
        <v>0</v>
      </c>
      <c r="BN181" s="516">
        <f>SUMIFS(Imput[[Importe Neto]:[Importe Neto]],Imput[[C. Imp.]:[C. Imp.]],$D181,Imput[[PERIODO Imp.]:[PERIODO Imp.]],BN$9)</f>
        <v>0</v>
      </c>
      <c r="BO181" s="516">
        <f>SUMIFS(Imput[[Importe Neto]:[Importe Neto]],Imput[[C. Imp.]:[C. Imp.]],$D181,Imput[[PERIODO Imp.]:[PERIODO Imp.]],BO$9)</f>
        <v>0</v>
      </c>
      <c r="BP181" s="516">
        <f>SUMIFS(Imput[[Importe Neto]:[Importe Neto]],Imput[[C. Imp.]:[C. Imp.]],$D181,Imput[[PERIODO Imp.]:[PERIODO Imp.]],BP$9)</f>
        <v>0</v>
      </c>
      <c r="BQ181" s="516">
        <f>SUMIFS(Imput[[Importe Neto]:[Importe Neto]],Imput[[C. Imp.]:[C. Imp.]],$D181,Imput[[PERIODO Imp.]:[PERIODO Imp.]],BQ$9)</f>
        <v>0</v>
      </c>
      <c r="BR181" s="516">
        <f>SUMIFS(Imput[[Importe Neto]:[Importe Neto]],Imput[[C. Imp.]:[C. Imp.]],$D181,Imput[[PERIODO Imp.]:[PERIODO Imp.]],BR$9)</f>
        <v>0</v>
      </c>
      <c r="BS181" s="516">
        <f>SUMIFS(Imput[[Importe Neto]:[Importe Neto]],Imput[[C. Imp.]:[C. Imp.]],$D181,Imput[[PERIODO Imp.]:[PERIODO Imp.]],BS$9)</f>
        <v>0</v>
      </c>
      <c r="BT181" s="516">
        <f>SUMIFS(Imput[[Importe Neto]:[Importe Neto]],Imput[[C. Imp.]:[C. Imp.]],$D181,Imput[[PERIODO Imp.]:[PERIODO Imp.]],BT$9)</f>
        <v>0</v>
      </c>
      <c r="BU181" s="516">
        <f>SUMIFS(Imput[[Importe Neto]:[Importe Neto]],Imput[[C. Imp.]:[C. Imp.]],$D181,Imput[[PERIODO Imp.]:[PERIODO Imp.]],BU$9)</f>
        <v>0</v>
      </c>
      <c r="BV181" s="516">
        <f>SUMIFS(Imput[[Importe Neto]:[Importe Neto]],Imput[[C. Imp.]:[C. Imp.]],$D181,Imput[[PERIODO Imp.]:[PERIODO Imp.]],BV$9)</f>
        <v>0</v>
      </c>
      <c r="BW181" s="516">
        <f>SUMIFS(Imput[[Importe Neto]:[Importe Neto]],Imput[[C. Imp.]:[C. Imp.]],$D181,Imput[[PERIODO Imp.]:[PERIODO Imp.]],BW$9)</f>
        <v>0</v>
      </c>
      <c r="BX181" s="516">
        <f>SUMIFS(Imput[[Importe Neto]:[Importe Neto]],Imput[[C. Imp.]:[C. Imp.]],$D181,Imput[[PERIODO Imp.]:[PERIODO Imp.]],BX$9)</f>
        <v>0</v>
      </c>
      <c r="BY181" s="516">
        <f>SUMIFS(Imput[[Importe Neto]:[Importe Neto]],Imput[[C. Imp.]:[C. Imp.]],$D181,Imput[[PERIODO Imp.]:[PERIODO Imp.]],BY$9)</f>
        <v>0</v>
      </c>
      <c r="BZ181" s="516">
        <f>SUMIFS(Imput[[Importe Neto]:[Importe Neto]],Imput[[C. Imp.]:[C. Imp.]],$D181,Imput[[PERIODO Imp.]:[PERIODO Imp.]],BZ$9)</f>
        <v>0</v>
      </c>
      <c r="CA181" s="516">
        <f>SUMIFS(Imput[[Importe Neto]:[Importe Neto]],Imput[[C. Imp.]:[C. Imp.]],$D181,Imput[[PERIODO Imp.]:[PERIODO Imp.]],CA$9)</f>
        <v>0</v>
      </c>
      <c r="CB181" s="516">
        <f>SUMIFS(Imput[[Importe Neto]:[Importe Neto]],Imput[[C. Imp.]:[C. Imp.]],$D181,Imput[[PERIODO Imp.]:[PERIODO Imp.]],CB$9)</f>
        <v>0</v>
      </c>
      <c r="CC181" s="516">
        <f>SUMIFS(Imput[[Importe Neto]:[Importe Neto]],Imput[[C. Imp.]:[C. Imp.]],$D181,Imput[[PERIODO Imp.]:[PERIODO Imp.]],CC$9)</f>
        <v>0</v>
      </c>
      <c r="CD181" s="516">
        <f>SUMIFS(Imput[[Importe Neto]:[Importe Neto]],Imput[[C. Imp.]:[C. Imp.]],$D181,Imput[[PERIODO Imp.]:[PERIODO Imp.]],CD$9)</f>
        <v>0</v>
      </c>
      <c r="CE181" s="516">
        <f>SUMIFS(Imput[[Importe Neto]:[Importe Neto]],Imput[[C. Imp.]:[C. Imp.]],$D181,Imput[[PERIODO Imp.]:[PERIODO Imp.]],CE$9)</f>
        <v>0</v>
      </c>
      <c r="CF181" s="516">
        <f>SUMIFS(Imput[[Importe Neto]:[Importe Neto]],Imput[[C. Imp.]:[C. Imp.]],$D181,Imput[[PERIODO Imp.]:[PERIODO Imp.]],CF$9)</f>
        <v>0</v>
      </c>
      <c r="CG181" s="516">
        <f>SUMIFS(Imput[[Importe Neto]:[Importe Neto]],Imput[[C. Imp.]:[C. Imp.]],$D181,Imput[[PERIODO Imp.]:[PERIODO Imp.]],CG$9)</f>
        <v>0</v>
      </c>
      <c r="CH181" s="516">
        <f>SUMIFS(Imput[[Importe Neto]:[Importe Neto]],Imput[[C. Imp.]:[C. Imp.]],$D181,Imput[[PERIODO Imp.]:[PERIODO Imp.]],CH$9)</f>
        <v>0</v>
      </c>
      <c r="CI181" s="516">
        <f>SUMIFS(Imput[[Importe Neto]:[Importe Neto]],Imput[[C. Imp.]:[C. Imp.]],$D181,Imput[[PERIODO Imp.]:[PERIODO Imp.]],CI$9)</f>
        <v>0</v>
      </c>
      <c r="CJ181" s="516">
        <f>SUMIFS(Imput[[Importe Neto]:[Importe Neto]],Imput[[C. Imp.]:[C. Imp.]],$D181,Imput[[PERIODO Imp.]:[PERIODO Imp.]],CJ$9)</f>
        <v>0</v>
      </c>
      <c r="CK181" s="516">
        <f>SUMIFS(Imput[[Importe Neto]:[Importe Neto]],Imput[[C. Imp.]:[C. Imp.]],$D181,Imput[[PERIODO Imp.]:[PERIODO Imp.]],CK$9)</f>
        <v>0</v>
      </c>
      <c r="CL181" s="516">
        <f>SUMIFS(Imput[[Importe Neto]:[Importe Neto]],Imput[[C. Imp.]:[C. Imp.]],$D181,Imput[[PERIODO Imp.]:[PERIODO Imp.]],CL$9)</f>
        <v>0</v>
      </c>
      <c r="CM181" s="516">
        <f>SUMIFS(Imput[[Importe Neto]:[Importe Neto]],Imput[[C. Imp.]:[C. Imp.]],$D181,Imput[[PERIODO Imp.]:[PERIODO Imp.]],CM$9)</f>
        <v>0</v>
      </c>
      <c r="CN181" s="516">
        <f>SUMIFS(Imput[[Importe Neto]:[Importe Neto]],Imput[[C. Imp.]:[C. Imp.]],$D181,Imput[[PERIODO Imp.]:[PERIODO Imp.]],CN$9)</f>
        <v>0</v>
      </c>
      <c r="CO181" s="516">
        <f>SUMIFS(Imput[[Importe Neto]:[Importe Neto]],Imput[[C. Imp.]:[C. Imp.]],$D181,Imput[[PERIODO Imp.]:[PERIODO Imp.]],CO$9)</f>
        <v>0</v>
      </c>
      <c r="CP181" s="516">
        <f>SUMIFS(Imput[[Importe Neto]:[Importe Neto]],Imput[[C. Imp.]:[C. Imp.]],$D181,Imput[[PERIODO Imp.]:[PERIODO Imp.]],CP$9)</f>
        <v>0</v>
      </c>
      <c r="CQ181" s="516">
        <f>SUMIFS(Imput[[Importe Neto]:[Importe Neto]],Imput[[C. Imp.]:[C. Imp.]],$D181,Imput[[PERIODO Imp.]:[PERIODO Imp.]],CQ$9)</f>
        <v>0</v>
      </c>
      <c r="CR181" s="516">
        <f>SUMIFS(Imput[[Importe Neto]:[Importe Neto]],Imput[[C. Imp.]:[C. Imp.]],$D181,Imput[[PERIODO Imp.]:[PERIODO Imp.]],CR$9)</f>
        <v>0</v>
      </c>
      <c r="CS181" s="516">
        <f>SUMIFS(Imput[[Importe Neto]:[Importe Neto]],Imput[[C. Imp.]:[C. Imp.]],$D181,Imput[[PERIODO Imp.]:[PERIODO Imp.]],CS$9)</f>
        <v>0</v>
      </c>
      <c r="CT181" s="516">
        <f>SUMIFS(Imput[[Importe Neto]:[Importe Neto]],Imput[[C. Imp.]:[C. Imp.]],$D181,Imput[[PERIODO Imp.]:[PERIODO Imp.]],CT$9)</f>
        <v>0</v>
      </c>
      <c r="CU181" s="516">
        <f>SUMIFS(Imput[[Importe Neto]:[Importe Neto]],Imput[[C. Imp.]:[C. Imp.]],$D181,Imput[[PERIODO Imp.]:[PERIODO Imp.]],CU$9)</f>
        <v>0</v>
      </c>
      <c r="CV181" s="516">
        <f>SUMIFS(Imput[[Importe Neto]:[Importe Neto]],Imput[[C. Imp.]:[C. Imp.]],$D181,Imput[[PERIODO Imp.]:[PERIODO Imp.]],CV$9)</f>
        <v>0</v>
      </c>
      <c r="CW181" s="516">
        <f>SUMIFS(Imput[[Importe Neto]:[Importe Neto]],Imput[[C. Imp.]:[C. Imp.]],$D181,Imput[[PERIODO Imp.]:[PERIODO Imp.]],CW$9)</f>
        <v>0</v>
      </c>
      <c r="CX181" s="516">
        <f>SUMIFS(Imput[[Importe Neto]:[Importe Neto]],Imput[[C. Imp.]:[C. Imp.]],$D181,Imput[[PERIODO Imp.]:[PERIODO Imp.]],CX$9)</f>
        <v>0</v>
      </c>
      <c r="CY181" s="516">
        <f>SUMIFS(Imput[[Importe Neto]:[Importe Neto]],Imput[[C. Imp.]:[C. Imp.]],$D181,Imput[[PERIODO Imp.]:[PERIODO Imp.]],CY$9)</f>
        <v>0</v>
      </c>
      <c r="CZ181" s="516">
        <f>SUMIFS(Imput[[Importe Neto]:[Importe Neto]],Imput[[C. Imp.]:[C. Imp.]],$D181,Imput[[PERIODO Imp.]:[PERIODO Imp.]],CZ$9)</f>
        <v>0</v>
      </c>
      <c r="DA181" s="516">
        <f>SUMIFS(Imput[[Importe Neto]:[Importe Neto]],Imput[[C. Imp.]:[C. Imp.]],$D181,Imput[[PERIODO Imp.]:[PERIODO Imp.]],DA$9)</f>
        <v>0</v>
      </c>
      <c r="DB181" s="516">
        <f>SUMIFS(Imput[[Importe Neto]:[Importe Neto]],Imput[[C. Imp.]:[C. Imp.]],$D181,Imput[[PERIODO Imp.]:[PERIODO Imp.]],DB$9)</f>
        <v>0</v>
      </c>
      <c r="DC181" s="516">
        <f>SUMIFS(Imput[[Importe Neto]:[Importe Neto]],Imput[[C. Imp.]:[C. Imp.]],$D181,Imput[[PERIODO Imp.]:[PERIODO Imp.]],DC$9)</f>
        <v>0</v>
      </c>
      <c r="DD181" s="516">
        <f>SUMIFS(Imput[[Importe Neto]:[Importe Neto]],Imput[[C. Imp.]:[C. Imp.]],$D181,Imput[[PERIODO Imp.]:[PERIODO Imp.]],DD$9)</f>
        <v>0</v>
      </c>
      <c r="DE181" s="516">
        <f>SUMIFS(Imput[[Importe Neto]:[Importe Neto]],Imput[[C. Imp.]:[C. Imp.]],$D181,Imput[[PERIODO Imp.]:[PERIODO Imp.]],DE$9)</f>
        <v>0</v>
      </c>
      <c r="DF181" s="516">
        <f>SUMIFS(Imput[[Importe Neto]:[Importe Neto]],Imput[[C. Imp.]:[C. Imp.]],$D181,Imput[[PERIODO Imp.]:[PERIODO Imp.]],DF$9)</f>
        <v>0</v>
      </c>
      <c r="DG181" s="516">
        <f>SUMIFS(Imput[[Importe Neto]:[Importe Neto]],Imput[[C. Imp.]:[C. Imp.]],$D181,Imput[[PERIODO Imp.]:[PERIODO Imp.]],DG$9)</f>
        <v>0</v>
      </c>
      <c r="DH181" s="616">
        <f>SUMIFS(Imput[[Importe Neto]:[Importe Neto]],Imput[[C. Imp.]:[C. Imp.]],$D181,Imput[[PERIODO Imp.]:[PERIODO Imp.]],DH$9)</f>
        <v>0</v>
      </c>
    </row>
    <row r="182" spans="1:112" hidden="1" outlineLevel="1" x14ac:dyDescent="0.3">
      <c r="A182" s="66" t="str">
        <f t="shared" si="82"/>
        <v/>
      </c>
      <c r="C182" s="527"/>
      <c r="D182" s="528" t="s">
        <v>2286</v>
      </c>
      <c r="E182" s="528"/>
      <c r="F182" s="534"/>
      <c r="G182" s="529"/>
      <c r="H182" s="530"/>
      <c r="I182" s="849" t="str">
        <f t="shared" si="83"/>
        <v/>
      </c>
      <c r="J182" s="517" t="str">
        <f t="shared" si="84"/>
        <v/>
      </c>
      <c r="K182" s="70"/>
      <c r="L182" s="853"/>
      <c r="M182" s="855"/>
      <c r="N182" s="855"/>
      <c r="O182" s="855"/>
      <c r="P182" s="855"/>
      <c r="Q182" s="855"/>
      <c r="R182" s="855"/>
      <c r="S182" s="855"/>
      <c r="T182" s="855"/>
      <c r="U182" s="855"/>
      <c r="V182" s="855"/>
      <c r="W182" s="855"/>
      <c r="X182" s="855"/>
      <c r="Y182" s="855"/>
      <c r="Z182" s="856"/>
      <c r="AA182" s="856"/>
      <c r="AB182" s="856"/>
      <c r="AC182" s="856"/>
      <c r="AD182" s="856"/>
      <c r="AE182" s="856"/>
      <c r="AF182" s="856"/>
      <c r="AG182" s="856"/>
      <c r="AH182" s="856"/>
      <c r="AI182" s="856"/>
      <c r="AJ182" s="856"/>
      <c r="AK182" s="856"/>
      <c r="AL182" s="856"/>
      <c r="AM182" s="856"/>
      <c r="AN182" s="856"/>
      <c r="AO182" s="856"/>
      <c r="AP182" s="856"/>
      <c r="AQ182" s="856"/>
      <c r="AR182" s="856"/>
      <c r="AS182" s="856"/>
      <c r="AT182" s="856"/>
      <c r="AU182" s="856"/>
      <c r="AV182" s="856"/>
      <c r="AW182" s="856"/>
      <c r="AX182" s="856"/>
      <c r="AY182" s="856"/>
      <c r="AZ182" s="856"/>
      <c r="BA182" s="856"/>
      <c r="BB182" s="856"/>
      <c r="BC182" s="856"/>
      <c r="BD182" s="856"/>
      <c r="BE182" s="856"/>
      <c r="BF182" s="856"/>
      <c r="BG182" s="857"/>
      <c r="BH182" s="590"/>
      <c r="BI182" s="68"/>
      <c r="BJ182" s="518">
        <f t="shared" si="85"/>
        <v>0</v>
      </c>
      <c r="BK182" s="517">
        <f t="shared" si="86"/>
        <v>0</v>
      </c>
      <c r="BL182" s="68"/>
      <c r="BM182" s="515">
        <f>SUMIFS(Imput[[Importe Neto]:[Importe Neto]],Imput[[C. Imp.]:[C. Imp.]],$D182,Imput[[PERIODO Imp.]:[PERIODO Imp.]],BM$9)</f>
        <v>0</v>
      </c>
      <c r="BN182" s="516">
        <f>SUMIFS(Imput[[Importe Neto]:[Importe Neto]],Imput[[C. Imp.]:[C. Imp.]],$D182,Imput[[PERIODO Imp.]:[PERIODO Imp.]],BN$9)</f>
        <v>0</v>
      </c>
      <c r="BO182" s="516">
        <f>SUMIFS(Imput[[Importe Neto]:[Importe Neto]],Imput[[C. Imp.]:[C. Imp.]],$D182,Imput[[PERIODO Imp.]:[PERIODO Imp.]],BO$9)</f>
        <v>0</v>
      </c>
      <c r="BP182" s="516">
        <f>SUMIFS(Imput[[Importe Neto]:[Importe Neto]],Imput[[C. Imp.]:[C. Imp.]],$D182,Imput[[PERIODO Imp.]:[PERIODO Imp.]],BP$9)</f>
        <v>0</v>
      </c>
      <c r="BQ182" s="516">
        <f>SUMIFS(Imput[[Importe Neto]:[Importe Neto]],Imput[[C. Imp.]:[C. Imp.]],$D182,Imput[[PERIODO Imp.]:[PERIODO Imp.]],BQ$9)</f>
        <v>0</v>
      </c>
      <c r="BR182" s="516">
        <f>SUMIFS(Imput[[Importe Neto]:[Importe Neto]],Imput[[C. Imp.]:[C. Imp.]],$D182,Imput[[PERIODO Imp.]:[PERIODO Imp.]],BR$9)</f>
        <v>0</v>
      </c>
      <c r="BS182" s="516">
        <f>SUMIFS(Imput[[Importe Neto]:[Importe Neto]],Imput[[C. Imp.]:[C. Imp.]],$D182,Imput[[PERIODO Imp.]:[PERIODO Imp.]],BS$9)</f>
        <v>0</v>
      </c>
      <c r="BT182" s="516">
        <f>SUMIFS(Imput[[Importe Neto]:[Importe Neto]],Imput[[C. Imp.]:[C. Imp.]],$D182,Imput[[PERIODO Imp.]:[PERIODO Imp.]],BT$9)</f>
        <v>0</v>
      </c>
      <c r="BU182" s="516">
        <f>SUMIFS(Imput[[Importe Neto]:[Importe Neto]],Imput[[C. Imp.]:[C. Imp.]],$D182,Imput[[PERIODO Imp.]:[PERIODO Imp.]],BU$9)</f>
        <v>0</v>
      </c>
      <c r="BV182" s="516">
        <f>SUMIFS(Imput[[Importe Neto]:[Importe Neto]],Imput[[C. Imp.]:[C. Imp.]],$D182,Imput[[PERIODO Imp.]:[PERIODO Imp.]],BV$9)</f>
        <v>0</v>
      </c>
      <c r="BW182" s="516">
        <f>SUMIFS(Imput[[Importe Neto]:[Importe Neto]],Imput[[C. Imp.]:[C. Imp.]],$D182,Imput[[PERIODO Imp.]:[PERIODO Imp.]],BW$9)</f>
        <v>0</v>
      </c>
      <c r="BX182" s="516">
        <f>SUMIFS(Imput[[Importe Neto]:[Importe Neto]],Imput[[C. Imp.]:[C. Imp.]],$D182,Imput[[PERIODO Imp.]:[PERIODO Imp.]],BX$9)</f>
        <v>0</v>
      </c>
      <c r="BY182" s="516">
        <f>SUMIFS(Imput[[Importe Neto]:[Importe Neto]],Imput[[C. Imp.]:[C. Imp.]],$D182,Imput[[PERIODO Imp.]:[PERIODO Imp.]],BY$9)</f>
        <v>0</v>
      </c>
      <c r="BZ182" s="516">
        <f>SUMIFS(Imput[[Importe Neto]:[Importe Neto]],Imput[[C. Imp.]:[C. Imp.]],$D182,Imput[[PERIODO Imp.]:[PERIODO Imp.]],BZ$9)</f>
        <v>0</v>
      </c>
      <c r="CA182" s="516">
        <f>SUMIFS(Imput[[Importe Neto]:[Importe Neto]],Imput[[C. Imp.]:[C. Imp.]],$D182,Imput[[PERIODO Imp.]:[PERIODO Imp.]],CA$9)</f>
        <v>0</v>
      </c>
      <c r="CB182" s="516">
        <f>SUMIFS(Imput[[Importe Neto]:[Importe Neto]],Imput[[C. Imp.]:[C. Imp.]],$D182,Imput[[PERIODO Imp.]:[PERIODO Imp.]],CB$9)</f>
        <v>0</v>
      </c>
      <c r="CC182" s="516">
        <f>SUMIFS(Imput[[Importe Neto]:[Importe Neto]],Imput[[C. Imp.]:[C. Imp.]],$D182,Imput[[PERIODO Imp.]:[PERIODO Imp.]],CC$9)</f>
        <v>0</v>
      </c>
      <c r="CD182" s="516">
        <f>SUMIFS(Imput[[Importe Neto]:[Importe Neto]],Imput[[C. Imp.]:[C. Imp.]],$D182,Imput[[PERIODO Imp.]:[PERIODO Imp.]],CD$9)</f>
        <v>0</v>
      </c>
      <c r="CE182" s="516">
        <f>SUMIFS(Imput[[Importe Neto]:[Importe Neto]],Imput[[C. Imp.]:[C. Imp.]],$D182,Imput[[PERIODO Imp.]:[PERIODO Imp.]],CE$9)</f>
        <v>0</v>
      </c>
      <c r="CF182" s="516">
        <f>SUMIFS(Imput[[Importe Neto]:[Importe Neto]],Imput[[C. Imp.]:[C. Imp.]],$D182,Imput[[PERIODO Imp.]:[PERIODO Imp.]],CF$9)</f>
        <v>0</v>
      </c>
      <c r="CG182" s="516">
        <f>SUMIFS(Imput[[Importe Neto]:[Importe Neto]],Imput[[C. Imp.]:[C. Imp.]],$D182,Imput[[PERIODO Imp.]:[PERIODO Imp.]],CG$9)</f>
        <v>0</v>
      </c>
      <c r="CH182" s="516">
        <f>SUMIFS(Imput[[Importe Neto]:[Importe Neto]],Imput[[C. Imp.]:[C. Imp.]],$D182,Imput[[PERIODO Imp.]:[PERIODO Imp.]],CH$9)</f>
        <v>0</v>
      </c>
      <c r="CI182" s="516">
        <f>SUMIFS(Imput[[Importe Neto]:[Importe Neto]],Imput[[C. Imp.]:[C. Imp.]],$D182,Imput[[PERIODO Imp.]:[PERIODO Imp.]],CI$9)</f>
        <v>0</v>
      </c>
      <c r="CJ182" s="516">
        <f>SUMIFS(Imput[[Importe Neto]:[Importe Neto]],Imput[[C. Imp.]:[C. Imp.]],$D182,Imput[[PERIODO Imp.]:[PERIODO Imp.]],CJ$9)</f>
        <v>0</v>
      </c>
      <c r="CK182" s="516">
        <f>SUMIFS(Imput[[Importe Neto]:[Importe Neto]],Imput[[C. Imp.]:[C. Imp.]],$D182,Imput[[PERIODO Imp.]:[PERIODO Imp.]],CK$9)</f>
        <v>0</v>
      </c>
      <c r="CL182" s="516">
        <f>SUMIFS(Imput[[Importe Neto]:[Importe Neto]],Imput[[C. Imp.]:[C. Imp.]],$D182,Imput[[PERIODO Imp.]:[PERIODO Imp.]],CL$9)</f>
        <v>0</v>
      </c>
      <c r="CM182" s="516">
        <f>SUMIFS(Imput[[Importe Neto]:[Importe Neto]],Imput[[C. Imp.]:[C. Imp.]],$D182,Imput[[PERIODO Imp.]:[PERIODO Imp.]],CM$9)</f>
        <v>0</v>
      </c>
      <c r="CN182" s="516">
        <f>SUMIFS(Imput[[Importe Neto]:[Importe Neto]],Imput[[C. Imp.]:[C. Imp.]],$D182,Imput[[PERIODO Imp.]:[PERIODO Imp.]],CN$9)</f>
        <v>0</v>
      </c>
      <c r="CO182" s="516">
        <f>SUMIFS(Imput[[Importe Neto]:[Importe Neto]],Imput[[C. Imp.]:[C. Imp.]],$D182,Imput[[PERIODO Imp.]:[PERIODO Imp.]],CO$9)</f>
        <v>0</v>
      </c>
      <c r="CP182" s="516">
        <f>SUMIFS(Imput[[Importe Neto]:[Importe Neto]],Imput[[C. Imp.]:[C. Imp.]],$D182,Imput[[PERIODO Imp.]:[PERIODO Imp.]],CP$9)</f>
        <v>0</v>
      </c>
      <c r="CQ182" s="516">
        <f>SUMIFS(Imput[[Importe Neto]:[Importe Neto]],Imput[[C. Imp.]:[C. Imp.]],$D182,Imput[[PERIODO Imp.]:[PERIODO Imp.]],CQ$9)</f>
        <v>0</v>
      </c>
      <c r="CR182" s="516">
        <f>SUMIFS(Imput[[Importe Neto]:[Importe Neto]],Imput[[C. Imp.]:[C. Imp.]],$D182,Imput[[PERIODO Imp.]:[PERIODO Imp.]],CR$9)</f>
        <v>0</v>
      </c>
      <c r="CS182" s="516">
        <f>SUMIFS(Imput[[Importe Neto]:[Importe Neto]],Imput[[C. Imp.]:[C. Imp.]],$D182,Imput[[PERIODO Imp.]:[PERIODO Imp.]],CS$9)</f>
        <v>0</v>
      </c>
      <c r="CT182" s="516">
        <f>SUMIFS(Imput[[Importe Neto]:[Importe Neto]],Imput[[C. Imp.]:[C. Imp.]],$D182,Imput[[PERIODO Imp.]:[PERIODO Imp.]],CT$9)</f>
        <v>0</v>
      </c>
      <c r="CU182" s="516">
        <f>SUMIFS(Imput[[Importe Neto]:[Importe Neto]],Imput[[C. Imp.]:[C. Imp.]],$D182,Imput[[PERIODO Imp.]:[PERIODO Imp.]],CU$9)</f>
        <v>0</v>
      </c>
      <c r="CV182" s="516">
        <f>SUMIFS(Imput[[Importe Neto]:[Importe Neto]],Imput[[C. Imp.]:[C. Imp.]],$D182,Imput[[PERIODO Imp.]:[PERIODO Imp.]],CV$9)</f>
        <v>0</v>
      </c>
      <c r="CW182" s="516">
        <f>SUMIFS(Imput[[Importe Neto]:[Importe Neto]],Imput[[C. Imp.]:[C. Imp.]],$D182,Imput[[PERIODO Imp.]:[PERIODO Imp.]],CW$9)</f>
        <v>0</v>
      </c>
      <c r="CX182" s="516">
        <f>SUMIFS(Imput[[Importe Neto]:[Importe Neto]],Imput[[C. Imp.]:[C. Imp.]],$D182,Imput[[PERIODO Imp.]:[PERIODO Imp.]],CX$9)</f>
        <v>0</v>
      </c>
      <c r="CY182" s="516">
        <f>SUMIFS(Imput[[Importe Neto]:[Importe Neto]],Imput[[C. Imp.]:[C. Imp.]],$D182,Imput[[PERIODO Imp.]:[PERIODO Imp.]],CY$9)</f>
        <v>0</v>
      </c>
      <c r="CZ182" s="516">
        <f>SUMIFS(Imput[[Importe Neto]:[Importe Neto]],Imput[[C. Imp.]:[C. Imp.]],$D182,Imput[[PERIODO Imp.]:[PERIODO Imp.]],CZ$9)</f>
        <v>0</v>
      </c>
      <c r="DA182" s="516">
        <f>SUMIFS(Imput[[Importe Neto]:[Importe Neto]],Imput[[C. Imp.]:[C. Imp.]],$D182,Imput[[PERIODO Imp.]:[PERIODO Imp.]],DA$9)</f>
        <v>0</v>
      </c>
      <c r="DB182" s="516">
        <f>SUMIFS(Imput[[Importe Neto]:[Importe Neto]],Imput[[C. Imp.]:[C. Imp.]],$D182,Imput[[PERIODO Imp.]:[PERIODO Imp.]],DB$9)</f>
        <v>0</v>
      </c>
      <c r="DC182" s="516">
        <f>SUMIFS(Imput[[Importe Neto]:[Importe Neto]],Imput[[C. Imp.]:[C. Imp.]],$D182,Imput[[PERIODO Imp.]:[PERIODO Imp.]],DC$9)</f>
        <v>0</v>
      </c>
      <c r="DD182" s="516">
        <f>SUMIFS(Imput[[Importe Neto]:[Importe Neto]],Imput[[C. Imp.]:[C. Imp.]],$D182,Imput[[PERIODO Imp.]:[PERIODO Imp.]],DD$9)</f>
        <v>0</v>
      </c>
      <c r="DE182" s="516">
        <f>SUMIFS(Imput[[Importe Neto]:[Importe Neto]],Imput[[C. Imp.]:[C. Imp.]],$D182,Imput[[PERIODO Imp.]:[PERIODO Imp.]],DE$9)</f>
        <v>0</v>
      </c>
      <c r="DF182" s="516">
        <f>SUMIFS(Imput[[Importe Neto]:[Importe Neto]],Imput[[C. Imp.]:[C. Imp.]],$D182,Imput[[PERIODO Imp.]:[PERIODO Imp.]],DF$9)</f>
        <v>0</v>
      </c>
      <c r="DG182" s="516">
        <f>SUMIFS(Imput[[Importe Neto]:[Importe Neto]],Imput[[C. Imp.]:[C. Imp.]],$D182,Imput[[PERIODO Imp.]:[PERIODO Imp.]],DG$9)</f>
        <v>0</v>
      </c>
      <c r="DH182" s="616">
        <f>SUMIFS(Imput[[Importe Neto]:[Importe Neto]],Imput[[C. Imp.]:[C. Imp.]],$D182,Imput[[PERIODO Imp.]:[PERIODO Imp.]],DH$9)</f>
        <v>0</v>
      </c>
    </row>
    <row r="183" spans="1:112" hidden="1" outlineLevel="1" x14ac:dyDescent="0.3">
      <c r="A183" s="66" t="str">
        <f t="shared" si="82"/>
        <v/>
      </c>
      <c r="C183" s="527"/>
      <c r="D183" s="528" t="s">
        <v>2287</v>
      </c>
      <c r="E183" s="528"/>
      <c r="F183" s="534"/>
      <c r="G183" s="529"/>
      <c r="H183" s="530"/>
      <c r="I183" s="849" t="str">
        <f t="shared" si="83"/>
        <v/>
      </c>
      <c r="J183" s="517" t="str">
        <f t="shared" si="84"/>
        <v/>
      </c>
      <c r="K183" s="70"/>
      <c r="L183" s="853"/>
      <c r="M183" s="855"/>
      <c r="N183" s="855"/>
      <c r="O183" s="855"/>
      <c r="P183" s="855"/>
      <c r="Q183" s="855"/>
      <c r="R183" s="855"/>
      <c r="S183" s="855"/>
      <c r="T183" s="855"/>
      <c r="U183" s="855"/>
      <c r="V183" s="855"/>
      <c r="W183" s="855"/>
      <c r="X183" s="855"/>
      <c r="Y183" s="855"/>
      <c r="Z183" s="856"/>
      <c r="AA183" s="856"/>
      <c r="AB183" s="856"/>
      <c r="AC183" s="856"/>
      <c r="AD183" s="856"/>
      <c r="AE183" s="856"/>
      <c r="AF183" s="856"/>
      <c r="AG183" s="856"/>
      <c r="AH183" s="856"/>
      <c r="AI183" s="856"/>
      <c r="AJ183" s="856"/>
      <c r="AK183" s="856"/>
      <c r="AL183" s="856"/>
      <c r="AM183" s="856"/>
      <c r="AN183" s="856"/>
      <c r="AO183" s="856"/>
      <c r="AP183" s="856"/>
      <c r="AQ183" s="856"/>
      <c r="AR183" s="856"/>
      <c r="AS183" s="856"/>
      <c r="AT183" s="856"/>
      <c r="AU183" s="856"/>
      <c r="AV183" s="856"/>
      <c r="AW183" s="856"/>
      <c r="AX183" s="856"/>
      <c r="AY183" s="856"/>
      <c r="AZ183" s="856"/>
      <c r="BA183" s="856"/>
      <c r="BB183" s="856"/>
      <c r="BC183" s="856"/>
      <c r="BD183" s="856"/>
      <c r="BE183" s="856"/>
      <c r="BF183" s="856"/>
      <c r="BG183" s="857"/>
      <c r="BH183" s="590"/>
      <c r="BI183" s="68"/>
      <c r="BJ183" s="518">
        <f t="shared" si="85"/>
        <v>0</v>
      </c>
      <c r="BK183" s="517">
        <f t="shared" si="86"/>
        <v>0</v>
      </c>
      <c r="BL183" s="68"/>
      <c r="BM183" s="515">
        <f>SUMIFS(Imput[[Importe Neto]:[Importe Neto]],Imput[[C. Imp.]:[C. Imp.]],$D183,Imput[[PERIODO Imp.]:[PERIODO Imp.]],BM$9)</f>
        <v>0</v>
      </c>
      <c r="BN183" s="516">
        <f>SUMIFS(Imput[[Importe Neto]:[Importe Neto]],Imput[[C. Imp.]:[C. Imp.]],$D183,Imput[[PERIODO Imp.]:[PERIODO Imp.]],BN$9)</f>
        <v>0</v>
      </c>
      <c r="BO183" s="516">
        <f>SUMIFS(Imput[[Importe Neto]:[Importe Neto]],Imput[[C. Imp.]:[C. Imp.]],$D183,Imput[[PERIODO Imp.]:[PERIODO Imp.]],BO$9)</f>
        <v>0</v>
      </c>
      <c r="BP183" s="516">
        <f>SUMIFS(Imput[[Importe Neto]:[Importe Neto]],Imput[[C. Imp.]:[C. Imp.]],$D183,Imput[[PERIODO Imp.]:[PERIODO Imp.]],BP$9)</f>
        <v>0</v>
      </c>
      <c r="BQ183" s="516">
        <f>SUMIFS(Imput[[Importe Neto]:[Importe Neto]],Imput[[C. Imp.]:[C. Imp.]],$D183,Imput[[PERIODO Imp.]:[PERIODO Imp.]],BQ$9)</f>
        <v>0</v>
      </c>
      <c r="BR183" s="516">
        <f>SUMIFS(Imput[[Importe Neto]:[Importe Neto]],Imput[[C. Imp.]:[C. Imp.]],$D183,Imput[[PERIODO Imp.]:[PERIODO Imp.]],BR$9)</f>
        <v>0</v>
      </c>
      <c r="BS183" s="516">
        <f>SUMIFS(Imput[[Importe Neto]:[Importe Neto]],Imput[[C. Imp.]:[C. Imp.]],$D183,Imput[[PERIODO Imp.]:[PERIODO Imp.]],BS$9)</f>
        <v>0</v>
      </c>
      <c r="BT183" s="516">
        <f>SUMIFS(Imput[[Importe Neto]:[Importe Neto]],Imput[[C. Imp.]:[C. Imp.]],$D183,Imput[[PERIODO Imp.]:[PERIODO Imp.]],BT$9)</f>
        <v>0</v>
      </c>
      <c r="BU183" s="516">
        <f>SUMIFS(Imput[[Importe Neto]:[Importe Neto]],Imput[[C. Imp.]:[C. Imp.]],$D183,Imput[[PERIODO Imp.]:[PERIODO Imp.]],BU$9)</f>
        <v>0</v>
      </c>
      <c r="BV183" s="516">
        <f>SUMIFS(Imput[[Importe Neto]:[Importe Neto]],Imput[[C. Imp.]:[C. Imp.]],$D183,Imput[[PERIODO Imp.]:[PERIODO Imp.]],BV$9)</f>
        <v>0</v>
      </c>
      <c r="BW183" s="516">
        <f>SUMIFS(Imput[[Importe Neto]:[Importe Neto]],Imput[[C. Imp.]:[C. Imp.]],$D183,Imput[[PERIODO Imp.]:[PERIODO Imp.]],BW$9)</f>
        <v>0</v>
      </c>
      <c r="BX183" s="516">
        <f>SUMIFS(Imput[[Importe Neto]:[Importe Neto]],Imput[[C. Imp.]:[C. Imp.]],$D183,Imput[[PERIODO Imp.]:[PERIODO Imp.]],BX$9)</f>
        <v>0</v>
      </c>
      <c r="BY183" s="516">
        <f>SUMIFS(Imput[[Importe Neto]:[Importe Neto]],Imput[[C. Imp.]:[C. Imp.]],$D183,Imput[[PERIODO Imp.]:[PERIODO Imp.]],BY$9)</f>
        <v>0</v>
      </c>
      <c r="BZ183" s="516">
        <f>SUMIFS(Imput[[Importe Neto]:[Importe Neto]],Imput[[C. Imp.]:[C. Imp.]],$D183,Imput[[PERIODO Imp.]:[PERIODO Imp.]],BZ$9)</f>
        <v>0</v>
      </c>
      <c r="CA183" s="516">
        <f>SUMIFS(Imput[[Importe Neto]:[Importe Neto]],Imput[[C. Imp.]:[C. Imp.]],$D183,Imput[[PERIODO Imp.]:[PERIODO Imp.]],CA$9)</f>
        <v>0</v>
      </c>
      <c r="CB183" s="516">
        <f>SUMIFS(Imput[[Importe Neto]:[Importe Neto]],Imput[[C. Imp.]:[C. Imp.]],$D183,Imput[[PERIODO Imp.]:[PERIODO Imp.]],CB$9)</f>
        <v>0</v>
      </c>
      <c r="CC183" s="516">
        <f>SUMIFS(Imput[[Importe Neto]:[Importe Neto]],Imput[[C. Imp.]:[C. Imp.]],$D183,Imput[[PERIODO Imp.]:[PERIODO Imp.]],CC$9)</f>
        <v>0</v>
      </c>
      <c r="CD183" s="516">
        <f>SUMIFS(Imput[[Importe Neto]:[Importe Neto]],Imput[[C. Imp.]:[C. Imp.]],$D183,Imput[[PERIODO Imp.]:[PERIODO Imp.]],CD$9)</f>
        <v>0</v>
      </c>
      <c r="CE183" s="516">
        <f>SUMIFS(Imput[[Importe Neto]:[Importe Neto]],Imput[[C. Imp.]:[C. Imp.]],$D183,Imput[[PERIODO Imp.]:[PERIODO Imp.]],CE$9)</f>
        <v>0</v>
      </c>
      <c r="CF183" s="516">
        <f>SUMIFS(Imput[[Importe Neto]:[Importe Neto]],Imput[[C. Imp.]:[C. Imp.]],$D183,Imput[[PERIODO Imp.]:[PERIODO Imp.]],CF$9)</f>
        <v>0</v>
      </c>
      <c r="CG183" s="516">
        <f>SUMIFS(Imput[[Importe Neto]:[Importe Neto]],Imput[[C. Imp.]:[C. Imp.]],$D183,Imput[[PERIODO Imp.]:[PERIODO Imp.]],CG$9)</f>
        <v>0</v>
      </c>
      <c r="CH183" s="516">
        <f>SUMIFS(Imput[[Importe Neto]:[Importe Neto]],Imput[[C. Imp.]:[C. Imp.]],$D183,Imput[[PERIODO Imp.]:[PERIODO Imp.]],CH$9)</f>
        <v>0</v>
      </c>
      <c r="CI183" s="516">
        <f>SUMIFS(Imput[[Importe Neto]:[Importe Neto]],Imput[[C. Imp.]:[C. Imp.]],$D183,Imput[[PERIODO Imp.]:[PERIODO Imp.]],CI$9)</f>
        <v>0</v>
      </c>
      <c r="CJ183" s="516">
        <f>SUMIFS(Imput[[Importe Neto]:[Importe Neto]],Imput[[C. Imp.]:[C. Imp.]],$D183,Imput[[PERIODO Imp.]:[PERIODO Imp.]],CJ$9)</f>
        <v>0</v>
      </c>
      <c r="CK183" s="516">
        <f>SUMIFS(Imput[[Importe Neto]:[Importe Neto]],Imput[[C. Imp.]:[C. Imp.]],$D183,Imput[[PERIODO Imp.]:[PERIODO Imp.]],CK$9)</f>
        <v>0</v>
      </c>
      <c r="CL183" s="516">
        <f>SUMIFS(Imput[[Importe Neto]:[Importe Neto]],Imput[[C. Imp.]:[C. Imp.]],$D183,Imput[[PERIODO Imp.]:[PERIODO Imp.]],CL$9)</f>
        <v>0</v>
      </c>
      <c r="CM183" s="516">
        <f>SUMIFS(Imput[[Importe Neto]:[Importe Neto]],Imput[[C. Imp.]:[C. Imp.]],$D183,Imput[[PERIODO Imp.]:[PERIODO Imp.]],CM$9)</f>
        <v>0</v>
      </c>
      <c r="CN183" s="516">
        <f>SUMIFS(Imput[[Importe Neto]:[Importe Neto]],Imput[[C. Imp.]:[C. Imp.]],$D183,Imput[[PERIODO Imp.]:[PERIODO Imp.]],CN$9)</f>
        <v>0</v>
      </c>
      <c r="CO183" s="516">
        <f>SUMIFS(Imput[[Importe Neto]:[Importe Neto]],Imput[[C. Imp.]:[C. Imp.]],$D183,Imput[[PERIODO Imp.]:[PERIODO Imp.]],CO$9)</f>
        <v>0</v>
      </c>
      <c r="CP183" s="516">
        <f>SUMIFS(Imput[[Importe Neto]:[Importe Neto]],Imput[[C. Imp.]:[C. Imp.]],$D183,Imput[[PERIODO Imp.]:[PERIODO Imp.]],CP$9)</f>
        <v>0</v>
      </c>
      <c r="CQ183" s="516">
        <f>SUMIFS(Imput[[Importe Neto]:[Importe Neto]],Imput[[C. Imp.]:[C. Imp.]],$D183,Imput[[PERIODO Imp.]:[PERIODO Imp.]],CQ$9)</f>
        <v>0</v>
      </c>
      <c r="CR183" s="516">
        <f>SUMIFS(Imput[[Importe Neto]:[Importe Neto]],Imput[[C. Imp.]:[C. Imp.]],$D183,Imput[[PERIODO Imp.]:[PERIODO Imp.]],CR$9)</f>
        <v>0</v>
      </c>
      <c r="CS183" s="516">
        <f>SUMIFS(Imput[[Importe Neto]:[Importe Neto]],Imput[[C. Imp.]:[C. Imp.]],$D183,Imput[[PERIODO Imp.]:[PERIODO Imp.]],CS$9)</f>
        <v>0</v>
      </c>
      <c r="CT183" s="516">
        <f>SUMIFS(Imput[[Importe Neto]:[Importe Neto]],Imput[[C. Imp.]:[C. Imp.]],$D183,Imput[[PERIODO Imp.]:[PERIODO Imp.]],CT$9)</f>
        <v>0</v>
      </c>
      <c r="CU183" s="516">
        <f>SUMIFS(Imput[[Importe Neto]:[Importe Neto]],Imput[[C. Imp.]:[C. Imp.]],$D183,Imput[[PERIODO Imp.]:[PERIODO Imp.]],CU$9)</f>
        <v>0</v>
      </c>
      <c r="CV183" s="516">
        <f>SUMIFS(Imput[[Importe Neto]:[Importe Neto]],Imput[[C. Imp.]:[C. Imp.]],$D183,Imput[[PERIODO Imp.]:[PERIODO Imp.]],CV$9)</f>
        <v>0</v>
      </c>
      <c r="CW183" s="516">
        <f>SUMIFS(Imput[[Importe Neto]:[Importe Neto]],Imput[[C. Imp.]:[C. Imp.]],$D183,Imput[[PERIODO Imp.]:[PERIODO Imp.]],CW$9)</f>
        <v>0</v>
      </c>
      <c r="CX183" s="516">
        <f>SUMIFS(Imput[[Importe Neto]:[Importe Neto]],Imput[[C. Imp.]:[C. Imp.]],$D183,Imput[[PERIODO Imp.]:[PERIODO Imp.]],CX$9)</f>
        <v>0</v>
      </c>
      <c r="CY183" s="516">
        <f>SUMIFS(Imput[[Importe Neto]:[Importe Neto]],Imput[[C. Imp.]:[C. Imp.]],$D183,Imput[[PERIODO Imp.]:[PERIODO Imp.]],CY$9)</f>
        <v>0</v>
      </c>
      <c r="CZ183" s="516">
        <f>SUMIFS(Imput[[Importe Neto]:[Importe Neto]],Imput[[C. Imp.]:[C. Imp.]],$D183,Imput[[PERIODO Imp.]:[PERIODO Imp.]],CZ$9)</f>
        <v>0</v>
      </c>
      <c r="DA183" s="516">
        <f>SUMIFS(Imput[[Importe Neto]:[Importe Neto]],Imput[[C. Imp.]:[C. Imp.]],$D183,Imput[[PERIODO Imp.]:[PERIODO Imp.]],DA$9)</f>
        <v>0</v>
      </c>
      <c r="DB183" s="516">
        <f>SUMIFS(Imput[[Importe Neto]:[Importe Neto]],Imput[[C. Imp.]:[C. Imp.]],$D183,Imput[[PERIODO Imp.]:[PERIODO Imp.]],DB$9)</f>
        <v>0</v>
      </c>
      <c r="DC183" s="516">
        <f>SUMIFS(Imput[[Importe Neto]:[Importe Neto]],Imput[[C. Imp.]:[C. Imp.]],$D183,Imput[[PERIODO Imp.]:[PERIODO Imp.]],DC$9)</f>
        <v>0</v>
      </c>
      <c r="DD183" s="516">
        <f>SUMIFS(Imput[[Importe Neto]:[Importe Neto]],Imput[[C. Imp.]:[C. Imp.]],$D183,Imput[[PERIODO Imp.]:[PERIODO Imp.]],DD$9)</f>
        <v>0</v>
      </c>
      <c r="DE183" s="516">
        <f>SUMIFS(Imput[[Importe Neto]:[Importe Neto]],Imput[[C. Imp.]:[C. Imp.]],$D183,Imput[[PERIODO Imp.]:[PERIODO Imp.]],DE$9)</f>
        <v>0</v>
      </c>
      <c r="DF183" s="516">
        <f>SUMIFS(Imput[[Importe Neto]:[Importe Neto]],Imput[[C. Imp.]:[C. Imp.]],$D183,Imput[[PERIODO Imp.]:[PERIODO Imp.]],DF$9)</f>
        <v>0</v>
      </c>
      <c r="DG183" s="516">
        <f>SUMIFS(Imput[[Importe Neto]:[Importe Neto]],Imput[[C. Imp.]:[C. Imp.]],$D183,Imput[[PERIODO Imp.]:[PERIODO Imp.]],DG$9)</f>
        <v>0</v>
      </c>
      <c r="DH183" s="616">
        <f>SUMIFS(Imput[[Importe Neto]:[Importe Neto]],Imput[[C. Imp.]:[C. Imp.]],$D183,Imput[[PERIODO Imp.]:[PERIODO Imp.]],DH$9)</f>
        <v>0</v>
      </c>
    </row>
    <row r="184" spans="1:112" hidden="1" outlineLevel="1" x14ac:dyDescent="0.3">
      <c r="A184" s="66" t="str">
        <f t="shared" si="82"/>
        <v/>
      </c>
      <c r="C184" s="527"/>
      <c r="D184" s="528" t="s">
        <v>2288</v>
      </c>
      <c r="E184" s="528"/>
      <c r="F184" s="534"/>
      <c r="G184" s="529"/>
      <c r="H184" s="530"/>
      <c r="I184" s="849" t="str">
        <f t="shared" si="83"/>
        <v/>
      </c>
      <c r="J184" s="517" t="str">
        <f t="shared" si="84"/>
        <v/>
      </c>
      <c r="K184" s="70"/>
      <c r="L184" s="853"/>
      <c r="M184" s="855"/>
      <c r="N184" s="855"/>
      <c r="O184" s="855"/>
      <c r="P184" s="855"/>
      <c r="Q184" s="855"/>
      <c r="R184" s="855"/>
      <c r="S184" s="855"/>
      <c r="T184" s="855"/>
      <c r="U184" s="855"/>
      <c r="V184" s="855"/>
      <c r="W184" s="855"/>
      <c r="X184" s="855"/>
      <c r="Y184" s="855"/>
      <c r="Z184" s="856"/>
      <c r="AA184" s="856"/>
      <c r="AB184" s="856"/>
      <c r="AC184" s="856"/>
      <c r="AD184" s="856"/>
      <c r="AE184" s="856"/>
      <c r="AF184" s="856"/>
      <c r="AG184" s="856"/>
      <c r="AH184" s="856"/>
      <c r="AI184" s="856"/>
      <c r="AJ184" s="856"/>
      <c r="AK184" s="856"/>
      <c r="AL184" s="856"/>
      <c r="AM184" s="856"/>
      <c r="AN184" s="856"/>
      <c r="AO184" s="856"/>
      <c r="AP184" s="856"/>
      <c r="AQ184" s="856"/>
      <c r="AR184" s="856"/>
      <c r="AS184" s="856"/>
      <c r="AT184" s="856"/>
      <c r="AU184" s="856"/>
      <c r="AV184" s="856"/>
      <c r="AW184" s="856"/>
      <c r="AX184" s="856"/>
      <c r="AY184" s="856"/>
      <c r="AZ184" s="856"/>
      <c r="BA184" s="856"/>
      <c r="BB184" s="856"/>
      <c r="BC184" s="856"/>
      <c r="BD184" s="856"/>
      <c r="BE184" s="856"/>
      <c r="BF184" s="856"/>
      <c r="BG184" s="857"/>
      <c r="BH184" s="590"/>
      <c r="BI184" s="68"/>
      <c r="BJ184" s="518">
        <f t="shared" si="85"/>
        <v>0</v>
      </c>
      <c r="BK184" s="517">
        <f t="shared" si="86"/>
        <v>0</v>
      </c>
      <c r="BL184" s="68"/>
      <c r="BM184" s="515">
        <f>SUMIFS(Imput[[Importe Neto]:[Importe Neto]],Imput[[C. Imp.]:[C. Imp.]],$D184,Imput[[PERIODO Imp.]:[PERIODO Imp.]],BM$9)</f>
        <v>0</v>
      </c>
      <c r="BN184" s="516">
        <f>SUMIFS(Imput[[Importe Neto]:[Importe Neto]],Imput[[C. Imp.]:[C. Imp.]],$D184,Imput[[PERIODO Imp.]:[PERIODO Imp.]],BN$9)</f>
        <v>0</v>
      </c>
      <c r="BO184" s="516">
        <f>SUMIFS(Imput[[Importe Neto]:[Importe Neto]],Imput[[C. Imp.]:[C. Imp.]],$D184,Imput[[PERIODO Imp.]:[PERIODO Imp.]],BO$9)</f>
        <v>0</v>
      </c>
      <c r="BP184" s="516">
        <f>SUMIFS(Imput[[Importe Neto]:[Importe Neto]],Imput[[C. Imp.]:[C. Imp.]],$D184,Imput[[PERIODO Imp.]:[PERIODO Imp.]],BP$9)</f>
        <v>0</v>
      </c>
      <c r="BQ184" s="516">
        <f>SUMIFS(Imput[[Importe Neto]:[Importe Neto]],Imput[[C. Imp.]:[C. Imp.]],$D184,Imput[[PERIODO Imp.]:[PERIODO Imp.]],BQ$9)</f>
        <v>0</v>
      </c>
      <c r="BR184" s="516">
        <f>SUMIFS(Imput[[Importe Neto]:[Importe Neto]],Imput[[C. Imp.]:[C. Imp.]],$D184,Imput[[PERIODO Imp.]:[PERIODO Imp.]],BR$9)</f>
        <v>0</v>
      </c>
      <c r="BS184" s="516">
        <f>SUMIFS(Imput[[Importe Neto]:[Importe Neto]],Imput[[C. Imp.]:[C. Imp.]],$D184,Imput[[PERIODO Imp.]:[PERIODO Imp.]],BS$9)</f>
        <v>0</v>
      </c>
      <c r="BT184" s="516">
        <f>SUMIFS(Imput[[Importe Neto]:[Importe Neto]],Imput[[C. Imp.]:[C. Imp.]],$D184,Imput[[PERIODO Imp.]:[PERIODO Imp.]],BT$9)</f>
        <v>0</v>
      </c>
      <c r="BU184" s="516">
        <f>SUMIFS(Imput[[Importe Neto]:[Importe Neto]],Imput[[C. Imp.]:[C. Imp.]],$D184,Imput[[PERIODO Imp.]:[PERIODO Imp.]],BU$9)</f>
        <v>0</v>
      </c>
      <c r="BV184" s="516">
        <f>SUMIFS(Imput[[Importe Neto]:[Importe Neto]],Imput[[C. Imp.]:[C. Imp.]],$D184,Imput[[PERIODO Imp.]:[PERIODO Imp.]],BV$9)</f>
        <v>0</v>
      </c>
      <c r="BW184" s="516">
        <f>SUMIFS(Imput[[Importe Neto]:[Importe Neto]],Imput[[C. Imp.]:[C. Imp.]],$D184,Imput[[PERIODO Imp.]:[PERIODO Imp.]],BW$9)</f>
        <v>0</v>
      </c>
      <c r="BX184" s="516">
        <f>SUMIFS(Imput[[Importe Neto]:[Importe Neto]],Imput[[C. Imp.]:[C. Imp.]],$D184,Imput[[PERIODO Imp.]:[PERIODO Imp.]],BX$9)</f>
        <v>0</v>
      </c>
      <c r="BY184" s="516">
        <f>SUMIFS(Imput[[Importe Neto]:[Importe Neto]],Imput[[C. Imp.]:[C. Imp.]],$D184,Imput[[PERIODO Imp.]:[PERIODO Imp.]],BY$9)</f>
        <v>0</v>
      </c>
      <c r="BZ184" s="516">
        <f>SUMIFS(Imput[[Importe Neto]:[Importe Neto]],Imput[[C. Imp.]:[C. Imp.]],$D184,Imput[[PERIODO Imp.]:[PERIODO Imp.]],BZ$9)</f>
        <v>0</v>
      </c>
      <c r="CA184" s="516">
        <f>SUMIFS(Imput[[Importe Neto]:[Importe Neto]],Imput[[C. Imp.]:[C. Imp.]],$D184,Imput[[PERIODO Imp.]:[PERIODO Imp.]],CA$9)</f>
        <v>0</v>
      </c>
      <c r="CB184" s="516">
        <f>SUMIFS(Imput[[Importe Neto]:[Importe Neto]],Imput[[C. Imp.]:[C. Imp.]],$D184,Imput[[PERIODO Imp.]:[PERIODO Imp.]],CB$9)</f>
        <v>0</v>
      </c>
      <c r="CC184" s="516">
        <f>SUMIFS(Imput[[Importe Neto]:[Importe Neto]],Imput[[C. Imp.]:[C. Imp.]],$D184,Imput[[PERIODO Imp.]:[PERIODO Imp.]],CC$9)</f>
        <v>0</v>
      </c>
      <c r="CD184" s="516">
        <f>SUMIFS(Imput[[Importe Neto]:[Importe Neto]],Imput[[C. Imp.]:[C. Imp.]],$D184,Imput[[PERIODO Imp.]:[PERIODO Imp.]],CD$9)</f>
        <v>0</v>
      </c>
      <c r="CE184" s="516">
        <f>SUMIFS(Imput[[Importe Neto]:[Importe Neto]],Imput[[C. Imp.]:[C. Imp.]],$D184,Imput[[PERIODO Imp.]:[PERIODO Imp.]],CE$9)</f>
        <v>0</v>
      </c>
      <c r="CF184" s="516">
        <f>SUMIFS(Imput[[Importe Neto]:[Importe Neto]],Imput[[C. Imp.]:[C. Imp.]],$D184,Imput[[PERIODO Imp.]:[PERIODO Imp.]],CF$9)</f>
        <v>0</v>
      </c>
      <c r="CG184" s="516">
        <f>SUMIFS(Imput[[Importe Neto]:[Importe Neto]],Imput[[C. Imp.]:[C. Imp.]],$D184,Imput[[PERIODO Imp.]:[PERIODO Imp.]],CG$9)</f>
        <v>0</v>
      </c>
      <c r="CH184" s="516">
        <f>SUMIFS(Imput[[Importe Neto]:[Importe Neto]],Imput[[C. Imp.]:[C. Imp.]],$D184,Imput[[PERIODO Imp.]:[PERIODO Imp.]],CH$9)</f>
        <v>0</v>
      </c>
      <c r="CI184" s="516">
        <f>SUMIFS(Imput[[Importe Neto]:[Importe Neto]],Imput[[C. Imp.]:[C. Imp.]],$D184,Imput[[PERIODO Imp.]:[PERIODO Imp.]],CI$9)</f>
        <v>0</v>
      </c>
      <c r="CJ184" s="516">
        <f>SUMIFS(Imput[[Importe Neto]:[Importe Neto]],Imput[[C. Imp.]:[C. Imp.]],$D184,Imput[[PERIODO Imp.]:[PERIODO Imp.]],CJ$9)</f>
        <v>0</v>
      </c>
      <c r="CK184" s="516">
        <f>SUMIFS(Imput[[Importe Neto]:[Importe Neto]],Imput[[C. Imp.]:[C. Imp.]],$D184,Imput[[PERIODO Imp.]:[PERIODO Imp.]],CK$9)</f>
        <v>0</v>
      </c>
      <c r="CL184" s="516">
        <f>SUMIFS(Imput[[Importe Neto]:[Importe Neto]],Imput[[C. Imp.]:[C. Imp.]],$D184,Imput[[PERIODO Imp.]:[PERIODO Imp.]],CL$9)</f>
        <v>0</v>
      </c>
      <c r="CM184" s="516">
        <f>SUMIFS(Imput[[Importe Neto]:[Importe Neto]],Imput[[C. Imp.]:[C. Imp.]],$D184,Imput[[PERIODO Imp.]:[PERIODO Imp.]],CM$9)</f>
        <v>0</v>
      </c>
      <c r="CN184" s="516">
        <f>SUMIFS(Imput[[Importe Neto]:[Importe Neto]],Imput[[C. Imp.]:[C. Imp.]],$D184,Imput[[PERIODO Imp.]:[PERIODO Imp.]],CN$9)</f>
        <v>0</v>
      </c>
      <c r="CO184" s="516">
        <f>SUMIFS(Imput[[Importe Neto]:[Importe Neto]],Imput[[C. Imp.]:[C. Imp.]],$D184,Imput[[PERIODO Imp.]:[PERIODO Imp.]],CO$9)</f>
        <v>0</v>
      </c>
      <c r="CP184" s="516">
        <f>SUMIFS(Imput[[Importe Neto]:[Importe Neto]],Imput[[C. Imp.]:[C. Imp.]],$D184,Imput[[PERIODO Imp.]:[PERIODO Imp.]],CP$9)</f>
        <v>0</v>
      </c>
      <c r="CQ184" s="516">
        <f>SUMIFS(Imput[[Importe Neto]:[Importe Neto]],Imput[[C. Imp.]:[C. Imp.]],$D184,Imput[[PERIODO Imp.]:[PERIODO Imp.]],CQ$9)</f>
        <v>0</v>
      </c>
      <c r="CR184" s="516">
        <f>SUMIFS(Imput[[Importe Neto]:[Importe Neto]],Imput[[C. Imp.]:[C. Imp.]],$D184,Imput[[PERIODO Imp.]:[PERIODO Imp.]],CR$9)</f>
        <v>0</v>
      </c>
      <c r="CS184" s="516">
        <f>SUMIFS(Imput[[Importe Neto]:[Importe Neto]],Imput[[C. Imp.]:[C. Imp.]],$D184,Imput[[PERIODO Imp.]:[PERIODO Imp.]],CS$9)</f>
        <v>0</v>
      </c>
      <c r="CT184" s="516">
        <f>SUMIFS(Imput[[Importe Neto]:[Importe Neto]],Imput[[C. Imp.]:[C. Imp.]],$D184,Imput[[PERIODO Imp.]:[PERIODO Imp.]],CT$9)</f>
        <v>0</v>
      </c>
      <c r="CU184" s="516">
        <f>SUMIFS(Imput[[Importe Neto]:[Importe Neto]],Imput[[C. Imp.]:[C. Imp.]],$D184,Imput[[PERIODO Imp.]:[PERIODO Imp.]],CU$9)</f>
        <v>0</v>
      </c>
      <c r="CV184" s="516">
        <f>SUMIFS(Imput[[Importe Neto]:[Importe Neto]],Imput[[C. Imp.]:[C. Imp.]],$D184,Imput[[PERIODO Imp.]:[PERIODO Imp.]],CV$9)</f>
        <v>0</v>
      </c>
      <c r="CW184" s="516">
        <f>SUMIFS(Imput[[Importe Neto]:[Importe Neto]],Imput[[C. Imp.]:[C. Imp.]],$D184,Imput[[PERIODO Imp.]:[PERIODO Imp.]],CW$9)</f>
        <v>0</v>
      </c>
      <c r="CX184" s="516">
        <f>SUMIFS(Imput[[Importe Neto]:[Importe Neto]],Imput[[C. Imp.]:[C. Imp.]],$D184,Imput[[PERIODO Imp.]:[PERIODO Imp.]],CX$9)</f>
        <v>0</v>
      </c>
      <c r="CY184" s="516">
        <f>SUMIFS(Imput[[Importe Neto]:[Importe Neto]],Imput[[C. Imp.]:[C. Imp.]],$D184,Imput[[PERIODO Imp.]:[PERIODO Imp.]],CY$9)</f>
        <v>0</v>
      </c>
      <c r="CZ184" s="516">
        <f>SUMIFS(Imput[[Importe Neto]:[Importe Neto]],Imput[[C. Imp.]:[C. Imp.]],$D184,Imput[[PERIODO Imp.]:[PERIODO Imp.]],CZ$9)</f>
        <v>0</v>
      </c>
      <c r="DA184" s="516">
        <f>SUMIFS(Imput[[Importe Neto]:[Importe Neto]],Imput[[C. Imp.]:[C. Imp.]],$D184,Imput[[PERIODO Imp.]:[PERIODO Imp.]],DA$9)</f>
        <v>0</v>
      </c>
      <c r="DB184" s="516">
        <f>SUMIFS(Imput[[Importe Neto]:[Importe Neto]],Imput[[C. Imp.]:[C. Imp.]],$D184,Imput[[PERIODO Imp.]:[PERIODO Imp.]],DB$9)</f>
        <v>0</v>
      </c>
      <c r="DC184" s="516">
        <f>SUMIFS(Imput[[Importe Neto]:[Importe Neto]],Imput[[C. Imp.]:[C. Imp.]],$D184,Imput[[PERIODO Imp.]:[PERIODO Imp.]],DC$9)</f>
        <v>0</v>
      </c>
      <c r="DD184" s="516">
        <f>SUMIFS(Imput[[Importe Neto]:[Importe Neto]],Imput[[C. Imp.]:[C. Imp.]],$D184,Imput[[PERIODO Imp.]:[PERIODO Imp.]],DD$9)</f>
        <v>0</v>
      </c>
      <c r="DE184" s="516">
        <f>SUMIFS(Imput[[Importe Neto]:[Importe Neto]],Imput[[C. Imp.]:[C. Imp.]],$D184,Imput[[PERIODO Imp.]:[PERIODO Imp.]],DE$9)</f>
        <v>0</v>
      </c>
      <c r="DF184" s="516">
        <f>SUMIFS(Imput[[Importe Neto]:[Importe Neto]],Imput[[C. Imp.]:[C. Imp.]],$D184,Imput[[PERIODO Imp.]:[PERIODO Imp.]],DF$9)</f>
        <v>0</v>
      </c>
      <c r="DG184" s="516">
        <f>SUMIFS(Imput[[Importe Neto]:[Importe Neto]],Imput[[C. Imp.]:[C. Imp.]],$D184,Imput[[PERIODO Imp.]:[PERIODO Imp.]],DG$9)</f>
        <v>0</v>
      </c>
      <c r="DH184" s="616">
        <f>SUMIFS(Imput[[Importe Neto]:[Importe Neto]],Imput[[C. Imp.]:[C. Imp.]],$D184,Imput[[PERIODO Imp.]:[PERIODO Imp.]],DH$9)</f>
        <v>0</v>
      </c>
    </row>
    <row r="185" spans="1:112" hidden="1" outlineLevel="1" x14ac:dyDescent="0.3">
      <c r="A185" s="66" t="str">
        <f t="shared" si="82"/>
        <v/>
      </c>
      <c r="C185" s="527"/>
      <c r="D185" s="528" t="s">
        <v>2289</v>
      </c>
      <c r="E185" s="528"/>
      <c r="F185" s="534"/>
      <c r="G185" s="529"/>
      <c r="H185" s="530"/>
      <c r="I185" s="849" t="str">
        <f t="shared" si="83"/>
        <v/>
      </c>
      <c r="J185" s="517" t="str">
        <f t="shared" si="84"/>
        <v/>
      </c>
      <c r="K185" s="70"/>
      <c r="L185" s="853"/>
      <c r="M185" s="855"/>
      <c r="N185" s="855"/>
      <c r="O185" s="855"/>
      <c r="P185" s="855"/>
      <c r="Q185" s="855"/>
      <c r="R185" s="855"/>
      <c r="S185" s="855"/>
      <c r="T185" s="855"/>
      <c r="U185" s="855"/>
      <c r="V185" s="855"/>
      <c r="W185" s="855"/>
      <c r="X185" s="855"/>
      <c r="Y185" s="855"/>
      <c r="Z185" s="856"/>
      <c r="AA185" s="856"/>
      <c r="AB185" s="856"/>
      <c r="AC185" s="856"/>
      <c r="AD185" s="856"/>
      <c r="AE185" s="856"/>
      <c r="AF185" s="856"/>
      <c r="AG185" s="856"/>
      <c r="AH185" s="856"/>
      <c r="AI185" s="856"/>
      <c r="AJ185" s="856"/>
      <c r="AK185" s="856"/>
      <c r="AL185" s="856"/>
      <c r="AM185" s="856"/>
      <c r="AN185" s="856"/>
      <c r="AO185" s="856"/>
      <c r="AP185" s="856"/>
      <c r="AQ185" s="856"/>
      <c r="AR185" s="856"/>
      <c r="AS185" s="856"/>
      <c r="AT185" s="856"/>
      <c r="AU185" s="856"/>
      <c r="AV185" s="856"/>
      <c r="AW185" s="856"/>
      <c r="AX185" s="856"/>
      <c r="AY185" s="856"/>
      <c r="AZ185" s="856"/>
      <c r="BA185" s="856"/>
      <c r="BB185" s="856"/>
      <c r="BC185" s="856"/>
      <c r="BD185" s="856"/>
      <c r="BE185" s="856"/>
      <c r="BF185" s="856"/>
      <c r="BG185" s="857"/>
      <c r="BH185" s="590"/>
      <c r="BI185" s="68"/>
      <c r="BJ185" s="518">
        <f t="shared" si="85"/>
        <v>0</v>
      </c>
      <c r="BK185" s="517">
        <f t="shared" si="86"/>
        <v>0</v>
      </c>
      <c r="BL185" s="68"/>
      <c r="BM185" s="610">
        <f>SUMIFS(Imput[[Importe Neto]:[Importe Neto]],Imput[[C. Imp.]:[C. Imp.]],$D185,Imput[[PERIODO Imp.]:[PERIODO Imp.]],BM$9)</f>
        <v>0</v>
      </c>
      <c r="BN185" s="611">
        <f>SUMIFS(Imput[[Importe Neto]:[Importe Neto]],Imput[[C. Imp.]:[C. Imp.]],$D185,Imput[[PERIODO Imp.]:[PERIODO Imp.]],BN$9)</f>
        <v>0</v>
      </c>
      <c r="BO185" s="611">
        <f>SUMIFS(Imput[[Importe Neto]:[Importe Neto]],Imput[[C. Imp.]:[C. Imp.]],$D185,Imput[[PERIODO Imp.]:[PERIODO Imp.]],BO$9)</f>
        <v>0</v>
      </c>
      <c r="BP185" s="611">
        <f>SUMIFS(Imput[[Importe Neto]:[Importe Neto]],Imput[[C. Imp.]:[C. Imp.]],$D185,Imput[[PERIODO Imp.]:[PERIODO Imp.]],BP$9)</f>
        <v>0</v>
      </c>
      <c r="BQ185" s="611">
        <f>SUMIFS(Imput[[Importe Neto]:[Importe Neto]],Imput[[C. Imp.]:[C. Imp.]],$D185,Imput[[PERIODO Imp.]:[PERIODO Imp.]],BQ$9)</f>
        <v>0</v>
      </c>
      <c r="BR185" s="611">
        <f>SUMIFS(Imput[[Importe Neto]:[Importe Neto]],Imput[[C. Imp.]:[C. Imp.]],$D185,Imput[[PERIODO Imp.]:[PERIODO Imp.]],BR$9)</f>
        <v>0</v>
      </c>
      <c r="BS185" s="611">
        <f>SUMIFS(Imput[[Importe Neto]:[Importe Neto]],Imput[[C. Imp.]:[C. Imp.]],$D185,Imput[[PERIODO Imp.]:[PERIODO Imp.]],BS$9)</f>
        <v>0</v>
      </c>
      <c r="BT185" s="611">
        <f>SUMIFS(Imput[[Importe Neto]:[Importe Neto]],Imput[[C. Imp.]:[C. Imp.]],$D185,Imput[[PERIODO Imp.]:[PERIODO Imp.]],BT$9)</f>
        <v>0</v>
      </c>
      <c r="BU185" s="611">
        <f>SUMIFS(Imput[[Importe Neto]:[Importe Neto]],Imput[[C. Imp.]:[C. Imp.]],$D185,Imput[[PERIODO Imp.]:[PERIODO Imp.]],BU$9)</f>
        <v>0</v>
      </c>
      <c r="BV185" s="611">
        <f>SUMIFS(Imput[[Importe Neto]:[Importe Neto]],Imput[[C. Imp.]:[C. Imp.]],$D185,Imput[[PERIODO Imp.]:[PERIODO Imp.]],BV$9)</f>
        <v>0</v>
      </c>
      <c r="BW185" s="611">
        <f>SUMIFS(Imput[[Importe Neto]:[Importe Neto]],Imput[[C. Imp.]:[C. Imp.]],$D185,Imput[[PERIODO Imp.]:[PERIODO Imp.]],BW$9)</f>
        <v>0</v>
      </c>
      <c r="BX185" s="611">
        <f>SUMIFS(Imput[[Importe Neto]:[Importe Neto]],Imput[[C. Imp.]:[C. Imp.]],$D185,Imput[[PERIODO Imp.]:[PERIODO Imp.]],BX$9)</f>
        <v>0</v>
      </c>
      <c r="BY185" s="611">
        <f>SUMIFS(Imput[[Importe Neto]:[Importe Neto]],Imput[[C. Imp.]:[C. Imp.]],$D185,Imput[[PERIODO Imp.]:[PERIODO Imp.]],BY$9)</f>
        <v>0</v>
      </c>
      <c r="BZ185" s="611">
        <f>SUMIFS(Imput[[Importe Neto]:[Importe Neto]],Imput[[C. Imp.]:[C. Imp.]],$D185,Imput[[PERIODO Imp.]:[PERIODO Imp.]],BZ$9)</f>
        <v>0</v>
      </c>
      <c r="CA185" s="611">
        <f>SUMIFS(Imput[[Importe Neto]:[Importe Neto]],Imput[[C. Imp.]:[C. Imp.]],$D185,Imput[[PERIODO Imp.]:[PERIODO Imp.]],CA$9)</f>
        <v>0</v>
      </c>
      <c r="CB185" s="611">
        <f>SUMIFS(Imput[[Importe Neto]:[Importe Neto]],Imput[[C. Imp.]:[C. Imp.]],$D185,Imput[[PERIODO Imp.]:[PERIODO Imp.]],CB$9)</f>
        <v>0</v>
      </c>
      <c r="CC185" s="611">
        <f>SUMIFS(Imput[[Importe Neto]:[Importe Neto]],Imput[[C. Imp.]:[C. Imp.]],$D185,Imput[[PERIODO Imp.]:[PERIODO Imp.]],CC$9)</f>
        <v>0</v>
      </c>
      <c r="CD185" s="611">
        <f>SUMIFS(Imput[[Importe Neto]:[Importe Neto]],Imput[[C. Imp.]:[C. Imp.]],$D185,Imput[[PERIODO Imp.]:[PERIODO Imp.]],CD$9)</f>
        <v>0</v>
      </c>
      <c r="CE185" s="611">
        <f>SUMIFS(Imput[[Importe Neto]:[Importe Neto]],Imput[[C. Imp.]:[C. Imp.]],$D185,Imput[[PERIODO Imp.]:[PERIODO Imp.]],CE$9)</f>
        <v>0</v>
      </c>
      <c r="CF185" s="611">
        <f>SUMIFS(Imput[[Importe Neto]:[Importe Neto]],Imput[[C. Imp.]:[C. Imp.]],$D185,Imput[[PERIODO Imp.]:[PERIODO Imp.]],CF$9)</f>
        <v>0</v>
      </c>
      <c r="CG185" s="611">
        <f>SUMIFS(Imput[[Importe Neto]:[Importe Neto]],Imput[[C. Imp.]:[C. Imp.]],$D185,Imput[[PERIODO Imp.]:[PERIODO Imp.]],CG$9)</f>
        <v>0</v>
      </c>
      <c r="CH185" s="611">
        <f>SUMIFS(Imput[[Importe Neto]:[Importe Neto]],Imput[[C. Imp.]:[C. Imp.]],$D185,Imput[[PERIODO Imp.]:[PERIODO Imp.]],CH$9)</f>
        <v>0</v>
      </c>
      <c r="CI185" s="611">
        <f>SUMIFS(Imput[[Importe Neto]:[Importe Neto]],Imput[[C. Imp.]:[C. Imp.]],$D185,Imput[[PERIODO Imp.]:[PERIODO Imp.]],CI$9)</f>
        <v>0</v>
      </c>
      <c r="CJ185" s="611">
        <f>SUMIFS(Imput[[Importe Neto]:[Importe Neto]],Imput[[C. Imp.]:[C. Imp.]],$D185,Imput[[PERIODO Imp.]:[PERIODO Imp.]],CJ$9)</f>
        <v>0</v>
      </c>
      <c r="CK185" s="611">
        <f>SUMIFS(Imput[[Importe Neto]:[Importe Neto]],Imput[[C. Imp.]:[C. Imp.]],$D185,Imput[[PERIODO Imp.]:[PERIODO Imp.]],CK$9)</f>
        <v>0</v>
      </c>
      <c r="CL185" s="611">
        <f>SUMIFS(Imput[[Importe Neto]:[Importe Neto]],Imput[[C. Imp.]:[C. Imp.]],$D185,Imput[[PERIODO Imp.]:[PERIODO Imp.]],CL$9)</f>
        <v>0</v>
      </c>
      <c r="CM185" s="611">
        <f>SUMIFS(Imput[[Importe Neto]:[Importe Neto]],Imput[[C. Imp.]:[C. Imp.]],$D185,Imput[[PERIODO Imp.]:[PERIODO Imp.]],CM$9)</f>
        <v>0</v>
      </c>
      <c r="CN185" s="611">
        <f>SUMIFS(Imput[[Importe Neto]:[Importe Neto]],Imput[[C. Imp.]:[C. Imp.]],$D185,Imput[[PERIODO Imp.]:[PERIODO Imp.]],CN$9)</f>
        <v>0</v>
      </c>
      <c r="CO185" s="611">
        <f>SUMIFS(Imput[[Importe Neto]:[Importe Neto]],Imput[[C. Imp.]:[C. Imp.]],$D185,Imput[[PERIODO Imp.]:[PERIODO Imp.]],CO$9)</f>
        <v>0</v>
      </c>
      <c r="CP185" s="611">
        <f>SUMIFS(Imput[[Importe Neto]:[Importe Neto]],Imput[[C. Imp.]:[C. Imp.]],$D185,Imput[[PERIODO Imp.]:[PERIODO Imp.]],CP$9)</f>
        <v>0</v>
      </c>
      <c r="CQ185" s="611">
        <f>SUMIFS(Imput[[Importe Neto]:[Importe Neto]],Imput[[C. Imp.]:[C. Imp.]],$D185,Imput[[PERIODO Imp.]:[PERIODO Imp.]],CQ$9)</f>
        <v>0</v>
      </c>
      <c r="CR185" s="611">
        <f>SUMIFS(Imput[[Importe Neto]:[Importe Neto]],Imput[[C. Imp.]:[C. Imp.]],$D185,Imput[[PERIODO Imp.]:[PERIODO Imp.]],CR$9)</f>
        <v>0</v>
      </c>
      <c r="CS185" s="611">
        <f>SUMIFS(Imput[[Importe Neto]:[Importe Neto]],Imput[[C. Imp.]:[C. Imp.]],$D185,Imput[[PERIODO Imp.]:[PERIODO Imp.]],CS$9)</f>
        <v>0</v>
      </c>
      <c r="CT185" s="611">
        <f>SUMIFS(Imput[[Importe Neto]:[Importe Neto]],Imput[[C. Imp.]:[C. Imp.]],$D185,Imput[[PERIODO Imp.]:[PERIODO Imp.]],CT$9)</f>
        <v>0</v>
      </c>
      <c r="CU185" s="611">
        <f>SUMIFS(Imput[[Importe Neto]:[Importe Neto]],Imput[[C. Imp.]:[C. Imp.]],$D185,Imput[[PERIODO Imp.]:[PERIODO Imp.]],CU$9)</f>
        <v>0</v>
      </c>
      <c r="CV185" s="611">
        <f>SUMIFS(Imput[[Importe Neto]:[Importe Neto]],Imput[[C. Imp.]:[C. Imp.]],$D185,Imput[[PERIODO Imp.]:[PERIODO Imp.]],CV$9)</f>
        <v>0</v>
      </c>
      <c r="CW185" s="611">
        <f>SUMIFS(Imput[[Importe Neto]:[Importe Neto]],Imput[[C. Imp.]:[C. Imp.]],$D185,Imput[[PERIODO Imp.]:[PERIODO Imp.]],CW$9)</f>
        <v>0</v>
      </c>
      <c r="CX185" s="611">
        <f>SUMIFS(Imput[[Importe Neto]:[Importe Neto]],Imput[[C. Imp.]:[C. Imp.]],$D185,Imput[[PERIODO Imp.]:[PERIODO Imp.]],CX$9)</f>
        <v>0</v>
      </c>
      <c r="CY185" s="611">
        <f>SUMIFS(Imput[[Importe Neto]:[Importe Neto]],Imput[[C. Imp.]:[C. Imp.]],$D185,Imput[[PERIODO Imp.]:[PERIODO Imp.]],CY$9)</f>
        <v>0</v>
      </c>
      <c r="CZ185" s="611">
        <f>SUMIFS(Imput[[Importe Neto]:[Importe Neto]],Imput[[C. Imp.]:[C. Imp.]],$D185,Imput[[PERIODO Imp.]:[PERIODO Imp.]],CZ$9)</f>
        <v>0</v>
      </c>
      <c r="DA185" s="611">
        <f>SUMIFS(Imput[[Importe Neto]:[Importe Neto]],Imput[[C. Imp.]:[C. Imp.]],$D185,Imput[[PERIODO Imp.]:[PERIODO Imp.]],DA$9)</f>
        <v>0</v>
      </c>
      <c r="DB185" s="611">
        <f>SUMIFS(Imput[[Importe Neto]:[Importe Neto]],Imput[[C. Imp.]:[C. Imp.]],$D185,Imput[[PERIODO Imp.]:[PERIODO Imp.]],DB$9)</f>
        <v>0</v>
      </c>
      <c r="DC185" s="611">
        <f>SUMIFS(Imput[[Importe Neto]:[Importe Neto]],Imput[[C. Imp.]:[C. Imp.]],$D185,Imput[[PERIODO Imp.]:[PERIODO Imp.]],DC$9)</f>
        <v>0</v>
      </c>
      <c r="DD185" s="611">
        <f>SUMIFS(Imput[[Importe Neto]:[Importe Neto]],Imput[[C. Imp.]:[C. Imp.]],$D185,Imput[[PERIODO Imp.]:[PERIODO Imp.]],DD$9)</f>
        <v>0</v>
      </c>
      <c r="DE185" s="611">
        <f>SUMIFS(Imput[[Importe Neto]:[Importe Neto]],Imput[[C. Imp.]:[C. Imp.]],$D185,Imput[[PERIODO Imp.]:[PERIODO Imp.]],DE$9)</f>
        <v>0</v>
      </c>
      <c r="DF185" s="611">
        <f>SUMIFS(Imput[[Importe Neto]:[Importe Neto]],Imput[[C. Imp.]:[C. Imp.]],$D185,Imput[[PERIODO Imp.]:[PERIODO Imp.]],DF$9)</f>
        <v>0</v>
      </c>
      <c r="DG185" s="611">
        <f>SUMIFS(Imput[[Importe Neto]:[Importe Neto]],Imput[[C. Imp.]:[C. Imp.]],$D185,Imput[[PERIODO Imp.]:[PERIODO Imp.]],DG$9)</f>
        <v>0</v>
      </c>
      <c r="DH185" s="797">
        <f>SUMIFS(Imput[[Importe Neto]:[Importe Neto]],Imput[[C. Imp.]:[C. Imp.]],$D185,Imput[[PERIODO Imp.]:[PERIODO Imp.]],DH$9)</f>
        <v>0</v>
      </c>
    </row>
    <row r="186" spans="1:112" ht="14.4" outlineLevel="1" thickBot="1" x14ac:dyDescent="0.35">
      <c r="A186" s="652" t="str">
        <f>IF(J174&gt;0,"Imprimir","")</f>
        <v>Imprimir</v>
      </c>
      <c r="B186" s="652"/>
      <c r="C186" s="699"/>
      <c r="D186" s="700"/>
      <c r="E186" s="700"/>
      <c r="F186" s="701"/>
      <c r="G186" s="702"/>
      <c r="H186" s="703"/>
      <c r="I186" s="704"/>
      <c r="J186" s="705"/>
      <c r="K186" s="667"/>
      <c r="L186" s="706"/>
      <c r="M186" s="707"/>
      <c r="N186" s="777"/>
      <c r="O186" s="777"/>
      <c r="P186" s="778"/>
      <c r="Q186" s="778"/>
      <c r="R186" s="708"/>
      <c r="S186" s="708"/>
      <c r="T186" s="779"/>
      <c r="U186" s="779"/>
      <c r="V186" s="778"/>
      <c r="W186" s="778"/>
      <c r="X186" s="708"/>
      <c r="Y186" s="708"/>
      <c r="Z186" s="708"/>
      <c r="AA186" s="708"/>
      <c r="AB186" s="708"/>
      <c r="AC186" s="708"/>
      <c r="AD186" s="708"/>
      <c r="AE186" s="708"/>
      <c r="AF186" s="708"/>
      <c r="AG186" s="708"/>
      <c r="AH186" s="708"/>
      <c r="AI186" s="708"/>
      <c r="AJ186" s="708"/>
      <c r="AK186" s="708"/>
      <c r="AL186" s="708"/>
      <c r="AM186" s="708"/>
      <c r="AN186" s="708"/>
      <c r="AO186" s="708"/>
      <c r="AP186" s="708"/>
      <c r="AQ186" s="708"/>
      <c r="AR186" s="708"/>
      <c r="AS186" s="708"/>
      <c r="AT186" s="708"/>
      <c r="AU186" s="708"/>
      <c r="AV186" s="708"/>
      <c r="AW186" s="708"/>
      <c r="AX186" s="708"/>
      <c r="AY186" s="708"/>
      <c r="AZ186" s="708"/>
      <c r="BA186" s="708"/>
      <c r="BB186" s="708"/>
      <c r="BC186" s="708"/>
      <c r="BD186" s="708"/>
      <c r="BE186" s="708"/>
      <c r="BF186" s="708"/>
      <c r="BG186" s="721"/>
      <c r="BH186" s="780"/>
      <c r="BI186" s="654"/>
      <c r="BJ186" s="709"/>
      <c r="BK186" s="710"/>
      <c r="BL186" s="654"/>
      <c r="BM186" s="731"/>
      <c r="BN186" s="701"/>
      <c r="BO186" s="701"/>
      <c r="BP186" s="701"/>
      <c r="BQ186" s="701"/>
      <c r="BR186" s="701"/>
      <c r="BS186" s="701"/>
      <c r="BT186" s="701"/>
      <c r="BU186" s="701"/>
      <c r="BV186" s="701"/>
      <c r="BW186" s="701"/>
      <c r="BX186" s="701"/>
      <c r="BY186" s="701"/>
      <c r="BZ186" s="701"/>
      <c r="CA186" s="701"/>
      <c r="CB186" s="701"/>
      <c r="CC186" s="701"/>
      <c r="CD186" s="701"/>
      <c r="CE186" s="701"/>
      <c r="CF186" s="701"/>
      <c r="CG186" s="701"/>
      <c r="CH186" s="701"/>
      <c r="CI186" s="701"/>
      <c r="CJ186" s="701"/>
      <c r="CK186" s="701"/>
      <c r="CL186" s="701"/>
      <c r="CM186" s="701"/>
      <c r="CN186" s="701"/>
      <c r="CO186" s="701"/>
      <c r="CP186" s="701"/>
      <c r="CQ186" s="701"/>
      <c r="CR186" s="701"/>
      <c r="CS186" s="701"/>
      <c r="CT186" s="701"/>
      <c r="CU186" s="701"/>
      <c r="CV186" s="701"/>
      <c r="CW186" s="701"/>
      <c r="CX186" s="701"/>
      <c r="CY186" s="701"/>
      <c r="CZ186" s="701"/>
      <c r="DA186" s="701"/>
      <c r="DB186" s="701"/>
      <c r="DC186" s="701"/>
      <c r="DD186" s="701"/>
      <c r="DE186" s="701"/>
      <c r="DF186" s="701"/>
      <c r="DG186" s="701"/>
      <c r="DH186" s="710"/>
    </row>
    <row r="187" spans="1:112" ht="14.4" hidden="1" thickBot="1" x14ac:dyDescent="0.35">
      <c r="A187" s="652" t="str">
        <f>IF(J187&gt;0,"Imprimir","")</f>
        <v/>
      </c>
      <c r="B187" s="652"/>
      <c r="C187" s="711"/>
      <c r="D187" s="712" t="s">
        <v>453</v>
      </c>
      <c r="E187" s="712" t="s">
        <v>507</v>
      </c>
      <c r="F187" s="712"/>
      <c r="G187" s="713"/>
      <c r="H187" s="712"/>
      <c r="I187" s="714"/>
      <c r="J187" s="715">
        <f>SUBTOTAL(9,J190:J209)</f>
        <v>0</v>
      </c>
      <c r="K187" s="658"/>
      <c r="L187" s="770">
        <f t="shared" ref="L187:BG187" si="87">SUMPRODUCT($J190:$J209,L190:L209)</f>
        <v>0</v>
      </c>
      <c r="M187" s="771">
        <f t="shared" si="87"/>
        <v>0</v>
      </c>
      <c r="N187" s="771">
        <f t="shared" si="87"/>
        <v>0</v>
      </c>
      <c r="O187" s="771">
        <f t="shared" si="87"/>
        <v>0</v>
      </c>
      <c r="P187" s="771">
        <f t="shared" si="87"/>
        <v>0</v>
      </c>
      <c r="Q187" s="771">
        <f t="shared" si="87"/>
        <v>0</v>
      </c>
      <c r="R187" s="771">
        <f t="shared" si="87"/>
        <v>0</v>
      </c>
      <c r="S187" s="771">
        <f t="shared" si="87"/>
        <v>0</v>
      </c>
      <c r="T187" s="771">
        <f t="shared" si="87"/>
        <v>0</v>
      </c>
      <c r="U187" s="771">
        <f t="shared" si="87"/>
        <v>0</v>
      </c>
      <c r="V187" s="771">
        <f t="shared" si="87"/>
        <v>0</v>
      </c>
      <c r="W187" s="771">
        <f t="shared" si="87"/>
        <v>0</v>
      </c>
      <c r="X187" s="771">
        <f t="shared" si="87"/>
        <v>0</v>
      </c>
      <c r="Y187" s="771">
        <f t="shared" si="87"/>
        <v>0</v>
      </c>
      <c r="Z187" s="771">
        <f t="shared" si="87"/>
        <v>0</v>
      </c>
      <c r="AA187" s="771">
        <f t="shared" si="87"/>
        <v>0</v>
      </c>
      <c r="AB187" s="771">
        <f t="shared" si="87"/>
        <v>0</v>
      </c>
      <c r="AC187" s="771">
        <f t="shared" si="87"/>
        <v>0</v>
      </c>
      <c r="AD187" s="771">
        <f t="shared" si="87"/>
        <v>0</v>
      </c>
      <c r="AE187" s="771">
        <f t="shared" si="87"/>
        <v>0</v>
      </c>
      <c r="AF187" s="771">
        <f t="shared" si="87"/>
        <v>0</v>
      </c>
      <c r="AG187" s="771">
        <f t="shared" si="87"/>
        <v>0</v>
      </c>
      <c r="AH187" s="771">
        <f t="shared" si="87"/>
        <v>0</v>
      </c>
      <c r="AI187" s="771">
        <f t="shared" si="87"/>
        <v>0</v>
      </c>
      <c r="AJ187" s="771">
        <f t="shared" si="87"/>
        <v>0</v>
      </c>
      <c r="AK187" s="771">
        <f t="shared" si="87"/>
        <v>0</v>
      </c>
      <c r="AL187" s="771">
        <f t="shared" si="87"/>
        <v>0</v>
      </c>
      <c r="AM187" s="771">
        <f t="shared" si="87"/>
        <v>0</v>
      </c>
      <c r="AN187" s="771">
        <f t="shared" si="87"/>
        <v>0</v>
      </c>
      <c r="AO187" s="771">
        <f t="shared" si="87"/>
        <v>0</v>
      </c>
      <c r="AP187" s="771">
        <f t="shared" si="87"/>
        <v>0</v>
      </c>
      <c r="AQ187" s="771">
        <f t="shared" si="87"/>
        <v>0</v>
      </c>
      <c r="AR187" s="771">
        <f t="shared" si="87"/>
        <v>0</v>
      </c>
      <c r="AS187" s="771">
        <f t="shared" si="87"/>
        <v>0</v>
      </c>
      <c r="AT187" s="771">
        <f t="shared" si="87"/>
        <v>0</v>
      </c>
      <c r="AU187" s="771">
        <f t="shared" si="87"/>
        <v>0</v>
      </c>
      <c r="AV187" s="771">
        <f t="shared" si="87"/>
        <v>0</v>
      </c>
      <c r="AW187" s="771">
        <f t="shared" si="87"/>
        <v>0</v>
      </c>
      <c r="AX187" s="771">
        <f t="shared" si="87"/>
        <v>0</v>
      </c>
      <c r="AY187" s="771">
        <f t="shared" si="87"/>
        <v>0</v>
      </c>
      <c r="AZ187" s="771">
        <f t="shared" si="87"/>
        <v>0</v>
      </c>
      <c r="BA187" s="771">
        <f t="shared" si="87"/>
        <v>0</v>
      </c>
      <c r="BB187" s="771">
        <f t="shared" si="87"/>
        <v>0</v>
      </c>
      <c r="BC187" s="771">
        <f t="shared" si="87"/>
        <v>0</v>
      </c>
      <c r="BD187" s="771">
        <f t="shared" si="87"/>
        <v>0</v>
      </c>
      <c r="BE187" s="771">
        <f t="shared" si="87"/>
        <v>0</v>
      </c>
      <c r="BF187" s="771">
        <f t="shared" si="87"/>
        <v>0</v>
      </c>
      <c r="BG187" s="765">
        <f t="shared" si="87"/>
        <v>0</v>
      </c>
      <c r="BH187" s="776"/>
      <c r="BI187" s="654"/>
      <c r="BJ187" s="659">
        <f>IFERROR(13/J187,0)</f>
        <v>0</v>
      </c>
      <c r="BK187" s="660">
        <f>SUBTOTAL(9,BK188:BK209)</f>
        <v>0</v>
      </c>
      <c r="BL187" s="654"/>
      <c r="BM187" s="661">
        <f>SUBTOTAL(9,BM188:BM209)</f>
        <v>0</v>
      </c>
      <c r="BN187" s="662">
        <f>SUBTOTAL(9,BN188:BN209)</f>
        <v>0</v>
      </c>
      <c r="BO187" s="662">
        <f t="shared" ref="BO187:DH187" si="88">SUBTOTAL(9,BO188:BO209)</f>
        <v>0</v>
      </c>
      <c r="BP187" s="662">
        <f t="shared" si="88"/>
        <v>0</v>
      </c>
      <c r="BQ187" s="662">
        <f t="shared" si="88"/>
        <v>0</v>
      </c>
      <c r="BR187" s="662">
        <f t="shared" si="88"/>
        <v>0</v>
      </c>
      <c r="BS187" s="662">
        <f t="shared" si="88"/>
        <v>0</v>
      </c>
      <c r="BT187" s="662">
        <f t="shared" si="88"/>
        <v>0</v>
      </c>
      <c r="BU187" s="662">
        <f t="shared" si="88"/>
        <v>0</v>
      </c>
      <c r="BV187" s="662">
        <f t="shared" si="88"/>
        <v>0</v>
      </c>
      <c r="BW187" s="662">
        <f t="shared" si="88"/>
        <v>0</v>
      </c>
      <c r="BX187" s="662">
        <f t="shared" si="88"/>
        <v>0</v>
      </c>
      <c r="BY187" s="662">
        <f t="shared" si="88"/>
        <v>0</v>
      </c>
      <c r="BZ187" s="662">
        <f t="shared" si="88"/>
        <v>0</v>
      </c>
      <c r="CA187" s="662">
        <f t="shared" si="88"/>
        <v>0</v>
      </c>
      <c r="CB187" s="662">
        <f t="shared" si="88"/>
        <v>0</v>
      </c>
      <c r="CC187" s="662">
        <f t="shared" si="88"/>
        <v>0</v>
      </c>
      <c r="CD187" s="662">
        <f t="shared" si="88"/>
        <v>0</v>
      </c>
      <c r="CE187" s="662">
        <f t="shared" si="88"/>
        <v>0</v>
      </c>
      <c r="CF187" s="662">
        <f t="shared" si="88"/>
        <v>0</v>
      </c>
      <c r="CG187" s="662">
        <f t="shared" si="88"/>
        <v>0</v>
      </c>
      <c r="CH187" s="662">
        <f t="shared" si="88"/>
        <v>0</v>
      </c>
      <c r="CI187" s="662">
        <f t="shared" si="88"/>
        <v>0</v>
      </c>
      <c r="CJ187" s="662">
        <f t="shared" si="88"/>
        <v>0</v>
      </c>
      <c r="CK187" s="662">
        <f t="shared" si="88"/>
        <v>0</v>
      </c>
      <c r="CL187" s="662">
        <f t="shared" si="88"/>
        <v>0</v>
      </c>
      <c r="CM187" s="662">
        <f t="shared" si="88"/>
        <v>0</v>
      </c>
      <c r="CN187" s="662">
        <f t="shared" si="88"/>
        <v>0</v>
      </c>
      <c r="CO187" s="662">
        <f t="shared" si="88"/>
        <v>0</v>
      </c>
      <c r="CP187" s="662">
        <f t="shared" si="88"/>
        <v>0</v>
      </c>
      <c r="CQ187" s="662">
        <f t="shared" si="88"/>
        <v>0</v>
      </c>
      <c r="CR187" s="662">
        <f t="shared" si="88"/>
        <v>0</v>
      </c>
      <c r="CS187" s="662">
        <f t="shared" si="88"/>
        <v>0</v>
      </c>
      <c r="CT187" s="662">
        <f t="shared" si="88"/>
        <v>0</v>
      </c>
      <c r="CU187" s="662">
        <f t="shared" si="88"/>
        <v>0</v>
      </c>
      <c r="CV187" s="662">
        <f t="shared" si="88"/>
        <v>0</v>
      </c>
      <c r="CW187" s="662">
        <f t="shared" si="88"/>
        <v>0</v>
      </c>
      <c r="CX187" s="662">
        <f t="shared" si="88"/>
        <v>0</v>
      </c>
      <c r="CY187" s="662">
        <f t="shared" si="88"/>
        <v>0</v>
      </c>
      <c r="CZ187" s="662">
        <f t="shared" si="88"/>
        <v>0</v>
      </c>
      <c r="DA187" s="662">
        <f t="shared" si="88"/>
        <v>0</v>
      </c>
      <c r="DB187" s="662">
        <f t="shared" si="88"/>
        <v>0</v>
      </c>
      <c r="DC187" s="662">
        <f t="shared" si="88"/>
        <v>0</v>
      </c>
      <c r="DD187" s="662">
        <f t="shared" si="88"/>
        <v>0</v>
      </c>
      <c r="DE187" s="662">
        <f t="shared" si="88"/>
        <v>0</v>
      </c>
      <c r="DF187" s="662">
        <f t="shared" si="88"/>
        <v>0</v>
      </c>
      <c r="DG187" s="662">
        <f t="shared" si="88"/>
        <v>0</v>
      </c>
      <c r="DH187" s="663">
        <f t="shared" si="88"/>
        <v>0</v>
      </c>
    </row>
    <row r="188" spans="1:112" s="105" customFormat="1" ht="14.4" hidden="1" outlineLevel="1" thickBot="1" x14ac:dyDescent="0.35">
      <c r="A188" s="66" t="str">
        <f>IF(J187&gt;0,"Imprimir","")</f>
        <v/>
      </c>
      <c r="B188" s="101"/>
      <c r="C188" s="102"/>
      <c r="D188" s="103"/>
      <c r="E188" s="103"/>
      <c r="F188" s="103" t="s">
        <v>472</v>
      </c>
      <c r="G188" s="607" t="s">
        <v>508</v>
      </c>
      <c r="H188" s="103" t="str">
        <f>H15</f>
        <v>Cantidad</v>
      </c>
      <c r="I188" s="103" t="s">
        <v>509</v>
      </c>
      <c r="J188" s="104" t="s">
        <v>29</v>
      </c>
      <c r="K188" s="118"/>
      <c r="L188" s="745"/>
      <c r="M188" s="741"/>
      <c r="N188" s="741"/>
      <c r="O188" s="741"/>
      <c r="P188" s="741"/>
      <c r="Q188" s="741"/>
      <c r="R188" s="741"/>
      <c r="S188" s="741"/>
      <c r="T188" s="741"/>
      <c r="U188" s="741"/>
      <c r="V188" s="741"/>
      <c r="W188" s="741"/>
      <c r="X188" s="741"/>
      <c r="Y188" s="741"/>
      <c r="Z188" s="741"/>
      <c r="AA188" s="741"/>
      <c r="AB188" s="741"/>
      <c r="AC188" s="741"/>
      <c r="AD188" s="741"/>
      <c r="AE188" s="741"/>
      <c r="AF188" s="741"/>
      <c r="AG188" s="741"/>
      <c r="AH188" s="741"/>
      <c r="AI188" s="741"/>
      <c r="AJ188" s="741"/>
      <c r="AK188" s="741"/>
      <c r="AL188" s="741"/>
      <c r="AM188" s="741"/>
      <c r="AN188" s="741"/>
      <c r="AO188" s="741"/>
      <c r="AP188" s="741"/>
      <c r="AQ188" s="741"/>
      <c r="AR188" s="741"/>
      <c r="AS188" s="741"/>
      <c r="AT188" s="741"/>
      <c r="AU188" s="741"/>
      <c r="AV188" s="741"/>
      <c r="AW188" s="741"/>
      <c r="AX188" s="741"/>
      <c r="AY188" s="741"/>
      <c r="AZ188" s="741"/>
      <c r="BA188" s="741"/>
      <c r="BB188" s="741"/>
      <c r="BC188" s="741"/>
      <c r="BD188" s="741"/>
      <c r="BE188" s="741"/>
      <c r="BF188" s="741"/>
      <c r="BG188" s="746"/>
      <c r="BH188" s="595"/>
      <c r="BI188" s="119"/>
      <c r="BJ188" s="161"/>
      <c r="BK188" s="159"/>
      <c r="BL188" s="119"/>
      <c r="BM188" s="151"/>
      <c r="BN188" s="103"/>
      <c r="BO188" s="103"/>
      <c r="BP188" s="103"/>
      <c r="BQ188" s="103"/>
      <c r="BR188" s="103"/>
      <c r="BS188" s="103"/>
      <c r="BT188" s="103"/>
      <c r="BU188" s="103"/>
      <c r="BV188" s="103"/>
      <c r="BW188" s="103"/>
      <c r="BX188" s="103"/>
      <c r="BY188" s="103"/>
      <c r="BZ188" s="103"/>
      <c r="CA188" s="103"/>
      <c r="CB188" s="103"/>
      <c r="CC188" s="103"/>
      <c r="CD188" s="103"/>
      <c r="CE188" s="103"/>
      <c r="CF188" s="103"/>
      <c r="CG188" s="103"/>
      <c r="CH188" s="103"/>
      <c r="CI188" s="103"/>
      <c r="CJ188" s="103"/>
      <c r="CK188" s="103"/>
      <c r="CL188" s="103"/>
      <c r="CM188" s="103"/>
      <c r="CN188" s="103"/>
      <c r="CO188" s="103"/>
      <c r="CP188" s="103"/>
      <c r="CQ188" s="103"/>
      <c r="CR188" s="103"/>
      <c r="CS188" s="103"/>
      <c r="CT188" s="103"/>
      <c r="CU188" s="103"/>
      <c r="CV188" s="103"/>
      <c r="CW188" s="103"/>
      <c r="CX188" s="103"/>
      <c r="CY188" s="103"/>
      <c r="CZ188" s="103"/>
      <c r="DA188" s="103"/>
      <c r="DB188" s="103"/>
      <c r="DC188" s="103"/>
      <c r="DD188" s="103"/>
      <c r="DE188" s="103"/>
      <c r="DF188" s="103"/>
      <c r="DG188" s="103"/>
      <c r="DH188" s="104"/>
    </row>
    <row r="189" spans="1:112" ht="16.2" hidden="1" outlineLevel="1" thickBot="1" x14ac:dyDescent="0.35">
      <c r="A189" s="66" t="str">
        <f t="shared" ref="A189" si="89">IF(J189&gt;0,"Imprimir","")</f>
        <v/>
      </c>
      <c r="C189" s="106"/>
      <c r="D189" s="318"/>
      <c r="E189" s="107"/>
      <c r="F189" s="108"/>
      <c r="G189" s="609"/>
      <c r="H189" s="109"/>
      <c r="I189" s="110"/>
      <c r="J189" s="219">
        <f>SUBTOTAL(9,J190:J209)</f>
        <v>0</v>
      </c>
      <c r="K189" s="111"/>
      <c r="L189" s="747"/>
      <c r="M189" s="742"/>
      <c r="N189" s="742"/>
      <c r="O189" s="742"/>
      <c r="P189" s="742"/>
      <c r="Q189" s="742"/>
      <c r="R189" s="742"/>
      <c r="S189" s="742"/>
      <c r="T189" s="742"/>
      <c r="U189" s="742"/>
      <c r="V189" s="742"/>
      <c r="W189" s="742"/>
      <c r="X189" s="742"/>
      <c r="Y189" s="742"/>
      <c r="Z189" s="742"/>
      <c r="AA189" s="742"/>
      <c r="AB189" s="742"/>
      <c r="AC189" s="742"/>
      <c r="AD189" s="742"/>
      <c r="AE189" s="742"/>
      <c r="AF189" s="742"/>
      <c r="AG189" s="742"/>
      <c r="AH189" s="742"/>
      <c r="AI189" s="742"/>
      <c r="AJ189" s="742"/>
      <c r="AK189" s="742"/>
      <c r="AL189" s="742"/>
      <c r="AM189" s="742"/>
      <c r="AN189" s="742"/>
      <c r="AO189" s="742"/>
      <c r="AP189" s="742"/>
      <c r="AQ189" s="742"/>
      <c r="AR189" s="742"/>
      <c r="AS189" s="742"/>
      <c r="AT189" s="742"/>
      <c r="AU189" s="742"/>
      <c r="AV189" s="742"/>
      <c r="AW189" s="742"/>
      <c r="AX189" s="742"/>
      <c r="AY189" s="742"/>
      <c r="AZ189" s="742"/>
      <c r="BA189" s="742"/>
      <c r="BB189" s="742"/>
      <c r="BC189" s="742"/>
      <c r="BD189" s="742"/>
      <c r="BE189" s="742"/>
      <c r="BF189" s="742"/>
      <c r="BG189" s="748"/>
      <c r="BH189" s="590"/>
      <c r="BI189" s="68"/>
      <c r="BJ189" s="162"/>
      <c r="BK189" s="160"/>
      <c r="BL189" s="68"/>
      <c r="BM189" s="512"/>
      <c r="BN189" s="513"/>
      <c r="BO189" s="513"/>
      <c r="BP189" s="513"/>
      <c r="BQ189" s="513"/>
      <c r="BR189" s="513"/>
      <c r="BS189" s="513"/>
      <c r="BT189" s="513"/>
      <c r="BU189" s="513"/>
      <c r="BV189" s="513"/>
      <c r="BW189" s="513"/>
      <c r="BX189" s="513"/>
      <c r="BY189" s="513"/>
      <c r="BZ189" s="513"/>
      <c r="CA189" s="513"/>
      <c r="CB189" s="513"/>
      <c r="CC189" s="513"/>
      <c r="CD189" s="513"/>
      <c r="CE189" s="513"/>
      <c r="CF189" s="513"/>
      <c r="CG189" s="513"/>
      <c r="CH189" s="513"/>
      <c r="CI189" s="513"/>
      <c r="CJ189" s="513"/>
      <c r="CK189" s="513"/>
      <c r="CL189" s="513"/>
      <c r="CM189" s="513"/>
      <c r="CN189" s="513"/>
      <c r="CO189" s="513"/>
      <c r="CP189" s="513"/>
      <c r="CQ189" s="513"/>
      <c r="CR189" s="513"/>
      <c r="CS189" s="513"/>
      <c r="CT189" s="513"/>
      <c r="CU189" s="513"/>
      <c r="CV189" s="513"/>
      <c r="CW189" s="513"/>
      <c r="CX189" s="513"/>
      <c r="CY189" s="513"/>
      <c r="CZ189" s="513"/>
      <c r="DA189" s="513"/>
      <c r="DB189" s="513"/>
      <c r="DC189" s="513"/>
      <c r="DD189" s="513"/>
      <c r="DE189" s="513"/>
      <c r="DF189" s="513"/>
      <c r="DG189" s="513"/>
      <c r="DH189" s="514"/>
    </row>
    <row r="190" spans="1:112" ht="14.4" hidden="1" outlineLevel="1" thickBot="1" x14ac:dyDescent="0.35">
      <c r="A190" s="66" t="str">
        <f t="shared" ref="A190:A208" si="90">IF(J190="","",IF(J190=0,"","Imprimir"))</f>
        <v/>
      </c>
      <c r="C190" s="527"/>
      <c r="D190" s="528" t="s">
        <v>2290</v>
      </c>
      <c r="E190" s="528"/>
      <c r="F190" s="534"/>
      <c r="G190" s="529"/>
      <c r="H190" s="531"/>
      <c r="I190" s="849" t="str">
        <f t="shared" ref="I190:I208" si="91">IF(E190&gt;0,$J$5,"")</f>
        <v/>
      </c>
      <c r="J190" s="850" t="str">
        <f t="shared" ref="J190:J208" si="92">IFERROR(G190*H190*I190,"")</f>
        <v/>
      </c>
      <c r="K190" s="70"/>
      <c r="L190" s="853"/>
      <c r="M190" s="855"/>
      <c r="N190" s="855"/>
      <c r="O190" s="855"/>
      <c r="P190" s="855"/>
      <c r="Q190" s="855"/>
      <c r="R190" s="855"/>
      <c r="S190" s="855"/>
      <c r="T190" s="855"/>
      <c r="U190" s="855"/>
      <c r="V190" s="855"/>
      <c r="W190" s="855"/>
      <c r="X190" s="855"/>
      <c r="Y190" s="855"/>
      <c r="Z190" s="856"/>
      <c r="AA190" s="856"/>
      <c r="AB190" s="856"/>
      <c r="AC190" s="856"/>
      <c r="AD190" s="856"/>
      <c r="AE190" s="856"/>
      <c r="AF190" s="856"/>
      <c r="AG190" s="856"/>
      <c r="AH190" s="856"/>
      <c r="AI190" s="856"/>
      <c r="AJ190" s="856"/>
      <c r="AK190" s="856"/>
      <c r="AL190" s="856"/>
      <c r="AM190" s="856"/>
      <c r="AN190" s="856"/>
      <c r="AO190" s="856"/>
      <c r="AP190" s="856"/>
      <c r="AQ190" s="856"/>
      <c r="AR190" s="856"/>
      <c r="AS190" s="856"/>
      <c r="AT190" s="856"/>
      <c r="AU190" s="856"/>
      <c r="AV190" s="856"/>
      <c r="AW190" s="856"/>
      <c r="AX190" s="856"/>
      <c r="AY190" s="856"/>
      <c r="AZ190" s="856"/>
      <c r="BA190" s="856"/>
      <c r="BB190" s="856"/>
      <c r="BC190" s="856"/>
      <c r="BD190" s="856"/>
      <c r="BE190" s="856"/>
      <c r="BF190" s="856"/>
      <c r="BG190" s="857"/>
      <c r="BH190" s="590"/>
      <c r="BI190" s="70"/>
      <c r="BJ190" s="518">
        <f t="shared" ref="BJ190:BJ208" si="93">IFERROR(BK190/J190,0)</f>
        <v>0</v>
      </c>
      <c r="BK190" s="517">
        <f t="shared" ref="BK190:BK208" si="94">SUM(BM190:DH190)</f>
        <v>0</v>
      </c>
      <c r="BL190" s="68"/>
      <c r="BM190" s="515">
        <f>SUMIFS(Imput[[Importe Neto]:[Importe Neto]],Imput[[C. Imp.]:[C. Imp.]],$D190,Imput[[PERIODO Imp.]:[PERIODO Imp.]],BM$9)</f>
        <v>0</v>
      </c>
      <c r="BN190" s="516">
        <f>SUMIFS(Imput[[Importe Neto]:[Importe Neto]],Imput[[C. Imp.]:[C. Imp.]],$D190,Imput[[PERIODO Imp.]:[PERIODO Imp.]],BN$9)</f>
        <v>0</v>
      </c>
      <c r="BO190" s="516">
        <f>SUMIFS(Imput[[Importe Neto]:[Importe Neto]],Imput[[C. Imp.]:[C. Imp.]],$D190,Imput[[PERIODO Imp.]:[PERIODO Imp.]],BO$9)</f>
        <v>0</v>
      </c>
      <c r="BP190" s="516">
        <f>SUMIFS(Imput[[Importe Neto]:[Importe Neto]],Imput[[C. Imp.]:[C. Imp.]],$D190,Imput[[PERIODO Imp.]:[PERIODO Imp.]],BP$9)</f>
        <v>0</v>
      </c>
      <c r="BQ190" s="516">
        <f>SUMIFS(Imput[[Importe Neto]:[Importe Neto]],Imput[[C. Imp.]:[C. Imp.]],$D190,Imput[[PERIODO Imp.]:[PERIODO Imp.]],BQ$9)</f>
        <v>0</v>
      </c>
      <c r="BR190" s="516">
        <f>SUMIFS(Imput[[Importe Neto]:[Importe Neto]],Imput[[C. Imp.]:[C. Imp.]],$D190,Imput[[PERIODO Imp.]:[PERIODO Imp.]],BR$9)</f>
        <v>0</v>
      </c>
      <c r="BS190" s="516">
        <f>SUMIFS(Imput[[Importe Neto]:[Importe Neto]],Imput[[C. Imp.]:[C. Imp.]],$D190,Imput[[PERIODO Imp.]:[PERIODO Imp.]],BS$9)</f>
        <v>0</v>
      </c>
      <c r="BT190" s="516">
        <f>SUMIFS(Imput[[Importe Neto]:[Importe Neto]],Imput[[C. Imp.]:[C. Imp.]],$D190,Imput[[PERIODO Imp.]:[PERIODO Imp.]],BT$9)</f>
        <v>0</v>
      </c>
      <c r="BU190" s="516">
        <f>SUMIFS(Imput[[Importe Neto]:[Importe Neto]],Imput[[C. Imp.]:[C. Imp.]],$D190,Imput[[PERIODO Imp.]:[PERIODO Imp.]],BU$9)</f>
        <v>0</v>
      </c>
      <c r="BV190" s="516">
        <f>SUMIFS(Imput[[Importe Neto]:[Importe Neto]],Imput[[C. Imp.]:[C. Imp.]],$D190,Imput[[PERIODO Imp.]:[PERIODO Imp.]],BV$9)</f>
        <v>0</v>
      </c>
      <c r="BW190" s="516">
        <f>SUMIFS(Imput[[Importe Neto]:[Importe Neto]],Imput[[C. Imp.]:[C. Imp.]],$D190,Imput[[PERIODO Imp.]:[PERIODO Imp.]],BW$9)</f>
        <v>0</v>
      </c>
      <c r="BX190" s="516">
        <f>SUMIFS(Imput[[Importe Neto]:[Importe Neto]],Imput[[C. Imp.]:[C. Imp.]],$D190,Imput[[PERIODO Imp.]:[PERIODO Imp.]],BX$9)</f>
        <v>0</v>
      </c>
      <c r="BY190" s="516">
        <f>SUMIFS(Imput[[Importe Neto]:[Importe Neto]],Imput[[C. Imp.]:[C. Imp.]],$D190,Imput[[PERIODO Imp.]:[PERIODO Imp.]],BY$9)</f>
        <v>0</v>
      </c>
      <c r="BZ190" s="516">
        <f>SUMIFS(Imput[[Importe Neto]:[Importe Neto]],Imput[[C. Imp.]:[C. Imp.]],$D190,Imput[[PERIODO Imp.]:[PERIODO Imp.]],BZ$9)</f>
        <v>0</v>
      </c>
      <c r="CA190" s="516">
        <f>SUMIFS(Imput[[Importe Neto]:[Importe Neto]],Imput[[C. Imp.]:[C. Imp.]],$D190,Imput[[PERIODO Imp.]:[PERIODO Imp.]],CA$9)</f>
        <v>0</v>
      </c>
      <c r="CB190" s="516">
        <f>SUMIFS(Imput[[Importe Neto]:[Importe Neto]],Imput[[C. Imp.]:[C. Imp.]],$D190,Imput[[PERIODO Imp.]:[PERIODO Imp.]],CB$9)</f>
        <v>0</v>
      </c>
      <c r="CC190" s="516">
        <f>SUMIFS(Imput[[Importe Neto]:[Importe Neto]],Imput[[C. Imp.]:[C. Imp.]],$D190,Imput[[PERIODO Imp.]:[PERIODO Imp.]],CC$9)</f>
        <v>0</v>
      </c>
      <c r="CD190" s="516">
        <f>SUMIFS(Imput[[Importe Neto]:[Importe Neto]],Imput[[C. Imp.]:[C. Imp.]],$D190,Imput[[PERIODO Imp.]:[PERIODO Imp.]],CD$9)</f>
        <v>0</v>
      </c>
      <c r="CE190" s="516">
        <f>SUMIFS(Imput[[Importe Neto]:[Importe Neto]],Imput[[C. Imp.]:[C. Imp.]],$D190,Imput[[PERIODO Imp.]:[PERIODO Imp.]],CE$9)</f>
        <v>0</v>
      </c>
      <c r="CF190" s="516">
        <f>SUMIFS(Imput[[Importe Neto]:[Importe Neto]],Imput[[C. Imp.]:[C. Imp.]],$D190,Imput[[PERIODO Imp.]:[PERIODO Imp.]],CF$9)</f>
        <v>0</v>
      </c>
      <c r="CG190" s="516">
        <f>SUMIFS(Imput[[Importe Neto]:[Importe Neto]],Imput[[C. Imp.]:[C. Imp.]],$D190,Imput[[PERIODO Imp.]:[PERIODO Imp.]],CG$9)</f>
        <v>0</v>
      </c>
      <c r="CH190" s="516">
        <f>SUMIFS(Imput[[Importe Neto]:[Importe Neto]],Imput[[C. Imp.]:[C. Imp.]],$D190,Imput[[PERIODO Imp.]:[PERIODO Imp.]],CH$9)</f>
        <v>0</v>
      </c>
      <c r="CI190" s="516">
        <f>SUMIFS(Imput[[Importe Neto]:[Importe Neto]],Imput[[C. Imp.]:[C. Imp.]],$D190,Imput[[PERIODO Imp.]:[PERIODO Imp.]],CI$9)</f>
        <v>0</v>
      </c>
      <c r="CJ190" s="516">
        <f>SUMIFS(Imput[[Importe Neto]:[Importe Neto]],Imput[[C. Imp.]:[C. Imp.]],$D190,Imput[[PERIODO Imp.]:[PERIODO Imp.]],CJ$9)</f>
        <v>0</v>
      </c>
      <c r="CK190" s="516">
        <f>SUMIFS(Imput[[Importe Neto]:[Importe Neto]],Imput[[C. Imp.]:[C. Imp.]],$D190,Imput[[PERIODO Imp.]:[PERIODO Imp.]],CK$9)</f>
        <v>0</v>
      </c>
      <c r="CL190" s="516">
        <f>SUMIFS(Imput[[Importe Neto]:[Importe Neto]],Imput[[C. Imp.]:[C. Imp.]],$D190,Imput[[PERIODO Imp.]:[PERIODO Imp.]],CL$9)</f>
        <v>0</v>
      </c>
      <c r="CM190" s="516">
        <f>SUMIFS(Imput[[Importe Neto]:[Importe Neto]],Imput[[C. Imp.]:[C. Imp.]],$D190,Imput[[PERIODO Imp.]:[PERIODO Imp.]],CM$9)</f>
        <v>0</v>
      </c>
      <c r="CN190" s="516">
        <f>SUMIFS(Imput[[Importe Neto]:[Importe Neto]],Imput[[C. Imp.]:[C. Imp.]],$D190,Imput[[PERIODO Imp.]:[PERIODO Imp.]],CN$9)</f>
        <v>0</v>
      </c>
      <c r="CO190" s="516">
        <f>SUMIFS(Imput[[Importe Neto]:[Importe Neto]],Imput[[C. Imp.]:[C. Imp.]],$D190,Imput[[PERIODO Imp.]:[PERIODO Imp.]],CO$9)</f>
        <v>0</v>
      </c>
      <c r="CP190" s="516">
        <f>SUMIFS(Imput[[Importe Neto]:[Importe Neto]],Imput[[C. Imp.]:[C. Imp.]],$D190,Imput[[PERIODO Imp.]:[PERIODO Imp.]],CP$9)</f>
        <v>0</v>
      </c>
      <c r="CQ190" s="516">
        <f>SUMIFS(Imput[[Importe Neto]:[Importe Neto]],Imput[[C. Imp.]:[C. Imp.]],$D190,Imput[[PERIODO Imp.]:[PERIODO Imp.]],CQ$9)</f>
        <v>0</v>
      </c>
      <c r="CR190" s="516">
        <f>SUMIFS(Imput[[Importe Neto]:[Importe Neto]],Imput[[C. Imp.]:[C. Imp.]],$D190,Imput[[PERIODO Imp.]:[PERIODO Imp.]],CR$9)</f>
        <v>0</v>
      </c>
      <c r="CS190" s="516">
        <f>SUMIFS(Imput[[Importe Neto]:[Importe Neto]],Imput[[C. Imp.]:[C. Imp.]],$D190,Imput[[PERIODO Imp.]:[PERIODO Imp.]],CS$9)</f>
        <v>0</v>
      </c>
      <c r="CT190" s="516">
        <f>SUMIFS(Imput[[Importe Neto]:[Importe Neto]],Imput[[C. Imp.]:[C. Imp.]],$D190,Imput[[PERIODO Imp.]:[PERIODO Imp.]],CT$9)</f>
        <v>0</v>
      </c>
      <c r="CU190" s="516">
        <f>SUMIFS(Imput[[Importe Neto]:[Importe Neto]],Imput[[C. Imp.]:[C. Imp.]],$D190,Imput[[PERIODO Imp.]:[PERIODO Imp.]],CU$9)</f>
        <v>0</v>
      </c>
      <c r="CV190" s="516">
        <f>SUMIFS(Imput[[Importe Neto]:[Importe Neto]],Imput[[C. Imp.]:[C. Imp.]],$D190,Imput[[PERIODO Imp.]:[PERIODO Imp.]],CV$9)</f>
        <v>0</v>
      </c>
      <c r="CW190" s="516">
        <f>SUMIFS(Imput[[Importe Neto]:[Importe Neto]],Imput[[C. Imp.]:[C. Imp.]],$D190,Imput[[PERIODO Imp.]:[PERIODO Imp.]],CW$9)</f>
        <v>0</v>
      </c>
      <c r="CX190" s="516">
        <f>SUMIFS(Imput[[Importe Neto]:[Importe Neto]],Imput[[C. Imp.]:[C. Imp.]],$D190,Imput[[PERIODO Imp.]:[PERIODO Imp.]],CX$9)</f>
        <v>0</v>
      </c>
      <c r="CY190" s="516">
        <f>SUMIFS(Imput[[Importe Neto]:[Importe Neto]],Imput[[C. Imp.]:[C. Imp.]],$D190,Imput[[PERIODO Imp.]:[PERIODO Imp.]],CY$9)</f>
        <v>0</v>
      </c>
      <c r="CZ190" s="516">
        <f>SUMIFS(Imput[[Importe Neto]:[Importe Neto]],Imput[[C. Imp.]:[C. Imp.]],$D190,Imput[[PERIODO Imp.]:[PERIODO Imp.]],CZ$9)</f>
        <v>0</v>
      </c>
      <c r="DA190" s="516">
        <f>SUMIFS(Imput[[Importe Neto]:[Importe Neto]],Imput[[C. Imp.]:[C. Imp.]],$D190,Imput[[PERIODO Imp.]:[PERIODO Imp.]],DA$9)</f>
        <v>0</v>
      </c>
      <c r="DB190" s="516">
        <f>SUMIFS(Imput[[Importe Neto]:[Importe Neto]],Imput[[C. Imp.]:[C. Imp.]],$D190,Imput[[PERIODO Imp.]:[PERIODO Imp.]],DB$9)</f>
        <v>0</v>
      </c>
      <c r="DC190" s="516">
        <f>SUMIFS(Imput[[Importe Neto]:[Importe Neto]],Imput[[C. Imp.]:[C. Imp.]],$D190,Imput[[PERIODO Imp.]:[PERIODO Imp.]],DC$9)</f>
        <v>0</v>
      </c>
      <c r="DD190" s="516">
        <f>SUMIFS(Imput[[Importe Neto]:[Importe Neto]],Imput[[C. Imp.]:[C. Imp.]],$D190,Imput[[PERIODO Imp.]:[PERIODO Imp.]],DD$9)</f>
        <v>0</v>
      </c>
      <c r="DE190" s="516">
        <f>SUMIFS(Imput[[Importe Neto]:[Importe Neto]],Imput[[C. Imp.]:[C. Imp.]],$D190,Imput[[PERIODO Imp.]:[PERIODO Imp.]],DE$9)</f>
        <v>0</v>
      </c>
      <c r="DF190" s="516">
        <f>SUMIFS(Imput[[Importe Neto]:[Importe Neto]],Imput[[C. Imp.]:[C. Imp.]],$D190,Imput[[PERIODO Imp.]:[PERIODO Imp.]],DF$9)</f>
        <v>0</v>
      </c>
      <c r="DG190" s="516">
        <f>SUMIFS(Imput[[Importe Neto]:[Importe Neto]],Imput[[C. Imp.]:[C. Imp.]],$D190,Imput[[PERIODO Imp.]:[PERIODO Imp.]],DG$9)</f>
        <v>0</v>
      </c>
      <c r="DH190" s="616">
        <f>SUMIFS(Imput[[Importe Neto]:[Importe Neto]],Imput[[C. Imp.]:[C. Imp.]],$D190,Imput[[PERIODO Imp.]:[PERIODO Imp.]],DH$9)</f>
        <v>0</v>
      </c>
    </row>
    <row r="191" spans="1:112" ht="14.4" hidden="1" outlineLevel="1" thickBot="1" x14ac:dyDescent="0.35">
      <c r="A191" s="66" t="str">
        <f t="shared" si="90"/>
        <v/>
      </c>
      <c r="C191" s="527"/>
      <c r="D191" s="528" t="s">
        <v>2291</v>
      </c>
      <c r="E191" s="528"/>
      <c r="F191" s="534"/>
      <c r="G191" s="529"/>
      <c r="H191" s="531"/>
      <c r="I191" s="849" t="str">
        <f t="shared" si="91"/>
        <v/>
      </c>
      <c r="J191" s="850" t="str">
        <f t="shared" si="92"/>
        <v/>
      </c>
      <c r="K191" s="70"/>
      <c r="L191" s="853"/>
      <c r="M191" s="855"/>
      <c r="N191" s="855"/>
      <c r="O191" s="855"/>
      <c r="P191" s="855"/>
      <c r="Q191" s="855"/>
      <c r="R191" s="855"/>
      <c r="S191" s="855"/>
      <c r="T191" s="855"/>
      <c r="U191" s="855"/>
      <c r="V191" s="855"/>
      <c r="W191" s="855"/>
      <c r="X191" s="855"/>
      <c r="Y191" s="855"/>
      <c r="Z191" s="856"/>
      <c r="AA191" s="856"/>
      <c r="AB191" s="856"/>
      <c r="AC191" s="856"/>
      <c r="AD191" s="856"/>
      <c r="AE191" s="856"/>
      <c r="AF191" s="856"/>
      <c r="AG191" s="856"/>
      <c r="AH191" s="856"/>
      <c r="AI191" s="856"/>
      <c r="AJ191" s="856"/>
      <c r="AK191" s="856"/>
      <c r="AL191" s="856"/>
      <c r="AM191" s="856"/>
      <c r="AN191" s="856"/>
      <c r="AO191" s="856"/>
      <c r="AP191" s="856"/>
      <c r="AQ191" s="856"/>
      <c r="AR191" s="856"/>
      <c r="AS191" s="856"/>
      <c r="AT191" s="856"/>
      <c r="AU191" s="856"/>
      <c r="AV191" s="856"/>
      <c r="AW191" s="856"/>
      <c r="AX191" s="856"/>
      <c r="AY191" s="856"/>
      <c r="AZ191" s="856"/>
      <c r="BA191" s="856"/>
      <c r="BB191" s="856"/>
      <c r="BC191" s="856"/>
      <c r="BD191" s="856"/>
      <c r="BE191" s="856"/>
      <c r="BF191" s="856"/>
      <c r="BG191" s="857"/>
      <c r="BH191" s="590"/>
      <c r="BI191" s="70"/>
      <c r="BJ191" s="518">
        <f t="shared" si="93"/>
        <v>0</v>
      </c>
      <c r="BK191" s="517">
        <f t="shared" si="94"/>
        <v>0</v>
      </c>
      <c r="BL191" s="68"/>
      <c r="BM191" s="515">
        <f>SUMIFS(Imput[[Importe Neto]:[Importe Neto]],Imput[[C. Imp.]:[C. Imp.]],$D191,Imput[[PERIODO Imp.]:[PERIODO Imp.]],BM$9)</f>
        <v>0</v>
      </c>
      <c r="BN191" s="516">
        <f>SUMIFS(Imput[[Importe Neto]:[Importe Neto]],Imput[[C. Imp.]:[C. Imp.]],$D191,Imput[[PERIODO Imp.]:[PERIODO Imp.]],BN$9)</f>
        <v>0</v>
      </c>
      <c r="BO191" s="516">
        <f>SUMIFS(Imput[[Importe Neto]:[Importe Neto]],Imput[[C. Imp.]:[C. Imp.]],$D191,Imput[[PERIODO Imp.]:[PERIODO Imp.]],BO$9)</f>
        <v>0</v>
      </c>
      <c r="BP191" s="516">
        <f>SUMIFS(Imput[[Importe Neto]:[Importe Neto]],Imput[[C. Imp.]:[C. Imp.]],$D191,Imput[[PERIODO Imp.]:[PERIODO Imp.]],BP$9)</f>
        <v>0</v>
      </c>
      <c r="BQ191" s="516">
        <f>SUMIFS(Imput[[Importe Neto]:[Importe Neto]],Imput[[C. Imp.]:[C. Imp.]],$D191,Imput[[PERIODO Imp.]:[PERIODO Imp.]],BQ$9)</f>
        <v>0</v>
      </c>
      <c r="BR191" s="516">
        <f>SUMIFS(Imput[[Importe Neto]:[Importe Neto]],Imput[[C. Imp.]:[C. Imp.]],$D191,Imput[[PERIODO Imp.]:[PERIODO Imp.]],BR$9)</f>
        <v>0</v>
      </c>
      <c r="BS191" s="516">
        <f>SUMIFS(Imput[[Importe Neto]:[Importe Neto]],Imput[[C. Imp.]:[C. Imp.]],$D191,Imput[[PERIODO Imp.]:[PERIODO Imp.]],BS$9)</f>
        <v>0</v>
      </c>
      <c r="BT191" s="516">
        <f>SUMIFS(Imput[[Importe Neto]:[Importe Neto]],Imput[[C. Imp.]:[C. Imp.]],$D191,Imput[[PERIODO Imp.]:[PERIODO Imp.]],BT$9)</f>
        <v>0</v>
      </c>
      <c r="BU191" s="516">
        <f>SUMIFS(Imput[[Importe Neto]:[Importe Neto]],Imput[[C. Imp.]:[C. Imp.]],$D191,Imput[[PERIODO Imp.]:[PERIODO Imp.]],BU$9)</f>
        <v>0</v>
      </c>
      <c r="BV191" s="516">
        <f>SUMIFS(Imput[[Importe Neto]:[Importe Neto]],Imput[[C. Imp.]:[C. Imp.]],$D191,Imput[[PERIODO Imp.]:[PERIODO Imp.]],BV$9)</f>
        <v>0</v>
      </c>
      <c r="BW191" s="516">
        <f>SUMIFS(Imput[[Importe Neto]:[Importe Neto]],Imput[[C. Imp.]:[C. Imp.]],$D191,Imput[[PERIODO Imp.]:[PERIODO Imp.]],BW$9)</f>
        <v>0</v>
      </c>
      <c r="BX191" s="516">
        <f>SUMIFS(Imput[[Importe Neto]:[Importe Neto]],Imput[[C. Imp.]:[C. Imp.]],$D191,Imput[[PERIODO Imp.]:[PERIODO Imp.]],BX$9)</f>
        <v>0</v>
      </c>
      <c r="BY191" s="516">
        <f>SUMIFS(Imput[[Importe Neto]:[Importe Neto]],Imput[[C. Imp.]:[C. Imp.]],$D191,Imput[[PERIODO Imp.]:[PERIODO Imp.]],BY$9)</f>
        <v>0</v>
      </c>
      <c r="BZ191" s="516">
        <f>SUMIFS(Imput[[Importe Neto]:[Importe Neto]],Imput[[C. Imp.]:[C. Imp.]],$D191,Imput[[PERIODO Imp.]:[PERIODO Imp.]],BZ$9)</f>
        <v>0</v>
      </c>
      <c r="CA191" s="516">
        <f>SUMIFS(Imput[[Importe Neto]:[Importe Neto]],Imput[[C. Imp.]:[C. Imp.]],$D191,Imput[[PERIODO Imp.]:[PERIODO Imp.]],CA$9)</f>
        <v>0</v>
      </c>
      <c r="CB191" s="516">
        <f>SUMIFS(Imput[[Importe Neto]:[Importe Neto]],Imput[[C. Imp.]:[C. Imp.]],$D191,Imput[[PERIODO Imp.]:[PERIODO Imp.]],CB$9)</f>
        <v>0</v>
      </c>
      <c r="CC191" s="516">
        <f>SUMIFS(Imput[[Importe Neto]:[Importe Neto]],Imput[[C. Imp.]:[C. Imp.]],$D191,Imput[[PERIODO Imp.]:[PERIODO Imp.]],CC$9)</f>
        <v>0</v>
      </c>
      <c r="CD191" s="516">
        <f>SUMIFS(Imput[[Importe Neto]:[Importe Neto]],Imput[[C. Imp.]:[C. Imp.]],$D191,Imput[[PERIODO Imp.]:[PERIODO Imp.]],CD$9)</f>
        <v>0</v>
      </c>
      <c r="CE191" s="516">
        <f>SUMIFS(Imput[[Importe Neto]:[Importe Neto]],Imput[[C. Imp.]:[C. Imp.]],$D191,Imput[[PERIODO Imp.]:[PERIODO Imp.]],CE$9)</f>
        <v>0</v>
      </c>
      <c r="CF191" s="516">
        <f>SUMIFS(Imput[[Importe Neto]:[Importe Neto]],Imput[[C. Imp.]:[C. Imp.]],$D191,Imput[[PERIODO Imp.]:[PERIODO Imp.]],CF$9)</f>
        <v>0</v>
      </c>
      <c r="CG191" s="516">
        <f>SUMIFS(Imput[[Importe Neto]:[Importe Neto]],Imput[[C. Imp.]:[C. Imp.]],$D191,Imput[[PERIODO Imp.]:[PERIODO Imp.]],CG$9)</f>
        <v>0</v>
      </c>
      <c r="CH191" s="516">
        <f>SUMIFS(Imput[[Importe Neto]:[Importe Neto]],Imput[[C. Imp.]:[C. Imp.]],$D191,Imput[[PERIODO Imp.]:[PERIODO Imp.]],CH$9)</f>
        <v>0</v>
      </c>
      <c r="CI191" s="516">
        <f>SUMIFS(Imput[[Importe Neto]:[Importe Neto]],Imput[[C. Imp.]:[C. Imp.]],$D191,Imput[[PERIODO Imp.]:[PERIODO Imp.]],CI$9)</f>
        <v>0</v>
      </c>
      <c r="CJ191" s="516">
        <f>SUMIFS(Imput[[Importe Neto]:[Importe Neto]],Imput[[C. Imp.]:[C. Imp.]],$D191,Imput[[PERIODO Imp.]:[PERIODO Imp.]],CJ$9)</f>
        <v>0</v>
      </c>
      <c r="CK191" s="516">
        <f>SUMIFS(Imput[[Importe Neto]:[Importe Neto]],Imput[[C. Imp.]:[C. Imp.]],$D191,Imput[[PERIODO Imp.]:[PERIODO Imp.]],CK$9)</f>
        <v>0</v>
      </c>
      <c r="CL191" s="516">
        <f>SUMIFS(Imput[[Importe Neto]:[Importe Neto]],Imput[[C. Imp.]:[C. Imp.]],$D191,Imput[[PERIODO Imp.]:[PERIODO Imp.]],CL$9)</f>
        <v>0</v>
      </c>
      <c r="CM191" s="516">
        <f>SUMIFS(Imput[[Importe Neto]:[Importe Neto]],Imput[[C. Imp.]:[C. Imp.]],$D191,Imput[[PERIODO Imp.]:[PERIODO Imp.]],CM$9)</f>
        <v>0</v>
      </c>
      <c r="CN191" s="516">
        <f>SUMIFS(Imput[[Importe Neto]:[Importe Neto]],Imput[[C. Imp.]:[C. Imp.]],$D191,Imput[[PERIODO Imp.]:[PERIODO Imp.]],CN$9)</f>
        <v>0</v>
      </c>
      <c r="CO191" s="516">
        <f>SUMIFS(Imput[[Importe Neto]:[Importe Neto]],Imput[[C. Imp.]:[C. Imp.]],$D191,Imput[[PERIODO Imp.]:[PERIODO Imp.]],CO$9)</f>
        <v>0</v>
      </c>
      <c r="CP191" s="516">
        <f>SUMIFS(Imput[[Importe Neto]:[Importe Neto]],Imput[[C. Imp.]:[C. Imp.]],$D191,Imput[[PERIODO Imp.]:[PERIODO Imp.]],CP$9)</f>
        <v>0</v>
      </c>
      <c r="CQ191" s="516">
        <f>SUMIFS(Imput[[Importe Neto]:[Importe Neto]],Imput[[C. Imp.]:[C. Imp.]],$D191,Imput[[PERIODO Imp.]:[PERIODO Imp.]],CQ$9)</f>
        <v>0</v>
      </c>
      <c r="CR191" s="516">
        <f>SUMIFS(Imput[[Importe Neto]:[Importe Neto]],Imput[[C. Imp.]:[C. Imp.]],$D191,Imput[[PERIODO Imp.]:[PERIODO Imp.]],CR$9)</f>
        <v>0</v>
      </c>
      <c r="CS191" s="516">
        <f>SUMIFS(Imput[[Importe Neto]:[Importe Neto]],Imput[[C. Imp.]:[C. Imp.]],$D191,Imput[[PERIODO Imp.]:[PERIODO Imp.]],CS$9)</f>
        <v>0</v>
      </c>
      <c r="CT191" s="516">
        <f>SUMIFS(Imput[[Importe Neto]:[Importe Neto]],Imput[[C. Imp.]:[C. Imp.]],$D191,Imput[[PERIODO Imp.]:[PERIODO Imp.]],CT$9)</f>
        <v>0</v>
      </c>
      <c r="CU191" s="516">
        <f>SUMIFS(Imput[[Importe Neto]:[Importe Neto]],Imput[[C. Imp.]:[C. Imp.]],$D191,Imput[[PERIODO Imp.]:[PERIODO Imp.]],CU$9)</f>
        <v>0</v>
      </c>
      <c r="CV191" s="516">
        <f>SUMIFS(Imput[[Importe Neto]:[Importe Neto]],Imput[[C. Imp.]:[C. Imp.]],$D191,Imput[[PERIODO Imp.]:[PERIODO Imp.]],CV$9)</f>
        <v>0</v>
      </c>
      <c r="CW191" s="516">
        <f>SUMIFS(Imput[[Importe Neto]:[Importe Neto]],Imput[[C. Imp.]:[C. Imp.]],$D191,Imput[[PERIODO Imp.]:[PERIODO Imp.]],CW$9)</f>
        <v>0</v>
      </c>
      <c r="CX191" s="516">
        <f>SUMIFS(Imput[[Importe Neto]:[Importe Neto]],Imput[[C. Imp.]:[C. Imp.]],$D191,Imput[[PERIODO Imp.]:[PERIODO Imp.]],CX$9)</f>
        <v>0</v>
      </c>
      <c r="CY191" s="516">
        <f>SUMIFS(Imput[[Importe Neto]:[Importe Neto]],Imput[[C. Imp.]:[C. Imp.]],$D191,Imput[[PERIODO Imp.]:[PERIODO Imp.]],CY$9)</f>
        <v>0</v>
      </c>
      <c r="CZ191" s="516">
        <f>SUMIFS(Imput[[Importe Neto]:[Importe Neto]],Imput[[C. Imp.]:[C. Imp.]],$D191,Imput[[PERIODO Imp.]:[PERIODO Imp.]],CZ$9)</f>
        <v>0</v>
      </c>
      <c r="DA191" s="516">
        <f>SUMIFS(Imput[[Importe Neto]:[Importe Neto]],Imput[[C. Imp.]:[C. Imp.]],$D191,Imput[[PERIODO Imp.]:[PERIODO Imp.]],DA$9)</f>
        <v>0</v>
      </c>
      <c r="DB191" s="516">
        <f>SUMIFS(Imput[[Importe Neto]:[Importe Neto]],Imput[[C. Imp.]:[C. Imp.]],$D191,Imput[[PERIODO Imp.]:[PERIODO Imp.]],DB$9)</f>
        <v>0</v>
      </c>
      <c r="DC191" s="516">
        <f>SUMIFS(Imput[[Importe Neto]:[Importe Neto]],Imput[[C. Imp.]:[C. Imp.]],$D191,Imput[[PERIODO Imp.]:[PERIODO Imp.]],DC$9)</f>
        <v>0</v>
      </c>
      <c r="DD191" s="516">
        <f>SUMIFS(Imput[[Importe Neto]:[Importe Neto]],Imput[[C. Imp.]:[C. Imp.]],$D191,Imput[[PERIODO Imp.]:[PERIODO Imp.]],DD$9)</f>
        <v>0</v>
      </c>
      <c r="DE191" s="516">
        <f>SUMIFS(Imput[[Importe Neto]:[Importe Neto]],Imput[[C. Imp.]:[C. Imp.]],$D191,Imput[[PERIODO Imp.]:[PERIODO Imp.]],DE$9)</f>
        <v>0</v>
      </c>
      <c r="DF191" s="516">
        <f>SUMIFS(Imput[[Importe Neto]:[Importe Neto]],Imput[[C. Imp.]:[C. Imp.]],$D191,Imput[[PERIODO Imp.]:[PERIODO Imp.]],DF$9)</f>
        <v>0</v>
      </c>
      <c r="DG191" s="516">
        <f>SUMIFS(Imput[[Importe Neto]:[Importe Neto]],Imput[[C. Imp.]:[C. Imp.]],$D191,Imput[[PERIODO Imp.]:[PERIODO Imp.]],DG$9)</f>
        <v>0</v>
      </c>
      <c r="DH191" s="616">
        <f>SUMIFS(Imput[[Importe Neto]:[Importe Neto]],Imput[[C. Imp.]:[C. Imp.]],$D191,Imput[[PERIODO Imp.]:[PERIODO Imp.]],DH$9)</f>
        <v>0</v>
      </c>
    </row>
    <row r="192" spans="1:112" ht="14.4" hidden="1" outlineLevel="1" thickBot="1" x14ac:dyDescent="0.35">
      <c r="A192" s="66" t="str">
        <f t="shared" si="90"/>
        <v/>
      </c>
      <c r="C192" s="527"/>
      <c r="D192" s="528" t="s">
        <v>2292</v>
      </c>
      <c r="E192" s="528"/>
      <c r="F192" s="534"/>
      <c r="G192" s="529"/>
      <c r="H192" s="531"/>
      <c r="I192" s="849" t="str">
        <f t="shared" si="91"/>
        <v/>
      </c>
      <c r="J192" s="850" t="str">
        <f t="shared" si="92"/>
        <v/>
      </c>
      <c r="K192" s="70"/>
      <c r="L192" s="853"/>
      <c r="M192" s="855"/>
      <c r="N192" s="855"/>
      <c r="O192" s="855"/>
      <c r="P192" s="855"/>
      <c r="Q192" s="855"/>
      <c r="R192" s="855"/>
      <c r="S192" s="855"/>
      <c r="T192" s="855"/>
      <c r="U192" s="855"/>
      <c r="V192" s="855"/>
      <c r="W192" s="855"/>
      <c r="X192" s="855"/>
      <c r="Y192" s="855"/>
      <c r="Z192" s="856"/>
      <c r="AA192" s="856"/>
      <c r="AB192" s="856"/>
      <c r="AC192" s="856"/>
      <c r="AD192" s="856"/>
      <c r="AE192" s="856"/>
      <c r="AF192" s="856"/>
      <c r="AG192" s="856"/>
      <c r="AH192" s="856"/>
      <c r="AI192" s="856"/>
      <c r="AJ192" s="856"/>
      <c r="AK192" s="856"/>
      <c r="AL192" s="856"/>
      <c r="AM192" s="856"/>
      <c r="AN192" s="856"/>
      <c r="AO192" s="856"/>
      <c r="AP192" s="856"/>
      <c r="AQ192" s="856"/>
      <c r="AR192" s="856"/>
      <c r="AS192" s="856"/>
      <c r="AT192" s="856"/>
      <c r="AU192" s="856"/>
      <c r="AV192" s="856"/>
      <c r="AW192" s="856"/>
      <c r="AX192" s="856"/>
      <c r="AY192" s="856"/>
      <c r="AZ192" s="856"/>
      <c r="BA192" s="856"/>
      <c r="BB192" s="856"/>
      <c r="BC192" s="856"/>
      <c r="BD192" s="856"/>
      <c r="BE192" s="856"/>
      <c r="BF192" s="856"/>
      <c r="BG192" s="857"/>
      <c r="BH192" s="590"/>
      <c r="BI192" s="70"/>
      <c r="BJ192" s="518">
        <f t="shared" si="93"/>
        <v>0</v>
      </c>
      <c r="BK192" s="517">
        <f t="shared" si="94"/>
        <v>0</v>
      </c>
      <c r="BL192" s="68"/>
      <c r="BM192" s="515">
        <f>SUMIFS(Imput[[Importe Neto]:[Importe Neto]],Imput[[C. Imp.]:[C. Imp.]],$D192,Imput[[PERIODO Imp.]:[PERIODO Imp.]],BM$9)</f>
        <v>0</v>
      </c>
      <c r="BN192" s="516">
        <f>SUMIFS(Imput[[Importe Neto]:[Importe Neto]],Imput[[C. Imp.]:[C. Imp.]],$D192,Imput[[PERIODO Imp.]:[PERIODO Imp.]],BN$9)</f>
        <v>0</v>
      </c>
      <c r="BO192" s="516">
        <f>SUMIFS(Imput[[Importe Neto]:[Importe Neto]],Imput[[C. Imp.]:[C. Imp.]],$D192,Imput[[PERIODO Imp.]:[PERIODO Imp.]],BO$9)</f>
        <v>0</v>
      </c>
      <c r="BP192" s="516">
        <f>SUMIFS(Imput[[Importe Neto]:[Importe Neto]],Imput[[C. Imp.]:[C. Imp.]],$D192,Imput[[PERIODO Imp.]:[PERIODO Imp.]],BP$9)</f>
        <v>0</v>
      </c>
      <c r="BQ192" s="516">
        <f>SUMIFS(Imput[[Importe Neto]:[Importe Neto]],Imput[[C. Imp.]:[C. Imp.]],$D192,Imput[[PERIODO Imp.]:[PERIODO Imp.]],BQ$9)</f>
        <v>0</v>
      </c>
      <c r="BR192" s="516">
        <f>SUMIFS(Imput[[Importe Neto]:[Importe Neto]],Imput[[C. Imp.]:[C. Imp.]],$D192,Imput[[PERIODO Imp.]:[PERIODO Imp.]],BR$9)</f>
        <v>0</v>
      </c>
      <c r="BS192" s="516">
        <f>SUMIFS(Imput[[Importe Neto]:[Importe Neto]],Imput[[C. Imp.]:[C. Imp.]],$D192,Imput[[PERIODO Imp.]:[PERIODO Imp.]],BS$9)</f>
        <v>0</v>
      </c>
      <c r="BT192" s="516">
        <f>SUMIFS(Imput[[Importe Neto]:[Importe Neto]],Imput[[C. Imp.]:[C. Imp.]],$D192,Imput[[PERIODO Imp.]:[PERIODO Imp.]],BT$9)</f>
        <v>0</v>
      </c>
      <c r="BU192" s="516">
        <f>SUMIFS(Imput[[Importe Neto]:[Importe Neto]],Imput[[C. Imp.]:[C. Imp.]],$D192,Imput[[PERIODO Imp.]:[PERIODO Imp.]],BU$9)</f>
        <v>0</v>
      </c>
      <c r="BV192" s="516">
        <f>SUMIFS(Imput[[Importe Neto]:[Importe Neto]],Imput[[C. Imp.]:[C. Imp.]],$D192,Imput[[PERIODO Imp.]:[PERIODO Imp.]],BV$9)</f>
        <v>0</v>
      </c>
      <c r="BW192" s="516">
        <f>SUMIFS(Imput[[Importe Neto]:[Importe Neto]],Imput[[C. Imp.]:[C. Imp.]],$D192,Imput[[PERIODO Imp.]:[PERIODO Imp.]],BW$9)</f>
        <v>0</v>
      </c>
      <c r="BX192" s="516">
        <f>SUMIFS(Imput[[Importe Neto]:[Importe Neto]],Imput[[C. Imp.]:[C. Imp.]],$D192,Imput[[PERIODO Imp.]:[PERIODO Imp.]],BX$9)</f>
        <v>0</v>
      </c>
      <c r="BY192" s="516">
        <f>SUMIFS(Imput[[Importe Neto]:[Importe Neto]],Imput[[C. Imp.]:[C. Imp.]],$D192,Imput[[PERIODO Imp.]:[PERIODO Imp.]],BY$9)</f>
        <v>0</v>
      </c>
      <c r="BZ192" s="516">
        <f>SUMIFS(Imput[[Importe Neto]:[Importe Neto]],Imput[[C. Imp.]:[C. Imp.]],$D192,Imput[[PERIODO Imp.]:[PERIODO Imp.]],BZ$9)</f>
        <v>0</v>
      </c>
      <c r="CA192" s="516">
        <f>SUMIFS(Imput[[Importe Neto]:[Importe Neto]],Imput[[C. Imp.]:[C. Imp.]],$D192,Imput[[PERIODO Imp.]:[PERIODO Imp.]],CA$9)</f>
        <v>0</v>
      </c>
      <c r="CB192" s="516">
        <f>SUMIFS(Imput[[Importe Neto]:[Importe Neto]],Imput[[C. Imp.]:[C. Imp.]],$D192,Imput[[PERIODO Imp.]:[PERIODO Imp.]],CB$9)</f>
        <v>0</v>
      </c>
      <c r="CC192" s="516">
        <f>SUMIFS(Imput[[Importe Neto]:[Importe Neto]],Imput[[C. Imp.]:[C. Imp.]],$D192,Imput[[PERIODO Imp.]:[PERIODO Imp.]],CC$9)</f>
        <v>0</v>
      </c>
      <c r="CD192" s="516">
        <f>SUMIFS(Imput[[Importe Neto]:[Importe Neto]],Imput[[C. Imp.]:[C. Imp.]],$D192,Imput[[PERIODO Imp.]:[PERIODO Imp.]],CD$9)</f>
        <v>0</v>
      </c>
      <c r="CE192" s="516">
        <f>SUMIFS(Imput[[Importe Neto]:[Importe Neto]],Imput[[C. Imp.]:[C. Imp.]],$D192,Imput[[PERIODO Imp.]:[PERIODO Imp.]],CE$9)</f>
        <v>0</v>
      </c>
      <c r="CF192" s="516">
        <f>SUMIFS(Imput[[Importe Neto]:[Importe Neto]],Imput[[C. Imp.]:[C. Imp.]],$D192,Imput[[PERIODO Imp.]:[PERIODO Imp.]],CF$9)</f>
        <v>0</v>
      </c>
      <c r="CG192" s="516">
        <f>SUMIFS(Imput[[Importe Neto]:[Importe Neto]],Imput[[C. Imp.]:[C. Imp.]],$D192,Imput[[PERIODO Imp.]:[PERIODO Imp.]],CG$9)</f>
        <v>0</v>
      </c>
      <c r="CH192" s="516">
        <f>SUMIFS(Imput[[Importe Neto]:[Importe Neto]],Imput[[C. Imp.]:[C. Imp.]],$D192,Imput[[PERIODO Imp.]:[PERIODO Imp.]],CH$9)</f>
        <v>0</v>
      </c>
      <c r="CI192" s="516">
        <f>SUMIFS(Imput[[Importe Neto]:[Importe Neto]],Imput[[C. Imp.]:[C. Imp.]],$D192,Imput[[PERIODO Imp.]:[PERIODO Imp.]],CI$9)</f>
        <v>0</v>
      </c>
      <c r="CJ192" s="516">
        <f>SUMIFS(Imput[[Importe Neto]:[Importe Neto]],Imput[[C. Imp.]:[C. Imp.]],$D192,Imput[[PERIODO Imp.]:[PERIODO Imp.]],CJ$9)</f>
        <v>0</v>
      </c>
      <c r="CK192" s="516">
        <f>SUMIFS(Imput[[Importe Neto]:[Importe Neto]],Imput[[C. Imp.]:[C. Imp.]],$D192,Imput[[PERIODO Imp.]:[PERIODO Imp.]],CK$9)</f>
        <v>0</v>
      </c>
      <c r="CL192" s="516">
        <f>SUMIFS(Imput[[Importe Neto]:[Importe Neto]],Imput[[C. Imp.]:[C. Imp.]],$D192,Imput[[PERIODO Imp.]:[PERIODO Imp.]],CL$9)</f>
        <v>0</v>
      </c>
      <c r="CM192" s="516">
        <f>SUMIFS(Imput[[Importe Neto]:[Importe Neto]],Imput[[C. Imp.]:[C. Imp.]],$D192,Imput[[PERIODO Imp.]:[PERIODO Imp.]],CM$9)</f>
        <v>0</v>
      </c>
      <c r="CN192" s="516">
        <f>SUMIFS(Imput[[Importe Neto]:[Importe Neto]],Imput[[C. Imp.]:[C. Imp.]],$D192,Imput[[PERIODO Imp.]:[PERIODO Imp.]],CN$9)</f>
        <v>0</v>
      </c>
      <c r="CO192" s="516">
        <f>SUMIFS(Imput[[Importe Neto]:[Importe Neto]],Imput[[C. Imp.]:[C. Imp.]],$D192,Imput[[PERIODO Imp.]:[PERIODO Imp.]],CO$9)</f>
        <v>0</v>
      </c>
      <c r="CP192" s="516">
        <f>SUMIFS(Imput[[Importe Neto]:[Importe Neto]],Imput[[C. Imp.]:[C. Imp.]],$D192,Imput[[PERIODO Imp.]:[PERIODO Imp.]],CP$9)</f>
        <v>0</v>
      </c>
      <c r="CQ192" s="516">
        <f>SUMIFS(Imput[[Importe Neto]:[Importe Neto]],Imput[[C. Imp.]:[C. Imp.]],$D192,Imput[[PERIODO Imp.]:[PERIODO Imp.]],CQ$9)</f>
        <v>0</v>
      </c>
      <c r="CR192" s="516">
        <f>SUMIFS(Imput[[Importe Neto]:[Importe Neto]],Imput[[C. Imp.]:[C. Imp.]],$D192,Imput[[PERIODO Imp.]:[PERIODO Imp.]],CR$9)</f>
        <v>0</v>
      </c>
      <c r="CS192" s="516">
        <f>SUMIFS(Imput[[Importe Neto]:[Importe Neto]],Imput[[C. Imp.]:[C. Imp.]],$D192,Imput[[PERIODO Imp.]:[PERIODO Imp.]],CS$9)</f>
        <v>0</v>
      </c>
      <c r="CT192" s="516">
        <f>SUMIFS(Imput[[Importe Neto]:[Importe Neto]],Imput[[C. Imp.]:[C. Imp.]],$D192,Imput[[PERIODO Imp.]:[PERIODO Imp.]],CT$9)</f>
        <v>0</v>
      </c>
      <c r="CU192" s="516">
        <f>SUMIFS(Imput[[Importe Neto]:[Importe Neto]],Imput[[C. Imp.]:[C. Imp.]],$D192,Imput[[PERIODO Imp.]:[PERIODO Imp.]],CU$9)</f>
        <v>0</v>
      </c>
      <c r="CV192" s="516">
        <f>SUMIFS(Imput[[Importe Neto]:[Importe Neto]],Imput[[C. Imp.]:[C. Imp.]],$D192,Imput[[PERIODO Imp.]:[PERIODO Imp.]],CV$9)</f>
        <v>0</v>
      </c>
      <c r="CW192" s="516">
        <f>SUMIFS(Imput[[Importe Neto]:[Importe Neto]],Imput[[C. Imp.]:[C. Imp.]],$D192,Imput[[PERIODO Imp.]:[PERIODO Imp.]],CW$9)</f>
        <v>0</v>
      </c>
      <c r="CX192" s="516">
        <f>SUMIFS(Imput[[Importe Neto]:[Importe Neto]],Imput[[C. Imp.]:[C. Imp.]],$D192,Imput[[PERIODO Imp.]:[PERIODO Imp.]],CX$9)</f>
        <v>0</v>
      </c>
      <c r="CY192" s="516">
        <f>SUMIFS(Imput[[Importe Neto]:[Importe Neto]],Imput[[C. Imp.]:[C. Imp.]],$D192,Imput[[PERIODO Imp.]:[PERIODO Imp.]],CY$9)</f>
        <v>0</v>
      </c>
      <c r="CZ192" s="516">
        <f>SUMIFS(Imput[[Importe Neto]:[Importe Neto]],Imput[[C. Imp.]:[C. Imp.]],$D192,Imput[[PERIODO Imp.]:[PERIODO Imp.]],CZ$9)</f>
        <v>0</v>
      </c>
      <c r="DA192" s="516">
        <f>SUMIFS(Imput[[Importe Neto]:[Importe Neto]],Imput[[C. Imp.]:[C. Imp.]],$D192,Imput[[PERIODO Imp.]:[PERIODO Imp.]],DA$9)</f>
        <v>0</v>
      </c>
      <c r="DB192" s="516">
        <f>SUMIFS(Imput[[Importe Neto]:[Importe Neto]],Imput[[C. Imp.]:[C. Imp.]],$D192,Imput[[PERIODO Imp.]:[PERIODO Imp.]],DB$9)</f>
        <v>0</v>
      </c>
      <c r="DC192" s="516">
        <f>SUMIFS(Imput[[Importe Neto]:[Importe Neto]],Imput[[C. Imp.]:[C. Imp.]],$D192,Imput[[PERIODO Imp.]:[PERIODO Imp.]],DC$9)</f>
        <v>0</v>
      </c>
      <c r="DD192" s="516">
        <f>SUMIFS(Imput[[Importe Neto]:[Importe Neto]],Imput[[C. Imp.]:[C. Imp.]],$D192,Imput[[PERIODO Imp.]:[PERIODO Imp.]],DD$9)</f>
        <v>0</v>
      </c>
      <c r="DE192" s="516">
        <f>SUMIFS(Imput[[Importe Neto]:[Importe Neto]],Imput[[C. Imp.]:[C. Imp.]],$D192,Imput[[PERIODO Imp.]:[PERIODO Imp.]],DE$9)</f>
        <v>0</v>
      </c>
      <c r="DF192" s="516">
        <f>SUMIFS(Imput[[Importe Neto]:[Importe Neto]],Imput[[C. Imp.]:[C. Imp.]],$D192,Imput[[PERIODO Imp.]:[PERIODO Imp.]],DF$9)</f>
        <v>0</v>
      </c>
      <c r="DG192" s="516">
        <f>SUMIFS(Imput[[Importe Neto]:[Importe Neto]],Imput[[C. Imp.]:[C. Imp.]],$D192,Imput[[PERIODO Imp.]:[PERIODO Imp.]],DG$9)</f>
        <v>0</v>
      </c>
      <c r="DH192" s="616">
        <f>SUMIFS(Imput[[Importe Neto]:[Importe Neto]],Imput[[C. Imp.]:[C. Imp.]],$D192,Imput[[PERIODO Imp.]:[PERIODO Imp.]],DH$9)</f>
        <v>0</v>
      </c>
    </row>
    <row r="193" spans="1:112" ht="14.4" hidden="1" outlineLevel="1" thickBot="1" x14ac:dyDescent="0.35">
      <c r="A193" s="66" t="str">
        <f t="shared" si="90"/>
        <v/>
      </c>
      <c r="C193" s="527"/>
      <c r="D193" s="528" t="s">
        <v>2293</v>
      </c>
      <c r="E193" s="528"/>
      <c r="F193" s="534"/>
      <c r="G193" s="529"/>
      <c r="H193" s="531"/>
      <c r="I193" s="849" t="str">
        <f t="shared" si="91"/>
        <v/>
      </c>
      <c r="J193" s="850" t="str">
        <f t="shared" si="92"/>
        <v/>
      </c>
      <c r="K193" s="70"/>
      <c r="L193" s="853"/>
      <c r="M193" s="855"/>
      <c r="N193" s="855"/>
      <c r="O193" s="855"/>
      <c r="P193" s="855"/>
      <c r="Q193" s="855"/>
      <c r="R193" s="855"/>
      <c r="S193" s="855"/>
      <c r="T193" s="855"/>
      <c r="U193" s="855"/>
      <c r="V193" s="855"/>
      <c r="W193" s="855"/>
      <c r="X193" s="855"/>
      <c r="Y193" s="855"/>
      <c r="Z193" s="856"/>
      <c r="AA193" s="856"/>
      <c r="AB193" s="856"/>
      <c r="AC193" s="856"/>
      <c r="AD193" s="856"/>
      <c r="AE193" s="856"/>
      <c r="AF193" s="856"/>
      <c r="AG193" s="856"/>
      <c r="AH193" s="856"/>
      <c r="AI193" s="856"/>
      <c r="AJ193" s="856"/>
      <c r="AK193" s="856"/>
      <c r="AL193" s="856"/>
      <c r="AM193" s="856"/>
      <c r="AN193" s="856"/>
      <c r="AO193" s="856"/>
      <c r="AP193" s="856"/>
      <c r="AQ193" s="856"/>
      <c r="AR193" s="856"/>
      <c r="AS193" s="856"/>
      <c r="AT193" s="856"/>
      <c r="AU193" s="856"/>
      <c r="AV193" s="856"/>
      <c r="AW193" s="856"/>
      <c r="AX193" s="856"/>
      <c r="AY193" s="856"/>
      <c r="AZ193" s="856"/>
      <c r="BA193" s="856"/>
      <c r="BB193" s="856"/>
      <c r="BC193" s="856"/>
      <c r="BD193" s="856"/>
      <c r="BE193" s="856"/>
      <c r="BF193" s="856"/>
      <c r="BG193" s="857"/>
      <c r="BH193" s="590"/>
      <c r="BI193" s="70"/>
      <c r="BJ193" s="518">
        <f t="shared" si="93"/>
        <v>0</v>
      </c>
      <c r="BK193" s="517">
        <f t="shared" si="94"/>
        <v>0</v>
      </c>
      <c r="BL193" s="68"/>
      <c r="BM193" s="515">
        <f>SUMIFS(Imput[[Importe Neto]:[Importe Neto]],Imput[[C. Imp.]:[C. Imp.]],$D193,Imput[[PERIODO Imp.]:[PERIODO Imp.]],BM$9)</f>
        <v>0</v>
      </c>
      <c r="BN193" s="516">
        <f>SUMIFS(Imput[[Importe Neto]:[Importe Neto]],Imput[[C. Imp.]:[C. Imp.]],$D193,Imput[[PERIODO Imp.]:[PERIODO Imp.]],BN$9)</f>
        <v>0</v>
      </c>
      <c r="BO193" s="516">
        <f>SUMIFS(Imput[[Importe Neto]:[Importe Neto]],Imput[[C. Imp.]:[C. Imp.]],$D193,Imput[[PERIODO Imp.]:[PERIODO Imp.]],BO$9)</f>
        <v>0</v>
      </c>
      <c r="BP193" s="516">
        <f>SUMIFS(Imput[[Importe Neto]:[Importe Neto]],Imput[[C. Imp.]:[C. Imp.]],$D193,Imput[[PERIODO Imp.]:[PERIODO Imp.]],BP$9)</f>
        <v>0</v>
      </c>
      <c r="BQ193" s="516">
        <f>SUMIFS(Imput[[Importe Neto]:[Importe Neto]],Imput[[C. Imp.]:[C. Imp.]],$D193,Imput[[PERIODO Imp.]:[PERIODO Imp.]],BQ$9)</f>
        <v>0</v>
      </c>
      <c r="BR193" s="516">
        <f>SUMIFS(Imput[[Importe Neto]:[Importe Neto]],Imput[[C. Imp.]:[C. Imp.]],$D193,Imput[[PERIODO Imp.]:[PERIODO Imp.]],BR$9)</f>
        <v>0</v>
      </c>
      <c r="BS193" s="516">
        <f>SUMIFS(Imput[[Importe Neto]:[Importe Neto]],Imput[[C. Imp.]:[C. Imp.]],$D193,Imput[[PERIODO Imp.]:[PERIODO Imp.]],BS$9)</f>
        <v>0</v>
      </c>
      <c r="BT193" s="516">
        <f>SUMIFS(Imput[[Importe Neto]:[Importe Neto]],Imput[[C. Imp.]:[C. Imp.]],$D193,Imput[[PERIODO Imp.]:[PERIODO Imp.]],BT$9)</f>
        <v>0</v>
      </c>
      <c r="BU193" s="516">
        <f>SUMIFS(Imput[[Importe Neto]:[Importe Neto]],Imput[[C. Imp.]:[C. Imp.]],$D193,Imput[[PERIODO Imp.]:[PERIODO Imp.]],BU$9)</f>
        <v>0</v>
      </c>
      <c r="BV193" s="516">
        <f>SUMIFS(Imput[[Importe Neto]:[Importe Neto]],Imput[[C. Imp.]:[C. Imp.]],$D193,Imput[[PERIODO Imp.]:[PERIODO Imp.]],BV$9)</f>
        <v>0</v>
      </c>
      <c r="BW193" s="516">
        <f>SUMIFS(Imput[[Importe Neto]:[Importe Neto]],Imput[[C. Imp.]:[C. Imp.]],$D193,Imput[[PERIODO Imp.]:[PERIODO Imp.]],BW$9)</f>
        <v>0</v>
      </c>
      <c r="BX193" s="516">
        <f>SUMIFS(Imput[[Importe Neto]:[Importe Neto]],Imput[[C. Imp.]:[C. Imp.]],$D193,Imput[[PERIODO Imp.]:[PERIODO Imp.]],BX$9)</f>
        <v>0</v>
      </c>
      <c r="BY193" s="516">
        <f>SUMIFS(Imput[[Importe Neto]:[Importe Neto]],Imput[[C. Imp.]:[C. Imp.]],$D193,Imput[[PERIODO Imp.]:[PERIODO Imp.]],BY$9)</f>
        <v>0</v>
      </c>
      <c r="BZ193" s="516">
        <f>SUMIFS(Imput[[Importe Neto]:[Importe Neto]],Imput[[C. Imp.]:[C. Imp.]],$D193,Imput[[PERIODO Imp.]:[PERIODO Imp.]],BZ$9)</f>
        <v>0</v>
      </c>
      <c r="CA193" s="516">
        <f>SUMIFS(Imput[[Importe Neto]:[Importe Neto]],Imput[[C. Imp.]:[C. Imp.]],$D193,Imput[[PERIODO Imp.]:[PERIODO Imp.]],CA$9)</f>
        <v>0</v>
      </c>
      <c r="CB193" s="516">
        <f>SUMIFS(Imput[[Importe Neto]:[Importe Neto]],Imput[[C. Imp.]:[C. Imp.]],$D193,Imput[[PERIODO Imp.]:[PERIODO Imp.]],CB$9)</f>
        <v>0</v>
      </c>
      <c r="CC193" s="516">
        <f>SUMIFS(Imput[[Importe Neto]:[Importe Neto]],Imput[[C. Imp.]:[C. Imp.]],$D193,Imput[[PERIODO Imp.]:[PERIODO Imp.]],CC$9)</f>
        <v>0</v>
      </c>
      <c r="CD193" s="516">
        <f>SUMIFS(Imput[[Importe Neto]:[Importe Neto]],Imput[[C. Imp.]:[C. Imp.]],$D193,Imput[[PERIODO Imp.]:[PERIODO Imp.]],CD$9)</f>
        <v>0</v>
      </c>
      <c r="CE193" s="516">
        <f>SUMIFS(Imput[[Importe Neto]:[Importe Neto]],Imput[[C. Imp.]:[C. Imp.]],$D193,Imput[[PERIODO Imp.]:[PERIODO Imp.]],CE$9)</f>
        <v>0</v>
      </c>
      <c r="CF193" s="516">
        <f>SUMIFS(Imput[[Importe Neto]:[Importe Neto]],Imput[[C. Imp.]:[C. Imp.]],$D193,Imput[[PERIODO Imp.]:[PERIODO Imp.]],CF$9)</f>
        <v>0</v>
      </c>
      <c r="CG193" s="516">
        <f>SUMIFS(Imput[[Importe Neto]:[Importe Neto]],Imput[[C. Imp.]:[C. Imp.]],$D193,Imput[[PERIODO Imp.]:[PERIODO Imp.]],CG$9)</f>
        <v>0</v>
      </c>
      <c r="CH193" s="516">
        <f>SUMIFS(Imput[[Importe Neto]:[Importe Neto]],Imput[[C. Imp.]:[C. Imp.]],$D193,Imput[[PERIODO Imp.]:[PERIODO Imp.]],CH$9)</f>
        <v>0</v>
      </c>
      <c r="CI193" s="516">
        <f>SUMIFS(Imput[[Importe Neto]:[Importe Neto]],Imput[[C. Imp.]:[C. Imp.]],$D193,Imput[[PERIODO Imp.]:[PERIODO Imp.]],CI$9)</f>
        <v>0</v>
      </c>
      <c r="CJ193" s="516">
        <f>SUMIFS(Imput[[Importe Neto]:[Importe Neto]],Imput[[C. Imp.]:[C. Imp.]],$D193,Imput[[PERIODO Imp.]:[PERIODO Imp.]],CJ$9)</f>
        <v>0</v>
      </c>
      <c r="CK193" s="516">
        <f>SUMIFS(Imput[[Importe Neto]:[Importe Neto]],Imput[[C. Imp.]:[C. Imp.]],$D193,Imput[[PERIODO Imp.]:[PERIODO Imp.]],CK$9)</f>
        <v>0</v>
      </c>
      <c r="CL193" s="516">
        <f>SUMIFS(Imput[[Importe Neto]:[Importe Neto]],Imput[[C. Imp.]:[C. Imp.]],$D193,Imput[[PERIODO Imp.]:[PERIODO Imp.]],CL$9)</f>
        <v>0</v>
      </c>
      <c r="CM193" s="516">
        <f>SUMIFS(Imput[[Importe Neto]:[Importe Neto]],Imput[[C. Imp.]:[C. Imp.]],$D193,Imput[[PERIODO Imp.]:[PERIODO Imp.]],CM$9)</f>
        <v>0</v>
      </c>
      <c r="CN193" s="516">
        <f>SUMIFS(Imput[[Importe Neto]:[Importe Neto]],Imput[[C. Imp.]:[C. Imp.]],$D193,Imput[[PERIODO Imp.]:[PERIODO Imp.]],CN$9)</f>
        <v>0</v>
      </c>
      <c r="CO193" s="516">
        <f>SUMIFS(Imput[[Importe Neto]:[Importe Neto]],Imput[[C. Imp.]:[C. Imp.]],$D193,Imput[[PERIODO Imp.]:[PERIODO Imp.]],CO$9)</f>
        <v>0</v>
      </c>
      <c r="CP193" s="516">
        <f>SUMIFS(Imput[[Importe Neto]:[Importe Neto]],Imput[[C. Imp.]:[C. Imp.]],$D193,Imput[[PERIODO Imp.]:[PERIODO Imp.]],CP$9)</f>
        <v>0</v>
      </c>
      <c r="CQ193" s="516">
        <f>SUMIFS(Imput[[Importe Neto]:[Importe Neto]],Imput[[C. Imp.]:[C. Imp.]],$D193,Imput[[PERIODO Imp.]:[PERIODO Imp.]],CQ$9)</f>
        <v>0</v>
      </c>
      <c r="CR193" s="516">
        <f>SUMIFS(Imput[[Importe Neto]:[Importe Neto]],Imput[[C. Imp.]:[C. Imp.]],$D193,Imput[[PERIODO Imp.]:[PERIODO Imp.]],CR$9)</f>
        <v>0</v>
      </c>
      <c r="CS193" s="516">
        <f>SUMIFS(Imput[[Importe Neto]:[Importe Neto]],Imput[[C. Imp.]:[C. Imp.]],$D193,Imput[[PERIODO Imp.]:[PERIODO Imp.]],CS$9)</f>
        <v>0</v>
      </c>
      <c r="CT193" s="516">
        <f>SUMIFS(Imput[[Importe Neto]:[Importe Neto]],Imput[[C. Imp.]:[C. Imp.]],$D193,Imput[[PERIODO Imp.]:[PERIODO Imp.]],CT$9)</f>
        <v>0</v>
      </c>
      <c r="CU193" s="516">
        <f>SUMIFS(Imput[[Importe Neto]:[Importe Neto]],Imput[[C. Imp.]:[C. Imp.]],$D193,Imput[[PERIODO Imp.]:[PERIODO Imp.]],CU$9)</f>
        <v>0</v>
      </c>
      <c r="CV193" s="516">
        <f>SUMIFS(Imput[[Importe Neto]:[Importe Neto]],Imput[[C. Imp.]:[C. Imp.]],$D193,Imput[[PERIODO Imp.]:[PERIODO Imp.]],CV$9)</f>
        <v>0</v>
      </c>
      <c r="CW193" s="516">
        <f>SUMIFS(Imput[[Importe Neto]:[Importe Neto]],Imput[[C. Imp.]:[C. Imp.]],$D193,Imput[[PERIODO Imp.]:[PERIODO Imp.]],CW$9)</f>
        <v>0</v>
      </c>
      <c r="CX193" s="516">
        <f>SUMIFS(Imput[[Importe Neto]:[Importe Neto]],Imput[[C. Imp.]:[C. Imp.]],$D193,Imput[[PERIODO Imp.]:[PERIODO Imp.]],CX$9)</f>
        <v>0</v>
      </c>
      <c r="CY193" s="516">
        <f>SUMIFS(Imput[[Importe Neto]:[Importe Neto]],Imput[[C. Imp.]:[C. Imp.]],$D193,Imput[[PERIODO Imp.]:[PERIODO Imp.]],CY$9)</f>
        <v>0</v>
      </c>
      <c r="CZ193" s="516">
        <f>SUMIFS(Imput[[Importe Neto]:[Importe Neto]],Imput[[C. Imp.]:[C. Imp.]],$D193,Imput[[PERIODO Imp.]:[PERIODO Imp.]],CZ$9)</f>
        <v>0</v>
      </c>
      <c r="DA193" s="516">
        <f>SUMIFS(Imput[[Importe Neto]:[Importe Neto]],Imput[[C. Imp.]:[C. Imp.]],$D193,Imput[[PERIODO Imp.]:[PERIODO Imp.]],DA$9)</f>
        <v>0</v>
      </c>
      <c r="DB193" s="516">
        <f>SUMIFS(Imput[[Importe Neto]:[Importe Neto]],Imput[[C. Imp.]:[C. Imp.]],$D193,Imput[[PERIODO Imp.]:[PERIODO Imp.]],DB$9)</f>
        <v>0</v>
      </c>
      <c r="DC193" s="516">
        <f>SUMIFS(Imput[[Importe Neto]:[Importe Neto]],Imput[[C. Imp.]:[C. Imp.]],$D193,Imput[[PERIODO Imp.]:[PERIODO Imp.]],DC$9)</f>
        <v>0</v>
      </c>
      <c r="DD193" s="516">
        <f>SUMIFS(Imput[[Importe Neto]:[Importe Neto]],Imput[[C. Imp.]:[C. Imp.]],$D193,Imput[[PERIODO Imp.]:[PERIODO Imp.]],DD$9)</f>
        <v>0</v>
      </c>
      <c r="DE193" s="516">
        <f>SUMIFS(Imput[[Importe Neto]:[Importe Neto]],Imput[[C. Imp.]:[C. Imp.]],$D193,Imput[[PERIODO Imp.]:[PERIODO Imp.]],DE$9)</f>
        <v>0</v>
      </c>
      <c r="DF193" s="516">
        <f>SUMIFS(Imput[[Importe Neto]:[Importe Neto]],Imput[[C. Imp.]:[C. Imp.]],$D193,Imput[[PERIODO Imp.]:[PERIODO Imp.]],DF$9)</f>
        <v>0</v>
      </c>
      <c r="DG193" s="516">
        <f>SUMIFS(Imput[[Importe Neto]:[Importe Neto]],Imput[[C. Imp.]:[C. Imp.]],$D193,Imput[[PERIODO Imp.]:[PERIODO Imp.]],DG$9)</f>
        <v>0</v>
      </c>
      <c r="DH193" s="616">
        <f>SUMIFS(Imput[[Importe Neto]:[Importe Neto]],Imput[[C. Imp.]:[C. Imp.]],$D193,Imput[[PERIODO Imp.]:[PERIODO Imp.]],DH$9)</f>
        <v>0</v>
      </c>
    </row>
    <row r="194" spans="1:112" ht="14.4" hidden="1" outlineLevel="1" thickBot="1" x14ac:dyDescent="0.35">
      <c r="A194" s="66" t="str">
        <f t="shared" si="90"/>
        <v/>
      </c>
      <c r="C194" s="527"/>
      <c r="D194" s="528" t="s">
        <v>2294</v>
      </c>
      <c r="E194" s="528"/>
      <c r="F194" s="534"/>
      <c r="G194" s="529"/>
      <c r="H194" s="531"/>
      <c r="I194" s="849" t="str">
        <f t="shared" si="91"/>
        <v/>
      </c>
      <c r="J194" s="850" t="str">
        <f t="shared" si="92"/>
        <v/>
      </c>
      <c r="K194" s="70"/>
      <c r="L194" s="853"/>
      <c r="M194" s="855"/>
      <c r="N194" s="855"/>
      <c r="O194" s="855"/>
      <c r="P194" s="855"/>
      <c r="Q194" s="855"/>
      <c r="R194" s="855"/>
      <c r="S194" s="855"/>
      <c r="T194" s="855"/>
      <c r="U194" s="855"/>
      <c r="V194" s="855"/>
      <c r="W194" s="855"/>
      <c r="X194" s="855"/>
      <c r="Y194" s="855"/>
      <c r="Z194" s="856"/>
      <c r="AA194" s="856"/>
      <c r="AB194" s="856"/>
      <c r="AC194" s="856"/>
      <c r="AD194" s="856"/>
      <c r="AE194" s="856"/>
      <c r="AF194" s="856"/>
      <c r="AG194" s="856"/>
      <c r="AH194" s="856"/>
      <c r="AI194" s="856"/>
      <c r="AJ194" s="856"/>
      <c r="AK194" s="856"/>
      <c r="AL194" s="856"/>
      <c r="AM194" s="856"/>
      <c r="AN194" s="856"/>
      <c r="AO194" s="856"/>
      <c r="AP194" s="856"/>
      <c r="AQ194" s="856"/>
      <c r="AR194" s="856"/>
      <c r="AS194" s="856"/>
      <c r="AT194" s="856"/>
      <c r="AU194" s="856"/>
      <c r="AV194" s="856"/>
      <c r="AW194" s="856"/>
      <c r="AX194" s="856"/>
      <c r="AY194" s="856"/>
      <c r="AZ194" s="856"/>
      <c r="BA194" s="856"/>
      <c r="BB194" s="856"/>
      <c r="BC194" s="856"/>
      <c r="BD194" s="856"/>
      <c r="BE194" s="856"/>
      <c r="BF194" s="856"/>
      <c r="BG194" s="857"/>
      <c r="BH194" s="590"/>
      <c r="BI194" s="70"/>
      <c r="BJ194" s="518">
        <f t="shared" si="93"/>
        <v>0</v>
      </c>
      <c r="BK194" s="517">
        <f t="shared" si="94"/>
        <v>0</v>
      </c>
      <c r="BL194" s="68"/>
      <c r="BM194" s="515">
        <f>SUMIFS(Imput[[Importe Neto]:[Importe Neto]],Imput[[C. Imp.]:[C. Imp.]],$D194,Imput[[PERIODO Imp.]:[PERIODO Imp.]],BM$9)</f>
        <v>0</v>
      </c>
      <c r="BN194" s="516">
        <f>SUMIFS(Imput[[Importe Neto]:[Importe Neto]],Imput[[C. Imp.]:[C. Imp.]],$D194,Imput[[PERIODO Imp.]:[PERIODO Imp.]],BN$9)</f>
        <v>0</v>
      </c>
      <c r="BO194" s="516">
        <f>SUMIFS(Imput[[Importe Neto]:[Importe Neto]],Imput[[C. Imp.]:[C. Imp.]],$D194,Imput[[PERIODO Imp.]:[PERIODO Imp.]],BO$9)</f>
        <v>0</v>
      </c>
      <c r="BP194" s="516">
        <f>SUMIFS(Imput[[Importe Neto]:[Importe Neto]],Imput[[C. Imp.]:[C. Imp.]],$D194,Imput[[PERIODO Imp.]:[PERIODO Imp.]],BP$9)</f>
        <v>0</v>
      </c>
      <c r="BQ194" s="516">
        <f>SUMIFS(Imput[[Importe Neto]:[Importe Neto]],Imput[[C. Imp.]:[C. Imp.]],$D194,Imput[[PERIODO Imp.]:[PERIODO Imp.]],BQ$9)</f>
        <v>0</v>
      </c>
      <c r="BR194" s="516">
        <f>SUMIFS(Imput[[Importe Neto]:[Importe Neto]],Imput[[C. Imp.]:[C. Imp.]],$D194,Imput[[PERIODO Imp.]:[PERIODO Imp.]],BR$9)</f>
        <v>0</v>
      </c>
      <c r="BS194" s="516">
        <f>SUMIFS(Imput[[Importe Neto]:[Importe Neto]],Imput[[C. Imp.]:[C. Imp.]],$D194,Imput[[PERIODO Imp.]:[PERIODO Imp.]],BS$9)</f>
        <v>0</v>
      </c>
      <c r="BT194" s="516">
        <f>SUMIFS(Imput[[Importe Neto]:[Importe Neto]],Imput[[C. Imp.]:[C. Imp.]],$D194,Imput[[PERIODO Imp.]:[PERIODO Imp.]],BT$9)</f>
        <v>0</v>
      </c>
      <c r="BU194" s="516">
        <f>SUMIFS(Imput[[Importe Neto]:[Importe Neto]],Imput[[C. Imp.]:[C. Imp.]],$D194,Imput[[PERIODO Imp.]:[PERIODO Imp.]],BU$9)</f>
        <v>0</v>
      </c>
      <c r="BV194" s="516">
        <f>SUMIFS(Imput[[Importe Neto]:[Importe Neto]],Imput[[C. Imp.]:[C. Imp.]],$D194,Imput[[PERIODO Imp.]:[PERIODO Imp.]],BV$9)</f>
        <v>0</v>
      </c>
      <c r="BW194" s="516">
        <f>SUMIFS(Imput[[Importe Neto]:[Importe Neto]],Imput[[C. Imp.]:[C. Imp.]],$D194,Imput[[PERIODO Imp.]:[PERIODO Imp.]],BW$9)</f>
        <v>0</v>
      </c>
      <c r="BX194" s="516">
        <f>SUMIFS(Imput[[Importe Neto]:[Importe Neto]],Imput[[C. Imp.]:[C. Imp.]],$D194,Imput[[PERIODO Imp.]:[PERIODO Imp.]],BX$9)</f>
        <v>0</v>
      </c>
      <c r="BY194" s="516">
        <f>SUMIFS(Imput[[Importe Neto]:[Importe Neto]],Imput[[C. Imp.]:[C. Imp.]],$D194,Imput[[PERIODO Imp.]:[PERIODO Imp.]],BY$9)</f>
        <v>0</v>
      </c>
      <c r="BZ194" s="516">
        <f>SUMIFS(Imput[[Importe Neto]:[Importe Neto]],Imput[[C. Imp.]:[C. Imp.]],$D194,Imput[[PERIODO Imp.]:[PERIODO Imp.]],BZ$9)</f>
        <v>0</v>
      </c>
      <c r="CA194" s="516">
        <f>SUMIFS(Imput[[Importe Neto]:[Importe Neto]],Imput[[C. Imp.]:[C. Imp.]],$D194,Imput[[PERIODO Imp.]:[PERIODO Imp.]],CA$9)</f>
        <v>0</v>
      </c>
      <c r="CB194" s="516">
        <f>SUMIFS(Imput[[Importe Neto]:[Importe Neto]],Imput[[C. Imp.]:[C. Imp.]],$D194,Imput[[PERIODO Imp.]:[PERIODO Imp.]],CB$9)</f>
        <v>0</v>
      </c>
      <c r="CC194" s="516">
        <f>SUMIFS(Imput[[Importe Neto]:[Importe Neto]],Imput[[C. Imp.]:[C. Imp.]],$D194,Imput[[PERIODO Imp.]:[PERIODO Imp.]],CC$9)</f>
        <v>0</v>
      </c>
      <c r="CD194" s="516">
        <f>SUMIFS(Imput[[Importe Neto]:[Importe Neto]],Imput[[C. Imp.]:[C. Imp.]],$D194,Imput[[PERIODO Imp.]:[PERIODO Imp.]],CD$9)</f>
        <v>0</v>
      </c>
      <c r="CE194" s="516">
        <f>SUMIFS(Imput[[Importe Neto]:[Importe Neto]],Imput[[C. Imp.]:[C. Imp.]],$D194,Imput[[PERIODO Imp.]:[PERIODO Imp.]],CE$9)</f>
        <v>0</v>
      </c>
      <c r="CF194" s="516">
        <f>SUMIFS(Imput[[Importe Neto]:[Importe Neto]],Imput[[C. Imp.]:[C. Imp.]],$D194,Imput[[PERIODO Imp.]:[PERIODO Imp.]],CF$9)</f>
        <v>0</v>
      </c>
      <c r="CG194" s="516">
        <f>SUMIFS(Imput[[Importe Neto]:[Importe Neto]],Imput[[C. Imp.]:[C. Imp.]],$D194,Imput[[PERIODO Imp.]:[PERIODO Imp.]],CG$9)</f>
        <v>0</v>
      </c>
      <c r="CH194" s="516">
        <f>SUMIFS(Imput[[Importe Neto]:[Importe Neto]],Imput[[C. Imp.]:[C. Imp.]],$D194,Imput[[PERIODO Imp.]:[PERIODO Imp.]],CH$9)</f>
        <v>0</v>
      </c>
      <c r="CI194" s="516">
        <f>SUMIFS(Imput[[Importe Neto]:[Importe Neto]],Imput[[C. Imp.]:[C. Imp.]],$D194,Imput[[PERIODO Imp.]:[PERIODO Imp.]],CI$9)</f>
        <v>0</v>
      </c>
      <c r="CJ194" s="516">
        <f>SUMIFS(Imput[[Importe Neto]:[Importe Neto]],Imput[[C. Imp.]:[C. Imp.]],$D194,Imput[[PERIODO Imp.]:[PERIODO Imp.]],CJ$9)</f>
        <v>0</v>
      </c>
      <c r="CK194" s="516">
        <f>SUMIFS(Imput[[Importe Neto]:[Importe Neto]],Imput[[C. Imp.]:[C. Imp.]],$D194,Imput[[PERIODO Imp.]:[PERIODO Imp.]],CK$9)</f>
        <v>0</v>
      </c>
      <c r="CL194" s="516">
        <f>SUMIFS(Imput[[Importe Neto]:[Importe Neto]],Imput[[C. Imp.]:[C. Imp.]],$D194,Imput[[PERIODO Imp.]:[PERIODO Imp.]],CL$9)</f>
        <v>0</v>
      </c>
      <c r="CM194" s="516">
        <f>SUMIFS(Imput[[Importe Neto]:[Importe Neto]],Imput[[C. Imp.]:[C. Imp.]],$D194,Imput[[PERIODO Imp.]:[PERIODO Imp.]],CM$9)</f>
        <v>0</v>
      </c>
      <c r="CN194" s="516">
        <f>SUMIFS(Imput[[Importe Neto]:[Importe Neto]],Imput[[C. Imp.]:[C. Imp.]],$D194,Imput[[PERIODO Imp.]:[PERIODO Imp.]],CN$9)</f>
        <v>0</v>
      </c>
      <c r="CO194" s="516">
        <f>SUMIFS(Imput[[Importe Neto]:[Importe Neto]],Imput[[C. Imp.]:[C. Imp.]],$D194,Imput[[PERIODO Imp.]:[PERIODO Imp.]],CO$9)</f>
        <v>0</v>
      </c>
      <c r="CP194" s="516">
        <f>SUMIFS(Imput[[Importe Neto]:[Importe Neto]],Imput[[C. Imp.]:[C. Imp.]],$D194,Imput[[PERIODO Imp.]:[PERIODO Imp.]],CP$9)</f>
        <v>0</v>
      </c>
      <c r="CQ194" s="516">
        <f>SUMIFS(Imput[[Importe Neto]:[Importe Neto]],Imput[[C. Imp.]:[C. Imp.]],$D194,Imput[[PERIODO Imp.]:[PERIODO Imp.]],CQ$9)</f>
        <v>0</v>
      </c>
      <c r="CR194" s="516">
        <f>SUMIFS(Imput[[Importe Neto]:[Importe Neto]],Imput[[C. Imp.]:[C. Imp.]],$D194,Imput[[PERIODO Imp.]:[PERIODO Imp.]],CR$9)</f>
        <v>0</v>
      </c>
      <c r="CS194" s="516">
        <f>SUMIFS(Imput[[Importe Neto]:[Importe Neto]],Imput[[C. Imp.]:[C. Imp.]],$D194,Imput[[PERIODO Imp.]:[PERIODO Imp.]],CS$9)</f>
        <v>0</v>
      </c>
      <c r="CT194" s="516">
        <f>SUMIFS(Imput[[Importe Neto]:[Importe Neto]],Imput[[C. Imp.]:[C. Imp.]],$D194,Imput[[PERIODO Imp.]:[PERIODO Imp.]],CT$9)</f>
        <v>0</v>
      </c>
      <c r="CU194" s="516">
        <f>SUMIFS(Imput[[Importe Neto]:[Importe Neto]],Imput[[C. Imp.]:[C. Imp.]],$D194,Imput[[PERIODO Imp.]:[PERIODO Imp.]],CU$9)</f>
        <v>0</v>
      </c>
      <c r="CV194" s="516">
        <f>SUMIFS(Imput[[Importe Neto]:[Importe Neto]],Imput[[C. Imp.]:[C. Imp.]],$D194,Imput[[PERIODO Imp.]:[PERIODO Imp.]],CV$9)</f>
        <v>0</v>
      </c>
      <c r="CW194" s="516">
        <f>SUMIFS(Imput[[Importe Neto]:[Importe Neto]],Imput[[C. Imp.]:[C. Imp.]],$D194,Imput[[PERIODO Imp.]:[PERIODO Imp.]],CW$9)</f>
        <v>0</v>
      </c>
      <c r="CX194" s="516">
        <f>SUMIFS(Imput[[Importe Neto]:[Importe Neto]],Imput[[C. Imp.]:[C. Imp.]],$D194,Imput[[PERIODO Imp.]:[PERIODO Imp.]],CX$9)</f>
        <v>0</v>
      </c>
      <c r="CY194" s="516">
        <f>SUMIFS(Imput[[Importe Neto]:[Importe Neto]],Imput[[C. Imp.]:[C. Imp.]],$D194,Imput[[PERIODO Imp.]:[PERIODO Imp.]],CY$9)</f>
        <v>0</v>
      </c>
      <c r="CZ194" s="516">
        <f>SUMIFS(Imput[[Importe Neto]:[Importe Neto]],Imput[[C. Imp.]:[C. Imp.]],$D194,Imput[[PERIODO Imp.]:[PERIODO Imp.]],CZ$9)</f>
        <v>0</v>
      </c>
      <c r="DA194" s="516">
        <f>SUMIFS(Imput[[Importe Neto]:[Importe Neto]],Imput[[C. Imp.]:[C. Imp.]],$D194,Imput[[PERIODO Imp.]:[PERIODO Imp.]],DA$9)</f>
        <v>0</v>
      </c>
      <c r="DB194" s="516">
        <f>SUMIFS(Imput[[Importe Neto]:[Importe Neto]],Imput[[C. Imp.]:[C. Imp.]],$D194,Imput[[PERIODO Imp.]:[PERIODO Imp.]],DB$9)</f>
        <v>0</v>
      </c>
      <c r="DC194" s="516">
        <f>SUMIFS(Imput[[Importe Neto]:[Importe Neto]],Imput[[C. Imp.]:[C. Imp.]],$D194,Imput[[PERIODO Imp.]:[PERIODO Imp.]],DC$9)</f>
        <v>0</v>
      </c>
      <c r="DD194" s="516">
        <f>SUMIFS(Imput[[Importe Neto]:[Importe Neto]],Imput[[C. Imp.]:[C. Imp.]],$D194,Imput[[PERIODO Imp.]:[PERIODO Imp.]],DD$9)</f>
        <v>0</v>
      </c>
      <c r="DE194" s="516">
        <f>SUMIFS(Imput[[Importe Neto]:[Importe Neto]],Imput[[C. Imp.]:[C. Imp.]],$D194,Imput[[PERIODO Imp.]:[PERIODO Imp.]],DE$9)</f>
        <v>0</v>
      </c>
      <c r="DF194" s="516">
        <f>SUMIFS(Imput[[Importe Neto]:[Importe Neto]],Imput[[C. Imp.]:[C. Imp.]],$D194,Imput[[PERIODO Imp.]:[PERIODO Imp.]],DF$9)</f>
        <v>0</v>
      </c>
      <c r="DG194" s="516">
        <f>SUMIFS(Imput[[Importe Neto]:[Importe Neto]],Imput[[C. Imp.]:[C. Imp.]],$D194,Imput[[PERIODO Imp.]:[PERIODO Imp.]],DG$9)</f>
        <v>0</v>
      </c>
      <c r="DH194" s="616">
        <f>SUMIFS(Imput[[Importe Neto]:[Importe Neto]],Imput[[C. Imp.]:[C. Imp.]],$D194,Imput[[PERIODO Imp.]:[PERIODO Imp.]],DH$9)</f>
        <v>0</v>
      </c>
    </row>
    <row r="195" spans="1:112" ht="14.4" hidden="1" outlineLevel="1" thickBot="1" x14ac:dyDescent="0.35">
      <c r="A195" s="66" t="str">
        <f t="shared" si="90"/>
        <v/>
      </c>
      <c r="C195" s="527"/>
      <c r="D195" s="528" t="s">
        <v>2295</v>
      </c>
      <c r="E195" s="528"/>
      <c r="F195" s="534"/>
      <c r="G195" s="529"/>
      <c r="H195" s="531"/>
      <c r="I195" s="849" t="str">
        <f t="shared" si="91"/>
        <v/>
      </c>
      <c r="J195" s="850" t="str">
        <f t="shared" si="92"/>
        <v/>
      </c>
      <c r="K195" s="70"/>
      <c r="L195" s="853"/>
      <c r="M195" s="855"/>
      <c r="N195" s="855"/>
      <c r="O195" s="855"/>
      <c r="P195" s="855"/>
      <c r="Q195" s="855"/>
      <c r="R195" s="855"/>
      <c r="S195" s="855"/>
      <c r="T195" s="855"/>
      <c r="U195" s="855"/>
      <c r="V195" s="855"/>
      <c r="W195" s="855"/>
      <c r="X195" s="855"/>
      <c r="Y195" s="855"/>
      <c r="Z195" s="856"/>
      <c r="AA195" s="856"/>
      <c r="AB195" s="856"/>
      <c r="AC195" s="856"/>
      <c r="AD195" s="856"/>
      <c r="AE195" s="856"/>
      <c r="AF195" s="856"/>
      <c r="AG195" s="856"/>
      <c r="AH195" s="856"/>
      <c r="AI195" s="856"/>
      <c r="AJ195" s="856"/>
      <c r="AK195" s="856"/>
      <c r="AL195" s="856"/>
      <c r="AM195" s="856"/>
      <c r="AN195" s="856"/>
      <c r="AO195" s="856"/>
      <c r="AP195" s="856"/>
      <c r="AQ195" s="856"/>
      <c r="AR195" s="856"/>
      <c r="AS195" s="856"/>
      <c r="AT195" s="856"/>
      <c r="AU195" s="856"/>
      <c r="AV195" s="856"/>
      <c r="AW195" s="856"/>
      <c r="AX195" s="856"/>
      <c r="AY195" s="856"/>
      <c r="AZ195" s="856"/>
      <c r="BA195" s="856"/>
      <c r="BB195" s="856"/>
      <c r="BC195" s="856"/>
      <c r="BD195" s="856"/>
      <c r="BE195" s="856"/>
      <c r="BF195" s="856"/>
      <c r="BG195" s="857"/>
      <c r="BH195" s="590"/>
      <c r="BI195" s="70"/>
      <c r="BJ195" s="518">
        <f t="shared" si="93"/>
        <v>0</v>
      </c>
      <c r="BK195" s="517">
        <f t="shared" si="94"/>
        <v>0</v>
      </c>
      <c r="BL195" s="68"/>
      <c r="BM195" s="515">
        <f>SUMIFS(Imput[[Importe Neto]:[Importe Neto]],Imput[[C. Imp.]:[C. Imp.]],$D195,Imput[[PERIODO Imp.]:[PERIODO Imp.]],BM$9)</f>
        <v>0</v>
      </c>
      <c r="BN195" s="516">
        <f>SUMIFS(Imput[[Importe Neto]:[Importe Neto]],Imput[[C. Imp.]:[C. Imp.]],$D195,Imput[[PERIODO Imp.]:[PERIODO Imp.]],BN$9)</f>
        <v>0</v>
      </c>
      <c r="BO195" s="516">
        <f>SUMIFS(Imput[[Importe Neto]:[Importe Neto]],Imput[[C. Imp.]:[C. Imp.]],$D195,Imput[[PERIODO Imp.]:[PERIODO Imp.]],BO$9)</f>
        <v>0</v>
      </c>
      <c r="BP195" s="516">
        <f>SUMIFS(Imput[[Importe Neto]:[Importe Neto]],Imput[[C. Imp.]:[C. Imp.]],$D195,Imput[[PERIODO Imp.]:[PERIODO Imp.]],BP$9)</f>
        <v>0</v>
      </c>
      <c r="BQ195" s="516">
        <f>SUMIFS(Imput[[Importe Neto]:[Importe Neto]],Imput[[C. Imp.]:[C. Imp.]],$D195,Imput[[PERIODO Imp.]:[PERIODO Imp.]],BQ$9)</f>
        <v>0</v>
      </c>
      <c r="BR195" s="516">
        <f>SUMIFS(Imput[[Importe Neto]:[Importe Neto]],Imput[[C. Imp.]:[C. Imp.]],$D195,Imput[[PERIODO Imp.]:[PERIODO Imp.]],BR$9)</f>
        <v>0</v>
      </c>
      <c r="BS195" s="516">
        <f>SUMIFS(Imput[[Importe Neto]:[Importe Neto]],Imput[[C. Imp.]:[C. Imp.]],$D195,Imput[[PERIODO Imp.]:[PERIODO Imp.]],BS$9)</f>
        <v>0</v>
      </c>
      <c r="BT195" s="516">
        <f>SUMIFS(Imput[[Importe Neto]:[Importe Neto]],Imput[[C. Imp.]:[C. Imp.]],$D195,Imput[[PERIODO Imp.]:[PERIODO Imp.]],BT$9)</f>
        <v>0</v>
      </c>
      <c r="BU195" s="516">
        <f>SUMIFS(Imput[[Importe Neto]:[Importe Neto]],Imput[[C. Imp.]:[C. Imp.]],$D195,Imput[[PERIODO Imp.]:[PERIODO Imp.]],BU$9)</f>
        <v>0</v>
      </c>
      <c r="BV195" s="516">
        <f>SUMIFS(Imput[[Importe Neto]:[Importe Neto]],Imput[[C. Imp.]:[C. Imp.]],$D195,Imput[[PERIODO Imp.]:[PERIODO Imp.]],BV$9)</f>
        <v>0</v>
      </c>
      <c r="BW195" s="516">
        <f>SUMIFS(Imput[[Importe Neto]:[Importe Neto]],Imput[[C. Imp.]:[C. Imp.]],$D195,Imput[[PERIODO Imp.]:[PERIODO Imp.]],BW$9)</f>
        <v>0</v>
      </c>
      <c r="BX195" s="516">
        <f>SUMIFS(Imput[[Importe Neto]:[Importe Neto]],Imput[[C. Imp.]:[C. Imp.]],$D195,Imput[[PERIODO Imp.]:[PERIODO Imp.]],BX$9)</f>
        <v>0</v>
      </c>
      <c r="BY195" s="516">
        <f>SUMIFS(Imput[[Importe Neto]:[Importe Neto]],Imput[[C. Imp.]:[C. Imp.]],$D195,Imput[[PERIODO Imp.]:[PERIODO Imp.]],BY$9)</f>
        <v>0</v>
      </c>
      <c r="BZ195" s="516">
        <f>SUMIFS(Imput[[Importe Neto]:[Importe Neto]],Imput[[C. Imp.]:[C. Imp.]],$D195,Imput[[PERIODO Imp.]:[PERIODO Imp.]],BZ$9)</f>
        <v>0</v>
      </c>
      <c r="CA195" s="516">
        <f>SUMIFS(Imput[[Importe Neto]:[Importe Neto]],Imput[[C. Imp.]:[C. Imp.]],$D195,Imput[[PERIODO Imp.]:[PERIODO Imp.]],CA$9)</f>
        <v>0</v>
      </c>
      <c r="CB195" s="516">
        <f>SUMIFS(Imput[[Importe Neto]:[Importe Neto]],Imput[[C. Imp.]:[C. Imp.]],$D195,Imput[[PERIODO Imp.]:[PERIODO Imp.]],CB$9)</f>
        <v>0</v>
      </c>
      <c r="CC195" s="516">
        <f>SUMIFS(Imput[[Importe Neto]:[Importe Neto]],Imput[[C. Imp.]:[C. Imp.]],$D195,Imput[[PERIODO Imp.]:[PERIODO Imp.]],CC$9)</f>
        <v>0</v>
      </c>
      <c r="CD195" s="516">
        <f>SUMIFS(Imput[[Importe Neto]:[Importe Neto]],Imput[[C. Imp.]:[C. Imp.]],$D195,Imput[[PERIODO Imp.]:[PERIODO Imp.]],CD$9)</f>
        <v>0</v>
      </c>
      <c r="CE195" s="516">
        <f>SUMIFS(Imput[[Importe Neto]:[Importe Neto]],Imput[[C. Imp.]:[C. Imp.]],$D195,Imput[[PERIODO Imp.]:[PERIODO Imp.]],CE$9)</f>
        <v>0</v>
      </c>
      <c r="CF195" s="516">
        <f>SUMIFS(Imput[[Importe Neto]:[Importe Neto]],Imput[[C. Imp.]:[C. Imp.]],$D195,Imput[[PERIODO Imp.]:[PERIODO Imp.]],CF$9)</f>
        <v>0</v>
      </c>
      <c r="CG195" s="516">
        <f>SUMIFS(Imput[[Importe Neto]:[Importe Neto]],Imput[[C. Imp.]:[C. Imp.]],$D195,Imput[[PERIODO Imp.]:[PERIODO Imp.]],CG$9)</f>
        <v>0</v>
      </c>
      <c r="CH195" s="516">
        <f>SUMIFS(Imput[[Importe Neto]:[Importe Neto]],Imput[[C. Imp.]:[C. Imp.]],$D195,Imput[[PERIODO Imp.]:[PERIODO Imp.]],CH$9)</f>
        <v>0</v>
      </c>
      <c r="CI195" s="516">
        <f>SUMIFS(Imput[[Importe Neto]:[Importe Neto]],Imput[[C. Imp.]:[C. Imp.]],$D195,Imput[[PERIODO Imp.]:[PERIODO Imp.]],CI$9)</f>
        <v>0</v>
      </c>
      <c r="CJ195" s="516">
        <f>SUMIFS(Imput[[Importe Neto]:[Importe Neto]],Imput[[C. Imp.]:[C. Imp.]],$D195,Imput[[PERIODO Imp.]:[PERIODO Imp.]],CJ$9)</f>
        <v>0</v>
      </c>
      <c r="CK195" s="516">
        <f>SUMIFS(Imput[[Importe Neto]:[Importe Neto]],Imput[[C. Imp.]:[C. Imp.]],$D195,Imput[[PERIODO Imp.]:[PERIODO Imp.]],CK$9)</f>
        <v>0</v>
      </c>
      <c r="CL195" s="516">
        <f>SUMIFS(Imput[[Importe Neto]:[Importe Neto]],Imput[[C. Imp.]:[C. Imp.]],$D195,Imput[[PERIODO Imp.]:[PERIODO Imp.]],CL$9)</f>
        <v>0</v>
      </c>
      <c r="CM195" s="516">
        <f>SUMIFS(Imput[[Importe Neto]:[Importe Neto]],Imput[[C. Imp.]:[C. Imp.]],$D195,Imput[[PERIODO Imp.]:[PERIODO Imp.]],CM$9)</f>
        <v>0</v>
      </c>
      <c r="CN195" s="516">
        <f>SUMIFS(Imput[[Importe Neto]:[Importe Neto]],Imput[[C. Imp.]:[C. Imp.]],$D195,Imput[[PERIODO Imp.]:[PERIODO Imp.]],CN$9)</f>
        <v>0</v>
      </c>
      <c r="CO195" s="516">
        <f>SUMIFS(Imput[[Importe Neto]:[Importe Neto]],Imput[[C. Imp.]:[C. Imp.]],$D195,Imput[[PERIODO Imp.]:[PERIODO Imp.]],CO$9)</f>
        <v>0</v>
      </c>
      <c r="CP195" s="516">
        <f>SUMIFS(Imput[[Importe Neto]:[Importe Neto]],Imput[[C. Imp.]:[C. Imp.]],$D195,Imput[[PERIODO Imp.]:[PERIODO Imp.]],CP$9)</f>
        <v>0</v>
      </c>
      <c r="CQ195" s="516">
        <f>SUMIFS(Imput[[Importe Neto]:[Importe Neto]],Imput[[C. Imp.]:[C. Imp.]],$D195,Imput[[PERIODO Imp.]:[PERIODO Imp.]],CQ$9)</f>
        <v>0</v>
      </c>
      <c r="CR195" s="516">
        <f>SUMIFS(Imput[[Importe Neto]:[Importe Neto]],Imput[[C. Imp.]:[C. Imp.]],$D195,Imput[[PERIODO Imp.]:[PERIODO Imp.]],CR$9)</f>
        <v>0</v>
      </c>
      <c r="CS195" s="516">
        <f>SUMIFS(Imput[[Importe Neto]:[Importe Neto]],Imput[[C. Imp.]:[C. Imp.]],$D195,Imput[[PERIODO Imp.]:[PERIODO Imp.]],CS$9)</f>
        <v>0</v>
      </c>
      <c r="CT195" s="516">
        <f>SUMIFS(Imput[[Importe Neto]:[Importe Neto]],Imput[[C. Imp.]:[C. Imp.]],$D195,Imput[[PERIODO Imp.]:[PERIODO Imp.]],CT$9)</f>
        <v>0</v>
      </c>
      <c r="CU195" s="516">
        <f>SUMIFS(Imput[[Importe Neto]:[Importe Neto]],Imput[[C. Imp.]:[C. Imp.]],$D195,Imput[[PERIODO Imp.]:[PERIODO Imp.]],CU$9)</f>
        <v>0</v>
      </c>
      <c r="CV195" s="516">
        <f>SUMIFS(Imput[[Importe Neto]:[Importe Neto]],Imput[[C. Imp.]:[C. Imp.]],$D195,Imput[[PERIODO Imp.]:[PERIODO Imp.]],CV$9)</f>
        <v>0</v>
      </c>
      <c r="CW195" s="516">
        <f>SUMIFS(Imput[[Importe Neto]:[Importe Neto]],Imput[[C. Imp.]:[C. Imp.]],$D195,Imput[[PERIODO Imp.]:[PERIODO Imp.]],CW$9)</f>
        <v>0</v>
      </c>
      <c r="CX195" s="516">
        <f>SUMIFS(Imput[[Importe Neto]:[Importe Neto]],Imput[[C. Imp.]:[C. Imp.]],$D195,Imput[[PERIODO Imp.]:[PERIODO Imp.]],CX$9)</f>
        <v>0</v>
      </c>
      <c r="CY195" s="516">
        <f>SUMIFS(Imput[[Importe Neto]:[Importe Neto]],Imput[[C. Imp.]:[C. Imp.]],$D195,Imput[[PERIODO Imp.]:[PERIODO Imp.]],CY$9)</f>
        <v>0</v>
      </c>
      <c r="CZ195" s="516">
        <f>SUMIFS(Imput[[Importe Neto]:[Importe Neto]],Imput[[C. Imp.]:[C. Imp.]],$D195,Imput[[PERIODO Imp.]:[PERIODO Imp.]],CZ$9)</f>
        <v>0</v>
      </c>
      <c r="DA195" s="516">
        <f>SUMIFS(Imput[[Importe Neto]:[Importe Neto]],Imput[[C. Imp.]:[C. Imp.]],$D195,Imput[[PERIODO Imp.]:[PERIODO Imp.]],DA$9)</f>
        <v>0</v>
      </c>
      <c r="DB195" s="516">
        <f>SUMIFS(Imput[[Importe Neto]:[Importe Neto]],Imput[[C. Imp.]:[C. Imp.]],$D195,Imput[[PERIODO Imp.]:[PERIODO Imp.]],DB$9)</f>
        <v>0</v>
      </c>
      <c r="DC195" s="516">
        <f>SUMIFS(Imput[[Importe Neto]:[Importe Neto]],Imput[[C. Imp.]:[C. Imp.]],$D195,Imput[[PERIODO Imp.]:[PERIODO Imp.]],DC$9)</f>
        <v>0</v>
      </c>
      <c r="DD195" s="516">
        <f>SUMIFS(Imput[[Importe Neto]:[Importe Neto]],Imput[[C. Imp.]:[C. Imp.]],$D195,Imput[[PERIODO Imp.]:[PERIODO Imp.]],DD$9)</f>
        <v>0</v>
      </c>
      <c r="DE195" s="516">
        <f>SUMIFS(Imput[[Importe Neto]:[Importe Neto]],Imput[[C. Imp.]:[C. Imp.]],$D195,Imput[[PERIODO Imp.]:[PERIODO Imp.]],DE$9)</f>
        <v>0</v>
      </c>
      <c r="DF195" s="516">
        <f>SUMIFS(Imput[[Importe Neto]:[Importe Neto]],Imput[[C. Imp.]:[C. Imp.]],$D195,Imput[[PERIODO Imp.]:[PERIODO Imp.]],DF$9)</f>
        <v>0</v>
      </c>
      <c r="DG195" s="516">
        <f>SUMIFS(Imput[[Importe Neto]:[Importe Neto]],Imput[[C. Imp.]:[C. Imp.]],$D195,Imput[[PERIODO Imp.]:[PERIODO Imp.]],DG$9)</f>
        <v>0</v>
      </c>
      <c r="DH195" s="616">
        <f>SUMIFS(Imput[[Importe Neto]:[Importe Neto]],Imput[[C. Imp.]:[C. Imp.]],$D195,Imput[[PERIODO Imp.]:[PERIODO Imp.]],DH$9)</f>
        <v>0</v>
      </c>
    </row>
    <row r="196" spans="1:112" ht="14.4" hidden="1" outlineLevel="1" thickBot="1" x14ac:dyDescent="0.35">
      <c r="A196" s="66" t="str">
        <f t="shared" si="90"/>
        <v/>
      </c>
      <c r="C196" s="527"/>
      <c r="D196" s="528" t="s">
        <v>2296</v>
      </c>
      <c r="E196" s="528"/>
      <c r="F196" s="534"/>
      <c r="G196" s="529"/>
      <c r="H196" s="531"/>
      <c r="I196" s="849" t="str">
        <f t="shared" si="91"/>
        <v/>
      </c>
      <c r="J196" s="850" t="str">
        <f t="shared" si="92"/>
        <v/>
      </c>
      <c r="K196" s="70"/>
      <c r="L196" s="853"/>
      <c r="M196" s="855"/>
      <c r="N196" s="855"/>
      <c r="O196" s="855"/>
      <c r="P196" s="855"/>
      <c r="Q196" s="855"/>
      <c r="R196" s="855"/>
      <c r="S196" s="855"/>
      <c r="T196" s="855"/>
      <c r="U196" s="855"/>
      <c r="V196" s="855"/>
      <c r="W196" s="855"/>
      <c r="X196" s="855"/>
      <c r="Y196" s="855"/>
      <c r="Z196" s="856"/>
      <c r="AA196" s="856"/>
      <c r="AB196" s="856"/>
      <c r="AC196" s="856"/>
      <c r="AD196" s="856"/>
      <c r="AE196" s="856"/>
      <c r="AF196" s="856"/>
      <c r="AG196" s="856"/>
      <c r="AH196" s="856"/>
      <c r="AI196" s="856"/>
      <c r="AJ196" s="856"/>
      <c r="AK196" s="856"/>
      <c r="AL196" s="856"/>
      <c r="AM196" s="856"/>
      <c r="AN196" s="856"/>
      <c r="AO196" s="856"/>
      <c r="AP196" s="856"/>
      <c r="AQ196" s="856"/>
      <c r="AR196" s="856"/>
      <c r="AS196" s="856"/>
      <c r="AT196" s="856"/>
      <c r="AU196" s="856"/>
      <c r="AV196" s="856"/>
      <c r="AW196" s="856"/>
      <c r="AX196" s="856"/>
      <c r="AY196" s="856"/>
      <c r="AZ196" s="856"/>
      <c r="BA196" s="856"/>
      <c r="BB196" s="856"/>
      <c r="BC196" s="856"/>
      <c r="BD196" s="856"/>
      <c r="BE196" s="856"/>
      <c r="BF196" s="856"/>
      <c r="BG196" s="857"/>
      <c r="BH196" s="590"/>
      <c r="BI196" s="70"/>
      <c r="BJ196" s="518">
        <f t="shared" si="93"/>
        <v>0</v>
      </c>
      <c r="BK196" s="517">
        <f t="shared" si="94"/>
        <v>0</v>
      </c>
      <c r="BL196" s="68"/>
      <c r="BM196" s="515">
        <f>SUMIFS(Imput[[Importe Neto]:[Importe Neto]],Imput[[C. Imp.]:[C. Imp.]],$D196,Imput[[PERIODO Imp.]:[PERIODO Imp.]],BM$9)</f>
        <v>0</v>
      </c>
      <c r="BN196" s="516">
        <f>SUMIFS(Imput[[Importe Neto]:[Importe Neto]],Imput[[C. Imp.]:[C. Imp.]],$D196,Imput[[PERIODO Imp.]:[PERIODO Imp.]],BN$9)</f>
        <v>0</v>
      </c>
      <c r="BO196" s="516">
        <f>SUMIFS(Imput[[Importe Neto]:[Importe Neto]],Imput[[C. Imp.]:[C. Imp.]],$D196,Imput[[PERIODO Imp.]:[PERIODO Imp.]],BO$9)</f>
        <v>0</v>
      </c>
      <c r="BP196" s="516">
        <f>SUMIFS(Imput[[Importe Neto]:[Importe Neto]],Imput[[C. Imp.]:[C. Imp.]],$D196,Imput[[PERIODO Imp.]:[PERIODO Imp.]],BP$9)</f>
        <v>0</v>
      </c>
      <c r="BQ196" s="516">
        <f>SUMIFS(Imput[[Importe Neto]:[Importe Neto]],Imput[[C. Imp.]:[C. Imp.]],$D196,Imput[[PERIODO Imp.]:[PERIODO Imp.]],BQ$9)</f>
        <v>0</v>
      </c>
      <c r="BR196" s="516">
        <f>SUMIFS(Imput[[Importe Neto]:[Importe Neto]],Imput[[C. Imp.]:[C. Imp.]],$D196,Imput[[PERIODO Imp.]:[PERIODO Imp.]],BR$9)</f>
        <v>0</v>
      </c>
      <c r="BS196" s="516">
        <f>SUMIFS(Imput[[Importe Neto]:[Importe Neto]],Imput[[C. Imp.]:[C. Imp.]],$D196,Imput[[PERIODO Imp.]:[PERIODO Imp.]],BS$9)</f>
        <v>0</v>
      </c>
      <c r="BT196" s="516">
        <f>SUMIFS(Imput[[Importe Neto]:[Importe Neto]],Imput[[C. Imp.]:[C. Imp.]],$D196,Imput[[PERIODO Imp.]:[PERIODO Imp.]],BT$9)</f>
        <v>0</v>
      </c>
      <c r="BU196" s="516">
        <f>SUMIFS(Imput[[Importe Neto]:[Importe Neto]],Imput[[C. Imp.]:[C. Imp.]],$D196,Imput[[PERIODO Imp.]:[PERIODO Imp.]],BU$9)</f>
        <v>0</v>
      </c>
      <c r="BV196" s="516">
        <f>SUMIFS(Imput[[Importe Neto]:[Importe Neto]],Imput[[C. Imp.]:[C. Imp.]],$D196,Imput[[PERIODO Imp.]:[PERIODO Imp.]],BV$9)</f>
        <v>0</v>
      </c>
      <c r="BW196" s="516">
        <f>SUMIFS(Imput[[Importe Neto]:[Importe Neto]],Imput[[C. Imp.]:[C. Imp.]],$D196,Imput[[PERIODO Imp.]:[PERIODO Imp.]],BW$9)</f>
        <v>0</v>
      </c>
      <c r="BX196" s="516">
        <f>SUMIFS(Imput[[Importe Neto]:[Importe Neto]],Imput[[C. Imp.]:[C. Imp.]],$D196,Imput[[PERIODO Imp.]:[PERIODO Imp.]],BX$9)</f>
        <v>0</v>
      </c>
      <c r="BY196" s="516">
        <f>SUMIFS(Imput[[Importe Neto]:[Importe Neto]],Imput[[C. Imp.]:[C. Imp.]],$D196,Imput[[PERIODO Imp.]:[PERIODO Imp.]],BY$9)</f>
        <v>0</v>
      </c>
      <c r="BZ196" s="516">
        <f>SUMIFS(Imput[[Importe Neto]:[Importe Neto]],Imput[[C. Imp.]:[C. Imp.]],$D196,Imput[[PERIODO Imp.]:[PERIODO Imp.]],BZ$9)</f>
        <v>0</v>
      </c>
      <c r="CA196" s="516">
        <f>SUMIFS(Imput[[Importe Neto]:[Importe Neto]],Imput[[C. Imp.]:[C. Imp.]],$D196,Imput[[PERIODO Imp.]:[PERIODO Imp.]],CA$9)</f>
        <v>0</v>
      </c>
      <c r="CB196" s="516">
        <f>SUMIFS(Imput[[Importe Neto]:[Importe Neto]],Imput[[C. Imp.]:[C. Imp.]],$D196,Imput[[PERIODO Imp.]:[PERIODO Imp.]],CB$9)</f>
        <v>0</v>
      </c>
      <c r="CC196" s="516">
        <f>SUMIFS(Imput[[Importe Neto]:[Importe Neto]],Imput[[C. Imp.]:[C. Imp.]],$D196,Imput[[PERIODO Imp.]:[PERIODO Imp.]],CC$9)</f>
        <v>0</v>
      </c>
      <c r="CD196" s="516">
        <f>SUMIFS(Imput[[Importe Neto]:[Importe Neto]],Imput[[C. Imp.]:[C. Imp.]],$D196,Imput[[PERIODO Imp.]:[PERIODO Imp.]],CD$9)</f>
        <v>0</v>
      </c>
      <c r="CE196" s="516">
        <f>SUMIFS(Imput[[Importe Neto]:[Importe Neto]],Imput[[C. Imp.]:[C. Imp.]],$D196,Imput[[PERIODO Imp.]:[PERIODO Imp.]],CE$9)</f>
        <v>0</v>
      </c>
      <c r="CF196" s="516">
        <f>SUMIFS(Imput[[Importe Neto]:[Importe Neto]],Imput[[C. Imp.]:[C. Imp.]],$D196,Imput[[PERIODO Imp.]:[PERIODO Imp.]],CF$9)</f>
        <v>0</v>
      </c>
      <c r="CG196" s="516">
        <f>SUMIFS(Imput[[Importe Neto]:[Importe Neto]],Imput[[C. Imp.]:[C. Imp.]],$D196,Imput[[PERIODO Imp.]:[PERIODO Imp.]],CG$9)</f>
        <v>0</v>
      </c>
      <c r="CH196" s="516">
        <f>SUMIFS(Imput[[Importe Neto]:[Importe Neto]],Imput[[C. Imp.]:[C. Imp.]],$D196,Imput[[PERIODO Imp.]:[PERIODO Imp.]],CH$9)</f>
        <v>0</v>
      </c>
      <c r="CI196" s="516">
        <f>SUMIFS(Imput[[Importe Neto]:[Importe Neto]],Imput[[C. Imp.]:[C. Imp.]],$D196,Imput[[PERIODO Imp.]:[PERIODO Imp.]],CI$9)</f>
        <v>0</v>
      </c>
      <c r="CJ196" s="516">
        <f>SUMIFS(Imput[[Importe Neto]:[Importe Neto]],Imput[[C. Imp.]:[C. Imp.]],$D196,Imput[[PERIODO Imp.]:[PERIODO Imp.]],CJ$9)</f>
        <v>0</v>
      </c>
      <c r="CK196" s="516">
        <f>SUMIFS(Imput[[Importe Neto]:[Importe Neto]],Imput[[C. Imp.]:[C. Imp.]],$D196,Imput[[PERIODO Imp.]:[PERIODO Imp.]],CK$9)</f>
        <v>0</v>
      </c>
      <c r="CL196" s="516">
        <f>SUMIFS(Imput[[Importe Neto]:[Importe Neto]],Imput[[C. Imp.]:[C. Imp.]],$D196,Imput[[PERIODO Imp.]:[PERIODO Imp.]],CL$9)</f>
        <v>0</v>
      </c>
      <c r="CM196" s="516">
        <f>SUMIFS(Imput[[Importe Neto]:[Importe Neto]],Imput[[C. Imp.]:[C. Imp.]],$D196,Imput[[PERIODO Imp.]:[PERIODO Imp.]],CM$9)</f>
        <v>0</v>
      </c>
      <c r="CN196" s="516">
        <f>SUMIFS(Imput[[Importe Neto]:[Importe Neto]],Imput[[C. Imp.]:[C. Imp.]],$D196,Imput[[PERIODO Imp.]:[PERIODO Imp.]],CN$9)</f>
        <v>0</v>
      </c>
      <c r="CO196" s="516">
        <f>SUMIFS(Imput[[Importe Neto]:[Importe Neto]],Imput[[C. Imp.]:[C. Imp.]],$D196,Imput[[PERIODO Imp.]:[PERIODO Imp.]],CO$9)</f>
        <v>0</v>
      </c>
      <c r="CP196" s="516">
        <f>SUMIFS(Imput[[Importe Neto]:[Importe Neto]],Imput[[C. Imp.]:[C. Imp.]],$D196,Imput[[PERIODO Imp.]:[PERIODO Imp.]],CP$9)</f>
        <v>0</v>
      </c>
      <c r="CQ196" s="516">
        <f>SUMIFS(Imput[[Importe Neto]:[Importe Neto]],Imput[[C. Imp.]:[C. Imp.]],$D196,Imput[[PERIODO Imp.]:[PERIODO Imp.]],CQ$9)</f>
        <v>0</v>
      </c>
      <c r="CR196" s="516">
        <f>SUMIFS(Imput[[Importe Neto]:[Importe Neto]],Imput[[C. Imp.]:[C. Imp.]],$D196,Imput[[PERIODO Imp.]:[PERIODO Imp.]],CR$9)</f>
        <v>0</v>
      </c>
      <c r="CS196" s="516">
        <f>SUMIFS(Imput[[Importe Neto]:[Importe Neto]],Imput[[C. Imp.]:[C. Imp.]],$D196,Imput[[PERIODO Imp.]:[PERIODO Imp.]],CS$9)</f>
        <v>0</v>
      </c>
      <c r="CT196" s="516">
        <f>SUMIFS(Imput[[Importe Neto]:[Importe Neto]],Imput[[C. Imp.]:[C. Imp.]],$D196,Imput[[PERIODO Imp.]:[PERIODO Imp.]],CT$9)</f>
        <v>0</v>
      </c>
      <c r="CU196" s="516">
        <f>SUMIFS(Imput[[Importe Neto]:[Importe Neto]],Imput[[C. Imp.]:[C. Imp.]],$D196,Imput[[PERIODO Imp.]:[PERIODO Imp.]],CU$9)</f>
        <v>0</v>
      </c>
      <c r="CV196" s="516">
        <f>SUMIFS(Imput[[Importe Neto]:[Importe Neto]],Imput[[C. Imp.]:[C. Imp.]],$D196,Imput[[PERIODO Imp.]:[PERIODO Imp.]],CV$9)</f>
        <v>0</v>
      </c>
      <c r="CW196" s="516">
        <f>SUMIFS(Imput[[Importe Neto]:[Importe Neto]],Imput[[C. Imp.]:[C. Imp.]],$D196,Imput[[PERIODO Imp.]:[PERIODO Imp.]],CW$9)</f>
        <v>0</v>
      </c>
      <c r="CX196" s="516">
        <f>SUMIFS(Imput[[Importe Neto]:[Importe Neto]],Imput[[C. Imp.]:[C. Imp.]],$D196,Imput[[PERIODO Imp.]:[PERIODO Imp.]],CX$9)</f>
        <v>0</v>
      </c>
      <c r="CY196" s="516">
        <f>SUMIFS(Imput[[Importe Neto]:[Importe Neto]],Imput[[C. Imp.]:[C. Imp.]],$D196,Imput[[PERIODO Imp.]:[PERIODO Imp.]],CY$9)</f>
        <v>0</v>
      </c>
      <c r="CZ196" s="516">
        <f>SUMIFS(Imput[[Importe Neto]:[Importe Neto]],Imput[[C. Imp.]:[C. Imp.]],$D196,Imput[[PERIODO Imp.]:[PERIODO Imp.]],CZ$9)</f>
        <v>0</v>
      </c>
      <c r="DA196" s="516">
        <f>SUMIFS(Imput[[Importe Neto]:[Importe Neto]],Imput[[C. Imp.]:[C. Imp.]],$D196,Imput[[PERIODO Imp.]:[PERIODO Imp.]],DA$9)</f>
        <v>0</v>
      </c>
      <c r="DB196" s="516">
        <f>SUMIFS(Imput[[Importe Neto]:[Importe Neto]],Imput[[C. Imp.]:[C. Imp.]],$D196,Imput[[PERIODO Imp.]:[PERIODO Imp.]],DB$9)</f>
        <v>0</v>
      </c>
      <c r="DC196" s="516">
        <f>SUMIFS(Imput[[Importe Neto]:[Importe Neto]],Imput[[C. Imp.]:[C. Imp.]],$D196,Imput[[PERIODO Imp.]:[PERIODO Imp.]],DC$9)</f>
        <v>0</v>
      </c>
      <c r="DD196" s="516">
        <f>SUMIFS(Imput[[Importe Neto]:[Importe Neto]],Imput[[C. Imp.]:[C. Imp.]],$D196,Imput[[PERIODO Imp.]:[PERIODO Imp.]],DD$9)</f>
        <v>0</v>
      </c>
      <c r="DE196" s="516">
        <f>SUMIFS(Imput[[Importe Neto]:[Importe Neto]],Imput[[C. Imp.]:[C. Imp.]],$D196,Imput[[PERIODO Imp.]:[PERIODO Imp.]],DE$9)</f>
        <v>0</v>
      </c>
      <c r="DF196" s="516">
        <f>SUMIFS(Imput[[Importe Neto]:[Importe Neto]],Imput[[C. Imp.]:[C. Imp.]],$D196,Imput[[PERIODO Imp.]:[PERIODO Imp.]],DF$9)</f>
        <v>0</v>
      </c>
      <c r="DG196" s="516">
        <f>SUMIFS(Imput[[Importe Neto]:[Importe Neto]],Imput[[C. Imp.]:[C. Imp.]],$D196,Imput[[PERIODO Imp.]:[PERIODO Imp.]],DG$9)</f>
        <v>0</v>
      </c>
      <c r="DH196" s="616">
        <f>SUMIFS(Imput[[Importe Neto]:[Importe Neto]],Imput[[C. Imp.]:[C. Imp.]],$D196,Imput[[PERIODO Imp.]:[PERIODO Imp.]],DH$9)</f>
        <v>0</v>
      </c>
    </row>
    <row r="197" spans="1:112" ht="14.4" hidden="1" outlineLevel="1" thickBot="1" x14ac:dyDescent="0.35">
      <c r="A197" s="66" t="str">
        <f t="shared" si="90"/>
        <v/>
      </c>
      <c r="C197" s="527"/>
      <c r="D197" s="528" t="s">
        <v>2297</v>
      </c>
      <c r="E197" s="528"/>
      <c r="F197" s="534"/>
      <c r="G197" s="529"/>
      <c r="H197" s="531"/>
      <c r="I197" s="849" t="str">
        <f t="shared" si="91"/>
        <v/>
      </c>
      <c r="J197" s="850" t="str">
        <f t="shared" si="92"/>
        <v/>
      </c>
      <c r="K197" s="70"/>
      <c r="L197" s="853"/>
      <c r="M197" s="855"/>
      <c r="N197" s="855"/>
      <c r="O197" s="855"/>
      <c r="P197" s="855"/>
      <c r="Q197" s="855"/>
      <c r="R197" s="855"/>
      <c r="S197" s="855"/>
      <c r="T197" s="855"/>
      <c r="U197" s="855"/>
      <c r="V197" s="855"/>
      <c r="W197" s="855"/>
      <c r="X197" s="855"/>
      <c r="Y197" s="855"/>
      <c r="Z197" s="856"/>
      <c r="AA197" s="856"/>
      <c r="AB197" s="856"/>
      <c r="AC197" s="856"/>
      <c r="AD197" s="856"/>
      <c r="AE197" s="856"/>
      <c r="AF197" s="856"/>
      <c r="AG197" s="856"/>
      <c r="AH197" s="856"/>
      <c r="AI197" s="856"/>
      <c r="AJ197" s="856"/>
      <c r="AK197" s="856"/>
      <c r="AL197" s="856"/>
      <c r="AM197" s="856"/>
      <c r="AN197" s="856"/>
      <c r="AO197" s="856"/>
      <c r="AP197" s="856"/>
      <c r="AQ197" s="856"/>
      <c r="AR197" s="856"/>
      <c r="AS197" s="856"/>
      <c r="AT197" s="856"/>
      <c r="AU197" s="856"/>
      <c r="AV197" s="856"/>
      <c r="AW197" s="856"/>
      <c r="AX197" s="856"/>
      <c r="AY197" s="856"/>
      <c r="AZ197" s="856"/>
      <c r="BA197" s="856"/>
      <c r="BB197" s="856"/>
      <c r="BC197" s="856"/>
      <c r="BD197" s="856"/>
      <c r="BE197" s="856"/>
      <c r="BF197" s="856"/>
      <c r="BG197" s="857"/>
      <c r="BH197" s="590"/>
      <c r="BI197" s="70"/>
      <c r="BJ197" s="518">
        <f t="shared" si="93"/>
        <v>0</v>
      </c>
      <c r="BK197" s="517">
        <f t="shared" si="94"/>
        <v>0</v>
      </c>
      <c r="BL197" s="68"/>
      <c r="BM197" s="515">
        <f>SUMIFS(Imput[[Importe Neto]:[Importe Neto]],Imput[[C. Imp.]:[C. Imp.]],$D197,Imput[[PERIODO Imp.]:[PERIODO Imp.]],BM$9)</f>
        <v>0</v>
      </c>
      <c r="BN197" s="516">
        <f>SUMIFS(Imput[[Importe Neto]:[Importe Neto]],Imput[[C. Imp.]:[C. Imp.]],$D197,Imput[[PERIODO Imp.]:[PERIODO Imp.]],BN$9)</f>
        <v>0</v>
      </c>
      <c r="BO197" s="516">
        <f>SUMIFS(Imput[[Importe Neto]:[Importe Neto]],Imput[[C. Imp.]:[C. Imp.]],$D197,Imput[[PERIODO Imp.]:[PERIODO Imp.]],BO$9)</f>
        <v>0</v>
      </c>
      <c r="BP197" s="516">
        <f>SUMIFS(Imput[[Importe Neto]:[Importe Neto]],Imput[[C. Imp.]:[C. Imp.]],$D197,Imput[[PERIODO Imp.]:[PERIODO Imp.]],BP$9)</f>
        <v>0</v>
      </c>
      <c r="BQ197" s="516">
        <f>SUMIFS(Imput[[Importe Neto]:[Importe Neto]],Imput[[C. Imp.]:[C. Imp.]],$D197,Imput[[PERIODO Imp.]:[PERIODO Imp.]],BQ$9)</f>
        <v>0</v>
      </c>
      <c r="BR197" s="516">
        <f>SUMIFS(Imput[[Importe Neto]:[Importe Neto]],Imput[[C. Imp.]:[C. Imp.]],$D197,Imput[[PERIODO Imp.]:[PERIODO Imp.]],BR$9)</f>
        <v>0</v>
      </c>
      <c r="BS197" s="516">
        <f>SUMIFS(Imput[[Importe Neto]:[Importe Neto]],Imput[[C. Imp.]:[C. Imp.]],$D197,Imput[[PERIODO Imp.]:[PERIODO Imp.]],BS$9)</f>
        <v>0</v>
      </c>
      <c r="BT197" s="516">
        <f>SUMIFS(Imput[[Importe Neto]:[Importe Neto]],Imput[[C. Imp.]:[C. Imp.]],$D197,Imput[[PERIODO Imp.]:[PERIODO Imp.]],BT$9)</f>
        <v>0</v>
      </c>
      <c r="BU197" s="516">
        <f>SUMIFS(Imput[[Importe Neto]:[Importe Neto]],Imput[[C. Imp.]:[C. Imp.]],$D197,Imput[[PERIODO Imp.]:[PERIODO Imp.]],BU$9)</f>
        <v>0</v>
      </c>
      <c r="BV197" s="516">
        <f>SUMIFS(Imput[[Importe Neto]:[Importe Neto]],Imput[[C. Imp.]:[C. Imp.]],$D197,Imput[[PERIODO Imp.]:[PERIODO Imp.]],BV$9)</f>
        <v>0</v>
      </c>
      <c r="BW197" s="516">
        <f>SUMIFS(Imput[[Importe Neto]:[Importe Neto]],Imput[[C. Imp.]:[C. Imp.]],$D197,Imput[[PERIODO Imp.]:[PERIODO Imp.]],BW$9)</f>
        <v>0</v>
      </c>
      <c r="BX197" s="516">
        <f>SUMIFS(Imput[[Importe Neto]:[Importe Neto]],Imput[[C. Imp.]:[C. Imp.]],$D197,Imput[[PERIODO Imp.]:[PERIODO Imp.]],BX$9)</f>
        <v>0</v>
      </c>
      <c r="BY197" s="516">
        <f>SUMIFS(Imput[[Importe Neto]:[Importe Neto]],Imput[[C. Imp.]:[C. Imp.]],$D197,Imput[[PERIODO Imp.]:[PERIODO Imp.]],BY$9)</f>
        <v>0</v>
      </c>
      <c r="BZ197" s="516">
        <f>SUMIFS(Imput[[Importe Neto]:[Importe Neto]],Imput[[C. Imp.]:[C. Imp.]],$D197,Imput[[PERIODO Imp.]:[PERIODO Imp.]],BZ$9)</f>
        <v>0</v>
      </c>
      <c r="CA197" s="516">
        <f>SUMIFS(Imput[[Importe Neto]:[Importe Neto]],Imput[[C. Imp.]:[C. Imp.]],$D197,Imput[[PERIODO Imp.]:[PERIODO Imp.]],CA$9)</f>
        <v>0</v>
      </c>
      <c r="CB197" s="516">
        <f>SUMIFS(Imput[[Importe Neto]:[Importe Neto]],Imput[[C. Imp.]:[C. Imp.]],$D197,Imput[[PERIODO Imp.]:[PERIODO Imp.]],CB$9)</f>
        <v>0</v>
      </c>
      <c r="CC197" s="516">
        <f>SUMIFS(Imput[[Importe Neto]:[Importe Neto]],Imput[[C. Imp.]:[C. Imp.]],$D197,Imput[[PERIODO Imp.]:[PERIODO Imp.]],CC$9)</f>
        <v>0</v>
      </c>
      <c r="CD197" s="516">
        <f>SUMIFS(Imput[[Importe Neto]:[Importe Neto]],Imput[[C. Imp.]:[C. Imp.]],$D197,Imput[[PERIODO Imp.]:[PERIODO Imp.]],CD$9)</f>
        <v>0</v>
      </c>
      <c r="CE197" s="516">
        <f>SUMIFS(Imput[[Importe Neto]:[Importe Neto]],Imput[[C. Imp.]:[C. Imp.]],$D197,Imput[[PERIODO Imp.]:[PERIODO Imp.]],CE$9)</f>
        <v>0</v>
      </c>
      <c r="CF197" s="516">
        <f>SUMIFS(Imput[[Importe Neto]:[Importe Neto]],Imput[[C. Imp.]:[C. Imp.]],$D197,Imput[[PERIODO Imp.]:[PERIODO Imp.]],CF$9)</f>
        <v>0</v>
      </c>
      <c r="CG197" s="516">
        <f>SUMIFS(Imput[[Importe Neto]:[Importe Neto]],Imput[[C. Imp.]:[C. Imp.]],$D197,Imput[[PERIODO Imp.]:[PERIODO Imp.]],CG$9)</f>
        <v>0</v>
      </c>
      <c r="CH197" s="516">
        <f>SUMIFS(Imput[[Importe Neto]:[Importe Neto]],Imput[[C. Imp.]:[C. Imp.]],$D197,Imput[[PERIODO Imp.]:[PERIODO Imp.]],CH$9)</f>
        <v>0</v>
      </c>
      <c r="CI197" s="516">
        <f>SUMIFS(Imput[[Importe Neto]:[Importe Neto]],Imput[[C. Imp.]:[C. Imp.]],$D197,Imput[[PERIODO Imp.]:[PERIODO Imp.]],CI$9)</f>
        <v>0</v>
      </c>
      <c r="CJ197" s="516">
        <f>SUMIFS(Imput[[Importe Neto]:[Importe Neto]],Imput[[C. Imp.]:[C. Imp.]],$D197,Imput[[PERIODO Imp.]:[PERIODO Imp.]],CJ$9)</f>
        <v>0</v>
      </c>
      <c r="CK197" s="516">
        <f>SUMIFS(Imput[[Importe Neto]:[Importe Neto]],Imput[[C. Imp.]:[C. Imp.]],$D197,Imput[[PERIODO Imp.]:[PERIODO Imp.]],CK$9)</f>
        <v>0</v>
      </c>
      <c r="CL197" s="516">
        <f>SUMIFS(Imput[[Importe Neto]:[Importe Neto]],Imput[[C. Imp.]:[C. Imp.]],$D197,Imput[[PERIODO Imp.]:[PERIODO Imp.]],CL$9)</f>
        <v>0</v>
      </c>
      <c r="CM197" s="516">
        <f>SUMIFS(Imput[[Importe Neto]:[Importe Neto]],Imput[[C. Imp.]:[C. Imp.]],$D197,Imput[[PERIODO Imp.]:[PERIODO Imp.]],CM$9)</f>
        <v>0</v>
      </c>
      <c r="CN197" s="516">
        <f>SUMIFS(Imput[[Importe Neto]:[Importe Neto]],Imput[[C. Imp.]:[C. Imp.]],$D197,Imput[[PERIODO Imp.]:[PERIODO Imp.]],CN$9)</f>
        <v>0</v>
      </c>
      <c r="CO197" s="516">
        <f>SUMIFS(Imput[[Importe Neto]:[Importe Neto]],Imput[[C. Imp.]:[C. Imp.]],$D197,Imput[[PERIODO Imp.]:[PERIODO Imp.]],CO$9)</f>
        <v>0</v>
      </c>
      <c r="CP197" s="516">
        <f>SUMIFS(Imput[[Importe Neto]:[Importe Neto]],Imput[[C. Imp.]:[C. Imp.]],$D197,Imput[[PERIODO Imp.]:[PERIODO Imp.]],CP$9)</f>
        <v>0</v>
      </c>
      <c r="CQ197" s="516">
        <f>SUMIFS(Imput[[Importe Neto]:[Importe Neto]],Imput[[C. Imp.]:[C. Imp.]],$D197,Imput[[PERIODO Imp.]:[PERIODO Imp.]],CQ$9)</f>
        <v>0</v>
      </c>
      <c r="CR197" s="516">
        <f>SUMIFS(Imput[[Importe Neto]:[Importe Neto]],Imput[[C. Imp.]:[C. Imp.]],$D197,Imput[[PERIODO Imp.]:[PERIODO Imp.]],CR$9)</f>
        <v>0</v>
      </c>
      <c r="CS197" s="516">
        <f>SUMIFS(Imput[[Importe Neto]:[Importe Neto]],Imput[[C. Imp.]:[C. Imp.]],$D197,Imput[[PERIODO Imp.]:[PERIODO Imp.]],CS$9)</f>
        <v>0</v>
      </c>
      <c r="CT197" s="516">
        <f>SUMIFS(Imput[[Importe Neto]:[Importe Neto]],Imput[[C. Imp.]:[C. Imp.]],$D197,Imput[[PERIODO Imp.]:[PERIODO Imp.]],CT$9)</f>
        <v>0</v>
      </c>
      <c r="CU197" s="516">
        <f>SUMIFS(Imput[[Importe Neto]:[Importe Neto]],Imput[[C. Imp.]:[C. Imp.]],$D197,Imput[[PERIODO Imp.]:[PERIODO Imp.]],CU$9)</f>
        <v>0</v>
      </c>
      <c r="CV197" s="516">
        <f>SUMIFS(Imput[[Importe Neto]:[Importe Neto]],Imput[[C. Imp.]:[C. Imp.]],$D197,Imput[[PERIODO Imp.]:[PERIODO Imp.]],CV$9)</f>
        <v>0</v>
      </c>
      <c r="CW197" s="516">
        <f>SUMIFS(Imput[[Importe Neto]:[Importe Neto]],Imput[[C. Imp.]:[C. Imp.]],$D197,Imput[[PERIODO Imp.]:[PERIODO Imp.]],CW$9)</f>
        <v>0</v>
      </c>
      <c r="CX197" s="516">
        <f>SUMIFS(Imput[[Importe Neto]:[Importe Neto]],Imput[[C. Imp.]:[C. Imp.]],$D197,Imput[[PERIODO Imp.]:[PERIODO Imp.]],CX$9)</f>
        <v>0</v>
      </c>
      <c r="CY197" s="516">
        <f>SUMIFS(Imput[[Importe Neto]:[Importe Neto]],Imput[[C. Imp.]:[C. Imp.]],$D197,Imput[[PERIODO Imp.]:[PERIODO Imp.]],CY$9)</f>
        <v>0</v>
      </c>
      <c r="CZ197" s="516">
        <f>SUMIFS(Imput[[Importe Neto]:[Importe Neto]],Imput[[C. Imp.]:[C. Imp.]],$D197,Imput[[PERIODO Imp.]:[PERIODO Imp.]],CZ$9)</f>
        <v>0</v>
      </c>
      <c r="DA197" s="516">
        <f>SUMIFS(Imput[[Importe Neto]:[Importe Neto]],Imput[[C. Imp.]:[C. Imp.]],$D197,Imput[[PERIODO Imp.]:[PERIODO Imp.]],DA$9)</f>
        <v>0</v>
      </c>
      <c r="DB197" s="516">
        <f>SUMIFS(Imput[[Importe Neto]:[Importe Neto]],Imput[[C. Imp.]:[C. Imp.]],$D197,Imput[[PERIODO Imp.]:[PERIODO Imp.]],DB$9)</f>
        <v>0</v>
      </c>
      <c r="DC197" s="516">
        <f>SUMIFS(Imput[[Importe Neto]:[Importe Neto]],Imput[[C. Imp.]:[C. Imp.]],$D197,Imput[[PERIODO Imp.]:[PERIODO Imp.]],DC$9)</f>
        <v>0</v>
      </c>
      <c r="DD197" s="516">
        <f>SUMIFS(Imput[[Importe Neto]:[Importe Neto]],Imput[[C. Imp.]:[C. Imp.]],$D197,Imput[[PERIODO Imp.]:[PERIODO Imp.]],DD$9)</f>
        <v>0</v>
      </c>
      <c r="DE197" s="516">
        <f>SUMIFS(Imput[[Importe Neto]:[Importe Neto]],Imput[[C. Imp.]:[C. Imp.]],$D197,Imput[[PERIODO Imp.]:[PERIODO Imp.]],DE$9)</f>
        <v>0</v>
      </c>
      <c r="DF197" s="516">
        <f>SUMIFS(Imput[[Importe Neto]:[Importe Neto]],Imput[[C. Imp.]:[C. Imp.]],$D197,Imput[[PERIODO Imp.]:[PERIODO Imp.]],DF$9)</f>
        <v>0</v>
      </c>
      <c r="DG197" s="516">
        <f>SUMIFS(Imput[[Importe Neto]:[Importe Neto]],Imput[[C. Imp.]:[C. Imp.]],$D197,Imput[[PERIODO Imp.]:[PERIODO Imp.]],DG$9)</f>
        <v>0</v>
      </c>
      <c r="DH197" s="616">
        <f>SUMIFS(Imput[[Importe Neto]:[Importe Neto]],Imput[[C. Imp.]:[C. Imp.]],$D197,Imput[[PERIODO Imp.]:[PERIODO Imp.]],DH$9)</f>
        <v>0</v>
      </c>
    </row>
    <row r="198" spans="1:112" ht="14.4" hidden="1" outlineLevel="1" thickBot="1" x14ac:dyDescent="0.35">
      <c r="A198" s="66" t="str">
        <f t="shared" si="90"/>
        <v/>
      </c>
      <c r="C198" s="527"/>
      <c r="D198" s="528" t="s">
        <v>2298</v>
      </c>
      <c r="E198" s="528"/>
      <c r="F198" s="534"/>
      <c r="G198" s="529"/>
      <c r="H198" s="531"/>
      <c r="I198" s="849" t="str">
        <f t="shared" si="91"/>
        <v/>
      </c>
      <c r="J198" s="850" t="str">
        <f t="shared" si="92"/>
        <v/>
      </c>
      <c r="K198" s="70"/>
      <c r="L198" s="853"/>
      <c r="M198" s="855"/>
      <c r="N198" s="855"/>
      <c r="O198" s="855"/>
      <c r="P198" s="855"/>
      <c r="Q198" s="855"/>
      <c r="R198" s="855"/>
      <c r="S198" s="855"/>
      <c r="T198" s="855"/>
      <c r="U198" s="855"/>
      <c r="V198" s="855"/>
      <c r="W198" s="855"/>
      <c r="X198" s="855"/>
      <c r="Y198" s="855"/>
      <c r="Z198" s="856"/>
      <c r="AA198" s="856"/>
      <c r="AB198" s="856"/>
      <c r="AC198" s="856"/>
      <c r="AD198" s="856"/>
      <c r="AE198" s="856"/>
      <c r="AF198" s="856"/>
      <c r="AG198" s="856"/>
      <c r="AH198" s="856"/>
      <c r="AI198" s="856"/>
      <c r="AJ198" s="856"/>
      <c r="AK198" s="856"/>
      <c r="AL198" s="856"/>
      <c r="AM198" s="856"/>
      <c r="AN198" s="856"/>
      <c r="AO198" s="856"/>
      <c r="AP198" s="856"/>
      <c r="AQ198" s="856"/>
      <c r="AR198" s="856"/>
      <c r="AS198" s="856"/>
      <c r="AT198" s="856"/>
      <c r="AU198" s="856"/>
      <c r="AV198" s="856"/>
      <c r="AW198" s="856"/>
      <c r="AX198" s="856"/>
      <c r="AY198" s="856"/>
      <c r="AZ198" s="856"/>
      <c r="BA198" s="856"/>
      <c r="BB198" s="856"/>
      <c r="BC198" s="856"/>
      <c r="BD198" s="856"/>
      <c r="BE198" s="856"/>
      <c r="BF198" s="856"/>
      <c r="BG198" s="857"/>
      <c r="BH198" s="590"/>
      <c r="BI198" s="70"/>
      <c r="BJ198" s="518">
        <f t="shared" si="93"/>
        <v>0</v>
      </c>
      <c r="BK198" s="517">
        <f t="shared" si="94"/>
        <v>0</v>
      </c>
      <c r="BL198" s="68"/>
      <c r="BM198" s="515">
        <f>SUMIFS(Imput[[Importe Neto]:[Importe Neto]],Imput[[C. Imp.]:[C. Imp.]],$D198,Imput[[PERIODO Imp.]:[PERIODO Imp.]],BM$9)</f>
        <v>0</v>
      </c>
      <c r="BN198" s="516">
        <f>SUMIFS(Imput[[Importe Neto]:[Importe Neto]],Imput[[C. Imp.]:[C. Imp.]],$D198,Imput[[PERIODO Imp.]:[PERIODO Imp.]],BN$9)</f>
        <v>0</v>
      </c>
      <c r="BO198" s="516">
        <f>SUMIFS(Imput[[Importe Neto]:[Importe Neto]],Imput[[C. Imp.]:[C. Imp.]],$D198,Imput[[PERIODO Imp.]:[PERIODO Imp.]],BO$9)</f>
        <v>0</v>
      </c>
      <c r="BP198" s="516">
        <f>SUMIFS(Imput[[Importe Neto]:[Importe Neto]],Imput[[C. Imp.]:[C. Imp.]],$D198,Imput[[PERIODO Imp.]:[PERIODO Imp.]],BP$9)</f>
        <v>0</v>
      </c>
      <c r="BQ198" s="516">
        <f>SUMIFS(Imput[[Importe Neto]:[Importe Neto]],Imput[[C. Imp.]:[C. Imp.]],$D198,Imput[[PERIODO Imp.]:[PERIODO Imp.]],BQ$9)</f>
        <v>0</v>
      </c>
      <c r="BR198" s="516">
        <f>SUMIFS(Imput[[Importe Neto]:[Importe Neto]],Imput[[C. Imp.]:[C. Imp.]],$D198,Imput[[PERIODO Imp.]:[PERIODO Imp.]],BR$9)</f>
        <v>0</v>
      </c>
      <c r="BS198" s="516">
        <f>SUMIFS(Imput[[Importe Neto]:[Importe Neto]],Imput[[C. Imp.]:[C. Imp.]],$D198,Imput[[PERIODO Imp.]:[PERIODO Imp.]],BS$9)</f>
        <v>0</v>
      </c>
      <c r="BT198" s="516">
        <f>SUMIFS(Imput[[Importe Neto]:[Importe Neto]],Imput[[C. Imp.]:[C. Imp.]],$D198,Imput[[PERIODO Imp.]:[PERIODO Imp.]],BT$9)</f>
        <v>0</v>
      </c>
      <c r="BU198" s="516">
        <f>SUMIFS(Imput[[Importe Neto]:[Importe Neto]],Imput[[C. Imp.]:[C. Imp.]],$D198,Imput[[PERIODO Imp.]:[PERIODO Imp.]],BU$9)</f>
        <v>0</v>
      </c>
      <c r="BV198" s="516">
        <f>SUMIFS(Imput[[Importe Neto]:[Importe Neto]],Imput[[C. Imp.]:[C. Imp.]],$D198,Imput[[PERIODO Imp.]:[PERIODO Imp.]],BV$9)</f>
        <v>0</v>
      </c>
      <c r="BW198" s="516">
        <f>SUMIFS(Imput[[Importe Neto]:[Importe Neto]],Imput[[C. Imp.]:[C. Imp.]],$D198,Imput[[PERIODO Imp.]:[PERIODO Imp.]],BW$9)</f>
        <v>0</v>
      </c>
      <c r="BX198" s="516">
        <f>SUMIFS(Imput[[Importe Neto]:[Importe Neto]],Imput[[C. Imp.]:[C. Imp.]],$D198,Imput[[PERIODO Imp.]:[PERIODO Imp.]],BX$9)</f>
        <v>0</v>
      </c>
      <c r="BY198" s="516">
        <f>SUMIFS(Imput[[Importe Neto]:[Importe Neto]],Imput[[C. Imp.]:[C. Imp.]],$D198,Imput[[PERIODO Imp.]:[PERIODO Imp.]],BY$9)</f>
        <v>0</v>
      </c>
      <c r="BZ198" s="516">
        <f>SUMIFS(Imput[[Importe Neto]:[Importe Neto]],Imput[[C. Imp.]:[C. Imp.]],$D198,Imput[[PERIODO Imp.]:[PERIODO Imp.]],BZ$9)</f>
        <v>0</v>
      </c>
      <c r="CA198" s="516">
        <f>SUMIFS(Imput[[Importe Neto]:[Importe Neto]],Imput[[C. Imp.]:[C. Imp.]],$D198,Imput[[PERIODO Imp.]:[PERIODO Imp.]],CA$9)</f>
        <v>0</v>
      </c>
      <c r="CB198" s="516">
        <f>SUMIFS(Imput[[Importe Neto]:[Importe Neto]],Imput[[C. Imp.]:[C. Imp.]],$D198,Imput[[PERIODO Imp.]:[PERIODO Imp.]],CB$9)</f>
        <v>0</v>
      </c>
      <c r="CC198" s="516">
        <f>SUMIFS(Imput[[Importe Neto]:[Importe Neto]],Imput[[C. Imp.]:[C. Imp.]],$D198,Imput[[PERIODO Imp.]:[PERIODO Imp.]],CC$9)</f>
        <v>0</v>
      </c>
      <c r="CD198" s="516">
        <f>SUMIFS(Imput[[Importe Neto]:[Importe Neto]],Imput[[C. Imp.]:[C. Imp.]],$D198,Imput[[PERIODO Imp.]:[PERIODO Imp.]],CD$9)</f>
        <v>0</v>
      </c>
      <c r="CE198" s="516">
        <f>SUMIFS(Imput[[Importe Neto]:[Importe Neto]],Imput[[C. Imp.]:[C. Imp.]],$D198,Imput[[PERIODO Imp.]:[PERIODO Imp.]],CE$9)</f>
        <v>0</v>
      </c>
      <c r="CF198" s="516">
        <f>SUMIFS(Imput[[Importe Neto]:[Importe Neto]],Imput[[C. Imp.]:[C. Imp.]],$D198,Imput[[PERIODO Imp.]:[PERIODO Imp.]],CF$9)</f>
        <v>0</v>
      </c>
      <c r="CG198" s="516">
        <f>SUMIFS(Imput[[Importe Neto]:[Importe Neto]],Imput[[C. Imp.]:[C. Imp.]],$D198,Imput[[PERIODO Imp.]:[PERIODO Imp.]],CG$9)</f>
        <v>0</v>
      </c>
      <c r="CH198" s="516">
        <f>SUMIFS(Imput[[Importe Neto]:[Importe Neto]],Imput[[C. Imp.]:[C. Imp.]],$D198,Imput[[PERIODO Imp.]:[PERIODO Imp.]],CH$9)</f>
        <v>0</v>
      </c>
      <c r="CI198" s="516">
        <f>SUMIFS(Imput[[Importe Neto]:[Importe Neto]],Imput[[C. Imp.]:[C. Imp.]],$D198,Imput[[PERIODO Imp.]:[PERIODO Imp.]],CI$9)</f>
        <v>0</v>
      </c>
      <c r="CJ198" s="516">
        <f>SUMIFS(Imput[[Importe Neto]:[Importe Neto]],Imput[[C. Imp.]:[C. Imp.]],$D198,Imput[[PERIODO Imp.]:[PERIODO Imp.]],CJ$9)</f>
        <v>0</v>
      </c>
      <c r="CK198" s="516">
        <f>SUMIFS(Imput[[Importe Neto]:[Importe Neto]],Imput[[C. Imp.]:[C. Imp.]],$D198,Imput[[PERIODO Imp.]:[PERIODO Imp.]],CK$9)</f>
        <v>0</v>
      </c>
      <c r="CL198" s="516">
        <f>SUMIFS(Imput[[Importe Neto]:[Importe Neto]],Imput[[C. Imp.]:[C. Imp.]],$D198,Imput[[PERIODO Imp.]:[PERIODO Imp.]],CL$9)</f>
        <v>0</v>
      </c>
      <c r="CM198" s="516">
        <f>SUMIFS(Imput[[Importe Neto]:[Importe Neto]],Imput[[C. Imp.]:[C. Imp.]],$D198,Imput[[PERIODO Imp.]:[PERIODO Imp.]],CM$9)</f>
        <v>0</v>
      </c>
      <c r="CN198" s="516">
        <f>SUMIFS(Imput[[Importe Neto]:[Importe Neto]],Imput[[C. Imp.]:[C. Imp.]],$D198,Imput[[PERIODO Imp.]:[PERIODO Imp.]],CN$9)</f>
        <v>0</v>
      </c>
      <c r="CO198" s="516">
        <f>SUMIFS(Imput[[Importe Neto]:[Importe Neto]],Imput[[C. Imp.]:[C. Imp.]],$D198,Imput[[PERIODO Imp.]:[PERIODO Imp.]],CO$9)</f>
        <v>0</v>
      </c>
      <c r="CP198" s="516">
        <f>SUMIFS(Imput[[Importe Neto]:[Importe Neto]],Imput[[C. Imp.]:[C. Imp.]],$D198,Imput[[PERIODO Imp.]:[PERIODO Imp.]],CP$9)</f>
        <v>0</v>
      </c>
      <c r="CQ198" s="516">
        <f>SUMIFS(Imput[[Importe Neto]:[Importe Neto]],Imput[[C. Imp.]:[C. Imp.]],$D198,Imput[[PERIODO Imp.]:[PERIODO Imp.]],CQ$9)</f>
        <v>0</v>
      </c>
      <c r="CR198" s="516">
        <f>SUMIFS(Imput[[Importe Neto]:[Importe Neto]],Imput[[C. Imp.]:[C. Imp.]],$D198,Imput[[PERIODO Imp.]:[PERIODO Imp.]],CR$9)</f>
        <v>0</v>
      </c>
      <c r="CS198" s="516">
        <f>SUMIFS(Imput[[Importe Neto]:[Importe Neto]],Imput[[C. Imp.]:[C. Imp.]],$D198,Imput[[PERIODO Imp.]:[PERIODO Imp.]],CS$9)</f>
        <v>0</v>
      </c>
      <c r="CT198" s="516">
        <f>SUMIFS(Imput[[Importe Neto]:[Importe Neto]],Imput[[C. Imp.]:[C. Imp.]],$D198,Imput[[PERIODO Imp.]:[PERIODO Imp.]],CT$9)</f>
        <v>0</v>
      </c>
      <c r="CU198" s="516">
        <f>SUMIFS(Imput[[Importe Neto]:[Importe Neto]],Imput[[C. Imp.]:[C. Imp.]],$D198,Imput[[PERIODO Imp.]:[PERIODO Imp.]],CU$9)</f>
        <v>0</v>
      </c>
      <c r="CV198" s="516">
        <f>SUMIFS(Imput[[Importe Neto]:[Importe Neto]],Imput[[C. Imp.]:[C. Imp.]],$D198,Imput[[PERIODO Imp.]:[PERIODO Imp.]],CV$9)</f>
        <v>0</v>
      </c>
      <c r="CW198" s="516">
        <f>SUMIFS(Imput[[Importe Neto]:[Importe Neto]],Imput[[C. Imp.]:[C. Imp.]],$D198,Imput[[PERIODO Imp.]:[PERIODO Imp.]],CW$9)</f>
        <v>0</v>
      </c>
      <c r="CX198" s="516">
        <f>SUMIFS(Imput[[Importe Neto]:[Importe Neto]],Imput[[C. Imp.]:[C. Imp.]],$D198,Imput[[PERIODO Imp.]:[PERIODO Imp.]],CX$9)</f>
        <v>0</v>
      </c>
      <c r="CY198" s="516">
        <f>SUMIFS(Imput[[Importe Neto]:[Importe Neto]],Imput[[C. Imp.]:[C. Imp.]],$D198,Imput[[PERIODO Imp.]:[PERIODO Imp.]],CY$9)</f>
        <v>0</v>
      </c>
      <c r="CZ198" s="516">
        <f>SUMIFS(Imput[[Importe Neto]:[Importe Neto]],Imput[[C. Imp.]:[C. Imp.]],$D198,Imput[[PERIODO Imp.]:[PERIODO Imp.]],CZ$9)</f>
        <v>0</v>
      </c>
      <c r="DA198" s="516">
        <f>SUMIFS(Imput[[Importe Neto]:[Importe Neto]],Imput[[C. Imp.]:[C. Imp.]],$D198,Imput[[PERIODO Imp.]:[PERIODO Imp.]],DA$9)</f>
        <v>0</v>
      </c>
      <c r="DB198" s="516">
        <f>SUMIFS(Imput[[Importe Neto]:[Importe Neto]],Imput[[C. Imp.]:[C. Imp.]],$D198,Imput[[PERIODO Imp.]:[PERIODO Imp.]],DB$9)</f>
        <v>0</v>
      </c>
      <c r="DC198" s="516">
        <f>SUMIFS(Imput[[Importe Neto]:[Importe Neto]],Imput[[C. Imp.]:[C. Imp.]],$D198,Imput[[PERIODO Imp.]:[PERIODO Imp.]],DC$9)</f>
        <v>0</v>
      </c>
      <c r="DD198" s="516">
        <f>SUMIFS(Imput[[Importe Neto]:[Importe Neto]],Imput[[C. Imp.]:[C. Imp.]],$D198,Imput[[PERIODO Imp.]:[PERIODO Imp.]],DD$9)</f>
        <v>0</v>
      </c>
      <c r="DE198" s="516">
        <f>SUMIFS(Imput[[Importe Neto]:[Importe Neto]],Imput[[C. Imp.]:[C. Imp.]],$D198,Imput[[PERIODO Imp.]:[PERIODO Imp.]],DE$9)</f>
        <v>0</v>
      </c>
      <c r="DF198" s="516">
        <f>SUMIFS(Imput[[Importe Neto]:[Importe Neto]],Imput[[C. Imp.]:[C. Imp.]],$D198,Imput[[PERIODO Imp.]:[PERIODO Imp.]],DF$9)</f>
        <v>0</v>
      </c>
      <c r="DG198" s="516">
        <f>SUMIFS(Imput[[Importe Neto]:[Importe Neto]],Imput[[C. Imp.]:[C. Imp.]],$D198,Imput[[PERIODO Imp.]:[PERIODO Imp.]],DG$9)</f>
        <v>0</v>
      </c>
      <c r="DH198" s="616">
        <f>SUMIFS(Imput[[Importe Neto]:[Importe Neto]],Imput[[C. Imp.]:[C. Imp.]],$D198,Imput[[PERIODO Imp.]:[PERIODO Imp.]],DH$9)</f>
        <v>0</v>
      </c>
    </row>
    <row r="199" spans="1:112" ht="14.4" hidden="1" outlineLevel="1" thickBot="1" x14ac:dyDescent="0.35">
      <c r="A199" s="66" t="str">
        <f t="shared" si="90"/>
        <v/>
      </c>
      <c r="C199" s="527"/>
      <c r="D199" s="528" t="s">
        <v>2299</v>
      </c>
      <c r="E199" s="528"/>
      <c r="F199" s="534"/>
      <c r="G199" s="529"/>
      <c r="H199" s="531"/>
      <c r="I199" s="849" t="str">
        <f t="shared" si="91"/>
        <v/>
      </c>
      <c r="J199" s="850" t="str">
        <f t="shared" si="92"/>
        <v/>
      </c>
      <c r="K199" s="70"/>
      <c r="L199" s="853"/>
      <c r="M199" s="855"/>
      <c r="N199" s="855"/>
      <c r="O199" s="855"/>
      <c r="P199" s="855"/>
      <c r="Q199" s="855"/>
      <c r="R199" s="855"/>
      <c r="S199" s="855"/>
      <c r="T199" s="855"/>
      <c r="U199" s="855"/>
      <c r="V199" s="855"/>
      <c r="W199" s="855"/>
      <c r="X199" s="855"/>
      <c r="Y199" s="855"/>
      <c r="Z199" s="856"/>
      <c r="AA199" s="856"/>
      <c r="AB199" s="856"/>
      <c r="AC199" s="856"/>
      <c r="AD199" s="856"/>
      <c r="AE199" s="856"/>
      <c r="AF199" s="856"/>
      <c r="AG199" s="856"/>
      <c r="AH199" s="856"/>
      <c r="AI199" s="856"/>
      <c r="AJ199" s="856"/>
      <c r="AK199" s="856"/>
      <c r="AL199" s="856"/>
      <c r="AM199" s="856"/>
      <c r="AN199" s="856"/>
      <c r="AO199" s="856"/>
      <c r="AP199" s="856"/>
      <c r="AQ199" s="856"/>
      <c r="AR199" s="856"/>
      <c r="AS199" s="856"/>
      <c r="AT199" s="856"/>
      <c r="AU199" s="856"/>
      <c r="AV199" s="856"/>
      <c r="AW199" s="856"/>
      <c r="AX199" s="856"/>
      <c r="AY199" s="856"/>
      <c r="AZ199" s="856"/>
      <c r="BA199" s="856"/>
      <c r="BB199" s="856"/>
      <c r="BC199" s="856"/>
      <c r="BD199" s="856"/>
      <c r="BE199" s="856"/>
      <c r="BF199" s="856"/>
      <c r="BG199" s="857"/>
      <c r="BH199" s="590"/>
      <c r="BI199" s="70"/>
      <c r="BJ199" s="518">
        <f t="shared" si="93"/>
        <v>0</v>
      </c>
      <c r="BK199" s="517">
        <f t="shared" si="94"/>
        <v>0</v>
      </c>
      <c r="BL199" s="68"/>
      <c r="BM199" s="515">
        <f>SUMIFS(Imput[[Importe Neto]:[Importe Neto]],Imput[[C. Imp.]:[C. Imp.]],$D199,Imput[[PERIODO Imp.]:[PERIODO Imp.]],BM$9)</f>
        <v>0</v>
      </c>
      <c r="BN199" s="516">
        <f>SUMIFS(Imput[[Importe Neto]:[Importe Neto]],Imput[[C. Imp.]:[C. Imp.]],$D199,Imput[[PERIODO Imp.]:[PERIODO Imp.]],BN$9)</f>
        <v>0</v>
      </c>
      <c r="BO199" s="516">
        <f>SUMIFS(Imput[[Importe Neto]:[Importe Neto]],Imput[[C. Imp.]:[C. Imp.]],$D199,Imput[[PERIODO Imp.]:[PERIODO Imp.]],BO$9)</f>
        <v>0</v>
      </c>
      <c r="BP199" s="516">
        <f>SUMIFS(Imput[[Importe Neto]:[Importe Neto]],Imput[[C. Imp.]:[C. Imp.]],$D199,Imput[[PERIODO Imp.]:[PERIODO Imp.]],BP$9)</f>
        <v>0</v>
      </c>
      <c r="BQ199" s="516">
        <f>SUMIFS(Imput[[Importe Neto]:[Importe Neto]],Imput[[C. Imp.]:[C. Imp.]],$D199,Imput[[PERIODO Imp.]:[PERIODO Imp.]],BQ$9)</f>
        <v>0</v>
      </c>
      <c r="BR199" s="516">
        <f>SUMIFS(Imput[[Importe Neto]:[Importe Neto]],Imput[[C. Imp.]:[C. Imp.]],$D199,Imput[[PERIODO Imp.]:[PERIODO Imp.]],BR$9)</f>
        <v>0</v>
      </c>
      <c r="BS199" s="516">
        <f>SUMIFS(Imput[[Importe Neto]:[Importe Neto]],Imput[[C. Imp.]:[C. Imp.]],$D199,Imput[[PERIODO Imp.]:[PERIODO Imp.]],BS$9)</f>
        <v>0</v>
      </c>
      <c r="BT199" s="516">
        <f>SUMIFS(Imput[[Importe Neto]:[Importe Neto]],Imput[[C. Imp.]:[C. Imp.]],$D199,Imput[[PERIODO Imp.]:[PERIODO Imp.]],BT$9)</f>
        <v>0</v>
      </c>
      <c r="BU199" s="516">
        <f>SUMIFS(Imput[[Importe Neto]:[Importe Neto]],Imput[[C. Imp.]:[C. Imp.]],$D199,Imput[[PERIODO Imp.]:[PERIODO Imp.]],BU$9)</f>
        <v>0</v>
      </c>
      <c r="BV199" s="516">
        <f>SUMIFS(Imput[[Importe Neto]:[Importe Neto]],Imput[[C. Imp.]:[C. Imp.]],$D199,Imput[[PERIODO Imp.]:[PERIODO Imp.]],BV$9)</f>
        <v>0</v>
      </c>
      <c r="BW199" s="516">
        <f>SUMIFS(Imput[[Importe Neto]:[Importe Neto]],Imput[[C. Imp.]:[C. Imp.]],$D199,Imput[[PERIODO Imp.]:[PERIODO Imp.]],BW$9)</f>
        <v>0</v>
      </c>
      <c r="BX199" s="516">
        <f>SUMIFS(Imput[[Importe Neto]:[Importe Neto]],Imput[[C. Imp.]:[C. Imp.]],$D199,Imput[[PERIODO Imp.]:[PERIODO Imp.]],BX$9)</f>
        <v>0</v>
      </c>
      <c r="BY199" s="516">
        <f>SUMIFS(Imput[[Importe Neto]:[Importe Neto]],Imput[[C. Imp.]:[C. Imp.]],$D199,Imput[[PERIODO Imp.]:[PERIODO Imp.]],BY$9)</f>
        <v>0</v>
      </c>
      <c r="BZ199" s="516">
        <f>SUMIFS(Imput[[Importe Neto]:[Importe Neto]],Imput[[C. Imp.]:[C. Imp.]],$D199,Imput[[PERIODO Imp.]:[PERIODO Imp.]],BZ$9)</f>
        <v>0</v>
      </c>
      <c r="CA199" s="516">
        <f>SUMIFS(Imput[[Importe Neto]:[Importe Neto]],Imput[[C. Imp.]:[C. Imp.]],$D199,Imput[[PERIODO Imp.]:[PERIODO Imp.]],CA$9)</f>
        <v>0</v>
      </c>
      <c r="CB199" s="516">
        <f>SUMIFS(Imput[[Importe Neto]:[Importe Neto]],Imput[[C. Imp.]:[C. Imp.]],$D199,Imput[[PERIODO Imp.]:[PERIODO Imp.]],CB$9)</f>
        <v>0</v>
      </c>
      <c r="CC199" s="516">
        <f>SUMIFS(Imput[[Importe Neto]:[Importe Neto]],Imput[[C. Imp.]:[C. Imp.]],$D199,Imput[[PERIODO Imp.]:[PERIODO Imp.]],CC$9)</f>
        <v>0</v>
      </c>
      <c r="CD199" s="516">
        <f>SUMIFS(Imput[[Importe Neto]:[Importe Neto]],Imput[[C. Imp.]:[C. Imp.]],$D199,Imput[[PERIODO Imp.]:[PERIODO Imp.]],CD$9)</f>
        <v>0</v>
      </c>
      <c r="CE199" s="516">
        <f>SUMIFS(Imput[[Importe Neto]:[Importe Neto]],Imput[[C. Imp.]:[C. Imp.]],$D199,Imput[[PERIODO Imp.]:[PERIODO Imp.]],CE$9)</f>
        <v>0</v>
      </c>
      <c r="CF199" s="516">
        <f>SUMIFS(Imput[[Importe Neto]:[Importe Neto]],Imput[[C. Imp.]:[C. Imp.]],$D199,Imput[[PERIODO Imp.]:[PERIODO Imp.]],CF$9)</f>
        <v>0</v>
      </c>
      <c r="CG199" s="516">
        <f>SUMIFS(Imput[[Importe Neto]:[Importe Neto]],Imput[[C. Imp.]:[C. Imp.]],$D199,Imput[[PERIODO Imp.]:[PERIODO Imp.]],CG$9)</f>
        <v>0</v>
      </c>
      <c r="CH199" s="516">
        <f>SUMIFS(Imput[[Importe Neto]:[Importe Neto]],Imput[[C. Imp.]:[C. Imp.]],$D199,Imput[[PERIODO Imp.]:[PERIODO Imp.]],CH$9)</f>
        <v>0</v>
      </c>
      <c r="CI199" s="516">
        <f>SUMIFS(Imput[[Importe Neto]:[Importe Neto]],Imput[[C. Imp.]:[C. Imp.]],$D199,Imput[[PERIODO Imp.]:[PERIODO Imp.]],CI$9)</f>
        <v>0</v>
      </c>
      <c r="CJ199" s="516">
        <f>SUMIFS(Imput[[Importe Neto]:[Importe Neto]],Imput[[C. Imp.]:[C. Imp.]],$D199,Imput[[PERIODO Imp.]:[PERIODO Imp.]],CJ$9)</f>
        <v>0</v>
      </c>
      <c r="CK199" s="516">
        <f>SUMIFS(Imput[[Importe Neto]:[Importe Neto]],Imput[[C. Imp.]:[C. Imp.]],$D199,Imput[[PERIODO Imp.]:[PERIODO Imp.]],CK$9)</f>
        <v>0</v>
      </c>
      <c r="CL199" s="516">
        <f>SUMIFS(Imput[[Importe Neto]:[Importe Neto]],Imput[[C. Imp.]:[C. Imp.]],$D199,Imput[[PERIODO Imp.]:[PERIODO Imp.]],CL$9)</f>
        <v>0</v>
      </c>
      <c r="CM199" s="516">
        <f>SUMIFS(Imput[[Importe Neto]:[Importe Neto]],Imput[[C. Imp.]:[C. Imp.]],$D199,Imput[[PERIODO Imp.]:[PERIODO Imp.]],CM$9)</f>
        <v>0</v>
      </c>
      <c r="CN199" s="516">
        <f>SUMIFS(Imput[[Importe Neto]:[Importe Neto]],Imput[[C. Imp.]:[C. Imp.]],$D199,Imput[[PERIODO Imp.]:[PERIODO Imp.]],CN$9)</f>
        <v>0</v>
      </c>
      <c r="CO199" s="516">
        <f>SUMIFS(Imput[[Importe Neto]:[Importe Neto]],Imput[[C. Imp.]:[C. Imp.]],$D199,Imput[[PERIODO Imp.]:[PERIODO Imp.]],CO$9)</f>
        <v>0</v>
      </c>
      <c r="CP199" s="516">
        <f>SUMIFS(Imput[[Importe Neto]:[Importe Neto]],Imput[[C. Imp.]:[C. Imp.]],$D199,Imput[[PERIODO Imp.]:[PERIODO Imp.]],CP$9)</f>
        <v>0</v>
      </c>
      <c r="CQ199" s="516">
        <f>SUMIFS(Imput[[Importe Neto]:[Importe Neto]],Imput[[C. Imp.]:[C. Imp.]],$D199,Imput[[PERIODO Imp.]:[PERIODO Imp.]],CQ$9)</f>
        <v>0</v>
      </c>
      <c r="CR199" s="516">
        <f>SUMIFS(Imput[[Importe Neto]:[Importe Neto]],Imput[[C. Imp.]:[C. Imp.]],$D199,Imput[[PERIODO Imp.]:[PERIODO Imp.]],CR$9)</f>
        <v>0</v>
      </c>
      <c r="CS199" s="516">
        <f>SUMIFS(Imput[[Importe Neto]:[Importe Neto]],Imput[[C. Imp.]:[C. Imp.]],$D199,Imput[[PERIODO Imp.]:[PERIODO Imp.]],CS$9)</f>
        <v>0</v>
      </c>
      <c r="CT199" s="516">
        <f>SUMIFS(Imput[[Importe Neto]:[Importe Neto]],Imput[[C. Imp.]:[C. Imp.]],$D199,Imput[[PERIODO Imp.]:[PERIODO Imp.]],CT$9)</f>
        <v>0</v>
      </c>
      <c r="CU199" s="516">
        <f>SUMIFS(Imput[[Importe Neto]:[Importe Neto]],Imput[[C. Imp.]:[C. Imp.]],$D199,Imput[[PERIODO Imp.]:[PERIODO Imp.]],CU$9)</f>
        <v>0</v>
      </c>
      <c r="CV199" s="516">
        <f>SUMIFS(Imput[[Importe Neto]:[Importe Neto]],Imput[[C. Imp.]:[C. Imp.]],$D199,Imput[[PERIODO Imp.]:[PERIODO Imp.]],CV$9)</f>
        <v>0</v>
      </c>
      <c r="CW199" s="516">
        <f>SUMIFS(Imput[[Importe Neto]:[Importe Neto]],Imput[[C. Imp.]:[C. Imp.]],$D199,Imput[[PERIODO Imp.]:[PERIODO Imp.]],CW$9)</f>
        <v>0</v>
      </c>
      <c r="CX199" s="516">
        <f>SUMIFS(Imput[[Importe Neto]:[Importe Neto]],Imput[[C. Imp.]:[C. Imp.]],$D199,Imput[[PERIODO Imp.]:[PERIODO Imp.]],CX$9)</f>
        <v>0</v>
      </c>
      <c r="CY199" s="516">
        <f>SUMIFS(Imput[[Importe Neto]:[Importe Neto]],Imput[[C. Imp.]:[C. Imp.]],$D199,Imput[[PERIODO Imp.]:[PERIODO Imp.]],CY$9)</f>
        <v>0</v>
      </c>
      <c r="CZ199" s="516">
        <f>SUMIFS(Imput[[Importe Neto]:[Importe Neto]],Imput[[C. Imp.]:[C. Imp.]],$D199,Imput[[PERIODO Imp.]:[PERIODO Imp.]],CZ$9)</f>
        <v>0</v>
      </c>
      <c r="DA199" s="516">
        <f>SUMIFS(Imput[[Importe Neto]:[Importe Neto]],Imput[[C. Imp.]:[C. Imp.]],$D199,Imput[[PERIODO Imp.]:[PERIODO Imp.]],DA$9)</f>
        <v>0</v>
      </c>
      <c r="DB199" s="516">
        <f>SUMIFS(Imput[[Importe Neto]:[Importe Neto]],Imput[[C. Imp.]:[C. Imp.]],$D199,Imput[[PERIODO Imp.]:[PERIODO Imp.]],DB$9)</f>
        <v>0</v>
      </c>
      <c r="DC199" s="516">
        <f>SUMIFS(Imput[[Importe Neto]:[Importe Neto]],Imput[[C. Imp.]:[C. Imp.]],$D199,Imput[[PERIODO Imp.]:[PERIODO Imp.]],DC$9)</f>
        <v>0</v>
      </c>
      <c r="DD199" s="516">
        <f>SUMIFS(Imput[[Importe Neto]:[Importe Neto]],Imput[[C. Imp.]:[C. Imp.]],$D199,Imput[[PERIODO Imp.]:[PERIODO Imp.]],DD$9)</f>
        <v>0</v>
      </c>
      <c r="DE199" s="516">
        <f>SUMIFS(Imput[[Importe Neto]:[Importe Neto]],Imput[[C. Imp.]:[C. Imp.]],$D199,Imput[[PERIODO Imp.]:[PERIODO Imp.]],DE$9)</f>
        <v>0</v>
      </c>
      <c r="DF199" s="516">
        <f>SUMIFS(Imput[[Importe Neto]:[Importe Neto]],Imput[[C. Imp.]:[C. Imp.]],$D199,Imput[[PERIODO Imp.]:[PERIODO Imp.]],DF$9)</f>
        <v>0</v>
      </c>
      <c r="DG199" s="516">
        <f>SUMIFS(Imput[[Importe Neto]:[Importe Neto]],Imput[[C. Imp.]:[C. Imp.]],$D199,Imput[[PERIODO Imp.]:[PERIODO Imp.]],DG$9)</f>
        <v>0</v>
      </c>
      <c r="DH199" s="616">
        <f>SUMIFS(Imput[[Importe Neto]:[Importe Neto]],Imput[[C. Imp.]:[C. Imp.]],$D199,Imput[[PERIODO Imp.]:[PERIODO Imp.]],DH$9)</f>
        <v>0</v>
      </c>
    </row>
    <row r="200" spans="1:112" ht="14.4" hidden="1" outlineLevel="1" thickBot="1" x14ac:dyDescent="0.35">
      <c r="A200" s="66" t="str">
        <f t="shared" si="90"/>
        <v/>
      </c>
      <c r="C200" s="527"/>
      <c r="D200" s="528" t="s">
        <v>2300</v>
      </c>
      <c r="E200" s="528"/>
      <c r="F200" s="534"/>
      <c r="G200" s="529"/>
      <c r="H200" s="531"/>
      <c r="I200" s="849" t="str">
        <f t="shared" si="91"/>
        <v/>
      </c>
      <c r="J200" s="850" t="str">
        <f t="shared" si="92"/>
        <v/>
      </c>
      <c r="K200" s="70"/>
      <c r="L200" s="853"/>
      <c r="M200" s="855"/>
      <c r="N200" s="855"/>
      <c r="O200" s="855"/>
      <c r="P200" s="855"/>
      <c r="Q200" s="855"/>
      <c r="R200" s="855"/>
      <c r="S200" s="855"/>
      <c r="T200" s="855"/>
      <c r="U200" s="855"/>
      <c r="V200" s="855"/>
      <c r="W200" s="855"/>
      <c r="X200" s="855"/>
      <c r="Y200" s="855"/>
      <c r="Z200" s="856"/>
      <c r="AA200" s="856"/>
      <c r="AB200" s="856"/>
      <c r="AC200" s="856"/>
      <c r="AD200" s="856"/>
      <c r="AE200" s="856"/>
      <c r="AF200" s="856"/>
      <c r="AG200" s="856"/>
      <c r="AH200" s="856"/>
      <c r="AI200" s="856"/>
      <c r="AJ200" s="856"/>
      <c r="AK200" s="856"/>
      <c r="AL200" s="856"/>
      <c r="AM200" s="856"/>
      <c r="AN200" s="856"/>
      <c r="AO200" s="856"/>
      <c r="AP200" s="856"/>
      <c r="AQ200" s="856"/>
      <c r="AR200" s="856"/>
      <c r="AS200" s="856"/>
      <c r="AT200" s="856"/>
      <c r="AU200" s="856"/>
      <c r="AV200" s="856"/>
      <c r="AW200" s="856"/>
      <c r="AX200" s="856"/>
      <c r="AY200" s="856"/>
      <c r="AZ200" s="856"/>
      <c r="BA200" s="856"/>
      <c r="BB200" s="856"/>
      <c r="BC200" s="856"/>
      <c r="BD200" s="856"/>
      <c r="BE200" s="856"/>
      <c r="BF200" s="856"/>
      <c r="BG200" s="857"/>
      <c r="BH200" s="590"/>
      <c r="BI200" s="70"/>
      <c r="BJ200" s="518">
        <f t="shared" si="93"/>
        <v>0</v>
      </c>
      <c r="BK200" s="517">
        <f t="shared" si="94"/>
        <v>0</v>
      </c>
      <c r="BL200" s="68"/>
      <c r="BM200" s="515">
        <f>SUMIFS(Imput[[Importe Neto]:[Importe Neto]],Imput[[C. Imp.]:[C. Imp.]],$D200,Imput[[PERIODO Imp.]:[PERIODO Imp.]],BM$9)</f>
        <v>0</v>
      </c>
      <c r="BN200" s="516">
        <f>SUMIFS(Imput[[Importe Neto]:[Importe Neto]],Imput[[C. Imp.]:[C. Imp.]],$D200,Imput[[PERIODO Imp.]:[PERIODO Imp.]],BN$9)</f>
        <v>0</v>
      </c>
      <c r="BO200" s="516">
        <f>SUMIFS(Imput[[Importe Neto]:[Importe Neto]],Imput[[C. Imp.]:[C. Imp.]],$D200,Imput[[PERIODO Imp.]:[PERIODO Imp.]],BO$9)</f>
        <v>0</v>
      </c>
      <c r="BP200" s="516">
        <f>SUMIFS(Imput[[Importe Neto]:[Importe Neto]],Imput[[C. Imp.]:[C. Imp.]],$D200,Imput[[PERIODO Imp.]:[PERIODO Imp.]],BP$9)</f>
        <v>0</v>
      </c>
      <c r="BQ200" s="516">
        <f>SUMIFS(Imput[[Importe Neto]:[Importe Neto]],Imput[[C. Imp.]:[C. Imp.]],$D200,Imput[[PERIODO Imp.]:[PERIODO Imp.]],BQ$9)</f>
        <v>0</v>
      </c>
      <c r="BR200" s="516">
        <f>SUMIFS(Imput[[Importe Neto]:[Importe Neto]],Imput[[C. Imp.]:[C. Imp.]],$D200,Imput[[PERIODO Imp.]:[PERIODO Imp.]],BR$9)</f>
        <v>0</v>
      </c>
      <c r="BS200" s="516">
        <f>SUMIFS(Imput[[Importe Neto]:[Importe Neto]],Imput[[C. Imp.]:[C. Imp.]],$D200,Imput[[PERIODO Imp.]:[PERIODO Imp.]],BS$9)</f>
        <v>0</v>
      </c>
      <c r="BT200" s="516">
        <f>SUMIFS(Imput[[Importe Neto]:[Importe Neto]],Imput[[C. Imp.]:[C. Imp.]],$D200,Imput[[PERIODO Imp.]:[PERIODO Imp.]],BT$9)</f>
        <v>0</v>
      </c>
      <c r="BU200" s="516">
        <f>SUMIFS(Imput[[Importe Neto]:[Importe Neto]],Imput[[C. Imp.]:[C. Imp.]],$D200,Imput[[PERIODO Imp.]:[PERIODO Imp.]],BU$9)</f>
        <v>0</v>
      </c>
      <c r="BV200" s="516">
        <f>SUMIFS(Imput[[Importe Neto]:[Importe Neto]],Imput[[C. Imp.]:[C. Imp.]],$D200,Imput[[PERIODO Imp.]:[PERIODO Imp.]],BV$9)</f>
        <v>0</v>
      </c>
      <c r="BW200" s="516">
        <f>SUMIFS(Imput[[Importe Neto]:[Importe Neto]],Imput[[C. Imp.]:[C. Imp.]],$D200,Imput[[PERIODO Imp.]:[PERIODO Imp.]],BW$9)</f>
        <v>0</v>
      </c>
      <c r="BX200" s="516">
        <f>SUMIFS(Imput[[Importe Neto]:[Importe Neto]],Imput[[C. Imp.]:[C. Imp.]],$D200,Imput[[PERIODO Imp.]:[PERIODO Imp.]],BX$9)</f>
        <v>0</v>
      </c>
      <c r="BY200" s="516">
        <f>SUMIFS(Imput[[Importe Neto]:[Importe Neto]],Imput[[C. Imp.]:[C. Imp.]],$D200,Imput[[PERIODO Imp.]:[PERIODO Imp.]],BY$9)</f>
        <v>0</v>
      </c>
      <c r="BZ200" s="516">
        <f>SUMIFS(Imput[[Importe Neto]:[Importe Neto]],Imput[[C. Imp.]:[C. Imp.]],$D200,Imput[[PERIODO Imp.]:[PERIODO Imp.]],BZ$9)</f>
        <v>0</v>
      </c>
      <c r="CA200" s="516">
        <f>SUMIFS(Imput[[Importe Neto]:[Importe Neto]],Imput[[C. Imp.]:[C. Imp.]],$D200,Imput[[PERIODO Imp.]:[PERIODO Imp.]],CA$9)</f>
        <v>0</v>
      </c>
      <c r="CB200" s="516">
        <f>SUMIFS(Imput[[Importe Neto]:[Importe Neto]],Imput[[C. Imp.]:[C. Imp.]],$D200,Imput[[PERIODO Imp.]:[PERIODO Imp.]],CB$9)</f>
        <v>0</v>
      </c>
      <c r="CC200" s="516">
        <f>SUMIFS(Imput[[Importe Neto]:[Importe Neto]],Imput[[C. Imp.]:[C. Imp.]],$D200,Imput[[PERIODO Imp.]:[PERIODO Imp.]],CC$9)</f>
        <v>0</v>
      </c>
      <c r="CD200" s="516">
        <f>SUMIFS(Imput[[Importe Neto]:[Importe Neto]],Imput[[C. Imp.]:[C. Imp.]],$D200,Imput[[PERIODO Imp.]:[PERIODO Imp.]],CD$9)</f>
        <v>0</v>
      </c>
      <c r="CE200" s="516">
        <f>SUMIFS(Imput[[Importe Neto]:[Importe Neto]],Imput[[C. Imp.]:[C. Imp.]],$D200,Imput[[PERIODO Imp.]:[PERIODO Imp.]],CE$9)</f>
        <v>0</v>
      </c>
      <c r="CF200" s="516">
        <f>SUMIFS(Imput[[Importe Neto]:[Importe Neto]],Imput[[C. Imp.]:[C. Imp.]],$D200,Imput[[PERIODO Imp.]:[PERIODO Imp.]],CF$9)</f>
        <v>0</v>
      </c>
      <c r="CG200" s="516">
        <f>SUMIFS(Imput[[Importe Neto]:[Importe Neto]],Imput[[C. Imp.]:[C. Imp.]],$D200,Imput[[PERIODO Imp.]:[PERIODO Imp.]],CG$9)</f>
        <v>0</v>
      </c>
      <c r="CH200" s="516">
        <f>SUMIFS(Imput[[Importe Neto]:[Importe Neto]],Imput[[C. Imp.]:[C. Imp.]],$D200,Imput[[PERIODO Imp.]:[PERIODO Imp.]],CH$9)</f>
        <v>0</v>
      </c>
      <c r="CI200" s="516">
        <f>SUMIFS(Imput[[Importe Neto]:[Importe Neto]],Imput[[C. Imp.]:[C. Imp.]],$D200,Imput[[PERIODO Imp.]:[PERIODO Imp.]],CI$9)</f>
        <v>0</v>
      </c>
      <c r="CJ200" s="516">
        <f>SUMIFS(Imput[[Importe Neto]:[Importe Neto]],Imput[[C. Imp.]:[C. Imp.]],$D200,Imput[[PERIODO Imp.]:[PERIODO Imp.]],CJ$9)</f>
        <v>0</v>
      </c>
      <c r="CK200" s="516">
        <f>SUMIFS(Imput[[Importe Neto]:[Importe Neto]],Imput[[C. Imp.]:[C. Imp.]],$D200,Imput[[PERIODO Imp.]:[PERIODO Imp.]],CK$9)</f>
        <v>0</v>
      </c>
      <c r="CL200" s="516">
        <f>SUMIFS(Imput[[Importe Neto]:[Importe Neto]],Imput[[C. Imp.]:[C. Imp.]],$D200,Imput[[PERIODO Imp.]:[PERIODO Imp.]],CL$9)</f>
        <v>0</v>
      </c>
      <c r="CM200" s="516">
        <f>SUMIFS(Imput[[Importe Neto]:[Importe Neto]],Imput[[C. Imp.]:[C. Imp.]],$D200,Imput[[PERIODO Imp.]:[PERIODO Imp.]],CM$9)</f>
        <v>0</v>
      </c>
      <c r="CN200" s="516">
        <f>SUMIFS(Imput[[Importe Neto]:[Importe Neto]],Imput[[C. Imp.]:[C. Imp.]],$D200,Imput[[PERIODO Imp.]:[PERIODO Imp.]],CN$9)</f>
        <v>0</v>
      </c>
      <c r="CO200" s="516">
        <f>SUMIFS(Imput[[Importe Neto]:[Importe Neto]],Imput[[C. Imp.]:[C. Imp.]],$D200,Imput[[PERIODO Imp.]:[PERIODO Imp.]],CO$9)</f>
        <v>0</v>
      </c>
      <c r="CP200" s="516">
        <f>SUMIFS(Imput[[Importe Neto]:[Importe Neto]],Imput[[C. Imp.]:[C. Imp.]],$D200,Imput[[PERIODO Imp.]:[PERIODO Imp.]],CP$9)</f>
        <v>0</v>
      </c>
      <c r="CQ200" s="516">
        <f>SUMIFS(Imput[[Importe Neto]:[Importe Neto]],Imput[[C. Imp.]:[C. Imp.]],$D200,Imput[[PERIODO Imp.]:[PERIODO Imp.]],CQ$9)</f>
        <v>0</v>
      </c>
      <c r="CR200" s="516">
        <f>SUMIFS(Imput[[Importe Neto]:[Importe Neto]],Imput[[C. Imp.]:[C. Imp.]],$D200,Imput[[PERIODO Imp.]:[PERIODO Imp.]],CR$9)</f>
        <v>0</v>
      </c>
      <c r="CS200" s="516">
        <f>SUMIFS(Imput[[Importe Neto]:[Importe Neto]],Imput[[C. Imp.]:[C. Imp.]],$D200,Imput[[PERIODO Imp.]:[PERIODO Imp.]],CS$9)</f>
        <v>0</v>
      </c>
      <c r="CT200" s="516">
        <f>SUMIFS(Imput[[Importe Neto]:[Importe Neto]],Imput[[C. Imp.]:[C. Imp.]],$D200,Imput[[PERIODO Imp.]:[PERIODO Imp.]],CT$9)</f>
        <v>0</v>
      </c>
      <c r="CU200" s="516">
        <f>SUMIFS(Imput[[Importe Neto]:[Importe Neto]],Imput[[C. Imp.]:[C. Imp.]],$D200,Imput[[PERIODO Imp.]:[PERIODO Imp.]],CU$9)</f>
        <v>0</v>
      </c>
      <c r="CV200" s="516">
        <f>SUMIFS(Imput[[Importe Neto]:[Importe Neto]],Imput[[C. Imp.]:[C. Imp.]],$D200,Imput[[PERIODO Imp.]:[PERIODO Imp.]],CV$9)</f>
        <v>0</v>
      </c>
      <c r="CW200" s="516">
        <f>SUMIFS(Imput[[Importe Neto]:[Importe Neto]],Imput[[C. Imp.]:[C. Imp.]],$D200,Imput[[PERIODO Imp.]:[PERIODO Imp.]],CW$9)</f>
        <v>0</v>
      </c>
      <c r="CX200" s="516">
        <f>SUMIFS(Imput[[Importe Neto]:[Importe Neto]],Imput[[C. Imp.]:[C. Imp.]],$D200,Imput[[PERIODO Imp.]:[PERIODO Imp.]],CX$9)</f>
        <v>0</v>
      </c>
      <c r="CY200" s="516">
        <f>SUMIFS(Imput[[Importe Neto]:[Importe Neto]],Imput[[C. Imp.]:[C. Imp.]],$D200,Imput[[PERIODO Imp.]:[PERIODO Imp.]],CY$9)</f>
        <v>0</v>
      </c>
      <c r="CZ200" s="516">
        <f>SUMIFS(Imput[[Importe Neto]:[Importe Neto]],Imput[[C. Imp.]:[C. Imp.]],$D200,Imput[[PERIODO Imp.]:[PERIODO Imp.]],CZ$9)</f>
        <v>0</v>
      </c>
      <c r="DA200" s="516">
        <f>SUMIFS(Imput[[Importe Neto]:[Importe Neto]],Imput[[C. Imp.]:[C. Imp.]],$D200,Imput[[PERIODO Imp.]:[PERIODO Imp.]],DA$9)</f>
        <v>0</v>
      </c>
      <c r="DB200" s="516">
        <f>SUMIFS(Imput[[Importe Neto]:[Importe Neto]],Imput[[C. Imp.]:[C. Imp.]],$D200,Imput[[PERIODO Imp.]:[PERIODO Imp.]],DB$9)</f>
        <v>0</v>
      </c>
      <c r="DC200" s="516">
        <f>SUMIFS(Imput[[Importe Neto]:[Importe Neto]],Imput[[C. Imp.]:[C. Imp.]],$D200,Imput[[PERIODO Imp.]:[PERIODO Imp.]],DC$9)</f>
        <v>0</v>
      </c>
      <c r="DD200" s="516">
        <f>SUMIFS(Imput[[Importe Neto]:[Importe Neto]],Imput[[C. Imp.]:[C. Imp.]],$D200,Imput[[PERIODO Imp.]:[PERIODO Imp.]],DD$9)</f>
        <v>0</v>
      </c>
      <c r="DE200" s="516">
        <f>SUMIFS(Imput[[Importe Neto]:[Importe Neto]],Imput[[C. Imp.]:[C. Imp.]],$D200,Imput[[PERIODO Imp.]:[PERIODO Imp.]],DE$9)</f>
        <v>0</v>
      </c>
      <c r="DF200" s="516">
        <f>SUMIFS(Imput[[Importe Neto]:[Importe Neto]],Imput[[C. Imp.]:[C. Imp.]],$D200,Imput[[PERIODO Imp.]:[PERIODO Imp.]],DF$9)</f>
        <v>0</v>
      </c>
      <c r="DG200" s="516">
        <f>SUMIFS(Imput[[Importe Neto]:[Importe Neto]],Imput[[C. Imp.]:[C. Imp.]],$D200,Imput[[PERIODO Imp.]:[PERIODO Imp.]],DG$9)</f>
        <v>0</v>
      </c>
      <c r="DH200" s="616">
        <f>SUMIFS(Imput[[Importe Neto]:[Importe Neto]],Imput[[C. Imp.]:[C. Imp.]],$D200,Imput[[PERIODO Imp.]:[PERIODO Imp.]],DH$9)</f>
        <v>0</v>
      </c>
    </row>
    <row r="201" spans="1:112" ht="14.4" hidden="1" outlineLevel="1" thickBot="1" x14ac:dyDescent="0.35">
      <c r="A201" s="66" t="str">
        <f t="shared" si="90"/>
        <v/>
      </c>
      <c r="C201" s="527"/>
      <c r="D201" s="528" t="s">
        <v>2301</v>
      </c>
      <c r="E201" s="528"/>
      <c r="F201" s="534"/>
      <c r="G201" s="529"/>
      <c r="H201" s="531"/>
      <c r="I201" s="849" t="str">
        <f t="shared" si="91"/>
        <v/>
      </c>
      <c r="J201" s="850" t="str">
        <f t="shared" si="92"/>
        <v/>
      </c>
      <c r="K201" s="70"/>
      <c r="L201" s="853"/>
      <c r="M201" s="855"/>
      <c r="N201" s="855"/>
      <c r="O201" s="855"/>
      <c r="P201" s="855"/>
      <c r="Q201" s="855"/>
      <c r="R201" s="855"/>
      <c r="S201" s="855"/>
      <c r="T201" s="855"/>
      <c r="U201" s="855"/>
      <c r="V201" s="855"/>
      <c r="W201" s="855"/>
      <c r="X201" s="855"/>
      <c r="Y201" s="855"/>
      <c r="Z201" s="856"/>
      <c r="AA201" s="856"/>
      <c r="AB201" s="856"/>
      <c r="AC201" s="856"/>
      <c r="AD201" s="856"/>
      <c r="AE201" s="856"/>
      <c r="AF201" s="856"/>
      <c r="AG201" s="856"/>
      <c r="AH201" s="856"/>
      <c r="AI201" s="856"/>
      <c r="AJ201" s="856"/>
      <c r="AK201" s="856"/>
      <c r="AL201" s="856"/>
      <c r="AM201" s="856"/>
      <c r="AN201" s="856"/>
      <c r="AO201" s="856"/>
      <c r="AP201" s="856"/>
      <c r="AQ201" s="856"/>
      <c r="AR201" s="856"/>
      <c r="AS201" s="856"/>
      <c r="AT201" s="856"/>
      <c r="AU201" s="856"/>
      <c r="AV201" s="856"/>
      <c r="AW201" s="856"/>
      <c r="AX201" s="856"/>
      <c r="AY201" s="856"/>
      <c r="AZ201" s="856"/>
      <c r="BA201" s="856"/>
      <c r="BB201" s="856"/>
      <c r="BC201" s="856"/>
      <c r="BD201" s="856"/>
      <c r="BE201" s="856"/>
      <c r="BF201" s="856"/>
      <c r="BG201" s="857"/>
      <c r="BH201" s="590"/>
      <c r="BI201" s="70"/>
      <c r="BJ201" s="518">
        <f t="shared" si="93"/>
        <v>0</v>
      </c>
      <c r="BK201" s="517">
        <f t="shared" si="94"/>
        <v>0</v>
      </c>
      <c r="BL201" s="68"/>
      <c r="BM201" s="515">
        <f>SUMIFS(Imput[[Importe Neto]:[Importe Neto]],Imput[[C. Imp.]:[C. Imp.]],$D201,Imput[[PERIODO Imp.]:[PERIODO Imp.]],BM$9)</f>
        <v>0</v>
      </c>
      <c r="BN201" s="516">
        <f>SUMIFS(Imput[[Importe Neto]:[Importe Neto]],Imput[[C. Imp.]:[C. Imp.]],$D201,Imput[[PERIODO Imp.]:[PERIODO Imp.]],BN$9)</f>
        <v>0</v>
      </c>
      <c r="BO201" s="516">
        <f>SUMIFS(Imput[[Importe Neto]:[Importe Neto]],Imput[[C. Imp.]:[C. Imp.]],$D201,Imput[[PERIODO Imp.]:[PERIODO Imp.]],BO$9)</f>
        <v>0</v>
      </c>
      <c r="BP201" s="516">
        <f>SUMIFS(Imput[[Importe Neto]:[Importe Neto]],Imput[[C. Imp.]:[C. Imp.]],$D201,Imput[[PERIODO Imp.]:[PERIODO Imp.]],BP$9)</f>
        <v>0</v>
      </c>
      <c r="BQ201" s="516">
        <f>SUMIFS(Imput[[Importe Neto]:[Importe Neto]],Imput[[C. Imp.]:[C. Imp.]],$D201,Imput[[PERIODO Imp.]:[PERIODO Imp.]],BQ$9)</f>
        <v>0</v>
      </c>
      <c r="BR201" s="516">
        <f>SUMIFS(Imput[[Importe Neto]:[Importe Neto]],Imput[[C. Imp.]:[C. Imp.]],$D201,Imput[[PERIODO Imp.]:[PERIODO Imp.]],BR$9)</f>
        <v>0</v>
      </c>
      <c r="BS201" s="516">
        <f>SUMIFS(Imput[[Importe Neto]:[Importe Neto]],Imput[[C. Imp.]:[C. Imp.]],$D201,Imput[[PERIODO Imp.]:[PERIODO Imp.]],BS$9)</f>
        <v>0</v>
      </c>
      <c r="BT201" s="516">
        <f>SUMIFS(Imput[[Importe Neto]:[Importe Neto]],Imput[[C. Imp.]:[C. Imp.]],$D201,Imput[[PERIODO Imp.]:[PERIODO Imp.]],BT$9)</f>
        <v>0</v>
      </c>
      <c r="BU201" s="516">
        <f>SUMIFS(Imput[[Importe Neto]:[Importe Neto]],Imput[[C. Imp.]:[C. Imp.]],$D201,Imput[[PERIODO Imp.]:[PERIODO Imp.]],BU$9)</f>
        <v>0</v>
      </c>
      <c r="BV201" s="516">
        <f>SUMIFS(Imput[[Importe Neto]:[Importe Neto]],Imput[[C. Imp.]:[C. Imp.]],$D201,Imput[[PERIODO Imp.]:[PERIODO Imp.]],BV$9)</f>
        <v>0</v>
      </c>
      <c r="BW201" s="516">
        <f>SUMIFS(Imput[[Importe Neto]:[Importe Neto]],Imput[[C. Imp.]:[C. Imp.]],$D201,Imput[[PERIODO Imp.]:[PERIODO Imp.]],BW$9)</f>
        <v>0</v>
      </c>
      <c r="BX201" s="516">
        <f>SUMIFS(Imput[[Importe Neto]:[Importe Neto]],Imput[[C. Imp.]:[C. Imp.]],$D201,Imput[[PERIODO Imp.]:[PERIODO Imp.]],BX$9)</f>
        <v>0</v>
      </c>
      <c r="BY201" s="516">
        <f>SUMIFS(Imput[[Importe Neto]:[Importe Neto]],Imput[[C. Imp.]:[C. Imp.]],$D201,Imput[[PERIODO Imp.]:[PERIODO Imp.]],BY$9)</f>
        <v>0</v>
      </c>
      <c r="BZ201" s="516">
        <f>SUMIFS(Imput[[Importe Neto]:[Importe Neto]],Imput[[C. Imp.]:[C. Imp.]],$D201,Imput[[PERIODO Imp.]:[PERIODO Imp.]],BZ$9)</f>
        <v>0</v>
      </c>
      <c r="CA201" s="516">
        <f>SUMIFS(Imput[[Importe Neto]:[Importe Neto]],Imput[[C. Imp.]:[C. Imp.]],$D201,Imput[[PERIODO Imp.]:[PERIODO Imp.]],CA$9)</f>
        <v>0</v>
      </c>
      <c r="CB201" s="516">
        <f>SUMIFS(Imput[[Importe Neto]:[Importe Neto]],Imput[[C. Imp.]:[C. Imp.]],$D201,Imput[[PERIODO Imp.]:[PERIODO Imp.]],CB$9)</f>
        <v>0</v>
      </c>
      <c r="CC201" s="516">
        <f>SUMIFS(Imput[[Importe Neto]:[Importe Neto]],Imput[[C. Imp.]:[C. Imp.]],$D201,Imput[[PERIODO Imp.]:[PERIODO Imp.]],CC$9)</f>
        <v>0</v>
      </c>
      <c r="CD201" s="516">
        <f>SUMIFS(Imput[[Importe Neto]:[Importe Neto]],Imput[[C. Imp.]:[C. Imp.]],$D201,Imput[[PERIODO Imp.]:[PERIODO Imp.]],CD$9)</f>
        <v>0</v>
      </c>
      <c r="CE201" s="516">
        <f>SUMIFS(Imput[[Importe Neto]:[Importe Neto]],Imput[[C. Imp.]:[C. Imp.]],$D201,Imput[[PERIODO Imp.]:[PERIODO Imp.]],CE$9)</f>
        <v>0</v>
      </c>
      <c r="CF201" s="516">
        <f>SUMIFS(Imput[[Importe Neto]:[Importe Neto]],Imput[[C. Imp.]:[C. Imp.]],$D201,Imput[[PERIODO Imp.]:[PERIODO Imp.]],CF$9)</f>
        <v>0</v>
      </c>
      <c r="CG201" s="516">
        <f>SUMIFS(Imput[[Importe Neto]:[Importe Neto]],Imput[[C. Imp.]:[C. Imp.]],$D201,Imput[[PERIODO Imp.]:[PERIODO Imp.]],CG$9)</f>
        <v>0</v>
      </c>
      <c r="CH201" s="516">
        <f>SUMIFS(Imput[[Importe Neto]:[Importe Neto]],Imput[[C. Imp.]:[C. Imp.]],$D201,Imput[[PERIODO Imp.]:[PERIODO Imp.]],CH$9)</f>
        <v>0</v>
      </c>
      <c r="CI201" s="516">
        <f>SUMIFS(Imput[[Importe Neto]:[Importe Neto]],Imput[[C. Imp.]:[C. Imp.]],$D201,Imput[[PERIODO Imp.]:[PERIODO Imp.]],CI$9)</f>
        <v>0</v>
      </c>
      <c r="CJ201" s="516">
        <f>SUMIFS(Imput[[Importe Neto]:[Importe Neto]],Imput[[C. Imp.]:[C. Imp.]],$D201,Imput[[PERIODO Imp.]:[PERIODO Imp.]],CJ$9)</f>
        <v>0</v>
      </c>
      <c r="CK201" s="516">
        <f>SUMIFS(Imput[[Importe Neto]:[Importe Neto]],Imput[[C. Imp.]:[C. Imp.]],$D201,Imput[[PERIODO Imp.]:[PERIODO Imp.]],CK$9)</f>
        <v>0</v>
      </c>
      <c r="CL201" s="516">
        <f>SUMIFS(Imput[[Importe Neto]:[Importe Neto]],Imput[[C. Imp.]:[C. Imp.]],$D201,Imput[[PERIODO Imp.]:[PERIODO Imp.]],CL$9)</f>
        <v>0</v>
      </c>
      <c r="CM201" s="516">
        <f>SUMIFS(Imput[[Importe Neto]:[Importe Neto]],Imput[[C. Imp.]:[C. Imp.]],$D201,Imput[[PERIODO Imp.]:[PERIODO Imp.]],CM$9)</f>
        <v>0</v>
      </c>
      <c r="CN201" s="516">
        <f>SUMIFS(Imput[[Importe Neto]:[Importe Neto]],Imput[[C. Imp.]:[C. Imp.]],$D201,Imput[[PERIODO Imp.]:[PERIODO Imp.]],CN$9)</f>
        <v>0</v>
      </c>
      <c r="CO201" s="516">
        <f>SUMIFS(Imput[[Importe Neto]:[Importe Neto]],Imput[[C. Imp.]:[C. Imp.]],$D201,Imput[[PERIODO Imp.]:[PERIODO Imp.]],CO$9)</f>
        <v>0</v>
      </c>
      <c r="CP201" s="516">
        <f>SUMIFS(Imput[[Importe Neto]:[Importe Neto]],Imput[[C. Imp.]:[C. Imp.]],$D201,Imput[[PERIODO Imp.]:[PERIODO Imp.]],CP$9)</f>
        <v>0</v>
      </c>
      <c r="CQ201" s="516">
        <f>SUMIFS(Imput[[Importe Neto]:[Importe Neto]],Imput[[C. Imp.]:[C. Imp.]],$D201,Imput[[PERIODO Imp.]:[PERIODO Imp.]],CQ$9)</f>
        <v>0</v>
      </c>
      <c r="CR201" s="516">
        <f>SUMIFS(Imput[[Importe Neto]:[Importe Neto]],Imput[[C. Imp.]:[C. Imp.]],$D201,Imput[[PERIODO Imp.]:[PERIODO Imp.]],CR$9)</f>
        <v>0</v>
      </c>
      <c r="CS201" s="516">
        <f>SUMIFS(Imput[[Importe Neto]:[Importe Neto]],Imput[[C. Imp.]:[C. Imp.]],$D201,Imput[[PERIODO Imp.]:[PERIODO Imp.]],CS$9)</f>
        <v>0</v>
      </c>
      <c r="CT201" s="516">
        <f>SUMIFS(Imput[[Importe Neto]:[Importe Neto]],Imput[[C. Imp.]:[C. Imp.]],$D201,Imput[[PERIODO Imp.]:[PERIODO Imp.]],CT$9)</f>
        <v>0</v>
      </c>
      <c r="CU201" s="516">
        <f>SUMIFS(Imput[[Importe Neto]:[Importe Neto]],Imput[[C. Imp.]:[C. Imp.]],$D201,Imput[[PERIODO Imp.]:[PERIODO Imp.]],CU$9)</f>
        <v>0</v>
      </c>
      <c r="CV201" s="516">
        <f>SUMIFS(Imput[[Importe Neto]:[Importe Neto]],Imput[[C. Imp.]:[C. Imp.]],$D201,Imput[[PERIODO Imp.]:[PERIODO Imp.]],CV$9)</f>
        <v>0</v>
      </c>
      <c r="CW201" s="516">
        <f>SUMIFS(Imput[[Importe Neto]:[Importe Neto]],Imput[[C. Imp.]:[C. Imp.]],$D201,Imput[[PERIODO Imp.]:[PERIODO Imp.]],CW$9)</f>
        <v>0</v>
      </c>
      <c r="CX201" s="516">
        <f>SUMIFS(Imput[[Importe Neto]:[Importe Neto]],Imput[[C. Imp.]:[C. Imp.]],$D201,Imput[[PERIODO Imp.]:[PERIODO Imp.]],CX$9)</f>
        <v>0</v>
      </c>
      <c r="CY201" s="516">
        <f>SUMIFS(Imput[[Importe Neto]:[Importe Neto]],Imput[[C. Imp.]:[C. Imp.]],$D201,Imput[[PERIODO Imp.]:[PERIODO Imp.]],CY$9)</f>
        <v>0</v>
      </c>
      <c r="CZ201" s="516">
        <f>SUMIFS(Imput[[Importe Neto]:[Importe Neto]],Imput[[C. Imp.]:[C. Imp.]],$D201,Imput[[PERIODO Imp.]:[PERIODO Imp.]],CZ$9)</f>
        <v>0</v>
      </c>
      <c r="DA201" s="516">
        <f>SUMIFS(Imput[[Importe Neto]:[Importe Neto]],Imput[[C. Imp.]:[C. Imp.]],$D201,Imput[[PERIODO Imp.]:[PERIODO Imp.]],DA$9)</f>
        <v>0</v>
      </c>
      <c r="DB201" s="516">
        <f>SUMIFS(Imput[[Importe Neto]:[Importe Neto]],Imput[[C. Imp.]:[C. Imp.]],$D201,Imput[[PERIODO Imp.]:[PERIODO Imp.]],DB$9)</f>
        <v>0</v>
      </c>
      <c r="DC201" s="516">
        <f>SUMIFS(Imput[[Importe Neto]:[Importe Neto]],Imput[[C. Imp.]:[C. Imp.]],$D201,Imput[[PERIODO Imp.]:[PERIODO Imp.]],DC$9)</f>
        <v>0</v>
      </c>
      <c r="DD201" s="516">
        <f>SUMIFS(Imput[[Importe Neto]:[Importe Neto]],Imput[[C. Imp.]:[C. Imp.]],$D201,Imput[[PERIODO Imp.]:[PERIODO Imp.]],DD$9)</f>
        <v>0</v>
      </c>
      <c r="DE201" s="516">
        <f>SUMIFS(Imput[[Importe Neto]:[Importe Neto]],Imput[[C. Imp.]:[C. Imp.]],$D201,Imput[[PERIODO Imp.]:[PERIODO Imp.]],DE$9)</f>
        <v>0</v>
      </c>
      <c r="DF201" s="516">
        <f>SUMIFS(Imput[[Importe Neto]:[Importe Neto]],Imput[[C. Imp.]:[C. Imp.]],$D201,Imput[[PERIODO Imp.]:[PERIODO Imp.]],DF$9)</f>
        <v>0</v>
      </c>
      <c r="DG201" s="516">
        <f>SUMIFS(Imput[[Importe Neto]:[Importe Neto]],Imput[[C. Imp.]:[C. Imp.]],$D201,Imput[[PERIODO Imp.]:[PERIODO Imp.]],DG$9)</f>
        <v>0</v>
      </c>
      <c r="DH201" s="616">
        <f>SUMIFS(Imput[[Importe Neto]:[Importe Neto]],Imput[[C. Imp.]:[C. Imp.]],$D201,Imput[[PERIODO Imp.]:[PERIODO Imp.]],DH$9)</f>
        <v>0</v>
      </c>
    </row>
    <row r="202" spans="1:112" ht="14.4" hidden="1" outlineLevel="1" thickBot="1" x14ac:dyDescent="0.35">
      <c r="A202" s="66" t="str">
        <f t="shared" si="90"/>
        <v/>
      </c>
      <c r="C202" s="527"/>
      <c r="D202" s="528" t="s">
        <v>2302</v>
      </c>
      <c r="E202" s="528"/>
      <c r="F202" s="534"/>
      <c r="G202" s="529"/>
      <c r="H202" s="531"/>
      <c r="I202" s="849" t="str">
        <f t="shared" si="91"/>
        <v/>
      </c>
      <c r="J202" s="850" t="str">
        <f t="shared" si="92"/>
        <v/>
      </c>
      <c r="K202" s="70"/>
      <c r="L202" s="853"/>
      <c r="M202" s="855"/>
      <c r="N202" s="855"/>
      <c r="O202" s="855"/>
      <c r="P202" s="855"/>
      <c r="Q202" s="855"/>
      <c r="R202" s="855"/>
      <c r="S202" s="855"/>
      <c r="T202" s="855"/>
      <c r="U202" s="855"/>
      <c r="V202" s="855"/>
      <c r="W202" s="855"/>
      <c r="X202" s="855"/>
      <c r="Y202" s="855"/>
      <c r="Z202" s="856"/>
      <c r="AA202" s="856"/>
      <c r="AB202" s="856"/>
      <c r="AC202" s="856"/>
      <c r="AD202" s="856"/>
      <c r="AE202" s="856"/>
      <c r="AF202" s="856"/>
      <c r="AG202" s="856"/>
      <c r="AH202" s="856"/>
      <c r="AI202" s="856"/>
      <c r="AJ202" s="856"/>
      <c r="AK202" s="856"/>
      <c r="AL202" s="856"/>
      <c r="AM202" s="856"/>
      <c r="AN202" s="856"/>
      <c r="AO202" s="856"/>
      <c r="AP202" s="856"/>
      <c r="AQ202" s="856"/>
      <c r="AR202" s="856"/>
      <c r="AS202" s="856"/>
      <c r="AT202" s="856"/>
      <c r="AU202" s="856"/>
      <c r="AV202" s="856"/>
      <c r="AW202" s="856"/>
      <c r="AX202" s="856"/>
      <c r="AY202" s="856"/>
      <c r="AZ202" s="856"/>
      <c r="BA202" s="856"/>
      <c r="BB202" s="856"/>
      <c r="BC202" s="856"/>
      <c r="BD202" s="856"/>
      <c r="BE202" s="856"/>
      <c r="BF202" s="856"/>
      <c r="BG202" s="857"/>
      <c r="BH202" s="590"/>
      <c r="BI202" s="70"/>
      <c r="BJ202" s="518">
        <f t="shared" si="93"/>
        <v>0</v>
      </c>
      <c r="BK202" s="517">
        <f t="shared" si="94"/>
        <v>0</v>
      </c>
      <c r="BL202" s="68"/>
      <c r="BM202" s="515">
        <f>SUMIFS(Imput[[Importe Neto]:[Importe Neto]],Imput[[C. Imp.]:[C. Imp.]],$D202,Imput[[PERIODO Imp.]:[PERIODO Imp.]],BM$9)</f>
        <v>0</v>
      </c>
      <c r="BN202" s="516">
        <f>SUMIFS(Imput[[Importe Neto]:[Importe Neto]],Imput[[C. Imp.]:[C. Imp.]],$D202,Imput[[PERIODO Imp.]:[PERIODO Imp.]],BN$9)</f>
        <v>0</v>
      </c>
      <c r="BO202" s="516">
        <f>SUMIFS(Imput[[Importe Neto]:[Importe Neto]],Imput[[C. Imp.]:[C. Imp.]],$D202,Imput[[PERIODO Imp.]:[PERIODO Imp.]],BO$9)</f>
        <v>0</v>
      </c>
      <c r="BP202" s="516">
        <f>SUMIFS(Imput[[Importe Neto]:[Importe Neto]],Imput[[C. Imp.]:[C. Imp.]],$D202,Imput[[PERIODO Imp.]:[PERIODO Imp.]],BP$9)</f>
        <v>0</v>
      </c>
      <c r="BQ202" s="516">
        <f>SUMIFS(Imput[[Importe Neto]:[Importe Neto]],Imput[[C. Imp.]:[C. Imp.]],$D202,Imput[[PERIODO Imp.]:[PERIODO Imp.]],BQ$9)</f>
        <v>0</v>
      </c>
      <c r="BR202" s="516">
        <f>SUMIFS(Imput[[Importe Neto]:[Importe Neto]],Imput[[C. Imp.]:[C. Imp.]],$D202,Imput[[PERIODO Imp.]:[PERIODO Imp.]],BR$9)</f>
        <v>0</v>
      </c>
      <c r="BS202" s="516">
        <f>SUMIFS(Imput[[Importe Neto]:[Importe Neto]],Imput[[C. Imp.]:[C. Imp.]],$D202,Imput[[PERIODO Imp.]:[PERIODO Imp.]],BS$9)</f>
        <v>0</v>
      </c>
      <c r="BT202" s="516">
        <f>SUMIFS(Imput[[Importe Neto]:[Importe Neto]],Imput[[C. Imp.]:[C. Imp.]],$D202,Imput[[PERIODO Imp.]:[PERIODO Imp.]],BT$9)</f>
        <v>0</v>
      </c>
      <c r="BU202" s="516">
        <f>SUMIFS(Imput[[Importe Neto]:[Importe Neto]],Imput[[C. Imp.]:[C. Imp.]],$D202,Imput[[PERIODO Imp.]:[PERIODO Imp.]],BU$9)</f>
        <v>0</v>
      </c>
      <c r="BV202" s="516">
        <f>SUMIFS(Imput[[Importe Neto]:[Importe Neto]],Imput[[C. Imp.]:[C. Imp.]],$D202,Imput[[PERIODO Imp.]:[PERIODO Imp.]],BV$9)</f>
        <v>0</v>
      </c>
      <c r="BW202" s="516">
        <f>SUMIFS(Imput[[Importe Neto]:[Importe Neto]],Imput[[C. Imp.]:[C. Imp.]],$D202,Imput[[PERIODO Imp.]:[PERIODO Imp.]],BW$9)</f>
        <v>0</v>
      </c>
      <c r="BX202" s="516">
        <f>SUMIFS(Imput[[Importe Neto]:[Importe Neto]],Imput[[C. Imp.]:[C. Imp.]],$D202,Imput[[PERIODO Imp.]:[PERIODO Imp.]],BX$9)</f>
        <v>0</v>
      </c>
      <c r="BY202" s="516">
        <f>SUMIFS(Imput[[Importe Neto]:[Importe Neto]],Imput[[C. Imp.]:[C. Imp.]],$D202,Imput[[PERIODO Imp.]:[PERIODO Imp.]],BY$9)</f>
        <v>0</v>
      </c>
      <c r="BZ202" s="516">
        <f>SUMIFS(Imput[[Importe Neto]:[Importe Neto]],Imput[[C. Imp.]:[C. Imp.]],$D202,Imput[[PERIODO Imp.]:[PERIODO Imp.]],BZ$9)</f>
        <v>0</v>
      </c>
      <c r="CA202" s="516">
        <f>SUMIFS(Imput[[Importe Neto]:[Importe Neto]],Imput[[C. Imp.]:[C. Imp.]],$D202,Imput[[PERIODO Imp.]:[PERIODO Imp.]],CA$9)</f>
        <v>0</v>
      </c>
      <c r="CB202" s="516">
        <f>SUMIFS(Imput[[Importe Neto]:[Importe Neto]],Imput[[C. Imp.]:[C. Imp.]],$D202,Imput[[PERIODO Imp.]:[PERIODO Imp.]],CB$9)</f>
        <v>0</v>
      </c>
      <c r="CC202" s="516">
        <f>SUMIFS(Imput[[Importe Neto]:[Importe Neto]],Imput[[C. Imp.]:[C. Imp.]],$D202,Imput[[PERIODO Imp.]:[PERIODO Imp.]],CC$9)</f>
        <v>0</v>
      </c>
      <c r="CD202" s="516">
        <f>SUMIFS(Imput[[Importe Neto]:[Importe Neto]],Imput[[C. Imp.]:[C. Imp.]],$D202,Imput[[PERIODO Imp.]:[PERIODO Imp.]],CD$9)</f>
        <v>0</v>
      </c>
      <c r="CE202" s="516">
        <f>SUMIFS(Imput[[Importe Neto]:[Importe Neto]],Imput[[C. Imp.]:[C. Imp.]],$D202,Imput[[PERIODO Imp.]:[PERIODO Imp.]],CE$9)</f>
        <v>0</v>
      </c>
      <c r="CF202" s="516">
        <f>SUMIFS(Imput[[Importe Neto]:[Importe Neto]],Imput[[C. Imp.]:[C. Imp.]],$D202,Imput[[PERIODO Imp.]:[PERIODO Imp.]],CF$9)</f>
        <v>0</v>
      </c>
      <c r="CG202" s="516">
        <f>SUMIFS(Imput[[Importe Neto]:[Importe Neto]],Imput[[C. Imp.]:[C. Imp.]],$D202,Imput[[PERIODO Imp.]:[PERIODO Imp.]],CG$9)</f>
        <v>0</v>
      </c>
      <c r="CH202" s="516">
        <f>SUMIFS(Imput[[Importe Neto]:[Importe Neto]],Imput[[C. Imp.]:[C. Imp.]],$D202,Imput[[PERIODO Imp.]:[PERIODO Imp.]],CH$9)</f>
        <v>0</v>
      </c>
      <c r="CI202" s="516">
        <f>SUMIFS(Imput[[Importe Neto]:[Importe Neto]],Imput[[C. Imp.]:[C. Imp.]],$D202,Imput[[PERIODO Imp.]:[PERIODO Imp.]],CI$9)</f>
        <v>0</v>
      </c>
      <c r="CJ202" s="516">
        <f>SUMIFS(Imput[[Importe Neto]:[Importe Neto]],Imput[[C. Imp.]:[C. Imp.]],$D202,Imput[[PERIODO Imp.]:[PERIODO Imp.]],CJ$9)</f>
        <v>0</v>
      </c>
      <c r="CK202" s="516">
        <f>SUMIFS(Imput[[Importe Neto]:[Importe Neto]],Imput[[C. Imp.]:[C. Imp.]],$D202,Imput[[PERIODO Imp.]:[PERIODO Imp.]],CK$9)</f>
        <v>0</v>
      </c>
      <c r="CL202" s="516">
        <f>SUMIFS(Imput[[Importe Neto]:[Importe Neto]],Imput[[C. Imp.]:[C. Imp.]],$D202,Imput[[PERIODO Imp.]:[PERIODO Imp.]],CL$9)</f>
        <v>0</v>
      </c>
      <c r="CM202" s="516">
        <f>SUMIFS(Imput[[Importe Neto]:[Importe Neto]],Imput[[C. Imp.]:[C. Imp.]],$D202,Imput[[PERIODO Imp.]:[PERIODO Imp.]],CM$9)</f>
        <v>0</v>
      </c>
      <c r="CN202" s="516">
        <f>SUMIFS(Imput[[Importe Neto]:[Importe Neto]],Imput[[C. Imp.]:[C. Imp.]],$D202,Imput[[PERIODO Imp.]:[PERIODO Imp.]],CN$9)</f>
        <v>0</v>
      </c>
      <c r="CO202" s="516">
        <f>SUMIFS(Imput[[Importe Neto]:[Importe Neto]],Imput[[C. Imp.]:[C. Imp.]],$D202,Imput[[PERIODO Imp.]:[PERIODO Imp.]],CO$9)</f>
        <v>0</v>
      </c>
      <c r="CP202" s="516">
        <f>SUMIFS(Imput[[Importe Neto]:[Importe Neto]],Imput[[C. Imp.]:[C. Imp.]],$D202,Imput[[PERIODO Imp.]:[PERIODO Imp.]],CP$9)</f>
        <v>0</v>
      </c>
      <c r="CQ202" s="516">
        <f>SUMIFS(Imput[[Importe Neto]:[Importe Neto]],Imput[[C. Imp.]:[C. Imp.]],$D202,Imput[[PERIODO Imp.]:[PERIODO Imp.]],CQ$9)</f>
        <v>0</v>
      </c>
      <c r="CR202" s="516">
        <f>SUMIFS(Imput[[Importe Neto]:[Importe Neto]],Imput[[C. Imp.]:[C. Imp.]],$D202,Imput[[PERIODO Imp.]:[PERIODO Imp.]],CR$9)</f>
        <v>0</v>
      </c>
      <c r="CS202" s="516">
        <f>SUMIFS(Imput[[Importe Neto]:[Importe Neto]],Imput[[C. Imp.]:[C. Imp.]],$D202,Imput[[PERIODO Imp.]:[PERIODO Imp.]],CS$9)</f>
        <v>0</v>
      </c>
      <c r="CT202" s="516">
        <f>SUMIFS(Imput[[Importe Neto]:[Importe Neto]],Imput[[C. Imp.]:[C. Imp.]],$D202,Imput[[PERIODO Imp.]:[PERIODO Imp.]],CT$9)</f>
        <v>0</v>
      </c>
      <c r="CU202" s="516">
        <f>SUMIFS(Imput[[Importe Neto]:[Importe Neto]],Imput[[C. Imp.]:[C. Imp.]],$D202,Imput[[PERIODO Imp.]:[PERIODO Imp.]],CU$9)</f>
        <v>0</v>
      </c>
      <c r="CV202" s="516">
        <f>SUMIFS(Imput[[Importe Neto]:[Importe Neto]],Imput[[C. Imp.]:[C. Imp.]],$D202,Imput[[PERIODO Imp.]:[PERIODO Imp.]],CV$9)</f>
        <v>0</v>
      </c>
      <c r="CW202" s="516">
        <f>SUMIFS(Imput[[Importe Neto]:[Importe Neto]],Imput[[C. Imp.]:[C. Imp.]],$D202,Imput[[PERIODO Imp.]:[PERIODO Imp.]],CW$9)</f>
        <v>0</v>
      </c>
      <c r="CX202" s="516">
        <f>SUMIFS(Imput[[Importe Neto]:[Importe Neto]],Imput[[C. Imp.]:[C. Imp.]],$D202,Imput[[PERIODO Imp.]:[PERIODO Imp.]],CX$9)</f>
        <v>0</v>
      </c>
      <c r="CY202" s="516">
        <f>SUMIFS(Imput[[Importe Neto]:[Importe Neto]],Imput[[C. Imp.]:[C. Imp.]],$D202,Imput[[PERIODO Imp.]:[PERIODO Imp.]],CY$9)</f>
        <v>0</v>
      </c>
      <c r="CZ202" s="516">
        <f>SUMIFS(Imput[[Importe Neto]:[Importe Neto]],Imput[[C. Imp.]:[C. Imp.]],$D202,Imput[[PERIODO Imp.]:[PERIODO Imp.]],CZ$9)</f>
        <v>0</v>
      </c>
      <c r="DA202" s="516">
        <f>SUMIFS(Imput[[Importe Neto]:[Importe Neto]],Imput[[C. Imp.]:[C. Imp.]],$D202,Imput[[PERIODO Imp.]:[PERIODO Imp.]],DA$9)</f>
        <v>0</v>
      </c>
      <c r="DB202" s="516">
        <f>SUMIFS(Imput[[Importe Neto]:[Importe Neto]],Imput[[C. Imp.]:[C. Imp.]],$D202,Imput[[PERIODO Imp.]:[PERIODO Imp.]],DB$9)</f>
        <v>0</v>
      </c>
      <c r="DC202" s="516">
        <f>SUMIFS(Imput[[Importe Neto]:[Importe Neto]],Imput[[C. Imp.]:[C. Imp.]],$D202,Imput[[PERIODO Imp.]:[PERIODO Imp.]],DC$9)</f>
        <v>0</v>
      </c>
      <c r="DD202" s="516">
        <f>SUMIFS(Imput[[Importe Neto]:[Importe Neto]],Imput[[C. Imp.]:[C. Imp.]],$D202,Imput[[PERIODO Imp.]:[PERIODO Imp.]],DD$9)</f>
        <v>0</v>
      </c>
      <c r="DE202" s="516">
        <f>SUMIFS(Imput[[Importe Neto]:[Importe Neto]],Imput[[C. Imp.]:[C. Imp.]],$D202,Imput[[PERIODO Imp.]:[PERIODO Imp.]],DE$9)</f>
        <v>0</v>
      </c>
      <c r="DF202" s="516">
        <f>SUMIFS(Imput[[Importe Neto]:[Importe Neto]],Imput[[C. Imp.]:[C. Imp.]],$D202,Imput[[PERIODO Imp.]:[PERIODO Imp.]],DF$9)</f>
        <v>0</v>
      </c>
      <c r="DG202" s="516">
        <f>SUMIFS(Imput[[Importe Neto]:[Importe Neto]],Imput[[C. Imp.]:[C. Imp.]],$D202,Imput[[PERIODO Imp.]:[PERIODO Imp.]],DG$9)</f>
        <v>0</v>
      </c>
      <c r="DH202" s="616">
        <f>SUMIFS(Imput[[Importe Neto]:[Importe Neto]],Imput[[C. Imp.]:[C. Imp.]],$D202,Imput[[PERIODO Imp.]:[PERIODO Imp.]],DH$9)</f>
        <v>0</v>
      </c>
    </row>
    <row r="203" spans="1:112" ht="14.4" hidden="1" outlineLevel="1" thickBot="1" x14ac:dyDescent="0.35">
      <c r="A203" s="66" t="str">
        <f t="shared" si="90"/>
        <v/>
      </c>
      <c r="C203" s="527"/>
      <c r="D203" s="528" t="s">
        <v>2303</v>
      </c>
      <c r="E203" s="528"/>
      <c r="F203" s="534"/>
      <c r="G203" s="529"/>
      <c r="H203" s="531"/>
      <c r="I203" s="849" t="str">
        <f t="shared" si="91"/>
        <v/>
      </c>
      <c r="J203" s="850" t="str">
        <f t="shared" si="92"/>
        <v/>
      </c>
      <c r="K203" s="70"/>
      <c r="L203" s="853"/>
      <c r="M203" s="855"/>
      <c r="N203" s="855"/>
      <c r="O203" s="855"/>
      <c r="P203" s="855"/>
      <c r="Q203" s="855"/>
      <c r="R203" s="855"/>
      <c r="S203" s="855"/>
      <c r="T203" s="855"/>
      <c r="U203" s="855"/>
      <c r="V203" s="855"/>
      <c r="W203" s="855"/>
      <c r="X203" s="855"/>
      <c r="Y203" s="855"/>
      <c r="Z203" s="856"/>
      <c r="AA203" s="856"/>
      <c r="AB203" s="856"/>
      <c r="AC203" s="856"/>
      <c r="AD203" s="856"/>
      <c r="AE203" s="856"/>
      <c r="AF203" s="856"/>
      <c r="AG203" s="856"/>
      <c r="AH203" s="856"/>
      <c r="AI203" s="856"/>
      <c r="AJ203" s="856"/>
      <c r="AK203" s="856"/>
      <c r="AL203" s="856"/>
      <c r="AM203" s="856"/>
      <c r="AN203" s="856"/>
      <c r="AO203" s="856"/>
      <c r="AP203" s="856"/>
      <c r="AQ203" s="856"/>
      <c r="AR203" s="856"/>
      <c r="AS203" s="856"/>
      <c r="AT203" s="856"/>
      <c r="AU203" s="856"/>
      <c r="AV203" s="856"/>
      <c r="AW203" s="856"/>
      <c r="AX203" s="856"/>
      <c r="AY203" s="856"/>
      <c r="AZ203" s="856"/>
      <c r="BA203" s="856"/>
      <c r="BB203" s="856"/>
      <c r="BC203" s="856"/>
      <c r="BD203" s="856"/>
      <c r="BE203" s="856"/>
      <c r="BF203" s="856"/>
      <c r="BG203" s="857"/>
      <c r="BH203" s="590"/>
      <c r="BI203" s="70"/>
      <c r="BJ203" s="518">
        <f t="shared" si="93"/>
        <v>0</v>
      </c>
      <c r="BK203" s="517">
        <f t="shared" si="94"/>
        <v>0</v>
      </c>
      <c r="BL203" s="68"/>
      <c r="BM203" s="515">
        <f>SUMIFS(Imput[[Importe Neto]:[Importe Neto]],Imput[[C. Imp.]:[C. Imp.]],$D203,Imput[[PERIODO Imp.]:[PERIODO Imp.]],BM$9)</f>
        <v>0</v>
      </c>
      <c r="BN203" s="516">
        <f>SUMIFS(Imput[[Importe Neto]:[Importe Neto]],Imput[[C. Imp.]:[C. Imp.]],$D203,Imput[[PERIODO Imp.]:[PERIODO Imp.]],BN$9)</f>
        <v>0</v>
      </c>
      <c r="BO203" s="516">
        <f>SUMIFS(Imput[[Importe Neto]:[Importe Neto]],Imput[[C. Imp.]:[C. Imp.]],$D203,Imput[[PERIODO Imp.]:[PERIODO Imp.]],BO$9)</f>
        <v>0</v>
      </c>
      <c r="BP203" s="516">
        <f>SUMIFS(Imput[[Importe Neto]:[Importe Neto]],Imput[[C. Imp.]:[C. Imp.]],$D203,Imput[[PERIODO Imp.]:[PERIODO Imp.]],BP$9)</f>
        <v>0</v>
      </c>
      <c r="BQ203" s="516">
        <f>SUMIFS(Imput[[Importe Neto]:[Importe Neto]],Imput[[C. Imp.]:[C. Imp.]],$D203,Imput[[PERIODO Imp.]:[PERIODO Imp.]],BQ$9)</f>
        <v>0</v>
      </c>
      <c r="BR203" s="516">
        <f>SUMIFS(Imput[[Importe Neto]:[Importe Neto]],Imput[[C. Imp.]:[C. Imp.]],$D203,Imput[[PERIODO Imp.]:[PERIODO Imp.]],BR$9)</f>
        <v>0</v>
      </c>
      <c r="BS203" s="516">
        <f>SUMIFS(Imput[[Importe Neto]:[Importe Neto]],Imput[[C. Imp.]:[C. Imp.]],$D203,Imput[[PERIODO Imp.]:[PERIODO Imp.]],BS$9)</f>
        <v>0</v>
      </c>
      <c r="BT203" s="516">
        <f>SUMIFS(Imput[[Importe Neto]:[Importe Neto]],Imput[[C. Imp.]:[C. Imp.]],$D203,Imput[[PERIODO Imp.]:[PERIODO Imp.]],BT$9)</f>
        <v>0</v>
      </c>
      <c r="BU203" s="516">
        <f>SUMIFS(Imput[[Importe Neto]:[Importe Neto]],Imput[[C. Imp.]:[C. Imp.]],$D203,Imput[[PERIODO Imp.]:[PERIODO Imp.]],BU$9)</f>
        <v>0</v>
      </c>
      <c r="BV203" s="516">
        <f>SUMIFS(Imput[[Importe Neto]:[Importe Neto]],Imput[[C. Imp.]:[C. Imp.]],$D203,Imput[[PERIODO Imp.]:[PERIODO Imp.]],BV$9)</f>
        <v>0</v>
      </c>
      <c r="BW203" s="516">
        <f>SUMIFS(Imput[[Importe Neto]:[Importe Neto]],Imput[[C. Imp.]:[C. Imp.]],$D203,Imput[[PERIODO Imp.]:[PERIODO Imp.]],BW$9)</f>
        <v>0</v>
      </c>
      <c r="BX203" s="516">
        <f>SUMIFS(Imput[[Importe Neto]:[Importe Neto]],Imput[[C. Imp.]:[C. Imp.]],$D203,Imput[[PERIODO Imp.]:[PERIODO Imp.]],BX$9)</f>
        <v>0</v>
      </c>
      <c r="BY203" s="516">
        <f>SUMIFS(Imput[[Importe Neto]:[Importe Neto]],Imput[[C. Imp.]:[C. Imp.]],$D203,Imput[[PERIODO Imp.]:[PERIODO Imp.]],BY$9)</f>
        <v>0</v>
      </c>
      <c r="BZ203" s="516">
        <f>SUMIFS(Imput[[Importe Neto]:[Importe Neto]],Imput[[C. Imp.]:[C. Imp.]],$D203,Imput[[PERIODO Imp.]:[PERIODO Imp.]],BZ$9)</f>
        <v>0</v>
      </c>
      <c r="CA203" s="516">
        <f>SUMIFS(Imput[[Importe Neto]:[Importe Neto]],Imput[[C. Imp.]:[C. Imp.]],$D203,Imput[[PERIODO Imp.]:[PERIODO Imp.]],CA$9)</f>
        <v>0</v>
      </c>
      <c r="CB203" s="516">
        <f>SUMIFS(Imput[[Importe Neto]:[Importe Neto]],Imput[[C. Imp.]:[C. Imp.]],$D203,Imput[[PERIODO Imp.]:[PERIODO Imp.]],CB$9)</f>
        <v>0</v>
      </c>
      <c r="CC203" s="516">
        <f>SUMIFS(Imput[[Importe Neto]:[Importe Neto]],Imput[[C. Imp.]:[C. Imp.]],$D203,Imput[[PERIODO Imp.]:[PERIODO Imp.]],CC$9)</f>
        <v>0</v>
      </c>
      <c r="CD203" s="516">
        <f>SUMIFS(Imput[[Importe Neto]:[Importe Neto]],Imput[[C. Imp.]:[C. Imp.]],$D203,Imput[[PERIODO Imp.]:[PERIODO Imp.]],CD$9)</f>
        <v>0</v>
      </c>
      <c r="CE203" s="516">
        <f>SUMIFS(Imput[[Importe Neto]:[Importe Neto]],Imput[[C. Imp.]:[C. Imp.]],$D203,Imput[[PERIODO Imp.]:[PERIODO Imp.]],CE$9)</f>
        <v>0</v>
      </c>
      <c r="CF203" s="516">
        <f>SUMIFS(Imput[[Importe Neto]:[Importe Neto]],Imput[[C. Imp.]:[C. Imp.]],$D203,Imput[[PERIODO Imp.]:[PERIODO Imp.]],CF$9)</f>
        <v>0</v>
      </c>
      <c r="CG203" s="516">
        <f>SUMIFS(Imput[[Importe Neto]:[Importe Neto]],Imput[[C. Imp.]:[C. Imp.]],$D203,Imput[[PERIODO Imp.]:[PERIODO Imp.]],CG$9)</f>
        <v>0</v>
      </c>
      <c r="CH203" s="516">
        <f>SUMIFS(Imput[[Importe Neto]:[Importe Neto]],Imput[[C. Imp.]:[C. Imp.]],$D203,Imput[[PERIODO Imp.]:[PERIODO Imp.]],CH$9)</f>
        <v>0</v>
      </c>
      <c r="CI203" s="516">
        <f>SUMIFS(Imput[[Importe Neto]:[Importe Neto]],Imput[[C. Imp.]:[C. Imp.]],$D203,Imput[[PERIODO Imp.]:[PERIODO Imp.]],CI$9)</f>
        <v>0</v>
      </c>
      <c r="CJ203" s="516">
        <f>SUMIFS(Imput[[Importe Neto]:[Importe Neto]],Imput[[C. Imp.]:[C. Imp.]],$D203,Imput[[PERIODO Imp.]:[PERIODO Imp.]],CJ$9)</f>
        <v>0</v>
      </c>
      <c r="CK203" s="516">
        <f>SUMIFS(Imput[[Importe Neto]:[Importe Neto]],Imput[[C. Imp.]:[C. Imp.]],$D203,Imput[[PERIODO Imp.]:[PERIODO Imp.]],CK$9)</f>
        <v>0</v>
      </c>
      <c r="CL203" s="516">
        <f>SUMIFS(Imput[[Importe Neto]:[Importe Neto]],Imput[[C. Imp.]:[C. Imp.]],$D203,Imput[[PERIODO Imp.]:[PERIODO Imp.]],CL$9)</f>
        <v>0</v>
      </c>
      <c r="CM203" s="516">
        <f>SUMIFS(Imput[[Importe Neto]:[Importe Neto]],Imput[[C. Imp.]:[C. Imp.]],$D203,Imput[[PERIODO Imp.]:[PERIODO Imp.]],CM$9)</f>
        <v>0</v>
      </c>
      <c r="CN203" s="516">
        <f>SUMIFS(Imput[[Importe Neto]:[Importe Neto]],Imput[[C. Imp.]:[C. Imp.]],$D203,Imput[[PERIODO Imp.]:[PERIODO Imp.]],CN$9)</f>
        <v>0</v>
      </c>
      <c r="CO203" s="516">
        <f>SUMIFS(Imput[[Importe Neto]:[Importe Neto]],Imput[[C. Imp.]:[C. Imp.]],$D203,Imput[[PERIODO Imp.]:[PERIODO Imp.]],CO$9)</f>
        <v>0</v>
      </c>
      <c r="CP203" s="516">
        <f>SUMIFS(Imput[[Importe Neto]:[Importe Neto]],Imput[[C. Imp.]:[C. Imp.]],$D203,Imput[[PERIODO Imp.]:[PERIODO Imp.]],CP$9)</f>
        <v>0</v>
      </c>
      <c r="CQ203" s="516">
        <f>SUMIFS(Imput[[Importe Neto]:[Importe Neto]],Imput[[C. Imp.]:[C. Imp.]],$D203,Imput[[PERIODO Imp.]:[PERIODO Imp.]],CQ$9)</f>
        <v>0</v>
      </c>
      <c r="CR203" s="516">
        <f>SUMIFS(Imput[[Importe Neto]:[Importe Neto]],Imput[[C. Imp.]:[C. Imp.]],$D203,Imput[[PERIODO Imp.]:[PERIODO Imp.]],CR$9)</f>
        <v>0</v>
      </c>
      <c r="CS203" s="516">
        <f>SUMIFS(Imput[[Importe Neto]:[Importe Neto]],Imput[[C. Imp.]:[C. Imp.]],$D203,Imput[[PERIODO Imp.]:[PERIODO Imp.]],CS$9)</f>
        <v>0</v>
      </c>
      <c r="CT203" s="516">
        <f>SUMIFS(Imput[[Importe Neto]:[Importe Neto]],Imput[[C. Imp.]:[C. Imp.]],$D203,Imput[[PERIODO Imp.]:[PERIODO Imp.]],CT$9)</f>
        <v>0</v>
      </c>
      <c r="CU203" s="516">
        <f>SUMIFS(Imput[[Importe Neto]:[Importe Neto]],Imput[[C. Imp.]:[C. Imp.]],$D203,Imput[[PERIODO Imp.]:[PERIODO Imp.]],CU$9)</f>
        <v>0</v>
      </c>
      <c r="CV203" s="516">
        <f>SUMIFS(Imput[[Importe Neto]:[Importe Neto]],Imput[[C. Imp.]:[C. Imp.]],$D203,Imput[[PERIODO Imp.]:[PERIODO Imp.]],CV$9)</f>
        <v>0</v>
      </c>
      <c r="CW203" s="516">
        <f>SUMIFS(Imput[[Importe Neto]:[Importe Neto]],Imput[[C. Imp.]:[C. Imp.]],$D203,Imput[[PERIODO Imp.]:[PERIODO Imp.]],CW$9)</f>
        <v>0</v>
      </c>
      <c r="CX203" s="516">
        <f>SUMIFS(Imput[[Importe Neto]:[Importe Neto]],Imput[[C. Imp.]:[C. Imp.]],$D203,Imput[[PERIODO Imp.]:[PERIODO Imp.]],CX$9)</f>
        <v>0</v>
      </c>
      <c r="CY203" s="516">
        <f>SUMIFS(Imput[[Importe Neto]:[Importe Neto]],Imput[[C. Imp.]:[C. Imp.]],$D203,Imput[[PERIODO Imp.]:[PERIODO Imp.]],CY$9)</f>
        <v>0</v>
      </c>
      <c r="CZ203" s="516">
        <f>SUMIFS(Imput[[Importe Neto]:[Importe Neto]],Imput[[C. Imp.]:[C. Imp.]],$D203,Imput[[PERIODO Imp.]:[PERIODO Imp.]],CZ$9)</f>
        <v>0</v>
      </c>
      <c r="DA203" s="516">
        <f>SUMIFS(Imput[[Importe Neto]:[Importe Neto]],Imput[[C. Imp.]:[C. Imp.]],$D203,Imput[[PERIODO Imp.]:[PERIODO Imp.]],DA$9)</f>
        <v>0</v>
      </c>
      <c r="DB203" s="516">
        <f>SUMIFS(Imput[[Importe Neto]:[Importe Neto]],Imput[[C. Imp.]:[C. Imp.]],$D203,Imput[[PERIODO Imp.]:[PERIODO Imp.]],DB$9)</f>
        <v>0</v>
      </c>
      <c r="DC203" s="516">
        <f>SUMIFS(Imput[[Importe Neto]:[Importe Neto]],Imput[[C. Imp.]:[C. Imp.]],$D203,Imput[[PERIODO Imp.]:[PERIODO Imp.]],DC$9)</f>
        <v>0</v>
      </c>
      <c r="DD203" s="516">
        <f>SUMIFS(Imput[[Importe Neto]:[Importe Neto]],Imput[[C. Imp.]:[C. Imp.]],$D203,Imput[[PERIODO Imp.]:[PERIODO Imp.]],DD$9)</f>
        <v>0</v>
      </c>
      <c r="DE203" s="516">
        <f>SUMIFS(Imput[[Importe Neto]:[Importe Neto]],Imput[[C. Imp.]:[C. Imp.]],$D203,Imput[[PERIODO Imp.]:[PERIODO Imp.]],DE$9)</f>
        <v>0</v>
      </c>
      <c r="DF203" s="516">
        <f>SUMIFS(Imput[[Importe Neto]:[Importe Neto]],Imput[[C. Imp.]:[C. Imp.]],$D203,Imput[[PERIODO Imp.]:[PERIODO Imp.]],DF$9)</f>
        <v>0</v>
      </c>
      <c r="DG203" s="516">
        <f>SUMIFS(Imput[[Importe Neto]:[Importe Neto]],Imput[[C. Imp.]:[C. Imp.]],$D203,Imput[[PERIODO Imp.]:[PERIODO Imp.]],DG$9)</f>
        <v>0</v>
      </c>
      <c r="DH203" s="616">
        <f>SUMIFS(Imput[[Importe Neto]:[Importe Neto]],Imput[[C. Imp.]:[C. Imp.]],$D203,Imput[[PERIODO Imp.]:[PERIODO Imp.]],DH$9)</f>
        <v>0</v>
      </c>
    </row>
    <row r="204" spans="1:112" ht="14.4" hidden="1" outlineLevel="1" thickBot="1" x14ac:dyDescent="0.35">
      <c r="A204" s="66" t="str">
        <f t="shared" si="90"/>
        <v/>
      </c>
      <c r="C204" s="527"/>
      <c r="D204" s="528" t="s">
        <v>2304</v>
      </c>
      <c r="E204" s="528"/>
      <c r="F204" s="534"/>
      <c r="G204" s="529"/>
      <c r="H204" s="531"/>
      <c r="I204" s="849" t="str">
        <f t="shared" si="91"/>
        <v/>
      </c>
      <c r="J204" s="850" t="str">
        <f t="shared" si="92"/>
        <v/>
      </c>
      <c r="K204" s="70"/>
      <c r="L204" s="853"/>
      <c r="M204" s="855"/>
      <c r="N204" s="855"/>
      <c r="O204" s="855"/>
      <c r="P204" s="855"/>
      <c r="Q204" s="855"/>
      <c r="R204" s="855"/>
      <c r="S204" s="855"/>
      <c r="T204" s="855"/>
      <c r="U204" s="855"/>
      <c r="V204" s="855"/>
      <c r="W204" s="855"/>
      <c r="X204" s="855"/>
      <c r="Y204" s="855"/>
      <c r="Z204" s="856"/>
      <c r="AA204" s="856"/>
      <c r="AB204" s="856"/>
      <c r="AC204" s="856"/>
      <c r="AD204" s="856"/>
      <c r="AE204" s="856"/>
      <c r="AF204" s="856"/>
      <c r="AG204" s="856"/>
      <c r="AH204" s="856"/>
      <c r="AI204" s="856"/>
      <c r="AJ204" s="856"/>
      <c r="AK204" s="856"/>
      <c r="AL204" s="856"/>
      <c r="AM204" s="856"/>
      <c r="AN204" s="856"/>
      <c r="AO204" s="856"/>
      <c r="AP204" s="856"/>
      <c r="AQ204" s="856"/>
      <c r="AR204" s="856"/>
      <c r="AS204" s="856"/>
      <c r="AT204" s="856"/>
      <c r="AU204" s="856"/>
      <c r="AV204" s="856"/>
      <c r="AW204" s="856"/>
      <c r="AX204" s="856"/>
      <c r="AY204" s="856"/>
      <c r="AZ204" s="856"/>
      <c r="BA204" s="856"/>
      <c r="BB204" s="856"/>
      <c r="BC204" s="856"/>
      <c r="BD204" s="856"/>
      <c r="BE204" s="856"/>
      <c r="BF204" s="856"/>
      <c r="BG204" s="857"/>
      <c r="BH204" s="590"/>
      <c r="BI204" s="70"/>
      <c r="BJ204" s="518">
        <f t="shared" si="93"/>
        <v>0</v>
      </c>
      <c r="BK204" s="517">
        <f t="shared" si="94"/>
        <v>0</v>
      </c>
      <c r="BL204" s="68"/>
      <c r="BM204" s="515">
        <f>SUMIFS(Imput[[Importe Neto]:[Importe Neto]],Imput[[C. Imp.]:[C. Imp.]],$D204,Imput[[PERIODO Imp.]:[PERIODO Imp.]],BM$9)</f>
        <v>0</v>
      </c>
      <c r="BN204" s="516">
        <f>SUMIFS(Imput[[Importe Neto]:[Importe Neto]],Imput[[C. Imp.]:[C. Imp.]],$D204,Imput[[PERIODO Imp.]:[PERIODO Imp.]],BN$9)</f>
        <v>0</v>
      </c>
      <c r="BO204" s="516">
        <f>SUMIFS(Imput[[Importe Neto]:[Importe Neto]],Imput[[C. Imp.]:[C. Imp.]],$D204,Imput[[PERIODO Imp.]:[PERIODO Imp.]],BO$9)</f>
        <v>0</v>
      </c>
      <c r="BP204" s="516">
        <f>SUMIFS(Imput[[Importe Neto]:[Importe Neto]],Imput[[C. Imp.]:[C. Imp.]],$D204,Imput[[PERIODO Imp.]:[PERIODO Imp.]],BP$9)</f>
        <v>0</v>
      </c>
      <c r="BQ204" s="516">
        <f>SUMIFS(Imput[[Importe Neto]:[Importe Neto]],Imput[[C. Imp.]:[C. Imp.]],$D204,Imput[[PERIODO Imp.]:[PERIODO Imp.]],BQ$9)</f>
        <v>0</v>
      </c>
      <c r="BR204" s="516">
        <f>SUMIFS(Imput[[Importe Neto]:[Importe Neto]],Imput[[C. Imp.]:[C. Imp.]],$D204,Imput[[PERIODO Imp.]:[PERIODO Imp.]],BR$9)</f>
        <v>0</v>
      </c>
      <c r="BS204" s="516">
        <f>SUMIFS(Imput[[Importe Neto]:[Importe Neto]],Imput[[C. Imp.]:[C. Imp.]],$D204,Imput[[PERIODO Imp.]:[PERIODO Imp.]],BS$9)</f>
        <v>0</v>
      </c>
      <c r="BT204" s="516">
        <f>SUMIFS(Imput[[Importe Neto]:[Importe Neto]],Imput[[C. Imp.]:[C. Imp.]],$D204,Imput[[PERIODO Imp.]:[PERIODO Imp.]],BT$9)</f>
        <v>0</v>
      </c>
      <c r="BU204" s="516">
        <f>SUMIFS(Imput[[Importe Neto]:[Importe Neto]],Imput[[C. Imp.]:[C. Imp.]],$D204,Imput[[PERIODO Imp.]:[PERIODO Imp.]],BU$9)</f>
        <v>0</v>
      </c>
      <c r="BV204" s="516">
        <f>SUMIFS(Imput[[Importe Neto]:[Importe Neto]],Imput[[C. Imp.]:[C. Imp.]],$D204,Imput[[PERIODO Imp.]:[PERIODO Imp.]],BV$9)</f>
        <v>0</v>
      </c>
      <c r="BW204" s="516">
        <f>SUMIFS(Imput[[Importe Neto]:[Importe Neto]],Imput[[C. Imp.]:[C. Imp.]],$D204,Imput[[PERIODO Imp.]:[PERIODO Imp.]],BW$9)</f>
        <v>0</v>
      </c>
      <c r="BX204" s="516">
        <f>SUMIFS(Imput[[Importe Neto]:[Importe Neto]],Imput[[C. Imp.]:[C. Imp.]],$D204,Imput[[PERIODO Imp.]:[PERIODO Imp.]],BX$9)</f>
        <v>0</v>
      </c>
      <c r="BY204" s="516">
        <f>SUMIFS(Imput[[Importe Neto]:[Importe Neto]],Imput[[C. Imp.]:[C. Imp.]],$D204,Imput[[PERIODO Imp.]:[PERIODO Imp.]],BY$9)</f>
        <v>0</v>
      </c>
      <c r="BZ204" s="516">
        <f>SUMIFS(Imput[[Importe Neto]:[Importe Neto]],Imput[[C. Imp.]:[C. Imp.]],$D204,Imput[[PERIODO Imp.]:[PERIODO Imp.]],BZ$9)</f>
        <v>0</v>
      </c>
      <c r="CA204" s="516">
        <f>SUMIFS(Imput[[Importe Neto]:[Importe Neto]],Imput[[C. Imp.]:[C. Imp.]],$D204,Imput[[PERIODO Imp.]:[PERIODO Imp.]],CA$9)</f>
        <v>0</v>
      </c>
      <c r="CB204" s="516">
        <f>SUMIFS(Imput[[Importe Neto]:[Importe Neto]],Imput[[C. Imp.]:[C. Imp.]],$D204,Imput[[PERIODO Imp.]:[PERIODO Imp.]],CB$9)</f>
        <v>0</v>
      </c>
      <c r="CC204" s="516">
        <f>SUMIFS(Imput[[Importe Neto]:[Importe Neto]],Imput[[C. Imp.]:[C. Imp.]],$D204,Imput[[PERIODO Imp.]:[PERIODO Imp.]],CC$9)</f>
        <v>0</v>
      </c>
      <c r="CD204" s="516">
        <f>SUMIFS(Imput[[Importe Neto]:[Importe Neto]],Imput[[C. Imp.]:[C. Imp.]],$D204,Imput[[PERIODO Imp.]:[PERIODO Imp.]],CD$9)</f>
        <v>0</v>
      </c>
      <c r="CE204" s="516">
        <f>SUMIFS(Imput[[Importe Neto]:[Importe Neto]],Imput[[C. Imp.]:[C. Imp.]],$D204,Imput[[PERIODO Imp.]:[PERIODO Imp.]],CE$9)</f>
        <v>0</v>
      </c>
      <c r="CF204" s="516">
        <f>SUMIFS(Imput[[Importe Neto]:[Importe Neto]],Imput[[C. Imp.]:[C. Imp.]],$D204,Imput[[PERIODO Imp.]:[PERIODO Imp.]],CF$9)</f>
        <v>0</v>
      </c>
      <c r="CG204" s="516">
        <f>SUMIFS(Imput[[Importe Neto]:[Importe Neto]],Imput[[C. Imp.]:[C. Imp.]],$D204,Imput[[PERIODO Imp.]:[PERIODO Imp.]],CG$9)</f>
        <v>0</v>
      </c>
      <c r="CH204" s="516">
        <f>SUMIFS(Imput[[Importe Neto]:[Importe Neto]],Imput[[C. Imp.]:[C. Imp.]],$D204,Imput[[PERIODO Imp.]:[PERIODO Imp.]],CH$9)</f>
        <v>0</v>
      </c>
      <c r="CI204" s="516">
        <f>SUMIFS(Imput[[Importe Neto]:[Importe Neto]],Imput[[C. Imp.]:[C. Imp.]],$D204,Imput[[PERIODO Imp.]:[PERIODO Imp.]],CI$9)</f>
        <v>0</v>
      </c>
      <c r="CJ204" s="516">
        <f>SUMIFS(Imput[[Importe Neto]:[Importe Neto]],Imput[[C. Imp.]:[C. Imp.]],$D204,Imput[[PERIODO Imp.]:[PERIODO Imp.]],CJ$9)</f>
        <v>0</v>
      </c>
      <c r="CK204" s="516">
        <f>SUMIFS(Imput[[Importe Neto]:[Importe Neto]],Imput[[C. Imp.]:[C. Imp.]],$D204,Imput[[PERIODO Imp.]:[PERIODO Imp.]],CK$9)</f>
        <v>0</v>
      </c>
      <c r="CL204" s="516">
        <f>SUMIFS(Imput[[Importe Neto]:[Importe Neto]],Imput[[C. Imp.]:[C. Imp.]],$D204,Imput[[PERIODO Imp.]:[PERIODO Imp.]],CL$9)</f>
        <v>0</v>
      </c>
      <c r="CM204" s="516">
        <f>SUMIFS(Imput[[Importe Neto]:[Importe Neto]],Imput[[C. Imp.]:[C. Imp.]],$D204,Imput[[PERIODO Imp.]:[PERIODO Imp.]],CM$9)</f>
        <v>0</v>
      </c>
      <c r="CN204" s="516">
        <f>SUMIFS(Imput[[Importe Neto]:[Importe Neto]],Imput[[C. Imp.]:[C. Imp.]],$D204,Imput[[PERIODO Imp.]:[PERIODO Imp.]],CN$9)</f>
        <v>0</v>
      </c>
      <c r="CO204" s="516">
        <f>SUMIFS(Imput[[Importe Neto]:[Importe Neto]],Imput[[C. Imp.]:[C. Imp.]],$D204,Imput[[PERIODO Imp.]:[PERIODO Imp.]],CO$9)</f>
        <v>0</v>
      </c>
      <c r="CP204" s="516">
        <f>SUMIFS(Imput[[Importe Neto]:[Importe Neto]],Imput[[C. Imp.]:[C. Imp.]],$D204,Imput[[PERIODO Imp.]:[PERIODO Imp.]],CP$9)</f>
        <v>0</v>
      </c>
      <c r="CQ204" s="516">
        <f>SUMIFS(Imput[[Importe Neto]:[Importe Neto]],Imput[[C. Imp.]:[C. Imp.]],$D204,Imput[[PERIODO Imp.]:[PERIODO Imp.]],CQ$9)</f>
        <v>0</v>
      </c>
      <c r="CR204" s="516">
        <f>SUMIFS(Imput[[Importe Neto]:[Importe Neto]],Imput[[C. Imp.]:[C. Imp.]],$D204,Imput[[PERIODO Imp.]:[PERIODO Imp.]],CR$9)</f>
        <v>0</v>
      </c>
      <c r="CS204" s="516">
        <f>SUMIFS(Imput[[Importe Neto]:[Importe Neto]],Imput[[C. Imp.]:[C. Imp.]],$D204,Imput[[PERIODO Imp.]:[PERIODO Imp.]],CS$9)</f>
        <v>0</v>
      </c>
      <c r="CT204" s="516">
        <f>SUMIFS(Imput[[Importe Neto]:[Importe Neto]],Imput[[C. Imp.]:[C. Imp.]],$D204,Imput[[PERIODO Imp.]:[PERIODO Imp.]],CT$9)</f>
        <v>0</v>
      </c>
      <c r="CU204" s="516">
        <f>SUMIFS(Imput[[Importe Neto]:[Importe Neto]],Imput[[C. Imp.]:[C. Imp.]],$D204,Imput[[PERIODO Imp.]:[PERIODO Imp.]],CU$9)</f>
        <v>0</v>
      </c>
      <c r="CV204" s="516">
        <f>SUMIFS(Imput[[Importe Neto]:[Importe Neto]],Imput[[C. Imp.]:[C. Imp.]],$D204,Imput[[PERIODO Imp.]:[PERIODO Imp.]],CV$9)</f>
        <v>0</v>
      </c>
      <c r="CW204" s="516">
        <f>SUMIFS(Imput[[Importe Neto]:[Importe Neto]],Imput[[C. Imp.]:[C. Imp.]],$D204,Imput[[PERIODO Imp.]:[PERIODO Imp.]],CW$9)</f>
        <v>0</v>
      </c>
      <c r="CX204" s="516">
        <f>SUMIFS(Imput[[Importe Neto]:[Importe Neto]],Imput[[C. Imp.]:[C. Imp.]],$D204,Imput[[PERIODO Imp.]:[PERIODO Imp.]],CX$9)</f>
        <v>0</v>
      </c>
      <c r="CY204" s="516">
        <f>SUMIFS(Imput[[Importe Neto]:[Importe Neto]],Imput[[C. Imp.]:[C. Imp.]],$D204,Imput[[PERIODO Imp.]:[PERIODO Imp.]],CY$9)</f>
        <v>0</v>
      </c>
      <c r="CZ204" s="516">
        <f>SUMIFS(Imput[[Importe Neto]:[Importe Neto]],Imput[[C. Imp.]:[C. Imp.]],$D204,Imput[[PERIODO Imp.]:[PERIODO Imp.]],CZ$9)</f>
        <v>0</v>
      </c>
      <c r="DA204" s="516">
        <f>SUMIFS(Imput[[Importe Neto]:[Importe Neto]],Imput[[C. Imp.]:[C. Imp.]],$D204,Imput[[PERIODO Imp.]:[PERIODO Imp.]],DA$9)</f>
        <v>0</v>
      </c>
      <c r="DB204" s="516">
        <f>SUMIFS(Imput[[Importe Neto]:[Importe Neto]],Imput[[C. Imp.]:[C. Imp.]],$D204,Imput[[PERIODO Imp.]:[PERIODO Imp.]],DB$9)</f>
        <v>0</v>
      </c>
      <c r="DC204" s="516">
        <f>SUMIFS(Imput[[Importe Neto]:[Importe Neto]],Imput[[C. Imp.]:[C. Imp.]],$D204,Imput[[PERIODO Imp.]:[PERIODO Imp.]],DC$9)</f>
        <v>0</v>
      </c>
      <c r="DD204" s="516">
        <f>SUMIFS(Imput[[Importe Neto]:[Importe Neto]],Imput[[C. Imp.]:[C. Imp.]],$D204,Imput[[PERIODO Imp.]:[PERIODO Imp.]],DD$9)</f>
        <v>0</v>
      </c>
      <c r="DE204" s="516">
        <f>SUMIFS(Imput[[Importe Neto]:[Importe Neto]],Imput[[C. Imp.]:[C. Imp.]],$D204,Imput[[PERIODO Imp.]:[PERIODO Imp.]],DE$9)</f>
        <v>0</v>
      </c>
      <c r="DF204" s="516">
        <f>SUMIFS(Imput[[Importe Neto]:[Importe Neto]],Imput[[C. Imp.]:[C. Imp.]],$D204,Imput[[PERIODO Imp.]:[PERIODO Imp.]],DF$9)</f>
        <v>0</v>
      </c>
      <c r="DG204" s="516">
        <f>SUMIFS(Imput[[Importe Neto]:[Importe Neto]],Imput[[C. Imp.]:[C. Imp.]],$D204,Imput[[PERIODO Imp.]:[PERIODO Imp.]],DG$9)</f>
        <v>0</v>
      </c>
      <c r="DH204" s="616">
        <f>SUMIFS(Imput[[Importe Neto]:[Importe Neto]],Imput[[C. Imp.]:[C. Imp.]],$D204,Imput[[PERIODO Imp.]:[PERIODO Imp.]],DH$9)</f>
        <v>0</v>
      </c>
    </row>
    <row r="205" spans="1:112" ht="14.4" hidden="1" outlineLevel="1" thickBot="1" x14ac:dyDescent="0.35">
      <c r="A205" s="66" t="str">
        <f t="shared" si="90"/>
        <v/>
      </c>
      <c r="C205" s="527"/>
      <c r="D205" s="528" t="s">
        <v>2305</v>
      </c>
      <c r="E205" s="528"/>
      <c r="F205" s="534"/>
      <c r="G205" s="529"/>
      <c r="H205" s="531"/>
      <c r="I205" s="849" t="str">
        <f t="shared" si="91"/>
        <v/>
      </c>
      <c r="J205" s="850" t="str">
        <f t="shared" si="92"/>
        <v/>
      </c>
      <c r="K205" s="70"/>
      <c r="L205" s="853"/>
      <c r="M205" s="855"/>
      <c r="N205" s="855"/>
      <c r="O205" s="855"/>
      <c r="P205" s="855"/>
      <c r="Q205" s="855"/>
      <c r="R205" s="855"/>
      <c r="S205" s="855"/>
      <c r="T205" s="855"/>
      <c r="U205" s="855"/>
      <c r="V205" s="855"/>
      <c r="W205" s="855"/>
      <c r="X205" s="855"/>
      <c r="Y205" s="855"/>
      <c r="Z205" s="856"/>
      <c r="AA205" s="856"/>
      <c r="AB205" s="856"/>
      <c r="AC205" s="856"/>
      <c r="AD205" s="856"/>
      <c r="AE205" s="856"/>
      <c r="AF205" s="856"/>
      <c r="AG205" s="856"/>
      <c r="AH205" s="856"/>
      <c r="AI205" s="856"/>
      <c r="AJ205" s="856"/>
      <c r="AK205" s="856"/>
      <c r="AL205" s="856"/>
      <c r="AM205" s="856"/>
      <c r="AN205" s="856"/>
      <c r="AO205" s="856"/>
      <c r="AP205" s="856"/>
      <c r="AQ205" s="856"/>
      <c r="AR205" s="856"/>
      <c r="AS205" s="856"/>
      <c r="AT205" s="856"/>
      <c r="AU205" s="856"/>
      <c r="AV205" s="856"/>
      <c r="AW205" s="856"/>
      <c r="AX205" s="856"/>
      <c r="AY205" s="856"/>
      <c r="AZ205" s="856"/>
      <c r="BA205" s="856"/>
      <c r="BB205" s="856"/>
      <c r="BC205" s="856"/>
      <c r="BD205" s="856"/>
      <c r="BE205" s="856"/>
      <c r="BF205" s="856"/>
      <c r="BG205" s="857"/>
      <c r="BH205" s="590"/>
      <c r="BI205" s="70"/>
      <c r="BJ205" s="518">
        <f t="shared" si="93"/>
        <v>0</v>
      </c>
      <c r="BK205" s="517">
        <f t="shared" si="94"/>
        <v>0</v>
      </c>
      <c r="BL205" s="68"/>
      <c r="BM205" s="515">
        <f>SUMIFS(Imput[[Importe Neto]:[Importe Neto]],Imput[[C. Imp.]:[C. Imp.]],$D205,Imput[[PERIODO Imp.]:[PERIODO Imp.]],BM$9)</f>
        <v>0</v>
      </c>
      <c r="BN205" s="516">
        <f>SUMIFS(Imput[[Importe Neto]:[Importe Neto]],Imput[[C. Imp.]:[C. Imp.]],$D205,Imput[[PERIODO Imp.]:[PERIODO Imp.]],BN$9)</f>
        <v>0</v>
      </c>
      <c r="BO205" s="516">
        <f>SUMIFS(Imput[[Importe Neto]:[Importe Neto]],Imput[[C. Imp.]:[C. Imp.]],$D205,Imput[[PERIODO Imp.]:[PERIODO Imp.]],BO$9)</f>
        <v>0</v>
      </c>
      <c r="BP205" s="516">
        <f>SUMIFS(Imput[[Importe Neto]:[Importe Neto]],Imput[[C. Imp.]:[C. Imp.]],$D205,Imput[[PERIODO Imp.]:[PERIODO Imp.]],BP$9)</f>
        <v>0</v>
      </c>
      <c r="BQ205" s="516">
        <f>SUMIFS(Imput[[Importe Neto]:[Importe Neto]],Imput[[C. Imp.]:[C. Imp.]],$D205,Imput[[PERIODO Imp.]:[PERIODO Imp.]],BQ$9)</f>
        <v>0</v>
      </c>
      <c r="BR205" s="516">
        <f>SUMIFS(Imput[[Importe Neto]:[Importe Neto]],Imput[[C. Imp.]:[C. Imp.]],$D205,Imput[[PERIODO Imp.]:[PERIODO Imp.]],BR$9)</f>
        <v>0</v>
      </c>
      <c r="BS205" s="516">
        <f>SUMIFS(Imput[[Importe Neto]:[Importe Neto]],Imput[[C. Imp.]:[C. Imp.]],$D205,Imput[[PERIODO Imp.]:[PERIODO Imp.]],BS$9)</f>
        <v>0</v>
      </c>
      <c r="BT205" s="516">
        <f>SUMIFS(Imput[[Importe Neto]:[Importe Neto]],Imput[[C. Imp.]:[C. Imp.]],$D205,Imput[[PERIODO Imp.]:[PERIODO Imp.]],BT$9)</f>
        <v>0</v>
      </c>
      <c r="BU205" s="516">
        <f>SUMIFS(Imput[[Importe Neto]:[Importe Neto]],Imput[[C. Imp.]:[C. Imp.]],$D205,Imput[[PERIODO Imp.]:[PERIODO Imp.]],BU$9)</f>
        <v>0</v>
      </c>
      <c r="BV205" s="516">
        <f>SUMIFS(Imput[[Importe Neto]:[Importe Neto]],Imput[[C. Imp.]:[C. Imp.]],$D205,Imput[[PERIODO Imp.]:[PERIODO Imp.]],BV$9)</f>
        <v>0</v>
      </c>
      <c r="BW205" s="516">
        <f>SUMIFS(Imput[[Importe Neto]:[Importe Neto]],Imput[[C. Imp.]:[C. Imp.]],$D205,Imput[[PERIODO Imp.]:[PERIODO Imp.]],BW$9)</f>
        <v>0</v>
      </c>
      <c r="BX205" s="516">
        <f>SUMIFS(Imput[[Importe Neto]:[Importe Neto]],Imput[[C. Imp.]:[C. Imp.]],$D205,Imput[[PERIODO Imp.]:[PERIODO Imp.]],BX$9)</f>
        <v>0</v>
      </c>
      <c r="BY205" s="516">
        <f>SUMIFS(Imput[[Importe Neto]:[Importe Neto]],Imput[[C. Imp.]:[C. Imp.]],$D205,Imput[[PERIODO Imp.]:[PERIODO Imp.]],BY$9)</f>
        <v>0</v>
      </c>
      <c r="BZ205" s="516">
        <f>SUMIFS(Imput[[Importe Neto]:[Importe Neto]],Imput[[C. Imp.]:[C. Imp.]],$D205,Imput[[PERIODO Imp.]:[PERIODO Imp.]],BZ$9)</f>
        <v>0</v>
      </c>
      <c r="CA205" s="516">
        <f>SUMIFS(Imput[[Importe Neto]:[Importe Neto]],Imput[[C. Imp.]:[C. Imp.]],$D205,Imput[[PERIODO Imp.]:[PERIODO Imp.]],CA$9)</f>
        <v>0</v>
      </c>
      <c r="CB205" s="516">
        <f>SUMIFS(Imput[[Importe Neto]:[Importe Neto]],Imput[[C. Imp.]:[C. Imp.]],$D205,Imput[[PERIODO Imp.]:[PERIODO Imp.]],CB$9)</f>
        <v>0</v>
      </c>
      <c r="CC205" s="516">
        <f>SUMIFS(Imput[[Importe Neto]:[Importe Neto]],Imput[[C. Imp.]:[C. Imp.]],$D205,Imput[[PERIODO Imp.]:[PERIODO Imp.]],CC$9)</f>
        <v>0</v>
      </c>
      <c r="CD205" s="516">
        <f>SUMIFS(Imput[[Importe Neto]:[Importe Neto]],Imput[[C. Imp.]:[C. Imp.]],$D205,Imput[[PERIODO Imp.]:[PERIODO Imp.]],CD$9)</f>
        <v>0</v>
      </c>
      <c r="CE205" s="516">
        <f>SUMIFS(Imput[[Importe Neto]:[Importe Neto]],Imput[[C. Imp.]:[C. Imp.]],$D205,Imput[[PERIODO Imp.]:[PERIODO Imp.]],CE$9)</f>
        <v>0</v>
      </c>
      <c r="CF205" s="516">
        <f>SUMIFS(Imput[[Importe Neto]:[Importe Neto]],Imput[[C. Imp.]:[C. Imp.]],$D205,Imput[[PERIODO Imp.]:[PERIODO Imp.]],CF$9)</f>
        <v>0</v>
      </c>
      <c r="CG205" s="516">
        <f>SUMIFS(Imput[[Importe Neto]:[Importe Neto]],Imput[[C. Imp.]:[C. Imp.]],$D205,Imput[[PERIODO Imp.]:[PERIODO Imp.]],CG$9)</f>
        <v>0</v>
      </c>
      <c r="CH205" s="516">
        <f>SUMIFS(Imput[[Importe Neto]:[Importe Neto]],Imput[[C. Imp.]:[C. Imp.]],$D205,Imput[[PERIODO Imp.]:[PERIODO Imp.]],CH$9)</f>
        <v>0</v>
      </c>
      <c r="CI205" s="516">
        <f>SUMIFS(Imput[[Importe Neto]:[Importe Neto]],Imput[[C. Imp.]:[C. Imp.]],$D205,Imput[[PERIODO Imp.]:[PERIODO Imp.]],CI$9)</f>
        <v>0</v>
      </c>
      <c r="CJ205" s="516">
        <f>SUMIFS(Imput[[Importe Neto]:[Importe Neto]],Imput[[C. Imp.]:[C. Imp.]],$D205,Imput[[PERIODO Imp.]:[PERIODO Imp.]],CJ$9)</f>
        <v>0</v>
      </c>
      <c r="CK205" s="516">
        <f>SUMIFS(Imput[[Importe Neto]:[Importe Neto]],Imput[[C. Imp.]:[C. Imp.]],$D205,Imput[[PERIODO Imp.]:[PERIODO Imp.]],CK$9)</f>
        <v>0</v>
      </c>
      <c r="CL205" s="516">
        <f>SUMIFS(Imput[[Importe Neto]:[Importe Neto]],Imput[[C. Imp.]:[C. Imp.]],$D205,Imput[[PERIODO Imp.]:[PERIODO Imp.]],CL$9)</f>
        <v>0</v>
      </c>
      <c r="CM205" s="516">
        <f>SUMIFS(Imput[[Importe Neto]:[Importe Neto]],Imput[[C. Imp.]:[C. Imp.]],$D205,Imput[[PERIODO Imp.]:[PERIODO Imp.]],CM$9)</f>
        <v>0</v>
      </c>
      <c r="CN205" s="516">
        <f>SUMIFS(Imput[[Importe Neto]:[Importe Neto]],Imput[[C. Imp.]:[C. Imp.]],$D205,Imput[[PERIODO Imp.]:[PERIODO Imp.]],CN$9)</f>
        <v>0</v>
      </c>
      <c r="CO205" s="516">
        <f>SUMIFS(Imput[[Importe Neto]:[Importe Neto]],Imput[[C. Imp.]:[C. Imp.]],$D205,Imput[[PERIODO Imp.]:[PERIODO Imp.]],CO$9)</f>
        <v>0</v>
      </c>
      <c r="CP205" s="516">
        <f>SUMIFS(Imput[[Importe Neto]:[Importe Neto]],Imput[[C. Imp.]:[C. Imp.]],$D205,Imput[[PERIODO Imp.]:[PERIODO Imp.]],CP$9)</f>
        <v>0</v>
      </c>
      <c r="CQ205" s="516">
        <f>SUMIFS(Imput[[Importe Neto]:[Importe Neto]],Imput[[C. Imp.]:[C. Imp.]],$D205,Imput[[PERIODO Imp.]:[PERIODO Imp.]],CQ$9)</f>
        <v>0</v>
      </c>
      <c r="CR205" s="516">
        <f>SUMIFS(Imput[[Importe Neto]:[Importe Neto]],Imput[[C. Imp.]:[C. Imp.]],$D205,Imput[[PERIODO Imp.]:[PERIODO Imp.]],CR$9)</f>
        <v>0</v>
      </c>
      <c r="CS205" s="516">
        <f>SUMIFS(Imput[[Importe Neto]:[Importe Neto]],Imput[[C. Imp.]:[C. Imp.]],$D205,Imput[[PERIODO Imp.]:[PERIODO Imp.]],CS$9)</f>
        <v>0</v>
      </c>
      <c r="CT205" s="516">
        <f>SUMIFS(Imput[[Importe Neto]:[Importe Neto]],Imput[[C. Imp.]:[C. Imp.]],$D205,Imput[[PERIODO Imp.]:[PERIODO Imp.]],CT$9)</f>
        <v>0</v>
      </c>
      <c r="CU205" s="516">
        <f>SUMIFS(Imput[[Importe Neto]:[Importe Neto]],Imput[[C. Imp.]:[C. Imp.]],$D205,Imput[[PERIODO Imp.]:[PERIODO Imp.]],CU$9)</f>
        <v>0</v>
      </c>
      <c r="CV205" s="516">
        <f>SUMIFS(Imput[[Importe Neto]:[Importe Neto]],Imput[[C. Imp.]:[C. Imp.]],$D205,Imput[[PERIODO Imp.]:[PERIODO Imp.]],CV$9)</f>
        <v>0</v>
      </c>
      <c r="CW205" s="516">
        <f>SUMIFS(Imput[[Importe Neto]:[Importe Neto]],Imput[[C. Imp.]:[C. Imp.]],$D205,Imput[[PERIODO Imp.]:[PERIODO Imp.]],CW$9)</f>
        <v>0</v>
      </c>
      <c r="CX205" s="516">
        <f>SUMIFS(Imput[[Importe Neto]:[Importe Neto]],Imput[[C. Imp.]:[C. Imp.]],$D205,Imput[[PERIODO Imp.]:[PERIODO Imp.]],CX$9)</f>
        <v>0</v>
      </c>
      <c r="CY205" s="516">
        <f>SUMIFS(Imput[[Importe Neto]:[Importe Neto]],Imput[[C. Imp.]:[C. Imp.]],$D205,Imput[[PERIODO Imp.]:[PERIODO Imp.]],CY$9)</f>
        <v>0</v>
      </c>
      <c r="CZ205" s="516">
        <f>SUMIFS(Imput[[Importe Neto]:[Importe Neto]],Imput[[C. Imp.]:[C. Imp.]],$D205,Imput[[PERIODO Imp.]:[PERIODO Imp.]],CZ$9)</f>
        <v>0</v>
      </c>
      <c r="DA205" s="516">
        <f>SUMIFS(Imput[[Importe Neto]:[Importe Neto]],Imput[[C. Imp.]:[C. Imp.]],$D205,Imput[[PERIODO Imp.]:[PERIODO Imp.]],DA$9)</f>
        <v>0</v>
      </c>
      <c r="DB205" s="516">
        <f>SUMIFS(Imput[[Importe Neto]:[Importe Neto]],Imput[[C. Imp.]:[C. Imp.]],$D205,Imput[[PERIODO Imp.]:[PERIODO Imp.]],DB$9)</f>
        <v>0</v>
      </c>
      <c r="DC205" s="516">
        <f>SUMIFS(Imput[[Importe Neto]:[Importe Neto]],Imput[[C. Imp.]:[C. Imp.]],$D205,Imput[[PERIODO Imp.]:[PERIODO Imp.]],DC$9)</f>
        <v>0</v>
      </c>
      <c r="DD205" s="516">
        <f>SUMIFS(Imput[[Importe Neto]:[Importe Neto]],Imput[[C. Imp.]:[C. Imp.]],$D205,Imput[[PERIODO Imp.]:[PERIODO Imp.]],DD$9)</f>
        <v>0</v>
      </c>
      <c r="DE205" s="516">
        <f>SUMIFS(Imput[[Importe Neto]:[Importe Neto]],Imput[[C. Imp.]:[C. Imp.]],$D205,Imput[[PERIODO Imp.]:[PERIODO Imp.]],DE$9)</f>
        <v>0</v>
      </c>
      <c r="DF205" s="516">
        <f>SUMIFS(Imput[[Importe Neto]:[Importe Neto]],Imput[[C. Imp.]:[C. Imp.]],$D205,Imput[[PERIODO Imp.]:[PERIODO Imp.]],DF$9)</f>
        <v>0</v>
      </c>
      <c r="DG205" s="516">
        <f>SUMIFS(Imput[[Importe Neto]:[Importe Neto]],Imput[[C. Imp.]:[C. Imp.]],$D205,Imput[[PERIODO Imp.]:[PERIODO Imp.]],DG$9)</f>
        <v>0</v>
      </c>
      <c r="DH205" s="616">
        <f>SUMIFS(Imput[[Importe Neto]:[Importe Neto]],Imput[[C. Imp.]:[C. Imp.]],$D205,Imput[[PERIODO Imp.]:[PERIODO Imp.]],DH$9)</f>
        <v>0</v>
      </c>
    </row>
    <row r="206" spans="1:112" ht="14.4" hidden="1" outlineLevel="1" thickBot="1" x14ac:dyDescent="0.35">
      <c r="A206" s="66" t="str">
        <f t="shared" si="90"/>
        <v/>
      </c>
      <c r="C206" s="527"/>
      <c r="D206" s="528" t="s">
        <v>2306</v>
      </c>
      <c r="E206" s="528"/>
      <c r="F206" s="534"/>
      <c r="G206" s="529"/>
      <c r="H206" s="531"/>
      <c r="I206" s="849" t="str">
        <f t="shared" si="91"/>
        <v/>
      </c>
      <c r="J206" s="850" t="str">
        <f t="shared" si="92"/>
        <v/>
      </c>
      <c r="K206" s="70"/>
      <c r="L206" s="853"/>
      <c r="M206" s="855"/>
      <c r="N206" s="855"/>
      <c r="O206" s="855"/>
      <c r="P206" s="855"/>
      <c r="Q206" s="855"/>
      <c r="R206" s="855"/>
      <c r="S206" s="855"/>
      <c r="T206" s="855"/>
      <c r="U206" s="855"/>
      <c r="V206" s="855"/>
      <c r="W206" s="855"/>
      <c r="X206" s="855"/>
      <c r="Y206" s="855"/>
      <c r="Z206" s="856"/>
      <c r="AA206" s="856"/>
      <c r="AB206" s="856"/>
      <c r="AC206" s="856"/>
      <c r="AD206" s="856"/>
      <c r="AE206" s="856"/>
      <c r="AF206" s="856"/>
      <c r="AG206" s="856"/>
      <c r="AH206" s="856"/>
      <c r="AI206" s="856"/>
      <c r="AJ206" s="856"/>
      <c r="AK206" s="856"/>
      <c r="AL206" s="856"/>
      <c r="AM206" s="856"/>
      <c r="AN206" s="856"/>
      <c r="AO206" s="856"/>
      <c r="AP206" s="856"/>
      <c r="AQ206" s="856"/>
      <c r="AR206" s="856"/>
      <c r="AS206" s="856"/>
      <c r="AT206" s="856"/>
      <c r="AU206" s="856"/>
      <c r="AV206" s="856"/>
      <c r="AW206" s="856"/>
      <c r="AX206" s="856"/>
      <c r="AY206" s="856"/>
      <c r="AZ206" s="856"/>
      <c r="BA206" s="856"/>
      <c r="BB206" s="856"/>
      <c r="BC206" s="856"/>
      <c r="BD206" s="856"/>
      <c r="BE206" s="856"/>
      <c r="BF206" s="856"/>
      <c r="BG206" s="857"/>
      <c r="BH206" s="590"/>
      <c r="BI206" s="70"/>
      <c r="BJ206" s="518">
        <f t="shared" si="93"/>
        <v>0</v>
      </c>
      <c r="BK206" s="517">
        <f t="shared" si="94"/>
        <v>0</v>
      </c>
      <c r="BL206" s="68"/>
      <c r="BM206" s="515">
        <f>SUMIFS(Imput[[Importe Neto]:[Importe Neto]],Imput[[C. Imp.]:[C. Imp.]],$D206,Imput[[PERIODO Imp.]:[PERIODO Imp.]],BM$9)</f>
        <v>0</v>
      </c>
      <c r="BN206" s="516">
        <f>SUMIFS(Imput[[Importe Neto]:[Importe Neto]],Imput[[C. Imp.]:[C. Imp.]],$D206,Imput[[PERIODO Imp.]:[PERIODO Imp.]],BN$9)</f>
        <v>0</v>
      </c>
      <c r="BO206" s="516">
        <f>SUMIFS(Imput[[Importe Neto]:[Importe Neto]],Imput[[C. Imp.]:[C. Imp.]],$D206,Imput[[PERIODO Imp.]:[PERIODO Imp.]],BO$9)</f>
        <v>0</v>
      </c>
      <c r="BP206" s="516">
        <f>SUMIFS(Imput[[Importe Neto]:[Importe Neto]],Imput[[C. Imp.]:[C. Imp.]],$D206,Imput[[PERIODO Imp.]:[PERIODO Imp.]],BP$9)</f>
        <v>0</v>
      </c>
      <c r="BQ206" s="516">
        <f>SUMIFS(Imput[[Importe Neto]:[Importe Neto]],Imput[[C. Imp.]:[C. Imp.]],$D206,Imput[[PERIODO Imp.]:[PERIODO Imp.]],BQ$9)</f>
        <v>0</v>
      </c>
      <c r="BR206" s="516">
        <f>SUMIFS(Imput[[Importe Neto]:[Importe Neto]],Imput[[C. Imp.]:[C. Imp.]],$D206,Imput[[PERIODO Imp.]:[PERIODO Imp.]],BR$9)</f>
        <v>0</v>
      </c>
      <c r="BS206" s="516">
        <f>SUMIFS(Imput[[Importe Neto]:[Importe Neto]],Imput[[C. Imp.]:[C. Imp.]],$D206,Imput[[PERIODO Imp.]:[PERIODO Imp.]],BS$9)</f>
        <v>0</v>
      </c>
      <c r="BT206" s="516">
        <f>SUMIFS(Imput[[Importe Neto]:[Importe Neto]],Imput[[C. Imp.]:[C. Imp.]],$D206,Imput[[PERIODO Imp.]:[PERIODO Imp.]],BT$9)</f>
        <v>0</v>
      </c>
      <c r="BU206" s="516">
        <f>SUMIFS(Imput[[Importe Neto]:[Importe Neto]],Imput[[C. Imp.]:[C. Imp.]],$D206,Imput[[PERIODO Imp.]:[PERIODO Imp.]],BU$9)</f>
        <v>0</v>
      </c>
      <c r="BV206" s="516">
        <f>SUMIFS(Imput[[Importe Neto]:[Importe Neto]],Imput[[C. Imp.]:[C. Imp.]],$D206,Imput[[PERIODO Imp.]:[PERIODO Imp.]],BV$9)</f>
        <v>0</v>
      </c>
      <c r="BW206" s="516">
        <f>SUMIFS(Imput[[Importe Neto]:[Importe Neto]],Imput[[C. Imp.]:[C. Imp.]],$D206,Imput[[PERIODO Imp.]:[PERIODO Imp.]],BW$9)</f>
        <v>0</v>
      </c>
      <c r="BX206" s="516">
        <f>SUMIFS(Imput[[Importe Neto]:[Importe Neto]],Imput[[C. Imp.]:[C. Imp.]],$D206,Imput[[PERIODO Imp.]:[PERIODO Imp.]],BX$9)</f>
        <v>0</v>
      </c>
      <c r="BY206" s="516">
        <f>SUMIFS(Imput[[Importe Neto]:[Importe Neto]],Imput[[C. Imp.]:[C. Imp.]],$D206,Imput[[PERIODO Imp.]:[PERIODO Imp.]],BY$9)</f>
        <v>0</v>
      </c>
      <c r="BZ206" s="516">
        <f>SUMIFS(Imput[[Importe Neto]:[Importe Neto]],Imput[[C. Imp.]:[C. Imp.]],$D206,Imput[[PERIODO Imp.]:[PERIODO Imp.]],BZ$9)</f>
        <v>0</v>
      </c>
      <c r="CA206" s="516">
        <f>SUMIFS(Imput[[Importe Neto]:[Importe Neto]],Imput[[C. Imp.]:[C. Imp.]],$D206,Imput[[PERIODO Imp.]:[PERIODO Imp.]],CA$9)</f>
        <v>0</v>
      </c>
      <c r="CB206" s="516">
        <f>SUMIFS(Imput[[Importe Neto]:[Importe Neto]],Imput[[C. Imp.]:[C. Imp.]],$D206,Imput[[PERIODO Imp.]:[PERIODO Imp.]],CB$9)</f>
        <v>0</v>
      </c>
      <c r="CC206" s="516">
        <f>SUMIFS(Imput[[Importe Neto]:[Importe Neto]],Imput[[C. Imp.]:[C. Imp.]],$D206,Imput[[PERIODO Imp.]:[PERIODO Imp.]],CC$9)</f>
        <v>0</v>
      </c>
      <c r="CD206" s="516">
        <f>SUMIFS(Imput[[Importe Neto]:[Importe Neto]],Imput[[C. Imp.]:[C. Imp.]],$D206,Imput[[PERIODO Imp.]:[PERIODO Imp.]],CD$9)</f>
        <v>0</v>
      </c>
      <c r="CE206" s="516">
        <f>SUMIFS(Imput[[Importe Neto]:[Importe Neto]],Imput[[C. Imp.]:[C. Imp.]],$D206,Imput[[PERIODO Imp.]:[PERIODO Imp.]],CE$9)</f>
        <v>0</v>
      </c>
      <c r="CF206" s="516">
        <f>SUMIFS(Imput[[Importe Neto]:[Importe Neto]],Imput[[C. Imp.]:[C. Imp.]],$D206,Imput[[PERIODO Imp.]:[PERIODO Imp.]],CF$9)</f>
        <v>0</v>
      </c>
      <c r="CG206" s="516">
        <f>SUMIFS(Imput[[Importe Neto]:[Importe Neto]],Imput[[C. Imp.]:[C. Imp.]],$D206,Imput[[PERIODO Imp.]:[PERIODO Imp.]],CG$9)</f>
        <v>0</v>
      </c>
      <c r="CH206" s="516">
        <f>SUMIFS(Imput[[Importe Neto]:[Importe Neto]],Imput[[C. Imp.]:[C. Imp.]],$D206,Imput[[PERIODO Imp.]:[PERIODO Imp.]],CH$9)</f>
        <v>0</v>
      </c>
      <c r="CI206" s="516">
        <f>SUMIFS(Imput[[Importe Neto]:[Importe Neto]],Imput[[C. Imp.]:[C. Imp.]],$D206,Imput[[PERIODO Imp.]:[PERIODO Imp.]],CI$9)</f>
        <v>0</v>
      </c>
      <c r="CJ206" s="516">
        <f>SUMIFS(Imput[[Importe Neto]:[Importe Neto]],Imput[[C. Imp.]:[C. Imp.]],$D206,Imput[[PERIODO Imp.]:[PERIODO Imp.]],CJ$9)</f>
        <v>0</v>
      </c>
      <c r="CK206" s="516">
        <f>SUMIFS(Imput[[Importe Neto]:[Importe Neto]],Imput[[C. Imp.]:[C. Imp.]],$D206,Imput[[PERIODO Imp.]:[PERIODO Imp.]],CK$9)</f>
        <v>0</v>
      </c>
      <c r="CL206" s="516">
        <f>SUMIFS(Imput[[Importe Neto]:[Importe Neto]],Imput[[C. Imp.]:[C. Imp.]],$D206,Imput[[PERIODO Imp.]:[PERIODO Imp.]],CL$9)</f>
        <v>0</v>
      </c>
      <c r="CM206" s="516">
        <f>SUMIFS(Imput[[Importe Neto]:[Importe Neto]],Imput[[C. Imp.]:[C. Imp.]],$D206,Imput[[PERIODO Imp.]:[PERIODO Imp.]],CM$9)</f>
        <v>0</v>
      </c>
      <c r="CN206" s="516">
        <f>SUMIFS(Imput[[Importe Neto]:[Importe Neto]],Imput[[C. Imp.]:[C. Imp.]],$D206,Imput[[PERIODO Imp.]:[PERIODO Imp.]],CN$9)</f>
        <v>0</v>
      </c>
      <c r="CO206" s="516">
        <f>SUMIFS(Imput[[Importe Neto]:[Importe Neto]],Imput[[C. Imp.]:[C. Imp.]],$D206,Imput[[PERIODO Imp.]:[PERIODO Imp.]],CO$9)</f>
        <v>0</v>
      </c>
      <c r="CP206" s="516">
        <f>SUMIFS(Imput[[Importe Neto]:[Importe Neto]],Imput[[C. Imp.]:[C. Imp.]],$D206,Imput[[PERIODO Imp.]:[PERIODO Imp.]],CP$9)</f>
        <v>0</v>
      </c>
      <c r="CQ206" s="516">
        <f>SUMIFS(Imput[[Importe Neto]:[Importe Neto]],Imput[[C. Imp.]:[C. Imp.]],$D206,Imput[[PERIODO Imp.]:[PERIODO Imp.]],CQ$9)</f>
        <v>0</v>
      </c>
      <c r="CR206" s="516">
        <f>SUMIFS(Imput[[Importe Neto]:[Importe Neto]],Imput[[C. Imp.]:[C. Imp.]],$D206,Imput[[PERIODO Imp.]:[PERIODO Imp.]],CR$9)</f>
        <v>0</v>
      </c>
      <c r="CS206" s="516">
        <f>SUMIFS(Imput[[Importe Neto]:[Importe Neto]],Imput[[C. Imp.]:[C. Imp.]],$D206,Imput[[PERIODO Imp.]:[PERIODO Imp.]],CS$9)</f>
        <v>0</v>
      </c>
      <c r="CT206" s="516">
        <f>SUMIFS(Imput[[Importe Neto]:[Importe Neto]],Imput[[C. Imp.]:[C. Imp.]],$D206,Imput[[PERIODO Imp.]:[PERIODO Imp.]],CT$9)</f>
        <v>0</v>
      </c>
      <c r="CU206" s="516">
        <f>SUMIFS(Imput[[Importe Neto]:[Importe Neto]],Imput[[C. Imp.]:[C. Imp.]],$D206,Imput[[PERIODO Imp.]:[PERIODO Imp.]],CU$9)</f>
        <v>0</v>
      </c>
      <c r="CV206" s="516">
        <f>SUMIFS(Imput[[Importe Neto]:[Importe Neto]],Imput[[C. Imp.]:[C. Imp.]],$D206,Imput[[PERIODO Imp.]:[PERIODO Imp.]],CV$9)</f>
        <v>0</v>
      </c>
      <c r="CW206" s="516">
        <f>SUMIFS(Imput[[Importe Neto]:[Importe Neto]],Imput[[C. Imp.]:[C. Imp.]],$D206,Imput[[PERIODO Imp.]:[PERIODO Imp.]],CW$9)</f>
        <v>0</v>
      </c>
      <c r="CX206" s="516">
        <f>SUMIFS(Imput[[Importe Neto]:[Importe Neto]],Imput[[C. Imp.]:[C. Imp.]],$D206,Imput[[PERIODO Imp.]:[PERIODO Imp.]],CX$9)</f>
        <v>0</v>
      </c>
      <c r="CY206" s="516">
        <f>SUMIFS(Imput[[Importe Neto]:[Importe Neto]],Imput[[C. Imp.]:[C. Imp.]],$D206,Imput[[PERIODO Imp.]:[PERIODO Imp.]],CY$9)</f>
        <v>0</v>
      </c>
      <c r="CZ206" s="516">
        <f>SUMIFS(Imput[[Importe Neto]:[Importe Neto]],Imput[[C. Imp.]:[C. Imp.]],$D206,Imput[[PERIODO Imp.]:[PERIODO Imp.]],CZ$9)</f>
        <v>0</v>
      </c>
      <c r="DA206" s="516">
        <f>SUMIFS(Imput[[Importe Neto]:[Importe Neto]],Imput[[C. Imp.]:[C. Imp.]],$D206,Imput[[PERIODO Imp.]:[PERIODO Imp.]],DA$9)</f>
        <v>0</v>
      </c>
      <c r="DB206" s="516">
        <f>SUMIFS(Imput[[Importe Neto]:[Importe Neto]],Imput[[C. Imp.]:[C. Imp.]],$D206,Imput[[PERIODO Imp.]:[PERIODO Imp.]],DB$9)</f>
        <v>0</v>
      </c>
      <c r="DC206" s="516">
        <f>SUMIFS(Imput[[Importe Neto]:[Importe Neto]],Imput[[C. Imp.]:[C. Imp.]],$D206,Imput[[PERIODO Imp.]:[PERIODO Imp.]],DC$9)</f>
        <v>0</v>
      </c>
      <c r="DD206" s="516">
        <f>SUMIFS(Imput[[Importe Neto]:[Importe Neto]],Imput[[C. Imp.]:[C. Imp.]],$D206,Imput[[PERIODO Imp.]:[PERIODO Imp.]],DD$9)</f>
        <v>0</v>
      </c>
      <c r="DE206" s="516">
        <f>SUMIFS(Imput[[Importe Neto]:[Importe Neto]],Imput[[C. Imp.]:[C. Imp.]],$D206,Imput[[PERIODO Imp.]:[PERIODO Imp.]],DE$9)</f>
        <v>0</v>
      </c>
      <c r="DF206" s="516">
        <f>SUMIFS(Imput[[Importe Neto]:[Importe Neto]],Imput[[C. Imp.]:[C. Imp.]],$D206,Imput[[PERIODO Imp.]:[PERIODO Imp.]],DF$9)</f>
        <v>0</v>
      </c>
      <c r="DG206" s="516">
        <f>SUMIFS(Imput[[Importe Neto]:[Importe Neto]],Imput[[C. Imp.]:[C. Imp.]],$D206,Imput[[PERIODO Imp.]:[PERIODO Imp.]],DG$9)</f>
        <v>0</v>
      </c>
      <c r="DH206" s="616">
        <f>SUMIFS(Imput[[Importe Neto]:[Importe Neto]],Imput[[C. Imp.]:[C. Imp.]],$D206,Imput[[PERIODO Imp.]:[PERIODO Imp.]],DH$9)</f>
        <v>0</v>
      </c>
    </row>
    <row r="207" spans="1:112" ht="14.4" hidden="1" outlineLevel="1" thickBot="1" x14ac:dyDescent="0.35">
      <c r="A207" s="66" t="str">
        <f t="shared" si="90"/>
        <v/>
      </c>
      <c r="C207" s="527"/>
      <c r="D207" s="528" t="s">
        <v>2307</v>
      </c>
      <c r="E207" s="528"/>
      <c r="F207" s="534"/>
      <c r="G207" s="529"/>
      <c r="H207" s="531"/>
      <c r="I207" s="849" t="str">
        <f t="shared" si="91"/>
        <v/>
      </c>
      <c r="J207" s="850" t="str">
        <f t="shared" si="92"/>
        <v/>
      </c>
      <c r="K207" s="70"/>
      <c r="L207" s="853"/>
      <c r="M207" s="855"/>
      <c r="N207" s="855"/>
      <c r="O207" s="855"/>
      <c r="P207" s="855"/>
      <c r="Q207" s="855"/>
      <c r="R207" s="855"/>
      <c r="S207" s="855"/>
      <c r="T207" s="855"/>
      <c r="U207" s="855"/>
      <c r="V207" s="855"/>
      <c r="W207" s="855"/>
      <c r="X207" s="855"/>
      <c r="Y207" s="855"/>
      <c r="Z207" s="856"/>
      <c r="AA207" s="856"/>
      <c r="AB207" s="856"/>
      <c r="AC207" s="856"/>
      <c r="AD207" s="856"/>
      <c r="AE207" s="856"/>
      <c r="AF207" s="856"/>
      <c r="AG207" s="856"/>
      <c r="AH207" s="856"/>
      <c r="AI207" s="856"/>
      <c r="AJ207" s="856"/>
      <c r="AK207" s="856"/>
      <c r="AL207" s="856"/>
      <c r="AM207" s="856"/>
      <c r="AN207" s="856"/>
      <c r="AO207" s="856"/>
      <c r="AP207" s="856"/>
      <c r="AQ207" s="856"/>
      <c r="AR207" s="856"/>
      <c r="AS207" s="856"/>
      <c r="AT207" s="856"/>
      <c r="AU207" s="856"/>
      <c r="AV207" s="856"/>
      <c r="AW207" s="856"/>
      <c r="AX207" s="856"/>
      <c r="AY207" s="856"/>
      <c r="AZ207" s="856"/>
      <c r="BA207" s="856"/>
      <c r="BB207" s="856"/>
      <c r="BC207" s="856"/>
      <c r="BD207" s="856"/>
      <c r="BE207" s="856"/>
      <c r="BF207" s="856"/>
      <c r="BG207" s="857"/>
      <c r="BH207" s="590"/>
      <c r="BI207" s="70"/>
      <c r="BJ207" s="518">
        <f t="shared" si="93"/>
        <v>0</v>
      </c>
      <c r="BK207" s="517">
        <f t="shared" si="94"/>
        <v>0</v>
      </c>
      <c r="BL207" s="68"/>
      <c r="BM207" s="515">
        <f>SUMIFS(Imput[[Importe Neto]:[Importe Neto]],Imput[[C. Imp.]:[C. Imp.]],$D207,Imput[[PERIODO Imp.]:[PERIODO Imp.]],BM$9)</f>
        <v>0</v>
      </c>
      <c r="BN207" s="516">
        <f>SUMIFS(Imput[[Importe Neto]:[Importe Neto]],Imput[[C. Imp.]:[C. Imp.]],$D207,Imput[[PERIODO Imp.]:[PERIODO Imp.]],BN$9)</f>
        <v>0</v>
      </c>
      <c r="BO207" s="516">
        <f>SUMIFS(Imput[[Importe Neto]:[Importe Neto]],Imput[[C. Imp.]:[C. Imp.]],$D207,Imput[[PERIODO Imp.]:[PERIODO Imp.]],BO$9)</f>
        <v>0</v>
      </c>
      <c r="BP207" s="516">
        <f>SUMIFS(Imput[[Importe Neto]:[Importe Neto]],Imput[[C. Imp.]:[C. Imp.]],$D207,Imput[[PERIODO Imp.]:[PERIODO Imp.]],BP$9)</f>
        <v>0</v>
      </c>
      <c r="BQ207" s="516">
        <f>SUMIFS(Imput[[Importe Neto]:[Importe Neto]],Imput[[C. Imp.]:[C. Imp.]],$D207,Imput[[PERIODO Imp.]:[PERIODO Imp.]],BQ$9)</f>
        <v>0</v>
      </c>
      <c r="BR207" s="516">
        <f>SUMIFS(Imput[[Importe Neto]:[Importe Neto]],Imput[[C. Imp.]:[C. Imp.]],$D207,Imput[[PERIODO Imp.]:[PERIODO Imp.]],BR$9)</f>
        <v>0</v>
      </c>
      <c r="BS207" s="516">
        <f>SUMIFS(Imput[[Importe Neto]:[Importe Neto]],Imput[[C. Imp.]:[C. Imp.]],$D207,Imput[[PERIODO Imp.]:[PERIODO Imp.]],BS$9)</f>
        <v>0</v>
      </c>
      <c r="BT207" s="516">
        <f>SUMIFS(Imput[[Importe Neto]:[Importe Neto]],Imput[[C. Imp.]:[C. Imp.]],$D207,Imput[[PERIODO Imp.]:[PERIODO Imp.]],BT$9)</f>
        <v>0</v>
      </c>
      <c r="BU207" s="516">
        <f>SUMIFS(Imput[[Importe Neto]:[Importe Neto]],Imput[[C. Imp.]:[C. Imp.]],$D207,Imput[[PERIODO Imp.]:[PERIODO Imp.]],BU$9)</f>
        <v>0</v>
      </c>
      <c r="BV207" s="516">
        <f>SUMIFS(Imput[[Importe Neto]:[Importe Neto]],Imput[[C. Imp.]:[C. Imp.]],$D207,Imput[[PERIODO Imp.]:[PERIODO Imp.]],BV$9)</f>
        <v>0</v>
      </c>
      <c r="BW207" s="516">
        <f>SUMIFS(Imput[[Importe Neto]:[Importe Neto]],Imput[[C. Imp.]:[C. Imp.]],$D207,Imput[[PERIODO Imp.]:[PERIODO Imp.]],BW$9)</f>
        <v>0</v>
      </c>
      <c r="BX207" s="516">
        <f>SUMIFS(Imput[[Importe Neto]:[Importe Neto]],Imput[[C. Imp.]:[C. Imp.]],$D207,Imput[[PERIODO Imp.]:[PERIODO Imp.]],BX$9)</f>
        <v>0</v>
      </c>
      <c r="BY207" s="516">
        <f>SUMIFS(Imput[[Importe Neto]:[Importe Neto]],Imput[[C. Imp.]:[C. Imp.]],$D207,Imput[[PERIODO Imp.]:[PERIODO Imp.]],BY$9)</f>
        <v>0</v>
      </c>
      <c r="BZ207" s="516">
        <f>SUMIFS(Imput[[Importe Neto]:[Importe Neto]],Imput[[C. Imp.]:[C. Imp.]],$D207,Imput[[PERIODO Imp.]:[PERIODO Imp.]],BZ$9)</f>
        <v>0</v>
      </c>
      <c r="CA207" s="516">
        <f>SUMIFS(Imput[[Importe Neto]:[Importe Neto]],Imput[[C. Imp.]:[C. Imp.]],$D207,Imput[[PERIODO Imp.]:[PERIODO Imp.]],CA$9)</f>
        <v>0</v>
      </c>
      <c r="CB207" s="516">
        <f>SUMIFS(Imput[[Importe Neto]:[Importe Neto]],Imput[[C. Imp.]:[C. Imp.]],$D207,Imput[[PERIODO Imp.]:[PERIODO Imp.]],CB$9)</f>
        <v>0</v>
      </c>
      <c r="CC207" s="516">
        <f>SUMIFS(Imput[[Importe Neto]:[Importe Neto]],Imput[[C. Imp.]:[C. Imp.]],$D207,Imput[[PERIODO Imp.]:[PERIODO Imp.]],CC$9)</f>
        <v>0</v>
      </c>
      <c r="CD207" s="516">
        <f>SUMIFS(Imput[[Importe Neto]:[Importe Neto]],Imput[[C. Imp.]:[C. Imp.]],$D207,Imput[[PERIODO Imp.]:[PERIODO Imp.]],CD$9)</f>
        <v>0</v>
      </c>
      <c r="CE207" s="516">
        <f>SUMIFS(Imput[[Importe Neto]:[Importe Neto]],Imput[[C. Imp.]:[C. Imp.]],$D207,Imput[[PERIODO Imp.]:[PERIODO Imp.]],CE$9)</f>
        <v>0</v>
      </c>
      <c r="CF207" s="516">
        <f>SUMIFS(Imput[[Importe Neto]:[Importe Neto]],Imput[[C. Imp.]:[C. Imp.]],$D207,Imput[[PERIODO Imp.]:[PERIODO Imp.]],CF$9)</f>
        <v>0</v>
      </c>
      <c r="CG207" s="516">
        <f>SUMIFS(Imput[[Importe Neto]:[Importe Neto]],Imput[[C. Imp.]:[C. Imp.]],$D207,Imput[[PERIODO Imp.]:[PERIODO Imp.]],CG$9)</f>
        <v>0</v>
      </c>
      <c r="CH207" s="516">
        <f>SUMIFS(Imput[[Importe Neto]:[Importe Neto]],Imput[[C. Imp.]:[C. Imp.]],$D207,Imput[[PERIODO Imp.]:[PERIODO Imp.]],CH$9)</f>
        <v>0</v>
      </c>
      <c r="CI207" s="516">
        <f>SUMIFS(Imput[[Importe Neto]:[Importe Neto]],Imput[[C. Imp.]:[C. Imp.]],$D207,Imput[[PERIODO Imp.]:[PERIODO Imp.]],CI$9)</f>
        <v>0</v>
      </c>
      <c r="CJ207" s="516">
        <f>SUMIFS(Imput[[Importe Neto]:[Importe Neto]],Imput[[C. Imp.]:[C. Imp.]],$D207,Imput[[PERIODO Imp.]:[PERIODO Imp.]],CJ$9)</f>
        <v>0</v>
      </c>
      <c r="CK207" s="516">
        <f>SUMIFS(Imput[[Importe Neto]:[Importe Neto]],Imput[[C. Imp.]:[C. Imp.]],$D207,Imput[[PERIODO Imp.]:[PERIODO Imp.]],CK$9)</f>
        <v>0</v>
      </c>
      <c r="CL207" s="516">
        <f>SUMIFS(Imput[[Importe Neto]:[Importe Neto]],Imput[[C. Imp.]:[C. Imp.]],$D207,Imput[[PERIODO Imp.]:[PERIODO Imp.]],CL$9)</f>
        <v>0</v>
      </c>
      <c r="CM207" s="516">
        <f>SUMIFS(Imput[[Importe Neto]:[Importe Neto]],Imput[[C. Imp.]:[C. Imp.]],$D207,Imput[[PERIODO Imp.]:[PERIODO Imp.]],CM$9)</f>
        <v>0</v>
      </c>
      <c r="CN207" s="516">
        <f>SUMIFS(Imput[[Importe Neto]:[Importe Neto]],Imput[[C. Imp.]:[C. Imp.]],$D207,Imput[[PERIODO Imp.]:[PERIODO Imp.]],CN$9)</f>
        <v>0</v>
      </c>
      <c r="CO207" s="516">
        <f>SUMIFS(Imput[[Importe Neto]:[Importe Neto]],Imput[[C. Imp.]:[C. Imp.]],$D207,Imput[[PERIODO Imp.]:[PERIODO Imp.]],CO$9)</f>
        <v>0</v>
      </c>
      <c r="CP207" s="516">
        <f>SUMIFS(Imput[[Importe Neto]:[Importe Neto]],Imput[[C. Imp.]:[C. Imp.]],$D207,Imput[[PERIODO Imp.]:[PERIODO Imp.]],CP$9)</f>
        <v>0</v>
      </c>
      <c r="CQ207" s="516">
        <f>SUMIFS(Imput[[Importe Neto]:[Importe Neto]],Imput[[C. Imp.]:[C. Imp.]],$D207,Imput[[PERIODO Imp.]:[PERIODO Imp.]],CQ$9)</f>
        <v>0</v>
      </c>
      <c r="CR207" s="516">
        <f>SUMIFS(Imput[[Importe Neto]:[Importe Neto]],Imput[[C. Imp.]:[C. Imp.]],$D207,Imput[[PERIODO Imp.]:[PERIODO Imp.]],CR$9)</f>
        <v>0</v>
      </c>
      <c r="CS207" s="516">
        <f>SUMIFS(Imput[[Importe Neto]:[Importe Neto]],Imput[[C. Imp.]:[C. Imp.]],$D207,Imput[[PERIODO Imp.]:[PERIODO Imp.]],CS$9)</f>
        <v>0</v>
      </c>
      <c r="CT207" s="516">
        <f>SUMIFS(Imput[[Importe Neto]:[Importe Neto]],Imput[[C. Imp.]:[C. Imp.]],$D207,Imput[[PERIODO Imp.]:[PERIODO Imp.]],CT$9)</f>
        <v>0</v>
      </c>
      <c r="CU207" s="516">
        <f>SUMIFS(Imput[[Importe Neto]:[Importe Neto]],Imput[[C. Imp.]:[C. Imp.]],$D207,Imput[[PERIODO Imp.]:[PERIODO Imp.]],CU$9)</f>
        <v>0</v>
      </c>
      <c r="CV207" s="516">
        <f>SUMIFS(Imput[[Importe Neto]:[Importe Neto]],Imput[[C. Imp.]:[C. Imp.]],$D207,Imput[[PERIODO Imp.]:[PERIODO Imp.]],CV$9)</f>
        <v>0</v>
      </c>
      <c r="CW207" s="516">
        <f>SUMIFS(Imput[[Importe Neto]:[Importe Neto]],Imput[[C. Imp.]:[C. Imp.]],$D207,Imput[[PERIODO Imp.]:[PERIODO Imp.]],CW$9)</f>
        <v>0</v>
      </c>
      <c r="CX207" s="516">
        <f>SUMIFS(Imput[[Importe Neto]:[Importe Neto]],Imput[[C. Imp.]:[C. Imp.]],$D207,Imput[[PERIODO Imp.]:[PERIODO Imp.]],CX$9)</f>
        <v>0</v>
      </c>
      <c r="CY207" s="516">
        <f>SUMIFS(Imput[[Importe Neto]:[Importe Neto]],Imput[[C. Imp.]:[C. Imp.]],$D207,Imput[[PERIODO Imp.]:[PERIODO Imp.]],CY$9)</f>
        <v>0</v>
      </c>
      <c r="CZ207" s="516">
        <f>SUMIFS(Imput[[Importe Neto]:[Importe Neto]],Imput[[C. Imp.]:[C. Imp.]],$D207,Imput[[PERIODO Imp.]:[PERIODO Imp.]],CZ$9)</f>
        <v>0</v>
      </c>
      <c r="DA207" s="516">
        <f>SUMIFS(Imput[[Importe Neto]:[Importe Neto]],Imput[[C. Imp.]:[C. Imp.]],$D207,Imput[[PERIODO Imp.]:[PERIODO Imp.]],DA$9)</f>
        <v>0</v>
      </c>
      <c r="DB207" s="516">
        <f>SUMIFS(Imput[[Importe Neto]:[Importe Neto]],Imput[[C. Imp.]:[C. Imp.]],$D207,Imput[[PERIODO Imp.]:[PERIODO Imp.]],DB$9)</f>
        <v>0</v>
      </c>
      <c r="DC207" s="516">
        <f>SUMIFS(Imput[[Importe Neto]:[Importe Neto]],Imput[[C. Imp.]:[C. Imp.]],$D207,Imput[[PERIODO Imp.]:[PERIODO Imp.]],DC$9)</f>
        <v>0</v>
      </c>
      <c r="DD207" s="516">
        <f>SUMIFS(Imput[[Importe Neto]:[Importe Neto]],Imput[[C. Imp.]:[C. Imp.]],$D207,Imput[[PERIODO Imp.]:[PERIODO Imp.]],DD$9)</f>
        <v>0</v>
      </c>
      <c r="DE207" s="516">
        <f>SUMIFS(Imput[[Importe Neto]:[Importe Neto]],Imput[[C. Imp.]:[C. Imp.]],$D207,Imput[[PERIODO Imp.]:[PERIODO Imp.]],DE$9)</f>
        <v>0</v>
      </c>
      <c r="DF207" s="516">
        <f>SUMIFS(Imput[[Importe Neto]:[Importe Neto]],Imput[[C. Imp.]:[C. Imp.]],$D207,Imput[[PERIODO Imp.]:[PERIODO Imp.]],DF$9)</f>
        <v>0</v>
      </c>
      <c r="DG207" s="516">
        <f>SUMIFS(Imput[[Importe Neto]:[Importe Neto]],Imput[[C. Imp.]:[C. Imp.]],$D207,Imput[[PERIODO Imp.]:[PERIODO Imp.]],DG$9)</f>
        <v>0</v>
      </c>
      <c r="DH207" s="616">
        <f>SUMIFS(Imput[[Importe Neto]:[Importe Neto]],Imput[[C. Imp.]:[C. Imp.]],$D207,Imput[[PERIODO Imp.]:[PERIODO Imp.]],DH$9)</f>
        <v>0</v>
      </c>
    </row>
    <row r="208" spans="1:112" ht="14.4" hidden="1" outlineLevel="1" thickBot="1" x14ac:dyDescent="0.35">
      <c r="A208" s="66" t="str">
        <f t="shared" si="90"/>
        <v/>
      </c>
      <c r="C208" s="527"/>
      <c r="D208" s="528" t="s">
        <v>2308</v>
      </c>
      <c r="E208" s="528"/>
      <c r="F208" s="534"/>
      <c r="G208" s="529"/>
      <c r="H208" s="531"/>
      <c r="I208" s="849" t="str">
        <f t="shared" si="91"/>
        <v/>
      </c>
      <c r="J208" s="850" t="str">
        <f t="shared" si="92"/>
        <v/>
      </c>
      <c r="K208" s="70"/>
      <c r="L208" s="853"/>
      <c r="M208" s="855"/>
      <c r="N208" s="855"/>
      <c r="O208" s="855"/>
      <c r="P208" s="855"/>
      <c r="Q208" s="855"/>
      <c r="R208" s="855"/>
      <c r="S208" s="855"/>
      <c r="T208" s="855"/>
      <c r="U208" s="855"/>
      <c r="V208" s="855"/>
      <c r="W208" s="855"/>
      <c r="X208" s="855"/>
      <c r="Y208" s="855"/>
      <c r="Z208" s="856"/>
      <c r="AA208" s="856"/>
      <c r="AB208" s="856"/>
      <c r="AC208" s="856"/>
      <c r="AD208" s="856"/>
      <c r="AE208" s="856"/>
      <c r="AF208" s="856"/>
      <c r="AG208" s="856"/>
      <c r="AH208" s="856"/>
      <c r="AI208" s="856"/>
      <c r="AJ208" s="856"/>
      <c r="AK208" s="856"/>
      <c r="AL208" s="856"/>
      <c r="AM208" s="856"/>
      <c r="AN208" s="856"/>
      <c r="AO208" s="856"/>
      <c r="AP208" s="856"/>
      <c r="AQ208" s="856"/>
      <c r="AR208" s="856"/>
      <c r="AS208" s="856"/>
      <c r="AT208" s="856"/>
      <c r="AU208" s="856"/>
      <c r="AV208" s="856"/>
      <c r="AW208" s="856"/>
      <c r="AX208" s="856"/>
      <c r="AY208" s="856"/>
      <c r="AZ208" s="856"/>
      <c r="BA208" s="856"/>
      <c r="BB208" s="856"/>
      <c r="BC208" s="856"/>
      <c r="BD208" s="856"/>
      <c r="BE208" s="856"/>
      <c r="BF208" s="856"/>
      <c r="BG208" s="857"/>
      <c r="BH208" s="590"/>
      <c r="BI208" s="70"/>
      <c r="BJ208" s="518">
        <f t="shared" si="93"/>
        <v>0</v>
      </c>
      <c r="BK208" s="517">
        <f t="shared" si="94"/>
        <v>0</v>
      </c>
      <c r="BL208" s="68"/>
      <c r="BM208" s="515">
        <f>SUMIFS(Imput[[Importe Neto]:[Importe Neto]],Imput[[C. Imp.]:[C. Imp.]],$D208,Imput[[PERIODO Imp.]:[PERIODO Imp.]],BM$9)</f>
        <v>0</v>
      </c>
      <c r="BN208" s="516">
        <f>SUMIFS(Imput[[Importe Neto]:[Importe Neto]],Imput[[C. Imp.]:[C. Imp.]],$D208,Imput[[PERIODO Imp.]:[PERIODO Imp.]],BN$9)</f>
        <v>0</v>
      </c>
      <c r="BO208" s="516">
        <f>SUMIFS(Imput[[Importe Neto]:[Importe Neto]],Imput[[C. Imp.]:[C. Imp.]],$D208,Imput[[PERIODO Imp.]:[PERIODO Imp.]],BO$9)</f>
        <v>0</v>
      </c>
      <c r="BP208" s="516">
        <f>SUMIFS(Imput[[Importe Neto]:[Importe Neto]],Imput[[C. Imp.]:[C. Imp.]],$D208,Imput[[PERIODO Imp.]:[PERIODO Imp.]],BP$9)</f>
        <v>0</v>
      </c>
      <c r="BQ208" s="516">
        <f>SUMIFS(Imput[[Importe Neto]:[Importe Neto]],Imput[[C. Imp.]:[C. Imp.]],$D208,Imput[[PERIODO Imp.]:[PERIODO Imp.]],BQ$9)</f>
        <v>0</v>
      </c>
      <c r="BR208" s="516">
        <f>SUMIFS(Imput[[Importe Neto]:[Importe Neto]],Imput[[C. Imp.]:[C. Imp.]],$D208,Imput[[PERIODO Imp.]:[PERIODO Imp.]],BR$9)</f>
        <v>0</v>
      </c>
      <c r="BS208" s="516">
        <f>SUMIFS(Imput[[Importe Neto]:[Importe Neto]],Imput[[C. Imp.]:[C. Imp.]],$D208,Imput[[PERIODO Imp.]:[PERIODO Imp.]],BS$9)</f>
        <v>0</v>
      </c>
      <c r="BT208" s="516">
        <f>SUMIFS(Imput[[Importe Neto]:[Importe Neto]],Imput[[C. Imp.]:[C. Imp.]],$D208,Imput[[PERIODO Imp.]:[PERIODO Imp.]],BT$9)</f>
        <v>0</v>
      </c>
      <c r="BU208" s="516">
        <f>SUMIFS(Imput[[Importe Neto]:[Importe Neto]],Imput[[C. Imp.]:[C. Imp.]],$D208,Imput[[PERIODO Imp.]:[PERIODO Imp.]],BU$9)</f>
        <v>0</v>
      </c>
      <c r="BV208" s="516">
        <f>SUMIFS(Imput[[Importe Neto]:[Importe Neto]],Imput[[C. Imp.]:[C. Imp.]],$D208,Imput[[PERIODO Imp.]:[PERIODO Imp.]],BV$9)</f>
        <v>0</v>
      </c>
      <c r="BW208" s="516">
        <f>SUMIFS(Imput[[Importe Neto]:[Importe Neto]],Imput[[C. Imp.]:[C. Imp.]],$D208,Imput[[PERIODO Imp.]:[PERIODO Imp.]],BW$9)</f>
        <v>0</v>
      </c>
      <c r="BX208" s="516">
        <f>SUMIFS(Imput[[Importe Neto]:[Importe Neto]],Imput[[C. Imp.]:[C. Imp.]],$D208,Imput[[PERIODO Imp.]:[PERIODO Imp.]],BX$9)</f>
        <v>0</v>
      </c>
      <c r="BY208" s="516">
        <f>SUMIFS(Imput[[Importe Neto]:[Importe Neto]],Imput[[C. Imp.]:[C. Imp.]],$D208,Imput[[PERIODO Imp.]:[PERIODO Imp.]],BY$9)</f>
        <v>0</v>
      </c>
      <c r="BZ208" s="516">
        <f>SUMIFS(Imput[[Importe Neto]:[Importe Neto]],Imput[[C. Imp.]:[C. Imp.]],$D208,Imput[[PERIODO Imp.]:[PERIODO Imp.]],BZ$9)</f>
        <v>0</v>
      </c>
      <c r="CA208" s="516">
        <f>SUMIFS(Imput[[Importe Neto]:[Importe Neto]],Imput[[C. Imp.]:[C. Imp.]],$D208,Imput[[PERIODO Imp.]:[PERIODO Imp.]],CA$9)</f>
        <v>0</v>
      </c>
      <c r="CB208" s="516">
        <f>SUMIFS(Imput[[Importe Neto]:[Importe Neto]],Imput[[C. Imp.]:[C. Imp.]],$D208,Imput[[PERIODO Imp.]:[PERIODO Imp.]],CB$9)</f>
        <v>0</v>
      </c>
      <c r="CC208" s="516">
        <f>SUMIFS(Imput[[Importe Neto]:[Importe Neto]],Imput[[C. Imp.]:[C. Imp.]],$D208,Imput[[PERIODO Imp.]:[PERIODO Imp.]],CC$9)</f>
        <v>0</v>
      </c>
      <c r="CD208" s="516">
        <f>SUMIFS(Imput[[Importe Neto]:[Importe Neto]],Imput[[C. Imp.]:[C. Imp.]],$D208,Imput[[PERIODO Imp.]:[PERIODO Imp.]],CD$9)</f>
        <v>0</v>
      </c>
      <c r="CE208" s="516">
        <f>SUMIFS(Imput[[Importe Neto]:[Importe Neto]],Imput[[C. Imp.]:[C. Imp.]],$D208,Imput[[PERIODO Imp.]:[PERIODO Imp.]],CE$9)</f>
        <v>0</v>
      </c>
      <c r="CF208" s="516">
        <f>SUMIFS(Imput[[Importe Neto]:[Importe Neto]],Imput[[C. Imp.]:[C. Imp.]],$D208,Imput[[PERIODO Imp.]:[PERIODO Imp.]],CF$9)</f>
        <v>0</v>
      </c>
      <c r="CG208" s="516">
        <f>SUMIFS(Imput[[Importe Neto]:[Importe Neto]],Imput[[C. Imp.]:[C. Imp.]],$D208,Imput[[PERIODO Imp.]:[PERIODO Imp.]],CG$9)</f>
        <v>0</v>
      </c>
      <c r="CH208" s="516">
        <f>SUMIFS(Imput[[Importe Neto]:[Importe Neto]],Imput[[C. Imp.]:[C. Imp.]],$D208,Imput[[PERIODO Imp.]:[PERIODO Imp.]],CH$9)</f>
        <v>0</v>
      </c>
      <c r="CI208" s="516">
        <f>SUMIFS(Imput[[Importe Neto]:[Importe Neto]],Imput[[C. Imp.]:[C. Imp.]],$D208,Imput[[PERIODO Imp.]:[PERIODO Imp.]],CI$9)</f>
        <v>0</v>
      </c>
      <c r="CJ208" s="516">
        <f>SUMIFS(Imput[[Importe Neto]:[Importe Neto]],Imput[[C. Imp.]:[C. Imp.]],$D208,Imput[[PERIODO Imp.]:[PERIODO Imp.]],CJ$9)</f>
        <v>0</v>
      </c>
      <c r="CK208" s="516">
        <f>SUMIFS(Imput[[Importe Neto]:[Importe Neto]],Imput[[C. Imp.]:[C. Imp.]],$D208,Imput[[PERIODO Imp.]:[PERIODO Imp.]],CK$9)</f>
        <v>0</v>
      </c>
      <c r="CL208" s="516">
        <f>SUMIFS(Imput[[Importe Neto]:[Importe Neto]],Imput[[C. Imp.]:[C. Imp.]],$D208,Imput[[PERIODO Imp.]:[PERIODO Imp.]],CL$9)</f>
        <v>0</v>
      </c>
      <c r="CM208" s="516">
        <f>SUMIFS(Imput[[Importe Neto]:[Importe Neto]],Imput[[C. Imp.]:[C. Imp.]],$D208,Imput[[PERIODO Imp.]:[PERIODO Imp.]],CM$9)</f>
        <v>0</v>
      </c>
      <c r="CN208" s="516">
        <f>SUMIFS(Imput[[Importe Neto]:[Importe Neto]],Imput[[C. Imp.]:[C. Imp.]],$D208,Imput[[PERIODO Imp.]:[PERIODO Imp.]],CN$9)</f>
        <v>0</v>
      </c>
      <c r="CO208" s="516">
        <f>SUMIFS(Imput[[Importe Neto]:[Importe Neto]],Imput[[C. Imp.]:[C. Imp.]],$D208,Imput[[PERIODO Imp.]:[PERIODO Imp.]],CO$9)</f>
        <v>0</v>
      </c>
      <c r="CP208" s="516">
        <f>SUMIFS(Imput[[Importe Neto]:[Importe Neto]],Imput[[C. Imp.]:[C. Imp.]],$D208,Imput[[PERIODO Imp.]:[PERIODO Imp.]],CP$9)</f>
        <v>0</v>
      </c>
      <c r="CQ208" s="516">
        <f>SUMIFS(Imput[[Importe Neto]:[Importe Neto]],Imput[[C. Imp.]:[C. Imp.]],$D208,Imput[[PERIODO Imp.]:[PERIODO Imp.]],CQ$9)</f>
        <v>0</v>
      </c>
      <c r="CR208" s="516">
        <f>SUMIFS(Imput[[Importe Neto]:[Importe Neto]],Imput[[C. Imp.]:[C. Imp.]],$D208,Imput[[PERIODO Imp.]:[PERIODO Imp.]],CR$9)</f>
        <v>0</v>
      </c>
      <c r="CS208" s="516">
        <f>SUMIFS(Imput[[Importe Neto]:[Importe Neto]],Imput[[C. Imp.]:[C. Imp.]],$D208,Imput[[PERIODO Imp.]:[PERIODO Imp.]],CS$9)</f>
        <v>0</v>
      </c>
      <c r="CT208" s="516">
        <f>SUMIFS(Imput[[Importe Neto]:[Importe Neto]],Imput[[C. Imp.]:[C. Imp.]],$D208,Imput[[PERIODO Imp.]:[PERIODO Imp.]],CT$9)</f>
        <v>0</v>
      </c>
      <c r="CU208" s="516">
        <f>SUMIFS(Imput[[Importe Neto]:[Importe Neto]],Imput[[C. Imp.]:[C. Imp.]],$D208,Imput[[PERIODO Imp.]:[PERIODO Imp.]],CU$9)</f>
        <v>0</v>
      </c>
      <c r="CV208" s="516">
        <f>SUMIFS(Imput[[Importe Neto]:[Importe Neto]],Imput[[C. Imp.]:[C. Imp.]],$D208,Imput[[PERIODO Imp.]:[PERIODO Imp.]],CV$9)</f>
        <v>0</v>
      </c>
      <c r="CW208" s="516">
        <f>SUMIFS(Imput[[Importe Neto]:[Importe Neto]],Imput[[C. Imp.]:[C. Imp.]],$D208,Imput[[PERIODO Imp.]:[PERIODO Imp.]],CW$9)</f>
        <v>0</v>
      </c>
      <c r="CX208" s="516">
        <f>SUMIFS(Imput[[Importe Neto]:[Importe Neto]],Imput[[C. Imp.]:[C. Imp.]],$D208,Imput[[PERIODO Imp.]:[PERIODO Imp.]],CX$9)</f>
        <v>0</v>
      </c>
      <c r="CY208" s="516">
        <f>SUMIFS(Imput[[Importe Neto]:[Importe Neto]],Imput[[C. Imp.]:[C. Imp.]],$D208,Imput[[PERIODO Imp.]:[PERIODO Imp.]],CY$9)</f>
        <v>0</v>
      </c>
      <c r="CZ208" s="516">
        <f>SUMIFS(Imput[[Importe Neto]:[Importe Neto]],Imput[[C. Imp.]:[C. Imp.]],$D208,Imput[[PERIODO Imp.]:[PERIODO Imp.]],CZ$9)</f>
        <v>0</v>
      </c>
      <c r="DA208" s="516">
        <f>SUMIFS(Imput[[Importe Neto]:[Importe Neto]],Imput[[C. Imp.]:[C. Imp.]],$D208,Imput[[PERIODO Imp.]:[PERIODO Imp.]],DA$9)</f>
        <v>0</v>
      </c>
      <c r="DB208" s="516">
        <f>SUMIFS(Imput[[Importe Neto]:[Importe Neto]],Imput[[C. Imp.]:[C. Imp.]],$D208,Imput[[PERIODO Imp.]:[PERIODO Imp.]],DB$9)</f>
        <v>0</v>
      </c>
      <c r="DC208" s="516">
        <f>SUMIFS(Imput[[Importe Neto]:[Importe Neto]],Imput[[C. Imp.]:[C. Imp.]],$D208,Imput[[PERIODO Imp.]:[PERIODO Imp.]],DC$9)</f>
        <v>0</v>
      </c>
      <c r="DD208" s="516">
        <f>SUMIFS(Imput[[Importe Neto]:[Importe Neto]],Imput[[C. Imp.]:[C. Imp.]],$D208,Imput[[PERIODO Imp.]:[PERIODO Imp.]],DD$9)</f>
        <v>0</v>
      </c>
      <c r="DE208" s="516">
        <f>SUMIFS(Imput[[Importe Neto]:[Importe Neto]],Imput[[C. Imp.]:[C. Imp.]],$D208,Imput[[PERIODO Imp.]:[PERIODO Imp.]],DE$9)</f>
        <v>0</v>
      </c>
      <c r="DF208" s="516">
        <f>SUMIFS(Imput[[Importe Neto]:[Importe Neto]],Imput[[C. Imp.]:[C. Imp.]],$D208,Imput[[PERIODO Imp.]:[PERIODO Imp.]],DF$9)</f>
        <v>0</v>
      </c>
      <c r="DG208" s="516">
        <f>SUMIFS(Imput[[Importe Neto]:[Importe Neto]],Imput[[C. Imp.]:[C. Imp.]],$D208,Imput[[PERIODO Imp.]:[PERIODO Imp.]],DG$9)</f>
        <v>0</v>
      </c>
      <c r="DH208" s="616">
        <f>SUMIFS(Imput[[Importe Neto]:[Importe Neto]],Imput[[C. Imp.]:[C. Imp.]],$D208,Imput[[PERIODO Imp.]:[PERIODO Imp.]],DH$9)</f>
        <v>0</v>
      </c>
    </row>
    <row r="209" spans="1:112" ht="14.4" hidden="1" outlineLevel="1" thickBot="1" x14ac:dyDescent="0.35">
      <c r="A209" s="66" t="str">
        <f>IF(J187&gt;0,"Imprimir","")</f>
        <v/>
      </c>
      <c r="C209" s="112"/>
      <c r="D209" s="113"/>
      <c r="E209" s="113"/>
      <c r="F209" s="114"/>
      <c r="G209" s="605"/>
      <c r="H209" s="115"/>
      <c r="I209" s="116"/>
      <c r="J209" s="117"/>
      <c r="K209" s="70"/>
      <c r="L209" s="591"/>
      <c r="M209" s="592"/>
      <c r="N209" s="767"/>
      <c r="O209" s="767"/>
      <c r="P209" s="768"/>
      <c r="Q209" s="768"/>
      <c r="R209" s="593"/>
      <c r="S209" s="593"/>
      <c r="T209" s="769"/>
      <c r="U209" s="769"/>
      <c r="V209" s="768"/>
      <c r="W209" s="768"/>
      <c r="X209" s="593"/>
      <c r="Y209" s="593"/>
      <c r="Z209" s="593"/>
      <c r="AA209" s="593"/>
      <c r="AB209" s="593"/>
      <c r="AC209" s="593"/>
      <c r="AD209" s="593"/>
      <c r="AE209" s="593"/>
      <c r="AF209" s="593"/>
      <c r="AG209" s="593"/>
      <c r="AH209" s="593"/>
      <c r="AI209" s="593"/>
      <c r="AJ209" s="593"/>
      <c r="AK209" s="593"/>
      <c r="AL209" s="593"/>
      <c r="AM209" s="593"/>
      <c r="AN209" s="593"/>
      <c r="AO209" s="593"/>
      <c r="AP209" s="593"/>
      <c r="AQ209" s="593"/>
      <c r="AR209" s="593"/>
      <c r="AS209" s="593"/>
      <c r="AT209" s="593"/>
      <c r="AU209" s="593"/>
      <c r="AV209" s="593"/>
      <c r="AW209" s="593"/>
      <c r="AX209" s="593"/>
      <c r="AY209" s="593"/>
      <c r="AZ209" s="593"/>
      <c r="BA209" s="593"/>
      <c r="BB209" s="593"/>
      <c r="BC209" s="593"/>
      <c r="BD209" s="593"/>
      <c r="BE209" s="593"/>
      <c r="BF209" s="593"/>
      <c r="BG209" s="594"/>
      <c r="BH209" s="773"/>
      <c r="BI209" s="68"/>
      <c r="BJ209" s="163"/>
      <c r="BK209" s="153"/>
      <c r="BL209" s="68"/>
      <c r="BM209" s="152"/>
      <c r="BN209" s="114"/>
      <c r="BO209" s="114"/>
      <c r="BP209" s="114"/>
      <c r="BQ209" s="114"/>
      <c r="BR209" s="114"/>
      <c r="BS209" s="114"/>
      <c r="BT209" s="114"/>
      <c r="BU209" s="114"/>
      <c r="BV209" s="114"/>
      <c r="BW209" s="114"/>
      <c r="BX209" s="114"/>
      <c r="BY209" s="114"/>
      <c r="BZ209" s="114"/>
      <c r="CA209" s="114"/>
      <c r="CB209" s="114"/>
      <c r="CC209" s="114"/>
      <c r="CD209" s="114"/>
      <c r="CE209" s="114"/>
      <c r="CF209" s="114"/>
      <c r="CG209" s="114"/>
      <c r="CH209" s="114"/>
      <c r="CI209" s="114"/>
      <c r="CJ209" s="114"/>
      <c r="CK209" s="114"/>
      <c r="CL209" s="114"/>
      <c r="CM209" s="114"/>
      <c r="CN209" s="114"/>
      <c r="CO209" s="114"/>
      <c r="CP209" s="114"/>
      <c r="CQ209" s="114"/>
      <c r="CR209" s="114"/>
      <c r="CS209" s="114"/>
      <c r="CT209" s="114"/>
      <c r="CU209" s="114"/>
      <c r="CV209" s="114"/>
      <c r="CW209" s="114"/>
      <c r="CX209" s="114"/>
      <c r="CY209" s="114"/>
      <c r="CZ209" s="114"/>
      <c r="DA209" s="114"/>
      <c r="DB209" s="114"/>
      <c r="DC209" s="114"/>
      <c r="DD209" s="114"/>
      <c r="DE209" s="114"/>
      <c r="DF209" s="114"/>
      <c r="DG209" s="114"/>
      <c r="DH209" s="153"/>
    </row>
    <row r="210" spans="1:112" ht="14.4" hidden="1" collapsed="1" thickBot="1" x14ac:dyDescent="0.35">
      <c r="A210" s="66" t="str">
        <f>IF(J210&gt;0,"Imprimir","")</f>
        <v/>
      </c>
      <c r="C210" s="98"/>
      <c r="D210" s="99" t="s">
        <v>454</v>
      </c>
      <c r="E210" s="99" t="s">
        <v>510</v>
      </c>
      <c r="F210" s="99"/>
      <c r="G210" s="606"/>
      <c r="H210" s="99"/>
      <c r="I210" s="100"/>
      <c r="J210" s="166">
        <f>SUBTOTAL(9,J213:J226)</f>
        <v>0</v>
      </c>
      <c r="K210" s="265"/>
      <c r="L210" s="770">
        <f t="shared" ref="L210:BG210" si="95">SUMPRODUCT($J213:$J226,L213:L226)</f>
        <v>0</v>
      </c>
      <c r="M210" s="771">
        <f t="shared" si="95"/>
        <v>0</v>
      </c>
      <c r="N210" s="771">
        <f t="shared" si="95"/>
        <v>0</v>
      </c>
      <c r="O210" s="771">
        <f t="shared" si="95"/>
        <v>0</v>
      </c>
      <c r="P210" s="771">
        <f t="shared" si="95"/>
        <v>0</v>
      </c>
      <c r="Q210" s="771">
        <f t="shared" si="95"/>
        <v>0</v>
      </c>
      <c r="R210" s="771">
        <f t="shared" si="95"/>
        <v>0</v>
      </c>
      <c r="S210" s="771">
        <f t="shared" si="95"/>
        <v>0</v>
      </c>
      <c r="T210" s="771">
        <f t="shared" si="95"/>
        <v>0</v>
      </c>
      <c r="U210" s="771">
        <f t="shared" si="95"/>
        <v>0</v>
      </c>
      <c r="V210" s="771">
        <f t="shared" si="95"/>
        <v>0</v>
      </c>
      <c r="W210" s="771">
        <f t="shared" si="95"/>
        <v>0</v>
      </c>
      <c r="X210" s="771">
        <f t="shared" si="95"/>
        <v>0</v>
      </c>
      <c r="Y210" s="771">
        <f t="shared" si="95"/>
        <v>0</v>
      </c>
      <c r="Z210" s="771">
        <f t="shared" si="95"/>
        <v>0</v>
      </c>
      <c r="AA210" s="771">
        <f t="shared" si="95"/>
        <v>0</v>
      </c>
      <c r="AB210" s="771">
        <f t="shared" si="95"/>
        <v>0</v>
      </c>
      <c r="AC210" s="771">
        <f t="shared" si="95"/>
        <v>0</v>
      </c>
      <c r="AD210" s="771">
        <f t="shared" si="95"/>
        <v>0</v>
      </c>
      <c r="AE210" s="771">
        <f t="shared" si="95"/>
        <v>0</v>
      </c>
      <c r="AF210" s="771">
        <f t="shared" si="95"/>
        <v>0</v>
      </c>
      <c r="AG210" s="771">
        <f t="shared" si="95"/>
        <v>0</v>
      </c>
      <c r="AH210" s="771">
        <f t="shared" si="95"/>
        <v>0</v>
      </c>
      <c r="AI210" s="771">
        <f t="shared" si="95"/>
        <v>0</v>
      </c>
      <c r="AJ210" s="771">
        <f t="shared" si="95"/>
        <v>0</v>
      </c>
      <c r="AK210" s="771">
        <f t="shared" si="95"/>
        <v>0</v>
      </c>
      <c r="AL210" s="771">
        <f t="shared" si="95"/>
        <v>0</v>
      </c>
      <c r="AM210" s="771">
        <f t="shared" si="95"/>
        <v>0</v>
      </c>
      <c r="AN210" s="771">
        <f t="shared" si="95"/>
        <v>0</v>
      </c>
      <c r="AO210" s="771">
        <f t="shared" si="95"/>
        <v>0</v>
      </c>
      <c r="AP210" s="771">
        <f t="shared" si="95"/>
        <v>0</v>
      </c>
      <c r="AQ210" s="771">
        <f t="shared" si="95"/>
        <v>0</v>
      </c>
      <c r="AR210" s="771">
        <f t="shared" si="95"/>
        <v>0</v>
      </c>
      <c r="AS210" s="771">
        <f t="shared" si="95"/>
        <v>0</v>
      </c>
      <c r="AT210" s="771">
        <f t="shared" si="95"/>
        <v>0</v>
      </c>
      <c r="AU210" s="771">
        <f t="shared" si="95"/>
        <v>0</v>
      </c>
      <c r="AV210" s="771">
        <f t="shared" si="95"/>
        <v>0</v>
      </c>
      <c r="AW210" s="771">
        <f t="shared" si="95"/>
        <v>0</v>
      </c>
      <c r="AX210" s="771">
        <f t="shared" si="95"/>
        <v>0</v>
      </c>
      <c r="AY210" s="771">
        <f t="shared" si="95"/>
        <v>0</v>
      </c>
      <c r="AZ210" s="771">
        <f t="shared" si="95"/>
        <v>0</v>
      </c>
      <c r="BA210" s="771">
        <f t="shared" si="95"/>
        <v>0</v>
      </c>
      <c r="BB210" s="771">
        <f t="shared" si="95"/>
        <v>0</v>
      </c>
      <c r="BC210" s="771">
        <f t="shared" si="95"/>
        <v>0</v>
      </c>
      <c r="BD210" s="771">
        <f t="shared" si="95"/>
        <v>0</v>
      </c>
      <c r="BE210" s="771">
        <f t="shared" si="95"/>
        <v>0</v>
      </c>
      <c r="BF210" s="771">
        <f t="shared" si="95"/>
        <v>0</v>
      </c>
      <c r="BG210" s="765">
        <f t="shared" si="95"/>
        <v>0</v>
      </c>
      <c r="BH210" s="772"/>
      <c r="BI210" s="68"/>
      <c r="BJ210" s="519">
        <f>IFERROR(13/J210,0)</f>
        <v>0</v>
      </c>
      <c r="BK210" s="452">
        <f>SUBTOTAL(9,BK211:BK226)</f>
        <v>0</v>
      </c>
      <c r="BL210" s="68"/>
      <c r="BM210" s="453">
        <f>SUBTOTAL(9,BM211:BM226)</f>
        <v>0</v>
      </c>
      <c r="BN210" s="454">
        <f>SUBTOTAL(9,BN211:BN226)</f>
        <v>0</v>
      </c>
      <c r="BO210" s="454">
        <f t="shared" ref="BO210:DH210" si="96">SUBTOTAL(9,BO211:BO226)</f>
        <v>0</v>
      </c>
      <c r="BP210" s="454">
        <f t="shared" si="96"/>
        <v>0</v>
      </c>
      <c r="BQ210" s="454">
        <f t="shared" si="96"/>
        <v>0</v>
      </c>
      <c r="BR210" s="454">
        <f t="shared" si="96"/>
        <v>0</v>
      </c>
      <c r="BS210" s="454">
        <f t="shared" si="96"/>
        <v>0</v>
      </c>
      <c r="BT210" s="454">
        <f t="shared" si="96"/>
        <v>0</v>
      </c>
      <c r="BU210" s="454">
        <f t="shared" si="96"/>
        <v>0</v>
      </c>
      <c r="BV210" s="454">
        <f t="shared" si="96"/>
        <v>0</v>
      </c>
      <c r="BW210" s="454">
        <f t="shared" si="96"/>
        <v>0</v>
      </c>
      <c r="BX210" s="454">
        <f t="shared" si="96"/>
        <v>0</v>
      </c>
      <c r="BY210" s="454">
        <f t="shared" si="96"/>
        <v>0</v>
      </c>
      <c r="BZ210" s="454">
        <f t="shared" si="96"/>
        <v>0</v>
      </c>
      <c r="CA210" s="454">
        <f t="shared" si="96"/>
        <v>0</v>
      </c>
      <c r="CB210" s="454">
        <f t="shared" si="96"/>
        <v>0</v>
      </c>
      <c r="CC210" s="454">
        <f t="shared" si="96"/>
        <v>0</v>
      </c>
      <c r="CD210" s="454">
        <f t="shared" si="96"/>
        <v>0</v>
      </c>
      <c r="CE210" s="454">
        <f t="shared" si="96"/>
        <v>0</v>
      </c>
      <c r="CF210" s="454">
        <f t="shared" si="96"/>
        <v>0</v>
      </c>
      <c r="CG210" s="454">
        <f t="shared" si="96"/>
        <v>0</v>
      </c>
      <c r="CH210" s="454">
        <f t="shared" si="96"/>
        <v>0</v>
      </c>
      <c r="CI210" s="454">
        <f t="shared" si="96"/>
        <v>0</v>
      </c>
      <c r="CJ210" s="454">
        <f t="shared" si="96"/>
        <v>0</v>
      </c>
      <c r="CK210" s="454">
        <f t="shared" si="96"/>
        <v>0</v>
      </c>
      <c r="CL210" s="454">
        <f t="shared" si="96"/>
        <v>0</v>
      </c>
      <c r="CM210" s="454">
        <f t="shared" si="96"/>
        <v>0</v>
      </c>
      <c r="CN210" s="454">
        <f t="shared" si="96"/>
        <v>0</v>
      </c>
      <c r="CO210" s="454">
        <f t="shared" si="96"/>
        <v>0</v>
      </c>
      <c r="CP210" s="454">
        <f t="shared" si="96"/>
        <v>0</v>
      </c>
      <c r="CQ210" s="454">
        <f t="shared" si="96"/>
        <v>0</v>
      </c>
      <c r="CR210" s="454">
        <f t="shared" si="96"/>
        <v>0</v>
      </c>
      <c r="CS210" s="454">
        <f t="shared" si="96"/>
        <v>0</v>
      </c>
      <c r="CT210" s="454">
        <f t="shared" si="96"/>
        <v>0</v>
      </c>
      <c r="CU210" s="454">
        <f t="shared" si="96"/>
        <v>0</v>
      </c>
      <c r="CV210" s="454">
        <f t="shared" si="96"/>
        <v>0</v>
      </c>
      <c r="CW210" s="454">
        <f t="shared" si="96"/>
        <v>0</v>
      </c>
      <c r="CX210" s="454">
        <f t="shared" si="96"/>
        <v>0</v>
      </c>
      <c r="CY210" s="454">
        <f t="shared" si="96"/>
        <v>0</v>
      </c>
      <c r="CZ210" s="454">
        <f t="shared" si="96"/>
        <v>0</v>
      </c>
      <c r="DA210" s="454">
        <f t="shared" si="96"/>
        <v>0</v>
      </c>
      <c r="DB210" s="454">
        <f t="shared" si="96"/>
        <v>0</v>
      </c>
      <c r="DC210" s="454">
        <f t="shared" si="96"/>
        <v>0</v>
      </c>
      <c r="DD210" s="454">
        <f t="shared" si="96"/>
        <v>0</v>
      </c>
      <c r="DE210" s="454">
        <f t="shared" si="96"/>
        <v>0</v>
      </c>
      <c r="DF210" s="454">
        <f t="shared" si="96"/>
        <v>0</v>
      </c>
      <c r="DG210" s="454">
        <f t="shared" si="96"/>
        <v>0</v>
      </c>
      <c r="DH210" s="615">
        <f t="shared" si="96"/>
        <v>0</v>
      </c>
    </row>
    <row r="211" spans="1:112" ht="14.4" hidden="1" outlineLevel="1" thickBot="1" x14ac:dyDescent="0.35">
      <c r="A211" s="66" t="str">
        <f>IF(J210&gt;0,"Imprimir","")</f>
        <v/>
      </c>
      <c r="C211" s="102"/>
      <c r="D211" s="103"/>
      <c r="E211" s="103"/>
      <c r="F211" s="103" t="s">
        <v>472</v>
      </c>
      <c r="G211" s="607" t="s">
        <v>463</v>
      </c>
      <c r="H211" s="103" t="str">
        <f>H15</f>
        <v>Cantidad</v>
      </c>
      <c r="I211" s="103" t="s">
        <v>474</v>
      </c>
      <c r="J211" s="104" t="s">
        <v>29</v>
      </c>
      <c r="K211" s="70"/>
      <c r="L211" s="745"/>
      <c r="M211" s="741"/>
      <c r="N211" s="741"/>
      <c r="O211" s="741"/>
      <c r="P211" s="741"/>
      <c r="Q211" s="741"/>
      <c r="R211" s="741"/>
      <c r="S211" s="741"/>
      <c r="T211" s="741"/>
      <c r="U211" s="741"/>
      <c r="V211" s="741"/>
      <c r="W211" s="741"/>
      <c r="X211" s="741"/>
      <c r="Y211" s="741"/>
      <c r="Z211" s="741"/>
      <c r="AA211" s="741"/>
      <c r="AB211" s="741"/>
      <c r="AC211" s="741"/>
      <c r="AD211" s="741"/>
      <c r="AE211" s="741"/>
      <c r="AF211" s="741"/>
      <c r="AG211" s="741"/>
      <c r="AH211" s="741"/>
      <c r="AI211" s="741"/>
      <c r="AJ211" s="741"/>
      <c r="AK211" s="741"/>
      <c r="AL211" s="741"/>
      <c r="AM211" s="741"/>
      <c r="AN211" s="741"/>
      <c r="AO211" s="741"/>
      <c r="AP211" s="741"/>
      <c r="AQ211" s="741"/>
      <c r="AR211" s="741"/>
      <c r="AS211" s="741"/>
      <c r="AT211" s="741"/>
      <c r="AU211" s="741"/>
      <c r="AV211" s="741"/>
      <c r="AW211" s="741"/>
      <c r="AX211" s="741"/>
      <c r="AY211" s="741"/>
      <c r="AZ211" s="741"/>
      <c r="BA211" s="741"/>
      <c r="BB211" s="741"/>
      <c r="BC211" s="741"/>
      <c r="BD211" s="741"/>
      <c r="BE211" s="741"/>
      <c r="BF211" s="741"/>
      <c r="BG211" s="746"/>
      <c r="BH211" s="590"/>
      <c r="BI211" s="68"/>
      <c r="BJ211" s="161"/>
      <c r="BK211" s="159"/>
      <c r="BL211" s="68"/>
      <c r="BM211" s="151"/>
      <c r="BN211" s="103"/>
      <c r="BO211" s="103"/>
      <c r="BP211" s="103"/>
      <c r="BQ211" s="103"/>
      <c r="BR211" s="103"/>
      <c r="BS211" s="103"/>
      <c r="BT211" s="103"/>
      <c r="BU211" s="103"/>
      <c r="BV211" s="103"/>
      <c r="BW211" s="103"/>
      <c r="BX211" s="103"/>
      <c r="BY211" s="103"/>
      <c r="BZ211" s="103"/>
      <c r="CA211" s="103"/>
      <c r="CB211" s="103"/>
      <c r="CC211" s="103"/>
      <c r="CD211" s="103"/>
      <c r="CE211" s="103"/>
      <c r="CF211" s="103"/>
      <c r="CG211" s="103"/>
      <c r="CH211" s="103"/>
      <c r="CI211" s="103"/>
      <c r="CJ211" s="103"/>
      <c r="CK211" s="103"/>
      <c r="CL211" s="103"/>
      <c r="CM211" s="103"/>
      <c r="CN211" s="103"/>
      <c r="CO211" s="103"/>
      <c r="CP211" s="103"/>
      <c r="CQ211" s="103"/>
      <c r="CR211" s="103"/>
      <c r="CS211" s="103"/>
      <c r="CT211" s="103"/>
      <c r="CU211" s="103"/>
      <c r="CV211" s="103"/>
      <c r="CW211" s="103"/>
      <c r="CX211" s="103"/>
      <c r="CY211" s="103"/>
      <c r="CZ211" s="103"/>
      <c r="DA211" s="103"/>
      <c r="DB211" s="103"/>
      <c r="DC211" s="103"/>
      <c r="DD211" s="103"/>
      <c r="DE211" s="103"/>
      <c r="DF211" s="103"/>
      <c r="DG211" s="103"/>
      <c r="DH211" s="104"/>
    </row>
    <row r="212" spans="1:112" ht="16.2" hidden="1" outlineLevel="1" thickBot="1" x14ac:dyDescent="0.35">
      <c r="A212" s="66" t="str">
        <f t="shared" ref="A212" si="97">IF(J212&gt;0,"Imprimir","")</f>
        <v/>
      </c>
      <c r="C212" s="106"/>
      <c r="D212" s="318"/>
      <c r="E212" s="107"/>
      <c r="F212" s="108"/>
      <c r="G212" s="609"/>
      <c r="H212" s="109"/>
      <c r="I212" s="110"/>
      <c r="J212" s="219">
        <f>SUBTOTAL(9,J213:J226)</f>
        <v>0</v>
      </c>
      <c r="K212" s="111"/>
      <c r="L212" s="747"/>
      <c r="M212" s="742"/>
      <c r="N212" s="742"/>
      <c r="O212" s="742"/>
      <c r="P212" s="742"/>
      <c r="Q212" s="742"/>
      <c r="R212" s="742"/>
      <c r="S212" s="742"/>
      <c r="T212" s="742"/>
      <c r="U212" s="742"/>
      <c r="V212" s="742"/>
      <c r="W212" s="742"/>
      <c r="X212" s="742"/>
      <c r="Y212" s="742"/>
      <c r="Z212" s="742"/>
      <c r="AA212" s="742"/>
      <c r="AB212" s="742"/>
      <c r="AC212" s="742"/>
      <c r="AD212" s="742"/>
      <c r="AE212" s="742"/>
      <c r="AF212" s="742"/>
      <c r="AG212" s="742"/>
      <c r="AH212" s="742"/>
      <c r="AI212" s="742"/>
      <c r="AJ212" s="742"/>
      <c r="AK212" s="742"/>
      <c r="AL212" s="742"/>
      <c r="AM212" s="742"/>
      <c r="AN212" s="742"/>
      <c r="AO212" s="742"/>
      <c r="AP212" s="742"/>
      <c r="AQ212" s="742"/>
      <c r="AR212" s="742"/>
      <c r="AS212" s="742"/>
      <c r="AT212" s="742"/>
      <c r="AU212" s="742"/>
      <c r="AV212" s="742"/>
      <c r="AW212" s="742"/>
      <c r="AX212" s="742"/>
      <c r="AY212" s="742"/>
      <c r="AZ212" s="742"/>
      <c r="BA212" s="742"/>
      <c r="BB212" s="742"/>
      <c r="BC212" s="742"/>
      <c r="BD212" s="742"/>
      <c r="BE212" s="742"/>
      <c r="BF212" s="742"/>
      <c r="BG212" s="748"/>
      <c r="BH212" s="590"/>
      <c r="BI212" s="68"/>
      <c r="BJ212" s="162"/>
      <c r="BK212" s="160"/>
      <c r="BL212" s="68"/>
      <c r="BM212" s="512"/>
      <c r="BN212" s="513"/>
      <c r="BO212" s="513"/>
      <c r="BP212" s="513"/>
      <c r="BQ212" s="513"/>
      <c r="BR212" s="513"/>
      <c r="BS212" s="513"/>
      <c r="BT212" s="513"/>
      <c r="BU212" s="513"/>
      <c r="BV212" s="513"/>
      <c r="BW212" s="513"/>
      <c r="BX212" s="513"/>
      <c r="BY212" s="513"/>
      <c r="BZ212" s="513"/>
      <c r="CA212" s="513"/>
      <c r="CB212" s="513"/>
      <c r="CC212" s="513"/>
      <c r="CD212" s="513"/>
      <c r="CE212" s="513"/>
      <c r="CF212" s="513"/>
      <c r="CG212" s="513"/>
      <c r="CH212" s="513"/>
      <c r="CI212" s="513"/>
      <c r="CJ212" s="513"/>
      <c r="CK212" s="513"/>
      <c r="CL212" s="513"/>
      <c r="CM212" s="513"/>
      <c r="CN212" s="513"/>
      <c r="CO212" s="513"/>
      <c r="CP212" s="513"/>
      <c r="CQ212" s="513"/>
      <c r="CR212" s="513"/>
      <c r="CS212" s="513"/>
      <c r="CT212" s="513"/>
      <c r="CU212" s="513"/>
      <c r="CV212" s="513"/>
      <c r="CW212" s="513"/>
      <c r="CX212" s="513"/>
      <c r="CY212" s="513"/>
      <c r="CZ212" s="513"/>
      <c r="DA212" s="513"/>
      <c r="DB212" s="513"/>
      <c r="DC212" s="513"/>
      <c r="DD212" s="513"/>
      <c r="DE212" s="513"/>
      <c r="DF212" s="513"/>
      <c r="DG212" s="513"/>
      <c r="DH212" s="514"/>
    </row>
    <row r="213" spans="1:112" ht="14.4" hidden="1" outlineLevel="1" thickBot="1" x14ac:dyDescent="0.35">
      <c r="A213" s="66" t="str">
        <f t="shared" ref="A213:A225" si="98">IF(J213="","",IF(J213=0,"","Imprimir"))</f>
        <v/>
      </c>
      <c r="C213" s="527"/>
      <c r="D213" s="528" t="s">
        <v>2309</v>
      </c>
      <c r="E213" s="528"/>
      <c r="F213" s="534"/>
      <c r="G213" s="529"/>
      <c r="H213" s="531"/>
      <c r="I213" s="849" t="str">
        <f t="shared" ref="I213:I225" si="99">IF(E213&gt;0,$J$5,"")</f>
        <v/>
      </c>
      <c r="J213" s="517" t="str">
        <f t="shared" ref="J213:J225" si="100">IFERROR(G213*H213*I213,"")</f>
        <v/>
      </c>
      <c r="K213" s="70"/>
      <c r="L213" s="853"/>
      <c r="M213" s="855"/>
      <c r="N213" s="855"/>
      <c r="O213" s="855"/>
      <c r="P213" s="855"/>
      <c r="Q213" s="855"/>
      <c r="R213" s="855"/>
      <c r="S213" s="855"/>
      <c r="T213" s="855"/>
      <c r="U213" s="855"/>
      <c r="V213" s="855"/>
      <c r="W213" s="855"/>
      <c r="X213" s="855"/>
      <c r="Y213" s="855"/>
      <c r="Z213" s="856"/>
      <c r="AA213" s="856"/>
      <c r="AB213" s="856"/>
      <c r="AC213" s="856"/>
      <c r="AD213" s="856"/>
      <c r="AE213" s="856"/>
      <c r="AF213" s="856"/>
      <c r="AG213" s="856"/>
      <c r="AH213" s="856"/>
      <c r="AI213" s="856"/>
      <c r="AJ213" s="856"/>
      <c r="AK213" s="856"/>
      <c r="AL213" s="856"/>
      <c r="AM213" s="856"/>
      <c r="AN213" s="856"/>
      <c r="AO213" s="856"/>
      <c r="AP213" s="856"/>
      <c r="AQ213" s="856"/>
      <c r="AR213" s="856"/>
      <c r="AS213" s="856"/>
      <c r="AT213" s="856"/>
      <c r="AU213" s="856"/>
      <c r="AV213" s="856"/>
      <c r="AW213" s="856"/>
      <c r="AX213" s="856"/>
      <c r="AY213" s="856"/>
      <c r="AZ213" s="856"/>
      <c r="BA213" s="856"/>
      <c r="BB213" s="856"/>
      <c r="BC213" s="856"/>
      <c r="BD213" s="856"/>
      <c r="BE213" s="856"/>
      <c r="BF213" s="856"/>
      <c r="BG213" s="857"/>
      <c r="BH213" s="590"/>
      <c r="BI213" s="68"/>
      <c r="BJ213" s="518">
        <f t="shared" ref="BJ213:BJ225" si="101">IFERROR(BK213/J213,0)</f>
        <v>0</v>
      </c>
      <c r="BK213" s="517">
        <f t="shared" ref="BK213:BK225" si="102">SUM(BM213:DH213)</f>
        <v>0</v>
      </c>
      <c r="BL213" s="68"/>
      <c r="BM213" s="515">
        <f>SUMIFS(Imput[[Importe Neto]:[Importe Neto]],Imput[[C. Imp.]:[C. Imp.]],$D213,Imput[[PERIODO Imp.]:[PERIODO Imp.]],BM$9)</f>
        <v>0</v>
      </c>
      <c r="BN213" s="516">
        <f>SUMIFS(Imput[[Importe Neto]:[Importe Neto]],Imput[[C. Imp.]:[C. Imp.]],$D213,Imput[[PERIODO Imp.]:[PERIODO Imp.]],BN$9)</f>
        <v>0</v>
      </c>
      <c r="BO213" s="516">
        <f>SUMIFS(Imput[[Importe Neto]:[Importe Neto]],Imput[[C. Imp.]:[C. Imp.]],$D213,Imput[[PERIODO Imp.]:[PERIODO Imp.]],BO$9)</f>
        <v>0</v>
      </c>
      <c r="BP213" s="516">
        <f>SUMIFS(Imput[[Importe Neto]:[Importe Neto]],Imput[[C. Imp.]:[C. Imp.]],$D213,Imput[[PERIODO Imp.]:[PERIODO Imp.]],BP$9)</f>
        <v>0</v>
      </c>
      <c r="BQ213" s="516">
        <f>SUMIFS(Imput[[Importe Neto]:[Importe Neto]],Imput[[C. Imp.]:[C. Imp.]],$D213,Imput[[PERIODO Imp.]:[PERIODO Imp.]],BQ$9)</f>
        <v>0</v>
      </c>
      <c r="BR213" s="516">
        <f>SUMIFS(Imput[[Importe Neto]:[Importe Neto]],Imput[[C. Imp.]:[C. Imp.]],$D213,Imput[[PERIODO Imp.]:[PERIODO Imp.]],BR$9)</f>
        <v>0</v>
      </c>
      <c r="BS213" s="516">
        <f>SUMIFS(Imput[[Importe Neto]:[Importe Neto]],Imput[[C. Imp.]:[C. Imp.]],$D213,Imput[[PERIODO Imp.]:[PERIODO Imp.]],BS$9)</f>
        <v>0</v>
      </c>
      <c r="BT213" s="516">
        <f>SUMIFS(Imput[[Importe Neto]:[Importe Neto]],Imput[[C. Imp.]:[C. Imp.]],$D213,Imput[[PERIODO Imp.]:[PERIODO Imp.]],BT$9)</f>
        <v>0</v>
      </c>
      <c r="BU213" s="516">
        <f>SUMIFS(Imput[[Importe Neto]:[Importe Neto]],Imput[[C. Imp.]:[C. Imp.]],$D213,Imput[[PERIODO Imp.]:[PERIODO Imp.]],BU$9)</f>
        <v>0</v>
      </c>
      <c r="BV213" s="516">
        <f>SUMIFS(Imput[[Importe Neto]:[Importe Neto]],Imput[[C. Imp.]:[C. Imp.]],$D213,Imput[[PERIODO Imp.]:[PERIODO Imp.]],BV$9)</f>
        <v>0</v>
      </c>
      <c r="BW213" s="516">
        <f>SUMIFS(Imput[[Importe Neto]:[Importe Neto]],Imput[[C. Imp.]:[C. Imp.]],$D213,Imput[[PERIODO Imp.]:[PERIODO Imp.]],BW$9)</f>
        <v>0</v>
      </c>
      <c r="BX213" s="516">
        <f>SUMIFS(Imput[[Importe Neto]:[Importe Neto]],Imput[[C. Imp.]:[C. Imp.]],$D213,Imput[[PERIODO Imp.]:[PERIODO Imp.]],BX$9)</f>
        <v>0</v>
      </c>
      <c r="BY213" s="516">
        <f>SUMIFS(Imput[[Importe Neto]:[Importe Neto]],Imput[[C. Imp.]:[C. Imp.]],$D213,Imput[[PERIODO Imp.]:[PERIODO Imp.]],BY$9)</f>
        <v>0</v>
      </c>
      <c r="BZ213" s="516">
        <f>SUMIFS(Imput[[Importe Neto]:[Importe Neto]],Imput[[C. Imp.]:[C. Imp.]],$D213,Imput[[PERIODO Imp.]:[PERIODO Imp.]],BZ$9)</f>
        <v>0</v>
      </c>
      <c r="CA213" s="516">
        <f>SUMIFS(Imput[[Importe Neto]:[Importe Neto]],Imput[[C. Imp.]:[C. Imp.]],$D213,Imput[[PERIODO Imp.]:[PERIODO Imp.]],CA$9)</f>
        <v>0</v>
      </c>
      <c r="CB213" s="516">
        <f>SUMIFS(Imput[[Importe Neto]:[Importe Neto]],Imput[[C. Imp.]:[C. Imp.]],$D213,Imput[[PERIODO Imp.]:[PERIODO Imp.]],CB$9)</f>
        <v>0</v>
      </c>
      <c r="CC213" s="516">
        <f>SUMIFS(Imput[[Importe Neto]:[Importe Neto]],Imput[[C. Imp.]:[C. Imp.]],$D213,Imput[[PERIODO Imp.]:[PERIODO Imp.]],CC$9)</f>
        <v>0</v>
      </c>
      <c r="CD213" s="516">
        <f>SUMIFS(Imput[[Importe Neto]:[Importe Neto]],Imput[[C. Imp.]:[C. Imp.]],$D213,Imput[[PERIODO Imp.]:[PERIODO Imp.]],CD$9)</f>
        <v>0</v>
      </c>
      <c r="CE213" s="516">
        <f>SUMIFS(Imput[[Importe Neto]:[Importe Neto]],Imput[[C. Imp.]:[C. Imp.]],$D213,Imput[[PERIODO Imp.]:[PERIODO Imp.]],CE$9)</f>
        <v>0</v>
      </c>
      <c r="CF213" s="516">
        <f>SUMIFS(Imput[[Importe Neto]:[Importe Neto]],Imput[[C. Imp.]:[C. Imp.]],$D213,Imput[[PERIODO Imp.]:[PERIODO Imp.]],CF$9)</f>
        <v>0</v>
      </c>
      <c r="CG213" s="516">
        <f>SUMIFS(Imput[[Importe Neto]:[Importe Neto]],Imput[[C. Imp.]:[C. Imp.]],$D213,Imput[[PERIODO Imp.]:[PERIODO Imp.]],CG$9)</f>
        <v>0</v>
      </c>
      <c r="CH213" s="516">
        <f>SUMIFS(Imput[[Importe Neto]:[Importe Neto]],Imput[[C. Imp.]:[C. Imp.]],$D213,Imput[[PERIODO Imp.]:[PERIODO Imp.]],CH$9)</f>
        <v>0</v>
      </c>
      <c r="CI213" s="516">
        <f>SUMIFS(Imput[[Importe Neto]:[Importe Neto]],Imput[[C. Imp.]:[C. Imp.]],$D213,Imput[[PERIODO Imp.]:[PERIODO Imp.]],CI$9)</f>
        <v>0</v>
      </c>
      <c r="CJ213" s="516">
        <f>SUMIFS(Imput[[Importe Neto]:[Importe Neto]],Imput[[C. Imp.]:[C. Imp.]],$D213,Imput[[PERIODO Imp.]:[PERIODO Imp.]],CJ$9)</f>
        <v>0</v>
      </c>
      <c r="CK213" s="516">
        <f>SUMIFS(Imput[[Importe Neto]:[Importe Neto]],Imput[[C. Imp.]:[C. Imp.]],$D213,Imput[[PERIODO Imp.]:[PERIODO Imp.]],CK$9)</f>
        <v>0</v>
      </c>
      <c r="CL213" s="516">
        <f>SUMIFS(Imput[[Importe Neto]:[Importe Neto]],Imput[[C. Imp.]:[C. Imp.]],$D213,Imput[[PERIODO Imp.]:[PERIODO Imp.]],CL$9)</f>
        <v>0</v>
      </c>
      <c r="CM213" s="516">
        <f>SUMIFS(Imput[[Importe Neto]:[Importe Neto]],Imput[[C. Imp.]:[C. Imp.]],$D213,Imput[[PERIODO Imp.]:[PERIODO Imp.]],CM$9)</f>
        <v>0</v>
      </c>
      <c r="CN213" s="516">
        <f>SUMIFS(Imput[[Importe Neto]:[Importe Neto]],Imput[[C. Imp.]:[C. Imp.]],$D213,Imput[[PERIODO Imp.]:[PERIODO Imp.]],CN$9)</f>
        <v>0</v>
      </c>
      <c r="CO213" s="516">
        <f>SUMIFS(Imput[[Importe Neto]:[Importe Neto]],Imput[[C. Imp.]:[C. Imp.]],$D213,Imput[[PERIODO Imp.]:[PERIODO Imp.]],CO$9)</f>
        <v>0</v>
      </c>
      <c r="CP213" s="516">
        <f>SUMIFS(Imput[[Importe Neto]:[Importe Neto]],Imput[[C. Imp.]:[C. Imp.]],$D213,Imput[[PERIODO Imp.]:[PERIODO Imp.]],CP$9)</f>
        <v>0</v>
      </c>
      <c r="CQ213" s="516">
        <f>SUMIFS(Imput[[Importe Neto]:[Importe Neto]],Imput[[C. Imp.]:[C. Imp.]],$D213,Imput[[PERIODO Imp.]:[PERIODO Imp.]],CQ$9)</f>
        <v>0</v>
      </c>
      <c r="CR213" s="516">
        <f>SUMIFS(Imput[[Importe Neto]:[Importe Neto]],Imput[[C. Imp.]:[C. Imp.]],$D213,Imput[[PERIODO Imp.]:[PERIODO Imp.]],CR$9)</f>
        <v>0</v>
      </c>
      <c r="CS213" s="516">
        <f>SUMIFS(Imput[[Importe Neto]:[Importe Neto]],Imput[[C. Imp.]:[C. Imp.]],$D213,Imput[[PERIODO Imp.]:[PERIODO Imp.]],CS$9)</f>
        <v>0</v>
      </c>
      <c r="CT213" s="516">
        <f>SUMIFS(Imput[[Importe Neto]:[Importe Neto]],Imput[[C. Imp.]:[C. Imp.]],$D213,Imput[[PERIODO Imp.]:[PERIODO Imp.]],CT$9)</f>
        <v>0</v>
      </c>
      <c r="CU213" s="516">
        <f>SUMIFS(Imput[[Importe Neto]:[Importe Neto]],Imput[[C. Imp.]:[C. Imp.]],$D213,Imput[[PERIODO Imp.]:[PERIODO Imp.]],CU$9)</f>
        <v>0</v>
      </c>
      <c r="CV213" s="516">
        <f>SUMIFS(Imput[[Importe Neto]:[Importe Neto]],Imput[[C. Imp.]:[C. Imp.]],$D213,Imput[[PERIODO Imp.]:[PERIODO Imp.]],CV$9)</f>
        <v>0</v>
      </c>
      <c r="CW213" s="516">
        <f>SUMIFS(Imput[[Importe Neto]:[Importe Neto]],Imput[[C. Imp.]:[C. Imp.]],$D213,Imput[[PERIODO Imp.]:[PERIODO Imp.]],CW$9)</f>
        <v>0</v>
      </c>
      <c r="CX213" s="516">
        <f>SUMIFS(Imput[[Importe Neto]:[Importe Neto]],Imput[[C. Imp.]:[C. Imp.]],$D213,Imput[[PERIODO Imp.]:[PERIODO Imp.]],CX$9)</f>
        <v>0</v>
      </c>
      <c r="CY213" s="516">
        <f>SUMIFS(Imput[[Importe Neto]:[Importe Neto]],Imput[[C. Imp.]:[C. Imp.]],$D213,Imput[[PERIODO Imp.]:[PERIODO Imp.]],CY$9)</f>
        <v>0</v>
      </c>
      <c r="CZ213" s="516">
        <f>SUMIFS(Imput[[Importe Neto]:[Importe Neto]],Imput[[C. Imp.]:[C. Imp.]],$D213,Imput[[PERIODO Imp.]:[PERIODO Imp.]],CZ$9)</f>
        <v>0</v>
      </c>
      <c r="DA213" s="516">
        <f>SUMIFS(Imput[[Importe Neto]:[Importe Neto]],Imput[[C. Imp.]:[C. Imp.]],$D213,Imput[[PERIODO Imp.]:[PERIODO Imp.]],DA$9)</f>
        <v>0</v>
      </c>
      <c r="DB213" s="516">
        <f>SUMIFS(Imput[[Importe Neto]:[Importe Neto]],Imput[[C. Imp.]:[C. Imp.]],$D213,Imput[[PERIODO Imp.]:[PERIODO Imp.]],DB$9)</f>
        <v>0</v>
      </c>
      <c r="DC213" s="516">
        <f>SUMIFS(Imput[[Importe Neto]:[Importe Neto]],Imput[[C. Imp.]:[C. Imp.]],$D213,Imput[[PERIODO Imp.]:[PERIODO Imp.]],DC$9)</f>
        <v>0</v>
      </c>
      <c r="DD213" s="516">
        <f>SUMIFS(Imput[[Importe Neto]:[Importe Neto]],Imput[[C. Imp.]:[C. Imp.]],$D213,Imput[[PERIODO Imp.]:[PERIODO Imp.]],DD$9)</f>
        <v>0</v>
      </c>
      <c r="DE213" s="516">
        <f>SUMIFS(Imput[[Importe Neto]:[Importe Neto]],Imput[[C. Imp.]:[C. Imp.]],$D213,Imput[[PERIODO Imp.]:[PERIODO Imp.]],DE$9)</f>
        <v>0</v>
      </c>
      <c r="DF213" s="516">
        <f>SUMIFS(Imput[[Importe Neto]:[Importe Neto]],Imput[[C. Imp.]:[C. Imp.]],$D213,Imput[[PERIODO Imp.]:[PERIODO Imp.]],DF$9)</f>
        <v>0</v>
      </c>
      <c r="DG213" s="516">
        <f>SUMIFS(Imput[[Importe Neto]:[Importe Neto]],Imput[[C. Imp.]:[C. Imp.]],$D213,Imput[[PERIODO Imp.]:[PERIODO Imp.]],DG$9)</f>
        <v>0</v>
      </c>
      <c r="DH213" s="616">
        <f>SUMIFS(Imput[[Importe Neto]:[Importe Neto]],Imput[[C. Imp.]:[C. Imp.]],$D213,Imput[[PERIODO Imp.]:[PERIODO Imp.]],DH$9)</f>
        <v>0</v>
      </c>
    </row>
    <row r="214" spans="1:112" ht="14.4" hidden="1" outlineLevel="1" thickBot="1" x14ac:dyDescent="0.35">
      <c r="A214" s="66" t="str">
        <f t="shared" si="98"/>
        <v/>
      </c>
      <c r="C214" s="527"/>
      <c r="D214" s="528" t="s">
        <v>2310</v>
      </c>
      <c r="E214" s="528"/>
      <c r="F214" s="534"/>
      <c r="G214" s="529"/>
      <c r="H214" s="531"/>
      <c r="I214" s="849" t="str">
        <f t="shared" si="99"/>
        <v/>
      </c>
      <c r="J214" s="517" t="str">
        <f t="shared" si="100"/>
        <v/>
      </c>
      <c r="K214" s="70"/>
      <c r="L214" s="853"/>
      <c r="M214" s="855"/>
      <c r="N214" s="855"/>
      <c r="O214" s="855"/>
      <c r="P214" s="855"/>
      <c r="Q214" s="855"/>
      <c r="R214" s="855"/>
      <c r="S214" s="855"/>
      <c r="T214" s="855"/>
      <c r="U214" s="855"/>
      <c r="V214" s="855"/>
      <c r="W214" s="855"/>
      <c r="X214" s="855"/>
      <c r="Y214" s="855"/>
      <c r="Z214" s="856"/>
      <c r="AA214" s="856"/>
      <c r="AB214" s="856"/>
      <c r="AC214" s="856"/>
      <c r="AD214" s="856"/>
      <c r="AE214" s="856"/>
      <c r="AF214" s="856"/>
      <c r="AG214" s="856"/>
      <c r="AH214" s="856"/>
      <c r="AI214" s="856"/>
      <c r="AJ214" s="856"/>
      <c r="AK214" s="856"/>
      <c r="AL214" s="856"/>
      <c r="AM214" s="856"/>
      <c r="AN214" s="856"/>
      <c r="AO214" s="856"/>
      <c r="AP214" s="856"/>
      <c r="AQ214" s="856"/>
      <c r="AR214" s="856"/>
      <c r="AS214" s="856"/>
      <c r="AT214" s="856"/>
      <c r="AU214" s="856"/>
      <c r="AV214" s="856"/>
      <c r="AW214" s="856"/>
      <c r="AX214" s="856"/>
      <c r="AY214" s="856"/>
      <c r="AZ214" s="856"/>
      <c r="BA214" s="856"/>
      <c r="BB214" s="856"/>
      <c r="BC214" s="856"/>
      <c r="BD214" s="856"/>
      <c r="BE214" s="856"/>
      <c r="BF214" s="856"/>
      <c r="BG214" s="857"/>
      <c r="BH214" s="590"/>
      <c r="BI214" s="68"/>
      <c r="BJ214" s="518">
        <f t="shared" si="101"/>
        <v>0</v>
      </c>
      <c r="BK214" s="517">
        <f t="shared" si="102"/>
        <v>0</v>
      </c>
      <c r="BL214" s="68"/>
      <c r="BM214" s="515">
        <f>SUMIFS(Imput[[Importe Neto]:[Importe Neto]],Imput[[C. Imp.]:[C. Imp.]],$D214,Imput[[PERIODO Imp.]:[PERIODO Imp.]],BM$9)</f>
        <v>0</v>
      </c>
      <c r="BN214" s="516">
        <f>SUMIFS(Imput[[Importe Neto]:[Importe Neto]],Imput[[C. Imp.]:[C. Imp.]],$D214,Imput[[PERIODO Imp.]:[PERIODO Imp.]],BN$9)</f>
        <v>0</v>
      </c>
      <c r="BO214" s="516">
        <f>SUMIFS(Imput[[Importe Neto]:[Importe Neto]],Imput[[C. Imp.]:[C. Imp.]],$D214,Imput[[PERIODO Imp.]:[PERIODO Imp.]],BO$9)</f>
        <v>0</v>
      </c>
      <c r="BP214" s="516">
        <f>SUMIFS(Imput[[Importe Neto]:[Importe Neto]],Imput[[C. Imp.]:[C. Imp.]],$D214,Imput[[PERIODO Imp.]:[PERIODO Imp.]],BP$9)</f>
        <v>0</v>
      </c>
      <c r="BQ214" s="516">
        <f>SUMIFS(Imput[[Importe Neto]:[Importe Neto]],Imput[[C. Imp.]:[C. Imp.]],$D214,Imput[[PERIODO Imp.]:[PERIODO Imp.]],BQ$9)</f>
        <v>0</v>
      </c>
      <c r="BR214" s="516">
        <f>SUMIFS(Imput[[Importe Neto]:[Importe Neto]],Imput[[C. Imp.]:[C. Imp.]],$D214,Imput[[PERIODO Imp.]:[PERIODO Imp.]],BR$9)</f>
        <v>0</v>
      </c>
      <c r="BS214" s="516">
        <f>SUMIFS(Imput[[Importe Neto]:[Importe Neto]],Imput[[C. Imp.]:[C. Imp.]],$D214,Imput[[PERIODO Imp.]:[PERIODO Imp.]],BS$9)</f>
        <v>0</v>
      </c>
      <c r="BT214" s="516">
        <f>SUMIFS(Imput[[Importe Neto]:[Importe Neto]],Imput[[C. Imp.]:[C. Imp.]],$D214,Imput[[PERIODO Imp.]:[PERIODO Imp.]],BT$9)</f>
        <v>0</v>
      </c>
      <c r="BU214" s="516">
        <f>SUMIFS(Imput[[Importe Neto]:[Importe Neto]],Imput[[C. Imp.]:[C. Imp.]],$D214,Imput[[PERIODO Imp.]:[PERIODO Imp.]],BU$9)</f>
        <v>0</v>
      </c>
      <c r="BV214" s="516">
        <f>SUMIFS(Imput[[Importe Neto]:[Importe Neto]],Imput[[C. Imp.]:[C. Imp.]],$D214,Imput[[PERIODO Imp.]:[PERIODO Imp.]],BV$9)</f>
        <v>0</v>
      </c>
      <c r="BW214" s="516">
        <f>SUMIFS(Imput[[Importe Neto]:[Importe Neto]],Imput[[C. Imp.]:[C. Imp.]],$D214,Imput[[PERIODO Imp.]:[PERIODO Imp.]],BW$9)</f>
        <v>0</v>
      </c>
      <c r="BX214" s="516">
        <f>SUMIFS(Imput[[Importe Neto]:[Importe Neto]],Imput[[C. Imp.]:[C. Imp.]],$D214,Imput[[PERIODO Imp.]:[PERIODO Imp.]],BX$9)</f>
        <v>0</v>
      </c>
      <c r="BY214" s="516">
        <f>SUMIFS(Imput[[Importe Neto]:[Importe Neto]],Imput[[C. Imp.]:[C. Imp.]],$D214,Imput[[PERIODO Imp.]:[PERIODO Imp.]],BY$9)</f>
        <v>0</v>
      </c>
      <c r="BZ214" s="516">
        <f>SUMIFS(Imput[[Importe Neto]:[Importe Neto]],Imput[[C. Imp.]:[C. Imp.]],$D214,Imput[[PERIODO Imp.]:[PERIODO Imp.]],BZ$9)</f>
        <v>0</v>
      </c>
      <c r="CA214" s="516">
        <f>SUMIFS(Imput[[Importe Neto]:[Importe Neto]],Imput[[C. Imp.]:[C. Imp.]],$D214,Imput[[PERIODO Imp.]:[PERIODO Imp.]],CA$9)</f>
        <v>0</v>
      </c>
      <c r="CB214" s="516">
        <f>SUMIFS(Imput[[Importe Neto]:[Importe Neto]],Imput[[C. Imp.]:[C. Imp.]],$D214,Imput[[PERIODO Imp.]:[PERIODO Imp.]],CB$9)</f>
        <v>0</v>
      </c>
      <c r="CC214" s="516">
        <f>SUMIFS(Imput[[Importe Neto]:[Importe Neto]],Imput[[C. Imp.]:[C. Imp.]],$D214,Imput[[PERIODO Imp.]:[PERIODO Imp.]],CC$9)</f>
        <v>0</v>
      </c>
      <c r="CD214" s="516">
        <f>SUMIFS(Imput[[Importe Neto]:[Importe Neto]],Imput[[C. Imp.]:[C. Imp.]],$D214,Imput[[PERIODO Imp.]:[PERIODO Imp.]],CD$9)</f>
        <v>0</v>
      </c>
      <c r="CE214" s="516">
        <f>SUMIFS(Imput[[Importe Neto]:[Importe Neto]],Imput[[C. Imp.]:[C. Imp.]],$D214,Imput[[PERIODO Imp.]:[PERIODO Imp.]],CE$9)</f>
        <v>0</v>
      </c>
      <c r="CF214" s="516">
        <f>SUMIFS(Imput[[Importe Neto]:[Importe Neto]],Imput[[C. Imp.]:[C. Imp.]],$D214,Imput[[PERIODO Imp.]:[PERIODO Imp.]],CF$9)</f>
        <v>0</v>
      </c>
      <c r="CG214" s="516">
        <f>SUMIFS(Imput[[Importe Neto]:[Importe Neto]],Imput[[C. Imp.]:[C. Imp.]],$D214,Imput[[PERIODO Imp.]:[PERIODO Imp.]],CG$9)</f>
        <v>0</v>
      </c>
      <c r="CH214" s="516">
        <f>SUMIFS(Imput[[Importe Neto]:[Importe Neto]],Imput[[C. Imp.]:[C. Imp.]],$D214,Imput[[PERIODO Imp.]:[PERIODO Imp.]],CH$9)</f>
        <v>0</v>
      </c>
      <c r="CI214" s="516">
        <f>SUMIFS(Imput[[Importe Neto]:[Importe Neto]],Imput[[C. Imp.]:[C. Imp.]],$D214,Imput[[PERIODO Imp.]:[PERIODO Imp.]],CI$9)</f>
        <v>0</v>
      </c>
      <c r="CJ214" s="516">
        <f>SUMIFS(Imput[[Importe Neto]:[Importe Neto]],Imput[[C. Imp.]:[C. Imp.]],$D214,Imput[[PERIODO Imp.]:[PERIODO Imp.]],CJ$9)</f>
        <v>0</v>
      </c>
      <c r="CK214" s="516">
        <f>SUMIFS(Imput[[Importe Neto]:[Importe Neto]],Imput[[C. Imp.]:[C. Imp.]],$D214,Imput[[PERIODO Imp.]:[PERIODO Imp.]],CK$9)</f>
        <v>0</v>
      </c>
      <c r="CL214" s="516">
        <f>SUMIFS(Imput[[Importe Neto]:[Importe Neto]],Imput[[C. Imp.]:[C. Imp.]],$D214,Imput[[PERIODO Imp.]:[PERIODO Imp.]],CL$9)</f>
        <v>0</v>
      </c>
      <c r="CM214" s="516">
        <f>SUMIFS(Imput[[Importe Neto]:[Importe Neto]],Imput[[C. Imp.]:[C. Imp.]],$D214,Imput[[PERIODO Imp.]:[PERIODO Imp.]],CM$9)</f>
        <v>0</v>
      </c>
      <c r="CN214" s="516">
        <f>SUMIFS(Imput[[Importe Neto]:[Importe Neto]],Imput[[C. Imp.]:[C. Imp.]],$D214,Imput[[PERIODO Imp.]:[PERIODO Imp.]],CN$9)</f>
        <v>0</v>
      </c>
      <c r="CO214" s="516">
        <f>SUMIFS(Imput[[Importe Neto]:[Importe Neto]],Imput[[C. Imp.]:[C. Imp.]],$D214,Imput[[PERIODO Imp.]:[PERIODO Imp.]],CO$9)</f>
        <v>0</v>
      </c>
      <c r="CP214" s="516">
        <f>SUMIFS(Imput[[Importe Neto]:[Importe Neto]],Imput[[C. Imp.]:[C. Imp.]],$D214,Imput[[PERIODO Imp.]:[PERIODO Imp.]],CP$9)</f>
        <v>0</v>
      </c>
      <c r="CQ214" s="516">
        <f>SUMIFS(Imput[[Importe Neto]:[Importe Neto]],Imput[[C. Imp.]:[C. Imp.]],$D214,Imput[[PERIODO Imp.]:[PERIODO Imp.]],CQ$9)</f>
        <v>0</v>
      </c>
      <c r="CR214" s="516">
        <f>SUMIFS(Imput[[Importe Neto]:[Importe Neto]],Imput[[C. Imp.]:[C. Imp.]],$D214,Imput[[PERIODO Imp.]:[PERIODO Imp.]],CR$9)</f>
        <v>0</v>
      </c>
      <c r="CS214" s="516">
        <f>SUMIFS(Imput[[Importe Neto]:[Importe Neto]],Imput[[C. Imp.]:[C. Imp.]],$D214,Imput[[PERIODO Imp.]:[PERIODO Imp.]],CS$9)</f>
        <v>0</v>
      </c>
      <c r="CT214" s="516">
        <f>SUMIFS(Imput[[Importe Neto]:[Importe Neto]],Imput[[C. Imp.]:[C. Imp.]],$D214,Imput[[PERIODO Imp.]:[PERIODO Imp.]],CT$9)</f>
        <v>0</v>
      </c>
      <c r="CU214" s="516">
        <f>SUMIFS(Imput[[Importe Neto]:[Importe Neto]],Imput[[C. Imp.]:[C. Imp.]],$D214,Imput[[PERIODO Imp.]:[PERIODO Imp.]],CU$9)</f>
        <v>0</v>
      </c>
      <c r="CV214" s="516">
        <f>SUMIFS(Imput[[Importe Neto]:[Importe Neto]],Imput[[C. Imp.]:[C. Imp.]],$D214,Imput[[PERIODO Imp.]:[PERIODO Imp.]],CV$9)</f>
        <v>0</v>
      </c>
      <c r="CW214" s="516">
        <f>SUMIFS(Imput[[Importe Neto]:[Importe Neto]],Imput[[C. Imp.]:[C. Imp.]],$D214,Imput[[PERIODO Imp.]:[PERIODO Imp.]],CW$9)</f>
        <v>0</v>
      </c>
      <c r="CX214" s="516">
        <f>SUMIFS(Imput[[Importe Neto]:[Importe Neto]],Imput[[C. Imp.]:[C. Imp.]],$D214,Imput[[PERIODO Imp.]:[PERIODO Imp.]],CX$9)</f>
        <v>0</v>
      </c>
      <c r="CY214" s="516">
        <f>SUMIFS(Imput[[Importe Neto]:[Importe Neto]],Imput[[C. Imp.]:[C. Imp.]],$D214,Imput[[PERIODO Imp.]:[PERIODO Imp.]],CY$9)</f>
        <v>0</v>
      </c>
      <c r="CZ214" s="516">
        <f>SUMIFS(Imput[[Importe Neto]:[Importe Neto]],Imput[[C. Imp.]:[C. Imp.]],$D214,Imput[[PERIODO Imp.]:[PERIODO Imp.]],CZ$9)</f>
        <v>0</v>
      </c>
      <c r="DA214" s="516">
        <f>SUMIFS(Imput[[Importe Neto]:[Importe Neto]],Imput[[C. Imp.]:[C. Imp.]],$D214,Imput[[PERIODO Imp.]:[PERIODO Imp.]],DA$9)</f>
        <v>0</v>
      </c>
      <c r="DB214" s="516">
        <f>SUMIFS(Imput[[Importe Neto]:[Importe Neto]],Imput[[C. Imp.]:[C. Imp.]],$D214,Imput[[PERIODO Imp.]:[PERIODO Imp.]],DB$9)</f>
        <v>0</v>
      </c>
      <c r="DC214" s="516">
        <f>SUMIFS(Imput[[Importe Neto]:[Importe Neto]],Imput[[C. Imp.]:[C. Imp.]],$D214,Imput[[PERIODO Imp.]:[PERIODO Imp.]],DC$9)</f>
        <v>0</v>
      </c>
      <c r="DD214" s="516">
        <f>SUMIFS(Imput[[Importe Neto]:[Importe Neto]],Imput[[C. Imp.]:[C. Imp.]],$D214,Imput[[PERIODO Imp.]:[PERIODO Imp.]],DD$9)</f>
        <v>0</v>
      </c>
      <c r="DE214" s="516">
        <f>SUMIFS(Imput[[Importe Neto]:[Importe Neto]],Imput[[C. Imp.]:[C. Imp.]],$D214,Imput[[PERIODO Imp.]:[PERIODO Imp.]],DE$9)</f>
        <v>0</v>
      </c>
      <c r="DF214" s="516">
        <f>SUMIFS(Imput[[Importe Neto]:[Importe Neto]],Imput[[C. Imp.]:[C. Imp.]],$D214,Imput[[PERIODO Imp.]:[PERIODO Imp.]],DF$9)</f>
        <v>0</v>
      </c>
      <c r="DG214" s="516">
        <f>SUMIFS(Imput[[Importe Neto]:[Importe Neto]],Imput[[C. Imp.]:[C. Imp.]],$D214,Imput[[PERIODO Imp.]:[PERIODO Imp.]],DG$9)</f>
        <v>0</v>
      </c>
      <c r="DH214" s="616">
        <f>SUMIFS(Imput[[Importe Neto]:[Importe Neto]],Imput[[C. Imp.]:[C. Imp.]],$D214,Imput[[PERIODO Imp.]:[PERIODO Imp.]],DH$9)</f>
        <v>0</v>
      </c>
    </row>
    <row r="215" spans="1:112" ht="14.4" hidden="1" outlineLevel="1" thickBot="1" x14ac:dyDescent="0.35">
      <c r="A215" s="66" t="str">
        <f t="shared" si="98"/>
        <v/>
      </c>
      <c r="C215" s="527"/>
      <c r="D215" s="528" t="s">
        <v>2311</v>
      </c>
      <c r="E215" s="528"/>
      <c r="F215" s="534"/>
      <c r="G215" s="529"/>
      <c r="H215" s="531"/>
      <c r="I215" s="849" t="str">
        <f t="shared" si="99"/>
        <v/>
      </c>
      <c r="J215" s="517" t="str">
        <f t="shared" si="100"/>
        <v/>
      </c>
      <c r="K215" s="70"/>
      <c r="L215" s="853"/>
      <c r="M215" s="855"/>
      <c r="N215" s="855"/>
      <c r="O215" s="855"/>
      <c r="P215" s="855"/>
      <c r="Q215" s="855"/>
      <c r="R215" s="855"/>
      <c r="S215" s="855"/>
      <c r="T215" s="855"/>
      <c r="U215" s="855"/>
      <c r="V215" s="855"/>
      <c r="W215" s="855"/>
      <c r="X215" s="855"/>
      <c r="Y215" s="855"/>
      <c r="Z215" s="856"/>
      <c r="AA215" s="856"/>
      <c r="AB215" s="856"/>
      <c r="AC215" s="856"/>
      <c r="AD215" s="856"/>
      <c r="AE215" s="856"/>
      <c r="AF215" s="856"/>
      <c r="AG215" s="856"/>
      <c r="AH215" s="856"/>
      <c r="AI215" s="856"/>
      <c r="AJ215" s="856"/>
      <c r="AK215" s="856"/>
      <c r="AL215" s="856"/>
      <c r="AM215" s="856"/>
      <c r="AN215" s="856"/>
      <c r="AO215" s="856"/>
      <c r="AP215" s="856"/>
      <c r="AQ215" s="856"/>
      <c r="AR215" s="856"/>
      <c r="AS215" s="856"/>
      <c r="AT215" s="856"/>
      <c r="AU215" s="856"/>
      <c r="AV215" s="856"/>
      <c r="AW215" s="856"/>
      <c r="AX215" s="856"/>
      <c r="AY215" s="856"/>
      <c r="AZ215" s="856"/>
      <c r="BA215" s="856"/>
      <c r="BB215" s="856"/>
      <c r="BC215" s="856"/>
      <c r="BD215" s="856"/>
      <c r="BE215" s="856"/>
      <c r="BF215" s="856"/>
      <c r="BG215" s="857"/>
      <c r="BH215" s="590"/>
      <c r="BI215" s="68"/>
      <c r="BJ215" s="518">
        <f t="shared" si="101"/>
        <v>0</v>
      </c>
      <c r="BK215" s="517">
        <f t="shared" si="102"/>
        <v>0</v>
      </c>
      <c r="BL215" s="68"/>
      <c r="BM215" s="515">
        <f>SUMIFS(Imput[[Importe Neto]:[Importe Neto]],Imput[[C. Imp.]:[C. Imp.]],$D215,Imput[[PERIODO Imp.]:[PERIODO Imp.]],BM$9)</f>
        <v>0</v>
      </c>
      <c r="BN215" s="516">
        <f>SUMIFS(Imput[[Importe Neto]:[Importe Neto]],Imput[[C. Imp.]:[C. Imp.]],$D215,Imput[[PERIODO Imp.]:[PERIODO Imp.]],BN$9)</f>
        <v>0</v>
      </c>
      <c r="BO215" s="516">
        <f>SUMIFS(Imput[[Importe Neto]:[Importe Neto]],Imput[[C. Imp.]:[C. Imp.]],$D215,Imput[[PERIODO Imp.]:[PERIODO Imp.]],BO$9)</f>
        <v>0</v>
      </c>
      <c r="BP215" s="516">
        <f>SUMIFS(Imput[[Importe Neto]:[Importe Neto]],Imput[[C. Imp.]:[C. Imp.]],$D215,Imput[[PERIODO Imp.]:[PERIODO Imp.]],BP$9)</f>
        <v>0</v>
      </c>
      <c r="BQ215" s="516">
        <f>SUMIFS(Imput[[Importe Neto]:[Importe Neto]],Imput[[C. Imp.]:[C. Imp.]],$D215,Imput[[PERIODO Imp.]:[PERIODO Imp.]],BQ$9)</f>
        <v>0</v>
      </c>
      <c r="BR215" s="516">
        <f>SUMIFS(Imput[[Importe Neto]:[Importe Neto]],Imput[[C. Imp.]:[C. Imp.]],$D215,Imput[[PERIODO Imp.]:[PERIODO Imp.]],BR$9)</f>
        <v>0</v>
      </c>
      <c r="BS215" s="516">
        <f>SUMIFS(Imput[[Importe Neto]:[Importe Neto]],Imput[[C. Imp.]:[C. Imp.]],$D215,Imput[[PERIODO Imp.]:[PERIODO Imp.]],BS$9)</f>
        <v>0</v>
      </c>
      <c r="BT215" s="516">
        <f>SUMIFS(Imput[[Importe Neto]:[Importe Neto]],Imput[[C. Imp.]:[C. Imp.]],$D215,Imput[[PERIODO Imp.]:[PERIODO Imp.]],BT$9)</f>
        <v>0</v>
      </c>
      <c r="BU215" s="516">
        <f>SUMIFS(Imput[[Importe Neto]:[Importe Neto]],Imput[[C. Imp.]:[C. Imp.]],$D215,Imput[[PERIODO Imp.]:[PERIODO Imp.]],BU$9)</f>
        <v>0</v>
      </c>
      <c r="BV215" s="516">
        <f>SUMIFS(Imput[[Importe Neto]:[Importe Neto]],Imput[[C. Imp.]:[C. Imp.]],$D215,Imput[[PERIODO Imp.]:[PERIODO Imp.]],BV$9)</f>
        <v>0</v>
      </c>
      <c r="BW215" s="516">
        <f>SUMIFS(Imput[[Importe Neto]:[Importe Neto]],Imput[[C. Imp.]:[C. Imp.]],$D215,Imput[[PERIODO Imp.]:[PERIODO Imp.]],BW$9)</f>
        <v>0</v>
      </c>
      <c r="BX215" s="516">
        <f>SUMIFS(Imput[[Importe Neto]:[Importe Neto]],Imput[[C. Imp.]:[C. Imp.]],$D215,Imput[[PERIODO Imp.]:[PERIODO Imp.]],BX$9)</f>
        <v>0</v>
      </c>
      <c r="BY215" s="516">
        <f>SUMIFS(Imput[[Importe Neto]:[Importe Neto]],Imput[[C. Imp.]:[C. Imp.]],$D215,Imput[[PERIODO Imp.]:[PERIODO Imp.]],BY$9)</f>
        <v>0</v>
      </c>
      <c r="BZ215" s="516">
        <f>SUMIFS(Imput[[Importe Neto]:[Importe Neto]],Imput[[C. Imp.]:[C. Imp.]],$D215,Imput[[PERIODO Imp.]:[PERIODO Imp.]],BZ$9)</f>
        <v>0</v>
      </c>
      <c r="CA215" s="516">
        <f>SUMIFS(Imput[[Importe Neto]:[Importe Neto]],Imput[[C. Imp.]:[C. Imp.]],$D215,Imput[[PERIODO Imp.]:[PERIODO Imp.]],CA$9)</f>
        <v>0</v>
      </c>
      <c r="CB215" s="516">
        <f>SUMIFS(Imput[[Importe Neto]:[Importe Neto]],Imput[[C. Imp.]:[C. Imp.]],$D215,Imput[[PERIODO Imp.]:[PERIODO Imp.]],CB$9)</f>
        <v>0</v>
      </c>
      <c r="CC215" s="516">
        <f>SUMIFS(Imput[[Importe Neto]:[Importe Neto]],Imput[[C. Imp.]:[C. Imp.]],$D215,Imput[[PERIODO Imp.]:[PERIODO Imp.]],CC$9)</f>
        <v>0</v>
      </c>
      <c r="CD215" s="516">
        <f>SUMIFS(Imput[[Importe Neto]:[Importe Neto]],Imput[[C. Imp.]:[C. Imp.]],$D215,Imput[[PERIODO Imp.]:[PERIODO Imp.]],CD$9)</f>
        <v>0</v>
      </c>
      <c r="CE215" s="516">
        <f>SUMIFS(Imput[[Importe Neto]:[Importe Neto]],Imput[[C. Imp.]:[C. Imp.]],$D215,Imput[[PERIODO Imp.]:[PERIODO Imp.]],CE$9)</f>
        <v>0</v>
      </c>
      <c r="CF215" s="516">
        <f>SUMIFS(Imput[[Importe Neto]:[Importe Neto]],Imput[[C. Imp.]:[C. Imp.]],$D215,Imput[[PERIODO Imp.]:[PERIODO Imp.]],CF$9)</f>
        <v>0</v>
      </c>
      <c r="CG215" s="516">
        <f>SUMIFS(Imput[[Importe Neto]:[Importe Neto]],Imput[[C. Imp.]:[C. Imp.]],$D215,Imput[[PERIODO Imp.]:[PERIODO Imp.]],CG$9)</f>
        <v>0</v>
      </c>
      <c r="CH215" s="516">
        <f>SUMIFS(Imput[[Importe Neto]:[Importe Neto]],Imput[[C. Imp.]:[C. Imp.]],$D215,Imput[[PERIODO Imp.]:[PERIODO Imp.]],CH$9)</f>
        <v>0</v>
      </c>
      <c r="CI215" s="516">
        <f>SUMIFS(Imput[[Importe Neto]:[Importe Neto]],Imput[[C. Imp.]:[C. Imp.]],$D215,Imput[[PERIODO Imp.]:[PERIODO Imp.]],CI$9)</f>
        <v>0</v>
      </c>
      <c r="CJ215" s="516">
        <f>SUMIFS(Imput[[Importe Neto]:[Importe Neto]],Imput[[C. Imp.]:[C. Imp.]],$D215,Imput[[PERIODO Imp.]:[PERIODO Imp.]],CJ$9)</f>
        <v>0</v>
      </c>
      <c r="CK215" s="516">
        <f>SUMIFS(Imput[[Importe Neto]:[Importe Neto]],Imput[[C. Imp.]:[C. Imp.]],$D215,Imput[[PERIODO Imp.]:[PERIODO Imp.]],CK$9)</f>
        <v>0</v>
      </c>
      <c r="CL215" s="516">
        <f>SUMIFS(Imput[[Importe Neto]:[Importe Neto]],Imput[[C. Imp.]:[C. Imp.]],$D215,Imput[[PERIODO Imp.]:[PERIODO Imp.]],CL$9)</f>
        <v>0</v>
      </c>
      <c r="CM215" s="516">
        <f>SUMIFS(Imput[[Importe Neto]:[Importe Neto]],Imput[[C. Imp.]:[C. Imp.]],$D215,Imput[[PERIODO Imp.]:[PERIODO Imp.]],CM$9)</f>
        <v>0</v>
      </c>
      <c r="CN215" s="516">
        <f>SUMIFS(Imput[[Importe Neto]:[Importe Neto]],Imput[[C. Imp.]:[C. Imp.]],$D215,Imput[[PERIODO Imp.]:[PERIODO Imp.]],CN$9)</f>
        <v>0</v>
      </c>
      <c r="CO215" s="516">
        <f>SUMIFS(Imput[[Importe Neto]:[Importe Neto]],Imput[[C. Imp.]:[C. Imp.]],$D215,Imput[[PERIODO Imp.]:[PERIODO Imp.]],CO$9)</f>
        <v>0</v>
      </c>
      <c r="CP215" s="516">
        <f>SUMIFS(Imput[[Importe Neto]:[Importe Neto]],Imput[[C. Imp.]:[C. Imp.]],$D215,Imput[[PERIODO Imp.]:[PERIODO Imp.]],CP$9)</f>
        <v>0</v>
      </c>
      <c r="CQ215" s="516">
        <f>SUMIFS(Imput[[Importe Neto]:[Importe Neto]],Imput[[C. Imp.]:[C. Imp.]],$D215,Imput[[PERIODO Imp.]:[PERIODO Imp.]],CQ$9)</f>
        <v>0</v>
      </c>
      <c r="CR215" s="516">
        <f>SUMIFS(Imput[[Importe Neto]:[Importe Neto]],Imput[[C. Imp.]:[C. Imp.]],$D215,Imput[[PERIODO Imp.]:[PERIODO Imp.]],CR$9)</f>
        <v>0</v>
      </c>
      <c r="CS215" s="516">
        <f>SUMIFS(Imput[[Importe Neto]:[Importe Neto]],Imput[[C. Imp.]:[C. Imp.]],$D215,Imput[[PERIODO Imp.]:[PERIODO Imp.]],CS$9)</f>
        <v>0</v>
      </c>
      <c r="CT215" s="516">
        <f>SUMIFS(Imput[[Importe Neto]:[Importe Neto]],Imput[[C. Imp.]:[C. Imp.]],$D215,Imput[[PERIODO Imp.]:[PERIODO Imp.]],CT$9)</f>
        <v>0</v>
      </c>
      <c r="CU215" s="516">
        <f>SUMIFS(Imput[[Importe Neto]:[Importe Neto]],Imput[[C. Imp.]:[C. Imp.]],$D215,Imput[[PERIODO Imp.]:[PERIODO Imp.]],CU$9)</f>
        <v>0</v>
      </c>
      <c r="CV215" s="516">
        <f>SUMIFS(Imput[[Importe Neto]:[Importe Neto]],Imput[[C. Imp.]:[C. Imp.]],$D215,Imput[[PERIODO Imp.]:[PERIODO Imp.]],CV$9)</f>
        <v>0</v>
      </c>
      <c r="CW215" s="516">
        <f>SUMIFS(Imput[[Importe Neto]:[Importe Neto]],Imput[[C. Imp.]:[C. Imp.]],$D215,Imput[[PERIODO Imp.]:[PERIODO Imp.]],CW$9)</f>
        <v>0</v>
      </c>
      <c r="CX215" s="516">
        <f>SUMIFS(Imput[[Importe Neto]:[Importe Neto]],Imput[[C. Imp.]:[C. Imp.]],$D215,Imput[[PERIODO Imp.]:[PERIODO Imp.]],CX$9)</f>
        <v>0</v>
      </c>
      <c r="CY215" s="516">
        <f>SUMIFS(Imput[[Importe Neto]:[Importe Neto]],Imput[[C. Imp.]:[C. Imp.]],$D215,Imput[[PERIODO Imp.]:[PERIODO Imp.]],CY$9)</f>
        <v>0</v>
      </c>
      <c r="CZ215" s="516">
        <f>SUMIFS(Imput[[Importe Neto]:[Importe Neto]],Imput[[C. Imp.]:[C. Imp.]],$D215,Imput[[PERIODO Imp.]:[PERIODO Imp.]],CZ$9)</f>
        <v>0</v>
      </c>
      <c r="DA215" s="516">
        <f>SUMIFS(Imput[[Importe Neto]:[Importe Neto]],Imput[[C. Imp.]:[C. Imp.]],$D215,Imput[[PERIODO Imp.]:[PERIODO Imp.]],DA$9)</f>
        <v>0</v>
      </c>
      <c r="DB215" s="516">
        <f>SUMIFS(Imput[[Importe Neto]:[Importe Neto]],Imput[[C. Imp.]:[C. Imp.]],$D215,Imput[[PERIODO Imp.]:[PERIODO Imp.]],DB$9)</f>
        <v>0</v>
      </c>
      <c r="DC215" s="516">
        <f>SUMIFS(Imput[[Importe Neto]:[Importe Neto]],Imput[[C. Imp.]:[C. Imp.]],$D215,Imput[[PERIODO Imp.]:[PERIODO Imp.]],DC$9)</f>
        <v>0</v>
      </c>
      <c r="DD215" s="516">
        <f>SUMIFS(Imput[[Importe Neto]:[Importe Neto]],Imput[[C. Imp.]:[C. Imp.]],$D215,Imput[[PERIODO Imp.]:[PERIODO Imp.]],DD$9)</f>
        <v>0</v>
      </c>
      <c r="DE215" s="516">
        <f>SUMIFS(Imput[[Importe Neto]:[Importe Neto]],Imput[[C. Imp.]:[C. Imp.]],$D215,Imput[[PERIODO Imp.]:[PERIODO Imp.]],DE$9)</f>
        <v>0</v>
      </c>
      <c r="DF215" s="516">
        <f>SUMIFS(Imput[[Importe Neto]:[Importe Neto]],Imput[[C. Imp.]:[C. Imp.]],$D215,Imput[[PERIODO Imp.]:[PERIODO Imp.]],DF$9)</f>
        <v>0</v>
      </c>
      <c r="DG215" s="516">
        <f>SUMIFS(Imput[[Importe Neto]:[Importe Neto]],Imput[[C. Imp.]:[C. Imp.]],$D215,Imput[[PERIODO Imp.]:[PERIODO Imp.]],DG$9)</f>
        <v>0</v>
      </c>
      <c r="DH215" s="616">
        <f>SUMIFS(Imput[[Importe Neto]:[Importe Neto]],Imput[[C. Imp.]:[C. Imp.]],$D215,Imput[[PERIODO Imp.]:[PERIODO Imp.]],DH$9)</f>
        <v>0</v>
      </c>
    </row>
    <row r="216" spans="1:112" ht="14.4" hidden="1" outlineLevel="1" thickBot="1" x14ac:dyDescent="0.35">
      <c r="A216" s="66" t="str">
        <f t="shared" si="98"/>
        <v/>
      </c>
      <c r="C216" s="527"/>
      <c r="D216" s="528" t="s">
        <v>2312</v>
      </c>
      <c r="E216" s="528"/>
      <c r="F216" s="534"/>
      <c r="G216" s="529"/>
      <c r="H216" s="531"/>
      <c r="I216" s="849" t="str">
        <f t="shared" si="99"/>
        <v/>
      </c>
      <c r="J216" s="517" t="str">
        <f t="shared" si="100"/>
        <v/>
      </c>
      <c r="K216" s="70"/>
      <c r="L216" s="853"/>
      <c r="M216" s="855"/>
      <c r="N216" s="855"/>
      <c r="O216" s="855"/>
      <c r="P216" s="855"/>
      <c r="Q216" s="855"/>
      <c r="R216" s="855"/>
      <c r="S216" s="855"/>
      <c r="T216" s="855"/>
      <c r="U216" s="855"/>
      <c r="V216" s="855"/>
      <c r="W216" s="855"/>
      <c r="X216" s="855"/>
      <c r="Y216" s="855"/>
      <c r="Z216" s="856"/>
      <c r="AA216" s="856"/>
      <c r="AB216" s="856"/>
      <c r="AC216" s="856"/>
      <c r="AD216" s="856"/>
      <c r="AE216" s="856"/>
      <c r="AF216" s="856"/>
      <c r="AG216" s="856"/>
      <c r="AH216" s="856"/>
      <c r="AI216" s="856"/>
      <c r="AJ216" s="856"/>
      <c r="AK216" s="856"/>
      <c r="AL216" s="856"/>
      <c r="AM216" s="856"/>
      <c r="AN216" s="856"/>
      <c r="AO216" s="856"/>
      <c r="AP216" s="856"/>
      <c r="AQ216" s="856"/>
      <c r="AR216" s="856"/>
      <c r="AS216" s="856"/>
      <c r="AT216" s="856"/>
      <c r="AU216" s="856"/>
      <c r="AV216" s="856"/>
      <c r="AW216" s="856"/>
      <c r="AX216" s="856"/>
      <c r="AY216" s="856"/>
      <c r="AZ216" s="856"/>
      <c r="BA216" s="856"/>
      <c r="BB216" s="856"/>
      <c r="BC216" s="856"/>
      <c r="BD216" s="856"/>
      <c r="BE216" s="856"/>
      <c r="BF216" s="856"/>
      <c r="BG216" s="857"/>
      <c r="BH216" s="590"/>
      <c r="BI216" s="68"/>
      <c r="BJ216" s="518">
        <f t="shared" si="101"/>
        <v>0</v>
      </c>
      <c r="BK216" s="517">
        <f t="shared" si="102"/>
        <v>0</v>
      </c>
      <c r="BL216" s="68"/>
      <c r="BM216" s="515">
        <f>SUMIFS(Imput[[Importe Neto]:[Importe Neto]],Imput[[C. Imp.]:[C. Imp.]],$D216,Imput[[PERIODO Imp.]:[PERIODO Imp.]],BM$9)</f>
        <v>0</v>
      </c>
      <c r="BN216" s="516">
        <f>SUMIFS(Imput[[Importe Neto]:[Importe Neto]],Imput[[C. Imp.]:[C. Imp.]],$D216,Imput[[PERIODO Imp.]:[PERIODO Imp.]],BN$9)</f>
        <v>0</v>
      </c>
      <c r="BO216" s="516">
        <f>SUMIFS(Imput[[Importe Neto]:[Importe Neto]],Imput[[C. Imp.]:[C. Imp.]],$D216,Imput[[PERIODO Imp.]:[PERIODO Imp.]],BO$9)</f>
        <v>0</v>
      </c>
      <c r="BP216" s="516">
        <f>SUMIFS(Imput[[Importe Neto]:[Importe Neto]],Imput[[C. Imp.]:[C. Imp.]],$D216,Imput[[PERIODO Imp.]:[PERIODO Imp.]],BP$9)</f>
        <v>0</v>
      </c>
      <c r="BQ216" s="516">
        <f>SUMIFS(Imput[[Importe Neto]:[Importe Neto]],Imput[[C. Imp.]:[C. Imp.]],$D216,Imput[[PERIODO Imp.]:[PERIODO Imp.]],BQ$9)</f>
        <v>0</v>
      </c>
      <c r="BR216" s="516">
        <f>SUMIFS(Imput[[Importe Neto]:[Importe Neto]],Imput[[C. Imp.]:[C. Imp.]],$D216,Imput[[PERIODO Imp.]:[PERIODO Imp.]],BR$9)</f>
        <v>0</v>
      </c>
      <c r="BS216" s="516">
        <f>SUMIFS(Imput[[Importe Neto]:[Importe Neto]],Imput[[C. Imp.]:[C. Imp.]],$D216,Imput[[PERIODO Imp.]:[PERIODO Imp.]],BS$9)</f>
        <v>0</v>
      </c>
      <c r="BT216" s="516">
        <f>SUMIFS(Imput[[Importe Neto]:[Importe Neto]],Imput[[C. Imp.]:[C. Imp.]],$D216,Imput[[PERIODO Imp.]:[PERIODO Imp.]],BT$9)</f>
        <v>0</v>
      </c>
      <c r="BU216" s="516">
        <f>SUMIFS(Imput[[Importe Neto]:[Importe Neto]],Imput[[C. Imp.]:[C. Imp.]],$D216,Imput[[PERIODO Imp.]:[PERIODO Imp.]],BU$9)</f>
        <v>0</v>
      </c>
      <c r="BV216" s="516">
        <f>SUMIFS(Imput[[Importe Neto]:[Importe Neto]],Imput[[C. Imp.]:[C. Imp.]],$D216,Imput[[PERIODO Imp.]:[PERIODO Imp.]],BV$9)</f>
        <v>0</v>
      </c>
      <c r="BW216" s="516">
        <f>SUMIFS(Imput[[Importe Neto]:[Importe Neto]],Imput[[C. Imp.]:[C. Imp.]],$D216,Imput[[PERIODO Imp.]:[PERIODO Imp.]],BW$9)</f>
        <v>0</v>
      </c>
      <c r="BX216" s="516">
        <f>SUMIFS(Imput[[Importe Neto]:[Importe Neto]],Imput[[C. Imp.]:[C. Imp.]],$D216,Imput[[PERIODO Imp.]:[PERIODO Imp.]],BX$9)</f>
        <v>0</v>
      </c>
      <c r="BY216" s="516">
        <f>SUMIFS(Imput[[Importe Neto]:[Importe Neto]],Imput[[C. Imp.]:[C. Imp.]],$D216,Imput[[PERIODO Imp.]:[PERIODO Imp.]],BY$9)</f>
        <v>0</v>
      </c>
      <c r="BZ216" s="516">
        <f>SUMIFS(Imput[[Importe Neto]:[Importe Neto]],Imput[[C. Imp.]:[C. Imp.]],$D216,Imput[[PERIODO Imp.]:[PERIODO Imp.]],BZ$9)</f>
        <v>0</v>
      </c>
      <c r="CA216" s="516">
        <f>SUMIFS(Imput[[Importe Neto]:[Importe Neto]],Imput[[C. Imp.]:[C. Imp.]],$D216,Imput[[PERIODO Imp.]:[PERIODO Imp.]],CA$9)</f>
        <v>0</v>
      </c>
      <c r="CB216" s="516">
        <f>SUMIFS(Imput[[Importe Neto]:[Importe Neto]],Imput[[C. Imp.]:[C. Imp.]],$D216,Imput[[PERIODO Imp.]:[PERIODO Imp.]],CB$9)</f>
        <v>0</v>
      </c>
      <c r="CC216" s="516">
        <f>SUMIFS(Imput[[Importe Neto]:[Importe Neto]],Imput[[C. Imp.]:[C. Imp.]],$D216,Imput[[PERIODO Imp.]:[PERIODO Imp.]],CC$9)</f>
        <v>0</v>
      </c>
      <c r="CD216" s="516">
        <f>SUMIFS(Imput[[Importe Neto]:[Importe Neto]],Imput[[C. Imp.]:[C. Imp.]],$D216,Imput[[PERIODO Imp.]:[PERIODO Imp.]],CD$9)</f>
        <v>0</v>
      </c>
      <c r="CE216" s="516">
        <f>SUMIFS(Imput[[Importe Neto]:[Importe Neto]],Imput[[C. Imp.]:[C. Imp.]],$D216,Imput[[PERIODO Imp.]:[PERIODO Imp.]],CE$9)</f>
        <v>0</v>
      </c>
      <c r="CF216" s="516">
        <f>SUMIFS(Imput[[Importe Neto]:[Importe Neto]],Imput[[C. Imp.]:[C. Imp.]],$D216,Imput[[PERIODO Imp.]:[PERIODO Imp.]],CF$9)</f>
        <v>0</v>
      </c>
      <c r="CG216" s="516">
        <f>SUMIFS(Imput[[Importe Neto]:[Importe Neto]],Imput[[C. Imp.]:[C. Imp.]],$D216,Imput[[PERIODO Imp.]:[PERIODO Imp.]],CG$9)</f>
        <v>0</v>
      </c>
      <c r="CH216" s="516">
        <f>SUMIFS(Imput[[Importe Neto]:[Importe Neto]],Imput[[C. Imp.]:[C. Imp.]],$D216,Imput[[PERIODO Imp.]:[PERIODO Imp.]],CH$9)</f>
        <v>0</v>
      </c>
      <c r="CI216" s="516">
        <f>SUMIFS(Imput[[Importe Neto]:[Importe Neto]],Imput[[C. Imp.]:[C. Imp.]],$D216,Imput[[PERIODO Imp.]:[PERIODO Imp.]],CI$9)</f>
        <v>0</v>
      </c>
      <c r="CJ216" s="516">
        <f>SUMIFS(Imput[[Importe Neto]:[Importe Neto]],Imput[[C. Imp.]:[C. Imp.]],$D216,Imput[[PERIODO Imp.]:[PERIODO Imp.]],CJ$9)</f>
        <v>0</v>
      </c>
      <c r="CK216" s="516">
        <f>SUMIFS(Imput[[Importe Neto]:[Importe Neto]],Imput[[C. Imp.]:[C. Imp.]],$D216,Imput[[PERIODO Imp.]:[PERIODO Imp.]],CK$9)</f>
        <v>0</v>
      </c>
      <c r="CL216" s="516">
        <f>SUMIFS(Imput[[Importe Neto]:[Importe Neto]],Imput[[C. Imp.]:[C. Imp.]],$D216,Imput[[PERIODO Imp.]:[PERIODO Imp.]],CL$9)</f>
        <v>0</v>
      </c>
      <c r="CM216" s="516">
        <f>SUMIFS(Imput[[Importe Neto]:[Importe Neto]],Imput[[C. Imp.]:[C. Imp.]],$D216,Imput[[PERIODO Imp.]:[PERIODO Imp.]],CM$9)</f>
        <v>0</v>
      </c>
      <c r="CN216" s="516">
        <f>SUMIFS(Imput[[Importe Neto]:[Importe Neto]],Imput[[C. Imp.]:[C. Imp.]],$D216,Imput[[PERIODO Imp.]:[PERIODO Imp.]],CN$9)</f>
        <v>0</v>
      </c>
      <c r="CO216" s="516">
        <f>SUMIFS(Imput[[Importe Neto]:[Importe Neto]],Imput[[C. Imp.]:[C. Imp.]],$D216,Imput[[PERIODO Imp.]:[PERIODO Imp.]],CO$9)</f>
        <v>0</v>
      </c>
      <c r="CP216" s="516">
        <f>SUMIFS(Imput[[Importe Neto]:[Importe Neto]],Imput[[C. Imp.]:[C. Imp.]],$D216,Imput[[PERIODO Imp.]:[PERIODO Imp.]],CP$9)</f>
        <v>0</v>
      </c>
      <c r="CQ216" s="516">
        <f>SUMIFS(Imput[[Importe Neto]:[Importe Neto]],Imput[[C. Imp.]:[C. Imp.]],$D216,Imput[[PERIODO Imp.]:[PERIODO Imp.]],CQ$9)</f>
        <v>0</v>
      </c>
      <c r="CR216" s="516">
        <f>SUMIFS(Imput[[Importe Neto]:[Importe Neto]],Imput[[C. Imp.]:[C. Imp.]],$D216,Imput[[PERIODO Imp.]:[PERIODO Imp.]],CR$9)</f>
        <v>0</v>
      </c>
      <c r="CS216" s="516">
        <f>SUMIFS(Imput[[Importe Neto]:[Importe Neto]],Imput[[C. Imp.]:[C. Imp.]],$D216,Imput[[PERIODO Imp.]:[PERIODO Imp.]],CS$9)</f>
        <v>0</v>
      </c>
      <c r="CT216" s="516">
        <f>SUMIFS(Imput[[Importe Neto]:[Importe Neto]],Imput[[C. Imp.]:[C. Imp.]],$D216,Imput[[PERIODO Imp.]:[PERIODO Imp.]],CT$9)</f>
        <v>0</v>
      </c>
      <c r="CU216" s="516">
        <f>SUMIFS(Imput[[Importe Neto]:[Importe Neto]],Imput[[C. Imp.]:[C. Imp.]],$D216,Imput[[PERIODO Imp.]:[PERIODO Imp.]],CU$9)</f>
        <v>0</v>
      </c>
      <c r="CV216" s="516">
        <f>SUMIFS(Imput[[Importe Neto]:[Importe Neto]],Imput[[C. Imp.]:[C. Imp.]],$D216,Imput[[PERIODO Imp.]:[PERIODO Imp.]],CV$9)</f>
        <v>0</v>
      </c>
      <c r="CW216" s="516">
        <f>SUMIFS(Imput[[Importe Neto]:[Importe Neto]],Imput[[C. Imp.]:[C. Imp.]],$D216,Imput[[PERIODO Imp.]:[PERIODO Imp.]],CW$9)</f>
        <v>0</v>
      </c>
      <c r="CX216" s="516">
        <f>SUMIFS(Imput[[Importe Neto]:[Importe Neto]],Imput[[C. Imp.]:[C. Imp.]],$D216,Imput[[PERIODO Imp.]:[PERIODO Imp.]],CX$9)</f>
        <v>0</v>
      </c>
      <c r="CY216" s="516">
        <f>SUMIFS(Imput[[Importe Neto]:[Importe Neto]],Imput[[C. Imp.]:[C. Imp.]],$D216,Imput[[PERIODO Imp.]:[PERIODO Imp.]],CY$9)</f>
        <v>0</v>
      </c>
      <c r="CZ216" s="516">
        <f>SUMIFS(Imput[[Importe Neto]:[Importe Neto]],Imput[[C. Imp.]:[C. Imp.]],$D216,Imput[[PERIODO Imp.]:[PERIODO Imp.]],CZ$9)</f>
        <v>0</v>
      </c>
      <c r="DA216" s="516">
        <f>SUMIFS(Imput[[Importe Neto]:[Importe Neto]],Imput[[C. Imp.]:[C. Imp.]],$D216,Imput[[PERIODO Imp.]:[PERIODO Imp.]],DA$9)</f>
        <v>0</v>
      </c>
      <c r="DB216" s="516">
        <f>SUMIFS(Imput[[Importe Neto]:[Importe Neto]],Imput[[C. Imp.]:[C. Imp.]],$D216,Imput[[PERIODO Imp.]:[PERIODO Imp.]],DB$9)</f>
        <v>0</v>
      </c>
      <c r="DC216" s="516">
        <f>SUMIFS(Imput[[Importe Neto]:[Importe Neto]],Imput[[C. Imp.]:[C. Imp.]],$D216,Imput[[PERIODO Imp.]:[PERIODO Imp.]],DC$9)</f>
        <v>0</v>
      </c>
      <c r="DD216" s="516">
        <f>SUMIFS(Imput[[Importe Neto]:[Importe Neto]],Imput[[C. Imp.]:[C. Imp.]],$D216,Imput[[PERIODO Imp.]:[PERIODO Imp.]],DD$9)</f>
        <v>0</v>
      </c>
      <c r="DE216" s="516">
        <f>SUMIFS(Imput[[Importe Neto]:[Importe Neto]],Imput[[C. Imp.]:[C. Imp.]],$D216,Imput[[PERIODO Imp.]:[PERIODO Imp.]],DE$9)</f>
        <v>0</v>
      </c>
      <c r="DF216" s="516">
        <f>SUMIFS(Imput[[Importe Neto]:[Importe Neto]],Imput[[C. Imp.]:[C. Imp.]],$D216,Imput[[PERIODO Imp.]:[PERIODO Imp.]],DF$9)</f>
        <v>0</v>
      </c>
      <c r="DG216" s="516">
        <f>SUMIFS(Imput[[Importe Neto]:[Importe Neto]],Imput[[C. Imp.]:[C. Imp.]],$D216,Imput[[PERIODO Imp.]:[PERIODO Imp.]],DG$9)</f>
        <v>0</v>
      </c>
      <c r="DH216" s="616">
        <f>SUMIFS(Imput[[Importe Neto]:[Importe Neto]],Imput[[C. Imp.]:[C. Imp.]],$D216,Imput[[PERIODO Imp.]:[PERIODO Imp.]],DH$9)</f>
        <v>0</v>
      </c>
    </row>
    <row r="217" spans="1:112" ht="14.4" hidden="1" outlineLevel="1" thickBot="1" x14ac:dyDescent="0.35">
      <c r="A217" s="66" t="str">
        <f t="shared" si="98"/>
        <v/>
      </c>
      <c r="C217" s="527"/>
      <c r="D217" s="528" t="s">
        <v>2313</v>
      </c>
      <c r="E217" s="528"/>
      <c r="F217" s="534"/>
      <c r="G217" s="529"/>
      <c r="H217" s="531"/>
      <c r="I217" s="849" t="str">
        <f t="shared" si="99"/>
        <v/>
      </c>
      <c r="J217" s="517" t="str">
        <f t="shared" si="100"/>
        <v/>
      </c>
      <c r="K217" s="70"/>
      <c r="L217" s="853"/>
      <c r="M217" s="855"/>
      <c r="N217" s="855"/>
      <c r="O217" s="855"/>
      <c r="P217" s="855"/>
      <c r="Q217" s="855"/>
      <c r="R217" s="855"/>
      <c r="S217" s="855"/>
      <c r="T217" s="855"/>
      <c r="U217" s="855"/>
      <c r="V217" s="855"/>
      <c r="W217" s="855"/>
      <c r="X217" s="855"/>
      <c r="Y217" s="855"/>
      <c r="Z217" s="856"/>
      <c r="AA217" s="856"/>
      <c r="AB217" s="856"/>
      <c r="AC217" s="856"/>
      <c r="AD217" s="856"/>
      <c r="AE217" s="856"/>
      <c r="AF217" s="856"/>
      <c r="AG217" s="856"/>
      <c r="AH217" s="856"/>
      <c r="AI217" s="856"/>
      <c r="AJ217" s="856"/>
      <c r="AK217" s="856"/>
      <c r="AL217" s="856"/>
      <c r="AM217" s="856"/>
      <c r="AN217" s="856"/>
      <c r="AO217" s="856"/>
      <c r="AP217" s="856"/>
      <c r="AQ217" s="856"/>
      <c r="AR217" s="856"/>
      <c r="AS217" s="856"/>
      <c r="AT217" s="856"/>
      <c r="AU217" s="856"/>
      <c r="AV217" s="856"/>
      <c r="AW217" s="856"/>
      <c r="AX217" s="856"/>
      <c r="AY217" s="856"/>
      <c r="AZ217" s="856"/>
      <c r="BA217" s="856"/>
      <c r="BB217" s="856"/>
      <c r="BC217" s="856"/>
      <c r="BD217" s="856"/>
      <c r="BE217" s="856"/>
      <c r="BF217" s="856"/>
      <c r="BG217" s="857"/>
      <c r="BH217" s="590"/>
      <c r="BI217" s="68"/>
      <c r="BJ217" s="518">
        <f t="shared" si="101"/>
        <v>0</v>
      </c>
      <c r="BK217" s="517">
        <f t="shared" si="102"/>
        <v>0</v>
      </c>
      <c r="BL217" s="68"/>
      <c r="BM217" s="515">
        <f>SUMIFS(Imput[[Importe Neto]:[Importe Neto]],Imput[[C. Imp.]:[C. Imp.]],$D217,Imput[[PERIODO Imp.]:[PERIODO Imp.]],BM$9)</f>
        <v>0</v>
      </c>
      <c r="BN217" s="516">
        <f>SUMIFS(Imput[[Importe Neto]:[Importe Neto]],Imput[[C. Imp.]:[C. Imp.]],$D217,Imput[[PERIODO Imp.]:[PERIODO Imp.]],BN$9)</f>
        <v>0</v>
      </c>
      <c r="BO217" s="516">
        <f>SUMIFS(Imput[[Importe Neto]:[Importe Neto]],Imput[[C. Imp.]:[C. Imp.]],$D217,Imput[[PERIODO Imp.]:[PERIODO Imp.]],BO$9)</f>
        <v>0</v>
      </c>
      <c r="BP217" s="516">
        <f>SUMIFS(Imput[[Importe Neto]:[Importe Neto]],Imput[[C. Imp.]:[C. Imp.]],$D217,Imput[[PERIODO Imp.]:[PERIODO Imp.]],BP$9)</f>
        <v>0</v>
      </c>
      <c r="BQ217" s="516">
        <f>SUMIFS(Imput[[Importe Neto]:[Importe Neto]],Imput[[C. Imp.]:[C. Imp.]],$D217,Imput[[PERIODO Imp.]:[PERIODO Imp.]],BQ$9)</f>
        <v>0</v>
      </c>
      <c r="BR217" s="516">
        <f>SUMIFS(Imput[[Importe Neto]:[Importe Neto]],Imput[[C. Imp.]:[C. Imp.]],$D217,Imput[[PERIODO Imp.]:[PERIODO Imp.]],BR$9)</f>
        <v>0</v>
      </c>
      <c r="BS217" s="516">
        <f>SUMIFS(Imput[[Importe Neto]:[Importe Neto]],Imput[[C. Imp.]:[C. Imp.]],$D217,Imput[[PERIODO Imp.]:[PERIODO Imp.]],BS$9)</f>
        <v>0</v>
      </c>
      <c r="BT217" s="516">
        <f>SUMIFS(Imput[[Importe Neto]:[Importe Neto]],Imput[[C. Imp.]:[C. Imp.]],$D217,Imput[[PERIODO Imp.]:[PERIODO Imp.]],BT$9)</f>
        <v>0</v>
      </c>
      <c r="BU217" s="516">
        <f>SUMIFS(Imput[[Importe Neto]:[Importe Neto]],Imput[[C. Imp.]:[C. Imp.]],$D217,Imput[[PERIODO Imp.]:[PERIODO Imp.]],BU$9)</f>
        <v>0</v>
      </c>
      <c r="BV217" s="516">
        <f>SUMIFS(Imput[[Importe Neto]:[Importe Neto]],Imput[[C. Imp.]:[C. Imp.]],$D217,Imput[[PERIODO Imp.]:[PERIODO Imp.]],BV$9)</f>
        <v>0</v>
      </c>
      <c r="BW217" s="516">
        <f>SUMIFS(Imput[[Importe Neto]:[Importe Neto]],Imput[[C. Imp.]:[C. Imp.]],$D217,Imput[[PERIODO Imp.]:[PERIODO Imp.]],BW$9)</f>
        <v>0</v>
      </c>
      <c r="BX217" s="516">
        <f>SUMIFS(Imput[[Importe Neto]:[Importe Neto]],Imput[[C. Imp.]:[C. Imp.]],$D217,Imput[[PERIODO Imp.]:[PERIODO Imp.]],BX$9)</f>
        <v>0</v>
      </c>
      <c r="BY217" s="516">
        <f>SUMIFS(Imput[[Importe Neto]:[Importe Neto]],Imput[[C. Imp.]:[C. Imp.]],$D217,Imput[[PERIODO Imp.]:[PERIODO Imp.]],BY$9)</f>
        <v>0</v>
      </c>
      <c r="BZ217" s="516">
        <f>SUMIFS(Imput[[Importe Neto]:[Importe Neto]],Imput[[C. Imp.]:[C. Imp.]],$D217,Imput[[PERIODO Imp.]:[PERIODO Imp.]],BZ$9)</f>
        <v>0</v>
      </c>
      <c r="CA217" s="516">
        <f>SUMIFS(Imput[[Importe Neto]:[Importe Neto]],Imput[[C. Imp.]:[C. Imp.]],$D217,Imput[[PERIODO Imp.]:[PERIODO Imp.]],CA$9)</f>
        <v>0</v>
      </c>
      <c r="CB217" s="516">
        <f>SUMIFS(Imput[[Importe Neto]:[Importe Neto]],Imput[[C. Imp.]:[C. Imp.]],$D217,Imput[[PERIODO Imp.]:[PERIODO Imp.]],CB$9)</f>
        <v>0</v>
      </c>
      <c r="CC217" s="516">
        <f>SUMIFS(Imput[[Importe Neto]:[Importe Neto]],Imput[[C. Imp.]:[C. Imp.]],$D217,Imput[[PERIODO Imp.]:[PERIODO Imp.]],CC$9)</f>
        <v>0</v>
      </c>
      <c r="CD217" s="516">
        <f>SUMIFS(Imput[[Importe Neto]:[Importe Neto]],Imput[[C. Imp.]:[C. Imp.]],$D217,Imput[[PERIODO Imp.]:[PERIODO Imp.]],CD$9)</f>
        <v>0</v>
      </c>
      <c r="CE217" s="516">
        <f>SUMIFS(Imput[[Importe Neto]:[Importe Neto]],Imput[[C. Imp.]:[C. Imp.]],$D217,Imput[[PERIODO Imp.]:[PERIODO Imp.]],CE$9)</f>
        <v>0</v>
      </c>
      <c r="CF217" s="516">
        <f>SUMIFS(Imput[[Importe Neto]:[Importe Neto]],Imput[[C. Imp.]:[C. Imp.]],$D217,Imput[[PERIODO Imp.]:[PERIODO Imp.]],CF$9)</f>
        <v>0</v>
      </c>
      <c r="CG217" s="516">
        <f>SUMIFS(Imput[[Importe Neto]:[Importe Neto]],Imput[[C. Imp.]:[C. Imp.]],$D217,Imput[[PERIODO Imp.]:[PERIODO Imp.]],CG$9)</f>
        <v>0</v>
      </c>
      <c r="CH217" s="516">
        <f>SUMIFS(Imput[[Importe Neto]:[Importe Neto]],Imput[[C. Imp.]:[C. Imp.]],$D217,Imput[[PERIODO Imp.]:[PERIODO Imp.]],CH$9)</f>
        <v>0</v>
      </c>
      <c r="CI217" s="516">
        <f>SUMIFS(Imput[[Importe Neto]:[Importe Neto]],Imput[[C. Imp.]:[C. Imp.]],$D217,Imput[[PERIODO Imp.]:[PERIODO Imp.]],CI$9)</f>
        <v>0</v>
      </c>
      <c r="CJ217" s="516">
        <f>SUMIFS(Imput[[Importe Neto]:[Importe Neto]],Imput[[C. Imp.]:[C. Imp.]],$D217,Imput[[PERIODO Imp.]:[PERIODO Imp.]],CJ$9)</f>
        <v>0</v>
      </c>
      <c r="CK217" s="516">
        <f>SUMIFS(Imput[[Importe Neto]:[Importe Neto]],Imput[[C. Imp.]:[C. Imp.]],$D217,Imput[[PERIODO Imp.]:[PERIODO Imp.]],CK$9)</f>
        <v>0</v>
      </c>
      <c r="CL217" s="516">
        <f>SUMIFS(Imput[[Importe Neto]:[Importe Neto]],Imput[[C. Imp.]:[C. Imp.]],$D217,Imput[[PERIODO Imp.]:[PERIODO Imp.]],CL$9)</f>
        <v>0</v>
      </c>
      <c r="CM217" s="516">
        <f>SUMIFS(Imput[[Importe Neto]:[Importe Neto]],Imput[[C. Imp.]:[C. Imp.]],$D217,Imput[[PERIODO Imp.]:[PERIODO Imp.]],CM$9)</f>
        <v>0</v>
      </c>
      <c r="CN217" s="516">
        <f>SUMIFS(Imput[[Importe Neto]:[Importe Neto]],Imput[[C. Imp.]:[C. Imp.]],$D217,Imput[[PERIODO Imp.]:[PERIODO Imp.]],CN$9)</f>
        <v>0</v>
      </c>
      <c r="CO217" s="516">
        <f>SUMIFS(Imput[[Importe Neto]:[Importe Neto]],Imput[[C. Imp.]:[C. Imp.]],$D217,Imput[[PERIODO Imp.]:[PERIODO Imp.]],CO$9)</f>
        <v>0</v>
      </c>
      <c r="CP217" s="516">
        <f>SUMIFS(Imput[[Importe Neto]:[Importe Neto]],Imput[[C. Imp.]:[C. Imp.]],$D217,Imput[[PERIODO Imp.]:[PERIODO Imp.]],CP$9)</f>
        <v>0</v>
      </c>
      <c r="CQ217" s="516">
        <f>SUMIFS(Imput[[Importe Neto]:[Importe Neto]],Imput[[C. Imp.]:[C. Imp.]],$D217,Imput[[PERIODO Imp.]:[PERIODO Imp.]],CQ$9)</f>
        <v>0</v>
      </c>
      <c r="CR217" s="516">
        <f>SUMIFS(Imput[[Importe Neto]:[Importe Neto]],Imput[[C. Imp.]:[C. Imp.]],$D217,Imput[[PERIODO Imp.]:[PERIODO Imp.]],CR$9)</f>
        <v>0</v>
      </c>
      <c r="CS217" s="516">
        <f>SUMIFS(Imput[[Importe Neto]:[Importe Neto]],Imput[[C. Imp.]:[C. Imp.]],$D217,Imput[[PERIODO Imp.]:[PERIODO Imp.]],CS$9)</f>
        <v>0</v>
      </c>
      <c r="CT217" s="516">
        <f>SUMIFS(Imput[[Importe Neto]:[Importe Neto]],Imput[[C. Imp.]:[C. Imp.]],$D217,Imput[[PERIODO Imp.]:[PERIODO Imp.]],CT$9)</f>
        <v>0</v>
      </c>
      <c r="CU217" s="516">
        <f>SUMIFS(Imput[[Importe Neto]:[Importe Neto]],Imput[[C. Imp.]:[C. Imp.]],$D217,Imput[[PERIODO Imp.]:[PERIODO Imp.]],CU$9)</f>
        <v>0</v>
      </c>
      <c r="CV217" s="516">
        <f>SUMIFS(Imput[[Importe Neto]:[Importe Neto]],Imput[[C. Imp.]:[C. Imp.]],$D217,Imput[[PERIODO Imp.]:[PERIODO Imp.]],CV$9)</f>
        <v>0</v>
      </c>
      <c r="CW217" s="516">
        <f>SUMIFS(Imput[[Importe Neto]:[Importe Neto]],Imput[[C. Imp.]:[C. Imp.]],$D217,Imput[[PERIODO Imp.]:[PERIODO Imp.]],CW$9)</f>
        <v>0</v>
      </c>
      <c r="CX217" s="516">
        <f>SUMIFS(Imput[[Importe Neto]:[Importe Neto]],Imput[[C. Imp.]:[C. Imp.]],$D217,Imput[[PERIODO Imp.]:[PERIODO Imp.]],CX$9)</f>
        <v>0</v>
      </c>
      <c r="CY217" s="516">
        <f>SUMIFS(Imput[[Importe Neto]:[Importe Neto]],Imput[[C. Imp.]:[C. Imp.]],$D217,Imput[[PERIODO Imp.]:[PERIODO Imp.]],CY$9)</f>
        <v>0</v>
      </c>
      <c r="CZ217" s="516">
        <f>SUMIFS(Imput[[Importe Neto]:[Importe Neto]],Imput[[C. Imp.]:[C. Imp.]],$D217,Imput[[PERIODO Imp.]:[PERIODO Imp.]],CZ$9)</f>
        <v>0</v>
      </c>
      <c r="DA217" s="516">
        <f>SUMIFS(Imput[[Importe Neto]:[Importe Neto]],Imput[[C. Imp.]:[C. Imp.]],$D217,Imput[[PERIODO Imp.]:[PERIODO Imp.]],DA$9)</f>
        <v>0</v>
      </c>
      <c r="DB217" s="516">
        <f>SUMIFS(Imput[[Importe Neto]:[Importe Neto]],Imput[[C. Imp.]:[C. Imp.]],$D217,Imput[[PERIODO Imp.]:[PERIODO Imp.]],DB$9)</f>
        <v>0</v>
      </c>
      <c r="DC217" s="516">
        <f>SUMIFS(Imput[[Importe Neto]:[Importe Neto]],Imput[[C. Imp.]:[C. Imp.]],$D217,Imput[[PERIODO Imp.]:[PERIODO Imp.]],DC$9)</f>
        <v>0</v>
      </c>
      <c r="DD217" s="516">
        <f>SUMIFS(Imput[[Importe Neto]:[Importe Neto]],Imput[[C. Imp.]:[C. Imp.]],$D217,Imput[[PERIODO Imp.]:[PERIODO Imp.]],DD$9)</f>
        <v>0</v>
      </c>
      <c r="DE217" s="516">
        <f>SUMIFS(Imput[[Importe Neto]:[Importe Neto]],Imput[[C. Imp.]:[C. Imp.]],$D217,Imput[[PERIODO Imp.]:[PERIODO Imp.]],DE$9)</f>
        <v>0</v>
      </c>
      <c r="DF217" s="516">
        <f>SUMIFS(Imput[[Importe Neto]:[Importe Neto]],Imput[[C. Imp.]:[C. Imp.]],$D217,Imput[[PERIODO Imp.]:[PERIODO Imp.]],DF$9)</f>
        <v>0</v>
      </c>
      <c r="DG217" s="516">
        <f>SUMIFS(Imput[[Importe Neto]:[Importe Neto]],Imput[[C. Imp.]:[C. Imp.]],$D217,Imput[[PERIODO Imp.]:[PERIODO Imp.]],DG$9)</f>
        <v>0</v>
      </c>
      <c r="DH217" s="616">
        <f>SUMIFS(Imput[[Importe Neto]:[Importe Neto]],Imput[[C. Imp.]:[C. Imp.]],$D217,Imput[[PERIODO Imp.]:[PERIODO Imp.]],DH$9)</f>
        <v>0</v>
      </c>
    </row>
    <row r="218" spans="1:112" ht="14.4" hidden="1" outlineLevel="1" thickBot="1" x14ac:dyDescent="0.35">
      <c r="A218" s="66" t="str">
        <f t="shared" si="98"/>
        <v/>
      </c>
      <c r="C218" s="527"/>
      <c r="D218" s="528" t="s">
        <v>2314</v>
      </c>
      <c r="E218" s="528"/>
      <c r="F218" s="534"/>
      <c r="G218" s="529"/>
      <c r="H218" s="531"/>
      <c r="I218" s="849" t="str">
        <f t="shared" si="99"/>
        <v/>
      </c>
      <c r="J218" s="517" t="str">
        <f t="shared" si="100"/>
        <v/>
      </c>
      <c r="K218" s="70"/>
      <c r="L218" s="853"/>
      <c r="M218" s="855"/>
      <c r="N218" s="855"/>
      <c r="O218" s="855"/>
      <c r="P218" s="855"/>
      <c r="Q218" s="855"/>
      <c r="R218" s="855"/>
      <c r="S218" s="855"/>
      <c r="T218" s="855"/>
      <c r="U218" s="855"/>
      <c r="V218" s="855"/>
      <c r="W218" s="855"/>
      <c r="X218" s="855"/>
      <c r="Y218" s="855"/>
      <c r="Z218" s="856"/>
      <c r="AA218" s="856"/>
      <c r="AB218" s="856"/>
      <c r="AC218" s="856"/>
      <c r="AD218" s="856"/>
      <c r="AE218" s="856"/>
      <c r="AF218" s="856"/>
      <c r="AG218" s="856"/>
      <c r="AH218" s="856"/>
      <c r="AI218" s="856"/>
      <c r="AJ218" s="856"/>
      <c r="AK218" s="856"/>
      <c r="AL218" s="856"/>
      <c r="AM218" s="856"/>
      <c r="AN218" s="856"/>
      <c r="AO218" s="856"/>
      <c r="AP218" s="856"/>
      <c r="AQ218" s="856"/>
      <c r="AR218" s="856"/>
      <c r="AS218" s="856"/>
      <c r="AT218" s="856"/>
      <c r="AU218" s="856"/>
      <c r="AV218" s="856"/>
      <c r="AW218" s="856"/>
      <c r="AX218" s="856"/>
      <c r="AY218" s="856"/>
      <c r="AZ218" s="856"/>
      <c r="BA218" s="856"/>
      <c r="BB218" s="856"/>
      <c r="BC218" s="856"/>
      <c r="BD218" s="856"/>
      <c r="BE218" s="856"/>
      <c r="BF218" s="856"/>
      <c r="BG218" s="857"/>
      <c r="BH218" s="590"/>
      <c r="BI218" s="68"/>
      <c r="BJ218" s="518">
        <f t="shared" si="101"/>
        <v>0</v>
      </c>
      <c r="BK218" s="517">
        <f t="shared" si="102"/>
        <v>0</v>
      </c>
      <c r="BL218" s="68"/>
      <c r="BM218" s="515">
        <f>SUMIFS(Imput[[Importe Neto]:[Importe Neto]],Imput[[C. Imp.]:[C. Imp.]],$D218,Imput[[PERIODO Imp.]:[PERIODO Imp.]],BM$9)</f>
        <v>0</v>
      </c>
      <c r="BN218" s="516">
        <f>SUMIFS(Imput[[Importe Neto]:[Importe Neto]],Imput[[C. Imp.]:[C. Imp.]],$D218,Imput[[PERIODO Imp.]:[PERIODO Imp.]],BN$9)</f>
        <v>0</v>
      </c>
      <c r="BO218" s="516">
        <f>SUMIFS(Imput[[Importe Neto]:[Importe Neto]],Imput[[C. Imp.]:[C. Imp.]],$D218,Imput[[PERIODO Imp.]:[PERIODO Imp.]],BO$9)</f>
        <v>0</v>
      </c>
      <c r="BP218" s="516">
        <f>SUMIFS(Imput[[Importe Neto]:[Importe Neto]],Imput[[C. Imp.]:[C. Imp.]],$D218,Imput[[PERIODO Imp.]:[PERIODO Imp.]],BP$9)</f>
        <v>0</v>
      </c>
      <c r="BQ218" s="516">
        <f>SUMIFS(Imput[[Importe Neto]:[Importe Neto]],Imput[[C. Imp.]:[C. Imp.]],$D218,Imput[[PERIODO Imp.]:[PERIODO Imp.]],BQ$9)</f>
        <v>0</v>
      </c>
      <c r="BR218" s="516">
        <f>SUMIFS(Imput[[Importe Neto]:[Importe Neto]],Imput[[C. Imp.]:[C. Imp.]],$D218,Imput[[PERIODO Imp.]:[PERIODO Imp.]],BR$9)</f>
        <v>0</v>
      </c>
      <c r="BS218" s="516">
        <f>SUMIFS(Imput[[Importe Neto]:[Importe Neto]],Imput[[C. Imp.]:[C. Imp.]],$D218,Imput[[PERIODO Imp.]:[PERIODO Imp.]],BS$9)</f>
        <v>0</v>
      </c>
      <c r="BT218" s="516">
        <f>SUMIFS(Imput[[Importe Neto]:[Importe Neto]],Imput[[C. Imp.]:[C. Imp.]],$D218,Imput[[PERIODO Imp.]:[PERIODO Imp.]],BT$9)</f>
        <v>0</v>
      </c>
      <c r="BU218" s="516">
        <f>SUMIFS(Imput[[Importe Neto]:[Importe Neto]],Imput[[C. Imp.]:[C. Imp.]],$D218,Imput[[PERIODO Imp.]:[PERIODO Imp.]],BU$9)</f>
        <v>0</v>
      </c>
      <c r="BV218" s="516">
        <f>SUMIFS(Imput[[Importe Neto]:[Importe Neto]],Imput[[C. Imp.]:[C. Imp.]],$D218,Imput[[PERIODO Imp.]:[PERIODO Imp.]],BV$9)</f>
        <v>0</v>
      </c>
      <c r="BW218" s="516">
        <f>SUMIFS(Imput[[Importe Neto]:[Importe Neto]],Imput[[C. Imp.]:[C. Imp.]],$D218,Imput[[PERIODO Imp.]:[PERIODO Imp.]],BW$9)</f>
        <v>0</v>
      </c>
      <c r="BX218" s="516">
        <f>SUMIFS(Imput[[Importe Neto]:[Importe Neto]],Imput[[C. Imp.]:[C. Imp.]],$D218,Imput[[PERIODO Imp.]:[PERIODO Imp.]],BX$9)</f>
        <v>0</v>
      </c>
      <c r="BY218" s="516">
        <f>SUMIFS(Imput[[Importe Neto]:[Importe Neto]],Imput[[C. Imp.]:[C. Imp.]],$D218,Imput[[PERIODO Imp.]:[PERIODO Imp.]],BY$9)</f>
        <v>0</v>
      </c>
      <c r="BZ218" s="516">
        <f>SUMIFS(Imput[[Importe Neto]:[Importe Neto]],Imput[[C. Imp.]:[C. Imp.]],$D218,Imput[[PERIODO Imp.]:[PERIODO Imp.]],BZ$9)</f>
        <v>0</v>
      </c>
      <c r="CA218" s="516">
        <f>SUMIFS(Imput[[Importe Neto]:[Importe Neto]],Imput[[C. Imp.]:[C. Imp.]],$D218,Imput[[PERIODO Imp.]:[PERIODO Imp.]],CA$9)</f>
        <v>0</v>
      </c>
      <c r="CB218" s="516">
        <f>SUMIFS(Imput[[Importe Neto]:[Importe Neto]],Imput[[C. Imp.]:[C. Imp.]],$D218,Imput[[PERIODO Imp.]:[PERIODO Imp.]],CB$9)</f>
        <v>0</v>
      </c>
      <c r="CC218" s="516">
        <f>SUMIFS(Imput[[Importe Neto]:[Importe Neto]],Imput[[C. Imp.]:[C. Imp.]],$D218,Imput[[PERIODO Imp.]:[PERIODO Imp.]],CC$9)</f>
        <v>0</v>
      </c>
      <c r="CD218" s="516">
        <f>SUMIFS(Imput[[Importe Neto]:[Importe Neto]],Imput[[C. Imp.]:[C. Imp.]],$D218,Imput[[PERIODO Imp.]:[PERIODO Imp.]],CD$9)</f>
        <v>0</v>
      </c>
      <c r="CE218" s="516">
        <f>SUMIFS(Imput[[Importe Neto]:[Importe Neto]],Imput[[C. Imp.]:[C. Imp.]],$D218,Imput[[PERIODO Imp.]:[PERIODO Imp.]],CE$9)</f>
        <v>0</v>
      </c>
      <c r="CF218" s="516">
        <f>SUMIFS(Imput[[Importe Neto]:[Importe Neto]],Imput[[C. Imp.]:[C. Imp.]],$D218,Imput[[PERIODO Imp.]:[PERIODO Imp.]],CF$9)</f>
        <v>0</v>
      </c>
      <c r="CG218" s="516">
        <f>SUMIFS(Imput[[Importe Neto]:[Importe Neto]],Imput[[C. Imp.]:[C. Imp.]],$D218,Imput[[PERIODO Imp.]:[PERIODO Imp.]],CG$9)</f>
        <v>0</v>
      </c>
      <c r="CH218" s="516">
        <f>SUMIFS(Imput[[Importe Neto]:[Importe Neto]],Imput[[C. Imp.]:[C. Imp.]],$D218,Imput[[PERIODO Imp.]:[PERIODO Imp.]],CH$9)</f>
        <v>0</v>
      </c>
      <c r="CI218" s="516">
        <f>SUMIFS(Imput[[Importe Neto]:[Importe Neto]],Imput[[C. Imp.]:[C. Imp.]],$D218,Imput[[PERIODO Imp.]:[PERIODO Imp.]],CI$9)</f>
        <v>0</v>
      </c>
      <c r="CJ218" s="516">
        <f>SUMIFS(Imput[[Importe Neto]:[Importe Neto]],Imput[[C. Imp.]:[C. Imp.]],$D218,Imput[[PERIODO Imp.]:[PERIODO Imp.]],CJ$9)</f>
        <v>0</v>
      </c>
      <c r="CK218" s="516">
        <f>SUMIFS(Imput[[Importe Neto]:[Importe Neto]],Imput[[C. Imp.]:[C. Imp.]],$D218,Imput[[PERIODO Imp.]:[PERIODO Imp.]],CK$9)</f>
        <v>0</v>
      </c>
      <c r="CL218" s="516">
        <f>SUMIFS(Imput[[Importe Neto]:[Importe Neto]],Imput[[C. Imp.]:[C. Imp.]],$D218,Imput[[PERIODO Imp.]:[PERIODO Imp.]],CL$9)</f>
        <v>0</v>
      </c>
      <c r="CM218" s="516">
        <f>SUMIFS(Imput[[Importe Neto]:[Importe Neto]],Imput[[C. Imp.]:[C. Imp.]],$D218,Imput[[PERIODO Imp.]:[PERIODO Imp.]],CM$9)</f>
        <v>0</v>
      </c>
      <c r="CN218" s="516">
        <f>SUMIFS(Imput[[Importe Neto]:[Importe Neto]],Imput[[C. Imp.]:[C. Imp.]],$D218,Imput[[PERIODO Imp.]:[PERIODO Imp.]],CN$9)</f>
        <v>0</v>
      </c>
      <c r="CO218" s="516">
        <f>SUMIFS(Imput[[Importe Neto]:[Importe Neto]],Imput[[C. Imp.]:[C. Imp.]],$D218,Imput[[PERIODO Imp.]:[PERIODO Imp.]],CO$9)</f>
        <v>0</v>
      </c>
      <c r="CP218" s="516">
        <f>SUMIFS(Imput[[Importe Neto]:[Importe Neto]],Imput[[C. Imp.]:[C. Imp.]],$D218,Imput[[PERIODO Imp.]:[PERIODO Imp.]],CP$9)</f>
        <v>0</v>
      </c>
      <c r="CQ218" s="516">
        <f>SUMIFS(Imput[[Importe Neto]:[Importe Neto]],Imput[[C. Imp.]:[C. Imp.]],$D218,Imput[[PERIODO Imp.]:[PERIODO Imp.]],CQ$9)</f>
        <v>0</v>
      </c>
      <c r="CR218" s="516">
        <f>SUMIFS(Imput[[Importe Neto]:[Importe Neto]],Imput[[C. Imp.]:[C. Imp.]],$D218,Imput[[PERIODO Imp.]:[PERIODO Imp.]],CR$9)</f>
        <v>0</v>
      </c>
      <c r="CS218" s="516">
        <f>SUMIFS(Imput[[Importe Neto]:[Importe Neto]],Imput[[C. Imp.]:[C. Imp.]],$D218,Imput[[PERIODO Imp.]:[PERIODO Imp.]],CS$9)</f>
        <v>0</v>
      </c>
      <c r="CT218" s="516">
        <f>SUMIFS(Imput[[Importe Neto]:[Importe Neto]],Imput[[C. Imp.]:[C. Imp.]],$D218,Imput[[PERIODO Imp.]:[PERIODO Imp.]],CT$9)</f>
        <v>0</v>
      </c>
      <c r="CU218" s="516">
        <f>SUMIFS(Imput[[Importe Neto]:[Importe Neto]],Imput[[C. Imp.]:[C. Imp.]],$D218,Imput[[PERIODO Imp.]:[PERIODO Imp.]],CU$9)</f>
        <v>0</v>
      </c>
      <c r="CV218" s="516">
        <f>SUMIFS(Imput[[Importe Neto]:[Importe Neto]],Imput[[C. Imp.]:[C. Imp.]],$D218,Imput[[PERIODO Imp.]:[PERIODO Imp.]],CV$9)</f>
        <v>0</v>
      </c>
      <c r="CW218" s="516">
        <f>SUMIFS(Imput[[Importe Neto]:[Importe Neto]],Imput[[C. Imp.]:[C. Imp.]],$D218,Imput[[PERIODO Imp.]:[PERIODO Imp.]],CW$9)</f>
        <v>0</v>
      </c>
      <c r="CX218" s="516">
        <f>SUMIFS(Imput[[Importe Neto]:[Importe Neto]],Imput[[C. Imp.]:[C. Imp.]],$D218,Imput[[PERIODO Imp.]:[PERIODO Imp.]],CX$9)</f>
        <v>0</v>
      </c>
      <c r="CY218" s="516">
        <f>SUMIFS(Imput[[Importe Neto]:[Importe Neto]],Imput[[C. Imp.]:[C. Imp.]],$D218,Imput[[PERIODO Imp.]:[PERIODO Imp.]],CY$9)</f>
        <v>0</v>
      </c>
      <c r="CZ218" s="516">
        <f>SUMIFS(Imput[[Importe Neto]:[Importe Neto]],Imput[[C. Imp.]:[C. Imp.]],$D218,Imput[[PERIODO Imp.]:[PERIODO Imp.]],CZ$9)</f>
        <v>0</v>
      </c>
      <c r="DA218" s="516">
        <f>SUMIFS(Imput[[Importe Neto]:[Importe Neto]],Imput[[C. Imp.]:[C. Imp.]],$D218,Imput[[PERIODO Imp.]:[PERIODO Imp.]],DA$9)</f>
        <v>0</v>
      </c>
      <c r="DB218" s="516">
        <f>SUMIFS(Imput[[Importe Neto]:[Importe Neto]],Imput[[C. Imp.]:[C. Imp.]],$D218,Imput[[PERIODO Imp.]:[PERIODO Imp.]],DB$9)</f>
        <v>0</v>
      </c>
      <c r="DC218" s="516">
        <f>SUMIFS(Imput[[Importe Neto]:[Importe Neto]],Imput[[C. Imp.]:[C. Imp.]],$D218,Imput[[PERIODO Imp.]:[PERIODO Imp.]],DC$9)</f>
        <v>0</v>
      </c>
      <c r="DD218" s="516">
        <f>SUMIFS(Imput[[Importe Neto]:[Importe Neto]],Imput[[C. Imp.]:[C. Imp.]],$D218,Imput[[PERIODO Imp.]:[PERIODO Imp.]],DD$9)</f>
        <v>0</v>
      </c>
      <c r="DE218" s="516">
        <f>SUMIFS(Imput[[Importe Neto]:[Importe Neto]],Imput[[C. Imp.]:[C. Imp.]],$D218,Imput[[PERIODO Imp.]:[PERIODO Imp.]],DE$9)</f>
        <v>0</v>
      </c>
      <c r="DF218" s="516">
        <f>SUMIFS(Imput[[Importe Neto]:[Importe Neto]],Imput[[C. Imp.]:[C. Imp.]],$D218,Imput[[PERIODO Imp.]:[PERIODO Imp.]],DF$9)</f>
        <v>0</v>
      </c>
      <c r="DG218" s="516">
        <f>SUMIFS(Imput[[Importe Neto]:[Importe Neto]],Imput[[C. Imp.]:[C. Imp.]],$D218,Imput[[PERIODO Imp.]:[PERIODO Imp.]],DG$9)</f>
        <v>0</v>
      </c>
      <c r="DH218" s="616">
        <f>SUMIFS(Imput[[Importe Neto]:[Importe Neto]],Imput[[C. Imp.]:[C. Imp.]],$D218,Imput[[PERIODO Imp.]:[PERIODO Imp.]],DH$9)</f>
        <v>0</v>
      </c>
    </row>
    <row r="219" spans="1:112" ht="14.4" hidden="1" outlineLevel="1" thickBot="1" x14ac:dyDescent="0.35">
      <c r="A219" s="66" t="str">
        <f t="shared" si="98"/>
        <v/>
      </c>
      <c r="C219" s="527"/>
      <c r="D219" s="528" t="s">
        <v>2315</v>
      </c>
      <c r="E219" s="528"/>
      <c r="F219" s="534"/>
      <c r="G219" s="529"/>
      <c r="H219" s="531"/>
      <c r="I219" s="849" t="str">
        <f t="shared" si="99"/>
        <v/>
      </c>
      <c r="J219" s="517" t="str">
        <f t="shared" si="100"/>
        <v/>
      </c>
      <c r="K219" s="70"/>
      <c r="L219" s="853"/>
      <c r="M219" s="855"/>
      <c r="N219" s="855"/>
      <c r="O219" s="855"/>
      <c r="P219" s="855"/>
      <c r="Q219" s="855"/>
      <c r="R219" s="855"/>
      <c r="S219" s="855"/>
      <c r="T219" s="855"/>
      <c r="U219" s="855"/>
      <c r="V219" s="855"/>
      <c r="W219" s="855"/>
      <c r="X219" s="855"/>
      <c r="Y219" s="855"/>
      <c r="Z219" s="856"/>
      <c r="AA219" s="856"/>
      <c r="AB219" s="856"/>
      <c r="AC219" s="856"/>
      <c r="AD219" s="856"/>
      <c r="AE219" s="856"/>
      <c r="AF219" s="856"/>
      <c r="AG219" s="856"/>
      <c r="AH219" s="856"/>
      <c r="AI219" s="856"/>
      <c r="AJ219" s="856"/>
      <c r="AK219" s="856"/>
      <c r="AL219" s="856"/>
      <c r="AM219" s="856"/>
      <c r="AN219" s="856"/>
      <c r="AO219" s="856"/>
      <c r="AP219" s="856"/>
      <c r="AQ219" s="856"/>
      <c r="AR219" s="856"/>
      <c r="AS219" s="856"/>
      <c r="AT219" s="856"/>
      <c r="AU219" s="856"/>
      <c r="AV219" s="856"/>
      <c r="AW219" s="856"/>
      <c r="AX219" s="856"/>
      <c r="AY219" s="856"/>
      <c r="AZ219" s="856"/>
      <c r="BA219" s="856"/>
      <c r="BB219" s="856"/>
      <c r="BC219" s="856"/>
      <c r="BD219" s="856"/>
      <c r="BE219" s="856"/>
      <c r="BF219" s="856"/>
      <c r="BG219" s="857"/>
      <c r="BH219" s="590"/>
      <c r="BI219" s="68"/>
      <c r="BJ219" s="518">
        <f t="shared" si="101"/>
        <v>0</v>
      </c>
      <c r="BK219" s="517">
        <f t="shared" si="102"/>
        <v>0</v>
      </c>
      <c r="BL219" s="68"/>
      <c r="BM219" s="515">
        <f>SUMIFS(Imput[[Importe Neto]:[Importe Neto]],Imput[[C. Imp.]:[C. Imp.]],$D219,Imput[[PERIODO Imp.]:[PERIODO Imp.]],BM$9)</f>
        <v>0</v>
      </c>
      <c r="BN219" s="516">
        <f>SUMIFS(Imput[[Importe Neto]:[Importe Neto]],Imput[[C. Imp.]:[C. Imp.]],$D219,Imput[[PERIODO Imp.]:[PERIODO Imp.]],BN$9)</f>
        <v>0</v>
      </c>
      <c r="BO219" s="516">
        <f>SUMIFS(Imput[[Importe Neto]:[Importe Neto]],Imput[[C. Imp.]:[C. Imp.]],$D219,Imput[[PERIODO Imp.]:[PERIODO Imp.]],BO$9)</f>
        <v>0</v>
      </c>
      <c r="BP219" s="516">
        <f>SUMIFS(Imput[[Importe Neto]:[Importe Neto]],Imput[[C. Imp.]:[C. Imp.]],$D219,Imput[[PERIODO Imp.]:[PERIODO Imp.]],BP$9)</f>
        <v>0</v>
      </c>
      <c r="BQ219" s="516">
        <f>SUMIFS(Imput[[Importe Neto]:[Importe Neto]],Imput[[C. Imp.]:[C. Imp.]],$D219,Imput[[PERIODO Imp.]:[PERIODO Imp.]],BQ$9)</f>
        <v>0</v>
      </c>
      <c r="BR219" s="516">
        <f>SUMIFS(Imput[[Importe Neto]:[Importe Neto]],Imput[[C. Imp.]:[C. Imp.]],$D219,Imput[[PERIODO Imp.]:[PERIODO Imp.]],BR$9)</f>
        <v>0</v>
      </c>
      <c r="BS219" s="516">
        <f>SUMIFS(Imput[[Importe Neto]:[Importe Neto]],Imput[[C. Imp.]:[C. Imp.]],$D219,Imput[[PERIODO Imp.]:[PERIODO Imp.]],BS$9)</f>
        <v>0</v>
      </c>
      <c r="BT219" s="516">
        <f>SUMIFS(Imput[[Importe Neto]:[Importe Neto]],Imput[[C. Imp.]:[C. Imp.]],$D219,Imput[[PERIODO Imp.]:[PERIODO Imp.]],BT$9)</f>
        <v>0</v>
      </c>
      <c r="BU219" s="516">
        <f>SUMIFS(Imput[[Importe Neto]:[Importe Neto]],Imput[[C. Imp.]:[C. Imp.]],$D219,Imput[[PERIODO Imp.]:[PERIODO Imp.]],BU$9)</f>
        <v>0</v>
      </c>
      <c r="BV219" s="516">
        <f>SUMIFS(Imput[[Importe Neto]:[Importe Neto]],Imput[[C. Imp.]:[C. Imp.]],$D219,Imput[[PERIODO Imp.]:[PERIODO Imp.]],BV$9)</f>
        <v>0</v>
      </c>
      <c r="BW219" s="516">
        <f>SUMIFS(Imput[[Importe Neto]:[Importe Neto]],Imput[[C. Imp.]:[C. Imp.]],$D219,Imput[[PERIODO Imp.]:[PERIODO Imp.]],BW$9)</f>
        <v>0</v>
      </c>
      <c r="BX219" s="516">
        <f>SUMIFS(Imput[[Importe Neto]:[Importe Neto]],Imput[[C. Imp.]:[C. Imp.]],$D219,Imput[[PERIODO Imp.]:[PERIODO Imp.]],BX$9)</f>
        <v>0</v>
      </c>
      <c r="BY219" s="516">
        <f>SUMIFS(Imput[[Importe Neto]:[Importe Neto]],Imput[[C. Imp.]:[C. Imp.]],$D219,Imput[[PERIODO Imp.]:[PERIODO Imp.]],BY$9)</f>
        <v>0</v>
      </c>
      <c r="BZ219" s="516">
        <f>SUMIFS(Imput[[Importe Neto]:[Importe Neto]],Imput[[C. Imp.]:[C. Imp.]],$D219,Imput[[PERIODO Imp.]:[PERIODO Imp.]],BZ$9)</f>
        <v>0</v>
      </c>
      <c r="CA219" s="516">
        <f>SUMIFS(Imput[[Importe Neto]:[Importe Neto]],Imput[[C. Imp.]:[C. Imp.]],$D219,Imput[[PERIODO Imp.]:[PERIODO Imp.]],CA$9)</f>
        <v>0</v>
      </c>
      <c r="CB219" s="516">
        <f>SUMIFS(Imput[[Importe Neto]:[Importe Neto]],Imput[[C. Imp.]:[C. Imp.]],$D219,Imput[[PERIODO Imp.]:[PERIODO Imp.]],CB$9)</f>
        <v>0</v>
      </c>
      <c r="CC219" s="516">
        <f>SUMIFS(Imput[[Importe Neto]:[Importe Neto]],Imput[[C. Imp.]:[C. Imp.]],$D219,Imput[[PERIODO Imp.]:[PERIODO Imp.]],CC$9)</f>
        <v>0</v>
      </c>
      <c r="CD219" s="516">
        <f>SUMIFS(Imput[[Importe Neto]:[Importe Neto]],Imput[[C. Imp.]:[C. Imp.]],$D219,Imput[[PERIODO Imp.]:[PERIODO Imp.]],CD$9)</f>
        <v>0</v>
      </c>
      <c r="CE219" s="516">
        <f>SUMIFS(Imput[[Importe Neto]:[Importe Neto]],Imput[[C. Imp.]:[C. Imp.]],$D219,Imput[[PERIODO Imp.]:[PERIODO Imp.]],CE$9)</f>
        <v>0</v>
      </c>
      <c r="CF219" s="516">
        <f>SUMIFS(Imput[[Importe Neto]:[Importe Neto]],Imput[[C. Imp.]:[C. Imp.]],$D219,Imput[[PERIODO Imp.]:[PERIODO Imp.]],CF$9)</f>
        <v>0</v>
      </c>
      <c r="CG219" s="516">
        <f>SUMIFS(Imput[[Importe Neto]:[Importe Neto]],Imput[[C. Imp.]:[C. Imp.]],$D219,Imput[[PERIODO Imp.]:[PERIODO Imp.]],CG$9)</f>
        <v>0</v>
      </c>
      <c r="CH219" s="516">
        <f>SUMIFS(Imput[[Importe Neto]:[Importe Neto]],Imput[[C. Imp.]:[C. Imp.]],$D219,Imput[[PERIODO Imp.]:[PERIODO Imp.]],CH$9)</f>
        <v>0</v>
      </c>
      <c r="CI219" s="516">
        <f>SUMIFS(Imput[[Importe Neto]:[Importe Neto]],Imput[[C. Imp.]:[C. Imp.]],$D219,Imput[[PERIODO Imp.]:[PERIODO Imp.]],CI$9)</f>
        <v>0</v>
      </c>
      <c r="CJ219" s="516">
        <f>SUMIFS(Imput[[Importe Neto]:[Importe Neto]],Imput[[C. Imp.]:[C. Imp.]],$D219,Imput[[PERIODO Imp.]:[PERIODO Imp.]],CJ$9)</f>
        <v>0</v>
      </c>
      <c r="CK219" s="516">
        <f>SUMIFS(Imput[[Importe Neto]:[Importe Neto]],Imput[[C. Imp.]:[C. Imp.]],$D219,Imput[[PERIODO Imp.]:[PERIODO Imp.]],CK$9)</f>
        <v>0</v>
      </c>
      <c r="CL219" s="516">
        <f>SUMIFS(Imput[[Importe Neto]:[Importe Neto]],Imput[[C. Imp.]:[C. Imp.]],$D219,Imput[[PERIODO Imp.]:[PERIODO Imp.]],CL$9)</f>
        <v>0</v>
      </c>
      <c r="CM219" s="516">
        <f>SUMIFS(Imput[[Importe Neto]:[Importe Neto]],Imput[[C. Imp.]:[C. Imp.]],$D219,Imput[[PERIODO Imp.]:[PERIODO Imp.]],CM$9)</f>
        <v>0</v>
      </c>
      <c r="CN219" s="516">
        <f>SUMIFS(Imput[[Importe Neto]:[Importe Neto]],Imput[[C. Imp.]:[C. Imp.]],$D219,Imput[[PERIODO Imp.]:[PERIODO Imp.]],CN$9)</f>
        <v>0</v>
      </c>
      <c r="CO219" s="516">
        <f>SUMIFS(Imput[[Importe Neto]:[Importe Neto]],Imput[[C. Imp.]:[C. Imp.]],$D219,Imput[[PERIODO Imp.]:[PERIODO Imp.]],CO$9)</f>
        <v>0</v>
      </c>
      <c r="CP219" s="516">
        <f>SUMIFS(Imput[[Importe Neto]:[Importe Neto]],Imput[[C. Imp.]:[C. Imp.]],$D219,Imput[[PERIODO Imp.]:[PERIODO Imp.]],CP$9)</f>
        <v>0</v>
      </c>
      <c r="CQ219" s="516">
        <f>SUMIFS(Imput[[Importe Neto]:[Importe Neto]],Imput[[C. Imp.]:[C. Imp.]],$D219,Imput[[PERIODO Imp.]:[PERIODO Imp.]],CQ$9)</f>
        <v>0</v>
      </c>
      <c r="CR219" s="516">
        <f>SUMIFS(Imput[[Importe Neto]:[Importe Neto]],Imput[[C. Imp.]:[C. Imp.]],$D219,Imput[[PERIODO Imp.]:[PERIODO Imp.]],CR$9)</f>
        <v>0</v>
      </c>
      <c r="CS219" s="516">
        <f>SUMIFS(Imput[[Importe Neto]:[Importe Neto]],Imput[[C. Imp.]:[C. Imp.]],$D219,Imput[[PERIODO Imp.]:[PERIODO Imp.]],CS$9)</f>
        <v>0</v>
      </c>
      <c r="CT219" s="516">
        <f>SUMIFS(Imput[[Importe Neto]:[Importe Neto]],Imput[[C. Imp.]:[C. Imp.]],$D219,Imput[[PERIODO Imp.]:[PERIODO Imp.]],CT$9)</f>
        <v>0</v>
      </c>
      <c r="CU219" s="516">
        <f>SUMIFS(Imput[[Importe Neto]:[Importe Neto]],Imput[[C. Imp.]:[C. Imp.]],$D219,Imput[[PERIODO Imp.]:[PERIODO Imp.]],CU$9)</f>
        <v>0</v>
      </c>
      <c r="CV219" s="516">
        <f>SUMIFS(Imput[[Importe Neto]:[Importe Neto]],Imput[[C. Imp.]:[C. Imp.]],$D219,Imput[[PERIODO Imp.]:[PERIODO Imp.]],CV$9)</f>
        <v>0</v>
      </c>
      <c r="CW219" s="516">
        <f>SUMIFS(Imput[[Importe Neto]:[Importe Neto]],Imput[[C. Imp.]:[C. Imp.]],$D219,Imput[[PERIODO Imp.]:[PERIODO Imp.]],CW$9)</f>
        <v>0</v>
      </c>
      <c r="CX219" s="516">
        <f>SUMIFS(Imput[[Importe Neto]:[Importe Neto]],Imput[[C. Imp.]:[C. Imp.]],$D219,Imput[[PERIODO Imp.]:[PERIODO Imp.]],CX$9)</f>
        <v>0</v>
      </c>
      <c r="CY219" s="516">
        <f>SUMIFS(Imput[[Importe Neto]:[Importe Neto]],Imput[[C. Imp.]:[C. Imp.]],$D219,Imput[[PERIODO Imp.]:[PERIODO Imp.]],CY$9)</f>
        <v>0</v>
      </c>
      <c r="CZ219" s="516">
        <f>SUMIFS(Imput[[Importe Neto]:[Importe Neto]],Imput[[C. Imp.]:[C. Imp.]],$D219,Imput[[PERIODO Imp.]:[PERIODO Imp.]],CZ$9)</f>
        <v>0</v>
      </c>
      <c r="DA219" s="516">
        <f>SUMIFS(Imput[[Importe Neto]:[Importe Neto]],Imput[[C. Imp.]:[C. Imp.]],$D219,Imput[[PERIODO Imp.]:[PERIODO Imp.]],DA$9)</f>
        <v>0</v>
      </c>
      <c r="DB219" s="516">
        <f>SUMIFS(Imput[[Importe Neto]:[Importe Neto]],Imput[[C. Imp.]:[C. Imp.]],$D219,Imput[[PERIODO Imp.]:[PERIODO Imp.]],DB$9)</f>
        <v>0</v>
      </c>
      <c r="DC219" s="516">
        <f>SUMIFS(Imput[[Importe Neto]:[Importe Neto]],Imput[[C. Imp.]:[C. Imp.]],$D219,Imput[[PERIODO Imp.]:[PERIODO Imp.]],DC$9)</f>
        <v>0</v>
      </c>
      <c r="DD219" s="516">
        <f>SUMIFS(Imput[[Importe Neto]:[Importe Neto]],Imput[[C. Imp.]:[C. Imp.]],$D219,Imput[[PERIODO Imp.]:[PERIODO Imp.]],DD$9)</f>
        <v>0</v>
      </c>
      <c r="DE219" s="516">
        <f>SUMIFS(Imput[[Importe Neto]:[Importe Neto]],Imput[[C. Imp.]:[C. Imp.]],$D219,Imput[[PERIODO Imp.]:[PERIODO Imp.]],DE$9)</f>
        <v>0</v>
      </c>
      <c r="DF219" s="516">
        <f>SUMIFS(Imput[[Importe Neto]:[Importe Neto]],Imput[[C. Imp.]:[C. Imp.]],$D219,Imput[[PERIODO Imp.]:[PERIODO Imp.]],DF$9)</f>
        <v>0</v>
      </c>
      <c r="DG219" s="516">
        <f>SUMIFS(Imput[[Importe Neto]:[Importe Neto]],Imput[[C. Imp.]:[C. Imp.]],$D219,Imput[[PERIODO Imp.]:[PERIODO Imp.]],DG$9)</f>
        <v>0</v>
      </c>
      <c r="DH219" s="616">
        <f>SUMIFS(Imput[[Importe Neto]:[Importe Neto]],Imput[[C. Imp.]:[C. Imp.]],$D219,Imput[[PERIODO Imp.]:[PERIODO Imp.]],DH$9)</f>
        <v>0</v>
      </c>
    </row>
    <row r="220" spans="1:112" ht="14.4" hidden="1" outlineLevel="1" thickBot="1" x14ac:dyDescent="0.35">
      <c r="A220" s="66" t="str">
        <f t="shared" si="98"/>
        <v/>
      </c>
      <c r="C220" s="527"/>
      <c r="D220" s="528" t="s">
        <v>2316</v>
      </c>
      <c r="E220" s="528"/>
      <c r="F220" s="534"/>
      <c r="G220" s="529"/>
      <c r="H220" s="531"/>
      <c r="I220" s="849" t="str">
        <f t="shared" si="99"/>
        <v/>
      </c>
      <c r="J220" s="517" t="str">
        <f t="shared" si="100"/>
        <v/>
      </c>
      <c r="K220" s="70"/>
      <c r="L220" s="853"/>
      <c r="M220" s="855"/>
      <c r="N220" s="855"/>
      <c r="O220" s="855"/>
      <c r="P220" s="855"/>
      <c r="Q220" s="855"/>
      <c r="R220" s="855"/>
      <c r="S220" s="855"/>
      <c r="T220" s="855"/>
      <c r="U220" s="855"/>
      <c r="V220" s="855"/>
      <c r="W220" s="855"/>
      <c r="X220" s="855"/>
      <c r="Y220" s="855"/>
      <c r="Z220" s="856"/>
      <c r="AA220" s="856"/>
      <c r="AB220" s="856"/>
      <c r="AC220" s="856"/>
      <c r="AD220" s="856"/>
      <c r="AE220" s="856"/>
      <c r="AF220" s="856"/>
      <c r="AG220" s="856"/>
      <c r="AH220" s="856"/>
      <c r="AI220" s="856"/>
      <c r="AJ220" s="856"/>
      <c r="AK220" s="856"/>
      <c r="AL220" s="856"/>
      <c r="AM220" s="856"/>
      <c r="AN220" s="856"/>
      <c r="AO220" s="856"/>
      <c r="AP220" s="856"/>
      <c r="AQ220" s="856"/>
      <c r="AR220" s="856"/>
      <c r="AS220" s="856"/>
      <c r="AT220" s="856"/>
      <c r="AU220" s="856"/>
      <c r="AV220" s="856"/>
      <c r="AW220" s="856"/>
      <c r="AX220" s="856"/>
      <c r="AY220" s="856"/>
      <c r="AZ220" s="856"/>
      <c r="BA220" s="856"/>
      <c r="BB220" s="856"/>
      <c r="BC220" s="856"/>
      <c r="BD220" s="856"/>
      <c r="BE220" s="856"/>
      <c r="BF220" s="856"/>
      <c r="BG220" s="857"/>
      <c r="BH220" s="590"/>
      <c r="BI220" s="68"/>
      <c r="BJ220" s="518">
        <f t="shared" si="101"/>
        <v>0</v>
      </c>
      <c r="BK220" s="517">
        <f t="shared" si="102"/>
        <v>0</v>
      </c>
      <c r="BL220" s="68"/>
      <c r="BM220" s="515">
        <f>SUMIFS(Imput[[Importe Neto]:[Importe Neto]],Imput[[C. Imp.]:[C. Imp.]],$D220,Imput[[PERIODO Imp.]:[PERIODO Imp.]],BM$9)</f>
        <v>0</v>
      </c>
      <c r="BN220" s="516">
        <f>SUMIFS(Imput[[Importe Neto]:[Importe Neto]],Imput[[C. Imp.]:[C. Imp.]],$D220,Imput[[PERIODO Imp.]:[PERIODO Imp.]],BN$9)</f>
        <v>0</v>
      </c>
      <c r="BO220" s="516">
        <f>SUMIFS(Imput[[Importe Neto]:[Importe Neto]],Imput[[C. Imp.]:[C. Imp.]],$D220,Imput[[PERIODO Imp.]:[PERIODO Imp.]],BO$9)</f>
        <v>0</v>
      </c>
      <c r="BP220" s="516">
        <f>SUMIFS(Imput[[Importe Neto]:[Importe Neto]],Imput[[C. Imp.]:[C. Imp.]],$D220,Imput[[PERIODO Imp.]:[PERIODO Imp.]],BP$9)</f>
        <v>0</v>
      </c>
      <c r="BQ220" s="516">
        <f>SUMIFS(Imput[[Importe Neto]:[Importe Neto]],Imput[[C. Imp.]:[C. Imp.]],$D220,Imput[[PERIODO Imp.]:[PERIODO Imp.]],BQ$9)</f>
        <v>0</v>
      </c>
      <c r="BR220" s="516">
        <f>SUMIFS(Imput[[Importe Neto]:[Importe Neto]],Imput[[C. Imp.]:[C. Imp.]],$D220,Imput[[PERIODO Imp.]:[PERIODO Imp.]],BR$9)</f>
        <v>0</v>
      </c>
      <c r="BS220" s="516">
        <f>SUMIFS(Imput[[Importe Neto]:[Importe Neto]],Imput[[C. Imp.]:[C. Imp.]],$D220,Imput[[PERIODO Imp.]:[PERIODO Imp.]],BS$9)</f>
        <v>0</v>
      </c>
      <c r="BT220" s="516">
        <f>SUMIFS(Imput[[Importe Neto]:[Importe Neto]],Imput[[C. Imp.]:[C. Imp.]],$D220,Imput[[PERIODO Imp.]:[PERIODO Imp.]],BT$9)</f>
        <v>0</v>
      </c>
      <c r="BU220" s="516">
        <f>SUMIFS(Imput[[Importe Neto]:[Importe Neto]],Imput[[C. Imp.]:[C. Imp.]],$D220,Imput[[PERIODO Imp.]:[PERIODO Imp.]],BU$9)</f>
        <v>0</v>
      </c>
      <c r="BV220" s="516">
        <f>SUMIFS(Imput[[Importe Neto]:[Importe Neto]],Imput[[C. Imp.]:[C. Imp.]],$D220,Imput[[PERIODO Imp.]:[PERIODO Imp.]],BV$9)</f>
        <v>0</v>
      </c>
      <c r="BW220" s="516">
        <f>SUMIFS(Imput[[Importe Neto]:[Importe Neto]],Imput[[C. Imp.]:[C. Imp.]],$D220,Imput[[PERIODO Imp.]:[PERIODO Imp.]],BW$9)</f>
        <v>0</v>
      </c>
      <c r="BX220" s="516">
        <f>SUMIFS(Imput[[Importe Neto]:[Importe Neto]],Imput[[C. Imp.]:[C. Imp.]],$D220,Imput[[PERIODO Imp.]:[PERIODO Imp.]],BX$9)</f>
        <v>0</v>
      </c>
      <c r="BY220" s="516">
        <f>SUMIFS(Imput[[Importe Neto]:[Importe Neto]],Imput[[C. Imp.]:[C. Imp.]],$D220,Imput[[PERIODO Imp.]:[PERIODO Imp.]],BY$9)</f>
        <v>0</v>
      </c>
      <c r="BZ220" s="516">
        <f>SUMIFS(Imput[[Importe Neto]:[Importe Neto]],Imput[[C. Imp.]:[C. Imp.]],$D220,Imput[[PERIODO Imp.]:[PERIODO Imp.]],BZ$9)</f>
        <v>0</v>
      </c>
      <c r="CA220" s="516">
        <f>SUMIFS(Imput[[Importe Neto]:[Importe Neto]],Imput[[C. Imp.]:[C. Imp.]],$D220,Imput[[PERIODO Imp.]:[PERIODO Imp.]],CA$9)</f>
        <v>0</v>
      </c>
      <c r="CB220" s="516">
        <f>SUMIFS(Imput[[Importe Neto]:[Importe Neto]],Imput[[C. Imp.]:[C. Imp.]],$D220,Imput[[PERIODO Imp.]:[PERIODO Imp.]],CB$9)</f>
        <v>0</v>
      </c>
      <c r="CC220" s="516">
        <f>SUMIFS(Imput[[Importe Neto]:[Importe Neto]],Imput[[C. Imp.]:[C. Imp.]],$D220,Imput[[PERIODO Imp.]:[PERIODO Imp.]],CC$9)</f>
        <v>0</v>
      </c>
      <c r="CD220" s="516">
        <f>SUMIFS(Imput[[Importe Neto]:[Importe Neto]],Imput[[C. Imp.]:[C. Imp.]],$D220,Imput[[PERIODO Imp.]:[PERIODO Imp.]],CD$9)</f>
        <v>0</v>
      </c>
      <c r="CE220" s="516">
        <f>SUMIFS(Imput[[Importe Neto]:[Importe Neto]],Imput[[C. Imp.]:[C. Imp.]],$D220,Imput[[PERIODO Imp.]:[PERIODO Imp.]],CE$9)</f>
        <v>0</v>
      </c>
      <c r="CF220" s="516">
        <f>SUMIFS(Imput[[Importe Neto]:[Importe Neto]],Imput[[C. Imp.]:[C. Imp.]],$D220,Imput[[PERIODO Imp.]:[PERIODO Imp.]],CF$9)</f>
        <v>0</v>
      </c>
      <c r="CG220" s="516">
        <f>SUMIFS(Imput[[Importe Neto]:[Importe Neto]],Imput[[C. Imp.]:[C. Imp.]],$D220,Imput[[PERIODO Imp.]:[PERIODO Imp.]],CG$9)</f>
        <v>0</v>
      </c>
      <c r="CH220" s="516">
        <f>SUMIFS(Imput[[Importe Neto]:[Importe Neto]],Imput[[C. Imp.]:[C. Imp.]],$D220,Imput[[PERIODO Imp.]:[PERIODO Imp.]],CH$9)</f>
        <v>0</v>
      </c>
      <c r="CI220" s="516">
        <f>SUMIFS(Imput[[Importe Neto]:[Importe Neto]],Imput[[C. Imp.]:[C. Imp.]],$D220,Imput[[PERIODO Imp.]:[PERIODO Imp.]],CI$9)</f>
        <v>0</v>
      </c>
      <c r="CJ220" s="516">
        <f>SUMIFS(Imput[[Importe Neto]:[Importe Neto]],Imput[[C. Imp.]:[C. Imp.]],$D220,Imput[[PERIODO Imp.]:[PERIODO Imp.]],CJ$9)</f>
        <v>0</v>
      </c>
      <c r="CK220" s="516">
        <f>SUMIFS(Imput[[Importe Neto]:[Importe Neto]],Imput[[C. Imp.]:[C. Imp.]],$D220,Imput[[PERIODO Imp.]:[PERIODO Imp.]],CK$9)</f>
        <v>0</v>
      </c>
      <c r="CL220" s="516">
        <f>SUMIFS(Imput[[Importe Neto]:[Importe Neto]],Imput[[C. Imp.]:[C. Imp.]],$D220,Imput[[PERIODO Imp.]:[PERIODO Imp.]],CL$9)</f>
        <v>0</v>
      </c>
      <c r="CM220" s="516">
        <f>SUMIFS(Imput[[Importe Neto]:[Importe Neto]],Imput[[C. Imp.]:[C. Imp.]],$D220,Imput[[PERIODO Imp.]:[PERIODO Imp.]],CM$9)</f>
        <v>0</v>
      </c>
      <c r="CN220" s="516">
        <f>SUMIFS(Imput[[Importe Neto]:[Importe Neto]],Imput[[C. Imp.]:[C. Imp.]],$D220,Imput[[PERIODO Imp.]:[PERIODO Imp.]],CN$9)</f>
        <v>0</v>
      </c>
      <c r="CO220" s="516">
        <f>SUMIFS(Imput[[Importe Neto]:[Importe Neto]],Imput[[C. Imp.]:[C. Imp.]],$D220,Imput[[PERIODO Imp.]:[PERIODO Imp.]],CO$9)</f>
        <v>0</v>
      </c>
      <c r="CP220" s="516">
        <f>SUMIFS(Imput[[Importe Neto]:[Importe Neto]],Imput[[C. Imp.]:[C. Imp.]],$D220,Imput[[PERIODO Imp.]:[PERIODO Imp.]],CP$9)</f>
        <v>0</v>
      </c>
      <c r="CQ220" s="516">
        <f>SUMIFS(Imput[[Importe Neto]:[Importe Neto]],Imput[[C. Imp.]:[C. Imp.]],$D220,Imput[[PERIODO Imp.]:[PERIODO Imp.]],CQ$9)</f>
        <v>0</v>
      </c>
      <c r="CR220" s="516">
        <f>SUMIFS(Imput[[Importe Neto]:[Importe Neto]],Imput[[C. Imp.]:[C. Imp.]],$D220,Imput[[PERIODO Imp.]:[PERIODO Imp.]],CR$9)</f>
        <v>0</v>
      </c>
      <c r="CS220" s="516">
        <f>SUMIFS(Imput[[Importe Neto]:[Importe Neto]],Imput[[C. Imp.]:[C. Imp.]],$D220,Imput[[PERIODO Imp.]:[PERIODO Imp.]],CS$9)</f>
        <v>0</v>
      </c>
      <c r="CT220" s="516">
        <f>SUMIFS(Imput[[Importe Neto]:[Importe Neto]],Imput[[C. Imp.]:[C. Imp.]],$D220,Imput[[PERIODO Imp.]:[PERIODO Imp.]],CT$9)</f>
        <v>0</v>
      </c>
      <c r="CU220" s="516">
        <f>SUMIFS(Imput[[Importe Neto]:[Importe Neto]],Imput[[C. Imp.]:[C. Imp.]],$D220,Imput[[PERIODO Imp.]:[PERIODO Imp.]],CU$9)</f>
        <v>0</v>
      </c>
      <c r="CV220" s="516">
        <f>SUMIFS(Imput[[Importe Neto]:[Importe Neto]],Imput[[C. Imp.]:[C. Imp.]],$D220,Imput[[PERIODO Imp.]:[PERIODO Imp.]],CV$9)</f>
        <v>0</v>
      </c>
      <c r="CW220" s="516">
        <f>SUMIFS(Imput[[Importe Neto]:[Importe Neto]],Imput[[C. Imp.]:[C. Imp.]],$D220,Imput[[PERIODO Imp.]:[PERIODO Imp.]],CW$9)</f>
        <v>0</v>
      </c>
      <c r="CX220" s="516">
        <f>SUMIFS(Imput[[Importe Neto]:[Importe Neto]],Imput[[C. Imp.]:[C. Imp.]],$D220,Imput[[PERIODO Imp.]:[PERIODO Imp.]],CX$9)</f>
        <v>0</v>
      </c>
      <c r="CY220" s="516">
        <f>SUMIFS(Imput[[Importe Neto]:[Importe Neto]],Imput[[C. Imp.]:[C. Imp.]],$D220,Imput[[PERIODO Imp.]:[PERIODO Imp.]],CY$9)</f>
        <v>0</v>
      </c>
      <c r="CZ220" s="516">
        <f>SUMIFS(Imput[[Importe Neto]:[Importe Neto]],Imput[[C. Imp.]:[C. Imp.]],$D220,Imput[[PERIODO Imp.]:[PERIODO Imp.]],CZ$9)</f>
        <v>0</v>
      </c>
      <c r="DA220" s="516">
        <f>SUMIFS(Imput[[Importe Neto]:[Importe Neto]],Imput[[C. Imp.]:[C. Imp.]],$D220,Imput[[PERIODO Imp.]:[PERIODO Imp.]],DA$9)</f>
        <v>0</v>
      </c>
      <c r="DB220" s="516">
        <f>SUMIFS(Imput[[Importe Neto]:[Importe Neto]],Imput[[C. Imp.]:[C. Imp.]],$D220,Imput[[PERIODO Imp.]:[PERIODO Imp.]],DB$9)</f>
        <v>0</v>
      </c>
      <c r="DC220" s="516">
        <f>SUMIFS(Imput[[Importe Neto]:[Importe Neto]],Imput[[C. Imp.]:[C. Imp.]],$D220,Imput[[PERIODO Imp.]:[PERIODO Imp.]],DC$9)</f>
        <v>0</v>
      </c>
      <c r="DD220" s="516">
        <f>SUMIFS(Imput[[Importe Neto]:[Importe Neto]],Imput[[C. Imp.]:[C. Imp.]],$D220,Imput[[PERIODO Imp.]:[PERIODO Imp.]],DD$9)</f>
        <v>0</v>
      </c>
      <c r="DE220" s="516">
        <f>SUMIFS(Imput[[Importe Neto]:[Importe Neto]],Imput[[C. Imp.]:[C. Imp.]],$D220,Imput[[PERIODO Imp.]:[PERIODO Imp.]],DE$9)</f>
        <v>0</v>
      </c>
      <c r="DF220" s="516">
        <f>SUMIFS(Imput[[Importe Neto]:[Importe Neto]],Imput[[C. Imp.]:[C. Imp.]],$D220,Imput[[PERIODO Imp.]:[PERIODO Imp.]],DF$9)</f>
        <v>0</v>
      </c>
      <c r="DG220" s="516">
        <f>SUMIFS(Imput[[Importe Neto]:[Importe Neto]],Imput[[C. Imp.]:[C. Imp.]],$D220,Imput[[PERIODO Imp.]:[PERIODO Imp.]],DG$9)</f>
        <v>0</v>
      </c>
      <c r="DH220" s="616">
        <f>SUMIFS(Imput[[Importe Neto]:[Importe Neto]],Imput[[C. Imp.]:[C. Imp.]],$D220,Imput[[PERIODO Imp.]:[PERIODO Imp.]],DH$9)</f>
        <v>0</v>
      </c>
    </row>
    <row r="221" spans="1:112" ht="14.4" hidden="1" outlineLevel="1" thickBot="1" x14ac:dyDescent="0.35">
      <c r="A221" s="66" t="str">
        <f t="shared" si="98"/>
        <v/>
      </c>
      <c r="C221" s="527"/>
      <c r="D221" s="528" t="s">
        <v>2317</v>
      </c>
      <c r="E221" s="528"/>
      <c r="F221" s="534"/>
      <c r="G221" s="529"/>
      <c r="H221" s="531"/>
      <c r="I221" s="849" t="str">
        <f t="shared" si="99"/>
        <v/>
      </c>
      <c r="J221" s="517" t="str">
        <f t="shared" si="100"/>
        <v/>
      </c>
      <c r="K221" s="70"/>
      <c r="L221" s="853"/>
      <c r="M221" s="855"/>
      <c r="N221" s="855"/>
      <c r="O221" s="855"/>
      <c r="P221" s="855"/>
      <c r="Q221" s="855"/>
      <c r="R221" s="855"/>
      <c r="S221" s="855"/>
      <c r="T221" s="855"/>
      <c r="U221" s="855"/>
      <c r="V221" s="855"/>
      <c r="W221" s="855"/>
      <c r="X221" s="855"/>
      <c r="Y221" s="855"/>
      <c r="Z221" s="856"/>
      <c r="AA221" s="856"/>
      <c r="AB221" s="856"/>
      <c r="AC221" s="856"/>
      <c r="AD221" s="856"/>
      <c r="AE221" s="856"/>
      <c r="AF221" s="856"/>
      <c r="AG221" s="856"/>
      <c r="AH221" s="856"/>
      <c r="AI221" s="856"/>
      <c r="AJ221" s="856"/>
      <c r="AK221" s="856"/>
      <c r="AL221" s="856"/>
      <c r="AM221" s="856"/>
      <c r="AN221" s="856"/>
      <c r="AO221" s="856"/>
      <c r="AP221" s="856"/>
      <c r="AQ221" s="856"/>
      <c r="AR221" s="856"/>
      <c r="AS221" s="856"/>
      <c r="AT221" s="856"/>
      <c r="AU221" s="856"/>
      <c r="AV221" s="856"/>
      <c r="AW221" s="856"/>
      <c r="AX221" s="856"/>
      <c r="AY221" s="856"/>
      <c r="AZ221" s="856"/>
      <c r="BA221" s="856"/>
      <c r="BB221" s="856"/>
      <c r="BC221" s="856"/>
      <c r="BD221" s="856"/>
      <c r="BE221" s="856"/>
      <c r="BF221" s="856"/>
      <c r="BG221" s="857"/>
      <c r="BH221" s="590"/>
      <c r="BI221" s="68"/>
      <c r="BJ221" s="518">
        <f t="shared" si="101"/>
        <v>0</v>
      </c>
      <c r="BK221" s="517">
        <f t="shared" si="102"/>
        <v>0</v>
      </c>
      <c r="BL221" s="68"/>
      <c r="BM221" s="515">
        <f>SUMIFS(Imput[[Importe Neto]:[Importe Neto]],Imput[[C. Imp.]:[C. Imp.]],$D221,Imput[[PERIODO Imp.]:[PERIODO Imp.]],BM$9)</f>
        <v>0</v>
      </c>
      <c r="BN221" s="516">
        <f>SUMIFS(Imput[[Importe Neto]:[Importe Neto]],Imput[[C. Imp.]:[C. Imp.]],$D221,Imput[[PERIODO Imp.]:[PERIODO Imp.]],BN$9)</f>
        <v>0</v>
      </c>
      <c r="BO221" s="516">
        <f>SUMIFS(Imput[[Importe Neto]:[Importe Neto]],Imput[[C. Imp.]:[C. Imp.]],$D221,Imput[[PERIODO Imp.]:[PERIODO Imp.]],BO$9)</f>
        <v>0</v>
      </c>
      <c r="BP221" s="516">
        <f>SUMIFS(Imput[[Importe Neto]:[Importe Neto]],Imput[[C. Imp.]:[C. Imp.]],$D221,Imput[[PERIODO Imp.]:[PERIODO Imp.]],BP$9)</f>
        <v>0</v>
      </c>
      <c r="BQ221" s="516">
        <f>SUMIFS(Imput[[Importe Neto]:[Importe Neto]],Imput[[C. Imp.]:[C. Imp.]],$D221,Imput[[PERIODO Imp.]:[PERIODO Imp.]],BQ$9)</f>
        <v>0</v>
      </c>
      <c r="BR221" s="516">
        <f>SUMIFS(Imput[[Importe Neto]:[Importe Neto]],Imput[[C. Imp.]:[C. Imp.]],$D221,Imput[[PERIODO Imp.]:[PERIODO Imp.]],BR$9)</f>
        <v>0</v>
      </c>
      <c r="BS221" s="516">
        <f>SUMIFS(Imput[[Importe Neto]:[Importe Neto]],Imput[[C. Imp.]:[C. Imp.]],$D221,Imput[[PERIODO Imp.]:[PERIODO Imp.]],BS$9)</f>
        <v>0</v>
      </c>
      <c r="BT221" s="516">
        <f>SUMIFS(Imput[[Importe Neto]:[Importe Neto]],Imput[[C. Imp.]:[C. Imp.]],$D221,Imput[[PERIODO Imp.]:[PERIODO Imp.]],BT$9)</f>
        <v>0</v>
      </c>
      <c r="BU221" s="516">
        <f>SUMIFS(Imput[[Importe Neto]:[Importe Neto]],Imput[[C. Imp.]:[C. Imp.]],$D221,Imput[[PERIODO Imp.]:[PERIODO Imp.]],BU$9)</f>
        <v>0</v>
      </c>
      <c r="BV221" s="516">
        <f>SUMIFS(Imput[[Importe Neto]:[Importe Neto]],Imput[[C. Imp.]:[C. Imp.]],$D221,Imput[[PERIODO Imp.]:[PERIODO Imp.]],BV$9)</f>
        <v>0</v>
      </c>
      <c r="BW221" s="516">
        <f>SUMIFS(Imput[[Importe Neto]:[Importe Neto]],Imput[[C. Imp.]:[C. Imp.]],$D221,Imput[[PERIODO Imp.]:[PERIODO Imp.]],BW$9)</f>
        <v>0</v>
      </c>
      <c r="BX221" s="516">
        <f>SUMIFS(Imput[[Importe Neto]:[Importe Neto]],Imput[[C. Imp.]:[C. Imp.]],$D221,Imput[[PERIODO Imp.]:[PERIODO Imp.]],BX$9)</f>
        <v>0</v>
      </c>
      <c r="BY221" s="516">
        <f>SUMIFS(Imput[[Importe Neto]:[Importe Neto]],Imput[[C. Imp.]:[C. Imp.]],$D221,Imput[[PERIODO Imp.]:[PERIODO Imp.]],BY$9)</f>
        <v>0</v>
      </c>
      <c r="BZ221" s="516">
        <f>SUMIFS(Imput[[Importe Neto]:[Importe Neto]],Imput[[C. Imp.]:[C. Imp.]],$D221,Imput[[PERIODO Imp.]:[PERIODO Imp.]],BZ$9)</f>
        <v>0</v>
      </c>
      <c r="CA221" s="516">
        <f>SUMIFS(Imput[[Importe Neto]:[Importe Neto]],Imput[[C. Imp.]:[C. Imp.]],$D221,Imput[[PERIODO Imp.]:[PERIODO Imp.]],CA$9)</f>
        <v>0</v>
      </c>
      <c r="CB221" s="516">
        <f>SUMIFS(Imput[[Importe Neto]:[Importe Neto]],Imput[[C. Imp.]:[C. Imp.]],$D221,Imput[[PERIODO Imp.]:[PERIODO Imp.]],CB$9)</f>
        <v>0</v>
      </c>
      <c r="CC221" s="516">
        <f>SUMIFS(Imput[[Importe Neto]:[Importe Neto]],Imput[[C. Imp.]:[C. Imp.]],$D221,Imput[[PERIODO Imp.]:[PERIODO Imp.]],CC$9)</f>
        <v>0</v>
      </c>
      <c r="CD221" s="516">
        <f>SUMIFS(Imput[[Importe Neto]:[Importe Neto]],Imput[[C. Imp.]:[C. Imp.]],$D221,Imput[[PERIODO Imp.]:[PERIODO Imp.]],CD$9)</f>
        <v>0</v>
      </c>
      <c r="CE221" s="516">
        <f>SUMIFS(Imput[[Importe Neto]:[Importe Neto]],Imput[[C. Imp.]:[C. Imp.]],$D221,Imput[[PERIODO Imp.]:[PERIODO Imp.]],CE$9)</f>
        <v>0</v>
      </c>
      <c r="CF221" s="516">
        <f>SUMIFS(Imput[[Importe Neto]:[Importe Neto]],Imput[[C. Imp.]:[C. Imp.]],$D221,Imput[[PERIODO Imp.]:[PERIODO Imp.]],CF$9)</f>
        <v>0</v>
      </c>
      <c r="CG221" s="516">
        <f>SUMIFS(Imput[[Importe Neto]:[Importe Neto]],Imput[[C. Imp.]:[C. Imp.]],$D221,Imput[[PERIODO Imp.]:[PERIODO Imp.]],CG$9)</f>
        <v>0</v>
      </c>
      <c r="CH221" s="516">
        <f>SUMIFS(Imput[[Importe Neto]:[Importe Neto]],Imput[[C. Imp.]:[C. Imp.]],$D221,Imput[[PERIODO Imp.]:[PERIODO Imp.]],CH$9)</f>
        <v>0</v>
      </c>
      <c r="CI221" s="516">
        <f>SUMIFS(Imput[[Importe Neto]:[Importe Neto]],Imput[[C. Imp.]:[C. Imp.]],$D221,Imput[[PERIODO Imp.]:[PERIODO Imp.]],CI$9)</f>
        <v>0</v>
      </c>
      <c r="CJ221" s="516">
        <f>SUMIFS(Imput[[Importe Neto]:[Importe Neto]],Imput[[C. Imp.]:[C. Imp.]],$D221,Imput[[PERIODO Imp.]:[PERIODO Imp.]],CJ$9)</f>
        <v>0</v>
      </c>
      <c r="CK221" s="516">
        <f>SUMIFS(Imput[[Importe Neto]:[Importe Neto]],Imput[[C. Imp.]:[C. Imp.]],$D221,Imput[[PERIODO Imp.]:[PERIODO Imp.]],CK$9)</f>
        <v>0</v>
      </c>
      <c r="CL221" s="516">
        <f>SUMIFS(Imput[[Importe Neto]:[Importe Neto]],Imput[[C. Imp.]:[C. Imp.]],$D221,Imput[[PERIODO Imp.]:[PERIODO Imp.]],CL$9)</f>
        <v>0</v>
      </c>
      <c r="CM221" s="516">
        <f>SUMIFS(Imput[[Importe Neto]:[Importe Neto]],Imput[[C. Imp.]:[C. Imp.]],$D221,Imput[[PERIODO Imp.]:[PERIODO Imp.]],CM$9)</f>
        <v>0</v>
      </c>
      <c r="CN221" s="516">
        <f>SUMIFS(Imput[[Importe Neto]:[Importe Neto]],Imput[[C. Imp.]:[C. Imp.]],$D221,Imput[[PERIODO Imp.]:[PERIODO Imp.]],CN$9)</f>
        <v>0</v>
      </c>
      <c r="CO221" s="516">
        <f>SUMIFS(Imput[[Importe Neto]:[Importe Neto]],Imput[[C. Imp.]:[C. Imp.]],$D221,Imput[[PERIODO Imp.]:[PERIODO Imp.]],CO$9)</f>
        <v>0</v>
      </c>
      <c r="CP221" s="516">
        <f>SUMIFS(Imput[[Importe Neto]:[Importe Neto]],Imput[[C. Imp.]:[C. Imp.]],$D221,Imput[[PERIODO Imp.]:[PERIODO Imp.]],CP$9)</f>
        <v>0</v>
      </c>
      <c r="CQ221" s="516">
        <f>SUMIFS(Imput[[Importe Neto]:[Importe Neto]],Imput[[C. Imp.]:[C. Imp.]],$D221,Imput[[PERIODO Imp.]:[PERIODO Imp.]],CQ$9)</f>
        <v>0</v>
      </c>
      <c r="CR221" s="516">
        <f>SUMIFS(Imput[[Importe Neto]:[Importe Neto]],Imput[[C. Imp.]:[C. Imp.]],$D221,Imput[[PERIODO Imp.]:[PERIODO Imp.]],CR$9)</f>
        <v>0</v>
      </c>
      <c r="CS221" s="516">
        <f>SUMIFS(Imput[[Importe Neto]:[Importe Neto]],Imput[[C. Imp.]:[C. Imp.]],$D221,Imput[[PERIODO Imp.]:[PERIODO Imp.]],CS$9)</f>
        <v>0</v>
      </c>
      <c r="CT221" s="516">
        <f>SUMIFS(Imput[[Importe Neto]:[Importe Neto]],Imput[[C. Imp.]:[C. Imp.]],$D221,Imput[[PERIODO Imp.]:[PERIODO Imp.]],CT$9)</f>
        <v>0</v>
      </c>
      <c r="CU221" s="516">
        <f>SUMIFS(Imput[[Importe Neto]:[Importe Neto]],Imput[[C. Imp.]:[C. Imp.]],$D221,Imput[[PERIODO Imp.]:[PERIODO Imp.]],CU$9)</f>
        <v>0</v>
      </c>
      <c r="CV221" s="516">
        <f>SUMIFS(Imput[[Importe Neto]:[Importe Neto]],Imput[[C. Imp.]:[C. Imp.]],$D221,Imput[[PERIODO Imp.]:[PERIODO Imp.]],CV$9)</f>
        <v>0</v>
      </c>
      <c r="CW221" s="516">
        <f>SUMIFS(Imput[[Importe Neto]:[Importe Neto]],Imput[[C. Imp.]:[C. Imp.]],$D221,Imput[[PERIODO Imp.]:[PERIODO Imp.]],CW$9)</f>
        <v>0</v>
      </c>
      <c r="CX221" s="516">
        <f>SUMIFS(Imput[[Importe Neto]:[Importe Neto]],Imput[[C. Imp.]:[C. Imp.]],$D221,Imput[[PERIODO Imp.]:[PERIODO Imp.]],CX$9)</f>
        <v>0</v>
      </c>
      <c r="CY221" s="516">
        <f>SUMIFS(Imput[[Importe Neto]:[Importe Neto]],Imput[[C. Imp.]:[C. Imp.]],$D221,Imput[[PERIODO Imp.]:[PERIODO Imp.]],CY$9)</f>
        <v>0</v>
      </c>
      <c r="CZ221" s="516">
        <f>SUMIFS(Imput[[Importe Neto]:[Importe Neto]],Imput[[C. Imp.]:[C. Imp.]],$D221,Imput[[PERIODO Imp.]:[PERIODO Imp.]],CZ$9)</f>
        <v>0</v>
      </c>
      <c r="DA221" s="516">
        <f>SUMIFS(Imput[[Importe Neto]:[Importe Neto]],Imput[[C. Imp.]:[C. Imp.]],$D221,Imput[[PERIODO Imp.]:[PERIODO Imp.]],DA$9)</f>
        <v>0</v>
      </c>
      <c r="DB221" s="516">
        <f>SUMIFS(Imput[[Importe Neto]:[Importe Neto]],Imput[[C. Imp.]:[C. Imp.]],$D221,Imput[[PERIODO Imp.]:[PERIODO Imp.]],DB$9)</f>
        <v>0</v>
      </c>
      <c r="DC221" s="516">
        <f>SUMIFS(Imput[[Importe Neto]:[Importe Neto]],Imput[[C. Imp.]:[C. Imp.]],$D221,Imput[[PERIODO Imp.]:[PERIODO Imp.]],DC$9)</f>
        <v>0</v>
      </c>
      <c r="DD221" s="516">
        <f>SUMIFS(Imput[[Importe Neto]:[Importe Neto]],Imput[[C. Imp.]:[C. Imp.]],$D221,Imput[[PERIODO Imp.]:[PERIODO Imp.]],DD$9)</f>
        <v>0</v>
      </c>
      <c r="DE221" s="516">
        <f>SUMIFS(Imput[[Importe Neto]:[Importe Neto]],Imput[[C. Imp.]:[C. Imp.]],$D221,Imput[[PERIODO Imp.]:[PERIODO Imp.]],DE$9)</f>
        <v>0</v>
      </c>
      <c r="DF221" s="516">
        <f>SUMIFS(Imput[[Importe Neto]:[Importe Neto]],Imput[[C. Imp.]:[C. Imp.]],$D221,Imput[[PERIODO Imp.]:[PERIODO Imp.]],DF$9)</f>
        <v>0</v>
      </c>
      <c r="DG221" s="516">
        <f>SUMIFS(Imput[[Importe Neto]:[Importe Neto]],Imput[[C. Imp.]:[C. Imp.]],$D221,Imput[[PERIODO Imp.]:[PERIODO Imp.]],DG$9)</f>
        <v>0</v>
      </c>
      <c r="DH221" s="616">
        <f>SUMIFS(Imput[[Importe Neto]:[Importe Neto]],Imput[[C. Imp.]:[C. Imp.]],$D221,Imput[[PERIODO Imp.]:[PERIODO Imp.]],DH$9)</f>
        <v>0</v>
      </c>
    </row>
    <row r="222" spans="1:112" ht="14.4" hidden="1" outlineLevel="1" thickBot="1" x14ac:dyDescent="0.35">
      <c r="A222" s="66" t="str">
        <f t="shared" si="98"/>
        <v/>
      </c>
      <c r="C222" s="527"/>
      <c r="D222" s="528" t="s">
        <v>2318</v>
      </c>
      <c r="E222" s="528"/>
      <c r="F222" s="534"/>
      <c r="G222" s="529"/>
      <c r="H222" s="531"/>
      <c r="I222" s="849" t="str">
        <f t="shared" si="99"/>
        <v/>
      </c>
      <c r="J222" s="517" t="str">
        <f t="shared" si="100"/>
        <v/>
      </c>
      <c r="K222" s="70"/>
      <c r="L222" s="853"/>
      <c r="M222" s="855"/>
      <c r="N222" s="855"/>
      <c r="O222" s="855"/>
      <c r="P222" s="855"/>
      <c r="Q222" s="855"/>
      <c r="R222" s="855"/>
      <c r="S222" s="855"/>
      <c r="T222" s="855"/>
      <c r="U222" s="855"/>
      <c r="V222" s="855"/>
      <c r="W222" s="855"/>
      <c r="X222" s="855"/>
      <c r="Y222" s="855"/>
      <c r="Z222" s="856"/>
      <c r="AA222" s="856"/>
      <c r="AB222" s="856"/>
      <c r="AC222" s="856"/>
      <c r="AD222" s="856"/>
      <c r="AE222" s="856"/>
      <c r="AF222" s="856"/>
      <c r="AG222" s="856"/>
      <c r="AH222" s="856"/>
      <c r="AI222" s="856"/>
      <c r="AJ222" s="856"/>
      <c r="AK222" s="856"/>
      <c r="AL222" s="856"/>
      <c r="AM222" s="856"/>
      <c r="AN222" s="856"/>
      <c r="AO222" s="856"/>
      <c r="AP222" s="856"/>
      <c r="AQ222" s="856"/>
      <c r="AR222" s="856"/>
      <c r="AS222" s="856"/>
      <c r="AT222" s="856"/>
      <c r="AU222" s="856"/>
      <c r="AV222" s="856"/>
      <c r="AW222" s="856"/>
      <c r="AX222" s="856"/>
      <c r="AY222" s="856"/>
      <c r="AZ222" s="856"/>
      <c r="BA222" s="856"/>
      <c r="BB222" s="856"/>
      <c r="BC222" s="856"/>
      <c r="BD222" s="856"/>
      <c r="BE222" s="856"/>
      <c r="BF222" s="856"/>
      <c r="BG222" s="857"/>
      <c r="BH222" s="590"/>
      <c r="BI222" s="68"/>
      <c r="BJ222" s="518">
        <f t="shared" si="101"/>
        <v>0</v>
      </c>
      <c r="BK222" s="517">
        <f t="shared" si="102"/>
        <v>0</v>
      </c>
      <c r="BL222" s="68"/>
      <c r="BM222" s="515">
        <f>SUMIFS(Imput[[Importe Neto]:[Importe Neto]],Imput[[C. Imp.]:[C. Imp.]],$D222,Imput[[PERIODO Imp.]:[PERIODO Imp.]],BM$9)</f>
        <v>0</v>
      </c>
      <c r="BN222" s="516">
        <f>SUMIFS(Imput[[Importe Neto]:[Importe Neto]],Imput[[C. Imp.]:[C. Imp.]],$D222,Imput[[PERIODO Imp.]:[PERIODO Imp.]],BN$9)</f>
        <v>0</v>
      </c>
      <c r="BO222" s="516">
        <f>SUMIFS(Imput[[Importe Neto]:[Importe Neto]],Imput[[C. Imp.]:[C. Imp.]],$D222,Imput[[PERIODO Imp.]:[PERIODO Imp.]],BO$9)</f>
        <v>0</v>
      </c>
      <c r="BP222" s="516">
        <f>SUMIFS(Imput[[Importe Neto]:[Importe Neto]],Imput[[C. Imp.]:[C. Imp.]],$D222,Imput[[PERIODO Imp.]:[PERIODO Imp.]],BP$9)</f>
        <v>0</v>
      </c>
      <c r="BQ222" s="516">
        <f>SUMIFS(Imput[[Importe Neto]:[Importe Neto]],Imput[[C. Imp.]:[C. Imp.]],$D222,Imput[[PERIODO Imp.]:[PERIODO Imp.]],BQ$9)</f>
        <v>0</v>
      </c>
      <c r="BR222" s="516">
        <f>SUMIFS(Imput[[Importe Neto]:[Importe Neto]],Imput[[C. Imp.]:[C. Imp.]],$D222,Imput[[PERIODO Imp.]:[PERIODO Imp.]],BR$9)</f>
        <v>0</v>
      </c>
      <c r="BS222" s="516">
        <f>SUMIFS(Imput[[Importe Neto]:[Importe Neto]],Imput[[C. Imp.]:[C. Imp.]],$D222,Imput[[PERIODO Imp.]:[PERIODO Imp.]],BS$9)</f>
        <v>0</v>
      </c>
      <c r="BT222" s="516">
        <f>SUMIFS(Imput[[Importe Neto]:[Importe Neto]],Imput[[C. Imp.]:[C. Imp.]],$D222,Imput[[PERIODO Imp.]:[PERIODO Imp.]],BT$9)</f>
        <v>0</v>
      </c>
      <c r="BU222" s="516">
        <f>SUMIFS(Imput[[Importe Neto]:[Importe Neto]],Imput[[C. Imp.]:[C. Imp.]],$D222,Imput[[PERIODO Imp.]:[PERIODO Imp.]],BU$9)</f>
        <v>0</v>
      </c>
      <c r="BV222" s="516">
        <f>SUMIFS(Imput[[Importe Neto]:[Importe Neto]],Imput[[C. Imp.]:[C. Imp.]],$D222,Imput[[PERIODO Imp.]:[PERIODO Imp.]],BV$9)</f>
        <v>0</v>
      </c>
      <c r="BW222" s="516">
        <f>SUMIFS(Imput[[Importe Neto]:[Importe Neto]],Imput[[C. Imp.]:[C. Imp.]],$D222,Imput[[PERIODO Imp.]:[PERIODO Imp.]],BW$9)</f>
        <v>0</v>
      </c>
      <c r="BX222" s="516">
        <f>SUMIFS(Imput[[Importe Neto]:[Importe Neto]],Imput[[C. Imp.]:[C. Imp.]],$D222,Imput[[PERIODO Imp.]:[PERIODO Imp.]],BX$9)</f>
        <v>0</v>
      </c>
      <c r="BY222" s="516">
        <f>SUMIFS(Imput[[Importe Neto]:[Importe Neto]],Imput[[C. Imp.]:[C. Imp.]],$D222,Imput[[PERIODO Imp.]:[PERIODO Imp.]],BY$9)</f>
        <v>0</v>
      </c>
      <c r="BZ222" s="516">
        <f>SUMIFS(Imput[[Importe Neto]:[Importe Neto]],Imput[[C. Imp.]:[C. Imp.]],$D222,Imput[[PERIODO Imp.]:[PERIODO Imp.]],BZ$9)</f>
        <v>0</v>
      </c>
      <c r="CA222" s="516">
        <f>SUMIFS(Imput[[Importe Neto]:[Importe Neto]],Imput[[C. Imp.]:[C. Imp.]],$D222,Imput[[PERIODO Imp.]:[PERIODO Imp.]],CA$9)</f>
        <v>0</v>
      </c>
      <c r="CB222" s="516">
        <f>SUMIFS(Imput[[Importe Neto]:[Importe Neto]],Imput[[C. Imp.]:[C. Imp.]],$D222,Imput[[PERIODO Imp.]:[PERIODO Imp.]],CB$9)</f>
        <v>0</v>
      </c>
      <c r="CC222" s="516">
        <f>SUMIFS(Imput[[Importe Neto]:[Importe Neto]],Imput[[C. Imp.]:[C. Imp.]],$D222,Imput[[PERIODO Imp.]:[PERIODO Imp.]],CC$9)</f>
        <v>0</v>
      </c>
      <c r="CD222" s="516">
        <f>SUMIFS(Imput[[Importe Neto]:[Importe Neto]],Imput[[C. Imp.]:[C. Imp.]],$D222,Imput[[PERIODO Imp.]:[PERIODO Imp.]],CD$9)</f>
        <v>0</v>
      </c>
      <c r="CE222" s="516">
        <f>SUMIFS(Imput[[Importe Neto]:[Importe Neto]],Imput[[C. Imp.]:[C. Imp.]],$D222,Imput[[PERIODO Imp.]:[PERIODO Imp.]],CE$9)</f>
        <v>0</v>
      </c>
      <c r="CF222" s="516">
        <f>SUMIFS(Imput[[Importe Neto]:[Importe Neto]],Imput[[C. Imp.]:[C. Imp.]],$D222,Imput[[PERIODO Imp.]:[PERIODO Imp.]],CF$9)</f>
        <v>0</v>
      </c>
      <c r="CG222" s="516">
        <f>SUMIFS(Imput[[Importe Neto]:[Importe Neto]],Imput[[C. Imp.]:[C. Imp.]],$D222,Imput[[PERIODO Imp.]:[PERIODO Imp.]],CG$9)</f>
        <v>0</v>
      </c>
      <c r="CH222" s="516">
        <f>SUMIFS(Imput[[Importe Neto]:[Importe Neto]],Imput[[C. Imp.]:[C. Imp.]],$D222,Imput[[PERIODO Imp.]:[PERIODO Imp.]],CH$9)</f>
        <v>0</v>
      </c>
      <c r="CI222" s="516">
        <f>SUMIFS(Imput[[Importe Neto]:[Importe Neto]],Imput[[C. Imp.]:[C. Imp.]],$D222,Imput[[PERIODO Imp.]:[PERIODO Imp.]],CI$9)</f>
        <v>0</v>
      </c>
      <c r="CJ222" s="516">
        <f>SUMIFS(Imput[[Importe Neto]:[Importe Neto]],Imput[[C. Imp.]:[C. Imp.]],$D222,Imput[[PERIODO Imp.]:[PERIODO Imp.]],CJ$9)</f>
        <v>0</v>
      </c>
      <c r="CK222" s="516">
        <f>SUMIFS(Imput[[Importe Neto]:[Importe Neto]],Imput[[C. Imp.]:[C. Imp.]],$D222,Imput[[PERIODO Imp.]:[PERIODO Imp.]],CK$9)</f>
        <v>0</v>
      </c>
      <c r="CL222" s="516">
        <f>SUMIFS(Imput[[Importe Neto]:[Importe Neto]],Imput[[C. Imp.]:[C. Imp.]],$D222,Imput[[PERIODO Imp.]:[PERIODO Imp.]],CL$9)</f>
        <v>0</v>
      </c>
      <c r="CM222" s="516">
        <f>SUMIFS(Imput[[Importe Neto]:[Importe Neto]],Imput[[C. Imp.]:[C. Imp.]],$D222,Imput[[PERIODO Imp.]:[PERIODO Imp.]],CM$9)</f>
        <v>0</v>
      </c>
      <c r="CN222" s="516">
        <f>SUMIFS(Imput[[Importe Neto]:[Importe Neto]],Imput[[C. Imp.]:[C. Imp.]],$D222,Imput[[PERIODO Imp.]:[PERIODO Imp.]],CN$9)</f>
        <v>0</v>
      </c>
      <c r="CO222" s="516">
        <f>SUMIFS(Imput[[Importe Neto]:[Importe Neto]],Imput[[C. Imp.]:[C. Imp.]],$D222,Imput[[PERIODO Imp.]:[PERIODO Imp.]],CO$9)</f>
        <v>0</v>
      </c>
      <c r="CP222" s="516">
        <f>SUMIFS(Imput[[Importe Neto]:[Importe Neto]],Imput[[C. Imp.]:[C. Imp.]],$D222,Imput[[PERIODO Imp.]:[PERIODO Imp.]],CP$9)</f>
        <v>0</v>
      </c>
      <c r="CQ222" s="516">
        <f>SUMIFS(Imput[[Importe Neto]:[Importe Neto]],Imput[[C. Imp.]:[C. Imp.]],$D222,Imput[[PERIODO Imp.]:[PERIODO Imp.]],CQ$9)</f>
        <v>0</v>
      </c>
      <c r="CR222" s="516">
        <f>SUMIFS(Imput[[Importe Neto]:[Importe Neto]],Imput[[C. Imp.]:[C. Imp.]],$D222,Imput[[PERIODO Imp.]:[PERIODO Imp.]],CR$9)</f>
        <v>0</v>
      </c>
      <c r="CS222" s="516">
        <f>SUMIFS(Imput[[Importe Neto]:[Importe Neto]],Imput[[C. Imp.]:[C. Imp.]],$D222,Imput[[PERIODO Imp.]:[PERIODO Imp.]],CS$9)</f>
        <v>0</v>
      </c>
      <c r="CT222" s="516">
        <f>SUMIFS(Imput[[Importe Neto]:[Importe Neto]],Imput[[C. Imp.]:[C. Imp.]],$D222,Imput[[PERIODO Imp.]:[PERIODO Imp.]],CT$9)</f>
        <v>0</v>
      </c>
      <c r="CU222" s="516">
        <f>SUMIFS(Imput[[Importe Neto]:[Importe Neto]],Imput[[C. Imp.]:[C. Imp.]],$D222,Imput[[PERIODO Imp.]:[PERIODO Imp.]],CU$9)</f>
        <v>0</v>
      </c>
      <c r="CV222" s="516">
        <f>SUMIFS(Imput[[Importe Neto]:[Importe Neto]],Imput[[C. Imp.]:[C. Imp.]],$D222,Imput[[PERIODO Imp.]:[PERIODO Imp.]],CV$9)</f>
        <v>0</v>
      </c>
      <c r="CW222" s="516">
        <f>SUMIFS(Imput[[Importe Neto]:[Importe Neto]],Imput[[C. Imp.]:[C. Imp.]],$D222,Imput[[PERIODO Imp.]:[PERIODO Imp.]],CW$9)</f>
        <v>0</v>
      </c>
      <c r="CX222" s="516">
        <f>SUMIFS(Imput[[Importe Neto]:[Importe Neto]],Imput[[C. Imp.]:[C. Imp.]],$D222,Imput[[PERIODO Imp.]:[PERIODO Imp.]],CX$9)</f>
        <v>0</v>
      </c>
      <c r="CY222" s="516">
        <f>SUMIFS(Imput[[Importe Neto]:[Importe Neto]],Imput[[C. Imp.]:[C. Imp.]],$D222,Imput[[PERIODO Imp.]:[PERIODO Imp.]],CY$9)</f>
        <v>0</v>
      </c>
      <c r="CZ222" s="516">
        <f>SUMIFS(Imput[[Importe Neto]:[Importe Neto]],Imput[[C. Imp.]:[C. Imp.]],$D222,Imput[[PERIODO Imp.]:[PERIODO Imp.]],CZ$9)</f>
        <v>0</v>
      </c>
      <c r="DA222" s="516">
        <f>SUMIFS(Imput[[Importe Neto]:[Importe Neto]],Imput[[C. Imp.]:[C. Imp.]],$D222,Imput[[PERIODO Imp.]:[PERIODO Imp.]],DA$9)</f>
        <v>0</v>
      </c>
      <c r="DB222" s="516">
        <f>SUMIFS(Imput[[Importe Neto]:[Importe Neto]],Imput[[C. Imp.]:[C. Imp.]],$D222,Imput[[PERIODO Imp.]:[PERIODO Imp.]],DB$9)</f>
        <v>0</v>
      </c>
      <c r="DC222" s="516">
        <f>SUMIFS(Imput[[Importe Neto]:[Importe Neto]],Imput[[C. Imp.]:[C. Imp.]],$D222,Imput[[PERIODO Imp.]:[PERIODO Imp.]],DC$9)</f>
        <v>0</v>
      </c>
      <c r="DD222" s="516">
        <f>SUMIFS(Imput[[Importe Neto]:[Importe Neto]],Imput[[C. Imp.]:[C. Imp.]],$D222,Imput[[PERIODO Imp.]:[PERIODO Imp.]],DD$9)</f>
        <v>0</v>
      </c>
      <c r="DE222" s="516">
        <f>SUMIFS(Imput[[Importe Neto]:[Importe Neto]],Imput[[C. Imp.]:[C. Imp.]],$D222,Imput[[PERIODO Imp.]:[PERIODO Imp.]],DE$9)</f>
        <v>0</v>
      </c>
      <c r="DF222" s="516">
        <f>SUMIFS(Imput[[Importe Neto]:[Importe Neto]],Imput[[C. Imp.]:[C. Imp.]],$D222,Imput[[PERIODO Imp.]:[PERIODO Imp.]],DF$9)</f>
        <v>0</v>
      </c>
      <c r="DG222" s="516">
        <f>SUMIFS(Imput[[Importe Neto]:[Importe Neto]],Imput[[C. Imp.]:[C. Imp.]],$D222,Imput[[PERIODO Imp.]:[PERIODO Imp.]],DG$9)</f>
        <v>0</v>
      </c>
      <c r="DH222" s="616">
        <f>SUMIFS(Imput[[Importe Neto]:[Importe Neto]],Imput[[C. Imp.]:[C. Imp.]],$D222,Imput[[PERIODO Imp.]:[PERIODO Imp.]],DH$9)</f>
        <v>0</v>
      </c>
    </row>
    <row r="223" spans="1:112" s="122" customFormat="1" ht="14.4" hidden="1" outlineLevel="1" thickBot="1" x14ac:dyDescent="0.35">
      <c r="A223" s="66" t="str">
        <f t="shared" si="98"/>
        <v/>
      </c>
      <c r="B223" s="121"/>
      <c r="C223" s="527"/>
      <c r="D223" s="528" t="s">
        <v>2319</v>
      </c>
      <c r="E223" s="528"/>
      <c r="F223" s="534"/>
      <c r="G223" s="529"/>
      <c r="H223" s="531"/>
      <c r="I223" s="849" t="str">
        <f t="shared" si="99"/>
        <v/>
      </c>
      <c r="J223" s="517" t="str">
        <f t="shared" si="100"/>
        <v/>
      </c>
      <c r="K223" s="111"/>
      <c r="L223" s="853"/>
      <c r="M223" s="855"/>
      <c r="N223" s="855"/>
      <c r="O223" s="855"/>
      <c r="P223" s="855"/>
      <c r="Q223" s="855"/>
      <c r="R223" s="855"/>
      <c r="S223" s="855"/>
      <c r="T223" s="855"/>
      <c r="U223" s="855"/>
      <c r="V223" s="855"/>
      <c r="W223" s="855"/>
      <c r="X223" s="855"/>
      <c r="Y223" s="855"/>
      <c r="Z223" s="856"/>
      <c r="AA223" s="856"/>
      <c r="AB223" s="856"/>
      <c r="AC223" s="856"/>
      <c r="AD223" s="856"/>
      <c r="AE223" s="856"/>
      <c r="AF223" s="856"/>
      <c r="AG223" s="856"/>
      <c r="AH223" s="856"/>
      <c r="AI223" s="856"/>
      <c r="AJ223" s="856"/>
      <c r="AK223" s="856"/>
      <c r="AL223" s="856"/>
      <c r="AM223" s="856"/>
      <c r="AN223" s="856"/>
      <c r="AO223" s="856"/>
      <c r="AP223" s="856"/>
      <c r="AQ223" s="856"/>
      <c r="AR223" s="856"/>
      <c r="AS223" s="856"/>
      <c r="AT223" s="856"/>
      <c r="AU223" s="856"/>
      <c r="AV223" s="856"/>
      <c r="AW223" s="856"/>
      <c r="AX223" s="856"/>
      <c r="AY223" s="856"/>
      <c r="AZ223" s="856"/>
      <c r="BA223" s="856"/>
      <c r="BB223" s="856"/>
      <c r="BC223" s="856"/>
      <c r="BD223" s="856"/>
      <c r="BE223" s="856"/>
      <c r="BF223" s="856"/>
      <c r="BG223" s="857"/>
      <c r="BH223" s="590"/>
      <c r="BI223" s="111"/>
      <c r="BJ223" s="518">
        <f t="shared" si="101"/>
        <v>0</v>
      </c>
      <c r="BK223" s="517">
        <f t="shared" si="102"/>
        <v>0</v>
      </c>
      <c r="BL223" s="68"/>
      <c r="BM223" s="515">
        <f>SUMIFS(Imput[[Importe Neto]:[Importe Neto]],Imput[[C. Imp.]:[C. Imp.]],$D223,Imput[[PERIODO Imp.]:[PERIODO Imp.]],BM$9)</f>
        <v>0</v>
      </c>
      <c r="BN223" s="516">
        <f>SUMIFS(Imput[[Importe Neto]:[Importe Neto]],Imput[[C. Imp.]:[C. Imp.]],$D223,Imput[[PERIODO Imp.]:[PERIODO Imp.]],BN$9)</f>
        <v>0</v>
      </c>
      <c r="BO223" s="516">
        <f>SUMIFS(Imput[[Importe Neto]:[Importe Neto]],Imput[[C. Imp.]:[C. Imp.]],$D223,Imput[[PERIODO Imp.]:[PERIODO Imp.]],BO$9)</f>
        <v>0</v>
      </c>
      <c r="BP223" s="516">
        <f>SUMIFS(Imput[[Importe Neto]:[Importe Neto]],Imput[[C. Imp.]:[C. Imp.]],$D223,Imput[[PERIODO Imp.]:[PERIODO Imp.]],BP$9)</f>
        <v>0</v>
      </c>
      <c r="BQ223" s="516">
        <f>SUMIFS(Imput[[Importe Neto]:[Importe Neto]],Imput[[C. Imp.]:[C. Imp.]],$D223,Imput[[PERIODO Imp.]:[PERIODO Imp.]],BQ$9)</f>
        <v>0</v>
      </c>
      <c r="BR223" s="516">
        <f>SUMIFS(Imput[[Importe Neto]:[Importe Neto]],Imput[[C. Imp.]:[C. Imp.]],$D223,Imput[[PERIODO Imp.]:[PERIODO Imp.]],BR$9)</f>
        <v>0</v>
      </c>
      <c r="BS223" s="516">
        <f>SUMIFS(Imput[[Importe Neto]:[Importe Neto]],Imput[[C. Imp.]:[C. Imp.]],$D223,Imput[[PERIODO Imp.]:[PERIODO Imp.]],BS$9)</f>
        <v>0</v>
      </c>
      <c r="BT223" s="516">
        <f>SUMIFS(Imput[[Importe Neto]:[Importe Neto]],Imput[[C. Imp.]:[C. Imp.]],$D223,Imput[[PERIODO Imp.]:[PERIODO Imp.]],BT$9)</f>
        <v>0</v>
      </c>
      <c r="BU223" s="516">
        <f>SUMIFS(Imput[[Importe Neto]:[Importe Neto]],Imput[[C. Imp.]:[C. Imp.]],$D223,Imput[[PERIODO Imp.]:[PERIODO Imp.]],BU$9)</f>
        <v>0</v>
      </c>
      <c r="BV223" s="516">
        <f>SUMIFS(Imput[[Importe Neto]:[Importe Neto]],Imput[[C. Imp.]:[C. Imp.]],$D223,Imput[[PERIODO Imp.]:[PERIODO Imp.]],BV$9)</f>
        <v>0</v>
      </c>
      <c r="BW223" s="516">
        <f>SUMIFS(Imput[[Importe Neto]:[Importe Neto]],Imput[[C. Imp.]:[C. Imp.]],$D223,Imput[[PERIODO Imp.]:[PERIODO Imp.]],BW$9)</f>
        <v>0</v>
      </c>
      <c r="BX223" s="516">
        <f>SUMIFS(Imput[[Importe Neto]:[Importe Neto]],Imput[[C. Imp.]:[C. Imp.]],$D223,Imput[[PERIODO Imp.]:[PERIODO Imp.]],BX$9)</f>
        <v>0</v>
      </c>
      <c r="BY223" s="516">
        <f>SUMIFS(Imput[[Importe Neto]:[Importe Neto]],Imput[[C. Imp.]:[C. Imp.]],$D223,Imput[[PERIODO Imp.]:[PERIODO Imp.]],BY$9)</f>
        <v>0</v>
      </c>
      <c r="BZ223" s="516">
        <f>SUMIFS(Imput[[Importe Neto]:[Importe Neto]],Imput[[C. Imp.]:[C. Imp.]],$D223,Imput[[PERIODO Imp.]:[PERIODO Imp.]],BZ$9)</f>
        <v>0</v>
      </c>
      <c r="CA223" s="516">
        <f>SUMIFS(Imput[[Importe Neto]:[Importe Neto]],Imput[[C. Imp.]:[C. Imp.]],$D223,Imput[[PERIODO Imp.]:[PERIODO Imp.]],CA$9)</f>
        <v>0</v>
      </c>
      <c r="CB223" s="516">
        <f>SUMIFS(Imput[[Importe Neto]:[Importe Neto]],Imput[[C. Imp.]:[C. Imp.]],$D223,Imput[[PERIODO Imp.]:[PERIODO Imp.]],CB$9)</f>
        <v>0</v>
      </c>
      <c r="CC223" s="516">
        <f>SUMIFS(Imput[[Importe Neto]:[Importe Neto]],Imput[[C. Imp.]:[C. Imp.]],$D223,Imput[[PERIODO Imp.]:[PERIODO Imp.]],CC$9)</f>
        <v>0</v>
      </c>
      <c r="CD223" s="516">
        <f>SUMIFS(Imput[[Importe Neto]:[Importe Neto]],Imput[[C. Imp.]:[C. Imp.]],$D223,Imput[[PERIODO Imp.]:[PERIODO Imp.]],CD$9)</f>
        <v>0</v>
      </c>
      <c r="CE223" s="516">
        <f>SUMIFS(Imput[[Importe Neto]:[Importe Neto]],Imput[[C. Imp.]:[C. Imp.]],$D223,Imput[[PERIODO Imp.]:[PERIODO Imp.]],CE$9)</f>
        <v>0</v>
      </c>
      <c r="CF223" s="516">
        <f>SUMIFS(Imput[[Importe Neto]:[Importe Neto]],Imput[[C. Imp.]:[C. Imp.]],$D223,Imput[[PERIODO Imp.]:[PERIODO Imp.]],CF$9)</f>
        <v>0</v>
      </c>
      <c r="CG223" s="516">
        <f>SUMIFS(Imput[[Importe Neto]:[Importe Neto]],Imput[[C. Imp.]:[C. Imp.]],$D223,Imput[[PERIODO Imp.]:[PERIODO Imp.]],CG$9)</f>
        <v>0</v>
      </c>
      <c r="CH223" s="516">
        <f>SUMIFS(Imput[[Importe Neto]:[Importe Neto]],Imput[[C. Imp.]:[C. Imp.]],$D223,Imput[[PERIODO Imp.]:[PERIODO Imp.]],CH$9)</f>
        <v>0</v>
      </c>
      <c r="CI223" s="516">
        <f>SUMIFS(Imput[[Importe Neto]:[Importe Neto]],Imput[[C. Imp.]:[C. Imp.]],$D223,Imput[[PERIODO Imp.]:[PERIODO Imp.]],CI$9)</f>
        <v>0</v>
      </c>
      <c r="CJ223" s="516">
        <f>SUMIFS(Imput[[Importe Neto]:[Importe Neto]],Imput[[C. Imp.]:[C. Imp.]],$D223,Imput[[PERIODO Imp.]:[PERIODO Imp.]],CJ$9)</f>
        <v>0</v>
      </c>
      <c r="CK223" s="516">
        <f>SUMIFS(Imput[[Importe Neto]:[Importe Neto]],Imput[[C. Imp.]:[C. Imp.]],$D223,Imput[[PERIODO Imp.]:[PERIODO Imp.]],CK$9)</f>
        <v>0</v>
      </c>
      <c r="CL223" s="516">
        <f>SUMIFS(Imput[[Importe Neto]:[Importe Neto]],Imput[[C. Imp.]:[C. Imp.]],$D223,Imput[[PERIODO Imp.]:[PERIODO Imp.]],CL$9)</f>
        <v>0</v>
      </c>
      <c r="CM223" s="516">
        <f>SUMIFS(Imput[[Importe Neto]:[Importe Neto]],Imput[[C. Imp.]:[C. Imp.]],$D223,Imput[[PERIODO Imp.]:[PERIODO Imp.]],CM$9)</f>
        <v>0</v>
      </c>
      <c r="CN223" s="516">
        <f>SUMIFS(Imput[[Importe Neto]:[Importe Neto]],Imput[[C. Imp.]:[C. Imp.]],$D223,Imput[[PERIODO Imp.]:[PERIODO Imp.]],CN$9)</f>
        <v>0</v>
      </c>
      <c r="CO223" s="516">
        <f>SUMIFS(Imput[[Importe Neto]:[Importe Neto]],Imput[[C. Imp.]:[C. Imp.]],$D223,Imput[[PERIODO Imp.]:[PERIODO Imp.]],CO$9)</f>
        <v>0</v>
      </c>
      <c r="CP223" s="516">
        <f>SUMIFS(Imput[[Importe Neto]:[Importe Neto]],Imput[[C. Imp.]:[C. Imp.]],$D223,Imput[[PERIODO Imp.]:[PERIODO Imp.]],CP$9)</f>
        <v>0</v>
      </c>
      <c r="CQ223" s="516">
        <f>SUMIFS(Imput[[Importe Neto]:[Importe Neto]],Imput[[C. Imp.]:[C. Imp.]],$D223,Imput[[PERIODO Imp.]:[PERIODO Imp.]],CQ$9)</f>
        <v>0</v>
      </c>
      <c r="CR223" s="516">
        <f>SUMIFS(Imput[[Importe Neto]:[Importe Neto]],Imput[[C. Imp.]:[C. Imp.]],$D223,Imput[[PERIODO Imp.]:[PERIODO Imp.]],CR$9)</f>
        <v>0</v>
      </c>
      <c r="CS223" s="516">
        <f>SUMIFS(Imput[[Importe Neto]:[Importe Neto]],Imput[[C. Imp.]:[C. Imp.]],$D223,Imput[[PERIODO Imp.]:[PERIODO Imp.]],CS$9)</f>
        <v>0</v>
      </c>
      <c r="CT223" s="516">
        <f>SUMIFS(Imput[[Importe Neto]:[Importe Neto]],Imput[[C. Imp.]:[C. Imp.]],$D223,Imput[[PERIODO Imp.]:[PERIODO Imp.]],CT$9)</f>
        <v>0</v>
      </c>
      <c r="CU223" s="516">
        <f>SUMIFS(Imput[[Importe Neto]:[Importe Neto]],Imput[[C. Imp.]:[C. Imp.]],$D223,Imput[[PERIODO Imp.]:[PERIODO Imp.]],CU$9)</f>
        <v>0</v>
      </c>
      <c r="CV223" s="516">
        <f>SUMIFS(Imput[[Importe Neto]:[Importe Neto]],Imput[[C. Imp.]:[C. Imp.]],$D223,Imput[[PERIODO Imp.]:[PERIODO Imp.]],CV$9)</f>
        <v>0</v>
      </c>
      <c r="CW223" s="516">
        <f>SUMIFS(Imput[[Importe Neto]:[Importe Neto]],Imput[[C. Imp.]:[C. Imp.]],$D223,Imput[[PERIODO Imp.]:[PERIODO Imp.]],CW$9)</f>
        <v>0</v>
      </c>
      <c r="CX223" s="516">
        <f>SUMIFS(Imput[[Importe Neto]:[Importe Neto]],Imput[[C. Imp.]:[C. Imp.]],$D223,Imput[[PERIODO Imp.]:[PERIODO Imp.]],CX$9)</f>
        <v>0</v>
      </c>
      <c r="CY223" s="516">
        <f>SUMIFS(Imput[[Importe Neto]:[Importe Neto]],Imput[[C. Imp.]:[C. Imp.]],$D223,Imput[[PERIODO Imp.]:[PERIODO Imp.]],CY$9)</f>
        <v>0</v>
      </c>
      <c r="CZ223" s="516">
        <f>SUMIFS(Imput[[Importe Neto]:[Importe Neto]],Imput[[C. Imp.]:[C. Imp.]],$D223,Imput[[PERIODO Imp.]:[PERIODO Imp.]],CZ$9)</f>
        <v>0</v>
      </c>
      <c r="DA223" s="516">
        <f>SUMIFS(Imput[[Importe Neto]:[Importe Neto]],Imput[[C. Imp.]:[C. Imp.]],$D223,Imput[[PERIODO Imp.]:[PERIODO Imp.]],DA$9)</f>
        <v>0</v>
      </c>
      <c r="DB223" s="516">
        <f>SUMIFS(Imput[[Importe Neto]:[Importe Neto]],Imput[[C. Imp.]:[C. Imp.]],$D223,Imput[[PERIODO Imp.]:[PERIODO Imp.]],DB$9)</f>
        <v>0</v>
      </c>
      <c r="DC223" s="516">
        <f>SUMIFS(Imput[[Importe Neto]:[Importe Neto]],Imput[[C. Imp.]:[C. Imp.]],$D223,Imput[[PERIODO Imp.]:[PERIODO Imp.]],DC$9)</f>
        <v>0</v>
      </c>
      <c r="DD223" s="516">
        <f>SUMIFS(Imput[[Importe Neto]:[Importe Neto]],Imput[[C. Imp.]:[C. Imp.]],$D223,Imput[[PERIODO Imp.]:[PERIODO Imp.]],DD$9)</f>
        <v>0</v>
      </c>
      <c r="DE223" s="516">
        <f>SUMIFS(Imput[[Importe Neto]:[Importe Neto]],Imput[[C. Imp.]:[C. Imp.]],$D223,Imput[[PERIODO Imp.]:[PERIODO Imp.]],DE$9)</f>
        <v>0</v>
      </c>
      <c r="DF223" s="516">
        <f>SUMIFS(Imput[[Importe Neto]:[Importe Neto]],Imput[[C. Imp.]:[C. Imp.]],$D223,Imput[[PERIODO Imp.]:[PERIODO Imp.]],DF$9)</f>
        <v>0</v>
      </c>
      <c r="DG223" s="516">
        <f>SUMIFS(Imput[[Importe Neto]:[Importe Neto]],Imput[[C. Imp.]:[C. Imp.]],$D223,Imput[[PERIODO Imp.]:[PERIODO Imp.]],DG$9)</f>
        <v>0</v>
      </c>
      <c r="DH223" s="616">
        <f>SUMIFS(Imput[[Importe Neto]:[Importe Neto]],Imput[[C. Imp.]:[C. Imp.]],$D223,Imput[[PERIODO Imp.]:[PERIODO Imp.]],DH$9)</f>
        <v>0</v>
      </c>
    </row>
    <row r="224" spans="1:112" s="122" customFormat="1" ht="14.4" hidden="1" outlineLevel="1" thickBot="1" x14ac:dyDescent="0.35">
      <c r="A224" s="66" t="str">
        <f t="shared" si="98"/>
        <v/>
      </c>
      <c r="B224" s="121"/>
      <c r="C224" s="527"/>
      <c r="D224" s="528" t="s">
        <v>2320</v>
      </c>
      <c r="E224" s="528"/>
      <c r="F224" s="534"/>
      <c r="G224" s="529"/>
      <c r="H224" s="531"/>
      <c r="I224" s="849" t="str">
        <f t="shared" si="99"/>
        <v/>
      </c>
      <c r="J224" s="517" t="str">
        <f t="shared" si="100"/>
        <v/>
      </c>
      <c r="K224" s="111"/>
      <c r="L224" s="853"/>
      <c r="M224" s="855"/>
      <c r="N224" s="855"/>
      <c r="O224" s="855"/>
      <c r="P224" s="855"/>
      <c r="Q224" s="855"/>
      <c r="R224" s="855"/>
      <c r="S224" s="855"/>
      <c r="T224" s="855"/>
      <c r="U224" s="855"/>
      <c r="V224" s="855"/>
      <c r="W224" s="855"/>
      <c r="X224" s="855"/>
      <c r="Y224" s="855"/>
      <c r="Z224" s="856"/>
      <c r="AA224" s="856"/>
      <c r="AB224" s="856"/>
      <c r="AC224" s="856"/>
      <c r="AD224" s="856"/>
      <c r="AE224" s="856"/>
      <c r="AF224" s="856"/>
      <c r="AG224" s="856"/>
      <c r="AH224" s="856"/>
      <c r="AI224" s="856"/>
      <c r="AJ224" s="856"/>
      <c r="AK224" s="856"/>
      <c r="AL224" s="856"/>
      <c r="AM224" s="856"/>
      <c r="AN224" s="856"/>
      <c r="AO224" s="856"/>
      <c r="AP224" s="856"/>
      <c r="AQ224" s="856"/>
      <c r="AR224" s="856"/>
      <c r="AS224" s="856"/>
      <c r="AT224" s="856"/>
      <c r="AU224" s="856"/>
      <c r="AV224" s="856"/>
      <c r="AW224" s="856"/>
      <c r="AX224" s="856"/>
      <c r="AY224" s="856"/>
      <c r="AZ224" s="856"/>
      <c r="BA224" s="856"/>
      <c r="BB224" s="856"/>
      <c r="BC224" s="856"/>
      <c r="BD224" s="856"/>
      <c r="BE224" s="856"/>
      <c r="BF224" s="856"/>
      <c r="BG224" s="857"/>
      <c r="BH224" s="590"/>
      <c r="BI224" s="111"/>
      <c r="BJ224" s="518">
        <f t="shared" si="101"/>
        <v>0</v>
      </c>
      <c r="BK224" s="517">
        <f t="shared" si="102"/>
        <v>0</v>
      </c>
      <c r="BL224" s="68"/>
      <c r="BM224" s="515">
        <f>SUMIFS(Imput[[Importe Neto]:[Importe Neto]],Imput[[C. Imp.]:[C. Imp.]],$D224,Imput[[PERIODO Imp.]:[PERIODO Imp.]],BM$9)</f>
        <v>0</v>
      </c>
      <c r="BN224" s="516">
        <f>SUMIFS(Imput[[Importe Neto]:[Importe Neto]],Imput[[C. Imp.]:[C. Imp.]],$D224,Imput[[PERIODO Imp.]:[PERIODO Imp.]],BN$9)</f>
        <v>0</v>
      </c>
      <c r="BO224" s="516">
        <f>SUMIFS(Imput[[Importe Neto]:[Importe Neto]],Imput[[C. Imp.]:[C. Imp.]],$D224,Imput[[PERIODO Imp.]:[PERIODO Imp.]],BO$9)</f>
        <v>0</v>
      </c>
      <c r="BP224" s="516">
        <f>SUMIFS(Imput[[Importe Neto]:[Importe Neto]],Imput[[C. Imp.]:[C. Imp.]],$D224,Imput[[PERIODO Imp.]:[PERIODO Imp.]],BP$9)</f>
        <v>0</v>
      </c>
      <c r="BQ224" s="516">
        <f>SUMIFS(Imput[[Importe Neto]:[Importe Neto]],Imput[[C. Imp.]:[C. Imp.]],$D224,Imput[[PERIODO Imp.]:[PERIODO Imp.]],BQ$9)</f>
        <v>0</v>
      </c>
      <c r="BR224" s="516">
        <f>SUMIFS(Imput[[Importe Neto]:[Importe Neto]],Imput[[C. Imp.]:[C. Imp.]],$D224,Imput[[PERIODO Imp.]:[PERIODO Imp.]],BR$9)</f>
        <v>0</v>
      </c>
      <c r="BS224" s="516">
        <f>SUMIFS(Imput[[Importe Neto]:[Importe Neto]],Imput[[C. Imp.]:[C. Imp.]],$D224,Imput[[PERIODO Imp.]:[PERIODO Imp.]],BS$9)</f>
        <v>0</v>
      </c>
      <c r="BT224" s="516">
        <f>SUMIFS(Imput[[Importe Neto]:[Importe Neto]],Imput[[C. Imp.]:[C. Imp.]],$D224,Imput[[PERIODO Imp.]:[PERIODO Imp.]],BT$9)</f>
        <v>0</v>
      </c>
      <c r="BU224" s="516">
        <f>SUMIFS(Imput[[Importe Neto]:[Importe Neto]],Imput[[C. Imp.]:[C. Imp.]],$D224,Imput[[PERIODO Imp.]:[PERIODO Imp.]],BU$9)</f>
        <v>0</v>
      </c>
      <c r="BV224" s="516">
        <f>SUMIFS(Imput[[Importe Neto]:[Importe Neto]],Imput[[C. Imp.]:[C. Imp.]],$D224,Imput[[PERIODO Imp.]:[PERIODO Imp.]],BV$9)</f>
        <v>0</v>
      </c>
      <c r="BW224" s="516">
        <f>SUMIFS(Imput[[Importe Neto]:[Importe Neto]],Imput[[C. Imp.]:[C. Imp.]],$D224,Imput[[PERIODO Imp.]:[PERIODO Imp.]],BW$9)</f>
        <v>0</v>
      </c>
      <c r="BX224" s="516">
        <f>SUMIFS(Imput[[Importe Neto]:[Importe Neto]],Imput[[C. Imp.]:[C. Imp.]],$D224,Imput[[PERIODO Imp.]:[PERIODO Imp.]],BX$9)</f>
        <v>0</v>
      </c>
      <c r="BY224" s="516">
        <f>SUMIFS(Imput[[Importe Neto]:[Importe Neto]],Imput[[C. Imp.]:[C. Imp.]],$D224,Imput[[PERIODO Imp.]:[PERIODO Imp.]],BY$9)</f>
        <v>0</v>
      </c>
      <c r="BZ224" s="516">
        <f>SUMIFS(Imput[[Importe Neto]:[Importe Neto]],Imput[[C. Imp.]:[C. Imp.]],$D224,Imput[[PERIODO Imp.]:[PERIODO Imp.]],BZ$9)</f>
        <v>0</v>
      </c>
      <c r="CA224" s="516">
        <f>SUMIFS(Imput[[Importe Neto]:[Importe Neto]],Imput[[C. Imp.]:[C. Imp.]],$D224,Imput[[PERIODO Imp.]:[PERIODO Imp.]],CA$9)</f>
        <v>0</v>
      </c>
      <c r="CB224" s="516">
        <f>SUMIFS(Imput[[Importe Neto]:[Importe Neto]],Imput[[C. Imp.]:[C. Imp.]],$D224,Imput[[PERIODO Imp.]:[PERIODO Imp.]],CB$9)</f>
        <v>0</v>
      </c>
      <c r="CC224" s="516">
        <f>SUMIFS(Imput[[Importe Neto]:[Importe Neto]],Imput[[C. Imp.]:[C. Imp.]],$D224,Imput[[PERIODO Imp.]:[PERIODO Imp.]],CC$9)</f>
        <v>0</v>
      </c>
      <c r="CD224" s="516">
        <f>SUMIFS(Imput[[Importe Neto]:[Importe Neto]],Imput[[C. Imp.]:[C. Imp.]],$D224,Imput[[PERIODO Imp.]:[PERIODO Imp.]],CD$9)</f>
        <v>0</v>
      </c>
      <c r="CE224" s="516">
        <f>SUMIFS(Imput[[Importe Neto]:[Importe Neto]],Imput[[C. Imp.]:[C. Imp.]],$D224,Imput[[PERIODO Imp.]:[PERIODO Imp.]],CE$9)</f>
        <v>0</v>
      </c>
      <c r="CF224" s="516">
        <f>SUMIFS(Imput[[Importe Neto]:[Importe Neto]],Imput[[C. Imp.]:[C. Imp.]],$D224,Imput[[PERIODO Imp.]:[PERIODO Imp.]],CF$9)</f>
        <v>0</v>
      </c>
      <c r="CG224" s="516">
        <f>SUMIFS(Imput[[Importe Neto]:[Importe Neto]],Imput[[C. Imp.]:[C. Imp.]],$D224,Imput[[PERIODO Imp.]:[PERIODO Imp.]],CG$9)</f>
        <v>0</v>
      </c>
      <c r="CH224" s="516">
        <f>SUMIFS(Imput[[Importe Neto]:[Importe Neto]],Imput[[C. Imp.]:[C. Imp.]],$D224,Imput[[PERIODO Imp.]:[PERIODO Imp.]],CH$9)</f>
        <v>0</v>
      </c>
      <c r="CI224" s="516">
        <f>SUMIFS(Imput[[Importe Neto]:[Importe Neto]],Imput[[C. Imp.]:[C. Imp.]],$D224,Imput[[PERIODO Imp.]:[PERIODO Imp.]],CI$9)</f>
        <v>0</v>
      </c>
      <c r="CJ224" s="516">
        <f>SUMIFS(Imput[[Importe Neto]:[Importe Neto]],Imput[[C. Imp.]:[C. Imp.]],$D224,Imput[[PERIODO Imp.]:[PERIODO Imp.]],CJ$9)</f>
        <v>0</v>
      </c>
      <c r="CK224" s="516">
        <f>SUMIFS(Imput[[Importe Neto]:[Importe Neto]],Imput[[C. Imp.]:[C. Imp.]],$D224,Imput[[PERIODO Imp.]:[PERIODO Imp.]],CK$9)</f>
        <v>0</v>
      </c>
      <c r="CL224" s="516">
        <f>SUMIFS(Imput[[Importe Neto]:[Importe Neto]],Imput[[C. Imp.]:[C. Imp.]],$D224,Imput[[PERIODO Imp.]:[PERIODO Imp.]],CL$9)</f>
        <v>0</v>
      </c>
      <c r="CM224" s="516">
        <f>SUMIFS(Imput[[Importe Neto]:[Importe Neto]],Imput[[C. Imp.]:[C. Imp.]],$D224,Imput[[PERIODO Imp.]:[PERIODO Imp.]],CM$9)</f>
        <v>0</v>
      </c>
      <c r="CN224" s="516">
        <f>SUMIFS(Imput[[Importe Neto]:[Importe Neto]],Imput[[C. Imp.]:[C. Imp.]],$D224,Imput[[PERIODO Imp.]:[PERIODO Imp.]],CN$9)</f>
        <v>0</v>
      </c>
      <c r="CO224" s="516">
        <f>SUMIFS(Imput[[Importe Neto]:[Importe Neto]],Imput[[C. Imp.]:[C. Imp.]],$D224,Imput[[PERIODO Imp.]:[PERIODO Imp.]],CO$9)</f>
        <v>0</v>
      </c>
      <c r="CP224" s="516">
        <f>SUMIFS(Imput[[Importe Neto]:[Importe Neto]],Imput[[C. Imp.]:[C. Imp.]],$D224,Imput[[PERIODO Imp.]:[PERIODO Imp.]],CP$9)</f>
        <v>0</v>
      </c>
      <c r="CQ224" s="516">
        <f>SUMIFS(Imput[[Importe Neto]:[Importe Neto]],Imput[[C. Imp.]:[C. Imp.]],$D224,Imput[[PERIODO Imp.]:[PERIODO Imp.]],CQ$9)</f>
        <v>0</v>
      </c>
      <c r="CR224" s="516">
        <f>SUMIFS(Imput[[Importe Neto]:[Importe Neto]],Imput[[C. Imp.]:[C. Imp.]],$D224,Imput[[PERIODO Imp.]:[PERIODO Imp.]],CR$9)</f>
        <v>0</v>
      </c>
      <c r="CS224" s="516">
        <f>SUMIFS(Imput[[Importe Neto]:[Importe Neto]],Imput[[C. Imp.]:[C. Imp.]],$D224,Imput[[PERIODO Imp.]:[PERIODO Imp.]],CS$9)</f>
        <v>0</v>
      </c>
      <c r="CT224" s="516">
        <f>SUMIFS(Imput[[Importe Neto]:[Importe Neto]],Imput[[C. Imp.]:[C. Imp.]],$D224,Imput[[PERIODO Imp.]:[PERIODO Imp.]],CT$9)</f>
        <v>0</v>
      </c>
      <c r="CU224" s="516">
        <f>SUMIFS(Imput[[Importe Neto]:[Importe Neto]],Imput[[C. Imp.]:[C. Imp.]],$D224,Imput[[PERIODO Imp.]:[PERIODO Imp.]],CU$9)</f>
        <v>0</v>
      </c>
      <c r="CV224" s="516">
        <f>SUMIFS(Imput[[Importe Neto]:[Importe Neto]],Imput[[C. Imp.]:[C. Imp.]],$D224,Imput[[PERIODO Imp.]:[PERIODO Imp.]],CV$9)</f>
        <v>0</v>
      </c>
      <c r="CW224" s="516">
        <f>SUMIFS(Imput[[Importe Neto]:[Importe Neto]],Imput[[C. Imp.]:[C. Imp.]],$D224,Imput[[PERIODO Imp.]:[PERIODO Imp.]],CW$9)</f>
        <v>0</v>
      </c>
      <c r="CX224" s="516">
        <f>SUMIFS(Imput[[Importe Neto]:[Importe Neto]],Imput[[C. Imp.]:[C. Imp.]],$D224,Imput[[PERIODO Imp.]:[PERIODO Imp.]],CX$9)</f>
        <v>0</v>
      </c>
      <c r="CY224" s="516">
        <f>SUMIFS(Imput[[Importe Neto]:[Importe Neto]],Imput[[C. Imp.]:[C. Imp.]],$D224,Imput[[PERIODO Imp.]:[PERIODO Imp.]],CY$9)</f>
        <v>0</v>
      </c>
      <c r="CZ224" s="516">
        <f>SUMIFS(Imput[[Importe Neto]:[Importe Neto]],Imput[[C. Imp.]:[C. Imp.]],$D224,Imput[[PERIODO Imp.]:[PERIODO Imp.]],CZ$9)</f>
        <v>0</v>
      </c>
      <c r="DA224" s="516">
        <f>SUMIFS(Imput[[Importe Neto]:[Importe Neto]],Imput[[C. Imp.]:[C. Imp.]],$D224,Imput[[PERIODO Imp.]:[PERIODO Imp.]],DA$9)</f>
        <v>0</v>
      </c>
      <c r="DB224" s="516">
        <f>SUMIFS(Imput[[Importe Neto]:[Importe Neto]],Imput[[C. Imp.]:[C. Imp.]],$D224,Imput[[PERIODO Imp.]:[PERIODO Imp.]],DB$9)</f>
        <v>0</v>
      </c>
      <c r="DC224" s="516">
        <f>SUMIFS(Imput[[Importe Neto]:[Importe Neto]],Imput[[C. Imp.]:[C. Imp.]],$D224,Imput[[PERIODO Imp.]:[PERIODO Imp.]],DC$9)</f>
        <v>0</v>
      </c>
      <c r="DD224" s="516">
        <f>SUMIFS(Imput[[Importe Neto]:[Importe Neto]],Imput[[C. Imp.]:[C. Imp.]],$D224,Imput[[PERIODO Imp.]:[PERIODO Imp.]],DD$9)</f>
        <v>0</v>
      </c>
      <c r="DE224" s="516">
        <f>SUMIFS(Imput[[Importe Neto]:[Importe Neto]],Imput[[C. Imp.]:[C. Imp.]],$D224,Imput[[PERIODO Imp.]:[PERIODO Imp.]],DE$9)</f>
        <v>0</v>
      </c>
      <c r="DF224" s="516">
        <f>SUMIFS(Imput[[Importe Neto]:[Importe Neto]],Imput[[C. Imp.]:[C. Imp.]],$D224,Imput[[PERIODO Imp.]:[PERIODO Imp.]],DF$9)</f>
        <v>0</v>
      </c>
      <c r="DG224" s="516">
        <f>SUMIFS(Imput[[Importe Neto]:[Importe Neto]],Imput[[C. Imp.]:[C. Imp.]],$D224,Imput[[PERIODO Imp.]:[PERIODO Imp.]],DG$9)</f>
        <v>0</v>
      </c>
      <c r="DH224" s="616">
        <f>SUMIFS(Imput[[Importe Neto]:[Importe Neto]],Imput[[C. Imp.]:[C. Imp.]],$D224,Imput[[PERIODO Imp.]:[PERIODO Imp.]],DH$9)</f>
        <v>0</v>
      </c>
    </row>
    <row r="225" spans="1:112" s="122" customFormat="1" ht="14.4" hidden="1" outlineLevel="1" thickBot="1" x14ac:dyDescent="0.35">
      <c r="A225" s="66" t="str">
        <f t="shared" si="98"/>
        <v/>
      </c>
      <c r="B225" s="121"/>
      <c r="C225" s="527"/>
      <c r="D225" s="528" t="s">
        <v>2321</v>
      </c>
      <c r="E225" s="537"/>
      <c r="F225" s="534"/>
      <c r="G225" s="529"/>
      <c r="H225" s="538"/>
      <c r="I225" s="849" t="str">
        <f t="shared" si="99"/>
        <v/>
      </c>
      <c r="J225" s="517" t="str">
        <f t="shared" si="100"/>
        <v/>
      </c>
      <c r="K225" s="111"/>
      <c r="L225" s="853"/>
      <c r="M225" s="855"/>
      <c r="N225" s="855"/>
      <c r="O225" s="855"/>
      <c r="P225" s="855"/>
      <c r="Q225" s="855"/>
      <c r="R225" s="855"/>
      <c r="S225" s="855"/>
      <c r="T225" s="855"/>
      <c r="U225" s="855"/>
      <c r="V225" s="855"/>
      <c r="W225" s="855"/>
      <c r="X225" s="855"/>
      <c r="Y225" s="855"/>
      <c r="Z225" s="856"/>
      <c r="AA225" s="856"/>
      <c r="AB225" s="856"/>
      <c r="AC225" s="856"/>
      <c r="AD225" s="856"/>
      <c r="AE225" s="856"/>
      <c r="AF225" s="856"/>
      <c r="AG225" s="856"/>
      <c r="AH225" s="856"/>
      <c r="AI225" s="856"/>
      <c r="AJ225" s="856"/>
      <c r="AK225" s="856"/>
      <c r="AL225" s="856"/>
      <c r="AM225" s="856"/>
      <c r="AN225" s="856"/>
      <c r="AO225" s="856"/>
      <c r="AP225" s="856"/>
      <c r="AQ225" s="856"/>
      <c r="AR225" s="856"/>
      <c r="AS225" s="856"/>
      <c r="AT225" s="856"/>
      <c r="AU225" s="856"/>
      <c r="AV225" s="856"/>
      <c r="AW225" s="856"/>
      <c r="AX225" s="856"/>
      <c r="AY225" s="856"/>
      <c r="AZ225" s="856"/>
      <c r="BA225" s="856"/>
      <c r="BB225" s="856"/>
      <c r="BC225" s="856"/>
      <c r="BD225" s="856"/>
      <c r="BE225" s="856"/>
      <c r="BF225" s="856"/>
      <c r="BG225" s="857"/>
      <c r="BH225" s="590"/>
      <c r="BI225" s="111"/>
      <c r="BJ225" s="518">
        <f t="shared" si="101"/>
        <v>0</v>
      </c>
      <c r="BK225" s="517">
        <f t="shared" si="102"/>
        <v>0</v>
      </c>
      <c r="BL225" s="68"/>
      <c r="BM225" s="515">
        <f>SUMIFS(Imput[[Importe Neto]:[Importe Neto]],Imput[[C. Imp.]:[C. Imp.]],$D225,Imput[[PERIODO Imp.]:[PERIODO Imp.]],BM$9)</f>
        <v>0</v>
      </c>
      <c r="BN225" s="516">
        <f>SUMIFS(Imput[[Importe Neto]:[Importe Neto]],Imput[[C. Imp.]:[C. Imp.]],$D225,Imput[[PERIODO Imp.]:[PERIODO Imp.]],BN$9)</f>
        <v>0</v>
      </c>
      <c r="BO225" s="516">
        <f>SUMIFS(Imput[[Importe Neto]:[Importe Neto]],Imput[[C. Imp.]:[C. Imp.]],$D225,Imput[[PERIODO Imp.]:[PERIODO Imp.]],BO$9)</f>
        <v>0</v>
      </c>
      <c r="BP225" s="516">
        <f>SUMIFS(Imput[[Importe Neto]:[Importe Neto]],Imput[[C. Imp.]:[C. Imp.]],$D225,Imput[[PERIODO Imp.]:[PERIODO Imp.]],BP$9)</f>
        <v>0</v>
      </c>
      <c r="BQ225" s="516">
        <f>SUMIFS(Imput[[Importe Neto]:[Importe Neto]],Imput[[C. Imp.]:[C. Imp.]],$D225,Imput[[PERIODO Imp.]:[PERIODO Imp.]],BQ$9)</f>
        <v>0</v>
      </c>
      <c r="BR225" s="516">
        <f>SUMIFS(Imput[[Importe Neto]:[Importe Neto]],Imput[[C. Imp.]:[C. Imp.]],$D225,Imput[[PERIODO Imp.]:[PERIODO Imp.]],BR$9)</f>
        <v>0</v>
      </c>
      <c r="BS225" s="516">
        <f>SUMIFS(Imput[[Importe Neto]:[Importe Neto]],Imput[[C. Imp.]:[C. Imp.]],$D225,Imput[[PERIODO Imp.]:[PERIODO Imp.]],BS$9)</f>
        <v>0</v>
      </c>
      <c r="BT225" s="516">
        <f>SUMIFS(Imput[[Importe Neto]:[Importe Neto]],Imput[[C. Imp.]:[C. Imp.]],$D225,Imput[[PERIODO Imp.]:[PERIODO Imp.]],BT$9)</f>
        <v>0</v>
      </c>
      <c r="BU225" s="516">
        <f>SUMIFS(Imput[[Importe Neto]:[Importe Neto]],Imput[[C. Imp.]:[C. Imp.]],$D225,Imput[[PERIODO Imp.]:[PERIODO Imp.]],BU$9)</f>
        <v>0</v>
      </c>
      <c r="BV225" s="516">
        <f>SUMIFS(Imput[[Importe Neto]:[Importe Neto]],Imput[[C. Imp.]:[C. Imp.]],$D225,Imput[[PERIODO Imp.]:[PERIODO Imp.]],BV$9)</f>
        <v>0</v>
      </c>
      <c r="BW225" s="516">
        <f>SUMIFS(Imput[[Importe Neto]:[Importe Neto]],Imput[[C. Imp.]:[C. Imp.]],$D225,Imput[[PERIODO Imp.]:[PERIODO Imp.]],BW$9)</f>
        <v>0</v>
      </c>
      <c r="BX225" s="516">
        <f>SUMIFS(Imput[[Importe Neto]:[Importe Neto]],Imput[[C. Imp.]:[C. Imp.]],$D225,Imput[[PERIODO Imp.]:[PERIODO Imp.]],BX$9)</f>
        <v>0</v>
      </c>
      <c r="BY225" s="516">
        <f>SUMIFS(Imput[[Importe Neto]:[Importe Neto]],Imput[[C. Imp.]:[C. Imp.]],$D225,Imput[[PERIODO Imp.]:[PERIODO Imp.]],BY$9)</f>
        <v>0</v>
      </c>
      <c r="BZ225" s="516">
        <f>SUMIFS(Imput[[Importe Neto]:[Importe Neto]],Imput[[C. Imp.]:[C. Imp.]],$D225,Imput[[PERIODO Imp.]:[PERIODO Imp.]],BZ$9)</f>
        <v>0</v>
      </c>
      <c r="CA225" s="516">
        <f>SUMIFS(Imput[[Importe Neto]:[Importe Neto]],Imput[[C. Imp.]:[C. Imp.]],$D225,Imput[[PERIODO Imp.]:[PERIODO Imp.]],CA$9)</f>
        <v>0</v>
      </c>
      <c r="CB225" s="516">
        <f>SUMIFS(Imput[[Importe Neto]:[Importe Neto]],Imput[[C. Imp.]:[C. Imp.]],$D225,Imput[[PERIODO Imp.]:[PERIODO Imp.]],CB$9)</f>
        <v>0</v>
      </c>
      <c r="CC225" s="516">
        <f>SUMIFS(Imput[[Importe Neto]:[Importe Neto]],Imput[[C. Imp.]:[C. Imp.]],$D225,Imput[[PERIODO Imp.]:[PERIODO Imp.]],CC$9)</f>
        <v>0</v>
      </c>
      <c r="CD225" s="516">
        <f>SUMIFS(Imput[[Importe Neto]:[Importe Neto]],Imput[[C. Imp.]:[C. Imp.]],$D225,Imput[[PERIODO Imp.]:[PERIODO Imp.]],CD$9)</f>
        <v>0</v>
      </c>
      <c r="CE225" s="516">
        <f>SUMIFS(Imput[[Importe Neto]:[Importe Neto]],Imput[[C. Imp.]:[C. Imp.]],$D225,Imput[[PERIODO Imp.]:[PERIODO Imp.]],CE$9)</f>
        <v>0</v>
      </c>
      <c r="CF225" s="516">
        <f>SUMIFS(Imput[[Importe Neto]:[Importe Neto]],Imput[[C. Imp.]:[C. Imp.]],$D225,Imput[[PERIODO Imp.]:[PERIODO Imp.]],CF$9)</f>
        <v>0</v>
      </c>
      <c r="CG225" s="516">
        <f>SUMIFS(Imput[[Importe Neto]:[Importe Neto]],Imput[[C. Imp.]:[C. Imp.]],$D225,Imput[[PERIODO Imp.]:[PERIODO Imp.]],CG$9)</f>
        <v>0</v>
      </c>
      <c r="CH225" s="516">
        <f>SUMIFS(Imput[[Importe Neto]:[Importe Neto]],Imput[[C. Imp.]:[C. Imp.]],$D225,Imput[[PERIODO Imp.]:[PERIODO Imp.]],CH$9)</f>
        <v>0</v>
      </c>
      <c r="CI225" s="516">
        <f>SUMIFS(Imput[[Importe Neto]:[Importe Neto]],Imput[[C. Imp.]:[C. Imp.]],$D225,Imput[[PERIODO Imp.]:[PERIODO Imp.]],CI$9)</f>
        <v>0</v>
      </c>
      <c r="CJ225" s="516">
        <f>SUMIFS(Imput[[Importe Neto]:[Importe Neto]],Imput[[C. Imp.]:[C. Imp.]],$D225,Imput[[PERIODO Imp.]:[PERIODO Imp.]],CJ$9)</f>
        <v>0</v>
      </c>
      <c r="CK225" s="516">
        <f>SUMIFS(Imput[[Importe Neto]:[Importe Neto]],Imput[[C. Imp.]:[C. Imp.]],$D225,Imput[[PERIODO Imp.]:[PERIODO Imp.]],CK$9)</f>
        <v>0</v>
      </c>
      <c r="CL225" s="516">
        <f>SUMIFS(Imput[[Importe Neto]:[Importe Neto]],Imput[[C. Imp.]:[C. Imp.]],$D225,Imput[[PERIODO Imp.]:[PERIODO Imp.]],CL$9)</f>
        <v>0</v>
      </c>
      <c r="CM225" s="516">
        <f>SUMIFS(Imput[[Importe Neto]:[Importe Neto]],Imput[[C. Imp.]:[C. Imp.]],$D225,Imput[[PERIODO Imp.]:[PERIODO Imp.]],CM$9)</f>
        <v>0</v>
      </c>
      <c r="CN225" s="516">
        <f>SUMIFS(Imput[[Importe Neto]:[Importe Neto]],Imput[[C. Imp.]:[C. Imp.]],$D225,Imput[[PERIODO Imp.]:[PERIODO Imp.]],CN$9)</f>
        <v>0</v>
      </c>
      <c r="CO225" s="516">
        <f>SUMIFS(Imput[[Importe Neto]:[Importe Neto]],Imput[[C. Imp.]:[C. Imp.]],$D225,Imput[[PERIODO Imp.]:[PERIODO Imp.]],CO$9)</f>
        <v>0</v>
      </c>
      <c r="CP225" s="516">
        <f>SUMIFS(Imput[[Importe Neto]:[Importe Neto]],Imput[[C. Imp.]:[C. Imp.]],$D225,Imput[[PERIODO Imp.]:[PERIODO Imp.]],CP$9)</f>
        <v>0</v>
      </c>
      <c r="CQ225" s="516">
        <f>SUMIFS(Imput[[Importe Neto]:[Importe Neto]],Imput[[C. Imp.]:[C. Imp.]],$D225,Imput[[PERIODO Imp.]:[PERIODO Imp.]],CQ$9)</f>
        <v>0</v>
      </c>
      <c r="CR225" s="516">
        <f>SUMIFS(Imput[[Importe Neto]:[Importe Neto]],Imput[[C. Imp.]:[C. Imp.]],$D225,Imput[[PERIODO Imp.]:[PERIODO Imp.]],CR$9)</f>
        <v>0</v>
      </c>
      <c r="CS225" s="516">
        <f>SUMIFS(Imput[[Importe Neto]:[Importe Neto]],Imput[[C. Imp.]:[C. Imp.]],$D225,Imput[[PERIODO Imp.]:[PERIODO Imp.]],CS$9)</f>
        <v>0</v>
      </c>
      <c r="CT225" s="516">
        <f>SUMIFS(Imput[[Importe Neto]:[Importe Neto]],Imput[[C. Imp.]:[C. Imp.]],$D225,Imput[[PERIODO Imp.]:[PERIODO Imp.]],CT$9)</f>
        <v>0</v>
      </c>
      <c r="CU225" s="516">
        <f>SUMIFS(Imput[[Importe Neto]:[Importe Neto]],Imput[[C. Imp.]:[C. Imp.]],$D225,Imput[[PERIODO Imp.]:[PERIODO Imp.]],CU$9)</f>
        <v>0</v>
      </c>
      <c r="CV225" s="516">
        <f>SUMIFS(Imput[[Importe Neto]:[Importe Neto]],Imput[[C. Imp.]:[C. Imp.]],$D225,Imput[[PERIODO Imp.]:[PERIODO Imp.]],CV$9)</f>
        <v>0</v>
      </c>
      <c r="CW225" s="516">
        <f>SUMIFS(Imput[[Importe Neto]:[Importe Neto]],Imput[[C. Imp.]:[C. Imp.]],$D225,Imput[[PERIODO Imp.]:[PERIODO Imp.]],CW$9)</f>
        <v>0</v>
      </c>
      <c r="CX225" s="516">
        <f>SUMIFS(Imput[[Importe Neto]:[Importe Neto]],Imput[[C. Imp.]:[C. Imp.]],$D225,Imput[[PERIODO Imp.]:[PERIODO Imp.]],CX$9)</f>
        <v>0</v>
      </c>
      <c r="CY225" s="516">
        <f>SUMIFS(Imput[[Importe Neto]:[Importe Neto]],Imput[[C. Imp.]:[C. Imp.]],$D225,Imput[[PERIODO Imp.]:[PERIODO Imp.]],CY$9)</f>
        <v>0</v>
      </c>
      <c r="CZ225" s="516">
        <f>SUMIFS(Imput[[Importe Neto]:[Importe Neto]],Imput[[C. Imp.]:[C. Imp.]],$D225,Imput[[PERIODO Imp.]:[PERIODO Imp.]],CZ$9)</f>
        <v>0</v>
      </c>
      <c r="DA225" s="516">
        <f>SUMIFS(Imput[[Importe Neto]:[Importe Neto]],Imput[[C. Imp.]:[C. Imp.]],$D225,Imput[[PERIODO Imp.]:[PERIODO Imp.]],DA$9)</f>
        <v>0</v>
      </c>
      <c r="DB225" s="516">
        <f>SUMIFS(Imput[[Importe Neto]:[Importe Neto]],Imput[[C. Imp.]:[C. Imp.]],$D225,Imput[[PERIODO Imp.]:[PERIODO Imp.]],DB$9)</f>
        <v>0</v>
      </c>
      <c r="DC225" s="516">
        <f>SUMIFS(Imput[[Importe Neto]:[Importe Neto]],Imput[[C. Imp.]:[C. Imp.]],$D225,Imput[[PERIODO Imp.]:[PERIODO Imp.]],DC$9)</f>
        <v>0</v>
      </c>
      <c r="DD225" s="516">
        <f>SUMIFS(Imput[[Importe Neto]:[Importe Neto]],Imput[[C. Imp.]:[C. Imp.]],$D225,Imput[[PERIODO Imp.]:[PERIODO Imp.]],DD$9)</f>
        <v>0</v>
      </c>
      <c r="DE225" s="516">
        <f>SUMIFS(Imput[[Importe Neto]:[Importe Neto]],Imput[[C. Imp.]:[C. Imp.]],$D225,Imput[[PERIODO Imp.]:[PERIODO Imp.]],DE$9)</f>
        <v>0</v>
      </c>
      <c r="DF225" s="516">
        <f>SUMIFS(Imput[[Importe Neto]:[Importe Neto]],Imput[[C. Imp.]:[C. Imp.]],$D225,Imput[[PERIODO Imp.]:[PERIODO Imp.]],DF$9)</f>
        <v>0</v>
      </c>
      <c r="DG225" s="516">
        <f>SUMIFS(Imput[[Importe Neto]:[Importe Neto]],Imput[[C. Imp.]:[C. Imp.]],$D225,Imput[[PERIODO Imp.]:[PERIODO Imp.]],DG$9)</f>
        <v>0</v>
      </c>
      <c r="DH225" s="616">
        <f>SUMIFS(Imput[[Importe Neto]:[Importe Neto]],Imput[[C. Imp.]:[C. Imp.]],$D225,Imput[[PERIODO Imp.]:[PERIODO Imp.]],DH$9)</f>
        <v>0</v>
      </c>
    </row>
    <row r="226" spans="1:112" ht="14.4" hidden="1" outlineLevel="1" thickBot="1" x14ac:dyDescent="0.35">
      <c r="A226" s="66" t="str">
        <f>IF(J210&gt;0,"Imprimir","")</f>
        <v/>
      </c>
      <c r="C226" s="112"/>
      <c r="D226" s="113"/>
      <c r="E226" s="113"/>
      <c r="F226" s="114"/>
      <c r="G226" s="605"/>
      <c r="H226" s="115"/>
      <c r="I226" s="116"/>
      <c r="J226" s="117"/>
      <c r="K226" s="70"/>
      <c r="L226" s="591"/>
      <c r="M226" s="592"/>
      <c r="N226" s="767"/>
      <c r="O226" s="767"/>
      <c r="P226" s="768"/>
      <c r="Q226" s="768"/>
      <c r="R226" s="593"/>
      <c r="S226" s="593"/>
      <c r="T226" s="769"/>
      <c r="U226" s="769"/>
      <c r="V226" s="768"/>
      <c r="W226" s="768"/>
      <c r="X226" s="593"/>
      <c r="Y226" s="593"/>
      <c r="Z226" s="593"/>
      <c r="AA226" s="593"/>
      <c r="AB226" s="593"/>
      <c r="AC226" s="593"/>
      <c r="AD226" s="593"/>
      <c r="AE226" s="593"/>
      <c r="AF226" s="593"/>
      <c r="AG226" s="593"/>
      <c r="AH226" s="593"/>
      <c r="AI226" s="593"/>
      <c r="AJ226" s="593"/>
      <c r="AK226" s="593"/>
      <c r="AL226" s="593"/>
      <c r="AM226" s="593"/>
      <c r="AN226" s="593"/>
      <c r="AO226" s="593"/>
      <c r="AP226" s="593"/>
      <c r="AQ226" s="593"/>
      <c r="AR226" s="593"/>
      <c r="AS226" s="593"/>
      <c r="AT226" s="593"/>
      <c r="AU226" s="593"/>
      <c r="AV226" s="593"/>
      <c r="AW226" s="593"/>
      <c r="AX226" s="593"/>
      <c r="AY226" s="593"/>
      <c r="AZ226" s="593"/>
      <c r="BA226" s="593"/>
      <c r="BB226" s="593"/>
      <c r="BC226" s="593"/>
      <c r="BD226" s="593"/>
      <c r="BE226" s="593"/>
      <c r="BF226" s="593"/>
      <c r="BG226" s="594"/>
      <c r="BH226" s="773"/>
      <c r="BI226" s="68"/>
      <c r="BJ226" s="163"/>
      <c r="BK226" s="153"/>
      <c r="BL226" s="68"/>
      <c r="BM226" s="152"/>
      <c r="BN226" s="114"/>
      <c r="BO226" s="114"/>
      <c r="BP226" s="114"/>
      <c r="BQ226" s="114"/>
      <c r="BR226" s="114"/>
      <c r="BS226" s="114"/>
      <c r="BT226" s="114"/>
      <c r="BU226" s="114"/>
      <c r="BV226" s="114"/>
      <c r="BW226" s="114"/>
      <c r="BX226" s="114"/>
      <c r="BY226" s="114"/>
      <c r="BZ226" s="114"/>
      <c r="CA226" s="114"/>
      <c r="CB226" s="114"/>
      <c r="CC226" s="114"/>
      <c r="CD226" s="114"/>
      <c r="CE226" s="114"/>
      <c r="CF226" s="114"/>
      <c r="CG226" s="114"/>
      <c r="CH226" s="114"/>
      <c r="CI226" s="114"/>
      <c r="CJ226" s="114"/>
      <c r="CK226" s="114"/>
      <c r="CL226" s="114"/>
      <c r="CM226" s="114"/>
      <c r="CN226" s="114"/>
      <c r="CO226" s="114"/>
      <c r="CP226" s="114"/>
      <c r="CQ226" s="114"/>
      <c r="CR226" s="114"/>
      <c r="CS226" s="114"/>
      <c r="CT226" s="114"/>
      <c r="CU226" s="114"/>
      <c r="CV226" s="114"/>
      <c r="CW226" s="114"/>
      <c r="CX226" s="114"/>
      <c r="CY226" s="114"/>
      <c r="CZ226" s="114"/>
      <c r="DA226" s="114"/>
      <c r="DB226" s="114"/>
      <c r="DC226" s="114"/>
      <c r="DD226" s="114"/>
      <c r="DE226" s="114"/>
      <c r="DF226" s="114"/>
      <c r="DG226" s="114"/>
      <c r="DH226" s="153"/>
    </row>
    <row r="227" spans="1:112" ht="14.4" hidden="1" collapsed="1" thickBot="1" x14ac:dyDescent="0.35">
      <c r="A227" s="66" t="str">
        <f>IF(J227&gt;0,"Imprimir","")</f>
        <v/>
      </c>
      <c r="C227" s="98"/>
      <c r="D227" s="99" t="s">
        <v>455</v>
      </c>
      <c r="E227" s="99" t="s">
        <v>511</v>
      </c>
      <c r="F227" s="99"/>
      <c r="G227" s="606"/>
      <c r="H227" s="99"/>
      <c r="I227" s="100"/>
      <c r="J227" s="166">
        <f>SUBTOTAL(9,J230:J234)</f>
        <v>0</v>
      </c>
      <c r="K227" s="265"/>
      <c r="L227" s="770">
        <f t="shared" ref="L227:BG227" si="103">SUMPRODUCT($J230:$J234,L230:L234)</f>
        <v>0</v>
      </c>
      <c r="M227" s="771">
        <f t="shared" si="103"/>
        <v>0</v>
      </c>
      <c r="N227" s="771">
        <f t="shared" si="103"/>
        <v>0</v>
      </c>
      <c r="O227" s="771">
        <f t="shared" si="103"/>
        <v>0</v>
      </c>
      <c r="P227" s="771">
        <f t="shared" si="103"/>
        <v>0</v>
      </c>
      <c r="Q227" s="771">
        <f t="shared" si="103"/>
        <v>0</v>
      </c>
      <c r="R227" s="771">
        <f t="shared" si="103"/>
        <v>0</v>
      </c>
      <c r="S227" s="771">
        <f t="shared" si="103"/>
        <v>0</v>
      </c>
      <c r="T227" s="771">
        <f t="shared" si="103"/>
        <v>0</v>
      </c>
      <c r="U227" s="771">
        <f t="shared" si="103"/>
        <v>0</v>
      </c>
      <c r="V227" s="771">
        <f t="shared" si="103"/>
        <v>0</v>
      </c>
      <c r="W227" s="771">
        <f t="shared" si="103"/>
        <v>0</v>
      </c>
      <c r="X227" s="771">
        <f t="shared" si="103"/>
        <v>0</v>
      </c>
      <c r="Y227" s="771">
        <f t="shared" si="103"/>
        <v>0</v>
      </c>
      <c r="Z227" s="771">
        <f t="shared" si="103"/>
        <v>0</v>
      </c>
      <c r="AA227" s="771">
        <f t="shared" si="103"/>
        <v>0</v>
      </c>
      <c r="AB227" s="771">
        <f t="shared" si="103"/>
        <v>0</v>
      </c>
      <c r="AC227" s="771">
        <f t="shared" si="103"/>
        <v>0</v>
      </c>
      <c r="AD227" s="771">
        <f t="shared" si="103"/>
        <v>0</v>
      </c>
      <c r="AE227" s="771">
        <f t="shared" si="103"/>
        <v>0</v>
      </c>
      <c r="AF227" s="771">
        <f t="shared" si="103"/>
        <v>0</v>
      </c>
      <c r="AG227" s="771">
        <f t="shared" si="103"/>
        <v>0</v>
      </c>
      <c r="AH227" s="771">
        <f t="shared" si="103"/>
        <v>0</v>
      </c>
      <c r="AI227" s="771">
        <f t="shared" si="103"/>
        <v>0</v>
      </c>
      <c r="AJ227" s="771">
        <f t="shared" si="103"/>
        <v>0</v>
      </c>
      <c r="AK227" s="771">
        <f t="shared" si="103"/>
        <v>0</v>
      </c>
      <c r="AL227" s="771">
        <f t="shared" si="103"/>
        <v>0</v>
      </c>
      <c r="AM227" s="771">
        <f t="shared" si="103"/>
        <v>0</v>
      </c>
      <c r="AN227" s="771">
        <f t="shared" si="103"/>
        <v>0</v>
      </c>
      <c r="AO227" s="771">
        <f t="shared" si="103"/>
        <v>0</v>
      </c>
      <c r="AP227" s="771">
        <f t="shared" si="103"/>
        <v>0</v>
      </c>
      <c r="AQ227" s="771">
        <f t="shared" si="103"/>
        <v>0</v>
      </c>
      <c r="AR227" s="771">
        <f t="shared" si="103"/>
        <v>0</v>
      </c>
      <c r="AS227" s="771">
        <f t="shared" si="103"/>
        <v>0</v>
      </c>
      <c r="AT227" s="771">
        <f t="shared" si="103"/>
        <v>0</v>
      </c>
      <c r="AU227" s="771">
        <f t="shared" si="103"/>
        <v>0</v>
      </c>
      <c r="AV227" s="771">
        <f t="shared" si="103"/>
        <v>0</v>
      </c>
      <c r="AW227" s="771">
        <f t="shared" si="103"/>
        <v>0</v>
      </c>
      <c r="AX227" s="771">
        <f t="shared" si="103"/>
        <v>0</v>
      </c>
      <c r="AY227" s="771">
        <f t="shared" si="103"/>
        <v>0</v>
      </c>
      <c r="AZ227" s="771">
        <f t="shared" si="103"/>
        <v>0</v>
      </c>
      <c r="BA227" s="771">
        <f t="shared" si="103"/>
        <v>0</v>
      </c>
      <c r="BB227" s="771">
        <f t="shared" si="103"/>
        <v>0</v>
      </c>
      <c r="BC227" s="771">
        <f t="shared" si="103"/>
        <v>0</v>
      </c>
      <c r="BD227" s="771">
        <f t="shared" si="103"/>
        <v>0</v>
      </c>
      <c r="BE227" s="771">
        <f t="shared" si="103"/>
        <v>0</v>
      </c>
      <c r="BF227" s="771">
        <f t="shared" si="103"/>
        <v>0</v>
      </c>
      <c r="BG227" s="765">
        <f t="shared" si="103"/>
        <v>0</v>
      </c>
      <c r="BH227" s="772"/>
      <c r="BI227" s="68"/>
      <c r="BJ227" s="519">
        <f>IFERROR(13/J227,0)</f>
        <v>0</v>
      </c>
      <c r="BK227" s="452">
        <f>SUBTOTAL(9,BK228:BK234)</f>
        <v>0</v>
      </c>
      <c r="BL227" s="68"/>
      <c r="BM227" s="453">
        <f>SUBTOTAL(9,BM228:BM234)</f>
        <v>0</v>
      </c>
      <c r="BN227" s="454">
        <f>SUBTOTAL(9,BN228:BN234)</f>
        <v>0</v>
      </c>
      <c r="BO227" s="454">
        <f t="shared" ref="BO227:DH227" si="104">SUBTOTAL(9,BO228:BO234)</f>
        <v>0</v>
      </c>
      <c r="BP227" s="454">
        <f t="shared" si="104"/>
        <v>0</v>
      </c>
      <c r="BQ227" s="454">
        <f t="shared" si="104"/>
        <v>0</v>
      </c>
      <c r="BR227" s="454">
        <f t="shared" si="104"/>
        <v>0</v>
      </c>
      <c r="BS227" s="454">
        <f t="shared" si="104"/>
        <v>0</v>
      </c>
      <c r="BT227" s="454">
        <f t="shared" si="104"/>
        <v>0</v>
      </c>
      <c r="BU227" s="454">
        <f t="shared" si="104"/>
        <v>0</v>
      </c>
      <c r="BV227" s="454">
        <f t="shared" si="104"/>
        <v>0</v>
      </c>
      <c r="BW227" s="454">
        <f t="shared" si="104"/>
        <v>0</v>
      </c>
      <c r="BX227" s="454">
        <f t="shared" si="104"/>
        <v>0</v>
      </c>
      <c r="BY227" s="454">
        <f t="shared" si="104"/>
        <v>0</v>
      </c>
      <c r="BZ227" s="454">
        <f t="shared" si="104"/>
        <v>0</v>
      </c>
      <c r="CA227" s="454">
        <f t="shared" si="104"/>
        <v>0</v>
      </c>
      <c r="CB227" s="454">
        <f t="shared" si="104"/>
        <v>0</v>
      </c>
      <c r="CC227" s="454">
        <f t="shared" si="104"/>
        <v>0</v>
      </c>
      <c r="CD227" s="454">
        <f t="shared" si="104"/>
        <v>0</v>
      </c>
      <c r="CE227" s="454">
        <f t="shared" si="104"/>
        <v>0</v>
      </c>
      <c r="CF227" s="454">
        <f t="shared" si="104"/>
        <v>0</v>
      </c>
      <c r="CG227" s="454">
        <f t="shared" si="104"/>
        <v>0</v>
      </c>
      <c r="CH227" s="454">
        <f t="shared" si="104"/>
        <v>0</v>
      </c>
      <c r="CI227" s="454">
        <f t="shared" si="104"/>
        <v>0</v>
      </c>
      <c r="CJ227" s="454">
        <f t="shared" si="104"/>
        <v>0</v>
      </c>
      <c r="CK227" s="454">
        <f t="shared" si="104"/>
        <v>0</v>
      </c>
      <c r="CL227" s="454">
        <f t="shared" si="104"/>
        <v>0</v>
      </c>
      <c r="CM227" s="454">
        <f t="shared" si="104"/>
        <v>0</v>
      </c>
      <c r="CN227" s="454">
        <f t="shared" si="104"/>
        <v>0</v>
      </c>
      <c r="CO227" s="454">
        <f t="shared" si="104"/>
        <v>0</v>
      </c>
      <c r="CP227" s="454">
        <f t="shared" si="104"/>
        <v>0</v>
      </c>
      <c r="CQ227" s="454">
        <f t="shared" si="104"/>
        <v>0</v>
      </c>
      <c r="CR227" s="454">
        <f t="shared" si="104"/>
        <v>0</v>
      </c>
      <c r="CS227" s="454">
        <f t="shared" si="104"/>
        <v>0</v>
      </c>
      <c r="CT227" s="454">
        <f t="shared" si="104"/>
        <v>0</v>
      </c>
      <c r="CU227" s="454">
        <f t="shared" si="104"/>
        <v>0</v>
      </c>
      <c r="CV227" s="454">
        <f t="shared" si="104"/>
        <v>0</v>
      </c>
      <c r="CW227" s="454">
        <f t="shared" si="104"/>
        <v>0</v>
      </c>
      <c r="CX227" s="454">
        <f t="shared" si="104"/>
        <v>0</v>
      </c>
      <c r="CY227" s="454">
        <f t="shared" si="104"/>
        <v>0</v>
      </c>
      <c r="CZ227" s="454">
        <f t="shared" si="104"/>
        <v>0</v>
      </c>
      <c r="DA227" s="454">
        <f t="shared" si="104"/>
        <v>0</v>
      </c>
      <c r="DB227" s="454">
        <f t="shared" si="104"/>
        <v>0</v>
      </c>
      <c r="DC227" s="454">
        <f t="shared" si="104"/>
        <v>0</v>
      </c>
      <c r="DD227" s="454">
        <f t="shared" si="104"/>
        <v>0</v>
      </c>
      <c r="DE227" s="454">
        <f t="shared" si="104"/>
        <v>0</v>
      </c>
      <c r="DF227" s="454">
        <f t="shared" si="104"/>
        <v>0</v>
      </c>
      <c r="DG227" s="454">
        <f t="shared" si="104"/>
        <v>0</v>
      </c>
      <c r="DH227" s="615">
        <f t="shared" si="104"/>
        <v>0</v>
      </c>
    </row>
    <row r="228" spans="1:112" ht="28.2" hidden="1" outlineLevel="1" thickBot="1" x14ac:dyDescent="0.35">
      <c r="A228" s="66" t="str">
        <f>IF(J227&gt;0,"Imprimir","")</f>
        <v/>
      </c>
      <c r="C228" s="102"/>
      <c r="D228" s="103"/>
      <c r="E228" s="103"/>
      <c r="F228" s="103" t="s">
        <v>472</v>
      </c>
      <c r="G228" s="607" t="s">
        <v>473</v>
      </c>
      <c r="H228" s="103" t="str">
        <f>H15</f>
        <v>Cantidad</v>
      </c>
      <c r="I228" s="103" t="s">
        <v>474</v>
      </c>
      <c r="J228" s="104" t="s">
        <v>29</v>
      </c>
      <c r="K228" s="70"/>
      <c r="L228" s="745"/>
      <c r="M228" s="741"/>
      <c r="N228" s="741"/>
      <c r="O228" s="741"/>
      <c r="P228" s="741"/>
      <c r="Q228" s="741"/>
      <c r="R228" s="741"/>
      <c r="S228" s="741"/>
      <c r="T228" s="741"/>
      <c r="U228" s="741"/>
      <c r="V228" s="741"/>
      <c r="W228" s="741"/>
      <c r="X228" s="741"/>
      <c r="Y228" s="741"/>
      <c r="Z228" s="741"/>
      <c r="AA228" s="741"/>
      <c r="AB228" s="741"/>
      <c r="AC228" s="741"/>
      <c r="AD228" s="741"/>
      <c r="AE228" s="741"/>
      <c r="AF228" s="741"/>
      <c r="AG228" s="741"/>
      <c r="AH228" s="741"/>
      <c r="AI228" s="741"/>
      <c r="AJ228" s="741"/>
      <c r="AK228" s="741"/>
      <c r="AL228" s="741"/>
      <c r="AM228" s="741"/>
      <c r="AN228" s="741"/>
      <c r="AO228" s="741"/>
      <c r="AP228" s="741"/>
      <c r="AQ228" s="741"/>
      <c r="AR228" s="741"/>
      <c r="AS228" s="741"/>
      <c r="AT228" s="741"/>
      <c r="AU228" s="741"/>
      <c r="AV228" s="741"/>
      <c r="AW228" s="741"/>
      <c r="AX228" s="741"/>
      <c r="AY228" s="741"/>
      <c r="AZ228" s="741"/>
      <c r="BA228" s="741"/>
      <c r="BB228" s="741"/>
      <c r="BC228" s="741"/>
      <c r="BD228" s="741"/>
      <c r="BE228" s="741"/>
      <c r="BF228" s="741"/>
      <c r="BG228" s="746"/>
      <c r="BH228" s="590"/>
      <c r="BI228" s="68"/>
      <c r="BJ228" s="161"/>
      <c r="BK228" s="159"/>
      <c r="BL228" s="68"/>
      <c r="BM228" s="151"/>
      <c r="BN228" s="103"/>
      <c r="BO228" s="103"/>
      <c r="BP228" s="103"/>
      <c r="BQ228" s="103"/>
      <c r="BR228" s="103"/>
      <c r="BS228" s="103"/>
      <c r="BT228" s="103"/>
      <c r="BU228" s="103"/>
      <c r="BV228" s="103"/>
      <c r="BW228" s="103"/>
      <c r="BX228" s="103"/>
      <c r="BY228" s="103"/>
      <c r="BZ228" s="103"/>
      <c r="CA228" s="103"/>
      <c r="CB228" s="103"/>
      <c r="CC228" s="103"/>
      <c r="CD228" s="103"/>
      <c r="CE228" s="103"/>
      <c r="CF228" s="103"/>
      <c r="CG228" s="103"/>
      <c r="CH228" s="103"/>
      <c r="CI228" s="103"/>
      <c r="CJ228" s="103"/>
      <c r="CK228" s="103"/>
      <c r="CL228" s="103"/>
      <c r="CM228" s="103"/>
      <c r="CN228" s="103"/>
      <c r="CO228" s="103"/>
      <c r="CP228" s="103"/>
      <c r="CQ228" s="103"/>
      <c r="CR228" s="103"/>
      <c r="CS228" s="103"/>
      <c r="CT228" s="103"/>
      <c r="CU228" s="103"/>
      <c r="CV228" s="103"/>
      <c r="CW228" s="103"/>
      <c r="CX228" s="103"/>
      <c r="CY228" s="103"/>
      <c r="CZ228" s="103"/>
      <c r="DA228" s="103"/>
      <c r="DB228" s="103"/>
      <c r="DC228" s="103"/>
      <c r="DD228" s="103"/>
      <c r="DE228" s="103"/>
      <c r="DF228" s="103"/>
      <c r="DG228" s="103"/>
      <c r="DH228" s="104"/>
    </row>
    <row r="229" spans="1:112" ht="16.2" hidden="1" outlineLevel="1" thickBot="1" x14ac:dyDescent="0.35">
      <c r="A229" s="66" t="str">
        <f t="shared" ref="A229" si="105">IF(J229&gt;0,"Imprimir","")</f>
        <v/>
      </c>
      <c r="C229" s="106"/>
      <c r="D229" s="318"/>
      <c r="E229" s="107"/>
      <c r="F229" s="108"/>
      <c r="G229" s="609"/>
      <c r="H229" s="109"/>
      <c r="I229" s="110"/>
      <c r="J229" s="219">
        <f>SUBTOTAL(9,J230:J234)</f>
        <v>0</v>
      </c>
      <c r="K229" s="111"/>
      <c r="L229" s="747"/>
      <c r="M229" s="742"/>
      <c r="N229" s="742"/>
      <c r="O229" s="742"/>
      <c r="P229" s="742"/>
      <c r="Q229" s="742"/>
      <c r="R229" s="742"/>
      <c r="S229" s="742"/>
      <c r="T229" s="742"/>
      <c r="U229" s="742"/>
      <c r="V229" s="742"/>
      <c r="W229" s="742"/>
      <c r="X229" s="742"/>
      <c r="Y229" s="742"/>
      <c r="Z229" s="742"/>
      <c r="AA229" s="742"/>
      <c r="AB229" s="742"/>
      <c r="AC229" s="742"/>
      <c r="AD229" s="742"/>
      <c r="AE229" s="742"/>
      <c r="AF229" s="742"/>
      <c r="AG229" s="742"/>
      <c r="AH229" s="742"/>
      <c r="AI229" s="742"/>
      <c r="AJ229" s="742"/>
      <c r="AK229" s="742"/>
      <c r="AL229" s="742"/>
      <c r="AM229" s="742"/>
      <c r="AN229" s="742"/>
      <c r="AO229" s="742"/>
      <c r="AP229" s="742"/>
      <c r="AQ229" s="742"/>
      <c r="AR229" s="742"/>
      <c r="AS229" s="742"/>
      <c r="AT229" s="742"/>
      <c r="AU229" s="742"/>
      <c r="AV229" s="742"/>
      <c r="AW229" s="742"/>
      <c r="AX229" s="742"/>
      <c r="AY229" s="742"/>
      <c r="AZ229" s="742"/>
      <c r="BA229" s="742"/>
      <c r="BB229" s="742"/>
      <c r="BC229" s="742"/>
      <c r="BD229" s="742"/>
      <c r="BE229" s="742"/>
      <c r="BF229" s="742"/>
      <c r="BG229" s="748"/>
      <c r="BH229" s="590"/>
      <c r="BI229" s="68"/>
      <c r="BJ229" s="162"/>
      <c r="BK229" s="160"/>
      <c r="BL229" s="68"/>
      <c r="BM229" s="512"/>
      <c r="BN229" s="513"/>
      <c r="BO229" s="513"/>
      <c r="BP229" s="513"/>
      <c r="BQ229" s="513"/>
      <c r="BR229" s="513"/>
      <c r="BS229" s="513"/>
      <c r="BT229" s="513"/>
      <c r="BU229" s="513"/>
      <c r="BV229" s="513"/>
      <c r="BW229" s="513"/>
      <c r="BX229" s="513"/>
      <c r="BY229" s="513"/>
      <c r="BZ229" s="513"/>
      <c r="CA229" s="513"/>
      <c r="CB229" s="513"/>
      <c r="CC229" s="513"/>
      <c r="CD229" s="513"/>
      <c r="CE229" s="513"/>
      <c r="CF229" s="513"/>
      <c r="CG229" s="513"/>
      <c r="CH229" s="513"/>
      <c r="CI229" s="513"/>
      <c r="CJ229" s="513"/>
      <c r="CK229" s="513"/>
      <c r="CL229" s="513"/>
      <c r="CM229" s="513"/>
      <c r="CN229" s="513"/>
      <c r="CO229" s="513"/>
      <c r="CP229" s="513"/>
      <c r="CQ229" s="513"/>
      <c r="CR229" s="513"/>
      <c r="CS229" s="513"/>
      <c r="CT229" s="513"/>
      <c r="CU229" s="513"/>
      <c r="CV229" s="513"/>
      <c r="CW229" s="513"/>
      <c r="CX229" s="513"/>
      <c r="CY229" s="513"/>
      <c r="CZ229" s="513"/>
      <c r="DA229" s="513"/>
      <c r="DB229" s="513"/>
      <c r="DC229" s="513"/>
      <c r="DD229" s="513"/>
      <c r="DE229" s="513"/>
      <c r="DF229" s="513"/>
      <c r="DG229" s="513"/>
      <c r="DH229" s="514"/>
    </row>
    <row r="230" spans="1:112" ht="14.4" hidden="1" outlineLevel="1" thickBot="1" x14ac:dyDescent="0.35">
      <c r="A230" s="66" t="str">
        <f t="shared" ref="A230:A233" si="106">IF(J230="","",IF(J230=0,"","Imprimir"))</f>
        <v/>
      </c>
      <c r="C230" s="527"/>
      <c r="D230" s="528" t="s">
        <v>2322</v>
      </c>
      <c r="E230" s="528"/>
      <c r="F230" s="534"/>
      <c r="G230" s="529"/>
      <c r="H230" s="531"/>
      <c r="I230" s="849" t="str">
        <f t="shared" ref="I230:I233" si="107">IF(E230&gt;0,$J$5,"")</f>
        <v/>
      </c>
      <c r="J230" s="517" t="str">
        <f t="shared" ref="J230:J233" si="108">IFERROR(G230*H230*I230,"")</f>
        <v/>
      </c>
      <c r="K230" s="70"/>
      <c r="L230" s="853"/>
      <c r="M230" s="855"/>
      <c r="N230" s="855"/>
      <c r="O230" s="855"/>
      <c r="P230" s="855"/>
      <c r="Q230" s="855"/>
      <c r="R230" s="855"/>
      <c r="S230" s="855"/>
      <c r="T230" s="855"/>
      <c r="U230" s="855"/>
      <c r="V230" s="855"/>
      <c r="W230" s="855"/>
      <c r="X230" s="855"/>
      <c r="Y230" s="855"/>
      <c r="Z230" s="856"/>
      <c r="AA230" s="856"/>
      <c r="AB230" s="856"/>
      <c r="AC230" s="856"/>
      <c r="AD230" s="856"/>
      <c r="AE230" s="856"/>
      <c r="AF230" s="856"/>
      <c r="AG230" s="856"/>
      <c r="AH230" s="856"/>
      <c r="AI230" s="856"/>
      <c r="AJ230" s="856"/>
      <c r="AK230" s="856"/>
      <c r="AL230" s="856"/>
      <c r="AM230" s="856"/>
      <c r="AN230" s="856"/>
      <c r="AO230" s="856"/>
      <c r="AP230" s="856"/>
      <c r="AQ230" s="856"/>
      <c r="AR230" s="856"/>
      <c r="AS230" s="856"/>
      <c r="AT230" s="856"/>
      <c r="AU230" s="856"/>
      <c r="AV230" s="856"/>
      <c r="AW230" s="856"/>
      <c r="AX230" s="856"/>
      <c r="AY230" s="856"/>
      <c r="AZ230" s="856"/>
      <c r="BA230" s="856"/>
      <c r="BB230" s="856"/>
      <c r="BC230" s="856"/>
      <c r="BD230" s="856"/>
      <c r="BE230" s="856"/>
      <c r="BF230" s="856"/>
      <c r="BG230" s="857"/>
      <c r="BH230" s="590"/>
      <c r="BI230" s="68"/>
      <c r="BJ230" s="518">
        <f t="shared" ref="BJ230:BJ233" si="109">IFERROR(BK230/J230,0)</f>
        <v>0</v>
      </c>
      <c r="BK230" s="517">
        <f t="shared" ref="BK230:BK233" si="110">SUM(BM230:DH230)</f>
        <v>0</v>
      </c>
      <c r="BL230" s="68"/>
      <c r="BM230" s="515">
        <f>SUMIFS(Imput[[Importe Neto]:[Importe Neto]],Imput[[C. Imp.]:[C. Imp.]],$D230,Imput[[PERIODO Imp.]:[PERIODO Imp.]],BM$9)</f>
        <v>0</v>
      </c>
      <c r="BN230" s="516">
        <f>SUMIFS(Imput[[Importe Neto]:[Importe Neto]],Imput[[C. Imp.]:[C. Imp.]],$D230,Imput[[PERIODO Imp.]:[PERIODO Imp.]],BN$9)</f>
        <v>0</v>
      </c>
      <c r="BO230" s="516">
        <f>SUMIFS(Imput[[Importe Neto]:[Importe Neto]],Imput[[C. Imp.]:[C. Imp.]],$D230,Imput[[PERIODO Imp.]:[PERIODO Imp.]],BO$9)</f>
        <v>0</v>
      </c>
      <c r="BP230" s="516">
        <f>SUMIFS(Imput[[Importe Neto]:[Importe Neto]],Imput[[C. Imp.]:[C. Imp.]],$D230,Imput[[PERIODO Imp.]:[PERIODO Imp.]],BP$9)</f>
        <v>0</v>
      </c>
      <c r="BQ230" s="516">
        <f>SUMIFS(Imput[[Importe Neto]:[Importe Neto]],Imput[[C. Imp.]:[C. Imp.]],$D230,Imput[[PERIODO Imp.]:[PERIODO Imp.]],BQ$9)</f>
        <v>0</v>
      </c>
      <c r="BR230" s="516">
        <f>SUMIFS(Imput[[Importe Neto]:[Importe Neto]],Imput[[C. Imp.]:[C. Imp.]],$D230,Imput[[PERIODO Imp.]:[PERIODO Imp.]],BR$9)</f>
        <v>0</v>
      </c>
      <c r="BS230" s="516">
        <f>SUMIFS(Imput[[Importe Neto]:[Importe Neto]],Imput[[C. Imp.]:[C. Imp.]],$D230,Imput[[PERIODO Imp.]:[PERIODO Imp.]],BS$9)</f>
        <v>0</v>
      </c>
      <c r="BT230" s="516">
        <f>SUMIFS(Imput[[Importe Neto]:[Importe Neto]],Imput[[C. Imp.]:[C. Imp.]],$D230,Imput[[PERIODO Imp.]:[PERIODO Imp.]],BT$9)</f>
        <v>0</v>
      </c>
      <c r="BU230" s="516">
        <f>SUMIFS(Imput[[Importe Neto]:[Importe Neto]],Imput[[C. Imp.]:[C. Imp.]],$D230,Imput[[PERIODO Imp.]:[PERIODO Imp.]],BU$9)</f>
        <v>0</v>
      </c>
      <c r="BV230" s="516">
        <f>SUMIFS(Imput[[Importe Neto]:[Importe Neto]],Imput[[C. Imp.]:[C. Imp.]],$D230,Imput[[PERIODO Imp.]:[PERIODO Imp.]],BV$9)</f>
        <v>0</v>
      </c>
      <c r="BW230" s="516">
        <f>SUMIFS(Imput[[Importe Neto]:[Importe Neto]],Imput[[C. Imp.]:[C. Imp.]],$D230,Imput[[PERIODO Imp.]:[PERIODO Imp.]],BW$9)</f>
        <v>0</v>
      </c>
      <c r="BX230" s="516">
        <f>SUMIFS(Imput[[Importe Neto]:[Importe Neto]],Imput[[C. Imp.]:[C. Imp.]],$D230,Imput[[PERIODO Imp.]:[PERIODO Imp.]],BX$9)</f>
        <v>0</v>
      </c>
      <c r="BY230" s="516">
        <f>SUMIFS(Imput[[Importe Neto]:[Importe Neto]],Imput[[C. Imp.]:[C. Imp.]],$D230,Imput[[PERIODO Imp.]:[PERIODO Imp.]],BY$9)</f>
        <v>0</v>
      </c>
      <c r="BZ230" s="516">
        <f>SUMIFS(Imput[[Importe Neto]:[Importe Neto]],Imput[[C. Imp.]:[C. Imp.]],$D230,Imput[[PERIODO Imp.]:[PERIODO Imp.]],BZ$9)</f>
        <v>0</v>
      </c>
      <c r="CA230" s="516">
        <f>SUMIFS(Imput[[Importe Neto]:[Importe Neto]],Imput[[C. Imp.]:[C. Imp.]],$D230,Imput[[PERIODO Imp.]:[PERIODO Imp.]],CA$9)</f>
        <v>0</v>
      </c>
      <c r="CB230" s="516">
        <f>SUMIFS(Imput[[Importe Neto]:[Importe Neto]],Imput[[C. Imp.]:[C. Imp.]],$D230,Imput[[PERIODO Imp.]:[PERIODO Imp.]],CB$9)</f>
        <v>0</v>
      </c>
      <c r="CC230" s="516">
        <f>SUMIFS(Imput[[Importe Neto]:[Importe Neto]],Imput[[C. Imp.]:[C. Imp.]],$D230,Imput[[PERIODO Imp.]:[PERIODO Imp.]],CC$9)</f>
        <v>0</v>
      </c>
      <c r="CD230" s="516">
        <f>SUMIFS(Imput[[Importe Neto]:[Importe Neto]],Imput[[C. Imp.]:[C. Imp.]],$D230,Imput[[PERIODO Imp.]:[PERIODO Imp.]],CD$9)</f>
        <v>0</v>
      </c>
      <c r="CE230" s="516">
        <f>SUMIFS(Imput[[Importe Neto]:[Importe Neto]],Imput[[C. Imp.]:[C. Imp.]],$D230,Imput[[PERIODO Imp.]:[PERIODO Imp.]],CE$9)</f>
        <v>0</v>
      </c>
      <c r="CF230" s="516">
        <f>SUMIFS(Imput[[Importe Neto]:[Importe Neto]],Imput[[C. Imp.]:[C. Imp.]],$D230,Imput[[PERIODO Imp.]:[PERIODO Imp.]],CF$9)</f>
        <v>0</v>
      </c>
      <c r="CG230" s="516">
        <f>SUMIFS(Imput[[Importe Neto]:[Importe Neto]],Imput[[C. Imp.]:[C. Imp.]],$D230,Imput[[PERIODO Imp.]:[PERIODO Imp.]],CG$9)</f>
        <v>0</v>
      </c>
      <c r="CH230" s="516">
        <f>SUMIFS(Imput[[Importe Neto]:[Importe Neto]],Imput[[C. Imp.]:[C. Imp.]],$D230,Imput[[PERIODO Imp.]:[PERIODO Imp.]],CH$9)</f>
        <v>0</v>
      </c>
      <c r="CI230" s="516">
        <f>SUMIFS(Imput[[Importe Neto]:[Importe Neto]],Imput[[C. Imp.]:[C. Imp.]],$D230,Imput[[PERIODO Imp.]:[PERIODO Imp.]],CI$9)</f>
        <v>0</v>
      </c>
      <c r="CJ230" s="516">
        <f>SUMIFS(Imput[[Importe Neto]:[Importe Neto]],Imput[[C. Imp.]:[C. Imp.]],$D230,Imput[[PERIODO Imp.]:[PERIODO Imp.]],CJ$9)</f>
        <v>0</v>
      </c>
      <c r="CK230" s="516">
        <f>SUMIFS(Imput[[Importe Neto]:[Importe Neto]],Imput[[C. Imp.]:[C. Imp.]],$D230,Imput[[PERIODO Imp.]:[PERIODO Imp.]],CK$9)</f>
        <v>0</v>
      </c>
      <c r="CL230" s="516">
        <f>SUMIFS(Imput[[Importe Neto]:[Importe Neto]],Imput[[C. Imp.]:[C. Imp.]],$D230,Imput[[PERIODO Imp.]:[PERIODO Imp.]],CL$9)</f>
        <v>0</v>
      </c>
      <c r="CM230" s="516">
        <f>SUMIFS(Imput[[Importe Neto]:[Importe Neto]],Imput[[C. Imp.]:[C. Imp.]],$D230,Imput[[PERIODO Imp.]:[PERIODO Imp.]],CM$9)</f>
        <v>0</v>
      </c>
      <c r="CN230" s="516">
        <f>SUMIFS(Imput[[Importe Neto]:[Importe Neto]],Imput[[C. Imp.]:[C. Imp.]],$D230,Imput[[PERIODO Imp.]:[PERIODO Imp.]],CN$9)</f>
        <v>0</v>
      </c>
      <c r="CO230" s="516">
        <f>SUMIFS(Imput[[Importe Neto]:[Importe Neto]],Imput[[C. Imp.]:[C. Imp.]],$D230,Imput[[PERIODO Imp.]:[PERIODO Imp.]],CO$9)</f>
        <v>0</v>
      </c>
      <c r="CP230" s="516">
        <f>SUMIFS(Imput[[Importe Neto]:[Importe Neto]],Imput[[C. Imp.]:[C. Imp.]],$D230,Imput[[PERIODO Imp.]:[PERIODO Imp.]],CP$9)</f>
        <v>0</v>
      </c>
      <c r="CQ230" s="516">
        <f>SUMIFS(Imput[[Importe Neto]:[Importe Neto]],Imput[[C. Imp.]:[C. Imp.]],$D230,Imput[[PERIODO Imp.]:[PERIODO Imp.]],CQ$9)</f>
        <v>0</v>
      </c>
      <c r="CR230" s="516">
        <f>SUMIFS(Imput[[Importe Neto]:[Importe Neto]],Imput[[C. Imp.]:[C. Imp.]],$D230,Imput[[PERIODO Imp.]:[PERIODO Imp.]],CR$9)</f>
        <v>0</v>
      </c>
      <c r="CS230" s="516">
        <f>SUMIFS(Imput[[Importe Neto]:[Importe Neto]],Imput[[C. Imp.]:[C. Imp.]],$D230,Imput[[PERIODO Imp.]:[PERIODO Imp.]],CS$9)</f>
        <v>0</v>
      </c>
      <c r="CT230" s="516">
        <f>SUMIFS(Imput[[Importe Neto]:[Importe Neto]],Imput[[C. Imp.]:[C. Imp.]],$D230,Imput[[PERIODO Imp.]:[PERIODO Imp.]],CT$9)</f>
        <v>0</v>
      </c>
      <c r="CU230" s="516">
        <f>SUMIFS(Imput[[Importe Neto]:[Importe Neto]],Imput[[C. Imp.]:[C. Imp.]],$D230,Imput[[PERIODO Imp.]:[PERIODO Imp.]],CU$9)</f>
        <v>0</v>
      </c>
      <c r="CV230" s="516">
        <f>SUMIFS(Imput[[Importe Neto]:[Importe Neto]],Imput[[C. Imp.]:[C. Imp.]],$D230,Imput[[PERIODO Imp.]:[PERIODO Imp.]],CV$9)</f>
        <v>0</v>
      </c>
      <c r="CW230" s="516">
        <f>SUMIFS(Imput[[Importe Neto]:[Importe Neto]],Imput[[C. Imp.]:[C. Imp.]],$D230,Imput[[PERIODO Imp.]:[PERIODO Imp.]],CW$9)</f>
        <v>0</v>
      </c>
      <c r="CX230" s="516">
        <f>SUMIFS(Imput[[Importe Neto]:[Importe Neto]],Imput[[C. Imp.]:[C. Imp.]],$D230,Imput[[PERIODO Imp.]:[PERIODO Imp.]],CX$9)</f>
        <v>0</v>
      </c>
      <c r="CY230" s="516">
        <f>SUMIFS(Imput[[Importe Neto]:[Importe Neto]],Imput[[C. Imp.]:[C. Imp.]],$D230,Imput[[PERIODO Imp.]:[PERIODO Imp.]],CY$9)</f>
        <v>0</v>
      </c>
      <c r="CZ230" s="516">
        <f>SUMIFS(Imput[[Importe Neto]:[Importe Neto]],Imput[[C. Imp.]:[C. Imp.]],$D230,Imput[[PERIODO Imp.]:[PERIODO Imp.]],CZ$9)</f>
        <v>0</v>
      </c>
      <c r="DA230" s="516">
        <f>SUMIFS(Imput[[Importe Neto]:[Importe Neto]],Imput[[C. Imp.]:[C. Imp.]],$D230,Imput[[PERIODO Imp.]:[PERIODO Imp.]],DA$9)</f>
        <v>0</v>
      </c>
      <c r="DB230" s="516">
        <f>SUMIFS(Imput[[Importe Neto]:[Importe Neto]],Imput[[C. Imp.]:[C. Imp.]],$D230,Imput[[PERIODO Imp.]:[PERIODO Imp.]],DB$9)</f>
        <v>0</v>
      </c>
      <c r="DC230" s="516">
        <f>SUMIFS(Imput[[Importe Neto]:[Importe Neto]],Imput[[C. Imp.]:[C. Imp.]],$D230,Imput[[PERIODO Imp.]:[PERIODO Imp.]],DC$9)</f>
        <v>0</v>
      </c>
      <c r="DD230" s="516">
        <f>SUMIFS(Imput[[Importe Neto]:[Importe Neto]],Imput[[C. Imp.]:[C. Imp.]],$D230,Imput[[PERIODO Imp.]:[PERIODO Imp.]],DD$9)</f>
        <v>0</v>
      </c>
      <c r="DE230" s="516">
        <f>SUMIFS(Imput[[Importe Neto]:[Importe Neto]],Imput[[C. Imp.]:[C. Imp.]],$D230,Imput[[PERIODO Imp.]:[PERIODO Imp.]],DE$9)</f>
        <v>0</v>
      </c>
      <c r="DF230" s="516">
        <f>SUMIFS(Imput[[Importe Neto]:[Importe Neto]],Imput[[C. Imp.]:[C. Imp.]],$D230,Imput[[PERIODO Imp.]:[PERIODO Imp.]],DF$9)</f>
        <v>0</v>
      </c>
      <c r="DG230" s="516">
        <f>SUMIFS(Imput[[Importe Neto]:[Importe Neto]],Imput[[C. Imp.]:[C. Imp.]],$D230,Imput[[PERIODO Imp.]:[PERIODO Imp.]],DG$9)</f>
        <v>0</v>
      </c>
      <c r="DH230" s="616">
        <f>SUMIFS(Imput[[Importe Neto]:[Importe Neto]],Imput[[C. Imp.]:[C. Imp.]],$D230,Imput[[PERIODO Imp.]:[PERIODO Imp.]],DH$9)</f>
        <v>0</v>
      </c>
    </row>
    <row r="231" spans="1:112" ht="14.4" hidden="1" outlineLevel="1" thickBot="1" x14ac:dyDescent="0.35">
      <c r="A231" s="66" t="str">
        <f t="shared" si="106"/>
        <v/>
      </c>
      <c r="C231" s="527"/>
      <c r="D231" s="528" t="s">
        <v>2323</v>
      </c>
      <c r="E231" s="528"/>
      <c r="F231" s="534"/>
      <c r="G231" s="529"/>
      <c r="H231" s="531"/>
      <c r="I231" s="849" t="str">
        <f t="shared" si="107"/>
        <v/>
      </c>
      <c r="J231" s="517" t="str">
        <f t="shared" si="108"/>
        <v/>
      </c>
      <c r="K231" s="70"/>
      <c r="L231" s="853"/>
      <c r="M231" s="855"/>
      <c r="N231" s="855"/>
      <c r="O231" s="855"/>
      <c r="P231" s="855"/>
      <c r="Q231" s="855"/>
      <c r="R231" s="855"/>
      <c r="S231" s="855"/>
      <c r="T231" s="855"/>
      <c r="U231" s="855"/>
      <c r="V231" s="855"/>
      <c r="W231" s="855"/>
      <c r="X231" s="855"/>
      <c r="Y231" s="855"/>
      <c r="Z231" s="856"/>
      <c r="AA231" s="856"/>
      <c r="AB231" s="856"/>
      <c r="AC231" s="856"/>
      <c r="AD231" s="856"/>
      <c r="AE231" s="856"/>
      <c r="AF231" s="856"/>
      <c r="AG231" s="856"/>
      <c r="AH231" s="856"/>
      <c r="AI231" s="856"/>
      <c r="AJ231" s="856"/>
      <c r="AK231" s="856"/>
      <c r="AL231" s="856"/>
      <c r="AM231" s="856"/>
      <c r="AN231" s="856"/>
      <c r="AO231" s="856"/>
      <c r="AP231" s="856"/>
      <c r="AQ231" s="856"/>
      <c r="AR231" s="856"/>
      <c r="AS231" s="856"/>
      <c r="AT231" s="856"/>
      <c r="AU231" s="856"/>
      <c r="AV231" s="856"/>
      <c r="AW231" s="856"/>
      <c r="AX231" s="856"/>
      <c r="AY231" s="856"/>
      <c r="AZ231" s="856"/>
      <c r="BA231" s="856"/>
      <c r="BB231" s="856"/>
      <c r="BC231" s="856"/>
      <c r="BD231" s="856"/>
      <c r="BE231" s="856"/>
      <c r="BF231" s="856"/>
      <c r="BG231" s="857"/>
      <c r="BH231" s="590"/>
      <c r="BI231" s="68"/>
      <c r="BJ231" s="518">
        <f t="shared" si="109"/>
        <v>0</v>
      </c>
      <c r="BK231" s="517">
        <f t="shared" si="110"/>
        <v>0</v>
      </c>
      <c r="BL231" s="68"/>
      <c r="BM231" s="515">
        <f>SUMIFS(Imput[[Importe Neto]:[Importe Neto]],Imput[[C. Imp.]:[C. Imp.]],$D231,Imput[[PERIODO Imp.]:[PERIODO Imp.]],BM$9)</f>
        <v>0</v>
      </c>
      <c r="BN231" s="516">
        <f>SUMIFS(Imput[[Importe Neto]:[Importe Neto]],Imput[[C. Imp.]:[C. Imp.]],$D231,Imput[[PERIODO Imp.]:[PERIODO Imp.]],BN$9)</f>
        <v>0</v>
      </c>
      <c r="BO231" s="516">
        <f>SUMIFS(Imput[[Importe Neto]:[Importe Neto]],Imput[[C. Imp.]:[C. Imp.]],$D231,Imput[[PERIODO Imp.]:[PERIODO Imp.]],BO$9)</f>
        <v>0</v>
      </c>
      <c r="BP231" s="516">
        <f>SUMIFS(Imput[[Importe Neto]:[Importe Neto]],Imput[[C. Imp.]:[C. Imp.]],$D231,Imput[[PERIODO Imp.]:[PERIODO Imp.]],BP$9)</f>
        <v>0</v>
      </c>
      <c r="BQ231" s="516">
        <f>SUMIFS(Imput[[Importe Neto]:[Importe Neto]],Imput[[C. Imp.]:[C. Imp.]],$D231,Imput[[PERIODO Imp.]:[PERIODO Imp.]],BQ$9)</f>
        <v>0</v>
      </c>
      <c r="BR231" s="516">
        <f>SUMIFS(Imput[[Importe Neto]:[Importe Neto]],Imput[[C. Imp.]:[C. Imp.]],$D231,Imput[[PERIODO Imp.]:[PERIODO Imp.]],BR$9)</f>
        <v>0</v>
      </c>
      <c r="BS231" s="516">
        <f>SUMIFS(Imput[[Importe Neto]:[Importe Neto]],Imput[[C. Imp.]:[C. Imp.]],$D231,Imput[[PERIODO Imp.]:[PERIODO Imp.]],BS$9)</f>
        <v>0</v>
      </c>
      <c r="BT231" s="516">
        <f>SUMIFS(Imput[[Importe Neto]:[Importe Neto]],Imput[[C. Imp.]:[C. Imp.]],$D231,Imput[[PERIODO Imp.]:[PERIODO Imp.]],BT$9)</f>
        <v>0</v>
      </c>
      <c r="BU231" s="516">
        <f>SUMIFS(Imput[[Importe Neto]:[Importe Neto]],Imput[[C. Imp.]:[C. Imp.]],$D231,Imput[[PERIODO Imp.]:[PERIODO Imp.]],BU$9)</f>
        <v>0</v>
      </c>
      <c r="BV231" s="516">
        <f>SUMIFS(Imput[[Importe Neto]:[Importe Neto]],Imput[[C. Imp.]:[C. Imp.]],$D231,Imput[[PERIODO Imp.]:[PERIODO Imp.]],BV$9)</f>
        <v>0</v>
      </c>
      <c r="BW231" s="516">
        <f>SUMIFS(Imput[[Importe Neto]:[Importe Neto]],Imput[[C. Imp.]:[C. Imp.]],$D231,Imput[[PERIODO Imp.]:[PERIODO Imp.]],BW$9)</f>
        <v>0</v>
      </c>
      <c r="BX231" s="516">
        <f>SUMIFS(Imput[[Importe Neto]:[Importe Neto]],Imput[[C. Imp.]:[C. Imp.]],$D231,Imput[[PERIODO Imp.]:[PERIODO Imp.]],BX$9)</f>
        <v>0</v>
      </c>
      <c r="BY231" s="516">
        <f>SUMIFS(Imput[[Importe Neto]:[Importe Neto]],Imput[[C. Imp.]:[C. Imp.]],$D231,Imput[[PERIODO Imp.]:[PERIODO Imp.]],BY$9)</f>
        <v>0</v>
      </c>
      <c r="BZ231" s="516">
        <f>SUMIFS(Imput[[Importe Neto]:[Importe Neto]],Imput[[C. Imp.]:[C. Imp.]],$D231,Imput[[PERIODO Imp.]:[PERIODO Imp.]],BZ$9)</f>
        <v>0</v>
      </c>
      <c r="CA231" s="516">
        <f>SUMIFS(Imput[[Importe Neto]:[Importe Neto]],Imput[[C. Imp.]:[C. Imp.]],$D231,Imput[[PERIODO Imp.]:[PERIODO Imp.]],CA$9)</f>
        <v>0</v>
      </c>
      <c r="CB231" s="516">
        <f>SUMIFS(Imput[[Importe Neto]:[Importe Neto]],Imput[[C. Imp.]:[C. Imp.]],$D231,Imput[[PERIODO Imp.]:[PERIODO Imp.]],CB$9)</f>
        <v>0</v>
      </c>
      <c r="CC231" s="516">
        <f>SUMIFS(Imput[[Importe Neto]:[Importe Neto]],Imput[[C. Imp.]:[C. Imp.]],$D231,Imput[[PERIODO Imp.]:[PERIODO Imp.]],CC$9)</f>
        <v>0</v>
      </c>
      <c r="CD231" s="516">
        <f>SUMIFS(Imput[[Importe Neto]:[Importe Neto]],Imput[[C. Imp.]:[C. Imp.]],$D231,Imput[[PERIODO Imp.]:[PERIODO Imp.]],CD$9)</f>
        <v>0</v>
      </c>
      <c r="CE231" s="516">
        <f>SUMIFS(Imput[[Importe Neto]:[Importe Neto]],Imput[[C. Imp.]:[C. Imp.]],$D231,Imput[[PERIODO Imp.]:[PERIODO Imp.]],CE$9)</f>
        <v>0</v>
      </c>
      <c r="CF231" s="516">
        <f>SUMIFS(Imput[[Importe Neto]:[Importe Neto]],Imput[[C. Imp.]:[C. Imp.]],$D231,Imput[[PERIODO Imp.]:[PERIODO Imp.]],CF$9)</f>
        <v>0</v>
      </c>
      <c r="CG231" s="516">
        <f>SUMIFS(Imput[[Importe Neto]:[Importe Neto]],Imput[[C. Imp.]:[C. Imp.]],$D231,Imput[[PERIODO Imp.]:[PERIODO Imp.]],CG$9)</f>
        <v>0</v>
      </c>
      <c r="CH231" s="516">
        <f>SUMIFS(Imput[[Importe Neto]:[Importe Neto]],Imput[[C. Imp.]:[C. Imp.]],$D231,Imput[[PERIODO Imp.]:[PERIODO Imp.]],CH$9)</f>
        <v>0</v>
      </c>
      <c r="CI231" s="516">
        <f>SUMIFS(Imput[[Importe Neto]:[Importe Neto]],Imput[[C. Imp.]:[C. Imp.]],$D231,Imput[[PERIODO Imp.]:[PERIODO Imp.]],CI$9)</f>
        <v>0</v>
      </c>
      <c r="CJ231" s="516">
        <f>SUMIFS(Imput[[Importe Neto]:[Importe Neto]],Imput[[C. Imp.]:[C. Imp.]],$D231,Imput[[PERIODO Imp.]:[PERIODO Imp.]],CJ$9)</f>
        <v>0</v>
      </c>
      <c r="CK231" s="516">
        <f>SUMIFS(Imput[[Importe Neto]:[Importe Neto]],Imput[[C. Imp.]:[C. Imp.]],$D231,Imput[[PERIODO Imp.]:[PERIODO Imp.]],CK$9)</f>
        <v>0</v>
      </c>
      <c r="CL231" s="516">
        <f>SUMIFS(Imput[[Importe Neto]:[Importe Neto]],Imput[[C. Imp.]:[C. Imp.]],$D231,Imput[[PERIODO Imp.]:[PERIODO Imp.]],CL$9)</f>
        <v>0</v>
      </c>
      <c r="CM231" s="516">
        <f>SUMIFS(Imput[[Importe Neto]:[Importe Neto]],Imput[[C. Imp.]:[C. Imp.]],$D231,Imput[[PERIODO Imp.]:[PERIODO Imp.]],CM$9)</f>
        <v>0</v>
      </c>
      <c r="CN231" s="516">
        <f>SUMIFS(Imput[[Importe Neto]:[Importe Neto]],Imput[[C. Imp.]:[C. Imp.]],$D231,Imput[[PERIODO Imp.]:[PERIODO Imp.]],CN$9)</f>
        <v>0</v>
      </c>
      <c r="CO231" s="516">
        <f>SUMIFS(Imput[[Importe Neto]:[Importe Neto]],Imput[[C. Imp.]:[C. Imp.]],$D231,Imput[[PERIODO Imp.]:[PERIODO Imp.]],CO$9)</f>
        <v>0</v>
      </c>
      <c r="CP231" s="516">
        <f>SUMIFS(Imput[[Importe Neto]:[Importe Neto]],Imput[[C. Imp.]:[C. Imp.]],$D231,Imput[[PERIODO Imp.]:[PERIODO Imp.]],CP$9)</f>
        <v>0</v>
      </c>
      <c r="CQ231" s="516">
        <f>SUMIFS(Imput[[Importe Neto]:[Importe Neto]],Imput[[C. Imp.]:[C. Imp.]],$D231,Imput[[PERIODO Imp.]:[PERIODO Imp.]],CQ$9)</f>
        <v>0</v>
      </c>
      <c r="CR231" s="516">
        <f>SUMIFS(Imput[[Importe Neto]:[Importe Neto]],Imput[[C. Imp.]:[C. Imp.]],$D231,Imput[[PERIODO Imp.]:[PERIODO Imp.]],CR$9)</f>
        <v>0</v>
      </c>
      <c r="CS231" s="516">
        <f>SUMIFS(Imput[[Importe Neto]:[Importe Neto]],Imput[[C. Imp.]:[C. Imp.]],$D231,Imput[[PERIODO Imp.]:[PERIODO Imp.]],CS$9)</f>
        <v>0</v>
      </c>
      <c r="CT231" s="516">
        <f>SUMIFS(Imput[[Importe Neto]:[Importe Neto]],Imput[[C. Imp.]:[C. Imp.]],$D231,Imput[[PERIODO Imp.]:[PERIODO Imp.]],CT$9)</f>
        <v>0</v>
      </c>
      <c r="CU231" s="516">
        <f>SUMIFS(Imput[[Importe Neto]:[Importe Neto]],Imput[[C. Imp.]:[C. Imp.]],$D231,Imput[[PERIODO Imp.]:[PERIODO Imp.]],CU$9)</f>
        <v>0</v>
      </c>
      <c r="CV231" s="516">
        <f>SUMIFS(Imput[[Importe Neto]:[Importe Neto]],Imput[[C. Imp.]:[C. Imp.]],$D231,Imput[[PERIODO Imp.]:[PERIODO Imp.]],CV$9)</f>
        <v>0</v>
      </c>
      <c r="CW231" s="516">
        <f>SUMIFS(Imput[[Importe Neto]:[Importe Neto]],Imput[[C. Imp.]:[C. Imp.]],$D231,Imput[[PERIODO Imp.]:[PERIODO Imp.]],CW$9)</f>
        <v>0</v>
      </c>
      <c r="CX231" s="516">
        <f>SUMIFS(Imput[[Importe Neto]:[Importe Neto]],Imput[[C. Imp.]:[C. Imp.]],$D231,Imput[[PERIODO Imp.]:[PERIODO Imp.]],CX$9)</f>
        <v>0</v>
      </c>
      <c r="CY231" s="516">
        <f>SUMIFS(Imput[[Importe Neto]:[Importe Neto]],Imput[[C. Imp.]:[C. Imp.]],$D231,Imput[[PERIODO Imp.]:[PERIODO Imp.]],CY$9)</f>
        <v>0</v>
      </c>
      <c r="CZ231" s="516">
        <f>SUMIFS(Imput[[Importe Neto]:[Importe Neto]],Imput[[C. Imp.]:[C. Imp.]],$D231,Imput[[PERIODO Imp.]:[PERIODO Imp.]],CZ$9)</f>
        <v>0</v>
      </c>
      <c r="DA231" s="516">
        <f>SUMIFS(Imput[[Importe Neto]:[Importe Neto]],Imput[[C. Imp.]:[C. Imp.]],$D231,Imput[[PERIODO Imp.]:[PERIODO Imp.]],DA$9)</f>
        <v>0</v>
      </c>
      <c r="DB231" s="516">
        <f>SUMIFS(Imput[[Importe Neto]:[Importe Neto]],Imput[[C. Imp.]:[C. Imp.]],$D231,Imput[[PERIODO Imp.]:[PERIODO Imp.]],DB$9)</f>
        <v>0</v>
      </c>
      <c r="DC231" s="516">
        <f>SUMIFS(Imput[[Importe Neto]:[Importe Neto]],Imput[[C. Imp.]:[C. Imp.]],$D231,Imput[[PERIODO Imp.]:[PERIODO Imp.]],DC$9)</f>
        <v>0</v>
      </c>
      <c r="DD231" s="516">
        <f>SUMIFS(Imput[[Importe Neto]:[Importe Neto]],Imput[[C. Imp.]:[C. Imp.]],$D231,Imput[[PERIODO Imp.]:[PERIODO Imp.]],DD$9)</f>
        <v>0</v>
      </c>
      <c r="DE231" s="516">
        <f>SUMIFS(Imput[[Importe Neto]:[Importe Neto]],Imput[[C. Imp.]:[C. Imp.]],$D231,Imput[[PERIODO Imp.]:[PERIODO Imp.]],DE$9)</f>
        <v>0</v>
      </c>
      <c r="DF231" s="516">
        <f>SUMIFS(Imput[[Importe Neto]:[Importe Neto]],Imput[[C. Imp.]:[C. Imp.]],$D231,Imput[[PERIODO Imp.]:[PERIODO Imp.]],DF$9)</f>
        <v>0</v>
      </c>
      <c r="DG231" s="516">
        <f>SUMIFS(Imput[[Importe Neto]:[Importe Neto]],Imput[[C. Imp.]:[C. Imp.]],$D231,Imput[[PERIODO Imp.]:[PERIODO Imp.]],DG$9)</f>
        <v>0</v>
      </c>
      <c r="DH231" s="616">
        <f>SUMIFS(Imput[[Importe Neto]:[Importe Neto]],Imput[[C. Imp.]:[C. Imp.]],$D231,Imput[[PERIODO Imp.]:[PERIODO Imp.]],DH$9)</f>
        <v>0</v>
      </c>
    </row>
    <row r="232" spans="1:112" ht="14.4" hidden="1" outlineLevel="1" thickBot="1" x14ac:dyDescent="0.35">
      <c r="A232" s="66" t="str">
        <f t="shared" si="106"/>
        <v/>
      </c>
      <c r="C232" s="527"/>
      <c r="D232" s="528" t="s">
        <v>2324</v>
      </c>
      <c r="E232" s="528"/>
      <c r="F232" s="534"/>
      <c r="G232" s="529"/>
      <c r="H232" s="531"/>
      <c r="I232" s="849" t="str">
        <f t="shared" si="107"/>
        <v/>
      </c>
      <c r="J232" s="517" t="str">
        <f t="shared" si="108"/>
        <v/>
      </c>
      <c r="K232" s="70"/>
      <c r="L232" s="853"/>
      <c r="M232" s="855"/>
      <c r="N232" s="855"/>
      <c r="O232" s="855"/>
      <c r="P232" s="855"/>
      <c r="Q232" s="855"/>
      <c r="R232" s="855"/>
      <c r="S232" s="855"/>
      <c r="T232" s="855"/>
      <c r="U232" s="855"/>
      <c r="V232" s="855"/>
      <c r="W232" s="855"/>
      <c r="X232" s="855"/>
      <c r="Y232" s="855"/>
      <c r="Z232" s="856"/>
      <c r="AA232" s="856"/>
      <c r="AB232" s="856"/>
      <c r="AC232" s="856"/>
      <c r="AD232" s="856"/>
      <c r="AE232" s="856"/>
      <c r="AF232" s="856"/>
      <c r="AG232" s="856"/>
      <c r="AH232" s="856"/>
      <c r="AI232" s="856"/>
      <c r="AJ232" s="856"/>
      <c r="AK232" s="856"/>
      <c r="AL232" s="856"/>
      <c r="AM232" s="856"/>
      <c r="AN232" s="856"/>
      <c r="AO232" s="856"/>
      <c r="AP232" s="856"/>
      <c r="AQ232" s="856"/>
      <c r="AR232" s="856"/>
      <c r="AS232" s="856"/>
      <c r="AT232" s="856"/>
      <c r="AU232" s="856"/>
      <c r="AV232" s="856"/>
      <c r="AW232" s="856"/>
      <c r="AX232" s="856"/>
      <c r="AY232" s="856"/>
      <c r="AZ232" s="856"/>
      <c r="BA232" s="856"/>
      <c r="BB232" s="856"/>
      <c r="BC232" s="856"/>
      <c r="BD232" s="856"/>
      <c r="BE232" s="856"/>
      <c r="BF232" s="856"/>
      <c r="BG232" s="857"/>
      <c r="BH232" s="590"/>
      <c r="BI232" s="68"/>
      <c r="BJ232" s="518">
        <f t="shared" si="109"/>
        <v>0</v>
      </c>
      <c r="BK232" s="517">
        <f t="shared" si="110"/>
        <v>0</v>
      </c>
      <c r="BL232" s="68"/>
      <c r="BM232" s="515">
        <f>SUMIFS(Imput[[Importe Neto]:[Importe Neto]],Imput[[C. Imp.]:[C. Imp.]],$D232,Imput[[PERIODO Imp.]:[PERIODO Imp.]],BM$9)</f>
        <v>0</v>
      </c>
      <c r="BN232" s="516">
        <f>SUMIFS(Imput[[Importe Neto]:[Importe Neto]],Imput[[C. Imp.]:[C. Imp.]],$D232,Imput[[PERIODO Imp.]:[PERIODO Imp.]],BN$9)</f>
        <v>0</v>
      </c>
      <c r="BO232" s="516">
        <f>SUMIFS(Imput[[Importe Neto]:[Importe Neto]],Imput[[C. Imp.]:[C. Imp.]],$D232,Imput[[PERIODO Imp.]:[PERIODO Imp.]],BO$9)</f>
        <v>0</v>
      </c>
      <c r="BP232" s="516">
        <f>SUMIFS(Imput[[Importe Neto]:[Importe Neto]],Imput[[C. Imp.]:[C. Imp.]],$D232,Imput[[PERIODO Imp.]:[PERIODO Imp.]],BP$9)</f>
        <v>0</v>
      </c>
      <c r="BQ232" s="516">
        <f>SUMIFS(Imput[[Importe Neto]:[Importe Neto]],Imput[[C. Imp.]:[C. Imp.]],$D232,Imput[[PERIODO Imp.]:[PERIODO Imp.]],BQ$9)</f>
        <v>0</v>
      </c>
      <c r="BR232" s="516">
        <f>SUMIFS(Imput[[Importe Neto]:[Importe Neto]],Imput[[C. Imp.]:[C. Imp.]],$D232,Imput[[PERIODO Imp.]:[PERIODO Imp.]],BR$9)</f>
        <v>0</v>
      </c>
      <c r="BS232" s="516">
        <f>SUMIFS(Imput[[Importe Neto]:[Importe Neto]],Imput[[C. Imp.]:[C. Imp.]],$D232,Imput[[PERIODO Imp.]:[PERIODO Imp.]],BS$9)</f>
        <v>0</v>
      </c>
      <c r="BT232" s="516">
        <f>SUMIFS(Imput[[Importe Neto]:[Importe Neto]],Imput[[C. Imp.]:[C. Imp.]],$D232,Imput[[PERIODO Imp.]:[PERIODO Imp.]],BT$9)</f>
        <v>0</v>
      </c>
      <c r="BU232" s="516">
        <f>SUMIFS(Imput[[Importe Neto]:[Importe Neto]],Imput[[C. Imp.]:[C. Imp.]],$D232,Imput[[PERIODO Imp.]:[PERIODO Imp.]],BU$9)</f>
        <v>0</v>
      </c>
      <c r="BV232" s="516">
        <f>SUMIFS(Imput[[Importe Neto]:[Importe Neto]],Imput[[C. Imp.]:[C. Imp.]],$D232,Imput[[PERIODO Imp.]:[PERIODO Imp.]],BV$9)</f>
        <v>0</v>
      </c>
      <c r="BW232" s="516">
        <f>SUMIFS(Imput[[Importe Neto]:[Importe Neto]],Imput[[C. Imp.]:[C. Imp.]],$D232,Imput[[PERIODO Imp.]:[PERIODO Imp.]],BW$9)</f>
        <v>0</v>
      </c>
      <c r="BX232" s="516">
        <f>SUMIFS(Imput[[Importe Neto]:[Importe Neto]],Imput[[C. Imp.]:[C. Imp.]],$D232,Imput[[PERIODO Imp.]:[PERIODO Imp.]],BX$9)</f>
        <v>0</v>
      </c>
      <c r="BY232" s="516">
        <f>SUMIFS(Imput[[Importe Neto]:[Importe Neto]],Imput[[C. Imp.]:[C. Imp.]],$D232,Imput[[PERIODO Imp.]:[PERIODO Imp.]],BY$9)</f>
        <v>0</v>
      </c>
      <c r="BZ232" s="516">
        <f>SUMIFS(Imput[[Importe Neto]:[Importe Neto]],Imput[[C. Imp.]:[C. Imp.]],$D232,Imput[[PERIODO Imp.]:[PERIODO Imp.]],BZ$9)</f>
        <v>0</v>
      </c>
      <c r="CA232" s="516">
        <f>SUMIFS(Imput[[Importe Neto]:[Importe Neto]],Imput[[C. Imp.]:[C. Imp.]],$D232,Imput[[PERIODO Imp.]:[PERIODO Imp.]],CA$9)</f>
        <v>0</v>
      </c>
      <c r="CB232" s="516">
        <f>SUMIFS(Imput[[Importe Neto]:[Importe Neto]],Imput[[C. Imp.]:[C. Imp.]],$D232,Imput[[PERIODO Imp.]:[PERIODO Imp.]],CB$9)</f>
        <v>0</v>
      </c>
      <c r="CC232" s="516">
        <f>SUMIFS(Imput[[Importe Neto]:[Importe Neto]],Imput[[C. Imp.]:[C. Imp.]],$D232,Imput[[PERIODO Imp.]:[PERIODO Imp.]],CC$9)</f>
        <v>0</v>
      </c>
      <c r="CD232" s="516">
        <f>SUMIFS(Imput[[Importe Neto]:[Importe Neto]],Imput[[C. Imp.]:[C. Imp.]],$D232,Imput[[PERIODO Imp.]:[PERIODO Imp.]],CD$9)</f>
        <v>0</v>
      </c>
      <c r="CE232" s="516">
        <f>SUMIFS(Imput[[Importe Neto]:[Importe Neto]],Imput[[C. Imp.]:[C. Imp.]],$D232,Imput[[PERIODO Imp.]:[PERIODO Imp.]],CE$9)</f>
        <v>0</v>
      </c>
      <c r="CF232" s="516">
        <f>SUMIFS(Imput[[Importe Neto]:[Importe Neto]],Imput[[C. Imp.]:[C. Imp.]],$D232,Imput[[PERIODO Imp.]:[PERIODO Imp.]],CF$9)</f>
        <v>0</v>
      </c>
      <c r="CG232" s="516">
        <f>SUMIFS(Imput[[Importe Neto]:[Importe Neto]],Imput[[C. Imp.]:[C. Imp.]],$D232,Imput[[PERIODO Imp.]:[PERIODO Imp.]],CG$9)</f>
        <v>0</v>
      </c>
      <c r="CH232" s="516">
        <f>SUMIFS(Imput[[Importe Neto]:[Importe Neto]],Imput[[C. Imp.]:[C. Imp.]],$D232,Imput[[PERIODO Imp.]:[PERIODO Imp.]],CH$9)</f>
        <v>0</v>
      </c>
      <c r="CI232" s="516">
        <f>SUMIFS(Imput[[Importe Neto]:[Importe Neto]],Imput[[C. Imp.]:[C. Imp.]],$D232,Imput[[PERIODO Imp.]:[PERIODO Imp.]],CI$9)</f>
        <v>0</v>
      </c>
      <c r="CJ232" s="516">
        <f>SUMIFS(Imput[[Importe Neto]:[Importe Neto]],Imput[[C. Imp.]:[C. Imp.]],$D232,Imput[[PERIODO Imp.]:[PERIODO Imp.]],CJ$9)</f>
        <v>0</v>
      </c>
      <c r="CK232" s="516">
        <f>SUMIFS(Imput[[Importe Neto]:[Importe Neto]],Imput[[C. Imp.]:[C. Imp.]],$D232,Imput[[PERIODO Imp.]:[PERIODO Imp.]],CK$9)</f>
        <v>0</v>
      </c>
      <c r="CL232" s="516">
        <f>SUMIFS(Imput[[Importe Neto]:[Importe Neto]],Imput[[C. Imp.]:[C. Imp.]],$D232,Imput[[PERIODO Imp.]:[PERIODO Imp.]],CL$9)</f>
        <v>0</v>
      </c>
      <c r="CM232" s="516">
        <f>SUMIFS(Imput[[Importe Neto]:[Importe Neto]],Imput[[C. Imp.]:[C. Imp.]],$D232,Imput[[PERIODO Imp.]:[PERIODO Imp.]],CM$9)</f>
        <v>0</v>
      </c>
      <c r="CN232" s="516">
        <f>SUMIFS(Imput[[Importe Neto]:[Importe Neto]],Imput[[C. Imp.]:[C. Imp.]],$D232,Imput[[PERIODO Imp.]:[PERIODO Imp.]],CN$9)</f>
        <v>0</v>
      </c>
      <c r="CO232" s="516">
        <f>SUMIFS(Imput[[Importe Neto]:[Importe Neto]],Imput[[C. Imp.]:[C. Imp.]],$D232,Imput[[PERIODO Imp.]:[PERIODO Imp.]],CO$9)</f>
        <v>0</v>
      </c>
      <c r="CP232" s="516">
        <f>SUMIFS(Imput[[Importe Neto]:[Importe Neto]],Imput[[C. Imp.]:[C. Imp.]],$D232,Imput[[PERIODO Imp.]:[PERIODO Imp.]],CP$9)</f>
        <v>0</v>
      </c>
      <c r="CQ232" s="516">
        <f>SUMIFS(Imput[[Importe Neto]:[Importe Neto]],Imput[[C. Imp.]:[C. Imp.]],$D232,Imput[[PERIODO Imp.]:[PERIODO Imp.]],CQ$9)</f>
        <v>0</v>
      </c>
      <c r="CR232" s="516">
        <f>SUMIFS(Imput[[Importe Neto]:[Importe Neto]],Imput[[C. Imp.]:[C. Imp.]],$D232,Imput[[PERIODO Imp.]:[PERIODO Imp.]],CR$9)</f>
        <v>0</v>
      </c>
      <c r="CS232" s="516">
        <f>SUMIFS(Imput[[Importe Neto]:[Importe Neto]],Imput[[C. Imp.]:[C. Imp.]],$D232,Imput[[PERIODO Imp.]:[PERIODO Imp.]],CS$9)</f>
        <v>0</v>
      </c>
      <c r="CT232" s="516">
        <f>SUMIFS(Imput[[Importe Neto]:[Importe Neto]],Imput[[C. Imp.]:[C. Imp.]],$D232,Imput[[PERIODO Imp.]:[PERIODO Imp.]],CT$9)</f>
        <v>0</v>
      </c>
      <c r="CU232" s="516">
        <f>SUMIFS(Imput[[Importe Neto]:[Importe Neto]],Imput[[C. Imp.]:[C. Imp.]],$D232,Imput[[PERIODO Imp.]:[PERIODO Imp.]],CU$9)</f>
        <v>0</v>
      </c>
      <c r="CV232" s="516">
        <f>SUMIFS(Imput[[Importe Neto]:[Importe Neto]],Imput[[C. Imp.]:[C. Imp.]],$D232,Imput[[PERIODO Imp.]:[PERIODO Imp.]],CV$9)</f>
        <v>0</v>
      </c>
      <c r="CW232" s="516">
        <f>SUMIFS(Imput[[Importe Neto]:[Importe Neto]],Imput[[C. Imp.]:[C. Imp.]],$D232,Imput[[PERIODO Imp.]:[PERIODO Imp.]],CW$9)</f>
        <v>0</v>
      </c>
      <c r="CX232" s="516">
        <f>SUMIFS(Imput[[Importe Neto]:[Importe Neto]],Imput[[C. Imp.]:[C. Imp.]],$D232,Imput[[PERIODO Imp.]:[PERIODO Imp.]],CX$9)</f>
        <v>0</v>
      </c>
      <c r="CY232" s="516">
        <f>SUMIFS(Imput[[Importe Neto]:[Importe Neto]],Imput[[C. Imp.]:[C. Imp.]],$D232,Imput[[PERIODO Imp.]:[PERIODO Imp.]],CY$9)</f>
        <v>0</v>
      </c>
      <c r="CZ232" s="516">
        <f>SUMIFS(Imput[[Importe Neto]:[Importe Neto]],Imput[[C. Imp.]:[C. Imp.]],$D232,Imput[[PERIODO Imp.]:[PERIODO Imp.]],CZ$9)</f>
        <v>0</v>
      </c>
      <c r="DA232" s="516">
        <f>SUMIFS(Imput[[Importe Neto]:[Importe Neto]],Imput[[C. Imp.]:[C. Imp.]],$D232,Imput[[PERIODO Imp.]:[PERIODO Imp.]],DA$9)</f>
        <v>0</v>
      </c>
      <c r="DB232" s="516">
        <f>SUMIFS(Imput[[Importe Neto]:[Importe Neto]],Imput[[C. Imp.]:[C. Imp.]],$D232,Imput[[PERIODO Imp.]:[PERIODO Imp.]],DB$9)</f>
        <v>0</v>
      </c>
      <c r="DC232" s="516">
        <f>SUMIFS(Imput[[Importe Neto]:[Importe Neto]],Imput[[C. Imp.]:[C. Imp.]],$D232,Imput[[PERIODO Imp.]:[PERIODO Imp.]],DC$9)</f>
        <v>0</v>
      </c>
      <c r="DD232" s="516">
        <f>SUMIFS(Imput[[Importe Neto]:[Importe Neto]],Imput[[C. Imp.]:[C. Imp.]],$D232,Imput[[PERIODO Imp.]:[PERIODO Imp.]],DD$9)</f>
        <v>0</v>
      </c>
      <c r="DE232" s="516">
        <f>SUMIFS(Imput[[Importe Neto]:[Importe Neto]],Imput[[C. Imp.]:[C. Imp.]],$D232,Imput[[PERIODO Imp.]:[PERIODO Imp.]],DE$9)</f>
        <v>0</v>
      </c>
      <c r="DF232" s="516">
        <f>SUMIFS(Imput[[Importe Neto]:[Importe Neto]],Imput[[C. Imp.]:[C. Imp.]],$D232,Imput[[PERIODO Imp.]:[PERIODO Imp.]],DF$9)</f>
        <v>0</v>
      </c>
      <c r="DG232" s="516">
        <f>SUMIFS(Imput[[Importe Neto]:[Importe Neto]],Imput[[C. Imp.]:[C. Imp.]],$D232,Imput[[PERIODO Imp.]:[PERIODO Imp.]],DG$9)</f>
        <v>0</v>
      </c>
      <c r="DH232" s="616">
        <f>SUMIFS(Imput[[Importe Neto]:[Importe Neto]],Imput[[C. Imp.]:[C. Imp.]],$D232,Imput[[PERIODO Imp.]:[PERIODO Imp.]],DH$9)</f>
        <v>0</v>
      </c>
    </row>
    <row r="233" spans="1:112" ht="14.4" hidden="1" outlineLevel="1" thickBot="1" x14ac:dyDescent="0.35">
      <c r="A233" s="66" t="str">
        <f t="shared" si="106"/>
        <v/>
      </c>
      <c r="C233" s="527"/>
      <c r="D233" s="528" t="s">
        <v>2325</v>
      </c>
      <c r="E233" s="528"/>
      <c r="F233" s="534"/>
      <c r="G233" s="529"/>
      <c r="H233" s="530"/>
      <c r="I233" s="849" t="str">
        <f t="shared" si="107"/>
        <v/>
      </c>
      <c r="J233" s="517" t="str">
        <f t="shared" si="108"/>
        <v/>
      </c>
      <c r="K233" s="70"/>
      <c r="L233" s="853"/>
      <c r="M233" s="855"/>
      <c r="N233" s="855"/>
      <c r="O233" s="855"/>
      <c r="P233" s="855"/>
      <c r="Q233" s="855"/>
      <c r="R233" s="855"/>
      <c r="S233" s="855"/>
      <c r="T233" s="855"/>
      <c r="U233" s="855"/>
      <c r="V233" s="855"/>
      <c r="W233" s="855"/>
      <c r="X233" s="855"/>
      <c r="Y233" s="855"/>
      <c r="Z233" s="856"/>
      <c r="AA233" s="856"/>
      <c r="AB233" s="856"/>
      <c r="AC233" s="856"/>
      <c r="AD233" s="856"/>
      <c r="AE233" s="856"/>
      <c r="AF233" s="856"/>
      <c r="AG233" s="856"/>
      <c r="AH233" s="856"/>
      <c r="AI233" s="856"/>
      <c r="AJ233" s="856"/>
      <c r="AK233" s="856"/>
      <c r="AL233" s="856"/>
      <c r="AM233" s="856"/>
      <c r="AN233" s="856"/>
      <c r="AO233" s="856"/>
      <c r="AP233" s="856"/>
      <c r="AQ233" s="856"/>
      <c r="AR233" s="856"/>
      <c r="AS233" s="856"/>
      <c r="AT233" s="856"/>
      <c r="AU233" s="856"/>
      <c r="AV233" s="856"/>
      <c r="AW233" s="856"/>
      <c r="AX233" s="856"/>
      <c r="AY233" s="856"/>
      <c r="AZ233" s="856"/>
      <c r="BA233" s="856"/>
      <c r="BB233" s="856"/>
      <c r="BC233" s="856"/>
      <c r="BD233" s="856"/>
      <c r="BE233" s="856"/>
      <c r="BF233" s="856"/>
      <c r="BG233" s="857"/>
      <c r="BH233" s="590"/>
      <c r="BI233" s="68"/>
      <c r="BJ233" s="518">
        <f t="shared" si="109"/>
        <v>0</v>
      </c>
      <c r="BK233" s="517">
        <f t="shared" si="110"/>
        <v>0</v>
      </c>
      <c r="BL233" s="68"/>
      <c r="BM233" s="515">
        <f>SUMIFS(Imput[[Importe Neto]:[Importe Neto]],Imput[[C. Imp.]:[C. Imp.]],$D233,Imput[[PERIODO Imp.]:[PERIODO Imp.]],BM$9)</f>
        <v>0</v>
      </c>
      <c r="BN233" s="516">
        <f>SUMIFS(Imput[[Importe Neto]:[Importe Neto]],Imput[[C. Imp.]:[C. Imp.]],$D233,Imput[[PERIODO Imp.]:[PERIODO Imp.]],BN$9)</f>
        <v>0</v>
      </c>
      <c r="BO233" s="516">
        <f>SUMIFS(Imput[[Importe Neto]:[Importe Neto]],Imput[[C. Imp.]:[C. Imp.]],$D233,Imput[[PERIODO Imp.]:[PERIODO Imp.]],BO$9)</f>
        <v>0</v>
      </c>
      <c r="BP233" s="516">
        <f>SUMIFS(Imput[[Importe Neto]:[Importe Neto]],Imput[[C. Imp.]:[C. Imp.]],$D233,Imput[[PERIODO Imp.]:[PERIODO Imp.]],BP$9)</f>
        <v>0</v>
      </c>
      <c r="BQ233" s="516">
        <f>SUMIFS(Imput[[Importe Neto]:[Importe Neto]],Imput[[C. Imp.]:[C. Imp.]],$D233,Imput[[PERIODO Imp.]:[PERIODO Imp.]],BQ$9)</f>
        <v>0</v>
      </c>
      <c r="BR233" s="516">
        <f>SUMIFS(Imput[[Importe Neto]:[Importe Neto]],Imput[[C. Imp.]:[C. Imp.]],$D233,Imput[[PERIODO Imp.]:[PERIODO Imp.]],BR$9)</f>
        <v>0</v>
      </c>
      <c r="BS233" s="516">
        <f>SUMIFS(Imput[[Importe Neto]:[Importe Neto]],Imput[[C. Imp.]:[C. Imp.]],$D233,Imput[[PERIODO Imp.]:[PERIODO Imp.]],BS$9)</f>
        <v>0</v>
      </c>
      <c r="BT233" s="516">
        <f>SUMIFS(Imput[[Importe Neto]:[Importe Neto]],Imput[[C. Imp.]:[C. Imp.]],$D233,Imput[[PERIODO Imp.]:[PERIODO Imp.]],BT$9)</f>
        <v>0</v>
      </c>
      <c r="BU233" s="516">
        <f>SUMIFS(Imput[[Importe Neto]:[Importe Neto]],Imput[[C. Imp.]:[C. Imp.]],$D233,Imput[[PERIODO Imp.]:[PERIODO Imp.]],BU$9)</f>
        <v>0</v>
      </c>
      <c r="BV233" s="516">
        <f>SUMIFS(Imput[[Importe Neto]:[Importe Neto]],Imput[[C. Imp.]:[C. Imp.]],$D233,Imput[[PERIODO Imp.]:[PERIODO Imp.]],BV$9)</f>
        <v>0</v>
      </c>
      <c r="BW233" s="516">
        <f>SUMIFS(Imput[[Importe Neto]:[Importe Neto]],Imput[[C. Imp.]:[C. Imp.]],$D233,Imput[[PERIODO Imp.]:[PERIODO Imp.]],BW$9)</f>
        <v>0</v>
      </c>
      <c r="BX233" s="516">
        <f>SUMIFS(Imput[[Importe Neto]:[Importe Neto]],Imput[[C. Imp.]:[C. Imp.]],$D233,Imput[[PERIODO Imp.]:[PERIODO Imp.]],BX$9)</f>
        <v>0</v>
      </c>
      <c r="BY233" s="516">
        <f>SUMIFS(Imput[[Importe Neto]:[Importe Neto]],Imput[[C. Imp.]:[C. Imp.]],$D233,Imput[[PERIODO Imp.]:[PERIODO Imp.]],BY$9)</f>
        <v>0</v>
      </c>
      <c r="BZ233" s="516">
        <f>SUMIFS(Imput[[Importe Neto]:[Importe Neto]],Imput[[C. Imp.]:[C. Imp.]],$D233,Imput[[PERIODO Imp.]:[PERIODO Imp.]],BZ$9)</f>
        <v>0</v>
      </c>
      <c r="CA233" s="516">
        <f>SUMIFS(Imput[[Importe Neto]:[Importe Neto]],Imput[[C. Imp.]:[C. Imp.]],$D233,Imput[[PERIODO Imp.]:[PERIODO Imp.]],CA$9)</f>
        <v>0</v>
      </c>
      <c r="CB233" s="516">
        <f>SUMIFS(Imput[[Importe Neto]:[Importe Neto]],Imput[[C. Imp.]:[C. Imp.]],$D233,Imput[[PERIODO Imp.]:[PERIODO Imp.]],CB$9)</f>
        <v>0</v>
      </c>
      <c r="CC233" s="516">
        <f>SUMIFS(Imput[[Importe Neto]:[Importe Neto]],Imput[[C. Imp.]:[C. Imp.]],$D233,Imput[[PERIODO Imp.]:[PERIODO Imp.]],CC$9)</f>
        <v>0</v>
      </c>
      <c r="CD233" s="516">
        <f>SUMIFS(Imput[[Importe Neto]:[Importe Neto]],Imput[[C. Imp.]:[C. Imp.]],$D233,Imput[[PERIODO Imp.]:[PERIODO Imp.]],CD$9)</f>
        <v>0</v>
      </c>
      <c r="CE233" s="516">
        <f>SUMIFS(Imput[[Importe Neto]:[Importe Neto]],Imput[[C. Imp.]:[C. Imp.]],$D233,Imput[[PERIODO Imp.]:[PERIODO Imp.]],CE$9)</f>
        <v>0</v>
      </c>
      <c r="CF233" s="516">
        <f>SUMIFS(Imput[[Importe Neto]:[Importe Neto]],Imput[[C. Imp.]:[C. Imp.]],$D233,Imput[[PERIODO Imp.]:[PERIODO Imp.]],CF$9)</f>
        <v>0</v>
      </c>
      <c r="CG233" s="516">
        <f>SUMIFS(Imput[[Importe Neto]:[Importe Neto]],Imput[[C. Imp.]:[C. Imp.]],$D233,Imput[[PERIODO Imp.]:[PERIODO Imp.]],CG$9)</f>
        <v>0</v>
      </c>
      <c r="CH233" s="516">
        <f>SUMIFS(Imput[[Importe Neto]:[Importe Neto]],Imput[[C. Imp.]:[C. Imp.]],$D233,Imput[[PERIODO Imp.]:[PERIODO Imp.]],CH$9)</f>
        <v>0</v>
      </c>
      <c r="CI233" s="516">
        <f>SUMIFS(Imput[[Importe Neto]:[Importe Neto]],Imput[[C. Imp.]:[C. Imp.]],$D233,Imput[[PERIODO Imp.]:[PERIODO Imp.]],CI$9)</f>
        <v>0</v>
      </c>
      <c r="CJ233" s="516">
        <f>SUMIFS(Imput[[Importe Neto]:[Importe Neto]],Imput[[C. Imp.]:[C. Imp.]],$D233,Imput[[PERIODO Imp.]:[PERIODO Imp.]],CJ$9)</f>
        <v>0</v>
      </c>
      <c r="CK233" s="516">
        <f>SUMIFS(Imput[[Importe Neto]:[Importe Neto]],Imput[[C. Imp.]:[C. Imp.]],$D233,Imput[[PERIODO Imp.]:[PERIODO Imp.]],CK$9)</f>
        <v>0</v>
      </c>
      <c r="CL233" s="516">
        <f>SUMIFS(Imput[[Importe Neto]:[Importe Neto]],Imput[[C. Imp.]:[C. Imp.]],$D233,Imput[[PERIODO Imp.]:[PERIODO Imp.]],CL$9)</f>
        <v>0</v>
      </c>
      <c r="CM233" s="516">
        <f>SUMIFS(Imput[[Importe Neto]:[Importe Neto]],Imput[[C. Imp.]:[C. Imp.]],$D233,Imput[[PERIODO Imp.]:[PERIODO Imp.]],CM$9)</f>
        <v>0</v>
      </c>
      <c r="CN233" s="516">
        <f>SUMIFS(Imput[[Importe Neto]:[Importe Neto]],Imput[[C. Imp.]:[C. Imp.]],$D233,Imput[[PERIODO Imp.]:[PERIODO Imp.]],CN$9)</f>
        <v>0</v>
      </c>
      <c r="CO233" s="516">
        <f>SUMIFS(Imput[[Importe Neto]:[Importe Neto]],Imput[[C. Imp.]:[C. Imp.]],$D233,Imput[[PERIODO Imp.]:[PERIODO Imp.]],CO$9)</f>
        <v>0</v>
      </c>
      <c r="CP233" s="516">
        <f>SUMIFS(Imput[[Importe Neto]:[Importe Neto]],Imput[[C. Imp.]:[C. Imp.]],$D233,Imput[[PERIODO Imp.]:[PERIODO Imp.]],CP$9)</f>
        <v>0</v>
      </c>
      <c r="CQ233" s="516">
        <f>SUMIFS(Imput[[Importe Neto]:[Importe Neto]],Imput[[C. Imp.]:[C. Imp.]],$D233,Imput[[PERIODO Imp.]:[PERIODO Imp.]],CQ$9)</f>
        <v>0</v>
      </c>
      <c r="CR233" s="516">
        <f>SUMIFS(Imput[[Importe Neto]:[Importe Neto]],Imput[[C. Imp.]:[C. Imp.]],$D233,Imput[[PERIODO Imp.]:[PERIODO Imp.]],CR$9)</f>
        <v>0</v>
      </c>
      <c r="CS233" s="516">
        <f>SUMIFS(Imput[[Importe Neto]:[Importe Neto]],Imput[[C. Imp.]:[C. Imp.]],$D233,Imput[[PERIODO Imp.]:[PERIODO Imp.]],CS$9)</f>
        <v>0</v>
      </c>
      <c r="CT233" s="516">
        <f>SUMIFS(Imput[[Importe Neto]:[Importe Neto]],Imput[[C. Imp.]:[C. Imp.]],$D233,Imput[[PERIODO Imp.]:[PERIODO Imp.]],CT$9)</f>
        <v>0</v>
      </c>
      <c r="CU233" s="516">
        <f>SUMIFS(Imput[[Importe Neto]:[Importe Neto]],Imput[[C. Imp.]:[C. Imp.]],$D233,Imput[[PERIODO Imp.]:[PERIODO Imp.]],CU$9)</f>
        <v>0</v>
      </c>
      <c r="CV233" s="516">
        <f>SUMIFS(Imput[[Importe Neto]:[Importe Neto]],Imput[[C. Imp.]:[C. Imp.]],$D233,Imput[[PERIODO Imp.]:[PERIODO Imp.]],CV$9)</f>
        <v>0</v>
      </c>
      <c r="CW233" s="516">
        <f>SUMIFS(Imput[[Importe Neto]:[Importe Neto]],Imput[[C. Imp.]:[C. Imp.]],$D233,Imput[[PERIODO Imp.]:[PERIODO Imp.]],CW$9)</f>
        <v>0</v>
      </c>
      <c r="CX233" s="516">
        <f>SUMIFS(Imput[[Importe Neto]:[Importe Neto]],Imput[[C. Imp.]:[C. Imp.]],$D233,Imput[[PERIODO Imp.]:[PERIODO Imp.]],CX$9)</f>
        <v>0</v>
      </c>
      <c r="CY233" s="516">
        <f>SUMIFS(Imput[[Importe Neto]:[Importe Neto]],Imput[[C. Imp.]:[C. Imp.]],$D233,Imput[[PERIODO Imp.]:[PERIODO Imp.]],CY$9)</f>
        <v>0</v>
      </c>
      <c r="CZ233" s="516">
        <f>SUMIFS(Imput[[Importe Neto]:[Importe Neto]],Imput[[C. Imp.]:[C. Imp.]],$D233,Imput[[PERIODO Imp.]:[PERIODO Imp.]],CZ$9)</f>
        <v>0</v>
      </c>
      <c r="DA233" s="516">
        <f>SUMIFS(Imput[[Importe Neto]:[Importe Neto]],Imput[[C. Imp.]:[C. Imp.]],$D233,Imput[[PERIODO Imp.]:[PERIODO Imp.]],DA$9)</f>
        <v>0</v>
      </c>
      <c r="DB233" s="516">
        <f>SUMIFS(Imput[[Importe Neto]:[Importe Neto]],Imput[[C. Imp.]:[C. Imp.]],$D233,Imput[[PERIODO Imp.]:[PERIODO Imp.]],DB$9)</f>
        <v>0</v>
      </c>
      <c r="DC233" s="516">
        <f>SUMIFS(Imput[[Importe Neto]:[Importe Neto]],Imput[[C. Imp.]:[C. Imp.]],$D233,Imput[[PERIODO Imp.]:[PERIODO Imp.]],DC$9)</f>
        <v>0</v>
      </c>
      <c r="DD233" s="516">
        <f>SUMIFS(Imput[[Importe Neto]:[Importe Neto]],Imput[[C. Imp.]:[C. Imp.]],$D233,Imput[[PERIODO Imp.]:[PERIODO Imp.]],DD$9)</f>
        <v>0</v>
      </c>
      <c r="DE233" s="516">
        <f>SUMIFS(Imput[[Importe Neto]:[Importe Neto]],Imput[[C. Imp.]:[C. Imp.]],$D233,Imput[[PERIODO Imp.]:[PERIODO Imp.]],DE$9)</f>
        <v>0</v>
      </c>
      <c r="DF233" s="516">
        <f>SUMIFS(Imput[[Importe Neto]:[Importe Neto]],Imput[[C. Imp.]:[C. Imp.]],$D233,Imput[[PERIODO Imp.]:[PERIODO Imp.]],DF$9)</f>
        <v>0</v>
      </c>
      <c r="DG233" s="516">
        <f>SUMIFS(Imput[[Importe Neto]:[Importe Neto]],Imput[[C. Imp.]:[C. Imp.]],$D233,Imput[[PERIODO Imp.]:[PERIODO Imp.]],DG$9)</f>
        <v>0</v>
      </c>
      <c r="DH233" s="616">
        <f>SUMIFS(Imput[[Importe Neto]:[Importe Neto]],Imput[[C. Imp.]:[C. Imp.]],$D233,Imput[[PERIODO Imp.]:[PERIODO Imp.]],DH$9)</f>
        <v>0</v>
      </c>
    </row>
    <row r="234" spans="1:112" ht="14.4" hidden="1" outlineLevel="1" thickBot="1" x14ac:dyDescent="0.35">
      <c r="A234" s="66" t="str">
        <f>IF(J227&gt;0,"Imprimir","")</f>
        <v/>
      </c>
      <c r="C234" s="112"/>
      <c r="D234" s="113"/>
      <c r="E234" s="113"/>
      <c r="F234" s="114"/>
      <c r="G234" s="605"/>
      <c r="H234" s="115"/>
      <c r="I234" s="116"/>
      <c r="J234" s="120"/>
      <c r="K234" s="70"/>
      <c r="L234" s="591"/>
      <c r="M234" s="592"/>
      <c r="N234" s="767"/>
      <c r="O234" s="767"/>
      <c r="P234" s="768"/>
      <c r="Q234" s="768"/>
      <c r="R234" s="593"/>
      <c r="S234" s="593"/>
      <c r="T234" s="769"/>
      <c r="U234" s="769"/>
      <c r="V234" s="768"/>
      <c r="W234" s="768"/>
      <c r="X234" s="593"/>
      <c r="Y234" s="593"/>
      <c r="Z234" s="593"/>
      <c r="AA234" s="593"/>
      <c r="AB234" s="593"/>
      <c r="AC234" s="593"/>
      <c r="AD234" s="593"/>
      <c r="AE234" s="593"/>
      <c r="AF234" s="593"/>
      <c r="AG234" s="593"/>
      <c r="AH234" s="593"/>
      <c r="AI234" s="593"/>
      <c r="AJ234" s="593"/>
      <c r="AK234" s="593"/>
      <c r="AL234" s="593"/>
      <c r="AM234" s="593"/>
      <c r="AN234" s="593"/>
      <c r="AO234" s="593"/>
      <c r="AP234" s="593"/>
      <c r="AQ234" s="593"/>
      <c r="AR234" s="593"/>
      <c r="AS234" s="593"/>
      <c r="AT234" s="593"/>
      <c r="AU234" s="593"/>
      <c r="AV234" s="593"/>
      <c r="AW234" s="593"/>
      <c r="AX234" s="593"/>
      <c r="AY234" s="593"/>
      <c r="AZ234" s="593"/>
      <c r="BA234" s="593"/>
      <c r="BB234" s="593"/>
      <c r="BC234" s="593"/>
      <c r="BD234" s="593"/>
      <c r="BE234" s="593"/>
      <c r="BF234" s="593"/>
      <c r="BG234" s="594"/>
      <c r="BH234" s="773"/>
      <c r="BI234" s="68"/>
      <c r="BJ234" s="163"/>
      <c r="BK234" s="153"/>
      <c r="BL234" s="68"/>
      <c r="BM234" s="612"/>
      <c r="BN234" s="613"/>
      <c r="BO234" s="613"/>
      <c r="BP234" s="613"/>
      <c r="BQ234" s="613"/>
      <c r="BR234" s="613"/>
      <c r="BS234" s="613"/>
      <c r="BT234" s="613"/>
      <c r="BU234" s="613"/>
      <c r="BV234" s="613"/>
      <c r="BW234" s="613"/>
      <c r="BX234" s="613"/>
      <c r="BY234" s="613"/>
      <c r="BZ234" s="613"/>
      <c r="CA234" s="613"/>
      <c r="CB234" s="613"/>
      <c r="CC234" s="613"/>
      <c r="CD234" s="613"/>
      <c r="CE234" s="613"/>
      <c r="CF234" s="613"/>
      <c r="CG234" s="613"/>
      <c r="CH234" s="613"/>
      <c r="CI234" s="613"/>
      <c r="CJ234" s="613"/>
      <c r="CK234" s="613"/>
      <c r="CL234" s="613"/>
      <c r="CM234" s="613"/>
      <c r="CN234" s="613"/>
      <c r="CO234" s="613"/>
      <c r="CP234" s="613"/>
      <c r="CQ234" s="613"/>
      <c r="CR234" s="613"/>
      <c r="CS234" s="613"/>
      <c r="CT234" s="613"/>
      <c r="CU234" s="613"/>
      <c r="CV234" s="613"/>
      <c r="CW234" s="613"/>
      <c r="CX234" s="613"/>
      <c r="CY234" s="613"/>
      <c r="CZ234" s="613"/>
      <c r="DA234" s="613"/>
      <c r="DB234" s="613"/>
      <c r="DC234" s="613"/>
      <c r="DD234" s="613"/>
      <c r="DE234" s="613"/>
      <c r="DF234" s="613"/>
      <c r="DG234" s="613"/>
      <c r="DH234" s="614"/>
    </row>
    <row r="235" spans="1:112" collapsed="1" x14ac:dyDescent="0.3">
      <c r="A235" s="652" t="str">
        <f>IF(J235&gt;0,"Imprimir","")</f>
        <v>Imprimir</v>
      </c>
      <c r="B235" s="652"/>
      <c r="C235" s="711"/>
      <c r="D235" s="712" t="s">
        <v>456</v>
      </c>
      <c r="E235" s="712" t="s">
        <v>512</v>
      </c>
      <c r="F235" s="712"/>
      <c r="G235" s="713"/>
      <c r="H235" s="712"/>
      <c r="I235" s="714"/>
      <c r="J235" s="715">
        <f>SUBTOTAL(9,J238:J240)</f>
        <v>17115.936418159399</v>
      </c>
      <c r="K235" s="658"/>
      <c r="L235" s="770">
        <f t="shared" ref="L235:BG235" si="111">SUMPRODUCT($J238:$J240,L238:L240)</f>
        <v>11981.155492711579</v>
      </c>
      <c r="M235" s="771">
        <f t="shared" si="111"/>
        <v>0</v>
      </c>
      <c r="N235" s="771">
        <f t="shared" si="111"/>
        <v>0</v>
      </c>
      <c r="O235" s="771">
        <f t="shared" si="111"/>
        <v>0</v>
      </c>
      <c r="P235" s="771">
        <f t="shared" si="111"/>
        <v>0</v>
      </c>
      <c r="Q235" s="771">
        <f t="shared" si="111"/>
        <v>0</v>
      </c>
      <c r="R235" s="771">
        <f t="shared" si="111"/>
        <v>0</v>
      </c>
      <c r="S235" s="771">
        <f t="shared" si="111"/>
        <v>0</v>
      </c>
      <c r="T235" s="771">
        <f t="shared" si="111"/>
        <v>0</v>
      </c>
      <c r="U235" s="771">
        <f t="shared" si="111"/>
        <v>0</v>
      </c>
      <c r="V235" s="771">
        <f t="shared" si="111"/>
        <v>0</v>
      </c>
      <c r="W235" s="771">
        <f t="shared" si="111"/>
        <v>0</v>
      </c>
      <c r="X235" s="771">
        <f t="shared" si="111"/>
        <v>0</v>
      </c>
      <c r="Y235" s="771">
        <f t="shared" si="111"/>
        <v>0</v>
      </c>
      <c r="Z235" s="771">
        <f t="shared" si="111"/>
        <v>5134.7809254478198</v>
      </c>
      <c r="AA235" s="771">
        <f t="shared" si="111"/>
        <v>0</v>
      </c>
      <c r="AB235" s="771">
        <f t="shared" si="111"/>
        <v>0</v>
      </c>
      <c r="AC235" s="771">
        <f t="shared" si="111"/>
        <v>0</v>
      </c>
      <c r="AD235" s="771">
        <f t="shared" si="111"/>
        <v>0</v>
      </c>
      <c r="AE235" s="771">
        <f t="shared" si="111"/>
        <v>0</v>
      </c>
      <c r="AF235" s="771">
        <f t="shared" si="111"/>
        <v>0</v>
      </c>
      <c r="AG235" s="771">
        <f t="shared" si="111"/>
        <v>0</v>
      </c>
      <c r="AH235" s="771">
        <f t="shared" si="111"/>
        <v>0</v>
      </c>
      <c r="AI235" s="771">
        <f t="shared" si="111"/>
        <v>0</v>
      </c>
      <c r="AJ235" s="771">
        <f t="shared" si="111"/>
        <v>0</v>
      </c>
      <c r="AK235" s="771">
        <f t="shared" si="111"/>
        <v>0</v>
      </c>
      <c r="AL235" s="771">
        <f t="shared" si="111"/>
        <v>0</v>
      </c>
      <c r="AM235" s="771">
        <f t="shared" si="111"/>
        <v>0</v>
      </c>
      <c r="AN235" s="771">
        <f t="shared" si="111"/>
        <v>0</v>
      </c>
      <c r="AO235" s="771">
        <f t="shared" si="111"/>
        <v>0</v>
      </c>
      <c r="AP235" s="771">
        <f t="shared" si="111"/>
        <v>0</v>
      </c>
      <c r="AQ235" s="771">
        <f t="shared" si="111"/>
        <v>0</v>
      </c>
      <c r="AR235" s="771">
        <f t="shared" si="111"/>
        <v>0</v>
      </c>
      <c r="AS235" s="771">
        <f t="shared" si="111"/>
        <v>0</v>
      </c>
      <c r="AT235" s="771">
        <f t="shared" si="111"/>
        <v>0</v>
      </c>
      <c r="AU235" s="771">
        <f t="shared" si="111"/>
        <v>0</v>
      </c>
      <c r="AV235" s="771">
        <f t="shared" si="111"/>
        <v>0</v>
      </c>
      <c r="AW235" s="771">
        <f t="shared" si="111"/>
        <v>0</v>
      </c>
      <c r="AX235" s="771">
        <f t="shared" si="111"/>
        <v>0</v>
      </c>
      <c r="AY235" s="771">
        <f t="shared" si="111"/>
        <v>0</v>
      </c>
      <c r="AZ235" s="771">
        <f t="shared" si="111"/>
        <v>0</v>
      </c>
      <c r="BA235" s="771">
        <f t="shared" si="111"/>
        <v>0</v>
      </c>
      <c r="BB235" s="771">
        <f t="shared" si="111"/>
        <v>0</v>
      </c>
      <c r="BC235" s="771">
        <f t="shared" si="111"/>
        <v>0</v>
      </c>
      <c r="BD235" s="771">
        <f t="shared" si="111"/>
        <v>0</v>
      </c>
      <c r="BE235" s="771">
        <f t="shared" si="111"/>
        <v>0</v>
      </c>
      <c r="BF235" s="771">
        <f t="shared" si="111"/>
        <v>0</v>
      </c>
      <c r="BG235" s="765">
        <f t="shared" si="111"/>
        <v>0</v>
      </c>
      <c r="BH235" s="776"/>
      <c r="BI235" s="654"/>
      <c r="BJ235" s="659">
        <f>IFERROR(BK235/J235,0)</f>
        <v>0.60902186061397467</v>
      </c>
      <c r="BK235" s="660">
        <f>SUBTOTAL(9,BK236:BK240)</f>
        <v>10423.979443537926</v>
      </c>
      <c r="BL235" s="654"/>
      <c r="BM235" s="661">
        <f>SUBTOTAL(9,BM236:BM240)</f>
        <v>0</v>
      </c>
      <c r="BN235" s="662">
        <f>SUBTOTAL(9,BN236:BN240)</f>
        <v>0</v>
      </c>
      <c r="BO235" s="662">
        <f t="shared" ref="BO235:DH235" si="112">SUBTOTAL(9,BO236:BO240)</f>
        <v>832.02160000000003</v>
      </c>
      <c r="BP235" s="662">
        <f t="shared" si="112"/>
        <v>8465.7138435379275</v>
      </c>
      <c r="BQ235" s="662">
        <f t="shared" si="112"/>
        <v>1126.2439999999999</v>
      </c>
      <c r="BR235" s="662">
        <f t="shared" si="112"/>
        <v>0</v>
      </c>
      <c r="BS235" s="662">
        <f t="shared" si="112"/>
        <v>0</v>
      </c>
      <c r="BT235" s="662">
        <f t="shared" si="112"/>
        <v>0</v>
      </c>
      <c r="BU235" s="662">
        <f t="shared" si="112"/>
        <v>0</v>
      </c>
      <c r="BV235" s="662">
        <f t="shared" si="112"/>
        <v>0</v>
      </c>
      <c r="BW235" s="662">
        <f t="shared" si="112"/>
        <v>0</v>
      </c>
      <c r="BX235" s="662">
        <f t="shared" si="112"/>
        <v>0</v>
      </c>
      <c r="BY235" s="662">
        <f t="shared" si="112"/>
        <v>0</v>
      </c>
      <c r="BZ235" s="662">
        <f t="shared" si="112"/>
        <v>0</v>
      </c>
      <c r="CA235" s="662">
        <f t="shared" si="112"/>
        <v>0</v>
      </c>
      <c r="CB235" s="662">
        <f t="shared" si="112"/>
        <v>0</v>
      </c>
      <c r="CC235" s="662">
        <f t="shared" si="112"/>
        <v>0</v>
      </c>
      <c r="CD235" s="662">
        <f t="shared" si="112"/>
        <v>0</v>
      </c>
      <c r="CE235" s="662">
        <f t="shared" si="112"/>
        <v>0</v>
      </c>
      <c r="CF235" s="662">
        <f t="shared" si="112"/>
        <v>0</v>
      </c>
      <c r="CG235" s="662">
        <f t="shared" si="112"/>
        <v>0</v>
      </c>
      <c r="CH235" s="662">
        <f t="shared" si="112"/>
        <v>0</v>
      </c>
      <c r="CI235" s="662">
        <f t="shared" si="112"/>
        <v>0</v>
      </c>
      <c r="CJ235" s="662">
        <f t="shared" si="112"/>
        <v>0</v>
      </c>
      <c r="CK235" s="662">
        <f t="shared" si="112"/>
        <v>0</v>
      </c>
      <c r="CL235" s="662">
        <f t="shared" si="112"/>
        <v>0</v>
      </c>
      <c r="CM235" s="662">
        <f t="shared" si="112"/>
        <v>0</v>
      </c>
      <c r="CN235" s="662">
        <f t="shared" si="112"/>
        <v>0</v>
      </c>
      <c r="CO235" s="662">
        <f t="shared" si="112"/>
        <v>0</v>
      </c>
      <c r="CP235" s="662">
        <f t="shared" si="112"/>
        <v>0</v>
      </c>
      <c r="CQ235" s="662">
        <f t="shared" si="112"/>
        <v>0</v>
      </c>
      <c r="CR235" s="662">
        <f t="shared" si="112"/>
        <v>0</v>
      </c>
      <c r="CS235" s="662">
        <f t="shared" si="112"/>
        <v>0</v>
      </c>
      <c r="CT235" s="662">
        <f t="shared" si="112"/>
        <v>0</v>
      </c>
      <c r="CU235" s="662">
        <f t="shared" si="112"/>
        <v>0</v>
      </c>
      <c r="CV235" s="662">
        <f t="shared" si="112"/>
        <v>0</v>
      </c>
      <c r="CW235" s="662">
        <f t="shared" si="112"/>
        <v>0</v>
      </c>
      <c r="CX235" s="662">
        <f t="shared" si="112"/>
        <v>0</v>
      </c>
      <c r="CY235" s="662">
        <f t="shared" si="112"/>
        <v>0</v>
      </c>
      <c r="CZ235" s="662">
        <f t="shared" si="112"/>
        <v>0</v>
      </c>
      <c r="DA235" s="662">
        <f t="shared" si="112"/>
        <v>0</v>
      </c>
      <c r="DB235" s="662">
        <f t="shared" si="112"/>
        <v>0</v>
      </c>
      <c r="DC235" s="662">
        <f t="shared" si="112"/>
        <v>0</v>
      </c>
      <c r="DD235" s="662">
        <f t="shared" si="112"/>
        <v>0</v>
      </c>
      <c r="DE235" s="662">
        <f t="shared" si="112"/>
        <v>0</v>
      </c>
      <c r="DF235" s="662">
        <f t="shared" si="112"/>
        <v>0</v>
      </c>
      <c r="DG235" s="662">
        <f t="shared" si="112"/>
        <v>0</v>
      </c>
      <c r="DH235" s="663">
        <f t="shared" si="112"/>
        <v>0</v>
      </c>
    </row>
    <row r="236" spans="1:112" outlineLevel="1" x14ac:dyDescent="0.3">
      <c r="A236" s="652" t="str">
        <f>IF(J235&gt;0,"Imprimir","")</f>
        <v>Imprimir</v>
      </c>
      <c r="B236" s="652"/>
      <c r="C236" s="664"/>
      <c r="D236" s="665"/>
      <c r="E236" s="665"/>
      <c r="F236" s="665" t="s">
        <v>472</v>
      </c>
      <c r="G236" s="716" t="s">
        <v>2128</v>
      </c>
      <c r="H236" s="665" t="str">
        <f>H15</f>
        <v>Cantidad</v>
      </c>
      <c r="I236" s="665" t="s">
        <v>474</v>
      </c>
      <c r="J236" s="666" t="s">
        <v>29</v>
      </c>
      <c r="K236" s="667"/>
      <c r="L236" s="745"/>
      <c r="M236" s="741"/>
      <c r="N236" s="741"/>
      <c r="O236" s="741"/>
      <c r="P236" s="741"/>
      <c r="Q236" s="741"/>
      <c r="R236" s="741"/>
      <c r="S236" s="741"/>
      <c r="T236" s="741"/>
      <c r="U236" s="741"/>
      <c r="V236" s="741"/>
      <c r="W236" s="741"/>
      <c r="X236" s="741"/>
      <c r="Y236" s="741"/>
      <c r="Z236" s="741"/>
      <c r="AA236" s="741"/>
      <c r="AB236" s="741"/>
      <c r="AC236" s="741"/>
      <c r="AD236" s="741"/>
      <c r="AE236" s="741"/>
      <c r="AF236" s="741"/>
      <c r="AG236" s="741"/>
      <c r="AH236" s="741"/>
      <c r="AI236" s="741"/>
      <c r="AJ236" s="741"/>
      <c r="AK236" s="741"/>
      <c r="AL236" s="741"/>
      <c r="AM236" s="741"/>
      <c r="AN236" s="741"/>
      <c r="AO236" s="741"/>
      <c r="AP236" s="741"/>
      <c r="AQ236" s="741"/>
      <c r="AR236" s="741"/>
      <c r="AS236" s="741"/>
      <c r="AT236" s="741"/>
      <c r="AU236" s="741"/>
      <c r="AV236" s="741"/>
      <c r="AW236" s="741"/>
      <c r="AX236" s="741"/>
      <c r="AY236" s="741"/>
      <c r="AZ236" s="741"/>
      <c r="BA236" s="741"/>
      <c r="BB236" s="741"/>
      <c r="BC236" s="741"/>
      <c r="BD236" s="741"/>
      <c r="BE236" s="741"/>
      <c r="BF236" s="741"/>
      <c r="BG236" s="746"/>
      <c r="BH236" s="668"/>
      <c r="BI236" s="654"/>
      <c r="BJ236" s="669"/>
      <c r="BK236" s="670"/>
      <c r="BL236" s="654"/>
      <c r="BM236" s="671"/>
      <c r="BN236" s="665"/>
      <c r="BO236" s="665"/>
      <c r="BP236" s="665"/>
      <c r="BQ236" s="665"/>
      <c r="BR236" s="665"/>
      <c r="BS236" s="665"/>
      <c r="BT236" s="665"/>
      <c r="BU236" s="665"/>
      <c r="BV236" s="665"/>
      <c r="BW236" s="665"/>
      <c r="BX236" s="665"/>
      <c r="BY236" s="665"/>
      <c r="BZ236" s="665"/>
      <c r="CA236" s="665"/>
      <c r="CB236" s="665"/>
      <c r="CC236" s="665"/>
      <c r="CD236" s="665"/>
      <c r="CE236" s="665"/>
      <c r="CF236" s="665"/>
      <c r="CG236" s="665"/>
      <c r="CH236" s="665"/>
      <c r="CI236" s="665"/>
      <c r="CJ236" s="665"/>
      <c r="CK236" s="665"/>
      <c r="CL236" s="665"/>
      <c r="CM236" s="665"/>
      <c r="CN236" s="665"/>
      <c r="CO236" s="665"/>
      <c r="CP236" s="665"/>
      <c r="CQ236" s="665"/>
      <c r="CR236" s="665"/>
      <c r="CS236" s="665"/>
      <c r="CT236" s="665"/>
      <c r="CU236" s="665"/>
      <c r="CV236" s="665"/>
      <c r="CW236" s="665"/>
      <c r="CX236" s="665"/>
      <c r="CY236" s="665"/>
      <c r="CZ236" s="665"/>
      <c r="DA236" s="665"/>
      <c r="DB236" s="665"/>
      <c r="DC236" s="665"/>
      <c r="DD236" s="665"/>
      <c r="DE236" s="665"/>
      <c r="DF236" s="665"/>
      <c r="DG236" s="665"/>
      <c r="DH236" s="666"/>
    </row>
    <row r="237" spans="1:112" ht="15.6" outlineLevel="1" x14ac:dyDescent="0.3">
      <c r="A237" s="652" t="str">
        <f t="shared" ref="A237" si="113">IF(J237&gt;0,"Imprimir","")</f>
        <v>Imprimir</v>
      </c>
      <c r="B237" s="652"/>
      <c r="C237" s="672"/>
      <c r="D237" s="673"/>
      <c r="E237" s="674"/>
      <c r="F237" s="675"/>
      <c r="G237" s="726"/>
      <c r="H237" s="676"/>
      <c r="I237" s="677"/>
      <c r="J237" s="219">
        <f>SUBTOTAL(9,J238:J240)</f>
        <v>17115.936418159399</v>
      </c>
      <c r="K237" s="678"/>
      <c r="L237" s="747"/>
      <c r="M237" s="742"/>
      <c r="N237" s="742"/>
      <c r="O237" s="742"/>
      <c r="P237" s="742"/>
      <c r="Q237" s="742"/>
      <c r="R237" s="742"/>
      <c r="S237" s="742"/>
      <c r="T237" s="742"/>
      <c r="U237" s="742"/>
      <c r="V237" s="742"/>
      <c r="W237" s="742"/>
      <c r="X237" s="742"/>
      <c r="Y237" s="742"/>
      <c r="Z237" s="742"/>
      <c r="AA237" s="742"/>
      <c r="AB237" s="742"/>
      <c r="AC237" s="742"/>
      <c r="AD237" s="742"/>
      <c r="AE237" s="742"/>
      <c r="AF237" s="742"/>
      <c r="AG237" s="742"/>
      <c r="AH237" s="742"/>
      <c r="AI237" s="742"/>
      <c r="AJ237" s="742"/>
      <c r="AK237" s="742"/>
      <c r="AL237" s="742"/>
      <c r="AM237" s="742"/>
      <c r="AN237" s="742"/>
      <c r="AO237" s="742"/>
      <c r="AP237" s="742"/>
      <c r="AQ237" s="742"/>
      <c r="AR237" s="742"/>
      <c r="AS237" s="742"/>
      <c r="AT237" s="742"/>
      <c r="AU237" s="742"/>
      <c r="AV237" s="742"/>
      <c r="AW237" s="742"/>
      <c r="AX237" s="742"/>
      <c r="AY237" s="742"/>
      <c r="AZ237" s="742"/>
      <c r="BA237" s="742"/>
      <c r="BB237" s="742"/>
      <c r="BC237" s="742"/>
      <c r="BD237" s="742"/>
      <c r="BE237" s="742"/>
      <c r="BF237" s="742"/>
      <c r="BG237" s="748"/>
      <c r="BH237" s="668"/>
      <c r="BI237" s="654"/>
      <c r="BJ237" s="729"/>
      <c r="BK237" s="681"/>
      <c r="BL237" s="654"/>
      <c r="BM237" s="682"/>
      <c r="BN237" s="683"/>
      <c r="BO237" s="683"/>
      <c r="BP237" s="683"/>
      <c r="BQ237" s="683"/>
      <c r="BR237" s="683"/>
      <c r="BS237" s="683"/>
      <c r="BT237" s="683"/>
      <c r="BU237" s="683"/>
      <c r="BV237" s="683"/>
      <c r="BW237" s="683"/>
      <c r="BX237" s="683"/>
      <c r="BY237" s="683"/>
      <c r="BZ237" s="683"/>
      <c r="CA237" s="683"/>
      <c r="CB237" s="683"/>
      <c r="CC237" s="683"/>
      <c r="CD237" s="683"/>
      <c r="CE237" s="683"/>
      <c r="CF237" s="683"/>
      <c r="CG237" s="683"/>
      <c r="CH237" s="683"/>
      <c r="CI237" s="683"/>
      <c r="CJ237" s="683"/>
      <c r="CK237" s="683"/>
      <c r="CL237" s="683"/>
      <c r="CM237" s="683"/>
      <c r="CN237" s="683"/>
      <c r="CO237" s="683"/>
      <c r="CP237" s="683"/>
      <c r="CQ237" s="683"/>
      <c r="CR237" s="683"/>
      <c r="CS237" s="683"/>
      <c r="CT237" s="683"/>
      <c r="CU237" s="683"/>
      <c r="CV237" s="683"/>
      <c r="CW237" s="683"/>
      <c r="CX237" s="683"/>
      <c r="CY237" s="683"/>
      <c r="CZ237" s="683"/>
      <c r="DA237" s="683"/>
      <c r="DB237" s="683"/>
      <c r="DC237" s="683"/>
      <c r="DD237" s="683"/>
      <c r="DE237" s="683"/>
      <c r="DF237" s="683"/>
      <c r="DG237" s="683"/>
      <c r="DH237" s="684"/>
    </row>
    <row r="238" spans="1:112" outlineLevel="1" x14ac:dyDescent="0.3">
      <c r="A238" s="652" t="str">
        <f t="shared" ref="A238:A239" si="114">IF(J238="","",IF(J238=0,"","Imprimir"))</f>
        <v>Imprimir</v>
      </c>
      <c r="B238" s="652"/>
      <c r="C238" s="685"/>
      <c r="D238" s="686" t="s">
        <v>2326</v>
      </c>
      <c r="E238" s="686" t="s">
        <v>513</v>
      </c>
      <c r="F238" s="720"/>
      <c r="G238" s="688">
        <f>SUM(J14,J26,J68,J121,J174,J187,J210,J227)</f>
        <v>285265.60696932336</v>
      </c>
      <c r="H238" s="845">
        <v>0.03</v>
      </c>
      <c r="I238" s="851">
        <f t="shared" ref="I238:I239" si="115">IF(E238&gt;0,$J$5,"")</f>
        <v>1</v>
      </c>
      <c r="J238" s="517">
        <f>G238*H238*I238</f>
        <v>8557.9682090796996</v>
      </c>
      <c r="K238" s="667"/>
      <c r="L238" s="858">
        <v>0.7</v>
      </c>
      <c r="M238" s="859"/>
      <c r="N238" s="859"/>
      <c r="O238" s="859"/>
      <c r="P238" s="859"/>
      <c r="Q238" s="859"/>
      <c r="R238" s="859"/>
      <c r="S238" s="859"/>
      <c r="T238" s="859"/>
      <c r="U238" s="859"/>
      <c r="V238" s="859"/>
      <c r="W238" s="859"/>
      <c r="X238" s="859"/>
      <c r="Y238" s="859"/>
      <c r="Z238" s="860">
        <v>0.3</v>
      </c>
      <c r="AA238" s="860"/>
      <c r="AB238" s="860"/>
      <c r="AC238" s="860"/>
      <c r="AD238" s="860"/>
      <c r="AE238" s="860"/>
      <c r="AF238" s="860"/>
      <c r="AG238" s="860"/>
      <c r="AH238" s="860"/>
      <c r="AI238" s="860"/>
      <c r="AJ238" s="860"/>
      <c r="AK238" s="860"/>
      <c r="AL238" s="860"/>
      <c r="AM238" s="860"/>
      <c r="AN238" s="860"/>
      <c r="AO238" s="860"/>
      <c r="AP238" s="860"/>
      <c r="AQ238" s="860"/>
      <c r="AR238" s="860"/>
      <c r="AS238" s="860"/>
      <c r="AT238" s="860"/>
      <c r="AU238" s="860"/>
      <c r="AV238" s="860"/>
      <c r="AW238" s="860"/>
      <c r="AX238" s="860"/>
      <c r="AY238" s="860"/>
      <c r="AZ238" s="860"/>
      <c r="BA238" s="860"/>
      <c r="BB238" s="860"/>
      <c r="BC238" s="860"/>
      <c r="BD238" s="860"/>
      <c r="BE238" s="860"/>
      <c r="BF238" s="860"/>
      <c r="BG238" s="861"/>
      <c r="BH238" s="668"/>
      <c r="BI238" s="654"/>
      <c r="BJ238" s="690">
        <f>IFERROR(BK238/J238,0)</f>
        <v>0.24350753737633096</v>
      </c>
      <c r="BK238" s="691">
        <f t="shared" ref="BK238:BK239" si="116">SUM(BM238:DH238)</f>
        <v>2083.9297635379271</v>
      </c>
      <c r="BL238" s="654"/>
      <c r="BM238" s="692">
        <f>SUMIFS(Imput[[Importe Neto]:[Importe Neto]],Imput[[C. Imp.]:[C. Imp.]],$D238,Imput[[PERIODO Imp.]:[PERIODO Imp.]],BM$9)</f>
        <v>0</v>
      </c>
      <c r="BN238" s="693">
        <f>SUMIFS(Imput[[Importe Neto]:[Importe Neto]],Imput[[C. Imp.]:[C. Imp.]],$D238,Imput[[PERIODO Imp.]:[PERIODO Imp.]],BN$9)</f>
        <v>0</v>
      </c>
      <c r="BO238" s="693">
        <f>SUMIFS(Imput[[Importe Neto]:[Importe Neto]],Imput[[C. Imp.]:[C. Imp.]],$D238,Imput[[PERIODO Imp.]:[PERIODO Imp.]],BO$9)</f>
        <v>0</v>
      </c>
      <c r="BP238" s="693">
        <f>SUMIFS(Imput[[Importe Neto]:[Importe Neto]],Imput[[C. Imp.]:[C. Imp.]],$D238,Imput[[PERIODO Imp.]:[PERIODO Imp.]],BP$9)</f>
        <v>957.6857635379273</v>
      </c>
      <c r="BQ238" s="693">
        <f>SUMIFS(Imput[[Importe Neto]:[Importe Neto]],Imput[[C. Imp.]:[C. Imp.]],$D238,Imput[[PERIODO Imp.]:[PERIODO Imp.]],BQ$9)</f>
        <v>1126.2439999999999</v>
      </c>
      <c r="BR238" s="693">
        <f>SUMIFS(Imput[[Importe Neto]:[Importe Neto]],Imput[[C. Imp.]:[C. Imp.]],$D238,Imput[[PERIODO Imp.]:[PERIODO Imp.]],BR$9)</f>
        <v>0</v>
      </c>
      <c r="BS238" s="693">
        <f>SUMIFS(Imput[[Importe Neto]:[Importe Neto]],Imput[[C. Imp.]:[C. Imp.]],$D238,Imput[[PERIODO Imp.]:[PERIODO Imp.]],BS$9)</f>
        <v>0</v>
      </c>
      <c r="BT238" s="693">
        <f>SUMIFS(Imput[[Importe Neto]:[Importe Neto]],Imput[[C. Imp.]:[C. Imp.]],$D238,Imput[[PERIODO Imp.]:[PERIODO Imp.]],BT$9)</f>
        <v>0</v>
      </c>
      <c r="BU238" s="693">
        <f>SUMIFS(Imput[[Importe Neto]:[Importe Neto]],Imput[[C. Imp.]:[C. Imp.]],$D238,Imput[[PERIODO Imp.]:[PERIODO Imp.]],BU$9)</f>
        <v>0</v>
      </c>
      <c r="BV238" s="693">
        <f>SUMIFS(Imput[[Importe Neto]:[Importe Neto]],Imput[[C. Imp.]:[C. Imp.]],$D238,Imput[[PERIODO Imp.]:[PERIODO Imp.]],BV$9)</f>
        <v>0</v>
      </c>
      <c r="BW238" s="693">
        <f>SUMIFS(Imput[[Importe Neto]:[Importe Neto]],Imput[[C. Imp.]:[C. Imp.]],$D238,Imput[[PERIODO Imp.]:[PERIODO Imp.]],BW$9)</f>
        <v>0</v>
      </c>
      <c r="BX238" s="693">
        <f>SUMIFS(Imput[[Importe Neto]:[Importe Neto]],Imput[[C. Imp.]:[C. Imp.]],$D238,Imput[[PERIODO Imp.]:[PERIODO Imp.]],BX$9)</f>
        <v>0</v>
      </c>
      <c r="BY238" s="693">
        <f>SUMIFS(Imput[[Importe Neto]:[Importe Neto]],Imput[[C. Imp.]:[C. Imp.]],$D238,Imput[[PERIODO Imp.]:[PERIODO Imp.]],BY$9)</f>
        <v>0</v>
      </c>
      <c r="BZ238" s="693">
        <f>SUMIFS(Imput[[Importe Neto]:[Importe Neto]],Imput[[C. Imp.]:[C. Imp.]],$D238,Imput[[PERIODO Imp.]:[PERIODO Imp.]],BZ$9)</f>
        <v>0</v>
      </c>
      <c r="CA238" s="693">
        <f>SUMIFS(Imput[[Importe Neto]:[Importe Neto]],Imput[[C. Imp.]:[C. Imp.]],$D238,Imput[[PERIODO Imp.]:[PERIODO Imp.]],CA$9)</f>
        <v>0</v>
      </c>
      <c r="CB238" s="693">
        <f>SUMIFS(Imput[[Importe Neto]:[Importe Neto]],Imput[[C. Imp.]:[C. Imp.]],$D238,Imput[[PERIODO Imp.]:[PERIODO Imp.]],CB$9)</f>
        <v>0</v>
      </c>
      <c r="CC238" s="693">
        <f>SUMIFS(Imput[[Importe Neto]:[Importe Neto]],Imput[[C. Imp.]:[C. Imp.]],$D238,Imput[[PERIODO Imp.]:[PERIODO Imp.]],CC$9)</f>
        <v>0</v>
      </c>
      <c r="CD238" s="693">
        <f>SUMIFS(Imput[[Importe Neto]:[Importe Neto]],Imput[[C. Imp.]:[C. Imp.]],$D238,Imput[[PERIODO Imp.]:[PERIODO Imp.]],CD$9)</f>
        <v>0</v>
      </c>
      <c r="CE238" s="693">
        <f>SUMIFS(Imput[[Importe Neto]:[Importe Neto]],Imput[[C. Imp.]:[C. Imp.]],$D238,Imput[[PERIODO Imp.]:[PERIODO Imp.]],CE$9)</f>
        <v>0</v>
      </c>
      <c r="CF238" s="693">
        <f>SUMIFS(Imput[[Importe Neto]:[Importe Neto]],Imput[[C. Imp.]:[C. Imp.]],$D238,Imput[[PERIODO Imp.]:[PERIODO Imp.]],CF$9)</f>
        <v>0</v>
      </c>
      <c r="CG238" s="693">
        <f>SUMIFS(Imput[[Importe Neto]:[Importe Neto]],Imput[[C. Imp.]:[C. Imp.]],$D238,Imput[[PERIODO Imp.]:[PERIODO Imp.]],CG$9)</f>
        <v>0</v>
      </c>
      <c r="CH238" s="693">
        <f>SUMIFS(Imput[[Importe Neto]:[Importe Neto]],Imput[[C. Imp.]:[C. Imp.]],$D238,Imput[[PERIODO Imp.]:[PERIODO Imp.]],CH$9)</f>
        <v>0</v>
      </c>
      <c r="CI238" s="693">
        <f>SUMIFS(Imput[[Importe Neto]:[Importe Neto]],Imput[[C. Imp.]:[C. Imp.]],$D238,Imput[[PERIODO Imp.]:[PERIODO Imp.]],CI$9)</f>
        <v>0</v>
      </c>
      <c r="CJ238" s="693">
        <f>SUMIFS(Imput[[Importe Neto]:[Importe Neto]],Imput[[C. Imp.]:[C. Imp.]],$D238,Imput[[PERIODO Imp.]:[PERIODO Imp.]],CJ$9)</f>
        <v>0</v>
      </c>
      <c r="CK238" s="693">
        <f>SUMIFS(Imput[[Importe Neto]:[Importe Neto]],Imput[[C. Imp.]:[C. Imp.]],$D238,Imput[[PERIODO Imp.]:[PERIODO Imp.]],CK$9)</f>
        <v>0</v>
      </c>
      <c r="CL238" s="693">
        <f>SUMIFS(Imput[[Importe Neto]:[Importe Neto]],Imput[[C. Imp.]:[C. Imp.]],$D238,Imput[[PERIODO Imp.]:[PERIODO Imp.]],CL$9)</f>
        <v>0</v>
      </c>
      <c r="CM238" s="693">
        <f>SUMIFS(Imput[[Importe Neto]:[Importe Neto]],Imput[[C. Imp.]:[C. Imp.]],$D238,Imput[[PERIODO Imp.]:[PERIODO Imp.]],CM$9)</f>
        <v>0</v>
      </c>
      <c r="CN238" s="693">
        <f>SUMIFS(Imput[[Importe Neto]:[Importe Neto]],Imput[[C. Imp.]:[C. Imp.]],$D238,Imput[[PERIODO Imp.]:[PERIODO Imp.]],CN$9)</f>
        <v>0</v>
      </c>
      <c r="CO238" s="693">
        <f>SUMIFS(Imput[[Importe Neto]:[Importe Neto]],Imput[[C. Imp.]:[C. Imp.]],$D238,Imput[[PERIODO Imp.]:[PERIODO Imp.]],CO$9)</f>
        <v>0</v>
      </c>
      <c r="CP238" s="693">
        <f>SUMIFS(Imput[[Importe Neto]:[Importe Neto]],Imput[[C. Imp.]:[C. Imp.]],$D238,Imput[[PERIODO Imp.]:[PERIODO Imp.]],CP$9)</f>
        <v>0</v>
      </c>
      <c r="CQ238" s="693">
        <f>SUMIFS(Imput[[Importe Neto]:[Importe Neto]],Imput[[C. Imp.]:[C. Imp.]],$D238,Imput[[PERIODO Imp.]:[PERIODO Imp.]],CQ$9)</f>
        <v>0</v>
      </c>
      <c r="CR238" s="693">
        <f>SUMIFS(Imput[[Importe Neto]:[Importe Neto]],Imput[[C. Imp.]:[C. Imp.]],$D238,Imput[[PERIODO Imp.]:[PERIODO Imp.]],CR$9)</f>
        <v>0</v>
      </c>
      <c r="CS238" s="693">
        <f>SUMIFS(Imput[[Importe Neto]:[Importe Neto]],Imput[[C. Imp.]:[C. Imp.]],$D238,Imput[[PERIODO Imp.]:[PERIODO Imp.]],CS$9)</f>
        <v>0</v>
      </c>
      <c r="CT238" s="693">
        <f>SUMIFS(Imput[[Importe Neto]:[Importe Neto]],Imput[[C. Imp.]:[C. Imp.]],$D238,Imput[[PERIODO Imp.]:[PERIODO Imp.]],CT$9)</f>
        <v>0</v>
      </c>
      <c r="CU238" s="693">
        <f>SUMIFS(Imput[[Importe Neto]:[Importe Neto]],Imput[[C. Imp.]:[C. Imp.]],$D238,Imput[[PERIODO Imp.]:[PERIODO Imp.]],CU$9)</f>
        <v>0</v>
      </c>
      <c r="CV238" s="693">
        <f>SUMIFS(Imput[[Importe Neto]:[Importe Neto]],Imput[[C. Imp.]:[C. Imp.]],$D238,Imput[[PERIODO Imp.]:[PERIODO Imp.]],CV$9)</f>
        <v>0</v>
      </c>
      <c r="CW238" s="693">
        <f>SUMIFS(Imput[[Importe Neto]:[Importe Neto]],Imput[[C. Imp.]:[C. Imp.]],$D238,Imput[[PERIODO Imp.]:[PERIODO Imp.]],CW$9)</f>
        <v>0</v>
      </c>
      <c r="CX238" s="693">
        <f>SUMIFS(Imput[[Importe Neto]:[Importe Neto]],Imput[[C. Imp.]:[C. Imp.]],$D238,Imput[[PERIODO Imp.]:[PERIODO Imp.]],CX$9)</f>
        <v>0</v>
      </c>
      <c r="CY238" s="693">
        <f>SUMIFS(Imput[[Importe Neto]:[Importe Neto]],Imput[[C. Imp.]:[C. Imp.]],$D238,Imput[[PERIODO Imp.]:[PERIODO Imp.]],CY$9)</f>
        <v>0</v>
      </c>
      <c r="CZ238" s="693">
        <f>SUMIFS(Imput[[Importe Neto]:[Importe Neto]],Imput[[C. Imp.]:[C. Imp.]],$D238,Imput[[PERIODO Imp.]:[PERIODO Imp.]],CZ$9)</f>
        <v>0</v>
      </c>
      <c r="DA238" s="693">
        <f>SUMIFS(Imput[[Importe Neto]:[Importe Neto]],Imput[[C. Imp.]:[C. Imp.]],$D238,Imput[[PERIODO Imp.]:[PERIODO Imp.]],DA$9)</f>
        <v>0</v>
      </c>
      <c r="DB238" s="693">
        <f>SUMIFS(Imput[[Importe Neto]:[Importe Neto]],Imput[[C. Imp.]:[C. Imp.]],$D238,Imput[[PERIODO Imp.]:[PERIODO Imp.]],DB$9)</f>
        <v>0</v>
      </c>
      <c r="DC238" s="693">
        <f>SUMIFS(Imput[[Importe Neto]:[Importe Neto]],Imput[[C. Imp.]:[C. Imp.]],$D238,Imput[[PERIODO Imp.]:[PERIODO Imp.]],DC$9)</f>
        <v>0</v>
      </c>
      <c r="DD238" s="693">
        <f>SUMIFS(Imput[[Importe Neto]:[Importe Neto]],Imput[[C. Imp.]:[C. Imp.]],$D238,Imput[[PERIODO Imp.]:[PERIODO Imp.]],DD$9)</f>
        <v>0</v>
      </c>
      <c r="DE238" s="693">
        <f>SUMIFS(Imput[[Importe Neto]:[Importe Neto]],Imput[[C. Imp.]:[C. Imp.]],$D238,Imput[[PERIODO Imp.]:[PERIODO Imp.]],DE$9)</f>
        <v>0</v>
      </c>
      <c r="DF238" s="693">
        <f>SUMIFS(Imput[[Importe Neto]:[Importe Neto]],Imput[[C. Imp.]:[C. Imp.]],$D238,Imput[[PERIODO Imp.]:[PERIODO Imp.]],DF$9)</f>
        <v>0</v>
      </c>
      <c r="DG238" s="693">
        <f>SUMIFS(Imput[[Importe Neto]:[Importe Neto]],Imput[[C. Imp.]:[C. Imp.]],$D238,Imput[[PERIODO Imp.]:[PERIODO Imp.]],DG$9)</f>
        <v>0</v>
      </c>
      <c r="DH238" s="694">
        <f>SUMIFS(Imput[[Importe Neto]:[Importe Neto]],Imput[[C. Imp.]:[C. Imp.]],$D238,Imput[[PERIODO Imp.]:[PERIODO Imp.]],DH$9)</f>
        <v>0</v>
      </c>
    </row>
    <row r="239" spans="1:112" outlineLevel="1" x14ac:dyDescent="0.3">
      <c r="A239" s="66" t="str">
        <f t="shared" si="114"/>
        <v>Imprimir</v>
      </c>
      <c r="C239" s="527"/>
      <c r="D239" s="528" t="s">
        <v>2327</v>
      </c>
      <c r="E239" s="528" t="s">
        <v>514</v>
      </c>
      <c r="F239" s="534"/>
      <c r="G239" s="529">
        <f>SUM(J14,J26,J68,J121,J174,J187,J210,J227)</f>
        <v>285265.60696932336</v>
      </c>
      <c r="H239" s="846">
        <v>0.03</v>
      </c>
      <c r="I239" s="849">
        <f t="shared" si="115"/>
        <v>1</v>
      </c>
      <c r="J239" s="517">
        <f>G239*H239*I239</f>
        <v>8557.9682090796996</v>
      </c>
      <c r="K239" s="70"/>
      <c r="L239" s="853">
        <v>0.7</v>
      </c>
      <c r="M239" s="855"/>
      <c r="N239" s="855"/>
      <c r="O239" s="855"/>
      <c r="P239" s="855"/>
      <c r="Q239" s="855"/>
      <c r="R239" s="855"/>
      <c r="S239" s="855"/>
      <c r="T239" s="855"/>
      <c r="U239" s="855"/>
      <c r="V239" s="855"/>
      <c r="W239" s="855"/>
      <c r="X239" s="855"/>
      <c r="Y239" s="855"/>
      <c r="Z239" s="856">
        <v>0.3</v>
      </c>
      <c r="AA239" s="856"/>
      <c r="AB239" s="856"/>
      <c r="AC239" s="856"/>
      <c r="AD239" s="856"/>
      <c r="AE239" s="856"/>
      <c r="AF239" s="856"/>
      <c r="AG239" s="856"/>
      <c r="AH239" s="856"/>
      <c r="AI239" s="856"/>
      <c r="AJ239" s="856"/>
      <c r="AK239" s="856"/>
      <c r="AL239" s="856"/>
      <c r="AM239" s="856"/>
      <c r="AN239" s="856"/>
      <c r="AO239" s="856"/>
      <c r="AP239" s="856"/>
      <c r="AQ239" s="856"/>
      <c r="AR239" s="856"/>
      <c r="AS239" s="856"/>
      <c r="AT239" s="856"/>
      <c r="AU239" s="856"/>
      <c r="AV239" s="856"/>
      <c r="AW239" s="856"/>
      <c r="AX239" s="856"/>
      <c r="AY239" s="856"/>
      <c r="AZ239" s="856"/>
      <c r="BA239" s="856"/>
      <c r="BB239" s="856"/>
      <c r="BC239" s="856"/>
      <c r="BD239" s="856"/>
      <c r="BE239" s="856"/>
      <c r="BF239" s="856"/>
      <c r="BG239" s="857"/>
      <c r="BH239" s="590"/>
      <c r="BI239" s="68"/>
      <c r="BJ239" s="518">
        <f t="shared" ref="BJ239" si="117">IFERROR(BK239/J239,0)</f>
        <v>0.97453618385161844</v>
      </c>
      <c r="BK239" s="517">
        <f t="shared" si="116"/>
        <v>8340.0496800000001</v>
      </c>
      <c r="BL239" s="68"/>
      <c r="BM239" s="515">
        <f>SUMIFS(Imput[[Importe Neto]:[Importe Neto]],Imput[[C. Imp.]:[C. Imp.]],$D239,Imput[[PERIODO Imp.]:[PERIODO Imp.]],BM$9)</f>
        <v>0</v>
      </c>
      <c r="BN239" s="516">
        <f>SUMIFS(Imput[[Importe Neto]:[Importe Neto]],Imput[[C. Imp.]:[C. Imp.]],$D239,Imput[[PERIODO Imp.]:[PERIODO Imp.]],BN$9)</f>
        <v>0</v>
      </c>
      <c r="BO239" s="516">
        <f>SUMIFS(Imput[[Importe Neto]:[Importe Neto]],Imput[[C. Imp.]:[C. Imp.]],$D239,Imput[[PERIODO Imp.]:[PERIODO Imp.]],BO$9)</f>
        <v>832.02160000000003</v>
      </c>
      <c r="BP239" s="516">
        <f>SUMIFS(Imput[[Importe Neto]:[Importe Neto]],Imput[[C. Imp.]:[C. Imp.]],$D239,Imput[[PERIODO Imp.]:[PERIODO Imp.]],BP$9)</f>
        <v>7508.028080000001</v>
      </c>
      <c r="BQ239" s="516">
        <f>SUMIFS(Imput[[Importe Neto]:[Importe Neto]],Imput[[C. Imp.]:[C. Imp.]],$D239,Imput[[PERIODO Imp.]:[PERIODO Imp.]],BQ$9)</f>
        <v>0</v>
      </c>
      <c r="BR239" s="516">
        <f>SUMIFS(Imput[[Importe Neto]:[Importe Neto]],Imput[[C. Imp.]:[C. Imp.]],$D239,Imput[[PERIODO Imp.]:[PERIODO Imp.]],BR$9)</f>
        <v>0</v>
      </c>
      <c r="BS239" s="516">
        <f>SUMIFS(Imput[[Importe Neto]:[Importe Neto]],Imput[[C. Imp.]:[C. Imp.]],$D239,Imput[[PERIODO Imp.]:[PERIODO Imp.]],BS$9)</f>
        <v>0</v>
      </c>
      <c r="BT239" s="516">
        <f>SUMIFS(Imput[[Importe Neto]:[Importe Neto]],Imput[[C. Imp.]:[C. Imp.]],$D239,Imput[[PERIODO Imp.]:[PERIODO Imp.]],BT$9)</f>
        <v>0</v>
      </c>
      <c r="BU239" s="516">
        <f>SUMIFS(Imput[[Importe Neto]:[Importe Neto]],Imput[[C. Imp.]:[C. Imp.]],$D239,Imput[[PERIODO Imp.]:[PERIODO Imp.]],BU$9)</f>
        <v>0</v>
      </c>
      <c r="BV239" s="516">
        <f>SUMIFS(Imput[[Importe Neto]:[Importe Neto]],Imput[[C. Imp.]:[C. Imp.]],$D239,Imput[[PERIODO Imp.]:[PERIODO Imp.]],BV$9)</f>
        <v>0</v>
      </c>
      <c r="BW239" s="516">
        <f>SUMIFS(Imput[[Importe Neto]:[Importe Neto]],Imput[[C. Imp.]:[C. Imp.]],$D239,Imput[[PERIODO Imp.]:[PERIODO Imp.]],BW$9)</f>
        <v>0</v>
      </c>
      <c r="BX239" s="516">
        <f>SUMIFS(Imput[[Importe Neto]:[Importe Neto]],Imput[[C. Imp.]:[C. Imp.]],$D239,Imput[[PERIODO Imp.]:[PERIODO Imp.]],BX$9)</f>
        <v>0</v>
      </c>
      <c r="BY239" s="516">
        <f>SUMIFS(Imput[[Importe Neto]:[Importe Neto]],Imput[[C. Imp.]:[C. Imp.]],$D239,Imput[[PERIODO Imp.]:[PERIODO Imp.]],BY$9)</f>
        <v>0</v>
      </c>
      <c r="BZ239" s="516">
        <f>SUMIFS(Imput[[Importe Neto]:[Importe Neto]],Imput[[C. Imp.]:[C. Imp.]],$D239,Imput[[PERIODO Imp.]:[PERIODO Imp.]],BZ$9)</f>
        <v>0</v>
      </c>
      <c r="CA239" s="516">
        <f>SUMIFS(Imput[[Importe Neto]:[Importe Neto]],Imput[[C. Imp.]:[C. Imp.]],$D239,Imput[[PERIODO Imp.]:[PERIODO Imp.]],CA$9)</f>
        <v>0</v>
      </c>
      <c r="CB239" s="516">
        <f>SUMIFS(Imput[[Importe Neto]:[Importe Neto]],Imput[[C. Imp.]:[C. Imp.]],$D239,Imput[[PERIODO Imp.]:[PERIODO Imp.]],CB$9)</f>
        <v>0</v>
      </c>
      <c r="CC239" s="516">
        <f>SUMIFS(Imput[[Importe Neto]:[Importe Neto]],Imput[[C. Imp.]:[C. Imp.]],$D239,Imput[[PERIODO Imp.]:[PERIODO Imp.]],CC$9)</f>
        <v>0</v>
      </c>
      <c r="CD239" s="516">
        <f>SUMIFS(Imput[[Importe Neto]:[Importe Neto]],Imput[[C. Imp.]:[C. Imp.]],$D239,Imput[[PERIODO Imp.]:[PERIODO Imp.]],CD$9)</f>
        <v>0</v>
      </c>
      <c r="CE239" s="516">
        <f>SUMIFS(Imput[[Importe Neto]:[Importe Neto]],Imput[[C. Imp.]:[C. Imp.]],$D239,Imput[[PERIODO Imp.]:[PERIODO Imp.]],CE$9)</f>
        <v>0</v>
      </c>
      <c r="CF239" s="516">
        <f>SUMIFS(Imput[[Importe Neto]:[Importe Neto]],Imput[[C. Imp.]:[C. Imp.]],$D239,Imput[[PERIODO Imp.]:[PERIODO Imp.]],CF$9)</f>
        <v>0</v>
      </c>
      <c r="CG239" s="516">
        <f>SUMIFS(Imput[[Importe Neto]:[Importe Neto]],Imput[[C. Imp.]:[C. Imp.]],$D239,Imput[[PERIODO Imp.]:[PERIODO Imp.]],CG$9)</f>
        <v>0</v>
      </c>
      <c r="CH239" s="516">
        <f>SUMIFS(Imput[[Importe Neto]:[Importe Neto]],Imput[[C. Imp.]:[C. Imp.]],$D239,Imput[[PERIODO Imp.]:[PERIODO Imp.]],CH$9)</f>
        <v>0</v>
      </c>
      <c r="CI239" s="516">
        <f>SUMIFS(Imput[[Importe Neto]:[Importe Neto]],Imput[[C. Imp.]:[C. Imp.]],$D239,Imput[[PERIODO Imp.]:[PERIODO Imp.]],CI$9)</f>
        <v>0</v>
      </c>
      <c r="CJ239" s="516">
        <f>SUMIFS(Imput[[Importe Neto]:[Importe Neto]],Imput[[C. Imp.]:[C. Imp.]],$D239,Imput[[PERIODO Imp.]:[PERIODO Imp.]],CJ$9)</f>
        <v>0</v>
      </c>
      <c r="CK239" s="516">
        <f>SUMIFS(Imput[[Importe Neto]:[Importe Neto]],Imput[[C. Imp.]:[C. Imp.]],$D239,Imput[[PERIODO Imp.]:[PERIODO Imp.]],CK$9)</f>
        <v>0</v>
      </c>
      <c r="CL239" s="516">
        <f>SUMIFS(Imput[[Importe Neto]:[Importe Neto]],Imput[[C. Imp.]:[C. Imp.]],$D239,Imput[[PERIODO Imp.]:[PERIODO Imp.]],CL$9)</f>
        <v>0</v>
      </c>
      <c r="CM239" s="516">
        <f>SUMIFS(Imput[[Importe Neto]:[Importe Neto]],Imput[[C. Imp.]:[C. Imp.]],$D239,Imput[[PERIODO Imp.]:[PERIODO Imp.]],CM$9)</f>
        <v>0</v>
      </c>
      <c r="CN239" s="516">
        <f>SUMIFS(Imput[[Importe Neto]:[Importe Neto]],Imput[[C. Imp.]:[C. Imp.]],$D239,Imput[[PERIODO Imp.]:[PERIODO Imp.]],CN$9)</f>
        <v>0</v>
      </c>
      <c r="CO239" s="516">
        <f>SUMIFS(Imput[[Importe Neto]:[Importe Neto]],Imput[[C. Imp.]:[C. Imp.]],$D239,Imput[[PERIODO Imp.]:[PERIODO Imp.]],CO$9)</f>
        <v>0</v>
      </c>
      <c r="CP239" s="516">
        <f>SUMIFS(Imput[[Importe Neto]:[Importe Neto]],Imput[[C. Imp.]:[C. Imp.]],$D239,Imput[[PERIODO Imp.]:[PERIODO Imp.]],CP$9)</f>
        <v>0</v>
      </c>
      <c r="CQ239" s="516">
        <f>SUMIFS(Imput[[Importe Neto]:[Importe Neto]],Imput[[C. Imp.]:[C. Imp.]],$D239,Imput[[PERIODO Imp.]:[PERIODO Imp.]],CQ$9)</f>
        <v>0</v>
      </c>
      <c r="CR239" s="516">
        <f>SUMIFS(Imput[[Importe Neto]:[Importe Neto]],Imput[[C. Imp.]:[C. Imp.]],$D239,Imput[[PERIODO Imp.]:[PERIODO Imp.]],CR$9)</f>
        <v>0</v>
      </c>
      <c r="CS239" s="516">
        <f>SUMIFS(Imput[[Importe Neto]:[Importe Neto]],Imput[[C. Imp.]:[C. Imp.]],$D239,Imput[[PERIODO Imp.]:[PERIODO Imp.]],CS$9)</f>
        <v>0</v>
      </c>
      <c r="CT239" s="516">
        <f>SUMIFS(Imput[[Importe Neto]:[Importe Neto]],Imput[[C. Imp.]:[C. Imp.]],$D239,Imput[[PERIODO Imp.]:[PERIODO Imp.]],CT$9)</f>
        <v>0</v>
      </c>
      <c r="CU239" s="516">
        <f>SUMIFS(Imput[[Importe Neto]:[Importe Neto]],Imput[[C. Imp.]:[C. Imp.]],$D239,Imput[[PERIODO Imp.]:[PERIODO Imp.]],CU$9)</f>
        <v>0</v>
      </c>
      <c r="CV239" s="516">
        <f>SUMIFS(Imput[[Importe Neto]:[Importe Neto]],Imput[[C. Imp.]:[C. Imp.]],$D239,Imput[[PERIODO Imp.]:[PERIODO Imp.]],CV$9)</f>
        <v>0</v>
      </c>
      <c r="CW239" s="516">
        <f>SUMIFS(Imput[[Importe Neto]:[Importe Neto]],Imput[[C. Imp.]:[C. Imp.]],$D239,Imput[[PERIODO Imp.]:[PERIODO Imp.]],CW$9)</f>
        <v>0</v>
      </c>
      <c r="CX239" s="516">
        <f>SUMIFS(Imput[[Importe Neto]:[Importe Neto]],Imput[[C. Imp.]:[C. Imp.]],$D239,Imput[[PERIODO Imp.]:[PERIODO Imp.]],CX$9)</f>
        <v>0</v>
      </c>
      <c r="CY239" s="516">
        <f>SUMIFS(Imput[[Importe Neto]:[Importe Neto]],Imput[[C. Imp.]:[C. Imp.]],$D239,Imput[[PERIODO Imp.]:[PERIODO Imp.]],CY$9)</f>
        <v>0</v>
      </c>
      <c r="CZ239" s="516">
        <f>SUMIFS(Imput[[Importe Neto]:[Importe Neto]],Imput[[C. Imp.]:[C. Imp.]],$D239,Imput[[PERIODO Imp.]:[PERIODO Imp.]],CZ$9)</f>
        <v>0</v>
      </c>
      <c r="DA239" s="516">
        <f>SUMIFS(Imput[[Importe Neto]:[Importe Neto]],Imput[[C. Imp.]:[C. Imp.]],$D239,Imput[[PERIODO Imp.]:[PERIODO Imp.]],DA$9)</f>
        <v>0</v>
      </c>
      <c r="DB239" s="516">
        <f>SUMIFS(Imput[[Importe Neto]:[Importe Neto]],Imput[[C. Imp.]:[C. Imp.]],$D239,Imput[[PERIODO Imp.]:[PERIODO Imp.]],DB$9)</f>
        <v>0</v>
      </c>
      <c r="DC239" s="516">
        <f>SUMIFS(Imput[[Importe Neto]:[Importe Neto]],Imput[[C. Imp.]:[C. Imp.]],$D239,Imput[[PERIODO Imp.]:[PERIODO Imp.]],DC$9)</f>
        <v>0</v>
      </c>
      <c r="DD239" s="516">
        <f>SUMIFS(Imput[[Importe Neto]:[Importe Neto]],Imput[[C. Imp.]:[C. Imp.]],$D239,Imput[[PERIODO Imp.]:[PERIODO Imp.]],DD$9)</f>
        <v>0</v>
      </c>
      <c r="DE239" s="516">
        <f>SUMIFS(Imput[[Importe Neto]:[Importe Neto]],Imput[[C. Imp.]:[C. Imp.]],$D239,Imput[[PERIODO Imp.]:[PERIODO Imp.]],DE$9)</f>
        <v>0</v>
      </c>
      <c r="DF239" s="516">
        <f>SUMIFS(Imput[[Importe Neto]:[Importe Neto]],Imput[[C. Imp.]:[C. Imp.]],$D239,Imput[[PERIODO Imp.]:[PERIODO Imp.]],DF$9)</f>
        <v>0</v>
      </c>
      <c r="DG239" s="516">
        <f>SUMIFS(Imput[[Importe Neto]:[Importe Neto]],Imput[[C. Imp.]:[C. Imp.]],$D239,Imput[[PERIODO Imp.]:[PERIODO Imp.]],DG$9)</f>
        <v>0</v>
      </c>
      <c r="DH239" s="616">
        <f>SUMIFS(Imput[[Importe Neto]:[Importe Neto]],Imput[[C. Imp.]:[C. Imp.]],$D239,Imput[[PERIODO Imp.]:[PERIODO Imp.]],DH$9)</f>
        <v>0</v>
      </c>
    </row>
    <row r="240" spans="1:112" ht="14.4" outlineLevel="1" thickBot="1" x14ac:dyDescent="0.35">
      <c r="A240" s="66" t="str">
        <f>IF(J235&gt;0,"Imprimir","")</f>
        <v>Imprimir</v>
      </c>
      <c r="C240" s="112"/>
      <c r="D240" s="113"/>
      <c r="E240" s="113"/>
      <c r="F240" s="114"/>
      <c r="G240" s="605"/>
      <c r="H240" s="115"/>
      <c r="I240" s="116"/>
      <c r="J240" s="120"/>
      <c r="K240" s="70"/>
      <c r="L240" s="591"/>
      <c r="M240" s="592"/>
      <c r="N240" s="767"/>
      <c r="O240" s="767"/>
      <c r="P240" s="768"/>
      <c r="Q240" s="768"/>
      <c r="R240" s="593"/>
      <c r="S240" s="593"/>
      <c r="T240" s="769"/>
      <c r="U240" s="769"/>
      <c r="V240" s="768"/>
      <c r="W240" s="768"/>
      <c r="X240" s="593"/>
      <c r="Y240" s="593"/>
      <c r="Z240" s="593"/>
      <c r="AA240" s="593"/>
      <c r="AB240" s="593"/>
      <c r="AC240" s="593"/>
      <c r="AD240" s="593"/>
      <c r="AE240" s="593"/>
      <c r="AF240" s="593"/>
      <c r="AG240" s="593"/>
      <c r="AH240" s="593"/>
      <c r="AI240" s="593"/>
      <c r="AJ240" s="593"/>
      <c r="AK240" s="593"/>
      <c r="AL240" s="593"/>
      <c r="AM240" s="593"/>
      <c r="AN240" s="593"/>
      <c r="AO240" s="593"/>
      <c r="AP240" s="593"/>
      <c r="AQ240" s="593"/>
      <c r="AR240" s="593"/>
      <c r="AS240" s="593"/>
      <c r="AT240" s="593"/>
      <c r="AU240" s="593"/>
      <c r="AV240" s="593"/>
      <c r="AW240" s="593"/>
      <c r="AX240" s="593"/>
      <c r="AY240" s="593"/>
      <c r="AZ240" s="593"/>
      <c r="BA240" s="593"/>
      <c r="BB240" s="593"/>
      <c r="BC240" s="593"/>
      <c r="BD240" s="593"/>
      <c r="BE240" s="593"/>
      <c r="BF240" s="593"/>
      <c r="BG240" s="594"/>
      <c r="BH240" s="773"/>
      <c r="BI240" s="68"/>
      <c r="BJ240" s="163"/>
      <c r="BK240" s="153"/>
      <c r="BL240" s="68"/>
      <c r="BM240" s="152"/>
      <c r="BN240" s="114"/>
      <c r="BO240" s="114"/>
      <c r="BP240" s="114"/>
      <c r="BQ240" s="114"/>
      <c r="BR240" s="114"/>
      <c r="BS240" s="114"/>
      <c r="BT240" s="114"/>
      <c r="BU240" s="114"/>
      <c r="BV240" s="114"/>
      <c r="BW240" s="114"/>
      <c r="BX240" s="114"/>
      <c r="BY240" s="114"/>
      <c r="BZ240" s="114"/>
      <c r="CA240" s="114"/>
      <c r="CB240" s="114"/>
      <c r="CC240" s="114"/>
      <c r="CD240" s="114"/>
      <c r="CE240" s="114"/>
      <c r="CF240" s="114"/>
      <c r="CG240" s="114"/>
      <c r="CH240" s="114"/>
      <c r="CI240" s="114"/>
      <c r="CJ240" s="114"/>
      <c r="CK240" s="114"/>
      <c r="CL240" s="114"/>
      <c r="CM240" s="114"/>
      <c r="CN240" s="114"/>
      <c r="CO240" s="114"/>
      <c r="CP240" s="114"/>
      <c r="CQ240" s="114"/>
      <c r="CR240" s="114"/>
      <c r="CS240" s="114"/>
      <c r="CT240" s="114"/>
      <c r="CU240" s="114"/>
      <c r="CV240" s="114"/>
      <c r="CW240" s="114"/>
      <c r="CX240" s="114"/>
      <c r="CY240" s="114"/>
      <c r="CZ240" s="114"/>
      <c r="DA240" s="114"/>
      <c r="DB240" s="114"/>
      <c r="DC240" s="114"/>
      <c r="DD240" s="114"/>
      <c r="DE240" s="114"/>
      <c r="DF240" s="114"/>
      <c r="DG240" s="114"/>
      <c r="DH240" s="153"/>
    </row>
    <row r="241" spans="1:112" hidden="1" x14ac:dyDescent="0.3">
      <c r="A241" s="652" t="str">
        <f>IF(J241&gt;0,"Imprimir","")</f>
        <v/>
      </c>
      <c r="B241" s="652"/>
      <c r="C241" s="711"/>
      <c r="D241" s="712" t="s">
        <v>457</v>
      </c>
      <c r="E241" s="712" t="s">
        <v>515</v>
      </c>
      <c r="F241" s="712"/>
      <c r="G241" s="713"/>
      <c r="H241" s="712"/>
      <c r="I241" s="714">
        <v>480000</v>
      </c>
      <c r="J241" s="715">
        <f>SUBTOTAL(9,J244:J247)</f>
        <v>0</v>
      </c>
      <c r="K241" s="658"/>
      <c r="L241" s="770">
        <f t="shared" ref="L241:BG241" si="118">SUMPRODUCT($J244:$J247,L244:L247)</f>
        <v>0</v>
      </c>
      <c r="M241" s="771">
        <f t="shared" si="118"/>
        <v>0</v>
      </c>
      <c r="N241" s="771">
        <f t="shared" si="118"/>
        <v>0</v>
      </c>
      <c r="O241" s="771">
        <f t="shared" si="118"/>
        <v>0</v>
      </c>
      <c r="P241" s="771">
        <f t="shared" si="118"/>
        <v>0</v>
      </c>
      <c r="Q241" s="771">
        <f t="shared" si="118"/>
        <v>0</v>
      </c>
      <c r="R241" s="771">
        <f t="shared" si="118"/>
        <v>0</v>
      </c>
      <c r="S241" s="771">
        <f t="shared" si="118"/>
        <v>0</v>
      </c>
      <c r="T241" s="771">
        <f t="shared" si="118"/>
        <v>0</v>
      </c>
      <c r="U241" s="771">
        <f t="shared" si="118"/>
        <v>0</v>
      </c>
      <c r="V241" s="771">
        <f t="shared" si="118"/>
        <v>0</v>
      </c>
      <c r="W241" s="771">
        <f t="shared" si="118"/>
        <v>0</v>
      </c>
      <c r="X241" s="771">
        <f t="shared" si="118"/>
        <v>0</v>
      </c>
      <c r="Y241" s="771">
        <f t="shared" si="118"/>
        <v>0</v>
      </c>
      <c r="Z241" s="771">
        <f t="shared" si="118"/>
        <v>0</v>
      </c>
      <c r="AA241" s="771">
        <f t="shared" si="118"/>
        <v>0</v>
      </c>
      <c r="AB241" s="771">
        <f t="shared" si="118"/>
        <v>0</v>
      </c>
      <c r="AC241" s="771">
        <f t="shared" si="118"/>
        <v>0</v>
      </c>
      <c r="AD241" s="771">
        <f t="shared" si="118"/>
        <v>0</v>
      </c>
      <c r="AE241" s="771">
        <f t="shared" si="118"/>
        <v>0</v>
      </c>
      <c r="AF241" s="771">
        <f t="shared" si="118"/>
        <v>0</v>
      </c>
      <c r="AG241" s="771">
        <f t="shared" si="118"/>
        <v>0</v>
      </c>
      <c r="AH241" s="771">
        <f t="shared" si="118"/>
        <v>0</v>
      </c>
      <c r="AI241" s="771">
        <f t="shared" si="118"/>
        <v>0</v>
      </c>
      <c r="AJ241" s="771">
        <f t="shared" si="118"/>
        <v>0</v>
      </c>
      <c r="AK241" s="771">
        <f t="shared" si="118"/>
        <v>0</v>
      </c>
      <c r="AL241" s="771">
        <f t="shared" si="118"/>
        <v>0</v>
      </c>
      <c r="AM241" s="771">
        <f t="shared" si="118"/>
        <v>0</v>
      </c>
      <c r="AN241" s="771">
        <f t="shared" si="118"/>
        <v>0</v>
      </c>
      <c r="AO241" s="771">
        <f t="shared" si="118"/>
        <v>0</v>
      </c>
      <c r="AP241" s="771">
        <f t="shared" si="118"/>
        <v>0</v>
      </c>
      <c r="AQ241" s="771">
        <f t="shared" si="118"/>
        <v>0</v>
      </c>
      <c r="AR241" s="771">
        <f t="shared" si="118"/>
        <v>0</v>
      </c>
      <c r="AS241" s="771">
        <f t="shared" si="118"/>
        <v>0</v>
      </c>
      <c r="AT241" s="771">
        <f t="shared" si="118"/>
        <v>0</v>
      </c>
      <c r="AU241" s="771">
        <f t="shared" si="118"/>
        <v>0</v>
      </c>
      <c r="AV241" s="771">
        <f t="shared" si="118"/>
        <v>0</v>
      </c>
      <c r="AW241" s="771">
        <f t="shared" si="118"/>
        <v>0</v>
      </c>
      <c r="AX241" s="771">
        <f t="shared" si="118"/>
        <v>0</v>
      </c>
      <c r="AY241" s="771">
        <f t="shared" si="118"/>
        <v>0</v>
      </c>
      <c r="AZ241" s="771">
        <f t="shared" si="118"/>
        <v>0</v>
      </c>
      <c r="BA241" s="771">
        <f t="shared" si="118"/>
        <v>0</v>
      </c>
      <c r="BB241" s="771">
        <f t="shared" si="118"/>
        <v>0</v>
      </c>
      <c r="BC241" s="771">
        <f t="shared" si="118"/>
        <v>0</v>
      </c>
      <c r="BD241" s="771">
        <f t="shared" si="118"/>
        <v>0</v>
      </c>
      <c r="BE241" s="771">
        <f t="shared" si="118"/>
        <v>0</v>
      </c>
      <c r="BF241" s="771">
        <f t="shared" si="118"/>
        <v>0</v>
      </c>
      <c r="BG241" s="765">
        <f t="shared" si="118"/>
        <v>0</v>
      </c>
      <c r="BH241" s="776"/>
      <c r="BI241" s="654"/>
      <c r="BJ241" s="659">
        <f>IFERROR(13/J241,0)</f>
        <v>0</v>
      </c>
      <c r="BK241" s="660">
        <f>SUBTOTAL(9,BK242:BK247)</f>
        <v>0</v>
      </c>
      <c r="BL241" s="654"/>
      <c r="BM241" s="661">
        <f>SUBTOTAL(9,BM242:BM247)</f>
        <v>0</v>
      </c>
      <c r="BN241" s="662">
        <f>SUBTOTAL(9,BN242:BN247)</f>
        <v>0</v>
      </c>
      <c r="BO241" s="662">
        <f t="shared" ref="BO241:DH241" si="119">SUBTOTAL(9,BO242:BO247)</f>
        <v>0</v>
      </c>
      <c r="BP241" s="662">
        <f t="shared" si="119"/>
        <v>0</v>
      </c>
      <c r="BQ241" s="662">
        <f t="shared" si="119"/>
        <v>0</v>
      </c>
      <c r="BR241" s="662">
        <f t="shared" si="119"/>
        <v>0</v>
      </c>
      <c r="BS241" s="662">
        <f t="shared" si="119"/>
        <v>0</v>
      </c>
      <c r="BT241" s="662">
        <f t="shared" si="119"/>
        <v>0</v>
      </c>
      <c r="BU241" s="662">
        <f t="shared" si="119"/>
        <v>0</v>
      </c>
      <c r="BV241" s="662">
        <f t="shared" si="119"/>
        <v>0</v>
      </c>
      <c r="BW241" s="662">
        <f t="shared" si="119"/>
        <v>0</v>
      </c>
      <c r="BX241" s="662">
        <f t="shared" si="119"/>
        <v>0</v>
      </c>
      <c r="BY241" s="662">
        <f t="shared" si="119"/>
        <v>0</v>
      </c>
      <c r="BZ241" s="662">
        <f t="shared" si="119"/>
        <v>0</v>
      </c>
      <c r="CA241" s="662">
        <f t="shared" si="119"/>
        <v>0</v>
      </c>
      <c r="CB241" s="662">
        <f t="shared" si="119"/>
        <v>0</v>
      </c>
      <c r="CC241" s="662">
        <f t="shared" si="119"/>
        <v>0</v>
      </c>
      <c r="CD241" s="662">
        <f t="shared" si="119"/>
        <v>0</v>
      </c>
      <c r="CE241" s="662">
        <f t="shared" si="119"/>
        <v>0</v>
      </c>
      <c r="CF241" s="662">
        <f t="shared" si="119"/>
        <v>0</v>
      </c>
      <c r="CG241" s="662">
        <f t="shared" si="119"/>
        <v>0</v>
      </c>
      <c r="CH241" s="662">
        <f t="shared" si="119"/>
        <v>0</v>
      </c>
      <c r="CI241" s="662">
        <f t="shared" si="119"/>
        <v>0</v>
      </c>
      <c r="CJ241" s="662">
        <f t="shared" si="119"/>
        <v>0</v>
      </c>
      <c r="CK241" s="662">
        <f t="shared" si="119"/>
        <v>0</v>
      </c>
      <c r="CL241" s="662">
        <f t="shared" si="119"/>
        <v>0</v>
      </c>
      <c r="CM241" s="662">
        <f t="shared" si="119"/>
        <v>0</v>
      </c>
      <c r="CN241" s="662">
        <f t="shared" si="119"/>
        <v>0</v>
      </c>
      <c r="CO241" s="662">
        <f t="shared" si="119"/>
        <v>0</v>
      </c>
      <c r="CP241" s="662">
        <f t="shared" si="119"/>
        <v>0</v>
      </c>
      <c r="CQ241" s="662">
        <f t="shared" si="119"/>
        <v>0</v>
      </c>
      <c r="CR241" s="662">
        <f t="shared" si="119"/>
        <v>0</v>
      </c>
      <c r="CS241" s="662">
        <f t="shared" si="119"/>
        <v>0</v>
      </c>
      <c r="CT241" s="662">
        <f t="shared" si="119"/>
        <v>0</v>
      </c>
      <c r="CU241" s="662">
        <f t="shared" si="119"/>
        <v>0</v>
      </c>
      <c r="CV241" s="662">
        <f t="shared" si="119"/>
        <v>0</v>
      </c>
      <c r="CW241" s="662">
        <f t="shared" si="119"/>
        <v>0</v>
      </c>
      <c r="CX241" s="662">
        <f t="shared" si="119"/>
        <v>0</v>
      </c>
      <c r="CY241" s="662">
        <f t="shared" si="119"/>
        <v>0</v>
      </c>
      <c r="CZ241" s="662">
        <f t="shared" si="119"/>
        <v>0</v>
      </c>
      <c r="DA241" s="662">
        <f t="shared" si="119"/>
        <v>0</v>
      </c>
      <c r="DB241" s="662">
        <f t="shared" si="119"/>
        <v>0</v>
      </c>
      <c r="DC241" s="662">
        <f t="shared" si="119"/>
        <v>0</v>
      </c>
      <c r="DD241" s="662">
        <f t="shared" si="119"/>
        <v>0</v>
      </c>
      <c r="DE241" s="662">
        <f t="shared" si="119"/>
        <v>0</v>
      </c>
      <c r="DF241" s="662">
        <f t="shared" si="119"/>
        <v>0</v>
      </c>
      <c r="DG241" s="662">
        <f t="shared" si="119"/>
        <v>0</v>
      </c>
      <c r="DH241" s="663">
        <f t="shared" si="119"/>
        <v>0</v>
      </c>
    </row>
    <row r="242" spans="1:112" ht="27.6" hidden="1" outlineLevel="1" x14ac:dyDescent="0.3">
      <c r="A242" s="66" t="str">
        <f>IF(J241&gt;0,"Imprimir","")</f>
        <v/>
      </c>
      <c r="C242" s="102"/>
      <c r="D242" s="103"/>
      <c r="E242" s="103"/>
      <c r="F242" s="103" t="s">
        <v>472</v>
      </c>
      <c r="G242" s="607" t="s">
        <v>473</v>
      </c>
      <c r="H242" s="103" t="str">
        <f>H15</f>
        <v>Cantidad</v>
      </c>
      <c r="I242" s="103" t="s">
        <v>474</v>
      </c>
      <c r="J242" s="104" t="s">
        <v>29</v>
      </c>
      <c r="K242" s="70"/>
      <c r="L242" s="745"/>
      <c r="M242" s="741"/>
      <c r="N242" s="741"/>
      <c r="O242" s="741"/>
      <c r="P242" s="741"/>
      <c r="Q242" s="741"/>
      <c r="R242" s="741"/>
      <c r="S242" s="741"/>
      <c r="T242" s="741"/>
      <c r="U242" s="741"/>
      <c r="V242" s="741"/>
      <c r="W242" s="741"/>
      <c r="X242" s="741"/>
      <c r="Y242" s="741"/>
      <c r="Z242" s="741"/>
      <c r="AA242" s="741"/>
      <c r="AB242" s="741"/>
      <c r="AC242" s="741"/>
      <c r="AD242" s="741"/>
      <c r="AE242" s="741"/>
      <c r="AF242" s="741"/>
      <c r="AG242" s="741"/>
      <c r="AH242" s="741"/>
      <c r="AI242" s="741"/>
      <c r="AJ242" s="741"/>
      <c r="AK242" s="741"/>
      <c r="AL242" s="741"/>
      <c r="AM242" s="741"/>
      <c r="AN242" s="741"/>
      <c r="AO242" s="741"/>
      <c r="AP242" s="741"/>
      <c r="AQ242" s="741"/>
      <c r="AR242" s="741"/>
      <c r="AS242" s="741"/>
      <c r="AT242" s="741"/>
      <c r="AU242" s="741"/>
      <c r="AV242" s="741"/>
      <c r="AW242" s="741"/>
      <c r="AX242" s="741"/>
      <c r="AY242" s="741"/>
      <c r="AZ242" s="741"/>
      <c r="BA242" s="741"/>
      <c r="BB242" s="741"/>
      <c r="BC242" s="741"/>
      <c r="BD242" s="741"/>
      <c r="BE242" s="741"/>
      <c r="BF242" s="741"/>
      <c r="BG242" s="746"/>
      <c r="BH242" s="590"/>
      <c r="BI242" s="68"/>
      <c r="BJ242" s="161"/>
      <c r="BK242" s="159"/>
      <c r="BL242" s="68"/>
      <c r="BM242" s="151"/>
      <c r="BN242" s="103"/>
      <c r="BO242" s="103"/>
      <c r="BP242" s="103"/>
      <c r="BQ242" s="103"/>
      <c r="BR242" s="103"/>
      <c r="BS242" s="103"/>
      <c r="BT242" s="103"/>
      <c r="BU242" s="103"/>
      <c r="BV242" s="103"/>
      <c r="BW242" s="103"/>
      <c r="BX242" s="103"/>
      <c r="BY242" s="103"/>
      <c r="BZ242" s="103"/>
      <c r="CA242" s="103"/>
      <c r="CB242" s="103"/>
      <c r="CC242" s="103"/>
      <c r="CD242" s="103"/>
      <c r="CE242" s="103"/>
      <c r="CF242" s="103"/>
      <c r="CG242" s="103"/>
      <c r="CH242" s="103"/>
      <c r="CI242" s="103"/>
      <c r="CJ242" s="103"/>
      <c r="CK242" s="103"/>
      <c r="CL242" s="103"/>
      <c r="CM242" s="103"/>
      <c r="CN242" s="103"/>
      <c r="CO242" s="103"/>
      <c r="CP242" s="103"/>
      <c r="CQ242" s="103"/>
      <c r="CR242" s="103"/>
      <c r="CS242" s="103"/>
      <c r="CT242" s="103"/>
      <c r="CU242" s="103"/>
      <c r="CV242" s="103"/>
      <c r="CW242" s="103"/>
      <c r="CX242" s="103"/>
      <c r="CY242" s="103"/>
      <c r="CZ242" s="103"/>
      <c r="DA242" s="103"/>
      <c r="DB242" s="103"/>
      <c r="DC242" s="103"/>
      <c r="DD242" s="103"/>
      <c r="DE242" s="103"/>
      <c r="DF242" s="103"/>
      <c r="DG242" s="103"/>
      <c r="DH242" s="104"/>
    </row>
    <row r="243" spans="1:112" ht="15.6" hidden="1" outlineLevel="1" x14ac:dyDescent="0.3">
      <c r="A243" s="66" t="str">
        <f t="shared" ref="A243" si="120">IF(J243&gt;0,"Imprimir","")</f>
        <v/>
      </c>
      <c r="C243" s="106"/>
      <c r="D243" s="318"/>
      <c r="E243" s="107"/>
      <c r="F243" s="108"/>
      <c r="G243" s="609"/>
      <c r="H243" s="109"/>
      <c r="I243" s="110"/>
      <c r="J243" s="219">
        <f>SUBTOTAL(9,J244:J247)</f>
        <v>0</v>
      </c>
      <c r="K243" s="111"/>
      <c r="L243" s="747"/>
      <c r="M243" s="742"/>
      <c r="N243" s="742"/>
      <c r="O243" s="742"/>
      <c r="P243" s="742"/>
      <c r="Q243" s="742"/>
      <c r="R243" s="742"/>
      <c r="S243" s="742"/>
      <c r="T243" s="742"/>
      <c r="U243" s="742"/>
      <c r="V243" s="742"/>
      <c r="W243" s="742"/>
      <c r="X243" s="742"/>
      <c r="Y243" s="742"/>
      <c r="Z243" s="742"/>
      <c r="AA243" s="742"/>
      <c r="AB243" s="742"/>
      <c r="AC243" s="742"/>
      <c r="AD243" s="742"/>
      <c r="AE243" s="742"/>
      <c r="AF243" s="742"/>
      <c r="AG243" s="742"/>
      <c r="AH243" s="742"/>
      <c r="AI243" s="742"/>
      <c r="AJ243" s="742"/>
      <c r="AK243" s="742"/>
      <c r="AL243" s="742"/>
      <c r="AM243" s="742"/>
      <c r="AN243" s="742"/>
      <c r="AO243" s="742"/>
      <c r="AP243" s="742"/>
      <c r="AQ243" s="742"/>
      <c r="AR243" s="742"/>
      <c r="AS243" s="742"/>
      <c r="AT243" s="742"/>
      <c r="AU243" s="742"/>
      <c r="AV243" s="742"/>
      <c r="AW243" s="742"/>
      <c r="AX243" s="742"/>
      <c r="AY243" s="742"/>
      <c r="AZ243" s="742"/>
      <c r="BA243" s="742"/>
      <c r="BB243" s="742"/>
      <c r="BC243" s="742"/>
      <c r="BD243" s="742"/>
      <c r="BE243" s="742"/>
      <c r="BF243" s="742"/>
      <c r="BG243" s="748"/>
      <c r="BH243" s="590"/>
      <c r="BI243" s="68"/>
      <c r="BJ243" s="162"/>
      <c r="BK243" s="160"/>
      <c r="BL243" s="68"/>
      <c r="BM243" s="512"/>
      <c r="BN243" s="513"/>
      <c r="BO243" s="513"/>
      <c r="BP243" s="513"/>
      <c r="BQ243" s="513"/>
      <c r="BR243" s="513"/>
      <c r="BS243" s="513"/>
      <c r="BT243" s="513"/>
      <c r="BU243" s="513"/>
      <c r="BV243" s="513"/>
      <c r="BW243" s="513"/>
      <c r="BX243" s="513"/>
      <c r="BY243" s="513"/>
      <c r="BZ243" s="513"/>
      <c r="CA243" s="513"/>
      <c r="CB243" s="513"/>
      <c r="CC243" s="513"/>
      <c r="CD243" s="513"/>
      <c r="CE243" s="513"/>
      <c r="CF243" s="513"/>
      <c r="CG243" s="513"/>
      <c r="CH243" s="513"/>
      <c r="CI243" s="513"/>
      <c r="CJ243" s="513"/>
      <c r="CK243" s="513"/>
      <c r="CL243" s="513"/>
      <c r="CM243" s="513"/>
      <c r="CN243" s="513"/>
      <c r="CO243" s="513"/>
      <c r="CP243" s="513"/>
      <c r="CQ243" s="513"/>
      <c r="CR243" s="513"/>
      <c r="CS243" s="513"/>
      <c r="CT243" s="513"/>
      <c r="CU243" s="513"/>
      <c r="CV243" s="513"/>
      <c r="CW243" s="513"/>
      <c r="CX243" s="513"/>
      <c r="CY243" s="513"/>
      <c r="CZ243" s="513"/>
      <c r="DA243" s="513"/>
      <c r="DB243" s="513"/>
      <c r="DC243" s="513"/>
      <c r="DD243" s="513"/>
      <c r="DE243" s="513"/>
      <c r="DF243" s="513"/>
      <c r="DG243" s="513"/>
      <c r="DH243" s="514"/>
    </row>
    <row r="244" spans="1:112" hidden="1" outlineLevel="1" x14ac:dyDescent="0.3">
      <c r="A244" s="66" t="str">
        <f t="shared" ref="A244:A246" si="121">IF(J244="","",IF(J244=0,"","Imprimir"))</f>
        <v/>
      </c>
      <c r="C244" s="527"/>
      <c r="D244" s="528" t="s">
        <v>2328</v>
      </c>
      <c r="E244" s="528"/>
      <c r="F244" s="534"/>
      <c r="G244" s="529"/>
      <c r="H244" s="531"/>
      <c r="I244" s="849" t="str">
        <f t="shared" ref="I244:I246" si="122">IF(E244&gt;0,$J$5,"")</f>
        <v/>
      </c>
      <c r="J244" s="517" t="str">
        <f t="shared" ref="J244:J246" si="123">IFERROR(G244*H244*I244,"")</f>
        <v/>
      </c>
      <c r="K244" s="70"/>
      <c r="L244" s="853"/>
      <c r="M244" s="855"/>
      <c r="N244" s="855"/>
      <c r="O244" s="855"/>
      <c r="P244" s="855"/>
      <c r="Q244" s="855"/>
      <c r="R244" s="855"/>
      <c r="S244" s="855"/>
      <c r="T244" s="855"/>
      <c r="U244" s="855"/>
      <c r="V244" s="855"/>
      <c r="W244" s="855"/>
      <c r="X244" s="855"/>
      <c r="Y244" s="855"/>
      <c r="Z244" s="856"/>
      <c r="AA244" s="856"/>
      <c r="AB244" s="856"/>
      <c r="AC244" s="856"/>
      <c r="AD244" s="856"/>
      <c r="AE244" s="856"/>
      <c r="AF244" s="856"/>
      <c r="AG244" s="856"/>
      <c r="AH244" s="856"/>
      <c r="AI244" s="856"/>
      <c r="AJ244" s="856"/>
      <c r="AK244" s="856"/>
      <c r="AL244" s="856"/>
      <c r="AM244" s="856"/>
      <c r="AN244" s="856"/>
      <c r="AO244" s="856"/>
      <c r="AP244" s="856"/>
      <c r="AQ244" s="856"/>
      <c r="AR244" s="856"/>
      <c r="AS244" s="856"/>
      <c r="AT244" s="856"/>
      <c r="AU244" s="856"/>
      <c r="AV244" s="856"/>
      <c r="AW244" s="856"/>
      <c r="AX244" s="856"/>
      <c r="AY244" s="856"/>
      <c r="AZ244" s="856"/>
      <c r="BA244" s="856"/>
      <c r="BB244" s="856"/>
      <c r="BC244" s="856"/>
      <c r="BD244" s="856"/>
      <c r="BE244" s="856"/>
      <c r="BF244" s="856"/>
      <c r="BG244" s="857"/>
      <c r="BH244" s="590"/>
      <c r="BI244" s="68"/>
      <c r="BJ244" s="518">
        <f t="shared" ref="BJ244:BJ246" si="124">IFERROR(BK244/J244,0)</f>
        <v>0</v>
      </c>
      <c r="BK244" s="517">
        <f t="shared" ref="BK244:BK246" si="125">SUM(BM244:DH244)</f>
        <v>0</v>
      </c>
      <c r="BL244" s="68"/>
      <c r="BM244" s="515">
        <f>SUMIFS(Imput[[Importe Neto]:[Importe Neto]],Imput[[C. Imp.]:[C. Imp.]],$D244,Imput[[PERIODO Imp.]:[PERIODO Imp.]],BM$9)</f>
        <v>0</v>
      </c>
      <c r="BN244" s="516">
        <f>SUMIFS(Imput[[Importe Neto]:[Importe Neto]],Imput[[C. Imp.]:[C. Imp.]],$D244,Imput[[PERIODO Imp.]:[PERIODO Imp.]],BN$9)</f>
        <v>0</v>
      </c>
      <c r="BO244" s="516">
        <f>SUMIFS(Imput[[Importe Neto]:[Importe Neto]],Imput[[C. Imp.]:[C. Imp.]],$D244,Imput[[PERIODO Imp.]:[PERIODO Imp.]],BO$9)</f>
        <v>0</v>
      </c>
      <c r="BP244" s="516">
        <f>SUMIFS(Imput[[Importe Neto]:[Importe Neto]],Imput[[C. Imp.]:[C. Imp.]],$D244,Imput[[PERIODO Imp.]:[PERIODO Imp.]],BP$9)</f>
        <v>0</v>
      </c>
      <c r="BQ244" s="516">
        <f>SUMIFS(Imput[[Importe Neto]:[Importe Neto]],Imput[[C. Imp.]:[C. Imp.]],$D244,Imput[[PERIODO Imp.]:[PERIODO Imp.]],BQ$9)</f>
        <v>0</v>
      </c>
      <c r="BR244" s="516">
        <f>SUMIFS(Imput[[Importe Neto]:[Importe Neto]],Imput[[C. Imp.]:[C. Imp.]],$D244,Imput[[PERIODO Imp.]:[PERIODO Imp.]],BR$9)</f>
        <v>0</v>
      </c>
      <c r="BS244" s="516">
        <f>SUMIFS(Imput[[Importe Neto]:[Importe Neto]],Imput[[C. Imp.]:[C. Imp.]],$D244,Imput[[PERIODO Imp.]:[PERIODO Imp.]],BS$9)</f>
        <v>0</v>
      </c>
      <c r="BT244" s="516">
        <f>SUMIFS(Imput[[Importe Neto]:[Importe Neto]],Imput[[C. Imp.]:[C. Imp.]],$D244,Imput[[PERIODO Imp.]:[PERIODO Imp.]],BT$9)</f>
        <v>0</v>
      </c>
      <c r="BU244" s="516">
        <f>SUMIFS(Imput[[Importe Neto]:[Importe Neto]],Imput[[C. Imp.]:[C. Imp.]],$D244,Imput[[PERIODO Imp.]:[PERIODO Imp.]],BU$9)</f>
        <v>0</v>
      </c>
      <c r="BV244" s="516">
        <f>SUMIFS(Imput[[Importe Neto]:[Importe Neto]],Imput[[C. Imp.]:[C. Imp.]],$D244,Imput[[PERIODO Imp.]:[PERIODO Imp.]],BV$9)</f>
        <v>0</v>
      </c>
      <c r="BW244" s="516">
        <f>SUMIFS(Imput[[Importe Neto]:[Importe Neto]],Imput[[C. Imp.]:[C. Imp.]],$D244,Imput[[PERIODO Imp.]:[PERIODO Imp.]],BW$9)</f>
        <v>0</v>
      </c>
      <c r="BX244" s="516">
        <f>SUMIFS(Imput[[Importe Neto]:[Importe Neto]],Imput[[C. Imp.]:[C. Imp.]],$D244,Imput[[PERIODO Imp.]:[PERIODO Imp.]],BX$9)</f>
        <v>0</v>
      </c>
      <c r="BY244" s="516">
        <f>SUMIFS(Imput[[Importe Neto]:[Importe Neto]],Imput[[C. Imp.]:[C. Imp.]],$D244,Imput[[PERIODO Imp.]:[PERIODO Imp.]],BY$9)</f>
        <v>0</v>
      </c>
      <c r="BZ244" s="516">
        <f>SUMIFS(Imput[[Importe Neto]:[Importe Neto]],Imput[[C. Imp.]:[C. Imp.]],$D244,Imput[[PERIODO Imp.]:[PERIODO Imp.]],BZ$9)</f>
        <v>0</v>
      </c>
      <c r="CA244" s="516">
        <f>SUMIFS(Imput[[Importe Neto]:[Importe Neto]],Imput[[C. Imp.]:[C. Imp.]],$D244,Imput[[PERIODO Imp.]:[PERIODO Imp.]],CA$9)</f>
        <v>0</v>
      </c>
      <c r="CB244" s="516">
        <f>SUMIFS(Imput[[Importe Neto]:[Importe Neto]],Imput[[C. Imp.]:[C. Imp.]],$D244,Imput[[PERIODO Imp.]:[PERIODO Imp.]],CB$9)</f>
        <v>0</v>
      </c>
      <c r="CC244" s="516">
        <f>SUMIFS(Imput[[Importe Neto]:[Importe Neto]],Imput[[C. Imp.]:[C. Imp.]],$D244,Imput[[PERIODO Imp.]:[PERIODO Imp.]],CC$9)</f>
        <v>0</v>
      </c>
      <c r="CD244" s="516">
        <f>SUMIFS(Imput[[Importe Neto]:[Importe Neto]],Imput[[C. Imp.]:[C. Imp.]],$D244,Imput[[PERIODO Imp.]:[PERIODO Imp.]],CD$9)</f>
        <v>0</v>
      </c>
      <c r="CE244" s="516">
        <f>SUMIFS(Imput[[Importe Neto]:[Importe Neto]],Imput[[C. Imp.]:[C. Imp.]],$D244,Imput[[PERIODO Imp.]:[PERIODO Imp.]],CE$9)</f>
        <v>0</v>
      </c>
      <c r="CF244" s="516">
        <f>SUMIFS(Imput[[Importe Neto]:[Importe Neto]],Imput[[C. Imp.]:[C. Imp.]],$D244,Imput[[PERIODO Imp.]:[PERIODO Imp.]],CF$9)</f>
        <v>0</v>
      </c>
      <c r="CG244" s="516">
        <f>SUMIFS(Imput[[Importe Neto]:[Importe Neto]],Imput[[C. Imp.]:[C. Imp.]],$D244,Imput[[PERIODO Imp.]:[PERIODO Imp.]],CG$9)</f>
        <v>0</v>
      </c>
      <c r="CH244" s="516">
        <f>SUMIFS(Imput[[Importe Neto]:[Importe Neto]],Imput[[C. Imp.]:[C. Imp.]],$D244,Imput[[PERIODO Imp.]:[PERIODO Imp.]],CH$9)</f>
        <v>0</v>
      </c>
      <c r="CI244" s="516">
        <f>SUMIFS(Imput[[Importe Neto]:[Importe Neto]],Imput[[C. Imp.]:[C. Imp.]],$D244,Imput[[PERIODO Imp.]:[PERIODO Imp.]],CI$9)</f>
        <v>0</v>
      </c>
      <c r="CJ244" s="516">
        <f>SUMIFS(Imput[[Importe Neto]:[Importe Neto]],Imput[[C. Imp.]:[C. Imp.]],$D244,Imput[[PERIODO Imp.]:[PERIODO Imp.]],CJ$9)</f>
        <v>0</v>
      </c>
      <c r="CK244" s="516">
        <f>SUMIFS(Imput[[Importe Neto]:[Importe Neto]],Imput[[C. Imp.]:[C. Imp.]],$D244,Imput[[PERIODO Imp.]:[PERIODO Imp.]],CK$9)</f>
        <v>0</v>
      </c>
      <c r="CL244" s="516">
        <f>SUMIFS(Imput[[Importe Neto]:[Importe Neto]],Imput[[C. Imp.]:[C. Imp.]],$D244,Imput[[PERIODO Imp.]:[PERIODO Imp.]],CL$9)</f>
        <v>0</v>
      </c>
      <c r="CM244" s="516">
        <f>SUMIFS(Imput[[Importe Neto]:[Importe Neto]],Imput[[C. Imp.]:[C. Imp.]],$D244,Imput[[PERIODO Imp.]:[PERIODO Imp.]],CM$9)</f>
        <v>0</v>
      </c>
      <c r="CN244" s="516">
        <f>SUMIFS(Imput[[Importe Neto]:[Importe Neto]],Imput[[C. Imp.]:[C. Imp.]],$D244,Imput[[PERIODO Imp.]:[PERIODO Imp.]],CN$9)</f>
        <v>0</v>
      </c>
      <c r="CO244" s="516">
        <f>SUMIFS(Imput[[Importe Neto]:[Importe Neto]],Imput[[C. Imp.]:[C. Imp.]],$D244,Imput[[PERIODO Imp.]:[PERIODO Imp.]],CO$9)</f>
        <v>0</v>
      </c>
      <c r="CP244" s="516">
        <f>SUMIFS(Imput[[Importe Neto]:[Importe Neto]],Imput[[C. Imp.]:[C. Imp.]],$D244,Imput[[PERIODO Imp.]:[PERIODO Imp.]],CP$9)</f>
        <v>0</v>
      </c>
      <c r="CQ244" s="516">
        <f>SUMIFS(Imput[[Importe Neto]:[Importe Neto]],Imput[[C. Imp.]:[C. Imp.]],$D244,Imput[[PERIODO Imp.]:[PERIODO Imp.]],CQ$9)</f>
        <v>0</v>
      </c>
      <c r="CR244" s="516">
        <f>SUMIFS(Imput[[Importe Neto]:[Importe Neto]],Imput[[C. Imp.]:[C. Imp.]],$D244,Imput[[PERIODO Imp.]:[PERIODO Imp.]],CR$9)</f>
        <v>0</v>
      </c>
      <c r="CS244" s="516">
        <f>SUMIFS(Imput[[Importe Neto]:[Importe Neto]],Imput[[C. Imp.]:[C. Imp.]],$D244,Imput[[PERIODO Imp.]:[PERIODO Imp.]],CS$9)</f>
        <v>0</v>
      </c>
      <c r="CT244" s="516">
        <f>SUMIFS(Imput[[Importe Neto]:[Importe Neto]],Imput[[C. Imp.]:[C. Imp.]],$D244,Imput[[PERIODO Imp.]:[PERIODO Imp.]],CT$9)</f>
        <v>0</v>
      </c>
      <c r="CU244" s="516">
        <f>SUMIFS(Imput[[Importe Neto]:[Importe Neto]],Imput[[C. Imp.]:[C. Imp.]],$D244,Imput[[PERIODO Imp.]:[PERIODO Imp.]],CU$9)</f>
        <v>0</v>
      </c>
      <c r="CV244" s="516">
        <f>SUMIFS(Imput[[Importe Neto]:[Importe Neto]],Imput[[C. Imp.]:[C. Imp.]],$D244,Imput[[PERIODO Imp.]:[PERIODO Imp.]],CV$9)</f>
        <v>0</v>
      </c>
      <c r="CW244" s="516">
        <f>SUMIFS(Imput[[Importe Neto]:[Importe Neto]],Imput[[C. Imp.]:[C. Imp.]],$D244,Imput[[PERIODO Imp.]:[PERIODO Imp.]],CW$9)</f>
        <v>0</v>
      </c>
      <c r="CX244" s="516">
        <f>SUMIFS(Imput[[Importe Neto]:[Importe Neto]],Imput[[C. Imp.]:[C. Imp.]],$D244,Imput[[PERIODO Imp.]:[PERIODO Imp.]],CX$9)</f>
        <v>0</v>
      </c>
      <c r="CY244" s="516">
        <f>SUMIFS(Imput[[Importe Neto]:[Importe Neto]],Imput[[C. Imp.]:[C. Imp.]],$D244,Imput[[PERIODO Imp.]:[PERIODO Imp.]],CY$9)</f>
        <v>0</v>
      </c>
      <c r="CZ244" s="516">
        <f>SUMIFS(Imput[[Importe Neto]:[Importe Neto]],Imput[[C. Imp.]:[C. Imp.]],$D244,Imput[[PERIODO Imp.]:[PERIODO Imp.]],CZ$9)</f>
        <v>0</v>
      </c>
      <c r="DA244" s="516">
        <f>SUMIFS(Imput[[Importe Neto]:[Importe Neto]],Imput[[C. Imp.]:[C. Imp.]],$D244,Imput[[PERIODO Imp.]:[PERIODO Imp.]],DA$9)</f>
        <v>0</v>
      </c>
      <c r="DB244" s="516">
        <f>SUMIFS(Imput[[Importe Neto]:[Importe Neto]],Imput[[C. Imp.]:[C. Imp.]],$D244,Imput[[PERIODO Imp.]:[PERIODO Imp.]],DB$9)</f>
        <v>0</v>
      </c>
      <c r="DC244" s="516">
        <f>SUMIFS(Imput[[Importe Neto]:[Importe Neto]],Imput[[C. Imp.]:[C. Imp.]],$D244,Imput[[PERIODO Imp.]:[PERIODO Imp.]],DC$9)</f>
        <v>0</v>
      </c>
      <c r="DD244" s="516">
        <f>SUMIFS(Imput[[Importe Neto]:[Importe Neto]],Imput[[C. Imp.]:[C. Imp.]],$D244,Imput[[PERIODO Imp.]:[PERIODO Imp.]],DD$9)</f>
        <v>0</v>
      </c>
      <c r="DE244" s="516">
        <f>SUMIFS(Imput[[Importe Neto]:[Importe Neto]],Imput[[C. Imp.]:[C. Imp.]],$D244,Imput[[PERIODO Imp.]:[PERIODO Imp.]],DE$9)</f>
        <v>0</v>
      </c>
      <c r="DF244" s="516">
        <f>SUMIFS(Imput[[Importe Neto]:[Importe Neto]],Imput[[C. Imp.]:[C. Imp.]],$D244,Imput[[PERIODO Imp.]:[PERIODO Imp.]],DF$9)</f>
        <v>0</v>
      </c>
      <c r="DG244" s="516">
        <f>SUMIFS(Imput[[Importe Neto]:[Importe Neto]],Imput[[C. Imp.]:[C. Imp.]],$D244,Imput[[PERIODO Imp.]:[PERIODO Imp.]],DG$9)</f>
        <v>0</v>
      </c>
      <c r="DH244" s="616">
        <f>SUMIFS(Imput[[Importe Neto]:[Importe Neto]],Imput[[C. Imp.]:[C. Imp.]],$D244,Imput[[PERIODO Imp.]:[PERIODO Imp.]],DH$9)</f>
        <v>0</v>
      </c>
    </row>
    <row r="245" spans="1:112" hidden="1" outlineLevel="1" x14ac:dyDescent="0.3">
      <c r="A245" s="66" t="str">
        <f t="shared" si="121"/>
        <v/>
      </c>
      <c r="C245" s="527"/>
      <c r="D245" s="528" t="s">
        <v>2329</v>
      </c>
      <c r="E245" s="528"/>
      <c r="F245" s="534"/>
      <c r="G245" s="529"/>
      <c r="H245" s="531"/>
      <c r="I245" s="849" t="str">
        <f t="shared" si="122"/>
        <v/>
      </c>
      <c r="J245" s="517" t="str">
        <f t="shared" si="123"/>
        <v/>
      </c>
      <c r="K245" s="70"/>
      <c r="L245" s="853"/>
      <c r="M245" s="855"/>
      <c r="N245" s="855"/>
      <c r="O245" s="855"/>
      <c r="P245" s="855"/>
      <c r="Q245" s="855"/>
      <c r="R245" s="855"/>
      <c r="S245" s="855"/>
      <c r="T245" s="855"/>
      <c r="U245" s="855"/>
      <c r="V245" s="855"/>
      <c r="W245" s="855"/>
      <c r="X245" s="855"/>
      <c r="Y245" s="855"/>
      <c r="Z245" s="856"/>
      <c r="AA245" s="856"/>
      <c r="AB245" s="856"/>
      <c r="AC245" s="856"/>
      <c r="AD245" s="856"/>
      <c r="AE245" s="856"/>
      <c r="AF245" s="856"/>
      <c r="AG245" s="856"/>
      <c r="AH245" s="856"/>
      <c r="AI245" s="856"/>
      <c r="AJ245" s="856"/>
      <c r="AK245" s="856"/>
      <c r="AL245" s="856"/>
      <c r="AM245" s="856"/>
      <c r="AN245" s="856"/>
      <c r="AO245" s="856"/>
      <c r="AP245" s="856"/>
      <c r="AQ245" s="856"/>
      <c r="AR245" s="856"/>
      <c r="AS245" s="856"/>
      <c r="AT245" s="856"/>
      <c r="AU245" s="856"/>
      <c r="AV245" s="856"/>
      <c r="AW245" s="856"/>
      <c r="AX245" s="856"/>
      <c r="AY245" s="856"/>
      <c r="AZ245" s="856"/>
      <c r="BA245" s="856"/>
      <c r="BB245" s="856"/>
      <c r="BC245" s="856"/>
      <c r="BD245" s="856"/>
      <c r="BE245" s="856"/>
      <c r="BF245" s="856"/>
      <c r="BG245" s="857"/>
      <c r="BH245" s="590"/>
      <c r="BI245" s="68"/>
      <c r="BJ245" s="518">
        <f t="shared" si="124"/>
        <v>0</v>
      </c>
      <c r="BK245" s="517">
        <f t="shared" si="125"/>
        <v>0</v>
      </c>
      <c r="BL245" s="68"/>
      <c r="BM245" s="515">
        <f>SUMIFS(Imput[[Importe Neto]:[Importe Neto]],Imput[[C. Imp.]:[C. Imp.]],$D245,Imput[[PERIODO Imp.]:[PERIODO Imp.]],BM$9)</f>
        <v>0</v>
      </c>
      <c r="BN245" s="516">
        <f>SUMIFS(Imput[[Importe Neto]:[Importe Neto]],Imput[[C. Imp.]:[C. Imp.]],$D245,Imput[[PERIODO Imp.]:[PERIODO Imp.]],BN$9)</f>
        <v>0</v>
      </c>
      <c r="BO245" s="516">
        <f>SUMIFS(Imput[[Importe Neto]:[Importe Neto]],Imput[[C. Imp.]:[C. Imp.]],$D245,Imput[[PERIODO Imp.]:[PERIODO Imp.]],BO$9)</f>
        <v>0</v>
      </c>
      <c r="BP245" s="516">
        <f>SUMIFS(Imput[[Importe Neto]:[Importe Neto]],Imput[[C. Imp.]:[C. Imp.]],$D245,Imput[[PERIODO Imp.]:[PERIODO Imp.]],BP$9)</f>
        <v>0</v>
      </c>
      <c r="BQ245" s="516">
        <f>SUMIFS(Imput[[Importe Neto]:[Importe Neto]],Imput[[C. Imp.]:[C. Imp.]],$D245,Imput[[PERIODO Imp.]:[PERIODO Imp.]],BQ$9)</f>
        <v>0</v>
      </c>
      <c r="BR245" s="516">
        <f>SUMIFS(Imput[[Importe Neto]:[Importe Neto]],Imput[[C. Imp.]:[C. Imp.]],$D245,Imput[[PERIODO Imp.]:[PERIODO Imp.]],BR$9)</f>
        <v>0</v>
      </c>
      <c r="BS245" s="516">
        <f>SUMIFS(Imput[[Importe Neto]:[Importe Neto]],Imput[[C. Imp.]:[C. Imp.]],$D245,Imput[[PERIODO Imp.]:[PERIODO Imp.]],BS$9)</f>
        <v>0</v>
      </c>
      <c r="BT245" s="516">
        <f>SUMIFS(Imput[[Importe Neto]:[Importe Neto]],Imput[[C. Imp.]:[C. Imp.]],$D245,Imput[[PERIODO Imp.]:[PERIODO Imp.]],BT$9)</f>
        <v>0</v>
      </c>
      <c r="BU245" s="516">
        <f>SUMIFS(Imput[[Importe Neto]:[Importe Neto]],Imput[[C. Imp.]:[C. Imp.]],$D245,Imput[[PERIODO Imp.]:[PERIODO Imp.]],BU$9)</f>
        <v>0</v>
      </c>
      <c r="BV245" s="516">
        <f>SUMIFS(Imput[[Importe Neto]:[Importe Neto]],Imput[[C. Imp.]:[C. Imp.]],$D245,Imput[[PERIODO Imp.]:[PERIODO Imp.]],BV$9)</f>
        <v>0</v>
      </c>
      <c r="BW245" s="516">
        <f>SUMIFS(Imput[[Importe Neto]:[Importe Neto]],Imput[[C. Imp.]:[C. Imp.]],$D245,Imput[[PERIODO Imp.]:[PERIODO Imp.]],BW$9)</f>
        <v>0</v>
      </c>
      <c r="BX245" s="516">
        <f>SUMIFS(Imput[[Importe Neto]:[Importe Neto]],Imput[[C. Imp.]:[C. Imp.]],$D245,Imput[[PERIODO Imp.]:[PERIODO Imp.]],BX$9)</f>
        <v>0</v>
      </c>
      <c r="BY245" s="516">
        <f>SUMIFS(Imput[[Importe Neto]:[Importe Neto]],Imput[[C. Imp.]:[C. Imp.]],$D245,Imput[[PERIODO Imp.]:[PERIODO Imp.]],BY$9)</f>
        <v>0</v>
      </c>
      <c r="BZ245" s="516">
        <f>SUMIFS(Imput[[Importe Neto]:[Importe Neto]],Imput[[C. Imp.]:[C. Imp.]],$D245,Imput[[PERIODO Imp.]:[PERIODO Imp.]],BZ$9)</f>
        <v>0</v>
      </c>
      <c r="CA245" s="516">
        <f>SUMIFS(Imput[[Importe Neto]:[Importe Neto]],Imput[[C. Imp.]:[C. Imp.]],$D245,Imput[[PERIODO Imp.]:[PERIODO Imp.]],CA$9)</f>
        <v>0</v>
      </c>
      <c r="CB245" s="516">
        <f>SUMIFS(Imput[[Importe Neto]:[Importe Neto]],Imput[[C. Imp.]:[C. Imp.]],$D245,Imput[[PERIODO Imp.]:[PERIODO Imp.]],CB$9)</f>
        <v>0</v>
      </c>
      <c r="CC245" s="516">
        <f>SUMIFS(Imput[[Importe Neto]:[Importe Neto]],Imput[[C. Imp.]:[C. Imp.]],$D245,Imput[[PERIODO Imp.]:[PERIODO Imp.]],CC$9)</f>
        <v>0</v>
      </c>
      <c r="CD245" s="516">
        <f>SUMIFS(Imput[[Importe Neto]:[Importe Neto]],Imput[[C. Imp.]:[C. Imp.]],$D245,Imput[[PERIODO Imp.]:[PERIODO Imp.]],CD$9)</f>
        <v>0</v>
      </c>
      <c r="CE245" s="516">
        <f>SUMIFS(Imput[[Importe Neto]:[Importe Neto]],Imput[[C. Imp.]:[C. Imp.]],$D245,Imput[[PERIODO Imp.]:[PERIODO Imp.]],CE$9)</f>
        <v>0</v>
      </c>
      <c r="CF245" s="516">
        <f>SUMIFS(Imput[[Importe Neto]:[Importe Neto]],Imput[[C. Imp.]:[C. Imp.]],$D245,Imput[[PERIODO Imp.]:[PERIODO Imp.]],CF$9)</f>
        <v>0</v>
      </c>
      <c r="CG245" s="516">
        <f>SUMIFS(Imput[[Importe Neto]:[Importe Neto]],Imput[[C. Imp.]:[C. Imp.]],$D245,Imput[[PERIODO Imp.]:[PERIODO Imp.]],CG$9)</f>
        <v>0</v>
      </c>
      <c r="CH245" s="516">
        <f>SUMIFS(Imput[[Importe Neto]:[Importe Neto]],Imput[[C. Imp.]:[C. Imp.]],$D245,Imput[[PERIODO Imp.]:[PERIODO Imp.]],CH$9)</f>
        <v>0</v>
      </c>
      <c r="CI245" s="516">
        <f>SUMIFS(Imput[[Importe Neto]:[Importe Neto]],Imput[[C. Imp.]:[C. Imp.]],$D245,Imput[[PERIODO Imp.]:[PERIODO Imp.]],CI$9)</f>
        <v>0</v>
      </c>
      <c r="CJ245" s="516">
        <f>SUMIFS(Imput[[Importe Neto]:[Importe Neto]],Imput[[C. Imp.]:[C. Imp.]],$D245,Imput[[PERIODO Imp.]:[PERIODO Imp.]],CJ$9)</f>
        <v>0</v>
      </c>
      <c r="CK245" s="516">
        <f>SUMIFS(Imput[[Importe Neto]:[Importe Neto]],Imput[[C. Imp.]:[C. Imp.]],$D245,Imput[[PERIODO Imp.]:[PERIODO Imp.]],CK$9)</f>
        <v>0</v>
      </c>
      <c r="CL245" s="516">
        <f>SUMIFS(Imput[[Importe Neto]:[Importe Neto]],Imput[[C. Imp.]:[C. Imp.]],$D245,Imput[[PERIODO Imp.]:[PERIODO Imp.]],CL$9)</f>
        <v>0</v>
      </c>
      <c r="CM245" s="516">
        <f>SUMIFS(Imput[[Importe Neto]:[Importe Neto]],Imput[[C. Imp.]:[C. Imp.]],$D245,Imput[[PERIODO Imp.]:[PERIODO Imp.]],CM$9)</f>
        <v>0</v>
      </c>
      <c r="CN245" s="516">
        <f>SUMIFS(Imput[[Importe Neto]:[Importe Neto]],Imput[[C. Imp.]:[C. Imp.]],$D245,Imput[[PERIODO Imp.]:[PERIODO Imp.]],CN$9)</f>
        <v>0</v>
      </c>
      <c r="CO245" s="516">
        <f>SUMIFS(Imput[[Importe Neto]:[Importe Neto]],Imput[[C. Imp.]:[C. Imp.]],$D245,Imput[[PERIODO Imp.]:[PERIODO Imp.]],CO$9)</f>
        <v>0</v>
      </c>
      <c r="CP245" s="516">
        <f>SUMIFS(Imput[[Importe Neto]:[Importe Neto]],Imput[[C. Imp.]:[C. Imp.]],$D245,Imput[[PERIODO Imp.]:[PERIODO Imp.]],CP$9)</f>
        <v>0</v>
      </c>
      <c r="CQ245" s="516">
        <f>SUMIFS(Imput[[Importe Neto]:[Importe Neto]],Imput[[C. Imp.]:[C. Imp.]],$D245,Imput[[PERIODO Imp.]:[PERIODO Imp.]],CQ$9)</f>
        <v>0</v>
      </c>
      <c r="CR245" s="516">
        <f>SUMIFS(Imput[[Importe Neto]:[Importe Neto]],Imput[[C. Imp.]:[C. Imp.]],$D245,Imput[[PERIODO Imp.]:[PERIODO Imp.]],CR$9)</f>
        <v>0</v>
      </c>
      <c r="CS245" s="516">
        <f>SUMIFS(Imput[[Importe Neto]:[Importe Neto]],Imput[[C. Imp.]:[C. Imp.]],$D245,Imput[[PERIODO Imp.]:[PERIODO Imp.]],CS$9)</f>
        <v>0</v>
      </c>
      <c r="CT245" s="516">
        <f>SUMIFS(Imput[[Importe Neto]:[Importe Neto]],Imput[[C. Imp.]:[C. Imp.]],$D245,Imput[[PERIODO Imp.]:[PERIODO Imp.]],CT$9)</f>
        <v>0</v>
      </c>
      <c r="CU245" s="516">
        <f>SUMIFS(Imput[[Importe Neto]:[Importe Neto]],Imput[[C. Imp.]:[C. Imp.]],$D245,Imput[[PERIODO Imp.]:[PERIODO Imp.]],CU$9)</f>
        <v>0</v>
      </c>
      <c r="CV245" s="516">
        <f>SUMIFS(Imput[[Importe Neto]:[Importe Neto]],Imput[[C. Imp.]:[C. Imp.]],$D245,Imput[[PERIODO Imp.]:[PERIODO Imp.]],CV$9)</f>
        <v>0</v>
      </c>
      <c r="CW245" s="516">
        <f>SUMIFS(Imput[[Importe Neto]:[Importe Neto]],Imput[[C. Imp.]:[C. Imp.]],$D245,Imput[[PERIODO Imp.]:[PERIODO Imp.]],CW$9)</f>
        <v>0</v>
      </c>
      <c r="CX245" s="516">
        <f>SUMIFS(Imput[[Importe Neto]:[Importe Neto]],Imput[[C. Imp.]:[C. Imp.]],$D245,Imput[[PERIODO Imp.]:[PERIODO Imp.]],CX$9)</f>
        <v>0</v>
      </c>
      <c r="CY245" s="516">
        <f>SUMIFS(Imput[[Importe Neto]:[Importe Neto]],Imput[[C. Imp.]:[C. Imp.]],$D245,Imput[[PERIODO Imp.]:[PERIODO Imp.]],CY$9)</f>
        <v>0</v>
      </c>
      <c r="CZ245" s="516">
        <f>SUMIFS(Imput[[Importe Neto]:[Importe Neto]],Imput[[C. Imp.]:[C. Imp.]],$D245,Imput[[PERIODO Imp.]:[PERIODO Imp.]],CZ$9)</f>
        <v>0</v>
      </c>
      <c r="DA245" s="516">
        <f>SUMIFS(Imput[[Importe Neto]:[Importe Neto]],Imput[[C. Imp.]:[C. Imp.]],$D245,Imput[[PERIODO Imp.]:[PERIODO Imp.]],DA$9)</f>
        <v>0</v>
      </c>
      <c r="DB245" s="516">
        <f>SUMIFS(Imput[[Importe Neto]:[Importe Neto]],Imput[[C. Imp.]:[C. Imp.]],$D245,Imput[[PERIODO Imp.]:[PERIODO Imp.]],DB$9)</f>
        <v>0</v>
      </c>
      <c r="DC245" s="516">
        <f>SUMIFS(Imput[[Importe Neto]:[Importe Neto]],Imput[[C. Imp.]:[C. Imp.]],$D245,Imput[[PERIODO Imp.]:[PERIODO Imp.]],DC$9)</f>
        <v>0</v>
      </c>
      <c r="DD245" s="516">
        <f>SUMIFS(Imput[[Importe Neto]:[Importe Neto]],Imput[[C. Imp.]:[C. Imp.]],$D245,Imput[[PERIODO Imp.]:[PERIODO Imp.]],DD$9)</f>
        <v>0</v>
      </c>
      <c r="DE245" s="516">
        <f>SUMIFS(Imput[[Importe Neto]:[Importe Neto]],Imput[[C. Imp.]:[C. Imp.]],$D245,Imput[[PERIODO Imp.]:[PERIODO Imp.]],DE$9)</f>
        <v>0</v>
      </c>
      <c r="DF245" s="516">
        <f>SUMIFS(Imput[[Importe Neto]:[Importe Neto]],Imput[[C. Imp.]:[C. Imp.]],$D245,Imput[[PERIODO Imp.]:[PERIODO Imp.]],DF$9)</f>
        <v>0</v>
      </c>
      <c r="DG245" s="516">
        <f>SUMIFS(Imput[[Importe Neto]:[Importe Neto]],Imput[[C. Imp.]:[C. Imp.]],$D245,Imput[[PERIODO Imp.]:[PERIODO Imp.]],DG$9)</f>
        <v>0</v>
      </c>
      <c r="DH245" s="616">
        <f>SUMIFS(Imput[[Importe Neto]:[Importe Neto]],Imput[[C. Imp.]:[C. Imp.]],$D245,Imput[[PERIODO Imp.]:[PERIODO Imp.]],DH$9)</f>
        <v>0</v>
      </c>
    </row>
    <row r="246" spans="1:112" hidden="1" outlineLevel="1" x14ac:dyDescent="0.3">
      <c r="A246" s="66" t="str">
        <f t="shared" si="121"/>
        <v/>
      </c>
      <c r="C246" s="527"/>
      <c r="D246" s="528" t="s">
        <v>2330</v>
      </c>
      <c r="E246" s="528"/>
      <c r="F246" s="535"/>
      <c r="G246" s="529"/>
      <c r="H246" s="530"/>
      <c r="I246" s="849" t="str">
        <f t="shared" si="122"/>
        <v/>
      </c>
      <c r="J246" s="517" t="str">
        <f t="shared" si="123"/>
        <v/>
      </c>
      <c r="K246" s="70"/>
      <c r="L246" s="853"/>
      <c r="M246" s="855"/>
      <c r="N246" s="855"/>
      <c r="O246" s="855"/>
      <c r="P246" s="855"/>
      <c r="Q246" s="855"/>
      <c r="R246" s="855"/>
      <c r="S246" s="855"/>
      <c r="T246" s="855"/>
      <c r="U246" s="855"/>
      <c r="V246" s="855"/>
      <c r="W246" s="855"/>
      <c r="X246" s="855"/>
      <c r="Y246" s="855"/>
      <c r="Z246" s="856"/>
      <c r="AA246" s="856"/>
      <c r="AB246" s="856"/>
      <c r="AC246" s="856"/>
      <c r="AD246" s="856"/>
      <c r="AE246" s="856"/>
      <c r="AF246" s="856"/>
      <c r="AG246" s="856"/>
      <c r="AH246" s="856"/>
      <c r="AI246" s="856"/>
      <c r="AJ246" s="856"/>
      <c r="AK246" s="856"/>
      <c r="AL246" s="856"/>
      <c r="AM246" s="856"/>
      <c r="AN246" s="856"/>
      <c r="AO246" s="856"/>
      <c r="AP246" s="856"/>
      <c r="AQ246" s="856"/>
      <c r="AR246" s="856"/>
      <c r="AS246" s="856"/>
      <c r="AT246" s="856"/>
      <c r="AU246" s="856"/>
      <c r="AV246" s="856"/>
      <c r="AW246" s="856"/>
      <c r="AX246" s="856"/>
      <c r="AY246" s="856"/>
      <c r="AZ246" s="856"/>
      <c r="BA246" s="856"/>
      <c r="BB246" s="856"/>
      <c r="BC246" s="856"/>
      <c r="BD246" s="856"/>
      <c r="BE246" s="856"/>
      <c r="BF246" s="856"/>
      <c r="BG246" s="857"/>
      <c r="BH246" s="590"/>
      <c r="BI246" s="68"/>
      <c r="BJ246" s="518">
        <f t="shared" si="124"/>
        <v>0</v>
      </c>
      <c r="BK246" s="517">
        <f t="shared" si="125"/>
        <v>0</v>
      </c>
      <c r="BL246" s="68"/>
      <c r="BM246" s="515">
        <f>SUMIFS(Imput[[Importe Neto]:[Importe Neto]],Imput[[C. Imp.]:[C. Imp.]],$D246,Imput[[PERIODO Imp.]:[PERIODO Imp.]],BM$9)</f>
        <v>0</v>
      </c>
      <c r="BN246" s="516">
        <f>SUMIFS(Imput[[Importe Neto]:[Importe Neto]],Imput[[C. Imp.]:[C. Imp.]],$D246,Imput[[PERIODO Imp.]:[PERIODO Imp.]],BN$9)</f>
        <v>0</v>
      </c>
      <c r="BO246" s="516">
        <f>SUMIFS(Imput[[Importe Neto]:[Importe Neto]],Imput[[C. Imp.]:[C. Imp.]],$D246,Imput[[PERIODO Imp.]:[PERIODO Imp.]],BO$9)</f>
        <v>0</v>
      </c>
      <c r="BP246" s="516">
        <f>SUMIFS(Imput[[Importe Neto]:[Importe Neto]],Imput[[C. Imp.]:[C. Imp.]],$D246,Imput[[PERIODO Imp.]:[PERIODO Imp.]],BP$9)</f>
        <v>0</v>
      </c>
      <c r="BQ246" s="516">
        <f>SUMIFS(Imput[[Importe Neto]:[Importe Neto]],Imput[[C. Imp.]:[C. Imp.]],$D246,Imput[[PERIODO Imp.]:[PERIODO Imp.]],BQ$9)</f>
        <v>0</v>
      </c>
      <c r="BR246" s="516">
        <f>SUMIFS(Imput[[Importe Neto]:[Importe Neto]],Imput[[C. Imp.]:[C. Imp.]],$D246,Imput[[PERIODO Imp.]:[PERIODO Imp.]],BR$9)</f>
        <v>0</v>
      </c>
      <c r="BS246" s="516">
        <f>SUMIFS(Imput[[Importe Neto]:[Importe Neto]],Imput[[C. Imp.]:[C. Imp.]],$D246,Imput[[PERIODO Imp.]:[PERIODO Imp.]],BS$9)</f>
        <v>0</v>
      </c>
      <c r="BT246" s="516">
        <f>SUMIFS(Imput[[Importe Neto]:[Importe Neto]],Imput[[C. Imp.]:[C. Imp.]],$D246,Imput[[PERIODO Imp.]:[PERIODO Imp.]],BT$9)</f>
        <v>0</v>
      </c>
      <c r="BU246" s="516">
        <f>SUMIFS(Imput[[Importe Neto]:[Importe Neto]],Imput[[C. Imp.]:[C. Imp.]],$D246,Imput[[PERIODO Imp.]:[PERIODO Imp.]],BU$9)</f>
        <v>0</v>
      </c>
      <c r="BV246" s="516">
        <f>SUMIFS(Imput[[Importe Neto]:[Importe Neto]],Imput[[C. Imp.]:[C. Imp.]],$D246,Imput[[PERIODO Imp.]:[PERIODO Imp.]],BV$9)</f>
        <v>0</v>
      </c>
      <c r="BW246" s="516">
        <f>SUMIFS(Imput[[Importe Neto]:[Importe Neto]],Imput[[C. Imp.]:[C. Imp.]],$D246,Imput[[PERIODO Imp.]:[PERIODO Imp.]],BW$9)</f>
        <v>0</v>
      </c>
      <c r="BX246" s="516">
        <f>SUMIFS(Imput[[Importe Neto]:[Importe Neto]],Imput[[C. Imp.]:[C. Imp.]],$D246,Imput[[PERIODO Imp.]:[PERIODO Imp.]],BX$9)</f>
        <v>0</v>
      </c>
      <c r="BY246" s="516">
        <f>SUMIFS(Imput[[Importe Neto]:[Importe Neto]],Imput[[C. Imp.]:[C. Imp.]],$D246,Imput[[PERIODO Imp.]:[PERIODO Imp.]],BY$9)</f>
        <v>0</v>
      </c>
      <c r="BZ246" s="516">
        <f>SUMIFS(Imput[[Importe Neto]:[Importe Neto]],Imput[[C. Imp.]:[C. Imp.]],$D246,Imput[[PERIODO Imp.]:[PERIODO Imp.]],BZ$9)</f>
        <v>0</v>
      </c>
      <c r="CA246" s="516">
        <f>SUMIFS(Imput[[Importe Neto]:[Importe Neto]],Imput[[C. Imp.]:[C. Imp.]],$D246,Imput[[PERIODO Imp.]:[PERIODO Imp.]],CA$9)</f>
        <v>0</v>
      </c>
      <c r="CB246" s="516">
        <f>SUMIFS(Imput[[Importe Neto]:[Importe Neto]],Imput[[C. Imp.]:[C. Imp.]],$D246,Imput[[PERIODO Imp.]:[PERIODO Imp.]],CB$9)</f>
        <v>0</v>
      </c>
      <c r="CC246" s="516">
        <f>SUMIFS(Imput[[Importe Neto]:[Importe Neto]],Imput[[C. Imp.]:[C. Imp.]],$D246,Imput[[PERIODO Imp.]:[PERIODO Imp.]],CC$9)</f>
        <v>0</v>
      </c>
      <c r="CD246" s="516">
        <f>SUMIFS(Imput[[Importe Neto]:[Importe Neto]],Imput[[C. Imp.]:[C. Imp.]],$D246,Imput[[PERIODO Imp.]:[PERIODO Imp.]],CD$9)</f>
        <v>0</v>
      </c>
      <c r="CE246" s="516">
        <f>SUMIFS(Imput[[Importe Neto]:[Importe Neto]],Imput[[C. Imp.]:[C. Imp.]],$D246,Imput[[PERIODO Imp.]:[PERIODO Imp.]],CE$9)</f>
        <v>0</v>
      </c>
      <c r="CF246" s="516">
        <f>SUMIFS(Imput[[Importe Neto]:[Importe Neto]],Imput[[C. Imp.]:[C. Imp.]],$D246,Imput[[PERIODO Imp.]:[PERIODO Imp.]],CF$9)</f>
        <v>0</v>
      </c>
      <c r="CG246" s="516">
        <f>SUMIFS(Imput[[Importe Neto]:[Importe Neto]],Imput[[C. Imp.]:[C. Imp.]],$D246,Imput[[PERIODO Imp.]:[PERIODO Imp.]],CG$9)</f>
        <v>0</v>
      </c>
      <c r="CH246" s="516">
        <f>SUMIFS(Imput[[Importe Neto]:[Importe Neto]],Imput[[C. Imp.]:[C. Imp.]],$D246,Imput[[PERIODO Imp.]:[PERIODO Imp.]],CH$9)</f>
        <v>0</v>
      </c>
      <c r="CI246" s="516">
        <f>SUMIFS(Imput[[Importe Neto]:[Importe Neto]],Imput[[C. Imp.]:[C. Imp.]],$D246,Imput[[PERIODO Imp.]:[PERIODO Imp.]],CI$9)</f>
        <v>0</v>
      </c>
      <c r="CJ246" s="516">
        <f>SUMIFS(Imput[[Importe Neto]:[Importe Neto]],Imput[[C. Imp.]:[C. Imp.]],$D246,Imput[[PERIODO Imp.]:[PERIODO Imp.]],CJ$9)</f>
        <v>0</v>
      </c>
      <c r="CK246" s="516">
        <f>SUMIFS(Imput[[Importe Neto]:[Importe Neto]],Imput[[C. Imp.]:[C. Imp.]],$D246,Imput[[PERIODO Imp.]:[PERIODO Imp.]],CK$9)</f>
        <v>0</v>
      </c>
      <c r="CL246" s="516">
        <f>SUMIFS(Imput[[Importe Neto]:[Importe Neto]],Imput[[C. Imp.]:[C. Imp.]],$D246,Imput[[PERIODO Imp.]:[PERIODO Imp.]],CL$9)</f>
        <v>0</v>
      </c>
      <c r="CM246" s="516">
        <f>SUMIFS(Imput[[Importe Neto]:[Importe Neto]],Imput[[C. Imp.]:[C. Imp.]],$D246,Imput[[PERIODO Imp.]:[PERIODO Imp.]],CM$9)</f>
        <v>0</v>
      </c>
      <c r="CN246" s="516">
        <f>SUMIFS(Imput[[Importe Neto]:[Importe Neto]],Imput[[C. Imp.]:[C. Imp.]],$D246,Imput[[PERIODO Imp.]:[PERIODO Imp.]],CN$9)</f>
        <v>0</v>
      </c>
      <c r="CO246" s="516">
        <f>SUMIFS(Imput[[Importe Neto]:[Importe Neto]],Imput[[C. Imp.]:[C. Imp.]],$D246,Imput[[PERIODO Imp.]:[PERIODO Imp.]],CO$9)</f>
        <v>0</v>
      </c>
      <c r="CP246" s="516">
        <f>SUMIFS(Imput[[Importe Neto]:[Importe Neto]],Imput[[C. Imp.]:[C. Imp.]],$D246,Imput[[PERIODO Imp.]:[PERIODO Imp.]],CP$9)</f>
        <v>0</v>
      </c>
      <c r="CQ246" s="516">
        <f>SUMIFS(Imput[[Importe Neto]:[Importe Neto]],Imput[[C. Imp.]:[C. Imp.]],$D246,Imput[[PERIODO Imp.]:[PERIODO Imp.]],CQ$9)</f>
        <v>0</v>
      </c>
      <c r="CR246" s="516">
        <f>SUMIFS(Imput[[Importe Neto]:[Importe Neto]],Imput[[C. Imp.]:[C. Imp.]],$D246,Imput[[PERIODO Imp.]:[PERIODO Imp.]],CR$9)</f>
        <v>0</v>
      </c>
      <c r="CS246" s="516">
        <f>SUMIFS(Imput[[Importe Neto]:[Importe Neto]],Imput[[C. Imp.]:[C. Imp.]],$D246,Imput[[PERIODO Imp.]:[PERIODO Imp.]],CS$9)</f>
        <v>0</v>
      </c>
      <c r="CT246" s="516">
        <f>SUMIFS(Imput[[Importe Neto]:[Importe Neto]],Imput[[C. Imp.]:[C. Imp.]],$D246,Imput[[PERIODO Imp.]:[PERIODO Imp.]],CT$9)</f>
        <v>0</v>
      </c>
      <c r="CU246" s="516">
        <f>SUMIFS(Imput[[Importe Neto]:[Importe Neto]],Imput[[C. Imp.]:[C. Imp.]],$D246,Imput[[PERIODO Imp.]:[PERIODO Imp.]],CU$9)</f>
        <v>0</v>
      </c>
      <c r="CV246" s="516">
        <f>SUMIFS(Imput[[Importe Neto]:[Importe Neto]],Imput[[C. Imp.]:[C. Imp.]],$D246,Imput[[PERIODO Imp.]:[PERIODO Imp.]],CV$9)</f>
        <v>0</v>
      </c>
      <c r="CW246" s="516">
        <f>SUMIFS(Imput[[Importe Neto]:[Importe Neto]],Imput[[C. Imp.]:[C. Imp.]],$D246,Imput[[PERIODO Imp.]:[PERIODO Imp.]],CW$9)</f>
        <v>0</v>
      </c>
      <c r="CX246" s="516">
        <f>SUMIFS(Imput[[Importe Neto]:[Importe Neto]],Imput[[C. Imp.]:[C. Imp.]],$D246,Imput[[PERIODO Imp.]:[PERIODO Imp.]],CX$9)</f>
        <v>0</v>
      </c>
      <c r="CY246" s="516">
        <f>SUMIFS(Imput[[Importe Neto]:[Importe Neto]],Imput[[C. Imp.]:[C. Imp.]],$D246,Imput[[PERIODO Imp.]:[PERIODO Imp.]],CY$9)</f>
        <v>0</v>
      </c>
      <c r="CZ246" s="516">
        <f>SUMIFS(Imput[[Importe Neto]:[Importe Neto]],Imput[[C. Imp.]:[C. Imp.]],$D246,Imput[[PERIODO Imp.]:[PERIODO Imp.]],CZ$9)</f>
        <v>0</v>
      </c>
      <c r="DA246" s="516">
        <f>SUMIFS(Imput[[Importe Neto]:[Importe Neto]],Imput[[C. Imp.]:[C. Imp.]],$D246,Imput[[PERIODO Imp.]:[PERIODO Imp.]],DA$9)</f>
        <v>0</v>
      </c>
      <c r="DB246" s="516">
        <f>SUMIFS(Imput[[Importe Neto]:[Importe Neto]],Imput[[C. Imp.]:[C. Imp.]],$D246,Imput[[PERIODO Imp.]:[PERIODO Imp.]],DB$9)</f>
        <v>0</v>
      </c>
      <c r="DC246" s="516">
        <f>SUMIFS(Imput[[Importe Neto]:[Importe Neto]],Imput[[C. Imp.]:[C. Imp.]],$D246,Imput[[PERIODO Imp.]:[PERIODO Imp.]],DC$9)</f>
        <v>0</v>
      </c>
      <c r="DD246" s="516">
        <f>SUMIFS(Imput[[Importe Neto]:[Importe Neto]],Imput[[C. Imp.]:[C. Imp.]],$D246,Imput[[PERIODO Imp.]:[PERIODO Imp.]],DD$9)</f>
        <v>0</v>
      </c>
      <c r="DE246" s="516">
        <f>SUMIFS(Imput[[Importe Neto]:[Importe Neto]],Imput[[C. Imp.]:[C. Imp.]],$D246,Imput[[PERIODO Imp.]:[PERIODO Imp.]],DE$9)</f>
        <v>0</v>
      </c>
      <c r="DF246" s="516">
        <f>SUMIFS(Imput[[Importe Neto]:[Importe Neto]],Imput[[C. Imp.]:[C. Imp.]],$D246,Imput[[PERIODO Imp.]:[PERIODO Imp.]],DF$9)</f>
        <v>0</v>
      </c>
      <c r="DG246" s="516">
        <f>SUMIFS(Imput[[Importe Neto]:[Importe Neto]],Imput[[C. Imp.]:[C. Imp.]],$D246,Imput[[PERIODO Imp.]:[PERIODO Imp.]],DG$9)</f>
        <v>0</v>
      </c>
      <c r="DH246" s="616">
        <f>SUMIFS(Imput[[Importe Neto]:[Importe Neto]],Imput[[C. Imp.]:[C. Imp.]],$D246,Imput[[PERIODO Imp.]:[PERIODO Imp.]],DH$9)</f>
        <v>0</v>
      </c>
    </row>
    <row r="247" spans="1:112" ht="14.4" hidden="1" outlineLevel="1" thickBot="1" x14ac:dyDescent="0.35">
      <c r="A247" s="66" t="str">
        <f>IF(J241&gt;0,"Imprimir","")</f>
        <v/>
      </c>
      <c r="C247" s="112"/>
      <c r="D247" s="113"/>
      <c r="E247" s="113"/>
      <c r="F247" s="114"/>
      <c r="G247" s="605"/>
      <c r="H247" s="114"/>
      <c r="I247" s="116"/>
      <c r="J247" s="120"/>
      <c r="K247" s="70"/>
      <c r="L247" s="591"/>
      <c r="M247" s="592"/>
      <c r="N247" s="767"/>
      <c r="O247" s="767"/>
      <c r="P247" s="768"/>
      <c r="Q247" s="768"/>
      <c r="R247" s="593"/>
      <c r="S247" s="593"/>
      <c r="T247" s="769"/>
      <c r="U247" s="769"/>
      <c r="V247" s="768"/>
      <c r="W247" s="768"/>
      <c r="X247" s="593"/>
      <c r="Y247" s="593"/>
      <c r="Z247" s="593"/>
      <c r="AA247" s="593"/>
      <c r="AB247" s="593"/>
      <c r="AC247" s="593"/>
      <c r="AD247" s="593"/>
      <c r="AE247" s="593"/>
      <c r="AF247" s="593"/>
      <c r="AG247" s="593"/>
      <c r="AH247" s="593"/>
      <c r="AI247" s="593"/>
      <c r="AJ247" s="593"/>
      <c r="AK247" s="593"/>
      <c r="AL247" s="593"/>
      <c r="AM247" s="593"/>
      <c r="AN247" s="593"/>
      <c r="AO247" s="593"/>
      <c r="AP247" s="593"/>
      <c r="AQ247" s="593"/>
      <c r="AR247" s="593"/>
      <c r="AS247" s="593"/>
      <c r="AT247" s="593"/>
      <c r="AU247" s="593"/>
      <c r="AV247" s="593"/>
      <c r="AW247" s="593"/>
      <c r="AX247" s="593"/>
      <c r="AY247" s="593"/>
      <c r="AZ247" s="593"/>
      <c r="BA247" s="593"/>
      <c r="BB247" s="593"/>
      <c r="BC247" s="593"/>
      <c r="BD247" s="593"/>
      <c r="BE247" s="593"/>
      <c r="BF247" s="593"/>
      <c r="BG247" s="594"/>
      <c r="BH247" s="774"/>
      <c r="BI247" s="68"/>
      <c r="BJ247" s="163"/>
      <c r="BK247" s="153"/>
      <c r="BL247" s="68"/>
      <c r="BM247" s="152"/>
      <c r="BN247" s="114"/>
      <c r="BO247" s="114"/>
      <c r="BP247" s="114"/>
      <c r="BQ247" s="114"/>
      <c r="BR247" s="114"/>
      <c r="BS247" s="114"/>
      <c r="BT247" s="114"/>
      <c r="BU247" s="114"/>
      <c r="BV247" s="114"/>
      <c r="BW247" s="114"/>
      <c r="BX247" s="114"/>
      <c r="BY247" s="114"/>
      <c r="BZ247" s="114"/>
      <c r="CA247" s="114"/>
      <c r="CB247" s="114"/>
      <c r="CC247" s="114"/>
      <c r="CD247" s="114"/>
      <c r="CE247" s="114"/>
      <c r="CF247" s="114"/>
      <c r="CG247" s="114"/>
      <c r="CH247" s="114"/>
      <c r="CI247" s="114"/>
      <c r="CJ247" s="114"/>
      <c r="CK247" s="114"/>
      <c r="CL247" s="114"/>
      <c r="CM247" s="114"/>
      <c r="CN247" s="114"/>
      <c r="CO247" s="114"/>
      <c r="CP247" s="114"/>
      <c r="CQ247" s="114"/>
      <c r="CR247" s="114"/>
      <c r="CS247" s="114"/>
      <c r="CT247" s="114"/>
      <c r="CU247" s="114"/>
      <c r="CV247" s="114"/>
      <c r="CW247" s="114"/>
      <c r="CX247" s="114"/>
      <c r="CY247" s="114"/>
      <c r="CZ247" s="114"/>
      <c r="DA247" s="114"/>
      <c r="DB247" s="114"/>
      <c r="DC247" s="114"/>
      <c r="DD247" s="114"/>
      <c r="DE247" s="114"/>
      <c r="DF247" s="114"/>
      <c r="DG247" s="114"/>
      <c r="DH247" s="153"/>
    </row>
    <row r="248" spans="1:112" s="66" customFormat="1" ht="14.4" collapsed="1" thickBot="1" x14ac:dyDescent="0.35">
      <c r="A248" s="66" t="s">
        <v>516</v>
      </c>
      <c r="C248" s="68"/>
      <c r="D248" s="68"/>
      <c r="E248" s="68"/>
      <c r="F248" s="68"/>
      <c r="G248" s="68"/>
      <c r="H248" s="68"/>
      <c r="I248" s="123"/>
      <c r="J248" s="68"/>
      <c r="K248" s="70"/>
      <c r="L248" s="775"/>
      <c r="M248" s="775"/>
      <c r="N248" s="775"/>
      <c r="O248" s="775"/>
      <c r="P248" s="775"/>
      <c r="Q248" s="775"/>
      <c r="R248" s="775"/>
      <c r="S248" s="775"/>
      <c r="T248" s="775"/>
      <c r="U248" s="775"/>
      <c r="V248" s="775"/>
      <c r="W248" s="775"/>
      <c r="X248" s="775"/>
      <c r="Y248" s="775"/>
      <c r="Z248" s="775"/>
      <c r="AA248" s="775"/>
      <c r="AB248" s="775"/>
      <c r="AC248" s="775"/>
      <c r="AD248" s="775"/>
      <c r="AE248" s="775"/>
      <c r="AF248" s="775"/>
      <c r="AG248" s="775"/>
      <c r="AH248" s="775"/>
      <c r="AI248" s="775"/>
      <c r="AJ248" s="775"/>
      <c r="AK248" s="775"/>
      <c r="AL248" s="775"/>
      <c r="AM248" s="775"/>
      <c r="AN248" s="775"/>
      <c r="AO248" s="775"/>
      <c r="AP248" s="775"/>
      <c r="AQ248" s="775"/>
      <c r="AR248" s="775"/>
      <c r="AS248" s="775"/>
      <c r="AT248" s="775"/>
      <c r="AU248" s="775"/>
      <c r="AV248" s="775"/>
      <c r="AW248" s="775"/>
      <c r="AX248" s="775"/>
      <c r="AY248" s="775"/>
      <c r="AZ248" s="775"/>
      <c r="BA248" s="775"/>
      <c r="BB248" s="775"/>
      <c r="BC248" s="775"/>
      <c r="BD248" s="775"/>
      <c r="BE248" s="775"/>
      <c r="BF248" s="775"/>
      <c r="BG248" s="775"/>
      <c r="BH248" s="70"/>
      <c r="BI248" s="68"/>
      <c r="BL248" s="68"/>
    </row>
    <row r="249" spans="1:112" s="66" customFormat="1" ht="25.8" thickBot="1" x14ac:dyDescent="0.35">
      <c r="A249" s="652" t="str">
        <f>IF(J249&gt;0,"Imprimir","")</f>
        <v>Imprimir</v>
      </c>
      <c r="B249" s="652"/>
      <c r="C249" s="841" t="s">
        <v>2005</v>
      </c>
      <c r="D249" s="648"/>
      <c r="E249" s="739"/>
      <c r="F249" s="648"/>
      <c r="G249" s="648"/>
      <c r="H249" s="648"/>
      <c r="I249" s="648"/>
      <c r="J249" s="749">
        <f>SUBTOTAL(9,J250:J483)</f>
        <v>637171.95670682122</v>
      </c>
      <c r="K249" s="653"/>
      <c r="L249" s="790">
        <f t="shared" ref="L249:BG249" si="126">SUBTOTAL(9,L250:L484)</f>
        <v>295036.54903919576</v>
      </c>
      <c r="M249" s="791">
        <f t="shared" si="126"/>
        <v>6158.7394642857143</v>
      </c>
      <c r="N249" s="791">
        <f t="shared" si="126"/>
        <v>13415.029464285717</v>
      </c>
      <c r="O249" s="791">
        <f t="shared" si="126"/>
        <v>16134.169464285713</v>
      </c>
      <c r="P249" s="791">
        <f t="shared" si="126"/>
        <v>28987.510904285711</v>
      </c>
      <c r="Q249" s="791">
        <f t="shared" si="126"/>
        <v>6158.7394642857143</v>
      </c>
      <c r="R249" s="791">
        <f t="shared" si="126"/>
        <v>18497.079464285711</v>
      </c>
      <c r="S249" s="791">
        <f t="shared" si="126"/>
        <v>13223.069464285716</v>
      </c>
      <c r="T249" s="791">
        <f t="shared" si="126"/>
        <v>18497.079464285711</v>
      </c>
      <c r="U249" s="791">
        <f t="shared" si="126"/>
        <v>6158.7394642857143</v>
      </c>
      <c r="V249" s="791">
        <f t="shared" si="126"/>
        <v>18497.079464285711</v>
      </c>
      <c r="W249" s="791">
        <f t="shared" si="126"/>
        <v>20708.212040285711</v>
      </c>
      <c r="X249" s="791">
        <f t="shared" si="126"/>
        <v>18497.079464285711</v>
      </c>
      <c r="Y249" s="791">
        <f t="shared" si="126"/>
        <v>6292.8194642857152</v>
      </c>
      <c r="Z249" s="791">
        <f t="shared" si="126"/>
        <v>29317.580615910971</v>
      </c>
      <c r="AA249" s="791">
        <f t="shared" si="126"/>
        <v>5388.3</v>
      </c>
      <c r="AB249" s="791">
        <f t="shared" si="126"/>
        <v>14681.46</v>
      </c>
      <c r="AC249" s="791">
        <f t="shared" si="126"/>
        <v>2477.1999999999998</v>
      </c>
      <c r="AD249" s="791">
        <f t="shared" si="126"/>
        <v>14681.46</v>
      </c>
      <c r="AE249" s="791">
        <f t="shared" si="126"/>
        <v>13955.45</v>
      </c>
      <c r="AF249" s="791">
        <f t="shared" si="126"/>
        <v>14681.46</v>
      </c>
      <c r="AG249" s="791">
        <f t="shared" si="126"/>
        <v>2477.1999999999998</v>
      </c>
      <c r="AH249" s="791">
        <f t="shared" si="126"/>
        <v>9599.4100000000035</v>
      </c>
      <c r="AI249" s="791">
        <f t="shared" si="126"/>
        <v>9407.4500000000007</v>
      </c>
      <c r="AJ249" s="791">
        <f t="shared" si="126"/>
        <v>34276.090000000004</v>
      </c>
      <c r="AK249" s="791">
        <f t="shared" si="126"/>
        <v>0</v>
      </c>
      <c r="AL249" s="791">
        <f t="shared" si="126"/>
        <v>0</v>
      </c>
      <c r="AM249" s="791">
        <f t="shared" si="126"/>
        <v>0</v>
      </c>
      <c r="AN249" s="791">
        <f t="shared" si="126"/>
        <v>0</v>
      </c>
      <c r="AO249" s="791">
        <f t="shared" si="126"/>
        <v>0</v>
      </c>
      <c r="AP249" s="791">
        <f t="shared" si="126"/>
        <v>0</v>
      </c>
      <c r="AQ249" s="791">
        <f t="shared" si="126"/>
        <v>0</v>
      </c>
      <c r="AR249" s="791">
        <f t="shared" si="126"/>
        <v>0</v>
      </c>
      <c r="AS249" s="791">
        <f t="shared" si="126"/>
        <v>0</v>
      </c>
      <c r="AT249" s="791">
        <f t="shared" si="126"/>
        <v>0</v>
      </c>
      <c r="AU249" s="791">
        <f t="shared" si="126"/>
        <v>0</v>
      </c>
      <c r="AV249" s="791">
        <f t="shared" si="126"/>
        <v>0</v>
      </c>
      <c r="AW249" s="791">
        <f t="shared" si="126"/>
        <v>0</v>
      </c>
      <c r="AX249" s="791">
        <f t="shared" si="126"/>
        <v>0</v>
      </c>
      <c r="AY249" s="791">
        <f t="shared" si="126"/>
        <v>0</v>
      </c>
      <c r="AZ249" s="791">
        <f t="shared" si="126"/>
        <v>0</v>
      </c>
      <c r="BA249" s="791">
        <f t="shared" si="126"/>
        <v>0</v>
      </c>
      <c r="BB249" s="791">
        <f t="shared" si="126"/>
        <v>0</v>
      </c>
      <c r="BC249" s="791">
        <f t="shared" si="126"/>
        <v>0</v>
      </c>
      <c r="BD249" s="791">
        <f t="shared" si="126"/>
        <v>0</v>
      </c>
      <c r="BE249" s="791">
        <f t="shared" si="126"/>
        <v>0</v>
      </c>
      <c r="BF249" s="791">
        <f t="shared" si="126"/>
        <v>0</v>
      </c>
      <c r="BG249" s="791">
        <f t="shared" si="126"/>
        <v>0</v>
      </c>
      <c r="BH249" s="798"/>
      <c r="BI249" s="654"/>
      <c r="BJ249" s="740"/>
      <c r="BK249" s="749">
        <f>SUBTOTAL(9,BK250:BK483)</f>
        <v>1291087.1423307748</v>
      </c>
      <c r="BL249" s="654"/>
      <c r="BM249" s="794">
        <f t="shared" ref="BM249:DH249" si="127">SUBTOTAL(9,BM250:BM483)</f>
        <v>0</v>
      </c>
      <c r="BN249" s="793">
        <f t="shared" si="127"/>
        <v>104895.59927200001</v>
      </c>
      <c r="BO249" s="793">
        <f t="shared" si="127"/>
        <v>207576.45567174896</v>
      </c>
      <c r="BP249" s="793">
        <f t="shared" si="127"/>
        <v>627701.56581419567</v>
      </c>
      <c r="BQ249" s="793">
        <f t="shared" si="127"/>
        <v>297746.92277283</v>
      </c>
      <c r="BR249" s="793">
        <f t="shared" si="127"/>
        <v>53166.598799999992</v>
      </c>
      <c r="BS249" s="793">
        <f t="shared" si="127"/>
        <v>0</v>
      </c>
      <c r="BT249" s="793">
        <f t="shared" si="127"/>
        <v>0</v>
      </c>
      <c r="BU249" s="793">
        <f t="shared" si="127"/>
        <v>0</v>
      </c>
      <c r="BV249" s="793">
        <f t="shared" si="127"/>
        <v>0</v>
      </c>
      <c r="BW249" s="793">
        <f t="shared" si="127"/>
        <v>0</v>
      </c>
      <c r="BX249" s="793">
        <f t="shared" si="127"/>
        <v>0</v>
      </c>
      <c r="BY249" s="793">
        <f t="shared" si="127"/>
        <v>0</v>
      </c>
      <c r="BZ249" s="793">
        <f t="shared" si="127"/>
        <v>0</v>
      </c>
      <c r="CA249" s="793">
        <f t="shared" si="127"/>
        <v>0</v>
      </c>
      <c r="CB249" s="793">
        <f t="shared" si="127"/>
        <v>0</v>
      </c>
      <c r="CC249" s="793">
        <f t="shared" si="127"/>
        <v>0</v>
      </c>
      <c r="CD249" s="793">
        <f t="shared" si="127"/>
        <v>0</v>
      </c>
      <c r="CE249" s="793">
        <f t="shared" si="127"/>
        <v>0</v>
      </c>
      <c r="CF249" s="793">
        <f t="shared" si="127"/>
        <v>0</v>
      </c>
      <c r="CG249" s="793">
        <f t="shared" si="127"/>
        <v>0</v>
      </c>
      <c r="CH249" s="793">
        <f t="shared" si="127"/>
        <v>0</v>
      </c>
      <c r="CI249" s="793">
        <f t="shared" si="127"/>
        <v>0</v>
      </c>
      <c r="CJ249" s="793">
        <f t="shared" si="127"/>
        <v>0</v>
      </c>
      <c r="CK249" s="793">
        <f t="shared" si="127"/>
        <v>0</v>
      </c>
      <c r="CL249" s="793">
        <f t="shared" si="127"/>
        <v>0</v>
      </c>
      <c r="CM249" s="793">
        <f t="shared" si="127"/>
        <v>0</v>
      </c>
      <c r="CN249" s="793">
        <f t="shared" si="127"/>
        <v>0</v>
      </c>
      <c r="CO249" s="793">
        <f t="shared" si="127"/>
        <v>0</v>
      </c>
      <c r="CP249" s="793">
        <f t="shared" si="127"/>
        <v>0</v>
      </c>
      <c r="CQ249" s="793">
        <f t="shared" si="127"/>
        <v>0</v>
      </c>
      <c r="CR249" s="793">
        <f t="shared" si="127"/>
        <v>0</v>
      </c>
      <c r="CS249" s="793">
        <f t="shared" si="127"/>
        <v>0</v>
      </c>
      <c r="CT249" s="793">
        <f t="shared" si="127"/>
        <v>0</v>
      </c>
      <c r="CU249" s="793">
        <f t="shared" si="127"/>
        <v>0</v>
      </c>
      <c r="CV249" s="793">
        <f t="shared" si="127"/>
        <v>0</v>
      </c>
      <c r="CW249" s="793">
        <f t="shared" si="127"/>
        <v>0</v>
      </c>
      <c r="CX249" s="793">
        <f t="shared" si="127"/>
        <v>0</v>
      </c>
      <c r="CY249" s="793">
        <f t="shared" si="127"/>
        <v>0</v>
      </c>
      <c r="CZ249" s="793">
        <f t="shared" si="127"/>
        <v>0</v>
      </c>
      <c r="DA249" s="793">
        <f t="shared" si="127"/>
        <v>0</v>
      </c>
      <c r="DB249" s="793">
        <f t="shared" si="127"/>
        <v>0</v>
      </c>
      <c r="DC249" s="793">
        <f t="shared" si="127"/>
        <v>0</v>
      </c>
      <c r="DD249" s="793">
        <f t="shared" si="127"/>
        <v>0</v>
      </c>
      <c r="DE249" s="793">
        <f t="shared" si="127"/>
        <v>0</v>
      </c>
      <c r="DF249" s="793">
        <f t="shared" si="127"/>
        <v>0</v>
      </c>
      <c r="DG249" s="793">
        <f t="shared" si="127"/>
        <v>0</v>
      </c>
      <c r="DH249" s="749">
        <f t="shared" si="127"/>
        <v>0</v>
      </c>
    </row>
    <row r="250" spans="1:112" s="649" customFormat="1" x14ac:dyDescent="0.3">
      <c r="A250" s="652" t="str">
        <f>IF(J250&gt;0,"Imprimir","")</f>
        <v>Imprimir</v>
      </c>
      <c r="B250" s="652"/>
      <c r="C250" s="655"/>
      <c r="D250" s="656" t="s">
        <v>374</v>
      </c>
      <c r="E250" s="656" t="s">
        <v>471</v>
      </c>
      <c r="F250" s="656"/>
      <c r="G250" s="656"/>
      <c r="H250" s="656"/>
      <c r="I250" s="657"/>
      <c r="J250" s="647">
        <f>SUBTOTAL(9,J253:J261)</f>
        <v>246760.8</v>
      </c>
      <c r="K250" s="658"/>
      <c r="L250" s="770">
        <f t="shared" ref="L250:BG250" si="128">SUMPRODUCT($J253:$J261,L253:L261)</f>
        <v>94356.239999999991</v>
      </c>
      <c r="M250" s="771">
        <f t="shared" si="128"/>
        <v>0</v>
      </c>
      <c r="N250" s="771">
        <f t="shared" si="128"/>
        <v>7256.0400000000009</v>
      </c>
      <c r="O250" s="771">
        <f t="shared" si="128"/>
        <v>0</v>
      </c>
      <c r="P250" s="771">
        <f t="shared" si="128"/>
        <v>7256.0400000000009</v>
      </c>
      <c r="Q250" s="771">
        <f t="shared" si="128"/>
        <v>0</v>
      </c>
      <c r="R250" s="771">
        <f t="shared" si="128"/>
        <v>12338.04</v>
      </c>
      <c r="S250" s="771">
        <f t="shared" si="128"/>
        <v>0</v>
      </c>
      <c r="T250" s="771">
        <f t="shared" si="128"/>
        <v>12338.04</v>
      </c>
      <c r="U250" s="771">
        <f t="shared" si="128"/>
        <v>0</v>
      </c>
      <c r="V250" s="771">
        <f t="shared" si="128"/>
        <v>12338.04</v>
      </c>
      <c r="W250" s="771">
        <f t="shared" si="128"/>
        <v>0</v>
      </c>
      <c r="X250" s="771">
        <f t="shared" si="128"/>
        <v>12338.04</v>
      </c>
      <c r="Y250" s="771">
        <f t="shared" si="128"/>
        <v>0</v>
      </c>
      <c r="Z250" s="771">
        <f t="shared" si="128"/>
        <v>12338.04</v>
      </c>
      <c r="AA250" s="771">
        <f t="shared" si="128"/>
        <v>0</v>
      </c>
      <c r="AB250" s="771">
        <f t="shared" si="128"/>
        <v>12338.04</v>
      </c>
      <c r="AC250" s="771">
        <f t="shared" si="128"/>
        <v>0</v>
      </c>
      <c r="AD250" s="771">
        <f t="shared" si="128"/>
        <v>12338.04</v>
      </c>
      <c r="AE250" s="771">
        <f t="shared" si="128"/>
        <v>0</v>
      </c>
      <c r="AF250" s="771">
        <f t="shared" si="128"/>
        <v>12338.04</v>
      </c>
      <c r="AG250" s="771">
        <f t="shared" si="128"/>
        <v>0</v>
      </c>
      <c r="AH250" s="771">
        <f t="shared" si="128"/>
        <v>7256.0400000000009</v>
      </c>
      <c r="AI250" s="771">
        <f t="shared" si="128"/>
        <v>0</v>
      </c>
      <c r="AJ250" s="771">
        <f t="shared" si="128"/>
        <v>31932.12</v>
      </c>
      <c r="AK250" s="771">
        <f t="shared" si="128"/>
        <v>0</v>
      </c>
      <c r="AL250" s="771">
        <f t="shared" si="128"/>
        <v>0</v>
      </c>
      <c r="AM250" s="771">
        <f t="shared" si="128"/>
        <v>0</v>
      </c>
      <c r="AN250" s="771">
        <f t="shared" si="128"/>
        <v>0</v>
      </c>
      <c r="AO250" s="771">
        <f t="shared" si="128"/>
        <v>0</v>
      </c>
      <c r="AP250" s="771">
        <f t="shared" si="128"/>
        <v>0</v>
      </c>
      <c r="AQ250" s="771">
        <f t="shared" si="128"/>
        <v>0</v>
      </c>
      <c r="AR250" s="771">
        <f t="shared" si="128"/>
        <v>0</v>
      </c>
      <c r="AS250" s="771">
        <f t="shared" si="128"/>
        <v>0</v>
      </c>
      <c r="AT250" s="771">
        <f t="shared" si="128"/>
        <v>0</v>
      </c>
      <c r="AU250" s="771">
        <f t="shared" si="128"/>
        <v>0</v>
      </c>
      <c r="AV250" s="771">
        <f t="shared" si="128"/>
        <v>0</v>
      </c>
      <c r="AW250" s="771">
        <f t="shared" si="128"/>
        <v>0</v>
      </c>
      <c r="AX250" s="771">
        <f t="shared" si="128"/>
        <v>0</v>
      </c>
      <c r="AY250" s="771">
        <f t="shared" si="128"/>
        <v>0</v>
      </c>
      <c r="AZ250" s="771">
        <f t="shared" si="128"/>
        <v>0</v>
      </c>
      <c r="BA250" s="771">
        <f t="shared" si="128"/>
        <v>0</v>
      </c>
      <c r="BB250" s="771">
        <f t="shared" si="128"/>
        <v>0</v>
      </c>
      <c r="BC250" s="771">
        <f t="shared" si="128"/>
        <v>0</v>
      </c>
      <c r="BD250" s="771">
        <f t="shared" si="128"/>
        <v>0</v>
      </c>
      <c r="BE250" s="771">
        <f t="shared" si="128"/>
        <v>0</v>
      </c>
      <c r="BF250" s="771">
        <f t="shared" si="128"/>
        <v>0</v>
      </c>
      <c r="BG250" s="764">
        <f t="shared" si="128"/>
        <v>0</v>
      </c>
      <c r="BH250" s="776"/>
      <c r="BI250" s="654"/>
      <c r="BJ250" s="659">
        <f>IFERROR(BK250/J250,0)</f>
        <v>3.229727794149909</v>
      </c>
      <c r="BK250" s="660">
        <f>SUBTOTAL(9,BK251:BK261)</f>
        <v>796970.21426666679</v>
      </c>
      <c r="BL250" s="654"/>
      <c r="BM250" s="661">
        <f t="shared" ref="BM250:DH250" si="129">SUBTOTAL(9,BM251:BM261)</f>
        <v>0</v>
      </c>
      <c r="BN250" s="662">
        <f t="shared" si="129"/>
        <v>59400</v>
      </c>
      <c r="BO250" s="662">
        <f t="shared" si="129"/>
        <v>112352.4</v>
      </c>
      <c r="BP250" s="662">
        <f t="shared" si="129"/>
        <v>389419.99946666678</v>
      </c>
      <c r="BQ250" s="662">
        <f t="shared" si="129"/>
        <v>212234.68799999999</v>
      </c>
      <c r="BR250" s="662">
        <f t="shared" si="129"/>
        <v>23563.126799999998</v>
      </c>
      <c r="BS250" s="662">
        <f t="shared" si="129"/>
        <v>0</v>
      </c>
      <c r="BT250" s="662">
        <f t="shared" si="129"/>
        <v>0</v>
      </c>
      <c r="BU250" s="662">
        <f t="shared" si="129"/>
        <v>0</v>
      </c>
      <c r="BV250" s="662">
        <f t="shared" si="129"/>
        <v>0</v>
      </c>
      <c r="BW250" s="662">
        <f t="shared" si="129"/>
        <v>0</v>
      </c>
      <c r="BX250" s="662">
        <f t="shared" si="129"/>
        <v>0</v>
      </c>
      <c r="BY250" s="662">
        <f t="shared" si="129"/>
        <v>0</v>
      </c>
      <c r="BZ250" s="662">
        <f t="shared" si="129"/>
        <v>0</v>
      </c>
      <c r="CA250" s="662">
        <f t="shared" si="129"/>
        <v>0</v>
      </c>
      <c r="CB250" s="662">
        <f t="shared" si="129"/>
        <v>0</v>
      </c>
      <c r="CC250" s="662">
        <f t="shared" si="129"/>
        <v>0</v>
      </c>
      <c r="CD250" s="662">
        <f t="shared" si="129"/>
        <v>0</v>
      </c>
      <c r="CE250" s="662">
        <f t="shared" si="129"/>
        <v>0</v>
      </c>
      <c r="CF250" s="662">
        <f t="shared" si="129"/>
        <v>0</v>
      </c>
      <c r="CG250" s="662">
        <f t="shared" si="129"/>
        <v>0</v>
      </c>
      <c r="CH250" s="662">
        <f t="shared" si="129"/>
        <v>0</v>
      </c>
      <c r="CI250" s="662">
        <f t="shared" si="129"/>
        <v>0</v>
      </c>
      <c r="CJ250" s="662">
        <f t="shared" si="129"/>
        <v>0</v>
      </c>
      <c r="CK250" s="662">
        <f t="shared" si="129"/>
        <v>0</v>
      </c>
      <c r="CL250" s="662">
        <f t="shared" si="129"/>
        <v>0</v>
      </c>
      <c r="CM250" s="662">
        <f t="shared" si="129"/>
        <v>0</v>
      </c>
      <c r="CN250" s="662">
        <f t="shared" si="129"/>
        <v>0</v>
      </c>
      <c r="CO250" s="662">
        <f t="shared" si="129"/>
        <v>0</v>
      </c>
      <c r="CP250" s="662">
        <f t="shared" si="129"/>
        <v>0</v>
      </c>
      <c r="CQ250" s="662">
        <f t="shared" si="129"/>
        <v>0</v>
      </c>
      <c r="CR250" s="662">
        <f t="shared" si="129"/>
        <v>0</v>
      </c>
      <c r="CS250" s="662">
        <f t="shared" si="129"/>
        <v>0</v>
      </c>
      <c r="CT250" s="662">
        <f t="shared" si="129"/>
        <v>0</v>
      </c>
      <c r="CU250" s="662">
        <f t="shared" si="129"/>
        <v>0</v>
      </c>
      <c r="CV250" s="662">
        <f t="shared" si="129"/>
        <v>0</v>
      </c>
      <c r="CW250" s="662">
        <f t="shared" si="129"/>
        <v>0</v>
      </c>
      <c r="CX250" s="662">
        <f t="shared" si="129"/>
        <v>0</v>
      </c>
      <c r="CY250" s="662">
        <f t="shared" si="129"/>
        <v>0</v>
      </c>
      <c r="CZ250" s="662">
        <f t="shared" si="129"/>
        <v>0</v>
      </c>
      <c r="DA250" s="662">
        <f t="shared" si="129"/>
        <v>0</v>
      </c>
      <c r="DB250" s="662">
        <f t="shared" si="129"/>
        <v>0</v>
      </c>
      <c r="DC250" s="662">
        <f t="shared" si="129"/>
        <v>0</v>
      </c>
      <c r="DD250" s="662">
        <f t="shared" si="129"/>
        <v>0</v>
      </c>
      <c r="DE250" s="662">
        <f t="shared" si="129"/>
        <v>0</v>
      </c>
      <c r="DF250" s="662">
        <f t="shared" si="129"/>
        <v>0</v>
      </c>
      <c r="DG250" s="662">
        <f t="shared" si="129"/>
        <v>0</v>
      </c>
      <c r="DH250" s="663">
        <f t="shared" si="129"/>
        <v>0</v>
      </c>
    </row>
    <row r="251" spans="1:112" s="649" customFormat="1" outlineLevel="1" x14ac:dyDescent="0.3">
      <c r="A251" s="652" t="str">
        <f>IF(J250&gt;0,"Imprimir","")</f>
        <v>Imprimir</v>
      </c>
      <c r="B251" s="652"/>
      <c r="C251" s="664"/>
      <c r="D251" s="665"/>
      <c r="E251" s="665"/>
      <c r="F251" s="665" t="s">
        <v>472</v>
      </c>
      <c r="G251" s="665" t="s">
        <v>2128</v>
      </c>
      <c r="H251" s="665" t="s">
        <v>98</v>
      </c>
      <c r="I251" s="665" t="s">
        <v>474</v>
      </c>
      <c r="J251" s="104" t="s">
        <v>29</v>
      </c>
      <c r="K251" s="667"/>
      <c r="L251" s="745"/>
      <c r="M251" s="741"/>
      <c r="N251" s="741"/>
      <c r="O251" s="741"/>
      <c r="P251" s="741"/>
      <c r="Q251" s="741"/>
      <c r="R251" s="741"/>
      <c r="S251" s="741"/>
      <c r="T251" s="741"/>
      <c r="U251" s="741"/>
      <c r="V251" s="741"/>
      <c r="W251" s="741"/>
      <c r="X251" s="741"/>
      <c r="Y251" s="741"/>
      <c r="Z251" s="741"/>
      <c r="AA251" s="741"/>
      <c r="AB251" s="741"/>
      <c r="AC251" s="741"/>
      <c r="AD251" s="741"/>
      <c r="AE251" s="741"/>
      <c r="AF251" s="741"/>
      <c r="AG251" s="741"/>
      <c r="AH251" s="741"/>
      <c r="AI251" s="741"/>
      <c r="AJ251" s="741"/>
      <c r="AK251" s="741"/>
      <c r="AL251" s="741"/>
      <c r="AM251" s="741"/>
      <c r="AN251" s="741"/>
      <c r="AO251" s="741"/>
      <c r="AP251" s="741"/>
      <c r="AQ251" s="741"/>
      <c r="AR251" s="741"/>
      <c r="AS251" s="741"/>
      <c r="AT251" s="741"/>
      <c r="AU251" s="741"/>
      <c r="AV251" s="741"/>
      <c r="AW251" s="741"/>
      <c r="AX251" s="741"/>
      <c r="AY251" s="741"/>
      <c r="AZ251" s="741"/>
      <c r="BA251" s="741"/>
      <c r="BB251" s="741"/>
      <c r="BC251" s="741"/>
      <c r="BD251" s="741"/>
      <c r="BE251" s="741"/>
      <c r="BF251" s="741"/>
      <c r="BG251" s="741"/>
      <c r="BH251" s="668"/>
      <c r="BI251" s="654"/>
      <c r="BJ251" s="669"/>
      <c r="BK251" s="670"/>
      <c r="BL251" s="654"/>
      <c r="BM251" s="671"/>
      <c r="BN251" s="665"/>
      <c r="BO251" s="665"/>
      <c r="BP251" s="665"/>
      <c r="BQ251" s="665"/>
      <c r="BR251" s="665"/>
      <c r="BS251" s="665"/>
      <c r="BT251" s="665"/>
      <c r="BU251" s="665"/>
      <c r="BV251" s="665"/>
      <c r="BW251" s="665"/>
      <c r="BX251" s="665"/>
      <c r="BY251" s="665"/>
      <c r="BZ251" s="665"/>
      <c r="CA251" s="665"/>
      <c r="CB251" s="665"/>
      <c r="CC251" s="665"/>
      <c r="CD251" s="665"/>
      <c r="CE251" s="665"/>
      <c r="CF251" s="665"/>
      <c r="CG251" s="665"/>
      <c r="CH251" s="665"/>
      <c r="CI251" s="665"/>
      <c r="CJ251" s="665"/>
      <c r="CK251" s="665"/>
      <c r="CL251" s="665"/>
      <c r="CM251" s="665"/>
      <c r="CN251" s="665"/>
      <c r="CO251" s="665"/>
      <c r="CP251" s="665"/>
      <c r="CQ251" s="665"/>
      <c r="CR251" s="665"/>
      <c r="CS251" s="665"/>
      <c r="CT251" s="665"/>
      <c r="CU251" s="665"/>
      <c r="CV251" s="665"/>
      <c r="CW251" s="665"/>
      <c r="CX251" s="665"/>
      <c r="CY251" s="665"/>
      <c r="CZ251" s="665"/>
      <c r="DA251" s="665"/>
      <c r="DB251" s="665"/>
      <c r="DC251" s="665"/>
      <c r="DD251" s="665"/>
      <c r="DE251" s="665"/>
      <c r="DF251" s="665"/>
      <c r="DG251" s="665"/>
      <c r="DH251" s="666"/>
    </row>
    <row r="252" spans="1:112" s="649" customFormat="1" ht="15.6" outlineLevel="1" x14ac:dyDescent="0.3">
      <c r="A252" s="652" t="str">
        <f>IF(J252&gt;0,"Imprimir","")</f>
        <v>Imprimir</v>
      </c>
      <c r="B252" s="652"/>
      <c r="C252" s="672"/>
      <c r="D252" s="673"/>
      <c r="E252" s="674"/>
      <c r="F252" s="675"/>
      <c r="G252" s="675"/>
      <c r="H252" s="676"/>
      <c r="I252" s="677"/>
      <c r="J252" s="219">
        <f>SUBTOTAL(9,J253:J261)</f>
        <v>246760.8</v>
      </c>
      <c r="K252" s="678"/>
      <c r="L252" s="747"/>
      <c r="M252" s="742"/>
      <c r="N252" s="742"/>
      <c r="O252" s="742"/>
      <c r="P252" s="742"/>
      <c r="Q252" s="742"/>
      <c r="R252" s="742"/>
      <c r="S252" s="742"/>
      <c r="T252" s="742"/>
      <c r="U252" s="742"/>
      <c r="V252" s="742"/>
      <c r="W252" s="742"/>
      <c r="X252" s="742"/>
      <c r="Y252" s="742"/>
      <c r="Z252" s="742"/>
      <c r="AA252" s="742"/>
      <c r="AB252" s="742"/>
      <c r="AC252" s="742"/>
      <c r="AD252" s="742"/>
      <c r="AE252" s="742"/>
      <c r="AF252" s="742"/>
      <c r="AG252" s="742"/>
      <c r="AH252" s="742"/>
      <c r="AI252" s="742"/>
      <c r="AJ252" s="742"/>
      <c r="AK252" s="742"/>
      <c r="AL252" s="742"/>
      <c r="AM252" s="742"/>
      <c r="AN252" s="742"/>
      <c r="AO252" s="742"/>
      <c r="AP252" s="742"/>
      <c r="AQ252" s="742"/>
      <c r="AR252" s="742"/>
      <c r="AS252" s="742"/>
      <c r="AT252" s="742"/>
      <c r="AU252" s="742"/>
      <c r="AV252" s="742"/>
      <c r="AW252" s="742"/>
      <c r="AX252" s="742"/>
      <c r="AY252" s="742"/>
      <c r="AZ252" s="742"/>
      <c r="BA252" s="742"/>
      <c r="BB252" s="742"/>
      <c r="BC252" s="742"/>
      <c r="BD252" s="742"/>
      <c r="BE252" s="742"/>
      <c r="BF252" s="742"/>
      <c r="BG252" s="742"/>
      <c r="BH252" s="679"/>
      <c r="BI252" s="654"/>
      <c r="BJ252" s="680"/>
      <c r="BK252" s="681"/>
      <c r="BL252" s="654"/>
      <c r="BM252" s="682"/>
      <c r="BN252" s="683"/>
      <c r="BO252" s="683"/>
      <c r="BP252" s="683"/>
      <c r="BQ252" s="683"/>
      <c r="BR252" s="683"/>
      <c r="BS252" s="683"/>
      <c r="BT252" s="683"/>
      <c r="BU252" s="683"/>
      <c r="BV252" s="683"/>
      <c r="BW252" s="683"/>
      <c r="BX252" s="683"/>
      <c r="BY252" s="683"/>
      <c r="BZ252" s="683"/>
      <c r="CA252" s="683"/>
      <c r="CB252" s="683"/>
      <c r="CC252" s="683"/>
      <c r="CD252" s="683"/>
      <c r="CE252" s="683"/>
      <c r="CF252" s="683"/>
      <c r="CG252" s="683"/>
      <c r="CH252" s="683"/>
      <c r="CI252" s="683"/>
      <c r="CJ252" s="683"/>
      <c r="CK252" s="683"/>
      <c r="CL252" s="683"/>
      <c r="CM252" s="683"/>
      <c r="CN252" s="683"/>
      <c r="CO252" s="683"/>
      <c r="CP252" s="683"/>
      <c r="CQ252" s="683"/>
      <c r="CR252" s="683"/>
      <c r="CS252" s="683"/>
      <c r="CT252" s="683"/>
      <c r="CU252" s="683"/>
      <c r="CV252" s="683"/>
      <c r="CW252" s="683"/>
      <c r="CX252" s="683"/>
      <c r="CY252" s="683"/>
      <c r="CZ252" s="683"/>
      <c r="DA252" s="683"/>
      <c r="DB252" s="683"/>
      <c r="DC252" s="683"/>
      <c r="DD252" s="683"/>
      <c r="DE252" s="683"/>
      <c r="DF252" s="683"/>
      <c r="DG252" s="683"/>
      <c r="DH252" s="684"/>
    </row>
    <row r="253" spans="1:112" s="649" customFormat="1" outlineLevel="1" x14ac:dyDescent="0.3">
      <c r="A253" s="652" t="str">
        <f t="shared" ref="A253:A260" si="130">IF(J253="","",IF(J253=0,"","Imprimir"))</f>
        <v>Imprimir</v>
      </c>
      <c r="B253" s="652"/>
      <c r="C253" s="685"/>
      <c r="D253" s="686" t="s">
        <v>2331</v>
      </c>
      <c r="E253" s="686" t="s">
        <v>2010</v>
      </c>
      <c r="F253" s="687"/>
      <c r="G253" s="688">
        <v>262</v>
      </c>
      <c r="H253" s="689">
        <f>Producción!G34*1</f>
        <v>33</v>
      </c>
      <c r="I253" s="851">
        <f t="shared" ref="I253:I260" si="131">IF(E253&gt;0,$J$5,"")</f>
        <v>1</v>
      </c>
      <c r="J253" s="850">
        <f>IFERROR(G253*H253*I253,"")</f>
        <v>8646</v>
      </c>
      <c r="K253" s="667"/>
      <c r="L253" s="862">
        <v>0.3</v>
      </c>
      <c r="M253" s="859"/>
      <c r="N253" s="859">
        <v>0.05</v>
      </c>
      <c r="O253" s="859"/>
      <c r="P253" s="859">
        <v>0.05</v>
      </c>
      <c r="Q253" s="859"/>
      <c r="R253" s="859">
        <v>0.05</v>
      </c>
      <c r="S253" s="859"/>
      <c r="T253" s="859">
        <v>0.05</v>
      </c>
      <c r="U253" s="859"/>
      <c r="V253" s="859">
        <v>0.05</v>
      </c>
      <c r="W253" s="859"/>
      <c r="X253" s="859">
        <v>0.05</v>
      </c>
      <c r="Y253" s="859"/>
      <c r="Z253" s="860">
        <v>0.05</v>
      </c>
      <c r="AA253" s="860"/>
      <c r="AB253" s="860">
        <v>0.05</v>
      </c>
      <c r="AC253" s="860"/>
      <c r="AD253" s="860">
        <v>0.05</v>
      </c>
      <c r="AE253" s="860"/>
      <c r="AF253" s="860">
        <v>0.05</v>
      </c>
      <c r="AG253" s="860"/>
      <c r="AH253" s="860">
        <v>0.05</v>
      </c>
      <c r="AI253" s="860"/>
      <c r="AJ253" s="860">
        <v>0.15</v>
      </c>
      <c r="AK253" s="860"/>
      <c r="AL253" s="860"/>
      <c r="AM253" s="860"/>
      <c r="AN253" s="860"/>
      <c r="AO253" s="860"/>
      <c r="AP253" s="860"/>
      <c r="AQ253" s="860"/>
      <c r="AR253" s="860"/>
      <c r="AS253" s="860"/>
      <c r="AT253" s="860"/>
      <c r="AU253" s="860"/>
      <c r="AV253" s="860"/>
      <c r="AW253" s="860"/>
      <c r="AX253" s="860"/>
      <c r="AY253" s="860"/>
      <c r="AZ253" s="860"/>
      <c r="BA253" s="860"/>
      <c r="BB253" s="860"/>
      <c r="BC253" s="860"/>
      <c r="BD253" s="860"/>
      <c r="BE253" s="860"/>
      <c r="BF253" s="860"/>
      <c r="BG253" s="860"/>
      <c r="BH253" s="668"/>
      <c r="BI253" s="654"/>
      <c r="BJ253" s="690">
        <f t="shared" ref="BJ253:BJ260" si="132">IFERROR(BK253/J253,0)</f>
        <v>5.4708495489243578</v>
      </c>
      <c r="BK253" s="691">
        <f t="shared" ref="BK253:BK260" si="133">SUM(BM253:DH253)</f>
        <v>47300.965199999999</v>
      </c>
      <c r="BL253" s="654"/>
      <c r="BM253" s="692">
        <f>SUMIFS(Imput[Importe Neto],Imput[C. Imp.],$D253,Imput[PERIODO Imp.],BM$9)</f>
        <v>0</v>
      </c>
      <c r="BN253" s="693">
        <f>SUMIFS(Imput[Importe Neto],Imput[C. Imp.],$D253,Imput[PERIODO Imp.],BN$9)</f>
        <v>0</v>
      </c>
      <c r="BO253" s="693">
        <f>SUMIFS(Imput[Importe Neto],Imput[C. Imp.],$D253,Imput[PERIODO Imp.],BO$9)</f>
        <v>0</v>
      </c>
      <c r="BP253" s="693">
        <f>SUMIFS(Imput[Importe Neto],Imput[C. Imp.],$D253,Imput[PERIODO Imp.],BP$9)</f>
        <v>0</v>
      </c>
      <c r="BQ253" s="693">
        <f>SUMIFS(Imput[Importe Neto],Imput[C. Imp.],$D253,Imput[PERIODO Imp.],BQ$9)</f>
        <v>47300.965199999999</v>
      </c>
      <c r="BR253" s="693">
        <f>SUMIFS(Imput[Importe Neto],Imput[C. Imp.],$D253,Imput[PERIODO Imp.],BR$9)</f>
        <v>0</v>
      </c>
      <c r="BS253" s="693">
        <f>SUMIFS(Imput[Importe Neto],Imput[C. Imp.],$D253,Imput[PERIODO Imp.],BS$9)</f>
        <v>0</v>
      </c>
      <c r="BT253" s="693">
        <f>SUMIFS(Imput[Importe Neto],Imput[C. Imp.],$D253,Imput[PERIODO Imp.],BT$9)</f>
        <v>0</v>
      </c>
      <c r="BU253" s="693">
        <f>SUMIFS(Imput[Importe Neto],Imput[C. Imp.],$D253,Imput[PERIODO Imp.],BU$9)</f>
        <v>0</v>
      </c>
      <c r="BV253" s="693">
        <f>SUMIFS(Imput[Importe Neto],Imput[C. Imp.],$D253,Imput[PERIODO Imp.],BV$9)</f>
        <v>0</v>
      </c>
      <c r="BW253" s="693">
        <f>SUMIFS(Imput[Importe Neto],Imput[C. Imp.],$D253,Imput[PERIODO Imp.],BW$9)</f>
        <v>0</v>
      </c>
      <c r="BX253" s="693">
        <f>SUMIFS(Imput[Importe Neto],Imput[C. Imp.],$D253,Imput[PERIODO Imp.],BX$9)</f>
        <v>0</v>
      </c>
      <c r="BY253" s="693">
        <f>SUMIFS(Imput[Importe Neto],Imput[C. Imp.],$D253,Imput[PERIODO Imp.],BY$9)</f>
        <v>0</v>
      </c>
      <c r="BZ253" s="693">
        <f>SUMIFS(Imput[Importe Neto],Imput[C. Imp.],$D253,Imput[PERIODO Imp.],BZ$9)</f>
        <v>0</v>
      </c>
      <c r="CA253" s="693">
        <f>SUMIFS(Imput[Importe Neto],Imput[C. Imp.],$D253,Imput[PERIODO Imp.],CA$9)</f>
        <v>0</v>
      </c>
      <c r="CB253" s="693">
        <f>SUMIFS(Imput[Importe Neto],Imput[C. Imp.],$D253,Imput[PERIODO Imp.],CB$9)</f>
        <v>0</v>
      </c>
      <c r="CC253" s="693">
        <f>SUMIFS(Imput[Importe Neto],Imput[C. Imp.],$D253,Imput[PERIODO Imp.],CC$9)</f>
        <v>0</v>
      </c>
      <c r="CD253" s="693">
        <f>SUMIFS(Imput[Importe Neto],Imput[C. Imp.],$D253,Imput[PERIODO Imp.],CD$9)</f>
        <v>0</v>
      </c>
      <c r="CE253" s="693">
        <f>SUMIFS(Imput[Importe Neto],Imput[C. Imp.],$D253,Imput[PERIODO Imp.],CE$9)</f>
        <v>0</v>
      </c>
      <c r="CF253" s="693">
        <f>SUMIFS(Imput[Importe Neto],Imput[C. Imp.],$D253,Imput[PERIODO Imp.],CF$9)</f>
        <v>0</v>
      </c>
      <c r="CG253" s="693">
        <f>SUMIFS(Imput[Importe Neto],Imput[C. Imp.],$D253,Imput[PERIODO Imp.],CG$9)</f>
        <v>0</v>
      </c>
      <c r="CH253" s="693">
        <f>SUMIFS(Imput[Importe Neto],Imput[C. Imp.],$D253,Imput[PERIODO Imp.],CH$9)</f>
        <v>0</v>
      </c>
      <c r="CI253" s="693">
        <f>SUMIFS(Imput[Importe Neto],Imput[C. Imp.],$D253,Imput[PERIODO Imp.],CI$9)</f>
        <v>0</v>
      </c>
      <c r="CJ253" s="693">
        <f>SUMIFS(Imput[Importe Neto],Imput[C. Imp.],$D253,Imput[PERIODO Imp.],CJ$9)</f>
        <v>0</v>
      </c>
      <c r="CK253" s="693">
        <f>SUMIFS(Imput[Importe Neto],Imput[C. Imp.],$D253,Imput[PERIODO Imp.],CK$9)</f>
        <v>0</v>
      </c>
      <c r="CL253" s="693">
        <f>SUMIFS(Imput[Importe Neto],Imput[C. Imp.],$D253,Imput[PERIODO Imp.],CL$9)</f>
        <v>0</v>
      </c>
      <c r="CM253" s="693">
        <f>SUMIFS(Imput[Importe Neto],Imput[C. Imp.],$D253,Imput[PERIODO Imp.],CM$9)</f>
        <v>0</v>
      </c>
      <c r="CN253" s="693">
        <f>SUMIFS(Imput[Importe Neto],Imput[C. Imp.],$D253,Imput[PERIODO Imp.],CN$9)</f>
        <v>0</v>
      </c>
      <c r="CO253" s="693">
        <f>SUMIFS(Imput[Importe Neto],Imput[C. Imp.],$D253,Imput[PERIODO Imp.],CO$9)</f>
        <v>0</v>
      </c>
      <c r="CP253" s="693">
        <f>SUMIFS(Imput[Importe Neto],Imput[C. Imp.],$D253,Imput[PERIODO Imp.],CP$9)</f>
        <v>0</v>
      </c>
      <c r="CQ253" s="693">
        <f>SUMIFS(Imput[Importe Neto],Imput[C. Imp.],$D253,Imput[PERIODO Imp.],CQ$9)</f>
        <v>0</v>
      </c>
      <c r="CR253" s="693">
        <f>SUMIFS(Imput[Importe Neto],Imput[C. Imp.],$D253,Imput[PERIODO Imp.],CR$9)</f>
        <v>0</v>
      </c>
      <c r="CS253" s="693">
        <f>SUMIFS(Imput[Importe Neto],Imput[C. Imp.],$D253,Imput[PERIODO Imp.],CS$9)</f>
        <v>0</v>
      </c>
      <c r="CT253" s="693">
        <f>SUMIFS(Imput[Importe Neto],Imput[C. Imp.],$D253,Imput[PERIODO Imp.],CT$9)</f>
        <v>0</v>
      </c>
      <c r="CU253" s="693">
        <f>SUMIFS(Imput[Importe Neto],Imput[C. Imp.],$D253,Imput[PERIODO Imp.],CU$9)</f>
        <v>0</v>
      </c>
      <c r="CV253" s="693">
        <f>SUMIFS(Imput[Importe Neto],Imput[C. Imp.],$D253,Imput[PERIODO Imp.],CV$9)</f>
        <v>0</v>
      </c>
      <c r="CW253" s="693">
        <f>SUMIFS(Imput[Importe Neto],Imput[C. Imp.],$D253,Imput[PERIODO Imp.],CW$9)</f>
        <v>0</v>
      </c>
      <c r="CX253" s="693">
        <f>SUMIFS(Imput[Importe Neto],Imput[C. Imp.],$D253,Imput[PERIODO Imp.],CX$9)</f>
        <v>0</v>
      </c>
      <c r="CY253" s="693">
        <f>SUMIFS(Imput[Importe Neto],Imput[C. Imp.],$D253,Imput[PERIODO Imp.],CY$9)</f>
        <v>0</v>
      </c>
      <c r="CZ253" s="693">
        <f>SUMIFS(Imput[Importe Neto],Imput[C. Imp.],$D253,Imput[PERIODO Imp.],CZ$9)</f>
        <v>0</v>
      </c>
      <c r="DA253" s="693">
        <f>SUMIFS(Imput[Importe Neto],Imput[C. Imp.],$D253,Imput[PERIODO Imp.],DA$9)</f>
        <v>0</v>
      </c>
      <c r="DB253" s="693">
        <f>SUMIFS(Imput[Importe Neto],Imput[C. Imp.],$D253,Imput[PERIODO Imp.],DB$9)</f>
        <v>0</v>
      </c>
      <c r="DC253" s="693">
        <f>SUMIFS(Imput[Importe Neto],Imput[C. Imp.],$D253,Imput[PERIODO Imp.],DC$9)</f>
        <v>0</v>
      </c>
      <c r="DD253" s="693">
        <f>SUMIFS(Imput[Importe Neto],Imput[C. Imp.],$D253,Imput[PERIODO Imp.],DD$9)</f>
        <v>0</v>
      </c>
      <c r="DE253" s="693">
        <f>SUMIFS(Imput[Importe Neto],Imput[C. Imp.],$D253,Imput[PERIODO Imp.],DE$9)</f>
        <v>0</v>
      </c>
      <c r="DF253" s="693">
        <f>SUMIFS(Imput[Importe Neto],Imput[C. Imp.],$D253,Imput[PERIODO Imp.],DF$9)</f>
        <v>0</v>
      </c>
      <c r="DG253" s="693">
        <f>SUMIFS(Imput[Importe Neto],Imput[C. Imp.],$D253,Imput[PERIODO Imp.],DG$9)</f>
        <v>0</v>
      </c>
      <c r="DH253" s="694">
        <f>SUMIFS(Imput[Importe Neto],Imput[C. Imp.],$D253,Imput[PERIODO Imp.],DH$9)</f>
        <v>0</v>
      </c>
    </row>
    <row r="254" spans="1:112" s="649" customFormat="1" outlineLevel="1" x14ac:dyDescent="0.3">
      <c r="A254" s="652" t="str">
        <f t="shared" si="130"/>
        <v>Imprimir</v>
      </c>
      <c r="B254" s="652"/>
      <c r="C254" s="685"/>
      <c r="D254" s="686" t="s">
        <v>2332</v>
      </c>
      <c r="E254" s="686" t="s">
        <v>2011</v>
      </c>
      <c r="F254" s="687"/>
      <c r="G254" s="688">
        <v>170</v>
      </c>
      <c r="H254" s="689">
        <f>Producción!G34*1</f>
        <v>33</v>
      </c>
      <c r="I254" s="851">
        <f t="shared" si="131"/>
        <v>1</v>
      </c>
      <c r="J254" s="850">
        <f t="shared" ref="J254:J260" si="134">IFERROR(G254*H254*I254,"")</f>
        <v>5610</v>
      </c>
      <c r="K254" s="667"/>
      <c r="L254" s="858">
        <v>0.3</v>
      </c>
      <c r="M254" s="859"/>
      <c r="N254" s="859">
        <v>0.05</v>
      </c>
      <c r="O254" s="859"/>
      <c r="P254" s="859">
        <v>0.05</v>
      </c>
      <c r="Q254" s="859"/>
      <c r="R254" s="859">
        <v>0.05</v>
      </c>
      <c r="S254" s="859"/>
      <c r="T254" s="859">
        <v>0.05</v>
      </c>
      <c r="U254" s="859"/>
      <c r="V254" s="859">
        <v>0.05</v>
      </c>
      <c r="W254" s="859"/>
      <c r="X254" s="859">
        <v>0.05</v>
      </c>
      <c r="Y254" s="859"/>
      <c r="Z254" s="860">
        <v>0.05</v>
      </c>
      <c r="AA254" s="860"/>
      <c r="AB254" s="860">
        <v>0.05</v>
      </c>
      <c r="AC254" s="860"/>
      <c r="AD254" s="860">
        <v>0.05</v>
      </c>
      <c r="AE254" s="860"/>
      <c r="AF254" s="860">
        <v>0.05</v>
      </c>
      <c r="AG254" s="860"/>
      <c r="AH254" s="860">
        <v>0.05</v>
      </c>
      <c r="AI254" s="860"/>
      <c r="AJ254" s="860">
        <v>0.15</v>
      </c>
      <c r="AK254" s="860"/>
      <c r="AL254" s="860"/>
      <c r="AM254" s="860"/>
      <c r="AN254" s="860"/>
      <c r="AO254" s="860"/>
      <c r="AP254" s="860"/>
      <c r="AQ254" s="860"/>
      <c r="AR254" s="860"/>
      <c r="AS254" s="860"/>
      <c r="AT254" s="860"/>
      <c r="AU254" s="860"/>
      <c r="AV254" s="860"/>
      <c r="AW254" s="860"/>
      <c r="AX254" s="860"/>
      <c r="AY254" s="860"/>
      <c r="AZ254" s="860"/>
      <c r="BA254" s="860"/>
      <c r="BB254" s="860"/>
      <c r="BC254" s="860"/>
      <c r="BD254" s="860"/>
      <c r="BE254" s="860"/>
      <c r="BF254" s="860"/>
      <c r="BG254" s="860"/>
      <c r="BH254" s="668"/>
      <c r="BI254" s="654"/>
      <c r="BJ254" s="690">
        <f t="shared" si="132"/>
        <v>0</v>
      </c>
      <c r="BK254" s="691">
        <f t="shared" si="133"/>
        <v>0</v>
      </c>
      <c r="BL254" s="654"/>
      <c r="BM254" s="692">
        <f>SUMIFS(Imput[Importe Neto],Imput[C. Imp.],$D254,Imput[PERIODO Imp.],BM$9)</f>
        <v>0</v>
      </c>
      <c r="BN254" s="693">
        <f>SUMIFS(Imput[Importe Neto],Imput[C. Imp.],$D254,Imput[PERIODO Imp.],BN$9)</f>
        <v>0</v>
      </c>
      <c r="BO254" s="693">
        <f>SUMIFS(Imput[Importe Neto],Imput[C. Imp.],$D254,Imput[PERIODO Imp.],BO$9)</f>
        <v>0</v>
      </c>
      <c r="BP254" s="693">
        <f>SUMIFS(Imput[Importe Neto],Imput[C. Imp.],$D254,Imput[PERIODO Imp.],BP$9)</f>
        <v>0</v>
      </c>
      <c r="BQ254" s="693">
        <f>SUMIFS(Imput[Importe Neto],Imput[C. Imp.],$D254,Imput[PERIODO Imp.],BQ$9)</f>
        <v>0</v>
      </c>
      <c r="BR254" s="693">
        <f>SUMIFS(Imput[Importe Neto],Imput[C. Imp.],$D254,Imput[PERIODO Imp.],BR$9)</f>
        <v>0</v>
      </c>
      <c r="BS254" s="693">
        <f>SUMIFS(Imput[Importe Neto],Imput[C. Imp.],$D254,Imput[PERIODO Imp.],BS$9)</f>
        <v>0</v>
      </c>
      <c r="BT254" s="693">
        <f>SUMIFS(Imput[Importe Neto],Imput[C. Imp.],$D254,Imput[PERIODO Imp.],BT$9)</f>
        <v>0</v>
      </c>
      <c r="BU254" s="693">
        <f>SUMIFS(Imput[Importe Neto],Imput[C. Imp.],$D254,Imput[PERIODO Imp.],BU$9)</f>
        <v>0</v>
      </c>
      <c r="BV254" s="693">
        <f>SUMIFS(Imput[Importe Neto],Imput[C. Imp.],$D254,Imput[PERIODO Imp.],BV$9)</f>
        <v>0</v>
      </c>
      <c r="BW254" s="693">
        <f>SUMIFS(Imput[Importe Neto],Imput[C. Imp.],$D254,Imput[PERIODO Imp.],BW$9)</f>
        <v>0</v>
      </c>
      <c r="BX254" s="693">
        <f>SUMIFS(Imput[Importe Neto],Imput[C. Imp.],$D254,Imput[PERIODO Imp.],BX$9)</f>
        <v>0</v>
      </c>
      <c r="BY254" s="693">
        <f>SUMIFS(Imput[Importe Neto],Imput[C. Imp.],$D254,Imput[PERIODO Imp.],BY$9)</f>
        <v>0</v>
      </c>
      <c r="BZ254" s="693">
        <f>SUMIFS(Imput[Importe Neto],Imput[C. Imp.],$D254,Imput[PERIODO Imp.],BZ$9)</f>
        <v>0</v>
      </c>
      <c r="CA254" s="693">
        <f>SUMIFS(Imput[Importe Neto],Imput[C. Imp.],$D254,Imput[PERIODO Imp.],CA$9)</f>
        <v>0</v>
      </c>
      <c r="CB254" s="693">
        <f>SUMIFS(Imput[Importe Neto],Imput[C. Imp.],$D254,Imput[PERIODO Imp.],CB$9)</f>
        <v>0</v>
      </c>
      <c r="CC254" s="693">
        <f>SUMIFS(Imput[Importe Neto],Imput[C. Imp.],$D254,Imput[PERIODO Imp.],CC$9)</f>
        <v>0</v>
      </c>
      <c r="CD254" s="693">
        <f>SUMIFS(Imput[Importe Neto],Imput[C. Imp.],$D254,Imput[PERIODO Imp.],CD$9)</f>
        <v>0</v>
      </c>
      <c r="CE254" s="693">
        <f>SUMIFS(Imput[Importe Neto],Imput[C. Imp.],$D254,Imput[PERIODO Imp.],CE$9)</f>
        <v>0</v>
      </c>
      <c r="CF254" s="693">
        <f>SUMIFS(Imput[Importe Neto],Imput[C. Imp.],$D254,Imput[PERIODO Imp.],CF$9)</f>
        <v>0</v>
      </c>
      <c r="CG254" s="693">
        <f>SUMIFS(Imput[Importe Neto],Imput[C. Imp.],$D254,Imput[PERIODO Imp.],CG$9)</f>
        <v>0</v>
      </c>
      <c r="CH254" s="693">
        <f>SUMIFS(Imput[Importe Neto],Imput[C. Imp.],$D254,Imput[PERIODO Imp.],CH$9)</f>
        <v>0</v>
      </c>
      <c r="CI254" s="693">
        <f>SUMIFS(Imput[Importe Neto],Imput[C. Imp.],$D254,Imput[PERIODO Imp.],CI$9)</f>
        <v>0</v>
      </c>
      <c r="CJ254" s="693">
        <f>SUMIFS(Imput[Importe Neto],Imput[C. Imp.],$D254,Imput[PERIODO Imp.],CJ$9)</f>
        <v>0</v>
      </c>
      <c r="CK254" s="693">
        <f>SUMIFS(Imput[Importe Neto],Imput[C. Imp.],$D254,Imput[PERIODO Imp.],CK$9)</f>
        <v>0</v>
      </c>
      <c r="CL254" s="693">
        <f>SUMIFS(Imput[Importe Neto],Imput[C. Imp.],$D254,Imput[PERIODO Imp.],CL$9)</f>
        <v>0</v>
      </c>
      <c r="CM254" s="693">
        <f>SUMIFS(Imput[Importe Neto],Imput[C. Imp.],$D254,Imput[PERIODO Imp.],CM$9)</f>
        <v>0</v>
      </c>
      <c r="CN254" s="693">
        <f>SUMIFS(Imput[Importe Neto],Imput[C. Imp.],$D254,Imput[PERIODO Imp.],CN$9)</f>
        <v>0</v>
      </c>
      <c r="CO254" s="693">
        <f>SUMIFS(Imput[Importe Neto],Imput[C. Imp.],$D254,Imput[PERIODO Imp.],CO$9)</f>
        <v>0</v>
      </c>
      <c r="CP254" s="693">
        <f>SUMIFS(Imput[Importe Neto],Imput[C. Imp.],$D254,Imput[PERIODO Imp.],CP$9)</f>
        <v>0</v>
      </c>
      <c r="CQ254" s="693">
        <f>SUMIFS(Imput[Importe Neto],Imput[C. Imp.],$D254,Imput[PERIODO Imp.],CQ$9)</f>
        <v>0</v>
      </c>
      <c r="CR254" s="693">
        <f>SUMIFS(Imput[Importe Neto],Imput[C. Imp.],$D254,Imput[PERIODO Imp.],CR$9)</f>
        <v>0</v>
      </c>
      <c r="CS254" s="693">
        <f>SUMIFS(Imput[Importe Neto],Imput[C. Imp.],$D254,Imput[PERIODO Imp.],CS$9)</f>
        <v>0</v>
      </c>
      <c r="CT254" s="693">
        <f>SUMIFS(Imput[Importe Neto],Imput[C. Imp.],$D254,Imput[PERIODO Imp.],CT$9)</f>
        <v>0</v>
      </c>
      <c r="CU254" s="693">
        <f>SUMIFS(Imput[Importe Neto],Imput[C. Imp.],$D254,Imput[PERIODO Imp.],CU$9)</f>
        <v>0</v>
      </c>
      <c r="CV254" s="693">
        <f>SUMIFS(Imput[Importe Neto],Imput[C. Imp.],$D254,Imput[PERIODO Imp.],CV$9)</f>
        <v>0</v>
      </c>
      <c r="CW254" s="693">
        <f>SUMIFS(Imput[Importe Neto],Imput[C. Imp.],$D254,Imput[PERIODO Imp.],CW$9)</f>
        <v>0</v>
      </c>
      <c r="CX254" s="693">
        <f>SUMIFS(Imput[Importe Neto],Imput[C. Imp.],$D254,Imput[PERIODO Imp.],CX$9)</f>
        <v>0</v>
      </c>
      <c r="CY254" s="693">
        <f>SUMIFS(Imput[Importe Neto],Imput[C. Imp.],$D254,Imput[PERIODO Imp.],CY$9)</f>
        <v>0</v>
      </c>
      <c r="CZ254" s="693">
        <f>SUMIFS(Imput[Importe Neto],Imput[C. Imp.],$D254,Imput[PERIODO Imp.],CZ$9)</f>
        <v>0</v>
      </c>
      <c r="DA254" s="693">
        <f>SUMIFS(Imput[Importe Neto],Imput[C. Imp.],$D254,Imput[PERIODO Imp.],DA$9)</f>
        <v>0</v>
      </c>
      <c r="DB254" s="693">
        <f>SUMIFS(Imput[Importe Neto],Imput[C. Imp.],$D254,Imput[PERIODO Imp.],DB$9)</f>
        <v>0</v>
      </c>
      <c r="DC254" s="693">
        <f>SUMIFS(Imput[Importe Neto],Imput[C. Imp.],$D254,Imput[PERIODO Imp.],DC$9)</f>
        <v>0</v>
      </c>
      <c r="DD254" s="693">
        <f>SUMIFS(Imput[Importe Neto],Imput[C. Imp.],$D254,Imput[PERIODO Imp.],DD$9)</f>
        <v>0</v>
      </c>
      <c r="DE254" s="693">
        <f>SUMIFS(Imput[Importe Neto],Imput[C. Imp.],$D254,Imput[PERIODO Imp.],DE$9)</f>
        <v>0</v>
      </c>
      <c r="DF254" s="693">
        <f>SUMIFS(Imput[Importe Neto],Imput[C. Imp.],$D254,Imput[PERIODO Imp.],DF$9)</f>
        <v>0</v>
      </c>
      <c r="DG254" s="693">
        <f>SUMIFS(Imput[Importe Neto],Imput[C. Imp.],$D254,Imput[PERIODO Imp.],DG$9)</f>
        <v>0</v>
      </c>
      <c r="DH254" s="694">
        <f>SUMIFS(Imput[Importe Neto],Imput[C. Imp.],$D254,Imput[PERIODO Imp.],DH$9)</f>
        <v>0</v>
      </c>
    </row>
    <row r="255" spans="1:112" s="649" customFormat="1" outlineLevel="1" x14ac:dyDescent="0.3">
      <c r="A255" s="652" t="str">
        <f t="shared" si="130"/>
        <v>Imprimir</v>
      </c>
      <c r="B255" s="652"/>
      <c r="C255" s="685"/>
      <c r="D255" s="686" t="s">
        <v>2333</v>
      </c>
      <c r="E255" s="686" t="s">
        <v>476</v>
      </c>
      <c r="F255" s="687"/>
      <c r="G255" s="688">
        <v>80000</v>
      </c>
      <c r="H255" s="689">
        <f>Producción!G34*0.024</f>
        <v>0.79200000000000004</v>
      </c>
      <c r="I255" s="851">
        <f t="shared" si="131"/>
        <v>1</v>
      </c>
      <c r="J255" s="850">
        <f t="shared" si="134"/>
        <v>63360</v>
      </c>
      <c r="K255" s="667"/>
      <c r="L255" s="858">
        <v>0.3</v>
      </c>
      <c r="M255" s="859"/>
      <c r="N255" s="859">
        <v>0.05</v>
      </c>
      <c r="O255" s="859"/>
      <c r="P255" s="859">
        <v>0.05</v>
      </c>
      <c r="Q255" s="859"/>
      <c r="R255" s="859">
        <v>0.05</v>
      </c>
      <c r="S255" s="859"/>
      <c r="T255" s="859">
        <v>0.05</v>
      </c>
      <c r="U255" s="859"/>
      <c r="V255" s="859">
        <v>0.05</v>
      </c>
      <c r="W255" s="859"/>
      <c r="X255" s="859">
        <v>0.05</v>
      </c>
      <c r="Y255" s="859"/>
      <c r="Z255" s="860">
        <v>0.05</v>
      </c>
      <c r="AA255" s="860"/>
      <c r="AB255" s="860">
        <v>0.05</v>
      </c>
      <c r="AC255" s="860"/>
      <c r="AD255" s="860">
        <v>0.05</v>
      </c>
      <c r="AE255" s="860"/>
      <c r="AF255" s="860">
        <v>0.05</v>
      </c>
      <c r="AG255" s="860"/>
      <c r="AH255" s="860">
        <v>0.05</v>
      </c>
      <c r="AI255" s="860"/>
      <c r="AJ255" s="860">
        <v>0.15</v>
      </c>
      <c r="AK255" s="860"/>
      <c r="AL255" s="860"/>
      <c r="AM255" s="860"/>
      <c r="AN255" s="860"/>
      <c r="AO255" s="860"/>
      <c r="AP255" s="860"/>
      <c r="AQ255" s="860"/>
      <c r="AR255" s="860"/>
      <c r="AS255" s="860"/>
      <c r="AT255" s="860"/>
      <c r="AU255" s="860"/>
      <c r="AV255" s="860"/>
      <c r="AW255" s="860"/>
      <c r="AX255" s="860"/>
      <c r="AY255" s="860"/>
      <c r="AZ255" s="860"/>
      <c r="BA255" s="860"/>
      <c r="BB255" s="860"/>
      <c r="BC255" s="860"/>
      <c r="BD255" s="860"/>
      <c r="BE255" s="860"/>
      <c r="BF255" s="860"/>
      <c r="BG255" s="860"/>
      <c r="BH255" s="668"/>
      <c r="BI255" s="654"/>
      <c r="BJ255" s="690">
        <f t="shared" si="132"/>
        <v>0</v>
      </c>
      <c r="BK255" s="691">
        <f t="shared" si="133"/>
        <v>0</v>
      </c>
      <c r="BL255" s="654"/>
      <c r="BM255" s="692">
        <f>SUMIFS(Imput[Importe Neto],Imput[C. Imp.],$D255,Imput[PERIODO Imp.],BM$9)</f>
        <v>0</v>
      </c>
      <c r="BN255" s="693">
        <f>SUMIFS(Imput[Importe Neto],Imput[C. Imp.],$D255,Imput[PERIODO Imp.],BN$9)</f>
        <v>0</v>
      </c>
      <c r="BO255" s="693">
        <f>SUMIFS(Imput[Importe Neto],Imput[C. Imp.],$D255,Imput[PERIODO Imp.],BO$9)</f>
        <v>0</v>
      </c>
      <c r="BP255" s="693">
        <f>SUMIFS(Imput[Importe Neto],Imput[C. Imp.],$D255,Imput[PERIODO Imp.],BP$9)</f>
        <v>0</v>
      </c>
      <c r="BQ255" s="693">
        <f>SUMIFS(Imput[Importe Neto],Imput[C. Imp.],$D255,Imput[PERIODO Imp.],BQ$9)</f>
        <v>0</v>
      </c>
      <c r="BR255" s="693">
        <f>SUMIFS(Imput[Importe Neto],Imput[C. Imp.],$D255,Imput[PERIODO Imp.],BR$9)</f>
        <v>0</v>
      </c>
      <c r="BS255" s="693">
        <f>SUMIFS(Imput[Importe Neto],Imput[C. Imp.],$D255,Imput[PERIODO Imp.],BS$9)</f>
        <v>0</v>
      </c>
      <c r="BT255" s="693">
        <f>SUMIFS(Imput[Importe Neto],Imput[C. Imp.],$D255,Imput[PERIODO Imp.],BT$9)</f>
        <v>0</v>
      </c>
      <c r="BU255" s="693">
        <f>SUMIFS(Imput[Importe Neto],Imput[C. Imp.],$D255,Imput[PERIODO Imp.],BU$9)</f>
        <v>0</v>
      </c>
      <c r="BV255" s="693">
        <f>SUMIFS(Imput[Importe Neto],Imput[C. Imp.],$D255,Imput[PERIODO Imp.],BV$9)</f>
        <v>0</v>
      </c>
      <c r="BW255" s="693">
        <f>SUMIFS(Imput[Importe Neto],Imput[C. Imp.],$D255,Imput[PERIODO Imp.],BW$9)</f>
        <v>0</v>
      </c>
      <c r="BX255" s="693">
        <f>SUMIFS(Imput[Importe Neto],Imput[C. Imp.],$D255,Imput[PERIODO Imp.],BX$9)</f>
        <v>0</v>
      </c>
      <c r="BY255" s="693">
        <f>SUMIFS(Imput[Importe Neto],Imput[C. Imp.],$D255,Imput[PERIODO Imp.],BY$9)</f>
        <v>0</v>
      </c>
      <c r="BZ255" s="693">
        <f>SUMIFS(Imput[Importe Neto],Imput[C. Imp.],$D255,Imput[PERIODO Imp.],BZ$9)</f>
        <v>0</v>
      </c>
      <c r="CA255" s="693">
        <f>SUMIFS(Imput[Importe Neto],Imput[C. Imp.],$D255,Imput[PERIODO Imp.],CA$9)</f>
        <v>0</v>
      </c>
      <c r="CB255" s="693">
        <f>SUMIFS(Imput[Importe Neto],Imput[C. Imp.],$D255,Imput[PERIODO Imp.],CB$9)</f>
        <v>0</v>
      </c>
      <c r="CC255" s="693">
        <f>SUMIFS(Imput[Importe Neto],Imput[C. Imp.],$D255,Imput[PERIODO Imp.],CC$9)</f>
        <v>0</v>
      </c>
      <c r="CD255" s="693">
        <f>SUMIFS(Imput[Importe Neto],Imput[C. Imp.],$D255,Imput[PERIODO Imp.],CD$9)</f>
        <v>0</v>
      </c>
      <c r="CE255" s="693">
        <f>SUMIFS(Imput[Importe Neto],Imput[C. Imp.],$D255,Imput[PERIODO Imp.],CE$9)</f>
        <v>0</v>
      </c>
      <c r="CF255" s="693">
        <f>SUMIFS(Imput[Importe Neto],Imput[C. Imp.],$D255,Imput[PERIODO Imp.],CF$9)</f>
        <v>0</v>
      </c>
      <c r="CG255" s="693">
        <f>SUMIFS(Imput[Importe Neto],Imput[C. Imp.],$D255,Imput[PERIODO Imp.],CG$9)</f>
        <v>0</v>
      </c>
      <c r="CH255" s="693">
        <f>SUMIFS(Imput[Importe Neto],Imput[C. Imp.],$D255,Imput[PERIODO Imp.],CH$9)</f>
        <v>0</v>
      </c>
      <c r="CI255" s="693">
        <f>SUMIFS(Imput[Importe Neto],Imput[C. Imp.],$D255,Imput[PERIODO Imp.],CI$9)</f>
        <v>0</v>
      </c>
      <c r="CJ255" s="693">
        <f>SUMIFS(Imput[Importe Neto],Imput[C. Imp.],$D255,Imput[PERIODO Imp.],CJ$9)</f>
        <v>0</v>
      </c>
      <c r="CK255" s="693">
        <f>SUMIFS(Imput[Importe Neto],Imput[C. Imp.],$D255,Imput[PERIODO Imp.],CK$9)</f>
        <v>0</v>
      </c>
      <c r="CL255" s="693">
        <f>SUMIFS(Imput[Importe Neto],Imput[C. Imp.],$D255,Imput[PERIODO Imp.],CL$9)</f>
        <v>0</v>
      </c>
      <c r="CM255" s="693">
        <f>SUMIFS(Imput[Importe Neto],Imput[C. Imp.],$D255,Imput[PERIODO Imp.],CM$9)</f>
        <v>0</v>
      </c>
      <c r="CN255" s="693">
        <f>SUMIFS(Imput[Importe Neto],Imput[C. Imp.],$D255,Imput[PERIODO Imp.],CN$9)</f>
        <v>0</v>
      </c>
      <c r="CO255" s="693">
        <f>SUMIFS(Imput[Importe Neto],Imput[C. Imp.],$D255,Imput[PERIODO Imp.],CO$9)</f>
        <v>0</v>
      </c>
      <c r="CP255" s="693">
        <f>SUMIFS(Imput[Importe Neto],Imput[C. Imp.],$D255,Imput[PERIODO Imp.],CP$9)</f>
        <v>0</v>
      </c>
      <c r="CQ255" s="693">
        <f>SUMIFS(Imput[Importe Neto],Imput[C. Imp.],$D255,Imput[PERIODO Imp.],CQ$9)</f>
        <v>0</v>
      </c>
      <c r="CR255" s="693">
        <f>SUMIFS(Imput[Importe Neto],Imput[C. Imp.],$D255,Imput[PERIODO Imp.],CR$9)</f>
        <v>0</v>
      </c>
      <c r="CS255" s="693">
        <f>SUMIFS(Imput[Importe Neto],Imput[C. Imp.],$D255,Imput[PERIODO Imp.],CS$9)</f>
        <v>0</v>
      </c>
      <c r="CT255" s="693">
        <f>SUMIFS(Imput[Importe Neto],Imput[C. Imp.],$D255,Imput[PERIODO Imp.],CT$9)</f>
        <v>0</v>
      </c>
      <c r="CU255" s="693">
        <f>SUMIFS(Imput[Importe Neto],Imput[C. Imp.],$D255,Imput[PERIODO Imp.],CU$9)</f>
        <v>0</v>
      </c>
      <c r="CV255" s="693">
        <f>SUMIFS(Imput[Importe Neto],Imput[C. Imp.],$D255,Imput[PERIODO Imp.],CV$9)</f>
        <v>0</v>
      </c>
      <c r="CW255" s="693">
        <f>SUMIFS(Imput[Importe Neto],Imput[C. Imp.],$D255,Imput[PERIODO Imp.],CW$9)</f>
        <v>0</v>
      </c>
      <c r="CX255" s="693">
        <f>SUMIFS(Imput[Importe Neto],Imput[C. Imp.],$D255,Imput[PERIODO Imp.],CX$9)</f>
        <v>0</v>
      </c>
      <c r="CY255" s="693">
        <f>SUMIFS(Imput[Importe Neto],Imput[C. Imp.],$D255,Imput[PERIODO Imp.],CY$9)</f>
        <v>0</v>
      </c>
      <c r="CZ255" s="693">
        <f>SUMIFS(Imput[Importe Neto],Imput[C. Imp.],$D255,Imput[PERIODO Imp.],CZ$9)</f>
        <v>0</v>
      </c>
      <c r="DA255" s="693">
        <f>SUMIFS(Imput[Importe Neto],Imput[C. Imp.],$D255,Imput[PERIODO Imp.],DA$9)</f>
        <v>0</v>
      </c>
      <c r="DB255" s="693">
        <f>SUMIFS(Imput[Importe Neto],Imput[C. Imp.],$D255,Imput[PERIODO Imp.],DB$9)</f>
        <v>0</v>
      </c>
      <c r="DC255" s="693">
        <f>SUMIFS(Imput[Importe Neto],Imput[C. Imp.],$D255,Imput[PERIODO Imp.],DC$9)</f>
        <v>0</v>
      </c>
      <c r="DD255" s="693">
        <f>SUMIFS(Imput[Importe Neto],Imput[C. Imp.],$D255,Imput[PERIODO Imp.],DD$9)</f>
        <v>0</v>
      </c>
      <c r="DE255" s="693">
        <f>SUMIFS(Imput[Importe Neto],Imput[C. Imp.],$D255,Imput[PERIODO Imp.],DE$9)</f>
        <v>0</v>
      </c>
      <c r="DF255" s="693">
        <f>SUMIFS(Imput[Importe Neto],Imput[C. Imp.],$D255,Imput[PERIODO Imp.],DF$9)</f>
        <v>0</v>
      </c>
      <c r="DG255" s="693">
        <f>SUMIFS(Imput[Importe Neto],Imput[C. Imp.],$D255,Imput[PERIODO Imp.],DG$9)</f>
        <v>0</v>
      </c>
      <c r="DH255" s="694">
        <f>SUMIFS(Imput[Importe Neto],Imput[C. Imp.],$D255,Imput[PERIODO Imp.],DH$9)</f>
        <v>0</v>
      </c>
    </row>
    <row r="256" spans="1:112" s="649" customFormat="1" outlineLevel="1" x14ac:dyDescent="0.3">
      <c r="A256" s="652" t="str">
        <f t="shared" si="130"/>
        <v>Imprimir</v>
      </c>
      <c r="B256" s="652"/>
      <c r="C256" s="685"/>
      <c r="D256" s="686" t="s">
        <v>2334</v>
      </c>
      <c r="E256" s="686" t="s">
        <v>477</v>
      </c>
      <c r="F256" s="687"/>
      <c r="G256" s="688">
        <v>10</v>
      </c>
      <c r="H256" s="689">
        <f>Producción!G34*154.56</f>
        <v>5100.4800000000005</v>
      </c>
      <c r="I256" s="851">
        <f t="shared" si="131"/>
        <v>1</v>
      </c>
      <c r="J256" s="850">
        <f t="shared" si="134"/>
        <v>51004.800000000003</v>
      </c>
      <c r="K256" s="667"/>
      <c r="L256" s="858">
        <v>0.3</v>
      </c>
      <c r="M256" s="859"/>
      <c r="N256" s="859">
        <v>0.05</v>
      </c>
      <c r="O256" s="859"/>
      <c r="P256" s="859">
        <v>0.05</v>
      </c>
      <c r="Q256" s="859"/>
      <c r="R256" s="859">
        <v>0.05</v>
      </c>
      <c r="S256" s="859"/>
      <c r="T256" s="859">
        <v>0.05</v>
      </c>
      <c r="U256" s="859"/>
      <c r="V256" s="859">
        <v>0.05</v>
      </c>
      <c r="W256" s="859"/>
      <c r="X256" s="859">
        <v>0.05</v>
      </c>
      <c r="Y256" s="859"/>
      <c r="Z256" s="860">
        <v>0.05</v>
      </c>
      <c r="AA256" s="860"/>
      <c r="AB256" s="860">
        <v>0.05</v>
      </c>
      <c r="AC256" s="860"/>
      <c r="AD256" s="860">
        <v>0.05</v>
      </c>
      <c r="AE256" s="860"/>
      <c r="AF256" s="860">
        <v>0.05</v>
      </c>
      <c r="AG256" s="860"/>
      <c r="AH256" s="860">
        <v>0.05</v>
      </c>
      <c r="AI256" s="860"/>
      <c r="AJ256" s="860">
        <v>0.15</v>
      </c>
      <c r="AK256" s="860"/>
      <c r="AL256" s="860"/>
      <c r="AM256" s="860"/>
      <c r="AN256" s="860"/>
      <c r="AO256" s="860"/>
      <c r="AP256" s="860"/>
      <c r="AQ256" s="860"/>
      <c r="AR256" s="860"/>
      <c r="AS256" s="860"/>
      <c r="AT256" s="860"/>
      <c r="AU256" s="860"/>
      <c r="AV256" s="860"/>
      <c r="AW256" s="860"/>
      <c r="AX256" s="860"/>
      <c r="AY256" s="860"/>
      <c r="AZ256" s="860"/>
      <c r="BA256" s="860"/>
      <c r="BB256" s="860"/>
      <c r="BC256" s="860"/>
      <c r="BD256" s="860"/>
      <c r="BE256" s="860"/>
      <c r="BF256" s="860"/>
      <c r="BG256" s="860"/>
      <c r="BH256" s="668"/>
      <c r="BI256" s="654"/>
      <c r="BJ256" s="690">
        <f t="shared" si="132"/>
        <v>2.7833008187464707</v>
      </c>
      <c r="BK256" s="691">
        <f t="shared" si="133"/>
        <v>141961.7016</v>
      </c>
      <c r="BL256" s="654"/>
      <c r="BM256" s="692">
        <f>SUMIFS(Imput[Importe Neto],Imput[C. Imp.],$D256,Imput[PERIODO Imp.],BM$9)</f>
        <v>0</v>
      </c>
      <c r="BN256" s="693">
        <f>SUMIFS(Imput[Importe Neto],Imput[C. Imp.],$D256,Imput[PERIODO Imp.],BN$9)</f>
        <v>0</v>
      </c>
      <c r="BO256" s="693">
        <f>SUMIFS(Imput[Importe Neto],Imput[C. Imp.],$D256,Imput[PERIODO Imp.],BO$9)</f>
        <v>26460</v>
      </c>
      <c r="BP256" s="693">
        <f>SUMIFS(Imput[Importe Neto],Imput[C. Imp.],$D256,Imput[PERIODO Imp.],BP$9)</f>
        <v>105747.1416</v>
      </c>
      <c r="BQ256" s="693">
        <f>SUMIFS(Imput[Importe Neto],Imput[C. Imp.],$D256,Imput[PERIODO Imp.],BQ$9)</f>
        <v>0</v>
      </c>
      <c r="BR256" s="693">
        <f>SUMIFS(Imput[Importe Neto],Imput[C. Imp.],$D256,Imput[PERIODO Imp.],BR$9)</f>
        <v>9754.56</v>
      </c>
      <c r="BS256" s="693">
        <f>SUMIFS(Imput[Importe Neto],Imput[C. Imp.],$D256,Imput[PERIODO Imp.],BS$9)</f>
        <v>0</v>
      </c>
      <c r="BT256" s="693">
        <f>SUMIFS(Imput[Importe Neto],Imput[C. Imp.],$D256,Imput[PERIODO Imp.],BT$9)</f>
        <v>0</v>
      </c>
      <c r="BU256" s="693">
        <f>SUMIFS(Imput[Importe Neto],Imput[C. Imp.],$D256,Imput[PERIODO Imp.],BU$9)</f>
        <v>0</v>
      </c>
      <c r="BV256" s="693">
        <f>SUMIFS(Imput[Importe Neto],Imput[C. Imp.],$D256,Imput[PERIODO Imp.],BV$9)</f>
        <v>0</v>
      </c>
      <c r="BW256" s="693">
        <f>SUMIFS(Imput[Importe Neto],Imput[C. Imp.],$D256,Imput[PERIODO Imp.],BW$9)</f>
        <v>0</v>
      </c>
      <c r="BX256" s="693">
        <f>SUMIFS(Imput[Importe Neto],Imput[C. Imp.],$D256,Imput[PERIODO Imp.],BX$9)</f>
        <v>0</v>
      </c>
      <c r="BY256" s="693">
        <f>SUMIFS(Imput[Importe Neto],Imput[C. Imp.],$D256,Imput[PERIODO Imp.],BY$9)</f>
        <v>0</v>
      </c>
      <c r="BZ256" s="693">
        <f>SUMIFS(Imput[Importe Neto],Imput[C. Imp.],$D256,Imput[PERIODO Imp.],BZ$9)</f>
        <v>0</v>
      </c>
      <c r="CA256" s="693">
        <f>SUMIFS(Imput[Importe Neto],Imput[C. Imp.],$D256,Imput[PERIODO Imp.],CA$9)</f>
        <v>0</v>
      </c>
      <c r="CB256" s="693">
        <f>SUMIFS(Imput[Importe Neto],Imput[C. Imp.],$D256,Imput[PERIODO Imp.],CB$9)</f>
        <v>0</v>
      </c>
      <c r="CC256" s="693">
        <f>SUMIFS(Imput[Importe Neto],Imput[C. Imp.],$D256,Imput[PERIODO Imp.],CC$9)</f>
        <v>0</v>
      </c>
      <c r="CD256" s="693">
        <f>SUMIFS(Imput[Importe Neto],Imput[C. Imp.],$D256,Imput[PERIODO Imp.],CD$9)</f>
        <v>0</v>
      </c>
      <c r="CE256" s="693">
        <f>SUMIFS(Imput[Importe Neto],Imput[C. Imp.],$D256,Imput[PERIODO Imp.],CE$9)</f>
        <v>0</v>
      </c>
      <c r="CF256" s="693">
        <f>SUMIFS(Imput[Importe Neto],Imput[C. Imp.],$D256,Imput[PERIODO Imp.],CF$9)</f>
        <v>0</v>
      </c>
      <c r="CG256" s="693">
        <f>SUMIFS(Imput[Importe Neto],Imput[C. Imp.],$D256,Imput[PERIODO Imp.],CG$9)</f>
        <v>0</v>
      </c>
      <c r="CH256" s="693">
        <f>SUMIFS(Imput[Importe Neto],Imput[C. Imp.],$D256,Imput[PERIODO Imp.],CH$9)</f>
        <v>0</v>
      </c>
      <c r="CI256" s="693">
        <f>SUMIFS(Imput[Importe Neto],Imput[C. Imp.],$D256,Imput[PERIODO Imp.],CI$9)</f>
        <v>0</v>
      </c>
      <c r="CJ256" s="693">
        <f>SUMIFS(Imput[Importe Neto],Imput[C. Imp.],$D256,Imput[PERIODO Imp.],CJ$9)</f>
        <v>0</v>
      </c>
      <c r="CK256" s="693">
        <f>SUMIFS(Imput[Importe Neto],Imput[C. Imp.],$D256,Imput[PERIODO Imp.],CK$9)</f>
        <v>0</v>
      </c>
      <c r="CL256" s="693">
        <f>SUMIFS(Imput[Importe Neto],Imput[C. Imp.],$D256,Imput[PERIODO Imp.],CL$9)</f>
        <v>0</v>
      </c>
      <c r="CM256" s="693">
        <f>SUMIFS(Imput[Importe Neto],Imput[C. Imp.],$D256,Imput[PERIODO Imp.],CM$9)</f>
        <v>0</v>
      </c>
      <c r="CN256" s="693">
        <f>SUMIFS(Imput[Importe Neto],Imput[C. Imp.],$D256,Imput[PERIODO Imp.],CN$9)</f>
        <v>0</v>
      </c>
      <c r="CO256" s="693">
        <f>SUMIFS(Imput[Importe Neto],Imput[C. Imp.],$D256,Imput[PERIODO Imp.],CO$9)</f>
        <v>0</v>
      </c>
      <c r="CP256" s="693">
        <f>SUMIFS(Imput[Importe Neto],Imput[C. Imp.],$D256,Imput[PERIODO Imp.],CP$9)</f>
        <v>0</v>
      </c>
      <c r="CQ256" s="693">
        <f>SUMIFS(Imput[Importe Neto],Imput[C. Imp.],$D256,Imput[PERIODO Imp.],CQ$9)</f>
        <v>0</v>
      </c>
      <c r="CR256" s="693">
        <f>SUMIFS(Imput[Importe Neto],Imput[C. Imp.],$D256,Imput[PERIODO Imp.],CR$9)</f>
        <v>0</v>
      </c>
      <c r="CS256" s="693">
        <f>SUMIFS(Imput[Importe Neto],Imput[C. Imp.],$D256,Imput[PERIODO Imp.],CS$9)</f>
        <v>0</v>
      </c>
      <c r="CT256" s="693">
        <f>SUMIFS(Imput[Importe Neto],Imput[C. Imp.],$D256,Imput[PERIODO Imp.],CT$9)</f>
        <v>0</v>
      </c>
      <c r="CU256" s="693">
        <f>SUMIFS(Imput[Importe Neto],Imput[C. Imp.],$D256,Imput[PERIODO Imp.],CU$9)</f>
        <v>0</v>
      </c>
      <c r="CV256" s="693">
        <f>SUMIFS(Imput[Importe Neto],Imput[C. Imp.],$D256,Imput[PERIODO Imp.],CV$9)</f>
        <v>0</v>
      </c>
      <c r="CW256" s="693">
        <f>SUMIFS(Imput[Importe Neto],Imput[C. Imp.],$D256,Imput[PERIODO Imp.],CW$9)</f>
        <v>0</v>
      </c>
      <c r="CX256" s="693">
        <f>SUMIFS(Imput[Importe Neto],Imput[C. Imp.],$D256,Imput[PERIODO Imp.],CX$9)</f>
        <v>0</v>
      </c>
      <c r="CY256" s="693">
        <f>SUMIFS(Imput[Importe Neto],Imput[C. Imp.],$D256,Imput[PERIODO Imp.],CY$9)</f>
        <v>0</v>
      </c>
      <c r="CZ256" s="693">
        <f>SUMIFS(Imput[Importe Neto],Imput[C. Imp.],$D256,Imput[PERIODO Imp.],CZ$9)</f>
        <v>0</v>
      </c>
      <c r="DA256" s="693">
        <f>SUMIFS(Imput[Importe Neto],Imput[C. Imp.],$D256,Imput[PERIODO Imp.],DA$9)</f>
        <v>0</v>
      </c>
      <c r="DB256" s="693">
        <f>SUMIFS(Imput[Importe Neto],Imput[C. Imp.],$D256,Imput[PERIODO Imp.],DB$9)</f>
        <v>0</v>
      </c>
      <c r="DC256" s="693">
        <f>SUMIFS(Imput[Importe Neto],Imput[C. Imp.],$D256,Imput[PERIODO Imp.],DC$9)</f>
        <v>0</v>
      </c>
      <c r="DD256" s="693">
        <f>SUMIFS(Imput[Importe Neto],Imput[C. Imp.],$D256,Imput[PERIODO Imp.],DD$9)</f>
        <v>0</v>
      </c>
      <c r="DE256" s="693">
        <f>SUMIFS(Imput[Importe Neto],Imput[C. Imp.],$D256,Imput[PERIODO Imp.],DE$9)</f>
        <v>0</v>
      </c>
      <c r="DF256" s="693">
        <f>SUMIFS(Imput[Importe Neto],Imput[C. Imp.],$D256,Imput[PERIODO Imp.],DF$9)</f>
        <v>0</v>
      </c>
      <c r="DG256" s="693">
        <f>SUMIFS(Imput[Importe Neto],Imput[C. Imp.],$D256,Imput[PERIODO Imp.],DG$9)</f>
        <v>0</v>
      </c>
      <c r="DH256" s="694">
        <f>SUMIFS(Imput[Importe Neto],Imput[C. Imp.],$D256,Imput[PERIODO Imp.],DH$9)</f>
        <v>0</v>
      </c>
    </row>
    <row r="257" spans="1:112" s="649" customFormat="1" outlineLevel="1" x14ac:dyDescent="0.3">
      <c r="A257" s="652" t="str">
        <f t="shared" si="130"/>
        <v>Imprimir</v>
      </c>
      <c r="B257" s="652"/>
      <c r="C257" s="685"/>
      <c r="D257" s="686" t="s">
        <v>2335</v>
      </c>
      <c r="E257" s="686" t="s">
        <v>475</v>
      </c>
      <c r="F257" s="687"/>
      <c r="G257" s="688">
        <v>1100</v>
      </c>
      <c r="H257" s="689">
        <f>Producción!G34*2.8</f>
        <v>92.399999999999991</v>
      </c>
      <c r="I257" s="851">
        <f t="shared" si="131"/>
        <v>1</v>
      </c>
      <c r="J257" s="850">
        <f t="shared" si="134"/>
        <v>101639.99999999999</v>
      </c>
      <c r="K257" s="667"/>
      <c r="L257" s="858">
        <v>0.5</v>
      </c>
      <c r="M257" s="859"/>
      <c r="N257" s="859"/>
      <c r="O257" s="859"/>
      <c r="P257" s="859"/>
      <c r="Q257" s="859"/>
      <c r="R257" s="859">
        <v>0.05</v>
      </c>
      <c r="S257" s="859"/>
      <c r="T257" s="859">
        <v>0.05</v>
      </c>
      <c r="U257" s="859"/>
      <c r="V257" s="859">
        <v>0.05</v>
      </c>
      <c r="W257" s="859"/>
      <c r="X257" s="859">
        <v>0.05</v>
      </c>
      <c r="Y257" s="859"/>
      <c r="Z257" s="860">
        <v>0.05</v>
      </c>
      <c r="AA257" s="860"/>
      <c r="AB257" s="860">
        <v>0.05</v>
      </c>
      <c r="AC257" s="860"/>
      <c r="AD257" s="860">
        <v>0.05</v>
      </c>
      <c r="AE257" s="860"/>
      <c r="AF257" s="860">
        <v>0.05</v>
      </c>
      <c r="AG257" s="860"/>
      <c r="AH257" s="860"/>
      <c r="AI257" s="860"/>
      <c r="AJ257" s="860">
        <v>0.1</v>
      </c>
      <c r="AK257" s="860"/>
      <c r="AL257" s="860"/>
      <c r="AM257" s="860"/>
      <c r="AN257" s="860"/>
      <c r="AO257" s="860"/>
      <c r="AP257" s="860"/>
      <c r="AQ257" s="860"/>
      <c r="AR257" s="860"/>
      <c r="AS257" s="860"/>
      <c r="AT257" s="860"/>
      <c r="AU257" s="860"/>
      <c r="AV257" s="860"/>
      <c r="AW257" s="860"/>
      <c r="AX257" s="860"/>
      <c r="AY257" s="860"/>
      <c r="AZ257" s="860"/>
      <c r="BA257" s="860"/>
      <c r="BB257" s="860"/>
      <c r="BC257" s="860"/>
      <c r="BD257" s="860"/>
      <c r="BE257" s="860"/>
      <c r="BF257" s="860"/>
      <c r="BG257" s="860"/>
      <c r="BH257" s="668"/>
      <c r="BI257" s="654"/>
      <c r="BJ257" s="690">
        <f t="shared" si="132"/>
        <v>5.917154151908699</v>
      </c>
      <c r="BK257" s="691">
        <f t="shared" si="133"/>
        <v>601419.54800000007</v>
      </c>
      <c r="BL257" s="654"/>
      <c r="BM257" s="692">
        <f>SUMIFS(Imput[Importe Neto],Imput[C. Imp.],$D257,Imput[PERIODO Imp.],BM$9)</f>
        <v>0</v>
      </c>
      <c r="BN257" s="693">
        <f>SUMIFS(Imput[Importe Neto],Imput[C. Imp.],$D257,Imput[PERIODO Imp.],BN$9)</f>
        <v>59400</v>
      </c>
      <c r="BO257" s="693">
        <f>SUMIFS(Imput[Importe Neto],Imput[C. Imp.],$D257,Imput[PERIODO Imp.],BO$9)</f>
        <v>85892.4</v>
      </c>
      <c r="BP257" s="693">
        <f>SUMIFS(Imput[Importe Neto],Imput[C. Imp.],$D257,Imput[PERIODO Imp.],BP$9)</f>
        <v>282892.85840000008</v>
      </c>
      <c r="BQ257" s="693">
        <f>SUMIFS(Imput[Importe Neto],Imput[C. Imp.],$D257,Imput[PERIODO Imp.],BQ$9)</f>
        <v>164933.72279999999</v>
      </c>
      <c r="BR257" s="693">
        <f>SUMIFS(Imput[Importe Neto],Imput[C. Imp.],$D257,Imput[PERIODO Imp.],BR$9)</f>
        <v>8300.5668000000005</v>
      </c>
      <c r="BS257" s="693">
        <f>SUMIFS(Imput[Importe Neto],Imput[C. Imp.],$D257,Imput[PERIODO Imp.],BS$9)</f>
        <v>0</v>
      </c>
      <c r="BT257" s="693">
        <f>SUMIFS(Imput[Importe Neto],Imput[C. Imp.],$D257,Imput[PERIODO Imp.],BT$9)</f>
        <v>0</v>
      </c>
      <c r="BU257" s="693">
        <f>SUMIFS(Imput[Importe Neto],Imput[C. Imp.],$D257,Imput[PERIODO Imp.],BU$9)</f>
        <v>0</v>
      </c>
      <c r="BV257" s="693">
        <f>SUMIFS(Imput[Importe Neto],Imput[C. Imp.],$D257,Imput[PERIODO Imp.],BV$9)</f>
        <v>0</v>
      </c>
      <c r="BW257" s="693">
        <f>SUMIFS(Imput[Importe Neto],Imput[C. Imp.],$D257,Imput[PERIODO Imp.],BW$9)</f>
        <v>0</v>
      </c>
      <c r="BX257" s="693">
        <f>SUMIFS(Imput[Importe Neto],Imput[C. Imp.],$D257,Imput[PERIODO Imp.],BX$9)</f>
        <v>0</v>
      </c>
      <c r="BY257" s="693">
        <f>SUMIFS(Imput[Importe Neto],Imput[C. Imp.],$D257,Imput[PERIODO Imp.],BY$9)</f>
        <v>0</v>
      </c>
      <c r="BZ257" s="693">
        <f>SUMIFS(Imput[Importe Neto],Imput[C. Imp.],$D257,Imput[PERIODO Imp.],BZ$9)</f>
        <v>0</v>
      </c>
      <c r="CA257" s="693">
        <f>SUMIFS(Imput[Importe Neto],Imput[C. Imp.],$D257,Imput[PERIODO Imp.],CA$9)</f>
        <v>0</v>
      </c>
      <c r="CB257" s="693">
        <f>SUMIFS(Imput[Importe Neto],Imput[C. Imp.],$D257,Imput[PERIODO Imp.],CB$9)</f>
        <v>0</v>
      </c>
      <c r="CC257" s="693">
        <f>SUMIFS(Imput[Importe Neto],Imput[C. Imp.],$D257,Imput[PERIODO Imp.],CC$9)</f>
        <v>0</v>
      </c>
      <c r="CD257" s="693">
        <f>SUMIFS(Imput[Importe Neto],Imput[C. Imp.],$D257,Imput[PERIODO Imp.],CD$9)</f>
        <v>0</v>
      </c>
      <c r="CE257" s="693">
        <f>SUMIFS(Imput[Importe Neto],Imput[C. Imp.],$D257,Imput[PERIODO Imp.],CE$9)</f>
        <v>0</v>
      </c>
      <c r="CF257" s="693">
        <f>SUMIFS(Imput[Importe Neto],Imput[C. Imp.],$D257,Imput[PERIODO Imp.],CF$9)</f>
        <v>0</v>
      </c>
      <c r="CG257" s="693">
        <f>SUMIFS(Imput[Importe Neto],Imput[C. Imp.],$D257,Imput[PERIODO Imp.],CG$9)</f>
        <v>0</v>
      </c>
      <c r="CH257" s="693">
        <f>SUMIFS(Imput[Importe Neto],Imput[C. Imp.],$D257,Imput[PERIODO Imp.],CH$9)</f>
        <v>0</v>
      </c>
      <c r="CI257" s="693">
        <f>SUMIFS(Imput[Importe Neto],Imput[C. Imp.],$D257,Imput[PERIODO Imp.],CI$9)</f>
        <v>0</v>
      </c>
      <c r="CJ257" s="693">
        <f>SUMIFS(Imput[Importe Neto],Imput[C. Imp.],$D257,Imput[PERIODO Imp.],CJ$9)</f>
        <v>0</v>
      </c>
      <c r="CK257" s="693">
        <f>SUMIFS(Imput[Importe Neto],Imput[C. Imp.],$D257,Imput[PERIODO Imp.],CK$9)</f>
        <v>0</v>
      </c>
      <c r="CL257" s="693">
        <f>SUMIFS(Imput[Importe Neto],Imput[C. Imp.],$D257,Imput[PERIODO Imp.],CL$9)</f>
        <v>0</v>
      </c>
      <c r="CM257" s="693">
        <f>SUMIFS(Imput[Importe Neto],Imput[C. Imp.],$D257,Imput[PERIODO Imp.],CM$9)</f>
        <v>0</v>
      </c>
      <c r="CN257" s="693">
        <f>SUMIFS(Imput[Importe Neto],Imput[C. Imp.],$D257,Imput[PERIODO Imp.],CN$9)</f>
        <v>0</v>
      </c>
      <c r="CO257" s="693">
        <f>SUMIFS(Imput[Importe Neto],Imput[C. Imp.],$D257,Imput[PERIODO Imp.],CO$9)</f>
        <v>0</v>
      </c>
      <c r="CP257" s="693">
        <f>SUMIFS(Imput[Importe Neto],Imput[C. Imp.],$D257,Imput[PERIODO Imp.],CP$9)</f>
        <v>0</v>
      </c>
      <c r="CQ257" s="693">
        <f>SUMIFS(Imput[Importe Neto],Imput[C. Imp.],$D257,Imput[PERIODO Imp.],CQ$9)</f>
        <v>0</v>
      </c>
      <c r="CR257" s="693">
        <f>SUMIFS(Imput[Importe Neto],Imput[C. Imp.],$D257,Imput[PERIODO Imp.],CR$9)</f>
        <v>0</v>
      </c>
      <c r="CS257" s="693">
        <f>SUMIFS(Imput[Importe Neto],Imput[C. Imp.],$D257,Imput[PERIODO Imp.],CS$9)</f>
        <v>0</v>
      </c>
      <c r="CT257" s="693">
        <f>SUMIFS(Imput[Importe Neto],Imput[C. Imp.],$D257,Imput[PERIODO Imp.],CT$9)</f>
        <v>0</v>
      </c>
      <c r="CU257" s="693">
        <f>SUMIFS(Imput[Importe Neto],Imput[C. Imp.],$D257,Imput[PERIODO Imp.],CU$9)</f>
        <v>0</v>
      </c>
      <c r="CV257" s="693">
        <f>SUMIFS(Imput[Importe Neto],Imput[C. Imp.],$D257,Imput[PERIODO Imp.],CV$9)</f>
        <v>0</v>
      </c>
      <c r="CW257" s="693">
        <f>SUMIFS(Imput[Importe Neto],Imput[C. Imp.],$D257,Imput[PERIODO Imp.],CW$9)</f>
        <v>0</v>
      </c>
      <c r="CX257" s="693">
        <f>SUMIFS(Imput[Importe Neto],Imput[C. Imp.],$D257,Imput[PERIODO Imp.],CX$9)</f>
        <v>0</v>
      </c>
      <c r="CY257" s="693">
        <f>SUMIFS(Imput[Importe Neto],Imput[C. Imp.],$D257,Imput[PERIODO Imp.],CY$9)</f>
        <v>0</v>
      </c>
      <c r="CZ257" s="693">
        <f>SUMIFS(Imput[Importe Neto],Imput[C. Imp.],$D257,Imput[PERIODO Imp.],CZ$9)</f>
        <v>0</v>
      </c>
      <c r="DA257" s="693">
        <f>SUMIFS(Imput[Importe Neto],Imput[C. Imp.],$D257,Imput[PERIODO Imp.],DA$9)</f>
        <v>0</v>
      </c>
      <c r="DB257" s="693">
        <f>SUMIFS(Imput[Importe Neto],Imput[C. Imp.],$D257,Imput[PERIODO Imp.],DB$9)</f>
        <v>0</v>
      </c>
      <c r="DC257" s="693">
        <f>SUMIFS(Imput[Importe Neto],Imput[C. Imp.],$D257,Imput[PERIODO Imp.],DC$9)</f>
        <v>0</v>
      </c>
      <c r="DD257" s="693">
        <f>SUMIFS(Imput[Importe Neto],Imput[C. Imp.],$D257,Imput[PERIODO Imp.],DD$9)</f>
        <v>0</v>
      </c>
      <c r="DE257" s="693">
        <f>SUMIFS(Imput[Importe Neto],Imput[C. Imp.],$D257,Imput[PERIODO Imp.],DE$9)</f>
        <v>0</v>
      </c>
      <c r="DF257" s="693">
        <f>SUMIFS(Imput[Importe Neto],Imput[C. Imp.],$D257,Imput[PERIODO Imp.],DF$9)</f>
        <v>0</v>
      </c>
      <c r="DG257" s="693">
        <f>SUMIFS(Imput[Importe Neto],Imput[C. Imp.],$D257,Imput[PERIODO Imp.],DG$9)</f>
        <v>0</v>
      </c>
      <c r="DH257" s="694">
        <f>SUMIFS(Imput[Importe Neto],Imput[C. Imp.],$D257,Imput[PERIODO Imp.],DH$9)</f>
        <v>0</v>
      </c>
    </row>
    <row r="258" spans="1:112" s="649" customFormat="1" outlineLevel="1" x14ac:dyDescent="0.3">
      <c r="A258" s="652" t="str">
        <f t="shared" si="130"/>
        <v>Imprimir</v>
      </c>
      <c r="B258" s="652"/>
      <c r="C258" s="685"/>
      <c r="D258" s="686" t="s">
        <v>2336</v>
      </c>
      <c r="E258" s="686" t="s">
        <v>2129</v>
      </c>
      <c r="F258" s="720"/>
      <c r="G258" s="688">
        <v>5000</v>
      </c>
      <c r="H258" s="689">
        <f>Producción!G34*0.1</f>
        <v>3.3000000000000003</v>
      </c>
      <c r="I258" s="851">
        <f t="shared" si="131"/>
        <v>1</v>
      </c>
      <c r="J258" s="852">
        <f t="shared" si="134"/>
        <v>16500</v>
      </c>
      <c r="K258" s="667"/>
      <c r="L258" s="858">
        <v>0.3</v>
      </c>
      <c r="M258" s="859"/>
      <c r="N258" s="859">
        <v>0.05</v>
      </c>
      <c r="O258" s="859"/>
      <c r="P258" s="859">
        <v>0.05</v>
      </c>
      <c r="Q258" s="859"/>
      <c r="R258" s="859">
        <v>0.05</v>
      </c>
      <c r="S258" s="859"/>
      <c r="T258" s="859">
        <v>0.05</v>
      </c>
      <c r="U258" s="859"/>
      <c r="V258" s="859">
        <v>0.05</v>
      </c>
      <c r="W258" s="859"/>
      <c r="X258" s="859">
        <v>0.05</v>
      </c>
      <c r="Y258" s="859"/>
      <c r="Z258" s="860">
        <v>0.05</v>
      </c>
      <c r="AA258" s="860"/>
      <c r="AB258" s="860">
        <v>0.05</v>
      </c>
      <c r="AC258" s="860"/>
      <c r="AD258" s="860">
        <v>0.05</v>
      </c>
      <c r="AE258" s="860"/>
      <c r="AF258" s="860">
        <v>0.05</v>
      </c>
      <c r="AG258" s="860"/>
      <c r="AH258" s="860">
        <v>0.05</v>
      </c>
      <c r="AI258" s="860"/>
      <c r="AJ258" s="860">
        <v>0.15</v>
      </c>
      <c r="AK258" s="860"/>
      <c r="AL258" s="860"/>
      <c r="AM258" s="860"/>
      <c r="AN258" s="860"/>
      <c r="AO258" s="860"/>
      <c r="AP258" s="860"/>
      <c r="AQ258" s="860"/>
      <c r="AR258" s="860"/>
      <c r="AS258" s="860"/>
      <c r="AT258" s="860"/>
      <c r="AU258" s="860"/>
      <c r="AV258" s="860"/>
      <c r="AW258" s="860"/>
      <c r="AX258" s="860"/>
      <c r="AY258" s="860"/>
      <c r="AZ258" s="860"/>
      <c r="BA258" s="860"/>
      <c r="BB258" s="860"/>
      <c r="BC258" s="860"/>
      <c r="BD258" s="860"/>
      <c r="BE258" s="860"/>
      <c r="BF258" s="860"/>
      <c r="BG258" s="860"/>
      <c r="BH258" s="668"/>
      <c r="BI258" s="667"/>
      <c r="BJ258" s="690">
        <f t="shared" si="132"/>
        <v>0.38109087676767672</v>
      </c>
      <c r="BK258" s="691">
        <f t="shared" si="133"/>
        <v>6287.9994666666662</v>
      </c>
      <c r="BL258" s="654"/>
      <c r="BM258" s="692">
        <f>SUMIFS(Imput[Importe Neto],Imput[C. Imp.],$D258,Imput[PERIODO Imp.],BM$9)</f>
        <v>0</v>
      </c>
      <c r="BN258" s="693">
        <f>SUMIFS(Imput[Importe Neto],Imput[C. Imp.],$D258,Imput[PERIODO Imp.],BN$9)</f>
        <v>0</v>
      </c>
      <c r="BO258" s="693">
        <f>SUMIFS(Imput[Importe Neto],Imput[C. Imp.],$D258,Imput[PERIODO Imp.],BO$9)</f>
        <v>0</v>
      </c>
      <c r="BP258" s="693">
        <f>SUMIFS(Imput[Importe Neto],Imput[C. Imp.],$D258,Imput[PERIODO Imp.],BP$9)</f>
        <v>779.99946666666665</v>
      </c>
      <c r="BQ258" s="693">
        <f>SUMIFS(Imput[Importe Neto],Imput[C. Imp.],$D258,Imput[PERIODO Imp.],BQ$9)</f>
        <v>0</v>
      </c>
      <c r="BR258" s="693">
        <f>SUMIFS(Imput[Importe Neto],Imput[C. Imp.],$D258,Imput[PERIODO Imp.],BR$9)</f>
        <v>5508</v>
      </c>
      <c r="BS258" s="693">
        <f>SUMIFS(Imput[Importe Neto],Imput[C. Imp.],$D258,Imput[PERIODO Imp.],BS$9)</f>
        <v>0</v>
      </c>
      <c r="BT258" s="693">
        <f>SUMIFS(Imput[Importe Neto],Imput[C. Imp.],$D258,Imput[PERIODO Imp.],BT$9)</f>
        <v>0</v>
      </c>
      <c r="BU258" s="693">
        <f>SUMIFS(Imput[Importe Neto],Imput[C. Imp.],$D258,Imput[PERIODO Imp.],BU$9)</f>
        <v>0</v>
      </c>
      <c r="BV258" s="693">
        <f>SUMIFS(Imput[Importe Neto],Imput[C. Imp.],$D258,Imput[PERIODO Imp.],BV$9)</f>
        <v>0</v>
      </c>
      <c r="BW258" s="693">
        <f>SUMIFS(Imput[Importe Neto],Imput[C. Imp.],$D258,Imput[PERIODO Imp.],BW$9)</f>
        <v>0</v>
      </c>
      <c r="BX258" s="693">
        <f>SUMIFS(Imput[Importe Neto],Imput[C. Imp.],$D258,Imput[PERIODO Imp.],BX$9)</f>
        <v>0</v>
      </c>
      <c r="BY258" s="693">
        <f>SUMIFS(Imput[Importe Neto],Imput[C. Imp.],$D258,Imput[PERIODO Imp.],BY$9)</f>
        <v>0</v>
      </c>
      <c r="BZ258" s="693">
        <f>SUMIFS(Imput[Importe Neto],Imput[C. Imp.],$D258,Imput[PERIODO Imp.],BZ$9)</f>
        <v>0</v>
      </c>
      <c r="CA258" s="693">
        <f>SUMIFS(Imput[Importe Neto],Imput[C. Imp.],$D258,Imput[PERIODO Imp.],CA$9)</f>
        <v>0</v>
      </c>
      <c r="CB258" s="693">
        <f>SUMIFS(Imput[Importe Neto],Imput[C. Imp.],$D258,Imput[PERIODO Imp.],CB$9)</f>
        <v>0</v>
      </c>
      <c r="CC258" s="693">
        <f>SUMIFS(Imput[Importe Neto],Imput[C. Imp.],$D258,Imput[PERIODO Imp.],CC$9)</f>
        <v>0</v>
      </c>
      <c r="CD258" s="693">
        <f>SUMIFS(Imput[Importe Neto],Imput[C. Imp.],$D258,Imput[PERIODO Imp.],CD$9)</f>
        <v>0</v>
      </c>
      <c r="CE258" s="693">
        <f>SUMIFS(Imput[Importe Neto],Imput[C. Imp.],$D258,Imput[PERIODO Imp.],CE$9)</f>
        <v>0</v>
      </c>
      <c r="CF258" s="693">
        <f>SUMIFS(Imput[Importe Neto],Imput[C. Imp.],$D258,Imput[PERIODO Imp.],CF$9)</f>
        <v>0</v>
      </c>
      <c r="CG258" s="693">
        <f>SUMIFS(Imput[Importe Neto],Imput[C. Imp.],$D258,Imput[PERIODO Imp.],CG$9)</f>
        <v>0</v>
      </c>
      <c r="CH258" s="693">
        <f>SUMIFS(Imput[Importe Neto],Imput[C. Imp.],$D258,Imput[PERIODO Imp.],CH$9)</f>
        <v>0</v>
      </c>
      <c r="CI258" s="693">
        <f>SUMIFS(Imput[Importe Neto],Imput[C. Imp.],$D258,Imput[PERIODO Imp.],CI$9)</f>
        <v>0</v>
      </c>
      <c r="CJ258" s="693">
        <f>SUMIFS(Imput[Importe Neto],Imput[C. Imp.],$D258,Imput[PERIODO Imp.],CJ$9)</f>
        <v>0</v>
      </c>
      <c r="CK258" s="693">
        <f>SUMIFS(Imput[Importe Neto],Imput[C. Imp.],$D258,Imput[PERIODO Imp.],CK$9)</f>
        <v>0</v>
      </c>
      <c r="CL258" s="693">
        <f>SUMIFS(Imput[Importe Neto],Imput[C. Imp.],$D258,Imput[PERIODO Imp.],CL$9)</f>
        <v>0</v>
      </c>
      <c r="CM258" s="693">
        <f>SUMIFS(Imput[Importe Neto],Imput[C. Imp.],$D258,Imput[PERIODO Imp.],CM$9)</f>
        <v>0</v>
      </c>
      <c r="CN258" s="693">
        <f>SUMIFS(Imput[Importe Neto],Imput[C. Imp.],$D258,Imput[PERIODO Imp.],CN$9)</f>
        <v>0</v>
      </c>
      <c r="CO258" s="693">
        <f>SUMIFS(Imput[Importe Neto],Imput[C. Imp.],$D258,Imput[PERIODO Imp.],CO$9)</f>
        <v>0</v>
      </c>
      <c r="CP258" s="693">
        <f>SUMIFS(Imput[Importe Neto],Imput[C. Imp.],$D258,Imput[PERIODO Imp.],CP$9)</f>
        <v>0</v>
      </c>
      <c r="CQ258" s="693">
        <f>SUMIFS(Imput[Importe Neto],Imput[C. Imp.],$D258,Imput[PERIODO Imp.],CQ$9)</f>
        <v>0</v>
      </c>
      <c r="CR258" s="693">
        <f>SUMIFS(Imput[Importe Neto],Imput[C. Imp.],$D258,Imput[PERIODO Imp.],CR$9)</f>
        <v>0</v>
      </c>
      <c r="CS258" s="693">
        <f>SUMIFS(Imput[Importe Neto],Imput[C. Imp.],$D258,Imput[PERIODO Imp.],CS$9)</f>
        <v>0</v>
      </c>
      <c r="CT258" s="693">
        <f>SUMIFS(Imput[Importe Neto],Imput[C. Imp.],$D258,Imput[PERIODO Imp.],CT$9)</f>
        <v>0</v>
      </c>
      <c r="CU258" s="693">
        <f>SUMIFS(Imput[Importe Neto],Imput[C. Imp.],$D258,Imput[PERIODO Imp.],CU$9)</f>
        <v>0</v>
      </c>
      <c r="CV258" s="693">
        <f>SUMIFS(Imput[Importe Neto],Imput[C. Imp.],$D258,Imput[PERIODO Imp.],CV$9)</f>
        <v>0</v>
      </c>
      <c r="CW258" s="693">
        <f>SUMIFS(Imput[Importe Neto],Imput[C. Imp.],$D258,Imput[PERIODO Imp.],CW$9)</f>
        <v>0</v>
      </c>
      <c r="CX258" s="693">
        <f>SUMIFS(Imput[Importe Neto],Imput[C. Imp.],$D258,Imput[PERIODO Imp.],CX$9)</f>
        <v>0</v>
      </c>
      <c r="CY258" s="693">
        <f>SUMIFS(Imput[Importe Neto],Imput[C. Imp.],$D258,Imput[PERIODO Imp.],CY$9)</f>
        <v>0</v>
      </c>
      <c r="CZ258" s="693">
        <f>SUMIFS(Imput[Importe Neto],Imput[C. Imp.],$D258,Imput[PERIODO Imp.],CZ$9)</f>
        <v>0</v>
      </c>
      <c r="DA258" s="693">
        <f>SUMIFS(Imput[Importe Neto],Imput[C. Imp.],$D258,Imput[PERIODO Imp.],DA$9)</f>
        <v>0</v>
      </c>
      <c r="DB258" s="693">
        <f>SUMIFS(Imput[Importe Neto],Imput[C. Imp.],$D258,Imput[PERIODO Imp.],DB$9)</f>
        <v>0</v>
      </c>
      <c r="DC258" s="693">
        <f>SUMIFS(Imput[Importe Neto],Imput[C. Imp.],$D258,Imput[PERIODO Imp.],DC$9)</f>
        <v>0</v>
      </c>
      <c r="DD258" s="693">
        <f>SUMIFS(Imput[Importe Neto],Imput[C. Imp.],$D258,Imput[PERIODO Imp.],DD$9)</f>
        <v>0</v>
      </c>
      <c r="DE258" s="693">
        <f>SUMIFS(Imput[Importe Neto],Imput[C. Imp.],$D258,Imput[PERIODO Imp.],DE$9)</f>
        <v>0</v>
      </c>
      <c r="DF258" s="693">
        <f>SUMIFS(Imput[Importe Neto],Imput[C. Imp.],$D258,Imput[PERIODO Imp.],DF$9)</f>
        <v>0</v>
      </c>
      <c r="DG258" s="693">
        <f>SUMIFS(Imput[Importe Neto],Imput[C. Imp.],$D258,Imput[PERIODO Imp.],DG$9)</f>
        <v>0</v>
      </c>
      <c r="DH258" s="694">
        <f>SUMIFS(Imput[Importe Neto],Imput[C. Imp.],$D258,Imput[PERIODO Imp.],DH$9)</f>
        <v>0</v>
      </c>
    </row>
    <row r="259" spans="1:112" s="649" customFormat="1" hidden="1" outlineLevel="1" x14ac:dyDescent="0.3">
      <c r="A259" s="652" t="str">
        <f t="shared" si="130"/>
        <v/>
      </c>
      <c r="B259" s="652"/>
      <c r="C259" s="685"/>
      <c r="D259" s="686" t="s">
        <v>2337</v>
      </c>
      <c r="E259" s="686"/>
      <c r="F259" s="720"/>
      <c r="G259" s="688"/>
      <c r="H259" s="689"/>
      <c r="I259" s="851" t="str">
        <f t="shared" si="131"/>
        <v/>
      </c>
      <c r="J259" s="852" t="str">
        <f t="shared" si="134"/>
        <v/>
      </c>
      <c r="K259" s="667"/>
      <c r="L259" s="858"/>
      <c r="M259" s="859"/>
      <c r="N259" s="859"/>
      <c r="O259" s="859"/>
      <c r="P259" s="859"/>
      <c r="Q259" s="859"/>
      <c r="R259" s="859"/>
      <c r="S259" s="859"/>
      <c r="T259" s="859"/>
      <c r="U259" s="859"/>
      <c r="V259" s="859"/>
      <c r="W259" s="859"/>
      <c r="X259" s="859"/>
      <c r="Y259" s="859"/>
      <c r="Z259" s="860"/>
      <c r="AA259" s="860"/>
      <c r="AB259" s="860"/>
      <c r="AC259" s="860"/>
      <c r="AD259" s="860"/>
      <c r="AE259" s="860"/>
      <c r="AF259" s="860"/>
      <c r="AG259" s="860"/>
      <c r="AH259" s="860"/>
      <c r="AI259" s="860"/>
      <c r="AJ259" s="860"/>
      <c r="AK259" s="860"/>
      <c r="AL259" s="860"/>
      <c r="AM259" s="860"/>
      <c r="AN259" s="860"/>
      <c r="AO259" s="860"/>
      <c r="AP259" s="860"/>
      <c r="AQ259" s="860"/>
      <c r="AR259" s="860"/>
      <c r="AS259" s="860"/>
      <c r="AT259" s="860"/>
      <c r="AU259" s="860"/>
      <c r="AV259" s="860"/>
      <c r="AW259" s="860"/>
      <c r="AX259" s="860"/>
      <c r="AY259" s="860"/>
      <c r="AZ259" s="860"/>
      <c r="BA259" s="860"/>
      <c r="BB259" s="860"/>
      <c r="BC259" s="860"/>
      <c r="BD259" s="860"/>
      <c r="BE259" s="860"/>
      <c r="BF259" s="860"/>
      <c r="BG259" s="860"/>
      <c r="BH259" s="668"/>
      <c r="BI259" s="667"/>
      <c r="BJ259" s="690">
        <f t="shared" si="132"/>
        <v>0</v>
      </c>
      <c r="BK259" s="691">
        <f t="shared" si="133"/>
        <v>0</v>
      </c>
      <c r="BL259" s="654"/>
      <c r="BM259" s="692">
        <f>SUMIFS(Imput[Importe Neto],Imput[C. Imp.],$D259,Imput[PERIODO Imp.],BM$9)</f>
        <v>0</v>
      </c>
      <c r="BN259" s="693">
        <f>SUMIFS(Imput[Importe Neto],Imput[C. Imp.],$D259,Imput[PERIODO Imp.],BN$9)</f>
        <v>0</v>
      </c>
      <c r="BO259" s="693">
        <f>SUMIFS(Imput[Importe Neto],Imput[C. Imp.],$D259,Imput[PERIODO Imp.],BO$9)</f>
        <v>0</v>
      </c>
      <c r="BP259" s="693">
        <f>SUMIFS(Imput[Importe Neto],Imput[C. Imp.],$D259,Imput[PERIODO Imp.],BP$9)</f>
        <v>0</v>
      </c>
      <c r="BQ259" s="693">
        <f>SUMIFS(Imput[Importe Neto],Imput[C. Imp.],$D259,Imput[PERIODO Imp.],BQ$9)</f>
        <v>0</v>
      </c>
      <c r="BR259" s="693">
        <f>SUMIFS(Imput[Importe Neto],Imput[C. Imp.],$D259,Imput[PERIODO Imp.],BR$9)</f>
        <v>0</v>
      </c>
      <c r="BS259" s="693">
        <f>SUMIFS(Imput[Importe Neto],Imput[C. Imp.],$D259,Imput[PERIODO Imp.],BS$9)</f>
        <v>0</v>
      </c>
      <c r="BT259" s="693">
        <f>SUMIFS(Imput[Importe Neto],Imput[C. Imp.],$D259,Imput[PERIODO Imp.],BT$9)</f>
        <v>0</v>
      </c>
      <c r="BU259" s="693">
        <f>SUMIFS(Imput[Importe Neto],Imput[C. Imp.],$D259,Imput[PERIODO Imp.],BU$9)</f>
        <v>0</v>
      </c>
      <c r="BV259" s="693">
        <f>SUMIFS(Imput[Importe Neto],Imput[C. Imp.],$D259,Imput[PERIODO Imp.],BV$9)</f>
        <v>0</v>
      </c>
      <c r="BW259" s="693">
        <f>SUMIFS(Imput[Importe Neto],Imput[C. Imp.],$D259,Imput[PERIODO Imp.],BW$9)</f>
        <v>0</v>
      </c>
      <c r="BX259" s="693">
        <f>SUMIFS(Imput[Importe Neto],Imput[C. Imp.],$D259,Imput[PERIODO Imp.],BX$9)</f>
        <v>0</v>
      </c>
      <c r="BY259" s="693">
        <f>SUMIFS(Imput[Importe Neto],Imput[C. Imp.],$D259,Imput[PERIODO Imp.],BY$9)</f>
        <v>0</v>
      </c>
      <c r="BZ259" s="693">
        <f>SUMIFS(Imput[Importe Neto],Imput[C. Imp.],$D259,Imput[PERIODO Imp.],BZ$9)</f>
        <v>0</v>
      </c>
      <c r="CA259" s="693">
        <f>SUMIFS(Imput[Importe Neto],Imput[C. Imp.],$D259,Imput[PERIODO Imp.],CA$9)</f>
        <v>0</v>
      </c>
      <c r="CB259" s="693">
        <f>SUMIFS(Imput[Importe Neto],Imput[C. Imp.],$D259,Imput[PERIODO Imp.],CB$9)</f>
        <v>0</v>
      </c>
      <c r="CC259" s="693">
        <f>SUMIFS(Imput[Importe Neto],Imput[C. Imp.],$D259,Imput[PERIODO Imp.],CC$9)</f>
        <v>0</v>
      </c>
      <c r="CD259" s="693">
        <f>SUMIFS(Imput[Importe Neto],Imput[C. Imp.],$D259,Imput[PERIODO Imp.],CD$9)</f>
        <v>0</v>
      </c>
      <c r="CE259" s="693">
        <f>SUMIFS(Imput[Importe Neto],Imput[C. Imp.],$D259,Imput[PERIODO Imp.],CE$9)</f>
        <v>0</v>
      </c>
      <c r="CF259" s="693">
        <f>SUMIFS(Imput[Importe Neto],Imput[C. Imp.],$D259,Imput[PERIODO Imp.],CF$9)</f>
        <v>0</v>
      </c>
      <c r="CG259" s="693">
        <f>SUMIFS(Imput[Importe Neto],Imput[C. Imp.],$D259,Imput[PERIODO Imp.],CG$9)</f>
        <v>0</v>
      </c>
      <c r="CH259" s="693">
        <f>SUMIFS(Imput[Importe Neto],Imput[C. Imp.],$D259,Imput[PERIODO Imp.],CH$9)</f>
        <v>0</v>
      </c>
      <c r="CI259" s="693">
        <f>SUMIFS(Imput[Importe Neto],Imput[C. Imp.],$D259,Imput[PERIODO Imp.],CI$9)</f>
        <v>0</v>
      </c>
      <c r="CJ259" s="693">
        <f>SUMIFS(Imput[Importe Neto],Imput[C. Imp.],$D259,Imput[PERIODO Imp.],CJ$9)</f>
        <v>0</v>
      </c>
      <c r="CK259" s="693">
        <f>SUMIFS(Imput[Importe Neto],Imput[C. Imp.],$D259,Imput[PERIODO Imp.],CK$9)</f>
        <v>0</v>
      </c>
      <c r="CL259" s="693">
        <f>SUMIFS(Imput[Importe Neto],Imput[C. Imp.],$D259,Imput[PERIODO Imp.],CL$9)</f>
        <v>0</v>
      </c>
      <c r="CM259" s="693">
        <f>SUMIFS(Imput[Importe Neto],Imput[C. Imp.],$D259,Imput[PERIODO Imp.],CM$9)</f>
        <v>0</v>
      </c>
      <c r="CN259" s="693">
        <f>SUMIFS(Imput[Importe Neto],Imput[C. Imp.],$D259,Imput[PERIODO Imp.],CN$9)</f>
        <v>0</v>
      </c>
      <c r="CO259" s="693">
        <f>SUMIFS(Imput[Importe Neto],Imput[C. Imp.],$D259,Imput[PERIODO Imp.],CO$9)</f>
        <v>0</v>
      </c>
      <c r="CP259" s="693">
        <f>SUMIFS(Imput[Importe Neto],Imput[C. Imp.],$D259,Imput[PERIODO Imp.],CP$9)</f>
        <v>0</v>
      </c>
      <c r="CQ259" s="693">
        <f>SUMIFS(Imput[Importe Neto],Imput[C. Imp.],$D259,Imput[PERIODO Imp.],CQ$9)</f>
        <v>0</v>
      </c>
      <c r="CR259" s="693">
        <f>SUMIFS(Imput[Importe Neto],Imput[C. Imp.],$D259,Imput[PERIODO Imp.],CR$9)</f>
        <v>0</v>
      </c>
      <c r="CS259" s="693">
        <f>SUMIFS(Imput[Importe Neto],Imput[C. Imp.],$D259,Imput[PERIODO Imp.],CS$9)</f>
        <v>0</v>
      </c>
      <c r="CT259" s="693">
        <f>SUMIFS(Imput[Importe Neto],Imput[C. Imp.],$D259,Imput[PERIODO Imp.],CT$9)</f>
        <v>0</v>
      </c>
      <c r="CU259" s="693">
        <f>SUMIFS(Imput[Importe Neto],Imput[C. Imp.],$D259,Imput[PERIODO Imp.],CU$9)</f>
        <v>0</v>
      </c>
      <c r="CV259" s="693">
        <f>SUMIFS(Imput[Importe Neto],Imput[C. Imp.],$D259,Imput[PERIODO Imp.],CV$9)</f>
        <v>0</v>
      </c>
      <c r="CW259" s="693">
        <f>SUMIFS(Imput[Importe Neto],Imput[C. Imp.],$D259,Imput[PERIODO Imp.],CW$9)</f>
        <v>0</v>
      </c>
      <c r="CX259" s="693">
        <f>SUMIFS(Imput[Importe Neto],Imput[C. Imp.],$D259,Imput[PERIODO Imp.],CX$9)</f>
        <v>0</v>
      </c>
      <c r="CY259" s="693">
        <f>SUMIFS(Imput[Importe Neto],Imput[C. Imp.],$D259,Imput[PERIODO Imp.],CY$9)</f>
        <v>0</v>
      </c>
      <c r="CZ259" s="693">
        <f>SUMIFS(Imput[Importe Neto],Imput[C. Imp.],$D259,Imput[PERIODO Imp.],CZ$9)</f>
        <v>0</v>
      </c>
      <c r="DA259" s="693">
        <f>SUMIFS(Imput[Importe Neto],Imput[C. Imp.],$D259,Imput[PERIODO Imp.],DA$9)</f>
        <v>0</v>
      </c>
      <c r="DB259" s="693">
        <f>SUMIFS(Imput[Importe Neto],Imput[C. Imp.],$D259,Imput[PERIODO Imp.],DB$9)</f>
        <v>0</v>
      </c>
      <c r="DC259" s="693">
        <f>SUMIFS(Imput[Importe Neto],Imput[C. Imp.],$D259,Imput[PERIODO Imp.],DC$9)</f>
        <v>0</v>
      </c>
      <c r="DD259" s="693">
        <f>SUMIFS(Imput[Importe Neto],Imput[C. Imp.],$D259,Imput[PERIODO Imp.],DD$9)</f>
        <v>0</v>
      </c>
      <c r="DE259" s="693">
        <f>SUMIFS(Imput[Importe Neto],Imput[C. Imp.],$D259,Imput[PERIODO Imp.],DE$9)</f>
        <v>0</v>
      </c>
      <c r="DF259" s="693">
        <f>SUMIFS(Imput[Importe Neto],Imput[C. Imp.],$D259,Imput[PERIODO Imp.],DF$9)</f>
        <v>0</v>
      </c>
      <c r="DG259" s="693">
        <f>SUMIFS(Imput[Importe Neto],Imput[C. Imp.],$D259,Imput[PERIODO Imp.],DG$9)</f>
        <v>0</v>
      </c>
      <c r="DH259" s="694">
        <f>SUMIFS(Imput[Importe Neto],Imput[C. Imp.],$D259,Imput[PERIODO Imp.],DH$9)</f>
        <v>0</v>
      </c>
    </row>
    <row r="260" spans="1:112" s="649" customFormat="1" hidden="1" outlineLevel="1" x14ac:dyDescent="0.3">
      <c r="A260" s="652" t="str">
        <f t="shared" si="130"/>
        <v/>
      </c>
      <c r="B260" s="652"/>
      <c r="C260" s="685"/>
      <c r="D260" s="686" t="s">
        <v>2338</v>
      </c>
      <c r="E260" s="686"/>
      <c r="F260" s="695"/>
      <c r="G260" s="688"/>
      <c r="H260" s="696"/>
      <c r="I260" s="851" t="str">
        <f t="shared" si="131"/>
        <v/>
      </c>
      <c r="J260" s="850" t="str">
        <f t="shared" si="134"/>
        <v/>
      </c>
      <c r="K260" s="667"/>
      <c r="L260" s="858"/>
      <c r="M260" s="859"/>
      <c r="N260" s="859"/>
      <c r="O260" s="859"/>
      <c r="P260" s="859"/>
      <c r="Q260" s="859"/>
      <c r="R260" s="859"/>
      <c r="S260" s="859"/>
      <c r="T260" s="859"/>
      <c r="U260" s="859"/>
      <c r="V260" s="859"/>
      <c r="W260" s="859"/>
      <c r="X260" s="859"/>
      <c r="Y260" s="859"/>
      <c r="Z260" s="860"/>
      <c r="AA260" s="860"/>
      <c r="AB260" s="860"/>
      <c r="AC260" s="860"/>
      <c r="AD260" s="860"/>
      <c r="AE260" s="860"/>
      <c r="AF260" s="860"/>
      <c r="AG260" s="860"/>
      <c r="AH260" s="860"/>
      <c r="AI260" s="860"/>
      <c r="AJ260" s="860"/>
      <c r="AK260" s="860"/>
      <c r="AL260" s="860"/>
      <c r="AM260" s="860"/>
      <c r="AN260" s="860"/>
      <c r="AO260" s="860"/>
      <c r="AP260" s="860"/>
      <c r="AQ260" s="860"/>
      <c r="AR260" s="860"/>
      <c r="AS260" s="860"/>
      <c r="AT260" s="860"/>
      <c r="AU260" s="860"/>
      <c r="AV260" s="860"/>
      <c r="AW260" s="860"/>
      <c r="AX260" s="860"/>
      <c r="AY260" s="860"/>
      <c r="AZ260" s="860"/>
      <c r="BA260" s="860"/>
      <c r="BB260" s="860"/>
      <c r="BC260" s="860"/>
      <c r="BD260" s="860"/>
      <c r="BE260" s="860"/>
      <c r="BF260" s="860"/>
      <c r="BG260" s="860"/>
      <c r="BH260" s="668"/>
      <c r="BI260" s="654"/>
      <c r="BJ260" s="690">
        <f t="shared" si="132"/>
        <v>0</v>
      </c>
      <c r="BK260" s="691">
        <f t="shared" si="133"/>
        <v>0</v>
      </c>
      <c r="BL260" s="654"/>
      <c r="BM260" s="697">
        <f>SUMIFS(Imput[Importe Neto],Imput[C. Imp.],$D260,Imput[PERIODO Imp.],BM$9)</f>
        <v>0</v>
      </c>
      <c r="BN260" s="698">
        <f>SUMIFS(Imput[Importe Neto],Imput[C. Imp.],$D260,Imput[PERIODO Imp.],BN$9)</f>
        <v>0</v>
      </c>
      <c r="BO260" s="698">
        <f>SUMIFS(Imput[Importe Neto],Imput[C. Imp.],$D260,Imput[PERIODO Imp.],BO$9)</f>
        <v>0</v>
      </c>
      <c r="BP260" s="698">
        <f>SUMIFS(Imput[Importe Neto],Imput[C. Imp.],$D260,Imput[PERIODO Imp.],BP$9)</f>
        <v>0</v>
      </c>
      <c r="BQ260" s="698">
        <f>SUMIFS(Imput[Importe Neto],Imput[C. Imp.],$D260,Imput[PERIODO Imp.],BQ$9)</f>
        <v>0</v>
      </c>
      <c r="BR260" s="698">
        <f>SUMIFS(Imput[Importe Neto],Imput[C. Imp.],$D260,Imput[PERIODO Imp.],BR$9)</f>
        <v>0</v>
      </c>
      <c r="BS260" s="698">
        <f>SUMIFS(Imput[Importe Neto],Imput[C. Imp.],$D260,Imput[PERIODO Imp.],BS$9)</f>
        <v>0</v>
      </c>
      <c r="BT260" s="698">
        <f>SUMIFS(Imput[Importe Neto],Imput[C. Imp.],$D260,Imput[PERIODO Imp.],BT$9)</f>
        <v>0</v>
      </c>
      <c r="BU260" s="698">
        <f>SUMIFS(Imput[Importe Neto],Imput[C. Imp.],$D260,Imput[PERIODO Imp.],BU$9)</f>
        <v>0</v>
      </c>
      <c r="BV260" s="698">
        <f>SUMIFS(Imput[Importe Neto],Imput[C. Imp.],$D260,Imput[PERIODO Imp.],BV$9)</f>
        <v>0</v>
      </c>
      <c r="BW260" s="698">
        <f>SUMIFS(Imput[Importe Neto],Imput[C. Imp.],$D260,Imput[PERIODO Imp.],BW$9)</f>
        <v>0</v>
      </c>
      <c r="BX260" s="698">
        <f>SUMIFS(Imput[Importe Neto],Imput[C. Imp.],$D260,Imput[PERIODO Imp.],BX$9)</f>
        <v>0</v>
      </c>
      <c r="BY260" s="698">
        <f>SUMIFS(Imput[Importe Neto],Imput[C. Imp.],$D260,Imput[PERIODO Imp.],BY$9)</f>
        <v>0</v>
      </c>
      <c r="BZ260" s="698">
        <f>SUMIFS(Imput[Importe Neto],Imput[C. Imp.],$D260,Imput[PERIODO Imp.],BZ$9)</f>
        <v>0</v>
      </c>
      <c r="CA260" s="698">
        <f>SUMIFS(Imput[Importe Neto],Imput[C. Imp.],$D260,Imput[PERIODO Imp.],CA$9)</f>
        <v>0</v>
      </c>
      <c r="CB260" s="698">
        <f>SUMIFS(Imput[Importe Neto],Imput[C. Imp.],$D260,Imput[PERIODO Imp.],CB$9)</f>
        <v>0</v>
      </c>
      <c r="CC260" s="698">
        <f>SUMIFS(Imput[Importe Neto],Imput[C. Imp.],$D260,Imput[PERIODO Imp.],CC$9)</f>
        <v>0</v>
      </c>
      <c r="CD260" s="698">
        <f>SUMIFS(Imput[Importe Neto],Imput[C. Imp.],$D260,Imput[PERIODO Imp.],CD$9)</f>
        <v>0</v>
      </c>
      <c r="CE260" s="698">
        <f>SUMIFS(Imput[Importe Neto],Imput[C. Imp.],$D260,Imput[PERIODO Imp.],CE$9)</f>
        <v>0</v>
      </c>
      <c r="CF260" s="698">
        <f>SUMIFS(Imput[Importe Neto],Imput[C. Imp.],$D260,Imput[PERIODO Imp.],CF$9)</f>
        <v>0</v>
      </c>
      <c r="CG260" s="698">
        <f>SUMIFS(Imput[Importe Neto],Imput[C. Imp.],$D260,Imput[PERIODO Imp.],CG$9)</f>
        <v>0</v>
      </c>
      <c r="CH260" s="698">
        <f>SUMIFS(Imput[Importe Neto],Imput[C. Imp.],$D260,Imput[PERIODO Imp.],CH$9)</f>
        <v>0</v>
      </c>
      <c r="CI260" s="698">
        <f>SUMIFS(Imput[Importe Neto],Imput[C. Imp.],$D260,Imput[PERIODO Imp.],CI$9)</f>
        <v>0</v>
      </c>
      <c r="CJ260" s="698">
        <f>SUMIFS(Imput[Importe Neto],Imput[C. Imp.],$D260,Imput[PERIODO Imp.],CJ$9)</f>
        <v>0</v>
      </c>
      <c r="CK260" s="698">
        <f>SUMIFS(Imput[Importe Neto],Imput[C. Imp.],$D260,Imput[PERIODO Imp.],CK$9)</f>
        <v>0</v>
      </c>
      <c r="CL260" s="698">
        <f>SUMIFS(Imput[Importe Neto],Imput[C. Imp.],$D260,Imput[PERIODO Imp.],CL$9)</f>
        <v>0</v>
      </c>
      <c r="CM260" s="698">
        <f>SUMIFS(Imput[Importe Neto],Imput[C. Imp.],$D260,Imput[PERIODO Imp.],CM$9)</f>
        <v>0</v>
      </c>
      <c r="CN260" s="698">
        <f>SUMIFS(Imput[Importe Neto],Imput[C. Imp.],$D260,Imput[PERIODO Imp.],CN$9)</f>
        <v>0</v>
      </c>
      <c r="CO260" s="698">
        <f>SUMIFS(Imput[Importe Neto],Imput[C. Imp.],$D260,Imput[PERIODO Imp.],CO$9)</f>
        <v>0</v>
      </c>
      <c r="CP260" s="698">
        <f>SUMIFS(Imput[Importe Neto],Imput[C. Imp.],$D260,Imput[PERIODO Imp.],CP$9)</f>
        <v>0</v>
      </c>
      <c r="CQ260" s="698">
        <f>SUMIFS(Imput[Importe Neto],Imput[C. Imp.],$D260,Imput[PERIODO Imp.],CQ$9)</f>
        <v>0</v>
      </c>
      <c r="CR260" s="698">
        <f>SUMIFS(Imput[Importe Neto],Imput[C. Imp.],$D260,Imput[PERIODO Imp.],CR$9)</f>
        <v>0</v>
      </c>
      <c r="CS260" s="698">
        <f>SUMIFS(Imput[Importe Neto],Imput[C. Imp.],$D260,Imput[PERIODO Imp.],CS$9)</f>
        <v>0</v>
      </c>
      <c r="CT260" s="698">
        <f>SUMIFS(Imput[Importe Neto],Imput[C. Imp.],$D260,Imput[PERIODO Imp.],CT$9)</f>
        <v>0</v>
      </c>
      <c r="CU260" s="698">
        <f>SUMIFS(Imput[Importe Neto],Imput[C. Imp.],$D260,Imput[PERIODO Imp.],CU$9)</f>
        <v>0</v>
      </c>
      <c r="CV260" s="698">
        <f>SUMIFS(Imput[Importe Neto],Imput[C. Imp.],$D260,Imput[PERIODO Imp.],CV$9)</f>
        <v>0</v>
      </c>
      <c r="CW260" s="698">
        <f>SUMIFS(Imput[Importe Neto],Imput[C. Imp.],$D260,Imput[PERIODO Imp.],CW$9)</f>
        <v>0</v>
      </c>
      <c r="CX260" s="698">
        <f>SUMIFS(Imput[Importe Neto],Imput[C. Imp.],$D260,Imput[PERIODO Imp.],CX$9)</f>
        <v>0</v>
      </c>
      <c r="CY260" s="698">
        <f>SUMIFS(Imput[Importe Neto],Imput[C. Imp.],$D260,Imput[PERIODO Imp.],CY$9)</f>
        <v>0</v>
      </c>
      <c r="CZ260" s="698">
        <f>SUMIFS(Imput[Importe Neto],Imput[C. Imp.],$D260,Imput[PERIODO Imp.],CZ$9)</f>
        <v>0</v>
      </c>
      <c r="DA260" s="698">
        <f>SUMIFS(Imput[Importe Neto],Imput[C. Imp.],$D260,Imput[PERIODO Imp.],DA$9)</f>
        <v>0</v>
      </c>
      <c r="DB260" s="698">
        <f>SUMIFS(Imput[Importe Neto],Imput[C. Imp.],$D260,Imput[PERIODO Imp.],DB$9)</f>
        <v>0</v>
      </c>
      <c r="DC260" s="698">
        <f>SUMIFS(Imput[Importe Neto],Imput[C. Imp.],$D260,Imput[PERIODO Imp.],DC$9)</f>
        <v>0</v>
      </c>
      <c r="DD260" s="698">
        <f>SUMIFS(Imput[Importe Neto],Imput[C. Imp.],$D260,Imput[PERIODO Imp.],DD$9)</f>
        <v>0</v>
      </c>
      <c r="DE260" s="698">
        <f>SUMIFS(Imput[Importe Neto],Imput[C. Imp.],$D260,Imput[PERIODO Imp.],DE$9)</f>
        <v>0</v>
      </c>
      <c r="DF260" s="698">
        <f>SUMIFS(Imput[Importe Neto],Imput[C. Imp.],$D260,Imput[PERIODO Imp.],DF$9)</f>
        <v>0</v>
      </c>
      <c r="DG260" s="698">
        <f>SUMIFS(Imput[Importe Neto],Imput[C. Imp.],$D260,Imput[PERIODO Imp.],DG$9)</f>
        <v>0</v>
      </c>
      <c r="DH260" s="795">
        <f>SUMIFS(Imput[Importe Neto],Imput[C. Imp.],$D260,Imput[PERIODO Imp.],DH$9)</f>
        <v>0</v>
      </c>
    </row>
    <row r="261" spans="1:112" s="649" customFormat="1" ht="14.4" outlineLevel="1" thickBot="1" x14ac:dyDescent="0.35">
      <c r="A261" s="652" t="str">
        <f>IF(J250&gt;0,"Imprimir","")</f>
        <v>Imprimir</v>
      </c>
      <c r="B261" s="652"/>
      <c r="C261" s="699"/>
      <c r="D261" s="700"/>
      <c r="E261" s="700"/>
      <c r="F261" s="701"/>
      <c r="G261" s="702"/>
      <c r="H261" s="703"/>
      <c r="I261" s="704"/>
      <c r="J261" s="705"/>
      <c r="K261" s="667"/>
      <c r="L261" s="706"/>
      <c r="M261" s="707"/>
      <c r="N261" s="777"/>
      <c r="O261" s="777"/>
      <c r="P261" s="778"/>
      <c r="Q261" s="778"/>
      <c r="R261" s="708"/>
      <c r="S261" s="708"/>
      <c r="T261" s="779"/>
      <c r="U261" s="779"/>
      <c r="V261" s="778"/>
      <c r="W261" s="778"/>
      <c r="X261" s="708"/>
      <c r="Y261" s="708"/>
      <c r="Z261" s="779"/>
      <c r="AA261" s="779"/>
      <c r="AB261" s="778"/>
      <c r="AC261" s="778"/>
      <c r="AD261" s="708"/>
      <c r="AE261" s="708"/>
      <c r="AF261" s="779"/>
      <c r="AG261" s="779"/>
      <c r="AH261" s="778"/>
      <c r="AI261" s="778"/>
      <c r="AJ261" s="778"/>
      <c r="AK261" s="778"/>
      <c r="AL261" s="778"/>
      <c r="AM261" s="778"/>
      <c r="AN261" s="778"/>
      <c r="AO261" s="778"/>
      <c r="AP261" s="778"/>
      <c r="AQ261" s="778"/>
      <c r="AR261" s="778"/>
      <c r="AS261" s="778"/>
      <c r="AT261" s="778"/>
      <c r="AU261" s="778"/>
      <c r="AV261" s="778"/>
      <c r="AW261" s="778"/>
      <c r="AX261" s="778"/>
      <c r="AY261" s="778"/>
      <c r="AZ261" s="778"/>
      <c r="BA261" s="778"/>
      <c r="BB261" s="778"/>
      <c r="BC261" s="778"/>
      <c r="BD261" s="778"/>
      <c r="BE261" s="778"/>
      <c r="BF261" s="778"/>
      <c r="BG261" s="778"/>
      <c r="BH261" s="780"/>
      <c r="BI261" s="654"/>
      <c r="BJ261" s="709"/>
      <c r="BK261" s="710"/>
      <c r="BL261" s="654"/>
      <c r="BM261" s="731"/>
      <c r="BN261" s="701"/>
      <c r="BO261" s="701"/>
      <c r="BP261" s="701"/>
      <c r="BQ261" s="701"/>
      <c r="BR261" s="701"/>
      <c r="BS261" s="701"/>
      <c r="BT261" s="701"/>
      <c r="BU261" s="701"/>
      <c r="BV261" s="701"/>
      <c r="BW261" s="701"/>
      <c r="BX261" s="701"/>
      <c r="BY261" s="701"/>
      <c r="BZ261" s="701"/>
      <c r="CA261" s="701"/>
      <c r="CB261" s="701"/>
      <c r="CC261" s="701"/>
      <c r="CD261" s="701"/>
      <c r="CE261" s="701"/>
      <c r="CF261" s="701"/>
      <c r="CG261" s="701"/>
      <c r="CH261" s="701"/>
      <c r="CI261" s="701"/>
      <c r="CJ261" s="701"/>
      <c r="CK261" s="701"/>
      <c r="CL261" s="701"/>
      <c r="CM261" s="701"/>
      <c r="CN261" s="701"/>
      <c r="CO261" s="701"/>
      <c r="CP261" s="701"/>
      <c r="CQ261" s="701"/>
      <c r="CR261" s="701"/>
      <c r="CS261" s="701"/>
      <c r="CT261" s="701"/>
      <c r="CU261" s="701"/>
      <c r="CV261" s="701"/>
      <c r="CW261" s="701"/>
      <c r="CX261" s="701"/>
      <c r="CY261" s="701"/>
      <c r="CZ261" s="701"/>
      <c r="DA261" s="701"/>
      <c r="DB261" s="701"/>
      <c r="DC261" s="701"/>
      <c r="DD261" s="701"/>
      <c r="DE261" s="701"/>
      <c r="DF261" s="701"/>
      <c r="DG261" s="701"/>
      <c r="DH261" s="710"/>
    </row>
    <row r="262" spans="1:112" s="649" customFormat="1" x14ac:dyDescent="0.3">
      <c r="A262" s="652" t="str">
        <f>IF(J262&gt;0,"Imprimir","")</f>
        <v>Imprimir</v>
      </c>
      <c r="B262" s="652"/>
      <c r="C262" s="711"/>
      <c r="D262" s="712" t="s">
        <v>390</v>
      </c>
      <c r="E262" s="712" t="s">
        <v>478</v>
      </c>
      <c r="F262" s="712"/>
      <c r="G262" s="713"/>
      <c r="H262" s="712"/>
      <c r="I262" s="714"/>
      <c r="J262" s="166">
        <f>SUBTOTAL(9,J265:J303)</f>
        <v>9174</v>
      </c>
      <c r="K262" s="658"/>
      <c r="L262" s="770">
        <f t="shared" ref="L262:BG262" si="135">SUMPRODUCT($J265:$J303,L265:L303)</f>
        <v>2752.2</v>
      </c>
      <c r="M262" s="771">
        <f t="shared" si="135"/>
        <v>0</v>
      </c>
      <c r="N262" s="771">
        <f t="shared" si="135"/>
        <v>0</v>
      </c>
      <c r="O262" s="771">
        <f t="shared" si="135"/>
        <v>0</v>
      </c>
      <c r="P262" s="771">
        <f t="shared" si="135"/>
        <v>2752.2</v>
      </c>
      <c r="Q262" s="771">
        <f t="shared" si="135"/>
        <v>0</v>
      </c>
      <c r="R262" s="771">
        <f t="shared" si="135"/>
        <v>0</v>
      </c>
      <c r="S262" s="771">
        <f t="shared" si="135"/>
        <v>0</v>
      </c>
      <c r="T262" s="771">
        <f t="shared" si="135"/>
        <v>0</v>
      </c>
      <c r="U262" s="771">
        <f t="shared" si="135"/>
        <v>0</v>
      </c>
      <c r="V262" s="771">
        <f t="shared" si="135"/>
        <v>0</v>
      </c>
      <c r="W262" s="771">
        <f t="shared" si="135"/>
        <v>2752.2</v>
      </c>
      <c r="X262" s="771">
        <f t="shared" si="135"/>
        <v>0</v>
      </c>
      <c r="Y262" s="771">
        <f t="shared" si="135"/>
        <v>0</v>
      </c>
      <c r="Z262" s="771">
        <f t="shared" si="135"/>
        <v>0</v>
      </c>
      <c r="AA262" s="771">
        <f t="shared" si="135"/>
        <v>0</v>
      </c>
      <c r="AB262" s="771">
        <f t="shared" si="135"/>
        <v>0</v>
      </c>
      <c r="AC262" s="771">
        <f t="shared" si="135"/>
        <v>0</v>
      </c>
      <c r="AD262" s="771">
        <f t="shared" si="135"/>
        <v>0</v>
      </c>
      <c r="AE262" s="771">
        <f t="shared" si="135"/>
        <v>917.4</v>
      </c>
      <c r="AF262" s="771">
        <f t="shared" si="135"/>
        <v>0</v>
      </c>
      <c r="AG262" s="771">
        <f t="shared" si="135"/>
        <v>0</v>
      </c>
      <c r="AH262" s="771">
        <f t="shared" si="135"/>
        <v>0</v>
      </c>
      <c r="AI262" s="771">
        <f t="shared" si="135"/>
        <v>0</v>
      </c>
      <c r="AJ262" s="771">
        <f t="shared" si="135"/>
        <v>0</v>
      </c>
      <c r="AK262" s="771">
        <f t="shared" si="135"/>
        <v>0</v>
      </c>
      <c r="AL262" s="771">
        <f t="shared" si="135"/>
        <v>0</v>
      </c>
      <c r="AM262" s="771">
        <f t="shared" si="135"/>
        <v>0</v>
      </c>
      <c r="AN262" s="771">
        <f t="shared" si="135"/>
        <v>0</v>
      </c>
      <c r="AO262" s="771">
        <f t="shared" si="135"/>
        <v>0</v>
      </c>
      <c r="AP262" s="771">
        <f t="shared" si="135"/>
        <v>0</v>
      </c>
      <c r="AQ262" s="771">
        <f t="shared" si="135"/>
        <v>0</v>
      </c>
      <c r="AR262" s="771">
        <f t="shared" si="135"/>
        <v>0</v>
      </c>
      <c r="AS262" s="771">
        <f t="shared" si="135"/>
        <v>0</v>
      </c>
      <c r="AT262" s="771">
        <f t="shared" si="135"/>
        <v>0</v>
      </c>
      <c r="AU262" s="771">
        <f t="shared" si="135"/>
        <v>0</v>
      </c>
      <c r="AV262" s="771">
        <f t="shared" si="135"/>
        <v>0</v>
      </c>
      <c r="AW262" s="771">
        <f t="shared" si="135"/>
        <v>0</v>
      </c>
      <c r="AX262" s="771">
        <f t="shared" si="135"/>
        <v>0</v>
      </c>
      <c r="AY262" s="771">
        <f t="shared" si="135"/>
        <v>0</v>
      </c>
      <c r="AZ262" s="771">
        <f t="shared" si="135"/>
        <v>0</v>
      </c>
      <c r="BA262" s="771">
        <f t="shared" si="135"/>
        <v>0</v>
      </c>
      <c r="BB262" s="771">
        <f t="shared" si="135"/>
        <v>0</v>
      </c>
      <c r="BC262" s="771">
        <f t="shared" si="135"/>
        <v>0</v>
      </c>
      <c r="BD262" s="771">
        <f t="shared" si="135"/>
        <v>0</v>
      </c>
      <c r="BE262" s="771">
        <f t="shared" si="135"/>
        <v>0</v>
      </c>
      <c r="BF262" s="771">
        <f t="shared" si="135"/>
        <v>0</v>
      </c>
      <c r="BG262" s="764">
        <f t="shared" si="135"/>
        <v>0</v>
      </c>
      <c r="BH262" s="776"/>
      <c r="BI262" s="654"/>
      <c r="BJ262" s="659">
        <f>IFERROR(BK262/J262,0)</f>
        <v>3.2490734684979286</v>
      </c>
      <c r="BK262" s="660">
        <f>SUBTOTAL(9,BK263:BK303)</f>
        <v>29806.999999999996</v>
      </c>
      <c r="BL262" s="654"/>
      <c r="BM262" s="661">
        <f t="shared" ref="BM262:DH262" si="136">SUBTOTAL(9,BM263:BM303)</f>
        <v>0</v>
      </c>
      <c r="BN262" s="662">
        <f t="shared" si="136"/>
        <v>0</v>
      </c>
      <c r="BO262" s="662">
        <f t="shared" si="136"/>
        <v>9100</v>
      </c>
      <c r="BP262" s="662">
        <f t="shared" si="136"/>
        <v>13282</v>
      </c>
      <c r="BQ262" s="662">
        <f t="shared" si="136"/>
        <v>0</v>
      </c>
      <c r="BR262" s="662">
        <f t="shared" si="136"/>
        <v>7425</v>
      </c>
      <c r="BS262" s="662">
        <f t="shared" si="136"/>
        <v>0</v>
      </c>
      <c r="BT262" s="662">
        <f t="shared" si="136"/>
        <v>0</v>
      </c>
      <c r="BU262" s="662">
        <f t="shared" si="136"/>
        <v>0</v>
      </c>
      <c r="BV262" s="662">
        <f t="shared" si="136"/>
        <v>0</v>
      </c>
      <c r="BW262" s="662">
        <f t="shared" si="136"/>
        <v>0</v>
      </c>
      <c r="BX262" s="662">
        <f t="shared" si="136"/>
        <v>0</v>
      </c>
      <c r="BY262" s="662">
        <f t="shared" si="136"/>
        <v>0</v>
      </c>
      <c r="BZ262" s="662">
        <f t="shared" si="136"/>
        <v>0</v>
      </c>
      <c r="CA262" s="662">
        <f t="shared" si="136"/>
        <v>0</v>
      </c>
      <c r="CB262" s="662">
        <f t="shared" si="136"/>
        <v>0</v>
      </c>
      <c r="CC262" s="662">
        <f t="shared" si="136"/>
        <v>0</v>
      </c>
      <c r="CD262" s="662">
        <f t="shared" si="136"/>
        <v>0</v>
      </c>
      <c r="CE262" s="662">
        <f t="shared" si="136"/>
        <v>0</v>
      </c>
      <c r="CF262" s="662">
        <f t="shared" si="136"/>
        <v>0</v>
      </c>
      <c r="CG262" s="662">
        <f t="shared" si="136"/>
        <v>0</v>
      </c>
      <c r="CH262" s="662">
        <f t="shared" si="136"/>
        <v>0</v>
      </c>
      <c r="CI262" s="662">
        <f t="shared" si="136"/>
        <v>0</v>
      </c>
      <c r="CJ262" s="662">
        <f t="shared" si="136"/>
        <v>0</v>
      </c>
      <c r="CK262" s="662">
        <f t="shared" si="136"/>
        <v>0</v>
      </c>
      <c r="CL262" s="662">
        <f t="shared" si="136"/>
        <v>0</v>
      </c>
      <c r="CM262" s="662">
        <f t="shared" si="136"/>
        <v>0</v>
      </c>
      <c r="CN262" s="662">
        <f t="shared" si="136"/>
        <v>0</v>
      </c>
      <c r="CO262" s="662">
        <f t="shared" si="136"/>
        <v>0</v>
      </c>
      <c r="CP262" s="662">
        <f t="shared" si="136"/>
        <v>0</v>
      </c>
      <c r="CQ262" s="662">
        <f t="shared" si="136"/>
        <v>0</v>
      </c>
      <c r="CR262" s="662">
        <f t="shared" si="136"/>
        <v>0</v>
      </c>
      <c r="CS262" s="662">
        <f t="shared" si="136"/>
        <v>0</v>
      </c>
      <c r="CT262" s="662">
        <f t="shared" si="136"/>
        <v>0</v>
      </c>
      <c r="CU262" s="662">
        <f t="shared" si="136"/>
        <v>0</v>
      </c>
      <c r="CV262" s="662">
        <f t="shared" si="136"/>
        <v>0</v>
      </c>
      <c r="CW262" s="662">
        <f t="shared" si="136"/>
        <v>0</v>
      </c>
      <c r="CX262" s="662">
        <f t="shared" si="136"/>
        <v>0</v>
      </c>
      <c r="CY262" s="662">
        <f t="shared" si="136"/>
        <v>0</v>
      </c>
      <c r="CZ262" s="662">
        <f t="shared" si="136"/>
        <v>0</v>
      </c>
      <c r="DA262" s="662">
        <f t="shared" si="136"/>
        <v>0</v>
      </c>
      <c r="DB262" s="662">
        <f t="shared" si="136"/>
        <v>0</v>
      </c>
      <c r="DC262" s="662">
        <f t="shared" si="136"/>
        <v>0</v>
      </c>
      <c r="DD262" s="662">
        <f t="shared" si="136"/>
        <v>0</v>
      </c>
      <c r="DE262" s="662">
        <f t="shared" si="136"/>
        <v>0</v>
      </c>
      <c r="DF262" s="662">
        <f t="shared" si="136"/>
        <v>0</v>
      </c>
      <c r="DG262" s="662">
        <f t="shared" si="136"/>
        <v>0</v>
      </c>
      <c r="DH262" s="663">
        <f t="shared" si="136"/>
        <v>0</v>
      </c>
    </row>
    <row r="263" spans="1:112" s="649" customFormat="1" outlineLevel="1" x14ac:dyDescent="0.3">
      <c r="A263" s="652" t="str">
        <f>IF(J262&gt;0,"Imprimir","")</f>
        <v>Imprimir</v>
      </c>
      <c r="B263" s="652"/>
      <c r="C263" s="664"/>
      <c r="D263" s="665"/>
      <c r="E263" s="665"/>
      <c r="F263" s="665" t="s">
        <v>472</v>
      </c>
      <c r="G263" s="716" t="s">
        <v>2128</v>
      </c>
      <c r="H263" s="665" t="s">
        <v>98</v>
      </c>
      <c r="I263" s="665" t="s">
        <v>474</v>
      </c>
      <c r="J263" s="104" t="s">
        <v>29</v>
      </c>
      <c r="K263" s="667"/>
      <c r="L263" s="745"/>
      <c r="M263" s="741"/>
      <c r="N263" s="741"/>
      <c r="O263" s="741"/>
      <c r="P263" s="741"/>
      <c r="Q263" s="741"/>
      <c r="R263" s="741"/>
      <c r="S263" s="741"/>
      <c r="T263" s="741"/>
      <c r="U263" s="741"/>
      <c r="V263" s="741"/>
      <c r="W263" s="741"/>
      <c r="X263" s="741"/>
      <c r="Y263" s="741"/>
      <c r="Z263" s="741"/>
      <c r="AA263" s="741"/>
      <c r="AB263" s="741"/>
      <c r="AC263" s="741"/>
      <c r="AD263" s="741"/>
      <c r="AE263" s="741"/>
      <c r="AF263" s="741"/>
      <c r="AG263" s="741"/>
      <c r="AH263" s="741"/>
      <c r="AI263" s="741"/>
      <c r="AJ263" s="741"/>
      <c r="AK263" s="741"/>
      <c r="AL263" s="741"/>
      <c r="AM263" s="741"/>
      <c r="AN263" s="741"/>
      <c r="AO263" s="741"/>
      <c r="AP263" s="741"/>
      <c r="AQ263" s="741"/>
      <c r="AR263" s="741"/>
      <c r="AS263" s="741"/>
      <c r="AT263" s="741"/>
      <c r="AU263" s="741"/>
      <c r="AV263" s="741"/>
      <c r="AW263" s="741"/>
      <c r="AX263" s="741"/>
      <c r="AY263" s="741"/>
      <c r="AZ263" s="741"/>
      <c r="BA263" s="741"/>
      <c r="BB263" s="741"/>
      <c r="BC263" s="741"/>
      <c r="BD263" s="741"/>
      <c r="BE263" s="741"/>
      <c r="BF263" s="741"/>
      <c r="BG263" s="741"/>
      <c r="BH263" s="668"/>
      <c r="BI263" s="654"/>
      <c r="BJ263" s="669"/>
      <c r="BK263" s="670"/>
      <c r="BL263" s="654"/>
      <c r="BM263" s="671"/>
      <c r="BN263" s="665"/>
      <c r="BO263" s="665"/>
      <c r="BP263" s="665"/>
      <c r="BQ263" s="665"/>
      <c r="BR263" s="665"/>
      <c r="BS263" s="665"/>
      <c r="BT263" s="665"/>
      <c r="BU263" s="665"/>
      <c r="BV263" s="665"/>
      <c r="BW263" s="665"/>
      <c r="BX263" s="665"/>
      <c r="BY263" s="665"/>
      <c r="BZ263" s="665"/>
      <c r="CA263" s="665"/>
      <c r="CB263" s="665"/>
      <c r="CC263" s="665"/>
      <c r="CD263" s="665"/>
      <c r="CE263" s="665"/>
      <c r="CF263" s="665"/>
      <c r="CG263" s="665"/>
      <c r="CH263" s="665"/>
      <c r="CI263" s="665"/>
      <c r="CJ263" s="665"/>
      <c r="CK263" s="665"/>
      <c r="CL263" s="665"/>
      <c r="CM263" s="665"/>
      <c r="CN263" s="665"/>
      <c r="CO263" s="665"/>
      <c r="CP263" s="665"/>
      <c r="CQ263" s="665"/>
      <c r="CR263" s="665"/>
      <c r="CS263" s="665"/>
      <c r="CT263" s="665"/>
      <c r="CU263" s="665"/>
      <c r="CV263" s="665"/>
      <c r="CW263" s="665"/>
      <c r="CX263" s="665"/>
      <c r="CY263" s="665"/>
      <c r="CZ263" s="665"/>
      <c r="DA263" s="665"/>
      <c r="DB263" s="665"/>
      <c r="DC263" s="665"/>
      <c r="DD263" s="665"/>
      <c r="DE263" s="665"/>
      <c r="DF263" s="665"/>
      <c r="DG263" s="665"/>
      <c r="DH263" s="666"/>
    </row>
    <row r="264" spans="1:112" s="649" customFormat="1" ht="15.6" outlineLevel="1" x14ac:dyDescent="0.3">
      <c r="A264" s="652" t="str">
        <f>IF(J264&gt;0,"Imprimir","")</f>
        <v>Imprimir</v>
      </c>
      <c r="B264" s="652"/>
      <c r="C264" s="672"/>
      <c r="D264" s="673"/>
      <c r="E264" s="674"/>
      <c r="F264" s="675"/>
      <c r="G264" s="717"/>
      <c r="H264" s="718"/>
      <c r="I264" s="719"/>
      <c r="J264" s="219">
        <f>SUBTOTAL(9,J265:J303)</f>
        <v>9174</v>
      </c>
      <c r="K264" s="678"/>
      <c r="L264" s="747"/>
      <c r="M264" s="742"/>
      <c r="N264" s="742"/>
      <c r="O264" s="742"/>
      <c r="P264" s="742"/>
      <c r="Q264" s="742"/>
      <c r="R264" s="742"/>
      <c r="S264" s="742"/>
      <c r="T264" s="742"/>
      <c r="U264" s="742"/>
      <c r="V264" s="742"/>
      <c r="W264" s="742"/>
      <c r="X264" s="742"/>
      <c r="Y264" s="742"/>
      <c r="Z264" s="742"/>
      <c r="AA264" s="742"/>
      <c r="AB264" s="742"/>
      <c r="AC264" s="742"/>
      <c r="AD264" s="742"/>
      <c r="AE264" s="742"/>
      <c r="AF264" s="742"/>
      <c r="AG264" s="742"/>
      <c r="AH264" s="742"/>
      <c r="AI264" s="742"/>
      <c r="AJ264" s="742"/>
      <c r="AK264" s="742"/>
      <c r="AL264" s="742"/>
      <c r="AM264" s="742"/>
      <c r="AN264" s="742"/>
      <c r="AO264" s="742"/>
      <c r="AP264" s="742"/>
      <c r="AQ264" s="742"/>
      <c r="AR264" s="742"/>
      <c r="AS264" s="742"/>
      <c r="AT264" s="742"/>
      <c r="AU264" s="742"/>
      <c r="AV264" s="742"/>
      <c r="AW264" s="742"/>
      <c r="AX264" s="742"/>
      <c r="AY264" s="742"/>
      <c r="AZ264" s="742"/>
      <c r="BA264" s="742"/>
      <c r="BB264" s="742"/>
      <c r="BC264" s="742"/>
      <c r="BD264" s="742"/>
      <c r="BE264" s="742"/>
      <c r="BF264" s="742"/>
      <c r="BG264" s="742"/>
      <c r="BH264" s="668"/>
      <c r="BI264" s="654"/>
      <c r="BJ264" s="680"/>
      <c r="BK264" s="681"/>
      <c r="BL264" s="654"/>
      <c r="BM264" s="682"/>
      <c r="BN264" s="683"/>
      <c r="BO264" s="683"/>
      <c r="BP264" s="683"/>
      <c r="BQ264" s="683"/>
      <c r="BR264" s="683"/>
      <c r="BS264" s="683"/>
      <c r="BT264" s="683"/>
      <c r="BU264" s="683"/>
      <c r="BV264" s="683"/>
      <c r="BW264" s="683"/>
      <c r="BX264" s="683"/>
      <c r="BY264" s="683"/>
      <c r="BZ264" s="683"/>
      <c r="CA264" s="683"/>
      <c r="CB264" s="683"/>
      <c r="CC264" s="683"/>
      <c r="CD264" s="683"/>
      <c r="CE264" s="683"/>
      <c r="CF264" s="683"/>
      <c r="CG264" s="683"/>
      <c r="CH264" s="683"/>
      <c r="CI264" s="683"/>
      <c r="CJ264" s="683"/>
      <c r="CK264" s="683"/>
      <c r="CL264" s="683"/>
      <c r="CM264" s="683"/>
      <c r="CN264" s="683"/>
      <c r="CO264" s="683"/>
      <c r="CP264" s="683"/>
      <c r="CQ264" s="683"/>
      <c r="CR264" s="683"/>
      <c r="CS264" s="683"/>
      <c r="CT264" s="683"/>
      <c r="CU264" s="683"/>
      <c r="CV264" s="683"/>
      <c r="CW264" s="683"/>
      <c r="CX264" s="683"/>
      <c r="CY264" s="683"/>
      <c r="CZ264" s="683"/>
      <c r="DA264" s="683"/>
      <c r="DB264" s="683"/>
      <c r="DC264" s="683"/>
      <c r="DD264" s="683"/>
      <c r="DE264" s="683"/>
      <c r="DF264" s="683"/>
      <c r="DG264" s="683"/>
      <c r="DH264" s="684"/>
    </row>
    <row r="265" spans="1:112" s="649" customFormat="1" outlineLevel="1" x14ac:dyDescent="0.3">
      <c r="A265" s="652" t="str">
        <f t="shared" ref="A265:A302" si="137">IF(J265="","",IF(J265=0,"","Imprimir"))</f>
        <v>Imprimir</v>
      </c>
      <c r="B265" s="652"/>
      <c r="C265" s="685"/>
      <c r="D265" s="686" t="s">
        <v>2339</v>
      </c>
      <c r="E265" s="686" t="s">
        <v>479</v>
      </c>
      <c r="F265" s="720"/>
      <c r="G265" s="688">
        <v>500</v>
      </c>
      <c r="H265" s="689">
        <f>Producción!G34*0.3</f>
        <v>9.9</v>
      </c>
      <c r="I265" s="851">
        <f t="shared" ref="I265:I302" si="138">IF(E265&gt;0,$J$5,"")</f>
        <v>1</v>
      </c>
      <c r="J265" s="850">
        <f t="shared" ref="J265:J302" si="139">IFERROR(G265*H265*I265,"")</f>
        <v>4950</v>
      </c>
      <c r="K265" s="667"/>
      <c r="L265" s="858">
        <v>0.3</v>
      </c>
      <c r="M265" s="859"/>
      <c r="N265" s="859"/>
      <c r="O265" s="859"/>
      <c r="P265" s="859">
        <v>0.3</v>
      </c>
      <c r="Q265" s="859"/>
      <c r="R265" s="859"/>
      <c r="S265" s="859"/>
      <c r="T265" s="859"/>
      <c r="U265" s="859"/>
      <c r="V265" s="859"/>
      <c r="W265" s="859">
        <v>0.3</v>
      </c>
      <c r="X265" s="859"/>
      <c r="Y265" s="859"/>
      <c r="Z265" s="860"/>
      <c r="AA265" s="860"/>
      <c r="AB265" s="860"/>
      <c r="AC265" s="860"/>
      <c r="AD265" s="860"/>
      <c r="AE265" s="860">
        <v>0.1</v>
      </c>
      <c r="AF265" s="860"/>
      <c r="AG265" s="860"/>
      <c r="AH265" s="860"/>
      <c r="AI265" s="860"/>
      <c r="AJ265" s="860"/>
      <c r="AK265" s="860"/>
      <c r="AL265" s="860"/>
      <c r="AM265" s="860"/>
      <c r="AN265" s="860"/>
      <c r="AO265" s="860"/>
      <c r="AP265" s="860"/>
      <c r="AQ265" s="860"/>
      <c r="AR265" s="860"/>
      <c r="AS265" s="860"/>
      <c r="AT265" s="860"/>
      <c r="AU265" s="860"/>
      <c r="AV265" s="860"/>
      <c r="AW265" s="860"/>
      <c r="AX265" s="860"/>
      <c r="AY265" s="860"/>
      <c r="AZ265" s="860"/>
      <c r="BA265" s="860"/>
      <c r="BB265" s="860"/>
      <c r="BC265" s="860"/>
      <c r="BD265" s="860"/>
      <c r="BE265" s="860"/>
      <c r="BF265" s="860"/>
      <c r="BG265" s="860"/>
      <c r="BH265" s="668"/>
      <c r="BI265" s="667"/>
      <c r="BJ265" s="690">
        <f t="shared" ref="BJ265:BJ302" si="140">IFERROR(BK265/J265,0)</f>
        <v>2.9919865319865315</v>
      </c>
      <c r="BK265" s="691">
        <f t="shared" ref="BK265:BK302" si="141">SUM(BM265:DH265)</f>
        <v>14810.333333333332</v>
      </c>
      <c r="BL265" s="654"/>
      <c r="BM265" s="692">
        <f>SUMIFS(Imput[Importe Neto],Imput[C. Imp.],$D265,Imput[PERIODO Imp.],BM$9)</f>
        <v>0</v>
      </c>
      <c r="BN265" s="693">
        <f>SUMIFS(Imput[Importe Neto],Imput[C. Imp.],$D265,Imput[PERIODO Imp.],BN$9)</f>
        <v>0</v>
      </c>
      <c r="BO265" s="693">
        <f>SUMIFS(Imput[Importe Neto],Imput[C. Imp.],$D265,Imput[PERIODO Imp.],BO$9)</f>
        <v>2958</v>
      </c>
      <c r="BP265" s="693">
        <f>SUMIFS(Imput[Importe Neto],Imput[C. Imp.],$D265,Imput[PERIODO Imp.],BP$9)</f>
        <v>4427.333333333333</v>
      </c>
      <c r="BQ265" s="693">
        <f>SUMIFS(Imput[Importe Neto],Imput[C. Imp.],$D265,Imput[PERIODO Imp.],BQ$9)</f>
        <v>0</v>
      </c>
      <c r="BR265" s="693">
        <f>SUMIFS(Imput[Importe Neto],Imput[C. Imp.],$D265,Imput[PERIODO Imp.],BR$9)</f>
        <v>7425</v>
      </c>
      <c r="BS265" s="693">
        <f>SUMIFS(Imput[Importe Neto],Imput[C. Imp.],$D265,Imput[PERIODO Imp.],BS$9)</f>
        <v>0</v>
      </c>
      <c r="BT265" s="693">
        <f>SUMIFS(Imput[Importe Neto],Imput[C. Imp.],$D265,Imput[PERIODO Imp.],BT$9)</f>
        <v>0</v>
      </c>
      <c r="BU265" s="693">
        <f>SUMIFS(Imput[Importe Neto],Imput[C. Imp.],$D265,Imput[PERIODO Imp.],BU$9)</f>
        <v>0</v>
      </c>
      <c r="BV265" s="693">
        <f>SUMIFS(Imput[Importe Neto],Imput[C. Imp.],$D265,Imput[PERIODO Imp.],BV$9)</f>
        <v>0</v>
      </c>
      <c r="BW265" s="693">
        <f>SUMIFS(Imput[Importe Neto],Imput[C. Imp.],$D265,Imput[PERIODO Imp.],BW$9)</f>
        <v>0</v>
      </c>
      <c r="BX265" s="693">
        <f>SUMIFS(Imput[Importe Neto],Imput[C. Imp.],$D265,Imput[PERIODO Imp.],BX$9)</f>
        <v>0</v>
      </c>
      <c r="BY265" s="693">
        <f>SUMIFS(Imput[Importe Neto],Imput[C. Imp.],$D265,Imput[PERIODO Imp.],BY$9)</f>
        <v>0</v>
      </c>
      <c r="BZ265" s="693">
        <f>SUMIFS(Imput[Importe Neto],Imput[C. Imp.],$D265,Imput[PERIODO Imp.],BZ$9)</f>
        <v>0</v>
      </c>
      <c r="CA265" s="693">
        <f>SUMIFS(Imput[Importe Neto],Imput[C. Imp.],$D265,Imput[PERIODO Imp.],CA$9)</f>
        <v>0</v>
      </c>
      <c r="CB265" s="693">
        <f>SUMIFS(Imput[Importe Neto],Imput[C. Imp.],$D265,Imput[PERIODO Imp.],CB$9)</f>
        <v>0</v>
      </c>
      <c r="CC265" s="693">
        <f>SUMIFS(Imput[Importe Neto],Imput[C. Imp.],$D265,Imput[PERIODO Imp.],CC$9)</f>
        <v>0</v>
      </c>
      <c r="CD265" s="693">
        <f>SUMIFS(Imput[Importe Neto],Imput[C. Imp.],$D265,Imput[PERIODO Imp.],CD$9)</f>
        <v>0</v>
      </c>
      <c r="CE265" s="693">
        <f>SUMIFS(Imput[Importe Neto],Imput[C. Imp.],$D265,Imput[PERIODO Imp.],CE$9)</f>
        <v>0</v>
      </c>
      <c r="CF265" s="693">
        <f>SUMIFS(Imput[Importe Neto],Imput[C. Imp.],$D265,Imput[PERIODO Imp.],CF$9)</f>
        <v>0</v>
      </c>
      <c r="CG265" s="693">
        <f>SUMIFS(Imput[Importe Neto],Imput[C. Imp.],$D265,Imput[PERIODO Imp.],CG$9)</f>
        <v>0</v>
      </c>
      <c r="CH265" s="693">
        <f>SUMIFS(Imput[Importe Neto],Imput[C. Imp.],$D265,Imput[PERIODO Imp.],CH$9)</f>
        <v>0</v>
      </c>
      <c r="CI265" s="693">
        <f>SUMIFS(Imput[Importe Neto],Imput[C. Imp.],$D265,Imput[PERIODO Imp.],CI$9)</f>
        <v>0</v>
      </c>
      <c r="CJ265" s="693">
        <f>SUMIFS(Imput[Importe Neto],Imput[C. Imp.],$D265,Imput[PERIODO Imp.],CJ$9)</f>
        <v>0</v>
      </c>
      <c r="CK265" s="693">
        <f>SUMIFS(Imput[Importe Neto],Imput[C. Imp.],$D265,Imput[PERIODO Imp.],CK$9)</f>
        <v>0</v>
      </c>
      <c r="CL265" s="693">
        <f>SUMIFS(Imput[Importe Neto],Imput[C. Imp.],$D265,Imput[PERIODO Imp.],CL$9)</f>
        <v>0</v>
      </c>
      <c r="CM265" s="693">
        <f>SUMIFS(Imput[Importe Neto],Imput[C. Imp.],$D265,Imput[PERIODO Imp.],CM$9)</f>
        <v>0</v>
      </c>
      <c r="CN265" s="693">
        <f>SUMIFS(Imput[Importe Neto],Imput[C. Imp.],$D265,Imput[PERIODO Imp.],CN$9)</f>
        <v>0</v>
      </c>
      <c r="CO265" s="693">
        <f>SUMIFS(Imput[Importe Neto],Imput[C. Imp.],$D265,Imput[PERIODO Imp.],CO$9)</f>
        <v>0</v>
      </c>
      <c r="CP265" s="693">
        <f>SUMIFS(Imput[Importe Neto],Imput[C. Imp.],$D265,Imput[PERIODO Imp.],CP$9)</f>
        <v>0</v>
      </c>
      <c r="CQ265" s="693">
        <f>SUMIFS(Imput[Importe Neto],Imput[C. Imp.],$D265,Imput[PERIODO Imp.],CQ$9)</f>
        <v>0</v>
      </c>
      <c r="CR265" s="693">
        <f>SUMIFS(Imput[Importe Neto],Imput[C. Imp.],$D265,Imput[PERIODO Imp.],CR$9)</f>
        <v>0</v>
      </c>
      <c r="CS265" s="693">
        <f>SUMIFS(Imput[Importe Neto],Imput[C. Imp.],$D265,Imput[PERIODO Imp.],CS$9)</f>
        <v>0</v>
      </c>
      <c r="CT265" s="693">
        <f>SUMIFS(Imput[Importe Neto],Imput[C. Imp.],$D265,Imput[PERIODO Imp.],CT$9)</f>
        <v>0</v>
      </c>
      <c r="CU265" s="693">
        <f>SUMIFS(Imput[Importe Neto],Imput[C. Imp.],$D265,Imput[PERIODO Imp.],CU$9)</f>
        <v>0</v>
      </c>
      <c r="CV265" s="693">
        <f>SUMIFS(Imput[Importe Neto],Imput[C. Imp.],$D265,Imput[PERIODO Imp.],CV$9)</f>
        <v>0</v>
      </c>
      <c r="CW265" s="693">
        <f>SUMIFS(Imput[Importe Neto],Imput[C. Imp.],$D265,Imput[PERIODO Imp.],CW$9)</f>
        <v>0</v>
      </c>
      <c r="CX265" s="693">
        <f>SUMIFS(Imput[Importe Neto],Imput[C. Imp.],$D265,Imput[PERIODO Imp.],CX$9)</f>
        <v>0</v>
      </c>
      <c r="CY265" s="693">
        <f>SUMIFS(Imput[Importe Neto],Imput[C. Imp.],$D265,Imput[PERIODO Imp.],CY$9)</f>
        <v>0</v>
      </c>
      <c r="CZ265" s="693">
        <f>SUMIFS(Imput[Importe Neto],Imput[C. Imp.],$D265,Imput[PERIODO Imp.],CZ$9)</f>
        <v>0</v>
      </c>
      <c r="DA265" s="693">
        <f>SUMIFS(Imput[Importe Neto],Imput[C. Imp.],$D265,Imput[PERIODO Imp.],DA$9)</f>
        <v>0</v>
      </c>
      <c r="DB265" s="693">
        <f>SUMIFS(Imput[Importe Neto],Imput[C. Imp.],$D265,Imput[PERIODO Imp.],DB$9)</f>
        <v>0</v>
      </c>
      <c r="DC265" s="693">
        <f>SUMIFS(Imput[Importe Neto],Imput[C. Imp.],$D265,Imput[PERIODO Imp.],DC$9)</f>
        <v>0</v>
      </c>
      <c r="DD265" s="693">
        <f>SUMIFS(Imput[Importe Neto],Imput[C. Imp.],$D265,Imput[PERIODO Imp.],DD$9)</f>
        <v>0</v>
      </c>
      <c r="DE265" s="693">
        <f>SUMIFS(Imput[Importe Neto],Imput[C. Imp.],$D265,Imput[PERIODO Imp.],DE$9)</f>
        <v>0</v>
      </c>
      <c r="DF265" s="693">
        <f>SUMIFS(Imput[Importe Neto],Imput[C. Imp.],$D265,Imput[PERIODO Imp.],DF$9)</f>
        <v>0</v>
      </c>
      <c r="DG265" s="693">
        <f>SUMIFS(Imput[Importe Neto],Imput[C. Imp.],$D265,Imput[PERIODO Imp.],DG$9)</f>
        <v>0</v>
      </c>
      <c r="DH265" s="694">
        <f>SUMIFS(Imput[Importe Neto],Imput[C. Imp.],$D265,Imput[PERIODO Imp.],DH$9)</f>
        <v>0</v>
      </c>
    </row>
    <row r="266" spans="1:112" s="649" customFormat="1" outlineLevel="1" x14ac:dyDescent="0.3">
      <c r="A266" s="652" t="str">
        <f t="shared" si="137"/>
        <v>Imprimir</v>
      </c>
      <c r="B266" s="652"/>
      <c r="C266" s="685"/>
      <c r="D266" s="686" t="s">
        <v>2340</v>
      </c>
      <c r="E266" s="686" t="s">
        <v>480</v>
      </c>
      <c r="F266" s="720"/>
      <c r="G266" s="688">
        <v>500</v>
      </c>
      <c r="H266" s="689">
        <f>Producción!G34*0.25</f>
        <v>8.25</v>
      </c>
      <c r="I266" s="851">
        <f t="shared" si="138"/>
        <v>1</v>
      </c>
      <c r="J266" s="852">
        <f t="shared" si="139"/>
        <v>4125</v>
      </c>
      <c r="K266" s="667"/>
      <c r="L266" s="858">
        <v>0.3</v>
      </c>
      <c r="M266" s="859"/>
      <c r="N266" s="859"/>
      <c r="O266" s="859"/>
      <c r="P266" s="859">
        <v>0.3</v>
      </c>
      <c r="Q266" s="859"/>
      <c r="R266" s="859"/>
      <c r="S266" s="859"/>
      <c r="T266" s="859"/>
      <c r="U266" s="859"/>
      <c r="V266" s="859"/>
      <c r="W266" s="859">
        <v>0.3</v>
      </c>
      <c r="X266" s="859"/>
      <c r="Y266" s="859"/>
      <c r="Z266" s="860"/>
      <c r="AA266" s="860"/>
      <c r="AB266" s="860"/>
      <c r="AC266" s="860"/>
      <c r="AD266" s="860"/>
      <c r="AE266" s="860">
        <v>0.1</v>
      </c>
      <c r="AF266" s="860"/>
      <c r="AG266" s="860"/>
      <c r="AH266" s="860"/>
      <c r="AI266" s="860"/>
      <c r="AJ266" s="860"/>
      <c r="AK266" s="860"/>
      <c r="AL266" s="860"/>
      <c r="AM266" s="860"/>
      <c r="AN266" s="860"/>
      <c r="AO266" s="860"/>
      <c r="AP266" s="860"/>
      <c r="AQ266" s="860"/>
      <c r="AR266" s="860"/>
      <c r="AS266" s="860"/>
      <c r="AT266" s="860"/>
      <c r="AU266" s="860"/>
      <c r="AV266" s="860"/>
      <c r="AW266" s="860"/>
      <c r="AX266" s="860"/>
      <c r="AY266" s="860"/>
      <c r="AZ266" s="860"/>
      <c r="BA266" s="860"/>
      <c r="BB266" s="860"/>
      <c r="BC266" s="860"/>
      <c r="BD266" s="860"/>
      <c r="BE266" s="860"/>
      <c r="BF266" s="860"/>
      <c r="BG266" s="860"/>
      <c r="BH266" s="668"/>
      <c r="BI266" s="667"/>
      <c r="BJ266" s="690">
        <f t="shared" si="140"/>
        <v>1.9731717171717171</v>
      </c>
      <c r="BK266" s="691">
        <f t="shared" si="141"/>
        <v>8139.333333333333</v>
      </c>
      <c r="BL266" s="654"/>
      <c r="BM266" s="692">
        <f>SUMIFS(Imput[Importe Neto],Imput[C. Imp.],$D266,Imput[PERIODO Imp.],BM$9)</f>
        <v>0</v>
      </c>
      <c r="BN266" s="693">
        <f>SUMIFS(Imput[Importe Neto],Imput[C. Imp.],$D266,Imput[PERIODO Imp.],BN$9)</f>
        <v>0</v>
      </c>
      <c r="BO266" s="693">
        <f>SUMIFS(Imput[Importe Neto],Imput[C. Imp.],$D266,Imput[PERIODO Imp.],BO$9)</f>
        <v>3712</v>
      </c>
      <c r="BP266" s="693">
        <f>SUMIFS(Imput[Importe Neto],Imput[C. Imp.],$D266,Imput[PERIODO Imp.],BP$9)</f>
        <v>4427.333333333333</v>
      </c>
      <c r="BQ266" s="693">
        <f>SUMIFS(Imput[Importe Neto],Imput[C. Imp.],$D266,Imput[PERIODO Imp.],BQ$9)</f>
        <v>0</v>
      </c>
      <c r="BR266" s="693">
        <f>SUMIFS(Imput[Importe Neto],Imput[C. Imp.],$D266,Imput[PERIODO Imp.],BR$9)</f>
        <v>0</v>
      </c>
      <c r="BS266" s="693">
        <f>SUMIFS(Imput[Importe Neto],Imput[C. Imp.],$D266,Imput[PERIODO Imp.],BS$9)</f>
        <v>0</v>
      </c>
      <c r="BT266" s="693">
        <f>SUMIFS(Imput[Importe Neto],Imput[C. Imp.],$D266,Imput[PERIODO Imp.],BT$9)</f>
        <v>0</v>
      </c>
      <c r="BU266" s="693">
        <f>SUMIFS(Imput[Importe Neto],Imput[C. Imp.],$D266,Imput[PERIODO Imp.],BU$9)</f>
        <v>0</v>
      </c>
      <c r="BV266" s="693">
        <f>SUMIFS(Imput[Importe Neto],Imput[C. Imp.],$D266,Imput[PERIODO Imp.],BV$9)</f>
        <v>0</v>
      </c>
      <c r="BW266" s="693">
        <f>SUMIFS(Imput[Importe Neto],Imput[C. Imp.],$D266,Imput[PERIODO Imp.],BW$9)</f>
        <v>0</v>
      </c>
      <c r="BX266" s="693">
        <f>SUMIFS(Imput[Importe Neto],Imput[C. Imp.],$D266,Imput[PERIODO Imp.],BX$9)</f>
        <v>0</v>
      </c>
      <c r="BY266" s="693">
        <f>SUMIFS(Imput[Importe Neto],Imput[C. Imp.],$D266,Imput[PERIODO Imp.],BY$9)</f>
        <v>0</v>
      </c>
      <c r="BZ266" s="693">
        <f>SUMIFS(Imput[Importe Neto],Imput[C. Imp.],$D266,Imput[PERIODO Imp.],BZ$9)</f>
        <v>0</v>
      </c>
      <c r="CA266" s="693">
        <f>SUMIFS(Imput[Importe Neto],Imput[C. Imp.],$D266,Imput[PERIODO Imp.],CA$9)</f>
        <v>0</v>
      </c>
      <c r="CB266" s="693">
        <f>SUMIFS(Imput[Importe Neto],Imput[C. Imp.],$D266,Imput[PERIODO Imp.],CB$9)</f>
        <v>0</v>
      </c>
      <c r="CC266" s="693">
        <f>SUMIFS(Imput[Importe Neto],Imput[C. Imp.],$D266,Imput[PERIODO Imp.],CC$9)</f>
        <v>0</v>
      </c>
      <c r="CD266" s="693">
        <f>SUMIFS(Imput[Importe Neto],Imput[C. Imp.],$D266,Imput[PERIODO Imp.],CD$9)</f>
        <v>0</v>
      </c>
      <c r="CE266" s="693">
        <f>SUMIFS(Imput[Importe Neto],Imput[C. Imp.],$D266,Imput[PERIODO Imp.],CE$9)</f>
        <v>0</v>
      </c>
      <c r="CF266" s="693">
        <f>SUMIFS(Imput[Importe Neto],Imput[C. Imp.],$D266,Imput[PERIODO Imp.],CF$9)</f>
        <v>0</v>
      </c>
      <c r="CG266" s="693">
        <f>SUMIFS(Imput[Importe Neto],Imput[C. Imp.],$D266,Imput[PERIODO Imp.],CG$9)</f>
        <v>0</v>
      </c>
      <c r="CH266" s="693">
        <f>SUMIFS(Imput[Importe Neto],Imput[C. Imp.],$D266,Imput[PERIODO Imp.],CH$9)</f>
        <v>0</v>
      </c>
      <c r="CI266" s="693">
        <f>SUMIFS(Imput[Importe Neto],Imput[C. Imp.],$D266,Imput[PERIODO Imp.],CI$9)</f>
        <v>0</v>
      </c>
      <c r="CJ266" s="693">
        <f>SUMIFS(Imput[Importe Neto],Imput[C. Imp.],$D266,Imput[PERIODO Imp.],CJ$9)</f>
        <v>0</v>
      </c>
      <c r="CK266" s="693">
        <f>SUMIFS(Imput[Importe Neto],Imput[C. Imp.],$D266,Imput[PERIODO Imp.],CK$9)</f>
        <v>0</v>
      </c>
      <c r="CL266" s="693">
        <f>SUMIFS(Imput[Importe Neto],Imput[C. Imp.],$D266,Imput[PERIODO Imp.],CL$9)</f>
        <v>0</v>
      </c>
      <c r="CM266" s="693">
        <f>SUMIFS(Imput[Importe Neto],Imput[C. Imp.],$D266,Imput[PERIODO Imp.],CM$9)</f>
        <v>0</v>
      </c>
      <c r="CN266" s="693">
        <f>SUMIFS(Imput[Importe Neto],Imput[C. Imp.],$D266,Imput[PERIODO Imp.],CN$9)</f>
        <v>0</v>
      </c>
      <c r="CO266" s="693">
        <f>SUMIFS(Imput[Importe Neto],Imput[C. Imp.],$D266,Imput[PERIODO Imp.],CO$9)</f>
        <v>0</v>
      </c>
      <c r="CP266" s="693">
        <f>SUMIFS(Imput[Importe Neto],Imput[C. Imp.],$D266,Imput[PERIODO Imp.],CP$9)</f>
        <v>0</v>
      </c>
      <c r="CQ266" s="693">
        <f>SUMIFS(Imput[Importe Neto],Imput[C. Imp.],$D266,Imput[PERIODO Imp.],CQ$9)</f>
        <v>0</v>
      </c>
      <c r="CR266" s="693">
        <f>SUMIFS(Imput[Importe Neto],Imput[C. Imp.],$D266,Imput[PERIODO Imp.],CR$9)</f>
        <v>0</v>
      </c>
      <c r="CS266" s="693">
        <f>SUMIFS(Imput[Importe Neto],Imput[C. Imp.],$D266,Imput[PERIODO Imp.],CS$9)</f>
        <v>0</v>
      </c>
      <c r="CT266" s="693">
        <f>SUMIFS(Imput[Importe Neto],Imput[C. Imp.],$D266,Imput[PERIODO Imp.],CT$9)</f>
        <v>0</v>
      </c>
      <c r="CU266" s="693">
        <f>SUMIFS(Imput[Importe Neto],Imput[C. Imp.],$D266,Imput[PERIODO Imp.],CU$9)</f>
        <v>0</v>
      </c>
      <c r="CV266" s="693">
        <f>SUMIFS(Imput[Importe Neto],Imput[C. Imp.],$D266,Imput[PERIODO Imp.],CV$9)</f>
        <v>0</v>
      </c>
      <c r="CW266" s="693">
        <f>SUMIFS(Imput[Importe Neto],Imput[C. Imp.],$D266,Imput[PERIODO Imp.],CW$9)</f>
        <v>0</v>
      </c>
      <c r="CX266" s="693">
        <f>SUMIFS(Imput[Importe Neto],Imput[C. Imp.],$D266,Imput[PERIODO Imp.],CX$9)</f>
        <v>0</v>
      </c>
      <c r="CY266" s="693">
        <f>SUMIFS(Imput[Importe Neto],Imput[C. Imp.],$D266,Imput[PERIODO Imp.],CY$9)</f>
        <v>0</v>
      </c>
      <c r="CZ266" s="693">
        <f>SUMIFS(Imput[Importe Neto],Imput[C. Imp.],$D266,Imput[PERIODO Imp.],CZ$9)</f>
        <v>0</v>
      </c>
      <c r="DA266" s="693">
        <f>SUMIFS(Imput[Importe Neto],Imput[C. Imp.],$D266,Imput[PERIODO Imp.],DA$9)</f>
        <v>0</v>
      </c>
      <c r="DB266" s="693">
        <f>SUMIFS(Imput[Importe Neto],Imput[C. Imp.],$D266,Imput[PERIODO Imp.],DB$9)</f>
        <v>0</v>
      </c>
      <c r="DC266" s="693">
        <f>SUMIFS(Imput[Importe Neto],Imput[C. Imp.],$D266,Imput[PERIODO Imp.],DC$9)</f>
        <v>0</v>
      </c>
      <c r="DD266" s="693">
        <f>SUMIFS(Imput[Importe Neto],Imput[C. Imp.],$D266,Imput[PERIODO Imp.],DD$9)</f>
        <v>0</v>
      </c>
      <c r="DE266" s="693">
        <f>SUMIFS(Imput[Importe Neto],Imput[C. Imp.],$D266,Imput[PERIODO Imp.],DE$9)</f>
        <v>0</v>
      </c>
      <c r="DF266" s="693">
        <f>SUMIFS(Imput[Importe Neto],Imput[C. Imp.],$D266,Imput[PERIODO Imp.],DF$9)</f>
        <v>0</v>
      </c>
      <c r="DG266" s="693">
        <f>SUMIFS(Imput[Importe Neto],Imput[C. Imp.],$D266,Imput[PERIODO Imp.],DG$9)</f>
        <v>0</v>
      </c>
      <c r="DH266" s="694">
        <f>SUMIFS(Imput[Importe Neto],Imput[C. Imp.],$D266,Imput[PERIODO Imp.],DH$9)</f>
        <v>0</v>
      </c>
    </row>
    <row r="267" spans="1:112" s="649" customFormat="1" outlineLevel="1" x14ac:dyDescent="0.3">
      <c r="A267" s="652" t="str">
        <f t="shared" si="137"/>
        <v>Imprimir</v>
      </c>
      <c r="B267" s="652"/>
      <c r="C267" s="685"/>
      <c r="D267" s="686" t="s">
        <v>2341</v>
      </c>
      <c r="E267" s="686" t="s">
        <v>481</v>
      </c>
      <c r="F267" s="720"/>
      <c r="G267" s="688">
        <v>300</v>
      </c>
      <c r="H267" s="689">
        <f>Producción!G34*0.01</f>
        <v>0.33</v>
      </c>
      <c r="I267" s="851">
        <f t="shared" si="138"/>
        <v>1</v>
      </c>
      <c r="J267" s="852">
        <f t="shared" si="139"/>
        <v>99</v>
      </c>
      <c r="K267" s="667"/>
      <c r="L267" s="858">
        <v>0.3</v>
      </c>
      <c r="M267" s="859"/>
      <c r="N267" s="859"/>
      <c r="O267" s="859"/>
      <c r="P267" s="859">
        <v>0.3</v>
      </c>
      <c r="Q267" s="859"/>
      <c r="R267" s="859"/>
      <c r="S267" s="859"/>
      <c r="T267" s="859"/>
      <c r="U267" s="859"/>
      <c r="V267" s="859"/>
      <c r="W267" s="859">
        <v>0.3</v>
      </c>
      <c r="X267" s="859"/>
      <c r="Y267" s="859"/>
      <c r="Z267" s="860"/>
      <c r="AA267" s="860"/>
      <c r="AB267" s="860"/>
      <c r="AC267" s="860"/>
      <c r="AD267" s="860"/>
      <c r="AE267" s="860">
        <v>0.1</v>
      </c>
      <c r="AF267" s="860"/>
      <c r="AG267" s="860"/>
      <c r="AH267" s="860"/>
      <c r="AI267" s="860"/>
      <c r="AJ267" s="860"/>
      <c r="AK267" s="860"/>
      <c r="AL267" s="860"/>
      <c r="AM267" s="860"/>
      <c r="AN267" s="860"/>
      <c r="AO267" s="860"/>
      <c r="AP267" s="860"/>
      <c r="AQ267" s="860"/>
      <c r="AR267" s="860"/>
      <c r="AS267" s="860"/>
      <c r="AT267" s="860"/>
      <c r="AU267" s="860"/>
      <c r="AV267" s="860"/>
      <c r="AW267" s="860"/>
      <c r="AX267" s="860"/>
      <c r="AY267" s="860"/>
      <c r="AZ267" s="860"/>
      <c r="BA267" s="860"/>
      <c r="BB267" s="860"/>
      <c r="BC267" s="860"/>
      <c r="BD267" s="860"/>
      <c r="BE267" s="860"/>
      <c r="BF267" s="860"/>
      <c r="BG267" s="860"/>
      <c r="BH267" s="668"/>
      <c r="BI267" s="667"/>
      <c r="BJ267" s="690">
        <f t="shared" si="140"/>
        <v>69.265993265993259</v>
      </c>
      <c r="BK267" s="691">
        <f t="shared" si="141"/>
        <v>6857.333333333333</v>
      </c>
      <c r="BL267" s="654"/>
      <c r="BM267" s="692">
        <f>SUMIFS(Imput[Importe Neto],Imput[C. Imp.],$D267,Imput[PERIODO Imp.],BM$9)</f>
        <v>0</v>
      </c>
      <c r="BN267" s="693">
        <f>SUMIFS(Imput[Importe Neto],Imput[C. Imp.],$D267,Imput[PERIODO Imp.],BN$9)</f>
        <v>0</v>
      </c>
      <c r="BO267" s="693">
        <f>SUMIFS(Imput[Importe Neto],Imput[C. Imp.],$D267,Imput[PERIODO Imp.],BO$9)</f>
        <v>2430</v>
      </c>
      <c r="BP267" s="693">
        <f>SUMIFS(Imput[Importe Neto],Imput[C. Imp.],$D267,Imput[PERIODO Imp.],BP$9)</f>
        <v>4427.333333333333</v>
      </c>
      <c r="BQ267" s="693">
        <f>SUMIFS(Imput[Importe Neto],Imput[C. Imp.],$D267,Imput[PERIODO Imp.],BQ$9)</f>
        <v>0</v>
      </c>
      <c r="BR267" s="693">
        <f>SUMIFS(Imput[Importe Neto],Imput[C. Imp.],$D267,Imput[PERIODO Imp.],BR$9)</f>
        <v>0</v>
      </c>
      <c r="BS267" s="693">
        <f>SUMIFS(Imput[Importe Neto],Imput[C. Imp.],$D267,Imput[PERIODO Imp.],BS$9)</f>
        <v>0</v>
      </c>
      <c r="BT267" s="693">
        <f>SUMIFS(Imput[Importe Neto],Imput[C. Imp.],$D267,Imput[PERIODO Imp.],BT$9)</f>
        <v>0</v>
      </c>
      <c r="BU267" s="693">
        <f>SUMIFS(Imput[Importe Neto],Imput[C. Imp.],$D267,Imput[PERIODO Imp.],BU$9)</f>
        <v>0</v>
      </c>
      <c r="BV267" s="693">
        <f>SUMIFS(Imput[Importe Neto],Imput[C. Imp.],$D267,Imput[PERIODO Imp.],BV$9)</f>
        <v>0</v>
      </c>
      <c r="BW267" s="693">
        <f>SUMIFS(Imput[Importe Neto],Imput[C. Imp.],$D267,Imput[PERIODO Imp.],BW$9)</f>
        <v>0</v>
      </c>
      <c r="BX267" s="693">
        <f>SUMIFS(Imput[Importe Neto],Imput[C. Imp.],$D267,Imput[PERIODO Imp.],BX$9)</f>
        <v>0</v>
      </c>
      <c r="BY267" s="693">
        <f>SUMIFS(Imput[Importe Neto],Imput[C. Imp.],$D267,Imput[PERIODO Imp.],BY$9)</f>
        <v>0</v>
      </c>
      <c r="BZ267" s="693">
        <f>SUMIFS(Imput[Importe Neto],Imput[C. Imp.],$D267,Imput[PERIODO Imp.],BZ$9)</f>
        <v>0</v>
      </c>
      <c r="CA267" s="693">
        <f>SUMIFS(Imput[Importe Neto],Imput[C. Imp.],$D267,Imput[PERIODO Imp.],CA$9)</f>
        <v>0</v>
      </c>
      <c r="CB267" s="693">
        <f>SUMIFS(Imput[Importe Neto],Imput[C. Imp.],$D267,Imput[PERIODO Imp.],CB$9)</f>
        <v>0</v>
      </c>
      <c r="CC267" s="693">
        <f>SUMIFS(Imput[Importe Neto],Imput[C. Imp.],$D267,Imput[PERIODO Imp.],CC$9)</f>
        <v>0</v>
      </c>
      <c r="CD267" s="693">
        <f>SUMIFS(Imput[Importe Neto],Imput[C. Imp.],$D267,Imput[PERIODO Imp.],CD$9)</f>
        <v>0</v>
      </c>
      <c r="CE267" s="693">
        <f>SUMIFS(Imput[Importe Neto],Imput[C. Imp.],$D267,Imput[PERIODO Imp.],CE$9)</f>
        <v>0</v>
      </c>
      <c r="CF267" s="693">
        <f>SUMIFS(Imput[Importe Neto],Imput[C. Imp.],$D267,Imput[PERIODO Imp.],CF$9)</f>
        <v>0</v>
      </c>
      <c r="CG267" s="693">
        <f>SUMIFS(Imput[Importe Neto],Imput[C. Imp.],$D267,Imput[PERIODO Imp.],CG$9)</f>
        <v>0</v>
      </c>
      <c r="CH267" s="693">
        <f>SUMIFS(Imput[Importe Neto],Imput[C. Imp.],$D267,Imput[PERIODO Imp.],CH$9)</f>
        <v>0</v>
      </c>
      <c r="CI267" s="693">
        <f>SUMIFS(Imput[Importe Neto],Imput[C. Imp.],$D267,Imput[PERIODO Imp.],CI$9)</f>
        <v>0</v>
      </c>
      <c r="CJ267" s="693">
        <f>SUMIFS(Imput[Importe Neto],Imput[C. Imp.],$D267,Imput[PERIODO Imp.],CJ$9)</f>
        <v>0</v>
      </c>
      <c r="CK267" s="693">
        <f>SUMIFS(Imput[Importe Neto],Imput[C. Imp.],$D267,Imput[PERIODO Imp.],CK$9)</f>
        <v>0</v>
      </c>
      <c r="CL267" s="693">
        <f>SUMIFS(Imput[Importe Neto],Imput[C. Imp.],$D267,Imput[PERIODO Imp.],CL$9)</f>
        <v>0</v>
      </c>
      <c r="CM267" s="693">
        <f>SUMIFS(Imput[Importe Neto],Imput[C. Imp.],$D267,Imput[PERIODO Imp.],CM$9)</f>
        <v>0</v>
      </c>
      <c r="CN267" s="693">
        <f>SUMIFS(Imput[Importe Neto],Imput[C. Imp.],$D267,Imput[PERIODO Imp.],CN$9)</f>
        <v>0</v>
      </c>
      <c r="CO267" s="693">
        <f>SUMIFS(Imput[Importe Neto],Imput[C. Imp.],$D267,Imput[PERIODO Imp.],CO$9)</f>
        <v>0</v>
      </c>
      <c r="CP267" s="693">
        <f>SUMIFS(Imput[Importe Neto],Imput[C. Imp.],$D267,Imput[PERIODO Imp.],CP$9)</f>
        <v>0</v>
      </c>
      <c r="CQ267" s="693">
        <f>SUMIFS(Imput[Importe Neto],Imput[C. Imp.],$D267,Imput[PERIODO Imp.],CQ$9)</f>
        <v>0</v>
      </c>
      <c r="CR267" s="693">
        <f>SUMIFS(Imput[Importe Neto],Imput[C. Imp.],$D267,Imput[PERIODO Imp.],CR$9)</f>
        <v>0</v>
      </c>
      <c r="CS267" s="693">
        <f>SUMIFS(Imput[Importe Neto],Imput[C. Imp.],$D267,Imput[PERIODO Imp.],CS$9)</f>
        <v>0</v>
      </c>
      <c r="CT267" s="693">
        <f>SUMIFS(Imput[Importe Neto],Imput[C. Imp.],$D267,Imput[PERIODO Imp.],CT$9)</f>
        <v>0</v>
      </c>
      <c r="CU267" s="693">
        <f>SUMIFS(Imput[Importe Neto],Imput[C. Imp.],$D267,Imput[PERIODO Imp.],CU$9)</f>
        <v>0</v>
      </c>
      <c r="CV267" s="693">
        <f>SUMIFS(Imput[Importe Neto],Imput[C. Imp.],$D267,Imput[PERIODO Imp.],CV$9)</f>
        <v>0</v>
      </c>
      <c r="CW267" s="693">
        <f>SUMIFS(Imput[Importe Neto],Imput[C. Imp.],$D267,Imput[PERIODO Imp.],CW$9)</f>
        <v>0</v>
      </c>
      <c r="CX267" s="693">
        <f>SUMIFS(Imput[Importe Neto],Imput[C. Imp.],$D267,Imput[PERIODO Imp.],CX$9)</f>
        <v>0</v>
      </c>
      <c r="CY267" s="693">
        <f>SUMIFS(Imput[Importe Neto],Imput[C. Imp.],$D267,Imput[PERIODO Imp.],CY$9)</f>
        <v>0</v>
      </c>
      <c r="CZ267" s="693">
        <f>SUMIFS(Imput[Importe Neto],Imput[C. Imp.],$D267,Imput[PERIODO Imp.],CZ$9)</f>
        <v>0</v>
      </c>
      <c r="DA267" s="693">
        <f>SUMIFS(Imput[Importe Neto],Imput[C. Imp.],$D267,Imput[PERIODO Imp.],DA$9)</f>
        <v>0</v>
      </c>
      <c r="DB267" s="693">
        <f>SUMIFS(Imput[Importe Neto],Imput[C. Imp.],$D267,Imput[PERIODO Imp.],DB$9)</f>
        <v>0</v>
      </c>
      <c r="DC267" s="693">
        <f>SUMIFS(Imput[Importe Neto],Imput[C. Imp.],$D267,Imput[PERIODO Imp.],DC$9)</f>
        <v>0</v>
      </c>
      <c r="DD267" s="693">
        <f>SUMIFS(Imput[Importe Neto],Imput[C. Imp.],$D267,Imput[PERIODO Imp.],DD$9)</f>
        <v>0</v>
      </c>
      <c r="DE267" s="693">
        <f>SUMIFS(Imput[Importe Neto],Imput[C. Imp.],$D267,Imput[PERIODO Imp.],DE$9)</f>
        <v>0</v>
      </c>
      <c r="DF267" s="693">
        <f>SUMIFS(Imput[Importe Neto],Imput[C. Imp.],$D267,Imput[PERIODO Imp.],DF$9)</f>
        <v>0</v>
      </c>
      <c r="DG267" s="693">
        <f>SUMIFS(Imput[Importe Neto],Imput[C. Imp.],$D267,Imput[PERIODO Imp.],DG$9)</f>
        <v>0</v>
      </c>
      <c r="DH267" s="694">
        <f>SUMIFS(Imput[Importe Neto],Imput[C. Imp.],$D267,Imput[PERIODO Imp.],DH$9)</f>
        <v>0</v>
      </c>
    </row>
    <row r="268" spans="1:112" s="649" customFormat="1" hidden="1" outlineLevel="1" x14ac:dyDescent="0.3">
      <c r="A268" s="652" t="str">
        <f t="shared" si="137"/>
        <v/>
      </c>
      <c r="B268" s="652"/>
      <c r="C268" s="685"/>
      <c r="D268" s="686" t="s">
        <v>2342</v>
      </c>
      <c r="E268" s="686"/>
      <c r="F268" s="720"/>
      <c r="G268" s="688"/>
      <c r="H268" s="689"/>
      <c r="I268" s="851" t="str">
        <f t="shared" si="138"/>
        <v/>
      </c>
      <c r="J268" s="852" t="str">
        <f t="shared" si="139"/>
        <v/>
      </c>
      <c r="K268" s="667"/>
      <c r="L268" s="858"/>
      <c r="M268" s="859"/>
      <c r="N268" s="859"/>
      <c r="O268" s="859"/>
      <c r="P268" s="859"/>
      <c r="Q268" s="859"/>
      <c r="R268" s="859"/>
      <c r="S268" s="859"/>
      <c r="T268" s="859"/>
      <c r="U268" s="859"/>
      <c r="V268" s="859"/>
      <c r="W268" s="859"/>
      <c r="X268" s="859"/>
      <c r="Y268" s="859"/>
      <c r="Z268" s="860"/>
      <c r="AA268" s="860"/>
      <c r="AB268" s="860"/>
      <c r="AC268" s="860"/>
      <c r="AD268" s="860"/>
      <c r="AE268" s="860"/>
      <c r="AF268" s="860"/>
      <c r="AG268" s="860"/>
      <c r="AH268" s="860"/>
      <c r="AI268" s="860"/>
      <c r="AJ268" s="860"/>
      <c r="AK268" s="860"/>
      <c r="AL268" s="860"/>
      <c r="AM268" s="860"/>
      <c r="AN268" s="860"/>
      <c r="AO268" s="860"/>
      <c r="AP268" s="860"/>
      <c r="AQ268" s="860"/>
      <c r="AR268" s="860"/>
      <c r="AS268" s="860"/>
      <c r="AT268" s="860"/>
      <c r="AU268" s="860"/>
      <c r="AV268" s="860"/>
      <c r="AW268" s="860"/>
      <c r="AX268" s="860"/>
      <c r="AY268" s="860"/>
      <c r="AZ268" s="860"/>
      <c r="BA268" s="860"/>
      <c r="BB268" s="860"/>
      <c r="BC268" s="860"/>
      <c r="BD268" s="860"/>
      <c r="BE268" s="860"/>
      <c r="BF268" s="860"/>
      <c r="BG268" s="860"/>
      <c r="BH268" s="668"/>
      <c r="BI268" s="667"/>
      <c r="BJ268" s="690">
        <f t="shared" si="140"/>
        <v>0</v>
      </c>
      <c r="BK268" s="691">
        <f t="shared" si="141"/>
        <v>0</v>
      </c>
      <c r="BL268" s="654"/>
      <c r="BM268" s="692">
        <f>SUMIFS(Imput[Importe Neto],Imput[C. Imp.],$D268,Imput[PERIODO Imp.],BM$9)</f>
        <v>0</v>
      </c>
      <c r="BN268" s="693">
        <f>SUMIFS(Imput[Importe Neto],Imput[C. Imp.],$D268,Imput[PERIODO Imp.],BN$9)</f>
        <v>0</v>
      </c>
      <c r="BO268" s="693">
        <f>SUMIFS(Imput[Importe Neto],Imput[C. Imp.],$D268,Imput[PERIODO Imp.],BO$9)</f>
        <v>0</v>
      </c>
      <c r="BP268" s="693">
        <f>SUMIFS(Imput[Importe Neto],Imput[C. Imp.],$D268,Imput[PERIODO Imp.],BP$9)</f>
        <v>0</v>
      </c>
      <c r="BQ268" s="693">
        <f>SUMIFS(Imput[Importe Neto],Imput[C. Imp.],$D268,Imput[PERIODO Imp.],BQ$9)</f>
        <v>0</v>
      </c>
      <c r="BR268" s="693">
        <f>SUMIFS(Imput[Importe Neto],Imput[C. Imp.],$D268,Imput[PERIODO Imp.],BR$9)</f>
        <v>0</v>
      </c>
      <c r="BS268" s="693">
        <f>SUMIFS(Imput[Importe Neto],Imput[C. Imp.],$D268,Imput[PERIODO Imp.],BS$9)</f>
        <v>0</v>
      </c>
      <c r="BT268" s="693">
        <f>SUMIFS(Imput[Importe Neto],Imput[C. Imp.],$D268,Imput[PERIODO Imp.],BT$9)</f>
        <v>0</v>
      </c>
      <c r="BU268" s="693">
        <f>SUMIFS(Imput[Importe Neto],Imput[C. Imp.],$D268,Imput[PERIODO Imp.],BU$9)</f>
        <v>0</v>
      </c>
      <c r="BV268" s="693">
        <f>SUMIFS(Imput[Importe Neto],Imput[C. Imp.],$D268,Imput[PERIODO Imp.],BV$9)</f>
        <v>0</v>
      </c>
      <c r="BW268" s="693">
        <f>SUMIFS(Imput[Importe Neto],Imput[C. Imp.],$D268,Imput[PERIODO Imp.],BW$9)</f>
        <v>0</v>
      </c>
      <c r="BX268" s="693">
        <f>SUMIFS(Imput[Importe Neto],Imput[C. Imp.],$D268,Imput[PERIODO Imp.],BX$9)</f>
        <v>0</v>
      </c>
      <c r="BY268" s="693">
        <f>SUMIFS(Imput[Importe Neto],Imput[C. Imp.],$D268,Imput[PERIODO Imp.],BY$9)</f>
        <v>0</v>
      </c>
      <c r="BZ268" s="693">
        <f>SUMIFS(Imput[Importe Neto],Imput[C. Imp.],$D268,Imput[PERIODO Imp.],BZ$9)</f>
        <v>0</v>
      </c>
      <c r="CA268" s="693">
        <f>SUMIFS(Imput[Importe Neto],Imput[C. Imp.],$D268,Imput[PERIODO Imp.],CA$9)</f>
        <v>0</v>
      </c>
      <c r="CB268" s="693">
        <f>SUMIFS(Imput[Importe Neto],Imput[C. Imp.],$D268,Imput[PERIODO Imp.],CB$9)</f>
        <v>0</v>
      </c>
      <c r="CC268" s="693">
        <f>SUMIFS(Imput[Importe Neto],Imput[C. Imp.],$D268,Imput[PERIODO Imp.],CC$9)</f>
        <v>0</v>
      </c>
      <c r="CD268" s="693">
        <f>SUMIFS(Imput[Importe Neto],Imput[C. Imp.],$D268,Imput[PERIODO Imp.],CD$9)</f>
        <v>0</v>
      </c>
      <c r="CE268" s="693">
        <f>SUMIFS(Imput[Importe Neto],Imput[C. Imp.],$D268,Imput[PERIODO Imp.],CE$9)</f>
        <v>0</v>
      </c>
      <c r="CF268" s="693">
        <f>SUMIFS(Imput[Importe Neto],Imput[C. Imp.],$D268,Imput[PERIODO Imp.],CF$9)</f>
        <v>0</v>
      </c>
      <c r="CG268" s="693">
        <f>SUMIFS(Imput[Importe Neto],Imput[C. Imp.],$D268,Imput[PERIODO Imp.],CG$9)</f>
        <v>0</v>
      </c>
      <c r="CH268" s="693">
        <f>SUMIFS(Imput[Importe Neto],Imput[C. Imp.],$D268,Imput[PERIODO Imp.],CH$9)</f>
        <v>0</v>
      </c>
      <c r="CI268" s="693">
        <f>SUMIFS(Imput[Importe Neto],Imput[C. Imp.],$D268,Imput[PERIODO Imp.],CI$9)</f>
        <v>0</v>
      </c>
      <c r="CJ268" s="693">
        <f>SUMIFS(Imput[Importe Neto],Imput[C. Imp.],$D268,Imput[PERIODO Imp.],CJ$9)</f>
        <v>0</v>
      </c>
      <c r="CK268" s="693">
        <f>SUMIFS(Imput[Importe Neto],Imput[C. Imp.],$D268,Imput[PERIODO Imp.],CK$9)</f>
        <v>0</v>
      </c>
      <c r="CL268" s="693">
        <f>SUMIFS(Imput[Importe Neto],Imput[C. Imp.],$D268,Imput[PERIODO Imp.],CL$9)</f>
        <v>0</v>
      </c>
      <c r="CM268" s="693">
        <f>SUMIFS(Imput[Importe Neto],Imput[C. Imp.],$D268,Imput[PERIODO Imp.],CM$9)</f>
        <v>0</v>
      </c>
      <c r="CN268" s="693">
        <f>SUMIFS(Imput[Importe Neto],Imput[C. Imp.],$D268,Imput[PERIODO Imp.],CN$9)</f>
        <v>0</v>
      </c>
      <c r="CO268" s="693">
        <f>SUMIFS(Imput[Importe Neto],Imput[C. Imp.],$D268,Imput[PERIODO Imp.],CO$9)</f>
        <v>0</v>
      </c>
      <c r="CP268" s="693">
        <f>SUMIFS(Imput[Importe Neto],Imput[C. Imp.],$D268,Imput[PERIODO Imp.],CP$9)</f>
        <v>0</v>
      </c>
      <c r="CQ268" s="693">
        <f>SUMIFS(Imput[Importe Neto],Imput[C. Imp.],$D268,Imput[PERIODO Imp.],CQ$9)</f>
        <v>0</v>
      </c>
      <c r="CR268" s="693">
        <f>SUMIFS(Imput[Importe Neto],Imput[C. Imp.],$D268,Imput[PERIODO Imp.],CR$9)</f>
        <v>0</v>
      </c>
      <c r="CS268" s="693">
        <f>SUMIFS(Imput[Importe Neto],Imput[C. Imp.],$D268,Imput[PERIODO Imp.],CS$9)</f>
        <v>0</v>
      </c>
      <c r="CT268" s="693">
        <f>SUMIFS(Imput[Importe Neto],Imput[C. Imp.],$D268,Imput[PERIODO Imp.],CT$9)</f>
        <v>0</v>
      </c>
      <c r="CU268" s="693">
        <f>SUMIFS(Imput[Importe Neto],Imput[C. Imp.],$D268,Imput[PERIODO Imp.],CU$9)</f>
        <v>0</v>
      </c>
      <c r="CV268" s="693">
        <f>SUMIFS(Imput[Importe Neto],Imput[C. Imp.],$D268,Imput[PERIODO Imp.],CV$9)</f>
        <v>0</v>
      </c>
      <c r="CW268" s="693">
        <f>SUMIFS(Imput[Importe Neto],Imput[C. Imp.],$D268,Imput[PERIODO Imp.],CW$9)</f>
        <v>0</v>
      </c>
      <c r="CX268" s="693">
        <f>SUMIFS(Imput[Importe Neto],Imput[C. Imp.],$D268,Imput[PERIODO Imp.],CX$9)</f>
        <v>0</v>
      </c>
      <c r="CY268" s="693">
        <f>SUMIFS(Imput[Importe Neto],Imput[C. Imp.],$D268,Imput[PERIODO Imp.],CY$9)</f>
        <v>0</v>
      </c>
      <c r="CZ268" s="693">
        <f>SUMIFS(Imput[Importe Neto],Imput[C. Imp.],$D268,Imput[PERIODO Imp.],CZ$9)</f>
        <v>0</v>
      </c>
      <c r="DA268" s="693">
        <f>SUMIFS(Imput[Importe Neto],Imput[C. Imp.],$D268,Imput[PERIODO Imp.],DA$9)</f>
        <v>0</v>
      </c>
      <c r="DB268" s="693">
        <f>SUMIFS(Imput[Importe Neto],Imput[C. Imp.],$D268,Imput[PERIODO Imp.],DB$9)</f>
        <v>0</v>
      </c>
      <c r="DC268" s="693">
        <f>SUMIFS(Imput[Importe Neto],Imput[C. Imp.],$D268,Imput[PERIODO Imp.],DC$9)</f>
        <v>0</v>
      </c>
      <c r="DD268" s="693">
        <f>SUMIFS(Imput[Importe Neto],Imput[C. Imp.],$D268,Imput[PERIODO Imp.],DD$9)</f>
        <v>0</v>
      </c>
      <c r="DE268" s="693">
        <f>SUMIFS(Imput[Importe Neto],Imput[C. Imp.],$D268,Imput[PERIODO Imp.],DE$9)</f>
        <v>0</v>
      </c>
      <c r="DF268" s="693">
        <f>SUMIFS(Imput[Importe Neto],Imput[C. Imp.],$D268,Imput[PERIODO Imp.],DF$9)</f>
        <v>0</v>
      </c>
      <c r="DG268" s="693">
        <f>SUMIFS(Imput[Importe Neto],Imput[C. Imp.],$D268,Imput[PERIODO Imp.],DG$9)</f>
        <v>0</v>
      </c>
      <c r="DH268" s="694">
        <f>SUMIFS(Imput[Importe Neto],Imput[C. Imp.],$D268,Imput[PERIODO Imp.],DH$9)</f>
        <v>0</v>
      </c>
    </row>
    <row r="269" spans="1:112" s="649" customFormat="1" hidden="1" outlineLevel="1" x14ac:dyDescent="0.3">
      <c r="A269" s="652" t="str">
        <f t="shared" si="137"/>
        <v/>
      </c>
      <c r="B269" s="652"/>
      <c r="C269" s="685"/>
      <c r="D269" s="686" t="s">
        <v>2343</v>
      </c>
      <c r="E269" s="686"/>
      <c r="F269" s="720"/>
      <c r="G269" s="688"/>
      <c r="H269" s="689"/>
      <c r="I269" s="851" t="str">
        <f t="shared" si="138"/>
        <v/>
      </c>
      <c r="J269" s="852" t="str">
        <f t="shared" si="139"/>
        <v/>
      </c>
      <c r="K269" s="667"/>
      <c r="L269" s="858"/>
      <c r="M269" s="859"/>
      <c r="N269" s="859"/>
      <c r="O269" s="859"/>
      <c r="P269" s="859"/>
      <c r="Q269" s="859"/>
      <c r="R269" s="859"/>
      <c r="S269" s="859"/>
      <c r="T269" s="859"/>
      <c r="U269" s="859"/>
      <c r="V269" s="859"/>
      <c r="W269" s="859"/>
      <c r="X269" s="859"/>
      <c r="Y269" s="859"/>
      <c r="Z269" s="860"/>
      <c r="AA269" s="860"/>
      <c r="AB269" s="860"/>
      <c r="AC269" s="860"/>
      <c r="AD269" s="860"/>
      <c r="AE269" s="860"/>
      <c r="AF269" s="860"/>
      <c r="AG269" s="860"/>
      <c r="AH269" s="860"/>
      <c r="AI269" s="860"/>
      <c r="AJ269" s="860"/>
      <c r="AK269" s="860"/>
      <c r="AL269" s="860"/>
      <c r="AM269" s="860"/>
      <c r="AN269" s="860"/>
      <c r="AO269" s="860"/>
      <c r="AP269" s="860"/>
      <c r="AQ269" s="860"/>
      <c r="AR269" s="860"/>
      <c r="AS269" s="860"/>
      <c r="AT269" s="860"/>
      <c r="AU269" s="860"/>
      <c r="AV269" s="860"/>
      <c r="AW269" s="860"/>
      <c r="AX269" s="860"/>
      <c r="AY269" s="860"/>
      <c r="AZ269" s="860"/>
      <c r="BA269" s="860"/>
      <c r="BB269" s="860"/>
      <c r="BC269" s="860"/>
      <c r="BD269" s="860"/>
      <c r="BE269" s="860"/>
      <c r="BF269" s="860"/>
      <c r="BG269" s="860"/>
      <c r="BH269" s="668"/>
      <c r="BI269" s="667"/>
      <c r="BJ269" s="690">
        <f t="shared" si="140"/>
        <v>0</v>
      </c>
      <c r="BK269" s="691">
        <f t="shared" si="141"/>
        <v>0</v>
      </c>
      <c r="BL269" s="654"/>
      <c r="BM269" s="692">
        <f>SUMIFS(Imput[Importe Neto],Imput[C. Imp.],$D269,Imput[PERIODO Imp.],BM$9)</f>
        <v>0</v>
      </c>
      <c r="BN269" s="693">
        <f>SUMIFS(Imput[Importe Neto],Imput[C. Imp.],$D269,Imput[PERIODO Imp.],BN$9)</f>
        <v>0</v>
      </c>
      <c r="BO269" s="693">
        <f>SUMIFS(Imput[Importe Neto],Imput[C. Imp.],$D269,Imput[PERIODO Imp.],BO$9)</f>
        <v>0</v>
      </c>
      <c r="BP269" s="693">
        <f>SUMIFS(Imput[Importe Neto],Imput[C. Imp.],$D269,Imput[PERIODO Imp.],BP$9)</f>
        <v>0</v>
      </c>
      <c r="BQ269" s="693">
        <f>SUMIFS(Imput[Importe Neto],Imput[C. Imp.],$D269,Imput[PERIODO Imp.],BQ$9)</f>
        <v>0</v>
      </c>
      <c r="BR269" s="693">
        <f>SUMIFS(Imput[Importe Neto],Imput[C. Imp.],$D269,Imput[PERIODO Imp.],BR$9)</f>
        <v>0</v>
      </c>
      <c r="BS269" s="693">
        <f>SUMIFS(Imput[Importe Neto],Imput[C. Imp.],$D269,Imput[PERIODO Imp.],BS$9)</f>
        <v>0</v>
      </c>
      <c r="BT269" s="693">
        <f>SUMIFS(Imput[Importe Neto],Imput[C. Imp.],$D269,Imput[PERIODO Imp.],BT$9)</f>
        <v>0</v>
      </c>
      <c r="BU269" s="693">
        <f>SUMIFS(Imput[Importe Neto],Imput[C. Imp.],$D269,Imput[PERIODO Imp.],BU$9)</f>
        <v>0</v>
      </c>
      <c r="BV269" s="693">
        <f>SUMIFS(Imput[Importe Neto],Imput[C. Imp.],$D269,Imput[PERIODO Imp.],BV$9)</f>
        <v>0</v>
      </c>
      <c r="BW269" s="693">
        <f>SUMIFS(Imput[Importe Neto],Imput[C. Imp.],$D269,Imput[PERIODO Imp.],BW$9)</f>
        <v>0</v>
      </c>
      <c r="BX269" s="693">
        <f>SUMIFS(Imput[Importe Neto],Imput[C. Imp.],$D269,Imput[PERIODO Imp.],BX$9)</f>
        <v>0</v>
      </c>
      <c r="BY269" s="693">
        <f>SUMIFS(Imput[Importe Neto],Imput[C. Imp.],$D269,Imput[PERIODO Imp.],BY$9)</f>
        <v>0</v>
      </c>
      <c r="BZ269" s="693">
        <f>SUMIFS(Imput[Importe Neto],Imput[C. Imp.],$D269,Imput[PERIODO Imp.],BZ$9)</f>
        <v>0</v>
      </c>
      <c r="CA269" s="693">
        <f>SUMIFS(Imput[Importe Neto],Imput[C. Imp.],$D269,Imput[PERIODO Imp.],CA$9)</f>
        <v>0</v>
      </c>
      <c r="CB269" s="693">
        <f>SUMIFS(Imput[Importe Neto],Imput[C. Imp.],$D269,Imput[PERIODO Imp.],CB$9)</f>
        <v>0</v>
      </c>
      <c r="CC269" s="693">
        <f>SUMIFS(Imput[Importe Neto],Imput[C. Imp.],$D269,Imput[PERIODO Imp.],CC$9)</f>
        <v>0</v>
      </c>
      <c r="CD269" s="693">
        <f>SUMIFS(Imput[Importe Neto],Imput[C. Imp.],$D269,Imput[PERIODO Imp.],CD$9)</f>
        <v>0</v>
      </c>
      <c r="CE269" s="693">
        <f>SUMIFS(Imput[Importe Neto],Imput[C. Imp.],$D269,Imput[PERIODO Imp.],CE$9)</f>
        <v>0</v>
      </c>
      <c r="CF269" s="693">
        <f>SUMIFS(Imput[Importe Neto],Imput[C. Imp.],$D269,Imput[PERIODO Imp.],CF$9)</f>
        <v>0</v>
      </c>
      <c r="CG269" s="693">
        <f>SUMIFS(Imput[Importe Neto],Imput[C. Imp.],$D269,Imput[PERIODO Imp.],CG$9)</f>
        <v>0</v>
      </c>
      <c r="CH269" s="693">
        <f>SUMIFS(Imput[Importe Neto],Imput[C. Imp.],$D269,Imput[PERIODO Imp.],CH$9)</f>
        <v>0</v>
      </c>
      <c r="CI269" s="693">
        <f>SUMIFS(Imput[Importe Neto],Imput[C. Imp.],$D269,Imput[PERIODO Imp.],CI$9)</f>
        <v>0</v>
      </c>
      <c r="CJ269" s="693">
        <f>SUMIFS(Imput[Importe Neto],Imput[C. Imp.],$D269,Imput[PERIODO Imp.],CJ$9)</f>
        <v>0</v>
      </c>
      <c r="CK269" s="693">
        <f>SUMIFS(Imput[Importe Neto],Imput[C. Imp.],$D269,Imput[PERIODO Imp.],CK$9)</f>
        <v>0</v>
      </c>
      <c r="CL269" s="693">
        <f>SUMIFS(Imput[Importe Neto],Imput[C. Imp.],$D269,Imput[PERIODO Imp.],CL$9)</f>
        <v>0</v>
      </c>
      <c r="CM269" s="693">
        <f>SUMIFS(Imput[Importe Neto],Imput[C. Imp.],$D269,Imput[PERIODO Imp.],CM$9)</f>
        <v>0</v>
      </c>
      <c r="CN269" s="693">
        <f>SUMIFS(Imput[Importe Neto],Imput[C. Imp.],$D269,Imput[PERIODO Imp.],CN$9)</f>
        <v>0</v>
      </c>
      <c r="CO269" s="693">
        <f>SUMIFS(Imput[Importe Neto],Imput[C. Imp.],$D269,Imput[PERIODO Imp.],CO$9)</f>
        <v>0</v>
      </c>
      <c r="CP269" s="693">
        <f>SUMIFS(Imput[Importe Neto],Imput[C. Imp.],$D269,Imput[PERIODO Imp.],CP$9)</f>
        <v>0</v>
      </c>
      <c r="CQ269" s="693">
        <f>SUMIFS(Imput[Importe Neto],Imput[C. Imp.],$D269,Imput[PERIODO Imp.],CQ$9)</f>
        <v>0</v>
      </c>
      <c r="CR269" s="693">
        <f>SUMIFS(Imput[Importe Neto],Imput[C. Imp.],$D269,Imput[PERIODO Imp.],CR$9)</f>
        <v>0</v>
      </c>
      <c r="CS269" s="693">
        <f>SUMIFS(Imput[Importe Neto],Imput[C. Imp.],$D269,Imput[PERIODO Imp.],CS$9)</f>
        <v>0</v>
      </c>
      <c r="CT269" s="693">
        <f>SUMIFS(Imput[Importe Neto],Imput[C. Imp.],$D269,Imput[PERIODO Imp.],CT$9)</f>
        <v>0</v>
      </c>
      <c r="CU269" s="693">
        <f>SUMIFS(Imput[Importe Neto],Imput[C. Imp.],$D269,Imput[PERIODO Imp.],CU$9)</f>
        <v>0</v>
      </c>
      <c r="CV269" s="693">
        <f>SUMIFS(Imput[Importe Neto],Imput[C. Imp.],$D269,Imput[PERIODO Imp.],CV$9)</f>
        <v>0</v>
      </c>
      <c r="CW269" s="693">
        <f>SUMIFS(Imput[Importe Neto],Imput[C. Imp.],$D269,Imput[PERIODO Imp.],CW$9)</f>
        <v>0</v>
      </c>
      <c r="CX269" s="693">
        <f>SUMIFS(Imput[Importe Neto],Imput[C. Imp.],$D269,Imput[PERIODO Imp.],CX$9)</f>
        <v>0</v>
      </c>
      <c r="CY269" s="693">
        <f>SUMIFS(Imput[Importe Neto],Imput[C. Imp.],$D269,Imput[PERIODO Imp.],CY$9)</f>
        <v>0</v>
      </c>
      <c r="CZ269" s="693">
        <f>SUMIFS(Imput[Importe Neto],Imput[C. Imp.],$D269,Imput[PERIODO Imp.],CZ$9)</f>
        <v>0</v>
      </c>
      <c r="DA269" s="693">
        <f>SUMIFS(Imput[Importe Neto],Imput[C. Imp.],$D269,Imput[PERIODO Imp.],DA$9)</f>
        <v>0</v>
      </c>
      <c r="DB269" s="693">
        <f>SUMIFS(Imput[Importe Neto],Imput[C. Imp.],$D269,Imput[PERIODO Imp.],DB$9)</f>
        <v>0</v>
      </c>
      <c r="DC269" s="693">
        <f>SUMIFS(Imput[Importe Neto],Imput[C. Imp.],$D269,Imput[PERIODO Imp.],DC$9)</f>
        <v>0</v>
      </c>
      <c r="DD269" s="693">
        <f>SUMIFS(Imput[Importe Neto],Imput[C. Imp.],$D269,Imput[PERIODO Imp.],DD$9)</f>
        <v>0</v>
      </c>
      <c r="DE269" s="693">
        <f>SUMIFS(Imput[Importe Neto],Imput[C. Imp.],$D269,Imput[PERIODO Imp.],DE$9)</f>
        <v>0</v>
      </c>
      <c r="DF269" s="693">
        <f>SUMIFS(Imput[Importe Neto],Imput[C. Imp.],$D269,Imput[PERIODO Imp.],DF$9)</f>
        <v>0</v>
      </c>
      <c r="DG269" s="693">
        <f>SUMIFS(Imput[Importe Neto],Imput[C. Imp.],$D269,Imput[PERIODO Imp.],DG$9)</f>
        <v>0</v>
      </c>
      <c r="DH269" s="694">
        <f>SUMIFS(Imput[Importe Neto],Imput[C. Imp.],$D269,Imput[PERIODO Imp.],DH$9)</f>
        <v>0</v>
      </c>
    </row>
    <row r="270" spans="1:112" s="649" customFormat="1" hidden="1" outlineLevel="1" x14ac:dyDescent="0.3">
      <c r="A270" s="652" t="str">
        <f t="shared" si="137"/>
        <v/>
      </c>
      <c r="B270" s="652"/>
      <c r="C270" s="685"/>
      <c r="D270" s="686" t="s">
        <v>2344</v>
      </c>
      <c r="E270" s="686"/>
      <c r="F270" s="720"/>
      <c r="G270" s="688"/>
      <c r="H270" s="689"/>
      <c r="I270" s="851" t="str">
        <f t="shared" si="138"/>
        <v/>
      </c>
      <c r="J270" s="850" t="str">
        <f t="shared" si="139"/>
        <v/>
      </c>
      <c r="K270" s="667"/>
      <c r="L270" s="858"/>
      <c r="M270" s="859"/>
      <c r="N270" s="859"/>
      <c r="O270" s="859"/>
      <c r="P270" s="859"/>
      <c r="Q270" s="859"/>
      <c r="R270" s="859"/>
      <c r="S270" s="859"/>
      <c r="T270" s="859"/>
      <c r="U270" s="859"/>
      <c r="V270" s="859"/>
      <c r="W270" s="859"/>
      <c r="X270" s="859"/>
      <c r="Y270" s="859"/>
      <c r="Z270" s="860"/>
      <c r="AA270" s="860"/>
      <c r="AB270" s="860"/>
      <c r="AC270" s="860"/>
      <c r="AD270" s="860"/>
      <c r="AE270" s="860"/>
      <c r="AF270" s="860"/>
      <c r="AG270" s="860"/>
      <c r="AH270" s="860"/>
      <c r="AI270" s="860"/>
      <c r="AJ270" s="860"/>
      <c r="AK270" s="860"/>
      <c r="AL270" s="860"/>
      <c r="AM270" s="860"/>
      <c r="AN270" s="860"/>
      <c r="AO270" s="860"/>
      <c r="AP270" s="860"/>
      <c r="AQ270" s="860"/>
      <c r="AR270" s="860"/>
      <c r="AS270" s="860"/>
      <c r="AT270" s="860"/>
      <c r="AU270" s="860"/>
      <c r="AV270" s="860"/>
      <c r="AW270" s="860"/>
      <c r="AX270" s="860"/>
      <c r="AY270" s="860"/>
      <c r="AZ270" s="860"/>
      <c r="BA270" s="860"/>
      <c r="BB270" s="860"/>
      <c r="BC270" s="860"/>
      <c r="BD270" s="860"/>
      <c r="BE270" s="860"/>
      <c r="BF270" s="860"/>
      <c r="BG270" s="860"/>
      <c r="BH270" s="668"/>
      <c r="BI270" s="667"/>
      <c r="BJ270" s="690">
        <f t="shared" si="140"/>
        <v>0</v>
      </c>
      <c r="BK270" s="691">
        <f t="shared" si="141"/>
        <v>0</v>
      </c>
      <c r="BL270" s="654"/>
      <c r="BM270" s="692">
        <f>SUMIFS(Imput[Importe Neto],Imput[C. Imp.],$D270,Imput[PERIODO Imp.],BM$9)</f>
        <v>0</v>
      </c>
      <c r="BN270" s="693">
        <f>SUMIFS(Imput[Importe Neto],Imput[C. Imp.],$D270,Imput[PERIODO Imp.],BN$9)</f>
        <v>0</v>
      </c>
      <c r="BO270" s="693">
        <f>SUMIFS(Imput[Importe Neto],Imput[C. Imp.],$D270,Imput[PERIODO Imp.],BO$9)</f>
        <v>0</v>
      </c>
      <c r="BP270" s="693">
        <f>SUMIFS(Imput[Importe Neto],Imput[C. Imp.],$D270,Imput[PERIODO Imp.],BP$9)</f>
        <v>0</v>
      </c>
      <c r="BQ270" s="693">
        <f>SUMIFS(Imput[Importe Neto],Imput[C. Imp.],$D270,Imput[PERIODO Imp.],BQ$9)</f>
        <v>0</v>
      </c>
      <c r="BR270" s="693">
        <f>SUMIFS(Imput[Importe Neto],Imput[C. Imp.],$D270,Imput[PERIODO Imp.],BR$9)</f>
        <v>0</v>
      </c>
      <c r="BS270" s="693">
        <f>SUMIFS(Imput[Importe Neto],Imput[C. Imp.],$D270,Imput[PERIODO Imp.],BS$9)</f>
        <v>0</v>
      </c>
      <c r="BT270" s="693">
        <f>SUMIFS(Imput[Importe Neto],Imput[C. Imp.],$D270,Imput[PERIODO Imp.],BT$9)</f>
        <v>0</v>
      </c>
      <c r="BU270" s="693">
        <f>SUMIFS(Imput[Importe Neto],Imput[C. Imp.],$D270,Imput[PERIODO Imp.],BU$9)</f>
        <v>0</v>
      </c>
      <c r="BV270" s="693">
        <f>SUMIFS(Imput[Importe Neto],Imput[C. Imp.],$D270,Imput[PERIODO Imp.],BV$9)</f>
        <v>0</v>
      </c>
      <c r="BW270" s="693">
        <f>SUMIFS(Imput[Importe Neto],Imput[C. Imp.],$D270,Imput[PERIODO Imp.],BW$9)</f>
        <v>0</v>
      </c>
      <c r="BX270" s="693">
        <f>SUMIFS(Imput[Importe Neto],Imput[C. Imp.],$D270,Imput[PERIODO Imp.],BX$9)</f>
        <v>0</v>
      </c>
      <c r="BY270" s="693">
        <f>SUMIFS(Imput[Importe Neto],Imput[C. Imp.],$D270,Imput[PERIODO Imp.],BY$9)</f>
        <v>0</v>
      </c>
      <c r="BZ270" s="693">
        <f>SUMIFS(Imput[Importe Neto],Imput[C. Imp.],$D270,Imput[PERIODO Imp.],BZ$9)</f>
        <v>0</v>
      </c>
      <c r="CA270" s="693">
        <f>SUMIFS(Imput[Importe Neto],Imput[C. Imp.],$D270,Imput[PERIODO Imp.],CA$9)</f>
        <v>0</v>
      </c>
      <c r="CB270" s="693">
        <f>SUMIFS(Imput[Importe Neto],Imput[C. Imp.],$D270,Imput[PERIODO Imp.],CB$9)</f>
        <v>0</v>
      </c>
      <c r="CC270" s="693">
        <f>SUMIFS(Imput[Importe Neto],Imput[C. Imp.],$D270,Imput[PERIODO Imp.],CC$9)</f>
        <v>0</v>
      </c>
      <c r="CD270" s="693">
        <f>SUMIFS(Imput[Importe Neto],Imput[C. Imp.],$D270,Imput[PERIODO Imp.],CD$9)</f>
        <v>0</v>
      </c>
      <c r="CE270" s="693">
        <f>SUMIFS(Imput[Importe Neto],Imput[C. Imp.],$D270,Imput[PERIODO Imp.],CE$9)</f>
        <v>0</v>
      </c>
      <c r="CF270" s="693">
        <f>SUMIFS(Imput[Importe Neto],Imput[C. Imp.],$D270,Imput[PERIODO Imp.],CF$9)</f>
        <v>0</v>
      </c>
      <c r="CG270" s="693">
        <f>SUMIFS(Imput[Importe Neto],Imput[C. Imp.],$D270,Imput[PERIODO Imp.],CG$9)</f>
        <v>0</v>
      </c>
      <c r="CH270" s="693">
        <f>SUMIFS(Imput[Importe Neto],Imput[C. Imp.],$D270,Imput[PERIODO Imp.],CH$9)</f>
        <v>0</v>
      </c>
      <c r="CI270" s="693">
        <f>SUMIFS(Imput[Importe Neto],Imput[C. Imp.],$D270,Imput[PERIODO Imp.],CI$9)</f>
        <v>0</v>
      </c>
      <c r="CJ270" s="693">
        <f>SUMIFS(Imput[Importe Neto],Imput[C. Imp.],$D270,Imput[PERIODO Imp.],CJ$9)</f>
        <v>0</v>
      </c>
      <c r="CK270" s="693">
        <f>SUMIFS(Imput[Importe Neto],Imput[C. Imp.],$D270,Imput[PERIODO Imp.],CK$9)</f>
        <v>0</v>
      </c>
      <c r="CL270" s="693">
        <f>SUMIFS(Imput[Importe Neto],Imput[C. Imp.],$D270,Imput[PERIODO Imp.],CL$9)</f>
        <v>0</v>
      </c>
      <c r="CM270" s="693">
        <f>SUMIFS(Imput[Importe Neto],Imput[C. Imp.],$D270,Imput[PERIODO Imp.],CM$9)</f>
        <v>0</v>
      </c>
      <c r="CN270" s="693">
        <f>SUMIFS(Imput[Importe Neto],Imput[C. Imp.],$D270,Imput[PERIODO Imp.],CN$9)</f>
        <v>0</v>
      </c>
      <c r="CO270" s="693">
        <f>SUMIFS(Imput[Importe Neto],Imput[C. Imp.],$D270,Imput[PERIODO Imp.],CO$9)</f>
        <v>0</v>
      </c>
      <c r="CP270" s="693">
        <f>SUMIFS(Imput[Importe Neto],Imput[C. Imp.],$D270,Imput[PERIODO Imp.],CP$9)</f>
        <v>0</v>
      </c>
      <c r="CQ270" s="693">
        <f>SUMIFS(Imput[Importe Neto],Imput[C. Imp.],$D270,Imput[PERIODO Imp.],CQ$9)</f>
        <v>0</v>
      </c>
      <c r="CR270" s="693">
        <f>SUMIFS(Imput[Importe Neto],Imput[C. Imp.],$D270,Imput[PERIODO Imp.],CR$9)</f>
        <v>0</v>
      </c>
      <c r="CS270" s="693">
        <f>SUMIFS(Imput[Importe Neto],Imput[C. Imp.],$D270,Imput[PERIODO Imp.],CS$9)</f>
        <v>0</v>
      </c>
      <c r="CT270" s="693">
        <f>SUMIFS(Imput[Importe Neto],Imput[C. Imp.],$D270,Imput[PERIODO Imp.],CT$9)</f>
        <v>0</v>
      </c>
      <c r="CU270" s="693">
        <f>SUMIFS(Imput[Importe Neto],Imput[C. Imp.],$D270,Imput[PERIODO Imp.],CU$9)</f>
        <v>0</v>
      </c>
      <c r="CV270" s="693">
        <f>SUMIFS(Imput[Importe Neto],Imput[C. Imp.],$D270,Imput[PERIODO Imp.],CV$9)</f>
        <v>0</v>
      </c>
      <c r="CW270" s="693">
        <f>SUMIFS(Imput[Importe Neto],Imput[C. Imp.],$D270,Imput[PERIODO Imp.],CW$9)</f>
        <v>0</v>
      </c>
      <c r="CX270" s="693">
        <f>SUMIFS(Imput[Importe Neto],Imput[C. Imp.],$D270,Imput[PERIODO Imp.],CX$9)</f>
        <v>0</v>
      </c>
      <c r="CY270" s="693">
        <f>SUMIFS(Imput[Importe Neto],Imput[C. Imp.],$D270,Imput[PERIODO Imp.],CY$9)</f>
        <v>0</v>
      </c>
      <c r="CZ270" s="693">
        <f>SUMIFS(Imput[Importe Neto],Imput[C. Imp.],$D270,Imput[PERIODO Imp.],CZ$9)</f>
        <v>0</v>
      </c>
      <c r="DA270" s="693">
        <f>SUMIFS(Imput[Importe Neto],Imput[C. Imp.],$D270,Imput[PERIODO Imp.],DA$9)</f>
        <v>0</v>
      </c>
      <c r="DB270" s="693">
        <f>SUMIFS(Imput[Importe Neto],Imput[C. Imp.],$D270,Imput[PERIODO Imp.],DB$9)</f>
        <v>0</v>
      </c>
      <c r="DC270" s="693">
        <f>SUMIFS(Imput[Importe Neto],Imput[C. Imp.],$D270,Imput[PERIODO Imp.],DC$9)</f>
        <v>0</v>
      </c>
      <c r="DD270" s="693">
        <f>SUMIFS(Imput[Importe Neto],Imput[C. Imp.],$D270,Imput[PERIODO Imp.],DD$9)</f>
        <v>0</v>
      </c>
      <c r="DE270" s="693">
        <f>SUMIFS(Imput[Importe Neto],Imput[C. Imp.],$D270,Imput[PERIODO Imp.],DE$9)</f>
        <v>0</v>
      </c>
      <c r="DF270" s="693">
        <f>SUMIFS(Imput[Importe Neto],Imput[C. Imp.],$D270,Imput[PERIODO Imp.],DF$9)</f>
        <v>0</v>
      </c>
      <c r="DG270" s="693">
        <f>SUMIFS(Imput[Importe Neto],Imput[C. Imp.],$D270,Imput[PERIODO Imp.],DG$9)</f>
        <v>0</v>
      </c>
      <c r="DH270" s="694">
        <f>SUMIFS(Imput[Importe Neto],Imput[C. Imp.],$D270,Imput[PERIODO Imp.],DH$9)</f>
        <v>0</v>
      </c>
    </row>
    <row r="271" spans="1:112" s="649" customFormat="1" hidden="1" outlineLevel="1" x14ac:dyDescent="0.3">
      <c r="A271" s="652" t="str">
        <f t="shared" si="137"/>
        <v/>
      </c>
      <c r="B271" s="652"/>
      <c r="C271" s="685"/>
      <c r="D271" s="686" t="s">
        <v>2345</v>
      </c>
      <c r="E271" s="686"/>
      <c r="F271" s="720"/>
      <c r="G271" s="688"/>
      <c r="H271" s="689"/>
      <c r="I271" s="851" t="str">
        <f t="shared" si="138"/>
        <v/>
      </c>
      <c r="J271" s="850" t="str">
        <f t="shared" si="139"/>
        <v/>
      </c>
      <c r="K271" s="667"/>
      <c r="L271" s="858"/>
      <c r="M271" s="859"/>
      <c r="N271" s="859"/>
      <c r="O271" s="859"/>
      <c r="P271" s="859"/>
      <c r="Q271" s="859"/>
      <c r="R271" s="859"/>
      <c r="S271" s="859"/>
      <c r="T271" s="859"/>
      <c r="U271" s="859"/>
      <c r="V271" s="859"/>
      <c r="W271" s="859"/>
      <c r="X271" s="859"/>
      <c r="Y271" s="859"/>
      <c r="Z271" s="860"/>
      <c r="AA271" s="860"/>
      <c r="AB271" s="860"/>
      <c r="AC271" s="860"/>
      <c r="AD271" s="860"/>
      <c r="AE271" s="860"/>
      <c r="AF271" s="860"/>
      <c r="AG271" s="860"/>
      <c r="AH271" s="860"/>
      <c r="AI271" s="860"/>
      <c r="AJ271" s="860"/>
      <c r="AK271" s="860"/>
      <c r="AL271" s="860"/>
      <c r="AM271" s="860"/>
      <c r="AN271" s="860"/>
      <c r="AO271" s="860"/>
      <c r="AP271" s="860"/>
      <c r="AQ271" s="860"/>
      <c r="AR271" s="860"/>
      <c r="AS271" s="860"/>
      <c r="AT271" s="860"/>
      <c r="AU271" s="860"/>
      <c r="AV271" s="860"/>
      <c r="AW271" s="860"/>
      <c r="AX271" s="860"/>
      <c r="AY271" s="860"/>
      <c r="AZ271" s="860"/>
      <c r="BA271" s="860"/>
      <c r="BB271" s="860"/>
      <c r="BC271" s="860"/>
      <c r="BD271" s="860"/>
      <c r="BE271" s="860"/>
      <c r="BF271" s="860"/>
      <c r="BG271" s="860"/>
      <c r="BH271" s="668"/>
      <c r="BI271" s="667"/>
      <c r="BJ271" s="690">
        <f t="shared" si="140"/>
        <v>0</v>
      </c>
      <c r="BK271" s="691">
        <f t="shared" si="141"/>
        <v>0</v>
      </c>
      <c r="BL271" s="654"/>
      <c r="BM271" s="692">
        <f>SUMIFS(Imput[Importe Neto],Imput[C. Imp.],$D271,Imput[PERIODO Imp.],BM$9)</f>
        <v>0</v>
      </c>
      <c r="BN271" s="693">
        <f>SUMIFS(Imput[Importe Neto],Imput[C. Imp.],$D271,Imput[PERIODO Imp.],BN$9)</f>
        <v>0</v>
      </c>
      <c r="BO271" s="693">
        <f>SUMIFS(Imput[Importe Neto],Imput[C. Imp.],$D271,Imput[PERIODO Imp.],BO$9)</f>
        <v>0</v>
      </c>
      <c r="BP271" s="693">
        <f>SUMIFS(Imput[Importe Neto],Imput[C. Imp.],$D271,Imput[PERIODO Imp.],BP$9)</f>
        <v>0</v>
      </c>
      <c r="BQ271" s="693">
        <f>SUMIFS(Imput[Importe Neto],Imput[C. Imp.],$D271,Imput[PERIODO Imp.],BQ$9)</f>
        <v>0</v>
      </c>
      <c r="BR271" s="693">
        <f>SUMIFS(Imput[Importe Neto],Imput[C. Imp.],$D271,Imput[PERIODO Imp.],BR$9)</f>
        <v>0</v>
      </c>
      <c r="BS271" s="693">
        <f>SUMIFS(Imput[Importe Neto],Imput[C. Imp.],$D271,Imput[PERIODO Imp.],BS$9)</f>
        <v>0</v>
      </c>
      <c r="BT271" s="693">
        <f>SUMIFS(Imput[Importe Neto],Imput[C. Imp.],$D271,Imput[PERIODO Imp.],BT$9)</f>
        <v>0</v>
      </c>
      <c r="BU271" s="693">
        <f>SUMIFS(Imput[Importe Neto],Imput[C. Imp.],$D271,Imput[PERIODO Imp.],BU$9)</f>
        <v>0</v>
      </c>
      <c r="BV271" s="693">
        <f>SUMIFS(Imput[Importe Neto],Imput[C. Imp.],$D271,Imput[PERIODO Imp.],BV$9)</f>
        <v>0</v>
      </c>
      <c r="BW271" s="693">
        <f>SUMIFS(Imput[Importe Neto],Imput[C. Imp.],$D271,Imput[PERIODO Imp.],BW$9)</f>
        <v>0</v>
      </c>
      <c r="BX271" s="693">
        <f>SUMIFS(Imput[Importe Neto],Imput[C. Imp.],$D271,Imput[PERIODO Imp.],BX$9)</f>
        <v>0</v>
      </c>
      <c r="BY271" s="693">
        <f>SUMIFS(Imput[Importe Neto],Imput[C. Imp.],$D271,Imput[PERIODO Imp.],BY$9)</f>
        <v>0</v>
      </c>
      <c r="BZ271" s="693">
        <f>SUMIFS(Imput[Importe Neto],Imput[C. Imp.],$D271,Imput[PERIODO Imp.],BZ$9)</f>
        <v>0</v>
      </c>
      <c r="CA271" s="693">
        <f>SUMIFS(Imput[Importe Neto],Imput[C. Imp.],$D271,Imput[PERIODO Imp.],CA$9)</f>
        <v>0</v>
      </c>
      <c r="CB271" s="693">
        <f>SUMIFS(Imput[Importe Neto],Imput[C. Imp.],$D271,Imput[PERIODO Imp.],CB$9)</f>
        <v>0</v>
      </c>
      <c r="CC271" s="693">
        <f>SUMIFS(Imput[Importe Neto],Imput[C. Imp.],$D271,Imput[PERIODO Imp.],CC$9)</f>
        <v>0</v>
      </c>
      <c r="CD271" s="693">
        <f>SUMIFS(Imput[Importe Neto],Imput[C. Imp.],$D271,Imput[PERIODO Imp.],CD$9)</f>
        <v>0</v>
      </c>
      <c r="CE271" s="693">
        <f>SUMIFS(Imput[Importe Neto],Imput[C. Imp.],$D271,Imput[PERIODO Imp.],CE$9)</f>
        <v>0</v>
      </c>
      <c r="CF271" s="693">
        <f>SUMIFS(Imput[Importe Neto],Imput[C. Imp.],$D271,Imput[PERIODO Imp.],CF$9)</f>
        <v>0</v>
      </c>
      <c r="CG271" s="693">
        <f>SUMIFS(Imput[Importe Neto],Imput[C. Imp.],$D271,Imput[PERIODO Imp.],CG$9)</f>
        <v>0</v>
      </c>
      <c r="CH271" s="693">
        <f>SUMIFS(Imput[Importe Neto],Imput[C. Imp.],$D271,Imput[PERIODO Imp.],CH$9)</f>
        <v>0</v>
      </c>
      <c r="CI271" s="693">
        <f>SUMIFS(Imput[Importe Neto],Imput[C. Imp.],$D271,Imput[PERIODO Imp.],CI$9)</f>
        <v>0</v>
      </c>
      <c r="CJ271" s="693">
        <f>SUMIFS(Imput[Importe Neto],Imput[C. Imp.],$D271,Imput[PERIODO Imp.],CJ$9)</f>
        <v>0</v>
      </c>
      <c r="CK271" s="693">
        <f>SUMIFS(Imput[Importe Neto],Imput[C. Imp.],$D271,Imput[PERIODO Imp.],CK$9)</f>
        <v>0</v>
      </c>
      <c r="CL271" s="693">
        <f>SUMIFS(Imput[Importe Neto],Imput[C. Imp.],$D271,Imput[PERIODO Imp.],CL$9)</f>
        <v>0</v>
      </c>
      <c r="CM271" s="693">
        <f>SUMIFS(Imput[Importe Neto],Imput[C. Imp.],$D271,Imput[PERIODO Imp.],CM$9)</f>
        <v>0</v>
      </c>
      <c r="CN271" s="693">
        <f>SUMIFS(Imput[Importe Neto],Imput[C. Imp.],$D271,Imput[PERIODO Imp.],CN$9)</f>
        <v>0</v>
      </c>
      <c r="CO271" s="693">
        <f>SUMIFS(Imput[Importe Neto],Imput[C. Imp.],$D271,Imput[PERIODO Imp.],CO$9)</f>
        <v>0</v>
      </c>
      <c r="CP271" s="693">
        <f>SUMIFS(Imput[Importe Neto],Imput[C. Imp.],$D271,Imput[PERIODO Imp.],CP$9)</f>
        <v>0</v>
      </c>
      <c r="CQ271" s="693">
        <f>SUMIFS(Imput[Importe Neto],Imput[C. Imp.],$D271,Imput[PERIODO Imp.],CQ$9)</f>
        <v>0</v>
      </c>
      <c r="CR271" s="693">
        <f>SUMIFS(Imput[Importe Neto],Imput[C. Imp.],$D271,Imput[PERIODO Imp.],CR$9)</f>
        <v>0</v>
      </c>
      <c r="CS271" s="693">
        <f>SUMIFS(Imput[Importe Neto],Imput[C. Imp.],$D271,Imput[PERIODO Imp.],CS$9)</f>
        <v>0</v>
      </c>
      <c r="CT271" s="693">
        <f>SUMIFS(Imput[Importe Neto],Imput[C. Imp.],$D271,Imput[PERIODO Imp.],CT$9)</f>
        <v>0</v>
      </c>
      <c r="CU271" s="693">
        <f>SUMIFS(Imput[Importe Neto],Imput[C. Imp.],$D271,Imput[PERIODO Imp.],CU$9)</f>
        <v>0</v>
      </c>
      <c r="CV271" s="693">
        <f>SUMIFS(Imput[Importe Neto],Imput[C. Imp.],$D271,Imput[PERIODO Imp.],CV$9)</f>
        <v>0</v>
      </c>
      <c r="CW271" s="693">
        <f>SUMIFS(Imput[Importe Neto],Imput[C. Imp.],$D271,Imput[PERIODO Imp.],CW$9)</f>
        <v>0</v>
      </c>
      <c r="CX271" s="693">
        <f>SUMIFS(Imput[Importe Neto],Imput[C. Imp.],$D271,Imput[PERIODO Imp.],CX$9)</f>
        <v>0</v>
      </c>
      <c r="CY271" s="693">
        <f>SUMIFS(Imput[Importe Neto],Imput[C. Imp.],$D271,Imput[PERIODO Imp.],CY$9)</f>
        <v>0</v>
      </c>
      <c r="CZ271" s="693">
        <f>SUMIFS(Imput[Importe Neto],Imput[C. Imp.],$D271,Imput[PERIODO Imp.],CZ$9)</f>
        <v>0</v>
      </c>
      <c r="DA271" s="693">
        <f>SUMIFS(Imput[Importe Neto],Imput[C. Imp.],$D271,Imput[PERIODO Imp.],DA$9)</f>
        <v>0</v>
      </c>
      <c r="DB271" s="693">
        <f>SUMIFS(Imput[Importe Neto],Imput[C. Imp.],$D271,Imput[PERIODO Imp.],DB$9)</f>
        <v>0</v>
      </c>
      <c r="DC271" s="693">
        <f>SUMIFS(Imput[Importe Neto],Imput[C. Imp.],$D271,Imput[PERIODO Imp.],DC$9)</f>
        <v>0</v>
      </c>
      <c r="DD271" s="693">
        <f>SUMIFS(Imput[Importe Neto],Imput[C. Imp.],$D271,Imput[PERIODO Imp.],DD$9)</f>
        <v>0</v>
      </c>
      <c r="DE271" s="693">
        <f>SUMIFS(Imput[Importe Neto],Imput[C. Imp.],$D271,Imput[PERIODO Imp.],DE$9)</f>
        <v>0</v>
      </c>
      <c r="DF271" s="693">
        <f>SUMIFS(Imput[Importe Neto],Imput[C. Imp.],$D271,Imput[PERIODO Imp.],DF$9)</f>
        <v>0</v>
      </c>
      <c r="DG271" s="693">
        <f>SUMIFS(Imput[Importe Neto],Imput[C. Imp.],$D271,Imput[PERIODO Imp.],DG$9)</f>
        <v>0</v>
      </c>
      <c r="DH271" s="694">
        <f>SUMIFS(Imput[Importe Neto],Imput[C. Imp.],$D271,Imput[PERIODO Imp.],DH$9)</f>
        <v>0</v>
      </c>
    </row>
    <row r="272" spans="1:112" s="649" customFormat="1" hidden="1" outlineLevel="1" x14ac:dyDescent="0.3">
      <c r="A272" s="652" t="str">
        <f t="shared" si="137"/>
        <v/>
      </c>
      <c r="B272" s="652"/>
      <c r="C272" s="685"/>
      <c r="D272" s="686" t="s">
        <v>2346</v>
      </c>
      <c r="E272" s="686"/>
      <c r="F272" s="720"/>
      <c r="G272" s="688"/>
      <c r="H272" s="689"/>
      <c r="I272" s="851" t="str">
        <f t="shared" si="138"/>
        <v/>
      </c>
      <c r="J272" s="850" t="str">
        <f t="shared" si="139"/>
        <v/>
      </c>
      <c r="K272" s="667"/>
      <c r="L272" s="858"/>
      <c r="M272" s="859"/>
      <c r="N272" s="859"/>
      <c r="O272" s="859"/>
      <c r="P272" s="859"/>
      <c r="Q272" s="859"/>
      <c r="R272" s="859"/>
      <c r="S272" s="859"/>
      <c r="T272" s="859"/>
      <c r="U272" s="859"/>
      <c r="V272" s="859"/>
      <c r="W272" s="859"/>
      <c r="X272" s="859"/>
      <c r="Y272" s="859"/>
      <c r="Z272" s="860"/>
      <c r="AA272" s="860"/>
      <c r="AB272" s="860"/>
      <c r="AC272" s="860"/>
      <c r="AD272" s="860"/>
      <c r="AE272" s="860"/>
      <c r="AF272" s="860"/>
      <c r="AG272" s="860"/>
      <c r="AH272" s="860"/>
      <c r="AI272" s="860"/>
      <c r="AJ272" s="860"/>
      <c r="AK272" s="860"/>
      <c r="AL272" s="860"/>
      <c r="AM272" s="860"/>
      <c r="AN272" s="860"/>
      <c r="AO272" s="860"/>
      <c r="AP272" s="860"/>
      <c r="AQ272" s="860"/>
      <c r="AR272" s="860"/>
      <c r="AS272" s="860"/>
      <c r="AT272" s="860"/>
      <c r="AU272" s="860"/>
      <c r="AV272" s="860"/>
      <c r="AW272" s="860"/>
      <c r="AX272" s="860"/>
      <c r="AY272" s="860"/>
      <c r="AZ272" s="860"/>
      <c r="BA272" s="860"/>
      <c r="BB272" s="860"/>
      <c r="BC272" s="860"/>
      <c r="BD272" s="860"/>
      <c r="BE272" s="860"/>
      <c r="BF272" s="860"/>
      <c r="BG272" s="860"/>
      <c r="BH272" s="668"/>
      <c r="BI272" s="667"/>
      <c r="BJ272" s="690">
        <f t="shared" si="140"/>
        <v>0</v>
      </c>
      <c r="BK272" s="691">
        <f t="shared" si="141"/>
        <v>0</v>
      </c>
      <c r="BL272" s="654"/>
      <c r="BM272" s="692">
        <f>SUMIFS(Imput[Importe Neto],Imput[C. Imp.],$D272,Imput[PERIODO Imp.],BM$9)</f>
        <v>0</v>
      </c>
      <c r="BN272" s="693">
        <f>SUMIFS(Imput[Importe Neto],Imput[C. Imp.],$D272,Imput[PERIODO Imp.],BN$9)</f>
        <v>0</v>
      </c>
      <c r="BO272" s="693">
        <f>SUMIFS(Imput[Importe Neto],Imput[C. Imp.],$D272,Imput[PERIODO Imp.],BO$9)</f>
        <v>0</v>
      </c>
      <c r="BP272" s="693">
        <f>SUMIFS(Imput[Importe Neto],Imput[C. Imp.],$D272,Imput[PERIODO Imp.],BP$9)</f>
        <v>0</v>
      </c>
      <c r="BQ272" s="693">
        <f>SUMIFS(Imput[Importe Neto],Imput[C. Imp.],$D272,Imput[PERIODO Imp.],BQ$9)</f>
        <v>0</v>
      </c>
      <c r="BR272" s="693">
        <f>SUMIFS(Imput[Importe Neto],Imput[C. Imp.],$D272,Imput[PERIODO Imp.],BR$9)</f>
        <v>0</v>
      </c>
      <c r="BS272" s="693">
        <f>SUMIFS(Imput[Importe Neto],Imput[C. Imp.],$D272,Imput[PERIODO Imp.],BS$9)</f>
        <v>0</v>
      </c>
      <c r="BT272" s="693">
        <f>SUMIFS(Imput[Importe Neto],Imput[C. Imp.],$D272,Imput[PERIODO Imp.],BT$9)</f>
        <v>0</v>
      </c>
      <c r="BU272" s="693">
        <f>SUMIFS(Imput[Importe Neto],Imput[C. Imp.],$D272,Imput[PERIODO Imp.],BU$9)</f>
        <v>0</v>
      </c>
      <c r="BV272" s="693">
        <f>SUMIFS(Imput[Importe Neto],Imput[C. Imp.],$D272,Imput[PERIODO Imp.],BV$9)</f>
        <v>0</v>
      </c>
      <c r="BW272" s="693">
        <f>SUMIFS(Imput[Importe Neto],Imput[C. Imp.],$D272,Imput[PERIODO Imp.],BW$9)</f>
        <v>0</v>
      </c>
      <c r="BX272" s="693">
        <f>SUMIFS(Imput[Importe Neto],Imput[C. Imp.],$D272,Imput[PERIODO Imp.],BX$9)</f>
        <v>0</v>
      </c>
      <c r="BY272" s="693">
        <f>SUMIFS(Imput[Importe Neto],Imput[C. Imp.],$D272,Imput[PERIODO Imp.],BY$9)</f>
        <v>0</v>
      </c>
      <c r="BZ272" s="693">
        <f>SUMIFS(Imput[Importe Neto],Imput[C. Imp.],$D272,Imput[PERIODO Imp.],BZ$9)</f>
        <v>0</v>
      </c>
      <c r="CA272" s="693">
        <f>SUMIFS(Imput[Importe Neto],Imput[C. Imp.],$D272,Imput[PERIODO Imp.],CA$9)</f>
        <v>0</v>
      </c>
      <c r="CB272" s="693">
        <f>SUMIFS(Imput[Importe Neto],Imput[C. Imp.],$D272,Imput[PERIODO Imp.],CB$9)</f>
        <v>0</v>
      </c>
      <c r="CC272" s="693">
        <f>SUMIFS(Imput[Importe Neto],Imput[C. Imp.],$D272,Imput[PERIODO Imp.],CC$9)</f>
        <v>0</v>
      </c>
      <c r="CD272" s="693">
        <f>SUMIFS(Imput[Importe Neto],Imput[C. Imp.],$D272,Imput[PERIODO Imp.],CD$9)</f>
        <v>0</v>
      </c>
      <c r="CE272" s="693">
        <f>SUMIFS(Imput[Importe Neto],Imput[C. Imp.],$D272,Imput[PERIODO Imp.],CE$9)</f>
        <v>0</v>
      </c>
      <c r="CF272" s="693">
        <f>SUMIFS(Imput[Importe Neto],Imput[C. Imp.],$D272,Imput[PERIODO Imp.],CF$9)</f>
        <v>0</v>
      </c>
      <c r="CG272" s="693">
        <f>SUMIFS(Imput[Importe Neto],Imput[C. Imp.],$D272,Imput[PERIODO Imp.],CG$9)</f>
        <v>0</v>
      </c>
      <c r="CH272" s="693">
        <f>SUMIFS(Imput[Importe Neto],Imput[C. Imp.],$D272,Imput[PERIODO Imp.],CH$9)</f>
        <v>0</v>
      </c>
      <c r="CI272" s="693">
        <f>SUMIFS(Imput[Importe Neto],Imput[C. Imp.],$D272,Imput[PERIODO Imp.],CI$9)</f>
        <v>0</v>
      </c>
      <c r="CJ272" s="693">
        <f>SUMIFS(Imput[Importe Neto],Imput[C. Imp.],$D272,Imput[PERIODO Imp.],CJ$9)</f>
        <v>0</v>
      </c>
      <c r="CK272" s="693">
        <f>SUMIFS(Imput[Importe Neto],Imput[C. Imp.],$D272,Imput[PERIODO Imp.],CK$9)</f>
        <v>0</v>
      </c>
      <c r="CL272" s="693">
        <f>SUMIFS(Imput[Importe Neto],Imput[C. Imp.],$D272,Imput[PERIODO Imp.],CL$9)</f>
        <v>0</v>
      </c>
      <c r="CM272" s="693">
        <f>SUMIFS(Imput[Importe Neto],Imput[C. Imp.],$D272,Imput[PERIODO Imp.],CM$9)</f>
        <v>0</v>
      </c>
      <c r="CN272" s="693">
        <f>SUMIFS(Imput[Importe Neto],Imput[C. Imp.],$D272,Imput[PERIODO Imp.],CN$9)</f>
        <v>0</v>
      </c>
      <c r="CO272" s="693">
        <f>SUMIFS(Imput[Importe Neto],Imput[C. Imp.],$D272,Imput[PERIODO Imp.],CO$9)</f>
        <v>0</v>
      </c>
      <c r="CP272" s="693">
        <f>SUMIFS(Imput[Importe Neto],Imput[C. Imp.],$D272,Imput[PERIODO Imp.],CP$9)</f>
        <v>0</v>
      </c>
      <c r="CQ272" s="693">
        <f>SUMIFS(Imput[Importe Neto],Imput[C. Imp.],$D272,Imput[PERIODO Imp.],CQ$9)</f>
        <v>0</v>
      </c>
      <c r="CR272" s="693">
        <f>SUMIFS(Imput[Importe Neto],Imput[C. Imp.],$D272,Imput[PERIODO Imp.],CR$9)</f>
        <v>0</v>
      </c>
      <c r="CS272" s="693">
        <f>SUMIFS(Imput[Importe Neto],Imput[C. Imp.],$D272,Imput[PERIODO Imp.],CS$9)</f>
        <v>0</v>
      </c>
      <c r="CT272" s="693">
        <f>SUMIFS(Imput[Importe Neto],Imput[C. Imp.],$D272,Imput[PERIODO Imp.],CT$9)</f>
        <v>0</v>
      </c>
      <c r="CU272" s="693">
        <f>SUMIFS(Imput[Importe Neto],Imput[C. Imp.],$D272,Imput[PERIODO Imp.],CU$9)</f>
        <v>0</v>
      </c>
      <c r="CV272" s="693">
        <f>SUMIFS(Imput[Importe Neto],Imput[C. Imp.],$D272,Imput[PERIODO Imp.],CV$9)</f>
        <v>0</v>
      </c>
      <c r="CW272" s="693">
        <f>SUMIFS(Imput[Importe Neto],Imput[C. Imp.],$D272,Imput[PERIODO Imp.],CW$9)</f>
        <v>0</v>
      </c>
      <c r="CX272" s="693">
        <f>SUMIFS(Imput[Importe Neto],Imput[C. Imp.],$D272,Imput[PERIODO Imp.],CX$9)</f>
        <v>0</v>
      </c>
      <c r="CY272" s="693">
        <f>SUMIFS(Imput[Importe Neto],Imput[C. Imp.],$D272,Imput[PERIODO Imp.],CY$9)</f>
        <v>0</v>
      </c>
      <c r="CZ272" s="693">
        <f>SUMIFS(Imput[Importe Neto],Imput[C. Imp.],$D272,Imput[PERIODO Imp.],CZ$9)</f>
        <v>0</v>
      </c>
      <c r="DA272" s="693">
        <f>SUMIFS(Imput[Importe Neto],Imput[C. Imp.],$D272,Imput[PERIODO Imp.],DA$9)</f>
        <v>0</v>
      </c>
      <c r="DB272" s="693">
        <f>SUMIFS(Imput[Importe Neto],Imput[C. Imp.],$D272,Imput[PERIODO Imp.],DB$9)</f>
        <v>0</v>
      </c>
      <c r="DC272" s="693">
        <f>SUMIFS(Imput[Importe Neto],Imput[C. Imp.],$D272,Imput[PERIODO Imp.],DC$9)</f>
        <v>0</v>
      </c>
      <c r="DD272" s="693">
        <f>SUMIFS(Imput[Importe Neto],Imput[C. Imp.],$D272,Imput[PERIODO Imp.],DD$9)</f>
        <v>0</v>
      </c>
      <c r="DE272" s="693">
        <f>SUMIFS(Imput[Importe Neto],Imput[C. Imp.],$D272,Imput[PERIODO Imp.],DE$9)</f>
        <v>0</v>
      </c>
      <c r="DF272" s="693">
        <f>SUMIFS(Imput[Importe Neto],Imput[C. Imp.],$D272,Imput[PERIODO Imp.],DF$9)</f>
        <v>0</v>
      </c>
      <c r="DG272" s="693">
        <f>SUMIFS(Imput[Importe Neto],Imput[C. Imp.],$D272,Imput[PERIODO Imp.],DG$9)</f>
        <v>0</v>
      </c>
      <c r="DH272" s="694">
        <f>SUMIFS(Imput[Importe Neto],Imput[C. Imp.],$D272,Imput[PERIODO Imp.],DH$9)</f>
        <v>0</v>
      </c>
    </row>
    <row r="273" spans="1:112" s="649" customFormat="1" hidden="1" outlineLevel="1" x14ac:dyDescent="0.3">
      <c r="A273" s="652" t="str">
        <f t="shared" si="137"/>
        <v/>
      </c>
      <c r="B273" s="652"/>
      <c r="C273" s="685"/>
      <c r="D273" s="686" t="s">
        <v>2347</v>
      </c>
      <c r="E273" s="686"/>
      <c r="F273" s="720"/>
      <c r="G273" s="688"/>
      <c r="H273" s="689"/>
      <c r="I273" s="851" t="str">
        <f t="shared" si="138"/>
        <v/>
      </c>
      <c r="J273" s="850" t="str">
        <f t="shared" si="139"/>
        <v/>
      </c>
      <c r="K273" s="667"/>
      <c r="L273" s="858"/>
      <c r="M273" s="859"/>
      <c r="N273" s="859"/>
      <c r="O273" s="859"/>
      <c r="P273" s="859"/>
      <c r="Q273" s="859"/>
      <c r="R273" s="859"/>
      <c r="S273" s="859"/>
      <c r="T273" s="859"/>
      <c r="U273" s="859"/>
      <c r="V273" s="859"/>
      <c r="W273" s="859"/>
      <c r="X273" s="859"/>
      <c r="Y273" s="859"/>
      <c r="Z273" s="860"/>
      <c r="AA273" s="860"/>
      <c r="AB273" s="860"/>
      <c r="AC273" s="860"/>
      <c r="AD273" s="860"/>
      <c r="AE273" s="860"/>
      <c r="AF273" s="860"/>
      <c r="AG273" s="860"/>
      <c r="AH273" s="860"/>
      <c r="AI273" s="860"/>
      <c r="AJ273" s="860"/>
      <c r="AK273" s="860"/>
      <c r="AL273" s="860"/>
      <c r="AM273" s="860"/>
      <c r="AN273" s="860"/>
      <c r="AO273" s="860"/>
      <c r="AP273" s="860"/>
      <c r="AQ273" s="860"/>
      <c r="AR273" s="860"/>
      <c r="AS273" s="860"/>
      <c r="AT273" s="860"/>
      <c r="AU273" s="860"/>
      <c r="AV273" s="860"/>
      <c r="AW273" s="860"/>
      <c r="AX273" s="860"/>
      <c r="AY273" s="860"/>
      <c r="AZ273" s="860"/>
      <c r="BA273" s="860"/>
      <c r="BB273" s="860"/>
      <c r="BC273" s="860"/>
      <c r="BD273" s="860"/>
      <c r="BE273" s="860"/>
      <c r="BF273" s="860"/>
      <c r="BG273" s="860"/>
      <c r="BH273" s="780"/>
      <c r="BI273" s="654"/>
      <c r="BJ273" s="690">
        <f t="shared" si="140"/>
        <v>0</v>
      </c>
      <c r="BK273" s="691">
        <f t="shared" si="141"/>
        <v>0</v>
      </c>
      <c r="BL273" s="654"/>
      <c r="BM273" s="692">
        <f>SUMIFS(Imput[Importe Neto],Imput[C. Imp.],$D273,Imput[PERIODO Imp.],BM$9)</f>
        <v>0</v>
      </c>
      <c r="BN273" s="693">
        <f>SUMIFS(Imput[Importe Neto],Imput[C. Imp.],$D273,Imput[PERIODO Imp.],BN$9)</f>
        <v>0</v>
      </c>
      <c r="BO273" s="693">
        <f>SUMIFS(Imput[Importe Neto],Imput[C. Imp.],$D273,Imput[PERIODO Imp.],BO$9)</f>
        <v>0</v>
      </c>
      <c r="BP273" s="693">
        <f>SUMIFS(Imput[Importe Neto],Imput[C. Imp.],$D273,Imput[PERIODO Imp.],BP$9)</f>
        <v>0</v>
      </c>
      <c r="BQ273" s="693">
        <f>SUMIFS(Imput[Importe Neto],Imput[C. Imp.],$D273,Imput[PERIODO Imp.],BQ$9)</f>
        <v>0</v>
      </c>
      <c r="BR273" s="693">
        <f>SUMIFS(Imput[Importe Neto],Imput[C. Imp.],$D273,Imput[PERIODO Imp.],BR$9)</f>
        <v>0</v>
      </c>
      <c r="BS273" s="693">
        <f>SUMIFS(Imput[Importe Neto],Imput[C. Imp.],$D273,Imput[PERIODO Imp.],BS$9)</f>
        <v>0</v>
      </c>
      <c r="BT273" s="693">
        <f>SUMIFS(Imput[Importe Neto],Imput[C. Imp.],$D273,Imput[PERIODO Imp.],BT$9)</f>
        <v>0</v>
      </c>
      <c r="BU273" s="693">
        <f>SUMIFS(Imput[Importe Neto],Imput[C. Imp.],$D273,Imput[PERIODO Imp.],BU$9)</f>
        <v>0</v>
      </c>
      <c r="BV273" s="693">
        <f>SUMIFS(Imput[Importe Neto],Imput[C. Imp.],$D273,Imput[PERIODO Imp.],BV$9)</f>
        <v>0</v>
      </c>
      <c r="BW273" s="693">
        <f>SUMIFS(Imput[Importe Neto],Imput[C. Imp.],$D273,Imput[PERIODO Imp.],BW$9)</f>
        <v>0</v>
      </c>
      <c r="BX273" s="693">
        <f>SUMIFS(Imput[Importe Neto],Imput[C. Imp.],$D273,Imput[PERIODO Imp.],BX$9)</f>
        <v>0</v>
      </c>
      <c r="BY273" s="693">
        <f>SUMIFS(Imput[Importe Neto],Imput[C. Imp.],$D273,Imput[PERIODO Imp.],BY$9)</f>
        <v>0</v>
      </c>
      <c r="BZ273" s="693">
        <f>SUMIFS(Imput[Importe Neto],Imput[C. Imp.],$D273,Imput[PERIODO Imp.],BZ$9)</f>
        <v>0</v>
      </c>
      <c r="CA273" s="693">
        <f>SUMIFS(Imput[Importe Neto],Imput[C. Imp.],$D273,Imput[PERIODO Imp.],CA$9)</f>
        <v>0</v>
      </c>
      <c r="CB273" s="693">
        <f>SUMIFS(Imput[Importe Neto],Imput[C. Imp.],$D273,Imput[PERIODO Imp.],CB$9)</f>
        <v>0</v>
      </c>
      <c r="CC273" s="693">
        <f>SUMIFS(Imput[Importe Neto],Imput[C. Imp.],$D273,Imput[PERIODO Imp.],CC$9)</f>
        <v>0</v>
      </c>
      <c r="CD273" s="693">
        <f>SUMIFS(Imput[Importe Neto],Imput[C. Imp.],$D273,Imput[PERIODO Imp.],CD$9)</f>
        <v>0</v>
      </c>
      <c r="CE273" s="693">
        <f>SUMIFS(Imput[Importe Neto],Imput[C. Imp.],$D273,Imput[PERIODO Imp.],CE$9)</f>
        <v>0</v>
      </c>
      <c r="CF273" s="693">
        <f>SUMIFS(Imput[Importe Neto],Imput[C. Imp.],$D273,Imput[PERIODO Imp.],CF$9)</f>
        <v>0</v>
      </c>
      <c r="CG273" s="693">
        <f>SUMIFS(Imput[Importe Neto],Imput[C. Imp.],$D273,Imput[PERIODO Imp.],CG$9)</f>
        <v>0</v>
      </c>
      <c r="CH273" s="693">
        <f>SUMIFS(Imput[Importe Neto],Imput[C. Imp.],$D273,Imput[PERIODO Imp.],CH$9)</f>
        <v>0</v>
      </c>
      <c r="CI273" s="693">
        <f>SUMIFS(Imput[Importe Neto],Imput[C. Imp.],$D273,Imput[PERIODO Imp.],CI$9)</f>
        <v>0</v>
      </c>
      <c r="CJ273" s="693">
        <f>SUMIFS(Imput[Importe Neto],Imput[C. Imp.],$D273,Imput[PERIODO Imp.],CJ$9)</f>
        <v>0</v>
      </c>
      <c r="CK273" s="693">
        <f>SUMIFS(Imput[Importe Neto],Imput[C. Imp.],$D273,Imput[PERIODO Imp.],CK$9)</f>
        <v>0</v>
      </c>
      <c r="CL273" s="693">
        <f>SUMIFS(Imput[Importe Neto],Imput[C. Imp.],$D273,Imput[PERIODO Imp.],CL$9)</f>
        <v>0</v>
      </c>
      <c r="CM273" s="693">
        <f>SUMIFS(Imput[Importe Neto],Imput[C. Imp.],$D273,Imput[PERIODO Imp.],CM$9)</f>
        <v>0</v>
      </c>
      <c r="CN273" s="693">
        <f>SUMIFS(Imput[Importe Neto],Imput[C. Imp.],$D273,Imput[PERIODO Imp.],CN$9)</f>
        <v>0</v>
      </c>
      <c r="CO273" s="693">
        <f>SUMIFS(Imput[Importe Neto],Imput[C. Imp.],$D273,Imput[PERIODO Imp.],CO$9)</f>
        <v>0</v>
      </c>
      <c r="CP273" s="693">
        <f>SUMIFS(Imput[Importe Neto],Imput[C. Imp.],$D273,Imput[PERIODO Imp.],CP$9)</f>
        <v>0</v>
      </c>
      <c r="CQ273" s="693">
        <f>SUMIFS(Imput[Importe Neto],Imput[C. Imp.],$D273,Imput[PERIODO Imp.],CQ$9)</f>
        <v>0</v>
      </c>
      <c r="CR273" s="693">
        <f>SUMIFS(Imput[Importe Neto],Imput[C. Imp.],$D273,Imput[PERIODO Imp.],CR$9)</f>
        <v>0</v>
      </c>
      <c r="CS273" s="693">
        <f>SUMIFS(Imput[Importe Neto],Imput[C. Imp.],$D273,Imput[PERIODO Imp.],CS$9)</f>
        <v>0</v>
      </c>
      <c r="CT273" s="693">
        <f>SUMIFS(Imput[Importe Neto],Imput[C. Imp.],$D273,Imput[PERIODO Imp.],CT$9)</f>
        <v>0</v>
      </c>
      <c r="CU273" s="693">
        <f>SUMIFS(Imput[Importe Neto],Imput[C. Imp.],$D273,Imput[PERIODO Imp.],CU$9)</f>
        <v>0</v>
      </c>
      <c r="CV273" s="693">
        <f>SUMIFS(Imput[Importe Neto],Imput[C. Imp.],$D273,Imput[PERIODO Imp.],CV$9)</f>
        <v>0</v>
      </c>
      <c r="CW273" s="693">
        <f>SUMIFS(Imput[Importe Neto],Imput[C. Imp.],$D273,Imput[PERIODO Imp.],CW$9)</f>
        <v>0</v>
      </c>
      <c r="CX273" s="693">
        <f>SUMIFS(Imput[Importe Neto],Imput[C. Imp.],$D273,Imput[PERIODO Imp.],CX$9)</f>
        <v>0</v>
      </c>
      <c r="CY273" s="693">
        <f>SUMIFS(Imput[Importe Neto],Imput[C. Imp.],$D273,Imput[PERIODO Imp.],CY$9)</f>
        <v>0</v>
      </c>
      <c r="CZ273" s="693">
        <f>SUMIFS(Imput[Importe Neto],Imput[C. Imp.],$D273,Imput[PERIODO Imp.],CZ$9)</f>
        <v>0</v>
      </c>
      <c r="DA273" s="693">
        <f>SUMIFS(Imput[Importe Neto],Imput[C. Imp.],$D273,Imput[PERIODO Imp.],DA$9)</f>
        <v>0</v>
      </c>
      <c r="DB273" s="693">
        <f>SUMIFS(Imput[Importe Neto],Imput[C. Imp.],$D273,Imput[PERIODO Imp.],DB$9)</f>
        <v>0</v>
      </c>
      <c r="DC273" s="693">
        <f>SUMIFS(Imput[Importe Neto],Imput[C. Imp.],$D273,Imput[PERIODO Imp.],DC$9)</f>
        <v>0</v>
      </c>
      <c r="DD273" s="693">
        <f>SUMIFS(Imput[Importe Neto],Imput[C. Imp.],$D273,Imput[PERIODO Imp.],DD$9)</f>
        <v>0</v>
      </c>
      <c r="DE273" s="693">
        <f>SUMIFS(Imput[Importe Neto],Imput[C. Imp.],$D273,Imput[PERIODO Imp.],DE$9)</f>
        <v>0</v>
      </c>
      <c r="DF273" s="693">
        <f>SUMIFS(Imput[Importe Neto],Imput[C. Imp.],$D273,Imput[PERIODO Imp.],DF$9)</f>
        <v>0</v>
      </c>
      <c r="DG273" s="693">
        <f>SUMIFS(Imput[Importe Neto],Imput[C. Imp.],$D273,Imput[PERIODO Imp.],DG$9)</f>
        <v>0</v>
      </c>
      <c r="DH273" s="694">
        <f>SUMIFS(Imput[Importe Neto],Imput[C. Imp.],$D273,Imput[PERIODO Imp.],DH$9)</f>
        <v>0</v>
      </c>
    </row>
    <row r="274" spans="1:112" s="649" customFormat="1" hidden="1" outlineLevel="1" x14ac:dyDescent="0.3">
      <c r="A274" s="652" t="str">
        <f t="shared" si="137"/>
        <v/>
      </c>
      <c r="B274" s="652"/>
      <c r="C274" s="685"/>
      <c r="D274" s="686" t="s">
        <v>2348</v>
      </c>
      <c r="E274" s="686"/>
      <c r="F274" s="720"/>
      <c r="G274" s="688"/>
      <c r="H274" s="689"/>
      <c r="I274" s="851" t="str">
        <f t="shared" si="138"/>
        <v/>
      </c>
      <c r="J274" s="850" t="str">
        <f t="shared" si="139"/>
        <v/>
      </c>
      <c r="K274" s="678"/>
      <c r="L274" s="858"/>
      <c r="M274" s="859"/>
      <c r="N274" s="859"/>
      <c r="O274" s="859"/>
      <c r="P274" s="859"/>
      <c r="Q274" s="859"/>
      <c r="R274" s="859"/>
      <c r="S274" s="859"/>
      <c r="T274" s="859"/>
      <c r="U274" s="859"/>
      <c r="V274" s="859"/>
      <c r="W274" s="859"/>
      <c r="X274" s="859"/>
      <c r="Y274" s="859"/>
      <c r="Z274" s="860"/>
      <c r="AA274" s="860"/>
      <c r="AB274" s="860"/>
      <c r="AC274" s="860"/>
      <c r="AD274" s="860"/>
      <c r="AE274" s="860"/>
      <c r="AF274" s="860"/>
      <c r="AG274" s="860"/>
      <c r="AH274" s="860"/>
      <c r="AI274" s="860"/>
      <c r="AJ274" s="860"/>
      <c r="AK274" s="860"/>
      <c r="AL274" s="860"/>
      <c r="AM274" s="860"/>
      <c r="AN274" s="860"/>
      <c r="AO274" s="860"/>
      <c r="AP274" s="860"/>
      <c r="AQ274" s="860"/>
      <c r="AR274" s="860"/>
      <c r="AS274" s="860"/>
      <c r="AT274" s="860"/>
      <c r="AU274" s="860"/>
      <c r="AV274" s="860"/>
      <c r="AW274" s="860"/>
      <c r="AX274" s="860"/>
      <c r="AY274" s="860"/>
      <c r="AZ274" s="860"/>
      <c r="BA274" s="860"/>
      <c r="BB274" s="860"/>
      <c r="BC274" s="860"/>
      <c r="BD274" s="860"/>
      <c r="BE274" s="860"/>
      <c r="BF274" s="860"/>
      <c r="BG274" s="860"/>
      <c r="BH274" s="668"/>
      <c r="BI274" s="654"/>
      <c r="BJ274" s="690">
        <f t="shared" si="140"/>
        <v>0</v>
      </c>
      <c r="BK274" s="691">
        <f t="shared" si="141"/>
        <v>0</v>
      </c>
      <c r="BL274" s="654"/>
      <c r="BM274" s="692">
        <f>SUMIFS(Imput[Importe Neto],Imput[C. Imp.],$D274,Imput[PERIODO Imp.],BM$9)</f>
        <v>0</v>
      </c>
      <c r="BN274" s="693">
        <f>SUMIFS(Imput[Importe Neto],Imput[C. Imp.],$D274,Imput[PERIODO Imp.],BN$9)</f>
        <v>0</v>
      </c>
      <c r="BO274" s="693">
        <f>SUMIFS(Imput[Importe Neto],Imput[C. Imp.],$D274,Imput[PERIODO Imp.],BO$9)</f>
        <v>0</v>
      </c>
      <c r="BP274" s="693">
        <f>SUMIFS(Imput[Importe Neto],Imput[C. Imp.],$D274,Imput[PERIODO Imp.],BP$9)</f>
        <v>0</v>
      </c>
      <c r="BQ274" s="693">
        <f>SUMIFS(Imput[Importe Neto],Imput[C. Imp.],$D274,Imput[PERIODO Imp.],BQ$9)</f>
        <v>0</v>
      </c>
      <c r="BR274" s="693">
        <f>SUMIFS(Imput[Importe Neto],Imput[C. Imp.],$D274,Imput[PERIODO Imp.],BR$9)</f>
        <v>0</v>
      </c>
      <c r="BS274" s="693">
        <f>SUMIFS(Imput[Importe Neto],Imput[C. Imp.],$D274,Imput[PERIODO Imp.],BS$9)</f>
        <v>0</v>
      </c>
      <c r="BT274" s="693">
        <f>SUMIFS(Imput[Importe Neto],Imput[C. Imp.],$D274,Imput[PERIODO Imp.],BT$9)</f>
        <v>0</v>
      </c>
      <c r="BU274" s="693">
        <f>SUMIFS(Imput[Importe Neto],Imput[C. Imp.],$D274,Imput[PERIODO Imp.],BU$9)</f>
        <v>0</v>
      </c>
      <c r="BV274" s="693">
        <f>SUMIFS(Imput[Importe Neto],Imput[C. Imp.],$D274,Imput[PERIODO Imp.],BV$9)</f>
        <v>0</v>
      </c>
      <c r="BW274" s="693">
        <f>SUMIFS(Imput[Importe Neto],Imput[C. Imp.],$D274,Imput[PERIODO Imp.],BW$9)</f>
        <v>0</v>
      </c>
      <c r="BX274" s="693">
        <f>SUMIFS(Imput[Importe Neto],Imput[C. Imp.],$D274,Imput[PERIODO Imp.],BX$9)</f>
        <v>0</v>
      </c>
      <c r="BY274" s="693">
        <f>SUMIFS(Imput[Importe Neto],Imput[C. Imp.],$D274,Imput[PERIODO Imp.],BY$9)</f>
        <v>0</v>
      </c>
      <c r="BZ274" s="693">
        <f>SUMIFS(Imput[Importe Neto],Imput[C. Imp.],$D274,Imput[PERIODO Imp.],BZ$9)</f>
        <v>0</v>
      </c>
      <c r="CA274" s="693">
        <f>SUMIFS(Imput[Importe Neto],Imput[C. Imp.],$D274,Imput[PERIODO Imp.],CA$9)</f>
        <v>0</v>
      </c>
      <c r="CB274" s="693">
        <f>SUMIFS(Imput[Importe Neto],Imput[C. Imp.],$D274,Imput[PERIODO Imp.],CB$9)</f>
        <v>0</v>
      </c>
      <c r="CC274" s="693">
        <f>SUMIFS(Imput[Importe Neto],Imput[C. Imp.],$D274,Imput[PERIODO Imp.],CC$9)</f>
        <v>0</v>
      </c>
      <c r="CD274" s="693">
        <f>SUMIFS(Imput[Importe Neto],Imput[C. Imp.],$D274,Imput[PERIODO Imp.],CD$9)</f>
        <v>0</v>
      </c>
      <c r="CE274" s="693">
        <f>SUMIFS(Imput[Importe Neto],Imput[C. Imp.],$D274,Imput[PERIODO Imp.],CE$9)</f>
        <v>0</v>
      </c>
      <c r="CF274" s="693">
        <f>SUMIFS(Imput[Importe Neto],Imput[C. Imp.],$D274,Imput[PERIODO Imp.],CF$9)</f>
        <v>0</v>
      </c>
      <c r="CG274" s="693">
        <f>SUMIFS(Imput[Importe Neto],Imput[C. Imp.],$D274,Imput[PERIODO Imp.],CG$9)</f>
        <v>0</v>
      </c>
      <c r="CH274" s="693">
        <f>SUMIFS(Imput[Importe Neto],Imput[C. Imp.],$D274,Imput[PERIODO Imp.],CH$9)</f>
        <v>0</v>
      </c>
      <c r="CI274" s="693">
        <f>SUMIFS(Imput[Importe Neto],Imput[C. Imp.],$D274,Imput[PERIODO Imp.],CI$9)</f>
        <v>0</v>
      </c>
      <c r="CJ274" s="693">
        <f>SUMIFS(Imput[Importe Neto],Imput[C. Imp.],$D274,Imput[PERIODO Imp.],CJ$9)</f>
        <v>0</v>
      </c>
      <c r="CK274" s="693">
        <f>SUMIFS(Imput[Importe Neto],Imput[C. Imp.],$D274,Imput[PERIODO Imp.],CK$9)</f>
        <v>0</v>
      </c>
      <c r="CL274" s="693">
        <f>SUMIFS(Imput[Importe Neto],Imput[C. Imp.],$D274,Imput[PERIODO Imp.],CL$9)</f>
        <v>0</v>
      </c>
      <c r="CM274" s="693">
        <f>SUMIFS(Imput[Importe Neto],Imput[C. Imp.],$D274,Imput[PERIODO Imp.],CM$9)</f>
        <v>0</v>
      </c>
      <c r="CN274" s="693">
        <f>SUMIFS(Imput[Importe Neto],Imput[C. Imp.],$D274,Imput[PERIODO Imp.],CN$9)</f>
        <v>0</v>
      </c>
      <c r="CO274" s="693">
        <f>SUMIFS(Imput[Importe Neto],Imput[C. Imp.],$D274,Imput[PERIODO Imp.],CO$9)</f>
        <v>0</v>
      </c>
      <c r="CP274" s="693">
        <f>SUMIFS(Imput[Importe Neto],Imput[C. Imp.],$D274,Imput[PERIODO Imp.],CP$9)</f>
        <v>0</v>
      </c>
      <c r="CQ274" s="693">
        <f>SUMIFS(Imput[Importe Neto],Imput[C. Imp.],$D274,Imput[PERIODO Imp.],CQ$9)</f>
        <v>0</v>
      </c>
      <c r="CR274" s="693">
        <f>SUMIFS(Imput[Importe Neto],Imput[C. Imp.],$D274,Imput[PERIODO Imp.],CR$9)</f>
        <v>0</v>
      </c>
      <c r="CS274" s="693">
        <f>SUMIFS(Imput[Importe Neto],Imput[C. Imp.],$D274,Imput[PERIODO Imp.],CS$9)</f>
        <v>0</v>
      </c>
      <c r="CT274" s="693">
        <f>SUMIFS(Imput[Importe Neto],Imput[C. Imp.],$D274,Imput[PERIODO Imp.],CT$9)</f>
        <v>0</v>
      </c>
      <c r="CU274" s="693">
        <f>SUMIFS(Imput[Importe Neto],Imput[C. Imp.],$D274,Imput[PERIODO Imp.],CU$9)</f>
        <v>0</v>
      </c>
      <c r="CV274" s="693">
        <f>SUMIFS(Imput[Importe Neto],Imput[C. Imp.],$D274,Imput[PERIODO Imp.],CV$9)</f>
        <v>0</v>
      </c>
      <c r="CW274" s="693">
        <f>SUMIFS(Imput[Importe Neto],Imput[C. Imp.],$D274,Imput[PERIODO Imp.],CW$9)</f>
        <v>0</v>
      </c>
      <c r="CX274" s="693">
        <f>SUMIFS(Imput[Importe Neto],Imput[C. Imp.],$D274,Imput[PERIODO Imp.],CX$9)</f>
        <v>0</v>
      </c>
      <c r="CY274" s="693">
        <f>SUMIFS(Imput[Importe Neto],Imput[C. Imp.],$D274,Imput[PERIODO Imp.],CY$9)</f>
        <v>0</v>
      </c>
      <c r="CZ274" s="693">
        <f>SUMIFS(Imput[Importe Neto],Imput[C. Imp.],$D274,Imput[PERIODO Imp.],CZ$9)</f>
        <v>0</v>
      </c>
      <c r="DA274" s="693">
        <f>SUMIFS(Imput[Importe Neto],Imput[C. Imp.],$D274,Imput[PERIODO Imp.],DA$9)</f>
        <v>0</v>
      </c>
      <c r="DB274" s="693">
        <f>SUMIFS(Imput[Importe Neto],Imput[C. Imp.],$D274,Imput[PERIODO Imp.],DB$9)</f>
        <v>0</v>
      </c>
      <c r="DC274" s="693">
        <f>SUMIFS(Imput[Importe Neto],Imput[C. Imp.],$D274,Imput[PERIODO Imp.],DC$9)</f>
        <v>0</v>
      </c>
      <c r="DD274" s="693">
        <f>SUMIFS(Imput[Importe Neto],Imput[C. Imp.],$D274,Imput[PERIODO Imp.],DD$9)</f>
        <v>0</v>
      </c>
      <c r="DE274" s="693">
        <f>SUMIFS(Imput[Importe Neto],Imput[C. Imp.],$D274,Imput[PERIODO Imp.],DE$9)</f>
        <v>0</v>
      </c>
      <c r="DF274" s="693">
        <f>SUMIFS(Imput[Importe Neto],Imput[C. Imp.],$D274,Imput[PERIODO Imp.],DF$9)</f>
        <v>0</v>
      </c>
      <c r="DG274" s="693">
        <f>SUMIFS(Imput[Importe Neto],Imput[C. Imp.],$D274,Imput[PERIODO Imp.],DG$9)</f>
        <v>0</v>
      </c>
      <c r="DH274" s="694">
        <f>SUMIFS(Imput[Importe Neto],Imput[C. Imp.],$D274,Imput[PERIODO Imp.],DH$9)</f>
        <v>0</v>
      </c>
    </row>
    <row r="275" spans="1:112" s="649" customFormat="1" hidden="1" outlineLevel="1" x14ac:dyDescent="0.3">
      <c r="A275" s="652" t="str">
        <f t="shared" si="137"/>
        <v/>
      </c>
      <c r="B275" s="652"/>
      <c r="C275" s="685"/>
      <c r="D275" s="686" t="s">
        <v>2349</v>
      </c>
      <c r="E275" s="686"/>
      <c r="F275" s="720"/>
      <c r="G275" s="688"/>
      <c r="H275" s="689"/>
      <c r="I275" s="851" t="str">
        <f t="shared" si="138"/>
        <v/>
      </c>
      <c r="J275" s="850" t="str">
        <f t="shared" si="139"/>
        <v/>
      </c>
      <c r="K275" s="667"/>
      <c r="L275" s="858"/>
      <c r="M275" s="859"/>
      <c r="N275" s="859"/>
      <c r="O275" s="859"/>
      <c r="P275" s="859"/>
      <c r="Q275" s="859"/>
      <c r="R275" s="859"/>
      <c r="S275" s="859"/>
      <c r="T275" s="859"/>
      <c r="U275" s="859"/>
      <c r="V275" s="859"/>
      <c r="W275" s="859"/>
      <c r="X275" s="859"/>
      <c r="Y275" s="859"/>
      <c r="Z275" s="860"/>
      <c r="AA275" s="860"/>
      <c r="AB275" s="860"/>
      <c r="AC275" s="860"/>
      <c r="AD275" s="860"/>
      <c r="AE275" s="860"/>
      <c r="AF275" s="860"/>
      <c r="AG275" s="860"/>
      <c r="AH275" s="860"/>
      <c r="AI275" s="860"/>
      <c r="AJ275" s="860"/>
      <c r="AK275" s="860"/>
      <c r="AL275" s="860"/>
      <c r="AM275" s="860"/>
      <c r="AN275" s="860"/>
      <c r="AO275" s="860"/>
      <c r="AP275" s="860"/>
      <c r="AQ275" s="860"/>
      <c r="AR275" s="860"/>
      <c r="AS275" s="860"/>
      <c r="AT275" s="860"/>
      <c r="AU275" s="860"/>
      <c r="AV275" s="860"/>
      <c r="AW275" s="860"/>
      <c r="AX275" s="860"/>
      <c r="AY275" s="860"/>
      <c r="AZ275" s="860"/>
      <c r="BA275" s="860"/>
      <c r="BB275" s="860"/>
      <c r="BC275" s="860"/>
      <c r="BD275" s="860"/>
      <c r="BE275" s="860"/>
      <c r="BF275" s="860"/>
      <c r="BG275" s="860"/>
      <c r="BH275" s="668"/>
      <c r="BI275" s="667"/>
      <c r="BJ275" s="690">
        <f t="shared" si="140"/>
        <v>0</v>
      </c>
      <c r="BK275" s="691">
        <f t="shared" si="141"/>
        <v>0</v>
      </c>
      <c r="BL275" s="654"/>
      <c r="BM275" s="692">
        <f>SUMIFS(Imput[Importe Neto],Imput[C. Imp.],$D275,Imput[PERIODO Imp.],BM$9)</f>
        <v>0</v>
      </c>
      <c r="BN275" s="693">
        <f>SUMIFS(Imput[Importe Neto],Imput[C. Imp.],$D275,Imput[PERIODO Imp.],BN$9)</f>
        <v>0</v>
      </c>
      <c r="BO275" s="693">
        <f>SUMIFS(Imput[Importe Neto],Imput[C. Imp.],$D275,Imput[PERIODO Imp.],BO$9)</f>
        <v>0</v>
      </c>
      <c r="BP275" s="693">
        <f>SUMIFS(Imput[Importe Neto],Imput[C. Imp.],$D275,Imput[PERIODO Imp.],BP$9)</f>
        <v>0</v>
      </c>
      <c r="BQ275" s="693">
        <f>SUMIFS(Imput[Importe Neto],Imput[C. Imp.],$D275,Imput[PERIODO Imp.],BQ$9)</f>
        <v>0</v>
      </c>
      <c r="BR275" s="693">
        <f>SUMIFS(Imput[Importe Neto],Imput[C. Imp.],$D275,Imput[PERIODO Imp.],BR$9)</f>
        <v>0</v>
      </c>
      <c r="BS275" s="693">
        <f>SUMIFS(Imput[Importe Neto],Imput[C. Imp.],$D275,Imput[PERIODO Imp.],BS$9)</f>
        <v>0</v>
      </c>
      <c r="BT275" s="693">
        <f>SUMIFS(Imput[Importe Neto],Imput[C. Imp.],$D275,Imput[PERIODO Imp.],BT$9)</f>
        <v>0</v>
      </c>
      <c r="BU275" s="693">
        <f>SUMIFS(Imput[Importe Neto],Imput[C. Imp.],$D275,Imput[PERIODO Imp.],BU$9)</f>
        <v>0</v>
      </c>
      <c r="BV275" s="693">
        <f>SUMIFS(Imput[Importe Neto],Imput[C. Imp.],$D275,Imput[PERIODO Imp.],BV$9)</f>
        <v>0</v>
      </c>
      <c r="BW275" s="693">
        <f>SUMIFS(Imput[Importe Neto],Imput[C. Imp.],$D275,Imput[PERIODO Imp.],BW$9)</f>
        <v>0</v>
      </c>
      <c r="BX275" s="693">
        <f>SUMIFS(Imput[Importe Neto],Imput[C. Imp.],$D275,Imput[PERIODO Imp.],BX$9)</f>
        <v>0</v>
      </c>
      <c r="BY275" s="693">
        <f>SUMIFS(Imput[Importe Neto],Imput[C. Imp.],$D275,Imput[PERIODO Imp.],BY$9)</f>
        <v>0</v>
      </c>
      <c r="BZ275" s="693">
        <f>SUMIFS(Imput[Importe Neto],Imput[C. Imp.],$D275,Imput[PERIODO Imp.],BZ$9)</f>
        <v>0</v>
      </c>
      <c r="CA275" s="693">
        <f>SUMIFS(Imput[Importe Neto],Imput[C. Imp.],$D275,Imput[PERIODO Imp.],CA$9)</f>
        <v>0</v>
      </c>
      <c r="CB275" s="693">
        <f>SUMIFS(Imput[Importe Neto],Imput[C. Imp.],$D275,Imput[PERIODO Imp.],CB$9)</f>
        <v>0</v>
      </c>
      <c r="CC275" s="693">
        <f>SUMIFS(Imput[Importe Neto],Imput[C. Imp.],$D275,Imput[PERIODO Imp.],CC$9)</f>
        <v>0</v>
      </c>
      <c r="CD275" s="693">
        <f>SUMIFS(Imput[Importe Neto],Imput[C. Imp.],$D275,Imput[PERIODO Imp.],CD$9)</f>
        <v>0</v>
      </c>
      <c r="CE275" s="693">
        <f>SUMIFS(Imput[Importe Neto],Imput[C. Imp.],$D275,Imput[PERIODO Imp.],CE$9)</f>
        <v>0</v>
      </c>
      <c r="CF275" s="693">
        <f>SUMIFS(Imput[Importe Neto],Imput[C. Imp.],$D275,Imput[PERIODO Imp.],CF$9)</f>
        <v>0</v>
      </c>
      <c r="CG275" s="693">
        <f>SUMIFS(Imput[Importe Neto],Imput[C. Imp.],$D275,Imput[PERIODO Imp.],CG$9)</f>
        <v>0</v>
      </c>
      <c r="CH275" s="693">
        <f>SUMIFS(Imput[Importe Neto],Imput[C. Imp.],$D275,Imput[PERIODO Imp.],CH$9)</f>
        <v>0</v>
      </c>
      <c r="CI275" s="693">
        <f>SUMIFS(Imput[Importe Neto],Imput[C. Imp.],$D275,Imput[PERIODO Imp.],CI$9)</f>
        <v>0</v>
      </c>
      <c r="CJ275" s="693">
        <f>SUMIFS(Imput[Importe Neto],Imput[C. Imp.],$D275,Imput[PERIODO Imp.],CJ$9)</f>
        <v>0</v>
      </c>
      <c r="CK275" s="693">
        <f>SUMIFS(Imput[Importe Neto],Imput[C. Imp.],$D275,Imput[PERIODO Imp.],CK$9)</f>
        <v>0</v>
      </c>
      <c r="CL275" s="693">
        <f>SUMIFS(Imput[Importe Neto],Imput[C. Imp.],$D275,Imput[PERIODO Imp.],CL$9)</f>
        <v>0</v>
      </c>
      <c r="CM275" s="693">
        <f>SUMIFS(Imput[Importe Neto],Imput[C. Imp.],$D275,Imput[PERIODO Imp.],CM$9)</f>
        <v>0</v>
      </c>
      <c r="CN275" s="693">
        <f>SUMIFS(Imput[Importe Neto],Imput[C. Imp.],$D275,Imput[PERIODO Imp.],CN$9)</f>
        <v>0</v>
      </c>
      <c r="CO275" s="693">
        <f>SUMIFS(Imput[Importe Neto],Imput[C. Imp.],$D275,Imput[PERIODO Imp.],CO$9)</f>
        <v>0</v>
      </c>
      <c r="CP275" s="693">
        <f>SUMIFS(Imput[Importe Neto],Imput[C. Imp.],$D275,Imput[PERIODO Imp.],CP$9)</f>
        <v>0</v>
      </c>
      <c r="CQ275" s="693">
        <f>SUMIFS(Imput[Importe Neto],Imput[C. Imp.],$D275,Imput[PERIODO Imp.],CQ$9)</f>
        <v>0</v>
      </c>
      <c r="CR275" s="693">
        <f>SUMIFS(Imput[Importe Neto],Imput[C. Imp.],$D275,Imput[PERIODO Imp.],CR$9)</f>
        <v>0</v>
      </c>
      <c r="CS275" s="693">
        <f>SUMIFS(Imput[Importe Neto],Imput[C. Imp.],$D275,Imput[PERIODO Imp.],CS$9)</f>
        <v>0</v>
      </c>
      <c r="CT275" s="693">
        <f>SUMIFS(Imput[Importe Neto],Imput[C. Imp.],$D275,Imput[PERIODO Imp.],CT$9)</f>
        <v>0</v>
      </c>
      <c r="CU275" s="693">
        <f>SUMIFS(Imput[Importe Neto],Imput[C. Imp.],$D275,Imput[PERIODO Imp.],CU$9)</f>
        <v>0</v>
      </c>
      <c r="CV275" s="693">
        <f>SUMIFS(Imput[Importe Neto],Imput[C. Imp.],$D275,Imput[PERIODO Imp.],CV$9)</f>
        <v>0</v>
      </c>
      <c r="CW275" s="693">
        <f>SUMIFS(Imput[Importe Neto],Imput[C. Imp.],$D275,Imput[PERIODO Imp.],CW$9)</f>
        <v>0</v>
      </c>
      <c r="CX275" s="693">
        <f>SUMIFS(Imput[Importe Neto],Imput[C. Imp.],$D275,Imput[PERIODO Imp.],CX$9)</f>
        <v>0</v>
      </c>
      <c r="CY275" s="693">
        <f>SUMIFS(Imput[Importe Neto],Imput[C. Imp.],$D275,Imput[PERIODO Imp.],CY$9)</f>
        <v>0</v>
      </c>
      <c r="CZ275" s="693">
        <f>SUMIFS(Imput[Importe Neto],Imput[C. Imp.],$D275,Imput[PERIODO Imp.],CZ$9)</f>
        <v>0</v>
      </c>
      <c r="DA275" s="693">
        <f>SUMIFS(Imput[Importe Neto],Imput[C. Imp.],$D275,Imput[PERIODO Imp.],DA$9)</f>
        <v>0</v>
      </c>
      <c r="DB275" s="693">
        <f>SUMIFS(Imput[Importe Neto],Imput[C. Imp.],$D275,Imput[PERIODO Imp.],DB$9)</f>
        <v>0</v>
      </c>
      <c r="DC275" s="693">
        <f>SUMIFS(Imput[Importe Neto],Imput[C. Imp.],$D275,Imput[PERIODO Imp.],DC$9)</f>
        <v>0</v>
      </c>
      <c r="DD275" s="693">
        <f>SUMIFS(Imput[Importe Neto],Imput[C. Imp.],$D275,Imput[PERIODO Imp.],DD$9)</f>
        <v>0</v>
      </c>
      <c r="DE275" s="693">
        <f>SUMIFS(Imput[Importe Neto],Imput[C. Imp.],$D275,Imput[PERIODO Imp.],DE$9)</f>
        <v>0</v>
      </c>
      <c r="DF275" s="693">
        <f>SUMIFS(Imput[Importe Neto],Imput[C. Imp.],$D275,Imput[PERIODO Imp.],DF$9)</f>
        <v>0</v>
      </c>
      <c r="DG275" s="693">
        <f>SUMIFS(Imput[Importe Neto],Imput[C. Imp.],$D275,Imput[PERIODO Imp.],DG$9)</f>
        <v>0</v>
      </c>
      <c r="DH275" s="694">
        <f>SUMIFS(Imput[Importe Neto],Imput[C. Imp.],$D275,Imput[PERIODO Imp.],DH$9)</f>
        <v>0</v>
      </c>
    </row>
    <row r="276" spans="1:112" s="649" customFormat="1" hidden="1" outlineLevel="1" x14ac:dyDescent="0.3">
      <c r="A276" s="652" t="str">
        <f t="shared" si="137"/>
        <v/>
      </c>
      <c r="B276" s="652"/>
      <c r="C276" s="685"/>
      <c r="D276" s="686" t="s">
        <v>2350</v>
      </c>
      <c r="E276" s="686"/>
      <c r="F276" s="720"/>
      <c r="G276" s="688"/>
      <c r="H276" s="689"/>
      <c r="I276" s="851" t="str">
        <f t="shared" si="138"/>
        <v/>
      </c>
      <c r="J276" s="850" t="str">
        <f t="shared" si="139"/>
        <v/>
      </c>
      <c r="K276" s="667"/>
      <c r="L276" s="858"/>
      <c r="M276" s="859"/>
      <c r="N276" s="859"/>
      <c r="O276" s="859"/>
      <c r="P276" s="859"/>
      <c r="Q276" s="859"/>
      <c r="R276" s="859"/>
      <c r="S276" s="859"/>
      <c r="T276" s="859"/>
      <c r="U276" s="859"/>
      <c r="V276" s="859"/>
      <c r="W276" s="859"/>
      <c r="X276" s="859"/>
      <c r="Y276" s="859"/>
      <c r="Z276" s="860"/>
      <c r="AA276" s="860"/>
      <c r="AB276" s="860"/>
      <c r="AC276" s="860"/>
      <c r="AD276" s="860"/>
      <c r="AE276" s="860"/>
      <c r="AF276" s="860"/>
      <c r="AG276" s="860"/>
      <c r="AH276" s="860"/>
      <c r="AI276" s="860"/>
      <c r="AJ276" s="860"/>
      <c r="AK276" s="860"/>
      <c r="AL276" s="860"/>
      <c r="AM276" s="860"/>
      <c r="AN276" s="860"/>
      <c r="AO276" s="860"/>
      <c r="AP276" s="860"/>
      <c r="AQ276" s="860"/>
      <c r="AR276" s="860"/>
      <c r="AS276" s="860"/>
      <c r="AT276" s="860"/>
      <c r="AU276" s="860"/>
      <c r="AV276" s="860"/>
      <c r="AW276" s="860"/>
      <c r="AX276" s="860"/>
      <c r="AY276" s="860"/>
      <c r="AZ276" s="860"/>
      <c r="BA276" s="860"/>
      <c r="BB276" s="860"/>
      <c r="BC276" s="860"/>
      <c r="BD276" s="860"/>
      <c r="BE276" s="860"/>
      <c r="BF276" s="860"/>
      <c r="BG276" s="860"/>
      <c r="BH276" s="668"/>
      <c r="BI276" s="667"/>
      <c r="BJ276" s="690">
        <f t="shared" si="140"/>
        <v>0</v>
      </c>
      <c r="BK276" s="691">
        <f t="shared" si="141"/>
        <v>0</v>
      </c>
      <c r="BL276" s="654"/>
      <c r="BM276" s="692">
        <f>SUMIFS(Imput[Importe Neto],Imput[C. Imp.],$D276,Imput[PERIODO Imp.],BM$9)</f>
        <v>0</v>
      </c>
      <c r="BN276" s="693">
        <f>SUMIFS(Imput[Importe Neto],Imput[C. Imp.],$D276,Imput[PERIODO Imp.],BN$9)</f>
        <v>0</v>
      </c>
      <c r="BO276" s="693">
        <f>SUMIFS(Imput[Importe Neto],Imput[C. Imp.],$D276,Imput[PERIODO Imp.],BO$9)</f>
        <v>0</v>
      </c>
      <c r="BP276" s="693">
        <f>SUMIFS(Imput[Importe Neto],Imput[C. Imp.],$D276,Imput[PERIODO Imp.],BP$9)</f>
        <v>0</v>
      </c>
      <c r="BQ276" s="693">
        <f>SUMIFS(Imput[Importe Neto],Imput[C. Imp.],$D276,Imput[PERIODO Imp.],BQ$9)</f>
        <v>0</v>
      </c>
      <c r="BR276" s="693">
        <f>SUMIFS(Imput[Importe Neto],Imput[C. Imp.],$D276,Imput[PERIODO Imp.],BR$9)</f>
        <v>0</v>
      </c>
      <c r="BS276" s="693">
        <f>SUMIFS(Imput[Importe Neto],Imput[C. Imp.],$D276,Imput[PERIODO Imp.],BS$9)</f>
        <v>0</v>
      </c>
      <c r="BT276" s="693">
        <f>SUMIFS(Imput[Importe Neto],Imput[C. Imp.],$D276,Imput[PERIODO Imp.],BT$9)</f>
        <v>0</v>
      </c>
      <c r="BU276" s="693">
        <f>SUMIFS(Imput[Importe Neto],Imput[C. Imp.],$D276,Imput[PERIODO Imp.],BU$9)</f>
        <v>0</v>
      </c>
      <c r="BV276" s="693">
        <f>SUMIFS(Imput[Importe Neto],Imput[C. Imp.],$D276,Imput[PERIODO Imp.],BV$9)</f>
        <v>0</v>
      </c>
      <c r="BW276" s="693">
        <f>SUMIFS(Imput[Importe Neto],Imput[C. Imp.],$D276,Imput[PERIODO Imp.],BW$9)</f>
        <v>0</v>
      </c>
      <c r="BX276" s="693">
        <f>SUMIFS(Imput[Importe Neto],Imput[C. Imp.],$D276,Imput[PERIODO Imp.],BX$9)</f>
        <v>0</v>
      </c>
      <c r="BY276" s="693">
        <f>SUMIFS(Imput[Importe Neto],Imput[C. Imp.],$D276,Imput[PERIODO Imp.],BY$9)</f>
        <v>0</v>
      </c>
      <c r="BZ276" s="693">
        <f>SUMIFS(Imput[Importe Neto],Imput[C. Imp.],$D276,Imput[PERIODO Imp.],BZ$9)</f>
        <v>0</v>
      </c>
      <c r="CA276" s="693">
        <f>SUMIFS(Imput[Importe Neto],Imput[C. Imp.],$D276,Imput[PERIODO Imp.],CA$9)</f>
        <v>0</v>
      </c>
      <c r="CB276" s="693">
        <f>SUMIFS(Imput[Importe Neto],Imput[C. Imp.],$D276,Imput[PERIODO Imp.],CB$9)</f>
        <v>0</v>
      </c>
      <c r="CC276" s="693">
        <f>SUMIFS(Imput[Importe Neto],Imput[C. Imp.],$D276,Imput[PERIODO Imp.],CC$9)</f>
        <v>0</v>
      </c>
      <c r="CD276" s="693">
        <f>SUMIFS(Imput[Importe Neto],Imput[C. Imp.],$D276,Imput[PERIODO Imp.],CD$9)</f>
        <v>0</v>
      </c>
      <c r="CE276" s="693">
        <f>SUMIFS(Imput[Importe Neto],Imput[C. Imp.],$D276,Imput[PERIODO Imp.],CE$9)</f>
        <v>0</v>
      </c>
      <c r="CF276" s="693">
        <f>SUMIFS(Imput[Importe Neto],Imput[C. Imp.],$D276,Imput[PERIODO Imp.],CF$9)</f>
        <v>0</v>
      </c>
      <c r="CG276" s="693">
        <f>SUMIFS(Imput[Importe Neto],Imput[C. Imp.],$D276,Imput[PERIODO Imp.],CG$9)</f>
        <v>0</v>
      </c>
      <c r="CH276" s="693">
        <f>SUMIFS(Imput[Importe Neto],Imput[C. Imp.],$D276,Imput[PERIODO Imp.],CH$9)</f>
        <v>0</v>
      </c>
      <c r="CI276" s="693">
        <f>SUMIFS(Imput[Importe Neto],Imput[C. Imp.],$D276,Imput[PERIODO Imp.],CI$9)</f>
        <v>0</v>
      </c>
      <c r="CJ276" s="693">
        <f>SUMIFS(Imput[Importe Neto],Imput[C. Imp.],$D276,Imput[PERIODO Imp.],CJ$9)</f>
        <v>0</v>
      </c>
      <c r="CK276" s="693">
        <f>SUMIFS(Imput[Importe Neto],Imput[C. Imp.],$D276,Imput[PERIODO Imp.],CK$9)</f>
        <v>0</v>
      </c>
      <c r="CL276" s="693">
        <f>SUMIFS(Imput[Importe Neto],Imput[C. Imp.],$D276,Imput[PERIODO Imp.],CL$9)</f>
        <v>0</v>
      </c>
      <c r="CM276" s="693">
        <f>SUMIFS(Imput[Importe Neto],Imput[C. Imp.],$D276,Imput[PERIODO Imp.],CM$9)</f>
        <v>0</v>
      </c>
      <c r="CN276" s="693">
        <f>SUMIFS(Imput[Importe Neto],Imput[C. Imp.],$D276,Imput[PERIODO Imp.],CN$9)</f>
        <v>0</v>
      </c>
      <c r="CO276" s="693">
        <f>SUMIFS(Imput[Importe Neto],Imput[C. Imp.],$D276,Imput[PERIODO Imp.],CO$9)</f>
        <v>0</v>
      </c>
      <c r="CP276" s="693">
        <f>SUMIFS(Imput[Importe Neto],Imput[C. Imp.],$D276,Imput[PERIODO Imp.],CP$9)</f>
        <v>0</v>
      </c>
      <c r="CQ276" s="693">
        <f>SUMIFS(Imput[Importe Neto],Imput[C. Imp.],$D276,Imput[PERIODO Imp.],CQ$9)</f>
        <v>0</v>
      </c>
      <c r="CR276" s="693">
        <f>SUMIFS(Imput[Importe Neto],Imput[C. Imp.],$D276,Imput[PERIODO Imp.],CR$9)</f>
        <v>0</v>
      </c>
      <c r="CS276" s="693">
        <f>SUMIFS(Imput[Importe Neto],Imput[C. Imp.],$D276,Imput[PERIODO Imp.],CS$9)</f>
        <v>0</v>
      </c>
      <c r="CT276" s="693">
        <f>SUMIFS(Imput[Importe Neto],Imput[C. Imp.],$D276,Imput[PERIODO Imp.],CT$9)</f>
        <v>0</v>
      </c>
      <c r="CU276" s="693">
        <f>SUMIFS(Imput[Importe Neto],Imput[C. Imp.],$D276,Imput[PERIODO Imp.],CU$9)</f>
        <v>0</v>
      </c>
      <c r="CV276" s="693">
        <f>SUMIFS(Imput[Importe Neto],Imput[C. Imp.],$D276,Imput[PERIODO Imp.],CV$9)</f>
        <v>0</v>
      </c>
      <c r="CW276" s="693">
        <f>SUMIFS(Imput[Importe Neto],Imput[C. Imp.],$D276,Imput[PERIODO Imp.],CW$9)</f>
        <v>0</v>
      </c>
      <c r="CX276" s="693">
        <f>SUMIFS(Imput[Importe Neto],Imput[C. Imp.],$D276,Imput[PERIODO Imp.],CX$9)</f>
        <v>0</v>
      </c>
      <c r="CY276" s="693">
        <f>SUMIFS(Imput[Importe Neto],Imput[C. Imp.],$D276,Imput[PERIODO Imp.],CY$9)</f>
        <v>0</v>
      </c>
      <c r="CZ276" s="693">
        <f>SUMIFS(Imput[Importe Neto],Imput[C. Imp.],$D276,Imput[PERIODO Imp.],CZ$9)</f>
        <v>0</v>
      </c>
      <c r="DA276" s="693">
        <f>SUMIFS(Imput[Importe Neto],Imput[C. Imp.],$D276,Imput[PERIODO Imp.],DA$9)</f>
        <v>0</v>
      </c>
      <c r="DB276" s="693">
        <f>SUMIFS(Imput[Importe Neto],Imput[C. Imp.],$D276,Imput[PERIODO Imp.],DB$9)</f>
        <v>0</v>
      </c>
      <c r="DC276" s="693">
        <f>SUMIFS(Imput[Importe Neto],Imput[C. Imp.],$D276,Imput[PERIODO Imp.],DC$9)</f>
        <v>0</v>
      </c>
      <c r="DD276" s="693">
        <f>SUMIFS(Imput[Importe Neto],Imput[C. Imp.],$D276,Imput[PERIODO Imp.],DD$9)</f>
        <v>0</v>
      </c>
      <c r="DE276" s="693">
        <f>SUMIFS(Imput[Importe Neto],Imput[C. Imp.],$D276,Imput[PERIODO Imp.],DE$9)</f>
        <v>0</v>
      </c>
      <c r="DF276" s="693">
        <f>SUMIFS(Imput[Importe Neto],Imput[C. Imp.],$D276,Imput[PERIODO Imp.],DF$9)</f>
        <v>0</v>
      </c>
      <c r="DG276" s="693">
        <f>SUMIFS(Imput[Importe Neto],Imput[C. Imp.],$D276,Imput[PERIODO Imp.],DG$9)</f>
        <v>0</v>
      </c>
      <c r="DH276" s="694">
        <f>SUMIFS(Imput[Importe Neto],Imput[C. Imp.],$D276,Imput[PERIODO Imp.],DH$9)</f>
        <v>0</v>
      </c>
    </row>
    <row r="277" spans="1:112" s="649" customFormat="1" hidden="1" outlineLevel="1" x14ac:dyDescent="0.3">
      <c r="A277" s="652" t="str">
        <f t="shared" si="137"/>
        <v/>
      </c>
      <c r="B277" s="652"/>
      <c r="C277" s="685"/>
      <c r="D277" s="686" t="s">
        <v>2351</v>
      </c>
      <c r="E277" s="686"/>
      <c r="F277" s="720"/>
      <c r="G277" s="688"/>
      <c r="H277" s="689"/>
      <c r="I277" s="851" t="str">
        <f t="shared" si="138"/>
        <v/>
      </c>
      <c r="J277" s="850" t="str">
        <f t="shared" si="139"/>
        <v/>
      </c>
      <c r="K277" s="667"/>
      <c r="L277" s="858"/>
      <c r="M277" s="859"/>
      <c r="N277" s="859"/>
      <c r="O277" s="859"/>
      <c r="P277" s="859"/>
      <c r="Q277" s="859"/>
      <c r="R277" s="859"/>
      <c r="S277" s="859"/>
      <c r="T277" s="859"/>
      <c r="U277" s="859"/>
      <c r="V277" s="859"/>
      <c r="W277" s="859"/>
      <c r="X277" s="859"/>
      <c r="Y277" s="859"/>
      <c r="Z277" s="860"/>
      <c r="AA277" s="860"/>
      <c r="AB277" s="860"/>
      <c r="AC277" s="860"/>
      <c r="AD277" s="860"/>
      <c r="AE277" s="860"/>
      <c r="AF277" s="860"/>
      <c r="AG277" s="860"/>
      <c r="AH277" s="860"/>
      <c r="AI277" s="860"/>
      <c r="AJ277" s="860"/>
      <c r="AK277" s="860"/>
      <c r="AL277" s="860"/>
      <c r="AM277" s="860"/>
      <c r="AN277" s="860"/>
      <c r="AO277" s="860"/>
      <c r="AP277" s="860"/>
      <c r="AQ277" s="860"/>
      <c r="AR277" s="860"/>
      <c r="AS277" s="860"/>
      <c r="AT277" s="860"/>
      <c r="AU277" s="860"/>
      <c r="AV277" s="860"/>
      <c r="AW277" s="860"/>
      <c r="AX277" s="860"/>
      <c r="AY277" s="860"/>
      <c r="AZ277" s="860"/>
      <c r="BA277" s="860"/>
      <c r="BB277" s="860"/>
      <c r="BC277" s="860"/>
      <c r="BD277" s="860"/>
      <c r="BE277" s="860"/>
      <c r="BF277" s="860"/>
      <c r="BG277" s="860"/>
      <c r="BH277" s="668"/>
      <c r="BI277" s="667"/>
      <c r="BJ277" s="690">
        <f t="shared" si="140"/>
        <v>0</v>
      </c>
      <c r="BK277" s="691">
        <f t="shared" si="141"/>
        <v>0</v>
      </c>
      <c r="BL277" s="654"/>
      <c r="BM277" s="692">
        <f>SUMIFS(Imput[Importe Neto],Imput[C. Imp.],$D277,Imput[PERIODO Imp.],BM$9)</f>
        <v>0</v>
      </c>
      <c r="BN277" s="693">
        <f>SUMIFS(Imput[Importe Neto],Imput[C. Imp.],$D277,Imput[PERIODO Imp.],BN$9)</f>
        <v>0</v>
      </c>
      <c r="BO277" s="693">
        <f>SUMIFS(Imput[Importe Neto],Imput[C. Imp.],$D277,Imput[PERIODO Imp.],BO$9)</f>
        <v>0</v>
      </c>
      <c r="BP277" s="693">
        <f>SUMIFS(Imput[Importe Neto],Imput[C. Imp.],$D277,Imput[PERIODO Imp.],BP$9)</f>
        <v>0</v>
      </c>
      <c r="BQ277" s="693">
        <f>SUMIFS(Imput[Importe Neto],Imput[C. Imp.],$D277,Imput[PERIODO Imp.],BQ$9)</f>
        <v>0</v>
      </c>
      <c r="BR277" s="693">
        <f>SUMIFS(Imput[Importe Neto],Imput[C. Imp.],$D277,Imput[PERIODO Imp.],BR$9)</f>
        <v>0</v>
      </c>
      <c r="BS277" s="693">
        <f>SUMIFS(Imput[Importe Neto],Imput[C. Imp.],$D277,Imput[PERIODO Imp.],BS$9)</f>
        <v>0</v>
      </c>
      <c r="BT277" s="693">
        <f>SUMIFS(Imput[Importe Neto],Imput[C. Imp.],$D277,Imput[PERIODO Imp.],BT$9)</f>
        <v>0</v>
      </c>
      <c r="BU277" s="693">
        <f>SUMIFS(Imput[Importe Neto],Imput[C. Imp.],$D277,Imput[PERIODO Imp.],BU$9)</f>
        <v>0</v>
      </c>
      <c r="BV277" s="693">
        <f>SUMIFS(Imput[Importe Neto],Imput[C. Imp.],$D277,Imput[PERIODO Imp.],BV$9)</f>
        <v>0</v>
      </c>
      <c r="BW277" s="693">
        <f>SUMIFS(Imput[Importe Neto],Imput[C. Imp.],$D277,Imput[PERIODO Imp.],BW$9)</f>
        <v>0</v>
      </c>
      <c r="BX277" s="693">
        <f>SUMIFS(Imput[Importe Neto],Imput[C. Imp.],$D277,Imput[PERIODO Imp.],BX$9)</f>
        <v>0</v>
      </c>
      <c r="BY277" s="693">
        <f>SUMIFS(Imput[Importe Neto],Imput[C. Imp.],$D277,Imput[PERIODO Imp.],BY$9)</f>
        <v>0</v>
      </c>
      <c r="BZ277" s="693">
        <f>SUMIFS(Imput[Importe Neto],Imput[C. Imp.],$D277,Imput[PERIODO Imp.],BZ$9)</f>
        <v>0</v>
      </c>
      <c r="CA277" s="693">
        <f>SUMIFS(Imput[Importe Neto],Imput[C. Imp.],$D277,Imput[PERIODO Imp.],CA$9)</f>
        <v>0</v>
      </c>
      <c r="CB277" s="693">
        <f>SUMIFS(Imput[Importe Neto],Imput[C. Imp.],$D277,Imput[PERIODO Imp.],CB$9)</f>
        <v>0</v>
      </c>
      <c r="CC277" s="693">
        <f>SUMIFS(Imput[Importe Neto],Imput[C. Imp.],$D277,Imput[PERIODO Imp.],CC$9)</f>
        <v>0</v>
      </c>
      <c r="CD277" s="693">
        <f>SUMIFS(Imput[Importe Neto],Imput[C. Imp.],$D277,Imput[PERIODO Imp.],CD$9)</f>
        <v>0</v>
      </c>
      <c r="CE277" s="693">
        <f>SUMIFS(Imput[Importe Neto],Imput[C. Imp.],$D277,Imput[PERIODO Imp.],CE$9)</f>
        <v>0</v>
      </c>
      <c r="CF277" s="693">
        <f>SUMIFS(Imput[Importe Neto],Imput[C. Imp.],$D277,Imput[PERIODO Imp.],CF$9)</f>
        <v>0</v>
      </c>
      <c r="CG277" s="693">
        <f>SUMIFS(Imput[Importe Neto],Imput[C. Imp.],$D277,Imput[PERIODO Imp.],CG$9)</f>
        <v>0</v>
      </c>
      <c r="CH277" s="693">
        <f>SUMIFS(Imput[Importe Neto],Imput[C. Imp.],$D277,Imput[PERIODO Imp.],CH$9)</f>
        <v>0</v>
      </c>
      <c r="CI277" s="693">
        <f>SUMIFS(Imput[Importe Neto],Imput[C. Imp.],$D277,Imput[PERIODO Imp.],CI$9)</f>
        <v>0</v>
      </c>
      <c r="CJ277" s="693">
        <f>SUMIFS(Imput[Importe Neto],Imput[C. Imp.],$D277,Imput[PERIODO Imp.],CJ$9)</f>
        <v>0</v>
      </c>
      <c r="CK277" s="693">
        <f>SUMIFS(Imput[Importe Neto],Imput[C. Imp.],$D277,Imput[PERIODO Imp.],CK$9)</f>
        <v>0</v>
      </c>
      <c r="CL277" s="693">
        <f>SUMIFS(Imput[Importe Neto],Imput[C. Imp.],$D277,Imput[PERIODO Imp.],CL$9)</f>
        <v>0</v>
      </c>
      <c r="CM277" s="693">
        <f>SUMIFS(Imput[Importe Neto],Imput[C. Imp.],$D277,Imput[PERIODO Imp.],CM$9)</f>
        <v>0</v>
      </c>
      <c r="CN277" s="693">
        <f>SUMIFS(Imput[Importe Neto],Imput[C. Imp.],$D277,Imput[PERIODO Imp.],CN$9)</f>
        <v>0</v>
      </c>
      <c r="CO277" s="693">
        <f>SUMIFS(Imput[Importe Neto],Imput[C. Imp.],$D277,Imput[PERIODO Imp.],CO$9)</f>
        <v>0</v>
      </c>
      <c r="CP277" s="693">
        <f>SUMIFS(Imput[Importe Neto],Imput[C. Imp.],$D277,Imput[PERIODO Imp.],CP$9)</f>
        <v>0</v>
      </c>
      <c r="CQ277" s="693">
        <f>SUMIFS(Imput[Importe Neto],Imput[C. Imp.],$D277,Imput[PERIODO Imp.],CQ$9)</f>
        <v>0</v>
      </c>
      <c r="CR277" s="693">
        <f>SUMIFS(Imput[Importe Neto],Imput[C. Imp.],$D277,Imput[PERIODO Imp.],CR$9)</f>
        <v>0</v>
      </c>
      <c r="CS277" s="693">
        <f>SUMIFS(Imput[Importe Neto],Imput[C. Imp.],$D277,Imput[PERIODO Imp.],CS$9)</f>
        <v>0</v>
      </c>
      <c r="CT277" s="693">
        <f>SUMIFS(Imput[Importe Neto],Imput[C. Imp.],$D277,Imput[PERIODO Imp.],CT$9)</f>
        <v>0</v>
      </c>
      <c r="CU277" s="693">
        <f>SUMIFS(Imput[Importe Neto],Imput[C. Imp.],$D277,Imput[PERIODO Imp.],CU$9)</f>
        <v>0</v>
      </c>
      <c r="CV277" s="693">
        <f>SUMIFS(Imput[Importe Neto],Imput[C. Imp.],$D277,Imput[PERIODO Imp.],CV$9)</f>
        <v>0</v>
      </c>
      <c r="CW277" s="693">
        <f>SUMIFS(Imput[Importe Neto],Imput[C. Imp.],$D277,Imput[PERIODO Imp.],CW$9)</f>
        <v>0</v>
      </c>
      <c r="CX277" s="693">
        <f>SUMIFS(Imput[Importe Neto],Imput[C. Imp.],$D277,Imput[PERIODO Imp.],CX$9)</f>
        <v>0</v>
      </c>
      <c r="CY277" s="693">
        <f>SUMIFS(Imput[Importe Neto],Imput[C. Imp.],$D277,Imput[PERIODO Imp.],CY$9)</f>
        <v>0</v>
      </c>
      <c r="CZ277" s="693">
        <f>SUMIFS(Imput[Importe Neto],Imput[C. Imp.],$D277,Imput[PERIODO Imp.],CZ$9)</f>
        <v>0</v>
      </c>
      <c r="DA277" s="693">
        <f>SUMIFS(Imput[Importe Neto],Imput[C. Imp.],$D277,Imput[PERIODO Imp.],DA$9)</f>
        <v>0</v>
      </c>
      <c r="DB277" s="693">
        <f>SUMIFS(Imput[Importe Neto],Imput[C. Imp.],$D277,Imput[PERIODO Imp.],DB$9)</f>
        <v>0</v>
      </c>
      <c r="DC277" s="693">
        <f>SUMIFS(Imput[Importe Neto],Imput[C. Imp.],$D277,Imput[PERIODO Imp.],DC$9)</f>
        <v>0</v>
      </c>
      <c r="DD277" s="693">
        <f>SUMIFS(Imput[Importe Neto],Imput[C. Imp.],$D277,Imput[PERIODO Imp.],DD$9)</f>
        <v>0</v>
      </c>
      <c r="DE277" s="693">
        <f>SUMIFS(Imput[Importe Neto],Imput[C. Imp.],$D277,Imput[PERIODO Imp.],DE$9)</f>
        <v>0</v>
      </c>
      <c r="DF277" s="693">
        <f>SUMIFS(Imput[Importe Neto],Imput[C. Imp.],$D277,Imput[PERIODO Imp.],DF$9)</f>
        <v>0</v>
      </c>
      <c r="DG277" s="693">
        <f>SUMIFS(Imput[Importe Neto],Imput[C. Imp.],$D277,Imput[PERIODO Imp.],DG$9)</f>
        <v>0</v>
      </c>
      <c r="DH277" s="694">
        <f>SUMIFS(Imput[Importe Neto],Imput[C. Imp.],$D277,Imput[PERIODO Imp.],DH$9)</f>
        <v>0</v>
      </c>
    </row>
    <row r="278" spans="1:112" s="649" customFormat="1" hidden="1" outlineLevel="1" x14ac:dyDescent="0.3">
      <c r="A278" s="652" t="str">
        <f t="shared" si="137"/>
        <v/>
      </c>
      <c r="B278" s="652"/>
      <c r="C278" s="685"/>
      <c r="D278" s="686" t="s">
        <v>2352</v>
      </c>
      <c r="E278" s="686"/>
      <c r="F278" s="720"/>
      <c r="G278" s="688"/>
      <c r="H278" s="689"/>
      <c r="I278" s="851" t="str">
        <f t="shared" si="138"/>
        <v/>
      </c>
      <c r="J278" s="850" t="str">
        <f t="shared" si="139"/>
        <v/>
      </c>
      <c r="K278" s="667"/>
      <c r="L278" s="858"/>
      <c r="M278" s="859"/>
      <c r="N278" s="859"/>
      <c r="O278" s="859"/>
      <c r="P278" s="859"/>
      <c r="Q278" s="859"/>
      <c r="R278" s="859"/>
      <c r="S278" s="859"/>
      <c r="T278" s="859"/>
      <c r="U278" s="859"/>
      <c r="V278" s="859"/>
      <c r="W278" s="859"/>
      <c r="X278" s="859"/>
      <c r="Y278" s="859"/>
      <c r="Z278" s="860"/>
      <c r="AA278" s="860"/>
      <c r="AB278" s="860"/>
      <c r="AC278" s="860"/>
      <c r="AD278" s="860"/>
      <c r="AE278" s="860"/>
      <c r="AF278" s="860"/>
      <c r="AG278" s="860"/>
      <c r="AH278" s="860"/>
      <c r="AI278" s="860"/>
      <c r="AJ278" s="860"/>
      <c r="AK278" s="860"/>
      <c r="AL278" s="860"/>
      <c r="AM278" s="860"/>
      <c r="AN278" s="860"/>
      <c r="AO278" s="860"/>
      <c r="AP278" s="860"/>
      <c r="AQ278" s="860"/>
      <c r="AR278" s="860"/>
      <c r="AS278" s="860"/>
      <c r="AT278" s="860"/>
      <c r="AU278" s="860"/>
      <c r="AV278" s="860"/>
      <c r="AW278" s="860"/>
      <c r="AX278" s="860"/>
      <c r="AY278" s="860"/>
      <c r="AZ278" s="860"/>
      <c r="BA278" s="860"/>
      <c r="BB278" s="860"/>
      <c r="BC278" s="860"/>
      <c r="BD278" s="860"/>
      <c r="BE278" s="860"/>
      <c r="BF278" s="860"/>
      <c r="BG278" s="860"/>
      <c r="BH278" s="668"/>
      <c r="BI278" s="667"/>
      <c r="BJ278" s="690">
        <f t="shared" si="140"/>
        <v>0</v>
      </c>
      <c r="BK278" s="691">
        <f t="shared" si="141"/>
        <v>0</v>
      </c>
      <c r="BL278" s="654"/>
      <c r="BM278" s="692">
        <f>SUMIFS(Imput[Importe Neto],Imput[C. Imp.],$D278,Imput[PERIODO Imp.],BM$9)</f>
        <v>0</v>
      </c>
      <c r="BN278" s="693">
        <f>SUMIFS(Imput[Importe Neto],Imput[C. Imp.],$D278,Imput[PERIODO Imp.],BN$9)</f>
        <v>0</v>
      </c>
      <c r="BO278" s="693">
        <f>SUMIFS(Imput[Importe Neto],Imput[C. Imp.],$D278,Imput[PERIODO Imp.],BO$9)</f>
        <v>0</v>
      </c>
      <c r="BP278" s="693">
        <f>SUMIFS(Imput[Importe Neto],Imput[C. Imp.],$D278,Imput[PERIODO Imp.],BP$9)</f>
        <v>0</v>
      </c>
      <c r="BQ278" s="693">
        <f>SUMIFS(Imput[Importe Neto],Imput[C. Imp.],$D278,Imput[PERIODO Imp.],BQ$9)</f>
        <v>0</v>
      </c>
      <c r="BR278" s="693">
        <f>SUMIFS(Imput[Importe Neto],Imput[C. Imp.],$D278,Imput[PERIODO Imp.],BR$9)</f>
        <v>0</v>
      </c>
      <c r="BS278" s="693">
        <f>SUMIFS(Imput[Importe Neto],Imput[C. Imp.],$D278,Imput[PERIODO Imp.],BS$9)</f>
        <v>0</v>
      </c>
      <c r="BT278" s="693">
        <f>SUMIFS(Imput[Importe Neto],Imput[C. Imp.],$D278,Imput[PERIODO Imp.],BT$9)</f>
        <v>0</v>
      </c>
      <c r="BU278" s="693">
        <f>SUMIFS(Imput[Importe Neto],Imput[C. Imp.],$D278,Imput[PERIODO Imp.],BU$9)</f>
        <v>0</v>
      </c>
      <c r="BV278" s="693">
        <f>SUMIFS(Imput[Importe Neto],Imput[C. Imp.],$D278,Imput[PERIODO Imp.],BV$9)</f>
        <v>0</v>
      </c>
      <c r="BW278" s="693">
        <f>SUMIFS(Imput[Importe Neto],Imput[C. Imp.],$D278,Imput[PERIODO Imp.],BW$9)</f>
        <v>0</v>
      </c>
      <c r="BX278" s="693">
        <f>SUMIFS(Imput[Importe Neto],Imput[C. Imp.],$D278,Imput[PERIODO Imp.],BX$9)</f>
        <v>0</v>
      </c>
      <c r="BY278" s="693">
        <f>SUMIFS(Imput[Importe Neto],Imput[C. Imp.],$D278,Imput[PERIODO Imp.],BY$9)</f>
        <v>0</v>
      </c>
      <c r="BZ278" s="693">
        <f>SUMIFS(Imput[Importe Neto],Imput[C. Imp.],$D278,Imput[PERIODO Imp.],BZ$9)</f>
        <v>0</v>
      </c>
      <c r="CA278" s="693">
        <f>SUMIFS(Imput[Importe Neto],Imput[C. Imp.],$D278,Imput[PERIODO Imp.],CA$9)</f>
        <v>0</v>
      </c>
      <c r="CB278" s="693">
        <f>SUMIFS(Imput[Importe Neto],Imput[C. Imp.],$D278,Imput[PERIODO Imp.],CB$9)</f>
        <v>0</v>
      </c>
      <c r="CC278" s="693">
        <f>SUMIFS(Imput[Importe Neto],Imput[C. Imp.],$D278,Imput[PERIODO Imp.],CC$9)</f>
        <v>0</v>
      </c>
      <c r="CD278" s="693">
        <f>SUMIFS(Imput[Importe Neto],Imput[C. Imp.],$D278,Imput[PERIODO Imp.],CD$9)</f>
        <v>0</v>
      </c>
      <c r="CE278" s="693">
        <f>SUMIFS(Imput[Importe Neto],Imput[C. Imp.],$D278,Imput[PERIODO Imp.],CE$9)</f>
        <v>0</v>
      </c>
      <c r="CF278" s="693">
        <f>SUMIFS(Imput[Importe Neto],Imput[C. Imp.],$D278,Imput[PERIODO Imp.],CF$9)</f>
        <v>0</v>
      </c>
      <c r="CG278" s="693">
        <f>SUMIFS(Imput[Importe Neto],Imput[C. Imp.],$D278,Imput[PERIODO Imp.],CG$9)</f>
        <v>0</v>
      </c>
      <c r="CH278" s="693">
        <f>SUMIFS(Imput[Importe Neto],Imput[C. Imp.],$D278,Imput[PERIODO Imp.],CH$9)</f>
        <v>0</v>
      </c>
      <c r="CI278" s="693">
        <f>SUMIFS(Imput[Importe Neto],Imput[C. Imp.],$D278,Imput[PERIODO Imp.],CI$9)</f>
        <v>0</v>
      </c>
      <c r="CJ278" s="693">
        <f>SUMIFS(Imput[Importe Neto],Imput[C. Imp.],$D278,Imput[PERIODO Imp.],CJ$9)</f>
        <v>0</v>
      </c>
      <c r="CK278" s="693">
        <f>SUMIFS(Imput[Importe Neto],Imput[C. Imp.],$D278,Imput[PERIODO Imp.],CK$9)</f>
        <v>0</v>
      </c>
      <c r="CL278" s="693">
        <f>SUMIFS(Imput[Importe Neto],Imput[C. Imp.],$D278,Imput[PERIODO Imp.],CL$9)</f>
        <v>0</v>
      </c>
      <c r="CM278" s="693">
        <f>SUMIFS(Imput[Importe Neto],Imput[C. Imp.],$D278,Imput[PERIODO Imp.],CM$9)</f>
        <v>0</v>
      </c>
      <c r="CN278" s="693">
        <f>SUMIFS(Imput[Importe Neto],Imput[C. Imp.],$D278,Imput[PERIODO Imp.],CN$9)</f>
        <v>0</v>
      </c>
      <c r="CO278" s="693">
        <f>SUMIFS(Imput[Importe Neto],Imput[C. Imp.],$D278,Imput[PERIODO Imp.],CO$9)</f>
        <v>0</v>
      </c>
      <c r="CP278" s="693">
        <f>SUMIFS(Imput[Importe Neto],Imput[C. Imp.],$D278,Imput[PERIODO Imp.],CP$9)</f>
        <v>0</v>
      </c>
      <c r="CQ278" s="693">
        <f>SUMIFS(Imput[Importe Neto],Imput[C. Imp.],$D278,Imput[PERIODO Imp.],CQ$9)</f>
        <v>0</v>
      </c>
      <c r="CR278" s="693">
        <f>SUMIFS(Imput[Importe Neto],Imput[C. Imp.],$D278,Imput[PERIODO Imp.],CR$9)</f>
        <v>0</v>
      </c>
      <c r="CS278" s="693">
        <f>SUMIFS(Imput[Importe Neto],Imput[C. Imp.],$D278,Imput[PERIODO Imp.],CS$9)</f>
        <v>0</v>
      </c>
      <c r="CT278" s="693">
        <f>SUMIFS(Imput[Importe Neto],Imput[C. Imp.],$D278,Imput[PERIODO Imp.],CT$9)</f>
        <v>0</v>
      </c>
      <c r="CU278" s="693">
        <f>SUMIFS(Imput[Importe Neto],Imput[C. Imp.],$D278,Imput[PERIODO Imp.],CU$9)</f>
        <v>0</v>
      </c>
      <c r="CV278" s="693">
        <f>SUMIFS(Imput[Importe Neto],Imput[C. Imp.],$D278,Imput[PERIODO Imp.],CV$9)</f>
        <v>0</v>
      </c>
      <c r="CW278" s="693">
        <f>SUMIFS(Imput[Importe Neto],Imput[C. Imp.],$D278,Imput[PERIODO Imp.],CW$9)</f>
        <v>0</v>
      </c>
      <c r="CX278" s="693">
        <f>SUMIFS(Imput[Importe Neto],Imput[C. Imp.],$D278,Imput[PERIODO Imp.],CX$9)</f>
        <v>0</v>
      </c>
      <c r="CY278" s="693">
        <f>SUMIFS(Imput[Importe Neto],Imput[C. Imp.],$D278,Imput[PERIODO Imp.],CY$9)</f>
        <v>0</v>
      </c>
      <c r="CZ278" s="693">
        <f>SUMIFS(Imput[Importe Neto],Imput[C. Imp.],$D278,Imput[PERIODO Imp.],CZ$9)</f>
        <v>0</v>
      </c>
      <c r="DA278" s="693">
        <f>SUMIFS(Imput[Importe Neto],Imput[C. Imp.],$D278,Imput[PERIODO Imp.],DA$9)</f>
        <v>0</v>
      </c>
      <c r="DB278" s="693">
        <f>SUMIFS(Imput[Importe Neto],Imput[C. Imp.],$D278,Imput[PERIODO Imp.],DB$9)</f>
        <v>0</v>
      </c>
      <c r="DC278" s="693">
        <f>SUMIFS(Imput[Importe Neto],Imput[C. Imp.],$D278,Imput[PERIODO Imp.],DC$9)</f>
        <v>0</v>
      </c>
      <c r="DD278" s="693">
        <f>SUMIFS(Imput[Importe Neto],Imput[C. Imp.],$D278,Imput[PERIODO Imp.],DD$9)</f>
        <v>0</v>
      </c>
      <c r="DE278" s="693">
        <f>SUMIFS(Imput[Importe Neto],Imput[C. Imp.],$D278,Imput[PERIODO Imp.],DE$9)</f>
        <v>0</v>
      </c>
      <c r="DF278" s="693">
        <f>SUMIFS(Imput[Importe Neto],Imput[C. Imp.],$D278,Imput[PERIODO Imp.],DF$9)</f>
        <v>0</v>
      </c>
      <c r="DG278" s="693">
        <f>SUMIFS(Imput[Importe Neto],Imput[C. Imp.],$D278,Imput[PERIODO Imp.],DG$9)</f>
        <v>0</v>
      </c>
      <c r="DH278" s="694">
        <f>SUMIFS(Imput[Importe Neto],Imput[C. Imp.],$D278,Imput[PERIODO Imp.],DH$9)</f>
        <v>0</v>
      </c>
    </row>
    <row r="279" spans="1:112" s="649" customFormat="1" hidden="1" outlineLevel="1" x14ac:dyDescent="0.3">
      <c r="A279" s="652" t="str">
        <f t="shared" si="137"/>
        <v/>
      </c>
      <c r="B279" s="652"/>
      <c r="C279" s="685"/>
      <c r="D279" s="686" t="s">
        <v>2353</v>
      </c>
      <c r="E279" s="686"/>
      <c r="F279" s="720"/>
      <c r="G279" s="688"/>
      <c r="H279" s="689"/>
      <c r="I279" s="851" t="str">
        <f t="shared" si="138"/>
        <v/>
      </c>
      <c r="J279" s="850" t="str">
        <f t="shared" si="139"/>
        <v/>
      </c>
      <c r="K279" s="667"/>
      <c r="L279" s="858"/>
      <c r="M279" s="859"/>
      <c r="N279" s="859"/>
      <c r="O279" s="859"/>
      <c r="P279" s="859"/>
      <c r="Q279" s="859"/>
      <c r="R279" s="859"/>
      <c r="S279" s="859"/>
      <c r="T279" s="859"/>
      <c r="U279" s="859"/>
      <c r="V279" s="859"/>
      <c r="W279" s="859"/>
      <c r="X279" s="859"/>
      <c r="Y279" s="859"/>
      <c r="Z279" s="860"/>
      <c r="AA279" s="860"/>
      <c r="AB279" s="860"/>
      <c r="AC279" s="860"/>
      <c r="AD279" s="860"/>
      <c r="AE279" s="860"/>
      <c r="AF279" s="860"/>
      <c r="AG279" s="860"/>
      <c r="AH279" s="860"/>
      <c r="AI279" s="860"/>
      <c r="AJ279" s="860"/>
      <c r="AK279" s="860"/>
      <c r="AL279" s="860"/>
      <c r="AM279" s="860"/>
      <c r="AN279" s="860"/>
      <c r="AO279" s="860"/>
      <c r="AP279" s="860"/>
      <c r="AQ279" s="860"/>
      <c r="AR279" s="860"/>
      <c r="AS279" s="860"/>
      <c r="AT279" s="860"/>
      <c r="AU279" s="860"/>
      <c r="AV279" s="860"/>
      <c r="AW279" s="860"/>
      <c r="AX279" s="860"/>
      <c r="AY279" s="860"/>
      <c r="AZ279" s="860"/>
      <c r="BA279" s="860"/>
      <c r="BB279" s="860"/>
      <c r="BC279" s="860"/>
      <c r="BD279" s="860"/>
      <c r="BE279" s="860"/>
      <c r="BF279" s="860"/>
      <c r="BG279" s="860"/>
      <c r="BH279" s="668"/>
      <c r="BI279" s="667"/>
      <c r="BJ279" s="690">
        <f t="shared" si="140"/>
        <v>0</v>
      </c>
      <c r="BK279" s="691">
        <f t="shared" si="141"/>
        <v>0</v>
      </c>
      <c r="BL279" s="654"/>
      <c r="BM279" s="692">
        <f>SUMIFS(Imput[Importe Neto],Imput[C. Imp.],$D279,Imput[PERIODO Imp.],BM$9)</f>
        <v>0</v>
      </c>
      <c r="BN279" s="693">
        <f>SUMIFS(Imput[Importe Neto],Imput[C. Imp.],$D279,Imput[PERIODO Imp.],BN$9)</f>
        <v>0</v>
      </c>
      <c r="BO279" s="693">
        <f>SUMIFS(Imput[Importe Neto],Imput[C. Imp.],$D279,Imput[PERIODO Imp.],BO$9)</f>
        <v>0</v>
      </c>
      <c r="BP279" s="693">
        <f>SUMIFS(Imput[Importe Neto],Imput[C. Imp.],$D279,Imput[PERIODO Imp.],BP$9)</f>
        <v>0</v>
      </c>
      <c r="BQ279" s="693">
        <f>SUMIFS(Imput[Importe Neto],Imput[C. Imp.],$D279,Imput[PERIODO Imp.],BQ$9)</f>
        <v>0</v>
      </c>
      <c r="BR279" s="693">
        <f>SUMIFS(Imput[Importe Neto],Imput[C. Imp.],$D279,Imput[PERIODO Imp.],BR$9)</f>
        <v>0</v>
      </c>
      <c r="BS279" s="693">
        <f>SUMIFS(Imput[Importe Neto],Imput[C. Imp.],$D279,Imput[PERIODO Imp.],BS$9)</f>
        <v>0</v>
      </c>
      <c r="BT279" s="693">
        <f>SUMIFS(Imput[Importe Neto],Imput[C. Imp.],$D279,Imput[PERIODO Imp.],BT$9)</f>
        <v>0</v>
      </c>
      <c r="BU279" s="693">
        <f>SUMIFS(Imput[Importe Neto],Imput[C. Imp.],$D279,Imput[PERIODO Imp.],BU$9)</f>
        <v>0</v>
      </c>
      <c r="BV279" s="693">
        <f>SUMIFS(Imput[Importe Neto],Imput[C. Imp.],$D279,Imput[PERIODO Imp.],BV$9)</f>
        <v>0</v>
      </c>
      <c r="BW279" s="693">
        <f>SUMIFS(Imput[Importe Neto],Imput[C. Imp.],$D279,Imput[PERIODO Imp.],BW$9)</f>
        <v>0</v>
      </c>
      <c r="BX279" s="693">
        <f>SUMIFS(Imput[Importe Neto],Imput[C. Imp.],$D279,Imput[PERIODO Imp.],BX$9)</f>
        <v>0</v>
      </c>
      <c r="BY279" s="693">
        <f>SUMIFS(Imput[Importe Neto],Imput[C. Imp.],$D279,Imput[PERIODO Imp.],BY$9)</f>
        <v>0</v>
      </c>
      <c r="BZ279" s="693">
        <f>SUMIFS(Imput[Importe Neto],Imput[C. Imp.],$D279,Imput[PERIODO Imp.],BZ$9)</f>
        <v>0</v>
      </c>
      <c r="CA279" s="693">
        <f>SUMIFS(Imput[Importe Neto],Imput[C. Imp.],$D279,Imput[PERIODO Imp.],CA$9)</f>
        <v>0</v>
      </c>
      <c r="CB279" s="693">
        <f>SUMIFS(Imput[Importe Neto],Imput[C. Imp.],$D279,Imput[PERIODO Imp.],CB$9)</f>
        <v>0</v>
      </c>
      <c r="CC279" s="693">
        <f>SUMIFS(Imput[Importe Neto],Imput[C. Imp.],$D279,Imput[PERIODO Imp.],CC$9)</f>
        <v>0</v>
      </c>
      <c r="CD279" s="693">
        <f>SUMIFS(Imput[Importe Neto],Imput[C. Imp.],$D279,Imput[PERIODO Imp.],CD$9)</f>
        <v>0</v>
      </c>
      <c r="CE279" s="693">
        <f>SUMIFS(Imput[Importe Neto],Imput[C. Imp.],$D279,Imput[PERIODO Imp.],CE$9)</f>
        <v>0</v>
      </c>
      <c r="CF279" s="693">
        <f>SUMIFS(Imput[Importe Neto],Imput[C. Imp.],$D279,Imput[PERIODO Imp.],CF$9)</f>
        <v>0</v>
      </c>
      <c r="CG279" s="693">
        <f>SUMIFS(Imput[Importe Neto],Imput[C. Imp.],$D279,Imput[PERIODO Imp.],CG$9)</f>
        <v>0</v>
      </c>
      <c r="CH279" s="693">
        <f>SUMIFS(Imput[Importe Neto],Imput[C. Imp.],$D279,Imput[PERIODO Imp.],CH$9)</f>
        <v>0</v>
      </c>
      <c r="CI279" s="693">
        <f>SUMIFS(Imput[Importe Neto],Imput[C. Imp.],$D279,Imput[PERIODO Imp.],CI$9)</f>
        <v>0</v>
      </c>
      <c r="CJ279" s="693">
        <f>SUMIFS(Imput[Importe Neto],Imput[C. Imp.],$D279,Imput[PERIODO Imp.],CJ$9)</f>
        <v>0</v>
      </c>
      <c r="CK279" s="693">
        <f>SUMIFS(Imput[Importe Neto],Imput[C. Imp.],$D279,Imput[PERIODO Imp.],CK$9)</f>
        <v>0</v>
      </c>
      <c r="CL279" s="693">
        <f>SUMIFS(Imput[Importe Neto],Imput[C. Imp.],$D279,Imput[PERIODO Imp.],CL$9)</f>
        <v>0</v>
      </c>
      <c r="CM279" s="693">
        <f>SUMIFS(Imput[Importe Neto],Imput[C. Imp.],$D279,Imput[PERIODO Imp.],CM$9)</f>
        <v>0</v>
      </c>
      <c r="CN279" s="693">
        <f>SUMIFS(Imput[Importe Neto],Imput[C. Imp.],$D279,Imput[PERIODO Imp.],CN$9)</f>
        <v>0</v>
      </c>
      <c r="CO279" s="693">
        <f>SUMIFS(Imput[Importe Neto],Imput[C. Imp.],$D279,Imput[PERIODO Imp.],CO$9)</f>
        <v>0</v>
      </c>
      <c r="CP279" s="693">
        <f>SUMIFS(Imput[Importe Neto],Imput[C. Imp.],$D279,Imput[PERIODO Imp.],CP$9)</f>
        <v>0</v>
      </c>
      <c r="CQ279" s="693">
        <f>SUMIFS(Imput[Importe Neto],Imput[C. Imp.],$D279,Imput[PERIODO Imp.],CQ$9)</f>
        <v>0</v>
      </c>
      <c r="CR279" s="693">
        <f>SUMIFS(Imput[Importe Neto],Imput[C. Imp.],$D279,Imput[PERIODO Imp.],CR$9)</f>
        <v>0</v>
      </c>
      <c r="CS279" s="693">
        <f>SUMIFS(Imput[Importe Neto],Imput[C. Imp.],$D279,Imput[PERIODO Imp.],CS$9)</f>
        <v>0</v>
      </c>
      <c r="CT279" s="693">
        <f>SUMIFS(Imput[Importe Neto],Imput[C. Imp.],$D279,Imput[PERIODO Imp.],CT$9)</f>
        <v>0</v>
      </c>
      <c r="CU279" s="693">
        <f>SUMIFS(Imput[Importe Neto],Imput[C. Imp.],$D279,Imput[PERIODO Imp.],CU$9)</f>
        <v>0</v>
      </c>
      <c r="CV279" s="693">
        <f>SUMIFS(Imput[Importe Neto],Imput[C. Imp.],$D279,Imput[PERIODO Imp.],CV$9)</f>
        <v>0</v>
      </c>
      <c r="CW279" s="693">
        <f>SUMIFS(Imput[Importe Neto],Imput[C. Imp.],$D279,Imput[PERIODO Imp.],CW$9)</f>
        <v>0</v>
      </c>
      <c r="CX279" s="693">
        <f>SUMIFS(Imput[Importe Neto],Imput[C. Imp.],$D279,Imput[PERIODO Imp.],CX$9)</f>
        <v>0</v>
      </c>
      <c r="CY279" s="693">
        <f>SUMIFS(Imput[Importe Neto],Imput[C. Imp.],$D279,Imput[PERIODO Imp.],CY$9)</f>
        <v>0</v>
      </c>
      <c r="CZ279" s="693">
        <f>SUMIFS(Imput[Importe Neto],Imput[C. Imp.],$D279,Imput[PERIODO Imp.],CZ$9)</f>
        <v>0</v>
      </c>
      <c r="DA279" s="693">
        <f>SUMIFS(Imput[Importe Neto],Imput[C. Imp.],$D279,Imput[PERIODO Imp.],DA$9)</f>
        <v>0</v>
      </c>
      <c r="DB279" s="693">
        <f>SUMIFS(Imput[Importe Neto],Imput[C. Imp.],$D279,Imput[PERIODO Imp.],DB$9)</f>
        <v>0</v>
      </c>
      <c r="DC279" s="693">
        <f>SUMIFS(Imput[Importe Neto],Imput[C. Imp.],$D279,Imput[PERIODO Imp.],DC$9)</f>
        <v>0</v>
      </c>
      <c r="DD279" s="693">
        <f>SUMIFS(Imput[Importe Neto],Imput[C. Imp.],$D279,Imput[PERIODO Imp.],DD$9)</f>
        <v>0</v>
      </c>
      <c r="DE279" s="693">
        <f>SUMIFS(Imput[Importe Neto],Imput[C. Imp.],$D279,Imput[PERIODO Imp.],DE$9)</f>
        <v>0</v>
      </c>
      <c r="DF279" s="693">
        <f>SUMIFS(Imput[Importe Neto],Imput[C. Imp.],$D279,Imput[PERIODO Imp.],DF$9)</f>
        <v>0</v>
      </c>
      <c r="DG279" s="693">
        <f>SUMIFS(Imput[Importe Neto],Imput[C. Imp.],$D279,Imput[PERIODO Imp.],DG$9)</f>
        <v>0</v>
      </c>
      <c r="DH279" s="694">
        <f>SUMIFS(Imput[Importe Neto],Imput[C. Imp.],$D279,Imput[PERIODO Imp.],DH$9)</f>
        <v>0</v>
      </c>
    </row>
    <row r="280" spans="1:112" s="649" customFormat="1" hidden="1" outlineLevel="1" x14ac:dyDescent="0.3">
      <c r="A280" s="652" t="str">
        <f t="shared" si="137"/>
        <v/>
      </c>
      <c r="B280" s="652"/>
      <c r="C280" s="685"/>
      <c r="D280" s="686" t="s">
        <v>2354</v>
      </c>
      <c r="E280" s="686"/>
      <c r="F280" s="720"/>
      <c r="G280" s="688"/>
      <c r="H280" s="689"/>
      <c r="I280" s="851" t="str">
        <f t="shared" si="138"/>
        <v/>
      </c>
      <c r="J280" s="850" t="str">
        <f t="shared" si="139"/>
        <v/>
      </c>
      <c r="K280" s="667"/>
      <c r="L280" s="858"/>
      <c r="M280" s="859"/>
      <c r="N280" s="859"/>
      <c r="O280" s="859"/>
      <c r="P280" s="859"/>
      <c r="Q280" s="859"/>
      <c r="R280" s="859"/>
      <c r="S280" s="859"/>
      <c r="T280" s="859"/>
      <c r="U280" s="859"/>
      <c r="V280" s="859"/>
      <c r="W280" s="859"/>
      <c r="X280" s="859"/>
      <c r="Y280" s="859"/>
      <c r="Z280" s="860"/>
      <c r="AA280" s="860"/>
      <c r="AB280" s="860"/>
      <c r="AC280" s="860"/>
      <c r="AD280" s="860"/>
      <c r="AE280" s="860"/>
      <c r="AF280" s="860"/>
      <c r="AG280" s="860"/>
      <c r="AH280" s="860"/>
      <c r="AI280" s="860"/>
      <c r="AJ280" s="860"/>
      <c r="AK280" s="860"/>
      <c r="AL280" s="860"/>
      <c r="AM280" s="860"/>
      <c r="AN280" s="860"/>
      <c r="AO280" s="860"/>
      <c r="AP280" s="860"/>
      <c r="AQ280" s="860"/>
      <c r="AR280" s="860"/>
      <c r="AS280" s="860"/>
      <c r="AT280" s="860"/>
      <c r="AU280" s="860"/>
      <c r="AV280" s="860"/>
      <c r="AW280" s="860"/>
      <c r="AX280" s="860"/>
      <c r="AY280" s="860"/>
      <c r="AZ280" s="860"/>
      <c r="BA280" s="860"/>
      <c r="BB280" s="860"/>
      <c r="BC280" s="860"/>
      <c r="BD280" s="860"/>
      <c r="BE280" s="860"/>
      <c r="BF280" s="860"/>
      <c r="BG280" s="860"/>
      <c r="BH280" s="668"/>
      <c r="BI280" s="667"/>
      <c r="BJ280" s="690">
        <f t="shared" si="140"/>
        <v>0</v>
      </c>
      <c r="BK280" s="691">
        <f t="shared" si="141"/>
        <v>0</v>
      </c>
      <c r="BL280" s="654"/>
      <c r="BM280" s="692">
        <f>SUMIFS(Imput[Importe Neto],Imput[C. Imp.],$D280,Imput[PERIODO Imp.],BM$9)</f>
        <v>0</v>
      </c>
      <c r="BN280" s="693">
        <f>SUMIFS(Imput[Importe Neto],Imput[C. Imp.],$D280,Imput[PERIODO Imp.],BN$9)</f>
        <v>0</v>
      </c>
      <c r="BO280" s="693">
        <f>SUMIFS(Imput[Importe Neto],Imput[C. Imp.],$D280,Imput[PERIODO Imp.],BO$9)</f>
        <v>0</v>
      </c>
      <c r="BP280" s="693">
        <f>SUMIFS(Imput[Importe Neto],Imput[C. Imp.],$D280,Imput[PERIODO Imp.],BP$9)</f>
        <v>0</v>
      </c>
      <c r="BQ280" s="693">
        <f>SUMIFS(Imput[Importe Neto],Imput[C. Imp.],$D280,Imput[PERIODO Imp.],BQ$9)</f>
        <v>0</v>
      </c>
      <c r="BR280" s="693">
        <f>SUMIFS(Imput[Importe Neto],Imput[C. Imp.],$D280,Imput[PERIODO Imp.],BR$9)</f>
        <v>0</v>
      </c>
      <c r="BS280" s="693">
        <f>SUMIFS(Imput[Importe Neto],Imput[C. Imp.],$D280,Imput[PERIODO Imp.],BS$9)</f>
        <v>0</v>
      </c>
      <c r="BT280" s="693">
        <f>SUMIFS(Imput[Importe Neto],Imput[C. Imp.],$D280,Imput[PERIODO Imp.],BT$9)</f>
        <v>0</v>
      </c>
      <c r="BU280" s="693">
        <f>SUMIFS(Imput[Importe Neto],Imput[C. Imp.],$D280,Imput[PERIODO Imp.],BU$9)</f>
        <v>0</v>
      </c>
      <c r="BV280" s="693">
        <f>SUMIFS(Imput[Importe Neto],Imput[C. Imp.],$D280,Imput[PERIODO Imp.],BV$9)</f>
        <v>0</v>
      </c>
      <c r="BW280" s="693">
        <f>SUMIFS(Imput[Importe Neto],Imput[C. Imp.],$D280,Imput[PERIODO Imp.],BW$9)</f>
        <v>0</v>
      </c>
      <c r="BX280" s="693">
        <f>SUMIFS(Imput[Importe Neto],Imput[C. Imp.],$D280,Imput[PERIODO Imp.],BX$9)</f>
        <v>0</v>
      </c>
      <c r="BY280" s="693">
        <f>SUMIFS(Imput[Importe Neto],Imput[C. Imp.],$D280,Imput[PERIODO Imp.],BY$9)</f>
        <v>0</v>
      </c>
      <c r="BZ280" s="693">
        <f>SUMIFS(Imput[Importe Neto],Imput[C. Imp.],$D280,Imput[PERIODO Imp.],BZ$9)</f>
        <v>0</v>
      </c>
      <c r="CA280" s="693">
        <f>SUMIFS(Imput[Importe Neto],Imput[C. Imp.],$D280,Imput[PERIODO Imp.],CA$9)</f>
        <v>0</v>
      </c>
      <c r="CB280" s="693">
        <f>SUMIFS(Imput[Importe Neto],Imput[C. Imp.],$D280,Imput[PERIODO Imp.],CB$9)</f>
        <v>0</v>
      </c>
      <c r="CC280" s="693">
        <f>SUMIFS(Imput[Importe Neto],Imput[C. Imp.],$D280,Imput[PERIODO Imp.],CC$9)</f>
        <v>0</v>
      </c>
      <c r="CD280" s="693">
        <f>SUMIFS(Imput[Importe Neto],Imput[C. Imp.],$D280,Imput[PERIODO Imp.],CD$9)</f>
        <v>0</v>
      </c>
      <c r="CE280" s="693">
        <f>SUMIFS(Imput[Importe Neto],Imput[C. Imp.],$D280,Imput[PERIODO Imp.],CE$9)</f>
        <v>0</v>
      </c>
      <c r="CF280" s="693">
        <f>SUMIFS(Imput[Importe Neto],Imput[C. Imp.],$D280,Imput[PERIODO Imp.],CF$9)</f>
        <v>0</v>
      </c>
      <c r="CG280" s="693">
        <f>SUMIFS(Imput[Importe Neto],Imput[C. Imp.],$D280,Imput[PERIODO Imp.],CG$9)</f>
        <v>0</v>
      </c>
      <c r="CH280" s="693">
        <f>SUMIFS(Imput[Importe Neto],Imput[C. Imp.],$D280,Imput[PERIODO Imp.],CH$9)</f>
        <v>0</v>
      </c>
      <c r="CI280" s="693">
        <f>SUMIFS(Imput[Importe Neto],Imput[C. Imp.],$D280,Imput[PERIODO Imp.],CI$9)</f>
        <v>0</v>
      </c>
      <c r="CJ280" s="693">
        <f>SUMIFS(Imput[Importe Neto],Imput[C. Imp.],$D280,Imput[PERIODO Imp.],CJ$9)</f>
        <v>0</v>
      </c>
      <c r="CK280" s="693">
        <f>SUMIFS(Imput[Importe Neto],Imput[C. Imp.],$D280,Imput[PERIODO Imp.],CK$9)</f>
        <v>0</v>
      </c>
      <c r="CL280" s="693">
        <f>SUMIFS(Imput[Importe Neto],Imput[C. Imp.],$D280,Imput[PERIODO Imp.],CL$9)</f>
        <v>0</v>
      </c>
      <c r="CM280" s="693">
        <f>SUMIFS(Imput[Importe Neto],Imput[C. Imp.],$D280,Imput[PERIODO Imp.],CM$9)</f>
        <v>0</v>
      </c>
      <c r="CN280" s="693">
        <f>SUMIFS(Imput[Importe Neto],Imput[C. Imp.],$D280,Imput[PERIODO Imp.],CN$9)</f>
        <v>0</v>
      </c>
      <c r="CO280" s="693">
        <f>SUMIFS(Imput[Importe Neto],Imput[C. Imp.],$D280,Imput[PERIODO Imp.],CO$9)</f>
        <v>0</v>
      </c>
      <c r="CP280" s="693">
        <f>SUMIFS(Imput[Importe Neto],Imput[C. Imp.],$D280,Imput[PERIODO Imp.],CP$9)</f>
        <v>0</v>
      </c>
      <c r="CQ280" s="693">
        <f>SUMIFS(Imput[Importe Neto],Imput[C. Imp.],$D280,Imput[PERIODO Imp.],CQ$9)</f>
        <v>0</v>
      </c>
      <c r="CR280" s="693">
        <f>SUMIFS(Imput[Importe Neto],Imput[C. Imp.],$D280,Imput[PERIODO Imp.],CR$9)</f>
        <v>0</v>
      </c>
      <c r="CS280" s="693">
        <f>SUMIFS(Imput[Importe Neto],Imput[C. Imp.],$D280,Imput[PERIODO Imp.],CS$9)</f>
        <v>0</v>
      </c>
      <c r="CT280" s="693">
        <f>SUMIFS(Imput[Importe Neto],Imput[C. Imp.],$D280,Imput[PERIODO Imp.],CT$9)</f>
        <v>0</v>
      </c>
      <c r="CU280" s="693">
        <f>SUMIFS(Imput[Importe Neto],Imput[C. Imp.],$D280,Imput[PERIODO Imp.],CU$9)</f>
        <v>0</v>
      </c>
      <c r="CV280" s="693">
        <f>SUMIFS(Imput[Importe Neto],Imput[C. Imp.],$D280,Imput[PERIODO Imp.],CV$9)</f>
        <v>0</v>
      </c>
      <c r="CW280" s="693">
        <f>SUMIFS(Imput[Importe Neto],Imput[C. Imp.],$D280,Imput[PERIODO Imp.],CW$9)</f>
        <v>0</v>
      </c>
      <c r="CX280" s="693">
        <f>SUMIFS(Imput[Importe Neto],Imput[C. Imp.],$D280,Imput[PERIODO Imp.],CX$9)</f>
        <v>0</v>
      </c>
      <c r="CY280" s="693">
        <f>SUMIFS(Imput[Importe Neto],Imput[C. Imp.],$D280,Imput[PERIODO Imp.],CY$9)</f>
        <v>0</v>
      </c>
      <c r="CZ280" s="693">
        <f>SUMIFS(Imput[Importe Neto],Imput[C. Imp.],$D280,Imput[PERIODO Imp.],CZ$9)</f>
        <v>0</v>
      </c>
      <c r="DA280" s="693">
        <f>SUMIFS(Imput[Importe Neto],Imput[C. Imp.],$D280,Imput[PERIODO Imp.],DA$9)</f>
        <v>0</v>
      </c>
      <c r="DB280" s="693">
        <f>SUMIFS(Imput[Importe Neto],Imput[C. Imp.],$D280,Imput[PERIODO Imp.],DB$9)</f>
        <v>0</v>
      </c>
      <c r="DC280" s="693">
        <f>SUMIFS(Imput[Importe Neto],Imput[C. Imp.],$D280,Imput[PERIODO Imp.],DC$9)</f>
        <v>0</v>
      </c>
      <c r="DD280" s="693">
        <f>SUMIFS(Imput[Importe Neto],Imput[C. Imp.],$D280,Imput[PERIODO Imp.],DD$9)</f>
        <v>0</v>
      </c>
      <c r="DE280" s="693">
        <f>SUMIFS(Imput[Importe Neto],Imput[C. Imp.],$D280,Imput[PERIODO Imp.],DE$9)</f>
        <v>0</v>
      </c>
      <c r="DF280" s="693">
        <f>SUMIFS(Imput[Importe Neto],Imput[C. Imp.],$D280,Imput[PERIODO Imp.],DF$9)</f>
        <v>0</v>
      </c>
      <c r="DG280" s="693">
        <f>SUMIFS(Imput[Importe Neto],Imput[C. Imp.],$D280,Imput[PERIODO Imp.],DG$9)</f>
        <v>0</v>
      </c>
      <c r="DH280" s="694">
        <f>SUMIFS(Imput[Importe Neto],Imput[C. Imp.],$D280,Imput[PERIODO Imp.],DH$9)</f>
        <v>0</v>
      </c>
    </row>
    <row r="281" spans="1:112" s="649" customFormat="1" hidden="1" outlineLevel="1" x14ac:dyDescent="0.3">
      <c r="A281" s="652" t="str">
        <f t="shared" si="137"/>
        <v/>
      </c>
      <c r="B281" s="652"/>
      <c r="C281" s="685"/>
      <c r="D281" s="686" t="s">
        <v>2355</v>
      </c>
      <c r="E281" s="686"/>
      <c r="F281" s="720"/>
      <c r="G281" s="688"/>
      <c r="H281" s="689"/>
      <c r="I281" s="851" t="str">
        <f t="shared" si="138"/>
        <v/>
      </c>
      <c r="J281" s="850" t="str">
        <f t="shared" si="139"/>
        <v/>
      </c>
      <c r="K281" s="667"/>
      <c r="L281" s="858"/>
      <c r="M281" s="859"/>
      <c r="N281" s="859"/>
      <c r="O281" s="859"/>
      <c r="P281" s="859"/>
      <c r="Q281" s="859"/>
      <c r="R281" s="859"/>
      <c r="S281" s="859"/>
      <c r="T281" s="859"/>
      <c r="U281" s="859"/>
      <c r="V281" s="859"/>
      <c r="W281" s="859"/>
      <c r="X281" s="859"/>
      <c r="Y281" s="859"/>
      <c r="Z281" s="860"/>
      <c r="AA281" s="860"/>
      <c r="AB281" s="860"/>
      <c r="AC281" s="860"/>
      <c r="AD281" s="860"/>
      <c r="AE281" s="860"/>
      <c r="AF281" s="860"/>
      <c r="AG281" s="860"/>
      <c r="AH281" s="860"/>
      <c r="AI281" s="860"/>
      <c r="AJ281" s="860"/>
      <c r="AK281" s="860"/>
      <c r="AL281" s="860"/>
      <c r="AM281" s="860"/>
      <c r="AN281" s="860"/>
      <c r="AO281" s="860"/>
      <c r="AP281" s="860"/>
      <c r="AQ281" s="860"/>
      <c r="AR281" s="860"/>
      <c r="AS281" s="860"/>
      <c r="AT281" s="860"/>
      <c r="AU281" s="860"/>
      <c r="AV281" s="860"/>
      <c r="AW281" s="860"/>
      <c r="AX281" s="860"/>
      <c r="AY281" s="860"/>
      <c r="AZ281" s="860"/>
      <c r="BA281" s="860"/>
      <c r="BB281" s="860"/>
      <c r="BC281" s="860"/>
      <c r="BD281" s="860"/>
      <c r="BE281" s="860"/>
      <c r="BF281" s="860"/>
      <c r="BG281" s="860"/>
      <c r="BH281" s="668"/>
      <c r="BI281" s="667"/>
      <c r="BJ281" s="690">
        <f t="shared" si="140"/>
        <v>0</v>
      </c>
      <c r="BK281" s="691">
        <f t="shared" si="141"/>
        <v>0</v>
      </c>
      <c r="BL281" s="654"/>
      <c r="BM281" s="692">
        <f>SUMIFS(Imput[Importe Neto],Imput[C. Imp.],$D281,Imput[PERIODO Imp.],BM$9)</f>
        <v>0</v>
      </c>
      <c r="BN281" s="693">
        <f>SUMIFS(Imput[Importe Neto],Imput[C. Imp.],$D281,Imput[PERIODO Imp.],BN$9)</f>
        <v>0</v>
      </c>
      <c r="BO281" s="693">
        <f>SUMIFS(Imput[Importe Neto],Imput[C. Imp.],$D281,Imput[PERIODO Imp.],BO$9)</f>
        <v>0</v>
      </c>
      <c r="BP281" s="693">
        <f>SUMIFS(Imput[Importe Neto],Imput[C. Imp.],$D281,Imput[PERIODO Imp.],BP$9)</f>
        <v>0</v>
      </c>
      <c r="BQ281" s="693">
        <f>SUMIFS(Imput[Importe Neto],Imput[C. Imp.],$D281,Imput[PERIODO Imp.],BQ$9)</f>
        <v>0</v>
      </c>
      <c r="BR281" s="693">
        <f>SUMIFS(Imput[Importe Neto],Imput[C. Imp.],$D281,Imput[PERIODO Imp.],BR$9)</f>
        <v>0</v>
      </c>
      <c r="BS281" s="693">
        <f>SUMIFS(Imput[Importe Neto],Imput[C. Imp.],$D281,Imput[PERIODO Imp.],BS$9)</f>
        <v>0</v>
      </c>
      <c r="BT281" s="693">
        <f>SUMIFS(Imput[Importe Neto],Imput[C. Imp.],$D281,Imput[PERIODO Imp.],BT$9)</f>
        <v>0</v>
      </c>
      <c r="BU281" s="693">
        <f>SUMIFS(Imput[Importe Neto],Imput[C. Imp.],$D281,Imput[PERIODO Imp.],BU$9)</f>
        <v>0</v>
      </c>
      <c r="BV281" s="693">
        <f>SUMIFS(Imput[Importe Neto],Imput[C. Imp.],$D281,Imput[PERIODO Imp.],BV$9)</f>
        <v>0</v>
      </c>
      <c r="BW281" s="693">
        <f>SUMIFS(Imput[Importe Neto],Imput[C. Imp.],$D281,Imput[PERIODO Imp.],BW$9)</f>
        <v>0</v>
      </c>
      <c r="BX281" s="693">
        <f>SUMIFS(Imput[Importe Neto],Imput[C. Imp.],$D281,Imput[PERIODO Imp.],BX$9)</f>
        <v>0</v>
      </c>
      <c r="BY281" s="693">
        <f>SUMIFS(Imput[Importe Neto],Imput[C. Imp.],$D281,Imput[PERIODO Imp.],BY$9)</f>
        <v>0</v>
      </c>
      <c r="BZ281" s="693">
        <f>SUMIFS(Imput[Importe Neto],Imput[C. Imp.],$D281,Imput[PERIODO Imp.],BZ$9)</f>
        <v>0</v>
      </c>
      <c r="CA281" s="693">
        <f>SUMIFS(Imput[Importe Neto],Imput[C. Imp.],$D281,Imput[PERIODO Imp.],CA$9)</f>
        <v>0</v>
      </c>
      <c r="CB281" s="693">
        <f>SUMIFS(Imput[Importe Neto],Imput[C. Imp.],$D281,Imput[PERIODO Imp.],CB$9)</f>
        <v>0</v>
      </c>
      <c r="CC281" s="693">
        <f>SUMIFS(Imput[Importe Neto],Imput[C. Imp.],$D281,Imput[PERIODO Imp.],CC$9)</f>
        <v>0</v>
      </c>
      <c r="CD281" s="693">
        <f>SUMIFS(Imput[Importe Neto],Imput[C. Imp.],$D281,Imput[PERIODO Imp.],CD$9)</f>
        <v>0</v>
      </c>
      <c r="CE281" s="693">
        <f>SUMIFS(Imput[Importe Neto],Imput[C. Imp.],$D281,Imput[PERIODO Imp.],CE$9)</f>
        <v>0</v>
      </c>
      <c r="CF281" s="693">
        <f>SUMIFS(Imput[Importe Neto],Imput[C. Imp.],$D281,Imput[PERIODO Imp.],CF$9)</f>
        <v>0</v>
      </c>
      <c r="CG281" s="693">
        <f>SUMIFS(Imput[Importe Neto],Imput[C. Imp.],$D281,Imput[PERIODO Imp.],CG$9)</f>
        <v>0</v>
      </c>
      <c r="CH281" s="693">
        <f>SUMIFS(Imput[Importe Neto],Imput[C. Imp.],$D281,Imput[PERIODO Imp.],CH$9)</f>
        <v>0</v>
      </c>
      <c r="CI281" s="693">
        <f>SUMIFS(Imput[Importe Neto],Imput[C. Imp.],$D281,Imput[PERIODO Imp.],CI$9)</f>
        <v>0</v>
      </c>
      <c r="CJ281" s="693">
        <f>SUMIFS(Imput[Importe Neto],Imput[C. Imp.],$D281,Imput[PERIODO Imp.],CJ$9)</f>
        <v>0</v>
      </c>
      <c r="CK281" s="693">
        <f>SUMIFS(Imput[Importe Neto],Imput[C. Imp.],$D281,Imput[PERIODO Imp.],CK$9)</f>
        <v>0</v>
      </c>
      <c r="CL281" s="693">
        <f>SUMIFS(Imput[Importe Neto],Imput[C. Imp.],$D281,Imput[PERIODO Imp.],CL$9)</f>
        <v>0</v>
      </c>
      <c r="CM281" s="693">
        <f>SUMIFS(Imput[Importe Neto],Imput[C. Imp.],$D281,Imput[PERIODO Imp.],CM$9)</f>
        <v>0</v>
      </c>
      <c r="CN281" s="693">
        <f>SUMIFS(Imput[Importe Neto],Imput[C. Imp.],$D281,Imput[PERIODO Imp.],CN$9)</f>
        <v>0</v>
      </c>
      <c r="CO281" s="693">
        <f>SUMIFS(Imput[Importe Neto],Imput[C. Imp.],$D281,Imput[PERIODO Imp.],CO$9)</f>
        <v>0</v>
      </c>
      <c r="CP281" s="693">
        <f>SUMIFS(Imput[Importe Neto],Imput[C. Imp.],$D281,Imput[[PERIODO Imp.]:[PERIODO Imp.]],CP$9)</f>
        <v>0</v>
      </c>
      <c r="CQ281" s="693">
        <f>SUMIFS(Imput[[Importe Neto]:[Importe Neto]],Imput[[C. Imp.]:[C. Imp.]],$D281,Imput[[PERIODO Imp.]:[PERIODO Imp.]],CQ$9)</f>
        <v>0</v>
      </c>
      <c r="CR281" s="693">
        <f>SUMIFS(Imput[[Importe Neto]:[Importe Neto]],Imput[[C. Imp.]:[C. Imp.]],$D281,Imput[[PERIODO Imp.]:[PERIODO Imp.]],CR$9)</f>
        <v>0</v>
      </c>
      <c r="CS281" s="693">
        <f>SUMIFS(Imput[[Importe Neto]:[Importe Neto]],Imput[[C. Imp.]:[C. Imp.]],$D281,Imput[[PERIODO Imp.]:[PERIODO Imp.]],CS$9)</f>
        <v>0</v>
      </c>
      <c r="CT281" s="693">
        <f>SUMIFS(Imput[[Importe Neto]:[Importe Neto]],Imput[[C. Imp.]:[C. Imp.]],$D281,Imput[[PERIODO Imp.]:[PERIODO Imp.]],CT$9)</f>
        <v>0</v>
      </c>
      <c r="CU281" s="693">
        <f>SUMIFS(Imput[[Importe Neto]:[Importe Neto]],Imput[[C. Imp.]:[C. Imp.]],$D281,Imput[[PERIODO Imp.]:[PERIODO Imp.]],CU$9)</f>
        <v>0</v>
      </c>
      <c r="CV281" s="693">
        <f>SUMIFS(Imput[[Importe Neto]:[Importe Neto]],Imput[[C. Imp.]:[C. Imp.]],$D281,Imput[[PERIODO Imp.]:[PERIODO Imp.]],CV$9)</f>
        <v>0</v>
      </c>
      <c r="CW281" s="693">
        <f>SUMIFS(Imput[[Importe Neto]:[Importe Neto]],Imput[[C. Imp.]:[C. Imp.]],$D281,Imput[[PERIODO Imp.]:[PERIODO Imp.]],CW$9)</f>
        <v>0</v>
      </c>
      <c r="CX281" s="693">
        <f>SUMIFS(Imput[[Importe Neto]:[Importe Neto]],Imput[[C. Imp.]:[C. Imp.]],$D281,Imput[[PERIODO Imp.]:[PERIODO Imp.]],CX$9)</f>
        <v>0</v>
      </c>
      <c r="CY281" s="693">
        <f>SUMIFS(Imput[[Importe Neto]:[Importe Neto]],Imput[[C. Imp.]:[C. Imp.]],$D281,Imput[[PERIODO Imp.]:[PERIODO Imp.]],CY$9)</f>
        <v>0</v>
      </c>
      <c r="CZ281" s="693">
        <f>SUMIFS(Imput[[Importe Neto]:[Importe Neto]],Imput[[C. Imp.]:[C. Imp.]],$D281,Imput[[PERIODO Imp.]:[PERIODO Imp.]],CZ$9)</f>
        <v>0</v>
      </c>
      <c r="DA281" s="693">
        <f>SUMIFS(Imput[[Importe Neto]:[Importe Neto]],Imput[[C. Imp.]:[C. Imp.]],$D281,Imput[[PERIODO Imp.]:[PERIODO Imp.]],DA$9)</f>
        <v>0</v>
      </c>
      <c r="DB281" s="693">
        <f>SUMIFS(Imput[[Importe Neto]:[Importe Neto]],Imput[[C. Imp.]:[C. Imp.]],$D281,Imput[[PERIODO Imp.]:[PERIODO Imp.]],DB$9)</f>
        <v>0</v>
      </c>
      <c r="DC281" s="693">
        <f>SUMIFS(Imput[[Importe Neto]:[Importe Neto]],Imput[[C. Imp.]:[C. Imp.]],$D281,Imput[[PERIODO Imp.]:[PERIODO Imp.]],DC$9)</f>
        <v>0</v>
      </c>
      <c r="DD281" s="693">
        <f>SUMIFS(Imput[[Importe Neto]:[Importe Neto]],Imput[[C. Imp.]:[C. Imp.]],$D281,Imput[[PERIODO Imp.]:[PERIODO Imp.]],DD$9)</f>
        <v>0</v>
      </c>
      <c r="DE281" s="693">
        <f>SUMIFS(Imput[[Importe Neto]:[Importe Neto]],Imput[[C. Imp.]:[C. Imp.]],$D281,Imput[[PERIODO Imp.]:[PERIODO Imp.]],DE$9)</f>
        <v>0</v>
      </c>
      <c r="DF281" s="693">
        <f>SUMIFS(Imput[[Importe Neto]:[Importe Neto]],Imput[[C. Imp.]:[C. Imp.]],$D281,Imput[[PERIODO Imp.]:[PERIODO Imp.]],DF$9)</f>
        <v>0</v>
      </c>
      <c r="DG281" s="693">
        <f>SUMIFS(Imput[[Importe Neto]:[Importe Neto]],Imput[[C. Imp.]:[C. Imp.]],$D281,Imput[[PERIODO Imp.]:[PERIODO Imp.]],DG$9)</f>
        <v>0</v>
      </c>
      <c r="DH281" s="694">
        <f>SUMIFS(Imput[[Importe Neto]:[Importe Neto]],Imput[[C. Imp.]:[C. Imp.]],$D281,Imput[[PERIODO Imp.]:[PERIODO Imp.]],DH$9)</f>
        <v>0</v>
      </c>
    </row>
    <row r="282" spans="1:112" s="649" customFormat="1" hidden="1" outlineLevel="1" x14ac:dyDescent="0.3">
      <c r="A282" s="652" t="str">
        <f t="shared" si="137"/>
        <v/>
      </c>
      <c r="B282" s="652"/>
      <c r="C282" s="685"/>
      <c r="D282" s="686" t="s">
        <v>2356</v>
      </c>
      <c r="E282" s="686"/>
      <c r="F282" s="720"/>
      <c r="G282" s="688"/>
      <c r="H282" s="689"/>
      <c r="I282" s="851" t="str">
        <f t="shared" si="138"/>
        <v/>
      </c>
      <c r="J282" s="850" t="str">
        <f t="shared" si="139"/>
        <v/>
      </c>
      <c r="K282" s="667"/>
      <c r="L282" s="858"/>
      <c r="M282" s="859"/>
      <c r="N282" s="859"/>
      <c r="O282" s="859"/>
      <c r="P282" s="859"/>
      <c r="Q282" s="859"/>
      <c r="R282" s="859"/>
      <c r="S282" s="859"/>
      <c r="T282" s="859"/>
      <c r="U282" s="859"/>
      <c r="V282" s="859"/>
      <c r="W282" s="859"/>
      <c r="X282" s="859"/>
      <c r="Y282" s="859"/>
      <c r="Z282" s="860"/>
      <c r="AA282" s="860"/>
      <c r="AB282" s="860"/>
      <c r="AC282" s="860"/>
      <c r="AD282" s="860"/>
      <c r="AE282" s="860"/>
      <c r="AF282" s="860"/>
      <c r="AG282" s="860"/>
      <c r="AH282" s="860"/>
      <c r="AI282" s="860"/>
      <c r="AJ282" s="860"/>
      <c r="AK282" s="860"/>
      <c r="AL282" s="860"/>
      <c r="AM282" s="860"/>
      <c r="AN282" s="860"/>
      <c r="AO282" s="860"/>
      <c r="AP282" s="860"/>
      <c r="AQ282" s="860"/>
      <c r="AR282" s="860"/>
      <c r="AS282" s="860"/>
      <c r="AT282" s="860"/>
      <c r="AU282" s="860"/>
      <c r="AV282" s="860"/>
      <c r="AW282" s="860"/>
      <c r="AX282" s="860"/>
      <c r="AY282" s="860"/>
      <c r="AZ282" s="860"/>
      <c r="BA282" s="860"/>
      <c r="BB282" s="860"/>
      <c r="BC282" s="860"/>
      <c r="BD282" s="860"/>
      <c r="BE282" s="860"/>
      <c r="BF282" s="860"/>
      <c r="BG282" s="860"/>
      <c r="BH282" s="668"/>
      <c r="BI282" s="667"/>
      <c r="BJ282" s="690">
        <f t="shared" si="140"/>
        <v>0</v>
      </c>
      <c r="BK282" s="691">
        <f t="shared" si="141"/>
        <v>0</v>
      </c>
      <c r="BL282" s="654"/>
      <c r="BM282" s="692">
        <f>SUMIFS(Imput[[Importe Neto]:[Importe Neto]],Imput[[C. Imp.]:[C. Imp.]],$D282,Imput[[PERIODO Imp.]:[PERIODO Imp.]],BM$9)</f>
        <v>0</v>
      </c>
      <c r="BN282" s="693">
        <f>SUMIFS(Imput[[Importe Neto]:[Importe Neto]],Imput[[C. Imp.]:[C. Imp.]],$D282,Imput[[PERIODO Imp.]:[PERIODO Imp.]],BN$9)</f>
        <v>0</v>
      </c>
      <c r="BO282" s="693">
        <f>SUMIFS(Imput[[Importe Neto]:[Importe Neto]],Imput[[C. Imp.]:[C. Imp.]],$D282,Imput[[PERIODO Imp.]:[PERIODO Imp.]],BO$9)</f>
        <v>0</v>
      </c>
      <c r="BP282" s="693">
        <f>SUMIFS(Imput[[Importe Neto]:[Importe Neto]],Imput[[C. Imp.]:[C. Imp.]],$D282,Imput[[PERIODO Imp.]:[PERIODO Imp.]],BP$9)</f>
        <v>0</v>
      </c>
      <c r="BQ282" s="693">
        <f>SUMIFS(Imput[[Importe Neto]:[Importe Neto]],Imput[[C. Imp.]:[C. Imp.]],$D282,Imput[[PERIODO Imp.]:[PERIODO Imp.]],BQ$9)</f>
        <v>0</v>
      </c>
      <c r="BR282" s="693">
        <f>SUMIFS(Imput[[Importe Neto]:[Importe Neto]],Imput[[C. Imp.]:[C. Imp.]],$D282,Imput[[PERIODO Imp.]:[PERIODO Imp.]],BR$9)</f>
        <v>0</v>
      </c>
      <c r="BS282" s="693">
        <f>SUMIFS(Imput[[Importe Neto]:[Importe Neto]],Imput[[C. Imp.]:[C. Imp.]],$D282,Imput[[PERIODO Imp.]:[PERIODO Imp.]],BS$9)</f>
        <v>0</v>
      </c>
      <c r="BT282" s="693">
        <f>SUMIFS(Imput[[Importe Neto]:[Importe Neto]],Imput[[C. Imp.]:[C. Imp.]],$D282,Imput[[PERIODO Imp.]:[PERIODO Imp.]],BT$9)</f>
        <v>0</v>
      </c>
      <c r="BU282" s="693">
        <f>SUMIFS(Imput[[Importe Neto]:[Importe Neto]],Imput[[C. Imp.]:[C. Imp.]],$D282,Imput[[PERIODO Imp.]:[PERIODO Imp.]],BU$9)</f>
        <v>0</v>
      </c>
      <c r="BV282" s="693">
        <f>SUMIFS(Imput[[Importe Neto]:[Importe Neto]],Imput[[C. Imp.]:[C. Imp.]],$D282,Imput[[PERIODO Imp.]:[PERIODO Imp.]],BV$9)</f>
        <v>0</v>
      </c>
      <c r="BW282" s="693">
        <f>SUMIFS(Imput[[Importe Neto]:[Importe Neto]],Imput[[C. Imp.]:[C. Imp.]],$D282,Imput[[PERIODO Imp.]:[PERIODO Imp.]],BW$9)</f>
        <v>0</v>
      </c>
      <c r="BX282" s="693">
        <f>SUMIFS(Imput[[Importe Neto]:[Importe Neto]],Imput[[C. Imp.]:[C. Imp.]],$D282,Imput[[PERIODO Imp.]:[PERIODO Imp.]],BX$9)</f>
        <v>0</v>
      </c>
      <c r="BY282" s="693">
        <f>SUMIFS(Imput[[Importe Neto]:[Importe Neto]],Imput[[C. Imp.]:[C. Imp.]],$D282,Imput[[PERIODO Imp.]:[PERIODO Imp.]],BY$9)</f>
        <v>0</v>
      </c>
      <c r="BZ282" s="693">
        <f>SUMIFS(Imput[[Importe Neto]:[Importe Neto]],Imput[[C. Imp.]:[C. Imp.]],$D282,Imput[[PERIODO Imp.]:[PERIODO Imp.]],BZ$9)</f>
        <v>0</v>
      </c>
      <c r="CA282" s="693">
        <f>SUMIFS(Imput[[Importe Neto]:[Importe Neto]],Imput[[C. Imp.]:[C. Imp.]],$D282,Imput[[PERIODO Imp.]:[PERIODO Imp.]],CA$9)</f>
        <v>0</v>
      </c>
      <c r="CB282" s="693">
        <f>SUMIFS(Imput[[Importe Neto]:[Importe Neto]],Imput[[C. Imp.]:[C. Imp.]],$D282,Imput[[PERIODO Imp.]:[PERIODO Imp.]],CB$9)</f>
        <v>0</v>
      </c>
      <c r="CC282" s="693">
        <f>SUMIFS(Imput[[Importe Neto]:[Importe Neto]],Imput[[C. Imp.]:[C. Imp.]],$D282,Imput[[PERIODO Imp.]:[PERIODO Imp.]],CC$9)</f>
        <v>0</v>
      </c>
      <c r="CD282" s="693">
        <f>SUMIFS(Imput[[Importe Neto]:[Importe Neto]],Imput[[C. Imp.]:[C. Imp.]],$D282,Imput[[PERIODO Imp.]:[PERIODO Imp.]],CD$9)</f>
        <v>0</v>
      </c>
      <c r="CE282" s="693">
        <f>SUMIFS(Imput[[Importe Neto]:[Importe Neto]],Imput[[C. Imp.]:[C. Imp.]],$D282,Imput[[PERIODO Imp.]:[PERIODO Imp.]],CE$9)</f>
        <v>0</v>
      </c>
      <c r="CF282" s="693">
        <f>SUMIFS(Imput[[Importe Neto]:[Importe Neto]],Imput[[C. Imp.]:[C. Imp.]],$D282,Imput[[PERIODO Imp.]:[PERIODO Imp.]],CF$9)</f>
        <v>0</v>
      </c>
      <c r="CG282" s="693">
        <f>SUMIFS(Imput[[Importe Neto]:[Importe Neto]],Imput[[C. Imp.]:[C. Imp.]],$D282,Imput[[PERIODO Imp.]:[PERIODO Imp.]],CG$9)</f>
        <v>0</v>
      </c>
      <c r="CH282" s="693">
        <f>SUMIFS(Imput[[Importe Neto]:[Importe Neto]],Imput[[C. Imp.]:[C. Imp.]],$D282,Imput[[PERIODO Imp.]:[PERIODO Imp.]],CH$9)</f>
        <v>0</v>
      </c>
      <c r="CI282" s="693">
        <f>SUMIFS(Imput[[Importe Neto]:[Importe Neto]],Imput[[C. Imp.]:[C. Imp.]],$D282,Imput[[PERIODO Imp.]:[PERIODO Imp.]],CI$9)</f>
        <v>0</v>
      </c>
      <c r="CJ282" s="693">
        <f>SUMIFS(Imput[[Importe Neto]:[Importe Neto]],Imput[[C. Imp.]:[C. Imp.]],$D282,Imput[[PERIODO Imp.]:[PERIODO Imp.]],CJ$9)</f>
        <v>0</v>
      </c>
      <c r="CK282" s="693">
        <f>SUMIFS(Imput[[Importe Neto]:[Importe Neto]],Imput[[C. Imp.]:[C. Imp.]],$D282,Imput[[PERIODO Imp.]:[PERIODO Imp.]],CK$9)</f>
        <v>0</v>
      </c>
      <c r="CL282" s="693">
        <f>SUMIFS(Imput[[Importe Neto]:[Importe Neto]],Imput[[C. Imp.]:[C. Imp.]],$D282,Imput[[PERIODO Imp.]:[PERIODO Imp.]],CL$9)</f>
        <v>0</v>
      </c>
      <c r="CM282" s="693">
        <f>SUMIFS(Imput[[Importe Neto]:[Importe Neto]],Imput[[C. Imp.]:[C. Imp.]],$D282,Imput[[PERIODO Imp.]:[PERIODO Imp.]],CM$9)</f>
        <v>0</v>
      </c>
      <c r="CN282" s="693">
        <f>SUMIFS(Imput[[Importe Neto]:[Importe Neto]],Imput[[C. Imp.]:[C. Imp.]],$D282,Imput[[PERIODO Imp.]:[PERIODO Imp.]],CN$9)</f>
        <v>0</v>
      </c>
      <c r="CO282" s="693">
        <f>SUMIFS(Imput[[Importe Neto]:[Importe Neto]],Imput[[C. Imp.]:[C. Imp.]],$D282,Imput[[PERIODO Imp.]:[PERIODO Imp.]],CO$9)</f>
        <v>0</v>
      </c>
      <c r="CP282" s="693">
        <f>SUMIFS(Imput[[Importe Neto]:[Importe Neto]],Imput[[C. Imp.]:[C. Imp.]],$D282,Imput[[PERIODO Imp.]:[PERIODO Imp.]],CP$9)</f>
        <v>0</v>
      </c>
      <c r="CQ282" s="693">
        <f>SUMIFS(Imput[[Importe Neto]:[Importe Neto]],Imput[[C. Imp.]:[C. Imp.]],$D282,Imput[[PERIODO Imp.]:[PERIODO Imp.]],CQ$9)</f>
        <v>0</v>
      </c>
      <c r="CR282" s="693">
        <f>SUMIFS(Imput[[Importe Neto]:[Importe Neto]],Imput[[C. Imp.]:[C. Imp.]],$D282,Imput[[PERIODO Imp.]:[PERIODO Imp.]],CR$9)</f>
        <v>0</v>
      </c>
      <c r="CS282" s="693">
        <f>SUMIFS(Imput[[Importe Neto]:[Importe Neto]],Imput[[C. Imp.]:[C. Imp.]],$D282,Imput[[PERIODO Imp.]:[PERIODO Imp.]],CS$9)</f>
        <v>0</v>
      </c>
      <c r="CT282" s="693">
        <f>SUMIFS(Imput[[Importe Neto]:[Importe Neto]],Imput[[C. Imp.]:[C. Imp.]],$D282,Imput[[PERIODO Imp.]:[PERIODO Imp.]],CT$9)</f>
        <v>0</v>
      </c>
      <c r="CU282" s="693">
        <f>SUMIFS(Imput[[Importe Neto]:[Importe Neto]],Imput[[C. Imp.]:[C. Imp.]],$D282,Imput[[PERIODO Imp.]:[PERIODO Imp.]],CU$9)</f>
        <v>0</v>
      </c>
      <c r="CV282" s="693">
        <f>SUMIFS(Imput[[Importe Neto]:[Importe Neto]],Imput[[C. Imp.]:[C. Imp.]],$D282,Imput[[PERIODO Imp.]:[PERIODO Imp.]],CV$9)</f>
        <v>0</v>
      </c>
      <c r="CW282" s="693">
        <f>SUMIFS(Imput[[Importe Neto]:[Importe Neto]],Imput[[C. Imp.]:[C. Imp.]],$D282,Imput[[PERIODO Imp.]:[PERIODO Imp.]],CW$9)</f>
        <v>0</v>
      </c>
      <c r="CX282" s="693">
        <f>SUMIFS(Imput[[Importe Neto]:[Importe Neto]],Imput[[C. Imp.]:[C. Imp.]],$D282,Imput[[PERIODO Imp.]:[PERIODO Imp.]],CX$9)</f>
        <v>0</v>
      </c>
      <c r="CY282" s="693">
        <f>SUMIFS(Imput[[Importe Neto]:[Importe Neto]],Imput[[C. Imp.]:[C. Imp.]],$D282,Imput[[PERIODO Imp.]:[PERIODO Imp.]],CY$9)</f>
        <v>0</v>
      </c>
      <c r="CZ282" s="693">
        <f>SUMIFS(Imput[[Importe Neto]:[Importe Neto]],Imput[[C. Imp.]:[C. Imp.]],$D282,Imput[[PERIODO Imp.]:[PERIODO Imp.]],CZ$9)</f>
        <v>0</v>
      </c>
      <c r="DA282" s="693">
        <f>SUMIFS(Imput[[Importe Neto]:[Importe Neto]],Imput[[C. Imp.]:[C. Imp.]],$D282,Imput[[PERIODO Imp.]:[PERIODO Imp.]],DA$9)</f>
        <v>0</v>
      </c>
      <c r="DB282" s="693">
        <f>SUMIFS(Imput[[Importe Neto]:[Importe Neto]],Imput[[C. Imp.]:[C. Imp.]],$D282,Imput[[PERIODO Imp.]:[PERIODO Imp.]],DB$9)</f>
        <v>0</v>
      </c>
      <c r="DC282" s="693">
        <f>SUMIFS(Imput[[Importe Neto]:[Importe Neto]],Imput[[C. Imp.]:[C. Imp.]],$D282,Imput[[PERIODO Imp.]:[PERIODO Imp.]],DC$9)</f>
        <v>0</v>
      </c>
      <c r="DD282" s="693">
        <f>SUMIFS(Imput[[Importe Neto]:[Importe Neto]],Imput[[C. Imp.]:[C. Imp.]],$D282,Imput[[PERIODO Imp.]:[PERIODO Imp.]],DD$9)</f>
        <v>0</v>
      </c>
      <c r="DE282" s="693">
        <f>SUMIFS(Imput[[Importe Neto]:[Importe Neto]],Imput[[C. Imp.]:[C. Imp.]],$D282,Imput[[PERIODO Imp.]:[PERIODO Imp.]],DE$9)</f>
        <v>0</v>
      </c>
      <c r="DF282" s="693">
        <f>SUMIFS(Imput[[Importe Neto]:[Importe Neto]],Imput[[C. Imp.]:[C. Imp.]],$D282,Imput[[PERIODO Imp.]:[PERIODO Imp.]],DF$9)</f>
        <v>0</v>
      </c>
      <c r="DG282" s="693">
        <f>SUMIFS(Imput[[Importe Neto]:[Importe Neto]],Imput[[C. Imp.]:[C. Imp.]],$D282,Imput[[PERIODO Imp.]:[PERIODO Imp.]],DG$9)</f>
        <v>0</v>
      </c>
      <c r="DH282" s="694">
        <f>SUMIFS(Imput[[Importe Neto]:[Importe Neto]],Imput[[C. Imp.]:[C. Imp.]],$D282,Imput[[PERIODO Imp.]:[PERIODO Imp.]],DH$9)</f>
        <v>0</v>
      </c>
    </row>
    <row r="283" spans="1:112" s="649" customFormat="1" hidden="1" outlineLevel="1" x14ac:dyDescent="0.3">
      <c r="A283" s="652" t="str">
        <f t="shared" si="137"/>
        <v/>
      </c>
      <c r="B283" s="652"/>
      <c r="C283" s="685"/>
      <c r="D283" s="686" t="s">
        <v>2357</v>
      </c>
      <c r="E283" s="686"/>
      <c r="F283" s="720"/>
      <c r="G283" s="688"/>
      <c r="H283" s="689"/>
      <c r="I283" s="851" t="str">
        <f t="shared" si="138"/>
        <v/>
      </c>
      <c r="J283" s="850" t="str">
        <f t="shared" si="139"/>
        <v/>
      </c>
      <c r="K283" s="667"/>
      <c r="L283" s="858"/>
      <c r="M283" s="859"/>
      <c r="N283" s="859"/>
      <c r="O283" s="859"/>
      <c r="P283" s="859"/>
      <c r="Q283" s="859"/>
      <c r="R283" s="859"/>
      <c r="S283" s="859"/>
      <c r="T283" s="859"/>
      <c r="U283" s="859"/>
      <c r="V283" s="859"/>
      <c r="W283" s="859"/>
      <c r="X283" s="859"/>
      <c r="Y283" s="859"/>
      <c r="Z283" s="860"/>
      <c r="AA283" s="860"/>
      <c r="AB283" s="860"/>
      <c r="AC283" s="860"/>
      <c r="AD283" s="860"/>
      <c r="AE283" s="860"/>
      <c r="AF283" s="860"/>
      <c r="AG283" s="860"/>
      <c r="AH283" s="860"/>
      <c r="AI283" s="860"/>
      <c r="AJ283" s="860"/>
      <c r="AK283" s="860"/>
      <c r="AL283" s="860"/>
      <c r="AM283" s="860"/>
      <c r="AN283" s="860"/>
      <c r="AO283" s="860"/>
      <c r="AP283" s="860"/>
      <c r="AQ283" s="860"/>
      <c r="AR283" s="860"/>
      <c r="AS283" s="860"/>
      <c r="AT283" s="860"/>
      <c r="AU283" s="860"/>
      <c r="AV283" s="860"/>
      <c r="AW283" s="860"/>
      <c r="AX283" s="860"/>
      <c r="AY283" s="860"/>
      <c r="AZ283" s="860"/>
      <c r="BA283" s="860"/>
      <c r="BB283" s="860"/>
      <c r="BC283" s="860"/>
      <c r="BD283" s="860"/>
      <c r="BE283" s="860"/>
      <c r="BF283" s="860"/>
      <c r="BG283" s="860"/>
      <c r="BH283" s="780"/>
      <c r="BI283" s="654"/>
      <c r="BJ283" s="690">
        <f t="shared" si="140"/>
        <v>0</v>
      </c>
      <c r="BK283" s="691">
        <f t="shared" si="141"/>
        <v>0</v>
      </c>
      <c r="BL283" s="654"/>
      <c r="BM283" s="692">
        <f>SUMIFS(Imput[[Importe Neto]:[Importe Neto]],Imput[[C. Imp.]:[C. Imp.]],$D283,Imput[[PERIODO Imp.]:[PERIODO Imp.]],BM$9)</f>
        <v>0</v>
      </c>
      <c r="BN283" s="693">
        <f>SUMIFS(Imput[[Importe Neto]:[Importe Neto]],Imput[[C. Imp.]:[C. Imp.]],$D283,Imput[[PERIODO Imp.]:[PERIODO Imp.]],BN$9)</f>
        <v>0</v>
      </c>
      <c r="BO283" s="693">
        <f>SUMIFS(Imput[[Importe Neto]:[Importe Neto]],Imput[[C. Imp.]:[C. Imp.]],$D283,Imput[[PERIODO Imp.]:[PERIODO Imp.]],BO$9)</f>
        <v>0</v>
      </c>
      <c r="BP283" s="693">
        <f>SUMIFS(Imput[[Importe Neto]:[Importe Neto]],Imput[[C. Imp.]:[C. Imp.]],$D283,Imput[[PERIODO Imp.]:[PERIODO Imp.]],BP$9)</f>
        <v>0</v>
      </c>
      <c r="BQ283" s="693">
        <f>SUMIFS(Imput[[Importe Neto]:[Importe Neto]],Imput[[C. Imp.]:[C. Imp.]],$D283,Imput[[PERIODO Imp.]:[PERIODO Imp.]],BQ$9)</f>
        <v>0</v>
      </c>
      <c r="BR283" s="693">
        <f>SUMIFS(Imput[[Importe Neto]:[Importe Neto]],Imput[[C. Imp.]:[C. Imp.]],$D283,Imput[[PERIODO Imp.]:[PERIODO Imp.]],BR$9)</f>
        <v>0</v>
      </c>
      <c r="BS283" s="693">
        <f>SUMIFS(Imput[[Importe Neto]:[Importe Neto]],Imput[[C. Imp.]:[C. Imp.]],$D283,Imput[[PERIODO Imp.]:[PERIODO Imp.]],BS$9)</f>
        <v>0</v>
      </c>
      <c r="BT283" s="693">
        <f>SUMIFS(Imput[[Importe Neto]:[Importe Neto]],Imput[[C. Imp.]:[C. Imp.]],$D283,Imput[[PERIODO Imp.]:[PERIODO Imp.]],BT$9)</f>
        <v>0</v>
      </c>
      <c r="BU283" s="693">
        <f>SUMIFS(Imput[[Importe Neto]:[Importe Neto]],Imput[[C. Imp.]:[C. Imp.]],$D283,Imput[[PERIODO Imp.]:[PERIODO Imp.]],BU$9)</f>
        <v>0</v>
      </c>
      <c r="BV283" s="693">
        <f>SUMIFS(Imput[[Importe Neto]:[Importe Neto]],Imput[[C. Imp.]:[C. Imp.]],$D283,Imput[[PERIODO Imp.]:[PERIODO Imp.]],BV$9)</f>
        <v>0</v>
      </c>
      <c r="BW283" s="693">
        <f>SUMIFS(Imput[[Importe Neto]:[Importe Neto]],Imput[[C. Imp.]:[C. Imp.]],$D283,Imput[[PERIODO Imp.]:[PERIODO Imp.]],BW$9)</f>
        <v>0</v>
      </c>
      <c r="BX283" s="693">
        <f>SUMIFS(Imput[[Importe Neto]:[Importe Neto]],Imput[[C. Imp.]:[C. Imp.]],$D283,Imput[[PERIODO Imp.]:[PERIODO Imp.]],BX$9)</f>
        <v>0</v>
      </c>
      <c r="BY283" s="693">
        <f>SUMIFS(Imput[[Importe Neto]:[Importe Neto]],Imput[[C. Imp.]:[C. Imp.]],$D283,Imput[[PERIODO Imp.]:[PERIODO Imp.]],BY$9)</f>
        <v>0</v>
      </c>
      <c r="BZ283" s="693">
        <f>SUMIFS(Imput[[Importe Neto]:[Importe Neto]],Imput[[C. Imp.]:[C. Imp.]],$D283,Imput[[PERIODO Imp.]:[PERIODO Imp.]],BZ$9)</f>
        <v>0</v>
      </c>
      <c r="CA283" s="693">
        <f>SUMIFS(Imput[[Importe Neto]:[Importe Neto]],Imput[[C. Imp.]:[C. Imp.]],$D283,Imput[[PERIODO Imp.]:[PERIODO Imp.]],CA$9)</f>
        <v>0</v>
      </c>
      <c r="CB283" s="693">
        <f>SUMIFS(Imput[[Importe Neto]:[Importe Neto]],Imput[[C. Imp.]:[C. Imp.]],$D283,Imput[[PERIODO Imp.]:[PERIODO Imp.]],CB$9)</f>
        <v>0</v>
      </c>
      <c r="CC283" s="693">
        <f>SUMIFS(Imput[[Importe Neto]:[Importe Neto]],Imput[[C. Imp.]:[C. Imp.]],$D283,Imput[[PERIODO Imp.]:[PERIODO Imp.]],CC$9)</f>
        <v>0</v>
      </c>
      <c r="CD283" s="693">
        <f>SUMIFS(Imput[[Importe Neto]:[Importe Neto]],Imput[[C. Imp.]:[C. Imp.]],$D283,Imput[[PERIODO Imp.]:[PERIODO Imp.]],CD$9)</f>
        <v>0</v>
      </c>
      <c r="CE283" s="693">
        <f>SUMIFS(Imput[[Importe Neto]:[Importe Neto]],Imput[[C. Imp.]:[C. Imp.]],$D283,Imput[[PERIODO Imp.]:[PERIODO Imp.]],CE$9)</f>
        <v>0</v>
      </c>
      <c r="CF283" s="693">
        <f>SUMIFS(Imput[[Importe Neto]:[Importe Neto]],Imput[[C. Imp.]:[C. Imp.]],$D283,Imput[[PERIODO Imp.]:[PERIODO Imp.]],CF$9)</f>
        <v>0</v>
      </c>
      <c r="CG283" s="693">
        <f>SUMIFS(Imput[[Importe Neto]:[Importe Neto]],Imput[[C. Imp.]:[C. Imp.]],$D283,Imput[[PERIODO Imp.]:[PERIODO Imp.]],CG$9)</f>
        <v>0</v>
      </c>
      <c r="CH283" s="693">
        <f>SUMIFS(Imput[[Importe Neto]:[Importe Neto]],Imput[[C. Imp.]:[C. Imp.]],$D283,Imput[[PERIODO Imp.]:[PERIODO Imp.]],CH$9)</f>
        <v>0</v>
      </c>
      <c r="CI283" s="693">
        <f>SUMIFS(Imput[[Importe Neto]:[Importe Neto]],Imput[[C. Imp.]:[C. Imp.]],$D283,Imput[[PERIODO Imp.]:[PERIODO Imp.]],CI$9)</f>
        <v>0</v>
      </c>
      <c r="CJ283" s="693">
        <f>SUMIFS(Imput[[Importe Neto]:[Importe Neto]],Imput[[C. Imp.]:[C. Imp.]],$D283,Imput[[PERIODO Imp.]:[PERIODO Imp.]],CJ$9)</f>
        <v>0</v>
      </c>
      <c r="CK283" s="693">
        <f>SUMIFS(Imput[[Importe Neto]:[Importe Neto]],Imput[[C. Imp.]:[C. Imp.]],$D283,Imput[[PERIODO Imp.]:[PERIODO Imp.]],CK$9)</f>
        <v>0</v>
      </c>
      <c r="CL283" s="693">
        <f>SUMIFS(Imput[[Importe Neto]:[Importe Neto]],Imput[[C. Imp.]:[C. Imp.]],$D283,Imput[[PERIODO Imp.]:[PERIODO Imp.]],CL$9)</f>
        <v>0</v>
      </c>
      <c r="CM283" s="693">
        <f>SUMIFS(Imput[[Importe Neto]:[Importe Neto]],Imput[[C. Imp.]:[C. Imp.]],$D283,Imput[[PERIODO Imp.]:[PERIODO Imp.]],CM$9)</f>
        <v>0</v>
      </c>
      <c r="CN283" s="693">
        <f>SUMIFS(Imput[[Importe Neto]:[Importe Neto]],Imput[[C. Imp.]:[C. Imp.]],$D283,Imput[[PERIODO Imp.]:[PERIODO Imp.]],CN$9)</f>
        <v>0</v>
      </c>
      <c r="CO283" s="693">
        <f>SUMIFS(Imput[[Importe Neto]:[Importe Neto]],Imput[[C. Imp.]:[C. Imp.]],$D283,Imput[[PERIODO Imp.]:[PERIODO Imp.]],CO$9)</f>
        <v>0</v>
      </c>
      <c r="CP283" s="693">
        <f>SUMIFS(Imput[[Importe Neto]:[Importe Neto]],Imput[[C. Imp.]:[C. Imp.]],$D283,Imput[[PERIODO Imp.]:[PERIODO Imp.]],CP$9)</f>
        <v>0</v>
      </c>
      <c r="CQ283" s="693">
        <f>SUMIFS(Imput[[Importe Neto]:[Importe Neto]],Imput[[C. Imp.]:[C. Imp.]],$D283,Imput[[PERIODO Imp.]:[PERIODO Imp.]],CQ$9)</f>
        <v>0</v>
      </c>
      <c r="CR283" s="693">
        <f>SUMIFS(Imput[[Importe Neto]:[Importe Neto]],Imput[[C. Imp.]:[C. Imp.]],$D283,Imput[[PERIODO Imp.]:[PERIODO Imp.]],CR$9)</f>
        <v>0</v>
      </c>
      <c r="CS283" s="693">
        <f>SUMIFS(Imput[[Importe Neto]:[Importe Neto]],Imput[[C. Imp.]:[C. Imp.]],$D283,Imput[[PERIODO Imp.]:[PERIODO Imp.]],CS$9)</f>
        <v>0</v>
      </c>
      <c r="CT283" s="693">
        <f>SUMIFS(Imput[[Importe Neto]:[Importe Neto]],Imput[[C. Imp.]:[C. Imp.]],$D283,Imput[[PERIODO Imp.]:[PERIODO Imp.]],CT$9)</f>
        <v>0</v>
      </c>
      <c r="CU283" s="693">
        <f>SUMIFS(Imput[[Importe Neto]:[Importe Neto]],Imput[[C. Imp.]:[C. Imp.]],$D283,Imput[[PERIODO Imp.]:[PERIODO Imp.]],CU$9)</f>
        <v>0</v>
      </c>
      <c r="CV283" s="693">
        <f>SUMIFS(Imput[[Importe Neto]:[Importe Neto]],Imput[[C. Imp.]:[C. Imp.]],$D283,Imput[[PERIODO Imp.]:[PERIODO Imp.]],CV$9)</f>
        <v>0</v>
      </c>
      <c r="CW283" s="693">
        <f>SUMIFS(Imput[[Importe Neto]:[Importe Neto]],Imput[[C. Imp.]:[C. Imp.]],$D283,Imput[[PERIODO Imp.]:[PERIODO Imp.]],CW$9)</f>
        <v>0</v>
      </c>
      <c r="CX283" s="693">
        <f>SUMIFS(Imput[[Importe Neto]:[Importe Neto]],Imput[[C. Imp.]:[C. Imp.]],$D283,Imput[[PERIODO Imp.]:[PERIODO Imp.]],CX$9)</f>
        <v>0</v>
      </c>
      <c r="CY283" s="693">
        <f>SUMIFS(Imput[[Importe Neto]:[Importe Neto]],Imput[[C. Imp.]:[C. Imp.]],$D283,Imput[[PERIODO Imp.]:[PERIODO Imp.]],CY$9)</f>
        <v>0</v>
      </c>
      <c r="CZ283" s="693">
        <f>SUMIFS(Imput[[Importe Neto]:[Importe Neto]],Imput[[C. Imp.]:[C. Imp.]],$D283,Imput[[PERIODO Imp.]:[PERIODO Imp.]],CZ$9)</f>
        <v>0</v>
      </c>
      <c r="DA283" s="693">
        <f>SUMIFS(Imput[[Importe Neto]:[Importe Neto]],Imput[[C. Imp.]:[C. Imp.]],$D283,Imput[[PERIODO Imp.]:[PERIODO Imp.]],DA$9)</f>
        <v>0</v>
      </c>
      <c r="DB283" s="693">
        <f>SUMIFS(Imput[[Importe Neto]:[Importe Neto]],Imput[[C. Imp.]:[C. Imp.]],$D283,Imput[[PERIODO Imp.]:[PERIODO Imp.]],DB$9)</f>
        <v>0</v>
      </c>
      <c r="DC283" s="693">
        <f>SUMIFS(Imput[[Importe Neto]:[Importe Neto]],Imput[[C. Imp.]:[C. Imp.]],$D283,Imput[[PERIODO Imp.]:[PERIODO Imp.]],DC$9)</f>
        <v>0</v>
      </c>
      <c r="DD283" s="693">
        <f>SUMIFS(Imput[[Importe Neto]:[Importe Neto]],Imput[[C. Imp.]:[C. Imp.]],$D283,Imput[[PERIODO Imp.]:[PERIODO Imp.]],DD$9)</f>
        <v>0</v>
      </c>
      <c r="DE283" s="693">
        <f>SUMIFS(Imput[[Importe Neto]:[Importe Neto]],Imput[[C. Imp.]:[C. Imp.]],$D283,Imput[[PERIODO Imp.]:[PERIODO Imp.]],DE$9)</f>
        <v>0</v>
      </c>
      <c r="DF283" s="693">
        <f>SUMIFS(Imput[[Importe Neto]:[Importe Neto]],Imput[[C. Imp.]:[C. Imp.]],$D283,Imput[[PERIODO Imp.]:[PERIODO Imp.]],DF$9)</f>
        <v>0</v>
      </c>
      <c r="DG283" s="693">
        <f>SUMIFS(Imput[[Importe Neto]:[Importe Neto]],Imput[[C. Imp.]:[C. Imp.]],$D283,Imput[[PERIODO Imp.]:[PERIODO Imp.]],DG$9)</f>
        <v>0</v>
      </c>
      <c r="DH283" s="694">
        <f>SUMIFS(Imput[[Importe Neto]:[Importe Neto]],Imput[[C. Imp.]:[C. Imp.]],$D283,Imput[[PERIODO Imp.]:[PERIODO Imp.]],DH$9)</f>
        <v>0</v>
      </c>
    </row>
    <row r="284" spans="1:112" s="649" customFormat="1" hidden="1" outlineLevel="1" x14ac:dyDescent="0.3">
      <c r="A284" s="652" t="str">
        <f t="shared" si="137"/>
        <v/>
      </c>
      <c r="B284" s="652"/>
      <c r="C284" s="685"/>
      <c r="D284" s="686" t="s">
        <v>2358</v>
      </c>
      <c r="E284" s="686"/>
      <c r="F284" s="720"/>
      <c r="G284" s="688"/>
      <c r="H284" s="689"/>
      <c r="I284" s="851" t="str">
        <f t="shared" si="138"/>
        <v/>
      </c>
      <c r="J284" s="850" t="str">
        <f t="shared" si="139"/>
        <v/>
      </c>
      <c r="K284" s="678"/>
      <c r="L284" s="858"/>
      <c r="M284" s="859"/>
      <c r="N284" s="859"/>
      <c r="O284" s="859"/>
      <c r="P284" s="859"/>
      <c r="Q284" s="859"/>
      <c r="R284" s="859"/>
      <c r="S284" s="859"/>
      <c r="T284" s="859"/>
      <c r="U284" s="859"/>
      <c r="V284" s="859"/>
      <c r="W284" s="859"/>
      <c r="X284" s="859"/>
      <c r="Y284" s="859"/>
      <c r="Z284" s="860"/>
      <c r="AA284" s="860"/>
      <c r="AB284" s="860"/>
      <c r="AC284" s="860"/>
      <c r="AD284" s="860"/>
      <c r="AE284" s="860"/>
      <c r="AF284" s="860"/>
      <c r="AG284" s="860"/>
      <c r="AH284" s="860"/>
      <c r="AI284" s="860"/>
      <c r="AJ284" s="860"/>
      <c r="AK284" s="860"/>
      <c r="AL284" s="860"/>
      <c r="AM284" s="860"/>
      <c r="AN284" s="860"/>
      <c r="AO284" s="860"/>
      <c r="AP284" s="860"/>
      <c r="AQ284" s="860"/>
      <c r="AR284" s="860"/>
      <c r="AS284" s="860"/>
      <c r="AT284" s="860"/>
      <c r="AU284" s="860"/>
      <c r="AV284" s="860"/>
      <c r="AW284" s="860"/>
      <c r="AX284" s="860"/>
      <c r="AY284" s="860"/>
      <c r="AZ284" s="860"/>
      <c r="BA284" s="860"/>
      <c r="BB284" s="860"/>
      <c r="BC284" s="860"/>
      <c r="BD284" s="860"/>
      <c r="BE284" s="860"/>
      <c r="BF284" s="860"/>
      <c r="BG284" s="860"/>
      <c r="BH284" s="668"/>
      <c r="BI284" s="654"/>
      <c r="BJ284" s="690">
        <f t="shared" si="140"/>
        <v>0</v>
      </c>
      <c r="BK284" s="691">
        <f t="shared" si="141"/>
        <v>0</v>
      </c>
      <c r="BL284" s="654"/>
      <c r="BM284" s="692">
        <f>SUMIFS(Imput[[Importe Neto]:[Importe Neto]],Imput[[C. Imp.]:[C. Imp.]],$D284,Imput[[PERIODO Imp.]:[PERIODO Imp.]],BM$9)</f>
        <v>0</v>
      </c>
      <c r="BN284" s="693">
        <f>SUMIFS(Imput[[Importe Neto]:[Importe Neto]],Imput[[C. Imp.]:[C. Imp.]],$D284,Imput[[PERIODO Imp.]:[PERIODO Imp.]],BN$9)</f>
        <v>0</v>
      </c>
      <c r="BO284" s="693">
        <f>SUMIFS(Imput[[Importe Neto]:[Importe Neto]],Imput[[C. Imp.]:[C. Imp.]],$D284,Imput[[PERIODO Imp.]:[PERIODO Imp.]],BO$9)</f>
        <v>0</v>
      </c>
      <c r="BP284" s="693">
        <f>SUMIFS(Imput[[Importe Neto]:[Importe Neto]],Imput[[C. Imp.]:[C. Imp.]],$D284,Imput[[PERIODO Imp.]:[PERIODO Imp.]],BP$9)</f>
        <v>0</v>
      </c>
      <c r="BQ284" s="693">
        <f>SUMIFS(Imput[[Importe Neto]:[Importe Neto]],Imput[[C. Imp.]:[C. Imp.]],$D284,Imput[[PERIODO Imp.]:[PERIODO Imp.]],BQ$9)</f>
        <v>0</v>
      </c>
      <c r="BR284" s="693">
        <f>SUMIFS(Imput[[Importe Neto]:[Importe Neto]],Imput[[C. Imp.]:[C. Imp.]],$D284,Imput[[PERIODO Imp.]:[PERIODO Imp.]],BR$9)</f>
        <v>0</v>
      </c>
      <c r="BS284" s="693">
        <f>SUMIFS(Imput[[Importe Neto]:[Importe Neto]],Imput[[C. Imp.]:[C. Imp.]],$D284,Imput[[PERIODO Imp.]:[PERIODO Imp.]],BS$9)</f>
        <v>0</v>
      </c>
      <c r="BT284" s="693">
        <f>SUMIFS(Imput[[Importe Neto]:[Importe Neto]],Imput[[C. Imp.]:[C. Imp.]],$D284,Imput[[PERIODO Imp.]:[PERIODO Imp.]],BT$9)</f>
        <v>0</v>
      </c>
      <c r="BU284" s="693">
        <f>SUMIFS(Imput[[Importe Neto]:[Importe Neto]],Imput[[C. Imp.]:[C. Imp.]],$D284,Imput[[PERIODO Imp.]:[PERIODO Imp.]],BU$9)</f>
        <v>0</v>
      </c>
      <c r="BV284" s="693">
        <f>SUMIFS(Imput[[Importe Neto]:[Importe Neto]],Imput[[C. Imp.]:[C. Imp.]],$D284,Imput[[PERIODO Imp.]:[PERIODO Imp.]],BV$9)</f>
        <v>0</v>
      </c>
      <c r="BW284" s="693">
        <f>SUMIFS(Imput[[Importe Neto]:[Importe Neto]],Imput[[C. Imp.]:[C. Imp.]],$D284,Imput[[PERIODO Imp.]:[PERIODO Imp.]],BW$9)</f>
        <v>0</v>
      </c>
      <c r="BX284" s="693">
        <f>SUMIFS(Imput[[Importe Neto]:[Importe Neto]],Imput[[C. Imp.]:[C. Imp.]],$D284,Imput[[PERIODO Imp.]:[PERIODO Imp.]],BX$9)</f>
        <v>0</v>
      </c>
      <c r="BY284" s="693">
        <f>SUMIFS(Imput[[Importe Neto]:[Importe Neto]],Imput[[C. Imp.]:[C. Imp.]],$D284,Imput[[PERIODO Imp.]:[PERIODO Imp.]],BY$9)</f>
        <v>0</v>
      </c>
      <c r="BZ284" s="693">
        <f>SUMIFS(Imput[[Importe Neto]:[Importe Neto]],Imput[[C. Imp.]:[C. Imp.]],$D284,Imput[[PERIODO Imp.]:[PERIODO Imp.]],BZ$9)</f>
        <v>0</v>
      </c>
      <c r="CA284" s="693">
        <f>SUMIFS(Imput[[Importe Neto]:[Importe Neto]],Imput[[C. Imp.]:[C. Imp.]],$D284,Imput[[PERIODO Imp.]:[PERIODO Imp.]],CA$9)</f>
        <v>0</v>
      </c>
      <c r="CB284" s="693">
        <f>SUMIFS(Imput[[Importe Neto]:[Importe Neto]],Imput[[C. Imp.]:[C. Imp.]],$D284,Imput[[PERIODO Imp.]:[PERIODO Imp.]],CB$9)</f>
        <v>0</v>
      </c>
      <c r="CC284" s="693">
        <f>SUMIFS(Imput[[Importe Neto]:[Importe Neto]],Imput[[C. Imp.]:[C. Imp.]],$D284,Imput[[PERIODO Imp.]:[PERIODO Imp.]],CC$9)</f>
        <v>0</v>
      </c>
      <c r="CD284" s="693">
        <f>SUMIFS(Imput[[Importe Neto]:[Importe Neto]],Imput[[C. Imp.]:[C. Imp.]],$D284,Imput[[PERIODO Imp.]:[PERIODO Imp.]],CD$9)</f>
        <v>0</v>
      </c>
      <c r="CE284" s="693">
        <f>SUMIFS(Imput[[Importe Neto]:[Importe Neto]],Imput[[C. Imp.]:[C. Imp.]],$D284,Imput[[PERIODO Imp.]:[PERIODO Imp.]],CE$9)</f>
        <v>0</v>
      </c>
      <c r="CF284" s="693">
        <f>SUMIFS(Imput[[Importe Neto]:[Importe Neto]],Imput[[C. Imp.]:[C. Imp.]],$D284,Imput[[PERIODO Imp.]:[PERIODO Imp.]],CF$9)</f>
        <v>0</v>
      </c>
      <c r="CG284" s="693">
        <f>SUMIFS(Imput[[Importe Neto]:[Importe Neto]],Imput[[C. Imp.]:[C. Imp.]],$D284,Imput[[PERIODO Imp.]:[PERIODO Imp.]],CG$9)</f>
        <v>0</v>
      </c>
      <c r="CH284" s="693">
        <f>SUMIFS(Imput[[Importe Neto]:[Importe Neto]],Imput[[C. Imp.]:[C. Imp.]],$D284,Imput[[PERIODO Imp.]:[PERIODO Imp.]],CH$9)</f>
        <v>0</v>
      </c>
      <c r="CI284" s="693">
        <f>SUMIFS(Imput[[Importe Neto]:[Importe Neto]],Imput[[C. Imp.]:[C. Imp.]],$D284,Imput[[PERIODO Imp.]:[PERIODO Imp.]],CI$9)</f>
        <v>0</v>
      </c>
      <c r="CJ284" s="693">
        <f>SUMIFS(Imput[[Importe Neto]:[Importe Neto]],Imput[[C. Imp.]:[C. Imp.]],$D284,Imput[[PERIODO Imp.]:[PERIODO Imp.]],CJ$9)</f>
        <v>0</v>
      </c>
      <c r="CK284" s="693">
        <f>SUMIFS(Imput[[Importe Neto]:[Importe Neto]],Imput[[C. Imp.]:[C. Imp.]],$D284,Imput[[PERIODO Imp.]:[PERIODO Imp.]],CK$9)</f>
        <v>0</v>
      </c>
      <c r="CL284" s="693">
        <f>SUMIFS(Imput[[Importe Neto]:[Importe Neto]],Imput[[C. Imp.]:[C. Imp.]],$D284,Imput[[PERIODO Imp.]:[PERIODO Imp.]],CL$9)</f>
        <v>0</v>
      </c>
      <c r="CM284" s="693">
        <f>SUMIFS(Imput[[Importe Neto]:[Importe Neto]],Imput[[C. Imp.]:[C. Imp.]],$D284,Imput[[PERIODO Imp.]:[PERIODO Imp.]],CM$9)</f>
        <v>0</v>
      </c>
      <c r="CN284" s="693">
        <f>SUMIFS(Imput[[Importe Neto]:[Importe Neto]],Imput[[C. Imp.]:[C. Imp.]],$D284,Imput[[PERIODO Imp.]:[PERIODO Imp.]],CN$9)</f>
        <v>0</v>
      </c>
      <c r="CO284" s="693">
        <f>SUMIFS(Imput[[Importe Neto]:[Importe Neto]],Imput[[C. Imp.]:[C. Imp.]],$D284,Imput[[PERIODO Imp.]:[PERIODO Imp.]],CO$9)</f>
        <v>0</v>
      </c>
      <c r="CP284" s="693">
        <f>SUMIFS(Imput[[Importe Neto]:[Importe Neto]],Imput[[C. Imp.]:[C. Imp.]],$D284,Imput[[PERIODO Imp.]:[PERIODO Imp.]],CP$9)</f>
        <v>0</v>
      </c>
      <c r="CQ284" s="693">
        <f>SUMIFS(Imput[[Importe Neto]:[Importe Neto]],Imput[[C. Imp.]:[C. Imp.]],$D284,Imput[[PERIODO Imp.]:[PERIODO Imp.]],CQ$9)</f>
        <v>0</v>
      </c>
      <c r="CR284" s="693">
        <f>SUMIFS(Imput[[Importe Neto]:[Importe Neto]],Imput[[C. Imp.]:[C. Imp.]],$D284,Imput[[PERIODO Imp.]:[PERIODO Imp.]],CR$9)</f>
        <v>0</v>
      </c>
      <c r="CS284" s="693">
        <f>SUMIFS(Imput[[Importe Neto]:[Importe Neto]],Imput[[C. Imp.]:[C. Imp.]],$D284,Imput[[PERIODO Imp.]:[PERIODO Imp.]],CS$9)</f>
        <v>0</v>
      </c>
      <c r="CT284" s="693">
        <f>SUMIFS(Imput[[Importe Neto]:[Importe Neto]],Imput[[C. Imp.]:[C. Imp.]],$D284,Imput[[PERIODO Imp.]:[PERIODO Imp.]],CT$9)</f>
        <v>0</v>
      </c>
      <c r="CU284" s="693">
        <f>SUMIFS(Imput[[Importe Neto]:[Importe Neto]],Imput[[C. Imp.]:[C. Imp.]],$D284,Imput[[PERIODO Imp.]:[PERIODO Imp.]],CU$9)</f>
        <v>0</v>
      </c>
      <c r="CV284" s="693">
        <f>SUMIFS(Imput[[Importe Neto]:[Importe Neto]],Imput[[C. Imp.]:[C. Imp.]],$D284,Imput[[PERIODO Imp.]:[PERIODO Imp.]],CV$9)</f>
        <v>0</v>
      </c>
      <c r="CW284" s="693">
        <f>SUMIFS(Imput[[Importe Neto]:[Importe Neto]],Imput[[C. Imp.]:[C. Imp.]],$D284,Imput[[PERIODO Imp.]:[PERIODO Imp.]],CW$9)</f>
        <v>0</v>
      </c>
      <c r="CX284" s="693">
        <f>SUMIFS(Imput[[Importe Neto]:[Importe Neto]],Imput[[C. Imp.]:[C. Imp.]],$D284,Imput[[PERIODO Imp.]:[PERIODO Imp.]],CX$9)</f>
        <v>0</v>
      </c>
      <c r="CY284" s="693">
        <f>SUMIFS(Imput[[Importe Neto]:[Importe Neto]],Imput[[C. Imp.]:[C. Imp.]],$D284,Imput[[PERIODO Imp.]:[PERIODO Imp.]],CY$9)</f>
        <v>0</v>
      </c>
      <c r="CZ284" s="693">
        <f>SUMIFS(Imput[[Importe Neto]:[Importe Neto]],Imput[[C. Imp.]:[C. Imp.]],$D284,Imput[[PERIODO Imp.]:[PERIODO Imp.]],CZ$9)</f>
        <v>0</v>
      </c>
      <c r="DA284" s="693">
        <f>SUMIFS(Imput[[Importe Neto]:[Importe Neto]],Imput[[C. Imp.]:[C. Imp.]],$D284,Imput[[PERIODO Imp.]:[PERIODO Imp.]],DA$9)</f>
        <v>0</v>
      </c>
      <c r="DB284" s="693">
        <f>SUMIFS(Imput[[Importe Neto]:[Importe Neto]],Imput[[C. Imp.]:[C. Imp.]],$D284,Imput[[PERIODO Imp.]:[PERIODO Imp.]],DB$9)</f>
        <v>0</v>
      </c>
      <c r="DC284" s="693">
        <f>SUMIFS(Imput[[Importe Neto]:[Importe Neto]],Imput[[C. Imp.]:[C. Imp.]],$D284,Imput[[PERIODO Imp.]:[PERIODO Imp.]],DC$9)</f>
        <v>0</v>
      </c>
      <c r="DD284" s="693">
        <f>SUMIFS(Imput[[Importe Neto]:[Importe Neto]],Imput[[C. Imp.]:[C. Imp.]],$D284,Imput[[PERIODO Imp.]:[PERIODO Imp.]],DD$9)</f>
        <v>0</v>
      </c>
      <c r="DE284" s="693">
        <f>SUMIFS(Imput[[Importe Neto]:[Importe Neto]],Imput[[C. Imp.]:[C. Imp.]],$D284,Imput[[PERIODO Imp.]:[PERIODO Imp.]],DE$9)</f>
        <v>0</v>
      </c>
      <c r="DF284" s="693">
        <f>SUMIFS(Imput[[Importe Neto]:[Importe Neto]],Imput[[C. Imp.]:[C. Imp.]],$D284,Imput[[PERIODO Imp.]:[PERIODO Imp.]],DF$9)</f>
        <v>0</v>
      </c>
      <c r="DG284" s="693">
        <f>SUMIFS(Imput[[Importe Neto]:[Importe Neto]],Imput[[C. Imp.]:[C. Imp.]],$D284,Imput[[PERIODO Imp.]:[PERIODO Imp.]],DG$9)</f>
        <v>0</v>
      </c>
      <c r="DH284" s="694">
        <f>SUMIFS(Imput[[Importe Neto]:[Importe Neto]],Imput[[C. Imp.]:[C. Imp.]],$D284,Imput[[PERIODO Imp.]:[PERIODO Imp.]],DH$9)</f>
        <v>0</v>
      </c>
    </row>
    <row r="285" spans="1:112" s="649" customFormat="1" hidden="1" outlineLevel="1" x14ac:dyDescent="0.3">
      <c r="A285" s="652" t="str">
        <f t="shared" si="137"/>
        <v/>
      </c>
      <c r="B285" s="652"/>
      <c r="C285" s="685"/>
      <c r="D285" s="686" t="s">
        <v>2359</v>
      </c>
      <c r="E285" s="686"/>
      <c r="F285" s="720"/>
      <c r="G285" s="688"/>
      <c r="H285" s="689"/>
      <c r="I285" s="851" t="str">
        <f t="shared" si="138"/>
        <v/>
      </c>
      <c r="J285" s="850" t="str">
        <f t="shared" si="139"/>
        <v/>
      </c>
      <c r="K285" s="667"/>
      <c r="L285" s="858"/>
      <c r="M285" s="859"/>
      <c r="N285" s="859"/>
      <c r="O285" s="859"/>
      <c r="P285" s="859"/>
      <c r="Q285" s="859"/>
      <c r="R285" s="859"/>
      <c r="S285" s="859"/>
      <c r="T285" s="859"/>
      <c r="U285" s="859"/>
      <c r="V285" s="859"/>
      <c r="W285" s="859"/>
      <c r="X285" s="859"/>
      <c r="Y285" s="859"/>
      <c r="Z285" s="860"/>
      <c r="AA285" s="860"/>
      <c r="AB285" s="860"/>
      <c r="AC285" s="860"/>
      <c r="AD285" s="860"/>
      <c r="AE285" s="860"/>
      <c r="AF285" s="860"/>
      <c r="AG285" s="860"/>
      <c r="AH285" s="860"/>
      <c r="AI285" s="860"/>
      <c r="AJ285" s="860"/>
      <c r="AK285" s="860"/>
      <c r="AL285" s="860"/>
      <c r="AM285" s="860"/>
      <c r="AN285" s="860"/>
      <c r="AO285" s="860"/>
      <c r="AP285" s="860"/>
      <c r="AQ285" s="860"/>
      <c r="AR285" s="860"/>
      <c r="AS285" s="860"/>
      <c r="AT285" s="860"/>
      <c r="AU285" s="860"/>
      <c r="AV285" s="860"/>
      <c r="AW285" s="860"/>
      <c r="AX285" s="860"/>
      <c r="AY285" s="860"/>
      <c r="AZ285" s="860"/>
      <c r="BA285" s="860"/>
      <c r="BB285" s="860"/>
      <c r="BC285" s="860"/>
      <c r="BD285" s="860"/>
      <c r="BE285" s="860"/>
      <c r="BF285" s="860"/>
      <c r="BG285" s="860"/>
      <c r="BH285" s="668"/>
      <c r="BI285" s="667"/>
      <c r="BJ285" s="690">
        <f t="shared" si="140"/>
        <v>0</v>
      </c>
      <c r="BK285" s="691">
        <f t="shared" si="141"/>
        <v>0</v>
      </c>
      <c r="BL285" s="654"/>
      <c r="BM285" s="692">
        <f>SUMIFS(Imput[[Importe Neto]:[Importe Neto]],Imput[[C. Imp.]:[C. Imp.]],$D285,Imput[[PERIODO Imp.]:[PERIODO Imp.]],BM$9)</f>
        <v>0</v>
      </c>
      <c r="BN285" s="693">
        <f>SUMIFS(Imput[[Importe Neto]:[Importe Neto]],Imput[[C. Imp.]:[C. Imp.]],$D285,Imput[[PERIODO Imp.]:[PERIODO Imp.]],BN$9)</f>
        <v>0</v>
      </c>
      <c r="BO285" s="693">
        <f>SUMIFS(Imput[[Importe Neto]:[Importe Neto]],Imput[[C. Imp.]:[C. Imp.]],$D285,Imput[[PERIODO Imp.]:[PERIODO Imp.]],BO$9)</f>
        <v>0</v>
      </c>
      <c r="BP285" s="693">
        <f>SUMIFS(Imput[[Importe Neto]:[Importe Neto]],Imput[[C. Imp.]:[C. Imp.]],$D285,Imput[[PERIODO Imp.]:[PERIODO Imp.]],BP$9)</f>
        <v>0</v>
      </c>
      <c r="BQ285" s="693">
        <f>SUMIFS(Imput[[Importe Neto]:[Importe Neto]],Imput[[C. Imp.]:[C. Imp.]],$D285,Imput[[PERIODO Imp.]:[PERIODO Imp.]],BQ$9)</f>
        <v>0</v>
      </c>
      <c r="BR285" s="693">
        <f>SUMIFS(Imput[[Importe Neto]:[Importe Neto]],Imput[[C. Imp.]:[C. Imp.]],$D285,Imput[[PERIODO Imp.]:[PERIODO Imp.]],BR$9)</f>
        <v>0</v>
      </c>
      <c r="BS285" s="693">
        <f>SUMIFS(Imput[[Importe Neto]:[Importe Neto]],Imput[[C. Imp.]:[C. Imp.]],$D285,Imput[[PERIODO Imp.]:[PERIODO Imp.]],BS$9)</f>
        <v>0</v>
      </c>
      <c r="BT285" s="693">
        <f>SUMIFS(Imput[[Importe Neto]:[Importe Neto]],Imput[[C. Imp.]:[C. Imp.]],$D285,Imput[[PERIODO Imp.]:[PERIODO Imp.]],BT$9)</f>
        <v>0</v>
      </c>
      <c r="BU285" s="693">
        <f>SUMIFS(Imput[[Importe Neto]:[Importe Neto]],Imput[[C. Imp.]:[C. Imp.]],$D285,Imput[[PERIODO Imp.]:[PERIODO Imp.]],BU$9)</f>
        <v>0</v>
      </c>
      <c r="BV285" s="693">
        <f>SUMIFS(Imput[[Importe Neto]:[Importe Neto]],Imput[[C. Imp.]:[C. Imp.]],$D285,Imput[[PERIODO Imp.]:[PERIODO Imp.]],BV$9)</f>
        <v>0</v>
      </c>
      <c r="BW285" s="693">
        <f>SUMIFS(Imput[[Importe Neto]:[Importe Neto]],Imput[[C. Imp.]:[C. Imp.]],$D285,Imput[[PERIODO Imp.]:[PERIODO Imp.]],BW$9)</f>
        <v>0</v>
      </c>
      <c r="BX285" s="693">
        <f>SUMIFS(Imput[[Importe Neto]:[Importe Neto]],Imput[[C. Imp.]:[C. Imp.]],$D285,Imput[[PERIODO Imp.]:[PERIODO Imp.]],BX$9)</f>
        <v>0</v>
      </c>
      <c r="BY285" s="693">
        <f>SUMIFS(Imput[[Importe Neto]:[Importe Neto]],Imput[[C. Imp.]:[C. Imp.]],$D285,Imput[[PERIODO Imp.]:[PERIODO Imp.]],BY$9)</f>
        <v>0</v>
      </c>
      <c r="BZ285" s="693">
        <f>SUMIFS(Imput[[Importe Neto]:[Importe Neto]],Imput[[C. Imp.]:[C. Imp.]],$D285,Imput[[PERIODO Imp.]:[PERIODO Imp.]],BZ$9)</f>
        <v>0</v>
      </c>
      <c r="CA285" s="693">
        <f>SUMIFS(Imput[[Importe Neto]:[Importe Neto]],Imput[[C. Imp.]:[C. Imp.]],$D285,Imput[[PERIODO Imp.]:[PERIODO Imp.]],CA$9)</f>
        <v>0</v>
      </c>
      <c r="CB285" s="693">
        <f>SUMIFS(Imput[[Importe Neto]:[Importe Neto]],Imput[[C. Imp.]:[C. Imp.]],$D285,Imput[[PERIODO Imp.]:[PERIODO Imp.]],CB$9)</f>
        <v>0</v>
      </c>
      <c r="CC285" s="693">
        <f>SUMIFS(Imput[[Importe Neto]:[Importe Neto]],Imput[[C. Imp.]:[C. Imp.]],$D285,Imput[[PERIODO Imp.]:[PERIODO Imp.]],CC$9)</f>
        <v>0</v>
      </c>
      <c r="CD285" s="693">
        <f>SUMIFS(Imput[[Importe Neto]:[Importe Neto]],Imput[[C. Imp.]:[C. Imp.]],$D285,Imput[[PERIODO Imp.]:[PERIODO Imp.]],CD$9)</f>
        <v>0</v>
      </c>
      <c r="CE285" s="693">
        <f>SUMIFS(Imput[[Importe Neto]:[Importe Neto]],Imput[[C. Imp.]:[C. Imp.]],$D285,Imput[[PERIODO Imp.]:[PERIODO Imp.]],CE$9)</f>
        <v>0</v>
      </c>
      <c r="CF285" s="693">
        <f>SUMIFS(Imput[[Importe Neto]:[Importe Neto]],Imput[[C. Imp.]:[C. Imp.]],$D285,Imput[[PERIODO Imp.]:[PERIODO Imp.]],CF$9)</f>
        <v>0</v>
      </c>
      <c r="CG285" s="693">
        <f>SUMIFS(Imput[[Importe Neto]:[Importe Neto]],Imput[[C. Imp.]:[C. Imp.]],$D285,Imput[[PERIODO Imp.]:[PERIODO Imp.]],CG$9)</f>
        <v>0</v>
      </c>
      <c r="CH285" s="693">
        <f>SUMIFS(Imput[[Importe Neto]:[Importe Neto]],Imput[[C. Imp.]:[C. Imp.]],$D285,Imput[[PERIODO Imp.]:[PERIODO Imp.]],CH$9)</f>
        <v>0</v>
      </c>
      <c r="CI285" s="693">
        <f>SUMIFS(Imput[[Importe Neto]:[Importe Neto]],Imput[[C. Imp.]:[C. Imp.]],$D285,Imput[[PERIODO Imp.]:[PERIODO Imp.]],CI$9)</f>
        <v>0</v>
      </c>
      <c r="CJ285" s="693">
        <f>SUMIFS(Imput[[Importe Neto]:[Importe Neto]],Imput[[C. Imp.]:[C. Imp.]],$D285,Imput[[PERIODO Imp.]:[PERIODO Imp.]],CJ$9)</f>
        <v>0</v>
      </c>
      <c r="CK285" s="693">
        <f>SUMIFS(Imput[[Importe Neto]:[Importe Neto]],Imput[[C. Imp.]:[C. Imp.]],$D285,Imput[[PERIODO Imp.]:[PERIODO Imp.]],CK$9)</f>
        <v>0</v>
      </c>
      <c r="CL285" s="693">
        <f>SUMIFS(Imput[[Importe Neto]:[Importe Neto]],Imput[[C. Imp.]:[C. Imp.]],$D285,Imput[[PERIODO Imp.]:[PERIODO Imp.]],CL$9)</f>
        <v>0</v>
      </c>
      <c r="CM285" s="693">
        <f>SUMIFS(Imput[[Importe Neto]:[Importe Neto]],Imput[[C. Imp.]:[C. Imp.]],$D285,Imput[[PERIODO Imp.]:[PERIODO Imp.]],CM$9)</f>
        <v>0</v>
      </c>
      <c r="CN285" s="693">
        <f>SUMIFS(Imput[[Importe Neto]:[Importe Neto]],Imput[[C. Imp.]:[C. Imp.]],$D285,Imput[[PERIODO Imp.]:[PERIODO Imp.]],CN$9)</f>
        <v>0</v>
      </c>
      <c r="CO285" s="693">
        <f>SUMIFS(Imput[[Importe Neto]:[Importe Neto]],Imput[[C. Imp.]:[C. Imp.]],$D285,Imput[[PERIODO Imp.]:[PERIODO Imp.]],CO$9)</f>
        <v>0</v>
      </c>
      <c r="CP285" s="693">
        <f>SUMIFS(Imput[[Importe Neto]:[Importe Neto]],Imput[[C. Imp.]:[C. Imp.]],$D285,Imput[[PERIODO Imp.]:[PERIODO Imp.]],CP$9)</f>
        <v>0</v>
      </c>
      <c r="CQ285" s="693">
        <f>SUMIFS(Imput[[Importe Neto]:[Importe Neto]],Imput[[C. Imp.]:[C. Imp.]],$D285,Imput[[PERIODO Imp.]:[PERIODO Imp.]],CQ$9)</f>
        <v>0</v>
      </c>
      <c r="CR285" s="693">
        <f>SUMIFS(Imput[[Importe Neto]:[Importe Neto]],Imput[[C. Imp.]:[C. Imp.]],$D285,Imput[[PERIODO Imp.]:[PERIODO Imp.]],CR$9)</f>
        <v>0</v>
      </c>
      <c r="CS285" s="693">
        <f>SUMIFS(Imput[[Importe Neto]:[Importe Neto]],Imput[[C. Imp.]:[C. Imp.]],$D285,Imput[[PERIODO Imp.]:[PERIODO Imp.]],CS$9)</f>
        <v>0</v>
      </c>
      <c r="CT285" s="693">
        <f>SUMIFS(Imput[[Importe Neto]:[Importe Neto]],Imput[[C. Imp.]:[C. Imp.]],$D285,Imput[[PERIODO Imp.]:[PERIODO Imp.]],CT$9)</f>
        <v>0</v>
      </c>
      <c r="CU285" s="693">
        <f>SUMIFS(Imput[[Importe Neto]:[Importe Neto]],Imput[[C. Imp.]:[C. Imp.]],$D285,Imput[[PERIODO Imp.]:[PERIODO Imp.]],CU$9)</f>
        <v>0</v>
      </c>
      <c r="CV285" s="693">
        <f>SUMIFS(Imput[[Importe Neto]:[Importe Neto]],Imput[[C. Imp.]:[C. Imp.]],$D285,Imput[[PERIODO Imp.]:[PERIODO Imp.]],CV$9)</f>
        <v>0</v>
      </c>
      <c r="CW285" s="693">
        <f>SUMIFS(Imput[[Importe Neto]:[Importe Neto]],Imput[[C. Imp.]:[C. Imp.]],$D285,Imput[[PERIODO Imp.]:[PERIODO Imp.]],CW$9)</f>
        <v>0</v>
      </c>
      <c r="CX285" s="693">
        <f>SUMIFS(Imput[[Importe Neto]:[Importe Neto]],Imput[[C. Imp.]:[C. Imp.]],$D285,Imput[[PERIODO Imp.]:[PERIODO Imp.]],CX$9)</f>
        <v>0</v>
      </c>
      <c r="CY285" s="693">
        <f>SUMIFS(Imput[[Importe Neto]:[Importe Neto]],Imput[[C. Imp.]:[C. Imp.]],$D285,Imput[[PERIODO Imp.]:[PERIODO Imp.]],CY$9)</f>
        <v>0</v>
      </c>
      <c r="CZ285" s="693">
        <f>SUMIFS(Imput[[Importe Neto]:[Importe Neto]],Imput[[C. Imp.]:[C. Imp.]],$D285,Imput[[PERIODO Imp.]:[PERIODO Imp.]],CZ$9)</f>
        <v>0</v>
      </c>
      <c r="DA285" s="693">
        <f>SUMIFS(Imput[[Importe Neto]:[Importe Neto]],Imput[[C. Imp.]:[C. Imp.]],$D285,Imput[[PERIODO Imp.]:[PERIODO Imp.]],DA$9)</f>
        <v>0</v>
      </c>
      <c r="DB285" s="693">
        <f>SUMIFS(Imput[[Importe Neto]:[Importe Neto]],Imput[[C. Imp.]:[C. Imp.]],$D285,Imput[[PERIODO Imp.]:[PERIODO Imp.]],DB$9)</f>
        <v>0</v>
      </c>
      <c r="DC285" s="693">
        <f>SUMIFS(Imput[[Importe Neto]:[Importe Neto]],Imput[[C. Imp.]:[C. Imp.]],$D285,Imput[[PERIODO Imp.]:[PERIODO Imp.]],DC$9)</f>
        <v>0</v>
      </c>
      <c r="DD285" s="693">
        <f>SUMIFS(Imput[[Importe Neto]:[Importe Neto]],Imput[[C. Imp.]:[C. Imp.]],$D285,Imput[[PERIODO Imp.]:[PERIODO Imp.]],DD$9)</f>
        <v>0</v>
      </c>
      <c r="DE285" s="693">
        <f>SUMIFS(Imput[[Importe Neto]:[Importe Neto]],Imput[[C. Imp.]:[C. Imp.]],$D285,Imput[[PERIODO Imp.]:[PERIODO Imp.]],DE$9)</f>
        <v>0</v>
      </c>
      <c r="DF285" s="693">
        <f>SUMIFS(Imput[[Importe Neto]:[Importe Neto]],Imput[[C. Imp.]:[C. Imp.]],$D285,Imput[[PERIODO Imp.]:[PERIODO Imp.]],DF$9)</f>
        <v>0</v>
      </c>
      <c r="DG285" s="693">
        <f>SUMIFS(Imput[[Importe Neto]:[Importe Neto]],Imput[[C. Imp.]:[C. Imp.]],$D285,Imput[[PERIODO Imp.]:[PERIODO Imp.]],DG$9)</f>
        <v>0</v>
      </c>
      <c r="DH285" s="694">
        <f>SUMIFS(Imput[[Importe Neto]:[Importe Neto]],Imput[[C. Imp.]:[C. Imp.]],$D285,Imput[[PERIODO Imp.]:[PERIODO Imp.]],DH$9)</f>
        <v>0</v>
      </c>
    </row>
    <row r="286" spans="1:112" s="649" customFormat="1" hidden="1" outlineLevel="1" x14ac:dyDescent="0.3">
      <c r="A286" s="652" t="str">
        <f t="shared" si="137"/>
        <v/>
      </c>
      <c r="B286" s="652"/>
      <c r="C286" s="685"/>
      <c r="D286" s="686" t="s">
        <v>2360</v>
      </c>
      <c r="E286" s="686"/>
      <c r="F286" s="720"/>
      <c r="G286" s="688"/>
      <c r="H286" s="689"/>
      <c r="I286" s="851" t="str">
        <f t="shared" si="138"/>
        <v/>
      </c>
      <c r="J286" s="850" t="str">
        <f t="shared" si="139"/>
        <v/>
      </c>
      <c r="K286" s="667"/>
      <c r="L286" s="858"/>
      <c r="M286" s="859"/>
      <c r="N286" s="859"/>
      <c r="O286" s="859"/>
      <c r="P286" s="859"/>
      <c r="Q286" s="859"/>
      <c r="R286" s="859"/>
      <c r="S286" s="859"/>
      <c r="T286" s="859"/>
      <c r="U286" s="859"/>
      <c r="V286" s="859"/>
      <c r="W286" s="859"/>
      <c r="X286" s="859"/>
      <c r="Y286" s="859"/>
      <c r="Z286" s="860"/>
      <c r="AA286" s="860"/>
      <c r="AB286" s="860"/>
      <c r="AC286" s="860"/>
      <c r="AD286" s="860"/>
      <c r="AE286" s="860"/>
      <c r="AF286" s="860"/>
      <c r="AG286" s="860"/>
      <c r="AH286" s="860"/>
      <c r="AI286" s="860"/>
      <c r="AJ286" s="860"/>
      <c r="AK286" s="860"/>
      <c r="AL286" s="860"/>
      <c r="AM286" s="860"/>
      <c r="AN286" s="860"/>
      <c r="AO286" s="860"/>
      <c r="AP286" s="860"/>
      <c r="AQ286" s="860"/>
      <c r="AR286" s="860"/>
      <c r="AS286" s="860"/>
      <c r="AT286" s="860"/>
      <c r="AU286" s="860"/>
      <c r="AV286" s="860"/>
      <c r="AW286" s="860"/>
      <c r="AX286" s="860"/>
      <c r="AY286" s="860"/>
      <c r="AZ286" s="860"/>
      <c r="BA286" s="860"/>
      <c r="BB286" s="860"/>
      <c r="BC286" s="860"/>
      <c r="BD286" s="860"/>
      <c r="BE286" s="860"/>
      <c r="BF286" s="860"/>
      <c r="BG286" s="860"/>
      <c r="BH286" s="668"/>
      <c r="BI286" s="667"/>
      <c r="BJ286" s="690">
        <f t="shared" si="140"/>
        <v>0</v>
      </c>
      <c r="BK286" s="691">
        <f t="shared" si="141"/>
        <v>0</v>
      </c>
      <c r="BL286" s="654"/>
      <c r="BM286" s="692">
        <f>SUMIFS(Imput[[Importe Neto]:[Importe Neto]],Imput[[C. Imp.]:[C. Imp.]],$D286,Imput[[PERIODO Imp.]:[PERIODO Imp.]],BM$9)</f>
        <v>0</v>
      </c>
      <c r="BN286" s="693">
        <f>SUMIFS(Imput[[Importe Neto]:[Importe Neto]],Imput[[C. Imp.]:[C. Imp.]],$D286,Imput[[PERIODO Imp.]:[PERIODO Imp.]],BN$9)</f>
        <v>0</v>
      </c>
      <c r="BO286" s="693">
        <f>SUMIFS(Imput[[Importe Neto]:[Importe Neto]],Imput[[C. Imp.]:[C. Imp.]],$D286,Imput[[PERIODO Imp.]:[PERIODO Imp.]],BO$9)</f>
        <v>0</v>
      </c>
      <c r="BP286" s="693">
        <f>SUMIFS(Imput[[Importe Neto]:[Importe Neto]],Imput[[C. Imp.]:[C. Imp.]],$D286,Imput[[PERIODO Imp.]:[PERIODO Imp.]],BP$9)</f>
        <v>0</v>
      </c>
      <c r="BQ286" s="693">
        <f>SUMIFS(Imput[[Importe Neto]:[Importe Neto]],Imput[[C. Imp.]:[C. Imp.]],$D286,Imput[[PERIODO Imp.]:[PERIODO Imp.]],BQ$9)</f>
        <v>0</v>
      </c>
      <c r="BR286" s="693">
        <f>SUMIFS(Imput[[Importe Neto]:[Importe Neto]],Imput[[C. Imp.]:[C. Imp.]],$D286,Imput[[PERIODO Imp.]:[PERIODO Imp.]],BR$9)</f>
        <v>0</v>
      </c>
      <c r="BS286" s="693">
        <f>SUMIFS(Imput[[Importe Neto]:[Importe Neto]],Imput[[C. Imp.]:[C. Imp.]],$D286,Imput[[PERIODO Imp.]:[PERIODO Imp.]],BS$9)</f>
        <v>0</v>
      </c>
      <c r="BT286" s="693">
        <f>SUMIFS(Imput[[Importe Neto]:[Importe Neto]],Imput[[C. Imp.]:[C. Imp.]],$D286,Imput[[PERIODO Imp.]:[PERIODO Imp.]],BT$9)</f>
        <v>0</v>
      </c>
      <c r="BU286" s="693">
        <f>SUMIFS(Imput[[Importe Neto]:[Importe Neto]],Imput[[C. Imp.]:[C. Imp.]],$D286,Imput[[PERIODO Imp.]:[PERIODO Imp.]],BU$9)</f>
        <v>0</v>
      </c>
      <c r="BV286" s="693">
        <f>SUMIFS(Imput[[Importe Neto]:[Importe Neto]],Imput[[C. Imp.]:[C. Imp.]],$D286,Imput[[PERIODO Imp.]:[PERIODO Imp.]],BV$9)</f>
        <v>0</v>
      </c>
      <c r="BW286" s="693">
        <f>SUMIFS(Imput[[Importe Neto]:[Importe Neto]],Imput[[C. Imp.]:[C. Imp.]],$D286,Imput[[PERIODO Imp.]:[PERIODO Imp.]],BW$9)</f>
        <v>0</v>
      </c>
      <c r="BX286" s="693">
        <f>SUMIFS(Imput[[Importe Neto]:[Importe Neto]],Imput[[C. Imp.]:[C. Imp.]],$D286,Imput[[PERIODO Imp.]:[PERIODO Imp.]],BX$9)</f>
        <v>0</v>
      </c>
      <c r="BY286" s="693">
        <f>SUMIFS(Imput[[Importe Neto]:[Importe Neto]],Imput[[C. Imp.]:[C. Imp.]],$D286,Imput[[PERIODO Imp.]:[PERIODO Imp.]],BY$9)</f>
        <v>0</v>
      </c>
      <c r="BZ286" s="693">
        <f>SUMIFS(Imput[[Importe Neto]:[Importe Neto]],Imput[[C. Imp.]:[C. Imp.]],$D286,Imput[[PERIODO Imp.]:[PERIODO Imp.]],BZ$9)</f>
        <v>0</v>
      </c>
      <c r="CA286" s="693">
        <f>SUMIFS(Imput[[Importe Neto]:[Importe Neto]],Imput[[C. Imp.]:[C. Imp.]],$D286,Imput[[PERIODO Imp.]:[PERIODO Imp.]],CA$9)</f>
        <v>0</v>
      </c>
      <c r="CB286" s="693">
        <f>SUMIFS(Imput[[Importe Neto]:[Importe Neto]],Imput[[C. Imp.]:[C. Imp.]],$D286,Imput[[PERIODO Imp.]:[PERIODO Imp.]],CB$9)</f>
        <v>0</v>
      </c>
      <c r="CC286" s="693">
        <f>SUMIFS(Imput[[Importe Neto]:[Importe Neto]],Imput[[C. Imp.]:[C. Imp.]],$D286,Imput[[PERIODO Imp.]:[PERIODO Imp.]],CC$9)</f>
        <v>0</v>
      </c>
      <c r="CD286" s="693">
        <f>SUMIFS(Imput[[Importe Neto]:[Importe Neto]],Imput[[C. Imp.]:[C. Imp.]],$D286,Imput[[PERIODO Imp.]:[PERIODO Imp.]],CD$9)</f>
        <v>0</v>
      </c>
      <c r="CE286" s="693">
        <f>SUMIFS(Imput[[Importe Neto]:[Importe Neto]],Imput[[C. Imp.]:[C. Imp.]],$D286,Imput[[PERIODO Imp.]:[PERIODO Imp.]],CE$9)</f>
        <v>0</v>
      </c>
      <c r="CF286" s="693">
        <f>SUMIFS(Imput[[Importe Neto]:[Importe Neto]],Imput[[C. Imp.]:[C. Imp.]],$D286,Imput[[PERIODO Imp.]:[PERIODO Imp.]],CF$9)</f>
        <v>0</v>
      </c>
      <c r="CG286" s="693">
        <f>SUMIFS(Imput[[Importe Neto]:[Importe Neto]],Imput[[C. Imp.]:[C. Imp.]],$D286,Imput[[PERIODO Imp.]:[PERIODO Imp.]],CG$9)</f>
        <v>0</v>
      </c>
      <c r="CH286" s="693">
        <f>SUMIFS(Imput[[Importe Neto]:[Importe Neto]],Imput[[C. Imp.]:[C. Imp.]],$D286,Imput[[PERIODO Imp.]:[PERIODO Imp.]],CH$9)</f>
        <v>0</v>
      </c>
      <c r="CI286" s="693">
        <f>SUMIFS(Imput[[Importe Neto]:[Importe Neto]],Imput[[C. Imp.]:[C. Imp.]],$D286,Imput[[PERIODO Imp.]:[PERIODO Imp.]],CI$9)</f>
        <v>0</v>
      </c>
      <c r="CJ286" s="693">
        <f>SUMIFS(Imput[[Importe Neto]:[Importe Neto]],Imput[[C. Imp.]:[C. Imp.]],$D286,Imput[[PERIODO Imp.]:[PERIODO Imp.]],CJ$9)</f>
        <v>0</v>
      </c>
      <c r="CK286" s="693">
        <f>SUMIFS(Imput[[Importe Neto]:[Importe Neto]],Imput[[C. Imp.]:[C. Imp.]],$D286,Imput[[PERIODO Imp.]:[PERIODO Imp.]],CK$9)</f>
        <v>0</v>
      </c>
      <c r="CL286" s="693">
        <f>SUMIFS(Imput[[Importe Neto]:[Importe Neto]],Imput[[C. Imp.]:[C. Imp.]],$D286,Imput[[PERIODO Imp.]:[PERIODO Imp.]],CL$9)</f>
        <v>0</v>
      </c>
      <c r="CM286" s="693">
        <f>SUMIFS(Imput[[Importe Neto]:[Importe Neto]],Imput[[C. Imp.]:[C. Imp.]],$D286,Imput[[PERIODO Imp.]:[PERIODO Imp.]],CM$9)</f>
        <v>0</v>
      </c>
      <c r="CN286" s="693">
        <f>SUMIFS(Imput[[Importe Neto]:[Importe Neto]],Imput[[C. Imp.]:[C. Imp.]],$D286,Imput[[PERIODO Imp.]:[PERIODO Imp.]],CN$9)</f>
        <v>0</v>
      </c>
      <c r="CO286" s="693">
        <f>SUMIFS(Imput[[Importe Neto]:[Importe Neto]],Imput[[C. Imp.]:[C. Imp.]],$D286,Imput[[PERIODO Imp.]:[PERIODO Imp.]],CO$9)</f>
        <v>0</v>
      </c>
      <c r="CP286" s="693">
        <f>SUMIFS(Imput[[Importe Neto]:[Importe Neto]],Imput[[C. Imp.]:[C. Imp.]],$D286,Imput[[PERIODO Imp.]:[PERIODO Imp.]],CP$9)</f>
        <v>0</v>
      </c>
      <c r="CQ286" s="693">
        <f>SUMIFS(Imput[[Importe Neto]:[Importe Neto]],Imput[[C. Imp.]:[C. Imp.]],$D286,Imput[[PERIODO Imp.]:[PERIODO Imp.]],CQ$9)</f>
        <v>0</v>
      </c>
      <c r="CR286" s="693">
        <f>SUMIFS(Imput[[Importe Neto]:[Importe Neto]],Imput[[C. Imp.]:[C. Imp.]],$D286,Imput[[PERIODO Imp.]:[PERIODO Imp.]],CR$9)</f>
        <v>0</v>
      </c>
      <c r="CS286" s="693">
        <f>SUMIFS(Imput[[Importe Neto]:[Importe Neto]],Imput[[C. Imp.]:[C. Imp.]],$D286,Imput[[PERIODO Imp.]:[PERIODO Imp.]],CS$9)</f>
        <v>0</v>
      </c>
      <c r="CT286" s="693">
        <f>SUMIFS(Imput[[Importe Neto]:[Importe Neto]],Imput[[C. Imp.]:[C. Imp.]],$D286,Imput[[PERIODO Imp.]:[PERIODO Imp.]],CT$9)</f>
        <v>0</v>
      </c>
      <c r="CU286" s="693">
        <f>SUMIFS(Imput[[Importe Neto]:[Importe Neto]],Imput[[C. Imp.]:[C. Imp.]],$D286,Imput[[PERIODO Imp.]:[PERIODO Imp.]],CU$9)</f>
        <v>0</v>
      </c>
      <c r="CV286" s="693">
        <f>SUMIFS(Imput[[Importe Neto]:[Importe Neto]],Imput[[C. Imp.]:[C. Imp.]],$D286,Imput[[PERIODO Imp.]:[PERIODO Imp.]],CV$9)</f>
        <v>0</v>
      </c>
      <c r="CW286" s="693">
        <f>SUMIFS(Imput[[Importe Neto]:[Importe Neto]],Imput[[C. Imp.]:[C. Imp.]],$D286,Imput[[PERIODO Imp.]:[PERIODO Imp.]],CW$9)</f>
        <v>0</v>
      </c>
      <c r="CX286" s="693">
        <f>SUMIFS(Imput[[Importe Neto]:[Importe Neto]],Imput[[C. Imp.]:[C. Imp.]],$D286,Imput[[PERIODO Imp.]:[PERIODO Imp.]],CX$9)</f>
        <v>0</v>
      </c>
      <c r="CY286" s="693">
        <f>SUMIFS(Imput[[Importe Neto]:[Importe Neto]],Imput[[C. Imp.]:[C. Imp.]],$D286,Imput[[PERIODO Imp.]:[PERIODO Imp.]],CY$9)</f>
        <v>0</v>
      </c>
      <c r="CZ286" s="693">
        <f>SUMIFS(Imput[[Importe Neto]:[Importe Neto]],Imput[[C. Imp.]:[C. Imp.]],$D286,Imput[[PERIODO Imp.]:[PERIODO Imp.]],CZ$9)</f>
        <v>0</v>
      </c>
      <c r="DA286" s="693">
        <f>SUMIFS(Imput[[Importe Neto]:[Importe Neto]],Imput[[C. Imp.]:[C. Imp.]],$D286,Imput[[PERIODO Imp.]:[PERIODO Imp.]],DA$9)</f>
        <v>0</v>
      </c>
      <c r="DB286" s="693">
        <f>SUMIFS(Imput[[Importe Neto]:[Importe Neto]],Imput[[C. Imp.]:[C. Imp.]],$D286,Imput[[PERIODO Imp.]:[PERIODO Imp.]],DB$9)</f>
        <v>0</v>
      </c>
      <c r="DC286" s="693">
        <f>SUMIFS(Imput[[Importe Neto]:[Importe Neto]],Imput[[C. Imp.]:[C. Imp.]],$D286,Imput[[PERIODO Imp.]:[PERIODO Imp.]],DC$9)</f>
        <v>0</v>
      </c>
      <c r="DD286" s="693">
        <f>SUMIFS(Imput[[Importe Neto]:[Importe Neto]],Imput[[C. Imp.]:[C. Imp.]],$D286,Imput[[PERIODO Imp.]:[PERIODO Imp.]],DD$9)</f>
        <v>0</v>
      </c>
      <c r="DE286" s="693">
        <f>SUMIFS(Imput[[Importe Neto]:[Importe Neto]],Imput[[C. Imp.]:[C. Imp.]],$D286,Imput[[PERIODO Imp.]:[PERIODO Imp.]],DE$9)</f>
        <v>0</v>
      </c>
      <c r="DF286" s="693">
        <f>SUMIFS(Imput[[Importe Neto]:[Importe Neto]],Imput[[C. Imp.]:[C. Imp.]],$D286,Imput[[PERIODO Imp.]:[PERIODO Imp.]],DF$9)</f>
        <v>0</v>
      </c>
      <c r="DG286" s="693">
        <f>SUMIFS(Imput[[Importe Neto]:[Importe Neto]],Imput[[C. Imp.]:[C. Imp.]],$D286,Imput[[PERIODO Imp.]:[PERIODO Imp.]],DG$9)</f>
        <v>0</v>
      </c>
      <c r="DH286" s="694">
        <f>SUMIFS(Imput[[Importe Neto]:[Importe Neto]],Imput[[C. Imp.]:[C. Imp.]],$D286,Imput[[PERIODO Imp.]:[PERIODO Imp.]],DH$9)</f>
        <v>0</v>
      </c>
    </row>
    <row r="287" spans="1:112" s="649" customFormat="1" hidden="1" outlineLevel="1" x14ac:dyDescent="0.3">
      <c r="A287" s="652" t="str">
        <f t="shared" si="137"/>
        <v/>
      </c>
      <c r="B287" s="652"/>
      <c r="C287" s="685"/>
      <c r="D287" s="686" t="s">
        <v>2361</v>
      </c>
      <c r="E287" s="686"/>
      <c r="F287" s="720"/>
      <c r="G287" s="688"/>
      <c r="H287" s="689"/>
      <c r="I287" s="851" t="str">
        <f t="shared" si="138"/>
        <v/>
      </c>
      <c r="J287" s="850" t="str">
        <f t="shared" si="139"/>
        <v/>
      </c>
      <c r="K287" s="667"/>
      <c r="L287" s="858"/>
      <c r="M287" s="859"/>
      <c r="N287" s="859"/>
      <c r="O287" s="859"/>
      <c r="P287" s="859"/>
      <c r="Q287" s="859"/>
      <c r="R287" s="859"/>
      <c r="S287" s="859"/>
      <c r="T287" s="859"/>
      <c r="U287" s="859"/>
      <c r="V287" s="859"/>
      <c r="W287" s="859"/>
      <c r="X287" s="859"/>
      <c r="Y287" s="859"/>
      <c r="Z287" s="860"/>
      <c r="AA287" s="860"/>
      <c r="AB287" s="860"/>
      <c r="AC287" s="860"/>
      <c r="AD287" s="860"/>
      <c r="AE287" s="860"/>
      <c r="AF287" s="860"/>
      <c r="AG287" s="860"/>
      <c r="AH287" s="860"/>
      <c r="AI287" s="860"/>
      <c r="AJ287" s="860"/>
      <c r="AK287" s="860"/>
      <c r="AL287" s="860"/>
      <c r="AM287" s="860"/>
      <c r="AN287" s="860"/>
      <c r="AO287" s="860"/>
      <c r="AP287" s="860"/>
      <c r="AQ287" s="860"/>
      <c r="AR287" s="860"/>
      <c r="AS287" s="860"/>
      <c r="AT287" s="860"/>
      <c r="AU287" s="860"/>
      <c r="AV287" s="860"/>
      <c r="AW287" s="860"/>
      <c r="AX287" s="860"/>
      <c r="AY287" s="860"/>
      <c r="AZ287" s="860"/>
      <c r="BA287" s="860"/>
      <c r="BB287" s="860"/>
      <c r="BC287" s="860"/>
      <c r="BD287" s="860"/>
      <c r="BE287" s="860"/>
      <c r="BF287" s="860"/>
      <c r="BG287" s="860"/>
      <c r="BH287" s="668"/>
      <c r="BI287" s="667"/>
      <c r="BJ287" s="690">
        <f t="shared" si="140"/>
        <v>0</v>
      </c>
      <c r="BK287" s="691">
        <f t="shared" si="141"/>
        <v>0</v>
      </c>
      <c r="BL287" s="654"/>
      <c r="BM287" s="692">
        <f>SUMIFS(Imput[[Importe Neto]:[Importe Neto]],Imput[[C. Imp.]:[C. Imp.]],$D287,Imput[[PERIODO Imp.]:[PERIODO Imp.]],BM$9)</f>
        <v>0</v>
      </c>
      <c r="BN287" s="693">
        <f>SUMIFS(Imput[[Importe Neto]:[Importe Neto]],Imput[[C. Imp.]:[C. Imp.]],$D287,Imput[[PERIODO Imp.]:[PERIODO Imp.]],BN$9)</f>
        <v>0</v>
      </c>
      <c r="BO287" s="693">
        <f>SUMIFS(Imput[[Importe Neto]:[Importe Neto]],Imput[[C. Imp.]:[C. Imp.]],$D287,Imput[[PERIODO Imp.]:[PERIODO Imp.]],BO$9)</f>
        <v>0</v>
      </c>
      <c r="BP287" s="693">
        <f>SUMIFS(Imput[[Importe Neto]:[Importe Neto]],Imput[[C. Imp.]:[C. Imp.]],$D287,Imput[[PERIODO Imp.]:[PERIODO Imp.]],BP$9)</f>
        <v>0</v>
      </c>
      <c r="BQ287" s="693">
        <f>SUMIFS(Imput[[Importe Neto]:[Importe Neto]],Imput[[C. Imp.]:[C. Imp.]],$D287,Imput[[PERIODO Imp.]:[PERIODO Imp.]],BQ$9)</f>
        <v>0</v>
      </c>
      <c r="BR287" s="693">
        <f>SUMIFS(Imput[[Importe Neto]:[Importe Neto]],Imput[[C. Imp.]:[C. Imp.]],$D287,Imput[[PERIODO Imp.]:[PERIODO Imp.]],BR$9)</f>
        <v>0</v>
      </c>
      <c r="BS287" s="693">
        <f>SUMIFS(Imput[[Importe Neto]:[Importe Neto]],Imput[[C. Imp.]:[C. Imp.]],$D287,Imput[[PERIODO Imp.]:[PERIODO Imp.]],BS$9)</f>
        <v>0</v>
      </c>
      <c r="BT287" s="693">
        <f>SUMIFS(Imput[[Importe Neto]:[Importe Neto]],Imput[[C. Imp.]:[C. Imp.]],$D287,Imput[[PERIODO Imp.]:[PERIODO Imp.]],BT$9)</f>
        <v>0</v>
      </c>
      <c r="BU287" s="693">
        <f>SUMIFS(Imput[[Importe Neto]:[Importe Neto]],Imput[[C. Imp.]:[C. Imp.]],$D287,Imput[[PERIODO Imp.]:[PERIODO Imp.]],BU$9)</f>
        <v>0</v>
      </c>
      <c r="BV287" s="693">
        <f>SUMIFS(Imput[[Importe Neto]:[Importe Neto]],Imput[[C. Imp.]:[C. Imp.]],$D287,Imput[[PERIODO Imp.]:[PERIODO Imp.]],BV$9)</f>
        <v>0</v>
      </c>
      <c r="BW287" s="693">
        <f>SUMIFS(Imput[[Importe Neto]:[Importe Neto]],Imput[[C. Imp.]:[C. Imp.]],$D287,Imput[[PERIODO Imp.]:[PERIODO Imp.]],BW$9)</f>
        <v>0</v>
      </c>
      <c r="BX287" s="693">
        <f>SUMIFS(Imput[[Importe Neto]:[Importe Neto]],Imput[[C. Imp.]:[C. Imp.]],$D287,Imput[[PERIODO Imp.]:[PERIODO Imp.]],BX$9)</f>
        <v>0</v>
      </c>
      <c r="BY287" s="693">
        <f>SUMIFS(Imput[[Importe Neto]:[Importe Neto]],Imput[[C. Imp.]:[C. Imp.]],$D287,Imput[[PERIODO Imp.]:[PERIODO Imp.]],BY$9)</f>
        <v>0</v>
      </c>
      <c r="BZ287" s="693">
        <f>SUMIFS(Imput[[Importe Neto]:[Importe Neto]],Imput[[C. Imp.]:[C. Imp.]],$D287,Imput[[PERIODO Imp.]:[PERIODO Imp.]],BZ$9)</f>
        <v>0</v>
      </c>
      <c r="CA287" s="693">
        <f>SUMIFS(Imput[[Importe Neto]:[Importe Neto]],Imput[[C. Imp.]:[C. Imp.]],$D287,Imput[[PERIODO Imp.]:[PERIODO Imp.]],CA$9)</f>
        <v>0</v>
      </c>
      <c r="CB287" s="693">
        <f>SUMIFS(Imput[[Importe Neto]:[Importe Neto]],Imput[[C. Imp.]:[C. Imp.]],$D287,Imput[[PERIODO Imp.]:[PERIODO Imp.]],CB$9)</f>
        <v>0</v>
      </c>
      <c r="CC287" s="693">
        <f>SUMIFS(Imput[[Importe Neto]:[Importe Neto]],Imput[[C. Imp.]:[C. Imp.]],$D287,Imput[[PERIODO Imp.]:[PERIODO Imp.]],CC$9)</f>
        <v>0</v>
      </c>
      <c r="CD287" s="693">
        <f>SUMIFS(Imput[[Importe Neto]:[Importe Neto]],Imput[[C. Imp.]:[C. Imp.]],$D287,Imput[[PERIODO Imp.]:[PERIODO Imp.]],CD$9)</f>
        <v>0</v>
      </c>
      <c r="CE287" s="693">
        <f>SUMIFS(Imput[[Importe Neto]:[Importe Neto]],Imput[[C. Imp.]:[C. Imp.]],$D287,Imput[[PERIODO Imp.]:[PERIODO Imp.]],CE$9)</f>
        <v>0</v>
      </c>
      <c r="CF287" s="693">
        <f>SUMIFS(Imput[[Importe Neto]:[Importe Neto]],Imput[[C. Imp.]:[C. Imp.]],$D287,Imput[[PERIODO Imp.]:[PERIODO Imp.]],CF$9)</f>
        <v>0</v>
      </c>
      <c r="CG287" s="693">
        <f>SUMIFS(Imput[[Importe Neto]:[Importe Neto]],Imput[[C. Imp.]:[C. Imp.]],$D287,Imput[[PERIODO Imp.]:[PERIODO Imp.]],CG$9)</f>
        <v>0</v>
      </c>
      <c r="CH287" s="693">
        <f>SUMIFS(Imput[[Importe Neto]:[Importe Neto]],Imput[[C. Imp.]:[C. Imp.]],$D287,Imput[[PERIODO Imp.]:[PERIODO Imp.]],CH$9)</f>
        <v>0</v>
      </c>
      <c r="CI287" s="693">
        <f>SUMIFS(Imput[[Importe Neto]:[Importe Neto]],Imput[[C. Imp.]:[C. Imp.]],$D287,Imput[[PERIODO Imp.]:[PERIODO Imp.]],CI$9)</f>
        <v>0</v>
      </c>
      <c r="CJ287" s="693">
        <f>SUMIFS(Imput[[Importe Neto]:[Importe Neto]],Imput[[C. Imp.]:[C. Imp.]],$D287,Imput[[PERIODO Imp.]:[PERIODO Imp.]],CJ$9)</f>
        <v>0</v>
      </c>
      <c r="CK287" s="693">
        <f>SUMIFS(Imput[[Importe Neto]:[Importe Neto]],Imput[[C. Imp.]:[C. Imp.]],$D287,Imput[[PERIODO Imp.]:[PERIODO Imp.]],CK$9)</f>
        <v>0</v>
      </c>
      <c r="CL287" s="693">
        <f>SUMIFS(Imput[[Importe Neto]:[Importe Neto]],Imput[[C. Imp.]:[C. Imp.]],$D287,Imput[[PERIODO Imp.]:[PERIODO Imp.]],CL$9)</f>
        <v>0</v>
      </c>
      <c r="CM287" s="693">
        <f>SUMIFS(Imput[[Importe Neto]:[Importe Neto]],Imput[[C. Imp.]:[C. Imp.]],$D287,Imput[[PERIODO Imp.]:[PERIODO Imp.]],CM$9)</f>
        <v>0</v>
      </c>
      <c r="CN287" s="693">
        <f>SUMIFS(Imput[[Importe Neto]:[Importe Neto]],Imput[[C. Imp.]:[C. Imp.]],$D287,Imput[[PERIODO Imp.]:[PERIODO Imp.]],CN$9)</f>
        <v>0</v>
      </c>
      <c r="CO287" s="693">
        <f>SUMIFS(Imput[[Importe Neto]:[Importe Neto]],Imput[[C. Imp.]:[C. Imp.]],$D287,Imput[[PERIODO Imp.]:[PERIODO Imp.]],CO$9)</f>
        <v>0</v>
      </c>
      <c r="CP287" s="693">
        <f>SUMIFS(Imput[[Importe Neto]:[Importe Neto]],Imput[[C. Imp.]:[C. Imp.]],$D287,Imput[[PERIODO Imp.]:[PERIODO Imp.]],CP$9)</f>
        <v>0</v>
      </c>
      <c r="CQ287" s="693">
        <f>SUMIFS(Imput[[Importe Neto]:[Importe Neto]],Imput[[C. Imp.]:[C. Imp.]],$D287,Imput[[PERIODO Imp.]:[PERIODO Imp.]],CQ$9)</f>
        <v>0</v>
      </c>
      <c r="CR287" s="693">
        <f>SUMIFS(Imput[[Importe Neto]:[Importe Neto]],Imput[[C. Imp.]:[C. Imp.]],$D287,Imput[[PERIODO Imp.]:[PERIODO Imp.]],CR$9)</f>
        <v>0</v>
      </c>
      <c r="CS287" s="693">
        <f>SUMIFS(Imput[[Importe Neto]:[Importe Neto]],Imput[[C. Imp.]:[C. Imp.]],$D287,Imput[[PERIODO Imp.]:[PERIODO Imp.]],CS$9)</f>
        <v>0</v>
      </c>
      <c r="CT287" s="693">
        <f>SUMIFS(Imput[[Importe Neto]:[Importe Neto]],Imput[[C. Imp.]:[C. Imp.]],$D287,Imput[[PERIODO Imp.]:[PERIODO Imp.]],CT$9)</f>
        <v>0</v>
      </c>
      <c r="CU287" s="693">
        <f>SUMIFS(Imput[[Importe Neto]:[Importe Neto]],Imput[[C. Imp.]:[C. Imp.]],$D287,Imput[[PERIODO Imp.]:[PERIODO Imp.]],CU$9)</f>
        <v>0</v>
      </c>
      <c r="CV287" s="693">
        <f>SUMIFS(Imput[[Importe Neto]:[Importe Neto]],Imput[[C. Imp.]:[C. Imp.]],$D287,Imput[[PERIODO Imp.]:[PERIODO Imp.]],CV$9)</f>
        <v>0</v>
      </c>
      <c r="CW287" s="693">
        <f>SUMIFS(Imput[[Importe Neto]:[Importe Neto]],Imput[[C. Imp.]:[C. Imp.]],$D287,Imput[[PERIODO Imp.]:[PERIODO Imp.]],CW$9)</f>
        <v>0</v>
      </c>
      <c r="CX287" s="693">
        <f>SUMIFS(Imput[[Importe Neto]:[Importe Neto]],Imput[[C. Imp.]:[C. Imp.]],$D287,Imput[[PERIODO Imp.]:[PERIODO Imp.]],CX$9)</f>
        <v>0</v>
      </c>
      <c r="CY287" s="693">
        <f>SUMIFS(Imput[[Importe Neto]:[Importe Neto]],Imput[[C. Imp.]:[C. Imp.]],$D287,Imput[[PERIODO Imp.]:[PERIODO Imp.]],CY$9)</f>
        <v>0</v>
      </c>
      <c r="CZ287" s="693">
        <f>SUMIFS(Imput[[Importe Neto]:[Importe Neto]],Imput[[C. Imp.]:[C. Imp.]],$D287,Imput[[PERIODO Imp.]:[PERIODO Imp.]],CZ$9)</f>
        <v>0</v>
      </c>
      <c r="DA287" s="693">
        <f>SUMIFS(Imput[[Importe Neto]:[Importe Neto]],Imput[[C. Imp.]:[C. Imp.]],$D287,Imput[[PERIODO Imp.]:[PERIODO Imp.]],DA$9)</f>
        <v>0</v>
      </c>
      <c r="DB287" s="693">
        <f>SUMIFS(Imput[[Importe Neto]:[Importe Neto]],Imput[[C. Imp.]:[C. Imp.]],$D287,Imput[[PERIODO Imp.]:[PERIODO Imp.]],DB$9)</f>
        <v>0</v>
      </c>
      <c r="DC287" s="693">
        <f>SUMIFS(Imput[[Importe Neto]:[Importe Neto]],Imput[[C. Imp.]:[C. Imp.]],$D287,Imput[[PERIODO Imp.]:[PERIODO Imp.]],DC$9)</f>
        <v>0</v>
      </c>
      <c r="DD287" s="693">
        <f>SUMIFS(Imput[[Importe Neto]:[Importe Neto]],Imput[[C. Imp.]:[C. Imp.]],$D287,Imput[[PERIODO Imp.]:[PERIODO Imp.]],DD$9)</f>
        <v>0</v>
      </c>
      <c r="DE287" s="693">
        <f>SUMIFS(Imput[[Importe Neto]:[Importe Neto]],Imput[[C. Imp.]:[C. Imp.]],$D287,Imput[[PERIODO Imp.]:[PERIODO Imp.]],DE$9)</f>
        <v>0</v>
      </c>
      <c r="DF287" s="693">
        <f>SUMIFS(Imput[[Importe Neto]:[Importe Neto]],Imput[[C. Imp.]:[C. Imp.]],$D287,Imput[[PERIODO Imp.]:[PERIODO Imp.]],DF$9)</f>
        <v>0</v>
      </c>
      <c r="DG287" s="693">
        <f>SUMIFS(Imput[[Importe Neto]:[Importe Neto]],Imput[[C. Imp.]:[C. Imp.]],$D287,Imput[[PERIODO Imp.]:[PERIODO Imp.]],DG$9)</f>
        <v>0</v>
      </c>
      <c r="DH287" s="694">
        <f>SUMIFS(Imput[[Importe Neto]:[Importe Neto]],Imput[[C. Imp.]:[C. Imp.]],$D287,Imput[[PERIODO Imp.]:[PERIODO Imp.]],DH$9)</f>
        <v>0</v>
      </c>
    </row>
    <row r="288" spans="1:112" s="649" customFormat="1" hidden="1" outlineLevel="1" x14ac:dyDescent="0.3">
      <c r="A288" s="652" t="str">
        <f t="shared" si="137"/>
        <v/>
      </c>
      <c r="B288" s="652"/>
      <c r="C288" s="685"/>
      <c r="D288" s="686" t="s">
        <v>2362</v>
      </c>
      <c r="E288" s="686"/>
      <c r="F288" s="720"/>
      <c r="G288" s="688"/>
      <c r="H288" s="689"/>
      <c r="I288" s="851" t="str">
        <f t="shared" si="138"/>
        <v/>
      </c>
      <c r="J288" s="850" t="str">
        <f t="shared" si="139"/>
        <v/>
      </c>
      <c r="K288" s="667"/>
      <c r="L288" s="858"/>
      <c r="M288" s="859"/>
      <c r="N288" s="859"/>
      <c r="O288" s="859"/>
      <c r="P288" s="859"/>
      <c r="Q288" s="859"/>
      <c r="R288" s="859"/>
      <c r="S288" s="859"/>
      <c r="T288" s="859"/>
      <c r="U288" s="859"/>
      <c r="V288" s="859"/>
      <c r="W288" s="859"/>
      <c r="X288" s="859"/>
      <c r="Y288" s="859"/>
      <c r="Z288" s="860"/>
      <c r="AA288" s="860"/>
      <c r="AB288" s="860"/>
      <c r="AC288" s="860"/>
      <c r="AD288" s="860"/>
      <c r="AE288" s="860"/>
      <c r="AF288" s="860"/>
      <c r="AG288" s="860"/>
      <c r="AH288" s="860"/>
      <c r="AI288" s="860"/>
      <c r="AJ288" s="860"/>
      <c r="AK288" s="860"/>
      <c r="AL288" s="860"/>
      <c r="AM288" s="860"/>
      <c r="AN288" s="860"/>
      <c r="AO288" s="860"/>
      <c r="AP288" s="860"/>
      <c r="AQ288" s="860"/>
      <c r="AR288" s="860"/>
      <c r="AS288" s="860"/>
      <c r="AT288" s="860"/>
      <c r="AU288" s="860"/>
      <c r="AV288" s="860"/>
      <c r="AW288" s="860"/>
      <c r="AX288" s="860"/>
      <c r="AY288" s="860"/>
      <c r="AZ288" s="860"/>
      <c r="BA288" s="860"/>
      <c r="BB288" s="860"/>
      <c r="BC288" s="860"/>
      <c r="BD288" s="860"/>
      <c r="BE288" s="860"/>
      <c r="BF288" s="860"/>
      <c r="BG288" s="860"/>
      <c r="BH288" s="668"/>
      <c r="BI288" s="667"/>
      <c r="BJ288" s="690">
        <f t="shared" si="140"/>
        <v>0</v>
      </c>
      <c r="BK288" s="691">
        <f t="shared" si="141"/>
        <v>0</v>
      </c>
      <c r="BL288" s="654"/>
      <c r="BM288" s="692">
        <f>SUMIFS(Imput[[Importe Neto]:[Importe Neto]],Imput[[C. Imp.]:[C. Imp.]],$D288,Imput[[PERIODO Imp.]:[PERIODO Imp.]],BM$9)</f>
        <v>0</v>
      </c>
      <c r="BN288" s="693">
        <f>SUMIFS(Imput[[Importe Neto]:[Importe Neto]],Imput[[C. Imp.]:[C. Imp.]],$D288,Imput[[PERIODO Imp.]:[PERIODO Imp.]],BN$9)</f>
        <v>0</v>
      </c>
      <c r="BO288" s="693">
        <f>SUMIFS(Imput[[Importe Neto]:[Importe Neto]],Imput[[C. Imp.]:[C. Imp.]],$D288,Imput[[PERIODO Imp.]:[PERIODO Imp.]],BO$9)</f>
        <v>0</v>
      </c>
      <c r="BP288" s="693">
        <f>SUMIFS(Imput[[Importe Neto]:[Importe Neto]],Imput[[C. Imp.]:[C. Imp.]],$D288,Imput[[PERIODO Imp.]:[PERIODO Imp.]],BP$9)</f>
        <v>0</v>
      </c>
      <c r="BQ288" s="693">
        <f>SUMIFS(Imput[[Importe Neto]:[Importe Neto]],Imput[[C. Imp.]:[C. Imp.]],$D288,Imput[[PERIODO Imp.]:[PERIODO Imp.]],BQ$9)</f>
        <v>0</v>
      </c>
      <c r="BR288" s="693">
        <f>SUMIFS(Imput[[Importe Neto]:[Importe Neto]],Imput[[C. Imp.]:[C. Imp.]],$D288,Imput[[PERIODO Imp.]:[PERIODO Imp.]],BR$9)</f>
        <v>0</v>
      </c>
      <c r="BS288" s="693">
        <f>SUMIFS(Imput[[Importe Neto]:[Importe Neto]],Imput[[C. Imp.]:[C. Imp.]],$D288,Imput[[PERIODO Imp.]:[PERIODO Imp.]],BS$9)</f>
        <v>0</v>
      </c>
      <c r="BT288" s="693">
        <f>SUMIFS(Imput[[Importe Neto]:[Importe Neto]],Imput[[C. Imp.]:[C. Imp.]],$D288,Imput[[PERIODO Imp.]:[PERIODO Imp.]],BT$9)</f>
        <v>0</v>
      </c>
      <c r="BU288" s="693">
        <f>SUMIFS(Imput[[Importe Neto]:[Importe Neto]],Imput[[C. Imp.]:[C. Imp.]],$D288,Imput[[PERIODO Imp.]:[PERIODO Imp.]],BU$9)</f>
        <v>0</v>
      </c>
      <c r="BV288" s="693">
        <f>SUMIFS(Imput[[Importe Neto]:[Importe Neto]],Imput[[C. Imp.]:[C. Imp.]],$D288,Imput[[PERIODO Imp.]:[PERIODO Imp.]],BV$9)</f>
        <v>0</v>
      </c>
      <c r="BW288" s="693">
        <f>SUMIFS(Imput[[Importe Neto]:[Importe Neto]],Imput[[C. Imp.]:[C. Imp.]],$D288,Imput[[PERIODO Imp.]:[PERIODO Imp.]],BW$9)</f>
        <v>0</v>
      </c>
      <c r="BX288" s="693">
        <f>SUMIFS(Imput[[Importe Neto]:[Importe Neto]],Imput[[C. Imp.]:[C. Imp.]],$D288,Imput[[PERIODO Imp.]:[PERIODO Imp.]],BX$9)</f>
        <v>0</v>
      </c>
      <c r="BY288" s="693">
        <f>SUMIFS(Imput[[Importe Neto]:[Importe Neto]],Imput[[C. Imp.]:[C. Imp.]],$D288,Imput[[PERIODO Imp.]:[PERIODO Imp.]],BY$9)</f>
        <v>0</v>
      </c>
      <c r="BZ288" s="693">
        <f>SUMIFS(Imput[[Importe Neto]:[Importe Neto]],Imput[[C. Imp.]:[C. Imp.]],$D288,Imput[[PERIODO Imp.]:[PERIODO Imp.]],BZ$9)</f>
        <v>0</v>
      </c>
      <c r="CA288" s="693">
        <f>SUMIFS(Imput[[Importe Neto]:[Importe Neto]],Imput[[C. Imp.]:[C. Imp.]],$D288,Imput[[PERIODO Imp.]:[PERIODO Imp.]],CA$9)</f>
        <v>0</v>
      </c>
      <c r="CB288" s="693">
        <f>SUMIFS(Imput[[Importe Neto]:[Importe Neto]],Imput[[C. Imp.]:[C. Imp.]],$D288,Imput[[PERIODO Imp.]:[PERIODO Imp.]],CB$9)</f>
        <v>0</v>
      </c>
      <c r="CC288" s="693">
        <f>SUMIFS(Imput[[Importe Neto]:[Importe Neto]],Imput[[C. Imp.]:[C. Imp.]],$D288,Imput[[PERIODO Imp.]:[PERIODO Imp.]],CC$9)</f>
        <v>0</v>
      </c>
      <c r="CD288" s="693">
        <f>SUMIFS(Imput[[Importe Neto]:[Importe Neto]],Imput[[C. Imp.]:[C. Imp.]],$D288,Imput[[PERIODO Imp.]:[PERIODO Imp.]],CD$9)</f>
        <v>0</v>
      </c>
      <c r="CE288" s="693">
        <f>SUMIFS(Imput[[Importe Neto]:[Importe Neto]],Imput[[C. Imp.]:[C. Imp.]],$D288,Imput[[PERIODO Imp.]:[PERIODO Imp.]],CE$9)</f>
        <v>0</v>
      </c>
      <c r="CF288" s="693">
        <f>SUMIFS(Imput[[Importe Neto]:[Importe Neto]],Imput[[C. Imp.]:[C. Imp.]],$D288,Imput[[PERIODO Imp.]:[PERIODO Imp.]],CF$9)</f>
        <v>0</v>
      </c>
      <c r="CG288" s="693">
        <f>SUMIFS(Imput[[Importe Neto]:[Importe Neto]],Imput[[C. Imp.]:[C. Imp.]],$D288,Imput[[PERIODO Imp.]:[PERIODO Imp.]],CG$9)</f>
        <v>0</v>
      </c>
      <c r="CH288" s="693">
        <f>SUMIFS(Imput[[Importe Neto]:[Importe Neto]],Imput[[C. Imp.]:[C. Imp.]],$D288,Imput[[PERIODO Imp.]:[PERIODO Imp.]],CH$9)</f>
        <v>0</v>
      </c>
      <c r="CI288" s="693">
        <f>SUMIFS(Imput[[Importe Neto]:[Importe Neto]],Imput[[C. Imp.]:[C. Imp.]],$D288,Imput[[PERIODO Imp.]:[PERIODO Imp.]],CI$9)</f>
        <v>0</v>
      </c>
      <c r="CJ288" s="693">
        <f>SUMIFS(Imput[[Importe Neto]:[Importe Neto]],Imput[[C. Imp.]:[C. Imp.]],$D288,Imput[[PERIODO Imp.]:[PERIODO Imp.]],CJ$9)</f>
        <v>0</v>
      </c>
      <c r="CK288" s="693">
        <f>SUMIFS(Imput[[Importe Neto]:[Importe Neto]],Imput[[C. Imp.]:[C. Imp.]],$D288,Imput[[PERIODO Imp.]:[PERIODO Imp.]],CK$9)</f>
        <v>0</v>
      </c>
      <c r="CL288" s="693">
        <f>SUMIFS(Imput[[Importe Neto]:[Importe Neto]],Imput[[C. Imp.]:[C. Imp.]],$D288,Imput[[PERIODO Imp.]:[PERIODO Imp.]],CL$9)</f>
        <v>0</v>
      </c>
      <c r="CM288" s="693">
        <f>SUMIFS(Imput[[Importe Neto]:[Importe Neto]],Imput[[C. Imp.]:[C. Imp.]],$D288,Imput[[PERIODO Imp.]:[PERIODO Imp.]],CM$9)</f>
        <v>0</v>
      </c>
      <c r="CN288" s="693">
        <f>SUMIFS(Imput[[Importe Neto]:[Importe Neto]],Imput[[C. Imp.]:[C. Imp.]],$D288,Imput[[PERIODO Imp.]:[PERIODO Imp.]],CN$9)</f>
        <v>0</v>
      </c>
      <c r="CO288" s="693">
        <f>SUMIFS(Imput[[Importe Neto]:[Importe Neto]],Imput[[C. Imp.]:[C. Imp.]],$D288,Imput[[PERIODO Imp.]:[PERIODO Imp.]],CO$9)</f>
        <v>0</v>
      </c>
      <c r="CP288" s="693">
        <f>SUMIFS(Imput[[Importe Neto]:[Importe Neto]],Imput[[C. Imp.]:[C. Imp.]],$D288,Imput[[PERIODO Imp.]:[PERIODO Imp.]],CP$9)</f>
        <v>0</v>
      </c>
      <c r="CQ288" s="693">
        <f>SUMIFS(Imput[[Importe Neto]:[Importe Neto]],Imput[[C. Imp.]:[C. Imp.]],$D288,Imput[[PERIODO Imp.]:[PERIODO Imp.]],CQ$9)</f>
        <v>0</v>
      </c>
      <c r="CR288" s="693">
        <f>SUMIFS(Imput[[Importe Neto]:[Importe Neto]],Imput[[C. Imp.]:[C. Imp.]],$D288,Imput[[PERIODO Imp.]:[PERIODO Imp.]],CR$9)</f>
        <v>0</v>
      </c>
      <c r="CS288" s="693">
        <f>SUMIFS(Imput[[Importe Neto]:[Importe Neto]],Imput[[C. Imp.]:[C. Imp.]],$D288,Imput[[PERIODO Imp.]:[PERIODO Imp.]],CS$9)</f>
        <v>0</v>
      </c>
      <c r="CT288" s="693">
        <f>SUMIFS(Imput[[Importe Neto]:[Importe Neto]],Imput[[C. Imp.]:[C. Imp.]],$D288,Imput[[PERIODO Imp.]:[PERIODO Imp.]],CT$9)</f>
        <v>0</v>
      </c>
      <c r="CU288" s="693">
        <f>SUMIFS(Imput[[Importe Neto]:[Importe Neto]],Imput[[C. Imp.]:[C. Imp.]],$D288,Imput[[PERIODO Imp.]:[PERIODO Imp.]],CU$9)</f>
        <v>0</v>
      </c>
      <c r="CV288" s="693">
        <f>SUMIFS(Imput[[Importe Neto]:[Importe Neto]],Imput[[C. Imp.]:[C. Imp.]],$D288,Imput[[PERIODO Imp.]:[PERIODO Imp.]],CV$9)</f>
        <v>0</v>
      </c>
      <c r="CW288" s="693">
        <f>SUMIFS(Imput[[Importe Neto]:[Importe Neto]],Imput[[C. Imp.]:[C. Imp.]],$D288,Imput[[PERIODO Imp.]:[PERIODO Imp.]],CW$9)</f>
        <v>0</v>
      </c>
      <c r="CX288" s="693">
        <f>SUMIFS(Imput[[Importe Neto]:[Importe Neto]],Imput[[C. Imp.]:[C. Imp.]],$D288,Imput[[PERIODO Imp.]:[PERIODO Imp.]],CX$9)</f>
        <v>0</v>
      </c>
      <c r="CY288" s="693">
        <f>SUMIFS(Imput[[Importe Neto]:[Importe Neto]],Imput[[C. Imp.]:[C. Imp.]],$D288,Imput[[PERIODO Imp.]:[PERIODO Imp.]],CY$9)</f>
        <v>0</v>
      </c>
      <c r="CZ288" s="693">
        <f>SUMIFS(Imput[[Importe Neto]:[Importe Neto]],Imput[[C. Imp.]:[C. Imp.]],$D288,Imput[[PERIODO Imp.]:[PERIODO Imp.]],CZ$9)</f>
        <v>0</v>
      </c>
      <c r="DA288" s="693">
        <f>SUMIFS(Imput[[Importe Neto]:[Importe Neto]],Imput[[C. Imp.]:[C. Imp.]],$D288,Imput[[PERIODO Imp.]:[PERIODO Imp.]],DA$9)</f>
        <v>0</v>
      </c>
      <c r="DB288" s="693">
        <f>SUMIFS(Imput[[Importe Neto]:[Importe Neto]],Imput[[C. Imp.]:[C. Imp.]],$D288,Imput[[PERIODO Imp.]:[PERIODO Imp.]],DB$9)</f>
        <v>0</v>
      </c>
      <c r="DC288" s="693">
        <f>SUMIFS(Imput[[Importe Neto]:[Importe Neto]],Imput[[C. Imp.]:[C. Imp.]],$D288,Imput[[PERIODO Imp.]:[PERIODO Imp.]],DC$9)</f>
        <v>0</v>
      </c>
      <c r="DD288" s="693">
        <f>SUMIFS(Imput[[Importe Neto]:[Importe Neto]],Imput[[C. Imp.]:[C. Imp.]],$D288,Imput[[PERIODO Imp.]:[PERIODO Imp.]],DD$9)</f>
        <v>0</v>
      </c>
      <c r="DE288" s="693">
        <f>SUMIFS(Imput[[Importe Neto]:[Importe Neto]],Imput[[C. Imp.]:[C. Imp.]],$D288,Imput[[PERIODO Imp.]:[PERIODO Imp.]],DE$9)</f>
        <v>0</v>
      </c>
      <c r="DF288" s="693">
        <f>SUMIFS(Imput[[Importe Neto]:[Importe Neto]],Imput[[C. Imp.]:[C. Imp.]],$D288,Imput[[PERIODO Imp.]:[PERIODO Imp.]],DF$9)</f>
        <v>0</v>
      </c>
      <c r="DG288" s="693">
        <f>SUMIFS(Imput[[Importe Neto]:[Importe Neto]],Imput[[C. Imp.]:[C. Imp.]],$D288,Imput[[PERIODO Imp.]:[PERIODO Imp.]],DG$9)</f>
        <v>0</v>
      </c>
      <c r="DH288" s="694">
        <f>SUMIFS(Imput[[Importe Neto]:[Importe Neto]],Imput[[C. Imp.]:[C. Imp.]],$D288,Imput[[PERIODO Imp.]:[PERIODO Imp.]],DH$9)</f>
        <v>0</v>
      </c>
    </row>
    <row r="289" spans="1:112" s="649" customFormat="1" hidden="1" outlineLevel="1" x14ac:dyDescent="0.3">
      <c r="A289" s="652" t="str">
        <f t="shared" si="137"/>
        <v/>
      </c>
      <c r="B289" s="652"/>
      <c r="C289" s="685"/>
      <c r="D289" s="686" t="s">
        <v>2363</v>
      </c>
      <c r="E289" s="686"/>
      <c r="F289" s="720"/>
      <c r="G289" s="688"/>
      <c r="H289" s="689"/>
      <c r="I289" s="851" t="str">
        <f t="shared" si="138"/>
        <v/>
      </c>
      <c r="J289" s="850" t="str">
        <f t="shared" si="139"/>
        <v/>
      </c>
      <c r="K289" s="667"/>
      <c r="L289" s="858"/>
      <c r="M289" s="859"/>
      <c r="N289" s="859"/>
      <c r="O289" s="859"/>
      <c r="P289" s="859"/>
      <c r="Q289" s="859"/>
      <c r="R289" s="859"/>
      <c r="S289" s="859"/>
      <c r="T289" s="859"/>
      <c r="U289" s="859"/>
      <c r="V289" s="859"/>
      <c r="W289" s="859"/>
      <c r="X289" s="859"/>
      <c r="Y289" s="859"/>
      <c r="Z289" s="860"/>
      <c r="AA289" s="860"/>
      <c r="AB289" s="860"/>
      <c r="AC289" s="860"/>
      <c r="AD289" s="860"/>
      <c r="AE289" s="860"/>
      <c r="AF289" s="860"/>
      <c r="AG289" s="860"/>
      <c r="AH289" s="860"/>
      <c r="AI289" s="860"/>
      <c r="AJ289" s="860"/>
      <c r="AK289" s="860"/>
      <c r="AL289" s="860"/>
      <c r="AM289" s="860"/>
      <c r="AN289" s="860"/>
      <c r="AO289" s="860"/>
      <c r="AP289" s="860"/>
      <c r="AQ289" s="860"/>
      <c r="AR289" s="860"/>
      <c r="AS289" s="860"/>
      <c r="AT289" s="860"/>
      <c r="AU289" s="860"/>
      <c r="AV289" s="860"/>
      <c r="AW289" s="860"/>
      <c r="AX289" s="860"/>
      <c r="AY289" s="860"/>
      <c r="AZ289" s="860"/>
      <c r="BA289" s="860"/>
      <c r="BB289" s="860"/>
      <c r="BC289" s="860"/>
      <c r="BD289" s="860"/>
      <c r="BE289" s="860"/>
      <c r="BF289" s="860"/>
      <c r="BG289" s="860"/>
      <c r="BH289" s="668"/>
      <c r="BI289" s="667"/>
      <c r="BJ289" s="690">
        <f t="shared" si="140"/>
        <v>0</v>
      </c>
      <c r="BK289" s="691">
        <f t="shared" si="141"/>
        <v>0</v>
      </c>
      <c r="BL289" s="654"/>
      <c r="BM289" s="692">
        <f>SUMIFS(Imput[[Importe Neto]:[Importe Neto]],Imput[[C. Imp.]:[C. Imp.]],$D289,Imput[[PERIODO Imp.]:[PERIODO Imp.]],BM$9)</f>
        <v>0</v>
      </c>
      <c r="BN289" s="693">
        <f>SUMIFS(Imput[[Importe Neto]:[Importe Neto]],Imput[[C. Imp.]:[C. Imp.]],$D289,Imput[[PERIODO Imp.]:[PERIODO Imp.]],BN$9)</f>
        <v>0</v>
      </c>
      <c r="BO289" s="693">
        <f>SUMIFS(Imput[[Importe Neto]:[Importe Neto]],Imput[[C. Imp.]:[C. Imp.]],$D289,Imput[[PERIODO Imp.]:[PERIODO Imp.]],BO$9)</f>
        <v>0</v>
      </c>
      <c r="BP289" s="693">
        <f>SUMIFS(Imput[[Importe Neto]:[Importe Neto]],Imput[[C. Imp.]:[C. Imp.]],$D289,Imput[[PERIODO Imp.]:[PERIODO Imp.]],BP$9)</f>
        <v>0</v>
      </c>
      <c r="BQ289" s="693">
        <f>SUMIFS(Imput[[Importe Neto]:[Importe Neto]],Imput[[C. Imp.]:[C. Imp.]],$D289,Imput[[PERIODO Imp.]:[PERIODO Imp.]],BQ$9)</f>
        <v>0</v>
      </c>
      <c r="BR289" s="693">
        <f>SUMIFS(Imput[[Importe Neto]:[Importe Neto]],Imput[[C. Imp.]:[C. Imp.]],$D289,Imput[[PERIODO Imp.]:[PERIODO Imp.]],BR$9)</f>
        <v>0</v>
      </c>
      <c r="BS289" s="693">
        <f>SUMIFS(Imput[[Importe Neto]:[Importe Neto]],Imput[[C. Imp.]:[C. Imp.]],$D289,Imput[[PERIODO Imp.]:[PERIODO Imp.]],BS$9)</f>
        <v>0</v>
      </c>
      <c r="BT289" s="693">
        <f>SUMIFS(Imput[[Importe Neto]:[Importe Neto]],Imput[[C. Imp.]:[C. Imp.]],$D289,Imput[[PERIODO Imp.]:[PERIODO Imp.]],BT$9)</f>
        <v>0</v>
      </c>
      <c r="BU289" s="693">
        <f>SUMIFS(Imput[[Importe Neto]:[Importe Neto]],Imput[[C. Imp.]:[C. Imp.]],$D289,Imput[[PERIODO Imp.]:[PERIODO Imp.]],BU$9)</f>
        <v>0</v>
      </c>
      <c r="BV289" s="693">
        <f>SUMIFS(Imput[[Importe Neto]:[Importe Neto]],Imput[[C. Imp.]:[C. Imp.]],$D289,Imput[[PERIODO Imp.]:[PERIODO Imp.]],BV$9)</f>
        <v>0</v>
      </c>
      <c r="BW289" s="693">
        <f>SUMIFS(Imput[[Importe Neto]:[Importe Neto]],Imput[[C. Imp.]:[C. Imp.]],$D289,Imput[[PERIODO Imp.]:[PERIODO Imp.]],BW$9)</f>
        <v>0</v>
      </c>
      <c r="BX289" s="693">
        <f>SUMIFS(Imput[[Importe Neto]:[Importe Neto]],Imput[[C. Imp.]:[C. Imp.]],$D289,Imput[[PERIODO Imp.]:[PERIODO Imp.]],BX$9)</f>
        <v>0</v>
      </c>
      <c r="BY289" s="693">
        <f>SUMIFS(Imput[[Importe Neto]:[Importe Neto]],Imput[[C. Imp.]:[C. Imp.]],$D289,Imput[[PERIODO Imp.]:[PERIODO Imp.]],BY$9)</f>
        <v>0</v>
      </c>
      <c r="BZ289" s="693">
        <f>SUMIFS(Imput[[Importe Neto]:[Importe Neto]],Imput[[C. Imp.]:[C. Imp.]],$D289,Imput[[PERIODO Imp.]:[PERIODO Imp.]],BZ$9)</f>
        <v>0</v>
      </c>
      <c r="CA289" s="693">
        <f>SUMIFS(Imput[[Importe Neto]:[Importe Neto]],Imput[[C. Imp.]:[C. Imp.]],$D289,Imput[[PERIODO Imp.]:[PERIODO Imp.]],CA$9)</f>
        <v>0</v>
      </c>
      <c r="CB289" s="693">
        <f>SUMIFS(Imput[[Importe Neto]:[Importe Neto]],Imput[[C. Imp.]:[C. Imp.]],$D289,Imput[[PERIODO Imp.]:[PERIODO Imp.]],CB$9)</f>
        <v>0</v>
      </c>
      <c r="CC289" s="693">
        <f>SUMIFS(Imput[[Importe Neto]:[Importe Neto]],Imput[[C. Imp.]:[C. Imp.]],$D289,Imput[[PERIODO Imp.]:[PERIODO Imp.]],CC$9)</f>
        <v>0</v>
      </c>
      <c r="CD289" s="693">
        <f>SUMIFS(Imput[[Importe Neto]:[Importe Neto]],Imput[[C. Imp.]:[C. Imp.]],$D289,Imput[[PERIODO Imp.]:[PERIODO Imp.]],CD$9)</f>
        <v>0</v>
      </c>
      <c r="CE289" s="693">
        <f>SUMIFS(Imput[[Importe Neto]:[Importe Neto]],Imput[[C. Imp.]:[C. Imp.]],$D289,Imput[[PERIODO Imp.]:[PERIODO Imp.]],CE$9)</f>
        <v>0</v>
      </c>
      <c r="CF289" s="693">
        <f>SUMIFS(Imput[[Importe Neto]:[Importe Neto]],Imput[[C. Imp.]:[C. Imp.]],$D289,Imput[[PERIODO Imp.]:[PERIODO Imp.]],CF$9)</f>
        <v>0</v>
      </c>
      <c r="CG289" s="693">
        <f>SUMIFS(Imput[[Importe Neto]:[Importe Neto]],Imput[[C. Imp.]:[C. Imp.]],$D289,Imput[[PERIODO Imp.]:[PERIODO Imp.]],CG$9)</f>
        <v>0</v>
      </c>
      <c r="CH289" s="693">
        <f>SUMIFS(Imput[[Importe Neto]:[Importe Neto]],Imput[[C. Imp.]:[C. Imp.]],$D289,Imput[[PERIODO Imp.]:[PERIODO Imp.]],CH$9)</f>
        <v>0</v>
      </c>
      <c r="CI289" s="693">
        <f>SUMIFS(Imput[[Importe Neto]:[Importe Neto]],Imput[[C. Imp.]:[C. Imp.]],$D289,Imput[[PERIODO Imp.]:[PERIODO Imp.]],CI$9)</f>
        <v>0</v>
      </c>
      <c r="CJ289" s="693">
        <f>SUMIFS(Imput[[Importe Neto]:[Importe Neto]],Imput[[C. Imp.]:[C. Imp.]],$D289,Imput[[PERIODO Imp.]:[PERIODO Imp.]],CJ$9)</f>
        <v>0</v>
      </c>
      <c r="CK289" s="693">
        <f>SUMIFS(Imput[[Importe Neto]:[Importe Neto]],Imput[[C. Imp.]:[C. Imp.]],$D289,Imput[[PERIODO Imp.]:[PERIODO Imp.]],CK$9)</f>
        <v>0</v>
      </c>
      <c r="CL289" s="693">
        <f>SUMIFS(Imput[[Importe Neto]:[Importe Neto]],Imput[[C. Imp.]:[C. Imp.]],$D289,Imput[[PERIODO Imp.]:[PERIODO Imp.]],CL$9)</f>
        <v>0</v>
      </c>
      <c r="CM289" s="693">
        <f>SUMIFS(Imput[[Importe Neto]:[Importe Neto]],Imput[[C. Imp.]:[C. Imp.]],$D289,Imput[[PERIODO Imp.]:[PERIODO Imp.]],CM$9)</f>
        <v>0</v>
      </c>
      <c r="CN289" s="693">
        <f>SUMIFS(Imput[[Importe Neto]:[Importe Neto]],Imput[[C. Imp.]:[C. Imp.]],$D289,Imput[[PERIODO Imp.]:[PERIODO Imp.]],CN$9)</f>
        <v>0</v>
      </c>
      <c r="CO289" s="693">
        <f>SUMIFS(Imput[[Importe Neto]:[Importe Neto]],Imput[[C. Imp.]:[C. Imp.]],$D289,Imput[[PERIODO Imp.]:[PERIODO Imp.]],CO$9)</f>
        <v>0</v>
      </c>
      <c r="CP289" s="693">
        <f>SUMIFS(Imput[[Importe Neto]:[Importe Neto]],Imput[[C. Imp.]:[C. Imp.]],$D289,Imput[[PERIODO Imp.]:[PERIODO Imp.]],CP$9)</f>
        <v>0</v>
      </c>
      <c r="CQ289" s="693">
        <f>SUMIFS(Imput[[Importe Neto]:[Importe Neto]],Imput[[C. Imp.]:[C. Imp.]],$D289,Imput[[PERIODO Imp.]:[PERIODO Imp.]],CQ$9)</f>
        <v>0</v>
      </c>
      <c r="CR289" s="693">
        <f>SUMIFS(Imput[[Importe Neto]:[Importe Neto]],Imput[[C. Imp.]:[C. Imp.]],$D289,Imput[[PERIODO Imp.]:[PERIODO Imp.]],CR$9)</f>
        <v>0</v>
      </c>
      <c r="CS289" s="693">
        <f>SUMIFS(Imput[[Importe Neto]:[Importe Neto]],Imput[[C. Imp.]:[C. Imp.]],$D289,Imput[[PERIODO Imp.]:[PERIODO Imp.]],CS$9)</f>
        <v>0</v>
      </c>
      <c r="CT289" s="693">
        <f>SUMIFS(Imput[[Importe Neto]:[Importe Neto]],Imput[[C. Imp.]:[C. Imp.]],$D289,Imput[[PERIODO Imp.]:[PERIODO Imp.]],CT$9)</f>
        <v>0</v>
      </c>
      <c r="CU289" s="693">
        <f>SUMIFS(Imput[[Importe Neto]:[Importe Neto]],Imput[[C. Imp.]:[C. Imp.]],$D289,Imput[[PERIODO Imp.]:[PERIODO Imp.]],CU$9)</f>
        <v>0</v>
      </c>
      <c r="CV289" s="693">
        <f>SUMIFS(Imput[[Importe Neto]:[Importe Neto]],Imput[[C. Imp.]:[C. Imp.]],$D289,Imput[[PERIODO Imp.]:[PERIODO Imp.]],CV$9)</f>
        <v>0</v>
      </c>
      <c r="CW289" s="693">
        <f>SUMIFS(Imput[[Importe Neto]:[Importe Neto]],Imput[[C. Imp.]:[C. Imp.]],$D289,Imput[[PERIODO Imp.]:[PERIODO Imp.]],CW$9)</f>
        <v>0</v>
      </c>
      <c r="CX289" s="693">
        <f>SUMIFS(Imput[[Importe Neto]:[Importe Neto]],Imput[[C. Imp.]:[C. Imp.]],$D289,Imput[[PERIODO Imp.]:[PERIODO Imp.]],CX$9)</f>
        <v>0</v>
      </c>
      <c r="CY289" s="693">
        <f>SUMIFS(Imput[[Importe Neto]:[Importe Neto]],Imput[[C. Imp.]:[C. Imp.]],$D289,Imput[[PERIODO Imp.]:[PERIODO Imp.]],CY$9)</f>
        <v>0</v>
      </c>
      <c r="CZ289" s="693">
        <f>SUMIFS(Imput[[Importe Neto]:[Importe Neto]],Imput[[C. Imp.]:[C. Imp.]],$D289,Imput[[PERIODO Imp.]:[PERIODO Imp.]],CZ$9)</f>
        <v>0</v>
      </c>
      <c r="DA289" s="693">
        <f>SUMIFS(Imput[[Importe Neto]:[Importe Neto]],Imput[[C. Imp.]:[C. Imp.]],$D289,Imput[[PERIODO Imp.]:[PERIODO Imp.]],DA$9)</f>
        <v>0</v>
      </c>
      <c r="DB289" s="693">
        <f>SUMIFS(Imput[[Importe Neto]:[Importe Neto]],Imput[[C. Imp.]:[C. Imp.]],$D289,Imput[[PERIODO Imp.]:[PERIODO Imp.]],DB$9)</f>
        <v>0</v>
      </c>
      <c r="DC289" s="693">
        <f>SUMIFS(Imput[[Importe Neto]:[Importe Neto]],Imput[[C. Imp.]:[C. Imp.]],$D289,Imput[[PERIODO Imp.]:[PERIODO Imp.]],DC$9)</f>
        <v>0</v>
      </c>
      <c r="DD289" s="693">
        <f>SUMIFS(Imput[[Importe Neto]:[Importe Neto]],Imput[[C. Imp.]:[C. Imp.]],$D289,Imput[[PERIODO Imp.]:[PERIODO Imp.]],DD$9)</f>
        <v>0</v>
      </c>
      <c r="DE289" s="693">
        <f>SUMIFS(Imput[[Importe Neto]:[Importe Neto]],Imput[[C. Imp.]:[C. Imp.]],$D289,Imput[[PERIODO Imp.]:[PERIODO Imp.]],DE$9)</f>
        <v>0</v>
      </c>
      <c r="DF289" s="693">
        <f>SUMIFS(Imput[[Importe Neto]:[Importe Neto]],Imput[[C. Imp.]:[C. Imp.]],$D289,Imput[[PERIODO Imp.]:[PERIODO Imp.]],DF$9)</f>
        <v>0</v>
      </c>
      <c r="DG289" s="693">
        <f>SUMIFS(Imput[[Importe Neto]:[Importe Neto]],Imput[[C. Imp.]:[C. Imp.]],$D289,Imput[[PERIODO Imp.]:[PERIODO Imp.]],DG$9)</f>
        <v>0</v>
      </c>
      <c r="DH289" s="694">
        <f>SUMIFS(Imput[[Importe Neto]:[Importe Neto]],Imput[[C. Imp.]:[C. Imp.]],$D289,Imput[[PERIODO Imp.]:[PERIODO Imp.]],DH$9)</f>
        <v>0</v>
      </c>
    </row>
    <row r="290" spans="1:112" s="649" customFormat="1" hidden="1" outlineLevel="1" x14ac:dyDescent="0.3">
      <c r="A290" s="652" t="str">
        <f t="shared" si="137"/>
        <v/>
      </c>
      <c r="B290" s="652"/>
      <c r="C290" s="685"/>
      <c r="D290" s="686" t="s">
        <v>2364</v>
      </c>
      <c r="E290" s="686"/>
      <c r="F290" s="720"/>
      <c r="G290" s="688"/>
      <c r="H290" s="689"/>
      <c r="I290" s="851" t="str">
        <f t="shared" si="138"/>
        <v/>
      </c>
      <c r="J290" s="850" t="str">
        <f t="shared" si="139"/>
        <v/>
      </c>
      <c r="K290" s="667"/>
      <c r="L290" s="858"/>
      <c r="M290" s="859"/>
      <c r="N290" s="859"/>
      <c r="O290" s="859"/>
      <c r="P290" s="859"/>
      <c r="Q290" s="859"/>
      <c r="R290" s="859"/>
      <c r="S290" s="859"/>
      <c r="T290" s="859"/>
      <c r="U290" s="859"/>
      <c r="V290" s="859"/>
      <c r="W290" s="859"/>
      <c r="X290" s="859"/>
      <c r="Y290" s="859"/>
      <c r="Z290" s="860"/>
      <c r="AA290" s="860"/>
      <c r="AB290" s="860"/>
      <c r="AC290" s="860"/>
      <c r="AD290" s="860"/>
      <c r="AE290" s="860"/>
      <c r="AF290" s="860"/>
      <c r="AG290" s="860"/>
      <c r="AH290" s="860"/>
      <c r="AI290" s="860"/>
      <c r="AJ290" s="860"/>
      <c r="AK290" s="860"/>
      <c r="AL290" s="860"/>
      <c r="AM290" s="860"/>
      <c r="AN290" s="860"/>
      <c r="AO290" s="860"/>
      <c r="AP290" s="860"/>
      <c r="AQ290" s="860"/>
      <c r="AR290" s="860"/>
      <c r="AS290" s="860"/>
      <c r="AT290" s="860"/>
      <c r="AU290" s="860"/>
      <c r="AV290" s="860"/>
      <c r="AW290" s="860"/>
      <c r="AX290" s="860"/>
      <c r="AY290" s="860"/>
      <c r="AZ290" s="860"/>
      <c r="BA290" s="860"/>
      <c r="BB290" s="860"/>
      <c r="BC290" s="860"/>
      <c r="BD290" s="860"/>
      <c r="BE290" s="860"/>
      <c r="BF290" s="860"/>
      <c r="BG290" s="860"/>
      <c r="BH290" s="668"/>
      <c r="BI290" s="667"/>
      <c r="BJ290" s="690">
        <f t="shared" si="140"/>
        <v>0</v>
      </c>
      <c r="BK290" s="691">
        <f t="shared" si="141"/>
        <v>0</v>
      </c>
      <c r="BL290" s="654"/>
      <c r="BM290" s="692">
        <f>SUMIFS(Imput[[Importe Neto]:[Importe Neto]],Imput[[C. Imp.]:[C. Imp.]],$D290,Imput[[PERIODO Imp.]:[PERIODO Imp.]],BM$9)</f>
        <v>0</v>
      </c>
      <c r="BN290" s="693">
        <f>SUMIFS(Imput[[Importe Neto]:[Importe Neto]],Imput[[C. Imp.]:[C. Imp.]],$D290,Imput[[PERIODO Imp.]:[PERIODO Imp.]],BN$9)</f>
        <v>0</v>
      </c>
      <c r="BO290" s="693">
        <f>SUMIFS(Imput[[Importe Neto]:[Importe Neto]],Imput[[C. Imp.]:[C. Imp.]],$D290,Imput[[PERIODO Imp.]:[PERIODO Imp.]],BO$9)</f>
        <v>0</v>
      </c>
      <c r="BP290" s="693">
        <f>SUMIFS(Imput[[Importe Neto]:[Importe Neto]],Imput[[C. Imp.]:[C. Imp.]],$D290,Imput[[PERIODO Imp.]:[PERIODO Imp.]],BP$9)</f>
        <v>0</v>
      </c>
      <c r="BQ290" s="693">
        <f>SUMIFS(Imput[[Importe Neto]:[Importe Neto]],Imput[[C. Imp.]:[C. Imp.]],$D290,Imput[[PERIODO Imp.]:[PERIODO Imp.]],BQ$9)</f>
        <v>0</v>
      </c>
      <c r="BR290" s="693">
        <f>SUMIFS(Imput[[Importe Neto]:[Importe Neto]],Imput[[C. Imp.]:[C. Imp.]],$D290,Imput[[PERIODO Imp.]:[PERIODO Imp.]],BR$9)</f>
        <v>0</v>
      </c>
      <c r="BS290" s="693">
        <f>SUMIFS(Imput[[Importe Neto]:[Importe Neto]],Imput[[C. Imp.]:[C. Imp.]],$D290,Imput[[PERIODO Imp.]:[PERIODO Imp.]],BS$9)</f>
        <v>0</v>
      </c>
      <c r="BT290" s="693">
        <f>SUMIFS(Imput[[Importe Neto]:[Importe Neto]],Imput[[C. Imp.]:[C. Imp.]],$D290,Imput[[PERIODO Imp.]:[PERIODO Imp.]],BT$9)</f>
        <v>0</v>
      </c>
      <c r="BU290" s="693">
        <f>SUMIFS(Imput[[Importe Neto]:[Importe Neto]],Imput[[C. Imp.]:[C. Imp.]],$D290,Imput[[PERIODO Imp.]:[PERIODO Imp.]],BU$9)</f>
        <v>0</v>
      </c>
      <c r="BV290" s="693">
        <f>SUMIFS(Imput[[Importe Neto]:[Importe Neto]],Imput[[C. Imp.]:[C. Imp.]],$D290,Imput[[PERIODO Imp.]:[PERIODO Imp.]],BV$9)</f>
        <v>0</v>
      </c>
      <c r="BW290" s="693">
        <f>SUMIFS(Imput[[Importe Neto]:[Importe Neto]],Imput[[C. Imp.]:[C. Imp.]],$D290,Imput[[PERIODO Imp.]:[PERIODO Imp.]],BW$9)</f>
        <v>0</v>
      </c>
      <c r="BX290" s="693">
        <f>SUMIFS(Imput[[Importe Neto]:[Importe Neto]],Imput[[C. Imp.]:[C. Imp.]],$D290,Imput[[PERIODO Imp.]:[PERIODO Imp.]],BX$9)</f>
        <v>0</v>
      </c>
      <c r="BY290" s="693">
        <f>SUMIFS(Imput[[Importe Neto]:[Importe Neto]],Imput[[C. Imp.]:[C. Imp.]],$D290,Imput[[PERIODO Imp.]:[PERIODO Imp.]],BY$9)</f>
        <v>0</v>
      </c>
      <c r="BZ290" s="693">
        <f>SUMIFS(Imput[[Importe Neto]:[Importe Neto]],Imput[[C. Imp.]:[C. Imp.]],$D290,Imput[[PERIODO Imp.]:[PERIODO Imp.]],BZ$9)</f>
        <v>0</v>
      </c>
      <c r="CA290" s="693">
        <f>SUMIFS(Imput[[Importe Neto]:[Importe Neto]],Imput[[C. Imp.]:[C. Imp.]],$D290,Imput[[PERIODO Imp.]:[PERIODO Imp.]],CA$9)</f>
        <v>0</v>
      </c>
      <c r="CB290" s="693">
        <f>SUMIFS(Imput[[Importe Neto]:[Importe Neto]],Imput[[C. Imp.]:[C. Imp.]],$D290,Imput[[PERIODO Imp.]:[PERIODO Imp.]],CB$9)</f>
        <v>0</v>
      </c>
      <c r="CC290" s="693">
        <f>SUMIFS(Imput[[Importe Neto]:[Importe Neto]],Imput[[C. Imp.]:[C. Imp.]],$D290,Imput[[PERIODO Imp.]:[PERIODO Imp.]],CC$9)</f>
        <v>0</v>
      </c>
      <c r="CD290" s="693">
        <f>SUMIFS(Imput[[Importe Neto]:[Importe Neto]],Imput[[C. Imp.]:[C. Imp.]],$D290,Imput[[PERIODO Imp.]:[PERIODO Imp.]],CD$9)</f>
        <v>0</v>
      </c>
      <c r="CE290" s="693">
        <f>SUMIFS(Imput[[Importe Neto]:[Importe Neto]],Imput[[C. Imp.]:[C. Imp.]],$D290,Imput[[PERIODO Imp.]:[PERIODO Imp.]],CE$9)</f>
        <v>0</v>
      </c>
      <c r="CF290" s="693">
        <f>SUMIFS(Imput[[Importe Neto]:[Importe Neto]],Imput[[C. Imp.]:[C. Imp.]],$D290,Imput[[PERIODO Imp.]:[PERIODO Imp.]],CF$9)</f>
        <v>0</v>
      </c>
      <c r="CG290" s="693">
        <f>SUMIFS(Imput[[Importe Neto]:[Importe Neto]],Imput[[C. Imp.]:[C. Imp.]],$D290,Imput[[PERIODO Imp.]:[PERIODO Imp.]],CG$9)</f>
        <v>0</v>
      </c>
      <c r="CH290" s="693">
        <f>SUMIFS(Imput[[Importe Neto]:[Importe Neto]],Imput[[C. Imp.]:[C. Imp.]],$D290,Imput[[PERIODO Imp.]:[PERIODO Imp.]],CH$9)</f>
        <v>0</v>
      </c>
      <c r="CI290" s="693">
        <f>SUMIFS(Imput[[Importe Neto]:[Importe Neto]],Imput[[C. Imp.]:[C. Imp.]],$D290,Imput[[PERIODO Imp.]:[PERIODO Imp.]],CI$9)</f>
        <v>0</v>
      </c>
      <c r="CJ290" s="693">
        <f>SUMIFS(Imput[[Importe Neto]:[Importe Neto]],Imput[[C. Imp.]:[C. Imp.]],$D290,Imput[[PERIODO Imp.]:[PERIODO Imp.]],CJ$9)</f>
        <v>0</v>
      </c>
      <c r="CK290" s="693">
        <f>SUMIFS(Imput[[Importe Neto]:[Importe Neto]],Imput[[C. Imp.]:[C. Imp.]],$D290,Imput[[PERIODO Imp.]:[PERIODO Imp.]],CK$9)</f>
        <v>0</v>
      </c>
      <c r="CL290" s="693">
        <f>SUMIFS(Imput[[Importe Neto]:[Importe Neto]],Imput[[C. Imp.]:[C. Imp.]],$D290,Imput[[PERIODO Imp.]:[PERIODO Imp.]],CL$9)</f>
        <v>0</v>
      </c>
      <c r="CM290" s="693">
        <f>SUMIFS(Imput[[Importe Neto]:[Importe Neto]],Imput[[C. Imp.]:[C. Imp.]],$D290,Imput[[PERIODO Imp.]:[PERIODO Imp.]],CM$9)</f>
        <v>0</v>
      </c>
      <c r="CN290" s="693">
        <f>SUMIFS(Imput[[Importe Neto]:[Importe Neto]],Imput[[C. Imp.]:[C. Imp.]],$D290,Imput[[PERIODO Imp.]:[PERIODO Imp.]],CN$9)</f>
        <v>0</v>
      </c>
      <c r="CO290" s="693">
        <f>SUMIFS(Imput[[Importe Neto]:[Importe Neto]],Imput[[C. Imp.]:[C. Imp.]],$D290,Imput[[PERIODO Imp.]:[PERIODO Imp.]],CO$9)</f>
        <v>0</v>
      </c>
      <c r="CP290" s="693">
        <f>SUMIFS(Imput[[Importe Neto]:[Importe Neto]],Imput[[C. Imp.]:[C. Imp.]],$D290,Imput[[PERIODO Imp.]:[PERIODO Imp.]],CP$9)</f>
        <v>0</v>
      </c>
      <c r="CQ290" s="693">
        <f>SUMIFS(Imput[[Importe Neto]:[Importe Neto]],Imput[[C. Imp.]:[C. Imp.]],$D290,Imput[[PERIODO Imp.]:[PERIODO Imp.]],CQ$9)</f>
        <v>0</v>
      </c>
      <c r="CR290" s="693">
        <f>SUMIFS(Imput[[Importe Neto]:[Importe Neto]],Imput[[C. Imp.]:[C. Imp.]],$D290,Imput[[PERIODO Imp.]:[PERIODO Imp.]],CR$9)</f>
        <v>0</v>
      </c>
      <c r="CS290" s="693">
        <f>SUMIFS(Imput[[Importe Neto]:[Importe Neto]],Imput[[C. Imp.]:[C. Imp.]],$D290,Imput[[PERIODO Imp.]:[PERIODO Imp.]],CS$9)</f>
        <v>0</v>
      </c>
      <c r="CT290" s="693">
        <f>SUMIFS(Imput[[Importe Neto]:[Importe Neto]],Imput[[C. Imp.]:[C. Imp.]],$D290,Imput[[PERIODO Imp.]:[PERIODO Imp.]],CT$9)</f>
        <v>0</v>
      </c>
      <c r="CU290" s="693">
        <f>SUMIFS(Imput[[Importe Neto]:[Importe Neto]],Imput[[C. Imp.]:[C. Imp.]],$D290,Imput[[PERIODO Imp.]:[PERIODO Imp.]],CU$9)</f>
        <v>0</v>
      </c>
      <c r="CV290" s="693">
        <f>SUMIFS(Imput[[Importe Neto]:[Importe Neto]],Imput[[C. Imp.]:[C. Imp.]],$D290,Imput[[PERIODO Imp.]:[PERIODO Imp.]],CV$9)</f>
        <v>0</v>
      </c>
      <c r="CW290" s="693">
        <f>SUMIFS(Imput[[Importe Neto]:[Importe Neto]],Imput[[C. Imp.]:[C. Imp.]],$D290,Imput[[PERIODO Imp.]:[PERIODO Imp.]],CW$9)</f>
        <v>0</v>
      </c>
      <c r="CX290" s="693">
        <f>SUMIFS(Imput[[Importe Neto]:[Importe Neto]],Imput[[C. Imp.]:[C. Imp.]],$D290,Imput[[PERIODO Imp.]:[PERIODO Imp.]],CX$9)</f>
        <v>0</v>
      </c>
      <c r="CY290" s="693">
        <f>SUMIFS(Imput[[Importe Neto]:[Importe Neto]],Imput[[C. Imp.]:[C. Imp.]],$D290,Imput[[PERIODO Imp.]:[PERIODO Imp.]],CY$9)</f>
        <v>0</v>
      </c>
      <c r="CZ290" s="693">
        <f>SUMIFS(Imput[[Importe Neto]:[Importe Neto]],Imput[[C. Imp.]:[C. Imp.]],$D290,Imput[[PERIODO Imp.]:[PERIODO Imp.]],CZ$9)</f>
        <v>0</v>
      </c>
      <c r="DA290" s="693">
        <f>SUMIFS(Imput[[Importe Neto]:[Importe Neto]],Imput[[C. Imp.]:[C. Imp.]],$D290,Imput[[PERIODO Imp.]:[PERIODO Imp.]],DA$9)</f>
        <v>0</v>
      </c>
      <c r="DB290" s="693">
        <f>SUMIFS(Imput[[Importe Neto]:[Importe Neto]],Imput[[C. Imp.]:[C. Imp.]],$D290,Imput[[PERIODO Imp.]:[PERIODO Imp.]],DB$9)</f>
        <v>0</v>
      </c>
      <c r="DC290" s="693">
        <f>SUMIFS(Imput[[Importe Neto]:[Importe Neto]],Imput[[C. Imp.]:[C. Imp.]],$D290,Imput[[PERIODO Imp.]:[PERIODO Imp.]],DC$9)</f>
        <v>0</v>
      </c>
      <c r="DD290" s="693">
        <f>SUMIFS(Imput[[Importe Neto]:[Importe Neto]],Imput[[C. Imp.]:[C. Imp.]],$D290,Imput[[PERIODO Imp.]:[PERIODO Imp.]],DD$9)</f>
        <v>0</v>
      </c>
      <c r="DE290" s="693">
        <f>SUMIFS(Imput[[Importe Neto]:[Importe Neto]],Imput[[C. Imp.]:[C. Imp.]],$D290,Imput[[PERIODO Imp.]:[PERIODO Imp.]],DE$9)</f>
        <v>0</v>
      </c>
      <c r="DF290" s="693">
        <f>SUMIFS(Imput[[Importe Neto]:[Importe Neto]],Imput[[C. Imp.]:[C. Imp.]],$D290,Imput[[PERIODO Imp.]:[PERIODO Imp.]],DF$9)</f>
        <v>0</v>
      </c>
      <c r="DG290" s="693">
        <f>SUMIFS(Imput[[Importe Neto]:[Importe Neto]],Imput[[C. Imp.]:[C. Imp.]],$D290,Imput[[PERIODO Imp.]:[PERIODO Imp.]],DG$9)</f>
        <v>0</v>
      </c>
      <c r="DH290" s="694">
        <f>SUMIFS(Imput[[Importe Neto]:[Importe Neto]],Imput[[C. Imp.]:[C. Imp.]],$D290,Imput[[PERIODO Imp.]:[PERIODO Imp.]],DH$9)</f>
        <v>0</v>
      </c>
    </row>
    <row r="291" spans="1:112" s="649" customFormat="1" hidden="1" outlineLevel="1" x14ac:dyDescent="0.3">
      <c r="A291" s="652" t="str">
        <f t="shared" si="137"/>
        <v/>
      </c>
      <c r="B291" s="652"/>
      <c r="C291" s="685"/>
      <c r="D291" s="686" t="s">
        <v>2365</v>
      </c>
      <c r="E291" s="686"/>
      <c r="F291" s="720"/>
      <c r="G291" s="688"/>
      <c r="H291" s="689"/>
      <c r="I291" s="851" t="str">
        <f t="shared" si="138"/>
        <v/>
      </c>
      <c r="J291" s="850" t="str">
        <f t="shared" si="139"/>
        <v/>
      </c>
      <c r="K291" s="667"/>
      <c r="L291" s="858"/>
      <c r="M291" s="859"/>
      <c r="N291" s="859"/>
      <c r="O291" s="859"/>
      <c r="P291" s="859"/>
      <c r="Q291" s="859"/>
      <c r="R291" s="859"/>
      <c r="S291" s="859"/>
      <c r="T291" s="859"/>
      <c r="U291" s="859"/>
      <c r="V291" s="859"/>
      <c r="W291" s="859"/>
      <c r="X291" s="859"/>
      <c r="Y291" s="859"/>
      <c r="Z291" s="860"/>
      <c r="AA291" s="860"/>
      <c r="AB291" s="860"/>
      <c r="AC291" s="860"/>
      <c r="AD291" s="860"/>
      <c r="AE291" s="860"/>
      <c r="AF291" s="860"/>
      <c r="AG291" s="860"/>
      <c r="AH291" s="860"/>
      <c r="AI291" s="860"/>
      <c r="AJ291" s="860"/>
      <c r="AK291" s="860"/>
      <c r="AL291" s="860"/>
      <c r="AM291" s="860"/>
      <c r="AN291" s="860"/>
      <c r="AO291" s="860"/>
      <c r="AP291" s="860"/>
      <c r="AQ291" s="860"/>
      <c r="AR291" s="860"/>
      <c r="AS291" s="860"/>
      <c r="AT291" s="860"/>
      <c r="AU291" s="860"/>
      <c r="AV291" s="860"/>
      <c r="AW291" s="860"/>
      <c r="AX291" s="860"/>
      <c r="AY291" s="860"/>
      <c r="AZ291" s="860"/>
      <c r="BA291" s="860"/>
      <c r="BB291" s="860"/>
      <c r="BC291" s="860"/>
      <c r="BD291" s="860"/>
      <c r="BE291" s="860"/>
      <c r="BF291" s="860"/>
      <c r="BG291" s="860"/>
      <c r="BH291" s="668"/>
      <c r="BI291" s="667"/>
      <c r="BJ291" s="690">
        <f t="shared" si="140"/>
        <v>0</v>
      </c>
      <c r="BK291" s="691">
        <f t="shared" si="141"/>
        <v>0</v>
      </c>
      <c r="BL291" s="654"/>
      <c r="BM291" s="692">
        <f>SUMIFS(Imput[[Importe Neto]:[Importe Neto]],Imput[[C. Imp.]:[C. Imp.]],$D291,Imput[[PERIODO Imp.]:[PERIODO Imp.]],BM$9)</f>
        <v>0</v>
      </c>
      <c r="BN291" s="693">
        <f>SUMIFS(Imput[[Importe Neto]:[Importe Neto]],Imput[[C. Imp.]:[C. Imp.]],$D291,Imput[[PERIODO Imp.]:[PERIODO Imp.]],BN$9)</f>
        <v>0</v>
      </c>
      <c r="BO291" s="693">
        <f>SUMIFS(Imput[[Importe Neto]:[Importe Neto]],Imput[[C. Imp.]:[C. Imp.]],$D291,Imput[[PERIODO Imp.]:[PERIODO Imp.]],BO$9)</f>
        <v>0</v>
      </c>
      <c r="BP291" s="693">
        <f>SUMIFS(Imput[[Importe Neto]:[Importe Neto]],Imput[[C. Imp.]:[C. Imp.]],$D291,Imput[[PERIODO Imp.]:[PERIODO Imp.]],BP$9)</f>
        <v>0</v>
      </c>
      <c r="BQ291" s="693">
        <f>SUMIFS(Imput[[Importe Neto]:[Importe Neto]],Imput[[C. Imp.]:[C. Imp.]],$D291,Imput[[PERIODO Imp.]:[PERIODO Imp.]],BQ$9)</f>
        <v>0</v>
      </c>
      <c r="BR291" s="693">
        <f>SUMIFS(Imput[[Importe Neto]:[Importe Neto]],Imput[[C. Imp.]:[C. Imp.]],$D291,Imput[[PERIODO Imp.]:[PERIODO Imp.]],BR$9)</f>
        <v>0</v>
      </c>
      <c r="BS291" s="693">
        <f>SUMIFS(Imput[[Importe Neto]:[Importe Neto]],Imput[[C. Imp.]:[C. Imp.]],$D291,Imput[[PERIODO Imp.]:[PERIODO Imp.]],BS$9)</f>
        <v>0</v>
      </c>
      <c r="BT291" s="693">
        <f>SUMIFS(Imput[[Importe Neto]:[Importe Neto]],Imput[[C. Imp.]:[C. Imp.]],$D291,Imput[[PERIODO Imp.]:[PERIODO Imp.]],BT$9)</f>
        <v>0</v>
      </c>
      <c r="BU291" s="693">
        <f>SUMIFS(Imput[[Importe Neto]:[Importe Neto]],Imput[[C. Imp.]:[C. Imp.]],$D291,Imput[[PERIODO Imp.]:[PERIODO Imp.]],BU$9)</f>
        <v>0</v>
      </c>
      <c r="BV291" s="693">
        <f>SUMIFS(Imput[[Importe Neto]:[Importe Neto]],Imput[[C. Imp.]:[C. Imp.]],$D291,Imput[[PERIODO Imp.]:[PERIODO Imp.]],BV$9)</f>
        <v>0</v>
      </c>
      <c r="BW291" s="693">
        <f>SUMIFS(Imput[[Importe Neto]:[Importe Neto]],Imput[[C. Imp.]:[C. Imp.]],$D291,Imput[[PERIODO Imp.]:[PERIODO Imp.]],BW$9)</f>
        <v>0</v>
      </c>
      <c r="BX291" s="693">
        <f>SUMIFS(Imput[[Importe Neto]:[Importe Neto]],Imput[[C. Imp.]:[C. Imp.]],$D291,Imput[[PERIODO Imp.]:[PERIODO Imp.]],BX$9)</f>
        <v>0</v>
      </c>
      <c r="BY291" s="693">
        <f>SUMIFS(Imput[[Importe Neto]:[Importe Neto]],Imput[[C. Imp.]:[C. Imp.]],$D291,Imput[[PERIODO Imp.]:[PERIODO Imp.]],BY$9)</f>
        <v>0</v>
      </c>
      <c r="BZ291" s="693">
        <f>SUMIFS(Imput[[Importe Neto]:[Importe Neto]],Imput[[C. Imp.]:[C. Imp.]],$D291,Imput[[PERIODO Imp.]:[PERIODO Imp.]],BZ$9)</f>
        <v>0</v>
      </c>
      <c r="CA291" s="693">
        <f>SUMIFS(Imput[[Importe Neto]:[Importe Neto]],Imput[[C. Imp.]:[C. Imp.]],$D291,Imput[[PERIODO Imp.]:[PERIODO Imp.]],CA$9)</f>
        <v>0</v>
      </c>
      <c r="CB291" s="693">
        <f>SUMIFS(Imput[[Importe Neto]:[Importe Neto]],Imput[[C. Imp.]:[C. Imp.]],$D291,Imput[[PERIODO Imp.]:[PERIODO Imp.]],CB$9)</f>
        <v>0</v>
      </c>
      <c r="CC291" s="693">
        <f>SUMIFS(Imput[[Importe Neto]:[Importe Neto]],Imput[[C. Imp.]:[C. Imp.]],$D291,Imput[[PERIODO Imp.]:[PERIODO Imp.]],CC$9)</f>
        <v>0</v>
      </c>
      <c r="CD291" s="693">
        <f>SUMIFS(Imput[[Importe Neto]:[Importe Neto]],Imput[[C. Imp.]:[C. Imp.]],$D291,Imput[[PERIODO Imp.]:[PERIODO Imp.]],CD$9)</f>
        <v>0</v>
      </c>
      <c r="CE291" s="693">
        <f>SUMIFS(Imput[[Importe Neto]:[Importe Neto]],Imput[[C. Imp.]:[C. Imp.]],$D291,Imput[[PERIODO Imp.]:[PERIODO Imp.]],CE$9)</f>
        <v>0</v>
      </c>
      <c r="CF291" s="693">
        <f>SUMIFS(Imput[[Importe Neto]:[Importe Neto]],Imput[[C. Imp.]:[C. Imp.]],$D291,Imput[[PERIODO Imp.]:[PERIODO Imp.]],CF$9)</f>
        <v>0</v>
      </c>
      <c r="CG291" s="693">
        <f>SUMIFS(Imput[[Importe Neto]:[Importe Neto]],Imput[[C. Imp.]:[C. Imp.]],$D291,Imput[[PERIODO Imp.]:[PERIODO Imp.]],CG$9)</f>
        <v>0</v>
      </c>
      <c r="CH291" s="693">
        <f>SUMIFS(Imput[[Importe Neto]:[Importe Neto]],Imput[[C. Imp.]:[C. Imp.]],$D291,Imput[[PERIODO Imp.]:[PERIODO Imp.]],CH$9)</f>
        <v>0</v>
      </c>
      <c r="CI291" s="693">
        <f>SUMIFS(Imput[[Importe Neto]:[Importe Neto]],Imput[[C. Imp.]:[C. Imp.]],$D291,Imput[[PERIODO Imp.]:[PERIODO Imp.]],CI$9)</f>
        <v>0</v>
      </c>
      <c r="CJ291" s="693">
        <f>SUMIFS(Imput[[Importe Neto]:[Importe Neto]],Imput[[C. Imp.]:[C. Imp.]],$D291,Imput[[PERIODO Imp.]:[PERIODO Imp.]],CJ$9)</f>
        <v>0</v>
      </c>
      <c r="CK291" s="693">
        <f>SUMIFS(Imput[[Importe Neto]:[Importe Neto]],Imput[[C. Imp.]:[C. Imp.]],$D291,Imput[[PERIODO Imp.]:[PERIODO Imp.]],CK$9)</f>
        <v>0</v>
      </c>
      <c r="CL291" s="693">
        <f>SUMIFS(Imput[[Importe Neto]:[Importe Neto]],Imput[[C. Imp.]:[C. Imp.]],$D291,Imput[[PERIODO Imp.]:[PERIODO Imp.]],CL$9)</f>
        <v>0</v>
      </c>
      <c r="CM291" s="693">
        <f>SUMIFS(Imput[[Importe Neto]:[Importe Neto]],Imput[[C. Imp.]:[C. Imp.]],$D291,Imput[[PERIODO Imp.]:[PERIODO Imp.]],CM$9)</f>
        <v>0</v>
      </c>
      <c r="CN291" s="693">
        <f>SUMIFS(Imput[[Importe Neto]:[Importe Neto]],Imput[[C. Imp.]:[C. Imp.]],$D291,Imput[[PERIODO Imp.]:[PERIODO Imp.]],CN$9)</f>
        <v>0</v>
      </c>
      <c r="CO291" s="693">
        <f>SUMIFS(Imput[[Importe Neto]:[Importe Neto]],Imput[[C. Imp.]:[C. Imp.]],$D291,Imput[[PERIODO Imp.]:[PERIODO Imp.]],CO$9)</f>
        <v>0</v>
      </c>
      <c r="CP291" s="693">
        <f>SUMIFS(Imput[[Importe Neto]:[Importe Neto]],Imput[[C. Imp.]:[C. Imp.]],$D291,Imput[[PERIODO Imp.]:[PERIODO Imp.]],CP$9)</f>
        <v>0</v>
      </c>
      <c r="CQ291" s="693">
        <f>SUMIFS(Imput[[Importe Neto]:[Importe Neto]],Imput[[C. Imp.]:[C. Imp.]],$D291,Imput[[PERIODO Imp.]:[PERIODO Imp.]],CQ$9)</f>
        <v>0</v>
      </c>
      <c r="CR291" s="693">
        <f>SUMIFS(Imput[[Importe Neto]:[Importe Neto]],Imput[[C. Imp.]:[C. Imp.]],$D291,Imput[[PERIODO Imp.]:[PERIODO Imp.]],CR$9)</f>
        <v>0</v>
      </c>
      <c r="CS291" s="693">
        <f>SUMIFS(Imput[[Importe Neto]:[Importe Neto]],Imput[[C. Imp.]:[C. Imp.]],$D291,Imput[[PERIODO Imp.]:[PERIODO Imp.]],CS$9)</f>
        <v>0</v>
      </c>
      <c r="CT291" s="693">
        <f>SUMIFS(Imput[[Importe Neto]:[Importe Neto]],Imput[[C. Imp.]:[C. Imp.]],$D291,Imput[[PERIODO Imp.]:[PERIODO Imp.]],CT$9)</f>
        <v>0</v>
      </c>
      <c r="CU291" s="693">
        <f>SUMIFS(Imput[[Importe Neto]:[Importe Neto]],Imput[[C. Imp.]:[C. Imp.]],$D291,Imput[[PERIODO Imp.]:[PERIODO Imp.]],CU$9)</f>
        <v>0</v>
      </c>
      <c r="CV291" s="693">
        <f>SUMIFS(Imput[[Importe Neto]:[Importe Neto]],Imput[[C. Imp.]:[C. Imp.]],$D291,Imput[[PERIODO Imp.]:[PERIODO Imp.]],CV$9)</f>
        <v>0</v>
      </c>
      <c r="CW291" s="693">
        <f>SUMIFS(Imput[[Importe Neto]:[Importe Neto]],Imput[[C. Imp.]:[C. Imp.]],$D291,Imput[[PERIODO Imp.]:[PERIODO Imp.]],CW$9)</f>
        <v>0</v>
      </c>
      <c r="CX291" s="693">
        <f>SUMIFS(Imput[[Importe Neto]:[Importe Neto]],Imput[[C. Imp.]:[C. Imp.]],$D291,Imput[[PERIODO Imp.]:[PERIODO Imp.]],CX$9)</f>
        <v>0</v>
      </c>
      <c r="CY291" s="693">
        <f>SUMIFS(Imput[[Importe Neto]:[Importe Neto]],Imput[[C. Imp.]:[C. Imp.]],$D291,Imput[[PERIODO Imp.]:[PERIODO Imp.]],CY$9)</f>
        <v>0</v>
      </c>
      <c r="CZ291" s="693">
        <f>SUMIFS(Imput[[Importe Neto]:[Importe Neto]],Imput[[C. Imp.]:[C. Imp.]],$D291,Imput[[PERIODO Imp.]:[PERIODO Imp.]],CZ$9)</f>
        <v>0</v>
      </c>
      <c r="DA291" s="693">
        <f>SUMIFS(Imput[[Importe Neto]:[Importe Neto]],Imput[[C. Imp.]:[C. Imp.]],$D291,Imput[[PERIODO Imp.]:[PERIODO Imp.]],DA$9)</f>
        <v>0</v>
      </c>
      <c r="DB291" s="693">
        <f>SUMIFS(Imput[[Importe Neto]:[Importe Neto]],Imput[[C. Imp.]:[C. Imp.]],$D291,Imput[[PERIODO Imp.]:[PERIODO Imp.]],DB$9)</f>
        <v>0</v>
      </c>
      <c r="DC291" s="693">
        <f>SUMIFS(Imput[[Importe Neto]:[Importe Neto]],Imput[[C. Imp.]:[C. Imp.]],$D291,Imput[[PERIODO Imp.]:[PERIODO Imp.]],DC$9)</f>
        <v>0</v>
      </c>
      <c r="DD291" s="693">
        <f>SUMIFS(Imput[[Importe Neto]:[Importe Neto]],Imput[[C. Imp.]:[C. Imp.]],$D291,Imput[[PERIODO Imp.]:[PERIODO Imp.]],DD$9)</f>
        <v>0</v>
      </c>
      <c r="DE291" s="693">
        <f>SUMIFS(Imput[[Importe Neto]:[Importe Neto]],Imput[[C. Imp.]:[C. Imp.]],$D291,Imput[[PERIODO Imp.]:[PERIODO Imp.]],DE$9)</f>
        <v>0</v>
      </c>
      <c r="DF291" s="693">
        <f>SUMIFS(Imput[[Importe Neto]:[Importe Neto]],Imput[[C. Imp.]:[C. Imp.]],$D291,Imput[[PERIODO Imp.]:[PERIODO Imp.]],DF$9)</f>
        <v>0</v>
      </c>
      <c r="DG291" s="693">
        <f>SUMIFS(Imput[[Importe Neto]:[Importe Neto]],Imput[[C. Imp.]:[C. Imp.]],$D291,Imput[[PERIODO Imp.]:[PERIODO Imp.]],DG$9)</f>
        <v>0</v>
      </c>
      <c r="DH291" s="694">
        <f>SUMIFS(Imput[[Importe Neto]:[Importe Neto]],Imput[[C. Imp.]:[C. Imp.]],$D291,Imput[[PERIODO Imp.]:[PERIODO Imp.]],DH$9)</f>
        <v>0</v>
      </c>
    </row>
    <row r="292" spans="1:112" s="649" customFormat="1" hidden="1" outlineLevel="1" x14ac:dyDescent="0.3">
      <c r="A292" s="652" t="str">
        <f t="shared" si="137"/>
        <v/>
      </c>
      <c r="B292" s="652"/>
      <c r="C292" s="685"/>
      <c r="D292" s="686" t="s">
        <v>2366</v>
      </c>
      <c r="E292" s="686"/>
      <c r="F292" s="720"/>
      <c r="G292" s="688"/>
      <c r="H292" s="689"/>
      <c r="I292" s="851" t="str">
        <f t="shared" si="138"/>
        <v/>
      </c>
      <c r="J292" s="850" t="str">
        <f t="shared" si="139"/>
        <v/>
      </c>
      <c r="K292" s="667"/>
      <c r="L292" s="858"/>
      <c r="M292" s="859"/>
      <c r="N292" s="859"/>
      <c r="O292" s="859"/>
      <c r="P292" s="859"/>
      <c r="Q292" s="859"/>
      <c r="R292" s="859"/>
      <c r="S292" s="859"/>
      <c r="T292" s="859"/>
      <c r="U292" s="859"/>
      <c r="V292" s="859"/>
      <c r="W292" s="859"/>
      <c r="X292" s="859"/>
      <c r="Y292" s="859"/>
      <c r="Z292" s="860"/>
      <c r="AA292" s="860"/>
      <c r="AB292" s="860"/>
      <c r="AC292" s="860"/>
      <c r="AD292" s="860"/>
      <c r="AE292" s="860"/>
      <c r="AF292" s="860"/>
      <c r="AG292" s="860"/>
      <c r="AH292" s="860"/>
      <c r="AI292" s="860"/>
      <c r="AJ292" s="860"/>
      <c r="AK292" s="860"/>
      <c r="AL292" s="860"/>
      <c r="AM292" s="860"/>
      <c r="AN292" s="860"/>
      <c r="AO292" s="860"/>
      <c r="AP292" s="860"/>
      <c r="AQ292" s="860"/>
      <c r="AR292" s="860"/>
      <c r="AS292" s="860"/>
      <c r="AT292" s="860"/>
      <c r="AU292" s="860"/>
      <c r="AV292" s="860"/>
      <c r="AW292" s="860"/>
      <c r="AX292" s="860"/>
      <c r="AY292" s="860"/>
      <c r="AZ292" s="860"/>
      <c r="BA292" s="860"/>
      <c r="BB292" s="860"/>
      <c r="BC292" s="860"/>
      <c r="BD292" s="860"/>
      <c r="BE292" s="860"/>
      <c r="BF292" s="860"/>
      <c r="BG292" s="860"/>
      <c r="BH292" s="668"/>
      <c r="BI292" s="667"/>
      <c r="BJ292" s="690">
        <f t="shared" si="140"/>
        <v>0</v>
      </c>
      <c r="BK292" s="691">
        <f t="shared" si="141"/>
        <v>0</v>
      </c>
      <c r="BL292" s="654"/>
      <c r="BM292" s="692">
        <f>SUMIFS(Imput[[Importe Neto]:[Importe Neto]],Imput[[C. Imp.]:[C. Imp.]],$D292,Imput[[PERIODO Imp.]:[PERIODO Imp.]],BM$9)</f>
        <v>0</v>
      </c>
      <c r="BN292" s="693">
        <f>SUMIFS(Imput[[Importe Neto]:[Importe Neto]],Imput[[C. Imp.]:[C. Imp.]],$D292,Imput[[PERIODO Imp.]:[PERIODO Imp.]],BN$9)</f>
        <v>0</v>
      </c>
      <c r="BO292" s="693">
        <f>SUMIFS(Imput[[Importe Neto]:[Importe Neto]],Imput[[C. Imp.]:[C. Imp.]],$D292,Imput[[PERIODO Imp.]:[PERIODO Imp.]],BO$9)</f>
        <v>0</v>
      </c>
      <c r="BP292" s="693">
        <f>SUMIFS(Imput[[Importe Neto]:[Importe Neto]],Imput[[C. Imp.]:[C. Imp.]],$D292,Imput[[PERIODO Imp.]:[PERIODO Imp.]],BP$9)</f>
        <v>0</v>
      </c>
      <c r="BQ292" s="693">
        <f>SUMIFS(Imput[[Importe Neto]:[Importe Neto]],Imput[[C. Imp.]:[C. Imp.]],$D292,Imput[[PERIODO Imp.]:[PERIODO Imp.]],BQ$9)</f>
        <v>0</v>
      </c>
      <c r="BR292" s="693">
        <f>SUMIFS(Imput[[Importe Neto]:[Importe Neto]],Imput[[C. Imp.]:[C. Imp.]],$D292,Imput[[PERIODO Imp.]:[PERIODO Imp.]],BR$9)</f>
        <v>0</v>
      </c>
      <c r="BS292" s="693">
        <f>SUMIFS(Imput[[Importe Neto]:[Importe Neto]],Imput[[C. Imp.]:[C. Imp.]],$D292,Imput[[PERIODO Imp.]:[PERIODO Imp.]],BS$9)</f>
        <v>0</v>
      </c>
      <c r="BT292" s="693">
        <f>SUMIFS(Imput[[Importe Neto]:[Importe Neto]],Imput[[C. Imp.]:[C. Imp.]],$D292,Imput[[PERIODO Imp.]:[PERIODO Imp.]],BT$9)</f>
        <v>0</v>
      </c>
      <c r="BU292" s="693">
        <f>SUMIFS(Imput[[Importe Neto]:[Importe Neto]],Imput[[C. Imp.]:[C. Imp.]],$D292,Imput[[PERIODO Imp.]:[PERIODO Imp.]],BU$9)</f>
        <v>0</v>
      </c>
      <c r="BV292" s="693">
        <f>SUMIFS(Imput[[Importe Neto]:[Importe Neto]],Imput[[C. Imp.]:[C. Imp.]],$D292,Imput[[PERIODO Imp.]:[PERIODO Imp.]],BV$9)</f>
        <v>0</v>
      </c>
      <c r="BW292" s="693">
        <f>SUMIFS(Imput[[Importe Neto]:[Importe Neto]],Imput[[C. Imp.]:[C. Imp.]],$D292,Imput[[PERIODO Imp.]:[PERIODO Imp.]],BW$9)</f>
        <v>0</v>
      </c>
      <c r="BX292" s="693">
        <f>SUMIFS(Imput[[Importe Neto]:[Importe Neto]],Imput[[C. Imp.]:[C. Imp.]],$D292,Imput[[PERIODO Imp.]:[PERIODO Imp.]],BX$9)</f>
        <v>0</v>
      </c>
      <c r="BY292" s="693">
        <f>SUMIFS(Imput[[Importe Neto]:[Importe Neto]],Imput[[C. Imp.]:[C. Imp.]],$D292,Imput[[PERIODO Imp.]:[PERIODO Imp.]],BY$9)</f>
        <v>0</v>
      </c>
      <c r="BZ292" s="693">
        <f>SUMIFS(Imput[[Importe Neto]:[Importe Neto]],Imput[[C. Imp.]:[C. Imp.]],$D292,Imput[[PERIODO Imp.]:[PERIODO Imp.]],BZ$9)</f>
        <v>0</v>
      </c>
      <c r="CA292" s="693">
        <f>SUMIFS(Imput[[Importe Neto]:[Importe Neto]],Imput[[C. Imp.]:[C. Imp.]],$D292,Imput[[PERIODO Imp.]:[PERIODO Imp.]],CA$9)</f>
        <v>0</v>
      </c>
      <c r="CB292" s="693">
        <f>SUMIFS(Imput[[Importe Neto]:[Importe Neto]],Imput[[C. Imp.]:[C. Imp.]],$D292,Imput[[PERIODO Imp.]:[PERIODO Imp.]],CB$9)</f>
        <v>0</v>
      </c>
      <c r="CC292" s="693">
        <f>SUMIFS(Imput[[Importe Neto]:[Importe Neto]],Imput[[C. Imp.]:[C. Imp.]],$D292,Imput[[PERIODO Imp.]:[PERIODO Imp.]],CC$9)</f>
        <v>0</v>
      </c>
      <c r="CD292" s="693">
        <f>SUMIFS(Imput[[Importe Neto]:[Importe Neto]],Imput[[C. Imp.]:[C. Imp.]],$D292,Imput[[PERIODO Imp.]:[PERIODO Imp.]],CD$9)</f>
        <v>0</v>
      </c>
      <c r="CE292" s="693">
        <f>SUMIFS(Imput[[Importe Neto]:[Importe Neto]],Imput[[C. Imp.]:[C. Imp.]],$D292,Imput[[PERIODO Imp.]:[PERIODO Imp.]],CE$9)</f>
        <v>0</v>
      </c>
      <c r="CF292" s="693">
        <f>SUMIFS(Imput[[Importe Neto]:[Importe Neto]],Imput[[C. Imp.]:[C. Imp.]],$D292,Imput[[PERIODO Imp.]:[PERIODO Imp.]],CF$9)</f>
        <v>0</v>
      </c>
      <c r="CG292" s="693">
        <f>SUMIFS(Imput[[Importe Neto]:[Importe Neto]],Imput[[C. Imp.]:[C. Imp.]],$D292,Imput[[PERIODO Imp.]:[PERIODO Imp.]],CG$9)</f>
        <v>0</v>
      </c>
      <c r="CH292" s="693">
        <f>SUMIFS(Imput[[Importe Neto]:[Importe Neto]],Imput[[C. Imp.]:[C. Imp.]],$D292,Imput[[PERIODO Imp.]:[PERIODO Imp.]],CH$9)</f>
        <v>0</v>
      </c>
      <c r="CI292" s="693">
        <f>SUMIFS(Imput[[Importe Neto]:[Importe Neto]],Imput[[C. Imp.]:[C. Imp.]],$D292,Imput[[PERIODO Imp.]:[PERIODO Imp.]],CI$9)</f>
        <v>0</v>
      </c>
      <c r="CJ292" s="693">
        <f>SUMIFS(Imput[[Importe Neto]:[Importe Neto]],Imput[[C. Imp.]:[C. Imp.]],$D292,Imput[[PERIODO Imp.]:[PERIODO Imp.]],CJ$9)</f>
        <v>0</v>
      </c>
      <c r="CK292" s="693">
        <f>SUMIFS(Imput[[Importe Neto]:[Importe Neto]],Imput[[C. Imp.]:[C. Imp.]],$D292,Imput[[PERIODO Imp.]:[PERIODO Imp.]],CK$9)</f>
        <v>0</v>
      </c>
      <c r="CL292" s="693">
        <f>SUMIFS(Imput[[Importe Neto]:[Importe Neto]],Imput[[C. Imp.]:[C. Imp.]],$D292,Imput[[PERIODO Imp.]:[PERIODO Imp.]],CL$9)</f>
        <v>0</v>
      </c>
      <c r="CM292" s="693">
        <f>SUMIFS(Imput[[Importe Neto]:[Importe Neto]],Imput[[C. Imp.]:[C. Imp.]],$D292,Imput[[PERIODO Imp.]:[PERIODO Imp.]],CM$9)</f>
        <v>0</v>
      </c>
      <c r="CN292" s="693">
        <f>SUMIFS(Imput[[Importe Neto]:[Importe Neto]],Imput[[C. Imp.]:[C. Imp.]],$D292,Imput[[PERIODO Imp.]:[PERIODO Imp.]],CN$9)</f>
        <v>0</v>
      </c>
      <c r="CO292" s="693">
        <f>SUMIFS(Imput[[Importe Neto]:[Importe Neto]],Imput[[C. Imp.]:[C. Imp.]],$D292,Imput[[PERIODO Imp.]:[PERIODO Imp.]],CO$9)</f>
        <v>0</v>
      </c>
      <c r="CP292" s="693">
        <f>SUMIFS(Imput[[Importe Neto]:[Importe Neto]],Imput[[C. Imp.]:[C. Imp.]],$D292,Imput[[PERIODO Imp.]:[PERIODO Imp.]],CP$9)</f>
        <v>0</v>
      </c>
      <c r="CQ292" s="693">
        <f>SUMIFS(Imput[[Importe Neto]:[Importe Neto]],Imput[[C. Imp.]:[C. Imp.]],$D292,Imput[[PERIODO Imp.]:[PERIODO Imp.]],CQ$9)</f>
        <v>0</v>
      </c>
      <c r="CR292" s="693">
        <f>SUMIFS(Imput[[Importe Neto]:[Importe Neto]],Imput[[C. Imp.]:[C. Imp.]],$D292,Imput[[PERIODO Imp.]:[PERIODO Imp.]],CR$9)</f>
        <v>0</v>
      </c>
      <c r="CS292" s="693">
        <f>SUMIFS(Imput[[Importe Neto]:[Importe Neto]],Imput[[C. Imp.]:[C. Imp.]],$D292,Imput[[PERIODO Imp.]:[PERIODO Imp.]],CS$9)</f>
        <v>0</v>
      </c>
      <c r="CT292" s="693">
        <f>SUMIFS(Imput[[Importe Neto]:[Importe Neto]],Imput[[C. Imp.]:[C. Imp.]],$D292,Imput[[PERIODO Imp.]:[PERIODO Imp.]],CT$9)</f>
        <v>0</v>
      </c>
      <c r="CU292" s="693">
        <f>SUMIFS(Imput[[Importe Neto]:[Importe Neto]],Imput[[C. Imp.]:[C. Imp.]],$D292,Imput[[PERIODO Imp.]:[PERIODO Imp.]],CU$9)</f>
        <v>0</v>
      </c>
      <c r="CV292" s="693">
        <f>SUMIFS(Imput[[Importe Neto]:[Importe Neto]],Imput[[C. Imp.]:[C. Imp.]],$D292,Imput[[PERIODO Imp.]:[PERIODO Imp.]],CV$9)</f>
        <v>0</v>
      </c>
      <c r="CW292" s="693">
        <f>SUMIFS(Imput[[Importe Neto]:[Importe Neto]],Imput[[C. Imp.]:[C. Imp.]],$D292,Imput[[PERIODO Imp.]:[PERIODO Imp.]],CW$9)</f>
        <v>0</v>
      </c>
      <c r="CX292" s="693">
        <f>SUMIFS(Imput[[Importe Neto]:[Importe Neto]],Imput[[C. Imp.]:[C. Imp.]],$D292,Imput[[PERIODO Imp.]:[PERIODO Imp.]],CX$9)</f>
        <v>0</v>
      </c>
      <c r="CY292" s="693">
        <f>SUMIFS(Imput[[Importe Neto]:[Importe Neto]],Imput[[C. Imp.]:[C. Imp.]],$D292,Imput[[PERIODO Imp.]:[PERIODO Imp.]],CY$9)</f>
        <v>0</v>
      </c>
      <c r="CZ292" s="693">
        <f>SUMIFS(Imput[[Importe Neto]:[Importe Neto]],Imput[[C. Imp.]:[C. Imp.]],$D292,Imput[[PERIODO Imp.]:[PERIODO Imp.]],CZ$9)</f>
        <v>0</v>
      </c>
      <c r="DA292" s="693">
        <f>SUMIFS(Imput[[Importe Neto]:[Importe Neto]],Imput[[C. Imp.]:[C. Imp.]],$D292,Imput[[PERIODO Imp.]:[PERIODO Imp.]],DA$9)</f>
        <v>0</v>
      </c>
      <c r="DB292" s="693">
        <f>SUMIFS(Imput[[Importe Neto]:[Importe Neto]],Imput[[C. Imp.]:[C. Imp.]],$D292,Imput[[PERIODO Imp.]:[PERIODO Imp.]],DB$9)</f>
        <v>0</v>
      </c>
      <c r="DC292" s="693">
        <f>SUMIFS(Imput[[Importe Neto]:[Importe Neto]],Imput[[C. Imp.]:[C. Imp.]],$D292,Imput[[PERIODO Imp.]:[PERIODO Imp.]],DC$9)</f>
        <v>0</v>
      </c>
      <c r="DD292" s="693">
        <f>SUMIFS(Imput[[Importe Neto]:[Importe Neto]],Imput[[C. Imp.]:[C. Imp.]],$D292,Imput[[PERIODO Imp.]:[PERIODO Imp.]],DD$9)</f>
        <v>0</v>
      </c>
      <c r="DE292" s="693">
        <f>SUMIFS(Imput[[Importe Neto]:[Importe Neto]],Imput[[C. Imp.]:[C. Imp.]],$D292,Imput[[PERIODO Imp.]:[PERIODO Imp.]],DE$9)</f>
        <v>0</v>
      </c>
      <c r="DF292" s="693">
        <f>SUMIFS(Imput[[Importe Neto]:[Importe Neto]],Imput[[C. Imp.]:[C. Imp.]],$D292,Imput[[PERIODO Imp.]:[PERIODO Imp.]],DF$9)</f>
        <v>0</v>
      </c>
      <c r="DG292" s="693">
        <f>SUMIFS(Imput[[Importe Neto]:[Importe Neto]],Imput[[C. Imp.]:[C. Imp.]],$D292,Imput[[PERIODO Imp.]:[PERIODO Imp.]],DG$9)</f>
        <v>0</v>
      </c>
      <c r="DH292" s="694">
        <f>SUMIFS(Imput[[Importe Neto]:[Importe Neto]],Imput[[C. Imp.]:[C. Imp.]],$D292,Imput[[PERIODO Imp.]:[PERIODO Imp.]],DH$9)</f>
        <v>0</v>
      </c>
    </row>
    <row r="293" spans="1:112" s="649" customFormat="1" hidden="1" outlineLevel="1" x14ac:dyDescent="0.3">
      <c r="A293" s="652" t="str">
        <f t="shared" si="137"/>
        <v/>
      </c>
      <c r="B293" s="652"/>
      <c r="C293" s="685"/>
      <c r="D293" s="686" t="s">
        <v>2367</v>
      </c>
      <c r="E293" s="686"/>
      <c r="F293" s="720"/>
      <c r="G293" s="688"/>
      <c r="H293" s="689"/>
      <c r="I293" s="851" t="str">
        <f t="shared" si="138"/>
        <v/>
      </c>
      <c r="J293" s="850" t="str">
        <f t="shared" si="139"/>
        <v/>
      </c>
      <c r="K293" s="667"/>
      <c r="L293" s="858"/>
      <c r="M293" s="859"/>
      <c r="N293" s="859"/>
      <c r="O293" s="859"/>
      <c r="P293" s="859"/>
      <c r="Q293" s="859"/>
      <c r="R293" s="859"/>
      <c r="S293" s="859"/>
      <c r="T293" s="859"/>
      <c r="U293" s="859"/>
      <c r="V293" s="859"/>
      <c r="W293" s="859"/>
      <c r="X293" s="859"/>
      <c r="Y293" s="859"/>
      <c r="Z293" s="860"/>
      <c r="AA293" s="860"/>
      <c r="AB293" s="860"/>
      <c r="AC293" s="860"/>
      <c r="AD293" s="860"/>
      <c r="AE293" s="860"/>
      <c r="AF293" s="860"/>
      <c r="AG293" s="860"/>
      <c r="AH293" s="860"/>
      <c r="AI293" s="860"/>
      <c r="AJ293" s="860"/>
      <c r="AK293" s="860"/>
      <c r="AL293" s="860"/>
      <c r="AM293" s="860"/>
      <c r="AN293" s="860"/>
      <c r="AO293" s="860"/>
      <c r="AP293" s="860"/>
      <c r="AQ293" s="860"/>
      <c r="AR293" s="860"/>
      <c r="AS293" s="860"/>
      <c r="AT293" s="860"/>
      <c r="AU293" s="860"/>
      <c r="AV293" s="860"/>
      <c r="AW293" s="860"/>
      <c r="AX293" s="860"/>
      <c r="AY293" s="860"/>
      <c r="AZ293" s="860"/>
      <c r="BA293" s="860"/>
      <c r="BB293" s="860"/>
      <c r="BC293" s="860"/>
      <c r="BD293" s="860"/>
      <c r="BE293" s="860"/>
      <c r="BF293" s="860"/>
      <c r="BG293" s="860"/>
      <c r="BH293" s="668"/>
      <c r="BI293" s="667"/>
      <c r="BJ293" s="690">
        <f t="shared" si="140"/>
        <v>0</v>
      </c>
      <c r="BK293" s="691">
        <f t="shared" si="141"/>
        <v>0</v>
      </c>
      <c r="BL293" s="654"/>
      <c r="BM293" s="692">
        <f>SUMIFS(Imput[[Importe Neto]:[Importe Neto]],Imput[[C. Imp.]:[C. Imp.]],$D293,Imput[[PERIODO Imp.]:[PERIODO Imp.]],BM$9)</f>
        <v>0</v>
      </c>
      <c r="BN293" s="693">
        <f>SUMIFS(Imput[[Importe Neto]:[Importe Neto]],Imput[[C. Imp.]:[C. Imp.]],$D293,Imput[[PERIODO Imp.]:[PERIODO Imp.]],BN$9)</f>
        <v>0</v>
      </c>
      <c r="BO293" s="693">
        <f>SUMIFS(Imput[[Importe Neto]:[Importe Neto]],Imput[[C. Imp.]:[C. Imp.]],$D293,Imput[[PERIODO Imp.]:[PERIODO Imp.]],BO$9)</f>
        <v>0</v>
      </c>
      <c r="BP293" s="693">
        <f>SUMIFS(Imput[[Importe Neto]:[Importe Neto]],Imput[[C. Imp.]:[C. Imp.]],$D293,Imput[[PERIODO Imp.]:[PERIODO Imp.]],BP$9)</f>
        <v>0</v>
      </c>
      <c r="BQ293" s="693">
        <f>SUMIFS(Imput[[Importe Neto]:[Importe Neto]],Imput[[C. Imp.]:[C. Imp.]],$D293,Imput[[PERIODO Imp.]:[PERIODO Imp.]],BQ$9)</f>
        <v>0</v>
      </c>
      <c r="BR293" s="693">
        <f>SUMIFS(Imput[[Importe Neto]:[Importe Neto]],Imput[[C. Imp.]:[C. Imp.]],$D293,Imput[[PERIODO Imp.]:[PERIODO Imp.]],BR$9)</f>
        <v>0</v>
      </c>
      <c r="BS293" s="693">
        <f>SUMIFS(Imput[[Importe Neto]:[Importe Neto]],Imput[[C. Imp.]:[C. Imp.]],$D293,Imput[[PERIODO Imp.]:[PERIODO Imp.]],BS$9)</f>
        <v>0</v>
      </c>
      <c r="BT293" s="693">
        <f>SUMIFS(Imput[[Importe Neto]:[Importe Neto]],Imput[[C. Imp.]:[C. Imp.]],$D293,Imput[[PERIODO Imp.]:[PERIODO Imp.]],BT$9)</f>
        <v>0</v>
      </c>
      <c r="BU293" s="693">
        <f>SUMIFS(Imput[[Importe Neto]:[Importe Neto]],Imput[[C. Imp.]:[C. Imp.]],$D293,Imput[[PERIODO Imp.]:[PERIODO Imp.]],BU$9)</f>
        <v>0</v>
      </c>
      <c r="BV293" s="693">
        <f>SUMIFS(Imput[[Importe Neto]:[Importe Neto]],Imput[[C. Imp.]:[C. Imp.]],$D293,Imput[[PERIODO Imp.]:[PERIODO Imp.]],BV$9)</f>
        <v>0</v>
      </c>
      <c r="BW293" s="693">
        <f>SUMIFS(Imput[[Importe Neto]:[Importe Neto]],Imput[[C. Imp.]:[C. Imp.]],$D293,Imput[[PERIODO Imp.]:[PERIODO Imp.]],BW$9)</f>
        <v>0</v>
      </c>
      <c r="BX293" s="693">
        <f>SUMIFS(Imput[[Importe Neto]:[Importe Neto]],Imput[[C. Imp.]:[C. Imp.]],$D293,Imput[[PERIODO Imp.]:[PERIODO Imp.]],BX$9)</f>
        <v>0</v>
      </c>
      <c r="BY293" s="693">
        <f>SUMIFS(Imput[[Importe Neto]:[Importe Neto]],Imput[[C. Imp.]:[C. Imp.]],$D293,Imput[[PERIODO Imp.]:[PERIODO Imp.]],BY$9)</f>
        <v>0</v>
      </c>
      <c r="BZ293" s="693">
        <f>SUMIFS(Imput[[Importe Neto]:[Importe Neto]],Imput[[C. Imp.]:[C. Imp.]],$D293,Imput[[PERIODO Imp.]:[PERIODO Imp.]],BZ$9)</f>
        <v>0</v>
      </c>
      <c r="CA293" s="693">
        <f>SUMIFS(Imput[[Importe Neto]:[Importe Neto]],Imput[[C. Imp.]:[C. Imp.]],$D293,Imput[[PERIODO Imp.]:[PERIODO Imp.]],CA$9)</f>
        <v>0</v>
      </c>
      <c r="CB293" s="693">
        <f>SUMIFS(Imput[[Importe Neto]:[Importe Neto]],Imput[[C. Imp.]:[C. Imp.]],$D293,Imput[[PERIODO Imp.]:[PERIODO Imp.]],CB$9)</f>
        <v>0</v>
      </c>
      <c r="CC293" s="693">
        <f>SUMIFS(Imput[[Importe Neto]:[Importe Neto]],Imput[[C. Imp.]:[C. Imp.]],$D293,Imput[[PERIODO Imp.]:[PERIODO Imp.]],CC$9)</f>
        <v>0</v>
      </c>
      <c r="CD293" s="693">
        <f>SUMIFS(Imput[[Importe Neto]:[Importe Neto]],Imput[[C. Imp.]:[C. Imp.]],$D293,Imput[[PERIODO Imp.]:[PERIODO Imp.]],CD$9)</f>
        <v>0</v>
      </c>
      <c r="CE293" s="693">
        <f>SUMIFS(Imput[[Importe Neto]:[Importe Neto]],Imput[[C. Imp.]:[C. Imp.]],$D293,Imput[[PERIODO Imp.]:[PERIODO Imp.]],CE$9)</f>
        <v>0</v>
      </c>
      <c r="CF293" s="693">
        <f>SUMIFS(Imput[[Importe Neto]:[Importe Neto]],Imput[[C. Imp.]:[C. Imp.]],$D293,Imput[[PERIODO Imp.]:[PERIODO Imp.]],CF$9)</f>
        <v>0</v>
      </c>
      <c r="CG293" s="693">
        <f>SUMIFS(Imput[[Importe Neto]:[Importe Neto]],Imput[[C. Imp.]:[C. Imp.]],$D293,Imput[[PERIODO Imp.]:[PERIODO Imp.]],CG$9)</f>
        <v>0</v>
      </c>
      <c r="CH293" s="693">
        <f>SUMIFS(Imput[[Importe Neto]:[Importe Neto]],Imput[[C. Imp.]:[C. Imp.]],$D293,Imput[[PERIODO Imp.]:[PERIODO Imp.]],CH$9)</f>
        <v>0</v>
      </c>
      <c r="CI293" s="693">
        <f>SUMIFS(Imput[[Importe Neto]:[Importe Neto]],Imput[[C. Imp.]:[C. Imp.]],$D293,Imput[[PERIODO Imp.]:[PERIODO Imp.]],CI$9)</f>
        <v>0</v>
      </c>
      <c r="CJ293" s="693">
        <f>SUMIFS(Imput[[Importe Neto]:[Importe Neto]],Imput[[C. Imp.]:[C. Imp.]],$D293,Imput[[PERIODO Imp.]:[PERIODO Imp.]],CJ$9)</f>
        <v>0</v>
      </c>
      <c r="CK293" s="693">
        <f>SUMIFS(Imput[[Importe Neto]:[Importe Neto]],Imput[[C. Imp.]:[C. Imp.]],$D293,Imput[[PERIODO Imp.]:[PERIODO Imp.]],CK$9)</f>
        <v>0</v>
      </c>
      <c r="CL293" s="693">
        <f>SUMIFS(Imput[[Importe Neto]:[Importe Neto]],Imput[[C. Imp.]:[C. Imp.]],$D293,Imput[[PERIODO Imp.]:[PERIODO Imp.]],CL$9)</f>
        <v>0</v>
      </c>
      <c r="CM293" s="693">
        <f>SUMIFS(Imput[[Importe Neto]:[Importe Neto]],Imput[[C. Imp.]:[C. Imp.]],$D293,Imput[[PERIODO Imp.]:[PERIODO Imp.]],CM$9)</f>
        <v>0</v>
      </c>
      <c r="CN293" s="693">
        <f>SUMIFS(Imput[[Importe Neto]:[Importe Neto]],Imput[[C. Imp.]:[C. Imp.]],$D293,Imput[[PERIODO Imp.]:[PERIODO Imp.]],CN$9)</f>
        <v>0</v>
      </c>
      <c r="CO293" s="693">
        <f>SUMIFS(Imput[[Importe Neto]:[Importe Neto]],Imput[[C. Imp.]:[C. Imp.]],$D293,Imput[[PERIODO Imp.]:[PERIODO Imp.]],CO$9)</f>
        <v>0</v>
      </c>
      <c r="CP293" s="693">
        <f>SUMIFS(Imput[[Importe Neto]:[Importe Neto]],Imput[[C. Imp.]:[C. Imp.]],$D293,Imput[[PERIODO Imp.]:[PERIODO Imp.]],CP$9)</f>
        <v>0</v>
      </c>
      <c r="CQ293" s="693">
        <f>SUMIFS(Imput[[Importe Neto]:[Importe Neto]],Imput[[C. Imp.]:[C. Imp.]],$D293,Imput[[PERIODO Imp.]:[PERIODO Imp.]],CQ$9)</f>
        <v>0</v>
      </c>
      <c r="CR293" s="693">
        <f>SUMIFS(Imput[[Importe Neto]:[Importe Neto]],Imput[[C. Imp.]:[C. Imp.]],$D293,Imput[[PERIODO Imp.]:[PERIODO Imp.]],CR$9)</f>
        <v>0</v>
      </c>
      <c r="CS293" s="693">
        <f>SUMIFS(Imput[[Importe Neto]:[Importe Neto]],Imput[[C. Imp.]:[C. Imp.]],$D293,Imput[[PERIODO Imp.]:[PERIODO Imp.]],CS$9)</f>
        <v>0</v>
      </c>
      <c r="CT293" s="693">
        <f>SUMIFS(Imput[[Importe Neto]:[Importe Neto]],Imput[[C. Imp.]:[C. Imp.]],$D293,Imput[[PERIODO Imp.]:[PERIODO Imp.]],CT$9)</f>
        <v>0</v>
      </c>
      <c r="CU293" s="693">
        <f>SUMIFS(Imput[[Importe Neto]:[Importe Neto]],Imput[[C. Imp.]:[C. Imp.]],$D293,Imput[[PERIODO Imp.]:[PERIODO Imp.]],CU$9)</f>
        <v>0</v>
      </c>
      <c r="CV293" s="693">
        <f>SUMIFS(Imput[[Importe Neto]:[Importe Neto]],Imput[[C. Imp.]:[C. Imp.]],$D293,Imput[[PERIODO Imp.]:[PERIODO Imp.]],CV$9)</f>
        <v>0</v>
      </c>
      <c r="CW293" s="693">
        <f>SUMIFS(Imput[[Importe Neto]:[Importe Neto]],Imput[[C. Imp.]:[C. Imp.]],$D293,Imput[[PERIODO Imp.]:[PERIODO Imp.]],CW$9)</f>
        <v>0</v>
      </c>
      <c r="CX293" s="693">
        <f>SUMIFS(Imput[[Importe Neto]:[Importe Neto]],Imput[[C. Imp.]:[C. Imp.]],$D293,Imput[[PERIODO Imp.]:[PERIODO Imp.]],CX$9)</f>
        <v>0</v>
      </c>
      <c r="CY293" s="693">
        <f>SUMIFS(Imput[[Importe Neto]:[Importe Neto]],Imput[[C. Imp.]:[C. Imp.]],$D293,Imput[[PERIODO Imp.]:[PERIODO Imp.]],CY$9)</f>
        <v>0</v>
      </c>
      <c r="CZ293" s="693">
        <f>SUMIFS(Imput[[Importe Neto]:[Importe Neto]],Imput[[C. Imp.]:[C. Imp.]],$D293,Imput[[PERIODO Imp.]:[PERIODO Imp.]],CZ$9)</f>
        <v>0</v>
      </c>
      <c r="DA293" s="693">
        <f>SUMIFS(Imput[[Importe Neto]:[Importe Neto]],Imput[[C. Imp.]:[C. Imp.]],$D293,Imput[[PERIODO Imp.]:[PERIODO Imp.]],DA$9)</f>
        <v>0</v>
      </c>
      <c r="DB293" s="693">
        <f>SUMIFS(Imput[[Importe Neto]:[Importe Neto]],Imput[[C. Imp.]:[C. Imp.]],$D293,Imput[[PERIODO Imp.]:[PERIODO Imp.]],DB$9)</f>
        <v>0</v>
      </c>
      <c r="DC293" s="693">
        <f>SUMIFS(Imput[[Importe Neto]:[Importe Neto]],Imput[[C. Imp.]:[C. Imp.]],$D293,Imput[[PERIODO Imp.]:[PERIODO Imp.]],DC$9)</f>
        <v>0</v>
      </c>
      <c r="DD293" s="693">
        <f>SUMIFS(Imput[[Importe Neto]:[Importe Neto]],Imput[[C. Imp.]:[C. Imp.]],$D293,Imput[[PERIODO Imp.]:[PERIODO Imp.]],DD$9)</f>
        <v>0</v>
      </c>
      <c r="DE293" s="693">
        <f>SUMIFS(Imput[[Importe Neto]:[Importe Neto]],Imput[[C. Imp.]:[C. Imp.]],$D293,Imput[[PERIODO Imp.]:[PERIODO Imp.]],DE$9)</f>
        <v>0</v>
      </c>
      <c r="DF293" s="693">
        <f>SUMIFS(Imput[[Importe Neto]:[Importe Neto]],Imput[[C. Imp.]:[C. Imp.]],$D293,Imput[[PERIODO Imp.]:[PERIODO Imp.]],DF$9)</f>
        <v>0</v>
      </c>
      <c r="DG293" s="693">
        <f>SUMIFS(Imput[[Importe Neto]:[Importe Neto]],Imput[[C. Imp.]:[C. Imp.]],$D293,Imput[[PERIODO Imp.]:[PERIODO Imp.]],DG$9)</f>
        <v>0</v>
      </c>
      <c r="DH293" s="694">
        <f>SUMIFS(Imput[[Importe Neto]:[Importe Neto]],Imput[[C. Imp.]:[C. Imp.]],$D293,Imput[[PERIODO Imp.]:[PERIODO Imp.]],DH$9)</f>
        <v>0</v>
      </c>
    </row>
    <row r="294" spans="1:112" s="649" customFormat="1" hidden="1" outlineLevel="1" x14ac:dyDescent="0.3">
      <c r="A294" s="652" t="str">
        <f t="shared" si="137"/>
        <v/>
      </c>
      <c r="B294" s="652"/>
      <c r="C294" s="685"/>
      <c r="D294" s="686" t="s">
        <v>2368</v>
      </c>
      <c r="E294" s="686"/>
      <c r="F294" s="720"/>
      <c r="G294" s="688"/>
      <c r="H294" s="689"/>
      <c r="I294" s="851" t="str">
        <f t="shared" si="138"/>
        <v/>
      </c>
      <c r="J294" s="850" t="str">
        <f t="shared" si="139"/>
        <v/>
      </c>
      <c r="K294" s="667"/>
      <c r="L294" s="858"/>
      <c r="M294" s="859"/>
      <c r="N294" s="859"/>
      <c r="O294" s="859"/>
      <c r="P294" s="859"/>
      <c r="Q294" s="859"/>
      <c r="R294" s="859"/>
      <c r="S294" s="859"/>
      <c r="T294" s="859"/>
      <c r="U294" s="859"/>
      <c r="V294" s="859"/>
      <c r="W294" s="859"/>
      <c r="X294" s="859"/>
      <c r="Y294" s="859"/>
      <c r="Z294" s="860"/>
      <c r="AA294" s="860"/>
      <c r="AB294" s="860"/>
      <c r="AC294" s="860"/>
      <c r="AD294" s="860"/>
      <c r="AE294" s="860"/>
      <c r="AF294" s="860"/>
      <c r="AG294" s="860"/>
      <c r="AH294" s="860"/>
      <c r="AI294" s="860"/>
      <c r="AJ294" s="860"/>
      <c r="AK294" s="860"/>
      <c r="AL294" s="860"/>
      <c r="AM294" s="860"/>
      <c r="AN294" s="860"/>
      <c r="AO294" s="860"/>
      <c r="AP294" s="860"/>
      <c r="AQ294" s="860"/>
      <c r="AR294" s="860"/>
      <c r="AS294" s="860"/>
      <c r="AT294" s="860"/>
      <c r="AU294" s="860"/>
      <c r="AV294" s="860"/>
      <c r="AW294" s="860"/>
      <c r="AX294" s="860"/>
      <c r="AY294" s="860"/>
      <c r="AZ294" s="860"/>
      <c r="BA294" s="860"/>
      <c r="BB294" s="860"/>
      <c r="BC294" s="860"/>
      <c r="BD294" s="860"/>
      <c r="BE294" s="860"/>
      <c r="BF294" s="860"/>
      <c r="BG294" s="860"/>
      <c r="BH294" s="668"/>
      <c r="BI294" s="667"/>
      <c r="BJ294" s="690">
        <f t="shared" si="140"/>
        <v>0</v>
      </c>
      <c r="BK294" s="691">
        <f t="shared" si="141"/>
        <v>0</v>
      </c>
      <c r="BL294" s="654"/>
      <c r="BM294" s="692">
        <f>SUMIFS(Imput[[Importe Neto]:[Importe Neto]],Imput[[C. Imp.]:[C. Imp.]],$D294,Imput[[PERIODO Imp.]:[PERIODO Imp.]],BM$9)</f>
        <v>0</v>
      </c>
      <c r="BN294" s="693">
        <f>SUMIFS(Imput[[Importe Neto]:[Importe Neto]],Imput[[C. Imp.]:[C. Imp.]],$D294,Imput[[PERIODO Imp.]:[PERIODO Imp.]],BN$9)</f>
        <v>0</v>
      </c>
      <c r="BO294" s="693">
        <f>SUMIFS(Imput[[Importe Neto]:[Importe Neto]],Imput[[C. Imp.]:[C. Imp.]],$D294,Imput[[PERIODO Imp.]:[PERIODO Imp.]],BO$9)</f>
        <v>0</v>
      </c>
      <c r="BP294" s="693">
        <f>SUMIFS(Imput[[Importe Neto]:[Importe Neto]],Imput[[C. Imp.]:[C. Imp.]],$D294,Imput[[PERIODO Imp.]:[PERIODO Imp.]],BP$9)</f>
        <v>0</v>
      </c>
      <c r="BQ294" s="693">
        <f>SUMIFS(Imput[[Importe Neto]:[Importe Neto]],Imput[[C. Imp.]:[C. Imp.]],$D294,Imput[[PERIODO Imp.]:[PERIODO Imp.]],BQ$9)</f>
        <v>0</v>
      </c>
      <c r="BR294" s="693">
        <f>SUMIFS(Imput[[Importe Neto]:[Importe Neto]],Imput[[C. Imp.]:[C. Imp.]],$D294,Imput[[PERIODO Imp.]:[PERIODO Imp.]],BR$9)</f>
        <v>0</v>
      </c>
      <c r="BS294" s="693">
        <f>SUMIFS(Imput[[Importe Neto]:[Importe Neto]],Imput[[C. Imp.]:[C. Imp.]],$D294,Imput[[PERIODO Imp.]:[PERIODO Imp.]],BS$9)</f>
        <v>0</v>
      </c>
      <c r="BT294" s="693">
        <f>SUMIFS(Imput[[Importe Neto]:[Importe Neto]],Imput[[C. Imp.]:[C. Imp.]],$D294,Imput[[PERIODO Imp.]:[PERIODO Imp.]],BT$9)</f>
        <v>0</v>
      </c>
      <c r="BU294" s="693">
        <f>SUMIFS(Imput[[Importe Neto]:[Importe Neto]],Imput[[C. Imp.]:[C. Imp.]],$D294,Imput[[PERIODO Imp.]:[PERIODO Imp.]],BU$9)</f>
        <v>0</v>
      </c>
      <c r="BV294" s="693">
        <f>SUMIFS(Imput[[Importe Neto]:[Importe Neto]],Imput[[C. Imp.]:[C. Imp.]],$D294,Imput[[PERIODO Imp.]:[PERIODO Imp.]],BV$9)</f>
        <v>0</v>
      </c>
      <c r="BW294" s="693">
        <f>SUMIFS(Imput[[Importe Neto]:[Importe Neto]],Imput[[C. Imp.]:[C. Imp.]],$D294,Imput[[PERIODO Imp.]:[PERIODO Imp.]],BW$9)</f>
        <v>0</v>
      </c>
      <c r="BX294" s="693">
        <f>SUMIFS(Imput[[Importe Neto]:[Importe Neto]],Imput[[C. Imp.]:[C. Imp.]],$D294,Imput[[PERIODO Imp.]:[PERIODO Imp.]],BX$9)</f>
        <v>0</v>
      </c>
      <c r="BY294" s="693">
        <f>SUMIFS(Imput[[Importe Neto]:[Importe Neto]],Imput[[C. Imp.]:[C. Imp.]],$D294,Imput[[PERIODO Imp.]:[PERIODO Imp.]],BY$9)</f>
        <v>0</v>
      </c>
      <c r="BZ294" s="693">
        <f>SUMIFS(Imput[[Importe Neto]:[Importe Neto]],Imput[[C. Imp.]:[C. Imp.]],$D294,Imput[[PERIODO Imp.]:[PERIODO Imp.]],BZ$9)</f>
        <v>0</v>
      </c>
      <c r="CA294" s="693">
        <f>SUMIFS(Imput[[Importe Neto]:[Importe Neto]],Imput[[C. Imp.]:[C. Imp.]],$D294,Imput[[PERIODO Imp.]:[PERIODO Imp.]],CA$9)</f>
        <v>0</v>
      </c>
      <c r="CB294" s="693">
        <f>SUMIFS(Imput[[Importe Neto]:[Importe Neto]],Imput[[C. Imp.]:[C. Imp.]],$D294,Imput[[PERIODO Imp.]:[PERIODO Imp.]],CB$9)</f>
        <v>0</v>
      </c>
      <c r="CC294" s="693">
        <f>SUMIFS(Imput[[Importe Neto]:[Importe Neto]],Imput[[C. Imp.]:[C. Imp.]],$D294,Imput[[PERIODO Imp.]:[PERIODO Imp.]],CC$9)</f>
        <v>0</v>
      </c>
      <c r="CD294" s="693">
        <f>SUMIFS(Imput[[Importe Neto]:[Importe Neto]],Imput[[C. Imp.]:[C. Imp.]],$D294,Imput[[PERIODO Imp.]:[PERIODO Imp.]],CD$9)</f>
        <v>0</v>
      </c>
      <c r="CE294" s="693">
        <f>SUMIFS(Imput[[Importe Neto]:[Importe Neto]],Imput[[C. Imp.]:[C. Imp.]],$D294,Imput[[PERIODO Imp.]:[PERIODO Imp.]],CE$9)</f>
        <v>0</v>
      </c>
      <c r="CF294" s="693">
        <f>SUMIFS(Imput[[Importe Neto]:[Importe Neto]],Imput[[C. Imp.]:[C. Imp.]],$D294,Imput[[PERIODO Imp.]:[PERIODO Imp.]],CF$9)</f>
        <v>0</v>
      </c>
      <c r="CG294" s="693">
        <f>SUMIFS(Imput[[Importe Neto]:[Importe Neto]],Imput[[C. Imp.]:[C. Imp.]],$D294,Imput[[PERIODO Imp.]:[PERIODO Imp.]],CG$9)</f>
        <v>0</v>
      </c>
      <c r="CH294" s="693">
        <f>SUMIFS(Imput[[Importe Neto]:[Importe Neto]],Imput[[C. Imp.]:[C. Imp.]],$D294,Imput[[PERIODO Imp.]:[PERIODO Imp.]],CH$9)</f>
        <v>0</v>
      </c>
      <c r="CI294" s="693">
        <f>SUMIFS(Imput[[Importe Neto]:[Importe Neto]],Imput[[C. Imp.]:[C. Imp.]],$D294,Imput[[PERIODO Imp.]:[PERIODO Imp.]],CI$9)</f>
        <v>0</v>
      </c>
      <c r="CJ294" s="693">
        <f>SUMIFS(Imput[[Importe Neto]:[Importe Neto]],Imput[[C. Imp.]:[C. Imp.]],$D294,Imput[[PERIODO Imp.]:[PERIODO Imp.]],CJ$9)</f>
        <v>0</v>
      </c>
      <c r="CK294" s="693">
        <f>SUMIFS(Imput[[Importe Neto]:[Importe Neto]],Imput[[C. Imp.]:[C. Imp.]],$D294,Imput[[PERIODO Imp.]:[PERIODO Imp.]],CK$9)</f>
        <v>0</v>
      </c>
      <c r="CL294" s="693">
        <f>SUMIFS(Imput[[Importe Neto]:[Importe Neto]],Imput[[C. Imp.]:[C. Imp.]],$D294,Imput[[PERIODO Imp.]:[PERIODO Imp.]],CL$9)</f>
        <v>0</v>
      </c>
      <c r="CM294" s="693">
        <f>SUMIFS(Imput[[Importe Neto]:[Importe Neto]],Imput[[C. Imp.]:[C. Imp.]],$D294,Imput[[PERIODO Imp.]:[PERIODO Imp.]],CM$9)</f>
        <v>0</v>
      </c>
      <c r="CN294" s="693">
        <f>SUMIFS(Imput[[Importe Neto]:[Importe Neto]],Imput[[C. Imp.]:[C. Imp.]],$D294,Imput[[PERIODO Imp.]:[PERIODO Imp.]],CN$9)</f>
        <v>0</v>
      </c>
      <c r="CO294" s="693">
        <f>SUMIFS(Imput[[Importe Neto]:[Importe Neto]],Imput[[C. Imp.]:[C. Imp.]],$D294,Imput[[PERIODO Imp.]:[PERIODO Imp.]],CO$9)</f>
        <v>0</v>
      </c>
      <c r="CP294" s="693">
        <f>SUMIFS(Imput[[Importe Neto]:[Importe Neto]],Imput[[C. Imp.]:[C. Imp.]],$D294,Imput[[PERIODO Imp.]:[PERIODO Imp.]],CP$9)</f>
        <v>0</v>
      </c>
      <c r="CQ294" s="693">
        <f>SUMIFS(Imput[[Importe Neto]:[Importe Neto]],Imput[[C. Imp.]:[C. Imp.]],$D294,Imput[[PERIODO Imp.]:[PERIODO Imp.]],CQ$9)</f>
        <v>0</v>
      </c>
      <c r="CR294" s="693">
        <f>SUMIFS(Imput[[Importe Neto]:[Importe Neto]],Imput[[C. Imp.]:[C. Imp.]],$D294,Imput[[PERIODO Imp.]:[PERIODO Imp.]],CR$9)</f>
        <v>0</v>
      </c>
      <c r="CS294" s="693">
        <f>SUMIFS(Imput[[Importe Neto]:[Importe Neto]],Imput[[C. Imp.]:[C. Imp.]],$D294,Imput[[PERIODO Imp.]:[PERIODO Imp.]],CS$9)</f>
        <v>0</v>
      </c>
      <c r="CT294" s="693">
        <f>SUMIFS(Imput[[Importe Neto]:[Importe Neto]],Imput[[C. Imp.]:[C. Imp.]],$D294,Imput[[PERIODO Imp.]:[PERIODO Imp.]],CT$9)</f>
        <v>0</v>
      </c>
      <c r="CU294" s="693">
        <f>SUMIFS(Imput[[Importe Neto]:[Importe Neto]],Imput[[C. Imp.]:[C. Imp.]],$D294,Imput[[PERIODO Imp.]:[PERIODO Imp.]],CU$9)</f>
        <v>0</v>
      </c>
      <c r="CV294" s="693">
        <f>SUMIFS(Imput[[Importe Neto]:[Importe Neto]],Imput[[C. Imp.]:[C. Imp.]],$D294,Imput[[PERIODO Imp.]:[PERIODO Imp.]],CV$9)</f>
        <v>0</v>
      </c>
      <c r="CW294" s="693">
        <f>SUMIFS(Imput[[Importe Neto]:[Importe Neto]],Imput[[C. Imp.]:[C. Imp.]],$D294,Imput[[PERIODO Imp.]:[PERIODO Imp.]],CW$9)</f>
        <v>0</v>
      </c>
      <c r="CX294" s="693">
        <f>SUMIFS(Imput[[Importe Neto]:[Importe Neto]],Imput[[C. Imp.]:[C. Imp.]],$D294,Imput[[PERIODO Imp.]:[PERIODO Imp.]],CX$9)</f>
        <v>0</v>
      </c>
      <c r="CY294" s="693">
        <f>SUMIFS(Imput[[Importe Neto]:[Importe Neto]],Imput[[C. Imp.]:[C. Imp.]],$D294,Imput[[PERIODO Imp.]:[PERIODO Imp.]],CY$9)</f>
        <v>0</v>
      </c>
      <c r="CZ294" s="693">
        <f>SUMIFS(Imput[[Importe Neto]:[Importe Neto]],Imput[[C. Imp.]:[C. Imp.]],$D294,Imput[[PERIODO Imp.]:[PERIODO Imp.]],CZ$9)</f>
        <v>0</v>
      </c>
      <c r="DA294" s="693">
        <f>SUMIFS(Imput[[Importe Neto]:[Importe Neto]],Imput[[C. Imp.]:[C. Imp.]],$D294,Imput[[PERIODO Imp.]:[PERIODO Imp.]],DA$9)</f>
        <v>0</v>
      </c>
      <c r="DB294" s="693">
        <f>SUMIFS(Imput[[Importe Neto]:[Importe Neto]],Imput[[C. Imp.]:[C. Imp.]],$D294,Imput[[PERIODO Imp.]:[PERIODO Imp.]],DB$9)</f>
        <v>0</v>
      </c>
      <c r="DC294" s="693">
        <f>SUMIFS(Imput[[Importe Neto]:[Importe Neto]],Imput[[C. Imp.]:[C. Imp.]],$D294,Imput[[PERIODO Imp.]:[PERIODO Imp.]],DC$9)</f>
        <v>0</v>
      </c>
      <c r="DD294" s="693">
        <f>SUMIFS(Imput[[Importe Neto]:[Importe Neto]],Imput[[C. Imp.]:[C. Imp.]],$D294,Imput[[PERIODO Imp.]:[PERIODO Imp.]],DD$9)</f>
        <v>0</v>
      </c>
      <c r="DE294" s="693">
        <f>SUMIFS(Imput[[Importe Neto]:[Importe Neto]],Imput[[C. Imp.]:[C. Imp.]],$D294,Imput[[PERIODO Imp.]:[PERIODO Imp.]],DE$9)</f>
        <v>0</v>
      </c>
      <c r="DF294" s="693">
        <f>SUMIFS(Imput[[Importe Neto]:[Importe Neto]],Imput[[C. Imp.]:[C. Imp.]],$D294,Imput[[PERIODO Imp.]:[PERIODO Imp.]],DF$9)</f>
        <v>0</v>
      </c>
      <c r="DG294" s="693">
        <f>SUMIFS(Imput[[Importe Neto]:[Importe Neto]],Imput[[C. Imp.]:[C. Imp.]],$D294,Imput[[PERIODO Imp.]:[PERIODO Imp.]],DG$9)</f>
        <v>0</v>
      </c>
      <c r="DH294" s="694">
        <f>SUMIFS(Imput[[Importe Neto]:[Importe Neto]],Imput[[C. Imp.]:[C. Imp.]],$D294,Imput[[PERIODO Imp.]:[PERIODO Imp.]],DH$9)</f>
        <v>0</v>
      </c>
    </row>
    <row r="295" spans="1:112" s="649" customFormat="1" hidden="1" outlineLevel="1" x14ac:dyDescent="0.3">
      <c r="A295" s="652" t="str">
        <f t="shared" si="137"/>
        <v/>
      </c>
      <c r="B295" s="652"/>
      <c r="C295" s="685"/>
      <c r="D295" s="686" t="s">
        <v>2369</v>
      </c>
      <c r="E295" s="686"/>
      <c r="F295" s="720"/>
      <c r="G295" s="688"/>
      <c r="H295" s="689"/>
      <c r="I295" s="851" t="str">
        <f t="shared" si="138"/>
        <v/>
      </c>
      <c r="J295" s="850" t="str">
        <f t="shared" si="139"/>
        <v/>
      </c>
      <c r="K295" s="667"/>
      <c r="L295" s="858"/>
      <c r="M295" s="859"/>
      <c r="N295" s="859"/>
      <c r="O295" s="859"/>
      <c r="P295" s="859"/>
      <c r="Q295" s="859"/>
      <c r="R295" s="859"/>
      <c r="S295" s="859"/>
      <c r="T295" s="859"/>
      <c r="U295" s="859"/>
      <c r="V295" s="859"/>
      <c r="W295" s="859"/>
      <c r="X295" s="859"/>
      <c r="Y295" s="859"/>
      <c r="Z295" s="860"/>
      <c r="AA295" s="860"/>
      <c r="AB295" s="860"/>
      <c r="AC295" s="860"/>
      <c r="AD295" s="860"/>
      <c r="AE295" s="860"/>
      <c r="AF295" s="860"/>
      <c r="AG295" s="860"/>
      <c r="AH295" s="860"/>
      <c r="AI295" s="860"/>
      <c r="AJ295" s="860"/>
      <c r="AK295" s="860"/>
      <c r="AL295" s="860"/>
      <c r="AM295" s="860"/>
      <c r="AN295" s="860"/>
      <c r="AO295" s="860"/>
      <c r="AP295" s="860"/>
      <c r="AQ295" s="860"/>
      <c r="AR295" s="860"/>
      <c r="AS295" s="860"/>
      <c r="AT295" s="860"/>
      <c r="AU295" s="860"/>
      <c r="AV295" s="860"/>
      <c r="AW295" s="860"/>
      <c r="AX295" s="860"/>
      <c r="AY295" s="860"/>
      <c r="AZ295" s="860"/>
      <c r="BA295" s="860"/>
      <c r="BB295" s="860"/>
      <c r="BC295" s="860"/>
      <c r="BD295" s="860"/>
      <c r="BE295" s="860"/>
      <c r="BF295" s="860"/>
      <c r="BG295" s="860"/>
      <c r="BH295" s="668"/>
      <c r="BI295" s="667"/>
      <c r="BJ295" s="690">
        <f t="shared" si="140"/>
        <v>0</v>
      </c>
      <c r="BK295" s="691">
        <f t="shared" si="141"/>
        <v>0</v>
      </c>
      <c r="BL295" s="654"/>
      <c r="BM295" s="692">
        <f>SUMIFS(Imput[[Importe Neto]:[Importe Neto]],Imput[[C. Imp.]:[C. Imp.]],$D295,Imput[[PERIODO Imp.]:[PERIODO Imp.]],BM$9)</f>
        <v>0</v>
      </c>
      <c r="BN295" s="693">
        <f>SUMIFS(Imput[[Importe Neto]:[Importe Neto]],Imput[[C. Imp.]:[C. Imp.]],$D295,Imput[[PERIODO Imp.]:[PERIODO Imp.]],BN$9)</f>
        <v>0</v>
      </c>
      <c r="BO295" s="693">
        <f>SUMIFS(Imput[[Importe Neto]:[Importe Neto]],Imput[[C. Imp.]:[C. Imp.]],$D295,Imput[[PERIODO Imp.]:[PERIODO Imp.]],BO$9)</f>
        <v>0</v>
      </c>
      <c r="BP295" s="693">
        <f>SUMIFS(Imput[[Importe Neto]:[Importe Neto]],Imput[[C. Imp.]:[C. Imp.]],$D295,Imput[[PERIODO Imp.]:[PERIODO Imp.]],BP$9)</f>
        <v>0</v>
      </c>
      <c r="BQ295" s="693">
        <f>SUMIFS(Imput[[Importe Neto]:[Importe Neto]],Imput[[C. Imp.]:[C. Imp.]],$D295,Imput[[PERIODO Imp.]:[PERIODO Imp.]],BQ$9)</f>
        <v>0</v>
      </c>
      <c r="BR295" s="693">
        <f>SUMIFS(Imput[[Importe Neto]:[Importe Neto]],Imput[[C. Imp.]:[C. Imp.]],$D295,Imput[[PERIODO Imp.]:[PERIODO Imp.]],BR$9)</f>
        <v>0</v>
      </c>
      <c r="BS295" s="693">
        <f>SUMIFS(Imput[[Importe Neto]:[Importe Neto]],Imput[[C. Imp.]:[C. Imp.]],$D295,Imput[[PERIODO Imp.]:[PERIODO Imp.]],BS$9)</f>
        <v>0</v>
      </c>
      <c r="BT295" s="693">
        <f>SUMIFS(Imput[[Importe Neto]:[Importe Neto]],Imput[[C. Imp.]:[C. Imp.]],$D295,Imput[[PERIODO Imp.]:[PERIODO Imp.]],BT$9)</f>
        <v>0</v>
      </c>
      <c r="BU295" s="693">
        <f>SUMIFS(Imput[[Importe Neto]:[Importe Neto]],Imput[[C. Imp.]:[C. Imp.]],$D295,Imput[[PERIODO Imp.]:[PERIODO Imp.]],BU$9)</f>
        <v>0</v>
      </c>
      <c r="BV295" s="693">
        <f>SUMIFS(Imput[[Importe Neto]:[Importe Neto]],Imput[[C. Imp.]:[C. Imp.]],$D295,Imput[[PERIODO Imp.]:[PERIODO Imp.]],BV$9)</f>
        <v>0</v>
      </c>
      <c r="BW295" s="693">
        <f>SUMIFS(Imput[[Importe Neto]:[Importe Neto]],Imput[[C. Imp.]:[C. Imp.]],$D295,Imput[[PERIODO Imp.]:[PERIODO Imp.]],BW$9)</f>
        <v>0</v>
      </c>
      <c r="BX295" s="693">
        <f>SUMIFS(Imput[[Importe Neto]:[Importe Neto]],Imput[[C. Imp.]:[C. Imp.]],$D295,Imput[[PERIODO Imp.]:[PERIODO Imp.]],BX$9)</f>
        <v>0</v>
      </c>
      <c r="BY295" s="693">
        <f>SUMIFS(Imput[[Importe Neto]:[Importe Neto]],Imput[[C. Imp.]:[C. Imp.]],$D295,Imput[[PERIODO Imp.]:[PERIODO Imp.]],BY$9)</f>
        <v>0</v>
      </c>
      <c r="BZ295" s="693">
        <f>SUMIFS(Imput[[Importe Neto]:[Importe Neto]],Imput[[C. Imp.]:[C. Imp.]],$D295,Imput[[PERIODO Imp.]:[PERIODO Imp.]],BZ$9)</f>
        <v>0</v>
      </c>
      <c r="CA295" s="693">
        <f>SUMIFS(Imput[[Importe Neto]:[Importe Neto]],Imput[[C. Imp.]:[C. Imp.]],$D295,Imput[[PERIODO Imp.]:[PERIODO Imp.]],CA$9)</f>
        <v>0</v>
      </c>
      <c r="CB295" s="693">
        <f>SUMIFS(Imput[[Importe Neto]:[Importe Neto]],Imput[[C. Imp.]:[C. Imp.]],$D295,Imput[[PERIODO Imp.]:[PERIODO Imp.]],CB$9)</f>
        <v>0</v>
      </c>
      <c r="CC295" s="693">
        <f>SUMIFS(Imput[[Importe Neto]:[Importe Neto]],Imput[[C. Imp.]:[C. Imp.]],$D295,Imput[[PERIODO Imp.]:[PERIODO Imp.]],CC$9)</f>
        <v>0</v>
      </c>
      <c r="CD295" s="693">
        <f>SUMIFS(Imput[[Importe Neto]:[Importe Neto]],Imput[[C. Imp.]:[C. Imp.]],$D295,Imput[[PERIODO Imp.]:[PERIODO Imp.]],CD$9)</f>
        <v>0</v>
      </c>
      <c r="CE295" s="693">
        <f>SUMIFS(Imput[[Importe Neto]:[Importe Neto]],Imput[[C. Imp.]:[C. Imp.]],$D295,Imput[[PERIODO Imp.]:[PERIODO Imp.]],CE$9)</f>
        <v>0</v>
      </c>
      <c r="CF295" s="693">
        <f>SUMIFS(Imput[[Importe Neto]:[Importe Neto]],Imput[[C. Imp.]:[C. Imp.]],$D295,Imput[[PERIODO Imp.]:[PERIODO Imp.]],CF$9)</f>
        <v>0</v>
      </c>
      <c r="CG295" s="693">
        <f>SUMIFS(Imput[[Importe Neto]:[Importe Neto]],Imput[[C. Imp.]:[C. Imp.]],$D295,Imput[[PERIODO Imp.]:[PERIODO Imp.]],CG$9)</f>
        <v>0</v>
      </c>
      <c r="CH295" s="693">
        <f>SUMIFS(Imput[[Importe Neto]:[Importe Neto]],Imput[[C. Imp.]:[C. Imp.]],$D295,Imput[[PERIODO Imp.]:[PERIODO Imp.]],CH$9)</f>
        <v>0</v>
      </c>
      <c r="CI295" s="693">
        <f>SUMIFS(Imput[[Importe Neto]:[Importe Neto]],Imput[[C. Imp.]:[C. Imp.]],$D295,Imput[[PERIODO Imp.]:[PERIODO Imp.]],CI$9)</f>
        <v>0</v>
      </c>
      <c r="CJ295" s="693">
        <f>SUMIFS(Imput[[Importe Neto]:[Importe Neto]],Imput[[C. Imp.]:[C. Imp.]],$D295,Imput[[PERIODO Imp.]:[PERIODO Imp.]],CJ$9)</f>
        <v>0</v>
      </c>
      <c r="CK295" s="693">
        <f>SUMIFS(Imput[[Importe Neto]:[Importe Neto]],Imput[[C. Imp.]:[C. Imp.]],$D295,Imput[[PERIODO Imp.]:[PERIODO Imp.]],CK$9)</f>
        <v>0</v>
      </c>
      <c r="CL295" s="693">
        <f>SUMIFS(Imput[[Importe Neto]:[Importe Neto]],Imput[[C. Imp.]:[C. Imp.]],$D295,Imput[[PERIODO Imp.]:[PERIODO Imp.]],CL$9)</f>
        <v>0</v>
      </c>
      <c r="CM295" s="693">
        <f>SUMIFS(Imput[[Importe Neto]:[Importe Neto]],Imput[[C. Imp.]:[C. Imp.]],$D295,Imput[[PERIODO Imp.]:[PERIODO Imp.]],CM$9)</f>
        <v>0</v>
      </c>
      <c r="CN295" s="693">
        <f>SUMIFS(Imput[[Importe Neto]:[Importe Neto]],Imput[[C. Imp.]:[C. Imp.]],$D295,Imput[[PERIODO Imp.]:[PERIODO Imp.]],CN$9)</f>
        <v>0</v>
      </c>
      <c r="CO295" s="693">
        <f>SUMIFS(Imput[[Importe Neto]:[Importe Neto]],Imput[[C. Imp.]:[C. Imp.]],$D295,Imput[[PERIODO Imp.]:[PERIODO Imp.]],CO$9)</f>
        <v>0</v>
      </c>
      <c r="CP295" s="693">
        <f>SUMIFS(Imput[[Importe Neto]:[Importe Neto]],Imput[[C. Imp.]:[C. Imp.]],$D295,Imput[[PERIODO Imp.]:[PERIODO Imp.]],CP$9)</f>
        <v>0</v>
      </c>
      <c r="CQ295" s="693">
        <f>SUMIFS(Imput[[Importe Neto]:[Importe Neto]],Imput[[C. Imp.]:[C. Imp.]],$D295,Imput[[PERIODO Imp.]:[PERIODO Imp.]],CQ$9)</f>
        <v>0</v>
      </c>
      <c r="CR295" s="693">
        <f>SUMIFS(Imput[[Importe Neto]:[Importe Neto]],Imput[[C. Imp.]:[C. Imp.]],$D295,Imput[[PERIODO Imp.]:[PERIODO Imp.]],CR$9)</f>
        <v>0</v>
      </c>
      <c r="CS295" s="693">
        <f>SUMIFS(Imput[[Importe Neto]:[Importe Neto]],Imput[[C. Imp.]:[C. Imp.]],$D295,Imput[[PERIODO Imp.]:[PERIODO Imp.]],CS$9)</f>
        <v>0</v>
      </c>
      <c r="CT295" s="693">
        <f>SUMIFS(Imput[[Importe Neto]:[Importe Neto]],Imput[[C. Imp.]:[C. Imp.]],$D295,Imput[[PERIODO Imp.]:[PERIODO Imp.]],CT$9)</f>
        <v>0</v>
      </c>
      <c r="CU295" s="693">
        <f>SUMIFS(Imput[[Importe Neto]:[Importe Neto]],Imput[[C. Imp.]:[C. Imp.]],$D295,Imput[[PERIODO Imp.]:[PERIODO Imp.]],CU$9)</f>
        <v>0</v>
      </c>
      <c r="CV295" s="693">
        <f>SUMIFS(Imput[[Importe Neto]:[Importe Neto]],Imput[[C. Imp.]:[C. Imp.]],$D295,Imput[[PERIODO Imp.]:[PERIODO Imp.]],CV$9)</f>
        <v>0</v>
      </c>
      <c r="CW295" s="693">
        <f>SUMIFS(Imput[[Importe Neto]:[Importe Neto]],Imput[[C. Imp.]:[C. Imp.]],$D295,Imput[[PERIODO Imp.]:[PERIODO Imp.]],CW$9)</f>
        <v>0</v>
      </c>
      <c r="CX295" s="693">
        <f>SUMIFS(Imput[[Importe Neto]:[Importe Neto]],Imput[[C. Imp.]:[C. Imp.]],$D295,Imput[[PERIODO Imp.]:[PERIODO Imp.]],CX$9)</f>
        <v>0</v>
      </c>
      <c r="CY295" s="693">
        <f>SUMIFS(Imput[[Importe Neto]:[Importe Neto]],Imput[[C. Imp.]:[C. Imp.]],$D295,Imput[[PERIODO Imp.]:[PERIODO Imp.]],CY$9)</f>
        <v>0</v>
      </c>
      <c r="CZ295" s="693">
        <f>SUMIFS(Imput[[Importe Neto]:[Importe Neto]],Imput[[C. Imp.]:[C. Imp.]],$D295,Imput[[PERIODO Imp.]:[PERIODO Imp.]],CZ$9)</f>
        <v>0</v>
      </c>
      <c r="DA295" s="693">
        <f>SUMIFS(Imput[[Importe Neto]:[Importe Neto]],Imput[[C. Imp.]:[C. Imp.]],$D295,Imput[[PERIODO Imp.]:[PERIODO Imp.]],DA$9)</f>
        <v>0</v>
      </c>
      <c r="DB295" s="693">
        <f>SUMIFS(Imput[[Importe Neto]:[Importe Neto]],Imput[[C. Imp.]:[C. Imp.]],$D295,Imput[[PERIODO Imp.]:[PERIODO Imp.]],DB$9)</f>
        <v>0</v>
      </c>
      <c r="DC295" s="693">
        <f>SUMIFS(Imput[[Importe Neto]:[Importe Neto]],Imput[[C. Imp.]:[C. Imp.]],$D295,Imput[[PERIODO Imp.]:[PERIODO Imp.]],DC$9)</f>
        <v>0</v>
      </c>
      <c r="DD295" s="693">
        <f>SUMIFS(Imput[[Importe Neto]:[Importe Neto]],Imput[[C. Imp.]:[C. Imp.]],$D295,Imput[[PERIODO Imp.]:[PERIODO Imp.]],DD$9)</f>
        <v>0</v>
      </c>
      <c r="DE295" s="693">
        <f>SUMIFS(Imput[[Importe Neto]:[Importe Neto]],Imput[[C. Imp.]:[C. Imp.]],$D295,Imput[[PERIODO Imp.]:[PERIODO Imp.]],DE$9)</f>
        <v>0</v>
      </c>
      <c r="DF295" s="693">
        <f>SUMIFS(Imput[[Importe Neto]:[Importe Neto]],Imput[[C. Imp.]:[C. Imp.]],$D295,Imput[[PERIODO Imp.]:[PERIODO Imp.]],DF$9)</f>
        <v>0</v>
      </c>
      <c r="DG295" s="693">
        <f>SUMIFS(Imput[[Importe Neto]:[Importe Neto]],Imput[[C. Imp.]:[C. Imp.]],$D295,Imput[[PERIODO Imp.]:[PERIODO Imp.]],DG$9)</f>
        <v>0</v>
      </c>
      <c r="DH295" s="694">
        <f>SUMIFS(Imput[[Importe Neto]:[Importe Neto]],Imput[[C. Imp.]:[C. Imp.]],$D295,Imput[[PERIODO Imp.]:[PERIODO Imp.]],DH$9)</f>
        <v>0</v>
      </c>
    </row>
    <row r="296" spans="1:112" s="649" customFormat="1" hidden="1" outlineLevel="1" x14ac:dyDescent="0.3">
      <c r="A296" s="652" t="str">
        <f t="shared" si="137"/>
        <v/>
      </c>
      <c r="B296" s="652"/>
      <c r="C296" s="685"/>
      <c r="D296" s="686" t="s">
        <v>2370</v>
      </c>
      <c r="E296" s="686"/>
      <c r="F296" s="720"/>
      <c r="G296" s="688"/>
      <c r="H296" s="689"/>
      <c r="I296" s="851" t="str">
        <f t="shared" si="138"/>
        <v/>
      </c>
      <c r="J296" s="850" t="str">
        <f t="shared" si="139"/>
        <v/>
      </c>
      <c r="K296" s="667"/>
      <c r="L296" s="858"/>
      <c r="M296" s="859"/>
      <c r="N296" s="859"/>
      <c r="O296" s="859"/>
      <c r="P296" s="859"/>
      <c r="Q296" s="859"/>
      <c r="R296" s="859"/>
      <c r="S296" s="859"/>
      <c r="T296" s="859"/>
      <c r="U296" s="859"/>
      <c r="V296" s="859"/>
      <c r="W296" s="859"/>
      <c r="X296" s="859"/>
      <c r="Y296" s="859"/>
      <c r="Z296" s="860"/>
      <c r="AA296" s="860"/>
      <c r="AB296" s="860"/>
      <c r="AC296" s="860"/>
      <c r="AD296" s="860"/>
      <c r="AE296" s="860"/>
      <c r="AF296" s="860"/>
      <c r="AG296" s="860"/>
      <c r="AH296" s="860"/>
      <c r="AI296" s="860"/>
      <c r="AJ296" s="860"/>
      <c r="AK296" s="860"/>
      <c r="AL296" s="860"/>
      <c r="AM296" s="860"/>
      <c r="AN296" s="860"/>
      <c r="AO296" s="860"/>
      <c r="AP296" s="860"/>
      <c r="AQ296" s="860"/>
      <c r="AR296" s="860"/>
      <c r="AS296" s="860"/>
      <c r="AT296" s="860"/>
      <c r="AU296" s="860"/>
      <c r="AV296" s="860"/>
      <c r="AW296" s="860"/>
      <c r="AX296" s="860"/>
      <c r="AY296" s="860"/>
      <c r="AZ296" s="860"/>
      <c r="BA296" s="860"/>
      <c r="BB296" s="860"/>
      <c r="BC296" s="860"/>
      <c r="BD296" s="860"/>
      <c r="BE296" s="860"/>
      <c r="BF296" s="860"/>
      <c r="BG296" s="860"/>
      <c r="BH296" s="780"/>
      <c r="BI296" s="654"/>
      <c r="BJ296" s="690">
        <f t="shared" si="140"/>
        <v>0</v>
      </c>
      <c r="BK296" s="691">
        <f t="shared" si="141"/>
        <v>0</v>
      </c>
      <c r="BL296" s="654"/>
      <c r="BM296" s="692">
        <f>SUMIFS(Imput[[Importe Neto]:[Importe Neto]],Imput[[C. Imp.]:[C. Imp.]],$D296,Imput[[PERIODO Imp.]:[PERIODO Imp.]],BM$9)</f>
        <v>0</v>
      </c>
      <c r="BN296" s="693">
        <f>SUMIFS(Imput[[Importe Neto]:[Importe Neto]],Imput[[C. Imp.]:[C. Imp.]],$D296,Imput[[PERIODO Imp.]:[PERIODO Imp.]],BN$9)</f>
        <v>0</v>
      </c>
      <c r="BO296" s="693">
        <f>SUMIFS(Imput[[Importe Neto]:[Importe Neto]],Imput[[C. Imp.]:[C. Imp.]],$D296,Imput[[PERIODO Imp.]:[PERIODO Imp.]],BO$9)</f>
        <v>0</v>
      </c>
      <c r="BP296" s="693">
        <f>SUMIFS(Imput[[Importe Neto]:[Importe Neto]],Imput[[C. Imp.]:[C. Imp.]],$D296,Imput[[PERIODO Imp.]:[PERIODO Imp.]],BP$9)</f>
        <v>0</v>
      </c>
      <c r="BQ296" s="693">
        <f>SUMIFS(Imput[[Importe Neto]:[Importe Neto]],Imput[[C. Imp.]:[C. Imp.]],$D296,Imput[[PERIODO Imp.]:[PERIODO Imp.]],BQ$9)</f>
        <v>0</v>
      </c>
      <c r="BR296" s="693">
        <f>SUMIFS(Imput[[Importe Neto]:[Importe Neto]],Imput[[C. Imp.]:[C. Imp.]],$D296,Imput[[PERIODO Imp.]:[PERIODO Imp.]],BR$9)</f>
        <v>0</v>
      </c>
      <c r="BS296" s="693">
        <f>SUMIFS(Imput[[Importe Neto]:[Importe Neto]],Imput[[C. Imp.]:[C. Imp.]],$D296,Imput[[PERIODO Imp.]:[PERIODO Imp.]],BS$9)</f>
        <v>0</v>
      </c>
      <c r="BT296" s="693">
        <f>SUMIFS(Imput[[Importe Neto]:[Importe Neto]],Imput[[C. Imp.]:[C. Imp.]],$D296,Imput[[PERIODO Imp.]:[PERIODO Imp.]],BT$9)</f>
        <v>0</v>
      </c>
      <c r="BU296" s="693">
        <f>SUMIFS(Imput[[Importe Neto]:[Importe Neto]],Imput[[C. Imp.]:[C. Imp.]],$D296,Imput[[PERIODO Imp.]:[PERIODO Imp.]],BU$9)</f>
        <v>0</v>
      </c>
      <c r="BV296" s="693">
        <f>SUMIFS(Imput[[Importe Neto]:[Importe Neto]],Imput[[C. Imp.]:[C. Imp.]],$D296,Imput[[PERIODO Imp.]:[PERIODO Imp.]],BV$9)</f>
        <v>0</v>
      </c>
      <c r="BW296" s="693">
        <f>SUMIFS(Imput[[Importe Neto]:[Importe Neto]],Imput[[C. Imp.]:[C. Imp.]],$D296,Imput[[PERIODO Imp.]:[PERIODO Imp.]],BW$9)</f>
        <v>0</v>
      </c>
      <c r="BX296" s="693">
        <f>SUMIFS(Imput[[Importe Neto]:[Importe Neto]],Imput[[C. Imp.]:[C. Imp.]],$D296,Imput[[PERIODO Imp.]:[PERIODO Imp.]],BX$9)</f>
        <v>0</v>
      </c>
      <c r="BY296" s="693">
        <f>SUMIFS(Imput[[Importe Neto]:[Importe Neto]],Imput[[C. Imp.]:[C. Imp.]],$D296,Imput[[PERIODO Imp.]:[PERIODO Imp.]],BY$9)</f>
        <v>0</v>
      </c>
      <c r="BZ296" s="693">
        <f>SUMIFS(Imput[[Importe Neto]:[Importe Neto]],Imput[[C. Imp.]:[C. Imp.]],$D296,Imput[[PERIODO Imp.]:[PERIODO Imp.]],BZ$9)</f>
        <v>0</v>
      </c>
      <c r="CA296" s="693">
        <f>SUMIFS(Imput[[Importe Neto]:[Importe Neto]],Imput[[C. Imp.]:[C. Imp.]],$D296,Imput[[PERIODO Imp.]:[PERIODO Imp.]],CA$9)</f>
        <v>0</v>
      </c>
      <c r="CB296" s="693">
        <f>SUMIFS(Imput[[Importe Neto]:[Importe Neto]],Imput[[C. Imp.]:[C. Imp.]],$D296,Imput[[PERIODO Imp.]:[PERIODO Imp.]],CB$9)</f>
        <v>0</v>
      </c>
      <c r="CC296" s="693">
        <f>SUMIFS(Imput[[Importe Neto]:[Importe Neto]],Imput[[C. Imp.]:[C. Imp.]],$D296,Imput[[PERIODO Imp.]:[PERIODO Imp.]],CC$9)</f>
        <v>0</v>
      </c>
      <c r="CD296" s="693">
        <f>SUMIFS(Imput[[Importe Neto]:[Importe Neto]],Imput[[C. Imp.]:[C. Imp.]],$D296,Imput[[PERIODO Imp.]:[PERIODO Imp.]],CD$9)</f>
        <v>0</v>
      </c>
      <c r="CE296" s="693">
        <f>SUMIFS(Imput[[Importe Neto]:[Importe Neto]],Imput[[C. Imp.]:[C. Imp.]],$D296,Imput[[PERIODO Imp.]:[PERIODO Imp.]],CE$9)</f>
        <v>0</v>
      </c>
      <c r="CF296" s="693">
        <f>SUMIFS(Imput[[Importe Neto]:[Importe Neto]],Imput[[C. Imp.]:[C. Imp.]],$D296,Imput[[PERIODO Imp.]:[PERIODO Imp.]],CF$9)</f>
        <v>0</v>
      </c>
      <c r="CG296" s="693">
        <f>SUMIFS(Imput[[Importe Neto]:[Importe Neto]],Imput[[C. Imp.]:[C. Imp.]],$D296,Imput[[PERIODO Imp.]:[PERIODO Imp.]],CG$9)</f>
        <v>0</v>
      </c>
      <c r="CH296" s="693">
        <f>SUMIFS(Imput[[Importe Neto]:[Importe Neto]],Imput[[C. Imp.]:[C. Imp.]],$D296,Imput[[PERIODO Imp.]:[PERIODO Imp.]],CH$9)</f>
        <v>0</v>
      </c>
      <c r="CI296" s="693">
        <f>SUMIFS(Imput[[Importe Neto]:[Importe Neto]],Imput[[C. Imp.]:[C. Imp.]],$D296,Imput[[PERIODO Imp.]:[PERIODO Imp.]],CI$9)</f>
        <v>0</v>
      </c>
      <c r="CJ296" s="693">
        <f>SUMIFS(Imput[[Importe Neto]:[Importe Neto]],Imput[[C. Imp.]:[C. Imp.]],$D296,Imput[[PERIODO Imp.]:[PERIODO Imp.]],CJ$9)</f>
        <v>0</v>
      </c>
      <c r="CK296" s="693">
        <f>SUMIFS(Imput[[Importe Neto]:[Importe Neto]],Imput[[C. Imp.]:[C. Imp.]],$D296,Imput[[PERIODO Imp.]:[PERIODO Imp.]],CK$9)</f>
        <v>0</v>
      </c>
      <c r="CL296" s="693">
        <f>SUMIFS(Imput[[Importe Neto]:[Importe Neto]],Imput[[C. Imp.]:[C. Imp.]],$D296,Imput[[PERIODO Imp.]:[PERIODO Imp.]],CL$9)</f>
        <v>0</v>
      </c>
      <c r="CM296" s="693">
        <f>SUMIFS(Imput[[Importe Neto]:[Importe Neto]],Imput[[C. Imp.]:[C. Imp.]],$D296,Imput[[PERIODO Imp.]:[PERIODO Imp.]],CM$9)</f>
        <v>0</v>
      </c>
      <c r="CN296" s="693">
        <f>SUMIFS(Imput[[Importe Neto]:[Importe Neto]],Imput[[C. Imp.]:[C. Imp.]],$D296,Imput[[PERIODO Imp.]:[PERIODO Imp.]],CN$9)</f>
        <v>0</v>
      </c>
      <c r="CO296" s="693">
        <f>SUMIFS(Imput[[Importe Neto]:[Importe Neto]],Imput[[C. Imp.]:[C. Imp.]],$D296,Imput[[PERIODO Imp.]:[PERIODO Imp.]],CO$9)</f>
        <v>0</v>
      </c>
      <c r="CP296" s="693">
        <f>SUMIFS(Imput[[Importe Neto]:[Importe Neto]],Imput[[C. Imp.]:[C. Imp.]],$D296,Imput[[PERIODO Imp.]:[PERIODO Imp.]],CP$9)</f>
        <v>0</v>
      </c>
      <c r="CQ296" s="693">
        <f>SUMIFS(Imput[[Importe Neto]:[Importe Neto]],Imput[[C. Imp.]:[C. Imp.]],$D296,Imput[[PERIODO Imp.]:[PERIODO Imp.]],CQ$9)</f>
        <v>0</v>
      </c>
      <c r="CR296" s="693">
        <f>SUMIFS(Imput[[Importe Neto]:[Importe Neto]],Imput[[C. Imp.]:[C. Imp.]],$D296,Imput[[PERIODO Imp.]:[PERIODO Imp.]],CR$9)</f>
        <v>0</v>
      </c>
      <c r="CS296" s="693">
        <f>SUMIFS(Imput[[Importe Neto]:[Importe Neto]],Imput[[C. Imp.]:[C. Imp.]],$D296,Imput[[PERIODO Imp.]:[PERIODO Imp.]],CS$9)</f>
        <v>0</v>
      </c>
      <c r="CT296" s="693">
        <f>SUMIFS(Imput[[Importe Neto]:[Importe Neto]],Imput[[C. Imp.]:[C. Imp.]],$D296,Imput[[PERIODO Imp.]:[PERIODO Imp.]],CT$9)</f>
        <v>0</v>
      </c>
      <c r="CU296" s="693">
        <f>SUMIFS(Imput[[Importe Neto]:[Importe Neto]],Imput[[C. Imp.]:[C. Imp.]],$D296,Imput[[PERIODO Imp.]:[PERIODO Imp.]],CU$9)</f>
        <v>0</v>
      </c>
      <c r="CV296" s="693">
        <f>SUMIFS(Imput[[Importe Neto]:[Importe Neto]],Imput[[C. Imp.]:[C. Imp.]],$D296,Imput[[PERIODO Imp.]:[PERIODO Imp.]],CV$9)</f>
        <v>0</v>
      </c>
      <c r="CW296" s="693">
        <f>SUMIFS(Imput[[Importe Neto]:[Importe Neto]],Imput[[C. Imp.]:[C. Imp.]],$D296,Imput[[PERIODO Imp.]:[PERIODO Imp.]],CW$9)</f>
        <v>0</v>
      </c>
      <c r="CX296" s="693">
        <f>SUMIFS(Imput[[Importe Neto]:[Importe Neto]],Imput[[C. Imp.]:[C. Imp.]],$D296,Imput[[PERIODO Imp.]:[PERIODO Imp.]],CX$9)</f>
        <v>0</v>
      </c>
      <c r="CY296" s="693">
        <f>SUMIFS(Imput[[Importe Neto]:[Importe Neto]],Imput[[C. Imp.]:[C. Imp.]],$D296,Imput[[PERIODO Imp.]:[PERIODO Imp.]],CY$9)</f>
        <v>0</v>
      </c>
      <c r="CZ296" s="693">
        <f>SUMIFS(Imput[[Importe Neto]:[Importe Neto]],Imput[[C. Imp.]:[C. Imp.]],$D296,Imput[[PERIODO Imp.]:[PERIODO Imp.]],CZ$9)</f>
        <v>0</v>
      </c>
      <c r="DA296" s="693">
        <f>SUMIFS(Imput[[Importe Neto]:[Importe Neto]],Imput[[C. Imp.]:[C. Imp.]],$D296,Imput[[PERIODO Imp.]:[PERIODO Imp.]],DA$9)</f>
        <v>0</v>
      </c>
      <c r="DB296" s="693">
        <f>SUMIFS(Imput[[Importe Neto]:[Importe Neto]],Imput[[C. Imp.]:[C. Imp.]],$D296,Imput[[PERIODO Imp.]:[PERIODO Imp.]],DB$9)</f>
        <v>0</v>
      </c>
      <c r="DC296" s="693">
        <f>SUMIFS(Imput[[Importe Neto]:[Importe Neto]],Imput[[C. Imp.]:[C. Imp.]],$D296,Imput[[PERIODO Imp.]:[PERIODO Imp.]],DC$9)</f>
        <v>0</v>
      </c>
      <c r="DD296" s="693">
        <f>SUMIFS(Imput[[Importe Neto]:[Importe Neto]],Imput[[C. Imp.]:[C. Imp.]],$D296,Imput[[PERIODO Imp.]:[PERIODO Imp.]],DD$9)</f>
        <v>0</v>
      </c>
      <c r="DE296" s="693">
        <f>SUMIFS(Imput[[Importe Neto]:[Importe Neto]],Imput[[C. Imp.]:[C. Imp.]],$D296,Imput[[PERIODO Imp.]:[PERIODO Imp.]],DE$9)</f>
        <v>0</v>
      </c>
      <c r="DF296" s="693">
        <f>SUMIFS(Imput[[Importe Neto]:[Importe Neto]],Imput[[C. Imp.]:[C. Imp.]],$D296,Imput[[PERIODO Imp.]:[PERIODO Imp.]],DF$9)</f>
        <v>0</v>
      </c>
      <c r="DG296" s="693">
        <f>SUMIFS(Imput[[Importe Neto]:[Importe Neto]],Imput[[C. Imp.]:[C. Imp.]],$D296,Imput[[PERIODO Imp.]:[PERIODO Imp.]],DG$9)</f>
        <v>0</v>
      </c>
      <c r="DH296" s="694">
        <f>SUMIFS(Imput[[Importe Neto]:[Importe Neto]],Imput[[C. Imp.]:[C. Imp.]],$D296,Imput[[PERIODO Imp.]:[PERIODO Imp.]],DH$9)</f>
        <v>0</v>
      </c>
    </row>
    <row r="297" spans="1:112" s="649" customFormat="1" hidden="1" outlineLevel="1" x14ac:dyDescent="0.3">
      <c r="A297" s="652" t="str">
        <f t="shared" si="137"/>
        <v/>
      </c>
      <c r="B297" s="652"/>
      <c r="C297" s="685"/>
      <c r="D297" s="686" t="s">
        <v>2371</v>
      </c>
      <c r="E297" s="686"/>
      <c r="F297" s="720"/>
      <c r="G297" s="688"/>
      <c r="H297" s="689"/>
      <c r="I297" s="851" t="str">
        <f t="shared" si="138"/>
        <v/>
      </c>
      <c r="J297" s="850" t="str">
        <f t="shared" si="139"/>
        <v/>
      </c>
      <c r="K297" s="678"/>
      <c r="L297" s="858"/>
      <c r="M297" s="859"/>
      <c r="N297" s="859"/>
      <c r="O297" s="859"/>
      <c r="P297" s="859"/>
      <c r="Q297" s="859"/>
      <c r="R297" s="859"/>
      <c r="S297" s="859"/>
      <c r="T297" s="859"/>
      <c r="U297" s="859"/>
      <c r="V297" s="859"/>
      <c r="W297" s="859"/>
      <c r="X297" s="859"/>
      <c r="Y297" s="859"/>
      <c r="Z297" s="860"/>
      <c r="AA297" s="860"/>
      <c r="AB297" s="860"/>
      <c r="AC297" s="860"/>
      <c r="AD297" s="860"/>
      <c r="AE297" s="860"/>
      <c r="AF297" s="860"/>
      <c r="AG297" s="860"/>
      <c r="AH297" s="860"/>
      <c r="AI297" s="860"/>
      <c r="AJ297" s="860"/>
      <c r="AK297" s="860"/>
      <c r="AL297" s="860"/>
      <c r="AM297" s="860"/>
      <c r="AN297" s="860"/>
      <c r="AO297" s="860"/>
      <c r="AP297" s="860"/>
      <c r="AQ297" s="860"/>
      <c r="AR297" s="860"/>
      <c r="AS297" s="860"/>
      <c r="AT297" s="860"/>
      <c r="AU297" s="860"/>
      <c r="AV297" s="860"/>
      <c r="AW297" s="860"/>
      <c r="AX297" s="860"/>
      <c r="AY297" s="860"/>
      <c r="AZ297" s="860"/>
      <c r="BA297" s="860"/>
      <c r="BB297" s="860"/>
      <c r="BC297" s="860"/>
      <c r="BD297" s="860"/>
      <c r="BE297" s="860"/>
      <c r="BF297" s="860"/>
      <c r="BG297" s="860"/>
      <c r="BH297" s="668"/>
      <c r="BI297" s="654"/>
      <c r="BJ297" s="690">
        <f t="shared" si="140"/>
        <v>0</v>
      </c>
      <c r="BK297" s="691">
        <f t="shared" si="141"/>
        <v>0</v>
      </c>
      <c r="BL297" s="654"/>
      <c r="BM297" s="692">
        <f>SUMIFS(Imput[[Importe Neto]:[Importe Neto]],Imput[[C. Imp.]:[C. Imp.]],$D297,Imput[[PERIODO Imp.]:[PERIODO Imp.]],BM$9)</f>
        <v>0</v>
      </c>
      <c r="BN297" s="693">
        <f>SUMIFS(Imput[[Importe Neto]:[Importe Neto]],Imput[[C. Imp.]:[C. Imp.]],$D297,Imput[[PERIODO Imp.]:[PERIODO Imp.]],BN$9)</f>
        <v>0</v>
      </c>
      <c r="BO297" s="693">
        <f>SUMIFS(Imput[[Importe Neto]:[Importe Neto]],Imput[[C. Imp.]:[C. Imp.]],$D297,Imput[[PERIODO Imp.]:[PERIODO Imp.]],BO$9)</f>
        <v>0</v>
      </c>
      <c r="BP297" s="693">
        <f>SUMIFS(Imput[[Importe Neto]:[Importe Neto]],Imput[[C. Imp.]:[C. Imp.]],$D297,Imput[[PERIODO Imp.]:[PERIODO Imp.]],BP$9)</f>
        <v>0</v>
      </c>
      <c r="BQ297" s="693">
        <f>SUMIFS(Imput[[Importe Neto]:[Importe Neto]],Imput[[C. Imp.]:[C. Imp.]],$D297,Imput[[PERIODO Imp.]:[PERIODO Imp.]],BQ$9)</f>
        <v>0</v>
      </c>
      <c r="BR297" s="693">
        <f>SUMIFS(Imput[[Importe Neto]:[Importe Neto]],Imput[[C. Imp.]:[C. Imp.]],$D297,Imput[[PERIODO Imp.]:[PERIODO Imp.]],BR$9)</f>
        <v>0</v>
      </c>
      <c r="BS297" s="693">
        <f>SUMIFS(Imput[[Importe Neto]:[Importe Neto]],Imput[[C. Imp.]:[C. Imp.]],$D297,Imput[[PERIODO Imp.]:[PERIODO Imp.]],BS$9)</f>
        <v>0</v>
      </c>
      <c r="BT297" s="693">
        <f>SUMIFS(Imput[[Importe Neto]:[Importe Neto]],Imput[[C. Imp.]:[C. Imp.]],$D297,Imput[[PERIODO Imp.]:[PERIODO Imp.]],BT$9)</f>
        <v>0</v>
      </c>
      <c r="BU297" s="693">
        <f>SUMIFS(Imput[[Importe Neto]:[Importe Neto]],Imput[[C. Imp.]:[C. Imp.]],$D297,Imput[[PERIODO Imp.]:[PERIODO Imp.]],BU$9)</f>
        <v>0</v>
      </c>
      <c r="BV297" s="693">
        <f>SUMIFS(Imput[[Importe Neto]:[Importe Neto]],Imput[[C. Imp.]:[C. Imp.]],$D297,Imput[[PERIODO Imp.]:[PERIODO Imp.]],BV$9)</f>
        <v>0</v>
      </c>
      <c r="BW297" s="693">
        <f>SUMIFS(Imput[[Importe Neto]:[Importe Neto]],Imput[[C. Imp.]:[C. Imp.]],$D297,Imput[[PERIODO Imp.]:[PERIODO Imp.]],BW$9)</f>
        <v>0</v>
      </c>
      <c r="BX297" s="693">
        <f>SUMIFS(Imput[[Importe Neto]:[Importe Neto]],Imput[[C. Imp.]:[C. Imp.]],$D297,Imput[[PERIODO Imp.]:[PERIODO Imp.]],BX$9)</f>
        <v>0</v>
      </c>
      <c r="BY297" s="693">
        <f>SUMIFS(Imput[[Importe Neto]:[Importe Neto]],Imput[[C. Imp.]:[C. Imp.]],$D297,Imput[[PERIODO Imp.]:[PERIODO Imp.]],BY$9)</f>
        <v>0</v>
      </c>
      <c r="BZ297" s="693">
        <f>SUMIFS(Imput[[Importe Neto]:[Importe Neto]],Imput[[C. Imp.]:[C. Imp.]],$D297,Imput[[PERIODO Imp.]:[PERIODO Imp.]],BZ$9)</f>
        <v>0</v>
      </c>
      <c r="CA297" s="693">
        <f>SUMIFS(Imput[[Importe Neto]:[Importe Neto]],Imput[[C. Imp.]:[C. Imp.]],$D297,Imput[[PERIODO Imp.]:[PERIODO Imp.]],CA$9)</f>
        <v>0</v>
      </c>
      <c r="CB297" s="693">
        <f>SUMIFS(Imput[[Importe Neto]:[Importe Neto]],Imput[[C. Imp.]:[C. Imp.]],$D297,Imput[[PERIODO Imp.]:[PERIODO Imp.]],CB$9)</f>
        <v>0</v>
      </c>
      <c r="CC297" s="693">
        <f>SUMIFS(Imput[[Importe Neto]:[Importe Neto]],Imput[[C. Imp.]:[C. Imp.]],$D297,Imput[[PERIODO Imp.]:[PERIODO Imp.]],CC$9)</f>
        <v>0</v>
      </c>
      <c r="CD297" s="693">
        <f>SUMIFS(Imput[[Importe Neto]:[Importe Neto]],Imput[[C. Imp.]:[C. Imp.]],$D297,Imput[[PERIODO Imp.]:[PERIODO Imp.]],CD$9)</f>
        <v>0</v>
      </c>
      <c r="CE297" s="693">
        <f>SUMIFS(Imput[[Importe Neto]:[Importe Neto]],Imput[[C. Imp.]:[C. Imp.]],$D297,Imput[[PERIODO Imp.]:[PERIODO Imp.]],CE$9)</f>
        <v>0</v>
      </c>
      <c r="CF297" s="693">
        <f>SUMIFS(Imput[[Importe Neto]:[Importe Neto]],Imput[[C. Imp.]:[C. Imp.]],$D297,Imput[[PERIODO Imp.]:[PERIODO Imp.]],CF$9)</f>
        <v>0</v>
      </c>
      <c r="CG297" s="693">
        <f>SUMIFS(Imput[[Importe Neto]:[Importe Neto]],Imput[[C. Imp.]:[C. Imp.]],$D297,Imput[[PERIODO Imp.]:[PERIODO Imp.]],CG$9)</f>
        <v>0</v>
      </c>
      <c r="CH297" s="693">
        <f>SUMIFS(Imput[[Importe Neto]:[Importe Neto]],Imput[[C. Imp.]:[C. Imp.]],$D297,Imput[[PERIODO Imp.]:[PERIODO Imp.]],CH$9)</f>
        <v>0</v>
      </c>
      <c r="CI297" s="693">
        <f>SUMIFS(Imput[[Importe Neto]:[Importe Neto]],Imput[[C. Imp.]:[C. Imp.]],$D297,Imput[[PERIODO Imp.]:[PERIODO Imp.]],CI$9)</f>
        <v>0</v>
      </c>
      <c r="CJ297" s="693">
        <f>SUMIFS(Imput[[Importe Neto]:[Importe Neto]],Imput[[C. Imp.]:[C. Imp.]],$D297,Imput[[PERIODO Imp.]:[PERIODO Imp.]],CJ$9)</f>
        <v>0</v>
      </c>
      <c r="CK297" s="693">
        <f>SUMIFS(Imput[[Importe Neto]:[Importe Neto]],Imput[[C. Imp.]:[C. Imp.]],$D297,Imput[[PERIODO Imp.]:[PERIODO Imp.]],CK$9)</f>
        <v>0</v>
      </c>
      <c r="CL297" s="693">
        <f>SUMIFS(Imput[[Importe Neto]:[Importe Neto]],Imput[[C. Imp.]:[C. Imp.]],$D297,Imput[[PERIODO Imp.]:[PERIODO Imp.]],CL$9)</f>
        <v>0</v>
      </c>
      <c r="CM297" s="693">
        <f>SUMIFS(Imput[[Importe Neto]:[Importe Neto]],Imput[[C. Imp.]:[C. Imp.]],$D297,Imput[[PERIODO Imp.]:[PERIODO Imp.]],CM$9)</f>
        <v>0</v>
      </c>
      <c r="CN297" s="693">
        <f>SUMIFS(Imput[[Importe Neto]:[Importe Neto]],Imput[[C. Imp.]:[C. Imp.]],$D297,Imput[[PERIODO Imp.]:[PERIODO Imp.]],CN$9)</f>
        <v>0</v>
      </c>
      <c r="CO297" s="693">
        <f>SUMIFS(Imput[[Importe Neto]:[Importe Neto]],Imput[[C. Imp.]:[C. Imp.]],$D297,Imput[[PERIODO Imp.]:[PERIODO Imp.]],CO$9)</f>
        <v>0</v>
      </c>
      <c r="CP297" s="693">
        <f>SUMIFS(Imput[[Importe Neto]:[Importe Neto]],Imput[[C. Imp.]:[C. Imp.]],$D297,Imput[[PERIODO Imp.]:[PERIODO Imp.]],CP$9)</f>
        <v>0</v>
      </c>
      <c r="CQ297" s="693">
        <f>SUMIFS(Imput[[Importe Neto]:[Importe Neto]],Imput[[C. Imp.]:[C. Imp.]],$D297,Imput[[PERIODO Imp.]:[PERIODO Imp.]],CQ$9)</f>
        <v>0</v>
      </c>
      <c r="CR297" s="693">
        <f>SUMIFS(Imput[[Importe Neto]:[Importe Neto]],Imput[[C. Imp.]:[C. Imp.]],$D297,Imput[[PERIODO Imp.]:[PERIODO Imp.]],CR$9)</f>
        <v>0</v>
      </c>
      <c r="CS297" s="693">
        <f>SUMIFS(Imput[[Importe Neto]:[Importe Neto]],Imput[[C. Imp.]:[C. Imp.]],$D297,Imput[[PERIODO Imp.]:[PERIODO Imp.]],CS$9)</f>
        <v>0</v>
      </c>
      <c r="CT297" s="693">
        <f>SUMIFS(Imput[[Importe Neto]:[Importe Neto]],Imput[[C. Imp.]:[C. Imp.]],$D297,Imput[[PERIODO Imp.]:[PERIODO Imp.]],CT$9)</f>
        <v>0</v>
      </c>
      <c r="CU297" s="693">
        <f>SUMIFS(Imput[[Importe Neto]:[Importe Neto]],Imput[[C. Imp.]:[C. Imp.]],$D297,Imput[[PERIODO Imp.]:[PERIODO Imp.]],CU$9)</f>
        <v>0</v>
      </c>
      <c r="CV297" s="693">
        <f>SUMIFS(Imput[[Importe Neto]:[Importe Neto]],Imput[[C. Imp.]:[C. Imp.]],$D297,Imput[[PERIODO Imp.]:[PERIODO Imp.]],CV$9)</f>
        <v>0</v>
      </c>
      <c r="CW297" s="693">
        <f>SUMIFS(Imput[[Importe Neto]:[Importe Neto]],Imput[[C. Imp.]:[C. Imp.]],$D297,Imput[[PERIODO Imp.]:[PERIODO Imp.]],CW$9)</f>
        <v>0</v>
      </c>
      <c r="CX297" s="693">
        <f>SUMIFS(Imput[[Importe Neto]:[Importe Neto]],Imput[[C. Imp.]:[C. Imp.]],$D297,Imput[[PERIODO Imp.]:[PERIODO Imp.]],CX$9)</f>
        <v>0</v>
      </c>
      <c r="CY297" s="693">
        <f>SUMIFS(Imput[[Importe Neto]:[Importe Neto]],Imput[[C. Imp.]:[C. Imp.]],$D297,Imput[[PERIODO Imp.]:[PERIODO Imp.]],CY$9)</f>
        <v>0</v>
      </c>
      <c r="CZ297" s="693">
        <f>SUMIFS(Imput[[Importe Neto]:[Importe Neto]],Imput[[C. Imp.]:[C. Imp.]],$D297,Imput[[PERIODO Imp.]:[PERIODO Imp.]],CZ$9)</f>
        <v>0</v>
      </c>
      <c r="DA297" s="693">
        <f>SUMIFS(Imput[[Importe Neto]:[Importe Neto]],Imput[[C. Imp.]:[C. Imp.]],$D297,Imput[[PERIODO Imp.]:[PERIODO Imp.]],DA$9)</f>
        <v>0</v>
      </c>
      <c r="DB297" s="693">
        <f>SUMIFS(Imput[[Importe Neto]:[Importe Neto]],Imput[[C. Imp.]:[C. Imp.]],$D297,Imput[[PERIODO Imp.]:[PERIODO Imp.]],DB$9)</f>
        <v>0</v>
      </c>
      <c r="DC297" s="693">
        <f>SUMIFS(Imput[[Importe Neto]:[Importe Neto]],Imput[[C. Imp.]:[C. Imp.]],$D297,Imput[[PERIODO Imp.]:[PERIODO Imp.]],DC$9)</f>
        <v>0</v>
      </c>
      <c r="DD297" s="693">
        <f>SUMIFS(Imput[[Importe Neto]:[Importe Neto]],Imput[[C. Imp.]:[C. Imp.]],$D297,Imput[[PERIODO Imp.]:[PERIODO Imp.]],DD$9)</f>
        <v>0</v>
      </c>
      <c r="DE297" s="693">
        <f>SUMIFS(Imput[[Importe Neto]:[Importe Neto]],Imput[[C. Imp.]:[C. Imp.]],$D297,Imput[[PERIODO Imp.]:[PERIODO Imp.]],DE$9)</f>
        <v>0</v>
      </c>
      <c r="DF297" s="693">
        <f>SUMIFS(Imput[[Importe Neto]:[Importe Neto]],Imput[[C. Imp.]:[C. Imp.]],$D297,Imput[[PERIODO Imp.]:[PERIODO Imp.]],DF$9)</f>
        <v>0</v>
      </c>
      <c r="DG297" s="693">
        <f>SUMIFS(Imput[[Importe Neto]:[Importe Neto]],Imput[[C. Imp.]:[C. Imp.]],$D297,Imput[[PERIODO Imp.]:[PERIODO Imp.]],DG$9)</f>
        <v>0</v>
      </c>
      <c r="DH297" s="694">
        <f>SUMIFS(Imput[[Importe Neto]:[Importe Neto]],Imput[[C. Imp.]:[C. Imp.]],$D297,Imput[[PERIODO Imp.]:[PERIODO Imp.]],DH$9)</f>
        <v>0</v>
      </c>
    </row>
    <row r="298" spans="1:112" s="649" customFormat="1" hidden="1" outlineLevel="1" x14ac:dyDescent="0.3">
      <c r="A298" s="652" t="str">
        <f t="shared" si="137"/>
        <v/>
      </c>
      <c r="B298" s="652"/>
      <c r="C298" s="685"/>
      <c r="D298" s="686" t="s">
        <v>2372</v>
      </c>
      <c r="E298" s="686"/>
      <c r="F298" s="720"/>
      <c r="G298" s="688"/>
      <c r="H298" s="689"/>
      <c r="I298" s="851" t="str">
        <f t="shared" si="138"/>
        <v/>
      </c>
      <c r="J298" s="850" t="str">
        <f t="shared" si="139"/>
        <v/>
      </c>
      <c r="K298" s="667"/>
      <c r="L298" s="858"/>
      <c r="M298" s="859"/>
      <c r="N298" s="859"/>
      <c r="O298" s="859"/>
      <c r="P298" s="859"/>
      <c r="Q298" s="859"/>
      <c r="R298" s="859"/>
      <c r="S298" s="859"/>
      <c r="T298" s="859"/>
      <c r="U298" s="859"/>
      <c r="V298" s="859"/>
      <c r="W298" s="859"/>
      <c r="X298" s="859"/>
      <c r="Y298" s="859"/>
      <c r="Z298" s="860"/>
      <c r="AA298" s="860"/>
      <c r="AB298" s="860"/>
      <c r="AC298" s="860"/>
      <c r="AD298" s="860"/>
      <c r="AE298" s="860"/>
      <c r="AF298" s="860"/>
      <c r="AG298" s="860"/>
      <c r="AH298" s="860"/>
      <c r="AI298" s="860"/>
      <c r="AJ298" s="860"/>
      <c r="AK298" s="860"/>
      <c r="AL298" s="860"/>
      <c r="AM298" s="860"/>
      <c r="AN298" s="860"/>
      <c r="AO298" s="860"/>
      <c r="AP298" s="860"/>
      <c r="AQ298" s="860"/>
      <c r="AR298" s="860"/>
      <c r="AS298" s="860"/>
      <c r="AT298" s="860"/>
      <c r="AU298" s="860"/>
      <c r="AV298" s="860"/>
      <c r="AW298" s="860"/>
      <c r="AX298" s="860"/>
      <c r="AY298" s="860"/>
      <c r="AZ298" s="860"/>
      <c r="BA298" s="860"/>
      <c r="BB298" s="860"/>
      <c r="BC298" s="860"/>
      <c r="BD298" s="860"/>
      <c r="BE298" s="860"/>
      <c r="BF298" s="860"/>
      <c r="BG298" s="860"/>
      <c r="BH298" s="668"/>
      <c r="BI298" s="667"/>
      <c r="BJ298" s="690">
        <f t="shared" si="140"/>
        <v>0</v>
      </c>
      <c r="BK298" s="691">
        <f t="shared" si="141"/>
        <v>0</v>
      </c>
      <c r="BL298" s="654"/>
      <c r="BM298" s="692">
        <f>SUMIFS(Imput[[Importe Neto]:[Importe Neto]],Imput[[C. Imp.]:[C. Imp.]],$D298,Imput[[PERIODO Imp.]:[PERIODO Imp.]],BM$9)</f>
        <v>0</v>
      </c>
      <c r="BN298" s="693">
        <f>SUMIFS(Imput[[Importe Neto]:[Importe Neto]],Imput[[C. Imp.]:[C. Imp.]],$D298,Imput[[PERIODO Imp.]:[PERIODO Imp.]],BN$9)</f>
        <v>0</v>
      </c>
      <c r="BO298" s="693">
        <f>SUMIFS(Imput[[Importe Neto]:[Importe Neto]],Imput[[C. Imp.]:[C. Imp.]],$D298,Imput[[PERIODO Imp.]:[PERIODO Imp.]],BO$9)</f>
        <v>0</v>
      </c>
      <c r="BP298" s="693">
        <f>SUMIFS(Imput[[Importe Neto]:[Importe Neto]],Imput[[C. Imp.]:[C. Imp.]],$D298,Imput[[PERIODO Imp.]:[PERIODO Imp.]],BP$9)</f>
        <v>0</v>
      </c>
      <c r="BQ298" s="693">
        <f>SUMIFS(Imput[[Importe Neto]:[Importe Neto]],Imput[[C. Imp.]:[C. Imp.]],$D298,Imput[[PERIODO Imp.]:[PERIODO Imp.]],BQ$9)</f>
        <v>0</v>
      </c>
      <c r="BR298" s="693">
        <f>SUMIFS(Imput[[Importe Neto]:[Importe Neto]],Imput[[C. Imp.]:[C. Imp.]],$D298,Imput[[PERIODO Imp.]:[PERIODO Imp.]],BR$9)</f>
        <v>0</v>
      </c>
      <c r="BS298" s="693">
        <f>SUMIFS(Imput[[Importe Neto]:[Importe Neto]],Imput[[C. Imp.]:[C. Imp.]],$D298,Imput[[PERIODO Imp.]:[PERIODO Imp.]],BS$9)</f>
        <v>0</v>
      </c>
      <c r="BT298" s="693">
        <f>SUMIFS(Imput[[Importe Neto]:[Importe Neto]],Imput[[C. Imp.]:[C. Imp.]],$D298,Imput[[PERIODO Imp.]:[PERIODO Imp.]],BT$9)</f>
        <v>0</v>
      </c>
      <c r="BU298" s="693">
        <f>SUMIFS(Imput[[Importe Neto]:[Importe Neto]],Imput[[C. Imp.]:[C. Imp.]],$D298,Imput[[PERIODO Imp.]:[PERIODO Imp.]],BU$9)</f>
        <v>0</v>
      </c>
      <c r="BV298" s="693">
        <f>SUMIFS(Imput[[Importe Neto]:[Importe Neto]],Imput[[C. Imp.]:[C. Imp.]],$D298,Imput[[PERIODO Imp.]:[PERIODO Imp.]],BV$9)</f>
        <v>0</v>
      </c>
      <c r="BW298" s="693">
        <f>SUMIFS(Imput[[Importe Neto]:[Importe Neto]],Imput[[C. Imp.]:[C. Imp.]],$D298,Imput[[PERIODO Imp.]:[PERIODO Imp.]],BW$9)</f>
        <v>0</v>
      </c>
      <c r="BX298" s="693">
        <f>SUMIFS(Imput[[Importe Neto]:[Importe Neto]],Imput[[C. Imp.]:[C. Imp.]],$D298,Imput[[PERIODO Imp.]:[PERIODO Imp.]],BX$9)</f>
        <v>0</v>
      </c>
      <c r="BY298" s="693">
        <f>SUMIFS(Imput[[Importe Neto]:[Importe Neto]],Imput[[C. Imp.]:[C. Imp.]],$D298,Imput[[PERIODO Imp.]:[PERIODO Imp.]],BY$9)</f>
        <v>0</v>
      </c>
      <c r="BZ298" s="693">
        <f>SUMIFS(Imput[[Importe Neto]:[Importe Neto]],Imput[[C. Imp.]:[C. Imp.]],$D298,Imput[[PERIODO Imp.]:[PERIODO Imp.]],BZ$9)</f>
        <v>0</v>
      </c>
      <c r="CA298" s="693">
        <f>SUMIFS(Imput[[Importe Neto]:[Importe Neto]],Imput[[C. Imp.]:[C. Imp.]],$D298,Imput[[PERIODO Imp.]:[PERIODO Imp.]],CA$9)</f>
        <v>0</v>
      </c>
      <c r="CB298" s="693">
        <f>SUMIFS(Imput[[Importe Neto]:[Importe Neto]],Imput[[C. Imp.]:[C. Imp.]],$D298,Imput[[PERIODO Imp.]:[PERIODO Imp.]],CB$9)</f>
        <v>0</v>
      </c>
      <c r="CC298" s="693">
        <f>SUMIFS(Imput[[Importe Neto]:[Importe Neto]],Imput[[C. Imp.]:[C. Imp.]],$D298,Imput[[PERIODO Imp.]:[PERIODO Imp.]],CC$9)</f>
        <v>0</v>
      </c>
      <c r="CD298" s="693">
        <f>SUMIFS(Imput[[Importe Neto]:[Importe Neto]],Imput[[C. Imp.]:[C. Imp.]],$D298,Imput[[PERIODO Imp.]:[PERIODO Imp.]],CD$9)</f>
        <v>0</v>
      </c>
      <c r="CE298" s="693">
        <f>SUMIFS(Imput[[Importe Neto]:[Importe Neto]],Imput[[C. Imp.]:[C. Imp.]],$D298,Imput[[PERIODO Imp.]:[PERIODO Imp.]],CE$9)</f>
        <v>0</v>
      </c>
      <c r="CF298" s="693">
        <f>SUMIFS(Imput[[Importe Neto]:[Importe Neto]],Imput[[C. Imp.]:[C. Imp.]],$D298,Imput[[PERIODO Imp.]:[PERIODO Imp.]],CF$9)</f>
        <v>0</v>
      </c>
      <c r="CG298" s="693">
        <f>SUMIFS(Imput[[Importe Neto]:[Importe Neto]],Imput[[C. Imp.]:[C. Imp.]],$D298,Imput[[PERIODO Imp.]:[PERIODO Imp.]],CG$9)</f>
        <v>0</v>
      </c>
      <c r="CH298" s="693">
        <f>SUMIFS(Imput[[Importe Neto]:[Importe Neto]],Imput[[C. Imp.]:[C. Imp.]],$D298,Imput[[PERIODO Imp.]:[PERIODO Imp.]],CH$9)</f>
        <v>0</v>
      </c>
      <c r="CI298" s="693">
        <f>SUMIFS(Imput[[Importe Neto]:[Importe Neto]],Imput[[C. Imp.]:[C. Imp.]],$D298,Imput[[PERIODO Imp.]:[PERIODO Imp.]],CI$9)</f>
        <v>0</v>
      </c>
      <c r="CJ298" s="693">
        <f>SUMIFS(Imput[[Importe Neto]:[Importe Neto]],Imput[[C. Imp.]:[C. Imp.]],$D298,Imput[[PERIODO Imp.]:[PERIODO Imp.]],CJ$9)</f>
        <v>0</v>
      </c>
      <c r="CK298" s="693">
        <f>SUMIFS(Imput[[Importe Neto]:[Importe Neto]],Imput[[C. Imp.]:[C. Imp.]],$D298,Imput[[PERIODO Imp.]:[PERIODO Imp.]],CK$9)</f>
        <v>0</v>
      </c>
      <c r="CL298" s="693">
        <f>SUMIFS(Imput[[Importe Neto]:[Importe Neto]],Imput[[C. Imp.]:[C. Imp.]],$D298,Imput[[PERIODO Imp.]:[PERIODO Imp.]],CL$9)</f>
        <v>0</v>
      </c>
      <c r="CM298" s="693">
        <f>SUMIFS(Imput[[Importe Neto]:[Importe Neto]],Imput[[C. Imp.]:[C. Imp.]],$D298,Imput[[PERIODO Imp.]:[PERIODO Imp.]],CM$9)</f>
        <v>0</v>
      </c>
      <c r="CN298" s="693">
        <f>SUMIFS(Imput[[Importe Neto]:[Importe Neto]],Imput[[C. Imp.]:[C. Imp.]],$D298,Imput[[PERIODO Imp.]:[PERIODO Imp.]],CN$9)</f>
        <v>0</v>
      </c>
      <c r="CO298" s="693">
        <f>SUMIFS(Imput[[Importe Neto]:[Importe Neto]],Imput[[C. Imp.]:[C. Imp.]],$D298,Imput[[PERIODO Imp.]:[PERIODO Imp.]],CO$9)</f>
        <v>0</v>
      </c>
      <c r="CP298" s="693">
        <f>SUMIFS(Imput[[Importe Neto]:[Importe Neto]],Imput[[C. Imp.]:[C. Imp.]],$D298,Imput[[PERIODO Imp.]:[PERIODO Imp.]],CP$9)</f>
        <v>0</v>
      </c>
      <c r="CQ298" s="693">
        <f>SUMIFS(Imput[[Importe Neto]:[Importe Neto]],Imput[[C. Imp.]:[C. Imp.]],$D298,Imput[[PERIODO Imp.]:[PERIODO Imp.]],CQ$9)</f>
        <v>0</v>
      </c>
      <c r="CR298" s="693">
        <f>SUMIFS(Imput[[Importe Neto]:[Importe Neto]],Imput[[C. Imp.]:[C. Imp.]],$D298,Imput[[PERIODO Imp.]:[PERIODO Imp.]],CR$9)</f>
        <v>0</v>
      </c>
      <c r="CS298" s="693">
        <f>SUMIFS(Imput[[Importe Neto]:[Importe Neto]],Imput[[C. Imp.]:[C. Imp.]],$D298,Imput[[PERIODO Imp.]:[PERIODO Imp.]],CS$9)</f>
        <v>0</v>
      </c>
      <c r="CT298" s="693">
        <f>SUMIFS(Imput[[Importe Neto]:[Importe Neto]],Imput[[C. Imp.]:[C. Imp.]],$D298,Imput[[PERIODO Imp.]:[PERIODO Imp.]],CT$9)</f>
        <v>0</v>
      </c>
      <c r="CU298" s="693">
        <f>SUMIFS(Imput[[Importe Neto]:[Importe Neto]],Imput[[C. Imp.]:[C. Imp.]],$D298,Imput[[PERIODO Imp.]:[PERIODO Imp.]],CU$9)</f>
        <v>0</v>
      </c>
      <c r="CV298" s="693">
        <f>SUMIFS(Imput[[Importe Neto]:[Importe Neto]],Imput[[C. Imp.]:[C. Imp.]],$D298,Imput[[PERIODO Imp.]:[PERIODO Imp.]],CV$9)</f>
        <v>0</v>
      </c>
      <c r="CW298" s="693">
        <f>SUMIFS(Imput[[Importe Neto]:[Importe Neto]],Imput[[C. Imp.]:[C. Imp.]],$D298,Imput[[PERIODO Imp.]:[PERIODO Imp.]],CW$9)</f>
        <v>0</v>
      </c>
      <c r="CX298" s="693">
        <f>SUMIFS(Imput[[Importe Neto]:[Importe Neto]],Imput[[C. Imp.]:[C. Imp.]],$D298,Imput[[PERIODO Imp.]:[PERIODO Imp.]],CX$9)</f>
        <v>0</v>
      </c>
      <c r="CY298" s="693">
        <f>SUMIFS(Imput[[Importe Neto]:[Importe Neto]],Imput[[C. Imp.]:[C. Imp.]],$D298,Imput[[PERIODO Imp.]:[PERIODO Imp.]],CY$9)</f>
        <v>0</v>
      </c>
      <c r="CZ298" s="693">
        <f>SUMIFS(Imput[[Importe Neto]:[Importe Neto]],Imput[[C. Imp.]:[C. Imp.]],$D298,Imput[[PERIODO Imp.]:[PERIODO Imp.]],CZ$9)</f>
        <v>0</v>
      </c>
      <c r="DA298" s="693">
        <f>SUMIFS(Imput[[Importe Neto]:[Importe Neto]],Imput[[C. Imp.]:[C. Imp.]],$D298,Imput[[PERIODO Imp.]:[PERIODO Imp.]],DA$9)</f>
        <v>0</v>
      </c>
      <c r="DB298" s="693">
        <f>SUMIFS(Imput[[Importe Neto]:[Importe Neto]],Imput[[C. Imp.]:[C. Imp.]],$D298,Imput[[PERIODO Imp.]:[PERIODO Imp.]],DB$9)</f>
        <v>0</v>
      </c>
      <c r="DC298" s="693">
        <f>SUMIFS(Imput[[Importe Neto]:[Importe Neto]],Imput[[C. Imp.]:[C. Imp.]],$D298,Imput[[PERIODO Imp.]:[PERIODO Imp.]],DC$9)</f>
        <v>0</v>
      </c>
      <c r="DD298" s="693">
        <f>SUMIFS(Imput[[Importe Neto]:[Importe Neto]],Imput[[C. Imp.]:[C. Imp.]],$D298,Imput[[PERIODO Imp.]:[PERIODO Imp.]],DD$9)</f>
        <v>0</v>
      </c>
      <c r="DE298" s="693">
        <f>SUMIFS(Imput[[Importe Neto]:[Importe Neto]],Imput[[C. Imp.]:[C. Imp.]],$D298,Imput[[PERIODO Imp.]:[PERIODO Imp.]],DE$9)</f>
        <v>0</v>
      </c>
      <c r="DF298" s="693">
        <f>SUMIFS(Imput[[Importe Neto]:[Importe Neto]],Imput[[C. Imp.]:[C. Imp.]],$D298,Imput[[PERIODO Imp.]:[PERIODO Imp.]],DF$9)</f>
        <v>0</v>
      </c>
      <c r="DG298" s="693">
        <f>SUMIFS(Imput[[Importe Neto]:[Importe Neto]],Imput[[C. Imp.]:[C. Imp.]],$D298,Imput[[PERIODO Imp.]:[PERIODO Imp.]],DG$9)</f>
        <v>0</v>
      </c>
      <c r="DH298" s="694">
        <f>SUMIFS(Imput[[Importe Neto]:[Importe Neto]],Imput[[C. Imp.]:[C. Imp.]],$D298,Imput[[PERIODO Imp.]:[PERIODO Imp.]],DH$9)</f>
        <v>0</v>
      </c>
    </row>
    <row r="299" spans="1:112" s="649" customFormat="1" hidden="1" outlineLevel="1" x14ac:dyDescent="0.3">
      <c r="A299" s="652" t="str">
        <f t="shared" si="137"/>
        <v/>
      </c>
      <c r="B299" s="652"/>
      <c r="C299" s="685"/>
      <c r="D299" s="686" t="s">
        <v>2373</v>
      </c>
      <c r="E299" s="686"/>
      <c r="F299" s="720"/>
      <c r="G299" s="688"/>
      <c r="H299" s="689"/>
      <c r="I299" s="851" t="str">
        <f t="shared" si="138"/>
        <v/>
      </c>
      <c r="J299" s="850" t="str">
        <f t="shared" si="139"/>
        <v/>
      </c>
      <c r="K299" s="667"/>
      <c r="L299" s="858"/>
      <c r="M299" s="859"/>
      <c r="N299" s="859"/>
      <c r="O299" s="859"/>
      <c r="P299" s="859"/>
      <c r="Q299" s="859"/>
      <c r="R299" s="859"/>
      <c r="S299" s="859"/>
      <c r="T299" s="859"/>
      <c r="U299" s="859"/>
      <c r="V299" s="859"/>
      <c r="W299" s="859"/>
      <c r="X299" s="859"/>
      <c r="Y299" s="859"/>
      <c r="Z299" s="860"/>
      <c r="AA299" s="860"/>
      <c r="AB299" s="860"/>
      <c r="AC299" s="860"/>
      <c r="AD299" s="860"/>
      <c r="AE299" s="860"/>
      <c r="AF299" s="860"/>
      <c r="AG299" s="860"/>
      <c r="AH299" s="860"/>
      <c r="AI299" s="860"/>
      <c r="AJ299" s="860"/>
      <c r="AK299" s="860"/>
      <c r="AL299" s="860"/>
      <c r="AM299" s="860"/>
      <c r="AN299" s="860"/>
      <c r="AO299" s="860"/>
      <c r="AP299" s="860"/>
      <c r="AQ299" s="860"/>
      <c r="AR299" s="860"/>
      <c r="AS299" s="860"/>
      <c r="AT299" s="860"/>
      <c r="AU299" s="860"/>
      <c r="AV299" s="860"/>
      <c r="AW299" s="860"/>
      <c r="AX299" s="860"/>
      <c r="AY299" s="860"/>
      <c r="AZ299" s="860"/>
      <c r="BA299" s="860"/>
      <c r="BB299" s="860"/>
      <c r="BC299" s="860"/>
      <c r="BD299" s="860"/>
      <c r="BE299" s="860"/>
      <c r="BF299" s="860"/>
      <c r="BG299" s="860"/>
      <c r="BH299" s="668"/>
      <c r="BI299" s="667"/>
      <c r="BJ299" s="690">
        <f t="shared" si="140"/>
        <v>0</v>
      </c>
      <c r="BK299" s="691">
        <f t="shared" si="141"/>
        <v>0</v>
      </c>
      <c r="BL299" s="654"/>
      <c r="BM299" s="692">
        <f>SUMIFS(Imput[[Importe Neto]:[Importe Neto]],Imput[[C. Imp.]:[C. Imp.]],$D299,Imput[[PERIODO Imp.]:[PERIODO Imp.]],BM$9)</f>
        <v>0</v>
      </c>
      <c r="BN299" s="693">
        <f>SUMIFS(Imput[[Importe Neto]:[Importe Neto]],Imput[[C. Imp.]:[C. Imp.]],$D299,Imput[[PERIODO Imp.]:[PERIODO Imp.]],BN$9)</f>
        <v>0</v>
      </c>
      <c r="BO299" s="693">
        <f>SUMIFS(Imput[[Importe Neto]:[Importe Neto]],Imput[[C. Imp.]:[C. Imp.]],$D299,Imput[[PERIODO Imp.]:[PERIODO Imp.]],BO$9)</f>
        <v>0</v>
      </c>
      <c r="BP299" s="693">
        <f>SUMIFS(Imput[[Importe Neto]:[Importe Neto]],Imput[[C. Imp.]:[C. Imp.]],$D299,Imput[[PERIODO Imp.]:[PERIODO Imp.]],BP$9)</f>
        <v>0</v>
      </c>
      <c r="BQ299" s="693">
        <f>SUMIFS(Imput[[Importe Neto]:[Importe Neto]],Imput[[C. Imp.]:[C. Imp.]],$D299,Imput[[PERIODO Imp.]:[PERIODO Imp.]],BQ$9)</f>
        <v>0</v>
      </c>
      <c r="BR299" s="693">
        <f>SUMIFS(Imput[[Importe Neto]:[Importe Neto]],Imput[[C. Imp.]:[C. Imp.]],$D299,Imput[[PERIODO Imp.]:[PERIODO Imp.]],BR$9)</f>
        <v>0</v>
      </c>
      <c r="BS299" s="693">
        <f>SUMIFS(Imput[[Importe Neto]:[Importe Neto]],Imput[[C. Imp.]:[C. Imp.]],$D299,Imput[[PERIODO Imp.]:[PERIODO Imp.]],BS$9)</f>
        <v>0</v>
      </c>
      <c r="BT299" s="693">
        <f>SUMIFS(Imput[[Importe Neto]:[Importe Neto]],Imput[[C. Imp.]:[C. Imp.]],$D299,Imput[[PERIODO Imp.]:[PERIODO Imp.]],BT$9)</f>
        <v>0</v>
      </c>
      <c r="BU299" s="693">
        <f>SUMIFS(Imput[[Importe Neto]:[Importe Neto]],Imput[[C. Imp.]:[C. Imp.]],$D299,Imput[[PERIODO Imp.]:[PERIODO Imp.]],BU$9)</f>
        <v>0</v>
      </c>
      <c r="BV299" s="693">
        <f>SUMIFS(Imput[[Importe Neto]:[Importe Neto]],Imput[[C. Imp.]:[C. Imp.]],$D299,Imput[[PERIODO Imp.]:[PERIODO Imp.]],BV$9)</f>
        <v>0</v>
      </c>
      <c r="BW299" s="693">
        <f>SUMIFS(Imput[[Importe Neto]:[Importe Neto]],Imput[[C. Imp.]:[C. Imp.]],$D299,Imput[[PERIODO Imp.]:[PERIODO Imp.]],BW$9)</f>
        <v>0</v>
      </c>
      <c r="BX299" s="693">
        <f>SUMIFS(Imput[[Importe Neto]:[Importe Neto]],Imput[[C. Imp.]:[C. Imp.]],$D299,Imput[[PERIODO Imp.]:[PERIODO Imp.]],BX$9)</f>
        <v>0</v>
      </c>
      <c r="BY299" s="693">
        <f>SUMIFS(Imput[[Importe Neto]:[Importe Neto]],Imput[[C. Imp.]:[C. Imp.]],$D299,Imput[[PERIODO Imp.]:[PERIODO Imp.]],BY$9)</f>
        <v>0</v>
      </c>
      <c r="BZ299" s="693">
        <f>SUMIFS(Imput[[Importe Neto]:[Importe Neto]],Imput[[C. Imp.]:[C. Imp.]],$D299,Imput[[PERIODO Imp.]:[PERIODO Imp.]],BZ$9)</f>
        <v>0</v>
      </c>
      <c r="CA299" s="693">
        <f>SUMIFS(Imput[[Importe Neto]:[Importe Neto]],Imput[[C. Imp.]:[C. Imp.]],$D299,Imput[[PERIODO Imp.]:[PERIODO Imp.]],CA$9)</f>
        <v>0</v>
      </c>
      <c r="CB299" s="693">
        <f>SUMIFS(Imput[[Importe Neto]:[Importe Neto]],Imput[[C. Imp.]:[C. Imp.]],$D299,Imput[[PERIODO Imp.]:[PERIODO Imp.]],CB$9)</f>
        <v>0</v>
      </c>
      <c r="CC299" s="693">
        <f>SUMIFS(Imput[[Importe Neto]:[Importe Neto]],Imput[[C. Imp.]:[C. Imp.]],$D299,Imput[[PERIODO Imp.]:[PERIODO Imp.]],CC$9)</f>
        <v>0</v>
      </c>
      <c r="CD299" s="693">
        <f>SUMIFS(Imput[[Importe Neto]:[Importe Neto]],Imput[[C. Imp.]:[C. Imp.]],$D299,Imput[[PERIODO Imp.]:[PERIODO Imp.]],CD$9)</f>
        <v>0</v>
      </c>
      <c r="CE299" s="693">
        <f>SUMIFS(Imput[[Importe Neto]:[Importe Neto]],Imput[[C. Imp.]:[C. Imp.]],$D299,Imput[[PERIODO Imp.]:[PERIODO Imp.]],CE$9)</f>
        <v>0</v>
      </c>
      <c r="CF299" s="693">
        <f>SUMIFS(Imput[[Importe Neto]:[Importe Neto]],Imput[[C. Imp.]:[C. Imp.]],$D299,Imput[[PERIODO Imp.]:[PERIODO Imp.]],CF$9)</f>
        <v>0</v>
      </c>
      <c r="CG299" s="693">
        <f>SUMIFS(Imput[[Importe Neto]:[Importe Neto]],Imput[[C. Imp.]:[C. Imp.]],$D299,Imput[[PERIODO Imp.]:[PERIODO Imp.]],CG$9)</f>
        <v>0</v>
      </c>
      <c r="CH299" s="693">
        <f>SUMIFS(Imput[[Importe Neto]:[Importe Neto]],Imput[[C. Imp.]:[C. Imp.]],$D299,Imput[[PERIODO Imp.]:[PERIODO Imp.]],CH$9)</f>
        <v>0</v>
      </c>
      <c r="CI299" s="693">
        <f>SUMIFS(Imput[[Importe Neto]:[Importe Neto]],Imput[[C. Imp.]:[C. Imp.]],$D299,Imput[[PERIODO Imp.]:[PERIODO Imp.]],CI$9)</f>
        <v>0</v>
      </c>
      <c r="CJ299" s="693">
        <f>SUMIFS(Imput[[Importe Neto]:[Importe Neto]],Imput[[C. Imp.]:[C. Imp.]],$D299,Imput[[PERIODO Imp.]:[PERIODO Imp.]],CJ$9)</f>
        <v>0</v>
      </c>
      <c r="CK299" s="693">
        <f>SUMIFS(Imput[[Importe Neto]:[Importe Neto]],Imput[[C. Imp.]:[C. Imp.]],$D299,Imput[[PERIODO Imp.]:[PERIODO Imp.]],CK$9)</f>
        <v>0</v>
      </c>
      <c r="CL299" s="693">
        <f>SUMIFS(Imput[[Importe Neto]:[Importe Neto]],Imput[[C. Imp.]:[C. Imp.]],$D299,Imput[[PERIODO Imp.]:[PERIODO Imp.]],CL$9)</f>
        <v>0</v>
      </c>
      <c r="CM299" s="693">
        <f>SUMIFS(Imput[[Importe Neto]:[Importe Neto]],Imput[[C. Imp.]:[C. Imp.]],$D299,Imput[[PERIODO Imp.]:[PERIODO Imp.]],CM$9)</f>
        <v>0</v>
      </c>
      <c r="CN299" s="693">
        <f>SUMIFS(Imput[[Importe Neto]:[Importe Neto]],Imput[[C. Imp.]:[C. Imp.]],$D299,Imput[[PERIODO Imp.]:[PERIODO Imp.]],CN$9)</f>
        <v>0</v>
      </c>
      <c r="CO299" s="693">
        <f>SUMIFS(Imput[[Importe Neto]:[Importe Neto]],Imput[[C. Imp.]:[C. Imp.]],$D299,Imput[[PERIODO Imp.]:[PERIODO Imp.]],CO$9)</f>
        <v>0</v>
      </c>
      <c r="CP299" s="693">
        <f>SUMIFS(Imput[[Importe Neto]:[Importe Neto]],Imput[[C. Imp.]:[C. Imp.]],$D299,Imput[[PERIODO Imp.]:[PERIODO Imp.]],CP$9)</f>
        <v>0</v>
      </c>
      <c r="CQ299" s="693">
        <f>SUMIFS(Imput[[Importe Neto]:[Importe Neto]],Imput[[C. Imp.]:[C. Imp.]],$D299,Imput[[PERIODO Imp.]:[PERIODO Imp.]],CQ$9)</f>
        <v>0</v>
      </c>
      <c r="CR299" s="693">
        <f>SUMIFS(Imput[[Importe Neto]:[Importe Neto]],Imput[[C. Imp.]:[C. Imp.]],$D299,Imput[[PERIODO Imp.]:[PERIODO Imp.]],CR$9)</f>
        <v>0</v>
      </c>
      <c r="CS299" s="693">
        <f>SUMIFS(Imput[[Importe Neto]:[Importe Neto]],Imput[[C. Imp.]:[C. Imp.]],$D299,Imput[[PERIODO Imp.]:[PERIODO Imp.]],CS$9)</f>
        <v>0</v>
      </c>
      <c r="CT299" s="693">
        <f>SUMIFS(Imput[[Importe Neto]:[Importe Neto]],Imput[[C. Imp.]:[C. Imp.]],$D299,Imput[[PERIODO Imp.]:[PERIODO Imp.]],CT$9)</f>
        <v>0</v>
      </c>
      <c r="CU299" s="693">
        <f>SUMIFS(Imput[[Importe Neto]:[Importe Neto]],Imput[[C. Imp.]:[C. Imp.]],$D299,Imput[[PERIODO Imp.]:[PERIODO Imp.]],CU$9)</f>
        <v>0</v>
      </c>
      <c r="CV299" s="693">
        <f>SUMIFS(Imput[[Importe Neto]:[Importe Neto]],Imput[[C. Imp.]:[C. Imp.]],$D299,Imput[[PERIODO Imp.]:[PERIODO Imp.]],CV$9)</f>
        <v>0</v>
      </c>
      <c r="CW299" s="693">
        <f>SUMIFS(Imput[[Importe Neto]:[Importe Neto]],Imput[[C. Imp.]:[C. Imp.]],$D299,Imput[[PERIODO Imp.]:[PERIODO Imp.]],CW$9)</f>
        <v>0</v>
      </c>
      <c r="CX299" s="693">
        <f>SUMIFS(Imput[[Importe Neto]:[Importe Neto]],Imput[[C. Imp.]:[C. Imp.]],$D299,Imput[[PERIODO Imp.]:[PERIODO Imp.]],CX$9)</f>
        <v>0</v>
      </c>
      <c r="CY299" s="693">
        <f>SUMIFS(Imput[[Importe Neto]:[Importe Neto]],Imput[[C. Imp.]:[C. Imp.]],$D299,Imput[[PERIODO Imp.]:[PERIODO Imp.]],CY$9)</f>
        <v>0</v>
      </c>
      <c r="CZ299" s="693">
        <f>SUMIFS(Imput[[Importe Neto]:[Importe Neto]],Imput[[C. Imp.]:[C. Imp.]],$D299,Imput[[PERIODO Imp.]:[PERIODO Imp.]],CZ$9)</f>
        <v>0</v>
      </c>
      <c r="DA299" s="693">
        <f>SUMIFS(Imput[[Importe Neto]:[Importe Neto]],Imput[[C. Imp.]:[C. Imp.]],$D299,Imput[[PERIODO Imp.]:[PERIODO Imp.]],DA$9)</f>
        <v>0</v>
      </c>
      <c r="DB299" s="693">
        <f>SUMIFS(Imput[[Importe Neto]:[Importe Neto]],Imput[[C. Imp.]:[C. Imp.]],$D299,Imput[[PERIODO Imp.]:[PERIODO Imp.]],DB$9)</f>
        <v>0</v>
      </c>
      <c r="DC299" s="693">
        <f>SUMIFS(Imput[[Importe Neto]:[Importe Neto]],Imput[[C. Imp.]:[C. Imp.]],$D299,Imput[[PERIODO Imp.]:[PERIODO Imp.]],DC$9)</f>
        <v>0</v>
      </c>
      <c r="DD299" s="693">
        <f>SUMIFS(Imput[[Importe Neto]:[Importe Neto]],Imput[[C. Imp.]:[C. Imp.]],$D299,Imput[[PERIODO Imp.]:[PERIODO Imp.]],DD$9)</f>
        <v>0</v>
      </c>
      <c r="DE299" s="693">
        <f>SUMIFS(Imput[[Importe Neto]:[Importe Neto]],Imput[[C. Imp.]:[C. Imp.]],$D299,Imput[[PERIODO Imp.]:[PERIODO Imp.]],DE$9)</f>
        <v>0</v>
      </c>
      <c r="DF299" s="693">
        <f>SUMIFS(Imput[[Importe Neto]:[Importe Neto]],Imput[[C. Imp.]:[C. Imp.]],$D299,Imput[[PERIODO Imp.]:[PERIODO Imp.]],DF$9)</f>
        <v>0</v>
      </c>
      <c r="DG299" s="693">
        <f>SUMIFS(Imput[[Importe Neto]:[Importe Neto]],Imput[[C. Imp.]:[C. Imp.]],$D299,Imput[[PERIODO Imp.]:[PERIODO Imp.]],DG$9)</f>
        <v>0</v>
      </c>
      <c r="DH299" s="694">
        <f>SUMIFS(Imput[[Importe Neto]:[Importe Neto]],Imput[[C. Imp.]:[C. Imp.]],$D299,Imput[[PERIODO Imp.]:[PERIODO Imp.]],DH$9)</f>
        <v>0</v>
      </c>
    </row>
    <row r="300" spans="1:112" s="649" customFormat="1" hidden="1" outlineLevel="1" x14ac:dyDescent="0.3">
      <c r="A300" s="652" t="str">
        <f t="shared" si="137"/>
        <v/>
      </c>
      <c r="B300" s="652"/>
      <c r="C300" s="685"/>
      <c r="D300" s="686" t="s">
        <v>2374</v>
      </c>
      <c r="E300" s="686"/>
      <c r="F300" s="720"/>
      <c r="G300" s="688"/>
      <c r="H300" s="689"/>
      <c r="I300" s="851" t="str">
        <f t="shared" si="138"/>
        <v/>
      </c>
      <c r="J300" s="850" t="str">
        <f t="shared" si="139"/>
        <v/>
      </c>
      <c r="K300" s="667"/>
      <c r="L300" s="858"/>
      <c r="M300" s="859"/>
      <c r="N300" s="859"/>
      <c r="O300" s="859"/>
      <c r="P300" s="859"/>
      <c r="Q300" s="859"/>
      <c r="R300" s="859"/>
      <c r="S300" s="859"/>
      <c r="T300" s="859"/>
      <c r="U300" s="859"/>
      <c r="V300" s="859"/>
      <c r="W300" s="859"/>
      <c r="X300" s="859"/>
      <c r="Y300" s="859"/>
      <c r="Z300" s="860"/>
      <c r="AA300" s="860"/>
      <c r="AB300" s="860"/>
      <c r="AC300" s="860"/>
      <c r="AD300" s="860"/>
      <c r="AE300" s="860"/>
      <c r="AF300" s="860"/>
      <c r="AG300" s="860"/>
      <c r="AH300" s="860"/>
      <c r="AI300" s="860"/>
      <c r="AJ300" s="860"/>
      <c r="AK300" s="860"/>
      <c r="AL300" s="860"/>
      <c r="AM300" s="860"/>
      <c r="AN300" s="860"/>
      <c r="AO300" s="860"/>
      <c r="AP300" s="860"/>
      <c r="AQ300" s="860"/>
      <c r="AR300" s="860"/>
      <c r="AS300" s="860"/>
      <c r="AT300" s="860"/>
      <c r="AU300" s="860"/>
      <c r="AV300" s="860"/>
      <c r="AW300" s="860"/>
      <c r="AX300" s="860"/>
      <c r="AY300" s="860"/>
      <c r="AZ300" s="860"/>
      <c r="BA300" s="860"/>
      <c r="BB300" s="860"/>
      <c r="BC300" s="860"/>
      <c r="BD300" s="860"/>
      <c r="BE300" s="860"/>
      <c r="BF300" s="860"/>
      <c r="BG300" s="860"/>
      <c r="BH300" s="668"/>
      <c r="BI300" s="667"/>
      <c r="BJ300" s="690">
        <f t="shared" si="140"/>
        <v>0</v>
      </c>
      <c r="BK300" s="691">
        <f t="shared" si="141"/>
        <v>0</v>
      </c>
      <c r="BL300" s="654"/>
      <c r="BM300" s="692">
        <f>SUMIFS(Imput[[Importe Neto]:[Importe Neto]],Imput[[C. Imp.]:[C. Imp.]],$D300,Imput[[PERIODO Imp.]:[PERIODO Imp.]],BM$9)</f>
        <v>0</v>
      </c>
      <c r="BN300" s="693">
        <f>SUMIFS(Imput[[Importe Neto]:[Importe Neto]],Imput[[C. Imp.]:[C. Imp.]],$D300,Imput[[PERIODO Imp.]:[PERIODO Imp.]],BN$9)</f>
        <v>0</v>
      </c>
      <c r="BO300" s="693">
        <f>SUMIFS(Imput[[Importe Neto]:[Importe Neto]],Imput[[C. Imp.]:[C. Imp.]],$D300,Imput[[PERIODO Imp.]:[PERIODO Imp.]],BO$9)</f>
        <v>0</v>
      </c>
      <c r="BP300" s="693">
        <f>SUMIFS(Imput[[Importe Neto]:[Importe Neto]],Imput[[C. Imp.]:[C. Imp.]],$D300,Imput[[PERIODO Imp.]:[PERIODO Imp.]],BP$9)</f>
        <v>0</v>
      </c>
      <c r="BQ300" s="693">
        <f>SUMIFS(Imput[[Importe Neto]:[Importe Neto]],Imput[[C. Imp.]:[C. Imp.]],$D300,Imput[[PERIODO Imp.]:[PERIODO Imp.]],BQ$9)</f>
        <v>0</v>
      </c>
      <c r="BR300" s="693">
        <f>SUMIFS(Imput[[Importe Neto]:[Importe Neto]],Imput[[C. Imp.]:[C. Imp.]],$D300,Imput[[PERIODO Imp.]:[PERIODO Imp.]],BR$9)</f>
        <v>0</v>
      </c>
      <c r="BS300" s="693">
        <f>SUMIFS(Imput[[Importe Neto]:[Importe Neto]],Imput[[C. Imp.]:[C. Imp.]],$D300,Imput[[PERIODO Imp.]:[PERIODO Imp.]],BS$9)</f>
        <v>0</v>
      </c>
      <c r="BT300" s="693">
        <f>SUMIFS(Imput[[Importe Neto]:[Importe Neto]],Imput[[C. Imp.]:[C. Imp.]],$D300,Imput[[PERIODO Imp.]:[PERIODO Imp.]],BT$9)</f>
        <v>0</v>
      </c>
      <c r="BU300" s="693">
        <f>SUMIFS(Imput[[Importe Neto]:[Importe Neto]],Imput[[C. Imp.]:[C. Imp.]],$D300,Imput[[PERIODO Imp.]:[PERIODO Imp.]],BU$9)</f>
        <v>0</v>
      </c>
      <c r="BV300" s="693">
        <f>SUMIFS(Imput[[Importe Neto]:[Importe Neto]],Imput[[C. Imp.]:[C. Imp.]],$D300,Imput[[PERIODO Imp.]:[PERIODO Imp.]],BV$9)</f>
        <v>0</v>
      </c>
      <c r="BW300" s="693">
        <f>SUMIFS(Imput[[Importe Neto]:[Importe Neto]],Imput[[C. Imp.]:[C. Imp.]],$D300,Imput[[PERIODO Imp.]:[PERIODO Imp.]],BW$9)</f>
        <v>0</v>
      </c>
      <c r="BX300" s="693">
        <f>SUMIFS(Imput[[Importe Neto]:[Importe Neto]],Imput[[C. Imp.]:[C. Imp.]],$D300,Imput[[PERIODO Imp.]:[PERIODO Imp.]],BX$9)</f>
        <v>0</v>
      </c>
      <c r="BY300" s="693">
        <f>SUMIFS(Imput[[Importe Neto]:[Importe Neto]],Imput[[C. Imp.]:[C. Imp.]],$D300,Imput[[PERIODO Imp.]:[PERIODO Imp.]],BY$9)</f>
        <v>0</v>
      </c>
      <c r="BZ300" s="693">
        <f>SUMIFS(Imput[[Importe Neto]:[Importe Neto]],Imput[[C. Imp.]:[C. Imp.]],$D300,Imput[[PERIODO Imp.]:[PERIODO Imp.]],BZ$9)</f>
        <v>0</v>
      </c>
      <c r="CA300" s="693">
        <f>SUMIFS(Imput[[Importe Neto]:[Importe Neto]],Imput[[C. Imp.]:[C. Imp.]],$D300,Imput[[PERIODO Imp.]:[PERIODO Imp.]],CA$9)</f>
        <v>0</v>
      </c>
      <c r="CB300" s="693">
        <f>SUMIFS(Imput[[Importe Neto]:[Importe Neto]],Imput[[C. Imp.]:[C. Imp.]],$D300,Imput[[PERIODO Imp.]:[PERIODO Imp.]],CB$9)</f>
        <v>0</v>
      </c>
      <c r="CC300" s="693">
        <f>SUMIFS(Imput[[Importe Neto]:[Importe Neto]],Imput[[C. Imp.]:[C. Imp.]],$D300,Imput[[PERIODO Imp.]:[PERIODO Imp.]],CC$9)</f>
        <v>0</v>
      </c>
      <c r="CD300" s="693">
        <f>SUMIFS(Imput[[Importe Neto]:[Importe Neto]],Imput[[C. Imp.]:[C. Imp.]],$D300,Imput[[PERIODO Imp.]:[PERIODO Imp.]],CD$9)</f>
        <v>0</v>
      </c>
      <c r="CE300" s="693">
        <f>SUMIFS(Imput[[Importe Neto]:[Importe Neto]],Imput[[C. Imp.]:[C. Imp.]],$D300,Imput[[PERIODO Imp.]:[PERIODO Imp.]],CE$9)</f>
        <v>0</v>
      </c>
      <c r="CF300" s="693">
        <f>SUMIFS(Imput[[Importe Neto]:[Importe Neto]],Imput[[C. Imp.]:[C. Imp.]],$D300,Imput[[PERIODO Imp.]:[PERIODO Imp.]],CF$9)</f>
        <v>0</v>
      </c>
      <c r="CG300" s="693">
        <f>SUMIFS(Imput[[Importe Neto]:[Importe Neto]],Imput[[C. Imp.]:[C. Imp.]],$D300,Imput[[PERIODO Imp.]:[PERIODO Imp.]],CG$9)</f>
        <v>0</v>
      </c>
      <c r="CH300" s="693">
        <f>SUMIFS(Imput[[Importe Neto]:[Importe Neto]],Imput[[C. Imp.]:[C. Imp.]],$D300,Imput[[PERIODO Imp.]:[PERIODO Imp.]],CH$9)</f>
        <v>0</v>
      </c>
      <c r="CI300" s="693">
        <f>SUMIFS(Imput[[Importe Neto]:[Importe Neto]],Imput[[C. Imp.]:[C. Imp.]],$D300,Imput[[PERIODO Imp.]:[PERIODO Imp.]],CI$9)</f>
        <v>0</v>
      </c>
      <c r="CJ300" s="693">
        <f>SUMIFS(Imput[[Importe Neto]:[Importe Neto]],Imput[[C. Imp.]:[C. Imp.]],$D300,Imput[[PERIODO Imp.]:[PERIODO Imp.]],CJ$9)</f>
        <v>0</v>
      </c>
      <c r="CK300" s="693">
        <f>SUMIFS(Imput[[Importe Neto]:[Importe Neto]],Imput[[C. Imp.]:[C. Imp.]],$D300,Imput[[PERIODO Imp.]:[PERIODO Imp.]],CK$9)</f>
        <v>0</v>
      </c>
      <c r="CL300" s="693">
        <f>SUMIFS(Imput[[Importe Neto]:[Importe Neto]],Imput[[C. Imp.]:[C. Imp.]],$D300,Imput[[PERIODO Imp.]:[PERIODO Imp.]],CL$9)</f>
        <v>0</v>
      </c>
      <c r="CM300" s="693">
        <f>SUMIFS(Imput[[Importe Neto]:[Importe Neto]],Imput[[C. Imp.]:[C. Imp.]],$D300,Imput[[PERIODO Imp.]:[PERIODO Imp.]],CM$9)</f>
        <v>0</v>
      </c>
      <c r="CN300" s="693">
        <f>SUMIFS(Imput[[Importe Neto]:[Importe Neto]],Imput[[C. Imp.]:[C. Imp.]],$D300,Imput[[PERIODO Imp.]:[PERIODO Imp.]],CN$9)</f>
        <v>0</v>
      </c>
      <c r="CO300" s="693">
        <f>SUMIFS(Imput[[Importe Neto]:[Importe Neto]],Imput[[C. Imp.]:[C. Imp.]],$D300,Imput[[PERIODO Imp.]:[PERIODO Imp.]],CO$9)</f>
        <v>0</v>
      </c>
      <c r="CP300" s="693">
        <f>SUMIFS(Imput[[Importe Neto]:[Importe Neto]],Imput[[C. Imp.]:[C. Imp.]],$D300,Imput[[PERIODO Imp.]:[PERIODO Imp.]],CP$9)</f>
        <v>0</v>
      </c>
      <c r="CQ300" s="693">
        <f>SUMIFS(Imput[[Importe Neto]:[Importe Neto]],Imput[[C. Imp.]:[C. Imp.]],$D300,Imput[[PERIODO Imp.]:[PERIODO Imp.]],CQ$9)</f>
        <v>0</v>
      </c>
      <c r="CR300" s="693">
        <f>SUMIFS(Imput[[Importe Neto]:[Importe Neto]],Imput[[C. Imp.]:[C. Imp.]],$D300,Imput[[PERIODO Imp.]:[PERIODO Imp.]],CR$9)</f>
        <v>0</v>
      </c>
      <c r="CS300" s="693">
        <f>SUMIFS(Imput[[Importe Neto]:[Importe Neto]],Imput[[C. Imp.]:[C. Imp.]],$D300,Imput[[PERIODO Imp.]:[PERIODO Imp.]],CS$9)</f>
        <v>0</v>
      </c>
      <c r="CT300" s="693">
        <f>SUMIFS(Imput[[Importe Neto]:[Importe Neto]],Imput[[C. Imp.]:[C. Imp.]],$D300,Imput[[PERIODO Imp.]:[PERIODO Imp.]],CT$9)</f>
        <v>0</v>
      </c>
      <c r="CU300" s="693">
        <f>SUMIFS(Imput[[Importe Neto]:[Importe Neto]],Imput[[C. Imp.]:[C. Imp.]],$D300,Imput[[PERIODO Imp.]:[PERIODO Imp.]],CU$9)</f>
        <v>0</v>
      </c>
      <c r="CV300" s="693">
        <f>SUMIFS(Imput[[Importe Neto]:[Importe Neto]],Imput[[C. Imp.]:[C. Imp.]],$D300,Imput[[PERIODO Imp.]:[PERIODO Imp.]],CV$9)</f>
        <v>0</v>
      </c>
      <c r="CW300" s="693">
        <f>SUMIFS(Imput[[Importe Neto]:[Importe Neto]],Imput[[C. Imp.]:[C. Imp.]],$D300,Imput[[PERIODO Imp.]:[PERIODO Imp.]],CW$9)</f>
        <v>0</v>
      </c>
      <c r="CX300" s="693">
        <f>SUMIFS(Imput[[Importe Neto]:[Importe Neto]],Imput[[C. Imp.]:[C. Imp.]],$D300,Imput[[PERIODO Imp.]:[PERIODO Imp.]],CX$9)</f>
        <v>0</v>
      </c>
      <c r="CY300" s="693">
        <f>SUMIFS(Imput[[Importe Neto]:[Importe Neto]],Imput[[C. Imp.]:[C. Imp.]],$D300,Imput[[PERIODO Imp.]:[PERIODO Imp.]],CY$9)</f>
        <v>0</v>
      </c>
      <c r="CZ300" s="693">
        <f>SUMIFS(Imput[[Importe Neto]:[Importe Neto]],Imput[[C. Imp.]:[C. Imp.]],$D300,Imput[[PERIODO Imp.]:[PERIODO Imp.]],CZ$9)</f>
        <v>0</v>
      </c>
      <c r="DA300" s="693">
        <f>SUMIFS(Imput[[Importe Neto]:[Importe Neto]],Imput[[C. Imp.]:[C. Imp.]],$D300,Imput[[PERIODO Imp.]:[PERIODO Imp.]],DA$9)</f>
        <v>0</v>
      </c>
      <c r="DB300" s="693">
        <f>SUMIFS(Imput[[Importe Neto]:[Importe Neto]],Imput[[C. Imp.]:[C. Imp.]],$D300,Imput[[PERIODO Imp.]:[PERIODO Imp.]],DB$9)</f>
        <v>0</v>
      </c>
      <c r="DC300" s="693">
        <f>SUMIFS(Imput[[Importe Neto]:[Importe Neto]],Imput[[C. Imp.]:[C. Imp.]],$D300,Imput[[PERIODO Imp.]:[PERIODO Imp.]],DC$9)</f>
        <v>0</v>
      </c>
      <c r="DD300" s="693">
        <f>SUMIFS(Imput[[Importe Neto]:[Importe Neto]],Imput[[C. Imp.]:[C. Imp.]],$D300,Imput[[PERIODO Imp.]:[PERIODO Imp.]],DD$9)</f>
        <v>0</v>
      </c>
      <c r="DE300" s="693">
        <f>SUMIFS(Imput[[Importe Neto]:[Importe Neto]],Imput[[C. Imp.]:[C. Imp.]],$D300,Imput[[PERIODO Imp.]:[PERIODO Imp.]],DE$9)</f>
        <v>0</v>
      </c>
      <c r="DF300" s="693">
        <f>SUMIFS(Imput[[Importe Neto]:[Importe Neto]],Imput[[C. Imp.]:[C. Imp.]],$D300,Imput[[PERIODO Imp.]:[PERIODO Imp.]],DF$9)</f>
        <v>0</v>
      </c>
      <c r="DG300" s="693">
        <f>SUMIFS(Imput[[Importe Neto]:[Importe Neto]],Imput[[C. Imp.]:[C. Imp.]],$D300,Imput[[PERIODO Imp.]:[PERIODO Imp.]],DG$9)</f>
        <v>0</v>
      </c>
      <c r="DH300" s="694">
        <f>SUMIFS(Imput[[Importe Neto]:[Importe Neto]],Imput[[C. Imp.]:[C. Imp.]],$D300,Imput[[PERIODO Imp.]:[PERIODO Imp.]],DH$9)</f>
        <v>0</v>
      </c>
    </row>
    <row r="301" spans="1:112" s="649" customFormat="1" hidden="1" outlineLevel="1" x14ac:dyDescent="0.3">
      <c r="A301" s="652" t="str">
        <f t="shared" si="137"/>
        <v/>
      </c>
      <c r="B301" s="652"/>
      <c r="C301" s="685"/>
      <c r="D301" s="686" t="s">
        <v>2375</v>
      </c>
      <c r="E301" s="686"/>
      <c r="F301" s="720"/>
      <c r="G301" s="688"/>
      <c r="H301" s="689"/>
      <c r="I301" s="851" t="str">
        <f t="shared" si="138"/>
        <v/>
      </c>
      <c r="J301" s="850" t="str">
        <f t="shared" si="139"/>
        <v/>
      </c>
      <c r="K301" s="667"/>
      <c r="L301" s="858"/>
      <c r="M301" s="859"/>
      <c r="N301" s="859"/>
      <c r="O301" s="859"/>
      <c r="P301" s="859"/>
      <c r="Q301" s="859"/>
      <c r="R301" s="859"/>
      <c r="S301" s="859"/>
      <c r="T301" s="859"/>
      <c r="U301" s="859"/>
      <c r="V301" s="859"/>
      <c r="W301" s="859"/>
      <c r="X301" s="859"/>
      <c r="Y301" s="859"/>
      <c r="Z301" s="860"/>
      <c r="AA301" s="860"/>
      <c r="AB301" s="860"/>
      <c r="AC301" s="860"/>
      <c r="AD301" s="860"/>
      <c r="AE301" s="860"/>
      <c r="AF301" s="860"/>
      <c r="AG301" s="860"/>
      <c r="AH301" s="860"/>
      <c r="AI301" s="860"/>
      <c r="AJ301" s="860"/>
      <c r="AK301" s="860"/>
      <c r="AL301" s="860"/>
      <c r="AM301" s="860"/>
      <c r="AN301" s="860"/>
      <c r="AO301" s="860"/>
      <c r="AP301" s="860"/>
      <c r="AQ301" s="860"/>
      <c r="AR301" s="860"/>
      <c r="AS301" s="860"/>
      <c r="AT301" s="860"/>
      <c r="AU301" s="860"/>
      <c r="AV301" s="860"/>
      <c r="AW301" s="860"/>
      <c r="AX301" s="860"/>
      <c r="AY301" s="860"/>
      <c r="AZ301" s="860"/>
      <c r="BA301" s="860"/>
      <c r="BB301" s="860"/>
      <c r="BC301" s="860"/>
      <c r="BD301" s="860"/>
      <c r="BE301" s="860"/>
      <c r="BF301" s="860"/>
      <c r="BG301" s="860"/>
      <c r="BH301" s="668"/>
      <c r="BI301" s="667"/>
      <c r="BJ301" s="690">
        <f t="shared" si="140"/>
        <v>0</v>
      </c>
      <c r="BK301" s="691">
        <f t="shared" si="141"/>
        <v>0</v>
      </c>
      <c r="BL301" s="654"/>
      <c r="BM301" s="692">
        <f>SUMIFS(Imput[[Importe Neto]:[Importe Neto]],Imput[[C. Imp.]:[C. Imp.]],$D301,Imput[[PERIODO Imp.]:[PERIODO Imp.]],BM$9)</f>
        <v>0</v>
      </c>
      <c r="BN301" s="693">
        <f>SUMIFS(Imput[[Importe Neto]:[Importe Neto]],Imput[[C. Imp.]:[C. Imp.]],$D301,Imput[[PERIODO Imp.]:[PERIODO Imp.]],BN$9)</f>
        <v>0</v>
      </c>
      <c r="BO301" s="693">
        <f>SUMIFS(Imput[[Importe Neto]:[Importe Neto]],Imput[[C. Imp.]:[C. Imp.]],$D301,Imput[[PERIODO Imp.]:[PERIODO Imp.]],BO$9)</f>
        <v>0</v>
      </c>
      <c r="BP301" s="693">
        <f>SUMIFS(Imput[[Importe Neto]:[Importe Neto]],Imput[[C. Imp.]:[C. Imp.]],$D301,Imput[[PERIODO Imp.]:[PERIODO Imp.]],BP$9)</f>
        <v>0</v>
      </c>
      <c r="BQ301" s="693">
        <f>SUMIFS(Imput[[Importe Neto]:[Importe Neto]],Imput[[C. Imp.]:[C. Imp.]],$D301,Imput[[PERIODO Imp.]:[PERIODO Imp.]],BQ$9)</f>
        <v>0</v>
      </c>
      <c r="BR301" s="693">
        <f>SUMIFS(Imput[[Importe Neto]:[Importe Neto]],Imput[[C. Imp.]:[C. Imp.]],$D301,Imput[[PERIODO Imp.]:[PERIODO Imp.]],BR$9)</f>
        <v>0</v>
      </c>
      <c r="BS301" s="693">
        <f>SUMIFS(Imput[[Importe Neto]:[Importe Neto]],Imput[[C. Imp.]:[C. Imp.]],$D301,Imput[[PERIODO Imp.]:[PERIODO Imp.]],BS$9)</f>
        <v>0</v>
      </c>
      <c r="BT301" s="693">
        <f>SUMIFS(Imput[[Importe Neto]:[Importe Neto]],Imput[[C. Imp.]:[C. Imp.]],$D301,Imput[[PERIODO Imp.]:[PERIODO Imp.]],BT$9)</f>
        <v>0</v>
      </c>
      <c r="BU301" s="693">
        <f>SUMIFS(Imput[[Importe Neto]:[Importe Neto]],Imput[[C. Imp.]:[C. Imp.]],$D301,Imput[[PERIODO Imp.]:[PERIODO Imp.]],BU$9)</f>
        <v>0</v>
      </c>
      <c r="BV301" s="693">
        <f>SUMIFS(Imput[[Importe Neto]:[Importe Neto]],Imput[[C. Imp.]:[C. Imp.]],$D301,Imput[[PERIODO Imp.]:[PERIODO Imp.]],BV$9)</f>
        <v>0</v>
      </c>
      <c r="BW301" s="693">
        <f>SUMIFS(Imput[[Importe Neto]:[Importe Neto]],Imput[[C. Imp.]:[C. Imp.]],$D301,Imput[[PERIODO Imp.]:[PERIODO Imp.]],BW$9)</f>
        <v>0</v>
      </c>
      <c r="BX301" s="693">
        <f>SUMIFS(Imput[[Importe Neto]:[Importe Neto]],Imput[[C. Imp.]:[C. Imp.]],$D301,Imput[[PERIODO Imp.]:[PERIODO Imp.]],BX$9)</f>
        <v>0</v>
      </c>
      <c r="BY301" s="693">
        <f>SUMIFS(Imput[[Importe Neto]:[Importe Neto]],Imput[[C. Imp.]:[C. Imp.]],$D301,Imput[[PERIODO Imp.]:[PERIODO Imp.]],BY$9)</f>
        <v>0</v>
      </c>
      <c r="BZ301" s="693">
        <f>SUMIFS(Imput[[Importe Neto]:[Importe Neto]],Imput[[C. Imp.]:[C. Imp.]],$D301,Imput[[PERIODO Imp.]:[PERIODO Imp.]],BZ$9)</f>
        <v>0</v>
      </c>
      <c r="CA301" s="693">
        <f>SUMIFS(Imput[[Importe Neto]:[Importe Neto]],Imput[[C. Imp.]:[C. Imp.]],$D301,Imput[[PERIODO Imp.]:[PERIODO Imp.]],CA$9)</f>
        <v>0</v>
      </c>
      <c r="CB301" s="693">
        <f>SUMIFS(Imput[[Importe Neto]:[Importe Neto]],Imput[[C. Imp.]:[C. Imp.]],$D301,Imput[[PERIODO Imp.]:[PERIODO Imp.]],CB$9)</f>
        <v>0</v>
      </c>
      <c r="CC301" s="693">
        <f>SUMIFS(Imput[[Importe Neto]:[Importe Neto]],Imput[[C. Imp.]:[C. Imp.]],$D301,Imput[[PERIODO Imp.]:[PERIODO Imp.]],CC$9)</f>
        <v>0</v>
      </c>
      <c r="CD301" s="693">
        <f>SUMIFS(Imput[[Importe Neto]:[Importe Neto]],Imput[[C. Imp.]:[C. Imp.]],$D301,Imput[[PERIODO Imp.]:[PERIODO Imp.]],CD$9)</f>
        <v>0</v>
      </c>
      <c r="CE301" s="693">
        <f>SUMIFS(Imput[[Importe Neto]:[Importe Neto]],Imput[[C. Imp.]:[C. Imp.]],$D301,Imput[[PERIODO Imp.]:[PERIODO Imp.]],CE$9)</f>
        <v>0</v>
      </c>
      <c r="CF301" s="693">
        <f>SUMIFS(Imput[[Importe Neto]:[Importe Neto]],Imput[[C. Imp.]:[C. Imp.]],$D301,Imput[[PERIODO Imp.]:[PERIODO Imp.]],CF$9)</f>
        <v>0</v>
      </c>
      <c r="CG301" s="693">
        <f>SUMIFS(Imput[[Importe Neto]:[Importe Neto]],Imput[[C. Imp.]:[C. Imp.]],$D301,Imput[[PERIODO Imp.]:[PERIODO Imp.]],CG$9)</f>
        <v>0</v>
      </c>
      <c r="CH301" s="693">
        <f>SUMIFS(Imput[[Importe Neto]:[Importe Neto]],Imput[[C. Imp.]:[C. Imp.]],$D301,Imput[[PERIODO Imp.]:[PERIODO Imp.]],CH$9)</f>
        <v>0</v>
      </c>
      <c r="CI301" s="693">
        <f>SUMIFS(Imput[[Importe Neto]:[Importe Neto]],Imput[[C. Imp.]:[C. Imp.]],$D301,Imput[[PERIODO Imp.]:[PERIODO Imp.]],CI$9)</f>
        <v>0</v>
      </c>
      <c r="CJ301" s="693">
        <f>SUMIFS(Imput[[Importe Neto]:[Importe Neto]],Imput[[C. Imp.]:[C. Imp.]],$D301,Imput[[PERIODO Imp.]:[PERIODO Imp.]],CJ$9)</f>
        <v>0</v>
      </c>
      <c r="CK301" s="693">
        <f>SUMIFS(Imput[[Importe Neto]:[Importe Neto]],Imput[[C. Imp.]:[C. Imp.]],$D301,Imput[[PERIODO Imp.]:[PERIODO Imp.]],CK$9)</f>
        <v>0</v>
      </c>
      <c r="CL301" s="693">
        <f>SUMIFS(Imput[[Importe Neto]:[Importe Neto]],Imput[[C. Imp.]:[C. Imp.]],$D301,Imput[[PERIODO Imp.]:[PERIODO Imp.]],CL$9)</f>
        <v>0</v>
      </c>
      <c r="CM301" s="693">
        <f>SUMIFS(Imput[[Importe Neto]:[Importe Neto]],Imput[[C. Imp.]:[C. Imp.]],$D301,Imput[[PERIODO Imp.]:[PERIODO Imp.]],CM$9)</f>
        <v>0</v>
      </c>
      <c r="CN301" s="693">
        <f>SUMIFS(Imput[[Importe Neto]:[Importe Neto]],Imput[[C. Imp.]:[C. Imp.]],$D301,Imput[[PERIODO Imp.]:[PERIODO Imp.]],CN$9)</f>
        <v>0</v>
      </c>
      <c r="CO301" s="693">
        <f>SUMIFS(Imput[[Importe Neto]:[Importe Neto]],Imput[[C. Imp.]:[C. Imp.]],$D301,Imput[[PERIODO Imp.]:[PERIODO Imp.]],CO$9)</f>
        <v>0</v>
      </c>
      <c r="CP301" s="693">
        <f>SUMIFS(Imput[[Importe Neto]:[Importe Neto]],Imput[[C. Imp.]:[C. Imp.]],$D301,Imput[[PERIODO Imp.]:[PERIODO Imp.]],CP$9)</f>
        <v>0</v>
      </c>
      <c r="CQ301" s="693">
        <f>SUMIFS(Imput[[Importe Neto]:[Importe Neto]],Imput[[C. Imp.]:[C. Imp.]],$D301,Imput[[PERIODO Imp.]:[PERIODO Imp.]],CQ$9)</f>
        <v>0</v>
      </c>
      <c r="CR301" s="693">
        <f>SUMIFS(Imput[[Importe Neto]:[Importe Neto]],Imput[[C. Imp.]:[C. Imp.]],$D301,Imput[[PERIODO Imp.]:[PERIODO Imp.]],CR$9)</f>
        <v>0</v>
      </c>
      <c r="CS301" s="693">
        <f>SUMIFS(Imput[[Importe Neto]:[Importe Neto]],Imput[[C. Imp.]:[C. Imp.]],$D301,Imput[[PERIODO Imp.]:[PERIODO Imp.]],CS$9)</f>
        <v>0</v>
      </c>
      <c r="CT301" s="693">
        <f>SUMIFS(Imput[[Importe Neto]:[Importe Neto]],Imput[[C. Imp.]:[C. Imp.]],$D301,Imput[[PERIODO Imp.]:[PERIODO Imp.]],CT$9)</f>
        <v>0</v>
      </c>
      <c r="CU301" s="693">
        <f>SUMIFS(Imput[[Importe Neto]:[Importe Neto]],Imput[[C. Imp.]:[C. Imp.]],$D301,Imput[[PERIODO Imp.]:[PERIODO Imp.]],CU$9)</f>
        <v>0</v>
      </c>
      <c r="CV301" s="693">
        <f>SUMIFS(Imput[[Importe Neto]:[Importe Neto]],Imput[[C. Imp.]:[C. Imp.]],$D301,Imput[[PERIODO Imp.]:[PERIODO Imp.]],CV$9)</f>
        <v>0</v>
      </c>
      <c r="CW301" s="693">
        <f>SUMIFS(Imput[[Importe Neto]:[Importe Neto]],Imput[[C. Imp.]:[C. Imp.]],$D301,Imput[[PERIODO Imp.]:[PERIODO Imp.]],CW$9)</f>
        <v>0</v>
      </c>
      <c r="CX301" s="693">
        <f>SUMIFS(Imput[[Importe Neto]:[Importe Neto]],Imput[[C. Imp.]:[C. Imp.]],$D301,Imput[[PERIODO Imp.]:[PERIODO Imp.]],CX$9)</f>
        <v>0</v>
      </c>
      <c r="CY301" s="693">
        <f>SUMIFS(Imput[[Importe Neto]:[Importe Neto]],Imput[[C. Imp.]:[C. Imp.]],$D301,Imput[[PERIODO Imp.]:[PERIODO Imp.]],CY$9)</f>
        <v>0</v>
      </c>
      <c r="CZ301" s="693">
        <f>SUMIFS(Imput[[Importe Neto]:[Importe Neto]],Imput[[C. Imp.]:[C. Imp.]],$D301,Imput[[PERIODO Imp.]:[PERIODO Imp.]],CZ$9)</f>
        <v>0</v>
      </c>
      <c r="DA301" s="693">
        <f>SUMIFS(Imput[[Importe Neto]:[Importe Neto]],Imput[[C. Imp.]:[C. Imp.]],$D301,Imput[[PERIODO Imp.]:[PERIODO Imp.]],DA$9)</f>
        <v>0</v>
      </c>
      <c r="DB301" s="693">
        <f>SUMIFS(Imput[[Importe Neto]:[Importe Neto]],Imput[[C. Imp.]:[C. Imp.]],$D301,Imput[[PERIODO Imp.]:[PERIODO Imp.]],DB$9)</f>
        <v>0</v>
      </c>
      <c r="DC301" s="693">
        <f>SUMIFS(Imput[[Importe Neto]:[Importe Neto]],Imput[[C. Imp.]:[C. Imp.]],$D301,Imput[[PERIODO Imp.]:[PERIODO Imp.]],DC$9)</f>
        <v>0</v>
      </c>
      <c r="DD301" s="693">
        <f>SUMIFS(Imput[[Importe Neto]:[Importe Neto]],Imput[[C. Imp.]:[C. Imp.]],$D301,Imput[[PERIODO Imp.]:[PERIODO Imp.]],DD$9)</f>
        <v>0</v>
      </c>
      <c r="DE301" s="693">
        <f>SUMIFS(Imput[[Importe Neto]:[Importe Neto]],Imput[[C. Imp.]:[C. Imp.]],$D301,Imput[[PERIODO Imp.]:[PERIODO Imp.]],DE$9)</f>
        <v>0</v>
      </c>
      <c r="DF301" s="693">
        <f>SUMIFS(Imput[[Importe Neto]:[Importe Neto]],Imput[[C. Imp.]:[C. Imp.]],$D301,Imput[[PERIODO Imp.]:[PERIODO Imp.]],DF$9)</f>
        <v>0</v>
      </c>
      <c r="DG301" s="693">
        <f>SUMIFS(Imput[[Importe Neto]:[Importe Neto]],Imput[[C. Imp.]:[C. Imp.]],$D301,Imput[[PERIODO Imp.]:[PERIODO Imp.]],DG$9)</f>
        <v>0</v>
      </c>
      <c r="DH301" s="694">
        <f>SUMIFS(Imput[[Importe Neto]:[Importe Neto]],Imput[[C. Imp.]:[C. Imp.]],$D301,Imput[[PERIODO Imp.]:[PERIODO Imp.]],DH$9)</f>
        <v>0</v>
      </c>
    </row>
    <row r="302" spans="1:112" s="649" customFormat="1" hidden="1" outlineLevel="1" x14ac:dyDescent="0.3">
      <c r="A302" s="652" t="str">
        <f t="shared" si="137"/>
        <v/>
      </c>
      <c r="B302" s="652"/>
      <c r="C302" s="685"/>
      <c r="D302" s="686" t="s">
        <v>2376</v>
      </c>
      <c r="E302" s="686"/>
      <c r="F302" s="720"/>
      <c r="G302" s="688"/>
      <c r="H302" s="689"/>
      <c r="I302" s="851" t="str">
        <f t="shared" si="138"/>
        <v/>
      </c>
      <c r="J302" s="850" t="str">
        <f t="shared" si="139"/>
        <v/>
      </c>
      <c r="K302" s="667"/>
      <c r="L302" s="858"/>
      <c r="M302" s="859"/>
      <c r="N302" s="859"/>
      <c r="O302" s="859"/>
      <c r="P302" s="859"/>
      <c r="Q302" s="859"/>
      <c r="R302" s="859"/>
      <c r="S302" s="859"/>
      <c r="T302" s="859"/>
      <c r="U302" s="859"/>
      <c r="V302" s="859"/>
      <c r="W302" s="859"/>
      <c r="X302" s="859"/>
      <c r="Y302" s="859"/>
      <c r="Z302" s="860"/>
      <c r="AA302" s="860"/>
      <c r="AB302" s="860"/>
      <c r="AC302" s="860"/>
      <c r="AD302" s="860"/>
      <c r="AE302" s="860"/>
      <c r="AF302" s="860"/>
      <c r="AG302" s="860"/>
      <c r="AH302" s="860"/>
      <c r="AI302" s="860"/>
      <c r="AJ302" s="860"/>
      <c r="AK302" s="860"/>
      <c r="AL302" s="860"/>
      <c r="AM302" s="860"/>
      <c r="AN302" s="860"/>
      <c r="AO302" s="860"/>
      <c r="AP302" s="860"/>
      <c r="AQ302" s="860"/>
      <c r="AR302" s="860"/>
      <c r="AS302" s="860"/>
      <c r="AT302" s="860"/>
      <c r="AU302" s="860"/>
      <c r="AV302" s="860"/>
      <c r="AW302" s="860"/>
      <c r="AX302" s="860"/>
      <c r="AY302" s="860"/>
      <c r="AZ302" s="860"/>
      <c r="BA302" s="860"/>
      <c r="BB302" s="860"/>
      <c r="BC302" s="860"/>
      <c r="BD302" s="860"/>
      <c r="BE302" s="860"/>
      <c r="BF302" s="860"/>
      <c r="BG302" s="860"/>
      <c r="BH302" s="668"/>
      <c r="BI302" s="667"/>
      <c r="BJ302" s="690">
        <f t="shared" si="140"/>
        <v>0</v>
      </c>
      <c r="BK302" s="691">
        <f t="shared" si="141"/>
        <v>0</v>
      </c>
      <c r="BL302" s="654"/>
      <c r="BM302" s="697">
        <f>SUMIFS(Imput[[Importe Neto]:[Importe Neto]],Imput[[C. Imp.]:[C. Imp.]],$D302,Imput[[PERIODO Imp.]:[PERIODO Imp.]],BM$9)</f>
        <v>0</v>
      </c>
      <c r="BN302" s="698">
        <f>SUMIFS(Imput[[Importe Neto]:[Importe Neto]],Imput[[C. Imp.]:[C. Imp.]],$D302,Imput[[PERIODO Imp.]:[PERIODO Imp.]],BN$9)</f>
        <v>0</v>
      </c>
      <c r="BO302" s="698">
        <f>SUMIFS(Imput[[Importe Neto]:[Importe Neto]],Imput[[C. Imp.]:[C. Imp.]],$D302,Imput[[PERIODO Imp.]:[PERIODO Imp.]],BO$9)</f>
        <v>0</v>
      </c>
      <c r="BP302" s="698">
        <f>SUMIFS(Imput[[Importe Neto]:[Importe Neto]],Imput[[C. Imp.]:[C. Imp.]],$D302,Imput[[PERIODO Imp.]:[PERIODO Imp.]],BP$9)</f>
        <v>0</v>
      </c>
      <c r="BQ302" s="698">
        <f>SUMIFS(Imput[[Importe Neto]:[Importe Neto]],Imput[[C. Imp.]:[C. Imp.]],$D302,Imput[[PERIODO Imp.]:[PERIODO Imp.]],BQ$9)</f>
        <v>0</v>
      </c>
      <c r="BR302" s="698">
        <f>SUMIFS(Imput[[Importe Neto]:[Importe Neto]],Imput[[C. Imp.]:[C. Imp.]],$D302,Imput[[PERIODO Imp.]:[PERIODO Imp.]],BR$9)</f>
        <v>0</v>
      </c>
      <c r="BS302" s="698">
        <f>SUMIFS(Imput[[Importe Neto]:[Importe Neto]],Imput[[C. Imp.]:[C. Imp.]],$D302,Imput[[PERIODO Imp.]:[PERIODO Imp.]],BS$9)</f>
        <v>0</v>
      </c>
      <c r="BT302" s="698">
        <f>SUMIFS(Imput[[Importe Neto]:[Importe Neto]],Imput[[C. Imp.]:[C. Imp.]],$D302,Imput[[PERIODO Imp.]:[PERIODO Imp.]],BT$9)</f>
        <v>0</v>
      </c>
      <c r="BU302" s="698">
        <f>SUMIFS(Imput[[Importe Neto]:[Importe Neto]],Imput[[C. Imp.]:[C. Imp.]],$D302,Imput[[PERIODO Imp.]:[PERIODO Imp.]],BU$9)</f>
        <v>0</v>
      </c>
      <c r="BV302" s="698">
        <f>SUMIFS(Imput[[Importe Neto]:[Importe Neto]],Imput[[C. Imp.]:[C. Imp.]],$D302,Imput[[PERIODO Imp.]:[PERIODO Imp.]],BV$9)</f>
        <v>0</v>
      </c>
      <c r="BW302" s="698">
        <f>SUMIFS(Imput[[Importe Neto]:[Importe Neto]],Imput[[C. Imp.]:[C. Imp.]],$D302,Imput[[PERIODO Imp.]:[PERIODO Imp.]],BW$9)</f>
        <v>0</v>
      </c>
      <c r="BX302" s="698">
        <f>SUMIFS(Imput[[Importe Neto]:[Importe Neto]],Imput[[C. Imp.]:[C. Imp.]],$D302,Imput[[PERIODO Imp.]:[PERIODO Imp.]],BX$9)</f>
        <v>0</v>
      </c>
      <c r="BY302" s="698">
        <f>SUMIFS(Imput[[Importe Neto]:[Importe Neto]],Imput[[C. Imp.]:[C. Imp.]],$D302,Imput[[PERIODO Imp.]:[PERIODO Imp.]],BY$9)</f>
        <v>0</v>
      </c>
      <c r="BZ302" s="698">
        <f>SUMIFS(Imput[[Importe Neto]:[Importe Neto]],Imput[[C. Imp.]:[C. Imp.]],$D302,Imput[[PERIODO Imp.]:[PERIODO Imp.]],BZ$9)</f>
        <v>0</v>
      </c>
      <c r="CA302" s="698">
        <f>SUMIFS(Imput[[Importe Neto]:[Importe Neto]],Imput[[C. Imp.]:[C. Imp.]],$D302,Imput[[PERIODO Imp.]:[PERIODO Imp.]],CA$9)</f>
        <v>0</v>
      </c>
      <c r="CB302" s="698">
        <f>SUMIFS(Imput[[Importe Neto]:[Importe Neto]],Imput[[C. Imp.]:[C. Imp.]],$D302,Imput[[PERIODO Imp.]:[PERIODO Imp.]],CB$9)</f>
        <v>0</v>
      </c>
      <c r="CC302" s="698">
        <f>SUMIFS(Imput[[Importe Neto]:[Importe Neto]],Imput[[C. Imp.]:[C. Imp.]],$D302,Imput[[PERIODO Imp.]:[PERIODO Imp.]],CC$9)</f>
        <v>0</v>
      </c>
      <c r="CD302" s="698">
        <f>SUMIFS(Imput[[Importe Neto]:[Importe Neto]],Imput[[C. Imp.]:[C. Imp.]],$D302,Imput[[PERIODO Imp.]:[PERIODO Imp.]],CD$9)</f>
        <v>0</v>
      </c>
      <c r="CE302" s="698">
        <f>SUMIFS(Imput[[Importe Neto]:[Importe Neto]],Imput[[C. Imp.]:[C. Imp.]],$D302,Imput[[PERIODO Imp.]:[PERIODO Imp.]],CE$9)</f>
        <v>0</v>
      </c>
      <c r="CF302" s="698">
        <f>SUMIFS(Imput[[Importe Neto]:[Importe Neto]],Imput[[C. Imp.]:[C. Imp.]],$D302,Imput[[PERIODO Imp.]:[PERIODO Imp.]],CF$9)</f>
        <v>0</v>
      </c>
      <c r="CG302" s="698">
        <f>SUMIFS(Imput[[Importe Neto]:[Importe Neto]],Imput[[C. Imp.]:[C. Imp.]],$D302,Imput[[PERIODO Imp.]:[PERIODO Imp.]],CG$9)</f>
        <v>0</v>
      </c>
      <c r="CH302" s="698">
        <f>SUMIFS(Imput[[Importe Neto]:[Importe Neto]],Imput[[C. Imp.]:[C. Imp.]],$D302,Imput[[PERIODO Imp.]:[PERIODO Imp.]],CH$9)</f>
        <v>0</v>
      </c>
      <c r="CI302" s="698">
        <f>SUMIFS(Imput[[Importe Neto]:[Importe Neto]],Imput[[C. Imp.]:[C. Imp.]],$D302,Imput[[PERIODO Imp.]:[PERIODO Imp.]],CI$9)</f>
        <v>0</v>
      </c>
      <c r="CJ302" s="698">
        <f>SUMIFS(Imput[[Importe Neto]:[Importe Neto]],Imput[[C. Imp.]:[C. Imp.]],$D302,Imput[[PERIODO Imp.]:[PERIODO Imp.]],CJ$9)</f>
        <v>0</v>
      </c>
      <c r="CK302" s="698">
        <f>SUMIFS(Imput[[Importe Neto]:[Importe Neto]],Imput[[C. Imp.]:[C. Imp.]],$D302,Imput[[PERIODO Imp.]:[PERIODO Imp.]],CK$9)</f>
        <v>0</v>
      </c>
      <c r="CL302" s="698">
        <f>SUMIFS(Imput[[Importe Neto]:[Importe Neto]],Imput[[C. Imp.]:[C. Imp.]],$D302,Imput[[PERIODO Imp.]:[PERIODO Imp.]],CL$9)</f>
        <v>0</v>
      </c>
      <c r="CM302" s="698">
        <f>SUMIFS(Imput[[Importe Neto]:[Importe Neto]],Imput[[C. Imp.]:[C. Imp.]],$D302,Imput[[PERIODO Imp.]:[PERIODO Imp.]],CM$9)</f>
        <v>0</v>
      </c>
      <c r="CN302" s="698">
        <f>SUMIFS(Imput[[Importe Neto]:[Importe Neto]],Imput[[C. Imp.]:[C. Imp.]],$D302,Imput[[PERIODO Imp.]:[PERIODO Imp.]],CN$9)</f>
        <v>0</v>
      </c>
      <c r="CO302" s="698">
        <f>SUMIFS(Imput[[Importe Neto]:[Importe Neto]],Imput[[C. Imp.]:[C. Imp.]],$D302,Imput[[PERIODO Imp.]:[PERIODO Imp.]],CO$9)</f>
        <v>0</v>
      </c>
      <c r="CP302" s="698">
        <f>SUMIFS(Imput[[Importe Neto]:[Importe Neto]],Imput[[C. Imp.]:[C. Imp.]],$D302,Imput[[PERIODO Imp.]:[PERIODO Imp.]],CP$9)</f>
        <v>0</v>
      </c>
      <c r="CQ302" s="698">
        <f>SUMIFS(Imput[[Importe Neto]:[Importe Neto]],Imput[[C. Imp.]:[C. Imp.]],$D302,Imput[[PERIODO Imp.]:[PERIODO Imp.]],CQ$9)</f>
        <v>0</v>
      </c>
      <c r="CR302" s="698">
        <f>SUMIFS(Imput[[Importe Neto]:[Importe Neto]],Imput[[C. Imp.]:[C. Imp.]],$D302,Imput[[PERIODO Imp.]:[PERIODO Imp.]],CR$9)</f>
        <v>0</v>
      </c>
      <c r="CS302" s="698">
        <f>SUMIFS(Imput[[Importe Neto]:[Importe Neto]],Imput[[C. Imp.]:[C. Imp.]],$D302,Imput[[PERIODO Imp.]:[PERIODO Imp.]],CS$9)</f>
        <v>0</v>
      </c>
      <c r="CT302" s="698">
        <f>SUMIFS(Imput[[Importe Neto]:[Importe Neto]],Imput[[C. Imp.]:[C. Imp.]],$D302,Imput[[PERIODO Imp.]:[PERIODO Imp.]],CT$9)</f>
        <v>0</v>
      </c>
      <c r="CU302" s="698">
        <f>SUMIFS(Imput[[Importe Neto]:[Importe Neto]],Imput[[C. Imp.]:[C. Imp.]],$D302,Imput[[PERIODO Imp.]:[PERIODO Imp.]],CU$9)</f>
        <v>0</v>
      </c>
      <c r="CV302" s="698">
        <f>SUMIFS(Imput[[Importe Neto]:[Importe Neto]],Imput[[C. Imp.]:[C. Imp.]],$D302,Imput[[PERIODO Imp.]:[PERIODO Imp.]],CV$9)</f>
        <v>0</v>
      </c>
      <c r="CW302" s="698">
        <f>SUMIFS(Imput[[Importe Neto]:[Importe Neto]],Imput[[C. Imp.]:[C. Imp.]],$D302,Imput[[PERIODO Imp.]:[PERIODO Imp.]],CW$9)</f>
        <v>0</v>
      </c>
      <c r="CX302" s="698">
        <f>SUMIFS(Imput[[Importe Neto]:[Importe Neto]],Imput[[C. Imp.]:[C. Imp.]],$D302,Imput[[PERIODO Imp.]:[PERIODO Imp.]],CX$9)</f>
        <v>0</v>
      </c>
      <c r="CY302" s="698">
        <f>SUMIFS(Imput[[Importe Neto]:[Importe Neto]],Imput[[C. Imp.]:[C. Imp.]],$D302,Imput[[PERIODO Imp.]:[PERIODO Imp.]],CY$9)</f>
        <v>0</v>
      </c>
      <c r="CZ302" s="698">
        <f>SUMIFS(Imput[[Importe Neto]:[Importe Neto]],Imput[[C. Imp.]:[C. Imp.]],$D302,Imput[[PERIODO Imp.]:[PERIODO Imp.]],CZ$9)</f>
        <v>0</v>
      </c>
      <c r="DA302" s="698">
        <f>SUMIFS(Imput[[Importe Neto]:[Importe Neto]],Imput[[C. Imp.]:[C. Imp.]],$D302,Imput[[PERIODO Imp.]:[PERIODO Imp.]],DA$9)</f>
        <v>0</v>
      </c>
      <c r="DB302" s="698">
        <f>SUMIFS(Imput[[Importe Neto]:[Importe Neto]],Imput[[C. Imp.]:[C. Imp.]],$D302,Imput[[PERIODO Imp.]:[PERIODO Imp.]],DB$9)</f>
        <v>0</v>
      </c>
      <c r="DC302" s="698">
        <f>SUMIFS(Imput[[Importe Neto]:[Importe Neto]],Imput[[C. Imp.]:[C. Imp.]],$D302,Imput[[PERIODO Imp.]:[PERIODO Imp.]],DC$9)</f>
        <v>0</v>
      </c>
      <c r="DD302" s="698">
        <f>SUMIFS(Imput[[Importe Neto]:[Importe Neto]],Imput[[C. Imp.]:[C. Imp.]],$D302,Imput[[PERIODO Imp.]:[PERIODO Imp.]],DD$9)</f>
        <v>0</v>
      </c>
      <c r="DE302" s="698">
        <f>SUMIFS(Imput[[Importe Neto]:[Importe Neto]],Imput[[C. Imp.]:[C. Imp.]],$D302,Imput[[PERIODO Imp.]:[PERIODO Imp.]],DE$9)</f>
        <v>0</v>
      </c>
      <c r="DF302" s="698">
        <f>SUMIFS(Imput[[Importe Neto]:[Importe Neto]],Imput[[C. Imp.]:[C. Imp.]],$D302,Imput[[PERIODO Imp.]:[PERIODO Imp.]],DF$9)</f>
        <v>0</v>
      </c>
      <c r="DG302" s="698">
        <f>SUMIFS(Imput[[Importe Neto]:[Importe Neto]],Imput[[C. Imp.]:[C. Imp.]],$D302,Imput[[PERIODO Imp.]:[PERIODO Imp.]],DG$9)</f>
        <v>0</v>
      </c>
      <c r="DH302" s="795">
        <f>SUMIFS(Imput[[Importe Neto]:[Importe Neto]],Imput[[C. Imp.]:[C. Imp.]],$D302,Imput[[PERIODO Imp.]:[PERIODO Imp.]],DH$9)</f>
        <v>0</v>
      </c>
    </row>
    <row r="303" spans="1:112" s="649" customFormat="1" ht="14.4" outlineLevel="1" thickBot="1" x14ac:dyDescent="0.35">
      <c r="A303" s="652" t="str">
        <f>IF(J262&gt;0,"Imprimir","")</f>
        <v>Imprimir</v>
      </c>
      <c r="B303" s="652"/>
      <c r="C303" s="699"/>
      <c r="D303" s="700"/>
      <c r="E303" s="700"/>
      <c r="F303" s="701"/>
      <c r="G303" s="702"/>
      <c r="H303" s="703"/>
      <c r="I303" s="704"/>
      <c r="J303" s="705"/>
      <c r="K303" s="667"/>
      <c r="L303" s="706"/>
      <c r="M303" s="707"/>
      <c r="N303" s="777"/>
      <c r="O303" s="777"/>
      <c r="P303" s="778"/>
      <c r="Q303" s="778"/>
      <c r="R303" s="708"/>
      <c r="S303" s="708"/>
      <c r="T303" s="779"/>
      <c r="U303" s="779"/>
      <c r="V303" s="778"/>
      <c r="W303" s="778"/>
      <c r="X303" s="708"/>
      <c r="Y303" s="708"/>
      <c r="Z303" s="708"/>
      <c r="AA303" s="708"/>
      <c r="AB303" s="708"/>
      <c r="AC303" s="708"/>
      <c r="AD303" s="708"/>
      <c r="AE303" s="708"/>
      <c r="AF303" s="708"/>
      <c r="AG303" s="708"/>
      <c r="AH303" s="708"/>
      <c r="AI303" s="708"/>
      <c r="AJ303" s="708"/>
      <c r="AK303" s="708"/>
      <c r="AL303" s="708"/>
      <c r="AM303" s="708"/>
      <c r="AN303" s="708"/>
      <c r="AO303" s="708"/>
      <c r="AP303" s="708"/>
      <c r="AQ303" s="708"/>
      <c r="AR303" s="708"/>
      <c r="AS303" s="708"/>
      <c r="AT303" s="708"/>
      <c r="AU303" s="708"/>
      <c r="AV303" s="708"/>
      <c r="AW303" s="708"/>
      <c r="AX303" s="708"/>
      <c r="AY303" s="708"/>
      <c r="AZ303" s="708"/>
      <c r="BA303" s="708"/>
      <c r="BB303" s="708"/>
      <c r="BC303" s="708"/>
      <c r="BD303" s="708"/>
      <c r="BE303" s="708"/>
      <c r="BF303" s="708"/>
      <c r="BG303" s="708"/>
      <c r="BH303" s="780"/>
      <c r="BI303" s="654"/>
      <c r="BJ303" s="709"/>
      <c r="BK303" s="710"/>
      <c r="BL303" s="654"/>
      <c r="BM303" s="731"/>
      <c r="BN303" s="701"/>
      <c r="BO303" s="701"/>
      <c r="BP303" s="701"/>
      <c r="BQ303" s="701"/>
      <c r="BR303" s="701"/>
      <c r="BS303" s="701"/>
      <c r="BT303" s="701"/>
      <c r="BU303" s="701"/>
      <c r="BV303" s="701"/>
      <c r="BW303" s="701"/>
      <c r="BX303" s="701"/>
      <c r="BY303" s="701"/>
      <c r="BZ303" s="701"/>
      <c r="CA303" s="701"/>
      <c r="CB303" s="701"/>
      <c r="CC303" s="701"/>
      <c r="CD303" s="701"/>
      <c r="CE303" s="701"/>
      <c r="CF303" s="701"/>
      <c r="CG303" s="701"/>
      <c r="CH303" s="701"/>
      <c r="CI303" s="701"/>
      <c r="CJ303" s="701"/>
      <c r="CK303" s="701"/>
      <c r="CL303" s="701"/>
      <c r="CM303" s="701"/>
      <c r="CN303" s="701"/>
      <c r="CO303" s="701"/>
      <c r="CP303" s="701"/>
      <c r="CQ303" s="701"/>
      <c r="CR303" s="701"/>
      <c r="CS303" s="701"/>
      <c r="CT303" s="701"/>
      <c r="CU303" s="701"/>
      <c r="CV303" s="701"/>
      <c r="CW303" s="701"/>
      <c r="CX303" s="701"/>
      <c r="CY303" s="701"/>
      <c r="CZ303" s="701"/>
      <c r="DA303" s="701"/>
      <c r="DB303" s="701"/>
      <c r="DC303" s="701"/>
      <c r="DD303" s="701"/>
      <c r="DE303" s="701"/>
      <c r="DF303" s="701"/>
      <c r="DG303" s="701"/>
      <c r="DH303" s="710"/>
    </row>
    <row r="304" spans="1:112" s="649" customFormat="1" x14ac:dyDescent="0.3">
      <c r="A304" s="652" t="str">
        <f>IF(J304&gt;0,"Imprimir","")</f>
        <v>Imprimir</v>
      </c>
      <c r="B304" s="652"/>
      <c r="C304" s="711"/>
      <c r="D304" s="712" t="s">
        <v>450</v>
      </c>
      <c r="E304" s="712" t="s">
        <v>482</v>
      </c>
      <c r="F304" s="712"/>
      <c r="G304" s="713"/>
      <c r="H304" s="712"/>
      <c r="I304" s="714"/>
      <c r="J304" s="715">
        <f>SUBTOTAL(9,J307:J356)</f>
        <v>58575</v>
      </c>
      <c r="K304" s="658"/>
      <c r="L304" s="770">
        <f t="shared" ref="L304:BG304" si="142">SUMPRODUCT($J307:$J356,L307:L356)</f>
        <v>2343</v>
      </c>
      <c r="M304" s="771">
        <f t="shared" si="142"/>
        <v>2343</v>
      </c>
      <c r="N304" s="771">
        <f t="shared" si="142"/>
        <v>2343</v>
      </c>
      <c r="O304" s="771">
        <f t="shared" si="142"/>
        <v>2343</v>
      </c>
      <c r="P304" s="771">
        <f t="shared" si="142"/>
        <v>2343</v>
      </c>
      <c r="Q304" s="771">
        <f t="shared" si="142"/>
        <v>2343</v>
      </c>
      <c r="R304" s="771">
        <f t="shared" si="142"/>
        <v>2343</v>
      </c>
      <c r="S304" s="771">
        <f t="shared" si="142"/>
        <v>2343</v>
      </c>
      <c r="T304" s="771">
        <f t="shared" si="142"/>
        <v>2343</v>
      </c>
      <c r="U304" s="771">
        <f t="shared" si="142"/>
        <v>2343</v>
      </c>
      <c r="V304" s="771">
        <f t="shared" si="142"/>
        <v>2343</v>
      </c>
      <c r="W304" s="771">
        <f t="shared" si="142"/>
        <v>2343</v>
      </c>
      <c r="X304" s="771">
        <f t="shared" si="142"/>
        <v>2343</v>
      </c>
      <c r="Y304" s="771">
        <f t="shared" si="142"/>
        <v>2343</v>
      </c>
      <c r="Z304" s="771">
        <f t="shared" si="142"/>
        <v>2343</v>
      </c>
      <c r="AA304" s="771">
        <f t="shared" si="142"/>
        <v>2343</v>
      </c>
      <c r="AB304" s="771">
        <f t="shared" si="142"/>
        <v>2343</v>
      </c>
      <c r="AC304" s="771">
        <f t="shared" si="142"/>
        <v>2343</v>
      </c>
      <c r="AD304" s="771">
        <f t="shared" si="142"/>
        <v>2343</v>
      </c>
      <c r="AE304" s="771">
        <f t="shared" si="142"/>
        <v>2343</v>
      </c>
      <c r="AF304" s="771">
        <f t="shared" si="142"/>
        <v>2343</v>
      </c>
      <c r="AG304" s="771">
        <f t="shared" si="142"/>
        <v>2343</v>
      </c>
      <c r="AH304" s="771">
        <f t="shared" si="142"/>
        <v>2343</v>
      </c>
      <c r="AI304" s="771">
        <f t="shared" si="142"/>
        <v>2343</v>
      </c>
      <c r="AJ304" s="771">
        <f t="shared" si="142"/>
        <v>2343</v>
      </c>
      <c r="AK304" s="771">
        <f t="shared" si="142"/>
        <v>0</v>
      </c>
      <c r="AL304" s="771">
        <f t="shared" si="142"/>
        <v>0</v>
      </c>
      <c r="AM304" s="771">
        <f t="shared" si="142"/>
        <v>0</v>
      </c>
      <c r="AN304" s="771">
        <f t="shared" si="142"/>
        <v>0</v>
      </c>
      <c r="AO304" s="771">
        <f t="shared" si="142"/>
        <v>0</v>
      </c>
      <c r="AP304" s="771">
        <f t="shared" si="142"/>
        <v>0</v>
      </c>
      <c r="AQ304" s="771">
        <f t="shared" si="142"/>
        <v>0</v>
      </c>
      <c r="AR304" s="771">
        <f t="shared" si="142"/>
        <v>0</v>
      </c>
      <c r="AS304" s="771">
        <f t="shared" si="142"/>
        <v>0</v>
      </c>
      <c r="AT304" s="771">
        <f t="shared" si="142"/>
        <v>0</v>
      </c>
      <c r="AU304" s="771">
        <f t="shared" si="142"/>
        <v>0</v>
      </c>
      <c r="AV304" s="771">
        <f t="shared" si="142"/>
        <v>0</v>
      </c>
      <c r="AW304" s="771">
        <f t="shared" si="142"/>
        <v>0</v>
      </c>
      <c r="AX304" s="771">
        <f t="shared" si="142"/>
        <v>0</v>
      </c>
      <c r="AY304" s="771">
        <f t="shared" si="142"/>
        <v>0</v>
      </c>
      <c r="AZ304" s="771">
        <f t="shared" si="142"/>
        <v>0</v>
      </c>
      <c r="BA304" s="771">
        <f t="shared" si="142"/>
        <v>0</v>
      </c>
      <c r="BB304" s="771">
        <f t="shared" si="142"/>
        <v>0</v>
      </c>
      <c r="BC304" s="771">
        <f t="shared" si="142"/>
        <v>0</v>
      </c>
      <c r="BD304" s="771">
        <f t="shared" si="142"/>
        <v>0</v>
      </c>
      <c r="BE304" s="771">
        <f t="shared" si="142"/>
        <v>0</v>
      </c>
      <c r="BF304" s="771">
        <f t="shared" si="142"/>
        <v>0</v>
      </c>
      <c r="BG304" s="764">
        <f t="shared" si="142"/>
        <v>0</v>
      </c>
      <c r="BH304" s="776"/>
      <c r="BI304" s="654"/>
      <c r="BJ304" s="659">
        <f>IFERROR(BK304/J304,0)</f>
        <v>0.25477545710627403</v>
      </c>
      <c r="BK304" s="660">
        <f>SUBTOTAL(9,BK305:BK356)</f>
        <v>14923.472400000001</v>
      </c>
      <c r="BL304" s="654"/>
      <c r="BM304" s="661">
        <f t="shared" ref="BM304:DH304" si="143">SUBTOTAL(9,BM305:BM356)</f>
        <v>0</v>
      </c>
      <c r="BN304" s="662">
        <f t="shared" si="143"/>
        <v>0</v>
      </c>
      <c r="BO304" s="662">
        <f t="shared" si="143"/>
        <v>0</v>
      </c>
      <c r="BP304" s="662">
        <f t="shared" si="143"/>
        <v>0</v>
      </c>
      <c r="BQ304" s="662">
        <f t="shared" si="143"/>
        <v>0</v>
      </c>
      <c r="BR304" s="662">
        <f t="shared" si="143"/>
        <v>14923.472400000001</v>
      </c>
      <c r="BS304" s="662">
        <f t="shared" si="143"/>
        <v>0</v>
      </c>
      <c r="BT304" s="662">
        <f t="shared" si="143"/>
        <v>0</v>
      </c>
      <c r="BU304" s="662">
        <f t="shared" si="143"/>
        <v>0</v>
      </c>
      <c r="BV304" s="662">
        <f t="shared" si="143"/>
        <v>0</v>
      </c>
      <c r="BW304" s="662">
        <f t="shared" si="143"/>
        <v>0</v>
      </c>
      <c r="BX304" s="662">
        <f t="shared" si="143"/>
        <v>0</v>
      </c>
      <c r="BY304" s="662">
        <f t="shared" si="143"/>
        <v>0</v>
      </c>
      <c r="BZ304" s="662">
        <f t="shared" si="143"/>
        <v>0</v>
      </c>
      <c r="CA304" s="662">
        <f t="shared" si="143"/>
        <v>0</v>
      </c>
      <c r="CB304" s="662">
        <f t="shared" si="143"/>
        <v>0</v>
      </c>
      <c r="CC304" s="662">
        <f t="shared" si="143"/>
        <v>0</v>
      </c>
      <c r="CD304" s="662">
        <f t="shared" si="143"/>
        <v>0</v>
      </c>
      <c r="CE304" s="662">
        <f t="shared" si="143"/>
        <v>0</v>
      </c>
      <c r="CF304" s="662">
        <f t="shared" si="143"/>
        <v>0</v>
      </c>
      <c r="CG304" s="662">
        <f t="shared" si="143"/>
        <v>0</v>
      </c>
      <c r="CH304" s="662">
        <f t="shared" si="143"/>
        <v>0</v>
      </c>
      <c r="CI304" s="662">
        <f t="shared" si="143"/>
        <v>0</v>
      </c>
      <c r="CJ304" s="662">
        <f t="shared" si="143"/>
        <v>0</v>
      </c>
      <c r="CK304" s="662">
        <f t="shared" si="143"/>
        <v>0</v>
      </c>
      <c r="CL304" s="662">
        <f t="shared" si="143"/>
        <v>0</v>
      </c>
      <c r="CM304" s="662">
        <f t="shared" si="143"/>
        <v>0</v>
      </c>
      <c r="CN304" s="662">
        <f t="shared" si="143"/>
        <v>0</v>
      </c>
      <c r="CO304" s="662">
        <f t="shared" si="143"/>
        <v>0</v>
      </c>
      <c r="CP304" s="662">
        <f t="shared" si="143"/>
        <v>0</v>
      </c>
      <c r="CQ304" s="662">
        <f t="shared" si="143"/>
        <v>0</v>
      </c>
      <c r="CR304" s="662">
        <f t="shared" si="143"/>
        <v>0</v>
      </c>
      <c r="CS304" s="662">
        <f t="shared" si="143"/>
        <v>0</v>
      </c>
      <c r="CT304" s="662">
        <f t="shared" si="143"/>
        <v>0</v>
      </c>
      <c r="CU304" s="662">
        <f t="shared" si="143"/>
        <v>0</v>
      </c>
      <c r="CV304" s="662">
        <f t="shared" si="143"/>
        <v>0</v>
      </c>
      <c r="CW304" s="662">
        <f t="shared" si="143"/>
        <v>0</v>
      </c>
      <c r="CX304" s="662">
        <f t="shared" si="143"/>
        <v>0</v>
      </c>
      <c r="CY304" s="662">
        <f t="shared" si="143"/>
        <v>0</v>
      </c>
      <c r="CZ304" s="662">
        <f t="shared" si="143"/>
        <v>0</v>
      </c>
      <c r="DA304" s="662">
        <f t="shared" si="143"/>
        <v>0</v>
      </c>
      <c r="DB304" s="662">
        <f t="shared" si="143"/>
        <v>0</v>
      </c>
      <c r="DC304" s="662">
        <f t="shared" si="143"/>
        <v>0</v>
      </c>
      <c r="DD304" s="662">
        <f t="shared" si="143"/>
        <v>0</v>
      </c>
      <c r="DE304" s="662">
        <f t="shared" si="143"/>
        <v>0</v>
      </c>
      <c r="DF304" s="662">
        <f t="shared" si="143"/>
        <v>0</v>
      </c>
      <c r="DG304" s="662">
        <f t="shared" si="143"/>
        <v>0</v>
      </c>
      <c r="DH304" s="663">
        <f t="shared" si="143"/>
        <v>0</v>
      </c>
    </row>
    <row r="305" spans="1:112" s="650" customFormat="1" outlineLevel="1" x14ac:dyDescent="0.3">
      <c r="A305" s="652" t="str">
        <f>IF(J304&gt;0,"Imprimir","")</f>
        <v>Imprimir</v>
      </c>
      <c r="B305" s="722"/>
      <c r="C305" s="664"/>
      <c r="D305" s="665"/>
      <c r="E305" s="665"/>
      <c r="F305" s="665" t="s">
        <v>472</v>
      </c>
      <c r="G305" s="716" t="s">
        <v>2128</v>
      </c>
      <c r="H305" s="665" t="str">
        <f>H251</f>
        <v>Cantidad</v>
      </c>
      <c r="I305" s="665" t="s">
        <v>474</v>
      </c>
      <c r="J305" s="666" t="s">
        <v>29</v>
      </c>
      <c r="K305" s="723"/>
      <c r="L305" s="745"/>
      <c r="M305" s="741"/>
      <c r="N305" s="741"/>
      <c r="O305" s="741"/>
      <c r="P305" s="741"/>
      <c r="Q305" s="741"/>
      <c r="R305" s="741"/>
      <c r="S305" s="741"/>
      <c r="T305" s="741"/>
      <c r="U305" s="741"/>
      <c r="V305" s="741"/>
      <c r="W305" s="741"/>
      <c r="X305" s="741"/>
      <c r="Y305" s="741"/>
      <c r="Z305" s="741"/>
      <c r="AA305" s="741"/>
      <c r="AB305" s="741"/>
      <c r="AC305" s="741"/>
      <c r="AD305" s="741"/>
      <c r="AE305" s="741"/>
      <c r="AF305" s="741"/>
      <c r="AG305" s="741"/>
      <c r="AH305" s="741"/>
      <c r="AI305" s="741"/>
      <c r="AJ305" s="741"/>
      <c r="AK305" s="741"/>
      <c r="AL305" s="741"/>
      <c r="AM305" s="741"/>
      <c r="AN305" s="741"/>
      <c r="AO305" s="741"/>
      <c r="AP305" s="741"/>
      <c r="AQ305" s="741"/>
      <c r="AR305" s="741"/>
      <c r="AS305" s="741"/>
      <c r="AT305" s="741"/>
      <c r="AU305" s="741"/>
      <c r="AV305" s="741"/>
      <c r="AW305" s="741"/>
      <c r="AX305" s="741"/>
      <c r="AY305" s="741"/>
      <c r="AZ305" s="741"/>
      <c r="BA305" s="741"/>
      <c r="BB305" s="741"/>
      <c r="BC305" s="741"/>
      <c r="BD305" s="741"/>
      <c r="BE305" s="741"/>
      <c r="BF305" s="741"/>
      <c r="BG305" s="741"/>
      <c r="BH305" s="724"/>
      <c r="BI305" s="725"/>
      <c r="BJ305" s="669"/>
      <c r="BK305" s="670"/>
      <c r="BL305" s="725"/>
      <c r="BM305" s="671"/>
      <c r="BN305" s="665"/>
      <c r="BO305" s="665"/>
      <c r="BP305" s="665"/>
      <c r="BQ305" s="665"/>
      <c r="BR305" s="665"/>
      <c r="BS305" s="665"/>
      <c r="BT305" s="665"/>
      <c r="BU305" s="665"/>
      <c r="BV305" s="665"/>
      <c r="BW305" s="665"/>
      <c r="BX305" s="665"/>
      <c r="BY305" s="665"/>
      <c r="BZ305" s="665"/>
      <c r="CA305" s="665"/>
      <c r="CB305" s="665"/>
      <c r="CC305" s="665"/>
      <c r="CD305" s="665"/>
      <c r="CE305" s="665"/>
      <c r="CF305" s="665"/>
      <c r="CG305" s="665"/>
      <c r="CH305" s="665"/>
      <c r="CI305" s="665"/>
      <c r="CJ305" s="665"/>
      <c r="CK305" s="665"/>
      <c r="CL305" s="665"/>
      <c r="CM305" s="665"/>
      <c r="CN305" s="665"/>
      <c r="CO305" s="665"/>
      <c r="CP305" s="665"/>
      <c r="CQ305" s="665"/>
      <c r="CR305" s="665"/>
      <c r="CS305" s="665"/>
      <c r="CT305" s="665"/>
      <c r="CU305" s="665"/>
      <c r="CV305" s="665"/>
      <c r="CW305" s="665"/>
      <c r="CX305" s="665"/>
      <c r="CY305" s="665"/>
      <c r="CZ305" s="665"/>
      <c r="DA305" s="665"/>
      <c r="DB305" s="665"/>
      <c r="DC305" s="665"/>
      <c r="DD305" s="665"/>
      <c r="DE305" s="665"/>
      <c r="DF305" s="665"/>
      <c r="DG305" s="665"/>
      <c r="DH305" s="666"/>
    </row>
    <row r="306" spans="1:112" s="649" customFormat="1" ht="15.6" outlineLevel="1" x14ac:dyDescent="0.3">
      <c r="A306" s="652" t="str">
        <f>IF(J306&gt;0,"Imprimir","")</f>
        <v>Imprimir</v>
      </c>
      <c r="B306" s="652"/>
      <c r="C306" s="672"/>
      <c r="D306" s="673"/>
      <c r="E306" s="674" t="s">
        <v>483</v>
      </c>
      <c r="F306" s="675"/>
      <c r="G306" s="726"/>
      <c r="H306" s="676"/>
      <c r="I306" s="677"/>
      <c r="J306" s="219">
        <f>SUBTOTAL(9,J307:J356)</f>
        <v>58575</v>
      </c>
      <c r="K306" s="678"/>
      <c r="L306" s="747"/>
      <c r="M306" s="742"/>
      <c r="N306" s="742"/>
      <c r="O306" s="742"/>
      <c r="P306" s="742"/>
      <c r="Q306" s="742"/>
      <c r="R306" s="742"/>
      <c r="S306" s="742"/>
      <c r="T306" s="742"/>
      <c r="U306" s="742"/>
      <c r="V306" s="742"/>
      <c r="W306" s="742"/>
      <c r="X306" s="742"/>
      <c r="Y306" s="742"/>
      <c r="Z306" s="742"/>
      <c r="AA306" s="742"/>
      <c r="AB306" s="742"/>
      <c r="AC306" s="742"/>
      <c r="AD306" s="742"/>
      <c r="AE306" s="742"/>
      <c r="AF306" s="742"/>
      <c r="AG306" s="742"/>
      <c r="AH306" s="742"/>
      <c r="AI306" s="742"/>
      <c r="AJ306" s="742"/>
      <c r="AK306" s="742"/>
      <c r="AL306" s="742"/>
      <c r="AM306" s="742"/>
      <c r="AN306" s="742"/>
      <c r="AO306" s="742"/>
      <c r="AP306" s="742"/>
      <c r="AQ306" s="742"/>
      <c r="AR306" s="742"/>
      <c r="AS306" s="742"/>
      <c r="AT306" s="742"/>
      <c r="AU306" s="742"/>
      <c r="AV306" s="742"/>
      <c r="AW306" s="742"/>
      <c r="AX306" s="742"/>
      <c r="AY306" s="742"/>
      <c r="AZ306" s="742"/>
      <c r="BA306" s="742"/>
      <c r="BB306" s="742"/>
      <c r="BC306" s="742"/>
      <c r="BD306" s="742"/>
      <c r="BE306" s="742"/>
      <c r="BF306" s="742"/>
      <c r="BG306" s="742"/>
      <c r="BH306" s="668"/>
      <c r="BI306" s="654"/>
      <c r="BJ306" s="680"/>
      <c r="BK306" s="681"/>
      <c r="BL306" s="654"/>
      <c r="BM306" s="682"/>
      <c r="BN306" s="683"/>
      <c r="BO306" s="683"/>
      <c r="BP306" s="683"/>
      <c r="BQ306" s="683"/>
      <c r="BR306" s="683"/>
      <c r="BS306" s="683"/>
      <c r="BT306" s="683"/>
      <c r="BU306" s="683"/>
      <c r="BV306" s="683"/>
      <c r="BW306" s="683"/>
      <c r="BX306" s="683"/>
      <c r="BY306" s="683"/>
      <c r="BZ306" s="683"/>
      <c r="CA306" s="683"/>
      <c r="CB306" s="683"/>
      <c r="CC306" s="683"/>
      <c r="CD306" s="683"/>
      <c r="CE306" s="683"/>
      <c r="CF306" s="683"/>
      <c r="CG306" s="683"/>
      <c r="CH306" s="683"/>
      <c r="CI306" s="683"/>
      <c r="CJ306" s="683"/>
      <c r="CK306" s="683"/>
      <c r="CL306" s="683"/>
      <c r="CM306" s="683"/>
      <c r="CN306" s="683"/>
      <c r="CO306" s="683"/>
      <c r="CP306" s="683"/>
      <c r="CQ306" s="683"/>
      <c r="CR306" s="683"/>
      <c r="CS306" s="683"/>
      <c r="CT306" s="683"/>
      <c r="CU306" s="683"/>
      <c r="CV306" s="683"/>
      <c r="CW306" s="683"/>
      <c r="CX306" s="683"/>
      <c r="CY306" s="683"/>
      <c r="CZ306" s="683"/>
      <c r="DA306" s="683"/>
      <c r="DB306" s="683"/>
      <c r="DC306" s="683"/>
      <c r="DD306" s="683"/>
      <c r="DE306" s="683"/>
      <c r="DF306" s="683"/>
      <c r="DG306" s="683"/>
      <c r="DH306" s="684"/>
    </row>
    <row r="307" spans="1:112" s="649" customFormat="1" outlineLevel="1" x14ac:dyDescent="0.3">
      <c r="A307" s="652" t="str">
        <f t="shared" ref="A307:A355" si="144">IF(J307="","",IF(J307=0,"","Imprimir"))</f>
        <v>Imprimir</v>
      </c>
      <c r="B307" s="652"/>
      <c r="C307" s="685"/>
      <c r="D307" s="686" t="s">
        <v>2176</v>
      </c>
      <c r="E307" s="686" t="s">
        <v>484</v>
      </c>
      <c r="F307" s="720"/>
      <c r="G307" s="688">
        <v>442.85714285714283</v>
      </c>
      <c r="H307" s="689">
        <f>Producción!G34*1.5125</f>
        <v>49.912500000000001</v>
      </c>
      <c r="I307" s="851">
        <f t="shared" ref="I307:I338" si="145">IF(E307&gt;0,$J$5,"")</f>
        <v>1</v>
      </c>
      <c r="J307" s="852">
        <f t="shared" ref="J307:J355" si="146">IFERROR(G307*H307*I307,"")</f>
        <v>22104.107142857141</v>
      </c>
      <c r="K307" s="667"/>
      <c r="L307" s="858">
        <v>0.04</v>
      </c>
      <c r="M307" s="859">
        <v>0.04</v>
      </c>
      <c r="N307" s="859">
        <v>0.04</v>
      </c>
      <c r="O307" s="859">
        <v>0.04</v>
      </c>
      <c r="P307" s="859">
        <v>0.04</v>
      </c>
      <c r="Q307" s="859">
        <v>0.04</v>
      </c>
      <c r="R307" s="859">
        <v>0.04</v>
      </c>
      <c r="S307" s="859">
        <v>0.04</v>
      </c>
      <c r="T307" s="859">
        <v>0.04</v>
      </c>
      <c r="U307" s="859">
        <v>0.04</v>
      </c>
      <c r="V307" s="859">
        <v>0.04</v>
      </c>
      <c r="W307" s="859">
        <v>0.04</v>
      </c>
      <c r="X307" s="859">
        <v>0.04</v>
      </c>
      <c r="Y307" s="859">
        <v>0.04</v>
      </c>
      <c r="Z307" s="860">
        <v>0.04</v>
      </c>
      <c r="AA307" s="860">
        <v>0.04</v>
      </c>
      <c r="AB307" s="860">
        <v>0.04</v>
      </c>
      <c r="AC307" s="860">
        <v>0.04</v>
      </c>
      <c r="AD307" s="860">
        <v>0.04</v>
      </c>
      <c r="AE307" s="860">
        <v>0.04</v>
      </c>
      <c r="AF307" s="860">
        <v>0.04</v>
      </c>
      <c r="AG307" s="860">
        <v>0.04</v>
      </c>
      <c r="AH307" s="860">
        <v>0.04</v>
      </c>
      <c r="AI307" s="860">
        <v>0.04</v>
      </c>
      <c r="AJ307" s="860">
        <v>0.04</v>
      </c>
      <c r="AK307" s="860"/>
      <c r="AL307" s="860"/>
      <c r="AM307" s="860"/>
      <c r="AN307" s="860"/>
      <c r="AO307" s="860"/>
      <c r="AP307" s="860"/>
      <c r="AQ307" s="860"/>
      <c r="AR307" s="860"/>
      <c r="AS307" s="860"/>
      <c r="AT307" s="860"/>
      <c r="AU307" s="860"/>
      <c r="AV307" s="860"/>
      <c r="AW307" s="860"/>
      <c r="AX307" s="860"/>
      <c r="AY307" s="860"/>
      <c r="AZ307" s="860"/>
      <c r="BA307" s="860"/>
      <c r="BB307" s="860"/>
      <c r="BC307" s="860"/>
      <c r="BD307" s="860"/>
      <c r="BE307" s="860"/>
      <c r="BF307" s="860"/>
      <c r="BG307" s="860"/>
      <c r="BH307" s="668"/>
      <c r="BI307" s="667"/>
      <c r="BJ307" s="690">
        <f t="shared" ref="BJ307:BJ338" si="147">IFERROR(BK307/J307,0)</f>
        <v>0.67514477303022236</v>
      </c>
      <c r="BK307" s="691">
        <f t="shared" ref="BK307:BK338" si="148">SUM(BM307:DH307)</f>
        <v>14923.472400000001</v>
      </c>
      <c r="BL307" s="654"/>
      <c r="BM307" s="692">
        <f>SUMIFS(Imput[[Importe Neto]:[Importe Neto]],Imput[[C. Imp.]:[C. Imp.]],$D307,Imput[[PERIODO Imp.]:[PERIODO Imp.]],BM$9)</f>
        <v>0</v>
      </c>
      <c r="BN307" s="693">
        <f>SUMIFS(Imput[[Importe Neto]:[Importe Neto]],Imput[[C. Imp.]:[C. Imp.]],$D307,Imput[[PERIODO Imp.]:[PERIODO Imp.]],BN$9)</f>
        <v>0</v>
      </c>
      <c r="BO307" s="693">
        <f>SUMIFS(Imput[[Importe Neto]:[Importe Neto]],Imput[[C. Imp.]:[C. Imp.]],$D307,Imput[[PERIODO Imp.]:[PERIODO Imp.]],BO$9)</f>
        <v>0</v>
      </c>
      <c r="BP307" s="693">
        <f>SUMIFS(Imput[[Importe Neto]:[Importe Neto]],Imput[[C. Imp.]:[C. Imp.]],$D307,Imput[[PERIODO Imp.]:[PERIODO Imp.]],BP$9)</f>
        <v>0</v>
      </c>
      <c r="BQ307" s="693">
        <f>SUMIFS(Imput[[Importe Neto]:[Importe Neto]],Imput[[C. Imp.]:[C. Imp.]],$D307,Imput[[PERIODO Imp.]:[PERIODO Imp.]],BQ$9)</f>
        <v>0</v>
      </c>
      <c r="BR307" s="693">
        <f>SUMIFS(Imput[[Importe Neto]:[Importe Neto]],Imput[[C. Imp.]:[C. Imp.]],$D307,Imput[[PERIODO Imp.]:[PERIODO Imp.]],BR$9)</f>
        <v>14923.472400000001</v>
      </c>
      <c r="BS307" s="693">
        <f>SUMIFS(Imput[[Importe Neto]:[Importe Neto]],Imput[[C. Imp.]:[C. Imp.]],$D307,Imput[[PERIODO Imp.]:[PERIODO Imp.]],BS$9)</f>
        <v>0</v>
      </c>
      <c r="BT307" s="693">
        <f>SUMIFS(Imput[[Importe Neto]:[Importe Neto]],Imput[[C. Imp.]:[C. Imp.]],$D307,Imput[[PERIODO Imp.]:[PERIODO Imp.]],BT$9)</f>
        <v>0</v>
      </c>
      <c r="BU307" s="693">
        <f>SUMIFS(Imput[[Importe Neto]:[Importe Neto]],Imput[[C. Imp.]:[C. Imp.]],$D307,Imput[[PERIODO Imp.]:[PERIODO Imp.]],BU$9)</f>
        <v>0</v>
      </c>
      <c r="BV307" s="693">
        <f>SUMIFS(Imput[[Importe Neto]:[Importe Neto]],Imput[[C. Imp.]:[C. Imp.]],$D307,Imput[[PERIODO Imp.]:[PERIODO Imp.]],BV$9)</f>
        <v>0</v>
      </c>
      <c r="BW307" s="693">
        <f>SUMIFS(Imput[[Importe Neto]:[Importe Neto]],Imput[[C. Imp.]:[C. Imp.]],$D307,Imput[[PERIODO Imp.]:[PERIODO Imp.]],BW$9)</f>
        <v>0</v>
      </c>
      <c r="BX307" s="693">
        <f>SUMIFS(Imput[[Importe Neto]:[Importe Neto]],Imput[[C. Imp.]:[C. Imp.]],$D307,Imput[[PERIODO Imp.]:[PERIODO Imp.]],BX$9)</f>
        <v>0</v>
      </c>
      <c r="BY307" s="693">
        <f>SUMIFS(Imput[[Importe Neto]:[Importe Neto]],Imput[[C. Imp.]:[C. Imp.]],$D307,Imput[[PERIODO Imp.]:[PERIODO Imp.]],BY$9)</f>
        <v>0</v>
      </c>
      <c r="BZ307" s="693">
        <f>SUMIFS(Imput[[Importe Neto]:[Importe Neto]],Imput[[C. Imp.]:[C. Imp.]],$D307,Imput[[PERIODO Imp.]:[PERIODO Imp.]],BZ$9)</f>
        <v>0</v>
      </c>
      <c r="CA307" s="693">
        <f>SUMIFS(Imput[[Importe Neto]:[Importe Neto]],Imput[[C. Imp.]:[C. Imp.]],$D307,Imput[[PERIODO Imp.]:[PERIODO Imp.]],CA$9)</f>
        <v>0</v>
      </c>
      <c r="CB307" s="693">
        <f>SUMIFS(Imput[[Importe Neto]:[Importe Neto]],Imput[[C. Imp.]:[C. Imp.]],$D307,Imput[[PERIODO Imp.]:[PERIODO Imp.]],CB$9)</f>
        <v>0</v>
      </c>
      <c r="CC307" s="693">
        <f>SUMIFS(Imput[[Importe Neto]:[Importe Neto]],Imput[[C. Imp.]:[C. Imp.]],$D307,Imput[[PERIODO Imp.]:[PERIODO Imp.]],CC$9)</f>
        <v>0</v>
      </c>
      <c r="CD307" s="693">
        <f>SUMIFS(Imput[[Importe Neto]:[Importe Neto]],Imput[[C. Imp.]:[C. Imp.]],$D307,Imput[[PERIODO Imp.]:[PERIODO Imp.]],CD$9)</f>
        <v>0</v>
      </c>
      <c r="CE307" s="693">
        <f>SUMIFS(Imput[[Importe Neto]:[Importe Neto]],Imput[[C. Imp.]:[C. Imp.]],$D307,Imput[[PERIODO Imp.]:[PERIODO Imp.]],CE$9)</f>
        <v>0</v>
      </c>
      <c r="CF307" s="693">
        <f>SUMIFS(Imput[[Importe Neto]:[Importe Neto]],Imput[[C. Imp.]:[C. Imp.]],$D307,Imput[[PERIODO Imp.]:[PERIODO Imp.]],CF$9)</f>
        <v>0</v>
      </c>
      <c r="CG307" s="693">
        <f>SUMIFS(Imput[[Importe Neto]:[Importe Neto]],Imput[[C. Imp.]:[C. Imp.]],$D307,Imput[[PERIODO Imp.]:[PERIODO Imp.]],CG$9)</f>
        <v>0</v>
      </c>
      <c r="CH307" s="693">
        <f>SUMIFS(Imput[[Importe Neto]:[Importe Neto]],Imput[[C. Imp.]:[C. Imp.]],$D307,Imput[[PERIODO Imp.]:[PERIODO Imp.]],CH$9)</f>
        <v>0</v>
      </c>
      <c r="CI307" s="693">
        <f>SUMIFS(Imput[[Importe Neto]:[Importe Neto]],Imput[[C. Imp.]:[C. Imp.]],$D307,Imput[[PERIODO Imp.]:[PERIODO Imp.]],CI$9)</f>
        <v>0</v>
      </c>
      <c r="CJ307" s="693">
        <f>SUMIFS(Imput[[Importe Neto]:[Importe Neto]],Imput[[C. Imp.]:[C. Imp.]],$D307,Imput[[PERIODO Imp.]:[PERIODO Imp.]],CJ$9)</f>
        <v>0</v>
      </c>
      <c r="CK307" s="693">
        <f>SUMIFS(Imput[[Importe Neto]:[Importe Neto]],Imput[[C. Imp.]:[C. Imp.]],$D307,Imput[[PERIODO Imp.]:[PERIODO Imp.]],CK$9)</f>
        <v>0</v>
      </c>
      <c r="CL307" s="693">
        <f>SUMIFS(Imput[[Importe Neto]:[Importe Neto]],Imput[[C. Imp.]:[C. Imp.]],$D307,Imput[[PERIODO Imp.]:[PERIODO Imp.]],CL$9)</f>
        <v>0</v>
      </c>
      <c r="CM307" s="693">
        <f>SUMIFS(Imput[[Importe Neto]:[Importe Neto]],Imput[[C. Imp.]:[C. Imp.]],$D307,Imput[[PERIODO Imp.]:[PERIODO Imp.]],CM$9)</f>
        <v>0</v>
      </c>
      <c r="CN307" s="693">
        <f>SUMIFS(Imput[[Importe Neto]:[Importe Neto]],Imput[[C. Imp.]:[C. Imp.]],$D307,Imput[[PERIODO Imp.]:[PERIODO Imp.]],CN$9)</f>
        <v>0</v>
      </c>
      <c r="CO307" s="693">
        <f>SUMIFS(Imput[[Importe Neto]:[Importe Neto]],Imput[[C. Imp.]:[C. Imp.]],$D307,Imput[[PERIODO Imp.]:[PERIODO Imp.]],CO$9)</f>
        <v>0</v>
      </c>
      <c r="CP307" s="693">
        <f>SUMIFS(Imput[[Importe Neto]:[Importe Neto]],Imput[[C. Imp.]:[C. Imp.]],$D307,Imput[[PERIODO Imp.]:[PERIODO Imp.]],CP$9)</f>
        <v>0</v>
      </c>
      <c r="CQ307" s="693">
        <f>SUMIFS(Imput[[Importe Neto]:[Importe Neto]],Imput[[C. Imp.]:[C. Imp.]],$D307,Imput[[PERIODO Imp.]:[PERIODO Imp.]],CQ$9)</f>
        <v>0</v>
      </c>
      <c r="CR307" s="693">
        <f>SUMIFS(Imput[[Importe Neto]:[Importe Neto]],Imput[[C. Imp.]:[C. Imp.]],$D307,Imput[[PERIODO Imp.]:[PERIODO Imp.]],CR$9)</f>
        <v>0</v>
      </c>
      <c r="CS307" s="693">
        <f>SUMIFS(Imput[[Importe Neto]:[Importe Neto]],Imput[[C. Imp.]:[C. Imp.]],$D307,Imput[[PERIODO Imp.]:[PERIODO Imp.]],CS$9)</f>
        <v>0</v>
      </c>
      <c r="CT307" s="693">
        <f>SUMIFS(Imput[[Importe Neto]:[Importe Neto]],Imput[[C. Imp.]:[C. Imp.]],$D307,Imput[[PERIODO Imp.]:[PERIODO Imp.]],CT$9)</f>
        <v>0</v>
      </c>
      <c r="CU307" s="693">
        <f>SUMIFS(Imput[[Importe Neto]:[Importe Neto]],Imput[[C. Imp.]:[C. Imp.]],$D307,Imput[[PERIODO Imp.]:[PERIODO Imp.]],CU$9)</f>
        <v>0</v>
      </c>
      <c r="CV307" s="693">
        <f>SUMIFS(Imput[[Importe Neto]:[Importe Neto]],Imput[[C. Imp.]:[C. Imp.]],$D307,Imput[[PERIODO Imp.]:[PERIODO Imp.]],CV$9)</f>
        <v>0</v>
      </c>
      <c r="CW307" s="693">
        <f>SUMIFS(Imput[[Importe Neto]:[Importe Neto]],Imput[[C. Imp.]:[C. Imp.]],$D307,Imput[[PERIODO Imp.]:[PERIODO Imp.]],CW$9)</f>
        <v>0</v>
      </c>
      <c r="CX307" s="693">
        <f>SUMIFS(Imput[[Importe Neto]:[Importe Neto]],Imput[[C. Imp.]:[C. Imp.]],$D307,Imput[[PERIODO Imp.]:[PERIODO Imp.]],CX$9)</f>
        <v>0</v>
      </c>
      <c r="CY307" s="693">
        <f>SUMIFS(Imput[[Importe Neto]:[Importe Neto]],Imput[[C. Imp.]:[C. Imp.]],$D307,Imput[[PERIODO Imp.]:[PERIODO Imp.]],CY$9)</f>
        <v>0</v>
      </c>
      <c r="CZ307" s="693">
        <f>SUMIFS(Imput[[Importe Neto]:[Importe Neto]],Imput[[C. Imp.]:[C. Imp.]],$D307,Imput[[PERIODO Imp.]:[PERIODO Imp.]],CZ$9)</f>
        <v>0</v>
      </c>
      <c r="DA307" s="693">
        <f>SUMIFS(Imput[[Importe Neto]:[Importe Neto]],Imput[[C. Imp.]:[C. Imp.]],$D307,Imput[[PERIODO Imp.]:[PERIODO Imp.]],DA$9)</f>
        <v>0</v>
      </c>
      <c r="DB307" s="693">
        <f>SUMIFS(Imput[[Importe Neto]:[Importe Neto]],Imput[[C. Imp.]:[C. Imp.]],$D307,Imput[[PERIODO Imp.]:[PERIODO Imp.]],DB$9)</f>
        <v>0</v>
      </c>
      <c r="DC307" s="693">
        <f>SUMIFS(Imput[[Importe Neto]:[Importe Neto]],Imput[[C. Imp.]:[C. Imp.]],$D307,Imput[[PERIODO Imp.]:[PERIODO Imp.]],DC$9)</f>
        <v>0</v>
      </c>
      <c r="DD307" s="693">
        <f>SUMIFS(Imput[[Importe Neto]:[Importe Neto]],Imput[[C. Imp.]:[C. Imp.]],$D307,Imput[[PERIODO Imp.]:[PERIODO Imp.]],DD$9)</f>
        <v>0</v>
      </c>
      <c r="DE307" s="693">
        <f>SUMIFS(Imput[[Importe Neto]:[Importe Neto]],Imput[[C. Imp.]:[C. Imp.]],$D307,Imput[[PERIODO Imp.]:[PERIODO Imp.]],DE$9)</f>
        <v>0</v>
      </c>
      <c r="DF307" s="693">
        <f>SUMIFS(Imput[[Importe Neto]:[Importe Neto]],Imput[[C. Imp.]:[C. Imp.]],$D307,Imput[[PERIODO Imp.]:[PERIODO Imp.]],DF$9)</f>
        <v>0</v>
      </c>
      <c r="DG307" s="693">
        <f>SUMIFS(Imput[[Importe Neto]:[Importe Neto]],Imput[[C. Imp.]:[C. Imp.]],$D307,Imput[[PERIODO Imp.]:[PERIODO Imp.]],DG$9)</f>
        <v>0</v>
      </c>
      <c r="DH307" s="694">
        <f>SUMIFS(Imput[[Importe Neto]:[Importe Neto]],Imput[[C. Imp.]:[C. Imp.]],$D307,Imput[[PERIODO Imp.]:[PERIODO Imp.]],DH$9)</f>
        <v>0</v>
      </c>
    </row>
    <row r="308" spans="1:112" s="649" customFormat="1" outlineLevel="1" x14ac:dyDescent="0.3">
      <c r="A308" s="652" t="str">
        <f t="shared" si="144"/>
        <v>Imprimir</v>
      </c>
      <c r="B308" s="652"/>
      <c r="C308" s="685"/>
      <c r="D308" s="686" t="s">
        <v>2177</v>
      </c>
      <c r="E308" s="686" t="s">
        <v>485</v>
      </c>
      <c r="F308" s="720"/>
      <c r="G308" s="688">
        <v>442.85714285714283</v>
      </c>
      <c r="H308" s="689">
        <f>Producción!G34*0.3</f>
        <v>9.9</v>
      </c>
      <c r="I308" s="851">
        <f t="shared" si="145"/>
        <v>1</v>
      </c>
      <c r="J308" s="852">
        <f t="shared" si="146"/>
        <v>4384.2857142857138</v>
      </c>
      <c r="K308" s="667"/>
      <c r="L308" s="858">
        <v>0.04</v>
      </c>
      <c r="M308" s="859">
        <v>0.04</v>
      </c>
      <c r="N308" s="859">
        <v>0.04</v>
      </c>
      <c r="O308" s="859">
        <v>0.04</v>
      </c>
      <c r="P308" s="859">
        <v>0.04</v>
      </c>
      <c r="Q308" s="859">
        <v>0.04</v>
      </c>
      <c r="R308" s="859">
        <v>0.04</v>
      </c>
      <c r="S308" s="859">
        <v>0.04</v>
      </c>
      <c r="T308" s="859">
        <v>0.04</v>
      </c>
      <c r="U308" s="859">
        <v>0.04</v>
      </c>
      <c r="V308" s="859">
        <v>0.04</v>
      </c>
      <c r="W308" s="859">
        <v>0.04</v>
      </c>
      <c r="X308" s="859">
        <v>0.04</v>
      </c>
      <c r="Y308" s="859">
        <v>0.04</v>
      </c>
      <c r="Z308" s="860">
        <v>0.04</v>
      </c>
      <c r="AA308" s="860">
        <v>0.04</v>
      </c>
      <c r="AB308" s="860">
        <v>0.04</v>
      </c>
      <c r="AC308" s="860">
        <v>0.04</v>
      </c>
      <c r="AD308" s="860">
        <v>0.04</v>
      </c>
      <c r="AE308" s="860">
        <v>0.04</v>
      </c>
      <c r="AF308" s="860">
        <v>0.04</v>
      </c>
      <c r="AG308" s="860">
        <v>0.04</v>
      </c>
      <c r="AH308" s="860">
        <v>0.04</v>
      </c>
      <c r="AI308" s="860">
        <v>0.04</v>
      </c>
      <c r="AJ308" s="860">
        <v>0.04</v>
      </c>
      <c r="AK308" s="860"/>
      <c r="AL308" s="860"/>
      <c r="AM308" s="860"/>
      <c r="AN308" s="860"/>
      <c r="AO308" s="860"/>
      <c r="AP308" s="860"/>
      <c r="AQ308" s="860"/>
      <c r="AR308" s="860"/>
      <c r="AS308" s="860"/>
      <c r="AT308" s="860"/>
      <c r="AU308" s="860"/>
      <c r="AV308" s="860"/>
      <c r="AW308" s="860"/>
      <c r="AX308" s="860"/>
      <c r="AY308" s="860"/>
      <c r="AZ308" s="860"/>
      <c r="BA308" s="860"/>
      <c r="BB308" s="860"/>
      <c r="BC308" s="860"/>
      <c r="BD308" s="860"/>
      <c r="BE308" s="860"/>
      <c r="BF308" s="860"/>
      <c r="BG308" s="860"/>
      <c r="BH308" s="668"/>
      <c r="BI308" s="667"/>
      <c r="BJ308" s="690">
        <f t="shared" si="147"/>
        <v>0</v>
      </c>
      <c r="BK308" s="691">
        <f t="shared" si="148"/>
        <v>0</v>
      </c>
      <c r="BL308" s="654"/>
      <c r="BM308" s="692">
        <f>SUMIFS(Imput[[Importe Neto]:[Importe Neto]],Imput[[C. Imp.]:[C. Imp.]],$D308,Imput[[PERIODO Imp.]:[PERIODO Imp.]],BM$9)</f>
        <v>0</v>
      </c>
      <c r="BN308" s="693">
        <f>SUMIFS(Imput[[Importe Neto]:[Importe Neto]],Imput[[C. Imp.]:[C. Imp.]],$D308,Imput[[PERIODO Imp.]:[PERIODO Imp.]],BN$9)</f>
        <v>0</v>
      </c>
      <c r="BO308" s="693">
        <f>SUMIFS(Imput[[Importe Neto]:[Importe Neto]],Imput[[C. Imp.]:[C. Imp.]],$D308,Imput[[PERIODO Imp.]:[PERIODO Imp.]],BO$9)</f>
        <v>0</v>
      </c>
      <c r="BP308" s="693">
        <f>SUMIFS(Imput[[Importe Neto]:[Importe Neto]],Imput[[C. Imp.]:[C. Imp.]],$D308,Imput[[PERIODO Imp.]:[PERIODO Imp.]],BP$9)</f>
        <v>0</v>
      </c>
      <c r="BQ308" s="693">
        <f>SUMIFS(Imput[[Importe Neto]:[Importe Neto]],Imput[[C. Imp.]:[C. Imp.]],$D308,Imput[[PERIODO Imp.]:[PERIODO Imp.]],BQ$9)</f>
        <v>0</v>
      </c>
      <c r="BR308" s="693">
        <f>SUMIFS(Imput[[Importe Neto]:[Importe Neto]],Imput[[C. Imp.]:[C. Imp.]],$D308,Imput[[PERIODO Imp.]:[PERIODO Imp.]],BR$9)</f>
        <v>0</v>
      </c>
      <c r="BS308" s="693">
        <f>SUMIFS(Imput[[Importe Neto]:[Importe Neto]],Imput[[C. Imp.]:[C. Imp.]],$D308,Imput[[PERIODO Imp.]:[PERIODO Imp.]],BS$9)</f>
        <v>0</v>
      </c>
      <c r="BT308" s="693">
        <f>SUMIFS(Imput[[Importe Neto]:[Importe Neto]],Imput[[C. Imp.]:[C. Imp.]],$D308,Imput[[PERIODO Imp.]:[PERIODO Imp.]],BT$9)</f>
        <v>0</v>
      </c>
      <c r="BU308" s="693">
        <f>SUMIFS(Imput[[Importe Neto]:[Importe Neto]],Imput[[C. Imp.]:[C. Imp.]],$D308,Imput[[PERIODO Imp.]:[PERIODO Imp.]],BU$9)</f>
        <v>0</v>
      </c>
      <c r="BV308" s="693">
        <f>SUMIFS(Imput[[Importe Neto]:[Importe Neto]],Imput[[C. Imp.]:[C. Imp.]],$D308,Imput[[PERIODO Imp.]:[PERIODO Imp.]],BV$9)</f>
        <v>0</v>
      </c>
      <c r="BW308" s="693">
        <f>SUMIFS(Imput[[Importe Neto]:[Importe Neto]],Imput[[C. Imp.]:[C. Imp.]],$D308,Imput[[PERIODO Imp.]:[PERIODO Imp.]],BW$9)</f>
        <v>0</v>
      </c>
      <c r="BX308" s="693">
        <f>SUMIFS(Imput[[Importe Neto]:[Importe Neto]],Imput[[C. Imp.]:[C. Imp.]],$D308,Imput[[PERIODO Imp.]:[PERIODO Imp.]],BX$9)</f>
        <v>0</v>
      </c>
      <c r="BY308" s="693">
        <f>SUMIFS(Imput[[Importe Neto]:[Importe Neto]],Imput[[C. Imp.]:[C. Imp.]],$D308,Imput[[PERIODO Imp.]:[PERIODO Imp.]],BY$9)</f>
        <v>0</v>
      </c>
      <c r="BZ308" s="693">
        <f>SUMIFS(Imput[[Importe Neto]:[Importe Neto]],Imput[[C. Imp.]:[C. Imp.]],$D308,Imput[[PERIODO Imp.]:[PERIODO Imp.]],BZ$9)</f>
        <v>0</v>
      </c>
      <c r="CA308" s="693">
        <f>SUMIFS(Imput[[Importe Neto]:[Importe Neto]],Imput[[C. Imp.]:[C. Imp.]],$D308,Imput[[PERIODO Imp.]:[PERIODO Imp.]],CA$9)</f>
        <v>0</v>
      </c>
      <c r="CB308" s="693">
        <f>SUMIFS(Imput[[Importe Neto]:[Importe Neto]],Imput[[C. Imp.]:[C. Imp.]],$D308,Imput[[PERIODO Imp.]:[PERIODO Imp.]],CB$9)</f>
        <v>0</v>
      </c>
      <c r="CC308" s="693">
        <f>SUMIFS(Imput[[Importe Neto]:[Importe Neto]],Imput[[C. Imp.]:[C. Imp.]],$D308,Imput[[PERIODO Imp.]:[PERIODO Imp.]],CC$9)</f>
        <v>0</v>
      </c>
      <c r="CD308" s="693">
        <f>SUMIFS(Imput[[Importe Neto]:[Importe Neto]],Imput[[C. Imp.]:[C. Imp.]],$D308,Imput[[PERIODO Imp.]:[PERIODO Imp.]],CD$9)</f>
        <v>0</v>
      </c>
      <c r="CE308" s="693">
        <f>SUMIFS(Imput[[Importe Neto]:[Importe Neto]],Imput[[C. Imp.]:[C. Imp.]],$D308,Imput[[PERIODO Imp.]:[PERIODO Imp.]],CE$9)</f>
        <v>0</v>
      </c>
      <c r="CF308" s="693">
        <f>SUMIFS(Imput[[Importe Neto]:[Importe Neto]],Imput[[C. Imp.]:[C. Imp.]],$D308,Imput[[PERIODO Imp.]:[PERIODO Imp.]],CF$9)</f>
        <v>0</v>
      </c>
      <c r="CG308" s="693">
        <f>SUMIFS(Imput[[Importe Neto]:[Importe Neto]],Imput[[C. Imp.]:[C. Imp.]],$D308,Imput[[PERIODO Imp.]:[PERIODO Imp.]],CG$9)</f>
        <v>0</v>
      </c>
      <c r="CH308" s="693">
        <f>SUMIFS(Imput[[Importe Neto]:[Importe Neto]],Imput[[C. Imp.]:[C. Imp.]],$D308,Imput[[PERIODO Imp.]:[PERIODO Imp.]],CH$9)</f>
        <v>0</v>
      </c>
      <c r="CI308" s="693">
        <f>SUMIFS(Imput[[Importe Neto]:[Importe Neto]],Imput[[C. Imp.]:[C. Imp.]],$D308,Imput[[PERIODO Imp.]:[PERIODO Imp.]],CI$9)</f>
        <v>0</v>
      </c>
      <c r="CJ308" s="693">
        <f>SUMIFS(Imput[[Importe Neto]:[Importe Neto]],Imput[[C. Imp.]:[C. Imp.]],$D308,Imput[[PERIODO Imp.]:[PERIODO Imp.]],CJ$9)</f>
        <v>0</v>
      </c>
      <c r="CK308" s="693">
        <f>SUMIFS(Imput[[Importe Neto]:[Importe Neto]],Imput[[C. Imp.]:[C. Imp.]],$D308,Imput[[PERIODO Imp.]:[PERIODO Imp.]],CK$9)</f>
        <v>0</v>
      </c>
      <c r="CL308" s="693">
        <f>SUMIFS(Imput[[Importe Neto]:[Importe Neto]],Imput[[C. Imp.]:[C. Imp.]],$D308,Imput[[PERIODO Imp.]:[PERIODO Imp.]],CL$9)</f>
        <v>0</v>
      </c>
      <c r="CM308" s="693">
        <f>SUMIFS(Imput[[Importe Neto]:[Importe Neto]],Imput[[C. Imp.]:[C. Imp.]],$D308,Imput[[PERIODO Imp.]:[PERIODO Imp.]],CM$9)</f>
        <v>0</v>
      </c>
      <c r="CN308" s="693">
        <f>SUMIFS(Imput[[Importe Neto]:[Importe Neto]],Imput[[C. Imp.]:[C. Imp.]],$D308,Imput[[PERIODO Imp.]:[PERIODO Imp.]],CN$9)</f>
        <v>0</v>
      </c>
      <c r="CO308" s="693">
        <f>SUMIFS(Imput[[Importe Neto]:[Importe Neto]],Imput[[C. Imp.]:[C. Imp.]],$D308,Imput[[PERIODO Imp.]:[PERIODO Imp.]],CO$9)</f>
        <v>0</v>
      </c>
      <c r="CP308" s="693">
        <f>SUMIFS(Imput[[Importe Neto]:[Importe Neto]],Imput[[C. Imp.]:[C. Imp.]],$D308,Imput[[PERIODO Imp.]:[PERIODO Imp.]],CP$9)</f>
        <v>0</v>
      </c>
      <c r="CQ308" s="693">
        <f>SUMIFS(Imput[[Importe Neto]:[Importe Neto]],Imput[[C. Imp.]:[C. Imp.]],$D308,Imput[[PERIODO Imp.]:[PERIODO Imp.]],CQ$9)</f>
        <v>0</v>
      </c>
      <c r="CR308" s="693">
        <f>SUMIFS(Imput[[Importe Neto]:[Importe Neto]],Imput[[C. Imp.]:[C. Imp.]],$D308,Imput[[PERIODO Imp.]:[PERIODO Imp.]],CR$9)</f>
        <v>0</v>
      </c>
      <c r="CS308" s="693">
        <f>SUMIFS(Imput[[Importe Neto]:[Importe Neto]],Imput[[C. Imp.]:[C. Imp.]],$D308,Imput[[PERIODO Imp.]:[PERIODO Imp.]],CS$9)</f>
        <v>0</v>
      </c>
      <c r="CT308" s="693">
        <f>SUMIFS(Imput[[Importe Neto]:[Importe Neto]],Imput[[C. Imp.]:[C. Imp.]],$D308,Imput[[PERIODO Imp.]:[PERIODO Imp.]],CT$9)</f>
        <v>0</v>
      </c>
      <c r="CU308" s="693">
        <f>SUMIFS(Imput[[Importe Neto]:[Importe Neto]],Imput[[C. Imp.]:[C. Imp.]],$D308,Imput[[PERIODO Imp.]:[PERIODO Imp.]],CU$9)</f>
        <v>0</v>
      </c>
      <c r="CV308" s="693">
        <f>SUMIFS(Imput[[Importe Neto]:[Importe Neto]],Imput[[C. Imp.]:[C. Imp.]],$D308,Imput[[PERIODO Imp.]:[PERIODO Imp.]],CV$9)</f>
        <v>0</v>
      </c>
      <c r="CW308" s="693">
        <f>SUMIFS(Imput[[Importe Neto]:[Importe Neto]],Imput[[C. Imp.]:[C. Imp.]],$D308,Imput[[PERIODO Imp.]:[PERIODO Imp.]],CW$9)</f>
        <v>0</v>
      </c>
      <c r="CX308" s="693">
        <f>SUMIFS(Imput[[Importe Neto]:[Importe Neto]],Imput[[C. Imp.]:[C. Imp.]],$D308,Imput[[PERIODO Imp.]:[PERIODO Imp.]],CX$9)</f>
        <v>0</v>
      </c>
      <c r="CY308" s="693">
        <f>SUMIFS(Imput[[Importe Neto]:[Importe Neto]],Imput[[C. Imp.]:[C. Imp.]],$D308,Imput[[PERIODO Imp.]:[PERIODO Imp.]],CY$9)</f>
        <v>0</v>
      </c>
      <c r="CZ308" s="693">
        <f>SUMIFS(Imput[[Importe Neto]:[Importe Neto]],Imput[[C. Imp.]:[C. Imp.]],$D308,Imput[[PERIODO Imp.]:[PERIODO Imp.]],CZ$9)</f>
        <v>0</v>
      </c>
      <c r="DA308" s="693">
        <f>SUMIFS(Imput[[Importe Neto]:[Importe Neto]],Imput[[C. Imp.]:[C. Imp.]],$D308,Imput[[PERIODO Imp.]:[PERIODO Imp.]],DA$9)</f>
        <v>0</v>
      </c>
      <c r="DB308" s="693">
        <f>SUMIFS(Imput[[Importe Neto]:[Importe Neto]],Imput[[C. Imp.]:[C. Imp.]],$D308,Imput[[PERIODO Imp.]:[PERIODO Imp.]],DB$9)</f>
        <v>0</v>
      </c>
      <c r="DC308" s="693">
        <f>SUMIFS(Imput[[Importe Neto]:[Importe Neto]],Imput[[C. Imp.]:[C. Imp.]],$D308,Imput[[PERIODO Imp.]:[PERIODO Imp.]],DC$9)</f>
        <v>0</v>
      </c>
      <c r="DD308" s="693">
        <f>SUMIFS(Imput[[Importe Neto]:[Importe Neto]],Imput[[C. Imp.]:[C. Imp.]],$D308,Imput[[PERIODO Imp.]:[PERIODO Imp.]],DD$9)</f>
        <v>0</v>
      </c>
      <c r="DE308" s="693">
        <f>SUMIFS(Imput[[Importe Neto]:[Importe Neto]],Imput[[C. Imp.]:[C. Imp.]],$D308,Imput[[PERIODO Imp.]:[PERIODO Imp.]],DE$9)</f>
        <v>0</v>
      </c>
      <c r="DF308" s="693">
        <f>SUMIFS(Imput[[Importe Neto]:[Importe Neto]],Imput[[C. Imp.]:[C. Imp.]],$D308,Imput[[PERIODO Imp.]:[PERIODO Imp.]],DF$9)</f>
        <v>0</v>
      </c>
      <c r="DG308" s="693">
        <f>SUMIFS(Imput[[Importe Neto]:[Importe Neto]],Imput[[C. Imp.]:[C. Imp.]],$D308,Imput[[PERIODO Imp.]:[PERIODO Imp.]],DG$9)</f>
        <v>0</v>
      </c>
      <c r="DH308" s="694">
        <f>SUMIFS(Imput[[Importe Neto]:[Importe Neto]],Imput[[C. Imp.]:[C. Imp.]],$D308,Imput[[PERIODO Imp.]:[PERIODO Imp.]],DH$9)</f>
        <v>0</v>
      </c>
    </row>
    <row r="309" spans="1:112" s="649" customFormat="1" outlineLevel="1" x14ac:dyDescent="0.3">
      <c r="A309" s="652" t="str">
        <f t="shared" si="144"/>
        <v>Imprimir</v>
      </c>
      <c r="B309" s="652"/>
      <c r="C309" s="685"/>
      <c r="D309" s="686" t="s">
        <v>2180</v>
      </c>
      <c r="E309" s="686" t="s">
        <v>486</v>
      </c>
      <c r="F309" s="720"/>
      <c r="G309" s="688">
        <v>642.85714285714289</v>
      </c>
      <c r="H309" s="689">
        <f>Producción!G34*1.5125</f>
        <v>49.912500000000001</v>
      </c>
      <c r="I309" s="851">
        <f t="shared" si="145"/>
        <v>1</v>
      </c>
      <c r="J309" s="852">
        <f t="shared" si="146"/>
        <v>32086.607142857145</v>
      </c>
      <c r="K309" s="667"/>
      <c r="L309" s="858">
        <v>0.04</v>
      </c>
      <c r="M309" s="859">
        <v>0.04</v>
      </c>
      <c r="N309" s="859">
        <v>0.04</v>
      </c>
      <c r="O309" s="859">
        <v>0.04</v>
      </c>
      <c r="P309" s="859">
        <v>0.04</v>
      </c>
      <c r="Q309" s="859">
        <v>0.04</v>
      </c>
      <c r="R309" s="859">
        <v>0.04</v>
      </c>
      <c r="S309" s="859">
        <v>0.04</v>
      </c>
      <c r="T309" s="859">
        <v>0.04</v>
      </c>
      <c r="U309" s="859">
        <v>0.04</v>
      </c>
      <c r="V309" s="859">
        <v>0.04</v>
      </c>
      <c r="W309" s="859">
        <v>0.04</v>
      </c>
      <c r="X309" s="859">
        <v>0.04</v>
      </c>
      <c r="Y309" s="859">
        <v>0.04</v>
      </c>
      <c r="Z309" s="860">
        <v>0.04</v>
      </c>
      <c r="AA309" s="860">
        <v>0.04</v>
      </c>
      <c r="AB309" s="860">
        <v>0.04</v>
      </c>
      <c r="AC309" s="860">
        <v>0.04</v>
      </c>
      <c r="AD309" s="860">
        <v>0.04</v>
      </c>
      <c r="AE309" s="860">
        <v>0.04</v>
      </c>
      <c r="AF309" s="860">
        <v>0.04</v>
      </c>
      <c r="AG309" s="860">
        <v>0.04</v>
      </c>
      <c r="AH309" s="860">
        <v>0.04</v>
      </c>
      <c r="AI309" s="860">
        <v>0.04</v>
      </c>
      <c r="AJ309" s="860">
        <v>0.04</v>
      </c>
      <c r="AK309" s="860"/>
      <c r="AL309" s="860"/>
      <c r="AM309" s="860"/>
      <c r="AN309" s="860"/>
      <c r="AO309" s="860"/>
      <c r="AP309" s="860"/>
      <c r="AQ309" s="860"/>
      <c r="AR309" s="860"/>
      <c r="AS309" s="860"/>
      <c r="AT309" s="860"/>
      <c r="AU309" s="860"/>
      <c r="AV309" s="860"/>
      <c r="AW309" s="860"/>
      <c r="AX309" s="860"/>
      <c r="AY309" s="860"/>
      <c r="AZ309" s="860"/>
      <c r="BA309" s="860"/>
      <c r="BB309" s="860"/>
      <c r="BC309" s="860"/>
      <c r="BD309" s="860"/>
      <c r="BE309" s="860"/>
      <c r="BF309" s="860"/>
      <c r="BG309" s="860"/>
      <c r="BH309" s="668"/>
      <c r="BI309" s="667"/>
      <c r="BJ309" s="690">
        <f t="shared" si="147"/>
        <v>0</v>
      </c>
      <c r="BK309" s="691">
        <f t="shared" si="148"/>
        <v>0</v>
      </c>
      <c r="BL309" s="654"/>
      <c r="BM309" s="692">
        <f>SUMIFS(Imput[[Importe Neto]:[Importe Neto]],Imput[[C. Imp.]:[C. Imp.]],$D309,Imput[[PERIODO Imp.]:[PERIODO Imp.]],BM$9)</f>
        <v>0</v>
      </c>
      <c r="BN309" s="693">
        <f>SUMIFS(Imput[[Importe Neto]:[Importe Neto]],Imput[[C. Imp.]:[C. Imp.]],$D309,Imput[[PERIODO Imp.]:[PERIODO Imp.]],BN$9)</f>
        <v>0</v>
      </c>
      <c r="BO309" s="693">
        <f>SUMIFS(Imput[[Importe Neto]:[Importe Neto]],Imput[[C. Imp.]:[C. Imp.]],$D309,Imput[[PERIODO Imp.]:[PERIODO Imp.]],BO$9)</f>
        <v>0</v>
      </c>
      <c r="BP309" s="693">
        <f>SUMIFS(Imput[[Importe Neto]:[Importe Neto]],Imput[[C. Imp.]:[C. Imp.]],$D309,Imput[[PERIODO Imp.]:[PERIODO Imp.]],BP$9)</f>
        <v>0</v>
      </c>
      <c r="BQ309" s="693">
        <f>SUMIFS(Imput[[Importe Neto]:[Importe Neto]],Imput[[C. Imp.]:[C. Imp.]],$D309,Imput[[PERIODO Imp.]:[PERIODO Imp.]],BQ$9)</f>
        <v>0</v>
      </c>
      <c r="BR309" s="693">
        <f>SUMIFS(Imput[[Importe Neto]:[Importe Neto]],Imput[[C. Imp.]:[C. Imp.]],$D309,Imput[[PERIODO Imp.]:[PERIODO Imp.]],BR$9)</f>
        <v>0</v>
      </c>
      <c r="BS309" s="693">
        <f>SUMIFS(Imput[[Importe Neto]:[Importe Neto]],Imput[[C. Imp.]:[C. Imp.]],$D309,Imput[[PERIODO Imp.]:[PERIODO Imp.]],BS$9)</f>
        <v>0</v>
      </c>
      <c r="BT309" s="693">
        <f>SUMIFS(Imput[[Importe Neto]:[Importe Neto]],Imput[[C. Imp.]:[C. Imp.]],$D309,Imput[[PERIODO Imp.]:[PERIODO Imp.]],BT$9)</f>
        <v>0</v>
      </c>
      <c r="BU309" s="693">
        <f>SUMIFS(Imput[[Importe Neto]:[Importe Neto]],Imput[[C. Imp.]:[C. Imp.]],$D309,Imput[[PERIODO Imp.]:[PERIODO Imp.]],BU$9)</f>
        <v>0</v>
      </c>
      <c r="BV309" s="693">
        <f>SUMIFS(Imput[[Importe Neto]:[Importe Neto]],Imput[[C. Imp.]:[C. Imp.]],$D309,Imput[[PERIODO Imp.]:[PERIODO Imp.]],BV$9)</f>
        <v>0</v>
      </c>
      <c r="BW309" s="693">
        <f>SUMIFS(Imput[[Importe Neto]:[Importe Neto]],Imput[[C. Imp.]:[C. Imp.]],$D309,Imput[[PERIODO Imp.]:[PERIODO Imp.]],BW$9)</f>
        <v>0</v>
      </c>
      <c r="BX309" s="693">
        <f>SUMIFS(Imput[[Importe Neto]:[Importe Neto]],Imput[[C. Imp.]:[C. Imp.]],$D309,Imput[[PERIODO Imp.]:[PERIODO Imp.]],BX$9)</f>
        <v>0</v>
      </c>
      <c r="BY309" s="693">
        <f>SUMIFS(Imput[[Importe Neto]:[Importe Neto]],Imput[[C. Imp.]:[C. Imp.]],$D309,Imput[[PERIODO Imp.]:[PERIODO Imp.]],BY$9)</f>
        <v>0</v>
      </c>
      <c r="BZ309" s="693">
        <f>SUMIFS(Imput[[Importe Neto]:[Importe Neto]],Imput[[C. Imp.]:[C. Imp.]],$D309,Imput[[PERIODO Imp.]:[PERIODO Imp.]],BZ$9)</f>
        <v>0</v>
      </c>
      <c r="CA309" s="693">
        <f>SUMIFS(Imput[[Importe Neto]:[Importe Neto]],Imput[[C. Imp.]:[C. Imp.]],$D309,Imput[[PERIODO Imp.]:[PERIODO Imp.]],CA$9)</f>
        <v>0</v>
      </c>
      <c r="CB309" s="693">
        <f>SUMIFS(Imput[[Importe Neto]:[Importe Neto]],Imput[[C. Imp.]:[C. Imp.]],$D309,Imput[[PERIODO Imp.]:[PERIODO Imp.]],CB$9)</f>
        <v>0</v>
      </c>
      <c r="CC309" s="693">
        <f>SUMIFS(Imput[[Importe Neto]:[Importe Neto]],Imput[[C. Imp.]:[C. Imp.]],$D309,Imput[[PERIODO Imp.]:[PERIODO Imp.]],CC$9)</f>
        <v>0</v>
      </c>
      <c r="CD309" s="693">
        <f>SUMIFS(Imput[[Importe Neto]:[Importe Neto]],Imput[[C. Imp.]:[C. Imp.]],$D309,Imput[[PERIODO Imp.]:[PERIODO Imp.]],CD$9)</f>
        <v>0</v>
      </c>
      <c r="CE309" s="693">
        <f>SUMIFS(Imput[[Importe Neto]:[Importe Neto]],Imput[[C. Imp.]:[C. Imp.]],$D309,Imput[[PERIODO Imp.]:[PERIODO Imp.]],CE$9)</f>
        <v>0</v>
      </c>
      <c r="CF309" s="693">
        <f>SUMIFS(Imput[[Importe Neto]:[Importe Neto]],Imput[[C. Imp.]:[C. Imp.]],$D309,Imput[[PERIODO Imp.]:[PERIODO Imp.]],CF$9)</f>
        <v>0</v>
      </c>
      <c r="CG309" s="693">
        <f>SUMIFS(Imput[[Importe Neto]:[Importe Neto]],Imput[[C. Imp.]:[C. Imp.]],$D309,Imput[[PERIODO Imp.]:[PERIODO Imp.]],CG$9)</f>
        <v>0</v>
      </c>
      <c r="CH309" s="693">
        <f>SUMIFS(Imput[[Importe Neto]:[Importe Neto]],Imput[[C. Imp.]:[C. Imp.]],$D309,Imput[[PERIODO Imp.]:[PERIODO Imp.]],CH$9)</f>
        <v>0</v>
      </c>
      <c r="CI309" s="693">
        <f>SUMIFS(Imput[[Importe Neto]:[Importe Neto]],Imput[[C. Imp.]:[C. Imp.]],$D309,Imput[[PERIODO Imp.]:[PERIODO Imp.]],CI$9)</f>
        <v>0</v>
      </c>
      <c r="CJ309" s="693">
        <f>SUMIFS(Imput[[Importe Neto]:[Importe Neto]],Imput[[C. Imp.]:[C. Imp.]],$D309,Imput[[PERIODO Imp.]:[PERIODO Imp.]],CJ$9)</f>
        <v>0</v>
      </c>
      <c r="CK309" s="693">
        <f>SUMIFS(Imput[[Importe Neto]:[Importe Neto]],Imput[[C. Imp.]:[C. Imp.]],$D309,Imput[[PERIODO Imp.]:[PERIODO Imp.]],CK$9)</f>
        <v>0</v>
      </c>
      <c r="CL309" s="693">
        <f>SUMIFS(Imput[[Importe Neto]:[Importe Neto]],Imput[[C. Imp.]:[C. Imp.]],$D309,Imput[[PERIODO Imp.]:[PERIODO Imp.]],CL$9)</f>
        <v>0</v>
      </c>
      <c r="CM309" s="693">
        <f>SUMIFS(Imput[[Importe Neto]:[Importe Neto]],Imput[[C. Imp.]:[C. Imp.]],$D309,Imput[[PERIODO Imp.]:[PERIODO Imp.]],CM$9)</f>
        <v>0</v>
      </c>
      <c r="CN309" s="693">
        <f>SUMIFS(Imput[[Importe Neto]:[Importe Neto]],Imput[[C. Imp.]:[C. Imp.]],$D309,Imput[[PERIODO Imp.]:[PERIODO Imp.]],CN$9)</f>
        <v>0</v>
      </c>
      <c r="CO309" s="693">
        <f>SUMIFS(Imput[[Importe Neto]:[Importe Neto]],Imput[[C. Imp.]:[C. Imp.]],$D309,Imput[[PERIODO Imp.]:[PERIODO Imp.]],CO$9)</f>
        <v>0</v>
      </c>
      <c r="CP309" s="693">
        <f>SUMIFS(Imput[[Importe Neto]:[Importe Neto]],Imput[[C. Imp.]:[C. Imp.]],$D309,Imput[[PERIODO Imp.]:[PERIODO Imp.]],CP$9)</f>
        <v>0</v>
      </c>
      <c r="CQ309" s="693">
        <f>SUMIFS(Imput[[Importe Neto]:[Importe Neto]],Imput[[C. Imp.]:[C. Imp.]],$D309,Imput[[PERIODO Imp.]:[PERIODO Imp.]],CQ$9)</f>
        <v>0</v>
      </c>
      <c r="CR309" s="693">
        <f>SUMIFS(Imput[[Importe Neto]:[Importe Neto]],Imput[[C. Imp.]:[C. Imp.]],$D309,Imput[[PERIODO Imp.]:[PERIODO Imp.]],CR$9)</f>
        <v>0</v>
      </c>
      <c r="CS309" s="693">
        <f>SUMIFS(Imput[[Importe Neto]:[Importe Neto]],Imput[[C. Imp.]:[C. Imp.]],$D309,Imput[[PERIODO Imp.]:[PERIODO Imp.]],CS$9)</f>
        <v>0</v>
      </c>
      <c r="CT309" s="693">
        <f>SUMIFS(Imput[[Importe Neto]:[Importe Neto]],Imput[[C. Imp.]:[C. Imp.]],$D309,Imput[[PERIODO Imp.]:[PERIODO Imp.]],CT$9)</f>
        <v>0</v>
      </c>
      <c r="CU309" s="693">
        <f>SUMIFS(Imput[[Importe Neto]:[Importe Neto]],Imput[[C. Imp.]:[C. Imp.]],$D309,Imput[[PERIODO Imp.]:[PERIODO Imp.]],CU$9)</f>
        <v>0</v>
      </c>
      <c r="CV309" s="693">
        <f>SUMIFS(Imput[[Importe Neto]:[Importe Neto]],Imput[[C. Imp.]:[C. Imp.]],$D309,Imput[[PERIODO Imp.]:[PERIODO Imp.]],CV$9)</f>
        <v>0</v>
      </c>
      <c r="CW309" s="693">
        <f>SUMIFS(Imput[[Importe Neto]:[Importe Neto]],Imput[[C. Imp.]:[C. Imp.]],$D309,Imput[[PERIODO Imp.]:[PERIODO Imp.]],CW$9)</f>
        <v>0</v>
      </c>
      <c r="CX309" s="693">
        <f>SUMIFS(Imput[[Importe Neto]:[Importe Neto]],Imput[[C. Imp.]:[C. Imp.]],$D309,Imput[[PERIODO Imp.]:[PERIODO Imp.]],CX$9)</f>
        <v>0</v>
      </c>
      <c r="CY309" s="693">
        <f>SUMIFS(Imput[[Importe Neto]:[Importe Neto]],Imput[[C. Imp.]:[C. Imp.]],$D309,Imput[[PERIODO Imp.]:[PERIODO Imp.]],CY$9)</f>
        <v>0</v>
      </c>
      <c r="CZ309" s="693">
        <f>SUMIFS(Imput[[Importe Neto]:[Importe Neto]],Imput[[C. Imp.]:[C. Imp.]],$D309,Imput[[PERIODO Imp.]:[PERIODO Imp.]],CZ$9)</f>
        <v>0</v>
      </c>
      <c r="DA309" s="693">
        <f>SUMIFS(Imput[[Importe Neto]:[Importe Neto]],Imput[[C. Imp.]:[C. Imp.]],$D309,Imput[[PERIODO Imp.]:[PERIODO Imp.]],DA$9)</f>
        <v>0</v>
      </c>
      <c r="DB309" s="693">
        <f>SUMIFS(Imput[[Importe Neto]:[Importe Neto]],Imput[[C. Imp.]:[C. Imp.]],$D309,Imput[[PERIODO Imp.]:[PERIODO Imp.]],DB$9)</f>
        <v>0</v>
      </c>
      <c r="DC309" s="693">
        <f>SUMIFS(Imput[[Importe Neto]:[Importe Neto]],Imput[[C. Imp.]:[C. Imp.]],$D309,Imput[[PERIODO Imp.]:[PERIODO Imp.]],DC$9)</f>
        <v>0</v>
      </c>
      <c r="DD309" s="693">
        <f>SUMIFS(Imput[[Importe Neto]:[Importe Neto]],Imput[[C. Imp.]:[C. Imp.]],$D309,Imput[[PERIODO Imp.]:[PERIODO Imp.]],DD$9)</f>
        <v>0</v>
      </c>
      <c r="DE309" s="693">
        <f>SUMIFS(Imput[[Importe Neto]:[Importe Neto]],Imput[[C. Imp.]:[C. Imp.]],$D309,Imput[[PERIODO Imp.]:[PERIODO Imp.]],DE$9)</f>
        <v>0</v>
      </c>
      <c r="DF309" s="693">
        <f>SUMIFS(Imput[[Importe Neto]:[Importe Neto]],Imput[[C. Imp.]:[C. Imp.]],$D309,Imput[[PERIODO Imp.]:[PERIODO Imp.]],DF$9)</f>
        <v>0</v>
      </c>
      <c r="DG309" s="693">
        <f>SUMIFS(Imput[[Importe Neto]:[Importe Neto]],Imput[[C. Imp.]:[C. Imp.]],$D309,Imput[[PERIODO Imp.]:[PERIODO Imp.]],DG$9)</f>
        <v>0</v>
      </c>
      <c r="DH309" s="694">
        <f>SUMIFS(Imput[[Importe Neto]:[Importe Neto]],Imput[[C. Imp.]:[C. Imp.]],$D309,Imput[[PERIODO Imp.]:[PERIODO Imp.]],DH$9)</f>
        <v>0</v>
      </c>
    </row>
    <row r="310" spans="1:112" s="649" customFormat="1" hidden="1" outlineLevel="1" x14ac:dyDescent="0.3">
      <c r="A310" s="652" t="str">
        <f t="shared" si="144"/>
        <v/>
      </c>
      <c r="B310" s="652"/>
      <c r="C310" s="685"/>
      <c r="D310" s="686" t="s">
        <v>2181</v>
      </c>
      <c r="E310" s="686"/>
      <c r="F310" s="720"/>
      <c r="G310" s="688"/>
      <c r="H310" s="689"/>
      <c r="I310" s="851" t="str">
        <f t="shared" si="145"/>
        <v/>
      </c>
      <c r="J310" s="852" t="str">
        <f t="shared" si="146"/>
        <v/>
      </c>
      <c r="K310" s="667"/>
      <c r="L310" s="858"/>
      <c r="M310" s="859"/>
      <c r="N310" s="859"/>
      <c r="O310" s="859"/>
      <c r="P310" s="859"/>
      <c r="Q310" s="859"/>
      <c r="R310" s="859"/>
      <c r="S310" s="859"/>
      <c r="T310" s="859"/>
      <c r="U310" s="859"/>
      <c r="V310" s="859"/>
      <c r="W310" s="859"/>
      <c r="X310" s="859"/>
      <c r="Y310" s="859"/>
      <c r="Z310" s="860"/>
      <c r="AA310" s="860"/>
      <c r="AB310" s="860"/>
      <c r="AC310" s="860"/>
      <c r="AD310" s="860"/>
      <c r="AE310" s="860"/>
      <c r="AF310" s="860"/>
      <c r="AG310" s="860"/>
      <c r="AH310" s="860"/>
      <c r="AI310" s="860"/>
      <c r="AJ310" s="860"/>
      <c r="AK310" s="860"/>
      <c r="AL310" s="860"/>
      <c r="AM310" s="860"/>
      <c r="AN310" s="860"/>
      <c r="AO310" s="860"/>
      <c r="AP310" s="860"/>
      <c r="AQ310" s="860"/>
      <c r="AR310" s="860"/>
      <c r="AS310" s="860"/>
      <c r="AT310" s="860"/>
      <c r="AU310" s="860"/>
      <c r="AV310" s="860"/>
      <c r="AW310" s="860"/>
      <c r="AX310" s="860"/>
      <c r="AY310" s="860"/>
      <c r="AZ310" s="860"/>
      <c r="BA310" s="860"/>
      <c r="BB310" s="860"/>
      <c r="BC310" s="860"/>
      <c r="BD310" s="860"/>
      <c r="BE310" s="860"/>
      <c r="BF310" s="860"/>
      <c r="BG310" s="860"/>
      <c r="BH310" s="668"/>
      <c r="BI310" s="667"/>
      <c r="BJ310" s="690">
        <f t="shared" si="147"/>
        <v>0</v>
      </c>
      <c r="BK310" s="691">
        <f t="shared" si="148"/>
        <v>0</v>
      </c>
      <c r="BL310" s="654"/>
      <c r="BM310" s="692">
        <f>SUMIFS(Imput[[Importe Neto]:[Importe Neto]],Imput[[C. Imp.]:[C. Imp.]],$D310,Imput[[PERIODO Imp.]:[PERIODO Imp.]],BM$9)</f>
        <v>0</v>
      </c>
      <c r="BN310" s="693">
        <f>SUMIFS(Imput[[Importe Neto]:[Importe Neto]],Imput[[C. Imp.]:[C. Imp.]],$D310,Imput[[PERIODO Imp.]:[PERIODO Imp.]],BN$9)</f>
        <v>0</v>
      </c>
      <c r="BO310" s="693">
        <f>SUMIFS(Imput[[Importe Neto]:[Importe Neto]],Imput[[C. Imp.]:[C. Imp.]],$D310,Imput[[PERIODO Imp.]:[PERIODO Imp.]],BO$9)</f>
        <v>0</v>
      </c>
      <c r="BP310" s="693">
        <f>SUMIFS(Imput[[Importe Neto]:[Importe Neto]],Imput[[C. Imp.]:[C. Imp.]],$D310,Imput[[PERIODO Imp.]:[PERIODO Imp.]],BP$9)</f>
        <v>0</v>
      </c>
      <c r="BQ310" s="693">
        <f>SUMIFS(Imput[[Importe Neto]:[Importe Neto]],Imput[[C. Imp.]:[C. Imp.]],$D310,Imput[[PERIODO Imp.]:[PERIODO Imp.]],BQ$9)</f>
        <v>0</v>
      </c>
      <c r="BR310" s="693">
        <f>SUMIFS(Imput[[Importe Neto]:[Importe Neto]],Imput[[C. Imp.]:[C. Imp.]],$D310,Imput[[PERIODO Imp.]:[PERIODO Imp.]],BR$9)</f>
        <v>0</v>
      </c>
      <c r="BS310" s="693">
        <f>SUMIFS(Imput[[Importe Neto]:[Importe Neto]],Imput[[C. Imp.]:[C. Imp.]],$D310,Imput[[PERIODO Imp.]:[PERIODO Imp.]],BS$9)</f>
        <v>0</v>
      </c>
      <c r="BT310" s="693">
        <f>SUMIFS(Imput[[Importe Neto]:[Importe Neto]],Imput[[C. Imp.]:[C. Imp.]],$D310,Imput[[PERIODO Imp.]:[PERIODO Imp.]],BT$9)</f>
        <v>0</v>
      </c>
      <c r="BU310" s="693">
        <f>SUMIFS(Imput[[Importe Neto]:[Importe Neto]],Imput[[C. Imp.]:[C. Imp.]],$D310,Imput[[PERIODO Imp.]:[PERIODO Imp.]],BU$9)</f>
        <v>0</v>
      </c>
      <c r="BV310" s="693">
        <f>SUMIFS(Imput[[Importe Neto]:[Importe Neto]],Imput[[C. Imp.]:[C. Imp.]],$D310,Imput[[PERIODO Imp.]:[PERIODO Imp.]],BV$9)</f>
        <v>0</v>
      </c>
      <c r="BW310" s="693">
        <f>SUMIFS(Imput[[Importe Neto]:[Importe Neto]],Imput[[C. Imp.]:[C. Imp.]],$D310,Imput[[PERIODO Imp.]:[PERIODO Imp.]],BW$9)</f>
        <v>0</v>
      </c>
      <c r="BX310" s="693">
        <f>SUMIFS(Imput[[Importe Neto]:[Importe Neto]],Imput[[C. Imp.]:[C. Imp.]],$D310,Imput[[PERIODO Imp.]:[PERIODO Imp.]],BX$9)</f>
        <v>0</v>
      </c>
      <c r="BY310" s="693">
        <f>SUMIFS(Imput[[Importe Neto]:[Importe Neto]],Imput[[C. Imp.]:[C. Imp.]],$D310,Imput[[PERIODO Imp.]:[PERIODO Imp.]],BY$9)</f>
        <v>0</v>
      </c>
      <c r="BZ310" s="693">
        <f>SUMIFS(Imput[[Importe Neto]:[Importe Neto]],Imput[[C. Imp.]:[C. Imp.]],$D310,Imput[[PERIODO Imp.]:[PERIODO Imp.]],BZ$9)</f>
        <v>0</v>
      </c>
      <c r="CA310" s="693">
        <f>SUMIFS(Imput[[Importe Neto]:[Importe Neto]],Imput[[C. Imp.]:[C. Imp.]],$D310,Imput[[PERIODO Imp.]:[PERIODO Imp.]],CA$9)</f>
        <v>0</v>
      </c>
      <c r="CB310" s="693">
        <f>SUMIFS(Imput[[Importe Neto]:[Importe Neto]],Imput[[C. Imp.]:[C. Imp.]],$D310,Imput[[PERIODO Imp.]:[PERIODO Imp.]],CB$9)</f>
        <v>0</v>
      </c>
      <c r="CC310" s="693">
        <f>SUMIFS(Imput[[Importe Neto]:[Importe Neto]],Imput[[C. Imp.]:[C. Imp.]],$D310,Imput[[PERIODO Imp.]:[PERIODO Imp.]],CC$9)</f>
        <v>0</v>
      </c>
      <c r="CD310" s="693">
        <f>SUMIFS(Imput[[Importe Neto]:[Importe Neto]],Imput[[C. Imp.]:[C. Imp.]],$D310,Imput[[PERIODO Imp.]:[PERIODO Imp.]],CD$9)</f>
        <v>0</v>
      </c>
      <c r="CE310" s="693">
        <f>SUMIFS(Imput[[Importe Neto]:[Importe Neto]],Imput[[C. Imp.]:[C. Imp.]],$D310,Imput[[PERIODO Imp.]:[PERIODO Imp.]],CE$9)</f>
        <v>0</v>
      </c>
      <c r="CF310" s="693">
        <f>SUMIFS(Imput[[Importe Neto]:[Importe Neto]],Imput[[C. Imp.]:[C. Imp.]],$D310,Imput[[PERIODO Imp.]:[PERIODO Imp.]],CF$9)</f>
        <v>0</v>
      </c>
      <c r="CG310" s="693">
        <f>SUMIFS(Imput[[Importe Neto]:[Importe Neto]],Imput[[C. Imp.]:[C. Imp.]],$D310,Imput[[PERIODO Imp.]:[PERIODO Imp.]],CG$9)</f>
        <v>0</v>
      </c>
      <c r="CH310" s="693">
        <f>SUMIFS(Imput[[Importe Neto]:[Importe Neto]],Imput[[C. Imp.]:[C. Imp.]],$D310,Imput[[PERIODO Imp.]:[PERIODO Imp.]],CH$9)</f>
        <v>0</v>
      </c>
      <c r="CI310" s="693">
        <f>SUMIFS(Imput[[Importe Neto]:[Importe Neto]],Imput[[C. Imp.]:[C. Imp.]],$D310,Imput[[PERIODO Imp.]:[PERIODO Imp.]],CI$9)</f>
        <v>0</v>
      </c>
      <c r="CJ310" s="693">
        <f>SUMIFS(Imput[[Importe Neto]:[Importe Neto]],Imput[[C. Imp.]:[C. Imp.]],$D310,Imput[[PERIODO Imp.]:[PERIODO Imp.]],CJ$9)</f>
        <v>0</v>
      </c>
      <c r="CK310" s="693">
        <f>SUMIFS(Imput[[Importe Neto]:[Importe Neto]],Imput[[C. Imp.]:[C. Imp.]],$D310,Imput[[PERIODO Imp.]:[PERIODO Imp.]],CK$9)</f>
        <v>0</v>
      </c>
      <c r="CL310" s="693">
        <f>SUMIFS(Imput[[Importe Neto]:[Importe Neto]],Imput[[C. Imp.]:[C. Imp.]],$D310,Imput[[PERIODO Imp.]:[PERIODO Imp.]],CL$9)</f>
        <v>0</v>
      </c>
      <c r="CM310" s="693">
        <f>SUMIFS(Imput[[Importe Neto]:[Importe Neto]],Imput[[C. Imp.]:[C. Imp.]],$D310,Imput[[PERIODO Imp.]:[PERIODO Imp.]],CM$9)</f>
        <v>0</v>
      </c>
      <c r="CN310" s="693">
        <f>SUMIFS(Imput[[Importe Neto]:[Importe Neto]],Imput[[C. Imp.]:[C. Imp.]],$D310,Imput[[PERIODO Imp.]:[PERIODO Imp.]],CN$9)</f>
        <v>0</v>
      </c>
      <c r="CO310" s="693">
        <f>SUMIFS(Imput[[Importe Neto]:[Importe Neto]],Imput[[C. Imp.]:[C. Imp.]],$D310,Imput[[PERIODO Imp.]:[PERIODO Imp.]],CO$9)</f>
        <v>0</v>
      </c>
      <c r="CP310" s="693">
        <f>SUMIFS(Imput[[Importe Neto]:[Importe Neto]],Imput[[C. Imp.]:[C. Imp.]],$D310,Imput[[PERIODO Imp.]:[PERIODO Imp.]],CP$9)</f>
        <v>0</v>
      </c>
      <c r="CQ310" s="693">
        <f>SUMIFS(Imput[[Importe Neto]:[Importe Neto]],Imput[[C. Imp.]:[C. Imp.]],$D310,Imput[[PERIODO Imp.]:[PERIODO Imp.]],CQ$9)</f>
        <v>0</v>
      </c>
      <c r="CR310" s="693">
        <f>SUMIFS(Imput[[Importe Neto]:[Importe Neto]],Imput[[C. Imp.]:[C. Imp.]],$D310,Imput[[PERIODO Imp.]:[PERIODO Imp.]],CR$9)</f>
        <v>0</v>
      </c>
      <c r="CS310" s="693">
        <f>SUMIFS(Imput[[Importe Neto]:[Importe Neto]],Imput[[C. Imp.]:[C. Imp.]],$D310,Imput[[PERIODO Imp.]:[PERIODO Imp.]],CS$9)</f>
        <v>0</v>
      </c>
      <c r="CT310" s="693">
        <f>SUMIFS(Imput[[Importe Neto]:[Importe Neto]],Imput[[C. Imp.]:[C. Imp.]],$D310,Imput[[PERIODO Imp.]:[PERIODO Imp.]],CT$9)</f>
        <v>0</v>
      </c>
      <c r="CU310" s="693">
        <f>SUMIFS(Imput[[Importe Neto]:[Importe Neto]],Imput[[C. Imp.]:[C. Imp.]],$D310,Imput[[PERIODO Imp.]:[PERIODO Imp.]],CU$9)</f>
        <v>0</v>
      </c>
      <c r="CV310" s="693">
        <f>SUMIFS(Imput[[Importe Neto]:[Importe Neto]],Imput[[C. Imp.]:[C. Imp.]],$D310,Imput[[PERIODO Imp.]:[PERIODO Imp.]],CV$9)</f>
        <v>0</v>
      </c>
      <c r="CW310" s="693">
        <f>SUMIFS(Imput[[Importe Neto]:[Importe Neto]],Imput[[C. Imp.]:[C. Imp.]],$D310,Imput[[PERIODO Imp.]:[PERIODO Imp.]],CW$9)</f>
        <v>0</v>
      </c>
      <c r="CX310" s="693">
        <f>SUMIFS(Imput[[Importe Neto]:[Importe Neto]],Imput[[C. Imp.]:[C. Imp.]],$D310,Imput[[PERIODO Imp.]:[PERIODO Imp.]],CX$9)</f>
        <v>0</v>
      </c>
      <c r="CY310" s="693">
        <f>SUMIFS(Imput[[Importe Neto]:[Importe Neto]],Imput[[C. Imp.]:[C. Imp.]],$D310,Imput[[PERIODO Imp.]:[PERIODO Imp.]],CY$9)</f>
        <v>0</v>
      </c>
      <c r="CZ310" s="693">
        <f>SUMIFS(Imput[[Importe Neto]:[Importe Neto]],Imput[[C. Imp.]:[C. Imp.]],$D310,Imput[[PERIODO Imp.]:[PERIODO Imp.]],CZ$9)</f>
        <v>0</v>
      </c>
      <c r="DA310" s="693">
        <f>SUMIFS(Imput[[Importe Neto]:[Importe Neto]],Imput[[C. Imp.]:[C. Imp.]],$D310,Imput[[PERIODO Imp.]:[PERIODO Imp.]],DA$9)</f>
        <v>0</v>
      </c>
      <c r="DB310" s="693">
        <f>SUMIFS(Imput[[Importe Neto]:[Importe Neto]],Imput[[C. Imp.]:[C. Imp.]],$D310,Imput[[PERIODO Imp.]:[PERIODO Imp.]],DB$9)</f>
        <v>0</v>
      </c>
      <c r="DC310" s="693">
        <f>SUMIFS(Imput[[Importe Neto]:[Importe Neto]],Imput[[C. Imp.]:[C. Imp.]],$D310,Imput[[PERIODO Imp.]:[PERIODO Imp.]],DC$9)</f>
        <v>0</v>
      </c>
      <c r="DD310" s="693">
        <f>SUMIFS(Imput[[Importe Neto]:[Importe Neto]],Imput[[C. Imp.]:[C. Imp.]],$D310,Imput[[PERIODO Imp.]:[PERIODO Imp.]],DD$9)</f>
        <v>0</v>
      </c>
      <c r="DE310" s="693">
        <f>SUMIFS(Imput[[Importe Neto]:[Importe Neto]],Imput[[C. Imp.]:[C. Imp.]],$D310,Imput[[PERIODO Imp.]:[PERIODO Imp.]],DE$9)</f>
        <v>0</v>
      </c>
      <c r="DF310" s="693">
        <f>SUMIFS(Imput[[Importe Neto]:[Importe Neto]],Imput[[C. Imp.]:[C. Imp.]],$D310,Imput[[PERIODO Imp.]:[PERIODO Imp.]],DF$9)</f>
        <v>0</v>
      </c>
      <c r="DG310" s="693">
        <f>SUMIFS(Imput[[Importe Neto]:[Importe Neto]],Imput[[C. Imp.]:[C. Imp.]],$D310,Imput[[PERIODO Imp.]:[PERIODO Imp.]],DG$9)</f>
        <v>0</v>
      </c>
      <c r="DH310" s="694">
        <f>SUMIFS(Imput[[Importe Neto]:[Importe Neto]],Imput[[C. Imp.]:[C. Imp.]],$D310,Imput[[PERIODO Imp.]:[PERIODO Imp.]],DH$9)</f>
        <v>0</v>
      </c>
    </row>
    <row r="311" spans="1:112" s="649" customFormat="1" hidden="1" outlineLevel="1" x14ac:dyDescent="0.3">
      <c r="A311" s="652" t="str">
        <f t="shared" si="144"/>
        <v/>
      </c>
      <c r="B311" s="652"/>
      <c r="C311" s="685"/>
      <c r="D311" s="686" t="s">
        <v>2182</v>
      </c>
      <c r="E311" s="686"/>
      <c r="F311" s="720"/>
      <c r="G311" s="688"/>
      <c r="H311" s="689"/>
      <c r="I311" s="851" t="str">
        <f t="shared" si="145"/>
        <v/>
      </c>
      <c r="J311" s="852" t="str">
        <f t="shared" si="146"/>
        <v/>
      </c>
      <c r="K311" s="667"/>
      <c r="L311" s="858"/>
      <c r="M311" s="859"/>
      <c r="N311" s="859"/>
      <c r="O311" s="859"/>
      <c r="P311" s="859"/>
      <c r="Q311" s="859"/>
      <c r="R311" s="859"/>
      <c r="S311" s="859"/>
      <c r="T311" s="859"/>
      <c r="U311" s="859"/>
      <c r="V311" s="859"/>
      <c r="W311" s="859"/>
      <c r="X311" s="859"/>
      <c r="Y311" s="859"/>
      <c r="Z311" s="860"/>
      <c r="AA311" s="860"/>
      <c r="AB311" s="860"/>
      <c r="AC311" s="860"/>
      <c r="AD311" s="860"/>
      <c r="AE311" s="860"/>
      <c r="AF311" s="860"/>
      <c r="AG311" s="860"/>
      <c r="AH311" s="860"/>
      <c r="AI311" s="860"/>
      <c r="AJ311" s="860"/>
      <c r="AK311" s="860"/>
      <c r="AL311" s="860"/>
      <c r="AM311" s="860"/>
      <c r="AN311" s="860"/>
      <c r="AO311" s="860"/>
      <c r="AP311" s="860"/>
      <c r="AQ311" s="860"/>
      <c r="AR311" s="860"/>
      <c r="AS311" s="860"/>
      <c r="AT311" s="860"/>
      <c r="AU311" s="860"/>
      <c r="AV311" s="860"/>
      <c r="AW311" s="860"/>
      <c r="AX311" s="860"/>
      <c r="AY311" s="860"/>
      <c r="AZ311" s="860"/>
      <c r="BA311" s="860"/>
      <c r="BB311" s="860"/>
      <c r="BC311" s="860"/>
      <c r="BD311" s="860"/>
      <c r="BE311" s="860"/>
      <c r="BF311" s="860"/>
      <c r="BG311" s="860"/>
      <c r="BH311" s="668"/>
      <c r="BI311" s="667"/>
      <c r="BJ311" s="690">
        <f t="shared" si="147"/>
        <v>0</v>
      </c>
      <c r="BK311" s="691">
        <f t="shared" si="148"/>
        <v>0</v>
      </c>
      <c r="BL311" s="654"/>
      <c r="BM311" s="692">
        <f>SUMIFS(Imput[[Importe Neto]:[Importe Neto]],Imput[[C. Imp.]:[C. Imp.]],$D311,Imput[[PERIODO Imp.]:[PERIODO Imp.]],BM$9)</f>
        <v>0</v>
      </c>
      <c r="BN311" s="693">
        <f>SUMIFS(Imput[[Importe Neto]:[Importe Neto]],Imput[[C. Imp.]:[C. Imp.]],$D311,Imput[[PERIODO Imp.]:[PERIODO Imp.]],BN$9)</f>
        <v>0</v>
      </c>
      <c r="BO311" s="693">
        <f>SUMIFS(Imput[[Importe Neto]:[Importe Neto]],Imput[[C. Imp.]:[C. Imp.]],$D311,Imput[[PERIODO Imp.]:[PERIODO Imp.]],BO$9)</f>
        <v>0</v>
      </c>
      <c r="BP311" s="693">
        <f>SUMIFS(Imput[[Importe Neto]:[Importe Neto]],Imput[[C. Imp.]:[C. Imp.]],$D311,Imput[[PERIODO Imp.]:[PERIODO Imp.]],BP$9)</f>
        <v>0</v>
      </c>
      <c r="BQ311" s="693">
        <f>SUMIFS(Imput[[Importe Neto]:[Importe Neto]],Imput[[C. Imp.]:[C. Imp.]],$D311,Imput[[PERIODO Imp.]:[PERIODO Imp.]],BQ$9)</f>
        <v>0</v>
      </c>
      <c r="BR311" s="693">
        <f>SUMIFS(Imput[[Importe Neto]:[Importe Neto]],Imput[[C. Imp.]:[C. Imp.]],$D311,Imput[[PERIODO Imp.]:[PERIODO Imp.]],BR$9)</f>
        <v>0</v>
      </c>
      <c r="BS311" s="693">
        <f>SUMIFS(Imput[[Importe Neto]:[Importe Neto]],Imput[[C. Imp.]:[C. Imp.]],$D311,Imput[[PERIODO Imp.]:[PERIODO Imp.]],BS$9)</f>
        <v>0</v>
      </c>
      <c r="BT311" s="693">
        <f>SUMIFS(Imput[[Importe Neto]:[Importe Neto]],Imput[[C. Imp.]:[C. Imp.]],$D311,Imput[[PERIODO Imp.]:[PERIODO Imp.]],BT$9)</f>
        <v>0</v>
      </c>
      <c r="BU311" s="693">
        <f>SUMIFS(Imput[[Importe Neto]:[Importe Neto]],Imput[[C. Imp.]:[C. Imp.]],$D311,Imput[[PERIODO Imp.]:[PERIODO Imp.]],BU$9)</f>
        <v>0</v>
      </c>
      <c r="BV311" s="693">
        <f>SUMIFS(Imput[[Importe Neto]:[Importe Neto]],Imput[[C. Imp.]:[C. Imp.]],$D311,Imput[[PERIODO Imp.]:[PERIODO Imp.]],BV$9)</f>
        <v>0</v>
      </c>
      <c r="BW311" s="693">
        <f>SUMIFS(Imput[[Importe Neto]:[Importe Neto]],Imput[[C. Imp.]:[C. Imp.]],$D311,Imput[[PERIODO Imp.]:[PERIODO Imp.]],BW$9)</f>
        <v>0</v>
      </c>
      <c r="BX311" s="693">
        <f>SUMIFS(Imput[[Importe Neto]:[Importe Neto]],Imput[[C. Imp.]:[C. Imp.]],$D311,Imput[[PERIODO Imp.]:[PERIODO Imp.]],BX$9)</f>
        <v>0</v>
      </c>
      <c r="BY311" s="693">
        <f>SUMIFS(Imput[[Importe Neto]:[Importe Neto]],Imput[[C. Imp.]:[C. Imp.]],$D311,Imput[[PERIODO Imp.]:[PERIODO Imp.]],BY$9)</f>
        <v>0</v>
      </c>
      <c r="BZ311" s="693">
        <f>SUMIFS(Imput[[Importe Neto]:[Importe Neto]],Imput[[C. Imp.]:[C. Imp.]],$D311,Imput[[PERIODO Imp.]:[PERIODO Imp.]],BZ$9)</f>
        <v>0</v>
      </c>
      <c r="CA311" s="693">
        <f>SUMIFS(Imput[[Importe Neto]:[Importe Neto]],Imput[[C. Imp.]:[C. Imp.]],$D311,Imput[[PERIODO Imp.]:[PERIODO Imp.]],CA$9)</f>
        <v>0</v>
      </c>
      <c r="CB311" s="693">
        <f>SUMIFS(Imput[[Importe Neto]:[Importe Neto]],Imput[[C. Imp.]:[C. Imp.]],$D311,Imput[[PERIODO Imp.]:[PERIODO Imp.]],CB$9)</f>
        <v>0</v>
      </c>
      <c r="CC311" s="693">
        <f>SUMIFS(Imput[[Importe Neto]:[Importe Neto]],Imput[[C. Imp.]:[C. Imp.]],$D311,Imput[[PERIODO Imp.]:[PERIODO Imp.]],CC$9)</f>
        <v>0</v>
      </c>
      <c r="CD311" s="693">
        <f>SUMIFS(Imput[[Importe Neto]:[Importe Neto]],Imput[[C. Imp.]:[C. Imp.]],$D311,Imput[[PERIODO Imp.]:[PERIODO Imp.]],CD$9)</f>
        <v>0</v>
      </c>
      <c r="CE311" s="693">
        <f>SUMIFS(Imput[[Importe Neto]:[Importe Neto]],Imput[[C. Imp.]:[C. Imp.]],$D311,Imput[[PERIODO Imp.]:[PERIODO Imp.]],CE$9)</f>
        <v>0</v>
      </c>
      <c r="CF311" s="693">
        <f>SUMIFS(Imput[[Importe Neto]:[Importe Neto]],Imput[[C. Imp.]:[C. Imp.]],$D311,Imput[[PERIODO Imp.]:[PERIODO Imp.]],CF$9)</f>
        <v>0</v>
      </c>
      <c r="CG311" s="693">
        <f>SUMIFS(Imput[[Importe Neto]:[Importe Neto]],Imput[[C. Imp.]:[C. Imp.]],$D311,Imput[[PERIODO Imp.]:[PERIODO Imp.]],CG$9)</f>
        <v>0</v>
      </c>
      <c r="CH311" s="693">
        <f>SUMIFS(Imput[[Importe Neto]:[Importe Neto]],Imput[[C. Imp.]:[C. Imp.]],$D311,Imput[[PERIODO Imp.]:[PERIODO Imp.]],CH$9)</f>
        <v>0</v>
      </c>
      <c r="CI311" s="693">
        <f>SUMIFS(Imput[[Importe Neto]:[Importe Neto]],Imput[[C. Imp.]:[C. Imp.]],$D311,Imput[[PERIODO Imp.]:[PERIODO Imp.]],CI$9)</f>
        <v>0</v>
      </c>
      <c r="CJ311" s="693">
        <f>SUMIFS(Imput[[Importe Neto]:[Importe Neto]],Imput[[C. Imp.]:[C. Imp.]],$D311,Imput[[PERIODO Imp.]:[PERIODO Imp.]],CJ$9)</f>
        <v>0</v>
      </c>
      <c r="CK311" s="693">
        <f>SUMIFS(Imput[[Importe Neto]:[Importe Neto]],Imput[[C. Imp.]:[C. Imp.]],$D311,Imput[[PERIODO Imp.]:[PERIODO Imp.]],CK$9)</f>
        <v>0</v>
      </c>
      <c r="CL311" s="693">
        <f>SUMIFS(Imput[[Importe Neto]:[Importe Neto]],Imput[[C. Imp.]:[C. Imp.]],$D311,Imput[[PERIODO Imp.]:[PERIODO Imp.]],CL$9)</f>
        <v>0</v>
      </c>
      <c r="CM311" s="693">
        <f>SUMIFS(Imput[[Importe Neto]:[Importe Neto]],Imput[[C. Imp.]:[C. Imp.]],$D311,Imput[[PERIODO Imp.]:[PERIODO Imp.]],CM$9)</f>
        <v>0</v>
      </c>
      <c r="CN311" s="693">
        <f>SUMIFS(Imput[[Importe Neto]:[Importe Neto]],Imput[[C. Imp.]:[C. Imp.]],$D311,Imput[[PERIODO Imp.]:[PERIODO Imp.]],CN$9)</f>
        <v>0</v>
      </c>
      <c r="CO311" s="693">
        <f>SUMIFS(Imput[[Importe Neto]:[Importe Neto]],Imput[[C. Imp.]:[C. Imp.]],$D311,Imput[[PERIODO Imp.]:[PERIODO Imp.]],CO$9)</f>
        <v>0</v>
      </c>
      <c r="CP311" s="693">
        <f>SUMIFS(Imput[[Importe Neto]:[Importe Neto]],Imput[[C. Imp.]:[C. Imp.]],$D311,Imput[[PERIODO Imp.]:[PERIODO Imp.]],CP$9)</f>
        <v>0</v>
      </c>
      <c r="CQ311" s="693">
        <f>SUMIFS(Imput[[Importe Neto]:[Importe Neto]],Imput[[C. Imp.]:[C. Imp.]],$D311,Imput[[PERIODO Imp.]:[PERIODO Imp.]],CQ$9)</f>
        <v>0</v>
      </c>
      <c r="CR311" s="693">
        <f>SUMIFS(Imput[[Importe Neto]:[Importe Neto]],Imput[[C. Imp.]:[C. Imp.]],$D311,Imput[[PERIODO Imp.]:[PERIODO Imp.]],CR$9)</f>
        <v>0</v>
      </c>
      <c r="CS311" s="693">
        <f>SUMIFS(Imput[[Importe Neto]:[Importe Neto]],Imput[[C. Imp.]:[C. Imp.]],$D311,Imput[[PERIODO Imp.]:[PERIODO Imp.]],CS$9)</f>
        <v>0</v>
      </c>
      <c r="CT311" s="693">
        <f>SUMIFS(Imput[[Importe Neto]:[Importe Neto]],Imput[[C. Imp.]:[C. Imp.]],$D311,Imput[[PERIODO Imp.]:[PERIODO Imp.]],CT$9)</f>
        <v>0</v>
      </c>
      <c r="CU311" s="693">
        <f>SUMIFS(Imput[[Importe Neto]:[Importe Neto]],Imput[[C. Imp.]:[C. Imp.]],$D311,Imput[[PERIODO Imp.]:[PERIODO Imp.]],CU$9)</f>
        <v>0</v>
      </c>
      <c r="CV311" s="693">
        <f>SUMIFS(Imput[[Importe Neto]:[Importe Neto]],Imput[[C. Imp.]:[C. Imp.]],$D311,Imput[[PERIODO Imp.]:[PERIODO Imp.]],CV$9)</f>
        <v>0</v>
      </c>
      <c r="CW311" s="693">
        <f>SUMIFS(Imput[[Importe Neto]:[Importe Neto]],Imput[[C. Imp.]:[C. Imp.]],$D311,Imput[[PERIODO Imp.]:[PERIODO Imp.]],CW$9)</f>
        <v>0</v>
      </c>
      <c r="CX311" s="693">
        <f>SUMIFS(Imput[[Importe Neto]:[Importe Neto]],Imput[[C. Imp.]:[C. Imp.]],$D311,Imput[[PERIODO Imp.]:[PERIODO Imp.]],CX$9)</f>
        <v>0</v>
      </c>
      <c r="CY311" s="693">
        <f>SUMIFS(Imput[[Importe Neto]:[Importe Neto]],Imput[[C. Imp.]:[C. Imp.]],$D311,Imput[[PERIODO Imp.]:[PERIODO Imp.]],CY$9)</f>
        <v>0</v>
      </c>
      <c r="CZ311" s="693">
        <f>SUMIFS(Imput[[Importe Neto]:[Importe Neto]],Imput[[C. Imp.]:[C. Imp.]],$D311,Imput[[PERIODO Imp.]:[PERIODO Imp.]],CZ$9)</f>
        <v>0</v>
      </c>
      <c r="DA311" s="693">
        <f>SUMIFS(Imput[[Importe Neto]:[Importe Neto]],Imput[[C. Imp.]:[C. Imp.]],$D311,Imput[[PERIODO Imp.]:[PERIODO Imp.]],DA$9)</f>
        <v>0</v>
      </c>
      <c r="DB311" s="693">
        <f>SUMIFS(Imput[[Importe Neto]:[Importe Neto]],Imput[[C. Imp.]:[C. Imp.]],$D311,Imput[[PERIODO Imp.]:[PERIODO Imp.]],DB$9)</f>
        <v>0</v>
      </c>
      <c r="DC311" s="693">
        <f>SUMIFS(Imput[[Importe Neto]:[Importe Neto]],Imput[[C. Imp.]:[C. Imp.]],$D311,Imput[[PERIODO Imp.]:[PERIODO Imp.]],DC$9)</f>
        <v>0</v>
      </c>
      <c r="DD311" s="693">
        <f>SUMIFS(Imput[[Importe Neto]:[Importe Neto]],Imput[[C. Imp.]:[C. Imp.]],$D311,Imput[[PERIODO Imp.]:[PERIODO Imp.]],DD$9)</f>
        <v>0</v>
      </c>
      <c r="DE311" s="693">
        <f>SUMIFS(Imput[[Importe Neto]:[Importe Neto]],Imput[[C. Imp.]:[C. Imp.]],$D311,Imput[[PERIODO Imp.]:[PERIODO Imp.]],DE$9)</f>
        <v>0</v>
      </c>
      <c r="DF311" s="693">
        <f>SUMIFS(Imput[[Importe Neto]:[Importe Neto]],Imput[[C. Imp.]:[C. Imp.]],$D311,Imput[[PERIODO Imp.]:[PERIODO Imp.]],DF$9)</f>
        <v>0</v>
      </c>
      <c r="DG311" s="693">
        <f>SUMIFS(Imput[[Importe Neto]:[Importe Neto]],Imput[[C. Imp.]:[C. Imp.]],$D311,Imput[[PERIODO Imp.]:[PERIODO Imp.]],DG$9)</f>
        <v>0</v>
      </c>
      <c r="DH311" s="694">
        <f>SUMIFS(Imput[[Importe Neto]:[Importe Neto]],Imput[[C. Imp.]:[C. Imp.]],$D311,Imput[[PERIODO Imp.]:[PERIODO Imp.]],DH$9)</f>
        <v>0</v>
      </c>
    </row>
    <row r="312" spans="1:112" s="649" customFormat="1" hidden="1" outlineLevel="1" x14ac:dyDescent="0.3">
      <c r="A312" s="652" t="str">
        <f t="shared" si="144"/>
        <v/>
      </c>
      <c r="B312" s="652"/>
      <c r="C312" s="685"/>
      <c r="D312" s="686" t="s">
        <v>2183</v>
      </c>
      <c r="E312" s="686"/>
      <c r="F312" s="720"/>
      <c r="G312" s="688"/>
      <c r="H312" s="689"/>
      <c r="I312" s="851" t="str">
        <f t="shared" si="145"/>
        <v/>
      </c>
      <c r="J312" s="850" t="str">
        <f t="shared" si="146"/>
        <v/>
      </c>
      <c r="K312" s="667"/>
      <c r="L312" s="858"/>
      <c r="M312" s="859"/>
      <c r="N312" s="859"/>
      <c r="O312" s="859"/>
      <c r="P312" s="859"/>
      <c r="Q312" s="859"/>
      <c r="R312" s="859"/>
      <c r="S312" s="859"/>
      <c r="T312" s="859"/>
      <c r="U312" s="859"/>
      <c r="V312" s="859"/>
      <c r="W312" s="859"/>
      <c r="X312" s="859"/>
      <c r="Y312" s="859"/>
      <c r="Z312" s="860"/>
      <c r="AA312" s="860"/>
      <c r="AB312" s="860"/>
      <c r="AC312" s="860"/>
      <c r="AD312" s="860"/>
      <c r="AE312" s="860"/>
      <c r="AF312" s="860"/>
      <c r="AG312" s="860"/>
      <c r="AH312" s="860"/>
      <c r="AI312" s="860"/>
      <c r="AJ312" s="860"/>
      <c r="AK312" s="860"/>
      <c r="AL312" s="860"/>
      <c r="AM312" s="860"/>
      <c r="AN312" s="860"/>
      <c r="AO312" s="860"/>
      <c r="AP312" s="860"/>
      <c r="AQ312" s="860"/>
      <c r="AR312" s="860"/>
      <c r="AS312" s="860"/>
      <c r="AT312" s="860"/>
      <c r="AU312" s="860"/>
      <c r="AV312" s="860"/>
      <c r="AW312" s="860"/>
      <c r="AX312" s="860"/>
      <c r="AY312" s="860"/>
      <c r="AZ312" s="860"/>
      <c r="BA312" s="860"/>
      <c r="BB312" s="860"/>
      <c r="BC312" s="860"/>
      <c r="BD312" s="860"/>
      <c r="BE312" s="860"/>
      <c r="BF312" s="860"/>
      <c r="BG312" s="860"/>
      <c r="BH312" s="668"/>
      <c r="BI312" s="667"/>
      <c r="BJ312" s="690">
        <f t="shared" si="147"/>
        <v>0</v>
      </c>
      <c r="BK312" s="691">
        <f t="shared" si="148"/>
        <v>0</v>
      </c>
      <c r="BL312" s="654"/>
      <c r="BM312" s="692">
        <f>SUMIFS(Imput[[Importe Neto]:[Importe Neto]],Imput[[C. Imp.]:[C. Imp.]],$D312,Imput[[PERIODO Imp.]:[PERIODO Imp.]],BM$9)</f>
        <v>0</v>
      </c>
      <c r="BN312" s="693">
        <f>SUMIFS(Imput[[Importe Neto]:[Importe Neto]],Imput[[C. Imp.]:[C. Imp.]],$D312,Imput[[PERIODO Imp.]:[PERIODO Imp.]],BN$9)</f>
        <v>0</v>
      </c>
      <c r="BO312" s="693">
        <f>SUMIFS(Imput[[Importe Neto]:[Importe Neto]],Imput[[C. Imp.]:[C. Imp.]],$D312,Imput[[PERIODO Imp.]:[PERIODO Imp.]],BO$9)</f>
        <v>0</v>
      </c>
      <c r="BP312" s="693">
        <f>SUMIFS(Imput[[Importe Neto]:[Importe Neto]],Imput[[C. Imp.]:[C. Imp.]],$D312,Imput[[PERIODO Imp.]:[PERIODO Imp.]],BP$9)</f>
        <v>0</v>
      </c>
      <c r="BQ312" s="693">
        <f>SUMIFS(Imput[[Importe Neto]:[Importe Neto]],Imput[[C. Imp.]:[C. Imp.]],$D312,Imput[[PERIODO Imp.]:[PERIODO Imp.]],BQ$9)</f>
        <v>0</v>
      </c>
      <c r="BR312" s="693">
        <f>SUMIFS(Imput[[Importe Neto]:[Importe Neto]],Imput[[C. Imp.]:[C. Imp.]],$D312,Imput[[PERIODO Imp.]:[PERIODO Imp.]],BR$9)</f>
        <v>0</v>
      </c>
      <c r="BS312" s="693">
        <f>SUMIFS(Imput[[Importe Neto]:[Importe Neto]],Imput[[C. Imp.]:[C. Imp.]],$D312,Imput[[PERIODO Imp.]:[PERIODO Imp.]],BS$9)</f>
        <v>0</v>
      </c>
      <c r="BT312" s="693">
        <f>SUMIFS(Imput[[Importe Neto]:[Importe Neto]],Imput[[C. Imp.]:[C. Imp.]],$D312,Imput[[PERIODO Imp.]:[PERIODO Imp.]],BT$9)</f>
        <v>0</v>
      </c>
      <c r="BU312" s="693">
        <f>SUMIFS(Imput[[Importe Neto]:[Importe Neto]],Imput[[C. Imp.]:[C. Imp.]],$D312,Imput[[PERIODO Imp.]:[PERIODO Imp.]],BU$9)</f>
        <v>0</v>
      </c>
      <c r="BV312" s="693">
        <f>SUMIFS(Imput[[Importe Neto]:[Importe Neto]],Imput[[C. Imp.]:[C. Imp.]],$D312,Imput[[PERIODO Imp.]:[PERIODO Imp.]],BV$9)</f>
        <v>0</v>
      </c>
      <c r="BW312" s="693">
        <f>SUMIFS(Imput[[Importe Neto]:[Importe Neto]],Imput[[C. Imp.]:[C. Imp.]],$D312,Imput[[PERIODO Imp.]:[PERIODO Imp.]],BW$9)</f>
        <v>0</v>
      </c>
      <c r="BX312" s="693">
        <f>SUMIFS(Imput[[Importe Neto]:[Importe Neto]],Imput[[C. Imp.]:[C. Imp.]],$D312,Imput[[PERIODO Imp.]:[PERIODO Imp.]],BX$9)</f>
        <v>0</v>
      </c>
      <c r="BY312" s="693">
        <f>SUMIFS(Imput[[Importe Neto]:[Importe Neto]],Imput[[C. Imp.]:[C. Imp.]],$D312,Imput[[PERIODO Imp.]:[PERIODO Imp.]],BY$9)</f>
        <v>0</v>
      </c>
      <c r="BZ312" s="693">
        <f>SUMIFS(Imput[[Importe Neto]:[Importe Neto]],Imput[[C. Imp.]:[C. Imp.]],$D312,Imput[[PERIODO Imp.]:[PERIODO Imp.]],BZ$9)</f>
        <v>0</v>
      </c>
      <c r="CA312" s="693">
        <f>SUMIFS(Imput[[Importe Neto]:[Importe Neto]],Imput[[C. Imp.]:[C. Imp.]],$D312,Imput[[PERIODO Imp.]:[PERIODO Imp.]],CA$9)</f>
        <v>0</v>
      </c>
      <c r="CB312" s="693">
        <f>SUMIFS(Imput[[Importe Neto]:[Importe Neto]],Imput[[C. Imp.]:[C. Imp.]],$D312,Imput[[PERIODO Imp.]:[PERIODO Imp.]],CB$9)</f>
        <v>0</v>
      </c>
      <c r="CC312" s="693">
        <f>SUMIFS(Imput[[Importe Neto]:[Importe Neto]],Imput[[C. Imp.]:[C. Imp.]],$D312,Imput[[PERIODO Imp.]:[PERIODO Imp.]],CC$9)</f>
        <v>0</v>
      </c>
      <c r="CD312" s="693">
        <f>SUMIFS(Imput[[Importe Neto]:[Importe Neto]],Imput[[C. Imp.]:[C. Imp.]],$D312,Imput[[PERIODO Imp.]:[PERIODO Imp.]],CD$9)</f>
        <v>0</v>
      </c>
      <c r="CE312" s="693">
        <f>SUMIFS(Imput[[Importe Neto]:[Importe Neto]],Imput[[C. Imp.]:[C. Imp.]],$D312,Imput[[PERIODO Imp.]:[PERIODO Imp.]],CE$9)</f>
        <v>0</v>
      </c>
      <c r="CF312" s="693">
        <f>SUMIFS(Imput[[Importe Neto]:[Importe Neto]],Imput[[C. Imp.]:[C. Imp.]],$D312,Imput[[PERIODO Imp.]:[PERIODO Imp.]],CF$9)</f>
        <v>0</v>
      </c>
      <c r="CG312" s="693">
        <f>SUMIFS(Imput[[Importe Neto]:[Importe Neto]],Imput[[C. Imp.]:[C. Imp.]],$D312,Imput[[PERIODO Imp.]:[PERIODO Imp.]],CG$9)</f>
        <v>0</v>
      </c>
      <c r="CH312" s="693">
        <f>SUMIFS(Imput[[Importe Neto]:[Importe Neto]],Imput[[C. Imp.]:[C. Imp.]],$D312,Imput[[PERIODO Imp.]:[PERIODO Imp.]],CH$9)</f>
        <v>0</v>
      </c>
      <c r="CI312" s="693">
        <f>SUMIFS(Imput[[Importe Neto]:[Importe Neto]],Imput[[C. Imp.]:[C. Imp.]],$D312,Imput[[PERIODO Imp.]:[PERIODO Imp.]],CI$9)</f>
        <v>0</v>
      </c>
      <c r="CJ312" s="693">
        <f>SUMIFS(Imput[[Importe Neto]:[Importe Neto]],Imput[[C. Imp.]:[C. Imp.]],$D312,Imput[[PERIODO Imp.]:[PERIODO Imp.]],CJ$9)</f>
        <v>0</v>
      </c>
      <c r="CK312" s="693">
        <f>SUMIFS(Imput[[Importe Neto]:[Importe Neto]],Imput[[C. Imp.]:[C. Imp.]],$D312,Imput[[PERIODO Imp.]:[PERIODO Imp.]],CK$9)</f>
        <v>0</v>
      </c>
      <c r="CL312" s="693">
        <f>SUMIFS(Imput[[Importe Neto]:[Importe Neto]],Imput[[C. Imp.]:[C. Imp.]],$D312,Imput[[PERIODO Imp.]:[PERIODO Imp.]],CL$9)</f>
        <v>0</v>
      </c>
      <c r="CM312" s="693">
        <f>SUMIFS(Imput[[Importe Neto]:[Importe Neto]],Imput[[C. Imp.]:[C. Imp.]],$D312,Imput[[PERIODO Imp.]:[PERIODO Imp.]],CM$9)</f>
        <v>0</v>
      </c>
      <c r="CN312" s="693">
        <f>SUMIFS(Imput[[Importe Neto]:[Importe Neto]],Imput[[C. Imp.]:[C. Imp.]],$D312,Imput[[PERIODO Imp.]:[PERIODO Imp.]],CN$9)</f>
        <v>0</v>
      </c>
      <c r="CO312" s="693">
        <f>SUMIFS(Imput[[Importe Neto]:[Importe Neto]],Imput[[C. Imp.]:[C. Imp.]],$D312,Imput[[PERIODO Imp.]:[PERIODO Imp.]],CO$9)</f>
        <v>0</v>
      </c>
      <c r="CP312" s="693">
        <f>SUMIFS(Imput[[Importe Neto]:[Importe Neto]],Imput[[C. Imp.]:[C. Imp.]],$D312,Imput[[PERIODO Imp.]:[PERIODO Imp.]],CP$9)</f>
        <v>0</v>
      </c>
      <c r="CQ312" s="693">
        <f>SUMIFS(Imput[[Importe Neto]:[Importe Neto]],Imput[[C. Imp.]:[C. Imp.]],$D312,Imput[[PERIODO Imp.]:[PERIODO Imp.]],CQ$9)</f>
        <v>0</v>
      </c>
      <c r="CR312" s="693">
        <f>SUMIFS(Imput[[Importe Neto]:[Importe Neto]],Imput[[C. Imp.]:[C. Imp.]],$D312,Imput[[PERIODO Imp.]:[PERIODO Imp.]],CR$9)</f>
        <v>0</v>
      </c>
      <c r="CS312" s="693">
        <f>SUMIFS(Imput[[Importe Neto]:[Importe Neto]],Imput[[C. Imp.]:[C. Imp.]],$D312,Imput[[PERIODO Imp.]:[PERIODO Imp.]],CS$9)</f>
        <v>0</v>
      </c>
      <c r="CT312" s="693">
        <f>SUMIFS(Imput[[Importe Neto]:[Importe Neto]],Imput[[C. Imp.]:[C. Imp.]],$D312,Imput[[PERIODO Imp.]:[PERIODO Imp.]],CT$9)</f>
        <v>0</v>
      </c>
      <c r="CU312" s="693">
        <f>SUMIFS(Imput[[Importe Neto]:[Importe Neto]],Imput[[C. Imp.]:[C. Imp.]],$D312,Imput[[PERIODO Imp.]:[PERIODO Imp.]],CU$9)</f>
        <v>0</v>
      </c>
      <c r="CV312" s="693">
        <f>SUMIFS(Imput[[Importe Neto]:[Importe Neto]],Imput[[C. Imp.]:[C. Imp.]],$D312,Imput[[PERIODO Imp.]:[PERIODO Imp.]],CV$9)</f>
        <v>0</v>
      </c>
      <c r="CW312" s="693">
        <f>SUMIFS(Imput[[Importe Neto]:[Importe Neto]],Imput[[C. Imp.]:[C. Imp.]],$D312,Imput[[PERIODO Imp.]:[PERIODO Imp.]],CW$9)</f>
        <v>0</v>
      </c>
      <c r="CX312" s="693">
        <f>SUMIFS(Imput[[Importe Neto]:[Importe Neto]],Imput[[C. Imp.]:[C. Imp.]],$D312,Imput[[PERIODO Imp.]:[PERIODO Imp.]],CX$9)</f>
        <v>0</v>
      </c>
      <c r="CY312" s="693">
        <f>SUMIFS(Imput[[Importe Neto]:[Importe Neto]],Imput[[C. Imp.]:[C. Imp.]],$D312,Imput[[PERIODO Imp.]:[PERIODO Imp.]],CY$9)</f>
        <v>0</v>
      </c>
      <c r="CZ312" s="693">
        <f>SUMIFS(Imput[[Importe Neto]:[Importe Neto]],Imput[[C. Imp.]:[C. Imp.]],$D312,Imput[[PERIODO Imp.]:[PERIODO Imp.]],CZ$9)</f>
        <v>0</v>
      </c>
      <c r="DA312" s="693">
        <f>SUMIFS(Imput[[Importe Neto]:[Importe Neto]],Imput[[C. Imp.]:[C. Imp.]],$D312,Imput[[PERIODO Imp.]:[PERIODO Imp.]],DA$9)</f>
        <v>0</v>
      </c>
      <c r="DB312" s="693">
        <f>SUMIFS(Imput[[Importe Neto]:[Importe Neto]],Imput[[C. Imp.]:[C. Imp.]],$D312,Imput[[PERIODO Imp.]:[PERIODO Imp.]],DB$9)</f>
        <v>0</v>
      </c>
      <c r="DC312" s="693">
        <f>SUMIFS(Imput[[Importe Neto]:[Importe Neto]],Imput[[C. Imp.]:[C. Imp.]],$D312,Imput[[PERIODO Imp.]:[PERIODO Imp.]],DC$9)</f>
        <v>0</v>
      </c>
      <c r="DD312" s="693">
        <f>SUMIFS(Imput[[Importe Neto]:[Importe Neto]],Imput[[C. Imp.]:[C. Imp.]],$D312,Imput[[PERIODO Imp.]:[PERIODO Imp.]],DD$9)</f>
        <v>0</v>
      </c>
      <c r="DE312" s="693">
        <f>SUMIFS(Imput[[Importe Neto]:[Importe Neto]],Imput[[C. Imp.]:[C. Imp.]],$D312,Imput[[PERIODO Imp.]:[PERIODO Imp.]],DE$9)</f>
        <v>0</v>
      </c>
      <c r="DF312" s="693">
        <f>SUMIFS(Imput[[Importe Neto]:[Importe Neto]],Imput[[C. Imp.]:[C. Imp.]],$D312,Imput[[PERIODO Imp.]:[PERIODO Imp.]],DF$9)</f>
        <v>0</v>
      </c>
      <c r="DG312" s="693">
        <f>SUMIFS(Imput[[Importe Neto]:[Importe Neto]],Imput[[C. Imp.]:[C. Imp.]],$D312,Imput[[PERIODO Imp.]:[PERIODO Imp.]],DG$9)</f>
        <v>0</v>
      </c>
      <c r="DH312" s="694">
        <f>SUMIFS(Imput[[Importe Neto]:[Importe Neto]],Imput[[C. Imp.]:[C. Imp.]],$D312,Imput[[PERIODO Imp.]:[PERIODO Imp.]],DH$9)</f>
        <v>0</v>
      </c>
    </row>
    <row r="313" spans="1:112" s="649" customFormat="1" hidden="1" outlineLevel="1" x14ac:dyDescent="0.3">
      <c r="A313" s="652" t="str">
        <f t="shared" si="144"/>
        <v/>
      </c>
      <c r="B313" s="652"/>
      <c r="C313" s="685"/>
      <c r="D313" s="686" t="s">
        <v>2377</v>
      </c>
      <c r="E313" s="686"/>
      <c r="F313" s="720"/>
      <c r="G313" s="688"/>
      <c r="H313" s="689"/>
      <c r="I313" s="851" t="str">
        <f t="shared" si="145"/>
        <v/>
      </c>
      <c r="J313" s="850" t="str">
        <f t="shared" si="146"/>
        <v/>
      </c>
      <c r="K313" s="667"/>
      <c r="L313" s="858"/>
      <c r="M313" s="859"/>
      <c r="N313" s="859"/>
      <c r="O313" s="859"/>
      <c r="P313" s="859"/>
      <c r="Q313" s="859"/>
      <c r="R313" s="859"/>
      <c r="S313" s="859"/>
      <c r="T313" s="859"/>
      <c r="U313" s="859"/>
      <c r="V313" s="859"/>
      <c r="W313" s="859"/>
      <c r="X313" s="859"/>
      <c r="Y313" s="859"/>
      <c r="Z313" s="860"/>
      <c r="AA313" s="860"/>
      <c r="AB313" s="860"/>
      <c r="AC313" s="860"/>
      <c r="AD313" s="860"/>
      <c r="AE313" s="860"/>
      <c r="AF313" s="860"/>
      <c r="AG313" s="860"/>
      <c r="AH313" s="860"/>
      <c r="AI313" s="860"/>
      <c r="AJ313" s="860"/>
      <c r="AK313" s="860"/>
      <c r="AL313" s="860"/>
      <c r="AM313" s="860"/>
      <c r="AN313" s="860"/>
      <c r="AO313" s="860"/>
      <c r="AP313" s="860"/>
      <c r="AQ313" s="860"/>
      <c r="AR313" s="860"/>
      <c r="AS313" s="860"/>
      <c r="AT313" s="860"/>
      <c r="AU313" s="860"/>
      <c r="AV313" s="860"/>
      <c r="AW313" s="860"/>
      <c r="AX313" s="860"/>
      <c r="AY313" s="860"/>
      <c r="AZ313" s="860"/>
      <c r="BA313" s="860"/>
      <c r="BB313" s="860"/>
      <c r="BC313" s="860"/>
      <c r="BD313" s="860"/>
      <c r="BE313" s="860"/>
      <c r="BF313" s="860"/>
      <c r="BG313" s="860"/>
      <c r="BH313" s="668"/>
      <c r="BI313" s="667"/>
      <c r="BJ313" s="690">
        <f t="shared" si="147"/>
        <v>0</v>
      </c>
      <c r="BK313" s="691">
        <f t="shared" si="148"/>
        <v>0</v>
      </c>
      <c r="BL313" s="654"/>
      <c r="BM313" s="692">
        <f>SUMIFS(Imput[[Importe Neto]:[Importe Neto]],Imput[[C. Imp.]:[C. Imp.]],$D313,Imput[[PERIODO Imp.]:[PERIODO Imp.]],BM$9)</f>
        <v>0</v>
      </c>
      <c r="BN313" s="693">
        <f>SUMIFS(Imput[[Importe Neto]:[Importe Neto]],Imput[[C. Imp.]:[C. Imp.]],$D313,Imput[[PERIODO Imp.]:[PERIODO Imp.]],BN$9)</f>
        <v>0</v>
      </c>
      <c r="BO313" s="693">
        <f>SUMIFS(Imput[[Importe Neto]:[Importe Neto]],Imput[[C. Imp.]:[C. Imp.]],$D313,Imput[[PERIODO Imp.]:[PERIODO Imp.]],BO$9)</f>
        <v>0</v>
      </c>
      <c r="BP313" s="693">
        <f>SUMIFS(Imput[[Importe Neto]:[Importe Neto]],Imput[[C. Imp.]:[C. Imp.]],$D313,Imput[[PERIODO Imp.]:[PERIODO Imp.]],BP$9)</f>
        <v>0</v>
      </c>
      <c r="BQ313" s="693">
        <f>SUMIFS(Imput[[Importe Neto]:[Importe Neto]],Imput[[C. Imp.]:[C. Imp.]],$D313,Imput[[PERIODO Imp.]:[PERIODO Imp.]],BQ$9)</f>
        <v>0</v>
      </c>
      <c r="BR313" s="693">
        <f>SUMIFS(Imput[[Importe Neto]:[Importe Neto]],Imput[[C. Imp.]:[C. Imp.]],$D313,Imput[[PERIODO Imp.]:[PERIODO Imp.]],BR$9)</f>
        <v>0</v>
      </c>
      <c r="BS313" s="693">
        <f>SUMIFS(Imput[[Importe Neto]:[Importe Neto]],Imput[[C. Imp.]:[C. Imp.]],$D313,Imput[[PERIODO Imp.]:[PERIODO Imp.]],BS$9)</f>
        <v>0</v>
      </c>
      <c r="BT313" s="693">
        <f>SUMIFS(Imput[[Importe Neto]:[Importe Neto]],Imput[[C. Imp.]:[C. Imp.]],$D313,Imput[[PERIODO Imp.]:[PERIODO Imp.]],BT$9)</f>
        <v>0</v>
      </c>
      <c r="BU313" s="693">
        <f>SUMIFS(Imput[[Importe Neto]:[Importe Neto]],Imput[[C. Imp.]:[C. Imp.]],$D313,Imput[[PERIODO Imp.]:[PERIODO Imp.]],BU$9)</f>
        <v>0</v>
      </c>
      <c r="BV313" s="693">
        <f>SUMIFS(Imput[[Importe Neto]:[Importe Neto]],Imput[[C. Imp.]:[C. Imp.]],$D313,Imput[[PERIODO Imp.]:[PERIODO Imp.]],BV$9)</f>
        <v>0</v>
      </c>
      <c r="BW313" s="693">
        <f>SUMIFS(Imput[[Importe Neto]:[Importe Neto]],Imput[[C. Imp.]:[C. Imp.]],$D313,Imput[[PERIODO Imp.]:[PERIODO Imp.]],BW$9)</f>
        <v>0</v>
      </c>
      <c r="BX313" s="693">
        <f>SUMIFS(Imput[[Importe Neto]:[Importe Neto]],Imput[[C. Imp.]:[C. Imp.]],$D313,Imput[[PERIODO Imp.]:[PERIODO Imp.]],BX$9)</f>
        <v>0</v>
      </c>
      <c r="BY313" s="693">
        <f>SUMIFS(Imput[[Importe Neto]:[Importe Neto]],Imput[[C. Imp.]:[C. Imp.]],$D313,Imput[[PERIODO Imp.]:[PERIODO Imp.]],BY$9)</f>
        <v>0</v>
      </c>
      <c r="BZ313" s="693">
        <f>SUMIFS(Imput[[Importe Neto]:[Importe Neto]],Imput[[C. Imp.]:[C. Imp.]],$D313,Imput[[PERIODO Imp.]:[PERIODO Imp.]],BZ$9)</f>
        <v>0</v>
      </c>
      <c r="CA313" s="693">
        <f>SUMIFS(Imput[[Importe Neto]:[Importe Neto]],Imput[[C. Imp.]:[C. Imp.]],$D313,Imput[[PERIODO Imp.]:[PERIODO Imp.]],CA$9)</f>
        <v>0</v>
      </c>
      <c r="CB313" s="693">
        <f>SUMIFS(Imput[[Importe Neto]:[Importe Neto]],Imput[[C. Imp.]:[C. Imp.]],$D313,Imput[[PERIODO Imp.]:[PERIODO Imp.]],CB$9)</f>
        <v>0</v>
      </c>
      <c r="CC313" s="693">
        <f>SUMIFS(Imput[[Importe Neto]:[Importe Neto]],Imput[[C. Imp.]:[C. Imp.]],$D313,Imput[[PERIODO Imp.]:[PERIODO Imp.]],CC$9)</f>
        <v>0</v>
      </c>
      <c r="CD313" s="693">
        <f>SUMIFS(Imput[[Importe Neto]:[Importe Neto]],Imput[[C. Imp.]:[C. Imp.]],$D313,Imput[[PERIODO Imp.]:[PERIODO Imp.]],CD$9)</f>
        <v>0</v>
      </c>
      <c r="CE313" s="693">
        <f>SUMIFS(Imput[[Importe Neto]:[Importe Neto]],Imput[[C. Imp.]:[C. Imp.]],$D313,Imput[[PERIODO Imp.]:[PERIODO Imp.]],CE$9)</f>
        <v>0</v>
      </c>
      <c r="CF313" s="693">
        <f>SUMIFS(Imput[[Importe Neto]:[Importe Neto]],Imput[[C. Imp.]:[C. Imp.]],$D313,Imput[[PERIODO Imp.]:[PERIODO Imp.]],CF$9)</f>
        <v>0</v>
      </c>
      <c r="CG313" s="693">
        <f>SUMIFS(Imput[[Importe Neto]:[Importe Neto]],Imput[[C. Imp.]:[C. Imp.]],$D313,Imput[[PERIODO Imp.]:[PERIODO Imp.]],CG$9)</f>
        <v>0</v>
      </c>
      <c r="CH313" s="693">
        <f>SUMIFS(Imput[[Importe Neto]:[Importe Neto]],Imput[[C. Imp.]:[C. Imp.]],$D313,Imput[[PERIODO Imp.]:[PERIODO Imp.]],CH$9)</f>
        <v>0</v>
      </c>
      <c r="CI313" s="693">
        <f>SUMIFS(Imput[[Importe Neto]:[Importe Neto]],Imput[[C. Imp.]:[C. Imp.]],$D313,Imput[[PERIODO Imp.]:[PERIODO Imp.]],CI$9)</f>
        <v>0</v>
      </c>
      <c r="CJ313" s="693">
        <f>SUMIFS(Imput[[Importe Neto]:[Importe Neto]],Imput[[C. Imp.]:[C. Imp.]],$D313,Imput[[PERIODO Imp.]:[PERIODO Imp.]],CJ$9)</f>
        <v>0</v>
      </c>
      <c r="CK313" s="693">
        <f>SUMIFS(Imput[[Importe Neto]:[Importe Neto]],Imput[[C. Imp.]:[C. Imp.]],$D313,Imput[[PERIODO Imp.]:[PERIODO Imp.]],CK$9)</f>
        <v>0</v>
      </c>
      <c r="CL313" s="693">
        <f>SUMIFS(Imput[[Importe Neto]:[Importe Neto]],Imput[[C. Imp.]:[C. Imp.]],$D313,Imput[[PERIODO Imp.]:[PERIODO Imp.]],CL$9)</f>
        <v>0</v>
      </c>
      <c r="CM313" s="693">
        <f>SUMIFS(Imput[[Importe Neto]:[Importe Neto]],Imput[[C. Imp.]:[C. Imp.]],$D313,Imput[[PERIODO Imp.]:[PERIODO Imp.]],CM$9)</f>
        <v>0</v>
      </c>
      <c r="CN313" s="693">
        <f>SUMIFS(Imput[[Importe Neto]:[Importe Neto]],Imput[[C. Imp.]:[C. Imp.]],$D313,Imput[[PERIODO Imp.]:[PERIODO Imp.]],CN$9)</f>
        <v>0</v>
      </c>
      <c r="CO313" s="693">
        <f>SUMIFS(Imput[[Importe Neto]:[Importe Neto]],Imput[[C. Imp.]:[C. Imp.]],$D313,Imput[[PERIODO Imp.]:[PERIODO Imp.]],CO$9)</f>
        <v>0</v>
      </c>
      <c r="CP313" s="693">
        <f>SUMIFS(Imput[[Importe Neto]:[Importe Neto]],Imput[[C. Imp.]:[C. Imp.]],$D313,Imput[[PERIODO Imp.]:[PERIODO Imp.]],CP$9)</f>
        <v>0</v>
      </c>
      <c r="CQ313" s="693">
        <f>SUMIFS(Imput[[Importe Neto]:[Importe Neto]],Imput[[C. Imp.]:[C. Imp.]],$D313,Imput[[PERIODO Imp.]:[PERIODO Imp.]],CQ$9)</f>
        <v>0</v>
      </c>
      <c r="CR313" s="693">
        <f>SUMIFS(Imput[[Importe Neto]:[Importe Neto]],Imput[[C. Imp.]:[C. Imp.]],$D313,Imput[[PERIODO Imp.]:[PERIODO Imp.]],CR$9)</f>
        <v>0</v>
      </c>
      <c r="CS313" s="693">
        <f>SUMIFS(Imput[[Importe Neto]:[Importe Neto]],Imput[[C. Imp.]:[C. Imp.]],$D313,Imput[[PERIODO Imp.]:[PERIODO Imp.]],CS$9)</f>
        <v>0</v>
      </c>
      <c r="CT313" s="693">
        <f>SUMIFS(Imput[[Importe Neto]:[Importe Neto]],Imput[[C. Imp.]:[C. Imp.]],$D313,Imput[[PERIODO Imp.]:[PERIODO Imp.]],CT$9)</f>
        <v>0</v>
      </c>
      <c r="CU313" s="693">
        <f>SUMIFS(Imput[[Importe Neto]:[Importe Neto]],Imput[[C. Imp.]:[C. Imp.]],$D313,Imput[[PERIODO Imp.]:[PERIODO Imp.]],CU$9)</f>
        <v>0</v>
      </c>
      <c r="CV313" s="693">
        <f>SUMIFS(Imput[[Importe Neto]:[Importe Neto]],Imput[[C. Imp.]:[C. Imp.]],$D313,Imput[[PERIODO Imp.]:[PERIODO Imp.]],CV$9)</f>
        <v>0</v>
      </c>
      <c r="CW313" s="693">
        <f>SUMIFS(Imput[[Importe Neto]:[Importe Neto]],Imput[[C. Imp.]:[C. Imp.]],$D313,Imput[[PERIODO Imp.]:[PERIODO Imp.]],CW$9)</f>
        <v>0</v>
      </c>
      <c r="CX313" s="693">
        <f>SUMIFS(Imput[[Importe Neto]:[Importe Neto]],Imput[[C. Imp.]:[C. Imp.]],$D313,Imput[[PERIODO Imp.]:[PERIODO Imp.]],CX$9)</f>
        <v>0</v>
      </c>
      <c r="CY313" s="693">
        <f>SUMIFS(Imput[[Importe Neto]:[Importe Neto]],Imput[[C. Imp.]:[C. Imp.]],$D313,Imput[[PERIODO Imp.]:[PERIODO Imp.]],CY$9)</f>
        <v>0</v>
      </c>
      <c r="CZ313" s="693">
        <f>SUMIFS(Imput[[Importe Neto]:[Importe Neto]],Imput[[C. Imp.]:[C. Imp.]],$D313,Imput[[PERIODO Imp.]:[PERIODO Imp.]],CZ$9)</f>
        <v>0</v>
      </c>
      <c r="DA313" s="693">
        <f>SUMIFS(Imput[[Importe Neto]:[Importe Neto]],Imput[[C. Imp.]:[C. Imp.]],$D313,Imput[[PERIODO Imp.]:[PERIODO Imp.]],DA$9)</f>
        <v>0</v>
      </c>
      <c r="DB313" s="693">
        <f>SUMIFS(Imput[[Importe Neto]:[Importe Neto]],Imput[[C. Imp.]:[C. Imp.]],$D313,Imput[[PERIODO Imp.]:[PERIODO Imp.]],DB$9)</f>
        <v>0</v>
      </c>
      <c r="DC313" s="693">
        <f>SUMIFS(Imput[[Importe Neto]:[Importe Neto]],Imput[[C. Imp.]:[C. Imp.]],$D313,Imput[[PERIODO Imp.]:[PERIODO Imp.]],DC$9)</f>
        <v>0</v>
      </c>
      <c r="DD313" s="693">
        <f>SUMIFS(Imput[[Importe Neto]:[Importe Neto]],Imput[[C. Imp.]:[C. Imp.]],$D313,Imput[[PERIODO Imp.]:[PERIODO Imp.]],DD$9)</f>
        <v>0</v>
      </c>
      <c r="DE313" s="693">
        <f>SUMIFS(Imput[[Importe Neto]:[Importe Neto]],Imput[[C. Imp.]:[C. Imp.]],$D313,Imput[[PERIODO Imp.]:[PERIODO Imp.]],DE$9)</f>
        <v>0</v>
      </c>
      <c r="DF313" s="693">
        <f>SUMIFS(Imput[[Importe Neto]:[Importe Neto]],Imput[[C. Imp.]:[C. Imp.]],$D313,Imput[[PERIODO Imp.]:[PERIODO Imp.]],DF$9)</f>
        <v>0</v>
      </c>
      <c r="DG313" s="693">
        <f>SUMIFS(Imput[[Importe Neto]:[Importe Neto]],Imput[[C. Imp.]:[C. Imp.]],$D313,Imput[[PERIODO Imp.]:[PERIODO Imp.]],DG$9)</f>
        <v>0</v>
      </c>
      <c r="DH313" s="694">
        <f>SUMIFS(Imput[[Importe Neto]:[Importe Neto]],Imput[[C. Imp.]:[C. Imp.]],$D313,Imput[[PERIODO Imp.]:[PERIODO Imp.]],DH$9)</f>
        <v>0</v>
      </c>
    </row>
    <row r="314" spans="1:112" s="649" customFormat="1" hidden="1" outlineLevel="1" x14ac:dyDescent="0.3">
      <c r="A314" s="652" t="str">
        <f t="shared" si="144"/>
        <v/>
      </c>
      <c r="B314" s="652"/>
      <c r="C314" s="685"/>
      <c r="D314" s="686" t="s">
        <v>2378</v>
      </c>
      <c r="E314" s="686"/>
      <c r="F314" s="720"/>
      <c r="G314" s="688"/>
      <c r="H314" s="689"/>
      <c r="I314" s="851" t="str">
        <f t="shared" si="145"/>
        <v/>
      </c>
      <c r="J314" s="850" t="str">
        <f t="shared" si="146"/>
        <v/>
      </c>
      <c r="K314" s="667"/>
      <c r="L314" s="858"/>
      <c r="M314" s="859"/>
      <c r="N314" s="859"/>
      <c r="O314" s="859"/>
      <c r="P314" s="859"/>
      <c r="Q314" s="859"/>
      <c r="R314" s="859"/>
      <c r="S314" s="859"/>
      <c r="T314" s="859"/>
      <c r="U314" s="859"/>
      <c r="V314" s="859"/>
      <c r="W314" s="859"/>
      <c r="X314" s="859"/>
      <c r="Y314" s="859"/>
      <c r="Z314" s="860"/>
      <c r="AA314" s="860"/>
      <c r="AB314" s="860"/>
      <c r="AC314" s="860"/>
      <c r="AD314" s="860"/>
      <c r="AE314" s="860"/>
      <c r="AF314" s="860"/>
      <c r="AG314" s="860"/>
      <c r="AH314" s="860"/>
      <c r="AI314" s="860"/>
      <c r="AJ314" s="860"/>
      <c r="AK314" s="860"/>
      <c r="AL314" s="860"/>
      <c r="AM314" s="860"/>
      <c r="AN314" s="860"/>
      <c r="AO314" s="860"/>
      <c r="AP314" s="860"/>
      <c r="AQ314" s="860"/>
      <c r="AR314" s="860"/>
      <c r="AS314" s="860"/>
      <c r="AT314" s="860"/>
      <c r="AU314" s="860"/>
      <c r="AV314" s="860"/>
      <c r="AW314" s="860"/>
      <c r="AX314" s="860"/>
      <c r="AY314" s="860"/>
      <c r="AZ314" s="860"/>
      <c r="BA314" s="860"/>
      <c r="BB314" s="860"/>
      <c r="BC314" s="860"/>
      <c r="BD314" s="860"/>
      <c r="BE314" s="860"/>
      <c r="BF314" s="860"/>
      <c r="BG314" s="860"/>
      <c r="BH314" s="668"/>
      <c r="BI314" s="667"/>
      <c r="BJ314" s="690">
        <f t="shared" si="147"/>
        <v>0</v>
      </c>
      <c r="BK314" s="691">
        <f t="shared" si="148"/>
        <v>0</v>
      </c>
      <c r="BL314" s="654"/>
      <c r="BM314" s="692">
        <f>SUMIFS(Imput[[Importe Neto]:[Importe Neto]],Imput[[C. Imp.]:[C. Imp.]],$D314,Imput[[PERIODO Imp.]:[PERIODO Imp.]],BM$9)</f>
        <v>0</v>
      </c>
      <c r="BN314" s="693">
        <f>SUMIFS(Imput[[Importe Neto]:[Importe Neto]],Imput[[C. Imp.]:[C. Imp.]],$D314,Imput[[PERIODO Imp.]:[PERIODO Imp.]],BN$9)</f>
        <v>0</v>
      </c>
      <c r="BO314" s="693">
        <f>SUMIFS(Imput[[Importe Neto]:[Importe Neto]],Imput[[C. Imp.]:[C. Imp.]],$D314,Imput[[PERIODO Imp.]:[PERIODO Imp.]],BO$9)</f>
        <v>0</v>
      </c>
      <c r="BP314" s="693">
        <f>SUMIFS(Imput[[Importe Neto]:[Importe Neto]],Imput[[C. Imp.]:[C. Imp.]],$D314,Imput[[PERIODO Imp.]:[PERIODO Imp.]],BP$9)</f>
        <v>0</v>
      </c>
      <c r="BQ314" s="693">
        <f>SUMIFS(Imput[[Importe Neto]:[Importe Neto]],Imput[[C. Imp.]:[C. Imp.]],$D314,Imput[[PERIODO Imp.]:[PERIODO Imp.]],BQ$9)</f>
        <v>0</v>
      </c>
      <c r="BR314" s="693">
        <f>SUMIFS(Imput[[Importe Neto]:[Importe Neto]],Imput[[C. Imp.]:[C. Imp.]],$D314,Imput[[PERIODO Imp.]:[PERIODO Imp.]],BR$9)</f>
        <v>0</v>
      </c>
      <c r="BS314" s="693">
        <f>SUMIFS(Imput[[Importe Neto]:[Importe Neto]],Imput[[C. Imp.]:[C. Imp.]],$D314,Imput[[PERIODO Imp.]:[PERIODO Imp.]],BS$9)</f>
        <v>0</v>
      </c>
      <c r="BT314" s="693">
        <f>SUMIFS(Imput[[Importe Neto]:[Importe Neto]],Imput[[C. Imp.]:[C. Imp.]],$D314,Imput[[PERIODO Imp.]:[PERIODO Imp.]],BT$9)</f>
        <v>0</v>
      </c>
      <c r="BU314" s="693">
        <f>SUMIFS(Imput[[Importe Neto]:[Importe Neto]],Imput[[C. Imp.]:[C. Imp.]],$D314,Imput[[PERIODO Imp.]:[PERIODO Imp.]],BU$9)</f>
        <v>0</v>
      </c>
      <c r="BV314" s="693">
        <f>SUMIFS(Imput[[Importe Neto]:[Importe Neto]],Imput[[C. Imp.]:[C. Imp.]],$D314,Imput[[PERIODO Imp.]:[PERIODO Imp.]],BV$9)</f>
        <v>0</v>
      </c>
      <c r="BW314" s="693">
        <f>SUMIFS(Imput[[Importe Neto]:[Importe Neto]],Imput[[C. Imp.]:[C. Imp.]],$D314,Imput[[PERIODO Imp.]:[PERIODO Imp.]],BW$9)</f>
        <v>0</v>
      </c>
      <c r="BX314" s="693">
        <f>SUMIFS(Imput[[Importe Neto]:[Importe Neto]],Imput[[C. Imp.]:[C. Imp.]],$D314,Imput[[PERIODO Imp.]:[PERIODO Imp.]],BX$9)</f>
        <v>0</v>
      </c>
      <c r="BY314" s="693">
        <f>SUMIFS(Imput[[Importe Neto]:[Importe Neto]],Imput[[C. Imp.]:[C. Imp.]],$D314,Imput[[PERIODO Imp.]:[PERIODO Imp.]],BY$9)</f>
        <v>0</v>
      </c>
      <c r="BZ314" s="693">
        <f>SUMIFS(Imput[[Importe Neto]:[Importe Neto]],Imput[[C. Imp.]:[C. Imp.]],$D314,Imput[[PERIODO Imp.]:[PERIODO Imp.]],BZ$9)</f>
        <v>0</v>
      </c>
      <c r="CA314" s="693">
        <f>SUMIFS(Imput[[Importe Neto]:[Importe Neto]],Imput[[C. Imp.]:[C. Imp.]],$D314,Imput[[PERIODO Imp.]:[PERIODO Imp.]],CA$9)</f>
        <v>0</v>
      </c>
      <c r="CB314" s="693">
        <f>SUMIFS(Imput[[Importe Neto]:[Importe Neto]],Imput[[C. Imp.]:[C. Imp.]],$D314,Imput[[PERIODO Imp.]:[PERIODO Imp.]],CB$9)</f>
        <v>0</v>
      </c>
      <c r="CC314" s="693">
        <f>SUMIFS(Imput[[Importe Neto]:[Importe Neto]],Imput[[C. Imp.]:[C. Imp.]],$D314,Imput[[PERIODO Imp.]:[PERIODO Imp.]],CC$9)</f>
        <v>0</v>
      </c>
      <c r="CD314" s="693">
        <f>SUMIFS(Imput[[Importe Neto]:[Importe Neto]],Imput[[C. Imp.]:[C. Imp.]],$D314,Imput[[PERIODO Imp.]:[PERIODO Imp.]],CD$9)</f>
        <v>0</v>
      </c>
      <c r="CE314" s="693">
        <f>SUMIFS(Imput[[Importe Neto]:[Importe Neto]],Imput[[C. Imp.]:[C. Imp.]],$D314,Imput[[PERIODO Imp.]:[PERIODO Imp.]],CE$9)</f>
        <v>0</v>
      </c>
      <c r="CF314" s="693">
        <f>SUMIFS(Imput[[Importe Neto]:[Importe Neto]],Imput[[C. Imp.]:[C. Imp.]],$D314,Imput[[PERIODO Imp.]:[PERIODO Imp.]],CF$9)</f>
        <v>0</v>
      </c>
      <c r="CG314" s="693">
        <f>SUMIFS(Imput[[Importe Neto]:[Importe Neto]],Imput[[C. Imp.]:[C. Imp.]],$D314,Imput[[PERIODO Imp.]:[PERIODO Imp.]],CG$9)</f>
        <v>0</v>
      </c>
      <c r="CH314" s="693">
        <f>SUMIFS(Imput[[Importe Neto]:[Importe Neto]],Imput[[C. Imp.]:[C. Imp.]],$D314,Imput[[PERIODO Imp.]:[PERIODO Imp.]],CH$9)</f>
        <v>0</v>
      </c>
      <c r="CI314" s="693">
        <f>SUMIFS(Imput[[Importe Neto]:[Importe Neto]],Imput[[C. Imp.]:[C. Imp.]],$D314,Imput[[PERIODO Imp.]:[PERIODO Imp.]],CI$9)</f>
        <v>0</v>
      </c>
      <c r="CJ314" s="693">
        <f>SUMIFS(Imput[[Importe Neto]:[Importe Neto]],Imput[[C. Imp.]:[C. Imp.]],$D314,Imput[[PERIODO Imp.]:[PERIODO Imp.]],CJ$9)</f>
        <v>0</v>
      </c>
      <c r="CK314" s="693">
        <f>SUMIFS(Imput[[Importe Neto]:[Importe Neto]],Imput[[C. Imp.]:[C. Imp.]],$D314,Imput[[PERIODO Imp.]:[PERIODO Imp.]],CK$9)</f>
        <v>0</v>
      </c>
      <c r="CL314" s="693">
        <f>SUMIFS(Imput[[Importe Neto]:[Importe Neto]],Imput[[C. Imp.]:[C. Imp.]],$D314,Imput[[PERIODO Imp.]:[PERIODO Imp.]],CL$9)</f>
        <v>0</v>
      </c>
      <c r="CM314" s="693">
        <f>SUMIFS(Imput[[Importe Neto]:[Importe Neto]],Imput[[C. Imp.]:[C. Imp.]],$D314,Imput[[PERIODO Imp.]:[PERIODO Imp.]],CM$9)</f>
        <v>0</v>
      </c>
      <c r="CN314" s="693">
        <f>SUMIFS(Imput[[Importe Neto]:[Importe Neto]],Imput[[C. Imp.]:[C. Imp.]],$D314,Imput[[PERIODO Imp.]:[PERIODO Imp.]],CN$9)</f>
        <v>0</v>
      </c>
      <c r="CO314" s="693">
        <f>SUMIFS(Imput[[Importe Neto]:[Importe Neto]],Imput[[C. Imp.]:[C. Imp.]],$D314,Imput[[PERIODO Imp.]:[PERIODO Imp.]],CO$9)</f>
        <v>0</v>
      </c>
      <c r="CP314" s="693">
        <f>SUMIFS(Imput[[Importe Neto]:[Importe Neto]],Imput[[C. Imp.]:[C. Imp.]],$D314,Imput[[PERIODO Imp.]:[PERIODO Imp.]],CP$9)</f>
        <v>0</v>
      </c>
      <c r="CQ314" s="693">
        <f>SUMIFS(Imput[[Importe Neto]:[Importe Neto]],Imput[[C. Imp.]:[C. Imp.]],$D314,Imput[[PERIODO Imp.]:[PERIODO Imp.]],CQ$9)</f>
        <v>0</v>
      </c>
      <c r="CR314" s="693">
        <f>SUMIFS(Imput[[Importe Neto]:[Importe Neto]],Imput[[C. Imp.]:[C. Imp.]],$D314,Imput[[PERIODO Imp.]:[PERIODO Imp.]],CR$9)</f>
        <v>0</v>
      </c>
      <c r="CS314" s="693">
        <f>SUMIFS(Imput[[Importe Neto]:[Importe Neto]],Imput[[C. Imp.]:[C. Imp.]],$D314,Imput[[PERIODO Imp.]:[PERIODO Imp.]],CS$9)</f>
        <v>0</v>
      </c>
      <c r="CT314" s="693">
        <f>SUMIFS(Imput[[Importe Neto]:[Importe Neto]],Imput[[C. Imp.]:[C. Imp.]],$D314,Imput[[PERIODO Imp.]:[PERIODO Imp.]],CT$9)</f>
        <v>0</v>
      </c>
      <c r="CU314" s="693">
        <f>SUMIFS(Imput[[Importe Neto]:[Importe Neto]],Imput[[C. Imp.]:[C. Imp.]],$D314,Imput[[PERIODO Imp.]:[PERIODO Imp.]],CU$9)</f>
        <v>0</v>
      </c>
      <c r="CV314" s="693">
        <f>SUMIFS(Imput[[Importe Neto]:[Importe Neto]],Imput[[C. Imp.]:[C. Imp.]],$D314,Imput[[PERIODO Imp.]:[PERIODO Imp.]],CV$9)</f>
        <v>0</v>
      </c>
      <c r="CW314" s="693">
        <f>SUMIFS(Imput[[Importe Neto]:[Importe Neto]],Imput[[C. Imp.]:[C. Imp.]],$D314,Imput[[PERIODO Imp.]:[PERIODO Imp.]],CW$9)</f>
        <v>0</v>
      </c>
      <c r="CX314" s="693">
        <f>SUMIFS(Imput[[Importe Neto]:[Importe Neto]],Imput[[C. Imp.]:[C. Imp.]],$D314,Imput[[PERIODO Imp.]:[PERIODO Imp.]],CX$9)</f>
        <v>0</v>
      </c>
      <c r="CY314" s="693">
        <f>SUMIFS(Imput[[Importe Neto]:[Importe Neto]],Imput[[C. Imp.]:[C. Imp.]],$D314,Imput[[PERIODO Imp.]:[PERIODO Imp.]],CY$9)</f>
        <v>0</v>
      </c>
      <c r="CZ314" s="693">
        <f>SUMIFS(Imput[[Importe Neto]:[Importe Neto]],Imput[[C. Imp.]:[C. Imp.]],$D314,Imput[[PERIODO Imp.]:[PERIODO Imp.]],CZ$9)</f>
        <v>0</v>
      </c>
      <c r="DA314" s="693">
        <f>SUMIFS(Imput[[Importe Neto]:[Importe Neto]],Imput[[C. Imp.]:[C. Imp.]],$D314,Imput[[PERIODO Imp.]:[PERIODO Imp.]],DA$9)</f>
        <v>0</v>
      </c>
      <c r="DB314" s="693">
        <f>SUMIFS(Imput[[Importe Neto]:[Importe Neto]],Imput[[C. Imp.]:[C. Imp.]],$D314,Imput[[PERIODO Imp.]:[PERIODO Imp.]],DB$9)</f>
        <v>0</v>
      </c>
      <c r="DC314" s="693">
        <f>SUMIFS(Imput[[Importe Neto]:[Importe Neto]],Imput[[C. Imp.]:[C. Imp.]],$D314,Imput[[PERIODO Imp.]:[PERIODO Imp.]],DC$9)</f>
        <v>0</v>
      </c>
      <c r="DD314" s="693">
        <f>SUMIFS(Imput[[Importe Neto]:[Importe Neto]],Imput[[C. Imp.]:[C. Imp.]],$D314,Imput[[PERIODO Imp.]:[PERIODO Imp.]],DD$9)</f>
        <v>0</v>
      </c>
      <c r="DE314" s="693">
        <f>SUMIFS(Imput[[Importe Neto]:[Importe Neto]],Imput[[C. Imp.]:[C. Imp.]],$D314,Imput[[PERIODO Imp.]:[PERIODO Imp.]],DE$9)</f>
        <v>0</v>
      </c>
      <c r="DF314" s="693">
        <f>SUMIFS(Imput[[Importe Neto]:[Importe Neto]],Imput[[C. Imp.]:[C. Imp.]],$D314,Imput[[PERIODO Imp.]:[PERIODO Imp.]],DF$9)</f>
        <v>0</v>
      </c>
      <c r="DG314" s="693">
        <f>SUMIFS(Imput[[Importe Neto]:[Importe Neto]],Imput[[C. Imp.]:[C. Imp.]],$D314,Imput[[PERIODO Imp.]:[PERIODO Imp.]],DG$9)</f>
        <v>0</v>
      </c>
      <c r="DH314" s="694">
        <f>SUMIFS(Imput[[Importe Neto]:[Importe Neto]],Imput[[C. Imp.]:[C. Imp.]],$D314,Imput[[PERIODO Imp.]:[PERIODO Imp.]],DH$9)</f>
        <v>0</v>
      </c>
    </row>
    <row r="315" spans="1:112" s="649" customFormat="1" hidden="1" outlineLevel="1" x14ac:dyDescent="0.3">
      <c r="A315" s="652" t="str">
        <f t="shared" si="144"/>
        <v/>
      </c>
      <c r="B315" s="652"/>
      <c r="C315" s="685"/>
      <c r="D315" s="686" t="s">
        <v>2379</v>
      </c>
      <c r="E315" s="686"/>
      <c r="F315" s="720"/>
      <c r="G315" s="688"/>
      <c r="H315" s="689"/>
      <c r="I315" s="851" t="str">
        <f t="shared" si="145"/>
        <v/>
      </c>
      <c r="J315" s="850" t="str">
        <f t="shared" si="146"/>
        <v/>
      </c>
      <c r="K315" s="667"/>
      <c r="L315" s="858"/>
      <c r="M315" s="859"/>
      <c r="N315" s="859"/>
      <c r="O315" s="859"/>
      <c r="P315" s="859"/>
      <c r="Q315" s="859"/>
      <c r="R315" s="859"/>
      <c r="S315" s="859"/>
      <c r="T315" s="859"/>
      <c r="U315" s="859"/>
      <c r="V315" s="859"/>
      <c r="W315" s="859"/>
      <c r="X315" s="859"/>
      <c r="Y315" s="859"/>
      <c r="Z315" s="860"/>
      <c r="AA315" s="860"/>
      <c r="AB315" s="860"/>
      <c r="AC315" s="860"/>
      <c r="AD315" s="860"/>
      <c r="AE315" s="860"/>
      <c r="AF315" s="860"/>
      <c r="AG315" s="860"/>
      <c r="AH315" s="860"/>
      <c r="AI315" s="860"/>
      <c r="AJ315" s="860"/>
      <c r="AK315" s="860"/>
      <c r="AL315" s="860"/>
      <c r="AM315" s="860"/>
      <c r="AN315" s="860"/>
      <c r="AO315" s="860"/>
      <c r="AP315" s="860"/>
      <c r="AQ315" s="860"/>
      <c r="AR315" s="860"/>
      <c r="AS315" s="860"/>
      <c r="AT315" s="860"/>
      <c r="AU315" s="860"/>
      <c r="AV315" s="860"/>
      <c r="AW315" s="860"/>
      <c r="AX315" s="860"/>
      <c r="AY315" s="860"/>
      <c r="AZ315" s="860"/>
      <c r="BA315" s="860"/>
      <c r="BB315" s="860"/>
      <c r="BC315" s="860"/>
      <c r="BD315" s="860"/>
      <c r="BE315" s="860"/>
      <c r="BF315" s="860"/>
      <c r="BG315" s="860"/>
      <c r="BH315" s="668"/>
      <c r="BI315" s="667"/>
      <c r="BJ315" s="690">
        <f t="shared" si="147"/>
        <v>0</v>
      </c>
      <c r="BK315" s="691">
        <f t="shared" si="148"/>
        <v>0</v>
      </c>
      <c r="BL315" s="654"/>
      <c r="BM315" s="692">
        <f>SUMIFS(Imput[[Importe Neto]:[Importe Neto]],Imput[[C. Imp.]:[C. Imp.]],$D315,Imput[[PERIODO Imp.]:[PERIODO Imp.]],BM$9)</f>
        <v>0</v>
      </c>
      <c r="BN315" s="693">
        <f>SUMIFS(Imput[[Importe Neto]:[Importe Neto]],Imput[[C. Imp.]:[C. Imp.]],$D315,Imput[[PERIODO Imp.]:[PERIODO Imp.]],BN$9)</f>
        <v>0</v>
      </c>
      <c r="BO315" s="693">
        <f>SUMIFS(Imput[[Importe Neto]:[Importe Neto]],Imput[[C. Imp.]:[C. Imp.]],$D315,Imput[[PERIODO Imp.]:[PERIODO Imp.]],BO$9)</f>
        <v>0</v>
      </c>
      <c r="BP315" s="693">
        <f>SUMIFS(Imput[[Importe Neto]:[Importe Neto]],Imput[[C. Imp.]:[C. Imp.]],$D315,Imput[[PERIODO Imp.]:[PERIODO Imp.]],BP$9)</f>
        <v>0</v>
      </c>
      <c r="BQ315" s="693">
        <f>SUMIFS(Imput[[Importe Neto]:[Importe Neto]],Imput[[C. Imp.]:[C. Imp.]],$D315,Imput[[PERIODO Imp.]:[PERIODO Imp.]],BQ$9)</f>
        <v>0</v>
      </c>
      <c r="BR315" s="693">
        <f>SUMIFS(Imput[[Importe Neto]:[Importe Neto]],Imput[[C. Imp.]:[C. Imp.]],$D315,Imput[[PERIODO Imp.]:[PERIODO Imp.]],BR$9)</f>
        <v>0</v>
      </c>
      <c r="BS315" s="693">
        <f>SUMIFS(Imput[[Importe Neto]:[Importe Neto]],Imput[[C. Imp.]:[C. Imp.]],$D315,Imput[[PERIODO Imp.]:[PERIODO Imp.]],BS$9)</f>
        <v>0</v>
      </c>
      <c r="BT315" s="693">
        <f>SUMIFS(Imput[[Importe Neto]:[Importe Neto]],Imput[[C. Imp.]:[C. Imp.]],$D315,Imput[[PERIODO Imp.]:[PERIODO Imp.]],BT$9)</f>
        <v>0</v>
      </c>
      <c r="BU315" s="693">
        <f>SUMIFS(Imput[[Importe Neto]:[Importe Neto]],Imput[[C. Imp.]:[C. Imp.]],$D315,Imput[[PERIODO Imp.]:[PERIODO Imp.]],BU$9)</f>
        <v>0</v>
      </c>
      <c r="BV315" s="693">
        <f>SUMIFS(Imput[[Importe Neto]:[Importe Neto]],Imput[[C. Imp.]:[C. Imp.]],$D315,Imput[[PERIODO Imp.]:[PERIODO Imp.]],BV$9)</f>
        <v>0</v>
      </c>
      <c r="BW315" s="693">
        <f>SUMIFS(Imput[[Importe Neto]:[Importe Neto]],Imput[[C. Imp.]:[C. Imp.]],$D315,Imput[[PERIODO Imp.]:[PERIODO Imp.]],BW$9)</f>
        <v>0</v>
      </c>
      <c r="BX315" s="693">
        <f>SUMIFS(Imput[[Importe Neto]:[Importe Neto]],Imput[[C. Imp.]:[C. Imp.]],$D315,Imput[[PERIODO Imp.]:[PERIODO Imp.]],BX$9)</f>
        <v>0</v>
      </c>
      <c r="BY315" s="693">
        <f>SUMIFS(Imput[[Importe Neto]:[Importe Neto]],Imput[[C. Imp.]:[C. Imp.]],$D315,Imput[[PERIODO Imp.]:[PERIODO Imp.]],BY$9)</f>
        <v>0</v>
      </c>
      <c r="BZ315" s="693">
        <f>SUMIFS(Imput[[Importe Neto]:[Importe Neto]],Imput[[C. Imp.]:[C. Imp.]],$D315,Imput[[PERIODO Imp.]:[PERIODO Imp.]],BZ$9)</f>
        <v>0</v>
      </c>
      <c r="CA315" s="693">
        <f>SUMIFS(Imput[[Importe Neto]:[Importe Neto]],Imput[[C. Imp.]:[C. Imp.]],$D315,Imput[[PERIODO Imp.]:[PERIODO Imp.]],CA$9)</f>
        <v>0</v>
      </c>
      <c r="CB315" s="693">
        <f>SUMIFS(Imput[[Importe Neto]:[Importe Neto]],Imput[[C. Imp.]:[C. Imp.]],$D315,Imput[[PERIODO Imp.]:[PERIODO Imp.]],CB$9)</f>
        <v>0</v>
      </c>
      <c r="CC315" s="693">
        <f>SUMIFS(Imput[[Importe Neto]:[Importe Neto]],Imput[[C. Imp.]:[C. Imp.]],$D315,Imput[[PERIODO Imp.]:[PERIODO Imp.]],CC$9)</f>
        <v>0</v>
      </c>
      <c r="CD315" s="693">
        <f>SUMIFS(Imput[[Importe Neto]:[Importe Neto]],Imput[[C. Imp.]:[C. Imp.]],$D315,Imput[[PERIODO Imp.]:[PERIODO Imp.]],CD$9)</f>
        <v>0</v>
      </c>
      <c r="CE315" s="693">
        <f>SUMIFS(Imput[[Importe Neto]:[Importe Neto]],Imput[[C. Imp.]:[C. Imp.]],$D315,Imput[[PERIODO Imp.]:[PERIODO Imp.]],CE$9)</f>
        <v>0</v>
      </c>
      <c r="CF315" s="693">
        <f>SUMIFS(Imput[[Importe Neto]:[Importe Neto]],Imput[[C. Imp.]:[C. Imp.]],$D315,Imput[[PERIODO Imp.]:[PERIODO Imp.]],CF$9)</f>
        <v>0</v>
      </c>
      <c r="CG315" s="693">
        <f>SUMIFS(Imput[[Importe Neto]:[Importe Neto]],Imput[[C. Imp.]:[C. Imp.]],$D315,Imput[[PERIODO Imp.]:[PERIODO Imp.]],CG$9)</f>
        <v>0</v>
      </c>
      <c r="CH315" s="693">
        <f>SUMIFS(Imput[[Importe Neto]:[Importe Neto]],Imput[[C. Imp.]:[C. Imp.]],$D315,Imput[[PERIODO Imp.]:[PERIODO Imp.]],CH$9)</f>
        <v>0</v>
      </c>
      <c r="CI315" s="693">
        <f>SUMIFS(Imput[[Importe Neto]:[Importe Neto]],Imput[[C. Imp.]:[C. Imp.]],$D315,Imput[[PERIODO Imp.]:[PERIODO Imp.]],CI$9)</f>
        <v>0</v>
      </c>
      <c r="CJ315" s="693">
        <f>SUMIFS(Imput[[Importe Neto]:[Importe Neto]],Imput[[C. Imp.]:[C. Imp.]],$D315,Imput[[PERIODO Imp.]:[PERIODO Imp.]],CJ$9)</f>
        <v>0</v>
      </c>
      <c r="CK315" s="693">
        <f>SUMIFS(Imput[[Importe Neto]:[Importe Neto]],Imput[[C. Imp.]:[C. Imp.]],$D315,Imput[[PERIODO Imp.]:[PERIODO Imp.]],CK$9)</f>
        <v>0</v>
      </c>
      <c r="CL315" s="693">
        <f>SUMIFS(Imput[[Importe Neto]:[Importe Neto]],Imput[[C. Imp.]:[C. Imp.]],$D315,Imput[[PERIODO Imp.]:[PERIODO Imp.]],CL$9)</f>
        <v>0</v>
      </c>
      <c r="CM315" s="693">
        <f>SUMIFS(Imput[[Importe Neto]:[Importe Neto]],Imput[[C. Imp.]:[C. Imp.]],$D315,Imput[[PERIODO Imp.]:[PERIODO Imp.]],CM$9)</f>
        <v>0</v>
      </c>
      <c r="CN315" s="693">
        <f>SUMIFS(Imput[[Importe Neto]:[Importe Neto]],Imput[[C. Imp.]:[C. Imp.]],$D315,Imput[[PERIODO Imp.]:[PERIODO Imp.]],CN$9)</f>
        <v>0</v>
      </c>
      <c r="CO315" s="693">
        <f>SUMIFS(Imput[[Importe Neto]:[Importe Neto]],Imput[[C. Imp.]:[C. Imp.]],$D315,Imput[[PERIODO Imp.]:[PERIODO Imp.]],CO$9)</f>
        <v>0</v>
      </c>
      <c r="CP315" s="693">
        <f>SUMIFS(Imput[[Importe Neto]:[Importe Neto]],Imput[[C. Imp.]:[C. Imp.]],$D315,Imput[[PERIODO Imp.]:[PERIODO Imp.]],CP$9)</f>
        <v>0</v>
      </c>
      <c r="CQ315" s="693">
        <f>SUMIFS(Imput[[Importe Neto]:[Importe Neto]],Imput[[C. Imp.]:[C. Imp.]],$D315,Imput[[PERIODO Imp.]:[PERIODO Imp.]],CQ$9)</f>
        <v>0</v>
      </c>
      <c r="CR315" s="693">
        <f>SUMIFS(Imput[[Importe Neto]:[Importe Neto]],Imput[[C. Imp.]:[C. Imp.]],$D315,Imput[[PERIODO Imp.]:[PERIODO Imp.]],CR$9)</f>
        <v>0</v>
      </c>
      <c r="CS315" s="693">
        <f>SUMIFS(Imput[[Importe Neto]:[Importe Neto]],Imput[[C. Imp.]:[C. Imp.]],$D315,Imput[[PERIODO Imp.]:[PERIODO Imp.]],CS$9)</f>
        <v>0</v>
      </c>
      <c r="CT315" s="693">
        <f>SUMIFS(Imput[[Importe Neto]:[Importe Neto]],Imput[[C. Imp.]:[C. Imp.]],$D315,Imput[[PERIODO Imp.]:[PERIODO Imp.]],CT$9)</f>
        <v>0</v>
      </c>
      <c r="CU315" s="693">
        <f>SUMIFS(Imput[[Importe Neto]:[Importe Neto]],Imput[[C. Imp.]:[C. Imp.]],$D315,Imput[[PERIODO Imp.]:[PERIODO Imp.]],CU$9)</f>
        <v>0</v>
      </c>
      <c r="CV315" s="693">
        <f>SUMIFS(Imput[[Importe Neto]:[Importe Neto]],Imput[[C. Imp.]:[C. Imp.]],$D315,Imput[[PERIODO Imp.]:[PERIODO Imp.]],CV$9)</f>
        <v>0</v>
      </c>
      <c r="CW315" s="693">
        <f>SUMIFS(Imput[[Importe Neto]:[Importe Neto]],Imput[[C. Imp.]:[C. Imp.]],$D315,Imput[[PERIODO Imp.]:[PERIODO Imp.]],CW$9)</f>
        <v>0</v>
      </c>
      <c r="CX315" s="693">
        <f>SUMIFS(Imput[[Importe Neto]:[Importe Neto]],Imput[[C. Imp.]:[C. Imp.]],$D315,Imput[[PERIODO Imp.]:[PERIODO Imp.]],CX$9)</f>
        <v>0</v>
      </c>
      <c r="CY315" s="693">
        <f>SUMIFS(Imput[[Importe Neto]:[Importe Neto]],Imput[[C. Imp.]:[C. Imp.]],$D315,Imput[[PERIODO Imp.]:[PERIODO Imp.]],CY$9)</f>
        <v>0</v>
      </c>
      <c r="CZ315" s="693">
        <f>SUMIFS(Imput[[Importe Neto]:[Importe Neto]],Imput[[C. Imp.]:[C. Imp.]],$D315,Imput[[PERIODO Imp.]:[PERIODO Imp.]],CZ$9)</f>
        <v>0</v>
      </c>
      <c r="DA315" s="693">
        <f>SUMIFS(Imput[[Importe Neto]:[Importe Neto]],Imput[[C. Imp.]:[C. Imp.]],$D315,Imput[[PERIODO Imp.]:[PERIODO Imp.]],DA$9)</f>
        <v>0</v>
      </c>
      <c r="DB315" s="693">
        <f>SUMIFS(Imput[[Importe Neto]:[Importe Neto]],Imput[[C. Imp.]:[C. Imp.]],$D315,Imput[[PERIODO Imp.]:[PERIODO Imp.]],DB$9)</f>
        <v>0</v>
      </c>
      <c r="DC315" s="693">
        <f>SUMIFS(Imput[[Importe Neto]:[Importe Neto]],Imput[[C. Imp.]:[C. Imp.]],$D315,Imput[[PERIODO Imp.]:[PERIODO Imp.]],DC$9)</f>
        <v>0</v>
      </c>
      <c r="DD315" s="693">
        <f>SUMIFS(Imput[[Importe Neto]:[Importe Neto]],Imput[[C. Imp.]:[C. Imp.]],$D315,Imput[[PERIODO Imp.]:[PERIODO Imp.]],DD$9)</f>
        <v>0</v>
      </c>
      <c r="DE315" s="693">
        <f>SUMIFS(Imput[[Importe Neto]:[Importe Neto]],Imput[[C. Imp.]:[C. Imp.]],$D315,Imput[[PERIODO Imp.]:[PERIODO Imp.]],DE$9)</f>
        <v>0</v>
      </c>
      <c r="DF315" s="693">
        <f>SUMIFS(Imput[[Importe Neto]:[Importe Neto]],Imput[[C. Imp.]:[C. Imp.]],$D315,Imput[[PERIODO Imp.]:[PERIODO Imp.]],DF$9)</f>
        <v>0</v>
      </c>
      <c r="DG315" s="693">
        <f>SUMIFS(Imput[[Importe Neto]:[Importe Neto]],Imput[[C. Imp.]:[C. Imp.]],$D315,Imput[[PERIODO Imp.]:[PERIODO Imp.]],DG$9)</f>
        <v>0</v>
      </c>
      <c r="DH315" s="694">
        <f>SUMIFS(Imput[[Importe Neto]:[Importe Neto]],Imput[[C. Imp.]:[C. Imp.]],$D315,Imput[[PERIODO Imp.]:[PERIODO Imp.]],DH$9)</f>
        <v>0</v>
      </c>
    </row>
    <row r="316" spans="1:112" s="649" customFormat="1" hidden="1" outlineLevel="1" x14ac:dyDescent="0.3">
      <c r="A316" s="652" t="str">
        <f t="shared" si="144"/>
        <v/>
      </c>
      <c r="B316" s="652"/>
      <c r="C316" s="685"/>
      <c r="D316" s="686" t="s">
        <v>2380</v>
      </c>
      <c r="E316" s="686"/>
      <c r="F316" s="720"/>
      <c r="G316" s="688"/>
      <c r="H316" s="689"/>
      <c r="I316" s="851" t="str">
        <f t="shared" si="145"/>
        <v/>
      </c>
      <c r="J316" s="850" t="str">
        <f t="shared" si="146"/>
        <v/>
      </c>
      <c r="K316" s="667"/>
      <c r="L316" s="858"/>
      <c r="M316" s="859"/>
      <c r="N316" s="859"/>
      <c r="O316" s="859"/>
      <c r="P316" s="859"/>
      <c r="Q316" s="859"/>
      <c r="R316" s="859"/>
      <c r="S316" s="859"/>
      <c r="T316" s="859"/>
      <c r="U316" s="859"/>
      <c r="V316" s="859"/>
      <c r="W316" s="859"/>
      <c r="X316" s="859"/>
      <c r="Y316" s="859"/>
      <c r="Z316" s="860"/>
      <c r="AA316" s="860"/>
      <c r="AB316" s="860"/>
      <c r="AC316" s="860"/>
      <c r="AD316" s="860"/>
      <c r="AE316" s="860"/>
      <c r="AF316" s="860"/>
      <c r="AG316" s="860"/>
      <c r="AH316" s="860"/>
      <c r="AI316" s="860"/>
      <c r="AJ316" s="860"/>
      <c r="AK316" s="860"/>
      <c r="AL316" s="860"/>
      <c r="AM316" s="860"/>
      <c r="AN316" s="860"/>
      <c r="AO316" s="860"/>
      <c r="AP316" s="860"/>
      <c r="AQ316" s="860"/>
      <c r="AR316" s="860"/>
      <c r="AS316" s="860"/>
      <c r="AT316" s="860"/>
      <c r="AU316" s="860"/>
      <c r="AV316" s="860"/>
      <c r="AW316" s="860"/>
      <c r="AX316" s="860"/>
      <c r="AY316" s="860"/>
      <c r="AZ316" s="860"/>
      <c r="BA316" s="860"/>
      <c r="BB316" s="860"/>
      <c r="BC316" s="860"/>
      <c r="BD316" s="860"/>
      <c r="BE316" s="860"/>
      <c r="BF316" s="860"/>
      <c r="BG316" s="860"/>
      <c r="BH316" s="668"/>
      <c r="BI316" s="667"/>
      <c r="BJ316" s="690">
        <f t="shared" si="147"/>
        <v>0</v>
      </c>
      <c r="BK316" s="691">
        <f t="shared" si="148"/>
        <v>0</v>
      </c>
      <c r="BL316" s="654"/>
      <c r="BM316" s="692">
        <f>SUMIFS(Imput[[Importe Neto]:[Importe Neto]],Imput[[C. Imp.]:[C. Imp.]],$D316,Imput[[PERIODO Imp.]:[PERIODO Imp.]],BM$9)</f>
        <v>0</v>
      </c>
      <c r="BN316" s="693">
        <f>SUMIFS(Imput[[Importe Neto]:[Importe Neto]],Imput[[C. Imp.]:[C. Imp.]],$D316,Imput[[PERIODO Imp.]:[PERIODO Imp.]],BN$9)</f>
        <v>0</v>
      </c>
      <c r="BO316" s="693">
        <f>SUMIFS(Imput[[Importe Neto]:[Importe Neto]],Imput[[C. Imp.]:[C. Imp.]],$D316,Imput[[PERIODO Imp.]:[PERIODO Imp.]],BO$9)</f>
        <v>0</v>
      </c>
      <c r="BP316" s="693">
        <f>SUMIFS(Imput[[Importe Neto]:[Importe Neto]],Imput[[C. Imp.]:[C. Imp.]],$D316,Imput[[PERIODO Imp.]:[PERIODO Imp.]],BP$9)</f>
        <v>0</v>
      </c>
      <c r="BQ316" s="693">
        <f>SUMIFS(Imput[[Importe Neto]:[Importe Neto]],Imput[[C. Imp.]:[C. Imp.]],$D316,Imput[[PERIODO Imp.]:[PERIODO Imp.]],BQ$9)</f>
        <v>0</v>
      </c>
      <c r="BR316" s="693">
        <f>SUMIFS(Imput[[Importe Neto]:[Importe Neto]],Imput[[C. Imp.]:[C. Imp.]],$D316,Imput[[PERIODO Imp.]:[PERIODO Imp.]],BR$9)</f>
        <v>0</v>
      </c>
      <c r="BS316" s="693">
        <f>SUMIFS(Imput[[Importe Neto]:[Importe Neto]],Imput[[C. Imp.]:[C. Imp.]],$D316,Imput[[PERIODO Imp.]:[PERIODO Imp.]],BS$9)</f>
        <v>0</v>
      </c>
      <c r="BT316" s="693">
        <f>SUMIFS(Imput[[Importe Neto]:[Importe Neto]],Imput[[C. Imp.]:[C. Imp.]],$D316,Imput[[PERIODO Imp.]:[PERIODO Imp.]],BT$9)</f>
        <v>0</v>
      </c>
      <c r="BU316" s="693">
        <f>SUMIFS(Imput[[Importe Neto]:[Importe Neto]],Imput[[C. Imp.]:[C. Imp.]],$D316,Imput[[PERIODO Imp.]:[PERIODO Imp.]],BU$9)</f>
        <v>0</v>
      </c>
      <c r="BV316" s="693">
        <f>SUMIFS(Imput[[Importe Neto]:[Importe Neto]],Imput[[C. Imp.]:[C. Imp.]],$D316,Imput[[PERIODO Imp.]:[PERIODO Imp.]],BV$9)</f>
        <v>0</v>
      </c>
      <c r="BW316" s="693">
        <f>SUMIFS(Imput[[Importe Neto]:[Importe Neto]],Imput[[C. Imp.]:[C. Imp.]],$D316,Imput[[PERIODO Imp.]:[PERIODO Imp.]],BW$9)</f>
        <v>0</v>
      </c>
      <c r="BX316" s="693">
        <f>SUMIFS(Imput[[Importe Neto]:[Importe Neto]],Imput[[C. Imp.]:[C. Imp.]],$D316,Imput[[PERIODO Imp.]:[PERIODO Imp.]],BX$9)</f>
        <v>0</v>
      </c>
      <c r="BY316" s="693">
        <f>SUMIFS(Imput[[Importe Neto]:[Importe Neto]],Imput[[C. Imp.]:[C. Imp.]],$D316,Imput[[PERIODO Imp.]:[PERIODO Imp.]],BY$9)</f>
        <v>0</v>
      </c>
      <c r="BZ316" s="693">
        <f>SUMIFS(Imput[[Importe Neto]:[Importe Neto]],Imput[[C. Imp.]:[C. Imp.]],$D316,Imput[[PERIODO Imp.]:[PERIODO Imp.]],BZ$9)</f>
        <v>0</v>
      </c>
      <c r="CA316" s="693">
        <f>SUMIFS(Imput[[Importe Neto]:[Importe Neto]],Imput[[C. Imp.]:[C. Imp.]],$D316,Imput[[PERIODO Imp.]:[PERIODO Imp.]],CA$9)</f>
        <v>0</v>
      </c>
      <c r="CB316" s="693">
        <f>SUMIFS(Imput[[Importe Neto]:[Importe Neto]],Imput[[C. Imp.]:[C. Imp.]],$D316,Imput[[PERIODO Imp.]:[PERIODO Imp.]],CB$9)</f>
        <v>0</v>
      </c>
      <c r="CC316" s="693">
        <f>SUMIFS(Imput[[Importe Neto]:[Importe Neto]],Imput[[C. Imp.]:[C. Imp.]],$D316,Imput[[PERIODO Imp.]:[PERIODO Imp.]],CC$9)</f>
        <v>0</v>
      </c>
      <c r="CD316" s="693">
        <f>SUMIFS(Imput[[Importe Neto]:[Importe Neto]],Imput[[C. Imp.]:[C. Imp.]],$D316,Imput[[PERIODO Imp.]:[PERIODO Imp.]],CD$9)</f>
        <v>0</v>
      </c>
      <c r="CE316" s="693">
        <f>SUMIFS(Imput[[Importe Neto]:[Importe Neto]],Imput[[C. Imp.]:[C. Imp.]],$D316,Imput[[PERIODO Imp.]:[PERIODO Imp.]],CE$9)</f>
        <v>0</v>
      </c>
      <c r="CF316" s="693">
        <f>SUMIFS(Imput[[Importe Neto]:[Importe Neto]],Imput[[C. Imp.]:[C. Imp.]],$D316,Imput[[PERIODO Imp.]:[PERIODO Imp.]],CF$9)</f>
        <v>0</v>
      </c>
      <c r="CG316" s="693">
        <f>SUMIFS(Imput[[Importe Neto]:[Importe Neto]],Imput[[C. Imp.]:[C. Imp.]],$D316,Imput[[PERIODO Imp.]:[PERIODO Imp.]],CG$9)</f>
        <v>0</v>
      </c>
      <c r="CH316" s="693">
        <f>SUMIFS(Imput[[Importe Neto]:[Importe Neto]],Imput[[C. Imp.]:[C. Imp.]],$D316,Imput[[PERIODO Imp.]:[PERIODO Imp.]],CH$9)</f>
        <v>0</v>
      </c>
      <c r="CI316" s="693">
        <f>SUMIFS(Imput[[Importe Neto]:[Importe Neto]],Imput[[C. Imp.]:[C. Imp.]],$D316,Imput[[PERIODO Imp.]:[PERIODO Imp.]],CI$9)</f>
        <v>0</v>
      </c>
      <c r="CJ316" s="693">
        <f>SUMIFS(Imput[[Importe Neto]:[Importe Neto]],Imput[[C. Imp.]:[C. Imp.]],$D316,Imput[[PERIODO Imp.]:[PERIODO Imp.]],CJ$9)</f>
        <v>0</v>
      </c>
      <c r="CK316" s="693">
        <f>SUMIFS(Imput[[Importe Neto]:[Importe Neto]],Imput[[C. Imp.]:[C. Imp.]],$D316,Imput[[PERIODO Imp.]:[PERIODO Imp.]],CK$9)</f>
        <v>0</v>
      </c>
      <c r="CL316" s="693">
        <f>SUMIFS(Imput[[Importe Neto]:[Importe Neto]],Imput[[C. Imp.]:[C. Imp.]],$D316,Imput[[PERIODO Imp.]:[PERIODO Imp.]],CL$9)</f>
        <v>0</v>
      </c>
      <c r="CM316" s="693">
        <f>SUMIFS(Imput[[Importe Neto]:[Importe Neto]],Imput[[C. Imp.]:[C. Imp.]],$D316,Imput[[PERIODO Imp.]:[PERIODO Imp.]],CM$9)</f>
        <v>0</v>
      </c>
      <c r="CN316" s="693">
        <f>SUMIFS(Imput[[Importe Neto]:[Importe Neto]],Imput[[C. Imp.]:[C. Imp.]],$D316,Imput[[PERIODO Imp.]:[PERIODO Imp.]],CN$9)</f>
        <v>0</v>
      </c>
      <c r="CO316" s="693">
        <f>SUMIFS(Imput[[Importe Neto]:[Importe Neto]],Imput[[C. Imp.]:[C. Imp.]],$D316,Imput[[PERIODO Imp.]:[PERIODO Imp.]],CO$9)</f>
        <v>0</v>
      </c>
      <c r="CP316" s="693">
        <f>SUMIFS(Imput[[Importe Neto]:[Importe Neto]],Imput[[C. Imp.]:[C. Imp.]],$D316,Imput[[PERIODO Imp.]:[PERIODO Imp.]],CP$9)</f>
        <v>0</v>
      </c>
      <c r="CQ316" s="693">
        <f>SUMIFS(Imput[[Importe Neto]:[Importe Neto]],Imput[[C. Imp.]:[C. Imp.]],$D316,Imput[[PERIODO Imp.]:[PERIODO Imp.]],CQ$9)</f>
        <v>0</v>
      </c>
      <c r="CR316" s="693">
        <f>SUMIFS(Imput[[Importe Neto]:[Importe Neto]],Imput[[C. Imp.]:[C. Imp.]],$D316,Imput[[PERIODO Imp.]:[PERIODO Imp.]],CR$9)</f>
        <v>0</v>
      </c>
      <c r="CS316" s="693">
        <f>SUMIFS(Imput[[Importe Neto]:[Importe Neto]],Imput[[C. Imp.]:[C. Imp.]],$D316,Imput[[PERIODO Imp.]:[PERIODO Imp.]],CS$9)</f>
        <v>0</v>
      </c>
      <c r="CT316" s="693">
        <f>SUMIFS(Imput[[Importe Neto]:[Importe Neto]],Imput[[C. Imp.]:[C. Imp.]],$D316,Imput[[PERIODO Imp.]:[PERIODO Imp.]],CT$9)</f>
        <v>0</v>
      </c>
      <c r="CU316" s="693">
        <f>SUMIFS(Imput[[Importe Neto]:[Importe Neto]],Imput[[C. Imp.]:[C. Imp.]],$D316,Imput[[PERIODO Imp.]:[PERIODO Imp.]],CU$9)</f>
        <v>0</v>
      </c>
      <c r="CV316" s="693">
        <f>SUMIFS(Imput[[Importe Neto]:[Importe Neto]],Imput[[C. Imp.]:[C. Imp.]],$D316,Imput[[PERIODO Imp.]:[PERIODO Imp.]],CV$9)</f>
        <v>0</v>
      </c>
      <c r="CW316" s="693">
        <f>SUMIFS(Imput[[Importe Neto]:[Importe Neto]],Imput[[C. Imp.]:[C. Imp.]],$D316,Imput[[PERIODO Imp.]:[PERIODO Imp.]],CW$9)</f>
        <v>0</v>
      </c>
      <c r="CX316" s="693">
        <f>SUMIFS(Imput[[Importe Neto]:[Importe Neto]],Imput[[C. Imp.]:[C. Imp.]],$D316,Imput[[PERIODO Imp.]:[PERIODO Imp.]],CX$9)</f>
        <v>0</v>
      </c>
      <c r="CY316" s="693">
        <f>SUMIFS(Imput[[Importe Neto]:[Importe Neto]],Imput[[C. Imp.]:[C. Imp.]],$D316,Imput[[PERIODO Imp.]:[PERIODO Imp.]],CY$9)</f>
        <v>0</v>
      </c>
      <c r="CZ316" s="693">
        <f>SUMIFS(Imput[[Importe Neto]:[Importe Neto]],Imput[[C. Imp.]:[C. Imp.]],$D316,Imput[[PERIODO Imp.]:[PERIODO Imp.]],CZ$9)</f>
        <v>0</v>
      </c>
      <c r="DA316" s="693">
        <f>SUMIFS(Imput[[Importe Neto]:[Importe Neto]],Imput[[C. Imp.]:[C. Imp.]],$D316,Imput[[PERIODO Imp.]:[PERIODO Imp.]],DA$9)</f>
        <v>0</v>
      </c>
      <c r="DB316" s="693">
        <f>SUMIFS(Imput[[Importe Neto]:[Importe Neto]],Imput[[C. Imp.]:[C. Imp.]],$D316,Imput[[PERIODO Imp.]:[PERIODO Imp.]],DB$9)</f>
        <v>0</v>
      </c>
      <c r="DC316" s="693">
        <f>SUMIFS(Imput[[Importe Neto]:[Importe Neto]],Imput[[C. Imp.]:[C. Imp.]],$D316,Imput[[PERIODO Imp.]:[PERIODO Imp.]],DC$9)</f>
        <v>0</v>
      </c>
      <c r="DD316" s="693">
        <f>SUMIFS(Imput[[Importe Neto]:[Importe Neto]],Imput[[C. Imp.]:[C. Imp.]],$D316,Imput[[PERIODO Imp.]:[PERIODO Imp.]],DD$9)</f>
        <v>0</v>
      </c>
      <c r="DE316" s="693">
        <f>SUMIFS(Imput[[Importe Neto]:[Importe Neto]],Imput[[C. Imp.]:[C. Imp.]],$D316,Imput[[PERIODO Imp.]:[PERIODO Imp.]],DE$9)</f>
        <v>0</v>
      </c>
      <c r="DF316" s="693">
        <f>SUMIFS(Imput[[Importe Neto]:[Importe Neto]],Imput[[C. Imp.]:[C. Imp.]],$D316,Imput[[PERIODO Imp.]:[PERIODO Imp.]],DF$9)</f>
        <v>0</v>
      </c>
      <c r="DG316" s="693">
        <f>SUMIFS(Imput[[Importe Neto]:[Importe Neto]],Imput[[C. Imp.]:[C. Imp.]],$D316,Imput[[PERIODO Imp.]:[PERIODO Imp.]],DG$9)</f>
        <v>0</v>
      </c>
      <c r="DH316" s="694">
        <f>SUMIFS(Imput[[Importe Neto]:[Importe Neto]],Imput[[C. Imp.]:[C. Imp.]],$D316,Imput[[PERIODO Imp.]:[PERIODO Imp.]],DH$9)</f>
        <v>0</v>
      </c>
    </row>
    <row r="317" spans="1:112" s="649" customFormat="1" hidden="1" outlineLevel="1" x14ac:dyDescent="0.3">
      <c r="A317" s="652" t="str">
        <f t="shared" si="144"/>
        <v/>
      </c>
      <c r="B317" s="652"/>
      <c r="C317" s="685"/>
      <c r="D317" s="686" t="s">
        <v>2381</v>
      </c>
      <c r="E317" s="686"/>
      <c r="F317" s="720"/>
      <c r="G317" s="688"/>
      <c r="H317" s="689"/>
      <c r="I317" s="851" t="str">
        <f t="shared" si="145"/>
        <v/>
      </c>
      <c r="J317" s="850" t="str">
        <f t="shared" si="146"/>
        <v/>
      </c>
      <c r="K317" s="667"/>
      <c r="L317" s="858"/>
      <c r="M317" s="859"/>
      <c r="N317" s="859"/>
      <c r="O317" s="859"/>
      <c r="P317" s="859"/>
      <c r="Q317" s="859"/>
      <c r="R317" s="859"/>
      <c r="S317" s="859"/>
      <c r="T317" s="859"/>
      <c r="U317" s="859"/>
      <c r="V317" s="859"/>
      <c r="W317" s="859"/>
      <c r="X317" s="859"/>
      <c r="Y317" s="859"/>
      <c r="Z317" s="860"/>
      <c r="AA317" s="860"/>
      <c r="AB317" s="860"/>
      <c r="AC317" s="860"/>
      <c r="AD317" s="860"/>
      <c r="AE317" s="860"/>
      <c r="AF317" s="860"/>
      <c r="AG317" s="860"/>
      <c r="AH317" s="860"/>
      <c r="AI317" s="860"/>
      <c r="AJ317" s="860"/>
      <c r="AK317" s="860"/>
      <c r="AL317" s="860"/>
      <c r="AM317" s="860"/>
      <c r="AN317" s="860"/>
      <c r="AO317" s="860"/>
      <c r="AP317" s="860"/>
      <c r="AQ317" s="860"/>
      <c r="AR317" s="860"/>
      <c r="AS317" s="860"/>
      <c r="AT317" s="860"/>
      <c r="AU317" s="860"/>
      <c r="AV317" s="860"/>
      <c r="AW317" s="860"/>
      <c r="AX317" s="860"/>
      <c r="AY317" s="860"/>
      <c r="AZ317" s="860"/>
      <c r="BA317" s="860"/>
      <c r="BB317" s="860"/>
      <c r="BC317" s="860"/>
      <c r="BD317" s="860"/>
      <c r="BE317" s="860"/>
      <c r="BF317" s="860"/>
      <c r="BG317" s="860"/>
      <c r="BH317" s="668"/>
      <c r="BI317" s="667"/>
      <c r="BJ317" s="690">
        <f t="shared" si="147"/>
        <v>0</v>
      </c>
      <c r="BK317" s="691">
        <f t="shared" si="148"/>
        <v>0</v>
      </c>
      <c r="BL317" s="654"/>
      <c r="BM317" s="692">
        <f>SUMIFS(Imput[[Importe Neto]:[Importe Neto]],Imput[[C. Imp.]:[C. Imp.]],$D317,Imput[[PERIODO Imp.]:[PERIODO Imp.]],BM$9)</f>
        <v>0</v>
      </c>
      <c r="BN317" s="693">
        <f>SUMIFS(Imput[[Importe Neto]:[Importe Neto]],Imput[[C. Imp.]:[C. Imp.]],$D317,Imput[[PERIODO Imp.]:[PERIODO Imp.]],BN$9)</f>
        <v>0</v>
      </c>
      <c r="BO317" s="693">
        <f>SUMIFS(Imput[[Importe Neto]:[Importe Neto]],Imput[[C. Imp.]:[C. Imp.]],$D317,Imput[[PERIODO Imp.]:[PERIODO Imp.]],BO$9)</f>
        <v>0</v>
      </c>
      <c r="BP317" s="693">
        <f>SUMIFS(Imput[[Importe Neto]:[Importe Neto]],Imput[[C. Imp.]:[C. Imp.]],$D317,Imput[[PERIODO Imp.]:[PERIODO Imp.]],BP$9)</f>
        <v>0</v>
      </c>
      <c r="BQ317" s="693">
        <f>SUMIFS(Imput[[Importe Neto]:[Importe Neto]],Imput[[C. Imp.]:[C. Imp.]],$D317,Imput[[PERIODO Imp.]:[PERIODO Imp.]],BQ$9)</f>
        <v>0</v>
      </c>
      <c r="BR317" s="693">
        <f>SUMIFS(Imput[[Importe Neto]:[Importe Neto]],Imput[[C. Imp.]:[C. Imp.]],$D317,Imput[[PERIODO Imp.]:[PERIODO Imp.]],BR$9)</f>
        <v>0</v>
      </c>
      <c r="BS317" s="693">
        <f>SUMIFS(Imput[[Importe Neto]:[Importe Neto]],Imput[[C. Imp.]:[C. Imp.]],$D317,Imput[[PERIODO Imp.]:[PERIODO Imp.]],BS$9)</f>
        <v>0</v>
      </c>
      <c r="BT317" s="693">
        <f>SUMIFS(Imput[[Importe Neto]:[Importe Neto]],Imput[[C. Imp.]:[C. Imp.]],$D317,Imput[[PERIODO Imp.]:[PERIODO Imp.]],BT$9)</f>
        <v>0</v>
      </c>
      <c r="BU317" s="693">
        <f>SUMIFS(Imput[[Importe Neto]:[Importe Neto]],Imput[[C. Imp.]:[C. Imp.]],$D317,Imput[[PERIODO Imp.]:[PERIODO Imp.]],BU$9)</f>
        <v>0</v>
      </c>
      <c r="BV317" s="693">
        <f>SUMIFS(Imput[[Importe Neto]:[Importe Neto]],Imput[[C. Imp.]:[C. Imp.]],$D317,Imput[[PERIODO Imp.]:[PERIODO Imp.]],BV$9)</f>
        <v>0</v>
      </c>
      <c r="BW317" s="693">
        <f>SUMIFS(Imput[[Importe Neto]:[Importe Neto]],Imput[[C. Imp.]:[C. Imp.]],$D317,Imput[[PERIODO Imp.]:[PERIODO Imp.]],BW$9)</f>
        <v>0</v>
      </c>
      <c r="BX317" s="693">
        <f>SUMIFS(Imput[[Importe Neto]:[Importe Neto]],Imput[[C. Imp.]:[C. Imp.]],$D317,Imput[[PERIODO Imp.]:[PERIODO Imp.]],BX$9)</f>
        <v>0</v>
      </c>
      <c r="BY317" s="693">
        <f>SUMIFS(Imput[[Importe Neto]:[Importe Neto]],Imput[[C. Imp.]:[C. Imp.]],$D317,Imput[[PERIODO Imp.]:[PERIODO Imp.]],BY$9)</f>
        <v>0</v>
      </c>
      <c r="BZ317" s="693">
        <f>SUMIFS(Imput[[Importe Neto]:[Importe Neto]],Imput[[C. Imp.]:[C. Imp.]],$D317,Imput[[PERIODO Imp.]:[PERIODO Imp.]],BZ$9)</f>
        <v>0</v>
      </c>
      <c r="CA317" s="693">
        <f>SUMIFS(Imput[[Importe Neto]:[Importe Neto]],Imput[[C. Imp.]:[C. Imp.]],$D317,Imput[[PERIODO Imp.]:[PERIODO Imp.]],CA$9)</f>
        <v>0</v>
      </c>
      <c r="CB317" s="693">
        <f>SUMIFS(Imput[[Importe Neto]:[Importe Neto]],Imput[[C. Imp.]:[C. Imp.]],$D317,Imput[[PERIODO Imp.]:[PERIODO Imp.]],CB$9)</f>
        <v>0</v>
      </c>
      <c r="CC317" s="693">
        <f>SUMIFS(Imput[[Importe Neto]:[Importe Neto]],Imput[[C. Imp.]:[C. Imp.]],$D317,Imput[[PERIODO Imp.]:[PERIODO Imp.]],CC$9)</f>
        <v>0</v>
      </c>
      <c r="CD317" s="693">
        <f>SUMIFS(Imput[[Importe Neto]:[Importe Neto]],Imput[[C. Imp.]:[C. Imp.]],$D317,Imput[[PERIODO Imp.]:[PERIODO Imp.]],CD$9)</f>
        <v>0</v>
      </c>
      <c r="CE317" s="693">
        <f>SUMIFS(Imput[[Importe Neto]:[Importe Neto]],Imput[[C. Imp.]:[C. Imp.]],$D317,Imput[[PERIODO Imp.]:[PERIODO Imp.]],CE$9)</f>
        <v>0</v>
      </c>
      <c r="CF317" s="693">
        <f>SUMIFS(Imput[[Importe Neto]:[Importe Neto]],Imput[[C. Imp.]:[C. Imp.]],$D317,Imput[[PERIODO Imp.]:[PERIODO Imp.]],CF$9)</f>
        <v>0</v>
      </c>
      <c r="CG317" s="693">
        <f>SUMIFS(Imput[[Importe Neto]:[Importe Neto]],Imput[[C. Imp.]:[C. Imp.]],$D317,Imput[[PERIODO Imp.]:[PERIODO Imp.]],CG$9)</f>
        <v>0</v>
      </c>
      <c r="CH317" s="693">
        <f>SUMIFS(Imput[[Importe Neto]:[Importe Neto]],Imput[[C. Imp.]:[C. Imp.]],$D317,Imput[[PERIODO Imp.]:[PERIODO Imp.]],CH$9)</f>
        <v>0</v>
      </c>
      <c r="CI317" s="693">
        <f>SUMIFS(Imput[[Importe Neto]:[Importe Neto]],Imput[[C. Imp.]:[C. Imp.]],$D317,Imput[[PERIODO Imp.]:[PERIODO Imp.]],CI$9)</f>
        <v>0</v>
      </c>
      <c r="CJ317" s="693">
        <f>SUMIFS(Imput[[Importe Neto]:[Importe Neto]],Imput[[C. Imp.]:[C. Imp.]],$D317,Imput[[PERIODO Imp.]:[PERIODO Imp.]],CJ$9)</f>
        <v>0</v>
      </c>
      <c r="CK317" s="693">
        <f>SUMIFS(Imput[[Importe Neto]:[Importe Neto]],Imput[[C. Imp.]:[C. Imp.]],$D317,Imput[[PERIODO Imp.]:[PERIODO Imp.]],CK$9)</f>
        <v>0</v>
      </c>
      <c r="CL317" s="693">
        <f>SUMIFS(Imput[[Importe Neto]:[Importe Neto]],Imput[[C. Imp.]:[C. Imp.]],$D317,Imput[[PERIODO Imp.]:[PERIODO Imp.]],CL$9)</f>
        <v>0</v>
      </c>
      <c r="CM317" s="693">
        <f>SUMIFS(Imput[[Importe Neto]:[Importe Neto]],Imput[[C. Imp.]:[C. Imp.]],$D317,Imput[[PERIODO Imp.]:[PERIODO Imp.]],CM$9)</f>
        <v>0</v>
      </c>
      <c r="CN317" s="693">
        <f>SUMIFS(Imput[[Importe Neto]:[Importe Neto]],Imput[[C. Imp.]:[C. Imp.]],$D317,Imput[[PERIODO Imp.]:[PERIODO Imp.]],CN$9)</f>
        <v>0</v>
      </c>
      <c r="CO317" s="693">
        <f>SUMIFS(Imput[[Importe Neto]:[Importe Neto]],Imput[[C. Imp.]:[C. Imp.]],$D317,Imput[[PERIODO Imp.]:[PERIODO Imp.]],CO$9)</f>
        <v>0</v>
      </c>
      <c r="CP317" s="693">
        <f>SUMIFS(Imput[[Importe Neto]:[Importe Neto]],Imput[[C. Imp.]:[C. Imp.]],$D317,Imput[[PERIODO Imp.]:[PERIODO Imp.]],CP$9)</f>
        <v>0</v>
      </c>
      <c r="CQ317" s="693">
        <f>SUMIFS(Imput[[Importe Neto]:[Importe Neto]],Imput[[C. Imp.]:[C. Imp.]],$D317,Imput[[PERIODO Imp.]:[PERIODO Imp.]],CQ$9)</f>
        <v>0</v>
      </c>
      <c r="CR317" s="693">
        <f>SUMIFS(Imput[[Importe Neto]:[Importe Neto]],Imput[[C. Imp.]:[C. Imp.]],$D317,Imput[[PERIODO Imp.]:[PERIODO Imp.]],CR$9)</f>
        <v>0</v>
      </c>
      <c r="CS317" s="693">
        <f>SUMIFS(Imput[[Importe Neto]:[Importe Neto]],Imput[[C. Imp.]:[C. Imp.]],$D317,Imput[[PERIODO Imp.]:[PERIODO Imp.]],CS$9)</f>
        <v>0</v>
      </c>
      <c r="CT317" s="693">
        <f>SUMIFS(Imput[[Importe Neto]:[Importe Neto]],Imput[[C. Imp.]:[C. Imp.]],$D317,Imput[[PERIODO Imp.]:[PERIODO Imp.]],CT$9)</f>
        <v>0</v>
      </c>
      <c r="CU317" s="693">
        <f>SUMIFS(Imput[[Importe Neto]:[Importe Neto]],Imput[[C. Imp.]:[C. Imp.]],$D317,Imput[[PERIODO Imp.]:[PERIODO Imp.]],CU$9)</f>
        <v>0</v>
      </c>
      <c r="CV317" s="693">
        <f>SUMIFS(Imput[[Importe Neto]:[Importe Neto]],Imput[[C. Imp.]:[C. Imp.]],$D317,Imput[[PERIODO Imp.]:[PERIODO Imp.]],CV$9)</f>
        <v>0</v>
      </c>
      <c r="CW317" s="693">
        <f>SUMIFS(Imput[[Importe Neto]:[Importe Neto]],Imput[[C. Imp.]:[C. Imp.]],$D317,Imput[[PERIODO Imp.]:[PERIODO Imp.]],CW$9)</f>
        <v>0</v>
      </c>
      <c r="CX317" s="693">
        <f>SUMIFS(Imput[[Importe Neto]:[Importe Neto]],Imput[[C. Imp.]:[C. Imp.]],$D317,Imput[[PERIODO Imp.]:[PERIODO Imp.]],CX$9)</f>
        <v>0</v>
      </c>
      <c r="CY317" s="693">
        <f>SUMIFS(Imput[[Importe Neto]:[Importe Neto]],Imput[[C. Imp.]:[C. Imp.]],$D317,Imput[[PERIODO Imp.]:[PERIODO Imp.]],CY$9)</f>
        <v>0</v>
      </c>
      <c r="CZ317" s="693">
        <f>SUMIFS(Imput[[Importe Neto]:[Importe Neto]],Imput[[C. Imp.]:[C. Imp.]],$D317,Imput[[PERIODO Imp.]:[PERIODO Imp.]],CZ$9)</f>
        <v>0</v>
      </c>
      <c r="DA317" s="693">
        <f>SUMIFS(Imput[[Importe Neto]:[Importe Neto]],Imput[[C. Imp.]:[C. Imp.]],$D317,Imput[[PERIODO Imp.]:[PERIODO Imp.]],DA$9)</f>
        <v>0</v>
      </c>
      <c r="DB317" s="693">
        <f>SUMIFS(Imput[[Importe Neto]:[Importe Neto]],Imput[[C. Imp.]:[C. Imp.]],$D317,Imput[[PERIODO Imp.]:[PERIODO Imp.]],DB$9)</f>
        <v>0</v>
      </c>
      <c r="DC317" s="693">
        <f>SUMIFS(Imput[[Importe Neto]:[Importe Neto]],Imput[[C. Imp.]:[C. Imp.]],$D317,Imput[[PERIODO Imp.]:[PERIODO Imp.]],DC$9)</f>
        <v>0</v>
      </c>
      <c r="DD317" s="693">
        <f>SUMIFS(Imput[[Importe Neto]:[Importe Neto]],Imput[[C. Imp.]:[C. Imp.]],$D317,Imput[[PERIODO Imp.]:[PERIODO Imp.]],DD$9)</f>
        <v>0</v>
      </c>
      <c r="DE317" s="693">
        <f>SUMIFS(Imput[[Importe Neto]:[Importe Neto]],Imput[[C. Imp.]:[C. Imp.]],$D317,Imput[[PERIODO Imp.]:[PERIODO Imp.]],DE$9)</f>
        <v>0</v>
      </c>
      <c r="DF317" s="693">
        <f>SUMIFS(Imput[[Importe Neto]:[Importe Neto]],Imput[[C. Imp.]:[C. Imp.]],$D317,Imput[[PERIODO Imp.]:[PERIODO Imp.]],DF$9)</f>
        <v>0</v>
      </c>
      <c r="DG317" s="693">
        <f>SUMIFS(Imput[[Importe Neto]:[Importe Neto]],Imput[[C. Imp.]:[C. Imp.]],$D317,Imput[[PERIODO Imp.]:[PERIODO Imp.]],DG$9)</f>
        <v>0</v>
      </c>
      <c r="DH317" s="694">
        <f>SUMIFS(Imput[[Importe Neto]:[Importe Neto]],Imput[[C. Imp.]:[C. Imp.]],$D317,Imput[[PERIODO Imp.]:[PERIODO Imp.]],DH$9)</f>
        <v>0</v>
      </c>
    </row>
    <row r="318" spans="1:112" s="649" customFormat="1" hidden="1" outlineLevel="1" x14ac:dyDescent="0.3">
      <c r="A318" s="652" t="str">
        <f t="shared" si="144"/>
        <v/>
      </c>
      <c r="B318" s="652"/>
      <c r="C318" s="685"/>
      <c r="D318" s="686" t="s">
        <v>2382</v>
      </c>
      <c r="E318" s="686"/>
      <c r="F318" s="720"/>
      <c r="G318" s="688"/>
      <c r="H318" s="689"/>
      <c r="I318" s="851" t="str">
        <f t="shared" si="145"/>
        <v/>
      </c>
      <c r="J318" s="850" t="str">
        <f t="shared" si="146"/>
        <v/>
      </c>
      <c r="K318" s="667"/>
      <c r="L318" s="858"/>
      <c r="M318" s="859"/>
      <c r="N318" s="859"/>
      <c r="O318" s="859"/>
      <c r="P318" s="859"/>
      <c r="Q318" s="859"/>
      <c r="R318" s="859"/>
      <c r="S318" s="859"/>
      <c r="T318" s="859"/>
      <c r="U318" s="859"/>
      <c r="V318" s="859"/>
      <c r="W318" s="859"/>
      <c r="X318" s="859"/>
      <c r="Y318" s="859"/>
      <c r="Z318" s="860"/>
      <c r="AA318" s="860"/>
      <c r="AB318" s="860"/>
      <c r="AC318" s="860"/>
      <c r="AD318" s="860"/>
      <c r="AE318" s="860"/>
      <c r="AF318" s="860"/>
      <c r="AG318" s="860"/>
      <c r="AH318" s="860"/>
      <c r="AI318" s="860"/>
      <c r="AJ318" s="860"/>
      <c r="AK318" s="860"/>
      <c r="AL318" s="860"/>
      <c r="AM318" s="860"/>
      <c r="AN318" s="860"/>
      <c r="AO318" s="860"/>
      <c r="AP318" s="860"/>
      <c r="AQ318" s="860"/>
      <c r="AR318" s="860"/>
      <c r="AS318" s="860"/>
      <c r="AT318" s="860"/>
      <c r="AU318" s="860"/>
      <c r="AV318" s="860"/>
      <c r="AW318" s="860"/>
      <c r="AX318" s="860"/>
      <c r="AY318" s="860"/>
      <c r="AZ318" s="860"/>
      <c r="BA318" s="860"/>
      <c r="BB318" s="860"/>
      <c r="BC318" s="860"/>
      <c r="BD318" s="860"/>
      <c r="BE318" s="860"/>
      <c r="BF318" s="860"/>
      <c r="BG318" s="860"/>
      <c r="BH318" s="668"/>
      <c r="BI318" s="667"/>
      <c r="BJ318" s="690">
        <f t="shared" si="147"/>
        <v>0</v>
      </c>
      <c r="BK318" s="691">
        <f t="shared" si="148"/>
        <v>0</v>
      </c>
      <c r="BL318" s="654"/>
      <c r="BM318" s="692">
        <f>SUMIFS(Imput[[Importe Neto]:[Importe Neto]],Imput[[C. Imp.]:[C. Imp.]],$D318,Imput[[PERIODO Imp.]:[PERIODO Imp.]],BM$9)</f>
        <v>0</v>
      </c>
      <c r="BN318" s="693">
        <f>SUMIFS(Imput[[Importe Neto]:[Importe Neto]],Imput[[C. Imp.]:[C. Imp.]],$D318,Imput[[PERIODO Imp.]:[PERIODO Imp.]],BN$9)</f>
        <v>0</v>
      </c>
      <c r="BO318" s="693">
        <f>SUMIFS(Imput[[Importe Neto]:[Importe Neto]],Imput[[C. Imp.]:[C. Imp.]],$D318,Imput[[PERIODO Imp.]:[PERIODO Imp.]],BO$9)</f>
        <v>0</v>
      </c>
      <c r="BP318" s="693">
        <f>SUMIFS(Imput[[Importe Neto]:[Importe Neto]],Imput[[C. Imp.]:[C. Imp.]],$D318,Imput[[PERIODO Imp.]:[PERIODO Imp.]],BP$9)</f>
        <v>0</v>
      </c>
      <c r="BQ318" s="693">
        <f>SUMIFS(Imput[[Importe Neto]:[Importe Neto]],Imput[[C. Imp.]:[C. Imp.]],$D318,Imput[[PERIODO Imp.]:[PERIODO Imp.]],BQ$9)</f>
        <v>0</v>
      </c>
      <c r="BR318" s="693">
        <f>SUMIFS(Imput[[Importe Neto]:[Importe Neto]],Imput[[C. Imp.]:[C. Imp.]],$D318,Imput[[PERIODO Imp.]:[PERIODO Imp.]],BR$9)</f>
        <v>0</v>
      </c>
      <c r="BS318" s="693">
        <f>SUMIFS(Imput[[Importe Neto]:[Importe Neto]],Imput[[C. Imp.]:[C. Imp.]],$D318,Imput[[PERIODO Imp.]:[PERIODO Imp.]],BS$9)</f>
        <v>0</v>
      </c>
      <c r="BT318" s="693">
        <f>SUMIFS(Imput[[Importe Neto]:[Importe Neto]],Imput[[C. Imp.]:[C. Imp.]],$D318,Imput[[PERIODO Imp.]:[PERIODO Imp.]],BT$9)</f>
        <v>0</v>
      </c>
      <c r="BU318" s="693">
        <f>SUMIFS(Imput[[Importe Neto]:[Importe Neto]],Imput[[C. Imp.]:[C. Imp.]],$D318,Imput[[PERIODO Imp.]:[PERIODO Imp.]],BU$9)</f>
        <v>0</v>
      </c>
      <c r="BV318" s="693">
        <f>SUMIFS(Imput[[Importe Neto]:[Importe Neto]],Imput[[C. Imp.]:[C. Imp.]],$D318,Imput[[PERIODO Imp.]:[PERIODO Imp.]],BV$9)</f>
        <v>0</v>
      </c>
      <c r="BW318" s="693">
        <f>SUMIFS(Imput[[Importe Neto]:[Importe Neto]],Imput[[C. Imp.]:[C. Imp.]],$D318,Imput[[PERIODO Imp.]:[PERIODO Imp.]],BW$9)</f>
        <v>0</v>
      </c>
      <c r="BX318" s="693">
        <f>SUMIFS(Imput[[Importe Neto]:[Importe Neto]],Imput[[C. Imp.]:[C. Imp.]],$D318,Imput[[PERIODO Imp.]:[PERIODO Imp.]],BX$9)</f>
        <v>0</v>
      </c>
      <c r="BY318" s="693">
        <f>SUMIFS(Imput[[Importe Neto]:[Importe Neto]],Imput[[C. Imp.]:[C. Imp.]],$D318,Imput[[PERIODO Imp.]:[PERIODO Imp.]],BY$9)</f>
        <v>0</v>
      </c>
      <c r="BZ318" s="693">
        <f>SUMIFS(Imput[[Importe Neto]:[Importe Neto]],Imput[[C. Imp.]:[C. Imp.]],$D318,Imput[[PERIODO Imp.]:[PERIODO Imp.]],BZ$9)</f>
        <v>0</v>
      </c>
      <c r="CA318" s="693">
        <f>SUMIFS(Imput[[Importe Neto]:[Importe Neto]],Imput[[C. Imp.]:[C. Imp.]],$D318,Imput[[PERIODO Imp.]:[PERIODO Imp.]],CA$9)</f>
        <v>0</v>
      </c>
      <c r="CB318" s="693">
        <f>SUMIFS(Imput[[Importe Neto]:[Importe Neto]],Imput[[C. Imp.]:[C. Imp.]],$D318,Imput[[PERIODO Imp.]:[PERIODO Imp.]],CB$9)</f>
        <v>0</v>
      </c>
      <c r="CC318" s="693">
        <f>SUMIFS(Imput[[Importe Neto]:[Importe Neto]],Imput[[C. Imp.]:[C. Imp.]],$D318,Imput[[PERIODO Imp.]:[PERIODO Imp.]],CC$9)</f>
        <v>0</v>
      </c>
      <c r="CD318" s="693">
        <f>SUMIFS(Imput[[Importe Neto]:[Importe Neto]],Imput[[C. Imp.]:[C. Imp.]],$D318,Imput[[PERIODO Imp.]:[PERIODO Imp.]],CD$9)</f>
        <v>0</v>
      </c>
      <c r="CE318" s="693">
        <f>SUMIFS(Imput[[Importe Neto]:[Importe Neto]],Imput[[C. Imp.]:[C. Imp.]],$D318,Imput[[PERIODO Imp.]:[PERIODO Imp.]],CE$9)</f>
        <v>0</v>
      </c>
      <c r="CF318" s="693">
        <f>SUMIFS(Imput[[Importe Neto]:[Importe Neto]],Imput[[C. Imp.]:[C. Imp.]],$D318,Imput[[PERIODO Imp.]:[PERIODO Imp.]],CF$9)</f>
        <v>0</v>
      </c>
      <c r="CG318" s="693">
        <f>SUMIFS(Imput[[Importe Neto]:[Importe Neto]],Imput[[C. Imp.]:[C. Imp.]],$D318,Imput[[PERIODO Imp.]:[PERIODO Imp.]],CG$9)</f>
        <v>0</v>
      </c>
      <c r="CH318" s="693">
        <f>SUMIFS(Imput[[Importe Neto]:[Importe Neto]],Imput[[C. Imp.]:[C. Imp.]],$D318,Imput[[PERIODO Imp.]:[PERIODO Imp.]],CH$9)</f>
        <v>0</v>
      </c>
      <c r="CI318" s="693">
        <f>SUMIFS(Imput[[Importe Neto]:[Importe Neto]],Imput[[C. Imp.]:[C. Imp.]],$D318,Imput[[PERIODO Imp.]:[PERIODO Imp.]],CI$9)</f>
        <v>0</v>
      </c>
      <c r="CJ318" s="693">
        <f>SUMIFS(Imput[[Importe Neto]:[Importe Neto]],Imput[[C. Imp.]:[C. Imp.]],$D318,Imput[[PERIODO Imp.]:[PERIODO Imp.]],CJ$9)</f>
        <v>0</v>
      </c>
      <c r="CK318" s="693">
        <f>SUMIFS(Imput[[Importe Neto]:[Importe Neto]],Imput[[C. Imp.]:[C. Imp.]],$D318,Imput[[PERIODO Imp.]:[PERIODO Imp.]],CK$9)</f>
        <v>0</v>
      </c>
      <c r="CL318" s="693">
        <f>SUMIFS(Imput[[Importe Neto]:[Importe Neto]],Imput[[C. Imp.]:[C. Imp.]],$D318,Imput[[PERIODO Imp.]:[PERIODO Imp.]],CL$9)</f>
        <v>0</v>
      </c>
      <c r="CM318" s="693">
        <f>SUMIFS(Imput[[Importe Neto]:[Importe Neto]],Imput[[C. Imp.]:[C. Imp.]],$D318,Imput[[PERIODO Imp.]:[PERIODO Imp.]],CM$9)</f>
        <v>0</v>
      </c>
      <c r="CN318" s="693">
        <f>SUMIFS(Imput[[Importe Neto]:[Importe Neto]],Imput[[C. Imp.]:[C. Imp.]],$D318,Imput[[PERIODO Imp.]:[PERIODO Imp.]],CN$9)</f>
        <v>0</v>
      </c>
      <c r="CO318" s="693">
        <f>SUMIFS(Imput[[Importe Neto]:[Importe Neto]],Imput[[C. Imp.]:[C. Imp.]],$D318,Imput[[PERIODO Imp.]:[PERIODO Imp.]],CO$9)</f>
        <v>0</v>
      </c>
      <c r="CP318" s="693">
        <f>SUMIFS(Imput[[Importe Neto]:[Importe Neto]],Imput[[C. Imp.]:[C. Imp.]],$D318,Imput[[PERIODO Imp.]:[PERIODO Imp.]],CP$9)</f>
        <v>0</v>
      </c>
      <c r="CQ318" s="693">
        <f>SUMIFS(Imput[[Importe Neto]:[Importe Neto]],Imput[[C. Imp.]:[C. Imp.]],$D318,Imput[[PERIODO Imp.]:[PERIODO Imp.]],CQ$9)</f>
        <v>0</v>
      </c>
      <c r="CR318" s="693">
        <f>SUMIFS(Imput[[Importe Neto]:[Importe Neto]],Imput[[C. Imp.]:[C. Imp.]],$D318,Imput[[PERIODO Imp.]:[PERIODO Imp.]],CR$9)</f>
        <v>0</v>
      </c>
      <c r="CS318" s="693">
        <f>SUMIFS(Imput[[Importe Neto]:[Importe Neto]],Imput[[C. Imp.]:[C. Imp.]],$D318,Imput[[PERIODO Imp.]:[PERIODO Imp.]],CS$9)</f>
        <v>0</v>
      </c>
      <c r="CT318" s="693">
        <f>SUMIFS(Imput[[Importe Neto]:[Importe Neto]],Imput[[C. Imp.]:[C. Imp.]],$D318,Imput[[PERIODO Imp.]:[PERIODO Imp.]],CT$9)</f>
        <v>0</v>
      </c>
      <c r="CU318" s="693">
        <f>SUMIFS(Imput[[Importe Neto]:[Importe Neto]],Imput[[C. Imp.]:[C. Imp.]],$D318,Imput[[PERIODO Imp.]:[PERIODO Imp.]],CU$9)</f>
        <v>0</v>
      </c>
      <c r="CV318" s="693">
        <f>SUMIFS(Imput[[Importe Neto]:[Importe Neto]],Imput[[C. Imp.]:[C. Imp.]],$D318,Imput[[PERIODO Imp.]:[PERIODO Imp.]],CV$9)</f>
        <v>0</v>
      </c>
      <c r="CW318" s="693">
        <f>SUMIFS(Imput[[Importe Neto]:[Importe Neto]],Imput[[C. Imp.]:[C. Imp.]],$D318,Imput[[PERIODO Imp.]:[PERIODO Imp.]],CW$9)</f>
        <v>0</v>
      </c>
      <c r="CX318" s="693">
        <f>SUMIFS(Imput[[Importe Neto]:[Importe Neto]],Imput[[C. Imp.]:[C. Imp.]],$D318,Imput[[PERIODO Imp.]:[PERIODO Imp.]],CX$9)</f>
        <v>0</v>
      </c>
      <c r="CY318" s="693">
        <f>SUMIFS(Imput[[Importe Neto]:[Importe Neto]],Imput[[C. Imp.]:[C. Imp.]],$D318,Imput[[PERIODO Imp.]:[PERIODO Imp.]],CY$9)</f>
        <v>0</v>
      </c>
      <c r="CZ318" s="693">
        <f>SUMIFS(Imput[[Importe Neto]:[Importe Neto]],Imput[[C. Imp.]:[C. Imp.]],$D318,Imput[[PERIODO Imp.]:[PERIODO Imp.]],CZ$9)</f>
        <v>0</v>
      </c>
      <c r="DA318" s="693">
        <f>SUMIFS(Imput[[Importe Neto]:[Importe Neto]],Imput[[C. Imp.]:[C. Imp.]],$D318,Imput[[PERIODO Imp.]:[PERIODO Imp.]],DA$9)</f>
        <v>0</v>
      </c>
      <c r="DB318" s="693">
        <f>SUMIFS(Imput[[Importe Neto]:[Importe Neto]],Imput[[C. Imp.]:[C. Imp.]],$D318,Imput[[PERIODO Imp.]:[PERIODO Imp.]],DB$9)</f>
        <v>0</v>
      </c>
      <c r="DC318" s="693">
        <f>SUMIFS(Imput[[Importe Neto]:[Importe Neto]],Imput[[C. Imp.]:[C. Imp.]],$D318,Imput[[PERIODO Imp.]:[PERIODO Imp.]],DC$9)</f>
        <v>0</v>
      </c>
      <c r="DD318" s="693">
        <f>SUMIFS(Imput[[Importe Neto]:[Importe Neto]],Imput[[C. Imp.]:[C. Imp.]],$D318,Imput[[PERIODO Imp.]:[PERIODO Imp.]],DD$9)</f>
        <v>0</v>
      </c>
      <c r="DE318" s="693">
        <f>SUMIFS(Imput[[Importe Neto]:[Importe Neto]],Imput[[C. Imp.]:[C. Imp.]],$D318,Imput[[PERIODO Imp.]:[PERIODO Imp.]],DE$9)</f>
        <v>0</v>
      </c>
      <c r="DF318" s="693">
        <f>SUMIFS(Imput[[Importe Neto]:[Importe Neto]],Imput[[C. Imp.]:[C. Imp.]],$D318,Imput[[PERIODO Imp.]:[PERIODO Imp.]],DF$9)</f>
        <v>0</v>
      </c>
      <c r="DG318" s="693">
        <f>SUMIFS(Imput[[Importe Neto]:[Importe Neto]],Imput[[C. Imp.]:[C. Imp.]],$D318,Imput[[PERIODO Imp.]:[PERIODO Imp.]],DG$9)</f>
        <v>0</v>
      </c>
      <c r="DH318" s="694">
        <f>SUMIFS(Imput[[Importe Neto]:[Importe Neto]],Imput[[C. Imp.]:[C. Imp.]],$D318,Imput[[PERIODO Imp.]:[PERIODO Imp.]],DH$9)</f>
        <v>0</v>
      </c>
    </row>
    <row r="319" spans="1:112" s="649" customFormat="1" hidden="1" outlineLevel="1" x14ac:dyDescent="0.3">
      <c r="A319" s="652" t="str">
        <f t="shared" si="144"/>
        <v/>
      </c>
      <c r="B319" s="652"/>
      <c r="C319" s="685"/>
      <c r="D319" s="686" t="s">
        <v>2383</v>
      </c>
      <c r="E319" s="686"/>
      <c r="F319" s="720"/>
      <c r="G319" s="688"/>
      <c r="H319" s="689"/>
      <c r="I319" s="851" t="str">
        <f t="shared" si="145"/>
        <v/>
      </c>
      <c r="J319" s="850" t="str">
        <f t="shared" si="146"/>
        <v/>
      </c>
      <c r="K319" s="678"/>
      <c r="L319" s="858"/>
      <c r="M319" s="859"/>
      <c r="N319" s="859"/>
      <c r="O319" s="859"/>
      <c r="P319" s="859"/>
      <c r="Q319" s="859"/>
      <c r="R319" s="859"/>
      <c r="S319" s="859"/>
      <c r="T319" s="859"/>
      <c r="U319" s="859"/>
      <c r="V319" s="859"/>
      <c r="W319" s="859"/>
      <c r="X319" s="859"/>
      <c r="Y319" s="859"/>
      <c r="Z319" s="860"/>
      <c r="AA319" s="860"/>
      <c r="AB319" s="860"/>
      <c r="AC319" s="860"/>
      <c r="AD319" s="860"/>
      <c r="AE319" s="860"/>
      <c r="AF319" s="860"/>
      <c r="AG319" s="860"/>
      <c r="AH319" s="860"/>
      <c r="AI319" s="860"/>
      <c r="AJ319" s="860"/>
      <c r="AK319" s="860"/>
      <c r="AL319" s="860"/>
      <c r="AM319" s="860"/>
      <c r="AN319" s="860"/>
      <c r="AO319" s="860"/>
      <c r="AP319" s="860"/>
      <c r="AQ319" s="860"/>
      <c r="AR319" s="860"/>
      <c r="AS319" s="860"/>
      <c r="AT319" s="860"/>
      <c r="AU319" s="860"/>
      <c r="AV319" s="860"/>
      <c r="AW319" s="860"/>
      <c r="AX319" s="860"/>
      <c r="AY319" s="860"/>
      <c r="AZ319" s="860"/>
      <c r="BA319" s="860"/>
      <c r="BB319" s="860"/>
      <c r="BC319" s="860"/>
      <c r="BD319" s="860"/>
      <c r="BE319" s="860"/>
      <c r="BF319" s="860"/>
      <c r="BG319" s="860"/>
      <c r="BH319" s="668"/>
      <c r="BI319" s="654"/>
      <c r="BJ319" s="690">
        <f t="shared" si="147"/>
        <v>0</v>
      </c>
      <c r="BK319" s="691">
        <f t="shared" si="148"/>
        <v>0</v>
      </c>
      <c r="BL319" s="654"/>
      <c r="BM319" s="692">
        <f>SUMIFS(Imput[[Importe Neto]:[Importe Neto]],Imput[[C. Imp.]:[C. Imp.]],$D319,Imput[[PERIODO Imp.]:[PERIODO Imp.]],BM$9)</f>
        <v>0</v>
      </c>
      <c r="BN319" s="693">
        <f>SUMIFS(Imput[[Importe Neto]:[Importe Neto]],Imput[[C. Imp.]:[C. Imp.]],$D319,Imput[[PERIODO Imp.]:[PERIODO Imp.]],BN$9)</f>
        <v>0</v>
      </c>
      <c r="BO319" s="693">
        <f>SUMIFS(Imput[[Importe Neto]:[Importe Neto]],Imput[[C. Imp.]:[C. Imp.]],$D319,Imput[[PERIODO Imp.]:[PERIODO Imp.]],BO$9)</f>
        <v>0</v>
      </c>
      <c r="BP319" s="693">
        <f>SUMIFS(Imput[[Importe Neto]:[Importe Neto]],Imput[[C. Imp.]:[C. Imp.]],$D319,Imput[[PERIODO Imp.]:[PERIODO Imp.]],BP$9)</f>
        <v>0</v>
      </c>
      <c r="BQ319" s="693">
        <f>SUMIFS(Imput[[Importe Neto]:[Importe Neto]],Imput[[C. Imp.]:[C. Imp.]],$D319,Imput[[PERIODO Imp.]:[PERIODO Imp.]],BQ$9)</f>
        <v>0</v>
      </c>
      <c r="BR319" s="693">
        <f>SUMIFS(Imput[[Importe Neto]:[Importe Neto]],Imput[[C. Imp.]:[C. Imp.]],$D319,Imput[[PERIODO Imp.]:[PERIODO Imp.]],BR$9)</f>
        <v>0</v>
      </c>
      <c r="BS319" s="693">
        <f>SUMIFS(Imput[[Importe Neto]:[Importe Neto]],Imput[[C. Imp.]:[C. Imp.]],$D319,Imput[[PERIODO Imp.]:[PERIODO Imp.]],BS$9)</f>
        <v>0</v>
      </c>
      <c r="BT319" s="693">
        <f>SUMIFS(Imput[[Importe Neto]:[Importe Neto]],Imput[[C. Imp.]:[C. Imp.]],$D319,Imput[[PERIODO Imp.]:[PERIODO Imp.]],BT$9)</f>
        <v>0</v>
      </c>
      <c r="BU319" s="693">
        <f>SUMIFS(Imput[[Importe Neto]:[Importe Neto]],Imput[[C. Imp.]:[C. Imp.]],$D319,Imput[[PERIODO Imp.]:[PERIODO Imp.]],BU$9)</f>
        <v>0</v>
      </c>
      <c r="BV319" s="693">
        <f>SUMIFS(Imput[[Importe Neto]:[Importe Neto]],Imput[[C. Imp.]:[C. Imp.]],$D319,Imput[[PERIODO Imp.]:[PERIODO Imp.]],BV$9)</f>
        <v>0</v>
      </c>
      <c r="BW319" s="693">
        <f>SUMIFS(Imput[[Importe Neto]:[Importe Neto]],Imput[[C. Imp.]:[C. Imp.]],$D319,Imput[[PERIODO Imp.]:[PERIODO Imp.]],BW$9)</f>
        <v>0</v>
      </c>
      <c r="BX319" s="693">
        <f>SUMIFS(Imput[[Importe Neto]:[Importe Neto]],Imput[[C. Imp.]:[C. Imp.]],$D319,Imput[[PERIODO Imp.]:[PERIODO Imp.]],BX$9)</f>
        <v>0</v>
      </c>
      <c r="BY319" s="693">
        <f>SUMIFS(Imput[[Importe Neto]:[Importe Neto]],Imput[[C. Imp.]:[C. Imp.]],$D319,Imput[[PERIODO Imp.]:[PERIODO Imp.]],BY$9)</f>
        <v>0</v>
      </c>
      <c r="BZ319" s="693">
        <f>SUMIFS(Imput[[Importe Neto]:[Importe Neto]],Imput[[C. Imp.]:[C. Imp.]],$D319,Imput[[PERIODO Imp.]:[PERIODO Imp.]],BZ$9)</f>
        <v>0</v>
      </c>
      <c r="CA319" s="693">
        <f>SUMIFS(Imput[[Importe Neto]:[Importe Neto]],Imput[[C. Imp.]:[C. Imp.]],$D319,Imput[[PERIODO Imp.]:[PERIODO Imp.]],CA$9)</f>
        <v>0</v>
      </c>
      <c r="CB319" s="693">
        <f>SUMIFS(Imput[[Importe Neto]:[Importe Neto]],Imput[[C. Imp.]:[C. Imp.]],$D319,Imput[[PERIODO Imp.]:[PERIODO Imp.]],CB$9)</f>
        <v>0</v>
      </c>
      <c r="CC319" s="693">
        <f>SUMIFS(Imput[[Importe Neto]:[Importe Neto]],Imput[[C. Imp.]:[C. Imp.]],$D319,Imput[[PERIODO Imp.]:[PERIODO Imp.]],CC$9)</f>
        <v>0</v>
      </c>
      <c r="CD319" s="693">
        <f>SUMIFS(Imput[[Importe Neto]:[Importe Neto]],Imput[[C. Imp.]:[C. Imp.]],$D319,Imput[[PERIODO Imp.]:[PERIODO Imp.]],CD$9)</f>
        <v>0</v>
      </c>
      <c r="CE319" s="693">
        <f>SUMIFS(Imput[[Importe Neto]:[Importe Neto]],Imput[[C. Imp.]:[C. Imp.]],$D319,Imput[[PERIODO Imp.]:[PERIODO Imp.]],CE$9)</f>
        <v>0</v>
      </c>
      <c r="CF319" s="693">
        <f>SUMIFS(Imput[[Importe Neto]:[Importe Neto]],Imput[[C. Imp.]:[C. Imp.]],$D319,Imput[[PERIODO Imp.]:[PERIODO Imp.]],CF$9)</f>
        <v>0</v>
      </c>
      <c r="CG319" s="693">
        <f>SUMIFS(Imput[[Importe Neto]:[Importe Neto]],Imput[[C. Imp.]:[C. Imp.]],$D319,Imput[[PERIODO Imp.]:[PERIODO Imp.]],CG$9)</f>
        <v>0</v>
      </c>
      <c r="CH319" s="693">
        <f>SUMIFS(Imput[[Importe Neto]:[Importe Neto]],Imput[[C. Imp.]:[C. Imp.]],$D319,Imput[[PERIODO Imp.]:[PERIODO Imp.]],CH$9)</f>
        <v>0</v>
      </c>
      <c r="CI319" s="693">
        <f>SUMIFS(Imput[[Importe Neto]:[Importe Neto]],Imput[[C. Imp.]:[C. Imp.]],$D319,Imput[[PERIODO Imp.]:[PERIODO Imp.]],CI$9)</f>
        <v>0</v>
      </c>
      <c r="CJ319" s="693">
        <f>SUMIFS(Imput[[Importe Neto]:[Importe Neto]],Imput[[C. Imp.]:[C. Imp.]],$D319,Imput[[PERIODO Imp.]:[PERIODO Imp.]],CJ$9)</f>
        <v>0</v>
      </c>
      <c r="CK319" s="693">
        <f>SUMIFS(Imput[[Importe Neto]:[Importe Neto]],Imput[[C. Imp.]:[C. Imp.]],$D319,Imput[[PERIODO Imp.]:[PERIODO Imp.]],CK$9)</f>
        <v>0</v>
      </c>
      <c r="CL319" s="693">
        <f>SUMIFS(Imput[[Importe Neto]:[Importe Neto]],Imput[[C. Imp.]:[C. Imp.]],$D319,Imput[[PERIODO Imp.]:[PERIODO Imp.]],CL$9)</f>
        <v>0</v>
      </c>
      <c r="CM319" s="693">
        <f>SUMIFS(Imput[[Importe Neto]:[Importe Neto]],Imput[[C. Imp.]:[C. Imp.]],$D319,Imput[[PERIODO Imp.]:[PERIODO Imp.]],CM$9)</f>
        <v>0</v>
      </c>
      <c r="CN319" s="693">
        <f>SUMIFS(Imput[[Importe Neto]:[Importe Neto]],Imput[[C. Imp.]:[C. Imp.]],$D319,Imput[[PERIODO Imp.]:[PERIODO Imp.]],CN$9)</f>
        <v>0</v>
      </c>
      <c r="CO319" s="693">
        <f>SUMIFS(Imput[[Importe Neto]:[Importe Neto]],Imput[[C. Imp.]:[C. Imp.]],$D319,Imput[[PERIODO Imp.]:[PERIODO Imp.]],CO$9)</f>
        <v>0</v>
      </c>
      <c r="CP319" s="693">
        <f>SUMIFS(Imput[[Importe Neto]:[Importe Neto]],Imput[[C. Imp.]:[C. Imp.]],$D319,Imput[[PERIODO Imp.]:[PERIODO Imp.]],CP$9)</f>
        <v>0</v>
      </c>
      <c r="CQ319" s="693">
        <f>SUMIFS(Imput[[Importe Neto]:[Importe Neto]],Imput[[C. Imp.]:[C. Imp.]],$D319,Imput[[PERIODO Imp.]:[PERIODO Imp.]],CQ$9)</f>
        <v>0</v>
      </c>
      <c r="CR319" s="693">
        <f>SUMIFS(Imput[[Importe Neto]:[Importe Neto]],Imput[[C. Imp.]:[C. Imp.]],$D319,Imput[[PERIODO Imp.]:[PERIODO Imp.]],CR$9)</f>
        <v>0</v>
      </c>
      <c r="CS319" s="693">
        <f>SUMIFS(Imput[[Importe Neto]:[Importe Neto]],Imput[[C. Imp.]:[C. Imp.]],$D319,Imput[[PERIODO Imp.]:[PERIODO Imp.]],CS$9)</f>
        <v>0</v>
      </c>
      <c r="CT319" s="693">
        <f>SUMIFS(Imput[[Importe Neto]:[Importe Neto]],Imput[[C. Imp.]:[C. Imp.]],$D319,Imput[[PERIODO Imp.]:[PERIODO Imp.]],CT$9)</f>
        <v>0</v>
      </c>
      <c r="CU319" s="693">
        <f>SUMIFS(Imput[[Importe Neto]:[Importe Neto]],Imput[[C. Imp.]:[C. Imp.]],$D319,Imput[[PERIODO Imp.]:[PERIODO Imp.]],CU$9)</f>
        <v>0</v>
      </c>
      <c r="CV319" s="693">
        <f>SUMIFS(Imput[[Importe Neto]:[Importe Neto]],Imput[[C. Imp.]:[C. Imp.]],$D319,Imput[[PERIODO Imp.]:[PERIODO Imp.]],CV$9)</f>
        <v>0</v>
      </c>
      <c r="CW319" s="693">
        <f>SUMIFS(Imput[[Importe Neto]:[Importe Neto]],Imput[[C. Imp.]:[C. Imp.]],$D319,Imput[[PERIODO Imp.]:[PERIODO Imp.]],CW$9)</f>
        <v>0</v>
      </c>
      <c r="CX319" s="693">
        <f>SUMIFS(Imput[[Importe Neto]:[Importe Neto]],Imput[[C. Imp.]:[C. Imp.]],$D319,Imput[[PERIODO Imp.]:[PERIODO Imp.]],CX$9)</f>
        <v>0</v>
      </c>
      <c r="CY319" s="693">
        <f>SUMIFS(Imput[[Importe Neto]:[Importe Neto]],Imput[[C. Imp.]:[C. Imp.]],$D319,Imput[[PERIODO Imp.]:[PERIODO Imp.]],CY$9)</f>
        <v>0</v>
      </c>
      <c r="CZ319" s="693">
        <f>SUMIFS(Imput[[Importe Neto]:[Importe Neto]],Imput[[C. Imp.]:[C. Imp.]],$D319,Imput[[PERIODO Imp.]:[PERIODO Imp.]],CZ$9)</f>
        <v>0</v>
      </c>
      <c r="DA319" s="693">
        <f>SUMIFS(Imput[[Importe Neto]:[Importe Neto]],Imput[[C. Imp.]:[C. Imp.]],$D319,Imput[[PERIODO Imp.]:[PERIODO Imp.]],DA$9)</f>
        <v>0</v>
      </c>
      <c r="DB319" s="693">
        <f>SUMIFS(Imput[[Importe Neto]:[Importe Neto]],Imput[[C. Imp.]:[C. Imp.]],$D319,Imput[[PERIODO Imp.]:[PERIODO Imp.]],DB$9)</f>
        <v>0</v>
      </c>
      <c r="DC319" s="693">
        <f>SUMIFS(Imput[[Importe Neto]:[Importe Neto]],Imput[[C. Imp.]:[C. Imp.]],$D319,Imput[[PERIODO Imp.]:[PERIODO Imp.]],DC$9)</f>
        <v>0</v>
      </c>
      <c r="DD319" s="693">
        <f>SUMIFS(Imput[[Importe Neto]:[Importe Neto]],Imput[[C. Imp.]:[C. Imp.]],$D319,Imput[[PERIODO Imp.]:[PERIODO Imp.]],DD$9)</f>
        <v>0</v>
      </c>
      <c r="DE319" s="693">
        <f>SUMIFS(Imput[[Importe Neto]:[Importe Neto]],Imput[[C. Imp.]:[C. Imp.]],$D319,Imput[[PERIODO Imp.]:[PERIODO Imp.]],DE$9)</f>
        <v>0</v>
      </c>
      <c r="DF319" s="693">
        <f>SUMIFS(Imput[[Importe Neto]:[Importe Neto]],Imput[[C. Imp.]:[C. Imp.]],$D319,Imput[[PERIODO Imp.]:[PERIODO Imp.]],DF$9)</f>
        <v>0</v>
      </c>
      <c r="DG319" s="693">
        <f>SUMIFS(Imput[[Importe Neto]:[Importe Neto]],Imput[[C. Imp.]:[C. Imp.]],$D319,Imput[[PERIODO Imp.]:[PERIODO Imp.]],DG$9)</f>
        <v>0</v>
      </c>
      <c r="DH319" s="694">
        <f>SUMIFS(Imput[[Importe Neto]:[Importe Neto]],Imput[[C. Imp.]:[C. Imp.]],$D319,Imput[[PERIODO Imp.]:[PERIODO Imp.]],DH$9)</f>
        <v>0</v>
      </c>
    </row>
    <row r="320" spans="1:112" s="649" customFormat="1" hidden="1" outlineLevel="1" x14ac:dyDescent="0.3">
      <c r="A320" s="652" t="str">
        <f t="shared" si="144"/>
        <v/>
      </c>
      <c r="B320" s="652"/>
      <c r="C320" s="685"/>
      <c r="D320" s="686" t="s">
        <v>2384</v>
      </c>
      <c r="E320" s="686"/>
      <c r="F320" s="720"/>
      <c r="G320" s="688"/>
      <c r="H320" s="689"/>
      <c r="I320" s="851" t="str">
        <f t="shared" si="145"/>
        <v/>
      </c>
      <c r="J320" s="850" t="str">
        <f t="shared" si="146"/>
        <v/>
      </c>
      <c r="K320" s="667"/>
      <c r="L320" s="858"/>
      <c r="M320" s="859"/>
      <c r="N320" s="859"/>
      <c r="O320" s="859"/>
      <c r="P320" s="859"/>
      <c r="Q320" s="859"/>
      <c r="R320" s="859"/>
      <c r="S320" s="859"/>
      <c r="T320" s="859"/>
      <c r="U320" s="859"/>
      <c r="V320" s="859"/>
      <c r="W320" s="859"/>
      <c r="X320" s="859"/>
      <c r="Y320" s="859"/>
      <c r="Z320" s="860"/>
      <c r="AA320" s="860"/>
      <c r="AB320" s="860"/>
      <c r="AC320" s="860"/>
      <c r="AD320" s="860"/>
      <c r="AE320" s="860"/>
      <c r="AF320" s="860"/>
      <c r="AG320" s="860"/>
      <c r="AH320" s="860"/>
      <c r="AI320" s="860"/>
      <c r="AJ320" s="860"/>
      <c r="AK320" s="860"/>
      <c r="AL320" s="860"/>
      <c r="AM320" s="860"/>
      <c r="AN320" s="860"/>
      <c r="AO320" s="860"/>
      <c r="AP320" s="860"/>
      <c r="AQ320" s="860"/>
      <c r="AR320" s="860"/>
      <c r="AS320" s="860"/>
      <c r="AT320" s="860"/>
      <c r="AU320" s="860"/>
      <c r="AV320" s="860"/>
      <c r="AW320" s="860"/>
      <c r="AX320" s="860"/>
      <c r="AY320" s="860"/>
      <c r="AZ320" s="860"/>
      <c r="BA320" s="860"/>
      <c r="BB320" s="860"/>
      <c r="BC320" s="860"/>
      <c r="BD320" s="860"/>
      <c r="BE320" s="860"/>
      <c r="BF320" s="860"/>
      <c r="BG320" s="860"/>
      <c r="BH320" s="668"/>
      <c r="BI320" s="667"/>
      <c r="BJ320" s="690">
        <f t="shared" si="147"/>
        <v>0</v>
      </c>
      <c r="BK320" s="691">
        <f t="shared" si="148"/>
        <v>0</v>
      </c>
      <c r="BL320" s="654"/>
      <c r="BM320" s="692">
        <f>SUMIFS(Imput[[Importe Neto]:[Importe Neto]],Imput[[C. Imp.]:[C. Imp.]],$D320,Imput[[PERIODO Imp.]:[PERIODO Imp.]],BM$9)</f>
        <v>0</v>
      </c>
      <c r="BN320" s="693">
        <f>SUMIFS(Imput[[Importe Neto]:[Importe Neto]],Imput[[C. Imp.]:[C. Imp.]],$D320,Imput[[PERIODO Imp.]:[PERIODO Imp.]],BN$9)</f>
        <v>0</v>
      </c>
      <c r="BO320" s="693">
        <f>SUMIFS(Imput[[Importe Neto]:[Importe Neto]],Imput[[C. Imp.]:[C. Imp.]],$D320,Imput[[PERIODO Imp.]:[PERIODO Imp.]],BO$9)</f>
        <v>0</v>
      </c>
      <c r="BP320" s="693">
        <f>SUMIFS(Imput[[Importe Neto]:[Importe Neto]],Imput[[C. Imp.]:[C. Imp.]],$D320,Imput[[PERIODO Imp.]:[PERIODO Imp.]],BP$9)</f>
        <v>0</v>
      </c>
      <c r="BQ320" s="693">
        <f>SUMIFS(Imput[[Importe Neto]:[Importe Neto]],Imput[[C. Imp.]:[C. Imp.]],$D320,Imput[[PERIODO Imp.]:[PERIODO Imp.]],BQ$9)</f>
        <v>0</v>
      </c>
      <c r="BR320" s="693">
        <f>SUMIFS(Imput[[Importe Neto]:[Importe Neto]],Imput[[C. Imp.]:[C. Imp.]],$D320,Imput[[PERIODO Imp.]:[PERIODO Imp.]],BR$9)</f>
        <v>0</v>
      </c>
      <c r="BS320" s="693">
        <f>SUMIFS(Imput[[Importe Neto]:[Importe Neto]],Imput[[C. Imp.]:[C. Imp.]],$D320,Imput[[PERIODO Imp.]:[PERIODO Imp.]],BS$9)</f>
        <v>0</v>
      </c>
      <c r="BT320" s="693">
        <f>SUMIFS(Imput[[Importe Neto]:[Importe Neto]],Imput[[C. Imp.]:[C. Imp.]],$D320,Imput[[PERIODO Imp.]:[PERIODO Imp.]],BT$9)</f>
        <v>0</v>
      </c>
      <c r="BU320" s="693">
        <f>SUMIFS(Imput[[Importe Neto]:[Importe Neto]],Imput[[C. Imp.]:[C. Imp.]],$D320,Imput[[PERIODO Imp.]:[PERIODO Imp.]],BU$9)</f>
        <v>0</v>
      </c>
      <c r="BV320" s="693">
        <f>SUMIFS(Imput[[Importe Neto]:[Importe Neto]],Imput[[C. Imp.]:[C. Imp.]],$D320,Imput[[PERIODO Imp.]:[PERIODO Imp.]],BV$9)</f>
        <v>0</v>
      </c>
      <c r="BW320" s="693">
        <f>SUMIFS(Imput[[Importe Neto]:[Importe Neto]],Imput[[C. Imp.]:[C. Imp.]],$D320,Imput[[PERIODO Imp.]:[PERIODO Imp.]],BW$9)</f>
        <v>0</v>
      </c>
      <c r="BX320" s="693">
        <f>SUMIFS(Imput[[Importe Neto]:[Importe Neto]],Imput[[C. Imp.]:[C. Imp.]],$D320,Imput[[PERIODO Imp.]:[PERIODO Imp.]],BX$9)</f>
        <v>0</v>
      </c>
      <c r="BY320" s="693">
        <f>SUMIFS(Imput[[Importe Neto]:[Importe Neto]],Imput[[C. Imp.]:[C. Imp.]],$D320,Imput[[PERIODO Imp.]:[PERIODO Imp.]],BY$9)</f>
        <v>0</v>
      </c>
      <c r="BZ320" s="693">
        <f>SUMIFS(Imput[[Importe Neto]:[Importe Neto]],Imput[[C. Imp.]:[C. Imp.]],$D320,Imput[[PERIODO Imp.]:[PERIODO Imp.]],BZ$9)</f>
        <v>0</v>
      </c>
      <c r="CA320" s="693">
        <f>SUMIFS(Imput[[Importe Neto]:[Importe Neto]],Imput[[C. Imp.]:[C. Imp.]],$D320,Imput[[PERIODO Imp.]:[PERIODO Imp.]],CA$9)</f>
        <v>0</v>
      </c>
      <c r="CB320" s="693">
        <f>SUMIFS(Imput[[Importe Neto]:[Importe Neto]],Imput[[C. Imp.]:[C. Imp.]],$D320,Imput[[PERIODO Imp.]:[PERIODO Imp.]],CB$9)</f>
        <v>0</v>
      </c>
      <c r="CC320" s="693">
        <f>SUMIFS(Imput[[Importe Neto]:[Importe Neto]],Imput[[C. Imp.]:[C. Imp.]],$D320,Imput[[PERIODO Imp.]:[PERIODO Imp.]],CC$9)</f>
        <v>0</v>
      </c>
      <c r="CD320" s="693">
        <f>SUMIFS(Imput[[Importe Neto]:[Importe Neto]],Imput[[C. Imp.]:[C. Imp.]],$D320,Imput[[PERIODO Imp.]:[PERIODO Imp.]],CD$9)</f>
        <v>0</v>
      </c>
      <c r="CE320" s="693">
        <f>SUMIFS(Imput[[Importe Neto]:[Importe Neto]],Imput[[C. Imp.]:[C. Imp.]],$D320,Imput[[PERIODO Imp.]:[PERIODO Imp.]],CE$9)</f>
        <v>0</v>
      </c>
      <c r="CF320" s="693">
        <f>SUMIFS(Imput[[Importe Neto]:[Importe Neto]],Imput[[C. Imp.]:[C. Imp.]],$D320,Imput[[PERIODO Imp.]:[PERIODO Imp.]],CF$9)</f>
        <v>0</v>
      </c>
      <c r="CG320" s="693">
        <f>SUMIFS(Imput[[Importe Neto]:[Importe Neto]],Imput[[C. Imp.]:[C. Imp.]],$D320,Imput[[PERIODO Imp.]:[PERIODO Imp.]],CG$9)</f>
        <v>0</v>
      </c>
      <c r="CH320" s="693">
        <f>SUMIFS(Imput[[Importe Neto]:[Importe Neto]],Imput[[C. Imp.]:[C. Imp.]],$D320,Imput[[PERIODO Imp.]:[PERIODO Imp.]],CH$9)</f>
        <v>0</v>
      </c>
      <c r="CI320" s="693">
        <f>SUMIFS(Imput[[Importe Neto]:[Importe Neto]],Imput[[C. Imp.]:[C. Imp.]],$D320,Imput[[PERIODO Imp.]:[PERIODO Imp.]],CI$9)</f>
        <v>0</v>
      </c>
      <c r="CJ320" s="693">
        <f>SUMIFS(Imput[[Importe Neto]:[Importe Neto]],Imput[[C. Imp.]:[C. Imp.]],$D320,Imput[[PERIODO Imp.]:[PERIODO Imp.]],CJ$9)</f>
        <v>0</v>
      </c>
      <c r="CK320" s="693">
        <f>SUMIFS(Imput[[Importe Neto]:[Importe Neto]],Imput[[C. Imp.]:[C. Imp.]],$D320,Imput[[PERIODO Imp.]:[PERIODO Imp.]],CK$9)</f>
        <v>0</v>
      </c>
      <c r="CL320" s="693">
        <f>SUMIFS(Imput[[Importe Neto]:[Importe Neto]],Imput[[C. Imp.]:[C. Imp.]],$D320,Imput[[PERIODO Imp.]:[PERIODO Imp.]],CL$9)</f>
        <v>0</v>
      </c>
      <c r="CM320" s="693">
        <f>SUMIFS(Imput[[Importe Neto]:[Importe Neto]],Imput[[C. Imp.]:[C. Imp.]],$D320,Imput[[PERIODO Imp.]:[PERIODO Imp.]],CM$9)</f>
        <v>0</v>
      </c>
      <c r="CN320" s="693">
        <f>SUMIFS(Imput[[Importe Neto]:[Importe Neto]],Imput[[C. Imp.]:[C. Imp.]],$D320,Imput[[PERIODO Imp.]:[PERIODO Imp.]],CN$9)</f>
        <v>0</v>
      </c>
      <c r="CO320" s="693">
        <f>SUMIFS(Imput[[Importe Neto]:[Importe Neto]],Imput[[C. Imp.]:[C. Imp.]],$D320,Imput[[PERIODO Imp.]:[PERIODO Imp.]],CO$9)</f>
        <v>0</v>
      </c>
      <c r="CP320" s="693">
        <f>SUMIFS(Imput[[Importe Neto]:[Importe Neto]],Imput[[C. Imp.]:[C. Imp.]],$D320,Imput[[PERIODO Imp.]:[PERIODO Imp.]],CP$9)</f>
        <v>0</v>
      </c>
      <c r="CQ320" s="693">
        <f>SUMIFS(Imput[[Importe Neto]:[Importe Neto]],Imput[[C. Imp.]:[C. Imp.]],$D320,Imput[[PERIODO Imp.]:[PERIODO Imp.]],CQ$9)</f>
        <v>0</v>
      </c>
      <c r="CR320" s="693">
        <f>SUMIFS(Imput[[Importe Neto]:[Importe Neto]],Imput[[C. Imp.]:[C. Imp.]],$D320,Imput[[PERIODO Imp.]:[PERIODO Imp.]],CR$9)</f>
        <v>0</v>
      </c>
      <c r="CS320" s="693">
        <f>SUMIFS(Imput[[Importe Neto]:[Importe Neto]],Imput[[C. Imp.]:[C. Imp.]],$D320,Imput[[PERIODO Imp.]:[PERIODO Imp.]],CS$9)</f>
        <v>0</v>
      </c>
      <c r="CT320" s="693">
        <f>SUMIFS(Imput[[Importe Neto]:[Importe Neto]],Imput[[C. Imp.]:[C. Imp.]],$D320,Imput[[PERIODO Imp.]:[PERIODO Imp.]],CT$9)</f>
        <v>0</v>
      </c>
      <c r="CU320" s="693">
        <f>SUMIFS(Imput[[Importe Neto]:[Importe Neto]],Imput[[C. Imp.]:[C. Imp.]],$D320,Imput[[PERIODO Imp.]:[PERIODO Imp.]],CU$9)</f>
        <v>0</v>
      </c>
      <c r="CV320" s="693">
        <f>SUMIFS(Imput[[Importe Neto]:[Importe Neto]],Imput[[C. Imp.]:[C. Imp.]],$D320,Imput[[PERIODO Imp.]:[PERIODO Imp.]],CV$9)</f>
        <v>0</v>
      </c>
      <c r="CW320" s="693">
        <f>SUMIFS(Imput[[Importe Neto]:[Importe Neto]],Imput[[C. Imp.]:[C. Imp.]],$D320,Imput[[PERIODO Imp.]:[PERIODO Imp.]],CW$9)</f>
        <v>0</v>
      </c>
      <c r="CX320" s="693">
        <f>SUMIFS(Imput[[Importe Neto]:[Importe Neto]],Imput[[C. Imp.]:[C. Imp.]],$D320,Imput[[PERIODO Imp.]:[PERIODO Imp.]],CX$9)</f>
        <v>0</v>
      </c>
      <c r="CY320" s="693">
        <f>SUMIFS(Imput[[Importe Neto]:[Importe Neto]],Imput[[C. Imp.]:[C. Imp.]],$D320,Imput[[PERIODO Imp.]:[PERIODO Imp.]],CY$9)</f>
        <v>0</v>
      </c>
      <c r="CZ320" s="693">
        <f>SUMIFS(Imput[[Importe Neto]:[Importe Neto]],Imput[[C. Imp.]:[C. Imp.]],$D320,Imput[[PERIODO Imp.]:[PERIODO Imp.]],CZ$9)</f>
        <v>0</v>
      </c>
      <c r="DA320" s="693">
        <f>SUMIFS(Imput[[Importe Neto]:[Importe Neto]],Imput[[C. Imp.]:[C. Imp.]],$D320,Imput[[PERIODO Imp.]:[PERIODO Imp.]],DA$9)</f>
        <v>0</v>
      </c>
      <c r="DB320" s="693">
        <f>SUMIFS(Imput[[Importe Neto]:[Importe Neto]],Imput[[C. Imp.]:[C. Imp.]],$D320,Imput[[PERIODO Imp.]:[PERIODO Imp.]],DB$9)</f>
        <v>0</v>
      </c>
      <c r="DC320" s="693">
        <f>SUMIFS(Imput[[Importe Neto]:[Importe Neto]],Imput[[C. Imp.]:[C. Imp.]],$D320,Imput[[PERIODO Imp.]:[PERIODO Imp.]],DC$9)</f>
        <v>0</v>
      </c>
      <c r="DD320" s="693">
        <f>SUMIFS(Imput[[Importe Neto]:[Importe Neto]],Imput[[C. Imp.]:[C. Imp.]],$D320,Imput[[PERIODO Imp.]:[PERIODO Imp.]],DD$9)</f>
        <v>0</v>
      </c>
      <c r="DE320" s="693">
        <f>SUMIFS(Imput[[Importe Neto]:[Importe Neto]],Imput[[C. Imp.]:[C. Imp.]],$D320,Imput[[PERIODO Imp.]:[PERIODO Imp.]],DE$9)</f>
        <v>0</v>
      </c>
      <c r="DF320" s="693">
        <f>SUMIFS(Imput[[Importe Neto]:[Importe Neto]],Imput[[C. Imp.]:[C. Imp.]],$D320,Imput[[PERIODO Imp.]:[PERIODO Imp.]],DF$9)</f>
        <v>0</v>
      </c>
      <c r="DG320" s="693">
        <f>SUMIFS(Imput[[Importe Neto]:[Importe Neto]],Imput[[C. Imp.]:[C. Imp.]],$D320,Imput[[PERIODO Imp.]:[PERIODO Imp.]],DG$9)</f>
        <v>0</v>
      </c>
      <c r="DH320" s="694">
        <f>SUMIFS(Imput[[Importe Neto]:[Importe Neto]],Imput[[C. Imp.]:[C. Imp.]],$D320,Imput[[PERIODO Imp.]:[PERIODO Imp.]],DH$9)</f>
        <v>0</v>
      </c>
    </row>
    <row r="321" spans="1:112" s="649" customFormat="1" hidden="1" outlineLevel="1" x14ac:dyDescent="0.3">
      <c r="A321" s="652" t="str">
        <f t="shared" si="144"/>
        <v/>
      </c>
      <c r="B321" s="652"/>
      <c r="C321" s="685"/>
      <c r="D321" s="686" t="s">
        <v>2385</v>
      </c>
      <c r="E321" s="686"/>
      <c r="F321" s="720"/>
      <c r="G321" s="688"/>
      <c r="H321" s="689"/>
      <c r="I321" s="851" t="str">
        <f t="shared" si="145"/>
        <v/>
      </c>
      <c r="J321" s="850" t="str">
        <f t="shared" si="146"/>
        <v/>
      </c>
      <c r="K321" s="667"/>
      <c r="L321" s="858"/>
      <c r="M321" s="859"/>
      <c r="N321" s="859"/>
      <c r="O321" s="859"/>
      <c r="P321" s="859"/>
      <c r="Q321" s="859"/>
      <c r="R321" s="859"/>
      <c r="S321" s="859"/>
      <c r="T321" s="859"/>
      <c r="U321" s="859"/>
      <c r="V321" s="859"/>
      <c r="W321" s="859"/>
      <c r="X321" s="859"/>
      <c r="Y321" s="859"/>
      <c r="Z321" s="860"/>
      <c r="AA321" s="860"/>
      <c r="AB321" s="860"/>
      <c r="AC321" s="860"/>
      <c r="AD321" s="860"/>
      <c r="AE321" s="860"/>
      <c r="AF321" s="860"/>
      <c r="AG321" s="860"/>
      <c r="AH321" s="860"/>
      <c r="AI321" s="860"/>
      <c r="AJ321" s="860"/>
      <c r="AK321" s="860"/>
      <c r="AL321" s="860"/>
      <c r="AM321" s="860"/>
      <c r="AN321" s="860"/>
      <c r="AO321" s="860"/>
      <c r="AP321" s="860"/>
      <c r="AQ321" s="860"/>
      <c r="AR321" s="860"/>
      <c r="AS321" s="860"/>
      <c r="AT321" s="860"/>
      <c r="AU321" s="860"/>
      <c r="AV321" s="860"/>
      <c r="AW321" s="860"/>
      <c r="AX321" s="860"/>
      <c r="AY321" s="860"/>
      <c r="AZ321" s="860"/>
      <c r="BA321" s="860"/>
      <c r="BB321" s="860"/>
      <c r="BC321" s="860"/>
      <c r="BD321" s="860"/>
      <c r="BE321" s="860"/>
      <c r="BF321" s="860"/>
      <c r="BG321" s="860"/>
      <c r="BH321" s="668"/>
      <c r="BI321" s="667"/>
      <c r="BJ321" s="690">
        <f t="shared" si="147"/>
        <v>0</v>
      </c>
      <c r="BK321" s="691">
        <f t="shared" si="148"/>
        <v>0</v>
      </c>
      <c r="BL321" s="654"/>
      <c r="BM321" s="692">
        <f>SUMIFS(Imput[[Importe Neto]:[Importe Neto]],Imput[[C. Imp.]:[C. Imp.]],$D321,Imput[[PERIODO Imp.]:[PERIODO Imp.]],BM$9)</f>
        <v>0</v>
      </c>
      <c r="BN321" s="693">
        <f>SUMIFS(Imput[[Importe Neto]:[Importe Neto]],Imput[[C. Imp.]:[C. Imp.]],$D321,Imput[[PERIODO Imp.]:[PERIODO Imp.]],BN$9)</f>
        <v>0</v>
      </c>
      <c r="BO321" s="693">
        <f>SUMIFS(Imput[[Importe Neto]:[Importe Neto]],Imput[[C. Imp.]:[C. Imp.]],$D321,Imput[[PERIODO Imp.]:[PERIODO Imp.]],BO$9)</f>
        <v>0</v>
      </c>
      <c r="BP321" s="693">
        <f>SUMIFS(Imput[[Importe Neto]:[Importe Neto]],Imput[[C. Imp.]:[C. Imp.]],$D321,Imput[[PERIODO Imp.]:[PERIODO Imp.]],BP$9)</f>
        <v>0</v>
      </c>
      <c r="BQ321" s="693">
        <f>SUMIFS(Imput[[Importe Neto]:[Importe Neto]],Imput[[C. Imp.]:[C. Imp.]],$D321,Imput[[PERIODO Imp.]:[PERIODO Imp.]],BQ$9)</f>
        <v>0</v>
      </c>
      <c r="BR321" s="693">
        <f>SUMIFS(Imput[[Importe Neto]:[Importe Neto]],Imput[[C. Imp.]:[C. Imp.]],$D321,Imput[[PERIODO Imp.]:[PERIODO Imp.]],BR$9)</f>
        <v>0</v>
      </c>
      <c r="BS321" s="693">
        <f>SUMIFS(Imput[[Importe Neto]:[Importe Neto]],Imput[[C. Imp.]:[C. Imp.]],$D321,Imput[[PERIODO Imp.]:[PERIODO Imp.]],BS$9)</f>
        <v>0</v>
      </c>
      <c r="BT321" s="693">
        <f>SUMIFS(Imput[[Importe Neto]:[Importe Neto]],Imput[[C. Imp.]:[C. Imp.]],$D321,Imput[[PERIODO Imp.]:[PERIODO Imp.]],BT$9)</f>
        <v>0</v>
      </c>
      <c r="BU321" s="693">
        <f>SUMIFS(Imput[[Importe Neto]:[Importe Neto]],Imput[[C. Imp.]:[C. Imp.]],$D321,Imput[[PERIODO Imp.]:[PERIODO Imp.]],BU$9)</f>
        <v>0</v>
      </c>
      <c r="BV321" s="693">
        <f>SUMIFS(Imput[[Importe Neto]:[Importe Neto]],Imput[[C. Imp.]:[C. Imp.]],$D321,Imput[[PERIODO Imp.]:[PERIODO Imp.]],BV$9)</f>
        <v>0</v>
      </c>
      <c r="BW321" s="693">
        <f>SUMIFS(Imput[[Importe Neto]:[Importe Neto]],Imput[[C. Imp.]:[C. Imp.]],$D321,Imput[[PERIODO Imp.]:[PERIODO Imp.]],BW$9)</f>
        <v>0</v>
      </c>
      <c r="BX321" s="693">
        <f>SUMIFS(Imput[[Importe Neto]:[Importe Neto]],Imput[[C. Imp.]:[C. Imp.]],$D321,Imput[[PERIODO Imp.]:[PERIODO Imp.]],BX$9)</f>
        <v>0</v>
      </c>
      <c r="BY321" s="693">
        <f>SUMIFS(Imput[[Importe Neto]:[Importe Neto]],Imput[[C. Imp.]:[C. Imp.]],$D321,Imput[[PERIODO Imp.]:[PERIODO Imp.]],BY$9)</f>
        <v>0</v>
      </c>
      <c r="BZ321" s="693">
        <f>SUMIFS(Imput[[Importe Neto]:[Importe Neto]],Imput[[C. Imp.]:[C. Imp.]],$D321,Imput[[PERIODO Imp.]:[PERIODO Imp.]],BZ$9)</f>
        <v>0</v>
      </c>
      <c r="CA321" s="693">
        <f>SUMIFS(Imput[[Importe Neto]:[Importe Neto]],Imput[[C. Imp.]:[C. Imp.]],$D321,Imput[[PERIODO Imp.]:[PERIODO Imp.]],CA$9)</f>
        <v>0</v>
      </c>
      <c r="CB321" s="693">
        <f>SUMIFS(Imput[[Importe Neto]:[Importe Neto]],Imput[[C. Imp.]:[C. Imp.]],$D321,Imput[[PERIODO Imp.]:[PERIODO Imp.]],CB$9)</f>
        <v>0</v>
      </c>
      <c r="CC321" s="693">
        <f>SUMIFS(Imput[[Importe Neto]:[Importe Neto]],Imput[[C. Imp.]:[C. Imp.]],$D321,Imput[[PERIODO Imp.]:[PERIODO Imp.]],CC$9)</f>
        <v>0</v>
      </c>
      <c r="CD321" s="693">
        <f>SUMIFS(Imput[[Importe Neto]:[Importe Neto]],Imput[[C. Imp.]:[C. Imp.]],$D321,Imput[[PERIODO Imp.]:[PERIODO Imp.]],CD$9)</f>
        <v>0</v>
      </c>
      <c r="CE321" s="693">
        <f>SUMIFS(Imput[[Importe Neto]:[Importe Neto]],Imput[[C. Imp.]:[C. Imp.]],$D321,Imput[[PERIODO Imp.]:[PERIODO Imp.]],CE$9)</f>
        <v>0</v>
      </c>
      <c r="CF321" s="693">
        <f>SUMIFS(Imput[[Importe Neto]:[Importe Neto]],Imput[[C. Imp.]:[C. Imp.]],$D321,Imput[[PERIODO Imp.]:[PERIODO Imp.]],CF$9)</f>
        <v>0</v>
      </c>
      <c r="CG321" s="693">
        <f>SUMIFS(Imput[[Importe Neto]:[Importe Neto]],Imput[[C. Imp.]:[C. Imp.]],$D321,Imput[[PERIODO Imp.]:[PERIODO Imp.]],CG$9)</f>
        <v>0</v>
      </c>
      <c r="CH321" s="693">
        <f>SUMIFS(Imput[[Importe Neto]:[Importe Neto]],Imput[[C. Imp.]:[C. Imp.]],$D321,Imput[[PERIODO Imp.]:[PERIODO Imp.]],CH$9)</f>
        <v>0</v>
      </c>
      <c r="CI321" s="693">
        <f>SUMIFS(Imput[[Importe Neto]:[Importe Neto]],Imput[[C. Imp.]:[C. Imp.]],$D321,Imput[[PERIODO Imp.]:[PERIODO Imp.]],CI$9)</f>
        <v>0</v>
      </c>
      <c r="CJ321" s="693">
        <f>SUMIFS(Imput[[Importe Neto]:[Importe Neto]],Imput[[C. Imp.]:[C. Imp.]],$D321,Imput[[PERIODO Imp.]:[PERIODO Imp.]],CJ$9)</f>
        <v>0</v>
      </c>
      <c r="CK321" s="693">
        <f>SUMIFS(Imput[[Importe Neto]:[Importe Neto]],Imput[[C. Imp.]:[C. Imp.]],$D321,Imput[[PERIODO Imp.]:[PERIODO Imp.]],CK$9)</f>
        <v>0</v>
      </c>
      <c r="CL321" s="693">
        <f>SUMIFS(Imput[[Importe Neto]:[Importe Neto]],Imput[[C. Imp.]:[C. Imp.]],$D321,Imput[[PERIODO Imp.]:[PERIODO Imp.]],CL$9)</f>
        <v>0</v>
      </c>
      <c r="CM321" s="693">
        <f>SUMIFS(Imput[[Importe Neto]:[Importe Neto]],Imput[[C. Imp.]:[C. Imp.]],$D321,Imput[[PERIODO Imp.]:[PERIODO Imp.]],CM$9)</f>
        <v>0</v>
      </c>
      <c r="CN321" s="693">
        <f>SUMIFS(Imput[[Importe Neto]:[Importe Neto]],Imput[[C. Imp.]:[C. Imp.]],$D321,Imput[[PERIODO Imp.]:[PERIODO Imp.]],CN$9)</f>
        <v>0</v>
      </c>
      <c r="CO321" s="693">
        <f>SUMIFS(Imput[[Importe Neto]:[Importe Neto]],Imput[[C. Imp.]:[C. Imp.]],$D321,Imput[[PERIODO Imp.]:[PERIODO Imp.]],CO$9)</f>
        <v>0</v>
      </c>
      <c r="CP321" s="693">
        <f>SUMIFS(Imput[[Importe Neto]:[Importe Neto]],Imput[[C. Imp.]:[C. Imp.]],$D321,Imput[[PERIODO Imp.]:[PERIODO Imp.]],CP$9)</f>
        <v>0</v>
      </c>
      <c r="CQ321" s="693">
        <f>SUMIFS(Imput[[Importe Neto]:[Importe Neto]],Imput[[C. Imp.]:[C. Imp.]],$D321,Imput[[PERIODO Imp.]:[PERIODO Imp.]],CQ$9)</f>
        <v>0</v>
      </c>
      <c r="CR321" s="693">
        <f>SUMIFS(Imput[[Importe Neto]:[Importe Neto]],Imput[[C. Imp.]:[C. Imp.]],$D321,Imput[[PERIODO Imp.]:[PERIODO Imp.]],CR$9)</f>
        <v>0</v>
      </c>
      <c r="CS321" s="693">
        <f>SUMIFS(Imput[[Importe Neto]:[Importe Neto]],Imput[[C. Imp.]:[C. Imp.]],$D321,Imput[[PERIODO Imp.]:[PERIODO Imp.]],CS$9)</f>
        <v>0</v>
      </c>
      <c r="CT321" s="693">
        <f>SUMIFS(Imput[[Importe Neto]:[Importe Neto]],Imput[[C. Imp.]:[C. Imp.]],$D321,Imput[[PERIODO Imp.]:[PERIODO Imp.]],CT$9)</f>
        <v>0</v>
      </c>
      <c r="CU321" s="693">
        <f>SUMIFS(Imput[[Importe Neto]:[Importe Neto]],Imput[[C. Imp.]:[C. Imp.]],$D321,Imput[[PERIODO Imp.]:[PERIODO Imp.]],CU$9)</f>
        <v>0</v>
      </c>
      <c r="CV321" s="693">
        <f>SUMIFS(Imput[[Importe Neto]:[Importe Neto]],Imput[[C. Imp.]:[C. Imp.]],$D321,Imput[[PERIODO Imp.]:[PERIODO Imp.]],CV$9)</f>
        <v>0</v>
      </c>
      <c r="CW321" s="693">
        <f>SUMIFS(Imput[[Importe Neto]:[Importe Neto]],Imput[[C. Imp.]:[C. Imp.]],$D321,Imput[[PERIODO Imp.]:[PERIODO Imp.]],CW$9)</f>
        <v>0</v>
      </c>
      <c r="CX321" s="693">
        <f>SUMIFS(Imput[[Importe Neto]:[Importe Neto]],Imput[[C. Imp.]:[C. Imp.]],$D321,Imput[[PERIODO Imp.]:[PERIODO Imp.]],CX$9)</f>
        <v>0</v>
      </c>
      <c r="CY321" s="693">
        <f>SUMIFS(Imput[[Importe Neto]:[Importe Neto]],Imput[[C. Imp.]:[C. Imp.]],$D321,Imput[[PERIODO Imp.]:[PERIODO Imp.]],CY$9)</f>
        <v>0</v>
      </c>
      <c r="CZ321" s="693">
        <f>SUMIFS(Imput[[Importe Neto]:[Importe Neto]],Imput[[C. Imp.]:[C. Imp.]],$D321,Imput[[PERIODO Imp.]:[PERIODO Imp.]],CZ$9)</f>
        <v>0</v>
      </c>
      <c r="DA321" s="693">
        <f>SUMIFS(Imput[[Importe Neto]:[Importe Neto]],Imput[[C. Imp.]:[C. Imp.]],$D321,Imput[[PERIODO Imp.]:[PERIODO Imp.]],DA$9)</f>
        <v>0</v>
      </c>
      <c r="DB321" s="693">
        <f>SUMIFS(Imput[[Importe Neto]:[Importe Neto]],Imput[[C. Imp.]:[C. Imp.]],$D321,Imput[[PERIODO Imp.]:[PERIODO Imp.]],DB$9)</f>
        <v>0</v>
      </c>
      <c r="DC321" s="693">
        <f>SUMIFS(Imput[[Importe Neto]:[Importe Neto]],Imput[[C. Imp.]:[C. Imp.]],$D321,Imput[[PERIODO Imp.]:[PERIODO Imp.]],DC$9)</f>
        <v>0</v>
      </c>
      <c r="DD321" s="693">
        <f>SUMIFS(Imput[[Importe Neto]:[Importe Neto]],Imput[[C. Imp.]:[C. Imp.]],$D321,Imput[[PERIODO Imp.]:[PERIODO Imp.]],DD$9)</f>
        <v>0</v>
      </c>
      <c r="DE321" s="693">
        <f>SUMIFS(Imput[[Importe Neto]:[Importe Neto]],Imput[[C. Imp.]:[C. Imp.]],$D321,Imput[[PERIODO Imp.]:[PERIODO Imp.]],DE$9)</f>
        <v>0</v>
      </c>
      <c r="DF321" s="693">
        <f>SUMIFS(Imput[[Importe Neto]:[Importe Neto]],Imput[[C. Imp.]:[C. Imp.]],$D321,Imput[[PERIODO Imp.]:[PERIODO Imp.]],DF$9)</f>
        <v>0</v>
      </c>
      <c r="DG321" s="693">
        <f>SUMIFS(Imput[[Importe Neto]:[Importe Neto]],Imput[[C. Imp.]:[C. Imp.]],$D321,Imput[[PERIODO Imp.]:[PERIODO Imp.]],DG$9)</f>
        <v>0</v>
      </c>
      <c r="DH321" s="694">
        <f>SUMIFS(Imput[[Importe Neto]:[Importe Neto]],Imput[[C. Imp.]:[C. Imp.]],$D321,Imput[[PERIODO Imp.]:[PERIODO Imp.]],DH$9)</f>
        <v>0</v>
      </c>
    </row>
    <row r="322" spans="1:112" s="649" customFormat="1" hidden="1" outlineLevel="1" x14ac:dyDescent="0.3">
      <c r="A322" s="652" t="str">
        <f t="shared" si="144"/>
        <v/>
      </c>
      <c r="B322" s="652"/>
      <c r="C322" s="685"/>
      <c r="D322" s="686" t="s">
        <v>2386</v>
      </c>
      <c r="E322" s="686"/>
      <c r="F322" s="720"/>
      <c r="G322" s="688"/>
      <c r="H322" s="689"/>
      <c r="I322" s="851" t="str">
        <f t="shared" si="145"/>
        <v/>
      </c>
      <c r="J322" s="850" t="str">
        <f t="shared" si="146"/>
        <v/>
      </c>
      <c r="K322" s="667"/>
      <c r="L322" s="858"/>
      <c r="M322" s="859"/>
      <c r="N322" s="859"/>
      <c r="O322" s="859"/>
      <c r="P322" s="859"/>
      <c r="Q322" s="859"/>
      <c r="R322" s="859"/>
      <c r="S322" s="859"/>
      <c r="T322" s="859"/>
      <c r="U322" s="859"/>
      <c r="V322" s="859"/>
      <c r="W322" s="859"/>
      <c r="X322" s="859"/>
      <c r="Y322" s="859"/>
      <c r="Z322" s="860"/>
      <c r="AA322" s="860"/>
      <c r="AB322" s="860"/>
      <c r="AC322" s="860"/>
      <c r="AD322" s="860"/>
      <c r="AE322" s="860"/>
      <c r="AF322" s="860"/>
      <c r="AG322" s="860"/>
      <c r="AH322" s="860"/>
      <c r="AI322" s="860"/>
      <c r="AJ322" s="860"/>
      <c r="AK322" s="860"/>
      <c r="AL322" s="860"/>
      <c r="AM322" s="860"/>
      <c r="AN322" s="860"/>
      <c r="AO322" s="860"/>
      <c r="AP322" s="860"/>
      <c r="AQ322" s="860"/>
      <c r="AR322" s="860"/>
      <c r="AS322" s="860"/>
      <c r="AT322" s="860"/>
      <c r="AU322" s="860"/>
      <c r="AV322" s="860"/>
      <c r="AW322" s="860"/>
      <c r="AX322" s="860"/>
      <c r="AY322" s="860"/>
      <c r="AZ322" s="860"/>
      <c r="BA322" s="860"/>
      <c r="BB322" s="860"/>
      <c r="BC322" s="860"/>
      <c r="BD322" s="860"/>
      <c r="BE322" s="860"/>
      <c r="BF322" s="860"/>
      <c r="BG322" s="860"/>
      <c r="BH322" s="668"/>
      <c r="BI322" s="667"/>
      <c r="BJ322" s="690">
        <f t="shared" si="147"/>
        <v>0</v>
      </c>
      <c r="BK322" s="691">
        <f t="shared" si="148"/>
        <v>0</v>
      </c>
      <c r="BL322" s="654"/>
      <c r="BM322" s="692">
        <f>SUMIFS(Imput[[Importe Neto]:[Importe Neto]],Imput[[C. Imp.]:[C. Imp.]],$D322,Imput[[PERIODO Imp.]:[PERIODO Imp.]],BM$9)</f>
        <v>0</v>
      </c>
      <c r="BN322" s="693">
        <f>SUMIFS(Imput[[Importe Neto]:[Importe Neto]],Imput[[C. Imp.]:[C. Imp.]],$D322,Imput[[PERIODO Imp.]:[PERIODO Imp.]],BN$9)</f>
        <v>0</v>
      </c>
      <c r="BO322" s="693">
        <f>SUMIFS(Imput[[Importe Neto]:[Importe Neto]],Imput[[C. Imp.]:[C. Imp.]],$D322,Imput[[PERIODO Imp.]:[PERIODO Imp.]],BO$9)</f>
        <v>0</v>
      </c>
      <c r="BP322" s="693">
        <f>SUMIFS(Imput[[Importe Neto]:[Importe Neto]],Imput[[C. Imp.]:[C. Imp.]],$D322,Imput[[PERIODO Imp.]:[PERIODO Imp.]],BP$9)</f>
        <v>0</v>
      </c>
      <c r="BQ322" s="693">
        <f>SUMIFS(Imput[[Importe Neto]:[Importe Neto]],Imput[[C. Imp.]:[C. Imp.]],$D322,Imput[[PERIODO Imp.]:[PERIODO Imp.]],BQ$9)</f>
        <v>0</v>
      </c>
      <c r="BR322" s="693">
        <f>SUMIFS(Imput[[Importe Neto]:[Importe Neto]],Imput[[C. Imp.]:[C. Imp.]],$D322,Imput[[PERIODO Imp.]:[PERIODO Imp.]],BR$9)</f>
        <v>0</v>
      </c>
      <c r="BS322" s="693">
        <f>SUMIFS(Imput[[Importe Neto]:[Importe Neto]],Imput[[C. Imp.]:[C. Imp.]],$D322,Imput[[PERIODO Imp.]:[PERIODO Imp.]],BS$9)</f>
        <v>0</v>
      </c>
      <c r="BT322" s="693">
        <f>SUMIFS(Imput[[Importe Neto]:[Importe Neto]],Imput[[C. Imp.]:[C. Imp.]],$D322,Imput[[PERIODO Imp.]:[PERIODO Imp.]],BT$9)</f>
        <v>0</v>
      </c>
      <c r="BU322" s="693">
        <f>SUMIFS(Imput[[Importe Neto]:[Importe Neto]],Imput[[C. Imp.]:[C. Imp.]],$D322,Imput[[PERIODO Imp.]:[PERIODO Imp.]],BU$9)</f>
        <v>0</v>
      </c>
      <c r="BV322" s="693">
        <f>SUMIFS(Imput[[Importe Neto]:[Importe Neto]],Imput[[C. Imp.]:[C. Imp.]],$D322,Imput[[PERIODO Imp.]:[PERIODO Imp.]],BV$9)</f>
        <v>0</v>
      </c>
      <c r="BW322" s="693">
        <f>SUMIFS(Imput[[Importe Neto]:[Importe Neto]],Imput[[C. Imp.]:[C. Imp.]],$D322,Imput[[PERIODO Imp.]:[PERIODO Imp.]],BW$9)</f>
        <v>0</v>
      </c>
      <c r="BX322" s="693">
        <f>SUMIFS(Imput[[Importe Neto]:[Importe Neto]],Imput[[C. Imp.]:[C. Imp.]],$D322,Imput[[PERIODO Imp.]:[PERIODO Imp.]],BX$9)</f>
        <v>0</v>
      </c>
      <c r="BY322" s="693">
        <f>SUMIFS(Imput[[Importe Neto]:[Importe Neto]],Imput[[C. Imp.]:[C. Imp.]],$D322,Imput[[PERIODO Imp.]:[PERIODO Imp.]],BY$9)</f>
        <v>0</v>
      </c>
      <c r="BZ322" s="693">
        <f>SUMIFS(Imput[[Importe Neto]:[Importe Neto]],Imput[[C. Imp.]:[C. Imp.]],$D322,Imput[[PERIODO Imp.]:[PERIODO Imp.]],BZ$9)</f>
        <v>0</v>
      </c>
      <c r="CA322" s="693">
        <f>SUMIFS(Imput[[Importe Neto]:[Importe Neto]],Imput[[C. Imp.]:[C. Imp.]],$D322,Imput[[PERIODO Imp.]:[PERIODO Imp.]],CA$9)</f>
        <v>0</v>
      </c>
      <c r="CB322" s="693">
        <f>SUMIFS(Imput[[Importe Neto]:[Importe Neto]],Imput[[C. Imp.]:[C. Imp.]],$D322,Imput[[PERIODO Imp.]:[PERIODO Imp.]],CB$9)</f>
        <v>0</v>
      </c>
      <c r="CC322" s="693">
        <f>SUMIFS(Imput[[Importe Neto]:[Importe Neto]],Imput[[C. Imp.]:[C. Imp.]],$D322,Imput[[PERIODO Imp.]:[PERIODO Imp.]],CC$9)</f>
        <v>0</v>
      </c>
      <c r="CD322" s="693">
        <f>SUMIFS(Imput[[Importe Neto]:[Importe Neto]],Imput[[C. Imp.]:[C. Imp.]],$D322,Imput[[PERIODO Imp.]:[PERIODO Imp.]],CD$9)</f>
        <v>0</v>
      </c>
      <c r="CE322" s="693">
        <f>SUMIFS(Imput[[Importe Neto]:[Importe Neto]],Imput[[C. Imp.]:[C. Imp.]],$D322,Imput[[PERIODO Imp.]:[PERIODO Imp.]],CE$9)</f>
        <v>0</v>
      </c>
      <c r="CF322" s="693">
        <f>SUMIFS(Imput[[Importe Neto]:[Importe Neto]],Imput[[C. Imp.]:[C. Imp.]],$D322,Imput[[PERIODO Imp.]:[PERIODO Imp.]],CF$9)</f>
        <v>0</v>
      </c>
      <c r="CG322" s="693">
        <f>SUMIFS(Imput[[Importe Neto]:[Importe Neto]],Imput[[C. Imp.]:[C. Imp.]],$D322,Imput[[PERIODO Imp.]:[PERIODO Imp.]],CG$9)</f>
        <v>0</v>
      </c>
      <c r="CH322" s="693">
        <f>SUMIFS(Imput[[Importe Neto]:[Importe Neto]],Imput[[C. Imp.]:[C. Imp.]],$D322,Imput[[PERIODO Imp.]:[PERIODO Imp.]],CH$9)</f>
        <v>0</v>
      </c>
      <c r="CI322" s="693">
        <f>SUMIFS(Imput[[Importe Neto]:[Importe Neto]],Imput[[C. Imp.]:[C. Imp.]],$D322,Imput[[PERIODO Imp.]:[PERIODO Imp.]],CI$9)</f>
        <v>0</v>
      </c>
      <c r="CJ322" s="693">
        <f>SUMIFS(Imput[[Importe Neto]:[Importe Neto]],Imput[[C. Imp.]:[C. Imp.]],$D322,Imput[[PERIODO Imp.]:[PERIODO Imp.]],CJ$9)</f>
        <v>0</v>
      </c>
      <c r="CK322" s="693">
        <f>SUMIFS(Imput[[Importe Neto]:[Importe Neto]],Imput[[C. Imp.]:[C. Imp.]],$D322,Imput[[PERIODO Imp.]:[PERIODO Imp.]],CK$9)</f>
        <v>0</v>
      </c>
      <c r="CL322" s="693">
        <f>SUMIFS(Imput[[Importe Neto]:[Importe Neto]],Imput[[C. Imp.]:[C. Imp.]],$D322,Imput[[PERIODO Imp.]:[PERIODO Imp.]],CL$9)</f>
        <v>0</v>
      </c>
      <c r="CM322" s="693">
        <f>SUMIFS(Imput[[Importe Neto]:[Importe Neto]],Imput[[C. Imp.]:[C. Imp.]],$D322,Imput[[PERIODO Imp.]:[PERIODO Imp.]],CM$9)</f>
        <v>0</v>
      </c>
      <c r="CN322" s="693">
        <f>SUMIFS(Imput[[Importe Neto]:[Importe Neto]],Imput[[C. Imp.]:[C. Imp.]],$D322,Imput[[PERIODO Imp.]:[PERIODO Imp.]],CN$9)</f>
        <v>0</v>
      </c>
      <c r="CO322" s="693">
        <f>SUMIFS(Imput[[Importe Neto]:[Importe Neto]],Imput[[C. Imp.]:[C. Imp.]],$D322,Imput[[PERIODO Imp.]:[PERIODO Imp.]],CO$9)</f>
        <v>0</v>
      </c>
      <c r="CP322" s="693">
        <f>SUMIFS(Imput[[Importe Neto]:[Importe Neto]],Imput[[C. Imp.]:[C. Imp.]],$D322,Imput[[PERIODO Imp.]:[PERIODO Imp.]],CP$9)</f>
        <v>0</v>
      </c>
      <c r="CQ322" s="693">
        <f>SUMIFS(Imput[[Importe Neto]:[Importe Neto]],Imput[[C. Imp.]:[C. Imp.]],$D322,Imput[[PERIODO Imp.]:[PERIODO Imp.]],CQ$9)</f>
        <v>0</v>
      </c>
      <c r="CR322" s="693">
        <f>SUMIFS(Imput[[Importe Neto]:[Importe Neto]],Imput[[C. Imp.]:[C. Imp.]],$D322,Imput[[PERIODO Imp.]:[PERIODO Imp.]],CR$9)</f>
        <v>0</v>
      </c>
      <c r="CS322" s="693">
        <f>SUMIFS(Imput[[Importe Neto]:[Importe Neto]],Imput[[C. Imp.]:[C. Imp.]],$D322,Imput[[PERIODO Imp.]:[PERIODO Imp.]],CS$9)</f>
        <v>0</v>
      </c>
      <c r="CT322" s="693">
        <f>SUMIFS(Imput[[Importe Neto]:[Importe Neto]],Imput[[C. Imp.]:[C. Imp.]],$D322,Imput[[PERIODO Imp.]:[PERIODO Imp.]],CT$9)</f>
        <v>0</v>
      </c>
      <c r="CU322" s="693">
        <f>SUMIFS(Imput[[Importe Neto]:[Importe Neto]],Imput[[C. Imp.]:[C. Imp.]],$D322,Imput[[PERIODO Imp.]:[PERIODO Imp.]],CU$9)</f>
        <v>0</v>
      </c>
      <c r="CV322" s="693">
        <f>SUMIFS(Imput[[Importe Neto]:[Importe Neto]],Imput[[C. Imp.]:[C. Imp.]],$D322,Imput[[PERIODO Imp.]:[PERIODO Imp.]],CV$9)</f>
        <v>0</v>
      </c>
      <c r="CW322" s="693">
        <f>SUMIFS(Imput[[Importe Neto]:[Importe Neto]],Imput[[C. Imp.]:[C. Imp.]],$D322,Imput[[PERIODO Imp.]:[PERIODO Imp.]],CW$9)</f>
        <v>0</v>
      </c>
      <c r="CX322" s="693">
        <f>SUMIFS(Imput[[Importe Neto]:[Importe Neto]],Imput[[C. Imp.]:[C. Imp.]],$D322,Imput[[PERIODO Imp.]:[PERIODO Imp.]],CX$9)</f>
        <v>0</v>
      </c>
      <c r="CY322" s="693">
        <f>SUMIFS(Imput[[Importe Neto]:[Importe Neto]],Imput[[C. Imp.]:[C. Imp.]],$D322,Imput[[PERIODO Imp.]:[PERIODO Imp.]],CY$9)</f>
        <v>0</v>
      </c>
      <c r="CZ322" s="693">
        <f>SUMIFS(Imput[[Importe Neto]:[Importe Neto]],Imput[[C. Imp.]:[C. Imp.]],$D322,Imput[[PERIODO Imp.]:[PERIODO Imp.]],CZ$9)</f>
        <v>0</v>
      </c>
      <c r="DA322" s="693">
        <f>SUMIFS(Imput[[Importe Neto]:[Importe Neto]],Imput[[C. Imp.]:[C. Imp.]],$D322,Imput[[PERIODO Imp.]:[PERIODO Imp.]],DA$9)</f>
        <v>0</v>
      </c>
      <c r="DB322" s="693">
        <f>SUMIFS(Imput[[Importe Neto]:[Importe Neto]],Imput[[C. Imp.]:[C. Imp.]],$D322,Imput[[PERIODO Imp.]:[PERIODO Imp.]],DB$9)</f>
        <v>0</v>
      </c>
      <c r="DC322" s="693">
        <f>SUMIFS(Imput[[Importe Neto]:[Importe Neto]],Imput[[C. Imp.]:[C. Imp.]],$D322,Imput[[PERIODO Imp.]:[PERIODO Imp.]],DC$9)</f>
        <v>0</v>
      </c>
      <c r="DD322" s="693">
        <f>SUMIFS(Imput[[Importe Neto]:[Importe Neto]],Imput[[C. Imp.]:[C. Imp.]],$D322,Imput[[PERIODO Imp.]:[PERIODO Imp.]],DD$9)</f>
        <v>0</v>
      </c>
      <c r="DE322" s="693">
        <f>SUMIFS(Imput[[Importe Neto]:[Importe Neto]],Imput[[C. Imp.]:[C. Imp.]],$D322,Imput[[PERIODO Imp.]:[PERIODO Imp.]],DE$9)</f>
        <v>0</v>
      </c>
      <c r="DF322" s="693">
        <f>SUMIFS(Imput[[Importe Neto]:[Importe Neto]],Imput[[C. Imp.]:[C. Imp.]],$D322,Imput[[PERIODO Imp.]:[PERIODO Imp.]],DF$9)</f>
        <v>0</v>
      </c>
      <c r="DG322" s="693">
        <f>SUMIFS(Imput[[Importe Neto]:[Importe Neto]],Imput[[C. Imp.]:[C. Imp.]],$D322,Imput[[PERIODO Imp.]:[PERIODO Imp.]],DG$9)</f>
        <v>0</v>
      </c>
      <c r="DH322" s="694">
        <f>SUMIFS(Imput[[Importe Neto]:[Importe Neto]],Imput[[C. Imp.]:[C. Imp.]],$D322,Imput[[PERIODO Imp.]:[PERIODO Imp.]],DH$9)</f>
        <v>0</v>
      </c>
    </row>
    <row r="323" spans="1:112" s="649" customFormat="1" hidden="1" outlineLevel="1" x14ac:dyDescent="0.3">
      <c r="A323" s="652" t="str">
        <f t="shared" si="144"/>
        <v/>
      </c>
      <c r="B323" s="652"/>
      <c r="C323" s="685"/>
      <c r="D323" s="686" t="s">
        <v>2387</v>
      </c>
      <c r="E323" s="686"/>
      <c r="F323" s="720"/>
      <c r="G323" s="688"/>
      <c r="H323" s="689"/>
      <c r="I323" s="851" t="str">
        <f t="shared" si="145"/>
        <v/>
      </c>
      <c r="J323" s="850" t="str">
        <f t="shared" si="146"/>
        <v/>
      </c>
      <c r="K323" s="667"/>
      <c r="L323" s="858"/>
      <c r="M323" s="859"/>
      <c r="N323" s="859"/>
      <c r="O323" s="859"/>
      <c r="P323" s="859"/>
      <c r="Q323" s="859"/>
      <c r="R323" s="859"/>
      <c r="S323" s="859"/>
      <c r="T323" s="859"/>
      <c r="U323" s="859"/>
      <c r="V323" s="859"/>
      <c r="W323" s="859"/>
      <c r="X323" s="859"/>
      <c r="Y323" s="859"/>
      <c r="Z323" s="860"/>
      <c r="AA323" s="860"/>
      <c r="AB323" s="860"/>
      <c r="AC323" s="860"/>
      <c r="AD323" s="860"/>
      <c r="AE323" s="860"/>
      <c r="AF323" s="860"/>
      <c r="AG323" s="860"/>
      <c r="AH323" s="860"/>
      <c r="AI323" s="860"/>
      <c r="AJ323" s="860"/>
      <c r="AK323" s="860"/>
      <c r="AL323" s="860"/>
      <c r="AM323" s="860"/>
      <c r="AN323" s="860"/>
      <c r="AO323" s="860"/>
      <c r="AP323" s="860"/>
      <c r="AQ323" s="860"/>
      <c r="AR323" s="860"/>
      <c r="AS323" s="860"/>
      <c r="AT323" s="860"/>
      <c r="AU323" s="860"/>
      <c r="AV323" s="860"/>
      <c r="AW323" s="860"/>
      <c r="AX323" s="860"/>
      <c r="AY323" s="860"/>
      <c r="AZ323" s="860"/>
      <c r="BA323" s="860"/>
      <c r="BB323" s="860"/>
      <c r="BC323" s="860"/>
      <c r="BD323" s="860"/>
      <c r="BE323" s="860"/>
      <c r="BF323" s="860"/>
      <c r="BG323" s="860"/>
      <c r="BH323" s="668"/>
      <c r="BI323" s="667"/>
      <c r="BJ323" s="690">
        <f t="shared" si="147"/>
        <v>0</v>
      </c>
      <c r="BK323" s="691">
        <f t="shared" si="148"/>
        <v>0</v>
      </c>
      <c r="BL323" s="654"/>
      <c r="BM323" s="692">
        <f>SUMIFS(Imput[[Importe Neto]:[Importe Neto]],Imput[[C. Imp.]:[C. Imp.]],$D323,Imput[[PERIODO Imp.]:[PERIODO Imp.]],BM$9)</f>
        <v>0</v>
      </c>
      <c r="BN323" s="693">
        <f>SUMIFS(Imput[[Importe Neto]:[Importe Neto]],Imput[[C. Imp.]:[C. Imp.]],$D323,Imput[[PERIODO Imp.]:[PERIODO Imp.]],BN$9)</f>
        <v>0</v>
      </c>
      <c r="BO323" s="693">
        <f>SUMIFS(Imput[[Importe Neto]:[Importe Neto]],Imput[[C. Imp.]:[C. Imp.]],$D323,Imput[[PERIODO Imp.]:[PERIODO Imp.]],BO$9)</f>
        <v>0</v>
      </c>
      <c r="BP323" s="693">
        <f>SUMIFS(Imput[[Importe Neto]:[Importe Neto]],Imput[[C. Imp.]:[C. Imp.]],$D323,Imput[[PERIODO Imp.]:[PERIODO Imp.]],BP$9)</f>
        <v>0</v>
      </c>
      <c r="BQ323" s="693">
        <f>SUMIFS(Imput[[Importe Neto]:[Importe Neto]],Imput[[C. Imp.]:[C. Imp.]],$D323,Imput[[PERIODO Imp.]:[PERIODO Imp.]],BQ$9)</f>
        <v>0</v>
      </c>
      <c r="BR323" s="693">
        <f>SUMIFS(Imput[[Importe Neto]:[Importe Neto]],Imput[[C. Imp.]:[C. Imp.]],$D323,Imput[[PERIODO Imp.]:[PERIODO Imp.]],BR$9)</f>
        <v>0</v>
      </c>
      <c r="BS323" s="693">
        <f>SUMIFS(Imput[[Importe Neto]:[Importe Neto]],Imput[[C. Imp.]:[C. Imp.]],$D323,Imput[[PERIODO Imp.]:[PERIODO Imp.]],BS$9)</f>
        <v>0</v>
      </c>
      <c r="BT323" s="693">
        <f>SUMIFS(Imput[[Importe Neto]:[Importe Neto]],Imput[[C. Imp.]:[C. Imp.]],$D323,Imput[[PERIODO Imp.]:[PERIODO Imp.]],BT$9)</f>
        <v>0</v>
      </c>
      <c r="BU323" s="693">
        <f>SUMIFS(Imput[[Importe Neto]:[Importe Neto]],Imput[[C. Imp.]:[C. Imp.]],$D323,Imput[[PERIODO Imp.]:[PERIODO Imp.]],BU$9)</f>
        <v>0</v>
      </c>
      <c r="BV323" s="693">
        <f>SUMIFS(Imput[[Importe Neto]:[Importe Neto]],Imput[[C. Imp.]:[C. Imp.]],$D323,Imput[[PERIODO Imp.]:[PERIODO Imp.]],BV$9)</f>
        <v>0</v>
      </c>
      <c r="BW323" s="693">
        <f>SUMIFS(Imput[[Importe Neto]:[Importe Neto]],Imput[[C. Imp.]:[C. Imp.]],$D323,Imput[[PERIODO Imp.]:[PERIODO Imp.]],BW$9)</f>
        <v>0</v>
      </c>
      <c r="BX323" s="693">
        <f>SUMIFS(Imput[[Importe Neto]:[Importe Neto]],Imput[[C. Imp.]:[C. Imp.]],$D323,Imput[[PERIODO Imp.]:[PERIODO Imp.]],BX$9)</f>
        <v>0</v>
      </c>
      <c r="BY323" s="693">
        <f>SUMIFS(Imput[[Importe Neto]:[Importe Neto]],Imput[[C. Imp.]:[C. Imp.]],$D323,Imput[[PERIODO Imp.]:[PERIODO Imp.]],BY$9)</f>
        <v>0</v>
      </c>
      <c r="BZ323" s="693">
        <f>SUMIFS(Imput[[Importe Neto]:[Importe Neto]],Imput[[C. Imp.]:[C. Imp.]],$D323,Imput[[PERIODO Imp.]:[PERIODO Imp.]],BZ$9)</f>
        <v>0</v>
      </c>
      <c r="CA323" s="693">
        <f>SUMIFS(Imput[[Importe Neto]:[Importe Neto]],Imput[[C. Imp.]:[C. Imp.]],$D323,Imput[[PERIODO Imp.]:[PERIODO Imp.]],CA$9)</f>
        <v>0</v>
      </c>
      <c r="CB323" s="693">
        <f>SUMIFS(Imput[[Importe Neto]:[Importe Neto]],Imput[[C. Imp.]:[C. Imp.]],$D323,Imput[[PERIODO Imp.]:[PERIODO Imp.]],CB$9)</f>
        <v>0</v>
      </c>
      <c r="CC323" s="693">
        <f>SUMIFS(Imput[[Importe Neto]:[Importe Neto]],Imput[[C. Imp.]:[C. Imp.]],$D323,Imput[[PERIODO Imp.]:[PERIODO Imp.]],CC$9)</f>
        <v>0</v>
      </c>
      <c r="CD323" s="693">
        <f>SUMIFS(Imput[[Importe Neto]:[Importe Neto]],Imput[[C. Imp.]:[C. Imp.]],$D323,Imput[[PERIODO Imp.]:[PERIODO Imp.]],CD$9)</f>
        <v>0</v>
      </c>
      <c r="CE323" s="693">
        <f>SUMIFS(Imput[[Importe Neto]:[Importe Neto]],Imput[[C. Imp.]:[C. Imp.]],$D323,Imput[[PERIODO Imp.]:[PERIODO Imp.]],CE$9)</f>
        <v>0</v>
      </c>
      <c r="CF323" s="693">
        <f>SUMIFS(Imput[[Importe Neto]:[Importe Neto]],Imput[[C. Imp.]:[C. Imp.]],$D323,Imput[[PERIODO Imp.]:[PERIODO Imp.]],CF$9)</f>
        <v>0</v>
      </c>
      <c r="CG323" s="693">
        <f>SUMIFS(Imput[[Importe Neto]:[Importe Neto]],Imput[[C. Imp.]:[C. Imp.]],$D323,Imput[[PERIODO Imp.]:[PERIODO Imp.]],CG$9)</f>
        <v>0</v>
      </c>
      <c r="CH323" s="693">
        <f>SUMIFS(Imput[[Importe Neto]:[Importe Neto]],Imput[[C. Imp.]:[C. Imp.]],$D323,Imput[[PERIODO Imp.]:[PERIODO Imp.]],CH$9)</f>
        <v>0</v>
      </c>
      <c r="CI323" s="693">
        <f>SUMIFS(Imput[[Importe Neto]:[Importe Neto]],Imput[[C. Imp.]:[C. Imp.]],$D323,Imput[[PERIODO Imp.]:[PERIODO Imp.]],CI$9)</f>
        <v>0</v>
      </c>
      <c r="CJ323" s="693">
        <f>SUMIFS(Imput[[Importe Neto]:[Importe Neto]],Imput[[C. Imp.]:[C. Imp.]],$D323,Imput[[PERIODO Imp.]:[PERIODO Imp.]],CJ$9)</f>
        <v>0</v>
      </c>
      <c r="CK323" s="693">
        <f>SUMIFS(Imput[[Importe Neto]:[Importe Neto]],Imput[[C. Imp.]:[C. Imp.]],$D323,Imput[[PERIODO Imp.]:[PERIODO Imp.]],CK$9)</f>
        <v>0</v>
      </c>
      <c r="CL323" s="693">
        <f>SUMIFS(Imput[[Importe Neto]:[Importe Neto]],Imput[[C. Imp.]:[C. Imp.]],$D323,Imput[[PERIODO Imp.]:[PERIODO Imp.]],CL$9)</f>
        <v>0</v>
      </c>
      <c r="CM323" s="693">
        <f>SUMIFS(Imput[[Importe Neto]:[Importe Neto]],Imput[[C. Imp.]:[C. Imp.]],$D323,Imput[[PERIODO Imp.]:[PERIODO Imp.]],CM$9)</f>
        <v>0</v>
      </c>
      <c r="CN323" s="693">
        <f>SUMIFS(Imput[[Importe Neto]:[Importe Neto]],Imput[[C. Imp.]:[C. Imp.]],$D323,Imput[[PERIODO Imp.]:[PERIODO Imp.]],CN$9)</f>
        <v>0</v>
      </c>
      <c r="CO323" s="693">
        <f>SUMIFS(Imput[[Importe Neto]:[Importe Neto]],Imput[[C. Imp.]:[C. Imp.]],$D323,Imput[[PERIODO Imp.]:[PERIODO Imp.]],CO$9)</f>
        <v>0</v>
      </c>
      <c r="CP323" s="693">
        <f>SUMIFS(Imput[[Importe Neto]:[Importe Neto]],Imput[[C. Imp.]:[C. Imp.]],$D323,Imput[[PERIODO Imp.]:[PERIODO Imp.]],CP$9)</f>
        <v>0</v>
      </c>
      <c r="CQ323" s="693">
        <f>SUMIFS(Imput[[Importe Neto]:[Importe Neto]],Imput[[C. Imp.]:[C. Imp.]],$D323,Imput[[PERIODO Imp.]:[PERIODO Imp.]],CQ$9)</f>
        <v>0</v>
      </c>
      <c r="CR323" s="693">
        <f>SUMIFS(Imput[[Importe Neto]:[Importe Neto]],Imput[[C. Imp.]:[C. Imp.]],$D323,Imput[[PERIODO Imp.]:[PERIODO Imp.]],CR$9)</f>
        <v>0</v>
      </c>
      <c r="CS323" s="693">
        <f>SUMIFS(Imput[[Importe Neto]:[Importe Neto]],Imput[[C. Imp.]:[C. Imp.]],$D323,Imput[[PERIODO Imp.]:[PERIODO Imp.]],CS$9)</f>
        <v>0</v>
      </c>
      <c r="CT323" s="693">
        <f>SUMIFS(Imput[[Importe Neto]:[Importe Neto]],Imput[[C. Imp.]:[C. Imp.]],$D323,Imput[[PERIODO Imp.]:[PERIODO Imp.]],CT$9)</f>
        <v>0</v>
      </c>
      <c r="CU323" s="693">
        <f>SUMIFS(Imput[[Importe Neto]:[Importe Neto]],Imput[[C. Imp.]:[C. Imp.]],$D323,Imput[[PERIODO Imp.]:[PERIODO Imp.]],CU$9)</f>
        <v>0</v>
      </c>
      <c r="CV323" s="693">
        <f>SUMIFS(Imput[[Importe Neto]:[Importe Neto]],Imput[[C. Imp.]:[C. Imp.]],$D323,Imput[[PERIODO Imp.]:[PERIODO Imp.]],CV$9)</f>
        <v>0</v>
      </c>
      <c r="CW323" s="693">
        <f>SUMIFS(Imput[[Importe Neto]:[Importe Neto]],Imput[[C. Imp.]:[C. Imp.]],$D323,Imput[[PERIODO Imp.]:[PERIODO Imp.]],CW$9)</f>
        <v>0</v>
      </c>
      <c r="CX323" s="693">
        <f>SUMIFS(Imput[[Importe Neto]:[Importe Neto]],Imput[[C. Imp.]:[C. Imp.]],$D323,Imput[[PERIODO Imp.]:[PERIODO Imp.]],CX$9)</f>
        <v>0</v>
      </c>
      <c r="CY323" s="693">
        <f>SUMIFS(Imput[[Importe Neto]:[Importe Neto]],Imput[[C. Imp.]:[C. Imp.]],$D323,Imput[[PERIODO Imp.]:[PERIODO Imp.]],CY$9)</f>
        <v>0</v>
      </c>
      <c r="CZ323" s="693">
        <f>SUMIFS(Imput[[Importe Neto]:[Importe Neto]],Imput[[C. Imp.]:[C. Imp.]],$D323,Imput[[PERIODO Imp.]:[PERIODO Imp.]],CZ$9)</f>
        <v>0</v>
      </c>
      <c r="DA323" s="693">
        <f>SUMIFS(Imput[[Importe Neto]:[Importe Neto]],Imput[[C. Imp.]:[C. Imp.]],$D323,Imput[[PERIODO Imp.]:[PERIODO Imp.]],DA$9)</f>
        <v>0</v>
      </c>
      <c r="DB323" s="693">
        <f>SUMIFS(Imput[[Importe Neto]:[Importe Neto]],Imput[[C. Imp.]:[C. Imp.]],$D323,Imput[[PERIODO Imp.]:[PERIODO Imp.]],DB$9)</f>
        <v>0</v>
      </c>
      <c r="DC323" s="693">
        <f>SUMIFS(Imput[[Importe Neto]:[Importe Neto]],Imput[[C. Imp.]:[C. Imp.]],$D323,Imput[[PERIODO Imp.]:[PERIODO Imp.]],DC$9)</f>
        <v>0</v>
      </c>
      <c r="DD323" s="693">
        <f>SUMIFS(Imput[[Importe Neto]:[Importe Neto]],Imput[[C. Imp.]:[C. Imp.]],$D323,Imput[[PERIODO Imp.]:[PERIODO Imp.]],DD$9)</f>
        <v>0</v>
      </c>
      <c r="DE323" s="693">
        <f>SUMIFS(Imput[[Importe Neto]:[Importe Neto]],Imput[[C. Imp.]:[C. Imp.]],$D323,Imput[[PERIODO Imp.]:[PERIODO Imp.]],DE$9)</f>
        <v>0</v>
      </c>
      <c r="DF323" s="693">
        <f>SUMIFS(Imput[[Importe Neto]:[Importe Neto]],Imput[[C. Imp.]:[C. Imp.]],$D323,Imput[[PERIODO Imp.]:[PERIODO Imp.]],DF$9)</f>
        <v>0</v>
      </c>
      <c r="DG323" s="693">
        <f>SUMIFS(Imput[[Importe Neto]:[Importe Neto]],Imput[[C. Imp.]:[C. Imp.]],$D323,Imput[[PERIODO Imp.]:[PERIODO Imp.]],DG$9)</f>
        <v>0</v>
      </c>
      <c r="DH323" s="694">
        <f>SUMIFS(Imput[[Importe Neto]:[Importe Neto]],Imput[[C. Imp.]:[C. Imp.]],$D323,Imput[[PERIODO Imp.]:[PERIODO Imp.]],DH$9)</f>
        <v>0</v>
      </c>
    </row>
    <row r="324" spans="1:112" s="649" customFormat="1" hidden="1" outlineLevel="1" x14ac:dyDescent="0.3">
      <c r="A324" s="652" t="str">
        <f t="shared" si="144"/>
        <v/>
      </c>
      <c r="B324" s="652"/>
      <c r="C324" s="685"/>
      <c r="D324" s="686" t="s">
        <v>2388</v>
      </c>
      <c r="E324" s="686"/>
      <c r="F324" s="720"/>
      <c r="G324" s="688"/>
      <c r="H324" s="689"/>
      <c r="I324" s="851" t="str">
        <f t="shared" si="145"/>
        <v/>
      </c>
      <c r="J324" s="850" t="str">
        <f t="shared" si="146"/>
        <v/>
      </c>
      <c r="K324" s="667"/>
      <c r="L324" s="858"/>
      <c r="M324" s="859"/>
      <c r="N324" s="859"/>
      <c r="O324" s="859"/>
      <c r="P324" s="859"/>
      <c r="Q324" s="859"/>
      <c r="R324" s="859"/>
      <c r="S324" s="859"/>
      <c r="T324" s="859"/>
      <c r="U324" s="859"/>
      <c r="V324" s="859"/>
      <c r="W324" s="859"/>
      <c r="X324" s="859"/>
      <c r="Y324" s="859"/>
      <c r="Z324" s="860"/>
      <c r="AA324" s="860"/>
      <c r="AB324" s="860"/>
      <c r="AC324" s="860"/>
      <c r="AD324" s="860"/>
      <c r="AE324" s="860"/>
      <c r="AF324" s="860"/>
      <c r="AG324" s="860"/>
      <c r="AH324" s="860"/>
      <c r="AI324" s="860"/>
      <c r="AJ324" s="860"/>
      <c r="AK324" s="860"/>
      <c r="AL324" s="860"/>
      <c r="AM324" s="860"/>
      <c r="AN324" s="860"/>
      <c r="AO324" s="860"/>
      <c r="AP324" s="860"/>
      <c r="AQ324" s="860"/>
      <c r="AR324" s="860"/>
      <c r="AS324" s="860"/>
      <c r="AT324" s="860"/>
      <c r="AU324" s="860"/>
      <c r="AV324" s="860"/>
      <c r="AW324" s="860"/>
      <c r="AX324" s="860"/>
      <c r="AY324" s="860"/>
      <c r="AZ324" s="860"/>
      <c r="BA324" s="860"/>
      <c r="BB324" s="860"/>
      <c r="BC324" s="860"/>
      <c r="BD324" s="860"/>
      <c r="BE324" s="860"/>
      <c r="BF324" s="860"/>
      <c r="BG324" s="860"/>
      <c r="BH324" s="668"/>
      <c r="BI324" s="667"/>
      <c r="BJ324" s="690">
        <f t="shared" si="147"/>
        <v>0</v>
      </c>
      <c r="BK324" s="691">
        <f t="shared" si="148"/>
        <v>0</v>
      </c>
      <c r="BL324" s="654"/>
      <c r="BM324" s="692">
        <f>SUMIFS(Imput[[Importe Neto]:[Importe Neto]],Imput[[C. Imp.]:[C. Imp.]],$D324,Imput[[PERIODO Imp.]:[PERIODO Imp.]],BM$9)</f>
        <v>0</v>
      </c>
      <c r="BN324" s="693">
        <f>SUMIFS(Imput[[Importe Neto]:[Importe Neto]],Imput[[C. Imp.]:[C. Imp.]],$D324,Imput[[PERIODO Imp.]:[PERIODO Imp.]],BN$9)</f>
        <v>0</v>
      </c>
      <c r="BO324" s="693">
        <f>SUMIFS(Imput[[Importe Neto]:[Importe Neto]],Imput[[C. Imp.]:[C. Imp.]],$D324,Imput[[PERIODO Imp.]:[PERIODO Imp.]],BO$9)</f>
        <v>0</v>
      </c>
      <c r="BP324" s="693">
        <f>SUMIFS(Imput[[Importe Neto]:[Importe Neto]],Imput[[C. Imp.]:[C. Imp.]],$D324,Imput[[PERIODO Imp.]:[PERIODO Imp.]],BP$9)</f>
        <v>0</v>
      </c>
      <c r="BQ324" s="693">
        <f>SUMIFS(Imput[[Importe Neto]:[Importe Neto]],Imput[[C. Imp.]:[C. Imp.]],$D324,Imput[[PERIODO Imp.]:[PERIODO Imp.]],BQ$9)</f>
        <v>0</v>
      </c>
      <c r="BR324" s="693">
        <f>SUMIFS(Imput[[Importe Neto]:[Importe Neto]],Imput[[C. Imp.]:[C. Imp.]],$D324,Imput[[PERIODO Imp.]:[PERIODO Imp.]],BR$9)</f>
        <v>0</v>
      </c>
      <c r="BS324" s="693">
        <f>SUMIFS(Imput[[Importe Neto]:[Importe Neto]],Imput[[C. Imp.]:[C. Imp.]],$D324,Imput[[PERIODO Imp.]:[PERIODO Imp.]],BS$9)</f>
        <v>0</v>
      </c>
      <c r="BT324" s="693">
        <f>SUMIFS(Imput[[Importe Neto]:[Importe Neto]],Imput[[C. Imp.]:[C. Imp.]],$D324,Imput[[PERIODO Imp.]:[PERIODO Imp.]],BT$9)</f>
        <v>0</v>
      </c>
      <c r="BU324" s="693">
        <f>SUMIFS(Imput[[Importe Neto]:[Importe Neto]],Imput[[C. Imp.]:[C. Imp.]],$D324,Imput[[PERIODO Imp.]:[PERIODO Imp.]],BU$9)</f>
        <v>0</v>
      </c>
      <c r="BV324" s="693">
        <f>SUMIFS(Imput[[Importe Neto]:[Importe Neto]],Imput[[C. Imp.]:[C. Imp.]],$D324,Imput[[PERIODO Imp.]:[PERIODO Imp.]],BV$9)</f>
        <v>0</v>
      </c>
      <c r="BW324" s="693">
        <f>SUMIFS(Imput[[Importe Neto]:[Importe Neto]],Imput[[C. Imp.]:[C. Imp.]],$D324,Imput[[PERIODO Imp.]:[PERIODO Imp.]],BW$9)</f>
        <v>0</v>
      </c>
      <c r="BX324" s="693">
        <f>SUMIFS(Imput[[Importe Neto]:[Importe Neto]],Imput[[C. Imp.]:[C. Imp.]],$D324,Imput[[PERIODO Imp.]:[PERIODO Imp.]],BX$9)</f>
        <v>0</v>
      </c>
      <c r="BY324" s="693">
        <f>SUMIFS(Imput[[Importe Neto]:[Importe Neto]],Imput[[C. Imp.]:[C. Imp.]],$D324,Imput[[PERIODO Imp.]:[PERIODO Imp.]],BY$9)</f>
        <v>0</v>
      </c>
      <c r="BZ324" s="693">
        <f>SUMIFS(Imput[[Importe Neto]:[Importe Neto]],Imput[[C. Imp.]:[C. Imp.]],$D324,Imput[[PERIODO Imp.]:[PERIODO Imp.]],BZ$9)</f>
        <v>0</v>
      </c>
      <c r="CA324" s="693">
        <f>SUMIFS(Imput[[Importe Neto]:[Importe Neto]],Imput[[C. Imp.]:[C. Imp.]],$D324,Imput[[PERIODO Imp.]:[PERIODO Imp.]],CA$9)</f>
        <v>0</v>
      </c>
      <c r="CB324" s="693">
        <f>SUMIFS(Imput[[Importe Neto]:[Importe Neto]],Imput[[C. Imp.]:[C. Imp.]],$D324,Imput[[PERIODO Imp.]:[PERIODO Imp.]],CB$9)</f>
        <v>0</v>
      </c>
      <c r="CC324" s="693">
        <f>SUMIFS(Imput[[Importe Neto]:[Importe Neto]],Imput[[C. Imp.]:[C. Imp.]],$D324,Imput[[PERIODO Imp.]:[PERIODO Imp.]],CC$9)</f>
        <v>0</v>
      </c>
      <c r="CD324" s="693">
        <f>SUMIFS(Imput[[Importe Neto]:[Importe Neto]],Imput[[C. Imp.]:[C. Imp.]],$D324,Imput[[PERIODO Imp.]:[PERIODO Imp.]],CD$9)</f>
        <v>0</v>
      </c>
      <c r="CE324" s="693">
        <f>SUMIFS(Imput[[Importe Neto]:[Importe Neto]],Imput[[C. Imp.]:[C. Imp.]],$D324,Imput[[PERIODO Imp.]:[PERIODO Imp.]],CE$9)</f>
        <v>0</v>
      </c>
      <c r="CF324" s="693">
        <f>SUMIFS(Imput[[Importe Neto]:[Importe Neto]],Imput[[C. Imp.]:[C. Imp.]],$D324,Imput[[PERIODO Imp.]:[PERIODO Imp.]],CF$9)</f>
        <v>0</v>
      </c>
      <c r="CG324" s="693">
        <f>SUMIFS(Imput[[Importe Neto]:[Importe Neto]],Imput[[C. Imp.]:[C. Imp.]],$D324,Imput[[PERIODO Imp.]:[PERIODO Imp.]],CG$9)</f>
        <v>0</v>
      </c>
      <c r="CH324" s="693">
        <f>SUMIFS(Imput[[Importe Neto]:[Importe Neto]],Imput[[C. Imp.]:[C. Imp.]],$D324,Imput[[PERIODO Imp.]:[PERIODO Imp.]],CH$9)</f>
        <v>0</v>
      </c>
      <c r="CI324" s="693">
        <f>SUMIFS(Imput[[Importe Neto]:[Importe Neto]],Imput[[C. Imp.]:[C. Imp.]],$D324,Imput[[PERIODO Imp.]:[PERIODO Imp.]],CI$9)</f>
        <v>0</v>
      </c>
      <c r="CJ324" s="693">
        <f>SUMIFS(Imput[[Importe Neto]:[Importe Neto]],Imput[[C. Imp.]:[C. Imp.]],$D324,Imput[[PERIODO Imp.]:[PERIODO Imp.]],CJ$9)</f>
        <v>0</v>
      </c>
      <c r="CK324" s="693">
        <f>SUMIFS(Imput[[Importe Neto]:[Importe Neto]],Imput[[C. Imp.]:[C. Imp.]],$D324,Imput[[PERIODO Imp.]:[PERIODO Imp.]],CK$9)</f>
        <v>0</v>
      </c>
      <c r="CL324" s="693">
        <f>SUMIFS(Imput[[Importe Neto]:[Importe Neto]],Imput[[C. Imp.]:[C. Imp.]],$D324,Imput[[PERIODO Imp.]:[PERIODO Imp.]],CL$9)</f>
        <v>0</v>
      </c>
      <c r="CM324" s="693">
        <f>SUMIFS(Imput[[Importe Neto]:[Importe Neto]],Imput[[C. Imp.]:[C. Imp.]],$D324,Imput[[PERIODO Imp.]:[PERIODO Imp.]],CM$9)</f>
        <v>0</v>
      </c>
      <c r="CN324" s="693">
        <f>SUMIFS(Imput[[Importe Neto]:[Importe Neto]],Imput[[C. Imp.]:[C. Imp.]],$D324,Imput[[PERIODO Imp.]:[PERIODO Imp.]],CN$9)</f>
        <v>0</v>
      </c>
      <c r="CO324" s="693">
        <f>SUMIFS(Imput[[Importe Neto]:[Importe Neto]],Imput[[C. Imp.]:[C. Imp.]],$D324,Imput[[PERIODO Imp.]:[PERIODO Imp.]],CO$9)</f>
        <v>0</v>
      </c>
      <c r="CP324" s="693">
        <f>SUMIFS(Imput[[Importe Neto]:[Importe Neto]],Imput[[C. Imp.]:[C. Imp.]],$D324,Imput[[PERIODO Imp.]:[PERIODO Imp.]],CP$9)</f>
        <v>0</v>
      </c>
      <c r="CQ324" s="693">
        <f>SUMIFS(Imput[[Importe Neto]:[Importe Neto]],Imput[[C. Imp.]:[C. Imp.]],$D324,Imput[[PERIODO Imp.]:[PERIODO Imp.]],CQ$9)</f>
        <v>0</v>
      </c>
      <c r="CR324" s="693">
        <f>SUMIFS(Imput[[Importe Neto]:[Importe Neto]],Imput[[C. Imp.]:[C. Imp.]],$D324,Imput[[PERIODO Imp.]:[PERIODO Imp.]],CR$9)</f>
        <v>0</v>
      </c>
      <c r="CS324" s="693">
        <f>SUMIFS(Imput[[Importe Neto]:[Importe Neto]],Imput[[C. Imp.]:[C. Imp.]],$D324,Imput[[PERIODO Imp.]:[PERIODO Imp.]],CS$9)</f>
        <v>0</v>
      </c>
      <c r="CT324" s="693">
        <f>SUMIFS(Imput[[Importe Neto]:[Importe Neto]],Imput[[C. Imp.]:[C. Imp.]],$D324,Imput[[PERIODO Imp.]:[PERIODO Imp.]],CT$9)</f>
        <v>0</v>
      </c>
      <c r="CU324" s="693">
        <f>SUMIFS(Imput[[Importe Neto]:[Importe Neto]],Imput[[C. Imp.]:[C. Imp.]],$D324,Imput[[PERIODO Imp.]:[PERIODO Imp.]],CU$9)</f>
        <v>0</v>
      </c>
      <c r="CV324" s="693">
        <f>SUMIFS(Imput[[Importe Neto]:[Importe Neto]],Imput[[C. Imp.]:[C. Imp.]],$D324,Imput[[PERIODO Imp.]:[PERIODO Imp.]],CV$9)</f>
        <v>0</v>
      </c>
      <c r="CW324" s="693">
        <f>SUMIFS(Imput[[Importe Neto]:[Importe Neto]],Imput[[C. Imp.]:[C. Imp.]],$D324,Imput[[PERIODO Imp.]:[PERIODO Imp.]],CW$9)</f>
        <v>0</v>
      </c>
      <c r="CX324" s="693">
        <f>SUMIFS(Imput[[Importe Neto]:[Importe Neto]],Imput[[C. Imp.]:[C. Imp.]],$D324,Imput[[PERIODO Imp.]:[PERIODO Imp.]],CX$9)</f>
        <v>0</v>
      </c>
      <c r="CY324" s="693">
        <f>SUMIFS(Imput[[Importe Neto]:[Importe Neto]],Imput[[C. Imp.]:[C. Imp.]],$D324,Imput[[PERIODO Imp.]:[PERIODO Imp.]],CY$9)</f>
        <v>0</v>
      </c>
      <c r="CZ324" s="693">
        <f>SUMIFS(Imput[[Importe Neto]:[Importe Neto]],Imput[[C. Imp.]:[C. Imp.]],$D324,Imput[[PERIODO Imp.]:[PERIODO Imp.]],CZ$9)</f>
        <v>0</v>
      </c>
      <c r="DA324" s="693">
        <f>SUMIFS(Imput[[Importe Neto]:[Importe Neto]],Imput[[C. Imp.]:[C. Imp.]],$D324,Imput[[PERIODO Imp.]:[PERIODO Imp.]],DA$9)</f>
        <v>0</v>
      </c>
      <c r="DB324" s="693">
        <f>SUMIFS(Imput[[Importe Neto]:[Importe Neto]],Imput[[C. Imp.]:[C. Imp.]],$D324,Imput[[PERIODO Imp.]:[PERIODO Imp.]],DB$9)</f>
        <v>0</v>
      </c>
      <c r="DC324" s="693">
        <f>SUMIFS(Imput[[Importe Neto]:[Importe Neto]],Imput[[C. Imp.]:[C. Imp.]],$D324,Imput[[PERIODO Imp.]:[PERIODO Imp.]],DC$9)</f>
        <v>0</v>
      </c>
      <c r="DD324" s="693">
        <f>SUMIFS(Imput[[Importe Neto]:[Importe Neto]],Imput[[C. Imp.]:[C. Imp.]],$D324,Imput[[PERIODO Imp.]:[PERIODO Imp.]],DD$9)</f>
        <v>0</v>
      </c>
      <c r="DE324" s="693">
        <f>SUMIFS(Imput[[Importe Neto]:[Importe Neto]],Imput[[C. Imp.]:[C. Imp.]],$D324,Imput[[PERIODO Imp.]:[PERIODO Imp.]],DE$9)</f>
        <v>0</v>
      </c>
      <c r="DF324" s="693">
        <f>SUMIFS(Imput[[Importe Neto]:[Importe Neto]],Imput[[C. Imp.]:[C. Imp.]],$D324,Imput[[PERIODO Imp.]:[PERIODO Imp.]],DF$9)</f>
        <v>0</v>
      </c>
      <c r="DG324" s="693">
        <f>SUMIFS(Imput[[Importe Neto]:[Importe Neto]],Imput[[C. Imp.]:[C. Imp.]],$D324,Imput[[PERIODO Imp.]:[PERIODO Imp.]],DG$9)</f>
        <v>0</v>
      </c>
      <c r="DH324" s="694">
        <f>SUMIFS(Imput[[Importe Neto]:[Importe Neto]],Imput[[C. Imp.]:[C. Imp.]],$D324,Imput[[PERIODO Imp.]:[PERIODO Imp.]],DH$9)</f>
        <v>0</v>
      </c>
    </row>
    <row r="325" spans="1:112" s="649" customFormat="1" hidden="1" outlineLevel="1" x14ac:dyDescent="0.3">
      <c r="A325" s="652" t="str">
        <f t="shared" si="144"/>
        <v/>
      </c>
      <c r="B325" s="652"/>
      <c r="C325" s="685"/>
      <c r="D325" s="686" t="s">
        <v>2389</v>
      </c>
      <c r="E325" s="686"/>
      <c r="F325" s="720"/>
      <c r="G325" s="688"/>
      <c r="H325" s="689"/>
      <c r="I325" s="851" t="str">
        <f t="shared" si="145"/>
        <v/>
      </c>
      <c r="J325" s="850" t="str">
        <f t="shared" si="146"/>
        <v/>
      </c>
      <c r="K325" s="667"/>
      <c r="L325" s="858"/>
      <c r="M325" s="859"/>
      <c r="N325" s="859"/>
      <c r="O325" s="859"/>
      <c r="P325" s="859"/>
      <c r="Q325" s="859"/>
      <c r="R325" s="859"/>
      <c r="S325" s="859"/>
      <c r="T325" s="859"/>
      <c r="U325" s="859"/>
      <c r="V325" s="859"/>
      <c r="W325" s="859"/>
      <c r="X325" s="859"/>
      <c r="Y325" s="859"/>
      <c r="Z325" s="860"/>
      <c r="AA325" s="860"/>
      <c r="AB325" s="860"/>
      <c r="AC325" s="860"/>
      <c r="AD325" s="860"/>
      <c r="AE325" s="860"/>
      <c r="AF325" s="860"/>
      <c r="AG325" s="860"/>
      <c r="AH325" s="860"/>
      <c r="AI325" s="860"/>
      <c r="AJ325" s="860"/>
      <c r="AK325" s="860"/>
      <c r="AL325" s="860"/>
      <c r="AM325" s="860"/>
      <c r="AN325" s="860"/>
      <c r="AO325" s="860"/>
      <c r="AP325" s="860"/>
      <c r="AQ325" s="860"/>
      <c r="AR325" s="860"/>
      <c r="AS325" s="860"/>
      <c r="AT325" s="860"/>
      <c r="AU325" s="860"/>
      <c r="AV325" s="860"/>
      <c r="AW325" s="860"/>
      <c r="AX325" s="860"/>
      <c r="AY325" s="860"/>
      <c r="AZ325" s="860"/>
      <c r="BA325" s="860"/>
      <c r="BB325" s="860"/>
      <c r="BC325" s="860"/>
      <c r="BD325" s="860"/>
      <c r="BE325" s="860"/>
      <c r="BF325" s="860"/>
      <c r="BG325" s="860"/>
      <c r="BH325" s="668"/>
      <c r="BI325" s="667"/>
      <c r="BJ325" s="690">
        <f t="shared" si="147"/>
        <v>0</v>
      </c>
      <c r="BK325" s="691">
        <f t="shared" si="148"/>
        <v>0</v>
      </c>
      <c r="BL325" s="654"/>
      <c r="BM325" s="692">
        <f>SUMIFS(Imput[[Importe Neto]:[Importe Neto]],Imput[[C. Imp.]:[C. Imp.]],$D325,Imput[[PERIODO Imp.]:[PERIODO Imp.]],BM$9)</f>
        <v>0</v>
      </c>
      <c r="BN325" s="693">
        <f>SUMIFS(Imput[[Importe Neto]:[Importe Neto]],Imput[[C. Imp.]:[C. Imp.]],$D325,Imput[[PERIODO Imp.]:[PERIODO Imp.]],BN$9)</f>
        <v>0</v>
      </c>
      <c r="BO325" s="693">
        <f>SUMIFS(Imput[[Importe Neto]:[Importe Neto]],Imput[[C. Imp.]:[C. Imp.]],$D325,Imput[[PERIODO Imp.]:[PERIODO Imp.]],BO$9)</f>
        <v>0</v>
      </c>
      <c r="BP325" s="693">
        <f>SUMIFS(Imput[[Importe Neto]:[Importe Neto]],Imput[[C. Imp.]:[C. Imp.]],$D325,Imput[[PERIODO Imp.]:[PERIODO Imp.]],BP$9)</f>
        <v>0</v>
      </c>
      <c r="BQ325" s="693">
        <f>SUMIFS(Imput[[Importe Neto]:[Importe Neto]],Imput[[C. Imp.]:[C. Imp.]],$D325,Imput[[PERIODO Imp.]:[PERIODO Imp.]],BQ$9)</f>
        <v>0</v>
      </c>
      <c r="BR325" s="693">
        <f>SUMIFS(Imput[[Importe Neto]:[Importe Neto]],Imput[[C. Imp.]:[C. Imp.]],$D325,Imput[[PERIODO Imp.]:[PERIODO Imp.]],BR$9)</f>
        <v>0</v>
      </c>
      <c r="BS325" s="693">
        <f>SUMIFS(Imput[[Importe Neto]:[Importe Neto]],Imput[[C. Imp.]:[C. Imp.]],$D325,Imput[[PERIODO Imp.]:[PERIODO Imp.]],BS$9)</f>
        <v>0</v>
      </c>
      <c r="BT325" s="693">
        <f>SUMIFS(Imput[[Importe Neto]:[Importe Neto]],Imput[[C. Imp.]:[C. Imp.]],$D325,Imput[[PERIODO Imp.]:[PERIODO Imp.]],BT$9)</f>
        <v>0</v>
      </c>
      <c r="BU325" s="693">
        <f>SUMIFS(Imput[[Importe Neto]:[Importe Neto]],Imput[[C. Imp.]:[C. Imp.]],$D325,Imput[[PERIODO Imp.]:[PERIODO Imp.]],BU$9)</f>
        <v>0</v>
      </c>
      <c r="BV325" s="693">
        <f>SUMIFS(Imput[[Importe Neto]:[Importe Neto]],Imput[[C. Imp.]:[C. Imp.]],$D325,Imput[[PERIODO Imp.]:[PERIODO Imp.]],BV$9)</f>
        <v>0</v>
      </c>
      <c r="BW325" s="693">
        <f>SUMIFS(Imput[[Importe Neto]:[Importe Neto]],Imput[[C. Imp.]:[C. Imp.]],$D325,Imput[[PERIODO Imp.]:[PERIODO Imp.]],BW$9)</f>
        <v>0</v>
      </c>
      <c r="BX325" s="693">
        <f>SUMIFS(Imput[[Importe Neto]:[Importe Neto]],Imput[[C. Imp.]:[C. Imp.]],$D325,Imput[[PERIODO Imp.]:[PERIODO Imp.]],BX$9)</f>
        <v>0</v>
      </c>
      <c r="BY325" s="693">
        <f>SUMIFS(Imput[[Importe Neto]:[Importe Neto]],Imput[[C. Imp.]:[C. Imp.]],$D325,Imput[[PERIODO Imp.]:[PERIODO Imp.]],BY$9)</f>
        <v>0</v>
      </c>
      <c r="BZ325" s="693">
        <f>SUMIFS(Imput[[Importe Neto]:[Importe Neto]],Imput[[C. Imp.]:[C. Imp.]],$D325,Imput[[PERIODO Imp.]:[PERIODO Imp.]],BZ$9)</f>
        <v>0</v>
      </c>
      <c r="CA325" s="693">
        <f>SUMIFS(Imput[[Importe Neto]:[Importe Neto]],Imput[[C. Imp.]:[C. Imp.]],$D325,Imput[[PERIODO Imp.]:[PERIODO Imp.]],CA$9)</f>
        <v>0</v>
      </c>
      <c r="CB325" s="693">
        <f>SUMIFS(Imput[[Importe Neto]:[Importe Neto]],Imput[[C. Imp.]:[C. Imp.]],$D325,Imput[[PERIODO Imp.]:[PERIODO Imp.]],CB$9)</f>
        <v>0</v>
      </c>
      <c r="CC325" s="693">
        <f>SUMIFS(Imput[[Importe Neto]:[Importe Neto]],Imput[[C. Imp.]:[C. Imp.]],$D325,Imput[[PERIODO Imp.]:[PERIODO Imp.]],CC$9)</f>
        <v>0</v>
      </c>
      <c r="CD325" s="693">
        <f>SUMIFS(Imput[[Importe Neto]:[Importe Neto]],Imput[[C. Imp.]:[C. Imp.]],$D325,Imput[[PERIODO Imp.]:[PERIODO Imp.]],CD$9)</f>
        <v>0</v>
      </c>
      <c r="CE325" s="693">
        <f>SUMIFS(Imput[[Importe Neto]:[Importe Neto]],Imput[[C. Imp.]:[C. Imp.]],$D325,Imput[[PERIODO Imp.]:[PERIODO Imp.]],CE$9)</f>
        <v>0</v>
      </c>
      <c r="CF325" s="693">
        <f>SUMIFS(Imput[[Importe Neto]:[Importe Neto]],Imput[[C. Imp.]:[C. Imp.]],$D325,Imput[[PERIODO Imp.]:[PERIODO Imp.]],CF$9)</f>
        <v>0</v>
      </c>
      <c r="CG325" s="693">
        <f>SUMIFS(Imput[[Importe Neto]:[Importe Neto]],Imput[[C. Imp.]:[C. Imp.]],$D325,Imput[[PERIODO Imp.]:[PERIODO Imp.]],CG$9)</f>
        <v>0</v>
      </c>
      <c r="CH325" s="693">
        <f>SUMIFS(Imput[[Importe Neto]:[Importe Neto]],Imput[[C. Imp.]:[C. Imp.]],$D325,Imput[[PERIODO Imp.]:[PERIODO Imp.]],CH$9)</f>
        <v>0</v>
      </c>
      <c r="CI325" s="693">
        <f>SUMIFS(Imput[[Importe Neto]:[Importe Neto]],Imput[[C. Imp.]:[C. Imp.]],$D325,Imput[[PERIODO Imp.]:[PERIODO Imp.]],CI$9)</f>
        <v>0</v>
      </c>
      <c r="CJ325" s="693">
        <f>SUMIFS(Imput[[Importe Neto]:[Importe Neto]],Imput[[C. Imp.]:[C. Imp.]],$D325,Imput[[PERIODO Imp.]:[PERIODO Imp.]],CJ$9)</f>
        <v>0</v>
      </c>
      <c r="CK325" s="693">
        <f>SUMIFS(Imput[[Importe Neto]:[Importe Neto]],Imput[[C. Imp.]:[C. Imp.]],$D325,Imput[[PERIODO Imp.]:[PERIODO Imp.]],CK$9)</f>
        <v>0</v>
      </c>
      <c r="CL325" s="693">
        <f>SUMIFS(Imput[[Importe Neto]:[Importe Neto]],Imput[[C. Imp.]:[C. Imp.]],$D325,Imput[[PERIODO Imp.]:[PERIODO Imp.]],CL$9)</f>
        <v>0</v>
      </c>
      <c r="CM325" s="693">
        <f>SUMIFS(Imput[[Importe Neto]:[Importe Neto]],Imput[[C. Imp.]:[C. Imp.]],$D325,Imput[[PERIODO Imp.]:[PERIODO Imp.]],CM$9)</f>
        <v>0</v>
      </c>
      <c r="CN325" s="693">
        <f>SUMIFS(Imput[[Importe Neto]:[Importe Neto]],Imput[[C. Imp.]:[C. Imp.]],$D325,Imput[[PERIODO Imp.]:[PERIODO Imp.]],CN$9)</f>
        <v>0</v>
      </c>
      <c r="CO325" s="693">
        <f>SUMIFS(Imput[[Importe Neto]:[Importe Neto]],Imput[[C. Imp.]:[C. Imp.]],$D325,Imput[[PERIODO Imp.]:[PERIODO Imp.]],CO$9)</f>
        <v>0</v>
      </c>
      <c r="CP325" s="693">
        <f>SUMIFS(Imput[[Importe Neto]:[Importe Neto]],Imput[[C. Imp.]:[C. Imp.]],$D325,Imput[[PERIODO Imp.]:[PERIODO Imp.]],CP$9)</f>
        <v>0</v>
      </c>
      <c r="CQ325" s="693">
        <f>SUMIFS(Imput[[Importe Neto]:[Importe Neto]],Imput[[C. Imp.]:[C. Imp.]],$D325,Imput[[PERIODO Imp.]:[PERIODO Imp.]],CQ$9)</f>
        <v>0</v>
      </c>
      <c r="CR325" s="693">
        <f>SUMIFS(Imput[[Importe Neto]:[Importe Neto]],Imput[[C. Imp.]:[C. Imp.]],$D325,Imput[[PERIODO Imp.]:[PERIODO Imp.]],CR$9)</f>
        <v>0</v>
      </c>
      <c r="CS325" s="693">
        <f>SUMIFS(Imput[[Importe Neto]:[Importe Neto]],Imput[[C. Imp.]:[C. Imp.]],$D325,Imput[[PERIODO Imp.]:[PERIODO Imp.]],CS$9)</f>
        <v>0</v>
      </c>
      <c r="CT325" s="693">
        <f>SUMIFS(Imput[[Importe Neto]:[Importe Neto]],Imput[[C. Imp.]:[C. Imp.]],$D325,Imput[[PERIODO Imp.]:[PERIODO Imp.]],CT$9)</f>
        <v>0</v>
      </c>
      <c r="CU325" s="693">
        <f>SUMIFS(Imput[[Importe Neto]:[Importe Neto]],Imput[[C. Imp.]:[C. Imp.]],$D325,Imput[[PERIODO Imp.]:[PERIODO Imp.]],CU$9)</f>
        <v>0</v>
      </c>
      <c r="CV325" s="693">
        <f>SUMIFS(Imput[[Importe Neto]:[Importe Neto]],Imput[[C. Imp.]:[C. Imp.]],$D325,Imput[[PERIODO Imp.]:[PERIODO Imp.]],CV$9)</f>
        <v>0</v>
      </c>
      <c r="CW325" s="693">
        <f>SUMIFS(Imput[[Importe Neto]:[Importe Neto]],Imput[[C. Imp.]:[C. Imp.]],$D325,Imput[[PERIODO Imp.]:[PERIODO Imp.]],CW$9)</f>
        <v>0</v>
      </c>
      <c r="CX325" s="693">
        <f>SUMIFS(Imput[[Importe Neto]:[Importe Neto]],Imput[[C. Imp.]:[C. Imp.]],$D325,Imput[[PERIODO Imp.]:[PERIODO Imp.]],CX$9)</f>
        <v>0</v>
      </c>
      <c r="CY325" s="693">
        <f>SUMIFS(Imput[[Importe Neto]:[Importe Neto]],Imput[[C. Imp.]:[C. Imp.]],$D325,Imput[[PERIODO Imp.]:[PERIODO Imp.]],CY$9)</f>
        <v>0</v>
      </c>
      <c r="CZ325" s="693">
        <f>SUMIFS(Imput[[Importe Neto]:[Importe Neto]],Imput[[C. Imp.]:[C. Imp.]],$D325,Imput[[PERIODO Imp.]:[PERIODO Imp.]],CZ$9)</f>
        <v>0</v>
      </c>
      <c r="DA325" s="693">
        <f>SUMIFS(Imput[[Importe Neto]:[Importe Neto]],Imput[[C. Imp.]:[C. Imp.]],$D325,Imput[[PERIODO Imp.]:[PERIODO Imp.]],DA$9)</f>
        <v>0</v>
      </c>
      <c r="DB325" s="693">
        <f>SUMIFS(Imput[[Importe Neto]:[Importe Neto]],Imput[[C. Imp.]:[C. Imp.]],$D325,Imput[[PERIODO Imp.]:[PERIODO Imp.]],DB$9)</f>
        <v>0</v>
      </c>
      <c r="DC325" s="693">
        <f>SUMIFS(Imput[[Importe Neto]:[Importe Neto]],Imput[[C. Imp.]:[C. Imp.]],$D325,Imput[[PERIODO Imp.]:[PERIODO Imp.]],DC$9)</f>
        <v>0</v>
      </c>
      <c r="DD325" s="693">
        <f>SUMIFS(Imput[[Importe Neto]:[Importe Neto]],Imput[[C. Imp.]:[C. Imp.]],$D325,Imput[[PERIODO Imp.]:[PERIODO Imp.]],DD$9)</f>
        <v>0</v>
      </c>
      <c r="DE325" s="693">
        <f>SUMIFS(Imput[[Importe Neto]:[Importe Neto]],Imput[[C. Imp.]:[C. Imp.]],$D325,Imput[[PERIODO Imp.]:[PERIODO Imp.]],DE$9)</f>
        <v>0</v>
      </c>
      <c r="DF325" s="693">
        <f>SUMIFS(Imput[[Importe Neto]:[Importe Neto]],Imput[[C. Imp.]:[C. Imp.]],$D325,Imput[[PERIODO Imp.]:[PERIODO Imp.]],DF$9)</f>
        <v>0</v>
      </c>
      <c r="DG325" s="693">
        <f>SUMIFS(Imput[[Importe Neto]:[Importe Neto]],Imput[[C. Imp.]:[C. Imp.]],$D325,Imput[[PERIODO Imp.]:[PERIODO Imp.]],DG$9)</f>
        <v>0</v>
      </c>
      <c r="DH325" s="694">
        <f>SUMIFS(Imput[[Importe Neto]:[Importe Neto]],Imput[[C. Imp.]:[C. Imp.]],$D325,Imput[[PERIODO Imp.]:[PERIODO Imp.]],DH$9)</f>
        <v>0</v>
      </c>
    </row>
    <row r="326" spans="1:112" s="649" customFormat="1" hidden="1" outlineLevel="1" x14ac:dyDescent="0.3">
      <c r="A326" s="652" t="str">
        <f t="shared" si="144"/>
        <v/>
      </c>
      <c r="B326" s="652"/>
      <c r="C326" s="685"/>
      <c r="D326" s="686" t="s">
        <v>2390</v>
      </c>
      <c r="E326" s="686"/>
      <c r="F326" s="720"/>
      <c r="G326" s="688"/>
      <c r="H326" s="689"/>
      <c r="I326" s="851" t="str">
        <f t="shared" si="145"/>
        <v/>
      </c>
      <c r="J326" s="850" t="str">
        <f t="shared" si="146"/>
        <v/>
      </c>
      <c r="K326" s="667"/>
      <c r="L326" s="858"/>
      <c r="M326" s="859"/>
      <c r="N326" s="859"/>
      <c r="O326" s="859"/>
      <c r="P326" s="859"/>
      <c r="Q326" s="859"/>
      <c r="R326" s="859"/>
      <c r="S326" s="859"/>
      <c r="T326" s="859"/>
      <c r="U326" s="859"/>
      <c r="V326" s="859"/>
      <c r="W326" s="859"/>
      <c r="X326" s="859"/>
      <c r="Y326" s="859"/>
      <c r="Z326" s="860"/>
      <c r="AA326" s="860"/>
      <c r="AB326" s="860"/>
      <c r="AC326" s="860"/>
      <c r="AD326" s="860"/>
      <c r="AE326" s="860"/>
      <c r="AF326" s="860"/>
      <c r="AG326" s="860"/>
      <c r="AH326" s="860"/>
      <c r="AI326" s="860"/>
      <c r="AJ326" s="860"/>
      <c r="AK326" s="860"/>
      <c r="AL326" s="860"/>
      <c r="AM326" s="860"/>
      <c r="AN326" s="860"/>
      <c r="AO326" s="860"/>
      <c r="AP326" s="860"/>
      <c r="AQ326" s="860"/>
      <c r="AR326" s="860"/>
      <c r="AS326" s="860"/>
      <c r="AT326" s="860"/>
      <c r="AU326" s="860"/>
      <c r="AV326" s="860"/>
      <c r="AW326" s="860"/>
      <c r="AX326" s="860"/>
      <c r="AY326" s="860"/>
      <c r="AZ326" s="860"/>
      <c r="BA326" s="860"/>
      <c r="BB326" s="860"/>
      <c r="BC326" s="860"/>
      <c r="BD326" s="860"/>
      <c r="BE326" s="860"/>
      <c r="BF326" s="860"/>
      <c r="BG326" s="860"/>
      <c r="BH326" s="668"/>
      <c r="BI326" s="667"/>
      <c r="BJ326" s="690">
        <f t="shared" si="147"/>
        <v>0</v>
      </c>
      <c r="BK326" s="691">
        <f t="shared" si="148"/>
        <v>0</v>
      </c>
      <c r="BL326" s="654"/>
      <c r="BM326" s="692">
        <f>SUMIFS(Imput[[Importe Neto]:[Importe Neto]],Imput[[C. Imp.]:[C. Imp.]],$D326,Imput[[PERIODO Imp.]:[PERIODO Imp.]],BM$9)</f>
        <v>0</v>
      </c>
      <c r="BN326" s="693">
        <f>SUMIFS(Imput[[Importe Neto]:[Importe Neto]],Imput[[C. Imp.]:[C. Imp.]],$D326,Imput[[PERIODO Imp.]:[PERIODO Imp.]],BN$9)</f>
        <v>0</v>
      </c>
      <c r="BO326" s="693">
        <f>SUMIFS(Imput[[Importe Neto]:[Importe Neto]],Imput[[C. Imp.]:[C. Imp.]],$D326,Imput[[PERIODO Imp.]:[PERIODO Imp.]],BO$9)</f>
        <v>0</v>
      </c>
      <c r="BP326" s="693">
        <f>SUMIFS(Imput[[Importe Neto]:[Importe Neto]],Imput[[C. Imp.]:[C. Imp.]],$D326,Imput[[PERIODO Imp.]:[PERIODO Imp.]],BP$9)</f>
        <v>0</v>
      </c>
      <c r="BQ326" s="693">
        <f>SUMIFS(Imput[[Importe Neto]:[Importe Neto]],Imput[[C. Imp.]:[C. Imp.]],$D326,Imput[[PERIODO Imp.]:[PERIODO Imp.]],BQ$9)</f>
        <v>0</v>
      </c>
      <c r="BR326" s="693">
        <f>SUMIFS(Imput[[Importe Neto]:[Importe Neto]],Imput[[C. Imp.]:[C. Imp.]],$D326,Imput[[PERIODO Imp.]:[PERIODO Imp.]],BR$9)</f>
        <v>0</v>
      </c>
      <c r="BS326" s="693">
        <f>SUMIFS(Imput[[Importe Neto]:[Importe Neto]],Imput[[C. Imp.]:[C. Imp.]],$D326,Imput[[PERIODO Imp.]:[PERIODO Imp.]],BS$9)</f>
        <v>0</v>
      </c>
      <c r="BT326" s="693">
        <f>SUMIFS(Imput[[Importe Neto]:[Importe Neto]],Imput[[C. Imp.]:[C. Imp.]],$D326,Imput[[PERIODO Imp.]:[PERIODO Imp.]],BT$9)</f>
        <v>0</v>
      </c>
      <c r="BU326" s="693">
        <f>SUMIFS(Imput[[Importe Neto]:[Importe Neto]],Imput[[C. Imp.]:[C. Imp.]],$D326,Imput[[PERIODO Imp.]:[PERIODO Imp.]],BU$9)</f>
        <v>0</v>
      </c>
      <c r="BV326" s="693">
        <f>SUMIFS(Imput[[Importe Neto]:[Importe Neto]],Imput[[C. Imp.]:[C. Imp.]],$D326,Imput[[PERIODO Imp.]:[PERIODO Imp.]],BV$9)</f>
        <v>0</v>
      </c>
      <c r="BW326" s="693">
        <f>SUMIFS(Imput[[Importe Neto]:[Importe Neto]],Imput[[C. Imp.]:[C. Imp.]],$D326,Imput[[PERIODO Imp.]:[PERIODO Imp.]],BW$9)</f>
        <v>0</v>
      </c>
      <c r="BX326" s="693">
        <f>SUMIFS(Imput[[Importe Neto]:[Importe Neto]],Imput[[C. Imp.]:[C. Imp.]],$D326,Imput[[PERIODO Imp.]:[PERIODO Imp.]],BX$9)</f>
        <v>0</v>
      </c>
      <c r="BY326" s="693">
        <f>SUMIFS(Imput[[Importe Neto]:[Importe Neto]],Imput[[C. Imp.]:[C. Imp.]],$D326,Imput[[PERIODO Imp.]:[PERIODO Imp.]],BY$9)</f>
        <v>0</v>
      </c>
      <c r="BZ326" s="693">
        <f>SUMIFS(Imput[[Importe Neto]:[Importe Neto]],Imput[[C. Imp.]:[C. Imp.]],$D326,Imput[[PERIODO Imp.]:[PERIODO Imp.]],BZ$9)</f>
        <v>0</v>
      </c>
      <c r="CA326" s="693">
        <f>SUMIFS(Imput[[Importe Neto]:[Importe Neto]],Imput[[C. Imp.]:[C. Imp.]],$D326,Imput[[PERIODO Imp.]:[PERIODO Imp.]],CA$9)</f>
        <v>0</v>
      </c>
      <c r="CB326" s="693">
        <f>SUMIFS(Imput[[Importe Neto]:[Importe Neto]],Imput[[C. Imp.]:[C. Imp.]],$D326,Imput[[PERIODO Imp.]:[PERIODO Imp.]],CB$9)</f>
        <v>0</v>
      </c>
      <c r="CC326" s="693">
        <f>SUMIFS(Imput[[Importe Neto]:[Importe Neto]],Imput[[C. Imp.]:[C. Imp.]],$D326,Imput[[PERIODO Imp.]:[PERIODO Imp.]],CC$9)</f>
        <v>0</v>
      </c>
      <c r="CD326" s="693">
        <f>SUMIFS(Imput[[Importe Neto]:[Importe Neto]],Imput[[C. Imp.]:[C. Imp.]],$D326,Imput[[PERIODO Imp.]:[PERIODO Imp.]],CD$9)</f>
        <v>0</v>
      </c>
      <c r="CE326" s="693">
        <f>SUMIFS(Imput[[Importe Neto]:[Importe Neto]],Imput[[C. Imp.]:[C. Imp.]],$D326,Imput[[PERIODO Imp.]:[PERIODO Imp.]],CE$9)</f>
        <v>0</v>
      </c>
      <c r="CF326" s="693">
        <f>SUMIFS(Imput[[Importe Neto]:[Importe Neto]],Imput[[C. Imp.]:[C. Imp.]],$D326,Imput[[PERIODO Imp.]:[PERIODO Imp.]],CF$9)</f>
        <v>0</v>
      </c>
      <c r="CG326" s="693">
        <f>SUMIFS(Imput[[Importe Neto]:[Importe Neto]],Imput[[C. Imp.]:[C. Imp.]],$D326,Imput[[PERIODO Imp.]:[PERIODO Imp.]],CG$9)</f>
        <v>0</v>
      </c>
      <c r="CH326" s="693">
        <f>SUMIFS(Imput[[Importe Neto]:[Importe Neto]],Imput[[C. Imp.]:[C. Imp.]],$D326,Imput[[PERIODO Imp.]:[PERIODO Imp.]],CH$9)</f>
        <v>0</v>
      </c>
      <c r="CI326" s="693">
        <f>SUMIFS(Imput[[Importe Neto]:[Importe Neto]],Imput[[C. Imp.]:[C. Imp.]],$D326,Imput[[PERIODO Imp.]:[PERIODO Imp.]],CI$9)</f>
        <v>0</v>
      </c>
      <c r="CJ326" s="693">
        <f>SUMIFS(Imput[[Importe Neto]:[Importe Neto]],Imput[[C. Imp.]:[C. Imp.]],$D326,Imput[[PERIODO Imp.]:[PERIODO Imp.]],CJ$9)</f>
        <v>0</v>
      </c>
      <c r="CK326" s="693">
        <f>SUMIFS(Imput[[Importe Neto]:[Importe Neto]],Imput[[C. Imp.]:[C. Imp.]],$D326,Imput[[PERIODO Imp.]:[PERIODO Imp.]],CK$9)</f>
        <v>0</v>
      </c>
      <c r="CL326" s="693">
        <f>SUMIFS(Imput[[Importe Neto]:[Importe Neto]],Imput[[C. Imp.]:[C. Imp.]],$D326,Imput[[PERIODO Imp.]:[PERIODO Imp.]],CL$9)</f>
        <v>0</v>
      </c>
      <c r="CM326" s="693">
        <f>SUMIFS(Imput[[Importe Neto]:[Importe Neto]],Imput[[C. Imp.]:[C. Imp.]],$D326,Imput[[PERIODO Imp.]:[PERIODO Imp.]],CM$9)</f>
        <v>0</v>
      </c>
      <c r="CN326" s="693">
        <f>SUMIFS(Imput[[Importe Neto]:[Importe Neto]],Imput[[C. Imp.]:[C. Imp.]],$D326,Imput[[PERIODO Imp.]:[PERIODO Imp.]],CN$9)</f>
        <v>0</v>
      </c>
      <c r="CO326" s="693">
        <f>SUMIFS(Imput[[Importe Neto]:[Importe Neto]],Imput[[C. Imp.]:[C. Imp.]],$D326,Imput[[PERIODO Imp.]:[PERIODO Imp.]],CO$9)</f>
        <v>0</v>
      </c>
      <c r="CP326" s="693">
        <f>SUMIFS(Imput[[Importe Neto]:[Importe Neto]],Imput[[C. Imp.]:[C. Imp.]],$D326,Imput[[PERIODO Imp.]:[PERIODO Imp.]],CP$9)</f>
        <v>0</v>
      </c>
      <c r="CQ326" s="693">
        <f>SUMIFS(Imput[[Importe Neto]:[Importe Neto]],Imput[[C. Imp.]:[C. Imp.]],$D326,Imput[[PERIODO Imp.]:[PERIODO Imp.]],CQ$9)</f>
        <v>0</v>
      </c>
      <c r="CR326" s="693">
        <f>SUMIFS(Imput[[Importe Neto]:[Importe Neto]],Imput[[C. Imp.]:[C. Imp.]],$D326,Imput[[PERIODO Imp.]:[PERIODO Imp.]],CR$9)</f>
        <v>0</v>
      </c>
      <c r="CS326" s="693">
        <f>SUMIFS(Imput[[Importe Neto]:[Importe Neto]],Imput[[C. Imp.]:[C. Imp.]],$D326,Imput[[PERIODO Imp.]:[PERIODO Imp.]],CS$9)</f>
        <v>0</v>
      </c>
      <c r="CT326" s="693">
        <f>SUMIFS(Imput[[Importe Neto]:[Importe Neto]],Imput[[C. Imp.]:[C. Imp.]],$D326,Imput[[PERIODO Imp.]:[PERIODO Imp.]],CT$9)</f>
        <v>0</v>
      </c>
      <c r="CU326" s="693">
        <f>SUMIFS(Imput[[Importe Neto]:[Importe Neto]],Imput[[C. Imp.]:[C. Imp.]],$D326,Imput[[PERIODO Imp.]:[PERIODO Imp.]],CU$9)</f>
        <v>0</v>
      </c>
      <c r="CV326" s="693">
        <f>SUMIFS(Imput[[Importe Neto]:[Importe Neto]],Imput[[C. Imp.]:[C. Imp.]],$D326,Imput[[PERIODO Imp.]:[PERIODO Imp.]],CV$9)</f>
        <v>0</v>
      </c>
      <c r="CW326" s="693">
        <f>SUMIFS(Imput[[Importe Neto]:[Importe Neto]],Imput[[C. Imp.]:[C. Imp.]],$D326,Imput[[PERIODO Imp.]:[PERIODO Imp.]],CW$9)</f>
        <v>0</v>
      </c>
      <c r="CX326" s="693">
        <f>SUMIFS(Imput[[Importe Neto]:[Importe Neto]],Imput[[C. Imp.]:[C. Imp.]],$D326,Imput[[PERIODO Imp.]:[PERIODO Imp.]],CX$9)</f>
        <v>0</v>
      </c>
      <c r="CY326" s="693">
        <f>SUMIFS(Imput[[Importe Neto]:[Importe Neto]],Imput[[C. Imp.]:[C. Imp.]],$D326,Imput[[PERIODO Imp.]:[PERIODO Imp.]],CY$9)</f>
        <v>0</v>
      </c>
      <c r="CZ326" s="693">
        <f>SUMIFS(Imput[[Importe Neto]:[Importe Neto]],Imput[[C. Imp.]:[C. Imp.]],$D326,Imput[[PERIODO Imp.]:[PERIODO Imp.]],CZ$9)</f>
        <v>0</v>
      </c>
      <c r="DA326" s="693">
        <f>SUMIFS(Imput[[Importe Neto]:[Importe Neto]],Imput[[C. Imp.]:[C. Imp.]],$D326,Imput[[PERIODO Imp.]:[PERIODO Imp.]],DA$9)</f>
        <v>0</v>
      </c>
      <c r="DB326" s="693">
        <f>SUMIFS(Imput[[Importe Neto]:[Importe Neto]],Imput[[C. Imp.]:[C. Imp.]],$D326,Imput[[PERIODO Imp.]:[PERIODO Imp.]],DB$9)</f>
        <v>0</v>
      </c>
      <c r="DC326" s="693">
        <f>SUMIFS(Imput[[Importe Neto]:[Importe Neto]],Imput[[C. Imp.]:[C. Imp.]],$D326,Imput[[PERIODO Imp.]:[PERIODO Imp.]],DC$9)</f>
        <v>0</v>
      </c>
      <c r="DD326" s="693">
        <f>SUMIFS(Imput[[Importe Neto]:[Importe Neto]],Imput[[C. Imp.]:[C. Imp.]],$D326,Imput[[PERIODO Imp.]:[PERIODO Imp.]],DD$9)</f>
        <v>0</v>
      </c>
      <c r="DE326" s="693">
        <f>SUMIFS(Imput[[Importe Neto]:[Importe Neto]],Imput[[C. Imp.]:[C. Imp.]],$D326,Imput[[PERIODO Imp.]:[PERIODO Imp.]],DE$9)</f>
        <v>0</v>
      </c>
      <c r="DF326" s="693">
        <f>SUMIFS(Imput[[Importe Neto]:[Importe Neto]],Imput[[C. Imp.]:[C. Imp.]],$D326,Imput[[PERIODO Imp.]:[PERIODO Imp.]],DF$9)</f>
        <v>0</v>
      </c>
      <c r="DG326" s="693">
        <f>SUMIFS(Imput[[Importe Neto]:[Importe Neto]],Imput[[C. Imp.]:[C. Imp.]],$D326,Imput[[PERIODO Imp.]:[PERIODO Imp.]],DG$9)</f>
        <v>0</v>
      </c>
      <c r="DH326" s="694">
        <f>SUMIFS(Imput[[Importe Neto]:[Importe Neto]],Imput[[C. Imp.]:[C. Imp.]],$D326,Imput[[PERIODO Imp.]:[PERIODO Imp.]],DH$9)</f>
        <v>0</v>
      </c>
    </row>
    <row r="327" spans="1:112" s="649" customFormat="1" hidden="1" outlineLevel="1" x14ac:dyDescent="0.3">
      <c r="A327" s="652" t="str">
        <f t="shared" si="144"/>
        <v/>
      </c>
      <c r="B327" s="652"/>
      <c r="C327" s="685"/>
      <c r="D327" s="686" t="s">
        <v>2391</v>
      </c>
      <c r="E327" s="686"/>
      <c r="F327" s="720"/>
      <c r="G327" s="688"/>
      <c r="H327" s="689"/>
      <c r="I327" s="851" t="str">
        <f t="shared" si="145"/>
        <v/>
      </c>
      <c r="J327" s="850" t="str">
        <f t="shared" si="146"/>
        <v/>
      </c>
      <c r="K327" s="667"/>
      <c r="L327" s="858"/>
      <c r="M327" s="859"/>
      <c r="N327" s="859"/>
      <c r="O327" s="859"/>
      <c r="P327" s="859"/>
      <c r="Q327" s="859"/>
      <c r="R327" s="859"/>
      <c r="S327" s="859"/>
      <c r="T327" s="859"/>
      <c r="U327" s="859"/>
      <c r="V327" s="859"/>
      <c r="W327" s="859"/>
      <c r="X327" s="859"/>
      <c r="Y327" s="859"/>
      <c r="Z327" s="860"/>
      <c r="AA327" s="860"/>
      <c r="AB327" s="860"/>
      <c r="AC327" s="860"/>
      <c r="AD327" s="860"/>
      <c r="AE327" s="860"/>
      <c r="AF327" s="860"/>
      <c r="AG327" s="860"/>
      <c r="AH327" s="860"/>
      <c r="AI327" s="860"/>
      <c r="AJ327" s="860"/>
      <c r="AK327" s="860"/>
      <c r="AL327" s="860"/>
      <c r="AM327" s="860"/>
      <c r="AN327" s="860"/>
      <c r="AO327" s="860"/>
      <c r="AP327" s="860"/>
      <c r="AQ327" s="860"/>
      <c r="AR327" s="860"/>
      <c r="AS327" s="860"/>
      <c r="AT327" s="860"/>
      <c r="AU327" s="860"/>
      <c r="AV327" s="860"/>
      <c r="AW327" s="860"/>
      <c r="AX327" s="860"/>
      <c r="AY327" s="860"/>
      <c r="AZ327" s="860"/>
      <c r="BA327" s="860"/>
      <c r="BB327" s="860"/>
      <c r="BC327" s="860"/>
      <c r="BD327" s="860"/>
      <c r="BE327" s="860"/>
      <c r="BF327" s="860"/>
      <c r="BG327" s="860"/>
      <c r="BH327" s="668"/>
      <c r="BI327" s="667"/>
      <c r="BJ327" s="690">
        <f t="shared" si="147"/>
        <v>0</v>
      </c>
      <c r="BK327" s="691">
        <f t="shared" si="148"/>
        <v>0</v>
      </c>
      <c r="BL327" s="654"/>
      <c r="BM327" s="692">
        <f>SUMIFS(Imput[[Importe Neto]:[Importe Neto]],Imput[[C. Imp.]:[C. Imp.]],$D327,Imput[[PERIODO Imp.]:[PERIODO Imp.]],BM$9)</f>
        <v>0</v>
      </c>
      <c r="BN327" s="693">
        <f>SUMIFS(Imput[[Importe Neto]:[Importe Neto]],Imput[[C. Imp.]:[C. Imp.]],$D327,Imput[[PERIODO Imp.]:[PERIODO Imp.]],BN$9)</f>
        <v>0</v>
      </c>
      <c r="BO327" s="693">
        <f>SUMIFS(Imput[[Importe Neto]:[Importe Neto]],Imput[[C. Imp.]:[C. Imp.]],$D327,Imput[[PERIODO Imp.]:[PERIODO Imp.]],BO$9)</f>
        <v>0</v>
      </c>
      <c r="BP327" s="693">
        <f>SUMIFS(Imput[[Importe Neto]:[Importe Neto]],Imput[[C. Imp.]:[C. Imp.]],$D327,Imput[[PERIODO Imp.]:[PERIODO Imp.]],BP$9)</f>
        <v>0</v>
      </c>
      <c r="BQ327" s="693">
        <f>SUMIFS(Imput[[Importe Neto]:[Importe Neto]],Imput[[C. Imp.]:[C. Imp.]],$D327,Imput[[PERIODO Imp.]:[PERIODO Imp.]],BQ$9)</f>
        <v>0</v>
      </c>
      <c r="BR327" s="693">
        <f>SUMIFS(Imput[[Importe Neto]:[Importe Neto]],Imput[[C. Imp.]:[C. Imp.]],$D327,Imput[[PERIODO Imp.]:[PERIODO Imp.]],BR$9)</f>
        <v>0</v>
      </c>
      <c r="BS327" s="693">
        <f>SUMIFS(Imput[[Importe Neto]:[Importe Neto]],Imput[[C. Imp.]:[C. Imp.]],$D327,Imput[[PERIODO Imp.]:[PERIODO Imp.]],BS$9)</f>
        <v>0</v>
      </c>
      <c r="BT327" s="693">
        <f>SUMIFS(Imput[[Importe Neto]:[Importe Neto]],Imput[[C. Imp.]:[C. Imp.]],$D327,Imput[[PERIODO Imp.]:[PERIODO Imp.]],BT$9)</f>
        <v>0</v>
      </c>
      <c r="BU327" s="693">
        <f>SUMIFS(Imput[[Importe Neto]:[Importe Neto]],Imput[[C. Imp.]:[C. Imp.]],$D327,Imput[[PERIODO Imp.]:[PERIODO Imp.]],BU$9)</f>
        <v>0</v>
      </c>
      <c r="BV327" s="693">
        <f>SUMIFS(Imput[[Importe Neto]:[Importe Neto]],Imput[[C. Imp.]:[C. Imp.]],$D327,Imput[[PERIODO Imp.]:[PERIODO Imp.]],BV$9)</f>
        <v>0</v>
      </c>
      <c r="BW327" s="693">
        <f>SUMIFS(Imput[[Importe Neto]:[Importe Neto]],Imput[[C. Imp.]:[C. Imp.]],$D327,Imput[[PERIODO Imp.]:[PERIODO Imp.]],BW$9)</f>
        <v>0</v>
      </c>
      <c r="BX327" s="693">
        <f>SUMIFS(Imput[[Importe Neto]:[Importe Neto]],Imput[[C. Imp.]:[C. Imp.]],$D327,Imput[[PERIODO Imp.]:[PERIODO Imp.]],BX$9)</f>
        <v>0</v>
      </c>
      <c r="BY327" s="693">
        <f>SUMIFS(Imput[[Importe Neto]:[Importe Neto]],Imput[[C. Imp.]:[C. Imp.]],$D327,Imput[[PERIODO Imp.]:[PERIODO Imp.]],BY$9)</f>
        <v>0</v>
      </c>
      <c r="BZ327" s="693">
        <f>SUMIFS(Imput[[Importe Neto]:[Importe Neto]],Imput[[C. Imp.]:[C. Imp.]],$D327,Imput[[PERIODO Imp.]:[PERIODO Imp.]],BZ$9)</f>
        <v>0</v>
      </c>
      <c r="CA327" s="693">
        <f>SUMIFS(Imput[[Importe Neto]:[Importe Neto]],Imput[[C. Imp.]:[C. Imp.]],$D327,Imput[[PERIODO Imp.]:[PERIODO Imp.]],CA$9)</f>
        <v>0</v>
      </c>
      <c r="CB327" s="693">
        <f>SUMIFS(Imput[[Importe Neto]:[Importe Neto]],Imput[[C. Imp.]:[C. Imp.]],$D327,Imput[[PERIODO Imp.]:[PERIODO Imp.]],CB$9)</f>
        <v>0</v>
      </c>
      <c r="CC327" s="693">
        <f>SUMIFS(Imput[[Importe Neto]:[Importe Neto]],Imput[[C. Imp.]:[C. Imp.]],$D327,Imput[[PERIODO Imp.]:[PERIODO Imp.]],CC$9)</f>
        <v>0</v>
      </c>
      <c r="CD327" s="693">
        <f>SUMIFS(Imput[[Importe Neto]:[Importe Neto]],Imput[[C. Imp.]:[C. Imp.]],$D327,Imput[[PERIODO Imp.]:[PERIODO Imp.]],CD$9)</f>
        <v>0</v>
      </c>
      <c r="CE327" s="693">
        <f>SUMIFS(Imput[[Importe Neto]:[Importe Neto]],Imput[[C. Imp.]:[C. Imp.]],$D327,Imput[[PERIODO Imp.]:[PERIODO Imp.]],CE$9)</f>
        <v>0</v>
      </c>
      <c r="CF327" s="693">
        <f>SUMIFS(Imput[[Importe Neto]:[Importe Neto]],Imput[[C. Imp.]:[C. Imp.]],$D327,Imput[[PERIODO Imp.]:[PERIODO Imp.]],CF$9)</f>
        <v>0</v>
      </c>
      <c r="CG327" s="693">
        <f>SUMIFS(Imput[[Importe Neto]:[Importe Neto]],Imput[[C. Imp.]:[C. Imp.]],$D327,Imput[[PERIODO Imp.]:[PERIODO Imp.]],CG$9)</f>
        <v>0</v>
      </c>
      <c r="CH327" s="693">
        <f>SUMIFS(Imput[[Importe Neto]:[Importe Neto]],Imput[[C. Imp.]:[C. Imp.]],$D327,Imput[[PERIODO Imp.]:[PERIODO Imp.]],CH$9)</f>
        <v>0</v>
      </c>
      <c r="CI327" s="693">
        <f>SUMIFS(Imput[[Importe Neto]:[Importe Neto]],Imput[[C. Imp.]:[C. Imp.]],$D327,Imput[[PERIODO Imp.]:[PERIODO Imp.]],CI$9)</f>
        <v>0</v>
      </c>
      <c r="CJ327" s="693">
        <f>SUMIFS(Imput[[Importe Neto]:[Importe Neto]],Imput[[C. Imp.]:[C. Imp.]],$D327,Imput[[PERIODO Imp.]:[PERIODO Imp.]],CJ$9)</f>
        <v>0</v>
      </c>
      <c r="CK327" s="693">
        <f>SUMIFS(Imput[[Importe Neto]:[Importe Neto]],Imput[[C. Imp.]:[C. Imp.]],$D327,Imput[[PERIODO Imp.]:[PERIODO Imp.]],CK$9)</f>
        <v>0</v>
      </c>
      <c r="CL327" s="693">
        <f>SUMIFS(Imput[[Importe Neto]:[Importe Neto]],Imput[[C. Imp.]:[C. Imp.]],$D327,Imput[[PERIODO Imp.]:[PERIODO Imp.]],CL$9)</f>
        <v>0</v>
      </c>
      <c r="CM327" s="693">
        <f>SUMIFS(Imput[[Importe Neto]:[Importe Neto]],Imput[[C. Imp.]:[C. Imp.]],$D327,Imput[[PERIODO Imp.]:[PERIODO Imp.]],CM$9)</f>
        <v>0</v>
      </c>
      <c r="CN327" s="693">
        <f>SUMIFS(Imput[[Importe Neto]:[Importe Neto]],Imput[[C. Imp.]:[C. Imp.]],$D327,Imput[[PERIODO Imp.]:[PERIODO Imp.]],CN$9)</f>
        <v>0</v>
      </c>
      <c r="CO327" s="693">
        <f>SUMIFS(Imput[[Importe Neto]:[Importe Neto]],Imput[[C. Imp.]:[C. Imp.]],$D327,Imput[[PERIODO Imp.]:[PERIODO Imp.]],CO$9)</f>
        <v>0</v>
      </c>
      <c r="CP327" s="693">
        <f>SUMIFS(Imput[[Importe Neto]:[Importe Neto]],Imput[[C. Imp.]:[C. Imp.]],$D327,Imput[[PERIODO Imp.]:[PERIODO Imp.]],CP$9)</f>
        <v>0</v>
      </c>
      <c r="CQ327" s="693">
        <f>SUMIFS(Imput[[Importe Neto]:[Importe Neto]],Imput[[C. Imp.]:[C. Imp.]],$D327,Imput[[PERIODO Imp.]:[PERIODO Imp.]],CQ$9)</f>
        <v>0</v>
      </c>
      <c r="CR327" s="693">
        <f>SUMIFS(Imput[[Importe Neto]:[Importe Neto]],Imput[[C. Imp.]:[C. Imp.]],$D327,Imput[[PERIODO Imp.]:[PERIODO Imp.]],CR$9)</f>
        <v>0</v>
      </c>
      <c r="CS327" s="693">
        <f>SUMIFS(Imput[[Importe Neto]:[Importe Neto]],Imput[[C. Imp.]:[C. Imp.]],$D327,Imput[[PERIODO Imp.]:[PERIODO Imp.]],CS$9)</f>
        <v>0</v>
      </c>
      <c r="CT327" s="693">
        <f>SUMIFS(Imput[[Importe Neto]:[Importe Neto]],Imput[[C. Imp.]:[C. Imp.]],$D327,Imput[[PERIODO Imp.]:[PERIODO Imp.]],CT$9)</f>
        <v>0</v>
      </c>
      <c r="CU327" s="693">
        <f>SUMIFS(Imput[[Importe Neto]:[Importe Neto]],Imput[[C. Imp.]:[C. Imp.]],$D327,Imput[[PERIODO Imp.]:[PERIODO Imp.]],CU$9)</f>
        <v>0</v>
      </c>
      <c r="CV327" s="693">
        <f>SUMIFS(Imput[[Importe Neto]:[Importe Neto]],Imput[[C. Imp.]:[C. Imp.]],$D327,Imput[[PERIODO Imp.]:[PERIODO Imp.]],CV$9)</f>
        <v>0</v>
      </c>
      <c r="CW327" s="693">
        <f>SUMIFS(Imput[[Importe Neto]:[Importe Neto]],Imput[[C. Imp.]:[C. Imp.]],$D327,Imput[[PERIODO Imp.]:[PERIODO Imp.]],CW$9)</f>
        <v>0</v>
      </c>
      <c r="CX327" s="693">
        <f>SUMIFS(Imput[[Importe Neto]:[Importe Neto]],Imput[[C. Imp.]:[C. Imp.]],$D327,Imput[[PERIODO Imp.]:[PERIODO Imp.]],CX$9)</f>
        <v>0</v>
      </c>
      <c r="CY327" s="693">
        <f>SUMIFS(Imput[[Importe Neto]:[Importe Neto]],Imput[[C. Imp.]:[C. Imp.]],$D327,Imput[[PERIODO Imp.]:[PERIODO Imp.]],CY$9)</f>
        <v>0</v>
      </c>
      <c r="CZ327" s="693">
        <f>SUMIFS(Imput[[Importe Neto]:[Importe Neto]],Imput[[C. Imp.]:[C. Imp.]],$D327,Imput[[PERIODO Imp.]:[PERIODO Imp.]],CZ$9)</f>
        <v>0</v>
      </c>
      <c r="DA327" s="693">
        <f>SUMIFS(Imput[[Importe Neto]:[Importe Neto]],Imput[[C. Imp.]:[C. Imp.]],$D327,Imput[[PERIODO Imp.]:[PERIODO Imp.]],DA$9)</f>
        <v>0</v>
      </c>
      <c r="DB327" s="693">
        <f>SUMIFS(Imput[[Importe Neto]:[Importe Neto]],Imput[[C. Imp.]:[C. Imp.]],$D327,Imput[[PERIODO Imp.]:[PERIODO Imp.]],DB$9)</f>
        <v>0</v>
      </c>
      <c r="DC327" s="693">
        <f>SUMIFS(Imput[[Importe Neto]:[Importe Neto]],Imput[[C. Imp.]:[C. Imp.]],$D327,Imput[[PERIODO Imp.]:[PERIODO Imp.]],DC$9)</f>
        <v>0</v>
      </c>
      <c r="DD327" s="693">
        <f>SUMIFS(Imput[[Importe Neto]:[Importe Neto]],Imput[[C. Imp.]:[C. Imp.]],$D327,Imput[[PERIODO Imp.]:[PERIODO Imp.]],DD$9)</f>
        <v>0</v>
      </c>
      <c r="DE327" s="693">
        <f>SUMIFS(Imput[[Importe Neto]:[Importe Neto]],Imput[[C. Imp.]:[C. Imp.]],$D327,Imput[[PERIODO Imp.]:[PERIODO Imp.]],DE$9)</f>
        <v>0</v>
      </c>
      <c r="DF327" s="693">
        <f>SUMIFS(Imput[[Importe Neto]:[Importe Neto]],Imput[[C. Imp.]:[C. Imp.]],$D327,Imput[[PERIODO Imp.]:[PERIODO Imp.]],DF$9)</f>
        <v>0</v>
      </c>
      <c r="DG327" s="693">
        <f>SUMIFS(Imput[[Importe Neto]:[Importe Neto]],Imput[[C. Imp.]:[C. Imp.]],$D327,Imput[[PERIODO Imp.]:[PERIODO Imp.]],DG$9)</f>
        <v>0</v>
      </c>
      <c r="DH327" s="694">
        <f>SUMIFS(Imput[[Importe Neto]:[Importe Neto]],Imput[[C. Imp.]:[C. Imp.]],$D327,Imput[[PERIODO Imp.]:[PERIODO Imp.]],DH$9)</f>
        <v>0</v>
      </c>
    </row>
    <row r="328" spans="1:112" s="649" customFormat="1" hidden="1" outlineLevel="1" x14ac:dyDescent="0.3">
      <c r="A328" s="652" t="str">
        <f t="shared" si="144"/>
        <v/>
      </c>
      <c r="B328" s="652"/>
      <c r="C328" s="685"/>
      <c r="D328" s="686" t="s">
        <v>2392</v>
      </c>
      <c r="E328" s="686"/>
      <c r="F328" s="720"/>
      <c r="G328" s="688"/>
      <c r="H328" s="689"/>
      <c r="I328" s="851" t="str">
        <f t="shared" si="145"/>
        <v/>
      </c>
      <c r="J328" s="850" t="str">
        <f t="shared" si="146"/>
        <v/>
      </c>
      <c r="K328" s="667"/>
      <c r="L328" s="858"/>
      <c r="M328" s="859"/>
      <c r="N328" s="859"/>
      <c r="O328" s="859"/>
      <c r="P328" s="859"/>
      <c r="Q328" s="859"/>
      <c r="R328" s="859"/>
      <c r="S328" s="859"/>
      <c r="T328" s="859"/>
      <c r="U328" s="859"/>
      <c r="V328" s="859"/>
      <c r="W328" s="859"/>
      <c r="X328" s="859"/>
      <c r="Y328" s="859"/>
      <c r="Z328" s="860"/>
      <c r="AA328" s="860"/>
      <c r="AB328" s="860"/>
      <c r="AC328" s="860"/>
      <c r="AD328" s="860"/>
      <c r="AE328" s="860"/>
      <c r="AF328" s="860"/>
      <c r="AG328" s="860"/>
      <c r="AH328" s="860"/>
      <c r="AI328" s="860"/>
      <c r="AJ328" s="860"/>
      <c r="AK328" s="860"/>
      <c r="AL328" s="860"/>
      <c r="AM328" s="860"/>
      <c r="AN328" s="860"/>
      <c r="AO328" s="860"/>
      <c r="AP328" s="860"/>
      <c r="AQ328" s="860"/>
      <c r="AR328" s="860"/>
      <c r="AS328" s="860"/>
      <c r="AT328" s="860"/>
      <c r="AU328" s="860"/>
      <c r="AV328" s="860"/>
      <c r="AW328" s="860"/>
      <c r="AX328" s="860"/>
      <c r="AY328" s="860"/>
      <c r="AZ328" s="860"/>
      <c r="BA328" s="860"/>
      <c r="BB328" s="860"/>
      <c r="BC328" s="860"/>
      <c r="BD328" s="860"/>
      <c r="BE328" s="860"/>
      <c r="BF328" s="860"/>
      <c r="BG328" s="860"/>
      <c r="BH328" s="668"/>
      <c r="BI328" s="667"/>
      <c r="BJ328" s="690">
        <f t="shared" si="147"/>
        <v>0</v>
      </c>
      <c r="BK328" s="691">
        <f t="shared" si="148"/>
        <v>0</v>
      </c>
      <c r="BL328" s="654"/>
      <c r="BM328" s="692">
        <f>SUMIFS(Imput[[Importe Neto]:[Importe Neto]],Imput[[C. Imp.]:[C. Imp.]],$D328,Imput[[PERIODO Imp.]:[PERIODO Imp.]],BM$9)</f>
        <v>0</v>
      </c>
      <c r="BN328" s="693">
        <f>SUMIFS(Imput[[Importe Neto]:[Importe Neto]],Imput[[C. Imp.]:[C. Imp.]],$D328,Imput[[PERIODO Imp.]:[PERIODO Imp.]],BN$9)</f>
        <v>0</v>
      </c>
      <c r="BO328" s="693">
        <f>SUMIFS(Imput[[Importe Neto]:[Importe Neto]],Imput[[C. Imp.]:[C. Imp.]],$D328,Imput[[PERIODO Imp.]:[PERIODO Imp.]],BO$9)</f>
        <v>0</v>
      </c>
      <c r="BP328" s="693">
        <f>SUMIFS(Imput[[Importe Neto]:[Importe Neto]],Imput[[C. Imp.]:[C. Imp.]],$D328,Imput[[PERIODO Imp.]:[PERIODO Imp.]],BP$9)</f>
        <v>0</v>
      </c>
      <c r="BQ328" s="693">
        <f>SUMIFS(Imput[[Importe Neto]:[Importe Neto]],Imput[[C. Imp.]:[C. Imp.]],$D328,Imput[[PERIODO Imp.]:[PERIODO Imp.]],BQ$9)</f>
        <v>0</v>
      </c>
      <c r="BR328" s="693">
        <f>SUMIFS(Imput[[Importe Neto]:[Importe Neto]],Imput[[C. Imp.]:[C. Imp.]],$D328,Imput[[PERIODO Imp.]:[PERIODO Imp.]],BR$9)</f>
        <v>0</v>
      </c>
      <c r="BS328" s="693">
        <f>SUMIFS(Imput[[Importe Neto]:[Importe Neto]],Imput[[C. Imp.]:[C. Imp.]],$D328,Imput[[PERIODO Imp.]:[PERIODO Imp.]],BS$9)</f>
        <v>0</v>
      </c>
      <c r="BT328" s="693">
        <f>SUMIFS(Imput[[Importe Neto]:[Importe Neto]],Imput[[C. Imp.]:[C. Imp.]],$D328,Imput[[PERIODO Imp.]:[PERIODO Imp.]],BT$9)</f>
        <v>0</v>
      </c>
      <c r="BU328" s="693">
        <f>SUMIFS(Imput[[Importe Neto]:[Importe Neto]],Imput[[C. Imp.]:[C. Imp.]],$D328,Imput[[PERIODO Imp.]:[PERIODO Imp.]],BU$9)</f>
        <v>0</v>
      </c>
      <c r="BV328" s="693">
        <f>SUMIFS(Imput[[Importe Neto]:[Importe Neto]],Imput[[C. Imp.]:[C. Imp.]],$D328,Imput[[PERIODO Imp.]:[PERIODO Imp.]],BV$9)</f>
        <v>0</v>
      </c>
      <c r="BW328" s="693">
        <f>SUMIFS(Imput[[Importe Neto]:[Importe Neto]],Imput[[C. Imp.]:[C. Imp.]],$D328,Imput[[PERIODO Imp.]:[PERIODO Imp.]],BW$9)</f>
        <v>0</v>
      </c>
      <c r="BX328" s="693">
        <f>SUMIFS(Imput[[Importe Neto]:[Importe Neto]],Imput[[C. Imp.]:[C. Imp.]],$D328,Imput[[PERIODO Imp.]:[PERIODO Imp.]],BX$9)</f>
        <v>0</v>
      </c>
      <c r="BY328" s="693">
        <f>SUMIFS(Imput[[Importe Neto]:[Importe Neto]],Imput[[C. Imp.]:[C. Imp.]],$D328,Imput[[PERIODO Imp.]:[PERIODO Imp.]],BY$9)</f>
        <v>0</v>
      </c>
      <c r="BZ328" s="693">
        <f>SUMIFS(Imput[[Importe Neto]:[Importe Neto]],Imput[[C. Imp.]:[C. Imp.]],$D328,Imput[[PERIODO Imp.]:[PERIODO Imp.]],BZ$9)</f>
        <v>0</v>
      </c>
      <c r="CA328" s="693">
        <f>SUMIFS(Imput[[Importe Neto]:[Importe Neto]],Imput[[C. Imp.]:[C. Imp.]],$D328,Imput[[PERIODO Imp.]:[PERIODO Imp.]],CA$9)</f>
        <v>0</v>
      </c>
      <c r="CB328" s="693">
        <f>SUMIFS(Imput[[Importe Neto]:[Importe Neto]],Imput[[C. Imp.]:[C. Imp.]],$D328,Imput[[PERIODO Imp.]:[PERIODO Imp.]],CB$9)</f>
        <v>0</v>
      </c>
      <c r="CC328" s="693">
        <f>SUMIFS(Imput[[Importe Neto]:[Importe Neto]],Imput[[C. Imp.]:[C. Imp.]],$D328,Imput[[PERIODO Imp.]:[PERIODO Imp.]],CC$9)</f>
        <v>0</v>
      </c>
      <c r="CD328" s="693">
        <f>SUMIFS(Imput[[Importe Neto]:[Importe Neto]],Imput[[C. Imp.]:[C. Imp.]],$D328,Imput[[PERIODO Imp.]:[PERIODO Imp.]],CD$9)</f>
        <v>0</v>
      </c>
      <c r="CE328" s="693">
        <f>SUMIFS(Imput[[Importe Neto]:[Importe Neto]],Imput[[C. Imp.]:[C. Imp.]],$D328,Imput[[PERIODO Imp.]:[PERIODO Imp.]],CE$9)</f>
        <v>0</v>
      </c>
      <c r="CF328" s="693">
        <f>SUMIFS(Imput[[Importe Neto]:[Importe Neto]],Imput[[C. Imp.]:[C. Imp.]],$D328,Imput[[PERIODO Imp.]:[PERIODO Imp.]],CF$9)</f>
        <v>0</v>
      </c>
      <c r="CG328" s="693">
        <f>SUMIFS(Imput[[Importe Neto]:[Importe Neto]],Imput[[C. Imp.]:[C. Imp.]],$D328,Imput[[PERIODO Imp.]:[PERIODO Imp.]],CG$9)</f>
        <v>0</v>
      </c>
      <c r="CH328" s="693">
        <f>SUMIFS(Imput[[Importe Neto]:[Importe Neto]],Imput[[C. Imp.]:[C. Imp.]],$D328,Imput[[PERIODO Imp.]:[PERIODO Imp.]],CH$9)</f>
        <v>0</v>
      </c>
      <c r="CI328" s="693">
        <f>SUMIFS(Imput[[Importe Neto]:[Importe Neto]],Imput[[C. Imp.]:[C. Imp.]],$D328,Imput[[PERIODO Imp.]:[PERIODO Imp.]],CI$9)</f>
        <v>0</v>
      </c>
      <c r="CJ328" s="693">
        <f>SUMIFS(Imput[[Importe Neto]:[Importe Neto]],Imput[[C. Imp.]:[C. Imp.]],$D328,Imput[[PERIODO Imp.]:[PERIODO Imp.]],CJ$9)</f>
        <v>0</v>
      </c>
      <c r="CK328" s="693">
        <f>SUMIFS(Imput[[Importe Neto]:[Importe Neto]],Imput[[C. Imp.]:[C. Imp.]],$D328,Imput[[PERIODO Imp.]:[PERIODO Imp.]],CK$9)</f>
        <v>0</v>
      </c>
      <c r="CL328" s="693">
        <f>SUMIFS(Imput[[Importe Neto]:[Importe Neto]],Imput[[C. Imp.]:[C. Imp.]],$D328,Imput[[PERIODO Imp.]:[PERIODO Imp.]],CL$9)</f>
        <v>0</v>
      </c>
      <c r="CM328" s="693">
        <f>SUMIFS(Imput[[Importe Neto]:[Importe Neto]],Imput[[C. Imp.]:[C. Imp.]],$D328,Imput[[PERIODO Imp.]:[PERIODO Imp.]],CM$9)</f>
        <v>0</v>
      </c>
      <c r="CN328" s="693">
        <f>SUMIFS(Imput[[Importe Neto]:[Importe Neto]],Imput[[C. Imp.]:[C. Imp.]],$D328,Imput[[PERIODO Imp.]:[PERIODO Imp.]],CN$9)</f>
        <v>0</v>
      </c>
      <c r="CO328" s="693">
        <f>SUMIFS(Imput[[Importe Neto]:[Importe Neto]],Imput[[C. Imp.]:[C. Imp.]],$D328,Imput[[PERIODO Imp.]:[PERIODO Imp.]],CO$9)</f>
        <v>0</v>
      </c>
      <c r="CP328" s="693">
        <f>SUMIFS(Imput[[Importe Neto]:[Importe Neto]],Imput[[C. Imp.]:[C. Imp.]],$D328,Imput[[PERIODO Imp.]:[PERIODO Imp.]],CP$9)</f>
        <v>0</v>
      </c>
      <c r="CQ328" s="693">
        <f>SUMIFS(Imput[[Importe Neto]:[Importe Neto]],Imput[[C. Imp.]:[C. Imp.]],$D328,Imput[[PERIODO Imp.]:[PERIODO Imp.]],CQ$9)</f>
        <v>0</v>
      </c>
      <c r="CR328" s="693">
        <f>SUMIFS(Imput[[Importe Neto]:[Importe Neto]],Imput[[C. Imp.]:[C. Imp.]],$D328,Imput[[PERIODO Imp.]:[PERIODO Imp.]],CR$9)</f>
        <v>0</v>
      </c>
      <c r="CS328" s="693">
        <f>SUMIFS(Imput[[Importe Neto]:[Importe Neto]],Imput[[C. Imp.]:[C. Imp.]],$D328,Imput[[PERIODO Imp.]:[PERIODO Imp.]],CS$9)</f>
        <v>0</v>
      </c>
      <c r="CT328" s="693">
        <f>SUMIFS(Imput[[Importe Neto]:[Importe Neto]],Imput[[C. Imp.]:[C. Imp.]],$D328,Imput[[PERIODO Imp.]:[PERIODO Imp.]],CT$9)</f>
        <v>0</v>
      </c>
      <c r="CU328" s="693">
        <f>SUMIFS(Imput[[Importe Neto]:[Importe Neto]],Imput[[C. Imp.]:[C. Imp.]],$D328,Imput[[PERIODO Imp.]:[PERIODO Imp.]],CU$9)</f>
        <v>0</v>
      </c>
      <c r="CV328" s="693">
        <f>SUMIFS(Imput[[Importe Neto]:[Importe Neto]],Imput[[C. Imp.]:[C. Imp.]],$D328,Imput[[PERIODO Imp.]:[PERIODO Imp.]],CV$9)</f>
        <v>0</v>
      </c>
      <c r="CW328" s="693">
        <f>SUMIFS(Imput[[Importe Neto]:[Importe Neto]],Imput[[C. Imp.]:[C. Imp.]],$D328,Imput[[PERIODO Imp.]:[PERIODO Imp.]],CW$9)</f>
        <v>0</v>
      </c>
      <c r="CX328" s="693">
        <f>SUMIFS(Imput[[Importe Neto]:[Importe Neto]],Imput[[C. Imp.]:[C. Imp.]],$D328,Imput[[PERIODO Imp.]:[PERIODO Imp.]],CX$9)</f>
        <v>0</v>
      </c>
      <c r="CY328" s="693">
        <f>SUMIFS(Imput[[Importe Neto]:[Importe Neto]],Imput[[C. Imp.]:[C. Imp.]],$D328,Imput[[PERIODO Imp.]:[PERIODO Imp.]],CY$9)</f>
        <v>0</v>
      </c>
      <c r="CZ328" s="693">
        <f>SUMIFS(Imput[[Importe Neto]:[Importe Neto]],Imput[[C. Imp.]:[C. Imp.]],$D328,Imput[[PERIODO Imp.]:[PERIODO Imp.]],CZ$9)</f>
        <v>0</v>
      </c>
      <c r="DA328" s="693">
        <f>SUMIFS(Imput[[Importe Neto]:[Importe Neto]],Imput[[C. Imp.]:[C. Imp.]],$D328,Imput[[PERIODO Imp.]:[PERIODO Imp.]],DA$9)</f>
        <v>0</v>
      </c>
      <c r="DB328" s="693">
        <f>SUMIFS(Imput[[Importe Neto]:[Importe Neto]],Imput[[C. Imp.]:[C. Imp.]],$D328,Imput[[PERIODO Imp.]:[PERIODO Imp.]],DB$9)</f>
        <v>0</v>
      </c>
      <c r="DC328" s="693">
        <f>SUMIFS(Imput[[Importe Neto]:[Importe Neto]],Imput[[C. Imp.]:[C. Imp.]],$D328,Imput[[PERIODO Imp.]:[PERIODO Imp.]],DC$9)</f>
        <v>0</v>
      </c>
      <c r="DD328" s="693">
        <f>SUMIFS(Imput[[Importe Neto]:[Importe Neto]],Imput[[C. Imp.]:[C. Imp.]],$D328,Imput[[PERIODO Imp.]:[PERIODO Imp.]],DD$9)</f>
        <v>0</v>
      </c>
      <c r="DE328" s="693">
        <f>SUMIFS(Imput[[Importe Neto]:[Importe Neto]],Imput[[C. Imp.]:[C. Imp.]],$D328,Imput[[PERIODO Imp.]:[PERIODO Imp.]],DE$9)</f>
        <v>0</v>
      </c>
      <c r="DF328" s="693">
        <f>SUMIFS(Imput[[Importe Neto]:[Importe Neto]],Imput[[C. Imp.]:[C. Imp.]],$D328,Imput[[PERIODO Imp.]:[PERIODO Imp.]],DF$9)</f>
        <v>0</v>
      </c>
      <c r="DG328" s="693">
        <f>SUMIFS(Imput[[Importe Neto]:[Importe Neto]],Imput[[C. Imp.]:[C. Imp.]],$D328,Imput[[PERIODO Imp.]:[PERIODO Imp.]],DG$9)</f>
        <v>0</v>
      </c>
      <c r="DH328" s="694">
        <f>SUMIFS(Imput[[Importe Neto]:[Importe Neto]],Imput[[C. Imp.]:[C. Imp.]],$D328,Imput[[PERIODO Imp.]:[PERIODO Imp.]],DH$9)</f>
        <v>0</v>
      </c>
    </row>
    <row r="329" spans="1:112" s="649" customFormat="1" hidden="1" outlineLevel="1" x14ac:dyDescent="0.3">
      <c r="A329" s="652" t="str">
        <f t="shared" si="144"/>
        <v/>
      </c>
      <c r="B329" s="652"/>
      <c r="C329" s="685"/>
      <c r="D329" s="686" t="s">
        <v>2393</v>
      </c>
      <c r="E329" s="686"/>
      <c r="F329" s="720"/>
      <c r="G329" s="688"/>
      <c r="H329" s="689"/>
      <c r="I329" s="851" t="str">
        <f t="shared" si="145"/>
        <v/>
      </c>
      <c r="J329" s="850" t="str">
        <f t="shared" si="146"/>
        <v/>
      </c>
      <c r="K329" s="667"/>
      <c r="L329" s="858"/>
      <c r="M329" s="859"/>
      <c r="N329" s="859"/>
      <c r="O329" s="859"/>
      <c r="P329" s="859"/>
      <c r="Q329" s="859"/>
      <c r="R329" s="859"/>
      <c r="S329" s="859"/>
      <c r="T329" s="859"/>
      <c r="U329" s="859"/>
      <c r="V329" s="859"/>
      <c r="W329" s="859"/>
      <c r="X329" s="859"/>
      <c r="Y329" s="859"/>
      <c r="Z329" s="860"/>
      <c r="AA329" s="860"/>
      <c r="AB329" s="860"/>
      <c r="AC329" s="860"/>
      <c r="AD329" s="860"/>
      <c r="AE329" s="860"/>
      <c r="AF329" s="860"/>
      <c r="AG329" s="860"/>
      <c r="AH329" s="860"/>
      <c r="AI329" s="860"/>
      <c r="AJ329" s="860"/>
      <c r="AK329" s="860"/>
      <c r="AL329" s="860"/>
      <c r="AM329" s="860"/>
      <c r="AN329" s="860"/>
      <c r="AO329" s="860"/>
      <c r="AP329" s="860"/>
      <c r="AQ329" s="860"/>
      <c r="AR329" s="860"/>
      <c r="AS329" s="860"/>
      <c r="AT329" s="860"/>
      <c r="AU329" s="860"/>
      <c r="AV329" s="860"/>
      <c r="AW329" s="860"/>
      <c r="AX329" s="860"/>
      <c r="AY329" s="860"/>
      <c r="AZ329" s="860"/>
      <c r="BA329" s="860"/>
      <c r="BB329" s="860"/>
      <c r="BC329" s="860"/>
      <c r="BD329" s="860"/>
      <c r="BE329" s="860"/>
      <c r="BF329" s="860"/>
      <c r="BG329" s="860"/>
      <c r="BH329" s="668"/>
      <c r="BI329" s="667"/>
      <c r="BJ329" s="690">
        <f t="shared" si="147"/>
        <v>0</v>
      </c>
      <c r="BK329" s="691">
        <f t="shared" si="148"/>
        <v>0</v>
      </c>
      <c r="BL329" s="654"/>
      <c r="BM329" s="692">
        <f>SUMIFS(Imput[[Importe Neto]:[Importe Neto]],Imput[[C. Imp.]:[C. Imp.]],$D329,Imput[[PERIODO Imp.]:[PERIODO Imp.]],BM$9)</f>
        <v>0</v>
      </c>
      <c r="BN329" s="693">
        <f>SUMIFS(Imput[[Importe Neto]:[Importe Neto]],Imput[[C. Imp.]:[C. Imp.]],$D329,Imput[[PERIODO Imp.]:[PERIODO Imp.]],BN$9)</f>
        <v>0</v>
      </c>
      <c r="BO329" s="693">
        <f>SUMIFS(Imput[[Importe Neto]:[Importe Neto]],Imput[[C. Imp.]:[C. Imp.]],$D329,Imput[[PERIODO Imp.]:[PERIODO Imp.]],BO$9)</f>
        <v>0</v>
      </c>
      <c r="BP329" s="693">
        <f>SUMIFS(Imput[[Importe Neto]:[Importe Neto]],Imput[[C. Imp.]:[C. Imp.]],$D329,Imput[[PERIODO Imp.]:[PERIODO Imp.]],BP$9)</f>
        <v>0</v>
      </c>
      <c r="BQ329" s="693">
        <f>SUMIFS(Imput[[Importe Neto]:[Importe Neto]],Imput[[C. Imp.]:[C. Imp.]],$D329,Imput[[PERIODO Imp.]:[PERIODO Imp.]],BQ$9)</f>
        <v>0</v>
      </c>
      <c r="BR329" s="693">
        <f>SUMIFS(Imput[[Importe Neto]:[Importe Neto]],Imput[[C. Imp.]:[C. Imp.]],$D329,Imput[[PERIODO Imp.]:[PERIODO Imp.]],BR$9)</f>
        <v>0</v>
      </c>
      <c r="BS329" s="693">
        <f>SUMIFS(Imput[[Importe Neto]:[Importe Neto]],Imput[[C. Imp.]:[C. Imp.]],$D329,Imput[[PERIODO Imp.]:[PERIODO Imp.]],BS$9)</f>
        <v>0</v>
      </c>
      <c r="BT329" s="693">
        <f>SUMIFS(Imput[[Importe Neto]:[Importe Neto]],Imput[[C. Imp.]:[C. Imp.]],$D329,Imput[[PERIODO Imp.]:[PERIODO Imp.]],BT$9)</f>
        <v>0</v>
      </c>
      <c r="BU329" s="693">
        <f>SUMIFS(Imput[[Importe Neto]:[Importe Neto]],Imput[[C. Imp.]:[C. Imp.]],$D329,Imput[[PERIODO Imp.]:[PERIODO Imp.]],BU$9)</f>
        <v>0</v>
      </c>
      <c r="BV329" s="693">
        <f>SUMIFS(Imput[[Importe Neto]:[Importe Neto]],Imput[[C. Imp.]:[C. Imp.]],$D329,Imput[[PERIODO Imp.]:[PERIODO Imp.]],BV$9)</f>
        <v>0</v>
      </c>
      <c r="BW329" s="693">
        <f>SUMIFS(Imput[[Importe Neto]:[Importe Neto]],Imput[[C. Imp.]:[C. Imp.]],$D329,Imput[[PERIODO Imp.]:[PERIODO Imp.]],BW$9)</f>
        <v>0</v>
      </c>
      <c r="BX329" s="693">
        <f>SUMIFS(Imput[[Importe Neto]:[Importe Neto]],Imput[[C. Imp.]:[C. Imp.]],$D329,Imput[[PERIODO Imp.]:[PERIODO Imp.]],BX$9)</f>
        <v>0</v>
      </c>
      <c r="BY329" s="693">
        <f>SUMIFS(Imput[[Importe Neto]:[Importe Neto]],Imput[[C. Imp.]:[C. Imp.]],$D329,Imput[[PERIODO Imp.]:[PERIODO Imp.]],BY$9)</f>
        <v>0</v>
      </c>
      <c r="BZ329" s="693">
        <f>SUMIFS(Imput[[Importe Neto]:[Importe Neto]],Imput[[C. Imp.]:[C. Imp.]],$D329,Imput[[PERIODO Imp.]:[PERIODO Imp.]],BZ$9)</f>
        <v>0</v>
      </c>
      <c r="CA329" s="693">
        <f>SUMIFS(Imput[[Importe Neto]:[Importe Neto]],Imput[[C. Imp.]:[C. Imp.]],$D329,Imput[[PERIODO Imp.]:[PERIODO Imp.]],CA$9)</f>
        <v>0</v>
      </c>
      <c r="CB329" s="693">
        <f>SUMIFS(Imput[[Importe Neto]:[Importe Neto]],Imput[[C. Imp.]:[C. Imp.]],$D329,Imput[[PERIODO Imp.]:[PERIODO Imp.]],CB$9)</f>
        <v>0</v>
      </c>
      <c r="CC329" s="693">
        <f>SUMIFS(Imput[[Importe Neto]:[Importe Neto]],Imput[[C. Imp.]:[C. Imp.]],$D329,Imput[[PERIODO Imp.]:[PERIODO Imp.]],CC$9)</f>
        <v>0</v>
      </c>
      <c r="CD329" s="693">
        <f>SUMIFS(Imput[[Importe Neto]:[Importe Neto]],Imput[[C. Imp.]:[C. Imp.]],$D329,Imput[[PERIODO Imp.]:[PERIODO Imp.]],CD$9)</f>
        <v>0</v>
      </c>
      <c r="CE329" s="693">
        <f>SUMIFS(Imput[[Importe Neto]:[Importe Neto]],Imput[[C. Imp.]:[C. Imp.]],$D329,Imput[[PERIODO Imp.]:[PERIODO Imp.]],CE$9)</f>
        <v>0</v>
      </c>
      <c r="CF329" s="693">
        <f>SUMIFS(Imput[[Importe Neto]:[Importe Neto]],Imput[[C. Imp.]:[C. Imp.]],$D329,Imput[[PERIODO Imp.]:[PERIODO Imp.]],CF$9)</f>
        <v>0</v>
      </c>
      <c r="CG329" s="693">
        <f>SUMIFS(Imput[[Importe Neto]:[Importe Neto]],Imput[[C. Imp.]:[C. Imp.]],$D329,Imput[[PERIODO Imp.]:[PERIODO Imp.]],CG$9)</f>
        <v>0</v>
      </c>
      <c r="CH329" s="693">
        <f>SUMIFS(Imput[[Importe Neto]:[Importe Neto]],Imput[[C. Imp.]:[C. Imp.]],$D329,Imput[[PERIODO Imp.]:[PERIODO Imp.]],CH$9)</f>
        <v>0</v>
      </c>
      <c r="CI329" s="693">
        <f>SUMIFS(Imput[[Importe Neto]:[Importe Neto]],Imput[[C. Imp.]:[C. Imp.]],$D329,Imput[[PERIODO Imp.]:[PERIODO Imp.]],CI$9)</f>
        <v>0</v>
      </c>
      <c r="CJ329" s="693">
        <f>SUMIFS(Imput[[Importe Neto]:[Importe Neto]],Imput[[C. Imp.]:[C. Imp.]],$D329,Imput[[PERIODO Imp.]:[PERIODO Imp.]],CJ$9)</f>
        <v>0</v>
      </c>
      <c r="CK329" s="693">
        <f>SUMIFS(Imput[[Importe Neto]:[Importe Neto]],Imput[[C. Imp.]:[C. Imp.]],$D329,Imput[[PERIODO Imp.]:[PERIODO Imp.]],CK$9)</f>
        <v>0</v>
      </c>
      <c r="CL329" s="693">
        <f>SUMIFS(Imput[[Importe Neto]:[Importe Neto]],Imput[[C. Imp.]:[C. Imp.]],$D329,Imput[[PERIODO Imp.]:[PERIODO Imp.]],CL$9)</f>
        <v>0</v>
      </c>
      <c r="CM329" s="693">
        <f>SUMIFS(Imput[[Importe Neto]:[Importe Neto]],Imput[[C. Imp.]:[C. Imp.]],$D329,Imput[[PERIODO Imp.]:[PERIODO Imp.]],CM$9)</f>
        <v>0</v>
      </c>
      <c r="CN329" s="693">
        <f>SUMIFS(Imput[[Importe Neto]:[Importe Neto]],Imput[[C. Imp.]:[C. Imp.]],$D329,Imput[[PERIODO Imp.]:[PERIODO Imp.]],CN$9)</f>
        <v>0</v>
      </c>
      <c r="CO329" s="693">
        <f>SUMIFS(Imput[[Importe Neto]:[Importe Neto]],Imput[[C. Imp.]:[C. Imp.]],$D329,Imput[[PERIODO Imp.]:[PERIODO Imp.]],CO$9)</f>
        <v>0</v>
      </c>
      <c r="CP329" s="693">
        <f>SUMIFS(Imput[[Importe Neto]:[Importe Neto]],Imput[[C. Imp.]:[C. Imp.]],$D329,Imput[[PERIODO Imp.]:[PERIODO Imp.]],CP$9)</f>
        <v>0</v>
      </c>
      <c r="CQ329" s="693">
        <f>SUMIFS(Imput[[Importe Neto]:[Importe Neto]],Imput[[C. Imp.]:[C. Imp.]],$D329,Imput[[PERIODO Imp.]:[PERIODO Imp.]],CQ$9)</f>
        <v>0</v>
      </c>
      <c r="CR329" s="693">
        <f>SUMIFS(Imput[[Importe Neto]:[Importe Neto]],Imput[[C. Imp.]:[C. Imp.]],$D329,Imput[[PERIODO Imp.]:[PERIODO Imp.]],CR$9)</f>
        <v>0</v>
      </c>
      <c r="CS329" s="693">
        <f>SUMIFS(Imput[[Importe Neto]:[Importe Neto]],Imput[[C. Imp.]:[C. Imp.]],$D329,Imput[[PERIODO Imp.]:[PERIODO Imp.]],CS$9)</f>
        <v>0</v>
      </c>
      <c r="CT329" s="693">
        <f>SUMIFS(Imput[[Importe Neto]:[Importe Neto]],Imput[[C. Imp.]:[C. Imp.]],$D329,Imput[[PERIODO Imp.]:[PERIODO Imp.]],CT$9)</f>
        <v>0</v>
      </c>
      <c r="CU329" s="693">
        <f>SUMIFS(Imput[[Importe Neto]:[Importe Neto]],Imput[[C. Imp.]:[C. Imp.]],$D329,Imput[[PERIODO Imp.]:[PERIODO Imp.]],CU$9)</f>
        <v>0</v>
      </c>
      <c r="CV329" s="693">
        <f>SUMIFS(Imput[[Importe Neto]:[Importe Neto]],Imput[[C. Imp.]:[C. Imp.]],$D329,Imput[[PERIODO Imp.]:[PERIODO Imp.]],CV$9)</f>
        <v>0</v>
      </c>
      <c r="CW329" s="693">
        <f>SUMIFS(Imput[[Importe Neto]:[Importe Neto]],Imput[[C. Imp.]:[C. Imp.]],$D329,Imput[[PERIODO Imp.]:[PERIODO Imp.]],CW$9)</f>
        <v>0</v>
      </c>
      <c r="CX329" s="693">
        <f>SUMIFS(Imput[[Importe Neto]:[Importe Neto]],Imput[[C. Imp.]:[C. Imp.]],$D329,Imput[[PERIODO Imp.]:[PERIODO Imp.]],CX$9)</f>
        <v>0</v>
      </c>
      <c r="CY329" s="693">
        <f>SUMIFS(Imput[[Importe Neto]:[Importe Neto]],Imput[[C. Imp.]:[C. Imp.]],$D329,Imput[[PERIODO Imp.]:[PERIODO Imp.]],CY$9)</f>
        <v>0</v>
      </c>
      <c r="CZ329" s="693">
        <f>SUMIFS(Imput[[Importe Neto]:[Importe Neto]],Imput[[C. Imp.]:[C. Imp.]],$D329,Imput[[PERIODO Imp.]:[PERIODO Imp.]],CZ$9)</f>
        <v>0</v>
      </c>
      <c r="DA329" s="693">
        <f>SUMIFS(Imput[[Importe Neto]:[Importe Neto]],Imput[[C. Imp.]:[C. Imp.]],$D329,Imput[[PERIODO Imp.]:[PERIODO Imp.]],DA$9)</f>
        <v>0</v>
      </c>
      <c r="DB329" s="693">
        <f>SUMIFS(Imput[[Importe Neto]:[Importe Neto]],Imput[[C. Imp.]:[C. Imp.]],$D329,Imput[[PERIODO Imp.]:[PERIODO Imp.]],DB$9)</f>
        <v>0</v>
      </c>
      <c r="DC329" s="693">
        <f>SUMIFS(Imput[[Importe Neto]:[Importe Neto]],Imput[[C. Imp.]:[C. Imp.]],$D329,Imput[[PERIODO Imp.]:[PERIODO Imp.]],DC$9)</f>
        <v>0</v>
      </c>
      <c r="DD329" s="693">
        <f>SUMIFS(Imput[[Importe Neto]:[Importe Neto]],Imput[[C. Imp.]:[C. Imp.]],$D329,Imput[[PERIODO Imp.]:[PERIODO Imp.]],DD$9)</f>
        <v>0</v>
      </c>
      <c r="DE329" s="693">
        <f>SUMIFS(Imput[[Importe Neto]:[Importe Neto]],Imput[[C. Imp.]:[C. Imp.]],$D329,Imput[[PERIODO Imp.]:[PERIODO Imp.]],DE$9)</f>
        <v>0</v>
      </c>
      <c r="DF329" s="693">
        <f>SUMIFS(Imput[[Importe Neto]:[Importe Neto]],Imput[[C. Imp.]:[C. Imp.]],$D329,Imput[[PERIODO Imp.]:[PERIODO Imp.]],DF$9)</f>
        <v>0</v>
      </c>
      <c r="DG329" s="693">
        <f>SUMIFS(Imput[[Importe Neto]:[Importe Neto]],Imput[[C. Imp.]:[C. Imp.]],$D329,Imput[[PERIODO Imp.]:[PERIODO Imp.]],DG$9)</f>
        <v>0</v>
      </c>
      <c r="DH329" s="694">
        <f>SUMIFS(Imput[[Importe Neto]:[Importe Neto]],Imput[[C. Imp.]:[C. Imp.]],$D329,Imput[[PERIODO Imp.]:[PERIODO Imp.]],DH$9)</f>
        <v>0</v>
      </c>
    </row>
    <row r="330" spans="1:112" s="649" customFormat="1" hidden="1" outlineLevel="1" x14ac:dyDescent="0.3">
      <c r="A330" s="652" t="str">
        <f t="shared" si="144"/>
        <v/>
      </c>
      <c r="B330" s="652"/>
      <c r="C330" s="685"/>
      <c r="D330" s="686" t="s">
        <v>2394</v>
      </c>
      <c r="E330" s="686"/>
      <c r="F330" s="720"/>
      <c r="G330" s="688"/>
      <c r="H330" s="689"/>
      <c r="I330" s="851" t="str">
        <f t="shared" si="145"/>
        <v/>
      </c>
      <c r="J330" s="850" t="str">
        <f t="shared" si="146"/>
        <v/>
      </c>
      <c r="K330" s="667"/>
      <c r="L330" s="858"/>
      <c r="M330" s="859"/>
      <c r="N330" s="859"/>
      <c r="O330" s="859"/>
      <c r="P330" s="859"/>
      <c r="Q330" s="859"/>
      <c r="R330" s="859"/>
      <c r="S330" s="859"/>
      <c r="T330" s="859"/>
      <c r="U330" s="859"/>
      <c r="V330" s="859"/>
      <c r="W330" s="859"/>
      <c r="X330" s="859"/>
      <c r="Y330" s="859"/>
      <c r="Z330" s="860"/>
      <c r="AA330" s="860"/>
      <c r="AB330" s="860"/>
      <c r="AC330" s="860"/>
      <c r="AD330" s="860"/>
      <c r="AE330" s="860"/>
      <c r="AF330" s="860"/>
      <c r="AG330" s="860"/>
      <c r="AH330" s="860"/>
      <c r="AI330" s="860"/>
      <c r="AJ330" s="860"/>
      <c r="AK330" s="860"/>
      <c r="AL330" s="860"/>
      <c r="AM330" s="860"/>
      <c r="AN330" s="860"/>
      <c r="AO330" s="860"/>
      <c r="AP330" s="860"/>
      <c r="AQ330" s="860"/>
      <c r="AR330" s="860"/>
      <c r="AS330" s="860"/>
      <c r="AT330" s="860"/>
      <c r="AU330" s="860"/>
      <c r="AV330" s="860"/>
      <c r="AW330" s="860"/>
      <c r="AX330" s="860"/>
      <c r="AY330" s="860"/>
      <c r="AZ330" s="860"/>
      <c r="BA330" s="860"/>
      <c r="BB330" s="860"/>
      <c r="BC330" s="860"/>
      <c r="BD330" s="860"/>
      <c r="BE330" s="860"/>
      <c r="BF330" s="860"/>
      <c r="BG330" s="860"/>
      <c r="BH330" s="668"/>
      <c r="BI330" s="667"/>
      <c r="BJ330" s="690">
        <f t="shared" si="147"/>
        <v>0</v>
      </c>
      <c r="BK330" s="691">
        <f t="shared" si="148"/>
        <v>0</v>
      </c>
      <c r="BL330" s="654"/>
      <c r="BM330" s="692">
        <f>SUMIFS(Imput[[Importe Neto]:[Importe Neto]],Imput[[C. Imp.]:[C. Imp.]],$D330,Imput[[PERIODO Imp.]:[PERIODO Imp.]],BM$9)</f>
        <v>0</v>
      </c>
      <c r="BN330" s="693">
        <f>SUMIFS(Imput[[Importe Neto]:[Importe Neto]],Imput[[C. Imp.]:[C. Imp.]],$D330,Imput[[PERIODO Imp.]:[PERIODO Imp.]],BN$9)</f>
        <v>0</v>
      </c>
      <c r="BO330" s="693">
        <f>SUMIFS(Imput[[Importe Neto]:[Importe Neto]],Imput[[C. Imp.]:[C. Imp.]],$D330,Imput[[PERIODO Imp.]:[PERIODO Imp.]],BO$9)</f>
        <v>0</v>
      </c>
      <c r="BP330" s="693">
        <f>SUMIFS(Imput[[Importe Neto]:[Importe Neto]],Imput[[C. Imp.]:[C. Imp.]],$D330,Imput[[PERIODO Imp.]:[PERIODO Imp.]],BP$9)</f>
        <v>0</v>
      </c>
      <c r="BQ330" s="693">
        <f>SUMIFS(Imput[[Importe Neto]:[Importe Neto]],Imput[[C. Imp.]:[C. Imp.]],$D330,Imput[[PERIODO Imp.]:[PERIODO Imp.]],BQ$9)</f>
        <v>0</v>
      </c>
      <c r="BR330" s="693">
        <f>SUMIFS(Imput[[Importe Neto]:[Importe Neto]],Imput[[C. Imp.]:[C. Imp.]],$D330,Imput[[PERIODO Imp.]:[PERIODO Imp.]],BR$9)</f>
        <v>0</v>
      </c>
      <c r="BS330" s="693">
        <f>SUMIFS(Imput[[Importe Neto]:[Importe Neto]],Imput[[C. Imp.]:[C. Imp.]],$D330,Imput[[PERIODO Imp.]:[PERIODO Imp.]],BS$9)</f>
        <v>0</v>
      </c>
      <c r="BT330" s="693">
        <f>SUMIFS(Imput[[Importe Neto]:[Importe Neto]],Imput[[C. Imp.]:[C. Imp.]],$D330,Imput[[PERIODO Imp.]:[PERIODO Imp.]],BT$9)</f>
        <v>0</v>
      </c>
      <c r="BU330" s="693">
        <f>SUMIFS(Imput[[Importe Neto]:[Importe Neto]],Imput[[C. Imp.]:[C. Imp.]],$D330,Imput[[PERIODO Imp.]:[PERIODO Imp.]],BU$9)</f>
        <v>0</v>
      </c>
      <c r="BV330" s="693">
        <f>SUMIFS(Imput[[Importe Neto]:[Importe Neto]],Imput[[C. Imp.]:[C. Imp.]],$D330,Imput[[PERIODO Imp.]:[PERIODO Imp.]],BV$9)</f>
        <v>0</v>
      </c>
      <c r="BW330" s="693">
        <f>SUMIFS(Imput[[Importe Neto]:[Importe Neto]],Imput[[C. Imp.]:[C. Imp.]],$D330,Imput[[PERIODO Imp.]:[PERIODO Imp.]],BW$9)</f>
        <v>0</v>
      </c>
      <c r="BX330" s="693">
        <f>SUMIFS(Imput[[Importe Neto]:[Importe Neto]],Imput[[C. Imp.]:[C. Imp.]],$D330,Imput[[PERIODO Imp.]:[PERIODO Imp.]],BX$9)</f>
        <v>0</v>
      </c>
      <c r="BY330" s="693">
        <f>SUMIFS(Imput[[Importe Neto]:[Importe Neto]],Imput[[C. Imp.]:[C. Imp.]],$D330,Imput[[PERIODO Imp.]:[PERIODO Imp.]],BY$9)</f>
        <v>0</v>
      </c>
      <c r="BZ330" s="693">
        <f>SUMIFS(Imput[[Importe Neto]:[Importe Neto]],Imput[[C. Imp.]:[C. Imp.]],$D330,Imput[[PERIODO Imp.]:[PERIODO Imp.]],BZ$9)</f>
        <v>0</v>
      </c>
      <c r="CA330" s="693">
        <f>SUMIFS(Imput[[Importe Neto]:[Importe Neto]],Imput[[C. Imp.]:[C. Imp.]],$D330,Imput[[PERIODO Imp.]:[PERIODO Imp.]],CA$9)</f>
        <v>0</v>
      </c>
      <c r="CB330" s="693">
        <f>SUMIFS(Imput[[Importe Neto]:[Importe Neto]],Imput[[C. Imp.]:[C. Imp.]],$D330,Imput[[PERIODO Imp.]:[PERIODO Imp.]],CB$9)</f>
        <v>0</v>
      </c>
      <c r="CC330" s="693">
        <f>SUMIFS(Imput[[Importe Neto]:[Importe Neto]],Imput[[C. Imp.]:[C. Imp.]],$D330,Imput[[PERIODO Imp.]:[PERIODO Imp.]],CC$9)</f>
        <v>0</v>
      </c>
      <c r="CD330" s="693">
        <f>SUMIFS(Imput[[Importe Neto]:[Importe Neto]],Imput[[C. Imp.]:[C. Imp.]],$D330,Imput[[PERIODO Imp.]:[PERIODO Imp.]],CD$9)</f>
        <v>0</v>
      </c>
      <c r="CE330" s="693">
        <f>SUMIFS(Imput[[Importe Neto]:[Importe Neto]],Imput[[C. Imp.]:[C. Imp.]],$D330,Imput[[PERIODO Imp.]:[PERIODO Imp.]],CE$9)</f>
        <v>0</v>
      </c>
      <c r="CF330" s="693">
        <f>SUMIFS(Imput[[Importe Neto]:[Importe Neto]],Imput[[C. Imp.]:[C. Imp.]],$D330,Imput[[PERIODO Imp.]:[PERIODO Imp.]],CF$9)</f>
        <v>0</v>
      </c>
      <c r="CG330" s="693">
        <f>SUMIFS(Imput[[Importe Neto]:[Importe Neto]],Imput[[C. Imp.]:[C. Imp.]],$D330,Imput[[PERIODO Imp.]:[PERIODO Imp.]],CG$9)</f>
        <v>0</v>
      </c>
      <c r="CH330" s="693">
        <f>SUMIFS(Imput[[Importe Neto]:[Importe Neto]],Imput[[C. Imp.]:[C. Imp.]],$D330,Imput[[PERIODO Imp.]:[PERIODO Imp.]],CH$9)</f>
        <v>0</v>
      </c>
      <c r="CI330" s="693">
        <f>SUMIFS(Imput[[Importe Neto]:[Importe Neto]],Imput[[C. Imp.]:[C. Imp.]],$D330,Imput[[PERIODO Imp.]:[PERIODO Imp.]],CI$9)</f>
        <v>0</v>
      </c>
      <c r="CJ330" s="693">
        <f>SUMIFS(Imput[[Importe Neto]:[Importe Neto]],Imput[[C. Imp.]:[C. Imp.]],$D330,Imput[[PERIODO Imp.]:[PERIODO Imp.]],CJ$9)</f>
        <v>0</v>
      </c>
      <c r="CK330" s="693">
        <f>SUMIFS(Imput[[Importe Neto]:[Importe Neto]],Imput[[C. Imp.]:[C. Imp.]],$D330,Imput[[PERIODO Imp.]:[PERIODO Imp.]],CK$9)</f>
        <v>0</v>
      </c>
      <c r="CL330" s="693">
        <f>SUMIFS(Imput[[Importe Neto]:[Importe Neto]],Imput[[C. Imp.]:[C. Imp.]],$D330,Imput[[PERIODO Imp.]:[PERIODO Imp.]],CL$9)</f>
        <v>0</v>
      </c>
      <c r="CM330" s="693">
        <f>SUMIFS(Imput[[Importe Neto]:[Importe Neto]],Imput[[C. Imp.]:[C. Imp.]],$D330,Imput[[PERIODO Imp.]:[PERIODO Imp.]],CM$9)</f>
        <v>0</v>
      </c>
      <c r="CN330" s="693">
        <f>SUMIFS(Imput[[Importe Neto]:[Importe Neto]],Imput[[C. Imp.]:[C. Imp.]],$D330,Imput[[PERIODO Imp.]:[PERIODO Imp.]],CN$9)</f>
        <v>0</v>
      </c>
      <c r="CO330" s="693">
        <f>SUMIFS(Imput[[Importe Neto]:[Importe Neto]],Imput[[C. Imp.]:[C. Imp.]],$D330,Imput[[PERIODO Imp.]:[PERIODO Imp.]],CO$9)</f>
        <v>0</v>
      </c>
      <c r="CP330" s="693">
        <f>SUMIFS(Imput[[Importe Neto]:[Importe Neto]],Imput[[C. Imp.]:[C. Imp.]],$D330,Imput[[PERIODO Imp.]:[PERIODO Imp.]],CP$9)</f>
        <v>0</v>
      </c>
      <c r="CQ330" s="693">
        <f>SUMIFS(Imput[[Importe Neto]:[Importe Neto]],Imput[[C. Imp.]:[C. Imp.]],$D330,Imput[[PERIODO Imp.]:[PERIODO Imp.]],CQ$9)</f>
        <v>0</v>
      </c>
      <c r="CR330" s="693">
        <f>SUMIFS(Imput[[Importe Neto]:[Importe Neto]],Imput[[C. Imp.]:[C. Imp.]],$D330,Imput[[PERIODO Imp.]:[PERIODO Imp.]],CR$9)</f>
        <v>0</v>
      </c>
      <c r="CS330" s="693">
        <f>SUMIFS(Imput[[Importe Neto]:[Importe Neto]],Imput[[C. Imp.]:[C. Imp.]],$D330,Imput[[PERIODO Imp.]:[PERIODO Imp.]],CS$9)</f>
        <v>0</v>
      </c>
      <c r="CT330" s="693">
        <f>SUMIFS(Imput[[Importe Neto]:[Importe Neto]],Imput[[C. Imp.]:[C. Imp.]],$D330,Imput[[PERIODO Imp.]:[PERIODO Imp.]],CT$9)</f>
        <v>0</v>
      </c>
      <c r="CU330" s="693">
        <f>SUMIFS(Imput[[Importe Neto]:[Importe Neto]],Imput[[C. Imp.]:[C. Imp.]],$D330,Imput[[PERIODO Imp.]:[PERIODO Imp.]],CU$9)</f>
        <v>0</v>
      </c>
      <c r="CV330" s="693">
        <f>SUMIFS(Imput[[Importe Neto]:[Importe Neto]],Imput[[C. Imp.]:[C. Imp.]],$D330,Imput[[PERIODO Imp.]:[PERIODO Imp.]],CV$9)</f>
        <v>0</v>
      </c>
      <c r="CW330" s="693">
        <f>SUMIFS(Imput[[Importe Neto]:[Importe Neto]],Imput[[C. Imp.]:[C. Imp.]],$D330,Imput[[PERIODO Imp.]:[PERIODO Imp.]],CW$9)</f>
        <v>0</v>
      </c>
      <c r="CX330" s="693">
        <f>SUMIFS(Imput[[Importe Neto]:[Importe Neto]],Imput[[C. Imp.]:[C. Imp.]],$D330,Imput[[PERIODO Imp.]:[PERIODO Imp.]],CX$9)</f>
        <v>0</v>
      </c>
      <c r="CY330" s="693">
        <f>SUMIFS(Imput[[Importe Neto]:[Importe Neto]],Imput[[C. Imp.]:[C. Imp.]],$D330,Imput[[PERIODO Imp.]:[PERIODO Imp.]],CY$9)</f>
        <v>0</v>
      </c>
      <c r="CZ330" s="693">
        <f>SUMIFS(Imput[[Importe Neto]:[Importe Neto]],Imput[[C. Imp.]:[C. Imp.]],$D330,Imput[[PERIODO Imp.]:[PERIODO Imp.]],CZ$9)</f>
        <v>0</v>
      </c>
      <c r="DA330" s="693">
        <f>SUMIFS(Imput[[Importe Neto]:[Importe Neto]],Imput[[C. Imp.]:[C. Imp.]],$D330,Imput[[PERIODO Imp.]:[PERIODO Imp.]],DA$9)</f>
        <v>0</v>
      </c>
      <c r="DB330" s="693">
        <f>SUMIFS(Imput[[Importe Neto]:[Importe Neto]],Imput[[C. Imp.]:[C. Imp.]],$D330,Imput[[PERIODO Imp.]:[PERIODO Imp.]],DB$9)</f>
        <v>0</v>
      </c>
      <c r="DC330" s="693">
        <f>SUMIFS(Imput[[Importe Neto]:[Importe Neto]],Imput[[C. Imp.]:[C. Imp.]],$D330,Imput[[PERIODO Imp.]:[PERIODO Imp.]],DC$9)</f>
        <v>0</v>
      </c>
      <c r="DD330" s="693">
        <f>SUMIFS(Imput[[Importe Neto]:[Importe Neto]],Imput[[C. Imp.]:[C. Imp.]],$D330,Imput[[PERIODO Imp.]:[PERIODO Imp.]],DD$9)</f>
        <v>0</v>
      </c>
      <c r="DE330" s="693">
        <f>SUMIFS(Imput[[Importe Neto]:[Importe Neto]],Imput[[C. Imp.]:[C. Imp.]],$D330,Imput[[PERIODO Imp.]:[PERIODO Imp.]],DE$9)</f>
        <v>0</v>
      </c>
      <c r="DF330" s="693">
        <f>SUMIFS(Imput[[Importe Neto]:[Importe Neto]],Imput[[C. Imp.]:[C. Imp.]],$D330,Imput[[PERIODO Imp.]:[PERIODO Imp.]],DF$9)</f>
        <v>0</v>
      </c>
      <c r="DG330" s="693">
        <f>SUMIFS(Imput[[Importe Neto]:[Importe Neto]],Imput[[C. Imp.]:[C. Imp.]],$D330,Imput[[PERIODO Imp.]:[PERIODO Imp.]],DG$9)</f>
        <v>0</v>
      </c>
      <c r="DH330" s="694">
        <f>SUMIFS(Imput[[Importe Neto]:[Importe Neto]],Imput[[C. Imp.]:[C. Imp.]],$D330,Imput[[PERIODO Imp.]:[PERIODO Imp.]],DH$9)</f>
        <v>0</v>
      </c>
    </row>
    <row r="331" spans="1:112" s="649" customFormat="1" hidden="1" outlineLevel="1" x14ac:dyDescent="0.3">
      <c r="A331" s="652" t="str">
        <f t="shared" si="144"/>
        <v/>
      </c>
      <c r="B331" s="652"/>
      <c r="C331" s="685"/>
      <c r="D331" s="686" t="s">
        <v>2395</v>
      </c>
      <c r="E331" s="686"/>
      <c r="F331" s="720"/>
      <c r="G331" s="688"/>
      <c r="H331" s="689"/>
      <c r="I331" s="851" t="str">
        <f t="shared" si="145"/>
        <v/>
      </c>
      <c r="J331" s="850" t="str">
        <f t="shared" si="146"/>
        <v/>
      </c>
      <c r="K331" s="667"/>
      <c r="L331" s="858"/>
      <c r="M331" s="859"/>
      <c r="N331" s="859"/>
      <c r="O331" s="859"/>
      <c r="P331" s="859"/>
      <c r="Q331" s="859"/>
      <c r="R331" s="859"/>
      <c r="S331" s="859"/>
      <c r="T331" s="859"/>
      <c r="U331" s="859"/>
      <c r="V331" s="859"/>
      <c r="W331" s="859"/>
      <c r="X331" s="859"/>
      <c r="Y331" s="859"/>
      <c r="Z331" s="860"/>
      <c r="AA331" s="860"/>
      <c r="AB331" s="860"/>
      <c r="AC331" s="860"/>
      <c r="AD331" s="860"/>
      <c r="AE331" s="860"/>
      <c r="AF331" s="860"/>
      <c r="AG331" s="860"/>
      <c r="AH331" s="860"/>
      <c r="AI331" s="860"/>
      <c r="AJ331" s="860"/>
      <c r="AK331" s="860"/>
      <c r="AL331" s="860"/>
      <c r="AM331" s="860"/>
      <c r="AN331" s="860"/>
      <c r="AO331" s="860"/>
      <c r="AP331" s="860"/>
      <c r="AQ331" s="860"/>
      <c r="AR331" s="860"/>
      <c r="AS331" s="860"/>
      <c r="AT331" s="860"/>
      <c r="AU331" s="860"/>
      <c r="AV331" s="860"/>
      <c r="AW331" s="860"/>
      <c r="AX331" s="860"/>
      <c r="AY331" s="860"/>
      <c r="AZ331" s="860"/>
      <c r="BA331" s="860"/>
      <c r="BB331" s="860"/>
      <c r="BC331" s="860"/>
      <c r="BD331" s="860"/>
      <c r="BE331" s="860"/>
      <c r="BF331" s="860"/>
      <c r="BG331" s="860"/>
      <c r="BH331" s="668"/>
      <c r="BI331" s="667"/>
      <c r="BJ331" s="690">
        <f t="shared" si="147"/>
        <v>0</v>
      </c>
      <c r="BK331" s="691">
        <f t="shared" si="148"/>
        <v>0</v>
      </c>
      <c r="BL331" s="654"/>
      <c r="BM331" s="692">
        <f>SUMIFS(Imput[[Importe Neto]:[Importe Neto]],Imput[[C. Imp.]:[C. Imp.]],$D331,Imput[[PERIODO Imp.]:[PERIODO Imp.]],BM$9)</f>
        <v>0</v>
      </c>
      <c r="BN331" s="693">
        <f>SUMIFS(Imput[[Importe Neto]:[Importe Neto]],Imput[[C. Imp.]:[C. Imp.]],$D331,Imput[[PERIODO Imp.]:[PERIODO Imp.]],BN$9)</f>
        <v>0</v>
      </c>
      <c r="BO331" s="693">
        <f>SUMIFS(Imput[[Importe Neto]:[Importe Neto]],Imput[[C. Imp.]:[C. Imp.]],$D331,Imput[[PERIODO Imp.]:[PERIODO Imp.]],BO$9)</f>
        <v>0</v>
      </c>
      <c r="BP331" s="693">
        <f>SUMIFS(Imput[[Importe Neto]:[Importe Neto]],Imput[[C. Imp.]:[C. Imp.]],$D331,Imput[[PERIODO Imp.]:[PERIODO Imp.]],BP$9)</f>
        <v>0</v>
      </c>
      <c r="BQ331" s="693">
        <f>SUMIFS(Imput[[Importe Neto]:[Importe Neto]],Imput[[C. Imp.]:[C. Imp.]],$D331,Imput[[PERIODO Imp.]:[PERIODO Imp.]],BQ$9)</f>
        <v>0</v>
      </c>
      <c r="BR331" s="693">
        <f>SUMIFS(Imput[[Importe Neto]:[Importe Neto]],Imput[[C. Imp.]:[C. Imp.]],$D331,Imput[[PERIODO Imp.]:[PERIODO Imp.]],BR$9)</f>
        <v>0</v>
      </c>
      <c r="BS331" s="693">
        <f>SUMIFS(Imput[[Importe Neto]:[Importe Neto]],Imput[[C. Imp.]:[C. Imp.]],$D331,Imput[[PERIODO Imp.]:[PERIODO Imp.]],BS$9)</f>
        <v>0</v>
      </c>
      <c r="BT331" s="693">
        <f>SUMIFS(Imput[[Importe Neto]:[Importe Neto]],Imput[[C. Imp.]:[C. Imp.]],$D331,Imput[[PERIODO Imp.]:[PERIODO Imp.]],BT$9)</f>
        <v>0</v>
      </c>
      <c r="BU331" s="693">
        <f>SUMIFS(Imput[[Importe Neto]:[Importe Neto]],Imput[[C. Imp.]:[C. Imp.]],$D331,Imput[[PERIODO Imp.]:[PERIODO Imp.]],BU$9)</f>
        <v>0</v>
      </c>
      <c r="BV331" s="693">
        <f>SUMIFS(Imput[[Importe Neto]:[Importe Neto]],Imput[[C. Imp.]:[C. Imp.]],$D331,Imput[[PERIODO Imp.]:[PERIODO Imp.]],BV$9)</f>
        <v>0</v>
      </c>
      <c r="BW331" s="693">
        <f>SUMIFS(Imput[[Importe Neto]:[Importe Neto]],Imput[[C. Imp.]:[C. Imp.]],$D331,Imput[[PERIODO Imp.]:[PERIODO Imp.]],BW$9)</f>
        <v>0</v>
      </c>
      <c r="BX331" s="693">
        <f>SUMIFS(Imput[[Importe Neto]:[Importe Neto]],Imput[[C. Imp.]:[C. Imp.]],$D331,Imput[[PERIODO Imp.]:[PERIODO Imp.]],BX$9)</f>
        <v>0</v>
      </c>
      <c r="BY331" s="693">
        <f>SUMIFS(Imput[[Importe Neto]:[Importe Neto]],Imput[[C. Imp.]:[C. Imp.]],$D331,Imput[[PERIODO Imp.]:[PERIODO Imp.]],BY$9)</f>
        <v>0</v>
      </c>
      <c r="BZ331" s="693">
        <f>SUMIFS(Imput[[Importe Neto]:[Importe Neto]],Imput[[C. Imp.]:[C. Imp.]],$D331,Imput[[PERIODO Imp.]:[PERIODO Imp.]],BZ$9)</f>
        <v>0</v>
      </c>
      <c r="CA331" s="693">
        <f>SUMIFS(Imput[[Importe Neto]:[Importe Neto]],Imput[[C. Imp.]:[C. Imp.]],$D331,Imput[[PERIODO Imp.]:[PERIODO Imp.]],CA$9)</f>
        <v>0</v>
      </c>
      <c r="CB331" s="693">
        <f>SUMIFS(Imput[[Importe Neto]:[Importe Neto]],Imput[[C. Imp.]:[C. Imp.]],$D331,Imput[[PERIODO Imp.]:[PERIODO Imp.]],CB$9)</f>
        <v>0</v>
      </c>
      <c r="CC331" s="693">
        <f>SUMIFS(Imput[[Importe Neto]:[Importe Neto]],Imput[[C. Imp.]:[C. Imp.]],$D331,Imput[[PERIODO Imp.]:[PERIODO Imp.]],CC$9)</f>
        <v>0</v>
      </c>
      <c r="CD331" s="693">
        <f>SUMIFS(Imput[[Importe Neto]:[Importe Neto]],Imput[[C. Imp.]:[C. Imp.]],$D331,Imput[[PERIODO Imp.]:[PERIODO Imp.]],CD$9)</f>
        <v>0</v>
      </c>
      <c r="CE331" s="693">
        <f>SUMIFS(Imput[[Importe Neto]:[Importe Neto]],Imput[[C. Imp.]:[C. Imp.]],$D331,Imput[[PERIODO Imp.]:[PERIODO Imp.]],CE$9)</f>
        <v>0</v>
      </c>
      <c r="CF331" s="693">
        <f>SUMIFS(Imput[[Importe Neto]:[Importe Neto]],Imput[[C. Imp.]:[C. Imp.]],$D331,Imput[[PERIODO Imp.]:[PERIODO Imp.]],CF$9)</f>
        <v>0</v>
      </c>
      <c r="CG331" s="693">
        <f>SUMIFS(Imput[[Importe Neto]:[Importe Neto]],Imput[[C. Imp.]:[C. Imp.]],$D331,Imput[[PERIODO Imp.]:[PERIODO Imp.]],CG$9)</f>
        <v>0</v>
      </c>
      <c r="CH331" s="693">
        <f>SUMIFS(Imput[[Importe Neto]:[Importe Neto]],Imput[[C. Imp.]:[C. Imp.]],$D331,Imput[[PERIODO Imp.]:[PERIODO Imp.]],CH$9)</f>
        <v>0</v>
      </c>
      <c r="CI331" s="693">
        <f>SUMIFS(Imput[[Importe Neto]:[Importe Neto]],Imput[[C. Imp.]:[C. Imp.]],$D331,Imput[[PERIODO Imp.]:[PERIODO Imp.]],CI$9)</f>
        <v>0</v>
      </c>
      <c r="CJ331" s="693">
        <f>SUMIFS(Imput[[Importe Neto]:[Importe Neto]],Imput[[C. Imp.]:[C. Imp.]],$D331,Imput[[PERIODO Imp.]:[PERIODO Imp.]],CJ$9)</f>
        <v>0</v>
      </c>
      <c r="CK331" s="693">
        <f>SUMIFS(Imput[[Importe Neto]:[Importe Neto]],Imput[[C. Imp.]:[C. Imp.]],$D331,Imput[[PERIODO Imp.]:[PERIODO Imp.]],CK$9)</f>
        <v>0</v>
      </c>
      <c r="CL331" s="693">
        <f>SUMIFS(Imput[[Importe Neto]:[Importe Neto]],Imput[[C. Imp.]:[C. Imp.]],$D331,Imput[[PERIODO Imp.]:[PERIODO Imp.]],CL$9)</f>
        <v>0</v>
      </c>
      <c r="CM331" s="693">
        <f>SUMIFS(Imput[[Importe Neto]:[Importe Neto]],Imput[[C. Imp.]:[C. Imp.]],$D331,Imput[[PERIODO Imp.]:[PERIODO Imp.]],CM$9)</f>
        <v>0</v>
      </c>
      <c r="CN331" s="693">
        <f>SUMIFS(Imput[[Importe Neto]:[Importe Neto]],Imput[[C. Imp.]:[C. Imp.]],$D331,Imput[[PERIODO Imp.]:[PERIODO Imp.]],CN$9)</f>
        <v>0</v>
      </c>
      <c r="CO331" s="693">
        <f>SUMIFS(Imput[[Importe Neto]:[Importe Neto]],Imput[[C. Imp.]:[C. Imp.]],$D331,Imput[[PERIODO Imp.]:[PERIODO Imp.]],CO$9)</f>
        <v>0</v>
      </c>
      <c r="CP331" s="693">
        <f>SUMIFS(Imput[[Importe Neto]:[Importe Neto]],Imput[[C. Imp.]:[C. Imp.]],$D331,Imput[[PERIODO Imp.]:[PERIODO Imp.]],CP$9)</f>
        <v>0</v>
      </c>
      <c r="CQ331" s="693">
        <f>SUMIFS(Imput[[Importe Neto]:[Importe Neto]],Imput[[C. Imp.]:[C. Imp.]],$D331,Imput[[PERIODO Imp.]:[PERIODO Imp.]],CQ$9)</f>
        <v>0</v>
      </c>
      <c r="CR331" s="693">
        <f>SUMIFS(Imput[[Importe Neto]:[Importe Neto]],Imput[[C. Imp.]:[C. Imp.]],$D331,Imput[[PERIODO Imp.]:[PERIODO Imp.]],CR$9)</f>
        <v>0</v>
      </c>
      <c r="CS331" s="693">
        <f>SUMIFS(Imput[[Importe Neto]:[Importe Neto]],Imput[[C. Imp.]:[C. Imp.]],$D331,Imput[[PERIODO Imp.]:[PERIODO Imp.]],CS$9)</f>
        <v>0</v>
      </c>
      <c r="CT331" s="693">
        <f>SUMIFS(Imput[[Importe Neto]:[Importe Neto]],Imput[[C. Imp.]:[C. Imp.]],$D331,Imput[[PERIODO Imp.]:[PERIODO Imp.]],CT$9)</f>
        <v>0</v>
      </c>
      <c r="CU331" s="693">
        <f>SUMIFS(Imput[[Importe Neto]:[Importe Neto]],Imput[[C. Imp.]:[C. Imp.]],$D331,Imput[[PERIODO Imp.]:[PERIODO Imp.]],CU$9)</f>
        <v>0</v>
      </c>
      <c r="CV331" s="693">
        <f>SUMIFS(Imput[[Importe Neto]:[Importe Neto]],Imput[[C. Imp.]:[C. Imp.]],$D331,Imput[[PERIODO Imp.]:[PERIODO Imp.]],CV$9)</f>
        <v>0</v>
      </c>
      <c r="CW331" s="693">
        <f>SUMIFS(Imput[[Importe Neto]:[Importe Neto]],Imput[[C. Imp.]:[C. Imp.]],$D331,Imput[[PERIODO Imp.]:[PERIODO Imp.]],CW$9)</f>
        <v>0</v>
      </c>
      <c r="CX331" s="693">
        <f>SUMIFS(Imput[[Importe Neto]:[Importe Neto]],Imput[[C. Imp.]:[C. Imp.]],$D331,Imput[[PERIODO Imp.]:[PERIODO Imp.]],CX$9)</f>
        <v>0</v>
      </c>
      <c r="CY331" s="693">
        <f>SUMIFS(Imput[[Importe Neto]:[Importe Neto]],Imput[[C. Imp.]:[C. Imp.]],$D331,Imput[[PERIODO Imp.]:[PERIODO Imp.]],CY$9)</f>
        <v>0</v>
      </c>
      <c r="CZ331" s="693">
        <f>SUMIFS(Imput[[Importe Neto]:[Importe Neto]],Imput[[C. Imp.]:[C. Imp.]],$D331,Imput[[PERIODO Imp.]:[PERIODO Imp.]],CZ$9)</f>
        <v>0</v>
      </c>
      <c r="DA331" s="693">
        <f>SUMIFS(Imput[[Importe Neto]:[Importe Neto]],Imput[[C. Imp.]:[C. Imp.]],$D331,Imput[[PERIODO Imp.]:[PERIODO Imp.]],DA$9)</f>
        <v>0</v>
      </c>
      <c r="DB331" s="693">
        <f>SUMIFS(Imput[[Importe Neto]:[Importe Neto]],Imput[[C. Imp.]:[C. Imp.]],$D331,Imput[[PERIODO Imp.]:[PERIODO Imp.]],DB$9)</f>
        <v>0</v>
      </c>
      <c r="DC331" s="693">
        <f>SUMIFS(Imput[[Importe Neto]:[Importe Neto]],Imput[[C. Imp.]:[C. Imp.]],$D331,Imput[[PERIODO Imp.]:[PERIODO Imp.]],DC$9)</f>
        <v>0</v>
      </c>
      <c r="DD331" s="693">
        <f>SUMIFS(Imput[[Importe Neto]:[Importe Neto]],Imput[[C. Imp.]:[C. Imp.]],$D331,Imput[[PERIODO Imp.]:[PERIODO Imp.]],DD$9)</f>
        <v>0</v>
      </c>
      <c r="DE331" s="693">
        <f>SUMIFS(Imput[[Importe Neto]:[Importe Neto]],Imput[[C. Imp.]:[C. Imp.]],$D331,Imput[[PERIODO Imp.]:[PERIODO Imp.]],DE$9)</f>
        <v>0</v>
      </c>
      <c r="DF331" s="693">
        <f>SUMIFS(Imput[[Importe Neto]:[Importe Neto]],Imput[[C. Imp.]:[C. Imp.]],$D331,Imput[[PERIODO Imp.]:[PERIODO Imp.]],DF$9)</f>
        <v>0</v>
      </c>
      <c r="DG331" s="693">
        <f>SUMIFS(Imput[[Importe Neto]:[Importe Neto]],Imput[[C. Imp.]:[C. Imp.]],$D331,Imput[[PERIODO Imp.]:[PERIODO Imp.]],DG$9)</f>
        <v>0</v>
      </c>
      <c r="DH331" s="694">
        <f>SUMIFS(Imput[[Importe Neto]:[Importe Neto]],Imput[[C. Imp.]:[C. Imp.]],$D331,Imput[[PERIODO Imp.]:[PERIODO Imp.]],DH$9)</f>
        <v>0</v>
      </c>
    </row>
    <row r="332" spans="1:112" s="649" customFormat="1" hidden="1" outlineLevel="1" x14ac:dyDescent="0.3">
      <c r="A332" s="652" t="str">
        <f t="shared" si="144"/>
        <v/>
      </c>
      <c r="B332" s="652"/>
      <c r="C332" s="685"/>
      <c r="D332" s="686" t="s">
        <v>2396</v>
      </c>
      <c r="E332" s="686"/>
      <c r="F332" s="720"/>
      <c r="G332" s="688"/>
      <c r="H332" s="689"/>
      <c r="I332" s="851" t="str">
        <f t="shared" si="145"/>
        <v/>
      </c>
      <c r="J332" s="850" t="str">
        <f t="shared" si="146"/>
        <v/>
      </c>
      <c r="K332" s="667"/>
      <c r="L332" s="858"/>
      <c r="M332" s="859"/>
      <c r="N332" s="859"/>
      <c r="O332" s="859"/>
      <c r="P332" s="859"/>
      <c r="Q332" s="859"/>
      <c r="R332" s="859"/>
      <c r="S332" s="859"/>
      <c r="T332" s="859"/>
      <c r="U332" s="859"/>
      <c r="V332" s="859"/>
      <c r="W332" s="859"/>
      <c r="X332" s="859"/>
      <c r="Y332" s="859"/>
      <c r="Z332" s="860"/>
      <c r="AA332" s="860"/>
      <c r="AB332" s="860"/>
      <c r="AC332" s="860"/>
      <c r="AD332" s="860"/>
      <c r="AE332" s="860"/>
      <c r="AF332" s="860"/>
      <c r="AG332" s="860"/>
      <c r="AH332" s="860"/>
      <c r="AI332" s="860"/>
      <c r="AJ332" s="860"/>
      <c r="AK332" s="860"/>
      <c r="AL332" s="860"/>
      <c r="AM332" s="860"/>
      <c r="AN332" s="860"/>
      <c r="AO332" s="860"/>
      <c r="AP332" s="860"/>
      <c r="AQ332" s="860"/>
      <c r="AR332" s="860"/>
      <c r="AS332" s="860"/>
      <c r="AT332" s="860"/>
      <c r="AU332" s="860"/>
      <c r="AV332" s="860"/>
      <c r="AW332" s="860"/>
      <c r="AX332" s="860"/>
      <c r="AY332" s="860"/>
      <c r="AZ332" s="860"/>
      <c r="BA332" s="860"/>
      <c r="BB332" s="860"/>
      <c r="BC332" s="860"/>
      <c r="BD332" s="860"/>
      <c r="BE332" s="860"/>
      <c r="BF332" s="860"/>
      <c r="BG332" s="860"/>
      <c r="BH332" s="668"/>
      <c r="BI332" s="667"/>
      <c r="BJ332" s="690">
        <f t="shared" si="147"/>
        <v>0</v>
      </c>
      <c r="BK332" s="691">
        <f t="shared" si="148"/>
        <v>0</v>
      </c>
      <c r="BL332" s="654"/>
      <c r="BM332" s="692">
        <f>SUMIFS(Imput[[Importe Neto]:[Importe Neto]],Imput[[C. Imp.]:[C. Imp.]],$D332,Imput[[PERIODO Imp.]:[PERIODO Imp.]],BM$9)</f>
        <v>0</v>
      </c>
      <c r="BN332" s="693">
        <f>SUMIFS(Imput[[Importe Neto]:[Importe Neto]],Imput[[C. Imp.]:[C. Imp.]],$D332,Imput[[PERIODO Imp.]:[PERIODO Imp.]],BN$9)</f>
        <v>0</v>
      </c>
      <c r="BO332" s="693">
        <f>SUMIFS(Imput[[Importe Neto]:[Importe Neto]],Imput[[C. Imp.]:[C. Imp.]],$D332,Imput[[PERIODO Imp.]:[PERIODO Imp.]],BO$9)</f>
        <v>0</v>
      </c>
      <c r="BP332" s="693">
        <f>SUMIFS(Imput[[Importe Neto]:[Importe Neto]],Imput[[C. Imp.]:[C. Imp.]],$D332,Imput[[PERIODO Imp.]:[PERIODO Imp.]],BP$9)</f>
        <v>0</v>
      </c>
      <c r="BQ332" s="693">
        <f>SUMIFS(Imput[[Importe Neto]:[Importe Neto]],Imput[[C. Imp.]:[C. Imp.]],$D332,Imput[[PERIODO Imp.]:[PERIODO Imp.]],BQ$9)</f>
        <v>0</v>
      </c>
      <c r="BR332" s="693">
        <f>SUMIFS(Imput[[Importe Neto]:[Importe Neto]],Imput[[C. Imp.]:[C. Imp.]],$D332,Imput[[PERIODO Imp.]:[PERIODO Imp.]],BR$9)</f>
        <v>0</v>
      </c>
      <c r="BS332" s="693">
        <f>SUMIFS(Imput[[Importe Neto]:[Importe Neto]],Imput[[C. Imp.]:[C. Imp.]],$D332,Imput[[PERIODO Imp.]:[PERIODO Imp.]],BS$9)</f>
        <v>0</v>
      </c>
      <c r="BT332" s="693">
        <f>SUMIFS(Imput[[Importe Neto]:[Importe Neto]],Imput[[C. Imp.]:[C. Imp.]],$D332,Imput[[PERIODO Imp.]:[PERIODO Imp.]],BT$9)</f>
        <v>0</v>
      </c>
      <c r="BU332" s="693">
        <f>SUMIFS(Imput[[Importe Neto]:[Importe Neto]],Imput[[C. Imp.]:[C. Imp.]],$D332,Imput[[PERIODO Imp.]:[PERIODO Imp.]],BU$9)</f>
        <v>0</v>
      </c>
      <c r="BV332" s="693">
        <f>SUMIFS(Imput[[Importe Neto]:[Importe Neto]],Imput[[C. Imp.]:[C. Imp.]],$D332,Imput[[PERIODO Imp.]:[PERIODO Imp.]],BV$9)</f>
        <v>0</v>
      </c>
      <c r="BW332" s="693">
        <f>SUMIFS(Imput[[Importe Neto]:[Importe Neto]],Imput[[C. Imp.]:[C. Imp.]],$D332,Imput[[PERIODO Imp.]:[PERIODO Imp.]],BW$9)</f>
        <v>0</v>
      </c>
      <c r="BX332" s="693">
        <f>SUMIFS(Imput[[Importe Neto]:[Importe Neto]],Imput[[C. Imp.]:[C. Imp.]],$D332,Imput[[PERIODO Imp.]:[PERIODO Imp.]],BX$9)</f>
        <v>0</v>
      </c>
      <c r="BY332" s="693">
        <f>SUMIFS(Imput[[Importe Neto]:[Importe Neto]],Imput[[C. Imp.]:[C. Imp.]],$D332,Imput[[PERIODO Imp.]:[PERIODO Imp.]],BY$9)</f>
        <v>0</v>
      </c>
      <c r="BZ332" s="693">
        <f>SUMIFS(Imput[[Importe Neto]:[Importe Neto]],Imput[[C. Imp.]:[C. Imp.]],$D332,Imput[[PERIODO Imp.]:[PERIODO Imp.]],BZ$9)</f>
        <v>0</v>
      </c>
      <c r="CA332" s="693">
        <f>SUMIFS(Imput[[Importe Neto]:[Importe Neto]],Imput[[C. Imp.]:[C. Imp.]],$D332,Imput[[PERIODO Imp.]:[PERIODO Imp.]],CA$9)</f>
        <v>0</v>
      </c>
      <c r="CB332" s="693">
        <f>SUMIFS(Imput[[Importe Neto]:[Importe Neto]],Imput[[C. Imp.]:[C. Imp.]],$D332,Imput[[PERIODO Imp.]:[PERIODO Imp.]],CB$9)</f>
        <v>0</v>
      </c>
      <c r="CC332" s="693">
        <f>SUMIFS(Imput[[Importe Neto]:[Importe Neto]],Imput[[C. Imp.]:[C. Imp.]],$D332,Imput[[PERIODO Imp.]:[PERIODO Imp.]],CC$9)</f>
        <v>0</v>
      </c>
      <c r="CD332" s="693">
        <f>SUMIFS(Imput[[Importe Neto]:[Importe Neto]],Imput[[C. Imp.]:[C. Imp.]],$D332,Imput[[PERIODO Imp.]:[PERIODO Imp.]],CD$9)</f>
        <v>0</v>
      </c>
      <c r="CE332" s="693">
        <f>SUMIFS(Imput[[Importe Neto]:[Importe Neto]],Imput[[C. Imp.]:[C. Imp.]],$D332,Imput[[PERIODO Imp.]:[PERIODO Imp.]],CE$9)</f>
        <v>0</v>
      </c>
      <c r="CF332" s="693">
        <f>SUMIFS(Imput[[Importe Neto]:[Importe Neto]],Imput[[C. Imp.]:[C. Imp.]],$D332,Imput[[PERIODO Imp.]:[PERIODO Imp.]],CF$9)</f>
        <v>0</v>
      </c>
      <c r="CG332" s="693">
        <f>SUMIFS(Imput[[Importe Neto]:[Importe Neto]],Imput[[C. Imp.]:[C. Imp.]],$D332,Imput[[PERIODO Imp.]:[PERIODO Imp.]],CG$9)</f>
        <v>0</v>
      </c>
      <c r="CH332" s="693">
        <f>SUMIFS(Imput[[Importe Neto]:[Importe Neto]],Imput[[C. Imp.]:[C. Imp.]],$D332,Imput[[PERIODO Imp.]:[PERIODO Imp.]],CH$9)</f>
        <v>0</v>
      </c>
      <c r="CI332" s="693">
        <f>SUMIFS(Imput[[Importe Neto]:[Importe Neto]],Imput[[C. Imp.]:[C. Imp.]],$D332,Imput[[PERIODO Imp.]:[PERIODO Imp.]],CI$9)</f>
        <v>0</v>
      </c>
      <c r="CJ332" s="693">
        <f>SUMIFS(Imput[[Importe Neto]:[Importe Neto]],Imput[[C. Imp.]:[C. Imp.]],$D332,Imput[[PERIODO Imp.]:[PERIODO Imp.]],CJ$9)</f>
        <v>0</v>
      </c>
      <c r="CK332" s="693">
        <f>SUMIFS(Imput[[Importe Neto]:[Importe Neto]],Imput[[C. Imp.]:[C. Imp.]],$D332,Imput[[PERIODO Imp.]:[PERIODO Imp.]],CK$9)</f>
        <v>0</v>
      </c>
      <c r="CL332" s="693">
        <f>SUMIFS(Imput[[Importe Neto]:[Importe Neto]],Imput[[C. Imp.]:[C. Imp.]],$D332,Imput[[PERIODO Imp.]:[PERIODO Imp.]],CL$9)</f>
        <v>0</v>
      </c>
      <c r="CM332" s="693">
        <f>SUMIFS(Imput[[Importe Neto]:[Importe Neto]],Imput[[C. Imp.]:[C. Imp.]],$D332,Imput[[PERIODO Imp.]:[PERIODO Imp.]],CM$9)</f>
        <v>0</v>
      </c>
      <c r="CN332" s="693">
        <f>SUMIFS(Imput[[Importe Neto]:[Importe Neto]],Imput[[C. Imp.]:[C. Imp.]],$D332,Imput[[PERIODO Imp.]:[PERIODO Imp.]],CN$9)</f>
        <v>0</v>
      </c>
      <c r="CO332" s="693">
        <f>SUMIFS(Imput[[Importe Neto]:[Importe Neto]],Imput[[C. Imp.]:[C. Imp.]],$D332,Imput[[PERIODO Imp.]:[PERIODO Imp.]],CO$9)</f>
        <v>0</v>
      </c>
      <c r="CP332" s="693">
        <f>SUMIFS(Imput[[Importe Neto]:[Importe Neto]],Imput[[C. Imp.]:[C. Imp.]],$D332,Imput[[PERIODO Imp.]:[PERIODO Imp.]],CP$9)</f>
        <v>0</v>
      </c>
      <c r="CQ332" s="693">
        <f>SUMIFS(Imput[[Importe Neto]:[Importe Neto]],Imput[[C. Imp.]:[C. Imp.]],$D332,Imput[[PERIODO Imp.]:[PERIODO Imp.]],CQ$9)</f>
        <v>0</v>
      </c>
      <c r="CR332" s="693">
        <f>SUMIFS(Imput[[Importe Neto]:[Importe Neto]],Imput[[C. Imp.]:[C. Imp.]],$D332,Imput[[PERIODO Imp.]:[PERIODO Imp.]],CR$9)</f>
        <v>0</v>
      </c>
      <c r="CS332" s="693">
        <f>SUMIFS(Imput[[Importe Neto]:[Importe Neto]],Imput[[C. Imp.]:[C. Imp.]],$D332,Imput[[PERIODO Imp.]:[PERIODO Imp.]],CS$9)</f>
        <v>0</v>
      </c>
      <c r="CT332" s="693">
        <f>SUMIFS(Imput[[Importe Neto]:[Importe Neto]],Imput[[C. Imp.]:[C. Imp.]],$D332,Imput[[PERIODO Imp.]:[PERIODO Imp.]],CT$9)</f>
        <v>0</v>
      </c>
      <c r="CU332" s="693">
        <f>SUMIFS(Imput[[Importe Neto]:[Importe Neto]],Imput[[C. Imp.]:[C. Imp.]],$D332,Imput[[PERIODO Imp.]:[PERIODO Imp.]],CU$9)</f>
        <v>0</v>
      </c>
      <c r="CV332" s="693">
        <f>SUMIFS(Imput[[Importe Neto]:[Importe Neto]],Imput[[C. Imp.]:[C. Imp.]],$D332,Imput[[PERIODO Imp.]:[PERIODO Imp.]],CV$9)</f>
        <v>0</v>
      </c>
      <c r="CW332" s="693">
        <f>SUMIFS(Imput[[Importe Neto]:[Importe Neto]],Imput[[C. Imp.]:[C. Imp.]],$D332,Imput[[PERIODO Imp.]:[PERIODO Imp.]],CW$9)</f>
        <v>0</v>
      </c>
      <c r="CX332" s="693">
        <f>SUMIFS(Imput[[Importe Neto]:[Importe Neto]],Imput[[C. Imp.]:[C. Imp.]],$D332,Imput[[PERIODO Imp.]:[PERIODO Imp.]],CX$9)</f>
        <v>0</v>
      </c>
      <c r="CY332" s="693">
        <f>SUMIFS(Imput[[Importe Neto]:[Importe Neto]],Imput[[C. Imp.]:[C. Imp.]],$D332,Imput[[PERIODO Imp.]:[PERIODO Imp.]],CY$9)</f>
        <v>0</v>
      </c>
      <c r="CZ332" s="693">
        <f>SUMIFS(Imput[[Importe Neto]:[Importe Neto]],Imput[[C. Imp.]:[C. Imp.]],$D332,Imput[[PERIODO Imp.]:[PERIODO Imp.]],CZ$9)</f>
        <v>0</v>
      </c>
      <c r="DA332" s="693">
        <f>SUMIFS(Imput[[Importe Neto]:[Importe Neto]],Imput[[C. Imp.]:[C. Imp.]],$D332,Imput[[PERIODO Imp.]:[PERIODO Imp.]],DA$9)</f>
        <v>0</v>
      </c>
      <c r="DB332" s="693">
        <f>SUMIFS(Imput[[Importe Neto]:[Importe Neto]],Imput[[C. Imp.]:[C. Imp.]],$D332,Imput[[PERIODO Imp.]:[PERIODO Imp.]],DB$9)</f>
        <v>0</v>
      </c>
      <c r="DC332" s="693">
        <f>SUMIFS(Imput[[Importe Neto]:[Importe Neto]],Imput[[C. Imp.]:[C. Imp.]],$D332,Imput[[PERIODO Imp.]:[PERIODO Imp.]],DC$9)</f>
        <v>0</v>
      </c>
      <c r="DD332" s="693">
        <f>SUMIFS(Imput[[Importe Neto]:[Importe Neto]],Imput[[C. Imp.]:[C. Imp.]],$D332,Imput[[PERIODO Imp.]:[PERIODO Imp.]],DD$9)</f>
        <v>0</v>
      </c>
      <c r="DE332" s="693">
        <f>SUMIFS(Imput[[Importe Neto]:[Importe Neto]],Imput[[C. Imp.]:[C. Imp.]],$D332,Imput[[PERIODO Imp.]:[PERIODO Imp.]],DE$9)</f>
        <v>0</v>
      </c>
      <c r="DF332" s="693">
        <f>SUMIFS(Imput[[Importe Neto]:[Importe Neto]],Imput[[C. Imp.]:[C. Imp.]],$D332,Imput[[PERIODO Imp.]:[PERIODO Imp.]],DF$9)</f>
        <v>0</v>
      </c>
      <c r="DG332" s="693">
        <f>SUMIFS(Imput[[Importe Neto]:[Importe Neto]],Imput[[C. Imp.]:[C. Imp.]],$D332,Imput[[PERIODO Imp.]:[PERIODO Imp.]],DG$9)</f>
        <v>0</v>
      </c>
      <c r="DH332" s="694">
        <f>SUMIFS(Imput[[Importe Neto]:[Importe Neto]],Imput[[C. Imp.]:[C. Imp.]],$D332,Imput[[PERIODO Imp.]:[PERIODO Imp.]],DH$9)</f>
        <v>0</v>
      </c>
    </row>
    <row r="333" spans="1:112" s="649" customFormat="1" hidden="1" outlineLevel="1" x14ac:dyDescent="0.3">
      <c r="A333" s="652" t="str">
        <f t="shared" si="144"/>
        <v/>
      </c>
      <c r="B333" s="652"/>
      <c r="C333" s="685"/>
      <c r="D333" s="686" t="s">
        <v>2397</v>
      </c>
      <c r="E333" s="686"/>
      <c r="F333" s="720"/>
      <c r="G333" s="688"/>
      <c r="H333" s="689"/>
      <c r="I333" s="851" t="str">
        <f t="shared" si="145"/>
        <v/>
      </c>
      <c r="J333" s="850" t="str">
        <f t="shared" si="146"/>
        <v/>
      </c>
      <c r="K333" s="667"/>
      <c r="L333" s="858"/>
      <c r="M333" s="859"/>
      <c r="N333" s="859"/>
      <c r="O333" s="859"/>
      <c r="P333" s="859"/>
      <c r="Q333" s="859"/>
      <c r="R333" s="859"/>
      <c r="S333" s="859"/>
      <c r="T333" s="859"/>
      <c r="U333" s="859"/>
      <c r="V333" s="859"/>
      <c r="W333" s="859"/>
      <c r="X333" s="859"/>
      <c r="Y333" s="859"/>
      <c r="Z333" s="860"/>
      <c r="AA333" s="860"/>
      <c r="AB333" s="860"/>
      <c r="AC333" s="860"/>
      <c r="AD333" s="860"/>
      <c r="AE333" s="860"/>
      <c r="AF333" s="860"/>
      <c r="AG333" s="860"/>
      <c r="AH333" s="860"/>
      <c r="AI333" s="860"/>
      <c r="AJ333" s="860"/>
      <c r="AK333" s="860"/>
      <c r="AL333" s="860"/>
      <c r="AM333" s="860"/>
      <c r="AN333" s="860"/>
      <c r="AO333" s="860"/>
      <c r="AP333" s="860"/>
      <c r="AQ333" s="860"/>
      <c r="AR333" s="860"/>
      <c r="AS333" s="860"/>
      <c r="AT333" s="860"/>
      <c r="AU333" s="860"/>
      <c r="AV333" s="860"/>
      <c r="AW333" s="860"/>
      <c r="AX333" s="860"/>
      <c r="AY333" s="860"/>
      <c r="AZ333" s="860"/>
      <c r="BA333" s="860"/>
      <c r="BB333" s="860"/>
      <c r="BC333" s="860"/>
      <c r="BD333" s="860"/>
      <c r="BE333" s="860"/>
      <c r="BF333" s="860"/>
      <c r="BG333" s="860"/>
      <c r="BH333" s="668"/>
      <c r="BI333" s="667"/>
      <c r="BJ333" s="690">
        <f t="shared" si="147"/>
        <v>0</v>
      </c>
      <c r="BK333" s="691">
        <f t="shared" si="148"/>
        <v>0</v>
      </c>
      <c r="BL333" s="654"/>
      <c r="BM333" s="692">
        <f>SUMIFS(Imput[[Importe Neto]:[Importe Neto]],Imput[[C. Imp.]:[C. Imp.]],$D333,Imput[[PERIODO Imp.]:[PERIODO Imp.]],BM$9)</f>
        <v>0</v>
      </c>
      <c r="BN333" s="693">
        <f>SUMIFS(Imput[[Importe Neto]:[Importe Neto]],Imput[[C. Imp.]:[C. Imp.]],$D333,Imput[[PERIODO Imp.]:[PERIODO Imp.]],BN$9)</f>
        <v>0</v>
      </c>
      <c r="BO333" s="693">
        <f>SUMIFS(Imput[[Importe Neto]:[Importe Neto]],Imput[[C. Imp.]:[C. Imp.]],$D333,Imput[[PERIODO Imp.]:[PERIODO Imp.]],BO$9)</f>
        <v>0</v>
      </c>
      <c r="BP333" s="693">
        <f>SUMIFS(Imput[[Importe Neto]:[Importe Neto]],Imput[[C. Imp.]:[C. Imp.]],$D333,Imput[[PERIODO Imp.]:[PERIODO Imp.]],BP$9)</f>
        <v>0</v>
      </c>
      <c r="BQ333" s="693">
        <f>SUMIFS(Imput[[Importe Neto]:[Importe Neto]],Imput[[C. Imp.]:[C. Imp.]],$D333,Imput[[PERIODO Imp.]:[PERIODO Imp.]],BQ$9)</f>
        <v>0</v>
      </c>
      <c r="BR333" s="693">
        <f>SUMIFS(Imput[[Importe Neto]:[Importe Neto]],Imput[[C. Imp.]:[C. Imp.]],$D333,Imput[[PERIODO Imp.]:[PERIODO Imp.]],BR$9)</f>
        <v>0</v>
      </c>
      <c r="BS333" s="693">
        <f>SUMIFS(Imput[[Importe Neto]:[Importe Neto]],Imput[[C. Imp.]:[C. Imp.]],$D333,Imput[[PERIODO Imp.]:[PERIODO Imp.]],BS$9)</f>
        <v>0</v>
      </c>
      <c r="BT333" s="693">
        <f>SUMIFS(Imput[[Importe Neto]:[Importe Neto]],Imput[[C. Imp.]:[C. Imp.]],$D333,Imput[[PERIODO Imp.]:[PERIODO Imp.]],BT$9)</f>
        <v>0</v>
      </c>
      <c r="BU333" s="693">
        <f>SUMIFS(Imput[[Importe Neto]:[Importe Neto]],Imput[[C. Imp.]:[C. Imp.]],$D333,Imput[[PERIODO Imp.]:[PERIODO Imp.]],BU$9)</f>
        <v>0</v>
      </c>
      <c r="BV333" s="693">
        <f>SUMIFS(Imput[[Importe Neto]:[Importe Neto]],Imput[[C. Imp.]:[C. Imp.]],$D333,Imput[[PERIODO Imp.]:[PERIODO Imp.]],BV$9)</f>
        <v>0</v>
      </c>
      <c r="BW333" s="693">
        <f>SUMIFS(Imput[[Importe Neto]:[Importe Neto]],Imput[[C. Imp.]:[C. Imp.]],$D333,Imput[[PERIODO Imp.]:[PERIODO Imp.]],BW$9)</f>
        <v>0</v>
      </c>
      <c r="BX333" s="693">
        <f>SUMIFS(Imput[[Importe Neto]:[Importe Neto]],Imput[[C. Imp.]:[C. Imp.]],$D333,Imput[[PERIODO Imp.]:[PERIODO Imp.]],BX$9)</f>
        <v>0</v>
      </c>
      <c r="BY333" s="693">
        <f>SUMIFS(Imput[[Importe Neto]:[Importe Neto]],Imput[[C. Imp.]:[C. Imp.]],$D333,Imput[[PERIODO Imp.]:[PERIODO Imp.]],BY$9)</f>
        <v>0</v>
      </c>
      <c r="BZ333" s="693">
        <f>SUMIFS(Imput[[Importe Neto]:[Importe Neto]],Imput[[C. Imp.]:[C. Imp.]],$D333,Imput[[PERIODO Imp.]:[PERIODO Imp.]],BZ$9)</f>
        <v>0</v>
      </c>
      <c r="CA333" s="693">
        <f>SUMIFS(Imput[[Importe Neto]:[Importe Neto]],Imput[[C. Imp.]:[C. Imp.]],$D333,Imput[[PERIODO Imp.]:[PERIODO Imp.]],CA$9)</f>
        <v>0</v>
      </c>
      <c r="CB333" s="693">
        <f>SUMIFS(Imput[[Importe Neto]:[Importe Neto]],Imput[[C. Imp.]:[C. Imp.]],$D333,Imput[[PERIODO Imp.]:[PERIODO Imp.]],CB$9)</f>
        <v>0</v>
      </c>
      <c r="CC333" s="693">
        <f>SUMIFS(Imput[[Importe Neto]:[Importe Neto]],Imput[[C. Imp.]:[C. Imp.]],$D333,Imput[[PERIODO Imp.]:[PERIODO Imp.]],CC$9)</f>
        <v>0</v>
      </c>
      <c r="CD333" s="693">
        <f>SUMIFS(Imput[[Importe Neto]:[Importe Neto]],Imput[[C. Imp.]:[C. Imp.]],$D333,Imput[[PERIODO Imp.]:[PERIODO Imp.]],CD$9)</f>
        <v>0</v>
      </c>
      <c r="CE333" s="693">
        <f>SUMIFS(Imput[[Importe Neto]:[Importe Neto]],Imput[[C. Imp.]:[C. Imp.]],$D333,Imput[[PERIODO Imp.]:[PERIODO Imp.]],CE$9)</f>
        <v>0</v>
      </c>
      <c r="CF333" s="693">
        <f>SUMIFS(Imput[[Importe Neto]:[Importe Neto]],Imput[[C. Imp.]:[C. Imp.]],$D333,Imput[[PERIODO Imp.]:[PERIODO Imp.]],CF$9)</f>
        <v>0</v>
      </c>
      <c r="CG333" s="693">
        <f>SUMIFS(Imput[[Importe Neto]:[Importe Neto]],Imput[[C. Imp.]:[C. Imp.]],$D333,Imput[[PERIODO Imp.]:[PERIODO Imp.]],CG$9)</f>
        <v>0</v>
      </c>
      <c r="CH333" s="693">
        <f>SUMIFS(Imput[[Importe Neto]:[Importe Neto]],Imput[[C. Imp.]:[C. Imp.]],$D333,Imput[[PERIODO Imp.]:[PERIODO Imp.]],CH$9)</f>
        <v>0</v>
      </c>
      <c r="CI333" s="693">
        <f>SUMIFS(Imput[[Importe Neto]:[Importe Neto]],Imput[[C. Imp.]:[C. Imp.]],$D333,Imput[[PERIODO Imp.]:[PERIODO Imp.]],CI$9)</f>
        <v>0</v>
      </c>
      <c r="CJ333" s="693">
        <f>SUMIFS(Imput[[Importe Neto]:[Importe Neto]],Imput[[C. Imp.]:[C. Imp.]],$D333,Imput[[PERIODO Imp.]:[PERIODO Imp.]],CJ$9)</f>
        <v>0</v>
      </c>
      <c r="CK333" s="693">
        <f>SUMIFS(Imput[[Importe Neto]:[Importe Neto]],Imput[[C. Imp.]:[C. Imp.]],$D333,Imput[[PERIODO Imp.]:[PERIODO Imp.]],CK$9)</f>
        <v>0</v>
      </c>
      <c r="CL333" s="693">
        <f>SUMIFS(Imput[[Importe Neto]:[Importe Neto]],Imput[[C. Imp.]:[C. Imp.]],$D333,Imput[[PERIODO Imp.]:[PERIODO Imp.]],CL$9)</f>
        <v>0</v>
      </c>
      <c r="CM333" s="693">
        <f>SUMIFS(Imput[[Importe Neto]:[Importe Neto]],Imput[[C. Imp.]:[C. Imp.]],$D333,Imput[[PERIODO Imp.]:[PERIODO Imp.]],CM$9)</f>
        <v>0</v>
      </c>
      <c r="CN333" s="693">
        <f>SUMIFS(Imput[[Importe Neto]:[Importe Neto]],Imput[[C. Imp.]:[C. Imp.]],$D333,Imput[[PERIODO Imp.]:[PERIODO Imp.]],CN$9)</f>
        <v>0</v>
      </c>
      <c r="CO333" s="693">
        <f>SUMIFS(Imput[[Importe Neto]:[Importe Neto]],Imput[[C. Imp.]:[C. Imp.]],$D333,Imput[[PERIODO Imp.]:[PERIODO Imp.]],CO$9)</f>
        <v>0</v>
      </c>
      <c r="CP333" s="693">
        <f>SUMIFS(Imput[[Importe Neto]:[Importe Neto]],Imput[[C. Imp.]:[C. Imp.]],$D333,Imput[[PERIODO Imp.]:[PERIODO Imp.]],CP$9)</f>
        <v>0</v>
      </c>
      <c r="CQ333" s="693">
        <f>SUMIFS(Imput[[Importe Neto]:[Importe Neto]],Imput[[C. Imp.]:[C. Imp.]],$D333,Imput[[PERIODO Imp.]:[PERIODO Imp.]],CQ$9)</f>
        <v>0</v>
      </c>
      <c r="CR333" s="693">
        <f>SUMIFS(Imput[[Importe Neto]:[Importe Neto]],Imput[[C. Imp.]:[C. Imp.]],$D333,Imput[[PERIODO Imp.]:[PERIODO Imp.]],CR$9)</f>
        <v>0</v>
      </c>
      <c r="CS333" s="693">
        <f>SUMIFS(Imput[[Importe Neto]:[Importe Neto]],Imput[[C. Imp.]:[C. Imp.]],$D333,Imput[[PERIODO Imp.]:[PERIODO Imp.]],CS$9)</f>
        <v>0</v>
      </c>
      <c r="CT333" s="693">
        <f>SUMIFS(Imput[[Importe Neto]:[Importe Neto]],Imput[[C. Imp.]:[C. Imp.]],$D333,Imput[[PERIODO Imp.]:[PERIODO Imp.]],CT$9)</f>
        <v>0</v>
      </c>
      <c r="CU333" s="693">
        <f>SUMIFS(Imput[[Importe Neto]:[Importe Neto]],Imput[[C. Imp.]:[C. Imp.]],$D333,Imput[[PERIODO Imp.]:[PERIODO Imp.]],CU$9)</f>
        <v>0</v>
      </c>
      <c r="CV333" s="693">
        <f>SUMIFS(Imput[[Importe Neto]:[Importe Neto]],Imput[[C. Imp.]:[C. Imp.]],$D333,Imput[[PERIODO Imp.]:[PERIODO Imp.]],CV$9)</f>
        <v>0</v>
      </c>
      <c r="CW333" s="693">
        <f>SUMIFS(Imput[[Importe Neto]:[Importe Neto]],Imput[[C. Imp.]:[C. Imp.]],$D333,Imput[[PERIODO Imp.]:[PERIODO Imp.]],CW$9)</f>
        <v>0</v>
      </c>
      <c r="CX333" s="693">
        <f>SUMIFS(Imput[[Importe Neto]:[Importe Neto]],Imput[[C. Imp.]:[C. Imp.]],$D333,Imput[[PERIODO Imp.]:[PERIODO Imp.]],CX$9)</f>
        <v>0</v>
      </c>
      <c r="CY333" s="693">
        <f>SUMIFS(Imput[[Importe Neto]:[Importe Neto]],Imput[[C. Imp.]:[C. Imp.]],$D333,Imput[[PERIODO Imp.]:[PERIODO Imp.]],CY$9)</f>
        <v>0</v>
      </c>
      <c r="CZ333" s="693">
        <f>SUMIFS(Imput[[Importe Neto]:[Importe Neto]],Imput[[C. Imp.]:[C. Imp.]],$D333,Imput[[PERIODO Imp.]:[PERIODO Imp.]],CZ$9)</f>
        <v>0</v>
      </c>
      <c r="DA333" s="693">
        <f>SUMIFS(Imput[[Importe Neto]:[Importe Neto]],Imput[[C. Imp.]:[C. Imp.]],$D333,Imput[[PERIODO Imp.]:[PERIODO Imp.]],DA$9)</f>
        <v>0</v>
      </c>
      <c r="DB333" s="693">
        <f>SUMIFS(Imput[[Importe Neto]:[Importe Neto]],Imput[[C. Imp.]:[C. Imp.]],$D333,Imput[[PERIODO Imp.]:[PERIODO Imp.]],DB$9)</f>
        <v>0</v>
      </c>
      <c r="DC333" s="693">
        <f>SUMIFS(Imput[[Importe Neto]:[Importe Neto]],Imput[[C. Imp.]:[C. Imp.]],$D333,Imput[[PERIODO Imp.]:[PERIODO Imp.]],DC$9)</f>
        <v>0</v>
      </c>
      <c r="DD333" s="693">
        <f>SUMIFS(Imput[[Importe Neto]:[Importe Neto]],Imput[[C. Imp.]:[C. Imp.]],$D333,Imput[[PERIODO Imp.]:[PERIODO Imp.]],DD$9)</f>
        <v>0</v>
      </c>
      <c r="DE333" s="693">
        <f>SUMIFS(Imput[[Importe Neto]:[Importe Neto]],Imput[[C. Imp.]:[C. Imp.]],$D333,Imput[[PERIODO Imp.]:[PERIODO Imp.]],DE$9)</f>
        <v>0</v>
      </c>
      <c r="DF333" s="693">
        <f>SUMIFS(Imput[[Importe Neto]:[Importe Neto]],Imput[[C. Imp.]:[C. Imp.]],$D333,Imput[[PERIODO Imp.]:[PERIODO Imp.]],DF$9)</f>
        <v>0</v>
      </c>
      <c r="DG333" s="693">
        <f>SUMIFS(Imput[[Importe Neto]:[Importe Neto]],Imput[[C. Imp.]:[C. Imp.]],$D333,Imput[[PERIODO Imp.]:[PERIODO Imp.]],DG$9)</f>
        <v>0</v>
      </c>
      <c r="DH333" s="694">
        <f>SUMIFS(Imput[[Importe Neto]:[Importe Neto]],Imput[[C. Imp.]:[C. Imp.]],$D333,Imput[[PERIODO Imp.]:[PERIODO Imp.]],DH$9)</f>
        <v>0</v>
      </c>
    </row>
    <row r="334" spans="1:112" s="649" customFormat="1" hidden="1" outlineLevel="1" x14ac:dyDescent="0.3">
      <c r="A334" s="652" t="str">
        <f t="shared" si="144"/>
        <v/>
      </c>
      <c r="B334" s="652"/>
      <c r="C334" s="685"/>
      <c r="D334" s="686" t="s">
        <v>2398</v>
      </c>
      <c r="E334" s="686"/>
      <c r="F334" s="720"/>
      <c r="G334" s="688"/>
      <c r="H334" s="689"/>
      <c r="I334" s="851" t="str">
        <f t="shared" si="145"/>
        <v/>
      </c>
      <c r="J334" s="850" t="str">
        <f t="shared" si="146"/>
        <v/>
      </c>
      <c r="K334" s="667"/>
      <c r="L334" s="858"/>
      <c r="M334" s="859"/>
      <c r="N334" s="859"/>
      <c r="O334" s="859"/>
      <c r="P334" s="859"/>
      <c r="Q334" s="859"/>
      <c r="R334" s="859"/>
      <c r="S334" s="859"/>
      <c r="T334" s="859"/>
      <c r="U334" s="859"/>
      <c r="V334" s="859"/>
      <c r="W334" s="859"/>
      <c r="X334" s="859"/>
      <c r="Y334" s="859"/>
      <c r="Z334" s="860"/>
      <c r="AA334" s="860"/>
      <c r="AB334" s="860"/>
      <c r="AC334" s="860"/>
      <c r="AD334" s="860"/>
      <c r="AE334" s="860"/>
      <c r="AF334" s="860"/>
      <c r="AG334" s="860"/>
      <c r="AH334" s="860"/>
      <c r="AI334" s="860"/>
      <c r="AJ334" s="860"/>
      <c r="AK334" s="860"/>
      <c r="AL334" s="860"/>
      <c r="AM334" s="860"/>
      <c r="AN334" s="860"/>
      <c r="AO334" s="860"/>
      <c r="AP334" s="860"/>
      <c r="AQ334" s="860"/>
      <c r="AR334" s="860"/>
      <c r="AS334" s="860"/>
      <c r="AT334" s="860"/>
      <c r="AU334" s="860"/>
      <c r="AV334" s="860"/>
      <c r="AW334" s="860"/>
      <c r="AX334" s="860"/>
      <c r="AY334" s="860"/>
      <c r="AZ334" s="860"/>
      <c r="BA334" s="860"/>
      <c r="BB334" s="860"/>
      <c r="BC334" s="860"/>
      <c r="BD334" s="860"/>
      <c r="BE334" s="860"/>
      <c r="BF334" s="860"/>
      <c r="BG334" s="860"/>
      <c r="BH334" s="668"/>
      <c r="BI334" s="667"/>
      <c r="BJ334" s="690">
        <f t="shared" si="147"/>
        <v>0</v>
      </c>
      <c r="BK334" s="691">
        <f t="shared" si="148"/>
        <v>0</v>
      </c>
      <c r="BL334" s="654"/>
      <c r="BM334" s="692">
        <f>SUMIFS(Imput[[Importe Neto]:[Importe Neto]],Imput[[C. Imp.]:[C. Imp.]],$D334,Imput[[PERIODO Imp.]:[PERIODO Imp.]],BM$9)</f>
        <v>0</v>
      </c>
      <c r="BN334" s="693">
        <f>SUMIFS(Imput[[Importe Neto]:[Importe Neto]],Imput[[C. Imp.]:[C. Imp.]],$D334,Imput[[PERIODO Imp.]:[PERIODO Imp.]],BN$9)</f>
        <v>0</v>
      </c>
      <c r="BO334" s="693">
        <f>SUMIFS(Imput[[Importe Neto]:[Importe Neto]],Imput[[C. Imp.]:[C. Imp.]],$D334,Imput[[PERIODO Imp.]:[PERIODO Imp.]],BO$9)</f>
        <v>0</v>
      </c>
      <c r="BP334" s="693">
        <f>SUMIFS(Imput[[Importe Neto]:[Importe Neto]],Imput[[C. Imp.]:[C. Imp.]],$D334,Imput[[PERIODO Imp.]:[PERIODO Imp.]],BP$9)</f>
        <v>0</v>
      </c>
      <c r="BQ334" s="693">
        <f>SUMIFS(Imput[[Importe Neto]:[Importe Neto]],Imput[[C. Imp.]:[C. Imp.]],$D334,Imput[[PERIODO Imp.]:[PERIODO Imp.]],BQ$9)</f>
        <v>0</v>
      </c>
      <c r="BR334" s="693">
        <f>SUMIFS(Imput[[Importe Neto]:[Importe Neto]],Imput[[C. Imp.]:[C. Imp.]],$D334,Imput[[PERIODO Imp.]:[PERIODO Imp.]],BR$9)</f>
        <v>0</v>
      </c>
      <c r="BS334" s="693">
        <f>SUMIFS(Imput[[Importe Neto]:[Importe Neto]],Imput[[C. Imp.]:[C. Imp.]],$D334,Imput[[PERIODO Imp.]:[PERIODO Imp.]],BS$9)</f>
        <v>0</v>
      </c>
      <c r="BT334" s="693">
        <f>SUMIFS(Imput[[Importe Neto]:[Importe Neto]],Imput[[C. Imp.]:[C. Imp.]],$D334,Imput[[PERIODO Imp.]:[PERIODO Imp.]],BT$9)</f>
        <v>0</v>
      </c>
      <c r="BU334" s="693">
        <f>SUMIFS(Imput[[Importe Neto]:[Importe Neto]],Imput[[C. Imp.]:[C. Imp.]],$D334,Imput[[PERIODO Imp.]:[PERIODO Imp.]],BU$9)</f>
        <v>0</v>
      </c>
      <c r="BV334" s="693">
        <f>SUMIFS(Imput[[Importe Neto]:[Importe Neto]],Imput[[C. Imp.]:[C. Imp.]],$D334,Imput[[PERIODO Imp.]:[PERIODO Imp.]],BV$9)</f>
        <v>0</v>
      </c>
      <c r="BW334" s="693">
        <f>SUMIFS(Imput[[Importe Neto]:[Importe Neto]],Imput[[C. Imp.]:[C. Imp.]],$D334,Imput[[PERIODO Imp.]:[PERIODO Imp.]],BW$9)</f>
        <v>0</v>
      </c>
      <c r="BX334" s="693">
        <f>SUMIFS(Imput[[Importe Neto]:[Importe Neto]],Imput[[C. Imp.]:[C. Imp.]],$D334,Imput[[PERIODO Imp.]:[PERIODO Imp.]],BX$9)</f>
        <v>0</v>
      </c>
      <c r="BY334" s="693">
        <f>SUMIFS(Imput[[Importe Neto]:[Importe Neto]],Imput[[C. Imp.]:[C. Imp.]],$D334,Imput[[PERIODO Imp.]:[PERIODO Imp.]],BY$9)</f>
        <v>0</v>
      </c>
      <c r="BZ334" s="693">
        <f>SUMIFS(Imput[[Importe Neto]:[Importe Neto]],Imput[[C. Imp.]:[C. Imp.]],$D334,Imput[[PERIODO Imp.]:[PERIODO Imp.]],BZ$9)</f>
        <v>0</v>
      </c>
      <c r="CA334" s="693">
        <f>SUMIFS(Imput[[Importe Neto]:[Importe Neto]],Imput[[C. Imp.]:[C. Imp.]],$D334,Imput[[PERIODO Imp.]:[PERIODO Imp.]],CA$9)</f>
        <v>0</v>
      </c>
      <c r="CB334" s="693">
        <f>SUMIFS(Imput[[Importe Neto]:[Importe Neto]],Imput[[C. Imp.]:[C. Imp.]],$D334,Imput[[PERIODO Imp.]:[PERIODO Imp.]],CB$9)</f>
        <v>0</v>
      </c>
      <c r="CC334" s="693">
        <f>SUMIFS(Imput[[Importe Neto]:[Importe Neto]],Imput[[C. Imp.]:[C. Imp.]],$D334,Imput[[PERIODO Imp.]:[PERIODO Imp.]],CC$9)</f>
        <v>0</v>
      </c>
      <c r="CD334" s="693">
        <f>SUMIFS(Imput[[Importe Neto]:[Importe Neto]],Imput[[C. Imp.]:[C. Imp.]],$D334,Imput[[PERIODO Imp.]:[PERIODO Imp.]],CD$9)</f>
        <v>0</v>
      </c>
      <c r="CE334" s="693">
        <f>SUMIFS(Imput[[Importe Neto]:[Importe Neto]],Imput[[C. Imp.]:[C. Imp.]],$D334,Imput[[PERIODO Imp.]:[PERIODO Imp.]],CE$9)</f>
        <v>0</v>
      </c>
      <c r="CF334" s="693">
        <f>SUMIFS(Imput[[Importe Neto]:[Importe Neto]],Imput[[C. Imp.]:[C. Imp.]],$D334,Imput[[PERIODO Imp.]:[PERIODO Imp.]],CF$9)</f>
        <v>0</v>
      </c>
      <c r="CG334" s="693">
        <f>SUMIFS(Imput[[Importe Neto]:[Importe Neto]],Imput[[C. Imp.]:[C. Imp.]],$D334,Imput[[PERIODO Imp.]:[PERIODO Imp.]],CG$9)</f>
        <v>0</v>
      </c>
      <c r="CH334" s="693">
        <f>SUMIFS(Imput[[Importe Neto]:[Importe Neto]],Imput[[C. Imp.]:[C. Imp.]],$D334,Imput[[PERIODO Imp.]:[PERIODO Imp.]],CH$9)</f>
        <v>0</v>
      </c>
      <c r="CI334" s="693">
        <f>SUMIFS(Imput[[Importe Neto]:[Importe Neto]],Imput[[C. Imp.]:[C. Imp.]],$D334,Imput[[PERIODO Imp.]:[PERIODO Imp.]],CI$9)</f>
        <v>0</v>
      </c>
      <c r="CJ334" s="693">
        <f>SUMIFS(Imput[[Importe Neto]:[Importe Neto]],Imput[[C. Imp.]:[C. Imp.]],$D334,Imput[[PERIODO Imp.]:[PERIODO Imp.]],CJ$9)</f>
        <v>0</v>
      </c>
      <c r="CK334" s="693">
        <f>SUMIFS(Imput[[Importe Neto]:[Importe Neto]],Imput[[C. Imp.]:[C. Imp.]],$D334,Imput[[PERIODO Imp.]:[PERIODO Imp.]],CK$9)</f>
        <v>0</v>
      </c>
      <c r="CL334" s="693">
        <f>SUMIFS(Imput[[Importe Neto]:[Importe Neto]],Imput[[C. Imp.]:[C. Imp.]],$D334,Imput[[PERIODO Imp.]:[PERIODO Imp.]],CL$9)</f>
        <v>0</v>
      </c>
      <c r="CM334" s="693">
        <f>SUMIFS(Imput[[Importe Neto]:[Importe Neto]],Imput[[C. Imp.]:[C. Imp.]],$D334,Imput[[PERIODO Imp.]:[PERIODO Imp.]],CM$9)</f>
        <v>0</v>
      </c>
      <c r="CN334" s="693">
        <f>SUMIFS(Imput[[Importe Neto]:[Importe Neto]],Imput[[C. Imp.]:[C. Imp.]],$D334,Imput[[PERIODO Imp.]:[PERIODO Imp.]],CN$9)</f>
        <v>0</v>
      </c>
      <c r="CO334" s="693">
        <f>SUMIFS(Imput[[Importe Neto]:[Importe Neto]],Imput[[C. Imp.]:[C. Imp.]],$D334,Imput[[PERIODO Imp.]:[PERIODO Imp.]],CO$9)</f>
        <v>0</v>
      </c>
      <c r="CP334" s="693">
        <f>SUMIFS(Imput[[Importe Neto]:[Importe Neto]],Imput[[C. Imp.]:[C. Imp.]],$D334,Imput[[PERIODO Imp.]:[PERIODO Imp.]],CP$9)</f>
        <v>0</v>
      </c>
      <c r="CQ334" s="693">
        <f>SUMIFS(Imput[[Importe Neto]:[Importe Neto]],Imput[[C. Imp.]:[C. Imp.]],$D334,Imput[[PERIODO Imp.]:[PERIODO Imp.]],CQ$9)</f>
        <v>0</v>
      </c>
      <c r="CR334" s="693">
        <f>SUMIFS(Imput[[Importe Neto]:[Importe Neto]],Imput[[C. Imp.]:[C. Imp.]],$D334,Imput[[PERIODO Imp.]:[PERIODO Imp.]],CR$9)</f>
        <v>0</v>
      </c>
      <c r="CS334" s="693">
        <f>SUMIFS(Imput[[Importe Neto]:[Importe Neto]],Imput[[C. Imp.]:[C. Imp.]],$D334,Imput[[PERIODO Imp.]:[PERIODO Imp.]],CS$9)</f>
        <v>0</v>
      </c>
      <c r="CT334" s="693">
        <f>SUMIFS(Imput[[Importe Neto]:[Importe Neto]],Imput[[C. Imp.]:[C. Imp.]],$D334,Imput[[PERIODO Imp.]:[PERIODO Imp.]],CT$9)</f>
        <v>0</v>
      </c>
      <c r="CU334" s="693">
        <f>SUMIFS(Imput[[Importe Neto]:[Importe Neto]],Imput[[C. Imp.]:[C. Imp.]],$D334,Imput[[PERIODO Imp.]:[PERIODO Imp.]],CU$9)</f>
        <v>0</v>
      </c>
      <c r="CV334" s="693">
        <f>SUMIFS(Imput[[Importe Neto]:[Importe Neto]],Imput[[C. Imp.]:[C. Imp.]],$D334,Imput[[PERIODO Imp.]:[PERIODO Imp.]],CV$9)</f>
        <v>0</v>
      </c>
      <c r="CW334" s="693">
        <f>SUMIFS(Imput[[Importe Neto]:[Importe Neto]],Imput[[C. Imp.]:[C. Imp.]],$D334,Imput[[PERIODO Imp.]:[PERIODO Imp.]],CW$9)</f>
        <v>0</v>
      </c>
      <c r="CX334" s="693">
        <f>SUMIFS(Imput[[Importe Neto]:[Importe Neto]],Imput[[C. Imp.]:[C. Imp.]],$D334,Imput[[PERIODO Imp.]:[PERIODO Imp.]],CX$9)</f>
        <v>0</v>
      </c>
      <c r="CY334" s="693">
        <f>SUMIFS(Imput[[Importe Neto]:[Importe Neto]],Imput[[C. Imp.]:[C. Imp.]],$D334,Imput[[PERIODO Imp.]:[PERIODO Imp.]],CY$9)</f>
        <v>0</v>
      </c>
      <c r="CZ334" s="693">
        <f>SUMIFS(Imput[[Importe Neto]:[Importe Neto]],Imput[[C. Imp.]:[C. Imp.]],$D334,Imput[[PERIODO Imp.]:[PERIODO Imp.]],CZ$9)</f>
        <v>0</v>
      </c>
      <c r="DA334" s="693">
        <f>SUMIFS(Imput[[Importe Neto]:[Importe Neto]],Imput[[C. Imp.]:[C. Imp.]],$D334,Imput[[PERIODO Imp.]:[PERIODO Imp.]],DA$9)</f>
        <v>0</v>
      </c>
      <c r="DB334" s="693">
        <f>SUMIFS(Imput[[Importe Neto]:[Importe Neto]],Imput[[C. Imp.]:[C. Imp.]],$D334,Imput[[PERIODO Imp.]:[PERIODO Imp.]],DB$9)</f>
        <v>0</v>
      </c>
      <c r="DC334" s="693">
        <f>SUMIFS(Imput[[Importe Neto]:[Importe Neto]],Imput[[C. Imp.]:[C. Imp.]],$D334,Imput[[PERIODO Imp.]:[PERIODO Imp.]],DC$9)</f>
        <v>0</v>
      </c>
      <c r="DD334" s="693">
        <f>SUMIFS(Imput[[Importe Neto]:[Importe Neto]],Imput[[C. Imp.]:[C. Imp.]],$D334,Imput[[PERIODO Imp.]:[PERIODO Imp.]],DD$9)</f>
        <v>0</v>
      </c>
      <c r="DE334" s="693">
        <f>SUMIFS(Imput[[Importe Neto]:[Importe Neto]],Imput[[C. Imp.]:[C. Imp.]],$D334,Imput[[PERIODO Imp.]:[PERIODO Imp.]],DE$9)</f>
        <v>0</v>
      </c>
      <c r="DF334" s="693">
        <f>SUMIFS(Imput[[Importe Neto]:[Importe Neto]],Imput[[C. Imp.]:[C. Imp.]],$D334,Imput[[PERIODO Imp.]:[PERIODO Imp.]],DF$9)</f>
        <v>0</v>
      </c>
      <c r="DG334" s="693">
        <f>SUMIFS(Imput[[Importe Neto]:[Importe Neto]],Imput[[C. Imp.]:[C. Imp.]],$D334,Imput[[PERIODO Imp.]:[PERIODO Imp.]],DG$9)</f>
        <v>0</v>
      </c>
      <c r="DH334" s="694">
        <f>SUMIFS(Imput[[Importe Neto]:[Importe Neto]],Imput[[C. Imp.]:[C. Imp.]],$D334,Imput[[PERIODO Imp.]:[PERIODO Imp.]],DH$9)</f>
        <v>0</v>
      </c>
    </row>
    <row r="335" spans="1:112" s="649" customFormat="1" hidden="1" outlineLevel="1" x14ac:dyDescent="0.3">
      <c r="A335" s="652" t="str">
        <f t="shared" si="144"/>
        <v/>
      </c>
      <c r="B335" s="652"/>
      <c r="C335" s="685"/>
      <c r="D335" s="686" t="s">
        <v>2399</v>
      </c>
      <c r="E335" s="686"/>
      <c r="F335" s="720"/>
      <c r="G335" s="688"/>
      <c r="H335" s="689"/>
      <c r="I335" s="851" t="str">
        <f t="shared" si="145"/>
        <v/>
      </c>
      <c r="J335" s="850" t="str">
        <f t="shared" si="146"/>
        <v/>
      </c>
      <c r="K335" s="667"/>
      <c r="L335" s="858"/>
      <c r="M335" s="859"/>
      <c r="N335" s="859"/>
      <c r="O335" s="859"/>
      <c r="P335" s="859"/>
      <c r="Q335" s="859"/>
      <c r="R335" s="859"/>
      <c r="S335" s="859"/>
      <c r="T335" s="859"/>
      <c r="U335" s="859"/>
      <c r="V335" s="859"/>
      <c r="W335" s="859"/>
      <c r="X335" s="859"/>
      <c r="Y335" s="859"/>
      <c r="Z335" s="860"/>
      <c r="AA335" s="860"/>
      <c r="AB335" s="860"/>
      <c r="AC335" s="860"/>
      <c r="AD335" s="860"/>
      <c r="AE335" s="860"/>
      <c r="AF335" s="860"/>
      <c r="AG335" s="860"/>
      <c r="AH335" s="860"/>
      <c r="AI335" s="860"/>
      <c r="AJ335" s="860"/>
      <c r="AK335" s="860"/>
      <c r="AL335" s="860"/>
      <c r="AM335" s="860"/>
      <c r="AN335" s="860"/>
      <c r="AO335" s="860"/>
      <c r="AP335" s="860"/>
      <c r="AQ335" s="860"/>
      <c r="AR335" s="860"/>
      <c r="AS335" s="860"/>
      <c r="AT335" s="860"/>
      <c r="AU335" s="860"/>
      <c r="AV335" s="860"/>
      <c r="AW335" s="860"/>
      <c r="AX335" s="860"/>
      <c r="AY335" s="860"/>
      <c r="AZ335" s="860"/>
      <c r="BA335" s="860"/>
      <c r="BB335" s="860"/>
      <c r="BC335" s="860"/>
      <c r="BD335" s="860"/>
      <c r="BE335" s="860"/>
      <c r="BF335" s="860"/>
      <c r="BG335" s="860"/>
      <c r="BH335" s="668"/>
      <c r="BI335" s="667"/>
      <c r="BJ335" s="690">
        <f t="shared" si="147"/>
        <v>0</v>
      </c>
      <c r="BK335" s="691">
        <f t="shared" si="148"/>
        <v>0</v>
      </c>
      <c r="BL335" s="654"/>
      <c r="BM335" s="692">
        <f>SUMIFS(Imput[[Importe Neto]:[Importe Neto]],Imput[[C. Imp.]:[C. Imp.]],$D335,Imput[[PERIODO Imp.]:[PERIODO Imp.]],BM$9)</f>
        <v>0</v>
      </c>
      <c r="BN335" s="693">
        <f>SUMIFS(Imput[[Importe Neto]:[Importe Neto]],Imput[[C. Imp.]:[C. Imp.]],$D335,Imput[[PERIODO Imp.]:[PERIODO Imp.]],BN$9)</f>
        <v>0</v>
      </c>
      <c r="BO335" s="693">
        <f>SUMIFS(Imput[[Importe Neto]:[Importe Neto]],Imput[[C. Imp.]:[C. Imp.]],$D335,Imput[[PERIODO Imp.]:[PERIODO Imp.]],BO$9)</f>
        <v>0</v>
      </c>
      <c r="BP335" s="693">
        <f>SUMIFS(Imput[[Importe Neto]:[Importe Neto]],Imput[[C. Imp.]:[C. Imp.]],$D335,Imput[[PERIODO Imp.]:[PERIODO Imp.]],BP$9)</f>
        <v>0</v>
      </c>
      <c r="BQ335" s="693">
        <f>SUMIFS(Imput[[Importe Neto]:[Importe Neto]],Imput[[C. Imp.]:[C. Imp.]],$D335,Imput[[PERIODO Imp.]:[PERIODO Imp.]],BQ$9)</f>
        <v>0</v>
      </c>
      <c r="BR335" s="693">
        <f>SUMIFS(Imput[[Importe Neto]:[Importe Neto]],Imput[[C. Imp.]:[C. Imp.]],$D335,Imput[[PERIODO Imp.]:[PERIODO Imp.]],BR$9)</f>
        <v>0</v>
      </c>
      <c r="BS335" s="693">
        <f>SUMIFS(Imput[[Importe Neto]:[Importe Neto]],Imput[[C. Imp.]:[C. Imp.]],$D335,Imput[[PERIODO Imp.]:[PERIODO Imp.]],BS$9)</f>
        <v>0</v>
      </c>
      <c r="BT335" s="693">
        <f>SUMIFS(Imput[[Importe Neto]:[Importe Neto]],Imput[[C. Imp.]:[C. Imp.]],$D335,Imput[[PERIODO Imp.]:[PERIODO Imp.]],BT$9)</f>
        <v>0</v>
      </c>
      <c r="BU335" s="693">
        <f>SUMIFS(Imput[[Importe Neto]:[Importe Neto]],Imput[[C. Imp.]:[C. Imp.]],$D335,Imput[[PERIODO Imp.]:[PERIODO Imp.]],BU$9)</f>
        <v>0</v>
      </c>
      <c r="BV335" s="693">
        <f>SUMIFS(Imput[[Importe Neto]:[Importe Neto]],Imput[[C. Imp.]:[C. Imp.]],$D335,Imput[[PERIODO Imp.]:[PERIODO Imp.]],BV$9)</f>
        <v>0</v>
      </c>
      <c r="BW335" s="693">
        <f>SUMIFS(Imput[[Importe Neto]:[Importe Neto]],Imput[[C. Imp.]:[C. Imp.]],$D335,Imput[[PERIODO Imp.]:[PERIODO Imp.]],BW$9)</f>
        <v>0</v>
      </c>
      <c r="BX335" s="693">
        <f>SUMIFS(Imput[[Importe Neto]:[Importe Neto]],Imput[[C. Imp.]:[C. Imp.]],$D335,Imput[[PERIODO Imp.]:[PERIODO Imp.]],BX$9)</f>
        <v>0</v>
      </c>
      <c r="BY335" s="693">
        <f>SUMIFS(Imput[[Importe Neto]:[Importe Neto]],Imput[[C. Imp.]:[C. Imp.]],$D335,Imput[[PERIODO Imp.]:[PERIODO Imp.]],BY$9)</f>
        <v>0</v>
      </c>
      <c r="BZ335" s="693">
        <f>SUMIFS(Imput[[Importe Neto]:[Importe Neto]],Imput[[C. Imp.]:[C. Imp.]],$D335,Imput[[PERIODO Imp.]:[PERIODO Imp.]],BZ$9)</f>
        <v>0</v>
      </c>
      <c r="CA335" s="693">
        <f>SUMIFS(Imput[[Importe Neto]:[Importe Neto]],Imput[[C. Imp.]:[C. Imp.]],$D335,Imput[[PERIODO Imp.]:[PERIODO Imp.]],CA$9)</f>
        <v>0</v>
      </c>
      <c r="CB335" s="693">
        <f>SUMIFS(Imput[[Importe Neto]:[Importe Neto]],Imput[[C. Imp.]:[C. Imp.]],$D335,Imput[[PERIODO Imp.]:[PERIODO Imp.]],CB$9)</f>
        <v>0</v>
      </c>
      <c r="CC335" s="693">
        <f>SUMIFS(Imput[[Importe Neto]:[Importe Neto]],Imput[[C. Imp.]:[C. Imp.]],$D335,Imput[[PERIODO Imp.]:[PERIODO Imp.]],CC$9)</f>
        <v>0</v>
      </c>
      <c r="CD335" s="693">
        <f>SUMIFS(Imput[[Importe Neto]:[Importe Neto]],Imput[[C. Imp.]:[C. Imp.]],$D335,Imput[[PERIODO Imp.]:[PERIODO Imp.]],CD$9)</f>
        <v>0</v>
      </c>
      <c r="CE335" s="693">
        <f>SUMIFS(Imput[[Importe Neto]:[Importe Neto]],Imput[[C. Imp.]:[C. Imp.]],$D335,Imput[[PERIODO Imp.]:[PERIODO Imp.]],CE$9)</f>
        <v>0</v>
      </c>
      <c r="CF335" s="693">
        <f>SUMIFS(Imput[[Importe Neto]:[Importe Neto]],Imput[[C. Imp.]:[C. Imp.]],$D335,Imput[[PERIODO Imp.]:[PERIODO Imp.]],CF$9)</f>
        <v>0</v>
      </c>
      <c r="CG335" s="693">
        <f>SUMIFS(Imput[[Importe Neto]:[Importe Neto]],Imput[[C. Imp.]:[C. Imp.]],$D335,Imput[[PERIODO Imp.]:[PERIODO Imp.]],CG$9)</f>
        <v>0</v>
      </c>
      <c r="CH335" s="693">
        <f>SUMIFS(Imput[[Importe Neto]:[Importe Neto]],Imput[[C. Imp.]:[C. Imp.]],$D335,Imput[[PERIODO Imp.]:[PERIODO Imp.]],CH$9)</f>
        <v>0</v>
      </c>
      <c r="CI335" s="693">
        <f>SUMIFS(Imput[[Importe Neto]:[Importe Neto]],Imput[[C. Imp.]:[C. Imp.]],$D335,Imput[[PERIODO Imp.]:[PERIODO Imp.]],CI$9)</f>
        <v>0</v>
      </c>
      <c r="CJ335" s="693">
        <f>SUMIFS(Imput[[Importe Neto]:[Importe Neto]],Imput[[C. Imp.]:[C. Imp.]],$D335,Imput[[PERIODO Imp.]:[PERIODO Imp.]],CJ$9)</f>
        <v>0</v>
      </c>
      <c r="CK335" s="693">
        <f>SUMIFS(Imput[[Importe Neto]:[Importe Neto]],Imput[[C. Imp.]:[C. Imp.]],$D335,Imput[[PERIODO Imp.]:[PERIODO Imp.]],CK$9)</f>
        <v>0</v>
      </c>
      <c r="CL335" s="693">
        <f>SUMIFS(Imput[[Importe Neto]:[Importe Neto]],Imput[[C. Imp.]:[C. Imp.]],$D335,Imput[[PERIODO Imp.]:[PERIODO Imp.]],CL$9)</f>
        <v>0</v>
      </c>
      <c r="CM335" s="693">
        <f>SUMIFS(Imput[[Importe Neto]:[Importe Neto]],Imput[[C. Imp.]:[C. Imp.]],$D335,Imput[[PERIODO Imp.]:[PERIODO Imp.]],CM$9)</f>
        <v>0</v>
      </c>
      <c r="CN335" s="693">
        <f>SUMIFS(Imput[[Importe Neto]:[Importe Neto]],Imput[[C. Imp.]:[C. Imp.]],$D335,Imput[[PERIODO Imp.]:[PERIODO Imp.]],CN$9)</f>
        <v>0</v>
      </c>
      <c r="CO335" s="693">
        <f>SUMIFS(Imput[[Importe Neto]:[Importe Neto]],Imput[[C. Imp.]:[C. Imp.]],$D335,Imput[[PERIODO Imp.]:[PERIODO Imp.]],CO$9)</f>
        <v>0</v>
      </c>
      <c r="CP335" s="693">
        <f>SUMIFS(Imput[[Importe Neto]:[Importe Neto]],Imput[[C. Imp.]:[C. Imp.]],$D335,Imput[[PERIODO Imp.]:[PERIODO Imp.]],CP$9)</f>
        <v>0</v>
      </c>
      <c r="CQ335" s="693">
        <f>SUMIFS(Imput[[Importe Neto]:[Importe Neto]],Imput[[C. Imp.]:[C. Imp.]],$D335,Imput[[PERIODO Imp.]:[PERIODO Imp.]],CQ$9)</f>
        <v>0</v>
      </c>
      <c r="CR335" s="693">
        <f>SUMIFS(Imput[[Importe Neto]:[Importe Neto]],Imput[[C. Imp.]:[C. Imp.]],$D335,Imput[[PERIODO Imp.]:[PERIODO Imp.]],CR$9)</f>
        <v>0</v>
      </c>
      <c r="CS335" s="693">
        <f>SUMIFS(Imput[[Importe Neto]:[Importe Neto]],Imput[[C. Imp.]:[C. Imp.]],$D335,Imput[[PERIODO Imp.]:[PERIODO Imp.]],CS$9)</f>
        <v>0</v>
      </c>
      <c r="CT335" s="693">
        <f>SUMIFS(Imput[[Importe Neto]:[Importe Neto]],Imput[[C. Imp.]:[C. Imp.]],$D335,Imput[[PERIODO Imp.]:[PERIODO Imp.]],CT$9)</f>
        <v>0</v>
      </c>
      <c r="CU335" s="693">
        <f>SUMIFS(Imput[[Importe Neto]:[Importe Neto]],Imput[[C. Imp.]:[C. Imp.]],$D335,Imput[[PERIODO Imp.]:[PERIODO Imp.]],CU$9)</f>
        <v>0</v>
      </c>
      <c r="CV335" s="693">
        <f>SUMIFS(Imput[[Importe Neto]:[Importe Neto]],Imput[[C. Imp.]:[C. Imp.]],$D335,Imput[[PERIODO Imp.]:[PERIODO Imp.]],CV$9)</f>
        <v>0</v>
      </c>
      <c r="CW335" s="693">
        <f>SUMIFS(Imput[[Importe Neto]:[Importe Neto]],Imput[[C. Imp.]:[C. Imp.]],$D335,Imput[[PERIODO Imp.]:[PERIODO Imp.]],CW$9)</f>
        <v>0</v>
      </c>
      <c r="CX335" s="693">
        <f>SUMIFS(Imput[[Importe Neto]:[Importe Neto]],Imput[[C. Imp.]:[C. Imp.]],$D335,Imput[[PERIODO Imp.]:[PERIODO Imp.]],CX$9)</f>
        <v>0</v>
      </c>
      <c r="CY335" s="693">
        <f>SUMIFS(Imput[[Importe Neto]:[Importe Neto]],Imput[[C. Imp.]:[C. Imp.]],$D335,Imput[[PERIODO Imp.]:[PERIODO Imp.]],CY$9)</f>
        <v>0</v>
      </c>
      <c r="CZ335" s="693">
        <f>SUMIFS(Imput[[Importe Neto]:[Importe Neto]],Imput[[C. Imp.]:[C. Imp.]],$D335,Imput[[PERIODO Imp.]:[PERIODO Imp.]],CZ$9)</f>
        <v>0</v>
      </c>
      <c r="DA335" s="693">
        <f>SUMIFS(Imput[[Importe Neto]:[Importe Neto]],Imput[[C. Imp.]:[C. Imp.]],$D335,Imput[[PERIODO Imp.]:[PERIODO Imp.]],DA$9)</f>
        <v>0</v>
      </c>
      <c r="DB335" s="693">
        <f>SUMIFS(Imput[[Importe Neto]:[Importe Neto]],Imput[[C. Imp.]:[C. Imp.]],$D335,Imput[[PERIODO Imp.]:[PERIODO Imp.]],DB$9)</f>
        <v>0</v>
      </c>
      <c r="DC335" s="693">
        <f>SUMIFS(Imput[[Importe Neto]:[Importe Neto]],Imput[[C. Imp.]:[C. Imp.]],$D335,Imput[[PERIODO Imp.]:[PERIODO Imp.]],DC$9)</f>
        <v>0</v>
      </c>
      <c r="DD335" s="693">
        <f>SUMIFS(Imput[[Importe Neto]:[Importe Neto]],Imput[[C. Imp.]:[C. Imp.]],$D335,Imput[[PERIODO Imp.]:[PERIODO Imp.]],DD$9)</f>
        <v>0</v>
      </c>
      <c r="DE335" s="693">
        <f>SUMIFS(Imput[[Importe Neto]:[Importe Neto]],Imput[[C. Imp.]:[C. Imp.]],$D335,Imput[[PERIODO Imp.]:[PERIODO Imp.]],DE$9)</f>
        <v>0</v>
      </c>
      <c r="DF335" s="693">
        <f>SUMIFS(Imput[[Importe Neto]:[Importe Neto]],Imput[[C. Imp.]:[C. Imp.]],$D335,Imput[[PERIODO Imp.]:[PERIODO Imp.]],DF$9)</f>
        <v>0</v>
      </c>
      <c r="DG335" s="693">
        <f>SUMIFS(Imput[[Importe Neto]:[Importe Neto]],Imput[[C. Imp.]:[C. Imp.]],$D335,Imput[[PERIODO Imp.]:[PERIODO Imp.]],DG$9)</f>
        <v>0</v>
      </c>
      <c r="DH335" s="694">
        <f>SUMIFS(Imput[[Importe Neto]:[Importe Neto]],Imput[[C. Imp.]:[C. Imp.]],$D335,Imput[[PERIODO Imp.]:[PERIODO Imp.]],DH$9)</f>
        <v>0</v>
      </c>
    </row>
    <row r="336" spans="1:112" s="649" customFormat="1" hidden="1" outlineLevel="1" x14ac:dyDescent="0.3">
      <c r="A336" s="652" t="str">
        <f t="shared" si="144"/>
        <v/>
      </c>
      <c r="B336" s="652"/>
      <c r="C336" s="685"/>
      <c r="D336" s="686" t="s">
        <v>2400</v>
      </c>
      <c r="E336" s="686"/>
      <c r="F336" s="720"/>
      <c r="G336" s="688"/>
      <c r="H336" s="689"/>
      <c r="I336" s="851" t="str">
        <f t="shared" si="145"/>
        <v/>
      </c>
      <c r="J336" s="850" t="str">
        <f t="shared" si="146"/>
        <v/>
      </c>
      <c r="K336" s="667"/>
      <c r="L336" s="858"/>
      <c r="M336" s="859"/>
      <c r="N336" s="859"/>
      <c r="O336" s="859"/>
      <c r="P336" s="859"/>
      <c r="Q336" s="859"/>
      <c r="R336" s="859"/>
      <c r="S336" s="859"/>
      <c r="T336" s="859"/>
      <c r="U336" s="859"/>
      <c r="V336" s="859"/>
      <c r="W336" s="859"/>
      <c r="X336" s="859"/>
      <c r="Y336" s="859"/>
      <c r="Z336" s="860"/>
      <c r="AA336" s="860"/>
      <c r="AB336" s="860"/>
      <c r="AC336" s="860"/>
      <c r="AD336" s="860"/>
      <c r="AE336" s="860"/>
      <c r="AF336" s="860"/>
      <c r="AG336" s="860"/>
      <c r="AH336" s="860"/>
      <c r="AI336" s="860"/>
      <c r="AJ336" s="860"/>
      <c r="AK336" s="860"/>
      <c r="AL336" s="860"/>
      <c r="AM336" s="860"/>
      <c r="AN336" s="860"/>
      <c r="AO336" s="860"/>
      <c r="AP336" s="860"/>
      <c r="AQ336" s="860"/>
      <c r="AR336" s="860"/>
      <c r="AS336" s="860"/>
      <c r="AT336" s="860"/>
      <c r="AU336" s="860"/>
      <c r="AV336" s="860"/>
      <c r="AW336" s="860"/>
      <c r="AX336" s="860"/>
      <c r="AY336" s="860"/>
      <c r="AZ336" s="860"/>
      <c r="BA336" s="860"/>
      <c r="BB336" s="860"/>
      <c r="BC336" s="860"/>
      <c r="BD336" s="860"/>
      <c r="BE336" s="860"/>
      <c r="BF336" s="860"/>
      <c r="BG336" s="860"/>
      <c r="BH336" s="668"/>
      <c r="BI336" s="667"/>
      <c r="BJ336" s="690">
        <f t="shared" si="147"/>
        <v>0</v>
      </c>
      <c r="BK336" s="691">
        <f t="shared" si="148"/>
        <v>0</v>
      </c>
      <c r="BL336" s="654"/>
      <c r="BM336" s="692">
        <f>SUMIFS(Imput[[Importe Neto]:[Importe Neto]],Imput[[C. Imp.]:[C. Imp.]],$D336,Imput[[PERIODO Imp.]:[PERIODO Imp.]],BM$9)</f>
        <v>0</v>
      </c>
      <c r="BN336" s="693">
        <f>SUMIFS(Imput[[Importe Neto]:[Importe Neto]],Imput[[C. Imp.]:[C. Imp.]],$D336,Imput[[PERIODO Imp.]:[PERIODO Imp.]],BN$9)</f>
        <v>0</v>
      </c>
      <c r="BO336" s="693">
        <f>SUMIFS(Imput[[Importe Neto]:[Importe Neto]],Imput[[C. Imp.]:[C. Imp.]],$D336,Imput[[PERIODO Imp.]:[PERIODO Imp.]],BO$9)</f>
        <v>0</v>
      </c>
      <c r="BP336" s="693">
        <f>SUMIFS(Imput[[Importe Neto]:[Importe Neto]],Imput[[C. Imp.]:[C. Imp.]],$D336,Imput[[PERIODO Imp.]:[PERIODO Imp.]],BP$9)</f>
        <v>0</v>
      </c>
      <c r="BQ336" s="693">
        <f>SUMIFS(Imput[[Importe Neto]:[Importe Neto]],Imput[[C. Imp.]:[C. Imp.]],$D336,Imput[[PERIODO Imp.]:[PERIODO Imp.]],BQ$9)</f>
        <v>0</v>
      </c>
      <c r="BR336" s="693">
        <f>SUMIFS(Imput[[Importe Neto]:[Importe Neto]],Imput[[C. Imp.]:[C. Imp.]],$D336,Imput[[PERIODO Imp.]:[PERIODO Imp.]],BR$9)</f>
        <v>0</v>
      </c>
      <c r="BS336" s="693">
        <f>SUMIFS(Imput[[Importe Neto]:[Importe Neto]],Imput[[C. Imp.]:[C. Imp.]],$D336,Imput[[PERIODO Imp.]:[PERIODO Imp.]],BS$9)</f>
        <v>0</v>
      </c>
      <c r="BT336" s="693">
        <f>SUMIFS(Imput[[Importe Neto]:[Importe Neto]],Imput[[C. Imp.]:[C. Imp.]],$D336,Imput[[PERIODO Imp.]:[PERIODO Imp.]],BT$9)</f>
        <v>0</v>
      </c>
      <c r="BU336" s="693">
        <f>SUMIFS(Imput[[Importe Neto]:[Importe Neto]],Imput[[C. Imp.]:[C. Imp.]],$D336,Imput[[PERIODO Imp.]:[PERIODO Imp.]],BU$9)</f>
        <v>0</v>
      </c>
      <c r="BV336" s="693">
        <f>SUMIFS(Imput[[Importe Neto]:[Importe Neto]],Imput[[C. Imp.]:[C. Imp.]],$D336,Imput[[PERIODO Imp.]:[PERIODO Imp.]],BV$9)</f>
        <v>0</v>
      </c>
      <c r="BW336" s="693">
        <f>SUMIFS(Imput[[Importe Neto]:[Importe Neto]],Imput[[C. Imp.]:[C. Imp.]],$D336,Imput[[PERIODO Imp.]:[PERIODO Imp.]],BW$9)</f>
        <v>0</v>
      </c>
      <c r="BX336" s="693">
        <f>SUMIFS(Imput[[Importe Neto]:[Importe Neto]],Imput[[C. Imp.]:[C. Imp.]],$D336,Imput[[PERIODO Imp.]:[PERIODO Imp.]],BX$9)</f>
        <v>0</v>
      </c>
      <c r="BY336" s="693">
        <f>SUMIFS(Imput[[Importe Neto]:[Importe Neto]],Imput[[C. Imp.]:[C. Imp.]],$D336,Imput[[PERIODO Imp.]:[PERIODO Imp.]],BY$9)</f>
        <v>0</v>
      </c>
      <c r="BZ336" s="693">
        <f>SUMIFS(Imput[[Importe Neto]:[Importe Neto]],Imput[[C. Imp.]:[C. Imp.]],$D336,Imput[[PERIODO Imp.]:[PERIODO Imp.]],BZ$9)</f>
        <v>0</v>
      </c>
      <c r="CA336" s="693">
        <f>SUMIFS(Imput[[Importe Neto]:[Importe Neto]],Imput[[C. Imp.]:[C. Imp.]],$D336,Imput[[PERIODO Imp.]:[PERIODO Imp.]],CA$9)</f>
        <v>0</v>
      </c>
      <c r="CB336" s="693">
        <f>SUMIFS(Imput[[Importe Neto]:[Importe Neto]],Imput[[C. Imp.]:[C. Imp.]],$D336,Imput[[PERIODO Imp.]:[PERIODO Imp.]],CB$9)</f>
        <v>0</v>
      </c>
      <c r="CC336" s="693">
        <f>SUMIFS(Imput[[Importe Neto]:[Importe Neto]],Imput[[C. Imp.]:[C. Imp.]],$D336,Imput[[PERIODO Imp.]:[PERIODO Imp.]],CC$9)</f>
        <v>0</v>
      </c>
      <c r="CD336" s="693">
        <f>SUMIFS(Imput[[Importe Neto]:[Importe Neto]],Imput[[C. Imp.]:[C. Imp.]],$D336,Imput[[PERIODO Imp.]:[PERIODO Imp.]],CD$9)</f>
        <v>0</v>
      </c>
      <c r="CE336" s="693">
        <f>SUMIFS(Imput[[Importe Neto]:[Importe Neto]],Imput[[C. Imp.]:[C. Imp.]],$D336,Imput[[PERIODO Imp.]:[PERIODO Imp.]],CE$9)</f>
        <v>0</v>
      </c>
      <c r="CF336" s="693">
        <f>SUMIFS(Imput[[Importe Neto]:[Importe Neto]],Imput[[C. Imp.]:[C. Imp.]],$D336,Imput[[PERIODO Imp.]:[PERIODO Imp.]],CF$9)</f>
        <v>0</v>
      </c>
      <c r="CG336" s="693">
        <f>SUMIFS(Imput[[Importe Neto]:[Importe Neto]],Imput[[C. Imp.]:[C. Imp.]],$D336,Imput[[PERIODO Imp.]:[PERIODO Imp.]],CG$9)</f>
        <v>0</v>
      </c>
      <c r="CH336" s="693">
        <f>SUMIFS(Imput[[Importe Neto]:[Importe Neto]],Imput[[C. Imp.]:[C. Imp.]],$D336,Imput[[PERIODO Imp.]:[PERIODO Imp.]],CH$9)</f>
        <v>0</v>
      </c>
      <c r="CI336" s="693">
        <f>SUMIFS(Imput[[Importe Neto]:[Importe Neto]],Imput[[C. Imp.]:[C. Imp.]],$D336,Imput[[PERIODO Imp.]:[PERIODO Imp.]],CI$9)</f>
        <v>0</v>
      </c>
      <c r="CJ336" s="693">
        <f>SUMIFS(Imput[[Importe Neto]:[Importe Neto]],Imput[[C. Imp.]:[C. Imp.]],$D336,Imput[[PERIODO Imp.]:[PERIODO Imp.]],CJ$9)</f>
        <v>0</v>
      </c>
      <c r="CK336" s="693">
        <f>SUMIFS(Imput[[Importe Neto]:[Importe Neto]],Imput[[C. Imp.]:[C. Imp.]],$D336,Imput[[PERIODO Imp.]:[PERIODO Imp.]],CK$9)</f>
        <v>0</v>
      </c>
      <c r="CL336" s="693">
        <f>SUMIFS(Imput[[Importe Neto]:[Importe Neto]],Imput[[C. Imp.]:[C. Imp.]],$D336,Imput[[PERIODO Imp.]:[PERIODO Imp.]],CL$9)</f>
        <v>0</v>
      </c>
      <c r="CM336" s="693">
        <f>SUMIFS(Imput[[Importe Neto]:[Importe Neto]],Imput[[C. Imp.]:[C. Imp.]],$D336,Imput[[PERIODO Imp.]:[PERIODO Imp.]],CM$9)</f>
        <v>0</v>
      </c>
      <c r="CN336" s="693">
        <f>SUMIFS(Imput[[Importe Neto]:[Importe Neto]],Imput[[C. Imp.]:[C. Imp.]],$D336,Imput[[PERIODO Imp.]:[PERIODO Imp.]],CN$9)</f>
        <v>0</v>
      </c>
      <c r="CO336" s="693">
        <f>SUMIFS(Imput[[Importe Neto]:[Importe Neto]],Imput[[C. Imp.]:[C. Imp.]],$D336,Imput[[PERIODO Imp.]:[PERIODO Imp.]],CO$9)</f>
        <v>0</v>
      </c>
      <c r="CP336" s="693">
        <f>SUMIFS(Imput[[Importe Neto]:[Importe Neto]],Imput[[C. Imp.]:[C. Imp.]],$D336,Imput[[PERIODO Imp.]:[PERIODO Imp.]],CP$9)</f>
        <v>0</v>
      </c>
      <c r="CQ336" s="693">
        <f>SUMIFS(Imput[[Importe Neto]:[Importe Neto]],Imput[[C. Imp.]:[C. Imp.]],$D336,Imput[[PERIODO Imp.]:[PERIODO Imp.]],CQ$9)</f>
        <v>0</v>
      </c>
      <c r="CR336" s="693">
        <f>SUMIFS(Imput[[Importe Neto]:[Importe Neto]],Imput[[C. Imp.]:[C. Imp.]],$D336,Imput[[PERIODO Imp.]:[PERIODO Imp.]],CR$9)</f>
        <v>0</v>
      </c>
      <c r="CS336" s="693">
        <f>SUMIFS(Imput[[Importe Neto]:[Importe Neto]],Imput[[C. Imp.]:[C. Imp.]],$D336,Imput[[PERIODO Imp.]:[PERIODO Imp.]],CS$9)</f>
        <v>0</v>
      </c>
      <c r="CT336" s="693">
        <f>SUMIFS(Imput[[Importe Neto]:[Importe Neto]],Imput[[C. Imp.]:[C. Imp.]],$D336,Imput[[PERIODO Imp.]:[PERIODO Imp.]],CT$9)</f>
        <v>0</v>
      </c>
      <c r="CU336" s="693">
        <f>SUMIFS(Imput[[Importe Neto]:[Importe Neto]],Imput[[C. Imp.]:[C. Imp.]],$D336,Imput[[PERIODO Imp.]:[PERIODO Imp.]],CU$9)</f>
        <v>0</v>
      </c>
      <c r="CV336" s="693">
        <f>SUMIFS(Imput[[Importe Neto]:[Importe Neto]],Imput[[C. Imp.]:[C. Imp.]],$D336,Imput[[PERIODO Imp.]:[PERIODO Imp.]],CV$9)</f>
        <v>0</v>
      </c>
      <c r="CW336" s="693">
        <f>SUMIFS(Imput[[Importe Neto]:[Importe Neto]],Imput[[C. Imp.]:[C. Imp.]],$D336,Imput[[PERIODO Imp.]:[PERIODO Imp.]],CW$9)</f>
        <v>0</v>
      </c>
      <c r="CX336" s="693">
        <f>SUMIFS(Imput[[Importe Neto]:[Importe Neto]],Imput[[C. Imp.]:[C. Imp.]],$D336,Imput[[PERIODO Imp.]:[PERIODO Imp.]],CX$9)</f>
        <v>0</v>
      </c>
      <c r="CY336" s="693">
        <f>SUMIFS(Imput[[Importe Neto]:[Importe Neto]],Imput[[C. Imp.]:[C. Imp.]],$D336,Imput[[PERIODO Imp.]:[PERIODO Imp.]],CY$9)</f>
        <v>0</v>
      </c>
      <c r="CZ336" s="693">
        <f>SUMIFS(Imput[[Importe Neto]:[Importe Neto]],Imput[[C. Imp.]:[C. Imp.]],$D336,Imput[[PERIODO Imp.]:[PERIODO Imp.]],CZ$9)</f>
        <v>0</v>
      </c>
      <c r="DA336" s="693">
        <f>SUMIFS(Imput[[Importe Neto]:[Importe Neto]],Imput[[C. Imp.]:[C. Imp.]],$D336,Imput[[PERIODO Imp.]:[PERIODO Imp.]],DA$9)</f>
        <v>0</v>
      </c>
      <c r="DB336" s="693">
        <f>SUMIFS(Imput[[Importe Neto]:[Importe Neto]],Imput[[C. Imp.]:[C. Imp.]],$D336,Imput[[PERIODO Imp.]:[PERIODO Imp.]],DB$9)</f>
        <v>0</v>
      </c>
      <c r="DC336" s="693">
        <f>SUMIFS(Imput[[Importe Neto]:[Importe Neto]],Imput[[C. Imp.]:[C. Imp.]],$D336,Imput[[PERIODO Imp.]:[PERIODO Imp.]],DC$9)</f>
        <v>0</v>
      </c>
      <c r="DD336" s="693">
        <f>SUMIFS(Imput[[Importe Neto]:[Importe Neto]],Imput[[C. Imp.]:[C. Imp.]],$D336,Imput[[PERIODO Imp.]:[PERIODO Imp.]],DD$9)</f>
        <v>0</v>
      </c>
      <c r="DE336" s="693">
        <f>SUMIFS(Imput[[Importe Neto]:[Importe Neto]],Imput[[C. Imp.]:[C. Imp.]],$D336,Imput[[PERIODO Imp.]:[PERIODO Imp.]],DE$9)</f>
        <v>0</v>
      </c>
      <c r="DF336" s="693">
        <f>SUMIFS(Imput[[Importe Neto]:[Importe Neto]],Imput[[C. Imp.]:[C. Imp.]],$D336,Imput[[PERIODO Imp.]:[PERIODO Imp.]],DF$9)</f>
        <v>0</v>
      </c>
      <c r="DG336" s="693">
        <f>SUMIFS(Imput[[Importe Neto]:[Importe Neto]],Imput[[C. Imp.]:[C. Imp.]],$D336,Imput[[PERIODO Imp.]:[PERIODO Imp.]],DG$9)</f>
        <v>0</v>
      </c>
      <c r="DH336" s="694">
        <f>SUMIFS(Imput[[Importe Neto]:[Importe Neto]],Imput[[C. Imp.]:[C. Imp.]],$D336,Imput[[PERIODO Imp.]:[PERIODO Imp.]],DH$9)</f>
        <v>0</v>
      </c>
    </row>
    <row r="337" spans="1:112" s="649" customFormat="1" hidden="1" outlineLevel="1" x14ac:dyDescent="0.3">
      <c r="A337" s="652" t="str">
        <f t="shared" si="144"/>
        <v/>
      </c>
      <c r="B337" s="652"/>
      <c r="C337" s="685"/>
      <c r="D337" s="686" t="s">
        <v>2401</v>
      </c>
      <c r="E337" s="686"/>
      <c r="F337" s="720"/>
      <c r="G337" s="688"/>
      <c r="H337" s="689"/>
      <c r="I337" s="851" t="str">
        <f t="shared" si="145"/>
        <v/>
      </c>
      <c r="J337" s="850" t="str">
        <f t="shared" si="146"/>
        <v/>
      </c>
      <c r="K337" s="667"/>
      <c r="L337" s="858"/>
      <c r="M337" s="859"/>
      <c r="N337" s="859"/>
      <c r="O337" s="859"/>
      <c r="P337" s="859"/>
      <c r="Q337" s="859"/>
      <c r="R337" s="859"/>
      <c r="S337" s="859"/>
      <c r="T337" s="859"/>
      <c r="U337" s="859"/>
      <c r="V337" s="859"/>
      <c r="W337" s="859"/>
      <c r="X337" s="859"/>
      <c r="Y337" s="859"/>
      <c r="Z337" s="860"/>
      <c r="AA337" s="860"/>
      <c r="AB337" s="860"/>
      <c r="AC337" s="860"/>
      <c r="AD337" s="860"/>
      <c r="AE337" s="860"/>
      <c r="AF337" s="860"/>
      <c r="AG337" s="860"/>
      <c r="AH337" s="860"/>
      <c r="AI337" s="860"/>
      <c r="AJ337" s="860"/>
      <c r="AK337" s="860"/>
      <c r="AL337" s="860"/>
      <c r="AM337" s="860"/>
      <c r="AN337" s="860"/>
      <c r="AO337" s="860"/>
      <c r="AP337" s="860"/>
      <c r="AQ337" s="860"/>
      <c r="AR337" s="860"/>
      <c r="AS337" s="860"/>
      <c r="AT337" s="860"/>
      <c r="AU337" s="860"/>
      <c r="AV337" s="860"/>
      <c r="AW337" s="860"/>
      <c r="AX337" s="860"/>
      <c r="AY337" s="860"/>
      <c r="AZ337" s="860"/>
      <c r="BA337" s="860"/>
      <c r="BB337" s="860"/>
      <c r="BC337" s="860"/>
      <c r="BD337" s="860"/>
      <c r="BE337" s="860"/>
      <c r="BF337" s="860"/>
      <c r="BG337" s="860"/>
      <c r="BH337" s="668"/>
      <c r="BI337" s="667"/>
      <c r="BJ337" s="690">
        <f t="shared" si="147"/>
        <v>0</v>
      </c>
      <c r="BK337" s="691">
        <f t="shared" si="148"/>
        <v>0</v>
      </c>
      <c r="BL337" s="654"/>
      <c r="BM337" s="692">
        <f>SUMIFS(Imput[[Importe Neto]:[Importe Neto]],Imput[[C. Imp.]:[C. Imp.]],$D337,Imput[[PERIODO Imp.]:[PERIODO Imp.]],BM$9)</f>
        <v>0</v>
      </c>
      <c r="BN337" s="693">
        <f>SUMIFS(Imput[[Importe Neto]:[Importe Neto]],Imput[[C. Imp.]:[C. Imp.]],$D337,Imput[[PERIODO Imp.]:[PERIODO Imp.]],BN$9)</f>
        <v>0</v>
      </c>
      <c r="BO337" s="693">
        <f>SUMIFS(Imput[[Importe Neto]:[Importe Neto]],Imput[[C. Imp.]:[C. Imp.]],$D337,Imput[[PERIODO Imp.]:[PERIODO Imp.]],BO$9)</f>
        <v>0</v>
      </c>
      <c r="BP337" s="693">
        <f>SUMIFS(Imput[[Importe Neto]:[Importe Neto]],Imput[[C. Imp.]:[C. Imp.]],$D337,Imput[[PERIODO Imp.]:[PERIODO Imp.]],BP$9)</f>
        <v>0</v>
      </c>
      <c r="BQ337" s="693">
        <f>SUMIFS(Imput[[Importe Neto]:[Importe Neto]],Imput[[C. Imp.]:[C. Imp.]],$D337,Imput[[PERIODO Imp.]:[PERIODO Imp.]],BQ$9)</f>
        <v>0</v>
      </c>
      <c r="BR337" s="693">
        <f>SUMIFS(Imput[[Importe Neto]:[Importe Neto]],Imput[[C. Imp.]:[C. Imp.]],$D337,Imput[[PERIODO Imp.]:[PERIODO Imp.]],BR$9)</f>
        <v>0</v>
      </c>
      <c r="BS337" s="693">
        <f>SUMIFS(Imput[[Importe Neto]:[Importe Neto]],Imput[[C. Imp.]:[C. Imp.]],$D337,Imput[[PERIODO Imp.]:[PERIODO Imp.]],BS$9)</f>
        <v>0</v>
      </c>
      <c r="BT337" s="693">
        <f>SUMIFS(Imput[[Importe Neto]:[Importe Neto]],Imput[[C. Imp.]:[C. Imp.]],$D337,Imput[[PERIODO Imp.]:[PERIODO Imp.]],BT$9)</f>
        <v>0</v>
      </c>
      <c r="BU337" s="693">
        <f>SUMIFS(Imput[[Importe Neto]:[Importe Neto]],Imput[[C. Imp.]:[C. Imp.]],$D337,Imput[[PERIODO Imp.]:[PERIODO Imp.]],BU$9)</f>
        <v>0</v>
      </c>
      <c r="BV337" s="693">
        <f>SUMIFS(Imput[[Importe Neto]:[Importe Neto]],Imput[[C. Imp.]:[C. Imp.]],$D337,Imput[[PERIODO Imp.]:[PERIODO Imp.]],BV$9)</f>
        <v>0</v>
      </c>
      <c r="BW337" s="693">
        <f>SUMIFS(Imput[[Importe Neto]:[Importe Neto]],Imput[[C. Imp.]:[C. Imp.]],$D337,Imput[[PERIODO Imp.]:[PERIODO Imp.]],BW$9)</f>
        <v>0</v>
      </c>
      <c r="BX337" s="693">
        <f>SUMIFS(Imput[[Importe Neto]:[Importe Neto]],Imput[[C. Imp.]:[C. Imp.]],$D337,Imput[[PERIODO Imp.]:[PERIODO Imp.]],BX$9)</f>
        <v>0</v>
      </c>
      <c r="BY337" s="693">
        <f>SUMIFS(Imput[[Importe Neto]:[Importe Neto]],Imput[[C. Imp.]:[C. Imp.]],$D337,Imput[[PERIODO Imp.]:[PERIODO Imp.]],BY$9)</f>
        <v>0</v>
      </c>
      <c r="BZ337" s="693">
        <f>SUMIFS(Imput[[Importe Neto]:[Importe Neto]],Imput[[C. Imp.]:[C. Imp.]],$D337,Imput[[PERIODO Imp.]:[PERIODO Imp.]],BZ$9)</f>
        <v>0</v>
      </c>
      <c r="CA337" s="693">
        <f>SUMIFS(Imput[[Importe Neto]:[Importe Neto]],Imput[[C. Imp.]:[C. Imp.]],$D337,Imput[[PERIODO Imp.]:[PERIODO Imp.]],CA$9)</f>
        <v>0</v>
      </c>
      <c r="CB337" s="693">
        <f>SUMIFS(Imput[[Importe Neto]:[Importe Neto]],Imput[[C. Imp.]:[C. Imp.]],$D337,Imput[[PERIODO Imp.]:[PERIODO Imp.]],CB$9)</f>
        <v>0</v>
      </c>
      <c r="CC337" s="693">
        <f>SUMIFS(Imput[[Importe Neto]:[Importe Neto]],Imput[[C. Imp.]:[C. Imp.]],$D337,Imput[[PERIODO Imp.]:[PERIODO Imp.]],CC$9)</f>
        <v>0</v>
      </c>
      <c r="CD337" s="693">
        <f>SUMIFS(Imput[[Importe Neto]:[Importe Neto]],Imput[[C. Imp.]:[C. Imp.]],$D337,Imput[[PERIODO Imp.]:[PERIODO Imp.]],CD$9)</f>
        <v>0</v>
      </c>
      <c r="CE337" s="693">
        <f>SUMIFS(Imput[[Importe Neto]:[Importe Neto]],Imput[[C. Imp.]:[C. Imp.]],$D337,Imput[[PERIODO Imp.]:[PERIODO Imp.]],CE$9)</f>
        <v>0</v>
      </c>
      <c r="CF337" s="693">
        <f>SUMIFS(Imput[[Importe Neto]:[Importe Neto]],Imput[[C. Imp.]:[C. Imp.]],$D337,Imput[[PERIODO Imp.]:[PERIODO Imp.]],CF$9)</f>
        <v>0</v>
      </c>
      <c r="CG337" s="693">
        <f>SUMIFS(Imput[[Importe Neto]:[Importe Neto]],Imput[[C. Imp.]:[C. Imp.]],$D337,Imput[[PERIODO Imp.]:[PERIODO Imp.]],CG$9)</f>
        <v>0</v>
      </c>
      <c r="CH337" s="693">
        <f>SUMIFS(Imput[[Importe Neto]:[Importe Neto]],Imput[[C. Imp.]:[C. Imp.]],$D337,Imput[[PERIODO Imp.]:[PERIODO Imp.]],CH$9)</f>
        <v>0</v>
      </c>
      <c r="CI337" s="693">
        <f>SUMIFS(Imput[[Importe Neto]:[Importe Neto]],Imput[[C. Imp.]:[C. Imp.]],$D337,Imput[[PERIODO Imp.]:[PERIODO Imp.]],CI$9)</f>
        <v>0</v>
      </c>
      <c r="CJ337" s="693">
        <f>SUMIFS(Imput[[Importe Neto]:[Importe Neto]],Imput[[C. Imp.]:[C. Imp.]],$D337,Imput[[PERIODO Imp.]:[PERIODO Imp.]],CJ$9)</f>
        <v>0</v>
      </c>
      <c r="CK337" s="693">
        <f>SUMIFS(Imput[[Importe Neto]:[Importe Neto]],Imput[[C. Imp.]:[C. Imp.]],$D337,Imput[[PERIODO Imp.]:[PERIODO Imp.]],CK$9)</f>
        <v>0</v>
      </c>
      <c r="CL337" s="693">
        <f>SUMIFS(Imput[[Importe Neto]:[Importe Neto]],Imput[[C. Imp.]:[C. Imp.]],$D337,Imput[[PERIODO Imp.]:[PERIODO Imp.]],CL$9)</f>
        <v>0</v>
      </c>
      <c r="CM337" s="693">
        <f>SUMIFS(Imput[[Importe Neto]:[Importe Neto]],Imput[[C. Imp.]:[C. Imp.]],$D337,Imput[[PERIODO Imp.]:[PERIODO Imp.]],CM$9)</f>
        <v>0</v>
      </c>
      <c r="CN337" s="693">
        <f>SUMIFS(Imput[[Importe Neto]:[Importe Neto]],Imput[[C. Imp.]:[C. Imp.]],$D337,Imput[[PERIODO Imp.]:[PERIODO Imp.]],CN$9)</f>
        <v>0</v>
      </c>
      <c r="CO337" s="693">
        <f>SUMIFS(Imput[[Importe Neto]:[Importe Neto]],Imput[[C. Imp.]:[C. Imp.]],$D337,Imput[[PERIODO Imp.]:[PERIODO Imp.]],CO$9)</f>
        <v>0</v>
      </c>
      <c r="CP337" s="693">
        <f>SUMIFS(Imput[[Importe Neto]:[Importe Neto]],Imput[[C. Imp.]:[C. Imp.]],$D337,Imput[[PERIODO Imp.]:[PERIODO Imp.]],CP$9)</f>
        <v>0</v>
      </c>
      <c r="CQ337" s="693">
        <f>SUMIFS(Imput[[Importe Neto]:[Importe Neto]],Imput[[C. Imp.]:[C. Imp.]],$D337,Imput[[PERIODO Imp.]:[PERIODO Imp.]],CQ$9)</f>
        <v>0</v>
      </c>
      <c r="CR337" s="693">
        <f>SUMIFS(Imput[[Importe Neto]:[Importe Neto]],Imput[[C. Imp.]:[C. Imp.]],$D337,Imput[[PERIODO Imp.]:[PERIODO Imp.]],CR$9)</f>
        <v>0</v>
      </c>
      <c r="CS337" s="693">
        <f>SUMIFS(Imput[[Importe Neto]:[Importe Neto]],Imput[[C. Imp.]:[C. Imp.]],$D337,Imput[[PERIODO Imp.]:[PERIODO Imp.]],CS$9)</f>
        <v>0</v>
      </c>
      <c r="CT337" s="693">
        <f>SUMIFS(Imput[[Importe Neto]:[Importe Neto]],Imput[[C. Imp.]:[C. Imp.]],$D337,Imput[[PERIODO Imp.]:[PERIODO Imp.]],CT$9)</f>
        <v>0</v>
      </c>
      <c r="CU337" s="693">
        <f>SUMIFS(Imput[[Importe Neto]:[Importe Neto]],Imput[[C. Imp.]:[C. Imp.]],$D337,Imput[[PERIODO Imp.]:[PERIODO Imp.]],CU$9)</f>
        <v>0</v>
      </c>
      <c r="CV337" s="693">
        <f>SUMIFS(Imput[[Importe Neto]:[Importe Neto]],Imput[[C. Imp.]:[C. Imp.]],$D337,Imput[[PERIODO Imp.]:[PERIODO Imp.]],CV$9)</f>
        <v>0</v>
      </c>
      <c r="CW337" s="693">
        <f>SUMIFS(Imput[[Importe Neto]:[Importe Neto]],Imput[[C. Imp.]:[C. Imp.]],$D337,Imput[[PERIODO Imp.]:[PERIODO Imp.]],CW$9)</f>
        <v>0</v>
      </c>
      <c r="CX337" s="693">
        <f>SUMIFS(Imput[[Importe Neto]:[Importe Neto]],Imput[[C. Imp.]:[C. Imp.]],$D337,Imput[[PERIODO Imp.]:[PERIODO Imp.]],CX$9)</f>
        <v>0</v>
      </c>
      <c r="CY337" s="693">
        <f>SUMIFS(Imput[[Importe Neto]:[Importe Neto]],Imput[[C. Imp.]:[C. Imp.]],$D337,Imput[[PERIODO Imp.]:[PERIODO Imp.]],CY$9)</f>
        <v>0</v>
      </c>
      <c r="CZ337" s="693">
        <f>SUMIFS(Imput[[Importe Neto]:[Importe Neto]],Imput[[C. Imp.]:[C. Imp.]],$D337,Imput[[PERIODO Imp.]:[PERIODO Imp.]],CZ$9)</f>
        <v>0</v>
      </c>
      <c r="DA337" s="693">
        <f>SUMIFS(Imput[[Importe Neto]:[Importe Neto]],Imput[[C. Imp.]:[C. Imp.]],$D337,Imput[[PERIODO Imp.]:[PERIODO Imp.]],DA$9)</f>
        <v>0</v>
      </c>
      <c r="DB337" s="693">
        <f>SUMIFS(Imput[[Importe Neto]:[Importe Neto]],Imput[[C. Imp.]:[C. Imp.]],$D337,Imput[[PERIODO Imp.]:[PERIODO Imp.]],DB$9)</f>
        <v>0</v>
      </c>
      <c r="DC337" s="693">
        <f>SUMIFS(Imput[[Importe Neto]:[Importe Neto]],Imput[[C. Imp.]:[C. Imp.]],$D337,Imput[[PERIODO Imp.]:[PERIODO Imp.]],DC$9)</f>
        <v>0</v>
      </c>
      <c r="DD337" s="693">
        <f>SUMIFS(Imput[[Importe Neto]:[Importe Neto]],Imput[[C. Imp.]:[C. Imp.]],$D337,Imput[[PERIODO Imp.]:[PERIODO Imp.]],DD$9)</f>
        <v>0</v>
      </c>
      <c r="DE337" s="693">
        <f>SUMIFS(Imput[[Importe Neto]:[Importe Neto]],Imput[[C. Imp.]:[C. Imp.]],$D337,Imput[[PERIODO Imp.]:[PERIODO Imp.]],DE$9)</f>
        <v>0</v>
      </c>
      <c r="DF337" s="693">
        <f>SUMIFS(Imput[[Importe Neto]:[Importe Neto]],Imput[[C. Imp.]:[C. Imp.]],$D337,Imput[[PERIODO Imp.]:[PERIODO Imp.]],DF$9)</f>
        <v>0</v>
      </c>
      <c r="DG337" s="693">
        <f>SUMIFS(Imput[[Importe Neto]:[Importe Neto]],Imput[[C. Imp.]:[C. Imp.]],$D337,Imput[[PERIODO Imp.]:[PERIODO Imp.]],DG$9)</f>
        <v>0</v>
      </c>
      <c r="DH337" s="694">
        <f>SUMIFS(Imput[[Importe Neto]:[Importe Neto]],Imput[[C. Imp.]:[C. Imp.]],$D337,Imput[[PERIODO Imp.]:[PERIODO Imp.]],DH$9)</f>
        <v>0</v>
      </c>
    </row>
    <row r="338" spans="1:112" s="649" customFormat="1" hidden="1" outlineLevel="1" x14ac:dyDescent="0.3">
      <c r="A338" s="652" t="str">
        <f t="shared" si="144"/>
        <v/>
      </c>
      <c r="B338" s="652"/>
      <c r="C338" s="685"/>
      <c r="D338" s="686" t="s">
        <v>2402</v>
      </c>
      <c r="E338" s="686"/>
      <c r="F338" s="720"/>
      <c r="G338" s="688"/>
      <c r="H338" s="689"/>
      <c r="I338" s="851" t="str">
        <f t="shared" si="145"/>
        <v/>
      </c>
      <c r="J338" s="850" t="str">
        <f t="shared" si="146"/>
        <v/>
      </c>
      <c r="K338" s="667"/>
      <c r="L338" s="858"/>
      <c r="M338" s="859"/>
      <c r="N338" s="859"/>
      <c r="O338" s="859"/>
      <c r="P338" s="859"/>
      <c r="Q338" s="859"/>
      <c r="R338" s="859"/>
      <c r="S338" s="859"/>
      <c r="T338" s="859"/>
      <c r="U338" s="859"/>
      <c r="V338" s="859"/>
      <c r="W338" s="859"/>
      <c r="X338" s="859"/>
      <c r="Y338" s="859"/>
      <c r="Z338" s="860"/>
      <c r="AA338" s="860"/>
      <c r="AB338" s="860"/>
      <c r="AC338" s="860"/>
      <c r="AD338" s="860"/>
      <c r="AE338" s="860"/>
      <c r="AF338" s="860"/>
      <c r="AG338" s="860"/>
      <c r="AH338" s="860"/>
      <c r="AI338" s="860"/>
      <c r="AJ338" s="860"/>
      <c r="AK338" s="860"/>
      <c r="AL338" s="860"/>
      <c r="AM338" s="860"/>
      <c r="AN338" s="860"/>
      <c r="AO338" s="860"/>
      <c r="AP338" s="860"/>
      <c r="AQ338" s="860"/>
      <c r="AR338" s="860"/>
      <c r="AS338" s="860"/>
      <c r="AT338" s="860"/>
      <c r="AU338" s="860"/>
      <c r="AV338" s="860"/>
      <c r="AW338" s="860"/>
      <c r="AX338" s="860"/>
      <c r="AY338" s="860"/>
      <c r="AZ338" s="860"/>
      <c r="BA338" s="860"/>
      <c r="BB338" s="860"/>
      <c r="BC338" s="860"/>
      <c r="BD338" s="860"/>
      <c r="BE338" s="860"/>
      <c r="BF338" s="860"/>
      <c r="BG338" s="860"/>
      <c r="BH338" s="668"/>
      <c r="BI338" s="667"/>
      <c r="BJ338" s="690">
        <f t="shared" si="147"/>
        <v>0</v>
      </c>
      <c r="BK338" s="691">
        <f t="shared" si="148"/>
        <v>0</v>
      </c>
      <c r="BL338" s="654"/>
      <c r="BM338" s="692">
        <f>SUMIFS(Imput[[Importe Neto]:[Importe Neto]],Imput[[C. Imp.]:[C. Imp.]],$D338,Imput[[PERIODO Imp.]:[PERIODO Imp.]],BM$9)</f>
        <v>0</v>
      </c>
      <c r="BN338" s="693">
        <f>SUMIFS(Imput[[Importe Neto]:[Importe Neto]],Imput[[C. Imp.]:[C. Imp.]],$D338,Imput[[PERIODO Imp.]:[PERIODO Imp.]],BN$9)</f>
        <v>0</v>
      </c>
      <c r="BO338" s="693">
        <f>SUMIFS(Imput[[Importe Neto]:[Importe Neto]],Imput[[C. Imp.]:[C. Imp.]],$D338,Imput[[PERIODO Imp.]:[PERIODO Imp.]],BO$9)</f>
        <v>0</v>
      </c>
      <c r="BP338" s="693">
        <f>SUMIFS(Imput[[Importe Neto]:[Importe Neto]],Imput[[C. Imp.]:[C. Imp.]],$D338,Imput[[PERIODO Imp.]:[PERIODO Imp.]],BP$9)</f>
        <v>0</v>
      </c>
      <c r="BQ338" s="693">
        <f>SUMIFS(Imput[[Importe Neto]:[Importe Neto]],Imput[[C. Imp.]:[C. Imp.]],$D338,Imput[[PERIODO Imp.]:[PERIODO Imp.]],BQ$9)</f>
        <v>0</v>
      </c>
      <c r="BR338" s="693">
        <f>SUMIFS(Imput[[Importe Neto]:[Importe Neto]],Imput[[C. Imp.]:[C. Imp.]],$D338,Imput[[PERIODO Imp.]:[PERIODO Imp.]],BR$9)</f>
        <v>0</v>
      </c>
      <c r="BS338" s="693">
        <f>SUMIFS(Imput[[Importe Neto]:[Importe Neto]],Imput[[C. Imp.]:[C. Imp.]],$D338,Imput[[PERIODO Imp.]:[PERIODO Imp.]],BS$9)</f>
        <v>0</v>
      </c>
      <c r="BT338" s="693">
        <f>SUMIFS(Imput[[Importe Neto]:[Importe Neto]],Imput[[C. Imp.]:[C. Imp.]],$D338,Imput[[PERIODO Imp.]:[PERIODO Imp.]],BT$9)</f>
        <v>0</v>
      </c>
      <c r="BU338" s="693">
        <f>SUMIFS(Imput[[Importe Neto]:[Importe Neto]],Imput[[C. Imp.]:[C. Imp.]],$D338,Imput[[PERIODO Imp.]:[PERIODO Imp.]],BU$9)</f>
        <v>0</v>
      </c>
      <c r="BV338" s="693">
        <f>SUMIFS(Imput[[Importe Neto]:[Importe Neto]],Imput[[C. Imp.]:[C. Imp.]],$D338,Imput[[PERIODO Imp.]:[PERIODO Imp.]],BV$9)</f>
        <v>0</v>
      </c>
      <c r="BW338" s="693">
        <f>SUMIFS(Imput[[Importe Neto]:[Importe Neto]],Imput[[C. Imp.]:[C. Imp.]],$D338,Imput[[PERIODO Imp.]:[PERIODO Imp.]],BW$9)</f>
        <v>0</v>
      </c>
      <c r="BX338" s="693">
        <f>SUMIFS(Imput[[Importe Neto]:[Importe Neto]],Imput[[C. Imp.]:[C. Imp.]],$D338,Imput[[PERIODO Imp.]:[PERIODO Imp.]],BX$9)</f>
        <v>0</v>
      </c>
      <c r="BY338" s="693">
        <f>SUMIFS(Imput[[Importe Neto]:[Importe Neto]],Imput[[C. Imp.]:[C. Imp.]],$D338,Imput[[PERIODO Imp.]:[PERIODO Imp.]],BY$9)</f>
        <v>0</v>
      </c>
      <c r="BZ338" s="693">
        <f>SUMIFS(Imput[[Importe Neto]:[Importe Neto]],Imput[[C. Imp.]:[C. Imp.]],$D338,Imput[[PERIODO Imp.]:[PERIODO Imp.]],BZ$9)</f>
        <v>0</v>
      </c>
      <c r="CA338" s="693">
        <f>SUMIFS(Imput[[Importe Neto]:[Importe Neto]],Imput[[C. Imp.]:[C. Imp.]],$D338,Imput[[PERIODO Imp.]:[PERIODO Imp.]],CA$9)</f>
        <v>0</v>
      </c>
      <c r="CB338" s="693">
        <f>SUMIFS(Imput[[Importe Neto]:[Importe Neto]],Imput[[C. Imp.]:[C. Imp.]],$D338,Imput[[PERIODO Imp.]:[PERIODO Imp.]],CB$9)</f>
        <v>0</v>
      </c>
      <c r="CC338" s="693">
        <f>SUMIFS(Imput[[Importe Neto]:[Importe Neto]],Imput[[C. Imp.]:[C. Imp.]],$D338,Imput[[PERIODO Imp.]:[PERIODO Imp.]],CC$9)</f>
        <v>0</v>
      </c>
      <c r="CD338" s="693">
        <f>SUMIFS(Imput[[Importe Neto]:[Importe Neto]],Imput[[C. Imp.]:[C. Imp.]],$D338,Imput[[PERIODO Imp.]:[PERIODO Imp.]],CD$9)</f>
        <v>0</v>
      </c>
      <c r="CE338" s="693">
        <f>SUMIFS(Imput[[Importe Neto]:[Importe Neto]],Imput[[C. Imp.]:[C. Imp.]],$D338,Imput[[PERIODO Imp.]:[PERIODO Imp.]],CE$9)</f>
        <v>0</v>
      </c>
      <c r="CF338" s="693">
        <f>SUMIFS(Imput[[Importe Neto]:[Importe Neto]],Imput[[C. Imp.]:[C. Imp.]],$D338,Imput[[PERIODO Imp.]:[PERIODO Imp.]],CF$9)</f>
        <v>0</v>
      </c>
      <c r="CG338" s="693">
        <f>SUMIFS(Imput[[Importe Neto]:[Importe Neto]],Imput[[C. Imp.]:[C. Imp.]],$D338,Imput[[PERIODO Imp.]:[PERIODO Imp.]],CG$9)</f>
        <v>0</v>
      </c>
      <c r="CH338" s="693">
        <f>SUMIFS(Imput[[Importe Neto]:[Importe Neto]],Imput[[C. Imp.]:[C. Imp.]],$D338,Imput[[PERIODO Imp.]:[PERIODO Imp.]],CH$9)</f>
        <v>0</v>
      </c>
      <c r="CI338" s="693">
        <f>SUMIFS(Imput[[Importe Neto]:[Importe Neto]],Imput[[C. Imp.]:[C. Imp.]],$D338,Imput[[PERIODO Imp.]:[PERIODO Imp.]],CI$9)</f>
        <v>0</v>
      </c>
      <c r="CJ338" s="693">
        <f>SUMIFS(Imput[[Importe Neto]:[Importe Neto]],Imput[[C. Imp.]:[C. Imp.]],$D338,Imput[[PERIODO Imp.]:[PERIODO Imp.]],CJ$9)</f>
        <v>0</v>
      </c>
      <c r="CK338" s="693">
        <f>SUMIFS(Imput[[Importe Neto]:[Importe Neto]],Imput[[C. Imp.]:[C. Imp.]],$D338,Imput[[PERIODO Imp.]:[PERIODO Imp.]],CK$9)</f>
        <v>0</v>
      </c>
      <c r="CL338" s="693">
        <f>SUMIFS(Imput[[Importe Neto]:[Importe Neto]],Imput[[C. Imp.]:[C. Imp.]],$D338,Imput[[PERIODO Imp.]:[PERIODO Imp.]],CL$9)</f>
        <v>0</v>
      </c>
      <c r="CM338" s="693">
        <f>SUMIFS(Imput[[Importe Neto]:[Importe Neto]],Imput[[C. Imp.]:[C. Imp.]],$D338,Imput[[PERIODO Imp.]:[PERIODO Imp.]],CM$9)</f>
        <v>0</v>
      </c>
      <c r="CN338" s="693">
        <f>SUMIFS(Imput[[Importe Neto]:[Importe Neto]],Imput[[C. Imp.]:[C. Imp.]],$D338,Imput[[PERIODO Imp.]:[PERIODO Imp.]],CN$9)</f>
        <v>0</v>
      </c>
      <c r="CO338" s="693">
        <f>SUMIFS(Imput[[Importe Neto]:[Importe Neto]],Imput[[C. Imp.]:[C. Imp.]],$D338,Imput[[PERIODO Imp.]:[PERIODO Imp.]],CO$9)</f>
        <v>0</v>
      </c>
      <c r="CP338" s="693">
        <f>SUMIFS(Imput[[Importe Neto]:[Importe Neto]],Imput[[C. Imp.]:[C. Imp.]],$D338,Imput[[PERIODO Imp.]:[PERIODO Imp.]],CP$9)</f>
        <v>0</v>
      </c>
      <c r="CQ338" s="693">
        <f>SUMIFS(Imput[[Importe Neto]:[Importe Neto]],Imput[[C. Imp.]:[C. Imp.]],$D338,Imput[[PERIODO Imp.]:[PERIODO Imp.]],CQ$9)</f>
        <v>0</v>
      </c>
      <c r="CR338" s="693">
        <f>SUMIFS(Imput[[Importe Neto]:[Importe Neto]],Imput[[C. Imp.]:[C. Imp.]],$D338,Imput[[PERIODO Imp.]:[PERIODO Imp.]],CR$9)</f>
        <v>0</v>
      </c>
      <c r="CS338" s="693">
        <f>SUMIFS(Imput[[Importe Neto]:[Importe Neto]],Imput[[C. Imp.]:[C. Imp.]],$D338,Imput[[PERIODO Imp.]:[PERIODO Imp.]],CS$9)</f>
        <v>0</v>
      </c>
      <c r="CT338" s="693">
        <f>SUMIFS(Imput[[Importe Neto]:[Importe Neto]],Imput[[C. Imp.]:[C. Imp.]],$D338,Imput[[PERIODO Imp.]:[PERIODO Imp.]],CT$9)</f>
        <v>0</v>
      </c>
      <c r="CU338" s="693">
        <f>SUMIFS(Imput[[Importe Neto]:[Importe Neto]],Imput[[C. Imp.]:[C. Imp.]],$D338,Imput[[PERIODO Imp.]:[PERIODO Imp.]],CU$9)</f>
        <v>0</v>
      </c>
      <c r="CV338" s="693">
        <f>SUMIFS(Imput[[Importe Neto]:[Importe Neto]],Imput[[C. Imp.]:[C. Imp.]],$D338,Imput[[PERIODO Imp.]:[PERIODO Imp.]],CV$9)</f>
        <v>0</v>
      </c>
      <c r="CW338" s="693">
        <f>SUMIFS(Imput[[Importe Neto]:[Importe Neto]],Imput[[C. Imp.]:[C. Imp.]],$D338,Imput[[PERIODO Imp.]:[PERIODO Imp.]],CW$9)</f>
        <v>0</v>
      </c>
      <c r="CX338" s="693">
        <f>SUMIFS(Imput[[Importe Neto]:[Importe Neto]],Imput[[C. Imp.]:[C. Imp.]],$D338,Imput[[PERIODO Imp.]:[PERIODO Imp.]],CX$9)</f>
        <v>0</v>
      </c>
      <c r="CY338" s="693">
        <f>SUMIFS(Imput[[Importe Neto]:[Importe Neto]],Imput[[C. Imp.]:[C. Imp.]],$D338,Imput[[PERIODO Imp.]:[PERIODO Imp.]],CY$9)</f>
        <v>0</v>
      </c>
      <c r="CZ338" s="693">
        <f>SUMIFS(Imput[[Importe Neto]:[Importe Neto]],Imput[[C. Imp.]:[C. Imp.]],$D338,Imput[[PERIODO Imp.]:[PERIODO Imp.]],CZ$9)</f>
        <v>0</v>
      </c>
      <c r="DA338" s="693">
        <f>SUMIFS(Imput[[Importe Neto]:[Importe Neto]],Imput[[C. Imp.]:[C. Imp.]],$D338,Imput[[PERIODO Imp.]:[PERIODO Imp.]],DA$9)</f>
        <v>0</v>
      </c>
      <c r="DB338" s="693">
        <f>SUMIFS(Imput[[Importe Neto]:[Importe Neto]],Imput[[C. Imp.]:[C. Imp.]],$D338,Imput[[PERIODO Imp.]:[PERIODO Imp.]],DB$9)</f>
        <v>0</v>
      </c>
      <c r="DC338" s="693">
        <f>SUMIFS(Imput[[Importe Neto]:[Importe Neto]],Imput[[C. Imp.]:[C. Imp.]],$D338,Imput[[PERIODO Imp.]:[PERIODO Imp.]],DC$9)</f>
        <v>0</v>
      </c>
      <c r="DD338" s="693">
        <f>SUMIFS(Imput[[Importe Neto]:[Importe Neto]],Imput[[C. Imp.]:[C. Imp.]],$D338,Imput[[PERIODO Imp.]:[PERIODO Imp.]],DD$9)</f>
        <v>0</v>
      </c>
      <c r="DE338" s="693">
        <f>SUMIFS(Imput[[Importe Neto]:[Importe Neto]],Imput[[C. Imp.]:[C. Imp.]],$D338,Imput[[PERIODO Imp.]:[PERIODO Imp.]],DE$9)</f>
        <v>0</v>
      </c>
      <c r="DF338" s="693">
        <f>SUMIFS(Imput[[Importe Neto]:[Importe Neto]],Imput[[C. Imp.]:[C. Imp.]],$D338,Imput[[PERIODO Imp.]:[PERIODO Imp.]],DF$9)</f>
        <v>0</v>
      </c>
      <c r="DG338" s="693">
        <f>SUMIFS(Imput[[Importe Neto]:[Importe Neto]],Imput[[C. Imp.]:[C. Imp.]],$D338,Imput[[PERIODO Imp.]:[PERIODO Imp.]],DG$9)</f>
        <v>0</v>
      </c>
      <c r="DH338" s="694">
        <f>SUMIFS(Imput[[Importe Neto]:[Importe Neto]],Imput[[C. Imp.]:[C. Imp.]],$D338,Imput[[PERIODO Imp.]:[PERIODO Imp.]],DH$9)</f>
        <v>0</v>
      </c>
    </row>
    <row r="339" spans="1:112" s="649" customFormat="1" hidden="1" outlineLevel="1" x14ac:dyDescent="0.3">
      <c r="A339" s="652" t="str">
        <f t="shared" si="144"/>
        <v/>
      </c>
      <c r="B339" s="652"/>
      <c r="C339" s="685"/>
      <c r="D339" s="686" t="s">
        <v>2403</v>
      </c>
      <c r="E339" s="686"/>
      <c r="F339" s="720"/>
      <c r="G339" s="688"/>
      <c r="H339" s="689"/>
      <c r="I339" s="851" t="str">
        <f t="shared" ref="I339:I355" si="149">IF(E339&gt;0,$J$5,"")</f>
        <v/>
      </c>
      <c r="J339" s="850" t="str">
        <f t="shared" si="146"/>
        <v/>
      </c>
      <c r="K339" s="667"/>
      <c r="L339" s="858"/>
      <c r="M339" s="859"/>
      <c r="N339" s="859"/>
      <c r="O339" s="859"/>
      <c r="P339" s="859"/>
      <c r="Q339" s="859"/>
      <c r="R339" s="859"/>
      <c r="S339" s="859"/>
      <c r="T339" s="859"/>
      <c r="U339" s="859"/>
      <c r="V339" s="859"/>
      <c r="W339" s="859"/>
      <c r="X339" s="859"/>
      <c r="Y339" s="859"/>
      <c r="Z339" s="860"/>
      <c r="AA339" s="860"/>
      <c r="AB339" s="860"/>
      <c r="AC339" s="860"/>
      <c r="AD339" s="860"/>
      <c r="AE339" s="860"/>
      <c r="AF339" s="860"/>
      <c r="AG339" s="860"/>
      <c r="AH339" s="860"/>
      <c r="AI339" s="860"/>
      <c r="AJ339" s="860"/>
      <c r="AK339" s="860"/>
      <c r="AL339" s="860"/>
      <c r="AM339" s="860"/>
      <c r="AN339" s="860"/>
      <c r="AO339" s="860"/>
      <c r="AP339" s="860"/>
      <c r="AQ339" s="860"/>
      <c r="AR339" s="860"/>
      <c r="AS339" s="860"/>
      <c r="AT339" s="860"/>
      <c r="AU339" s="860"/>
      <c r="AV339" s="860"/>
      <c r="AW339" s="860"/>
      <c r="AX339" s="860"/>
      <c r="AY339" s="860"/>
      <c r="AZ339" s="860"/>
      <c r="BA339" s="860"/>
      <c r="BB339" s="860"/>
      <c r="BC339" s="860"/>
      <c r="BD339" s="860"/>
      <c r="BE339" s="860"/>
      <c r="BF339" s="860"/>
      <c r="BG339" s="860"/>
      <c r="BH339" s="668"/>
      <c r="BI339" s="667"/>
      <c r="BJ339" s="690">
        <f t="shared" ref="BJ339:BJ355" si="150">IFERROR(BK339/J339,0)</f>
        <v>0</v>
      </c>
      <c r="BK339" s="691">
        <f t="shared" ref="BK339:BK355" si="151">SUM(BM339:DH339)</f>
        <v>0</v>
      </c>
      <c r="BL339" s="654"/>
      <c r="BM339" s="692">
        <f>SUMIFS(Imput[[Importe Neto]:[Importe Neto]],Imput[[C. Imp.]:[C. Imp.]],$D339,Imput[[PERIODO Imp.]:[PERIODO Imp.]],BM$9)</f>
        <v>0</v>
      </c>
      <c r="BN339" s="693">
        <f>SUMIFS(Imput[[Importe Neto]:[Importe Neto]],Imput[[C. Imp.]:[C. Imp.]],$D339,Imput[[PERIODO Imp.]:[PERIODO Imp.]],BN$9)</f>
        <v>0</v>
      </c>
      <c r="BO339" s="693">
        <f>SUMIFS(Imput[[Importe Neto]:[Importe Neto]],Imput[[C. Imp.]:[C. Imp.]],$D339,Imput[[PERIODO Imp.]:[PERIODO Imp.]],BO$9)</f>
        <v>0</v>
      </c>
      <c r="BP339" s="693">
        <f>SUMIFS(Imput[[Importe Neto]:[Importe Neto]],Imput[[C. Imp.]:[C. Imp.]],$D339,Imput[[PERIODO Imp.]:[PERIODO Imp.]],BP$9)</f>
        <v>0</v>
      </c>
      <c r="BQ339" s="693">
        <f>SUMIFS(Imput[[Importe Neto]:[Importe Neto]],Imput[[C. Imp.]:[C. Imp.]],$D339,Imput[[PERIODO Imp.]:[PERIODO Imp.]],BQ$9)</f>
        <v>0</v>
      </c>
      <c r="BR339" s="693">
        <f>SUMIFS(Imput[[Importe Neto]:[Importe Neto]],Imput[[C. Imp.]:[C. Imp.]],$D339,Imput[[PERIODO Imp.]:[PERIODO Imp.]],BR$9)</f>
        <v>0</v>
      </c>
      <c r="BS339" s="693">
        <f>SUMIFS(Imput[[Importe Neto]:[Importe Neto]],Imput[[C. Imp.]:[C. Imp.]],$D339,Imput[[PERIODO Imp.]:[PERIODO Imp.]],BS$9)</f>
        <v>0</v>
      </c>
      <c r="BT339" s="693">
        <f>SUMIFS(Imput[[Importe Neto]:[Importe Neto]],Imput[[C. Imp.]:[C. Imp.]],$D339,Imput[[PERIODO Imp.]:[PERIODO Imp.]],BT$9)</f>
        <v>0</v>
      </c>
      <c r="BU339" s="693">
        <f>SUMIFS(Imput[[Importe Neto]:[Importe Neto]],Imput[[C. Imp.]:[C. Imp.]],$D339,Imput[[PERIODO Imp.]:[PERIODO Imp.]],BU$9)</f>
        <v>0</v>
      </c>
      <c r="BV339" s="693">
        <f>SUMIFS(Imput[[Importe Neto]:[Importe Neto]],Imput[[C. Imp.]:[C. Imp.]],$D339,Imput[[PERIODO Imp.]:[PERIODO Imp.]],BV$9)</f>
        <v>0</v>
      </c>
      <c r="BW339" s="693">
        <f>SUMIFS(Imput[[Importe Neto]:[Importe Neto]],Imput[[C. Imp.]:[C. Imp.]],$D339,Imput[[PERIODO Imp.]:[PERIODO Imp.]],BW$9)</f>
        <v>0</v>
      </c>
      <c r="BX339" s="693">
        <f>SUMIFS(Imput[[Importe Neto]:[Importe Neto]],Imput[[C. Imp.]:[C. Imp.]],$D339,Imput[[PERIODO Imp.]:[PERIODO Imp.]],BX$9)</f>
        <v>0</v>
      </c>
      <c r="BY339" s="693">
        <f>SUMIFS(Imput[[Importe Neto]:[Importe Neto]],Imput[[C. Imp.]:[C. Imp.]],$D339,Imput[[PERIODO Imp.]:[PERIODO Imp.]],BY$9)</f>
        <v>0</v>
      </c>
      <c r="BZ339" s="693">
        <f>SUMIFS(Imput[[Importe Neto]:[Importe Neto]],Imput[[C. Imp.]:[C. Imp.]],$D339,Imput[[PERIODO Imp.]:[PERIODO Imp.]],BZ$9)</f>
        <v>0</v>
      </c>
      <c r="CA339" s="693">
        <f>SUMIFS(Imput[[Importe Neto]:[Importe Neto]],Imput[[C. Imp.]:[C. Imp.]],$D339,Imput[[PERIODO Imp.]:[PERIODO Imp.]],CA$9)</f>
        <v>0</v>
      </c>
      <c r="CB339" s="693">
        <f>SUMIFS(Imput[[Importe Neto]:[Importe Neto]],Imput[[C. Imp.]:[C. Imp.]],$D339,Imput[[PERIODO Imp.]:[PERIODO Imp.]],CB$9)</f>
        <v>0</v>
      </c>
      <c r="CC339" s="693">
        <f>SUMIFS(Imput[[Importe Neto]:[Importe Neto]],Imput[[C. Imp.]:[C. Imp.]],$D339,Imput[[PERIODO Imp.]:[PERIODO Imp.]],CC$9)</f>
        <v>0</v>
      </c>
      <c r="CD339" s="693">
        <f>SUMIFS(Imput[[Importe Neto]:[Importe Neto]],Imput[[C. Imp.]:[C. Imp.]],$D339,Imput[[PERIODO Imp.]:[PERIODO Imp.]],CD$9)</f>
        <v>0</v>
      </c>
      <c r="CE339" s="693">
        <f>SUMIFS(Imput[[Importe Neto]:[Importe Neto]],Imput[[C. Imp.]:[C. Imp.]],$D339,Imput[[PERIODO Imp.]:[PERIODO Imp.]],CE$9)</f>
        <v>0</v>
      </c>
      <c r="CF339" s="693">
        <f>SUMIFS(Imput[[Importe Neto]:[Importe Neto]],Imput[[C. Imp.]:[C. Imp.]],$D339,Imput[[PERIODO Imp.]:[PERIODO Imp.]],CF$9)</f>
        <v>0</v>
      </c>
      <c r="CG339" s="693">
        <f>SUMIFS(Imput[[Importe Neto]:[Importe Neto]],Imput[[C. Imp.]:[C. Imp.]],$D339,Imput[[PERIODO Imp.]:[PERIODO Imp.]],CG$9)</f>
        <v>0</v>
      </c>
      <c r="CH339" s="693">
        <f>SUMIFS(Imput[[Importe Neto]:[Importe Neto]],Imput[[C. Imp.]:[C. Imp.]],$D339,Imput[[PERIODO Imp.]:[PERIODO Imp.]],CH$9)</f>
        <v>0</v>
      </c>
      <c r="CI339" s="693">
        <f>SUMIFS(Imput[[Importe Neto]:[Importe Neto]],Imput[[C. Imp.]:[C. Imp.]],$D339,Imput[[PERIODO Imp.]:[PERIODO Imp.]],CI$9)</f>
        <v>0</v>
      </c>
      <c r="CJ339" s="693">
        <f>SUMIFS(Imput[[Importe Neto]:[Importe Neto]],Imput[[C. Imp.]:[C. Imp.]],$D339,Imput[[PERIODO Imp.]:[PERIODO Imp.]],CJ$9)</f>
        <v>0</v>
      </c>
      <c r="CK339" s="693">
        <f>SUMIFS(Imput[[Importe Neto]:[Importe Neto]],Imput[[C. Imp.]:[C. Imp.]],$D339,Imput[[PERIODO Imp.]:[PERIODO Imp.]],CK$9)</f>
        <v>0</v>
      </c>
      <c r="CL339" s="693">
        <f>SUMIFS(Imput[[Importe Neto]:[Importe Neto]],Imput[[C. Imp.]:[C. Imp.]],$D339,Imput[[PERIODO Imp.]:[PERIODO Imp.]],CL$9)</f>
        <v>0</v>
      </c>
      <c r="CM339" s="693">
        <f>SUMIFS(Imput[[Importe Neto]:[Importe Neto]],Imput[[C. Imp.]:[C. Imp.]],$D339,Imput[[PERIODO Imp.]:[PERIODO Imp.]],CM$9)</f>
        <v>0</v>
      </c>
      <c r="CN339" s="693">
        <f>SUMIFS(Imput[[Importe Neto]:[Importe Neto]],Imput[[C. Imp.]:[C. Imp.]],$D339,Imput[[PERIODO Imp.]:[PERIODO Imp.]],CN$9)</f>
        <v>0</v>
      </c>
      <c r="CO339" s="693">
        <f>SUMIFS(Imput[[Importe Neto]:[Importe Neto]],Imput[[C. Imp.]:[C. Imp.]],$D339,Imput[[PERIODO Imp.]:[PERIODO Imp.]],CO$9)</f>
        <v>0</v>
      </c>
      <c r="CP339" s="693">
        <f>SUMIFS(Imput[[Importe Neto]:[Importe Neto]],Imput[[C. Imp.]:[C. Imp.]],$D339,Imput[[PERIODO Imp.]:[PERIODO Imp.]],CP$9)</f>
        <v>0</v>
      </c>
      <c r="CQ339" s="693">
        <f>SUMIFS(Imput[[Importe Neto]:[Importe Neto]],Imput[[C. Imp.]:[C. Imp.]],$D339,Imput[[PERIODO Imp.]:[PERIODO Imp.]],CQ$9)</f>
        <v>0</v>
      </c>
      <c r="CR339" s="693">
        <f>SUMIFS(Imput[[Importe Neto]:[Importe Neto]],Imput[[C. Imp.]:[C. Imp.]],$D339,Imput[[PERIODO Imp.]:[PERIODO Imp.]],CR$9)</f>
        <v>0</v>
      </c>
      <c r="CS339" s="693">
        <f>SUMIFS(Imput[[Importe Neto]:[Importe Neto]],Imput[[C. Imp.]:[C. Imp.]],$D339,Imput[[PERIODO Imp.]:[PERIODO Imp.]],CS$9)</f>
        <v>0</v>
      </c>
      <c r="CT339" s="693">
        <f>SUMIFS(Imput[[Importe Neto]:[Importe Neto]],Imput[[C. Imp.]:[C. Imp.]],$D339,Imput[[PERIODO Imp.]:[PERIODO Imp.]],CT$9)</f>
        <v>0</v>
      </c>
      <c r="CU339" s="693">
        <f>SUMIFS(Imput[[Importe Neto]:[Importe Neto]],Imput[[C. Imp.]:[C. Imp.]],$D339,Imput[[PERIODO Imp.]:[PERIODO Imp.]],CU$9)</f>
        <v>0</v>
      </c>
      <c r="CV339" s="693">
        <f>SUMIFS(Imput[[Importe Neto]:[Importe Neto]],Imput[[C. Imp.]:[C. Imp.]],$D339,Imput[[PERIODO Imp.]:[PERIODO Imp.]],CV$9)</f>
        <v>0</v>
      </c>
      <c r="CW339" s="693">
        <f>SUMIFS(Imput[[Importe Neto]:[Importe Neto]],Imput[[C. Imp.]:[C. Imp.]],$D339,Imput[[PERIODO Imp.]:[PERIODO Imp.]],CW$9)</f>
        <v>0</v>
      </c>
      <c r="CX339" s="693">
        <f>SUMIFS(Imput[[Importe Neto]:[Importe Neto]],Imput[[C. Imp.]:[C. Imp.]],$D339,Imput[[PERIODO Imp.]:[PERIODO Imp.]],CX$9)</f>
        <v>0</v>
      </c>
      <c r="CY339" s="693">
        <f>SUMIFS(Imput[[Importe Neto]:[Importe Neto]],Imput[[C. Imp.]:[C. Imp.]],$D339,Imput[[PERIODO Imp.]:[PERIODO Imp.]],CY$9)</f>
        <v>0</v>
      </c>
      <c r="CZ339" s="693">
        <f>SUMIFS(Imput[[Importe Neto]:[Importe Neto]],Imput[[C. Imp.]:[C. Imp.]],$D339,Imput[[PERIODO Imp.]:[PERIODO Imp.]],CZ$9)</f>
        <v>0</v>
      </c>
      <c r="DA339" s="693">
        <f>SUMIFS(Imput[[Importe Neto]:[Importe Neto]],Imput[[C. Imp.]:[C. Imp.]],$D339,Imput[[PERIODO Imp.]:[PERIODO Imp.]],DA$9)</f>
        <v>0</v>
      </c>
      <c r="DB339" s="693">
        <f>SUMIFS(Imput[[Importe Neto]:[Importe Neto]],Imput[[C. Imp.]:[C. Imp.]],$D339,Imput[[PERIODO Imp.]:[PERIODO Imp.]],DB$9)</f>
        <v>0</v>
      </c>
      <c r="DC339" s="693">
        <f>SUMIFS(Imput[[Importe Neto]:[Importe Neto]],Imput[[C. Imp.]:[C. Imp.]],$D339,Imput[[PERIODO Imp.]:[PERIODO Imp.]],DC$9)</f>
        <v>0</v>
      </c>
      <c r="DD339" s="693">
        <f>SUMIFS(Imput[[Importe Neto]:[Importe Neto]],Imput[[C. Imp.]:[C. Imp.]],$D339,Imput[[PERIODO Imp.]:[PERIODO Imp.]],DD$9)</f>
        <v>0</v>
      </c>
      <c r="DE339" s="693">
        <f>SUMIFS(Imput[[Importe Neto]:[Importe Neto]],Imput[[C. Imp.]:[C. Imp.]],$D339,Imput[[PERIODO Imp.]:[PERIODO Imp.]],DE$9)</f>
        <v>0</v>
      </c>
      <c r="DF339" s="693">
        <f>SUMIFS(Imput[[Importe Neto]:[Importe Neto]],Imput[[C. Imp.]:[C. Imp.]],$D339,Imput[[PERIODO Imp.]:[PERIODO Imp.]],DF$9)</f>
        <v>0</v>
      </c>
      <c r="DG339" s="693">
        <f>SUMIFS(Imput[[Importe Neto]:[Importe Neto]],Imput[[C. Imp.]:[C. Imp.]],$D339,Imput[[PERIODO Imp.]:[PERIODO Imp.]],DG$9)</f>
        <v>0</v>
      </c>
      <c r="DH339" s="694">
        <f>SUMIFS(Imput[[Importe Neto]:[Importe Neto]],Imput[[C. Imp.]:[C. Imp.]],$D339,Imput[[PERIODO Imp.]:[PERIODO Imp.]],DH$9)</f>
        <v>0</v>
      </c>
    </row>
    <row r="340" spans="1:112" s="649" customFormat="1" hidden="1" outlineLevel="1" x14ac:dyDescent="0.3">
      <c r="A340" s="652" t="str">
        <f t="shared" si="144"/>
        <v/>
      </c>
      <c r="B340" s="652"/>
      <c r="C340" s="685"/>
      <c r="D340" s="686" t="s">
        <v>2404</v>
      </c>
      <c r="E340" s="686"/>
      <c r="F340" s="720"/>
      <c r="G340" s="688"/>
      <c r="H340" s="689"/>
      <c r="I340" s="851" t="str">
        <f t="shared" si="149"/>
        <v/>
      </c>
      <c r="J340" s="850" t="str">
        <f t="shared" si="146"/>
        <v/>
      </c>
      <c r="K340" s="667"/>
      <c r="L340" s="858"/>
      <c r="M340" s="859"/>
      <c r="N340" s="859"/>
      <c r="O340" s="859"/>
      <c r="P340" s="859"/>
      <c r="Q340" s="859"/>
      <c r="R340" s="859"/>
      <c r="S340" s="859"/>
      <c r="T340" s="859"/>
      <c r="U340" s="859"/>
      <c r="V340" s="859"/>
      <c r="W340" s="859"/>
      <c r="X340" s="859"/>
      <c r="Y340" s="859"/>
      <c r="Z340" s="860"/>
      <c r="AA340" s="860"/>
      <c r="AB340" s="860"/>
      <c r="AC340" s="860"/>
      <c r="AD340" s="860"/>
      <c r="AE340" s="860"/>
      <c r="AF340" s="860"/>
      <c r="AG340" s="860"/>
      <c r="AH340" s="860"/>
      <c r="AI340" s="860"/>
      <c r="AJ340" s="860"/>
      <c r="AK340" s="860"/>
      <c r="AL340" s="860"/>
      <c r="AM340" s="860"/>
      <c r="AN340" s="860"/>
      <c r="AO340" s="860"/>
      <c r="AP340" s="860"/>
      <c r="AQ340" s="860"/>
      <c r="AR340" s="860"/>
      <c r="AS340" s="860"/>
      <c r="AT340" s="860"/>
      <c r="AU340" s="860"/>
      <c r="AV340" s="860"/>
      <c r="AW340" s="860"/>
      <c r="AX340" s="860"/>
      <c r="AY340" s="860"/>
      <c r="AZ340" s="860"/>
      <c r="BA340" s="860"/>
      <c r="BB340" s="860"/>
      <c r="BC340" s="860"/>
      <c r="BD340" s="860"/>
      <c r="BE340" s="860"/>
      <c r="BF340" s="860"/>
      <c r="BG340" s="860"/>
      <c r="BH340" s="668"/>
      <c r="BI340" s="667"/>
      <c r="BJ340" s="690">
        <f t="shared" si="150"/>
        <v>0</v>
      </c>
      <c r="BK340" s="691">
        <f t="shared" si="151"/>
        <v>0</v>
      </c>
      <c r="BL340" s="654"/>
      <c r="BM340" s="692">
        <f>SUMIFS(Imput[[Importe Neto]:[Importe Neto]],Imput[[C. Imp.]:[C. Imp.]],$D340,Imput[[PERIODO Imp.]:[PERIODO Imp.]],BM$9)</f>
        <v>0</v>
      </c>
      <c r="BN340" s="693">
        <f>SUMIFS(Imput[[Importe Neto]:[Importe Neto]],Imput[[C. Imp.]:[C. Imp.]],$D340,Imput[[PERIODO Imp.]:[PERIODO Imp.]],BN$9)</f>
        <v>0</v>
      </c>
      <c r="BO340" s="693">
        <f>SUMIFS(Imput[[Importe Neto]:[Importe Neto]],Imput[[C. Imp.]:[C. Imp.]],$D340,Imput[[PERIODO Imp.]:[PERIODO Imp.]],BO$9)</f>
        <v>0</v>
      </c>
      <c r="BP340" s="693">
        <f>SUMIFS(Imput[[Importe Neto]:[Importe Neto]],Imput[[C. Imp.]:[C. Imp.]],$D340,Imput[[PERIODO Imp.]:[PERIODO Imp.]],BP$9)</f>
        <v>0</v>
      </c>
      <c r="BQ340" s="693">
        <f>SUMIFS(Imput[[Importe Neto]:[Importe Neto]],Imput[[C. Imp.]:[C. Imp.]],$D340,Imput[[PERIODO Imp.]:[PERIODO Imp.]],BQ$9)</f>
        <v>0</v>
      </c>
      <c r="BR340" s="693">
        <f>SUMIFS(Imput[[Importe Neto]:[Importe Neto]],Imput[[C. Imp.]:[C. Imp.]],$D340,Imput[[PERIODO Imp.]:[PERIODO Imp.]],BR$9)</f>
        <v>0</v>
      </c>
      <c r="BS340" s="693">
        <f>SUMIFS(Imput[[Importe Neto]:[Importe Neto]],Imput[[C. Imp.]:[C. Imp.]],$D340,Imput[[PERIODO Imp.]:[PERIODO Imp.]],BS$9)</f>
        <v>0</v>
      </c>
      <c r="BT340" s="693">
        <f>SUMIFS(Imput[[Importe Neto]:[Importe Neto]],Imput[[C. Imp.]:[C. Imp.]],$D340,Imput[[PERIODO Imp.]:[PERIODO Imp.]],BT$9)</f>
        <v>0</v>
      </c>
      <c r="BU340" s="693">
        <f>SUMIFS(Imput[[Importe Neto]:[Importe Neto]],Imput[[C. Imp.]:[C. Imp.]],$D340,Imput[[PERIODO Imp.]:[PERIODO Imp.]],BU$9)</f>
        <v>0</v>
      </c>
      <c r="BV340" s="693">
        <f>SUMIFS(Imput[[Importe Neto]:[Importe Neto]],Imput[[C. Imp.]:[C. Imp.]],$D340,Imput[[PERIODO Imp.]:[PERIODO Imp.]],BV$9)</f>
        <v>0</v>
      </c>
      <c r="BW340" s="693">
        <f>SUMIFS(Imput[[Importe Neto]:[Importe Neto]],Imput[[C. Imp.]:[C. Imp.]],$D340,Imput[[PERIODO Imp.]:[PERIODO Imp.]],BW$9)</f>
        <v>0</v>
      </c>
      <c r="BX340" s="693">
        <f>SUMIFS(Imput[[Importe Neto]:[Importe Neto]],Imput[[C. Imp.]:[C. Imp.]],$D340,Imput[[PERIODO Imp.]:[PERIODO Imp.]],BX$9)</f>
        <v>0</v>
      </c>
      <c r="BY340" s="693">
        <f>SUMIFS(Imput[[Importe Neto]:[Importe Neto]],Imput[[C. Imp.]:[C. Imp.]],$D340,Imput[[PERIODO Imp.]:[PERIODO Imp.]],BY$9)</f>
        <v>0</v>
      </c>
      <c r="BZ340" s="693">
        <f>SUMIFS(Imput[[Importe Neto]:[Importe Neto]],Imput[[C. Imp.]:[C. Imp.]],$D340,Imput[[PERIODO Imp.]:[PERIODO Imp.]],BZ$9)</f>
        <v>0</v>
      </c>
      <c r="CA340" s="693">
        <f>SUMIFS(Imput[[Importe Neto]:[Importe Neto]],Imput[[C. Imp.]:[C. Imp.]],$D340,Imput[[PERIODO Imp.]:[PERIODO Imp.]],CA$9)</f>
        <v>0</v>
      </c>
      <c r="CB340" s="693">
        <f>SUMIFS(Imput[[Importe Neto]:[Importe Neto]],Imput[[C. Imp.]:[C. Imp.]],$D340,Imput[[PERIODO Imp.]:[PERIODO Imp.]],CB$9)</f>
        <v>0</v>
      </c>
      <c r="CC340" s="693">
        <f>SUMIFS(Imput[[Importe Neto]:[Importe Neto]],Imput[[C. Imp.]:[C. Imp.]],$D340,Imput[[PERIODO Imp.]:[PERIODO Imp.]],CC$9)</f>
        <v>0</v>
      </c>
      <c r="CD340" s="693">
        <f>SUMIFS(Imput[[Importe Neto]:[Importe Neto]],Imput[[C. Imp.]:[C. Imp.]],$D340,Imput[[PERIODO Imp.]:[PERIODO Imp.]],CD$9)</f>
        <v>0</v>
      </c>
      <c r="CE340" s="693">
        <f>SUMIFS(Imput[[Importe Neto]:[Importe Neto]],Imput[[C. Imp.]:[C. Imp.]],$D340,Imput[[PERIODO Imp.]:[PERIODO Imp.]],CE$9)</f>
        <v>0</v>
      </c>
      <c r="CF340" s="693">
        <f>SUMIFS(Imput[[Importe Neto]:[Importe Neto]],Imput[[C. Imp.]:[C. Imp.]],$D340,Imput[[PERIODO Imp.]:[PERIODO Imp.]],CF$9)</f>
        <v>0</v>
      </c>
      <c r="CG340" s="693">
        <f>SUMIFS(Imput[[Importe Neto]:[Importe Neto]],Imput[[C. Imp.]:[C. Imp.]],$D340,Imput[[PERIODO Imp.]:[PERIODO Imp.]],CG$9)</f>
        <v>0</v>
      </c>
      <c r="CH340" s="693">
        <f>SUMIFS(Imput[[Importe Neto]:[Importe Neto]],Imput[[C. Imp.]:[C. Imp.]],$D340,Imput[[PERIODO Imp.]:[PERIODO Imp.]],CH$9)</f>
        <v>0</v>
      </c>
      <c r="CI340" s="693">
        <f>SUMIFS(Imput[[Importe Neto]:[Importe Neto]],Imput[[C. Imp.]:[C. Imp.]],$D340,Imput[[PERIODO Imp.]:[PERIODO Imp.]],CI$9)</f>
        <v>0</v>
      </c>
      <c r="CJ340" s="693">
        <f>SUMIFS(Imput[[Importe Neto]:[Importe Neto]],Imput[[C. Imp.]:[C. Imp.]],$D340,Imput[[PERIODO Imp.]:[PERIODO Imp.]],CJ$9)</f>
        <v>0</v>
      </c>
      <c r="CK340" s="693">
        <f>SUMIFS(Imput[[Importe Neto]:[Importe Neto]],Imput[[C. Imp.]:[C. Imp.]],$D340,Imput[[PERIODO Imp.]:[PERIODO Imp.]],CK$9)</f>
        <v>0</v>
      </c>
      <c r="CL340" s="693">
        <f>SUMIFS(Imput[[Importe Neto]:[Importe Neto]],Imput[[C. Imp.]:[C. Imp.]],$D340,Imput[[PERIODO Imp.]:[PERIODO Imp.]],CL$9)</f>
        <v>0</v>
      </c>
      <c r="CM340" s="693">
        <f>SUMIFS(Imput[[Importe Neto]:[Importe Neto]],Imput[[C. Imp.]:[C. Imp.]],$D340,Imput[[PERIODO Imp.]:[PERIODO Imp.]],CM$9)</f>
        <v>0</v>
      </c>
      <c r="CN340" s="693">
        <f>SUMIFS(Imput[[Importe Neto]:[Importe Neto]],Imput[[C. Imp.]:[C. Imp.]],$D340,Imput[[PERIODO Imp.]:[PERIODO Imp.]],CN$9)</f>
        <v>0</v>
      </c>
      <c r="CO340" s="693">
        <f>SUMIFS(Imput[[Importe Neto]:[Importe Neto]],Imput[[C. Imp.]:[C. Imp.]],$D340,Imput[[PERIODO Imp.]:[PERIODO Imp.]],CO$9)</f>
        <v>0</v>
      </c>
      <c r="CP340" s="693">
        <f>SUMIFS(Imput[[Importe Neto]:[Importe Neto]],Imput[[C. Imp.]:[C. Imp.]],$D340,Imput[[PERIODO Imp.]:[PERIODO Imp.]],CP$9)</f>
        <v>0</v>
      </c>
      <c r="CQ340" s="693">
        <f>SUMIFS(Imput[[Importe Neto]:[Importe Neto]],Imput[[C. Imp.]:[C. Imp.]],$D340,Imput[[PERIODO Imp.]:[PERIODO Imp.]],CQ$9)</f>
        <v>0</v>
      </c>
      <c r="CR340" s="693">
        <f>SUMIFS(Imput[[Importe Neto]:[Importe Neto]],Imput[[C. Imp.]:[C. Imp.]],$D340,Imput[[PERIODO Imp.]:[PERIODO Imp.]],CR$9)</f>
        <v>0</v>
      </c>
      <c r="CS340" s="693">
        <f>SUMIFS(Imput[[Importe Neto]:[Importe Neto]],Imput[[C. Imp.]:[C. Imp.]],$D340,Imput[[PERIODO Imp.]:[PERIODO Imp.]],CS$9)</f>
        <v>0</v>
      </c>
      <c r="CT340" s="693">
        <f>SUMIFS(Imput[[Importe Neto]:[Importe Neto]],Imput[[C. Imp.]:[C. Imp.]],$D340,Imput[[PERIODO Imp.]:[PERIODO Imp.]],CT$9)</f>
        <v>0</v>
      </c>
      <c r="CU340" s="693">
        <f>SUMIFS(Imput[[Importe Neto]:[Importe Neto]],Imput[[C. Imp.]:[C. Imp.]],$D340,Imput[[PERIODO Imp.]:[PERIODO Imp.]],CU$9)</f>
        <v>0</v>
      </c>
      <c r="CV340" s="693">
        <f>SUMIFS(Imput[[Importe Neto]:[Importe Neto]],Imput[[C. Imp.]:[C. Imp.]],$D340,Imput[[PERIODO Imp.]:[PERIODO Imp.]],CV$9)</f>
        <v>0</v>
      </c>
      <c r="CW340" s="693">
        <f>SUMIFS(Imput[[Importe Neto]:[Importe Neto]],Imput[[C. Imp.]:[C. Imp.]],$D340,Imput[[PERIODO Imp.]:[PERIODO Imp.]],CW$9)</f>
        <v>0</v>
      </c>
      <c r="CX340" s="693">
        <f>SUMIFS(Imput[[Importe Neto]:[Importe Neto]],Imput[[C. Imp.]:[C. Imp.]],$D340,Imput[[PERIODO Imp.]:[PERIODO Imp.]],CX$9)</f>
        <v>0</v>
      </c>
      <c r="CY340" s="693">
        <f>SUMIFS(Imput[[Importe Neto]:[Importe Neto]],Imput[[C. Imp.]:[C. Imp.]],$D340,Imput[[PERIODO Imp.]:[PERIODO Imp.]],CY$9)</f>
        <v>0</v>
      </c>
      <c r="CZ340" s="693">
        <f>SUMIFS(Imput[[Importe Neto]:[Importe Neto]],Imput[[C. Imp.]:[C. Imp.]],$D340,Imput[[PERIODO Imp.]:[PERIODO Imp.]],CZ$9)</f>
        <v>0</v>
      </c>
      <c r="DA340" s="693">
        <f>SUMIFS(Imput[[Importe Neto]:[Importe Neto]],Imput[[C. Imp.]:[C. Imp.]],$D340,Imput[[PERIODO Imp.]:[PERIODO Imp.]],DA$9)</f>
        <v>0</v>
      </c>
      <c r="DB340" s="693">
        <f>SUMIFS(Imput[[Importe Neto]:[Importe Neto]],Imput[[C. Imp.]:[C. Imp.]],$D340,Imput[[PERIODO Imp.]:[PERIODO Imp.]],DB$9)</f>
        <v>0</v>
      </c>
      <c r="DC340" s="693">
        <f>SUMIFS(Imput[[Importe Neto]:[Importe Neto]],Imput[[C. Imp.]:[C. Imp.]],$D340,Imput[[PERIODO Imp.]:[PERIODO Imp.]],DC$9)</f>
        <v>0</v>
      </c>
      <c r="DD340" s="693">
        <f>SUMIFS(Imput[[Importe Neto]:[Importe Neto]],Imput[[C. Imp.]:[C. Imp.]],$D340,Imput[[PERIODO Imp.]:[PERIODO Imp.]],DD$9)</f>
        <v>0</v>
      </c>
      <c r="DE340" s="693">
        <f>SUMIFS(Imput[[Importe Neto]:[Importe Neto]],Imput[[C. Imp.]:[C. Imp.]],$D340,Imput[[PERIODO Imp.]:[PERIODO Imp.]],DE$9)</f>
        <v>0</v>
      </c>
      <c r="DF340" s="693">
        <f>SUMIFS(Imput[[Importe Neto]:[Importe Neto]],Imput[[C. Imp.]:[C. Imp.]],$D340,Imput[[PERIODO Imp.]:[PERIODO Imp.]],DF$9)</f>
        <v>0</v>
      </c>
      <c r="DG340" s="693">
        <f>SUMIFS(Imput[[Importe Neto]:[Importe Neto]],Imput[[C. Imp.]:[C. Imp.]],$D340,Imput[[PERIODO Imp.]:[PERIODO Imp.]],DG$9)</f>
        <v>0</v>
      </c>
      <c r="DH340" s="694">
        <f>SUMIFS(Imput[[Importe Neto]:[Importe Neto]],Imput[[C. Imp.]:[C. Imp.]],$D340,Imput[[PERIODO Imp.]:[PERIODO Imp.]],DH$9)</f>
        <v>0</v>
      </c>
    </row>
    <row r="341" spans="1:112" s="649" customFormat="1" hidden="1" outlineLevel="1" x14ac:dyDescent="0.3">
      <c r="A341" s="652" t="str">
        <f t="shared" si="144"/>
        <v/>
      </c>
      <c r="B341" s="652"/>
      <c r="C341" s="685"/>
      <c r="D341" s="686" t="s">
        <v>2405</v>
      </c>
      <c r="E341" s="686"/>
      <c r="F341" s="720"/>
      <c r="G341" s="688"/>
      <c r="H341" s="689"/>
      <c r="I341" s="851" t="str">
        <f t="shared" si="149"/>
        <v/>
      </c>
      <c r="J341" s="850" t="str">
        <f t="shared" si="146"/>
        <v/>
      </c>
      <c r="K341" s="667"/>
      <c r="L341" s="858"/>
      <c r="M341" s="859"/>
      <c r="N341" s="859"/>
      <c r="O341" s="859"/>
      <c r="P341" s="859"/>
      <c r="Q341" s="859"/>
      <c r="R341" s="859"/>
      <c r="S341" s="859"/>
      <c r="T341" s="859"/>
      <c r="U341" s="859"/>
      <c r="V341" s="859"/>
      <c r="W341" s="859"/>
      <c r="X341" s="859"/>
      <c r="Y341" s="859"/>
      <c r="Z341" s="860"/>
      <c r="AA341" s="860"/>
      <c r="AB341" s="860"/>
      <c r="AC341" s="860"/>
      <c r="AD341" s="860"/>
      <c r="AE341" s="860"/>
      <c r="AF341" s="860"/>
      <c r="AG341" s="860"/>
      <c r="AH341" s="860"/>
      <c r="AI341" s="860"/>
      <c r="AJ341" s="860"/>
      <c r="AK341" s="860"/>
      <c r="AL341" s="860"/>
      <c r="AM341" s="860"/>
      <c r="AN341" s="860"/>
      <c r="AO341" s="860"/>
      <c r="AP341" s="860"/>
      <c r="AQ341" s="860"/>
      <c r="AR341" s="860"/>
      <c r="AS341" s="860"/>
      <c r="AT341" s="860"/>
      <c r="AU341" s="860"/>
      <c r="AV341" s="860"/>
      <c r="AW341" s="860"/>
      <c r="AX341" s="860"/>
      <c r="AY341" s="860"/>
      <c r="AZ341" s="860"/>
      <c r="BA341" s="860"/>
      <c r="BB341" s="860"/>
      <c r="BC341" s="860"/>
      <c r="BD341" s="860"/>
      <c r="BE341" s="860"/>
      <c r="BF341" s="860"/>
      <c r="BG341" s="860"/>
      <c r="BH341" s="668"/>
      <c r="BI341" s="654"/>
      <c r="BJ341" s="690">
        <f t="shared" si="150"/>
        <v>0</v>
      </c>
      <c r="BK341" s="691">
        <f t="shared" si="151"/>
        <v>0</v>
      </c>
      <c r="BL341" s="654"/>
      <c r="BM341" s="692">
        <f>SUMIFS(Imput[[Importe Neto]:[Importe Neto]],Imput[[C. Imp.]:[C. Imp.]],$D341,Imput[[PERIODO Imp.]:[PERIODO Imp.]],BM$9)</f>
        <v>0</v>
      </c>
      <c r="BN341" s="693">
        <f>SUMIFS(Imput[[Importe Neto]:[Importe Neto]],Imput[[C. Imp.]:[C. Imp.]],$D341,Imput[[PERIODO Imp.]:[PERIODO Imp.]],BN$9)</f>
        <v>0</v>
      </c>
      <c r="BO341" s="693">
        <f>SUMIFS(Imput[[Importe Neto]:[Importe Neto]],Imput[[C. Imp.]:[C. Imp.]],$D341,Imput[[PERIODO Imp.]:[PERIODO Imp.]],BO$9)</f>
        <v>0</v>
      </c>
      <c r="BP341" s="693">
        <f>SUMIFS(Imput[[Importe Neto]:[Importe Neto]],Imput[[C. Imp.]:[C. Imp.]],$D341,Imput[[PERIODO Imp.]:[PERIODO Imp.]],BP$9)</f>
        <v>0</v>
      </c>
      <c r="BQ341" s="693">
        <f>SUMIFS(Imput[[Importe Neto]:[Importe Neto]],Imput[[C. Imp.]:[C. Imp.]],$D341,Imput[[PERIODO Imp.]:[PERIODO Imp.]],BQ$9)</f>
        <v>0</v>
      </c>
      <c r="BR341" s="693">
        <f>SUMIFS(Imput[[Importe Neto]:[Importe Neto]],Imput[[C. Imp.]:[C. Imp.]],$D341,Imput[[PERIODO Imp.]:[PERIODO Imp.]],BR$9)</f>
        <v>0</v>
      </c>
      <c r="BS341" s="693">
        <f>SUMIFS(Imput[[Importe Neto]:[Importe Neto]],Imput[[C. Imp.]:[C. Imp.]],$D341,Imput[[PERIODO Imp.]:[PERIODO Imp.]],BS$9)</f>
        <v>0</v>
      </c>
      <c r="BT341" s="693">
        <f>SUMIFS(Imput[[Importe Neto]:[Importe Neto]],Imput[[C. Imp.]:[C. Imp.]],$D341,Imput[[PERIODO Imp.]:[PERIODO Imp.]],BT$9)</f>
        <v>0</v>
      </c>
      <c r="BU341" s="693">
        <f>SUMIFS(Imput[[Importe Neto]:[Importe Neto]],Imput[[C. Imp.]:[C. Imp.]],$D341,Imput[[PERIODO Imp.]:[PERIODO Imp.]],BU$9)</f>
        <v>0</v>
      </c>
      <c r="BV341" s="693">
        <f>SUMIFS(Imput[[Importe Neto]:[Importe Neto]],Imput[[C. Imp.]:[C. Imp.]],$D341,Imput[[PERIODO Imp.]:[PERIODO Imp.]],BV$9)</f>
        <v>0</v>
      </c>
      <c r="BW341" s="693">
        <f>SUMIFS(Imput[[Importe Neto]:[Importe Neto]],Imput[[C. Imp.]:[C. Imp.]],$D341,Imput[[PERIODO Imp.]:[PERIODO Imp.]],BW$9)</f>
        <v>0</v>
      </c>
      <c r="BX341" s="693">
        <f>SUMIFS(Imput[[Importe Neto]:[Importe Neto]],Imput[[C. Imp.]:[C. Imp.]],$D341,Imput[[PERIODO Imp.]:[PERIODO Imp.]],BX$9)</f>
        <v>0</v>
      </c>
      <c r="BY341" s="693">
        <f>SUMIFS(Imput[[Importe Neto]:[Importe Neto]],Imput[[C. Imp.]:[C. Imp.]],$D341,Imput[[PERIODO Imp.]:[PERIODO Imp.]],BY$9)</f>
        <v>0</v>
      </c>
      <c r="BZ341" s="693">
        <f>SUMIFS(Imput[[Importe Neto]:[Importe Neto]],Imput[[C. Imp.]:[C. Imp.]],$D341,Imput[[PERIODO Imp.]:[PERIODO Imp.]],BZ$9)</f>
        <v>0</v>
      </c>
      <c r="CA341" s="693">
        <f>SUMIFS(Imput[[Importe Neto]:[Importe Neto]],Imput[[C. Imp.]:[C. Imp.]],$D341,Imput[[PERIODO Imp.]:[PERIODO Imp.]],CA$9)</f>
        <v>0</v>
      </c>
      <c r="CB341" s="693">
        <f>SUMIFS(Imput[[Importe Neto]:[Importe Neto]],Imput[[C. Imp.]:[C. Imp.]],$D341,Imput[[PERIODO Imp.]:[PERIODO Imp.]],CB$9)</f>
        <v>0</v>
      </c>
      <c r="CC341" s="693">
        <f>SUMIFS(Imput[[Importe Neto]:[Importe Neto]],Imput[[C. Imp.]:[C. Imp.]],$D341,Imput[[PERIODO Imp.]:[PERIODO Imp.]],CC$9)</f>
        <v>0</v>
      </c>
      <c r="CD341" s="693">
        <f>SUMIFS(Imput[[Importe Neto]:[Importe Neto]],Imput[[C. Imp.]:[C. Imp.]],$D341,Imput[[PERIODO Imp.]:[PERIODO Imp.]],CD$9)</f>
        <v>0</v>
      </c>
      <c r="CE341" s="693">
        <f>SUMIFS(Imput[[Importe Neto]:[Importe Neto]],Imput[[C. Imp.]:[C. Imp.]],$D341,Imput[[PERIODO Imp.]:[PERIODO Imp.]],CE$9)</f>
        <v>0</v>
      </c>
      <c r="CF341" s="693">
        <f>SUMIFS(Imput[[Importe Neto]:[Importe Neto]],Imput[[C. Imp.]:[C. Imp.]],$D341,Imput[[PERIODO Imp.]:[PERIODO Imp.]],CF$9)</f>
        <v>0</v>
      </c>
      <c r="CG341" s="693">
        <f>SUMIFS(Imput[[Importe Neto]:[Importe Neto]],Imput[[C. Imp.]:[C. Imp.]],$D341,Imput[[PERIODO Imp.]:[PERIODO Imp.]],CG$9)</f>
        <v>0</v>
      </c>
      <c r="CH341" s="693">
        <f>SUMIFS(Imput[[Importe Neto]:[Importe Neto]],Imput[[C. Imp.]:[C. Imp.]],$D341,Imput[[PERIODO Imp.]:[PERIODO Imp.]],CH$9)</f>
        <v>0</v>
      </c>
      <c r="CI341" s="693">
        <f>SUMIFS(Imput[[Importe Neto]:[Importe Neto]],Imput[[C. Imp.]:[C. Imp.]],$D341,Imput[[PERIODO Imp.]:[PERIODO Imp.]],CI$9)</f>
        <v>0</v>
      </c>
      <c r="CJ341" s="693">
        <f>SUMIFS(Imput[[Importe Neto]:[Importe Neto]],Imput[[C. Imp.]:[C. Imp.]],$D341,Imput[[PERIODO Imp.]:[PERIODO Imp.]],CJ$9)</f>
        <v>0</v>
      </c>
      <c r="CK341" s="693">
        <f>SUMIFS(Imput[[Importe Neto]:[Importe Neto]],Imput[[C. Imp.]:[C. Imp.]],$D341,Imput[[PERIODO Imp.]:[PERIODO Imp.]],CK$9)</f>
        <v>0</v>
      </c>
      <c r="CL341" s="693">
        <f>SUMIFS(Imput[[Importe Neto]:[Importe Neto]],Imput[[C. Imp.]:[C. Imp.]],$D341,Imput[[PERIODO Imp.]:[PERIODO Imp.]],CL$9)</f>
        <v>0</v>
      </c>
      <c r="CM341" s="693">
        <f>SUMIFS(Imput[[Importe Neto]:[Importe Neto]],Imput[[C. Imp.]:[C. Imp.]],$D341,Imput[[PERIODO Imp.]:[PERIODO Imp.]],CM$9)</f>
        <v>0</v>
      </c>
      <c r="CN341" s="693">
        <f>SUMIFS(Imput[[Importe Neto]:[Importe Neto]],Imput[[C. Imp.]:[C. Imp.]],$D341,Imput[[PERIODO Imp.]:[PERIODO Imp.]],CN$9)</f>
        <v>0</v>
      </c>
      <c r="CO341" s="693">
        <f>SUMIFS(Imput[[Importe Neto]:[Importe Neto]],Imput[[C. Imp.]:[C. Imp.]],$D341,Imput[[PERIODO Imp.]:[PERIODO Imp.]],CO$9)</f>
        <v>0</v>
      </c>
      <c r="CP341" s="693">
        <f>SUMIFS(Imput[[Importe Neto]:[Importe Neto]],Imput[[C. Imp.]:[C. Imp.]],$D341,Imput[[PERIODO Imp.]:[PERIODO Imp.]],CP$9)</f>
        <v>0</v>
      </c>
      <c r="CQ341" s="693">
        <f>SUMIFS(Imput[[Importe Neto]:[Importe Neto]],Imput[[C. Imp.]:[C. Imp.]],$D341,Imput[[PERIODO Imp.]:[PERIODO Imp.]],CQ$9)</f>
        <v>0</v>
      </c>
      <c r="CR341" s="693">
        <f>SUMIFS(Imput[[Importe Neto]:[Importe Neto]],Imput[[C. Imp.]:[C. Imp.]],$D341,Imput[[PERIODO Imp.]:[PERIODO Imp.]],CR$9)</f>
        <v>0</v>
      </c>
      <c r="CS341" s="693">
        <f>SUMIFS(Imput[[Importe Neto]:[Importe Neto]],Imput[[C. Imp.]:[C. Imp.]],$D341,Imput[[PERIODO Imp.]:[PERIODO Imp.]],CS$9)</f>
        <v>0</v>
      </c>
      <c r="CT341" s="693">
        <f>SUMIFS(Imput[[Importe Neto]:[Importe Neto]],Imput[[C. Imp.]:[C. Imp.]],$D341,Imput[[PERIODO Imp.]:[PERIODO Imp.]],CT$9)</f>
        <v>0</v>
      </c>
      <c r="CU341" s="693">
        <f>SUMIFS(Imput[[Importe Neto]:[Importe Neto]],Imput[[C. Imp.]:[C. Imp.]],$D341,Imput[[PERIODO Imp.]:[PERIODO Imp.]],CU$9)</f>
        <v>0</v>
      </c>
      <c r="CV341" s="693">
        <f>SUMIFS(Imput[[Importe Neto]:[Importe Neto]],Imput[[C. Imp.]:[C. Imp.]],$D341,Imput[[PERIODO Imp.]:[PERIODO Imp.]],CV$9)</f>
        <v>0</v>
      </c>
      <c r="CW341" s="693">
        <f>SUMIFS(Imput[[Importe Neto]:[Importe Neto]],Imput[[C. Imp.]:[C. Imp.]],$D341,Imput[[PERIODO Imp.]:[PERIODO Imp.]],CW$9)</f>
        <v>0</v>
      </c>
      <c r="CX341" s="693">
        <f>SUMIFS(Imput[[Importe Neto]:[Importe Neto]],Imput[[C. Imp.]:[C. Imp.]],$D341,Imput[[PERIODO Imp.]:[PERIODO Imp.]],CX$9)</f>
        <v>0</v>
      </c>
      <c r="CY341" s="693">
        <f>SUMIFS(Imput[[Importe Neto]:[Importe Neto]],Imput[[C. Imp.]:[C. Imp.]],$D341,Imput[[PERIODO Imp.]:[PERIODO Imp.]],CY$9)</f>
        <v>0</v>
      </c>
      <c r="CZ341" s="693">
        <f>SUMIFS(Imput[[Importe Neto]:[Importe Neto]],Imput[[C. Imp.]:[C. Imp.]],$D341,Imput[[PERIODO Imp.]:[PERIODO Imp.]],CZ$9)</f>
        <v>0</v>
      </c>
      <c r="DA341" s="693">
        <f>SUMIFS(Imput[[Importe Neto]:[Importe Neto]],Imput[[C. Imp.]:[C. Imp.]],$D341,Imput[[PERIODO Imp.]:[PERIODO Imp.]],DA$9)</f>
        <v>0</v>
      </c>
      <c r="DB341" s="693">
        <f>SUMIFS(Imput[[Importe Neto]:[Importe Neto]],Imput[[C. Imp.]:[C. Imp.]],$D341,Imput[[PERIODO Imp.]:[PERIODO Imp.]],DB$9)</f>
        <v>0</v>
      </c>
      <c r="DC341" s="693">
        <f>SUMIFS(Imput[[Importe Neto]:[Importe Neto]],Imput[[C. Imp.]:[C. Imp.]],$D341,Imput[[PERIODO Imp.]:[PERIODO Imp.]],DC$9)</f>
        <v>0</v>
      </c>
      <c r="DD341" s="693">
        <f>SUMIFS(Imput[[Importe Neto]:[Importe Neto]],Imput[[C. Imp.]:[C. Imp.]],$D341,Imput[[PERIODO Imp.]:[PERIODO Imp.]],DD$9)</f>
        <v>0</v>
      </c>
      <c r="DE341" s="693">
        <f>SUMIFS(Imput[[Importe Neto]:[Importe Neto]],Imput[[C. Imp.]:[C. Imp.]],$D341,Imput[[PERIODO Imp.]:[PERIODO Imp.]],DE$9)</f>
        <v>0</v>
      </c>
      <c r="DF341" s="693">
        <f>SUMIFS(Imput[[Importe Neto]:[Importe Neto]],Imput[[C. Imp.]:[C. Imp.]],$D341,Imput[[PERIODO Imp.]:[PERIODO Imp.]],DF$9)</f>
        <v>0</v>
      </c>
      <c r="DG341" s="693">
        <f>SUMIFS(Imput[[Importe Neto]:[Importe Neto]],Imput[[C. Imp.]:[C. Imp.]],$D341,Imput[[PERIODO Imp.]:[PERIODO Imp.]],DG$9)</f>
        <v>0</v>
      </c>
      <c r="DH341" s="694">
        <f>SUMIFS(Imput[[Importe Neto]:[Importe Neto]],Imput[[C. Imp.]:[C. Imp.]],$D341,Imput[[PERIODO Imp.]:[PERIODO Imp.]],DH$9)</f>
        <v>0</v>
      </c>
    </row>
    <row r="342" spans="1:112" s="649" customFormat="1" hidden="1" outlineLevel="1" x14ac:dyDescent="0.3">
      <c r="A342" s="652" t="str">
        <f t="shared" si="144"/>
        <v/>
      </c>
      <c r="B342" s="652"/>
      <c r="C342" s="685"/>
      <c r="D342" s="686" t="s">
        <v>2406</v>
      </c>
      <c r="E342" s="686"/>
      <c r="F342" s="720"/>
      <c r="G342" s="688"/>
      <c r="H342" s="689"/>
      <c r="I342" s="851" t="str">
        <f t="shared" si="149"/>
        <v/>
      </c>
      <c r="J342" s="850" t="str">
        <f t="shared" si="146"/>
        <v/>
      </c>
      <c r="K342" s="667"/>
      <c r="L342" s="858"/>
      <c r="M342" s="859"/>
      <c r="N342" s="859"/>
      <c r="O342" s="859"/>
      <c r="P342" s="859"/>
      <c r="Q342" s="859"/>
      <c r="R342" s="859"/>
      <c r="S342" s="859"/>
      <c r="T342" s="859"/>
      <c r="U342" s="859"/>
      <c r="V342" s="859"/>
      <c r="W342" s="859"/>
      <c r="X342" s="859"/>
      <c r="Y342" s="859"/>
      <c r="Z342" s="860"/>
      <c r="AA342" s="860"/>
      <c r="AB342" s="860"/>
      <c r="AC342" s="860"/>
      <c r="AD342" s="860"/>
      <c r="AE342" s="860"/>
      <c r="AF342" s="860"/>
      <c r="AG342" s="860"/>
      <c r="AH342" s="860"/>
      <c r="AI342" s="860"/>
      <c r="AJ342" s="860"/>
      <c r="AK342" s="860"/>
      <c r="AL342" s="860"/>
      <c r="AM342" s="860"/>
      <c r="AN342" s="860"/>
      <c r="AO342" s="860"/>
      <c r="AP342" s="860"/>
      <c r="AQ342" s="860"/>
      <c r="AR342" s="860"/>
      <c r="AS342" s="860"/>
      <c r="AT342" s="860"/>
      <c r="AU342" s="860"/>
      <c r="AV342" s="860"/>
      <c r="AW342" s="860"/>
      <c r="AX342" s="860"/>
      <c r="AY342" s="860"/>
      <c r="AZ342" s="860"/>
      <c r="BA342" s="860"/>
      <c r="BB342" s="860"/>
      <c r="BC342" s="860"/>
      <c r="BD342" s="860"/>
      <c r="BE342" s="860"/>
      <c r="BF342" s="860"/>
      <c r="BG342" s="860"/>
      <c r="BH342" s="668"/>
      <c r="BI342" s="654"/>
      <c r="BJ342" s="690">
        <f t="shared" si="150"/>
        <v>0</v>
      </c>
      <c r="BK342" s="691">
        <f t="shared" si="151"/>
        <v>0</v>
      </c>
      <c r="BL342" s="654"/>
      <c r="BM342" s="692">
        <f>SUMIFS(Imput[[Importe Neto]:[Importe Neto]],Imput[[C. Imp.]:[C. Imp.]],$D342,Imput[[PERIODO Imp.]:[PERIODO Imp.]],BM$9)</f>
        <v>0</v>
      </c>
      <c r="BN342" s="693">
        <f>SUMIFS(Imput[[Importe Neto]:[Importe Neto]],Imput[[C. Imp.]:[C. Imp.]],$D342,Imput[[PERIODO Imp.]:[PERIODO Imp.]],BN$9)</f>
        <v>0</v>
      </c>
      <c r="BO342" s="693">
        <f>SUMIFS(Imput[[Importe Neto]:[Importe Neto]],Imput[[C. Imp.]:[C. Imp.]],$D342,Imput[[PERIODO Imp.]:[PERIODO Imp.]],BO$9)</f>
        <v>0</v>
      </c>
      <c r="BP342" s="693">
        <f>SUMIFS(Imput[[Importe Neto]:[Importe Neto]],Imput[[C. Imp.]:[C. Imp.]],$D342,Imput[[PERIODO Imp.]:[PERIODO Imp.]],BP$9)</f>
        <v>0</v>
      </c>
      <c r="BQ342" s="693">
        <f>SUMIFS(Imput[[Importe Neto]:[Importe Neto]],Imput[[C. Imp.]:[C. Imp.]],$D342,Imput[[PERIODO Imp.]:[PERIODO Imp.]],BQ$9)</f>
        <v>0</v>
      </c>
      <c r="BR342" s="693">
        <f>SUMIFS(Imput[[Importe Neto]:[Importe Neto]],Imput[[C. Imp.]:[C. Imp.]],$D342,Imput[[PERIODO Imp.]:[PERIODO Imp.]],BR$9)</f>
        <v>0</v>
      </c>
      <c r="BS342" s="693">
        <f>SUMIFS(Imput[[Importe Neto]:[Importe Neto]],Imput[[C. Imp.]:[C. Imp.]],$D342,Imput[[PERIODO Imp.]:[PERIODO Imp.]],BS$9)</f>
        <v>0</v>
      </c>
      <c r="BT342" s="693">
        <f>SUMIFS(Imput[[Importe Neto]:[Importe Neto]],Imput[[C. Imp.]:[C. Imp.]],$D342,Imput[[PERIODO Imp.]:[PERIODO Imp.]],BT$9)</f>
        <v>0</v>
      </c>
      <c r="BU342" s="693">
        <f>SUMIFS(Imput[[Importe Neto]:[Importe Neto]],Imput[[C. Imp.]:[C. Imp.]],$D342,Imput[[PERIODO Imp.]:[PERIODO Imp.]],BU$9)</f>
        <v>0</v>
      </c>
      <c r="BV342" s="693">
        <f>SUMIFS(Imput[[Importe Neto]:[Importe Neto]],Imput[[C. Imp.]:[C. Imp.]],$D342,Imput[[PERIODO Imp.]:[PERIODO Imp.]],BV$9)</f>
        <v>0</v>
      </c>
      <c r="BW342" s="693">
        <f>SUMIFS(Imput[[Importe Neto]:[Importe Neto]],Imput[[C. Imp.]:[C. Imp.]],$D342,Imput[[PERIODO Imp.]:[PERIODO Imp.]],BW$9)</f>
        <v>0</v>
      </c>
      <c r="BX342" s="693">
        <f>SUMIFS(Imput[[Importe Neto]:[Importe Neto]],Imput[[C. Imp.]:[C. Imp.]],$D342,Imput[[PERIODO Imp.]:[PERIODO Imp.]],BX$9)</f>
        <v>0</v>
      </c>
      <c r="BY342" s="693">
        <f>SUMIFS(Imput[[Importe Neto]:[Importe Neto]],Imput[[C. Imp.]:[C. Imp.]],$D342,Imput[[PERIODO Imp.]:[PERIODO Imp.]],BY$9)</f>
        <v>0</v>
      </c>
      <c r="BZ342" s="693">
        <f>SUMIFS(Imput[[Importe Neto]:[Importe Neto]],Imput[[C. Imp.]:[C. Imp.]],$D342,Imput[[PERIODO Imp.]:[PERIODO Imp.]],BZ$9)</f>
        <v>0</v>
      </c>
      <c r="CA342" s="693">
        <f>SUMIFS(Imput[[Importe Neto]:[Importe Neto]],Imput[[C. Imp.]:[C. Imp.]],$D342,Imput[[PERIODO Imp.]:[PERIODO Imp.]],CA$9)</f>
        <v>0</v>
      </c>
      <c r="CB342" s="693">
        <f>SUMIFS(Imput[[Importe Neto]:[Importe Neto]],Imput[[C. Imp.]:[C. Imp.]],$D342,Imput[[PERIODO Imp.]:[PERIODO Imp.]],CB$9)</f>
        <v>0</v>
      </c>
      <c r="CC342" s="693">
        <f>SUMIFS(Imput[[Importe Neto]:[Importe Neto]],Imput[[C. Imp.]:[C. Imp.]],$D342,Imput[[PERIODO Imp.]:[PERIODO Imp.]],CC$9)</f>
        <v>0</v>
      </c>
      <c r="CD342" s="693">
        <f>SUMIFS(Imput[[Importe Neto]:[Importe Neto]],Imput[[C. Imp.]:[C. Imp.]],$D342,Imput[[PERIODO Imp.]:[PERIODO Imp.]],CD$9)</f>
        <v>0</v>
      </c>
      <c r="CE342" s="693">
        <f>SUMIFS(Imput[[Importe Neto]:[Importe Neto]],Imput[[C. Imp.]:[C. Imp.]],$D342,Imput[[PERIODO Imp.]:[PERIODO Imp.]],CE$9)</f>
        <v>0</v>
      </c>
      <c r="CF342" s="693">
        <f>SUMIFS(Imput[[Importe Neto]:[Importe Neto]],Imput[[C. Imp.]:[C. Imp.]],$D342,Imput[[PERIODO Imp.]:[PERIODO Imp.]],CF$9)</f>
        <v>0</v>
      </c>
      <c r="CG342" s="693">
        <f>SUMIFS(Imput[[Importe Neto]:[Importe Neto]],Imput[[C. Imp.]:[C. Imp.]],$D342,Imput[[PERIODO Imp.]:[PERIODO Imp.]],CG$9)</f>
        <v>0</v>
      </c>
      <c r="CH342" s="693">
        <f>SUMIFS(Imput[[Importe Neto]:[Importe Neto]],Imput[[C. Imp.]:[C. Imp.]],$D342,Imput[[PERIODO Imp.]:[PERIODO Imp.]],CH$9)</f>
        <v>0</v>
      </c>
      <c r="CI342" s="693">
        <f>SUMIFS(Imput[[Importe Neto]:[Importe Neto]],Imput[[C. Imp.]:[C. Imp.]],$D342,Imput[[PERIODO Imp.]:[PERIODO Imp.]],CI$9)</f>
        <v>0</v>
      </c>
      <c r="CJ342" s="693">
        <f>SUMIFS(Imput[[Importe Neto]:[Importe Neto]],Imput[[C. Imp.]:[C. Imp.]],$D342,Imput[[PERIODO Imp.]:[PERIODO Imp.]],CJ$9)</f>
        <v>0</v>
      </c>
      <c r="CK342" s="693">
        <f>SUMIFS(Imput[[Importe Neto]:[Importe Neto]],Imput[[C. Imp.]:[C. Imp.]],$D342,Imput[[PERIODO Imp.]:[PERIODO Imp.]],CK$9)</f>
        <v>0</v>
      </c>
      <c r="CL342" s="693">
        <f>SUMIFS(Imput[[Importe Neto]:[Importe Neto]],Imput[[C. Imp.]:[C. Imp.]],$D342,Imput[[PERIODO Imp.]:[PERIODO Imp.]],CL$9)</f>
        <v>0</v>
      </c>
      <c r="CM342" s="693">
        <f>SUMIFS(Imput[[Importe Neto]:[Importe Neto]],Imput[[C. Imp.]:[C. Imp.]],$D342,Imput[[PERIODO Imp.]:[PERIODO Imp.]],CM$9)</f>
        <v>0</v>
      </c>
      <c r="CN342" s="693">
        <f>SUMIFS(Imput[[Importe Neto]:[Importe Neto]],Imput[[C. Imp.]:[C. Imp.]],$D342,Imput[[PERIODO Imp.]:[PERIODO Imp.]],CN$9)</f>
        <v>0</v>
      </c>
      <c r="CO342" s="693">
        <f>SUMIFS(Imput[[Importe Neto]:[Importe Neto]],Imput[[C. Imp.]:[C. Imp.]],$D342,Imput[[PERIODO Imp.]:[PERIODO Imp.]],CO$9)</f>
        <v>0</v>
      </c>
      <c r="CP342" s="693">
        <f>SUMIFS(Imput[[Importe Neto]:[Importe Neto]],Imput[[C. Imp.]:[C. Imp.]],$D342,Imput[[PERIODO Imp.]:[PERIODO Imp.]],CP$9)</f>
        <v>0</v>
      </c>
      <c r="CQ342" s="693">
        <f>SUMIFS(Imput[[Importe Neto]:[Importe Neto]],Imput[[C. Imp.]:[C. Imp.]],$D342,Imput[[PERIODO Imp.]:[PERIODO Imp.]],CQ$9)</f>
        <v>0</v>
      </c>
      <c r="CR342" s="693">
        <f>SUMIFS(Imput[[Importe Neto]:[Importe Neto]],Imput[[C. Imp.]:[C. Imp.]],$D342,Imput[[PERIODO Imp.]:[PERIODO Imp.]],CR$9)</f>
        <v>0</v>
      </c>
      <c r="CS342" s="693">
        <f>SUMIFS(Imput[[Importe Neto]:[Importe Neto]],Imput[[C. Imp.]:[C. Imp.]],$D342,Imput[[PERIODO Imp.]:[PERIODO Imp.]],CS$9)</f>
        <v>0</v>
      </c>
      <c r="CT342" s="693">
        <f>SUMIFS(Imput[[Importe Neto]:[Importe Neto]],Imput[[C. Imp.]:[C. Imp.]],$D342,Imput[[PERIODO Imp.]:[PERIODO Imp.]],CT$9)</f>
        <v>0</v>
      </c>
      <c r="CU342" s="693">
        <f>SUMIFS(Imput[[Importe Neto]:[Importe Neto]],Imput[[C. Imp.]:[C. Imp.]],$D342,Imput[[PERIODO Imp.]:[PERIODO Imp.]],CU$9)</f>
        <v>0</v>
      </c>
      <c r="CV342" s="693">
        <f>SUMIFS(Imput[[Importe Neto]:[Importe Neto]],Imput[[C. Imp.]:[C. Imp.]],$D342,Imput[[PERIODO Imp.]:[PERIODO Imp.]],CV$9)</f>
        <v>0</v>
      </c>
      <c r="CW342" s="693">
        <f>SUMIFS(Imput[[Importe Neto]:[Importe Neto]],Imput[[C. Imp.]:[C. Imp.]],$D342,Imput[[PERIODO Imp.]:[PERIODO Imp.]],CW$9)</f>
        <v>0</v>
      </c>
      <c r="CX342" s="693">
        <f>SUMIFS(Imput[[Importe Neto]:[Importe Neto]],Imput[[C. Imp.]:[C. Imp.]],$D342,Imput[[PERIODO Imp.]:[PERIODO Imp.]],CX$9)</f>
        <v>0</v>
      </c>
      <c r="CY342" s="693">
        <f>SUMIFS(Imput[[Importe Neto]:[Importe Neto]],Imput[[C. Imp.]:[C. Imp.]],$D342,Imput[[PERIODO Imp.]:[PERIODO Imp.]],CY$9)</f>
        <v>0</v>
      </c>
      <c r="CZ342" s="693">
        <f>SUMIFS(Imput[[Importe Neto]:[Importe Neto]],Imput[[C. Imp.]:[C. Imp.]],$D342,Imput[[PERIODO Imp.]:[PERIODO Imp.]],CZ$9)</f>
        <v>0</v>
      </c>
      <c r="DA342" s="693">
        <f>SUMIFS(Imput[[Importe Neto]:[Importe Neto]],Imput[[C. Imp.]:[C. Imp.]],$D342,Imput[[PERIODO Imp.]:[PERIODO Imp.]],DA$9)</f>
        <v>0</v>
      </c>
      <c r="DB342" s="693">
        <f>SUMIFS(Imput[[Importe Neto]:[Importe Neto]],Imput[[C. Imp.]:[C. Imp.]],$D342,Imput[[PERIODO Imp.]:[PERIODO Imp.]],DB$9)</f>
        <v>0</v>
      </c>
      <c r="DC342" s="693">
        <f>SUMIFS(Imput[[Importe Neto]:[Importe Neto]],Imput[[C. Imp.]:[C. Imp.]],$D342,Imput[[PERIODO Imp.]:[PERIODO Imp.]],DC$9)</f>
        <v>0</v>
      </c>
      <c r="DD342" s="693">
        <f>SUMIFS(Imput[[Importe Neto]:[Importe Neto]],Imput[[C. Imp.]:[C. Imp.]],$D342,Imput[[PERIODO Imp.]:[PERIODO Imp.]],DD$9)</f>
        <v>0</v>
      </c>
      <c r="DE342" s="693">
        <f>SUMIFS(Imput[[Importe Neto]:[Importe Neto]],Imput[[C. Imp.]:[C. Imp.]],$D342,Imput[[PERIODO Imp.]:[PERIODO Imp.]],DE$9)</f>
        <v>0</v>
      </c>
      <c r="DF342" s="693">
        <f>SUMIFS(Imput[[Importe Neto]:[Importe Neto]],Imput[[C. Imp.]:[C. Imp.]],$D342,Imput[[PERIODO Imp.]:[PERIODO Imp.]],DF$9)</f>
        <v>0</v>
      </c>
      <c r="DG342" s="693">
        <f>SUMIFS(Imput[[Importe Neto]:[Importe Neto]],Imput[[C. Imp.]:[C. Imp.]],$D342,Imput[[PERIODO Imp.]:[PERIODO Imp.]],DG$9)</f>
        <v>0</v>
      </c>
      <c r="DH342" s="694">
        <f>SUMIFS(Imput[[Importe Neto]:[Importe Neto]],Imput[[C. Imp.]:[C. Imp.]],$D342,Imput[[PERIODO Imp.]:[PERIODO Imp.]],DH$9)</f>
        <v>0</v>
      </c>
    </row>
    <row r="343" spans="1:112" s="649" customFormat="1" hidden="1" outlineLevel="1" x14ac:dyDescent="0.3">
      <c r="A343" s="652" t="str">
        <f t="shared" si="144"/>
        <v/>
      </c>
      <c r="B343" s="652"/>
      <c r="C343" s="685"/>
      <c r="D343" s="686" t="s">
        <v>2407</v>
      </c>
      <c r="E343" s="686"/>
      <c r="F343" s="720"/>
      <c r="G343" s="688"/>
      <c r="H343" s="689"/>
      <c r="I343" s="851" t="str">
        <f t="shared" si="149"/>
        <v/>
      </c>
      <c r="J343" s="850" t="str">
        <f t="shared" si="146"/>
        <v/>
      </c>
      <c r="K343" s="667"/>
      <c r="L343" s="858"/>
      <c r="M343" s="859"/>
      <c r="N343" s="859"/>
      <c r="O343" s="859"/>
      <c r="P343" s="859"/>
      <c r="Q343" s="859"/>
      <c r="R343" s="859"/>
      <c r="S343" s="859"/>
      <c r="T343" s="859"/>
      <c r="U343" s="859"/>
      <c r="V343" s="859"/>
      <c r="W343" s="859"/>
      <c r="X343" s="859"/>
      <c r="Y343" s="859"/>
      <c r="Z343" s="860"/>
      <c r="AA343" s="860"/>
      <c r="AB343" s="860"/>
      <c r="AC343" s="860"/>
      <c r="AD343" s="860"/>
      <c r="AE343" s="860"/>
      <c r="AF343" s="860"/>
      <c r="AG343" s="860"/>
      <c r="AH343" s="860"/>
      <c r="AI343" s="860"/>
      <c r="AJ343" s="860"/>
      <c r="AK343" s="860"/>
      <c r="AL343" s="860"/>
      <c r="AM343" s="860"/>
      <c r="AN343" s="860"/>
      <c r="AO343" s="860"/>
      <c r="AP343" s="860"/>
      <c r="AQ343" s="860"/>
      <c r="AR343" s="860"/>
      <c r="AS343" s="860"/>
      <c r="AT343" s="860"/>
      <c r="AU343" s="860"/>
      <c r="AV343" s="860"/>
      <c r="AW343" s="860"/>
      <c r="AX343" s="860"/>
      <c r="AY343" s="860"/>
      <c r="AZ343" s="860"/>
      <c r="BA343" s="860"/>
      <c r="BB343" s="860"/>
      <c r="BC343" s="860"/>
      <c r="BD343" s="860"/>
      <c r="BE343" s="860"/>
      <c r="BF343" s="860"/>
      <c r="BG343" s="860"/>
      <c r="BH343" s="668"/>
      <c r="BI343" s="654"/>
      <c r="BJ343" s="690">
        <f t="shared" si="150"/>
        <v>0</v>
      </c>
      <c r="BK343" s="691">
        <f t="shared" si="151"/>
        <v>0</v>
      </c>
      <c r="BL343" s="654"/>
      <c r="BM343" s="692">
        <f>SUMIFS(Imput[[Importe Neto]:[Importe Neto]],Imput[[C. Imp.]:[C. Imp.]],$D343,Imput[[PERIODO Imp.]:[PERIODO Imp.]],BM$9)</f>
        <v>0</v>
      </c>
      <c r="BN343" s="693">
        <f>SUMIFS(Imput[[Importe Neto]:[Importe Neto]],Imput[[C. Imp.]:[C. Imp.]],$D343,Imput[[PERIODO Imp.]:[PERIODO Imp.]],BN$9)</f>
        <v>0</v>
      </c>
      <c r="BO343" s="693">
        <f>SUMIFS(Imput[[Importe Neto]:[Importe Neto]],Imput[[C. Imp.]:[C. Imp.]],$D343,Imput[[PERIODO Imp.]:[PERIODO Imp.]],BO$9)</f>
        <v>0</v>
      </c>
      <c r="BP343" s="693">
        <f>SUMIFS(Imput[[Importe Neto]:[Importe Neto]],Imput[[C. Imp.]:[C. Imp.]],$D343,Imput[[PERIODO Imp.]:[PERIODO Imp.]],BP$9)</f>
        <v>0</v>
      </c>
      <c r="BQ343" s="693">
        <f>SUMIFS(Imput[[Importe Neto]:[Importe Neto]],Imput[[C. Imp.]:[C. Imp.]],$D343,Imput[[PERIODO Imp.]:[PERIODO Imp.]],BQ$9)</f>
        <v>0</v>
      </c>
      <c r="BR343" s="693">
        <f>SUMIFS(Imput[[Importe Neto]:[Importe Neto]],Imput[[C. Imp.]:[C. Imp.]],$D343,Imput[[PERIODO Imp.]:[PERIODO Imp.]],BR$9)</f>
        <v>0</v>
      </c>
      <c r="BS343" s="693">
        <f>SUMIFS(Imput[[Importe Neto]:[Importe Neto]],Imput[[C. Imp.]:[C. Imp.]],$D343,Imput[[PERIODO Imp.]:[PERIODO Imp.]],BS$9)</f>
        <v>0</v>
      </c>
      <c r="BT343" s="693">
        <f>SUMIFS(Imput[[Importe Neto]:[Importe Neto]],Imput[[C. Imp.]:[C. Imp.]],$D343,Imput[[PERIODO Imp.]:[PERIODO Imp.]],BT$9)</f>
        <v>0</v>
      </c>
      <c r="BU343" s="693">
        <f>SUMIFS(Imput[[Importe Neto]:[Importe Neto]],Imput[[C. Imp.]:[C. Imp.]],$D343,Imput[[PERIODO Imp.]:[PERIODO Imp.]],BU$9)</f>
        <v>0</v>
      </c>
      <c r="BV343" s="693">
        <f>SUMIFS(Imput[[Importe Neto]:[Importe Neto]],Imput[[C. Imp.]:[C. Imp.]],$D343,Imput[[PERIODO Imp.]:[PERIODO Imp.]],BV$9)</f>
        <v>0</v>
      </c>
      <c r="BW343" s="693">
        <f>SUMIFS(Imput[[Importe Neto]:[Importe Neto]],Imput[[C. Imp.]:[C. Imp.]],$D343,Imput[[PERIODO Imp.]:[PERIODO Imp.]],BW$9)</f>
        <v>0</v>
      </c>
      <c r="BX343" s="693">
        <f>SUMIFS(Imput[[Importe Neto]:[Importe Neto]],Imput[[C. Imp.]:[C. Imp.]],$D343,Imput[[PERIODO Imp.]:[PERIODO Imp.]],BX$9)</f>
        <v>0</v>
      </c>
      <c r="BY343" s="693">
        <f>SUMIFS(Imput[[Importe Neto]:[Importe Neto]],Imput[[C. Imp.]:[C. Imp.]],$D343,Imput[[PERIODO Imp.]:[PERIODO Imp.]],BY$9)</f>
        <v>0</v>
      </c>
      <c r="BZ343" s="693">
        <f>SUMIFS(Imput[[Importe Neto]:[Importe Neto]],Imput[[C. Imp.]:[C. Imp.]],$D343,Imput[[PERIODO Imp.]:[PERIODO Imp.]],BZ$9)</f>
        <v>0</v>
      </c>
      <c r="CA343" s="693">
        <f>SUMIFS(Imput[[Importe Neto]:[Importe Neto]],Imput[[C. Imp.]:[C. Imp.]],$D343,Imput[[PERIODO Imp.]:[PERIODO Imp.]],CA$9)</f>
        <v>0</v>
      </c>
      <c r="CB343" s="693">
        <f>SUMIFS(Imput[[Importe Neto]:[Importe Neto]],Imput[[C. Imp.]:[C. Imp.]],$D343,Imput[[PERIODO Imp.]:[PERIODO Imp.]],CB$9)</f>
        <v>0</v>
      </c>
      <c r="CC343" s="693">
        <f>SUMIFS(Imput[[Importe Neto]:[Importe Neto]],Imput[[C. Imp.]:[C. Imp.]],$D343,Imput[[PERIODO Imp.]:[PERIODO Imp.]],CC$9)</f>
        <v>0</v>
      </c>
      <c r="CD343" s="693">
        <f>SUMIFS(Imput[[Importe Neto]:[Importe Neto]],Imput[[C. Imp.]:[C. Imp.]],$D343,Imput[[PERIODO Imp.]:[PERIODO Imp.]],CD$9)</f>
        <v>0</v>
      </c>
      <c r="CE343" s="693">
        <f>SUMIFS(Imput[[Importe Neto]:[Importe Neto]],Imput[[C. Imp.]:[C. Imp.]],$D343,Imput[[PERIODO Imp.]:[PERIODO Imp.]],CE$9)</f>
        <v>0</v>
      </c>
      <c r="CF343" s="693">
        <f>SUMIFS(Imput[[Importe Neto]:[Importe Neto]],Imput[[C. Imp.]:[C. Imp.]],$D343,Imput[[PERIODO Imp.]:[PERIODO Imp.]],CF$9)</f>
        <v>0</v>
      </c>
      <c r="CG343" s="693">
        <f>SUMIFS(Imput[[Importe Neto]:[Importe Neto]],Imput[[C. Imp.]:[C. Imp.]],$D343,Imput[[PERIODO Imp.]:[PERIODO Imp.]],CG$9)</f>
        <v>0</v>
      </c>
      <c r="CH343" s="693">
        <f>SUMIFS(Imput[[Importe Neto]:[Importe Neto]],Imput[[C. Imp.]:[C. Imp.]],$D343,Imput[[PERIODO Imp.]:[PERIODO Imp.]],CH$9)</f>
        <v>0</v>
      </c>
      <c r="CI343" s="693">
        <f>SUMIFS(Imput[[Importe Neto]:[Importe Neto]],Imput[[C. Imp.]:[C. Imp.]],$D343,Imput[[PERIODO Imp.]:[PERIODO Imp.]],CI$9)</f>
        <v>0</v>
      </c>
      <c r="CJ343" s="693">
        <f>SUMIFS(Imput[[Importe Neto]:[Importe Neto]],Imput[[C. Imp.]:[C. Imp.]],$D343,Imput[[PERIODO Imp.]:[PERIODO Imp.]],CJ$9)</f>
        <v>0</v>
      </c>
      <c r="CK343" s="693">
        <f>SUMIFS(Imput[[Importe Neto]:[Importe Neto]],Imput[[C. Imp.]:[C. Imp.]],$D343,Imput[[PERIODO Imp.]:[PERIODO Imp.]],CK$9)</f>
        <v>0</v>
      </c>
      <c r="CL343" s="693">
        <f>SUMIFS(Imput[[Importe Neto]:[Importe Neto]],Imput[[C. Imp.]:[C. Imp.]],$D343,Imput[[PERIODO Imp.]:[PERIODO Imp.]],CL$9)</f>
        <v>0</v>
      </c>
      <c r="CM343" s="693">
        <f>SUMIFS(Imput[[Importe Neto]:[Importe Neto]],Imput[[C. Imp.]:[C. Imp.]],$D343,Imput[[PERIODO Imp.]:[PERIODO Imp.]],CM$9)</f>
        <v>0</v>
      </c>
      <c r="CN343" s="693">
        <f>SUMIFS(Imput[[Importe Neto]:[Importe Neto]],Imput[[C. Imp.]:[C. Imp.]],$D343,Imput[[PERIODO Imp.]:[PERIODO Imp.]],CN$9)</f>
        <v>0</v>
      </c>
      <c r="CO343" s="693">
        <f>SUMIFS(Imput[[Importe Neto]:[Importe Neto]],Imput[[C. Imp.]:[C. Imp.]],$D343,Imput[[PERIODO Imp.]:[PERIODO Imp.]],CO$9)</f>
        <v>0</v>
      </c>
      <c r="CP343" s="693">
        <f>SUMIFS(Imput[[Importe Neto]:[Importe Neto]],Imput[[C. Imp.]:[C. Imp.]],$D343,Imput[[PERIODO Imp.]:[PERIODO Imp.]],CP$9)</f>
        <v>0</v>
      </c>
      <c r="CQ343" s="693">
        <f>SUMIFS(Imput[[Importe Neto]:[Importe Neto]],Imput[[C. Imp.]:[C. Imp.]],$D343,Imput[[PERIODO Imp.]:[PERIODO Imp.]],CQ$9)</f>
        <v>0</v>
      </c>
      <c r="CR343" s="693">
        <f>SUMIFS(Imput[[Importe Neto]:[Importe Neto]],Imput[[C. Imp.]:[C. Imp.]],$D343,Imput[[PERIODO Imp.]:[PERIODO Imp.]],CR$9)</f>
        <v>0</v>
      </c>
      <c r="CS343" s="693">
        <f>SUMIFS(Imput[[Importe Neto]:[Importe Neto]],Imput[[C. Imp.]:[C. Imp.]],$D343,Imput[[PERIODO Imp.]:[PERIODO Imp.]],CS$9)</f>
        <v>0</v>
      </c>
      <c r="CT343" s="693">
        <f>SUMIFS(Imput[[Importe Neto]:[Importe Neto]],Imput[[C. Imp.]:[C. Imp.]],$D343,Imput[[PERIODO Imp.]:[PERIODO Imp.]],CT$9)</f>
        <v>0</v>
      </c>
      <c r="CU343" s="693">
        <f>SUMIFS(Imput[[Importe Neto]:[Importe Neto]],Imput[[C. Imp.]:[C. Imp.]],$D343,Imput[[PERIODO Imp.]:[PERIODO Imp.]],CU$9)</f>
        <v>0</v>
      </c>
      <c r="CV343" s="693">
        <f>SUMIFS(Imput[[Importe Neto]:[Importe Neto]],Imput[[C. Imp.]:[C. Imp.]],$D343,Imput[[PERIODO Imp.]:[PERIODO Imp.]],CV$9)</f>
        <v>0</v>
      </c>
      <c r="CW343" s="693">
        <f>SUMIFS(Imput[[Importe Neto]:[Importe Neto]],Imput[[C. Imp.]:[C. Imp.]],$D343,Imput[[PERIODO Imp.]:[PERIODO Imp.]],CW$9)</f>
        <v>0</v>
      </c>
      <c r="CX343" s="693">
        <f>SUMIFS(Imput[[Importe Neto]:[Importe Neto]],Imput[[C. Imp.]:[C. Imp.]],$D343,Imput[[PERIODO Imp.]:[PERIODO Imp.]],CX$9)</f>
        <v>0</v>
      </c>
      <c r="CY343" s="693">
        <f>SUMIFS(Imput[[Importe Neto]:[Importe Neto]],Imput[[C. Imp.]:[C. Imp.]],$D343,Imput[[PERIODO Imp.]:[PERIODO Imp.]],CY$9)</f>
        <v>0</v>
      </c>
      <c r="CZ343" s="693">
        <f>SUMIFS(Imput[[Importe Neto]:[Importe Neto]],Imput[[C. Imp.]:[C. Imp.]],$D343,Imput[[PERIODO Imp.]:[PERIODO Imp.]],CZ$9)</f>
        <v>0</v>
      </c>
      <c r="DA343" s="693">
        <f>SUMIFS(Imput[[Importe Neto]:[Importe Neto]],Imput[[C. Imp.]:[C. Imp.]],$D343,Imput[[PERIODO Imp.]:[PERIODO Imp.]],DA$9)</f>
        <v>0</v>
      </c>
      <c r="DB343" s="693">
        <f>SUMIFS(Imput[[Importe Neto]:[Importe Neto]],Imput[[C. Imp.]:[C. Imp.]],$D343,Imput[[PERIODO Imp.]:[PERIODO Imp.]],DB$9)</f>
        <v>0</v>
      </c>
      <c r="DC343" s="693">
        <f>SUMIFS(Imput[[Importe Neto]:[Importe Neto]],Imput[[C. Imp.]:[C. Imp.]],$D343,Imput[[PERIODO Imp.]:[PERIODO Imp.]],DC$9)</f>
        <v>0</v>
      </c>
      <c r="DD343" s="693">
        <f>SUMIFS(Imput[[Importe Neto]:[Importe Neto]],Imput[[C. Imp.]:[C. Imp.]],$D343,Imput[[PERIODO Imp.]:[PERIODO Imp.]],DD$9)</f>
        <v>0</v>
      </c>
      <c r="DE343" s="693">
        <f>SUMIFS(Imput[[Importe Neto]:[Importe Neto]],Imput[[C. Imp.]:[C. Imp.]],$D343,Imput[[PERIODO Imp.]:[PERIODO Imp.]],DE$9)</f>
        <v>0</v>
      </c>
      <c r="DF343" s="693">
        <f>SUMIFS(Imput[[Importe Neto]:[Importe Neto]],Imput[[C. Imp.]:[C. Imp.]],$D343,Imput[[PERIODO Imp.]:[PERIODO Imp.]],DF$9)</f>
        <v>0</v>
      </c>
      <c r="DG343" s="693">
        <f>SUMIFS(Imput[[Importe Neto]:[Importe Neto]],Imput[[C. Imp.]:[C. Imp.]],$D343,Imput[[PERIODO Imp.]:[PERIODO Imp.]],DG$9)</f>
        <v>0</v>
      </c>
      <c r="DH343" s="694">
        <f>SUMIFS(Imput[[Importe Neto]:[Importe Neto]],Imput[[C. Imp.]:[C. Imp.]],$D343,Imput[[PERIODO Imp.]:[PERIODO Imp.]],DH$9)</f>
        <v>0</v>
      </c>
    </row>
    <row r="344" spans="1:112" s="649" customFormat="1" hidden="1" outlineLevel="1" x14ac:dyDescent="0.3">
      <c r="A344" s="652" t="str">
        <f t="shared" si="144"/>
        <v/>
      </c>
      <c r="B344" s="652"/>
      <c r="C344" s="685"/>
      <c r="D344" s="686" t="s">
        <v>2408</v>
      </c>
      <c r="E344" s="686"/>
      <c r="F344" s="720"/>
      <c r="G344" s="688"/>
      <c r="H344" s="689"/>
      <c r="I344" s="851" t="str">
        <f t="shared" si="149"/>
        <v/>
      </c>
      <c r="J344" s="850" t="str">
        <f t="shared" si="146"/>
        <v/>
      </c>
      <c r="K344" s="667"/>
      <c r="L344" s="858"/>
      <c r="M344" s="859"/>
      <c r="N344" s="859"/>
      <c r="O344" s="859"/>
      <c r="P344" s="859"/>
      <c r="Q344" s="859"/>
      <c r="R344" s="859"/>
      <c r="S344" s="859"/>
      <c r="T344" s="859"/>
      <c r="U344" s="859"/>
      <c r="V344" s="859"/>
      <c r="W344" s="859"/>
      <c r="X344" s="859"/>
      <c r="Y344" s="859"/>
      <c r="Z344" s="860"/>
      <c r="AA344" s="860"/>
      <c r="AB344" s="860"/>
      <c r="AC344" s="860"/>
      <c r="AD344" s="860"/>
      <c r="AE344" s="860"/>
      <c r="AF344" s="860"/>
      <c r="AG344" s="860"/>
      <c r="AH344" s="860"/>
      <c r="AI344" s="860"/>
      <c r="AJ344" s="860"/>
      <c r="AK344" s="860"/>
      <c r="AL344" s="860"/>
      <c r="AM344" s="860"/>
      <c r="AN344" s="860"/>
      <c r="AO344" s="860"/>
      <c r="AP344" s="860"/>
      <c r="AQ344" s="860"/>
      <c r="AR344" s="860"/>
      <c r="AS344" s="860"/>
      <c r="AT344" s="860"/>
      <c r="AU344" s="860"/>
      <c r="AV344" s="860"/>
      <c r="AW344" s="860"/>
      <c r="AX344" s="860"/>
      <c r="AY344" s="860"/>
      <c r="AZ344" s="860"/>
      <c r="BA344" s="860"/>
      <c r="BB344" s="860"/>
      <c r="BC344" s="860"/>
      <c r="BD344" s="860"/>
      <c r="BE344" s="860"/>
      <c r="BF344" s="860"/>
      <c r="BG344" s="860"/>
      <c r="BH344" s="668"/>
      <c r="BI344" s="654"/>
      <c r="BJ344" s="690">
        <f t="shared" si="150"/>
        <v>0</v>
      </c>
      <c r="BK344" s="691">
        <f t="shared" si="151"/>
        <v>0</v>
      </c>
      <c r="BL344" s="654"/>
      <c r="BM344" s="692">
        <f>SUMIFS(Imput[[Importe Neto]:[Importe Neto]],Imput[[C. Imp.]:[C. Imp.]],$D344,Imput[[PERIODO Imp.]:[PERIODO Imp.]],BM$9)</f>
        <v>0</v>
      </c>
      <c r="BN344" s="693">
        <f>SUMIFS(Imput[[Importe Neto]:[Importe Neto]],Imput[[C. Imp.]:[C. Imp.]],$D344,Imput[[PERIODO Imp.]:[PERIODO Imp.]],BN$9)</f>
        <v>0</v>
      </c>
      <c r="BO344" s="693">
        <f>SUMIFS(Imput[[Importe Neto]:[Importe Neto]],Imput[[C. Imp.]:[C. Imp.]],$D344,Imput[[PERIODO Imp.]:[PERIODO Imp.]],BO$9)</f>
        <v>0</v>
      </c>
      <c r="BP344" s="693">
        <f>SUMIFS(Imput[[Importe Neto]:[Importe Neto]],Imput[[C. Imp.]:[C. Imp.]],$D344,Imput[[PERIODO Imp.]:[PERIODO Imp.]],BP$9)</f>
        <v>0</v>
      </c>
      <c r="BQ344" s="693">
        <f>SUMIFS(Imput[[Importe Neto]:[Importe Neto]],Imput[[C. Imp.]:[C. Imp.]],$D344,Imput[[PERIODO Imp.]:[PERIODO Imp.]],BQ$9)</f>
        <v>0</v>
      </c>
      <c r="BR344" s="693">
        <f>SUMIFS(Imput[[Importe Neto]:[Importe Neto]],Imput[[C. Imp.]:[C. Imp.]],$D344,Imput[[PERIODO Imp.]:[PERIODO Imp.]],BR$9)</f>
        <v>0</v>
      </c>
      <c r="BS344" s="693">
        <f>SUMIFS(Imput[[Importe Neto]:[Importe Neto]],Imput[[C. Imp.]:[C. Imp.]],$D344,Imput[[PERIODO Imp.]:[PERIODO Imp.]],BS$9)</f>
        <v>0</v>
      </c>
      <c r="BT344" s="693">
        <f>SUMIFS(Imput[[Importe Neto]:[Importe Neto]],Imput[[C. Imp.]:[C. Imp.]],$D344,Imput[[PERIODO Imp.]:[PERIODO Imp.]],BT$9)</f>
        <v>0</v>
      </c>
      <c r="BU344" s="693">
        <f>SUMIFS(Imput[[Importe Neto]:[Importe Neto]],Imput[[C. Imp.]:[C. Imp.]],$D344,Imput[[PERIODO Imp.]:[PERIODO Imp.]],BU$9)</f>
        <v>0</v>
      </c>
      <c r="BV344" s="693">
        <f>SUMIFS(Imput[[Importe Neto]:[Importe Neto]],Imput[[C. Imp.]:[C. Imp.]],$D344,Imput[[PERIODO Imp.]:[PERIODO Imp.]],BV$9)</f>
        <v>0</v>
      </c>
      <c r="BW344" s="693">
        <f>SUMIFS(Imput[[Importe Neto]:[Importe Neto]],Imput[[C. Imp.]:[C. Imp.]],$D344,Imput[[PERIODO Imp.]:[PERIODO Imp.]],BW$9)</f>
        <v>0</v>
      </c>
      <c r="BX344" s="693">
        <f>SUMIFS(Imput[[Importe Neto]:[Importe Neto]],Imput[[C. Imp.]:[C. Imp.]],$D344,Imput[[PERIODO Imp.]:[PERIODO Imp.]],BX$9)</f>
        <v>0</v>
      </c>
      <c r="BY344" s="693">
        <f>SUMIFS(Imput[[Importe Neto]:[Importe Neto]],Imput[[C. Imp.]:[C. Imp.]],$D344,Imput[[PERIODO Imp.]:[PERIODO Imp.]],BY$9)</f>
        <v>0</v>
      </c>
      <c r="BZ344" s="693">
        <f>SUMIFS(Imput[[Importe Neto]:[Importe Neto]],Imput[[C. Imp.]:[C. Imp.]],$D344,Imput[[PERIODO Imp.]:[PERIODO Imp.]],BZ$9)</f>
        <v>0</v>
      </c>
      <c r="CA344" s="693">
        <f>SUMIFS(Imput[[Importe Neto]:[Importe Neto]],Imput[[C. Imp.]:[C. Imp.]],$D344,Imput[[PERIODO Imp.]:[PERIODO Imp.]],CA$9)</f>
        <v>0</v>
      </c>
      <c r="CB344" s="693">
        <f>SUMIFS(Imput[[Importe Neto]:[Importe Neto]],Imput[[C. Imp.]:[C. Imp.]],$D344,Imput[[PERIODO Imp.]:[PERIODO Imp.]],CB$9)</f>
        <v>0</v>
      </c>
      <c r="CC344" s="693">
        <f>SUMIFS(Imput[[Importe Neto]:[Importe Neto]],Imput[[C. Imp.]:[C. Imp.]],$D344,Imput[[PERIODO Imp.]:[PERIODO Imp.]],CC$9)</f>
        <v>0</v>
      </c>
      <c r="CD344" s="693">
        <f>SUMIFS(Imput[[Importe Neto]:[Importe Neto]],Imput[[C. Imp.]:[C. Imp.]],$D344,Imput[[PERIODO Imp.]:[PERIODO Imp.]],CD$9)</f>
        <v>0</v>
      </c>
      <c r="CE344" s="693">
        <f>SUMIFS(Imput[[Importe Neto]:[Importe Neto]],Imput[[C. Imp.]:[C. Imp.]],$D344,Imput[[PERIODO Imp.]:[PERIODO Imp.]],CE$9)</f>
        <v>0</v>
      </c>
      <c r="CF344" s="693">
        <f>SUMIFS(Imput[[Importe Neto]:[Importe Neto]],Imput[[C. Imp.]:[C. Imp.]],$D344,Imput[[PERIODO Imp.]:[PERIODO Imp.]],CF$9)</f>
        <v>0</v>
      </c>
      <c r="CG344" s="693">
        <f>SUMIFS(Imput[[Importe Neto]:[Importe Neto]],Imput[[C. Imp.]:[C. Imp.]],$D344,Imput[[PERIODO Imp.]:[PERIODO Imp.]],CG$9)</f>
        <v>0</v>
      </c>
      <c r="CH344" s="693">
        <f>SUMIFS(Imput[[Importe Neto]:[Importe Neto]],Imput[[C. Imp.]:[C. Imp.]],$D344,Imput[[PERIODO Imp.]:[PERIODO Imp.]],CH$9)</f>
        <v>0</v>
      </c>
      <c r="CI344" s="693">
        <f>SUMIFS(Imput[[Importe Neto]:[Importe Neto]],Imput[[C. Imp.]:[C. Imp.]],$D344,Imput[[PERIODO Imp.]:[PERIODO Imp.]],CI$9)</f>
        <v>0</v>
      </c>
      <c r="CJ344" s="693">
        <f>SUMIFS(Imput[[Importe Neto]:[Importe Neto]],Imput[[C. Imp.]:[C. Imp.]],$D344,Imput[[PERIODO Imp.]:[PERIODO Imp.]],CJ$9)</f>
        <v>0</v>
      </c>
      <c r="CK344" s="693">
        <f>SUMIFS(Imput[[Importe Neto]:[Importe Neto]],Imput[[C. Imp.]:[C. Imp.]],$D344,Imput[[PERIODO Imp.]:[PERIODO Imp.]],CK$9)</f>
        <v>0</v>
      </c>
      <c r="CL344" s="693">
        <f>SUMIFS(Imput[[Importe Neto]:[Importe Neto]],Imput[[C. Imp.]:[C. Imp.]],$D344,Imput[[PERIODO Imp.]:[PERIODO Imp.]],CL$9)</f>
        <v>0</v>
      </c>
      <c r="CM344" s="693">
        <f>SUMIFS(Imput[[Importe Neto]:[Importe Neto]],Imput[[C. Imp.]:[C. Imp.]],$D344,Imput[[PERIODO Imp.]:[PERIODO Imp.]],CM$9)</f>
        <v>0</v>
      </c>
      <c r="CN344" s="693">
        <f>SUMIFS(Imput[[Importe Neto]:[Importe Neto]],Imput[[C. Imp.]:[C. Imp.]],$D344,Imput[[PERIODO Imp.]:[PERIODO Imp.]],CN$9)</f>
        <v>0</v>
      </c>
      <c r="CO344" s="693">
        <f>SUMIFS(Imput[[Importe Neto]:[Importe Neto]],Imput[[C. Imp.]:[C. Imp.]],$D344,Imput[[PERIODO Imp.]:[PERIODO Imp.]],CO$9)</f>
        <v>0</v>
      </c>
      <c r="CP344" s="693">
        <f>SUMIFS(Imput[[Importe Neto]:[Importe Neto]],Imput[[C. Imp.]:[C. Imp.]],$D344,Imput[[PERIODO Imp.]:[PERIODO Imp.]],CP$9)</f>
        <v>0</v>
      </c>
      <c r="CQ344" s="693">
        <f>SUMIFS(Imput[[Importe Neto]:[Importe Neto]],Imput[[C. Imp.]:[C. Imp.]],$D344,Imput[[PERIODO Imp.]:[PERIODO Imp.]],CQ$9)</f>
        <v>0</v>
      </c>
      <c r="CR344" s="693">
        <f>SUMIFS(Imput[[Importe Neto]:[Importe Neto]],Imput[[C. Imp.]:[C. Imp.]],$D344,Imput[[PERIODO Imp.]:[PERIODO Imp.]],CR$9)</f>
        <v>0</v>
      </c>
      <c r="CS344" s="693">
        <f>SUMIFS(Imput[[Importe Neto]:[Importe Neto]],Imput[[C. Imp.]:[C. Imp.]],$D344,Imput[[PERIODO Imp.]:[PERIODO Imp.]],CS$9)</f>
        <v>0</v>
      </c>
      <c r="CT344" s="693">
        <f>SUMIFS(Imput[[Importe Neto]:[Importe Neto]],Imput[[C. Imp.]:[C. Imp.]],$D344,Imput[[PERIODO Imp.]:[PERIODO Imp.]],CT$9)</f>
        <v>0</v>
      </c>
      <c r="CU344" s="693">
        <f>SUMIFS(Imput[[Importe Neto]:[Importe Neto]],Imput[[C. Imp.]:[C. Imp.]],$D344,Imput[[PERIODO Imp.]:[PERIODO Imp.]],CU$9)</f>
        <v>0</v>
      </c>
      <c r="CV344" s="693">
        <f>SUMIFS(Imput[[Importe Neto]:[Importe Neto]],Imput[[C. Imp.]:[C. Imp.]],$D344,Imput[[PERIODO Imp.]:[PERIODO Imp.]],CV$9)</f>
        <v>0</v>
      </c>
      <c r="CW344" s="693">
        <f>SUMIFS(Imput[[Importe Neto]:[Importe Neto]],Imput[[C. Imp.]:[C. Imp.]],$D344,Imput[[PERIODO Imp.]:[PERIODO Imp.]],CW$9)</f>
        <v>0</v>
      </c>
      <c r="CX344" s="693">
        <f>SUMIFS(Imput[[Importe Neto]:[Importe Neto]],Imput[[C. Imp.]:[C. Imp.]],$D344,Imput[[PERIODO Imp.]:[PERIODO Imp.]],CX$9)</f>
        <v>0</v>
      </c>
      <c r="CY344" s="693">
        <f>SUMIFS(Imput[[Importe Neto]:[Importe Neto]],Imput[[C. Imp.]:[C. Imp.]],$D344,Imput[[PERIODO Imp.]:[PERIODO Imp.]],CY$9)</f>
        <v>0</v>
      </c>
      <c r="CZ344" s="693">
        <f>SUMIFS(Imput[[Importe Neto]:[Importe Neto]],Imput[[C. Imp.]:[C. Imp.]],$D344,Imput[[PERIODO Imp.]:[PERIODO Imp.]],CZ$9)</f>
        <v>0</v>
      </c>
      <c r="DA344" s="693">
        <f>SUMIFS(Imput[[Importe Neto]:[Importe Neto]],Imput[[C. Imp.]:[C. Imp.]],$D344,Imput[[PERIODO Imp.]:[PERIODO Imp.]],DA$9)</f>
        <v>0</v>
      </c>
      <c r="DB344" s="693">
        <f>SUMIFS(Imput[[Importe Neto]:[Importe Neto]],Imput[[C. Imp.]:[C. Imp.]],$D344,Imput[[PERIODO Imp.]:[PERIODO Imp.]],DB$9)</f>
        <v>0</v>
      </c>
      <c r="DC344" s="693">
        <f>SUMIFS(Imput[[Importe Neto]:[Importe Neto]],Imput[[C. Imp.]:[C. Imp.]],$D344,Imput[[PERIODO Imp.]:[PERIODO Imp.]],DC$9)</f>
        <v>0</v>
      </c>
      <c r="DD344" s="693">
        <f>SUMIFS(Imput[[Importe Neto]:[Importe Neto]],Imput[[C. Imp.]:[C. Imp.]],$D344,Imput[[PERIODO Imp.]:[PERIODO Imp.]],DD$9)</f>
        <v>0</v>
      </c>
      <c r="DE344" s="693">
        <f>SUMIFS(Imput[[Importe Neto]:[Importe Neto]],Imput[[C. Imp.]:[C. Imp.]],$D344,Imput[[PERIODO Imp.]:[PERIODO Imp.]],DE$9)</f>
        <v>0</v>
      </c>
      <c r="DF344" s="693">
        <f>SUMIFS(Imput[[Importe Neto]:[Importe Neto]],Imput[[C. Imp.]:[C. Imp.]],$D344,Imput[[PERIODO Imp.]:[PERIODO Imp.]],DF$9)</f>
        <v>0</v>
      </c>
      <c r="DG344" s="693">
        <f>SUMIFS(Imput[[Importe Neto]:[Importe Neto]],Imput[[C. Imp.]:[C. Imp.]],$D344,Imput[[PERIODO Imp.]:[PERIODO Imp.]],DG$9)</f>
        <v>0</v>
      </c>
      <c r="DH344" s="694">
        <f>SUMIFS(Imput[[Importe Neto]:[Importe Neto]],Imput[[C. Imp.]:[C. Imp.]],$D344,Imput[[PERIODO Imp.]:[PERIODO Imp.]],DH$9)</f>
        <v>0</v>
      </c>
    </row>
    <row r="345" spans="1:112" s="649" customFormat="1" hidden="1" outlineLevel="1" x14ac:dyDescent="0.3">
      <c r="A345" s="652" t="str">
        <f t="shared" si="144"/>
        <v/>
      </c>
      <c r="B345" s="652"/>
      <c r="C345" s="685"/>
      <c r="D345" s="686" t="s">
        <v>2409</v>
      </c>
      <c r="E345" s="686"/>
      <c r="F345" s="720"/>
      <c r="G345" s="688"/>
      <c r="H345" s="689"/>
      <c r="I345" s="851" t="str">
        <f t="shared" si="149"/>
        <v/>
      </c>
      <c r="J345" s="850" t="str">
        <f t="shared" si="146"/>
        <v/>
      </c>
      <c r="K345" s="678"/>
      <c r="L345" s="858"/>
      <c r="M345" s="859"/>
      <c r="N345" s="859"/>
      <c r="O345" s="859"/>
      <c r="P345" s="859"/>
      <c r="Q345" s="859"/>
      <c r="R345" s="859"/>
      <c r="S345" s="859"/>
      <c r="T345" s="859"/>
      <c r="U345" s="859"/>
      <c r="V345" s="859"/>
      <c r="W345" s="859"/>
      <c r="X345" s="859"/>
      <c r="Y345" s="859"/>
      <c r="Z345" s="860"/>
      <c r="AA345" s="860"/>
      <c r="AB345" s="860"/>
      <c r="AC345" s="860"/>
      <c r="AD345" s="860"/>
      <c r="AE345" s="860"/>
      <c r="AF345" s="860"/>
      <c r="AG345" s="860"/>
      <c r="AH345" s="860"/>
      <c r="AI345" s="860"/>
      <c r="AJ345" s="860"/>
      <c r="AK345" s="860"/>
      <c r="AL345" s="860"/>
      <c r="AM345" s="860"/>
      <c r="AN345" s="860"/>
      <c r="AO345" s="860"/>
      <c r="AP345" s="860"/>
      <c r="AQ345" s="860"/>
      <c r="AR345" s="860"/>
      <c r="AS345" s="860"/>
      <c r="AT345" s="860"/>
      <c r="AU345" s="860"/>
      <c r="AV345" s="860"/>
      <c r="AW345" s="860"/>
      <c r="AX345" s="860"/>
      <c r="AY345" s="860"/>
      <c r="AZ345" s="860"/>
      <c r="BA345" s="860"/>
      <c r="BB345" s="860"/>
      <c r="BC345" s="860"/>
      <c r="BD345" s="860"/>
      <c r="BE345" s="860"/>
      <c r="BF345" s="860"/>
      <c r="BG345" s="860"/>
      <c r="BH345" s="668"/>
      <c r="BI345" s="654"/>
      <c r="BJ345" s="690">
        <f t="shared" si="150"/>
        <v>0</v>
      </c>
      <c r="BK345" s="691">
        <f t="shared" si="151"/>
        <v>0</v>
      </c>
      <c r="BL345" s="654"/>
      <c r="BM345" s="692">
        <f>SUMIFS(Imput[[Importe Neto]:[Importe Neto]],Imput[[C. Imp.]:[C. Imp.]],$D345,Imput[[PERIODO Imp.]:[PERIODO Imp.]],BM$9)</f>
        <v>0</v>
      </c>
      <c r="BN345" s="693">
        <f>SUMIFS(Imput[[Importe Neto]:[Importe Neto]],Imput[[C. Imp.]:[C. Imp.]],$D345,Imput[[PERIODO Imp.]:[PERIODO Imp.]],BN$9)</f>
        <v>0</v>
      </c>
      <c r="BO345" s="693">
        <f>SUMIFS(Imput[[Importe Neto]:[Importe Neto]],Imput[[C. Imp.]:[C. Imp.]],$D345,Imput[[PERIODO Imp.]:[PERIODO Imp.]],BO$9)</f>
        <v>0</v>
      </c>
      <c r="BP345" s="693">
        <f>SUMIFS(Imput[[Importe Neto]:[Importe Neto]],Imput[[C. Imp.]:[C. Imp.]],$D345,Imput[[PERIODO Imp.]:[PERIODO Imp.]],BP$9)</f>
        <v>0</v>
      </c>
      <c r="BQ345" s="693">
        <f>SUMIFS(Imput[[Importe Neto]:[Importe Neto]],Imput[[C. Imp.]:[C. Imp.]],$D345,Imput[[PERIODO Imp.]:[PERIODO Imp.]],BQ$9)</f>
        <v>0</v>
      </c>
      <c r="BR345" s="693">
        <f>SUMIFS(Imput[[Importe Neto]:[Importe Neto]],Imput[[C. Imp.]:[C. Imp.]],$D345,Imput[[PERIODO Imp.]:[PERIODO Imp.]],BR$9)</f>
        <v>0</v>
      </c>
      <c r="BS345" s="693">
        <f>SUMIFS(Imput[[Importe Neto]:[Importe Neto]],Imput[[C. Imp.]:[C. Imp.]],$D345,Imput[[PERIODO Imp.]:[PERIODO Imp.]],BS$9)</f>
        <v>0</v>
      </c>
      <c r="BT345" s="693">
        <f>SUMIFS(Imput[[Importe Neto]:[Importe Neto]],Imput[[C. Imp.]:[C. Imp.]],$D345,Imput[[PERIODO Imp.]:[PERIODO Imp.]],BT$9)</f>
        <v>0</v>
      </c>
      <c r="BU345" s="693">
        <f>SUMIFS(Imput[[Importe Neto]:[Importe Neto]],Imput[[C. Imp.]:[C. Imp.]],$D345,Imput[[PERIODO Imp.]:[PERIODO Imp.]],BU$9)</f>
        <v>0</v>
      </c>
      <c r="BV345" s="693">
        <f>SUMIFS(Imput[[Importe Neto]:[Importe Neto]],Imput[[C. Imp.]:[C. Imp.]],$D345,Imput[[PERIODO Imp.]:[PERIODO Imp.]],BV$9)</f>
        <v>0</v>
      </c>
      <c r="BW345" s="693">
        <f>SUMIFS(Imput[[Importe Neto]:[Importe Neto]],Imput[[C. Imp.]:[C. Imp.]],$D345,Imput[[PERIODO Imp.]:[PERIODO Imp.]],BW$9)</f>
        <v>0</v>
      </c>
      <c r="BX345" s="693">
        <f>SUMIFS(Imput[[Importe Neto]:[Importe Neto]],Imput[[C. Imp.]:[C. Imp.]],$D345,Imput[[PERIODO Imp.]:[PERIODO Imp.]],BX$9)</f>
        <v>0</v>
      </c>
      <c r="BY345" s="693">
        <f>SUMIFS(Imput[[Importe Neto]:[Importe Neto]],Imput[[C. Imp.]:[C. Imp.]],$D345,Imput[[PERIODO Imp.]:[PERIODO Imp.]],BY$9)</f>
        <v>0</v>
      </c>
      <c r="BZ345" s="693">
        <f>SUMIFS(Imput[[Importe Neto]:[Importe Neto]],Imput[[C. Imp.]:[C. Imp.]],$D345,Imput[[PERIODO Imp.]:[PERIODO Imp.]],BZ$9)</f>
        <v>0</v>
      </c>
      <c r="CA345" s="693">
        <f>SUMIFS(Imput[[Importe Neto]:[Importe Neto]],Imput[[C. Imp.]:[C. Imp.]],$D345,Imput[[PERIODO Imp.]:[PERIODO Imp.]],CA$9)</f>
        <v>0</v>
      </c>
      <c r="CB345" s="693">
        <f>SUMIFS(Imput[[Importe Neto]:[Importe Neto]],Imput[[C. Imp.]:[C. Imp.]],$D345,Imput[[PERIODO Imp.]:[PERIODO Imp.]],CB$9)</f>
        <v>0</v>
      </c>
      <c r="CC345" s="693">
        <f>SUMIFS(Imput[[Importe Neto]:[Importe Neto]],Imput[[C. Imp.]:[C. Imp.]],$D345,Imput[[PERIODO Imp.]:[PERIODO Imp.]],CC$9)</f>
        <v>0</v>
      </c>
      <c r="CD345" s="693">
        <f>SUMIFS(Imput[[Importe Neto]:[Importe Neto]],Imput[[C. Imp.]:[C. Imp.]],$D345,Imput[[PERIODO Imp.]:[PERIODO Imp.]],CD$9)</f>
        <v>0</v>
      </c>
      <c r="CE345" s="693">
        <f>SUMIFS(Imput[[Importe Neto]:[Importe Neto]],Imput[[C. Imp.]:[C. Imp.]],$D345,Imput[[PERIODO Imp.]:[PERIODO Imp.]],CE$9)</f>
        <v>0</v>
      </c>
      <c r="CF345" s="693">
        <f>SUMIFS(Imput[[Importe Neto]:[Importe Neto]],Imput[[C. Imp.]:[C. Imp.]],$D345,Imput[[PERIODO Imp.]:[PERIODO Imp.]],CF$9)</f>
        <v>0</v>
      </c>
      <c r="CG345" s="693">
        <f>SUMIFS(Imput[[Importe Neto]:[Importe Neto]],Imput[[C. Imp.]:[C. Imp.]],$D345,Imput[[PERIODO Imp.]:[PERIODO Imp.]],CG$9)</f>
        <v>0</v>
      </c>
      <c r="CH345" s="693">
        <f>SUMIFS(Imput[[Importe Neto]:[Importe Neto]],Imput[[C. Imp.]:[C. Imp.]],$D345,Imput[[PERIODO Imp.]:[PERIODO Imp.]],CH$9)</f>
        <v>0</v>
      </c>
      <c r="CI345" s="693">
        <f>SUMIFS(Imput[[Importe Neto]:[Importe Neto]],Imput[[C. Imp.]:[C. Imp.]],$D345,Imput[[PERIODO Imp.]:[PERIODO Imp.]],CI$9)</f>
        <v>0</v>
      </c>
      <c r="CJ345" s="693">
        <f>SUMIFS(Imput[[Importe Neto]:[Importe Neto]],Imput[[C. Imp.]:[C. Imp.]],$D345,Imput[[PERIODO Imp.]:[PERIODO Imp.]],CJ$9)</f>
        <v>0</v>
      </c>
      <c r="CK345" s="693">
        <f>SUMIFS(Imput[[Importe Neto]:[Importe Neto]],Imput[[C. Imp.]:[C. Imp.]],$D345,Imput[[PERIODO Imp.]:[PERIODO Imp.]],CK$9)</f>
        <v>0</v>
      </c>
      <c r="CL345" s="693">
        <f>SUMIFS(Imput[[Importe Neto]:[Importe Neto]],Imput[[C. Imp.]:[C. Imp.]],$D345,Imput[[PERIODO Imp.]:[PERIODO Imp.]],CL$9)</f>
        <v>0</v>
      </c>
      <c r="CM345" s="693">
        <f>SUMIFS(Imput[[Importe Neto]:[Importe Neto]],Imput[[C. Imp.]:[C. Imp.]],$D345,Imput[[PERIODO Imp.]:[PERIODO Imp.]],CM$9)</f>
        <v>0</v>
      </c>
      <c r="CN345" s="693">
        <f>SUMIFS(Imput[[Importe Neto]:[Importe Neto]],Imput[[C. Imp.]:[C. Imp.]],$D345,Imput[[PERIODO Imp.]:[PERIODO Imp.]],CN$9)</f>
        <v>0</v>
      </c>
      <c r="CO345" s="693">
        <f>SUMIFS(Imput[[Importe Neto]:[Importe Neto]],Imput[[C. Imp.]:[C. Imp.]],$D345,Imput[[PERIODO Imp.]:[PERIODO Imp.]],CO$9)</f>
        <v>0</v>
      </c>
      <c r="CP345" s="693">
        <f>SUMIFS(Imput[[Importe Neto]:[Importe Neto]],Imput[[C. Imp.]:[C. Imp.]],$D345,Imput[[PERIODO Imp.]:[PERIODO Imp.]],CP$9)</f>
        <v>0</v>
      </c>
      <c r="CQ345" s="693">
        <f>SUMIFS(Imput[[Importe Neto]:[Importe Neto]],Imput[[C. Imp.]:[C. Imp.]],$D345,Imput[[PERIODO Imp.]:[PERIODO Imp.]],CQ$9)</f>
        <v>0</v>
      </c>
      <c r="CR345" s="693">
        <f>SUMIFS(Imput[[Importe Neto]:[Importe Neto]],Imput[[C. Imp.]:[C. Imp.]],$D345,Imput[[PERIODO Imp.]:[PERIODO Imp.]],CR$9)</f>
        <v>0</v>
      </c>
      <c r="CS345" s="693">
        <f>SUMIFS(Imput[[Importe Neto]:[Importe Neto]],Imput[[C. Imp.]:[C. Imp.]],$D345,Imput[[PERIODO Imp.]:[PERIODO Imp.]],CS$9)</f>
        <v>0</v>
      </c>
      <c r="CT345" s="693">
        <f>SUMIFS(Imput[[Importe Neto]:[Importe Neto]],Imput[[C. Imp.]:[C. Imp.]],$D345,Imput[[PERIODO Imp.]:[PERIODO Imp.]],CT$9)</f>
        <v>0</v>
      </c>
      <c r="CU345" s="693">
        <f>SUMIFS(Imput[[Importe Neto]:[Importe Neto]],Imput[[C. Imp.]:[C. Imp.]],$D345,Imput[[PERIODO Imp.]:[PERIODO Imp.]],CU$9)</f>
        <v>0</v>
      </c>
      <c r="CV345" s="693">
        <f>SUMIFS(Imput[[Importe Neto]:[Importe Neto]],Imput[[C. Imp.]:[C. Imp.]],$D345,Imput[[PERIODO Imp.]:[PERIODO Imp.]],CV$9)</f>
        <v>0</v>
      </c>
      <c r="CW345" s="693">
        <f>SUMIFS(Imput[[Importe Neto]:[Importe Neto]],Imput[[C. Imp.]:[C. Imp.]],$D345,Imput[[PERIODO Imp.]:[PERIODO Imp.]],CW$9)</f>
        <v>0</v>
      </c>
      <c r="CX345" s="693">
        <f>SUMIFS(Imput[[Importe Neto]:[Importe Neto]],Imput[[C. Imp.]:[C. Imp.]],$D345,Imput[[PERIODO Imp.]:[PERIODO Imp.]],CX$9)</f>
        <v>0</v>
      </c>
      <c r="CY345" s="693">
        <f>SUMIFS(Imput[[Importe Neto]:[Importe Neto]],Imput[[C. Imp.]:[C. Imp.]],$D345,Imput[[PERIODO Imp.]:[PERIODO Imp.]],CY$9)</f>
        <v>0</v>
      </c>
      <c r="CZ345" s="693">
        <f>SUMIFS(Imput[[Importe Neto]:[Importe Neto]],Imput[[C. Imp.]:[C. Imp.]],$D345,Imput[[PERIODO Imp.]:[PERIODO Imp.]],CZ$9)</f>
        <v>0</v>
      </c>
      <c r="DA345" s="693">
        <f>SUMIFS(Imput[[Importe Neto]:[Importe Neto]],Imput[[C. Imp.]:[C. Imp.]],$D345,Imput[[PERIODO Imp.]:[PERIODO Imp.]],DA$9)</f>
        <v>0</v>
      </c>
      <c r="DB345" s="693">
        <f>SUMIFS(Imput[[Importe Neto]:[Importe Neto]],Imput[[C. Imp.]:[C. Imp.]],$D345,Imput[[PERIODO Imp.]:[PERIODO Imp.]],DB$9)</f>
        <v>0</v>
      </c>
      <c r="DC345" s="693">
        <f>SUMIFS(Imput[[Importe Neto]:[Importe Neto]],Imput[[C. Imp.]:[C. Imp.]],$D345,Imput[[PERIODO Imp.]:[PERIODO Imp.]],DC$9)</f>
        <v>0</v>
      </c>
      <c r="DD345" s="693">
        <f>SUMIFS(Imput[[Importe Neto]:[Importe Neto]],Imput[[C. Imp.]:[C. Imp.]],$D345,Imput[[PERIODO Imp.]:[PERIODO Imp.]],DD$9)</f>
        <v>0</v>
      </c>
      <c r="DE345" s="693">
        <f>SUMIFS(Imput[[Importe Neto]:[Importe Neto]],Imput[[C. Imp.]:[C. Imp.]],$D345,Imput[[PERIODO Imp.]:[PERIODO Imp.]],DE$9)</f>
        <v>0</v>
      </c>
      <c r="DF345" s="693">
        <f>SUMIFS(Imput[[Importe Neto]:[Importe Neto]],Imput[[C. Imp.]:[C. Imp.]],$D345,Imput[[PERIODO Imp.]:[PERIODO Imp.]],DF$9)</f>
        <v>0</v>
      </c>
      <c r="DG345" s="693">
        <f>SUMIFS(Imput[[Importe Neto]:[Importe Neto]],Imput[[C. Imp.]:[C. Imp.]],$D345,Imput[[PERIODO Imp.]:[PERIODO Imp.]],DG$9)</f>
        <v>0</v>
      </c>
      <c r="DH345" s="694">
        <f>SUMIFS(Imput[[Importe Neto]:[Importe Neto]],Imput[[C. Imp.]:[C. Imp.]],$D345,Imput[[PERIODO Imp.]:[PERIODO Imp.]],DH$9)</f>
        <v>0</v>
      </c>
    </row>
    <row r="346" spans="1:112" s="649" customFormat="1" hidden="1" outlineLevel="1" x14ac:dyDescent="0.3">
      <c r="A346" s="652" t="str">
        <f t="shared" si="144"/>
        <v/>
      </c>
      <c r="B346" s="652"/>
      <c r="C346" s="685"/>
      <c r="D346" s="686" t="s">
        <v>2410</v>
      </c>
      <c r="E346" s="728"/>
      <c r="F346" s="720"/>
      <c r="G346" s="688"/>
      <c r="H346" s="689"/>
      <c r="I346" s="851" t="str">
        <f t="shared" si="149"/>
        <v/>
      </c>
      <c r="J346" s="850" t="str">
        <f t="shared" si="146"/>
        <v/>
      </c>
      <c r="K346" s="667"/>
      <c r="L346" s="858"/>
      <c r="M346" s="859"/>
      <c r="N346" s="859"/>
      <c r="O346" s="859"/>
      <c r="P346" s="859"/>
      <c r="Q346" s="859"/>
      <c r="R346" s="859"/>
      <c r="S346" s="859"/>
      <c r="T346" s="859"/>
      <c r="U346" s="859"/>
      <c r="V346" s="859"/>
      <c r="W346" s="859"/>
      <c r="X346" s="859"/>
      <c r="Y346" s="859"/>
      <c r="Z346" s="860"/>
      <c r="AA346" s="860"/>
      <c r="AB346" s="860"/>
      <c r="AC346" s="860"/>
      <c r="AD346" s="860"/>
      <c r="AE346" s="860"/>
      <c r="AF346" s="860"/>
      <c r="AG346" s="860"/>
      <c r="AH346" s="860"/>
      <c r="AI346" s="860"/>
      <c r="AJ346" s="860"/>
      <c r="AK346" s="860"/>
      <c r="AL346" s="860"/>
      <c r="AM346" s="860"/>
      <c r="AN346" s="860"/>
      <c r="AO346" s="860"/>
      <c r="AP346" s="860"/>
      <c r="AQ346" s="860"/>
      <c r="AR346" s="860"/>
      <c r="AS346" s="860"/>
      <c r="AT346" s="860"/>
      <c r="AU346" s="860"/>
      <c r="AV346" s="860"/>
      <c r="AW346" s="860"/>
      <c r="AX346" s="860"/>
      <c r="AY346" s="860"/>
      <c r="AZ346" s="860"/>
      <c r="BA346" s="860"/>
      <c r="BB346" s="860"/>
      <c r="BC346" s="860"/>
      <c r="BD346" s="860"/>
      <c r="BE346" s="860"/>
      <c r="BF346" s="860"/>
      <c r="BG346" s="860"/>
      <c r="BH346" s="668"/>
      <c r="BI346" s="667"/>
      <c r="BJ346" s="690">
        <f t="shared" si="150"/>
        <v>0</v>
      </c>
      <c r="BK346" s="691">
        <f t="shared" si="151"/>
        <v>0</v>
      </c>
      <c r="BL346" s="654"/>
      <c r="BM346" s="692">
        <f>SUMIFS(Imput[[Importe Neto]:[Importe Neto]],Imput[[C. Imp.]:[C. Imp.]],$D346,Imput[[PERIODO Imp.]:[PERIODO Imp.]],BM$9)</f>
        <v>0</v>
      </c>
      <c r="BN346" s="693">
        <f>SUMIFS(Imput[[Importe Neto]:[Importe Neto]],Imput[[C. Imp.]:[C. Imp.]],$D346,Imput[[PERIODO Imp.]:[PERIODO Imp.]],BN$9)</f>
        <v>0</v>
      </c>
      <c r="BO346" s="693">
        <f>SUMIFS(Imput[[Importe Neto]:[Importe Neto]],Imput[[C. Imp.]:[C. Imp.]],$D346,Imput[[PERIODO Imp.]:[PERIODO Imp.]],BO$9)</f>
        <v>0</v>
      </c>
      <c r="BP346" s="693">
        <f>SUMIFS(Imput[[Importe Neto]:[Importe Neto]],Imput[[C. Imp.]:[C. Imp.]],$D346,Imput[[PERIODO Imp.]:[PERIODO Imp.]],BP$9)</f>
        <v>0</v>
      </c>
      <c r="BQ346" s="693">
        <f>SUMIFS(Imput[[Importe Neto]:[Importe Neto]],Imput[[C. Imp.]:[C. Imp.]],$D346,Imput[[PERIODO Imp.]:[PERIODO Imp.]],BQ$9)</f>
        <v>0</v>
      </c>
      <c r="BR346" s="693">
        <f>SUMIFS(Imput[[Importe Neto]:[Importe Neto]],Imput[[C. Imp.]:[C. Imp.]],$D346,Imput[[PERIODO Imp.]:[PERIODO Imp.]],BR$9)</f>
        <v>0</v>
      </c>
      <c r="BS346" s="693">
        <f>SUMIFS(Imput[[Importe Neto]:[Importe Neto]],Imput[[C. Imp.]:[C. Imp.]],$D346,Imput[[PERIODO Imp.]:[PERIODO Imp.]],BS$9)</f>
        <v>0</v>
      </c>
      <c r="BT346" s="693">
        <f>SUMIFS(Imput[[Importe Neto]:[Importe Neto]],Imput[[C. Imp.]:[C. Imp.]],$D346,Imput[[PERIODO Imp.]:[PERIODO Imp.]],BT$9)</f>
        <v>0</v>
      </c>
      <c r="BU346" s="693">
        <f>SUMIFS(Imput[[Importe Neto]:[Importe Neto]],Imput[[C. Imp.]:[C. Imp.]],$D346,Imput[[PERIODO Imp.]:[PERIODO Imp.]],BU$9)</f>
        <v>0</v>
      </c>
      <c r="BV346" s="693">
        <f>SUMIFS(Imput[[Importe Neto]:[Importe Neto]],Imput[[C. Imp.]:[C. Imp.]],$D346,Imput[[PERIODO Imp.]:[PERIODO Imp.]],BV$9)</f>
        <v>0</v>
      </c>
      <c r="BW346" s="693">
        <f>SUMIFS(Imput[[Importe Neto]:[Importe Neto]],Imput[[C. Imp.]:[C. Imp.]],$D346,Imput[[PERIODO Imp.]:[PERIODO Imp.]],BW$9)</f>
        <v>0</v>
      </c>
      <c r="BX346" s="693">
        <f>SUMIFS(Imput[[Importe Neto]:[Importe Neto]],Imput[[C. Imp.]:[C. Imp.]],$D346,Imput[[PERIODO Imp.]:[PERIODO Imp.]],BX$9)</f>
        <v>0</v>
      </c>
      <c r="BY346" s="693">
        <f>SUMIFS(Imput[[Importe Neto]:[Importe Neto]],Imput[[C. Imp.]:[C. Imp.]],$D346,Imput[[PERIODO Imp.]:[PERIODO Imp.]],BY$9)</f>
        <v>0</v>
      </c>
      <c r="BZ346" s="693">
        <f>SUMIFS(Imput[[Importe Neto]:[Importe Neto]],Imput[[C. Imp.]:[C. Imp.]],$D346,Imput[[PERIODO Imp.]:[PERIODO Imp.]],BZ$9)</f>
        <v>0</v>
      </c>
      <c r="CA346" s="693">
        <f>SUMIFS(Imput[[Importe Neto]:[Importe Neto]],Imput[[C. Imp.]:[C. Imp.]],$D346,Imput[[PERIODO Imp.]:[PERIODO Imp.]],CA$9)</f>
        <v>0</v>
      </c>
      <c r="CB346" s="693">
        <f>SUMIFS(Imput[[Importe Neto]:[Importe Neto]],Imput[[C. Imp.]:[C. Imp.]],$D346,Imput[[PERIODO Imp.]:[PERIODO Imp.]],CB$9)</f>
        <v>0</v>
      </c>
      <c r="CC346" s="693">
        <f>SUMIFS(Imput[[Importe Neto]:[Importe Neto]],Imput[[C. Imp.]:[C. Imp.]],$D346,Imput[[PERIODO Imp.]:[PERIODO Imp.]],CC$9)</f>
        <v>0</v>
      </c>
      <c r="CD346" s="693">
        <f>SUMIFS(Imput[[Importe Neto]:[Importe Neto]],Imput[[C. Imp.]:[C. Imp.]],$D346,Imput[[PERIODO Imp.]:[PERIODO Imp.]],CD$9)</f>
        <v>0</v>
      </c>
      <c r="CE346" s="693">
        <f>SUMIFS(Imput[[Importe Neto]:[Importe Neto]],Imput[[C. Imp.]:[C. Imp.]],$D346,Imput[[PERIODO Imp.]:[PERIODO Imp.]],CE$9)</f>
        <v>0</v>
      </c>
      <c r="CF346" s="693">
        <f>SUMIFS(Imput[[Importe Neto]:[Importe Neto]],Imput[[C. Imp.]:[C. Imp.]],$D346,Imput[[PERIODO Imp.]:[PERIODO Imp.]],CF$9)</f>
        <v>0</v>
      </c>
      <c r="CG346" s="693">
        <f>SUMIFS(Imput[[Importe Neto]:[Importe Neto]],Imput[[C. Imp.]:[C. Imp.]],$D346,Imput[[PERIODO Imp.]:[PERIODO Imp.]],CG$9)</f>
        <v>0</v>
      </c>
      <c r="CH346" s="693">
        <f>SUMIFS(Imput[[Importe Neto]:[Importe Neto]],Imput[[C. Imp.]:[C. Imp.]],$D346,Imput[[PERIODO Imp.]:[PERIODO Imp.]],CH$9)</f>
        <v>0</v>
      </c>
      <c r="CI346" s="693">
        <f>SUMIFS(Imput[[Importe Neto]:[Importe Neto]],Imput[[C. Imp.]:[C. Imp.]],$D346,Imput[[PERIODO Imp.]:[PERIODO Imp.]],CI$9)</f>
        <v>0</v>
      </c>
      <c r="CJ346" s="693">
        <f>SUMIFS(Imput[[Importe Neto]:[Importe Neto]],Imput[[C. Imp.]:[C. Imp.]],$D346,Imput[[PERIODO Imp.]:[PERIODO Imp.]],CJ$9)</f>
        <v>0</v>
      </c>
      <c r="CK346" s="693">
        <f>SUMIFS(Imput[[Importe Neto]:[Importe Neto]],Imput[[C. Imp.]:[C. Imp.]],$D346,Imput[[PERIODO Imp.]:[PERIODO Imp.]],CK$9)</f>
        <v>0</v>
      </c>
      <c r="CL346" s="693">
        <f>SUMIFS(Imput[[Importe Neto]:[Importe Neto]],Imput[[C. Imp.]:[C. Imp.]],$D346,Imput[[PERIODO Imp.]:[PERIODO Imp.]],CL$9)</f>
        <v>0</v>
      </c>
      <c r="CM346" s="693">
        <f>SUMIFS(Imput[[Importe Neto]:[Importe Neto]],Imput[[C. Imp.]:[C. Imp.]],$D346,Imput[[PERIODO Imp.]:[PERIODO Imp.]],CM$9)</f>
        <v>0</v>
      </c>
      <c r="CN346" s="693">
        <f>SUMIFS(Imput[[Importe Neto]:[Importe Neto]],Imput[[C. Imp.]:[C. Imp.]],$D346,Imput[[PERIODO Imp.]:[PERIODO Imp.]],CN$9)</f>
        <v>0</v>
      </c>
      <c r="CO346" s="693">
        <f>SUMIFS(Imput[[Importe Neto]:[Importe Neto]],Imput[[C. Imp.]:[C. Imp.]],$D346,Imput[[PERIODO Imp.]:[PERIODO Imp.]],CO$9)</f>
        <v>0</v>
      </c>
      <c r="CP346" s="693">
        <f>SUMIFS(Imput[[Importe Neto]:[Importe Neto]],Imput[[C. Imp.]:[C. Imp.]],$D346,Imput[[PERIODO Imp.]:[PERIODO Imp.]],CP$9)</f>
        <v>0</v>
      </c>
      <c r="CQ346" s="693">
        <f>SUMIFS(Imput[[Importe Neto]:[Importe Neto]],Imput[[C. Imp.]:[C. Imp.]],$D346,Imput[[PERIODO Imp.]:[PERIODO Imp.]],CQ$9)</f>
        <v>0</v>
      </c>
      <c r="CR346" s="693">
        <f>SUMIFS(Imput[[Importe Neto]:[Importe Neto]],Imput[[C. Imp.]:[C. Imp.]],$D346,Imput[[PERIODO Imp.]:[PERIODO Imp.]],CR$9)</f>
        <v>0</v>
      </c>
      <c r="CS346" s="693">
        <f>SUMIFS(Imput[[Importe Neto]:[Importe Neto]],Imput[[C. Imp.]:[C. Imp.]],$D346,Imput[[PERIODO Imp.]:[PERIODO Imp.]],CS$9)</f>
        <v>0</v>
      </c>
      <c r="CT346" s="693">
        <f>SUMIFS(Imput[[Importe Neto]:[Importe Neto]],Imput[[C. Imp.]:[C. Imp.]],$D346,Imput[[PERIODO Imp.]:[PERIODO Imp.]],CT$9)</f>
        <v>0</v>
      </c>
      <c r="CU346" s="693">
        <f>SUMIFS(Imput[[Importe Neto]:[Importe Neto]],Imput[[C. Imp.]:[C. Imp.]],$D346,Imput[[PERIODO Imp.]:[PERIODO Imp.]],CU$9)</f>
        <v>0</v>
      </c>
      <c r="CV346" s="693">
        <f>SUMIFS(Imput[[Importe Neto]:[Importe Neto]],Imput[[C. Imp.]:[C. Imp.]],$D346,Imput[[PERIODO Imp.]:[PERIODO Imp.]],CV$9)</f>
        <v>0</v>
      </c>
      <c r="CW346" s="693">
        <f>SUMIFS(Imput[[Importe Neto]:[Importe Neto]],Imput[[C. Imp.]:[C. Imp.]],$D346,Imput[[PERIODO Imp.]:[PERIODO Imp.]],CW$9)</f>
        <v>0</v>
      </c>
      <c r="CX346" s="693">
        <f>SUMIFS(Imput[[Importe Neto]:[Importe Neto]],Imput[[C. Imp.]:[C. Imp.]],$D346,Imput[[PERIODO Imp.]:[PERIODO Imp.]],CX$9)</f>
        <v>0</v>
      </c>
      <c r="CY346" s="693">
        <f>SUMIFS(Imput[[Importe Neto]:[Importe Neto]],Imput[[C. Imp.]:[C. Imp.]],$D346,Imput[[PERIODO Imp.]:[PERIODO Imp.]],CY$9)</f>
        <v>0</v>
      </c>
      <c r="CZ346" s="693">
        <f>SUMIFS(Imput[[Importe Neto]:[Importe Neto]],Imput[[C. Imp.]:[C. Imp.]],$D346,Imput[[PERIODO Imp.]:[PERIODO Imp.]],CZ$9)</f>
        <v>0</v>
      </c>
      <c r="DA346" s="693">
        <f>SUMIFS(Imput[[Importe Neto]:[Importe Neto]],Imput[[C. Imp.]:[C. Imp.]],$D346,Imput[[PERIODO Imp.]:[PERIODO Imp.]],DA$9)</f>
        <v>0</v>
      </c>
      <c r="DB346" s="693">
        <f>SUMIFS(Imput[[Importe Neto]:[Importe Neto]],Imput[[C. Imp.]:[C. Imp.]],$D346,Imput[[PERIODO Imp.]:[PERIODO Imp.]],DB$9)</f>
        <v>0</v>
      </c>
      <c r="DC346" s="693">
        <f>SUMIFS(Imput[[Importe Neto]:[Importe Neto]],Imput[[C. Imp.]:[C. Imp.]],$D346,Imput[[PERIODO Imp.]:[PERIODO Imp.]],DC$9)</f>
        <v>0</v>
      </c>
      <c r="DD346" s="693">
        <f>SUMIFS(Imput[[Importe Neto]:[Importe Neto]],Imput[[C. Imp.]:[C. Imp.]],$D346,Imput[[PERIODO Imp.]:[PERIODO Imp.]],DD$9)</f>
        <v>0</v>
      </c>
      <c r="DE346" s="693">
        <f>SUMIFS(Imput[[Importe Neto]:[Importe Neto]],Imput[[C. Imp.]:[C. Imp.]],$D346,Imput[[PERIODO Imp.]:[PERIODO Imp.]],DE$9)</f>
        <v>0</v>
      </c>
      <c r="DF346" s="693">
        <f>SUMIFS(Imput[[Importe Neto]:[Importe Neto]],Imput[[C. Imp.]:[C. Imp.]],$D346,Imput[[PERIODO Imp.]:[PERIODO Imp.]],DF$9)</f>
        <v>0</v>
      </c>
      <c r="DG346" s="693">
        <f>SUMIFS(Imput[[Importe Neto]:[Importe Neto]],Imput[[C. Imp.]:[C. Imp.]],$D346,Imput[[PERIODO Imp.]:[PERIODO Imp.]],DG$9)</f>
        <v>0</v>
      </c>
      <c r="DH346" s="694">
        <f>SUMIFS(Imput[[Importe Neto]:[Importe Neto]],Imput[[C. Imp.]:[C. Imp.]],$D346,Imput[[PERIODO Imp.]:[PERIODO Imp.]],DH$9)</f>
        <v>0</v>
      </c>
    </row>
    <row r="347" spans="1:112" s="649" customFormat="1" hidden="1" outlineLevel="1" x14ac:dyDescent="0.3">
      <c r="A347" s="652" t="str">
        <f t="shared" si="144"/>
        <v/>
      </c>
      <c r="B347" s="652"/>
      <c r="C347" s="685"/>
      <c r="D347" s="686" t="s">
        <v>2411</v>
      </c>
      <c r="E347" s="728"/>
      <c r="F347" s="720"/>
      <c r="G347" s="688"/>
      <c r="H347" s="689"/>
      <c r="I347" s="851" t="str">
        <f t="shared" si="149"/>
        <v/>
      </c>
      <c r="J347" s="850" t="str">
        <f t="shared" si="146"/>
        <v/>
      </c>
      <c r="K347" s="667"/>
      <c r="L347" s="858"/>
      <c r="M347" s="859"/>
      <c r="N347" s="859"/>
      <c r="O347" s="859"/>
      <c r="P347" s="859"/>
      <c r="Q347" s="859"/>
      <c r="R347" s="859"/>
      <c r="S347" s="859"/>
      <c r="T347" s="859"/>
      <c r="U347" s="859"/>
      <c r="V347" s="859"/>
      <c r="W347" s="859"/>
      <c r="X347" s="859"/>
      <c r="Y347" s="859"/>
      <c r="Z347" s="860"/>
      <c r="AA347" s="860"/>
      <c r="AB347" s="860"/>
      <c r="AC347" s="860"/>
      <c r="AD347" s="860"/>
      <c r="AE347" s="860"/>
      <c r="AF347" s="860"/>
      <c r="AG347" s="860"/>
      <c r="AH347" s="860"/>
      <c r="AI347" s="860"/>
      <c r="AJ347" s="860"/>
      <c r="AK347" s="860"/>
      <c r="AL347" s="860"/>
      <c r="AM347" s="860"/>
      <c r="AN347" s="860"/>
      <c r="AO347" s="860"/>
      <c r="AP347" s="860"/>
      <c r="AQ347" s="860"/>
      <c r="AR347" s="860"/>
      <c r="AS347" s="860"/>
      <c r="AT347" s="860"/>
      <c r="AU347" s="860"/>
      <c r="AV347" s="860"/>
      <c r="AW347" s="860"/>
      <c r="AX347" s="860"/>
      <c r="AY347" s="860"/>
      <c r="AZ347" s="860"/>
      <c r="BA347" s="860"/>
      <c r="BB347" s="860"/>
      <c r="BC347" s="860"/>
      <c r="BD347" s="860"/>
      <c r="BE347" s="860"/>
      <c r="BF347" s="860"/>
      <c r="BG347" s="860"/>
      <c r="BH347" s="668"/>
      <c r="BI347" s="667"/>
      <c r="BJ347" s="690">
        <f t="shared" si="150"/>
        <v>0</v>
      </c>
      <c r="BK347" s="691">
        <f t="shared" si="151"/>
        <v>0</v>
      </c>
      <c r="BL347" s="654"/>
      <c r="BM347" s="692">
        <f>SUMIFS(Imput[[Importe Neto]:[Importe Neto]],Imput[[C. Imp.]:[C. Imp.]],$D347,Imput[[PERIODO Imp.]:[PERIODO Imp.]],BM$9)</f>
        <v>0</v>
      </c>
      <c r="BN347" s="693">
        <f>SUMIFS(Imput[[Importe Neto]:[Importe Neto]],Imput[[C. Imp.]:[C. Imp.]],$D347,Imput[[PERIODO Imp.]:[PERIODO Imp.]],BN$9)</f>
        <v>0</v>
      </c>
      <c r="BO347" s="693">
        <f>SUMIFS(Imput[[Importe Neto]:[Importe Neto]],Imput[[C. Imp.]:[C. Imp.]],$D347,Imput[[PERIODO Imp.]:[PERIODO Imp.]],BO$9)</f>
        <v>0</v>
      </c>
      <c r="BP347" s="693">
        <f>SUMIFS(Imput[[Importe Neto]:[Importe Neto]],Imput[[C. Imp.]:[C. Imp.]],$D347,Imput[[PERIODO Imp.]:[PERIODO Imp.]],BP$9)</f>
        <v>0</v>
      </c>
      <c r="BQ347" s="693">
        <f>SUMIFS(Imput[[Importe Neto]:[Importe Neto]],Imput[[C. Imp.]:[C. Imp.]],$D347,Imput[[PERIODO Imp.]:[PERIODO Imp.]],BQ$9)</f>
        <v>0</v>
      </c>
      <c r="BR347" s="693">
        <f>SUMIFS(Imput[[Importe Neto]:[Importe Neto]],Imput[[C. Imp.]:[C. Imp.]],$D347,Imput[[PERIODO Imp.]:[PERIODO Imp.]],BR$9)</f>
        <v>0</v>
      </c>
      <c r="BS347" s="693">
        <f>SUMIFS(Imput[[Importe Neto]:[Importe Neto]],Imput[[C. Imp.]:[C. Imp.]],$D347,Imput[[PERIODO Imp.]:[PERIODO Imp.]],BS$9)</f>
        <v>0</v>
      </c>
      <c r="BT347" s="693">
        <f>SUMIFS(Imput[[Importe Neto]:[Importe Neto]],Imput[[C. Imp.]:[C. Imp.]],$D347,Imput[[PERIODO Imp.]:[PERIODO Imp.]],BT$9)</f>
        <v>0</v>
      </c>
      <c r="BU347" s="693">
        <f>SUMIFS(Imput[[Importe Neto]:[Importe Neto]],Imput[[C. Imp.]:[C. Imp.]],$D347,Imput[[PERIODO Imp.]:[PERIODO Imp.]],BU$9)</f>
        <v>0</v>
      </c>
      <c r="BV347" s="693">
        <f>SUMIFS(Imput[[Importe Neto]:[Importe Neto]],Imput[[C. Imp.]:[C. Imp.]],$D347,Imput[[PERIODO Imp.]:[PERIODO Imp.]],BV$9)</f>
        <v>0</v>
      </c>
      <c r="BW347" s="693">
        <f>SUMIFS(Imput[[Importe Neto]:[Importe Neto]],Imput[[C. Imp.]:[C. Imp.]],$D347,Imput[[PERIODO Imp.]:[PERIODO Imp.]],BW$9)</f>
        <v>0</v>
      </c>
      <c r="BX347" s="693">
        <f>SUMIFS(Imput[[Importe Neto]:[Importe Neto]],Imput[[C. Imp.]:[C. Imp.]],$D347,Imput[[PERIODO Imp.]:[PERIODO Imp.]],BX$9)</f>
        <v>0</v>
      </c>
      <c r="BY347" s="693">
        <f>SUMIFS(Imput[[Importe Neto]:[Importe Neto]],Imput[[C. Imp.]:[C. Imp.]],$D347,Imput[[PERIODO Imp.]:[PERIODO Imp.]],BY$9)</f>
        <v>0</v>
      </c>
      <c r="BZ347" s="693">
        <f>SUMIFS(Imput[[Importe Neto]:[Importe Neto]],Imput[[C. Imp.]:[C. Imp.]],$D347,Imput[[PERIODO Imp.]:[PERIODO Imp.]],BZ$9)</f>
        <v>0</v>
      </c>
      <c r="CA347" s="693">
        <f>SUMIFS(Imput[[Importe Neto]:[Importe Neto]],Imput[[C. Imp.]:[C. Imp.]],$D347,Imput[[PERIODO Imp.]:[PERIODO Imp.]],CA$9)</f>
        <v>0</v>
      </c>
      <c r="CB347" s="693">
        <f>SUMIFS(Imput[[Importe Neto]:[Importe Neto]],Imput[[C. Imp.]:[C. Imp.]],$D347,Imput[[PERIODO Imp.]:[PERIODO Imp.]],CB$9)</f>
        <v>0</v>
      </c>
      <c r="CC347" s="693">
        <f>SUMIFS(Imput[[Importe Neto]:[Importe Neto]],Imput[[C. Imp.]:[C. Imp.]],$D347,Imput[[PERIODO Imp.]:[PERIODO Imp.]],CC$9)</f>
        <v>0</v>
      </c>
      <c r="CD347" s="693">
        <f>SUMIFS(Imput[[Importe Neto]:[Importe Neto]],Imput[[C. Imp.]:[C. Imp.]],$D347,Imput[[PERIODO Imp.]:[PERIODO Imp.]],CD$9)</f>
        <v>0</v>
      </c>
      <c r="CE347" s="693">
        <f>SUMIFS(Imput[[Importe Neto]:[Importe Neto]],Imput[[C. Imp.]:[C. Imp.]],$D347,Imput[[PERIODO Imp.]:[PERIODO Imp.]],CE$9)</f>
        <v>0</v>
      </c>
      <c r="CF347" s="693">
        <f>SUMIFS(Imput[[Importe Neto]:[Importe Neto]],Imput[[C. Imp.]:[C. Imp.]],$D347,Imput[[PERIODO Imp.]:[PERIODO Imp.]],CF$9)</f>
        <v>0</v>
      </c>
      <c r="CG347" s="693">
        <f>SUMIFS(Imput[[Importe Neto]:[Importe Neto]],Imput[[C. Imp.]:[C. Imp.]],$D347,Imput[[PERIODO Imp.]:[PERIODO Imp.]],CG$9)</f>
        <v>0</v>
      </c>
      <c r="CH347" s="693">
        <f>SUMIFS(Imput[[Importe Neto]:[Importe Neto]],Imput[[C. Imp.]:[C. Imp.]],$D347,Imput[[PERIODO Imp.]:[PERIODO Imp.]],CH$9)</f>
        <v>0</v>
      </c>
      <c r="CI347" s="693">
        <f>SUMIFS(Imput[[Importe Neto]:[Importe Neto]],Imput[[C. Imp.]:[C. Imp.]],$D347,Imput[[PERIODO Imp.]:[PERIODO Imp.]],CI$9)</f>
        <v>0</v>
      </c>
      <c r="CJ347" s="693">
        <f>SUMIFS(Imput[[Importe Neto]:[Importe Neto]],Imput[[C. Imp.]:[C. Imp.]],$D347,Imput[[PERIODO Imp.]:[PERIODO Imp.]],CJ$9)</f>
        <v>0</v>
      </c>
      <c r="CK347" s="693">
        <f>SUMIFS(Imput[[Importe Neto]:[Importe Neto]],Imput[[C. Imp.]:[C. Imp.]],$D347,Imput[[PERIODO Imp.]:[PERIODO Imp.]],CK$9)</f>
        <v>0</v>
      </c>
      <c r="CL347" s="693">
        <f>SUMIFS(Imput[[Importe Neto]:[Importe Neto]],Imput[[C. Imp.]:[C. Imp.]],$D347,Imput[[PERIODO Imp.]:[PERIODO Imp.]],CL$9)</f>
        <v>0</v>
      </c>
      <c r="CM347" s="693">
        <f>SUMIFS(Imput[[Importe Neto]:[Importe Neto]],Imput[[C. Imp.]:[C. Imp.]],$D347,Imput[[PERIODO Imp.]:[PERIODO Imp.]],CM$9)</f>
        <v>0</v>
      </c>
      <c r="CN347" s="693">
        <f>SUMIFS(Imput[[Importe Neto]:[Importe Neto]],Imput[[C. Imp.]:[C. Imp.]],$D347,Imput[[PERIODO Imp.]:[PERIODO Imp.]],CN$9)</f>
        <v>0</v>
      </c>
      <c r="CO347" s="693">
        <f>SUMIFS(Imput[[Importe Neto]:[Importe Neto]],Imput[[C. Imp.]:[C. Imp.]],$D347,Imput[[PERIODO Imp.]:[PERIODO Imp.]],CO$9)</f>
        <v>0</v>
      </c>
      <c r="CP347" s="693">
        <f>SUMIFS(Imput[[Importe Neto]:[Importe Neto]],Imput[[C. Imp.]:[C. Imp.]],$D347,Imput[[PERIODO Imp.]:[PERIODO Imp.]],CP$9)</f>
        <v>0</v>
      </c>
      <c r="CQ347" s="693">
        <f>SUMIFS(Imput[[Importe Neto]:[Importe Neto]],Imput[[C. Imp.]:[C. Imp.]],$D347,Imput[[PERIODO Imp.]:[PERIODO Imp.]],CQ$9)</f>
        <v>0</v>
      </c>
      <c r="CR347" s="693">
        <f>SUMIFS(Imput[[Importe Neto]:[Importe Neto]],Imput[[C. Imp.]:[C. Imp.]],$D347,Imput[[PERIODO Imp.]:[PERIODO Imp.]],CR$9)</f>
        <v>0</v>
      </c>
      <c r="CS347" s="693">
        <f>SUMIFS(Imput[[Importe Neto]:[Importe Neto]],Imput[[C. Imp.]:[C. Imp.]],$D347,Imput[[PERIODO Imp.]:[PERIODO Imp.]],CS$9)</f>
        <v>0</v>
      </c>
      <c r="CT347" s="693">
        <f>SUMIFS(Imput[[Importe Neto]:[Importe Neto]],Imput[[C. Imp.]:[C. Imp.]],$D347,Imput[[PERIODO Imp.]:[PERIODO Imp.]],CT$9)</f>
        <v>0</v>
      </c>
      <c r="CU347" s="693">
        <f>SUMIFS(Imput[[Importe Neto]:[Importe Neto]],Imput[[C. Imp.]:[C. Imp.]],$D347,Imput[[PERIODO Imp.]:[PERIODO Imp.]],CU$9)</f>
        <v>0</v>
      </c>
      <c r="CV347" s="693">
        <f>SUMIFS(Imput[[Importe Neto]:[Importe Neto]],Imput[[C. Imp.]:[C. Imp.]],$D347,Imput[[PERIODO Imp.]:[PERIODO Imp.]],CV$9)</f>
        <v>0</v>
      </c>
      <c r="CW347" s="693">
        <f>SUMIFS(Imput[[Importe Neto]:[Importe Neto]],Imput[[C. Imp.]:[C. Imp.]],$D347,Imput[[PERIODO Imp.]:[PERIODO Imp.]],CW$9)</f>
        <v>0</v>
      </c>
      <c r="CX347" s="693">
        <f>SUMIFS(Imput[[Importe Neto]:[Importe Neto]],Imput[[C. Imp.]:[C. Imp.]],$D347,Imput[[PERIODO Imp.]:[PERIODO Imp.]],CX$9)</f>
        <v>0</v>
      </c>
      <c r="CY347" s="693">
        <f>SUMIFS(Imput[[Importe Neto]:[Importe Neto]],Imput[[C. Imp.]:[C. Imp.]],$D347,Imput[[PERIODO Imp.]:[PERIODO Imp.]],CY$9)</f>
        <v>0</v>
      </c>
      <c r="CZ347" s="693">
        <f>SUMIFS(Imput[[Importe Neto]:[Importe Neto]],Imput[[C. Imp.]:[C. Imp.]],$D347,Imput[[PERIODO Imp.]:[PERIODO Imp.]],CZ$9)</f>
        <v>0</v>
      </c>
      <c r="DA347" s="693">
        <f>SUMIFS(Imput[[Importe Neto]:[Importe Neto]],Imput[[C. Imp.]:[C. Imp.]],$D347,Imput[[PERIODO Imp.]:[PERIODO Imp.]],DA$9)</f>
        <v>0</v>
      </c>
      <c r="DB347" s="693">
        <f>SUMIFS(Imput[[Importe Neto]:[Importe Neto]],Imput[[C. Imp.]:[C. Imp.]],$D347,Imput[[PERIODO Imp.]:[PERIODO Imp.]],DB$9)</f>
        <v>0</v>
      </c>
      <c r="DC347" s="693">
        <f>SUMIFS(Imput[[Importe Neto]:[Importe Neto]],Imput[[C. Imp.]:[C. Imp.]],$D347,Imput[[PERIODO Imp.]:[PERIODO Imp.]],DC$9)</f>
        <v>0</v>
      </c>
      <c r="DD347" s="693">
        <f>SUMIFS(Imput[[Importe Neto]:[Importe Neto]],Imput[[C. Imp.]:[C. Imp.]],$D347,Imput[[PERIODO Imp.]:[PERIODO Imp.]],DD$9)</f>
        <v>0</v>
      </c>
      <c r="DE347" s="693">
        <f>SUMIFS(Imput[[Importe Neto]:[Importe Neto]],Imput[[C. Imp.]:[C. Imp.]],$D347,Imput[[PERIODO Imp.]:[PERIODO Imp.]],DE$9)</f>
        <v>0</v>
      </c>
      <c r="DF347" s="693">
        <f>SUMIFS(Imput[[Importe Neto]:[Importe Neto]],Imput[[C. Imp.]:[C. Imp.]],$D347,Imput[[PERIODO Imp.]:[PERIODO Imp.]],DF$9)</f>
        <v>0</v>
      </c>
      <c r="DG347" s="693">
        <f>SUMIFS(Imput[[Importe Neto]:[Importe Neto]],Imput[[C. Imp.]:[C. Imp.]],$D347,Imput[[PERIODO Imp.]:[PERIODO Imp.]],DG$9)</f>
        <v>0</v>
      </c>
      <c r="DH347" s="694">
        <f>SUMIFS(Imput[[Importe Neto]:[Importe Neto]],Imput[[C. Imp.]:[C. Imp.]],$D347,Imput[[PERIODO Imp.]:[PERIODO Imp.]],DH$9)</f>
        <v>0</v>
      </c>
    </row>
    <row r="348" spans="1:112" s="649" customFormat="1" hidden="1" outlineLevel="1" x14ac:dyDescent="0.3">
      <c r="A348" s="652" t="str">
        <f t="shared" si="144"/>
        <v/>
      </c>
      <c r="B348" s="652"/>
      <c r="C348" s="685"/>
      <c r="D348" s="686" t="s">
        <v>2412</v>
      </c>
      <c r="E348" s="728"/>
      <c r="F348" s="720"/>
      <c r="G348" s="688"/>
      <c r="H348" s="689"/>
      <c r="I348" s="851" t="str">
        <f t="shared" si="149"/>
        <v/>
      </c>
      <c r="J348" s="850" t="str">
        <f t="shared" si="146"/>
        <v/>
      </c>
      <c r="K348" s="667"/>
      <c r="L348" s="858"/>
      <c r="M348" s="859"/>
      <c r="N348" s="859"/>
      <c r="O348" s="859"/>
      <c r="P348" s="859"/>
      <c r="Q348" s="859"/>
      <c r="R348" s="859"/>
      <c r="S348" s="859"/>
      <c r="T348" s="859"/>
      <c r="U348" s="859"/>
      <c r="V348" s="859"/>
      <c r="W348" s="859"/>
      <c r="X348" s="859"/>
      <c r="Y348" s="859"/>
      <c r="Z348" s="860"/>
      <c r="AA348" s="860"/>
      <c r="AB348" s="860"/>
      <c r="AC348" s="860"/>
      <c r="AD348" s="860"/>
      <c r="AE348" s="860"/>
      <c r="AF348" s="860"/>
      <c r="AG348" s="860"/>
      <c r="AH348" s="860"/>
      <c r="AI348" s="860"/>
      <c r="AJ348" s="860"/>
      <c r="AK348" s="860"/>
      <c r="AL348" s="860"/>
      <c r="AM348" s="860"/>
      <c r="AN348" s="860"/>
      <c r="AO348" s="860"/>
      <c r="AP348" s="860"/>
      <c r="AQ348" s="860"/>
      <c r="AR348" s="860"/>
      <c r="AS348" s="860"/>
      <c r="AT348" s="860"/>
      <c r="AU348" s="860"/>
      <c r="AV348" s="860"/>
      <c r="AW348" s="860"/>
      <c r="AX348" s="860"/>
      <c r="AY348" s="860"/>
      <c r="AZ348" s="860"/>
      <c r="BA348" s="860"/>
      <c r="BB348" s="860"/>
      <c r="BC348" s="860"/>
      <c r="BD348" s="860"/>
      <c r="BE348" s="860"/>
      <c r="BF348" s="860"/>
      <c r="BG348" s="860"/>
      <c r="BH348" s="668"/>
      <c r="BI348" s="667"/>
      <c r="BJ348" s="690">
        <f t="shared" si="150"/>
        <v>0</v>
      </c>
      <c r="BK348" s="691">
        <f t="shared" si="151"/>
        <v>0</v>
      </c>
      <c r="BL348" s="654"/>
      <c r="BM348" s="692">
        <f>SUMIFS(Imput[[Importe Neto]:[Importe Neto]],Imput[[C. Imp.]:[C. Imp.]],$D348,Imput[[PERIODO Imp.]:[PERIODO Imp.]],BM$9)</f>
        <v>0</v>
      </c>
      <c r="BN348" s="693">
        <f>SUMIFS(Imput[[Importe Neto]:[Importe Neto]],Imput[[C. Imp.]:[C. Imp.]],$D348,Imput[[PERIODO Imp.]:[PERIODO Imp.]],BN$9)</f>
        <v>0</v>
      </c>
      <c r="BO348" s="693">
        <f>SUMIFS(Imput[[Importe Neto]:[Importe Neto]],Imput[[C. Imp.]:[C. Imp.]],$D348,Imput[[PERIODO Imp.]:[PERIODO Imp.]],BO$9)</f>
        <v>0</v>
      </c>
      <c r="BP348" s="693">
        <f>SUMIFS(Imput[[Importe Neto]:[Importe Neto]],Imput[[C. Imp.]:[C. Imp.]],$D348,Imput[[PERIODO Imp.]:[PERIODO Imp.]],BP$9)</f>
        <v>0</v>
      </c>
      <c r="BQ348" s="693">
        <f>SUMIFS(Imput[[Importe Neto]:[Importe Neto]],Imput[[C. Imp.]:[C. Imp.]],$D348,Imput[[PERIODO Imp.]:[PERIODO Imp.]],BQ$9)</f>
        <v>0</v>
      </c>
      <c r="BR348" s="693">
        <f>SUMIFS(Imput[[Importe Neto]:[Importe Neto]],Imput[[C. Imp.]:[C. Imp.]],$D348,Imput[[PERIODO Imp.]:[PERIODO Imp.]],BR$9)</f>
        <v>0</v>
      </c>
      <c r="BS348" s="693">
        <f>SUMIFS(Imput[[Importe Neto]:[Importe Neto]],Imput[[C. Imp.]:[C. Imp.]],$D348,Imput[[PERIODO Imp.]:[PERIODO Imp.]],BS$9)</f>
        <v>0</v>
      </c>
      <c r="BT348" s="693">
        <f>SUMIFS(Imput[[Importe Neto]:[Importe Neto]],Imput[[C. Imp.]:[C. Imp.]],$D348,Imput[[PERIODO Imp.]:[PERIODO Imp.]],BT$9)</f>
        <v>0</v>
      </c>
      <c r="BU348" s="693">
        <f>SUMIFS(Imput[[Importe Neto]:[Importe Neto]],Imput[[C. Imp.]:[C. Imp.]],$D348,Imput[[PERIODO Imp.]:[PERIODO Imp.]],BU$9)</f>
        <v>0</v>
      </c>
      <c r="BV348" s="693">
        <f>SUMIFS(Imput[[Importe Neto]:[Importe Neto]],Imput[[C. Imp.]:[C. Imp.]],$D348,Imput[[PERIODO Imp.]:[PERIODO Imp.]],BV$9)</f>
        <v>0</v>
      </c>
      <c r="BW348" s="693">
        <f>SUMIFS(Imput[[Importe Neto]:[Importe Neto]],Imput[[C. Imp.]:[C. Imp.]],$D348,Imput[[PERIODO Imp.]:[PERIODO Imp.]],BW$9)</f>
        <v>0</v>
      </c>
      <c r="BX348" s="693">
        <f>SUMIFS(Imput[[Importe Neto]:[Importe Neto]],Imput[[C. Imp.]:[C. Imp.]],$D348,Imput[[PERIODO Imp.]:[PERIODO Imp.]],BX$9)</f>
        <v>0</v>
      </c>
      <c r="BY348" s="693">
        <f>SUMIFS(Imput[[Importe Neto]:[Importe Neto]],Imput[[C. Imp.]:[C. Imp.]],$D348,Imput[[PERIODO Imp.]:[PERIODO Imp.]],BY$9)</f>
        <v>0</v>
      </c>
      <c r="BZ348" s="693">
        <f>SUMIFS(Imput[[Importe Neto]:[Importe Neto]],Imput[[C. Imp.]:[C. Imp.]],$D348,Imput[[PERIODO Imp.]:[PERIODO Imp.]],BZ$9)</f>
        <v>0</v>
      </c>
      <c r="CA348" s="693">
        <f>SUMIFS(Imput[[Importe Neto]:[Importe Neto]],Imput[[C. Imp.]:[C. Imp.]],$D348,Imput[[PERIODO Imp.]:[PERIODO Imp.]],CA$9)</f>
        <v>0</v>
      </c>
      <c r="CB348" s="693">
        <f>SUMIFS(Imput[[Importe Neto]:[Importe Neto]],Imput[[C. Imp.]:[C. Imp.]],$D348,Imput[[PERIODO Imp.]:[PERIODO Imp.]],CB$9)</f>
        <v>0</v>
      </c>
      <c r="CC348" s="693">
        <f>SUMIFS(Imput[[Importe Neto]:[Importe Neto]],Imput[[C. Imp.]:[C. Imp.]],$D348,Imput[[PERIODO Imp.]:[PERIODO Imp.]],CC$9)</f>
        <v>0</v>
      </c>
      <c r="CD348" s="693">
        <f>SUMIFS(Imput[[Importe Neto]:[Importe Neto]],Imput[[C. Imp.]:[C. Imp.]],$D348,Imput[[PERIODO Imp.]:[PERIODO Imp.]],CD$9)</f>
        <v>0</v>
      </c>
      <c r="CE348" s="693">
        <f>SUMIFS(Imput[[Importe Neto]:[Importe Neto]],Imput[[C. Imp.]:[C. Imp.]],$D348,Imput[[PERIODO Imp.]:[PERIODO Imp.]],CE$9)</f>
        <v>0</v>
      </c>
      <c r="CF348" s="693">
        <f>SUMIFS(Imput[[Importe Neto]:[Importe Neto]],Imput[[C. Imp.]:[C. Imp.]],$D348,Imput[[PERIODO Imp.]:[PERIODO Imp.]],CF$9)</f>
        <v>0</v>
      </c>
      <c r="CG348" s="693">
        <f>SUMIFS(Imput[[Importe Neto]:[Importe Neto]],Imput[[C. Imp.]:[C. Imp.]],$D348,Imput[[PERIODO Imp.]:[PERIODO Imp.]],CG$9)</f>
        <v>0</v>
      </c>
      <c r="CH348" s="693">
        <f>SUMIFS(Imput[[Importe Neto]:[Importe Neto]],Imput[[C. Imp.]:[C. Imp.]],$D348,Imput[[PERIODO Imp.]:[PERIODO Imp.]],CH$9)</f>
        <v>0</v>
      </c>
      <c r="CI348" s="693">
        <f>SUMIFS(Imput[[Importe Neto]:[Importe Neto]],Imput[[C. Imp.]:[C. Imp.]],$D348,Imput[[PERIODO Imp.]:[PERIODO Imp.]],CI$9)</f>
        <v>0</v>
      </c>
      <c r="CJ348" s="693">
        <f>SUMIFS(Imput[[Importe Neto]:[Importe Neto]],Imput[[C. Imp.]:[C. Imp.]],$D348,Imput[[PERIODO Imp.]:[PERIODO Imp.]],CJ$9)</f>
        <v>0</v>
      </c>
      <c r="CK348" s="693">
        <f>SUMIFS(Imput[[Importe Neto]:[Importe Neto]],Imput[[C. Imp.]:[C. Imp.]],$D348,Imput[[PERIODO Imp.]:[PERIODO Imp.]],CK$9)</f>
        <v>0</v>
      </c>
      <c r="CL348" s="693">
        <f>SUMIFS(Imput[[Importe Neto]:[Importe Neto]],Imput[[C. Imp.]:[C. Imp.]],$D348,Imput[[PERIODO Imp.]:[PERIODO Imp.]],CL$9)</f>
        <v>0</v>
      </c>
      <c r="CM348" s="693">
        <f>SUMIFS(Imput[[Importe Neto]:[Importe Neto]],Imput[[C. Imp.]:[C. Imp.]],$D348,Imput[[PERIODO Imp.]:[PERIODO Imp.]],CM$9)</f>
        <v>0</v>
      </c>
      <c r="CN348" s="693">
        <f>SUMIFS(Imput[[Importe Neto]:[Importe Neto]],Imput[[C. Imp.]:[C. Imp.]],$D348,Imput[[PERIODO Imp.]:[PERIODO Imp.]],CN$9)</f>
        <v>0</v>
      </c>
      <c r="CO348" s="693">
        <f>SUMIFS(Imput[[Importe Neto]:[Importe Neto]],Imput[[C. Imp.]:[C. Imp.]],$D348,Imput[[PERIODO Imp.]:[PERIODO Imp.]],CO$9)</f>
        <v>0</v>
      </c>
      <c r="CP348" s="693">
        <f>SUMIFS(Imput[[Importe Neto]:[Importe Neto]],Imput[[C. Imp.]:[C. Imp.]],$D348,Imput[[PERIODO Imp.]:[PERIODO Imp.]],CP$9)</f>
        <v>0</v>
      </c>
      <c r="CQ348" s="693">
        <f>SUMIFS(Imput[[Importe Neto]:[Importe Neto]],Imput[[C. Imp.]:[C. Imp.]],$D348,Imput[[PERIODO Imp.]:[PERIODO Imp.]],CQ$9)</f>
        <v>0</v>
      </c>
      <c r="CR348" s="693">
        <f>SUMIFS(Imput[[Importe Neto]:[Importe Neto]],Imput[[C. Imp.]:[C. Imp.]],$D348,Imput[[PERIODO Imp.]:[PERIODO Imp.]],CR$9)</f>
        <v>0</v>
      </c>
      <c r="CS348" s="693">
        <f>SUMIFS(Imput[[Importe Neto]:[Importe Neto]],Imput[[C. Imp.]:[C. Imp.]],$D348,Imput[[PERIODO Imp.]:[PERIODO Imp.]],CS$9)</f>
        <v>0</v>
      </c>
      <c r="CT348" s="693">
        <f>SUMIFS(Imput[[Importe Neto]:[Importe Neto]],Imput[[C. Imp.]:[C. Imp.]],$D348,Imput[[PERIODO Imp.]:[PERIODO Imp.]],CT$9)</f>
        <v>0</v>
      </c>
      <c r="CU348" s="693">
        <f>SUMIFS(Imput[[Importe Neto]:[Importe Neto]],Imput[[C. Imp.]:[C. Imp.]],$D348,Imput[[PERIODO Imp.]:[PERIODO Imp.]],CU$9)</f>
        <v>0</v>
      </c>
      <c r="CV348" s="693">
        <f>SUMIFS(Imput[[Importe Neto]:[Importe Neto]],Imput[[C. Imp.]:[C. Imp.]],$D348,Imput[[PERIODO Imp.]:[PERIODO Imp.]],CV$9)</f>
        <v>0</v>
      </c>
      <c r="CW348" s="693">
        <f>SUMIFS(Imput[[Importe Neto]:[Importe Neto]],Imput[[C. Imp.]:[C. Imp.]],$D348,Imput[[PERIODO Imp.]:[PERIODO Imp.]],CW$9)</f>
        <v>0</v>
      </c>
      <c r="CX348" s="693">
        <f>SUMIFS(Imput[[Importe Neto]:[Importe Neto]],Imput[[C. Imp.]:[C. Imp.]],$D348,Imput[[PERIODO Imp.]:[PERIODO Imp.]],CX$9)</f>
        <v>0</v>
      </c>
      <c r="CY348" s="693">
        <f>SUMIFS(Imput[[Importe Neto]:[Importe Neto]],Imput[[C. Imp.]:[C. Imp.]],$D348,Imput[[PERIODO Imp.]:[PERIODO Imp.]],CY$9)</f>
        <v>0</v>
      </c>
      <c r="CZ348" s="693">
        <f>SUMIFS(Imput[[Importe Neto]:[Importe Neto]],Imput[[C. Imp.]:[C. Imp.]],$D348,Imput[[PERIODO Imp.]:[PERIODO Imp.]],CZ$9)</f>
        <v>0</v>
      </c>
      <c r="DA348" s="693">
        <f>SUMIFS(Imput[[Importe Neto]:[Importe Neto]],Imput[[C. Imp.]:[C. Imp.]],$D348,Imput[[PERIODO Imp.]:[PERIODO Imp.]],DA$9)</f>
        <v>0</v>
      </c>
      <c r="DB348" s="693">
        <f>SUMIFS(Imput[[Importe Neto]:[Importe Neto]],Imput[[C. Imp.]:[C. Imp.]],$D348,Imput[[PERIODO Imp.]:[PERIODO Imp.]],DB$9)</f>
        <v>0</v>
      </c>
      <c r="DC348" s="693">
        <f>SUMIFS(Imput[[Importe Neto]:[Importe Neto]],Imput[[C. Imp.]:[C. Imp.]],$D348,Imput[[PERIODO Imp.]:[PERIODO Imp.]],DC$9)</f>
        <v>0</v>
      </c>
      <c r="DD348" s="693">
        <f>SUMIFS(Imput[[Importe Neto]:[Importe Neto]],Imput[[C. Imp.]:[C. Imp.]],$D348,Imput[[PERIODO Imp.]:[PERIODO Imp.]],DD$9)</f>
        <v>0</v>
      </c>
      <c r="DE348" s="693">
        <f>SUMIFS(Imput[[Importe Neto]:[Importe Neto]],Imput[[C. Imp.]:[C. Imp.]],$D348,Imput[[PERIODO Imp.]:[PERIODO Imp.]],DE$9)</f>
        <v>0</v>
      </c>
      <c r="DF348" s="693">
        <f>SUMIFS(Imput[[Importe Neto]:[Importe Neto]],Imput[[C. Imp.]:[C. Imp.]],$D348,Imput[[PERIODO Imp.]:[PERIODO Imp.]],DF$9)</f>
        <v>0</v>
      </c>
      <c r="DG348" s="693">
        <f>SUMIFS(Imput[[Importe Neto]:[Importe Neto]],Imput[[C. Imp.]:[C. Imp.]],$D348,Imput[[PERIODO Imp.]:[PERIODO Imp.]],DG$9)</f>
        <v>0</v>
      </c>
      <c r="DH348" s="694">
        <f>SUMIFS(Imput[[Importe Neto]:[Importe Neto]],Imput[[C. Imp.]:[C. Imp.]],$D348,Imput[[PERIODO Imp.]:[PERIODO Imp.]],DH$9)</f>
        <v>0</v>
      </c>
    </row>
    <row r="349" spans="1:112" s="649" customFormat="1" hidden="1" outlineLevel="1" x14ac:dyDescent="0.3">
      <c r="A349" s="652" t="str">
        <f t="shared" si="144"/>
        <v/>
      </c>
      <c r="B349" s="652"/>
      <c r="C349" s="685"/>
      <c r="D349" s="686" t="s">
        <v>2413</v>
      </c>
      <c r="E349" s="686"/>
      <c r="F349" s="720"/>
      <c r="G349" s="688"/>
      <c r="H349" s="689"/>
      <c r="I349" s="851" t="str">
        <f t="shared" si="149"/>
        <v/>
      </c>
      <c r="J349" s="850" t="str">
        <f t="shared" si="146"/>
        <v/>
      </c>
      <c r="K349" s="667"/>
      <c r="L349" s="858"/>
      <c r="M349" s="859"/>
      <c r="N349" s="859"/>
      <c r="O349" s="859"/>
      <c r="P349" s="859"/>
      <c r="Q349" s="859"/>
      <c r="R349" s="859"/>
      <c r="S349" s="859"/>
      <c r="T349" s="859"/>
      <c r="U349" s="859"/>
      <c r="V349" s="859"/>
      <c r="W349" s="859"/>
      <c r="X349" s="859"/>
      <c r="Y349" s="859"/>
      <c r="Z349" s="860"/>
      <c r="AA349" s="860"/>
      <c r="AB349" s="860"/>
      <c r="AC349" s="860"/>
      <c r="AD349" s="860"/>
      <c r="AE349" s="860"/>
      <c r="AF349" s="860"/>
      <c r="AG349" s="860"/>
      <c r="AH349" s="860"/>
      <c r="AI349" s="860"/>
      <c r="AJ349" s="860"/>
      <c r="AK349" s="860"/>
      <c r="AL349" s="860"/>
      <c r="AM349" s="860"/>
      <c r="AN349" s="860"/>
      <c r="AO349" s="860"/>
      <c r="AP349" s="860"/>
      <c r="AQ349" s="860"/>
      <c r="AR349" s="860"/>
      <c r="AS349" s="860"/>
      <c r="AT349" s="860"/>
      <c r="AU349" s="860"/>
      <c r="AV349" s="860"/>
      <c r="AW349" s="860"/>
      <c r="AX349" s="860"/>
      <c r="AY349" s="860"/>
      <c r="AZ349" s="860"/>
      <c r="BA349" s="860"/>
      <c r="BB349" s="860"/>
      <c r="BC349" s="860"/>
      <c r="BD349" s="860"/>
      <c r="BE349" s="860"/>
      <c r="BF349" s="860"/>
      <c r="BG349" s="860"/>
      <c r="BH349" s="668"/>
      <c r="BI349" s="667"/>
      <c r="BJ349" s="690">
        <f t="shared" si="150"/>
        <v>0</v>
      </c>
      <c r="BK349" s="691">
        <f t="shared" si="151"/>
        <v>0</v>
      </c>
      <c r="BL349" s="654"/>
      <c r="BM349" s="692">
        <f>SUMIFS(Imput[[Importe Neto]:[Importe Neto]],Imput[[C. Imp.]:[C. Imp.]],$D349,Imput[[PERIODO Imp.]:[PERIODO Imp.]],BM$9)</f>
        <v>0</v>
      </c>
      <c r="BN349" s="693">
        <f>SUMIFS(Imput[[Importe Neto]:[Importe Neto]],Imput[[C. Imp.]:[C. Imp.]],$D349,Imput[[PERIODO Imp.]:[PERIODO Imp.]],BN$9)</f>
        <v>0</v>
      </c>
      <c r="BO349" s="693">
        <f>SUMIFS(Imput[[Importe Neto]:[Importe Neto]],Imput[[C. Imp.]:[C. Imp.]],$D349,Imput[[PERIODO Imp.]:[PERIODO Imp.]],BO$9)</f>
        <v>0</v>
      </c>
      <c r="BP349" s="693">
        <f>SUMIFS(Imput[[Importe Neto]:[Importe Neto]],Imput[[C. Imp.]:[C. Imp.]],$D349,Imput[[PERIODO Imp.]:[PERIODO Imp.]],BP$9)</f>
        <v>0</v>
      </c>
      <c r="BQ349" s="693">
        <f>SUMIFS(Imput[[Importe Neto]:[Importe Neto]],Imput[[C. Imp.]:[C. Imp.]],$D349,Imput[[PERIODO Imp.]:[PERIODO Imp.]],BQ$9)</f>
        <v>0</v>
      </c>
      <c r="BR349" s="693">
        <f>SUMIFS(Imput[[Importe Neto]:[Importe Neto]],Imput[[C. Imp.]:[C. Imp.]],$D349,Imput[[PERIODO Imp.]:[PERIODO Imp.]],BR$9)</f>
        <v>0</v>
      </c>
      <c r="BS349" s="693">
        <f>SUMIFS(Imput[[Importe Neto]:[Importe Neto]],Imput[[C. Imp.]:[C. Imp.]],$D349,Imput[[PERIODO Imp.]:[PERIODO Imp.]],BS$9)</f>
        <v>0</v>
      </c>
      <c r="BT349" s="693">
        <f>SUMIFS(Imput[[Importe Neto]:[Importe Neto]],Imput[[C. Imp.]:[C. Imp.]],$D349,Imput[[PERIODO Imp.]:[PERIODO Imp.]],BT$9)</f>
        <v>0</v>
      </c>
      <c r="BU349" s="693">
        <f>SUMIFS(Imput[[Importe Neto]:[Importe Neto]],Imput[[C. Imp.]:[C. Imp.]],$D349,Imput[[PERIODO Imp.]:[PERIODO Imp.]],BU$9)</f>
        <v>0</v>
      </c>
      <c r="BV349" s="693">
        <f>SUMIFS(Imput[[Importe Neto]:[Importe Neto]],Imput[[C. Imp.]:[C. Imp.]],$D349,Imput[[PERIODO Imp.]:[PERIODO Imp.]],BV$9)</f>
        <v>0</v>
      </c>
      <c r="BW349" s="693">
        <f>SUMIFS(Imput[[Importe Neto]:[Importe Neto]],Imput[[C. Imp.]:[C. Imp.]],$D349,Imput[[PERIODO Imp.]:[PERIODO Imp.]],BW$9)</f>
        <v>0</v>
      </c>
      <c r="BX349" s="693">
        <f>SUMIFS(Imput[[Importe Neto]:[Importe Neto]],Imput[[C. Imp.]:[C. Imp.]],$D349,Imput[[PERIODO Imp.]:[PERIODO Imp.]],BX$9)</f>
        <v>0</v>
      </c>
      <c r="BY349" s="693">
        <f>SUMIFS(Imput[[Importe Neto]:[Importe Neto]],Imput[[C. Imp.]:[C. Imp.]],$D349,Imput[[PERIODO Imp.]:[PERIODO Imp.]],BY$9)</f>
        <v>0</v>
      </c>
      <c r="BZ349" s="693">
        <f>SUMIFS(Imput[[Importe Neto]:[Importe Neto]],Imput[[C. Imp.]:[C. Imp.]],$D349,Imput[[PERIODO Imp.]:[PERIODO Imp.]],BZ$9)</f>
        <v>0</v>
      </c>
      <c r="CA349" s="693">
        <f>SUMIFS(Imput[[Importe Neto]:[Importe Neto]],Imput[[C. Imp.]:[C. Imp.]],$D349,Imput[[PERIODO Imp.]:[PERIODO Imp.]],CA$9)</f>
        <v>0</v>
      </c>
      <c r="CB349" s="693">
        <f>SUMIFS(Imput[[Importe Neto]:[Importe Neto]],Imput[[C. Imp.]:[C. Imp.]],$D349,Imput[[PERIODO Imp.]:[PERIODO Imp.]],CB$9)</f>
        <v>0</v>
      </c>
      <c r="CC349" s="693">
        <f>SUMIFS(Imput[[Importe Neto]:[Importe Neto]],Imput[[C. Imp.]:[C. Imp.]],$D349,Imput[[PERIODO Imp.]:[PERIODO Imp.]],CC$9)</f>
        <v>0</v>
      </c>
      <c r="CD349" s="693">
        <f>SUMIFS(Imput[[Importe Neto]:[Importe Neto]],Imput[[C. Imp.]:[C. Imp.]],$D349,Imput[[PERIODO Imp.]:[PERIODO Imp.]],CD$9)</f>
        <v>0</v>
      </c>
      <c r="CE349" s="693">
        <f>SUMIFS(Imput[[Importe Neto]:[Importe Neto]],Imput[[C. Imp.]:[C. Imp.]],$D349,Imput[[PERIODO Imp.]:[PERIODO Imp.]],CE$9)</f>
        <v>0</v>
      </c>
      <c r="CF349" s="693">
        <f>SUMIFS(Imput[[Importe Neto]:[Importe Neto]],Imput[[C. Imp.]:[C. Imp.]],$D349,Imput[[PERIODO Imp.]:[PERIODO Imp.]],CF$9)</f>
        <v>0</v>
      </c>
      <c r="CG349" s="693">
        <f>SUMIFS(Imput[[Importe Neto]:[Importe Neto]],Imput[[C. Imp.]:[C. Imp.]],$D349,Imput[[PERIODO Imp.]:[PERIODO Imp.]],CG$9)</f>
        <v>0</v>
      </c>
      <c r="CH349" s="693">
        <f>SUMIFS(Imput[[Importe Neto]:[Importe Neto]],Imput[[C. Imp.]:[C. Imp.]],$D349,Imput[[PERIODO Imp.]:[PERIODO Imp.]],CH$9)</f>
        <v>0</v>
      </c>
      <c r="CI349" s="693">
        <f>SUMIFS(Imput[[Importe Neto]:[Importe Neto]],Imput[[C. Imp.]:[C. Imp.]],$D349,Imput[[PERIODO Imp.]:[PERIODO Imp.]],CI$9)</f>
        <v>0</v>
      </c>
      <c r="CJ349" s="693">
        <f>SUMIFS(Imput[[Importe Neto]:[Importe Neto]],Imput[[C. Imp.]:[C. Imp.]],$D349,Imput[[PERIODO Imp.]:[PERIODO Imp.]],CJ$9)</f>
        <v>0</v>
      </c>
      <c r="CK349" s="693">
        <f>SUMIFS(Imput[[Importe Neto]:[Importe Neto]],Imput[[C. Imp.]:[C. Imp.]],$D349,Imput[[PERIODO Imp.]:[PERIODO Imp.]],CK$9)</f>
        <v>0</v>
      </c>
      <c r="CL349" s="693">
        <f>SUMIFS(Imput[[Importe Neto]:[Importe Neto]],Imput[[C. Imp.]:[C. Imp.]],$D349,Imput[[PERIODO Imp.]:[PERIODO Imp.]],CL$9)</f>
        <v>0</v>
      </c>
      <c r="CM349" s="693">
        <f>SUMIFS(Imput[[Importe Neto]:[Importe Neto]],Imput[[C. Imp.]:[C. Imp.]],$D349,Imput[[PERIODO Imp.]:[PERIODO Imp.]],CM$9)</f>
        <v>0</v>
      </c>
      <c r="CN349" s="693">
        <f>SUMIFS(Imput[[Importe Neto]:[Importe Neto]],Imput[[C. Imp.]:[C. Imp.]],$D349,Imput[[PERIODO Imp.]:[PERIODO Imp.]],CN$9)</f>
        <v>0</v>
      </c>
      <c r="CO349" s="693">
        <f>SUMIFS(Imput[[Importe Neto]:[Importe Neto]],Imput[[C. Imp.]:[C. Imp.]],$D349,Imput[[PERIODO Imp.]:[PERIODO Imp.]],CO$9)</f>
        <v>0</v>
      </c>
      <c r="CP349" s="693">
        <f>SUMIFS(Imput[[Importe Neto]:[Importe Neto]],Imput[[C. Imp.]:[C. Imp.]],$D349,Imput[[PERIODO Imp.]:[PERIODO Imp.]],CP$9)</f>
        <v>0</v>
      </c>
      <c r="CQ349" s="693">
        <f>SUMIFS(Imput[[Importe Neto]:[Importe Neto]],Imput[[C. Imp.]:[C. Imp.]],$D349,Imput[[PERIODO Imp.]:[PERIODO Imp.]],CQ$9)</f>
        <v>0</v>
      </c>
      <c r="CR349" s="693">
        <f>SUMIFS(Imput[[Importe Neto]:[Importe Neto]],Imput[[C. Imp.]:[C. Imp.]],$D349,Imput[[PERIODO Imp.]:[PERIODO Imp.]],CR$9)</f>
        <v>0</v>
      </c>
      <c r="CS349" s="693">
        <f>SUMIFS(Imput[[Importe Neto]:[Importe Neto]],Imput[[C. Imp.]:[C. Imp.]],$D349,Imput[[PERIODO Imp.]:[PERIODO Imp.]],CS$9)</f>
        <v>0</v>
      </c>
      <c r="CT349" s="693">
        <f>SUMIFS(Imput[[Importe Neto]:[Importe Neto]],Imput[[C. Imp.]:[C. Imp.]],$D349,Imput[[PERIODO Imp.]:[PERIODO Imp.]],CT$9)</f>
        <v>0</v>
      </c>
      <c r="CU349" s="693">
        <f>SUMIFS(Imput[[Importe Neto]:[Importe Neto]],Imput[[C. Imp.]:[C. Imp.]],$D349,Imput[[PERIODO Imp.]:[PERIODO Imp.]],CU$9)</f>
        <v>0</v>
      </c>
      <c r="CV349" s="693">
        <f>SUMIFS(Imput[[Importe Neto]:[Importe Neto]],Imput[[C. Imp.]:[C. Imp.]],$D349,Imput[[PERIODO Imp.]:[PERIODO Imp.]],CV$9)</f>
        <v>0</v>
      </c>
      <c r="CW349" s="693">
        <f>SUMIFS(Imput[[Importe Neto]:[Importe Neto]],Imput[[C. Imp.]:[C. Imp.]],$D349,Imput[[PERIODO Imp.]:[PERIODO Imp.]],CW$9)</f>
        <v>0</v>
      </c>
      <c r="CX349" s="693">
        <f>SUMIFS(Imput[[Importe Neto]:[Importe Neto]],Imput[[C. Imp.]:[C. Imp.]],$D349,Imput[[PERIODO Imp.]:[PERIODO Imp.]],CX$9)</f>
        <v>0</v>
      </c>
      <c r="CY349" s="693">
        <f>SUMIFS(Imput[[Importe Neto]:[Importe Neto]],Imput[[C. Imp.]:[C. Imp.]],$D349,Imput[[PERIODO Imp.]:[PERIODO Imp.]],CY$9)</f>
        <v>0</v>
      </c>
      <c r="CZ349" s="693">
        <f>SUMIFS(Imput[[Importe Neto]:[Importe Neto]],Imput[[C. Imp.]:[C. Imp.]],$D349,Imput[[PERIODO Imp.]:[PERIODO Imp.]],CZ$9)</f>
        <v>0</v>
      </c>
      <c r="DA349" s="693">
        <f>SUMIFS(Imput[[Importe Neto]:[Importe Neto]],Imput[[C. Imp.]:[C. Imp.]],$D349,Imput[[PERIODO Imp.]:[PERIODO Imp.]],DA$9)</f>
        <v>0</v>
      </c>
      <c r="DB349" s="693">
        <f>SUMIFS(Imput[[Importe Neto]:[Importe Neto]],Imput[[C. Imp.]:[C. Imp.]],$D349,Imput[[PERIODO Imp.]:[PERIODO Imp.]],DB$9)</f>
        <v>0</v>
      </c>
      <c r="DC349" s="693">
        <f>SUMIFS(Imput[[Importe Neto]:[Importe Neto]],Imput[[C. Imp.]:[C. Imp.]],$D349,Imput[[PERIODO Imp.]:[PERIODO Imp.]],DC$9)</f>
        <v>0</v>
      </c>
      <c r="DD349" s="693">
        <f>SUMIFS(Imput[[Importe Neto]:[Importe Neto]],Imput[[C. Imp.]:[C. Imp.]],$D349,Imput[[PERIODO Imp.]:[PERIODO Imp.]],DD$9)</f>
        <v>0</v>
      </c>
      <c r="DE349" s="693">
        <f>SUMIFS(Imput[[Importe Neto]:[Importe Neto]],Imput[[C. Imp.]:[C. Imp.]],$D349,Imput[[PERIODO Imp.]:[PERIODO Imp.]],DE$9)</f>
        <v>0</v>
      </c>
      <c r="DF349" s="693">
        <f>SUMIFS(Imput[[Importe Neto]:[Importe Neto]],Imput[[C. Imp.]:[C. Imp.]],$D349,Imput[[PERIODO Imp.]:[PERIODO Imp.]],DF$9)</f>
        <v>0</v>
      </c>
      <c r="DG349" s="693">
        <f>SUMIFS(Imput[[Importe Neto]:[Importe Neto]],Imput[[C. Imp.]:[C. Imp.]],$D349,Imput[[PERIODO Imp.]:[PERIODO Imp.]],DG$9)</f>
        <v>0</v>
      </c>
      <c r="DH349" s="694">
        <f>SUMIFS(Imput[[Importe Neto]:[Importe Neto]],Imput[[C. Imp.]:[C. Imp.]],$D349,Imput[[PERIODO Imp.]:[PERIODO Imp.]],DH$9)</f>
        <v>0</v>
      </c>
    </row>
    <row r="350" spans="1:112" s="649" customFormat="1" hidden="1" outlineLevel="1" x14ac:dyDescent="0.3">
      <c r="A350" s="652" t="str">
        <f t="shared" si="144"/>
        <v/>
      </c>
      <c r="B350" s="652"/>
      <c r="C350" s="685"/>
      <c r="D350" s="686" t="s">
        <v>2414</v>
      </c>
      <c r="E350" s="686"/>
      <c r="F350" s="720"/>
      <c r="G350" s="688"/>
      <c r="H350" s="696"/>
      <c r="I350" s="851" t="str">
        <f t="shared" si="149"/>
        <v/>
      </c>
      <c r="J350" s="850" t="str">
        <f t="shared" si="146"/>
        <v/>
      </c>
      <c r="K350" s="667"/>
      <c r="L350" s="858"/>
      <c r="M350" s="859"/>
      <c r="N350" s="859"/>
      <c r="O350" s="859"/>
      <c r="P350" s="859"/>
      <c r="Q350" s="859"/>
      <c r="R350" s="859"/>
      <c r="S350" s="859"/>
      <c r="T350" s="859"/>
      <c r="U350" s="859"/>
      <c r="V350" s="859"/>
      <c r="W350" s="859"/>
      <c r="X350" s="859"/>
      <c r="Y350" s="859"/>
      <c r="Z350" s="860"/>
      <c r="AA350" s="860"/>
      <c r="AB350" s="860"/>
      <c r="AC350" s="860"/>
      <c r="AD350" s="860"/>
      <c r="AE350" s="860"/>
      <c r="AF350" s="860"/>
      <c r="AG350" s="860"/>
      <c r="AH350" s="860"/>
      <c r="AI350" s="860"/>
      <c r="AJ350" s="860"/>
      <c r="AK350" s="860"/>
      <c r="AL350" s="860"/>
      <c r="AM350" s="860"/>
      <c r="AN350" s="860"/>
      <c r="AO350" s="860"/>
      <c r="AP350" s="860"/>
      <c r="AQ350" s="860"/>
      <c r="AR350" s="860"/>
      <c r="AS350" s="860"/>
      <c r="AT350" s="860"/>
      <c r="AU350" s="860"/>
      <c r="AV350" s="860"/>
      <c r="AW350" s="860"/>
      <c r="AX350" s="860"/>
      <c r="AY350" s="860"/>
      <c r="AZ350" s="860"/>
      <c r="BA350" s="860"/>
      <c r="BB350" s="860"/>
      <c r="BC350" s="860"/>
      <c r="BD350" s="860"/>
      <c r="BE350" s="860"/>
      <c r="BF350" s="860"/>
      <c r="BG350" s="860"/>
      <c r="BH350" s="668"/>
      <c r="BI350" s="667"/>
      <c r="BJ350" s="690">
        <f t="shared" si="150"/>
        <v>0</v>
      </c>
      <c r="BK350" s="691">
        <f t="shared" si="151"/>
        <v>0</v>
      </c>
      <c r="BL350" s="654"/>
      <c r="BM350" s="692">
        <f>SUMIFS(Imput[[Importe Neto]:[Importe Neto]],Imput[[C. Imp.]:[C. Imp.]],$D350,Imput[[PERIODO Imp.]:[PERIODO Imp.]],BM$9)</f>
        <v>0</v>
      </c>
      <c r="BN350" s="693">
        <f>SUMIFS(Imput[[Importe Neto]:[Importe Neto]],Imput[[C. Imp.]:[C. Imp.]],$D350,Imput[[PERIODO Imp.]:[PERIODO Imp.]],BN$9)</f>
        <v>0</v>
      </c>
      <c r="BO350" s="693">
        <f>SUMIFS(Imput[[Importe Neto]:[Importe Neto]],Imput[[C. Imp.]:[C. Imp.]],$D350,Imput[[PERIODO Imp.]:[PERIODO Imp.]],BO$9)</f>
        <v>0</v>
      </c>
      <c r="BP350" s="693">
        <f>SUMIFS(Imput[[Importe Neto]:[Importe Neto]],Imput[[C. Imp.]:[C. Imp.]],$D350,Imput[[PERIODO Imp.]:[PERIODO Imp.]],BP$9)</f>
        <v>0</v>
      </c>
      <c r="BQ350" s="693">
        <f>SUMIFS(Imput[[Importe Neto]:[Importe Neto]],Imput[[C. Imp.]:[C. Imp.]],$D350,Imput[[PERIODO Imp.]:[PERIODO Imp.]],BQ$9)</f>
        <v>0</v>
      </c>
      <c r="BR350" s="693">
        <f>SUMIFS(Imput[[Importe Neto]:[Importe Neto]],Imput[[C. Imp.]:[C. Imp.]],$D350,Imput[[PERIODO Imp.]:[PERIODO Imp.]],BR$9)</f>
        <v>0</v>
      </c>
      <c r="BS350" s="693">
        <f>SUMIFS(Imput[[Importe Neto]:[Importe Neto]],Imput[[C. Imp.]:[C. Imp.]],$D350,Imput[[PERIODO Imp.]:[PERIODO Imp.]],BS$9)</f>
        <v>0</v>
      </c>
      <c r="BT350" s="693">
        <f>SUMIFS(Imput[[Importe Neto]:[Importe Neto]],Imput[[C. Imp.]:[C. Imp.]],$D350,Imput[[PERIODO Imp.]:[PERIODO Imp.]],BT$9)</f>
        <v>0</v>
      </c>
      <c r="BU350" s="693">
        <f>SUMIFS(Imput[[Importe Neto]:[Importe Neto]],Imput[[C. Imp.]:[C. Imp.]],$D350,Imput[[PERIODO Imp.]:[PERIODO Imp.]],BU$9)</f>
        <v>0</v>
      </c>
      <c r="BV350" s="693">
        <f>SUMIFS(Imput[[Importe Neto]:[Importe Neto]],Imput[[C. Imp.]:[C. Imp.]],$D350,Imput[[PERIODO Imp.]:[PERIODO Imp.]],BV$9)</f>
        <v>0</v>
      </c>
      <c r="BW350" s="693">
        <f>SUMIFS(Imput[[Importe Neto]:[Importe Neto]],Imput[[C. Imp.]:[C. Imp.]],$D350,Imput[[PERIODO Imp.]:[PERIODO Imp.]],BW$9)</f>
        <v>0</v>
      </c>
      <c r="BX350" s="693">
        <f>SUMIFS(Imput[[Importe Neto]:[Importe Neto]],Imput[[C. Imp.]:[C. Imp.]],$D350,Imput[[PERIODO Imp.]:[PERIODO Imp.]],BX$9)</f>
        <v>0</v>
      </c>
      <c r="BY350" s="693">
        <f>SUMIFS(Imput[[Importe Neto]:[Importe Neto]],Imput[[C. Imp.]:[C. Imp.]],$D350,Imput[[PERIODO Imp.]:[PERIODO Imp.]],BY$9)</f>
        <v>0</v>
      </c>
      <c r="BZ350" s="693">
        <f>SUMIFS(Imput[[Importe Neto]:[Importe Neto]],Imput[[C. Imp.]:[C. Imp.]],$D350,Imput[[PERIODO Imp.]:[PERIODO Imp.]],BZ$9)</f>
        <v>0</v>
      </c>
      <c r="CA350" s="693">
        <f>SUMIFS(Imput[[Importe Neto]:[Importe Neto]],Imput[[C. Imp.]:[C. Imp.]],$D350,Imput[[PERIODO Imp.]:[PERIODO Imp.]],CA$9)</f>
        <v>0</v>
      </c>
      <c r="CB350" s="693">
        <f>SUMIFS(Imput[[Importe Neto]:[Importe Neto]],Imput[[C. Imp.]:[C. Imp.]],$D350,Imput[[PERIODO Imp.]:[PERIODO Imp.]],CB$9)</f>
        <v>0</v>
      </c>
      <c r="CC350" s="693">
        <f>SUMIFS(Imput[[Importe Neto]:[Importe Neto]],Imput[[C. Imp.]:[C. Imp.]],$D350,Imput[[PERIODO Imp.]:[PERIODO Imp.]],CC$9)</f>
        <v>0</v>
      </c>
      <c r="CD350" s="693">
        <f>SUMIFS(Imput[[Importe Neto]:[Importe Neto]],Imput[[C. Imp.]:[C. Imp.]],$D350,Imput[[PERIODO Imp.]:[PERIODO Imp.]],CD$9)</f>
        <v>0</v>
      </c>
      <c r="CE350" s="693">
        <f>SUMIFS(Imput[[Importe Neto]:[Importe Neto]],Imput[[C. Imp.]:[C. Imp.]],$D350,Imput[[PERIODO Imp.]:[PERIODO Imp.]],CE$9)</f>
        <v>0</v>
      </c>
      <c r="CF350" s="693">
        <f>SUMIFS(Imput[[Importe Neto]:[Importe Neto]],Imput[[C. Imp.]:[C. Imp.]],$D350,Imput[[PERIODO Imp.]:[PERIODO Imp.]],CF$9)</f>
        <v>0</v>
      </c>
      <c r="CG350" s="693">
        <f>SUMIFS(Imput[[Importe Neto]:[Importe Neto]],Imput[[C. Imp.]:[C. Imp.]],$D350,Imput[[PERIODO Imp.]:[PERIODO Imp.]],CG$9)</f>
        <v>0</v>
      </c>
      <c r="CH350" s="693">
        <f>SUMIFS(Imput[[Importe Neto]:[Importe Neto]],Imput[[C. Imp.]:[C. Imp.]],$D350,Imput[[PERIODO Imp.]:[PERIODO Imp.]],CH$9)</f>
        <v>0</v>
      </c>
      <c r="CI350" s="693">
        <f>SUMIFS(Imput[[Importe Neto]:[Importe Neto]],Imput[[C. Imp.]:[C. Imp.]],$D350,Imput[[PERIODO Imp.]:[PERIODO Imp.]],CI$9)</f>
        <v>0</v>
      </c>
      <c r="CJ350" s="693">
        <f>SUMIFS(Imput[[Importe Neto]:[Importe Neto]],Imput[[C. Imp.]:[C. Imp.]],$D350,Imput[[PERIODO Imp.]:[PERIODO Imp.]],CJ$9)</f>
        <v>0</v>
      </c>
      <c r="CK350" s="693">
        <f>SUMIFS(Imput[[Importe Neto]:[Importe Neto]],Imput[[C. Imp.]:[C. Imp.]],$D350,Imput[[PERIODO Imp.]:[PERIODO Imp.]],CK$9)</f>
        <v>0</v>
      </c>
      <c r="CL350" s="693">
        <f>SUMIFS(Imput[[Importe Neto]:[Importe Neto]],Imput[[C. Imp.]:[C. Imp.]],$D350,Imput[[PERIODO Imp.]:[PERIODO Imp.]],CL$9)</f>
        <v>0</v>
      </c>
      <c r="CM350" s="693">
        <f>SUMIFS(Imput[[Importe Neto]:[Importe Neto]],Imput[[C. Imp.]:[C. Imp.]],$D350,Imput[[PERIODO Imp.]:[PERIODO Imp.]],CM$9)</f>
        <v>0</v>
      </c>
      <c r="CN350" s="693">
        <f>SUMIFS(Imput[[Importe Neto]:[Importe Neto]],Imput[[C. Imp.]:[C. Imp.]],$D350,Imput[[PERIODO Imp.]:[PERIODO Imp.]],CN$9)</f>
        <v>0</v>
      </c>
      <c r="CO350" s="693">
        <f>SUMIFS(Imput[[Importe Neto]:[Importe Neto]],Imput[[C. Imp.]:[C. Imp.]],$D350,Imput[[PERIODO Imp.]:[PERIODO Imp.]],CO$9)</f>
        <v>0</v>
      </c>
      <c r="CP350" s="693">
        <f>SUMIFS(Imput[[Importe Neto]:[Importe Neto]],Imput[[C. Imp.]:[C. Imp.]],$D350,Imput[[PERIODO Imp.]:[PERIODO Imp.]],CP$9)</f>
        <v>0</v>
      </c>
      <c r="CQ350" s="693">
        <f>SUMIFS(Imput[[Importe Neto]:[Importe Neto]],Imput[[C. Imp.]:[C. Imp.]],$D350,Imput[[PERIODO Imp.]:[PERIODO Imp.]],CQ$9)</f>
        <v>0</v>
      </c>
      <c r="CR350" s="693">
        <f>SUMIFS(Imput[[Importe Neto]:[Importe Neto]],Imput[[C. Imp.]:[C. Imp.]],$D350,Imput[[PERIODO Imp.]:[PERIODO Imp.]],CR$9)</f>
        <v>0</v>
      </c>
      <c r="CS350" s="693">
        <f>SUMIFS(Imput[[Importe Neto]:[Importe Neto]],Imput[[C. Imp.]:[C. Imp.]],$D350,Imput[[PERIODO Imp.]:[PERIODO Imp.]],CS$9)</f>
        <v>0</v>
      </c>
      <c r="CT350" s="693">
        <f>SUMIFS(Imput[[Importe Neto]:[Importe Neto]],Imput[[C. Imp.]:[C. Imp.]],$D350,Imput[[PERIODO Imp.]:[PERIODO Imp.]],CT$9)</f>
        <v>0</v>
      </c>
      <c r="CU350" s="693">
        <f>SUMIFS(Imput[[Importe Neto]:[Importe Neto]],Imput[[C. Imp.]:[C. Imp.]],$D350,Imput[[PERIODO Imp.]:[PERIODO Imp.]],CU$9)</f>
        <v>0</v>
      </c>
      <c r="CV350" s="693">
        <f>SUMIFS(Imput[[Importe Neto]:[Importe Neto]],Imput[[C. Imp.]:[C. Imp.]],$D350,Imput[[PERIODO Imp.]:[PERIODO Imp.]],CV$9)</f>
        <v>0</v>
      </c>
      <c r="CW350" s="693">
        <f>SUMIFS(Imput[[Importe Neto]:[Importe Neto]],Imput[[C. Imp.]:[C. Imp.]],$D350,Imput[[PERIODO Imp.]:[PERIODO Imp.]],CW$9)</f>
        <v>0</v>
      </c>
      <c r="CX350" s="693">
        <f>SUMIFS(Imput[[Importe Neto]:[Importe Neto]],Imput[[C. Imp.]:[C. Imp.]],$D350,Imput[[PERIODO Imp.]:[PERIODO Imp.]],CX$9)</f>
        <v>0</v>
      </c>
      <c r="CY350" s="693">
        <f>SUMIFS(Imput[[Importe Neto]:[Importe Neto]],Imput[[C. Imp.]:[C. Imp.]],$D350,Imput[[PERIODO Imp.]:[PERIODO Imp.]],CY$9)</f>
        <v>0</v>
      </c>
      <c r="CZ350" s="693">
        <f>SUMIFS(Imput[[Importe Neto]:[Importe Neto]],Imput[[C. Imp.]:[C. Imp.]],$D350,Imput[[PERIODO Imp.]:[PERIODO Imp.]],CZ$9)</f>
        <v>0</v>
      </c>
      <c r="DA350" s="693">
        <f>SUMIFS(Imput[[Importe Neto]:[Importe Neto]],Imput[[C. Imp.]:[C. Imp.]],$D350,Imput[[PERIODO Imp.]:[PERIODO Imp.]],DA$9)</f>
        <v>0</v>
      </c>
      <c r="DB350" s="693">
        <f>SUMIFS(Imput[[Importe Neto]:[Importe Neto]],Imput[[C. Imp.]:[C. Imp.]],$D350,Imput[[PERIODO Imp.]:[PERIODO Imp.]],DB$9)</f>
        <v>0</v>
      </c>
      <c r="DC350" s="693">
        <f>SUMIFS(Imput[[Importe Neto]:[Importe Neto]],Imput[[C. Imp.]:[C. Imp.]],$D350,Imput[[PERIODO Imp.]:[PERIODO Imp.]],DC$9)</f>
        <v>0</v>
      </c>
      <c r="DD350" s="693">
        <f>SUMIFS(Imput[[Importe Neto]:[Importe Neto]],Imput[[C. Imp.]:[C. Imp.]],$D350,Imput[[PERIODO Imp.]:[PERIODO Imp.]],DD$9)</f>
        <v>0</v>
      </c>
      <c r="DE350" s="693">
        <f>SUMIFS(Imput[[Importe Neto]:[Importe Neto]],Imput[[C. Imp.]:[C. Imp.]],$D350,Imput[[PERIODO Imp.]:[PERIODO Imp.]],DE$9)</f>
        <v>0</v>
      </c>
      <c r="DF350" s="693">
        <f>SUMIFS(Imput[[Importe Neto]:[Importe Neto]],Imput[[C. Imp.]:[C. Imp.]],$D350,Imput[[PERIODO Imp.]:[PERIODO Imp.]],DF$9)</f>
        <v>0</v>
      </c>
      <c r="DG350" s="693">
        <f>SUMIFS(Imput[[Importe Neto]:[Importe Neto]],Imput[[C. Imp.]:[C. Imp.]],$D350,Imput[[PERIODO Imp.]:[PERIODO Imp.]],DG$9)</f>
        <v>0</v>
      </c>
      <c r="DH350" s="694">
        <f>SUMIFS(Imput[[Importe Neto]:[Importe Neto]],Imput[[C. Imp.]:[C. Imp.]],$D350,Imput[[PERIODO Imp.]:[PERIODO Imp.]],DH$9)</f>
        <v>0</v>
      </c>
    </row>
    <row r="351" spans="1:112" s="649" customFormat="1" hidden="1" outlineLevel="1" x14ac:dyDescent="0.3">
      <c r="A351" s="652" t="str">
        <f t="shared" si="144"/>
        <v/>
      </c>
      <c r="B351" s="652"/>
      <c r="C351" s="685"/>
      <c r="D351" s="686" t="s">
        <v>2415</v>
      </c>
      <c r="E351" s="686"/>
      <c r="F351" s="720"/>
      <c r="G351" s="688"/>
      <c r="H351" s="696"/>
      <c r="I351" s="851" t="str">
        <f t="shared" si="149"/>
        <v/>
      </c>
      <c r="J351" s="850" t="str">
        <f t="shared" si="146"/>
        <v/>
      </c>
      <c r="K351" s="667"/>
      <c r="L351" s="858"/>
      <c r="M351" s="859"/>
      <c r="N351" s="859"/>
      <c r="O351" s="859"/>
      <c r="P351" s="859"/>
      <c r="Q351" s="859"/>
      <c r="R351" s="859"/>
      <c r="S351" s="859"/>
      <c r="T351" s="859"/>
      <c r="U351" s="859"/>
      <c r="V351" s="859"/>
      <c r="W351" s="859"/>
      <c r="X351" s="859"/>
      <c r="Y351" s="859"/>
      <c r="Z351" s="860"/>
      <c r="AA351" s="860"/>
      <c r="AB351" s="860"/>
      <c r="AC351" s="860"/>
      <c r="AD351" s="860"/>
      <c r="AE351" s="860"/>
      <c r="AF351" s="860"/>
      <c r="AG351" s="860"/>
      <c r="AH351" s="860"/>
      <c r="AI351" s="860"/>
      <c r="AJ351" s="860"/>
      <c r="AK351" s="860"/>
      <c r="AL351" s="860"/>
      <c r="AM351" s="860"/>
      <c r="AN351" s="860"/>
      <c r="AO351" s="860"/>
      <c r="AP351" s="860"/>
      <c r="AQ351" s="860"/>
      <c r="AR351" s="860"/>
      <c r="AS351" s="860"/>
      <c r="AT351" s="860"/>
      <c r="AU351" s="860"/>
      <c r="AV351" s="860"/>
      <c r="AW351" s="860"/>
      <c r="AX351" s="860"/>
      <c r="AY351" s="860"/>
      <c r="AZ351" s="860"/>
      <c r="BA351" s="860"/>
      <c r="BB351" s="860"/>
      <c r="BC351" s="860"/>
      <c r="BD351" s="860"/>
      <c r="BE351" s="860"/>
      <c r="BF351" s="860"/>
      <c r="BG351" s="860"/>
      <c r="BH351" s="668"/>
      <c r="BI351" s="667"/>
      <c r="BJ351" s="690">
        <f t="shared" si="150"/>
        <v>0</v>
      </c>
      <c r="BK351" s="691">
        <f t="shared" si="151"/>
        <v>0</v>
      </c>
      <c r="BL351" s="654"/>
      <c r="BM351" s="692">
        <f>SUMIFS(Imput[[Importe Neto]:[Importe Neto]],Imput[[C. Imp.]:[C. Imp.]],$D351,Imput[[PERIODO Imp.]:[PERIODO Imp.]],BM$9)</f>
        <v>0</v>
      </c>
      <c r="BN351" s="693">
        <f>SUMIFS(Imput[[Importe Neto]:[Importe Neto]],Imput[[C. Imp.]:[C. Imp.]],$D351,Imput[[PERIODO Imp.]:[PERIODO Imp.]],BN$9)</f>
        <v>0</v>
      </c>
      <c r="BO351" s="693">
        <f>SUMIFS(Imput[[Importe Neto]:[Importe Neto]],Imput[[C. Imp.]:[C. Imp.]],$D351,Imput[[PERIODO Imp.]:[PERIODO Imp.]],BO$9)</f>
        <v>0</v>
      </c>
      <c r="BP351" s="693">
        <f>SUMIFS(Imput[[Importe Neto]:[Importe Neto]],Imput[[C. Imp.]:[C. Imp.]],$D351,Imput[[PERIODO Imp.]:[PERIODO Imp.]],BP$9)</f>
        <v>0</v>
      </c>
      <c r="BQ351" s="693">
        <f>SUMIFS(Imput[[Importe Neto]:[Importe Neto]],Imput[[C. Imp.]:[C. Imp.]],$D351,Imput[[PERIODO Imp.]:[PERIODO Imp.]],BQ$9)</f>
        <v>0</v>
      </c>
      <c r="BR351" s="693">
        <f>SUMIFS(Imput[[Importe Neto]:[Importe Neto]],Imput[[C. Imp.]:[C. Imp.]],$D351,Imput[[PERIODO Imp.]:[PERIODO Imp.]],BR$9)</f>
        <v>0</v>
      </c>
      <c r="BS351" s="693">
        <f>SUMIFS(Imput[[Importe Neto]:[Importe Neto]],Imput[[C. Imp.]:[C. Imp.]],$D351,Imput[[PERIODO Imp.]:[PERIODO Imp.]],BS$9)</f>
        <v>0</v>
      </c>
      <c r="BT351" s="693">
        <f>SUMIFS(Imput[[Importe Neto]:[Importe Neto]],Imput[[C. Imp.]:[C. Imp.]],$D351,Imput[[PERIODO Imp.]:[PERIODO Imp.]],BT$9)</f>
        <v>0</v>
      </c>
      <c r="BU351" s="693">
        <f>SUMIFS(Imput[[Importe Neto]:[Importe Neto]],Imput[[C. Imp.]:[C. Imp.]],$D351,Imput[[PERIODO Imp.]:[PERIODO Imp.]],BU$9)</f>
        <v>0</v>
      </c>
      <c r="BV351" s="693">
        <f>SUMIFS(Imput[[Importe Neto]:[Importe Neto]],Imput[[C. Imp.]:[C. Imp.]],$D351,Imput[[PERIODO Imp.]:[PERIODO Imp.]],BV$9)</f>
        <v>0</v>
      </c>
      <c r="BW351" s="693">
        <f>SUMIFS(Imput[[Importe Neto]:[Importe Neto]],Imput[[C. Imp.]:[C. Imp.]],$D351,Imput[[PERIODO Imp.]:[PERIODO Imp.]],BW$9)</f>
        <v>0</v>
      </c>
      <c r="BX351" s="693">
        <f>SUMIFS(Imput[[Importe Neto]:[Importe Neto]],Imput[[C. Imp.]:[C. Imp.]],$D351,Imput[[PERIODO Imp.]:[PERIODO Imp.]],BX$9)</f>
        <v>0</v>
      </c>
      <c r="BY351" s="693">
        <f>SUMIFS(Imput[[Importe Neto]:[Importe Neto]],Imput[[C. Imp.]:[C. Imp.]],$D351,Imput[[PERIODO Imp.]:[PERIODO Imp.]],BY$9)</f>
        <v>0</v>
      </c>
      <c r="BZ351" s="693">
        <f>SUMIFS(Imput[[Importe Neto]:[Importe Neto]],Imput[[C. Imp.]:[C. Imp.]],$D351,Imput[[PERIODO Imp.]:[PERIODO Imp.]],BZ$9)</f>
        <v>0</v>
      </c>
      <c r="CA351" s="693">
        <f>SUMIFS(Imput[[Importe Neto]:[Importe Neto]],Imput[[C. Imp.]:[C. Imp.]],$D351,Imput[[PERIODO Imp.]:[PERIODO Imp.]],CA$9)</f>
        <v>0</v>
      </c>
      <c r="CB351" s="693">
        <f>SUMIFS(Imput[[Importe Neto]:[Importe Neto]],Imput[[C. Imp.]:[C. Imp.]],$D351,Imput[[PERIODO Imp.]:[PERIODO Imp.]],CB$9)</f>
        <v>0</v>
      </c>
      <c r="CC351" s="693">
        <f>SUMIFS(Imput[[Importe Neto]:[Importe Neto]],Imput[[C. Imp.]:[C. Imp.]],$D351,Imput[[PERIODO Imp.]:[PERIODO Imp.]],CC$9)</f>
        <v>0</v>
      </c>
      <c r="CD351" s="693">
        <f>SUMIFS(Imput[[Importe Neto]:[Importe Neto]],Imput[[C. Imp.]:[C. Imp.]],$D351,Imput[[PERIODO Imp.]:[PERIODO Imp.]],CD$9)</f>
        <v>0</v>
      </c>
      <c r="CE351" s="693">
        <f>SUMIFS(Imput[[Importe Neto]:[Importe Neto]],Imput[[C. Imp.]:[C. Imp.]],$D351,Imput[[PERIODO Imp.]:[PERIODO Imp.]],CE$9)</f>
        <v>0</v>
      </c>
      <c r="CF351" s="693">
        <f>SUMIFS(Imput[[Importe Neto]:[Importe Neto]],Imput[[C. Imp.]:[C. Imp.]],$D351,Imput[[PERIODO Imp.]:[PERIODO Imp.]],CF$9)</f>
        <v>0</v>
      </c>
      <c r="CG351" s="693">
        <f>SUMIFS(Imput[[Importe Neto]:[Importe Neto]],Imput[[C. Imp.]:[C. Imp.]],$D351,Imput[[PERIODO Imp.]:[PERIODO Imp.]],CG$9)</f>
        <v>0</v>
      </c>
      <c r="CH351" s="693">
        <f>SUMIFS(Imput[[Importe Neto]:[Importe Neto]],Imput[[C. Imp.]:[C. Imp.]],$D351,Imput[[PERIODO Imp.]:[PERIODO Imp.]],CH$9)</f>
        <v>0</v>
      </c>
      <c r="CI351" s="693">
        <f>SUMIFS(Imput[[Importe Neto]:[Importe Neto]],Imput[[C. Imp.]:[C. Imp.]],$D351,Imput[[PERIODO Imp.]:[PERIODO Imp.]],CI$9)</f>
        <v>0</v>
      </c>
      <c r="CJ351" s="693">
        <f>SUMIFS(Imput[[Importe Neto]:[Importe Neto]],Imput[[C. Imp.]:[C. Imp.]],$D351,Imput[[PERIODO Imp.]:[PERIODO Imp.]],CJ$9)</f>
        <v>0</v>
      </c>
      <c r="CK351" s="693">
        <f>SUMIFS(Imput[[Importe Neto]:[Importe Neto]],Imput[[C. Imp.]:[C. Imp.]],$D351,Imput[[PERIODO Imp.]:[PERIODO Imp.]],CK$9)</f>
        <v>0</v>
      </c>
      <c r="CL351" s="693">
        <f>SUMIFS(Imput[[Importe Neto]:[Importe Neto]],Imput[[C. Imp.]:[C. Imp.]],$D351,Imput[[PERIODO Imp.]:[PERIODO Imp.]],CL$9)</f>
        <v>0</v>
      </c>
      <c r="CM351" s="693">
        <f>SUMIFS(Imput[[Importe Neto]:[Importe Neto]],Imput[[C. Imp.]:[C. Imp.]],$D351,Imput[[PERIODO Imp.]:[PERIODO Imp.]],CM$9)</f>
        <v>0</v>
      </c>
      <c r="CN351" s="693">
        <f>SUMIFS(Imput[[Importe Neto]:[Importe Neto]],Imput[[C. Imp.]:[C. Imp.]],$D351,Imput[[PERIODO Imp.]:[PERIODO Imp.]],CN$9)</f>
        <v>0</v>
      </c>
      <c r="CO351" s="693">
        <f>SUMIFS(Imput[[Importe Neto]:[Importe Neto]],Imput[[C. Imp.]:[C. Imp.]],$D351,Imput[[PERIODO Imp.]:[PERIODO Imp.]],CO$9)</f>
        <v>0</v>
      </c>
      <c r="CP351" s="693">
        <f>SUMIFS(Imput[[Importe Neto]:[Importe Neto]],Imput[[C. Imp.]:[C. Imp.]],$D351,Imput[[PERIODO Imp.]:[PERIODO Imp.]],CP$9)</f>
        <v>0</v>
      </c>
      <c r="CQ351" s="693">
        <f>SUMIFS(Imput[[Importe Neto]:[Importe Neto]],Imput[[C. Imp.]:[C. Imp.]],$D351,Imput[[PERIODO Imp.]:[PERIODO Imp.]],CQ$9)</f>
        <v>0</v>
      </c>
      <c r="CR351" s="693">
        <f>SUMIFS(Imput[[Importe Neto]:[Importe Neto]],Imput[[C. Imp.]:[C. Imp.]],$D351,Imput[[PERIODO Imp.]:[PERIODO Imp.]],CR$9)</f>
        <v>0</v>
      </c>
      <c r="CS351" s="693">
        <f>SUMIFS(Imput[[Importe Neto]:[Importe Neto]],Imput[[C. Imp.]:[C. Imp.]],$D351,Imput[[PERIODO Imp.]:[PERIODO Imp.]],CS$9)</f>
        <v>0</v>
      </c>
      <c r="CT351" s="693">
        <f>SUMIFS(Imput[[Importe Neto]:[Importe Neto]],Imput[[C. Imp.]:[C. Imp.]],$D351,Imput[[PERIODO Imp.]:[PERIODO Imp.]],CT$9)</f>
        <v>0</v>
      </c>
      <c r="CU351" s="693">
        <f>SUMIFS(Imput[[Importe Neto]:[Importe Neto]],Imput[[C. Imp.]:[C. Imp.]],$D351,Imput[[PERIODO Imp.]:[PERIODO Imp.]],CU$9)</f>
        <v>0</v>
      </c>
      <c r="CV351" s="693">
        <f>SUMIFS(Imput[[Importe Neto]:[Importe Neto]],Imput[[C. Imp.]:[C. Imp.]],$D351,Imput[[PERIODO Imp.]:[PERIODO Imp.]],CV$9)</f>
        <v>0</v>
      </c>
      <c r="CW351" s="693">
        <f>SUMIFS(Imput[[Importe Neto]:[Importe Neto]],Imput[[C. Imp.]:[C. Imp.]],$D351,Imput[[PERIODO Imp.]:[PERIODO Imp.]],CW$9)</f>
        <v>0</v>
      </c>
      <c r="CX351" s="693">
        <f>SUMIFS(Imput[[Importe Neto]:[Importe Neto]],Imput[[C. Imp.]:[C. Imp.]],$D351,Imput[[PERIODO Imp.]:[PERIODO Imp.]],CX$9)</f>
        <v>0</v>
      </c>
      <c r="CY351" s="693">
        <f>SUMIFS(Imput[[Importe Neto]:[Importe Neto]],Imput[[C. Imp.]:[C. Imp.]],$D351,Imput[[PERIODO Imp.]:[PERIODO Imp.]],CY$9)</f>
        <v>0</v>
      </c>
      <c r="CZ351" s="693">
        <f>SUMIFS(Imput[[Importe Neto]:[Importe Neto]],Imput[[C. Imp.]:[C. Imp.]],$D351,Imput[[PERIODO Imp.]:[PERIODO Imp.]],CZ$9)</f>
        <v>0</v>
      </c>
      <c r="DA351" s="693">
        <f>SUMIFS(Imput[[Importe Neto]:[Importe Neto]],Imput[[C. Imp.]:[C. Imp.]],$D351,Imput[[PERIODO Imp.]:[PERIODO Imp.]],DA$9)</f>
        <v>0</v>
      </c>
      <c r="DB351" s="693">
        <f>SUMIFS(Imput[[Importe Neto]:[Importe Neto]],Imput[[C. Imp.]:[C. Imp.]],$D351,Imput[[PERIODO Imp.]:[PERIODO Imp.]],DB$9)</f>
        <v>0</v>
      </c>
      <c r="DC351" s="693">
        <f>SUMIFS(Imput[[Importe Neto]:[Importe Neto]],Imput[[C. Imp.]:[C. Imp.]],$D351,Imput[[PERIODO Imp.]:[PERIODO Imp.]],DC$9)</f>
        <v>0</v>
      </c>
      <c r="DD351" s="693">
        <f>SUMIFS(Imput[[Importe Neto]:[Importe Neto]],Imput[[C. Imp.]:[C. Imp.]],$D351,Imput[[PERIODO Imp.]:[PERIODO Imp.]],DD$9)</f>
        <v>0</v>
      </c>
      <c r="DE351" s="693">
        <f>SUMIFS(Imput[[Importe Neto]:[Importe Neto]],Imput[[C. Imp.]:[C. Imp.]],$D351,Imput[[PERIODO Imp.]:[PERIODO Imp.]],DE$9)</f>
        <v>0</v>
      </c>
      <c r="DF351" s="693">
        <f>SUMIFS(Imput[[Importe Neto]:[Importe Neto]],Imput[[C. Imp.]:[C. Imp.]],$D351,Imput[[PERIODO Imp.]:[PERIODO Imp.]],DF$9)</f>
        <v>0</v>
      </c>
      <c r="DG351" s="693">
        <f>SUMIFS(Imput[[Importe Neto]:[Importe Neto]],Imput[[C. Imp.]:[C. Imp.]],$D351,Imput[[PERIODO Imp.]:[PERIODO Imp.]],DG$9)</f>
        <v>0</v>
      </c>
      <c r="DH351" s="694">
        <f>SUMIFS(Imput[[Importe Neto]:[Importe Neto]],Imput[[C. Imp.]:[C. Imp.]],$D351,Imput[[PERIODO Imp.]:[PERIODO Imp.]],DH$9)</f>
        <v>0</v>
      </c>
    </row>
    <row r="352" spans="1:112" s="649" customFormat="1" hidden="1" outlineLevel="1" x14ac:dyDescent="0.3">
      <c r="A352" s="652" t="str">
        <f t="shared" si="144"/>
        <v/>
      </c>
      <c r="B352" s="652"/>
      <c r="C352" s="685"/>
      <c r="D352" s="686" t="s">
        <v>2416</v>
      </c>
      <c r="E352" s="686"/>
      <c r="F352" s="720"/>
      <c r="G352" s="688"/>
      <c r="H352" s="696"/>
      <c r="I352" s="851" t="str">
        <f t="shared" si="149"/>
        <v/>
      </c>
      <c r="J352" s="850" t="str">
        <f t="shared" si="146"/>
        <v/>
      </c>
      <c r="K352" s="678"/>
      <c r="L352" s="858"/>
      <c r="M352" s="859"/>
      <c r="N352" s="859"/>
      <c r="O352" s="859"/>
      <c r="P352" s="859"/>
      <c r="Q352" s="859"/>
      <c r="R352" s="859"/>
      <c r="S352" s="859"/>
      <c r="T352" s="859"/>
      <c r="U352" s="859"/>
      <c r="V352" s="859"/>
      <c r="W352" s="859"/>
      <c r="X352" s="859"/>
      <c r="Y352" s="859"/>
      <c r="Z352" s="860"/>
      <c r="AA352" s="860"/>
      <c r="AB352" s="860"/>
      <c r="AC352" s="860"/>
      <c r="AD352" s="860"/>
      <c r="AE352" s="860"/>
      <c r="AF352" s="860"/>
      <c r="AG352" s="860"/>
      <c r="AH352" s="860"/>
      <c r="AI352" s="860"/>
      <c r="AJ352" s="860"/>
      <c r="AK352" s="860"/>
      <c r="AL352" s="860"/>
      <c r="AM352" s="860"/>
      <c r="AN352" s="860"/>
      <c r="AO352" s="860"/>
      <c r="AP352" s="860"/>
      <c r="AQ352" s="860"/>
      <c r="AR352" s="860"/>
      <c r="AS352" s="860"/>
      <c r="AT352" s="860"/>
      <c r="AU352" s="860"/>
      <c r="AV352" s="860"/>
      <c r="AW352" s="860"/>
      <c r="AX352" s="860"/>
      <c r="AY352" s="860"/>
      <c r="AZ352" s="860"/>
      <c r="BA352" s="860"/>
      <c r="BB352" s="860"/>
      <c r="BC352" s="860"/>
      <c r="BD352" s="860"/>
      <c r="BE352" s="860"/>
      <c r="BF352" s="860"/>
      <c r="BG352" s="860"/>
      <c r="BH352" s="668"/>
      <c r="BI352" s="654"/>
      <c r="BJ352" s="690">
        <f t="shared" si="150"/>
        <v>0</v>
      </c>
      <c r="BK352" s="691">
        <f t="shared" si="151"/>
        <v>0</v>
      </c>
      <c r="BL352" s="654"/>
      <c r="BM352" s="692">
        <f>SUMIFS(Imput[[Importe Neto]:[Importe Neto]],Imput[[C. Imp.]:[C. Imp.]],$D352,Imput[[PERIODO Imp.]:[PERIODO Imp.]],BM$9)</f>
        <v>0</v>
      </c>
      <c r="BN352" s="693">
        <f>SUMIFS(Imput[[Importe Neto]:[Importe Neto]],Imput[[C. Imp.]:[C. Imp.]],$D352,Imput[[PERIODO Imp.]:[PERIODO Imp.]],BN$9)</f>
        <v>0</v>
      </c>
      <c r="BO352" s="693">
        <f>SUMIFS(Imput[[Importe Neto]:[Importe Neto]],Imput[[C. Imp.]:[C. Imp.]],$D352,Imput[[PERIODO Imp.]:[PERIODO Imp.]],BO$9)</f>
        <v>0</v>
      </c>
      <c r="BP352" s="693">
        <f>SUMIFS(Imput[[Importe Neto]:[Importe Neto]],Imput[[C. Imp.]:[C. Imp.]],$D352,Imput[[PERIODO Imp.]:[PERIODO Imp.]],BP$9)</f>
        <v>0</v>
      </c>
      <c r="BQ352" s="693">
        <f>SUMIFS(Imput[[Importe Neto]:[Importe Neto]],Imput[[C. Imp.]:[C. Imp.]],$D352,Imput[[PERIODO Imp.]:[PERIODO Imp.]],BQ$9)</f>
        <v>0</v>
      </c>
      <c r="BR352" s="693">
        <f>SUMIFS(Imput[[Importe Neto]:[Importe Neto]],Imput[[C. Imp.]:[C. Imp.]],$D352,Imput[[PERIODO Imp.]:[PERIODO Imp.]],BR$9)</f>
        <v>0</v>
      </c>
      <c r="BS352" s="693">
        <f>SUMIFS(Imput[[Importe Neto]:[Importe Neto]],Imput[[C. Imp.]:[C. Imp.]],$D352,Imput[[PERIODO Imp.]:[PERIODO Imp.]],BS$9)</f>
        <v>0</v>
      </c>
      <c r="BT352" s="693">
        <f>SUMIFS(Imput[[Importe Neto]:[Importe Neto]],Imput[[C. Imp.]:[C. Imp.]],$D352,Imput[[PERIODO Imp.]:[PERIODO Imp.]],BT$9)</f>
        <v>0</v>
      </c>
      <c r="BU352" s="693">
        <f>SUMIFS(Imput[[Importe Neto]:[Importe Neto]],Imput[[C. Imp.]:[C. Imp.]],$D352,Imput[[PERIODO Imp.]:[PERIODO Imp.]],BU$9)</f>
        <v>0</v>
      </c>
      <c r="BV352" s="693">
        <f>SUMIFS(Imput[[Importe Neto]:[Importe Neto]],Imput[[C. Imp.]:[C. Imp.]],$D352,Imput[[PERIODO Imp.]:[PERIODO Imp.]],BV$9)</f>
        <v>0</v>
      </c>
      <c r="BW352" s="693">
        <f>SUMIFS(Imput[[Importe Neto]:[Importe Neto]],Imput[[C. Imp.]:[C. Imp.]],$D352,Imput[[PERIODO Imp.]:[PERIODO Imp.]],BW$9)</f>
        <v>0</v>
      </c>
      <c r="BX352" s="693">
        <f>SUMIFS(Imput[[Importe Neto]:[Importe Neto]],Imput[[C. Imp.]:[C. Imp.]],$D352,Imput[[PERIODO Imp.]:[PERIODO Imp.]],BX$9)</f>
        <v>0</v>
      </c>
      <c r="BY352" s="693">
        <f>SUMIFS(Imput[[Importe Neto]:[Importe Neto]],Imput[[C. Imp.]:[C. Imp.]],$D352,Imput[[PERIODO Imp.]:[PERIODO Imp.]],BY$9)</f>
        <v>0</v>
      </c>
      <c r="BZ352" s="693">
        <f>SUMIFS(Imput[[Importe Neto]:[Importe Neto]],Imput[[C. Imp.]:[C. Imp.]],$D352,Imput[[PERIODO Imp.]:[PERIODO Imp.]],BZ$9)</f>
        <v>0</v>
      </c>
      <c r="CA352" s="693">
        <f>SUMIFS(Imput[[Importe Neto]:[Importe Neto]],Imput[[C. Imp.]:[C. Imp.]],$D352,Imput[[PERIODO Imp.]:[PERIODO Imp.]],CA$9)</f>
        <v>0</v>
      </c>
      <c r="CB352" s="693">
        <f>SUMIFS(Imput[[Importe Neto]:[Importe Neto]],Imput[[C. Imp.]:[C. Imp.]],$D352,Imput[[PERIODO Imp.]:[PERIODO Imp.]],CB$9)</f>
        <v>0</v>
      </c>
      <c r="CC352" s="693">
        <f>SUMIFS(Imput[[Importe Neto]:[Importe Neto]],Imput[[C. Imp.]:[C. Imp.]],$D352,Imput[[PERIODO Imp.]:[PERIODO Imp.]],CC$9)</f>
        <v>0</v>
      </c>
      <c r="CD352" s="693">
        <f>SUMIFS(Imput[[Importe Neto]:[Importe Neto]],Imput[[C. Imp.]:[C. Imp.]],$D352,Imput[[PERIODO Imp.]:[PERIODO Imp.]],CD$9)</f>
        <v>0</v>
      </c>
      <c r="CE352" s="693">
        <f>SUMIFS(Imput[[Importe Neto]:[Importe Neto]],Imput[[C. Imp.]:[C. Imp.]],$D352,Imput[[PERIODO Imp.]:[PERIODO Imp.]],CE$9)</f>
        <v>0</v>
      </c>
      <c r="CF352" s="693">
        <f>SUMIFS(Imput[[Importe Neto]:[Importe Neto]],Imput[[C. Imp.]:[C. Imp.]],$D352,Imput[[PERIODO Imp.]:[PERIODO Imp.]],CF$9)</f>
        <v>0</v>
      </c>
      <c r="CG352" s="693">
        <f>SUMIFS(Imput[[Importe Neto]:[Importe Neto]],Imput[[C. Imp.]:[C. Imp.]],$D352,Imput[[PERIODO Imp.]:[PERIODO Imp.]],CG$9)</f>
        <v>0</v>
      </c>
      <c r="CH352" s="693">
        <f>SUMIFS(Imput[[Importe Neto]:[Importe Neto]],Imput[[C. Imp.]:[C. Imp.]],$D352,Imput[[PERIODO Imp.]:[PERIODO Imp.]],CH$9)</f>
        <v>0</v>
      </c>
      <c r="CI352" s="693">
        <f>SUMIFS(Imput[[Importe Neto]:[Importe Neto]],Imput[[C. Imp.]:[C. Imp.]],$D352,Imput[[PERIODO Imp.]:[PERIODO Imp.]],CI$9)</f>
        <v>0</v>
      </c>
      <c r="CJ352" s="693">
        <f>SUMIFS(Imput[[Importe Neto]:[Importe Neto]],Imput[[C. Imp.]:[C. Imp.]],$D352,Imput[[PERIODO Imp.]:[PERIODO Imp.]],CJ$9)</f>
        <v>0</v>
      </c>
      <c r="CK352" s="693">
        <f>SUMIFS(Imput[[Importe Neto]:[Importe Neto]],Imput[[C. Imp.]:[C. Imp.]],$D352,Imput[[PERIODO Imp.]:[PERIODO Imp.]],CK$9)</f>
        <v>0</v>
      </c>
      <c r="CL352" s="693">
        <f>SUMIFS(Imput[[Importe Neto]:[Importe Neto]],Imput[[C. Imp.]:[C. Imp.]],$D352,Imput[[PERIODO Imp.]:[PERIODO Imp.]],CL$9)</f>
        <v>0</v>
      </c>
      <c r="CM352" s="693">
        <f>SUMIFS(Imput[[Importe Neto]:[Importe Neto]],Imput[[C. Imp.]:[C. Imp.]],$D352,Imput[[PERIODO Imp.]:[PERIODO Imp.]],CM$9)</f>
        <v>0</v>
      </c>
      <c r="CN352" s="693">
        <f>SUMIFS(Imput[[Importe Neto]:[Importe Neto]],Imput[[C. Imp.]:[C. Imp.]],$D352,Imput[[PERIODO Imp.]:[PERIODO Imp.]],CN$9)</f>
        <v>0</v>
      </c>
      <c r="CO352" s="693">
        <f>SUMIFS(Imput[[Importe Neto]:[Importe Neto]],Imput[[C. Imp.]:[C. Imp.]],$D352,Imput[[PERIODO Imp.]:[PERIODO Imp.]],CO$9)</f>
        <v>0</v>
      </c>
      <c r="CP352" s="693">
        <f>SUMIFS(Imput[[Importe Neto]:[Importe Neto]],Imput[[C. Imp.]:[C. Imp.]],$D352,Imput[[PERIODO Imp.]:[PERIODO Imp.]],CP$9)</f>
        <v>0</v>
      </c>
      <c r="CQ352" s="693">
        <f>SUMIFS(Imput[[Importe Neto]:[Importe Neto]],Imput[[C. Imp.]:[C. Imp.]],$D352,Imput[[PERIODO Imp.]:[PERIODO Imp.]],CQ$9)</f>
        <v>0</v>
      </c>
      <c r="CR352" s="693">
        <f>SUMIFS(Imput[[Importe Neto]:[Importe Neto]],Imput[[C. Imp.]:[C. Imp.]],$D352,Imput[[PERIODO Imp.]:[PERIODO Imp.]],CR$9)</f>
        <v>0</v>
      </c>
      <c r="CS352" s="693">
        <f>SUMIFS(Imput[[Importe Neto]:[Importe Neto]],Imput[[C. Imp.]:[C. Imp.]],$D352,Imput[[PERIODO Imp.]:[PERIODO Imp.]],CS$9)</f>
        <v>0</v>
      </c>
      <c r="CT352" s="693">
        <f>SUMIFS(Imput[[Importe Neto]:[Importe Neto]],Imput[[C. Imp.]:[C. Imp.]],$D352,Imput[[PERIODO Imp.]:[PERIODO Imp.]],CT$9)</f>
        <v>0</v>
      </c>
      <c r="CU352" s="693">
        <f>SUMIFS(Imput[[Importe Neto]:[Importe Neto]],Imput[[C. Imp.]:[C. Imp.]],$D352,Imput[[PERIODO Imp.]:[PERIODO Imp.]],CU$9)</f>
        <v>0</v>
      </c>
      <c r="CV352" s="693">
        <f>SUMIFS(Imput[[Importe Neto]:[Importe Neto]],Imput[[C. Imp.]:[C. Imp.]],$D352,Imput[[PERIODO Imp.]:[PERIODO Imp.]],CV$9)</f>
        <v>0</v>
      </c>
      <c r="CW352" s="693">
        <f>SUMIFS(Imput[[Importe Neto]:[Importe Neto]],Imput[[C. Imp.]:[C. Imp.]],$D352,Imput[[PERIODO Imp.]:[PERIODO Imp.]],CW$9)</f>
        <v>0</v>
      </c>
      <c r="CX352" s="693">
        <f>SUMIFS(Imput[[Importe Neto]:[Importe Neto]],Imput[[C. Imp.]:[C. Imp.]],$D352,Imput[[PERIODO Imp.]:[PERIODO Imp.]],CX$9)</f>
        <v>0</v>
      </c>
      <c r="CY352" s="693">
        <f>SUMIFS(Imput[[Importe Neto]:[Importe Neto]],Imput[[C. Imp.]:[C. Imp.]],$D352,Imput[[PERIODO Imp.]:[PERIODO Imp.]],CY$9)</f>
        <v>0</v>
      </c>
      <c r="CZ352" s="693">
        <f>SUMIFS(Imput[[Importe Neto]:[Importe Neto]],Imput[[C. Imp.]:[C. Imp.]],$D352,Imput[[PERIODO Imp.]:[PERIODO Imp.]],CZ$9)</f>
        <v>0</v>
      </c>
      <c r="DA352" s="693">
        <f>SUMIFS(Imput[[Importe Neto]:[Importe Neto]],Imput[[C. Imp.]:[C. Imp.]],$D352,Imput[[PERIODO Imp.]:[PERIODO Imp.]],DA$9)</f>
        <v>0</v>
      </c>
      <c r="DB352" s="693">
        <f>SUMIFS(Imput[[Importe Neto]:[Importe Neto]],Imput[[C. Imp.]:[C. Imp.]],$D352,Imput[[PERIODO Imp.]:[PERIODO Imp.]],DB$9)</f>
        <v>0</v>
      </c>
      <c r="DC352" s="693">
        <f>SUMIFS(Imput[[Importe Neto]:[Importe Neto]],Imput[[C. Imp.]:[C. Imp.]],$D352,Imput[[PERIODO Imp.]:[PERIODO Imp.]],DC$9)</f>
        <v>0</v>
      </c>
      <c r="DD352" s="693">
        <f>SUMIFS(Imput[[Importe Neto]:[Importe Neto]],Imput[[C. Imp.]:[C. Imp.]],$D352,Imput[[PERIODO Imp.]:[PERIODO Imp.]],DD$9)</f>
        <v>0</v>
      </c>
      <c r="DE352" s="693">
        <f>SUMIFS(Imput[[Importe Neto]:[Importe Neto]],Imput[[C. Imp.]:[C. Imp.]],$D352,Imput[[PERIODO Imp.]:[PERIODO Imp.]],DE$9)</f>
        <v>0</v>
      </c>
      <c r="DF352" s="693">
        <f>SUMIFS(Imput[[Importe Neto]:[Importe Neto]],Imput[[C. Imp.]:[C. Imp.]],$D352,Imput[[PERIODO Imp.]:[PERIODO Imp.]],DF$9)</f>
        <v>0</v>
      </c>
      <c r="DG352" s="693">
        <f>SUMIFS(Imput[[Importe Neto]:[Importe Neto]],Imput[[C. Imp.]:[C. Imp.]],$D352,Imput[[PERIODO Imp.]:[PERIODO Imp.]],DG$9)</f>
        <v>0</v>
      </c>
      <c r="DH352" s="694">
        <f>SUMIFS(Imput[[Importe Neto]:[Importe Neto]],Imput[[C. Imp.]:[C. Imp.]],$D352,Imput[[PERIODO Imp.]:[PERIODO Imp.]],DH$9)</f>
        <v>0</v>
      </c>
    </row>
    <row r="353" spans="1:112" s="649" customFormat="1" hidden="1" outlineLevel="1" x14ac:dyDescent="0.3">
      <c r="A353" s="652" t="str">
        <f t="shared" si="144"/>
        <v/>
      </c>
      <c r="B353" s="652"/>
      <c r="C353" s="685"/>
      <c r="D353" s="686" t="s">
        <v>2417</v>
      </c>
      <c r="E353" s="728"/>
      <c r="F353" s="720"/>
      <c r="G353" s="688"/>
      <c r="H353" s="696"/>
      <c r="I353" s="851" t="str">
        <f t="shared" si="149"/>
        <v/>
      </c>
      <c r="J353" s="850" t="str">
        <f t="shared" si="146"/>
        <v/>
      </c>
      <c r="K353" s="667"/>
      <c r="L353" s="858"/>
      <c r="M353" s="859"/>
      <c r="N353" s="859"/>
      <c r="O353" s="859"/>
      <c r="P353" s="859"/>
      <c r="Q353" s="859"/>
      <c r="R353" s="859"/>
      <c r="S353" s="859"/>
      <c r="T353" s="859"/>
      <c r="U353" s="859"/>
      <c r="V353" s="859"/>
      <c r="W353" s="859"/>
      <c r="X353" s="859"/>
      <c r="Y353" s="859"/>
      <c r="Z353" s="860"/>
      <c r="AA353" s="860"/>
      <c r="AB353" s="860"/>
      <c r="AC353" s="860"/>
      <c r="AD353" s="860"/>
      <c r="AE353" s="860"/>
      <c r="AF353" s="860"/>
      <c r="AG353" s="860"/>
      <c r="AH353" s="860"/>
      <c r="AI353" s="860"/>
      <c r="AJ353" s="860"/>
      <c r="AK353" s="860"/>
      <c r="AL353" s="860"/>
      <c r="AM353" s="860"/>
      <c r="AN353" s="860"/>
      <c r="AO353" s="860"/>
      <c r="AP353" s="860"/>
      <c r="AQ353" s="860"/>
      <c r="AR353" s="860"/>
      <c r="AS353" s="860"/>
      <c r="AT353" s="860"/>
      <c r="AU353" s="860"/>
      <c r="AV353" s="860"/>
      <c r="AW353" s="860"/>
      <c r="AX353" s="860"/>
      <c r="AY353" s="860"/>
      <c r="AZ353" s="860"/>
      <c r="BA353" s="860"/>
      <c r="BB353" s="860"/>
      <c r="BC353" s="860"/>
      <c r="BD353" s="860"/>
      <c r="BE353" s="860"/>
      <c r="BF353" s="860"/>
      <c r="BG353" s="860"/>
      <c r="BH353" s="668"/>
      <c r="BI353" s="667"/>
      <c r="BJ353" s="690">
        <f t="shared" si="150"/>
        <v>0</v>
      </c>
      <c r="BK353" s="691">
        <f t="shared" si="151"/>
        <v>0</v>
      </c>
      <c r="BL353" s="654"/>
      <c r="BM353" s="692">
        <f>SUMIFS(Imput[[Importe Neto]:[Importe Neto]],Imput[[C. Imp.]:[C. Imp.]],$D353,Imput[[PERIODO Imp.]:[PERIODO Imp.]],BM$9)</f>
        <v>0</v>
      </c>
      <c r="BN353" s="693">
        <f>SUMIFS(Imput[[Importe Neto]:[Importe Neto]],Imput[[C. Imp.]:[C. Imp.]],$D353,Imput[[PERIODO Imp.]:[PERIODO Imp.]],BN$9)</f>
        <v>0</v>
      </c>
      <c r="BO353" s="693">
        <f>SUMIFS(Imput[[Importe Neto]:[Importe Neto]],Imput[[C. Imp.]:[C. Imp.]],$D353,Imput[[PERIODO Imp.]:[PERIODO Imp.]],BO$9)</f>
        <v>0</v>
      </c>
      <c r="BP353" s="693">
        <f>SUMIFS(Imput[[Importe Neto]:[Importe Neto]],Imput[[C. Imp.]:[C. Imp.]],$D353,Imput[[PERIODO Imp.]:[PERIODO Imp.]],BP$9)</f>
        <v>0</v>
      </c>
      <c r="BQ353" s="693">
        <f>SUMIFS(Imput[[Importe Neto]:[Importe Neto]],Imput[[C. Imp.]:[C. Imp.]],$D353,Imput[[PERIODO Imp.]:[PERIODO Imp.]],BQ$9)</f>
        <v>0</v>
      </c>
      <c r="BR353" s="693">
        <f>SUMIFS(Imput[[Importe Neto]:[Importe Neto]],Imput[[C. Imp.]:[C. Imp.]],$D353,Imput[[PERIODO Imp.]:[PERIODO Imp.]],BR$9)</f>
        <v>0</v>
      </c>
      <c r="BS353" s="693">
        <f>SUMIFS(Imput[[Importe Neto]:[Importe Neto]],Imput[[C. Imp.]:[C. Imp.]],$D353,Imput[[PERIODO Imp.]:[PERIODO Imp.]],BS$9)</f>
        <v>0</v>
      </c>
      <c r="BT353" s="693">
        <f>SUMIFS(Imput[[Importe Neto]:[Importe Neto]],Imput[[C. Imp.]:[C. Imp.]],$D353,Imput[[PERIODO Imp.]:[PERIODO Imp.]],BT$9)</f>
        <v>0</v>
      </c>
      <c r="BU353" s="693">
        <f>SUMIFS(Imput[[Importe Neto]:[Importe Neto]],Imput[[C. Imp.]:[C. Imp.]],$D353,Imput[[PERIODO Imp.]:[PERIODO Imp.]],BU$9)</f>
        <v>0</v>
      </c>
      <c r="BV353" s="693">
        <f>SUMIFS(Imput[[Importe Neto]:[Importe Neto]],Imput[[C. Imp.]:[C. Imp.]],$D353,Imput[[PERIODO Imp.]:[PERIODO Imp.]],BV$9)</f>
        <v>0</v>
      </c>
      <c r="BW353" s="693">
        <f>SUMIFS(Imput[[Importe Neto]:[Importe Neto]],Imput[[C. Imp.]:[C. Imp.]],$D353,Imput[[PERIODO Imp.]:[PERIODO Imp.]],BW$9)</f>
        <v>0</v>
      </c>
      <c r="BX353" s="693">
        <f>SUMIFS(Imput[[Importe Neto]:[Importe Neto]],Imput[[C. Imp.]:[C. Imp.]],$D353,Imput[[PERIODO Imp.]:[PERIODO Imp.]],BX$9)</f>
        <v>0</v>
      </c>
      <c r="BY353" s="693">
        <f>SUMIFS(Imput[[Importe Neto]:[Importe Neto]],Imput[[C. Imp.]:[C. Imp.]],$D353,Imput[[PERIODO Imp.]:[PERIODO Imp.]],BY$9)</f>
        <v>0</v>
      </c>
      <c r="BZ353" s="693">
        <f>SUMIFS(Imput[[Importe Neto]:[Importe Neto]],Imput[[C. Imp.]:[C. Imp.]],$D353,Imput[[PERIODO Imp.]:[PERIODO Imp.]],BZ$9)</f>
        <v>0</v>
      </c>
      <c r="CA353" s="693">
        <f>SUMIFS(Imput[[Importe Neto]:[Importe Neto]],Imput[[C. Imp.]:[C. Imp.]],$D353,Imput[[PERIODO Imp.]:[PERIODO Imp.]],CA$9)</f>
        <v>0</v>
      </c>
      <c r="CB353" s="693">
        <f>SUMIFS(Imput[[Importe Neto]:[Importe Neto]],Imput[[C. Imp.]:[C. Imp.]],$D353,Imput[[PERIODO Imp.]:[PERIODO Imp.]],CB$9)</f>
        <v>0</v>
      </c>
      <c r="CC353" s="693">
        <f>SUMIFS(Imput[[Importe Neto]:[Importe Neto]],Imput[[C. Imp.]:[C. Imp.]],$D353,Imput[[PERIODO Imp.]:[PERIODO Imp.]],CC$9)</f>
        <v>0</v>
      </c>
      <c r="CD353" s="693">
        <f>SUMIFS(Imput[[Importe Neto]:[Importe Neto]],Imput[[C. Imp.]:[C. Imp.]],$D353,Imput[[PERIODO Imp.]:[PERIODO Imp.]],CD$9)</f>
        <v>0</v>
      </c>
      <c r="CE353" s="693">
        <f>SUMIFS(Imput[[Importe Neto]:[Importe Neto]],Imput[[C. Imp.]:[C. Imp.]],$D353,Imput[[PERIODO Imp.]:[PERIODO Imp.]],CE$9)</f>
        <v>0</v>
      </c>
      <c r="CF353" s="693">
        <f>SUMIFS(Imput[[Importe Neto]:[Importe Neto]],Imput[[C. Imp.]:[C. Imp.]],$D353,Imput[[PERIODO Imp.]:[PERIODO Imp.]],CF$9)</f>
        <v>0</v>
      </c>
      <c r="CG353" s="693">
        <f>SUMIFS(Imput[[Importe Neto]:[Importe Neto]],Imput[[C. Imp.]:[C. Imp.]],$D353,Imput[[PERIODO Imp.]:[PERIODO Imp.]],CG$9)</f>
        <v>0</v>
      </c>
      <c r="CH353" s="693">
        <f>SUMIFS(Imput[[Importe Neto]:[Importe Neto]],Imput[[C. Imp.]:[C. Imp.]],$D353,Imput[[PERIODO Imp.]:[PERIODO Imp.]],CH$9)</f>
        <v>0</v>
      </c>
      <c r="CI353" s="693">
        <f>SUMIFS(Imput[[Importe Neto]:[Importe Neto]],Imput[[C. Imp.]:[C. Imp.]],$D353,Imput[[PERIODO Imp.]:[PERIODO Imp.]],CI$9)</f>
        <v>0</v>
      </c>
      <c r="CJ353" s="693">
        <f>SUMIFS(Imput[[Importe Neto]:[Importe Neto]],Imput[[C. Imp.]:[C. Imp.]],$D353,Imput[[PERIODO Imp.]:[PERIODO Imp.]],CJ$9)</f>
        <v>0</v>
      </c>
      <c r="CK353" s="693">
        <f>SUMIFS(Imput[[Importe Neto]:[Importe Neto]],Imput[[C. Imp.]:[C. Imp.]],$D353,Imput[[PERIODO Imp.]:[PERIODO Imp.]],CK$9)</f>
        <v>0</v>
      </c>
      <c r="CL353" s="693">
        <f>SUMIFS(Imput[[Importe Neto]:[Importe Neto]],Imput[[C. Imp.]:[C. Imp.]],$D353,Imput[[PERIODO Imp.]:[PERIODO Imp.]],CL$9)</f>
        <v>0</v>
      </c>
      <c r="CM353" s="693">
        <f>SUMIFS(Imput[[Importe Neto]:[Importe Neto]],Imput[[C. Imp.]:[C. Imp.]],$D353,Imput[[PERIODO Imp.]:[PERIODO Imp.]],CM$9)</f>
        <v>0</v>
      </c>
      <c r="CN353" s="693">
        <f>SUMIFS(Imput[[Importe Neto]:[Importe Neto]],Imput[[C. Imp.]:[C. Imp.]],$D353,Imput[[PERIODO Imp.]:[PERIODO Imp.]],CN$9)</f>
        <v>0</v>
      </c>
      <c r="CO353" s="693">
        <f>SUMIFS(Imput[[Importe Neto]:[Importe Neto]],Imput[[C. Imp.]:[C. Imp.]],$D353,Imput[[PERIODO Imp.]:[PERIODO Imp.]],CO$9)</f>
        <v>0</v>
      </c>
      <c r="CP353" s="693">
        <f>SUMIFS(Imput[[Importe Neto]:[Importe Neto]],Imput[[C. Imp.]:[C. Imp.]],$D353,Imput[[PERIODO Imp.]:[PERIODO Imp.]],CP$9)</f>
        <v>0</v>
      </c>
      <c r="CQ353" s="693">
        <f>SUMIFS(Imput[[Importe Neto]:[Importe Neto]],Imput[[C. Imp.]:[C. Imp.]],$D353,Imput[[PERIODO Imp.]:[PERIODO Imp.]],CQ$9)</f>
        <v>0</v>
      </c>
      <c r="CR353" s="693">
        <f>SUMIFS(Imput[[Importe Neto]:[Importe Neto]],Imput[[C. Imp.]:[C. Imp.]],$D353,Imput[[PERIODO Imp.]:[PERIODO Imp.]],CR$9)</f>
        <v>0</v>
      </c>
      <c r="CS353" s="693">
        <f>SUMIFS(Imput[[Importe Neto]:[Importe Neto]],Imput[[C. Imp.]:[C. Imp.]],$D353,Imput[[PERIODO Imp.]:[PERIODO Imp.]],CS$9)</f>
        <v>0</v>
      </c>
      <c r="CT353" s="693">
        <f>SUMIFS(Imput[[Importe Neto]:[Importe Neto]],Imput[[C. Imp.]:[C. Imp.]],$D353,Imput[[PERIODO Imp.]:[PERIODO Imp.]],CT$9)</f>
        <v>0</v>
      </c>
      <c r="CU353" s="693">
        <f>SUMIFS(Imput[[Importe Neto]:[Importe Neto]],Imput[[C. Imp.]:[C. Imp.]],$D353,Imput[[PERIODO Imp.]:[PERIODO Imp.]],CU$9)</f>
        <v>0</v>
      </c>
      <c r="CV353" s="693">
        <f>SUMIFS(Imput[[Importe Neto]:[Importe Neto]],Imput[[C. Imp.]:[C. Imp.]],$D353,Imput[[PERIODO Imp.]:[PERIODO Imp.]],CV$9)</f>
        <v>0</v>
      </c>
      <c r="CW353" s="693">
        <f>SUMIFS(Imput[[Importe Neto]:[Importe Neto]],Imput[[C. Imp.]:[C. Imp.]],$D353,Imput[[PERIODO Imp.]:[PERIODO Imp.]],CW$9)</f>
        <v>0</v>
      </c>
      <c r="CX353" s="693">
        <f>SUMIFS(Imput[[Importe Neto]:[Importe Neto]],Imput[[C. Imp.]:[C. Imp.]],$D353,Imput[[PERIODO Imp.]:[PERIODO Imp.]],CX$9)</f>
        <v>0</v>
      </c>
      <c r="CY353" s="693">
        <f>SUMIFS(Imput[[Importe Neto]:[Importe Neto]],Imput[[C. Imp.]:[C. Imp.]],$D353,Imput[[PERIODO Imp.]:[PERIODO Imp.]],CY$9)</f>
        <v>0</v>
      </c>
      <c r="CZ353" s="693">
        <f>SUMIFS(Imput[[Importe Neto]:[Importe Neto]],Imput[[C. Imp.]:[C. Imp.]],$D353,Imput[[PERIODO Imp.]:[PERIODO Imp.]],CZ$9)</f>
        <v>0</v>
      </c>
      <c r="DA353" s="693">
        <f>SUMIFS(Imput[[Importe Neto]:[Importe Neto]],Imput[[C. Imp.]:[C. Imp.]],$D353,Imput[[PERIODO Imp.]:[PERIODO Imp.]],DA$9)</f>
        <v>0</v>
      </c>
      <c r="DB353" s="693">
        <f>SUMIFS(Imput[[Importe Neto]:[Importe Neto]],Imput[[C. Imp.]:[C. Imp.]],$D353,Imput[[PERIODO Imp.]:[PERIODO Imp.]],DB$9)</f>
        <v>0</v>
      </c>
      <c r="DC353" s="693">
        <f>SUMIFS(Imput[[Importe Neto]:[Importe Neto]],Imput[[C. Imp.]:[C. Imp.]],$D353,Imput[[PERIODO Imp.]:[PERIODO Imp.]],DC$9)</f>
        <v>0</v>
      </c>
      <c r="DD353" s="693">
        <f>SUMIFS(Imput[[Importe Neto]:[Importe Neto]],Imput[[C. Imp.]:[C. Imp.]],$D353,Imput[[PERIODO Imp.]:[PERIODO Imp.]],DD$9)</f>
        <v>0</v>
      </c>
      <c r="DE353" s="693">
        <f>SUMIFS(Imput[[Importe Neto]:[Importe Neto]],Imput[[C. Imp.]:[C. Imp.]],$D353,Imput[[PERIODO Imp.]:[PERIODO Imp.]],DE$9)</f>
        <v>0</v>
      </c>
      <c r="DF353" s="693">
        <f>SUMIFS(Imput[[Importe Neto]:[Importe Neto]],Imput[[C. Imp.]:[C. Imp.]],$D353,Imput[[PERIODO Imp.]:[PERIODO Imp.]],DF$9)</f>
        <v>0</v>
      </c>
      <c r="DG353" s="693">
        <f>SUMIFS(Imput[[Importe Neto]:[Importe Neto]],Imput[[C. Imp.]:[C. Imp.]],$D353,Imput[[PERIODO Imp.]:[PERIODO Imp.]],DG$9)</f>
        <v>0</v>
      </c>
      <c r="DH353" s="694">
        <f>SUMIFS(Imput[[Importe Neto]:[Importe Neto]],Imput[[C. Imp.]:[C. Imp.]],$D353,Imput[[PERIODO Imp.]:[PERIODO Imp.]],DH$9)</f>
        <v>0</v>
      </c>
    </row>
    <row r="354" spans="1:112" s="649" customFormat="1" hidden="1" outlineLevel="1" x14ac:dyDescent="0.3">
      <c r="A354" s="652" t="str">
        <f t="shared" si="144"/>
        <v/>
      </c>
      <c r="B354" s="652"/>
      <c r="C354" s="685"/>
      <c r="D354" s="686" t="s">
        <v>2418</v>
      </c>
      <c r="E354" s="728"/>
      <c r="F354" s="720"/>
      <c r="G354" s="688"/>
      <c r="H354" s="696"/>
      <c r="I354" s="851" t="str">
        <f t="shared" si="149"/>
        <v/>
      </c>
      <c r="J354" s="850" t="str">
        <f t="shared" si="146"/>
        <v/>
      </c>
      <c r="K354" s="678"/>
      <c r="L354" s="858"/>
      <c r="M354" s="859"/>
      <c r="N354" s="859"/>
      <c r="O354" s="859"/>
      <c r="P354" s="859"/>
      <c r="Q354" s="859"/>
      <c r="R354" s="859"/>
      <c r="S354" s="859"/>
      <c r="T354" s="859"/>
      <c r="U354" s="859"/>
      <c r="V354" s="859"/>
      <c r="W354" s="859"/>
      <c r="X354" s="859"/>
      <c r="Y354" s="859"/>
      <c r="Z354" s="860"/>
      <c r="AA354" s="860"/>
      <c r="AB354" s="860"/>
      <c r="AC354" s="860"/>
      <c r="AD354" s="860"/>
      <c r="AE354" s="860"/>
      <c r="AF354" s="860"/>
      <c r="AG354" s="860"/>
      <c r="AH354" s="860"/>
      <c r="AI354" s="860"/>
      <c r="AJ354" s="860"/>
      <c r="AK354" s="860"/>
      <c r="AL354" s="860"/>
      <c r="AM354" s="860"/>
      <c r="AN354" s="860"/>
      <c r="AO354" s="860"/>
      <c r="AP354" s="860"/>
      <c r="AQ354" s="860"/>
      <c r="AR354" s="860"/>
      <c r="AS354" s="860"/>
      <c r="AT354" s="860"/>
      <c r="AU354" s="860"/>
      <c r="AV354" s="860"/>
      <c r="AW354" s="860"/>
      <c r="AX354" s="860"/>
      <c r="AY354" s="860"/>
      <c r="AZ354" s="860"/>
      <c r="BA354" s="860"/>
      <c r="BB354" s="860"/>
      <c r="BC354" s="860"/>
      <c r="BD354" s="860"/>
      <c r="BE354" s="860"/>
      <c r="BF354" s="860"/>
      <c r="BG354" s="860"/>
      <c r="BH354" s="668"/>
      <c r="BI354" s="654"/>
      <c r="BJ354" s="690">
        <f t="shared" si="150"/>
        <v>0</v>
      </c>
      <c r="BK354" s="691">
        <f t="shared" si="151"/>
        <v>0</v>
      </c>
      <c r="BL354" s="654"/>
      <c r="BM354" s="692">
        <f>SUMIFS(Imput[[Importe Neto]:[Importe Neto]],Imput[[C. Imp.]:[C. Imp.]],$D354,Imput[[PERIODO Imp.]:[PERIODO Imp.]],BM$9)</f>
        <v>0</v>
      </c>
      <c r="BN354" s="693">
        <f>SUMIFS(Imput[[Importe Neto]:[Importe Neto]],Imput[[C. Imp.]:[C. Imp.]],$D354,Imput[[PERIODO Imp.]:[PERIODO Imp.]],BN$9)</f>
        <v>0</v>
      </c>
      <c r="BO354" s="693">
        <f>SUMIFS(Imput[[Importe Neto]:[Importe Neto]],Imput[[C. Imp.]:[C. Imp.]],$D354,Imput[[PERIODO Imp.]:[PERIODO Imp.]],BO$9)</f>
        <v>0</v>
      </c>
      <c r="BP354" s="693">
        <f>SUMIFS(Imput[[Importe Neto]:[Importe Neto]],Imput[[C. Imp.]:[C. Imp.]],$D354,Imput[[PERIODO Imp.]:[PERIODO Imp.]],BP$9)</f>
        <v>0</v>
      </c>
      <c r="BQ354" s="693">
        <f>SUMIFS(Imput[[Importe Neto]:[Importe Neto]],Imput[[C. Imp.]:[C. Imp.]],$D354,Imput[[PERIODO Imp.]:[PERIODO Imp.]],BQ$9)</f>
        <v>0</v>
      </c>
      <c r="BR354" s="693">
        <f>SUMIFS(Imput[[Importe Neto]:[Importe Neto]],Imput[[C. Imp.]:[C. Imp.]],$D354,Imput[[PERIODO Imp.]:[PERIODO Imp.]],BR$9)</f>
        <v>0</v>
      </c>
      <c r="BS354" s="693">
        <f>SUMIFS(Imput[[Importe Neto]:[Importe Neto]],Imput[[C. Imp.]:[C. Imp.]],$D354,Imput[[PERIODO Imp.]:[PERIODO Imp.]],BS$9)</f>
        <v>0</v>
      </c>
      <c r="BT354" s="693">
        <f>SUMIFS(Imput[[Importe Neto]:[Importe Neto]],Imput[[C. Imp.]:[C. Imp.]],$D354,Imput[[PERIODO Imp.]:[PERIODO Imp.]],BT$9)</f>
        <v>0</v>
      </c>
      <c r="BU354" s="693">
        <f>SUMIFS(Imput[[Importe Neto]:[Importe Neto]],Imput[[C. Imp.]:[C. Imp.]],$D354,Imput[[PERIODO Imp.]:[PERIODO Imp.]],BU$9)</f>
        <v>0</v>
      </c>
      <c r="BV354" s="693">
        <f>SUMIFS(Imput[[Importe Neto]:[Importe Neto]],Imput[[C. Imp.]:[C. Imp.]],$D354,Imput[[PERIODO Imp.]:[PERIODO Imp.]],BV$9)</f>
        <v>0</v>
      </c>
      <c r="BW354" s="693">
        <f>SUMIFS(Imput[[Importe Neto]:[Importe Neto]],Imput[[C. Imp.]:[C. Imp.]],$D354,Imput[[PERIODO Imp.]:[PERIODO Imp.]],BW$9)</f>
        <v>0</v>
      </c>
      <c r="BX354" s="693">
        <f>SUMIFS(Imput[[Importe Neto]:[Importe Neto]],Imput[[C. Imp.]:[C. Imp.]],$D354,Imput[[PERIODO Imp.]:[PERIODO Imp.]],BX$9)</f>
        <v>0</v>
      </c>
      <c r="BY354" s="693">
        <f>SUMIFS(Imput[[Importe Neto]:[Importe Neto]],Imput[[C. Imp.]:[C. Imp.]],$D354,Imput[[PERIODO Imp.]:[PERIODO Imp.]],BY$9)</f>
        <v>0</v>
      </c>
      <c r="BZ354" s="693">
        <f>SUMIFS(Imput[[Importe Neto]:[Importe Neto]],Imput[[C. Imp.]:[C. Imp.]],$D354,Imput[[PERIODO Imp.]:[PERIODO Imp.]],BZ$9)</f>
        <v>0</v>
      </c>
      <c r="CA354" s="693">
        <f>SUMIFS(Imput[[Importe Neto]:[Importe Neto]],Imput[[C. Imp.]:[C. Imp.]],$D354,Imput[[PERIODO Imp.]:[PERIODO Imp.]],CA$9)</f>
        <v>0</v>
      </c>
      <c r="CB354" s="693">
        <f>SUMIFS(Imput[[Importe Neto]:[Importe Neto]],Imput[[C. Imp.]:[C. Imp.]],$D354,Imput[[PERIODO Imp.]:[PERIODO Imp.]],CB$9)</f>
        <v>0</v>
      </c>
      <c r="CC354" s="693">
        <f>SUMIFS(Imput[[Importe Neto]:[Importe Neto]],Imput[[C. Imp.]:[C. Imp.]],$D354,Imput[[PERIODO Imp.]:[PERIODO Imp.]],CC$9)</f>
        <v>0</v>
      </c>
      <c r="CD354" s="693">
        <f>SUMIFS(Imput[[Importe Neto]:[Importe Neto]],Imput[[C. Imp.]:[C. Imp.]],$D354,Imput[[PERIODO Imp.]:[PERIODO Imp.]],CD$9)</f>
        <v>0</v>
      </c>
      <c r="CE354" s="693">
        <f>SUMIFS(Imput[[Importe Neto]:[Importe Neto]],Imput[[C. Imp.]:[C. Imp.]],$D354,Imput[[PERIODO Imp.]:[PERIODO Imp.]],CE$9)</f>
        <v>0</v>
      </c>
      <c r="CF354" s="693">
        <f>SUMIFS(Imput[[Importe Neto]:[Importe Neto]],Imput[[C. Imp.]:[C. Imp.]],$D354,Imput[[PERIODO Imp.]:[PERIODO Imp.]],CF$9)</f>
        <v>0</v>
      </c>
      <c r="CG354" s="693">
        <f>SUMIFS(Imput[[Importe Neto]:[Importe Neto]],Imput[[C. Imp.]:[C. Imp.]],$D354,Imput[[PERIODO Imp.]:[PERIODO Imp.]],CG$9)</f>
        <v>0</v>
      </c>
      <c r="CH354" s="693">
        <f>SUMIFS(Imput[[Importe Neto]:[Importe Neto]],Imput[[C. Imp.]:[C. Imp.]],$D354,Imput[[PERIODO Imp.]:[PERIODO Imp.]],CH$9)</f>
        <v>0</v>
      </c>
      <c r="CI354" s="693">
        <f>SUMIFS(Imput[[Importe Neto]:[Importe Neto]],Imput[[C. Imp.]:[C. Imp.]],$D354,Imput[[PERIODO Imp.]:[PERIODO Imp.]],CI$9)</f>
        <v>0</v>
      </c>
      <c r="CJ354" s="693">
        <f>SUMIFS(Imput[[Importe Neto]:[Importe Neto]],Imput[[C. Imp.]:[C. Imp.]],$D354,Imput[[PERIODO Imp.]:[PERIODO Imp.]],CJ$9)</f>
        <v>0</v>
      </c>
      <c r="CK354" s="693">
        <f>SUMIFS(Imput[[Importe Neto]:[Importe Neto]],Imput[[C. Imp.]:[C. Imp.]],$D354,Imput[[PERIODO Imp.]:[PERIODO Imp.]],CK$9)</f>
        <v>0</v>
      </c>
      <c r="CL354" s="693">
        <f>SUMIFS(Imput[[Importe Neto]:[Importe Neto]],Imput[[C. Imp.]:[C. Imp.]],$D354,Imput[[PERIODO Imp.]:[PERIODO Imp.]],CL$9)</f>
        <v>0</v>
      </c>
      <c r="CM354" s="693">
        <f>SUMIFS(Imput[[Importe Neto]:[Importe Neto]],Imput[[C. Imp.]:[C. Imp.]],$D354,Imput[[PERIODO Imp.]:[PERIODO Imp.]],CM$9)</f>
        <v>0</v>
      </c>
      <c r="CN354" s="693">
        <f>SUMIFS(Imput[[Importe Neto]:[Importe Neto]],Imput[[C. Imp.]:[C. Imp.]],$D354,Imput[[PERIODO Imp.]:[PERIODO Imp.]],CN$9)</f>
        <v>0</v>
      </c>
      <c r="CO354" s="693">
        <f>SUMIFS(Imput[[Importe Neto]:[Importe Neto]],Imput[[C. Imp.]:[C. Imp.]],$D354,Imput[[PERIODO Imp.]:[PERIODO Imp.]],CO$9)</f>
        <v>0</v>
      </c>
      <c r="CP354" s="693">
        <f>SUMIFS(Imput[[Importe Neto]:[Importe Neto]],Imput[[C. Imp.]:[C. Imp.]],$D354,Imput[[PERIODO Imp.]:[PERIODO Imp.]],CP$9)</f>
        <v>0</v>
      </c>
      <c r="CQ354" s="693">
        <f>SUMIFS(Imput[[Importe Neto]:[Importe Neto]],Imput[[C. Imp.]:[C. Imp.]],$D354,Imput[[PERIODO Imp.]:[PERIODO Imp.]],CQ$9)</f>
        <v>0</v>
      </c>
      <c r="CR354" s="693">
        <f>SUMIFS(Imput[[Importe Neto]:[Importe Neto]],Imput[[C. Imp.]:[C. Imp.]],$D354,Imput[[PERIODO Imp.]:[PERIODO Imp.]],CR$9)</f>
        <v>0</v>
      </c>
      <c r="CS354" s="693">
        <f>SUMIFS(Imput[[Importe Neto]:[Importe Neto]],Imput[[C. Imp.]:[C. Imp.]],$D354,Imput[[PERIODO Imp.]:[PERIODO Imp.]],CS$9)</f>
        <v>0</v>
      </c>
      <c r="CT354" s="693">
        <f>SUMIFS(Imput[[Importe Neto]:[Importe Neto]],Imput[[C. Imp.]:[C. Imp.]],$D354,Imput[[PERIODO Imp.]:[PERIODO Imp.]],CT$9)</f>
        <v>0</v>
      </c>
      <c r="CU354" s="693">
        <f>SUMIFS(Imput[[Importe Neto]:[Importe Neto]],Imput[[C. Imp.]:[C. Imp.]],$D354,Imput[[PERIODO Imp.]:[PERIODO Imp.]],CU$9)</f>
        <v>0</v>
      </c>
      <c r="CV354" s="693">
        <f>SUMIFS(Imput[[Importe Neto]:[Importe Neto]],Imput[[C. Imp.]:[C. Imp.]],$D354,Imput[[PERIODO Imp.]:[PERIODO Imp.]],CV$9)</f>
        <v>0</v>
      </c>
      <c r="CW354" s="693">
        <f>SUMIFS(Imput[[Importe Neto]:[Importe Neto]],Imput[[C. Imp.]:[C. Imp.]],$D354,Imput[[PERIODO Imp.]:[PERIODO Imp.]],CW$9)</f>
        <v>0</v>
      </c>
      <c r="CX354" s="693">
        <f>SUMIFS(Imput[[Importe Neto]:[Importe Neto]],Imput[[C. Imp.]:[C. Imp.]],$D354,Imput[[PERIODO Imp.]:[PERIODO Imp.]],CX$9)</f>
        <v>0</v>
      </c>
      <c r="CY354" s="693">
        <f>SUMIFS(Imput[[Importe Neto]:[Importe Neto]],Imput[[C. Imp.]:[C. Imp.]],$D354,Imput[[PERIODO Imp.]:[PERIODO Imp.]],CY$9)</f>
        <v>0</v>
      </c>
      <c r="CZ354" s="693">
        <f>SUMIFS(Imput[[Importe Neto]:[Importe Neto]],Imput[[C. Imp.]:[C. Imp.]],$D354,Imput[[PERIODO Imp.]:[PERIODO Imp.]],CZ$9)</f>
        <v>0</v>
      </c>
      <c r="DA354" s="693">
        <f>SUMIFS(Imput[[Importe Neto]:[Importe Neto]],Imput[[C. Imp.]:[C. Imp.]],$D354,Imput[[PERIODO Imp.]:[PERIODO Imp.]],DA$9)</f>
        <v>0</v>
      </c>
      <c r="DB354" s="693">
        <f>SUMIFS(Imput[[Importe Neto]:[Importe Neto]],Imput[[C. Imp.]:[C. Imp.]],$D354,Imput[[PERIODO Imp.]:[PERIODO Imp.]],DB$9)</f>
        <v>0</v>
      </c>
      <c r="DC354" s="693">
        <f>SUMIFS(Imput[[Importe Neto]:[Importe Neto]],Imput[[C. Imp.]:[C. Imp.]],$D354,Imput[[PERIODO Imp.]:[PERIODO Imp.]],DC$9)</f>
        <v>0</v>
      </c>
      <c r="DD354" s="693">
        <f>SUMIFS(Imput[[Importe Neto]:[Importe Neto]],Imput[[C. Imp.]:[C. Imp.]],$D354,Imput[[PERIODO Imp.]:[PERIODO Imp.]],DD$9)</f>
        <v>0</v>
      </c>
      <c r="DE354" s="693">
        <f>SUMIFS(Imput[[Importe Neto]:[Importe Neto]],Imput[[C. Imp.]:[C. Imp.]],$D354,Imput[[PERIODO Imp.]:[PERIODO Imp.]],DE$9)</f>
        <v>0</v>
      </c>
      <c r="DF354" s="693">
        <f>SUMIFS(Imput[[Importe Neto]:[Importe Neto]],Imput[[C. Imp.]:[C. Imp.]],$D354,Imput[[PERIODO Imp.]:[PERIODO Imp.]],DF$9)</f>
        <v>0</v>
      </c>
      <c r="DG354" s="693">
        <f>SUMIFS(Imput[[Importe Neto]:[Importe Neto]],Imput[[C. Imp.]:[C. Imp.]],$D354,Imput[[PERIODO Imp.]:[PERIODO Imp.]],DG$9)</f>
        <v>0</v>
      </c>
      <c r="DH354" s="694">
        <f>SUMIFS(Imput[[Importe Neto]:[Importe Neto]],Imput[[C. Imp.]:[C. Imp.]],$D354,Imput[[PERIODO Imp.]:[PERIODO Imp.]],DH$9)</f>
        <v>0</v>
      </c>
    </row>
    <row r="355" spans="1:112" s="649" customFormat="1" hidden="1" outlineLevel="1" x14ac:dyDescent="0.3">
      <c r="A355" s="652" t="str">
        <f t="shared" si="144"/>
        <v/>
      </c>
      <c r="B355" s="652"/>
      <c r="C355" s="685"/>
      <c r="D355" s="686" t="s">
        <v>2419</v>
      </c>
      <c r="E355" s="728"/>
      <c r="F355" s="720"/>
      <c r="G355" s="688"/>
      <c r="H355" s="696"/>
      <c r="I355" s="851" t="str">
        <f t="shared" si="149"/>
        <v/>
      </c>
      <c r="J355" s="850" t="str">
        <f t="shared" si="146"/>
        <v/>
      </c>
      <c r="K355" s="667"/>
      <c r="L355" s="858"/>
      <c r="M355" s="859"/>
      <c r="N355" s="859"/>
      <c r="O355" s="859"/>
      <c r="P355" s="859"/>
      <c r="Q355" s="859"/>
      <c r="R355" s="859"/>
      <c r="S355" s="859"/>
      <c r="T355" s="859"/>
      <c r="U355" s="859"/>
      <c r="V355" s="859"/>
      <c r="W355" s="859"/>
      <c r="X355" s="859"/>
      <c r="Y355" s="859"/>
      <c r="Z355" s="860"/>
      <c r="AA355" s="860"/>
      <c r="AB355" s="860"/>
      <c r="AC355" s="860"/>
      <c r="AD355" s="860"/>
      <c r="AE355" s="860"/>
      <c r="AF355" s="860"/>
      <c r="AG355" s="860"/>
      <c r="AH355" s="860"/>
      <c r="AI355" s="860"/>
      <c r="AJ355" s="860"/>
      <c r="AK355" s="860"/>
      <c r="AL355" s="860"/>
      <c r="AM355" s="860"/>
      <c r="AN355" s="860"/>
      <c r="AO355" s="860"/>
      <c r="AP355" s="860"/>
      <c r="AQ355" s="860"/>
      <c r="AR355" s="860"/>
      <c r="AS355" s="860"/>
      <c r="AT355" s="860"/>
      <c r="AU355" s="860"/>
      <c r="AV355" s="860"/>
      <c r="AW355" s="860"/>
      <c r="AX355" s="860"/>
      <c r="AY355" s="860"/>
      <c r="AZ355" s="860"/>
      <c r="BA355" s="860"/>
      <c r="BB355" s="860"/>
      <c r="BC355" s="860"/>
      <c r="BD355" s="860"/>
      <c r="BE355" s="860"/>
      <c r="BF355" s="860"/>
      <c r="BG355" s="860"/>
      <c r="BH355" s="668"/>
      <c r="BI355" s="654"/>
      <c r="BJ355" s="690">
        <f t="shared" si="150"/>
        <v>0</v>
      </c>
      <c r="BK355" s="691">
        <f t="shared" si="151"/>
        <v>0</v>
      </c>
      <c r="BL355" s="654"/>
      <c r="BM355" s="697">
        <f>SUMIFS(Imput[[Importe Neto]:[Importe Neto]],Imput[[C. Imp.]:[C. Imp.]],$D355,Imput[[PERIODO Imp.]:[PERIODO Imp.]],BM$9)</f>
        <v>0</v>
      </c>
      <c r="BN355" s="698">
        <f>SUMIFS(Imput[[Importe Neto]:[Importe Neto]],Imput[[C. Imp.]:[C. Imp.]],$D355,Imput[[PERIODO Imp.]:[PERIODO Imp.]],BN$9)</f>
        <v>0</v>
      </c>
      <c r="BO355" s="698">
        <f>SUMIFS(Imput[[Importe Neto]:[Importe Neto]],Imput[[C. Imp.]:[C. Imp.]],$D355,Imput[[PERIODO Imp.]:[PERIODO Imp.]],BO$9)</f>
        <v>0</v>
      </c>
      <c r="BP355" s="698">
        <f>SUMIFS(Imput[[Importe Neto]:[Importe Neto]],Imput[[C. Imp.]:[C. Imp.]],$D355,Imput[[PERIODO Imp.]:[PERIODO Imp.]],BP$9)</f>
        <v>0</v>
      </c>
      <c r="BQ355" s="698">
        <f>SUMIFS(Imput[[Importe Neto]:[Importe Neto]],Imput[[C. Imp.]:[C. Imp.]],$D355,Imput[[PERIODO Imp.]:[PERIODO Imp.]],BQ$9)</f>
        <v>0</v>
      </c>
      <c r="BR355" s="698">
        <f>SUMIFS(Imput[[Importe Neto]:[Importe Neto]],Imput[[C. Imp.]:[C. Imp.]],$D355,Imput[[PERIODO Imp.]:[PERIODO Imp.]],BR$9)</f>
        <v>0</v>
      </c>
      <c r="BS355" s="698">
        <f>SUMIFS(Imput[[Importe Neto]:[Importe Neto]],Imput[[C. Imp.]:[C. Imp.]],$D355,Imput[[PERIODO Imp.]:[PERIODO Imp.]],BS$9)</f>
        <v>0</v>
      </c>
      <c r="BT355" s="698">
        <f>SUMIFS(Imput[[Importe Neto]:[Importe Neto]],Imput[[C. Imp.]:[C. Imp.]],$D355,Imput[[PERIODO Imp.]:[PERIODO Imp.]],BT$9)</f>
        <v>0</v>
      </c>
      <c r="BU355" s="698">
        <f>SUMIFS(Imput[[Importe Neto]:[Importe Neto]],Imput[[C. Imp.]:[C. Imp.]],$D355,Imput[[PERIODO Imp.]:[PERIODO Imp.]],BU$9)</f>
        <v>0</v>
      </c>
      <c r="BV355" s="698">
        <f>SUMIFS(Imput[[Importe Neto]:[Importe Neto]],Imput[[C. Imp.]:[C. Imp.]],$D355,Imput[[PERIODO Imp.]:[PERIODO Imp.]],BV$9)</f>
        <v>0</v>
      </c>
      <c r="BW355" s="698">
        <f>SUMIFS(Imput[[Importe Neto]:[Importe Neto]],Imput[[C. Imp.]:[C. Imp.]],$D355,Imput[[PERIODO Imp.]:[PERIODO Imp.]],BW$9)</f>
        <v>0</v>
      </c>
      <c r="BX355" s="698">
        <f>SUMIFS(Imput[[Importe Neto]:[Importe Neto]],Imput[[C. Imp.]:[C. Imp.]],$D355,Imput[[PERIODO Imp.]:[PERIODO Imp.]],BX$9)</f>
        <v>0</v>
      </c>
      <c r="BY355" s="698">
        <f>SUMIFS(Imput[[Importe Neto]:[Importe Neto]],Imput[[C. Imp.]:[C. Imp.]],$D355,Imput[[PERIODO Imp.]:[PERIODO Imp.]],BY$9)</f>
        <v>0</v>
      </c>
      <c r="BZ355" s="698">
        <f>SUMIFS(Imput[[Importe Neto]:[Importe Neto]],Imput[[C. Imp.]:[C. Imp.]],$D355,Imput[[PERIODO Imp.]:[PERIODO Imp.]],BZ$9)</f>
        <v>0</v>
      </c>
      <c r="CA355" s="698">
        <f>SUMIFS(Imput[[Importe Neto]:[Importe Neto]],Imput[[C. Imp.]:[C. Imp.]],$D355,Imput[[PERIODO Imp.]:[PERIODO Imp.]],CA$9)</f>
        <v>0</v>
      </c>
      <c r="CB355" s="698">
        <f>SUMIFS(Imput[[Importe Neto]:[Importe Neto]],Imput[[C. Imp.]:[C. Imp.]],$D355,Imput[[PERIODO Imp.]:[PERIODO Imp.]],CB$9)</f>
        <v>0</v>
      </c>
      <c r="CC355" s="698">
        <f>SUMIFS(Imput[[Importe Neto]:[Importe Neto]],Imput[[C. Imp.]:[C. Imp.]],$D355,Imput[[PERIODO Imp.]:[PERIODO Imp.]],CC$9)</f>
        <v>0</v>
      </c>
      <c r="CD355" s="698">
        <f>SUMIFS(Imput[[Importe Neto]:[Importe Neto]],Imput[[C. Imp.]:[C. Imp.]],$D355,Imput[[PERIODO Imp.]:[PERIODO Imp.]],CD$9)</f>
        <v>0</v>
      </c>
      <c r="CE355" s="698">
        <f>SUMIFS(Imput[[Importe Neto]:[Importe Neto]],Imput[[C. Imp.]:[C. Imp.]],$D355,Imput[[PERIODO Imp.]:[PERIODO Imp.]],CE$9)</f>
        <v>0</v>
      </c>
      <c r="CF355" s="698">
        <f>SUMIFS(Imput[[Importe Neto]:[Importe Neto]],Imput[[C. Imp.]:[C. Imp.]],$D355,Imput[[PERIODO Imp.]:[PERIODO Imp.]],CF$9)</f>
        <v>0</v>
      </c>
      <c r="CG355" s="698">
        <f>SUMIFS(Imput[[Importe Neto]:[Importe Neto]],Imput[[C. Imp.]:[C. Imp.]],$D355,Imput[[PERIODO Imp.]:[PERIODO Imp.]],CG$9)</f>
        <v>0</v>
      </c>
      <c r="CH355" s="698">
        <f>SUMIFS(Imput[[Importe Neto]:[Importe Neto]],Imput[[C. Imp.]:[C. Imp.]],$D355,Imput[[PERIODO Imp.]:[PERIODO Imp.]],CH$9)</f>
        <v>0</v>
      </c>
      <c r="CI355" s="698">
        <f>SUMIFS(Imput[[Importe Neto]:[Importe Neto]],Imput[[C. Imp.]:[C. Imp.]],$D355,Imput[[PERIODO Imp.]:[PERIODO Imp.]],CI$9)</f>
        <v>0</v>
      </c>
      <c r="CJ355" s="698">
        <f>SUMIFS(Imput[[Importe Neto]:[Importe Neto]],Imput[[C. Imp.]:[C. Imp.]],$D355,Imput[[PERIODO Imp.]:[PERIODO Imp.]],CJ$9)</f>
        <v>0</v>
      </c>
      <c r="CK355" s="698">
        <f>SUMIFS(Imput[[Importe Neto]:[Importe Neto]],Imput[[C. Imp.]:[C. Imp.]],$D355,Imput[[PERIODO Imp.]:[PERIODO Imp.]],CK$9)</f>
        <v>0</v>
      </c>
      <c r="CL355" s="698">
        <f>SUMIFS(Imput[[Importe Neto]:[Importe Neto]],Imput[[C. Imp.]:[C. Imp.]],$D355,Imput[[PERIODO Imp.]:[PERIODO Imp.]],CL$9)</f>
        <v>0</v>
      </c>
      <c r="CM355" s="698">
        <f>SUMIFS(Imput[[Importe Neto]:[Importe Neto]],Imput[[C. Imp.]:[C. Imp.]],$D355,Imput[[PERIODO Imp.]:[PERIODO Imp.]],CM$9)</f>
        <v>0</v>
      </c>
      <c r="CN355" s="698">
        <f>SUMIFS(Imput[[Importe Neto]:[Importe Neto]],Imput[[C. Imp.]:[C. Imp.]],$D355,Imput[[PERIODO Imp.]:[PERIODO Imp.]],CN$9)</f>
        <v>0</v>
      </c>
      <c r="CO355" s="698">
        <f>SUMIFS(Imput[[Importe Neto]:[Importe Neto]],Imput[[C. Imp.]:[C. Imp.]],$D355,Imput[[PERIODO Imp.]:[PERIODO Imp.]],CO$9)</f>
        <v>0</v>
      </c>
      <c r="CP355" s="698">
        <f>SUMIFS(Imput[[Importe Neto]:[Importe Neto]],Imput[[C. Imp.]:[C. Imp.]],$D355,Imput[[PERIODO Imp.]:[PERIODO Imp.]],CP$9)</f>
        <v>0</v>
      </c>
      <c r="CQ355" s="698">
        <f>SUMIFS(Imput[[Importe Neto]:[Importe Neto]],Imput[[C. Imp.]:[C. Imp.]],$D355,Imput[[PERIODO Imp.]:[PERIODO Imp.]],CQ$9)</f>
        <v>0</v>
      </c>
      <c r="CR355" s="698">
        <f>SUMIFS(Imput[[Importe Neto]:[Importe Neto]],Imput[[C. Imp.]:[C. Imp.]],$D355,Imput[[PERIODO Imp.]:[PERIODO Imp.]],CR$9)</f>
        <v>0</v>
      </c>
      <c r="CS355" s="698">
        <f>SUMIFS(Imput[[Importe Neto]:[Importe Neto]],Imput[[C. Imp.]:[C. Imp.]],$D355,Imput[[PERIODO Imp.]:[PERIODO Imp.]],CS$9)</f>
        <v>0</v>
      </c>
      <c r="CT355" s="698">
        <f>SUMIFS(Imput[[Importe Neto]:[Importe Neto]],Imput[[C. Imp.]:[C. Imp.]],$D355,Imput[[PERIODO Imp.]:[PERIODO Imp.]],CT$9)</f>
        <v>0</v>
      </c>
      <c r="CU355" s="698">
        <f>SUMIFS(Imput[[Importe Neto]:[Importe Neto]],Imput[[C. Imp.]:[C. Imp.]],$D355,Imput[[PERIODO Imp.]:[PERIODO Imp.]],CU$9)</f>
        <v>0</v>
      </c>
      <c r="CV355" s="698">
        <f>SUMIFS(Imput[[Importe Neto]:[Importe Neto]],Imput[[C. Imp.]:[C. Imp.]],$D355,Imput[[PERIODO Imp.]:[PERIODO Imp.]],CV$9)</f>
        <v>0</v>
      </c>
      <c r="CW355" s="698">
        <f>SUMIFS(Imput[[Importe Neto]:[Importe Neto]],Imput[[C. Imp.]:[C. Imp.]],$D355,Imput[[PERIODO Imp.]:[PERIODO Imp.]],CW$9)</f>
        <v>0</v>
      </c>
      <c r="CX355" s="698">
        <f>SUMIFS(Imput[[Importe Neto]:[Importe Neto]],Imput[[C. Imp.]:[C. Imp.]],$D355,Imput[[PERIODO Imp.]:[PERIODO Imp.]],CX$9)</f>
        <v>0</v>
      </c>
      <c r="CY355" s="698">
        <f>SUMIFS(Imput[[Importe Neto]:[Importe Neto]],Imput[[C. Imp.]:[C. Imp.]],$D355,Imput[[PERIODO Imp.]:[PERIODO Imp.]],CY$9)</f>
        <v>0</v>
      </c>
      <c r="CZ355" s="698">
        <f>SUMIFS(Imput[[Importe Neto]:[Importe Neto]],Imput[[C. Imp.]:[C. Imp.]],$D355,Imput[[PERIODO Imp.]:[PERIODO Imp.]],CZ$9)</f>
        <v>0</v>
      </c>
      <c r="DA355" s="698">
        <f>SUMIFS(Imput[[Importe Neto]:[Importe Neto]],Imput[[C. Imp.]:[C. Imp.]],$D355,Imput[[PERIODO Imp.]:[PERIODO Imp.]],DA$9)</f>
        <v>0</v>
      </c>
      <c r="DB355" s="698">
        <f>SUMIFS(Imput[[Importe Neto]:[Importe Neto]],Imput[[C. Imp.]:[C. Imp.]],$D355,Imput[[PERIODO Imp.]:[PERIODO Imp.]],DB$9)</f>
        <v>0</v>
      </c>
      <c r="DC355" s="698">
        <f>SUMIFS(Imput[[Importe Neto]:[Importe Neto]],Imput[[C. Imp.]:[C. Imp.]],$D355,Imput[[PERIODO Imp.]:[PERIODO Imp.]],DC$9)</f>
        <v>0</v>
      </c>
      <c r="DD355" s="698">
        <f>SUMIFS(Imput[[Importe Neto]:[Importe Neto]],Imput[[C. Imp.]:[C. Imp.]],$D355,Imput[[PERIODO Imp.]:[PERIODO Imp.]],DD$9)</f>
        <v>0</v>
      </c>
      <c r="DE355" s="698">
        <f>SUMIFS(Imput[[Importe Neto]:[Importe Neto]],Imput[[C. Imp.]:[C. Imp.]],$D355,Imput[[PERIODO Imp.]:[PERIODO Imp.]],DE$9)</f>
        <v>0</v>
      </c>
      <c r="DF355" s="698">
        <f>SUMIFS(Imput[[Importe Neto]:[Importe Neto]],Imput[[C. Imp.]:[C. Imp.]],$D355,Imput[[PERIODO Imp.]:[PERIODO Imp.]],DF$9)</f>
        <v>0</v>
      </c>
      <c r="DG355" s="698">
        <f>SUMIFS(Imput[[Importe Neto]:[Importe Neto]],Imput[[C. Imp.]:[C. Imp.]],$D355,Imput[[PERIODO Imp.]:[PERIODO Imp.]],DG$9)</f>
        <v>0</v>
      </c>
      <c r="DH355" s="795">
        <f>SUMIFS(Imput[[Importe Neto]:[Importe Neto]],Imput[[C. Imp.]:[C. Imp.]],$D355,Imput[[PERIODO Imp.]:[PERIODO Imp.]],DH$9)</f>
        <v>0</v>
      </c>
    </row>
    <row r="356" spans="1:112" s="649" customFormat="1" ht="14.4" outlineLevel="1" thickBot="1" x14ac:dyDescent="0.35">
      <c r="A356" s="652" t="str">
        <f>IF(J304&gt;0,"Imprimir","")</f>
        <v>Imprimir</v>
      </c>
      <c r="B356" s="652"/>
      <c r="C356" s="699"/>
      <c r="D356" s="700"/>
      <c r="E356" s="700"/>
      <c r="F356" s="701"/>
      <c r="G356" s="702"/>
      <c r="H356" s="703"/>
      <c r="I356" s="704"/>
      <c r="J356" s="705"/>
      <c r="K356" s="667"/>
      <c r="L356" s="706"/>
      <c r="M356" s="707"/>
      <c r="N356" s="777"/>
      <c r="O356" s="777"/>
      <c r="P356" s="778"/>
      <c r="Q356" s="778"/>
      <c r="R356" s="708"/>
      <c r="S356" s="708"/>
      <c r="T356" s="779"/>
      <c r="U356" s="779"/>
      <c r="V356" s="778"/>
      <c r="W356" s="778"/>
      <c r="X356" s="708"/>
      <c r="Y356" s="708"/>
      <c r="Z356" s="708"/>
      <c r="AA356" s="708"/>
      <c r="AB356" s="708"/>
      <c r="AC356" s="708"/>
      <c r="AD356" s="708"/>
      <c r="AE356" s="708"/>
      <c r="AF356" s="708"/>
      <c r="AG356" s="708"/>
      <c r="AH356" s="708"/>
      <c r="AI356" s="708"/>
      <c r="AJ356" s="708"/>
      <c r="AK356" s="708"/>
      <c r="AL356" s="708"/>
      <c r="AM356" s="708"/>
      <c r="AN356" s="708"/>
      <c r="AO356" s="708"/>
      <c r="AP356" s="708"/>
      <c r="AQ356" s="708"/>
      <c r="AR356" s="708"/>
      <c r="AS356" s="708"/>
      <c r="AT356" s="708"/>
      <c r="AU356" s="708"/>
      <c r="AV356" s="708"/>
      <c r="AW356" s="708"/>
      <c r="AX356" s="708"/>
      <c r="AY356" s="708"/>
      <c r="AZ356" s="708"/>
      <c r="BA356" s="708"/>
      <c r="BB356" s="708"/>
      <c r="BC356" s="708"/>
      <c r="BD356" s="708"/>
      <c r="BE356" s="708"/>
      <c r="BF356" s="708"/>
      <c r="BG356" s="708"/>
      <c r="BH356" s="780"/>
      <c r="BI356" s="654"/>
      <c r="BJ356" s="709"/>
      <c r="BK356" s="710"/>
      <c r="BL356" s="654"/>
      <c r="BM356" s="731"/>
      <c r="BN356" s="701"/>
      <c r="BO356" s="701"/>
      <c r="BP356" s="701"/>
      <c r="BQ356" s="701"/>
      <c r="BR356" s="701"/>
      <c r="BS356" s="701"/>
      <c r="BT356" s="701"/>
      <c r="BU356" s="701"/>
      <c r="BV356" s="701"/>
      <c r="BW356" s="701"/>
      <c r="BX356" s="701"/>
      <c r="BY356" s="701"/>
      <c r="BZ356" s="701"/>
      <c r="CA356" s="701"/>
      <c r="CB356" s="701"/>
      <c r="CC356" s="701"/>
      <c r="CD356" s="701"/>
      <c r="CE356" s="701"/>
      <c r="CF356" s="701"/>
      <c r="CG356" s="701"/>
      <c r="CH356" s="701"/>
      <c r="CI356" s="701"/>
      <c r="CJ356" s="701"/>
      <c r="CK356" s="701"/>
      <c r="CL356" s="701"/>
      <c r="CM356" s="701"/>
      <c r="CN356" s="701"/>
      <c r="CO356" s="701"/>
      <c r="CP356" s="701"/>
      <c r="CQ356" s="701"/>
      <c r="CR356" s="701"/>
      <c r="CS356" s="701"/>
      <c r="CT356" s="701"/>
      <c r="CU356" s="701"/>
      <c r="CV356" s="701"/>
      <c r="CW356" s="701"/>
      <c r="CX356" s="701"/>
      <c r="CY356" s="701"/>
      <c r="CZ356" s="701"/>
      <c r="DA356" s="701"/>
      <c r="DB356" s="701"/>
      <c r="DC356" s="701"/>
      <c r="DD356" s="701"/>
      <c r="DE356" s="701"/>
      <c r="DF356" s="701"/>
      <c r="DG356" s="701"/>
      <c r="DH356" s="710"/>
    </row>
    <row r="357" spans="1:112" s="649" customFormat="1" x14ac:dyDescent="0.3">
      <c r="A357" s="652" t="str">
        <f>IF(J357&gt;0,"Imprimir","")</f>
        <v>Imprimir</v>
      </c>
      <c r="B357" s="652"/>
      <c r="C357" s="711"/>
      <c r="D357" s="712" t="s">
        <v>451</v>
      </c>
      <c r="E357" s="712" t="s">
        <v>487</v>
      </c>
      <c r="F357" s="712"/>
      <c r="G357" s="713"/>
      <c r="H357" s="712"/>
      <c r="I357" s="714"/>
      <c r="J357" s="715">
        <f>SUBTOTAL(9,J360:J409)</f>
        <v>258875.81953473683</v>
      </c>
      <c r="K357" s="658"/>
      <c r="L357" s="770">
        <f t="shared" ref="L357:BG357" si="152">SUMPRODUCT($J360:$J409,L360:L409)</f>
        <v>170321.45301873685</v>
      </c>
      <c r="M357" s="771">
        <f t="shared" si="152"/>
        <v>3815.5837499999998</v>
      </c>
      <c r="N357" s="771">
        <f t="shared" si="152"/>
        <v>3815.5837499999998</v>
      </c>
      <c r="O357" s="771">
        <f t="shared" si="152"/>
        <v>6860.1637499999997</v>
      </c>
      <c r="P357" s="771">
        <f t="shared" si="152"/>
        <v>16633.565189999998</v>
      </c>
      <c r="Q357" s="771">
        <f t="shared" si="152"/>
        <v>3815.5837499999998</v>
      </c>
      <c r="R357" s="771">
        <f t="shared" si="152"/>
        <v>3815.5837499999998</v>
      </c>
      <c r="S357" s="771">
        <f t="shared" si="152"/>
        <v>3949.5637499999998</v>
      </c>
      <c r="T357" s="771">
        <f t="shared" si="152"/>
        <v>3815.5837499999998</v>
      </c>
      <c r="U357" s="771">
        <f t="shared" si="152"/>
        <v>3815.5837499999998</v>
      </c>
      <c r="V357" s="771">
        <f t="shared" si="152"/>
        <v>3815.5837499999998</v>
      </c>
      <c r="W357" s="771">
        <f t="shared" si="152"/>
        <v>15610.756325999999</v>
      </c>
      <c r="X357" s="771">
        <f t="shared" si="152"/>
        <v>3815.5837499999998</v>
      </c>
      <c r="Y357" s="771">
        <f t="shared" si="152"/>
        <v>3949.5637499999998</v>
      </c>
      <c r="Z357" s="771">
        <f t="shared" si="152"/>
        <v>3815.5837499999998</v>
      </c>
      <c r="AA357" s="771">
        <f t="shared" si="152"/>
        <v>3044.58</v>
      </c>
      <c r="AB357" s="771">
        <f t="shared" si="152"/>
        <v>0</v>
      </c>
      <c r="AC357" s="771">
        <f t="shared" si="152"/>
        <v>133.98000000000002</v>
      </c>
      <c r="AD357" s="771">
        <f t="shared" si="152"/>
        <v>0</v>
      </c>
      <c r="AE357" s="771">
        <f t="shared" si="152"/>
        <v>3763.98</v>
      </c>
      <c r="AF357" s="771">
        <f t="shared" si="152"/>
        <v>0</v>
      </c>
      <c r="AG357" s="771">
        <f t="shared" si="152"/>
        <v>133.98000000000002</v>
      </c>
      <c r="AH357" s="771">
        <f t="shared" si="152"/>
        <v>0</v>
      </c>
      <c r="AI357" s="771">
        <f t="shared" si="152"/>
        <v>133.98000000000002</v>
      </c>
      <c r="AJ357" s="771">
        <f t="shared" si="152"/>
        <v>0</v>
      </c>
      <c r="AK357" s="771">
        <f t="shared" si="152"/>
        <v>0</v>
      </c>
      <c r="AL357" s="771">
        <f t="shared" si="152"/>
        <v>0</v>
      </c>
      <c r="AM357" s="771">
        <f t="shared" si="152"/>
        <v>0</v>
      </c>
      <c r="AN357" s="771">
        <f t="shared" si="152"/>
        <v>0</v>
      </c>
      <c r="AO357" s="771">
        <f t="shared" si="152"/>
        <v>0</v>
      </c>
      <c r="AP357" s="771">
        <f t="shared" si="152"/>
        <v>0</v>
      </c>
      <c r="AQ357" s="771">
        <f t="shared" si="152"/>
        <v>0</v>
      </c>
      <c r="AR357" s="771">
        <f t="shared" si="152"/>
        <v>0</v>
      </c>
      <c r="AS357" s="771">
        <f t="shared" si="152"/>
        <v>0</v>
      </c>
      <c r="AT357" s="771">
        <f t="shared" si="152"/>
        <v>0</v>
      </c>
      <c r="AU357" s="771">
        <f t="shared" si="152"/>
        <v>0</v>
      </c>
      <c r="AV357" s="771">
        <f t="shared" si="152"/>
        <v>0</v>
      </c>
      <c r="AW357" s="771">
        <f t="shared" si="152"/>
        <v>0</v>
      </c>
      <c r="AX357" s="771">
        <f t="shared" si="152"/>
        <v>0</v>
      </c>
      <c r="AY357" s="771">
        <f t="shared" si="152"/>
        <v>0</v>
      </c>
      <c r="AZ357" s="771">
        <f t="shared" si="152"/>
        <v>0</v>
      </c>
      <c r="BA357" s="771">
        <f t="shared" si="152"/>
        <v>0</v>
      </c>
      <c r="BB357" s="771">
        <f t="shared" si="152"/>
        <v>0</v>
      </c>
      <c r="BC357" s="771">
        <f t="shared" si="152"/>
        <v>0</v>
      </c>
      <c r="BD357" s="771">
        <f t="shared" si="152"/>
        <v>0</v>
      </c>
      <c r="BE357" s="771">
        <f t="shared" si="152"/>
        <v>0</v>
      </c>
      <c r="BF357" s="771">
        <f t="shared" si="152"/>
        <v>0</v>
      </c>
      <c r="BG357" s="764">
        <f t="shared" si="152"/>
        <v>0</v>
      </c>
      <c r="BH357" s="776"/>
      <c r="BI357" s="654"/>
      <c r="BJ357" s="659">
        <f>IFERROR(BK357/J357,0)</f>
        <v>1.2880639420521571</v>
      </c>
      <c r="BK357" s="660">
        <f>SUBTOTAL(9,BK358:BK409)</f>
        <v>333448.60861189594</v>
      </c>
      <c r="BL357" s="654"/>
      <c r="BM357" s="661">
        <f t="shared" ref="BM357:DH357" si="153">SUBTOTAL(9,BM358:BM409)</f>
        <v>0</v>
      </c>
      <c r="BN357" s="662">
        <f t="shared" si="153"/>
        <v>44140.631691999995</v>
      </c>
      <c r="BO357" s="662">
        <f t="shared" si="153"/>
        <v>68026.681973249011</v>
      </c>
      <c r="BP357" s="662">
        <f t="shared" si="153"/>
        <v>172254.06057381694</v>
      </c>
      <c r="BQ357" s="662">
        <f t="shared" si="153"/>
        <v>41772.234772829994</v>
      </c>
      <c r="BR357" s="662">
        <f t="shared" si="153"/>
        <v>7254.9995999999992</v>
      </c>
      <c r="BS357" s="662">
        <f t="shared" si="153"/>
        <v>0</v>
      </c>
      <c r="BT357" s="662">
        <f t="shared" si="153"/>
        <v>0</v>
      </c>
      <c r="BU357" s="662">
        <f t="shared" si="153"/>
        <v>0</v>
      </c>
      <c r="BV357" s="662">
        <f t="shared" si="153"/>
        <v>0</v>
      </c>
      <c r="BW357" s="662">
        <f t="shared" si="153"/>
        <v>0</v>
      </c>
      <c r="BX357" s="662">
        <f t="shared" si="153"/>
        <v>0</v>
      </c>
      <c r="BY357" s="662">
        <f t="shared" si="153"/>
        <v>0</v>
      </c>
      <c r="BZ357" s="662">
        <f t="shared" si="153"/>
        <v>0</v>
      </c>
      <c r="CA357" s="662">
        <f t="shared" si="153"/>
        <v>0</v>
      </c>
      <c r="CB357" s="662">
        <f t="shared" si="153"/>
        <v>0</v>
      </c>
      <c r="CC357" s="662">
        <f t="shared" si="153"/>
        <v>0</v>
      </c>
      <c r="CD357" s="662">
        <f t="shared" si="153"/>
        <v>0</v>
      </c>
      <c r="CE357" s="662">
        <f t="shared" si="153"/>
        <v>0</v>
      </c>
      <c r="CF357" s="662">
        <f t="shared" si="153"/>
        <v>0</v>
      </c>
      <c r="CG357" s="662">
        <f t="shared" si="153"/>
        <v>0</v>
      </c>
      <c r="CH357" s="662">
        <f t="shared" si="153"/>
        <v>0</v>
      </c>
      <c r="CI357" s="662">
        <f t="shared" si="153"/>
        <v>0</v>
      </c>
      <c r="CJ357" s="662">
        <f t="shared" si="153"/>
        <v>0</v>
      </c>
      <c r="CK357" s="662">
        <f t="shared" si="153"/>
        <v>0</v>
      </c>
      <c r="CL357" s="662">
        <f t="shared" si="153"/>
        <v>0</v>
      </c>
      <c r="CM357" s="662">
        <f t="shared" si="153"/>
        <v>0</v>
      </c>
      <c r="CN357" s="662">
        <f t="shared" si="153"/>
        <v>0</v>
      </c>
      <c r="CO357" s="662">
        <f t="shared" si="153"/>
        <v>0</v>
      </c>
      <c r="CP357" s="662">
        <f t="shared" si="153"/>
        <v>0</v>
      </c>
      <c r="CQ357" s="662">
        <f t="shared" si="153"/>
        <v>0</v>
      </c>
      <c r="CR357" s="662">
        <f t="shared" si="153"/>
        <v>0</v>
      </c>
      <c r="CS357" s="662">
        <f t="shared" si="153"/>
        <v>0</v>
      </c>
      <c r="CT357" s="662">
        <f t="shared" si="153"/>
        <v>0</v>
      </c>
      <c r="CU357" s="662">
        <f t="shared" si="153"/>
        <v>0</v>
      </c>
      <c r="CV357" s="662">
        <f t="shared" si="153"/>
        <v>0</v>
      </c>
      <c r="CW357" s="662">
        <f t="shared" si="153"/>
        <v>0</v>
      </c>
      <c r="CX357" s="662">
        <f t="shared" si="153"/>
        <v>0</v>
      </c>
      <c r="CY357" s="662">
        <f t="shared" si="153"/>
        <v>0</v>
      </c>
      <c r="CZ357" s="662">
        <f t="shared" si="153"/>
        <v>0</v>
      </c>
      <c r="DA357" s="662">
        <f t="shared" si="153"/>
        <v>0</v>
      </c>
      <c r="DB357" s="662">
        <f t="shared" si="153"/>
        <v>0</v>
      </c>
      <c r="DC357" s="662">
        <f t="shared" si="153"/>
        <v>0</v>
      </c>
      <c r="DD357" s="662">
        <f t="shared" si="153"/>
        <v>0</v>
      </c>
      <c r="DE357" s="662">
        <f t="shared" si="153"/>
        <v>0</v>
      </c>
      <c r="DF357" s="662">
        <f t="shared" si="153"/>
        <v>0</v>
      </c>
      <c r="DG357" s="662">
        <f t="shared" si="153"/>
        <v>0</v>
      </c>
      <c r="DH357" s="663">
        <f t="shared" si="153"/>
        <v>0</v>
      </c>
    </row>
    <row r="358" spans="1:112" s="650" customFormat="1" outlineLevel="1" x14ac:dyDescent="0.3">
      <c r="A358" s="652" t="str">
        <f>IF(J357&gt;0,"Imprimir","")</f>
        <v>Imprimir</v>
      </c>
      <c r="B358" s="722"/>
      <c r="C358" s="664"/>
      <c r="D358" s="665"/>
      <c r="E358" s="665"/>
      <c r="F358" s="665" t="s">
        <v>472</v>
      </c>
      <c r="G358" s="716" t="s">
        <v>2128</v>
      </c>
      <c r="H358" s="665" t="str">
        <f>H251</f>
        <v>Cantidad</v>
      </c>
      <c r="I358" s="665" t="s">
        <v>474</v>
      </c>
      <c r="J358" s="666" t="s">
        <v>29</v>
      </c>
      <c r="K358" s="723"/>
      <c r="L358" s="745"/>
      <c r="M358" s="741"/>
      <c r="N358" s="741"/>
      <c r="O358" s="741"/>
      <c r="P358" s="741"/>
      <c r="Q358" s="741"/>
      <c r="R358" s="741"/>
      <c r="S358" s="741"/>
      <c r="T358" s="741"/>
      <c r="U358" s="741"/>
      <c r="V358" s="741"/>
      <c r="W358" s="741"/>
      <c r="X358" s="741"/>
      <c r="Y358" s="741"/>
      <c r="Z358" s="741"/>
      <c r="AA358" s="741"/>
      <c r="AB358" s="741"/>
      <c r="AC358" s="741"/>
      <c r="AD358" s="741"/>
      <c r="AE358" s="741"/>
      <c r="AF358" s="741"/>
      <c r="AG358" s="741"/>
      <c r="AH358" s="741"/>
      <c r="AI358" s="741"/>
      <c r="AJ358" s="741"/>
      <c r="AK358" s="741"/>
      <c r="AL358" s="741"/>
      <c r="AM358" s="741"/>
      <c r="AN358" s="741"/>
      <c r="AO358" s="741"/>
      <c r="AP358" s="741"/>
      <c r="AQ358" s="741"/>
      <c r="AR358" s="741"/>
      <c r="AS358" s="741"/>
      <c r="AT358" s="741"/>
      <c r="AU358" s="741"/>
      <c r="AV358" s="741"/>
      <c r="AW358" s="741"/>
      <c r="AX358" s="741"/>
      <c r="AY358" s="741"/>
      <c r="AZ358" s="741"/>
      <c r="BA358" s="741"/>
      <c r="BB358" s="741"/>
      <c r="BC358" s="741"/>
      <c r="BD358" s="741"/>
      <c r="BE358" s="741"/>
      <c r="BF358" s="741"/>
      <c r="BG358" s="741"/>
      <c r="BH358" s="724"/>
      <c r="BI358" s="725"/>
      <c r="BJ358" s="669"/>
      <c r="BK358" s="670"/>
      <c r="BL358" s="725"/>
      <c r="BM358" s="671"/>
      <c r="BN358" s="665"/>
      <c r="BO358" s="665"/>
      <c r="BP358" s="665"/>
      <c r="BQ358" s="665"/>
      <c r="BR358" s="665"/>
      <c r="BS358" s="665"/>
      <c r="BT358" s="665"/>
      <c r="BU358" s="665"/>
      <c r="BV358" s="665"/>
      <c r="BW358" s="665"/>
      <c r="BX358" s="665"/>
      <c r="BY358" s="665"/>
      <c r="BZ358" s="665"/>
      <c r="CA358" s="665"/>
      <c r="CB358" s="665"/>
      <c r="CC358" s="665"/>
      <c r="CD358" s="665"/>
      <c r="CE358" s="665"/>
      <c r="CF358" s="665"/>
      <c r="CG358" s="665"/>
      <c r="CH358" s="665"/>
      <c r="CI358" s="665"/>
      <c r="CJ358" s="665"/>
      <c r="CK358" s="665"/>
      <c r="CL358" s="665"/>
      <c r="CM358" s="665"/>
      <c r="CN358" s="665"/>
      <c r="CO358" s="665"/>
      <c r="CP358" s="665"/>
      <c r="CQ358" s="665"/>
      <c r="CR358" s="665"/>
      <c r="CS358" s="665"/>
      <c r="CT358" s="665"/>
      <c r="CU358" s="665"/>
      <c r="CV358" s="665"/>
      <c r="CW358" s="665"/>
      <c r="CX358" s="665"/>
      <c r="CY358" s="665"/>
      <c r="CZ358" s="665"/>
      <c r="DA358" s="665"/>
      <c r="DB358" s="665"/>
      <c r="DC358" s="665"/>
      <c r="DD358" s="665"/>
      <c r="DE358" s="665"/>
      <c r="DF358" s="665"/>
      <c r="DG358" s="665"/>
      <c r="DH358" s="666"/>
    </row>
    <row r="359" spans="1:112" s="649" customFormat="1" ht="15.6" outlineLevel="1" x14ac:dyDescent="0.3">
      <c r="A359" s="652" t="str">
        <f>IF(J359&gt;0,"Imprimir","")</f>
        <v>Imprimir</v>
      </c>
      <c r="B359" s="652"/>
      <c r="C359" s="672"/>
      <c r="D359" s="673"/>
      <c r="E359" s="674"/>
      <c r="F359" s="675"/>
      <c r="G359" s="726"/>
      <c r="H359" s="676"/>
      <c r="I359" s="677"/>
      <c r="J359" s="219">
        <f>SUBTOTAL(9,J360:J409)</f>
        <v>258875.81953473683</v>
      </c>
      <c r="K359" s="678"/>
      <c r="L359" s="747"/>
      <c r="M359" s="742"/>
      <c r="N359" s="742"/>
      <c r="O359" s="742"/>
      <c r="P359" s="742"/>
      <c r="Q359" s="742"/>
      <c r="R359" s="742"/>
      <c r="S359" s="742"/>
      <c r="T359" s="742"/>
      <c r="U359" s="742"/>
      <c r="V359" s="742"/>
      <c r="W359" s="742"/>
      <c r="X359" s="742"/>
      <c r="Y359" s="742"/>
      <c r="Z359" s="742"/>
      <c r="AA359" s="742"/>
      <c r="AB359" s="742"/>
      <c r="AC359" s="742"/>
      <c r="AD359" s="742"/>
      <c r="AE359" s="742"/>
      <c r="AF359" s="742"/>
      <c r="AG359" s="742"/>
      <c r="AH359" s="742"/>
      <c r="AI359" s="742"/>
      <c r="AJ359" s="742"/>
      <c r="AK359" s="742"/>
      <c r="AL359" s="742"/>
      <c r="AM359" s="742"/>
      <c r="AN359" s="742"/>
      <c r="AO359" s="742"/>
      <c r="AP359" s="742"/>
      <c r="AQ359" s="742"/>
      <c r="AR359" s="742"/>
      <c r="AS359" s="742"/>
      <c r="AT359" s="742"/>
      <c r="AU359" s="742"/>
      <c r="AV359" s="742"/>
      <c r="AW359" s="742"/>
      <c r="AX359" s="742"/>
      <c r="AY359" s="742"/>
      <c r="AZ359" s="742"/>
      <c r="BA359" s="742"/>
      <c r="BB359" s="742"/>
      <c r="BC359" s="742"/>
      <c r="BD359" s="742"/>
      <c r="BE359" s="742"/>
      <c r="BF359" s="742"/>
      <c r="BG359" s="742"/>
      <c r="BH359" s="668"/>
      <c r="BI359" s="654"/>
      <c r="BJ359" s="680"/>
      <c r="BK359" s="681"/>
      <c r="BL359" s="654"/>
      <c r="BM359" s="682"/>
      <c r="BN359" s="683"/>
      <c r="BO359" s="683"/>
      <c r="BP359" s="683"/>
      <c r="BQ359" s="683"/>
      <c r="BR359" s="683"/>
      <c r="BS359" s="683"/>
      <c r="BT359" s="683"/>
      <c r="BU359" s="683"/>
      <c r="BV359" s="683"/>
      <c r="BW359" s="683"/>
      <c r="BX359" s="683"/>
      <c r="BY359" s="683"/>
      <c r="BZ359" s="683"/>
      <c r="CA359" s="683"/>
      <c r="CB359" s="683"/>
      <c r="CC359" s="683"/>
      <c r="CD359" s="683"/>
      <c r="CE359" s="683"/>
      <c r="CF359" s="683"/>
      <c r="CG359" s="683"/>
      <c r="CH359" s="683"/>
      <c r="CI359" s="683"/>
      <c r="CJ359" s="683"/>
      <c r="CK359" s="683"/>
      <c r="CL359" s="683"/>
      <c r="CM359" s="683"/>
      <c r="CN359" s="683"/>
      <c r="CO359" s="683"/>
      <c r="CP359" s="683"/>
      <c r="CQ359" s="683"/>
      <c r="CR359" s="683"/>
      <c r="CS359" s="683"/>
      <c r="CT359" s="683"/>
      <c r="CU359" s="683"/>
      <c r="CV359" s="683"/>
      <c r="CW359" s="683"/>
      <c r="CX359" s="683"/>
      <c r="CY359" s="683"/>
      <c r="CZ359" s="683"/>
      <c r="DA359" s="683"/>
      <c r="DB359" s="683"/>
      <c r="DC359" s="683"/>
      <c r="DD359" s="683"/>
      <c r="DE359" s="683"/>
      <c r="DF359" s="683"/>
      <c r="DG359" s="683"/>
      <c r="DH359" s="684"/>
    </row>
    <row r="360" spans="1:112" s="649" customFormat="1" outlineLevel="1" x14ac:dyDescent="0.3">
      <c r="A360" s="652" t="str">
        <f t="shared" ref="A360:A408" si="154">IF(J360="","",IF(J360=0,"","Imprimir"))</f>
        <v>Imprimir</v>
      </c>
      <c r="B360" s="652"/>
      <c r="C360" s="685"/>
      <c r="D360" s="686" t="s">
        <v>2420</v>
      </c>
      <c r="E360" s="686" t="s">
        <v>488</v>
      </c>
      <c r="F360" s="720"/>
      <c r="G360" s="688">
        <v>68.421052631578945</v>
      </c>
      <c r="H360" s="689">
        <f>Producción!G34*0.1</f>
        <v>3.3000000000000003</v>
      </c>
      <c r="I360" s="851">
        <f t="shared" ref="I360:I391" si="155">IF(E360&gt;0,$J$5,"")</f>
        <v>1</v>
      </c>
      <c r="J360" s="852">
        <f t="shared" ref="J360:J408" si="156">IFERROR(G360*H360*I360,"")</f>
        <v>225.78947368421055</v>
      </c>
      <c r="K360" s="667"/>
      <c r="L360" s="858">
        <v>1</v>
      </c>
      <c r="M360" s="859"/>
      <c r="N360" s="859"/>
      <c r="O360" s="859"/>
      <c r="P360" s="859"/>
      <c r="Q360" s="859"/>
      <c r="R360" s="859"/>
      <c r="S360" s="859"/>
      <c r="T360" s="859"/>
      <c r="U360" s="859"/>
      <c r="V360" s="859"/>
      <c r="W360" s="859"/>
      <c r="X360" s="859"/>
      <c r="Y360" s="859"/>
      <c r="Z360" s="860"/>
      <c r="AA360" s="860"/>
      <c r="AB360" s="860"/>
      <c r="AC360" s="860"/>
      <c r="AD360" s="860"/>
      <c r="AE360" s="860"/>
      <c r="AF360" s="860"/>
      <c r="AG360" s="860"/>
      <c r="AH360" s="860"/>
      <c r="AI360" s="860"/>
      <c r="AJ360" s="860"/>
      <c r="AK360" s="860"/>
      <c r="AL360" s="860"/>
      <c r="AM360" s="860"/>
      <c r="AN360" s="860"/>
      <c r="AO360" s="860"/>
      <c r="AP360" s="860"/>
      <c r="AQ360" s="860"/>
      <c r="AR360" s="860"/>
      <c r="AS360" s="860"/>
      <c r="AT360" s="860"/>
      <c r="AU360" s="860"/>
      <c r="AV360" s="860"/>
      <c r="AW360" s="860"/>
      <c r="AX360" s="860"/>
      <c r="AY360" s="860"/>
      <c r="AZ360" s="860"/>
      <c r="BA360" s="860"/>
      <c r="BB360" s="860"/>
      <c r="BC360" s="860"/>
      <c r="BD360" s="860"/>
      <c r="BE360" s="860"/>
      <c r="BF360" s="860"/>
      <c r="BG360" s="860"/>
      <c r="BH360" s="668"/>
      <c r="BI360" s="667"/>
      <c r="BJ360" s="690">
        <f t="shared" ref="BJ360:BJ391" si="157">IFERROR(BK360/J360,0)</f>
        <v>0</v>
      </c>
      <c r="BK360" s="691">
        <f t="shared" ref="BK360:BK391" si="158">SUM(BM360:DH360)</f>
        <v>0</v>
      </c>
      <c r="BL360" s="654"/>
      <c r="BM360" s="692">
        <f>SUMIFS(Imput[[Importe Neto]:[Importe Neto]],Imput[[C. Imp.]:[C. Imp.]],$D360,Imput[[PERIODO Imp.]:[PERIODO Imp.]],BM$9)</f>
        <v>0</v>
      </c>
      <c r="BN360" s="693">
        <f>SUMIFS(Imput[[Importe Neto]:[Importe Neto]],Imput[[C. Imp.]:[C. Imp.]],$D360,Imput[[PERIODO Imp.]:[PERIODO Imp.]],BN$9)</f>
        <v>0</v>
      </c>
      <c r="BO360" s="693">
        <f>SUMIFS(Imput[[Importe Neto]:[Importe Neto]],Imput[[C. Imp.]:[C. Imp.]],$D360,Imput[[PERIODO Imp.]:[PERIODO Imp.]],BO$9)</f>
        <v>0</v>
      </c>
      <c r="BP360" s="693">
        <f>SUMIFS(Imput[[Importe Neto]:[Importe Neto]],Imput[[C. Imp.]:[C. Imp.]],$D360,Imput[[PERIODO Imp.]:[PERIODO Imp.]],BP$9)</f>
        <v>0</v>
      </c>
      <c r="BQ360" s="693">
        <f>SUMIFS(Imput[[Importe Neto]:[Importe Neto]],Imput[[C. Imp.]:[C. Imp.]],$D360,Imput[[PERIODO Imp.]:[PERIODO Imp.]],BQ$9)</f>
        <v>0</v>
      </c>
      <c r="BR360" s="693">
        <f>SUMIFS(Imput[[Importe Neto]:[Importe Neto]],Imput[[C. Imp.]:[C. Imp.]],$D360,Imput[[PERIODO Imp.]:[PERIODO Imp.]],BR$9)</f>
        <v>0</v>
      </c>
      <c r="BS360" s="693">
        <f>SUMIFS(Imput[[Importe Neto]:[Importe Neto]],Imput[[C. Imp.]:[C. Imp.]],$D360,Imput[[PERIODO Imp.]:[PERIODO Imp.]],BS$9)</f>
        <v>0</v>
      </c>
      <c r="BT360" s="693">
        <f>SUMIFS(Imput[[Importe Neto]:[Importe Neto]],Imput[[C. Imp.]:[C. Imp.]],$D360,Imput[[PERIODO Imp.]:[PERIODO Imp.]],BT$9)</f>
        <v>0</v>
      </c>
      <c r="BU360" s="693">
        <f>SUMIFS(Imput[[Importe Neto]:[Importe Neto]],Imput[[C. Imp.]:[C. Imp.]],$D360,Imput[[PERIODO Imp.]:[PERIODO Imp.]],BU$9)</f>
        <v>0</v>
      </c>
      <c r="BV360" s="693">
        <f>SUMIFS(Imput[[Importe Neto]:[Importe Neto]],Imput[[C. Imp.]:[C. Imp.]],$D360,Imput[[PERIODO Imp.]:[PERIODO Imp.]],BV$9)</f>
        <v>0</v>
      </c>
      <c r="BW360" s="693">
        <f>SUMIFS(Imput[[Importe Neto]:[Importe Neto]],Imput[[C. Imp.]:[C. Imp.]],$D360,Imput[[PERIODO Imp.]:[PERIODO Imp.]],BW$9)</f>
        <v>0</v>
      </c>
      <c r="BX360" s="693">
        <f>SUMIFS(Imput[[Importe Neto]:[Importe Neto]],Imput[[C. Imp.]:[C. Imp.]],$D360,Imput[[PERIODO Imp.]:[PERIODO Imp.]],BX$9)</f>
        <v>0</v>
      </c>
      <c r="BY360" s="693">
        <f>SUMIFS(Imput[[Importe Neto]:[Importe Neto]],Imput[[C. Imp.]:[C. Imp.]],$D360,Imput[[PERIODO Imp.]:[PERIODO Imp.]],BY$9)</f>
        <v>0</v>
      </c>
      <c r="BZ360" s="693">
        <f>SUMIFS(Imput[[Importe Neto]:[Importe Neto]],Imput[[C. Imp.]:[C. Imp.]],$D360,Imput[[PERIODO Imp.]:[PERIODO Imp.]],BZ$9)</f>
        <v>0</v>
      </c>
      <c r="CA360" s="693">
        <f>SUMIFS(Imput[[Importe Neto]:[Importe Neto]],Imput[[C. Imp.]:[C. Imp.]],$D360,Imput[[PERIODO Imp.]:[PERIODO Imp.]],CA$9)</f>
        <v>0</v>
      </c>
      <c r="CB360" s="693">
        <f>SUMIFS(Imput[[Importe Neto]:[Importe Neto]],Imput[[C. Imp.]:[C. Imp.]],$D360,Imput[[PERIODO Imp.]:[PERIODO Imp.]],CB$9)</f>
        <v>0</v>
      </c>
      <c r="CC360" s="693">
        <f>SUMIFS(Imput[[Importe Neto]:[Importe Neto]],Imput[[C. Imp.]:[C. Imp.]],$D360,Imput[[PERIODO Imp.]:[PERIODO Imp.]],CC$9)</f>
        <v>0</v>
      </c>
      <c r="CD360" s="693">
        <f>SUMIFS(Imput[[Importe Neto]:[Importe Neto]],Imput[[C. Imp.]:[C. Imp.]],$D360,Imput[[PERIODO Imp.]:[PERIODO Imp.]],CD$9)</f>
        <v>0</v>
      </c>
      <c r="CE360" s="693">
        <f>SUMIFS(Imput[[Importe Neto]:[Importe Neto]],Imput[[C. Imp.]:[C. Imp.]],$D360,Imput[[PERIODO Imp.]:[PERIODO Imp.]],CE$9)</f>
        <v>0</v>
      </c>
      <c r="CF360" s="693">
        <f>SUMIFS(Imput[[Importe Neto]:[Importe Neto]],Imput[[C. Imp.]:[C. Imp.]],$D360,Imput[[PERIODO Imp.]:[PERIODO Imp.]],CF$9)</f>
        <v>0</v>
      </c>
      <c r="CG360" s="693">
        <f>SUMIFS(Imput[[Importe Neto]:[Importe Neto]],Imput[[C. Imp.]:[C. Imp.]],$D360,Imput[[PERIODO Imp.]:[PERIODO Imp.]],CG$9)</f>
        <v>0</v>
      </c>
      <c r="CH360" s="693">
        <f>SUMIFS(Imput[[Importe Neto]:[Importe Neto]],Imput[[C. Imp.]:[C. Imp.]],$D360,Imput[[PERIODO Imp.]:[PERIODO Imp.]],CH$9)</f>
        <v>0</v>
      </c>
      <c r="CI360" s="693">
        <f>SUMIFS(Imput[[Importe Neto]:[Importe Neto]],Imput[[C. Imp.]:[C. Imp.]],$D360,Imput[[PERIODO Imp.]:[PERIODO Imp.]],CI$9)</f>
        <v>0</v>
      </c>
      <c r="CJ360" s="693">
        <f>SUMIFS(Imput[[Importe Neto]:[Importe Neto]],Imput[[C. Imp.]:[C. Imp.]],$D360,Imput[[PERIODO Imp.]:[PERIODO Imp.]],CJ$9)</f>
        <v>0</v>
      </c>
      <c r="CK360" s="693">
        <f>SUMIFS(Imput[[Importe Neto]:[Importe Neto]],Imput[[C. Imp.]:[C. Imp.]],$D360,Imput[[PERIODO Imp.]:[PERIODO Imp.]],CK$9)</f>
        <v>0</v>
      </c>
      <c r="CL360" s="693">
        <f>SUMIFS(Imput[[Importe Neto]:[Importe Neto]],Imput[[C. Imp.]:[C. Imp.]],$D360,Imput[[PERIODO Imp.]:[PERIODO Imp.]],CL$9)</f>
        <v>0</v>
      </c>
      <c r="CM360" s="693">
        <f>SUMIFS(Imput[[Importe Neto]:[Importe Neto]],Imput[[C. Imp.]:[C. Imp.]],$D360,Imput[[PERIODO Imp.]:[PERIODO Imp.]],CM$9)</f>
        <v>0</v>
      </c>
      <c r="CN360" s="693">
        <f>SUMIFS(Imput[[Importe Neto]:[Importe Neto]],Imput[[C. Imp.]:[C. Imp.]],$D360,Imput[[PERIODO Imp.]:[PERIODO Imp.]],CN$9)</f>
        <v>0</v>
      </c>
      <c r="CO360" s="693">
        <f>SUMIFS(Imput[[Importe Neto]:[Importe Neto]],Imput[[C. Imp.]:[C. Imp.]],$D360,Imput[[PERIODO Imp.]:[PERIODO Imp.]],CO$9)</f>
        <v>0</v>
      </c>
      <c r="CP360" s="693">
        <f>SUMIFS(Imput[[Importe Neto]:[Importe Neto]],Imput[[C. Imp.]:[C. Imp.]],$D360,Imput[[PERIODO Imp.]:[PERIODO Imp.]],CP$9)</f>
        <v>0</v>
      </c>
      <c r="CQ360" s="693">
        <f>SUMIFS(Imput[[Importe Neto]:[Importe Neto]],Imput[[C. Imp.]:[C. Imp.]],$D360,Imput[[PERIODO Imp.]:[PERIODO Imp.]],CQ$9)</f>
        <v>0</v>
      </c>
      <c r="CR360" s="693">
        <f>SUMIFS(Imput[[Importe Neto]:[Importe Neto]],Imput[[C. Imp.]:[C. Imp.]],$D360,Imput[[PERIODO Imp.]:[PERIODO Imp.]],CR$9)</f>
        <v>0</v>
      </c>
      <c r="CS360" s="693">
        <f>SUMIFS(Imput[[Importe Neto]:[Importe Neto]],Imput[[C. Imp.]:[C. Imp.]],$D360,Imput[[PERIODO Imp.]:[PERIODO Imp.]],CS$9)</f>
        <v>0</v>
      </c>
      <c r="CT360" s="693">
        <f>SUMIFS(Imput[[Importe Neto]:[Importe Neto]],Imput[[C. Imp.]:[C. Imp.]],$D360,Imput[[PERIODO Imp.]:[PERIODO Imp.]],CT$9)</f>
        <v>0</v>
      </c>
      <c r="CU360" s="693">
        <f>SUMIFS(Imput[[Importe Neto]:[Importe Neto]],Imput[[C. Imp.]:[C. Imp.]],$D360,Imput[[PERIODO Imp.]:[PERIODO Imp.]],CU$9)</f>
        <v>0</v>
      </c>
      <c r="CV360" s="693">
        <f>SUMIFS(Imput[[Importe Neto]:[Importe Neto]],Imput[[C. Imp.]:[C. Imp.]],$D360,Imput[[PERIODO Imp.]:[PERIODO Imp.]],CV$9)</f>
        <v>0</v>
      </c>
      <c r="CW360" s="693">
        <f>SUMIFS(Imput[[Importe Neto]:[Importe Neto]],Imput[[C. Imp.]:[C. Imp.]],$D360,Imput[[PERIODO Imp.]:[PERIODO Imp.]],CW$9)</f>
        <v>0</v>
      </c>
      <c r="CX360" s="693">
        <f>SUMIFS(Imput[[Importe Neto]:[Importe Neto]],Imput[[C. Imp.]:[C. Imp.]],$D360,Imput[[PERIODO Imp.]:[PERIODO Imp.]],CX$9)</f>
        <v>0</v>
      </c>
      <c r="CY360" s="693">
        <f>SUMIFS(Imput[[Importe Neto]:[Importe Neto]],Imput[[C. Imp.]:[C. Imp.]],$D360,Imput[[PERIODO Imp.]:[PERIODO Imp.]],CY$9)</f>
        <v>0</v>
      </c>
      <c r="CZ360" s="693">
        <f>SUMIFS(Imput[[Importe Neto]:[Importe Neto]],Imput[[C. Imp.]:[C. Imp.]],$D360,Imput[[PERIODO Imp.]:[PERIODO Imp.]],CZ$9)</f>
        <v>0</v>
      </c>
      <c r="DA360" s="693">
        <f>SUMIFS(Imput[[Importe Neto]:[Importe Neto]],Imput[[C. Imp.]:[C. Imp.]],$D360,Imput[[PERIODO Imp.]:[PERIODO Imp.]],DA$9)</f>
        <v>0</v>
      </c>
      <c r="DB360" s="693">
        <f>SUMIFS(Imput[[Importe Neto]:[Importe Neto]],Imput[[C. Imp.]:[C. Imp.]],$D360,Imput[[PERIODO Imp.]:[PERIODO Imp.]],DB$9)</f>
        <v>0</v>
      </c>
      <c r="DC360" s="693">
        <f>SUMIFS(Imput[[Importe Neto]:[Importe Neto]],Imput[[C. Imp.]:[C. Imp.]],$D360,Imput[[PERIODO Imp.]:[PERIODO Imp.]],DC$9)</f>
        <v>0</v>
      </c>
      <c r="DD360" s="693">
        <f>SUMIFS(Imput[[Importe Neto]:[Importe Neto]],Imput[[C. Imp.]:[C. Imp.]],$D360,Imput[[PERIODO Imp.]:[PERIODO Imp.]],DD$9)</f>
        <v>0</v>
      </c>
      <c r="DE360" s="693">
        <f>SUMIFS(Imput[[Importe Neto]:[Importe Neto]],Imput[[C. Imp.]:[C. Imp.]],$D360,Imput[[PERIODO Imp.]:[PERIODO Imp.]],DE$9)</f>
        <v>0</v>
      </c>
      <c r="DF360" s="693">
        <f>SUMIFS(Imput[[Importe Neto]:[Importe Neto]],Imput[[C. Imp.]:[C. Imp.]],$D360,Imput[[PERIODO Imp.]:[PERIODO Imp.]],DF$9)</f>
        <v>0</v>
      </c>
      <c r="DG360" s="693">
        <f>SUMIFS(Imput[[Importe Neto]:[Importe Neto]],Imput[[C. Imp.]:[C. Imp.]],$D360,Imput[[PERIODO Imp.]:[PERIODO Imp.]],DG$9)</f>
        <v>0</v>
      </c>
      <c r="DH360" s="694">
        <f>SUMIFS(Imput[[Importe Neto]:[Importe Neto]],Imput[[C. Imp.]:[C. Imp.]],$D360,Imput[[PERIODO Imp.]:[PERIODO Imp.]],DH$9)</f>
        <v>0</v>
      </c>
    </row>
    <row r="361" spans="1:112" s="649" customFormat="1" outlineLevel="1" x14ac:dyDescent="0.3">
      <c r="A361" s="652" t="str">
        <f t="shared" si="154"/>
        <v>Imprimir</v>
      </c>
      <c r="B361" s="652"/>
      <c r="C361" s="685"/>
      <c r="D361" s="686" t="s">
        <v>2421</v>
      </c>
      <c r="E361" s="686" t="s">
        <v>489</v>
      </c>
      <c r="F361" s="720"/>
      <c r="G361" s="688">
        <v>115.73684210526316</v>
      </c>
      <c r="H361" s="689">
        <f>Producción!G34*0.09</f>
        <v>2.9699999999999998</v>
      </c>
      <c r="I361" s="851">
        <f t="shared" si="155"/>
        <v>1</v>
      </c>
      <c r="J361" s="850">
        <f t="shared" si="156"/>
        <v>343.73842105263157</v>
      </c>
      <c r="K361" s="667"/>
      <c r="L361" s="858">
        <v>1</v>
      </c>
      <c r="M361" s="859"/>
      <c r="N361" s="859"/>
      <c r="O361" s="859"/>
      <c r="P361" s="859"/>
      <c r="Q361" s="859"/>
      <c r="R361" s="859"/>
      <c r="S361" s="859"/>
      <c r="T361" s="859"/>
      <c r="U361" s="859"/>
      <c r="V361" s="859"/>
      <c r="W361" s="859"/>
      <c r="X361" s="859"/>
      <c r="Y361" s="859"/>
      <c r="Z361" s="860"/>
      <c r="AA361" s="860"/>
      <c r="AB361" s="860"/>
      <c r="AC361" s="860"/>
      <c r="AD361" s="860"/>
      <c r="AE361" s="860"/>
      <c r="AF361" s="860"/>
      <c r="AG361" s="860"/>
      <c r="AH361" s="860"/>
      <c r="AI361" s="860"/>
      <c r="AJ361" s="860"/>
      <c r="AK361" s="860"/>
      <c r="AL361" s="860"/>
      <c r="AM361" s="860"/>
      <c r="AN361" s="860"/>
      <c r="AO361" s="860"/>
      <c r="AP361" s="860"/>
      <c r="AQ361" s="860"/>
      <c r="AR361" s="860"/>
      <c r="AS361" s="860"/>
      <c r="AT361" s="860"/>
      <c r="AU361" s="860"/>
      <c r="AV361" s="860"/>
      <c r="AW361" s="860"/>
      <c r="AX361" s="860"/>
      <c r="AY361" s="860"/>
      <c r="AZ361" s="860"/>
      <c r="BA361" s="860"/>
      <c r="BB361" s="860"/>
      <c r="BC361" s="860"/>
      <c r="BD361" s="860"/>
      <c r="BE361" s="860"/>
      <c r="BF361" s="860"/>
      <c r="BG361" s="860"/>
      <c r="BH361" s="668"/>
      <c r="BI361" s="667"/>
      <c r="BJ361" s="690">
        <f t="shared" si="157"/>
        <v>0</v>
      </c>
      <c r="BK361" s="691">
        <f t="shared" si="158"/>
        <v>0</v>
      </c>
      <c r="BL361" s="654"/>
      <c r="BM361" s="692">
        <f>SUMIFS(Imput[[Importe Neto]:[Importe Neto]],Imput[[C. Imp.]:[C. Imp.]],$D361,Imput[[PERIODO Imp.]:[PERIODO Imp.]],BM$9)</f>
        <v>0</v>
      </c>
      <c r="BN361" s="693">
        <f>SUMIFS(Imput[[Importe Neto]:[Importe Neto]],Imput[[C. Imp.]:[C. Imp.]],$D361,Imput[[PERIODO Imp.]:[PERIODO Imp.]],BN$9)</f>
        <v>0</v>
      </c>
      <c r="BO361" s="693">
        <f>SUMIFS(Imput[[Importe Neto]:[Importe Neto]],Imput[[C. Imp.]:[C. Imp.]],$D361,Imput[[PERIODO Imp.]:[PERIODO Imp.]],BO$9)</f>
        <v>0</v>
      </c>
      <c r="BP361" s="693">
        <f>SUMIFS(Imput[[Importe Neto]:[Importe Neto]],Imput[[C. Imp.]:[C. Imp.]],$D361,Imput[[PERIODO Imp.]:[PERIODO Imp.]],BP$9)</f>
        <v>0</v>
      </c>
      <c r="BQ361" s="693">
        <f>SUMIFS(Imput[[Importe Neto]:[Importe Neto]],Imput[[C. Imp.]:[C. Imp.]],$D361,Imput[[PERIODO Imp.]:[PERIODO Imp.]],BQ$9)</f>
        <v>0</v>
      </c>
      <c r="BR361" s="693">
        <f>SUMIFS(Imput[[Importe Neto]:[Importe Neto]],Imput[[C. Imp.]:[C. Imp.]],$D361,Imput[[PERIODO Imp.]:[PERIODO Imp.]],BR$9)</f>
        <v>0</v>
      </c>
      <c r="BS361" s="693">
        <f>SUMIFS(Imput[[Importe Neto]:[Importe Neto]],Imput[[C. Imp.]:[C. Imp.]],$D361,Imput[[PERIODO Imp.]:[PERIODO Imp.]],BS$9)</f>
        <v>0</v>
      </c>
      <c r="BT361" s="693">
        <f>SUMIFS(Imput[[Importe Neto]:[Importe Neto]],Imput[[C. Imp.]:[C. Imp.]],$D361,Imput[[PERIODO Imp.]:[PERIODO Imp.]],BT$9)</f>
        <v>0</v>
      </c>
      <c r="BU361" s="693">
        <f>SUMIFS(Imput[[Importe Neto]:[Importe Neto]],Imput[[C. Imp.]:[C. Imp.]],$D361,Imput[[PERIODO Imp.]:[PERIODO Imp.]],BU$9)</f>
        <v>0</v>
      </c>
      <c r="BV361" s="693">
        <f>SUMIFS(Imput[[Importe Neto]:[Importe Neto]],Imput[[C. Imp.]:[C. Imp.]],$D361,Imput[[PERIODO Imp.]:[PERIODO Imp.]],BV$9)</f>
        <v>0</v>
      </c>
      <c r="BW361" s="693">
        <f>SUMIFS(Imput[[Importe Neto]:[Importe Neto]],Imput[[C. Imp.]:[C. Imp.]],$D361,Imput[[PERIODO Imp.]:[PERIODO Imp.]],BW$9)</f>
        <v>0</v>
      </c>
      <c r="BX361" s="693">
        <f>SUMIFS(Imput[[Importe Neto]:[Importe Neto]],Imput[[C. Imp.]:[C. Imp.]],$D361,Imput[[PERIODO Imp.]:[PERIODO Imp.]],BX$9)</f>
        <v>0</v>
      </c>
      <c r="BY361" s="693">
        <f>SUMIFS(Imput[[Importe Neto]:[Importe Neto]],Imput[[C. Imp.]:[C. Imp.]],$D361,Imput[[PERIODO Imp.]:[PERIODO Imp.]],BY$9)</f>
        <v>0</v>
      </c>
      <c r="BZ361" s="693">
        <f>SUMIFS(Imput[[Importe Neto]:[Importe Neto]],Imput[[C. Imp.]:[C. Imp.]],$D361,Imput[[PERIODO Imp.]:[PERIODO Imp.]],BZ$9)</f>
        <v>0</v>
      </c>
      <c r="CA361" s="693">
        <f>SUMIFS(Imput[[Importe Neto]:[Importe Neto]],Imput[[C. Imp.]:[C. Imp.]],$D361,Imput[[PERIODO Imp.]:[PERIODO Imp.]],CA$9)</f>
        <v>0</v>
      </c>
      <c r="CB361" s="693">
        <f>SUMIFS(Imput[[Importe Neto]:[Importe Neto]],Imput[[C. Imp.]:[C. Imp.]],$D361,Imput[[PERIODO Imp.]:[PERIODO Imp.]],CB$9)</f>
        <v>0</v>
      </c>
      <c r="CC361" s="693">
        <f>SUMIFS(Imput[[Importe Neto]:[Importe Neto]],Imput[[C. Imp.]:[C. Imp.]],$D361,Imput[[PERIODO Imp.]:[PERIODO Imp.]],CC$9)</f>
        <v>0</v>
      </c>
      <c r="CD361" s="693">
        <f>SUMIFS(Imput[[Importe Neto]:[Importe Neto]],Imput[[C. Imp.]:[C. Imp.]],$D361,Imput[[PERIODO Imp.]:[PERIODO Imp.]],CD$9)</f>
        <v>0</v>
      </c>
      <c r="CE361" s="693">
        <f>SUMIFS(Imput[[Importe Neto]:[Importe Neto]],Imput[[C. Imp.]:[C. Imp.]],$D361,Imput[[PERIODO Imp.]:[PERIODO Imp.]],CE$9)</f>
        <v>0</v>
      </c>
      <c r="CF361" s="693">
        <f>SUMIFS(Imput[[Importe Neto]:[Importe Neto]],Imput[[C. Imp.]:[C. Imp.]],$D361,Imput[[PERIODO Imp.]:[PERIODO Imp.]],CF$9)</f>
        <v>0</v>
      </c>
      <c r="CG361" s="693">
        <f>SUMIFS(Imput[[Importe Neto]:[Importe Neto]],Imput[[C. Imp.]:[C. Imp.]],$D361,Imput[[PERIODO Imp.]:[PERIODO Imp.]],CG$9)</f>
        <v>0</v>
      </c>
      <c r="CH361" s="693">
        <f>SUMIFS(Imput[[Importe Neto]:[Importe Neto]],Imput[[C. Imp.]:[C. Imp.]],$D361,Imput[[PERIODO Imp.]:[PERIODO Imp.]],CH$9)</f>
        <v>0</v>
      </c>
      <c r="CI361" s="693">
        <f>SUMIFS(Imput[[Importe Neto]:[Importe Neto]],Imput[[C. Imp.]:[C. Imp.]],$D361,Imput[[PERIODO Imp.]:[PERIODO Imp.]],CI$9)</f>
        <v>0</v>
      </c>
      <c r="CJ361" s="693">
        <f>SUMIFS(Imput[[Importe Neto]:[Importe Neto]],Imput[[C. Imp.]:[C. Imp.]],$D361,Imput[[PERIODO Imp.]:[PERIODO Imp.]],CJ$9)</f>
        <v>0</v>
      </c>
      <c r="CK361" s="693">
        <f>SUMIFS(Imput[[Importe Neto]:[Importe Neto]],Imput[[C. Imp.]:[C. Imp.]],$D361,Imput[[PERIODO Imp.]:[PERIODO Imp.]],CK$9)</f>
        <v>0</v>
      </c>
      <c r="CL361" s="693">
        <f>SUMIFS(Imput[[Importe Neto]:[Importe Neto]],Imput[[C. Imp.]:[C. Imp.]],$D361,Imput[[PERIODO Imp.]:[PERIODO Imp.]],CL$9)</f>
        <v>0</v>
      </c>
      <c r="CM361" s="693">
        <f>SUMIFS(Imput[[Importe Neto]:[Importe Neto]],Imput[[C. Imp.]:[C. Imp.]],$D361,Imput[[PERIODO Imp.]:[PERIODO Imp.]],CM$9)</f>
        <v>0</v>
      </c>
      <c r="CN361" s="693">
        <f>SUMIFS(Imput[[Importe Neto]:[Importe Neto]],Imput[[C. Imp.]:[C. Imp.]],$D361,Imput[[PERIODO Imp.]:[PERIODO Imp.]],CN$9)</f>
        <v>0</v>
      </c>
      <c r="CO361" s="693">
        <f>SUMIFS(Imput[[Importe Neto]:[Importe Neto]],Imput[[C. Imp.]:[C. Imp.]],$D361,Imput[[PERIODO Imp.]:[PERIODO Imp.]],CO$9)</f>
        <v>0</v>
      </c>
      <c r="CP361" s="693">
        <f>SUMIFS(Imput[[Importe Neto]:[Importe Neto]],Imput[[C. Imp.]:[C. Imp.]],$D361,Imput[[PERIODO Imp.]:[PERIODO Imp.]],CP$9)</f>
        <v>0</v>
      </c>
      <c r="CQ361" s="693">
        <f>SUMIFS(Imput[[Importe Neto]:[Importe Neto]],Imput[[C. Imp.]:[C. Imp.]],$D361,Imput[[PERIODO Imp.]:[PERIODO Imp.]],CQ$9)</f>
        <v>0</v>
      </c>
      <c r="CR361" s="693">
        <f>SUMIFS(Imput[[Importe Neto]:[Importe Neto]],Imput[[C. Imp.]:[C. Imp.]],$D361,Imput[[PERIODO Imp.]:[PERIODO Imp.]],CR$9)</f>
        <v>0</v>
      </c>
      <c r="CS361" s="693">
        <f>SUMIFS(Imput[[Importe Neto]:[Importe Neto]],Imput[[C. Imp.]:[C. Imp.]],$D361,Imput[[PERIODO Imp.]:[PERIODO Imp.]],CS$9)</f>
        <v>0</v>
      </c>
      <c r="CT361" s="693">
        <f>SUMIFS(Imput[[Importe Neto]:[Importe Neto]],Imput[[C. Imp.]:[C. Imp.]],$D361,Imput[[PERIODO Imp.]:[PERIODO Imp.]],CT$9)</f>
        <v>0</v>
      </c>
      <c r="CU361" s="693">
        <f>SUMIFS(Imput[[Importe Neto]:[Importe Neto]],Imput[[C. Imp.]:[C. Imp.]],$D361,Imput[[PERIODO Imp.]:[PERIODO Imp.]],CU$9)</f>
        <v>0</v>
      </c>
      <c r="CV361" s="693">
        <f>SUMIFS(Imput[[Importe Neto]:[Importe Neto]],Imput[[C. Imp.]:[C. Imp.]],$D361,Imput[[PERIODO Imp.]:[PERIODO Imp.]],CV$9)</f>
        <v>0</v>
      </c>
      <c r="CW361" s="693">
        <f>SUMIFS(Imput[[Importe Neto]:[Importe Neto]],Imput[[C. Imp.]:[C. Imp.]],$D361,Imput[[PERIODO Imp.]:[PERIODO Imp.]],CW$9)</f>
        <v>0</v>
      </c>
      <c r="CX361" s="693">
        <f>SUMIFS(Imput[[Importe Neto]:[Importe Neto]],Imput[[C. Imp.]:[C. Imp.]],$D361,Imput[[PERIODO Imp.]:[PERIODO Imp.]],CX$9)</f>
        <v>0</v>
      </c>
      <c r="CY361" s="693">
        <f>SUMIFS(Imput[[Importe Neto]:[Importe Neto]],Imput[[C. Imp.]:[C. Imp.]],$D361,Imput[[PERIODO Imp.]:[PERIODO Imp.]],CY$9)</f>
        <v>0</v>
      </c>
      <c r="CZ361" s="693">
        <f>SUMIFS(Imput[[Importe Neto]:[Importe Neto]],Imput[[C. Imp.]:[C. Imp.]],$D361,Imput[[PERIODO Imp.]:[PERIODO Imp.]],CZ$9)</f>
        <v>0</v>
      </c>
      <c r="DA361" s="693">
        <f>SUMIFS(Imput[[Importe Neto]:[Importe Neto]],Imput[[C. Imp.]:[C. Imp.]],$D361,Imput[[PERIODO Imp.]:[PERIODO Imp.]],DA$9)</f>
        <v>0</v>
      </c>
      <c r="DB361" s="693">
        <f>SUMIFS(Imput[[Importe Neto]:[Importe Neto]],Imput[[C. Imp.]:[C. Imp.]],$D361,Imput[[PERIODO Imp.]:[PERIODO Imp.]],DB$9)</f>
        <v>0</v>
      </c>
      <c r="DC361" s="693">
        <f>SUMIFS(Imput[[Importe Neto]:[Importe Neto]],Imput[[C. Imp.]:[C. Imp.]],$D361,Imput[[PERIODO Imp.]:[PERIODO Imp.]],DC$9)</f>
        <v>0</v>
      </c>
      <c r="DD361" s="693">
        <f>SUMIFS(Imput[[Importe Neto]:[Importe Neto]],Imput[[C. Imp.]:[C. Imp.]],$D361,Imput[[PERIODO Imp.]:[PERIODO Imp.]],DD$9)</f>
        <v>0</v>
      </c>
      <c r="DE361" s="693">
        <f>SUMIFS(Imput[[Importe Neto]:[Importe Neto]],Imput[[C. Imp.]:[C. Imp.]],$D361,Imput[[PERIODO Imp.]:[PERIODO Imp.]],DE$9)</f>
        <v>0</v>
      </c>
      <c r="DF361" s="693">
        <f>SUMIFS(Imput[[Importe Neto]:[Importe Neto]],Imput[[C. Imp.]:[C. Imp.]],$D361,Imput[[PERIODO Imp.]:[PERIODO Imp.]],DF$9)</f>
        <v>0</v>
      </c>
      <c r="DG361" s="693">
        <f>SUMIFS(Imput[[Importe Neto]:[Importe Neto]],Imput[[C. Imp.]:[C. Imp.]],$D361,Imput[[PERIODO Imp.]:[PERIODO Imp.]],DG$9)</f>
        <v>0</v>
      </c>
      <c r="DH361" s="694">
        <f>SUMIFS(Imput[[Importe Neto]:[Importe Neto]],Imput[[C. Imp.]:[C. Imp.]],$D361,Imput[[PERIODO Imp.]:[PERIODO Imp.]],DH$9)</f>
        <v>0</v>
      </c>
    </row>
    <row r="362" spans="1:112" s="649" customFormat="1" outlineLevel="1" x14ac:dyDescent="0.3">
      <c r="A362" s="652" t="str">
        <f t="shared" si="154"/>
        <v>Imprimir</v>
      </c>
      <c r="B362" s="652"/>
      <c r="C362" s="685"/>
      <c r="D362" s="686" t="s">
        <v>2422</v>
      </c>
      <c r="E362" s="686" t="s">
        <v>490</v>
      </c>
      <c r="F362" s="720"/>
      <c r="G362" s="688">
        <v>50</v>
      </c>
      <c r="H362" s="689">
        <f>Producción!G34*0.812</f>
        <v>26.796000000000003</v>
      </c>
      <c r="I362" s="851">
        <f t="shared" si="155"/>
        <v>1</v>
      </c>
      <c r="J362" s="850">
        <f t="shared" si="156"/>
        <v>1339.8000000000002</v>
      </c>
      <c r="K362" s="667"/>
      <c r="L362" s="858">
        <v>0.1</v>
      </c>
      <c r="M362" s="859"/>
      <c r="N362" s="859"/>
      <c r="O362" s="859">
        <v>0.1</v>
      </c>
      <c r="P362" s="859"/>
      <c r="Q362" s="859"/>
      <c r="R362" s="859"/>
      <c r="S362" s="859">
        <v>0.1</v>
      </c>
      <c r="T362" s="859"/>
      <c r="U362" s="859"/>
      <c r="V362" s="859"/>
      <c r="W362" s="859">
        <v>0.1</v>
      </c>
      <c r="X362" s="859"/>
      <c r="Y362" s="859">
        <v>0.1</v>
      </c>
      <c r="Z362" s="860"/>
      <c r="AA362" s="860">
        <v>0.1</v>
      </c>
      <c r="AB362" s="860"/>
      <c r="AC362" s="860">
        <v>0.1</v>
      </c>
      <c r="AD362" s="860"/>
      <c r="AE362" s="860">
        <v>0.1</v>
      </c>
      <c r="AF362" s="860"/>
      <c r="AG362" s="860">
        <v>0.1</v>
      </c>
      <c r="AH362" s="860"/>
      <c r="AI362" s="860">
        <v>0.1</v>
      </c>
      <c r="AJ362" s="860"/>
      <c r="AK362" s="860"/>
      <c r="AL362" s="860"/>
      <c r="AM362" s="860"/>
      <c r="AN362" s="860"/>
      <c r="AO362" s="860"/>
      <c r="AP362" s="860"/>
      <c r="AQ362" s="860"/>
      <c r="AR362" s="860"/>
      <c r="AS362" s="860"/>
      <c r="AT362" s="860"/>
      <c r="AU362" s="860"/>
      <c r="AV362" s="860"/>
      <c r="AW362" s="860"/>
      <c r="AX362" s="860"/>
      <c r="AY362" s="860"/>
      <c r="AZ362" s="860"/>
      <c r="BA362" s="860"/>
      <c r="BB362" s="860"/>
      <c r="BC362" s="860"/>
      <c r="BD362" s="860"/>
      <c r="BE362" s="860"/>
      <c r="BF362" s="860"/>
      <c r="BG362" s="860"/>
      <c r="BH362" s="668"/>
      <c r="BI362" s="667"/>
      <c r="BJ362" s="690">
        <f t="shared" si="157"/>
        <v>0</v>
      </c>
      <c r="BK362" s="691">
        <f t="shared" si="158"/>
        <v>0</v>
      </c>
      <c r="BL362" s="654"/>
      <c r="BM362" s="692">
        <f>SUMIFS(Imput[[Importe Neto]:[Importe Neto]],Imput[[C. Imp.]:[C. Imp.]],$D362,Imput[[PERIODO Imp.]:[PERIODO Imp.]],BM$9)</f>
        <v>0</v>
      </c>
      <c r="BN362" s="693">
        <f>SUMIFS(Imput[[Importe Neto]:[Importe Neto]],Imput[[C. Imp.]:[C. Imp.]],$D362,Imput[[PERIODO Imp.]:[PERIODO Imp.]],BN$9)</f>
        <v>0</v>
      </c>
      <c r="BO362" s="693">
        <f>SUMIFS(Imput[[Importe Neto]:[Importe Neto]],Imput[[C. Imp.]:[C. Imp.]],$D362,Imput[[PERIODO Imp.]:[PERIODO Imp.]],BO$9)</f>
        <v>0</v>
      </c>
      <c r="BP362" s="693">
        <f>SUMIFS(Imput[[Importe Neto]:[Importe Neto]],Imput[[C. Imp.]:[C. Imp.]],$D362,Imput[[PERIODO Imp.]:[PERIODO Imp.]],BP$9)</f>
        <v>0</v>
      </c>
      <c r="BQ362" s="693">
        <f>SUMIFS(Imput[[Importe Neto]:[Importe Neto]],Imput[[C. Imp.]:[C. Imp.]],$D362,Imput[[PERIODO Imp.]:[PERIODO Imp.]],BQ$9)</f>
        <v>0</v>
      </c>
      <c r="BR362" s="693">
        <f>SUMIFS(Imput[[Importe Neto]:[Importe Neto]],Imput[[C. Imp.]:[C. Imp.]],$D362,Imput[[PERIODO Imp.]:[PERIODO Imp.]],BR$9)</f>
        <v>0</v>
      </c>
      <c r="BS362" s="693">
        <f>SUMIFS(Imput[[Importe Neto]:[Importe Neto]],Imput[[C. Imp.]:[C. Imp.]],$D362,Imput[[PERIODO Imp.]:[PERIODO Imp.]],BS$9)</f>
        <v>0</v>
      </c>
      <c r="BT362" s="693">
        <f>SUMIFS(Imput[[Importe Neto]:[Importe Neto]],Imput[[C. Imp.]:[C. Imp.]],$D362,Imput[[PERIODO Imp.]:[PERIODO Imp.]],BT$9)</f>
        <v>0</v>
      </c>
      <c r="BU362" s="693">
        <f>SUMIFS(Imput[[Importe Neto]:[Importe Neto]],Imput[[C. Imp.]:[C. Imp.]],$D362,Imput[[PERIODO Imp.]:[PERIODO Imp.]],BU$9)</f>
        <v>0</v>
      </c>
      <c r="BV362" s="693">
        <f>SUMIFS(Imput[[Importe Neto]:[Importe Neto]],Imput[[C. Imp.]:[C. Imp.]],$D362,Imput[[PERIODO Imp.]:[PERIODO Imp.]],BV$9)</f>
        <v>0</v>
      </c>
      <c r="BW362" s="693">
        <f>SUMIFS(Imput[[Importe Neto]:[Importe Neto]],Imput[[C. Imp.]:[C. Imp.]],$D362,Imput[[PERIODO Imp.]:[PERIODO Imp.]],BW$9)</f>
        <v>0</v>
      </c>
      <c r="BX362" s="693">
        <f>SUMIFS(Imput[[Importe Neto]:[Importe Neto]],Imput[[C. Imp.]:[C. Imp.]],$D362,Imput[[PERIODO Imp.]:[PERIODO Imp.]],BX$9)</f>
        <v>0</v>
      </c>
      <c r="BY362" s="693">
        <f>SUMIFS(Imput[[Importe Neto]:[Importe Neto]],Imput[[C. Imp.]:[C. Imp.]],$D362,Imput[[PERIODO Imp.]:[PERIODO Imp.]],BY$9)</f>
        <v>0</v>
      </c>
      <c r="BZ362" s="693">
        <f>SUMIFS(Imput[[Importe Neto]:[Importe Neto]],Imput[[C. Imp.]:[C. Imp.]],$D362,Imput[[PERIODO Imp.]:[PERIODO Imp.]],BZ$9)</f>
        <v>0</v>
      </c>
      <c r="CA362" s="693">
        <f>SUMIFS(Imput[[Importe Neto]:[Importe Neto]],Imput[[C. Imp.]:[C. Imp.]],$D362,Imput[[PERIODO Imp.]:[PERIODO Imp.]],CA$9)</f>
        <v>0</v>
      </c>
      <c r="CB362" s="693">
        <f>SUMIFS(Imput[[Importe Neto]:[Importe Neto]],Imput[[C. Imp.]:[C. Imp.]],$D362,Imput[[PERIODO Imp.]:[PERIODO Imp.]],CB$9)</f>
        <v>0</v>
      </c>
      <c r="CC362" s="693">
        <f>SUMIFS(Imput[[Importe Neto]:[Importe Neto]],Imput[[C. Imp.]:[C. Imp.]],$D362,Imput[[PERIODO Imp.]:[PERIODO Imp.]],CC$9)</f>
        <v>0</v>
      </c>
      <c r="CD362" s="693">
        <f>SUMIFS(Imput[[Importe Neto]:[Importe Neto]],Imput[[C. Imp.]:[C. Imp.]],$D362,Imput[[PERIODO Imp.]:[PERIODO Imp.]],CD$9)</f>
        <v>0</v>
      </c>
      <c r="CE362" s="693">
        <f>SUMIFS(Imput[[Importe Neto]:[Importe Neto]],Imput[[C. Imp.]:[C. Imp.]],$D362,Imput[[PERIODO Imp.]:[PERIODO Imp.]],CE$9)</f>
        <v>0</v>
      </c>
      <c r="CF362" s="693">
        <f>SUMIFS(Imput[[Importe Neto]:[Importe Neto]],Imput[[C. Imp.]:[C. Imp.]],$D362,Imput[[PERIODO Imp.]:[PERIODO Imp.]],CF$9)</f>
        <v>0</v>
      </c>
      <c r="CG362" s="693">
        <f>SUMIFS(Imput[[Importe Neto]:[Importe Neto]],Imput[[C. Imp.]:[C. Imp.]],$D362,Imput[[PERIODO Imp.]:[PERIODO Imp.]],CG$9)</f>
        <v>0</v>
      </c>
      <c r="CH362" s="693">
        <f>SUMIFS(Imput[[Importe Neto]:[Importe Neto]],Imput[[C. Imp.]:[C. Imp.]],$D362,Imput[[PERIODO Imp.]:[PERIODO Imp.]],CH$9)</f>
        <v>0</v>
      </c>
      <c r="CI362" s="693">
        <f>SUMIFS(Imput[[Importe Neto]:[Importe Neto]],Imput[[C. Imp.]:[C. Imp.]],$D362,Imput[[PERIODO Imp.]:[PERIODO Imp.]],CI$9)</f>
        <v>0</v>
      </c>
      <c r="CJ362" s="693">
        <f>SUMIFS(Imput[[Importe Neto]:[Importe Neto]],Imput[[C. Imp.]:[C. Imp.]],$D362,Imput[[PERIODO Imp.]:[PERIODO Imp.]],CJ$9)</f>
        <v>0</v>
      </c>
      <c r="CK362" s="693">
        <f>SUMIFS(Imput[[Importe Neto]:[Importe Neto]],Imput[[C. Imp.]:[C. Imp.]],$D362,Imput[[PERIODO Imp.]:[PERIODO Imp.]],CK$9)</f>
        <v>0</v>
      </c>
      <c r="CL362" s="693">
        <f>SUMIFS(Imput[[Importe Neto]:[Importe Neto]],Imput[[C. Imp.]:[C. Imp.]],$D362,Imput[[PERIODO Imp.]:[PERIODO Imp.]],CL$9)</f>
        <v>0</v>
      </c>
      <c r="CM362" s="693">
        <f>SUMIFS(Imput[[Importe Neto]:[Importe Neto]],Imput[[C. Imp.]:[C. Imp.]],$D362,Imput[[PERIODO Imp.]:[PERIODO Imp.]],CM$9)</f>
        <v>0</v>
      </c>
      <c r="CN362" s="693">
        <f>SUMIFS(Imput[[Importe Neto]:[Importe Neto]],Imput[[C. Imp.]:[C. Imp.]],$D362,Imput[[PERIODO Imp.]:[PERIODO Imp.]],CN$9)</f>
        <v>0</v>
      </c>
      <c r="CO362" s="693">
        <f>SUMIFS(Imput[[Importe Neto]:[Importe Neto]],Imput[[C. Imp.]:[C. Imp.]],$D362,Imput[[PERIODO Imp.]:[PERIODO Imp.]],CO$9)</f>
        <v>0</v>
      </c>
      <c r="CP362" s="693">
        <f>SUMIFS(Imput[[Importe Neto]:[Importe Neto]],Imput[[C. Imp.]:[C. Imp.]],$D362,Imput[[PERIODO Imp.]:[PERIODO Imp.]],CP$9)</f>
        <v>0</v>
      </c>
      <c r="CQ362" s="693">
        <f>SUMIFS(Imput[[Importe Neto]:[Importe Neto]],Imput[[C. Imp.]:[C. Imp.]],$D362,Imput[[PERIODO Imp.]:[PERIODO Imp.]],CQ$9)</f>
        <v>0</v>
      </c>
      <c r="CR362" s="693">
        <f>SUMIFS(Imput[[Importe Neto]:[Importe Neto]],Imput[[C. Imp.]:[C. Imp.]],$D362,Imput[[PERIODO Imp.]:[PERIODO Imp.]],CR$9)</f>
        <v>0</v>
      </c>
      <c r="CS362" s="693">
        <f>SUMIFS(Imput[[Importe Neto]:[Importe Neto]],Imput[[C. Imp.]:[C. Imp.]],$D362,Imput[[PERIODO Imp.]:[PERIODO Imp.]],CS$9)</f>
        <v>0</v>
      </c>
      <c r="CT362" s="693">
        <f>SUMIFS(Imput[[Importe Neto]:[Importe Neto]],Imput[[C. Imp.]:[C. Imp.]],$D362,Imput[[PERIODO Imp.]:[PERIODO Imp.]],CT$9)</f>
        <v>0</v>
      </c>
      <c r="CU362" s="693">
        <f>SUMIFS(Imput[[Importe Neto]:[Importe Neto]],Imput[[C. Imp.]:[C. Imp.]],$D362,Imput[[PERIODO Imp.]:[PERIODO Imp.]],CU$9)</f>
        <v>0</v>
      </c>
      <c r="CV362" s="693">
        <f>SUMIFS(Imput[[Importe Neto]:[Importe Neto]],Imput[[C. Imp.]:[C. Imp.]],$D362,Imput[[PERIODO Imp.]:[PERIODO Imp.]],CV$9)</f>
        <v>0</v>
      </c>
      <c r="CW362" s="693">
        <f>SUMIFS(Imput[[Importe Neto]:[Importe Neto]],Imput[[C. Imp.]:[C. Imp.]],$D362,Imput[[PERIODO Imp.]:[PERIODO Imp.]],CW$9)</f>
        <v>0</v>
      </c>
      <c r="CX362" s="693">
        <f>SUMIFS(Imput[[Importe Neto]:[Importe Neto]],Imput[[C. Imp.]:[C. Imp.]],$D362,Imput[[PERIODO Imp.]:[PERIODO Imp.]],CX$9)</f>
        <v>0</v>
      </c>
      <c r="CY362" s="693">
        <f>SUMIFS(Imput[[Importe Neto]:[Importe Neto]],Imput[[C. Imp.]:[C. Imp.]],$D362,Imput[[PERIODO Imp.]:[PERIODO Imp.]],CY$9)</f>
        <v>0</v>
      </c>
      <c r="CZ362" s="693">
        <f>SUMIFS(Imput[[Importe Neto]:[Importe Neto]],Imput[[C. Imp.]:[C. Imp.]],$D362,Imput[[PERIODO Imp.]:[PERIODO Imp.]],CZ$9)</f>
        <v>0</v>
      </c>
      <c r="DA362" s="693">
        <f>SUMIFS(Imput[[Importe Neto]:[Importe Neto]],Imput[[C. Imp.]:[C. Imp.]],$D362,Imput[[PERIODO Imp.]:[PERIODO Imp.]],DA$9)</f>
        <v>0</v>
      </c>
      <c r="DB362" s="693">
        <f>SUMIFS(Imput[[Importe Neto]:[Importe Neto]],Imput[[C. Imp.]:[C. Imp.]],$D362,Imput[[PERIODO Imp.]:[PERIODO Imp.]],DB$9)</f>
        <v>0</v>
      </c>
      <c r="DC362" s="693">
        <f>SUMIFS(Imput[[Importe Neto]:[Importe Neto]],Imput[[C. Imp.]:[C. Imp.]],$D362,Imput[[PERIODO Imp.]:[PERIODO Imp.]],DC$9)</f>
        <v>0</v>
      </c>
      <c r="DD362" s="693">
        <f>SUMIFS(Imput[[Importe Neto]:[Importe Neto]],Imput[[C. Imp.]:[C. Imp.]],$D362,Imput[[PERIODO Imp.]:[PERIODO Imp.]],DD$9)</f>
        <v>0</v>
      </c>
      <c r="DE362" s="693">
        <f>SUMIFS(Imput[[Importe Neto]:[Importe Neto]],Imput[[C. Imp.]:[C. Imp.]],$D362,Imput[[PERIODO Imp.]:[PERIODO Imp.]],DE$9)</f>
        <v>0</v>
      </c>
      <c r="DF362" s="693">
        <f>SUMIFS(Imput[[Importe Neto]:[Importe Neto]],Imput[[C. Imp.]:[C. Imp.]],$D362,Imput[[PERIODO Imp.]:[PERIODO Imp.]],DF$9)</f>
        <v>0</v>
      </c>
      <c r="DG362" s="693">
        <f>SUMIFS(Imput[[Importe Neto]:[Importe Neto]],Imput[[C. Imp.]:[C. Imp.]],$D362,Imput[[PERIODO Imp.]:[PERIODO Imp.]],DG$9)</f>
        <v>0</v>
      </c>
      <c r="DH362" s="694">
        <f>SUMIFS(Imput[[Importe Neto]:[Importe Neto]],Imput[[C. Imp.]:[C. Imp.]],$D362,Imput[[PERIODO Imp.]:[PERIODO Imp.]],DH$9)</f>
        <v>0</v>
      </c>
    </row>
    <row r="363" spans="1:112" s="649" customFormat="1" outlineLevel="1" x14ac:dyDescent="0.3">
      <c r="A363" s="652" t="str">
        <f t="shared" si="154"/>
        <v>Imprimir</v>
      </c>
      <c r="B363" s="652"/>
      <c r="C363" s="685"/>
      <c r="D363" s="686" t="s">
        <v>2423</v>
      </c>
      <c r="E363" s="686" t="s">
        <v>491</v>
      </c>
      <c r="F363" s="720"/>
      <c r="G363" s="688">
        <v>24</v>
      </c>
      <c r="H363" s="689">
        <f>Producción!G34*4.86864</f>
        <v>160.66512</v>
      </c>
      <c r="I363" s="851">
        <f t="shared" si="155"/>
        <v>1</v>
      </c>
      <c r="J363" s="850">
        <f t="shared" si="156"/>
        <v>3855.96288</v>
      </c>
      <c r="K363" s="667"/>
      <c r="L363" s="858">
        <v>0.3</v>
      </c>
      <c r="M363" s="859"/>
      <c r="N363" s="859"/>
      <c r="O363" s="859"/>
      <c r="P363" s="859">
        <v>0.5</v>
      </c>
      <c r="Q363" s="859"/>
      <c r="R363" s="859"/>
      <c r="S363" s="859"/>
      <c r="T363" s="859"/>
      <c r="U363" s="859"/>
      <c r="V363" s="859"/>
      <c r="W363" s="859">
        <v>0.2</v>
      </c>
      <c r="X363" s="859"/>
      <c r="Y363" s="859"/>
      <c r="Z363" s="860"/>
      <c r="AA363" s="860"/>
      <c r="AB363" s="860"/>
      <c r="AC363" s="860"/>
      <c r="AD363" s="860"/>
      <c r="AE363" s="860"/>
      <c r="AF363" s="860"/>
      <c r="AG363" s="860"/>
      <c r="AH363" s="860"/>
      <c r="AI363" s="860"/>
      <c r="AJ363" s="860"/>
      <c r="AK363" s="860"/>
      <c r="AL363" s="860"/>
      <c r="AM363" s="860"/>
      <c r="AN363" s="860"/>
      <c r="AO363" s="860"/>
      <c r="AP363" s="860"/>
      <c r="AQ363" s="860"/>
      <c r="AR363" s="860"/>
      <c r="AS363" s="860"/>
      <c r="AT363" s="860"/>
      <c r="AU363" s="860"/>
      <c r="AV363" s="860"/>
      <c r="AW363" s="860"/>
      <c r="AX363" s="860"/>
      <c r="AY363" s="860"/>
      <c r="AZ363" s="860"/>
      <c r="BA363" s="860"/>
      <c r="BB363" s="860"/>
      <c r="BC363" s="860"/>
      <c r="BD363" s="860"/>
      <c r="BE363" s="860"/>
      <c r="BF363" s="860"/>
      <c r="BG363" s="860"/>
      <c r="BH363" s="668"/>
      <c r="BI363" s="667"/>
      <c r="BJ363" s="690">
        <f t="shared" si="157"/>
        <v>0.81231115654999941</v>
      </c>
      <c r="BK363" s="691">
        <f t="shared" si="158"/>
        <v>3132.2416666666668</v>
      </c>
      <c r="BL363" s="654"/>
      <c r="BM363" s="692">
        <f>SUMIFS(Imput[[Importe Neto]:[Importe Neto]],Imput[[C. Imp.]:[C. Imp.]],$D363,Imput[[PERIODO Imp.]:[PERIODO Imp.]],BM$9)</f>
        <v>0</v>
      </c>
      <c r="BN363" s="693">
        <f>SUMIFS(Imput[[Importe Neto]:[Importe Neto]],Imput[[C. Imp.]:[C. Imp.]],$D363,Imput[[PERIODO Imp.]:[PERIODO Imp.]],BN$9)</f>
        <v>1076.8666666666668</v>
      </c>
      <c r="BO363" s="693">
        <f>SUMIFS(Imput[[Importe Neto]:[Importe Neto]],Imput[[C. Imp.]:[C. Imp.]],$D363,Imput[[PERIODO Imp.]:[PERIODO Imp.]],BO$9)</f>
        <v>1249.9000000000001</v>
      </c>
      <c r="BP363" s="693">
        <f>SUMIFS(Imput[[Importe Neto]:[Importe Neto]],Imput[[C. Imp.]:[C. Imp.]],$D363,Imput[[PERIODO Imp.]:[PERIODO Imp.]],BP$9)</f>
        <v>349.20640000000003</v>
      </c>
      <c r="BQ363" s="693">
        <f>SUMIFS(Imput[[Importe Neto]:[Importe Neto]],Imput[[C. Imp.]:[C. Imp.]],$D363,Imput[[PERIODO Imp.]:[PERIODO Imp.]],BQ$9)</f>
        <v>341.27779999999996</v>
      </c>
      <c r="BR363" s="693">
        <f>SUMIFS(Imput[[Importe Neto]:[Importe Neto]],Imput[[C. Imp.]:[C. Imp.]],$D363,Imput[[PERIODO Imp.]:[PERIODO Imp.]],BR$9)</f>
        <v>114.99079999999999</v>
      </c>
      <c r="BS363" s="693">
        <f>SUMIFS(Imput[[Importe Neto]:[Importe Neto]],Imput[[C. Imp.]:[C. Imp.]],$D363,Imput[[PERIODO Imp.]:[PERIODO Imp.]],BS$9)</f>
        <v>0</v>
      </c>
      <c r="BT363" s="693">
        <f>SUMIFS(Imput[[Importe Neto]:[Importe Neto]],Imput[[C. Imp.]:[C. Imp.]],$D363,Imput[[PERIODO Imp.]:[PERIODO Imp.]],BT$9)</f>
        <v>0</v>
      </c>
      <c r="BU363" s="693">
        <f>SUMIFS(Imput[[Importe Neto]:[Importe Neto]],Imput[[C. Imp.]:[C. Imp.]],$D363,Imput[[PERIODO Imp.]:[PERIODO Imp.]],BU$9)</f>
        <v>0</v>
      </c>
      <c r="BV363" s="693">
        <f>SUMIFS(Imput[[Importe Neto]:[Importe Neto]],Imput[[C. Imp.]:[C. Imp.]],$D363,Imput[[PERIODO Imp.]:[PERIODO Imp.]],BV$9)</f>
        <v>0</v>
      </c>
      <c r="BW363" s="693">
        <f>SUMIFS(Imput[[Importe Neto]:[Importe Neto]],Imput[[C. Imp.]:[C. Imp.]],$D363,Imput[[PERIODO Imp.]:[PERIODO Imp.]],BW$9)</f>
        <v>0</v>
      </c>
      <c r="BX363" s="693">
        <f>SUMIFS(Imput[[Importe Neto]:[Importe Neto]],Imput[[C. Imp.]:[C. Imp.]],$D363,Imput[[PERIODO Imp.]:[PERIODO Imp.]],BX$9)</f>
        <v>0</v>
      </c>
      <c r="BY363" s="693">
        <f>SUMIFS(Imput[[Importe Neto]:[Importe Neto]],Imput[[C. Imp.]:[C. Imp.]],$D363,Imput[[PERIODO Imp.]:[PERIODO Imp.]],BY$9)</f>
        <v>0</v>
      </c>
      <c r="BZ363" s="693">
        <f>SUMIFS(Imput[[Importe Neto]:[Importe Neto]],Imput[[C. Imp.]:[C. Imp.]],$D363,Imput[[PERIODO Imp.]:[PERIODO Imp.]],BZ$9)</f>
        <v>0</v>
      </c>
      <c r="CA363" s="693">
        <f>SUMIFS(Imput[[Importe Neto]:[Importe Neto]],Imput[[C. Imp.]:[C. Imp.]],$D363,Imput[[PERIODO Imp.]:[PERIODO Imp.]],CA$9)</f>
        <v>0</v>
      </c>
      <c r="CB363" s="693">
        <f>SUMIFS(Imput[[Importe Neto]:[Importe Neto]],Imput[[C. Imp.]:[C. Imp.]],$D363,Imput[[PERIODO Imp.]:[PERIODO Imp.]],CB$9)</f>
        <v>0</v>
      </c>
      <c r="CC363" s="693">
        <f>SUMIFS(Imput[[Importe Neto]:[Importe Neto]],Imput[[C. Imp.]:[C. Imp.]],$D363,Imput[[PERIODO Imp.]:[PERIODO Imp.]],CC$9)</f>
        <v>0</v>
      </c>
      <c r="CD363" s="693">
        <f>SUMIFS(Imput[[Importe Neto]:[Importe Neto]],Imput[[C. Imp.]:[C. Imp.]],$D363,Imput[[PERIODO Imp.]:[PERIODO Imp.]],CD$9)</f>
        <v>0</v>
      </c>
      <c r="CE363" s="693">
        <f>SUMIFS(Imput[[Importe Neto]:[Importe Neto]],Imput[[C. Imp.]:[C. Imp.]],$D363,Imput[[PERIODO Imp.]:[PERIODO Imp.]],CE$9)</f>
        <v>0</v>
      </c>
      <c r="CF363" s="693">
        <f>SUMIFS(Imput[[Importe Neto]:[Importe Neto]],Imput[[C. Imp.]:[C. Imp.]],$D363,Imput[[PERIODO Imp.]:[PERIODO Imp.]],CF$9)</f>
        <v>0</v>
      </c>
      <c r="CG363" s="693">
        <f>SUMIFS(Imput[[Importe Neto]:[Importe Neto]],Imput[[C. Imp.]:[C. Imp.]],$D363,Imput[[PERIODO Imp.]:[PERIODO Imp.]],CG$9)</f>
        <v>0</v>
      </c>
      <c r="CH363" s="693">
        <f>SUMIFS(Imput[[Importe Neto]:[Importe Neto]],Imput[[C. Imp.]:[C. Imp.]],$D363,Imput[[PERIODO Imp.]:[PERIODO Imp.]],CH$9)</f>
        <v>0</v>
      </c>
      <c r="CI363" s="693">
        <f>SUMIFS(Imput[[Importe Neto]:[Importe Neto]],Imput[[C. Imp.]:[C. Imp.]],$D363,Imput[[PERIODO Imp.]:[PERIODO Imp.]],CI$9)</f>
        <v>0</v>
      </c>
      <c r="CJ363" s="693">
        <f>SUMIFS(Imput[[Importe Neto]:[Importe Neto]],Imput[[C. Imp.]:[C. Imp.]],$D363,Imput[[PERIODO Imp.]:[PERIODO Imp.]],CJ$9)</f>
        <v>0</v>
      </c>
      <c r="CK363" s="693">
        <f>SUMIFS(Imput[[Importe Neto]:[Importe Neto]],Imput[[C. Imp.]:[C. Imp.]],$D363,Imput[[PERIODO Imp.]:[PERIODO Imp.]],CK$9)</f>
        <v>0</v>
      </c>
      <c r="CL363" s="693">
        <f>SUMIFS(Imput[[Importe Neto]:[Importe Neto]],Imput[[C. Imp.]:[C. Imp.]],$D363,Imput[[PERIODO Imp.]:[PERIODO Imp.]],CL$9)</f>
        <v>0</v>
      </c>
      <c r="CM363" s="693">
        <f>SUMIFS(Imput[[Importe Neto]:[Importe Neto]],Imput[[C. Imp.]:[C. Imp.]],$D363,Imput[[PERIODO Imp.]:[PERIODO Imp.]],CM$9)</f>
        <v>0</v>
      </c>
      <c r="CN363" s="693">
        <f>SUMIFS(Imput[[Importe Neto]:[Importe Neto]],Imput[[C. Imp.]:[C. Imp.]],$D363,Imput[[PERIODO Imp.]:[PERIODO Imp.]],CN$9)</f>
        <v>0</v>
      </c>
      <c r="CO363" s="693">
        <f>SUMIFS(Imput[[Importe Neto]:[Importe Neto]],Imput[[C. Imp.]:[C. Imp.]],$D363,Imput[[PERIODO Imp.]:[PERIODO Imp.]],CO$9)</f>
        <v>0</v>
      </c>
      <c r="CP363" s="693">
        <f>SUMIFS(Imput[[Importe Neto]:[Importe Neto]],Imput[[C. Imp.]:[C. Imp.]],$D363,Imput[[PERIODO Imp.]:[PERIODO Imp.]],CP$9)</f>
        <v>0</v>
      </c>
      <c r="CQ363" s="693">
        <f>SUMIFS(Imput[[Importe Neto]:[Importe Neto]],Imput[[C. Imp.]:[C. Imp.]],$D363,Imput[[PERIODO Imp.]:[PERIODO Imp.]],CQ$9)</f>
        <v>0</v>
      </c>
      <c r="CR363" s="693">
        <f>SUMIFS(Imput[[Importe Neto]:[Importe Neto]],Imput[[C. Imp.]:[C. Imp.]],$D363,Imput[[PERIODO Imp.]:[PERIODO Imp.]],CR$9)</f>
        <v>0</v>
      </c>
      <c r="CS363" s="693">
        <f>SUMIFS(Imput[[Importe Neto]:[Importe Neto]],Imput[[C. Imp.]:[C. Imp.]],$D363,Imput[[PERIODO Imp.]:[PERIODO Imp.]],CS$9)</f>
        <v>0</v>
      </c>
      <c r="CT363" s="693">
        <f>SUMIFS(Imput[[Importe Neto]:[Importe Neto]],Imput[[C. Imp.]:[C. Imp.]],$D363,Imput[[PERIODO Imp.]:[PERIODO Imp.]],CT$9)</f>
        <v>0</v>
      </c>
      <c r="CU363" s="693">
        <f>SUMIFS(Imput[[Importe Neto]:[Importe Neto]],Imput[[C. Imp.]:[C. Imp.]],$D363,Imput[[PERIODO Imp.]:[PERIODO Imp.]],CU$9)</f>
        <v>0</v>
      </c>
      <c r="CV363" s="693">
        <f>SUMIFS(Imput[[Importe Neto]:[Importe Neto]],Imput[[C. Imp.]:[C. Imp.]],$D363,Imput[[PERIODO Imp.]:[PERIODO Imp.]],CV$9)</f>
        <v>0</v>
      </c>
      <c r="CW363" s="693">
        <f>SUMIFS(Imput[[Importe Neto]:[Importe Neto]],Imput[[C. Imp.]:[C. Imp.]],$D363,Imput[[PERIODO Imp.]:[PERIODO Imp.]],CW$9)</f>
        <v>0</v>
      </c>
      <c r="CX363" s="693">
        <f>SUMIFS(Imput[[Importe Neto]:[Importe Neto]],Imput[[C. Imp.]:[C. Imp.]],$D363,Imput[[PERIODO Imp.]:[PERIODO Imp.]],CX$9)</f>
        <v>0</v>
      </c>
      <c r="CY363" s="693">
        <f>SUMIFS(Imput[[Importe Neto]:[Importe Neto]],Imput[[C. Imp.]:[C. Imp.]],$D363,Imput[[PERIODO Imp.]:[PERIODO Imp.]],CY$9)</f>
        <v>0</v>
      </c>
      <c r="CZ363" s="693">
        <f>SUMIFS(Imput[[Importe Neto]:[Importe Neto]],Imput[[C. Imp.]:[C. Imp.]],$D363,Imput[[PERIODO Imp.]:[PERIODO Imp.]],CZ$9)</f>
        <v>0</v>
      </c>
      <c r="DA363" s="693">
        <f>SUMIFS(Imput[[Importe Neto]:[Importe Neto]],Imput[[C. Imp.]:[C. Imp.]],$D363,Imput[[PERIODO Imp.]:[PERIODO Imp.]],DA$9)</f>
        <v>0</v>
      </c>
      <c r="DB363" s="693">
        <f>SUMIFS(Imput[[Importe Neto]:[Importe Neto]],Imput[[C. Imp.]:[C. Imp.]],$D363,Imput[[PERIODO Imp.]:[PERIODO Imp.]],DB$9)</f>
        <v>0</v>
      </c>
      <c r="DC363" s="693">
        <f>SUMIFS(Imput[[Importe Neto]:[Importe Neto]],Imput[[C. Imp.]:[C. Imp.]],$D363,Imput[[PERIODO Imp.]:[PERIODO Imp.]],DC$9)</f>
        <v>0</v>
      </c>
      <c r="DD363" s="693">
        <f>SUMIFS(Imput[[Importe Neto]:[Importe Neto]],Imput[[C. Imp.]:[C. Imp.]],$D363,Imput[[PERIODO Imp.]:[PERIODO Imp.]],DD$9)</f>
        <v>0</v>
      </c>
      <c r="DE363" s="693">
        <f>SUMIFS(Imput[[Importe Neto]:[Importe Neto]],Imput[[C. Imp.]:[C. Imp.]],$D363,Imput[[PERIODO Imp.]:[PERIODO Imp.]],DE$9)</f>
        <v>0</v>
      </c>
      <c r="DF363" s="693">
        <f>SUMIFS(Imput[[Importe Neto]:[Importe Neto]],Imput[[C. Imp.]:[C. Imp.]],$D363,Imput[[PERIODO Imp.]:[PERIODO Imp.]],DF$9)</f>
        <v>0</v>
      </c>
      <c r="DG363" s="693">
        <f>SUMIFS(Imput[[Importe Neto]:[Importe Neto]],Imput[[C. Imp.]:[C. Imp.]],$D363,Imput[[PERIODO Imp.]:[PERIODO Imp.]],DG$9)</f>
        <v>0</v>
      </c>
      <c r="DH363" s="694">
        <f>SUMIFS(Imput[[Importe Neto]:[Importe Neto]],Imput[[C. Imp.]:[C. Imp.]],$D363,Imput[[PERIODO Imp.]:[PERIODO Imp.]],DH$9)</f>
        <v>0</v>
      </c>
    </row>
    <row r="364" spans="1:112" s="649" customFormat="1" outlineLevel="1" x14ac:dyDescent="0.3">
      <c r="A364" s="652" t="str">
        <f t="shared" si="154"/>
        <v>Imprimir</v>
      </c>
      <c r="B364" s="652"/>
      <c r="C364" s="685"/>
      <c r="D364" s="686" t="s">
        <v>2424</v>
      </c>
      <c r="E364" s="686" t="s">
        <v>492</v>
      </c>
      <c r="F364" s="720"/>
      <c r="G364" s="688">
        <v>600</v>
      </c>
      <c r="H364" s="689">
        <f>Producción!G34*0.01936</f>
        <v>0.63888</v>
      </c>
      <c r="I364" s="851">
        <f t="shared" si="155"/>
        <v>1</v>
      </c>
      <c r="J364" s="850">
        <f t="shared" si="156"/>
        <v>383.32799999999997</v>
      </c>
      <c r="K364" s="667"/>
      <c r="L364" s="858">
        <v>1</v>
      </c>
      <c r="M364" s="859"/>
      <c r="N364" s="859"/>
      <c r="O364" s="859"/>
      <c r="P364" s="859"/>
      <c r="Q364" s="859"/>
      <c r="R364" s="859"/>
      <c r="S364" s="859"/>
      <c r="T364" s="859"/>
      <c r="U364" s="859"/>
      <c r="V364" s="859"/>
      <c r="W364" s="859"/>
      <c r="X364" s="859"/>
      <c r="Y364" s="859"/>
      <c r="Z364" s="860"/>
      <c r="AA364" s="860"/>
      <c r="AB364" s="860"/>
      <c r="AC364" s="860"/>
      <c r="AD364" s="860"/>
      <c r="AE364" s="860"/>
      <c r="AF364" s="860"/>
      <c r="AG364" s="860"/>
      <c r="AH364" s="860"/>
      <c r="AI364" s="860"/>
      <c r="AJ364" s="860"/>
      <c r="AK364" s="860"/>
      <c r="AL364" s="860"/>
      <c r="AM364" s="860"/>
      <c r="AN364" s="860"/>
      <c r="AO364" s="860"/>
      <c r="AP364" s="860"/>
      <c r="AQ364" s="860"/>
      <c r="AR364" s="860"/>
      <c r="AS364" s="860"/>
      <c r="AT364" s="860"/>
      <c r="AU364" s="860"/>
      <c r="AV364" s="860"/>
      <c r="AW364" s="860"/>
      <c r="AX364" s="860"/>
      <c r="AY364" s="860"/>
      <c r="AZ364" s="860"/>
      <c r="BA364" s="860"/>
      <c r="BB364" s="860"/>
      <c r="BC364" s="860"/>
      <c r="BD364" s="860"/>
      <c r="BE364" s="860"/>
      <c r="BF364" s="860"/>
      <c r="BG364" s="860"/>
      <c r="BH364" s="668"/>
      <c r="BI364" s="667"/>
      <c r="BJ364" s="690">
        <f t="shared" si="157"/>
        <v>0</v>
      </c>
      <c r="BK364" s="691">
        <f t="shared" si="158"/>
        <v>0</v>
      </c>
      <c r="BL364" s="654"/>
      <c r="BM364" s="692">
        <f>SUMIFS(Imput[[Importe Neto]:[Importe Neto]],Imput[[C. Imp.]:[C. Imp.]],$D364,Imput[[PERIODO Imp.]:[PERIODO Imp.]],BM$9)</f>
        <v>0</v>
      </c>
      <c r="BN364" s="693">
        <f>SUMIFS(Imput[[Importe Neto]:[Importe Neto]],Imput[[C. Imp.]:[C. Imp.]],$D364,Imput[[PERIODO Imp.]:[PERIODO Imp.]],BN$9)</f>
        <v>0</v>
      </c>
      <c r="BO364" s="693">
        <f>SUMIFS(Imput[[Importe Neto]:[Importe Neto]],Imput[[C. Imp.]:[C. Imp.]],$D364,Imput[[PERIODO Imp.]:[PERIODO Imp.]],BO$9)</f>
        <v>0</v>
      </c>
      <c r="BP364" s="693">
        <f>SUMIFS(Imput[[Importe Neto]:[Importe Neto]],Imput[[C. Imp.]:[C. Imp.]],$D364,Imput[[PERIODO Imp.]:[PERIODO Imp.]],BP$9)</f>
        <v>0</v>
      </c>
      <c r="BQ364" s="693">
        <f>SUMIFS(Imput[[Importe Neto]:[Importe Neto]],Imput[[C. Imp.]:[C. Imp.]],$D364,Imput[[PERIODO Imp.]:[PERIODO Imp.]],BQ$9)</f>
        <v>0</v>
      </c>
      <c r="BR364" s="693">
        <f>SUMIFS(Imput[[Importe Neto]:[Importe Neto]],Imput[[C. Imp.]:[C. Imp.]],$D364,Imput[[PERIODO Imp.]:[PERIODO Imp.]],BR$9)</f>
        <v>0</v>
      </c>
      <c r="BS364" s="693">
        <f>SUMIFS(Imput[[Importe Neto]:[Importe Neto]],Imput[[C. Imp.]:[C. Imp.]],$D364,Imput[[PERIODO Imp.]:[PERIODO Imp.]],BS$9)</f>
        <v>0</v>
      </c>
      <c r="BT364" s="693">
        <f>SUMIFS(Imput[[Importe Neto]:[Importe Neto]],Imput[[C. Imp.]:[C. Imp.]],$D364,Imput[[PERIODO Imp.]:[PERIODO Imp.]],BT$9)</f>
        <v>0</v>
      </c>
      <c r="BU364" s="693">
        <f>SUMIFS(Imput[[Importe Neto]:[Importe Neto]],Imput[[C. Imp.]:[C. Imp.]],$D364,Imput[[PERIODO Imp.]:[PERIODO Imp.]],BU$9)</f>
        <v>0</v>
      </c>
      <c r="BV364" s="693">
        <f>SUMIFS(Imput[[Importe Neto]:[Importe Neto]],Imput[[C. Imp.]:[C. Imp.]],$D364,Imput[[PERIODO Imp.]:[PERIODO Imp.]],BV$9)</f>
        <v>0</v>
      </c>
      <c r="BW364" s="693">
        <f>SUMIFS(Imput[[Importe Neto]:[Importe Neto]],Imput[[C. Imp.]:[C. Imp.]],$D364,Imput[[PERIODO Imp.]:[PERIODO Imp.]],BW$9)</f>
        <v>0</v>
      </c>
      <c r="BX364" s="693">
        <f>SUMIFS(Imput[[Importe Neto]:[Importe Neto]],Imput[[C. Imp.]:[C. Imp.]],$D364,Imput[[PERIODO Imp.]:[PERIODO Imp.]],BX$9)</f>
        <v>0</v>
      </c>
      <c r="BY364" s="693">
        <f>SUMIFS(Imput[[Importe Neto]:[Importe Neto]],Imput[[C. Imp.]:[C. Imp.]],$D364,Imput[[PERIODO Imp.]:[PERIODO Imp.]],BY$9)</f>
        <v>0</v>
      </c>
      <c r="BZ364" s="693">
        <f>SUMIFS(Imput[[Importe Neto]:[Importe Neto]],Imput[[C. Imp.]:[C. Imp.]],$D364,Imput[[PERIODO Imp.]:[PERIODO Imp.]],BZ$9)</f>
        <v>0</v>
      </c>
      <c r="CA364" s="693">
        <f>SUMIFS(Imput[[Importe Neto]:[Importe Neto]],Imput[[C. Imp.]:[C. Imp.]],$D364,Imput[[PERIODO Imp.]:[PERIODO Imp.]],CA$9)</f>
        <v>0</v>
      </c>
      <c r="CB364" s="693">
        <f>SUMIFS(Imput[[Importe Neto]:[Importe Neto]],Imput[[C. Imp.]:[C. Imp.]],$D364,Imput[[PERIODO Imp.]:[PERIODO Imp.]],CB$9)</f>
        <v>0</v>
      </c>
      <c r="CC364" s="693">
        <f>SUMIFS(Imput[[Importe Neto]:[Importe Neto]],Imput[[C. Imp.]:[C. Imp.]],$D364,Imput[[PERIODO Imp.]:[PERIODO Imp.]],CC$9)</f>
        <v>0</v>
      </c>
      <c r="CD364" s="693">
        <f>SUMIFS(Imput[[Importe Neto]:[Importe Neto]],Imput[[C. Imp.]:[C. Imp.]],$D364,Imput[[PERIODO Imp.]:[PERIODO Imp.]],CD$9)</f>
        <v>0</v>
      </c>
      <c r="CE364" s="693">
        <f>SUMIFS(Imput[[Importe Neto]:[Importe Neto]],Imput[[C. Imp.]:[C. Imp.]],$D364,Imput[[PERIODO Imp.]:[PERIODO Imp.]],CE$9)</f>
        <v>0</v>
      </c>
      <c r="CF364" s="693">
        <f>SUMIFS(Imput[[Importe Neto]:[Importe Neto]],Imput[[C. Imp.]:[C. Imp.]],$D364,Imput[[PERIODO Imp.]:[PERIODO Imp.]],CF$9)</f>
        <v>0</v>
      </c>
      <c r="CG364" s="693">
        <f>SUMIFS(Imput[[Importe Neto]:[Importe Neto]],Imput[[C. Imp.]:[C. Imp.]],$D364,Imput[[PERIODO Imp.]:[PERIODO Imp.]],CG$9)</f>
        <v>0</v>
      </c>
      <c r="CH364" s="693">
        <f>SUMIFS(Imput[[Importe Neto]:[Importe Neto]],Imput[[C. Imp.]:[C. Imp.]],$D364,Imput[[PERIODO Imp.]:[PERIODO Imp.]],CH$9)</f>
        <v>0</v>
      </c>
      <c r="CI364" s="693">
        <f>SUMIFS(Imput[[Importe Neto]:[Importe Neto]],Imput[[C. Imp.]:[C. Imp.]],$D364,Imput[[PERIODO Imp.]:[PERIODO Imp.]],CI$9)</f>
        <v>0</v>
      </c>
      <c r="CJ364" s="693">
        <f>SUMIFS(Imput[[Importe Neto]:[Importe Neto]],Imput[[C. Imp.]:[C. Imp.]],$D364,Imput[[PERIODO Imp.]:[PERIODO Imp.]],CJ$9)</f>
        <v>0</v>
      </c>
      <c r="CK364" s="693">
        <f>SUMIFS(Imput[[Importe Neto]:[Importe Neto]],Imput[[C. Imp.]:[C. Imp.]],$D364,Imput[[PERIODO Imp.]:[PERIODO Imp.]],CK$9)</f>
        <v>0</v>
      </c>
      <c r="CL364" s="693">
        <f>SUMIFS(Imput[[Importe Neto]:[Importe Neto]],Imput[[C. Imp.]:[C. Imp.]],$D364,Imput[[PERIODO Imp.]:[PERIODO Imp.]],CL$9)</f>
        <v>0</v>
      </c>
      <c r="CM364" s="693">
        <f>SUMIFS(Imput[[Importe Neto]:[Importe Neto]],Imput[[C. Imp.]:[C. Imp.]],$D364,Imput[[PERIODO Imp.]:[PERIODO Imp.]],CM$9)</f>
        <v>0</v>
      </c>
      <c r="CN364" s="693">
        <f>SUMIFS(Imput[[Importe Neto]:[Importe Neto]],Imput[[C. Imp.]:[C. Imp.]],$D364,Imput[[PERIODO Imp.]:[PERIODO Imp.]],CN$9)</f>
        <v>0</v>
      </c>
      <c r="CO364" s="693">
        <f>SUMIFS(Imput[[Importe Neto]:[Importe Neto]],Imput[[C. Imp.]:[C. Imp.]],$D364,Imput[[PERIODO Imp.]:[PERIODO Imp.]],CO$9)</f>
        <v>0</v>
      </c>
      <c r="CP364" s="693">
        <f>SUMIFS(Imput[[Importe Neto]:[Importe Neto]],Imput[[C. Imp.]:[C. Imp.]],$D364,Imput[[PERIODO Imp.]:[PERIODO Imp.]],CP$9)</f>
        <v>0</v>
      </c>
      <c r="CQ364" s="693">
        <f>SUMIFS(Imput[[Importe Neto]:[Importe Neto]],Imput[[C. Imp.]:[C. Imp.]],$D364,Imput[[PERIODO Imp.]:[PERIODO Imp.]],CQ$9)</f>
        <v>0</v>
      </c>
      <c r="CR364" s="693">
        <f>SUMIFS(Imput[[Importe Neto]:[Importe Neto]],Imput[[C. Imp.]:[C. Imp.]],$D364,Imput[[PERIODO Imp.]:[PERIODO Imp.]],CR$9)</f>
        <v>0</v>
      </c>
      <c r="CS364" s="693">
        <f>SUMIFS(Imput[[Importe Neto]:[Importe Neto]],Imput[[C. Imp.]:[C. Imp.]],$D364,Imput[[PERIODO Imp.]:[PERIODO Imp.]],CS$9)</f>
        <v>0</v>
      </c>
      <c r="CT364" s="693">
        <f>SUMIFS(Imput[[Importe Neto]:[Importe Neto]],Imput[[C. Imp.]:[C. Imp.]],$D364,Imput[[PERIODO Imp.]:[PERIODO Imp.]],CT$9)</f>
        <v>0</v>
      </c>
      <c r="CU364" s="693">
        <f>SUMIFS(Imput[[Importe Neto]:[Importe Neto]],Imput[[C. Imp.]:[C. Imp.]],$D364,Imput[[PERIODO Imp.]:[PERIODO Imp.]],CU$9)</f>
        <v>0</v>
      </c>
      <c r="CV364" s="693">
        <f>SUMIFS(Imput[[Importe Neto]:[Importe Neto]],Imput[[C. Imp.]:[C. Imp.]],$D364,Imput[[PERIODO Imp.]:[PERIODO Imp.]],CV$9)</f>
        <v>0</v>
      </c>
      <c r="CW364" s="693">
        <f>SUMIFS(Imput[[Importe Neto]:[Importe Neto]],Imput[[C. Imp.]:[C. Imp.]],$D364,Imput[[PERIODO Imp.]:[PERIODO Imp.]],CW$9)</f>
        <v>0</v>
      </c>
      <c r="CX364" s="693">
        <f>SUMIFS(Imput[[Importe Neto]:[Importe Neto]],Imput[[C. Imp.]:[C. Imp.]],$D364,Imput[[PERIODO Imp.]:[PERIODO Imp.]],CX$9)</f>
        <v>0</v>
      </c>
      <c r="CY364" s="693">
        <f>SUMIFS(Imput[[Importe Neto]:[Importe Neto]],Imput[[C. Imp.]:[C. Imp.]],$D364,Imput[[PERIODO Imp.]:[PERIODO Imp.]],CY$9)</f>
        <v>0</v>
      </c>
      <c r="CZ364" s="693">
        <f>SUMIFS(Imput[[Importe Neto]:[Importe Neto]],Imput[[C. Imp.]:[C. Imp.]],$D364,Imput[[PERIODO Imp.]:[PERIODO Imp.]],CZ$9)</f>
        <v>0</v>
      </c>
      <c r="DA364" s="693">
        <f>SUMIFS(Imput[[Importe Neto]:[Importe Neto]],Imput[[C. Imp.]:[C. Imp.]],$D364,Imput[[PERIODO Imp.]:[PERIODO Imp.]],DA$9)</f>
        <v>0</v>
      </c>
      <c r="DB364" s="693">
        <f>SUMIFS(Imput[[Importe Neto]:[Importe Neto]],Imput[[C. Imp.]:[C. Imp.]],$D364,Imput[[PERIODO Imp.]:[PERIODO Imp.]],DB$9)</f>
        <v>0</v>
      </c>
      <c r="DC364" s="693">
        <f>SUMIFS(Imput[[Importe Neto]:[Importe Neto]],Imput[[C. Imp.]:[C. Imp.]],$D364,Imput[[PERIODO Imp.]:[PERIODO Imp.]],DC$9)</f>
        <v>0</v>
      </c>
      <c r="DD364" s="693">
        <f>SUMIFS(Imput[[Importe Neto]:[Importe Neto]],Imput[[C. Imp.]:[C. Imp.]],$D364,Imput[[PERIODO Imp.]:[PERIODO Imp.]],DD$9)</f>
        <v>0</v>
      </c>
      <c r="DE364" s="693">
        <f>SUMIFS(Imput[[Importe Neto]:[Importe Neto]],Imput[[C. Imp.]:[C. Imp.]],$D364,Imput[[PERIODO Imp.]:[PERIODO Imp.]],DE$9)</f>
        <v>0</v>
      </c>
      <c r="DF364" s="693">
        <f>SUMIFS(Imput[[Importe Neto]:[Importe Neto]],Imput[[C. Imp.]:[C. Imp.]],$D364,Imput[[PERIODO Imp.]:[PERIODO Imp.]],DF$9)</f>
        <v>0</v>
      </c>
      <c r="DG364" s="693">
        <f>SUMIFS(Imput[[Importe Neto]:[Importe Neto]],Imput[[C. Imp.]:[C. Imp.]],$D364,Imput[[PERIODO Imp.]:[PERIODO Imp.]],DG$9)</f>
        <v>0</v>
      </c>
      <c r="DH364" s="694">
        <f>SUMIFS(Imput[[Importe Neto]:[Importe Neto]],Imput[[C. Imp.]:[C. Imp.]],$D364,Imput[[PERIODO Imp.]:[PERIODO Imp.]],DH$9)</f>
        <v>0</v>
      </c>
    </row>
    <row r="365" spans="1:112" s="649" customFormat="1" outlineLevel="1" x14ac:dyDescent="0.3">
      <c r="A365" s="652" t="str">
        <f t="shared" si="154"/>
        <v>Imprimir</v>
      </c>
      <c r="B365" s="652"/>
      <c r="C365" s="685"/>
      <c r="D365" s="686" t="s">
        <v>2425</v>
      </c>
      <c r="E365" s="686" t="s">
        <v>493</v>
      </c>
      <c r="F365" s="720"/>
      <c r="G365" s="688">
        <v>4.74</v>
      </c>
      <c r="H365" s="689">
        <f>Producción!G34*8.228</f>
        <v>271.524</v>
      </c>
      <c r="I365" s="851">
        <f t="shared" si="155"/>
        <v>1</v>
      </c>
      <c r="J365" s="850">
        <f t="shared" si="156"/>
        <v>1287.02376</v>
      </c>
      <c r="K365" s="667"/>
      <c r="L365" s="858">
        <v>1</v>
      </c>
      <c r="M365" s="859"/>
      <c r="N365" s="859"/>
      <c r="O365" s="859"/>
      <c r="P365" s="859"/>
      <c r="Q365" s="859"/>
      <c r="R365" s="859"/>
      <c r="S365" s="859"/>
      <c r="T365" s="859"/>
      <c r="U365" s="859"/>
      <c r="V365" s="859"/>
      <c r="W365" s="859"/>
      <c r="X365" s="859"/>
      <c r="Y365" s="859"/>
      <c r="Z365" s="860"/>
      <c r="AA365" s="860"/>
      <c r="AB365" s="860"/>
      <c r="AC365" s="860"/>
      <c r="AD365" s="860"/>
      <c r="AE365" s="860"/>
      <c r="AF365" s="860"/>
      <c r="AG365" s="860"/>
      <c r="AH365" s="860"/>
      <c r="AI365" s="860"/>
      <c r="AJ365" s="860"/>
      <c r="AK365" s="860"/>
      <c r="AL365" s="860"/>
      <c r="AM365" s="860"/>
      <c r="AN365" s="860"/>
      <c r="AO365" s="860"/>
      <c r="AP365" s="860"/>
      <c r="AQ365" s="860"/>
      <c r="AR365" s="860"/>
      <c r="AS365" s="860"/>
      <c r="AT365" s="860"/>
      <c r="AU365" s="860"/>
      <c r="AV365" s="860"/>
      <c r="AW365" s="860"/>
      <c r="AX365" s="860"/>
      <c r="AY365" s="860"/>
      <c r="AZ365" s="860"/>
      <c r="BA365" s="860"/>
      <c r="BB365" s="860"/>
      <c r="BC365" s="860"/>
      <c r="BD365" s="860"/>
      <c r="BE365" s="860"/>
      <c r="BF365" s="860"/>
      <c r="BG365" s="860"/>
      <c r="BH365" s="668"/>
      <c r="BI365" s="667"/>
      <c r="BJ365" s="690">
        <f t="shared" si="157"/>
        <v>0</v>
      </c>
      <c r="BK365" s="691">
        <f t="shared" si="158"/>
        <v>0</v>
      </c>
      <c r="BL365" s="654"/>
      <c r="BM365" s="692">
        <f>SUMIFS(Imput[[Importe Neto]:[Importe Neto]],Imput[[C. Imp.]:[C. Imp.]],$D365,Imput[[PERIODO Imp.]:[PERIODO Imp.]],BM$9)</f>
        <v>0</v>
      </c>
      <c r="BN365" s="693">
        <f>SUMIFS(Imput[[Importe Neto]:[Importe Neto]],Imput[[C. Imp.]:[C. Imp.]],$D365,Imput[[PERIODO Imp.]:[PERIODO Imp.]],BN$9)</f>
        <v>0</v>
      </c>
      <c r="BO365" s="693">
        <f>SUMIFS(Imput[[Importe Neto]:[Importe Neto]],Imput[[C. Imp.]:[C. Imp.]],$D365,Imput[[PERIODO Imp.]:[PERIODO Imp.]],BO$9)</f>
        <v>0</v>
      </c>
      <c r="BP365" s="693">
        <f>SUMIFS(Imput[[Importe Neto]:[Importe Neto]],Imput[[C. Imp.]:[C. Imp.]],$D365,Imput[[PERIODO Imp.]:[PERIODO Imp.]],BP$9)</f>
        <v>0</v>
      </c>
      <c r="BQ365" s="693">
        <f>SUMIFS(Imput[[Importe Neto]:[Importe Neto]],Imput[[C. Imp.]:[C. Imp.]],$D365,Imput[[PERIODO Imp.]:[PERIODO Imp.]],BQ$9)</f>
        <v>0</v>
      </c>
      <c r="BR365" s="693">
        <f>SUMIFS(Imput[[Importe Neto]:[Importe Neto]],Imput[[C. Imp.]:[C. Imp.]],$D365,Imput[[PERIODO Imp.]:[PERIODO Imp.]],BR$9)</f>
        <v>0</v>
      </c>
      <c r="BS365" s="693">
        <f>SUMIFS(Imput[[Importe Neto]:[Importe Neto]],Imput[[C. Imp.]:[C. Imp.]],$D365,Imput[[PERIODO Imp.]:[PERIODO Imp.]],BS$9)</f>
        <v>0</v>
      </c>
      <c r="BT365" s="693">
        <f>SUMIFS(Imput[[Importe Neto]:[Importe Neto]],Imput[[C. Imp.]:[C. Imp.]],$D365,Imput[[PERIODO Imp.]:[PERIODO Imp.]],BT$9)</f>
        <v>0</v>
      </c>
      <c r="BU365" s="693">
        <f>SUMIFS(Imput[[Importe Neto]:[Importe Neto]],Imput[[C. Imp.]:[C. Imp.]],$D365,Imput[[PERIODO Imp.]:[PERIODO Imp.]],BU$9)</f>
        <v>0</v>
      </c>
      <c r="BV365" s="693">
        <f>SUMIFS(Imput[[Importe Neto]:[Importe Neto]],Imput[[C. Imp.]:[C. Imp.]],$D365,Imput[[PERIODO Imp.]:[PERIODO Imp.]],BV$9)</f>
        <v>0</v>
      </c>
      <c r="BW365" s="693">
        <f>SUMIFS(Imput[[Importe Neto]:[Importe Neto]],Imput[[C. Imp.]:[C. Imp.]],$D365,Imput[[PERIODO Imp.]:[PERIODO Imp.]],BW$9)</f>
        <v>0</v>
      </c>
      <c r="BX365" s="693">
        <f>SUMIFS(Imput[[Importe Neto]:[Importe Neto]],Imput[[C. Imp.]:[C. Imp.]],$D365,Imput[[PERIODO Imp.]:[PERIODO Imp.]],BX$9)</f>
        <v>0</v>
      </c>
      <c r="BY365" s="693">
        <f>SUMIFS(Imput[[Importe Neto]:[Importe Neto]],Imput[[C. Imp.]:[C. Imp.]],$D365,Imput[[PERIODO Imp.]:[PERIODO Imp.]],BY$9)</f>
        <v>0</v>
      </c>
      <c r="BZ365" s="693">
        <f>SUMIFS(Imput[[Importe Neto]:[Importe Neto]],Imput[[C. Imp.]:[C. Imp.]],$D365,Imput[[PERIODO Imp.]:[PERIODO Imp.]],BZ$9)</f>
        <v>0</v>
      </c>
      <c r="CA365" s="693">
        <f>SUMIFS(Imput[[Importe Neto]:[Importe Neto]],Imput[[C. Imp.]:[C. Imp.]],$D365,Imput[[PERIODO Imp.]:[PERIODO Imp.]],CA$9)</f>
        <v>0</v>
      </c>
      <c r="CB365" s="693">
        <f>SUMIFS(Imput[[Importe Neto]:[Importe Neto]],Imput[[C. Imp.]:[C. Imp.]],$D365,Imput[[PERIODO Imp.]:[PERIODO Imp.]],CB$9)</f>
        <v>0</v>
      </c>
      <c r="CC365" s="693">
        <f>SUMIFS(Imput[[Importe Neto]:[Importe Neto]],Imput[[C. Imp.]:[C. Imp.]],$D365,Imput[[PERIODO Imp.]:[PERIODO Imp.]],CC$9)</f>
        <v>0</v>
      </c>
      <c r="CD365" s="693">
        <f>SUMIFS(Imput[[Importe Neto]:[Importe Neto]],Imput[[C. Imp.]:[C. Imp.]],$D365,Imput[[PERIODO Imp.]:[PERIODO Imp.]],CD$9)</f>
        <v>0</v>
      </c>
      <c r="CE365" s="693">
        <f>SUMIFS(Imput[[Importe Neto]:[Importe Neto]],Imput[[C. Imp.]:[C. Imp.]],$D365,Imput[[PERIODO Imp.]:[PERIODO Imp.]],CE$9)</f>
        <v>0</v>
      </c>
      <c r="CF365" s="693">
        <f>SUMIFS(Imput[[Importe Neto]:[Importe Neto]],Imput[[C. Imp.]:[C. Imp.]],$D365,Imput[[PERIODO Imp.]:[PERIODO Imp.]],CF$9)</f>
        <v>0</v>
      </c>
      <c r="CG365" s="693">
        <f>SUMIFS(Imput[[Importe Neto]:[Importe Neto]],Imput[[C. Imp.]:[C. Imp.]],$D365,Imput[[PERIODO Imp.]:[PERIODO Imp.]],CG$9)</f>
        <v>0</v>
      </c>
      <c r="CH365" s="693">
        <f>SUMIFS(Imput[[Importe Neto]:[Importe Neto]],Imput[[C. Imp.]:[C. Imp.]],$D365,Imput[[PERIODO Imp.]:[PERIODO Imp.]],CH$9)</f>
        <v>0</v>
      </c>
      <c r="CI365" s="693">
        <f>SUMIFS(Imput[[Importe Neto]:[Importe Neto]],Imput[[C. Imp.]:[C. Imp.]],$D365,Imput[[PERIODO Imp.]:[PERIODO Imp.]],CI$9)</f>
        <v>0</v>
      </c>
      <c r="CJ365" s="693">
        <f>SUMIFS(Imput[[Importe Neto]:[Importe Neto]],Imput[[C. Imp.]:[C. Imp.]],$D365,Imput[[PERIODO Imp.]:[PERIODO Imp.]],CJ$9)</f>
        <v>0</v>
      </c>
      <c r="CK365" s="693">
        <f>SUMIFS(Imput[[Importe Neto]:[Importe Neto]],Imput[[C. Imp.]:[C. Imp.]],$D365,Imput[[PERIODO Imp.]:[PERIODO Imp.]],CK$9)</f>
        <v>0</v>
      </c>
      <c r="CL365" s="693">
        <f>SUMIFS(Imput[[Importe Neto]:[Importe Neto]],Imput[[C. Imp.]:[C. Imp.]],$D365,Imput[[PERIODO Imp.]:[PERIODO Imp.]],CL$9)</f>
        <v>0</v>
      </c>
      <c r="CM365" s="693">
        <f>SUMIFS(Imput[[Importe Neto]:[Importe Neto]],Imput[[C. Imp.]:[C. Imp.]],$D365,Imput[[PERIODO Imp.]:[PERIODO Imp.]],CM$9)</f>
        <v>0</v>
      </c>
      <c r="CN365" s="693">
        <f>SUMIFS(Imput[[Importe Neto]:[Importe Neto]],Imput[[C. Imp.]:[C. Imp.]],$D365,Imput[[PERIODO Imp.]:[PERIODO Imp.]],CN$9)</f>
        <v>0</v>
      </c>
      <c r="CO365" s="693">
        <f>SUMIFS(Imput[[Importe Neto]:[Importe Neto]],Imput[[C. Imp.]:[C. Imp.]],$D365,Imput[[PERIODO Imp.]:[PERIODO Imp.]],CO$9)</f>
        <v>0</v>
      </c>
      <c r="CP365" s="693">
        <f>SUMIFS(Imput[[Importe Neto]:[Importe Neto]],Imput[[C. Imp.]:[C. Imp.]],$D365,Imput[[PERIODO Imp.]:[PERIODO Imp.]],CP$9)</f>
        <v>0</v>
      </c>
      <c r="CQ365" s="693">
        <f>SUMIFS(Imput[[Importe Neto]:[Importe Neto]],Imput[[C. Imp.]:[C. Imp.]],$D365,Imput[[PERIODO Imp.]:[PERIODO Imp.]],CQ$9)</f>
        <v>0</v>
      </c>
      <c r="CR365" s="693">
        <f>SUMIFS(Imput[[Importe Neto]:[Importe Neto]],Imput[[C. Imp.]:[C. Imp.]],$D365,Imput[[PERIODO Imp.]:[PERIODO Imp.]],CR$9)</f>
        <v>0</v>
      </c>
      <c r="CS365" s="693">
        <f>SUMIFS(Imput[[Importe Neto]:[Importe Neto]],Imput[[C. Imp.]:[C. Imp.]],$D365,Imput[[PERIODO Imp.]:[PERIODO Imp.]],CS$9)</f>
        <v>0</v>
      </c>
      <c r="CT365" s="693">
        <f>SUMIFS(Imput[[Importe Neto]:[Importe Neto]],Imput[[C. Imp.]:[C. Imp.]],$D365,Imput[[PERIODO Imp.]:[PERIODO Imp.]],CT$9)</f>
        <v>0</v>
      </c>
      <c r="CU365" s="693">
        <f>SUMIFS(Imput[[Importe Neto]:[Importe Neto]],Imput[[C. Imp.]:[C. Imp.]],$D365,Imput[[PERIODO Imp.]:[PERIODO Imp.]],CU$9)</f>
        <v>0</v>
      </c>
      <c r="CV365" s="693">
        <f>SUMIFS(Imput[[Importe Neto]:[Importe Neto]],Imput[[C. Imp.]:[C. Imp.]],$D365,Imput[[PERIODO Imp.]:[PERIODO Imp.]],CV$9)</f>
        <v>0</v>
      </c>
      <c r="CW365" s="693">
        <f>SUMIFS(Imput[[Importe Neto]:[Importe Neto]],Imput[[C. Imp.]:[C. Imp.]],$D365,Imput[[PERIODO Imp.]:[PERIODO Imp.]],CW$9)</f>
        <v>0</v>
      </c>
      <c r="CX365" s="693">
        <f>SUMIFS(Imput[[Importe Neto]:[Importe Neto]],Imput[[C. Imp.]:[C. Imp.]],$D365,Imput[[PERIODO Imp.]:[PERIODO Imp.]],CX$9)</f>
        <v>0</v>
      </c>
      <c r="CY365" s="693">
        <f>SUMIFS(Imput[[Importe Neto]:[Importe Neto]],Imput[[C. Imp.]:[C. Imp.]],$D365,Imput[[PERIODO Imp.]:[PERIODO Imp.]],CY$9)</f>
        <v>0</v>
      </c>
      <c r="CZ365" s="693">
        <f>SUMIFS(Imput[[Importe Neto]:[Importe Neto]],Imput[[C. Imp.]:[C. Imp.]],$D365,Imput[[PERIODO Imp.]:[PERIODO Imp.]],CZ$9)</f>
        <v>0</v>
      </c>
      <c r="DA365" s="693">
        <f>SUMIFS(Imput[[Importe Neto]:[Importe Neto]],Imput[[C. Imp.]:[C. Imp.]],$D365,Imput[[PERIODO Imp.]:[PERIODO Imp.]],DA$9)</f>
        <v>0</v>
      </c>
      <c r="DB365" s="693">
        <f>SUMIFS(Imput[[Importe Neto]:[Importe Neto]],Imput[[C. Imp.]:[C. Imp.]],$D365,Imput[[PERIODO Imp.]:[PERIODO Imp.]],DB$9)</f>
        <v>0</v>
      </c>
      <c r="DC365" s="693">
        <f>SUMIFS(Imput[[Importe Neto]:[Importe Neto]],Imput[[C. Imp.]:[C. Imp.]],$D365,Imput[[PERIODO Imp.]:[PERIODO Imp.]],DC$9)</f>
        <v>0</v>
      </c>
      <c r="DD365" s="693">
        <f>SUMIFS(Imput[[Importe Neto]:[Importe Neto]],Imput[[C. Imp.]:[C. Imp.]],$D365,Imput[[PERIODO Imp.]:[PERIODO Imp.]],DD$9)</f>
        <v>0</v>
      </c>
      <c r="DE365" s="693">
        <f>SUMIFS(Imput[[Importe Neto]:[Importe Neto]],Imput[[C. Imp.]:[C. Imp.]],$D365,Imput[[PERIODO Imp.]:[PERIODO Imp.]],DE$9)</f>
        <v>0</v>
      </c>
      <c r="DF365" s="693">
        <f>SUMIFS(Imput[[Importe Neto]:[Importe Neto]],Imput[[C. Imp.]:[C. Imp.]],$D365,Imput[[PERIODO Imp.]:[PERIODO Imp.]],DF$9)</f>
        <v>0</v>
      </c>
      <c r="DG365" s="693">
        <f>SUMIFS(Imput[[Importe Neto]:[Importe Neto]],Imput[[C. Imp.]:[C. Imp.]],$D365,Imput[[PERIODO Imp.]:[PERIODO Imp.]],DG$9)</f>
        <v>0</v>
      </c>
      <c r="DH365" s="694">
        <f>SUMIFS(Imput[[Importe Neto]:[Importe Neto]],Imput[[C. Imp.]:[C. Imp.]],$D365,Imput[[PERIODO Imp.]:[PERIODO Imp.]],DH$9)</f>
        <v>0</v>
      </c>
    </row>
    <row r="366" spans="1:112" s="649" customFormat="1" outlineLevel="1" x14ac:dyDescent="0.3">
      <c r="A366" s="652" t="str">
        <f t="shared" si="154"/>
        <v>Imprimir</v>
      </c>
      <c r="B366" s="652"/>
      <c r="C366" s="685"/>
      <c r="D366" s="686" t="s">
        <v>2426</v>
      </c>
      <c r="E366" s="686" t="s">
        <v>494</v>
      </c>
      <c r="F366" s="720"/>
      <c r="G366" s="688">
        <v>2803</v>
      </c>
      <c r="H366" s="689">
        <f>Producción!G34*1.155</f>
        <v>38.115000000000002</v>
      </c>
      <c r="I366" s="851">
        <f t="shared" si="155"/>
        <v>1</v>
      </c>
      <c r="J366" s="850">
        <f t="shared" si="156"/>
        <v>106836.345</v>
      </c>
      <c r="K366" s="667"/>
      <c r="L366" s="858">
        <v>0.5</v>
      </c>
      <c r="M366" s="859">
        <v>3.5714285714285712E-2</v>
      </c>
      <c r="N366" s="859">
        <v>3.5714285714285712E-2</v>
      </c>
      <c r="O366" s="859">
        <v>3.5714285714285712E-2</v>
      </c>
      <c r="P366" s="859">
        <v>3.5714285714285712E-2</v>
      </c>
      <c r="Q366" s="859">
        <v>3.5714285714285712E-2</v>
      </c>
      <c r="R366" s="859">
        <v>3.5714285714285712E-2</v>
      </c>
      <c r="S366" s="859">
        <v>3.5714285714285712E-2</v>
      </c>
      <c r="T366" s="859">
        <v>3.5714285714285712E-2</v>
      </c>
      <c r="U366" s="859">
        <v>3.5714285714285712E-2</v>
      </c>
      <c r="V366" s="859">
        <v>3.5714285714285712E-2</v>
      </c>
      <c r="W366" s="859">
        <v>3.5714285714285712E-2</v>
      </c>
      <c r="X366" s="859">
        <v>3.5714285714285712E-2</v>
      </c>
      <c r="Y366" s="859">
        <v>3.5714285714285712E-2</v>
      </c>
      <c r="Z366" s="860">
        <v>3.5714285714285712E-2</v>
      </c>
      <c r="AA366" s="860"/>
      <c r="AB366" s="860"/>
      <c r="AC366" s="860"/>
      <c r="AD366" s="860"/>
      <c r="AE366" s="860"/>
      <c r="AF366" s="860"/>
      <c r="AG366" s="860"/>
      <c r="AH366" s="860"/>
      <c r="AI366" s="860"/>
      <c r="AJ366" s="860"/>
      <c r="AK366" s="860"/>
      <c r="AL366" s="860"/>
      <c r="AM366" s="860"/>
      <c r="AN366" s="860"/>
      <c r="AO366" s="860"/>
      <c r="AP366" s="860"/>
      <c r="AQ366" s="860"/>
      <c r="AR366" s="860"/>
      <c r="AS366" s="860"/>
      <c r="AT366" s="860"/>
      <c r="AU366" s="860"/>
      <c r="AV366" s="860"/>
      <c r="AW366" s="860"/>
      <c r="AX366" s="860"/>
      <c r="AY366" s="860"/>
      <c r="AZ366" s="860"/>
      <c r="BA366" s="860"/>
      <c r="BB366" s="860"/>
      <c r="BC366" s="860"/>
      <c r="BD366" s="860"/>
      <c r="BE366" s="860"/>
      <c r="BF366" s="860"/>
      <c r="BG366" s="860"/>
      <c r="BH366" s="668"/>
      <c r="BI366" s="667"/>
      <c r="BJ366" s="690">
        <f t="shared" si="157"/>
        <v>1.285109068063625</v>
      </c>
      <c r="BK366" s="691">
        <f t="shared" si="158"/>
        <v>137296.35575827392</v>
      </c>
      <c r="BL366" s="654"/>
      <c r="BM366" s="692">
        <f>SUMIFS(Imput[[Importe Neto]:[Importe Neto]],Imput[[C. Imp.]:[C. Imp.]],$D366,Imput[[PERIODO Imp.]:[PERIODO Imp.]],BM$9)</f>
        <v>0</v>
      </c>
      <c r="BN366" s="693">
        <f>SUMIFS(Imput[[Importe Neto]:[Importe Neto]],Imput[[C. Imp.]:[C. Imp.]],$D366,Imput[[PERIODO Imp.]:[PERIODO Imp.]],BN$9)</f>
        <v>0</v>
      </c>
      <c r="BO366" s="693">
        <f>SUMIFS(Imput[[Importe Neto]:[Importe Neto]],Imput[[C. Imp.]:[C. Imp.]],$D366,Imput[[PERIODO Imp.]:[PERIODO Imp.]],BO$9)</f>
        <v>15138</v>
      </c>
      <c r="BP366" s="693">
        <f>SUMIFS(Imput[[Importe Neto]:[Importe Neto]],Imput[[C. Imp.]:[C. Imp.]],$D366,Imput[[PERIODO Imp.]:[PERIODO Imp.]],BP$9)</f>
        <v>121675.74935827391</v>
      </c>
      <c r="BQ366" s="693">
        <f>SUMIFS(Imput[[Importe Neto]:[Importe Neto]],Imput[[C. Imp.]:[C. Imp.]],$D366,Imput[[PERIODO Imp.]:[PERIODO Imp.]],BQ$9)</f>
        <v>77.604000000000013</v>
      </c>
      <c r="BR366" s="693">
        <f>SUMIFS(Imput[[Importe Neto]:[Importe Neto]],Imput[[C. Imp.]:[C. Imp.]],$D366,Imput[[PERIODO Imp.]:[PERIODO Imp.]],BR$9)</f>
        <v>405.00240000000002</v>
      </c>
      <c r="BS366" s="693">
        <f>SUMIFS(Imput[[Importe Neto]:[Importe Neto]],Imput[[C. Imp.]:[C. Imp.]],$D366,Imput[[PERIODO Imp.]:[PERIODO Imp.]],BS$9)</f>
        <v>0</v>
      </c>
      <c r="BT366" s="693">
        <f>SUMIFS(Imput[[Importe Neto]:[Importe Neto]],Imput[[C. Imp.]:[C. Imp.]],$D366,Imput[[PERIODO Imp.]:[PERIODO Imp.]],BT$9)</f>
        <v>0</v>
      </c>
      <c r="BU366" s="693">
        <f>SUMIFS(Imput[[Importe Neto]:[Importe Neto]],Imput[[C. Imp.]:[C. Imp.]],$D366,Imput[[PERIODO Imp.]:[PERIODO Imp.]],BU$9)</f>
        <v>0</v>
      </c>
      <c r="BV366" s="693">
        <f>SUMIFS(Imput[[Importe Neto]:[Importe Neto]],Imput[[C. Imp.]:[C. Imp.]],$D366,Imput[[PERIODO Imp.]:[PERIODO Imp.]],BV$9)</f>
        <v>0</v>
      </c>
      <c r="BW366" s="693">
        <f>SUMIFS(Imput[[Importe Neto]:[Importe Neto]],Imput[[C. Imp.]:[C. Imp.]],$D366,Imput[[PERIODO Imp.]:[PERIODO Imp.]],BW$9)</f>
        <v>0</v>
      </c>
      <c r="BX366" s="693">
        <f>SUMIFS(Imput[[Importe Neto]:[Importe Neto]],Imput[[C. Imp.]:[C. Imp.]],$D366,Imput[[PERIODO Imp.]:[PERIODO Imp.]],BX$9)</f>
        <v>0</v>
      </c>
      <c r="BY366" s="693">
        <f>SUMIFS(Imput[[Importe Neto]:[Importe Neto]],Imput[[C. Imp.]:[C. Imp.]],$D366,Imput[[PERIODO Imp.]:[PERIODO Imp.]],BY$9)</f>
        <v>0</v>
      </c>
      <c r="BZ366" s="693">
        <f>SUMIFS(Imput[[Importe Neto]:[Importe Neto]],Imput[[C. Imp.]:[C. Imp.]],$D366,Imput[[PERIODO Imp.]:[PERIODO Imp.]],BZ$9)</f>
        <v>0</v>
      </c>
      <c r="CA366" s="693">
        <f>SUMIFS(Imput[[Importe Neto]:[Importe Neto]],Imput[[C. Imp.]:[C. Imp.]],$D366,Imput[[PERIODO Imp.]:[PERIODO Imp.]],CA$9)</f>
        <v>0</v>
      </c>
      <c r="CB366" s="693">
        <f>SUMIFS(Imput[[Importe Neto]:[Importe Neto]],Imput[[C. Imp.]:[C. Imp.]],$D366,Imput[[PERIODO Imp.]:[PERIODO Imp.]],CB$9)</f>
        <v>0</v>
      </c>
      <c r="CC366" s="693">
        <f>SUMIFS(Imput[[Importe Neto]:[Importe Neto]],Imput[[C. Imp.]:[C. Imp.]],$D366,Imput[[PERIODO Imp.]:[PERIODO Imp.]],CC$9)</f>
        <v>0</v>
      </c>
      <c r="CD366" s="693">
        <f>SUMIFS(Imput[[Importe Neto]:[Importe Neto]],Imput[[C. Imp.]:[C. Imp.]],$D366,Imput[[PERIODO Imp.]:[PERIODO Imp.]],CD$9)</f>
        <v>0</v>
      </c>
      <c r="CE366" s="693">
        <f>SUMIFS(Imput[[Importe Neto]:[Importe Neto]],Imput[[C. Imp.]:[C. Imp.]],$D366,Imput[[PERIODO Imp.]:[PERIODO Imp.]],CE$9)</f>
        <v>0</v>
      </c>
      <c r="CF366" s="693">
        <f>SUMIFS(Imput[[Importe Neto]:[Importe Neto]],Imput[[C. Imp.]:[C. Imp.]],$D366,Imput[[PERIODO Imp.]:[PERIODO Imp.]],CF$9)</f>
        <v>0</v>
      </c>
      <c r="CG366" s="693">
        <f>SUMIFS(Imput[[Importe Neto]:[Importe Neto]],Imput[[C. Imp.]:[C. Imp.]],$D366,Imput[[PERIODO Imp.]:[PERIODO Imp.]],CG$9)</f>
        <v>0</v>
      </c>
      <c r="CH366" s="693">
        <f>SUMIFS(Imput[[Importe Neto]:[Importe Neto]],Imput[[C. Imp.]:[C. Imp.]],$D366,Imput[[PERIODO Imp.]:[PERIODO Imp.]],CH$9)</f>
        <v>0</v>
      </c>
      <c r="CI366" s="693">
        <f>SUMIFS(Imput[[Importe Neto]:[Importe Neto]],Imput[[C. Imp.]:[C. Imp.]],$D366,Imput[[PERIODO Imp.]:[PERIODO Imp.]],CI$9)</f>
        <v>0</v>
      </c>
      <c r="CJ366" s="693">
        <f>SUMIFS(Imput[[Importe Neto]:[Importe Neto]],Imput[[C. Imp.]:[C. Imp.]],$D366,Imput[[PERIODO Imp.]:[PERIODO Imp.]],CJ$9)</f>
        <v>0</v>
      </c>
      <c r="CK366" s="693">
        <f>SUMIFS(Imput[[Importe Neto]:[Importe Neto]],Imput[[C. Imp.]:[C. Imp.]],$D366,Imput[[PERIODO Imp.]:[PERIODO Imp.]],CK$9)</f>
        <v>0</v>
      </c>
      <c r="CL366" s="693">
        <f>SUMIFS(Imput[[Importe Neto]:[Importe Neto]],Imput[[C. Imp.]:[C. Imp.]],$D366,Imput[[PERIODO Imp.]:[PERIODO Imp.]],CL$9)</f>
        <v>0</v>
      </c>
      <c r="CM366" s="693">
        <f>SUMIFS(Imput[[Importe Neto]:[Importe Neto]],Imput[[C. Imp.]:[C. Imp.]],$D366,Imput[[PERIODO Imp.]:[PERIODO Imp.]],CM$9)</f>
        <v>0</v>
      </c>
      <c r="CN366" s="693">
        <f>SUMIFS(Imput[[Importe Neto]:[Importe Neto]],Imput[[C. Imp.]:[C. Imp.]],$D366,Imput[[PERIODO Imp.]:[PERIODO Imp.]],CN$9)</f>
        <v>0</v>
      </c>
      <c r="CO366" s="693">
        <f>SUMIFS(Imput[[Importe Neto]:[Importe Neto]],Imput[[C. Imp.]:[C. Imp.]],$D366,Imput[[PERIODO Imp.]:[PERIODO Imp.]],CO$9)</f>
        <v>0</v>
      </c>
      <c r="CP366" s="693">
        <f>SUMIFS(Imput[[Importe Neto]:[Importe Neto]],Imput[[C. Imp.]:[C. Imp.]],$D366,Imput[[PERIODO Imp.]:[PERIODO Imp.]],CP$9)</f>
        <v>0</v>
      </c>
      <c r="CQ366" s="693">
        <f>SUMIFS(Imput[[Importe Neto]:[Importe Neto]],Imput[[C. Imp.]:[C. Imp.]],$D366,Imput[[PERIODO Imp.]:[PERIODO Imp.]],CQ$9)</f>
        <v>0</v>
      </c>
      <c r="CR366" s="693">
        <f>SUMIFS(Imput[[Importe Neto]:[Importe Neto]],Imput[[C. Imp.]:[C. Imp.]],$D366,Imput[[PERIODO Imp.]:[PERIODO Imp.]],CR$9)</f>
        <v>0</v>
      </c>
      <c r="CS366" s="693">
        <f>SUMIFS(Imput[[Importe Neto]:[Importe Neto]],Imput[[C. Imp.]:[C. Imp.]],$D366,Imput[[PERIODO Imp.]:[PERIODO Imp.]],CS$9)</f>
        <v>0</v>
      </c>
      <c r="CT366" s="693">
        <f>SUMIFS(Imput[[Importe Neto]:[Importe Neto]],Imput[[C. Imp.]:[C. Imp.]],$D366,Imput[[PERIODO Imp.]:[PERIODO Imp.]],CT$9)</f>
        <v>0</v>
      </c>
      <c r="CU366" s="693">
        <f>SUMIFS(Imput[[Importe Neto]:[Importe Neto]],Imput[[C. Imp.]:[C. Imp.]],$D366,Imput[[PERIODO Imp.]:[PERIODO Imp.]],CU$9)</f>
        <v>0</v>
      </c>
      <c r="CV366" s="693">
        <f>SUMIFS(Imput[[Importe Neto]:[Importe Neto]],Imput[[C. Imp.]:[C. Imp.]],$D366,Imput[[PERIODO Imp.]:[PERIODO Imp.]],CV$9)</f>
        <v>0</v>
      </c>
      <c r="CW366" s="693">
        <f>SUMIFS(Imput[[Importe Neto]:[Importe Neto]],Imput[[C. Imp.]:[C. Imp.]],$D366,Imput[[PERIODO Imp.]:[PERIODO Imp.]],CW$9)</f>
        <v>0</v>
      </c>
      <c r="CX366" s="693">
        <f>SUMIFS(Imput[[Importe Neto]:[Importe Neto]],Imput[[C. Imp.]:[C. Imp.]],$D366,Imput[[PERIODO Imp.]:[PERIODO Imp.]],CX$9)</f>
        <v>0</v>
      </c>
      <c r="CY366" s="693">
        <f>SUMIFS(Imput[[Importe Neto]:[Importe Neto]],Imput[[C. Imp.]:[C. Imp.]],$D366,Imput[[PERIODO Imp.]:[PERIODO Imp.]],CY$9)</f>
        <v>0</v>
      </c>
      <c r="CZ366" s="693">
        <f>SUMIFS(Imput[[Importe Neto]:[Importe Neto]],Imput[[C. Imp.]:[C. Imp.]],$D366,Imput[[PERIODO Imp.]:[PERIODO Imp.]],CZ$9)</f>
        <v>0</v>
      </c>
      <c r="DA366" s="693">
        <f>SUMIFS(Imput[[Importe Neto]:[Importe Neto]],Imput[[C. Imp.]:[C. Imp.]],$D366,Imput[[PERIODO Imp.]:[PERIODO Imp.]],DA$9)</f>
        <v>0</v>
      </c>
      <c r="DB366" s="693">
        <f>SUMIFS(Imput[[Importe Neto]:[Importe Neto]],Imput[[C. Imp.]:[C. Imp.]],$D366,Imput[[PERIODO Imp.]:[PERIODO Imp.]],DB$9)</f>
        <v>0</v>
      </c>
      <c r="DC366" s="693">
        <f>SUMIFS(Imput[[Importe Neto]:[Importe Neto]],Imput[[C. Imp.]:[C. Imp.]],$D366,Imput[[PERIODO Imp.]:[PERIODO Imp.]],DC$9)</f>
        <v>0</v>
      </c>
      <c r="DD366" s="693">
        <f>SUMIFS(Imput[[Importe Neto]:[Importe Neto]],Imput[[C. Imp.]:[C. Imp.]],$D366,Imput[[PERIODO Imp.]:[PERIODO Imp.]],DD$9)</f>
        <v>0</v>
      </c>
      <c r="DE366" s="693">
        <f>SUMIFS(Imput[[Importe Neto]:[Importe Neto]],Imput[[C. Imp.]:[C. Imp.]],$D366,Imput[[PERIODO Imp.]:[PERIODO Imp.]],DE$9)</f>
        <v>0</v>
      </c>
      <c r="DF366" s="693">
        <f>SUMIFS(Imput[[Importe Neto]:[Importe Neto]],Imput[[C. Imp.]:[C. Imp.]],$D366,Imput[[PERIODO Imp.]:[PERIODO Imp.]],DF$9)</f>
        <v>0</v>
      </c>
      <c r="DG366" s="693">
        <f>SUMIFS(Imput[[Importe Neto]:[Importe Neto]],Imput[[C. Imp.]:[C. Imp.]],$D366,Imput[[PERIODO Imp.]:[PERIODO Imp.]],DG$9)</f>
        <v>0</v>
      </c>
      <c r="DH366" s="694">
        <f>SUMIFS(Imput[[Importe Neto]:[Importe Neto]],Imput[[C. Imp.]:[C. Imp.]],$D366,Imput[[PERIODO Imp.]:[PERIODO Imp.]],DH$9)</f>
        <v>0</v>
      </c>
    </row>
    <row r="367" spans="1:112" s="649" customFormat="1" outlineLevel="1" x14ac:dyDescent="0.3">
      <c r="A367" s="652" t="str">
        <f t="shared" si="154"/>
        <v>Imprimir</v>
      </c>
      <c r="B367" s="652"/>
      <c r="C367" s="685"/>
      <c r="D367" s="686" t="s">
        <v>2427</v>
      </c>
      <c r="E367" s="686" t="s">
        <v>495</v>
      </c>
      <c r="F367" s="720"/>
      <c r="G367" s="688">
        <v>600</v>
      </c>
      <c r="H367" s="689">
        <f>Producción!G34*0.0242</f>
        <v>0.79859999999999998</v>
      </c>
      <c r="I367" s="851">
        <f t="shared" si="155"/>
        <v>1</v>
      </c>
      <c r="J367" s="850">
        <f t="shared" si="156"/>
        <v>479.15999999999997</v>
      </c>
      <c r="K367" s="667"/>
      <c r="L367" s="858">
        <v>1</v>
      </c>
      <c r="M367" s="859"/>
      <c r="N367" s="859"/>
      <c r="O367" s="859"/>
      <c r="P367" s="859"/>
      <c r="Q367" s="859"/>
      <c r="R367" s="859"/>
      <c r="S367" s="859"/>
      <c r="T367" s="859"/>
      <c r="U367" s="859"/>
      <c r="V367" s="859"/>
      <c r="W367" s="859"/>
      <c r="X367" s="859"/>
      <c r="Y367" s="859"/>
      <c r="Z367" s="860"/>
      <c r="AA367" s="860"/>
      <c r="AB367" s="860"/>
      <c r="AC367" s="860"/>
      <c r="AD367" s="860"/>
      <c r="AE367" s="860"/>
      <c r="AF367" s="860"/>
      <c r="AG367" s="860"/>
      <c r="AH367" s="860"/>
      <c r="AI367" s="860"/>
      <c r="AJ367" s="860"/>
      <c r="AK367" s="860"/>
      <c r="AL367" s="860"/>
      <c r="AM367" s="860"/>
      <c r="AN367" s="860"/>
      <c r="AO367" s="860"/>
      <c r="AP367" s="860"/>
      <c r="AQ367" s="860"/>
      <c r="AR367" s="860"/>
      <c r="AS367" s="860"/>
      <c r="AT367" s="860"/>
      <c r="AU367" s="860"/>
      <c r="AV367" s="860"/>
      <c r="AW367" s="860"/>
      <c r="AX367" s="860"/>
      <c r="AY367" s="860"/>
      <c r="AZ367" s="860"/>
      <c r="BA367" s="860"/>
      <c r="BB367" s="860"/>
      <c r="BC367" s="860"/>
      <c r="BD367" s="860"/>
      <c r="BE367" s="860"/>
      <c r="BF367" s="860"/>
      <c r="BG367" s="860"/>
      <c r="BH367" s="668"/>
      <c r="BI367" s="667"/>
      <c r="BJ367" s="690">
        <f t="shared" si="157"/>
        <v>0</v>
      </c>
      <c r="BK367" s="691">
        <f t="shared" si="158"/>
        <v>0</v>
      </c>
      <c r="BL367" s="654"/>
      <c r="BM367" s="692">
        <f>SUMIFS(Imput[[Importe Neto]:[Importe Neto]],Imput[[C. Imp.]:[C. Imp.]],$D367,Imput[[PERIODO Imp.]:[PERIODO Imp.]],BM$9)</f>
        <v>0</v>
      </c>
      <c r="BN367" s="693">
        <f>SUMIFS(Imput[[Importe Neto]:[Importe Neto]],Imput[[C. Imp.]:[C. Imp.]],$D367,Imput[[PERIODO Imp.]:[PERIODO Imp.]],BN$9)</f>
        <v>0</v>
      </c>
      <c r="BO367" s="693">
        <f>SUMIFS(Imput[[Importe Neto]:[Importe Neto]],Imput[[C. Imp.]:[C. Imp.]],$D367,Imput[[PERIODO Imp.]:[PERIODO Imp.]],BO$9)</f>
        <v>0</v>
      </c>
      <c r="BP367" s="693">
        <f>SUMIFS(Imput[[Importe Neto]:[Importe Neto]],Imput[[C. Imp.]:[C. Imp.]],$D367,Imput[[PERIODO Imp.]:[PERIODO Imp.]],BP$9)</f>
        <v>0</v>
      </c>
      <c r="BQ367" s="693">
        <f>SUMIFS(Imput[[Importe Neto]:[Importe Neto]],Imput[[C. Imp.]:[C. Imp.]],$D367,Imput[[PERIODO Imp.]:[PERIODO Imp.]],BQ$9)</f>
        <v>0</v>
      </c>
      <c r="BR367" s="693">
        <f>SUMIFS(Imput[[Importe Neto]:[Importe Neto]],Imput[[C. Imp.]:[C. Imp.]],$D367,Imput[[PERIODO Imp.]:[PERIODO Imp.]],BR$9)</f>
        <v>0</v>
      </c>
      <c r="BS367" s="693">
        <f>SUMIFS(Imput[[Importe Neto]:[Importe Neto]],Imput[[C. Imp.]:[C. Imp.]],$D367,Imput[[PERIODO Imp.]:[PERIODO Imp.]],BS$9)</f>
        <v>0</v>
      </c>
      <c r="BT367" s="693">
        <f>SUMIFS(Imput[[Importe Neto]:[Importe Neto]],Imput[[C. Imp.]:[C. Imp.]],$D367,Imput[[PERIODO Imp.]:[PERIODO Imp.]],BT$9)</f>
        <v>0</v>
      </c>
      <c r="BU367" s="693">
        <f>SUMIFS(Imput[[Importe Neto]:[Importe Neto]],Imput[[C. Imp.]:[C. Imp.]],$D367,Imput[[PERIODO Imp.]:[PERIODO Imp.]],BU$9)</f>
        <v>0</v>
      </c>
      <c r="BV367" s="693">
        <f>SUMIFS(Imput[[Importe Neto]:[Importe Neto]],Imput[[C. Imp.]:[C. Imp.]],$D367,Imput[[PERIODO Imp.]:[PERIODO Imp.]],BV$9)</f>
        <v>0</v>
      </c>
      <c r="BW367" s="693">
        <f>SUMIFS(Imput[[Importe Neto]:[Importe Neto]],Imput[[C. Imp.]:[C. Imp.]],$D367,Imput[[PERIODO Imp.]:[PERIODO Imp.]],BW$9)</f>
        <v>0</v>
      </c>
      <c r="BX367" s="693">
        <f>SUMIFS(Imput[[Importe Neto]:[Importe Neto]],Imput[[C. Imp.]:[C. Imp.]],$D367,Imput[[PERIODO Imp.]:[PERIODO Imp.]],BX$9)</f>
        <v>0</v>
      </c>
      <c r="BY367" s="693">
        <f>SUMIFS(Imput[[Importe Neto]:[Importe Neto]],Imput[[C. Imp.]:[C. Imp.]],$D367,Imput[[PERIODO Imp.]:[PERIODO Imp.]],BY$9)</f>
        <v>0</v>
      </c>
      <c r="BZ367" s="693">
        <f>SUMIFS(Imput[[Importe Neto]:[Importe Neto]],Imput[[C. Imp.]:[C. Imp.]],$D367,Imput[[PERIODO Imp.]:[PERIODO Imp.]],BZ$9)</f>
        <v>0</v>
      </c>
      <c r="CA367" s="693">
        <f>SUMIFS(Imput[[Importe Neto]:[Importe Neto]],Imput[[C. Imp.]:[C. Imp.]],$D367,Imput[[PERIODO Imp.]:[PERIODO Imp.]],CA$9)</f>
        <v>0</v>
      </c>
      <c r="CB367" s="693">
        <f>SUMIFS(Imput[[Importe Neto]:[Importe Neto]],Imput[[C. Imp.]:[C. Imp.]],$D367,Imput[[PERIODO Imp.]:[PERIODO Imp.]],CB$9)</f>
        <v>0</v>
      </c>
      <c r="CC367" s="693">
        <f>SUMIFS(Imput[[Importe Neto]:[Importe Neto]],Imput[[C. Imp.]:[C. Imp.]],$D367,Imput[[PERIODO Imp.]:[PERIODO Imp.]],CC$9)</f>
        <v>0</v>
      </c>
      <c r="CD367" s="693">
        <f>SUMIFS(Imput[[Importe Neto]:[Importe Neto]],Imput[[C. Imp.]:[C. Imp.]],$D367,Imput[[PERIODO Imp.]:[PERIODO Imp.]],CD$9)</f>
        <v>0</v>
      </c>
      <c r="CE367" s="693">
        <f>SUMIFS(Imput[[Importe Neto]:[Importe Neto]],Imput[[C. Imp.]:[C. Imp.]],$D367,Imput[[PERIODO Imp.]:[PERIODO Imp.]],CE$9)</f>
        <v>0</v>
      </c>
      <c r="CF367" s="693">
        <f>SUMIFS(Imput[[Importe Neto]:[Importe Neto]],Imput[[C. Imp.]:[C. Imp.]],$D367,Imput[[PERIODO Imp.]:[PERIODO Imp.]],CF$9)</f>
        <v>0</v>
      </c>
      <c r="CG367" s="693">
        <f>SUMIFS(Imput[[Importe Neto]:[Importe Neto]],Imput[[C. Imp.]:[C. Imp.]],$D367,Imput[[PERIODO Imp.]:[PERIODO Imp.]],CG$9)</f>
        <v>0</v>
      </c>
      <c r="CH367" s="693">
        <f>SUMIFS(Imput[[Importe Neto]:[Importe Neto]],Imput[[C. Imp.]:[C. Imp.]],$D367,Imput[[PERIODO Imp.]:[PERIODO Imp.]],CH$9)</f>
        <v>0</v>
      </c>
      <c r="CI367" s="693">
        <f>SUMIFS(Imput[[Importe Neto]:[Importe Neto]],Imput[[C. Imp.]:[C. Imp.]],$D367,Imput[[PERIODO Imp.]:[PERIODO Imp.]],CI$9)</f>
        <v>0</v>
      </c>
      <c r="CJ367" s="693">
        <f>SUMIFS(Imput[[Importe Neto]:[Importe Neto]],Imput[[C. Imp.]:[C. Imp.]],$D367,Imput[[PERIODO Imp.]:[PERIODO Imp.]],CJ$9)</f>
        <v>0</v>
      </c>
      <c r="CK367" s="693">
        <f>SUMIFS(Imput[[Importe Neto]:[Importe Neto]],Imput[[C. Imp.]:[C. Imp.]],$D367,Imput[[PERIODO Imp.]:[PERIODO Imp.]],CK$9)</f>
        <v>0</v>
      </c>
      <c r="CL367" s="693">
        <f>SUMIFS(Imput[[Importe Neto]:[Importe Neto]],Imput[[C. Imp.]:[C. Imp.]],$D367,Imput[[PERIODO Imp.]:[PERIODO Imp.]],CL$9)</f>
        <v>0</v>
      </c>
      <c r="CM367" s="693">
        <f>SUMIFS(Imput[[Importe Neto]:[Importe Neto]],Imput[[C. Imp.]:[C. Imp.]],$D367,Imput[[PERIODO Imp.]:[PERIODO Imp.]],CM$9)</f>
        <v>0</v>
      </c>
      <c r="CN367" s="693">
        <f>SUMIFS(Imput[[Importe Neto]:[Importe Neto]],Imput[[C. Imp.]:[C. Imp.]],$D367,Imput[[PERIODO Imp.]:[PERIODO Imp.]],CN$9)</f>
        <v>0</v>
      </c>
      <c r="CO367" s="693">
        <f>SUMIFS(Imput[[Importe Neto]:[Importe Neto]],Imput[[C. Imp.]:[C. Imp.]],$D367,Imput[[PERIODO Imp.]:[PERIODO Imp.]],CO$9)</f>
        <v>0</v>
      </c>
      <c r="CP367" s="693">
        <f>SUMIFS(Imput[[Importe Neto]:[Importe Neto]],Imput[[C. Imp.]:[C. Imp.]],$D367,Imput[[PERIODO Imp.]:[PERIODO Imp.]],CP$9)</f>
        <v>0</v>
      </c>
      <c r="CQ367" s="693">
        <f>SUMIFS(Imput[[Importe Neto]:[Importe Neto]],Imput[[C. Imp.]:[C. Imp.]],$D367,Imput[[PERIODO Imp.]:[PERIODO Imp.]],CQ$9)</f>
        <v>0</v>
      </c>
      <c r="CR367" s="693">
        <f>SUMIFS(Imput[[Importe Neto]:[Importe Neto]],Imput[[C. Imp.]:[C. Imp.]],$D367,Imput[[PERIODO Imp.]:[PERIODO Imp.]],CR$9)</f>
        <v>0</v>
      </c>
      <c r="CS367" s="693">
        <f>SUMIFS(Imput[[Importe Neto]:[Importe Neto]],Imput[[C. Imp.]:[C. Imp.]],$D367,Imput[[PERIODO Imp.]:[PERIODO Imp.]],CS$9)</f>
        <v>0</v>
      </c>
      <c r="CT367" s="693">
        <f>SUMIFS(Imput[[Importe Neto]:[Importe Neto]],Imput[[C. Imp.]:[C. Imp.]],$D367,Imput[[PERIODO Imp.]:[PERIODO Imp.]],CT$9)</f>
        <v>0</v>
      </c>
      <c r="CU367" s="693">
        <f>SUMIFS(Imput[[Importe Neto]:[Importe Neto]],Imput[[C. Imp.]:[C. Imp.]],$D367,Imput[[PERIODO Imp.]:[PERIODO Imp.]],CU$9)</f>
        <v>0</v>
      </c>
      <c r="CV367" s="693">
        <f>SUMIFS(Imput[[Importe Neto]:[Importe Neto]],Imput[[C. Imp.]:[C. Imp.]],$D367,Imput[[PERIODO Imp.]:[PERIODO Imp.]],CV$9)</f>
        <v>0</v>
      </c>
      <c r="CW367" s="693">
        <f>SUMIFS(Imput[[Importe Neto]:[Importe Neto]],Imput[[C. Imp.]:[C. Imp.]],$D367,Imput[[PERIODO Imp.]:[PERIODO Imp.]],CW$9)</f>
        <v>0</v>
      </c>
      <c r="CX367" s="693">
        <f>SUMIFS(Imput[[Importe Neto]:[Importe Neto]],Imput[[C. Imp.]:[C. Imp.]],$D367,Imput[[PERIODO Imp.]:[PERIODO Imp.]],CX$9)</f>
        <v>0</v>
      </c>
      <c r="CY367" s="693">
        <f>SUMIFS(Imput[[Importe Neto]:[Importe Neto]],Imput[[C. Imp.]:[C. Imp.]],$D367,Imput[[PERIODO Imp.]:[PERIODO Imp.]],CY$9)</f>
        <v>0</v>
      </c>
      <c r="CZ367" s="693">
        <f>SUMIFS(Imput[[Importe Neto]:[Importe Neto]],Imput[[C. Imp.]:[C. Imp.]],$D367,Imput[[PERIODO Imp.]:[PERIODO Imp.]],CZ$9)</f>
        <v>0</v>
      </c>
      <c r="DA367" s="693">
        <f>SUMIFS(Imput[[Importe Neto]:[Importe Neto]],Imput[[C. Imp.]:[C. Imp.]],$D367,Imput[[PERIODO Imp.]:[PERIODO Imp.]],DA$9)</f>
        <v>0</v>
      </c>
      <c r="DB367" s="693">
        <f>SUMIFS(Imput[[Importe Neto]:[Importe Neto]],Imput[[C. Imp.]:[C. Imp.]],$D367,Imput[[PERIODO Imp.]:[PERIODO Imp.]],DB$9)</f>
        <v>0</v>
      </c>
      <c r="DC367" s="693">
        <f>SUMIFS(Imput[[Importe Neto]:[Importe Neto]],Imput[[C. Imp.]:[C. Imp.]],$D367,Imput[[PERIODO Imp.]:[PERIODO Imp.]],DC$9)</f>
        <v>0</v>
      </c>
      <c r="DD367" s="693">
        <f>SUMIFS(Imput[[Importe Neto]:[Importe Neto]],Imput[[C. Imp.]:[C. Imp.]],$D367,Imput[[PERIODO Imp.]:[PERIODO Imp.]],DD$9)</f>
        <v>0</v>
      </c>
      <c r="DE367" s="693">
        <f>SUMIFS(Imput[[Importe Neto]:[Importe Neto]],Imput[[C. Imp.]:[C. Imp.]],$D367,Imput[[PERIODO Imp.]:[PERIODO Imp.]],DE$9)</f>
        <v>0</v>
      </c>
      <c r="DF367" s="693">
        <f>SUMIFS(Imput[[Importe Neto]:[Importe Neto]],Imput[[C. Imp.]:[C. Imp.]],$D367,Imput[[PERIODO Imp.]:[PERIODO Imp.]],DF$9)</f>
        <v>0</v>
      </c>
      <c r="DG367" s="693">
        <f>SUMIFS(Imput[[Importe Neto]:[Importe Neto]],Imput[[C. Imp.]:[C. Imp.]],$D367,Imput[[PERIODO Imp.]:[PERIODO Imp.]],DG$9)</f>
        <v>0</v>
      </c>
      <c r="DH367" s="694">
        <f>SUMIFS(Imput[[Importe Neto]:[Importe Neto]],Imput[[C. Imp.]:[C. Imp.]],$D367,Imput[[PERIODO Imp.]:[PERIODO Imp.]],DH$9)</f>
        <v>0</v>
      </c>
    </row>
    <row r="368" spans="1:112" s="649" customFormat="1" outlineLevel="1" x14ac:dyDescent="0.3">
      <c r="A368" s="652" t="str">
        <f t="shared" si="154"/>
        <v>Imprimir</v>
      </c>
      <c r="B368" s="652"/>
      <c r="C368" s="685"/>
      <c r="D368" s="686" t="s">
        <v>2428</v>
      </c>
      <c r="E368" s="686" t="s">
        <v>496</v>
      </c>
      <c r="F368" s="720"/>
      <c r="G368" s="688">
        <v>450</v>
      </c>
      <c r="H368" s="689">
        <f>Producción!G34*0.024</f>
        <v>0.79200000000000004</v>
      </c>
      <c r="I368" s="851">
        <f t="shared" si="155"/>
        <v>1</v>
      </c>
      <c r="J368" s="850">
        <f t="shared" si="156"/>
        <v>356.40000000000003</v>
      </c>
      <c r="K368" s="667"/>
      <c r="L368" s="858">
        <v>1</v>
      </c>
      <c r="M368" s="859"/>
      <c r="N368" s="859"/>
      <c r="O368" s="859"/>
      <c r="P368" s="859"/>
      <c r="Q368" s="859"/>
      <c r="R368" s="859"/>
      <c r="S368" s="859"/>
      <c r="T368" s="859"/>
      <c r="U368" s="859"/>
      <c r="V368" s="859"/>
      <c r="W368" s="859"/>
      <c r="X368" s="859"/>
      <c r="Y368" s="859"/>
      <c r="Z368" s="860"/>
      <c r="AA368" s="860"/>
      <c r="AB368" s="860"/>
      <c r="AC368" s="860"/>
      <c r="AD368" s="860"/>
      <c r="AE368" s="860"/>
      <c r="AF368" s="860"/>
      <c r="AG368" s="860"/>
      <c r="AH368" s="860"/>
      <c r="AI368" s="860"/>
      <c r="AJ368" s="860"/>
      <c r="AK368" s="860"/>
      <c r="AL368" s="860"/>
      <c r="AM368" s="860"/>
      <c r="AN368" s="860"/>
      <c r="AO368" s="860"/>
      <c r="AP368" s="860"/>
      <c r="AQ368" s="860"/>
      <c r="AR368" s="860"/>
      <c r="AS368" s="860"/>
      <c r="AT368" s="860"/>
      <c r="AU368" s="860"/>
      <c r="AV368" s="860"/>
      <c r="AW368" s="860"/>
      <c r="AX368" s="860"/>
      <c r="AY368" s="860"/>
      <c r="AZ368" s="860"/>
      <c r="BA368" s="860"/>
      <c r="BB368" s="860"/>
      <c r="BC368" s="860"/>
      <c r="BD368" s="860"/>
      <c r="BE368" s="860"/>
      <c r="BF368" s="860"/>
      <c r="BG368" s="860"/>
      <c r="BH368" s="668"/>
      <c r="BI368" s="667"/>
      <c r="BJ368" s="690">
        <f t="shared" si="157"/>
        <v>44.148514794612787</v>
      </c>
      <c r="BK368" s="691">
        <f t="shared" si="158"/>
        <v>15734.5306728</v>
      </c>
      <c r="BL368" s="654"/>
      <c r="BM368" s="692">
        <f>SUMIFS(Imput[[Importe Neto]:[Importe Neto]],Imput[[C. Imp.]:[C. Imp.]],$D368,Imput[[PERIODO Imp.]:[PERIODO Imp.]],BM$9)</f>
        <v>0</v>
      </c>
      <c r="BN368" s="693">
        <f>SUMIFS(Imput[[Importe Neto]:[Importe Neto]],Imput[[C. Imp.]:[C. Imp.]],$D368,Imput[[PERIODO Imp.]:[PERIODO Imp.]],BN$9)</f>
        <v>3811.4351999999999</v>
      </c>
      <c r="BO368" s="693">
        <f>SUMIFS(Imput[[Importe Neto]:[Importe Neto]],Imput[[C. Imp.]:[C. Imp.]],$D368,Imput[[PERIODO Imp.]:[PERIODO Imp.]],BO$9)</f>
        <v>1981.3148000000001</v>
      </c>
      <c r="BP368" s="693">
        <f>SUMIFS(Imput[[Importe Neto]:[Importe Neto]],Imput[[C. Imp.]:[C. Imp.]],$D368,Imput[[PERIODO Imp.]:[PERIODO Imp.]],BP$9)</f>
        <v>9941.7806727999996</v>
      </c>
      <c r="BQ368" s="693">
        <f>SUMIFS(Imput[[Importe Neto]:[Importe Neto]],Imput[[C. Imp.]:[C. Imp.]],$D368,Imput[[PERIODO Imp.]:[PERIODO Imp.]],BQ$9)</f>
        <v>0</v>
      </c>
      <c r="BR368" s="693">
        <f>SUMIFS(Imput[[Importe Neto]:[Importe Neto]],Imput[[C. Imp.]:[C. Imp.]],$D368,Imput[[PERIODO Imp.]:[PERIODO Imp.]],BR$9)</f>
        <v>0</v>
      </c>
      <c r="BS368" s="693">
        <f>SUMIFS(Imput[[Importe Neto]:[Importe Neto]],Imput[[C. Imp.]:[C. Imp.]],$D368,Imput[[PERIODO Imp.]:[PERIODO Imp.]],BS$9)</f>
        <v>0</v>
      </c>
      <c r="BT368" s="693">
        <f>SUMIFS(Imput[[Importe Neto]:[Importe Neto]],Imput[[C. Imp.]:[C. Imp.]],$D368,Imput[[PERIODO Imp.]:[PERIODO Imp.]],BT$9)</f>
        <v>0</v>
      </c>
      <c r="BU368" s="693">
        <f>SUMIFS(Imput[[Importe Neto]:[Importe Neto]],Imput[[C. Imp.]:[C. Imp.]],$D368,Imput[[PERIODO Imp.]:[PERIODO Imp.]],BU$9)</f>
        <v>0</v>
      </c>
      <c r="BV368" s="693">
        <f>SUMIFS(Imput[[Importe Neto]:[Importe Neto]],Imput[[C. Imp.]:[C. Imp.]],$D368,Imput[[PERIODO Imp.]:[PERIODO Imp.]],BV$9)</f>
        <v>0</v>
      </c>
      <c r="BW368" s="693">
        <f>SUMIFS(Imput[[Importe Neto]:[Importe Neto]],Imput[[C. Imp.]:[C. Imp.]],$D368,Imput[[PERIODO Imp.]:[PERIODO Imp.]],BW$9)</f>
        <v>0</v>
      </c>
      <c r="BX368" s="693">
        <f>SUMIFS(Imput[[Importe Neto]:[Importe Neto]],Imput[[C. Imp.]:[C. Imp.]],$D368,Imput[[PERIODO Imp.]:[PERIODO Imp.]],BX$9)</f>
        <v>0</v>
      </c>
      <c r="BY368" s="693">
        <f>SUMIFS(Imput[[Importe Neto]:[Importe Neto]],Imput[[C. Imp.]:[C. Imp.]],$D368,Imput[[PERIODO Imp.]:[PERIODO Imp.]],BY$9)</f>
        <v>0</v>
      </c>
      <c r="BZ368" s="693">
        <f>SUMIFS(Imput[[Importe Neto]:[Importe Neto]],Imput[[C. Imp.]:[C. Imp.]],$D368,Imput[[PERIODO Imp.]:[PERIODO Imp.]],BZ$9)</f>
        <v>0</v>
      </c>
      <c r="CA368" s="693">
        <f>SUMIFS(Imput[[Importe Neto]:[Importe Neto]],Imput[[C. Imp.]:[C. Imp.]],$D368,Imput[[PERIODO Imp.]:[PERIODO Imp.]],CA$9)</f>
        <v>0</v>
      </c>
      <c r="CB368" s="693">
        <f>SUMIFS(Imput[[Importe Neto]:[Importe Neto]],Imput[[C. Imp.]:[C. Imp.]],$D368,Imput[[PERIODO Imp.]:[PERIODO Imp.]],CB$9)</f>
        <v>0</v>
      </c>
      <c r="CC368" s="693">
        <f>SUMIFS(Imput[[Importe Neto]:[Importe Neto]],Imput[[C. Imp.]:[C. Imp.]],$D368,Imput[[PERIODO Imp.]:[PERIODO Imp.]],CC$9)</f>
        <v>0</v>
      </c>
      <c r="CD368" s="693">
        <f>SUMIFS(Imput[[Importe Neto]:[Importe Neto]],Imput[[C. Imp.]:[C. Imp.]],$D368,Imput[[PERIODO Imp.]:[PERIODO Imp.]],CD$9)</f>
        <v>0</v>
      </c>
      <c r="CE368" s="693">
        <f>SUMIFS(Imput[[Importe Neto]:[Importe Neto]],Imput[[C. Imp.]:[C. Imp.]],$D368,Imput[[PERIODO Imp.]:[PERIODO Imp.]],CE$9)</f>
        <v>0</v>
      </c>
      <c r="CF368" s="693">
        <f>SUMIFS(Imput[[Importe Neto]:[Importe Neto]],Imput[[C. Imp.]:[C. Imp.]],$D368,Imput[[PERIODO Imp.]:[PERIODO Imp.]],CF$9)</f>
        <v>0</v>
      </c>
      <c r="CG368" s="693">
        <f>SUMIFS(Imput[[Importe Neto]:[Importe Neto]],Imput[[C. Imp.]:[C. Imp.]],$D368,Imput[[PERIODO Imp.]:[PERIODO Imp.]],CG$9)</f>
        <v>0</v>
      </c>
      <c r="CH368" s="693">
        <f>SUMIFS(Imput[[Importe Neto]:[Importe Neto]],Imput[[C. Imp.]:[C. Imp.]],$D368,Imput[[PERIODO Imp.]:[PERIODO Imp.]],CH$9)</f>
        <v>0</v>
      </c>
      <c r="CI368" s="693">
        <f>SUMIFS(Imput[[Importe Neto]:[Importe Neto]],Imput[[C. Imp.]:[C. Imp.]],$D368,Imput[[PERIODO Imp.]:[PERIODO Imp.]],CI$9)</f>
        <v>0</v>
      </c>
      <c r="CJ368" s="693">
        <f>SUMIFS(Imput[[Importe Neto]:[Importe Neto]],Imput[[C. Imp.]:[C. Imp.]],$D368,Imput[[PERIODO Imp.]:[PERIODO Imp.]],CJ$9)</f>
        <v>0</v>
      </c>
      <c r="CK368" s="693">
        <f>SUMIFS(Imput[[Importe Neto]:[Importe Neto]],Imput[[C. Imp.]:[C. Imp.]],$D368,Imput[[PERIODO Imp.]:[PERIODO Imp.]],CK$9)</f>
        <v>0</v>
      </c>
      <c r="CL368" s="693">
        <f>SUMIFS(Imput[[Importe Neto]:[Importe Neto]],Imput[[C. Imp.]:[C. Imp.]],$D368,Imput[[PERIODO Imp.]:[PERIODO Imp.]],CL$9)</f>
        <v>0</v>
      </c>
      <c r="CM368" s="693">
        <f>SUMIFS(Imput[[Importe Neto]:[Importe Neto]],Imput[[C. Imp.]:[C. Imp.]],$D368,Imput[[PERIODO Imp.]:[PERIODO Imp.]],CM$9)</f>
        <v>0</v>
      </c>
      <c r="CN368" s="693">
        <f>SUMIFS(Imput[[Importe Neto]:[Importe Neto]],Imput[[C. Imp.]:[C. Imp.]],$D368,Imput[[PERIODO Imp.]:[PERIODO Imp.]],CN$9)</f>
        <v>0</v>
      </c>
      <c r="CO368" s="693">
        <f>SUMIFS(Imput[[Importe Neto]:[Importe Neto]],Imput[[C. Imp.]:[C. Imp.]],$D368,Imput[[PERIODO Imp.]:[PERIODO Imp.]],CO$9)</f>
        <v>0</v>
      </c>
      <c r="CP368" s="693">
        <f>SUMIFS(Imput[[Importe Neto]:[Importe Neto]],Imput[[C. Imp.]:[C. Imp.]],$D368,Imput[[PERIODO Imp.]:[PERIODO Imp.]],CP$9)</f>
        <v>0</v>
      </c>
      <c r="CQ368" s="693">
        <f>SUMIFS(Imput[[Importe Neto]:[Importe Neto]],Imput[[C. Imp.]:[C. Imp.]],$D368,Imput[[PERIODO Imp.]:[PERIODO Imp.]],CQ$9)</f>
        <v>0</v>
      </c>
      <c r="CR368" s="693">
        <f>SUMIFS(Imput[[Importe Neto]:[Importe Neto]],Imput[[C. Imp.]:[C. Imp.]],$D368,Imput[[PERIODO Imp.]:[PERIODO Imp.]],CR$9)</f>
        <v>0</v>
      </c>
      <c r="CS368" s="693">
        <f>SUMIFS(Imput[[Importe Neto]:[Importe Neto]],Imput[[C. Imp.]:[C. Imp.]],$D368,Imput[[PERIODO Imp.]:[PERIODO Imp.]],CS$9)</f>
        <v>0</v>
      </c>
      <c r="CT368" s="693">
        <f>SUMIFS(Imput[[Importe Neto]:[Importe Neto]],Imput[[C. Imp.]:[C. Imp.]],$D368,Imput[[PERIODO Imp.]:[PERIODO Imp.]],CT$9)</f>
        <v>0</v>
      </c>
      <c r="CU368" s="693">
        <f>SUMIFS(Imput[[Importe Neto]:[Importe Neto]],Imput[[C. Imp.]:[C. Imp.]],$D368,Imput[[PERIODO Imp.]:[PERIODO Imp.]],CU$9)</f>
        <v>0</v>
      </c>
      <c r="CV368" s="693">
        <f>SUMIFS(Imput[[Importe Neto]:[Importe Neto]],Imput[[C. Imp.]:[C. Imp.]],$D368,Imput[[PERIODO Imp.]:[PERIODO Imp.]],CV$9)</f>
        <v>0</v>
      </c>
      <c r="CW368" s="693">
        <f>SUMIFS(Imput[[Importe Neto]:[Importe Neto]],Imput[[C. Imp.]:[C. Imp.]],$D368,Imput[[PERIODO Imp.]:[PERIODO Imp.]],CW$9)</f>
        <v>0</v>
      </c>
      <c r="CX368" s="693">
        <f>SUMIFS(Imput[[Importe Neto]:[Importe Neto]],Imput[[C. Imp.]:[C. Imp.]],$D368,Imput[[PERIODO Imp.]:[PERIODO Imp.]],CX$9)</f>
        <v>0</v>
      </c>
      <c r="CY368" s="693">
        <f>SUMIFS(Imput[[Importe Neto]:[Importe Neto]],Imput[[C. Imp.]:[C. Imp.]],$D368,Imput[[PERIODO Imp.]:[PERIODO Imp.]],CY$9)</f>
        <v>0</v>
      </c>
      <c r="CZ368" s="693">
        <f>SUMIFS(Imput[[Importe Neto]:[Importe Neto]],Imput[[C. Imp.]:[C. Imp.]],$D368,Imput[[PERIODO Imp.]:[PERIODO Imp.]],CZ$9)</f>
        <v>0</v>
      </c>
      <c r="DA368" s="693">
        <f>SUMIFS(Imput[[Importe Neto]:[Importe Neto]],Imput[[C. Imp.]:[C. Imp.]],$D368,Imput[[PERIODO Imp.]:[PERIODO Imp.]],DA$9)</f>
        <v>0</v>
      </c>
      <c r="DB368" s="693">
        <f>SUMIFS(Imput[[Importe Neto]:[Importe Neto]],Imput[[C. Imp.]:[C. Imp.]],$D368,Imput[[PERIODO Imp.]:[PERIODO Imp.]],DB$9)</f>
        <v>0</v>
      </c>
      <c r="DC368" s="693">
        <f>SUMIFS(Imput[[Importe Neto]:[Importe Neto]],Imput[[C. Imp.]:[C. Imp.]],$D368,Imput[[PERIODO Imp.]:[PERIODO Imp.]],DC$9)</f>
        <v>0</v>
      </c>
      <c r="DD368" s="693">
        <f>SUMIFS(Imput[[Importe Neto]:[Importe Neto]],Imput[[C. Imp.]:[C. Imp.]],$D368,Imput[[PERIODO Imp.]:[PERIODO Imp.]],DD$9)</f>
        <v>0</v>
      </c>
      <c r="DE368" s="693">
        <f>SUMIFS(Imput[[Importe Neto]:[Importe Neto]],Imput[[C. Imp.]:[C. Imp.]],$D368,Imput[[PERIODO Imp.]:[PERIODO Imp.]],DE$9)</f>
        <v>0</v>
      </c>
      <c r="DF368" s="693">
        <f>SUMIFS(Imput[[Importe Neto]:[Importe Neto]],Imput[[C. Imp.]:[C. Imp.]],$D368,Imput[[PERIODO Imp.]:[PERIODO Imp.]],DF$9)</f>
        <v>0</v>
      </c>
      <c r="DG368" s="693">
        <f>SUMIFS(Imput[[Importe Neto]:[Importe Neto]],Imput[[C. Imp.]:[C. Imp.]],$D368,Imput[[PERIODO Imp.]:[PERIODO Imp.]],DG$9)</f>
        <v>0</v>
      </c>
      <c r="DH368" s="694">
        <f>SUMIFS(Imput[[Importe Neto]:[Importe Neto]],Imput[[C. Imp.]:[C. Imp.]],$D368,Imput[[PERIODO Imp.]:[PERIODO Imp.]],DH$9)</f>
        <v>0</v>
      </c>
    </row>
    <row r="369" spans="1:112" s="649" customFormat="1" outlineLevel="1" x14ac:dyDescent="0.3">
      <c r="A369" s="652" t="str">
        <f t="shared" si="154"/>
        <v>Imprimir</v>
      </c>
      <c r="B369" s="652"/>
      <c r="C369" s="685"/>
      <c r="D369" s="686" t="s">
        <v>2429</v>
      </c>
      <c r="E369" s="686" t="s">
        <v>497</v>
      </c>
      <c r="F369" s="720"/>
      <c r="G369" s="688">
        <v>9.8333333333333339</v>
      </c>
      <c r="H369" s="689">
        <f>Producción!G34*12</f>
        <v>396</v>
      </c>
      <c r="I369" s="851">
        <f t="shared" si="155"/>
        <v>1</v>
      </c>
      <c r="J369" s="850">
        <f t="shared" si="156"/>
        <v>3894.0000000000005</v>
      </c>
      <c r="K369" s="667"/>
      <c r="L369" s="858">
        <v>0.3</v>
      </c>
      <c r="M369" s="859"/>
      <c r="N369" s="859"/>
      <c r="O369" s="859"/>
      <c r="P369" s="859">
        <v>0.3</v>
      </c>
      <c r="Q369" s="859"/>
      <c r="R369" s="859"/>
      <c r="S369" s="859"/>
      <c r="T369" s="859"/>
      <c r="U369" s="859"/>
      <c r="V369" s="859"/>
      <c r="W369" s="859">
        <v>0.3</v>
      </c>
      <c r="X369" s="859"/>
      <c r="Y369" s="859"/>
      <c r="Z369" s="860"/>
      <c r="AA369" s="860"/>
      <c r="AB369" s="860"/>
      <c r="AC369" s="860"/>
      <c r="AD369" s="860"/>
      <c r="AE369" s="860">
        <v>0.1</v>
      </c>
      <c r="AF369" s="860"/>
      <c r="AG369" s="860"/>
      <c r="AH369" s="860"/>
      <c r="AI369" s="860"/>
      <c r="AJ369" s="860"/>
      <c r="AK369" s="860"/>
      <c r="AL369" s="860"/>
      <c r="AM369" s="860"/>
      <c r="AN369" s="860"/>
      <c r="AO369" s="860"/>
      <c r="AP369" s="860"/>
      <c r="AQ369" s="860"/>
      <c r="AR369" s="860"/>
      <c r="AS369" s="860"/>
      <c r="AT369" s="860"/>
      <c r="AU369" s="860"/>
      <c r="AV369" s="860"/>
      <c r="AW369" s="860"/>
      <c r="AX369" s="860"/>
      <c r="AY369" s="860"/>
      <c r="AZ369" s="860"/>
      <c r="BA369" s="860"/>
      <c r="BB369" s="860"/>
      <c r="BC369" s="860"/>
      <c r="BD369" s="860"/>
      <c r="BE369" s="860"/>
      <c r="BF369" s="860"/>
      <c r="BG369" s="860"/>
      <c r="BH369" s="668"/>
      <c r="BI369" s="667"/>
      <c r="BJ369" s="690">
        <f t="shared" si="157"/>
        <v>0.78130344973009758</v>
      </c>
      <c r="BK369" s="691">
        <f t="shared" si="158"/>
        <v>3042.3956332490002</v>
      </c>
      <c r="BL369" s="654"/>
      <c r="BM369" s="692">
        <f>SUMIFS(Imput[[Importe Neto]:[Importe Neto]],Imput[[C. Imp.]:[C. Imp.]],$D369,Imput[[PERIODO Imp.]:[PERIODO Imp.]],BM$9)</f>
        <v>0</v>
      </c>
      <c r="BN369" s="693">
        <f>SUMIFS(Imput[[Importe Neto]:[Importe Neto]],Imput[[C. Imp.]:[C. Imp.]],$D369,Imput[[PERIODO Imp.]:[PERIODO Imp.]],BN$9)</f>
        <v>283.20240000000001</v>
      </c>
      <c r="BO369" s="693">
        <f>SUMIFS(Imput[[Importe Neto]:[Importe Neto]],Imput[[C. Imp.]:[C. Imp.]],$D369,Imput[[PERIODO Imp.]:[PERIODO Imp.]],BO$9)</f>
        <v>2043.7939732490001</v>
      </c>
      <c r="BP369" s="693">
        <f>SUMIFS(Imput[[Importe Neto]:[Importe Neto]],Imput[[C. Imp.]:[C. Imp.]],$D369,Imput[[PERIODO Imp.]:[PERIODO Imp.]],BP$9)</f>
        <v>715.39926000000003</v>
      </c>
      <c r="BQ369" s="693">
        <f>SUMIFS(Imput[[Importe Neto]:[Importe Neto]],Imput[[C. Imp.]:[C. Imp.]],$D369,Imput[[PERIODO Imp.]:[PERIODO Imp.]],BQ$9)</f>
        <v>0</v>
      </c>
      <c r="BR369" s="693">
        <f>SUMIFS(Imput[[Importe Neto]:[Importe Neto]],Imput[[C. Imp.]:[C. Imp.]],$D369,Imput[[PERIODO Imp.]:[PERIODO Imp.]],BR$9)</f>
        <v>0</v>
      </c>
      <c r="BS369" s="693">
        <f>SUMIFS(Imput[[Importe Neto]:[Importe Neto]],Imput[[C. Imp.]:[C. Imp.]],$D369,Imput[[PERIODO Imp.]:[PERIODO Imp.]],BS$9)</f>
        <v>0</v>
      </c>
      <c r="BT369" s="693">
        <f>SUMIFS(Imput[[Importe Neto]:[Importe Neto]],Imput[[C. Imp.]:[C. Imp.]],$D369,Imput[[PERIODO Imp.]:[PERIODO Imp.]],BT$9)</f>
        <v>0</v>
      </c>
      <c r="BU369" s="693">
        <f>SUMIFS(Imput[[Importe Neto]:[Importe Neto]],Imput[[C. Imp.]:[C. Imp.]],$D369,Imput[[PERIODO Imp.]:[PERIODO Imp.]],BU$9)</f>
        <v>0</v>
      </c>
      <c r="BV369" s="693">
        <f>SUMIFS(Imput[[Importe Neto]:[Importe Neto]],Imput[[C. Imp.]:[C. Imp.]],$D369,Imput[[PERIODO Imp.]:[PERIODO Imp.]],BV$9)</f>
        <v>0</v>
      </c>
      <c r="BW369" s="693">
        <f>SUMIFS(Imput[[Importe Neto]:[Importe Neto]],Imput[[C. Imp.]:[C. Imp.]],$D369,Imput[[PERIODO Imp.]:[PERIODO Imp.]],BW$9)</f>
        <v>0</v>
      </c>
      <c r="BX369" s="693">
        <f>SUMIFS(Imput[[Importe Neto]:[Importe Neto]],Imput[[C. Imp.]:[C. Imp.]],$D369,Imput[[PERIODO Imp.]:[PERIODO Imp.]],BX$9)</f>
        <v>0</v>
      </c>
      <c r="BY369" s="693">
        <f>SUMIFS(Imput[[Importe Neto]:[Importe Neto]],Imput[[C. Imp.]:[C. Imp.]],$D369,Imput[[PERIODO Imp.]:[PERIODO Imp.]],BY$9)</f>
        <v>0</v>
      </c>
      <c r="BZ369" s="693">
        <f>SUMIFS(Imput[[Importe Neto]:[Importe Neto]],Imput[[C. Imp.]:[C. Imp.]],$D369,Imput[[PERIODO Imp.]:[PERIODO Imp.]],BZ$9)</f>
        <v>0</v>
      </c>
      <c r="CA369" s="693">
        <f>SUMIFS(Imput[[Importe Neto]:[Importe Neto]],Imput[[C. Imp.]:[C. Imp.]],$D369,Imput[[PERIODO Imp.]:[PERIODO Imp.]],CA$9)</f>
        <v>0</v>
      </c>
      <c r="CB369" s="693">
        <f>SUMIFS(Imput[[Importe Neto]:[Importe Neto]],Imput[[C. Imp.]:[C. Imp.]],$D369,Imput[[PERIODO Imp.]:[PERIODO Imp.]],CB$9)</f>
        <v>0</v>
      </c>
      <c r="CC369" s="693">
        <f>SUMIFS(Imput[[Importe Neto]:[Importe Neto]],Imput[[C. Imp.]:[C. Imp.]],$D369,Imput[[PERIODO Imp.]:[PERIODO Imp.]],CC$9)</f>
        <v>0</v>
      </c>
      <c r="CD369" s="693">
        <f>SUMIFS(Imput[[Importe Neto]:[Importe Neto]],Imput[[C. Imp.]:[C. Imp.]],$D369,Imput[[PERIODO Imp.]:[PERIODO Imp.]],CD$9)</f>
        <v>0</v>
      </c>
      <c r="CE369" s="693">
        <f>SUMIFS(Imput[[Importe Neto]:[Importe Neto]],Imput[[C. Imp.]:[C. Imp.]],$D369,Imput[[PERIODO Imp.]:[PERIODO Imp.]],CE$9)</f>
        <v>0</v>
      </c>
      <c r="CF369" s="693">
        <f>SUMIFS(Imput[[Importe Neto]:[Importe Neto]],Imput[[C. Imp.]:[C. Imp.]],$D369,Imput[[PERIODO Imp.]:[PERIODO Imp.]],CF$9)</f>
        <v>0</v>
      </c>
      <c r="CG369" s="693">
        <f>SUMIFS(Imput[[Importe Neto]:[Importe Neto]],Imput[[C. Imp.]:[C. Imp.]],$D369,Imput[[PERIODO Imp.]:[PERIODO Imp.]],CG$9)</f>
        <v>0</v>
      </c>
      <c r="CH369" s="693">
        <f>SUMIFS(Imput[[Importe Neto]:[Importe Neto]],Imput[[C. Imp.]:[C. Imp.]],$D369,Imput[[PERIODO Imp.]:[PERIODO Imp.]],CH$9)</f>
        <v>0</v>
      </c>
      <c r="CI369" s="693">
        <f>SUMIFS(Imput[[Importe Neto]:[Importe Neto]],Imput[[C. Imp.]:[C. Imp.]],$D369,Imput[[PERIODO Imp.]:[PERIODO Imp.]],CI$9)</f>
        <v>0</v>
      </c>
      <c r="CJ369" s="693">
        <f>SUMIFS(Imput[[Importe Neto]:[Importe Neto]],Imput[[C. Imp.]:[C. Imp.]],$D369,Imput[[PERIODO Imp.]:[PERIODO Imp.]],CJ$9)</f>
        <v>0</v>
      </c>
      <c r="CK369" s="693">
        <f>SUMIFS(Imput[[Importe Neto]:[Importe Neto]],Imput[[C. Imp.]:[C. Imp.]],$D369,Imput[[PERIODO Imp.]:[PERIODO Imp.]],CK$9)</f>
        <v>0</v>
      </c>
      <c r="CL369" s="693">
        <f>SUMIFS(Imput[[Importe Neto]:[Importe Neto]],Imput[[C. Imp.]:[C. Imp.]],$D369,Imput[[PERIODO Imp.]:[PERIODO Imp.]],CL$9)</f>
        <v>0</v>
      </c>
      <c r="CM369" s="693">
        <f>SUMIFS(Imput[[Importe Neto]:[Importe Neto]],Imput[[C. Imp.]:[C. Imp.]],$D369,Imput[[PERIODO Imp.]:[PERIODO Imp.]],CM$9)</f>
        <v>0</v>
      </c>
      <c r="CN369" s="693">
        <f>SUMIFS(Imput[[Importe Neto]:[Importe Neto]],Imput[[C. Imp.]:[C. Imp.]],$D369,Imput[[PERIODO Imp.]:[PERIODO Imp.]],CN$9)</f>
        <v>0</v>
      </c>
      <c r="CO369" s="693">
        <f>SUMIFS(Imput[[Importe Neto]:[Importe Neto]],Imput[[C. Imp.]:[C. Imp.]],$D369,Imput[[PERIODO Imp.]:[PERIODO Imp.]],CO$9)</f>
        <v>0</v>
      </c>
      <c r="CP369" s="693">
        <f>SUMIFS(Imput[[Importe Neto]:[Importe Neto]],Imput[[C. Imp.]:[C. Imp.]],$D369,Imput[[PERIODO Imp.]:[PERIODO Imp.]],CP$9)</f>
        <v>0</v>
      </c>
      <c r="CQ369" s="693">
        <f>SUMIFS(Imput[[Importe Neto]:[Importe Neto]],Imput[[C. Imp.]:[C. Imp.]],$D369,Imput[[PERIODO Imp.]:[PERIODO Imp.]],CQ$9)</f>
        <v>0</v>
      </c>
      <c r="CR369" s="693">
        <f>SUMIFS(Imput[[Importe Neto]:[Importe Neto]],Imput[[C. Imp.]:[C. Imp.]],$D369,Imput[[PERIODO Imp.]:[PERIODO Imp.]],CR$9)</f>
        <v>0</v>
      </c>
      <c r="CS369" s="693">
        <f>SUMIFS(Imput[[Importe Neto]:[Importe Neto]],Imput[[C. Imp.]:[C. Imp.]],$D369,Imput[[PERIODO Imp.]:[PERIODO Imp.]],CS$9)</f>
        <v>0</v>
      </c>
      <c r="CT369" s="693">
        <f>SUMIFS(Imput[[Importe Neto]:[Importe Neto]],Imput[[C. Imp.]:[C. Imp.]],$D369,Imput[[PERIODO Imp.]:[PERIODO Imp.]],CT$9)</f>
        <v>0</v>
      </c>
      <c r="CU369" s="693">
        <f>SUMIFS(Imput[[Importe Neto]:[Importe Neto]],Imput[[C. Imp.]:[C. Imp.]],$D369,Imput[[PERIODO Imp.]:[PERIODO Imp.]],CU$9)</f>
        <v>0</v>
      </c>
      <c r="CV369" s="693">
        <f>SUMIFS(Imput[[Importe Neto]:[Importe Neto]],Imput[[C. Imp.]:[C. Imp.]],$D369,Imput[[PERIODO Imp.]:[PERIODO Imp.]],CV$9)</f>
        <v>0</v>
      </c>
      <c r="CW369" s="693">
        <f>SUMIFS(Imput[[Importe Neto]:[Importe Neto]],Imput[[C. Imp.]:[C. Imp.]],$D369,Imput[[PERIODO Imp.]:[PERIODO Imp.]],CW$9)</f>
        <v>0</v>
      </c>
      <c r="CX369" s="693">
        <f>SUMIFS(Imput[[Importe Neto]:[Importe Neto]],Imput[[C. Imp.]:[C. Imp.]],$D369,Imput[[PERIODO Imp.]:[PERIODO Imp.]],CX$9)</f>
        <v>0</v>
      </c>
      <c r="CY369" s="693">
        <f>SUMIFS(Imput[[Importe Neto]:[Importe Neto]],Imput[[C. Imp.]:[C. Imp.]],$D369,Imput[[PERIODO Imp.]:[PERIODO Imp.]],CY$9)</f>
        <v>0</v>
      </c>
      <c r="CZ369" s="693">
        <f>SUMIFS(Imput[[Importe Neto]:[Importe Neto]],Imput[[C. Imp.]:[C. Imp.]],$D369,Imput[[PERIODO Imp.]:[PERIODO Imp.]],CZ$9)</f>
        <v>0</v>
      </c>
      <c r="DA369" s="693">
        <f>SUMIFS(Imput[[Importe Neto]:[Importe Neto]],Imput[[C. Imp.]:[C. Imp.]],$D369,Imput[[PERIODO Imp.]:[PERIODO Imp.]],DA$9)</f>
        <v>0</v>
      </c>
      <c r="DB369" s="693">
        <f>SUMIFS(Imput[[Importe Neto]:[Importe Neto]],Imput[[C. Imp.]:[C. Imp.]],$D369,Imput[[PERIODO Imp.]:[PERIODO Imp.]],DB$9)</f>
        <v>0</v>
      </c>
      <c r="DC369" s="693">
        <f>SUMIFS(Imput[[Importe Neto]:[Importe Neto]],Imput[[C. Imp.]:[C. Imp.]],$D369,Imput[[PERIODO Imp.]:[PERIODO Imp.]],DC$9)</f>
        <v>0</v>
      </c>
      <c r="DD369" s="693">
        <f>SUMIFS(Imput[[Importe Neto]:[Importe Neto]],Imput[[C. Imp.]:[C. Imp.]],$D369,Imput[[PERIODO Imp.]:[PERIODO Imp.]],DD$9)</f>
        <v>0</v>
      </c>
      <c r="DE369" s="693">
        <f>SUMIFS(Imput[[Importe Neto]:[Importe Neto]],Imput[[C. Imp.]:[C. Imp.]],$D369,Imput[[PERIODO Imp.]:[PERIODO Imp.]],DE$9)</f>
        <v>0</v>
      </c>
      <c r="DF369" s="693">
        <f>SUMIFS(Imput[[Importe Neto]:[Importe Neto]],Imput[[C. Imp.]:[C. Imp.]],$D369,Imput[[PERIODO Imp.]:[PERIODO Imp.]],DF$9)</f>
        <v>0</v>
      </c>
      <c r="DG369" s="693">
        <f>SUMIFS(Imput[[Importe Neto]:[Importe Neto]],Imput[[C. Imp.]:[C. Imp.]],$D369,Imput[[PERIODO Imp.]:[PERIODO Imp.]],DG$9)</f>
        <v>0</v>
      </c>
      <c r="DH369" s="694">
        <f>SUMIFS(Imput[[Importe Neto]:[Importe Neto]],Imput[[C. Imp.]:[C. Imp.]],$D369,Imput[[PERIODO Imp.]:[PERIODO Imp.]],DH$9)</f>
        <v>0</v>
      </c>
    </row>
    <row r="370" spans="1:112" s="649" customFormat="1" outlineLevel="1" x14ac:dyDescent="0.3">
      <c r="A370" s="652" t="str">
        <f t="shared" si="154"/>
        <v>Imprimir</v>
      </c>
      <c r="B370" s="652"/>
      <c r="C370" s="685"/>
      <c r="D370" s="686" t="s">
        <v>2430</v>
      </c>
      <c r="E370" s="686" t="s">
        <v>498</v>
      </c>
      <c r="F370" s="720"/>
      <c r="G370" s="688">
        <v>19</v>
      </c>
      <c r="H370" s="689">
        <f>Producción!G34*50</f>
        <v>1650</v>
      </c>
      <c r="I370" s="851">
        <f t="shared" si="155"/>
        <v>1</v>
      </c>
      <c r="J370" s="850">
        <f t="shared" si="156"/>
        <v>31350</v>
      </c>
      <c r="K370" s="667"/>
      <c r="L370" s="858">
        <v>0.3</v>
      </c>
      <c r="M370" s="859"/>
      <c r="N370" s="859"/>
      <c r="O370" s="859"/>
      <c r="P370" s="859">
        <v>0.3</v>
      </c>
      <c r="Q370" s="859"/>
      <c r="R370" s="859"/>
      <c r="S370" s="859"/>
      <c r="T370" s="859"/>
      <c r="U370" s="859"/>
      <c r="V370" s="859"/>
      <c r="W370" s="859">
        <v>0.3</v>
      </c>
      <c r="X370" s="859"/>
      <c r="Y370" s="859"/>
      <c r="Z370" s="860"/>
      <c r="AA370" s="860"/>
      <c r="AB370" s="860"/>
      <c r="AC370" s="860"/>
      <c r="AD370" s="860"/>
      <c r="AE370" s="860">
        <v>0.1</v>
      </c>
      <c r="AF370" s="860"/>
      <c r="AG370" s="860"/>
      <c r="AH370" s="860"/>
      <c r="AI370" s="860"/>
      <c r="AJ370" s="860"/>
      <c r="AK370" s="860"/>
      <c r="AL370" s="860"/>
      <c r="AM370" s="860"/>
      <c r="AN370" s="860"/>
      <c r="AO370" s="860"/>
      <c r="AP370" s="860"/>
      <c r="AQ370" s="860"/>
      <c r="AR370" s="860"/>
      <c r="AS370" s="860"/>
      <c r="AT370" s="860"/>
      <c r="AU370" s="860"/>
      <c r="AV370" s="860"/>
      <c r="AW370" s="860"/>
      <c r="AX370" s="860"/>
      <c r="AY370" s="860"/>
      <c r="AZ370" s="860"/>
      <c r="BA370" s="860"/>
      <c r="BB370" s="860"/>
      <c r="BC370" s="860"/>
      <c r="BD370" s="860"/>
      <c r="BE370" s="860"/>
      <c r="BF370" s="860"/>
      <c r="BG370" s="860"/>
      <c r="BH370" s="668"/>
      <c r="BI370" s="667"/>
      <c r="BJ370" s="690">
        <f t="shared" si="157"/>
        <v>0.49242425518341304</v>
      </c>
      <c r="BK370" s="691">
        <f t="shared" si="158"/>
        <v>15437.500399999999</v>
      </c>
      <c r="BL370" s="654"/>
      <c r="BM370" s="692">
        <f>SUMIFS(Imput[[Importe Neto]:[Importe Neto]],Imput[[C. Imp.]:[C. Imp.]],$D370,Imput[[PERIODO Imp.]:[PERIODO Imp.]],BM$9)</f>
        <v>0</v>
      </c>
      <c r="BN370" s="693">
        <f>SUMIFS(Imput[[Importe Neto]:[Importe Neto]],Imput[[C. Imp.]:[C. Imp.]],$D370,Imput[[PERIODO Imp.]:[PERIODO Imp.]],BN$9)</f>
        <v>0</v>
      </c>
      <c r="BO370" s="693">
        <f>SUMIFS(Imput[[Importe Neto]:[Importe Neto]],Imput[[C. Imp.]:[C. Imp.]],$D370,Imput[[PERIODO Imp.]:[PERIODO Imp.]],BO$9)</f>
        <v>0</v>
      </c>
      <c r="BP370" s="693">
        <f>SUMIFS(Imput[[Importe Neto]:[Importe Neto]],Imput[[C. Imp.]:[C. Imp.]],$D370,Imput[[PERIODO Imp.]:[PERIODO Imp.]],BP$9)</f>
        <v>0</v>
      </c>
      <c r="BQ370" s="693">
        <f>SUMIFS(Imput[[Importe Neto]:[Importe Neto]],Imput[[C. Imp.]:[C. Imp.]],$D370,Imput[[PERIODO Imp.]:[PERIODO Imp.]],BQ$9)</f>
        <v>11162.4944</v>
      </c>
      <c r="BR370" s="693">
        <f>SUMIFS(Imput[[Importe Neto]:[Importe Neto]],Imput[[C. Imp.]:[C. Imp.]],$D370,Imput[[PERIODO Imp.]:[PERIODO Imp.]],BR$9)</f>
        <v>4275.0059999999994</v>
      </c>
      <c r="BS370" s="693">
        <f>SUMIFS(Imput[[Importe Neto]:[Importe Neto]],Imput[[C. Imp.]:[C. Imp.]],$D370,Imput[[PERIODO Imp.]:[PERIODO Imp.]],BS$9)</f>
        <v>0</v>
      </c>
      <c r="BT370" s="693">
        <f>SUMIFS(Imput[[Importe Neto]:[Importe Neto]],Imput[[C. Imp.]:[C. Imp.]],$D370,Imput[[PERIODO Imp.]:[PERIODO Imp.]],BT$9)</f>
        <v>0</v>
      </c>
      <c r="BU370" s="693">
        <f>SUMIFS(Imput[[Importe Neto]:[Importe Neto]],Imput[[C. Imp.]:[C. Imp.]],$D370,Imput[[PERIODO Imp.]:[PERIODO Imp.]],BU$9)</f>
        <v>0</v>
      </c>
      <c r="BV370" s="693">
        <f>SUMIFS(Imput[[Importe Neto]:[Importe Neto]],Imput[[C. Imp.]:[C. Imp.]],$D370,Imput[[PERIODO Imp.]:[PERIODO Imp.]],BV$9)</f>
        <v>0</v>
      </c>
      <c r="BW370" s="693">
        <f>SUMIFS(Imput[[Importe Neto]:[Importe Neto]],Imput[[C. Imp.]:[C. Imp.]],$D370,Imput[[PERIODO Imp.]:[PERIODO Imp.]],BW$9)</f>
        <v>0</v>
      </c>
      <c r="BX370" s="693">
        <f>SUMIFS(Imput[[Importe Neto]:[Importe Neto]],Imput[[C. Imp.]:[C. Imp.]],$D370,Imput[[PERIODO Imp.]:[PERIODO Imp.]],BX$9)</f>
        <v>0</v>
      </c>
      <c r="BY370" s="693">
        <f>SUMIFS(Imput[[Importe Neto]:[Importe Neto]],Imput[[C. Imp.]:[C. Imp.]],$D370,Imput[[PERIODO Imp.]:[PERIODO Imp.]],BY$9)</f>
        <v>0</v>
      </c>
      <c r="BZ370" s="693">
        <f>SUMIFS(Imput[[Importe Neto]:[Importe Neto]],Imput[[C. Imp.]:[C. Imp.]],$D370,Imput[[PERIODO Imp.]:[PERIODO Imp.]],BZ$9)</f>
        <v>0</v>
      </c>
      <c r="CA370" s="693">
        <f>SUMIFS(Imput[[Importe Neto]:[Importe Neto]],Imput[[C. Imp.]:[C. Imp.]],$D370,Imput[[PERIODO Imp.]:[PERIODO Imp.]],CA$9)</f>
        <v>0</v>
      </c>
      <c r="CB370" s="693">
        <f>SUMIFS(Imput[[Importe Neto]:[Importe Neto]],Imput[[C. Imp.]:[C. Imp.]],$D370,Imput[[PERIODO Imp.]:[PERIODO Imp.]],CB$9)</f>
        <v>0</v>
      </c>
      <c r="CC370" s="693">
        <f>SUMIFS(Imput[[Importe Neto]:[Importe Neto]],Imput[[C. Imp.]:[C. Imp.]],$D370,Imput[[PERIODO Imp.]:[PERIODO Imp.]],CC$9)</f>
        <v>0</v>
      </c>
      <c r="CD370" s="693">
        <f>SUMIFS(Imput[[Importe Neto]:[Importe Neto]],Imput[[C. Imp.]:[C. Imp.]],$D370,Imput[[PERIODO Imp.]:[PERIODO Imp.]],CD$9)</f>
        <v>0</v>
      </c>
      <c r="CE370" s="693">
        <f>SUMIFS(Imput[[Importe Neto]:[Importe Neto]],Imput[[C. Imp.]:[C. Imp.]],$D370,Imput[[PERIODO Imp.]:[PERIODO Imp.]],CE$9)</f>
        <v>0</v>
      </c>
      <c r="CF370" s="693">
        <f>SUMIFS(Imput[[Importe Neto]:[Importe Neto]],Imput[[C. Imp.]:[C. Imp.]],$D370,Imput[[PERIODO Imp.]:[PERIODO Imp.]],CF$9)</f>
        <v>0</v>
      </c>
      <c r="CG370" s="693">
        <f>SUMIFS(Imput[[Importe Neto]:[Importe Neto]],Imput[[C. Imp.]:[C. Imp.]],$D370,Imput[[PERIODO Imp.]:[PERIODO Imp.]],CG$9)</f>
        <v>0</v>
      </c>
      <c r="CH370" s="693">
        <f>SUMIFS(Imput[[Importe Neto]:[Importe Neto]],Imput[[C. Imp.]:[C. Imp.]],$D370,Imput[[PERIODO Imp.]:[PERIODO Imp.]],CH$9)</f>
        <v>0</v>
      </c>
      <c r="CI370" s="693">
        <f>SUMIFS(Imput[[Importe Neto]:[Importe Neto]],Imput[[C. Imp.]:[C. Imp.]],$D370,Imput[[PERIODO Imp.]:[PERIODO Imp.]],CI$9)</f>
        <v>0</v>
      </c>
      <c r="CJ370" s="693">
        <f>SUMIFS(Imput[[Importe Neto]:[Importe Neto]],Imput[[C. Imp.]:[C. Imp.]],$D370,Imput[[PERIODO Imp.]:[PERIODO Imp.]],CJ$9)</f>
        <v>0</v>
      </c>
      <c r="CK370" s="693">
        <f>SUMIFS(Imput[[Importe Neto]:[Importe Neto]],Imput[[C. Imp.]:[C. Imp.]],$D370,Imput[[PERIODO Imp.]:[PERIODO Imp.]],CK$9)</f>
        <v>0</v>
      </c>
      <c r="CL370" s="693">
        <f>SUMIFS(Imput[[Importe Neto]:[Importe Neto]],Imput[[C. Imp.]:[C. Imp.]],$D370,Imput[[PERIODO Imp.]:[PERIODO Imp.]],CL$9)</f>
        <v>0</v>
      </c>
      <c r="CM370" s="693">
        <f>SUMIFS(Imput[[Importe Neto]:[Importe Neto]],Imput[[C. Imp.]:[C. Imp.]],$D370,Imput[[PERIODO Imp.]:[PERIODO Imp.]],CM$9)</f>
        <v>0</v>
      </c>
      <c r="CN370" s="693">
        <f>SUMIFS(Imput[[Importe Neto]:[Importe Neto]],Imput[[C. Imp.]:[C. Imp.]],$D370,Imput[[PERIODO Imp.]:[PERIODO Imp.]],CN$9)</f>
        <v>0</v>
      </c>
      <c r="CO370" s="693">
        <f>SUMIFS(Imput[[Importe Neto]:[Importe Neto]],Imput[[C. Imp.]:[C. Imp.]],$D370,Imput[[PERIODO Imp.]:[PERIODO Imp.]],CO$9)</f>
        <v>0</v>
      </c>
      <c r="CP370" s="693">
        <f>SUMIFS(Imput[[Importe Neto]:[Importe Neto]],Imput[[C. Imp.]:[C. Imp.]],$D370,Imput[[PERIODO Imp.]:[PERIODO Imp.]],CP$9)</f>
        <v>0</v>
      </c>
      <c r="CQ370" s="693">
        <f>SUMIFS(Imput[[Importe Neto]:[Importe Neto]],Imput[[C. Imp.]:[C. Imp.]],$D370,Imput[[PERIODO Imp.]:[PERIODO Imp.]],CQ$9)</f>
        <v>0</v>
      </c>
      <c r="CR370" s="693">
        <f>SUMIFS(Imput[[Importe Neto]:[Importe Neto]],Imput[[C. Imp.]:[C. Imp.]],$D370,Imput[[PERIODO Imp.]:[PERIODO Imp.]],CR$9)</f>
        <v>0</v>
      </c>
      <c r="CS370" s="693">
        <f>SUMIFS(Imput[[Importe Neto]:[Importe Neto]],Imput[[C. Imp.]:[C. Imp.]],$D370,Imput[[PERIODO Imp.]:[PERIODO Imp.]],CS$9)</f>
        <v>0</v>
      </c>
      <c r="CT370" s="693">
        <f>SUMIFS(Imput[[Importe Neto]:[Importe Neto]],Imput[[C. Imp.]:[C. Imp.]],$D370,Imput[[PERIODO Imp.]:[PERIODO Imp.]],CT$9)</f>
        <v>0</v>
      </c>
      <c r="CU370" s="693">
        <f>SUMIFS(Imput[[Importe Neto]:[Importe Neto]],Imput[[C. Imp.]:[C. Imp.]],$D370,Imput[[PERIODO Imp.]:[PERIODO Imp.]],CU$9)</f>
        <v>0</v>
      </c>
      <c r="CV370" s="693">
        <f>SUMIFS(Imput[[Importe Neto]:[Importe Neto]],Imput[[C. Imp.]:[C. Imp.]],$D370,Imput[[PERIODO Imp.]:[PERIODO Imp.]],CV$9)</f>
        <v>0</v>
      </c>
      <c r="CW370" s="693">
        <f>SUMIFS(Imput[[Importe Neto]:[Importe Neto]],Imput[[C. Imp.]:[C. Imp.]],$D370,Imput[[PERIODO Imp.]:[PERIODO Imp.]],CW$9)</f>
        <v>0</v>
      </c>
      <c r="CX370" s="693">
        <f>SUMIFS(Imput[[Importe Neto]:[Importe Neto]],Imput[[C. Imp.]:[C. Imp.]],$D370,Imput[[PERIODO Imp.]:[PERIODO Imp.]],CX$9)</f>
        <v>0</v>
      </c>
      <c r="CY370" s="693">
        <f>SUMIFS(Imput[[Importe Neto]:[Importe Neto]],Imput[[C. Imp.]:[C. Imp.]],$D370,Imput[[PERIODO Imp.]:[PERIODO Imp.]],CY$9)</f>
        <v>0</v>
      </c>
      <c r="CZ370" s="693">
        <f>SUMIFS(Imput[[Importe Neto]:[Importe Neto]],Imput[[C. Imp.]:[C. Imp.]],$D370,Imput[[PERIODO Imp.]:[PERIODO Imp.]],CZ$9)</f>
        <v>0</v>
      </c>
      <c r="DA370" s="693">
        <f>SUMIFS(Imput[[Importe Neto]:[Importe Neto]],Imput[[C. Imp.]:[C. Imp.]],$D370,Imput[[PERIODO Imp.]:[PERIODO Imp.]],DA$9)</f>
        <v>0</v>
      </c>
      <c r="DB370" s="693">
        <f>SUMIFS(Imput[[Importe Neto]:[Importe Neto]],Imput[[C. Imp.]:[C. Imp.]],$D370,Imput[[PERIODO Imp.]:[PERIODO Imp.]],DB$9)</f>
        <v>0</v>
      </c>
      <c r="DC370" s="693">
        <f>SUMIFS(Imput[[Importe Neto]:[Importe Neto]],Imput[[C. Imp.]:[C. Imp.]],$D370,Imput[[PERIODO Imp.]:[PERIODO Imp.]],DC$9)</f>
        <v>0</v>
      </c>
      <c r="DD370" s="693">
        <f>SUMIFS(Imput[[Importe Neto]:[Importe Neto]],Imput[[C. Imp.]:[C. Imp.]],$D370,Imput[[PERIODO Imp.]:[PERIODO Imp.]],DD$9)</f>
        <v>0</v>
      </c>
      <c r="DE370" s="693">
        <f>SUMIFS(Imput[[Importe Neto]:[Importe Neto]],Imput[[C. Imp.]:[C. Imp.]],$D370,Imput[[PERIODO Imp.]:[PERIODO Imp.]],DE$9)</f>
        <v>0</v>
      </c>
      <c r="DF370" s="693">
        <f>SUMIFS(Imput[[Importe Neto]:[Importe Neto]],Imput[[C. Imp.]:[C. Imp.]],$D370,Imput[[PERIODO Imp.]:[PERIODO Imp.]],DF$9)</f>
        <v>0</v>
      </c>
      <c r="DG370" s="693">
        <f>SUMIFS(Imput[[Importe Neto]:[Importe Neto]],Imput[[C. Imp.]:[C. Imp.]],$D370,Imput[[PERIODO Imp.]:[PERIODO Imp.]],DG$9)</f>
        <v>0</v>
      </c>
      <c r="DH370" s="694">
        <f>SUMIFS(Imput[[Importe Neto]:[Importe Neto]],Imput[[C. Imp.]:[C. Imp.]],$D370,Imput[[PERIODO Imp.]:[PERIODO Imp.]],DH$9)</f>
        <v>0</v>
      </c>
    </row>
    <row r="371" spans="1:112" s="649" customFormat="1" outlineLevel="1" x14ac:dyDescent="0.3">
      <c r="A371" s="652" t="str">
        <f t="shared" si="154"/>
        <v>Imprimir</v>
      </c>
      <c r="B371" s="652"/>
      <c r="C371" s="685"/>
      <c r="D371" s="686" t="s">
        <v>2431</v>
      </c>
      <c r="E371" s="686" t="s">
        <v>499</v>
      </c>
      <c r="F371" s="720"/>
      <c r="G371" s="688">
        <v>735</v>
      </c>
      <c r="H371" s="689">
        <f>Producción!G34*0.24</f>
        <v>7.92</v>
      </c>
      <c r="I371" s="851">
        <f t="shared" si="155"/>
        <v>1</v>
      </c>
      <c r="J371" s="850">
        <f t="shared" si="156"/>
        <v>5821.2</v>
      </c>
      <c r="K371" s="667"/>
      <c r="L371" s="858"/>
      <c r="M371" s="859"/>
      <c r="N371" s="859"/>
      <c r="O371" s="859">
        <v>0.5</v>
      </c>
      <c r="P371" s="859"/>
      <c r="Q371" s="859"/>
      <c r="R371" s="859"/>
      <c r="S371" s="859"/>
      <c r="T371" s="859"/>
      <c r="U371" s="859"/>
      <c r="V371" s="859"/>
      <c r="W371" s="859"/>
      <c r="X371" s="859"/>
      <c r="Y371" s="859"/>
      <c r="Z371" s="860"/>
      <c r="AA371" s="860">
        <v>0.5</v>
      </c>
      <c r="AB371" s="860"/>
      <c r="AC371" s="860"/>
      <c r="AD371" s="860"/>
      <c r="AE371" s="860"/>
      <c r="AF371" s="860"/>
      <c r="AG371" s="860"/>
      <c r="AH371" s="860"/>
      <c r="AI371" s="860"/>
      <c r="AJ371" s="860"/>
      <c r="AK371" s="860"/>
      <c r="AL371" s="860"/>
      <c r="AM371" s="860"/>
      <c r="AN371" s="860"/>
      <c r="AO371" s="860"/>
      <c r="AP371" s="860"/>
      <c r="AQ371" s="860"/>
      <c r="AR371" s="860"/>
      <c r="AS371" s="860"/>
      <c r="AT371" s="860"/>
      <c r="AU371" s="860"/>
      <c r="AV371" s="860"/>
      <c r="AW371" s="860"/>
      <c r="AX371" s="860"/>
      <c r="AY371" s="860"/>
      <c r="AZ371" s="860"/>
      <c r="BA371" s="860"/>
      <c r="BB371" s="860"/>
      <c r="BC371" s="860"/>
      <c r="BD371" s="860"/>
      <c r="BE371" s="860"/>
      <c r="BF371" s="860"/>
      <c r="BG371" s="860"/>
      <c r="BH371" s="668"/>
      <c r="BI371" s="667"/>
      <c r="BJ371" s="690">
        <f t="shared" si="157"/>
        <v>1.4728357042865734</v>
      </c>
      <c r="BK371" s="691">
        <f t="shared" si="158"/>
        <v>8573.6712017930004</v>
      </c>
      <c r="BL371" s="654"/>
      <c r="BM371" s="692">
        <f>SUMIFS(Imput[[Importe Neto]:[Importe Neto]],Imput[[C. Imp.]:[C. Imp.]],$D371,Imput[[PERIODO Imp.]:[PERIODO Imp.]],BM$9)</f>
        <v>0</v>
      </c>
      <c r="BN371" s="693">
        <f>SUMIFS(Imput[[Importe Neto]:[Importe Neto]],Imput[[C. Imp.]:[C. Imp.]],$D371,Imput[[PERIODO Imp.]:[PERIODO Imp.]],BN$9)</f>
        <v>0</v>
      </c>
      <c r="BO371" s="693">
        <f>SUMIFS(Imput[[Importe Neto]:[Importe Neto]],Imput[[C. Imp.]:[C. Imp.]],$D371,Imput[[PERIODO Imp.]:[PERIODO Imp.]],BO$9)</f>
        <v>1973.9952000000001</v>
      </c>
      <c r="BP371" s="693">
        <f>SUMIFS(Imput[[Importe Neto]:[Importe Neto]],Imput[[C. Imp.]:[C. Imp.]],$D371,Imput[[PERIODO Imp.]:[PERIODO Imp.]],BP$9)</f>
        <v>6599.6760017930001</v>
      </c>
      <c r="BQ371" s="693">
        <f>SUMIFS(Imput[[Importe Neto]:[Importe Neto]],Imput[[C. Imp.]:[C. Imp.]],$D371,Imput[[PERIODO Imp.]:[PERIODO Imp.]],BQ$9)</f>
        <v>0</v>
      </c>
      <c r="BR371" s="693">
        <f>SUMIFS(Imput[[Importe Neto]:[Importe Neto]],Imput[[C. Imp.]:[C. Imp.]],$D371,Imput[[PERIODO Imp.]:[PERIODO Imp.]],BR$9)</f>
        <v>0</v>
      </c>
      <c r="BS371" s="693">
        <f>SUMIFS(Imput[[Importe Neto]:[Importe Neto]],Imput[[C. Imp.]:[C. Imp.]],$D371,Imput[[PERIODO Imp.]:[PERIODO Imp.]],BS$9)</f>
        <v>0</v>
      </c>
      <c r="BT371" s="693">
        <f>SUMIFS(Imput[[Importe Neto]:[Importe Neto]],Imput[[C. Imp.]:[C. Imp.]],$D371,Imput[[PERIODO Imp.]:[PERIODO Imp.]],BT$9)</f>
        <v>0</v>
      </c>
      <c r="BU371" s="693">
        <f>SUMIFS(Imput[[Importe Neto]:[Importe Neto]],Imput[[C. Imp.]:[C. Imp.]],$D371,Imput[[PERIODO Imp.]:[PERIODO Imp.]],BU$9)</f>
        <v>0</v>
      </c>
      <c r="BV371" s="693">
        <f>SUMIFS(Imput[[Importe Neto]:[Importe Neto]],Imput[[C. Imp.]:[C. Imp.]],$D371,Imput[[PERIODO Imp.]:[PERIODO Imp.]],BV$9)</f>
        <v>0</v>
      </c>
      <c r="BW371" s="693">
        <f>SUMIFS(Imput[[Importe Neto]:[Importe Neto]],Imput[[C. Imp.]:[C. Imp.]],$D371,Imput[[PERIODO Imp.]:[PERIODO Imp.]],BW$9)</f>
        <v>0</v>
      </c>
      <c r="BX371" s="693">
        <f>SUMIFS(Imput[[Importe Neto]:[Importe Neto]],Imput[[C. Imp.]:[C. Imp.]],$D371,Imput[[PERIODO Imp.]:[PERIODO Imp.]],BX$9)</f>
        <v>0</v>
      </c>
      <c r="BY371" s="693">
        <f>SUMIFS(Imput[[Importe Neto]:[Importe Neto]],Imput[[C. Imp.]:[C. Imp.]],$D371,Imput[[PERIODO Imp.]:[PERIODO Imp.]],BY$9)</f>
        <v>0</v>
      </c>
      <c r="BZ371" s="693">
        <f>SUMIFS(Imput[[Importe Neto]:[Importe Neto]],Imput[[C. Imp.]:[C. Imp.]],$D371,Imput[[PERIODO Imp.]:[PERIODO Imp.]],BZ$9)</f>
        <v>0</v>
      </c>
      <c r="CA371" s="693">
        <f>SUMIFS(Imput[[Importe Neto]:[Importe Neto]],Imput[[C. Imp.]:[C. Imp.]],$D371,Imput[[PERIODO Imp.]:[PERIODO Imp.]],CA$9)</f>
        <v>0</v>
      </c>
      <c r="CB371" s="693">
        <f>SUMIFS(Imput[[Importe Neto]:[Importe Neto]],Imput[[C. Imp.]:[C. Imp.]],$D371,Imput[[PERIODO Imp.]:[PERIODO Imp.]],CB$9)</f>
        <v>0</v>
      </c>
      <c r="CC371" s="693">
        <f>SUMIFS(Imput[[Importe Neto]:[Importe Neto]],Imput[[C. Imp.]:[C. Imp.]],$D371,Imput[[PERIODO Imp.]:[PERIODO Imp.]],CC$9)</f>
        <v>0</v>
      </c>
      <c r="CD371" s="693">
        <f>SUMIFS(Imput[[Importe Neto]:[Importe Neto]],Imput[[C. Imp.]:[C. Imp.]],$D371,Imput[[PERIODO Imp.]:[PERIODO Imp.]],CD$9)</f>
        <v>0</v>
      </c>
      <c r="CE371" s="693">
        <f>SUMIFS(Imput[[Importe Neto]:[Importe Neto]],Imput[[C. Imp.]:[C. Imp.]],$D371,Imput[[PERIODO Imp.]:[PERIODO Imp.]],CE$9)</f>
        <v>0</v>
      </c>
      <c r="CF371" s="693">
        <f>SUMIFS(Imput[[Importe Neto]:[Importe Neto]],Imput[[C. Imp.]:[C. Imp.]],$D371,Imput[[PERIODO Imp.]:[PERIODO Imp.]],CF$9)</f>
        <v>0</v>
      </c>
      <c r="CG371" s="693">
        <f>SUMIFS(Imput[[Importe Neto]:[Importe Neto]],Imput[[C. Imp.]:[C. Imp.]],$D371,Imput[[PERIODO Imp.]:[PERIODO Imp.]],CG$9)</f>
        <v>0</v>
      </c>
      <c r="CH371" s="693">
        <f>SUMIFS(Imput[[Importe Neto]:[Importe Neto]],Imput[[C. Imp.]:[C. Imp.]],$D371,Imput[[PERIODO Imp.]:[PERIODO Imp.]],CH$9)</f>
        <v>0</v>
      </c>
      <c r="CI371" s="693">
        <f>SUMIFS(Imput[[Importe Neto]:[Importe Neto]],Imput[[C. Imp.]:[C. Imp.]],$D371,Imput[[PERIODO Imp.]:[PERIODO Imp.]],CI$9)</f>
        <v>0</v>
      </c>
      <c r="CJ371" s="693">
        <f>SUMIFS(Imput[[Importe Neto]:[Importe Neto]],Imput[[C. Imp.]:[C. Imp.]],$D371,Imput[[PERIODO Imp.]:[PERIODO Imp.]],CJ$9)</f>
        <v>0</v>
      </c>
      <c r="CK371" s="693">
        <f>SUMIFS(Imput[[Importe Neto]:[Importe Neto]],Imput[[C. Imp.]:[C. Imp.]],$D371,Imput[[PERIODO Imp.]:[PERIODO Imp.]],CK$9)</f>
        <v>0</v>
      </c>
      <c r="CL371" s="693">
        <f>SUMIFS(Imput[[Importe Neto]:[Importe Neto]],Imput[[C. Imp.]:[C. Imp.]],$D371,Imput[[PERIODO Imp.]:[PERIODO Imp.]],CL$9)</f>
        <v>0</v>
      </c>
      <c r="CM371" s="693">
        <f>SUMIFS(Imput[[Importe Neto]:[Importe Neto]],Imput[[C. Imp.]:[C. Imp.]],$D371,Imput[[PERIODO Imp.]:[PERIODO Imp.]],CM$9)</f>
        <v>0</v>
      </c>
      <c r="CN371" s="693">
        <f>SUMIFS(Imput[[Importe Neto]:[Importe Neto]],Imput[[C. Imp.]:[C. Imp.]],$D371,Imput[[PERIODO Imp.]:[PERIODO Imp.]],CN$9)</f>
        <v>0</v>
      </c>
      <c r="CO371" s="693">
        <f>SUMIFS(Imput[[Importe Neto]:[Importe Neto]],Imput[[C. Imp.]:[C. Imp.]],$D371,Imput[[PERIODO Imp.]:[PERIODO Imp.]],CO$9)</f>
        <v>0</v>
      </c>
      <c r="CP371" s="693">
        <f>SUMIFS(Imput[[Importe Neto]:[Importe Neto]],Imput[[C. Imp.]:[C. Imp.]],$D371,Imput[[PERIODO Imp.]:[PERIODO Imp.]],CP$9)</f>
        <v>0</v>
      </c>
      <c r="CQ371" s="693">
        <f>SUMIFS(Imput[[Importe Neto]:[Importe Neto]],Imput[[C. Imp.]:[C. Imp.]],$D371,Imput[[PERIODO Imp.]:[PERIODO Imp.]],CQ$9)</f>
        <v>0</v>
      </c>
      <c r="CR371" s="693">
        <f>SUMIFS(Imput[[Importe Neto]:[Importe Neto]],Imput[[C. Imp.]:[C. Imp.]],$D371,Imput[[PERIODO Imp.]:[PERIODO Imp.]],CR$9)</f>
        <v>0</v>
      </c>
      <c r="CS371" s="693">
        <f>SUMIFS(Imput[[Importe Neto]:[Importe Neto]],Imput[[C. Imp.]:[C. Imp.]],$D371,Imput[[PERIODO Imp.]:[PERIODO Imp.]],CS$9)</f>
        <v>0</v>
      </c>
      <c r="CT371" s="693">
        <f>SUMIFS(Imput[[Importe Neto]:[Importe Neto]],Imput[[C. Imp.]:[C. Imp.]],$D371,Imput[[PERIODO Imp.]:[PERIODO Imp.]],CT$9)</f>
        <v>0</v>
      </c>
      <c r="CU371" s="693">
        <f>SUMIFS(Imput[[Importe Neto]:[Importe Neto]],Imput[[C. Imp.]:[C. Imp.]],$D371,Imput[[PERIODO Imp.]:[PERIODO Imp.]],CU$9)</f>
        <v>0</v>
      </c>
      <c r="CV371" s="693">
        <f>SUMIFS(Imput[[Importe Neto]:[Importe Neto]],Imput[[C. Imp.]:[C. Imp.]],$D371,Imput[[PERIODO Imp.]:[PERIODO Imp.]],CV$9)</f>
        <v>0</v>
      </c>
      <c r="CW371" s="693">
        <f>SUMIFS(Imput[[Importe Neto]:[Importe Neto]],Imput[[C. Imp.]:[C. Imp.]],$D371,Imput[[PERIODO Imp.]:[PERIODO Imp.]],CW$9)</f>
        <v>0</v>
      </c>
      <c r="CX371" s="693">
        <f>SUMIFS(Imput[[Importe Neto]:[Importe Neto]],Imput[[C. Imp.]:[C. Imp.]],$D371,Imput[[PERIODO Imp.]:[PERIODO Imp.]],CX$9)</f>
        <v>0</v>
      </c>
      <c r="CY371" s="693">
        <f>SUMIFS(Imput[[Importe Neto]:[Importe Neto]],Imput[[C. Imp.]:[C. Imp.]],$D371,Imput[[PERIODO Imp.]:[PERIODO Imp.]],CY$9)</f>
        <v>0</v>
      </c>
      <c r="CZ371" s="693">
        <f>SUMIFS(Imput[[Importe Neto]:[Importe Neto]],Imput[[C. Imp.]:[C. Imp.]],$D371,Imput[[PERIODO Imp.]:[PERIODO Imp.]],CZ$9)</f>
        <v>0</v>
      </c>
      <c r="DA371" s="693">
        <f>SUMIFS(Imput[[Importe Neto]:[Importe Neto]],Imput[[C. Imp.]:[C. Imp.]],$D371,Imput[[PERIODO Imp.]:[PERIODO Imp.]],DA$9)</f>
        <v>0</v>
      </c>
      <c r="DB371" s="693">
        <f>SUMIFS(Imput[[Importe Neto]:[Importe Neto]],Imput[[C. Imp.]:[C. Imp.]],$D371,Imput[[PERIODO Imp.]:[PERIODO Imp.]],DB$9)</f>
        <v>0</v>
      </c>
      <c r="DC371" s="693">
        <f>SUMIFS(Imput[[Importe Neto]:[Importe Neto]],Imput[[C. Imp.]:[C. Imp.]],$D371,Imput[[PERIODO Imp.]:[PERIODO Imp.]],DC$9)</f>
        <v>0</v>
      </c>
      <c r="DD371" s="693">
        <f>SUMIFS(Imput[[Importe Neto]:[Importe Neto]],Imput[[C. Imp.]:[C. Imp.]],$D371,Imput[[PERIODO Imp.]:[PERIODO Imp.]],DD$9)</f>
        <v>0</v>
      </c>
      <c r="DE371" s="693">
        <f>SUMIFS(Imput[[Importe Neto]:[Importe Neto]],Imput[[C. Imp.]:[C. Imp.]],$D371,Imput[[PERIODO Imp.]:[PERIODO Imp.]],DE$9)</f>
        <v>0</v>
      </c>
      <c r="DF371" s="693">
        <f>SUMIFS(Imput[[Importe Neto]:[Importe Neto]],Imput[[C. Imp.]:[C. Imp.]],$D371,Imput[[PERIODO Imp.]:[PERIODO Imp.]],DF$9)</f>
        <v>0</v>
      </c>
      <c r="DG371" s="693">
        <f>SUMIFS(Imput[[Importe Neto]:[Importe Neto]],Imput[[C. Imp.]:[C. Imp.]],$D371,Imput[[PERIODO Imp.]:[PERIODO Imp.]],DG$9)</f>
        <v>0</v>
      </c>
      <c r="DH371" s="694">
        <f>SUMIFS(Imput[[Importe Neto]:[Importe Neto]],Imput[[C. Imp.]:[C. Imp.]],$D371,Imput[[PERIODO Imp.]:[PERIODO Imp.]],DH$9)</f>
        <v>0</v>
      </c>
    </row>
    <row r="372" spans="1:112" s="649" customFormat="1" outlineLevel="1" x14ac:dyDescent="0.3">
      <c r="A372" s="652" t="str">
        <f t="shared" si="154"/>
        <v>Imprimir</v>
      </c>
      <c r="B372" s="652"/>
      <c r="C372" s="685"/>
      <c r="D372" s="686" t="s">
        <v>2432</v>
      </c>
      <c r="E372" s="686" t="s">
        <v>500</v>
      </c>
      <c r="F372" s="720"/>
      <c r="G372" s="688">
        <v>8</v>
      </c>
      <c r="H372" s="689">
        <f>Producción!G34*4</f>
        <v>132</v>
      </c>
      <c r="I372" s="851">
        <f t="shared" si="155"/>
        <v>1</v>
      </c>
      <c r="J372" s="850">
        <f t="shared" si="156"/>
        <v>1056</v>
      </c>
      <c r="K372" s="678"/>
      <c r="L372" s="858">
        <v>0.3</v>
      </c>
      <c r="M372" s="859"/>
      <c r="N372" s="859"/>
      <c r="O372" s="859"/>
      <c r="P372" s="859">
        <v>0.3</v>
      </c>
      <c r="Q372" s="859"/>
      <c r="R372" s="859"/>
      <c r="S372" s="859"/>
      <c r="T372" s="859"/>
      <c r="U372" s="859"/>
      <c r="V372" s="859"/>
      <c r="W372" s="859">
        <v>0.3</v>
      </c>
      <c r="X372" s="859"/>
      <c r="Y372" s="859"/>
      <c r="Z372" s="860"/>
      <c r="AA372" s="860"/>
      <c r="AB372" s="860"/>
      <c r="AC372" s="860"/>
      <c r="AD372" s="860"/>
      <c r="AE372" s="860">
        <v>0.1</v>
      </c>
      <c r="AF372" s="860"/>
      <c r="AG372" s="860"/>
      <c r="AH372" s="860"/>
      <c r="AI372" s="860"/>
      <c r="AJ372" s="860"/>
      <c r="AK372" s="860"/>
      <c r="AL372" s="860"/>
      <c r="AM372" s="860"/>
      <c r="AN372" s="860"/>
      <c r="AO372" s="860"/>
      <c r="AP372" s="860"/>
      <c r="AQ372" s="860"/>
      <c r="AR372" s="860"/>
      <c r="AS372" s="860"/>
      <c r="AT372" s="860"/>
      <c r="AU372" s="860"/>
      <c r="AV372" s="860"/>
      <c r="AW372" s="860"/>
      <c r="AX372" s="860"/>
      <c r="AY372" s="860"/>
      <c r="AZ372" s="860"/>
      <c r="BA372" s="860"/>
      <c r="BB372" s="860"/>
      <c r="BC372" s="860"/>
      <c r="BD372" s="860"/>
      <c r="BE372" s="860"/>
      <c r="BF372" s="860"/>
      <c r="BG372" s="860"/>
      <c r="BH372" s="668"/>
      <c r="BI372" s="654"/>
      <c r="BJ372" s="690">
        <f t="shared" si="157"/>
        <v>0</v>
      </c>
      <c r="BK372" s="691">
        <f t="shared" si="158"/>
        <v>0</v>
      </c>
      <c r="BL372" s="654"/>
      <c r="BM372" s="692">
        <f>SUMIFS(Imput[[Importe Neto]:[Importe Neto]],Imput[[C. Imp.]:[C. Imp.]],$D372,Imput[[PERIODO Imp.]:[PERIODO Imp.]],BM$9)</f>
        <v>0</v>
      </c>
      <c r="BN372" s="693">
        <f>SUMIFS(Imput[[Importe Neto]:[Importe Neto]],Imput[[C. Imp.]:[C. Imp.]],$D372,Imput[[PERIODO Imp.]:[PERIODO Imp.]],BN$9)</f>
        <v>0</v>
      </c>
      <c r="BO372" s="693">
        <f>SUMIFS(Imput[[Importe Neto]:[Importe Neto]],Imput[[C. Imp.]:[C. Imp.]],$D372,Imput[[PERIODO Imp.]:[PERIODO Imp.]],BO$9)</f>
        <v>0</v>
      </c>
      <c r="BP372" s="693">
        <f>SUMIFS(Imput[[Importe Neto]:[Importe Neto]],Imput[[C. Imp.]:[C. Imp.]],$D372,Imput[[PERIODO Imp.]:[PERIODO Imp.]],BP$9)</f>
        <v>0</v>
      </c>
      <c r="BQ372" s="693">
        <f>SUMIFS(Imput[[Importe Neto]:[Importe Neto]],Imput[[C. Imp.]:[C. Imp.]],$D372,Imput[[PERIODO Imp.]:[PERIODO Imp.]],BQ$9)</f>
        <v>0</v>
      </c>
      <c r="BR372" s="693">
        <f>SUMIFS(Imput[[Importe Neto]:[Importe Neto]],Imput[[C. Imp.]:[C. Imp.]],$D372,Imput[[PERIODO Imp.]:[PERIODO Imp.]],BR$9)</f>
        <v>0</v>
      </c>
      <c r="BS372" s="693">
        <f>SUMIFS(Imput[[Importe Neto]:[Importe Neto]],Imput[[C. Imp.]:[C. Imp.]],$D372,Imput[[PERIODO Imp.]:[PERIODO Imp.]],BS$9)</f>
        <v>0</v>
      </c>
      <c r="BT372" s="693">
        <f>SUMIFS(Imput[[Importe Neto]:[Importe Neto]],Imput[[C. Imp.]:[C. Imp.]],$D372,Imput[[PERIODO Imp.]:[PERIODO Imp.]],BT$9)</f>
        <v>0</v>
      </c>
      <c r="BU372" s="693">
        <f>SUMIFS(Imput[[Importe Neto]:[Importe Neto]],Imput[[C. Imp.]:[C. Imp.]],$D372,Imput[[PERIODO Imp.]:[PERIODO Imp.]],BU$9)</f>
        <v>0</v>
      </c>
      <c r="BV372" s="693">
        <f>SUMIFS(Imput[[Importe Neto]:[Importe Neto]],Imput[[C. Imp.]:[C. Imp.]],$D372,Imput[[PERIODO Imp.]:[PERIODO Imp.]],BV$9)</f>
        <v>0</v>
      </c>
      <c r="BW372" s="693">
        <f>SUMIFS(Imput[[Importe Neto]:[Importe Neto]],Imput[[C. Imp.]:[C. Imp.]],$D372,Imput[[PERIODO Imp.]:[PERIODO Imp.]],BW$9)</f>
        <v>0</v>
      </c>
      <c r="BX372" s="693">
        <f>SUMIFS(Imput[[Importe Neto]:[Importe Neto]],Imput[[C. Imp.]:[C. Imp.]],$D372,Imput[[PERIODO Imp.]:[PERIODO Imp.]],BX$9)</f>
        <v>0</v>
      </c>
      <c r="BY372" s="693">
        <f>SUMIFS(Imput[[Importe Neto]:[Importe Neto]],Imput[[C. Imp.]:[C. Imp.]],$D372,Imput[[PERIODO Imp.]:[PERIODO Imp.]],BY$9)</f>
        <v>0</v>
      </c>
      <c r="BZ372" s="693">
        <f>SUMIFS(Imput[[Importe Neto]:[Importe Neto]],Imput[[C. Imp.]:[C. Imp.]],$D372,Imput[[PERIODO Imp.]:[PERIODO Imp.]],BZ$9)</f>
        <v>0</v>
      </c>
      <c r="CA372" s="693">
        <f>SUMIFS(Imput[[Importe Neto]:[Importe Neto]],Imput[[C. Imp.]:[C. Imp.]],$D372,Imput[[PERIODO Imp.]:[PERIODO Imp.]],CA$9)</f>
        <v>0</v>
      </c>
      <c r="CB372" s="693">
        <f>SUMIFS(Imput[[Importe Neto]:[Importe Neto]],Imput[[C. Imp.]:[C. Imp.]],$D372,Imput[[PERIODO Imp.]:[PERIODO Imp.]],CB$9)</f>
        <v>0</v>
      </c>
      <c r="CC372" s="693">
        <f>SUMIFS(Imput[[Importe Neto]:[Importe Neto]],Imput[[C. Imp.]:[C. Imp.]],$D372,Imput[[PERIODO Imp.]:[PERIODO Imp.]],CC$9)</f>
        <v>0</v>
      </c>
      <c r="CD372" s="693">
        <f>SUMIFS(Imput[[Importe Neto]:[Importe Neto]],Imput[[C. Imp.]:[C. Imp.]],$D372,Imput[[PERIODO Imp.]:[PERIODO Imp.]],CD$9)</f>
        <v>0</v>
      </c>
      <c r="CE372" s="693">
        <f>SUMIFS(Imput[[Importe Neto]:[Importe Neto]],Imput[[C. Imp.]:[C. Imp.]],$D372,Imput[[PERIODO Imp.]:[PERIODO Imp.]],CE$9)</f>
        <v>0</v>
      </c>
      <c r="CF372" s="693">
        <f>SUMIFS(Imput[[Importe Neto]:[Importe Neto]],Imput[[C. Imp.]:[C. Imp.]],$D372,Imput[[PERIODO Imp.]:[PERIODO Imp.]],CF$9)</f>
        <v>0</v>
      </c>
      <c r="CG372" s="693">
        <f>SUMIFS(Imput[[Importe Neto]:[Importe Neto]],Imput[[C. Imp.]:[C. Imp.]],$D372,Imput[[PERIODO Imp.]:[PERIODO Imp.]],CG$9)</f>
        <v>0</v>
      </c>
      <c r="CH372" s="693">
        <f>SUMIFS(Imput[[Importe Neto]:[Importe Neto]],Imput[[C. Imp.]:[C. Imp.]],$D372,Imput[[PERIODO Imp.]:[PERIODO Imp.]],CH$9)</f>
        <v>0</v>
      </c>
      <c r="CI372" s="693">
        <f>SUMIFS(Imput[[Importe Neto]:[Importe Neto]],Imput[[C. Imp.]:[C. Imp.]],$D372,Imput[[PERIODO Imp.]:[PERIODO Imp.]],CI$9)</f>
        <v>0</v>
      </c>
      <c r="CJ372" s="693">
        <f>SUMIFS(Imput[[Importe Neto]:[Importe Neto]],Imput[[C. Imp.]:[C. Imp.]],$D372,Imput[[PERIODO Imp.]:[PERIODO Imp.]],CJ$9)</f>
        <v>0</v>
      </c>
      <c r="CK372" s="693">
        <f>SUMIFS(Imput[[Importe Neto]:[Importe Neto]],Imput[[C. Imp.]:[C. Imp.]],$D372,Imput[[PERIODO Imp.]:[PERIODO Imp.]],CK$9)</f>
        <v>0</v>
      </c>
      <c r="CL372" s="693">
        <f>SUMIFS(Imput[[Importe Neto]:[Importe Neto]],Imput[[C. Imp.]:[C. Imp.]],$D372,Imput[[PERIODO Imp.]:[PERIODO Imp.]],CL$9)</f>
        <v>0</v>
      </c>
      <c r="CM372" s="693">
        <f>SUMIFS(Imput[[Importe Neto]:[Importe Neto]],Imput[[C. Imp.]:[C. Imp.]],$D372,Imput[[PERIODO Imp.]:[PERIODO Imp.]],CM$9)</f>
        <v>0</v>
      </c>
      <c r="CN372" s="693">
        <f>SUMIFS(Imput[[Importe Neto]:[Importe Neto]],Imput[[C. Imp.]:[C. Imp.]],$D372,Imput[[PERIODO Imp.]:[PERIODO Imp.]],CN$9)</f>
        <v>0</v>
      </c>
      <c r="CO372" s="693">
        <f>SUMIFS(Imput[[Importe Neto]:[Importe Neto]],Imput[[C. Imp.]:[C. Imp.]],$D372,Imput[[PERIODO Imp.]:[PERIODO Imp.]],CO$9)</f>
        <v>0</v>
      </c>
      <c r="CP372" s="693">
        <f>SUMIFS(Imput[[Importe Neto]:[Importe Neto]],Imput[[C. Imp.]:[C. Imp.]],$D372,Imput[[PERIODO Imp.]:[PERIODO Imp.]],CP$9)</f>
        <v>0</v>
      </c>
      <c r="CQ372" s="693">
        <f>SUMIFS(Imput[[Importe Neto]:[Importe Neto]],Imput[[C. Imp.]:[C. Imp.]],$D372,Imput[[PERIODO Imp.]:[PERIODO Imp.]],CQ$9)</f>
        <v>0</v>
      </c>
      <c r="CR372" s="693">
        <f>SUMIFS(Imput[[Importe Neto]:[Importe Neto]],Imput[[C. Imp.]:[C. Imp.]],$D372,Imput[[PERIODO Imp.]:[PERIODO Imp.]],CR$9)</f>
        <v>0</v>
      </c>
      <c r="CS372" s="693">
        <f>SUMIFS(Imput[[Importe Neto]:[Importe Neto]],Imput[[C. Imp.]:[C. Imp.]],$D372,Imput[[PERIODO Imp.]:[PERIODO Imp.]],CS$9)</f>
        <v>0</v>
      </c>
      <c r="CT372" s="693">
        <f>SUMIFS(Imput[[Importe Neto]:[Importe Neto]],Imput[[C. Imp.]:[C. Imp.]],$D372,Imput[[PERIODO Imp.]:[PERIODO Imp.]],CT$9)</f>
        <v>0</v>
      </c>
      <c r="CU372" s="693">
        <f>SUMIFS(Imput[[Importe Neto]:[Importe Neto]],Imput[[C. Imp.]:[C. Imp.]],$D372,Imput[[PERIODO Imp.]:[PERIODO Imp.]],CU$9)</f>
        <v>0</v>
      </c>
      <c r="CV372" s="693">
        <f>SUMIFS(Imput[[Importe Neto]:[Importe Neto]],Imput[[C. Imp.]:[C. Imp.]],$D372,Imput[[PERIODO Imp.]:[PERIODO Imp.]],CV$9)</f>
        <v>0</v>
      </c>
      <c r="CW372" s="693">
        <f>SUMIFS(Imput[[Importe Neto]:[Importe Neto]],Imput[[C. Imp.]:[C. Imp.]],$D372,Imput[[PERIODO Imp.]:[PERIODO Imp.]],CW$9)</f>
        <v>0</v>
      </c>
      <c r="CX372" s="693">
        <f>SUMIFS(Imput[[Importe Neto]:[Importe Neto]],Imput[[C. Imp.]:[C. Imp.]],$D372,Imput[[PERIODO Imp.]:[PERIODO Imp.]],CX$9)</f>
        <v>0</v>
      </c>
      <c r="CY372" s="693">
        <f>SUMIFS(Imput[[Importe Neto]:[Importe Neto]],Imput[[C. Imp.]:[C. Imp.]],$D372,Imput[[PERIODO Imp.]:[PERIODO Imp.]],CY$9)</f>
        <v>0</v>
      </c>
      <c r="CZ372" s="693">
        <f>SUMIFS(Imput[[Importe Neto]:[Importe Neto]],Imput[[C. Imp.]:[C. Imp.]],$D372,Imput[[PERIODO Imp.]:[PERIODO Imp.]],CZ$9)</f>
        <v>0</v>
      </c>
      <c r="DA372" s="693">
        <f>SUMIFS(Imput[[Importe Neto]:[Importe Neto]],Imput[[C. Imp.]:[C. Imp.]],$D372,Imput[[PERIODO Imp.]:[PERIODO Imp.]],DA$9)</f>
        <v>0</v>
      </c>
      <c r="DB372" s="693">
        <f>SUMIFS(Imput[[Importe Neto]:[Importe Neto]],Imput[[C. Imp.]:[C. Imp.]],$D372,Imput[[PERIODO Imp.]:[PERIODO Imp.]],DB$9)</f>
        <v>0</v>
      </c>
      <c r="DC372" s="693">
        <f>SUMIFS(Imput[[Importe Neto]:[Importe Neto]],Imput[[C. Imp.]:[C. Imp.]],$D372,Imput[[PERIODO Imp.]:[PERIODO Imp.]],DC$9)</f>
        <v>0</v>
      </c>
      <c r="DD372" s="693">
        <f>SUMIFS(Imput[[Importe Neto]:[Importe Neto]],Imput[[C. Imp.]:[C. Imp.]],$D372,Imput[[PERIODO Imp.]:[PERIODO Imp.]],DD$9)</f>
        <v>0</v>
      </c>
      <c r="DE372" s="693">
        <f>SUMIFS(Imput[[Importe Neto]:[Importe Neto]],Imput[[C. Imp.]:[C. Imp.]],$D372,Imput[[PERIODO Imp.]:[PERIODO Imp.]],DE$9)</f>
        <v>0</v>
      </c>
      <c r="DF372" s="693">
        <f>SUMIFS(Imput[[Importe Neto]:[Importe Neto]],Imput[[C. Imp.]:[C. Imp.]],$D372,Imput[[PERIODO Imp.]:[PERIODO Imp.]],DF$9)</f>
        <v>0</v>
      </c>
      <c r="DG372" s="693">
        <f>SUMIFS(Imput[[Importe Neto]:[Importe Neto]],Imput[[C. Imp.]:[C. Imp.]],$D372,Imput[[PERIODO Imp.]:[PERIODO Imp.]],DG$9)</f>
        <v>0</v>
      </c>
      <c r="DH372" s="694">
        <f>SUMIFS(Imput[[Importe Neto]:[Importe Neto]],Imput[[C. Imp.]:[C. Imp.]],$D372,Imput[[PERIODO Imp.]:[PERIODO Imp.]],DH$9)</f>
        <v>0</v>
      </c>
    </row>
    <row r="373" spans="1:112" s="649" customFormat="1" outlineLevel="1" x14ac:dyDescent="0.3">
      <c r="A373" s="652" t="str">
        <f t="shared" si="154"/>
        <v>Imprimir</v>
      </c>
      <c r="B373" s="652"/>
      <c r="C373" s="685"/>
      <c r="D373" s="686" t="s">
        <v>2433</v>
      </c>
      <c r="E373" s="686" t="s">
        <v>501</v>
      </c>
      <c r="F373" s="720"/>
      <c r="G373" s="688">
        <v>6</v>
      </c>
      <c r="H373" s="689">
        <f>Producción!G34*12</f>
        <v>396</v>
      </c>
      <c r="I373" s="851">
        <f t="shared" si="155"/>
        <v>1</v>
      </c>
      <c r="J373" s="850">
        <f t="shared" si="156"/>
        <v>2376</v>
      </c>
      <c r="K373" s="667"/>
      <c r="L373" s="858">
        <v>1</v>
      </c>
      <c r="M373" s="859"/>
      <c r="N373" s="859"/>
      <c r="O373" s="859"/>
      <c r="P373" s="859"/>
      <c r="Q373" s="859"/>
      <c r="R373" s="859"/>
      <c r="S373" s="859"/>
      <c r="T373" s="859"/>
      <c r="U373" s="859"/>
      <c r="V373" s="859"/>
      <c r="W373" s="859"/>
      <c r="X373" s="859"/>
      <c r="Y373" s="859"/>
      <c r="Z373" s="860"/>
      <c r="AA373" s="860"/>
      <c r="AB373" s="860"/>
      <c r="AC373" s="860"/>
      <c r="AD373" s="860"/>
      <c r="AE373" s="860"/>
      <c r="AF373" s="860"/>
      <c r="AG373" s="860"/>
      <c r="AH373" s="860"/>
      <c r="AI373" s="860"/>
      <c r="AJ373" s="860"/>
      <c r="AK373" s="860"/>
      <c r="AL373" s="860"/>
      <c r="AM373" s="860"/>
      <c r="AN373" s="860"/>
      <c r="AO373" s="860"/>
      <c r="AP373" s="860"/>
      <c r="AQ373" s="860"/>
      <c r="AR373" s="860"/>
      <c r="AS373" s="860"/>
      <c r="AT373" s="860"/>
      <c r="AU373" s="860"/>
      <c r="AV373" s="860"/>
      <c r="AW373" s="860"/>
      <c r="AX373" s="860"/>
      <c r="AY373" s="860"/>
      <c r="AZ373" s="860"/>
      <c r="BA373" s="860"/>
      <c r="BB373" s="860"/>
      <c r="BC373" s="860"/>
      <c r="BD373" s="860"/>
      <c r="BE373" s="860"/>
      <c r="BF373" s="860"/>
      <c r="BG373" s="860"/>
      <c r="BH373" s="668"/>
      <c r="BI373" s="667"/>
      <c r="BJ373" s="690">
        <f t="shared" si="157"/>
        <v>0</v>
      </c>
      <c r="BK373" s="691">
        <f t="shared" si="158"/>
        <v>0</v>
      </c>
      <c r="BL373" s="654"/>
      <c r="BM373" s="692">
        <f>SUMIFS(Imput[[Importe Neto]:[Importe Neto]],Imput[[C. Imp.]:[C. Imp.]],$D373,Imput[[PERIODO Imp.]:[PERIODO Imp.]],BM$9)</f>
        <v>0</v>
      </c>
      <c r="BN373" s="693">
        <f>SUMIFS(Imput[[Importe Neto]:[Importe Neto]],Imput[[C. Imp.]:[C. Imp.]],$D373,Imput[[PERIODO Imp.]:[PERIODO Imp.]],BN$9)</f>
        <v>0</v>
      </c>
      <c r="BO373" s="693">
        <f>SUMIFS(Imput[[Importe Neto]:[Importe Neto]],Imput[[C. Imp.]:[C. Imp.]],$D373,Imput[[PERIODO Imp.]:[PERIODO Imp.]],BO$9)</f>
        <v>0</v>
      </c>
      <c r="BP373" s="693">
        <f>SUMIFS(Imput[[Importe Neto]:[Importe Neto]],Imput[[C. Imp.]:[C. Imp.]],$D373,Imput[[PERIODO Imp.]:[PERIODO Imp.]],BP$9)</f>
        <v>0</v>
      </c>
      <c r="BQ373" s="693">
        <f>SUMIFS(Imput[[Importe Neto]:[Importe Neto]],Imput[[C. Imp.]:[C. Imp.]],$D373,Imput[[PERIODO Imp.]:[PERIODO Imp.]],BQ$9)</f>
        <v>0</v>
      </c>
      <c r="BR373" s="693">
        <f>SUMIFS(Imput[[Importe Neto]:[Importe Neto]],Imput[[C. Imp.]:[C. Imp.]],$D373,Imput[[PERIODO Imp.]:[PERIODO Imp.]],BR$9)</f>
        <v>0</v>
      </c>
      <c r="BS373" s="693">
        <f>SUMIFS(Imput[[Importe Neto]:[Importe Neto]],Imput[[C. Imp.]:[C. Imp.]],$D373,Imput[[PERIODO Imp.]:[PERIODO Imp.]],BS$9)</f>
        <v>0</v>
      </c>
      <c r="BT373" s="693">
        <f>SUMIFS(Imput[[Importe Neto]:[Importe Neto]],Imput[[C. Imp.]:[C. Imp.]],$D373,Imput[[PERIODO Imp.]:[PERIODO Imp.]],BT$9)</f>
        <v>0</v>
      </c>
      <c r="BU373" s="693">
        <f>SUMIFS(Imput[[Importe Neto]:[Importe Neto]],Imput[[C. Imp.]:[C. Imp.]],$D373,Imput[[PERIODO Imp.]:[PERIODO Imp.]],BU$9)</f>
        <v>0</v>
      </c>
      <c r="BV373" s="693">
        <f>SUMIFS(Imput[[Importe Neto]:[Importe Neto]],Imput[[C. Imp.]:[C. Imp.]],$D373,Imput[[PERIODO Imp.]:[PERIODO Imp.]],BV$9)</f>
        <v>0</v>
      </c>
      <c r="BW373" s="693">
        <f>SUMIFS(Imput[[Importe Neto]:[Importe Neto]],Imput[[C. Imp.]:[C. Imp.]],$D373,Imput[[PERIODO Imp.]:[PERIODO Imp.]],BW$9)</f>
        <v>0</v>
      </c>
      <c r="BX373" s="693">
        <f>SUMIFS(Imput[[Importe Neto]:[Importe Neto]],Imput[[C. Imp.]:[C. Imp.]],$D373,Imput[[PERIODO Imp.]:[PERIODO Imp.]],BX$9)</f>
        <v>0</v>
      </c>
      <c r="BY373" s="693">
        <f>SUMIFS(Imput[[Importe Neto]:[Importe Neto]],Imput[[C. Imp.]:[C. Imp.]],$D373,Imput[[PERIODO Imp.]:[PERIODO Imp.]],BY$9)</f>
        <v>0</v>
      </c>
      <c r="BZ373" s="693">
        <f>SUMIFS(Imput[[Importe Neto]:[Importe Neto]],Imput[[C. Imp.]:[C. Imp.]],$D373,Imput[[PERIODO Imp.]:[PERIODO Imp.]],BZ$9)</f>
        <v>0</v>
      </c>
      <c r="CA373" s="693">
        <f>SUMIFS(Imput[[Importe Neto]:[Importe Neto]],Imput[[C. Imp.]:[C. Imp.]],$D373,Imput[[PERIODO Imp.]:[PERIODO Imp.]],CA$9)</f>
        <v>0</v>
      </c>
      <c r="CB373" s="693">
        <f>SUMIFS(Imput[[Importe Neto]:[Importe Neto]],Imput[[C. Imp.]:[C. Imp.]],$D373,Imput[[PERIODO Imp.]:[PERIODO Imp.]],CB$9)</f>
        <v>0</v>
      </c>
      <c r="CC373" s="693">
        <f>SUMIFS(Imput[[Importe Neto]:[Importe Neto]],Imput[[C. Imp.]:[C. Imp.]],$D373,Imput[[PERIODO Imp.]:[PERIODO Imp.]],CC$9)</f>
        <v>0</v>
      </c>
      <c r="CD373" s="693">
        <f>SUMIFS(Imput[[Importe Neto]:[Importe Neto]],Imput[[C. Imp.]:[C. Imp.]],$D373,Imput[[PERIODO Imp.]:[PERIODO Imp.]],CD$9)</f>
        <v>0</v>
      </c>
      <c r="CE373" s="693">
        <f>SUMIFS(Imput[[Importe Neto]:[Importe Neto]],Imput[[C. Imp.]:[C. Imp.]],$D373,Imput[[PERIODO Imp.]:[PERIODO Imp.]],CE$9)</f>
        <v>0</v>
      </c>
      <c r="CF373" s="693">
        <f>SUMIFS(Imput[[Importe Neto]:[Importe Neto]],Imput[[C. Imp.]:[C. Imp.]],$D373,Imput[[PERIODO Imp.]:[PERIODO Imp.]],CF$9)</f>
        <v>0</v>
      </c>
      <c r="CG373" s="693">
        <f>SUMIFS(Imput[[Importe Neto]:[Importe Neto]],Imput[[C. Imp.]:[C. Imp.]],$D373,Imput[[PERIODO Imp.]:[PERIODO Imp.]],CG$9)</f>
        <v>0</v>
      </c>
      <c r="CH373" s="693">
        <f>SUMIFS(Imput[[Importe Neto]:[Importe Neto]],Imput[[C. Imp.]:[C. Imp.]],$D373,Imput[[PERIODO Imp.]:[PERIODO Imp.]],CH$9)</f>
        <v>0</v>
      </c>
      <c r="CI373" s="693">
        <f>SUMIFS(Imput[[Importe Neto]:[Importe Neto]],Imput[[C. Imp.]:[C. Imp.]],$D373,Imput[[PERIODO Imp.]:[PERIODO Imp.]],CI$9)</f>
        <v>0</v>
      </c>
      <c r="CJ373" s="693">
        <f>SUMIFS(Imput[[Importe Neto]:[Importe Neto]],Imput[[C. Imp.]:[C. Imp.]],$D373,Imput[[PERIODO Imp.]:[PERIODO Imp.]],CJ$9)</f>
        <v>0</v>
      </c>
      <c r="CK373" s="693">
        <f>SUMIFS(Imput[[Importe Neto]:[Importe Neto]],Imput[[C. Imp.]:[C. Imp.]],$D373,Imput[[PERIODO Imp.]:[PERIODO Imp.]],CK$9)</f>
        <v>0</v>
      </c>
      <c r="CL373" s="693">
        <f>SUMIFS(Imput[[Importe Neto]:[Importe Neto]],Imput[[C. Imp.]:[C. Imp.]],$D373,Imput[[PERIODO Imp.]:[PERIODO Imp.]],CL$9)</f>
        <v>0</v>
      </c>
      <c r="CM373" s="693">
        <f>SUMIFS(Imput[[Importe Neto]:[Importe Neto]],Imput[[C. Imp.]:[C. Imp.]],$D373,Imput[[PERIODO Imp.]:[PERIODO Imp.]],CM$9)</f>
        <v>0</v>
      </c>
      <c r="CN373" s="693">
        <f>SUMIFS(Imput[[Importe Neto]:[Importe Neto]],Imput[[C. Imp.]:[C. Imp.]],$D373,Imput[[PERIODO Imp.]:[PERIODO Imp.]],CN$9)</f>
        <v>0</v>
      </c>
      <c r="CO373" s="693">
        <f>SUMIFS(Imput[[Importe Neto]:[Importe Neto]],Imput[[C. Imp.]:[C. Imp.]],$D373,Imput[[PERIODO Imp.]:[PERIODO Imp.]],CO$9)</f>
        <v>0</v>
      </c>
      <c r="CP373" s="693">
        <f>SUMIFS(Imput[[Importe Neto]:[Importe Neto]],Imput[[C. Imp.]:[C. Imp.]],$D373,Imput[[PERIODO Imp.]:[PERIODO Imp.]],CP$9)</f>
        <v>0</v>
      </c>
      <c r="CQ373" s="693">
        <f>SUMIFS(Imput[[Importe Neto]:[Importe Neto]],Imput[[C. Imp.]:[C. Imp.]],$D373,Imput[[PERIODO Imp.]:[PERIODO Imp.]],CQ$9)</f>
        <v>0</v>
      </c>
      <c r="CR373" s="693">
        <f>SUMIFS(Imput[[Importe Neto]:[Importe Neto]],Imput[[C. Imp.]:[C. Imp.]],$D373,Imput[[PERIODO Imp.]:[PERIODO Imp.]],CR$9)</f>
        <v>0</v>
      </c>
      <c r="CS373" s="693">
        <f>SUMIFS(Imput[[Importe Neto]:[Importe Neto]],Imput[[C. Imp.]:[C. Imp.]],$D373,Imput[[PERIODO Imp.]:[PERIODO Imp.]],CS$9)</f>
        <v>0</v>
      </c>
      <c r="CT373" s="693">
        <f>SUMIFS(Imput[[Importe Neto]:[Importe Neto]],Imput[[C. Imp.]:[C. Imp.]],$D373,Imput[[PERIODO Imp.]:[PERIODO Imp.]],CT$9)</f>
        <v>0</v>
      </c>
      <c r="CU373" s="693">
        <f>SUMIFS(Imput[[Importe Neto]:[Importe Neto]],Imput[[C. Imp.]:[C. Imp.]],$D373,Imput[[PERIODO Imp.]:[PERIODO Imp.]],CU$9)</f>
        <v>0</v>
      </c>
      <c r="CV373" s="693">
        <f>SUMIFS(Imput[[Importe Neto]:[Importe Neto]],Imput[[C. Imp.]:[C. Imp.]],$D373,Imput[[PERIODO Imp.]:[PERIODO Imp.]],CV$9)</f>
        <v>0</v>
      </c>
      <c r="CW373" s="693">
        <f>SUMIFS(Imput[[Importe Neto]:[Importe Neto]],Imput[[C. Imp.]:[C. Imp.]],$D373,Imput[[PERIODO Imp.]:[PERIODO Imp.]],CW$9)</f>
        <v>0</v>
      </c>
      <c r="CX373" s="693">
        <f>SUMIFS(Imput[[Importe Neto]:[Importe Neto]],Imput[[C. Imp.]:[C. Imp.]],$D373,Imput[[PERIODO Imp.]:[PERIODO Imp.]],CX$9)</f>
        <v>0</v>
      </c>
      <c r="CY373" s="693">
        <f>SUMIFS(Imput[[Importe Neto]:[Importe Neto]],Imput[[C. Imp.]:[C. Imp.]],$D373,Imput[[PERIODO Imp.]:[PERIODO Imp.]],CY$9)</f>
        <v>0</v>
      </c>
      <c r="CZ373" s="693">
        <f>SUMIFS(Imput[[Importe Neto]:[Importe Neto]],Imput[[C. Imp.]:[C. Imp.]],$D373,Imput[[PERIODO Imp.]:[PERIODO Imp.]],CZ$9)</f>
        <v>0</v>
      </c>
      <c r="DA373" s="693">
        <f>SUMIFS(Imput[[Importe Neto]:[Importe Neto]],Imput[[C. Imp.]:[C. Imp.]],$D373,Imput[[PERIODO Imp.]:[PERIODO Imp.]],DA$9)</f>
        <v>0</v>
      </c>
      <c r="DB373" s="693">
        <f>SUMIFS(Imput[[Importe Neto]:[Importe Neto]],Imput[[C. Imp.]:[C. Imp.]],$D373,Imput[[PERIODO Imp.]:[PERIODO Imp.]],DB$9)</f>
        <v>0</v>
      </c>
      <c r="DC373" s="693">
        <f>SUMIFS(Imput[[Importe Neto]:[Importe Neto]],Imput[[C. Imp.]:[C. Imp.]],$D373,Imput[[PERIODO Imp.]:[PERIODO Imp.]],DC$9)</f>
        <v>0</v>
      </c>
      <c r="DD373" s="693">
        <f>SUMIFS(Imput[[Importe Neto]:[Importe Neto]],Imput[[C. Imp.]:[C. Imp.]],$D373,Imput[[PERIODO Imp.]:[PERIODO Imp.]],DD$9)</f>
        <v>0</v>
      </c>
      <c r="DE373" s="693">
        <f>SUMIFS(Imput[[Importe Neto]:[Importe Neto]],Imput[[C. Imp.]:[C. Imp.]],$D373,Imput[[PERIODO Imp.]:[PERIODO Imp.]],DE$9)</f>
        <v>0</v>
      </c>
      <c r="DF373" s="693">
        <f>SUMIFS(Imput[[Importe Neto]:[Importe Neto]],Imput[[C. Imp.]:[C. Imp.]],$D373,Imput[[PERIODO Imp.]:[PERIODO Imp.]],DF$9)</f>
        <v>0</v>
      </c>
      <c r="DG373" s="693">
        <f>SUMIFS(Imput[[Importe Neto]:[Importe Neto]],Imput[[C. Imp.]:[C. Imp.]],$D373,Imput[[PERIODO Imp.]:[PERIODO Imp.]],DG$9)</f>
        <v>0</v>
      </c>
      <c r="DH373" s="694">
        <f>SUMIFS(Imput[[Importe Neto]:[Importe Neto]],Imput[[C. Imp.]:[C. Imp.]],$D373,Imput[[PERIODO Imp.]:[PERIODO Imp.]],DH$9)</f>
        <v>0</v>
      </c>
    </row>
    <row r="374" spans="1:112" s="649" customFormat="1" outlineLevel="1" x14ac:dyDescent="0.3">
      <c r="A374" s="652" t="str">
        <f t="shared" si="154"/>
        <v>Imprimir</v>
      </c>
      <c r="B374" s="652"/>
      <c r="C374" s="685"/>
      <c r="D374" s="686" t="s">
        <v>2434</v>
      </c>
      <c r="E374" s="686" t="s">
        <v>502</v>
      </c>
      <c r="F374" s="720"/>
      <c r="G374" s="688">
        <v>30</v>
      </c>
      <c r="H374" s="689">
        <f>Producción!G34*2.9</f>
        <v>95.7</v>
      </c>
      <c r="I374" s="851">
        <f t="shared" si="155"/>
        <v>1</v>
      </c>
      <c r="J374" s="850">
        <f t="shared" si="156"/>
        <v>2871</v>
      </c>
      <c r="K374" s="667"/>
      <c r="L374" s="858">
        <v>1</v>
      </c>
      <c r="M374" s="859"/>
      <c r="N374" s="859"/>
      <c r="O374" s="859"/>
      <c r="P374" s="859"/>
      <c r="Q374" s="859"/>
      <c r="R374" s="859"/>
      <c r="S374" s="859"/>
      <c r="T374" s="859"/>
      <c r="U374" s="859"/>
      <c r="V374" s="859"/>
      <c r="W374" s="859"/>
      <c r="X374" s="859"/>
      <c r="Y374" s="859"/>
      <c r="Z374" s="860"/>
      <c r="AA374" s="860"/>
      <c r="AB374" s="860"/>
      <c r="AC374" s="860"/>
      <c r="AD374" s="860"/>
      <c r="AE374" s="860"/>
      <c r="AF374" s="860"/>
      <c r="AG374" s="860"/>
      <c r="AH374" s="860"/>
      <c r="AI374" s="860"/>
      <c r="AJ374" s="860"/>
      <c r="AK374" s="860"/>
      <c r="AL374" s="860"/>
      <c r="AM374" s="860"/>
      <c r="AN374" s="860"/>
      <c r="AO374" s="860"/>
      <c r="AP374" s="860"/>
      <c r="AQ374" s="860"/>
      <c r="AR374" s="860"/>
      <c r="AS374" s="860"/>
      <c r="AT374" s="860"/>
      <c r="AU374" s="860"/>
      <c r="AV374" s="860"/>
      <c r="AW374" s="860"/>
      <c r="AX374" s="860"/>
      <c r="AY374" s="860"/>
      <c r="AZ374" s="860"/>
      <c r="BA374" s="860"/>
      <c r="BB374" s="860"/>
      <c r="BC374" s="860"/>
      <c r="BD374" s="860"/>
      <c r="BE374" s="860"/>
      <c r="BF374" s="860"/>
      <c r="BG374" s="860"/>
      <c r="BH374" s="668"/>
      <c r="BI374" s="667"/>
      <c r="BJ374" s="690">
        <f t="shared" si="157"/>
        <v>1.0697010101010103</v>
      </c>
      <c r="BK374" s="691">
        <f t="shared" si="158"/>
        <v>3071.1116000000002</v>
      </c>
      <c r="BL374" s="654"/>
      <c r="BM374" s="692">
        <f>SUMIFS(Imput[[Importe Neto]:[Importe Neto]],Imput[[C. Imp.]:[C. Imp.]],$D374,Imput[[PERIODO Imp.]:[PERIODO Imp.]],BM$9)</f>
        <v>0</v>
      </c>
      <c r="BN374" s="693">
        <f>SUMIFS(Imput[[Importe Neto]:[Importe Neto]],Imput[[C. Imp.]:[C. Imp.]],$D374,Imput[[PERIODO Imp.]:[PERIODO Imp.]],BN$9)</f>
        <v>0</v>
      </c>
      <c r="BO374" s="693">
        <f>SUMIFS(Imput[[Importe Neto]:[Importe Neto]],Imput[[C. Imp.]:[C. Imp.]],$D374,Imput[[PERIODO Imp.]:[PERIODO Imp.]],BO$9)</f>
        <v>0</v>
      </c>
      <c r="BP374" s="693">
        <f>SUMIFS(Imput[[Importe Neto]:[Importe Neto]],Imput[[C. Imp.]:[C. Imp.]],$D374,Imput[[PERIODO Imp.]:[PERIODO Imp.]],BP$9)</f>
        <v>3071.1116000000002</v>
      </c>
      <c r="BQ374" s="693">
        <f>SUMIFS(Imput[[Importe Neto]:[Importe Neto]],Imput[[C. Imp.]:[C. Imp.]],$D374,Imput[[PERIODO Imp.]:[PERIODO Imp.]],BQ$9)</f>
        <v>0</v>
      </c>
      <c r="BR374" s="693">
        <f>SUMIFS(Imput[[Importe Neto]:[Importe Neto]],Imput[[C. Imp.]:[C. Imp.]],$D374,Imput[[PERIODO Imp.]:[PERIODO Imp.]],BR$9)</f>
        <v>0</v>
      </c>
      <c r="BS374" s="693">
        <f>SUMIFS(Imput[[Importe Neto]:[Importe Neto]],Imput[[C. Imp.]:[C. Imp.]],$D374,Imput[[PERIODO Imp.]:[PERIODO Imp.]],BS$9)</f>
        <v>0</v>
      </c>
      <c r="BT374" s="693">
        <f>SUMIFS(Imput[[Importe Neto]:[Importe Neto]],Imput[[C. Imp.]:[C. Imp.]],$D374,Imput[[PERIODO Imp.]:[PERIODO Imp.]],BT$9)</f>
        <v>0</v>
      </c>
      <c r="BU374" s="693">
        <f>SUMIFS(Imput[[Importe Neto]:[Importe Neto]],Imput[[C. Imp.]:[C. Imp.]],$D374,Imput[[PERIODO Imp.]:[PERIODO Imp.]],BU$9)</f>
        <v>0</v>
      </c>
      <c r="BV374" s="693">
        <f>SUMIFS(Imput[[Importe Neto]:[Importe Neto]],Imput[[C. Imp.]:[C. Imp.]],$D374,Imput[[PERIODO Imp.]:[PERIODO Imp.]],BV$9)</f>
        <v>0</v>
      </c>
      <c r="BW374" s="693">
        <f>SUMIFS(Imput[[Importe Neto]:[Importe Neto]],Imput[[C. Imp.]:[C. Imp.]],$D374,Imput[[PERIODO Imp.]:[PERIODO Imp.]],BW$9)</f>
        <v>0</v>
      </c>
      <c r="BX374" s="693">
        <f>SUMIFS(Imput[[Importe Neto]:[Importe Neto]],Imput[[C. Imp.]:[C. Imp.]],$D374,Imput[[PERIODO Imp.]:[PERIODO Imp.]],BX$9)</f>
        <v>0</v>
      </c>
      <c r="BY374" s="693">
        <f>SUMIFS(Imput[[Importe Neto]:[Importe Neto]],Imput[[C. Imp.]:[C. Imp.]],$D374,Imput[[PERIODO Imp.]:[PERIODO Imp.]],BY$9)</f>
        <v>0</v>
      </c>
      <c r="BZ374" s="693">
        <f>SUMIFS(Imput[[Importe Neto]:[Importe Neto]],Imput[[C. Imp.]:[C. Imp.]],$D374,Imput[[PERIODO Imp.]:[PERIODO Imp.]],BZ$9)</f>
        <v>0</v>
      </c>
      <c r="CA374" s="693">
        <f>SUMIFS(Imput[[Importe Neto]:[Importe Neto]],Imput[[C. Imp.]:[C. Imp.]],$D374,Imput[[PERIODO Imp.]:[PERIODO Imp.]],CA$9)</f>
        <v>0</v>
      </c>
      <c r="CB374" s="693">
        <f>SUMIFS(Imput[[Importe Neto]:[Importe Neto]],Imput[[C. Imp.]:[C. Imp.]],$D374,Imput[[PERIODO Imp.]:[PERIODO Imp.]],CB$9)</f>
        <v>0</v>
      </c>
      <c r="CC374" s="693">
        <f>SUMIFS(Imput[[Importe Neto]:[Importe Neto]],Imput[[C. Imp.]:[C. Imp.]],$D374,Imput[[PERIODO Imp.]:[PERIODO Imp.]],CC$9)</f>
        <v>0</v>
      </c>
      <c r="CD374" s="693">
        <f>SUMIFS(Imput[[Importe Neto]:[Importe Neto]],Imput[[C. Imp.]:[C. Imp.]],$D374,Imput[[PERIODO Imp.]:[PERIODO Imp.]],CD$9)</f>
        <v>0</v>
      </c>
      <c r="CE374" s="693">
        <f>SUMIFS(Imput[[Importe Neto]:[Importe Neto]],Imput[[C. Imp.]:[C. Imp.]],$D374,Imput[[PERIODO Imp.]:[PERIODO Imp.]],CE$9)</f>
        <v>0</v>
      </c>
      <c r="CF374" s="693">
        <f>SUMIFS(Imput[[Importe Neto]:[Importe Neto]],Imput[[C. Imp.]:[C. Imp.]],$D374,Imput[[PERIODO Imp.]:[PERIODO Imp.]],CF$9)</f>
        <v>0</v>
      </c>
      <c r="CG374" s="693">
        <f>SUMIFS(Imput[[Importe Neto]:[Importe Neto]],Imput[[C. Imp.]:[C. Imp.]],$D374,Imput[[PERIODO Imp.]:[PERIODO Imp.]],CG$9)</f>
        <v>0</v>
      </c>
      <c r="CH374" s="693">
        <f>SUMIFS(Imput[[Importe Neto]:[Importe Neto]],Imput[[C. Imp.]:[C. Imp.]],$D374,Imput[[PERIODO Imp.]:[PERIODO Imp.]],CH$9)</f>
        <v>0</v>
      </c>
      <c r="CI374" s="693">
        <f>SUMIFS(Imput[[Importe Neto]:[Importe Neto]],Imput[[C. Imp.]:[C. Imp.]],$D374,Imput[[PERIODO Imp.]:[PERIODO Imp.]],CI$9)</f>
        <v>0</v>
      </c>
      <c r="CJ374" s="693">
        <f>SUMIFS(Imput[[Importe Neto]:[Importe Neto]],Imput[[C. Imp.]:[C. Imp.]],$D374,Imput[[PERIODO Imp.]:[PERIODO Imp.]],CJ$9)</f>
        <v>0</v>
      </c>
      <c r="CK374" s="693">
        <f>SUMIFS(Imput[[Importe Neto]:[Importe Neto]],Imput[[C. Imp.]:[C. Imp.]],$D374,Imput[[PERIODO Imp.]:[PERIODO Imp.]],CK$9)</f>
        <v>0</v>
      </c>
      <c r="CL374" s="693">
        <f>SUMIFS(Imput[[Importe Neto]:[Importe Neto]],Imput[[C. Imp.]:[C. Imp.]],$D374,Imput[[PERIODO Imp.]:[PERIODO Imp.]],CL$9)</f>
        <v>0</v>
      </c>
      <c r="CM374" s="693">
        <f>SUMIFS(Imput[[Importe Neto]:[Importe Neto]],Imput[[C. Imp.]:[C. Imp.]],$D374,Imput[[PERIODO Imp.]:[PERIODO Imp.]],CM$9)</f>
        <v>0</v>
      </c>
      <c r="CN374" s="693">
        <f>SUMIFS(Imput[[Importe Neto]:[Importe Neto]],Imput[[C. Imp.]:[C. Imp.]],$D374,Imput[[PERIODO Imp.]:[PERIODO Imp.]],CN$9)</f>
        <v>0</v>
      </c>
      <c r="CO374" s="693">
        <f>SUMIFS(Imput[[Importe Neto]:[Importe Neto]],Imput[[C. Imp.]:[C. Imp.]],$D374,Imput[[PERIODO Imp.]:[PERIODO Imp.]],CO$9)</f>
        <v>0</v>
      </c>
      <c r="CP374" s="693">
        <f>SUMIFS(Imput[[Importe Neto]:[Importe Neto]],Imput[[C. Imp.]:[C. Imp.]],$D374,Imput[[PERIODO Imp.]:[PERIODO Imp.]],CP$9)</f>
        <v>0</v>
      </c>
      <c r="CQ374" s="693">
        <f>SUMIFS(Imput[[Importe Neto]:[Importe Neto]],Imput[[C. Imp.]:[C. Imp.]],$D374,Imput[[PERIODO Imp.]:[PERIODO Imp.]],CQ$9)</f>
        <v>0</v>
      </c>
      <c r="CR374" s="693">
        <f>SUMIFS(Imput[[Importe Neto]:[Importe Neto]],Imput[[C. Imp.]:[C. Imp.]],$D374,Imput[[PERIODO Imp.]:[PERIODO Imp.]],CR$9)</f>
        <v>0</v>
      </c>
      <c r="CS374" s="693">
        <f>SUMIFS(Imput[[Importe Neto]:[Importe Neto]],Imput[[C. Imp.]:[C. Imp.]],$D374,Imput[[PERIODO Imp.]:[PERIODO Imp.]],CS$9)</f>
        <v>0</v>
      </c>
      <c r="CT374" s="693">
        <f>SUMIFS(Imput[[Importe Neto]:[Importe Neto]],Imput[[C. Imp.]:[C. Imp.]],$D374,Imput[[PERIODO Imp.]:[PERIODO Imp.]],CT$9)</f>
        <v>0</v>
      </c>
      <c r="CU374" s="693">
        <f>SUMIFS(Imput[[Importe Neto]:[Importe Neto]],Imput[[C. Imp.]:[C. Imp.]],$D374,Imput[[PERIODO Imp.]:[PERIODO Imp.]],CU$9)</f>
        <v>0</v>
      </c>
      <c r="CV374" s="693">
        <f>SUMIFS(Imput[[Importe Neto]:[Importe Neto]],Imput[[C. Imp.]:[C. Imp.]],$D374,Imput[[PERIODO Imp.]:[PERIODO Imp.]],CV$9)</f>
        <v>0</v>
      </c>
      <c r="CW374" s="693">
        <f>SUMIFS(Imput[[Importe Neto]:[Importe Neto]],Imput[[C. Imp.]:[C. Imp.]],$D374,Imput[[PERIODO Imp.]:[PERIODO Imp.]],CW$9)</f>
        <v>0</v>
      </c>
      <c r="CX374" s="693">
        <f>SUMIFS(Imput[[Importe Neto]:[Importe Neto]],Imput[[C. Imp.]:[C. Imp.]],$D374,Imput[[PERIODO Imp.]:[PERIODO Imp.]],CX$9)</f>
        <v>0</v>
      </c>
      <c r="CY374" s="693">
        <f>SUMIFS(Imput[[Importe Neto]:[Importe Neto]],Imput[[C. Imp.]:[C. Imp.]],$D374,Imput[[PERIODO Imp.]:[PERIODO Imp.]],CY$9)</f>
        <v>0</v>
      </c>
      <c r="CZ374" s="693">
        <f>SUMIFS(Imput[[Importe Neto]:[Importe Neto]],Imput[[C. Imp.]:[C. Imp.]],$D374,Imput[[PERIODO Imp.]:[PERIODO Imp.]],CZ$9)</f>
        <v>0</v>
      </c>
      <c r="DA374" s="693">
        <f>SUMIFS(Imput[[Importe Neto]:[Importe Neto]],Imput[[C. Imp.]:[C. Imp.]],$D374,Imput[[PERIODO Imp.]:[PERIODO Imp.]],DA$9)</f>
        <v>0</v>
      </c>
      <c r="DB374" s="693">
        <f>SUMIFS(Imput[[Importe Neto]:[Importe Neto]],Imput[[C. Imp.]:[C. Imp.]],$D374,Imput[[PERIODO Imp.]:[PERIODO Imp.]],DB$9)</f>
        <v>0</v>
      </c>
      <c r="DC374" s="693">
        <f>SUMIFS(Imput[[Importe Neto]:[Importe Neto]],Imput[[C. Imp.]:[C. Imp.]],$D374,Imput[[PERIODO Imp.]:[PERIODO Imp.]],DC$9)</f>
        <v>0</v>
      </c>
      <c r="DD374" s="693">
        <f>SUMIFS(Imput[[Importe Neto]:[Importe Neto]],Imput[[C. Imp.]:[C. Imp.]],$D374,Imput[[PERIODO Imp.]:[PERIODO Imp.]],DD$9)</f>
        <v>0</v>
      </c>
      <c r="DE374" s="693">
        <f>SUMIFS(Imput[[Importe Neto]:[Importe Neto]],Imput[[C. Imp.]:[C. Imp.]],$D374,Imput[[PERIODO Imp.]:[PERIODO Imp.]],DE$9)</f>
        <v>0</v>
      </c>
      <c r="DF374" s="693">
        <f>SUMIFS(Imput[[Importe Neto]:[Importe Neto]],Imput[[C. Imp.]:[C. Imp.]],$D374,Imput[[PERIODO Imp.]:[PERIODO Imp.]],DF$9)</f>
        <v>0</v>
      </c>
      <c r="DG374" s="693">
        <f>SUMIFS(Imput[[Importe Neto]:[Importe Neto]],Imput[[C. Imp.]:[C. Imp.]],$D374,Imput[[PERIODO Imp.]:[PERIODO Imp.]],DG$9)</f>
        <v>0</v>
      </c>
      <c r="DH374" s="694">
        <f>SUMIFS(Imput[[Importe Neto]:[Importe Neto]],Imput[[C. Imp.]:[C. Imp.]],$D374,Imput[[PERIODO Imp.]:[PERIODO Imp.]],DH$9)</f>
        <v>0</v>
      </c>
    </row>
    <row r="375" spans="1:112" s="649" customFormat="1" outlineLevel="1" x14ac:dyDescent="0.3">
      <c r="A375" s="652" t="str">
        <f t="shared" si="154"/>
        <v>Imprimir</v>
      </c>
      <c r="B375" s="652"/>
      <c r="C375" s="685"/>
      <c r="D375" s="686" t="s">
        <v>2435</v>
      </c>
      <c r="E375" s="686" t="s">
        <v>503</v>
      </c>
      <c r="F375" s="720"/>
      <c r="G375" s="688">
        <v>18</v>
      </c>
      <c r="H375" s="689">
        <f>Producción!G34*21.168</f>
        <v>698.54399999999998</v>
      </c>
      <c r="I375" s="851">
        <f t="shared" si="155"/>
        <v>1</v>
      </c>
      <c r="J375" s="852">
        <f t="shared" si="156"/>
        <v>12573.791999999999</v>
      </c>
      <c r="K375" s="667"/>
      <c r="L375" s="858">
        <v>1</v>
      </c>
      <c r="M375" s="859"/>
      <c r="N375" s="859"/>
      <c r="O375" s="859"/>
      <c r="P375" s="859"/>
      <c r="Q375" s="859"/>
      <c r="R375" s="859"/>
      <c r="S375" s="859"/>
      <c r="T375" s="859"/>
      <c r="U375" s="859"/>
      <c r="V375" s="859"/>
      <c r="W375" s="859"/>
      <c r="X375" s="859"/>
      <c r="Y375" s="859"/>
      <c r="Z375" s="860"/>
      <c r="AA375" s="860"/>
      <c r="AB375" s="860"/>
      <c r="AC375" s="860"/>
      <c r="AD375" s="860"/>
      <c r="AE375" s="860"/>
      <c r="AF375" s="860"/>
      <c r="AG375" s="860"/>
      <c r="AH375" s="860"/>
      <c r="AI375" s="860"/>
      <c r="AJ375" s="860"/>
      <c r="AK375" s="860"/>
      <c r="AL375" s="860"/>
      <c r="AM375" s="860"/>
      <c r="AN375" s="860"/>
      <c r="AO375" s="860"/>
      <c r="AP375" s="860"/>
      <c r="AQ375" s="860"/>
      <c r="AR375" s="860"/>
      <c r="AS375" s="860"/>
      <c r="AT375" s="860"/>
      <c r="AU375" s="860"/>
      <c r="AV375" s="860"/>
      <c r="AW375" s="860"/>
      <c r="AX375" s="860"/>
      <c r="AY375" s="860"/>
      <c r="AZ375" s="860"/>
      <c r="BA375" s="860"/>
      <c r="BB375" s="860"/>
      <c r="BC375" s="860"/>
      <c r="BD375" s="860"/>
      <c r="BE375" s="860"/>
      <c r="BF375" s="860"/>
      <c r="BG375" s="860"/>
      <c r="BH375" s="668"/>
      <c r="BI375" s="667"/>
      <c r="BJ375" s="690">
        <f t="shared" si="157"/>
        <v>1.1047008809010574</v>
      </c>
      <c r="BK375" s="691">
        <f t="shared" si="158"/>
        <v>13890.279098666668</v>
      </c>
      <c r="BL375" s="654"/>
      <c r="BM375" s="692">
        <f>SUMIFS(Imput[[Importe Neto]:[Importe Neto]],Imput[[C. Imp.]:[C. Imp.]],$D375,Imput[[PERIODO Imp.]:[PERIODO Imp.]],BM$9)</f>
        <v>0</v>
      </c>
      <c r="BN375" s="693">
        <f>SUMIFS(Imput[[Importe Neto]:[Importe Neto]],Imput[[C. Imp.]:[C. Imp.]],$D375,Imput[[PERIODO Imp.]:[PERIODO Imp.]],BN$9)</f>
        <v>5532.2656586666662</v>
      </c>
      <c r="BO375" s="693">
        <f>SUMIFS(Imput[[Importe Neto]:[Importe Neto]],Imput[[C. Imp.]:[C. Imp.]],$D375,Imput[[PERIODO Imp.]:[PERIODO Imp.]],BO$9)</f>
        <v>8004</v>
      </c>
      <c r="BP375" s="693">
        <f>SUMIFS(Imput[[Importe Neto]:[Importe Neto]],Imput[[C. Imp.]:[C. Imp.]],$D375,Imput[[PERIODO Imp.]:[PERIODO Imp.]],BP$9)</f>
        <v>0</v>
      </c>
      <c r="BQ375" s="693">
        <f>SUMIFS(Imput[[Importe Neto]:[Importe Neto]],Imput[[C. Imp.]:[C. Imp.]],$D375,Imput[[PERIODO Imp.]:[PERIODO Imp.]],BQ$9)</f>
        <v>354.01343999999995</v>
      </c>
      <c r="BR375" s="693">
        <f>SUMIFS(Imput[[Importe Neto]:[Importe Neto]],Imput[[C. Imp.]:[C. Imp.]],$D375,Imput[[PERIODO Imp.]:[PERIODO Imp.]],BR$9)</f>
        <v>0</v>
      </c>
      <c r="BS375" s="693">
        <f>SUMIFS(Imput[[Importe Neto]:[Importe Neto]],Imput[[C. Imp.]:[C. Imp.]],$D375,Imput[[PERIODO Imp.]:[PERIODO Imp.]],BS$9)</f>
        <v>0</v>
      </c>
      <c r="BT375" s="693">
        <f>SUMIFS(Imput[[Importe Neto]:[Importe Neto]],Imput[[C. Imp.]:[C. Imp.]],$D375,Imput[[PERIODO Imp.]:[PERIODO Imp.]],BT$9)</f>
        <v>0</v>
      </c>
      <c r="BU375" s="693">
        <f>SUMIFS(Imput[[Importe Neto]:[Importe Neto]],Imput[[C. Imp.]:[C. Imp.]],$D375,Imput[[PERIODO Imp.]:[PERIODO Imp.]],BU$9)</f>
        <v>0</v>
      </c>
      <c r="BV375" s="693">
        <f>SUMIFS(Imput[[Importe Neto]:[Importe Neto]],Imput[[C. Imp.]:[C. Imp.]],$D375,Imput[[PERIODO Imp.]:[PERIODO Imp.]],BV$9)</f>
        <v>0</v>
      </c>
      <c r="BW375" s="693">
        <f>SUMIFS(Imput[[Importe Neto]:[Importe Neto]],Imput[[C. Imp.]:[C. Imp.]],$D375,Imput[[PERIODO Imp.]:[PERIODO Imp.]],BW$9)</f>
        <v>0</v>
      </c>
      <c r="BX375" s="693">
        <f>SUMIFS(Imput[[Importe Neto]:[Importe Neto]],Imput[[C. Imp.]:[C. Imp.]],$D375,Imput[[PERIODO Imp.]:[PERIODO Imp.]],BX$9)</f>
        <v>0</v>
      </c>
      <c r="BY375" s="693">
        <f>SUMIFS(Imput[[Importe Neto]:[Importe Neto]],Imput[[C. Imp.]:[C. Imp.]],$D375,Imput[[PERIODO Imp.]:[PERIODO Imp.]],BY$9)</f>
        <v>0</v>
      </c>
      <c r="BZ375" s="693">
        <f>SUMIFS(Imput[[Importe Neto]:[Importe Neto]],Imput[[C. Imp.]:[C. Imp.]],$D375,Imput[[PERIODO Imp.]:[PERIODO Imp.]],BZ$9)</f>
        <v>0</v>
      </c>
      <c r="CA375" s="693">
        <f>SUMIFS(Imput[[Importe Neto]:[Importe Neto]],Imput[[C. Imp.]:[C. Imp.]],$D375,Imput[[PERIODO Imp.]:[PERIODO Imp.]],CA$9)</f>
        <v>0</v>
      </c>
      <c r="CB375" s="693">
        <f>SUMIFS(Imput[[Importe Neto]:[Importe Neto]],Imput[[C. Imp.]:[C. Imp.]],$D375,Imput[[PERIODO Imp.]:[PERIODO Imp.]],CB$9)</f>
        <v>0</v>
      </c>
      <c r="CC375" s="693">
        <f>SUMIFS(Imput[[Importe Neto]:[Importe Neto]],Imput[[C. Imp.]:[C. Imp.]],$D375,Imput[[PERIODO Imp.]:[PERIODO Imp.]],CC$9)</f>
        <v>0</v>
      </c>
      <c r="CD375" s="693">
        <f>SUMIFS(Imput[[Importe Neto]:[Importe Neto]],Imput[[C. Imp.]:[C. Imp.]],$D375,Imput[[PERIODO Imp.]:[PERIODO Imp.]],CD$9)</f>
        <v>0</v>
      </c>
      <c r="CE375" s="693">
        <f>SUMIFS(Imput[[Importe Neto]:[Importe Neto]],Imput[[C. Imp.]:[C. Imp.]],$D375,Imput[[PERIODO Imp.]:[PERIODO Imp.]],CE$9)</f>
        <v>0</v>
      </c>
      <c r="CF375" s="693">
        <f>SUMIFS(Imput[[Importe Neto]:[Importe Neto]],Imput[[C. Imp.]:[C. Imp.]],$D375,Imput[[PERIODO Imp.]:[PERIODO Imp.]],CF$9)</f>
        <v>0</v>
      </c>
      <c r="CG375" s="693">
        <f>SUMIFS(Imput[[Importe Neto]:[Importe Neto]],Imput[[C. Imp.]:[C. Imp.]],$D375,Imput[[PERIODO Imp.]:[PERIODO Imp.]],CG$9)</f>
        <v>0</v>
      </c>
      <c r="CH375" s="693">
        <f>SUMIFS(Imput[[Importe Neto]:[Importe Neto]],Imput[[C. Imp.]:[C. Imp.]],$D375,Imput[[PERIODO Imp.]:[PERIODO Imp.]],CH$9)</f>
        <v>0</v>
      </c>
      <c r="CI375" s="693">
        <f>SUMIFS(Imput[[Importe Neto]:[Importe Neto]],Imput[[C. Imp.]:[C. Imp.]],$D375,Imput[[PERIODO Imp.]:[PERIODO Imp.]],CI$9)</f>
        <v>0</v>
      </c>
      <c r="CJ375" s="693">
        <f>SUMIFS(Imput[[Importe Neto]:[Importe Neto]],Imput[[C. Imp.]:[C. Imp.]],$D375,Imput[[PERIODO Imp.]:[PERIODO Imp.]],CJ$9)</f>
        <v>0</v>
      </c>
      <c r="CK375" s="693">
        <f>SUMIFS(Imput[[Importe Neto]:[Importe Neto]],Imput[[C. Imp.]:[C. Imp.]],$D375,Imput[[PERIODO Imp.]:[PERIODO Imp.]],CK$9)</f>
        <v>0</v>
      </c>
      <c r="CL375" s="693">
        <f>SUMIFS(Imput[[Importe Neto]:[Importe Neto]],Imput[[C. Imp.]:[C. Imp.]],$D375,Imput[[PERIODO Imp.]:[PERIODO Imp.]],CL$9)</f>
        <v>0</v>
      </c>
      <c r="CM375" s="693">
        <f>SUMIFS(Imput[[Importe Neto]:[Importe Neto]],Imput[[C. Imp.]:[C. Imp.]],$D375,Imput[[PERIODO Imp.]:[PERIODO Imp.]],CM$9)</f>
        <v>0</v>
      </c>
      <c r="CN375" s="693">
        <f>SUMIFS(Imput[[Importe Neto]:[Importe Neto]],Imput[[C. Imp.]:[C. Imp.]],$D375,Imput[[PERIODO Imp.]:[PERIODO Imp.]],CN$9)</f>
        <v>0</v>
      </c>
      <c r="CO375" s="693">
        <f>SUMIFS(Imput[[Importe Neto]:[Importe Neto]],Imput[[C. Imp.]:[C. Imp.]],$D375,Imput[[PERIODO Imp.]:[PERIODO Imp.]],CO$9)</f>
        <v>0</v>
      </c>
      <c r="CP375" s="693">
        <f>SUMIFS(Imput[[Importe Neto]:[Importe Neto]],Imput[[C. Imp.]:[C. Imp.]],$D375,Imput[[PERIODO Imp.]:[PERIODO Imp.]],CP$9)</f>
        <v>0</v>
      </c>
      <c r="CQ375" s="693">
        <f>SUMIFS(Imput[[Importe Neto]:[Importe Neto]],Imput[[C. Imp.]:[C. Imp.]],$D375,Imput[[PERIODO Imp.]:[PERIODO Imp.]],CQ$9)</f>
        <v>0</v>
      </c>
      <c r="CR375" s="693">
        <f>SUMIFS(Imput[[Importe Neto]:[Importe Neto]],Imput[[C. Imp.]:[C. Imp.]],$D375,Imput[[PERIODO Imp.]:[PERIODO Imp.]],CR$9)</f>
        <v>0</v>
      </c>
      <c r="CS375" s="693">
        <f>SUMIFS(Imput[[Importe Neto]:[Importe Neto]],Imput[[C. Imp.]:[C. Imp.]],$D375,Imput[[PERIODO Imp.]:[PERIODO Imp.]],CS$9)</f>
        <v>0</v>
      </c>
      <c r="CT375" s="693">
        <f>SUMIFS(Imput[[Importe Neto]:[Importe Neto]],Imput[[C. Imp.]:[C. Imp.]],$D375,Imput[[PERIODO Imp.]:[PERIODO Imp.]],CT$9)</f>
        <v>0</v>
      </c>
      <c r="CU375" s="693">
        <f>SUMIFS(Imput[[Importe Neto]:[Importe Neto]],Imput[[C. Imp.]:[C. Imp.]],$D375,Imput[[PERIODO Imp.]:[PERIODO Imp.]],CU$9)</f>
        <v>0</v>
      </c>
      <c r="CV375" s="693">
        <f>SUMIFS(Imput[[Importe Neto]:[Importe Neto]],Imput[[C. Imp.]:[C. Imp.]],$D375,Imput[[PERIODO Imp.]:[PERIODO Imp.]],CV$9)</f>
        <v>0</v>
      </c>
      <c r="CW375" s="693">
        <f>SUMIFS(Imput[[Importe Neto]:[Importe Neto]],Imput[[C. Imp.]:[C. Imp.]],$D375,Imput[[PERIODO Imp.]:[PERIODO Imp.]],CW$9)</f>
        <v>0</v>
      </c>
      <c r="CX375" s="693">
        <f>SUMIFS(Imput[[Importe Neto]:[Importe Neto]],Imput[[C. Imp.]:[C. Imp.]],$D375,Imput[[PERIODO Imp.]:[PERIODO Imp.]],CX$9)</f>
        <v>0</v>
      </c>
      <c r="CY375" s="693">
        <f>SUMIFS(Imput[[Importe Neto]:[Importe Neto]],Imput[[C. Imp.]:[C. Imp.]],$D375,Imput[[PERIODO Imp.]:[PERIODO Imp.]],CY$9)</f>
        <v>0</v>
      </c>
      <c r="CZ375" s="693">
        <f>SUMIFS(Imput[[Importe Neto]:[Importe Neto]],Imput[[C. Imp.]:[C. Imp.]],$D375,Imput[[PERIODO Imp.]:[PERIODO Imp.]],CZ$9)</f>
        <v>0</v>
      </c>
      <c r="DA375" s="693">
        <f>SUMIFS(Imput[[Importe Neto]:[Importe Neto]],Imput[[C. Imp.]:[C. Imp.]],$D375,Imput[[PERIODO Imp.]:[PERIODO Imp.]],DA$9)</f>
        <v>0</v>
      </c>
      <c r="DB375" s="693">
        <f>SUMIFS(Imput[[Importe Neto]:[Importe Neto]],Imput[[C. Imp.]:[C. Imp.]],$D375,Imput[[PERIODO Imp.]:[PERIODO Imp.]],DB$9)</f>
        <v>0</v>
      </c>
      <c r="DC375" s="693">
        <f>SUMIFS(Imput[[Importe Neto]:[Importe Neto]],Imput[[C. Imp.]:[C. Imp.]],$D375,Imput[[PERIODO Imp.]:[PERIODO Imp.]],DC$9)</f>
        <v>0</v>
      </c>
      <c r="DD375" s="693">
        <f>SUMIFS(Imput[[Importe Neto]:[Importe Neto]],Imput[[C. Imp.]:[C. Imp.]],$D375,Imput[[PERIODO Imp.]:[PERIODO Imp.]],DD$9)</f>
        <v>0</v>
      </c>
      <c r="DE375" s="693">
        <f>SUMIFS(Imput[[Importe Neto]:[Importe Neto]],Imput[[C. Imp.]:[C. Imp.]],$D375,Imput[[PERIODO Imp.]:[PERIODO Imp.]],DE$9)</f>
        <v>0</v>
      </c>
      <c r="DF375" s="693">
        <f>SUMIFS(Imput[[Importe Neto]:[Importe Neto]],Imput[[C. Imp.]:[C. Imp.]],$D375,Imput[[PERIODO Imp.]:[PERIODO Imp.]],DF$9)</f>
        <v>0</v>
      </c>
      <c r="DG375" s="693">
        <f>SUMIFS(Imput[[Importe Neto]:[Importe Neto]],Imput[[C. Imp.]:[C. Imp.]],$D375,Imput[[PERIODO Imp.]:[PERIODO Imp.]],DG$9)</f>
        <v>0</v>
      </c>
      <c r="DH375" s="694">
        <f>SUMIFS(Imput[[Importe Neto]:[Importe Neto]],Imput[[C. Imp.]:[C. Imp.]],$D375,Imput[[PERIODO Imp.]:[PERIODO Imp.]],DH$9)</f>
        <v>0</v>
      </c>
    </row>
    <row r="376" spans="1:112" s="649" customFormat="1" outlineLevel="1" x14ac:dyDescent="0.3">
      <c r="A376" s="652" t="str">
        <f t="shared" si="154"/>
        <v>Imprimir</v>
      </c>
      <c r="B376" s="652"/>
      <c r="C376" s="685"/>
      <c r="D376" s="686" t="s">
        <v>2436</v>
      </c>
      <c r="E376" s="686" t="s">
        <v>504</v>
      </c>
      <c r="F376" s="720"/>
      <c r="G376" s="688">
        <v>18</v>
      </c>
      <c r="H376" s="689">
        <f>Producción!G34*141.12</f>
        <v>4656.96</v>
      </c>
      <c r="I376" s="851">
        <f t="shared" si="155"/>
        <v>1</v>
      </c>
      <c r="J376" s="852">
        <f t="shared" si="156"/>
        <v>83825.279999999999</v>
      </c>
      <c r="K376" s="667"/>
      <c r="L376" s="858">
        <v>1</v>
      </c>
      <c r="M376" s="859"/>
      <c r="N376" s="859"/>
      <c r="O376" s="859"/>
      <c r="P376" s="859"/>
      <c r="Q376" s="859"/>
      <c r="R376" s="859"/>
      <c r="S376" s="859"/>
      <c r="T376" s="859"/>
      <c r="U376" s="859"/>
      <c r="V376" s="859"/>
      <c r="W376" s="859"/>
      <c r="X376" s="859"/>
      <c r="Y376" s="859"/>
      <c r="Z376" s="860"/>
      <c r="AA376" s="860"/>
      <c r="AB376" s="860"/>
      <c r="AC376" s="860"/>
      <c r="AD376" s="860"/>
      <c r="AE376" s="860"/>
      <c r="AF376" s="860"/>
      <c r="AG376" s="860"/>
      <c r="AH376" s="860"/>
      <c r="AI376" s="860"/>
      <c r="AJ376" s="860"/>
      <c r="AK376" s="860"/>
      <c r="AL376" s="860"/>
      <c r="AM376" s="860"/>
      <c r="AN376" s="860"/>
      <c r="AO376" s="860"/>
      <c r="AP376" s="860"/>
      <c r="AQ376" s="860"/>
      <c r="AR376" s="860"/>
      <c r="AS376" s="860"/>
      <c r="AT376" s="860"/>
      <c r="AU376" s="860"/>
      <c r="AV376" s="860"/>
      <c r="AW376" s="860"/>
      <c r="AX376" s="860"/>
      <c r="AY376" s="860"/>
      <c r="AZ376" s="860"/>
      <c r="BA376" s="860"/>
      <c r="BB376" s="860"/>
      <c r="BC376" s="860"/>
      <c r="BD376" s="860"/>
      <c r="BE376" s="860"/>
      <c r="BF376" s="860"/>
      <c r="BG376" s="860"/>
      <c r="BH376" s="668"/>
      <c r="BI376" s="667"/>
      <c r="BJ376" s="690">
        <f t="shared" si="157"/>
        <v>0.91978899643003487</v>
      </c>
      <c r="BK376" s="691">
        <f t="shared" si="158"/>
        <v>77101.570166666672</v>
      </c>
      <c r="BL376" s="654"/>
      <c r="BM376" s="692">
        <f>SUMIFS(Imput[[Importe Neto]:[Importe Neto]],Imput[[C. Imp.]:[C. Imp.]],$D376,Imput[[PERIODO Imp.]:[PERIODO Imp.]],BM$9)</f>
        <v>0</v>
      </c>
      <c r="BN376" s="693">
        <f>SUMIFS(Imput[[Importe Neto]:[Importe Neto]],Imput[[C. Imp.]:[C. Imp.]],$D376,Imput[[PERIODO Imp.]:[PERIODO Imp.]],BN$9)</f>
        <v>33376.866566666664</v>
      </c>
      <c r="BO376" s="693">
        <f>SUMIFS(Imput[[Importe Neto]:[Importe Neto]],Imput[[C. Imp.]:[C. Imp.]],$D376,Imput[[PERIODO Imp.]:[PERIODO Imp.]],BO$9)</f>
        <v>36374.699999999997</v>
      </c>
      <c r="BP376" s="693">
        <f>SUMIFS(Imput[[Importe Neto]:[Importe Neto]],Imput[[C. Imp.]:[C. Imp.]],$D376,Imput[[PERIODO Imp.]:[PERIODO Imp.]],BP$9)</f>
        <v>0</v>
      </c>
      <c r="BQ376" s="693">
        <f>SUMIFS(Imput[[Importe Neto]:[Importe Neto]],Imput[[C. Imp.]:[C. Imp.]],$D376,Imput[[PERIODO Imp.]:[PERIODO Imp.]],BQ$9)</f>
        <v>4890.003200000001</v>
      </c>
      <c r="BR376" s="693">
        <f>SUMIFS(Imput[[Importe Neto]:[Importe Neto]],Imput[[C. Imp.]:[C. Imp.]],$D376,Imput[[PERIODO Imp.]:[PERIODO Imp.]],BR$9)</f>
        <v>2460.0003999999999</v>
      </c>
      <c r="BS376" s="693">
        <f>SUMIFS(Imput[[Importe Neto]:[Importe Neto]],Imput[[C. Imp.]:[C. Imp.]],$D376,Imput[[PERIODO Imp.]:[PERIODO Imp.]],BS$9)</f>
        <v>0</v>
      </c>
      <c r="BT376" s="693">
        <f>SUMIFS(Imput[[Importe Neto]:[Importe Neto]],Imput[[C. Imp.]:[C. Imp.]],$D376,Imput[[PERIODO Imp.]:[PERIODO Imp.]],BT$9)</f>
        <v>0</v>
      </c>
      <c r="BU376" s="693">
        <f>SUMIFS(Imput[[Importe Neto]:[Importe Neto]],Imput[[C. Imp.]:[C. Imp.]],$D376,Imput[[PERIODO Imp.]:[PERIODO Imp.]],BU$9)</f>
        <v>0</v>
      </c>
      <c r="BV376" s="693">
        <f>SUMIFS(Imput[[Importe Neto]:[Importe Neto]],Imput[[C. Imp.]:[C. Imp.]],$D376,Imput[[PERIODO Imp.]:[PERIODO Imp.]],BV$9)</f>
        <v>0</v>
      </c>
      <c r="BW376" s="693">
        <f>SUMIFS(Imput[[Importe Neto]:[Importe Neto]],Imput[[C. Imp.]:[C. Imp.]],$D376,Imput[[PERIODO Imp.]:[PERIODO Imp.]],BW$9)</f>
        <v>0</v>
      </c>
      <c r="BX376" s="693">
        <f>SUMIFS(Imput[[Importe Neto]:[Importe Neto]],Imput[[C. Imp.]:[C. Imp.]],$D376,Imput[[PERIODO Imp.]:[PERIODO Imp.]],BX$9)</f>
        <v>0</v>
      </c>
      <c r="BY376" s="693">
        <f>SUMIFS(Imput[[Importe Neto]:[Importe Neto]],Imput[[C. Imp.]:[C. Imp.]],$D376,Imput[[PERIODO Imp.]:[PERIODO Imp.]],BY$9)</f>
        <v>0</v>
      </c>
      <c r="BZ376" s="693">
        <f>SUMIFS(Imput[[Importe Neto]:[Importe Neto]],Imput[[C. Imp.]:[C. Imp.]],$D376,Imput[[PERIODO Imp.]:[PERIODO Imp.]],BZ$9)</f>
        <v>0</v>
      </c>
      <c r="CA376" s="693">
        <f>SUMIFS(Imput[[Importe Neto]:[Importe Neto]],Imput[[C. Imp.]:[C. Imp.]],$D376,Imput[[PERIODO Imp.]:[PERIODO Imp.]],CA$9)</f>
        <v>0</v>
      </c>
      <c r="CB376" s="693">
        <f>SUMIFS(Imput[[Importe Neto]:[Importe Neto]],Imput[[C. Imp.]:[C. Imp.]],$D376,Imput[[PERIODO Imp.]:[PERIODO Imp.]],CB$9)</f>
        <v>0</v>
      </c>
      <c r="CC376" s="693">
        <f>SUMIFS(Imput[[Importe Neto]:[Importe Neto]],Imput[[C. Imp.]:[C. Imp.]],$D376,Imput[[PERIODO Imp.]:[PERIODO Imp.]],CC$9)</f>
        <v>0</v>
      </c>
      <c r="CD376" s="693">
        <f>SUMIFS(Imput[[Importe Neto]:[Importe Neto]],Imput[[C. Imp.]:[C. Imp.]],$D376,Imput[[PERIODO Imp.]:[PERIODO Imp.]],CD$9)</f>
        <v>0</v>
      </c>
      <c r="CE376" s="693">
        <f>SUMIFS(Imput[[Importe Neto]:[Importe Neto]],Imput[[C. Imp.]:[C. Imp.]],$D376,Imput[[PERIODO Imp.]:[PERIODO Imp.]],CE$9)</f>
        <v>0</v>
      </c>
      <c r="CF376" s="693">
        <f>SUMIFS(Imput[[Importe Neto]:[Importe Neto]],Imput[[C. Imp.]:[C. Imp.]],$D376,Imput[[PERIODO Imp.]:[PERIODO Imp.]],CF$9)</f>
        <v>0</v>
      </c>
      <c r="CG376" s="693">
        <f>SUMIFS(Imput[[Importe Neto]:[Importe Neto]],Imput[[C. Imp.]:[C. Imp.]],$D376,Imput[[PERIODO Imp.]:[PERIODO Imp.]],CG$9)</f>
        <v>0</v>
      </c>
      <c r="CH376" s="693">
        <f>SUMIFS(Imput[[Importe Neto]:[Importe Neto]],Imput[[C. Imp.]:[C. Imp.]],$D376,Imput[[PERIODO Imp.]:[PERIODO Imp.]],CH$9)</f>
        <v>0</v>
      </c>
      <c r="CI376" s="693">
        <f>SUMIFS(Imput[[Importe Neto]:[Importe Neto]],Imput[[C. Imp.]:[C. Imp.]],$D376,Imput[[PERIODO Imp.]:[PERIODO Imp.]],CI$9)</f>
        <v>0</v>
      </c>
      <c r="CJ376" s="693">
        <f>SUMIFS(Imput[[Importe Neto]:[Importe Neto]],Imput[[C. Imp.]:[C. Imp.]],$D376,Imput[[PERIODO Imp.]:[PERIODO Imp.]],CJ$9)</f>
        <v>0</v>
      </c>
      <c r="CK376" s="693">
        <f>SUMIFS(Imput[[Importe Neto]:[Importe Neto]],Imput[[C. Imp.]:[C. Imp.]],$D376,Imput[[PERIODO Imp.]:[PERIODO Imp.]],CK$9)</f>
        <v>0</v>
      </c>
      <c r="CL376" s="693">
        <f>SUMIFS(Imput[[Importe Neto]:[Importe Neto]],Imput[[C. Imp.]:[C. Imp.]],$D376,Imput[[PERIODO Imp.]:[PERIODO Imp.]],CL$9)</f>
        <v>0</v>
      </c>
      <c r="CM376" s="693">
        <f>SUMIFS(Imput[[Importe Neto]:[Importe Neto]],Imput[[C. Imp.]:[C. Imp.]],$D376,Imput[[PERIODO Imp.]:[PERIODO Imp.]],CM$9)</f>
        <v>0</v>
      </c>
      <c r="CN376" s="693">
        <f>SUMIFS(Imput[[Importe Neto]:[Importe Neto]],Imput[[C. Imp.]:[C. Imp.]],$D376,Imput[[PERIODO Imp.]:[PERIODO Imp.]],CN$9)</f>
        <v>0</v>
      </c>
      <c r="CO376" s="693">
        <f>SUMIFS(Imput[[Importe Neto]:[Importe Neto]],Imput[[C. Imp.]:[C. Imp.]],$D376,Imput[[PERIODO Imp.]:[PERIODO Imp.]],CO$9)</f>
        <v>0</v>
      </c>
      <c r="CP376" s="693">
        <f>SUMIFS(Imput[[Importe Neto]:[Importe Neto]],Imput[[C. Imp.]:[C. Imp.]],$D376,Imput[[PERIODO Imp.]:[PERIODO Imp.]],CP$9)</f>
        <v>0</v>
      </c>
      <c r="CQ376" s="693">
        <f>SUMIFS(Imput[[Importe Neto]:[Importe Neto]],Imput[[C. Imp.]:[C. Imp.]],$D376,Imput[[PERIODO Imp.]:[PERIODO Imp.]],CQ$9)</f>
        <v>0</v>
      </c>
      <c r="CR376" s="693">
        <f>SUMIFS(Imput[[Importe Neto]:[Importe Neto]],Imput[[C. Imp.]:[C. Imp.]],$D376,Imput[[PERIODO Imp.]:[PERIODO Imp.]],CR$9)</f>
        <v>0</v>
      </c>
      <c r="CS376" s="693">
        <f>SUMIFS(Imput[[Importe Neto]:[Importe Neto]],Imput[[C. Imp.]:[C. Imp.]],$D376,Imput[[PERIODO Imp.]:[PERIODO Imp.]],CS$9)</f>
        <v>0</v>
      </c>
      <c r="CT376" s="693">
        <f>SUMIFS(Imput[[Importe Neto]:[Importe Neto]],Imput[[C. Imp.]:[C. Imp.]],$D376,Imput[[PERIODO Imp.]:[PERIODO Imp.]],CT$9)</f>
        <v>0</v>
      </c>
      <c r="CU376" s="693">
        <f>SUMIFS(Imput[[Importe Neto]:[Importe Neto]],Imput[[C. Imp.]:[C. Imp.]],$D376,Imput[[PERIODO Imp.]:[PERIODO Imp.]],CU$9)</f>
        <v>0</v>
      </c>
      <c r="CV376" s="693">
        <f>SUMIFS(Imput[[Importe Neto]:[Importe Neto]],Imput[[C. Imp.]:[C. Imp.]],$D376,Imput[[PERIODO Imp.]:[PERIODO Imp.]],CV$9)</f>
        <v>0</v>
      </c>
      <c r="CW376" s="693">
        <f>SUMIFS(Imput[[Importe Neto]:[Importe Neto]],Imput[[C. Imp.]:[C. Imp.]],$D376,Imput[[PERIODO Imp.]:[PERIODO Imp.]],CW$9)</f>
        <v>0</v>
      </c>
      <c r="CX376" s="693">
        <f>SUMIFS(Imput[[Importe Neto]:[Importe Neto]],Imput[[C. Imp.]:[C. Imp.]],$D376,Imput[[PERIODO Imp.]:[PERIODO Imp.]],CX$9)</f>
        <v>0</v>
      </c>
      <c r="CY376" s="693">
        <f>SUMIFS(Imput[[Importe Neto]:[Importe Neto]],Imput[[C. Imp.]:[C. Imp.]],$D376,Imput[[PERIODO Imp.]:[PERIODO Imp.]],CY$9)</f>
        <v>0</v>
      </c>
      <c r="CZ376" s="693">
        <f>SUMIFS(Imput[[Importe Neto]:[Importe Neto]],Imput[[C. Imp.]:[C. Imp.]],$D376,Imput[[PERIODO Imp.]:[PERIODO Imp.]],CZ$9)</f>
        <v>0</v>
      </c>
      <c r="DA376" s="693">
        <f>SUMIFS(Imput[[Importe Neto]:[Importe Neto]],Imput[[C. Imp.]:[C. Imp.]],$D376,Imput[[PERIODO Imp.]:[PERIODO Imp.]],DA$9)</f>
        <v>0</v>
      </c>
      <c r="DB376" s="693">
        <f>SUMIFS(Imput[[Importe Neto]:[Importe Neto]],Imput[[C. Imp.]:[C. Imp.]],$D376,Imput[[PERIODO Imp.]:[PERIODO Imp.]],DB$9)</f>
        <v>0</v>
      </c>
      <c r="DC376" s="693">
        <f>SUMIFS(Imput[[Importe Neto]:[Importe Neto]],Imput[[C. Imp.]:[C. Imp.]],$D376,Imput[[PERIODO Imp.]:[PERIODO Imp.]],DC$9)</f>
        <v>0</v>
      </c>
      <c r="DD376" s="693">
        <f>SUMIFS(Imput[[Importe Neto]:[Importe Neto]],Imput[[C. Imp.]:[C. Imp.]],$D376,Imput[[PERIODO Imp.]:[PERIODO Imp.]],DD$9)</f>
        <v>0</v>
      </c>
      <c r="DE376" s="693">
        <f>SUMIFS(Imput[[Importe Neto]:[Importe Neto]],Imput[[C. Imp.]:[C. Imp.]],$D376,Imput[[PERIODO Imp.]:[PERIODO Imp.]],DE$9)</f>
        <v>0</v>
      </c>
      <c r="DF376" s="693">
        <f>SUMIFS(Imput[[Importe Neto]:[Importe Neto]],Imput[[C. Imp.]:[C. Imp.]],$D376,Imput[[PERIODO Imp.]:[PERIODO Imp.]],DF$9)</f>
        <v>0</v>
      </c>
      <c r="DG376" s="693">
        <f>SUMIFS(Imput[[Importe Neto]:[Importe Neto]],Imput[[C. Imp.]:[C. Imp.]],$D376,Imput[[PERIODO Imp.]:[PERIODO Imp.]],DG$9)</f>
        <v>0</v>
      </c>
      <c r="DH376" s="694">
        <f>SUMIFS(Imput[[Importe Neto]:[Importe Neto]],Imput[[C. Imp.]:[C. Imp.]],$D376,Imput[[PERIODO Imp.]:[PERIODO Imp.]],DH$9)</f>
        <v>0</v>
      </c>
    </row>
    <row r="377" spans="1:112" s="649" customFormat="1" outlineLevel="1" x14ac:dyDescent="0.3">
      <c r="A377" s="652" t="str">
        <f t="shared" si="154"/>
        <v>Imprimir</v>
      </c>
      <c r="B377" s="652"/>
      <c r="C377" s="685"/>
      <c r="D377" s="686" t="s">
        <v>2437</v>
      </c>
      <c r="E377" s="686" t="s">
        <v>3299</v>
      </c>
      <c r="F377" s="720"/>
      <c r="G377" s="863">
        <v>1</v>
      </c>
      <c r="H377" s="864">
        <v>1</v>
      </c>
      <c r="I377" s="851">
        <f t="shared" si="155"/>
        <v>1</v>
      </c>
      <c r="J377" s="852">
        <f t="shared" si="156"/>
        <v>1</v>
      </c>
      <c r="K377" s="667"/>
      <c r="L377" s="858">
        <v>1</v>
      </c>
      <c r="M377" s="859"/>
      <c r="N377" s="859"/>
      <c r="O377" s="859"/>
      <c r="P377" s="859"/>
      <c r="Q377" s="859"/>
      <c r="R377" s="859"/>
      <c r="S377" s="859"/>
      <c r="T377" s="859"/>
      <c r="U377" s="859"/>
      <c r="V377" s="859"/>
      <c r="W377" s="859"/>
      <c r="X377" s="859"/>
      <c r="Y377" s="859"/>
      <c r="Z377" s="860"/>
      <c r="AA377" s="860"/>
      <c r="AB377" s="860"/>
      <c r="AC377" s="860"/>
      <c r="AD377" s="860"/>
      <c r="AE377" s="860"/>
      <c r="AF377" s="860"/>
      <c r="AG377" s="860"/>
      <c r="AH377" s="860"/>
      <c r="AI377" s="860"/>
      <c r="AJ377" s="860"/>
      <c r="AK377" s="860"/>
      <c r="AL377" s="860"/>
      <c r="AM377" s="860"/>
      <c r="AN377" s="860"/>
      <c r="AO377" s="860"/>
      <c r="AP377" s="860"/>
      <c r="AQ377" s="860"/>
      <c r="AR377" s="860"/>
      <c r="AS377" s="860"/>
      <c r="AT377" s="860"/>
      <c r="AU377" s="860"/>
      <c r="AV377" s="860"/>
      <c r="AW377" s="860"/>
      <c r="AX377" s="860"/>
      <c r="AY377" s="860"/>
      <c r="AZ377" s="860"/>
      <c r="BA377" s="860"/>
      <c r="BB377" s="860"/>
      <c r="BC377" s="860"/>
      <c r="BD377" s="860"/>
      <c r="BE377" s="860"/>
      <c r="BF377" s="860"/>
      <c r="BG377" s="860"/>
      <c r="BH377" s="668"/>
      <c r="BI377" s="667"/>
      <c r="BJ377" s="690">
        <f t="shared" si="157"/>
        <v>56168.952413780004</v>
      </c>
      <c r="BK377" s="691">
        <f t="shared" si="158"/>
        <v>56168.952413780004</v>
      </c>
      <c r="BL377" s="654"/>
      <c r="BM377" s="692">
        <f>SUMIFS(Imput[[Importe Neto]:[Importe Neto]],Imput[[C. Imp.]:[C. Imp.]],$D377,Imput[[PERIODO Imp.]:[PERIODO Imp.]],BM$9)</f>
        <v>0</v>
      </c>
      <c r="BN377" s="693">
        <f>SUMIFS(Imput[[Importe Neto]:[Importe Neto]],Imput[[C. Imp.]:[C. Imp.]],$D377,Imput[[PERIODO Imp.]:[PERIODO Imp.]],BN$9)</f>
        <v>59.995199999999997</v>
      </c>
      <c r="BO377" s="693">
        <f>SUMIFS(Imput[[Importe Neto]:[Importe Neto]],Imput[[C. Imp.]:[C. Imp.]],$D377,Imput[[PERIODO Imp.]:[PERIODO Imp.]],BO$9)</f>
        <v>1260.9780000000001</v>
      </c>
      <c r="BP377" s="693">
        <f>SUMIFS(Imput[[Importe Neto]:[Importe Neto]],Imput[[C. Imp.]:[C. Imp.]],$D377,Imput[[PERIODO Imp.]:[PERIODO Imp.]],BP$9)</f>
        <v>29901.137280950006</v>
      </c>
      <c r="BQ377" s="693">
        <f>SUMIFS(Imput[[Importe Neto]:[Importe Neto]],Imput[[C. Imp.]:[C. Imp.]],$D377,Imput[[PERIODO Imp.]:[PERIODO Imp.]],BQ$9)</f>
        <v>24946.841932829997</v>
      </c>
      <c r="BR377" s="693">
        <f>SUMIFS(Imput[[Importe Neto]:[Importe Neto]],Imput[[C. Imp.]:[C. Imp.]],$D377,Imput[[PERIODO Imp.]:[PERIODO Imp.]],BR$9)</f>
        <v>0</v>
      </c>
      <c r="BS377" s="693">
        <f>SUMIFS(Imput[[Importe Neto]:[Importe Neto]],Imput[[C. Imp.]:[C. Imp.]],$D377,Imput[[PERIODO Imp.]:[PERIODO Imp.]],BS$9)</f>
        <v>0</v>
      </c>
      <c r="BT377" s="693">
        <f>SUMIFS(Imput[[Importe Neto]:[Importe Neto]],Imput[[C. Imp.]:[C. Imp.]],$D377,Imput[[PERIODO Imp.]:[PERIODO Imp.]],BT$9)</f>
        <v>0</v>
      </c>
      <c r="BU377" s="693">
        <f>SUMIFS(Imput[[Importe Neto]:[Importe Neto]],Imput[[C. Imp.]:[C. Imp.]],$D377,Imput[[PERIODO Imp.]:[PERIODO Imp.]],BU$9)</f>
        <v>0</v>
      </c>
      <c r="BV377" s="693">
        <f>SUMIFS(Imput[[Importe Neto]:[Importe Neto]],Imput[[C. Imp.]:[C. Imp.]],$D377,Imput[[PERIODO Imp.]:[PERIODO Imp.]],BV$9)</f>
        <v>0</v>
      </c>
      <c r="BW377" s="693">
        <f>SUMIFS(Imput[[Importe Neto]:[Importe Neto]],Imput[[C. Imp.]:[C. Imp.]],$D377,Imput[[PERIODO Imp.]:[PERIODO Imp.]],BW$9)</f>
        <v>0</v>
      </c>
      <c r="BX377" s="693">
        <f>SUMIFS(Imput[[Importe Neto]:[Importe Neto]],Imput[[C. Imp.]:[C. Imp.]],$D377,Imput[[PERIODO Imp.]:[PERIODO Imp.]],BX$9)</f>
        <v>0</v>
      </c>
      <c r="BY377" s="693">
        <f>SUMIFS(Imput[[Importe Neto]:[Importe Neto]],Imput[[C. Imp.]:[C. Imp.]],$D377,Imput[[PERIODO Imp.]:[PERIODO Imp.]],BY$9)</f>
        <v>0</v>
      </c>
      <c r="BZ377" s="693">
        <f>SUMIFS(Imput[[Importe Neto]:[Importe Neto]],Imput[[C. Imp.]:[C. Imp.]],$D377,Imput[[PERIODO Imp.]:[PERIODO Imp.]],BZ$9)</f>
        <v>0</v>
      </c>
      <c r="CA377" s="693">
        <f>SUMIFS(Imput[[Importe Neto]:[Importe Neto]],Imput[[C. Imp.]:[C. Imp.]],$D377,Imput[[PERIODO Imp.]:[PERIODO Imp.]],CA$9)</f>
        <v>0</v>
      </c>
      <c r="CB377" s="693">
        <f>SUMIFS(Imput[[Importe Neto]:[Importe Neto]],Imput[[C. Imp.]:[C. Imp.]],$D377,Imput[[PERIODO Imp.]:[PERIODO Imp.]],CB$9)</f>
        <v>0</v>
      </c>
      <c r="CC377" s="693">
        <f>SUMIFS(Imput[[Importe Neto]:[Importe Neto]],Imput[[C. Imp.]:[C. Imp.]],$D377,Imput[[PERIODO Imp.]:[PERIODO Imp.]],CC$9)</f>
        <v>0</v>
      </c>
      <c r="CD377" s="693">
        <f>SUMIFS(Imput[[Importe Neto]:[Importe Neto]],Imput[[C. Imp.]:[C. Imp.]],$D377,Imput[[PERIODO Imp.]:[PERIODO Imp.]],CD$9)</f>
        <v>0</v>
      </c>
      <c r="CE377" s="693">
        <f>SUMIFS(Imput[[Importe Neto]:[Importe Neto]],Imput[[C. Imp.]:[C. Imp.]],$D377,Imput[[PERIODO Imp.]:[PERIODO Imp.]],CE$9)</f>
        <v>0</v>
      </c>
      <c r="CF377" s="693">
        <f>SUMIFS(Imput[[Importe Neto]:[Importe Neto]],Imput[[C. Imp.]:[C. Imp.]],$D377,Imput[[PERIODO Imp.]:[PERIODO Imp.]],CF$9)</f>
        <v>0</v>
      </c>
      <c r="CG377" s="693">
        <f>SUMIFS(Imput[[Importe Neto]:[Importe Neto]],Imput[[C. Imp.]:[C. Imp.]],$D377,Imput[[PERIODO Imp.]:[PERIODO Imp.]],CG$9)</f>
        <v>0</v>
      </c>
      <c r="CH377" s="693">
        <f>SUMIFS(Imput[[Importe Neto]:[Importe Neto]],Imput[[C. Imp.]:[C. Imp.]],$D377,Imput[[PERIODO Imp.]:[PERIODO Imp.]],CH$9)</f>
        <v>0</v>
      </c>
      <c r="CI377" s="693">
        <f>SUMIFS(Imput[[Importe Neto]:[Importe Neto]],Imput[[C. Imp.]:[C. Imp.]],$D377,Imput[[PERIODO Imp.]:[PERIODO Imp.]],CI$9)</f>
        <v>0</v>
      </c>
      <c r="CJ377" s="693">
        <f>SUMIFS(Imput[[Importe Neto]:[Importe Neto]],Imput[[C. Imp.]:[C. Imp.]],$D377,Imput[[PERIODO Imp.]:[PERIODO Imp.]],CJ$9)</f>
        <v>0</v>
      </c>
      <c r="CK377" s="693">
        <f>SUMIFS(Imput[[Importe Neto]:[Importe Neto]],Imput[[C. Imp.]:[C. Imp.]],$D377,Imput[[PERIODO Imp.]:[PERIODO Imp.]],CK$9)</f>
        <v>0</v>
      </c>
      <c r="CL377" s="693">
        <f>SUMIFS(Imput[[Importe Neto]:[Importe Neto]],Imput[[C. Imp.]:[C. Imp.]],$D377,Imput[[PERIODO Imp.]:[PERIODO Imp.]],CL$9)</f>
        <v>0</v>
      </c>
      <c r="CM377" s="693">
        <f>SUMIFS(Imput[[Importe Neto]:[Importe Neto]],Imput[[C. Imp.]:[C. Imp.]],$D377,Imput[[PERIODO Imp.]:[PERIODO Imp.]],CM$9)</f>
        <v>0</v>
      </c>
      <c r="CN377" s="693">
        <f>SUMIFS(Imput[[Importe Neto]:[Importe Neto]],Imput[[C. Imp.]:[C. Imp.]],$D377,Imput[[PERIODO Imp.]:[PERIODO Imp.]],CN$9)</f>
        <v>0</v>
      </c>
      <c r="CO377" s="693">
        <f>SUMIFS(Imput[[Importe Neto]:[Importe Neto]],Imput[[C. Imp.]:[C. Imp.]],$D377,Imput[[PERIODO Imp.]:[PERIODO Imp.]],CO$9)</f>
        <v>0</v>
      </c>
      <c r="CP377" s="693">
        <f>SUMIFS(Imput[[Importe Neto]:[Importe Neto]],Imput[[C. Imp.]:[C. Imp.]],$D377,Imput[[PERIODO Imp.]:[PERIODO Imp.]],CP$9)</f>
        <v>0</v>
      </c>
      <c r="CQ377" s="693">
        <f>SUMIFS(Imput[[Importe Neto]:[Importe Neto]],Imput[[C. Imp.]:[C. Imp.]],$D377,Imput[[PERIODO Imp.]:[PERIODO Imp.]],CQ$9)</f>
        <v>0</v>
      </c>
      <c r="CR377" s="693">
        <f>SUMIFS(Imput[[Importe Neto]:[Importe Neto]],Imput[[C. Imp.]:[C. Imp.]],$D377,Imput[[PERIODO Imp.]:[PERIODO Imp.]],CR$9)</f>
        <v>0</v>
      </c>
      <c r="CS377" s="693">
        <f>SUMIFS(Imput[[Importe Neto]:[Importe Neto]],Imput[[C. Imp.]:[C. Imp.]],$D377,Imput[[PERIODO Imp.]:[PERIODO Imp.]],CS$9)</f>
        <v>0</v>
      </c>
      <c r="CT377" s="693">
        <f>SUMIFS(Imput[[Importe Neto]:[Importe Neto]],Imput[[C. Imp.]:[C. Imp.]],$D377,Imput[[PERIODO Imp.]:[PERIODO Imp.]],CT$9)</f>
        <v>0</v>
      </c>
      <c r="CU377" s="693">
        <f>SUMIFS(Imput[[Importe Neto]:[Importe Neto]],Imput[[C. Imp.]:[C. Imp.]],$D377,Imput[[PERIODO Imp.]:[PERIODO Imp.]],CU$9)</f>
        <v>0</v>
      </c>
      <c r="CV377" s="693">
        <f>SUMIFS(Imput[[Importe Neto]:[Importe Neto]],Imput[[C. Imp.]:[C. Imp.]],$D377,Imput[[PERIODO Imp.]:[PERIODO Imp.]],CV$9)</f>
        <v>0</v>
      </c>
      <c r="CW377" s="693">
        <f>SUMIFS(Imput[[Importe Neto]:[Importe Neto]],Imput[[C. Imp.]:[C. Imp.]],$D377,Imput[[PERIODO Imp.]:[PERIODO Imp.]],CW$9)</f>
        <v>0</v>
      </c>
      <c r="CX377" s="693">
        <f>SUMIFS(Imput[[Importe Neto]:[Importe Neto]],Imput[[C. Imp.]:[C. Imp.]],$D377,Imput[[PERIODO Imp.]:[PERIODO Imp.]],CX$9)</f>
        <v>0</v>
      </c>
      <c r="CY377" s="693">
        <f>SUMIFS(Imput[[Importe Neto]:[Importe Neto]],Imput[[C. Imp.]:[C. Imp.]],$D377,Imput[[PERIODO Imp.]:[PERIODO Imp.]],CY$9)</f>
        <v>0</v>
      </c>
      <c r="CZ377" s="693">
        <f>SUMIFS(Imput[[Importe Neto]:[Importe Neto]],Imput[[C. Imp.]:[C. Imp.]],$D377,Imput[[PERIODO Imp.]:[PERIODO Imp.]],CZ$9)</f>
        <v>0</v>
      </c>
      <c r="DA377" s="693">
        <f>SUMIFS(Imput[[Importe Neto]:[Importe Neto]],Imput[[C. Imp.]:[C. Imp.]],$D377,Imput[[PERIODO Imp.]:[PERIODO Imp.]],DA$9)</f>
        <v>0</v>
      </c>
      <c r="DB377" s="693">
        <f>SUMIFS(Imput[[Importe Neto]:[Importe Neto]],Imput[[C. Imp.]:[C. Imp.]],$D377,Imput[[PERIODO Imp.]:[PERIODO Imp.]],DB$9)</f>
        <v>0</v>
      </c>
      <c r="DC377" s="693">
        <f>SUMIFS(Imput[[Importe Neto]:[Importe Neto]],Imput[[C. Imp.]:[C. Imp.]],$D377,Imput[[PERIODO Imp.]:[PERIODO Imp.]],DC$9)</f>
        <v>0</v>
      </c>
      <c r="DD377" s="693">
        <f>SUMIFS(Imput[[Importe Neto]:[Importe Neto]],Imput[[C. Imp.]:[C. Imp.]],$D377,Imput[[PERIODO Imp.]:[PERIODO Imp.]],DD$9)</f>
        <v>0</v>
      </c>
      <c r="DE377" s="693">
        <f>SUMIFS(Imput[[Importe Neto]:[Importe Neto]],Imput[[C. Imp.]:[C. Imp.]],$D377,Imput[[PERIODO Imp.]:[PERIODO Imp.]],DE$9)</f>
        <v>0</v>
      </c>
      <c r="DF377" s="693">
        <f>SUMIFS(Imput[[Importe Neto]:[Importe Neto]],Imput[[C. Imp.]:[C. Imp.]],$D377,Imput[[PERIODO Imp.]:[PERIODO Imp.]],DF$9)</f>
        <v>0</v>
      </c>
      <c r="DG377" s="693">
        <f>SUMIFS(Imput[[Importe Neto]:[Importe Neto]],Imput[[C. Imp.]:[C. Imp.]],$D377,Imput[[PERIODO Imp.]:[PERIODO Imp.]],DG$9)</f>
        <v>0</v>
      </c>
      <c r="DH377" s="694">
        <f>SUMIFS(Imput[[Importe Neto]:[Importe Neto]],Imput[[C. Imp.]:[C. Imp.]],$D377,Imput[[PERIODO Imp.]:[PERIODO Imp.]],DH$9)</f>
        <v>0</v>
      </c>
    </row>
    <row r="378" spans="1:112" s="649" customFormat="1" hidden="1" outlineLevel="1" x14ac:dyDescent="0.3">
      <c r="A378" s="652" t="str">
        <f t="shared" si="154"/>
        <v/>
      </c>
      <c r="B378" s="652"/>
      <c r="C378" s="685"/>
      <c r="D378" s="686" t="s">
        <v>2438</v>
      </c>
      <c r="E378" s="686"/>
      <c r="F378" s="720"/>
      <c r="G378" s="688"/>
      <c r="H378" s="689"/>
      <c r="I378" s="851" t="str">
        <f t="shared" si="155"/>
        <v/>
      </c>
      <c r="J378" s="852" t="str">
        <f t="shared" si="156"/>
        <v/>
      </c>
      <c r="K378" s="667"/>
      <c r="L378" s="858"/>
      <c r="M378" s="859"/>
      <c r="N378" s="859"/>
      <c r="O378" s="859"/>
      <c r="P378" s="859"/>
      <c r="Q378" s="859"/>
      <c r="R378" s="859"/>
      <c r="S378" s="859"/>
      <c r="T378" s="859"/>
      <c r="U378" s="859"/>
      <c r="V378" s="859"/>
      <c r="W378" s="859"/>
      <c r="X378" s="859"/>
      <c r="Y378" s="859"/>
      <c r="Z378" s="860"/>
      <c r="AA378" s="860"/>
      <c r="AB378" s="860"/>
      <c r="AC378" s="860"/>
      <c r="AD378" s="860"/>
      <c r="AE378" s="860"/>
      <c r="AF378" s="860"/>
      <c r="AG378" s="860"/>
      <c r="AH378" s="860"/>
      <c r="AI378" s="860"/>
      <c r="AJ378" s="860"/>
      <c r="AK378" s="860"/>
      <c r="AL378" s="860"/>
      <c r="AM378" s="860"/>
      <c r="AN378" s="860"/>
      <c r="AO378" s="860"/>
      <c r="AP378" s="860"/>
      <c r="AQ378" s="860"/>
      <c r="AR378" s="860"/>
      <c r="AS378" s="860"/>
      <c r="AT378" s="860"/>
      <c r="AU378" s="860"/>
      <c r="AV378" s="860"/>
      <c r="AW378" s="860"/>
      <c r="AX378" s="860"/>
      <c r="AY378" s="860"/>
      <c r="AZ378" s="860"/>
      <c r="BA378" s="860"/>
      <c r="BB378" s="860"/>
      <c r="BC378" s="860"/>
      <c r="BD378" s="860"/>
      <c r="BE378" s="860"/>
      <c r="BF378" s="860"/>
      <c r="BG378" s="860"/>
      <c r="BH378" s="668"/>
      <c r="BI378" s="667"/>
      <c r="BJ378" s="690">
        <f t="shared" si="157"/>
        <v>0</v>
      </c>
      <c r="BK378" s="691">
        <f t="shared" si="158"/>
        <v>0</v>
      </c>
      <c r="BL378" s="654"/>
      <c r="BM378" s="692">
        <f>SUMIFS(Imput[[Importe Neto]:[Importe Neto]],Imput[[C. Imp.]:[C. Imp.]],$D378,Imput[[PERIODO Imp.]:[PERIODO Imp.]],BM$9)</f>
        <v>0</v>
      </c>
      <c r="BN378" s="693">
        <f>SUMIFS(Imput[[Importe Neto]:[Importe Neto]],Imput[[C. Imp.]:[C. Imp.]],$D378,Imput[[PERIODO Imp.]:[PERIODO Imp.]],BN$9)</f>
        <v>0</v>
      </c>
      <c r="BO378" s="693">
        <f>SUMIFS(Imput[[Importe Neto]:[Importe Neto]],Imput[[C. Imp.]:[C. Imp.]],$D378,Imput[[PERIODO Imp.]:[PERIODO Imp.]],BO$9)</f>
        <v>0</v>
      </c>
      <c r="BP378" s="693">
        <f>SUMIFS(Imput[[Importe Neto]:[Importe Neto]],Imput[[C. Imp.]:[C. Imp.]],$D378,Imput[[PERIODO Imp.]:[PERIODO Imp.]],BP$9)</f>
        <v>0</v>
      </c>
      <c r="BQ378" s="693">
        <f>SUMIFS(Imput[[Importe Neto]:[Importe Neto]],Imput[[C. Imp.]:[C. Imp.]],$D378,Imput[[PERIODO Imp.]:[PERIODO Imp.]],BQ$9)</f>
        <v>0</v>
      </c>
      <c r="BR378" s="693">
        <f>SUMIFS(Imput[[Importe Neto]:[Importe Neto]],Imput[[C. Imp.]:[C. Imp.]],$D378,Imput[[PERIODO Imp.]:[PERIODO Imp.]],BR$9)</f>
        <v>0</v>
      </c>
      <c r="BS378" s="693">
        <f>SUMIFS(Imput[[Importe Neto]:[Importe Neto]],Imput[[C. Imp.]:[C. Imp.]],$D378,Imput[[PERIODO Imp.]:[PERIODO Imp.]],BS$9)</f>
        <v>0</v>
      </c>
      <c r="BT378" s="693">
        <f>SUMIFS(Imput[[Importe Neto]:[Importe Neto]],Imput[[C. Imp.]:[C. Imp.]],$D378,Imput[[PERIODO Imp.]:[PERIODO Imp.]],BT$9)</f>
        <v>0</v>
      </c>
      <c r="BU378" s="693">
        <f>SUMIFS(Imput[[Importe Neto]:[Importe Neto]],Imput[[C. Imp.]:[C. Imp.]],$D378,Imput[[PERIODO Imp.]:[PERIODO Imp.]],BU$9)</f>
        <v>0</v>
      </c>
      <c r="BV378" s="693">
        <f>SUMIFS(Imput[[Importe Neto]:[Importe Neto]],Imput[[C. Imp.]:[C. Imp.]],$D378,Imput[[PERIODO Imp.]:[PERIODO Imp.]],BV$9)</f>
        <v>0</v>
      </c>
      <c r="BW378" s="693">
        <f>SUMIFS(Imput[[Importe Neto]:[Importe Neto]],Imput[[C. Imp.]:[C. Imp.]],$D378,Imput[[PERIODO Imp.]:[PERIODO Imp.]],BW$9)</f>
        <v>0</v>
      </c>
      <c r="BX378" s="693">
        <f>SUMIFS(Imput[[Importe Neto]:[Importe Neto]],Imput[[C. Imp.]:[C. Imp.]],$D378,Imput[[PERIODO Imp.]:[PERIODO Imp.]],BX$9)</f>
        <v>0</v>
      </c>
      <c r="BY378" s="693">
        <f>SUMIFS(Imput[[Importe Neto]:[Importe Neto]],Imput[[C. Imp.]:[C. Imp.]],$D378,Imput[[PERIODO Imp.]:[PERIODO Imp.]],BY$9)</f>
        <v>0</v>
      </c>
      <c r="BZ378" s="693">
        <f>SUMIFS(Imput[[Importe Neto]:[Importe Neto]],Imput[[C. Imp.]:[C. Imp.]],$D378,Imput[[PERIODO Imp.]:[PERIODO Imp.]],BZ$9)</f>
        <v>0</v>
      </c>
      <c r="CA378" s="693">
        <f>SUMIFS(Imput[[Importe Neto]:[Importe Neto]],Imput[[C. Imp.]:[C. Imp.]],$D378,Imput[[PERIODO Imp.]:[PERIODO Imp.]],CA$9)</f>
        <v>0</v>
      </c>
      <c r="CB378" s="693">
        <f>SUMIFS(Imput[[Importe Neto]:[Importe Neto]],Imput[[C. Imp.]:[C. Imp.]],$D378,Imput[[PERIODO Imp.]:[PERIODO Imp.]],CB$9)</f>
        <v>0</v>
      </c>
      <c r="CC378" s="693">
        <f>SUMIFS(Imput[[Importe Neto]:[Importe Neto]],Imput[[C. Imp.]:[C. Imp.]],$D378,Imput[[PERIODO Imp.]:[PERIODO Imp.]],CC$9)</f>
        <v>0</v>
      </c>
      <c r="CD378" s="693">
        <f>SUMIFS(Imput[[Importe Neto]:[Importe Neto]],Imput[[C. Imp.]:[C. Imp.]],$D378,Imput[[PERIODO Imp.]:[PERIODO Imp.]],CD$9)</f>
        <v>0</v>
      </c>
      <c r="CE378" s="693">
        <f>SUMIFS(Imput[[Importe Neto]:[Importe Neto]],Imput[[C. Imp.]:[C. Imp.]],$D378,Imput[[PERIODO Imp.]:[PERIODO Imp.]],CE$9)</f>
        <v>0</v>
      </c>
      <c r="CF378" s="693">
        <f>SUMIFS(Imput[[Importe Neto]:[Importe Neto]],Imput[[C. Imp.]:[C. Imp.]],$D378,Imput[[PERIODO Imp.]:[PERIODO Imp.]],CF$9)</f>
        <v>0</v>
      </c>
      <c r="CG378" s="693">
        <f>SUMIFS(Imput[[Importe Neto]:[Importe Neto]],Imput[[C. Imp.]:[C. Imp.]],$D378,Imput[[PERIODO Imp.]:[PERIODO Imp.]],CG$9)</f>
        <v>0</v>
      </c>
      <c r="CH378" s="693">
        <f>SUMIFS(Imput[[Importe Neto]:[Importe Neto]],Imput[[C. Imp.]:[C. Imp.]],$D378,Imput[[PERIODO Imp.]:[PERIODO Imp.]],CH$9)</f>
        <v>0</v>
      </c>
      <c r="CI378" s="693">
        <f>SUMIFS(Imput[[Importe Neto]:[Importe Neto]],Imput[[C. Imp.]:[C. Imp.]],$D378,Imput[[PERIODO Imp.]:[PERIODO Imp.]],CI$9)</f>
        <v>0</v>
      </c>
      <c r="CJ378" s="693">
        <f>SUMIFS(Imput[[Importe Neto]:[Importe Neto]],Imput[[C. Imp.]:[C. Imp.]],$D378,Imput[[PERIODO Imp.]:[PERIODO Imp.]],CJ$9)</f>
        <v>0</v>
      </c>
      <c r="CK378" s="693">
        <f>SUMIFS(Imput[[Importe Neto]:[Importe Neto]],Imput[[C. Imp.]:[C. Imp.]],$D378,Imput[[PERIODO Imp.]:[PERIODO Imp.]],CK$9)</f>
        <v>0</v>
      </c>
      <c r="CL378" s="693">
        <f>SUMIFS(Imput[[Importe Neto]:[Importe Neto]],Imput[[C. Imp.]:[C. Imp.]],$D378,Imput[[PERIODO Imp.]:[PERIODO Imp.]],CL$9)</f>
        <v>0</v>
      </c>
      <c r="CM378" s="693">
        <f>SUMIFS(Imput[[Importe Neto]:[Importe Neto]],Imput[[C. Imp.]:[C. Imp.]],$D378,Imput[[PERIODO Imp.]:[PERIODO Imp.]],CM$9)</f>
        <v>0</v>
      </c>
      <c r="CN378" s="693">
        <f>SUMIFS(Imput[[Importe Neto]:[Importe Neto]],Imput[[C. Imp.]:[C. Imp.]],$D378,Imput[[PERIODO Imp.]:[PERIODO Imp.]],CN$9)</f>
        <v>0</v>
      </c>
      <c r="CO378" s="693">
        <f>SUMIFS(Imput[[Importe Neto]:[Importe Neto]],Imput[[C. Imp.]:[C. Imp.]],$D378,Imput[[PERIODO Imp.]:[PERIODO Imp.]],CO$9)</f>
        <v>0</v>
      </c>
      <c r="CP378" s="693">
        <f>SUMIFS(Imput[[Importe Neto]:[Importe Neto]],Imput[[C. Imp.]:[C. Imp.]],$D378,Imput[[PERIODO Imp.]:[PERIODO Imp.]],CP$9)</f>
        <v>0</v>
      </c>
      <c r="CQ378" s="693">
        <f>SUMIFS(Imput[[Importe Neto]:[Importe Neto]],Imput[[C. Imp.]:[C. Imp.]],$D378,Imput[[PERIODO Imp.]:[PERIODO Imp.]],CQ$9)</f>
        <v>0</v>
      </c>
      <c r="CR378" s="693">
        <f>SUMIFS(Imput[[Importe Neto]:[Importe Neto]],Imput[[C. Imp.]:[C. Imp.]],$D378,Imput[[PERIODO Imp.]:[PERIODO Imp.]],CR$9)</f>
        <v>0</v>
      </c>
      <c r="CS378" s="693">
        <f>SUMIFS(Imput[[Importe Neto]:[Importe Neto]],Imput[[C. Imp.]:[C. Imp.]],$D378,Imput[[PERIODO Imp.]:[PERIODO Imp.]],CS$9)</f>
        <v>0</v>
      </c>
      <c r="CT378" s="693">
        <f>SUMIFS(Imput[[Importe Neto]:[Importe Neto]],Imput[[C. Imp.]:[C. Imp.]],$D378,Imput[[PERIODO Imp.]:[PERIODO Imp.]],CT$9)</f>
        <v>0</v>
      </c>
      <c r="CU378" s="693">
        <f>SUMIFS(Imput[[Importe Neto]:[Importe Neto]],Imput[[C. Imp.]:[C. Imp.]],$D378,Imput[[PERIODO Imp.]:[PERIODO Imp.]],CU$9)</f>
        <v>0</v>
      </c>
      <c r="CV378" s="693">
        <f>SUMIFS(Imput[[Importe Neto]:[Importe Neto]],Imput[[C. Imp.]:[C. Imp.]],$D378,Imput[[PERIODO Imp.]:[PERIODO Imp.]],CV$9)</f>
        <v>0</v>
      </c>
      <c r="CW378" s="693">
        <f>SUMIFS(Imput[[Importe Neto]:[Importe Neto]],Imput[[C. Imp.]:[C. Imp.]],$D378,Imput[[PERIODO Imp.]:[PERIODO Imp.]],CW$9)</f>
        <v>0</v>
      </c>
      <c r="CX378" s="693">
        <f>SUMIFS(Imput[[Importe Neto]:[Importe Neto]],Imput[[C. Imp.]:[C. Imp.]],$D378,Imput[[PERIODO Imp.]:[PERIODO Imp.]],CX$9)</f>
        <v>0</v>
      </c>
      <c r="CY378" s="693">
        <f>SUMIFS(Imput[[Importe Neto]:[Importe Neto]],Imput[[C. Imp.]:[C. Imp.]],$D378,Imput[[PERIODO Imp.]:[PERIODO Imp.]],CY$9)</f>
        <v>0</v>
      </c>
      <c r="CZ378" s="693">
        <f>SUMIFS(Imput[[Importe Neto]:[Importe Neto]],Imput[[C. Imp.]:[C. Imp.]],$D378,Imput[[PERIODO Imp.]:[PERIODO Imp.]],CZ$9)</f>
        <v>0</v>
      </c>
      <c r="DA378" s="693">
        <f>SUMIFS(Imput[[Importe Neto]:[Importe Neto]],Imput[[C. Imp.]:[C. Imp.]],$D378,Imput[[PERIODO Imp.]:[PERIODO Imp.]],DA$9)</f>
        <v>0</v>
      </c>
      <c r="DB378" s="693">
        <f>SUMIFS(Imput[[Importe Neto]:[Importe Neto]],Imput[[C. Imp.]:[C. Imp.]],$D378,Imput[[PERIODO Imp.]:[PERIODO Imp.]],DB$9)</f>
        <v>0</v>
      </c>
      <c r="DC378" s="693">
        <f>SUMIFS(Imput[[Importe Neto]:[Importe Neto]],Imput[[C. Imp.]:[C. Imp.]],$D378,Imput[[PERIODO Imp.]:[PERIODO Imp.]],DC$9)</f>
        <v>0</v>
      </c>
      <c r="DD378" s="693">
        <f>SUMIFS(Imput[[Importe Neto]:[Importe Neto]],Imput[[C. Imp.]:[C. Imp.]],$D378,Imput[[PERIODO Imp.]:[PERIODO Imp.]],DD$9)</f>
        <v>0</v>
      </c>
      <c r="DE378" s="693">
        <f>SUMIFS(Imput[[Importe Neto]:[Importe Neto]],Imput[[C. Imp.]:[C. Imp.]],$D378,Imput[[PERIODO Imp.]:[PERIODO Imp.]],DE$9)</f>
        <v>0</v>
      </c>
      <c r="DF378" s="693">
        <f>SUMIFS(Imput[[Importe Neto]:[Importe Neto]],Imput[[C. Imp.]:[C. Imp.]],$D378,Imput[[PERIODO Imp.]:[PERIODO Imp.]],DF$9)</f>
        <v>0</v>
      </c>
      <c r="DG378" s="693">
        <f>SUMIFS(Imput[[Importe Neto]:[Importe Neto]],Imput[[C. Imp.]:[C. Imp.]],$D378,Imput[[PERIODO Imp.]:[PERIODO Imp.]],DG$9)</f>
        <v>0</v>
      </c>
      <c r="DH378" s="694">
        <f>SUMIFS(Imput[[Importe Neto]:[Importe Neto]],Imput[[C. Imp.]:[C. Imp.]],$D378,Imput[[PERIODO Imp.]:[PERIODO Imp.]],DH$9)</f>
        <v>0</v>
      </c>
    </row>
    <row r="379" spans="1:112" s="649" customFormat="1" hidden="1" outlineLevel="1" x14ac:dyDescent="0.3">
      <c r="A379" s="652" t="str">
        <f t="shared" si="154"/>
        <v/>
      </c>
      <c r="B379" s="652"/>
      <c r="C379" s="685"/>
      <c r="D379" s="686" t="s">
        <v>2439</v>
      </c>
      <c r="E379" s="686"/>
      <c r="F379" s="720"/>
      <c r="G379" s="688"/>
      <c r="H379" s="689"/>
      <c r="I379" s="851" t="str">
        <f t="shared" si="155"/>
        <v/>
      </c>
      <c r="J379" s="850" t="str">
        <f t="shared" si="156"/>
        <v/>
      </c>
      <c r="K379" s="667"/>
      <c r="L379" s="858"/>
      <c r="M379" s="859"/>
      <c r="N379" s="859"/>
      <c r="O379" s="859"/>
      <c r="P379" s="859"/>
      <c r="Q379" s="859"/>
      <c r="R379" s="859"/>
      <c r="S379" s="859"/>
      <c r="T379" s="859"/>
      <c r="U379" s="859"/>
      <c r="V379" s="859"/>
      <c r="W379" s="859"/>
      <c r="X379" s="859"/>
      <c r="Y379" s="859"/>
      <c r="Z379" s="860"/>
      <c r="AA379" s="860"/>
      <c r="AB379" s="860"/>
      <c r="AC379" s="860"/>
      <c r="AD379" s="860"/>
      <c r="AE379" s="860"/>
      <c r="AF379" s="860"/>
      <c r="AG379" s="860"/>
      <c r="AH379" s="860"/>
      <c r="AI379" s="860"/>
      <c r="AJ379" s="860"/>
      <c r="AK379" s="860"/>
      <c r="AL379" s="860"/>
      <c r="AM379" s="860"/>
      <c r="AN379" s="860"/>
      <c r="AO379" s="860"/>
      <c r="AP379" s="860"/>
      <c r="AQ379" s="860"/>
      <c r="AR379" s="860"/>
      <c r="AS379" s="860"/>
      <c r="AT379" s="860"/>
      <c r="AU379" s="860"/>
      <c r="AV379" s="860"/>
      <c r="AW379" s="860"/>
      <c r="AX379" s="860"/>
      <c r="AY379" s="860"/>
      <c r="AZ379" s="860"/>
      <c r="BA379" s="860"/>
      <c r="BB379" s="860"/>
      <c r="BC379" s="860"/>
      <c r="BD379" s="860"/>
      <c r="BE379" s="860"/>
      <c r="BF379" s="860"/>
      <c r="BG379" s="860"/>
      <c r="BH379" s="668"/>
      <c r="BI379" s="667"/>
      <c r="BJ379" s="690">
        <f t="shared" si="157"/>
        <v>0</v>
      </c>
      <c r="BK379" s="691">
        <f t="shared" si="158"/>
        <v>0</v>
      </c>
      <c r="BL379" s="654"/>
      <c r="BM379" s="692">
        <f>SUMIFS(Imput[[Importe Neto]:[Importe Neto]],Imput[[C. Imp.]:[C. Imp.]],$D379,Imput[[PERIODO Imp.]:[PERIODO Imp.]],BM$9)</f>
        <v>0</v>
      </c>
      <c r="BN379" s="693">
        <f>SUMIFS(Imput[[Importe Neto]:[Importe Neto]],Imput[[C. Imp.]:[C. Imp.]],$D379,Imput[[PERIODO Imp.]:[PERIODO Imp.]],BN$9)</f>
        <v>0</v>
      </c>
      <c r="BO379" s="693">
        <f>SUMIFS(Imput[[Importe Neto]:[Importe Neto]],Imput[[C. Imp.]:[C. Imp.]],$D379,Imput[[PERIODO Imp.]:[PERIODO Imp.]],BO$9)</f>
        <v>0</v>
      </c>
      <c r="BP379" s="693">
        <f>SUMIFS(Imput[[Importe Neto]:[Importe Neto]],Imput[[C. Imp.]:[C. Imp.]],$D379,Imput[[PERIODO Imp.]:[PERIODO Imp.]],BP$9)</f>
        <v>0</v>
      </c>
      <c r="BQ379" s="693">
        <f>SUMIFS(Imput[[Importe Neto]:[Importe Neto]],Imput[[C. Imp.]:[C. Imp.]],$D379,Imput[[PERIODO Imp.]:[PERIODO Imp.]],BQ$9)</f>
        <v>0</v>
      </c>
      <c r="BR379" s="693">
        <f>SUMIFS(Imput[[Importe Neto]:[Importe Neto]],Imput[[C. Imp.]:[C. Imp.]],$D379,Imput[[PERIODO Imp.]:[PERIODO Imp.]],BR$9)</f>
        <v>0</v>
      </c>
      <c r="BS379" s="693">
        <f>SUMIFS(Imput[[Importe Neto]:[Importe Neto]],Imput[[C. Imp.]:[C. Imp.]],$D379,Imput[[PERIODO Imp.]:[PERIODO Imp.]],BS$9)</f>
        <v>0</v>
      </c>
      <c r="BT379" s="693">
        <f>SUMIFS(Imput[[Importe Neto]:[Importe Neto]],Imput[[C. Imp.]:[C. Imp.]],$D379,Imput[[PERIODO Imp.]:[PERIODO Imp.]],BT$9)</f>
        <v>0</v>
      </c>
      <c r="BU379" s="693">
        <f>SUMIFS(Imput[[Importe Neto]:[Importe Neto]],Imput[[C. Imp.]:[C. Imp.]],$D379,Imput[[PERIODO Imp.]:[PERIODO Imp.]],BU$9)</f>
        <v>0</v>
      </c>
      <c r="BV379" s="693">
        <f>SUMIFS(Imput[[Importe Neto]:[Importe Neto]],Imput[[C. Imp.]:[C. Imp.]],$D379,Imput[[PERIODO Imp.]:[PERIODO Imp.]],BV$9)</f>
        <v>0</v>
      </c>
      <c r="BW379" s="693">
        <f>SUMIFS(Imput[[Importe Neto]:[Importe Neto]],Imput[[C. Imp.]:[C. Imp.]],$D379,Imput[[PERIODO Imp.]:[PERIODO Imp.]],BW$9)</f>
        <v>0</v>
      </c>
      <c r="BX379" s="693">
        <f>SUMIFS(Imput[[Importe Neto]:[Importe Neto]],Imput[[C. Imp.]:[C. Imp.]],$D379,Imput[[PERIODO Imp.]:[PERIODO Imp.]],BX$9)</f>
        <v>0</v>
      </c>
      <c r="BY379" s="693">
        <f>SUMIFS(Imput[[Importe Neto]:[Importe Neto]],Imput[[C. Imp.]:[C. Imp.]],$D379,Imput[[PERIODO Imp.]:[PERIODO Imp.]],BY$9)</f>
        <v>0</v>
      </c>
      <c r="BZ379" s="693">
        <f>SUMIFS(Imput[[Importe Neto]:[Importe Neto]],Imput[[C. Imp.]:[C. Imp.]],$D379,Imput[[PERIODO Imp.]:[PERIODO Imp.]],BZ$9)</f>
        <v>0</v>
      </c>
      <c r="CA379" s="693">
        <f>SUMIFS(Imput[[Importe Neto]:[Importe Neto]],Imput[[C. Imp.]:[C. Imp.]],$D379,Imput[[PERIODO Imp.]:[PERIODO Imp.]],CA$9)</f>
        <v>0</v>
      </c>
      <c r="CB379" s="693">
        <f>SUMIFS(Imput[[Importe Neto]:[Importe Neto]],Imput[[C. Imp.]:[C. Imp.]],$D379,Imput[[PERIODO Imp.]:[PERIODO Imp.]],CB$9)</f>
        <v>0</v>
      </c>
      <c r="CC379" s="693">
        <f>SUMIFS(Imput[[Importe Neto]:[Importe Neto]],Imput[[C. Imp.]:[C. Imp.]],$D379,Imput[[PERIODO Imp.]:[PERIODO Imp.]],CC$9)</f>
        <v>0</v>
      </c>
      <c r="CD379" s="693">
        <f>SUMIFS(Imput[[Importe Neto]:[Importe Neto]],Imput[[C. Imp.]:[C. Imp.]],$D379,Imput[[PERIODO Imp.]:[PERIODO Imp.]],CD$9)</f>
        <v>0</v>
      </c>
      <c r="CE379" s="693">
        <f>SUMIFS(Imput[[Importe Neto]:[Importe Neto]],Imput[[C. Imp.]:[C. Imp.]],$D379,Imput[[PERIODO Imp.]:[PERIODO Imp.]],CE$9)</f>
        <v>0</v>
      </c>
      <c r="CF379" s="693">
        <f>SUMIFS(Imput[[Importe Neto]:[Importe Neto]],Imput[[C. Imp.]:[C. Imp.]],$D379,Imput[[PERIODO Imp.]:[PERIODO Imp.]],CF$9)</f>
        <v>0</v>
      </c>
      <c r="CG379" s="693">
        <f>SUMIFS(Imput[[Importe Neto]:[Importe Neto]],Imput[[C. Imp.]:[C. Imp.]],$D379,Imput[[PERIODO Imp.]:[PERIODO Imp.]],CG$9)</f>
        <v>0</v>
      </c>
      <c r="CH379" s="693">
        <f>SUMIFS(Imput[[Importe Neto]:[Importe Neto]],Imput[[C. Imp.]:[C. Imp.]],$D379,Imput[[PERIODO Imp.]:[PERIODO Imp.]],CH$9)</f>
        <v>0</v>
      </c>
      <c r="CI379" s="693">
        <f>SUMIFS(Imput[[Importe Neto]:[Importe Neto]],Imput[[C. Imp.]:[C. Imp.]],$D379,Imput[[PERIODO Imp.]:[PERIODO Imp.]],CI$9)</f>
        <v>0</v>
      </c>
      <c r="CJ379" s="693">
        <f>SUMIFS(Imput[[Importe Neto]:[Importe Neto]],Imput[[C. Imp.]:[C. Imp.]],$D379,Imput[[PERIODO Imp.]:[PERIODO Imp.]],CJ$9)</f>
        <v>0</v>
      </c>
      <c r="CK379" s="693">
        <f>SUMIFS(Imput[[Importe Neto]:[Importe Neto]],Imput[[C. Imp.]:[C. Imp.]],$D379,Imput[[PERIODO Imp.]:[PERIODO Imp.]],CK$9)</f>
        <v>0</v>
      </c>
      <c r="CL379" s="693">
        <f>SUMIFS(Imput[[Importe Neto]:[Importe Neto]],Imput[[C. Imp.]:[C. Imp.]],$D379,Imput[[PERIODO Imp.]:[PERIODO Imp.]],CL$9)</f>
        <v>0</v>
      </c>
      <c r="CM379" s="693">
        <f>SUMIFS(Imput[[Importe Neto]:[Importe Neto]],Imput[[C. Imp.]:[C. Imp.]],$D379,Imput[[PERIODO Imp.]:[PERIODO Imp.]],CM$9)</f>
        <v>0</v>
      </c>
      <c r="CN379" s="693">
        <f>SUMIFS(Imput[[Importe Neto]:[Importe Neto]],Imput[[C. Imp.]:[C. Imp.]],$D379,Imput[[PERIODO Imp.]:[PERIODO Imp.]],CN$9)</f>
        <v>0</v>
      </c>
      <c r="CO379" s="693">
        <f>SUMIFS(Imput[[Importe Neto]:[Importe Neto]],Imput[[C. Imp.]:[C. Imp.]],$D379,Imput[[PERIODO Imp.]:[PERIODO Imp.]],CO$9)</f>
        <v>0</v>
      </c>
      <c r="CP379" s="693">
        <f>SUMIFS(Imput[[Importe Neto]:[Importe Neto]],Imput[[C. Imp.]:[C. Imp.]],$D379,Imput[[PERIODO Imp.]:[PERIODO Imp.]],CP$9)</f>
        <v>0</v>
      </c>
      <c r="CQ379" s="693">
        <f>SUMIFS(Imput[[Importe Neto]:[Importe Neto]],Imput[[C. Imp.]:[C. Imp.]],$D379,Imput[[PERIODO Imp.]:[PERIODO Imp.]],CQ$9)</f>
        <v>0</v>
      </c>
      <c r="CR379" s="693">
        <f>SUMIFS(Imput[[Importe Neto]:[Importe Neto]],Imput[[C. Imp.]:[C. Imp.]],$D379,Imput[[PERIODO Imp.]:[PERIODO Imp.]],CR$9)</f>
        <v>0</v>
      </c>
      <c r="CS379" s="693">
        <f>SUMIFS(Imput[[Importe Neto]:[Importe Neto]],Imput[[C. Imp.]:[C. Imp.]],$D379,Imput[[PERIODO Imp.]:[PERIODO Imp.]],CS$9)</f>
        <v>0</v>
      </c>
      <c r="CT379" s="693">
        <f>SUMIFS(Imput[[Importe Neto]:[Importe Neto]],Imput[[C. Imp.]:[C. Imp.]],$D379,Imput[[PERIODO Imp.]:[PERIODO Imp.]],CT$9)</f>
        <v>0</v>
      </c>
      <c r="CU379" s="693">
        <f>SUMIFS(Imput[[Importe Neto]:[Importe Neto]],Imput[[C. Imp.]:[C. Imp.]],$D379,Imput[[PERIODO Imp.]:[PERIODO Imp.]],CU$9)</f>
        <v>0</v>
      </c>
      <c r="CV379" s="693">
        <f>SUMIFS(Imput[[Importe Neto]:[Importe Neto]],Imput[[C. Imp.]:[C. Imp.]],$D379,Imput[[PERIODO Imp.]:[PERIODO Imp.]],CV$9)</f>
        <v>0</v>
      </c>
      <c r="CW379" s="693">
        <f>SUMIFS(Imput[[Importe Neto]:[Importe Neto]],Imput[[C. Imp.]:[C. Imp.]],$D379,Imput[[PERIODO Imp.]:[PERIODO Imp.]],CW$9)</f>
        <v>0</v>
      </c>
      <c r="CX379" s="693">
        <f>SUMIFS(Imput[[Importe Neto]:[Importe Neto]],Imput[[C. Imp.]:[C. Imp.]],$D379,Imput[[PERIODO Imp.]:[PERIODO Imp.]],CX$9)</f>
        <v>0</v>
      </c>
      <c r="CY379" s="693">
        <f>SUMIFS(Imput[[Importe Neto]:[Importe Neto]],Imput[[C. Imp.]:[C. Imp.]],$D379,Imput[[PERIODO Imp.]:[PERIODO Imp.]],CY$9)</f>
        <v>0</v>
      </c>
      <c r="CZ379" s="693">
        <f>SUMIFS(Imput[[Importe Neto]:[Importe Neto]],Imput[[C. Imp.]:[C. Imp.]],$D379,Imput[[PERIODO Imp.]:[PERIODO Imp.]],CZ$9)</f>
        <v>0</v>
      </c>
      <c r="DA379" s="693">
        <f>SUMIFS(Imput[[Importe Neto]:[Importe Neto]],Imput[[C. Imp.]:[C. Imp.]],$D379,Imput[[PERIODO Imp.]:[PERIODO Imp.]],DA$9)</f>
        <v>0</v>
      </c>
      <c r="DB379" s="693">
        <f>SUMIFS(Imput[[Importe Neto]:[Importe Neto]],Imput[[C. Imp.]:[C. Imp.]],$D379,Imput[[PERIODO Imp.]:[PERIODO Imp.]],DB$9)</f>
        <v>0</v>
      </c>
      <c r="DC379" s="693">
        <f>SUMIFS(Imput[[Importe Neto]:[Importe Neto]],Imput[[C. Imp.]:[C. Imp.]],$D379,Imput[[PERIODO Imp.]:[PERIODO Imp.]],DC$9)</f>
        <v>0</v>
      </c>
      <c r="DD379" s="693">
        <f>SUMIFS(Imput[[Importe Neto]:[Importe Neto]],Imput[[C. Imp.]:[C. Imp.]],$D379,Imput[[PERIODO Imp.]:[PERIODO Imp.]],DD$9)</f>
        <v>0</v>
      </c>
      <c r="DE379" s="693">
        <f>SUMIFS(Imput[[Importe Neto]:[Importe Neto]],Imput[[C. Imp.]:[C. Imp.]],$D379,Imput[[PERIODO Imp.]:[PERIODO Imp.]],DE$9)</f>
        <v>0</v>
      </c>
      <c r="DF379" s="693">
        <f>SUMIFS(Imput[[Importe Neto]:[Importe Neto]],Imput[[C. Imp.]:[C. Imp.]],$D379,Imput[[PERIODO Imp.]:[PERIODO Imp.]],DF$9)</f>
        <v>0</v>
      </c>
      <c r="DG379" s="693">
        <f>SUMIFS(Imput[[Importe Neto]:[Importe Neto]],Imput[[C. Imp.]:[C. Imp.]],$D379,Imput[[PERIODO Imp.]:[PERIODO Imp.]],DG$9)</f>
        <v>0</v>
      </c>
      <c r="DH379" s="694">
        <f>SUMIFS(Imput[[Importe Neto]:[Importe Neto]],Imput[[C. Imp.]:[C. Imp.]],$D379,Imput[[PERIODO Imp.]:[PERIODO Imp.]],DH$9)</f>
        <v>0</v>
      </c>
    </row>
    <row r="380" spans="1:112" s="649" customFormat="1" hidden="1" outlineLevel="1" x14ac:dyDescent="0.3">
      <c r="A380" s="652" t="str">
        <f t="shared" si="154"/>
        <v/>
      </c>
      <c r="B380" s="652"/>
      <c r="C380" s="685"/>
      <c r="D380" s="686" t="s">
        <v>2440</v>
      </c>
      <c r="E380" s="686"/>
      <c r="F380" s="720"/>
      <c r="G380" s="688"/>
      <c r="H380" s="689"/>
      <c r="I380" s="851" t="str">
        <f t="shared" si="155"/>
        <v/>
      </c>
      <c r="J380" s="850" t="str">
        <f t="shared" si="156"/>
        <v/>
      </c>
      <c r="K380" s="667"/>
      <c r="L380" s="858"/>
      <c r="M380" s="859"/>
      <c r="N380" s="859"/>
      <c r="O380" s="859"/>
      <c r="P380" s="859"/>
      <c r="Q380" s="859"/>
      <c r="R380" s="859"/>
      <c r="S380" s="859"/>
      <c r="T380" s="859"/>
      <c r="U380" s="859"/>
      <c r="V380" s="859"/>
      <c r="W380" s="859"/>
      <c r="X380" s="859"/>
      <c r="Y380" s="859"/>
      <c r="Z380" s="860"/>
      <c r="AA380" s="860"/>
      <c r="AB380" s="860"/>
      <c r="AC380" s="860"/>
      <c r="AD380" s="860"/>
      <c r="AE380" s="860"/>
      <c r="AF380" s="860"/>
      <c r="AG380" s="860"/>
      <c r="AH380" s="860"/>
      <c r="AI380" s="860"/>
      <c r="AJ380" s="860"/>
      <c r="AK380" s="860"/>
      <c r="AL380" s="860"/>
      <c r="AM380" s="860"/>
      <c r="AN380" s="860"/>
      <c r="AO380" s="860"/>
      <c r="AP380" s="860"/>
      <c r="AQ380" s="860"/>
      <c r="AR380" s="860"/>
      <c r="AS380" s="860"/>
      <c r="AT380" s="860"/>
      <c r="AU380" s="860"/>
      <c r="AV380" s="860"/>
      <c r="AW380" s="860"/>
      <c r="AX380" s="860"/>
      <c r="AY380" s="860"/>
      <c r="AZ380" s="860"/>
      <c r="BA380" s="860"/>
      <c r="BB380" s="860"/>
      <c r="BC380" s="860"/>
      <c r="BD380" s="860"/>
      <c r="BE380" s="860"/>
      <c r="BF380" s="860"/>
      <c r="BG380" s="860"/>
      <c r="BH380" s="668"/>
      <c r="BI380" s="667"/>
      <c r="BJ380" s="690">
        <f t="shared" si="157"/>
        <v>0</v>
      </c>
      <c r="BK380" s="691">
        <f t="shared" si="158"/>
        <v>0</v>
      </c>
      <c r="BL380" s="654"/>
      <c r="BM380" s="692">
        <f>SUMIFS(Imput[[Importe Neto]:[Importe Neto]],Imput[[C. Imp.]:[C. Imp.]],$D380,Imput[[PERIODO Imp.]:[PERIODO Imp.]],BM$9)</f>
        <v>0</v>
      </c>
      <c r="BN380" s="693">
        <f>SUMIFS(Imput[[Importe Neto]:[Importe Neto]],Imput[[C. Imp.]:[C. Imp.]],$D380,Imput[[PERIODO Imp.]:[PERIODO Imp.]],BN$9)</f>
        <v>0</v>
      </c>
      <c r="BO380" s="693">
        <f>SUMIFS(Imput[[Importe Neto]:[Importe Neto]],Imput[[C. Imp.]:[C. Imp.]],$D380,Imput[[PERIODO Imp.]:[PERIODO Imp.]],BO$9)</f>
        <v>0</v>
      </c>
      <c r="BP380" s="693">
        <f>SUMIFS(Imput[[Importe Neto]:[Importe Neto]],Imput[[C. Imp.]:[C. Imp.]],$D380,Imput[[PERIODO Imp.]:[PERIODO Imp.]],BP$9)</f>
        <v>0</v>
      </c>
      <c r="BQ380" s="693">
        <f>SUMIFS(Imput[[Importe Neto]:[Importe Neto]],Imput[[C. Imp.]:[C. Imp.]],$D380,Imput[[PERIODO Imp.]:[PERIODO Imp.]],BQ$9)</f>
        <v>0</v>
      </c>
      <c r="BR380" s="693">
        <f>SUMIFS(Imput[[Importe Neto]:[Importe Neto]],Imput[[C. Imp.]:[C. Imp.]],$D380,Imput[[PERIODO Imp.]:[PERIODO Imp.]],BR$9)</f>
        <v>0</v>
      </c>
      <c r="BS380" s="693">
        <f>SUMIFS(Imput[[Importe Neto]:[Importe Neto]],Imput[[C. Imp.]:[C. Imp.]],$D380,Imput[[PERIODO Imp.]:[PERIODO Imp.]],BS$9)</f>
        <v>0</v>
      </c>
      <c r="BT380" s="693">
        <f>SUMIFS(Imput[[Importe Neto]:[Importe Neto]],Imput[[C. Imp.]:[C. Imp.]],$D380,Imput[[PERIODO Imp.]:[PERIODO Imp.]],BT$9)</f>
        <v>0</v>
      </c>
      <c r="BU380" s="693">
        <f>SUMIFS(Imput[[Importe Neto]:[Importe Neto]],Imput[[C. Imp.]:[C. Imp.]],$D380,Imput[[PERIODO Imp.]:[PERIODO Imp.]],BU$9)</f>
        <v>0</v>
      </c>
      <c r="BV380" s="693">
        <f>SUMIFS(Imput[[Importe Neto]:[Importe Neto]],Imput[[C. Imp.]:[C. Imp.]],$D380,Imput[[PERIODO Imp.]:[PERIODO Imp.]],BV$9)</f>
        <v>0</v>
      </c>
      <c r="BW380" s="693">
        <f>SUMIFS(Imput[[Importe Neto]:[Importe Neto]],Imput[[C. Imp.]:[C. Imp.]],$D380,Imput[[PERIODO Imp.]:[PERIODO Imp.]],BW$9)</f>
        <v>0</v>
      </c>
      <c r="BX380" s="693">
        <f>SUMIFS(Imput[[Importe Neto]:[Importe Neto]],Imput[[C. Imp.]:[C. Imp.]],$D380,Imput[[PERIODO Imp.]:[PERIODO Imp.]],BX$9)</f>
        <v>0</v>
      </c>
      <c r="BY380" s="693">
        <f>SUMIFS(Imput[[Importe Neto]:[Importe Neto]],Imput[[C. Imp.]:[C. Imp.]],$D380,Imput[[PERIODO Imp.]:[PERIODO Imp.]],BY$9)</f>
        <v>0</v>
      </c>
      <c r="BZ380" s="693">
        <f>SUMIFS(Imput[[Importe Neto]:[Importe Neto]],Imput[[C. Imp.]:[C. Imp.]],$D380,Imput[[PERIODO Imp.]:[PERIODO Imp.]],BZ$9)</f>
        <v>0</v>
      </c>
      <c r="CA380" s="693">
        <f>SUMIFS(Imput[[Importe Neto]:[Importe Neto]],Imput[[C. Imp.]:[C. Imp.]],$D380,Imput[[PERIODO Imp.]:[PERIODO Imp.]],CA$9)</f>
        <v>0</v>
      </c>
      <c r="CB380" s="693">
        <f>SUMIFS(Imput[[Importe Neto]:[Importe Neto]],Imput[[C. Imp.]:[C. Imp.]],$D380,Imput[[PERIODO Imp.]:[PERIODO Imp.]],CB$9)</f>
        <v>0</v>
      </c>
      <c r="CC380" s="693">
        <f>SUMIFS(Imput[[Importe Neto]:[Importe Neto]],Imput[[C. Imp.]:[C. Imp.]],$D380,Imput[[PERIODO Imp.]:[PERIODO Imp.]],CC$9)</f>
        <v>0</v>
      </c>
      <c r="CD380" s="693">
        <f>SUMIFS(Imput[[Importe Neto]:[Importe Neto]],Imput[[C. Imp.]:[C. Imp.]],$D380,Imput[[PERIODO Imp.]:[PERIODO Imp.]],CD$9)</f>
        <v>0</v>
      </c>
      <c r="CE380" s="693">
        <f>SUMIFS(Imput[[Importe Neto]:[Importe Neto]],Imput[[C. Imp.]:[C. Imp.]],$D380,Imput[[PERIODO Imp.]:[PERIODO Imp.]],CE$9)</f>
        <v>0</v>
      </c>
      <c r="CF380" s="693">
        <f>SUMIFS(Imput[[Importe Neto]:[Importe Neto]],Imput[[C. Imp.]:[C. Imp.]],$D380,Imput[[PERIODO Imp.]:[PERIODO Imp.]],CF$9)</f>
        <v>0</v>
      </c>
      <c r="CG380" s="693">
        <f>SUMIFS(Imput[[Importe Neto]:[Importe Neto]],Imput[[C. Imp.]:[C. Imp.]],$D380,Imput[[PERIODO Imp.]:[PERIODO Imp.]],CG$9)</f>
        <v>0</v>
      </c>
      <c r="CH380" s="693">
        <f>SUMIFS(Imput[[Importe Neto]:[Importe Neto]],Imput[[C. Imp.]:[C. Imp.]],$D380,Imput[[PERIODO Imp.]:[PERIODO Imp.]],CH$9)</f>
        <v>0</v>
      </c>
      <c r="CI380" s="693">
        <f>SUMIFS(Imput[[Importe Neto]:[Importe Neto]],Imput[[C. Imp.]:[C. Imp.]],$D380,Imput[[PERIODO Imp.]:[PERIODO Imp.]],CI$9)</f>
        <v>0</v>
      </c>
      <c r="CJ380" s="693">
        <f>SUMIFS(Imput[[Importe Neto]:[Importe Neto]],Imput[[C. Imp.]:[C. Imp.]],$D380,Imput[[PERIODO Imp.]:[PERIODO Imp.]],CJ$9)</f>
        <v>0</v>
      </c>
      <c r="CK380" s="693">
        <f>SUMIFS(Imput[[Importe Neto]:[Importe Neto]],Imput[[C. Imp.]:[C. Imp.]],$D380,Imput[[PERIODO Imp.]:[PERIODO Imp.]],CK$9)</f>
        <v>0</v>
      </c>
      <c r="CL380" s="693">
        <f>SUMIFS(Imput[[Importe Neto]:[Importe Neto]],Imput[[C. Imp.]:[C. Imp.]],$D380,Imput[[PERIODO Imp.]:[PERIODO Imp.]],CL$9)</f>
        <v>0</v>
      </c>
      <c r="CM380" s="693">
        <f>SUMIFS(Imput[[Importe Neto]:[Importe Neto]],Imput[[C. Imp.]:[C. Imp.]],$D380,Imput[[PERIODO Imp.]:[PERIODO Imp.]],CM$9)</f>
        <v>0</v>
      </c>
      <c r="CN380" s="693">
        <f>SUMIFS(Imput[[Importe Neto]:[Importe Neto]],Imput[[C. Imp.]:[C. Imp.]],$D380,Imput[[PERIODO Imp.]:[PERIODO Imp.]],CN$9)</f>
        <v>0</v>
      </c>
      <c r="CO380" s="693">
        <f>SUMIFS(Imput[[Importe Neto]:[Importe Neto]],Imput[[C. Imp.]:[C. Imp.]],$D380,Imput[[PERIODO Imp.]:[PERIODO Imp.]],CO$9)</f>
        <v>0</v>
      </c>
      <c r="CP380" s="693">
        <f>SUMIFS(Imput[[Importe Neto]:[Importe Neto]],Imput[[C. Imp.]:[C. Imp.]],$D380,Imput[[PERIODO Imp.]:[PERIODO Imp.]],CP$9)</f>
        <v>0</v>
      </c>
      <c r="CQ380" s="693">
        <f>SUMIFS(Imput[[Importe Neto]:[Importe Neto]],Imput[[C. Imp.]:[C. Imp.]],$D380,Imput[[PERIODO Imp.]:[PERIODO Imp.]],CQ$9)</f>
        <v>0</v>
      </c>
      <c r="CR380" s="693">
        <f>SUMIFS(Imput[[Importe Neto]:[Importe Neto]],Imput[[C. Imp.]:[C. Imp.]],$D380,Imput[[PERIODO Imp.]:[PERIODO Imp.]],CR$9)</f>
        <v>0</v>
      </c>
      <c r="CS380" s="693">
        <f>SUMIFS(Imput[[Importe Neto]:[Importe Neto]],Imput[[C. Imp.]:[C. Imp.]],$D380,Imput[[PERIODO Imp.]:[PERIODO Imp.]],CS$9)</f>
        <v>0</v>
      </c>
      <c r="CT380" s="693">
        <f>SUMIFS(Imput[[Importe Neto]:[Importe Neto]],Imput[[C. Imp.]:[C. Imp.]],$D380,Imput[[PERIODO Imp.]:[PERIODO Imp.]],CT$9)</f>
        <v>0</v>
      </c>
      <c r="CU380" s="693">
        <f>SUMIFS(Imput[[Importe Neto]:[Importe Neto]],Imput[[C. Imp.]:[C. Imp.]],$D380,Imput[[PERIODO Imp.]:[PERIODO Imp.]],CU$9)</f>
        <v>0</v>
      </c>
      <c r="CV380" s="693">
        <f>SUMIFS(Imput[[Importe Neto]:[Importe Neto]],Imput[[C. Imp.]:[C. Imp.]],$D380,Imput[[PERIODO Imp.]:[PERIODO Imp.]],CV$9)</f>
        <v>0</v>
      </c>
      <c r="CW380" s="693">
        <f>SUMIFS(Imput[[Importe Neto]:[Importe Neto]],Imput[[C. Imp.]:[C. Imp.]],$D380,Imput[[PERIODO Imp.]:[PERIODO Imp.]],CW$9)</f>
        <v>0</v>
      </c>
      <c r="CX380" s="693">
        <f>SUMIFS(Imput[[Importe Neto]:[Importe Neto]],Imput[[C. Imp.]:[C. Imp.]],$D380,Imput[[PERIODO Imp.]:[PERIODO Imp.]],CX$9)</f>
        <v>0</v>
      </c>
      <c r="CY380" s="693">
        <f>SUMIFS(Imput[[Importe Neto]:[Importe Neto]],Imput[[C. Imp.]:[C. Imp.]],$D380,Imput[[PERIODO Imp.]:[PERIODO Imp.]],CY$9)</f>
        <v>0</v>
      </c>
      <c r="CZ380" s="693">
        <f>SUMIFS(Imput[[Importe Neto]:[Importe Neto]],Imput[[C. Imp.]:[C. Imp.]],$D380,Imput[[PERIODO Imp.]:[PERIODO Imp.]],CZ$9)</f>
        <v>0</v>
      </c>
      <c r="DA380" s="693">
        <f>SUMIFS(Imput[[Importe Neto]:[Importe Neto]],Imput[[C. Imp.]:[C. Imp.]],$D380,Imput[[PERIODO Imp.]:[PERIODO Imp.]],DA$9)</f>
        <v>0</v>
      </c>
      <c r="DB380" s="693">
        <f>SUMIFS(Imput[[Importe Neto]:[Importe Neto]],Imput[[C. Imp.]:[C. Imp.]],$D380,Imput[[PERIODO Imp.]:[PERIODO Imp.]],DB$9)</f>
        <v>0</v>
      </c>
      <c r="DC380" s="693">
        <f>SUMIFS(Imput[[Importe Neto]:[Importe Neto]],Imput[[C. Imp.]:[C. Imp.]],$D380,Imput[[PERIODO Imp.]:[PERIODO Imp.]],DC$9)</f>
        <v>0</v>
      </c>
      <c r="DD380" s="693">
        <f>SUMIFS(Imput[[Importe Neto]:[Importe Neto]],Imput[[C. Imp.]:[C. Imp.]],$D380,Imput[[PERIODO Imp.]:[PERIODO Imp.]],DD$9)</f>
        <v>0</v>
      </c>
      <c r="DE380" s="693">
        <f>SUMIFS(Imput[[Importe Neto]:[Importe Neto]],Imput[[C. Imp.]:[C. Imp.]],$D380,Imput[[PERIODO Imp.]:[PERIODO Imp.]],DE$9)</f>
        <v>0</v>
      </c>
      <c r="DF380" s="693">
        <f>SUMIFS(Imput[[Importe Neto]:[Importe Neto]],Imput[[C. Imp.]:[C. Imp.]],$D380,Imput[[PERIODO Imp.]:[PERIODO Imp.]],DF$9)</f>
        <v>0</v>
      </c>
      <c r="DG380" s="693">
        <f>SUMIFS(Imput[[Importe Neto]:[Importe Neto]],Imput[[C. Imp.]:[C. Imp.]],$D380,Imput[[PERIODO Imp.]:[PERIODO Imp.]],DG$9)</f>
        <v>0</v>
      </c>
      <c r="DH380" s="694">
        <f>SUMIFS(Imput[[Importe Neto]:[Importe Neto]],Imput[[C. Imp.]:[C. Imp.]],$D380,Imput[[PERIODO Imp.]:[PERIODO Imp.]],DH$9)</f>
        <v>0</v>
      </c>
    </row>
    <row r="381" spans="1:112" s="649" customFormat="1" hidden="1" outlineLevel="1" x14ac:dyDescent="0.3">
      <c r="A381" s="652" t="str">
        <f t="shared" si="154"/>
        <v/>
      </c>
      <c r="B381" s="652"/>
      <c r="C381" s="685"/>
      <c r="D381" s="686" t="s">
        <v>2441</v>
      </c>
      <c r="E381" s="686"/>
      <c r="F381" s="720"/>
      <c r="G381" s="688"/>
      <c r="H381" s="689"/>
      <c r="I381" s="851" t="str">
        <f t="shared" si="155"/>
        <v/>
      </c>
      <c r="J381" s="850" t="str">
        <f t="shared" si="156"/>
        <v/>
      </c>
      <c r="K381" s="667"/>
      <c r="L381" s="858"/>
      <c r="M381" s="859"/>
      <c r="N381" s="859"/>
      <c r="O381" s="859"/>
      <c r="P381" s="859"/>
      <c r="Q381" s="859"/>
      <c r="R381" s="859"/>
      <c r="S381" s="859"/>
      <c r="T381" s="859"/>
      <c r="U381" s="859"/>
      <c r="V381" s="859"/>
      <c r="W381" s="859"/>
      <c r="X381" s="859"/>
      <c r="Y381" s="859"/>
      <c r="Z381" s="860"/>
      <c r="AA381" s="860"/>
      <c r="AB381" s="860"/>
      <c r="AC381" s="860"/>
      <c r="AD381" s="860"/>
      <c r="AE381" s="860"/>
      <c r="AF381" s="860"/>
      <c r="AG381" s="860"/>
      <c r="AH381" s="860"/>
      <c r="AI381" s="860"/>
      <c r="AJ381" s="860"/>
      <c r="AK381" s="860"/>
      <c r="AL381" s="860"/>
      <c r="AM381" s="860"/>
      <c r="AN381" s="860"/>
      <c r="AO381" s="860"/>
      <c r="AP381" s="860"/>
      <c r="AQ381" s="860"/>
      <c r="AR381" s="860"/>
      <c r="AS381" s="860"/>
      <c r="AT381" s="860"/>
      <c r="AU381" s="860"/>
      <c r="AV381" s="860"/>
      <c r="AW381" s="860"/>
      <c r="AX381" s="860"/>
      <c r="AY381" s="860"/>
      <c r="AZ381" s="860"/>
      <c r="BA381" s="860"/>
      <c r="BB381" s="860"/>
      <c r="BC381" s="860"/>
      <c r="BD381" s="860"/>
      <c r="BE381" s="860"/>
      <c r="BF381" s="860"/>
      <c r="BG381" s="860"/>
      <c r="BH381" s="668"/>
      <c r="BI381" s="667"/>
      <c r="BJ381" s="690">
        <f t="shared" si="157"/>
        <v>0</v>
      </c>
      <c r="BK381" s="691">
        <f t="shared" si="158"/>
        <v>0</v>
      </c>
      <c r="BL381" s="654"/>
      <c r="BM381" s="692">
        <f>SUMIFS(Imput[[Importe Neto]:[Importe Neto]],Imput[[C. Imp.]:[C. Imp.]],$D381,Imput[[PERIODO Imp.]:[PERIODO Imp.]],BM$9)</f>
        <v>0</v>
      </c>
      <c r="BN381" s="693">
        <f>SUMIFS(Imput[[Importe Neto]:[Importe Neto]],Imput[[C. Imp.]:[C. Imp.]],$D381,Imput[[PERIODO Imp.]:[PERIODO Imp.]],BN$9)</f>
        <v>0</v>
      </c>
      <c r="BO381" s="693">
        <f>SUMIFS(Imput[[Importe Neto]:[Importe Neto]],Imput[[C. Imp.]:[C. Imp.]],$D381,Imput[[PERIODO Imp.]:[PERIODO Imp.]],BO$9)</f>
        <v>0</v>
      </c>
      <c r="BP381" s="693">
        <f>SUMIFS(Imput[[Importe Neto]:[Importe Neto]],Imput[[C. Imp.]:[C. Imp.]],$D381,Imput[[PERIODO Imp.]:[PERIODO Imp.]],BP$9)</f>
        <v>0</v>
      </c>
      <c r="BQ381" s="693">
        <f>SUMIFS(Imput[[Importe Neto]:[Importe Neto]],Imput[[C. Imp.]:[C. Imp.]],$D381,Imput[[PERIODO Imp.]:[PERIODO Imp.]],BQ$9)</f>
        <v>0</v>
      </c>
      <c r="BR381" s="693">
        <f>SUMIFS(Imput[[Importe Neto]:[Importe Neto]],Imput[[C. Imp.]:[C. Imp.]],$D381,Imput[[PERIODO Imp.]:[PERIODO Imp.]],BR$9)</f>
        <v>0</v>
      </c>
      <c r="BS381" s="693">
        <f>SUMIFS(Imput[[Importe Neto]:[Importe Neto]],Imput[[C. Imp.]:[C. Imp.]],$D381,Imput[[PERIODO Imp.]:[PERIODO Imp.]],BS$9)</f>
        <v>0</v>
      </c>
      <c r="BT381" s="693">
        <f>SUMIFS(Imput[[Importe Neto]:[Importe Neto]],Imput[[C. Imp.]:[C. Imp.]],$D381,Imput[[PERIODO Imp.]:[PERIODO Imp.]],BT$9)</f>
        <v>0</v>
      </c>
      <c r="BU381" s="693">
        <f>SUMIFS(Imput[[Importe Neto]:[Importe Neto]],Imput[[C. Imp.]:[C. Imp.]],$D381,Imput[[PERIODO Imp.]:[PERIODO Imp.]],BU$9)</f>
        <v>0</v>
      </c>
      <c r="BV381" s="693">
        <f>SUMIFS(Imput[[Importe Neto]:[Importe Neto]],Imput[[C. Imp.]:[C. Imp.]],$D381,Imput[[PERIODO Imp.]:[PERIODO Imp.]],BV$9)</f>
        <v>0</v>
      </c>
      <c r="BW381" s="693">
        <f>SUMIFS(Imput[[Importe Neto]:[Importe Neto]],Imput[[C. Imp.]:[C. Imp.]],$D381,Imput[[PERIODO Imp.]:[PERIODO Imp.]],BW$9)</f>
        <v>0</v>
      </c>
      <c r="BX381" s="693">
        <f>SUMIFS(Imput[[Importe Neto]:[Importe Neto]],Imput[[C. Imp.]:[C. Imp.]],$D381,Imput[[PERIODO Imp.]:[PERIODO Imp.]],BX$9)</f>
        <v>0</v>
      </c>
      <c r="BY381" s="693">
        <f>SUMIFS(Imput[[Importe Neto]:[Importe Neto]],Imput[[C. Imp.]:[C. Imp.]],$D381,Imput[[PERIODO Imp.]:[PERIODO Imp.]],BY$9)</f>
        <v>0</v>
      </c>
      <c r="BZ381" s="693">
        <f>SUMIFS(Imput[[Importe Neto]:[Importe Neto]],Imput[[C. Imp.]:[C. Imp.]],$D381,Imput[[PERIODO Imp.]:[PERIODO Imp.]],BZ$9)</f>
        <v>0</v>
      </c>
      <c r="CA381" s="693">
        <f>SUMIFS(Imput[[Importe Neto]:[Importe Neto]],Imput[[C. Imp.]:[C. Imp.]],$D381,Imput[[PERIODO Imp.]:[PERIODO Imp.]],CA$9)</f>
        <v>0</v>
      </c>
      <c r="CB381" s="693">
        <f>SUMIFS(Imput[[Importe Neto]:[Importe Neto]],Imput[[C. Imp.]:[C. Imp.]],$D381,Imput[[PERIODO Imp.]:[PERIODO Imp.]],CB$9)</f>
        <v>0</v>
      </c>
      <c r="CC381" s="693">
        <f>SUMIFS(Imput[[Importe Neto]:[Importe Neto]],Imput[[C. Imp.]:[C. Imp.]],$D381,Imput[[PERIODO Imp.]:[PERIODO Imp.]],CC$9)</f>
        <v>0</v>
      </c>
      <c r="CD381" s="693">
        <f>SUMIFS(Imput[[Importe Neto]:[Importe Neto]],Imput[[C. Imp.]:[C. Imp.]],$D381,Imput[[PERIODO Imp.]:[PERIODO Imp.]],CD$9)</f>
        <v>0</v>
      </c>
      <c r="CE381" s="693">
        <f>SUMIFS(Imput[[Importe Neto]:[Importe Neto]],Imput[[C. Imp.]:[C. Imp.]],$D381,Imput[[PERIODO Imp.]:[PERIODO Imp.]],CE$9)</f>
        <v>0</v>
      </c>
      <c r="CF381" s="693">
        <f>SUMIFS(Imput[[Importe Neto]:[Importe Neto]],Imput[[C. Imp.]:[C. Imp.]],$D381,Imput[[PERIODO Imp.]:[PERIODO Imp.]],CF$9)</f>
        <v>0</v>
      </c>
      <c r="CG381" s="693">
        <f>SUMIFS(Imput[[Importe Neto]:[Importe Neto]],Imput[[C. Imp.]:[C. Imp.]],$D381,Imput[[PERIODO Imp.]:[PERIODO Imp.]],CG$9)</f>
        <v>0</v>
      </c>
      <c r="CH381" s="693">
        <f>SUMIFS(Imput[[Importe Neto]:[Importe Neto]],Imput[[C. Imp.]:[C. Imp.]],$D381,Imput[[PERIODO Imp.]:[PERIODO Imp.]],CH$9)</f>
        <v>0</v>
      </c>
      <c r="CI381" s="693">
        <f>SUMIFS(Imput[[Importe Neto]:[Importe Neto]],Imput[[C. Imp.]:[C. Imp.]],$D381,Imput[[PERIODO Imp.]:[PERIODO Imp.]],CI$9)</f>
        <v>0</v>
      </c>
      <c r="CJ381" s="693">
        <f>SUMIFS(Imput[[Importe Neto]:[Importe Neto]],Imput[[C. Imp.]:[C. Imp.]],$D381,Imput[[PERIODO Imp.]:[PERIODO Imp.]],CJ$9)</f>
        <v>0</v>
      </c>
      <c r="CK381" s="693">
        <f>SUMIFS(Imput[[Importe Neto]:[Importe Neto]],Imput[[C. Imp.]:[C. Imp.]],$D381,Imput[[PERIODO Imp.]:[PERIODO Imp.]],CK$9)</f>
        <v>0</v>
      </c>
      <c r="CL381" s="693">
        <f>SUMIFS(Imput[[Importe Neto]:[Importe Neto]],Imput[[C. Imp.]:[C. Imp.]],$D381,Imput[[PERIODO Imp.]:[PERIODO Imp.]],CL$9)</f>
        <v>0</v>
      </c>
      <c r="CM381" s="693">
        <f>SUMIFS(Imput[[Importe Neto]:[Importe Neto]],Imput[[C. Imp.]:[C. Imp.]],$D381,Imput[[PERIODO Imp.]:[PERIODO Imp.]],CM$9)</f>
        <v>0</v>
      </c>
      <c r="CN381" s="693">
        <f>SUMIFS(Imput[[Importe Neto]:[Importe Neto]],Imput[[C. Imp.]:[C. Imp.]],$D381,Imput[[PERIODO Imp.]:[PERIODO Imp.]],CN$9)</f>
        <v>0</v>
      </c>
      <c r="CO381" s="693">
        <f>SUMIFS(Imput[[Importe Neto]:[Importe Neto]],Imput[[C. Imp.]:[C. Imp.]],$D381,Imput[[PERIODO Imp.]:[PERIODO Imp.]],CO$9)</f>
        <v>0</v>
      </c>
      <c r="CP381" s="693">
        <f>SUMIFS(Imput[[Importe Neto]:[Importe Neto]],Imput[[C. Imp.]:[C. Imp.]],$D381,Imput[[PERIODO Imp.]:[PERIODO Imp.]],CP$9)</f>
        <v>0</v>
      </c>
      <c r="CQ381" s="693">
        <f>SUMIFS(Imput[[Importe Neto]:[Importe Neto]],Imput[[C. Imp.]:[C. Imp.]],$D381,Imput[[PERIODO Imp.]:[PERIODO Imp.]],CQ$9)</f>
        <v>0</v>
      </c>
      <c r="CR381" s="693">
        <f>SUMIFS(Imput[[Importe Neto]:[Importe Neto]],Imput[[C. Imp.]:[C. Imp.]],$D381,Imput[[PERIODO Imp.]:[PERIODO Imp.]],CR$9)</f>
        <v>0</v>
      </c>
      <c r="CS381" s="693">
        <f>SUMIFS(Imput[[Importe Neto]:[Importe Neto]],Imput[[C. Imp.]:[C. Imp.]],$D381,Imput[[PERIODO Imp.]:[PERIODO Imp.]],CS$9)</f>
        <v>0</v>
      </c>
      <c r="CT381" s="693">
        <f>SUMIFS(Imput[[Importe Neto]:[Importe Neto]],Imput[[C. Imp.]:[C. Imp.]],$D381,Imput[[PERIODO Imp.]:[PERIODO Imp.]],CT$9)</f>
        <v>0</v>
      </c>
      <c r="CU381" s="693">
        <f>SUMIFS(Imput[[Importe Neto]:[Importe Neto]],Imput[[C. Imp.]:[C. Imp.]],$D381,Imput[[PERIODO Imp.]:[PERIODO Imp.]],CU$9)</f>
        <v>0</v>
      </c>
      <c r="CV381" s="693">
        <f>SUMIFS(Imput[[Importe Neto]:[Importe Neto]],Imput[[C. Imp.]:[C. Imp.]],$D381,Imput[[PERIODO Imp.]:[PERIODO Imp.]],CV$9)</f>
        <v>0</v>
      </c>
      <c r="CW381" s="693">
        <f>SUMIFS(Imput[[Importe Neto]:[Importe Neto]],Imput[[C. Imp.]:[C. Imp.]],$D381,Imput[[PERIODO Imp.]:[PERIODO Imp.]],CW$9)</f>
        <v>0</v>
      </c>
      <c r="CX381" s="693">
        <f>SUMIFS(Imput[[Importe Neto]:[Importe Neto]],Imput[[C. Imp.]:[C. Imp.]],$D381,Imput[[PERIODO Imp.]:[PERIODO Imp.]],CX$9)</f>
        <v>0</v>
      </c>
      <c r="CY381" s="693">
        <f>SUMIFS(Imput[[Importe Neto]:[Importe Neto]],Imput[[C. Imp.]:[C. Imp.]],$D381,Imput[[PERIODO Imp.]:[PERIODO Imp.]],CY$9)</f>
        <v>0</v>
      </c>
      <c r="CZ381" s="693">
        <f>SUMIFS(Imput[[Importe Neto]:[Importe Neto]],Imput[[C. Imp.]:[C. Imp.]],$D381,Imput[[PERIODO Imp.]:[PERIODO Imp.]],CZ$9)</f>
        <v>0</v>
      </c>
      <c r="DA381" s="693">
        <f>SUMIFS(Imput[[Importe Neto]:[Importe Neto]],Imput[[C. Imp.]:[C. Imp.]],$D381,Imput[[PERIODO Imp.]:[PERIODO Imp.]],DA$9)</f>
        <v>0</v>
      </c>
      <c r="DB381" s="693">
        <f>SUMIFS(Imput[[Importe Neto]:[Importe Neto]],Imput[[C. Imp.]:[C. Imp.]],$D381,Imput[[PERIODO Imp.]:[PERIODO Imp.]],DB$9)</f>
        <v>0</v>
      </c>
      <c r="DC381" s="693">
        <f>SUMIFS(Imput[[Importe Neto]:[Importe Neto]],Imput[[C. Imp.]:[C. Imp.]],$D381,Imput[[PERIODO Imp.]:[PERIODO Imp.]],DC$9)</f>
        <v>0</v>
      </c>
      <c r="DD381" s="693">
        <f>SUMIFS(Imput[[Importe Neto]:[Importe Neto]],Imput[[C. Imp.]:[C. Imp.]],$D381,Imput[[PERIODO Imp.]:[PERIODO Imp.]],DD$9)</f>
        <v>0</v>
      </c>
      <c r="DE381" s="693">
        <f>SUMIFS(Imput[[Importe Neto]:[Importe Neto]],Imput[[C. Imp.]:[C. Imp.]],$D381,Imput[[PERIODO Imp.]:[PERIODO Imp.]],DE$9)</f>
        <v>0</v>
      </c>
      <c r="DF381" s="693">
        <f>SUMIFS(Imput[[Importe Neto]:[Importe Neto]],Imput[[C. Imp.]:[C. Imp.]],$D381,Imput[[PERIODO Imp.]:[PERIODO Imp.]],DF$9)</f>
        <v>0</v>
      </c>
      <c r="DG381" s="693">
        <f>SUMIFS(Imput[[Importe Neto]:[Importe Neto]],Imput[[C. Imp.]:[C. Imp.]],$D381,Imput[[PERIODO Imp.]:[PERIODO Imp.]],DG$9)</f>
        <v>0</v>
      </c>
      <c r="DH381" s="694">
        <f>SUMIFS(Imput[[Importe Neto]:[Importe Neto]],Imput[[C. Imp.]:[C. Imp.]],$D381,Imput[[PERIODO Imp.]:[PERIODO Imp.]],DH$9)</f>
        <v>0</v>
      </c>
    </row>
    <row r="382" spans="1:112" s="649" customFormat="1" hidden="1" outlineLevel="1" x14ac:dyDescent="0.3">
      <c r="A382" s="652" t="str">
        <f t="shared" si="154"/>
        <v/>
      </c>
      <c r="B382" s="652"/>
      <c r="C382" s="685"/>
      <c r="D382" s="686" t="s">
        <v>2442</v>
      </c>
      <c r="E382" s="686"/>
      <c r="F382" s="720"/>
      <c r="G382" s="688"/>
      <c r="H382" s="689"/>
      <c r="I382" s="851" t="str">
        <f t="shared" si="155"/>
        <v/>
      </c>
      <c r="J382" s="850" t="str">
        <f t="shared" si="156"/>
        <v/>
      </c>
      <c r="K382" s="667"/>
      <c r="L382" s="858"/>
      <c r="M382" s="859"/>
      <c r="N382" s="859"/>
      <c r="O382" s="859"/>
      <c r="P382" s="859"/>
      <c r="Q382" s="859"/>
      <c r="R382" s="859"/>
      <c r="S382" s="859"/>
      <c r="T382" s="859"/>
      <c r="U382" s="859"/>
      <c r="V382" s="859"/>
      <c r="W382" s="859"/>
      <c r="X382" s="859"/>
      <c r="Y382" s="859"/>
      <c r="Z382" s="860"/>
      <c r="AA382" s="860"/>
      <c r="AB382" s="860"/>
      <c r="AC382" s="860"/>
      <c r="AD382" s="860"/>
      <c r="AE382" s="860"/>
      <c r="AF382" s="860"/>
      <c r="AG382" s="860"/>
      <c r="AH382" s="860"/>
      <c r="AI382" s="860"/>
      <c r="AJ382" s="860"/>
      <c r="AK382" s="860"/>
      <c r="AL382" s="860"/>
      <c r="AM382" s="860"/>
      <c r="AN382" s="860"/>
      <c r="AO382" s="860"/>
      <c r="AP382" s="860"/>
      <c r="AQ382" s="860"/>
      <c r="AR382" s="860"/>
      <c r="AS382" s="860"/>
      <c r="AT382" s="860"/>
      <c r="AU382" s="860"/>
      <c r="AV382" s="860"/>
      <c r="AW382" s="860"/>
      <c r="AX382" s="860"/>
      <c r="AY382" s="860"/>
      <c r="AZ382" s="860"/>
      <c r="BA382" s="860"/>
      <c r="BB382" s="860"/>
      <c r="BC382" s="860"/>
      <c r="BD382" s="860"/>
      <c r="BE382" s="860"/>
      <c r="BF382" s="860"/>
      <c r="BG382" s="860"/>
      <c r="BH382" s="668"/>
      <c r="BI382" s="667"/>
      <c r="BJ382" s="690">
        <f t="shared" si="157"/>
        <v>0</v>
      </c>
      <c r="BK382" s="691">
        <f t="shared" si="158"/>
        <v>0</v>
      </c>
      <c r="BL382" s="654"/>
      <c r="BM382" s="692">
        <f>SUMIFS(Imput[[Importe Neto]:[Importe Neto]],Imput[[C. Imp.]:[C. Imp.]],$D382,Imput[[PERIODO Imp.]:[PERIODO Imp.]],BM$9)</f>
        <v>0</v>
      </c>
      <c r="BN382" s="693">
        <f>SUMIFS(Imput[[Importe Neto]:[Importe Neto]],Imput[[C. Imp.]:[C. Imp.]],$D382,Imput[[PERIODO Imp.]:[PERIODO Imp.]],BN$9)</f>
        <v>0</v>
      </c>
      <c r="BO382" s="693">
        <f>SUMIFS(Imput[[Importe Neto]:[Importe Neto]],Imput[[C. Imp.]:[C. Imp.]],$D382,Imput[[PERIODO Imp.]:[PERIODO Imp.]],BO$9)</f>
        <v>0</v>
      </c>
      <c r="BP382" s="693">
        <f>SUMIFS(Imput[[Importe Neto]:[Importe Neto]],Imput[[C. Imp.]:[C. Imp.]],$D382,Imput[[PERIODO Imp.]:[PERIODO Imp.]],BP$9)</f>
        <v>0</v>
      </c>
      <c r="BQ382" s="693">
        <f>SUMIFS(Imput[[Importe Neto]:[Importe Neto]],Imput[[C. Imp.]:[C. Imp.]],$D382,Imput[[PERIODO Imp.]:[PERIODO Imp.]],BQ$9)</f>
        <v>0</v>
      </c>
      <c r="BR382" s="693">
        <f>SUMIFS(Imput[[Importe Neto]:[Importe Neto]],Imput[[C. Imp.]:[C. Imp.]],$D382,Imput[[PERIODO Imp.]:[PERIODO Imp.]],BR$9)</f>
        <v>0</v>
      </c>
      <c r="BS382" s="693">
        <f>SUMIFS(Imput[[Importe Neto]:[Importe Neto]],Imput[[C. Imp.]:[C. Imp.]],$D382,Imput[[PERIODO Imp.]:[PERIODO Imp.]],BS$9)</f>
        <v>0</v>
      </c>
      <c r="BT382" s="693">
        <f>SUMIFS(Imput[[Importe Neto]:[Importe Neto]],Imput[[C. Imp.]:[C. Imp.]],$D382,Imput[[PERIODO Imp.]:[PERIODO Imp.]],BT$9)</f>
        <v>0</v>
      </c>
      <c r="BU382" s="693">
        <f>SUMIFS(Imput[[Importe Neto]:[Importe Neto]],Imput[[C. Imp.]:[C. Imp.]],$D382,Imput[[PERIODO Imp.]:[PERIODO Imp.]],BU$9)</f>
        <v>0</v>
      </c>
      <c r="BV382" s="693">
        <f>SUMIFS(Imput[[Importe Neto]:[Importe Neto]],Imput[[C. Imp.]:[C. Imp.]],$D382,Imput[[PERIODO Imp.]:[PERIODO Imp.]],BV$9)</f>
        <v>0</v>
      </c>
      <c r="BW382" s="693">
        <f>SUMIFS(Imput[[Importe Neto]:[Importe Neto]],Imput[[C. Imp.]:[C. Imp.]],$D382,Imput[[PERIODO Imp.]:[PERIODO Imp.]],BW$9)</f>
        <v>0</v>
      </c>
      <c r="BX382" s="693">
        <f>SUMIFS(Imput[[Importe Neto]:[Importe Neto]],Imput[[C. Imp.]:[C. Imp.]],$D382,Imput[[PERIODO Imp.]:[PERIODO Imp.]],BX$9)</f>
        <v>0</v>
      </c>
      <c r="BY382" s="693">
        <f>SUMIFS(Imput[[Importe Neto]:[Importe Neto]],Imput[[C. Imp.]:[C. Imp.]],$D382,Imput[[PERIODO Imp.]:[PERIODO Imp.]],BY$9)</f>
        <v>0</v>
      </c>
      <c r="BZ382" s="693">
        <f>SUMIFS(Imput[[Importe Neto]:[Importe Neto]],Imput[[C. Imp.]:[C. Imp.]],$D382,Imput[[PERIODO Imp.]:[PERIODO Imp.]],BZ$9)</f>
        <v>0</v>
      </c>
      <c r="CA382" s="693">
        <f>SUMIFS(Imput[[Importe Neto]:[Importe Neto]],Imput[[C. Imp.]:[C. Imp.]],$D382,Imput[[PERIODO Imp.]:[PERIODO Imp.]],CA$9)</f>
        <v>0</v>
      </c>
      <c r="CB382" s="693">
        <f>SUMIFS(Imput[[Importe Neto]:[Importe Neto]],Imput[[C. Imp.]:[C. Imp.]],$D382,Imput[[PERIODO Imp.]:[PERIODO Imp.]],CB$9)</f>
        <v>0</v>
      </c>
      <c r="CC382" s="693">
        <f>SUMIFS(Imput[[Importe Neto]:[Importe Neto]],Imput[[C. Imp.]:[C. Imp.]],$D382,Imput[[PERIODO Imp.]:[PERIODO Imp.]],CC$9)</f>
        <v>0</v>
      </c>
      <c r="CD382" s="693">
        <f>SUMIFS(Imput[[Importe Neto]:[Importe Neto]],Imput[[C. Imp.]:[C. Imp.]],$D382,Imput[[PERIODO Imp.]:[PERIODO Imp.]],CD$9)</f>
        <v>0</v>
      </c>
      <c r="CE382" s="693">
        <f>SUMIFS(Imput[[Importe Neto]:[Importe Neto]],Imput[[C. Imp.]:[C. Imp.]],$D382,Imput[[PERIODO Imp.]:[PERIODO Imp.]],CE$9)</f>
        <v>0</v>
      </c>
      <c r="CF382" s="693">
        <f>SUMIFS(Imput[[Importe Neto]:[Importe Neto]],Imput[[C. Imp.]:[C. Imp.]],$D382,Imput[[PERIODO Imp.]:[PERIODO Imp.]],CF$9)</f>
        <v>0</v>
      </c>
      <c r="CG382" s="693">
        <f>SUMIFS(Imput[[Importe Neto]:[Importe Neto]],Imput[[C. Imp.]:[C. Imp.]],$D382,Imput[[PERIODO Imp.]:[PERIODO Imp.]],CG$9)</f>
        <v>0</v>
      </c>
      <c r="CH382" s="693">
        <f>SUMIFS(Imput[[Importe Neto]:[Importe Neto]],Imput[[C. Imp.]:[C. Imp.]],$D382,Imput[[PERIODO Imp.]:[PERIODO Imp.]],CH$9)</f>
        <v>0</v>
      </c>
      <c r="CI382" s="693">
        <f>SUMIFS(Imput[[Importe Neto]:[Importe Neto]],Imput[[C. Imp.]:[C. Imp.]],$D382,Imput[[PERIODO Imp.]:[PERIODO Imp.]],CI$9)</f>
        <v>0</v>
      </c>
      <c r="CJ382" s="693">
        <f>SUMIFS(Imput[[Importe Neto]:[Importe Neto]],Imput[[C. Imp.]:[C. Imp.]],$D382,Imput[[PERIODO Imp.]:[PERIODO Imp.]],CJ$9)</f>
        <v>0</v>
      </c>
      <c r="CK382" s="693">
        <f>SUMIFS(Imput[[Importe Neto]:[Importe Neto]],Imput[[C. Imp.]:[C. Imp.]],$D382,Imput[[PERIODO Imp.]:[PERIODO Imp.]],CK$9)</f>
        <v>0</v>
      </c>
      <c r="CL382" s="693">
        <f>SUMIFS(Imput[[Importe Neto]:[Importe Neto]],Imput[[C. Imp.]:[C. Imp.]],$D382,Imput[[PERIODO Imp.]:[PERIODO Imp.]],CL$9)</f>
        <v>0</v>
      </c>
      <c r="CM382" s="693">
        <f>SUMIFS(Imput[[Importe Neto]:[Importe Neto]],Imput[[C. Imp.]:[C. Imp.]],$D382,Imput[[PERIODO Imp.]:[PERIODO Imp.]],CM$9)</f>
        <v>0</v>
      </c>
      <c r="CN382" s="693">
        <f>SUMIFS(Imput[[Importe Neto]:[Importe Neto]],Imput[[C. Imp.]:[C. Imp.]],$D382,Imput[[PERIODO Imp.]:[PERIODO Imp.]],CN$9)</f>
        <v>0</v>
      </c>
      <c r="CO382" s="693">
        <f>SUMIFS(Imput[[Importe Neto]:[Importe Neto]],Imput[[C. Imp.]:[C. Imp.]],$D382,Imput[[PERIODO Imp.]:[PERIODO Imp.]],CO$9)</f>
        <v>0</v>
      </c>
      <c r="CP382" s="693">
        <f>SUMIFS(Imput[[Importe Neto]:[Importe Neto]],Imput[[C. Imp.]:[C. Imp.]],$D382,Imput[[PERIODO Imp.]:[PERIODO Imp.]],CP$9)</f>
        <v>0</v>
      </c>
      <c r="CQ382" s="693">
        <f>SUMIFS(Imput[[Importe Neto]:[Importe Neto]],Imput[[C. Imp.]:[C. Imp.]],$D382,Imput[[PERIODO Imp.]:[PERIODO Imp.]],CQ$9)</f>
        <v>0</v>
      </c>
      <c r="CR382" s="693">
        <f>SUMIFS(Imput[[Importe Neto]:[Importe Neto]],Imput[[C. Imp.]:[C. Imp.]],$D382,Imput[[PERIODO Imp.]:[PERIODO Imp.]],CR$9)</f>
        <v>0</v>
      </c>
      <c r="CS382" s="693">
        <f>SUMIFS(Imput[[Importe Neto]:[Importe Neto]],Imput[[C. Imp.]:[C. Imp.]],$D382,Imput[[PERIODO Imp.]:[PERIODO Imp.]],CS$9)</f>
        <v>0</v>
      </c>
      <c r="CT382" s="693">
        <f>SUMIFS(Imput[[Importe Neto]:[Importe Neto]],Imput[[C. Imp.]:[C. Imp.]],$D382,Imput[[PERIODO Imp.]:[PERIODO Imp.]],CT$9)</f>
        <v>0</v>
      </c>
      <c r="CU382" s="693">
        <f>SUMIFS(Imput[[Importe Neto]:[Importe Neto]],Imput[[C. Imp.]:[C. Imp.]],$D382,Imput[[PERIODO Imp.]:[PERIODO Imp.]],CU$9)</f>
        <v>0</v>
      </c>
      <c r="CV382" s="693">
        <f>SUMIFS(Imput[[Importe Neto]:[Importe Neto]],Imput[[C. Imp.]:[C. Imp.]],$D382,Imput[[PERIODO Imp.]:[PERIODO Imp.]],CV$9)</f>
        <v>0</v>
      </c>
      <c r="CW382" s="693">
        <f>SUMIFS(Imput[[Importe Neto]:[Importe Neto]],Imput[[C. Imp.]:[C. Imp.]],$D382,Imput[[PERIODO Imp.]:[PERIODO Imp.]],CW$9)</f>
        <v>0</v>
      </c>
      <c r="CX382" s="693">
        <f>SUMIFS(Imput[[Importe Neto]:[Importe Neto]],Imput[[C. Imp.]:[C. Imp.]],$D382,Imput[[PERIODO Imp.]:[PERIODO Imp.]],CX$9)</f>
        <v>0</v>
      </c>
      <c r="CY382" s="693">
        <f>SUMIFS(Imput[[Importe Neto]:[Importe Neto]],Imput[[C. Imp.]:[C. Imp.]],$D382,Imput[[PERIODO Imp.]:[PERIODO Imp.]],CY$9)</f>
        <v>0</v>
      </c>
      <c r="CZ382" s="693">
        <f>SUMIFS(Imput[[Importe Neto]:[Importe Neto]],Imput[[C. Imp.]:[C. Imp.]],$D382,Imput[[PERIODO Imp.]:[PERIODO Imp.]],CZ$9)</f>
        <v>0</v>
      </c>
      <c r="DA382" s="693">
        <f>SUMIFS(Imput[[Importe Neto]:[Importe Neto]],Imput[[C. Imp.]:[C. Imp.]],$D382,Imput[[PERIODO Imp.]:[PERIODO Imp.]],DA$9)</f>
        <v>0</v>
      </c>
      <c r="DB382" s="693">
        <f>SUMIFS(Imput[[Importe Neto]:[Importe Neto]],Imput[[C. Imp.]:[C. Imp.]],$D382,Imput[[PERIODO Imp.]:[PERIODO Imp.]],DB$9)</f>
        <v>0</v>
      </c>
      <c r="DC382" s="693">
        <f>SUMIFS(Imput[[Importe Neto]:[Importe Neto]],Imput[[C. Imp.]:[C. Imp.]],$D382,Imput[[PERIODO Imp.]:[PERIODO Imp.]],DC$9)</f>
        <v>0</v>
      </c>
      <c r="DD382" s="693">
        <f>SUMIFS(Imput[[Importe Neto]:[Importe Neto]],Imput[[C. Imp.]:[C. Imp.]],$D382,Imput[[PERIODO Imp.]:[PERIODO Imp.]],DD$9)</f>
        <v>0</v>
      </c>
      <c r="DE382" s="693">
        <f>SUMIFS(Imput[[Importe Neto]:[Importe Neto]],Imput[[C. Imp.]:[C. Imp.]],$D382,Imput[[PERIODO Imp.]:[PERIODO Imp.]],DE$9)</f>
        <v>0</v>
      </c>
      <c r="DF382" s="693">
        <f>SUMIFS(Imput[[Importe Neto]:[Importe Neto]],Imput[[C. Imp.]:[C. Imp.]],$D382,Imput[[PERIODO Imp.]:[PERIODO Imp.]],DF$9)</f>
        <v>0</v>
      </c>
      <c r="DG382" s="693">
        <f>SUMIFS(Imput[[Importe Neto]:[Importe Neto]],Imput[[C. Imp.]:[C. Imp.]],$D382,Imput[[PERIODO Imp.]:[PERIODO Imp.]],DG$9)</f>
        <v>0</v>
      </c>
      <c r="DH382" s="694">
        <f>SUMIFS(Imput[[Importe Neto]:[Importe Neto]],Imput[[C. Imp.]:[C. Imp.]],$D382,Imput[[PERIODO Imp.]:[PERIODO Imp.]],DH$9)</f>
        <v>0</v>
      </c>
    </row>
    <row r="383" spans="1:112" s="649" customFormat="1" hidden="1" outlineLevel="1" x14ac:dyDescent="0.3">
      <c r="A383" s="652" t="str">
        <f t="shared" si="154"/>
        <v/>
      </c>
      <c r="B383" s="652"/>
      <c r="C383" s="685"/>
      <c r="D383" s="686" t="s">
        <v>2443</v>
      </c>
      <c r="E383" s="686"/>
      <c r="F383" s="720"/>
      <c r="G383" s="688"/>
      <c r="H383" s="689"/>
      <c r="I383" s="851" t="str">
        <f t="shared" si="155"/>
        <v/>
      </c>
      <c r="J383" s="850" t="str">
        <f t="shared" si="156"/>
        <v/>
      </c>
      <c r="K383" s="667"/>
      <c r="L383" s="858"/>
      <c r="M383" s="859"/>
      <c r="N383" s="859"/>
      <c r="O383" s="859"/>
      <c r="P383" s="859"/>
      <c r="Q383" s="859"/>
      <c r="R383" s="859"/>
      <c r="S383" s="859"/>
      <c r="T383" s="859"/>
      <c r="U383" s="859"/>
      <c r="V383" s="859"/>
      <c r="W383" s="859"/>
      <c r="X383" s="859"/>
      <c r="Y383" s="859"/>
      <c r="Z383" s="860"/>
      <c r="AA383" s="860"/>
      <c r="AB383" s="860"/>
      <c r="AC383" s="860"/>
      <c r="AD383" s="860"/>
      <c r="AE383" s="860"/>
      <c r="AF383" s="860"/>
      <c r="AG383" s="860"/>
      <c r="AH383" s="860"/>
      <c r="AI383" s="860"/>
      <c r="AJ383" s="860"/>
      <c r="AK383" s="860"/>
      <c r="AL383" s="860"/>
      <c r="AM383" s="860"/>
      <c r="AN383" s="860"/>
      <c r="AO383" s="860"/>
      <c r="AP383" s="860"/>
      <c r="AQ383" s="860"/>
      <c r="AR383" s="860"/>
      <c r="AS383" s="860"/>
      <c r="AT383" s="860"/>
      <c r="AU383" s="860"/>
      <c r="AV383" s="860"/>
      <c r="AW383" s="860"/>
      <c r="AX383" s="860"/>
      <c r="AY383" s="860"/>
      <c r="AZ383" s="860"/>
      <c r="BA383" s="860"/>
      <c r="BB383" s="860"/>
      <c r="BC383" s="860"/>
      <c r="BD383" s="860"/>
      <c r="BE383" s="860"/>
      <c r="BF383" s="860"/>
      <c r="BG383" s="860"/>
      <c r="BH383" s="668"/>
      <c r="BI383" s="667"/>
      <c r="BJ383" s="690">
        <f t="shared" si="157"/>
        <v>0</v>
      </c>
      <c r="BK383" s="691">
        <f t="shared" si="158"/>
        <v>0</v>
      </c>
      <c r="BL383" s="654"/>
      <c r="BM383" s="692">
        <f>SUMIFS(Imput[[Importe Neto]:[Importe Neto]],Imput[[C. Imp.]:[C. Imp.]],$D383,Imput[[PERIODO Imp.]:[PERIODO Imp.]],BM$9)</f>
        <v>0</v>
      </c>
      <c r="BN383" s="693">
        <f>SUMIFS(Imput[[Importe Neto]:[Importe Neto]],Imput[[C. Imp.]:[C. Imp.]],$D383,Imput[[PERIODO Imp.]:[PERIODO Imp.]],BN$9)</f>
        <v>0</v>
      </c>
      <c r="BO383" s="693">
        <f>SUMIFS(Imput[[Importe Neto]:[Importe Neto]],Imput[[C. Imp.]:[C. Imp.]],$D383,Imput[[PERIODO Imp.]:[PERIODO Imp.]],BO$9)</f>
        <v>0</v>
      </c>
      <c r="BP383" s="693">
        <f>SUMIFS(Imput[[Importe Neto]:[Importe Neto]],Imput[[C. Imp.]:[C. Imp.]],$D383,Imput[[PERIODO Imp.]:[PERIODO Imp.]],BP$9)</f>
        <v>0</v>
      </c>
      <c r="BQ383" s="693">
        <f>SUMIFS(Imput[[Importe Neto]:[Importe Neto]],Imput[[C. Imp.]:[C. Imp.]],$D383,Imput[[PERIODO Imp.]:[PERIODO Imp.]],BQ$9)</f>
        <v>0</v>
      </c>
      <c r="BR383" s="693">
        <f>SUMIFS(Imput[[Importe Neto]:[Importe Neto]],Imput[[C. Imp.]:[C. Imp.]],$D383,Imput[[PERIODO Imp.]:[PERIODO Imp.]],BR$9)</f>
        <v>0</v>
      </c>
      <c r="BS383" s="693">
        <f>SUMIFS(Imput[[Importe Neto]:[Importe Neto]],Imput[[C. Imp.]:[C. Imp.]],$D383,Imput[[PERIODO Imp.]:[PERIODO Imp.]],BS$9)</f>
        <v>0</v>
      </c>
      <c r="BT383" s="693">
        <f>SUMIFS(Imput[[Importe Neto]:[Importe Neto]],Imput[[C. Imp.]:[C. Imp.]],$D383,Imput[[PERIODO Imp.]:[PERIODO Imp.]],BT$9)</f>
        <v>0</v>
      </c>
      <c r="BU383" s="693">
        <f>SUMIFS(Imput[[Importe Neto]:[Importe Neto]],Imput[[C. Imp.]:[C. Imp.]],$D383,Imput[[PERIODO Imp.]:[PERIODO Imp.]],BU$9)</f>
        <v>0</v>
      </c>
      <c r="BV383" s="693">
        <f>SUMIFS(Imput[[Importe Neto]:[Importe Neto]],Imput[[C. Imp.]:[C. Imp.]],$D383,Imput[[PERIODO Imp.]:[PERIODO Imp.]],BV$9)</f>
        <v>0</v>
      </c>
      <c r="BW383" s="693">
        <f>SUMIFS(Imput[[Importe Neto]:[Importe Neto]],Imput[[C. Imp.]:[C. Imp.]],$D383,Imput[[PERIODO Imp.]:[PERIODO Imp.]],BW$9)</f>
        <v>0</v>
      </c>
      <c r="BX383" s="693">
        <f>SUMIFS(Imput[[Importe Neto]:[Importe Neto]],Imput[[C. Imp.]:[C. Imp.]],$D383,Imput[[PERIODO Imp.]:[PERIODO Imp.]],BX$9)</f>
        <v>0</v>
      </c>
      <c r="BY383" s="693">
        <f>SUMIFS(Imput[[Importe Neto]:[Importe Neto]],Imput[[C. Imp.]:[C. Imp.]],$D383,Imput[[PERIODO Imp.]:[PERIODO Imp.]],BY$9)</f>
        <v>0</v>
      </c>
      <c r="BZ383" s="693">
        <f>SUMIFS(Imput[[Importe Neto]:[Importe Neto]],Imput[[C. Imp.]:[C. Imp.]],$D383,Imput[[PERIODO Imp.]:[PERIODO Imp.]],BZ$9)</f>
        <v>0</v>
      </c>
      <c r="CA383" s="693">
        <f>SUMIFS(Imput[[Importe Neto]:[Importe Neto]],Imput[[C. Imp.]:[C. Imp.]],$D383,Imput[[PERIODO Imp.]:[PERIODO Imp.]],CA$9)</f>
        <v>0</v>
      </c>
      <c r="CB383" s="693">
        <f>SUMIFS(Imput[[Importe Neto]:[Importe Neto]],Imput[[C. Imp.]:[C. Imp.]],$D383,Imput[[PERIODO Imp.]:[PERIODO Imp.]],CB$9)</f>
        <v>0</v>
      </c>
      <c r="CC383" s="693">
        <f>SUMIFS(Imput[[Importe Neto]:[Importe Neto]],Imput[[C. Imp.]:[C. Imp.]],$D383,Imput[[PERIODO Imp.]:[PERIODO Imp.]],CC$9)</f>
        <v>0</v>
      </c>
      <c r="CD383" s="693">
        <f>SUMIFS(Imput[[Importe Neto]:[Importe Neto]],Imput[[C. Imp.]:[C. Imp.]],$D383,Imput[[PERIODO Imp.]:[PERIODO Imp.]],CD$9)</f>
        <v>0</v>
      </c>
      <c r="CE383" s="693">
        <f>SUMIFS(Imput[[Importe Neto]:[Importe Neto]],Imput[[C. Imp.]:[C. Imp.]],$D383,Imput[[PERIODO Imp.]:[PERIODO Imp.]],CE$9)</f>
        <v>0</v>
      </c>
      <c r="CF383" s="693">
        <f>SUMIFS(Imput[[Importe Neto]:[Importe Neto]],Imput[[C. Imp.]:[C. Imp.]],$D383,Imput[[PERIODO Imp.]:[PERIODO Imp.]],CF$9)</f>
        <v>0</v>
      </c>
      <c r="CG383" s="693">
        <f>SUMIFS(Imput[[Importe Neto]:[Importe Neto]],Imput[[C. Imp.]:[C. Imp.]],$D383,Imput[[PERIODO Imp.]:[PERIODO Imp.]],CG$9)</f>
        <v>0</v>
      </c>
      <c r="CH383" s="693">
        <f>SUMIFS(Imput[[Importe Neto]:[Importe Neto]],Imput[[C. Imp.]:[C. Imp.]],$D383,Imput[[PERIODO Imp.]:[PERIODO Imp.]],CH$9)</f>
        <v>0</v>
      </c>
      <c r="CI383" s="693">
        <f>SUMIFS(Imput[[Importe Neto]:[Importe Neto]],Imput[[C. Imp.]:[C. Imp.]],$D383,Imput[[PERIODO Imp.]:[PERIODO Imp.]],CI$9)</f>
        <v>0</v>
      </c>
      <c r="CJ383" s="693">
        <f>SUMIFS(Imput[[Importe Neto]:[Importe Neto]],Imput[[C. Imp.]:[C. Imp.]],$D383,Imput[[PERIODO Imp.]:[PERIODO Imp.]],CJ$9)</f>
        <v>0</v>
      </c>
      <c r="CK383" s="693">
        <f>SUMIFS(Imput[[Importe Neto]:[Importe Neto]],Imput[[C. Imp.]:[C. Imp.]],$D383,Imput[[PERIODO Imp.]:[PERIODO Imp.]],CK$9)</f>
        <v>0</v>
      </c>
      <c r="CL383" s="693">
        <f>SUMIFS(Imput[[Importe Neto]:[Importe Neto]],Imput[[C. Imp.]:[C. Imp.]],$D383,Imput[[PERIODO Imp.]:[PERIODO Imp.]],CL$9)</f>
        <v>0</v>
      </c>
      <c r="CM383" s="693">
        <f>SUMIFS(Imput[[Importe Neto]:[Importe Neto]],Imput[[C. Imp.]:[C. Imp.]],$D383,Imput[[PERIODO Imp.]:[PERIODO Imp.]],CM$9)</f>
        <v>0</v>
      </c>
      <c r="CN383" s="693">
        <f>SUMIFS(Imput[[Importe Neto]:[Importe Neto]],Imput[[C. Imp.]:[C. Imp.]],$D383,Imput[[PERIODO Imp.]:[PERIODO Imp.]],CN$9)</f>
        <v>0</v>
      </c>
      <c r="CO383" s="693">
        <f>SUMIFS(Imput[[Importe Neto]:[Importe Neto]],Imput[[C. Imp.]:[C. Imp.]],$D383,Imput[[PERIODO Imp.]:[PERIODO Imp.]],CO$9)</f>
        <v>0</v>
      </c>
      <c r="CP383" s="693">
        <f>SUMIFS(Imput[[Importe Neto]:[Importe Neto]],Imput[[C. Imp.]:[C. Imp.]],$D383,Imput[[PERIODO Imp.]:[PERIODO Imp.]],CP$9)</f>
        <v>0</v>
      </c>
      <c r="CQ383" s="693">
        <f>SUMIFS(Imput[[Importe Neto]:[Importe Neto]],Imput[[C. Imp.]:[C. Imp.]],$D383,Imput[[PERIODO Imp.]:[PERIODO Imp.]],CQ$9)</f>
        <v>0</v>
      </c>
      <c r="CR383" s="693">
        <f>SUMIFS(Imput[[Importe Neto]:[Importe Neto]],Imput[[C. Imp.]:[C. Imp.]],$D383,Imput[[PERIODO Imp.]:[PERIODO Imp.]],CR$9)</f>
        <v>0</v>
      </c>
      <c r="CS383" s="693">
        <f>SUMIFS(Imput[[Importe Neto]:[Importe Neto]],Imput[[C. Imp.]:[C. Imp.]],$D383,Imput[[PERIODO Imp.]:[PERIODO Imp.]],CS$9)</f>
        <v>0</v>
      </c>
      <c r="CT383" s="693">
        <f>SUMIFS(Imput[[Importe Neto]:[Importe Neto]],Imput[[C. Imp.]:[C. Imp.]],$D383,Imput[[PERIODO Imp.]:[PERIODO Imp.]],CT$9)</f>
        <v>0</v>
      </c>
      <c r="CU383" s="693">
        <f>SUMIFS(Imput[[Importe Neto]:[Importe Neto]],Imput[[C. Imp.]:[C. Imp.]],$D383,Imput[[PERIODO Imp.]:[PERIODO Imp.]],CU$9)</f>
        <v>0</v>
      </c>
      <c r="CV383" s="693">
        <f>SUMIFS(Imput[[Importe Neto]:[Importe Neto]],Imput[[C. Imp.]:[C. Imp.]],$D383,Imput[[PERIODO Imp.]:[PERIODO Imp.]],CV$9)</f>
        <v>0</v>
      </c>
      <c r="CW383" s="693">
        <f>SUMIFS(Imput[[Importe Neto]:[Importe Neto]],Imput[[C. Imp.]:[C. Imp.]],$D383,Imput[[PERIODO Imp.]:[PERIODO Imp.]],CW$9)</f>
        <v>0</v>
      </c>
      <c r="CX383" s="693">
        <f>SUMIFS(Imput[[Importe Neto]:[Importe Neto]],Imput[[C. Imp.]:[C. Imp.]],$D383,Imput[[PERIODO Imp.]:[PERIODO Imp.]],CX$9)</f>
        <v>0</v>
      </c>
      <c r="CY383" s="693">
        <f>SUMIFS(Imput[[Importe Neto]:[Importe Neto]],Imput[[C. Imp.]:[C. Imp.]],$D383,Imput[[PERIODO Imp.]:[PERIODO Imp.]],CY$9)</f>
        <v>0</v>
      </c>
      <c r="CZ383" s="693">
        <f>SUMIFS(Imput[[Importe Neto]:[Importe Neto]],Imput[[C. Imp.]:[C. Imp.]],$D383,Imput[[PERIODO Imp.]:[PERIODO Imp.]],CZ$9)</f>
        <v>0</v>
      </c>
      <c r="DA383" s="693">
        <f>SUMIFS(Imput[[Importe Neto]:[Importe Neto]],Imput[[C. Imp.]:[C. Imp.]],$D383,Imput[[PERIODO Imp.]:[PERIODO Imp.]],DA$9)</f>
        <v>0</v>
      </c>
      <c r="DB383" s="693">
        <f>SUMIFS(Imput[[Importe Neto]:[Importe Neto]],Imput[[C. Imp.]:[C. Imp.]],$D383,Imput[[PERIODO Imp.]:[PERIODO Imp.]],DB$9)</f>
        <v>0</v>
      </c>
      <c r="DC383" s="693">
        <f>SUMIFS(Imput[[Importe Neto]:[Importe Neto]],Imput[[C. Imp.]:[C. Imp.]],$D383,Imput[[PERIODO Imp.]:[PERIODO Imp.]],DC$9)</f>
        <v>0</v>
      </c>
      <c r="DD383" s="693">
        <f>SUMIFS(Imput[[Importe Neto]:[Importe Neto]],Imput[[C. Imp.]:[C. Imp.]],$D383,Imput[[PERIODO Imp.]:[PERIODO Imp.]],DD$9)</f>
        <v>0</v>
      </c>
      <c r="DE383" s="693">
        <f>SUMIFS(Imput[[Importe Neto]:[Importe Neto]],Imput[[C. Imp.]:[C. Imp.]],$D383,Imput[[PERIODO Imp.]:[PERIODO Imp.]],DE$9)</f>
        <v>0</v>
      </c>
      <c r="DF383" s="693">
        <f>SUMIFS(Imput[[Importe Neto]:[Importe Neto]],Imput[[C. Imp.]:[C. Imp.]],$D383,Imput[[PERIODO Imp.]:[PERIODO Imp.]],DF$9)</f>
        <v>0</v>
      </c>
      <c r="DG383" s="693">
        <f>SUMIFS(Imput[[Importe Neto]:[Importe Neto]],Imput[[C. Imp.]:[C. Imp.]],$D383,Imput[[PERIODO Imp.]:[PERIODO Imp.]],DG$9)</f>
        <v>0</v>
      </c>
      <c r="DH383" s="694">
        <f>SUMIFS(Imput[[Importe Neto]:[Importe Neto]],Imput[[C. Imp.]:[C. Imp.]],$D383,Imput[[PERIODO Imp.]:[PERIODO Imp.]],DH$9)</f>
        <v>0</v>
      </c>
    </row>
    <row r="384" spans="1:112" s="649" customFormat="1" hidden="1" outlineLevel="1" x14ac:dyDescent="0.3">
      <c r="A384" s="652" t="str">
        <f t="shared" si="154"/>
        <v/>
      </c>
      <c r="B384" s="652"/>
      <c r="C384" s="685"/>
      <c r="D384" s="686" t="s">
        <v>2444</v>
      </c>
      <c r="E384" s="686"/>
      <c r="F384" s="720"/>
      <c r="G384" s="688"/>
      <c r="H384" s="689"/>
      <c r="I384" s="851" t="str">
        <f t="shared" si="155"/>
        <v/>
      </c>
      <c r="J384" s="850" t="str">
        <f t="shared" si="156"/>
        <v/>
      </c>
      <c r="K384" s="667"/>
      <c r="L384" s="858"/>
      <c r="M384" s="859"/>
      <c r="N384" s="859"/>
      <c r="O384" s="859"/>
      <c r="P384" s="859"/>
      <c r="Q384" s="859"/>
      <c r="R384" s="859"/>
      <c r="S384" s="859"/>
      <c r="T384" s="859"/>
      <c r="U384" s="859"/>
      <c r="V384" s="859"/>
      <c r="W384" s="859"/>
      <c r="X384" s="859"/>
      <c r="Y384" s="859"/>
      <c r="Z384" s="860"/>
      <c r="AA384" s="860"/>
      <c r="AB384" s="860"/>
      <c r="AC384" s="860"/>
      <c r="AD384" s="860"/>
      <c r="AE384" s="860"/>
      <c r="AF384" s="860"/>
      <c r="AG384" s="860"/>
      <c r="AH384" s="860"/>
      <c r="AI384" s="860"/>
      <c r="AJ384" s="860"/>
      <c r="AK384" s="860"/>
      <c r="AL384" s="860"/>
      <c r="AM384" s="860"/>
      <c r="AN384" s="860"/>
      <c r="AO384" s="860"/>
      <c r="AP384" s="860"/>
      <c r="AQ384" s="860"/>
      <c r="AR384" s="860"/>
      <c r="AS384" s="860"/>
      <c r="AT384" s="860"/>
      <c r="AU384" s="860"/>
      <c r="AV384" s="860"/>
      <c r="AW384" s="860"/>
      <c r="AX384" s="860"/>
      <c r="AY384" s="860"/>
      <c r="AZ384" s="860"/>
      <c r="BA384" s="860"/>
      <c r="BB384" s="860"/>
      <c r="BC384" s="860"/>
      <c r="BD384" s="860"/>
      <c r="BE384" s="860"/>
      <c r="BF384" s="860"/>
      <c r="BG384" s="860"/>
      <c r="BH384" s="668"/>
      <c r="BI384" s="667"/>
      <c r="BJ384" s="690">
        <f t="shared" si="157"/>
        <v>0</v>
      </c>
      <c r="BK384" s="691">
        <f t="shared" si="158"/>
        <v>0</v>
      </c>
      <c r="BL384" s="654"/>
      <c r="BM384" s="692">
        <f>SUMIFS(Imput[[Importe Neto]:[Importe Neto]],Imput[[C. Imp.]:[C. Imp.]],$D384,Imput[[PERIODO Imp.]:[PERIODO Imp.]],BM$9)</f>
        <v>0</v>
      </c>
      <c r="BN384" s="693">
        <f>SUMIFS(Imput[[Importe Neto]:[Importe Neto]],Imput[[C. Imp.]:[C. Imp.]],$D384,Imput[[PERIODO Imp.]:[PERIODO Imp.]],BN$9)</f>
        <v>0</v>
      </c>
      <c r="BO384" s="693">
        <f>SUMIFS(Imput[[Importe Neto]:[Importe Neto]],Imput[[C. Imp.]:[C. Imp.]],$D384,Imput[[PERIODO Imp.]:[PERIODO Imp.]],BO$9)</f>
        <v>0</v>
      </c>
      <c r="BP384" s="693">
        <f>SUMIFS(Imput[[Importe Neto]:[Importe Neto]],Imput[[C. Imp.]:[C. Imp.]],$D384,Imput[[PERIODO Imp.]:[PERIODO Imp.]],BP$9)</f>
        <v>0</v>
      </c>
      <c r="BQ384" s="693">
        <f>SUMIFS(Imput[[Importe Neto]:[Importe Neto]],Imput[[C. Imp.]:[C. Imp.]],$D384,Imput[[PERIODO Imp.]:[PERIODO Imp.]],BQ$9)</f>
        <v>0</v>
      </c>
      <c r="BR384" s="693">
        <f>SUMIFS(Imput[[Importe Neto]:[Importe Neto]],Imput[[C. Imp.]:[C. Imp.]],$D384,Imput[[PERIODO Imp.]:[PERIODO Imp.]],BR$9)</f>
        <v>0</v>
      </c>
      <c r="BS384" s="693">
        <f>SUMIFS(Imput[[Importe Neto]:[Importe Neto]],Imput[[C. Imp.]:[C. Imp.]],$D384,Imput[[PERIODO Imp.]:[PERIODO Imp.]],BS$9)</f>
        <v>0</v>
      </c>
      <c r="BT384" s="693">
        <f>SUMIFS(Imput[[Importe Neto]:[Importe Neto]],Imput[[C. Imp.]:[C. Imp.]],$D384,Imput[[PERIODO Imp.]:[PERIODO Imp.]],BT$9)</f>
        <v>0</v>
      </c>
      <c r="BU384" s="693">
        <f>SUMIFS(Imput[[Importe Neto]:[Importe Neto]],Imput[[C. Imp.]:[C. Imp.]],$D384,Imput[[PERIODO Imp.]:[PERIODO Imp.]],BU$9)</f>
        <v>0</v>
      </c>
      <c r="BV384" s="693">
        <f>SUMIFS(Imput[[Importe Neto]:[Importe Neto]],Imput[[C. Imp.]:[C. Imp.]],$D384,Imput[[PERIODO Imp.]:[PERIODO Imp.]],BV$9)</f>
        <v>0</v>
      </c>
      <c r="BW384" s="693">
        <f>SUMIFS(Imput[[Importe Neto]:[Importe Neto]],Imput[[C. Imp.]:[C. Imp.]],$D384,Imput[[PERIODO Imp.]:[PERIODO Imp.]],BW$9)</f>
        <v>0</v>
      </c>
      <c r="BX384" s="693">
        <f>SUMIFS(Imput[[Importe Neto]:[Importe Neto]],Imput[[C. Imp.]:[C. Imp.]],$D384,Imput[[PERIODO Imp.]:[PERIODO Imp.]],BX$9)</f>
        <v>0</v>
      </c>
      <c r="BY384" s="693">
        <f>SUMIFS(Imput[[Importe Neto]:[Importe Neto]],Imput[[C. Imp.]:[C. Imp.]],$D384,Imput[[PERIODO Imp.]:[PERIODO Imp.]],BY$9)</f>
        <v>0</v>
      </c>
      <c r="BZ384" s="693">
        <f>SUMIFS(Imput[[Importe Neto]:[Importe Neto]],Imput[[C. Imp.]:[C. Imp.]],$D384,Imput[[PERIODO Imp.]:[PERIODO Imp.]],BZ$9)</f>
        <v>0</v>
      </c>
      <c r="CA384" s="693">
        <f>SUMIFS(Imput[[Importe Neto]:[Importe Neto]],Imput[[C. Imp.]:[C. Imp.]],$D384,Imput[[PERIODO Imp.]:[PERIODO Imp.]],CA$9)</f>
        <v>0</v>
      </c>
      <c r="CB384" s="693">
        <f>SUMIFS(Imput[[Importe Neto]:[Importe Neto]],Imput[[C. Imp.]:[C. Imp.]],$D384,Imput[[PERIODO Imp.]:[PERIODO Imp.]],CB$9)</f>
        <v>0</v>
      </c>
      <c r="CC384" s="693">
        <f>SUMIFS(Imput[[Importe Neto]:[Importe Neto]],Imput[[C. Imp.]:[C. Imp.]],$D384,Imput[[PERIODO Imp.]:[PERIODO Imp.]],CC$9)</f>
        <v>0</v>
      </c>
      <c r="CD384" s="693">
        <f>SUMIFS(Imput[[Importe Neto]:[Importe Neto]],Imput[[C. Imp.]:[C. Imp.]],$D384,Imput[[PERIODO Imp.]:[PERIODO Imp.]],CD$9)</f>
        <v>0</v>
      </c>
      <c r="CE384" s="693">
        <f>SUMIFS(Imput[[Importe Neto]:[Importe Neto]],Imput[[C. Imp.]:[C. Imp.]],$D384,Imput[[PERIODO Imp.]:[PERIODO Imp.]],CE$9)</f>
        <v>0</v>
      </c>
      <c r="CF384" s="693">
        <f>SUMIFS(Imput[[Importe Neto]:[Importe Neto]],Imput[[C. Imp.]:[C. Imp.]],$D384,Imput[[PERIODO Imp.]:[PERIODO Imp.]],CF$9)</f>
        <v>0</v>
      </c>
      <c r="CG384" s="693">
        <f>SUMIFS(Imput[[Importe Neto]:[Importe Neto]],Imput[[C. Imp.]:[C. Imp.]],$D384,Imput[[PERIODO Imp.]:[PERIODO Imp.]],CG$9)</f>
        <v>0</v>
      </c>
      <c r="CH384" s="693">
        <f>SUMIFS(Imput[[Importe Neto]:[Importe Neto]],Imput[[C. Imp.]:[C. Imp.]],$D384,Imput[[PERIODO Imp.]:[PERIODO Imp.]],CH$9)</f>
        <v>0</v>
      </c>
      <c r="CI384" s="693">
        <f>SUMIFS(Imput[[Importe Neto]:[Importe Neto]],Imput[[C. Imp.]:[C. Imp.]],$D384,Imput[[PERIODO Imp.]:[PERIODO Imp.]],CI$9)</f>
        <v>0</v>
      </c>
      <c r="CJ384" s="693">
        <f>SUMIFS(Imput[[Importe Neto]:[Importe Neto]],Imput[[C. Imp.]:[C. Imp.]],$D384,Imput[[PERIODO Imp.]:[PERIODO Imp.]],CJ$9)</f>
        <v>0</v>
      </c>
      <c r="CK384" s="693">
        <f>SUMIFS(Imput[[Importe Neto]:[Importe Neto]],Imput[[C. Imp.]:[C. Imp.]],$D384,Imput[[PERIODO Imp.]:[PERIODO Imp.]],CK$9)</f>
        <v>0</v>
      </c>
      <c r="CL384" s="693">
        <f>SUMIFS(Imput[[Importe Neto]:[Importe Neto]],Imput[[C. Imp.]:[C. Imp.]],$D384,Imput[[PERIODO Imp.]:[PERIODO Imp.]],CL$9)</f>
        <v>0</v>
      </c>
      <c r="CM384" s="693">
        <f>SUMIFS(Imput[[Importe Neto]:[Importe Neto]],Imput[[C. Imp.]:[C. Imp.]],$D384,Imput[[PERIODO Imp.]:[PERIODO Imp.]],CM$9)</f>
        <v>0</v>
      </c>
      <c r="CN384" s="693">
        <f>SUMIFS(Imput[[Importe Neto]:[Importe Neto]],Imput[[C. Imp.]:[C. Imp.]],$D384,Imput[[PERIODO Imp.]:[PERIODO Imp.]],CN$9)</f>
        <v>0</v>
      </c>
      <c r="CO384" s="693">
        <f>SUMIFS(Imput[[Importe Neto]:[Importe Neto]],Imput[[C. Imp.]:[C. Imp.]],$D384,Imput[[PERIODO Imp.]:[PERIODO Imp.]],CO$9)</f>
        <v>0</v>
      </c>
      <c r="CP384" s="693">
        <f>SUMIFS(Imput[[Importe Neto]:[Importe Neto]],Imput[[C. Imp.]:[C. Imp.]],$D384,Imput[[PERIODO Imp.]:[PERIODO Imp.]],CP$9)</f>
        <v>0</v>
      </c>
      <c r="CQ384" s="693">
        <f>SUMIFS(Imput[[Importe Neto]:[Importe Neto]],Imput[[C. Imp.]:[C. Imp.]],$D384,Imput[[PERIODO Imp.]:[PERIODO Imp.]],CQ$9)</f>
        <v>0</v>
      </c>
      <c r="CR384" s="693">
        <f>SUMIFS(Imput[[Importe Neto]:[Importe Neto]],Imput[[C. Imp.]:[C. Imp.]],$D384,Imput[[PERIODO Imp.]:[PERIODO Imp.]],CR$9)</f>
        <v>0</v>
      </c>
      <c r="CS384" s="693">
        <f>SUMIFS(Imput[[Importe Neto]:[Importe Neto]],Imput[[C. Imp.]:[C. Imp.]],$D384,Imput[[PERIODO Imp.]:[PERIODO Imp.]],CS$9)</f>
        <v>0</v>
      </c>
      <c r="CT384" s="693">
        <f>SUMIFS(Imput[[Importe Neto]:[Importe Neto]],Imput[[C. Imp.]:[C. Imp.]],$D384,Imput[[PERIODO Imp.]:[PERIODO Imp.]],CT$9)</f>
        <v>0</v>
      </c>
      <c r="CU384" s="693">
        <f>SUMIFS(Imput[[Importe Neto]:[Importe Neto]],Imput[[C. Imp.]:[C. Imp.]],$D384,Imput[[PERIODO Imp.]:[PERIODO Imp.]],CU$9)</f>
        <v>0</v>
      </c>
      <c r="CV384" s="693">
        <f>SUMIFS(Imput[[Importe Neto]:[Importe Neto]],Imput[[C. Imp.]:[C. Imp.]],$D384,Imput[[PERIODO Imp.]:[PERIODO Imp.]],CV$9)</f>
        <v>0</v>
      </c>
      <c r="CW384" s="693">
        <f>SUMIFS(Imput[[Importe Neto]:[Importe Neto]],Imput[[C. Imp.]:[C. Imp.]],$D384,Imput[[PERIODO Imp.]:[PERIODO Imp.]],CW$9)</f>
        <v>0</v>
      </c>
      <c r="CX384" s="693">
        <f>SUMIFS(Imput[[Importe Neto]:[Importe Neto]],Imput[[C. Imp.]:[C. Imp.]],$D384,Imput[[PERIODO Imp.]:[PERIODO Imp.]],CX$9)</f>
        <v>0</v>
      </c>
      <c r="CY384" s="693">
        <f>SUMIFS(Imput[[Importe Neto]:[Importe Neto]],Imput[[C. Imp.]:[C. Imp.]],$D384,Imput[[PERIODO Imp.]:[PERIODO Imp.]],CY$9)</f>
        <v>0</v>
      </c>
      <c r="CZ384" s="693">
        <f>SUMIFS(Imput[[Importe Neto]:[Importe Neto]],Imput[[C. Imp.]:[C. Imp.]],$D384,Imput[[PERIODO Imp.]:[PERIODO Imp.]],CZ$9)</f>
        <v>0</v>
      </c>
      <c r="DA384" s="693">
        <f>SUMIFS(Imput[[Importe Neto]:[Importe Neto]],Imput[[C. Imp.]:[C. Imp.]],$D384,Imput[[PERIODO Imp.]:[PERIODO Imp.]],DA$9)</f>
        <v>0</v>
      </c>
      <c r="DB384" s="693">
        <f>SUMIFS(Imput[[Importe Neto]:[Importe Neto]],Imput[[C. Imp.]:[C. Imp.]],$D384,Imput[[PERIODO Imp.]:[PERIODO Imp.]],DB$9)</f>
        <v>0</v>
      </c>
      <c r="DC384" s="693">
        <f>SUMIFS(Imput[[Importe Neto]:[Importe Neto]],Imput[[C. Imp.]:[C. Imp.]],$D384,Imput[[PERIODO Imp.]:[PERIODO Imp.]],DC$9)</f>
        <v>0</v>
      </c>
      <c r="DD384" s="693">
        <f>SUMIFS(Imput[[Importe Neto]:[Importe Neto]],Imput[[C. Imp.]:[C. Imp.]],$D384,Imput[[PERIODO Imp.]:[PERIODO Imp.]],DD$9)</f>
        <v>0</v>
      </c>
      <c r="DE384" s="693">
        <f>SUMIFS(Imput[[Importe Neto]:[Importe Neto]],Imput[[C. Imp.]:[C. Imp.]],$D384,Imput[[PERIODO Imp.]:[PERIODO Imp.]],DE$9)</f>
        <v>0</v>
      </c>
      <c r="DF384" s="693">
        <f>SUMIFS(Imput[[Importe Neto]:[Importe Neto]],Imput[[C. Imp.]:[C. Imp.]],$D384,Imput[[PERIODO Imp.]:[PERIODO Imp.]],DF$9)</f>
        <v>0</v>
      </c>
      <c r="DG384" s="693">
        <f>SUMIFS(Imput[[Importe Neto]:[Importe Neto]],Imput[[C. Imp.]:[C. Imp.]],$D384,Imput[[PERIODO Imp.]:[PERIODO Imp.]],DG$9)</f>
        <v>0</v>
      </c>
      <c r="DH384" s="694">
        <f>SUMIFS(Imput[[Importe Neto]:[Importe Neto]],Imput[[C. Imp.]:[C. Imp.]],$D384,Imput[[PERIODO Imp.]:[PERIODO Imp.]],DH$9)</f>
        <v>0</v>
      </c>
    </row>
    <row r="385" spans="1:112" s="649" customFormat="1" hidden="1" outlineLevel="1" x14ac:dyDescent="0.3">
      <c r="A385" s="652" t="str">
        <f t="shared" si="154"/>
        <v/>
      </c>
      <c r="B385" s="652"/>
      <c r="C385" s="685"/>
      <c r="D385" s="686" t="s">
        <v>2445</v>
      </c>
      <c r="E385" s="686"/>
      <c r="F385" s="720"/>
      <c r="G385" s="688"/>
      <c r="H385" s="689"/>
      <c r="I385" s="851" t="str">
        <f t="shared" si="155"/>
        <v/>
      </c>
      <c r="J385" s="850" t="str">
        <f t="shared" si="156"/>
        <v/>
      </c>
      <c r="K385" s="667"/>
      <c r="L385" s="858"/>
      <c r="M385" s="859"/>
      <c r="N385" s="859"/>
      <c r="O385" s="859"/>
      <c r="P385" s="859"/>
      <c r="Q385" s="859"/>
      <c r="R385" s="859"/>
      <c r="S385" s="859"/>
      <c r="T385" s="859"/>
      <c r="U385" s="859"/>
      <c r="V385" s="859"/>
      <c r="W385" s="859"/>
      <c r="X385" s="859"/>
      <c r="Y385" s="859"/>
      <c r="Z385" s="860"/>
      <c r="AA385" s="860"/>
      <c r="AB385" s="860"/>
      <c r="AC385" s="860"/>
      <c r="AD385" s="860"/>
      <c r="AE385" s="860"/>
      <c r="AF385" s="860"/>
      <c r="AG385" s="860"/>
      <c r="AH385" s="860"/>
      <c r="AI385" s="860"/>
      <c r="AJ385" s="860"/>
      <c r="AK385" s="860"/>
      <c r="AL385" s="860"/>
      <c r="AM385" s="860"/>
      <c r="AN385" s="860"/>
      <c r="AO385" s="860"/>
      <c r="AP385" s="860"/>
      <c r="AQ385" s="860"/>
      <c r="AR385" s="860"/>
      <c r="AS385" s="860"/>
      <c r="AT385" s="860"/>
      <c r="AU385" s="860"/>
      <c r="AV385" s="860"/>
      <c r="AW385" s="860"/>
      <c r="AX385" s="860"/>
      <c r="AY385" s="860"/>
      <c r="AZ385" s="860"/>
      <c r="BA385" s="860"/>
      <c r="BB385" s="860"/>
      <c r="BC385" s="860"/>
      <c r="BD385" s="860"/>
      <c r="BE385" s="860"/>
      <c r="BF385" s="860"/>
      <c r="BG385" s="860"/>
      <c r="BH385" s="668"/>
      <c r="BI385" s="667"/>
      <c r="BJ385" s="690">
        <f t="shared" si="157"/>
        <v>0</v>
      </c>
      <c r="BK385" s="691">
        <f t="shared" si="158"/>
        <v>0</v>
      </c>
      <c r="BL385" s="654"/>
      <c r="BM385" s="692">
        <f>SUMIFS(Imput[[Importe Neto]:[Importe Neto]],Imput[[C. Imp.]:[C. Imp.]],$D385,Imput[[PERIODO Imp.]:[PERIODO Imp.]],BM$9)</f>
        <v>0</v>
      </c>
      <c r="BN385" s="693">
        <f>SUMIFS(Imput[[Importe Neto]:[Importe Neto]],Imput[[C. Imp.]:[C. Imp.]],$D385,Imput[[PERIODO Imp.]:[PERIODO Imp.]],BN$9)</f>
        <v>0</v>
      </c>
      <c r="BO385" s="693">
        <f>SUMIFS(Imput[[Importe Neto]:[Importe Neto]],Imput[[C. Imp.]:[C. Imp.]],$D385,Imput[[PERIODO Imp.]:[PERIODO Imp.]],BO$9)</f>
        <v>0</v>
      </c>
      <c r="BP385" s="693">
        <f>SUMIFS(Imput[[Importe Neto]:[Importe Neto]],Imput[[C. Imp.]:[C. Imp.]],$D385,Imput[[PERIODO Imp.]:[PERIODO Imp.]],BP$9)</f>
        <v>0</v>
      </c>
      <c r="BQ385" s="693">
        <f>SUMIFS(Imput[[Importe Neto]:[Importe Neto]],Imput[[C. Imp.]:[C. Imp.]],$D385,Imput[[PERIODO Imp.]:[PERIODO Imp.]],BQ$9)</f>
        <v>0</v>
      </c>
      <c r="BR385" s="693">
        <f>SUMIFS(Imput[[Importe Neto]:[Importe Neto]],Imput[[C. Imp.]:[C. Imp.]],$D385,Imput[[PERIODO Imp.]:[PERIODO Imp.]],BR$9)</f>
        <v>0</v>
      </c>
      <c r="BS385" s="693">
        <f>SUMIFS(Imput[[Importe Neto]:[Importe Neto]],Imput[[C. Imp.]:[C. Imp.]],$D385,Imput[[PERIODO Imp.]:[PERIODO Imp.]],BS$9)</f>
        <v>0</v>
      </c>
      <c r="BT385" s="693">
        <f>SUMIFS(Imput[[Importe Neto]:[Importe Neto]],Imput[[C. Imp.]:[C. Imp.]],$D385,Imput[[PERIODO Imp.]:[PERIODO Imp.]],BT$9)</f>
        <v>0</v>
      </c>
      <c r="BU385" s="693">
        <f>SUMIFS(Imput[[Importe Neto]:[Importe Neto]],Imput[[C. Imp.]:[C. Imp.]],$D385,Imput[[PERIODO Imp.]:[PERIODO Imp.]],BU$9)</f>
        <v>0</v>
      </c>
      <c r="BV385" s="693">
        <f>SUMIFS(Imput[[Importe Neto]:[Importe Neto]],Imput[[C. Imp.]:[C. Imp.]],$D385,Imput[[PERIODO Imp.]:[PERIODO Imp.]],BV$9)</f>
        <v>0</v>
      </c>
      <c r="BW385" s="693">
        <f>SUMIFS(Imput[[Importe Neto]:[Importe Neto]],Imput[[C. Imp.]:[C. Imp.]],$D385,Imput[[PERIODO Imp.]:[PERIODO Imp.]],BW$9)</f>
        <v>0</v>
      </c>
      <c r="BX385" s="693">
        <f>SUMIFS(Imput[[Importe Neto]:[Importe Neto]],Imput[[C. Imp.]:[C. Imp.]],$D385,Imput[[PERIODO Imp.]:[PERIODO Imp.]],BX$9)</f>
        <v>0</v>
      </c>
      <c r="BY385" s="693">
        <f>SUMIFS(Imput[[Importe Neto]:[Importe Neto]],Imput[[C. Imp.]:[C. Imp.]],$D385,Imput[[PERIODO Imp.]:[PERIODO Imp.]],BY$9)</f>
        <v>0</v>
      </c>
      <c r="BZ385" s="693">
        <f>SUMIFS(Imput[[Importe Neto]:[Importe Neto]],Imput[[C. Imp.]:[C. Imp.]],$D385,Imput[[PERIODO Imp.]:[PERIODO Imp.]],BZ$9)</f>
        <v>0</v>
      </c>
      <c r="CA385" s="693">
        <f>SUMIFS(Imput[[Importe Neto]:[Importe Neto]],Imput[[C. Imp.]:[C. Imp.]],$D385,Imput[[PERIODO Imp.]:[PERIODO Imp.]],CA$9)</f>
        <v>0</v>
      </c>
      <c r="CB385" s="693">
        <f>SUMIFS(Imput[[Importe Neto]:[Importe Neto]],Imput[[C. Imp.]:[C. Imp.]],$D385,Imput[[PERIODO Imp.]:[PERIODO Imp.]],CB$9)</f>
        <v>0</v>
      </c>
      <c r="CC385" s="693">
        <f>SUMIFS(Imput[[Importe Neto]:[Importe Neto]],Imput[[C. Imp.]:[C. Imp.]],$D385,Imput[[PERIODO Imp.]:[PERIODO Imp.]],CC$9)</f>
        <v>0</v>
      </c>
      <c r="CD385" s="693">
        <f>SUMIFS(Imput[[Importe Neto]:[Importe Neto]],Imput[[C. Imp.]:[C. Imp.]],$D385,Imput[[PERIODO Imp.]:[PERIODO Imp.]],CD$9)</f>
        <v>0</v>
      </c>
      <c r="CE385" s="693">
        <f>SUMIFS(Imput[[Importe Neto]:[Importe Neto]],Imput[[C. Imp.]:[C. Imp.]],$D385,Imput[[PERIODO Imp.]:[PERIODO Imp.]],CE$9)</f>
        <v>0</v>
      </c>
      <c r="CF385" s="693">
        <f>SUMIFS(Imput[[Importe Neto]:[Importe Neto]],Imput[[C. Imp.]:[C. Imp.]],$D385,Imput[[PERIODO Imp.]:[PERIODO Imp.]],CF$9)</f>
        <v>0</v>
      </c>
      <c r="CG385" s="693">
        <f>SUMIFS(Imput[[Importe Neto]:[Importe Neto]],Imput[[C. Imp.]:[C. Imp.]],$D385,Imput[[PERIODO Imp.]:[PERIODO Imp.]],CG$9)</f>
        <v>0</v>
      </c>
      <c r="CH385" s="693">
        <f>SUMIFS(Imput[[Importe Neto]:[Importe Neto]],Imput[[C. Imp.]:[C. Imp.]],$D385,Imput[[PERIODO Imp.]:[PERIODO Imp.]],CH$9)</f>
        <v>0</v>
      </c>
      <c r="CI385" s="693">
        <f>SUMIFS(Imput[[Importe Neto]:[Importe Neto]],Imput[[C. Imp.]:[C. Imp.]],$D385,Imput[[PERIODO Imp.]:[PERIODO Imp.]],CI$9)</f>
        <v>0</v>
      </c>
      <c r="CJ385" s="693">
        <f>SUMIFS(Imput[[Importe Neto]:[Importe Neto]],Imput[[C. Imp.]:[C. Imp.]],$D385,Imput[[PERIODO Imp.]:[PERIODO Imp.]],CJ$9)</f>
        <v>0</v>
      </c>
      <c r="CK385" s="693">
        <f>SUMIFS(Imput[[Importe Neto]:[Importe Neto]],Imput[[C. Imp.]:[C. Imp.]],$D385,Imput[[PERIODO Imp.]:[PERIODO Imp.]],CK$9)</f>
        <v>0</v>
      </c>
      <c r="CL385" s="693">
        <f>SUMIFS(Imput[[Importe Neto]:[Importe Neto]],Imput[[C. Imp.]:[C. Imp.]],$D385,Imput[[PERIODO Imp.]:[PERIODO Imp.]],CL$9)</f>
        <v>0</v>
      </c>
      <c r="CM385" s="693">
        <f>SUMIFS(Imput[[Importe Neto]:[Importe Neto]],Imput[[C. Imp.]:[C. Imp.]],$D385,Imput[[PERIODO Imp.]:[PERIODO Imp.]],CM$9)</f>
        <v>0</v>
      </c>
      <c r="CN385" s="693">
        <f>SUMIFS(Imput[[Importe Neto]:[Importe Neto]],Imput[[C. Imp.]:[C. Imp.]],$D385,Imput[[PERIODO Imp.]:[PERIODO Imp.]],CN$9)</f>
        <v>0</v>
      </c>
      <c r="CO385" s="693">
        <f>SUMIFS(Imput[[Importe Neto]:[Importe Neto]],Imput[[C. Imp.]:[C. Imp.]],$D385,Imput[[PERIODO Imp.]:[PERIODO Imp.]],CO$9)</f>
        <v>0</v>
      </c>
      <c r="CP385" s="693">
        <f>SUMIFS(Imput[[Importe Neto]:[Importe Neto]],Imput[[C. Imp.]:[C. Imp.]],$D385,Imput[[PERIODO Imp.]:[PERIODO Imp.]],CP$9)</f>
        <v>0</v>
      </c>
      <c r="CQ385" s="693">
        <f>SUMIFS(Imput[[Importe Neto]:[Importe Neto]],Imput[[C. Imp.]:[C. Imp.]],$D385,Imput[[PERIODO Imp.]:[PERIODO Imp.]],CQ$9)</f>
        <v>0</v>
      </c>
      <c r="CR385" s="693">
        <f>SUMIFS(Imput[[Importe Neto]:[Importe Neto]],Imput[[C. Imp.]:[C. Imp.]],$D385,Imput[[PERIODO Imp.]:[PERIODO Imp.]],CR$9)</f>
        <v>0</v>
      </c>
      <c r="CS385" s="693">
        <f>SUMIFS(Imput[[Importe Neto]:[Importe Neto]],Imput[[C. Imp.]:[C. Imp.]],$D385,Imput[[PERIODO Imp.]:[PERIODO Imp.]],CS$9)</f>
        <v>0</v>
      </c>
      <c r="CT385" s="693">
        <f>SUMIFS(Imput[[Importe Neto]:[Importe Neto]],Imput[[C. Imp.]:[C. Imp.]],$D385,Imput[[PERIODO Imp.]:[PERIODO Imp.]],CT$9)</f>
        <v>0</v>
      </c>
      <c r="CU385" s="693">
        <f>SUMIFS(Imput[[Importe Neto]:[Importe Neto]],Imput[[C. Imp.]:[C. Imp.]],$D385,Imput[[PERIODO Imp.]:[PERIODO Imp.]],CU$9)</f>
        <v>0</v>
      </c>
      <c r="CV385" s="693">
        <f>SUMIFS(Imput[[Importe Neto]:[Importe Neto]],Imput[[C. Imp.]:[C. Imp.]],$D385,Imput[[PERIODO Imp.]:[PERIODO Imp.]],CV$9)</f>
        <v>0</v>
      </c>
      <c r="CW385" s="693">
        <f>SUMIFS(Imput[[Importe Neto]:[Importe Neto]],Imput[[C. Imp.]:[C. Imp.]],$D385,Imput[[PERIODO Imp.]:[PERIODO Imp.]],CW$9)</f>
        <v>0</v>
      </c>
      <c r="CX385" s="693">
        <f>SUMIFS(Imput[[Importe Neto]:[Importe Neto]],Imput[[C. Imp.]:[C. Imp.]],$D385,Imput[[PERIODO Imp.]:[PERIODO Imp.]],CX$9)</f>
        <v>0</v>
      </c>
      <c r="CY385" s="693">
        <f>SUMIFS(Imput[[Importe Neto]:[Importe Neto]],Imput[[C. Imp.]:[C. Imp.]],$D385,Imput[[PERIODO Imp.]:[PERIODO Imp.]],CY$9)</f>
        <v>0</v>
      </c>
      <c r="CZ385" s="693">
        <f>SUMIFS(Imput[[Importe Neto]:[Importe Neto]],Imput[[C. Imp.]:[C. Imp.]],$D385,Imput[[PERIODO Imp.]:[PERIODO Imp.]],CZ$9)</f>
        <v>0</v>
      </c>
      <c r="DA385" s="693">
        <f>SUMIFS(Imput[[Importe Neto]:[Importe Neto]],Imput[[C. Imp.]:[C. Imp.]],$D385,Imput[[PERIODO Imp.]:[PERIODO Imp.]],DA$9)</f>
        <v>0</v>
      </c>
      <c r="DB385" s="693">
        <f>SUMIFS(Imput[[Importe Neto]:[Importe Neto]],Imput[[C. Imp.]:[C. Imp.]],$D385,Imput[[PERIODO Imp.]:[PERIODO Imp.]],DB$9)</f>
        <v>0</v>
      </c>
      <c r="DC385" s="693">
        <f>SUMIFS(Imput[[Importe Neto]:[Importe Neto]],Imput[[C. Imp.]:[C. Imp.]],$D385,Imput[[PERIODO Imp.]:[PERIODO Imp.]],DC$9)</f>
        <v>0</v>
      </c>
      <c r="DD385" s="693">
        <f>SUMIFS(Imput[[Importe Neto]:[Importe Neto]],Imput[[C. Imp.]:[C. Imp.]],$D385,Imput[[PERIODO Imp.]:[PERIODO Imp.]],DD$9)</f>
        <v>0</v>
      </c>
      <c r="DE385" s="693">
        <f>SUMIFS(Imput[[Importe Neto]:[Importe Neto]],Imput[[C. Imp.]:[C. Imp.]],$D385,Imput[[PERIODO Imp.]:[PERIODO Imp.]],DE$9)</f>
        <v>0</v>
      </c>
      <c r="DF385" s="693">
        <f>SUMIFS(Imput[[Importe Neto]:[Importe Neto]],Imput[[C. Imp.]:[C. Imp.]],$D385,Imput[[PERIODO Imp.]:[PERIODO Imp.]],DF$9)</f>
        <v>0</v>
      </c>
      <c r="DG385" s="693">
        <f>SUMIFS(Imput[[Importe Neto]:[Importe Neto]],Imput[[C. Imp.]:[C. Imp.]],$D385,Imput[[PERIODO Imp.]:[PERIODO Imp.]],DG$9)</f>
        <v>0</v>
      </c>
      <c r="DH385" s="694">
        <f>SUMIFS(Imput[[Importe Neto]:[Importe Neto]],Imput[[C. Imp.]:[C. Imp.]],$D385,Imput[[PERIODO Imp.]:[PERIODO Imp.]],DH$9)</f>
        <v>0</v>
      </c>
    </row>
    <row r="386" spans="1:112" s="649" customFormat="1" hidden="1" outlineLevel="1" x14ac:dyDescent="0.3">
      <c r="A386" s="652" t="str">
        <f t="shared" si="154"/>
        <v/>
      </c>
      <c r="B386" s="652"/>
      <c r="C386" s="685"/>
      <c r="D386" s="686" t="s">
        <v>2446</v>
      </c>
      <c r="E386" s="686"/>
      <c r="F386" s="720"/>
      <c r="G386" s="688"/>
      <c r="H386" s="689"/>
      <c r="I386" s="851" t="str">
        <f t="shared" si="155"/>
        <v/>
      </c>
      <c r="J386" s="850" t="str">
        <f t="shared" si="156"/>
        <v/>
      </c>
      <c r="K386" s="667"/>
      <c r="L386" s="858"/>
      <c r="M386" s="859"/>
      <c r="N386" s="859"/>
      <c r="O386" s="859"/>
      <c r="P386" s="859"/>
      <c r="Q386" s="859"/>
      <c r="R386" s="859"/>
      <c r="S386" s="859"/>
      <c r="T386" s="859"/>
      <c r="U386" s="859"/>
      <c r="V386" s="859"/>
      <c r="W386" s="859"/>
      <c r="X386" s="859"/>
      <c r="Y386" s="859"/>
      <c r="Z386" s="860"/>
      <c r="AA386" s="860"/>
      <c r="AB386" s="860"/>
      <c r="AC386" s="860"/>
      <c r="AD386" s="860"/>
      <c r="AE386" s="860"/>
      <c r="AF386" s="860"/>
      <c r="AG386" s="860"/>
      <c r="AH386" s="860"/>
      <c r="AI386" s="860"/>
      <c r="AJ386" s="860"/>
      <c r="AK386" s="860"/>
      <c r="AL386" s="860"/>
      <c r="AM386" s="860"/>
      <c r="AN386" s="860"/>
      <c r="AO386" s="860"/>
      <c r="AP386" s="860"/>
      <c r="AQ386" s="860"/>
      <c r="AR386" s="860"/>
      <c r="AS386" s="860"/>
      <c r="AT386" s="860"/>
      <c r="AU386" s="860"/>
      <c r="AV386" s="860"/>
      <c r="AW386" s="860"/>
      <c r="AX386" s="860"/>
      <c r="AY386" s="860"/>
      <c r="AZ386" s="860"/>
      <c r="BA386" s="860"/>
      <c r="BB386" s="860"/>
      <c r="BC386" s="860"/>
      <c r="BD386" s="860"/>
      <c r="BE386" s="860"/>
      <c r="BF386" s="860"/>
      <c r="BG386" s="860"/>
      <c r="BH386" s="668"/>
      <c r="BI386" s="667"/>
      <c r="BJ386" s="690">
        <f t="shared" si="157"/>
        <v>0</v>
      </c>
      <c r="BK386" s="691">
        <f t="shared" si="158"/>
        <v>0</v>
      </c>
      <c r="BL386" s="654"/>
      <c r="BM386" s="692">
        <f>SUMIFS(Imput[[Importe Neto]:[Importe Neto]],Imput[[C. Imp.]:[C. Imp.]],$D386,Imput[[PERIODO Imp.]:[PERIODO Imp.]],BM$9)</f>
        <v>0</v>
      </c>
      <c r="BN386" s="693">
        <f>SUMIFS(Imput[[Importe Neto]:[Importe Neto]],Imput[[C. Imp.]:[C. Imp.]],$D386,Imput[[PERIODO Imp.]:[PERIODO Imp.]],BN$9)</f>
        <v>0</v>
      </c>
      <c r="BO386" s="693">
        <f>SUMIFS(Imput[[Importe Neto]:[Importe Neto]],Imput[[C. Imp.]:[C. Imp.]],$D386,Imput[[PERIODO Imp.]:[PERIODO Imp.]],BO$9)</f>
        <v>0</v>
      </c>
      <c r="BP386" s="693">
        <f>SUMIFS(Imput[[Importe Neto]:[Importe Neto]],Imput[[C. Imp.]:[C. Imp.]],$D386,Imput[[PERIODO Imp.]:[PERIODO Imp.]],BP$9)</f>
        <v>0</v>
      </c>
      <c r="BQ386" s="693">
        <f>SUMIFS(Imput[[Importe Neto]:[Importe Neto]],Imput[[C. Imp.]:[C. Imp.]],$D386,Imput[[PERIODO Imp.]:[PERIODO Imp.]],BQ$9)</f>
        <v>0</v>
      </c>
      <c r="BR386" s="693">
        <f>SUMIFS(Imput[[Importe Neto]:[Importe Neto]],Imput[[C. Imp.]:[C. Imp.]],$D386,Imput[[PERIODO Imp.]:[PERIODO Imp.]],BR$9)</f>
        <v>0</v>
      </c>
      <c r="BS386" s="693">
        <f>SUMIFS(Imput[[Importe Neto]:[Importe Neto]],Imput[[C. Imp.]:[C. Imp.]],$D386,Imput[[PERIODO Imp.]:[PERIODO Imp.]],BS$9)</f>
        <v>0</v>
      </c>
      <c r="BT386" s="693">
        <f>SUMIFS(Imput[[Importe Neto]:[Importe Neto]],Imput[[C. Imp.]:[C. Imp.]],$D386,Imput[[PERIODO Imp.]:[PERIODO Imp.]],BT$9)</f>
        <v>0</v>
      </c>
      <c r="BU386" s="693">
        <f>SUMIFS(Imput[[Importe Neto]:[Importe Neto]],Imput[[C. Imp.]:[C. Imp.]],$D386,Imput[[PERIODO Imp.]:[PERIODO Imp.]],BU$9)</f>
        <v>0</v>
      </c>
      <c r="BV386" s="693">
        <f>SUMIFS(Imput[[Importe Neto]:[Importe Neto]],Imput[[C. Imp.]:[C. Imp.]],$D386,Imput[[PERIODO Imp.]:[PERIODO Imp.]],BV$9)</f>
        <v>0</v>
      </c>
      <c r="BW386" s="693">
        <f>SUMIFS(Imput[[Importe Neto]:[Importe Neto]],Imput[[C. Imp.]:[C. Imp.]],$D386,Imput[[PERIODO Imp.]:[PERIODO Imp.]],BW$9)</f>
        <v>0</v>
      </c>
      <c r="BX386" s="693">
        <f>SUMIFS(Imput[[Importe Neto]:[Importe Neto]],Imput[[C. Imp.]:[C. Imp.]],$D386,Imput[[PERIODO Imp.]:[PERIODO Imp.]],BX$9)</f>
        <v>0</v>
      </c>
      <c r="BY386" s="693">
        <f>SUMIFS(Imput[[Importe Neto]:[Importe Neto]],Imput[[C. Imp.]:[C. Imp.]],$D386,Imput[[PERIODO Imp.]:[PERIODO Imp.]],BY$9)</f>
        <v>0</v>
      </c>
      <c r="BZ386" s="693">
        <f>SUMIFS(Imput[[Importe Neto]:[Importe Neto]],Imput[[C. Imp.]:[C. Imp.]],$D386,Imput[[PERIODO Imp.]:[PERIODO Imp.]],BZ$9)</f>
        <v>0</v>
      </c>
      <c r="CA386" s="693">
        <f>SUMIFS(Imput[[Importe Neto]:[Importe Neto]],Imput[[C. Imp.]:[C. Imp.]],$D386,Imput[[PERIODO Imp.]:[PERIODO Imp.]],CA$9)</f>
        <v>0</v>
      </c>
      <c r="CB386" s="693">
        <f>SUMIFS(Imput[[Importe Neto]:[Importe Neto]],Imput[[C. Imp.]:[C. Imp.]],$D386,Imput[[PERIODO Imp.]:[PERIODO Imp.]],CB$9)</f>
        <v>0</v>
      </c>
      <c r="CC386" s="693">
        <f>SUMIFS(Imput[[Importe Neto]:[Importe Neto]],Imput[[C. Imp.]:[C. Imp.]],$D386,Imput[[PERIODO Imp.]:[PERIODO Imp.]],CC$9)</f>
        <v>0</v>
      </c>
      <c r="CD386" s="693">
        <f>SUMIFS(Imput[[Importe Neto]:[Importe Neto]],Imput[[C. Imp.]:[C. Imp.]],$D386,Imput[[PERIODO Imp.]:[PERIODO Imp.]],CD$9)</f>
        <v>0</v>
      </c>
      <c r="CE386" s="693">
        <f>SUMIFS(Imput[[Importe Neto]:[Importe Neto]],Imput[[C. Imp.]:[C. Imp.]],$D386,Imput[[PERIODO Imp.]:[PERIODO Imp.]],CE$9)</f>
        <v>0</v>
      </c>
      <c r="CF386" s="693">
        <f>SUMIFS(Imput[[Importe Neto]:[Importe Neto]],Imput[[C. Imp.]:[C. Imp.]],$D386,Imput[[PERIODO Imp.]:[PERIODO Imp.]],CF$9)</f>
        <v>0</v>
      </c>
      <c r="CG386" s="693">
        <f>SUMIFS(Imput[[Importe Neto]:[Importe Neto]],Imput[[C. Imp.]:[C. Imp.]],$D386,Imput[[PERIODO Imp.]:[PERIODO Imp.]],CG$9)</f>
        <v>0</v>
      </c>
      <c r="CH386" s="693">
        <f>SUMIFS(Imput[[Importe Neto]:[Importe Neto]],Imput[[C. Imp.]:[C. Imp.]],$D386,Imput[[PERIODO Imp.]:[PERIODO Imp.]],CH$9)</f>
        <v>0</v>
      </c>
      <c r="CI386" s="693">
        <f>SUMIFS(Imput[[Importe Neto]:[Importe Neto]],Imput[[C. Imp.]:[C. Imp.]],$D386,Imput[[PERIODO Imp.]:[PERIODO Imp.]],CI$9)</f>
        <v>0</v>
      </c>
      <c r="CJ386" s="693">
        <f>SUMIFS(Imput[[Importe Neto]:[Importe Neto]],Imput[[C. Imp.]:[C. Imp.]],$D386,Imput[[PERIODO Imp.]:[PERIODO Imp.]],CJ$9)</f>
        <v>0</v>
      </c>
      <c r="CK386" s="693">
        <f>SUMIFS(Imput[[Importe Neto]:[Importe Neto]],Imput[[C. Imp.]:[C. Imp.]],$D386,Imput[[PERIODO Imp.]:[PERIODO Imp.]],CK$9)</f>
        <v>0</v>
      </c>
      <c r="CL386" s="693">
        <f>SUMIFS(Imput[[Importe Neto]:[Importe Neto]],Imput[[C. Imp.]:[C. Imp.]],$D386,Imput[[PERIODO Imp.]:[PERIODO Imp.]],CL$9)</f>
        <v>0</v>
      </c>
      <c r="CM386" s="693">
        <f>SUMIFS(Imput[[Importe Neto]:[Importe Neto]],Imput[[C. Imp.]:[C. Imp.]],$D386,Imput[[PERIODO Imp.]:[PERIODO Imp.]],CM$9)</f>
        <v>0</v>
      </c>
      <c r="CN386" s="693">
        <f>SUMIFS(Imput[[Importe Neto]:[Importe Neto]],Imput[[C. Imp.]:[C. Imp.]],$D386,Imput[[PERIODO Imp.]:[PERIODO Imp.]],CN$9)</f>
        <v>0</v>
      </c>
      <c r="CO386" s="693">
        <f>SUMIFS(Imput[[Importe Neto]:[Importe Neto]],Imput[[C. Imp.]:[C. Imp.]],$D386,Imput[[PERIODO Imp.]:[PERIODO Imp.]],CO$9)</f>
        <v>0</v>
      </c>
      <c r="CP386" s="693">
        <f>SUMIFS(Imput[[Importe Neto]:[Importe Neto]],Imput[[C. Imp.]:[C. Imp.]],$D386,Imput[[PERIODO Imp.]:[PERIODO Imp.]],CP$9)</f>
        <v>0</v>
      </c>
      <c r="CQ386" s="693">
        <f>SUMIFS(Imput[[Importe Neto]:[Importe Neto]],Imput[[C. Imp.]:[C. Imp.]],$D386,Imput[[PERIODO Imp.]:[PERIODO Imp.]],CQ$9)</f>
        <v>0</v>
      </c>
      <c r="CR386" s="693">
        <f>SUMIFS(Imput[[Importe Neto]:[Importe Neto]],Imput[[C. Imp.]:[C. Imp.]],$D386,Imput[[PERIODO Imp.]:[PERIODO Imp.]],CR$9)</f>
        <v>0</v>
      </c>
      <c r="CS386" s="693">
        <f>SUMIFS(Imput[[Importe Neto]:[Importe Neto]],Imput[[C. Imp.]:[C. Imp.]],$D386,Imput[[PERIODO Imp.]:[PERIODO Imp.]],CS$9)</f>
        <v>0</v>
      </c>
      <c r="CT386" s="693">
        <f>SUMIFS(Imput[[Importe Neto]:[Importe Neto]],Imput[[C. Imp.]:[C. Imp.]],$D386,Imput[[PERIODO Imp.]:[PERIODO Imp.]],CT$9)</f>
        <v>0</v>
      </c>
      <c r="CU386" s="693">
        <f>SUMIFS(Imput[[Importe Neto]:[Importe Neto]],Imput[[C. Imp.]:[C. Imp.]],$D386,Imput[[PERIODO Imp.]:[PERIODO Imp.]],CU$9)</f>
        <v>0</v>
      </c>
      <c r="CV386" s="693">
        <f>SUMIFS(Imput[[Importe Neto]:[Importe Neto]],Imput[[C. Imp.]:[C. Imp.]],$D386,Imput[[PERIODO Imp.]:[PERIODO Imp.]],CV$9)</f>
        <v>0</v>
      </c>
      <c r="CW386" s="693">
        <f>SUMIFS(Imput[[Importe Neto]:[Importe Neto]],Imput[[C. Imp.]:[C. Imp.]],$D386,Imput[[PERIODO Imp.]:[PERIODO Imp.]],CW$9)</f>
        <v>0</v>
      </c>
      <c r="CX386" s="693">
        <f>SUMIFS(Imput[[Importe Neto]:[Importe Neto]],Imput[[C. Imp.]:[C. Imp.]],$D386,Imput[[PERIODO Imp.]:[PERIODO Imp.]],CX$9)</f>
        <v>0</v>
      </c>
      <c r="CY386" s="693">
        <f>SUMIFS(Imput[[Importe Neto]:[Importe Neto]],Imput[[C. Imp.]:[C. Imp.]],$D386,Imput[[PERIODO Imp.]:[PERIODO Imp.]],CY$9)</f>
        <v>0</v>
      </c>
      <c r="CZ386" s="693">
        <f>SUMIFS(Imput[[Importe Neto]:[Importe Neto]],Imput[[C. Imp.]:[C. Imp.]],$D386,Imput[[PERIODO Imp.]:[PERIODO Imp.]],CZ$9)</f>
        <v>0</v>
      </c>
      <c r="DA386" s="693">
        <f>SUMIFS(Imput[[Importe Neto]:[Importe Neto]],Imput[[C. Imp.]:[C. Imp.]],$D386,Imput[[PERIODO Imp.]:[PERIODO Imp.]],DA$9)</f>
        <v>0</v>
      </c>
      <c r="DB386" s="693">
        <f>SUMIFS(Imput[[Importe Neto]:[Importe Neto]],Imput[[C. Imp.]:[C. Imp.]],$D386,Imput[[PERIODO Imp.]:[PERIODO Imp.]],DB$9)</f>
        <v>0</v>
      </c>
      <c r="DC386" s="693">
        <f>SUMIFS(Imput[[Importe Neto]:[Importe Neto]],Imput[[C. Imp.]:[C. Imp.]],$D386,Imput[[PERIODO Imp.]:[PERIODO Imp.]],DC$9)</f>
        <v>0</v>
      </c>
      <c r="DD386" s="693">
        <f>SUMIFS(Imput[[Importe Neto]:[Importe Neto]],Imput[[C. Imp.]:[C. Imp.]],$D386,Imput[[PERIODO Imp.]:[PERIODO Imp.]],DD$9)</f>
        <v>0</v>
      </c>
      <c r="DE386" s="693">
        <f>SUMIFS(Imput[[Importe Neto]:[Importe Neto]],Imput[[C. Imp.]:[C. Imp.]],$D386,Imput[[PERIODO Imp.]:[PERIODO Imp.]],DE$9)</f>
        <v>0</v>
      </c>
      <c r="DF386" s="693">
        <f>SUMIFS(Imput[[Importe Neto]:[Importe Neto]],Imput[[C. Imp.]:[C. Imp.]],$D386,Imput[[PERIODO Imp.]:[PERIODO Imp.]],DF$9)</f>
        <v>0</v>
      </c>
      <c r="DG386" s="693">
        <f>SUMIFS(Imput[[Importe Neto]:[Importe Neto]],Imput[[C. Imp.]:[C. Imp.]],$D386,Imput[[PERIODO Imp.]:[PERIODO Imp.]],DG$9)</f>
        <v>0</v>
      </c>
      <c r="DH386" s="694">
        <f>SUMIFS(Imput[[Importe Neto]:[Importe Neto]],Imput[[C. Imp.]:[C. Imp.]],$D386,Imput[[PERIODO Imp.]:[PERIODO Imp.]],DH$9)</f>
        <v>0</v>
      </c>
    </row>
    <row r="387" spans="1:112" s="649" customFormat="1" hidden="1" outlineLevel="1" x14ac:dyDescent="0.3">
      <c r="A387" s="652" t="str">
        <f t="shared" si="154"/>
        <v/>
      </c>
      <c r="B387" s="652"/>
      <c r="C387" s="685"/>
      <c r="D387" s="686" t="s">
        <v>2447</v>
      </c>
      <c r="E387" s="686"/>
      <c r="F387" s="720"/>
      <c r="G387" s="688"/>
      <c r="H387" s="689"/>
      <c r="I387" s="851" t="str">
        <f t="shared" si="155"/>
        <v/>
      </c>
      <c r="J387" s="850" t="str">
        <f t="shared" si="156"/>
        <v/>
      </c>
      <c r="K387" s="667"/>
      <c r="L387" s="858"/>
      <c r="M387" s="859"/>
      <c r="N387" s="859"/>
      <c r="O387" s="859"/>
      <c r="P387" s="859"/>
      <c r="Q387" s="859"/>
      <c r="R387" s="859"/>
      <c r="S387" s="859"/>
      <c r="T387" s="859"/>
      <c r="U387" s="859"/>
      <c r="V387" s="859"/>
      <c r="W387" s="859"/>
      <c r="X387" s="859"/>
      <c r="Y387" s="859"/>
      <c r="Z387" s="860"/>
      <c r="AA387" s="860"/>
      <c r="AB387" s="860"/>
      <c r="AC387" s="860"/>
      <c r="AD387" s="860"/>
      <c r="AE387" s="860"/>
      <c r="AF387" s="860"/>
      <c r="AG387" s="860"/>
      <c r="AH387" s="860"/>
      <c r="AI387" s="860"/>
      <c r="AJ387" s="860"/>
      <c r="AK387" s="860"/>
      <c r="AL387" s="860"/>
      <c r="AM387" s="860"/>
      <c r="AN387" s="860"/>
      <c r="AO387" s="860"/>
      <c r="AP387" s="860"/>
      <c r="AQ387" s="860"/>
      <c r="AR387" s="860"/>
      <c r="AS387" s="860"/>
      <c r="AT387" s="860"/>
      <c r="AU387" s="860"/>
      <c r="AV387" s="860"/>
      <c r="AW387" s="860"/>
      <c r="AX387" s="860"/>
      <c r="AY387" s="860"/>
      <c r="AZ387" s="860"/>
      <c r="BA387" s="860"/>
      <c r="BB387" s="860"/>
      <c r="BC387" s="860"/>
      <c r="BD387" s="860"/>
      <c r="BE387" s="860"/>
      <c r="BF387" s="860"/>
      <c r="BG387" s="860"/>
      <c r="BH387" s="668"/>
      <c r="BI387" s="667"/>
      <c r="BJ387" s="690">
        <f t="shared" si="157"/>
        <v>0</v>
      </c>
      <c r="BK387" s="691">
        <f t="shared" si="158"/>
        <v>0</v>
      </c>
      <c r="BL387" s="654"/>
      <c r="BM387" s="692">
        <f>SUMIFS(Imput[[Importe Neto]:[Importe Neto]],Imput[[C. Imp.]:[C. Imp.]],$D387,Imput[[PERIODO Imp.]:[PERIODO Imp.]],BM$9)</f>
        <v>0</v>
      </c>
      <c r="BN387" s="693">
        <f>SUMIFS(Imput[[Importe Neto]:[Importe Neto]],Imput[[C. Imp.]:[C. Imp.]],$D387,Imput[[PERIODO Imp.]:[PERIODO Imp.]],BN$9)</f>
        <v>0</v>
      </c>
      <c r="BO387" s="693">
        <f>SUMIFS(Imput[[Importe Neto]:[Importe Neto]],Imput[[C. Imp.]:[C. Imp.]],$D387,Imput[[PERIODO Imp.]:[PERIODO Imp.]],BO$9)</f>
        <v>0</v>
      </c>
      <c r="BP387" s="693">
        <f>SUMIFS(Imput[[Importe Neto]:[Importe Neto]],Imput[[C. Imp.]:[C. Imp.]],$D387,Imput[[PERIODO Imp.]:[PERIODO Imp.]],BP$9)</f>
        <v>0</v>
      </c>
      <c r="BQ387" s="693">
        <f>SUMIFS(Imput[[Importe Neto]:[Importe Neto]],Imput[[C. Imp.]:[C. Imp.]],$D387,Imput[[PERIODO Imp.]:[PERIODO Imp.]],BQ$9)</f>
        <v>0</v>
      </c>
      <c r="BR387" s="693">
        <f>SUMIFS(Imput[[Importe Neto]:[Importe Neto]],Imput[[C. Imp.]:[C. Imp.]],$D387,Imput[[PERIODO Imp.]:[PERIODO Imp.]],BR$9)</f>
        <v>0</v>
      </c>
      <c r="BS387" s="693">
        <f>SUMIFS(Imput[[Importe Neto]:[Importe Neto]],Imput[[C. Imp.]:[C. Imp.]],$D387,Imput[[PERIODO Imp.]:[PERIODO Imp.]],BS$9)</f>
        <v>0</v>
      </c>
      <c r="BT387" s="693">
        <f>SUMIFS(Imput[[Importe Neto]:[Importe Neto]],Imput[[C. Imp.]:[C. Imp.]],$D387,Imput[[PERIODO Imp.]:[PERIODO Imp.]],BT$9)</f>
        <v>0</v>
      </c>
      <c r="BU387" s="693">
        <f>SUMIFS(Imput[[Importe Neto]:[Importe Neto]],Imput[[C. Imp.]:[C. Imp.]],$D387,Imput[[PERIODO Imp.]:[PERIODO Imp.]],BU$9)</f>
        <v>0</v>
      </c>
      <c r="BV387" s="693">
        <f>SUMIFS(Imput[[Importe Neto]:[Importe Neto]],Imput[[C. Imp.]:[C. Imp.]],$D387,Imput[[PERIODO Imp.]:[PERIODO Imp.]],BV$9)</f>
        <v>0</v>
      </c>
      <c r="BW387" s="693">
        <f>SUMIFS(Imput[[Importe Neto]:[Importe Neto]],Imput[[C. Imp.]:[C. Imp.]],$D387,Imput[[PERIODO Imp.]:[PERIODO Imp.]],BW$9)</f>
        <v>0</v>
      </c>
      <c r="BX387" s="693">
        <f>SUMIFS(Imput[[Importe Neto]:[Importe Neto]],Imput[[C. Imp.]:[C. Imp.]],$D387,Imput[[PERIODO Imp.]:[PERIODO Imp.]],BX$9)</f>
        <v>0</v>
      </c>
      <c r="BY387" s="693">
        <f>SUMIFS(Imput[[Importe Neto]:[Importe Neto]],Imput[[C. Imp.]:[C. Imp.]],$D387,Imput[[PERIODO Imp.]:[PERIODO Imp.]],BY$9)</f>
        <v>0</v>
      </c>
      <c r="BZ387" s="693">
        <f>SUMIFS(Imput[[Importe Neto]:[Importe Neto]],Imput[[C. Imp.]:[C. Imp.]],$D387,Imput[[PERIODO Imp.]:[PERIODO Imp.]],BZ$9)</f>
        <v>0</v>
      </c>
      <c r="CA387" s="693">
        <f>SUMIFS(Imput[[Importe Neto]:[Importe Neto]],Imput[[C. Imp.]:[C. Imp.]],$D387,Imput[[PERIODO Imp.]:[PERIODO Imp.]],CA$9)</f>
        <v>0</v>
      </c>
      <c r="CB387" s="693">
        <f>SUMIFS(Imput[[Importe Neto]:[Importe Neto]],Imput[[C. Imp.]:[C. Imp.]],$D387,Imput[[PERIODO Imp.]:[PERIODO Imp.]],CB$9)</f>
        <v>0</v>
      </c>
      <c r="CC387" s="693">
        <f>SUMIFS(Imput[[Importe Neto]:[Importe Neto]],Imput[[C. Imp.]:[C. Imp.]],$D387,Imput[[PERIODO Imp.]:[PERIODO Imp.]],CC$9)</f>
        <v>0</v>
      </c>
      <c r="CD387" s="693">
        <f>SUMIFS(Imput[[Importe Neto]:[Importe Neto]],Imput[[C. Imp.]:[C. Imp.]],$D387,Imput[[PERIODO Imp.]:[PERIODO Imp.]],CD$9)</f>
        <v>0</v>
      </c>
      <c r="CE387" s="693">
        <f>SUMIFS(Imput[[Importe Neto]:[Importe Neto]],Imput[[C. Imp.]:[C. Imp.]],$D387,Imput[[PERIODO Imp.]:[PERIODO Imp.]],CE$9)</f>
        <v>0</v>
      </c>
      <c r="CF387" s="693">
        <f>SUMIFS(Imput[[Importe Neto]:[Importe Neto]],Imput[[C. Imp.]:[C. Imp.]],$D387,Imput[[PERIODO Imp.]:[PERIODO Imp.]],CF$9)</f>
        <v>0</v>
      </c>
      <c r="CG387" s="693">
        <f>SUMIFS(Imput[[Importe Neto]:[Importe Neto]],Imput[[C. Imp.]:[C. Imp.]],$D387,Imput[[PERIODO Imp.]:[PERIODO Imp.]],CG$9)</f>
        <v>0</v>
      </c>
      <c r="CH387" s="693">
        <f>SUMIFS(Imput[[Importe Neto]:[Importe Neto]],Imput[[C. Imp.]:[C. Imp.]],$D387,Imput[[PERIODO Imp.]:[PERIODO Imp.]],CH$9)</f>
        <v>0</v>
      </c>
      <c r="CI387" s="693">
        <f>SUMIFS(Imput[[Importe Neto]:[Importe Neto]],Imput[[C. Imp.]:[C. Imp.]],$D387,Imput[[PERIODO Imp.]:[PERIODO Imp.]],CI$9)</f>
        <v>0</v>
      </c>
      <c r="CJ387" s="693">
        <f>SUMIFS(Imput[[Importe Neto]:[Importe Neto]],Imput[[C. Imp.]:[C. Imp.]],$D387,Imput[[PERIODO Imp.]:[PERIODO Imp.]],CJ$9)</f>
        <v>0</v>
      </c>
      <c r="CK387" s="693">
        <f>SUMIFS(Imput[[Importe Neto]:[Importe Neto]],Imput[[C. Imp.]:[C. Imp.]],$D387,Imput[[PERIODO Imp.]:[PERIODO Imp.]],CK$9)</f>
        <v>0</v>
      </c>
      <c r="CL387" s="693">
        <f>SUMIFS(Imput[[Importe Neto]:[Importe Neto]],Imput[[C. Imp.]:[C. Imp.]],$D387,Imput[[PERIODO Imp.]:[PERIODO Imp.]],CL$9)</f>
        <v>0</v>
      </c>
      <c r="CM387" s="693">
        <f>SUMIFS(Imput[[Importe Neto]:[Importe Neto]],Imput[[C. Imp.]:[C. Imp.]],$D387,Imput[[PERIODO Imp.]:[PERIODO Imp.]],CM$9)</f>
        <v>0</v>
      </c>
      <c r="CN387" s="693">
        <f>SUMIFS(Imput[[Importe Neto]:[Importe Neto]],Imput[[C. Imp.]:[C. Imp.]],$D387,Imput[[PERIODO Imp.]:[PERIODO Imp.]],CN$9)</f>
        <v>0</v>
      </c>
      <c r="CO387" s="693">
        <f>SUMIFS(Imput[[Importe Neto]:[Importe Neto]],Imput[[C. Imp.]:[C. Imp.]],$D387,Imput[[PERIODO Imp.]:[PERIODO Imp.]],CO$9)</f>
        <v>0</v>
      </c>
      <c r="CP387" s="693">
        <f>SUMIFS(Imput[[Importe Neto]:[Importe Neto]],Imput[[C. Imp.]:[C. Imp.]],$D387,Imput[[PERIODO Imp.]:[PERIODO Imp.]],CP$9)</f>
        <v>0</v>
      </c>
      <c r="CQ387" s="693">
        <f>SUMIFS(Imput[[Importe Neto]:[Importe Neto]],Imput[[C. Imp.]:[C. Imp.]],$D387,Imput[[PERIODO Imp.]:[PERIODO Imp.]],CQ$9)</f>
        <v>0</v>
      </c>
      <c r="CR387" s="693">
        <f>SUMIFS(Imput[[Importe Neto]:[Importe Neto]],Imput[[C. Imp.]:[C. Imp.]],$D387,Imput[[PERIODO Imp.]:[PERIODO Imp.]],CR$9)</f>
        <v>0</v>
      </c>
      <c r="CS387" s="693">
        <f>SUMIFS(Imput[[Importe Neto]:[Importe Neto]],Imput[[C. Imp.]:[C. Imp.]],$D387,Imput[[PERIODO Imp.]:[PERIODO Imp.]],CS$9)</f>
        <v>0</v>
      </c>
      <c r="CT387" s="693">
        <f>SUMIFS(Imput[[Importe Neto]:[Importe Neto]],Imput[[C. Imp.]:[C. Imp.]],$D387,Imput[[PERIODO Imp.]:[PERIODO Imp.]],CT$9)</f>
        <v>0</v>
      </c>
      <c r="CU387" s="693">
        <f>SUMIFS(Imput[[Importe Neto]:[Importe Neto]],Imput[[C. Imp.]:[C. Imp.]],$D387,Imput[[PERIODO Imp.]:[PERIODO Imp.]],CU$9)</f>
        <v>0</v>
      </c>
      <c r="CV387" s="693">
        <f>SUMIFS(Imput[[Importe Neto]:[Importe Neto]],Imput[[C. Imp.]:[C. Imp.]],$D387,Imput[[PERIODO Imp.]:[PERIODO Imp.]],CV$9)</f>
        <v>0</v>
      </c>
      <c r="CW387" s="693">
        <f>SUMIFS(Imput[[Importe Neto]:[Importe Neto]],Imput[[C. Imp.]:[C. Imp.]],$D387,Imput[[PERIODO Imp.]:[PERIODO Imp.]],CW$9)</f>
        <v>0</v>
      </c>
      <c r="CX387" s="693">
        <f>SUMIFS(Imput[[Importe Neto]:[Importe Neto]],Imput[[C. Imp.]:[C. Imp.]],$D387,Imput[[PERIODO Imp.]:[PERIODO Imp.]],CX$9)</f>
        <v>0</v>
      </c>
      <c r="CY387" s="693">
        <f>SUMIFS(Imput[[Importe Neto]:[Importe Neto]],Imput[[C. Imp.]:[C. Imp.]],$D387,Imput[[PERIODO Imp.]:[PERIODO Imp.]],CY$9)</f>
        <v>0</v>
      </c>
      <c r="CZ387" s="693">
        <f>SUMIFS(Imput[[Importe Neto]:[Importe Neto]],Imput[[C. Imp.]:[C. Imp.]],$D387,Imput[[PERIODO Imp.]:[PERIODO Imp.]],CZ$9)</f>
        <v>0</v>
      </c>
      <c r="DA387" s="693">
        <f>SUMIFS(Imput[[Importe Neto]:[Importe Neto]],Imput[[C. Imp.]:[C. Imp.]],$D387,Imput[[PERIODO Imp.]:[PERIODO Imp.]],DA$9)</f>
        <v>0</v>
      </c>
      <c r="DB387" s="693">
        <f>SUMIFS(Imput[[Importe Neto]:[Importe Neto]],Imput[[C. Imp.]:[C. Imp.]],$D387,Imput[[PERIODO Imp.]:[PERIODO Imp.]],DB$9)</f>
        <v>0</v>
      </c>
      <c r="DC387" s="693">
        <f>SUMIFS(Imput[[Importe Neto]:[Importe Neto]],Imput[[C. Imp.]:[C. Imp.]],$D387,Imput[[PERIODO Imp.]:[PERIODO Imp.]],DC$9)</f>
        <v>0</v>
      </c>
      <c r="DD387" s="693">
        <f>SUMIFS(Imput[[Importe Neto]:[Importe Neto]],Imput[[C. Imp.]:[C. Imp.]],$D387,Imput[[PERIODO Imp.]:[PERIODO Imp.]],DD$9)</f>
        <v>0</v>
      </c>
      <c r="DE387" s="693">
        <f>SUMIFS(Imput[[Importe Neto]:[Importe Neto]],Imput[[C. Imp.]:[C. Imp.]],$D387,Imput[[PERIODO Imp.]:[PERIODO Imp.]],DE$9)</f>
        <v>0</v>
      </c>
      <c r="DF387" s="693">
        <f>SUMIFS(Imput[[Importe Neto]:[Importe Neto]],Imput[[C. Imp.]:[C. Imp.]],$D387,Imput[[PERIODO Imp.]:[PERIODO Imp.]],DF$9)</f>
        <v>0</v>
      </c>
      <c r="DG387" s="693">
        <f>SUMIFS(Imput[[Importe Neto]:[Importe Neto]],Imput[[C. Imp.]:[C. Imp.]],$D387,Imput[[PERIODO Imp.]:[PERIODO Imp.]],DG$9)</f>
        <v>0</v>
      </c>
      <c r="DH387" s="694">
        <f>SUMIFS(Imput[[Importe Neto]:[Importe Neto]],Imput[[C. Imp.]:[C. Imp.]],$D387,Imput[[PERIODO Imp.]:[PERIODO Imp.]],DH$9)</f>
        <v>0</v>
      </c>
    </row>
    <row r="388" spans="1:112" s="649" customFormat="1" hidden="1" outlineLevel="1" x14ac:dyDescent="0.3">
      <c r="A388" s="652" t="str">
        <f t="shared" si="154"/>
        <v/>
      </c>
      <c r="B388" s="652"/>
      <c r="C388" s="685"/>
      <c r="D388" s="686" t="s">
        <v>2448</v>
      </c>
      <c r="E388" s="686"/>
      <c r="F388" s="720"/>
      <c r="G388" s="688"/>
      <c r="H388" s="689"/>
      <c r="I388" s="851" t="str">
        <f t="shared" si="155"/>
        <v/>
      </c>
      <c r="J388" s="850" t="str">
        <f t="shared" si="156"/>
        <v/>
      </c>
      <c r="K388" s="667"/>
      <c r="L388" s="858"/>
      <c r="M388" s="859"/>
      <c r="N388" s="859"/>
      <c r="O388" s="859"/>
      <c r="P388" s="859"/>
      <c r="Q388" s="859"/>
      <c r="R388" s="859"/>
      <c r="S388" s="859"/>
      <c r="T388" s="859"/>
      <c r="U388" s="859"/>
      <c r="V388" s="859"/>
      <c r="W388" s="859"/>
      <c r="X388" s="859"/>
      <c r="Y388" s="859"/>
      <c r="Z388" s="860"/>
      <c r="AA388" s="860"/>
      <c r="AB388" s="860"/>
      <c r="AC388" s="860"/>
      <c r="AD388" s="860"/>
      <c r="AE388" s="860"/>
      <c r="AF388" s="860"/>
      <c r="AG388" s="860"/>
      <c r="AH388" s="860"/>
      <c r="AI388" s="860"/>
      <c r="AJ388" s="860"/>
      <c r="AK388" s="860"/>
      <c r="AL388" s="860"/>
      <c r="AM388" s="860"/>
      <c r="AN388" s="860"/>
      <c r="AO388" s="860"/>
      <c r="AP388" s="860"/>
      <c r="AQ388" s="860"/>
      <c r="AR388" s="860"/>
      <c r="AS388" s="860"/>
      <c r="AT388" s="860"/>
      <c r="AU388" s="860"/>
      <c r="AV388" s="860"/>
      <c r="AW388" s="860"/>
      <c r="AX388" s="860"/>
      <c r="AY388" s="860"/>
      <c r="AZ388" s="860"/>
      <c r="BA388" s="860"/>
      <c r="BB388" s="860"/>
      <c r="BC388" s="860"/>
      <c r="BD388" s="860"/>
      <c r="BE388" s="860"/>
      <c r="BF388" s="860"/>
      <c r="BG388" s="860"/>
      <c r="BH388" s="668"/>
      <c r="BI388" s="667"/>
      <c r="BJ388" s="690">
        <f t="shared" si="157"/>
        <v>0</v>
      </c>
      <c r="BK388" s="691">
        <f t="shared" si="158"/>
        <v>0</v>
      </c>
      <c r="BL388" s="654"/>
      <c r="BM388" s="692">
        <f>SUMIFS(Imput[[Importe Neto]:[Importe Neto]],Imput[[C. Imp.]:[C. Imp.]],$D388,Imput[[PERIODO Imp.]:[PERIODO Imp.]],BM$9)</f>
        <v>0</v>
      </c>
      <c r="BN388" s="693">
        <f>SUMIFS(Imput[[Importe Neto]:[Importe Neto]],Imput[[C. Imp.]:[C. Imp.]],$D388,Imput[[PERIODO Imp.]:[PERIODO Imp.]],BN$9)</f>
        <v>0</v>
      </c>
      <c r="BO388" s="693">
        <f>SUMIFS(Imput[[Importe Neto]:[Importe Neto]],Imput[[C. Imp.]:[C. Imp.]],$D388,Imput[[PERIODO Imp.]:[PERIODO Imp.]],BO$9)</f>
        <v>0</v>
      </c>
      <c r="BP388" s="693">
        <f>SUMIFS(Imput[[Importe Neto]:[Importe Neto]],Imput[[C. Imp.]:[C. Imp.]],$D388,Imput[[PERIODO Imp.]:[PERIODO Imp.]],BP$9)</f>
        <v>0</v>
      </c>
      <c r="BQ388" s="693">
        <f>SUMIFS(Imput[[Importe Neto]:[Importe Neto]],Imput[[C. Imp.]:[C. Imp.]],$D388,Imput[[PERIODO Imp.]:[PERIODO Imp.]],BQ$9)</f>
        <v>0</v>
      </c>
      <c r="BR388" s="693">
        <f>SUMIFS(Imput[[Importe Neto]:[Importe Neto]],Imput[[C. Imp.]:[C. Imp.]],$D388,Imput[[PERIODO Imp.]:[PERIODO Imp.]],BR$9)</f>
        <v>0</v>
      </c>
      <c r="BS388" s="693">
        <f>SUMIFS(Imput[[Importe Neto]:[Importe Neto]],Imput[[C. Imp.]:[C. Imp.]],$D388,Imput[[PERIODO Imp.]:[PERIODO Imp.]],BS$9)</f>
        <v>0</v>
      </c>
      <c r="BT388" s="693">
        <f>SUMIFS(Imput[[Importe Neto]:[Importe Neto]],Imput[[C. Imp.]:[C. Imp.]],$D388,Imput[[PERIODO Imp.]:[PERIODO Imp.]],BT$9)</f>
        <v>0</v>
      </c>
      <c r="BU388" s="693">
        <f>SUMIFS(Imput[[Importe Neto]:[Importe Neto]],Imput[[C. Imp.]:[C. Imp.]],$D388,Imput[[PERIODO Imp.]:[PERIODO Imp.]],BU$9)</f>
        <v>0</v>
      </c>
      <c r="BV388" s="693">
        <f>SUMIFS(Imput[[Importe Neto]:[Importe Neto]],Imput[[C. Imp.]:[C. Imp.]],$D388,Imput[[PERIODO Imp.]:[PERIODO Imp.]],BV$9)</f>
        <v>0</v>
      </c>
      <c r="BW388" s="693">
        <f>SUMIFS(Imput[[Importe Neto]:[Importe Neto]],Imput[[C. Imp.]:[C. Imp.]],$D388,Imput[[PERIODO Imp.]:[PERIODO Imp.]],BW$9)</f>
        <v>0</v>
      </c>
      <c r="BX388" s="693">
        <f>SUMIFS(Imput[[Importe Neto]:[Importe Neto]],Imput[[C. Imp.]:[C. Imp.]],$D388,Imput[[PERIODO Imp.]:[PERIODO Imp.]],BX$9)</f>
        <v>0</v>
      </c>
      <c r="BY388" s="693">
        <f>SUMIFS(Imput[[Importe Neto]:[Importe Neto]],Imput[[C. Imp.]:[C. Imp.]],$D388,Imput[[PERIODO Imp.]:[PERIODO Imp.]],BY$9)</f>
        <v>0</v>
      </c>
      <c r="BZ388" s="693">
        <f>SUMIFS(Imput[[Importe Neto]:[Importe Neto]],Imput[[C. Imp.]:[C. Imp.]],$D388,Imput[[PERIODO Imp.]:[PERIODO Imp.]],BZ$9)</f>
        <v>0</v>
      </c>
      <c r="CA388" s="693">
        <f>SUMIFS(Imput[[Importe Neto]:[Importe Neto]],Imput[[C. Imp.]:[C. Imp.]],$D388,Imput[[PERIODO Imp.]:[PERIODO Imp.]],CA$9)</f>
        <v>0</v>
      </c>
      <c r="CB388" s="693">
        <f>SUMIFS(Imput[[Importe Neto]:[Importe Neto]],Imput[[C. Imp.]:[C. Imp.]],$D388,Imput[[PERIODO Imp.]:[PERIODO Imp.]],CB$9)</f>
        <v>0</v>
      </c>
      <c r="CC388" s="693">
        <f>SUMIFS(Imput[[Importe Neto]:[Importe Neto]],Imput[[C. Imp.]:[C. Imp.]],$D388,Imput[[PERIODO Imp.]:[PERIODO Imp.]],CC$9)</f>
        <v>0</v>
      </c>
      <c r="CD388" s="693">
        <f>SUMIFS(Imput[[Importe Neto]:[Importe Neto]],Imput[[C. Imp.]:[C. Imp.]],$D388,Imput[[PERIODO Imp.]:[PERIODO Imp.]],CD$9)</f>
        <v>0</v>
      </c>
      <c r="CE388" s="693">
        <f>SUMIFS(Imput[[Importe Neto]:[Importe Neto]],Imput[[C. Imp.]:[C. Imp.]],$D388,Imput[[PERIODO Imp.]:[PERIODO Imp.]],CE$9)</f>
        <v>0</v>
      </c>
      <c r="CF388" s="693">
        <f>SUMIFS(Imput[[Importe Neto]:[Importe Neto]],Imput[[C. Imp.]:[C. Imp.]],$D388,Imput[[PERIODO Imp.]:[PERIODO Imp.]],CF$9)</f>
        <v>0</v>
      </c>
      <c r="CG388" s="693">
        <f>SUMIFS(Imput[[Importe Neto]:[Importe Neto]],Imput[[C. Imp.]:[C. Imp.]],$D388,Imput[[PERIODO Imp.]:[PERIODO Imp.]],CG$9)</f>
        <v>0</v>
      </c>
      <c r="CH388" s="693">
        <f>SUMIFS(Imput[[Importe Neto]:[Importe Neto]],Imput[[C. Imp.]:[C. Imp.]],$D388,Imput[[PERIODO Imp.]:[PERIODO Imp.]],CH$9)</f>
        <v>0</v>
      </c>
      <c r="CI388" s="693">
        <f>SUMIFS(Imput[[Importe Neto]:[Importe Neto]],Imput[[C. Imp.]:[C. Imp.]],$D388,Imput[[PERIODO Imp.]:[PERIODO Imp.]],CI$9)</f>
        <v>0</v>
      </c>
      <c r="CJ388" s="693">
        <f>SUMIFS(Imput[[Importe Neto]:[Importe Neto]],Imput[[C. Imp.]:[C. Imp.]],$D388,Imput[[PERIODO Imp.]:[PERIODO Imp.]],CJ$9)</f>
        <v>0</v>
      </c>
      <c r="CK388" s="693">
        <f>SUMIFS(Imput[[Importe Neto]:[Importe Neto]],Imput[[C. Imp.]:[C. Imp.]],$D388,Imput[[PERIODO Imp.]:[PERIODO Imp.]],CK$9)</f>
        <v>0</v>
      </c>
      <c r="CL388" s="693">
        <f>SUMIFS(Imput[[Importe Neto]:[Importe Neto]],Imput[[C. Imp.]:[C. Imp.]],$D388,Imput[[PERIODO Imp.]:[PERIODO Imp.]],CL$9)</f>
        <v>0</v>
      </c>
      <c r="CM388" s="693">
        <f>SUMIFS(Imput[[Importe Neto]:[Importe Neto]],Imput[[C. Imp.]:[C. Imp.]],$D388,Imput[[PERIODO Imp.]:[PERIODO Imp.]],CM$9)</f>
        <v>0</v>
      </c>
      <c r="CN388" s="693">
        <f>SUMIFS(Imput[[Importe Neto]:[Importe Neto]],Imput[[C. Imp.]:[C. Imp.]],$D388,Imput[[PERIODO Imp.]:[PERIODO Imp.]],CN$9)</f>
        <v>0</v>
      </c>
      <c r="CO388" s="693">
        <f>SUMIFS(Imput[[Importe Neto]:[Importe Neto]],Imput[[C. Imp.]:[C. Imp.]],$D388,Imput[[PERIODO Imp.]:[PERIODO Imp.]],CO$9)</f>
        <v>0</v>
      </c>
      <c r="CP388" s="693">
        <f>SUMIFS(Imput[[Importe Neto]:[Importe Neto]],Imput[[C. Imp.]:[C. Imp.]],$D388,Imput[[PERIODO Imp.]:[PERIODO Imp.]],CP$9)</f>
        <v>0</v>
      </c>
      <c r="CQ388" s="693">
        <f>SUMIFS(Imput[[Importe Neto]:[Importe Neto]],Imput[[C. Imp.]:[C. Imp.]],$D388,Imput[[PERIODO Imp.]:[PERIODO Imp.]],CQ$9)</f>
        <v>0</v>
      </c>
      <c r="CR388" s="693">
        <f>SUMIFS(Imput[[Importe Neto]:[Importe Neto]],Imput[[C. Imp.]:[C. Imp.]],$D388,Imput[[PERIODO Imp.]:[PERIODO Imp.]],CR$9)</f>
        <v>0</v>
      </c>
      <c r="CS388" s="693">
        <f>SUMIFS(Imput[[Importe Neto]:[Importe Neto]],Imput[[C. Imp.]:[C. Imp.]],$D388,Imput[[PERIODO Imp.]:[PERIODO Imp.]],CS$9)</f>
        <v>0</v>
      </c>
      <c r="CT388" s="693">
        <f>SUMIFS(Imput[[Importe Neto]:[Importe Neto]],Imput[[C. Imp.]:[C. Imp.]],$D388,Imput[[PERIODO Imp.]:[PERIODO Imp.]],CT$9)</f>
        <v>0</v>
      </c>
      <c r="CU388" s="693">
        <f>SUMIFS(Imput[[Importe Neto]:[Importe Neto]],Imput[[C. Imp.]:[C. Imp.]],$D388,Imput[[PERIODO Imp.]:[PERIODO Imp.]],CU$9)</f>
        <v>0</v>
      </c>
      <c r="CV388" s="693">
        <f>SUMIFS(Imput[[Importe Neto]:[Importe Neto]],Imput[[C. Imp.]:[C. Imp.]],$D388,Imput[[PERIODO Imp.]:[PERIODO Imp.]],CV$9)</f>
        <v>0</v>
      </c>
      <c r="CW388" s="693">
        <f>SUMIFS(Imput[[Importe Neto]:[Importe Neto]],Imput[[C. Imp.]:[C. Imp.]],$D388,Imput[[PERIODO Imp.]:[PERIODO Imp.]],CW$9)</f>
        <v>0</v>
      </c>
      <c r="CX388" s="693">
        <f>SUMIFS(Imput[[Importe Neto]:[Importe Neto]],Imput[[C. Imp.]:[C. Imp.]],$D388,Imput[[PERIODO Imp.]:[PERIODO Imp.]],CX$9)</f>
        <v>0</v>
      </c>
      <c r="CY388" s="693">
        <f>SUMIFS(Imput[[Importe Neto]:[Importe Neto]],Imput[[C. Imp.]:[C. Imp.]],$D388,Imput[[PERIODO Imp.]:[PERIODO Imp.]],CY$9)</f>
        <v>0</v>
      </c>
      <c r="CZ388" s="693">
        <f>SUMIFS(Imput[[Importe Neto]:[Importe Neto]],Imput[[C. Imp.]:[C. Imp.]],$D388,Imput[[PERIODO Imp.]:[PERIODO Imp.]],CZ$9)</f>
        <v>0</v>
      </c>
      <c r="DA388" s="693">
        <f>SUMIFS(Imput[[Importe Neto]:[Importe Neto]],Imput[[C. Imp.]:[C. Imp.]],$D388,Imput[[PERIODO Imp.]:[PERIODO Imp.]],DA$9)</f>
        <v>0</v>
      </c>
      <c r="DB388" s="693">
        <f>SUMIFS(Imput[[Importe Neto]:[Importe Neto]],Imput[[C. Imp.]:[C. Imp.]],$D388,Imput[[PERIODO Imp.]:[PERIODO Imp.]],DB$9)</f>
        <v>0</v>
      </c>
      <c r="DC388" s="693">
        <f>SUMIFS(Imput[[Importe Neto]:[Importe Neto]],Imput[[C. Imp.]:[C. Imp.]],$D388,Imput[[PERIODO Imp.]:[PERIODO Imp.]],DC$9)</f>
        <v>0</v>
      </c>
      <c r="DD388" s="693">
        <f>SUMIFS(Imput[[Importe Neto]:[Importe Neto]],Imput[[C. Imp.]:[C. Imp.]],$D388,Imput[[PERIODO Imp.]:[PERIODO Imp.]],DD$9)</f>
        <v>0</v>
      </c>
      <c r="DE388" s="693">
        <f>SUMIFS(Imput[[Importe Neto]:[Importe Neto]],Imput[[C. Imp.]:[C. Imp.]],$D388,Imput[[PERIODO Imp.]:[PERIODO Imp.]],DE$9)</f>
        <v>0</v>
      </c>
      <c r="DF388" s="693">
        <f>SUMIFS(Imput[[Importe Neto]:[Importe Neto]],Imput[[C. Imp.]:[C. Imp.]],$D388,Imput[[PERIODO Imp.]:[PERIODO Imp.]],DF$9)</f>
        <v>0</v>
      </c>
      <c r="DG388" s="693">
        <f>SUMIFS(Imput[[Importe Neto]:[Importe Neto]],Imput[[C. Imp.]:[C. Imp.]],$D388,Imput[[PERIODO Imp.]:[PERIODO Imp.]],DG$9)</f>
        <v>0</v>
      </c>
      <c r="DH388" s="694">
        <f>SUMIFS(Imput[[Importe Neto]:[Importe Neto]],Imput[[C. Imp.]:[C. Imp.]],$D388,Imput[[PERIODO Imp.]:[PERIODO Imp.]],DH$9)</f>
        <v>0</v>
      </c>
    </row>
    <row r="389" spans="1:112" s="649" customFormat="1" hidden="1" outlineLevel="1" x14ac:dyDescent="0.3">
      <c r="A389" s="652" t="str">
        <f t="shared" si="154"/>
        <v/>
      </c>
      <c r="B389" s="652"/>
      <c r="C389" s="685"/>
      <c r="D389" s="686" t="s">
        <v>2449</v>
      </c>
      <c r="E389" s="686"/>
      <c r="F389" s="720"/>
      <c r="G389" s="688"/>
      <c r="H389" s="689"/>
      <c r="I389" s="851" t="str">
        <f t="shared" si="155"/>
        <v/>
      </c>
      <c r="J389" s="850" t="str">
        <f t="shared" si="156"/>
        <v/>
      </c>
      <c r="K389" s="667"/>
      <c r="L389" s="858"/>
      <c r="M389" s="859"/>
      <c r="N389" s="859"/>
      <c r="O389" s="859"/>
      <c r="P389" s="859"/>
      <c r="Q389" s="859"/>
      <c r="R389" s="859"/>
      <c r="S389" s="859"/>
      <c r="T389" s="859"/>
      <c r="U389" s="859"/>
      <c r="V389" s="859"/>
      <c r="W389" s="859"/>
      <c r="X389" s="859"/>
      <c r="Y389" s="859"/>
      <c r="Z389" s="860"/>
      <c r="AA389" s="860"/>
      <c r="AB389" s="860"/>
      <c r="AC389" s="860"/>
      <c r="AD389" s="860"/>
      <c r="AE389" s="860"/>
      <c r="AF389" s="860"/>
      <c r="AG389" s="860"/>
      <c r="AH389" s="860"/>
      <c r="AI389" s="860"/>
      <c r="AJ389" s="860"/>
      <c r="AK389" s="860"/>
      <c r="AL389" s="860"/>
      <c r="AM389" s="860"/>
      <c r="AN389" s="860"/>
      <c r="AO389" s="860"/>
      <c r="AP389" s="860"/>
      <c r="AQ389" s="860"/>
      <c r="AR389" s="860"/>
      <c r="AS389" s="860"/>
      <c r="AT389" s="860"/>
      <c r="AU389" s="860"/>
      <c r="AV389" s="860"/>
      <c r="AW389" s="860"/>
      <c r="AX389" s="860"/>
      <c r="AY389" s="860"/>
      <c r="AZ389" s="860"/>
      <c r="BA389" s="860"/>
      <c r="BB389" s="860"/>
      <c r="BC389" s="860"/>
      <c r="BD389" s="860"/>
      <c r="BE389" s="860"/>
      <c r="BF389" s="860"/>
      <c r="BG389" s="860"/>
      <c r="BH389" s="668"/>
      <c r="BI389" s="667"/>
      <c r="BJ389" s="690">
        <f t="shared" si="157"/>
        <v>0</v>
      </c>
      <c r="BK389" s="691">
        <f t="shared" si="158"/>
        <v>0</v>
      </c>
      <c r="BL389" s="654"/>
      <c r="BM389" s="692">
        <f>SUMIFS(Imput[[Importe Neto]:[Importe Neto]],Imput[[C. Imp.]:[C. Imp.]],$D389,Imput[[PERIODO Imp.]:[PERIODO Imp.]],BM$9)</f>
        <v>0</v>
      </c>
      <c r="BN389" s="693">
        <f>SUMIFS(Imput[[Importe Neto]:[Importe Neto]],Imput[[C. Imp.]:[C. Imp.]],$D389,Imput[[PERIODO Imp.]:[PERIODO Imp.]],BN$9)</f>
        <v>0</v>
      </c>
      <c r="BO389" s="693">
        <f>SUMIFS(Imput[[Importe Neto]:[Importe Neto]],Imput[[C. Imp.]:[C. Imp.]],$D389,Imput[[PERIODO Imp.]:[PERIODO Imp.]],BO$9)</f>
        <v>0</v>
      </c>
      <c r="BP389" s="693">
        <f>SUMIFS(Imput[[Importe Neto]:[Importe Neto]],Imput[[C. Imp.]:[C. Imp.]],$D389,Imput[[PERIODO Imp.]:[PERIODO Imp.]],BP$9)</f>
        <v>0</v>
      </c>
      <c r="BQ389" s="693">
        <f>SUMIFS(Imput[[Importe Neto]:[Importe Neto]],Imput[[C. Imp.]:[C. Imp.]],$D389,Imput[[PERIODO Imp.]:[PERIODO Imp.]],BQ$9)</f>
        <v>0</v>
      </c>
      <c r="BR389" s="693">
        <f>SUMIFS(Imput[[Importe Neto]:[Importe Neto]],Imput[[C. Imp.]:[C. Imp.]],$D389,Imput[[PERIODO Imp.]:[PERIODO Imp.]],BR$9)</f>
        <v>0</v>
      </c>
      <c r="BS389" s="693">
        <f>SUMIFS(Imput[[Importe Neto]:[Importe Neto]],Imput[[C. Imp.]:[C. Imp.]],$D389,Imput[[PERIODO Imp.]:[PERIODO Imp.]],BS$9)</f>
        <v>0</v>
      </c>
      <c r="BT389" s="693">
        <f>SUMIFS(Imput[[Importe Neto]:[Importe Neto]],Imput[[C. Imp.]:[C. Imp.]],$D389,Imput[[PERIODO Imp.]:[PERIODO Imp.]],BT$9)</f>
        <v>0</v>
      </c>
      <c r="BU389" s="693">
        <f>SUMIFS(Imput[[Importe Neto]:[Importe Neto]],Imput[[C. Imp.]:[C. Imp.]],$D389,Imput[[PERIODO Imp.]:[PERIODO Imp.]],BU$9)</f>
        <v>0</v>
      </c>
      <c r="BV389" s="693">
        <f>SUMIFS(Imput[[Importe Neto]:[Importe Neto]],Imput[[C. Imp.]:[C. Imp.]],$D389,Imput[[PERIODO Imp.]:[PERIODO Imp.]],BV$9)</f>
        <v>0</v>
      </c>
      <c r="BW389" s="693">
        <f>SUMIFS(Imput[[Importe Neto]:[Importe Neto]],Imput[[C. Imp.]:[C. Imp.]],$D389,Imput[[PERIODO Imp.]:[PERIODO Imp.]],BW$9)</f>
        <v>0</v>
      </c>
      <c r="BX389" s="693">
        <f>SUMIFS(Imput[[Importe Neto]:[Importe Neto]],Imput[[C. Imp.]:[C. Imp.]],$D389,Imput[[PERIODO Imp.]:[PERIODO Imp.]],BX$9)</f>
        <v>0</v>
      </c>
      <c r="BY389" s="693">
        <f>SUMIFS(Imput[[Importe Neto]:[Importe Neto]],Imput[[C. Imp.]:[C. Imp.]],$D389,Imput[[PERIODO Imp.]:[PERIODO Imp.]],BY$9)</f>
        <v>0</v>
      </c>
      <c r="BZ389" s="693">
        <f>SUMIFS(Imput[[Importe Neto]:[Importe Neto]],Imput[[C. Imp.]:[C. Imp.]],$D389,Imput[[PERIODO Imp.]:[PERIODO Imp.]],BZ$9)</f>
        <v>0</v>
      </c>
      <c r="CA389" s="693">
        <f>SUMIFS(Imput[[Importe Neto]:[Importe Neto]],Imput[[C. Imp.]:[C. Imp.]],$D389,Imput[[PERIODO Imp.]:[PERIODO Imp.]],CA$9)</f>
        <v>0</v>
      </c>
      <c r="CB389" s="693">
        <f>SUMIFS(Imput[[Importe Neto]:[Importe Neto]],Imput[[C. Imp.]:[C. Imp.]],$D389,Imput[[PERIODO Imp.]:[PERIODO Imp.]],CB$9)</f>
        <v>0</v>
      </c>
      <c r="CC389" s="693">
        <f>SUMIFS(Imput[[Importe Neto]:[Importe Neto]],Imput[[C. Imp.]:[C. Imp.]],$D389,Imput[[PERIODO Imp.]:[PERIODO Imp.]],CC$9)</f>
        <v>0</v>
      </c>
      <c r="CD389" s="693">
        <f>SUMIFS(Imput[[Importe Neto]:[Importe Neto]],Imput[[C. Imp.]:[C. Imp.]],$D389,Imput[[PERIODO Imp.]:[PERIODO Imp.]],CD$9)</f>
        <v>0</v>
      </c>
      <c r="CE389" s="693">
        <f>SUMIFS(Imput[[Importe Neto]:[Importe Neto]],Imput[[C. Imp.]:[C. Imp.]],$D389,Imput[[PERIODO Imp.]:[PERIODO Imp.]],CE$9)</f>
        <v>0</v>
      </c>
      <c r="CF389" s="693">
        <f>SUMIFS(Imput[[Importe Neto]:[Importe Neto]],Imput[[C. Imp.]:[C. Imp.]],$D389,Imput[[PERIODO Imp.]:[PERIODO Imp.]],CF$9)</f>
        <v>0</v>
      </c>
      <c r="CG389" s="693">
        <f>SUMIFS(Imput[[Importe Neto]:[Importe Neto]],Imput[[C. Imp.]:[C. Imp.]],$D389,Imput[[PERIODO Imp.]:[PERIODO Imp.]],CG$9)</f>
        <v>0</v>
      </c>
      <c r="CH389" s="693">
        <f>SUMIFS(Imput[[Importe Neto]:[Importe Neto]],Imput[[C. Imp.]:[C. Imp.]],$D389,Imput[[PERIODO Imp.]:[PERIODO Imp.]],CH$9)</f>
        <v>0</v>
      </c>
      <c r="CI389" s="693">
        <f>SUMIFS(Imput[[Importe Neto]:[Importe Neto]],Imput[[C. Imp.]:[C. Imp.]],$D389,Imput[[PERIODO Imp.]:[PERIODO Imp.]],CI$9)</f>
        <v>0</v>
      </c>
      <c r="CJ389" s="693">
        <f>SUMIFS(Imput[[Importe Neto]:[Importe Neto]],Imput[[C. Imp.]:[C. Imp.]],$D389,Imput[[PERIODO Imp.]:[PERIODO Imp.]],CJ$9)</f>
        <v>0</v>
      </c>
      <c r="CK389" s="693">
        <f>SUMIFS(Imput[[Importe Neto]:[Importe Neto]],Imput[[C. Imp.]:[C. Imp.]],$D389,Imput[[PERIODO Imp.]:[PERIODO Imp.]],CK$9)</f>
        <v>0</v>
      </c>
      <c r="CL389" s="693">
        <f>SUMIFS(Imput[[Importe Neto]:[Importe Neto]],Imput[[C. Imp.]:[C. Imp.]],$D389,Imput[[PERIODO Imp.]:[PERIODO Imp.]],CL$9)</f>
        <v>0</v>
      </c>
      <c r="CM389" s="693">
        <f>SUMIFS(Imput[[Importe Neto]:[Importe Neto]],Imput[[C. Imp.]:[C. Imp.]],$D389,Imput[[PERIODO Imp.]:[PERIODO Imp.]],CM$9)</f>
        <v>0</v>
      </c>
      <c r="CN389" s="693">
        <f>SUMIFS(Imput[[Importe Neto]:[Importe Neto]],Imput[[C. Imp.]:[C. Imp.]],$D389,Imput[[PERIODO Imp.]:[PERIODO Imp.]],CN$9)</f>
        <v>0</v>
      </c>
      <c r="CO389" s="693">
        <f>SUMIFS(Imput[[Importe Neto]:[Importe Neto]],Imput[[C. Imp.]:[C. Imp.]],$D389,Imput[[PERIODO Imp.]:[PERIODO Imp.]],CO$9)</f>
        <v>0</v>
      </c>
      <c r="CP389" s="693">
        <f>SUMIFS(Imput[[Importe Neto]:[Importe Neto]],Imput[[C. Imp.]:[C. Imp.]],$D389,Imput[[PERIODO Imp.]:[PERIODO Imp.]],CP$9)</f>
        <v>0</v>
      </c>
      <c r="CQ389" s="693">
        <f>SUMIFS(Imput[[Importe Neto]:[Importe Neto]],Imput[[C. Imp.]:[C. Imp.]],$D389,Imput[[PERIODO Imp.]:[PERIODO Imp.]],CQ$9)</f>
        <v>0</v>
      </c>
      <c r="CR389" s="693">
        <f>SUMIFS(Imput[[Importe Neto]:[Importe Neto]],Imput[[C. Imp.]:[C. Imp.]],$D389,Imput[[PERIODO Imp.]:[PERIODO Imp.]],CR$9)</f>
        <v>0</v>
      </c>
      <c r="CS389" s="693">
        <f>SUMIFS(Imput[[Importe Neto]:[Importe Neto]],Imput[[C. Imp.]:[C. Imp.]],$D389,Imput[[PERIODO Imp.]:[PERIODO Imp.]],CS$9)</f>
        <v>0</v>
      </c>
      <c r="CT389" s="693">
        <f>SUMIFS(Imput[[Importe Neto]:[Importe Neto]],Imput[[C. Imp.]:[C. Imp.]],$D389,Imput[[PERIODO Imp.]:[PERIODO Imp.]],CT$9)</f>
        <v>0</v>
      </c>
      <c r="CU389" s="693">
        <f>SUMIFS(Imput[[Importe Neto]:[Importe Neto]],Imput[[C. Imp.]:[C. Imp.]],$D389,Imput[[PERIODO Imp.]:[PERIODO Imp.]],CU$9)</f>
        <v>0</v>
      </c>
      <c r="CV389" s="693">
        <f>SUMIFS(Imput[[Importe Neto]:[Importe Neto]],Imput[[C. Imp.]:[C. Imp.]],$D389,Imput[[PERIODO Imp.]:[PERIODO Imp.]],CV$9)</f>
        <v>0</v>
      </c>
      <c r="CW389" s="693">
        <f>SUMIFS(Imput[[Importe Neto]:[Importe Neto]],Imput[[C. Imp.]:[C. Imp.]],$D389,Imput[[PERIODO Imp.]:[PERIODO Imp.]],CW$9)</f>
        <v>0</v>
      </c>
      <c r="CX389" s="693">
        <f>SUMIFS(Imput[[Importe Neto]:[Importe Neto]],Imput[[C. Imp.]:[C. Imp.]],$D389,Imput[[PERIODO Imp.]:[PERIODO Imp.]],CX$9)</f>
        <v>0</v>
      </c>
      <c r="CY389" s="693">
        <f>SUMIFS(Imput[[Importe Neto]:[Importe Neto]],Imput[[C. Imp.]:[C. Imp.]],$D389,Imput[[PERIODO Imp.]:[PERIODO Imp.]],CY$9)</f>
        <v>0</v>
      </c>
      <c r="CZ389" s="693">
        <f>SUMIFS(Imput[[Importe Neto]:[Importe Neto]],Imput[[C. Imp.]:[C. Imp.]],$D389,Imput[[PERIODO Imp.]:[PERIODO Imp.]],CZ$9)</f>
        <v>0</v>
      </c>
      <c r="DA389" s="693">
        <f>SUMIFS(Imput[[Importe Neto]:[Importe Neto]],Imput[[C. Imp.]:[C. Imp.]],$D389,Imput[[PERIODO Imp.]:[PERIODO Imp.]],DA$9)</f>
        <v>0</v>
      </c>
      <c r="DB389" s="693">
        <f>SUMIFS(Imput[[Importe Neto]:[Importe Neto]],Imput[[C. Imp.]:[C. Imp.]],$D389,Imput[[PERIODO Imp.]:[PERIODO Imp.]],DB$9)</f>
        <v>0</v>
      </c>
      <c r="DC389" s="693">
        <f>SUMIFS(Imput[[Importe Neto]:[Importe Neto]],Imput[[C. Imp.]:[C. Imp.]],$D389,Imput[[PERIODO Imp.]:[PERIODO Imp.]],DC$9)</f>
        <v>0</v>
      </c>
      <c r="DD389" s="693">
        <f>SUMIFS(Imput[[Importe Neto]:[Importe Neto]],Imput[[C. Imp.]:[C. Imp.]],$D389,Imput[[PERIODO Imp.]:[PERIODO Imp.]],DD$9)</f>
        <v>0</v>
      </c>
      <c r="DE389" s="693">
        <f>SUMIFS(Imput[[Importe Neto]:[Importe Neto]],Imput[[C. Imp.]:[C. Imp.]],$D389,Imput[[PERIODO Imp.]:[PERIODO Imp.]],DE$9)</f>
        <v>0</v>
      </c>
      <c r="DF389" s="693">
        <f>SUMIFS(Imput[[Importe Neto]:[Importe Neto]],Imput[[C. Imp.]:[C. Imp.]],$D389,Imput[[PERIODO Imp.]:[PERIODO Imp.]],DF$9)</f>
        <v>0</v>
      </c>
      <c r="DG389" s="693">
        <f>SUMIFS(Imput[[Importe Neto]:[Importe Neto]],Imput[[C. Imp.]:[C. Imp.]],$D389,Imput[[PERIODO Imp.]:[PERIODO Imp.]],DG$9)</f>
        <v>0</v>
      </c>
      <c r="DH389" s="694">
        <f>SUMIFS(Imput[[Importe Neto]:[Importe Neto]],Imput[[C. Imp.]:[C. Imp.]],$D389,Imput[[PERIODO Imp.]:[PERIODO Imp.]],DH$9)</f>
        <v>0</v>
      </c>
    </row>
    <row r="390" spans="1:112" s="649" customFormat="1" hidden="1" outlineLevel="1" x14ac:dyDescent="0.3">
      <c r="A390" s="652" t="str">
        <f t="shared" si="154"/>
        <v/>
      </c>
      <c r="B390" s="652"/>
      <c r="C390" s="685"/>
      <c r="D390" s="686" t="s">
        <v>2450</v>
      </c>
      <c r="E390" s="686"/>
      <c r="F390" s="720"/>
      <c r="G390" s="688"/>
      <c r="H390" s="689"/>
      <c r="I390" s="851" t="str">
        <f t="shared" si="155"/>
        <v/>
      </c>
      <c r="J390" s="850" t="str">
        <f t="shared" si="156"/>
        <v/>
      </c>
      <c r="K390" s="667"/>
      <c r="L390" s="858"/>
      <c r="M390" s="859"/>
      <c r="N390" s="859"/>
      <c r="O390" s="859"/>
      <c r="P390" s="859"/>
      <c r="Q390" s="859"/>
      <c r="R390" s="859"/>
      <c r="S390" s="859"/>
      <c r="T390" s="859"/>
      <c r="U390" s="859"/>
      <c r="V390" s="859"/>
      <c r="W390" s="859"/>
      <c r="X390" s="859"/>
      <c r="Y390" s="859"/>
      <c r="Z390" s="860"/>
      <c r="AA390" s="860"/>
      <c r="AB390" s="860"/>
      <c r="AC390" s="860"/>
      <c r="AD390" s="860"/>
      <c r="AE390" s="860"/>
      <c r="AF390" s="860"/>
      <c r="AG390" s="860"/>
      <c r="AH390" s="860"/>
      <c r="AI390" s="860"/>
      <c r="AJ390" s="860"/>
      <c r="AK390" s="860"/>
      <c r="AL390" s="860"/>
      <c r="AM390" s="860"/>
      <c r="AN390" s="860"/>
      <c r="AO390" s="860"/>
      <c r="AP390" s="860"/>
      <c r="AQ390" s="860"/>
      <c r="AR390" s="860"/>
      <c r="AS390" s="860"/>
      <c r="AT390" s="860"/>
      <c r="AU390" s="860"/>
      <c r="AV390" s="860"/>
      <c r="AW390" s="860"/>
      <c r="AX390" s="860"/>
      <c r="AY390" s="860"/>
      <c r="AZ390" s="860"/>
      <c r="BA390" s="860"/>
      <c r="BB390" s="860"/>
      <c r="BC390" s="860"/>
      <c r="BD390" s="860"/>
      <c r="BE390" s="860"/>
      <c r="BF390" s="860"/>
      <c r="BG390" s="860"/>
      <c r="BH390" s="668"/>
      <c r="BI390" s="667"/>
      <c r="BJ390" s="690">
        <f t="shared" si="157"/>
        <v>0</v>
      </c>
      <c r="BK390" s="691">
        <f t="shared" si="158"/>
        <v>0</v>
      </c>
      <c r="BL390" s="654"/>
      <c r="BM390" s="692">
        <f>SUMIFS(Imput[[Importe Neto]:[Importe Neto]],Imput[[C. Imp.]:[C. Imp.]],$D390,Imput[[PERIODO Imp.]:[PERIODO Imp.]],BM$9)</f>
        <v>0</v>
      </c>
      <c r="BN390" s="693">
        <f>SUMIFS(Imput[[Importe Neto]:[Importe Neto]],Imput[[C. Imp.]:[C. Imp.]],$D390,Imput[[PERIODO Imp.]:[PERIODO Imp.]],BN$9)</f>
        <v>0</v>
      </c>
      <c r="BO390" s="693">
        <f>SUMIFS(Imput[[Importe Neto]:[Importe Neto]],Imput[[C. Imp.]:[C. Imp.]],$D390,Imput[[PERIODO Imp.]:[PERIODO Imp.]],BO$9)</f>
        <v>0</v>
      </c>
      <c r="BP390" s="693">
        <f>SUMIFS(Imput[[Importe Neto]:[Importe Neto]],Imput[[C. Imp.]:[C. Imp.]],$D390,Imput[[PERIODO Imp.]:[PERIODO Imp.]],BP$9)</f>
        <v>0</v>
      </c>
      <c r="BQ390" s="693">
        <f>SUMIFS(Imput[[Importe Neto]:[Importe Neto]],Imput[[C. Imp.]:[C. Imp.]],$D390,Imput[[PERIODO Imp.]:[PERIODO Imp.]],BQ$9)</f>
        <v>0</v>
      </c>
      <c r="BR390" s="693">
        <f>SUMIFS(Imput[[Importe Neto]:[Importe Neto]],Imput[[C. Imp.]:[C. Imp.]],$D390,Imput[[PERIODO Imp.]:[PERIODO Imp.]],BR$9)</f>
        <v>0</v>
      </c>
      <c r="BS390" s="693">
        <f>SUMIFS(Imput[[Importe Neto]:[Importe Neto]],Imput[[C. Imp.]:[C. Imp.]],$D390,Imput[[PERIODO Imp.]:[PERIODO Imp.]],BS$9)</f>
        <v>0</v>
      </c>
      <c r="BT390" s="693">
        <f>SUMIFS(Imput[[Importe Neto]:[Importe Neto]],Imput[[C. Imp.]:[C. Imp.]],$D390,Imput[[PERIODO Imp.]:[PERIODO Imp.]],BT$9)</f>
        <v>0</v>
      </c>
      <c r="BU390" s="693">
        <f>SUMIFS(Imput[[Importe Neto]:[Importe Neto]],Imput[[C. Imp.]:[C. Imp.]],$D390,Imput[[PERIODO Imp.]:[PERIODO Imp.]],BU$9)</f>
        <v>0</v>
      </c>
      <c r="BV390" s="693">
        <f>SUMIFS(Imput[[Importe Neto]:[Importe Neto]],Imput[[C. Imp.]:[C. Imp.]],$D390,Imput[[PERIODO Imp.]:[PERIODO Imp.]],BV$9)</f>
        <v>0</v>
      </c>
      <c r="BW390" s="693">
        <f>SUMIFS(Imput[[Importe Neto]:[Importe Neto]],Imput[[C. Imp.]:[C. Imp.]],$D390,Imput[[PERIODO Imp.]:[PERIODO Imp.]],BW$9)</f>
        <v>0</v>
      </c>
      <c r="BX390" s="693">
        <f>SUMIFS(Imput[[Importe Neto]:[Importe Neto]],Imput[[C. Imp.]:[C. Imp.]],$D390,Imput[[PERIODO Imp.]:[PERIODO Imp.]],BX$9)</f>
        <v>0</v>
      </c>
      <c r="BY390" s="693">
        <f>SUMIFS(Imput[[Importe Neto]:[Importe Neto]],Imput[[C. Imp.]:[C. Imp.]],$D390,Imput[[PERIODO Imp.]:[PERIODO Imp.]],BY$9)</f>
        <v>0</v>
      </c>
      <c r="BZ390" s="693">
        <f>SUMIFS(Imput[[Importe Neto]:[Importe Neto]],Imput[[C. Imp.]:[C. Imp.]],$D390,Imput[[PERIODO Imp.]:[PERIODO Imp.]],BZ$9)</f>
        <v>0</v>
      </c>
      <c r="CA390" s="693">
        <f>SUMIFS(Imput[[Importe Neto]:[Importe Neto]],Imput[[C. Imp.]:[C. Imp.]],$D390,Imput[[PERIODO Imp.]:[PERIODO Imp.]],CA$9)</f>
        <v>0</v>
      </c>
      <c r="CB390" s="693">
        <f>SUMIFS(Imput[[Importe Neto]:[Importe Neto]],Imput[[C. Imp.]:[C. Imp.]],$D390,Imput[[PERIODO Imp.]:[PERIODO Imp.]],CB$9)</f>
        <v>0</v>
      </c>
      <c r="CC390" s="693">
        <f>SUMIFS(Imput[[Importe Neto]:[Importe Neto]],Imput[[C. Imp.]:[C. Imp.]],$D390,Imput[[PERIODO Imp.]:[PERIODO Imp.]],CC$9)</f>
        <v>0</v>
      </c>
      <c r="CD390" s="693">
        <f>SUMIFS(Imput[[Importe Neto]:[Importe Neto]],Imput[[C. Imp.]:[C. Imp.]],$D390,Imput[[PERIODO Imp.]:[PERIODO Imp.]],CD$9)</f>
        <v>0</v>
      </c>
      <c r="CE390" s="693">
        <f>SUMIFS(Imput[[Importe Neto]:[Importe Neto]],Imput[[C. Imp.]:[C. Imp.]],$D390,Imput[[PERIODO Imp.]:[PERIODO Imp.]],CE$9)</f>
        <v>0</v>
      </c>
      <c r="CF390" s="693">
        <f>SUMIFS(Imput[[Importe Neto]:[Importe Neto]],Imput[[C. Imp.]:[C. Imp.]],$D390,Imput[[PERIODO Imp.]:[PERIODO Imp.]],CF$9)</f>
        <v>0</v>
      </c>
      <c r="CG390" s="693">
        <f>SUMIFS(Imput[[Importe Neto]:[Importe Neto]],Imput[[C. Imp.]:[C. Imp.]],$D390,Imput[[PERIODO Imp.]:[PERIODO Imp.]],CG$9)</f>
        <v>0</v>
      </c>
      <c r="CH390" s="693">
        <f>SUMIFS(Imput[[Importe Neto]:[Importe Neto]],Imput[[C. Imp.]:[C. Imp.]],$D390,Imput[[PERIODO Imp.]:[PERIODO Imp.]],CH$9)</f>
        <v>0</v>
      </c>
      <c r="CI390" s="693">
        <f>SUMIFS(Imput[[Importe Neto]:[Importe Neto]],Imput[[C. Imp.]:[C. Imp.]],$D390,Imput[[PERIODO Imp.]:[PERIODO Imp.]],CI$9)</f>
        <v>0</v>
      </c>
      <c r="CJ390" s="693">
        <f>SUMIFS(Imput[[Importe Neto]:[Importe Neto]],Imput[[C. Imp.]:[C. Imp.]],$D390,Imput[[PERIODO Imp.]:[PERIODO Imp.]],CJ$9)</f>
        <v>0</v>
      </c>
      <c r="CK390" s="693">
        <f>SUMIFS(Imput[[Importe Neto]:[Importe Neto]],Imput[[C. Imp.]:[C. Imp.]],$D390,Imput[[PERIODO Imp.]:[PERIODO Imp.]],CK$9)</f>
        <v>0</v>
      </c>
      <c r="CL390" s="693">
        <f>SUMIFS(Imput[[Importe Neto]:[Importe Neto]],Imput[[C. Imp.]:[C. Imp.]],$D390,Imput[[PERIODO Imp.]:[PERIODO Imp.]],CL$9)</f>
        <v>0</v>
      </c>
      <c r="CM390" s="693">
        <f>SUMIFS(Imput[[Importe Neto]:[Importe Neto]],Imput[[C. Imp.]:[C. Imp.]],$D390,Imput[[PERIODO Imp.]:[PERIODO Imp.]],CM$9)</f>
        <v>0</v>
      </c>
      <c r="CN390" s="693">
        <f>SUMIFS(Imput[[Importe Neto]:[Importe Neto]],Imput[[C. Imp.]:[C. Imp.]],$D390,Imput[[PERIODO Imp.]:[PERIODO Imp.]],CN$9)</f>
        <v>0</v>
      </c>
      <c r="CO390" s="693">
        <f>SUMIFS(Imput[[Importe Neto]:[Importe Neto]],Imput[[C. Imp.]:[C. Imp.]],$D390,Imput[[PERIODO Imp.]:[PERIODO Imp.]],CO$9)</f>
        <v>0</v>
      </c>
      <c r="CP390" s="693">
        <f>SUMIFS(Imput[[Importe Neto]:[Importe Neto]],Imput[[C. Imp.]:[C. Imp.]],$D390,Imput[[PERIODO Imp.]:[PERIODO Imp.]],CP$9)</f>
        <v>0</v>
      </c>
      <c r="CQ390" s="693">
        <f>SUMIFS(Imput[[Importe Neto]:[Importe Neto]],Imput[[C. Imp.]:[C. Imp.]],$D390,Imput[[PERIODO Imp.]:[PERIODO Imp.]],CQ$9)</f>
        <v>0</v>
      </c>
      <c r="CR390" s="693">
        <f>SUMIFS(Imput[[Importe Neto]:[Importe Neto]],Imput[[C. Imp.]:[C. Imp.]],$D390,Imput[[PERIODO Imp.]:[PERIODO Imp.]],CR$9)</f>
        <v>0</v>
      </c>
      <c r="CS390" s="693">
        <f>SUMIFS(Imput[[Importe Neto]:[Importe Neto]],Imput[[C. Imp.]:[C. Imp.]],$D390,Imput[[PERIODO Imp.]:[PERIODO Imp.]],CS$9)</f>
        <v>0</v>
      </c>
      <c r="CT390" s="693">
        <f>SUMIFS(Imput[[Importe Neto]:[Importe Neto]],Imput[[C. Imp.]:[C. Imp.]],$D390,Imput[[PERIODO Imp.]:[PERIODO Imp.]],CT$9)</f>
        <v>0</v>
      </c>
      <c r="CU390" s="693">
        <f>SUMIFS(Imput[[Importe Neto]:[Importe Neto]],Imput[[C. Imp.]:[C. Imp.]],$D390,Imput[[PERIODO Imp.]:[PERIODO Imp.]],CU$9)</f>
        <v>0</v>
      </c>
      <c r="CV390" s="693">
        <f>SUMIFS(Imput[[Importe Neto]:[Importe Neto]],Imput[[C. Imp.]:[C. Imp.]],$D390,Imput[[PERIODO Imp.]:[PERIODO Imp.]],CV$9)</f>
        <v>0</v>
      </c>
      <c r="CW390" s="693">
        <f>SUMIFS(Imput[[Importe Neto]:[Importe Neto]],Imput[[C. Imp.]:[C. Imp.]],$D390,Imput[[PERIODO Imp.]:[PERIODO Imp.]],CW$9)</f>
        <v>0</v>
      </c>
      <c r="CX390" s="693">
        <f>SUMIFS(Imput[[Importe Neto]:[Importe Neto]],Imput[[C. Imp.]:[C. Imp.]],$D390,Imput[[PERIODO Imp.]:[PERIODO Imp.]],CX$9)</f>
        <v>0</v>
      </c>
      <c r="CY390" s="693">
        <f>SUMIFS(Imput[[Importe Neto]:[Importe Neto]],Imput[[C. Imp.]:[C. Imp.]],$D390,Imput[[PERIODO Imp.]:[PERIODO Imp.]],CY$9)</f>
        <v>0</v>
      </c>
      <c r="CZ390" s="693">
        <f>SUMIFS(Imput[[Importe Neto]:[Importe Neto]],Imput[[C. Imp.]:[C. Imp.]],$D390,Imput[[PERIODO Imp.]:[PERIODO Imp.]],CZ$9)</f>
        <v>0</v>
      </c>
      <c r="DA390" s="693">
        <f>SUMIFS(Imput[[Importe Neto]:[Importe Neto]],Imput[[C. Imp.]:[C. Imp.]],$D390,Imput[[PERIODO Imp.]:[PERIODO Imp.]],DA$9)</f>
        <v>0</v>
      </c>
      <c r="DB390" s="693">
        <f>SUMIFS(Imput[[Importe Neto]:[Importe Neto]],Imput[[C. Imp.]:[C. Imp.]],$D390,Imput[[PERIODO Imp.]:[PERIODO Imp.]],DB$9)</f>
        <v>0</v>
      </c>
      <c r="DC390" s="693">
        <f>SUMIFS(Imput[[Importe Neto]:[Importe Neto]],Imput[[C. Imp.]:[C. Imp.]],$D390,Imput[[PERIODO Imp.]:[PERIODO Imp.]],DC$9)</f>
        <v>0</v>
      </c>
      <c r="DD390" s="693">
        <f>SUMIFS(Imput[[Importe Neto]:[Importe Neto]],Imput[[C. Imp.]:[C. Imp.]],$D390,Imput[[PERIODO Imp.]:[PERIODO Imp.]],DD$9)</f>
        <v>0</v>
      </c>
      <c r="DE390" s="693">
        <f>SUMIFS(Imput[[Importe Neto]:[Importe Neto]],Imput[[C. Imp.]:[C. Imp.]],$D390,Imput[[PERIODO Imp.]:[PERIODO Imp.]],DE$9)</f>
        <v>0</v>
      </c>
      <c r="DF390" s="693">
        <f>SUMIFS(Imput[[Importe Neto]:[Importe Neto]],Imput[[C. Imp.]:[C. Imp.]],$D390,Imput[[PERIODO Imp.]:[PERIODO Imp.]],DF$9)</f>
        <v>0</v>
      </c>
      <c r="DG390" s="693">
        <f>SUMIFS(Imput[[Importe Neto]:[Importe Neto]],Imput[[C. Imp.]:[C. Imp.]],$D390,Imput[[PERIODO Imp.]:[PERIODO Imp.]],DG$9)</f>
        <v>0</v>
      </c>
      <c r="DH390" s="694">
        <f>SUMIFS(Imput[[Importe Neto]:[Importe Neto]],Imput[[C. Imp.]:[C. Imp.]],$D390,Imput[[PERIODO Imp.]:[PERIODO Imp.]],DH$9)</f>
        <v>0</v>
      </c>
    </row>
    <row r="391" spans="1:112" s="649" customFormat="1" hidden="1" outlineLevel="1" x14ac:dyDescent="0.3">
      <c r="A391" s="652" t="str">
        <f t="shared" si="154"/>
        <v/>
      </c>
      <c r="B391" s="652"/>
      <c r="C391" s="685"/>
      <c r="D391" s="686" t="s">
        <v>2451</v>
      </c>
      <c r="E391" s="686"/>
      <c r="F391" s="720"/>
      <c r="G391" s="688"/>
      <c r="H391" s="689"/>
      <c r="I391" s="851" t="str">
        <f t="shared" si="155"/>
        <v/>
      </c>
      <c r="J391" s="850" t="str">
        <f t="shared" si="156"/>
        <v/>
      </c>
      <c r="K391" s="667"/>
      <c r="L391" s="858"/>
      <c r="M391" s="859"/>
      <c r="N391" s="859"/>
      <c r="O391" s="859"/>
      <c r="P391" s="859"/>
      <c r="Q391" s="859"/>
      <c r="R391" s="859"/>
      <c r="S391" s="859"/>
      <c r="T391" s="859"/>
      <c r="U391" s="859"/>
      <c r="V391" s="859"/>
      <c r="W391" s="859"/>
      <c r="X391" s="859"/>
      <c r="Y391" s="859"/>
      <c r="Z391" s="860"/>
      <c r="AA391" s="860"/>
      <c r="AB391" s="860"/>
      <c r="AC391" s="860"/>
      <c r="AD391" s="860"/>
      <c r="AE391" s="860"/>
      <c r="AF391" s="860"/>
      <c r="AG391" s="860"/>
      <c r="AH391" s="860"/>
      <c r="AI391" s="860"/>
      <c r="AJ391" s="860"/>
      <c r="AK391" s="860"/>
      <c r="AL391" s="860"/>
      <c r="AM391" s="860"/>
      <c r="AN391" s="860"/>
      <c r="AO391" s="860"/>
      <c r="AP391" s="860"/>
      <c r="AQ391" s="860"/>
      <c r="AR391" s="860"/>
      <c r="AS391" s="860"/>
      <c r="AT391" s="860"/>
      <c r="AU391" s="860"/>
      <c r="AV391" s="860"/>
      <c r="AW391" s="860"/>
      <c r="AX391" s="860"/>
      <c r="AY391" s="860"/>
      <c r="AZ391" s="860"/>
      <c r="BA391" s="860"/>
      <c r="BB391" s="860"/>
      <c r="BC391" s="860"/>
      <c r="BD391" s="860"/>
      <c r="BE391" s="860"/>
      <c r="BF391" s="860"/>
      <c r="BG391" s="860"/>
      <c r="BH391" s="668"/>
      <c r="BI391" s="667"/>
      <c r="BJ391" s="690">
        <f t="shared" si="157"/>
        <v>0</v>
      </c>
      <c r="BK391" s="691">
        <f t="shared" si="158"/>
        <v>0</v>
      </c>
      <c r="BL391" s="654"/>
      <c r="BM391" s="692">
        <f>SUMIFS(Imput[[Importe Neto]:[Importe Neto]],Imput[[C. Imp.]:[C. Imp.]],$D391,Imput[[PERIODO Imp.]:[PERIODO Imp.]],BM$9)</f>
        <v>0</v>
      </c>
      <c r="BN391" s="693">
        <f>SUMIFS(Imput[[Importe Neto]:[Importe Neto]],Imput[[C. Imp.]:[C. Imp.]],$D391,Imput[[PERIODO Imp.]:[PERIODO Imp.]],BN$9)</f>
        <v>0</v>
      </c>
      <c r="BO391" s="693">
        <f>SUMIFS(Imput[[Importe Neto]:[Importe Neto]],Imput[[C. Imp.]:[C. Imp.]],$D391,Imput[[PERIODO Imp.]:[PERIODO Imp.]],BO$9)</f>
        <v>0</v>
      </c>
      <c r="BP391" s="693">
        <f>SUMIFS(Imput[[Importe Neto]:[Importe Neto]],Imput[[C. Imp.]:[C. Imp.]],$D391,Imput[[PERIODO Imp.]:[PERIODO Imp.]],BP$9)</f>
        <v>0</v>
      </c>
      <c r="BQ391" s="693">
        <f>SUMIFS(Imput[[Importe Neto]:[Importe Neto]],Imput[[C. Imp.]:[C. Imp.]],$D391,Imput[[PERIODO Imp.]:[PERIODO Imp.]],BQ$9)</f>
        <v>0</v>
      </c>
      <c r="BR391" s="693">
        <f>SUMIFS(Imput[[Importe Neto]:[Importe Neto]],Imput[[C. Imp.]:[C. Imp.]],$D391,Imput[[PERIODO Imp.]:[PERIODO Imp.]],BR$9)</f>
        <v>0</v>
      </c>
      <c r="BS391" s="693">
        <f>SUMIFS(Imput[[Importe Neto]:[Importe Neto]],Imput[[C. Imp.]:[C. Imp.]],$D391,Imput[[PERIODO Imp.]:[PERIODO Imp.]],BS$9)</f>
        <v>0</v>
      </c>
      <c r="BT391" s="693">
        <f>SUMIFS(Imput[[Importe Neto]:[Importe Neto]],Imput[[C. Imp.]:[C. Imp.]],$D391,Imput[[PERIODO Imp.]:[PERIODO Imp.]],BT$9)</f>
        <v>0</v>
      </c>
      <c r="BU391" s="693">
        <f>SUMIFS(Imput[[Importe Neto]:[Importe Neto]],Imput[[C. Imp.]:[C. Imp.]],$D391,Imput[[PERIODO Imp.]:[PERIODO Imp.]],BU$9)</f>
        <v>0</v>
      </c>
      <c r="BV391" s="693">
        <f>SUMIFS(Imput[[Importe Neto]:[Importe Neto]],Imput[[C. Imp.]:[C. Imp.]],$D391,Imput[[PERIODO Imp.]:[PERIODO Imp.]],BV$9)</f>
        <v>0</v>
      </c>
      <c r="BW391" s="693">
        <f>SUMIFS(Imput[[Importe Neto]:[Importe Neto]],Imput[[C. Imp.]:[C. Imp.]],$D391,Imput[[PERIODO Imp.]:[PERIODO Imp.]],BW$9)</f>
        <v>0</v>
      </c>
      <c r="BX391" s="693">
        <f>SUMIFS(Imput[[Importe Neto]:[Importe Neto]],Imput[[C. Imp.]:[C. Imp.]],$D391,Imput[[PERIODO Imp.]:[PERIODO Imp.]],BX$9)</f>
        <v>0</v>
      </c>
      <c r="BY391" s="693">
        <f>SUMIFS(Imput[[Importe Neto]:[Importe Neto]],Imput[[C. Imp.]:[C. Imp.]],$D391,Imput[[PERIODO Imp.]:[PERIODO Imp.]],BY$9)</f>
        <v>0</v>
      </c>
      <c r="BZ391" s="693">
        <f>SUMIFS(Imput[[Importe Neto]:[Importe Neto]],Imput[[C. Imp.]:[C. Imp.]],$D391,Imput[[PERIODO Imp.]:[PERIODO Imp.]],BZ$9)</f>
        <v>0</v>
      </c>
      <c r="CA391" s="693">
        <f>SUMIFS(Imput[[Importe Neto]:[Importe Neto]],Imput[[C. Imp.]:[C. Imp.]],$D391,Imput[[PERIODO Imp.]:[PERIODO Imp.]],CA$9)</f>
        <v>0</v>
      </c>
      <c r="CB391" s="693">
        <f>SUMIFS(Imput[[Importe Neto]:[Importe Neto]],Imput[[C. Imp.]:[C. Imp.]],$D391,Imput[[PERIODO Imp.]:[PERIODO Imp.]],CB$9)</f>
        <v>0</v>
      </c>
      <c r="CC391" s="693">
        <f>SUMIFS(Imput[[Importe Neto]:[Importe Neto]],Imput[[C. Imp.]:[C. Imp.]],$D391,Imput[[PERIODO Imp.]:[PERIODO Imp.]],CC$9)</f>
        <v>0</v>
      </c>
      <c r="CD391" s="693">
        <f>SUMIFS(Imput[[Importe Neto]:[Importe Neto]],Imput[[C. Imp.]:[C. Imp.]],$D391,Imput[[PERIODO Imp.]:[PERIODO Imp.]],CD$9)</f>
        <v>0</v>
      </c>
      <c r="CE391" s="693">
        <f>SUMIFS(Imput[[Importe Neto]:[Importe Neto]],Imput[[C. Imp.]:[C. Imp.]],$D391,Imput[[PERIODO Imp.]:[PERIODO Imp.]],CE$9)</f>
        <v>0</v>
      </c>
      <c r="CF391" s="693">
        <f>SUMIFS(Imput[[Importe Neto]:[Importe Neto]],Imput[[C. Imp.]:[C. Imp.]],$D391,Imput[[PERIODO Imp.]:[PERIODO Imp.]],CF$9)</f>
        <v>0</v>
      </c>
      <c r="CG391" s="693">
        <f>SUMIFS(Imput[[Importe Neto]:[Importe Neto]],Imput[[C. Imp.]:[C. Imp.]],$D391,Imput[[PERIODO Imp.]:[PERIODO Imp.]],CG$9)</f>
        <v>0</v>
      </c>
      <c r="CH391" s="693">
        <f>SUMIFS(Imput[[Importe Neto]:[Importe Neto]],Imput[[C. Imp.]:[C. Imp.]],$D391,Imput[[PERIODO Imp.]:[PERIODO Imp.]],CH$9)</f>
        <v>0</v>
      </c>
      <c r="CI391" s="693">
        <f>SUMIFS(Imput[[Importe Neto]:[Importe Neto]],Imput[[C. Imp.]:[C. Imp.]],$D391,Imput[[PERIODO Imp.]:[PERIODO Imp.]],CI$9)</f>
        <v>0</v>
      </c>
      <c r="CJ391" s="693">
        <f>SUMIFS(Imput[[Importe Neto]:[Importe Neto]],Imput[[C. Imp.]:[C. Imp.]],$D391,Imput[[PERIODO Imp.]:[PERIODO Imp.]],CJ$9)</f>
        <v>0</v>
      </c>
      <c r="CK391" s="693">
        <f>SUMIFS(Imput[[Importe Neto]:[Importe Neto]],Imput[[C. Imp.]:[C. Imp.]],$D391,Imput[[PERIODO Imp.]:[PERIODO Imp.]],CK$9)</f>
        <v>0</v>
      </c>
      <c r="CL391" s="693">
        <f>SUMIFS(Imput[[Importe Neto]:[Importe Neto]],Imput[[C. Imp.]:[C. Imp.]],$D391,Imput[[PERIODO Imp.]:[PERIODO Imp.]],CL$9)</f>
        <v>0</v>
      </c>
      <c r="CM391" s="693">
        <f>SUMIFS(Imput[[Importe Neto]:[Importe Neto]],Imput[[C. Imp.]:[C. Imp.]],$D391,Imput[[PERIODO Imp.]:[PERIODO Imp.]],CM$9)</f>
        <v>0</v>
      </c>
      <c r="CN391" s="693">
        <f>SUMIFS(Imput[[Importe Neto]:[Importe Neto]],Imput[[C. Imp.]:[C. Imp.]],$D391,Imput[[PERIODO Imp.]:[PERIODO Imp.]],CN$9)</f>
        <v>0</v>
      </c>
      <c r="CO391" s="693">
        <f>SUMIFS(Imput[[Importe Neto]:[Importe Neto]],Imput[[C. Imp.]:[C. Imp.]],$D391,Imput[[PERIODO Imp.]:[PERIODO Imp.]],CO$9)</f>
        <v>0</v>
      </c>
      <c r="CP391" s="693">
        <f>SUMIFS(Imput[[Importe Neto]:[Importe Neto]],Imput[[C. Imp.]:[C. Imp.]],$D391,Imput[[PERIODO Imp.]:[PERIODO Imp.]],CP$9)</f>
        <v>0</v>
      </c>
      <c r="CQ391" s="693">
        <f>SUMIFS(Imput[[Importe Neto]:[Importe Neto]],Imput[[C. Imp.]:[C. Imp.]],$D391,Imput[[PERIODO Imp.]:[PERIODO Imp.]],CQ$9)</f>
        <v>0</v>
      </c>
      <c r="CR391" s="693">
        <f>SUMIFS(Imput[[Importe Neto]:[Importe Neto]],Imput[[C. Imp.]:[C. Imp.]],$D391,Imput[[PERIODO Imp.]:[PERIODO Imp.]],CR$9)</f>
        <v>0</v>
      </c>
      <c r="CS391" s="693">
        <f>SUMIFS(Imput[[Importe Neto]:[Importe Neto]],Imput[[C. Imp.]:[C. Imp.]],$D391,Imput[[PERIODO Imp.]:[PERIODO Imp.]],CS$9)</f>
        <v>0</v>
      </c>
      <c r="CT391" s="693">
        <f>SUMIFS(Imput[[Importe Neto]:[Importe Neto]],Imput[[C. Imp.]:[C. Imp.]],$D391,Imput[[PERIODO Imp.]:[PERIODO Imp.]],CT$9)</f>
        <v>0</v>
      </c>
      <c r="CU391" s="693">
        <f>SUMIFS(Imput[[Importe Neto]:[Importe Neto]],Imput[[C. Imp.]:[C. Imp.]],$D391,Imput[[PERIODO Imp.]:[PERIODO Imp.]],CU$9)</f>
        <v>0</v>
      </c>
      <c r="CV391" s="693">
        <f>SUMIFS(Imput[[Importe Neto]:[Importe Neto]],Imput[[C. Imp.]:[C. Imp.]],$D391,Imput[[PERIODO Imp.]:[PERIODO Imp.]],CV$9)</f>
        <v>0</v>
      </c>
      <c r="CW391" s="693">
        <f>SUMIFS(Imput[[Importe Neto]:[Importe Neto]],Imput[[C. Imp.]:[C. Imp.]],$D391,Imput[[PERIODO Imp.]:[PERIODO Imp.]],CW$9)</f>
        <v>0</v>
      </c>
      <c r="CX391" s="693">
        <f>SUMIFS(Imput[[Importe Neto]:[Importe Neto]],Imput[[C. Imp.]:[C. Imp.]],$D391,Imput[[PERIODO Imp.]:[PERIODO Imp.]],CX$9)</f>
        <v>0</v>
      </c>
      <c r="CY391" s="693">
        <f>SUMIFS(Imput[[Importe Neto]:[Importe Neto]],Imput[[C. Imp.]:[C. Imp.]],$D391,Imput[[PERIODO Imp.]:[PERIODO Imp.]],CY$9)</f>
        <v>0</v>
      </c>
      <c r="CZ391" s="693">
        <f>SUMIFS(Imput[[Importe Neto]:[Importe Neto]],Imput[[C. Imp.]:[C. Imp.]],$D391,Imput[[PERIODO Imp.]:[PERIODO Imp.]],CZ$9)</f>
        <v>0</v>
      </c>
      <c r="DA391" s="693">
        <f>SUMIFS(Imput[[Importe Neto]:[Importe Neto]],Imput[[C. Imp.]:[C. Imp.]],$D391,Imput[[PERIODO Imp.]:[PERIODO Imp.]],DA$9)</f>
        <v>0</v>
      </c>
      <c r="DB391" s="693">
        <f>SUMIFS(Imput[[Importe Neto]:[Importe Neto]],Imput[[C. Imp.]:[C. Imp.]],$D391,Imput[[PERIODO Imp.]:[PERIODO Imp.]],DB$9)</f>
        <v>0</v>
      </c>
      <c r="DC391" s="693">
        <f>SUMIFS(Imput[[Importe Neto]:[Importe Neto]],Imput[[C. Imp.]:[C. Imp.]],$D391,Imput[[PERIODO Imp.]:[PERIODO Imp.]],DC$9)</f>
        <v>0</v>
      </c>
      <c r="DD391" s="693">
        <f>SUMIFS(Imput[[Importe Neto]:[Importe Neto]],Imput[[C. Imp.]:[C. Imp.]],$D391,Imput[[PERIODO Imp.]:[PERIODO Imp.]],DD$9)</f>
        <v>0</v>
      </c>
      <c r="DE391" s="693">
        <f>SUMIFS(Imput[[Importe Neto]:[Importe Neto]],Imput[[C. Imp.]:[C. Imp.]],$D391,Imput[[PERIODO Imp.]:[PERIODO Imp.]],DE$9)</f>
        <v>0</v>
      </c>
      <c r="DF391" s="693">
        <f>SUMIFS(Imput[[Importe Neto]:[Importe Neto]],Imput[[C. Imp.]:[C. Imp.]],$D391,Imput[[PERIODO Imp.]:[PERIODO Imp.]],DF$9)</f>
        <v>0</v>
      </c>
      <c r="DG391" s="693">
        <f>SUMIFS(Imput[[Importe Neto]:[Importe Neto]],Imput[[C. Imp.]:[C. Imp.]],$D391,Imput[[PERIODO Imp.]:[PERIODO Imp.]],DG$9)</f>
        <v>0</v>
      </c>
      <c r="DH391" s="694">
        <f>SUMIFS(Imput[[Importe Neto]:[Importe Neto]],Imput[[C. Imp.]:[C. Imp.]],$D391,Imput[[PERIODO Imp.]:[PERIODO Imp.]],DH$9)</f>
        <v>0</v>
      </c>
    </row>
    <row r="392" spans="1:112" s="649" customFormat="1" hidden="1" outlineLevel="1" x14ac:dyDescent="0.3">
      <c r="A392" s="652" t="str">
        <f t="shared" si="154"/>
        <v/>
      </c>
      <c r="B392" s="652"/>
      <c r="C392" s="685"/>
      <c r="D392" s="686" t="s">
        <v>2452</v>
      </c>
      <c r="E392" s="686"/>
      <c r="F392" s="720"/>
      <c r="G392" s="688"/>
      <c r="H392" s="689"/>
      <c r="I392" s="851" t="str">
        <f t="shared" ref="I392:I408" si="159">IF(E392&gt;0,$J$5,"")</f>
        <v/>
      </c>
      <c r="J392" s="850" t="str">
        <f t="shared" si="156"/>
        <v/>
      </c>
      <c r="K392" s="667"/>
      <c r="L392" s="858"/>
      <c r="M392" s="859"/>
      <c r="N392" s="859"/>
      <c r="O392" s="859"/>
      <c r="P392" s="859"/>
      <c r="Q392" s="859"/>
      <c r="R392" s="859"/>
      <c r="S392" s="859"/>
      <c r="T392" s="859"/>
      <c r="U392" s="859"/>
      <c r="V392" s="859"/>
      <c r="W392" s="859"/>
      <c r="X392" s="859"/>
      <c r="Y392" s="859"/>
      <c r="Z392" s="860"/>
      <c r="AA392" s="860"/>
      <c r="AB392" s="860"/>
      <c r="AC392" s="860"/>
      <c r="AD392" s="860"/>
      <c r="AE392" s="860"/>
      <c r="AF392" s="860"/>
      <c r="AG392" s="860"/>
      <c r="AH392" s="860"/>
      <c r="AI392" s="860"/>
      <c r="AJ392" s="860"/>
      <c r="AK392" s="860"/>
      <c r="AL392" s="860"/>
      <c r="AM392" s="860"/>
      <c r="AN392" s="860"/>
      <c r="AO392" s="860"/>
      <c r="AP392" s="860"/>
      <c r="AQ392" s="860"/>
      <c r="AR392" s="860"/>
      <c r="AS392" s="860"/>
      <c r="AT392" s="860"/>
      <c r="AU392" s="860"/>
      <c r="AV392" s="860"/>
      <c r="AW392" s="860"/>
      <c r="AX392" s="860"/>
      <c r="AY392" s="860"/>
      <c r="AZ392" s="860"/>
      <c r="BA392" s="860"/>
      <c r="BB392" s="860"/>
      <c r="BC392" s="860"/>
      <c r="BD392" s="860"/>
      <c r="BE392" s="860"/>
      <c r="BF392" s="860"/>
      <c r="BG392" s="860"/>
      <c r="BH392" s="668"/>
      <c r="BI392" s="667"/>
      <c r="BJ392" s="690">
        <f t="shared" ref="BJ392:BJ408" si="160">IFERROR(BK392/J392,0)</f>
        <v>0</v>
      </c>
      <c r="BK392" s="691">
        <f t="shared" ref="BK392:BK408" si="161">SUM(BM392:DH392)</f>
        <v>0</v>
      </c>
      <c r="BL392" s="654"/>
      <c r="BM392" s="692">
        <f>SUMIFS(Imput[[Importe Neto]:[Importe Neto]],Imput[[C. Imp.]:[C. Imp.]],$D392,Imput[[PERIODO Imp.]:[PERIODO Imp.]],BM$9)</f>
        <v>0</v>
      </c>
      <c r="BN392" s="693">
        <f>SUMIFS(Imput[[Importe Neto]:[Importe Neto]],Imput[[C. Imp.]:[C. Imp.]],$D392,Imput[[PERIODO Imp.]:[PERIODO Imp.]],BN$9)</f>
        <v>0</v>
      </c>
      <c r="BO392" s="693">
        <f>SUMIFS(Imput[[Importe Neto]:[Importe Neto]],Imput[[C. Imp.]:[C. Imp.]],$D392,Imput[[PERIODO Imp.]:[PERIODO Imp.]],BO$9)</f>
        <v>0</v>
      </c>
      <c r="BP392" s="693">
        <f>SUMIFS(Imput[[Importe Neto]:[Importe Neto]],Imput[[C. Imp.]:[C. Imp.]],$D392,Imput[[PERIODO Imp.]:[PERIODO Imp.]],BP$9)</f>
        <v>0</v>
      </c>
      <c r="BQ392" s="693">
        <f>SUMIFS(Imput[[Importe Neto]:[Importe Neto]],Imput[[C. Imp.]:[C. Imp.]],$D392,Imput[[PERIODO Imp.]:[PERIODO Imp.]],BQ$9)</f>
        <v>0</v>
      </c>
      <c r="BR392" s="693">
        <f>SUMIFS(Imput[[Importe Neto]:[Importe Neto]],Imput[[C. Imp.]:[C. Imp.]],$D392,Imput[[PERIODO Imp.]:[PERIODO Imp.]],BR$9)</f>
        <v>0</v>
      </c>
      <c r="BS392" s="693">
        <f>SUMIFS(Imput[[Importe Neto]:[Importe Neto]],Imput[[C. Imp.]:[C. Imp.]],$D392,Imput[[PERIODO Imp.]:[PERIODO Imp.]],BS$9)</f>
        <v>0</v>
      </c>
      <c r="BT392" s="693">
        <f>SUMIFS(Imput[[Importe Neto]:[Importe Neto]],Imput[[C. Imp.]:[C. Imp.]],$D392,Imput[[PERIODO Imp.]:[PERIODO Imp.]],BT$9)</f>
        <v>0</v>
      </c>
      <c r="BU392" s="693">
        <f>SUMIFS(Imput[[Importe Neto]:[Importe Neto]],Imput[[C. Imp.]:[C. Imp.]],$D392,Imput[[PERIODO Imp.]:[PERIODO Imp.]],BU$9)</f>
        <v>0</v>
      </c>
      <c r="BV392" s="693">
        <f>SUMIFS(Imput[[Importe Neto]:[Importe Neto]],Imput[[C. Imp.]:[C. Imp.]],$D392,Imput[[PERIODO Imp.]:[PERIODO Imp.]],BV$9)</f>
        <v>0</v>
      </c>
      <c r="BW392" s="693">
        <f>SUMIFS(Imput[[Importe Neto]:[Importe Neto]],Imput[[C. Imp.]:[C. Imp.]],$D392,Imput[[PERIODO Imp.]:[PERIODO Imp.]],BW$9)</f>
        <v>0</v>
      </c>
      <c r="BX392" s="693">
        <f>SUMIFS(Imput[[Importe Neto]:[Importe Neto]],Imput[[C. Imp.]:[C. Imp.]],$D392,Imput[[PERIODO Imp.]:[PERIODO Imp.]],BX$9)</f>
        <v>0</v>
      </c>
      <c r="BY392" s="693">
        <f>SUMIFS(Imput[[Importe Neto]:[Importe Neto]],Imput[[C. Imp.]:[C. Imp.]],$D392,Imput[[PERIODO Imp.]:[PERIODO Imp.]],BY$9)</f>
        <v>0</v>
      </c>
      <c r="BZ392" s="693">
        <f>SUMIFS(Imput[[Importe Neto]:[Importe Neto]],Imput[[C. Imp.]:[C. Imp.]],$D392,Imput[[PERIODO Imp.]:[PERIODO Imp.]],BZ$9)</f>
        <v>0</v>
      </c>
      <c r="CA392" s="693">
        <f>SUMIFS(Imput[[Importe Neto]:[Importe Neto]],Imput[[C. Imp.]:[C. Imp.]],$D392,Imput[[PERIODO Imp.]:[PERIODO Imp.]],CA$9)</f>
        <v>0</v>
      </c>
      <c r="CB392" s="693">
        <f>SUMIFS(Imput[[Importe Neto]:[Importe Neto]],Imput[[C. Imp.]:[C. Imp.]],$D392,Imput[[PERIODO Imp.]:[PERIODO Imp.]],CB$9)</f>
        <v>0</v>
      </c>
      <c r="CC392" s="693">
        <f>SUMIFS(Imput[[Importe Neto]:[Importe Neto]],Imput[[C. Imp.]:[C. Imp.]],$D392,Imput[[PERIODO Imp.]:[PERIODO Imp.]],CC$9)</f>
        <v>0</v>
      </c>
      <c r="CD392" s="693">
        <f>SUMIFS(Imput[[Importe Neto]:[Importe Neto]],Imput[[C. Imp.]:[C. Imp.]],$D392,Imput[[PERIODO Imp.]:[PERIODO Imp.]],CD$9)</f>
        <v>0</v>
      </c>
      <c r="CE392" s="693">
        <f>SUMIFS(Imput[[Importe Neto]:[Importe Neto]],Imput[[C. Imp.]:[C. Imp.]],$D392,Imput[[PERIODO Imp.]:[PERIODO Imp.]],CE$9)</f>
        <v>0</v>
      </c>
      <c r="CF392" s="693">
        <f>SUMIFS(Imput[[Importe Neto]:[Importe Neto]],Imput[[C. Imp.]:[C. Imp.]],$D392,Imput[[PERIODO Imp.]:[PERIODO Imp.]],CF$9)</f>
        <v>0</v>
      </c>
      <c r="CG392" s="693">
        <f>SUMIFS(Imput[[Importe Neto]:[Importe Neto]],Imput[[C. Imp.]:[C. Imp.]],$D392,Imput[[PERIODO Imp.]:[PERIODO Imp.]],CG$9)</f>
        <v>0</v>
      </c>
      <c r="CH392" s="693">
        <f>SUMIFS(Imput[[Importe Neto]:[Importe Neto]],Imput[[C. Imp.]:[C. Imp.]],$D392,Imput[[PERIODO Imp.]:[PERIODO Imp.]],CH$9)</f>
        <v>0</v>
      </c>
      <c r="CI392" s="693">
        <f>SUMIFS(Imput[[Importe Neto]:[Importe Neto]],Imput[[C. Imp.]:[C. Imp.]],$D392,Imput[[PERIODO Imp.]:[PERIODO Imp.]],CI$9)</f>
        <v>0</v>
      </c>
      <c r="CJ392" s="693">
        <f>SUMIFS(Imput[[Importe Neto]:[Importe Neto]],Imput[[C. Imp.]:[C. Imp.]],$D392,Imput[[PERIODO Imp.]:[PERIODO Imp.]],CJ$9)</f>
        <v>0</v>
      </c>
      <c r="CK392" s="693">
        <f>SUMIFS(Imput[[Importe Neto]:[Importe Neto]],Imput[[C. Imp.]:[C. Imp.]],$D392,Imput[[PERIODO Imp.]:[PERIODO Imp.]],CK$9)</f>
        <v>0</v>
      </c>
      <c r="CL392" s="693">
        <f>SUMIFS(Imput[[Importe Neto]:[Importe Neto]],Imput[[C. Imp.]:[C. Imp.]],$D392,Imput[[PERIODO Imp.]:[PERIODO Imp.]],CL$9)</f>
        <v>0</v>
      </c>
      <c r="CM392" s="693">
        <f>SUMIFS(Imput[[Importe Neto]:[Importe Neto]],Imput[[C. Imp.]:[C. Imp.]],$D392,Imput[[PERIODO Imp.]:[PERIODO Imp.]],CM$9)</f>
        <v>0</v>
      </c>
      <c r="CN392" s="693">
        <f>SUMIFS(Imput[[Importe Neto]:[Importe Neto]],Imput[[C. Imp.]:[C. Imp.]],$D392,Imput[[PERIODO Imp.]:[PERIODO Imp.]],CN$9)</f>
        <v>0</v>
      </c>
      <c r="CO392" s="693">
        <f>SUMIFS(Imput[[Importe Neto]:[Importe Neto]],Imput[[C. Imp.]:[C. Imp.]],$D392,Imput[[PERIODO Imp.]:[PERIODO Imp.]],CO$9)</f>
        <v>0</v>
      </c>
      <c r="CP392" s="693">
        <f>SUMIFS(Imput[[Importe Neto]:[Importe Neto]],Imput[[C. Imp.]:[C. Imp.]],$D392,Imput[[PERIODO Imp.]:[PERIODO Imp.]],CP$9)</f>
        <v>0</v>
      </c>
      <c r="CQ392" s="693">
        <f>SUMIFS(Imput[[Importe Neto]:[Importe Neto]],Imput[[C. Imp.]:[C. Imp.]],$D392,Imput[[PERIODO Imp.]:[PERIODO Imp.]],CQ$9)</f>
        <v>0</v>
      </c>
      <c r="CR392" s="693">
        <f>SUMIFS(Imput[[Importe Neto]:[Importe Neto]],Imput[[C. Imp.]:[C. Imp.]],$D392,Imput[[PERIODO Imp.]:[PERIODO Imp.]],CR$9)</f>
        <v>0</v>
      </c>
      <c r="CS392" s="693">
        <f>SUMIFS(Imput[[Importe Neto]:[Importe Neto]],Imput[[C. Imp.]:[C. Imp.]],$D392,Imput[[PERIODO Imp.]:[PERIODO Imp.]],CS$9)</f>
        <v>0</v>
      </c>
      <c r="CT392" s="693">
        <f>SUMIFS(Imput[[Importe Neto]:[Importe Neto]],Imput[[C. Imp.]:[C. Imp.]],$D392,Imput[[PERIODO Imp.]:[PERIODO Imp.]],CT$9)</f>
        <v>0</v>
      </c>
      <c r="CU392" s="693">
        <f>SUMIFS(Imput[[Importe Neto]:[Importe Neto]],Imput[[C. Imp.]:[C. Imp.]],$D392,Imput[[PERIODO Imp.]:[PERIODO Imp.]],CU$9)</f>
        <v>0</v>
      </c>
      <c r="CV392" s="693">
        <f>SUMIFS(Imput[[Importe Neto]:[Importe Neto]],Imput[[C. Imp.]:[C. Imp.]],$D392,Imput[[PERIODO Imp.]:[PERIODO Imp.]],CV$9)</f>
        <v>0</v>
      </c>
      <c r="CW392" s="693">
        <f>SUMIFS(Imput[[Importe Neto]:[Importe Neto]],Imput[[C. Imp.]:[C. Imp.]],$D392,Imput[[PERIODO Imp.]:[PERIODO Imp.]],CW$9)</f>
        <v>0</v>
      </c>
      <c r="CX392" s="693">
        <f>SUMIFS(Imput[[Importe Neto]:[Importe Neto]],Imput[[C. Imp.]:[C. Imp.]],$D392,Imput[[PERIODO Imp.]:[PERIODO Imp.]],CX$9)</f>
        <v>0</v>
      </c>
      <c r="CY392" s="693">
        <f>SUMIFS(Imput[[Importe Neto]:[Importe Neto]],Imput[[C. Imp.]:[C. Imp.]],$D392,Imput[[PERIODO Imp.]:[PERIODO Imp.]],CY$9)</f>
        <v>0</v>
      </c>
      <c r="CZ392" s="693">
        <f>SUMIFS(Imput[[Importe Neto]:[Importe Neto]],Imput[[C. Imp.]:[C. Imp.]],$D392,Imput[[PERIODO Imp.]:[PERIODO Imp.]],CZ$9)</f>
        <v>0</v>
      </c>
      <c r="DA392" s="693">
        <f>SUMIFS(Imput[[Importe Neto]:[Importe Neto]],Imput[[C. Imp.]:[C. Imp.]],$D392,Imput[[PERIODO Imp.]:[PERIODO Imp.]],DA$9)</f>
        <v>0</v>
      </c>
      <c r="DB392" s="693">
        <f>SUMIFS(Imput[[Importe Neto]:[Importe Neto]],Imput[[C. Imp.]:[C. Imp.]],$D392,Imput[[PERIODO Imp.]:[PERIODO Imp.]],DB$9)</f>
        <v>0</v>
      </c>
      <c r="DC392" s="693">
        <f>SUMIFS(Imput[[Importe Neto]:[Importe Neto]],Imput[[C. Imp.]:[C. Imp.]],$D392,Imput[[PERIODO Imp.]:[PERIODO Imp.]],DC$9)</f>
        <v>0</v>
      </c>
      <c r="DD392" s="693">
        <f>SUMIFS(Imput[[Importe Neto]:[Importe Neto]],Imput[[C. Imp.]:[C. Imp.]],$D392,Imput[[PERIODO Imp.]:[PERIODO Imp.]],DD$9)</f>
        <v>0</v>
      </c>
      <c r="DE392" s="693">
        <f>SUMIFS(Imput[[Importe Neto]:[Importe Neto]],Imput[[C. Imp.]:[C. Imp.]],$D392,Imput[[PERIODO Imp.]:[PERIODO Imp.]],DE$9)</f>
        <v>0</v>
      </c>
      <c r="DF392" s="693">
        <f>SUMIFS(Imput[[Importe Neto]:[Importe Neto]],Imput[[C. Imp.]:[C. Imp.]],$D392,Imput[[PERIODO Imp.]:[PERIODO Imp.]],DF$9)</f>
        <v>0</v>
      </c>
      <c r="DG392" s="693">
        <f>SUMIFS(Imput[[Importe Neto]:[Importe Neto]],Imput[[C. Imp.]:[C. Imp.]],$D392,Imput[[PERIODO Imp.]:[PERIODO Imp.]],DG$9)</f>
        <v>0</v>
      </c>
      <c r="DH392" s="694">
        <f>SUMIFS(Imput[[Importe Neto]:[Importe Neto]],Imput[[C. Imp.]:[C. Imp.]],$D392,Imput[[PERIODO Imp.]:[PERIODO Imp.]],DH$9)</f>
        <v>0</v>
      </c>
    </row>
    <row r="393" spans="1:112" s="649" customFormat="1" hidden="1" outlineLevel="1" x14ac:dyDescent="0.3">
      <c r="A393" s="652" t="str">
        <f t="shared" si="154"/>
        <v/>
      </c>
      <c r="B393" s="652"/>
      <c r="C393" s="685"/>
      <c r="D393" s="686" t="s">
        <v>2453</v>
      </c>
      <c r="E393" s="686"/>
      <c r="F393" s="720"/>
      <c r="G393" s="688"/>
      <c r="H393" s="689"/>
      <c r="I393" s="851" t="str">
        <f t="shared" si="159"/>
        <v/>
      </c>
      <c r="J393" s="850" t="str">
        <f t="shared" si="156"/>
        <v/>
      </c>
      <c r="K393" s="667"/>
      <c r="L393" s="858"/>
      <c r="M393" s="859"/>
      <c r="N393" s="859"/>
      <c r="O393" s="859"/>
      <c r="P393" s="859"/>
      <c r="Q393" s="859"/>
      <c r="R393" s="859"/>
      <c r="S393" s="859"/>
      <c r="T393" s="859"/>
      <c r="U393" s="859"/>
      <c r="V393" s="859"/>
      <c r="W393" s="859"/>
      <c r="X393" s="859"/>
      <c r="Y393" s="859"/>
      <c r="Z393" s="860"/>
      <c r="AA393" s="860"/>
      <c r="AB393" s="860"/>
      <c r="AC393" s="860"/>
      <c r="AD393" s="860"/>
      <c r="AE393" s="860"/>
      <c r="AF393" s="860"/>
      <c r="AG393" s="860"/>
      <c r="AH393" s="860"/>
      <c r="AI393" s="860"/>
      <c r="AJ393" s="860"/>
      <c r="AK393" s="860"/>
      <c r="AL393" s="860"/>
      <c r="AM393" s="860"/>
      <c r="AN393" s="860"/>
      <c r="AO393" s="860"/>
      <c r="AP393" s="860"/>
      <c r="AQ393" s="860"/>
      <c r="AR393" s="860"/>
      <c r="AS393" s="860"/>
      <c r="AT393" s="860"/>
      <c r="AU393" s="860"/>
      <c r="AV393" s="860"/>
      <c r="AW393" s="860"/>
      <c r="AX393" s="860"/>
      <c r="AY393" s="860"/>
      <c r="AZ393" s="860"/>
      <c r="BA393" s="860"/>
      <c r="BB393" s="860"/>
      <c r="BC393" s="860"/>
      <c r="BD393" s="860"/>
      <c r="BE393" s="860"/>
      <c r="BF393" s="860"/>
      <c r="BG393" s="860"/>
      <c r="BH393" s="668"/>
      <c r="BI393" s="667"/>
      <c r="BJ393" s="690">
        <f t="shared" si="160"/>
        <v>0</v>
      </c>
      <c r="BK393" s="691">
        <f t="shared" si="161"/>
        <v>0</v>
      </c>
      <c r="BL393" s="654"/>
      <c r="BM393" s="692">
        <f>SUMIFS(Imput[[Importe Neto]:[Importe Neto]],Imput[[C. Imp.]:[C. Imp.]],$D393,Imput[[PERIODO Imp.]:[PERIODO Imp.]],BM$9)</f>
        <v>0</v>
      </c>
      <c r="BN393" s="693">
        <f>SUMIFS(Imput[[Importe Neto]:[Importe Neto]],Imput[[C. Imp.]:[C. Imp.]],$D393,Imput[[PERIODO Imp.]:[PERIODO Imp.]],BN$9)</f>
        <v>0</v>
      </c>
      <c r="BO393" s="693">
        <f>SUMIFS(Imput[[Importe Neto]:[Importe Neto]],Imput[[C. Imp.]:[C. Imp.]],$D393,Imput[[PERIODO Imp.]:[PERIODO Imp.]],BO$9)</f>
        <v>0</v>
      </c>
      <c r="BP393" s="693">
        <f>SUMIFS(Imput[[Importe Neto]:[Importe Neto]],Imput[[C. Imp.]:[C. Imp.]],$D393,Imput[[PERIODO Imp.]:[PERIODO Imp.]],BP$9)</f>
        <v>0</v>
      </c>
      <c r="BQ393" s="693">
        <f>SUMIFS(Imput[[Importe Neto]:[Importe Neto]],Imput[[C. Imp.]:[C. Imp.]],$D393,Imput[[PERIODO Imp.]:[PERIODO Imp.]],BQ$9)</f>
        <v>0</v>
      </c>
      <c r="BR393" s="693">
        <f>SUMIFS(Imput[[Importe Neto]:[Importe Neto]],Imput[[C. Imp.]:[C. Imp.]],$D393,Imput[[PERIODO Imp.]:[PERIODO Imp.]],BR$9)</f>
        <v>0</v>
      </c>
      <c r="BS393" s="693">
        <f>SUMIFS(Imput[[Importe Neto]:[Importe Neto]],Imput[[C. Imp.]:[C. Imp.]],$D393,Imput[[PERIODO Imp.]:[PERIODO Imp.]],BS$9)</f>
        <v>0</v>
      </c>
      <c r="BT393" s="693">
        <f>SUMIFS(Imput[[Importe Neto]:[Importe Neto]],Imput[[C. Imp.]:[C. Imp.]],$D393,Imput[[PERIODO Imp.]:[PERIODO Imp.]],BT$9)</f>
        <v>0</v>
      </c>
      <c r="BU393" s="693">
        <f>SUMIFS(Imput[[Importe Neto]:[Importe Neto]],Imput[[C. Imp.]:[C. Imp.]],$D393,Imput[[PERIODO Imp.]:[PERIODO Imp.]],BU$9)</f>
        <v>0</v>
      </c>
      <c r="BV393" s="693">
        <f>SUMIFS(Imput[[Importe Neto]:[Importe Neto]],Imput[[C. Imp.]:[C. Imp.]],$D393,Imput[[PERIODO Imp.]:[PERIODO Imp.]],BV$9)</f>
        <v>0</v>
      </c>
      <c r="BW393" s="693">
        <f>SUMIFS(Imput[[Importe Neto]:[Importe Neto]],Imput[[C. Imp.]:[C. Imp.]],$D393,Imput[[PERIODO Imp.]:[PERIODO Imp.]],BW$9)</f>
        <v>0</v>
      </c>
      <c r="BX393" s="693">
        <f>SUMIFS(Imput[[Importe Neto]:[Importe Neto]],Imput[[C. Imp.]:[C. Imp.]],$D393,Imput[[PERIODO Imp.]:[PERIODO Imp.]],BX$9)</f>
        <v>0</v>
      </c>
      <c r="BY393" s="693">
        <f>SUMIFS(Imput[[Importe Neto]:[Importe Neto]],Imput[[C. Imp.]:[C. Imp.]],$D393,Imput[[PERIODO Imp.]:[PERIODO Imp.]],BY$9)</f>
        <v>0</v>
      </c>
      <c r="BZ393" s="693">
        <f>SUMIFS(Imput[[Importe Neto]:[Importe Neto]],Imput[[C. Imp.]:[C. Imp.]],$D393,Imput[[PERIODO Imp.]:[PERIODO Imp.]],BZ$9)</f>
        <v>0</v>
      </c>
      <c r="CA393" s="693">
        <f>SUMIFS(Imput[[Importe Neto]:[Importe Neto]],Imput[[C. Imp.]:[C. Imp.]],$D393,Imput[[PERIODO Imp.]:[PERIODO Imp.]],CA$9)</f>
        <v>0</v>
      </c>
      <c r="CB393" s="693">
        <f>SUMIFS(Imput[[Importe Neto]:[Importe Neto]],Imput[[C. Imp.]:[C. Imp.]],$D393,Imput[[PERIODO Imp.]:[PERIODO Imp.]],CB$9)</f>
        <v>0</v>
      </c>
      <c r="CC393" s="693">
        <f>SUMIFS(Imput[[Importe Neto]:[Importe Neto]],Imput[[C. Imp.]:[C. Imp.]],$D393,Imput[[PERIODO Imp.]:[PERIODO Imp.]],CC$9)</f>
        <v>0</v>
      </c>
      <c r="CD393" s="693">
        <f>SUMIFS(Imput[[Importe Neto]:[Importe Neto]],Imput[[C. Imp.]:[C. Imp.]],$D393,Imput[[PERIODO Imp.]:[PERIODO Imp.]],CD$9)</f>
        <v>0</v>
      </c>
      <c r="CE393" s="693">
        <f>SUMIFS(Imput[[Importe Neto]:[Importe Neto]],Imput[[C. Imp.]:[C. Imp.]],$D393,Imput[[PERIODO Imp.]:[PERIODO Imp.]],CE$9)</f>
        <v>0</v>
      </c>
      <c r="CF393" s="693">
        <f>SUMIFS(Imput[[Importe Neto]:[Importe Neto]],Imput[[C. Imp.]:[C. Imp.]],$D393,Imput[[PERIODO Imp.]:[PERIODO Imp.]],CF$9)</f>
        <v>0</v>
      </c>
      <c r="CG393" s="693">
        <f>SUMIFS(Imput[[Importe Neto]:[Importe Neto]],Imput[[C. Imp.]:[C. Imp.]],$D393,Imput[[PERIODO Imp.]:[PERIODO Imp.]],CG$9)</f>
        <v>0</v>
      </c>
      <c r="CH393" s="693">
        <f>SUMIFS(Imput[[Importe Neto]:[Importe Neto]],Imput[[C. Imp.]:[C. Imp.]],$D393,Imput[[PERIODO Imp.]:[PERIODO Imp.]],CH$9)</f>
        <v>0</v>
      </c>
      <c r="CI393" s="693">
        <f>SUMIFS(Imput[[Importe Neto]:[Importe Neto]],Imput[[C. Imp.]:[C. Imp.]],$D393,Imput[[PERIODO Imp.]:[PERIODO Imp.]],CI$9)</f>
        <v>0</v>
      </c>
      <c r="CJ393" s="693">
        <f>SUMIFS(Imput[[Importe Neto]:[Importe Neto]],Imput[[C. Imp.]:[C. Imp.]],$D393,Imput[[PERIODO Imp.]:[PERIODO Imp.]],CJ$9)</f>
        <v>0</v>
      </c>
      <c r="CK393" s="693">
        <f>SUMIFS(Imput[[Importe Neto]:[Importe Neto]],Imput[[C. Imp.]:[C. Imp.]],$D393,Imput[[PERIODO Imp.]:[PERIODO Imp.]],CK$9)</f>
        <v>0</v>
      </c>
      <c r="CL393" s="693">
        <f>SUMIFS(Imput[[Importe Neto]:[Importe Neto]],Imput[[C. Imp.]:[C. Imp.]],$D393,Imput[[PERIODO Imp.]:[PERIODO Imp.]],CL$9)</f>
        <v>0</v>
      </c>
      <c r="CM393" s="693">
        <f>SUMIFS(Imput[[Importe Neto]:[Importe Neto]],Imput[[C. Imp.]:[C. Imp.]],$D393,Imput[[PERIODO Imp.]:[PERIODO Imp.]],CM$9)</f>
        <v>0</v>
      </c>
      <c r="CN393" s="693">
        <f>SUMIFS(Imput[[Importe Neto]:[Importe Neto]],Imput[[C. Imp.]:[C. Imp.]],$D393,Imput[[PERIODO Imp.]:[PERIODO Imp.]],CN$9)</f>
        <v>0</v>
      </c>
      <c r="CO393" s="693">
        <f>SUMIFS(Imput[[Importe Neto]:[Importe Neto]],Imput[[C. Imp.]:[C. Imp.]],$D393,Imput[[PERIODO Imp.]:[PERIODO Imp.]],CO$9)</f>
        <v>0</v>
      </c>
      <c r="CP393" s="693">
        <f>SUMIFS(Imput[[Importe Neto]:[Importe Neto]],Imput[[C. Imp.]:[C. Imp.]],$D393,Imput[[PERIODO Imp.]:[PERIODO Imp.]],CP$9)</f>
        <v>0</v>
      </c>
      <c r="CQ393" s="693">
        <f>SUMIFS(Imput[[Importe Neto]:[Importe Neto]],Imput[[C. Imp.]:[C. Imp.]],$D393,Imput[[PERIODO Imp.]:[PERIODO Imp.]],CQ$9)</f>
        <v>0</v>
      </c>
      <c r="CR393" s="693">
        <f>SUMIFS(Imput[[Importe Neto]:[Importe Neto]],Imput[[C. Imp.]:[C. Imp.]],$D393,Imput[[PERIODO Imp.]:[PERIODO Imp.]],CR$9)</f>
        <v>0</v>
      </c>
      <c r="CS393" s="693">
        <f>SUMIFS(Imput[[Importe Neto]:[Importe Neto]],Imput[[C. Imp.]:[C. Imp.]],$D393,Imput[[PERIODO Imp.]:[PERIODO Imp.]],CS$9)</f>
        <v>0</v>
      </c>
      <c r="CT393" s="693">
        <f>SUMIFS(Imput[[Importe Neto]:[Importe Neto]],Imput[[C. Imp.]:[C. Imp.]],$D393,Imput[[PERIODO Imp.]:[PERIODO Imp.]],CT$9)</f>
        <v>0</v>
      </c>
      <c r="CU393" s="693">
        <f>SUMIFS(Imput[[Importe Neto]:[Importe Neto]],Imput[[C. Imp.]:[C. Imp.]],$D393,Imput[[PERIODO Imp.]:[PERIODO Imp.]],CU$9)</f>
        <v>0</v>
      </c>
      <c r="CV393" s="693">
        <f>SUMIFS(Imput[[Importe Neto]:[Importe Neto]],Imput[[C. Imp.]:[C. Imp.]],$D393,Imput[[PERIODO Imp.]:[PERIODO Imp.]],CV$9)</f>
        <v>0</v>
      </c>
      <c r="CW393" s="693">
        <f>SUMIFS(Imput[[Importe Neto]:[Importe Neto]],Imput[[C. Imp.]:[C. Imp.]],$D393,Imput[[PERIODO Imp.]:[PERIODO Imp.]],CW$9)</f>
        <v>0</v>
      </c>
      <c r="CX393" s="693">
        <f>SUMIFS(Imput[[Importe Neto]:[Importe Neto]],Imput[[C. Imp.]:[C. Imp.]],$D393,Imput[[PERIODO Imp.]:[PERIODO Imp.]],CX$9)</f>
        <v>0</v>
      </c>
      <c r="CY393" s="693">
        <f>SUMIFS(Imput[[Importe Neto]:[Importe Neto]],Imput[[C. Imp.]:[C. Imp.]],$D393,Imput[[PERIODO Imp.]:[PERIODO Imp.]],CY$9)</f>
        <v>0</v>
      </c>
      <c r="CZ393" s="693">
        <f>SUMIFS(Imput[[Importe Neto]:[Importe Neto]],Imput[[C. Imp.]:[C. Imp.]],$D393,Imput[[PERIODO Imp.]:[PERIODO Imp.]],CZ$9)</f>
        <v>0</v>
      </c>
      <c r="DA393" s="693">
        <f>SUMIFS(Imput[[Importe Neto]:[Importe Neto]],Imput[[C. Imp.]:[C. Imp.]],$D393,Imput[[PERIODO Imp.]:[PERIODO Imp.]],DA$9)</f>
        <v>0</v>
      </c>
      <c r="DB393" s="693">
        <f>SUMIFS(Imput[[Importe Neto]:[Importe Neto]],Imput[[C. Imp.]:[C. Imp.]],$D393,Imput[[PERIODO Imp.]:[PERIODO Imp.]],DB$9)</f>
        <v>0</v>
      </c>
      <c r="DC393" s="693">
        <f>SUMIFS(Imput[[Importe Neto]:[Importe Neto]],Imput[[C. Imp.]:[C. Imp.]],$D393,Imput[[PERIODO Imp.]:[PERIODO Imp.]],DC$9)</f>
        <v>0</v>
      </c>
      <c r="DD393" s="693">
        <f>SUMIFS(Imput[[Importe Neto]:[Importe Neto]],Imput[[C. Imp.]:[C. Imp.]],$D393,Imput[[PERIODO Imp.]:[PERIODO Imp.]],DD$9)</f>
        <v>0</v>
      </c>
      <c r="DE393" s="693">
        <f>SUMIFS(Imput[[Importe Neto]:[Importe Neto]],Imput[[C. Imp.]:[C. Imp.]],$D393,Imput[[PERIODO Imp.]:[PERIODO Imp.]],DE$9)</f>
        <v>0</v>
      </c>
      <c r="DF393" s="693">
        <f>SUMIFS(Imput[[Importe Neto]:[Importe Neto]],Imput[[C. Imp.]:[C. Imp.]],$D393,Imput[[PERIODO Imp.]:[PERIODO Imp.]],DF$9)</f>
        <v>0</v>
      </c>
      <c r="DG393" s="693">
        <f>SUMIFS(Imput[[Importe Neto]:[Importe Neto]],Imput[[C. Imp.]:[C. Imp.]],$D393,Imput[[PERIODO Imp.]:[PERIODO Imp.]],DG$9)</f>
        <v>0</v>
      </c>
      <c r="DH393" s="694">
        <f>SUMIFS(Imput[[Importe Neto]:[Importe Neto]],Imput[[C. Imp.]:[C. Imp.]],$D393,Imput[[PERIODO Imp.]:[PERIODO Imp.]],DH$9)</f>
        <v>0</v>
      </c>
    </row>
    <row r="394" spans="1:112" s="649" customFormat="1" hidden="1" outlineLevel="1" x14ac:dyDescent="0.3">
      <c r="A394" s="652" t="str">
        <f t="shared" si="154"/>
        <v/>
      </c>
      <c r="B394" s="652"/>
      <c r="C394" s="685"/>
      <c r="D394" s="686" t="s">
        <v>2454</v>
      </c>
      <c r="E394" s="686"/>
      <c r="F394" s="720"/>
      <c r="G394" s="688"/>
      <c r="H394" s="689"/>
      <c r="I394" s="851" t="str">
        <f t="shared" si="159"/>
        <v/>
      </c>
      <c r="J394" s="850" t="str">
        <f t="shared" si="156"/>
        <v/>
      </c>
      <c r="K394" s="667"/>
      <c r="L394" s="858"/>
      <c r="M394" s="859"/>
      <c r="N394" s="859"/>
      <c r="O394" s="859"/>
      <c r="P394" s="859"/>
      <c r="Q394" s="859"/>
      <c r="R394" s="859"/>
      <c r="S394" s="859"/>
      <c r="T394" s="859"/>
      <c r="U394" s="859"/>
      <c r="V394" s="859"/>
      <c r="W394" s="859"/>
      <c r="X394" s="859"/>
      <c r="Y394" s="859"/>
      <c r="Z394" s="860"/>
      <c r="AA394" s="860"/>
      <c r="AB394" s="860"/>
      <c r="AC394" s="860"/>
      <c r="AD394" s="860"/>
      <c r="AE394" s="860"/>
      <c r="AF394" s="860"/>
      <c r="AG394" s="860"/>
      <c r="AH394" s="860"/>
      <c r="AI394" s="860"/>
      <c r="AJ394" s="860"/>
      <c r="AK394" s="860"/>
      <c r="AL394" s="860"/>
      <c r="AM394" s="860"/>
      <c r="AN394" s="860"/>
      <c r="AO394" s="860"/>
      <c r="AP394" s="860"/>
      <c r="AQ394" s="860"/>
      <c r="AR394" s="860"/>
      <c r="AS394" s="860"/>
      <c r="AT394" s="860"/>
      <c r="AU394" s="860"/>
      <c r="AV394" s="860"/>
      <c r="AW394" s="860"/>
      <c r="AX394" s="860"/>
      <c r="AY394" s="860"/>
      <c r="AZ394" s="860"/>
      <c r="BA394" s="860"/>
      <c r="BB394" s="860"/>
      <c r="BC394" s="860"/>
      <c r="BD394" s="860"/>
      <c r="BE394" s="860"/>
      <c r="BF394" s="860"/>
      <c r="BG394" s="860"/>
      <c r="BH394" s="668"/>
      <c r="BI394" s="654"/>
      <c r="BJ394" s="690">
        <f t="shared" si="160"/>
        <v>0</v>
      </c>
      <c r="BK394" s="691">
        <f t="shared" si="161"/>
        <v>0</v>
      </c>
      <c r="BL394" s="654"/>
      <c r="BM394" s="692">
        <f>SUMIFS(Imput[[Importe Neto]:[Importe Neto]],Imput[[C. Imp.]:[C. Imp.]],$D394,Imput[[PERIODO Imp.]:[PERIODO Imp.]],BM$9)</f>
        <v>0</v>
      </c>
      <c r="BN394" s="693">
        <f>SUMIFS(Imput[[Importe Neto]:[Importe Neto]],Imput[[C. Imp.]:[C. Imp.]],$D394,Imput[[PERIODO Imp.]:[PERIODO Imp.]],BN$9)</f>
        <v>0</v>
      </c>
      <c r="BO394" s="693">
        <f>SUMIFS(Imput[[Importe Neto]:[Importe Neto]],Imput[[C. Imp.]:[C. Imp.]],$D394,Imput[[PERIODO Imp.]:[PERIODO Imp.]],BO$9)</f>
        <v>0</v>
      </c>
      <c r="BP394" s="693">
        <f>SUMIFS(Imput[[Importe Neto]:[Importe Neto]],Imput[[C. Imp.]:[C. Imp.]],$D394,Imput[[PERIODO Imp.]:[PERIODO Imp.]],BP$9)</f>
        <v>0</v>
      </c>
      <c r="BQ394" s="693">
        <f>SUMIFS(Imput[[Importe Neto]:[Importe Neto]],Imput[[C. Imp.]:[C. Imp.]],$D394,Imput[[PERIODO Imp.]:[PERIODO Imp.]],BQ$9)</f>
        <v>0</v>
      </c>
      <c r="BR394" s="693">
        <f>SUMIFS(Imput[[Importe Neto]:[Importe Neto]],Imput[[C. Imp.]:[C. Imp.]],$D394,Imput[[PERIODO Imp.]:[PERIODO Imp.]],BR$9)</f>
        <v>0</v>
      </c>
      <c r="BS394" s="693">
        <f>SUMIFS(Imput[[Importe Neto]:[Importe Neto]],Imput[[C. Imp.]:[C. Imp.]],$D394,Imput[[PERIODO Imp.]:[PERIODO Imp.]],BS$9)</f>
        <v>0</v>
      </c>
      <c r="BT394" s="693">
        <f>SUMIFS(Imput[[Importe Neto]:[Importe Neto]],Imput[[C. Imp.]:[C. Imp.]],$D394,Imput[[PERIODO Imp.]:[PERIODO Imp.]],BT$9)</f>
        <v>0</v>
      </c>
      <c r="BU394" s="693">
        <f>SUMIFS(Imput[[Importe Neto]:[Importe Neto]],Imput[[C. Imp.]:[C. Imp.]],$D394,Imput[[PERIODO Imp.]:[PERIODO Imp.]],BU$9)</f>
        <v>0</v>
      </c>
      <c r="BV394" s="693">
        <f>SUMIFS(Imput[[Importe Neto]:[Importe Neto]],Imput[[C. Imp.]:[C. Imp.]],$D394,Imput[[PERIODO Imp.]:[PERIODO Imp.]],BV$9)</f>
        <v>0</v>
      </c>
      <c r="BW394" s="693">
        <f>SUMIFS(Imput[[Importe Neto]:[Importe Neto]],Imput[[C. Imp.]:[C. Imp.]],$D394,Imput[[PERIODO Imp.]:[PERIODO Imp.]],BW$9)</f>
        <v>0</v>
      </c>
      <c r="BX394" s="693">
        <f>SUMIFS(Imput[[Importe Neto]:[Importe Neto]],Imput[[C. Imp.]:[C. Imp.]],$D394,Imput[[PERIODO Imp.]:[PERIODO Imp.]],BX$9)</f>
        <v>0</v>
      </c>
      <c r="BY394" s="693">
        <f>SUMIFS(Imput[[Importe Neto]:[Importe Neto]],Imput[[C. Imp.]:[C. Imp.]],$D394,Imput[[PERIODO Imp.]:[PERIODO Imp.]],BY$9)</f>
        <v>0</v>
      </c>
      <c r="BZ394" s="693">
        <f>SUMIFS(Imput[[Importe Neto]:[Importe Neto]],Imput[[C. Imp.]:[C. Imp.]],$D394,Imput[[PERIODO Imp.]:[PERIODO Imp.]],BZ$9)</f>
        <v>0</v>
      </c>
      <c r="CA394" s="693">
        <f>SUMIFS(Imput[[Importe Neto]:[Importe Neto]],Imput[[C. Imp.]:[C. Imp.]],$D394,Imput[[PERIODO Imp.]:[PERIODO Imp.]],CA$9)</f>
        <v>0</v>
      </c>
      <c r="CB394" s="693">
        <f>SUMIFS(Imput[[Importe Neto]:[Importe Neto]],Imput[[C. Imp.]:[C. Imp.]],$D394,Imput[[PERIODO Imp.]:[PERIODO Imp.]],CB$9)</f>
        <v>0</v>
      </c>
      <c r="CC394" s="693">
        <f>SUMIFS(Imput[[Importe Neto]:[Importe Neto]],Imput[[C. Imp.]:[C. Imp.]],$D394,Imput[[PERIODO Imp.]:[PERIODO Imp.]],CC$9)</f>
        <v>0</v>
      </c>
      <c r="CD394" s="693">
        <f>SUMIFS(Imput[[Importe Neto]:[Importe Neto]],Imput[[C. Imp.]:[C. Imp.]],$D394,Imput[[PERIODO Imp.]:[PERIODO Imp.]],CD$9)</f>
        <v>0</v>
      </c>
      <c r="CE394" s="693">
        <f>SUMIFS(Imput[[Importe Neto]:[Importe Neto]],Imput[[C. Imp.]:[C. Imp.]],$D394,Imput[[PERIODO Imp.]:[PERIODO Imp.]],CE$9)</f>
        <v>0</v>
      </c>
      <c r="CF394" s="693">
        <f>SUMIFS(Imput[[Importe Neto]:[Importe Neto]],Imput[[C. Imp.]:[C. Imp.]],$D394,Imput[[PERIODO Imp.]:[PERIODO Imp.]],CF$9)</f>
        <v>0</v>
      </c>
      <c r="CG394" s="693">
        <f>SUMIFS(Imput[[Importe Neto]:[Importe Neto]],Imput[[C. Imp.]:[C. Imp.]],$D394,Imput[[PERIODO Imp.]:[PERIODO Imp.]],CG$9)</f>
        <v>0</v>
      </c>
      <c r="CH394" s="693">
        <f>SUMIFS(Imput[[Importe Neto]:[Importe Neto]],Imput[[C. Imp.]:[C. Imp.]],$D394,Imput[[PERIODO Imp.]:[PERIODO Imp.]],CH$9)</f>
        <v>0</v>
      </c>
      <c r="CI394" s="693">
        <f>SUMIFS(Imput[[Importe Neto]:[Importe Neto]],Imput[[C. Imp.]:[C. Imp.]],$D394,Imput[[PERIODO Imp.]:[PERIODO Imp.]],CI$9)</f>
        <v>0</v>
      </c>
      <c r="CJ394" s="693">
        <f>SUMIFS(Imput[[Importe Neto]:[Importe Neto]],Imput[[C. Imp.]:[C. Imp.]],$D394,Imput[[PERIODO Imp.]:[PERIODO Imp.]],CJ$9)</f>
        <v>0</v>
      </c>
      <c r="CK394" s="693">
        <f>SUMIFS(Imput[[Importe Neto]:[Importe Neto]],Imput[[C. Imp.]:[C. Imp.]],$D394,Imput[[PERIODO Imp.]:[PERIODO Imp.]],CK$9)</f>
        <v>0</v>
      </c>
      <c r="CL394" s="693">
        <f>SUMIFS(Imput[[Importe Neto]:[Importe Neto]],Imput[[C. Imp.]:[C. Imp.]],$D394,Imput[[PERIODO Imp.]:[PERIODO Imp.]],CL$9)</f>
        <v>0</v>
      </c>
      <c r="CM394" s="693">
        <f>SUMIFS(Imput[[Importe Neto]:[Importe Neto]],Imput[[C. Imp.]:[C. Imp.]],$D394,Imput[[PERIODO Imp.]:[PERIODO Imp.]],CM$9)</f>
        <v>0</v>
      </c>
      <c r="CN394" s="693">
        <f>SUMIFS(Imput[[Importe Neto]:[Importe Neto]],Imput[[C. Imp.]:[C. Imp.]],$D394,Imput[[PERIODO Imp.]:[PERIODO Imp.]],CN$9)</f>
        <v>0</v>
      </c>
      <c r="CO394" s="693">
        <f>SUMIFS(Imput[[Importe Neto]:[Importe Neto]],Imput[[C. Imp.]:[C. Imp.]],$D394,Imput[[PERIODO Imp.]:[PERIODO Imp.]],CO$9)</f>
        <v>0</v>
      </c>
      <c r="CP394" s="693">
        <f>SUMIFS(Imput[[Importe Neto]:[Importe Neto]],Imput[[C. Imp.]:[C. Imp.]],$D394,Imput[[PERIODO Imp.]:[PERIODO Imp.]],CP$9)</f>
        <v>0</v>
      </c>
      <c r="CQ394" s="693">
        <f>SUMIFS(Imput[[Importe Neto]:[Importe Neto]],Imput[[C. Imp.]:[C. Imp.]],$D394,Imput[[PERIODO Imp.]:[PERIODO Imp.]],CQ$9)</f>
        <v>0</v>
      </c>
      <c r="CR394" s="693">
        <f>SUMIFS(Imput[[Importe Neto]:[Importe Neto]],Imput[[C. Imp.]:[C. Imp.]],$D394,Imput[[PERIODO Imp.]:[PERIODO Imp.]],CR$9)</f>
        <v>0</v>
      </c>
      <c r="CS394" s="693">
        <f>SUMIFS(Imput[[Importe Neto]:[Importe Neto]],Imput[[C. Imp.]:[C. Imp.]],$D394,Imput[[PERIODO Imp.]:[PERIODO Imp.]],CS$9)</f>
        <v>0</v>
      </c>
      <c r="CT394" s="693">
        <f>SUMIFS(Imput[[Importe Neto]:[Importe Neto]],Imput[[C. Imp.]:[C. Imp.]],$D394,Imput[[PERIODO Imp.]:[PERIODO Imp.]],CT$9)</f>
        <v>0</v>
      </c>
      <c r="CU394" s="693">
        <f>SUMIFS(Imput[[Importe Neto]:[Importe Neto]],Imput[[C. Imp.]:[C. Imp.]],$D394,Imput[[PERIODO Imp.]:[PERIODO Imp.]],CU$9)</f>
        <v>0</v>
      </c>
      <c r="CV394" s="693">
        <f>SUMIFS(Imput[[Importe Neto]:[Importe Neto]],Imput[[C. Imp.]:[C. Imp.]],$D394,Imput[[PERIODO Imp.]:[PERIODO Imp.]],CV$9)</f>
        <v>0</v>
      </c>
      <c r="CW394" s="693">
        <f>SUMIFS(Imput[[Importe Neto]:[Importe Neto]],Imput[[C. Imp.]:[C. Imp.]],$D394,Imput[[PERIODO Imp.]:[PERIODO Imp.]],CW$9)</f>
        <v>0</v>
      </c>
      <c r="CX394" s="693">
        <f>SUMIFS(Imput[[Importe Neto]:[Importe Neto]],Imput[[C. Imp.]:[C. Imp.]],$D394,Imput[[PERIODO Imp.]:[PERIODO Imp.]],CX$9)</f>
        <v>0</v>
      </c>
      <c r="CY394" s="693">
        <f>SUMIFS(Imput[[Importe Neto]:[Importe Neto]],Imput[[C. Imp.]:[C. Imp.]],$D394,Imput[[PERIODO Imp.]:[PERIODO Imp.]],CY$9)</f>
        <v>0</v>
      </c>
      <c r="CZ394" s="693">
        <f>SUMIFS(Imput[[Importe Neto]:[Importe Neto]],Imput[[C. Imp.]:[C. Imp.]],$D394,Imput[[PERIODO Imp.]:[PERIODO Imp.]],CZ$9)</f>
        <v>0</v>
      </c>
      <c r="DA394" s="693">
        <f>SUMIFS(Imput[[Importe Neto]:[Importe Neto]],Imput[[C. Imp.]:[C. Imp.]],$D394,Imput[[PERIODO Imp.]:[PERIODO Imp.]],DA$9)</f>
        <v>0</v>
      </c>
      <c r="DB394" s="693">
        <f>SUMIFS(Imput[[Importe Neto]:[Importe Neto]],Imput[[C. Imp.]:[C. Imp.]],$D394,Imput[[PERIODO Imp.]:[PERIODO Imp.]],DB$9)</f>
        <v>0</v>
      </c>
      <c r="DC394" s="693">
        <f>SUMIFS(Imput[[Importe Neto]:[Importe Neto]],Imput[[C. Imp.]:[C. Imp.]],$D394,Imput[[PERIODO Imp.]:[PERIODO Imp.]],DC$9)</f>
        <v>0</v>
      </c>
      <c r="DD394" s="693">
        <f>SUMIFS(Imput[[Importe Neto]:[Importe Neto]],Imput[[C. Imp.]:[C. Imp.]],$D394,Imput[[PERIODO Imp.]:[PERIODO Imp.]],DD$9)</f>
        <v>0</v>
      </c>
      <c r="DE394" s="693">
        <f>SUMIFS(Imput[[Importe Neto]:[Importe Neto]],Imput[[C. Imp.]:[C. Imp.]],$D394,Imput[[PERIODO Imp.]:[PERIODO Imp.]],DE$9)</f>
        <v>0</v>
      </c>
      <c r="DF394" s="693">
        <f>SUMIFS(Imput[[Importe Neto]:[Importe Neto]],Imput[[C. Imp.]:[C. Imp.]],$D394,Imput[[PERIODO Imp.]:[PERIODO Imp.]],DF$9)</f>
        <v>0</v>
      </c>
      <c r="DG394" s="693">
        <f>SUMIFS(Imput[[Importe Neto]:[Importe Neto]],Imput[[C. Imp.]:[C. Imp.]],$D394,Imput[[PERIODO Imp.]:[PERIODO Imp.]],DG$9)</f>
        <v>0</v>
      </c>
      <c r="DH394" s="694">
        <f>SUMIFS(Imput[[Importe Neto]:[Importe Neto]],Imput[[C. Imp.]:[C. Imp.]],$D394,Imput[[PERIODO Imp.]:[PERIODO Imp.]],DH$9)</f>
        <v>0</v>
      </c>
    </row>
    <row r="395" spans="1:112" s="649" customFormat="1" hidden="1" outlineLevel="1" x14ac:dyDescent="0.3">
      <c r="A395" s="652" t="str">
        <f t="shared" si="154"/>
        <v/>
      </c>
      <c r="B395" s="652"/>
      <c r="C395" s="685"/>
      <c r="D395" s="686" t="s">
        <v>2455</v>
      </c>
      <c r="E395" s="686"/>
      <c r="F395" s="720"/>
      <c r="G395" s="688"/>
      <c r="H395" s="689"/>
      <c r="I395" s="851" t="str">
        <f t="shared" si="159"/>
        <v/>
      </c>
      <c r="J395" s="850" t="str">
        <f t="shared" si="156"/>
        <v/>
      </c>
      <c r="K395" s="667"/>
      <c r="L395" s="858"/>
      <c r="M395" s="859"/>
      <c r="N395" s="859"/>
      <c r="O395" s="859"/>
      <c r="P395" s="859"/>
      <c r="Q395" s="859"/>
      <c r="R395" s="859"/>
      <c r="S395" s="859"/>
      <c r="T395" s="859"/>
      <c r="U395" s="859"/>
      <c r="V395" s="859"/>
      <c r="W395" s="859"/>
      <c r="X395" s="859"/>
      <c r="Y395" s="859"/>
      <c r="Z395" s="860"/>
      <c r="AA395" s="860"/>
      <c r="AB395" s="860"/>
      <c r="AC395" s="860"/>
      <c r="AD395" s="860"/>
      <c r="AE395" s="860"/>
      <c r="AF395" s="860"/>
      <c r="AG395" s="860"/>
      <c r="AH395" s="860"/>
      <c r="AI395" s="860"/>
      <c r="AJ395" s="860"/>
      <c r="AK395" s="860"/>
      <c r="AL395" s="860"/>
      <c r="AM395" s="860"/>
      <c r="AN395" s="860"/>
      <c r="AO395" s="860"/>
      <c r="AP395" s="860"/>
      <c r="AQ395" s="860"/>
      <c r="AR395" s="860"/>
      <c r="AS395" s="860"/>
      <c r="AT395" s="860"/>
      <c r="AU395" s="860"/>
      <c r="AV395" s="860"/>
      <c r="AW395" s="860"/>
      <c r="AX395" s="860"/>
      <c r="AY395" s="860"/>
      <c r="AZ395" s="860"/>
      <c r="BA395" s="860"/>
      <c r="BB395" s="860"/>
      <c r="BC395" s="860"/>
      <c r="BD395" s="860"/>
      <c r="BE395" s="860"/>
      <c r="BF395" s="860"/>
      <c r="BG395" s="860"/>
      <c r="BH395" s="668"/>
      <c r="BI395" s="654"/>
      <c r="BJ395" s="690">
        <f t="shared" si="160"/>
        <v>0</v>
      </c>
      <c r="BK395" s="691">
        <f t="shared" si="161"/>
        <v>0</v>
      </c>
      <c r="BL395" s="654"/>
      <c r="BM395" s="692">
        <f>SUMIFS(Imput[[Importe Neto]:[Importe Neto]],Imput[[C. Imp.]:[C. Imp.]],$D395,Imput[[PERIODO Imp.]:[PERIODO Imp.]],BM$9)</f>
        <v>0</v>
      </c>
      <c r="BN395" s="693">
        <f>SUMIFS(Imput[[Importe Neto]:[Importe Neto]],Imput[[C. Imp.]:[C. Imp.]],$D395,Imput[[PERIODO Imp.]:[PERIODO Imp.]],BN$9)</f>
        <v>0</v>
      </c>
      <c r="BO395" s="693">
        <f>SUMIFS(Imput[[Importe Neto]:[Importe Neto]],Imput[[C. Imp.]:[C. Imp.]],$D395,Imput[[PERIODO Imp.]:[PERIODO Imp.]],BO$9)</f>
        <v>0</v>
      </c>
      <c r="BP395" s="693">
        <f>SUMIFS(Imput[[Importe Neto]:[Importe Neto]],Imput[[C. Imp.]:[C. Imp.]],$D395,Imput[[PERIODO Imp.]:[PERIODO Imp.]],BP$9)</f>
        <v>0</v>
      </c>
      <c r="BQ395" s="693">
        <f>SUMIFS(Imput[[Importe Neto]:[Importe Neto]],Imput[[C. Imp.]:[C. Imp.]],$D395,Imput[[PERIODO Imp.]:[PERIODO Imp.]],BQ$9)</f>
        <v>0</v>
      </c>
      <c r="BR395" s="693">
        <f>SUMIFS(Imput[[Importe Neto]:[Importe Neto]],Imput[[C. Imp.]:[C. Imp.]],$D395,Imput[[PERIODO Imp.]:[PERIODO Imp.]],BR$9)</f>
        <v>0</v>
      </c>
      <c r="BS395" s="693">
        <f>SUMIFS(Imput[[Importe Neto]:[Importe Neto]],Imput[[C. Imp.]:[C. Imp.]],$D395,Imput[[PERIODO Imp.]:[PERIODO Imp.]],BS$9)</f>
        <v>0</v>
      </c>
      <c r="BT395" s="693">
        <f>SUMIFS(Imput[[Importe Neto]:[Importe Neto]],Imput[[C. Imp.]:[C. Imp.]],$D395,Imput[[PERIODO Imp.]:[PERIODO Imp.]],BT$9)</f>
        <v>0</v>
      </c>
      <c r="BU395" s="693">
        <f>SUMIFS(Imput[[Importe Neto]:[Importe Neto]],Imput[[C. Imp.]:[C. Imp.]],$D395,Imput[[PERIODO Imp.]:[PERIODO Imp.]],BU$9)</f>
        <v>0</v>
      </c>
      <c r="BV395" s="693">
        <f>SUMIFS(Imput[[Importe Neto]:[Importe Neto]],Imput[[C. Imp.]:[C. Imp.]],$D395,Imput[[PERIODO Imp.]:[PERIODO Imp.]],BV$9)</f>
        <v>0</v>
      </c>
      <c r="BW395" s="693">
        <f>SUMIFS(Imput[[Importe Neto]:[Importe Neto]],Imput[[C. Imp.]:[C. Imp.]],$D395,Imput[[PERIODO Imp.]:[PERIODO Imp.]],BW$9)</f>
        <v>0</v>
      </c>
      <c r="BX395" s="693">
        <f>SUMIFS(Imput[[Importe Neto]:[Importe Neto]],Imput[[C. Imp.]:[C. Imp.]],$D395,Imput[[PERIODO Imp.]:[PERIODO Imp.]],BX$9)</f>
        <v>0</v>
      </c>
      <c r="BY395" s="693">
        <f>SUMIFS(Imput[[Importe Neto]:[Importe Neto]],Imput[[C. Imp.]:[C. Imp.]],$D395,Imput[[PERIODO Imp.]:[PERIODO Imp.]],BY$9)</f>
        <v>0</v>
      </c>
      <c r="BZ395" s="693">
        <f>SUMIFS(Imput[[Importe Neto]:[Importe Neto]],Imput[[C. Imp.]:[C. Imp.]],$D395,Imput[[PERIODO Imp.]:[PERIODO Imp.]],BZ$9)</f>
        <v>0</v>
      </c>
      <c r="CA395" s="693">
        <f>SUMIFS(Imput[[Importe Neto]:[Importe Neto]],Imput[[C. Imp.]:[C. Imp.]],$D395,Imput[[PERIODO Imp.]:[PERIODO Imp.]],CA$9)</f>
        <v>0</v>
      </c>
      <c r="CB395" s="693">
        <f>SUMIFS(Imput[[Importe Neto]:[Importe Neto]],Imput[[C. Imp.]:[C. Imp.]],$D395,Imput[[PERIODO Imp.]:[PERIODO Imp.]],CB$9)</f>
        <v>0</v>
      </c>
      <c r="CC395" s="693">
        <f>SUMIFS(Imput[[Importe Neto]:[Importe Neto]],Imput[[C. Imp.]:[C. Imp.]],$D395,Imput[[PERIODO Imp.]:[PERIODO Imp.]],CC$9)</f>
        <v>0</v>
      </c>
      <c r="CD395" s="693">
        <f>SUMIFS(Imput[[Importe Neto]:[Importe Neto]],Imput[[C. Imp.]:[C. Imp.]],$D395,Imput[[PERIODO Imp.]:[PERIODO Imp.]],CD$9)</f>
        <v>0</v>
      </c>
      <c r="CE395" s="693">
        <f>SUMIFS(Imput[[Importe Neto]:[Importe Neto]],Imput[[C. Imp.]:[C. Imp.]],$D395,Imput[[PERIODO Imp.]:[PERIODO Imp.]],CE$9)</f>
        <v>0</v>
      </c>
      <c r="CF395" s="693">
        <f>SUMIFS(Imput[[Importe Neto]:[Importe Neto]],Imput[[C. Imp.]:[C. Imp.]],$D395,Imput[[PERIODO Imp.]:[PERIODO Imp.]],CF$9)</f>
        <v>0</v>
      </c>
      <c r="CG395" s="693">
        <f>SUMIFS(Imput[[Importe Neto]:[Importe Neto]],Imput[[C. Imp.]:[C. Imp.]],$D395,Imput[[PERIODO Imp.]:[PERIODO Imp.]],CG$9)</f>
        <v>0</v>
      </c>
      <c r="CH395" s="693">
        <f>SUMIFS(Imput[[Importe Neto]:[Importe Neto]],Imput[[C. Imp.]:[C. Imp.]],$D395,Imput[[PERIODO Imp.]:[PERIODO Imp.]],CH$9)</f>
        <v>0</v>
      </c>
      <c r="CI395" s="693">
        <f>SUMIFS(Imput[[Importe Neto]:[Importe Neto]],Imput[[C. Imp.]:[C. Imp.]],$D395,Imput[[PERIODO Imp.]:[PERIODO Imp.]],CI$9)</f>
        <v>0</v>
      </c>
      <c r="CJ395" s="693">
        <f>SUMIFS(Imput[[Importe Neto]:[Importe Neto]],Imput[[C. Imp.]:[C. Imp.]],$D395,Imput[[PERIODO Imp.]:[PERIODO Imp.]],CJ$9)</f>
        <v>0</v>
      </c>
      <c r="CK395" s="693">
        <f>SUMIFS(Imput[[Importe Neto]:[Importe Neto]],Imput[[C. Imp.]:[C. Imp.]],$D395,Imput[[PERIODO Imp.]:[PERIODO Imp.]],CK$9)</f>
        <v>0</v>
      </c>
      <c r="CL395" s="693">
        <f>SUMIFS(Imput[[Importe Neto]:[Importe Neto]],Imput[[C. Imp.]:[C. Imp.]],$D395,Imput[[PERIODO Imp.]:[PERIODO Imp.]],CL$9)</f>
        <v>0</v>
      </c>
      <c r="CM395" s="693">
        <f>SUMIFS(Imput[[Importe Neto]:[Importe Neto]],Imput[[C. Imp.]:[C. Imp.]],$D395,Imput[[PERIODO Imp.]:[PERIODO Imp.]],CM$9)</f>
        <v>0</v>
      </c>
      <c r="CN395" s="693">
        <f>SUMIFS(Imput[[Importe Neto]:[Importe Neto]],Imput[[C. Imp.]:[C. Imp.]],$D395,Imput[[PERIODO Imp.]:[PERIODO Imp.]],CN$9)</f>
        <v>0</v>
      </c>
      <c r="CO395" s="693">
        <f>SUMIFS(Imput[[Importe Neto]:[Importe Neto]],Imput[[C. Imp.]:[C. Imp.]],$D395,Imput[[PERIODO Imp.]:[PERIODO Imp.]],CO$9)</f>
        <v>0</v>
      </c>
      <c r="CP395" s="693">
        <f>SUMIFS(Imput[[Importe Neto]:[Importe Neto]],Imput[[C. Imp.]:[C. Imp.]],$D395,Imput[[PERIODO Imp.]:[PERIODO Imp.]],CP$9)</f>
        <v>0</v>
      </c>
      <c r="CQ395" s="693">
        <f>SUMIFS(Imput[[Importe Neto]:[Importe Neto]],Imput[[C. Imp.]:[C. Imp.]],$D395,Imput[[PERIODO Imp.]:[PERIODO Imp.]],CQ$9)</f>
        <v>0</v>
      </c>
      <c r="CR395" s="693">
        <f>SUMIFS(Imput[[Importe Neto]:[Importe Neto]],Imput[[C. Imp.]:[C. Imp.]],$D395,Imput[[PERIODO Imp.]:[PERIODO Imp.]],CR$9)</f>
        <v>0</v>
      </c>
      <c r="CS395" s="693">
        <f>SUMIFS(Imput[[Importe Neto]:[Importe Neto]],Imput[[C. Imp.]:[C. Imp.]],$D395,Imput[[PERIODO Imp.]:[PERIODO Imp.]],CS$9)</f>
        <v>0</v>
      </c>
      <c r="CT395" s="693">
        <f>SUMIFS(Imput[[Importe Neto]:[Importe Neto]],Imput[[C. Imp.]:[C. Imp.]],$D395,Imput[[PERIODO Imp.]:[PERIODO Imp.]],CT$9)</f>
        <v>0</v>
      </c>
      <c r="CU395" s="693">
        <f>SUMIFS(Imput[[Importe Neto]:[Importe Neto]],Imput[[C. Imp.]:[C. Imp.]],$D395,Imput[[PERIODO Imp.]:[PERIODO Imp.]],CU$9)</f>
        <v>0</v>
      </c>
      <c r="CV395" s="693">
        <f>SUMIFS(Imput[[Importe Neto]:[Importe Neto]],Imput[[C. Imp.]:[C. Imp.]],$D395,Imput[[PERIODO Imp.]:[PERIODO Imp.]],CV$9)</f>
        <v>0</v>
      </c>
      <c r="CW395" s="693">
        <f>SUMIFS(Imput[[Importe Neto]:[Importe Neto]],Imput[[C. Imp.]:[C. Imp.]],$D395,Imput[[PERIODO Imp.]:[PERIODO Imp.]],CW$9)</f>
        <v>0</v>
      </c>
      <c r="CX395" s="693">
        <f>SUMIFS(Imput[[Importe Neto]:[Importe Neto]],Imput[[C. Imp.]:[C. Imp.]],$D395,Imput[[PERIODO Imp.]:[PERIODO Imp.]],CX$9)</f>
        <v>0</v>
      </c>
      <c r="CY395" s="693">
        <f>SUMIFS(Imput[[Importe Neto]:[Importe Neto]],Imput[[C. Imp.]:[C. Imp.]],$D395,Imput[[PERIODO Imp.]:[PERIODO Imp.]],CY$9)</f>
        <v>0</v>
      </c>
      <c r="CZ395" s="693">
        <f>SUMIFS(Imput[[Importe Neto]:[Importe Neto]],Imput[[C. Imp.]:[C. Imp.]],$D395,Imput[[PERIODO Imp.]:[PERIODO Imp.]],CZ$9)</f>
        <v>0</v>
      </c>
      <c r="DA395" s="693">
        <f>SUMIFS(Imput[[Importe Neto]:[Importe Neto]],Imput[[C. Imp.]:[C. Imp.]],$D395,Imput[[PERIODO Imp.]:[PERIODO Imp.]],DA$9)</f>
        <v>0</v>
      </c>
      <c r="DB395" s="693">
        <f>SUMIFS(Imput[[Importe Neto]:[Importe Neto]],Imput[[C. Imp.]:[C. Imp.]],$D395,Imput[[PERIODO Imp.]:[PERIODO Imp.]],DB$9)</f>
        <v>0</v>
      </c>
      <c r="DC395" s="693">
        <f>SUMIFS(Imput[[Importe Neto]:[Importe Neto]],Imput[[C. Imp.]:[C. Imp.]],$D395,Imput[[PERIODO Imp.]:[PERIODO Imp.]],DC$9)</f>
        <v>0</v>
      </c>
      <c r="DD395" s="693">
        <f>SUMIFS(Imput[[Importe Neto]:[Importe Neto]],Imput[[C. Imp.]:[C. Imp.]],$D395,Imput[[PERIODO Imp.]:[PERIODO Imp.]],DD$9)</f>
        <v>0</v>
      </c>
      <c r="DE395" s="693">
        <f>SUMIFS(Imput[[Importe Neto]:[Importe Neto]],Imput[[C. Imp.]:[C. Imp.]],$D395,Imput[[PERIODO Imp.]:[PERIODO Imp.]],DE$9)</f>
        <v>0</v>
      </c>
      <c r="DF395" s="693">
        <f>SUMIFS(Imput[[Importe Neto]:[Importe Neto]],Imput[[C. Imp.]:[C. Imp.]],$D395,Imput[[PERIODO Imp.]:[PERIODO Imp.]],DF$9)</f>
        <v>0</v>
      </c>
      <c r="DG395" s="693">
        <f>SUMIFS(Imput[[Importe Neto]:[Importe Neto]],Imput[[C. Imp.]:[C. Imp.]],$D395,Imput[[PERIODO Imp.]:[PERIODO Imp.]],DG$9)</f>
        <v>0</v>
      </c>
      <c r="DH395" s="694">
        <f>SUMIFS(Imput[[Importe Neto]:[Importe Neto]],Imput[[C. Imp.]:[C. Imp.]],$D395,Imput[[PERIODO Imp.]:[PERIODO Imp.]],DH$9)</f>
        <v>0</v>
      </c>
    </row>
    <row r="396" spans="1:112" s="649" customFormat="1" hidden="1" outlineLevel="1" x14ac:dyDescent="0.3">
      <c r="A396" s="652" t="str">
        <f t="shared" si="154"/>
        <v/>
      </c>
      <c r="B396" s="652"/>
      <c r="C396" s="685"/>
      <c r="D396" s="686" t="s">
        <v>2456</v>
      </c>
      <c r="E396" s="686"/>
      <c r="F396" s="720"/>
      <c r="G396" s="688"/>
      <c r="H396" s="689"/>
      <c r="I396" s="851" t="str">
        <f t="shared" si="159"/>
        <v/>
      </c>
      <c r="J396" s="850" t="str">
        <f t="shared" si="156"/>
        <v/>
      </c>
      <c r="K396" s="667"/>
      <c r="L396" s="858"/>
      <c r="M396" s="859"/>
      <c r="N396" s="859"/>
      <c r="O396" s="859"/>
      <c r="P396" s="859"/>
      <c r="Q396" s="859"/>
      <c r="R396" s="859"/>
      <c r="S396" s="859"/>
      <c r="T396" s="859"/>
      <c r="U396" s="859"/>
      <c r="V396" s="859"/>
      <c r="W396" s="859"/>
      <c r="X396" s="859"/>
      <c r="Y396" s="859"/>
      <c r="Z396" s="860"/>
      <c r="AA396" s="860"/>
      <c r="AB396" s="860"/>
      <c r="AC396" s="860"/>
      <c r="AD396" s="860"/>
      <c r="AE396" s="860"/>
      <c r="AF396" s="860"/>
      <c r="AG396" s="860"/>
      <c r="AH396" s="860"/>
      <c r="AI396" s="860"/>
      <c r="AJ396" s="860"/>
      <c r="AK396" s="860"/>
      <c r="AL396" s="860"/>
      <c r="AM396" s="860"/>
      <c r="AN396" s="860"/>
      <c r="AO396" s="860"/>
      <c r="AP396" s="860"/>
      <c r="AQ396" s="860"/>
      <c r="AR396" s="860"/>
      <c r="AS396" s="860"/>
      <c r="AT396" s="860"/>
      <c r="AU396" s="860"/>
      <c r="AV396" s="860"/>
      <c r="AW396" s="860"/>
      <c r="AX396" s="860"/>
      <c r="AY396" s="860"/>
      <c r="AZ396" s="860"/>
      <c r="BA396" s="860"/>
      <c r="BB396" s="860"/>
      <c r="BC396" s="860"/>
      <c r="BD396" s="860"/>
      <c r="BE396" s="860"/>
      <c r="BF396" s="860"/>
      <c r="BG396" s="860"/>
      <c r="BH396" s="668"/>
      <c r="BI396" s="654"/>
      <c r="BJ396" s="690">
        <f t="shared" si="160"/>
        <v>0</v>
      </c>
      <c r="BK396" s="691">
        <f t="shared" si="161"/>
        <v>0</v>
      </c>
      <c r="BL396" s="654"/>
      <c r="BM396" s="692">
        <f>SUMIFS(Imput[[Importe Neto]:[Importe Neto]],Imput[[C. Imp.]:[C. Imp.]],$D396,Imput[[PERIODO Imp.]:[PERIODO Imp.]],BM$9)</f>
        <v>0</v>
      </c>
      <c r="BN396" s="693">
        <f>SUMIFS(Imput[[Importe Neto]:[Importe Neto]],Imput[[C. Imp.]:[C. Imp.]],$D396,Imput[[PERIODO Imp.]:[PERIODO Imp.]],BN$9)</f>
        <v>0</v>
      </c>
      <c r="BO396" s="693">
        <f>SUMIFS(Imput[[Importe Neto]:[Importe Neto]],Imput[[C. Imp.]:[C. Imp.]],$D396,Imput[[PERIODO Imp.]:[PERIODO Imp.]],BO$9)</f>
        <v>0</v>
      </c>
      <c r="BP396" s="693">
        <f>SUMIFS(Imput[[Importe Neto]:[Importe Neto]],Imput[[C. Imp.]:[C. Imp.]],$D396,Imput[[PERIODO Imp.]:[PERIODO Imp.]],BP$9)</f>
        <v>0</v>
      </c>
      <c r="BQ396" s="693">
        <f>SUMIFS(Imput[[Importe Neto]:[Importe Neto]],Imput[[C. Imp.]:[C. Imp.]],$D396,Imput[[PERIODO Imp.]:[PERIODO Imp.]],BQ$9)</f>
        <v>0</v>
      </c>
      <c r="BR396" s="693">
        <f>SUMIFS(Imput[[Importe Neto]:[Importe Neto]],Imput[[C. Imp.]:[C. Imp.]],$D396,Imput[[PERIODO Imp.]:[PERIODO Imp.]],BR$9)</f>
        <v>0</v>
      </c>
      <c r="BS396" s="693">
        <f>SUMIFS(Imput[[Importe Neto]:[Importe Neto]],Imput[[C. Imp.]:[C. Imp.]],$D396,Imput[[PERIODO Imp.]:[PERIODO Imp.]],BS$9)</f>
        <v>0</v>
      </c>
      <c r="BT396" s="693">
        <f>SUMIFS(Imput[[Importe Neto]:[Importe Neto]],Imput[[C. Imp.]:[C. Imp.]],$D396,Imput[[PERIODO Imp.]:[PERIODO Imp.]],BT$9)</f>
        <v>0</v>
      </c>
      <c r="BU396" s="693">
        <f>SUMIFS(Imput[[Importe Neto]:[Importe Neto]],Imput[[C. Imp.]:[C. Imp.]],$D396,Imput[[PERIODO Imp.]:[PERIODO Imp.]],BU$9)</f>
        <v>0</v>
      </c>
      <c r="BV396" s="693">
        <f>SUMIFS(Imput[[Importe Neto]:[Importe Neto]],Imput[[C. Imp.]:[C. Imp.]],$D396,Imput[[PERIODO Imp.]:[PERIODO Imp.]],BV$9)</f>
        <v>0</v>
      </c>
      <c r="BW396" s="693">
        <f>SUMIFS(Imput[[Importe Neto]:[Importe Neto]],Imput[[C. Imp.]:[C. Imp.]],$D396,Imput[[PERIODO Imp.]:[PERIODO Imp.]],BW$9)</f>
        <v>0</v>
      </c>
      <c r="BX396" s="693">
        <f>SUMIFS(Imput[[Importe Neto]:[Importe Neto]],Imput[[C. Imp.]:[C. Imp.]],$D396,Imput[[PERIODO Imp.]:[PERIODO Imp.]],BX$9)</f>
        <v>0</v>
      </c>
      <c r="BY396" s="693">
        <f>SUMIFS(Imput[[Importe Neto]:[Importe Neto]],Imput[[C. Imp.]:[C. Imp.]],$D396,Imput[[PERIODO Imp.]:[PERIODO Imp.]],BY$9)</f>
        <v>0</v>
      </c>
      <c r="BZ396" s="693">
        <f>SUMIFS(Imput[[Importe Neto]:[Importe Neto]],Imput[[C. Imp.]:[C. Imp.]],$D396,Imput[[PERIODO Imp.]:[PERIODO Imp.]],BZ$9)</f>
        <v>0</v>
      </c>
      <c r="CA396" s="693">
        <f>SUMIFS(Imput[[Importe Neto]:[Importe Neto]],Imput[[C. Imp.]:[C. Imp.]],$D396,Imput[[PERIODO Imp.]:[PERIODO Imp.]],CA$9)</f>
        <v>0</v>
      </c>
      <c r="CB396" s="693">
        <f>SUMIFS(Imput[[Importe Neto]:[Importe Neto]],Imput[[C. Imp.]:[C. Imp.]],$D396,Imput[[PERIODO Imp.]:[PERIODO Imp.]],CB$9)</f>
        <v>0</v>
      </c>
      <c r="CC396" s="693">
        <f>SUMIFS(Imput[[Importe Neto]:[Importe Neto]],Imput[[C. Imp.]:[C. Imp.]],$D396,Imput[[PERIODO Imp.]:[PERIODO Imp.]],CC$9)</f>
        <v>0</v>
      </c>
      <c r="CD396" s="693">
        <f>SUMIFS(Imput[[Importe Neto]:[Importe Neto]],Imput[[C. Imp.]:[C. Imp.]],$D396,Imput[[PERIODO Imp.]:[PERIODO Imp.]],CD$9)</f>
        <v>0</v>
      </c>
      <c r="CE396" s="693">
        <f>SUMIFS(Imput[[Importe Neto]:[Importe Neto]],Imput[[C. Imp.]:[C. Imp.]],$D396,Imput[[PERIODO Imp.]:[PERIODO Imp.]],CE$9)</f>
        <v>0</v>
      </c>
      <c r="CF396" s="693">
        <f>SUMIFS(Imput[[Importe Neto]:[Importe Neto]],Imput[[C. Imp.]:[C. Imp.]],$D396,Imput[[PERIODO Imp.]:[PERIODO Imp.]],CF$9)</f>
        <v>0</v>
      </c>
      <c r="CG396" s="693">
        <f>SUMIFS(Imput[[Importe Neto]:[Importe Neto]],Imput[[C. Imp.]:[C. Imp.]],$D396,Imput[[PERIODO Imp.]:[PERIODO Imp.]],CG$9)</f>
        <v>0</v>
      </c>
      <c r="CH396" s="693">
        <f>SUMIFS(Imput[[Importe Neto]:[Importe Neto]],Imput[[C. Imp.]:[C. Imp.]],$D396,Imput[[PERIODO Imp.]:[PERIODO Imp.]],CH$9)</f>
        <v>0</v>
      </c>
      <c r="CI396" s="693">
        <f>SUMIFS(Imput[[Importe Neto]:[Importe Neto]],Imput[[C. Imp.]:[C. Imp.]],$D396,Imput[[PERIODO Imp.]:[PERIODO Imp.]],CI$9)</f>
        <v>0</v>
      </c>
      <c r="CJ396" s="693">
        <f>SUMIFS(Imput[[Importe Neto]:[Importe Neto]],Imput[[C. Imp.]:[C. Imp.]],$D396,Imput[[PERIODO Imp.]:[PERIODO Imp.]],CJ$9)</f>
        <v>0</v>
      </c>
      <c r="CK396" s="693">
        <f>SUMIFS(Imput[[Importe Neto]:[Importe Neto]],Imput[[C. Imp.]:[C. Imp.]],$D396,Imput[[PERIODO Imp.]:[PERIODO Imp.]],CK$9)</f>
        <v>0</v>
      </c>
      <c r="CL396" s="693">
        <f>SUMIFS(Imput[[Importe Neto]:[Importe Neto]],Imput[[C. Imp.]:[C. Imp.]],$D396,Imput[[PERIODO Imp.]:[PERIODO Imp.]],CL$9)</f>
        <v>0</v>
      </c>
      <c r="CM396" s="693">
        <f>SUMIFS(Imput[[Importe Neto]:[Importe Neto]],Imput[[C. Imp.]:[C. Imp.]],$D396,Imput[[PERIODO Imp.]:[PERIODO Imp.]],CM$9)</f>
        <v>0</v>
      </c>
      <c r="CN396" s="693">
        <f>SUMIFS(Imput[[Importe Neto]:[Importe Neto]],Imput[[C. Imp.]:[C. Imp.]],$D396,Imput[[PERIODO Imp.]:[PERIODO Imp.]],CN$9)</f>
        <v>0</v>
      </c>
      <c r="CO396" s="693">
        <f>SUMIFS(Imput[[Importe Neto]:[Importe Neto]],Imput[[C. Imp.]:[C. Imp.]],$D396,Imput[[PERIODO Imp.]:[PERIODO Imp.]],CO$9)</f>
        <v>0</v>
      </c>
      <c r="CP396" s="693">
        <f>SUMIFS(Imput[[Importe Neto]:[Importe Neto]],Imput[[C. Imp.]:[C. Imp.]],$D396,Imput[[PERIODO Imp.]:[PERIODO Imp.]],CP$9)</f>
        <v>0</v>
      </c>
      <c r="CQ396" s="693">
        <f>SUMIFS(Imput[[Importe Neto]:[Importe Neto]],Imput[[C. Imp.]:[C. Imp.]],$D396,Imput[[PERIODO Imp.]:[PERIODO Imp.]],CQ$9)</f>
        <v>0</v>
      </c>
      <c r="CR396" s="693">
        <f>SUMIFS(Imput[[Importe Neto]:[Importe Neto]],Imput[[C. Imp.]:[C. Imp.]],$D396,Imput[[PERIODO Imp.]:[PERIODO Imp.]],CR$9)</f>
        <v>0</v>
      </c>
      <c r="CS396" s="693">
        <f>SUMIFS(Imput[[Importe Neto]:[Importe Neto]],Imput[[C. Imp.]:[C. Imp.]],$D396,Imput[[PERIODO Imp.]:[PERIODO Imp.]],CS$9)</f>
        <v>0</v>
      </c>
      <c r="CT396" s="693">
        <f>SUMIFS(Imput[[Importe Neto]:[Importe Neto]],Imput[[C. Imp.]:[C. Imp.]],$D396,Imput[[PERIODO Imp.]:[PERIODO Imp.]],CT$9)</f>
        <v>0</v>
      </c>
      <c r="CU396" s="693">
        <f>SUMIFS(Imput[[Importe Neto]:[Importe Neto]],Imput[[C. Imp.]:[C. Imp.]],$D396,Imput[[PERIODO Imp.]:[PERIODO Imp.]],CU$9)</f>
        <v>0</v>
      </c>
      <c r="CV396" s="693">
        <f>SUMIFS(Imput[[Importe Neto]:[Importe Neto]],Imput[[C. Imp.]:[C. Imp.]],$D396,Imput[[PERIODO Imp.]:[PERIODO Imp.]],CV$9)</f>
        <v>0</v>
      </c>
      <c r="CW396" s="693">
        <f>SUMIFS(Imput[[Importe Neto]:[Importe Neto]],Imput[[C. Imp.]:[C. Imp.]],$D396,Imput[[PERIODO Imp.]:[PERIODO Imp.]],CW$9)</f>
        <v>0</v>
      </c>
      <c r="CX396" s="693">
        <f>SUMIFS(Imput[[Importe Neto]:[Importe Neto]],Imput[[C. Imp.]:[C. Imp.]],$D396,Imput[[PERIODO Imp.]:[PERIODO Imp.]],CX$9)</f>
        <v>0</v>
      </c>
      <c r="CY396" s="693">
        <f>SUMIFS(Imput[[Importe Neto]:[Importe Neto]],Imput[[C. Imp.]:[C. Imp.]],$D396,Imput[[PERIODO Imp.]:[PERIODO Imp.]],CY$9)</f>
        <v>0</v>
      </c>
      <c r="CZ396" s="693">
        <f>SUMIFS(Imput[[Importe Neto]:[Importe Neto]],Imput[[C. Imp.]:[C. Imp.]],$D396,Imput[[PERIODO Imp.]:[PERIODO Imp.]],CZ$9)</f>
        <v>0</v>
      </c>
      <c r="DA396" s="693">
        <f>SUMIFS(Imput[[Importe Neto]:[Importe Neto]],Imput[[C. Imp.]:[C. Imp.]],$D396,Imput[[PERIODO Imp.]:[PERIODO Imp.]],DA$9)</f>
        <v>0</v>
      </c>
      <c r="DB396" s="693">
        <f>SUMIFS(Imput[[Importe Neto]:[Importe Neto]],Imput[[C. Imp.]:[C. Imp.]],$D396,Imput[[PERIODO Imp.]:[PERIODO Imp.]],DB$9)</f>
        <v>0</v>
      </c>
      <c r="DC396" s="693">
        <f>SUMIFS(Imput[[Importe Neto]:[Importe Neto]],Imput[[C. Imp.]:[C. Imp.]],$D396,Imput[[PERIODO Imp.]:[PERIODO Imp.]],DC$9)</f>
        <v>0</v>
      </c>
      <c r="DD396" s="693">
        <f>SUMIFS(Imput[[Importe Neto]:[Importe Neto]],Imput[[C. Imp.]:[C. Imp.]],$D396,Imput[[PERIODO Imp.]:[PERIODO Imp.]],DD$9)</f>
        <v>0</v>
      </c>
      <c r="DE396" s="693">
        <f>SUMIFS(Imput[[Importe Neto]:[Importe Neto]],Imput[[C. Imp.]:[C. Imp.]],$D396,Imput[[PERIODO Imp.]:[PERIODO Imp.]],DE$9)</f>
        <v>0</v>
      </c>
      <c r="DF396" s="693">
        <f>SUMIFS(Imput[[Importe Neto]:[Importe Neto]],Imput[[C. Imp.]:[C. Imp.]],$D396,Imput[[PERIODO Imp.]:[PERIODO Imp.]],DF$9)</f>
        <v>0</v>
      </c>
      <c r="DG396" s="693">
        <f>SUMIFS(Imput[[Importe Neto]:[Importe Neto]],Imput[[C. Imp.]:[C. Imp.]],$D396,Imput[[PERIODO Imp.]:[PERIODO Imp.]],DG$9)</f>
        <v>0</v>
      </c>
      <c r="DH396" s="694">
        <f>SUMIFS(Imput[[Importe Neto]:[Importe Neto]],Imput[[C. Imp.]:[C. Imp.]],$D396,Imput[[PERIODO Imp.]:[PERIODO Imp.]],DH$9)</f>
        <v>0</v>
      </c>
    </row>
    <row r="397" spans="1:112" s="649" customFormat="1" hidden="1" outlineLevel="1" x14ac:dyDescent="0.3">
      <c r="A397" s="652" t="str">
        <f t="shared" si="154"/>
        <v/>
      </c>
      <c r="B397" s="652"/>
      <c r="C397" s="685"/>
      <c r="D397" s="686" t="s">
        <v>2457</v>
      </c>
      <c r="E397" s="686"/>
      <c r="F397" s="720"/>
      <c r="G397" s="688"/>
      <c r="H397" s="689"/>
      <c r="I397" s="851" t="str">
        <f t="shared" si="159"/>
        <v/>
      </c>
      <c r="J397" s="850" t="str">
        <f t="shared" si="156"/>
        <v/>
      </c>
      <c r="K397" s="667"/>
      <c r="L397" s="858"/>
      <c r="M397" s="859"/>
      <c r="N397" s="859"/>
      <c r="O397" s="859"/>
      <c r="P397" s="859"/>
      <c r="Q397" s="859"/>
      <c r="R397" s="859"/>
      <c r="S397" s="859"/>
      <c r="T397" s="859"/>
      <c r="U397" s="859"/>
      <c r="V397" s="859"/>
      <c r="W397" s="859"/>
      <c r="X397" s="859"/>
      <c r="Y397" s="859"/>
      <c r="Z397" s="860"/>
      <c r="AA397" s="860"/>
      <c r="AB397" s="860"/>
      <c r="AC397" s="860"/>
      <c r="AD397" s="860"/>
      <c r="AE397" s="860"/>
      <c r="AF397" s="860"/>
      <c r="AG397" s="860"/>
      <c r="AH397" s="860"/>
      <c r="AI397" s="860"/>
      <c r="AJ397" s="860"/>
      <c r="AK397" s="860"/>
      <c r="AL397" s="860"/>
      <c r="AM397" s="860"/>
      <c r="AN397" s="860"/>
      <c r="AO397" s="860"/>
      <c r="AP397" s="860"/>
      <c r="AQ397" s="860"/>
      <c r="AR397" s="860"/>
      <c r="AS397" s="860"/>
      <c r="AT397" s="860"/>
      <c r="AU397" s="860"/>
      <c r="AV397" s="860"/>
      <c r="AW397" s="860"/>
      <c r="AX397" s="860"/>
      <c r="AY397" s="860"/>
      <c r="AZ397" s="860"/>
      <c r="BA397" s="860"/>
      <c r="BB397" s="860"/>
      <c r="BC397" s="860"/>
      <c r="BD397" s="860"/>
      <c r="BE397" s="860"/>
      <c r="BF397" s="860"/>
      <c r="BG397" s="860"/>
      <c r="BH397" s="668"/>
      <c r="BI397" s="654"/>
      <c r="BJ397" s="690">
        <f t="shared" si="160"/>
        <v>0</v>
      </c>
      <c r="BK397" s="691">
        <f t="shared" si="161"/>
        <v>0</v>
      </c>
      <c r="BL397" s="654"/>
      <c r="BM397" s="692">
        <f>SUMIFS(Imput[[Importe Neto]:[Importe Neto]],Imput[[C. Imp.]:[C. Imp.]],$D397,Imput[[PERIODO Imp.]:[PERIODO Imp.]],BM$9)</f>
        <v>0</v>
      </c>
      <c r="BN397" s="693">
        <f>SUMIFS(Imput[[Importe Neto]:[Importe Neto]],Imput[[C. Imp.]:[C. Imp.]],$D397,Imput[[PERIODO Imp.]:[PERIODO Imp.]],BN$9)</f>
        <v>0</v>
      </c>
      <c r="BO397" s="693">
        <f>SUMIFS(Imput[[Importe Neto]:[Importe Neto]],Imput[[C. Imp.]:[C. Imp.]],$D397,Imput[[PERIODO Imp.]:[PERIODO Imp.]],BO$9)</f>
        <v>0</v>
      </c>
      <c r="BP397" s="693">
        <f>SUMIFS(Imput[[Importe Neto]:[Importe Neto]],Imput[[C. Imp.]:[C. Imp.]],$D397,Imput[[PERIODO Imp.]:[PERIODO Imp.]],BP$9)</f>
        <v>0</v>
      </c>
      <c r="BQ397" s="693">
        <f>SUMIFS(Imput[[Importe Neto]:[Importe Neto]],Imput[[C. Imp.]:[C. Imp.]],$D397,Imput[[PERIODO Imp.]:[PERIODO Imp.]],BQ$9)</f>
        <v>0</v>
      </c>
      <c r="BR397" s="693">
        <f>SUMIFS(Imput[[Importe Neto]:[Importe Neto]],Imput[[C. Imp.]:[C. Imp.]],$D397,Imput[[PERIODO Imp.]:[PERIODO Imp.]],BR$9)</f>
        <v>0</v>
      </c>
      <c r="BS397" s="693">
        <f>SUMIFS(Imput[[Importe Neto]:[Importe Neto]],Imput[[C. Imp.]:[C. Imp.]],$D397,Imput[[PERIODO Imp.]:[PERIODO Imp.]],BS$9)</f>
        <v>0</v>
      </c>
      <c r="BT397" s="693">
        <f>SUMIFS(Imput[[Importe Neto]:[Importe Neto]],Imput[[C. Imp.]:[C. Imp.]],$D397,Imput[[PERIODO Imp.]:[PERIODO Imp.]],BT$9)</f>
        <v>0</v>
      </c>
      <c r="BU397" s="693">
        <f>SUMIFS(Imput[[Importe Neto]:[Importe Neto]],Imput[[C. Imp.]:[C. Imp.]],$D397,Imput[[PERIODO Imp.]:[PERIODO Imp.]],BU$9)</f>
        <v>0</v>
      </c>
      <c r="BV397" s="693">
        <f>SUMIFS(Imput[[Importe Neto]:[Importe Neto]],Imput[[C. Imp.]:[C. Imp.]],$D397,Imput[[PERIODO Imp.]:[PERIODO Imp.]],BV$9)</f>
        <v>0</v>
      </c>
      <c r="BW397" s="693">
        <f>SUMIFS(Imput[[Importe Neto]:[Importe Neto]],Imput[[C. Imp.]:[C. Imp.]],$D397,Imput[[PERIODO Imp.]:[PERIODO Imp.]],BW$9)</f>
        <v>0</v>
      </c>
      <c r="BX397" s="693">
        <f>SUMIFS(Imput[[Importe Neto]:[Importe Neto]],Imput[[C. Imp.]:[C. Imp.]],$D397,Imput[[PERIODO Imp.]:[PERIODO Imp.]],BX$9)</f>
        <v>0</v>
      </c>
      <c r="BY397" s="693">
        <f>SUMIFS(Imput[[Importe Neto]:[Importe Neto]],Imput[[C. Imp.]:[C. Imp.]],$D397,Imput[[PERIODO Imp.]:[PERIODO Imp.]],BY$9)</f>
        <v>0</v>
      </c>
      <c r="BZ397" s="693">
        <f>SUMIFS(Imput[[Importe Neto]:[Importe Neto]],Imput[[C. Imp.]:[C. Imp.]],$D397,Imput[[PERIODO Imp.]:[PERIODO Imp.]],BZ$9)</f>
        <v>0</v>
      </c>
      <c r="CA397" s="693">
        <f>SUMIFS(Imput[[Importe Neto]:[Importe Neto]],Imput[[C. Imp.]:[C. Imp.]],$D397,Imput[[PERIODO Imp.]:[PERIODO Imp.]],CA$9)</f>
        <v>0</v>
      </c>
      <c r="CB397" s="693">
        <f>SUMIFS(Imput[[Importe Neto]:[Importe Neto]],Imput[[C. Imp.]:[C. Imp.]],$D397,Imput[[PERIODO Imp.]:[PERIODO Imp.]],CB$9)</f>
        <v>0</v>
      </c>
      <c r="CC397" s="693">
        <f>SUMIFS(Imput[[Importe Neto]:[Importe Neto]],Imput[[C. Imp.]:[C. Imp.]],$D397,Imput[[PERIODO Imp.]:[PERIODO Imp.]],CC$9)</f>
        <v>0</v>
      </c>
      <c r="CD397" s="693">
        <f>SUMIFS(Imput[[Importe Neto]:[Importe Neto]],Imput[[C. Imp.]:[C. Imp.]],$D397,Imput[[PERIODO Imp.]:[PERIODO Imp.]],CD$9)</f>
        <v>0</v>
      </c>
      <c r="CE397" s="693">
        <f>SUMIFS(Imput[[Importe Neto]:[Importe Neto]],Imput[[C. Imp.]:[C. Imp.]],$D397,Imput[[PERIODO Imp.]:[PERIODO Imp.]],CE$9)</f>
        <v>0</v>
      </c>
      <c r="CF397" s="693">
        <f>SUMIFS(Imput[[Importe Neto]:[Importe Neto]],Imput[[C. Imp.]:[C. Imp.]],$D397,Imput[[PERIODO Imp.]:[PERIODO Imp.]],CF$9)</f>
        <v>0</v>
      </c>
      <c r="CG397" s="693">
        <f>SUMIFS(Imput[[Importe Neto]:[Importe Neto]],Imput[[C. Imp.]:[C. Imp.]],$D397,Imput[[PERIODO Imp.]:[PERIODO Imp.]],CG$9)</f>
        <v>0</v>
      </c>
      <c r="CH397" s="693">
        <f>SUMIFS(Imput[[Importe Neto]:[Importe Neto]],Imput[[C. Imp.]:[C. Imp.]],$D397,Imput[[PERIODO Imp.]:[PERIODO Imp.]],CH$9)</f>
        <v>0</v>
      </c>
      <c r="CI397" s="693">
        <f>SUMIFS(Imput[[Importe Neto]:[Importe Neto]],Imput[[C. Imp.]:[C. Imp.]],$D397,Imput[[PERIODO Imp.]:[PERIODO Imp.]],CI$9)</f>
        <v>0</v>
      </c>
      <c r="CJ397" s="693">
        <f>SUMIFS(Imput[[Importe Neto]:[Importe Neto]],Imput[[C. Imp.]:[C. Imp.]],$D397,Imput[[PERIODO Imp.]:[PERIODO Imp.]],CJ$9)</f>
        <v>0</v>
      </c>
      <c r="CK397" s="693">
        <f>SUMIFS(Imput[[Importe Neto]:[Importe Neto]],Imput[[C. Imp.]:[C. Imp.]],$D397,Imput[[PERIODO Imp.]:[PERIODO Imp.]],CK$9)</f>
        <v>0</v>
      </c>
      <c r="CL397" s="693">
        <f>SUMIFS(Imput[[Importe Neto]:[Importe Neto]],Imput[[C. Imp.]:[C. Imp.]],$D397,Imput[[PERIODO Imp.]:[PERIODO Imp.]],CL$9)</f>
        <v>0</v>
      </c>
      <c r="CM397" s="693">
        <f>SUMIFS(Imput[[Importe Neto]:[Importe Neto]],Imput[[C. Imp.]:[C. Imp.]],$D397,Imput[[PERIODO Imp.]:[PERIODO Imp.]],CM$9)</f>
        <v>0</v>
      </c>
      <c r="CN397" s="693">
        <f>SUMIFS(Imput[[Importe Neto]:[Importe Neto]],Imput[[C. Imp.]:[C. Imp.]],$D397,Imput[[PERIODO Imp.]:[PERIODO Imp.]],CN$9)</f>
        <v>0</v>
      </c>
      <c r="CO397" s="693">
        <f>SUMIFS(Imput[[Importe Neto]:[Importe Neto]],Imput[[C. Imp.]:[C. Imp.]],$D397,Imput[[PERIODO Imp.]:[PERIODO Imp.]],CO$9)</f>
        <v>0</v>
      </c>
      <c r="CP397" s="693">
        <f>SUMIFS(Imput[[Importe Neto]:[Importe Neto]],Imput[[C. Imp.]:[C. Imp.]],$D397,Imput[[PERIODO Imp.]:[PERIODO Imp.]],CP$9)</f>
        <v>0</v>
      </c>
      <c r="CQ397" s="693">
        <f>SUMIFS(Imput[[Importe Neto]:[Importe Neto]],Imput[[C. Imp.]:[C. Imp.]],$D397,Imput[[PERIODO Imp.]:[PERIODO Imp.]],CQ$9)</f>
        <v>0</v>
      </c>
      <c r="CR397" s="693">
        <f>SUMIFS(Imput[[Importe Neto]:[Importe Neto]],Imput[[C. Imp.]:[C. Imp.]],$D397,Imput[[PERIODO Imp.]:[PERIODO Imp.]],CR$9)</f>
        <v>0</v>
      </c>
      <c r="CS397" s="693">
        <f>SUMIFS(Imput[[Importe Neto]:[Importe Neto]],Imput[[C. Imp.]:[C. Imp.]],$D397,Imput[[PERIODO Imp.]:[PERIODO Imp.]],CS$9)</f>
        <v>0</v>
      </c>
      <c r="CT397" s="693">
        <f>SUMIFS(Imput[[Importe Neto]:[Importe Neto]],Imput[[C. Imp.]:[C. Imp.]],$D397,Imput[[PERIODO Imp.]:[PERIODO Imp.]],CT$9)</f>
        <v>0</v>
      </c>
      <c r="CU397" s="693">
        <f>SUMIFS(Imput[[Importe Neto]:[Importe Neto]],Imput[[C. Imp.]:[C. Imp.]],$D397,Imput[[PERIODO Imp.]:[PERIODO Imp.]],CU$9)</f>
        <v>0</v>
      </c>
      <c r="CV397" s="693">
        <f>SUMIFS(Imput[[Importe Neto]:[Importe Neto]],Imput[[C. Imp.]:[C. Imp.]],$D397,Imput[[PERIODO Imp.]:[PERIODO Imp.]],CV$9)</f>
        <v>0</v>
      </c>
      <c r="CW397" s="693">
        <f>SUMIFS(Imput[[Importe Neto]:[Importe Neto]],Imput[[C. Imp.]:[C. Imp.]],$D397,Imput[[PERIODO Imp.]:[PERIODO Imp.]],CW$9)</f>
        <v>0</v>
      </c>
      <c r="CX397" s="693">
        <f>SUMIFS(Imput[[Importe Neto]:[Importe Neto]],Imput[[C. Imp.]:[C. Imp.]],$D397,Imput[[PERIODO Imp.]:[PERIODO Imp.]],CX$9)</f>
        <v>0</v>
      </c>
      <c r="CY397" s="693">
        <f>SUMIFS(Imput[[Importe Neto]:[Importe Neto]],Imput[[C. Imp.]:[C. Imp.]],$D397,Imput[[PERIODO Imp.]:[PERIODO Imp.]],CY$9)</f>
        <v>0</v>
      </c>
      <c r="CZ397" s="693">
        <f>SUMIFS(Imput[[Importe Neto]:[Importe Neto]],Imput[[C. Imp.]:[C. Imp.]],$D397,Imput[[PERIODO Imp.]:[PERIODO Imp.]],CZ$9)</f>
        <v>0</v>
      </c>
      <c r="DA397" s="693">
        <f>SUMIFS(Imput[[Importe Neto]:[Importe Neto]],Imput[[C. Imp.]:[C. Imp.]],$D397,Imput[[PERIODO Imp.]:[PERIODO Imp.]],DA$9)</f>
        <v>0</v>
      </c>
      <c r="DB397" s="693">
        <f>SUMIFS(Imput[[Importe Neto]:[Importe Neto]],Imput[[C. Imp.]:[C. Imp.]],$D397,Imput[[PERIODO Imp.]:[PERIODO Imp.]],DB$9)</f>
        <v>0</v>
      </c>
      <c r="DC397" s="693">
        <f>SUMIFS(Imput[[Importe Neto]:[Importe Neto]],Imput[[C. Imp.]:[C. Imp.]],$D397,Imput[[PERIODO Imp.]:[PERIODO Imp.]],DC$9)</f>
        <v>0</v>
      </c>
      <c r="DD397" s="693">
        <f>SUMIFS(Imput[[Importe Neto]:[Importe Neto]],Imput[[C. Imp.]:[C. Imp.]],$D397,Imput[[PERIODO Imp.]:[PERIODO Imp.]],DD$9)</f>
        <v>0</v>
      </c>
      <c r="DE397" s="693">
        <f>SUMIFS(Imput[[Importe Neto]:[Importe Neto]],Imput[[C. Imp.]:[C. Imp.]],$D397,Imput[[PERIODO Imp.]:[PERIODO Imp.]],DE$9)</f>
        <v>0</v>
      </c>
      <c r="DF397" s="693">
        <f>SUMIFS(Imput[[Importe Neto]:[Importe Neto]],Imput[[C. Imp.]:[C. Imp.]],$D397,Imput[[PERIODO Imp.]:[PERIODO Imp.]],DF$9)</f>
        <v>0</v>
      </c>
      <c r="DG397" s="693">
        <f>SUMIFS(Imput[[Importe Neto]:[Importe Neto]],Imput[[C. Imp.]:[C. Imp.]],$D397,Imput[[PERIODO Imp.]:[PERIODO Imp.]],DG$9)</f>
        <v>0</v>
      </c>
      <c r="DH397" s="694">
        <f>SUMIFS(Imput[[Importe Neto]:[Importe Neto]],Imput[[C. Imp.]:[C. Imp.]],$D397,Imput[[PERIODO Imp.]:[PERIODO Imp.]],DH$9)</f>
        <v>0</v>
      </c>
    </row>
    <row r="398" spans="1:112" s="649" customFormat="1" hidden="1" outlineLevel="1" x14ac:dyDescent="0.3">
      <c r="A398" s="652" t="str">
        <f t="shared" si="154"/>
        <v/>
      </c>
      <c r="B398" s="652"/>
      <c r="C398" s="685"/>
      <c r="D398" s="686" t="s">
        <v>2458</v>
      </c>
      <c r="E398" s="686"/>
      <c r="F398" s="720"/>
      <c r="G398" s="688"/>
      <c r="H398" s="689"/>
      <c r="I398" s="851" t="str">
        <f t="shared" si="159"/>
        <v/>
      </c>
      <c r="J398" s="850" t="str">
        <f t="shared" si="156"/>
        <v/>
      </c>
      <c r="K398" s="678"/>
      <c r="L398" s="858"/>
      <c r="M398" s="859"/>
      <c r="N398" s="859"/>
      <c r="O398" s="859"/>
      <c r="P398" s="859"/>
      <c r="Q398" s="859"/>
      <c r="R398" s="859"/>
      <c r="S398" s="859"/>
      <c r="T398" s="859"/>
      <c r="U398" s="859"/>
      <c r="V398" s="859"/>
      <c r="W398" s="859"/>
      <c r="X398" s="859"/>
      <c r="Y398" s="859"/>
      <c r="Z398" s="860"/>
      <c r="AA398" s="860"/>
      <c r="AB398" s="860"/>
      <c r="AC398" s="860"/>
      <c r="AD398" s="860"/>
      <c r="AE398" s="860"/>
      <c r="AF398" s="860"/>
      <c r="AG398" s="860"/>
      <c r="AH398" s="860"/>
      <c r="AI398" s="860"/>
      <c r="AJ398" s="860"/>
      <c r="AK398" s="860"/>
      <c r="AL398" s="860"/>
      <c r="AM398" s="860"/>
      <c r="AN398" s="860"/>
      <c r="AO398" s="860"/>
      <c r="AP398" s="860"/>
      <c r="AQ398" s="860"/>
      <c r="AR398" s="860"/>
      <c r="AS398" s="860"/>
      <c r="AT398" s="860"/>
      <c r="AU398" s="860"/>
      <c r="AV398" s="860"/>
      <c r="AW398" s="860"/>
      <c r="AX398" s="860"/>
      <c r="AY398" s="860"/>
      <c r="AZ398" s="860"/>
      <c r="BA398" s="860"/>
      <c r="BB398" s="860"/>
      <c r="BC398" s="860"/>
      <c r="BD398" s="860"/>
      <c r="BE398" s="860"/>
      <c r="BF398" s="860"/>
      <c r="BG398" s="860"/>
      <c r="BH398" s="668"/>
      <c r="BI398" s="654"/>
      <c r="BJ398" s="690">
        <f t="shared" si="160"/>
        <v>0</v>
      </c>
      <c r="BK398" s="691">
        <f t="shared" si="161"/>
        <v>0</v>
      </c>
      <c r="BL398" s="654"/>
      <c r="BM398" s="692">
        <f>SUMIFS(Imput[[Importe Neto]:[Importe Neto]],Imput[[C. Imp.]:[C. Imp.]],$D398,Imput[[PERIODO Imp.]:[PERIODO Imp.]],BM$9)</f>
        <v>0</v>
      </c>
      <c r="BN398" s="693">
        <f>SUMIFS(Imput[[Importe Neto]:[Importe Neto]],Imput[[C. Imp.]:[C. Imp.]],$D398,Imput[[PERIODO Imp.]:[PERIODO Imp.]],BN$9)</f>
        <v>0</v>
      </c>
      <c r="BO398" s="693">
        <f>SUMIFS(Imput[[Importe Neto]:[Importe Neto]],Imput[[C. Imp.]:[C. Imp.]],$D398,Imput[[PERIODO Imp.]:[PERIODO Imp.]],BO$9)</f>
        <v>0</v>
      </c>
      <c r="BP398" s="693">
        <f>SUMIFS(Imput[[Importe Neto]:[Importe Neto]],Imput[[C. Imp.]:[C. Imp.]],$D398,Imput[[PERIODO Imp.]:[PERIODO Imp.]],BP$9)</f>
        <v>0</v>
      </c>
      <c r="BQ398" s="693">
        <f>SUMIFS(Imput[[Importe Neto]:[Importe Neto]],Imput[[C. Imp.]:[C. Imp.]],$D398,Imput[[PERIODO Imp.]:[PERIODO Imp.]],BQ$9)</f>
        <v>0</v>
      </c>
      <c r="BR398" s="693">
        <f>SUMIFS(Imput[[Importe Neto]:[Importe Neto]],Imput[[C. Imp.]:[C. Imp.]],$D398,Imput[[PERIODO Imp.]:[PERIODO Imp.]],BR$9)</f>
        <v>0</v>
      </c>
      <c r="BS398" s="693">
        <f>SUMIFS(Imput[[Importe Neto]:[Importe Neto]],Imput[[C. Imp.]:[C. Imp.]],$D398,Imput[[PERIODO Imp.]:[PERIODO Imp.]],BS$9)</f>
        <v>0</v>
      </c>
      <c r="BT398" s="693">
        <f>SUMIFS(Imput[[Importe Neto]:[Importe Neto]],Imput[[C. Imp.]:[C. Imp.]],$D398,Imput[[PERIODO Imp.]:[PERIODO Imp.]],BT$9)</f>
        <v>0</v>
      </c>
      <c r="BU398" s="693">
        <f>SUMIFS(Imput[[Importe Neto]:[Importe Neto]],Imput[[C. Imp.]:[C. Imp.]],$D398,Imput[[PERIODO Imp.]:[PERIODO Imp.]],BU$9)</f>
        <v>0</v>
      </c>
      <c r="BV398" s="693">
        <f>SUMIFS(Imput[[Importe Neto]:[Importe Neto]],Imput[[C. Imp.]:[C. Imp.]],$D398,Imput[[PERIODO Imp.]:[PERIODO Imp.]],BV$9)</f>
        <v>0</v>
      </c>
      <c r="BW398" s="693">
        <f>SUMIFS(Imput[[Importe Neto]:[Importe Neto]],Imput[[C. Imp.]:[C. Imp.]],$D398,Imput[[PERIODO Imp.]:[PERIODO Imp.]],BW$9)</f>
        <v>0</v>
      </c>
      <c r="BX398" s="693">
        <f>SUMIFS(Imput[[Importe Neto]:[Importe Neto]],Imput[[C. Imp.]:[C. Imp.]],$D398,Imput[[PERIODO Imp.]:[PERIODO Imp.]],BX$9)</f>
        <v>0</v>
      </c>
      <c r="BY398" s="693">
        <f>SUMIFS(Imput[[Importe Neto]:[Importe Neto]],Imput[[C. Imp.]:[C. Imp.]],$D398,Imput[[PERIODO Imp.]:[PERIODO Imp.]],BY$9)</f>
        <v>0</v>
      </c>
      <c r="BZ398" s="693">
        <f>SUMIFS(Imput[[Importe Neto]:[Importe Neto]],Imput[[C. Imp.]:[C. Imp.]],$D398,Imput[[PERIODO Imp.]:[PERIODO Imp.]],BZ$9)</f>
        <v>0</v>
      </c>
      <c r="CA398" s="693">
        <f>SUMIFS(Imput[[Importe Neto]:[Importe Neto]],Imput[[C. Imp.]:[C. Imp.]],$D398,Imput[[PERIODO Imp.]:[PERIODO Imp.]],CA$9)</f>
        <v>0</v>
      </c>
      <c r="CB398" s="693">
        <f>SUMIFS(Imput[[Importe Neto]:[Importe Neto]],Imput[[C. Imp.]:[C. Imp.]],$D398,Imput[[PERIODO Imp.]:[PERIODO Imp.]],CB$9)</f>
        <v>0</v>
      </c>
      <c r="CC398" s="693">
        <f>SUMIFS(Imput[[Importe Neto]:[Importe Neto]],Imput[[C. Imp.]:[C. Imp.]],$D398,Imput[[PERIODO Imp.]:[PERIODO Imp.]],CC$9)</f>
        <v>0</v>
      </c>
      <c r="CD398" s="693">
        <f>SUMIFS(Imput[[Importe Neto]:[Importe Neto]],Imput[[C. Imp.]:[C. Imp.]],$D398,Imput[[PERIODO Imp.]:[PERIODO Imp.]],CD$9)</f>
        <v>0</v>
      </c>
      <c r="CE398" s="693">
        <f>SUMIFS(Imput[[Importe Neto]:[Importe Neto]],Imput[[C. Imp.]:[C. Imp.]],$D398,Imput[[PERIODO Imp.]:[PERIODO Imp.]],CE$9)</f>
        <v>0</v>
      </c>
      <c r="CF398" s="693">
        <f>SUMIFS(Imput[[Importe Neto]:[Importe Neto]],Imput[[C. Imp.]:[C. Imp.]],$D398,Imput[[PERIODO Imp.]:[PERIODO Imp.]],CF$9)</f>
        <v>0</v>
      </c>
      <c r="CG398" s="693">
        <f>SUMIFS(Imput[[Importe Neto]:[Importe Neto]],Imput[[C. Imp.]:[C. Imp.]],$D398,Imput[[PERIODO Imp.]:[PERIODO Imp.]],CG$9)</f>
        <v>0</v>
      </c>
      <c r="CH398" s="693">
        <f>SUMIFS(Imput[[Importe Neto]:[Importe Neto]],Imput[[C. Imp.]:[C. Imp.]],$D398,Imput[[PERIODO Imp.]:[PERIODO Imp.]],CH$9)</f>
        <v>0</v>
      </c>
      <c r="CI398" s="693">
        <f>SUMIFS(Imput[[Importe Neto]:[Importe Neto]],Imput[[C. Imp.]:[C. Imp.]],$D398,Imput[[PERIODO Imp.]:[PERIODO Imp.]],CI$9)</f>
        <v>0</v>
      </c>
      <c r="CJ398" s="693">
        <f>SUMIFS(Imput[[Importe Neto]:[Importe Neto]],Imput[[C. Imp.]:[C. Imp.]],$D398,Imput[[PERIODO Imp.]:[PERIODO Imp.]],CJ$9)</f>
        <v>0</v>
      </c>
      <c r="CK398" s="693">
        <f>SUMIFS(Imput[[Importe Neto]:[Importe Neto]],Imput[[C. Imp.]:[C. Imp.]],$D398,Imput[[PERIODO Imp.]:[PERIODO Imp.]],CK$9)</f>
        <v>0</v>
      </c>
      <c r="CL398" s="693">
        <f>SUMIFS(Imput[[Importe Neto]:[Importe Neto]],Imput[[C. Imp.]:[C. Imp.]],$D398,Imput[[PERIODO Imp.]:[PERIODO Imp.]],CL$9)</f>
        <v>0</v>
      </c>
      <c r="CM398" s="693">
        <f>SUMIFS(Imput[[Importe Neto]:[Importe Neto]],Imput[[C. Imp.]:[C. Imp.]],$D398,Imput[[PERIODO Imp.]:[PERIODO Imp.]],CM$9)</f>
        <v>0</v>
      </c>
      <c r="CN398" s="693">
        <f>SUMIFS(Imput[[Importe Neto]:[Importe Neto]],Imput[[C. Imp.]:[C. Imp.]],$D398,Imput[[PERIODO Imp.]:[PERIODO Imp.]],CN$9)</f>
        <v>0</v>
      </c>
      <c r="CO398" s="693">
        <f>SUMIFS(Imput[[Importe Neto]:[Importe Neto]],Imput[[C. Imp.]:[C. Imp.]],$D398,Imput[[PERIODO Imp.]:[PERIODO Imp.]],CO$9)</f>
        <v>0</v>
      </c>
      <c r="CP398" s="693">
        <f>SUMIFS(Imput[[Importe Neto]:[Importe Neto]],Imput[[C. Imp.]:[C. Imp.]],$D398,Imput[[PERIODO Imp.]:[PERIODO Imp.]],CP$9)</f>
        <v>0</v>
      </c>
      <c r="CQ398" s="693">
        <f>SUMIFS(Imput[[Importe Neto]:[Importe Neto]],Imput[[C. Imp.]:[C. Imp.]],$D398,Imput[[PERIODO Imp.]:[PERIODO Imp.]],CQ$9)</f>
        <v>0</v>
      </c>
      <c r="CR398" s="693">
        <f>SUMIFS(Imput[[Importe Neto]:[Importe Neto]],Imput[[C. Imp.]:[C. Imp.]],$D398,Imput[[PERIODO Imp.]:[PERIODO Imp.]],CR$9)</f>
        <v>0</v>
      </c>
      <c r="CS398" s="693">
        <f>SUMIFS(Imput[[Importe Neto]:[Importe Neto]],Imput[[C. Imp.]:[C. Imp.]],$D398,Imput[[PERIODO Imp.]:[PERIODO Imp.]],CS$9)</f>
        <v>0</v>
      </c>
      <c r="CT398" s="693">
        <f>SUMIFS(Imput[[Importe Neto]:[Importe Neto]],Imput[[C. Imp.]:[C. Imp.]],$D398,Imput[[PERIODO Imp.]:[PERIODO Imp.]],CT$9)</f>
        <v>0</v>
      </c>
      <c r="CU398" s="693">
        <f>SUMIFS(Imput[[Importe Neto]:[Importe Neto]],Imput[[C. Imp.]:[C. Imp.]],$D398,Imput[[PERIODO Imp.]:[PERIODO Imp.]],CU$9)</f>
        <v>0</v>
      </c>
      <c r="CV398" s="693">
        <f>SUMIFS(Imput[[Importe Neto]:[Importe Neto]],Imput[[C. Imp.]:[C. Imp.]],$D398,Imput[[PERIODO Imp.]:[PERIODO Imp.]],CV$9)</f>
        <v>0</v>
      </c>
      <c r="CW398" s="693">
        <f>SUMIFS(Imput[[Importe Neto]:[Importe Neto]],Imput[[C. Imp.]:[C. Imp.]],$D398,Imput[[PERIODO Imp.]:[PERIODO Imp.]],CW$9)</f>
        <v>0</v>
      </c>
      <c r="CX398" s="693">
        <f>SUMIFS(Imput[[Importe Neto]:[Importe Neto]],Imput[[C. Imp.]:[C. Imp.]],$D398,Imput[[PERIODO Imp.]:[PERIODO Imp.]],CX$9)</f>
        <v>0</v>
      </c>
      <c r="CY398" s="693">
        <f>SUMIFS(Imput[[Importe Neto]:[Importe Neto]],Imput[[C. Imp.]:[C. Imp.]],$D398,Imput[[PERIODO Imp.]:[PERIODO Imp.]],CY$9)</f>
        <v>0</v>
      </c>
      <c r="CZ398" s="693">
        <f>SUMIFS(Imput[[Importe Neto]:[Importe Neto]],Imput[[C. Imp.]:[C. Imp.]],$D398,Imput[[PERIODO Imp.]:[PERIODO Imp.]],CZ$9)</f>
        <v>0</v>
      </c>
      <c r="DA398" s="693">
        <f>SUMIFS(Imput[[Importe Neto]:[Importe Neto]],Imput[[C. Imp.]:[C. Imp.]],$D398,Imput[[PERIODO Imp.]:[PERIODO Imp.]],DA$9)</f>
        <v>0</v>
      </c>
      <c r="DB398" s="693">
        <f>SUMIFS(Imput[[Importe Neto]:[Importe Neto]],Imput[[C. Imp.]:[C. Imp.]],$D398,Imput[[PERIODO Imp.]:[PERIODO Imp.]],DB$9)</f>
        <v>0</v>
      </c>
      <c r="DC398" s="693">
        <f>SUMIFS(Imput[[Importe Neto]:[Importe Neto]],Imput[[C. Imp.]:[C. Imp.]],$D398,Imput[[PERIODO Imp.]:[PERIODO Imp.]],DC$9)</f>
        <v>0</v>
      </c>
      <c r="DD398" s="693">
        <f>SUMIFS(Imput[[Importe Neto]:[Importe Neto]],Imput[[C. Imp.]:[C. Imp.]],$D398,Imput[[PERIODO Imp.]:[PERIODO Imp.]],DD$9)</f>
        <v>0</v>
      </c>
      <c r="DE398" s="693">
        <f>SUMIFS(Imput[[Importe Neto]:[Importe Neto]],Imput[[C. Imp.]:[C. Imp.]],$D398,Imput[[PERIODO Imp.]:[PERIODO Imp.]],DE$9)</f>
        <v>0</v>
      </c>
      <c r="DF398" s="693">
        <f>SUMIFS(Imput[[Importe Neto]:[Importe Neto]],Imput[[C. Imp.]:[C. Imp.]],$D398,Imput[[PERIODO Imp.]:[PERIODO Imp.]],DF$9)</f>
        <v>0</v>
      </c>
      <c r="DG398" s="693">
        <f>SUMIFS(Imput[[Importe Neto]:[Importe Neto]],Imput[[C. Imp.]:[C. Imp.]],$D398,Imput[[PERIODO Imp.]:[PERIODO Imp.]],DG$9)</f>
        <v>0</v>
      </c>
      <c r="DH398" s="694">
        <f>SUMIFS(Imput[[Importe Neto]:[Importe Neto]],Imput[[C. Imp.]:[C. Imp.]],$D398,Imput[[PERIODO Imp.]:[PERIODO Imp.]],DH$9)</f>
        <v>0</v>
      </c>
    </row>
    <row r="399" spans="1:112" s="649" customFormat="1" hidden="1" outlineLevel="1" x14ac:dyDescent="0.3">
      <c r="A399" s="652" t="str">
        <f t="shared" si="154"/>
        <v/>
      </c>
      <c r="B399" s="652"/>
      <c r="C399" s="685"/>
      <c r="D399" s="686" t="s">
        <v>2459</v>
      </c>
      <c r="E399" s="728"/>
      <c r="F399" s="720"/>
      <c r="G399" s="688"/>
      <c r="H399" s="689"/>
      <c r="I399" s="851" t="str">
        <f t="shared" si="159"/>
        <v/>
      </c>
      <c r="J399" s="850" t="str">
        <f t="shared" si="156"/>
        <v/>
      </c>
      <c r="K399" s="667"/>
      <c r="L399" s="858"/>
      <c r="M399" s="859"/>
      <c r="N399" s="859"/>
      <c r="O399" s="859"/>
      <c r="P399" s="859"/>
      <c r="Q399" s="859"/>
      <c r="R399" s="859"/>
      <c r="S399" s="859"/>
      <c r="T399" s="859"/>
      <c r="U399" s="859"/>
      <c r="V399" s="859"/>
      <c r="W399" s="859"/>
      <c r="X399" s="859"/>
      <c r="Y399" s="859"/>
      <c r="Z399" s="860"/>
      <c r="AA399" s="860"/>
      <c r="AB399" s="860"/>
      <c r="AC399" s="860"/>
      <c r="AD399" s="860"/>
      <c r="AE399" s="860"/>
      <c r="AF399" s="860"/>
      <c r="AG399" s="860"/>
      <c r="AH399" s="860"/>
      <c r="AI399" s="860"/>
      <c r="AJ399" s="860"/>
      <c r="AK399" s="860"/>
      <c r="AL399" s="860"/>
      <c r="AM399" s="860"/>
      <c r="AN399" s="860"/>
      <c r="AO399" s="860"/>
      <c r="AP399" s="860"/>
      <c r="AQ399" s="860"/>
      <c r="AR399" s="860"/>
      <c r="AS399" s="860"/>
      <c r="AT399" s="860"/>
      <c r="AU399" s="860"/>
      <c r="AV399" s="860"/>
      <c r="AW399" s="860"/>
      <c r="AX399" s="860"/>
      <c r="AY399" s="860"/>
      <c r="AZ399" s="860"/>
      <c r="BA399" s="860"/>
      <c r="BB399" s="860"/>
      <c r="BC399" s="860"/>
      <c r="BD399" s="860"/>
      <c r="BE399" s="860"/>
      <c r="BF399" s="860"/>
      <c r="BG399" s="860"/>
      <c r="BH399" s="668"/>
      <c r="BI399" s="667"/>
      <c r="BJ399" s="690">
        <f t="shared" si="160"/>
        <v>0</v>
      </c>
      <c r="BK399" s="691">
        <f t="shared" si="161"/>
        <v>0</v>
      </c>
      <c r="BL399" s="654"/>
      <c r="BM399" s="692">
        <f>SUMIFS(Imput[[Importe Neto]:[Importe Neto]],Imput[[C. Imp.]:[C. Imp.]],$D399,Imput[[PERIODO Imp.]:[PERIODO Imp.]],BM$9)</f>
        <v>0</v>
      </c>
      <c r="BN399" s="693">
        <f>SUMIFS(Imput[[Importe Neto]:[Importe Neto]],Imput[[C. Imp.]:[C. Imp.]],$D399,Imput[[PERIODO Imp.]:[PERIODO Imp.]],BN$9)</f>
        <v>0</v>
      </c>
      <c r="BO399" s="693">
        <f>SUMIFS(Imput[[Importe Neto]:[Importe Neto]],Imput[[C. Imp.]:[C. Imp.]],$D399,Imput[[PERIODO Imp.]:[PERIODO Imp.]],BO$9)</f>
        <v>0</v>
      </c>
      <c r="BP399" s="693">
        <f>SUMIFS(Imput[[Importe Neto]:[Importe Neto]],Imput[[C. Imp.]:[C. Imp.]],$D399,Imput[[PERIODO Imp.]:[PERIODO Imp.]],BP$9)</f>
        <v>0</v>
      </c>
      <c r="BQ399" s="693">
        <f>SUMIFS(Imput[[Importe Neto]:[Importe Neto]],Imput[[C. Imp.]:[C. Imp.]],$D399,Imput[[PERIODO Imp.]:[PERIODO Imp.]],BQ$9)</f>
        <v>0</v>
      </c>
      <c r="BR399" s="693">
        <f>SUMIFS(Imput[[Importe Neto]:[Importe Neto]],Imput[[C. Imp.]:[C. Imp.]],$D399,Imput[[PERIODO Imp.]:[PERIODO Imp.]],BR$9)</f>
        <v>0</v>
      </c>
      <c r="BS399" s="693">
        <f>SUMIFS(Imput[[Importe Neto]:[Importe Neto]],Imput[[C. Imp.]:[C. Imp.]],$D399,Imput[[PERIODO Imp.]:[PERIODO Imp.]],BS$9)</f>
        <v>0</v>
      </c>
      <c r="BT399" s="693">
        <f>SUMIFS(Imput[[Importe Neto]:[Importe Neto]],Imput[[C. Imp.]:[C. Imp.]],$D399,Imput[[PERIODO Imp.]:[PERIODO Imp.]],BT$9)</f>
        <v>0</v>
      </c>
      <c r="BU399" s="693">
        <f>SUMIFS(Imput[[Importe Neto]:[Importe Neto]],Imput[[C. Imp.]:[C. Imp.]],$D399,Imput[[PERIODO Imp.]:[PERIODO Imp.]],BU$9)</f>
        <v>0</v>
      </c>
      <c r="BV399" s="693">
        <f>SUMIFS(Imput[[Importe Neto]:[Importe Neto]],Imput[[C. Imp.]:[C. Imp.]],$D399,Imput[[PERIODO Imp.]:[PERIODO Imp.]],BV$9)</f>
        <v>0</v>
      </c>
      <c r="BW399" s="693">
        <f>SUMIFS(Imput[[Importe Neto]:[Importe Neto]],Imput[[C. Imp.]:[C. Imp.]],$D399,Imput[[PERIODO Imp.]:[PERIODO Imp.]],BW$9)</f>
        <v>0</v>
      </c>
      <c r="BX399" s="693">
        <f>SUMIFS(Imput[[Importe Neto]:[Importe Neto]],Imput[[C. Imp.]:[C. Imp.]],$D399,Imput[[PERIODO Imp.]:[PERIODO Imp.]],BX$9)</f>
        <v>0</v>
      </c>
      <c r="BY399" s="693">
        <f>SUMIFS(Imput[[Importe Neto]:[Importe Neto]],Imput[[C. Imp.]:[C. Imp.]],$D399,Imput[[PERIODO Imp.]:[PERIODO Imp.]],BY$9)</f>
        <v>0</v>
      </c>
      <c r="BZ399" s="693">
        <f>SUMIFS(Imput[[Importe Neto]:[Importe Neto]],Imput[[C. Imp.]:[C. Imp.]],$D399,Imput[[PERIODO Imp.]:[PERIODO Imp.]],BZ$9)</f>
        <v>0</v>
      </c>
      <c r="CA399" s="693">
        <f>SUMIFS(Imput[[Importe Neto]:[Importe Neto]],Imput[[C. Imp.]:[C. Imp.]],$D399,Imput[[PERIODO Imp.]:[PERIODO Imp.]],CA$9)</f>
        <v>0</v>
      </c>
      <c r="CB399" s="693">
        <f>SUMIFS(Imput[[Importe Neto]:[Importe Neto]],Imput[[C. Imp.]:[C. Imp.]],$D399,Imput[[PERIODO Imp.]:[PERIODO Imp.]],CB$9)</f>
        <v>0</v>
      </c>
      <c r="CC399" s="693">
        <f>SUMIFS(Imput[[Importe Neto]:[Importe Neto]],Imput[[C. Imp.]:[C. Imp.]],$D399,Imput[[PERIODO Imp.]:[PERIODO Imp.]],CC$9)</f>
        <v>0</v>
      </c>
      <c r="CD399" s="693">
        <f>SUMIFS(Imput[[Importe Neto]:[Importe Neto]],Imput[[C. Imp.]:[C. Imp.]],$D399,Imput[[PERIODO Imp.]:[PERIODO Imp.]],CD$9)</f>
        <v>0</v>
      </c>
      <c r="CE399" s="693">
        <f>SUMIFS(Imput[[Importe Neto]:[Importe Neto]],Imput[[C. Imp.]:[C. Imp.]],$D399,Imput[[PERIODO Imp.]:[PERIODO Imp.]],CE$9)</f>
        <v>0</v>
      </c>
      <c r="CF399" s="693">
        <f>SUMIFS(Imput[[Importe Neto]:[Importe Neto]],Imput[[C. Imp.]:[C. Imp.]],$D399,Imput[[PERIODO Imp.]:[PERIODO Imp.]],CF$9)</f>
        <v>0</v>
      </c>
      <c r="CG399" s="693">
        <f>SUMIFS(Imput[[Importe Neto]:[Importe Neto]],Imput[[C. Imp.]:[C. Imp.]],$D399,Imput[[PERIODO Imp.]:[PERIODO Imp.]],CG$9)</f>
        <v>0</v>
      </c>
      <c r="CH399" s="693">
        <f>SUMIFS(Imput[[Importe Neto]:[Importe Neto]],Imput[[C. Imp.]:[C. Imp.]],$D399,Imput[[PERIODO Imp.]:[PERIODO Imp.]],CH$9)</f>
        <v>0</v>
      </c>
      <c r="CI399" s="693">
        <f>SUMIFS(Imput[[Importe Neto]:[Importe Neto]],Imput[[C. Imp.]:[C. Imp.]],$D399,Imput[[PERIODO Imp.]:[PERIODO Imp.]],CI$9)</f>
        <v>0</v>
      </c>
      <c r="CJ399" s="693">
        <f>SUMIFS(Imput[[Importe Neto]:[Importe Neto]],Imput[[C. Imp.]:[C. Imp.]],$D399,Imput[[PERIODO Imp.]:[PERIODO Imp.]],CJ$9)</f>
        <v>0</v>
      </c>
      <c r="CK399" s="693">
        <f>SUMIFS(Imput[[Importe Neto]:[Importe Neto]],Imput[[C. Imp.]:[C. Imp.]],$D399,Imput[[PERIODO Imp.]:[PERIODO Imp.]],CK$9)</f>
        <v>0</v>
      </c>
      <c r="CL399" s="693">
        <f>SUMIFS(Imput[[Importe Neto]:[Importe Neto]],Imput[[C. Imp.]:[C. Imp.]],$D399,Imput[[PERIODO Imp.]:[PERIODO Imp.]],CL$9)</f>
        <v>0</v>
      </c>
      <c r="CM399" s="693">
        <f>SUMIFS(Imput[[Importe Neto]:[Importe Neto]],Imput[[C. Imp.]:[C. Imp.]],$D399,Imput[[PERIODO Imp.]:[PERIODO Imp.]],CM$9)</f>
        <v>0</v>
      </c>
      <c r="CN399" s="693">
        <f>SUMIFS(Imput[[Importe Neto]:[Importe Neto]],Imput[[C. Imp.]:[C. Imp.]],$D399,Imput[[PERIODO Imp.]:[PERIODO Imp.]],CN$9)</f>
        <v>0</v>
      </c>
      <c r="CO399" s="693">
        <f>SUMIFS(Imput[[Importe Neto]:[Importe Neto]],Imput[[C. Imp.]:[C. Imp.]],$D399,Imput[[PERIODO Imp.]:[PERIODO Imp.]],CO$9)</f>
        <v>0</v>
      </c>
      <c r="CP399" s="693">
        <f>SUMIFS(Imput[[Importe Neto]:[Importe Neto]],Imput[[C. Imp.]:[C. Imp.]],$D399,Imput[[PERIODO Imp.]:[PERIODO Imp.]],CP$9)</f>
        <v>0</v>
      </c>
      <c r="CQ399" s="693">
        <f>SUMIFS(Imput[[Importe Neto]:[Importe Neto]],Imput[[C. Imp.]:[C. Imp.]],$D399,Imput[[PERIODO Imp.]:[PERIODO Imp.]],CQ$9)</f>
        <v>0</v>
      </c>
      <c r="CR399" s="693">
        <f>SUMIFS(Imput[[Importe Neto]:[Importe Neto]],Imput[[C. Imp.]:[C. Imp.]],$D399,Imput[[PERIODO Imp.]:[PERIODO Imp.]],CR$9)</f>
        <v>0</v>
      </c>
      <c r="CS399" s="693">
        <f>SUMIFS(Imput[[Importe Neto]:[Importe Neto]],Imput[[C. Imp.]:[C. Imp.]],$D399,Imput[[PERIODO Imp.]:[PERIODO Imp.]],CS$9)</f>
        <v>0</v>
      </c>
      <c r="CT399" s="693">
        <f>SUMIFS(Imput[[Importe Neto]:[Importe Neto]],Imput[[C. Imp.]:[C. Imp.]],$D399,Imput[[PERIODO Imp.]:[PERIODO Imp.]],CT$9)</f>
        <v>0</v>
      </c>
      <c r="CU399" s="693">
        <f>SUMIFS(Imput[[Importe Neto]:[Importe Neto]],Imput[[C. Imp.]:[C. Imp.]],$D399,Imput[[PERIODO Imp.]:[PERIODO Imp.]],CU$9)</f>
        <v>0</v>
      </c>
      <c r="CV399" s="693">
        <f>SUMIFS(Imput[[Importe Neto]:[Importe Neto]],Imput[[C. Imp.]:[C. Imp.]],$D399,Imput[[PERIODO Imp.]:[PERIODO Imp.]],CV$9)</f>
        <v>0</v>
      </c>
      <c r="CW399" s="693">
        <f>SUMIFS(Imput[[Importe Neto]:[Importe Neto]],Imput[[C. Imp.]:[C. Imp.]],$D399,Imput[[PERIODO Imp.]:[PERIODO Imp.]],CW$9)</f>
        <v>0</v>
      </c>
      <c r="CX399" s="693">
        <f>SUMIFS(Imput[[Importe Neto]:[Importe Neto]],Imput[[C. Imp.]:[C. Imp.]],$D399,Imput[[PERIODO Imp.]:[PERIODO Imp.]],CX$9)</f>
        <v>0</v>
      </c>
      <c r="CY399" s="693">
        <f>SUMIFS(Imput[[Importe Neto]:[Importe Neto]],Imput[[C. Imp.]:[C. Imp.]],$D399,Imput[[PERIODO Imp.]:[PERIODO Imp.]],CY$9)</f>
        <v>0</v>
      </c>
      <c r="CZ399" s="693">
        <f>SUMIFS(Imput[[Importe Neto]:[Importe Neto]],Imput[[C. Imp.]:[C. Imp.]],$D399,Imput[[PERIODO Imp.]:[PERIODO Imp.]],CZ$9)</f>
        <v>0</v>
      </c>
      <c r="DA399" s="693">
        <f>SUMIFS(Imput[[Importe Neto]:[Importe Neto]],Imput[[C. Imp.]:[C. Imp.]],$D399,Imput[[PERIODO Imp.]:[PERIODO Imp.]],DA$9)</f>
        <v>0</v>
      </c>
      <c r="DB399" s="693">
        <f>SUMIFS(Imput[[Importe Neto]:[Importe Neto]],Imput[[C. Imp.]:[C. Imp.]],$D399,Imput[[PERIODO Imp.]:[PERIODO Imp.]],DB$9)</f>
        <v>0</v>
      </c>
      <c r="DC399" s="693">
        <f>SUMIFS(Imput[[Importe Neto]:[Importe Neto]],Imput[[C. Imp.]:[C. Imp.]],$D399,Imput[[PERIODO Imp.]:[PERIODO Imp.]],DC$9)</f>
        <v>0</v>
      </c>
      <c r="DD399" s="693">
        <f>SUMIFS(Imput[[Importe Neto]:[Importe Neto]],Imput[[C. Imp.]:[C. Imp.]],$D399,Imput[[PERIODO Imp.]:[PERIODO Imp.]],DD$9)</f>
        <v>0</v>
      </c>
      <c r="DE399" s="693">
        <f>SUMIFS(Imput[[Importe Neto]:[Importe Neto]],Imput[[C. Imp.]:[C. Imp.]],$D399,Imput[[PERIODO Imp.]:[PERIODO Imp.]],DE$9)</f>
        <v>0</v>
      </c>
      <c r="DF399" s="693">
        <f>SUMIFS(Imput[[Importe Neto]:[Importe Neto]],Imput[[C. Imp.]:[C. Imp.]],$D399,Imput[[PERIODO Imp.]:[PERIODO Imp.]],DF$9)</f>
        <v>0</v>
      </c>
      <c r="DG399" s="693">
        <f>SUMIFS(Imput[[Importe Neto]:[Importe Neto]],Imput[[C. Imp.]:[C. Imp.]],$D399,Imput[[PERIODO Imp.]:[PERIODO Imp.]],DG$9)</f>
        <v>0</v>
      </c>
      <c r="DH399" s="694">
        <f>SUMIFS(Imput[[Importe Neto]:[Importe Neto]],Imput[[C. Imp.]:[C. Imp.]],$D399,Imput[[PERIODO Imp.]:[PERIODO Imp.]],DH$9)</f>
        <v>0</v>
      </c>
    </row>
    <row r="400" spans="1:112" s="649" customFormat="1" hidden="1" outlineLevel="1" x14ac:dyDescent="0.3">
      <c r="A400" s="652" t="str">
        <f t="shared" si="154"/>
        <v/>
      </c>
      <c r="B400" s="652"/>
      <c r="C400" s="685"/>
      <c r="D400" s="686" t="s">
        <v>2460</v>
      </c>
      <c r="E400" s="728"/>
      <c r="F400" s="720"/>
      <c r="G400" s="688"/>
      <c r="H400" s="689"/>
      <c r="I400" s="851" t="str">
        <f t="shared" si="159"/>
        <v/>
      </c>
      <c r="J400" s="850" t="str">
        <f t="shared" si="156"/>
        <v/>
      </c>
      <c r="K400" s="667"/>
      <c r="L400" s="858"/>
      <c r="M400" s="859"/>
      <c r="N400" s="859"/>
      <c r="O400" s="859"/>
      <c r="P400" s="859"/>
      <c r="Q400" s="859"/>
      <c r="R400" s="859"/>
      <c r="S400" s="859"/>
      <c r="T400" s="859"/>
      <c r="U400" s="859"/>
      <c r="V400" s="859"/>
      <c r="W400" s="859"/>
      <c r="X400" s="859"/>
      <c r="Y400" s="859"/>
      <c r="Z400" s="860"/>
      <c r="AA400" s="860"/>
      <c r="AB400" s="860"/>
      <c r="AC400" s="860"/>
      <c r="AD400" s="860"/>
      <c r="AE400" s="860"/>
      <c r="AF400" s="860"/>
      <c r="AG400" s="860"/>
      <c r="AH400" s="860"/>
      <c r="AI400" s="860"/>
      <c r="AJ400" s="860"/>
      <c r="AK400" s="860"/>
      <c r="AL400" s="860"/>
      <c r="AM400" s="860"/>
      <c r="AN400" s="860"/>
      <c r="AO400" s="860"/>
      <c r="AP400" s="860"/>
      <c r="AQ400" s="860"/>
      <c r="AR400" s="860"/>
      <c r="AS400" s="860"/>
      <c r="AT400" s="860"/>
      <c r="AU400" s="860"/>
      <c r="AV400" s="860"/>
      <c r="AW400" s="860"/>
      <c r="AX400" s="860"/>
      <c r="AY400" s="860"/>
      <c r="AZ400" s="860"/>
      <c r="BA400" s="860"/>
      <c r="BB400" s="860"/>
      <c r="BC400" s="860"/>
      <c r="BD400" s="860"/>
      <c r="BE400" s="860"/>
      <c r="BF400" s="860"/>
      <c r="BG400" s="860"/>
      <c r="BH400" s="668"/>
      <c r="BI400" s="667"/>
      <c r="BJ400" s="690">
        <f t="shared" si="160"/>
        <v>0</v>
      </c>
      <c r="BK400" s="691">
        <f t="shared" si="161"/>
        <v>0</v>
      </c>
      <c r="BL400" s="654"/>
      <c r="BM400" s="692">
        <f>SUMIFS(Imput[[Importe Neto]:[Importe Neto]],Imput[[C. Imp.]:[C. Imp.]],$D400,Imput[[PERIODO Imp.]:[PERIODO Imp.]],BM$9)</f>
        <v>0</v>
      </c>
      <c r="BN400" s="693">
        <f>SUMIFS(Imput[[Importe Neto]:[Importe Neto]],Imput[[C. Imp.]:[C. Imp.]],$D400,Imput[[PERIODO Imp.]:[PERIODO Imp.]],BN$9)</f>
        <v>0</v>
      </c>
      <c r="BO400" s="693">
        <f>SUMIFS(Imput[[Importe Neto]:[Importe Neto]],Imput[[C. Imp.]:[C. Imp.]],$D400,Imput[[PERIODO Imp.]:[PERIODO Imp.]],BO$9)</f>
        <v>0</v>
      </c>
      <c r="BP400" s="693">
        <f>SUMIFS(Imput[[Importe Neto]:[Importe Neto]],Imput[[C. Imp.]:[C. Imp.]],$D400,Imput[[PERIODO Imp.]:[PERIODO Imp.]],BP$9)</f>
        <v>0</v>
      </c>
      <c r="BQ400" s="693">
        <f>SUMIFS(Imput[[Importe Neto]:[Importe Neto]],Imput[[C. Imp.]:[C. Imp.]],$D400,Imput[[PERIODO Imp.]:[PERIODO Imp.]],BQ$9)</f>
        <v>0</v>
      </c>
      <c r="BR400" s="693">
        <f>SUMIFS(Imput[[Importe Neto]:[Importe Neto]],Imput[[C. Imp.]:[C. Imp.]],$D400,Imput[[PERIODO Imp.]:[PERIODO Imp.]],BR$9)</f>
        <v>0</v>
      </c>
      <c r="BS400" s="693">
        <f>SUMIFS(Imput[[Importe Neto]:[Importe Neto]],Imput[[C. Imp.]:[C. Imp.]],$D400,Imput[[PERIODO Imp.]:[PERIODO Imp.]],BS$9)</f>
        <v>0</v>
      </c>
      <c r="BT400" s="693">
        <f>SUMIFS(Imput[[Importe Neto]:[Importe Neto]],Imput[[C. Imp.]:[C. Imp.]],$D400,Imput[[PERIODO Imp.]:[PERIODO Imp.]],BT$9)</f>
        <v>0</v>
      </c>
      <c r="BU400" s="693">
        <f>SUMIFS(Imput[[Importe Neto]:[Importe Neto]],Imput[[C. Imp.]:[C. Imp.]],$D400,Imput[[PERIODO Imp.]:[PERIODO Imp.]],BU$9)</f>
        <v>0</v>
      </c>
      <c r="BV400" s="693">
        <f>SUMIFS(Imput[[Importe Neto]:[Importe Neto]],Imput[[C. Imp.]:[C. Imp.]],$D400,Imput[[PERIODO Imp.]:[PERIODO Imp.]],BV$9)</f>
        <v>0</v>
      </c>
      <c r="BW400" s="693">
        <f>SUMIFS(Imput[[Importe Neto]:[Importe Neto]],Imput[[C. Imp.]:[C. Imp.]],$D400,Imput[[PERIODO Imp.]:[PERIODO Imp.]],BW$9)</f>
        <v>0</v>
      </c>
      <c r="BX400" s="693">
        <f>SUMIFS(Imput[[Importe Neto]:[Importe Neto]],Imput[[C. Imp.]:[C. Imp.]],$D400,Imput[[PERIODO Imp.]:[PERIODO Imp.]],BX$9)</f>
        <v>0</v>
      </c>
      <c r="BY400" s="693">
        <f>SUMIFS(Imput[[Importe Neto]:[Importe Neto]],Imput[[C. Imp.]:[C. Imp.]],$D400,Imput[[PERIODO Imp.]:[PERIODO Imp.]],BY$9)</f>
        <v>0</v>
      </c>
      <c r="BZ400" s="693">
        <f>SUMIFS(Imput[[Importe Neto]:[Importe Neto]],Imput[[C. Imp.]:[C. Imp.]],$D400,Imput[[PERIODO Imp.]:[PERIODO Imp.]],BZ$9)</f>
        <v>0</v>
      </c>
      <c r="CA400" s="693">
        <f>SUMIFS(Imput[[Importe Neto]:[Importe Neto]],Imput[[C. Imp.]:[C. Imp.]],$D400,Imput[[PERIODO Imp.]:[PERIODO Imp.]],CA$9)</f>
        <v>0</v>
      </c>
      <c r="CB400" s="693">
        <f>SUMIFS(Imput[[Importe Neto]:[Importe Neto]],Imput[[C. Imp.]:[C. Imp.]],$D400,Imput[[PERIODO Imp.]:[PERIODO Imp.]],CB$9)</f>
        <v>0</v>
      </c>
      <c r="CC400" s="693">
        <f>SUMIFS(Imput[[Importe Neto]:[Importe Neto]],Imput[[C. Imp.]:[C. Imp.]],$D400,Imput[[PERIODO Imp.]:[PERIODO Imp.]],CC$9)</f>
        <v>0</v>
      </c>
      <c r="CD400" s="693">
        <f>SUMIFS(Imput[[Importe Neto]:[Importe Neto]],Imput[[C. Imp.]:[C. Imp.]],$D400,Imput[[PERIODO Imp.]:[PERIODO Imp.]],CD$9)</f>
        <v>0</v>
      </c>
      <c r="CE400" s="693">
        <f>SUMIFS(Imput[[Importe Neto]:[Importe Neto]],Imput[[C. Imp.]:[C. Imp.]],$D400,Imput[[PERIODO Imp.]:[PERIODO Imp.]],CE$9)</f>
        <v>0</v>
      </c>
      <c r="CF400" s="693">
        <f>SUMIFS(Imput[[Importe Neto]:[Importe Neto]],Imput[[C. Imp.]:[C. Imp.]],$D400,Imput[[PERIODO Imp.]:[PERIODO Imp.]],CF$9)</f>
        <v>0</v>
      </c>
      <c r="CG400" s="693">
        <f>SUMIFS(Imput[[Importe Neto]:[Importe Neto]],Imput[[C. Imp.]:[C. Imp.]],$D400,Imput[[PERIODO Imp.]:[PERIODO Imp.]],CG$9)</f>
        <v>0</v>
      </c>
      <c r="CH400" s="693">
        <f>SUMIFS(Imput[[Importe Neto]:[Importe Neto]],Imput[[C. Imp.]:[C. Imp.]],$D400,Imput[[PERIODO Imp.]:[PERIODO Imp.]],CH$9)</f>
        <v>0</v>
      </c>
      <c r="CI400" s="693">
        <f>SUMIFS(Imput[[Importe Neto]:[Importe Neto]],Imput[[C. Imp.]:[C. Imp.]],$D400,Imput[[PERIODO Imp.]:[PERIODO Imp.]],CI$9)</f>
        <v>0</v>
      </c>
      <c r="CJ400" s="693">
        <f>SUMIFS(Imput[[Importe Neto]:[Importe Neto]],Imput[[C. Imp.]:[C. Imp.]],$D400,Imput[[PERIODO Imp.]:[PERIODO Imp.]],CJ$9)</f>
        <v>0</v>
      </c>
      <c r="CK400" s="693">
        <f>SUMIFS(Imput[[Importe Neto]:[Importe Neto]],Imput[[C. Imp.]:[C. Imp.]],$D400,Imput[[PERIODO Imp.]:[PERIODO Imp.]],CK$9)</f>
        <v>0</v>
      </c>
      <c r="CL400" s="693">
        <f>SUMIFS(Imput[[Importe Neto]:[Importe Neto]],Imput[[C. Imp.]:[C. Imp.]],$D400,Imput[[PERIODO Imp.]:[PERIODO Imp.]],CL$9)</f>
        <v>0</v>
      </c>
      <c r="CM400" s="693">
        <f>SUMIFS(Imput[[Importe Neto]:[Importe Neto]],Imput[[C. Imp.]:[C. Imp.]],$D400,Imput[[PERIODO Imp.]:[PERIODO Imp.]],CM$9)</f>
        <v>0</v>
      </c>
      <c r="CN400" s="693">
        <f>SUMIFS(Imput[[Importe Neto]:[Importe Neto]],Imput[[C. Imp.]:[C. Imp.]],$D400,Imput[[PERIODO Imp.]:[PERIODO Imp.]],CN$9)</f>
        <v>0</v>
      </c>
      <c r="CO400" s="693">
        <f>SUMIFS(Imput[[Importe Neto]:[Importe Neto]],Imput[[C. Imp.]:[C. Imp.]],$D400,Imput[[PERIODO Imp.]:[PERIODO Imp.]],CO$9)</f>
        <v>0</v>
      </c>
      <c r="CP400" s="693">
        <f>SUMIFS(Imput[[Importe Neto]:[Importe Neto]],Imput[[C. Imp.]:[C. Imp.]],$D400,Imput[[PERIODO Imp.]:[PERIODO Imp.]],CP$9)</f>
        <v>0</v>
      </c>
      <c r="CQ400" s="693">
        <f>SUMIFS(Imput[[Importe Neto]:[Importe Neto]],Imput[[C. Imp.]:[C. Imp.]],$D400,Imput[[PERIODO Imp.]:[PERIODO Imp.]],CQ$9)</f>
        <v>0</v>
      </c>
      <c r="CR400" s="693">
        <f>SUMIFS(Imput[[Importe Neto]:[Importe Neto]],Imput[[C. Imp.]:[C. Imp.]],$D400,Imput[[PERIODO Imp.]:[PERIODO Imp.]],CR$9)</f>
        <v>0</v>
      </c>
      <c r="CS400" s="693">
        <f>SUMIFS(Imput[[Importe Neto]:[Importe Neto]],Imput[[C. Imp.]:[C. Imp.]],$D400,Imput[[PERIODO Imp.]:[PERIODO Imp.]],CS$9)</f>
        <v>0</v>
      </c>
      <c r="CT400" s="693">
        <f>SUMIFS(Imput[[Importe Neto]:[Importe Neto]],Imput[[C. Imp.]:[C. Imp.]],$D400,Imput[[PERIODO Imp.]:[PERIODO Imp.]],CT$9)</f>
        <v>0</v>
      </c>
      <c r="CU400" s="693">
        <f>SUMIFS(Imput[[Importe Neto]:[Importe Neto]],Imput[[C. Imp.]:[C. Imp.]],$D400,Imput[[PERIODO Imp.]:[PERIODO Imp.]],CU$9)</f>
        <v>0</v>
      </c>
      <c r="CV400" s="693">
        <f>SUMIFS(Imput[[Importe Neto]:[Importe Neto]],Imput[[C. Imp.]:[C. Imp.]],$D400,Imput[[PERIODO Imp.]:[PERIODO Imp.]],CV$9)</f>
        <v>0</v>
      </c>
      <c r="CW400" s="693">
        <f>SUMIFS(Imput[[Importe Neto]:[Importe Neto]],Imput[[C. Imp.]:[C. Imp.]],$D400,Imput[[PERIODO Imp.]:[PERIODO Imp.]],CW$9)</f>
        <v>0</v>
      </c>
      <c r="CX400" s="693">
        <f>SUMIFS(Imput[[Importe Neto]:[Importe Neto]],Imput[[C. Imp.]:[C. Imp.]],$D400,Imput[[PERIODO Imp.]:[PERIODO Imp.]],CX$9)</f>
        <v>0</v>
      </c>
      <c r="CY400" s="693">
        <f>SUMIFS(Imput[[Importe Neto]:[Importe Neto]],Imput[[C. Imp.]:[C. Imp.]],$D400,Imput[[PERIODO Imp.]:[PERIODO Imp.]],CY$9)</f>
        <v>0</v>
      </c>
      <c r="CZ400" s="693">
        <f>SUMIFS(Imput[[Importe Neto]:[Importe Neto]],Imput[[C. Imp.]:[C. Imp.]],$D400,Imput[[PERIODO Imp.]:[PERIODO Imp.]],CZ$9)</f>
        <v>0</v>
      </c>
      <c r="DA400" s="693">
        <f>SUMIFS(Imput[[Importe Neto]:[Importe Neto]],Imput[[C. Imp.]:[C. Imp.]],$D400,Imput[[PERIODO Imp.]:[PERIODO Imp.]],DA$9)</f>
        <v>0</v>
      </c>
      <c r="DB400" s="693">
        <f>SUMIFS(Imput[[Importe Neto]:[Importe Neto]],Imput[[C. Imp.]:[C. Imp.]],$D400,Imput[[PERIODO Imp.]:[PERIODO Imp.]],DB$9)</f>
        <v>0</v>
      </c>
      <c r="DC400" s="693">
        <f>SUMIFS(Imput[[Importe Neto]:[Importe Neto]],Imput[[C. Imp.]:[C. Imp.]],$D400,Imput[[PERIODO Imp.]:[PERIODO Imp.]],DC$9)</f>
        <v>0</v>
      </c>
      <c r="DD400" s="693">
        <f>SUMIFS(Imput[[Importe Neto]:[Importe Neto]],Imput[[C. Imp.]:[C. Imp.]],$D400,Imput[[PERIODO Imp.]:[PERIODO Imp.]],DD$9)</f>
        <v>0</v>
      </c>
      <c r="DE400" s="693">
        <f>SUMIFS(Imput[[Importe Neto]:[Importe Neto]],Imput[[C. Imp.]:[C. Imp.]],$D400,Imput[[PERIODO Imp.]:[PERIODO Imp.]],DE$9)</f>
        <v>0</v>
      </c>
      <c r="DF400" s="693">
        <f>SUMIFS(Imput[[Importe Neto]:[Importe Neto]],Imput[[C. Imp.]:[C. Imp.]],$D400,Imput[[PERIODO Imp.]:[PERIODO Imp.]],DF$9)</f>
        <v>0</v>
      </c>
      <c r="DG400" s="693">
        <f>SUMIFS(Imput[[Importe Neto]:[Importe Neto]],Imput[[C. Imp.]:[C. Imp.]],$D400,Imput[[PERIODO Imp.]:[PERIODO Imp.]],DG$9)</f>
        <v>0</v>
      </c>
      <c r="DH400" s="694">
        <f>SUMIFS(Imput[[Importe Neto]:[Importe Neto]],Imput[[C. Imp.]:[C. Imp.]],$D400,Imput[[PERIODO Imp.]:[PERIODO Imp.]],DH$9)</f>
        <v>0</v>
      </c>
    </row>
    <row r="401" spans="1:112" s="649" customFormat="1" hidden="1" outlineLevel="1" x14ac:dyDescent="0.3">
      <c r="A401" s="652" t="str">
        <f t="shared" si="154"/>
        <v/>
      </c>
      <c r="B401" s="652"/>
      <c r="C401" s="685"/>
      <c r="D401" s="686" t="s">
        <v>2461</v>
      </c>
      <c r="E401" s="728"/>
      <c r="F401" s="720"/>
      <c r="G401" s="688"/>
      <c r="H401" s="689"/>
      <c r="I401" s="851" t="str">
        <f t="shared" si="159"/>
        <v/>
      </c>
      <c r="J401" s="850" t="str">
        <f t="shared" si="156"/>
        <v/>
      </c>
      <c r="K401" s="667"/>
      <c r="L401" s="858"/>
      <c r="M401" s="859"/>
      <c r="N401" s="859"/>
      <c r="O401" s="859"/>
      <c r="P401" s="859"/>
      <c r="Q401" s="859"/>
      <c r="R401" s="859"/>
      <c r="S401" s="859"/>
      <c r="T401" s="859"/>
      <c r="U401" s="859"/>
      <c r="V401" s="859"/>
      <c r="W401" s="859"/>
      <c r="X401" s="859"/>
      <c r="Y401" s="859"/>
      <c r="Z401" s="860"/>
      <c r="AA401" s="860"/>
      <c r="AB401" s="860"/>
      <c r="AC401" s="860"/>
      <c r="AD401" s="860"/>
      <c r="AE401" s="860"/>
      <c r="AF401" s="860"/>
      <c r="AG401" s="860"/>
      <c r="AH401" s="860"/>
      <c r="AI401" s="860"/>
      <c r="AJ401" s="860"/>
      <c r="AK401" s="860"/>
      <c r="AL401" s="860"/>
      <c r="AM401" s="860"/>
      <c r="AN401" s="860"/>
      <c r="AO401" s="860"/>
      <c r="AP401" s="860"/>
      <c r="AQ401" s="860"/>
      <c r="AR401" s="860"/>
      <c r="AS401" s="860"/>
      <c r="AT401" s="860"/>
      <c r="AU401" s="860"/>
      <c r="AV401" s="860"/>
      <c r="AW401" s="860"/>
      <c r="AX401" s="860"/>
      <c r="AY401" s="860"/>
      <c r="AZ401" s="860"/>
      <c r="BA401" s="860"/>
      <c r="BB401" s="860"/>
      <c r="BC401" s="860"/>
      <c r="BD401" s="860"/>
      <c r="BE401" s="860"/>
      <c r="BF401" s="860"/>
      <c r="BG401" s="860"/>
      <c r="BH401" s="668"/>
      <c r="BI401" s="667"/>
      <c r="BJ401" s="690">
        <f t="shared" si="160"/>
        <v>0</v>
      </c>
      <c r="BK401" s="691">
        <f t="shared" si="161"/>
        <v>0</v>
      </c>
      <c r="BL401" s="654"/>
      <c r="BM401" s="692">
        <f>SUMIFS(Imput[[Importe Neto]:[Importe Neto]],Imput[[C. Imp.]:[C. Imp.]],$D401,Imput[[PERIODO Imp.]:[PERIODO Imp.]],BM$9)</f>
        <v>0</v>
      </c>
      <c r="BN401" s="693">
        <f>SUMIFS(Imput[[Importe Neto]:[Importe Neto]],Imput[[C. Imp.]:[C. Imp.]],$D401,Imput[[PERIODO Imp.]:[PERIODO Imp.]],BN$9)</f>
        <v>0</v>
      </c>
      <c r="BO401" s="693">
        <f>SUMIFS(Imput[[Importe Neto]:[Importe Neto]],Imput[[C. Imp.]:[C. Imp.]],$D401,Imput[[PERIODO Imp.]:[PERIODO Imp.]],BO$9)</f>
        <v>0</v>
      </c>
      <c r="BP401" s="693">
        <f>SUMIFS(Imput[[Importe Neto]:[Importe Neto]],Imput[[C. Imp.]:[C. Imp.]],$D401,Imput[[PERIODO Imp.]:[PERIODO Imp.]],BP$9)</f>
        <v>0</v>
      </c>
      <c r="BQ401" s="693">
        <f>SUMIFS(Imput[[Importe Neto]:[Importe Neto]],Imput[[C. Imp.]:[C. Imp.]],$D401,Imput[[PERIODO Imp.]:[PERIODO Imp.]],BQ$9)</f>
        <v>0</v>
      </c>
      <c r="BR401" s="693">
        <f>SUMIFS(Imput[[Importe Neto]:[Importe Neto]],Imput[[C. Imp.]:[C. Imp.]],$D401,Imput[[PERIODO Imp.]:[PERIODO Imp.]],BR$9)</f>
        <v>0</v>
      </c>
      <c r="BS401" s="693">
        <f>SUMIFS(Imput[[Importe Neto]:[Importe Neto]],Imput[[C. Imp.]:[C. Imp.]],$D401,Imput[[PERIODO Imp.]:[PERIODO Imp.]],BS$9)</f>
        <v>0</v>
      </c>
      <c r="BT401" s="693">
        <f>SUMIFS(Imput[[Importe Neto]:[Importe Neto]],Imput[[C. Imp.]:[C. Imp.]],$D401,Imput[[PERIODO Imp.]:[PERIODO Imp.]],BT$9)</f>
        <v>0</v>
      </c>
      <c r="BU401" s="693">
        <f>SUMIFS(Imput[[Importe Neto]:[Importe Neto]],Imput[[C. Imp.]:[C. Imp.]],$D401,Imput[[PERIODO Imp.]:[PERIODO Imp.]],BU$9)</f>
        <v>0</v>
      </c>
      <c r="BV401" s="693">
        <f>SUMIFS(Imput[[Importe Neto]:[Importe Neto]],Imput[[C. Imp.]:[C. Imp.]],$D401,Imput[[PERIODO Imp.]:[PERIODO Imp.]],BV$9)</f>
        <v>0</v>
      </c>
      <c r="BW401" s="693">
        <f>SUMIFS(Imput[[Importe Neto]:[Importe Neto]],Imput[[C. Imp.]:[C. Imp.]],$D401,Imput[[PERIODO Imp.]:[PERIODO Imp.]],BW$9)</f>
        <v>0</v>
      </c>
      <c r="BX401" s="693">
        <f>SUMIFS(Imput[[Importe Neto]:[Importe Neto]],Imput[[C. Imp.]:[C. Imp.]],$D401,Imput[[PERIODO Imp.]:[PERIODO Imp.]],BX$9)</f>
        <v>0</v>
      </c>
      <c r="BY401" s="693">
        <f>SUMIFS(Imput[[Importe Neto]:[Importe Neto]],Imput[[C. Imp.]:[C. Imp.]],$D401,Imput[[PERIODO Imp.]:[PERIODO Imp.]],BY$9)</f>
        <v>0</v>
      </c>
      <c r="BZ401" s="693">
        <f>SUMIFS(Imput[[Importe Neto]:[Importe Neto]],Imput[[C. Imp.]:[C. Imp.]],$D401,Imput[[PERIODO Imp.]:[PERIODO Imp.]],BZ$9)</f>
        <v>0</v>
      </c>
      <c r="CA401" s="693">
        <f>SUMIFS(Imput[[Importe Neto]:[Importe Neto]],Imput[[C. Imp.]:[C. Imp.]],$D401,Imput[[PERIODO Imp.]:[PERIODO Imp.]],CA$9)</f>
        <v>0</v>
      </c>
      <c r="CB401" s="693">
        <f>SUMIFS(Imput[[Importe Neto]:[Importe Neto]],Imput[[C. Imp.]:[C. Imp.]],$D401,Imput[[PERIODO Imp.]:[PERIODO Imp.]],CB$9)</f>
        <v>0</v>
      </c>
      <c r="CC401" s="693">
        <f>SUMIFS(Imput[[Importe Neto]:[Importe Neto]],Imput[[C. Imp.]:[C. Imp.]],$D401,Imput[[PERIODO Imp.]:[PERIODO Imp.]],CC$9)</f>
        <v>0</v>
      </c>
      <c r="CD401" s="693">
        <f>SUMIFS(Imput[[Importe Neto]:[Importe Neto]],Imput[[C. Imp.]:[C. Imp.]],$D401,Imput[[PERIODO Imp.]:[PERIODO Imp.]],CD$9)</f>
        <v>0</v>
      </c>
      <c r="CE401" s="693">
        <f>SUMIFS(Imput[[Importe Neto]:[Importe Neto]],Imput[[C. Imp.]:[C. Imp.]],$D401,Imput[[PERIODO Imp.]:[PERIODO Imp.]],CE$9)</f>
        <v>0</v>
      </c>
      <c r="CF401" s="693">
        <f>SUMIFS(Imput[[Importe Neto]:[Importe Neto]],Imput[[C. Imp.]:[C. Imp.]],$D401,Imput[[PERIODO Imp.]:[PERIODO Imp.]],CF$9)</f>
        <v>0</v>
      </c>
      <c r="CG401" s="693">
        <f>SUMIFS(Imput[[Importe Neto]:[Importe Neto]],Imput[[C. Imp.]:[C. Imp.]],$D401,Imput[[PERIODO Imp.]:[PERIODO Imp.]],CG$9)</f>
        <v>0</v>
      </c>
      <c r="CH401" s="693">
        <f>SUMIFS(Imput[[Importe Neto]:[Importe Neto]],Imput[[C. Imp.]:[C. Imp.]],$D401,Imput[[PERIODO Imp.]:[PERIODO Imp.]],CH$9)</f>
        <v>0</v>
      </c>
      <c r="CI401" s="693">
        <f>SUMIFS(Imput[[Importe Neto]:[Importe Neto]],Imput[[C. Imp.]:[C. Imp.]],$D401,Imput[[PERIODO Imp.]:[PERIODO Imp.]],CI$9)</f>
        <v>0</v>
      </c>
      <c r="CJ401" s="693">
        <f>SUMIFS(Imput[[Importe Neto]:[Importe Neto]],Imput[[C. Imp.]:[C. Imp.]],$D401,Imput[[PERIODO Imp.]:[PERIODO Imp.]],CJ$9)</f>
        <v>0</v>
      </c>
      <c r="CK401" s="693">
        <f>SUMIFS(Imput[[Importe Neto]:[Importe Neto]],Imput[[C. Imp.]:[C. Imp.]],$D401,Imput[[PERIODO Imp.]:[PERIODO Imp.]],CK$9)</f>
        <v>0</v>
      </c>
      <c r="CL401" s="693">
        <f>SUMIFS(Imput[[Importe Neto]:[Importe Neto]],Imput[[C. Imp.]:[C. Imp.]],$D401,Imput[[PERIODO Imp.]:[PERIODO Imp.]],CL$9)</f>
        <v>0</v>
      </c>
      <c r="CM401" s="693">
        <f>SUMIFS(Imput[[Importe Neto]:[Importe Neto]],Imput[[C. Imp.]:[C. Imp.]],$D401,Imput[[PERIODO Imp.]:[PERIODO Imp.]],CM$9)</f>
        <v>0</v>
      </c>
      <c r="CN401" s="693">
        <f>SUMIFS(Imput[[Importe Neto]:[Importe Neto]],Imput[[C. Imp.]:[C. Imp.]],$D401,Imput[[PERIODO Imp.]:[PERIODO Imp.]],CN$9)</f>
        <v>0</v>
      </c>
      <c r="CO401" s="693">
        <f>SUMIFS(Imput[[Importe Neto]:[Importe Neto]],Imput[[C. Imp.]:[C. Imp.]],$D401,Imput[[PERIODO Imp.]:[PERIODO Imp.]],CO$9)</f>
        <v>0</v>
      </c>
      <c r="CP401" s="693">
        <f>SUMIFS(Imput[[Importe Neto]:[Importe Neto]],Imput[[C. Imp.]:[C. Imp.]],$D401,Imput[[PERIODO Imp.]:[PERIODO Imp.]],CP$9)</f>
        <v>0</v>
      </c>
      <c r="CQ401" s="693">
        <f>SUMIFS(Imput[[Importe Neto]:[Importe Neto]],Imput[[C. Imp.]:[C. Imp.]],$D401,Imput[[PERIODO Imp.]:[PERIODO Imp.]],CQ$9)</f>
        <v>0</v>
      </c>
      <c r="CR401" s="693">
        <f>SUMIFS(Imput[[Importe Neto]:[Importe Neto]],Imput[[C. Imp.]:[C. Imp.]],$D401,Imput[[PERIODO Imp.]:[PERIODO Imp.]],CR$9)</f>
        <v>0</v>
      </c>
      <c r="CS401" s="693">
        <f>SUMIFS(Imput[[Importe Neto]:[Importe Neto]],Imput[[C. Imp.]:[C. Imp.]],$D401,Imput[[PERIODO Imp.]:[PERIODO Imp.]],CS$9)</f>
        <v>0</v>
      </c>
      <c r="CT401" s="693">
        <f>SUMIFS(Imput[[Importe Neto]:[Importe Neto]],Imput[[C. Imp.]:[C. Imp.]],$D401,Imput[[PERIODO Imp.]:[PERIODO Imp.]],CT$9)</f>
        <v>0</v>
      </c>
      <c r="CU401" s="693">
        <f>SUMIFS(Imput[[Importe Neto]:[Importe Neto]],Imput[[C. Imp.]:[C. Imp.]],$D401,Imput[[PERIODO Imp.]:[PERIODO Imp.]],CU$9)</f>
        <v>0</v>
      </c>
      <c r="CV401" s="693">
        <f>SUMIFS(Imput[[Importe Neto]:[Importe Neto]],Imput[[C. Imp.]:[C. Imp.]],$D401,Imput[[PERIODO Imp.]:[PERIODO Imp.]],CV$9)</f>
        <v>0</v>
      </c>
      <c r="CW401" s="693">
        <f>SUMIFS(Imput[[Importe Neto]:[Importe Neto]],Imput[[C. Imp.]:[C. Imp.]],$D401,Imput[[PERIODO Imp.]:[PERIODO Imp.]],CW$9)</f>
        <v>0</v>
      </c>
      <c r="CX401" s="693">
        <f>SUMIFS(Imput[[Importe Neto]:[Importe Neto]],Imput[[C. Imp.]:[C. Imp.]],$D401,Imput[[PERIODO Imp.]:[PERIODO Imp.]],CX$9)</f>
        <v>0</v>
      </c>
      <c r="CY401" s="693">
        <f>SUMIFS(Imput[[Importe Neto]:[Importe Neto]],Imput[[C. Imp.]:[C. Imp.]],$D401,Imput[[PERIODO Imp.]:[PERIODO Imp.]],CY$9)</f>
        <v>0</v>
      </c>
      <c r="CZ401" s="693">
        <f>SUMIFS(Imput[[Importe Neto]:[Importe Neto]],Imput[[C. Imp.]:[C. Imp.]],$D401,Imput[[PERIODO Imp.]:[PERIODO Imp.]],CZ$9)</f>
        <v>0</v>
      </c>
      <c r="DA401" s="693">
        <f>SUMIFS(Imput[[Importe Neto]:[Importe Neto]],Imput[[C. Imp.]:[C. Imp.]],$D401,Imput[[PERIODO Imp.]:[PERIODO Imp.]],DA$9)</f>
        <v>0</v>
      </c>
      <c r="DB401" s="693">
        <f>SUMIFS(Imput[[Importe Neto]:[Importe Neto]],Imput[[C. Imp.]:[C. Imp.]],$D401,Imput[[PERIODO Imp.]:[PERIODO Imp.]],DB$9)</f>
        <v>0</v>
      </c>
      <c r="DC401" s="693">
        <f>SUMIFS(Imput[[Importe Neto]:[Importe Neto]],Imput[[C. Imp.]:[C. Imp.]],$D401,Imput[[PERIODO Imp.]:[PERIODO Imp.]],DC$9)</f>
        <v>0</v>
      </c>
      <c r="DD401" s="693">
        <f>SUMIFS(Imput[[Importe Neto]:[Importe Neto]],Imput[[C. Imp.]:[C. Imp.]],$D401,Imput[[PERIODO Imp.]:[PERIODO Imp.]],DD$9)</f>
        <v>0</v>
      </c>
      <c r="DE401" s="693">
        <f>SUMIFS(Imput[[Importe Neto]:[Importe Neto]],Imput[[C. Imp.]:[C. Imp.]],$D401,Imput[[PERIODO Imp.]:[PERIODO Imp.]],DE$9)</f>
        <v>0</v>
      </c>
      <c r="DF401" s="693">
        <f>SUMIFS(Imput[[Importe Neto]:[Importe Neto]],Imput[[C. Imp.]:[C. Imp.]],$D401,Imput[[PERIODO Imp.]:[PERIODO Imp.]],DF$9)</f>
        <v>0</v>
      </c>
      <c r="DG401" s="693">
        <f>SUMIFS(Imput[[Importe Neto]:[Importe Neto]],Imput[[C. Imp.]:[C. Imp.]],$D401,Imput[[PERIODO Imp.]:[PERIODO Imp.]],DG$9)</f>
        <v>0</v>
      </c>
      <c r="DH401" s="694">
        <f>SUMIFS(Imput[[Importe Neto]:[Importe Neto]],Imput[[C. Imp.]:[C. Imp.]],$D401,Imput[[PERIODO Imp.]:[PERIODO Imp.]],DH$9)</f>
        <v>0</v>
      </c>
    </row>
    <row r="402" spans="1:112" s="649" customFormat="1" hidden="1" outlineLevel="1" x14ac:dyDescent="0.3">
      <c r="A402" s="652" t="str">
        <f t="shared" si="154"/>
        <v/>
      </c>
      <c r="B402" s="652"/>
      <c r="C402" s="685"/>
      <c r="D402" s="686" t="s">
        <v>2462</v>
      </c>
      <c r="E402" s="686"/>
      <c r="F402" s="720"/>
      <c r="G402" s="688"/>
      <c r="H402" s="689"/>
      <c r="I402" s="851" t="str">
        <f t="shared" si="159"/>
        <v/>
      </c>
      <c r="J402" s="850" t="str">
        <f t="shared" si="156"/>
        <v/>
      </c>
      <c r="K402" s="667"/>
      <c r="L402" s="858"/>
      <c r="M402" s="859"/>
      <c r="N402" s="859"/>
      <c r="O402" s="859"/>
      <c r="P402" s="859"/>
      <c r="Q402" s="859"/>
      <c r="R402" s="859"/>
      <c r="S402" s="859"/>
      <c r="T402" s="859"/>
      <c r="U402" s="859"/>
      <c r="V402" s="859"/>
      <c r="W402" s="859"/>
      <c r="X402" s="859"/>
      <c r="Y402" s="859"/>
      <c r="Z402" s="860"/>
      <c r="AA402" s="860"/>
      <c r="AB402" s="860"/>
      <c r="AC402" s="860"/>
      <c r="AD402" s="860"/>
      <c r="AE402" s="860"/>
      <c r="AF402" s="860"/>
      <c r="AG402" s="860"/>
      <c r="AH402" s="860"/>
      <c r="AI402" s="860"/>
      <c r="AJ402" s="860"/>
      <c r="AK402" s="860"/>
      <c r="AL402" s="860"/>
      <c r="AM402" s="860"/>
      <c r="AN402" s="860"/>
      <c r="AO402" s="860"/>
      <c r="AP402" s="860"/>
      <c r="AQ402" s="860"/>
      <c r="AR402" s="860"/>
      <c r="AS402" s="860"/>
      <c r="AT402" s="860"/>
      <c r="AU402" s="860"/>
      <c r="AV402" s="860"/>
      <c r="AW402" s="860"/>
      <c r="AX402" s="860"/>
      <c r="AY402" s="860"/>
      <c r="AZ402" s="860"/>
      <c r="BA402" s="860"/>
      <c r="BB402" s="860"/>
      <c r="BC402" s="860"/>
      <c r="BD402" s="860"/>
      <c r="BE402" s="860"/>
      <c r="BF402" s="860"/>
      <c r="BG402" s="860"/>
      <c r="BH402" s="668"/>
      <c r="BI402" s="667"/>
      <c r="BJ402" s="690">
        <f t="shared" si="160"/>
        <v>0</v>
      </c>
      <c r="BK402" s="691">
        <f t="shared" si="161"/>
        <v>0</v>
      </c>
      <c r="BL402" s="654"/>
      <c r="BM402" s="692">
        <f>SUMIFS(Imput[[Importe Neto]:[Importe Neto]],Imput[[C. Imp.]:[C. Imp.]],$D402,Imput[[PERIODO Imp.]:[PERIODO Imp.]],BM$9)</f>
        <v>0</v>
      </c>
      <c r="BN402" s="693">
        <f>SUMIFS(Imput[[Importe Neto]:[Importe Neto]],Imput[[C. Imp.]:[C. Imp.]],$D402,Imput[[PERIODO Imp.]:[PERIODO Imp.]],BN$9)</f>
        <v>0</v>
      </c>
      <c r="BO402" s="693">
        <f>SUMIFS(Imput[[Importe Neto]:[Importe Neto]],Imput[[C. Imp.]:[C. Imp.]],$D402,Imput[[PERIODO Imp.]:[PERIODO Imp.]],BO$9)</f>
        <v>0</v>
      </c>
      <c r="BP402" s="693">
        <f>SUMIFS(Imput[[Importe Neto]:[Importe Neto]],Imput[[C. Imp.]:[C. Imp.]],$D402,Imput[[PERIODO Imp.]:[PERIODO Imp.]],BP$9)</f>
        <v>0</v>
      </c>
      <c r="BQ402" s="693">
        <f>SUMIFS(Imput[[Importe Neto]:[Importe Neto]],Imput[[C. Imp.]:[C. Imp.]],$D402,Imput[[PERIODO Imp.]:[PERIODO Imp.]],BQ$9)</f>
        <v>0</v>
      </c>
      <c r="BR402" s="693">
        <f>SUMIFS(Imput[[Importe Neto]:[Importe Neto]],Imput[[C. Imp.]:[C. Imp.]],$D402,Imput[[PERIODO Imp.]:[PERIODO Imp.]],BR$9)</f>
        <v>0</v>
      </c>
      <c r="BS402" s="693">
        <f>SUMIFS(Imput[[Importe Neto]:[Importe Neto]],Imput[[C. Imp.]:[C. Imp.]],$D402,Imput[[PERIODO Imp.]:[PERIODO Imp.]],BS$9)</f>
        <v>0</v>
      </c>
      <c r="BT402" s="693">
        <f>SUMIFS(Imput[[Importe Neto]:[Importe Neto]],Imput[[C. Imp.]:[C. Imp.]],$D402,Imput[[PERIODO Imp.]:[PERIODO Imp.]],BT$9)</f>
        <v>0</v>
      </c>
      <c r="BU402" s="693">
        <f>SUMIFS(Imput[[Importe Neto]:[Importe Neto]],Imput[[C. Imp.]:[C. Imp.]],$D402,Imput[[PERIODO Imp.]:[PERIODO Imp.]],BU$9)</f>
        <v>0</v>
      </c>
      <c r="BV402" s="693">
        <f>SUMIFS(Imput[[Importe Neto]:[Importe Neto]],Imput[[C. Imp.]:[C. Imp.]],$D402,Imput[[PERIODO Imp.]:[PERIODO Imp.]],BV$9)</f>
        <v>0</v>
      </c>
      <c r="BW402" s="693">
        <f>SUMIFS(Imput[[Importe Neto]:[Importe Neto]],Imput[[C. Imp.]:[C. Imp.]],$D402,Imput[[PERIODO Imp.]:[PERIODO Imp.]],BW$9)</f>
        <v>0</v>
      </c>
      <c r="BX402" s="693">
        <f>SUMIFS(Imput[[Importe Neto]:[Importe Neto]],Imput[[C. Imp.]:[C. Imp.]],$D402,Imput[[PERIODO Imp.]:[PERIODO Imp.]],BX$9)</f>
        <v>0</v>
      </c>
      <c r="BY402" s="693">
        <f>SUMIFS(Imput[[Importe Neto]:[Importe Neto]],Imput[[C. Imp.]:[C. Imp.]],$D402,Imput[[PERIODO Imp.]:[PERIODO Imp.]],BY$9)</f>
        <v>0</v>
      </c>
      <c r="BZ402" s="693">
        <f>SUMIFS(Imput[[Importe Neto]:[Importe Neto]],Imput[[C. Imp.]:[C. Imp.]],$D402,Imput[[PERIODO Imp.]:[PERIODO Imp.]],BZ$9)</f>
        <v>0</v>
      </c>
      <c r="CA402" s="693">
        <f>SUMIFS(Imput[[Importe Neto]:[Importe Neto]],Imput[[C. Imp.]:[C. Imp.]],$D402,Imput[[PERIODO Imp.]:[PERIODO Imp.]],CA$9)</f>
        <v>0</v>
      </c>
      <c r="CB402" s="693">
        <f>SUMIFS(Imput[[Importe Neto]:[Importe Neto]],Imput[[C. Imp.]:[C. Imp.]],$D402,Imput[[PERIODO Imp.]:[PERIODO Imp.]],CB$9)</f>
        <v>0</v>
      </c>
      <c r="CC402" s="693">
        <f>SUMIFS(Imput[[Importe Neto]:[Importe Neto]],Imput[[C. Imp.]:[C. Imp.]],$D402,Imput[[PERIODO Imp.]:[PERIODO Imp.]],CC$9)</f>
        <v>0</v>
      </c>
      <c r="CD402" s="693">
        <f>SUMIFS(Imput[[Importe Neto]:[Importe Neto]],Imput[[C. Imp.]:[C. Imp.]],$D402,Imput[[PERIODO Imp.]:[PERIODO Imp.]],CD$9)</f>
        <v>0</v>
      </c>
      <c r="CE402" s="693">
        <f>SUMIFS(Imput[[Importe Neto]:[Importe Neto]],Imput[[C. Imp.]:[C. Imp.]],$D402,Imput[[PERIODO Imp.]:[PERIODO Imp.]],CE$9)</f>
        <v>0</v>
      </c>
      <c r="CF402" s="693">
        <f>SUMIFS(Imput[[Importe Neto]:[Importe Neto]],Imput[[C. Imp.]:[C. Imp.]],$D402,Imput[[PERIODO Imp.]:[PERIODO Imp.]],CF$9)</f>
        <v>0</v>
      </c>
      <c r="CG402" s="693">
        <f>SUMIFS(Imput[[Importe Neto]:[Importe Neto]],Imput[[C. Imp.]:[C. Imp.]],$D402,Imput[[PERIODO Imp.]:[PERIODO Imp.]],CG$9)</f>
        <v>0</v>
      </c>
      <c r="CH402" s="693">
        <f>SUMIFS(Imput[[Importe Neto]:[Importe Neto]],Imput[[C. Imp.]:[C. Imp.]],$D402,Imput[[PERIODO Imp.]:[PERIODO Imp.]],CH$9)</f>
        <v>0</v>
      </c>
      <c r="CI402" s="693">
        <f>SUMIFS(Imput[[Importe Neto]:[Importe Neto]],Imput[[C. Imp.]:[C. Imp.]],$D402,Imput[[PERIODO Imp.]:[PERIODO Imp.]],CI$9)</f>
        <v>0</v>
      </c>
      <c r="CJ402" s="693">
        <f>SUMIFS(Imput[[Importe Neto]:[Importe Neto]],Imput[[C. Imp.]:[C. Imp.]],$D402,Imput[[PERIODO Imp.]:[PERIODO Imp.]],CJ$9)</f>
        <v>0</v>
      </c>
      <c r="CK402" s="693">
        <f>SUMIFS(Imput[[Importe Neto]:[Importe Neto]],Imput[[C. Imp.]:[C. Imp.]],$D402,Imput[[PERIODO Imp.]:[PERIODO Imp.]],CK$9)</f>
        <v>0</v>
      </c>
      <c r="CL402" s="693">
        <f>SUMIFS(Imput[[Importe Neto]:[Importe Neto]],Imput[[C. Imp.]:[C. Imp.]],$D402,Imput[[PERIODO Imp.]:[PERIODO Imp.]],CL$9)</f>
        <v>0</v>
      </c>
      <c r="CM402" s="693">
        <f>SUMIFS(Imput[[Importe Neto]:[Importe Neto]],Imput[[C. Imp.]:[C. Imp.]],$D402,Imput[[PERIODO Imp.]:[PERIODO Imp.]],CM$9)</f>
        <v>0</v>
      </c>
      <c r="CN402" s="693">
        <f>SUMIFS(Imput[[Importe Neto]:[Importe Neto]],Imput[[C. Imp.]:[C. Imp.]],$D402,Imput[[PERIODO Imp.]:[PERIODO Imp.]],CN$9)</f>
        <v>0</v>
      </c>
      <c r="CO402" s="693">
        <f>SUMIFS(Imput[[Importe Neto]:[Importe Neto]],Imput[[C. Imp.]:[C. Imp.]],$D402,Imput[[PERIODO Imp.]:[PERIODO Imp.]],CO$9)</f>
        <v>0</v>
      </c>
      <c r="CP402" s="693">
        <f>SUMIFS(Imput[[Importe Neto]:[Importe Neto]],Imput[[C. Imp.]:[C. Imp.]],$D402,Imput[[PERIODO Imp.]:[PERIODO Imp.]],CP$9)</f>
        <v>0</v>
      </c>
      <c r="CQ402" s="693">
        <f>SUMIFS(Imput[[Importe Neto]:[Importe Neto]],Imput[[C. Imp.]:[C. Imp.]],$D402,Imput[[PERIODO Imp.]:[PERIODO Imp.]],CQ$9)</f>
        <v>0</v>
      </c>
      <c r="CR402" s="693">
        <f>SUMIFS(Imput[[Importe Neto]:[Importe Neto]],Imput[[C. Imp.]:[C. Imp.]],$D402,Imput[[PERIODO Imp.]:[PERIODO Imp.]],CR$9)</f>
        <v>0</v>
      </c>
      <c r="CS402" s="693">
        <f>SUMIFS(Imput[[Importe Neto]:[Importe Neto]],Imput[[C. Imp.]:[C. Imp.]],$D402,Imput[[PERIODO Imp.]:[PERIODO Imp.]],CS$9)</f>
        <v>0</v>
      </c>
      <c r="CT402" s="693">
        <f>SUMIFS(Imput[[Importe Neto]:[Importe Neto]],Imput[[C. Imp.]:[C. Imp.]],$D402,Imput[[PERIODO Imp.]:[PERIODO Imp.]],CT$9)</f>
        <v>0</v>
      </c>
      <c r="CU402" s="693">
        <f>SUMIFS(Imput[[Importe Neto]:[Importe Neto]],Imput[[C. Imp.]:[C. Imp.]],$D402,Imput[[PERIODO Imp.]:[PERIODO Imp.]],CU$9)</f>
        <v>0</v>
      </c>
      <c r="CV402" s="693">
        <f>SUMIFS(Imput[[Importe Neto]:[Importe Neto]],Imput[[C. Imp.]:[C. Imp.]],$D402,Imput[[PERIODO Imp.]:[PERIODO Imp.]],CV$9)</f>
        <v>0</v>
      </c>
      <c r="CW402" s="693">
        <f>SUMIFS(Imput[[Importe Neto]:[Importe Neto]],Imput[[C. Imp.]:[C. Imp.]],$D402,Imput[[PERIODO Imp.]:[PERIODO Imp.]],CW$9)</f>
        <v>0</v>
      </c>
      <c r="CX402" s="693">
        <f>SUMIFS(Imput[[Importe Neto]:[Importe Neto]],Imput[[C. Imp.]:[C. Imp.]],$D402,Imput[[PERIODO Imp.]:[PERIODO Imp.]],CX$9)</f>
        <v>0</v>
      </c>
      <c r="CY402" s="693">
        <f>SUMIFS(Imput[[Importe Neto]:[Importe Neto]],Imput[[C. Imp.]:[C. Imp.]],$D402,Imput[[PERIODO Imp.]:[PERIODO Imp.]],CY$9)</f>
        <v>0</v>
      </c>
      <c r="CZ402" s="693">
        <f>SUMIFS(Imput[[Importe Neto]:[Importe Neto]],Imput[[C. Imp.]:[C. Imp.]],$D402,Imput[[PERIODO Imp.]:[PERIODO Imp.]],CZ$9)</f>
        <v>0</v>
      </c>
      <c r="DA402" s="693">
        <f>SUMIFS(Imput[[Importe Neto]:[Importe Neto]],Imput[[C. Imp.]:[C. Imp.]],$D402,Imput[[PERIODO Imp.]:[PERIODO Imp.]],DA$9)</f>
        <v>0</v>
      </c>
      <c r="DB402" s="693">
        <f>SUMIFS(Imput[[Importe Neto]:[Importe Neto]],Imput[[C. Imp.]:[C. Imp.]],$D402,Imput[[PERIODO Imp.]:[PERIODO Imp.]],DB$9)</f>
        <v>0</v>
      </c>
      <c r="DC402" s="693">
        <f>SUMIFS(Imput[[Importe Neto]:[Importe Neto]],Imput[[C. Imp.]:[C. Imp.]],$D402,Imput[[PERIODO Imp.]:[PERIODO Imp.]],DC$9)</f>
        <v>0</v>
      </c>
      <c r="DD402" s="693">
        <f>SUMIFS(Imput[[Importe Neto]:[Importe Neto]],Imput[[C. Imp.]:[C. Imp.]],$D402,Imput[[PERIODO Imp.]:[PERIODO Imp.]],DD$9)</f>
        <v>0</v>
      </c>
      <c r="DE402" s="693">
        <f>SUMIFS(Imput[[Importe Neto]:[Importe Neto]],Imput[[C. Imp.]:[C. Imp.]],$D402,Imput[[PERIODO Imp.]:[PERIODO Imp.]],DE$9)</f>
        <v>0</v>
      </c>
      <c r="DF402" s="693">
        <f>SUMIFS(Imput[[Importe Neto]:[Importe Neto]],Imput[[C. Imp.]:[C. Imp.]],$D402,Imput[[PERIODO Imp.]:[PERIODO Imp.]],DF$9)</f>
        <v>0</v>
      </c>
      <c r="DG402" s="693">
        <f>SUMIFS(Imput[[Importe Neto]:[Importe Neto]],Imput[[C. Imp.]:[C. Imp.]],$D402,Imput[[PERIODO Imp.]:[PERIODO Imp.]],DG$9)</f>
        <v>0</v>
      </c>
      <c r="DH402" s="694">
        <f>SUMIFS(Imput[[Importe Neto]:[Importe Neto]],Imput[[C. Imp.]:[C. Imp.]],$D402,Imput[[PERIODO Imp.]:[PERIODO Imp.]],DH$9)</f>
        <v>0</v>
      </c>
    </row>
    <row r="403" spans="1:112" s="649" customFormat="1" hidden="1" outlineLevel="1" x14ac:dyDescent="0.3">
      <c r="A403" s="652" t="str">
        <f t="shared" si="154"/>
        <v/>
      </c>
      <c r="B403" s="652"/>
      <c r="C403" s="685"/>
      <c r="D403" s="686" t="s">
        <v>2463</v>
      </c>
      <c r="E403" s="686"/>
      <c r="F403" s="720"/>
      <c r="G403" s="688"/>
      <c r="H403" s="696"/>
      <c r="I403" s="851" t="str">
        <f t="shared" si="159"/>
        <v/>
      </c>
      <c r="J403" s="850" t="str">
        <f t="shared" si="156"/>
        <v/>
      </c>
      <c r="K403" s="667"/>
      <c r="L403" s="858"/>
      <c r="M403" s="859"/>
      <c r="N403" s="859"/>
      <c r="O403" s="859"/>
      <c r="P403" s="859"/>
      <c r="Q403" s="859"/>
      <c r="R403" s="859"/>
      <c r="S403" s="859"/>
      <c r="T403" s="859"/>
      <c r="U403" s="859"/>
      <c r="V403" s="859"/>
      <c r="W403" s="859"/>
      <c r="X403" s="859"/>
      <c r="Y403" s="859"/>
      <c r="Z403" s="860"/>
      <c r="AA403" s="860"/>
      <c r="AB403" s="860"/>
      <c r="AC403" s="860"/>
      <c r="AD403" s="860"/>
      <c r="AE403" s="860"/>
      <c r="AF403" s="860"/>
      <c r="AG403" s="860"/>
      <c r="AH403" s="860"/>
      <c r="AI403" s="860"/>
      <c r="AJ403" s="860"/>
      <c r="AK403" s="860"/>
      <c r="AL403" s="860"/>
      <c r="AM403" s="860"/>
      <c r="AN403" s="860"/>
      <c r="AO403" s="860"/>
      <c r="AP403" s="860"/>
      <c r="AQ403" s="860"/>
      <c r="AR403" s="860"/>
      <c r="AS403" s="860"/>
      <c r="AT403" s="860"/>
      <c r="AU403" s="860"/>
      <c r="AV403" s="860"/>
      <c r="AW403" s="860"/>
      <c r="AX403" s="860"/>
      <c r="AY403" s="860"/>
      <c r="AZ403" s="860"/>
      <c r="BA403" s="860"/>
      <c r="BB403" s="860"/>
      <c r="BC403" s="860"/>
      <c r="BD403" s="860"/>
      <c r="BE403" s="860"/>
      <c r="BF403" s="860"/>
      <c r="BG403" s="860"/>
      <c r="BH403" s="668"/>
      <c r="BI403" s="667"/>
      <c r="BJ403" s="690">
        <f t="shared" si="160"/>
        <v>0</v>
      </c>
      <c r="BK403" s="691">
        <f t="shared" si="161"/>
        <v>0</v>
      </c>
      <c r="BL403" s="654"/>
      <c r="BM403" s="692">
        <f>SUMIFS(Imput[[Importe Neto]:[Importe Neto]],Imput[[C. Imp.]:[C. Imp.]],$D403,Imput[[PERIODO Imp.]:[PERIODO Imp.]],BM$9)</f>
        <v>0</v>
      </c>
      <c r="BN403" s="693">
        <f>SUMIFS(Imput[[Importe Neto]:[Importe Neto]],Imput[[C. Imp.]:[C. Imp.]],$D403,Imput[[PERIODO Imp.]:[PERIODO Imp.]],BN$9)</f>
        <v>0</v>
      </c>
      <c r="BO403" s="693">
        <f>SUMIFS(Imput[[Importe Neto]:[Importe Neto]],Imput[[C. Imp.]:[C. Imp.]],$D403,Imput[[PERIODO Imp.]:[PERIODO Imp.]],BO$9)</f>
        <v>0</v>
      </c>
      <c r="BP403" s="693">
        <f>SUMIFS(Imput[[Importe Neto]:[Importe Neto]],Imput[[C. Imp.]:[C. Imp.]],$D403,Imput[[PERIODO Imp.]:[PERIODO Imp.]],BP$9)</f>
        <v>0</v>
      </c>
      <c r="BQ403" s="693">
        <f>SUMIFS(Imput[[Importe Neto]:[Importe Neto]],Imput[[C. Imp.]:[C. Imp.]],$D403,Imput[[PERIODO Imp.]:[PERIODO Imp.]],BQ$9)</f>
        <v>0</v>
      </c>
      <c r="BR403" s="693">
        <f>SUMIFS(Imput[[Importe Neto]:[Importe Neto]],Imput[[C. Imp.]:[C. Imp.]],$D403,Imput[[PERIODO Imp.]:[PERIODO Imp.]],BR$9)</f>
        <v>0</v>
      </c>
      <c r="BS403" s="693">
        <f>SUMIFS(Imput[[Importe Neto]:[Importe Neto]],Imput[[C. Imp.]:[C. Imp.]],$D403,Imput[[PERIODO Imp.]:[PERIODO Imp.]],BS$9)</f>
        <v>0</v>
      </c>
      <c r="BT403" s="693">
        <f>SUMIFS(Imput[[Importe Neto]:[Importe Neto]],Imput[[C. Imp.]:[C. Imp.]],$D403,Imput[[PERIODO Imp.]:[PERIODO Imp.]],BT$9)</f>
        <v>0</v>
      </c>
      <c r="BU403" s="693">
        <f>SUMIFS(Imput[[Importe Neto]:[Importe Neto]],Imput[[C. Imp.]:[C. Imp.]],$D403,Imput[[PERIODO Imp.]:[PERIODO Imp.]],BU$9)</f>
        <v>0</v>
      </c>
      <c r="BV403" s="693">
        <f>SUMIFS(Imput[[Importe Neto]:[Importe Neto]],Imput[[C. Imp.]:[C. Imp.]],$D403,Imput[[PERIODO Imp.]:[PERIODO Imp.]],BV$9)</f>
        <v>0</v>
      </c>
      <c r="BW403" s="693">
        <f>SUMIFS(Imput[[Importe Neto]:[Importe Neto]],Imput[[C. Imp.]:[C. Imp.]],$D403,Imput[[PERIODO Imp.]:[PERIODO Imp.]],BW$9)</f>
        <v>0</v>
      </c>
      <c r="BX403" s="693">
        <f>SUMIFS(Imput[[Importe Neto]:[Importe Neto]],Imput[[C. Imp.]:[C. Imp.]],$D403,Imput[[PERIODO Imp.]:[PERIODO Imp.]],BX$9)</f>
        <v>0</v>
      </c>
      <c r="BY403" s="693">
        <f>SUMIFS(Imput[[Importe Neto]:[Importe Neto]],Imput[[C. Imp.]:[C. Imp.]],$D403,Imput[[PERIODO Imp.]:[PERIODO Imp.]],BY$9)</f>
        <v>0</v>
      </c>
      <c r="BZ403" s="693">
        <f>SUMIFS(Imput[[Importe Neto]:[Importe Neto]],Imput[[C. Imp.]:[C. Imp.]],$D403,Imput[[PERIODO Imp.]:[PERIODO Imp.]],BZ$9)</f>
        <v>0</v>
      </c>
      <c r="CA403" s="693">
        <f>SUMIFS(Imput[[Importe Neto]:[Importe Neto]],Imput[[C. Imp.]:[C. Imp.]],$D403,Imput[[PERIODO Imp.]:[PERIODO Imp.]],CA$9)</f>
        <v>0</v>
      </c>
      <c r="CB403" s="693">
        <f>SUMIFS(Imput[[Importe Neto]:[Importe Neto]],Imput[[C. Imp.]:[C. Imp.]],$D403,Imput[[PERIODO Imp.]:[PERIODO Imp.]],CB$9)</f>
        <v>0</v>
      </c>
      <c r="CC403" s="693">
        <f>SUMIFS(Imput[[Importe Neto]:[Importe Neto]],Imput[[C. Imp.]:[C. Imp.]],$D403,Imput[[PERIODO Imp.]:[PERIODO Imp.]],CC$9)</f>
        <v>0</v>
      </c>
      <c r="CD403" s="693">
        <f>SUMIFS(Imput[[Importe Neto]:[Importe Neto]],Imput[[C. Imp.]:[C. Imp.]],$D403,Imput[[PERIODO Imp.]:[PERIODO Imp.]],CD$9)</f>
        <v>0</v>
      </c>
      <c r="CE403" s="693">
        <f>SUMIFS(Imput[[Importe Neto]:[Importe Neto]],Imput[[C. Imp.]:[C. Imp.]],$D403,Imput[[PERIODO Imp.]:[PERIODO Imp.]],CE$9)</f>
        <v>0</v>
      </c>
      <c r="CF403" s="693">
        <f>SUMIFS(Imput[[Importe Neto]:[Importe Neto]],Imput[[C. Imp.]:[C. Imp.]],$D403,Imput[[PERIODO Imp.]:[PERIODO Imp.]],CF$9)</f>
        <v>0</v>
      </c>
      <c r="CG403" s="693">
        <f>SUMIFS(Imput[[Importe Neto]:[Importe Neto]],Imput[[C. Imp.]:[C. Imp.]],$D403,Imput[[PERIODO Imp.]:[PERIODO Imp.]],CG$9)</f>
        <v>0</v>
      </c>
      <c r="CH403" s="693">
        <f>SUMIFS(Imput[[Importe Neto]:[Importe Neto]],Imput[[C. Imp.]:[C. Imp.]],$D403,Imput[[PERIODO Imp.]:[PERIODO Imp.]],CH$9)</f>
        <v>0</v>
      </c>
      <c r="CI403" s="693">
        <f>SUMIFS(Imput[[Importe Neto]:[Importe Neto]],Imput[[C. Imp.]:[C. Imp.]],$D403,Imput[[PERIODO Imp.]:[PERIODO Imp.]],CI$9)</f>
        <v>0</v>
      </c>
      <c r="CJ403" s="693">
        <f>SUMIFS(Imput[[Importe Neto]:[Importe Neto]],Imput[[C. Imp.]:[C. Imp.]],$D403,Imput[[PERIODO Imp.]:[PERIODO Imp.]],CJ$9)</f>
        <v>0</v>
      </c>
      <c r="CK403" s="693">
        <f>SUMIFS(Imput[[Importe Neto]:[Importe Neto]],Imput[[C. Imp.]:[C. Imp.]],$D403,Imput[[PERIODO Imp.]:[PERIODO Imp.]],CK$9)</f>
        <v>0</v>
      </c>
      <c r="CL403" s="693">
        <f>SUMIFS(Imput[[Importe Neto]:[Importe Neto]],Imput[[C. Imp.]:[C. Imp.]],$D403,Imput[[PERIODO Imp.]:[PERIODO Imp.]],CL$9)</f>
        <v>0</v>
      </c>
      <c r="CM403" s="693">
        <f>SUMIFS(Imput[[Importe Neto]:[Importe Neto]],Imput[[C. Imp.]:[C. Imp.]],$D403,Imput[[PERIODO Imp.]:[PERIODO Imp.]],CM$9)</f>
        <v>0</v>
      </c>
      <c r="CN403" s="693">
        <f>SUMIFS(Imput[[Importe Neto]:[Importe Neto]],Imput[[C. Imp.]:[C. Imp.]],$D403,Imput[[PERIODO Imp.]:[PERIODO Imp.]],CN$9)</f>
        <v>0</v>
      </c>
      <c r="CO403" s="693">
        <f>SUMIFS(Imput[[Importe Neto]:[Importe Neto]],Imput[[C. Imp.]:[C. Imp.]],$D403,Imput[[PERIODO Imp.]:[PERIODO Imp.]],CO$9)</f>
        <v>0</v>
      </c>
      <c r="CP403" s="693">
        <f>SUMIFS(Imput[[Importe Neto]:[Importe Neto]],Imput[[C. Imp.]:[C. Imp.]],$D403,Imput[[PERIODO Imp.]:[PERIODO Imp.]],CP$9)</f>
        <v>0</v>
      </c>
      <c r="CQ403" s="693">
        <f>SUMIFS(Imput[[Importe Neto]:[Importe Neto]],Imput[[C. Imp.]:[C. Imp.]],$D403,Imput[[PERIODO Imp.]:[PERIODO Imp.]],CQ$9)</f>
        <v>0</v>
      </c>
      <c r="CR403" s="693">
        <f>SUMIFS(Imput[[Importe Neto]:[Importe Neto]],Imput[[C. Imp.]:[C. Imp.]],$D403,Imput[[PERIODO Imp.]:[PERIODO Imp.]],CR$9)</f>
        <v>0</v>
      </c>
      <c r="CS403" s="693">
        <f>SUMIFS(Imput[[Importe Neto]:[Importe Neto]],Imput[[C. Imp.]:[C. Imp.]],$D403,Imput[[PERIODO Imp.]:[PERIODO Imp.]],CS$9)</f>
        <v>0</v>
      </c>
      <c r="CT403" s="693">
        <f>SUMIFS(Imput[[Importe Neto]:[Importe Neto]],Imput[[C. Imp.]:[C. Imp.]],$D403,Imput[[PERIODO Imp.]:[PERIODO Imp.]],CT$9)</f>
        <v>0</v>
      </c>
      <c r="CU403" s="693">
        <f>SUMIFS(Imput[[Importe Neto]:[Importe Neto]],Imput[[C. Imp.]:[C. Imp.]],$D403,Imput[[PERIODO Imp.]:[PERIODO Imp.]],CU$9)</f>
        <v>0</v>
      </c>
      <c r="CV403" s="693">
        <f>SUMIFS(Imput[[Importe Neto]:[Importe Neto]],Imput[[C. Imp.]:[C. Imp.]],$D403,Imput[[PERIODO Imp.]:[PERIODO Imp.]],CV$9)</f>
        <v>0</v>
      </c>
      <c r="CW403" s="693">
        <f>SUMIFS(Imput[[Importe Neto]:[Importe Neto]],Imput[[C. Imp.]:[C. Imp.]],$D403,Imput[[PERIODO Imp.]:[PERIODO Imp.]],CW$9)</f>
        <v>0</v>
      </c>
      <c r="CX403" s="693">
        <f>SUMIFS(Imput[[Importe Neto]:[Importe Neto]],Imput[[C. Imp.]:[C. Imp.]],$D403,Imput[[PERIODO Imp.]:[PERIODO Imp.]],CX$9)</f>
        <v>0</v>
      </c>
      <c r="CY403" s="693">
        <f>SUMIFS(Imput[[Importe Neto]:[Importe Neto]],Imput[[C. Imp.]:[C. Imp.]],$D403,Imput[[PERIODO Imp.]:[PERIODO Imp.]],CY$9)</f>
        <v>0</v>
      </c>
      <c r="CZ403" s="693">
        <f>SUMIFS(Imput[[Importe Neto]:[Importe Neto]],Imput[[C. Imp.]:[C. Imp.]],$D403,Imput[[PERIODO Imp.]:[PERIODO Imp.]],CZ$9)</f>
        <v>0</v>
      </c>
      <c r="DA403" s="693">
        <f>SUMIFS(Imput[[Importe Neto]:[Importe Neto]],Imput[[C. Imp.]:[C. Imp.]],$D403,Imput[[PERIODO Imp.]:[PERIODO Imp.]],DA$9)</f>
        <v>0</v>
      </c>
      <c r="DB403" s="693">
        <f>SUMIFS(Imput[[Importe Neto]:[Importe Neto]],Imput[[C. Imp.]:[C. Imp.]],$D403,Imput[[PERIODO Imp.]:[PERIODO Imp.]],DB$9)</f>
        <v>0</v>
      </c>
      <c r="DC403" s="693">
        <f>SUMIFS(Imput[[Importe Neto]:[Importe Neto]],Imput[[C. Imp.]:[C. Imp.]],$D403,Imput[[PERIODO Imp.]:[PERIODO Imp.]],DC$9)</f>
        <v>0</v>
      </c>
      <c r="DD403" s="693">
        <f>SUMIFS(Imput[[Importe Neto]:[Importe Neto]],Imput[[C. Imp.]:[C. Imp.]],$D403,Imput[[PERIODO Imp.]:[PERIODO Imp.]],DD$9)</f>
        <v>0</v>
      </c>
      <c r="DE403" s="693">
        <f>SUMIFS(Imput[[Importe Neto]:[Importe Neto]],Imput[[C. Imp.]:[C. Imp.]],$D403,Imput[[PERIODO Imp.]:[PERIODO Imp.]],DE$9)</f>
        <v>0</v>
      </c>
      <c r="DF403" s="693">
        <f>SUMIFS(Imput[[Importe Neto]:[Importe Neto]],Imput[[C. Imp.]:[C. Imp.]],$D403,Imput[[PERIODO Imp.]:[PERIODO Imp.]],DF$9)</f>
        <v>0</v>
      </c>
      <c r="DG403" s="693">
        <f>SUMIFS(Imput[[Importe Neto]:[Importe Neto]],Imput[[C. Imp.]:[C. Imp.]],$D403,Imput[[PERIODO Imp.]:[PERIODO Imp.]],DG$9)</f>
        <v>0</v>
      </c>
      <c r="DH403" s="694">
        <f>SUMIFS(Imput[[Importe Neto]:[Importe Neto]],Imput[[C. Imp.]:[C. Imp.]],$D403,Imput[[PERIODO Imp.]:[PERIODO Imp.]],DH$9)</f>
        <v>0</v>
      </c>
    </row>
    <row r="404" spans="1:112" s="649" customFormat="1" hidden="1" outlineLevel="1" x14ac:dyDescent="0.3">
      <c r="A404" s="652" t="str">
        <f t="shared" si="154"/>
        <v/>
      </c>
      <c r="B404" s="652"/>
      <c r="C404" s="685"/>
      <c r="D404" s="686" t="s">
        <v>2464</v>
      </c>
      <c r="E404" s="686"/>
      <c r="F404" s="720"/>
      <c r="G404" s="688"/>
      <c r="H404" s="696"/>
      <c r="I404" s="851" t="str">
        <f t="shared" si="159"/>
        <v/>
      </c>
      <c r="J404" s="850" t="str">
        <f t="shared" si="156"/>
        <v/>
      </c>
      <c r="K404" s="667"/>
      <c r="L404" s="858"/>
      <c r="M404" s="859"/>
      <c r="N404" s="859"/>
      <c r="O404" s="859"/>
      <c r="P404" s="859"/>
      <c r="Q404" s="859"/>
      <c r="R404" s="859"/>
      <c r="S404" s="859"/>
      <c r="T404" s="859"/>
      <c r="U404" s="859"/>
      <c r="V404" s="859"/>
      <c r="W404" s="859"/>
      <c r="X404" s="859"/>
      <c r="Y404" s="859"/>
      <c r="Z404" s="860"/>
      <c r="AA404" s="860"/>
      <c r="AB404" s="860"/>
      <c r="AC404" s="860"/>
      <c r="AD404" s="860"/>
      <c r="AE404" s="860"/>
      <c r="AF404" s="860"/>
      <c r="AG404" s="860"/>
      <c r="AH404" s="860"/>
      <c r="AI404" s="860"/>
      <c r="AJ404" s="860"/>
      <c r="AK404" s="860"/>
      <c r="AL404" s="860"/>
      <c r="AM404" s="860"/>
      <c r="AN404" s="860"/>
      <c r="AO404" s="860"/>
      <c r="AP404" s="860"/>
      <c r="AQ404" s="860"/>
      <c r="AR404" s="860"/>
      <c r="AS404" s="860"/>
      <c r="AT404" s="860"/>
      <c r="AU404" s="860"/>
      <c r="AV404" s="860"/>
      <c r="AW404" s="860"/>
      <c r="AX404" s="860"/>
      <c r="AY404" s="860"/>
      <c r="AZ404" s="860"/>
      <c r="BA404" s="860"/>
      <c r="BB404" s="860"/>
      <c r="BC404" s="860"/>
      <c r="BD404" s="860"/>
      <c r="BE404" s="860"/>
      <c r="BF404" s="860"/>
      <c r="BG404" s="860"/>
      <c r="BH404" s="668"/>
      <c r="BI404" s="667"/>
      <c r="BJ404" s="690">
        <f t="shared" si="160"/>
        <v>0</v>
      </c>
      <c r="BK404" s="691">
        <f t="shared" si="161"/>
        <v>0</v>
      </c>
      <c r="BL404" s="654"/>
      <c r="BM404" s="692">
        <f>SUMIFS(Imput[[Importe Neto]:[Importe Neto]],Imput[[C. Imp.]:[C. Imp.]],$D404,Imput[[PERIODO Imp.]:[PERIODO Imp.]],BM$9)</f>
        <v>0</v>
      </c>
      <c r="BN404" s="693">
        <f>SUMIFS(Imput[[Importe Neto]:[Importe Neto]],Imput[[C. Imp.]:[C. Imp.]],$D404,Imput[[PERIODO Imp.]:[PERIODO Imp.]],BN$9)</f>
        <v>0</v>
      </c>
      <c r="BO404" s="693">
        <f>SUMIFS(Imput[[Importe Neto]:[Importe Neto]],Imput[[C. Imp.]:[C. Imp.]],$D404,Imput[[PERIODO Imp.]:[PERIODO Imp.]],BO$9)</f>
        <v>0</v>
      </c>
      <c r="BP404" s="693">
        <f>SUMIFS(Imput[[Importe Neto]:[Importe Neto]],Imput[[C. Imp.]:[C. Imp.]],$D404,Imput[[PERIODO Imp.]:[PERIODO Imp.]],BP$9)</f>
        <v>0</v>
      </c>
      <c r="BQ404" s="693">
        <f>SUMIFS(Imput[[Importe Neto]:[Importe Neto]],Imput[[C. Imp.]:[C. Imp.]],$D404,Imput[[PERIODO Imp.]:[PERIODO Imp.]],BQ$9)</f>
        <v>0</v>
      </c>
      <c r="BR404" s="693">
        <f>SUMIFS(Imput[[Importe Neto]:[Importe Neto]],Imput[[C. Imp.]:[C. Imp.]],$D404,Imput[[PERIODO Imp.]:[PERIODO Imp.]],BR$9)</f>
        <v>0</v>
      </c>
      <c r="BS404" s="693">
        <f>SUMIFS(Imput[[Importe Neto]:[Importe Neto]],Imput[[C. Imp.]:[C. Imp.]],$D404,Imput[[PERIODO Imp.]:[PERIODO Imp.]],BS$9)</f>
        <v>0</v>
      </c>
      <c r="BT404" s="693">
        <f>SUMIFS(Imput[[Importe Neto]:[Importe Neto]],Imput[[C. Imp.]:[C. Imp.]],$D404,Imput[[PERIODO Imp.]:[PERIODO Imp.]],BT$9)</f>
        <v>0</v>
      </c>
      <c r="BU404" s="693">
        <f>SUMIFS(Imput[[Importe Neto]:[Importe Neto]],Imput[[C. Imp.]:[C. Imp.]],$D404,Imput[[PERIODO Imp.]:[PERIODO Imp.]],BU$9)</f>
        <v>0</v>
      </c>
      <c r="BV404" s="693">
        <f>SUMIFS(Imput[[Importe Neto]:[Importe Neto]],Imput[[C. Imp.]:[C. Imp.]],$D404,Imput[[PERIODO Imp.]:[PERIODO Imp.]],BV$9)</f>
        <v>0</v>
      </c>
      <c r="BW404" s="693">
        <f>SUMIFS(Imput[[Importe Neto]:[Importe Neto]],Imput[[C. Imp.]:[C. Imp.]],$D404,Imput[[PERIODO Imp.]:[PERIODO Imp.]],BW$9)</f>
        <v>0</v>
      </c>
      <c r="BX404" s="693">
        <f>SUMIFS(Imput[[Importe Neto]:[Importe Neto]],Imput[[C. Imp.]:[C. Imp.]],$D404,Imput[[PERIODO Imp.]:[PERIODO Imp.]],BX$9)</f>
        <v>0</v>
      </c>
      <c r="BY404" s="693">
        <f>SUMIFS(Imput[[Importe Neto]:[Importe Neto]],Imput[[C. Imp.]:[C. Imp.]],$D404,Imput[[PERIODO Imp.]:[PERIODO Imp.]],BY$9)</f>
        <v>0</v>
      </c>
      <c r="BZ404" s="693">
        <f>SUMIFS(Imput[[Importe Neto]:[Importe Neto]],Imput[[C. Imp.]:[C. Imp.]],$D404,Imput[[PERIODO Imp.]:[PERIODO Imp.]],BZ$9)</f>
        <v>0</v>
      </c>
      <c r="CA404" s="693">
        <f>SUMIFS(Imput[[Importe Neto]:[Importe Neto]],Imput[[C. Imp.]:[C. Imp.]],$D404,Imput[[PERIODO Imp.]:[PERIODO Imp.]],CA$9)</f>
        <v>0</v>
      </c>
      <c r="CB404" s="693">
        <f>SUMIFS(Imput[[Importe Neto]:[Importe Neto]],Imput[[C. Imp.]:[C. Imp.]],$D404,Imput[[PERIODO Imp.]:[PERIODO Imp.]],CB$9)</f>
        <v>0</v>
      </c>
      <c r="CC404" s="693">
        <f>SUMIFS(Imput[[Importe Neto]:[Importe Neto]],Imput[[C. Imp.]:[C. Imp.]],$D404,Imput[[PERIODO Imp.]:[PERIODO Imp.]],CC$9)</f>
        <v>0</v>
      </c>
      <c r="CD404" s="693">
        <f>SUMIFS(Imput[[Importe Neto]:[Importe Neto]],Imput[[C. Imp.]:[C. Imp.]],$D404,Imput[[PERIODO Imp.]:[PERIODO Imp.]],CD$9)</f>
        <v>0</v>
      </c>
      <c r="CE404" s="693">
        <f>SUMIFS(Imput[[Importe Neto]:[Importe Neto]],Imput[[C. Imp.]:[C. Imp.]],$D404,Imput[[PERIODO Imp.]:[PERIODO Imp.]],CE$9)</f>
        <v>0</v>
      </c>
      <c r="CF404" s="693">
        <f>SUMIFS(Imput[[Importe Neto]:[Importe Neto]],Imput[[C. Imp.]:[C. Imp.]],$D404,Imput[[PERIODO Imp.]:[PERIODO Imp.]],CF$9)</f>
        <v>0</v>
      </c>
      <c r="CG404" s="693">
        <f>SUMIFS(Imput[[Importe Neto]:[Importe Neto]],Imput[[C. Imp.]:[C. Imp.]],$D404,Imput[[PERIODO Imp.]:[PERIODO Imp.]],CG$9)</f>
        <v>0</v>
      </c>
      <c r="CH404" s="693">
        <f>SUMIFS(Imput[[Importe Neto]:[Importe Neto]],Imput[[C. Imp.]:[C. Imp.]],$D404,Imput[[PERIODO Imp.]:[PERIODO Imp.]],CH$9)</f>
        <v>0</v>
      </c>
      <c r="CI404" s="693">
        <f>SUMIFS(Imput[[Importe Neto]:[Importe Neto]],Imput[[C. Imp.]:[C. Imp.]],$D404,Imput[[PERIODO Imp.]:[PERIODO Imp.]],CI$9)</f>
        <v>0</v>
      </c>
      <c r="CJ404" s="693">
        <f>SUMIFS(Imput[[Importe Neto]:[Importe Neto]],Imput[[C. Imp.]:[C. Imp.]],$D404,Imput[[PERIODO Imp.]:[PERIODO Imp.]],CJ$9)</f>
        <v>0</v>
      </c>
      <c r="CK404" s="693">
        <f>SUMIFS(Imput[[Importe Neto]:[Importe Neto]],Imput[[C. Imp.]:[C. Imp.]],$D404,Imput[[PERIODO Imp.]:[PERIODO Imp.]],CK$9)</f>
        <v>0</v>
      </c>
      <c r="CL404" s="693">
        <f>SUMIFS(Imput[[Importe Neto]:[Importe Neto]],Imput[[C. Imp.]:[C. Imp.]],$D404,Imput[[PERIODO Imp.]:[PERIODO Imp.]],CL$9)</f>
        <v>0</v>
      </c>
      <c r="CM404" s="693">
        <f>SUMIFS(Imput[[Importe Neto]:[Importe Neto]],Imput[[C. Imp.]:[C. Imp.]],$D404,Imput[[PERIODO Imp.]:[PERIODO Imp.]],CM$9)</f>
        <v>0</v>
      </c>
      <c r="CN404" s="693">
        <f>SUMIFS(Imput[[Importe Neto]:[Importe Neto]],Imput[[C. Imp.]:[C. Imp.]],$D404,Imput[[PERIODO Imp.]:[PERIODO Imp.]],CN$9)</f>
        <v>0</v>
      </c>
      <c r="CO404" s="693">
        <f>SUMIFS(Imput[[Importe Neto]:[Importe Neto]],Imput[[C. Imp.]:[C. Imp.]],$D404,Imput[[PERIODO Imp.]:[PERIODO Imp.]],CO$9)</f>
        <v>0</v>
      </c>
      <c r="CP404" s="693">
        <f>SUMIFS(Imput[[Importe Neto]:[Importe Neto]],Imput[[C. Imp.]:[C. Imp.]],$D404,Imput[[PERIODO Imp.]:[PERIODO Imp.]],CP$9)</f>
        <v>0</v>
      </c>
      <c r="CQ404" s="693">
        <f>SUMIFS(Imput[[Importe Neto]:[Importe Neto]],Imput[[C. Imp.]:[C. Imp.]],$D404,Imput[[PERIODO Imp.]:[PERIODO Imp.]],CQ$9)</f>
        <v>0</v>
      </c>
      <c r="CR404" s="693">
        <f>SUMIFS(Imput[[Importe Neto]:[Importe Neto]],Imput[[C. Imp.]:[C. Imp.]],$D404,Imput[[PERIODO Imp.]:[PERIODO Imp.]],CR$9)</f>
        <v>0</v>
      </c>
      <c r="CS404" s="693">
        <f>SUMIFS(Imput[[Importe Neto]:[Importe Neto]],Imput[[C. Imp.]:[C. Imp.]],$D404,Imput[[PERIODO Imp.]:[PERIODO Imp.]],CS$9)</f>
        <v>0</v>
      </c>
      <c r="CT404" s="693">
        <f>SUMIFS(Imput[[Importe Neto]:[Importe Neto]],Imput[[C. Imp.]:[C. Imp.]],$D404,Imput[[PERIODO Imp.]:[PERIODO Imp.]],CT$9)</f>
        <v>0</v>
      </c>
      <c r="CU404" s="693">
        <f>SUMIFS(Imput[[Importe Neto]:[Importe Neto]],Imput[[C. Imp.]:[C. Imp.]],$D404,Imput[[PERIODO Imp.]:[PERIODO Imp.]],CU$9)</f>
        <v>0</v>
      </c>
      <c r="CV404" s="693">
        <f>SUMIFS(Imput[[Importe Neto]:[Importe Neto]],Imput[[C. Imp.]:[C. Imp.]],$D404,Imput[[PERIODO Imp.]:[PERIODO Imp.]],CV$9)</f>
        <v>0</v>
      </c>
      <c r="CW404" s="693">
        <f>SUMIFS(Imput[[Importe Neto]:[Importe Neto]],Imput[[C. Imp.]:[C. Imp.]],$D404,Imput[[PERIODO Imp.]:[PERIODO Imp.]],CW$9)</f>
        <v>0</v>
      </c>
      <c r="CX404" s="693">
        <f>SUMIFS(Imput[[Importe Neto]:[Importe Neto]],Imput[[C. Imp.]:[C. Imp.]],$D404,Imput[[PERIODO Imp.]:[PERIODO Imp.]],CX$9)</f>
        <v>0</v>
      </c>
      <c r="CY404" s="693">
        <f>SUMIFS(Imput[[Importe Neto]:[Importe Neto]],Imput[[C. Imp.]:[C. Imp.]],$D404,Imput[[PERIODO Imp.]:[PERIODO Imp.]],CY$9)</f>
        <v>0</v>
      </c>
      <c r="CZ404" s="693">
        <f>SUMIFS(Imput[[Importe Neto]:[Importe Neto]],Imput[[C. Imp.]:[C. Imp.]],$D404,Imput[[PERIODO Imp.]:[PERIODO Imp.]],CZ$9)</f>
        <v>0</v>
      </c>
      <c r="DA404" s="693">
        <f>SUMIFS(Imput[[Importe Neto]:[Importe Neto]],Imput[[C. Imp.]:[C. Imp.]],$D404,Imput[[PERIODO Imp.]:[PERIODO Imp.]],DA$9)</f>
        <v>0</v>
      </c>
      <c r="DB404" s="693">
        <f>SUMIFS(Imput[[Importe Neto]:[Importe Neto]],Imput[[C. Imp.]:[C. Imp.]],$D404,Imput[[PERIODO Imp.]:[PERIODO Imp.]],DB$9)</f>
        <v>0</v>
      </c>
      <c r="DC404" s="693">
        <f>SUMIFS(Imput[[Importe Neto]:[Importe Neto]],Imput[[C. Imp.]:[C. Imp.]],$D404,Imput[[PERIODO Imp.]:[PERIODO Imp.]],DC$9)</f>
        <v>0</v>
      </c>
      <c r="DD404" s="693">
        <f>SUMIFS(Imput[[Importe Neto]:[Importe Neto]],Imput[[C. Imp.]:[C. Imp.]],$D404,Imput[[PERIODO Imp.]:[PERIODO Imp.]],DD$9)</f>
        <v>0</v>
      </c>
      <c r="DE404" s="693">
        <f>SUMIFS(Imput[[Importe Neto]:[Importe Neto]],Imput[[C. Imp.]:[C. Imp.]],$D404,Imput[[PERIODO Imp.]:[PERIODO Imp.]],DE$9)</f>
        <v>0</v>
      </c>
      <c r="DF404" s="693">
        <f>SUMIFS(Imput[[Importe Neto]:[Importe Neto]],Imput[[C. Imp.]:[C. Imp.]],$D404,Imput[[PERIODO Imp.]:[PERIODO Imp.]],DF$9)</f>
        <v>0</v>
      </c>
      <c r="DG404" s="693">
        <f>SUMIFS(Imput[[Importe Neto]:[Importe Neto]],Imput[[C. Imp.]:[C. Imp.]],$D404,Imput[[PERIODO Imp.]:[PERIODO Imp.]],DG$9)</f>
        <v>0</v>
      </c>
      <c r="DH404" s="694">
        <f>SUMIFS(Imput[[Importe Neto]:[Importe Neto]],Imput[[C. Imp.]:[C. Imp.]],$D404,Imput[[PERIODO Imp.]:[PERIODO Imp.]],DH$9)</f>
        <v>0</v>
      </c>
    </row>
    <row r="405" spans="1:112" s="649" customFormat="1" hidden="1" outlineLevel="1" x14ac:dyDescent="0.3">
      <c r="A405" s="652" t="str">
        <f t="shared" si="154"/>
        <v/>
      </c>
      <c r="B405" s="652"/>
      <c r="C405" s="685"/>
      <c r="D405" s="686" t="s">
        <v>2465</v>
      </c>
      <c r="E405" s="686"/>
      <c r="F405" s="720"/>
      <c r="G405" s="688"/>
      <c r="H405" s="696"/>
      <c r="I405" s="851" t="str">
        <f t="shared" si="159"/>
        <v/>
      </c>
      <c r="J405" s="850" t="str">
        <f t="shared" si="156"/>
        <v/>
      </c>
      <c r="K405" s="678"/>
      <c r="L405" s="858"/>
      <c r="M405" s="859"/>
      <c r="N405" s="859"/>
      <c r="O405" s="859"/>
      <c r="P405" s="859"/>
      <c r="Q405" s="859"/>
      <c r="R405" s="859"/>
      <c r="S405" s="859"/>
      <c r="T405" s="859"/>
      <c r="U405" s="859"/>
      <c r="V405" s="859"/>
      <c r="W405" s="859"/>
      <c r="X405" s="859"/>
      <c r="Y405" s="859"/>
      <c r="Z405" s="860"/>
      <c r="AA405" s="860"/>
      <c r="AB405" s="860"/>
      <c r="AC405" s="860"/>
      <c r="AD405" s="860"/>
      <c r="AE405" s="860"/>
      <c r="AF405" s="860"/>
      <c r="AG405" s="860"/>
      <c r="AH405" s="860"/>
      <c r="AI405" s="860"/>
      <c r="AJ405" s="860"/>
      <c r="AK405" s="860"/>
      <c r="AL405" s="860"/>
      <c r="AM405" s="860"/>
      <c r="AN405" s="860"/>
      <c r="AO405" s="860"/>
      <c r="AP405" s="860"/>
      <c r="AQ405" s="860"/>
      <c r="AR405" s="860"/>
      <c r="AS405" s="860"/>
      <c r="AT405" s="860"/>
      <c r="AU405" s="860"/>
      <c r="AV405" s="860"/>
      <c r="AW405" s="860"/>
      <c r="AX405" s="860"/>
      <c r="AY405" s="860"/>
      <c r="AZ405" s="860"/>
      <c r="BA405" s="860"/>
      <c r="BB405" s="860"/>
      <c r="BC405" s="860"/>
      <c r="BD405" s="860"/>
      <c r="BE405" s="860"/>
      <c r="BF405" s="860"/>
      <c r="BG405" s="860"/>
      <c r="BH405" s="668"/>
      <c r="BI405" s="654"/>
      <c r="BJ405" s="690">
        <f t="shared" si="160"/>
        <v>0</v>
      </c>
      <c r="BK405" s="691">
        <f t="shared" si="161"/>
        <v>0</v>
      </c>
      <c r="BL405" s="654"/>
      <c r="BM405" s="692">
        <f>SUMIFS(Imput[[Importe Neto]:[Importe Neto]],Imput[[C. Imp.]:[C. Imp.]],$D405,Imput[[PERIODO Imp.]:[PERIODO Imp.]],BM$9)</f>
        <v>0</v>
      </c>
      <c r="BN405" s="693">
        <f>SUMIFS(Imput[[Importe Neto]:[Importe Neto]],Imput[[C. Imp.]:[C. Imp.]],$D405,Imput[[PERIODO Imp.]:[PERIODO Imp.]],BN$9)</f>
        <v>0</v>
      </c>
      <c r="BO405" s="693">
        <f>SUMIFS(Imput[[Importe Neto]:[Importe Neto]],Imput[[C. Imp.]:[C. Imp.]],$D405,Imput[[PERIODO Imp.]:[PERIODO Imp.]],BO$9)</f>
        <v>0</v>
      </c>
      <c r="BP405" s="693">
        <f>SUMIFS(Imput[[Importe Neto]:[Importe Neto]],Imput[[C. Imp.]:[C. Imp.]],$D405,Imput[[PERIODO Imp.]:[PERIODO Imp.]],BP$9)</f>
        <v>0</v>
      </c>
      <c r="BQ405" s="693">
        <f>SUMIFS(Imput[[Importe Neto]:[Importe Neto]],Imput[[C. Imp.]:[C. Imp.]],$D405,Imput[[PERIODO Imp.]:[PERIODO Imp.]],BQ$9)</f>
        <v>0</v>
      </c>
      <c r="BR405" s="693">
        <f>SUMIFS(Imput[[Importe Neto]:[Importe Neto]],Imput[[C. Imp.]:[C. Imp.]],$D405,Imput[[PERIODO Imp.]:[PERIODO Imp.]],BR$9)</f>
        <v>0</v>
      </c>
      <c r="BS405" s="693">
        <f>SUMIFS(Imput[[Importe Neto]:[Importe Neto]],Imput[[C. Imp.]:[C. Imp.]],$D405,Imput[[PERIODO Imp.]:[PERIODO Imp.]],BS$9)</f>
        <v>0</v>
      </c>
      <c r="BT405" s="693">
        <f>SUMIFS(Imput[[Importe Neto]:[Importe Neto]],Imput[[C. Imp.]:[C. Imp.]],$D405,Imput[[PERIODO Imp.]:[PERIODO Imp.]],BT$9)</f>
        <v>0</v>
      </c>
      <c r="BU405" s="693">
        <f>SUMIFS(Imput[[Importe Neto]:[Importe Neto]],Imput[[C. Imp.]:[C. Imp.]],$D405,Imput[[PERIODO Imp.]:[PERIODO Imp.]],BU$9)</f>
        <v>0</v>
      </c>
      <c r="BV405" s="693">
        <f>SUMIFS(Imput[[Importe Neto]:[Importe Neto]],Imput[[C. Imp.]:[C. Imp.]],$D405,Imput[[PERIODO Imp.]:[PERIODO Imp.]],BV$9)</f>
        <v>0</v>
      </c>
      <c r="BW405" s="693">
        <f>SUMIFS(Imput[[Importe Neto]:[Importe Neto]],Imput[[C. Imp.]:[C. Imp.]],$D405,Imput[[PERIODO Imp.]:[PERIODO Imp.]],BW$9)</f>
        <v>0</v>
      </c>
      <c r="BX405" s="693">
        <f>SUMIFS(Imput[[Importe Neto]:[Importe Neto]],Imput[[C. Imp.]:[C. Imp.]],$D405,Imput[[PERIODO Imp.]:[PERIODO Imp.]],BX$9)</f>
        <v>0</v>
      </c>
      <c r="BY405" s="693">
        <f>SUMIFS(Imput[[Importe Neto]:[Importe Neto]],Imput[[C. Imp.]:[C. Imp.]],$D405,Imput[[PERIODO Imp.]:[PERIODO Imp.]],BY$9)</f>
        <v>0</v>
      </c>
      <c r="BZ405" s="693">
        <f>SUMIFS(Imput[[Importe Neto]:[Importe Neto]],Imput[[C. Imp.]:[C. Imp.]],$D405,Imput[[PERIODO Imp.]:[PERIODO Imp.]],BZ$9)</f>
        <v>0</v>
      </c>
      <c r="CA405" s="693">
        <f>SUMIFS(Imput[[Importe Neto]:[Importe Neto]],Imput[[C. Imp.]:[C. Imp.]],$D405,Imput[[PERIODO Imp.]:[PERIODO Imp.]],CA$9)</f>
        <v>0</v>
      </c>
      <c r="CB405" s="693">
        <f>SUMIFS(Imput[[Importe Neto]:[Importe Neto]],Imput[[C. Imp.]:[C. Imp.]],$D405,Imput[[PERIODO Imp.]:[PERIODO Imp.]],CB$9)</f>
        <v>0</v>
      </c>
      <c r="CC405" s="693">
        <f>SUMIFS(Imput[[Importe Neto]:[Importe Neto]],Imput[[C. Imp.]:[C. Imp.]],$D405,Imput[[PERIODO Imp.]:[PERIODO Imp.]],CC$9)</f>
        <v>0</v>
      </c>
      <c r="CD405" s="693">
        <f>SUMIFS(Imput[[Importe Neto]:[Importe Neto]],Imput[[C. Imp.]:[C. Imp.]],$D405,Imput[[PERIODO Imp.]:[PERIODO Imp.]],CD$9)</f>
        <v>0</v>
      </c>
      <c r="CE405" s="693">
        <f>SUMIFS(Imput[[Importe Neto]:[Importe Neto]],Imput[[C. Imp.]:[C. Imp.]],$D405,Imput[[PERIODO Imp.]:[PERIODO Imp.]],CE$9)</f>
        <v>0</v>
      </c>
      <c r="CF405" s="693">
        <f>SUMIFS(Imput[[Importe Neto]:[Importe Neto]],Imput[[C. Imp.]:[C. Imp.]],$D405,Imput[[PERIODO Imp.]:[PERIODO Imp.]],CF$9)</f>
        <v>0</v>
      </c>
      <c r="CG405" s="693">
        <f>SUMIFS(Imput[[Importe Neto]:[Importe Neto]],Imput[[C. Imp.]:[C. Imp.]],$D405,Imput[[PERIODO Imp.]:[PERIODO Imp.]],CG$9)</f>
        <v>0</v>
      </c>
      <c r="CH405" s="693">
        <f>SUMIFS(Imput[[Importe Neto]:[Importe Neto]],Imput[[C. Imp.]:[C. Imp.]],$D405,Imput[[PERIODO Imp.]:[PERIODO Imp.]],CH$9)</f>
        <v>0</v>
      </c>
      <c r="CI405" s="693">
        <f>SUMIFS(Imput[[Importe Neto]:[Importe Neto]],Imput[[C. Imp.]:[C. Imp.]],$D405,Imput[[PERIODO Imp.]:[PERIODO Imp.]],CI$9)</f>
        <v>0</v>
      </c>
      <c r="CJ405" s="693">
        <f>SUMIFS(Imput[[Importe Neto]:[Importe Neto]],Imput[[C. Imp.]:[C. Imp.]],$D405,Imput[[PERIODO Imp.]:[PERIODO Imp.]],CJ$9)</f>
        <v>0</v>
      </c>
      <c r="CK405" s="693">
        <f>SUMIFS(Imput[[Importe Neto]:[Importe Neto]],Imput[[C. Imp.]:[C. Imp.]],$D405,Imput[[PERIODO Imp.]:[PERIODO Imp.]],CK$9)</f>
        <v>0</v>
      </c>
      <c r="CL405" s="693">
        <f>SUMIFS(Imput[[Importe Neto]:[Importe Neto]],Imput[[C. Imp.]:[C. Imp.]],$D405,Imput[[PERIODO Imp.]:[PERIODO Imp.]],CL$9)</f>
        <v>0</v>
      </c>
      <c r="CM405" s="693">
        <f>SUMIFS(Imput[[Importe Neto]:[Importe Neto]],Imput[[C. Imp.]:[C. Imp.]],$D405,Imput[[PERIODO Imp.]:[PERIODO Imp.]],CM$9)</f>
        <v>0</v>
      </c>
      <c r="CN405" s="693">
        <f>SUMIFS(Imput[[Importe Neto]:[Importe Neto]],Imput[[C. Imp.]:[C. Imp.]],$D405,Imput[[PERIODO Imp.]:[PERIODO Imp.]],CN$9)</f>
        <v>0</v>
      </c>
      <c r="CO405" s="693">
        <f>SUMIFS(Imput[[Importe Neto]:[Importe Neto]],Imput[[C. Imp.]:[C. Imp.]],$D405,Imput[[PERIODO Imp.]:[PERIODO Imp.]],CO$9)</f>
        <v>0</v>
      </c>
      <c r="CP405" s="693">
        <f>SUMIFS(Imput[[Importe Neto]:[Importe Neto]],Imput[[C. Imp.]:[C. Imp.]],$D405,Imput[[PERIODO Imp.]:[PERIODO Imp.]],CP$9)</f>
        <v>0</v>
      </c>
      <c r="CQ405" s="693">
        <f>SUMIFS(Imput[[Importe Neto]:[Importe Neto]],Imput[[C. Imp.]:[C. Imp.]],$D405,Imput[[PERIODO Imp.]:[PERIODO Imp.]],CQ$9)</f>
        <v>0</v>
      </c>
      <c r="CR405" s="693">
        <f>SUMIFS(Imput[[Importe Neto]:[Importe Neto]],Imput[[C. Imp.]:[C. Imp.]],$D405,Imput[[PERIODO Imp.]:[PERIODO Imp.]],CR$9)</f>
        <v>0</v>
      </c>
      <c r="CS405" s="693">
        <f>SUMIFS(Imput[[Importe Neto]:[Importe Neto]],Imput[[C. Imp.]:[C. Imp.]],$D405,Imput[[PERIODO Imp.]:[PERIODO Imp.]],CS$9)</f>
        <v>0</v>
      </c>
      <c r="CT405" s="693">
        <f>SUMIFS(Imput[[Importe Neto]:[Importe Neto]],Imput[[C. Imp.]:[C. Imp.]],$D405,Imput[[PERIODO Imp.]:[PERIODO Imp.]],CT$9)</f>
        <v>0</v>
      </c>
      <c r="CU405" s="693">
        <f>SUMIFS(Imput[[Importe Neto]:[Importe Neto]],Imput[[C. Imp.]:[C. Imp.]],$D405,Imput[[PERIODO Imp.]:[PERIODO Imp.]],CU$9)</f>
        <v>0</v>
      </c>
      <c r="CV405" s="693">
        <f>SUMIFS(Imput[[Importe Neto]:[Importe Neto]],Imput[[C. Imp.]:[C. Imp.]],$D405,Imput[[PERIODO Imp.]:[PERIODO Imp.]],CV$9)</f>
        <v>0</v>
      </c>
      <c r="CW405" s="693">
        <f>SUMIFS(Imput[[Importe Neto]:[Importe Neto]],Imput[[C. Imp.]:[C. Imp.]],$D405,Imput[[PERIODO Imp.]:[PERIODO Imp.]],CW$9)</f>
        <v>0</v>
      </c>
      <c r="CX405" s="693">
        <f>SUMIFS(Imput[[Importe Neto]:[Importe Neto]],Imput[[C. Imp.]:[C. Imp.]],$D405,Imput[[PERIODO Imp.]:[PERIODO Imp.]],CX$9)</f>
        <v>0</v>
      </c>
      <c r="CY405" s="693">
        <f>SUMIFS(Imput[[Importe Neto]:[Importe Neto]],Imput[[C. Imp.]:[C. Imp.]],$D405,Imput[[PERIODO Imp.]:[PERIODO Imp.]],CY$9)</f>
        <v>0</v>
      </c>
      <c r="CZ405" s="693">
        <f>SUMIFS(Imput[[Importe Neto]:[Importe Neto]],Imput[[C. Imp.]:[C. Imp.]],$D405,Imput[[PERIODO Imp.]:[PERIODO Imp.]],CZ$9)</f>
        <v>0</v>
      </c>
      <c r="DA405" s="693">
        <f>SUMIFS(Imput[[Importe Neto]:[Importe Neto]],Imput[[C. Imp.]:[C. Imp.]],$D405,Imput[[PERIODO Imp.]:[PERIODO Imp.]],DA$9)</f>
        <v>0</v>
      </c>
      <c r="DB405" s="693">
        <f>SUMIFS(Imput[[Importe Neto]:[Importe Neto]],Imput[[C. Imp.]:[C. Imp.]],$D405,Imput[[PERIODO Imp.]:[PERIODO Imp.]],DB$9)</f>
        <v>0</v>
      </c>
      <c r="DC405" s="693">
        <f>SUMIFS(Imput[[Importe Neto]:[Importe Neto]],Imput[[C. Imp.]:[C. Imp.]],$D405,Imput[[PERIODO Imp.]:[PERIODO Imp.]],DC$9)</f>
        <v>0</v>
      </c>
      <c r="DD405" s="693">
        <f>SUMIFS(Imput[[Importe Neto]:[Importe Neto]],Imput[[C. Imp.]:[C. Imp.]],$D405,Imput[[PERIODO Imp.]:[PERIODO Imp.]],DD$9)</f>
        <v>0</v>
      </c>
      <c r="DE405" s="693">
        <f>SUMIFS(Imput[[Importe Neto]:[Importe Neto]],Imput[[C. Imp.]:[C. Imp.]],$D405,Imput[[PERIODO Imp.]:[PERIODO Imp.]],DE$9)</f>
        <v>0</v>
      </c>
      <c r="DF405" s="693">
        <f>SUMIFS(Imput[[Importe Neto]:[Importe Neto]],Imput[[C. Imp.]:[C. Imp.]],$D405,Imput[[PERIODO Imp.]:[PERIODO Imp.]],DF$9)</f>
        <v>0</v>
      </c>
      <c r="DG405" s="693">
        <f>SUMIFS(Imput[[Importe Neto]:[Importe Neto]],Imput[[C. Imp.]:[C. Imp.]],$D405,Imput[[PERIODO Imp.]:[PERIODO Imp.]],DG$9)</f>
        <v>0</v>
      </c>
      <c r="DH405" s="694">
        <f>SUMIFS(Imput[[Importe Neto]:[Importe Neto]],Imput[[C. Imp.]:[C. Imp.]],$D405,Imput[[PERIODO Imp.]:[PERIODO Imp.]],DH$9)</f>
        <v>0</v>
      </c>
    </row>
    <row r="406" spans="1:112" s="649" customFormat="1" hidden="1" outlineLevel="1" x14ac:dyDescent="0.3">
      <c r="A406" s="652" t="str">
        <f t="shared" si="154"/>
        <v/>
      </c>
      <c r="B406" s="652"/>
      <c r="C406" s="685"/>
      <c r="D406" s="686" t="s">
        <v>2466</v>
      </c>
      <c r="E406" s="728"/>
      <c r="F406" s="720"/>
      <c r="G406" s="688"/>
      <c r="H406" s="696"/>
      <c r="I406" s="851" t="str">
        <f t="shared" si="159"/>
        <v/>
      </c>
      <c r="J406" s="850" t="str">
        <f t="shared" si="156"/>
        <v/>
      </c>
      <c r="K406" s="667"/>
      <c r="L406" s="858"/>
      <c r="M406" s="859"/>
      <c r="N406" s="859"/>
      <c r="O406" s="859"/>
      <c r="P406" s="859"/>
      <c r="Q406" s="859"/>
      <c r="R406" s="859"/>
      <c r="S406" s="859"/>
      <c r="T406" s="859"/>
      <c r="U406" s="859"/>
      <c r="V406" s="859"/>
      <c r="W406" s="859"/>
      <c r="X406" s="859"/>
      <c r="Y406" s="859"/>
      <c r="Z406" s="860"/>
      <c r="AA406" s="860"/>
      <c r="AB406" s="860"/>
      <c r="AC406" s="860"/>
      <c r="AD406" s="860"/>
      <c r="AE406" s="860"/>
      <c r="AF406" s="860"/>
      <c r="AG406" s="860"/>
      <c r="AH406" s="860"/>
      <c r="AI406" s="860"/>
      <c r="AJ406" s="860"/>
      <c r="AK406" s="860"/>
      <c r="AL406" s="860"/>
      <c r="AM406" s="860"/>
      <c r="AN406" s="860"/>
      <c r="AO406" s="860"/>
      <c r="AP406" s="860"/>
      <c r="AQ406" s="860"/>
      <c r="AR406" s="860"/>
      <c r="AS406" s="860"/>
      <c r="AT406" s="860"/>
      <c r="AU406" s="860"/>
      <c r="AV406" s="860"/>
      <c r="AW406" s="860"/>
      <c r="AX406" s="860"/>
      <c r="AY406" s="860"/>
      <c r="AZ406" s="860"/>
      <c r="BA406" s="860"/>
      <c r="BB406" s="860"/>
      <c r="BC406" s="860"/>
      <c r="BD406" s="860"/>
      <c r="BE406" s="860"/>
      <c r="BF406" s="860"/>
      <c r="BG406" s="860"/>
      <c r="BH406" s="668"/>
      <c r="BI406" s="667"/>
      <c r="BJ406" s="690">
        <f t="shared" si="160"/>
        <v>0</v>
      </c>
      <c r="BK406" s="691">
        <f t="shared" si="161"/>
        <v>0</v>
      </c>
      <c r="BL406" s="654"/>
      <c r="BM406" s="692">
        <f>SUMIFS(Imput[[Importe Neto]:[Importe Neto]],Imput[[C. Imp.]:[C. Imp.]],$D406,Imput[[PERIODO Imp.]:[PERIODO Imp.]],BM$9)</f>
        <v>0</v>
      </c>
      <c r="BN406" s="693">
        <f>SUMIFS(Imput[[Importe Neto]:[Importe Neto]],Imput[[C. Imp.]:[C. Imp.]],$D406,Imput[[PERIODO Imp.]:[PERIODO Imp.]],BN$9)</f>
        <v>0</v>
      </c>
      <c r="BO406" s="693">
        <f>SUMIFS(Imput[[Importe Neto]:[Importe Neto]],Imput[[C. Imp.]:[C. Imp.]],$D406,Imput[[PERIODO Imp.]:[PERIODO Imp.]],BO$9)</f>
        <v>0</v>
      </c>
      <c r="BP406" s="693">
        <f>SUMIFS(Imput[[Importe Neto]:[Importe Neto]],Imput[[C. Imp.]:[C. Imp.]],$D406,Imput[[PERIODO Imp.]:[PERIODO Imp.]],BP$9)</f>
        <v>0</v>
      </c>
      <c r="BQ406" s="693">
        <f>SUMIFS(Imput[[Importe Neto]:[Importe Neto]],Imput[[C. Imp.]:[C. Imp.]],$D406,Imput[[PERIODO Imp.]:[PERIODO Imp.]],BQ$9)</f>
        <v>0</v>
      </c>
      <c r="BR406" s="693">
        <f>SUMIFS(Imput[[Importe Neto]:[Importe Neto]],Imput[[C. Imp.]:[C. Imp.]],$D406,Imput[[PERIODO Imp.]:[PERIODO Imp.]],BR$9)</f>
        <v>0</v>
      </c>
      <c r="BS406" s="693">
        <f>SUMIFS(Imput[[Importe Neto]:[Importe Neto]],Imput[[C. Imp.]:[C. Imp.]],$D406,Imput[[PERIODO Imp.]:[PERIODO Imp.]],BS$9)</f>
        <v>0</v>
      </c>
      <c r="BT406" s="693">
        <f>SUMIFS(Imput[[Importe Neto]:[Importe Neto]],Imput[[C. Imp.]:[C. Imp.]],$D406,Imput[[PERIODO Imp.]:[PERIODO Imp.]],BT$9)</f>
        <v>0</v>
      </c>
      <c r="BU406" s="693">
        <f>SUMIFS(Imput[[Importe Neto]:[Importe Neto]],Imput[[C. Imp.]:[C. Imp.]],$D406,Imput[[PERIODO Imp.]:[PERIODO Imp.]],BU$9)</f>
        <v>0</v>
      </c>
      <c r="BV406" s="693">
        <f>SUMIFS(Imput[[Importe Neto]:[Importe Neto]],Imput[[C. Imp.]:[C. Imp.]],$D406,Imput[[PERIODO Imp.]:[PERIODO Imp.]],BV$9)</f>
        <v>0</v>
      </c>
      <c r="BW406" s="693">
        <f>SUMIFS(Imput[[Importe Neto]:[Importe Neto]],Imput[[C. Imp.]:[C. Imp.]],$D406,Imput[[PERIODO Imp.]:[PERIODO Imp.]],BW$9)</f>
        <v>0</v>
      </c>
      <c r="BX406" s="693">
        <f>SUMIFS(Imput[[Importe Neto]:[Importe Neto]],Imput[[C. Imp.]:[C. Imp.]],$D406,Imput[[PERIODO Imp.]:[PERIODO Imp.]],BX$9)</f>
        <v>0</v>
      </c>
      <c r="BY406" s="693">
        <f>SUMIFS(Imput[[Importe Neto]:[Importe Neto]],Imput[[C. Imp.]:[C. Imp.]],$D406,Imput[[PERIODO Imp.]:[PERIODO Imp.]],BY$9)</f>
        <v>0</v>
      </c>
      <c r="BZ406" s="693">
        <f>SUMIFS(Imput[[Importe Neto]:[Importe Neto]],Imput[[C. Imp.]:[C. Imp.]],$D406,Imput[[PERIODO Imp.]:[PERIODO Imp.]],BZ$9)</f>
        <v>0</v>
      </c>
      <c r="CA406" s="693">
        <f>SUMIFS(Imput[[Importe Neto]:[Importe Neto]],Imput[[C. Imp.]:[C. Imp.]],$D406,Imput[[PERIODO Imp.]:[PERIODO Imp.]],CA$9)</f>
        <v>0</v>
      </c>
      <c r="CB406" s="693">
        <f>SUMIFS(Imput[[Importe Neto]:[Importe Neto]],Imput[[C. Imp.]:[C. Imp.]],$D406,Imput[[PERIODO Imp.]:[PERIODO Imp.]],CB$9)</f>
        <v>0</v>
      </c>
      <c r="CC406" s="693">
        <f>SUMIFS(Imput[[Importe Neto]:[Importe Neto]],Imput[[C. Imp.]:[C. Imp.]],$D406,Imput[[PERIODO Imp.]:[PERIODO Imp.]],CC$9)</f>
        <v>0</v>
      </c>
      <c r="CD406" s="693">
        <f>SUMIFS(Imput[[Importe Neto]:[Importe Neto]],Imput[[C. Imp.]:[C. Imp.]],$D406,Imput[[PERIODO Imp.]:[PERIODO Imp.]],CD$9)</f>
        <v>0</v>
      </c>
      <c r="CE406" s="693">
        <f>SUMIFS(Imput[[Importe Neto]:[Importe Neto]],Imput[[C. Imp.]:[C. Imp.]],$D406,Imput[[PERIODO Imp.]:[PERIODO Imp.]],CE$9)</f>
        <v>0</v>
      </c>
      <c r="CF406" s="693">
        <f>SUMIFS(Imput[[Importe Neto]:[Importe Neto]],Imput[[C. Imp.]:[C. Imp.]],$D406,Imput[[PERIODO Imp.]:[PERIODO Imp.]],CF$9)</f>
        <v>0</v>
      </c>
      <c r="CG406" s="693">
        <f>SUMIFS(Imput[[Importe Neto]:[Importe Neto]],Imput[[C. Imp.]:[C. Imp.]],$D406,Imput[[PERIODO Imp.]:[PERIODO Imp.]],CG$9)</f>
        <v>0</v>
      </c>
      <c r="CH406" s="693">
        <f>SUMIFS(Imput[[Importe Neto]:[Importe Neto]],Imput[[C. Imp.]:[C. Imp.]],$D406,Imput[[PERIODO Imp.]:[PERIODO Imp.]],CH$9)</f>
        <v>0</v>
      </c>
      <c r="CI406" s="693">
        <f>SUMIFS(Imput[[Importe Neto]:[Importe Neto]],Imput[[C. Imp.]:[C. Imp.]],$D406,Imput[[PERIODO Imp.]:[PERIODO Imp.]],CI$9)</f>
        <v>0</v>
      </c>
      <c r="CJ406" s="693">
        <f>SUMIFS(Imput[[Importe Neto]:[Importe Neto]],Imput[[C. Imp.]:[C. Imp.]],$D406,Imput[[PERIODO Imp.]:[PERIODO Imp.]],CJ$9)</f>
        <v>0</v>
      </c>
      <c r="CK406" s="693">
        <f>SUMIFS(Imput[[Importe Neto]:[Importe Neto]],Imput[[C. Imp.]:[C. Imp.]],$D406,Imput[[PERIODO Imp.]:[PERIODO Imp.]],CK$9)</f>
        <v>0</v>
      </c>
      <c r="CL406" s="693">
        <f>SUMIFS(Imput[[Importe Neto]:[Importe Neto]],Imput[[C. Imp.]:[C. Imp.]],$D406,Imput[[PERIODO Imp.]:[PERIODO Imp.]],CL$9)</f>
        <v>0</v>
      </c>
      <c r="CM406" s="693">
        <f>SUMIFS(Imput[[Importe Neto]:[Importe Neto]],Imput[[C. Imp.]:[C. Imp.]],$D406,Imput[[PERIODO Imp.]:[PERIODO Imp.]],CM$9)</f>
        <v>0</v>
      </c>
      <c r="CN406" s="693">
        <f>SUMIFS(Imput[[Importe Neto]:[Importe Neto]],Imput[[C. Imp.]:[C. Imp.]],$D406,Imput[[PERIODO Imp.]:[PERIODO Imp.]],CN$9)</f>
        <v>0</v>
      </c>
      <c r="CO406" s="693">
        <f>SUMIFS(Imput[[Importe Neto]:[Importe Neto]],Imput[[C. Imp.]:[C. Imp.]],$D406,Imput[[PERIODO Imp.]:[PERIODO Imp.]],CO$9)</f>
        <v>0</v>
      </c>
      <c r="CP406" s="693">
        <f>SUMIFS(Imput[[Importe Neto]:[Importe Neto]],Imput[[C. Imp.]:[C. Imp.]],$D406,Imput[[PERIODO Imp.]:[PERIODO Imp.]],CP$9)</f>
        <v>0</v>
      </c>
      <c r="CQ406" s="693">
        <f>SUMIFS(Imput[[Importe Neto]:[Importe Neto]],Imput[[C. Imp.]:[C. Imp.]],$D406,Imput[[PERIODO Imp.]:[PERIODO Imp.]],CQ$9)</f>
        <v>0</v>
      </c>
      <c r="CR406" s="693">
        <f>SUMIFS(Imput[[Importe Neto]:[Importe Neto]],Imput[[C. Imp.]:[C. Imp.]],$D406,Imput[[PERIODO Imp.]:[PERIODO Imp.]],CR$9)</f>
        <v>0</v>
      </c>
      <c r="CS406" s="693">
        <f>SUMIFS(Imput[[Importe Neto]:[Importe Neto]],Imput[[C. Imp.]:[C. Imp.]],$D406,Imput[[PERIODO Imp.]:[PERIODO Imp.]],CS$9)</f>
        <v>0</v>
      </c>
      <c r="CT406" s="693">
        <f>SUMIFS(Imput[[Importe Neto]:[Importe Neto]],Imput[[C. Imp.]:[C. Imp.]],$D406,Imput[[PERIODO Imp.]:[PERIODO Imp.]],CT$9)</f>
        <v>0</v>
      </c>
      <c r="CU406" s="693">
        <f>SUMIFS(Imput[[Importe Neto]:[Importe Neto]],Imput[[C. Imp.]:[C. Imp.]],$D406,Imput[[PERIODO Imp.]:[PERIODO Imp.]],CU$9)</f>
        <v>0</v>
      </c>
      <c r="CV406" s="693">
        <f>SUMIFS(Imput[[Importe Neto]:[Importe Neto]],Imput[[C. Imp.]:[C. Imp.]],$D406,Imput[[PERIODO Imp.]:[PERIODO Imp.]],CV$9)</f>
        <v>0</v>
      </c>
      <c r="CW406" s="693">
        <f>SUMIFS(Imput[[Importe Neto]:[Importe Neto]],Imput[[C. Imp.]:[C. Imp.]],$D406,Imput[[PERIODO Imp.]:[PERIODO Imp.]],CW$9)</f>
        <v>0</v>
      </c>
      <c r="CX406" s="693">
        <f>SUMIFS(Imput[[Importe Neto]:[Importe Neto]],Imput[[C. Imp.]:[C. Imp.]],$D406,Imput[[PERIODO Imp.]:[PERIODO Imp.]],CX$9)</f>
        <v>0</v>
      </c>
      <c r="CY406" s="693">
        <f>SUMIFS(Imput[[Importe Neto]:[Importe Neto]],Imput[[C. Imp.]:[C. Imp.]],$D406,Imput[[PERIODO Imp.]:[PERIODO Imp.]],CY$9)</f>
        <v>0</v>
      </c>
      <c r="CZ406" s="693">
        <f>SUMIFS(Imput[[Importe Neto]:[Importe Neto]],Imput[[C. Imp.]:[C. Imp.]],$D406,Imput[[PERIODO Imp.]:[PERIODO Imp.]],CZ$9)</f>
        <v>0</v>
      </c>
      <c r="DA406" s="693">
        <f>SUMIFS(Imput[[Importe Neto]:[Importe Neto]],Imput[[C. Imp.]:[C. Imp.]],$D406,Imput[[PERIODO Imp.]:[PERIODO Imp.]],DA$9)</f>
        <v>0</v>
      </c>
      <c r="DB406" s="693">
        <f>SUMIFS(Imput[[Importe Neto]:[Importe Neto]],Imput[[C. Imp.]:[C. Imp.]],$D406,Imput[[PERIODO Imp.]:[PERIODO Imp.]],DB$9)</f>
        <v>0</v>
      </c>
      <c r="DC406" s="693">
        <f>SUMIFS(Imput[[Importe Neto]:[Importe Neto]],Imput[[C. Imp.]:[C. Imp.]],$D406,Imput[[PERIODO Imp.]:[PERIODO Imp.]],DC$9)</f>
        <v>0</v>
      </c>
      <c r="DD406" s="693">
        <f>SUMIFS(Imput[[Importe Neto]:[Importe Neto]],Imput[[C. Imp.]:[C. Imp.]],$D406,Imput[[PERIODO Imp.]:[PERIODO Imp.]],DD$9)</f>
        <v>0</v>
      </c>
      <c r="DE406" s="693">
        <f>SUMIFS(Imput[[Importe Neto]:[Importe Neto]],Imput[[C. Imp.]:[C. Imp.]],$D406,Imput[[PERIODO Imp.]:[PERIODO Imp.]],DE$9)</f>
        <v>0</v>
      </c>
      <c r="DF406" s="693">
        <f>SUMIFS(Imput[[Importe Neto]:[Importe Neto]],Imput[[C. Imp.]:[C. Imp.]],$D406,Imput[[PERIODO Imp.]:[PERIODO Imp.]],DF$9)</f>
        <v>0</v>
      </c>
      <c r="DG406" s="693">
        <f>SUMIFS(Imput[[Importe Neto]:[Importe Neto]],Imput[[C. Imp.]:[C. Imp.]],$D406,Imput[[PERIODO Imp.]:[PERIODO Imp.]],DG$9)</f>
        <v>0</v>
      </c>
      <c r="DH406" s="694">
        <f>SUMIFS(Imput[[Importe Neto]:[Importe Neto]],Imput[[C. Imp.]:[C. Imp.]],$D406,Imput[[PERIODO Imp.]:[PERIODO Imp.]],DH$9)</f>
        <v>0</v>
      </c>
    </row>
    <row r="407" spans="1:112" s="649" customFormat="1" hidden="1" outlineLevel="1" x14ac:dyDescent="0.3">
      <c r="A407" s="652" t="str">
        <f t="shared" si="154"/>
        <v/>
      </c>
      <c r="B407" s="652"/>
      <c r="C407" s="685"/>
      <c r="D407" s="686" t="s">
        <v>2467</v>
      </c>
      <c r="E407" s="728"/>
      <c r="F407" s="720"/>
      <c r="G407" s="688"/>
      <c r="H407" s="696"/>
      <c r="I407" s="851" t="str">
        <f t="shared" si="159"/>
        <v/>
      </c>
      <c r="J407" s="850" t="str">
        <f t="shared" si="156"/>
        <v/>
      </c>
      <c r="K407" s="678"/>
      <c r="L407" s="858"/>
      <c r="M407" s="859"/>
      <c r="N407" s="859"/>
      <c r="O407" s="859"/>
      <c r="P407" s="859"/>
      <c r="Q407" s="859"/>
      <c r="R407" s="859"/>
      <c r="S407" s="859"/>
      <c r="T407" s="859"/>
      <c r="U407" s="859"/>
      <c r="V407" s="859"/>
      <c r="W407" s="859"/>
      <c r="X407" s="859"/>
      <c r="Y407" s="859"/>
      <c r="Z407" s="860"/>
      <c r="AA407" s="860"/>
      <c r="AB407" s="860"/>
      <c r="AC407" s="860"/>
      <c r="AD407" s="860"/>
      <c r="AE407" s="860"/>
      <c r="AF407" s="860"/>
      <c r="AG407" s="860"/>
      <c r="AH407" s="860"/>
      <c r="AI407" s="860"/>
      <c r="AJ407" s="860"/>
      <c r="AK407" s="860"/>
      <c r="AL407" s="860"/>
      <c r="AM407" s="860"/>
      <c r="AN407" s="860"/>
      <c r="AO407" s="860"/>
      <c r="AP407" s="860"/>
      <c r="AQ407" s="860"/>
      <c r="AR407" s="860"/>
      <c r="AS407" s="860"/>
      <c r="AT407" s="860"/>
      <c r="AU407" s="860"/>
      <c r="AV407" s="860"/>
      <c r="AW407" s="860"/>
      <c r="AX407" s="860"/>
      <c r="AY407" s="860"/>
      <c r="AZ407" s="860"/>
      <c r="BA407" s="860"/>
      <c r="BB407" s="860"/>
      <c r="BC407" s="860"/>
      <c r="BD407" s="860"/>
      <c r="BE407" s="860"/>
      <c r="BF407" s="860"/>
      <c r="BG407" s="860"/>
      <c r="BH407" s="668"/>
      <c r="BI407" s="654"/>
      <c r="BJ407" s="690">
        <f t="shared" si="160"/>
        <v>0</v>
      </c>
      <c r="BK407" s="691">
        <f t="shared" si="161"/>
        <v>0</v>
      </c>
      <c r="BL407" s="654"/>
      <c r="BM407" s="692">
        <f>SUMIFS(Imput[[Importe Neto]:[Importe Neto]],Imput[[C. Imp.]:[C. Imp.]],$D407,Imput[[PERIODO Imp.]:[PERIODO Imp.]],BM$9)</f>
        <v>0</v>
      </c>
      <c r="BN407" s="693">
        <f>SUMIFS(Imput[[Importe Neto]:[Importe Neto]],Imput[[C. Imp.]:[C. Imp.]],$D407,Imput[[PERIODO Imp.]:[PERIODO Imp.]],BN$9)</f>
        <v>0</v>
      </c>
      <c r="BO407" s="693">
        <f>SUMIFS(Imput[[Importe Neto]:[Importe Neto]],Imput[[C. Imp.]:[C. Imp.]],$D407,Imput[[PERIODO Imp.]:[PERIODO Imp.]],BO$9)</f>
        <v>0</v>
      </c>
      <c r="BP407" s="693">
        <f>SUMIFS(Imput[[Importe Neto]:[Importe Neto]],Imput[[C. Imp.]:[C. Imp.]],$D407,Imput[[PERIODO Imp.]:[PERIODO Imp.]],BP$9)</f>
        <v>0</v>
      </c>
      <c r="BQ407" s="693">
        <f>SUMIFS(Imput[[Importe Neto]:[Importe Neto]],Imput[[C. Imp.]:[C. Imp.]],$D407,Imput[[PERIODO Imp.]:[PERIODO Imp.]],BQ$9)</f>
        <v>0</v>
      </c>
      <c r="BR407" s="693">
        <f>SUMIFS(Imput[[Importe Neto]:[Importe Neto]],Imput[[C. Imp.]:[C. Imp.]],$D407,Imput[[PERIODO Imp.]:[PERIODO Imp.]],BR$9)</f>
        <v>0</v>
      </c>
      <c r="BS407" s="693">
        <f>SUMIFS(Imput[[Importe Neto]:[Importe Neto]],Imput[[C. Imp.]:[C. Imp.]],$D407,Imput[[PERIODO Imp.]:[PERIODO Imp.]],BS$9)</f>
        <v>0</v>
      </c>
      <c r="BT407" s="693">
        <f>SUMIFS(Imput[[Importe Neto]:[Importe Neto]],Imput[[C. Imp.]:[C. Imp.]],$D407,Imput[[PERIODO Imp.]:[PERIODO Imp.]],BT$9)</f>
        <v>0</v>
      </c>
      <c r="BU407" s="693">
        <f>SUMIFS(Imput[[Importe Neto]:[Importe Neto]],Imput[[C. Imp.]:[C. Imp.]],$D407,Imput[[PERIODO Imp.]:[PERIODO Imp.]],BU$9)</f>
        <v>0</v>
      </c>
      <c r="BV407" s="693">
        <f>SUMIFS(Imput[[Importe Neto]:[Importe Neto]],Imput[[C. Imp.]:[C. Imp.]],$D407,Imput[[PERIODO Imp.]:[PERIODO Imp.]],BV$9)</f>
        <v>0</v>
      </c>
      <c r="BW407" s="693">
        <f>SUMIFS(Imput[[Importe Neto]:[Importe Neto]],Imput[[C. Imp.]:[C. Imp.]],$D407,Imput[[PERIODO Imp.]:[PERIODO Imp.]],BW$9)</f>
        <v>0</v>
      </c>
      <c r="BX407" s="693">
        <f>SUMIFS(Imput[[Importe Neto]:[Importe Neto]],Imput[[C. Imp.]:[C. Imp.]],$D407,Imput[[PERIODO Imp.]:[PERIODO Imp.]],BX$9)</f>
        <v>0</v>
      </c>
      <c r="BY407" s="693">
        <f>SUMIFS(Imput[[Importe Neto]:[Importe Neto]],Imput[[C. Imp.]:[C. Imp.]],$D407,Imput[[PERIODO Imp.]:[PERIODO Imp.]],BY$9)</f>
        <v>0</v>
      </c>
      <c r="BZ407" s="693">
        <f>SUMIFS(Imput[[Importe Neto]:[Importe Neto]],Imput[[C. Imp.]:[C. Imp.]],$D407,Imput[[PERIODO Imp.]:[PERIODO Imp.]],BZ$9)</f>
        <v>0</v>
      </c>
      <c r="CA407" s="693">
        <f>SUMIFS(Imput[[Importe Neto]:[Importe Neto]],Imput[[C. Imp.]:[C. Imp.]],$D407,Imput[[PERIODO Imp.]:[PERIODO Imp.]],CA$9)</f>
        <v>0</v>
      </c>
      <c r="CB407" s="693">
        <f>SUMIFS(Imput[[Importe Neto]:[Importe Neto]],Imput[[C. Imp.]:[C. Imp.]],$D407,Imput[[PERIODO Imp.]:[PERIODO Imp.]],CB$9)</f>
        <v>0</v>
      </c>
      <c r="CC407" s="693">
        <f>SUMIFS(Imput[[Importe Neto]:[Importe Neto]],Imput[[C. Imp.]:[C. Imp.]],$D407,Imput[[PERIODO Imp.]:[PERIODO Imp.]],CC$9)</f>
        <v>0</v>
      </c>
      <c r="CD407" s="693">
        <f>SUMIFS(Imput[[Importe Neto]:[Importe Neto]],Imput[[C. Imp.]:[C. Imp.]],$D407,Imput[[PERIODO Imp.]:[PERIODO Imp.]],CD$9)</f>
        <v>0</v>
      </c>
      <c r="CE407" s="693">
        <f>SUMIFS(Imput[[Importe Neto]:[Importe Neto]],Imput[[C. Imp.]:[C. Imp.]],$D407,Imput[[PERIODO Imp.]:[PERIODO Imp.]],CE$9)</f>
        <v>0</v>
      </c>
      <c r="CF407" s="693">
        <f>SUMIFS(Imput[[Importe Neto]:[Importe Neto]],Imput[[C. Imp.]:[C. Imp.]],$D407,Imput[[PERIODO Imp.]:[PERIODO Imp.]],CF$9)</f>
        <v>0</v>
      </c>
      <c r="CG407" s="693">
        <f>SUMIFS(Imput[[Importe Neto]:[Importe Neto]],Imput[[C. Imp.]:[C. Imp.]],$D407,Imput[[PERIODO Imp.]:[PERIODO Imp.]],CG$9)</f>
        <v>0</v>
      </c>
      <c r="CH407" s="693">
        <f>SUMIFS(Imput[[Importe Neto]:[Importe Neto]],Imput[[C. Imp.]:[C. Imp.]],$D407,Imput[[PERIODO Imp.]:[PERIODO Imp.]],CH$9)</f>
        <v>0</v>
      </c>
      <c r="CI407" s="693">
        <f>SUMIFS(Imput[[Importe Neto]:[Importe Neto]],Imput[[C. Imp.]:[C. Imp.]],$D407,Imput[[PERIODO Imp.]:[PERIODO Imp.]],CI$9)</f>
        <v>0</v>
      </c>
      <c r="CJ407" s="693">
        <f>SUMIFS(Imput[[Importe Neto]:[Importe Neto]],Imput[[C. Imp.]:[C. Imp.]],$D407,Imput[[PERIODO Imp.]:[PERIODO Imp.]],CJ$9)</f>
        <v>0</v>
      </c>
      <c r="CK407" s="693">
        <f>SUMIFS(Imput[[Importe Neto]:[Importe Neto]],Imput[[C. Imp.]:[C. Imp.]],$D407,Imput[[PERIODO Imp.]:[PERIODO Imp.]],CK$9)</f>
        <v>0</v>
      </c>
      <c r="CL407" s="693">
        <f>SUMIFS(Imput[[Importe Neto]:[Importe Neto]],Imput[[C. Imp.]:[C. Imp.]],$D407,Imput[[PERIODO Imp.]:[PERIODO Imp.]],CL$9)</f>
        <v>0</v>
      </c>
      <c r="CM407" s="693">
        <f>SUMIFS(Imput[[Importe Neto]:[Importe Neto]],Imput[[C. Imp.]:[C. Imp.]],$D407,Imput[[PERIODO Imp.]:[PERIODO Imp.]],CM$9)</f>
        <v>0</v>
      </c>
      <c r="CN407" s="693">
        <f>SUMIFS(Imput[[Importe Neto]:[Importe Neto]],Imput[[C. Imp.]:[C. Imp.]],$D407,Imput[[PERIODO Imp.]:[PERIODO Imp.]],CN$9)</f>
        <v>0</v>
      </c>
      <c r="CO407" s="693">
        <f>SUMIFS(Imput[[Importe Neto]:[Importe Neto]],Imput[[C. Imp.]:[C. Imp.]],$D407,Imput[[PERIODO Imp.]:[PERIODO Imp.]],CO$9)</f>
        <v>0</v>
      </c>
      <c r="CP407" s="693">
        <f>SUMIFS(Imput[[Importe Neto]:[Importe Neto]],Imput[[C. Imp.]:[C. Imp.]],$D407,Imput[[PERIODO Imp.]:[PERIODO Imp.]],CP$9)</f>
        <v>0</v>
      </c>
      <c r="CQ407" s="693">
        <f>SUMIFS(Imput[[Importe Neto]:[Importe Neto]],Imput[[C. Imp.]:[C. Imp.]],$D407,Imput[[PERIODO Imp.]:[PERIODO Imp.]],CQ$9)</f>
        <v>0</v>
      </c>
      <c r="CR407" s="693">
        <f>SUMIFS(Imput[[Importe Neto]:[Importe Neto]],Imput[[C. Imp.]:[C. Imp.]],$D407,Imput[[PERIODO Imp.]:[PERIODO Imp.]],CR$9)</f>
        <v>0</v>
      </c>
      <c r="CS407" s="693">
        <f>SUMIFS(Imput[[Importe Neto]:[Importe Neto]],Imput[[C. Imp.]:[C. Imp.]],$D407,Imput[[PERIODO Imp.]:[PERIODO Imp.]],CS$9)</f>
        <v>0</v>
      </c>
      <c r="CT407" s="693">
        <f>SUMIFS(Imput[[Importe Neto]:[Importe Neto]],Imput[[C. Imp.]:[C. Imp.]],$D407,Imput[[PERIODO Imp.]:[PERIODO Imp.]],CT$9)</f>
        <v>0</v>
      </c>
      <c r="CU407" s="693">
        <f>SUMIFS(Imput[[Importe Neto]:[Importe Neto]],Imput[[C. Imp.]:[C. Imp.]],$D407,Imput[[PERIODO Imp.]:[PERIODO Imp.]],CU$9)</f>
        <v>0</v>
      </c>
      <c r="CV407" s="693">
        <f>SUMIFS(Imput[[Importe Neto]:[Importe Neto]],Imput[[C. Imp.]:[C. Imp.]],$D407,Imput[[PERIODO Imp.]:[PERIODO Imp.]],CV$9)</f>
        <v>0</v>
      </c>
      <c r="CW407" s="693">
        <f>SUMIFS(Imput[[Importe Neto]:[Importe Neto]],Imput[[C. Imp.]:[C. Imp.]],$D407,Imput[[PERIODO Imp.]:[PERIODO Imp.]],CW$9)</f>
        <v>0</v>
      </c>
      <c r="CX407" s="693">
        <f>SUMIFS(Imput[[Importe Neto]:[Importe Neto]],Imput[[C. Imp.]:[C. Imp.]],$D407,Imput[[PERIODO Imp.]:[PERIODO Imp.]],CX$9)</f>
        <v>0</v>
      </c>
      <c r="CY407" s="693">
        <f>SUMIFS(Imput[[Importe Neto]:[Importe Neto]],Imput[[C. Imp.]:[C. Imp.]],$D407,Imput[[PERIODO Imp.]:[PERIODO Imp.]],CY$9)</f>
        <v>0</v>
      </c>
      <c r="CZ407" s="693">
        <f>SUMIFS(Imput[[Importe Neto]:[Importe Neto]],Imput[[C. Imp.]:[C. Imp.]],$D407,Imput[[PERIODO Imp.]:[PERIODO Imp.]],CZ$9)</f>
        <v>0</v>
      </c>
      <c r="DA407" s="693">
        <f>SUMIFS(Imput[[Importe Neto]:[Importe Neto]],Imput[[C. Imp.]:[C. Imp.]],$D407,Imput[[PERIODO Imp.]:[PERIODO Imp.]],DA$9)</f>
        <v>0</v>
      </c>
      <c r="DB407" s="693">
        <f>SUMIFS(Imput[[Importe Neto]:[Importe Neto]],Imput[[C. Imp.]:[C. Imp.]],$D407,Imput[[PERIODO Imp.]:[PERIODO Imp.]],DB$9)</f>
        <v>0</v>
      </c>
      <c r="DC407" s="693">
        <f>SUMIFS(Imput[[Importe Neto]:[Importe Neto]],Imput[[C. Imp.]:[C. Imp.]],$D407,Imput[[PERIODO Imp.]:[PERIODO Imp.]],DC$9)</f>
        <v>0</v>
      </c>
      <c r="DD407" s="693">
        <f>SUMIFS(Imput[[Importe Neto]:[Importe Neto]],Imput[[C. Imp.]:[C. Imp.]],$D407,Imput[[PERIODO Imp.]:[PERIODO Imp.]],DD$9)</f>
        <v>0</v>
      </c>
      <c r="DE407" s="693">
        <f>SUMIFS(Imput[[Importe Neto]:[Importe Neto]],Imput[[C. Imp.]:[C. Imp.]],$D407,Imput[[PERIODO Imp.]:[PERIODO Imp.]],DE$9)</f>
        <v>0</v>
      </c>
      <c r="DF407" s="693">
        <f>SUMIFS(Imput[[Importe Neto]:[Importe Neto]],Imput[[C. Imp.]:[C. Imp.]],$D407,Imput[[PERIODO Imp.]:[PERIODO Imp.]],DF$9)</f>
        <v>0</v>
      </c>
      <c r="DG407" s="693">
        <f>SUMIFS(Imput[[Importe Neto]:[Importe Neto]],Imput[[C. Imp.]:[C. Imp.]],$D407,Imput[[PERIODO Imp.]:[PERIODO Imp.]],DG$9)</f>
        <v>0</v>
      </c>
      <c r="DH407" s="694">
        <f>SUMIFS(Imput[[Importe Neto]:[Importe Neto]],Imput[[C. Imp.]:[C. Imp.]],$D407,Imput[[PERIODO Imp.]:[PERIODO Imp.]],DH$9)</f>
        <v>0</v>
      </c>
    </row>
    <row r="408" spans="1:112" s="649" customFormat="1" hidden="1" outlineLevel="1" x14ac:dyDescent="0.3">
      <c r="A408" s="652" t="str">
        <f t="shared" si="154"/>
        <v/>
      </c>
      <c r="B408" s="652"/>
      <c r="C408" s="685"/>
      <c r="D408" s="686" t="s">
        <v>2468</v>
      </c>
      <c r="E408" s="728"/>
      <c r="F408" s="720"/>
      <c r="G408" s="688"/>
      <c r="H408" s="696"/>
      <c r="I408" s="851" t="str">
        <f t="shared" si="159"/>
        <v/>
      </c>
      <c r="J408" s="850" t="str">
        <f t="shared" si="156"/>
        <v/>
      </c>
      <c r="K408" s="667"/>
      <c r="L408" s="858"/>
      <c r="M408" s="859"/>
      <c r="N408" s="859"/>
      <c r="O408" s="859"/>
      <c r="P408" s="859"/>
      <c r="Q408" s="859"/>
      <c r="R408" s="859"/>
      <c r="S408" s="859"/>
      <c r="T408" s="859"/>
      <c r="U408" s="859"/>
      <c r="V408" s="859"/>
      <c r="W408" s="859"/>
      <c r="X408" s="859"/>
      <c r="Y408" s="859"/>
      <c r="Z408" s="860"/>
      <c r="AA408" s="860"/>
      <c r="AB408" s="860"/>
      <c r="AC408" s="860"/>
      <c r="AD408" s="860"/>
      <c r="AE408" s="860"/>
      <c r="AF408" s="860"/>
      <c r="AG408" s="860"/>
      <c r="AH408" s="860"/>
      <c r="AI408" s="860"/>
      <c r="AJ408" s="860"/>
      <c r="AK408" s="860"/>
      <c r="AL408" s="860"/>
      <c r="AM408" s="860"/>
      <c r="AN408" s="860"/>
      <c r="AO408" s="860"/>
      <c r="AP408" s="860"/>
      <c r="AQ408" s="860"/>
      <c r="AR408" s="860"/>
      <c r="AS408" s="860"/>
      <c r="AT408" s="860"/>
      <c r="AU408" s="860"/>
      <c r="AV408" s="860"/>
      <c r="AW408" s="860"/>
      <c r="AX408" s="860"/>
      <c r="AY408" s="860"/>
      <c r="AZ408" s="860"/>
      <c r="BA408" s="860"/>
      <c r="BB408" s="860"/>
      <c r="BC408" s="860"/>
      <c r="BD408" s="860"/>
      <c r="BE408" s="860"/>
      <c r="BF408" s="860"/>
      <c r="BG408" s="860"/>
      <c r="BH408" s="668"/>
      <c r="BI408" s="654"/>
      <c r="BJ408" s="690">
        <f t="shared" si="160"/>
        <v>0</v>
      </c>
      <c r="BK408" s="691">
        <f t="shared" si="161"/>
        <v>0</v>
      </c>
      <c r="BL408" s="654"/>
      <c r="BM408" s="697">
        <f>SUMIFS(Imput[[Importe Neto]:[Importe Neto]],Imput[[C. Imp.]:[C. Imp.]],$D408,Imput[[PERIODO Imp.]:[PERIODO Imp.]],BM$9)</f>
        <v>0</v>
      </c>
      <c r="BN408" s="698">
        <f>SUMIFS(Imput[[Importe Neto]:[Importe Neto]],Imput[[C. Imp.]:[C. Imp.]],$D408,Imput[[PERIODO Imp.]:[PERIODO Imp.]],BN$9)</f>
        <v>0</v>
      </c>
      <c r="BO408" s="698">
        <f>SUMIFS(Imput[[Importe Neto]:[Importe Neto]],Imput[[C. Imp.]:[C. Imp.]],$D408,Imput[[PERIODO Imp.]:[PERIODO Imp.]],BO$9)</f>
        <v>0</v>
      </c>
      <c r="BP408" s="698">
        <f>SUMIFS(Imput[[Importe Neto]:[Importe Neto]],Imput[[C. Imp.]:[C. Imp.]],$D408,Imput[[PERIODO Imp.]:[PERIODO Imp.]],BP$9)</f>
        <v>0</v>
      </c>
      <c r="BQ408" s="698">
        <f>SUMIFS(Imput[[Importe Neto]:[Importe Neto]],Imput[[C. Imp.]:[C. Imp.]],$D408,Imput[[PERIODO Imp.]:[PERIODO Imp.]],BQ$9)</f>
        <v>0</v>
      </c>
      <c r="BR408" s="698">
        <f>SUMIFS(Imput[[Importe Neto]:[Importe Neto]],Imput[[C. Imp.]:[C. Imp.]],$D408,Imput[[PERIODO Imp.]:[PERIODO Imp.]],BR$9)</f>
        <v>0</v>
      </c>
      <c r="BS408" s="698">
        <f>SUMIFS(Imput[[Importe Neto]:[Importe Neto]],Imput[[C. Imp.]:[C. Imp.]],$D408,Imput[[PERIODO Imp.]:[PERIODO Imp.]],BS$9)</f>
        <v>0</v>
      </c>
      <c r="BT408" s="698">
        <f>SUMIFS(Imput[[Importe Neto]:[Importe Neto]],Imput[[C. Imp.]:[C. Imp.]],$D408,Imput[[PERIODO Imp.]:[PERIODO Imp.]],BT$9)</f>
        <v>0</v>
      </c>
      <c r="BU408" s="698">
        <f>SUMIFS(Imput[[Importe Neto]:[Importe Neto]],Imput[[C. Imp.]:[C. Imp.]],$D408,Imput[[PERIODO Imp.]:[PERIODO Imp.]],BU$9)</f>
        <v>0</v>
      </c>
      <c r="BV408" s="698">
        <f>SUMIFS(Imput[[Importe Neto]:[Importe Neto]],Imput[[C. Imp.]:[C. Imp.]],$D408,Imput[[PERIODO Imp.]:[PERIODO Imp.]],BV$9)</f>
        <v>0</v>
      </c>
      <c r="BW408" s="698">
        <f>SUMIFS(Imput[[Importe Neto]:[Importe Neto]],Imput[[C. Imp.]:[C. Imp.]],$D408,Imput[[PERIODO Imp.]:[PERIODO Imp.]],BW$9)</f>
        <v>0</v>
      </c>
      <c r="BX408" s="698">
        <f>SUMIFS(Imput[[Importe Neto]:[Importe Neto]],Imput[[C. Imp.]:[C. Imp.]],$D408,Imput[[PERIODO Imp.]:[PERIODO Imp.]],BX$9)</f>
        <v>0</v>
      </c>
      <c r="BY408" s="698">
        <f>SUMIFS(Imput[[Importe Neto]:[Importe Neto]],Imput[[C. Imp.]:[C. Imp.]],$D408,Imput[[PERIODO Imp.]:[PERIODO Imp.]],BY$9)</f>
        <v>0</v>
      </c>
      <c r="BZ408" s="698">
        <f>SUMIFS(Imput[[Importe Neto]:[Importe Neto]],Imput[[C. Imp.]:[C. Imp.]],$D408,Imput[[PERIODO Imp.]:[PERIODO Imp.]],BZ$9)</f>
        <v>0</v>
      </c>
      <c r="CA408" s="698">
        <f>SUMIFS(Imput[[Importe Neto]:[Importe Neto]],Imput[[C. Imp.]:[C. Imp.]],$D408,Imput[[PERIODO Imp.]:[PERIODO Imp.]],CA$9)</f>
        <v>0</v>
      </c>
      <c r="CB408" s="698">
        <f>SUMIFS(Imput[[Importe Neto]:[Importe Neto]],Imput[[C. Imp.]:[C. Imp.]],$D408,Imput[[PERIODO Imp.]:[PERIODO Imp.]],CB$9)</f>
        <v>0</v>
      </c>
      <c r="CC408" s="698">
        <f>SUMIFS(Imput[[Importe Neto]:[Importe Neto]],Imput[[C. Imp.]:[C. Imp.]],$D408,Imput[[PERIODO Imp.]:[PERIODO Imp.]],CC$9)</f>
        <v>0</v>
      </c>
      <c r="CD408" s="698">
        <f>SUMIFS(Imput[[Importe Neto]:[Importe Neto]],Imput[[C. Imp.]:[C. Imp.]],$D408,Imput[[PERIODO Imp.]:[PERIODO Imp.]],CD$9)</f>
        <v>0</v>
      </c>
      <c r="CE408" s="698">
        <f>SUMIFS(Imput[[Importe Neto]:[Importe Neto]],Imput[[C. Imp.]:[C. Imp.]],$D408,Imput[[PERIODO Imp.]:[PERIODO Imp.]],CE$9)</f>
        <v>0</v>
      </c>
      <c r="CF408" s="698">
        <f>SUMIFS(Imput[[Importe Neto]:[Importe Neto]],Imput[[C. Imp.]:[C. Imp.]],$D408,Imput[[PERIODO Imp.]:[PERIODO Imp.]],CF$9)</f>
        <v>0</v>
      </c>
      <c r="CG408" s="698">
        <f>SUMIFS(Imput[[Importe Neto]:[Importe Neto]],Imput[[C. Imp.]:[C. Imp.]],$D408,Imput[[PERIODO Imp.]:[PERIODO Imp.]],CG$9)</f>
        <v>0</v>
      </c>
      <c r="CH408" s="698">
        <f>SUMIFS(Imput[[Importe Neto]:[Importe Neto]],Imput[[C. Imp.]:[C. Imp.]],$D408,Imput[[PERIODO Imp.]:[PERIODO Imp.]],CH$9)</f>
        <v>0</v>
      </c>
      <c r="CI408" s="698">
        <f>SUMIFS(Imput[[Importe Neto]:[Importe Neto]],Imput[[C. Imp.]:[C. Imp.]],$D408,Imput[[PERIODO Imp.]:[PERIODO Imp.]],CI$9)</f>
        <v>0</v>
      </c>
      <c r="CJ408" s="698">
        <f>SUMIFS(Imput[[Importe Neto]:[Importe Neto]],Imput[[C. Imp.]:[C. Imp.]],$D408,Imput[[PERIODO Imp.]:[PERIODO Imp.]],CJ$9)</f>
        <v>0</v>
      </c>
      <c r="CK408" s="698">
        <f>SUMIFS(Imput[[Importe Neto]:[Importe Neto]],Imput[[C. Imp.]:[C. Imp.]],$D408,Imput[[PERIODO Imp.]:[PERIODO Imp.]],CK$9)</f>
        <v>0</v>
      </c>
      <c r="CL408" s="698">
        <f>SUMIFS(Imput[[Importe Neto]:[Importe Neto]],Imput[[C. Imp.]:[C. Imp.]],$D408,Imput[[PERIODO Imp.]:[PERIODO Imp.]],CL$9)</f>
        <v>0</v>
      </c>
      <c r="CM408" s="698">
        <f>SUMIFS(Imput[[Importe Neto]:[Importe Neto]],Imput[[C. Imp.]:[C. Imp.]],$D408,Imput[[PERIODO Imp.]:[PERIODO Imp.]],CM$9)</f>
        <v>0</v>
      </c>
      <c r="CN408" s="698">
        <f>SUMIFS(Imput[[Importe Neto]:[Importe Neto]],Imput[[C. Imp.]:[C. Imp.]],$D408,Imput[[PERIODO Imp.]:[PERIODO Imp.]],CN$9)</f>
        <v>0</v>
      </c>
      <c r="CO408" s="698">
        <f>SUMIFS(Imput[[Importe Neto]:[Importe Neto]],Imput[[C. Imp.]:[C. Imp.]],$D408,Imput[[PERIODO Imp.]:[PERIODO Imp.]],CO$9)</f>
        <v>0</v>
      </c>
      <c r="CP408" s="698">
        <f>SUMIFS(Imput[[Importe Neto]:[Importe Neto]],Imput[[C. Imp.]:[C. Imp.]],$D408,Imput[[PERIODO Imp.]:[PERIODO Imp.]],CP$9)</f>
        <v>0</v>
      </c>
      <c r="CQ408" s="698">
        <f>SUMIFS(Imput[[Importe Neto]:[Importe Neto]],Imput[[C. Imp.]:[C. Imp.]],$D408,Imput[[PERIODO Imp.]:[PERIODO Imp.]],CQ$9)</f>
        <v>0</v>
      </c>
      <c r="CR408" s="698">
        <f>SUMIFS(Imput[[Importe Neto]:[Importe Neto]],Imput[[C. Imp.]:[C. Imp.]],$D408,Imput[[PERIODO Imp.]:[PERIODO Imp.]],CR$9)</f>
        <v>0</v>
      </c>
      <c r="CS408" s="698">
        <f>SUMIFS(Imput[[Importe Neto]:[Importe Neto]],Imput[[C. Imp.]:[C. Imp.]],$D408,Imput[[PERIODO Imp.]:[PERIODO Imp.]],CS$9)</f>
        <v>0</v>
      </c>
      <c r="CT408" s="698">
        <f>SUMIFS(Imput[[Importe Neto]:[Importe Neto]],Imput[[C. Imp.]:[C. Imp.]],$D408,Imput[[PERIODO Imp.]:[PERIODO Imp.]],CT$9)</f>
        <v>0</v>
      </c>
      <c r="CU408" s="698">
        <f>SUMIFS(Imput[[Importe Neto]:[Importe Neto]],Imput[[C. Imp.]:[C. Imp.]],$D408,Imput[[PERIODO Imp.]:[PERIODO Imp.]],CU$9)</f>
        <v>0</v>
      </c>
      <c r="CV408" s="698">
        <f>SUMIFS(Imput[[Importe Neto]:[Importe Neto]],Imput[[C. Imp.]:[C. Imp.]],$D408,Imput[[PERIODO Imp.]:[PERIODO Imp.]],CV$9)</f>
        <v>0</v>
      </c>
      <c r="CW408" s="698">
        <f>SUMIFS(Imput[[Importe Neto]:[Importe Neto]],Imput[[C. Imp.]:[C. Imp.]],$D408,Imput[[PERIODO Imp.]:[PERIODO Imp.]],CW$9)</f>
        <v>0</v>
      </c>
      <c r="CX408" s="698">
        <f>SUMIFS(Imput[[Importe Neto]:[Importe Neto]],Imput[[C. Imp.]:[C. Imp.]],$D408,Imput[[PERIODO Imp.]:[PERIODO Imp.]],CX$9)</f>
        <v>0</v>
      </c>
      <c r="CY408" s="698">
        <f>SUMIFS(Imput[[Importe Neto]:[Importe Neto]],Imput[[C. Imp.]:[C. Imp.]],$D408,Imput[[PERIODO Imp.]:[PERIODO Imp.]],CY$9)</f>
        <v>0</v>
      </c>
      <c r="CZ408" s="698">
        <f>SUMIFS(Imput[[Importe Neto]:[Importe Neto]],Imput[[C. Imp.]:[C. Imp.]],$D408,Imput[[PERIODO Imp.]:[PERIODO Imp.]],CZ$9)</f>
        <v>0</v>
      </c>
      <c r="DA408" s="698">
        <f>SUMIFS(Imput[[Importe Neto]:[Importe Neto]],Imput[[C. Imp.]:[C. Imp.]],$D408,Imput[[PERIODO Imp.]:[PERIODO Imp.]],DA$9)</f>
        <v>0</v>
      </c>
      <c r="DB408" s="698">
        <f>SUMIFS(Imput[[Importe Neto]:[Importe Neto]],Imput[[C. Imp.]:[C. Imp.]],$D408,Imput[[PERIODO Imp.]:[PERIODO Imp.]],DB$9)</f>
        <v>0</v>
      </c>
      <c r="DC408" s="698">
        <f>SUMIFS(Imput[[Importe Neto]:[Importe Neto]],Imput[[C. Imp.]:[C. Imp.]],$D408,Imput[[PERIODO Imp.]:[PERIODO Imp.]],DC$9)</f>
        <v>0</v>
      </c>
      <c r="DD408" s="698">
        <f>SUMIFS(Imput[[Importe Neto]:[Importe Neto]],Imput[[C. Imp.]:[C. Imp.]],$D408,Imput[[PERIODO Imp.]:[PERIODO Imp.]],DD$9)</f>
        <v>0</v>
      </c>
      <c r="DE408" s="698">
        <f>SUMIFS(Imput[[Importe Neto]:[Importe Neto]],Imput[[C. Imp.]:[C. Imp.]],$D408,Imput[[PERIODO Imp.]:[PERIODO Imp.]],DE$9)</f>
        <v>0</v>
      </c>
      <c r="DF408" s="698">
        <f>SUMIFS(Imput[[Importe Neto]:[Importe Neto]],Imput[[C. Imp.]:[C. Imp.]],$D408,Imput[[PERIODO Imp.]:[PERIODO Imp.]],DF$9)</f>
        <v>0</v>
      </c>
      <c r="DG408" s="698">
        <f>SUMIFS(Imput[[Importe Neto]:[Importe Neto]],Imput[[C. Imp.]:[C. Imp.]],$D408,Imput[[PERIODO Imp.]:[PERIODO Imp.]],DG$9)</f>
        <v>0</v>
      </c>
      <c r="DH408" s="795">
        <f>SUMIFS(Imput[[Importe Neto]:[Importe Neto]],Imput[[C. Imp.]:[C. Imp.]],$D408,Imput[[PERIODO Imp.]:[PERIODO Imp.]],DH$9)</f>
        <v>0</v>
      </c>
    </row>
    <row r="409" spans="1:112" s="649" customFormat="1" ht="14.4" outlineLevel="1" thickBot="1" x14ac:dyDescent="0.35">
      <c r="A409" s="652" t="str">
        <f>IF(J357&gt;0,"Imprimir","")</f>
        <v>Imprimir</v>
      </c>
      <c r="B409" s="652"/>
      <c r="C409" s="699"/>
      <c r="D409" s="700"/>
      <c r="E409" s="700"/>
      <c r="F409" s="701"/>
      <c r="G409" s="702"/>
      <c r="H409" s="703"/>
      <c r="I409" s="704"/>
      <c r="J409" s="705"/>
      <c r="K409" s="667"/>
      <c r="L409" s="706"/>
      <c r="M409" s="707"/>
      <c r="N409" s="777"/>
      <c r="O409" s="777"/>
      <c r="P409" s="778"/>
      <c r="Q409" s="778"/>
      <c r="R409" s="708"/>
      <c r="S409" s="708"/>
      <c r="T409" s="779"/>
      <c r="U409" s="779"/>
      <c r="V409" s="778"/>
      <c r="W409" s="778"/>
      <c r="X409" s="708"/>
      <c r="Y409" s="708"/>
      <c r="Z409" s="708"/>
      <c r="AA409" s="708"/>
      <c r="AB409" s="708"/>
      <c r="AC409" s="708"/>
      <c r="AD409" s="708"/>
      <c r="AE409" s="708"/>
      <c r="AF409" s="708"/>
      <c r="AG409" s="708"/>
      <c r="AH409" s="708"/>
      <c r="AI409" s="708"/>
      <c r="AJ409" s="708"/>
      <c r="AK409" s="708"/>
      <c r="AL409" s="708"/>
      <c r="AM409" s="708"/>
      <c r="AN409" s="708"/>
      <c r="AO409" s="708"/>
      <c r="AP409" s="708"/>
      <c r="AQ409" s="708"/>
      <c r="AR409" s="708"/>
      <c r="AS409" s="708"/>
      <c r="AT409" s="708"/>
      <c r="AU409" s="708"/>
      <c r="AV409" s="708"/>
      <c r="AW409" s="708"/>
      <c r="AX409" s="708"/>
      <c r="AY409" s="708"/>
      <c r="AZ409" s="708"/>
      <c r="BA409" s="708"/>
      <c r="BB409" s="708"/>
      <c r="BC409" s="708"/>
      <c r="BD409" s="708"/>
      <c r="BE409" s="708"/>
      <c r="BF409" s="708"/>
      <c r="BG409" s="708"/>
      <c r="BH409" s="780"/>
      <c r="BI409" s="654"/>
      <c r="BJ409" s="709"/>
      <c r="BK409" s="710"/>
      <c r="BL409" s="654"/>
      <c r="BM409" s="731"/>
      <c r="BN409" s="701"/>
      <c r="BO409" s="701"/>
      <c r="BP409" s="701"/>
      <c r="BQ409" s="701"/>
      <c r="BR409" s="701"/>
      <c r="BS409" s="701"/>
      <c r="BT409" s="701"/>
      <c r="BU409" s="701"/>
      <c r="BV409" s="701"/>
      <c r="BW409" s="701"/>
      <c r="BX409" s="701"/>
      <c r="BY409" s="701"/>
      <c r="BZ409" s="701"/>
      <c r="CA409" s="701"/>
      <c r="CB409" s="701"/>
      <c r="CC409" s="701"/>
      <c r="CD409" s="701"/>
      <c r="CE409" s="701"/>
      <c r="CF409" s="701"/>
      <c r="CG409" s="701"/>
      <c r="CH409" s="701"/>
      <c r="CI409" s="701"/>
      <c r="CJ409" s="701"/>
      <c r="CK409" s="701"/>
      <c r="CL409" s="701"/>
      <c r="CM409" s="701"/>
      <c r="CN409" s="701"/>
      <c r="CO409" s="701"/>
      <c r="CP409" s="701"/>
      <c r="CQ409" s="701"/>
      <c r="CR409" s="701"/>
      <c r="CS409" s="701"/>
      <c r="CT409" s="701"/>
      <c r="CU409" s="701"/>
      <c r="CV409" s="701"/>
      <c r="CW409" s="701"/>
      <c r="CX409" s="701"/>
      <c r="CY409" s="701"/>
      <c r="CZ409" s="701"/>
      <c r="DA409" s="701"/>
      <c r="DB409" s="701"/>
      <c r="DC409" s="701"/>
      <c r="DD409" s="701"/>
      <c r="DE409" s="701"/>
      <c r="DF409" s="701"/>
      <c r="DG409" s="701"/>
      <c r="DH409" s="710"/>
    </row>
    <row r="410" spans="1:112" s="649" customFormat="1" x14ac:dyDescent="0.3">
      <c r="A410" s="652" t="str">
        <f>IF(J410&gt;0,"Imprimir","")</f>
        <v>Imprimir</v>
      </c>
      <c r="B410" s="652"/>
      <c r="C410" s="711"/>
      <c r="D410" s="712" t="s">
        <v>452</v>
      </c>
      <c r="E410" s="712" t="s">
        <v>505</v>
      </c>
      <c r="F410" s="712"/>
      <c r="G410" s="713"/>
      <c r="H410" s="712"/>
      <c r="I410" s="714"/>
      <c r="J410" s="715">
        <f>SUBTOTAL(9,J413:J422)</f>
        <v>27720</v>
      </c>
      <c r="K410" s="658"/>
      <c r="L410" s="770">
        <f t="shared" ref="L410:BG410" si="162">SUMPRODUCT($J413:$J422,L413:L422)</f>
        <v>0</v>
      </c>
      <c r="M410" s="771">
        <f t="shared" si="162"/>
        <v>0</v>
      </c>
      <c r="N410" s="771">
        <f t="shared" si="162"/>
        <v>0</v>
      </c>
      <c r="O410" s="771">
        <f t="shared" si="162"/>
        <v>6930</v>
      </c>
      <c r="P410" s="771">
        <f t="shared" si="162"/>
        <v>0</v>
      </c>
      <c r="Q410" s="771">
        <f t="shared" si="162"/>
        <v>0</v>
      </c>
      <c r="R410" s="771">
        <f t="shared" si="162"/>
        <v>0</v>
      </c>
      <c r="S410" s="771">
        <f t="shared" si="162"/>
        <v>6930</v>
      </c>
      <c r="T410" s="771">
        <f t="shared" si="162"/>
        <v>0</v>
      </c>
      <c r="U410" s="771">
        <f t="shared" si="162"/>
        <v>0</v>
      </c>
      <c r="V410" s="771">
        <f t="shared" si="162"/>
        <v>0</v>
      </c>
      <c r="W410" s="771">
        <f t="shared" si="162"/>
        <v>0</v>
      </c>
      <c r="X410" s="771">
        <f t="shared" si="162"/>
        <v>0</v>
      </c>
      <c r="Y410" s="771">
        <f t="shared" si="162"/>
        <v>0</v>
      </c>
      <c r="Z410" s="771">
        <f t="shared" si="162"/>
        <v>0</v>
      </c>
      <c r="AA410" s="771">
        <f t="shared" si="162"/>
        <v>0</v>
      </c>
      <c r="AB410" s="771">
        <f t="shared" si="162"/>
        <v>0</v>
      </c>
      <c r="AC410" s="771">
        <f t="shared" si="162"/>
        <v>0</v>
      </c>
      <c r="AD410" s="771">
        <f t="shared" si="162"/>
        <v>0</v>
      </c>
      <c r="AE410" s="771">
        <f t="shared" si="162"/>
        <v>6930</v>
      </c>
      <c r="AF410" s="771">
        <f t="shared" si="162"/>
        <v>0</v>
      </c>
      <c r="AG410" s="771">
        <f t="shared" si="162"/>
        <v>0</v>
      </c>
      <c r="AH410" s="771">
        <f t="shared" si="162"/>
        <v>0</v>
      </c>
      <c r="AI410" s="771">
        <f t="shared" si="162"/>
        <v>6930</v>
      </c>
      <c r="AJ410" s="771">
        <f t="shared" si="162"/>
        <v>0</v>
      </c>
      <c r="AK410" s="771">
        <f t="shared" si="162"/>
        <v>0</v>
      </c>
      <c r="AL410" s="771">
        <f t="shared" si="162"/>
        <v>0</v>
      </c>
      <c r="AM410" s="771">
        <f t="shared" si="162"/>
        <v>0</v>
      </c>
      <c r="AN410" s="771">
        <f t="shared" si="162"/>
        <v>0</v>
      </c>
      <c r="AO410" s="771">
        <f t="shared" si="162"/>
        <v>0</v>
      </c>
      <c r="AP410" s="771">
        <f t="shared" si="162"/>
        <v>0</v>
      </c>
      <c r="AQ410" s="771">
        <f t="shared" si="162"/>
        <v>0</v>
      </c>
      <c r="AR410" s="771">
        <f t="shared" si="162"/>
        <v>0</v>
      </c>
      <c r="AS410" s="771">
        <f t="shared" si="162"/>
        <v>0</v>
      </c>
      <c r="AT410" s="771">
        <f t="shared" si="162"/>
        <v>0</v>
      </c>
      <c r="AU410" s="771">
        <f t="shared" si="162"/>
        <v>0</v>
      </c>
      <c r="AV410" s="771">
        <f t="shared" si="162"/>
        <v>0</v>
      </c>
      <c r="AW410" s="771">
        <f t="shared" si="162"/>
        <v>0</v>
      </c>
      <c r="AX410" s="771">
        <f t="shared" si="162"/>
        <v>0</v>
      </c>
      <c r="AY410" s="771">
        <f t="shared" si="162"/>
        <v>0</v>
      </c>
      <c r="AZ410" s="771">
        <f t="shared" si="162"/>
        <v>0</v>
      </c>
      <c r="BA410" s="771">
        <f t="shared" si="162"/>
        <v>0</v>
      </c>
      <c r="BB410" s="771">
        <f t="shared" si="162"/>
        <v>0</v>
      </c>
      <c r="BC410" s="771">
        <f t="shared" si="162"/>
        <v>0</v>
      </c>
      <c r="BD410" s="771">
        <f t="shared" si="162"/>
        <v>0</v>
      </c>
      <c r="BE410" s="771">
        <f t="shared" si="162"/>
        <v>0</v>
      </c>
      <c r="BF410" s="771">
        <f t="shared" si="162"/>
        <v>0</v>
      </c>
      <c r="BG410" s="764">
        <f t="shared" si="162"/>
        <v>0</v>
      </c>
      <c r="BH410" s="776"/>
      <c r="BI410" s="654"/>
      <c r="BJ410" s="659">
        <f>IFERROR(BK410/J410,0)</f>
        <v>2.970779220779221</v>
      </c>
      <c r="BK410" s="660">
        <f>SUBTOTAL(9,BK411:BK422)</f>
        <v>82350</v>
      </c>
      <c r="BL410" s="654"/>
      <c r="BM410" s="661">
        <f t="shared" ref="BM410:DH410" si="163">SUBTOTAL(9,BM411:BM422)</f>
        <v>0</v>
      </c>
      <c r="BN410" s="662">
        <f t="shared" si="163"/>
        <v>0</v>
      </c>
      <c r="BO410" s="662">
        <f t="shared" si="163"/>
        <v>0</v>
      </c>
      <c r="BP410" s="662">
        <f t="shared" si="163"/>
        <v>38610</v>
      </c>
      <c r="BQ410" s="662">
        <f t="shared" si="163"/>
        <v>43740</v>
      </c>
      <c r="BR410" s="662">
        <f t="shared" si="163"/>
        <v>0</v>
      </c>
      <c r="BS410" s="662">
        <f t="shared" si="163"/>
        <v>0</v>
      </c>
      <c r="BT410" s="662">
        <f t="shared" si="163"/>
        <v>0</v>
      </c>
      <c r="BU410" s="662">
        <f t="shared" si="163"/>
        <v>0</v>
      </c>
      <c r="BV410" s="662">
        <f t="shared" si="163"/>
        <v>0</v>
      </c>
      <c r="BW410" s="662">
        <f t="shared" si="163"/>
        <v>0</v>
      </c>
      <c r="BX410" s="662">
        <f t="shared" si="163"/>
        <v>0</v>
      </c>
      <c r="BY410" s="662">
        <f t="shared" si="163"/>
        <v>0</v>
      </c>
      <c r="BZ410" s="662">
        <f t="shared" si="163"/>
        <v>0</v>
      </c>
      <c r="CA410" s="662">
        <f t="shared" si="163"/>
        <v>0</v>
      </c>
      <c r="CB410" s="662">
        <f t="shared" si="163"/>
        <v>0</v>
      </c>
      <c r="CC410" s="662">
        <f t="shared" si="163"/>
        <v>0</v>
      </c>
      <c r="CD410" s="662">
        <f t="shared" si="163"/>
        <v>0</v>
      </c>
      <c r="CE410" s="662">
        <f t="shared" si="163"/>
        <v>0</v>
      </c>
      <c r="CF410" s="662">
        <f t="shared" si="163"/>
        <v>0</v>
      </c>
      <c r="CG410" s="662">
        <f t="shared" si="163"/>
        <v>0</v>
      </c>
      <c r="CH410" s="662">
        <f t="shared" si="163"/>
        <v>0</v>
      </c>
      <c r="CI410" s="662">
        <f t="shared" si="163"/>
        <v>0</v>
      </c>
      <c r="CJ410" s="662">
        <f t="shared" si="163"/>
        <v>0</v>
      </c>
      <c r="CK410" s="662">
        <f t="shared" si="163"/>
        <v>0</v>
      </c>
      <c r="CL410" s="662">
        <f t="shared" si="163"/>
        <v>0</v>
      </c>
      <c r="CM410" s="662">
        <f t="shared" si="163"/>
        <v>0</v>
      </c>
      <c r="CN410" s="662">
        <f t="shared" si="163"/>
        <v>0</v>
      </c>
      <c r="CO410" s="662">
        <f t="shared" si="163"/>
        <v>0</v>
      </c>
      <c r="CP410" s="662">
        <f t="shared" si="163"/>
        <v>0</v>
      </c>
      <c r="CQ410" s="662">
        <f t="shared" si="163"/>
        <v>0</v>
      </c>
      <c r="CR410" s="662">
        <f t="shared" si="163"/>
        <v>0</v>
      </c>
      <c r="CS410" s="662">
        <f t="shared" si="163"/>
        <v>0</v>
      </c>
      <c r="CT410" s="662">
        <f t="shared" si="163"/>
        <v>0</v>
      </c>
      <c r="CU410" s="662">
        <f t="shared" si="163"/>
        <v>0</v>
      </c>
      <c r="CV410" s="662">
        <f t="shared" si="163"/>
        <v>0</v>
      </c>
      <c r="CW410" s="662">
        <f t="shared" si="163"/>
        <v>0</v>
      </c>
      <c r="CX410" s="662">
        <f t="shared" si="163"/>
        <v>0</v>
      </c>
      <c r="CY410" s="662">
        <f t="shared" si="163"/>
        <v>0</v>
      </c>
      <c r="CZ410" s="662">
        <f t="shared" si="163"/>
        <v>0</v>
      </c>
      <c r="DA410" s="662">
        <f t="shared" si="163"/>
        <v>0</v>
      </c>
      <c r="DB410" s="662">
        <f t="shared" si="163"/>
        <v>0</v>
      </c>
      <c r="DC410" s="662">
        <f t="shared" si="163"/>
        <v>0</v>
      </c>
      <c r="DD410" s="662">
        <f t="shared" si="163"/>
        <v>0</v>
      </c>
      <c r="DE410" s="662">
        <f t="shared" si="163"/>
        <v>0</v>
      </c>
      <c r="DF410" s="662">
        <f t="shared" si="163"/>
        <v>0</v>
      </c>
      <c r="DG410" s="662">
        <f t="shared" si="163"/>
        <v>0</v>
      </c>
      <c r="DH410" s="663">
        <f t="shared" si="163"/>
        <v>0</v>
      </c>
    </row>
    <row r="411" spans="1:112" s="649" customFormat="1" outlineLevel="1" x14ac:dyDescent="0.3">
      <c r="A411" s="652" t="str">
        <f>IF(J410&gt;0,"Imprimir","")</f>
        <v>Imprimir</v>
      </c>
      <c r="B411" s="652"/>
      <c r="C411" s="664"/>
      <c r="D411" s="665"/>
      <c r="E411" s="665"/>
      <c r="F411" s="665" t="s">
        <v>472</v>
      </c>
      <c r="G411" s="716" t="s">
        <v>2128</v>
      </c>
      <c r="H411" s="665" t="str">
        <f>H251</f>
        <v>Cantidad</v>
      </c>
      <c r="I411" s="665" t="s">
        <v>474</v>
      </c>
      <c r="J411" s="666" t="s">
        <v>29</v>
      </c>
      <c r="K411" s="667"/>
      <c r="L411" s="745"/>
      <c r="M411" s="741"/>
      <c r="N411" s="741"/>
      <c r="O411" s="741"/>
      <c r="P411" s="741"/>
      <c r="Q411" s="741"/>
      <c r="R411" s="741"/>
      <c r="S411" s="741"/>
      <c r="T411" s="741"/>
      <c r="U411" s="741"/>
      <c r="V411" s="741"/>
      <c r="W411" s="741"/>
      <c r="X411" s="741"/>
      <c r="Y411" s="741"/>
      <c r="Z411" s="741"/>
      <c r="AA411" s="741"/>
      <c r="AB411" s="741"/>
      <c r="AC411" s="741"/>
      <c r="AD411" s="741"/>
      <c r="AE411" s="741"/>
      <c r="AF411" s="741"/>
      <c r="AG411" s="741"/>
      <c r="AH411" s="741"/>
      <c r="AI411" s="741"/>
      <c r="AJ411" s="741"/>
      <c r="AK411" s="741"/>
      <c r="AL411" s="741"/>
      <c r="AM411" s="741"/>
      <c r="AN411" s="741"/>
      <c r="AO411" s="741"/>
      <c r="AP411" s="741"/>
      <c r="AQ411" s="741"/>
      <c r="AR411" s="741"/>
      <c r="AS411" s="741"/>
      <c r="AT411" s="741"/>
      <c r="AU411" s="741"/>
      <c r="AV411" s="741"/>
      <c r="AW411" s="741"/>
      <c r="AX411" s="741"/>
      <c r="AY411" s="741"/>
      <c r="AZ411" s="741"/>
      <c r="BA411" s="741"/>
      <c r="BB411" s="741"/>
      <c r="BC411" s="741"/>
      <c r="BD411" s="741"/>
      <c r="BE411" s="741"/>
      <c r="BF411" s="741"/>
      <c r="BG411" s="741"/>
      <c r="BH411" s="668"/>
      <c r="BI411" s="654"/>
      <c r="BJ411" s="669"/>
      <c r="BK411" s="670"/>
      <c r="BL411" s="654"/>
      <c r="BM411" s="671"/>
      <c r="BN411" s="665"/>
      <c r="BO411" s="665"/>
      <c r="BP411" s="665"/>
      <c r="BQ411" s="665"/>
      <c r="BR411" s="665"/>
      <c r="BS411" s="665"/>
      <c r="BT411" s="665"/>
      <c r="BU411" s="665"/>
      <c r="BV411" s="665"/>
      <c r="BW411" s="665"/>
      <c r="BX411" s="665"/>
      <c r="BY411" s="665"/>
      <c r="BZ411" s="665"/>
      <c r="CA411" s="665"/>
      <c r="CB411" s="665"/>
      <c r="CC411" s="665"/>
      <c r="CD411" s="665"/>
      <c r="CE411" s="665"/>
      <c r="CF411" s="665"/>
      <c r="CG411" s="665"/>
      <c r="CH411" s="665"/>
      <c r="CI411" s="665"/>
      <c r="CJ411" s="665"/>
      <c r="CK411" s="665"/>
      <c r="CL411" s="665"/>
      <c r="CM411" s="665"/>
      <c r="CN411" s="665"/>
      <c r="CO411" s="665"/>
      <c r="CP411" s="665"/>
      <c r="CQ411" s="665"/>
      <c r="CR411" s="665"/>
      <c r="CS411" s="665"/>
      <c r="CT411" s="665"/>
      <c r="CU411" s="665"/>
      <c r="CV411" s="665"/>
      <c r="CW411" s="665"/>
      <c r="CX411" s="665"/>
      <c r="CY411" s="665"/>
      <c r="CZ411" s="665"/>
      <c r="DA411" s="665"/>
      <c r="DB411" s="665"/>
      <c r="DC411" s="665"/>
      <c r="DD411" s="665"/>
      <c r="DE411" s="665"/>
      <c r="DF411" s="665"/>
      <c r="DG411" s="665"/>
      <c r="DH411" s="666"/>
    </row>
    <row r="412" spans="1:112" s="649" customFormat="1" ht="15.6" outlineLevel="1" x14ac:dyDescent="0.3">
      <c r="A412" s="652" t="str">
        <f>IF(J412&gt;0,"Imprimir","")</f>
        <v>Imprimir</v>
      </c>
      <c r="B412" s="652"/>
      <c r="C412" s="672"/>
      <c r="D412" s="673"/>
      <c r="E412" s="674"/>
      <c r="F412" s="675"/>
      <c r="G412" s="726"/>
      <c r="H412" s="676"/>
      <c r="I412" s="677"/>
      <c r="J412" s="219">
        <f>SUBTOTAL(9,J413:J422)</f>
        <v>27720</v>
      </c>
      <c r="K412" s="678"/>
      <c r="L412" s="747"/>
      <c r="M412" s="742"/>
      <c r="N412" s="742"/>
      <c r="O412" s="742"/>
      <c r="P412" s="742"/>
      <c r="Q412" s="742"/>
      <c r="R412" s="742"/>
      <c r="S412" s="742"/>
      <c r="T412" s="742"/>
      <c r="U412" s="742"/>
      <c r="V412" s="742"/>
      <c r="W412" s="742"/>
      <c r="X412" s="742"/>
      <c r="Y412" s="742"/>
      <c r="Z412" s="742"/>
      <c r="AA412" s="742"/>
      <c r="AB412" s="742"/>
      <c r="AC412" s="742"/>
      <c r="AD412" s="742"/>
      <c r="AE412" s="742"/>
      <c r="AF412" s="742"/>
      <c r="AG412" s="742"/>
      <c r="AH412" s="742"/>
      <c r="AI412" s="742"/>
      <c r="AJ412" s="742"/>
      <c r="AK412" s="742"/>
      <c r="AL412" s="742"/>
      <c r="AM412" s="742"/>
      <c r="AN412" s="742"/>
      <c r="AO412" s="742"/>
      <c r="AP412" s="742"/>
      <c r="AQ412" s="742"/>
      <c r="AR412" s="742"/>
      <c r="AS412" s="742"/>
      <c r="AT412" s="742"/>
      <c r="AU412" s="742"/>
      <c r="AV412" s="742"/>
      <c r="AW412" s="742"/>
      <c r="AX412" s="742"/>
      <c r="AY412" s="742"/>
      <c r="AZ412" s="742"/>
      <c r="BA412" s="742"/>
      <c r="BB412" s="742"/>
      <c r="BC412" s="742"/>
      <c r="BD412" s="742"/>
      <c r="BE412" s="742"/>
      <c r="BF412" s="742"/>
      <c r="BG412" s="742"/>
      <c r="BH412" s="668"/>
      <c r="BI412" s="654"/>
      <c r="BJ412" s="680"/>
      <c r="BK412" s="681"/>
      <c r="BL412" s="654"/>
      <c r="BM412" s="682"/>
      <c r="BN412" s="683"/>
      <c r="BO412" s="683"/>
      <c r="BP412" s="683"/>
      <c r="BQ412" s="683"/>
      <c r="BR412" s="683"/>
      <c r="BS412" s="683"/>
      <c r="BT412" s="683"/>
      <c r="BU412" s="683"/>
      <c r="BV412" s="683"/>
      <c r="BW412" s="683"/>
      <c r="BX412" s="683"/>
      <c r="BY412" s="683"/>
      <c r="BZ412" s="683"/>
      <c r="CA412" s="683"/>
      <c r="CB412" s="683"/>
      <c r="CC412" s="683"/>
      <c r="CD412" s="683"/>
      <c r="CE412" s="683"/>
      <c r="CF412" s="683"/>
      <c r="CG412" s="683"/>
      <c r="CH412" s="683"/>
      <c r="CI412" s="683"/>
      <c r="CJ412" s="683"/>
      <c r="CK412" s="683"/>
      <c r="CL412" s="683"/>
      <c r="CM412" s="683"/>
      <c r="CN412" s="683"/>
      <c r="CO412" s="683"/>
      <c r="CP412" s="683"/>
      <c r="CQ412" s="683"/>
      <c r="CR412" s="683"/>
      <c r="CS412" s="683"/>
      <c r="CT412" s="683"/>
      <c r="CU412" s="683"/>
      <c r="CV412" s="683"/>
      <c r="CW412" s="683"/>
      <c r="CX412" s="683"/>
      <c r="CY412" s="683"/>
      <c r="CZ412" s="683"/>
      <c r="DA412" s="683"/>
      <c r="DB412" s="683"/>
      <c r="DC412" s="683"/>
      <c r="DD412" s="683"/>
      <c r="DE412" s="683"/>
      <c r="DF412" s="683"/>
      <c r="DG412" s="683"/>
      <c r="DH412" s="684"/>
    </row>
    <row r="413" spans="1:112" s="649" customFormat="1" outlineLevel="1" x14ac:dyDescent="0.3">
      <c r="A413" s="652" t="str">
        <f t="shared" ref="A413:A421" si="164">IF(J413="","",IF(J413=0,"","Imprimir"))</f>
        <v>Imprimir</v>
      </c>
      <c r="B413" s="652"/>
      <c r="C413" s="685"/>
      <c r="D413" s="686" t="s">
        <v>2469</v>
      </c>
      <c r="E413" s="686" t="s">
        <v>506</v>
      </c>
      <c r="F413" s="720"/>
      <c r="G413" s="688">
        <v>700</v>
      </c>
      <c r="H413" s="689">
        <f>Producción!G34*1.2</f>
        <v>39.6</v>
      </c>
      <c r="I413" s="851">
        <f t="shared" ref="I413:I421" si="165">IF(E413&gt;0,$J$5,"")</f>
        <v>1</v>
      </c>
      <c r="J413" s="852">
        <f t="shared" ref="J413:J421" si="166">IFERROR(G413*H413*I413,"")</f>
        <v>27720</v>
      </c>
      <c r="K413" s="667"/>
      <c r="L413" s="858"/>
      <c r="M413" s="859"/>
      <c r="N413" s="859"/>
      <c r="O413" s="859">
        <v>0.25</v>
      </c>
      <c r="P413" s="859"/>
      <c r="Q413" s="859"/>
      <c r="R413" s="859"/>
      <c r="S413" s="859">
        <v>0.25</v>
      </c>
      <c r="T413" s="859"/>
      <c r="U413" s="859"/>
      <c r="V413" s="859"/>
      <c r="W413" s="859"/>
      <c r="X413" s="859"/>
      <c r="Y413" s="859"/>
      <c r="Z413" s="860"/>
      <c r="AA413" s="860"/>
      <c r="AB413" s="860"/>
      <c r="AC413" s="860"/>
      <c r="AD413" s="860"/>
      <c r="AE413" s="860">
        <v>0.25</v>
      </c>
      <c r="AF413" s="860"/>
      <c r="AG413" s="860"/>
      <c r="AH413" s="860"/>
      <c r="AI413" s="860">
        <v>0.25</v>
      </c>
      <c r="AJ413" s="860"/>
      <c r="AK413" s="860"/>
      <c r="AL413" s="860"/>
      <c r="AM413" s="860"/>
      <c r="AN413" s="860"/>
      <c r="AO413" s="860"/>
      <c r="AP413" s="860"/>
      <c r="AQ413" s="860"/>
      <c r="AR413" s="860"/>
      <c r="AS413" s="860"/>
      <c r="AT413" s="860"/>
      <c r="AU413" s="860"/>
      <c r="AV413" s="860"/>
      <c r="AW413" s="860"/>
      <c r="AX413" s="860"/>
      <c r="AY413" s="860"/>
      <c r="AZ413" s="860"/>
      <c r="BA413" s="860"/>
      <c r="BB413" s="860"/>
      <c r="BC413" s="860"/>
      <c r="BD413" s="860"/>
      <c r="BE413" s="860"/>
      <c r="BF413" s="860"/>
      <c r="BG413" s="860"/>
      <c r="BH413" s="668"/>
      <c r="BI413" s="667"/>
      <c r="BJ413" s="690">
        <f t="shared" ref="BJ413:BJ421" si="167">IFERROR(BK413/J413,0)</f>
        <v>2.970779220779221</v>
      </c>
      <c r="BK413" s="691">
        <f t="shared" ref="BK413:BK421" si="168">SUM(BM413:DH413)</f>
        <v>82350</v>
      </c>
      <c r="BL413" s="654"/>
      <c r="BM413" s="692">
        <f>SUMIFS(Imput[[Importe Neto]:[Importe Neto]],Imput[[C. Imp.]:[C. Imp.]],$D413,Imput[[PERIODO Imp.]:[PERIODO Imp.]],BM$9)</f>
        <v>0</v>
      </c>
      <c r="BN413" s="693">
        <f>SUMIFS(Imput[[Importe Neto]:[Importe Neto]],Imput[[C. Imp.]:[C. Imp.]],$D413,Imput[[PERIODO Imp.]:[PERIODO Imp.]],BN$9)</f>
        <v>0</v>
      </c>
      <c r="BO413" s="693">
        <f>SUMIFS(Imput[[Importe Neto]:[Importe Neto]],Imput[[C. Imp.]:[C. Imp.]],$D413,Imput[[PERIODO Imp.]:[PERIODO Imp.]],BO$9)</f>
        <v>0</v>
      </c>
      <c r="BP413" s="693">
        <f>SUMIFS(Imput[[Importe Neto]:[Importe Neto]],Imput[[C. Imp.]:[C. Imp.]],$D413,Imput[[PERIODO Imp.]:[PERIODO Imp.]],BP$9)</f>
        <v>38610</v>
      </c>
      <c r="BQ413" s="693">
        <f>SUMIFS(Imput[[Importe Neto]:[Importe Neto]],Imput[[C. Imp.]:[C. Imp.]],$D413,Imput[[PERIODO Imp.]:[PERIODO Imp.]],BQ$9)</f>
        <v>43740</v>
      </c>
      <c r="BR413" s="693">
        <f>SUMIFS(Imput[[Importe Neto]:[Importe Neto]],Imput[[C. Imp.]:[C. Imp.]],$D413,Imput[[PERIODO Imp.]:[PERIODO Imp.]],BR$9)</f>
        <v>0</v>
      </c>
      <c r="BS413" s="693">
        <f>SUMIFS(Imput[[Importe Neto]:[Importe Neto]],Imput[[C. Imp.]:[C. Imp.]],$D413,Imput[[PERIODO Imp.]:[PERIODO Imp.]],BS$9)</f>
        <v>0</v>
      </c>
      <c r="BT413" s="693">
        <f>SUMIFS(Imput[[Importe Neto]:[Importe Neto]],Imput[[C. Imp.]:[C. Imp.]],$D413,Imput[[PERIODO Imp.]:[PERIODO Imp.]],BT$9)</f>
        <v>0</v>
      </c>
      <c r="BU413" s="693">
        <f>SUMIFS(Imput[[Importe Neto]:[Importe Neto]],Imput[[C. Imp.]:[C. Imp.]],$D413,Imput[[PERIODO Imp.]:[PERIODO Imp.]],BU$9)</f>
        <v>0</v>
      </c>
      <c r="BV413" s="693">
        <f>SUMIFS(Imput[[Importe Neto]:[Importe Neto]],Imput[[C. Imp.]:[C. Imp.]],$D413,Imput[[PERIODO Imp.]:[PERIODO Imp.]],BV$9)</f>
        <v>0</v>
      </c>
      <c r="BW413" s="693">
        <f>SUMIFS(Imput[[Importe Neto]:[Importe Neto]],Imput[[C. Imp.]:[C. Imp.]],$D413,Imput[[PERIODO Imp.]:[PERIODO Imp.]],BW$9)</f>
        <v>0</v>
      </c>
      <c r="BX413" s="693">
        <f>SUMIFS(Imput[[Importe Neto]:[Importe Neto]],Imput[[C. Imp.]:[C. Imp.]],$D413,Imput[[PERIODO Imp.]:[PERIODO Imp.]],BX$9)</f>
        <v>0</v>
      </c>
      <c r="BY413" s="693">
        <f>SUMIFS(Imput[[Importe Neto]:[Importe Neto]],Imput[[C. Imp.]:[C. Imp.]],$D413,Imput[[PERIODO Imp.]:[PERIODO Imp.]],BY$9)</f>
        <v>0</v>
      </c>
      <c r="BZ413" s="693">
        <f>SUMIFS(Imput[[Importe Neto]:[Importe Neto]],Imput[[C. Imp.]:[C. Imp.]],$D413,Imput[[PERIODO Imp.]:[PERIODO Imp.]],BZ$9)</f>
        <v>0</v>
      </c>
      <c r="CA413" s="693">
        <f>SUMIFS(Imput[[Importe Neto]:[Importe Neto]],Imput[[C. Imp.]:[C. Imp.]],$D413,Imput[[PERIODO Imp.]:[PERIODO Imp.]],CA$9)</f>
        <v>0</v>
      </c>
      <c r="CB413" s="693">
        <f>SUMIFS(Imput[[Importe Neto]:[Importe Neto]],Imput[[C. Imp.]:[C. Imp.]],$D413,Imput[[PERIODO Imp.]:[PERIODO Imp.]],CB$9)</f>
        <v>0</v>
      </c>
      <c r="CC413" s="693">
        <f>SUMIFS(Imput[[Importe Neto]:[Importe Neto]],Imput[[C. Imp.]:[C. Imp.]],$D413,Imput[[PERIODO Imp.]:[PERIODO Imp.]],CC$9)</f>
        <v>0</v>
      </c>
      <c r="CD413" s="693">
        <f>SUMIFS(Imput[[Importe Neto]:[Importe Neto]],Imput[[C. Imp.]:[C. Imp.]],$D413,Imput[[PERIODO Imp.]:[PERIODO Imp.]],CD$9)</f>
        <v>0</v>
      </c>
      <c r="CE413" s="693">
        <f>SUMIFS(Imput[[Importe Neto]:[Importe Neto]],Imput[[C. Imp.]:[C. Imp.]],$D413,Imput[[PERIODO Imp.]:[PERIODO Imp.]],CE$9)</f>
        <v>0</v>
      </c>
      <c r="CF413" s="693">
        <f>SUMIFS(Imput[[Importe Neto]:[Importe Neto]],Imput[[C. Imp.]:[C. Imp.]],$D413,Imput[[PERIODO Imp.]:[PERIODO Imp.]],CF$9)</f>
        <v>0</v>
      </c>
      <c r="CG413" s="693">
        <f>SUMIFS(Imput[[Importe Neto]:[Importe Neto]],Imput[[C. Imp.]:[C. Imp.]],$D413,Imput[[PERIODO Imp.]:[PERIODO Imp.]],CG$9)</f>
        <v>0</v>
      </c>
      <c r="CH413" s="693">
        <f>SUMIFS(Imput[[Importe Neto]:[Importe Neto]],Imput[[C. Imp.]:[C. Imp.]],$D413,Imput[[PERIODO Imp.]:[PERIODO Imp.]],CH$9)</f>
        <v>0</v>
      </c>
      <c r="CI413" s="693">
        <f>SUMIFS(Imput[[Importe Neto]:[Importe Neto]],Imput[[C. Imp.]:[C. Imp.]],$D413,Imput[[PERIODO Imp.]:[PERIODO Imp.]],CI$9)</f>
        <v>0</v>
      </c>
      <c r="CJ413" s="693">
        <f>SUMIFS(Imput[[Importe Neto]:[Importe Neto]],Imput[[C. Imp.]:[C. Imp.]],$D413,Imput[[PERIODO Imp.]:[PERIODO Imp.]],CJ$9)</f>
        <v>0</v>
      </c>
      <c r="CK413" s="693">
        <f>SUMIFS(Imput[[Importe Neto]:[Importe Neto]],Imput[[C. Imp.]:[C. Imp.]],$D413,Imput[[PERIODO Imp.]:[PERIODO Imp.]],CK$9)</f>
        <v>0</v>
      </c>
      <c r="CL413" s="693">
        <f>SUMIFS(Imput[[Importe Neto]:[Importe Neto]],Imput[[C. Imp.]:[C. Imp.]],$D413,Imput[[PERIODO Imp.]:[PERIODO Imp.]],CL$9)</f>
        <v>0</v>
      </c>
      <c r="CM413" s="693">
        <f>SUMIFS(Imput[[Importe Neto]:[Importe Neto]],Imput[[C. Imp.]:[C. Imp.]],$D413,Imput[[PERIODO Imp.]:[PERIODO Imp.]],CM$9)</f>
        <v>0</v>
      </c>
      <c r="CN413" s="693">
        <f>SUMIFS(Imput[[Importe Neto]:[Importe Neto]],Imput[[C. Imp.]:[C. Imp.]],$D413,Imput[[PERIODO Imp.]:[PERIODO Imp.]],CN$9)</f>
        <v>0</v>
      </c>
      <c r="CO413" s="693">
        <f>SUMIFS(Imput[[Importe Neto]:[Importe Neto]],Imput[[C. Imp.]:[C. Imp.]],$D413,Imput[[PERIODO Imp.]:[PERIODO Imp.]],CO$9)</f>
        <v>0</v>
      </c>
      <c r="CP413" s="693">
        <f>SUMIFS(Imput[[Importe Neto]:[Importe Neto]],Imput[[C. Imp.]:[C. Imp.]],$D413,Imput[[PERIODO Imp.]:[PERIODO Imp.]],CP$9)</f>
        <v>0</v>
      </c>
      <c r="CQ413" s="693">
        <f>SUMIFS(Imput[[Importe Neto]:[Importe Neto]],Imput[[C. Imp.]:[C. Imp.]],$D413,Imput[[PERIODO Imp.]:[PERIODO Imp.]],CQ$9)</f>
        <v>0</v>
      </c>
      <c r="CR413" s="693">
        <f>SUMIFS(Imput[[Importe Neto]:[Importe Neto]],Imput[[C. Imp.]:[C. Imp.]],$D413,Imput[[PERIODO Imp.]:[PERIODO Imp.]],CR$9)</f>
        <v>0</v>
      </c>
      <c r="CS413" s="693">
        <f>SUMIFS(Imput[[Importe Neto]:[Importe Neto]],Imput[[C. Imp.]:[C. Imp.]],$D413,Imput[[PERIODO Imp.]:[PERIODO Imp.]],CS$9)</f>
        <v>0</v>
      </c>
      <c r="CT413" s="693">
        <f>SUMIFS(Imput[[Importe Neto]:[Importe Neto]],Imput[[C. Imp.]:[C. Imp.]],$D413,Imput[[PERIODO Imp.]:[PERIODO Imp.]],CT$9)</f>
        <v>0</v>
      </c>
      <c r="CU413" s="693">
        <f>SUMIFS(Imput[[Importe Neto]:[Importe Neto]],Imput[[C. Imp.]:[C. Imp.]],$D413,Imput[[PERIODO Imp.]:[PERIODO Imp.]],CU$9)</f>
        <v>0</v>
      </c>
      <c r="CV413" s="693">
        <f>SUMIFS(Imput[[Importe Neto]:[Importe Neto]],Imput[[C. Imp.]:[C. Imp.]],$D413,Imput[[PERIODO Imp.]:[PERIODO Imp.]],CV$9)</f>
        <v>0</v>
      </c>
      <c r="CW413" s="693">
        <f>SUMIFS(Imput[[Importe Neto]:[Importe Neto]],Imput[[C. Imp.]:[C. Imp.]],$D413,Imput[[PERIODO Imp.]:[PERIODO Imp.]],CW$9)</f>
        <v>0</v>
      </c>
      <c r="CX413" s="693">
        <f>SUMIFS(Imput[[Importe Neto]:[Importe Neto]],Imput[[C. Imp.]:[C. Imp.]],$D413,Imput[[PERIODO Imp.]:[PERIODO Imp.]],CX$9)</f>
        <v>0</v>
      </c>
      <c r="CY413" s="693">
        <f>SUMIFS(Imput[[Importe Neto]:[Importe Neto]],Imput[[C. Imp.]:[C. Imp.]],$D413,Imput[[PERIODO Imp.]:[PERIODO Imp.]],CY$9)</f>
        <v>0</v>
      </c>
      <c r="CZ413" s="693">
        <f>SUMIFS(Imput[[Importe Neto]:[Importe Neto]],Imput[[C. Imp.]:[C. Imp.]],$D413,Imput[[PERIODO Imp.]:[PERIODO Imp.]],CZ$9)</f>
        <v>0</v>
      </c>
      <c r="DA413" s="693">
        <f>SUMIFS(Imput[[Importe Neto]:[Importe Neto]],Imput[[C. Imp.]:[C. Imp.]],$D413,Imput[[PERIODO Imp.]:[PERIODO Imp.]],DA$9)</f>
        <v>0</v>
      </c>
      <c r="DB413" s="693">
        <f>SUMIFS(Imput[[Importe Neto]:[Importe Neto]],Imput[[C. Imp.]:[C. Imp.]],$D413,Imput[[PERIODO Imp.]:[PERIODO Imp.]],DB$9)</f>
        <v>0</v>
      </c>
      <c r="DC413" s="693">
        <f>SUMIFS(Imput[[Importe Neto]:[Importe Neto]],Imput[[C. Imp.]:[C. Imp.]],$D413,Imput[[PERIODO Imp.]:[PERIODO Imp.]],DC$9)</f>
        <v>0</v>
      </c>
      <c r="DD413" s="693">
        <f>SUMIFS(Imput[[Importe Neto]:[Importe Neto]],Imput[[C. Imp.]:[C. Imp.]],$D413,Imput[[PERIODO Imp.]:[PERIODO Imp.]],DD$9)</f>
        <v>0</v>
      </c>
      <c r="DE413" s="693">
        <f>SUMIFS(Imput[[Importe Neto]:[Importe Neto]],Imput[[C. Imp.]:[C. Imp.]],$D413,Imput[[PERIODO Imp.]:[PERIODO Imp.]],DE$9)</f>
        <v>0</v>
      </c>
      <c r="DF413" s="693">
        <f>SUMIFS(Imput[[Importe Neto]:[Importe Neto]],Imput[[C. Imp.]:[C. Imp.]],$D413,Imput[[PERIODO Imp.]:[PERIODO Imp.]],DF$9)</f>
        <v>0</v>
      </c>
      <c r="DG413" s="693">
        <f>SUMIFS(Imput[[Importe Neto]:[Importe Neto]],Imput[[C. Imp.]:[C. Imp.]],$D413,Imput[[PERIODO Imp.]:[PERIODO Imp.]],DG$9)</f>
        <v>0</v>
      </c>
      <c r="DH413" s="694">
        <f>SUMIFS(Imput[[Importe Neto]:[Importe Neto]],Imput[[C. Imp.]:[C. Imp.]],$D413,Imput[[PERIODO Imp.]:[PERIODO Imp.]],DH$9)</f>
        <v>0</v>
      </c>
    </row>
    <row r="414" spans="1:112" s="649" customFormat="1" hidden="1" outlineLevel="1" x14ac:dyDescent="0.3">
      <c r="A414" s="652" t="str">
        <f t="shared" si="164"/>
        <v/>
      </c>
      <c r="B414" s="652"/>
      <c r="C414" s="685"/>
      <c r="D414" s="686" t="s">
        <v>2470</v>
      </c>
      <c r="E414" s="686"/>
      <c r="F414" s="720"/>
      <c r="G414" s="688"/>
      <c r="H414" s="689"/>
      <c r="I414" s="851" t="str">
        <f t="shared" si="165"/>
        <v/>
      </c>
      <c r="J414" s="852" t="str">
        <f t="shared" si="166"/>
        <v/>
      </c>
      <c r="K414" s="667"/>
      <c r="L414" s="858"/>
      <c r="M414" s="859"/>
      <c r="N414" s="859"/>
      <c r="O414" s="859"/>
      <c r="P414" s="859"/>
      <c r="Q414" s="859"/>
      <c r="R414" s="859"/>
      <c r="S414" s="859"/>
      <c r="T414" s="859"/>
      <c r="U414" s="859"/>
      <c r="V414" s="859"/>
      <c r="W414" s="859"/>
      <c r="X414" s="859"/>
      <c r="Y414" s="859"/>
      <c r="Z414" s="860"/>
      <c r="AA414" s="860"/>
      <c r="AB414" s="860"/>
      <c r="AC414" s="860"/>
      <c r="AD414" s="860"/>
      <c r="AE414" s="860"/>
      <c r="AF414" s="860"/>
      <c r="AG414" s="860"/>
      <c r="AH414" s="860"/>
      <c r="AI414" s="860"/>
      <c r="AJ414" s="860"/>
      <c r="AK414" s="860"/>
      <c r="AL414" s="860"/>
      <c r="AM414" s="860"/>
      <c r="AN414" s="860"/>
      <c r="AO414" s="860"/>
      <c r="AP414" s="860"/>
      <c r="AQ414" s="860"/>
      <c r="AR414" s="860"/>
      <c r="AS414" s="860"/>
      <c r="AT414" s="860"/>
      <c r="AU414" s="860"/>
      <c r="AV414" s="860"/>
      <c r="AW414" s="860"/>
      <c r="AX414" s="860"/>
      <c r="AY414" s="860"/>
      <c r="AZ414" s="860"/>
      <c r="BA414" s="860"/>
      <c r="BB414" s="860"/>
      <c r="BC414" s="860"/>
      <c r="BD414" s="860"/>
      <c r="BE414" s="860"/>
      <c r="BF414" s="860"/>
      <c r="BG414" s="860"/>
      <c r="BH414" s="668"/>
      <c r="BI414" s="667"/>
      <c r="BJ414" s="690">
        <f t="shared" si="167"/>
        <v>0</v>
      </c>
      <c r="BK414" s="691">
        <f t="shared" si="168"/>
        <v>0</v>
      </c>
      <c r="BL414" s="654"/>
      <c r="BM414" s="692">
        <f>SUMIFS(Imput[[Importe Neto]:[Importe Neto]],Imput[[C. Imp.]:[C. Imp.]],$D414,Imput[[PERIODO Imp.]:[PERIODO Imp.]],BM$9)</f>
        <v>0</v>
      </c>
      <c r="BN414" s="693">
        <f>SUMIFS(Imput[[Importe Neto]:[Importe Neto]],Imput[[C. Imp.]:[C. Imp.]],$D414,Imput[[PERIODO Imp.]:[PERIODO Imp.]],BN$9)</f>
        <v>0</v>
      </c>
      <c r="BO414" s="693">
        <f>SUMIFS(Imput[[Importe Neto]:[Importe Neto]],Imput[[C. Imp.]:[C. Imp.]],$D414,Imput[[PERIODO Imp.]:[PERIODO Imp.]],BO$9)</f>
        <v>0</v>
      </c>
      <c r="BP414" s="693">
        <f>SUMIFS(Imput[[Importe Neto]:[Importe Neto]],Imput[[C. Imp.]:[C. Imp.]],$D414,Imput[[PERIODO Imp.]:[PERIODO Imp.]],BP$9)</f>
        <v>0</v>
      </c>
      <c r="BQ414" s="693">
        <f>SUMIFS(Imput[[Importe Neto]:[Importe Neto]],Imput[[C. Imp.]:[C. Imp.]],$D414,Imput[[PERIODO Imp.]:[PERIODO Imp.]],BQ$9)</f>
        <v>0</v>
      </c>
      <c r="BR414" s="693">
        <f>SUMIFS(Imput[[Importe Neto]:[Importe Neto]],Imput[[C. Imp.]:[C. Imp.]],$D414,Imput[[PERIODO Imp.]:[PERIODO Imp.]],BR$9)</f>
        <v>0</v>
      </c>
      <c r="BS414" s="693">
        <f>SUMIFS(Imput[[Importe Neto]:[Importe Neto]],Imput[[C. Imp.]:[C. Imp.]],$D414,Imput[[PERIODO Imp.]:[PERIODO Imp.]],BS$9)</f>
        <v>0</v>
      </c>
      <c r="BT414" s="693">
        <f>SUMIFS(Imput[[Importe Neto]:[Importe Neto]],Imput[[C. Imp.]:[C. Imp.]],$D414,Imput[[PERIODO Imp.]:[PERIODO Imp.]],BT$9)</f>
        <v>0</v>
      </c>
      <c r="BU414" s="693">
        <f>SUMIFS(Imput[[Importe Neto]:[Importe Neto]],Imput[[C. Imp.]:[C. Imp.]],$D414,Imput[[PERIODO Imp.]:[PERIODO Imp.]],BU$9)</f>
        <v>0</v>
      </c>
      <c r="BV414" s="693">
        <f>SUMIFS(Imput[[Importe Neto]:[Importe Neto]],Imput[[C. Imp.]:[C. Imp.]],$D414,Imput[[PERIODO Imp.]:[PERIODO Imp.]],BV$9)</f>
        <v>0</v>
      </c>
      <c r="BW414" s="693">
        <f>SUMIFS(Imput[[Importe Neto]:[Importe Neto]],Imput[[C. Imp.]:[C. Imp.]],$D414,Imput[[PERIODO Imp.]:[PERIODO Imp.]],BW$9)</f>
        <v>0</v>
      </c>
      <c r="BX414" s="693">
        <f>SUMIFS(Imput[[Importe Neto]:[Importe Neto]],Imput[[C. Imp.]:[C. Imp.]],$D414,Imput[[PERIODO Imp.]:[PERIODO Imp.]],BX$9)</f>
        <v>0</v>
      </c>
      <c r="BY414" s="693">
        <f>SUMIFS(Imput[[Importe Neto]:[Importe Neto]],Imput[[C. Imp.]:[C. Imp.]],$D414,Imput[[PERIODO Imp.]:[PERIODO Imp.]],BY$9)</f>
        <v>0</v>
      </c>
      <c r="BZ414" s="693">
        <f>SUMIFS(Imput[[Importe Neto]:[Importe Neto]],Imput[[C. Imp.]:[C. Imp.]],$D414,Imput[[PERIODO Imp.]:[PERIODO Imp.]],BZ$9)</f>
        <v>0</v>
      </c>
      <c r="CA414" s="693">
        <f>SUMIFS(Imput[[Importe Neto]:[Importe Neto]],Imput[[C. Imp.]:[C. Imp.]],$D414,Imput[[PERIODO Imp.]:[PERIODO Imp.]],CA$9)</f>
        <v>0</v>
      </c>
      <c r="CB414" s="693">
        <f>SUMIFS(Imput[[Importe Neto]:[Importe Neto]],Imput[[C. Imp.]:[C. Imp.]],$D414,Imput[[PERIODO Imp.]:[PERIODO Imp.]],CB$9)</f>
        <v>0</v>
      </c>
      <c r="CC414" s="693">
        <f>SUMIFS(Imput[[Importe Neto]:[Importe Neto]],Imput[[C. Imp.]:[C. Imp.]],$D414,Imput[[PERIODO Imp.]:[PERIODO Imp.]],CC$9)</f>
        <v>0</v>
      </c>
      <c r="CD414" s="693">
        <f>SUMIFS(Imput[[Importe Neto]:[Importe Neto]],Imput[[C. Imp.]:[C. Imp.]],$D414,Imput[[PERIODO Imp.]:[PERIODO Imp.]],CD$9)</f>
        <v>0</v>
      </c>
      <c r="CE414" s="693">
        <f>SUMIFS(Imput[[Importe Neto]:[Importe Neto]],Imput[[C. Imp.]:[C. Imp.]],$D414,Imput[[PERIODO Imp.]:[PERIODO Imp.]],CE$9)</f>
        <v>0</v>
      </c>
      <c r="CF414" s="693">
        <f>SUMIFS(Imput[[Importe Neto]:[Importe Neto]],Imput[[C. Imp.]:[C. Imp.]],$D414,Imput[[PERIODO Imp.]:[PERIODO Imp.]],CF$9)</f>
        <v>0</v>
      </c>
      <c r="CG414" s="693">
        <f>SUMIFS(Imput[[Importe Neto]:[Importe Neto]],Imput[[C. Imp.]:[C. Imp.]],$D414,Imput[[PERIODO Imp.]:[PERIODO Imp.]],CG$9)</f>
        <v>0</v>
      </c>
      <c r="CH414" s="693">
        <f>SUMIFS(Imput[[Importe Neto]:[Importe Neto]],Imput[[C. Imp.]:[C. Imp.]],$D414,Imput[[PERIODO Imp.]:[PERIODO Imp.]],CH$9)</f>
        <v>0</v>
      </c>
      <c r="CI414" s="693">
        <f>SUMIFS(Imput[[Importe Neto]:[Importe Neto]],Imput[[C. Imp.]:[C. Imp.]],$D414,Imput[[PERIODO Imp.]:[PERIODO Imp.]],CI$9)</f>
        <v>0</v>
      </c>
      <c r="CJ414" s="693">
        <f>SUMIFS(Imput[[Importe Neto]:[Importe Neto]],Imput[[C. Imp.]:[C. Imp.]],$D414,Imput[[PERIODO Imp.]:[PERIODO Imp.]],CJ$9)</f>
        <v>0</v>
      </c>
      <c r="CK414" s="693">
        <f>SUMIFS(Imput[[Importe Neto]:[Importe Neto]],Imput[[C. Imp.]:[C. Imp.]],$D414,Imput[[PERIODO Imp.]:[PERIODO Imp.]],CK$9)</f>
        <v>0</v>
      </c>
      <c r="CL414" s="693">
        <f>SUMIFS(Imput[[Importe Neto]:[Importe Neto]],Imput[[C. Imp.]:[C. Imp.]],$D414,Imput[[PERIODO Imp.]:[PERIODO Imp.]],CL$9)</f>
        <v>0</v>
      </c>
      <c r="CM414" s="693">
        <f>SUMIFS(Imput[[Importe Neto]:[Importe Neto]],Imput[[C. Imp.]:[C. Imp.]],$D414,Imput[[PERIODO Imp.]:[PERIODO Imp.]],CM$9)</f>
        <v>0</v>
      </c>
      <c r="CN414" s="693">
        <f>SUMIFS(Imput[[Importe Neto]:[Importe Neto]],Imput[[C. Imp.]:[C. Imp.]],$D414,Imput[[PERIODO Imp.]:[PERIODO Imp.]],CN$9)</f>
        <v>0</v>
      </c>
      <c r="CO414" s="693">
        <f>SUMIFS(Imput[[Importe Neto]:[Importe Neto]],Imput[[C. Imp.]:[C. Imp.]],$D414,Imput[[PERIODO Imp.]:[PERIODO Imp.]],CO$9)</f>
        <v>0</v>
      </c>
      <c r="CP414" s="693">
        <f>SUMIFS(Imput[[Importe Neto]:[Importe Neto]],Imput[[C. Imp.]:[C. Imp.]],$D414,Imput[[PERIODO Imp.]:[PERIODO Imp.]],CP$9)</f>
        <v>0</v>
      </c>
      <c r="CQ414" s="693">
        <f>SUMIFS(Imput[[Importe Neto]:[Importe Neto]],Imput[[C. Imp.]:[C. Imp.]],$D414,Imput[[PERIODO Imp.]:[PERIODO Imp.]],CQ$9)</f>
        <v>0</v>
      </c>
      <c r="CR414" s="693">
        <f>SUMIFS(Imput[[Importe Neto]:[Importe Neto]],Imput[[C. Imp.]:[C. Imp.]],$D414,Imput[[PERIODO Imp.]:[PERIODO Imp.]],CR$9)</f>
        <v>0</v>
      </c>
      <c r="CS414" s="693">
        <f>SUMIFS(Imput[[Importe Neto]:[Importe Neto]],Imput[[C. Imp.]:[C. Imp.]],$D414,Imput[[PERIODO Imp.]:[PERIODO Imp.]],CS$9)</f>
        <v>0</v>
      </c>
      <c r="CT414" s="693">
        <f>SUMIFS(Imput[[Importe Neto]:[Importe Neto]],Imput[[C. Imp.]:[C. Imp.]],$D414,Imput[[PERIODO Imp.]:[PERIODO Imp.]],CT$9)</f>
        <v>0</v>
      </c>
      <c r="CU414" s="693">
        <f>SUMIFS(Imput[[Importe Neto]:[Importe Neto]],Imput[[C. Imp.]:[C. Imp.]],$D414,Imput[[PERIODO Imp.]:[PERIODO Imp.]],CU$9)</f>
        <v>0</v>
      </c>
      <c r="CV414" s="693">
        <f>SUMIFS(Imput[[Importe Neto]:[Importe Neto]],Imput[[C. Imp.]:[C. Imp.]],$D414,Imput[[PERIODO Imp.]:[PERIODO Imp.]],CV$9)</f>
        <v>0</v>
      </c>
      <c r="CW414" s="693">
        <f>SUMIFS(Imput[[Importe Neto]:[Importe Neto]],Imput[[C. Imp.]:[C. Imp.]],$D414,Imput[[PERIODO Imp.]:[PERIODO Imp.]],CW$9)</f>
        <v>0</v>
      </c>
      <c r="CX414" s="693">
        <f>SUMIFS(Imput[[Importe Neto]:[Importe Neto]],Imput[[C. Imp.]:[C. Imp.]],$D414,Imput[[PERIODO Imp.]:[PERIODO Imp.]],CX$9)</f>
        <v>0</v>
      </c>
      <c r="CY414" s="693">
        <f>SUMIFS(Imput[[Importe Neto]:[Importe Neto]],Imput[[C. Imp.]:[C. Imp.]],$D414,Imput[[PERIODO Imp.]:[PERIODO Imp.]],CY$9)</f>
        <v>0</v>
      </c>
      <c r="CZ414" s="693">
        <f>SUMIFS(Imput[[Importe Neto]:[Importe Neto]],Imput[[C. Imp.]:[C. Imp.]],$D414,Imput[[PERIODO Imp.]:[PERIODO Imp.]],CZ$9)</f>
        <v>0</v>
      </c>
      <c r="DA414" s="693">
        <f>SUMIFS(Imput[[Importe Neto]:[Importe Neto]],Imput[[C. Imp.]:[C. Imp.]],$D414,Imput[[PERIODO Imp.]:[PERIODO Imp.]],DA$9)</f>
        <v>0</v>
      </c>
      <c r="DB414" s="693">
        <f>SUMIFS(Imput[[Importe Neto]:[Importe Neto]],Imput[[C. Imp.]:[C. Imp.]],$D414,Imput[[PERIODO Imp.]:[PERIODO Imp.]],DB$9)</f>
        <v>0</v>
      </c>
      <c r="DC414" s="693">
        <f>SUMIFS(Imput[[Importe Neto]:[Importe Neto]],Imput[[C. Imp.]:[C. Imp.]],$D414,Imput[[PERIODO Imp.]:[PERIODO Imp.]],DC$9)</f>
        <v>0</v>
      </c>
      <c r="DD414" s="693">
        <f>SUMIFS(Imput[[Importe Neto]:[Importe Neto]],Imput[[C. Imp.]:[C. Imp.]],$D414,Imput[[PERIODO Imp.]:[PERIODO Imp.]],DD$9)</f>
        <v>0</v>
      </c>
      <c r="DE414" s="693">
        <f>SUMIFS(Imput[[Importe Neto]:[Importe Neto]],Imput[[C. Imp.]:[C. Imp.]],$D414,Imput[[PERIODO Imp.]:[PERIODO Imp.]],DE$9)</f>
        <v>0</v>
      </c>
      <c r="DF414" s="693">
        <f>SUMIFS(Imput[[Importe Neto]:[Importe Neto]],Imput[[C. Imp.]:[C. Imp.]],$D414,Imput[[PERIODO Imp.]:[PERIODO Imp.]],DF$9)</f>
        <v>0</v>
      </c>
      <c r="DG414" s="693">
        <f>SUMIFS(Imput[[Importe Neto]:[Importe Neto]],Imput[[C. Imp.]:[C. Imp.]],$D414,Imput[[PERIODO Imp.]:[PERIODO Imp.]],DG$9)</f>
        <v>0</v>
      </c>
      <c r="DH414" s="694">
        <f>SUMIFS(Imput[[Importe Neto]:[Importe Neto]],Imput[[C. Imp.]:[C. Imp.]],$D414,Imput[[PERIODO Imp.]:[PERIODO Imp.]],DH$9)</f>
        <v>0</v>
      </c>
    </row>
    <row r="415" spans="1:112" s="649" customFormat="1" hidden="1" outlineLevel="1" x14ac:dyDescent="0.3">
      <c r="A415" s="652" t="str">
        <f t="shared" si="164"/>
        <v/>
      </c>
      <c r="B415" s="652"/>
      <c r="C415" s="685"/>
      <c r="D415" s="686" t="s">
        <v>2471</v>
      </c>
      <c r="E415" s="686"/>
      <c r="F415" s="720"/>
      <c r="G415" s="688"/>
      <c r="H415" s="689"/>
      <c r="I415" s="851" t="str">
        <f t="shared" si="165"/>
        <v/>
      </c>
      <c r="J415" s="852" t="str">
        <f t="shared" si="166"/>
        <v/>
      </c>
      <c r="K415" s="667"/>
      <c r="L415" s="858"/>
      <c r="M415" s="859"/>
      <c r="N415" s="859"/>
      <c r="O415" s="859"/>
      <c r="P415" s="859"/>
      <c r="Q415" s="859"/>
      <c r="R415" s="859"/>
      <c r="S415" s="859"/>
      <c r="T415" s="859"/>
      <c r="U415" s="859"/>
      <c r="V415" s="859"/>
      <c r="W415" s="859"/>
      <c r="X415" s="859"/>
      <c r="Y415" s="859"/>
      <c r="Z415" s="860"/>
      <c r="AA415" s="860"/>
      <c r="AB415" s="860"/>
      <c r="AC415" s="860"/>
      <c r="AD415" s="860"/>
      <c r="AE415" s="860"/>
      <c r="AF415" s="860"/>
      <c r="AG415" s="860"/>
      <c r="AH415" s="860"/>
      <c r="AI415" s="860"/>
      <c r="AJ415" s="860"/>
      <c r="AK415" s="860"/>
      <c r="AL415" s="860"/>
      <c r="AM415" s="860"/>
      <c r="AN415" s="860"/>
      <c r="AO415" s="860"/>
      <c r="AP415" s="860"/>
      <c r="AQ415" s="860"/>
      <c r="AR415" s="860"/>
      <c r="AS415" s="860"/>
      <c r="AT415" s="860"/>
      <c r="AU415" s="860"/>
      <c r="AV415" s="860"/>
      <c r="AW415" s="860"/>
      <c r="AX415" s="860"/>
      <c r="AY415" s="860"/>
      <c r="AZ415" s="860"/>
      <c r="BA415" s="860"/>
      <c r="BB415" s="860"/>
      <c r="BC415" s="860"/>
      <c r="BD415" s="860"/>
      <c r="BE415" s="860"/>
      <c r="BF415" s="860"/>
      <c r="BG415" s="860"/>
      <c r="BH415" s="668"/>
      <c r="BI415" s="667"/>
      <c r="BJ415" s="690">
        <f t="shared" si="167"/>
        <v>0</v>
      </c>
      <c r="BK415" s="691">
        <f t="shared" si="168"/>
        <v>0</v>
      </c>
      <c r="BL415" s="654"/>
      <c r="BM415" s="692">
        <f>SUMIFS(Imput[[Importe Neto]:[Importe Neto]],Imput[[C. Imp.]:[C. Imp.]],$D415,Imput[[PERIODO Imp.]:[PERIODO Imp.]],BM$9)</f>
        <v>0</v>
      </c>
      <c r="BN415" s="693">
        <f>SUMIFS(Imput[[Importe Neto]:[Importe Neto]],Imput[[C. Imp.]:[C. Imp.]],$D415,Imput[[PERIODO Imp.]:[PERIODO Imp.]],BN$9)</f>
        <v>0</v>
      </c>
      <c r="BO415" s="693">
        <f>SUMIFS(Imput[[Importe Neto]:[Importe Neto]],Imput[[C. Imp.]:[C. Imp.]],$D415,Imput[[PERIODO Imp.]:[PERIODO Imp.]],BO$9)</f>
        <v>0</v>
      </c>
      <c r="BP415" s="693">
        <f>SUMIFS(Imput[[Importe Neto]:[Importe Neto]],Imput[[C. Imp.]:[C. Imp.]],$D415,Imput[[PERIODO Imp.]:[PERIODO Imp.]],BP$9)</f>
        <v>0</v>
      </c>
      <c r="BQ415" s="693">
        <f>SUMIFS(Imput[[Importe Neto]:[Importe Neto]],Imput[[C. Imp.]:[C. Imp.]],$D415,Imput[[PERIODO Imp.]:[PERIODO Imp.]],BQ$9)</f>
        <v>0</v>
      </c>
      <c r="BR415" s="693">
        <f>SUMIFS(Imput[[Importe Neto]:[Importe Neto]],Imput[[C. Imp.]:[C. Imp.]],$D415,Imput[[PERIODO Imp.]:[PERIODO Imp.]],BR$9)</f>
        <v>0</v>
      </c>
      <c r="BS415" s="693">
        <f>SUMIFS(Imput[[Importe Neto]:[Importe Neto]],Imput[[C. Imp.]:[C. Imp.]],$D415,Imput[[PERIODO Imp.]:[PERIODO Imp.]],BS$9)</f>
        <v>0</v>
      </c>
      <c r="BT415" s="693">
        <f>SUMIFS(Imput[[Importe Neto]:[Importe Neto]],Imput[[C. Imp.]:[C. Imp.]],$D415,Imput[[PERIODO Imp.]:[PERIODO Imp.]],BT$9)</f>
        <v>0</v>
      </c>
      <c r="BU415" s="693">
        <f>SUMIFS(Imput[[Importe Neto]:[Importe Neto]],Imput[[C. Imp.]:[C. Imp.]],$D415,Imput[[PERIODO Imp.]:[PERIODO Imp.]],BU$9)</f>
        <v>0</v>
      </c>
      <c r="BV415" s="693">
        <f>SUMIFS(Imput[[Importe Neto]:[Importe Neto]],Imput[[C. Imp.]:[C. Imp.]],$D415,Imput[[PERIODO Imp.]:[PERIODO Imp.]],BV$9)</f>
        <v>0</v>
      </c>
      <c r="BW415" s="693">
        <f>SUMIFS(Imput[[Importe Neto]:[Importe Neto]],Imput[[C. Imp.]:[C. Imp.]],$D415,Imput[[PERIODO Imp.]:[PERIODO Imp.]],BW$9)</f>
        <v>0</v>
      </c>
      <c r="BX415" s="693">
        <f>SUMIFS(Imput[[Importe Neto]:[Importe Neto]],Imput[[C. Imp.]:[C. Imp.]],$D415,Imput[[PERIODO Imp.]:[PERIODO Imp.]],BX$9)</f>
        <v>0</v>
      </c>
      <c r="BY415" s="693">
        <f>SUMIFS(Imput[[Importe Neto]:[Importe Neto]],Imput[[C. Imp.]:[C. Imp.]],$D415,Imput[[PERIODO Imp.]:[PERIODO Imp.]],BY$9)</f>
        <v>0</v>
      </c>
      <c r="BZ415" s="693">
        <f>SUMIFS(Imput[[Importe Neto]:[Importe Neto]],Imput[[C. Imp.]:[C. Imp.]],$D415,Imput[[PERIODO Imp.]:[PERIODO Imp.]],BZ$9)</f>
        <v>0</v>
      </c>
      <c r="CA415" s="693">
        <f>SUMIFS(Imput[[Importe Neto]:[Importe Neto]],Imput[[C. Imp.]:[C. Imp.]],$D415,Imput[[PERIODO Imp.]:[PERIODO Imp.]],CA$9)</f>
        <v>0</v>
      </c>
      <c r="CB415" s="693">
        <f>SUMIFS(Imput[[Importe Neto]:[Importe Neto]],Imput[[C. Imp.]:[C. Imp.]],$D415,Imput[[PERIODO Imp.]:[PERIODO Imp.]],CB$9)</f>
        <v>0</v>
      </c>
      <c r="CC415" s="693">
        <f>SUMIFS(Imput[[Importe Neto]:[Importe Neto]],Imput[[C. Imp.]:[C. Imp.]],$D415,Imput[[PERIODO Imp.]:[PERIODO Imp.]],CC$9)</f>
        <v>0</v>
      </c>
      <c r="CD415" s="693">
        <f>SUMIFS(Imput[[Importe Neto]:[Importe Neto]],Imput[[C. Imp.]:[C. Imp.]],$D415,Imput[[PERIODO Imp.]:[PERIODO Imp.]],CD$9)</f>
        <v>0</v>
      </c>
      <c r="CE415" s="693">
        <f>SUMIFS(Imput[[Importe Neto]:[Importe Neto]],Imput[[C. Imp.]:[C. Imp.]],$D415,Imput[[PERIODO Imp.]:[PERIODO Imp.]],CE$9)</f>
        <v>0</v>
      </c>
      <c r="CF415" s="693">
        <f>SUMIFS(Imput[[Importe Neto]:[Importe Neto]],Imput[[C. Imp.]:[C. Imp.]],$D415,Imput[[PERIODO Imp.]:[PERIODO Imp.]],CF$9)</f>
        <v>0</v>
      </c>
      <c r="CG415" s="693">
        <f>SUMIFS(Imput[[Importe Neto]:[Importe Neto]],Imput[[C. Imp.]:[C. Imp.]],$D415,Imput[[PERIODO Imp.]:[PERIODO Imp.]],CG$9)</f>
        <v>0</v>
      </c>
      <c r="CH415" s="693">
        <f>SUMIFS(Imput[[Importe Neto]:[Importe Neto]],Imput[[C. Imp.]:[C. Imp.]],$D415,Imput[[PERIODO Imp.]:[PERIODO Imp.]],CH$9)</f>
        <v>0</v>
      </c>
      <c r="CI415" s="693">
        <f>SUMIFS(Imput[[Importe Neto]:[Importe Neto]],Imput[[C. Imp.]:[C. Imp.]],$D415,Imput[[PERIODO Imp.]:[PERIODO Imp.]],CI$9)</f>
        <v>0</v>
      </c>
      <c r="CJ415" s="693">
        <f>SUMIFS(Imput[[Importe Neto]:[Importe Neto]],Imput[[C. Imp.]:[C. Imp.]],$D415,Imput[[PERIODO Imp.]:[PERIODO Imp.]],CJ$9)</f>
        <v>0</v>
      </c>
      <c r="CK415" s="693">
        <f>SUMIFS(Imput[[Importe Neto]:[Importe Neto]],Imput[[C. Imp.]:[C. Imp.]],$D415,Imput[[PERIODO Imp.]:[PERIODO Imp.]],CK$9)</f>
        <v>0</v>
      </c>
      <c r="CL415" s="693">
        <f>SUMIFS(Imput[[Importe Neto]:[Importe Neto]],Imput[[C. Imp.]:[C. Imp.]],$D415,Imput[[PERIODO Imp.]:[PERIODO Imp.]],CL$9)</f>
        <v>0</v>
      </c>
      <c r="CM415" s="693">
        <f>SUMIFS(Imput[[Importe Neto]:[Importe Neto]],Imput[[C. Imp.]:[C. Imp.]],$D415,Imput[[PERIODO Imp.]:[PERIODO Imp.]],CM$9)</f>
        <v>0</v>
      </c>
      <c r="CN415" s="693">
        <f>SUMIFS(Imput[[Importe Neto]:[Importe Neto]],Imput[[C. Imp.]:[C. Imp.]],$D415,Imput[[PERIODO Imp.]:[PERIODO Imp.]],CN$9)</f>
        <v>0</v>
      </c>
      <c r="CO415" s="693">
        <f>SUMIFS(Imput[[Importe Neto]:[Importe Neto]],Imput[[C. Imp.]:[C. Imp.]],$D415,Imput[[PERIODO Imp.]:[PERIODO Imp.]],CO$9)</f>
        <v>0</v>
      </c>
      <c r="CP415" s="693">
        <f>SUMIFS(Imput[[Importe Neto]:[Importe Neto]],Imput[[C. Imp.]:[C. Imp.]],$D415,Imput[[PERIODO Imp.]:[PERIODO Imp.]],CP$9)</f>
        <v>0</v>
      </c>
      <c r="CQ415" s="693">
        <f>SUMIFS(Imput[[Importe Neto]:[Importe Neto]],Imput[[C. Imp.]:[C. Imp.]],$D415,Imput[[PERIODO Imp.]:[PERIODO Imp.]],CQ$9)</f>
        <v>0</v>
      </c>
      <c r="CR415" s="693">
        <f>SUMIFS(Imput[[Importe Neto]:[Importe Neto]],Imput[[C. Imp.]:[C. Imp.]],$D415,Imput[[PERIODO Imp.]:[PERIODO Imp.]],CR$9)</f>
        <v>0</v>
      </c>
      <c r="CS415" s="693">
        <f>SUMIFS(Imput[[Importe Neto]:[Importe Neto]],Imput[[C. Imp.]:[C. Imp.]],$D415,Imput[[PERIODO Imp.]:[PERIODO Imp.]],CS$9)</f>
        <v>0</v>
      </c>
      <c r="CT415" s="693">
        <f>SUMIFS(Imput[[Importe Neto]:[Importe Neto]],Imput[[C. Imp.]:[C. Imp.]],$D415,Imput[[PERIODO Imp.]:[PERIODO Imp.]],CT$9)</f>
        <v>0</v>
      </c>
      <c r="CU415" s="693">
        <f>SUMIFS(Imput[[Importe Neto]:[Importe Neto]],Imput[[C. Imp.]:[C. Imp.]],$D415,Imput[[PERIODO Imp.]:[PERIODO Imp.]],CU$9)</f>
        <v>0</v>
      </c>
      <c r="CV415" s="693">
        <f>SUMIFS(Imput[[Importe Neto]:[Importe Neto]],Imput[[C. Imp.]:[C. Imp.]],$D415,Imput[[PERIODO Imp.]:[PERIODO Imp.]],CV$9)</f>
        <v>0</v>
      </c>
      <c r="CW415" s="693">
        <f>SUMIFS(Imput[[Importe Neto]:[Importe Neto]],Imput[[C. Imp.]:[C. Imp.]],$D415,Imput[[PERIODO Imp.]:[PERIODO Imp.]],CW$9)</f>
        <v>0</v>
      </c>
      <c r="CX415" s="693">
        <f>SUMIFS(Imput[[Importe Neto]:[Importe Neto]],Imput[[C. Imp.]:[C. Imp.]],$D415,Imput[[PERIODO Imp.]:[PERIODO Imp.]],CX$9)</f>
        <v>0</v>
      </c>
      <c r="CY415" s="693">
        <f>SUMIFS(Imput[[Importe Neto]:[Importe Neto]],Imput[[C. Imp.]:[C. Imp.]],$D415,Imput[[PERIODO Imp.]:[PERIODO Imp.]],CY$9)</f>
        <v>0</v>
      </c>
      <c r="CZ415" s="693">
        <f>SUMIFS(Imput[[Importe Neto]:[Importe Neto]],Imput[[C. Imp.]:[C. Imp.]],$D415,Imput[[PERIODO Imp.]:[PERIODO Imp.]],CZ$9)</f>
        <v>0</v>
      </c>
      <c r="DA415" s="693">
        <f>SUMIFS(Imput[[Importe Neto]:[Importe Neto]],Imput[[C. Imp.]:[C. Imp.]],$D415,Imput[[PERIODO Imp.]:[PERIODO Imp.]],DA$9)</f>
        <v>0</v>
      </c>
      <c r="DB415" s="693">
        <f>SUMIFS(Imput[[Importe Neto]:[Importe Neto]],Imput[[C. Imp.]:[C. Imp.]],$D415,Imput[[PERIODO Imp.]:[PERIODO Imp.]],DB$9)</f>
        <v>0</v>
      </c>
      <c r="DC415" s="693">
        <f>SUMIFS(Imput[[Importe Neto]:[Importe Neto]],Imput[[C. Imp.]:[C. Imp.]],$D415,Imput[[PERIODO Imp.]:[PERIODO Imp.]],DC$9)</f>
        <v>0</v>
      </c>
      <c r="DD415" s="693">
        <f>SUMIFS(Imput[[Importe Neto]:[Importe Neto]],Imput[[C. Imp.]:[C. Imp.]],$D415,Imput[[PERIODO Imp.]:[PERIODO Imp.]],DD$9)</f>
        <v>0</v>
      </c>
      <c r="DE415" s="693">
        <f>SUMIFS(Imput[[Importe Neto]:[Importe Neto]],Imput[[C. Imp.]:[C. Imp.]],$D415,Imput[[PERIODO Imp.]:[PERIODO Imp.]],DE$9)</f>
        <v>0</v>
      </c>
      <c r="DF415" s="693">
        <f>SUMIFS(Imput[[Importe Neto]:[Importe Neto]],Imput[[C. Imp.]:[C. Imp.]],$D415,Imput[[PERIODO Imp.]:[PERIODO Imp.]],DF$9)</f>
        <v>0</v>
      </c>
      <c r="DG415" s="693">
        <f>SUMIFS(Imput[[Importe Neto]:[Importe Neto]],Imput[[C. Imp.]:[C. Imp.]],$D415,Imput[[PERIODO Imp.]:[PERIODO Imp.]],DG$9)</f>
        <v>0</v>
      </c>
      <c r="DH415" s="694">
        <f>SUMIFS(Imput[[Importe Neto]:[Importe Neto]],Imput[[C. Imp.]:[C. Imp.]],$D415,Imput[[PERIODO Imp.]:[PERIODO Imp.]],DH$9)</f>
        <v>0</v>
      </c>
    </row>
    <row r="416" spans="1:112" s="649" customFormat="1" hidden="1" outlineLevel="1" x14ac:dyDescent="0.3">
      <c r="A416" s="652" t="str">
        <f t="shared" si="164"/>
        <v/>
      </c>
      <c r="B416" s="652"/>
      <c r="C416" s="685"/>
      <c r="D416" s="686" t="s">
        <v>2472</v>
      </c>
      <c r="E416" s="686"/>
      <c r="F416" s="720"/>
      <c r="G416" s="688"/>
      <c r="H416" s="689"/>
      <c r="I416" s="851" t="str">
        <f t="shared" si="165"/>
        <v/>
      </c>
      <c r="J416" s="517" t="str">
        <f t="shared" si="166"/>
        <v/>
      </c>
      <c r="K416" s="667"/>
      <c r="L416" s="858"/>
      <c r="M416" s="859"/>
      <c r="N416" s="859"/>
      <c r="O416" s="859"/>
      <c r="P416" s="859"/>
      <c r="Q416" s="859"/>
      <c r="R416" s="859"/>
      <c r="S416" s="859"/>
      <c r="T416" s="859"/>
      <c r="U416" s="859"/>
      <c r="V416" s="859"/>
      <c r="W416" s="859"/>
      <c r="X416" s="859"/>
      <c r="Y416" s="859"/>
      <c r="Z416" s="860"/>
      <c r="AA416" s="860"/>
      <c r="AB416" s="860"/>
      <c r="AC416" s="860"/>
      <c r="AD416" s="860"/>
      <c r="AE416" s="860"/>
      <c r="AF416" s="860"/>
      <c r="AG416" s="860"/>
      <c r="AH416" s="860"/>
      <c r="AI416" s="860"/>
      <c r="AJ416" s="860"/>
      <c r="AK416" s="860"/>
      <c r="AL416" s="860"/>
      <c r="AM416" s="860"/>
      <c r="AN416" s="860"/>
      <c r="AO416" s="860"/>
      <c r="AP416" s="860"/>
      <c r="AQ416" s="860"/>
      <c r="AR416" s="860"/>
      <c r="AS416" s="860"/>
      <c r="AT416" s="860"/>
      <c r="AU416" s="860"/>
      <c r="AV416" s="860"/>
      <c r="AW416" s="860"/>
      <c r="AX416" s="860"/>
      <c r="AY416" s="860"/>
      <c r="AZ416" s="860"/>
      <c r="BA416" s="860"/>
      <c r="BB416" s="860"/>
      <c r="BC416" s="860"/>
      <c r="BD416" s="860"/>
      <c r="BE416" s="860"/>
      <c r="BF416" s="860"/>
      <c r="BG416" s="860"/>
      <c r="BH416" s="668"/>
      <c r="BI416" s="667"/>
      <c r="BJ416" s="690">
        <f t="shared" si="167"/>
        <v>0</v>
      </c>
      <c r="BK416" s="691">
        <f t="shared" si="168"/>
        <v>0</v>
      </c>
      <c r="BL416" s="654"/>
      <c r="BM416" s="692">
        <f>SUMIFS(Imput[[Importe Neto]:[Importe Neto]],Imput[[C. Imp.]:[C. Imp.]],$D416,Imput[[PERIODO Imp.]:[PERIODO Imp.]],BM$9)</f>
        <v>0</v>
      </c>
      <c r="BN416" s="693">
        <f>SUMIFS(Imput[[Importe Neto]:[Importe Neto]],Imput[[C. Imp.]:[C. Imp.]],$D416,Imput[[PERIODO Imp.]:[PERIODO Imp.]],BN$9)</f>
        <v>0</v>
      </c>
      <c r="BO416" s="693">
        <f>SUMIFS(Imput[[Importe Neto]:[Importe Neto]],Imput[[C. Imp.]:[C. Imp.]],$D416,Imput[[PERIODO Imp.]:[PERIODO Imp.]],BO$9)</f>
        <v>0</v>
      </c>
      <c r="BP416" s="693">
        <f>SUMIFS(Imput[[Importe Neto]:[Importe Neto]],Imput[[C. Imp.]:[C. Imp.]],$D416,Imput[[PERIODO Imp.]:[PERIODO Imp.]],BP$9)</f>
        <v>0</v>
      </c>
      <c r="BQ416" s="693">
        <f>SUMIFS(Imput[[Importe Neto]:[Importe Neto]],Imput[[C. Imp.]:[C. Imp.]],$D416,Imput[[PERIODO Imp.]:[PERIODO Imp.]],BQ$9)</f>
        <v>0</v>
      </c>
      <c r="BR416" s="693">
        <f>SUMIFS(Imput[[Importe Neto]:[Importe Neto]],Imput[[C. Imp.]:[C. Imp.]],$D416,Imput[[PERIODO Imp.]:[PERIODO Imp.]],BR$9)</f>
        <v>0</v>
      </c>
      <c r="BS416" s="693">
        <f>SUMIFS(Imput[[Importe Neto]:[Importe Neto]],Imput[[C. Imp.]:[C. Imp.]],$D416,Imput[[PERIODO Imp.]:[PERIODO Imp.]],BS$9)</f>
        <v>0</v>
      </c>
      <c r="BT416" s="693">
        <f>SUMIFS(Imput[[Importe Neto]:[Importe Neto]],Imput[[C. Imp.]:[C. Imp.]],$D416,Imput[[PERIODO Imp.]:[PERIODO Imp.]],BT$9)</f>
        <v>0</v>
      </c>
      <c r="BU416" s="693">
        <f>SUMIFS(Imput[[Importe Neto]:[Importe Neto]],Imput[[C. Imp.]:[C. Imp.]],$D416,Imput[[PERIODO Imp.]:[PERIODO Imp.]],BU$9)</f>
        <v>0</v>
      </c>
      <c r="BV416" s="693">
        <f>SUMIFS(Imput[[Importe Neto]:[Importe Neto]],Imput[[C. Imp.]:[C. Imp.]],$D416,Imput[[PERIODO Imp.]:[PERIODO Imp.]],BV$9)</f>
        <v>0</v>
      </c>
      <c r="BW416" s="693">
        <f>SUMIFS(Imput[[Importe Neto]:[Importe Neto]],Imput[[C. Imp.]:[C. Imp.]],$D416,Imput[[PERIODO Imp.]:[PERIODO Imp.]],BW$9)</f>
        <v>0</v>
      </c>
      <c r="BX416" s="693">
        <f>SUMIFS(Imput[[Importe Neto]:[Importe Neto]],Imput[[C. Imp.]:[C. Imp.]],$D416,Imput[[PERIODO Imp.]:[PERIODO Imp.]],BX$9)</f>
        <v>0</v>
      </c>
      <c r="BY416" s="693">
        <f>SUMIFS(Imput[[Importe Neto]:[Importe Neto]],Imput[[C. Imp.]:[C. Imp.]],$D416,Imput[[PERIODO Imp.]:[PERIODO Imp.]],BY$9)</f>
        <v>0</v>
      </c>
      <c r="BZ416" s="693">
        <f>SUMIFS(Imput[[Importe Neto]:[Importe Neto]],Imput[[C. Imp.]:[C. Imp.]],$D416,Imput[[PERIODO Imp.]:[PERIODO Imp.]],BZ$9)</f>
        <v>0</v>
      </c>
      <c r="CA416" s="693">
        <f>SUMIFS(Imput[[Importe Neto]:[Importe Neto]],Imput[[C. Imp.]:[C. Imp.]],$D416,Imput[[PERIODO Imp.]:[PERIODO Imp.]],CA$9)</f>
        <v>0</v>
      </c>
      <c r="CB416" s="693">
        <f>SUMIFS(Imput[[Importe Neto]:[Importe Neto]],Imput[[C. Imp.]:[C. Imp.]],$D416,Imput[[PERIODO Imp.]:[PERIODO Imp.]],CB$9)</f>
        <v>0</v>
      </c>
      <c r="CC416" s="693">
        <f>SUMIFS(Imput[[Importe Neto]:[Importe Neto]],Imput[[C. Imp.]:[C. Imp.]],$D416,Imput[[PERIODO Imp.]:[PERIODO Imp.]],CC$9)</f>
        <v>0</v>
      </c>
      <c r="CD416" s="693">
        <f>SUMIFS(Imput[[Importe Neto]:[Importe Neto]],Imput[[C. Imp.]:[C. Imp.]],$D416,Imput[[PERIODO Imp.]:[PERIODO Imp.]],CD$9)</f>
        <v>0</v>
      </c>
      <c r="CE416" s="693">
        <f>SUMIFS(Imput[[Importe Neto]:[Importe Neto]],Imput[[C. Imp.]:[C. Imp.]],$D416,Imput[[PERIODO Imp.]:[PERIODO Imp.]],CE$9)</f>
        <v>0</v>
      </c>
      <c r="CF416" s="693">
        <f>SUMIFS(Imput[[Importe Neto]:[Importe Neto]],Imput[[C. Imp.]:[C. Imp.]],$D416,Imput[[PERIODO Imp.]:[PERIODO Imp.]],CF$9)</f>
        <v>0</v>
      </c>
      <c r="CG416" s="693">
        <f>SUMIFS(Imput[[Importe Neto]:[Importe Neto]],Imput[[C. Imp.]:[C. Imp.]],$D416,Imput[[PERIODO Imp.]:[PERIODO Imp.]],CG$9)</f>
        <v>0</v>
      </c>
      <c r="CH416" s="693">
        <f>SUMIFS(Imput[[Importe Neto]:[Importe Neto]],Imput[[C. Imp.]:[C. Imp.]],$D416,Imput[[PERIODO Imp.]:[PERIODO Imp.]],CH$9)</f>
        <v>0</v>
      </c>
      <c r="CI416" s="693">
        <f>SUMIFS(Imput[[Importe Neto]:[Importe Neto]],Imput[[C. Imp.]:[C. Imp.]],$D416,Imput[[PERIODO Imp.]:[PERIODO Imp.]],CI$9)</f>
        <v>0</v>
      </c>
      <c r="CJ416" s="693">
        <f>SUMIFS(Imput[[Importe Neto]:[Importe Neto]],Imput[[C. Imp.]:[C. Imp.]],$D416,Imput[[PERIODO Imp.]:[PERIODO Imp.]],CJ$9)</f>
        <v>0</v>
      </c>
      <c r="CK416" s="693">
        <f>SUMIFS(Imput[[Importe Neto]:[Importe Neto]],Imput[[C. Imp.]:[C. Imp.]],$D416,Imput[[PERIODO Imp.]:[PERIODO Imp.]],CK$9)</f>
        <v>0</v>
      </c>
      <c r="CL416" s="693">
        <f>SUMIFS(Imput[[Importe Neto]:[Importe Neto]],Imput[[C. Imp.]:[C. Imp.]],$D416,Imput[[PERIODO Imp.]:[PERIODO Imp.]],CL$9)</f>
        <v>0</v>
      </c>
      <c r="CM416" s="693">
        <f>SUMIFS(Imput[[Importe Neto]:[Importe Neto]],Imput[[C. Imp.]:[C. Imp.]],$D416,Imput[[PERIODO Imp.]:[PERIODO Imp.]],CM$9)</f>
        <v>0</v>
      </c>
      <c r="CN416" s="693">
        <f>SUMIFS(Imput[[Importe Neto]:[Importe Neto]],Imput[[C. Imp.]:[C. Imp.]],$D416,Imput[[PERIODO Imp.]:[PERIODO Imp.]],CN$9)</f>
        <v>0</v>
      </c>
      <c r="CO416" s="693">
        <f>SUMIFS(Imput[[Importe Neto]:[Importe Neto]],Imput[[C. Imp.]:[C. Imp.]],$D416,Imput[[PERIODO Imp.]:[PERIODO Imp.]],CO$9)</f>
        <v>0</v>
      </c>
      <c r="CP416" s="693">
        <f>SUMIFS(Imput[[Importe Neto]:[Importe Neto]],Imput[[C. Imp.]:[C. Imp.]],$D416,Imput[[PERIODO Imp.]:[PERIODO Imp.]],CP$9)</f>
        <v>0</v>
      </c>
      <c r="CQ416" s="693">
        <f>SUMIFS(Imput[[Importe Neto]:[Importe Neto]],Imput[[C. Imp.]:[C. Imp.]],$D416,Imput[[PERIODO Imp.]:[PERIODO Imp.]],CQ$9)</f>
        <v>0</v>
      </c>
      <c r="CR416" s="693">
        <f>SUMIFS(Imput[[Importe Neto]:[Importe Neto]],Imput[[C. Imp.]:[C. Imp.]],$D416,Imput[[PERIODO Imp.]:[PERIODO Imp.]],CR$9)</f>
        <v>0</v>
      </c>
      <c r="CS416" s="693">
        <f>SUMIFS(Imput[[Importe Neto]:[Importe Neto]],Imput[[C. Imp.]:[C. Imp.]],$D416,Imput[[PERIODO Imp.]:[PERIODO Imp.]],CS$9)</f>
        <v>0</v>
      </c>
      <c r="CT416" s="693">
        <f>SUMIFS(Imput[[Importe Neto]:[Importe Neto]],Imput[[C. Imp.]:[C. Imp.]],$D416,Imput[[PERIODO Imp.]:[PERIODO Imp.]],CT$9)</f>
        <v>0</v>
      </c>
      <c r="CU416" s="693">
        <f>SUMIFS(Imput[[Importe Neto]:[Importe Neto]],Imput[[C. Imp.]:[C. Imp.]],$D416,Imput[[PERIODO Imp.]:[PERIODO Imp.]],CU$9)</f>
        <v>0</v>
      </c>
      <c r="CV416" s="693">
        <f>SUMIFS(Imput[[Importe Neto]:[Importe Neto]],Imput[[C. Imp.]:[C. Imp.]],$D416,Imput[[PERIODO Imp.]:[PERIODO Imp.]],CV$9)</f>
        <v>0</v>
      </c>
      <c r="CW416" s="693">
        <f>SUMIFS(Imput[[Importe Neto]:[Importe Neto]],Imput[[C. Imp.]:[C. Imp.]],$D416,Imput[[PERIODO Imp.]:[PERIODO Imp.]],CW$9)</f>
        <v>0</v>
      </c>
      <c r="CX416" s="693">
        <f>SUMIFS(Imput[[Importe Neto]:[Importe Neto]],Imput[[C. Imp.]:[C. Imp.]],$D416,Imput[[PERIODO Imp.]:[PERIODO Imp.]],CX$9)</f>
        <v>0</v>
      </c>
      <c r="CY416" s="693">
        <f>SUMIFS(Imput[[Importe Neto]:[Importe Neto]],Imput[[C. Imp.]:[C. Imp.]],$D416,Imput[[PERIODO Imp.]:[PERIODO Imp.]],CY$9)</f>
        <v>0</v>
      </c>
      <c r="CZ416" s="693">
        <f>SUMIFS(Imput[[Importe Neto]:[Importe Neto]],Imput[[C. Imp.]:[C. Imp.]],$D416,Imput[[PERIODO Imp.]:[PERIODO Imp.]],CZ$9)</f>
        <v>0</v>
      </c>
      <c r="DA416" s="693">
        <f>SUMIFS(Imput[[Importe Neto]:[Importe Neto]],Imput[[C. Imp.]:[C. Imp.]],$D416,Imput[[PERIODO Imp.]:[PERIODO Imp.]],DA$9)</f>
        <v>0</v>
      </c>
      <c r="DB416" s="693">
        <f>SUMIFS(Imput[[Importe Neto]:[Importe Neto]],Imput[[C. Imp.]:[C. Imp.]],$D416,Imput[[PERIODO Imp.]:[PERIODO Imp.]],DB$9)</f>
        <v>0</v>
      </c>
      <c r="DC416" s="693">
        <f>SUMIFS(Imput[[Importe Neto]:[Importe Neto]],Imput[[C. Imp.]:[C. Imp.]],$D416,Imput[[PERIODO Imp.]:[PERIODO Imp.]],DC$9)</f>
        <v>0</v>
      </c>
      <c r="DD416" s="693">
        <f>SUMIFS(Imput[[Importe Neto]:[Importe Neto]],Imput[[C. Imp.]:[C. Imp.]],$D416,Imput[[PERIODO Imp.]:[PERIODO Imp.]],DD$9)</f>
        <v>0</v>
      </c>
      <c r="DE416" s="693">
        <f>SUMIFS(Imput[[Importe Neto]:[Importe Neto]],Imput[[C. Imp.]:[C. Imp.]],$D416,Imput[[PERIODO Imp.]:[PERIODO Imp.]],DE$9)</f>
        <v>0</v>
      </c>
      <c r="DF416" s="693">
        <f>SUMIFS(Imput[[Importe Neto]:[Importe Neto]],Imput[[C. Imp.]:[C. Imp.]],$D416,Imput[[PERIODO Imp.]:[PERIODO Imp.]],DF$9)</f>
        <v>0</v>
      </c>
      <c r="DG416" s="693">
        <f>SUMIFS(Imput[[Importe Neto]:[Importe Neto]],Imput[[C. Imp.]:[C. Imp.]],$D416,Imput[[PERIODO Imp.]:[PERIODO Imp.]],DG$9)</f>
        <v>0</v>
      </c>
      <c r="DH416" s="694">
        <f>SUMIFS(Imput[[Importe Neto]:[Importe Neto]],Imput[[C. Imp.]:[C. Imp.]],$D416,Imput[[PERIODO Imp.]:[PERIODO Imp.]],DH$9)</f>
        <v>0</v>
      </c>
    </row>
    <row r="417" spans="1:112" s="649" customFormat="1" hidden="1" outlineLevel="1" x14ac:dyDescent="0.3">
      <c r="A417" s="652" t="str">
        <f t="shared" si="164"/>
        <v/>
      </c>
      <c r="B417" s="652"/>
      <c r="C417" s="685"/>
      <c r="D417" s="686" t="s">
        <v>2473</v>
      </c>
      <c r="E417" s="686"/>
      <c r="F417" s="720"/>
      <c r="G417" s="688"/>
      <c r="H417" s="696"/>
      <c r="I417" s="851" t="str">
        <f t="shared" si="165"/>
        <v/>
      </c>
      <c r="J417" s="517" t="str">
        <f t="shared" si="166"/>
        <v/>
      </c>
      <c r="K417" s="667"/>
      <c r="L417" s="858"/>
      <c r="M417" s="859"/>
      <c r="N417" s="859"/>
      <c r="O417" s="859"/>
      <c r="P417" s="859"/>
      <c r="Q417" s="859"/>
      <c r="R417" s="859"/>
      <c r="S417" s="859"/>
      <c r="T417" s="859"/>
      <c r="U417" s="859"/>
      <c r="V417" s="859"/>
      <c r="W417" s="859"/>
      <c r="X417" s="859"/>
      <c r="Y417" s="859"/>
      <c r="Z417" s="860"/>
      <c r="AA417" s="860"/>
      <c r="AB417" s="860"/>
      <c r="AC417" s="860"/>
      <c r="AD417" s="860"/>
      <c r="AE417" s="860"/>
      <c r="AF417" s="860"/>
      <c r="AG417" s="860"/>
      <c r="AH417" s="860"/>
      <c r="AI417" s="860"/>
      <c r="AJ417" s="860"/>
      <c r="AK417" s="860"/>
      <c r="AL417" s="860"/>
      <c r="AM417" s="860"/>
      <c r="AN417" s="860"/>
      <c r="AO417" s="860"/>
      <c r="AP417" s="860"/>
      <c r="AQ417" s="860"/>
      <c r="AR417" s="860"/>
      <c r="AS417" s="860"/>
      <c r="AT417" s="860"/>
      <c r="AU417" s="860"/>
      <c r="AV417" s="860"/>
      <c r="AW417" s="860"/>
      <c r="AX417" s="860"/>
      <c r="AY417" s="860"/>
      <c r="AZ417" s="860"/>
      <c r="BA417" s="860"/>
      <c r="BB417" s="860"/>
      <c r="BC417" s="860"/>
      <c r="BD417" s="860"/>
      <c r="BE417" s="860"/>
      <c r="BF417" s="860"/>
      <c r="BG417" s="860"/>
      <c r="BH417" s="668"/>
      <c r="BI417" s="654"/>
      <c r="BJ417" s="690">
        <f t="shared" si="167"/>
        <v>0</v>
      </c>
      <c r="BK417" s="691">
        <f t="shared" si="168"/>
        <v>0</v>
      </c>
      <c r="BL417" s="654"/>
      <c r="BM417" s="692">
        <f>SUMIFS(Imput[[Importe Neto]:[Importe Neto]],Imput[[C. Imp.]:[C. Imp.]],$D417,Imput[[PERIODO Imp.]:[PERIODO Imp.]],BM$9)</f>
        <v>0</v>
      </c>
      <c r="BN417" s="693">
        <f>SUMIFS(Imput[[Importe Neto]:[Importe Neto]],Imput[[C. Imp.]:[C. Imp.]],$D417,Imput[[PERIODO Imp.]:[PERIODO Imp.]],BN$9)</f>
        <v>0</v>
      </c>
      <c r="BO417" s="693">
        <f>SUMIFS(Imput[[Importe Neto]:[Importe Neto]],Imput[[C. Imp.]:[C. Imp.]],$D417,Imput[[PERIODO Imp.]:[PERIODO Imp.]],BO$9)</f>
        <v>0</v>
      </c>
      <c r="BP417" s="693">
        <f>SUMIFS(Imput[[Importe Neto]:[Importe Neto]],Imput[[C. Imp.]:[C. Imp.]],$D417,Imput[[PERIODO Imp.]:[PERIODO Imp.]],BP$9)</f>
        <v>0</v>
      </c>
      <c r="BQ417" s="693">
        <f>SUMIFS(Imput[[Importe Neto]:[Importe Neto]],Imput[[C. Imp.]:[C. Imp.]],$D417,Imput[[PERIODO Imp.]:[PERIODO Imp.]],BQ$9)</f>
        <v>0</v>
      </c>
      <c r="BR417" s="693">
        <f>SUMIFS(Imput[[Importe Neto]:[Importe Neto]],Imput[[C. Imp.]:[C. Imp.]],$D417,Imput[[PERIODO Imp.]:[PERIODO Imp.]],BR$9)</f>
        <v>0</v>
      </c>
      <c r="BS417" s="693">
        <f>SUMIFS(Imput[[Importe Neto]:[Importe Neto]],Imput[[C. Imp.]:[C. Imp.]],$D417,Imput[[PERIODO Imp.]:[PERIODO Imp.]],BS$9)</f>
        <v>0</v>
      </c>
      <c r="BT417" s="693">
        <f>SUMIFS(Imput[[Importe Neto]:[Importe Neto]],Imput[[C. Imp.]:[C. Imp.]],$D417,Imput[[PERIODO Imp.]:[PERIODO Imp.]],BT$9)</f>
        <v>0</v>
      </c>
      <c r="BU417" s="693">
        <f>SUMIFS(Imput[[Importe Neto]:[Importe Neto]],Imput[[C. Imp.]:[C. Imp.]],$D417,Imput[[PERIODO Imp.]:[PERIODO Imp.]],BU$9)</f>
        <v>0</v>
      </c>
      <c r="BV417" s="693">
        <f>SUMIFS(Imput[[Importe Neto]:[Importe Neto]],Imput[[C. Imp.]:[C. Imp.]],$D417,Imput[[PERIODO Imp.]:[PERIODO Imp.]],BV$9)</f>
        <v>0</v>
      </c>
      <c r="BW417" s="693">
        <f>SUMIFS(Imput[[Importe Neto]:[Importe Neto]],Imput[[C. Imp.]:[C. Imp.]],$D417,Imput[[PERIODO Imp.]:[PERIODO Imp.]],BW$9)</f>
        <v>0</v>
      </c>
      <c r="BX417" s="693">
        <f>SUMIFS(Imput[[Importe Neto]:[Importe Neto]],Imput[[C. Imp.]:[C. Imp.]],$D417,Imput[[PERIODO Imp.]:[PERIODO Imp.]],BX$9)</f>
        <v>0</v>
      </c>
      <c r="BY417" s="693">
        <f>SUMIFS(Imput[[Importe Neto]:[Importe Neto]],Imput[[C. Imp.]:[C. Imp.]],$D417,Imput[[PERIODO Imp.]:[PERIODO Imp.]],BY$9)</f>
        <v>0</v>
      </c>
      <c r="BZ417" s="693">
        <f>SUMIFS(Imput[[Importe Neto]:[Importe Neto]],Imput[[C. Imp.]:[C. Imp.]],$D417,Imput[[PERIODO Imp.]:[PERIODO Imp.]],BZ$9)</f>
        <v>0</v>
      </c>
      <c r="CA417" s="693">
        <f>SUMIFS(Imput[[Importe Neto]:[Importe Neto]],Imput[[C. Imp.]:[C. Imp.]],$D417,Imput[[PERIODO Imp.]:[PERIODO Imp.]],CA$9)</f>
        <v>0</v>
      </c>
      <c r="CB417" s="693">
        <f>SUMIFS(Imput[[Importe Neto]:[Importe Neto]],Imput[[C. Imp.]:[C. Imp.]],$D417,Imput[[PERIODO Imp.]:[PERIODO Imp.]],CB$9)</f>
        <v>0</v>
      </c>
      <c r="CC417" s="693">
        <f>SUMIFS(Imput[[Importe Neto]:[Importe Neto]],Imput[[C. Imp.]:[C. Imp.]],$D417,Imput[[PERIODO Imp.]:[PERIODO Imp.]],CC$9)</f>
        <v>0</v>
      </c>
      <c r="CD417" s="693">
        <f>SUMIFS(Imput[[Importe Neto]:[Importe Neto]],Imput[[C. Imp.]:[C. Imp.]],$D417,Imput[[PERIODO Imp.]:[PERIODO Imp.]],CD$9)</f>
        <v>0</v>
      </c>
      <c r="CE417" s="693">
        <f>SUMIFS(Imput[[Importe Neto]:[Importe Neto]],Imput[[C. Imp.]:[C. Imp.]],$D417,Imput[[PERIODO Imp.]:[PERIODO Imp.]],CE$9)</f>
        <v>0</v>
      </c>
      <c r="CF417" s="693">
        <f>SUMIFS(Imput[[Importe Neto]:[Importe Neto]],Imput[[C. Imp.]:[C. Imp.]],$D417,Imput[[PERIODO Imp.]:[PERIODO Imp.]],CF$9)</f>
        <v>0</v>
      </c>
      <c r="CG417" s="693">
        <f>SUMIFS(Imput[[Importe Neto]:[Importe Neto]],Imput[[C. Imp.]:[C. Imp.]],$D417,Imput[[PERIODO Imp.]:[PERIODO Imp.]],CG$9)</f>
        <v>0</v>
      </c>
      <c r="CH417" s="693">
        <f>SUMIFS(Imput[[Importe Neto]:[Importe Neto]],Imput[[C. Imp.]:[C. Imp.]],$D417,Imput[[PERIODO Imp.]:[PERIODO Imp.]],CH$9)</f>
        <v>0</v>
      </c>
      <c r="CI417" s="693">
        <f>SUMIFS(Imput[[Importe Neto]:[Importe Neto]],Imput[[C. Imp.]:[C. Imp.]],$D417,Imput[[PERIODO Imp.]:[PERIODO Imp.]],CI$9)</f>
        <v>0</v>
      </c>
      <c r="CJ417" s="693">
        <f>SUMIFS(Imput[[Importe Neto]:[Importe Neto]],Imput[[C. Imp.]:[C. Imp.]],$D417,Imput[[PERIODO Imp.]:[PERIODO Imp.]],CJ$9)</f>
        <v>0</v>
      </c>
      <c r="CK417" s="693">
        <f>SUMIFS(Imput[[Importe Neto]:[Importe Neto]],Imput[[C. Imp.]:[C. Imp.]],$D417,Imput[[PERIODO Imp.]:[PERIODO Imp.]],CK$9)</f>
        <v>0</v>
      </c>
      <c r="CL417" s="693">
        <f>SUMIFS(Imput[[Importe Neto]:[Importe Neto]],Imput[[C. Imp.]:[C. Imp.]],$D417,Imput[[PERIODO Imp.]:[PERIODO Imp.]],CL$9)</f>
        <v>0</v>
      </c>
      <c r="CM417" s="693">
        <f>SUMIFS(Imput[[Importe Neto]:[Importe Neto]],Imput[[C. Imp.]:[C. Imp.]],$D417,Imput[[PERIODO Imp.]:[PERIODO Imp.]],CM$9)</f>
        <v>0</v>
      </c>
      <c r="CN417" s="693">
        <f>SUMIFS(Imput[[Importe Neto]:[Importe Neto]],Imput[[C. Imp.]:[C. Imp.]],$D417,Imput[[PERIODO Imp.]:[PERIODO Imp.]],CN$9)</f>
        <v>0</v>
      </c>
      <c r="CO417" s="693">
        <f>SUMIFS(Imput[[Importe Neto]:[Importe Neto]],Imput[[C. Imp.]:[C. Imp.]],$D417,Imput[[PERIODO Imp.]:[PERIODO Imp.]],CO$9)</f>
        <v>0</v>
      </c>
      <c r="CP417" s="693">
        <f>SUMIFS(Imput[[Importe Neto]:[Importe Neto]],Imput[[C. Imp.]:[C. Imp.]],$D417,Imput[[PERIODO Imp.]:[PERIODO Imp.]],CP$9)</f>
        <v>0</v>
      </c>
      <c r="CQ417" s="693">
        <f>SUMIFS(Imput[[Importe Neto]:[Importe Neto]],Imput[[C. Imp.]:[C. Imp.]],$D417,Imput[[PERIODO Imp.]:[PERIODO Imp.]],CQ$9)</f>
        <v>0</v>
      </c>
      <c r="CR417" s="693">
        <f>SUMIFS(Imput[[Importe Neto]:[Importe Neto]],Imput[[C. Imp.]:[C. Imp.]],$D417,Imput[[PERIODO Imp.]:[PERIODO Imp.]],CR$9)</f>
        <v>0</v>
      </c>
      <c r="CS417" s="693">
        <f>SUMIFS(Imput[[Importe Neto]:[Importe Neto]],Imput[[C. Imp.]:[C. Imp.]],$D417,Imput[[PERIODO Imp.]:[PERIODO Imp.]],CS$9)</f>
        <v>0</v>
      </c>
      <c r="CT417" s="693">
        <f>SUMIFS(Imput[[Importe Neto]:[Importe Neto]],Imput[[C. Imp.]:[C. Imp.]],$D417,Imput[[PERIODO Imp.]:[PERIODO Imp.]],CT$9)</f>
        <v>0</v>
      </c>
      <c r="CU417" s="693">
        <f>SUMIFS(Imput[[Importe Neto]:[Importe Neto]],Imput[[C. Imp.]:[C. Imp.]],$D417,Imput[[PERIODO Imp.]:[PERIODO Imp.]],CU$9)</f>
        <v>0</v>
      </c>
      <c r="CV417" s="693">
        <f>SUMIFS(Imput[[Importe Neto]:[Importe Neto]],Imput[[C. Imp.]:[C. Imp.]],$D417,Imput[[PERIODO Imp.]:[PERIODO Imp.]],CV$9)</f>
        <v>0</v>
      </c>
      <c r="CW417" s="693">
        <f>SUMIFS(Imput[[Importe Neto]:[Importe Neto]],Imput[[C. Imp.]:[C. Imp.]],$D417,Imput[[PERIODO Imp.]:[PERIODO Imp.]],CW$9)</f>
        <v>0</v>
      </c>
      <c r="CX417" s="693">
        <f>SUMIFS(Imput[[Importe Neto]:[Importe Neto]],Imput[[C. Imp.]:[C. Imp.]],$D417,Imput[[PERIODO Imp.]:[PERIODO Imp.]],CX$9)</f>
        <v>0</v>
      </c>
      <c r="CY417" s="693">
        <f>SUMIFS(Imput[[Importe Neto]:[Importe Neto]],Imput[[C. Imp.]:[C. Imp.]],$D417,Imput[[PERIODO Imp.]:[PERIODO Imp.]],CY$9)</f>
        <v>0</v>
      </c>
      <c r="CZ417" s="693">
        <f>SUMIFS(Imput[[Importe Neto]:[Importe Neto]],Imput[[C. Imp.]:[C. Imp.]],$D417,Imput[[PERIODO Imp.]:[PERIODO Imp.]],CZ$9)</f>
        <v>0</v>
      </c>
      <c r="DA417" s="693">
        <f>SUMIFS(Imput[[Importe Neto]:[Importe Neto]],Imput[[C. Imp.]:[C. Imp.]],$D417,Imput[[PERIODO Imp.]:[PERIODO Imp.]],DA$9)</f>
        <v>0</v>
      </c>
      <c r="DB417" s="693">
        <f>SUMIFS(Imput[[Importe Neto]:[Importe Neto]],Imput[[C. Imp.]:[C. Imp.]],$D417,Imput[[PERIODO Imp.]:[PERIODO Imp.]],DB$9)</f>
        <v>0</v>
      </c>
      <c r="DC417" s="693">
        <f>SUMIFS(Imput[[Importe Neto]:[Importe Neto]],Imput[[C. Imp.]:[C. Imp.]],$D417,Imput[[PERIODO Imp.]:[PERIODO Imp.]],DC$9)</f>
        <v>0</v>
      </c>
      <c r="DD417" s="693">
        <f>SUMIFS(Imput[[Importe Neto]:[Importe Neto]],Imput[[C. Imp.]:[C. Imp.]],$D417,Imput[[PERIODO Imp.]:[PERIODO Imp.]],DD$9)</f>
        <v>0</v>
      </c>
      <c r="DE417" s="693">
        <f>SUMIFS(Imput[[Importe Neto]:[Importe Neto]],Imput[[C. Imp.]:[C. Imp.]],$D417,Imput[[PERIODO Imp.]:[PERIODO Imp.]],DE$9)</f>
        <v>0</v>
      </c>
      <c r="DF417" s="693">
        <f>SUMIFS(Imput[[Importe Neto]:[Importe Neto]],Imput[[C. Imp.]:[C. Imp.]],$D417,Imput[[PERIODO Imp.]:[PERIODO Imp.]],DF$9)</f>
        <v>0</v>
      </c>
      <c r="DG417" s="693">
        <f>SUMIFS(Imput[[Importe Neto]:[Importe Neto]],Imput[[C. Imp.]:[C. Imp.]],$D417,Imput[[PERIODO Imp.]:[PERIODO Imp.]],DG$9)</f>
        <v>0</v>
      </c>
      <c r="DH417" s="694">
        <f>SUMIFS(Imput[[Importe Neto]:[Importe Neto]],Imput[[C. Imp.]:[C. Imp.]],$D417,Imput[[PERIODO Imp.]:[PERIODO Imp.]],DH$9)</f>
        <v>0</v>
      </c>
    </row>
    <row r="418" spans="1:112" s="649" customFormat="1" hidden="1" outlineLevel="1" x14ac:dyDescent="0.3">
      <c r="A418" s="652" t="str">
        <f t="shared" si="164"/>
        <v/>
      </c>
      <c r="B418" s="652"/>
      <c r="C418" s="685"/>
      <c r="D418" s="686" t="s">
        <v>2474</v>
      </c>
      <c r="E418" s="686"/>
      <c r="F418" s="720"/>
      <c r="G418" s="688"/>
      <c r="H418" s="696"/>
      <c r="I418" s="851" t="str">
        <f t="shared" si="165"/>
        <v/>
      </c>
      <c r="J418" s="517" t="str">
        <f t="shared" si="166"/>
        <v/>
      </c>
      <c r="K418" s="667"/>
      <c r="L418" s="858"/>
      <c r="M418" s="859"/>
      <c r="N418" s="859"/>
      <c r="O418" s="859"/>
      <c r="P418" s="859"/>
      <c r="Q418" s="859"/>
      <c r="R418" s="859"/>
      <c r="S418" s="859"/>
      <c r="T418" s="859"/>
      <c r="U418" s="859"/>
      <c r="V418" s="859"/>
      <c r="W418" s="859"/>
      <c r="X418" s="859"/>
      <c r="Y418" s="859"/>
      <c r="Z418" s="860"/>
      <c r="AA418" s="860"/>
      <c r="AB418" s="860"/>
      <c r="AC418" s="860"/>
      <c r="AD418" s="860"/>
      <c r="AE418" s="860"/>
      <c r="AF418" s="860"/>
      <c r="AG418" s="860"/>
      <c r="AH418" s="860"/>
      <c r="AI418" s="860"/>
      <c r="AJ418" s="860"/>
      <c r="AK418" s="860"/>
      <c r="AL418" s="860"/>
      <c r="AM418" s="860"/>
      <c r="AN418" s="860"/>
      <c r="AO418" s="860"/>
      <c r="AP418" s="860"/>
      <c r="AQ418" s="860"/>
      <c r="AR418" s="860"/>
      <c r="AS418" s="860"/>
      <c r="AT418" s="860"/>
      <c r="AU418" s="860"/>
      <c r="AV418" s="860"/>
      <c r="AW418" s="860"/>
      <c r="AX418" s="860"/>
      <c r="AY418" s="860"/>
      <c r="AZ418" s="860"/>
      <c r="BA418" s="860"/>
      <c r="BB418" s="860"/>
      <c r="BC418" s="860"/>
      <c r="BD418" s="860"/>
      <c r="BE418" s="860"/>
      <c r="BF418" s="860"/>
      <c r="BG418" s="860"/>
      <c r="BH418" s="668"/>
      <c r="BI418" s="654"/>
      <c r="BJ418" s="690">
        <f t="shared" si="167"/>
        <v>0</v>
      </c>
      <c r="BK418" s="691">
        <f t="shared" si="168"/>
        <v>0</v>
      </c>
      <c r="BL418" s="654"/>
      <c r="BM418" s="692">
        <f>SUMIFS(Imput[[Importe Neto]:[Importe Neto]],Imput[[C. Imp.]:[C. Imp.]],$D418,Imput[[PERIODO Imp.]:[PERIODO Imp.]],BM$9)</f>
        <v>0</v>
      </c>
      <c r="BN418" s="693">
        <f>SUMIFS(Imput[[Importe Neto]:[Importe Neto]],Imput[[C. Imp.]:[C. Imp.]],$D418,Imput[[PERIODO Imp.]:[PERIODO Imp.]],BN$9)</f>
        <v>0</v>
      </c>
      <c r="BO418" s="693">
        <f>SUMIFS(Imput[[Importe Neto]:[Importe Neto]],Imput[[C. Imp.]:[C. Imp.]],$D418,Imput[[PERIODO Imp.]:[PERIODO Imp.]],BO$9)</f>
        <v>0</v>
      </c>
      <c r="BP418" s="693">
        <f>SUMIFS(Imput[[Importe Neto]:[Importe Neto]],Imput[[C. Imp.]:[C. Imp.]],$D418,Imput[[PERIODO Imp.]:[PERIODO Imp.]],BP$9)</f>
        <v>0</v>
      </c>
      <c r="BQ418" s="693">
        <f>SUMIFS(Imput[[Importe Neto]:[Importe Neto]],Imput[[C. Imp.]:[C. Imp.]],$D418,Imput[[PERIODO Imp.]:[PERIODO Imp.]],BQ$9)</f>
        <v>0</v>
      </c>
      <c r="BR418" s="693">
        <f>SUMIFS(Imput[[Importe Neto]:[Importe Neto]],Imput[[C. Imp.]:[C. Imp.]],$D418,Imput[[PERIODO Imp.]:[PERIODO Imp.]],BR$9)</f>
        <v>0</v>
      </c>
      <c r="BS418" s="693">
        <f>SUMIFS(Imput[[Importe Neto]:[Importe Neto]],Imput[[C. Imp.]:[C. Imp.]],$D418,Imput[[PERIODO Imp.]:[PERIODO Imp.]],BS$9)</f>
        <v>0</v>
      </c>
      <c r="BT418" s="693">
        <f>SUMIFS(Imput[[Importe Neto]:[Importe Neto]],Imput[[C. Imp.]:[C. Imp.]],$D418,Imput[[PERIODO Imp.]:[PERIODO Imp.]],BT$9)</f>
        <v>0</v>
      </c>
      <c r="BU418" s="693">
        <f>SUMIFS(Imput[[Importe Neto]:[Importe Neto]],Imput[[C. Imp.]:[C. Imp.]],$D418,Imput[[PERIODO Imp.]:[PERIODO Imp.]],BU$9)</f>
        <v>0</v>
      </c>
      <c r="BV418" s="693">
        <f>SUMIFS(Imput[[Importe Neto]:[Importe Neto]],Imput[[C. Imp.]:[C. Imp.]],$D418,Imput[[PERIODO Imp.]:[PERIODO Imp.]],BV$9)</f>
        <v>0</v>
      </c>
      <c r="BW418" s="693">
        <f>SUMIFS(Imput[[Importe Neto]:[Importe Neto]],Imput[[C. Imp.]:[C. Imp.]],$D418,Imput[[PERIODO Imp.]:[PERIODO Imp.]],BW$9)</f>
        <v>0</v>
      </c>
      <c r="BX418" s="693">
        <f>SUMIFS(Imput[[Importe Neto]:[Importe Neto]],Imput[[C. Imp.]:[C. Imp.]],$D418,Imput[[PERIODO Imp.]:[PERIODO Imp.]],BX$9)</f>
        <v>0</v>
      </c>
      <c r="BY418" s="693">
        <f>SUMIFS(Imput[[Importe Neto]:[Importe Neto]],Imput[[C. Imp.]:[C. Imp.]],$D418,Imput[[PERIODO Imp.]:[PERIODO Imp.]],BY$9)</f>
        <v>0</v>
      </c>
      <c r="BZ418" s="693">
        <f>SUMIFS(Imput[[Importe Neto]:[Importe Neto]],Imput[[C. Imp.]:[C. Imp.]],$D418,Imput[[PERIODO Imp.]:[PERIODO Imp.]],BZ$9)</f>
        <v>0</v>
      </c>
      <c r="CA418" s="693">
        <f>SUMIFS(Imput[[Importe Neto]:[Importe Neto]],Imput[[C. Imp.]:[C. Imp.]],$D418,Imput[[PERIODO Imp.]:[PERIODO Imp.]],CA$9)</f>
        <v>0</v>
      </c>
      <c r="CB418" s="693">
        <f>SUMIFS(Imput[[Importe Neto]:[Importe Neto]],Imput[[C. Imp.]:[C. Imp.]],$D418,Imput[[PERIODO Imp.]:[PERIODO Imp.]],CB$9)</f>
        <v>0</v>
      </c>
      <c r="CC418" s="693">
        <f>SUMIFS(Imput[[Importe Neto]:[Importe Neto]],Imput[[C. Imp.]:[C. Imp.]],$D418,Imput[[PERIODO Imp.]:[PERIODO Imp.]],CC$9)</f>
        <v>0</v>
      </c>
      <c r="CD418" s="693">
        <f>SUMIFS(Imput[[Importe Neto]:[Importe Neto]],Imput[[C. Imp.]:[C. Imp.]],$D418,Imput[[PERIODO Imp.]:[PERIODO Imp.]],CD$9)</f>
        <v>0</v>
      </c>
      <c r="CE418" s="693">
        <f>SUMIFS(Imput[[Importe Neto]:[Importe Neto]],Imput[[C. Imp.]:[C. Imp.]],$D418,Imput[[PERIODO Imp.]:[PERIODO Imp.]],CE$9)</f>
        <v>0</v>
      </c>
      <c r="CF418" s="693">
        <f>SUMIFS(Imput[[Importe Neto]:[Importe Neto]],Imput[[C. Imp.]:[C. Imp.]],$D418,Imput[[PERIODO Imp.]:[PERIODO Imp.]],CF$9)</f>
        <v>0</v>
      </c>
      <c r="CG418" s="693">
        <f>SUMIFS(Imput[[Importe Neto]:[Importe Neto]],Imput[[C. Imp.]:[C. Imp.]],$D418,Imput[[PERIODO Imp.]:[PERIODO Imp.]],CG$9)</f>
        <v>0</v>
      </c>
      <c r="CH418" s="693">
        <f>SUMIFS(Imput[[Importe Neto]:[Importe Neto]],Imput[[C. Imp.]:[C. Imp.]],$D418,Imput[[PERIODO Imp.]:[PERIODO Imp.]],CH$9)</f>
        <v>0</v>
      </c>
      <c r="CI418" s="693">
        <f>SUMIFS(Imput[[Importe Neto]:[Importe Neto]],Imput[[C. Imp.]:[C. Imp.]],$D418,Imput[[PERIODO Imp.]:[PERIODO Imp.]],CI$9)</f>
        <v>0</v>
      </c>
      <c r="CJ418" s="693">
        <f>SUMIFS(Imput[[Importe Neto]:[Importe Neto]],Imput[[C. Imp.]:[C. Imp.]],$D418,Imput[[PERIODO Imp.]:[PERIODO Imp.]],CJ$9)</f>
        <v>0</v>
      </c>
      <c r="CK418" s="693">
        <f>SUMIFS(Imput[[Importe Neto]:[Importe Neto]],Imput[[C. Imp.]:[C. Imp.]],$D418,Imput[[PERIODO Imp.]:[PERIODO Imp.]],CK$9)</f>
        <v>0</v>
      </c>
      <c r="CL418" s="693">
        <f>SUMIFS(Imput[[Importe Neto]:[Importe Neto]],Imput[[C. Imp.]:[C. Imp.]],$D418,Imput[[PERIODO Imp.]:[PERIODO Imp.]],CL$9)</f>
        <v>0</v>
      </c>
      <c r="CM418" s="693">
        <f>SUMIFS(Imput[[Importe Neto]:[Importe Neto]],Imput[[C. Imp.]:[C. Imp.]],$D418,Imput[[PERIODO Imp.]:[PERIODO Imp.]],CM$9)</f>
        <v>0</v>
      </c>
      <c r="CN418" s="693">
        <f>SUMIFS(Imput[[Importe Neto]:[Importe Neto]],Imput[[C. Imp.]:[C. Imp.]],$D418,Imput[[PERIODO Imp.]:[PERIODO Imp.]],CN$9)</f>
        <v>0</v>
      </c>
      <c r="CO418" s="693">
        <f>SUMIFS(Imput[[Importe Neto]:[Importe Neto]],Imput[[C. Imp.]:[C. Imp.]],$D418,Imput[[PERIODO Imp.]:[PERIODO Imp.]],CO$9)</f>
        <v>0</v>
      </c>
      <c r="CP418" s="693">
        <f>SUMIFS(Imput[[Importe Neto]:[Importe Neto]],Imput[[C. Imp.]:[C. Imp.]],$D418,Imput[[PERIODO Imp.]:[PERIODO Imp.]],CP$9)</f>
        <v>0</v>
      </c>
      <c r="CQ418" s="693">
        <f>SUMIFS(Imput[[Importe Neto]:[Importe Neto]],Imput[[C. Imp.]:[C. Imp.]],$D418,Imput[[PERIODO Imp.]:[PERIODO Imp.]],CQ$9)</f>
        <v>0</v>
      </c>
      <c r="CR418" s="693">
        <f>SUMIFS(Imput[[Importe Neto]:[Importe Neto]],Imput[[C. Imp.]:[C. Imp.]],$D418,Imput[[PERIODO Imp.]:[PERIODO Imp.]],CR$9)</f>
        <v>0</v>
      </c>
      <c r="CS418" s="693">
        <f>SUMIFS(Imput[[Importe Neto]:[Importe Neto]],Imput[[C. Imp.]:[C. Imp.]],$D418,Imput[[PERIODO Imp.]:[PERIODO Imp.]],CS$9)</f>
        <v>0</v>
      </c>
      <c r="CT418" s="693">
        <f>SUMIFS(Imput[[Importe Neto]:[Importe Neto]],Imput[[C. Imp.]:[C. Imp.]],$D418,Imput[[PERIODO Imp.]:[PERIODO Imp.]],CT$9)</f>
        <v>0</v>
      </c>
      <c r="CU418" s="693">
        <f>SUMIFS(Imput[[Importe Neto]:[Importe Neto]],Imput[[C. Imp.]:[C. Imp.]],$D418,Imput[[PERIODO Imp.]:[PERIODO Imp.]],CU$9)</f>
        <v>0</v>
      </c>
      <c r="CV418" s="693">
        <f>SUMIFS(Imput[[Importe Neto]:[Importe Neto]],Imput[[C. Imp.]:[C. Imp.]],$D418,Imput[[PERIODO Imp.]:[PERIODO Imp.]],CV$9)</f>
        <v>0</v>
      </c>
      <c r="CW418" s="693">
        <f>SUMIFS(Imput[[Importe Neto]:[Importe Neto]],Imput[[C. Imp.]:[C. Imp.]],$D418,Imput[[PERIODO Imp.]:[PERIODO Imp.]],CW$9)</f>
        <v>0</v>
      </c>
      <c r="CX418" s="693">
        <f>SUMIFS(Imput[[Importe Neto]:[Importe Neto]],Imput[[C. Imp.]:[C. Imp.]],$D418,Imput[[PERIODO Imp.]:[PERIODO Imp.]],CX$9)</f>
        <v>0</v>
      </c>
      <c r="CY418" s="693">
        <f>SUMIFS(Imput[[Importe Neto]:[Importe Neto]],Imput[[C. Imp.]:[C. Imp.]],$D418,Imput[[PERIODO Imp.]:[PERIODO Imp.]],CY$9)</f>
        <v>0</v>
      </c>
      <c r="CZ418" s="693">
        <f>SUMIFS(Imput[[Importe Neto]:[Importe Neto]],Imput[[C. Imp.]:[C. Imp.]],$D418,Imput[[PERIODO Imp.]:[PERIODO Imp.]],CZ$9)</f>
        <v>0</v>
      </c>
      <c r="DA418" s="693">
        <f>SUMIFS(Imput[[Importe Neto]:[Importe Neto]],Imput[[C. Imp.]:[C. Imp.]],$D418,Imput[[PERIODO Imp.]:[PERIODO Imp.]],DA$9)</f>
        <v>0</v>
      </c>
      <c r="DB418" s="693">
        <f>SUMIFS(Imput[[Importe Neto]:[Importe Neto]],Imput[[C. Imp.]:[C. Imp.]],$D418,Imput[[PERIODO Imp.]:[PERIODO Imp.]],DB$9)</f>
        <v>0</v>
      </c>
      <c r="DC418" s="693">
        <f>SUMIFS(Imput[[Importe Neto]:[Importe Neto]],Imput[[C. Imp.]:[C. Imp.]],$D418,Imput[[PERIODO Imp.]:[PERIODO Imp.]],DC$9)</f>
        <v>0</v>
      </c>
      <c r="DD418" s="693">
        <f>SUMIFS(Imput[[Importe Neto]:[Importe Neto]],Imput[[C. Imp.]:[C. Imp.]],$D418,Imput[[PERIODO Imp.]:[PERIODO Imp.]],DD$9)</f>
        <v>0</v>
      </c>
      <c r="DE418" s="693">
        <f>SUMIFS(Imput[[Importe Neto]:[Importe Neto]],Imput[[C. Imp.]:[C. Imp.]],$D418,Imput[[PERIODO Imp.]:[PERIODO Imp.]],DE$9)</f>
        <v>0</v>
      </c>
      <c r="DF418" s="693">
        <f>SUMIFS(Imput[[Importe Neto]:[Importe Neto]],Imput[[C. Imp.]:[C. Imp.]],$D418,Imput[[PERIODO Imp.]:[PERIODO Imp.]],DF$9)</f>
        <v>0</v>
      </c>
      <c r="DG418" s="693">
        <f>SUMIFS(Imput[[Importe Neto]:[Importe Neto]],Imput[[C. Imp.]:[C. Imp.]],$D418,Imput[[PERIODO Imp.]:[PERIODO Imp.]],DG$9)</f>
        <v>0</v>
      </c>
      <c r="DH418" s="694">
        <f>SUMIFS(Imput[[Importe Neto]:[Importe Neto]],Imput[[C. Imp.]:[C. Imp.]],$D418,Imput[[PERIODO Imp.]:[PERIODO Imp.]],DH$9)</f>
        <v>0</v>
      </c>
    </row>
    <row r="419" spans="1:112" s="649" customFormat="1" hidden="1" outlineLevel="1" x14ac:dyDescent="0.3">
      <c r="A419" s="652" t="str">
        <f t="shared" si="164"/>
        <v/>
      </c>
      <c r="B419" s="652"/>
      <c r="C419" s="685"/>
      <c r="D419" s="686" t="s">
        <v>2475</v>
      </c>
      <c r="E419" s="686"/>
      <c r="F419" s="720"/>
      <c r="G419" s="688"/>
      <c r="H419" s="696"/>
      <c r="I419" s="851" t="str">
        <f t="shared" si="165"/>
        <v/>
      </c>
      <c r="J419" s="517" t="str">
        <f t="shared" si="166"/>
        <v/>
      </c>
      <c r="K419" s="667"/>
      <c r="L419" s="858"/>
      <c r="M419" s="859"/>
      <c r="N419" s="859"/>
      <c r="O419" s="859"/>
      <c r="P419" s="859"/>
      <c r="Q419" s="859"/>
      <c r="R419" s="859"/>
      <c r="S419" s="859"/>
      <c r="T419" s="859"/>
      <c r="U419" s="859"/>
      <c r="V419" s="859"/>
      <c r="W419" s="859"/>
      <c r="X419" s="859"/>
      <c r="Y419" s="859"/>
      <c r="Z419" s="860"/>
      <c r="AA419" s="860"/>
      <c r="AB419" s="860"/>
      <c r="AC419" s="860"/>
      <c r="AD419" s="860"/>
      <c r="AE419" s="860"/>
      <c r="AF419" s="860"/>
      <c r="AG419" s="860"/>
      <c r="AH419" s="860"/>
      <c r="AI419" s="860"/>
      <c r="AJ419" s="860"/>
      <c r="AK419" s="860"/>
      <c r="AL419" s="860"/>
      <c r="AM419" s="860"/>
      <c r="AN419" s="860"/>
      <c r="AO419" s="860"/>
      <c r="AP419" s="860"/>
      <c r="AQ419" s="860"/>
      <c r="AR419" s="860"/>
      <c r="AS419" s="860"/>
      <c r="AT419" s="860"/>
      <c r="AU419" s="860"/>
      <c r="AV419" s="860"/>
      <c r="AW419" s="860"/>
      <c r="AX419" s="860"/>
      <c r="AY419" s="860"/>
      <c r="AZ419" s="860"/>
      <c r="BA419" s="860"/>
      <c r="BB419" s="860"/>
      <c r="BC419" s="860"/>
      <c r="BD419" s="860"/>
      <c r="BE419" s="860"/>
      <c r="BF419" s="860"/>
      <c r="BG419" s="860"/>
      <c r="BH419" s="668"/>
      <c r="BI419" s="654"/>
      <c r="BJ419" s="690">
        <f t="shared" si="167"/>
        <v>0</v>
      </c>
      <c r="BK419" s="691">
        <f t="shared" si="168"/>
        <v>0</v>
      </c>
      <c r="BL419" s="654"/>
      <c r="BM419" s="692">
        <f>SUMIFS(Imput[[Importe Neto]:[Importe Neto]],Imput[[C. Imp.]:[C. Imp.]],$D419,Imput[[PERIODO Imp.]:[PERIODO Imp.]],BM$9)</f>
        <v>0</v>
      </c>
      <c r="BN419" s="693">
        <f>SUMIFS(Imput[[Importe Neto]:[Importe Neto]],Imput[[C. Imp.]:[C. Imp.]],$D419,Imput[[PERIODO Imp.]:[PERIODO Imp.]],BN$9)</f>
        <v>0</v>
      </c>
      <c r="BO419" s="693">
        <f>SUMIFS(Imput[[Importe Neto]:[Importe Neto]],Imput[[C. Imp.]:[C. Imp.]],$D419,Imput[[PERIODO Imp.]:[PERIODO Imp.]],BO$9)</f>
        <v>0</v>
      </c>
      <c r="BP419" s="693">
        <f>SUMIFS(Imput[[Importe Neto]:[Importe Neto]],Imput[[C. Imp.]:[C. Imp.]],$D419,Imput[[PERIODO Imp.]:[PERIODO Imp.]],BP$9)</f>
        <v>0</v>
      </c>
      <c r="BQ419" s="693">
        <f>SUMIFS(Imput[[Importe Neto]:[Importe Neto]],Imput[[C. Imp.]:[C. Imp.]],$D419,Imput[[PERIODO Imp.]:[PERIODO Imp.]],BQ$9)</f>
        <v>0</v>
      </c>
      <c r="BR419" s="693">
        <f>SUMIFS(Imput[[Importe Neto]:[Importe Neto]],Imput[[C. Imp.]:[C. Imp.]],$D419,Imput[[PERIODO Imp.]:[PERIODO Imp.]],BR$9)</f>
        <v>0</v>
      </c>
      <c r="BS419" s="693">
        <f>SUMIFS(Imput[[Importe Neto]:[Importe Neto]],Imput[[C. Imp.]:[C. Imp.]],$D419,Imput[[PERIODO Imp.]:[PERIODO Imp.]],BS$9)</f>
        <v>0</v>
      </c>
      <c r="BT419" s="693">
        <f>SUMIFS(Imput[[Importe Neto]:[Importe Neto]],Imput[[C. Imp.]:[C. Imp.]],$D419,Imput[[PERIODO Imp.]:[PERIODO Imp.]],BT$9)</f>
        <v>0</v>
      </c>
      <c r="BU419" s="693">
        <f>SUMIFS(Imput[[Importe Neto]:[Importe Neto]],Imput[[C. Imp.]:[C. Imp.]],$D419,Imput[[PERIODO Imp.]:[PERIODO Imp.]],BU$9)</f>
        <v>0</v>
      </c>
      <c r="BV419" s="693">
        <f>SUMIFS(Imput[[Importe Neto]:[Importe Neto]],Imput[[C. Imp.]:[C. Imp.]],$D419,Imput[[PERIODO Imp.]:[PERIODO Imp.]],BV$9)</f>
        <v>0</v>
      </c>
      <c r="BW419" s="693">
        <f>SUMIFS(Imput[[Importe Neto]:[Importe Neto]],Imput[[C. Imp.]:[C. Imp.]],$D419,Imput[[PERIODO Imp.]:[PERIODO Imp.]],BW$9)</f>
        <v>0</v>
      </c>
      <c r="BX419" s="693">
        <f>SUMIFS(Imput[[Importe Neto]:[Importe Neto]],Imput[[C. Imp.]:[C. Imp.]],$D419,Imput[[PERIODO Imp.]:[PERIODO Imp.]],BX$9)</f>
        <v>0</v>
      </c>
      <c r="BY419" s="693">
        <f>SUMIFS(Imput[[Importe Neto]:[Importe Neto]],Imput[[C. Imp.]:[C. Imp.]],$D419,Imput[[PERIODO Imp.]:[PERIODO Imp.]],BY$9)</f>
        <v>0</v>
      </c>
      <c r="BZ419" s="693">
        <f>SUMIFS(Imput[[Importe Neto]:[Importe Neto]],Imput[[C. Imp.]:[C. Imp.]],$D419,Imput[[PERIODO Imp.]:[PERIODO Imp.]],BZ$9)</f>
        <v>0</v>
      </c>
      <c r="CA419" s="693">
        <f>SUMIFS(Imput[[Importe Neto]:[Importe Neto]],Imput[[C. Imp.]:[C. Imp.]],$D419,Imput[[PERIODO Imp.]:[PERIODO Imp.]],CA$9)</f>
        <v>0</v>
      </c>
      <c r="CB419" s="693">
        <f>SUMIFS(Imput[[Importe Neto]:[Importe Neto]],Imput[[C. Imp.]:[C. Imp.]],$D419,Imput[[PERIODO Imp.]:[PERIODO Imp.]],CB$9)</f>
        <v>0</v>
      </c>
      <c r="CC419" s="693">
        <f>SUMIFS(Imput[[Importe Neto]:[Importe Neto]],Imput[[C. Imp.]:[C. Imp.]],$D419,Imput[[PERIODO Imp.]:[PERIODO Imp.]],CC$9)</f>
        <v>0</v>
      </c>
      <c r="CD419" s="693">
        <f>SUMIFS(Imput[[Importe Neto]:[Importe Neto]],Imput[[C. Imp.]:[C. Imp.]],$D419,Imput[[PERIODO Imp.]:[PERIODO Imp.]],CD$9)</f>
        <v>0</v>
      </c>
      <c r="CE419" s="693">
        <f>SUMIFS(Imput[[Importe Neto]:[Importe Neto]],Imput[[C. Imp.]:[C. Imp.]],$D419,Imput[[PERIODO Imp.]:[PERIODO Imp.]],CE$9)</f>
        <v>0</v>
      </c>
      <c r="CF419" s="693">
        <f>SUMIFS(Imput[[Importe Neto]:[Importe Neto]],Imput[[C. Imp.]:[C. Imp.]],$D419,Imput[[PERIODO Imp.]:[PERIODO Imp.]],CF$9)</f>
        <v>0</v>
      </c>
      <c r="CG419" s="693">
        <f>SUMIFS(Imput[[Importe Neto]:[Importe Neto]],Imput[[C. Imp.]:[C. Imp.]],$D419,Imput[[PERIODO Imp.]:[PERIODO Imp.]],CG$9)</f>
        <v>0</v>
      </c>
      <c r="CH419" s="693">
        <f>SUMIFS(Imput[[Importe Neto]:[Importe Neto]],Imput[[C. Imp.]:[C. Imp.]],$D419,Imput[[PERIODO Imp.]:[PERIODO Imp.]],CH$9)</f>
        <v>0</v>
      </c>
      <c r="CI419" s="693">
        <f>SUMIFS(Imput[[Importe Neto]:[Importe Neto]],Imput[[C. Imp.]:[C. Imp.]],$D419,Imput[[PERIODO Imp.]:[PERIODO Imp.]],CI$9)</f>
        <v>0</v>
      </c>
      <c r="CJ419" s="693">
        <f>SUMIFS(Imput[[Importe Neto]:[Importe Neto]],Imput[[C. Imp.]:[C. Imp.]],$D419,Imput[[PERIODO Imp.]:[PERIODO Imp.]],CJ$9)</f>
        <v>0</v>
      </c>
      <c r="CK419" s="693">
        <f>SUMIFS(Imput[[Importe Neto]:[Importe Neto]],Imput[[C. Imp.]:[C. Imp.]],$D419,Imput[[PERIODO Imp.]:[PERIODO Imp.]],CK$9)</f>
        <v>0</v>
      </c>
      <c r="CL419" s="693">
        <f>SUMIFS(Imput[[Importe Neto]:[Importe Neto]],Imput[[C. Imp.]:[C. Imp.]],$D419,Imput[[PERIODO Imp.]:[PERIODO Imp.]],CL$9)</f>
        <v>0</v>
      </c>
      <c r="CM419" s="693">
        <f>SUMIFS(Imput[[Importe Neto]:[Importe Neto]],Imput[[C. Imp.]:[C. Imp.]],$D419,Imput[[PERIODO Imp.]:[PERIODO Imp.]],CM$9)</f>
        <v>0</v>
      </c>
      <c r="CN419" s="693">
        <f>SUMIFS(Imput[[Importe Neto]:[Importe Neto]],Imput[[C. Imp.]:[C. Imp.]],$D419,Imput[[PERIODO Imp.]:[PERIODO Imp.]],CN$9)</f>
        <v>0</v>
      </c>
      <c r="CO419" s="693">
        <f>SUMIFS(Imput[[Importe Neto]:[Importe Neto]],Imput[[C. Imp.]:[C. Imp.]],$D419,Imput[[PERIODO Imp.]:[PERIODO Imp.]],CO$9)</f>
        <v>0</v>
      </c>
      <c r="CP419" s="693">
        <f>SUMIFS(Imput[[Importe Neto]:[Importe Neto]],Imput[[C. Imp.]:[C. Imp.]],$D419,Imput[[PERIODO Imp.]:[PERIODO Imp.]],CP$9)</f>
        <v>0</v>
      </c>
      <c r="CQ419" s="693">
        <f>SUMIFS(Imput[[Importe Neto]:[Importe Neto]],Imput[[C. Imp.]:[C. Imp.]],$D419,Imput[[PERIODO Imp.]:[PERIODO Imp.]],CQ$9)</f>
        <v>0</v>
      </c>
      <c r="CR419" s="693">
        <f>SUMIFS(Imput[[Importe Neto]:[Importe Neto]],Imput[[C. Imp.]:[C. Imp.]],$D419,Imput[[PERIODO Imp.]:[PERIODO Imp.]],CR$9)</f>
        <v>0</v>
      </c>
      <c r="CS419" s="693">
        <f>SUMIFS(Imput[[Importe Neto]:[Importe Neto]],Imput[[C. Imp.]:[C. Imp.]],$D419,Imput[[PERIODO Imp.]:[PERIODO Imp.]],CS$9)</f>
        <v>0</v>
      </c>
      <c r="CT419" s="693">
        <f>SUMIFS(Imput[[Importe Neto]:[Importe Neto]],Imput[[C. Imp.]:[C. Imp.]],$D419,Imput[[PERIODO Imp.]:[PERIODO Imp.]],CT$9)</f>
        <v>0</v>
      </c>
      <c r="CU419" s="693">
        <f>SUMIFS(Imput[[Importe Neto]:[Importe Neto]],Imput[[C. Imp.]:[C. Imp.]],$D419,Imput[[PERIODO Imp.]:[PERIODO Imp.]],CU$9)</f>
        <v>0</v>
      </c>
      <c r="CV419" s="693">
        <f>SUMIFS(Imput[[Importe Neto]:[Importe Neto]],Imput[[C. Imp.]:[C. Imp.]],$D419,Imput[[PERIODO Imp.]:[PERIODO Imp.]],CV$9)</f>
        <v>0</v>
      </c>
      <c r="CW419" s="693">
        <f>SUMIFS(Imput[[Importe Neto]:[Importe Neto]],Imput[[C. Imp.]:[C. Imp.]],$D419,Imput[[PERIODO Imp.]:[PERIODO Imp.]],CW$9)</f>
        <v>0</v>
      </c>
      <c r="CX419" s="693">
        <f>SUMIFS(Imput[[Importe Neto]:[Importe Neto]],Imput[[C. Imp.]:[C. Imp.]],$D419,Imput[[PERIODO Imp.]:[PERIODO Imp.]],CX$9)</f>
        <v>0</v>
      </c>
      <c r="CY419" s="693">
        <f>SUMIFS(Imput[[Importe Neto]:[Importe Neto]],Imput[[C. Imp.]:[C. Imp.]],$D419,Imput[[PERIODO Imp.]:[PERIODO Imp.]],CY$9)</f>
        <v>0</v>
      </c>
      <c r="CZ419" s="693">
        <f>SUMIFS(Imput[[Importe Neto]:[Importe Neto]],Imput[[C. Imp.]:[C. Imp.]],$D419,Imput[[PERIODO Imp.]:[PERIODO Imp.]],CZ$9)</f>
        <v>0</v>
      </c>
      <c r="DA419" s="693">
        <f>SUMIFS(Imput[[Importe Neto]:[Importe Neto]],Imput[[C. Imp.]:[C. Imp.]],$D419,Imput[[PERIODO Imp.]:[PERIODO Imp.]],DA$9)</f>
        <v>0</v>
      </c>
      <c r="DB419" s="693">
        <f>SUMIFS(Imput[[Importe Neto]:[Importe Neto]],Imput[[C. Imp.]:[C. Imp.]],$D419,Imput[[PERIODO Imp.]:[PERIODO Imp.]],DB$9)</f>
        <v>0</v>
      </c>
      <c r="DC419" s="693">
        <f>SUMIFS(Imput[[Importe Neto]:[Importe Neto]],Imput[[C. Imp.]:[C. Imp.]],$D419,Imput[[PERIODO Imp.]:[PERIODO Imp.]],DC$9)</f>
        <v>0</v>
      </c>
      <c r="DD419" s="693">
        <f>SUMIFS(Imput[[Importe Neto]:[Importe Neto]],Imput[[C. Imp.]:[C. Imp.]],$D419,Imput[[PERIODO Imp.]:[PERIODO Imp.]],DD$9)</f>
        <v>0</v>
      </c>
      <c r="DE419" s="693">
        <f>SUMIFS(Imput[[Importe Neto]:[Importe Neto]],Imput[[C. Imp.]:[C. Imp.]],$D419,Imput[[PERIODO Imp.]:[PERIODO Imp.]],DE$9)</f>
        <v>0</v>
      </c>
      <c r="DF419" s="693">
        <f>SUMIFS(Imput[[Importe Neto]:[Importe Neto]],Imput[[C. Imp.]:[C. Imp.]],$D419,Imput[[PERIODO Imp.]:[PERIODO Imp.]],DF$9)</f>
        <v>0</v>
      </c>
      <c r="DG419" s="693">
        <f>SUMIFS(Imput[[Importe Neto]:[Importe Neto]],Imput[[C. Imp.]:[C. Imp.]],$D419,Imput[[PERIODO Imp.]:[PERIODO Imp.]],DG$9)</f>
        <v>0</v>
      </c>
      <c r="DH419" s="694">
        <f>SUMIFS(Imput[[Importe Neto]:[Importe Neto]],Imput[[C. Imp.]:[C. Imp.]],$D419,Imput[[PERIODO Imp.]:[PERIODO Imp.]],DH$9)</f>
        <v>0</v>
      </c>
    </row>
    <row r="420" spans="1:112" s="649" customFormat="1" hidden="1" outlineLevel="1" x14ac:dyDescent="0.3">
      <c r="A420" s="652" t="str">
        <f t="shared" si="164"/>
        <v/>
      </c>
      <c r="B420" s="652"/>
      <c r="C420" s="685"/>
      <c r="D420" s="686" t="s">
        <v>2476</v>
      </c>
      <c r="E420" s="686"/>
      <c r="F420" s="720"/>
      <c r="G420" s="688"/>
      <c r="H420" s="696"/>
      <c r="I420" s="851" t="str">
        <f t="shared" si="165"/>
        <v/>
      </c>
      <c r="J420" s="517" t="str">
        <f t="shared" si="166"/>
        <v/>
      </c>
      <c r="K420" s="667"/>
      <c r="L420" s="858"/>
      <c r="M420" s="859"/>
      <c r="N420" s="859"/>
      <c r="O420" s="859"/>
      <c r="P420" s="859"/>
      <c r="Q420" s="859"/>
      <c r="R420" s="859"/>
      <c r="S420" s="859"/>
      <c r="T420" s="859"/>
      <c r="U420" s="859"/>
      <c r="V420" s="859"/>
      <c r="W420" s="859"/>
      <c r="X420" s="859"/>
      <c r="Y420" s="859"/>
      <c r="Z420" s="860"/>
      <c r="AA420" s="860"/>
      <c r="AB420" s="860"/>
      <c r="AC420" s="860"/>
      <c r="AD420" s="860"/>
      <c r="AE420" s="860"/>
      <c r="AF420" s="860"/>
      <c r="AG420" s="860"/>
      <c r="AH420" s="860"/>
      <c r="AI420" s="860"/>
      <c r="AJ420" s="860"/>
      <c r="AK420" s="860"/>
      <c r="AL420" s="860"/>
      <c r="AM420" s="860"/>
      <c r="AN420" s="860"/>
      <c r="AO420" s="860"/>
      <c r="AP420" s="860"/>
      <c r="AQ420" s="860"/>
      <c r="AR420" s="860"/>
      <c r="AS420" s="860"/>
      <c r="AT420" s="860"/>
      <c r="AU420" s="860"/>
      <c r="AV420" s="860"/>
      <c r="AW420" s="860"/>
      <c r="AX420" s="860"/>
      <c r="AY420" s="860"/>
      <c r="AZ420" s="860"/>
      <c r="BA420" s="860"/>
      <c r="BB420" s="860"/>
      <c r="BC420" s="860"/>
      <c r="BD420" s="860"/>
      <c r="BE420" s="860"/>
      <c r="BF420" s="860"/>
      <c r="BG420" s="860"/>
      <c r="BH420" s="668"/>
      <c r="BI420" s="654"/>
      <c r="BJ420" s="690">
        <f t="shared" si="167"/>
        <v>0</v>
      </c>
      <c r="BK420" s="691">
        <f t="shared" si="168"/>
        <v>0</v>
      </c>
      <c r="BL420" s="654"/>
      <c r="BM420" s="692">
        <f>SUMIFS(Imput[[Importe Neto]:[Importe Neto]],Imput[[C. Imp.]:[C. Imp.]],$D420,Imput[[PERIODO Imp.]:[PERIODO Imp.]],BM$9)</f>
        <v>0</v>
      </c>
      <c r="BN420" s="693">
        <f>SUMIFS(Imput[[Importe Neto]:[Importe Neto]],Imput[[C. Imp.]:[C. Imp.]],$D420,Imput[[PERIODO Imp.]:[PERIODO Imp.]],BN$9)</f>
        <v>0</v>
      </c>
      <c r="BO420" s="693">
        <f>SUMIFS(Imput[[Importe Neto]:[Importe Neto]],Imput[[C. Imp.]:[C. Imp.]],$D420,Imput[[PERIODO Imp.]:[PERIODO Imp.]],BO$9)</f>
        <v>0</v>
      </c>
      <c r="BP420" s="693">
        <f>SUMIFS(Imput[[Importe Neto]:[Importe Neto]],Imput[[C. Imp.]:[C. Imp.]],$D420,Imput[[PERIODO Imp.]:[PERIODO Imp.]],BP$9)</f>
        <v>0</v>
      </c>
      <c r="BQ420" s="693">
        <f>SUMIFS(Imput[[Importe Neto]:[Importe Neto]],Imput[[C. Imp.]:[C. Imp.]],$D420,Imput[[PERIODO Imp.]:[PERIODO Imp.]],BQ$9)</f>
        <v>0</v>
      </c>
      <c r="BR420" s="693">
        <f>SUMIFS(Imput[[Importe Neto]:[Importe Neto]],Imput[[C. Imp.]:[C. Imp.]],$D420,Imput[[PERIODO Imp.]:[PERIODO Imp.]],BR$9)</f>
        <v>0</v>
      </c>
      <c r="BS420" s="693">
        <f>SUMIFS(Imput[[Importe Neto]:[Importe Neto]],Imput[[C. Imp.]:[C. Imp.]],$D420,Imput[[PERIODO Imp.]:[PERIODO Imp.]],BS$9)</f>
        <v>0</v>
      </c>
      <c r="BT420" s="693">
        <f>SUMIFS(Imput[[Importe Neto]:[Importe Neto]],Imput[[C. Imp.]:[C. Imp.]],$D420,Imput[[PERIODO Imp.]:[PERIODO Imp.]],BT$9)</f>
        <v>0</v>
      </c>
      <c r="BU420" s="693">
        <f>SUMIFS(Imput[[Importe Neto]:[Importe Neto]],Imput[[C. Imp.]:[C. Imp.]],$D420,Imput[[PERIODO Imp.]:[PERIODO Imp.]],BU$9)</f>
        <v>0</v>
      </c>
      <c r="BV420" s="693">
        <f>SUMIFS(Imput[[Importe Neto]:[Importe Neto]],Imput[[C. Imp.]:[C. Imp.]],$D420,Imput[[PERIODO Imp.]:[PERIODO Imp.]],BV$9)</f>
        <v>0</v>
      </c>
      <c r="BW420" s="693">
        <f>SUMIFS(Imput[[Importe Neto]:[Importe Neto]],Imput[[C. Imp.]:[C. Imp.]],$D420,Imput[[PERIODO Imp.]:[PERIODO Imp.]],BW$9)</f>
        <v>0</v>
      </c>
      <c r="BX420" s="693">
        <f>SUMIFS(Imput[[Importe Neto]:[Importe Neto]],Imput[[C. Imp.]:[C. Imp.]],$D420,Imput[[PERIODO Imp.]:[PERIODO Imp.]],BX$9)</f>
        <v>0</v>
      </c>
      <c r="BY420" s="693">
        <f>SUMIFS(Imput[[Importe Neto]:[Importe Neto]],Imput[[C. Imp.]:[C. Imp.]],$D420,Imput[[PERIODO Imp.]:[PERIODO Imp.]],BY$9)</f>
        <v>0</v>
      </c>
      <c r="BZ420" s="693">
        <f>SUMIFS(Imput[[Importe Neto]:[Importe Neto]],Imput[[C. Imp.]:[C. Imp.]],$D420,Imput[[PERIODO Imp.]:[PERIODO Imp.]],BZ$9)</f>
        <v>0</v>
      </c>
      <c r="CA420" s="693">
        <f>SUMIFS(Imput[[Importe Neto]:[Importe Neto]],Imput[[C. Imp.]:[C. Imp.]],$D420,Imput[[PERIODO Imp.]:[PERIODO Imp.]],CA$9)</f>
        <v>0</v>
      </c>
      <c r="CB420" s="693">
        <f>SUMIFS(Imput[[Importe Neto]:[Importe Neto]],Imput[[C. Imp.]:[C. Imp.]],$D420,Imput[[PERIODO Imp.]:[PERIODO Imp.]],CB$9)</f>
        <v>0</v>
      </c>
      <c r="CC420" s="693">
        <f>SUMIFS(Imput[[Importe Neto]:[Importe Neto]],Imput[[C. Imp.]:[C. Imp.]],$D420,Imput[[PERIODO Imp.]:[PERIODO Imp.]],CC$9)</f>
        <v>0</v>
      </c>
      <c r="CD420" s="693">
        <f>SUMIFS(Imput[[Importe Neto]:[Importe Neto]],Imput[[C. Imp.]:[C. Imp.]],$D420,Imput[[PERIODO Imp.]:[PERIODO Imp.]],CD$9)</f>
        <v>0</v>
      </c>
      <c r="CE420" s="693">
        <f>SUMIFS(Imput[[Importe Neto]:[Importe Neto]],Imput[[C. Imp.]:[C. Imp.]],$D420,Imput[[PERIODO Imp.]:[PERIODO Imp.]],CE$9)</f>
        <v>0</v>
      </c>
      <c r="CF420" s="693">
        <f>SUMIFS(Imput[[Importe Neto]:[Importe Neto]],Imput[[C. Imp.]:[C. Imp.]],$D420,Imput[[PERIODO Imp.]:[PERIODO Imp.]],CF$9)</f>
        <v>0</v>
      </c>
      <c r="CG420" s="693">
        <f>SUMIFS(Imput[[Importe Neto]:[Importe Neto]],Imput[[C. Imp.]:[C. Imp.]],$D420,Imput[[PERIODO Imp.]:[PERIODO Imp.]],CG$9)</f>
        <v>0</v>
      </c>
      <c r="CH420" s="693">
        <f>SUMIFS(Imput[[Importe Neto]:[Importe Neto]],Imput[[C. Imp.]:[C. Imp.]],$D420,Imput[[PERIODO Imp.]:[PERIODO Imp.]],CH$9)</f>
        <v>0</v>
      </c>
      <c r="CI420" s="693">
        <f>SUMIFS(Imput[[Importe Neto]:[Importe Neto]],Imput[[C. Imp.]:[C. Imp.]],$D420,Imput[[PERIODO Imp.]:[PERIODO Imp.]],CI$9)</f>
        <v>0</v>
      </c>
      <c r="CJ420" s="693">
        <f>SUMIFS(Imput[[Importe Neto]:[Importe Neto]],Imput[[C. Imp.]:[C. Imp.]],$D420,Imput[[PERIODO Imp.]:[PERIODO Imp.]],CJ$9)</f>
        <v>0</v>
      </c>
      <c r="CK420" s="693">
        <f>SUMIFS(Imput[[Importe Neto]:[Importe Neto]],Imput[[C. Imp.]:[C. Imp.]],$D420,Imput[[PERIODO Imp.]:[PERIODO Imp.]],CK$9)</f>
        <v>0</v>
      </c>
      <c r="CL420" s="693">
        <f>SUMIFS(Imput[[Importe Neto]:[Importe Neto]],Imput[[C. Imp.]:[C. Imp.]],$D420,Imput[[PERIODO Imp.]:[PERIODO Imp.]],CL$9)</f>
        <v>0</v>
      </c>
      <c r="CM420" s="693">
        <f>SUMIFS(Imput[[Importe Neto]:[Importe Neto]],Imput[[C. Imp.]:[C. Imp.]],$D420,Imput[[PERIODO Imp.]:[PERIODO Imp.]],CM$9)</f>
        <v>0</v>
      </c>
      <c r="CN420" s="693">
        <f>SUMIFS(Imput[[Importe Neto]:[Importe Neto]],Imput[[C. Imp.]:[C. Imp.]],$D420,Imput[[PERIODO Imp.]:[PERIODO Imp.]],CN$9)</f>
        <v>0</v>
      </c>
      <c r="CO420" s="693">
        <f>SUMIFS(Imput[[Importe Neto]:[Importe Neto]],Imput[[C. Imp.]:[C. Imp.]],$D420,Imput[[PERIODO Imp.]:[PERIODO Imp.]],CO$9)</f>
        <v>0</v>
      </c>
      <c r="CP420" s="693">
        <f>SUMIFS(Imput[[Importe Neto]:[Importe Neto]],Imput[[C. Imp.]:[C. Imp.]],$D420,Imput[[PERIODO Imp.]:[PERIODO Imp.]],CP$9)</f>
        <v>0</v>
      </c>
      <c r="CQ420" s="693">
        <f>SUMIFS(Imput[[Importe Neto]:[Importe Neto]],Imput[[C. Imp.]:[C. Imp.]],$D420,Imput[[PERIODO Imp.]:[PERIODO Imp.]],CQ$9)</f>
        <v>0</v>
      </c>
      <c r="CR420" s="693">
        <f>SUMIFS(Imput[[Importe Neto]:[Importe Neto]],Imput[[C. Imp.]:[C. Imp.]],$D420,Imput[[PERIODO Imp.]:[PERIODO Imp.]],CR$9)</f>
        <v>0</v>
      </c>
      <c r="CS420" s="693">
        <f>SUMIFS(Imput[[Importe Neto]:[Importe Neto]],Imput[[C. Imp.]:[C. Imp.]],$D420,Imput[[PERIODO Imp.]:[PERIODO Imp.]],CS$9)</f>
        <v>0</v>
      </c>
      <c r="CT420" s="693">
        <f>SUMIFS(Imput[[Importe Neto]:[Importe Neto]],Imput[[C. Imp.]:[C. Imp.]],$D420,Imput[[PERIODO Imp.]:[PERIODO Imp.]],CT$9)</f>
        <v>0</v>
      </c>
      <c r="CU420" s="693">
        <f>SUMIFS(Imput[[Importe Neto]:[Importe Neto]],Imput[[C. Imp.]:[C. Imp.]],$D420,Imput[[PERIODO Imp.]:[PERIODO Imp.]],CU$9)</f>
        <v>0</v>
      </c>
      <c r="CV420" s="693">
        <f>SUMIFS(Imput[[Importe Neto]:[Importe Neto]],Imput[[C. Imp.]:[C. Imp.]],$D420,Imput[[PERIODO Imp.]:[PERIODO Imp.]],CV$9)</f>
        <v>0</v>
      </c>
      <c r="CW420" s="693">
        <f>SUMIFS(Imput[[Importe Neto]:[Importe Neto]],Imput[[C. Imp.]:[C. Imp.]],$D420,Imput[[PERIODO Imp.]:[PERIODO Imp.]],CW$9)</f>
        <v>0</v>
      </c>
      <c r="CX420" s="693">
        <f>SUMIFS(Imput[[Importe Neto]:[Importe Neto]],Imput[[C. Imp.]:[C. Imp.]],$D420,Imput[[PERIODO Imp.]:[PERIODO Imp.]],CX$9)</f>
        <v>0</v>
      </c>
      <c r="CY420" s="693">
        <f>SUMIFS(Imput[[Importe Neto]:[Importe Neto]],Imput[[C. Imp.]:[C. Imp.]],$D420,Imput[[PERIODO Imp.]:[PERIODO Imp.]],CY$9)</f>
        <v>0</v>
      </c>
      <c r="CZ420" s="693">
        <f>SUMIFS(Imput[[Importe Neto]:[Importe Neto]],Imput[[C. Imp.]:[C. Imp.]],$D420,Imput[[PERIODO Imp.]:[PERIODO Imp.]],CZ$9)</f>
        <v>0</v>
      </c>
      <c r="DA420" s="693">
        <f>SUMIFS(Imput[[Importe Neto]:[Importe Neto]],Imput[[C. Imp.]:[C. Imp.]],$D420,Imput[[PERIODO Imp.]:[PERIODO Imp.]],DA$9)</f>
        <v>0</v>
      </c>
      <c r="DB420" s="693">
        <f>SUMIFS(Imput[[Importe Neto]:[Importe Neto]],Imput[[C. Imp.]:[C. Imp.]],$D420,Imput[[PERIODO Imp.]:[PERIODO Imp.]],DB$9)</f>
        <v>0</v>
      </c>
      <c r="DC420" s="693">
        <f>SUMIFS(Imput[[Importe Neto]:[Importe Neto]],Imput[[C. Imp.]:[C. Imp.]],$D420,Imput[[PERIODO Imp.]:[PERIODO Imp.]],DC$9)</f>
        <v>0</v>
      </c>
      <c r="DD420" s="693">
        <f>SUMIFS(Imput[[Importe Neto]:[Importe Neto]],Imput[[C. Imp.]:[C. Imp.]],$D420,Imput[[PERIODO Imp.]:[PERIODO Imp.]],DD$9)</f>
        <v>0</v>
      </c>
      <c r="DE420" s="693">
        <f>SUMIFS(Imput[[Importe Neto]:[Importe Neto]],Imput[[C. Imp.]:[C. Imp.]],$D420,Imput[[PERIODO Imp.]:[PERIODO Imp.]],DE$9)</f>
        <v>0</v>
      </c>
      <c r="DF420" s="693">
        <f>SUMIFS(Imput[[Importe Neto]:[Importe Neto]],Imput[[C. Imp.]:[C. Imp.]],$D420,Imput[[PERIODO Imp.]:[PERIODO Imp.]],DF$9)</f>
        <v>0</v>
      </c>
      <c r="DG420" s="693">
        <f>SUMIFS(Imput[[Importe Neto]:[Importe Neto]],Imput[[C. Imp.]:[C. Imp.]],$D420,Imput[[PERIODO Imp.]:[PERIODO Imp.]],DG$9)</f>
        <v>0</v>
      </c>
      <c r="DH420" s="694">
        <f>SUMIFS(Imput[[Importe Neto]:[Importe Neto]],Imput[[C. Imp.]:[C. Imp.]],$D420,Imput[[PERIODO Imp.]:[PERIODO Imp.]],DH$9)</f>
        <v>0</v>
      </c>
    </row>
    <row r="421" spans="1:112" s="649" customFormat="1" hidden="1" outlineLevel="1" x14ac:dyDescent="0.3">
      <c r="A421" s="652" t="str">
        <f t="shared" si="164"/>
        <v/>
      </c>
      <c r="B421" s="652"/>
      <c r="C421" s="685"/>
      <c r="D421" s="686" t="s">
        <v>2477</v>
      </c>
      <c r="E421" s="686"/>
      <c r="F421" s="720"/>
      <c r="G421" s="688"/>
      <c r="H421" s="696"/>
      <c r="I421" s="851" t="str">
        <f t="shared" si="165"/>
        <v/>
      </c>
      <c r="J421" s="517" t="str">
        <f t="shared" si="166"/>
        <v/>
      </c>
      <c r="K421" s="667"/>
      <c r="L421" s="858"/>
      <c r="M421" s="859"/>
      <c r="N421" s="859"/>
      <c r="O421" s="859"/>
      <c r="P421" s="859"/>
      <c r="Q421" s="859"/>
      <c r="R421" s="859"/>
      <c r="S421" s="859"/>
      <c r="T421" s="859"/>
      <c r="U421" s="859"/>
      <c r="V421" s="859"/>
      <c r="W421" s="859"/>
      <c r="X421" s="859"/>
      <c r="Y421" s="859"/>
      <c r="Z421" s="860"/>
      <c r="AA421" s="860"/>
      <c r="AB421" s="860"/>
      <c r="AC421" s="860"/>
      <c r="AD421" s="860"/>
      <c r="AE421" s="860"/>
      <c r="AF421" s="860"/>
      <c r="AG421" s="860"/>
      <c r="AH421" s="860"/>
      <c r="AI421" s="860"/>
      <c r="AJ421" s="860"/>
      <c r="AK421" s="860"/>
      <c r="AL421" s="860"/>
      <c r="AM421" s="860"/>
      <c r="AN421" s="860"/>
      <c r="AO421" s="860"/>
      <c r="AP421" s="860"/>
      <c r="AQ421" s="860"/>
      <c r="AR421" s="860"/>
      <c r="AS421" s="860"/>
      <c r="AT421" s="860"/>
      <c r="AU421" s="860"/>
      <c r="AV421" s="860"/>
      <c r="AW421" s="860"/>
      <c r="AX421" s="860"/>
      <c r="AY421" s="860"/>
      <c r="AZ421" s="860"/>
      <c r="BA421" s="860"/>
      <c r="BB421" s="860"/>
      <c r="BC421" s="860"/>
      <c r="BD421" s="860"/>
      <c r="BE421" s="860"/>
      <c r="BF421" s="860"/>
      <c r="BG421" s="860"/>
      <c r="BH421" s="668"/>
      <c r="BI421" s="654"/>
      <c r="BJ421" s="690">
        <f t="shared" si="167"/>
        <v>0</v>
      </c>
      <c r="BK421" s="691">
        <f t="shared" si="168"/>
        <v>0</v>
      </c>
      <c r="BL421" s="654"/>
      <c r="BM421" s="697">
        <f>SUMIFS(Imput[[Importe Neto]:[Importe Neto]],Imput[[C. Imp.]:[C. Imp.]],$D421,Imput[[PERIODO Imp.]:[PERIODO Imp.]],BM$9)</f>
        <v>0</v>
      </c>
      <c r="BN421" s="698">
        <f>SUMIFS(Imput[[Importe Neto]:[Importe Neto]],Imput[[C. Imp.]:[C. Imp.]],$D421,Imput[[PERIODO Imp.]:[PERIODO Imp.]],BN$9)</f>
        <v>0</v>
      </c>
      <c r="BO421" s="698">
        <f>SUMIFS(Imput[[Importe Neto]:[Importe Neto]],Imput[[C. Imp.]:[C. Imp.]],$D421,Imput[[PERIODO Imp.]:[PERIODO Imp.]],BO$9)</f>
        <v>0</v>
      </c>
      <c r="BP421" s="698">
        <f>SUMIFS(Imput[[Importe Neto]:[Importe Neto]],Imput[[C. Imp.]:[C. Imp.]],$D421,Imput[[PERIODO Imp.]:[PERIODO Imp.]],BP$9)</f>
        <v>0</v>
      </c>
      <c r="BQ421" s="698">
        <f>SUMIFS(Imput[[Importe Neto]:[Importe Neto]],Imput[[C. Imp.]:[C. Imp.]],$D421,Imput[[PERIODO Imp.]:[PERIODO Imp.]],BQ$9)</f>
        <v>0</v>
      </c>
      <c r="BR421" s="698">
        <f>SUMIFS(Imput[[Importe Neto]:[Importe Neto]],Imput[[C. Imp.]:[C. Imp.]],$D421,Imput[[PERIODO Imp.]:[PERIODO Imp.]],BR$9)</f>
        <v>0</v>
      </c>
      <c r="BS421" s="698">
        <f>SUMIFS(Imput[[Importe Neto]:[Importe Neto]],Imput[[C. Imp.]:[C. Imp.]],$D421,Imput[[PERIODO Imp.]:[PERIODO Imp.]],BS$9)</f>
        <v>0</v>
      </c>
      <c r="BT421" s="698">
        <f>SUMIFS(Imput[[Importe Neto]:[Importe Neto]],Imput[[C. Imp.]:[C. Imp.]],$D421,Imput[[PERIODO Imp.]:[PERIODO Imp.]],BT$9)</f>
        <v>0</v>
      </c>
      <c r="BU421" s="698">
        <f>SUMIFS(Imput[[Importe Neto]:[Importe Neto]],Imput[[C. Imp.]:[C. Imp.]],$D421,Imput[[PERIODO Imp.]:[PERIODO Imp.]],BU$9)</f>
        <v>0</v>
      </c>
      <c r="BV421" s="698">
        <f>SUMIFS(Imput[[Importe Neto]:[Importe Neto]],Imput[[C. Imp.]:[C. Imp.]],$D421,Imput[[PERIODO Imp.]:[PERIODO Imp.]],BV$9)</f>
        <v>0</v>
      </c>
      <c r="BW421" s="698">
        <f>SUMIFS(Imput[[Importe Neto]:[Importe Neto]],Imput[[C. Imp.]:[C. Imp.]],$D421,Imput[[PERIODO Imp.]:[PERIODO Imp.]],BW$9)</f>
        <v>0</v>
      </c>
      <c r="BX421" s="698">
        <f>SUMIFS(Imput[[Importe Neto]:[Importe Neto]],Imput[[C. Imp.]:[C. Imp.]],$D421,Imput[[PERIODO Imp.]:[PERIODO Imp.]],BX$9)</f>
        <v>0</v>
      </c>
      <c r="BY421" s="698">
        <f>SUMIFS(Imput[[Importe Neto]:[Importe Neto]],Imput[[C. Imp.]:[C. Imp.]],$D421,Imput[[PERIODO Imp.]:[PERIODO Imp.]],BY$9)</f>
        <v>0</v>
      </c>
      <c r="BZ421" s="698">
        <f>SUMIFS(Imput[[Importe Neto]:[Importe Neto]],Imput[[C. Imp.]:[C. Imp.]],$D421,Imput[[PERIODO Imp.]:[PERIODO Imp.]],BZ$9)</f>
        <v>0</v>
      </c>
      <c r="CA421" s="698">
        <f>SUMIFS(Imput[[Importe Neto]:[Importe Neto]],Imput[[C. Imp.]:[C. Imp.]],$D421,Imput[[PERIODO Imp.]:[PERIODO Imp.]],CA$9)</f>
        <v>0</v>
      </c>
      <c r="CB421" s="698">
        <f>SUMIFS(Imput[[Importe Neto]:[Importe Neto]],Imput[[C. Imp.]:[C. Imp.]],$D421,Imput[[PERIODO Imp.]:[PERIODO Imp.]],CB$9)</f>
        <v>0</v>
      </c>
      <c r="CC421" s="698">
        <f>SUMIFS(Imput[[Importe Neto]:[Importe Neto]],Imput[[C. Imp.]:[C. Imp.]],$D421,Imput[[PERIODO Imp.]:[PERIODO Imp.]],CC$9)</f>
        <v>0</v>
      </c>
      <c r="CD421" s="698">
        <f>SUMIFS(Imput[[Importe Neto]:[Importe Neto]],Imput[[C. Imp.]:[C. Imp.]],$D421,Imput[[PERIODO Imp.]:[PERIODO Imp.]],CD$9)</f>
        <v>0</v>
      </c>
      <c r="CE421" s="698">
        <f>SUMIFS(Imput[[Importe Neto]:[Importe Neto]],Imput[[C. Imp.]:[C. Imp.]],$D421,Imput[[PERIODO Imp.]:[PERIODO Imp.]],CE$9)</f>
        <v>0</v>
      </c>
      <c r="CF421" s="698">
        <f>SUMIFS(Imput[[Importe Neto]:[Importe Neto]],Imput[[C. Imp.]:[C. Imp.]],$D421,Imput[[PERIODO Imp.]:[PERIODO Imp.]],CF$9)</f>
        <v>0</v>
      </c>
      <c r="CG421" s="698">
        <f>SUMIFS(Imput[[Importe Neto]:[Importe Neto]],Imput[[C. Imp.]:[C. Imp.]],$D421,Imput[[PERIODO Imp.]:[PERIODO Imp.]],CG$9)</f>
        <v>0</v>
      </c>
      <c r="CH421" s="698">
        <f>SUMIFS(Imput[[Importe Neto]:[Importe Neto]],Imput[[C. Imp.]:[C. Imp.]],$D421,Imput[[PERIODO Imp.]:[PERIODO Imp.]],CH$9)</f>
        <v>0</v>
      </c>
      <c r="CI421" s="698">
        <f>SUMIFS(Imput[[Importe Neto]:[Importe Neto]],Imput[[C. Imp.]:[C. Imp.]],$D421,Imput[[PERIODO Imp.]:[PERIODO Imp.]],CI$9)</f>
        <v>0</v>
      </c>
      <c r="CJ421" s="698">
        <f>SUMIFS(Imput[[Importe Neto]:[Importe Neto]],Imput[[C. Imp.]:[C. Imp.]],$D421,Imput[[PERIODO Imp.]:[PERIODO Imp.]],CJ$9)</f>
        <v>0</v>
      </c>
      <c r="CK421" s="698">
        <f>SUMIFS(Imput[[Importe Neto]:[Importe Neto]],Imput[[C. Imp.]:[C. Imp.]],$D421,Imput[[PERIODO Imp.]:[PERIODO Imp.]],CK$9)</f>
        <v>0</v>
      </c>
      <c r="CL421" s="698">
        <f>SUMIFS(Imput[[Importe Neto]:[Importe Neto]],Imput[[C. Imp.]:[C. Imp.]],$D421,Imput[[PERIODO Imp.]:[PERIODO Imp.]],CL$9)</f>
        <v>0</v>
      </c>
      <c r="CM421" s="698">
        <f>SUMIFS(Imput[[Importe Neto]:[Importe Neto]],Imput[[C. Imp.]:[C. Imp.]],$D421,Imput[[PERIODO Imp.]:[PERIODO Imp.]],CM$9)</f>
        <v>0</v>
      </c>
      <c r="CN421" s="698">
        <f>SUMIFS(Imput[[Importe Neto]:[Importe Neto]],Imput[[C. Imp.]:[C. Imp.]],$D421,Imput[[PERIODO Imp.]:[PERIODO Imp.]],CN$9)</f>
        <v>0</v>
      </c>
      <c r="CO421" s="698">
        <f>SUMIFS(Imput[[Importe Neto]:[Importe Neto]],Imput[[C. Imp.]:[C. Imp.]],$D421,Imput[[PERIODO Imp.]:[PERIODO Imp.]],CO$9)</f>
        <v>0</v>
      </c>
      <c r="CP421" s="698">
        <f>SUMIFS(Imput[[Importe Neto]:[Importe Neto]],Imput[[C. Imp.]:[C. Imp.]],$D421,Imput[[PERIODO Imp.]:[PERIODO Imp.]],CP$9)</f>
        <v>0</v>
      </c>
      <c r="CQ421" s="698">
        <f>SUMIFS(Imput[[Importe Neto]:[Importe Neto]],Imput[[C. Imp.]:[C. Imp.]],$D421,Imput[[PERIODO Imp.]:[PERIODO Imp.]],CQ$9)</f>
        <v>0</v>
      </c>
      <c r="CR421" s="698">
        <f>SUMIFS(Imput[[Importe Neto]:[Importe Neto]],Imput[[C. Imp.]:[C. Imp.]],$D421,Imput[[PERIODO Imp.]:[PERIODO Imp.]],CR$9)</f>
        <v>0</v>
      </c>
      <c r="CS421" s="698">
        <f>SUMIFS(Imput[[Importe Neto]:[Importe Neto]],Imput[[C. Imp.]:[C. Imp.]],$D421,Imput[[PERIODO Imp.]:[PERIODO Imp.]],CS$9)</f>
        <v>0</v>
      </c>
      <c r="CT421" s="698">
        <f>SUMIFS(Imput[[Importe Neto]:[Importe Neto]],Imput[[C. Imp.]:[C. Imp.]],$D421,Imput[[PERIODO Imp.]:[PERIODO Imp.]],CT$9)</f>
        <v>0</v>
      </c>
      <c r="CU421" s="698">
        <f>SUMIFS(Imput[[Importe Neto]:[Importe Neto]],Imput[[C. Imp.]:[C. Imp.]],$D421,Imput[[PERIODO Imp.]:[PERIODO Imp.]],CU$9)</f>
        <v>0</v>
      </c>
      <c r="CV421" s="698">
        <f>SUMIFS(Imput[[Importe Neto]:[Importe Neto]],Imput[[C. Imp.]:[C. Imp.]],$D421,Imput[[PERIODO Imp.]:[PERIODO Imp.]],CV$9)</f>
        <v>0</v>
      </c>
      <c r="CW421" s="698">
        <f>SUMIFS(Imput[[Importe Neto]:[Importe Neto]],Imput[[C. Imp.]:[C. Imp.]],$D421,Imput[[PERIODO Imp.]:[PERIODO Imp.]],CW$9)</f>
        <v>0</v>
      </c>
      <c r="CX421" s="698">
        <f>SUMIFS(Imput[[Importe Neto]:[Importe Neto]],Imput[[C. Imp.]:[C. Imp.]],$D421,Imput[[PERIODO Imp.]:[PERIODO Imp.]],CX$9)</f>
        <v>0</v>
      </c>
      <c r="CY421" s="698">
        <f>SUMIFS(Imput[[Importe Neto]:[Importe Neto]],Imput[[C. Imp.]:[C. Imp.]],$D421,Imput[[PERIODO Imp.]:[PERIODO Imp.]],CY$9)</f>
        <v>0</v>
      </c>
      <c r="CZ421" s="698">
        <f>SUMIFS(Imput[[Importe Neto]:[Importe Neto]],Imput[[C. Imp.]:[C. Imp.]],$D421,Imput[[PERIODO Imp.]:[PERIODO Imp.]],CZ$9)</f>
        <v>0</v>
      </c>
      <c r="DA421" s="698">
        <f>SUMIFS(Imput[[Importe Neto]:[Importe Neto]],Imput[[C. Imp.]:[C. Imp.]],$D421,Imput[[PERIODO Imp.]:[PERIODO Imp.]],DA$9)</f>
        <v>0</v>
      </c>
      <c r="DB421" s="698">
        <f>SUMIFS(Imput[[Importe Neto]:[Importe Neto]],Imput[[C. Imp.]:[C. Imp.]],$D421,Imput[[PERIODO Imp.]:[PERIODO Imp.]],DB$9)</f>
        <v>0</v>
      </c>
      <c r="DC421" s="698">
        <f>SUMIFS(Imput[[Importe Neto]:[Importe Neto]],Imput[[C. Imp.]:[C. Imp.]],$D421,Imput[[PERIODO Imp.]:[PERIODO Imp.]],DC$9)</f>
        <v>0</v>
      </c>
      <c r="DD421" s="698">
        <f>SUMIFS(Imput[[Importe Neto]:[Importe Neto]],Imput[[C. Imp.]:[C. Imp.]],$D421,Imput[[PERIODO Imp.]:[PERIODO Imp.]],DD$9)</f>
        <v>0</v>
      </c>
      <c r="DE421" s="698">
        <f>SUMIFS(Imput[[Importe Neto]:[Importe Neto]],Imput[[C. Imp.]:[C. Imp.]],$D421,Imput[[PERIODO Imp.]:[PERIODO Imp.]],DE$9)</f>
        <v>0</v>
      </c>
      <c r="DF421" s="698">
        <f>SUMIFS(Imput[[Importe Neto]:[Importe Neto]],Imput[[C. Imp.]:[C. Imp.]],$D421,Imput[[PERIODO Imp.]:[PERIODO Imp.]],DF$9)</f>
        <v>0</v>
      </c>
      <c r="DG421" s="698">
        <f>SUMIFS(Imput[[Importe Neto]:[Importe Neto]],Imput[[C. Imp.]:[C. Imp.]],$D421,Imput[[PERIODO Imp.]:[PERIODO Imp.]],DG$9)</f>
        <v>0</v>
      </c>
      <c r="DH421" s="795">
        <f>SUMIFS(Imput[[Importe Neto]:[Importe Neto]],Imput[[C. Imp.]:[C. Imp.]],$D421,Imput[[PERIODO Imp.]:[PERIODO Imp.]],DH$9)</f>
        <v>0</v>
      </c>
    </row>
    <row r="422" spans="1:112" s="649" customFormat="1" ht="14.4" outlineLevel="1" thickBot="1" x14ac:dyDescent="0.35">
      <c r="A422" s="652" t="str">
        <f>IF(J410&gt;0,"Imprimir","")</f>
        <v>Imprimir</v>
      </c>
      <c r="B422" s="652"/>
      <c r="C422" s="699"/>
      <c r="D422" s="700"/>
      <c r="E422" s="700"/>
      <c r="F422" s="701"/>
      <c r="G422" s="702"/>
      <c r="H422" s="703"/>
      <c r="I422" s="704"/>
      <c r="J422" s="705"/>
      <c r="K422" s="667"/>
      <c r="L422" s="706"/>
      <c r="M422" s="707"/>
      <c r="N422" s="777"/>
      <c r="O422" s="777"/>
      <c r="P422" s="778"/>
      <c r="Q422" s="778"/>
      <c r="R422" s="708"/>
      <c r="S422" s="708"/>
      <c r="T422" s="779"/>
      <c r="U422" s="779"/>
      <c r="V422" s="778"/>
      <c r="W422" s="778"/>
      <c r="X422" s="708"/>
      <c r="Y422" s="708"/>
      <c r="Z422" s="708"/>
      <c r="AA422" s="708"/>
      <c r="AB422" s="708"/>
      <c r="AC422" s="708"/>
      <c r="AD422" s="708"/>
      <c r="AE422" s="708"/>
      <c r="AF422" s="708"/>
      <c r="AG422" s="708"/>
      <c r="AH422" s="708"/>
      <c r="AI422" s="708"/>
      <c r="AJ422" s="708"/>
      <c r="AK422" s="708"/>
      <c r="AL422" s="708"/>
      <c r="AM422" s="708"/>
      <c r="AN422" s="708"/>
      <c r="AO422" s="708"/>
      <c r="AP422" s="708"/>
      <c r="AQ422" s="708"/>
      <c r="AR422" s="708"/>
      <c r="AS422" s="708"/>
      <c r="AT422" s="708"/>
      <c r="AU422" s="708"/>
      <c r="AV422" s="708"/>
      <c r="AW422" s="708"/>
      <c r="AX422" s="708"/>
      <c r="AY422" s="708"/>
      <c r="AZ422" s="708"/>
      <c r="BA422" s="708"/>
      <c r="BB422" s="708"/>
      <c r="BC422" s="708"/>
      <c r="BD422" s="708"/>
      <c r="BE422" s="708"/>
      <c r="BF422" s="708"/>
      <c r="BG422" s="708"/>
      <c r="BH422" s="780"/>
      <c r="BI422" s="654"/>
      <c r="BJ422" s="709"/>
      <c r="BK422" s="710"/>
      <c r="BL422" s="654"/>
      <c r="BM422" s="731"/>
      <c r="BN422" s="701"/>
      <c r="BO422" s="701"/>
      <c r="BP422" s="701"/>
      <c r="BQ422" s="701"/>
      <c r="BR422" s="701"/>
      <c r="BS422" s="701"/>
      <c r="BT422" s="701"/>
      <c r="BU422" s="701"/>
      <c r="BV422" s="701"/>
      <c r="BW422" s="701"/>
      <c r="BX422" s="701"/>
      <c r="BY422" s="701"/>
      <c r="BZ422" s="701"/>
      <c r="CA422" s="701"/>
      <c r="CB422" s="701"/>
      <c r="CC422" s="701"/>
      <c r="CD422" s="701"/>
      <c r="CE422" s="701"/>
      <c r="CF422" s="701"/>
      <c r="CG422" s="701"/>
      <c r="CH422" s="701"/>
      <c r="CI422" s="701"/>
      <c r="CJ422" s="701"/>
      <c r="CK422" s="701"/>
      <c r="CL422" s="701"/>
      <c r="CM422" s="701"/>
      <c r="CN422" s="701"/>
      <c r="CO422" s="701"/>
      <c r="CP422" s="701"/>
      <c r="CQ422" s="701"/>
      <c r="CR422" s="701"/>
      <c r="CS422" s="701"/>
      <c r="CT422" s="701"/>
      <c r="CU422" s="701"/>
      <c r="CV422" s="701"/>
      <c r="CW422" s="701"/>
      <c r="CX422" s="701"/>
      <c r="CY422" s="701"/>
      <c r="CZ422" s="701"/>
      <c r="DA422" s="701"/>
      <c r="DB422" s="701"/>
      <c r="DC422" s="701"/>
      <c r="DD422" s="701"/>
      <c r="DE422" s="701"/>
      <c r="DF422" s="701"/>
      <c r="DG422" s="701"/>
      <c r="DH422" s="710"/>
    </row>
    <row r="423" spans="1:112" s="649" customFormat="1" ht="14.4" hidden="1" thickBot="1" x14ac:dyDescent="0.35">
      <c r="A423" s="652" t="str">
        <f>IF(J423&gt;0,"Imprimir","")</f>
        <v/>
      </c>
      <c r="B423" s="652"/>
      <c r="C423" s="711"/>
      <c r="D423" s="712" t="s">
        <v>453</v>
      </c>
      <c r="E423" s="712" t="s">
        <v>507</v>
      </c>
      <c r="F423" s="712"/>
      <c r="G423" s="713"/>
      <c r="H423" s="712"/>
      <c r="I423" s="714"/>
      <c r="J423" s="715">
        <f>SUBTOTAL(9,J426:J445)</f>
        <v>0</v>
      </c>
      <c r="K423" s="658"/>
      <c r="L423" s="770">
        <f t="shared" ref="L423:BG423" si="169">SUMPRODUCT($J426:$J445,L426:L445)</f>
        <v>0</v>
      </c>
      <c r="M423" s="771">
        <f t="shared" si="169"/>
        <v>0</v>
      </c>
      <c r="N423" s="771">
        <f t="shared" si="169"/>
        <v>0</v>
      </c>
      <c r="O423" s="771">
        <f t="shared" si="169"/>
        <v>0</v>
      </c>
      <c r="P423" s="771">
        <f t="shared" si="169"/>
        <v>0</v>
      </c>
      <c r="Q423" s="771">
        <f t="shared" si="169"/>
        <v>0</v>
      </c>
      <c r="R423" s="771">
        <f t="shared" si="169"/>
        <v>0</v>
      </c>
      <c r="S423" s="771">
        <f t="shared" si="169"/>
        <v>0</v>
      </c>
      <c r="T423" s="771">
        <f t="shared" si="169"/>
        <v>0</v>
      </c>
      <c r="U423" s="771">
        <f t="shared" si="169"/>
        <v>0</v>
      </c>
      <c r="V423" s="771">
        <f t="shared" si="169"/>
        <v>0</v>
      </c>
      <c r="W423" s="771">
        <f t="shared" si="169"/>
        <v>0</v>
      </c>
      <c r="X423" s="771">
        <f t="shared" si="169"/>
        <v>0</v>
      </c>
      <c r="Y423" s="771">
        <f t="shared" si="169"/>
        <v>0</v>
      </c>
      <c r="Z423" s="771">
        <f t="shared" si="169"/>
        <v>0</v>
      </c>
      <c r="AA423" s="771">
        <f t="shared" si="169"/>
        <v>0</v>
      </c>
      <c r="AB423" s="771">
        <f t="shared" si="169"/>
        <v>0</v>
      </c>
      <c r="AC423" s="771">
        <f t="shared" si="169"/>
        <v>0</v>
      </c>
      <c r="AD423" s="771">
        <f t="shared" si="169"/>
        <v>0</v>
      </c>
      <c r="AE423" s="771">
        <f t="shared" si="169"/>
        <v>0</v>
      </c>
      <c r="AF423" s="771">
        <f t="shared" si="169"/>
        <v>0</v>
      </c>
      <c r="AG423" s="771">
        <f t="shared" si="169"/>
        <v>0</v>
      </c>
      <c r="AH423" s="771">
        <f t="shared" si="169"/>
        <v>0</v>
      </c>
      <c r="AI423" s="771">
        <f t="shared" si="169"/>
        <v>0</v>
      </c>
      <c r="AJ423" s="771">
        <f t="shared" si="169"/>
        <v>0</v>
      </c>
      <c r="AK423" s="771">
        <f t="shared" si="169"/>
        <v>0</v>
      </c>
      <c r="AL423" s="771">
        <f t="shared" si="169"/>
        <v>0</v>
      </c>
      <c r="AM423" s="771">
        <f t="shared" si="169"/>
        <v>0</v>
      </c>
      <c r="AN423" s="771">
        <f t="shared" si="169"/>
        <v>0</v>
      </c>
      <c r="AO423" s="771">
        <f t="shared" si="169"/>
        <v>0</v>
      </c>
      <c r="AP423" s="771">
        <f t="shared" si="169"/>
        <v>0</v>
      </c>
      <c r="AQ423" s="771">
        <f t="shared" si="169"/>
        <v>0</v>
      </c>
      <c r="AR423" s="771">
        <f t="shared" si="169"/>
        <v>0</v>
      </c>
      <c r="AS423" s="771">
        <f t="shared" si="169"/>
        <v>0</v>
      </c>
      <c r="AT423" s="771">
        <f t="shared" si="169"/>
        <v>0</v>
      </c>
      <c r="AU423" s="771">
        <f t="shared" si="169"/>
        <v>0</v>
      </c>
      <c r="AV423" s="771">
        <f t="shared" si="169"/>
        <v>0</v>
      </c>
      <c r="AW423" s="771">
        <f t="shared" si="169"/>
        <v>0</v>
      </c>
      <c r="AX423" s="771">
        <f t="shared" si="169"/>
        <v>0</v>
      </c>
      <c r="AY423" s="771">
        <f t="shared" si="169"/>
        <v>0</v>
      </c>
      <c r="AZ423" s="771">
        <f t="shared" si="169"/>
        <v>0</v>
      </c>
      <c r="BA423" s="771">
        <f t="shared" si="169"/>
        <v>0</v>
      </c>
      <c r="BB423" s="771">
        <f t="shared" si="169"/>
        <v>0</v>
      </c>
      <c r="BC423" s="771">
        <f t="shared" si="169"/>
        <v>0</v>
      </c>
      <c r="BD423" s="771">
        <f t="shared" si="169"/>
        <v>0</v>
      </c>
      <c r="BE423" s="771">
        <f t="shared" si="169"/>
        <v>0</v>
      </c>
      <c r="BF423" s="771">
        <f t="shared" si="169"/>
        <v>0</v>
      </c>
      <c r="BG423" s="764">
        <f t="shared" si="169"/>
        <v>0</v>
      </c>
      <c r="BH423" s="776"/>
      <c r="BI423" s="654"/>
      <c r="BJ423" s="659">
        <f>IFERROR(13/J423,0)</f>
        <v>0</v>
      </c>
      <c r="BK423" s="660">
        <f>SUBTOTAL(9,BK424:BK445)</f>
        <v>0</v>
      </c>
      <c r="BL423" s="654"/>
      <c r="BM423" s="661">
        <f t="shared" ref="BM423:DH423" si="170">SUBTOTAL(9,BM424:BM445)</f>
        <v>0</v>
      </c>
      <c r="BN423" s="662">
        <f t="shared" si="170"/>
        <v>0</v>
      </c>
      <c r="BO423" s="662">
        <f t="shared" si="170"/>
        <v>0</v>
      </c>
      <c r="BP423" s="662">
        <f t="shared" si="170"/>
        <v>0</v>
      </c>
      <c r="BQ423" s="662">
        <f t="shared" si="170"/>
        <v>0</v>
      </c>
      <c r="BR423" s="662">
        <f t="shared" si="170"/>
        <v>0</v>
      </c>
      <c r="BS423" s="662">
        <f t="shared" si="170"/>
        <v>0</v>
      </c>
      <c r="BT423" s="662">
        <f t="shared" si="170"/>
        <v>0</v>
      </c>
      <c r="BU423" s="662">
        <f t="shared" si="170"/>
        <v>0</v>
      </c>
      <c r="BV423" s="662">
        <f t="shared" si="170"/>
        <v>0</v>
      </c>
      <c r="BW423" s="662">
        <f t="shared" si="170"/>
        <v>0</v>
      </c>
      <c r="BX423" s="662">
        <f t="shared" si="170"/>
        <v>0</v>
      </c>
      <c r="BY423" s="662">
        <f t="shared" si="170"/>
        <v>0</v>
      </c>
      <c r="BZ423" s="662">
        <f t="shared" si="170"/>
        <v>0</v>
      </c>
      <c r="CA423" s="662">
        <f t="shared" si="170"/>
        <v>0</v>
      </c>
      <c r="CB423" s="662">
        <f t="shared" si="170"/>
        <v>0</v>
      </c>
      <c r="CC423" s="662">
        <f t="shared" si="170"/>
        <v>0</v>
      </c>
      <c r="CD423" s="662">
        <f t="shared" si="170"/>
        <v>0</v>
      </c>
      <c r="CE423" s="662">
        <f t="shared" si="170"/>
        <v>0</v>
      </c>
      <c r="CF423" s="662">
        <f t="shared" si="170"/>
        <v>0</v>
      </c>
      <c r="CG423" s="662">
        <f t="shared" si="170"/>
        <v>0</v>
      </c>
      <c r="CH423" s="662">
        <f t="shared" si="170"/>
        <v>0</v>
      </c>
      <c r="CI423" s="662">
        <f t="shared" si="170"/>
        <v>0</v>
      </c>
      <c r="CJ423" s="662">
        <f t="shared" si="170"/>
        <v>0</v>
      </c>
      <c r="CK423" s="662">
        <f t="shared" si="170"/>
        <v>0</v>
      </c>
      <c r="CL423" s="662">
        <f t="shared" si="170"/>
        <v>0</v>
      </c>
      <c r="CM423" s="662">
        <f t="shared" si="170"/>
        <v>0</v>
      </c>
      <c r="CN423" s="662">
        <f t="shared" si="170"/>
        <v>0</v>
      </c>
      <c r="CO423" s="662">
        <f t="shared" si="170"/>
        <v>0</v>
      </c>
      <c r="CP423" s="662">
        <f t="shared" si="170"/>
        <v>0</v>
      </c>
      <c r="CQ423" s="662">
        <f t="shared" si="170"/>
        <v>0</v>
      </c>
      <c r="CR423" s="662">
        <f t="shared" si="170"/>
        <v>0</v>
      </c>
      <c r="CS423" s="662">
        <f t="shared" si="170"/>
        <v>0</v>
      </c>
      <c r="CT423" s="662">
        <f t="shared" si="170"/>
        <v>0</v>
      </c>
      <c r="CU423" s="662">
        <f t="shared" si="170"/>
        <v>0</v>
      </c>
      <c r="CV423" s="662">
        <f t="shared" si="170"/>
        <v>0</v>
      </c>
      <c r="CW423" s="662">
        <f t="shared" si="170"/>
        <v>0</v>
      </c>
      <c r="CX423" s="662">
        <f t="shared" si="170"/>
        <v>0</v>
      </c>
      <c r="CY423" s="662">
        <f t="shared" si="170"/>
        <v>0</v>
      </c>
      <c r="CZ423" s="662">
        <f t="shared" si="170"/>
        <v>0</v>
      </c>
      <c r="DA423" s="662">
        <f t="shared" si="170"/>
        <v>0</v>
      </c>
      <c r="DB423" s="662">
        <f t="shared" si="170"/>
        <v>0</v>
      </c>
      <c r="DC423" s="662">
        <f t="shared" si="170"/>
        <v>0</v>
      </c>
      <c r="DD423" s="662">
        <f t="shared" si="170"/>
        <v>0</v>
      </c>
      <c r="DE423" s="662">
        <f t="shared" si="170"/>
        <v>0</v>
      </c>
      <c r="DF423" s="662">
        <f t="shared" si="170"/>
        <v>0</v>
      </c>
      <c r="DG423" s="662">
        <f t="shared" si="170"/>
        <v>0</v>
      </c>
      <c r="DH423" s="663">
        <f t="shared" si="170"/>
        <v>0</v>
      </c>
    </row>
    <row r="424" spans="1:112" s="650" customFormat="1" ht="14.4" hidden="1" outlineLevel="1" thickBot="1" x14ac:dyDescent="0.35">
      <c r="A424" s="652" t="str">
        <f>IF(J423&gt;0,"Imprimir","")</f>
        <v/>
      </c>
      <c r="B424" s="722"/>
      <c r="C424" s="664"/>
      <c r="D424" s="665"/>
      <c r="E424" s="665"/>
      <c r="F424" s="665" t="s">
        <v>472</v>
      </c>
      <c r="G424" s="716" t="s">
        <v>508</v>
      </c>
      <c r="H424" s="665" t="str">
        <f>H251</f>
        <v>Cantidad</v>
      </c>
      <c r="I424" s="665" t="s">
        <v>509</v>
      </c>
      <c r="J424" s="104" t="s">
        <v>29</v>
      </c>
      <c r="K424" s="723"/>
      <c r="L424" s="745"/>
      <c r="M424" s="741"/>
      <c r="N424" s="741"/>
      <c r="O424" s="741"/>
      <c r="P424" s="741"/>
      <c r="Q424" s="741"/>
      <c r="R424" s="741"/>
      <c r="S424" s="741"/>
      <c r="T424" s="741"/>
      <c r="U424" s="741"/>
      <c r="V424" s="741"/>
      <c r="W424" s="741"/>
      <c r="X424" s="741"/>
      <c r="Y424" s="741"/>
      <c r="Z424" s="741"/>
      <c r="AA424" s="741"/>
      <c r="AB424" s="741"/>
      <c r="AC424" s="741"/>
      <c r="AD424" s="741"/>
      <c r="AE424" s="741"/>
      <c r="AF424" s="741"/>
      <c r="AG424" s="741"/>
      <c r="AH424" s="741"/>
      <c r="AI424" s="741"/>
      <c r="AJ424" s="741"/>
      <c r="AK424" s="741"/>
      <c r="AL424" s="741"/>
      <c r="AM424" s="741"/>
      <c r="AN424" s="741"/>
      <c r="AO424" s="741"/>
      <c r="AP424" s="741"/>
      <c r="AQ424" s="741"/>
      <c r="AR424" s="741"/>
      <c r="AS424" s="741"/>
      <c r="AT424" s="741"/>
      <c r="AU424" s="741"/>
      <c r="AV424" s="741"/>
      <c r="AW424" s="741"/>
      <c r="AX424" s="741"/>
      <c r="AY424" s="741"/>
      <c r="AZ424" s="741"/>
      <c r="BA424" s="741"/>
      <c r="BB424" s="741"/>
      <c r="BC424" s="741"/>
      <c r="BD424" s="741"/>
      <c r="BE424" s="741"/>
      <c r="BF424" s="741"/>
      <c r="BG424" s="741"/>
      <c r="BH424" s="724"/>
      <c r="BI424" s="725"/>
      <c r="BJ424" s="669"/>
      <c r="BK424" s="670"/>
      <c r="BL424" s="725"/>
      <c r="BM424" s="671"/>
      <c r="BN424" s="665"/>
      <c r="BO424" s="665"/>
      <c r="BP424" s="665"/>
      <c r="BQ424" s="665"/>
      <c r="BR424" s="665"/>
      <c r="BS424" s="665"/>
      <c r="BT424" s="665"/>
      <c r="BU424" s="665"/>
      <c r="BV424" s="665"/>
      <c r="BW424" s="665"/>
      <c r="BX424" s="665"/>
      <c r="BY424" s="665"/>
      <c r="BZ424" s="665"/>
      <c r="CA424" s="665"/>
      <c r="CB424" s="665"/>
      <c r="CC424" s="665"/>
      <c r="CD424" s="665"/>
      <c r="CE424" s="665"/>
      <c r="CF424" s="665"/>
      <c r="CG424" s="665"/>
      <c r="CH424" s="665"/>
      <c r="CI424" s="665"/>
      <c r="CJ424" s="665"/>
      <c r="CK424" s="665"/>
      <c r="CL424" s="665"/>
      <c r="CM424" s="665"/>
      <c r="CN424" s="665"/>
      <c r="CO424" s="665"/>
      <c r="CP424" s="665"/>
      <c r="CQ424" s="665"/>
      <c r="CR424" s="665"/>
      <c r="CS424" s="665"/>
      <c r="CT424" s="665"/>
      <c r="CU424" s="665"/>
      <c r="CV424" s="665"/>
      <c r="CW424" s="665"/>
      <c r="CX424" s="665"/>
      <c r="CY424" s="665"/>
      <c r="CZ424" s="665"/>
      <c r="DA424" s="665"/>
      <c r="DB424" s="665"/>
      <c r="DC424" s="665"/>
      <c r="DD424" s="665"/>
      <c r="DE424" s="665"/>
      <c r="DF424" s="665"/>
      <c r="DG424" s="665"/>
      <c r="DH424" s="666"/>
    </row>
    <row r="425" spans="1:112" s="649" customFormat="1" ht="16.2" hidden="1" outlineLevel="1" thickBot="1" x14ac:dyDescent="0.35">
      <c r="A425" s="652" t="str">
        <f>IF(J425&gt;0,"Imprimir","")</f>
        <v/>
      </c>
      <c r="B425" s="652"/>
      <c r="C425" s="672"/>
      <c r="D425" s="673"/>
      <c r="E425" s="674"/>
      <c r="F425" s="675"/>
      <c r="G425" s="726"/>
      <c r="H425" s="676"/>
      <c r="I425" s="677"/>
      <c r="J425" s="219">
        <f>SUBTOTAL(9,J426:J445)</f>
        <v>0</v>
      </c>
      <c r="K425" s="678"/>
      <c r="L425" s="747"/>
      <c r="M425" s="742"/>
      <c r="N425" s="742"/>
      <c r="O425" s="742"/>
      <c r="P425" s="742"/>
      <c r="Q425" s="742"/>
      <c r="R425" s="742"/>
      <c r="S425" s="742"/>
      <c r="T425" s="742"/>
      <c r="U425" s="742"/>
      <c r="V425" s="742"/>
      <c r="W425" s="742"/>
      <c r="X425" s="742"/>
      <c r="Y425" s="742"/>
      <c r="Z425" s="742"/>
      <c r="AA425" s="742"/>
      <c r="AB425" s="742"/>
      <c r="AC425" s="742"/>
      <c r="AD425" s="742"/>
      <c r="AE425" s="742"/>
      <c r="AF425" s="742"/>
      <c r="AG425" s="742"/>
      <c r="AH425" s="742"/>
      <c r="AI425" s="742"/>
      <c r="AJ425" s="742"/>
      <c r="AK425" s="742"/>
      <c r="AL425" s="742"/>
      <c r="AM425" s="742"/>
      <c r="AN425" s="742"/>
      <c r="AO425" s="742"/>
      <c r="AP425" s="742"/>
      <c r="AQ425" s="742"/>
      <c r="AR425" s="742"/>
      <c r="AS425" s="742"/>
      <c r="AT425" s="742"/>
      <c r="AU425" s="742"/>
      <c r="AV425" s="742"/>
      <c r="AW425" s="742"/>
      <c r="AX425" s="742"/>
      <c r="AY425" s="742"/>
      <c r="AZ425" s="742"/>
      <c r="BA425" s="742"/>
      <c r="BB425" s="742"/>
      <c r="BC425" s="742"/>
      <c r="BD425" s="742"/>
      <c r="BE425" s="742"/>
      <c r="BF425" s="742"/>
      <c r="BG425" s="742"/>
      <c r="BH425" s="668"/>
      <c r="BI425" s="654"/>
      <c r="BJ425" s="729"/>
      <c r="BK425" s="681"/>
      <c r="BL425" s="654"/>
      <c r="BM425" s="682"/>
      <c r="BN425" s="683"/>
      <c r="BO425" s="683"/>
      <c r="BP425" s="683"/>
      <c r="BQ425" s="683"/>
      <c r="BR425" s="683"/>
      <c r="BS425" s="683"/>
      <c r="BT425" s="683"/>
      <c r="BU425" s="683"/>
      <c r="BV425" s="683"/>
      <c r="BW425" s="683"/>
      <c r="BX425" s="683"/>
      <c r="BY425" s="683"/>
      <c r="BZ425" s="683"/>
      <c r="CA425" s="683"/>
      <c r="CB425" s="683"/>
      <c r="CC425" s="683"/>
      <c r="CD425" s="683"/>
      <c r="CE425" s="683"/>
      <c r="CF425" s="683"/>
      <c r="CG425" s="683"/>
      <c r="CH425" s="683"/>
      <c r="CI425" s="683"/>
      <c r="CJ425" s="683"/>
      <c r="CK425" s="683"/>
      <c r="CL425" s="683"/>
      <c r="CM425" s="683"/>
      <c r="CN425" s="683"/>
      <c r="CO425" s="683"/>
      <c r="CP425" s="683"/>
      <c r="CQ425" s="683"/>
      <c r="CR425" s="683"/>
      <c r="CS425" s="683"/>
      <c r="CT425" s="683"/>
      <c r="CU425" s="683"/>
      <c r="CV425" s="683"/>
      <c r="CW425" s="683"/>
      <c r="CX425" s="683"/>
      <c r="CY425" s="683"/>
      <c r="CZ425" s="683"/>
      <c r="DA425" s="683"/>
      <c r="DB425" s="683"/>
      <c r="DC425" s="683"/>
      <c r="DD425" s="683"/>
      <c r="DE425" s="683"/>
      <c r="DF425" s="683"/>
      <c r="DG425" s="683"/>
      <c r="DH425" s="684"/>
    </row>
    <row r="426" spans="1:112" s="649" customFormat="1" ht="14.4" hidden="1" outlineLevel="1" thickBot="1" x14ac:dyDescent="0.35">
      <c r="A426" s="652" t="str">
        <f t="shared" ref="A426:A444" si="171">IF(J426="","",IF(J426=0,"","Imprimir"))</f>
        <v/>
      </c>
      <c r="B426" s="652"/>
      <c r="C426" s="685"/>
      <c r="D426" s="686" t="s">
        <v>2478</v>
      </c>
      <c r="E426" s="686"/>
      <c r="F426" s="720"/>
      <c r="G426" s="688"/>
      <c r="H426" s="689"/>
      <c r="I426" s="851" t="str">
        <f t="shared" ref="I426:I444" si="172">IF(E426&gt;0,$J$5,"")</f>
        <v/>
      </c>
      <c r="J426" s="850" t="str">
        <f t="shared" ref="J426:J444" si="173">IFERROR(G426*H426*I426,"")</f>
        <v/>
      </c>
      <c r="K426" s="667"/>
      <c r="L426" s="858"/>
      <c r="M426" s="859"/>
      <c r="N426" s="859"/>
      <c r="O426" s="859"/>
      <c r="P426" s="859"/>
      <c r="Q426" s="859"/>
      <c r="R426" s="859"/>
      <c r="S426" s="859"/>
      <c r="T426" s="859"/>
      <c r="U426" s="859"/>
      <c r="V426" s="859"/>
      <c r="W426" s="859"/>
      <c r="X426" s="859"/>
      <c r="Y426" s="859"/>
      <c r="Z426" s="860"/>
      <c r="AA426" s="860"/>
      <c r="AB426" s="860"/>
      <c r="AC426" s="860"/>
      <c r="AD426" s="860"/>
      <c r="AE426" s="860"/>
      <c r="AF426" s="860"/>
      <c r="AG426" s="860"/>
      <c r="AH426" s="860"/>
      <c r="AI426" s="860"/>
      <c r="AJ426" s="860"/>
      <c r="AK426" s="860"/>
      <c r="AL426" s="860"/>
      <c r="AM426" s="860"/>
      <c r="AN426" s="860"/>
      <c r="AO426" s="860"/>
      <c r="AP426" s="860"/>
      <c r="AQ426" s="860"/>
      <c r="AR426" s="860"/>
      <c r="AS426" s="860"/>
      <c r="AT426" s="860"/>
      <c r="AU426" s="860"/>
      <c r="AV426" s="860"/>
      <c r="AW426" s="860"/>
      <c r="AX426" s="860"/>
      <c r="AY426" s="860"/>
      <c r="AZ426" s="860"/>
      <c r="BA426" s="860"/>
      <c r="BB426" s="860"/>
      <c r="BC426" s="860"/>
      <c r="BD426" s="860"/>
      <c r="BE426" s="860"/>
      <c r="BF426" s="860"/>
      <c r="BG426" s="860"/>
      <c r="BH426" s="668"/>
      <c r="BI426" s="667"/>
      <c r="BJ426" s="690">
        <f t="shared" ref="BJ426:BJ444" si="174">IFERROR(BK426/J426,0)</f>
        <v>0</v>
      </c>
      <c r="BK426" s="691">
        <f t="shared" ref="BK426:BK444" si="175">SUM(BM426:DH426)</f>
        <v>0</v>
      </c>
      <c r="BL426" s="654"/>
      <c r="BM426" s="692">
        <f>SUMIFS(Imput[[Importe Neto]:[Importe Neto]],Imput[[C. Imp.]:[C. Imp.]],$D426,Imput[[PERIODO Imp.]:[PERIODO Imp.]],BM$9)</f>
        <v>0</v>
      </c>
      <c r="BN426" s="693">
        <f>SUMIFS(Imput[[Importe Neto]:[Importe Neto]],Imput[[C. Imp.]:[C. Imp.]],$D426,Imput[[PERIODO Imp.]:[PERIODO Imp.]],BN$9)</f>
        <v>0</v>
      </c>
      <c r="BO426" s="693">
        <f>SUMIFS(Imput[[Importe Neto]:[Importe Neto]],Imput[[C. Imp.]:[C. Imp.]],$D426,Imput[[PERIODO Imp.]:[PERIODO Imp.]],BO$9)</f>
        <v>0</v>
      </c>
      <c r="BP426" s="693">
        <f>SUMIFS(Imput[[Importe Neto]:[Importe Neto]],Imput[[C. Imp.]:[C. Imp.]],$D426,Imput[[PERIODO Imp.]:[PERIODO Imp.]],BP$9)</f>
        <v>0</v>
      </c>
      <c r="BQ426" s="693">
        <f>SUMIFS(Imput[[Importe Neto]:[Importe Neto]],Imput[[C. Imp.]:[C. Imp.]],$D426,Imput[[PERIODO Imp.]:[PERIODO Imp.]],BQ$9)</f>
        <v>0</v>
      </c>
      <c r="BR426" s="693">
        <f>SUMIFS(Imput[[Importe Neto]:[Importe Neto]],Imput[[C. Imp.]:[C. Imp.]],$D426,Imput[[PERIODO Imp.]:[PERIODO Imp.]],BR$9)</f>
        <v>0</v>
      </c>
      <c r="BS426" s="693">
        <f>SUMIFS(Imput[[Importe Neto]:[Importe Neto]],Imput[[C. Imp.]:[C. Imp.]],$D426,Imput[[PERIODO Imp.]:[PERIODO Imp.]],BS$9)</f>
        <v>0</v>
      </c>
      <c r="BT426" s="693">
        <f>SUMIFS(Imput[[Importe Neto]:[Importe Neto]],Imput[[C. Imp.]:[C. Imp.]],$D426,Imput[[PERIODO Imp.]:[PERIODO Imp.]],BT$9)</f>
        <v>0</v>
      </c>
      <c r="BU426" s="693">
        <f>SUMIFS(Imput[[Importe Neto]:[Importe Neto]],Imput[[C. Imp.]:[C. Imp.]],$D426,Imput[[PERIODO Imp.]:[PERIODO Imp.]],BU$9)</f>
        <v>0</v>
      </c>
      <c r="BV426" s="693">
        <f>SUMIFS(Imput[[Importe Neto]:[Importe Neto]],Imput[[C. Imp.]:[C. Imp.]],$D426,Imput[[PERIODO Imp.]:[PERIODO Imp.]],BV$9)</f>
        <v>0</v>
      </c>
      <c r="BW426" s="693">
        <f>SUMIFS(Imput[[Importe Neto]:[Importe Neto]],Imput[[C. Imp.]:[C. Imp.]],$D426,Imput[[PERIODO Imp.]:[PERIODO Imp.]],BW$9)</f>
        <v>0</v>
      </c>
      <c r="BX426" s="693">
        <f>SUMIFS(Imput[[Importe Neto]:[Importe Neto]],Imput[[C. Imp.]:[C. Imp.]],$D426,Imput[[PERIODO Imp.]:[PERIODO Imp.]],BX$9)</f>
        <v>0</v>
      </c>
      <c r="BY426" s="693">
        <f>SUMIFS(Imput[[Importe Neto]:[Importe Neto]],Imput[[C. Imp.]:[C. Imp.]],$D426,Imput[[PERIODO Imp.]:[PERIODO Imp.]],BY$9)</f>
        <v>0</v>
      </c>
      <c r="BZ426" s="693">
        <f>SUMIFS(Imput[[Importe Neto]:[Importe Neto]],Imput[[C. Imp.]:[C. Imp.]],$D426,Imput[[PERIODO Imp.]:[PERIODO Imp.]],BZ$9)</f>
        <v>0</v>
      </c>
      <c r="CA426" s="693">
        <f>SUMIFS(Imput[[Importe Neto]:[Importe Neto]],Imput[[C. Imp.]:[C. Imp.]],$D426,Imput[[PERIODO Imp.]:[PERIODO Imp.]],CA$9)</f>
        <v>0</v>
      </c>
      <c r="CB426" s="693">
        <f>SUMIFS(Imput[[Importe Neto]:[Importe Neto]],Imput[[C. Imp.]:[C. Imp.]],$D426,Imput[[PERIODO Imp.]:[PERIODO Imp.]],CB$9)</f>
        <v>0</v>
      </c>
      <c r="CC426" s="693">
        <f>SUMIFS(Imput[[Importe Neto]:[Importe Neto]],Imput[[C. Imp.]:[C. Imp.]],$D426,Imput[[PERIODO Imp.]:[PERIODO Imp.]],CC$9)</f>
        <v>0</v>
      </c>
      <c r="CD426" s="693">
        <f>SUMIFS(Imput[[Importe Neto]:[Importe Neto]],Imput[[C. Imp.]:[C. Imp.]],$D426,Imput[[PERIODO Imp.]:[PERIODO Imp.]],CD$9)</f>
        <v>0</v>
      </c>
      <c r="CE426" s="693">
        <f>SUMIFS(Imput[[Importe Neto]:[Importe Neto]],Imput[[C. Imp.]:[C. Imp.]],$D426,Imput[[PERIODO Imp.]:[PERIODO Imp.]],CE$9)</f>
        <v>0</v>
      </c>
      <c r="CF426" s="693">
        <f>SUMIFS(Imput[[Importe Neto]:[Importe Neto]],Imput[[C. Imp.]:[C. Imp.]],$D426,Imput[[PERIODO Imp.]:[PERIODO Imp.]],CF$9)</f>
        <v>0</v>
      </c>
      <c r="CG426" s="693">
        <f>SUMIFS(Imput[[Importe Neto]:[Importe Neto]],Imput[[C. Imp.]:[C. Imp.]],$D426,Imput[[PERIODO Imp.]:[PERIODO Imp.]],CG$9)</f>
        <v>0</v>
      </c>
      <c r="CH426" s="693">
        <f>SUMIFS(Imput[[Importe Neto]:[Importe Neto]],Imput[[C. Imp.]:[C. Imp.]],$D426,Imput[[PERIODO Imp.]:[PERIODO Imp.]],CH$9)</f>
        <v>0</v>
      </c>
      <c r="CI426" s="693">
        <f>SUMIFS(Imput[[Importe Neto]:[Importe Neto]],Imput[[C. Imp.]:[C. Imp.]],$D426,Imput[[PERIODO Imp.]:[PERIODO Imp.]],CI$9)</f>
        <v>0</v>
      </c>
      <c r="CJ426" s="693">
        <f>SUMIFS(Imput[[Importe Neto]:[Importe Neto]],Imput[[C. Imp.]:[C. Imp.]],$D426,Imput[[PERIODO Imp.]:[PERIODO Imp.]],CJ$9)</f>
        <v>0</v>
      </c>
      <c r="CK426" s="693">
        <f>SUMIFS(Imput[[Importe Neto]:[Importe Neto]],Imput[[C. Imp.]:[C. Imp.]],$D426,Imput[[PERIODO Imp.]:[PERIODO Imp.]],CK$9)</f>
        <v>0</v>
      </c>
      <c r="CL426" s="693">
        <f>SUMIFS(Imput[[Importe Neto]:[Importe Neto]],Imput[[C. Imp.]:[C. Imp.]],$D426,Imput[[PERIODO Imp.]:[PERIODO Imp.]],CL$9)</f>
        <v>0</v>
      </c>
      <c r="CM426" s="693">
        <f>SUMIFS(Imput[[Importe Neto]:[Importe Neto]],Imput[[C. Imp.]:[C. Imp.]],$D426,Imput[[PERIODO Imp.]:[PERIODO Imp.]],CM$9)</f>
        <v>0</v>
      </c>
      <c r="CN426" s="693">
        <f>SUMIFS(Imput[[Importe Neto]:[Importe Neto]],Imput[[C. Imp.]:[C. Imp.]],$D426,Imput[[PERIODO Imp.]:[PERIODO Imp.]],CN$9)</f>
        <v>0</v>
      </c>
      <c r="CO426" s="693">
        <f>SUMIFS(Imput[[Importe Neto]:[Importe Neto]],Imput[[C. Imp.]:[C. Imp.]],$D426,Imput[[PERIODO Imp.]:[PERIODO Imp.]],CO$9)</f>
        <v>0</v>
      </c>
      <c r="CP426" s="693">
        <f>SUMIFS(Imput[[Importe Neto]:[Importe Neto]],Imput[[C. Imp.]:[C. Imp.]],$D426,Imput[[PERIODO Imp.]:[PERIODO Imp.]],CP$9)</f>
        <v>0</v>
      </c>
      <c r="CQ426" s="693">
        <f>SUMIFS(Imput[[Importe Neto]:[Importe Neto]],Imput[[C. Imp.]:[C. Imp.]],$D426,Imput[[PERIODO Imp.]:[PERIODO Imp.]],CQ$9)</f>
        <v>0</v>
      </c>
      <c r="CR426" s="693">
        <f>SUMIFS(Imput[[Importe Neto]:[Importe Neto]],Imput[[C. Imp.]:[C. Imp.]],$D426,Imput[[PERIODO Imp.]:[PERIODO Imp.]],CR$9)</f>
        <v>0</v>
      </c>
      <c r="CS426" s="693">
        <f>SUMIFS(Imput[[Importe Neto]:[Importe Neto]],Imput[[C. Imp.]:[C. Imp.]],$D426,Imput[[PERIODO Imp.]:[PERIODO Imp.]],CS$9)</f>
        <v>0</v>
      </c>
      <c r="CT426" s="693">
        <f>SUMIFS(Imput[[Importe Neto]:[Importe Neto]],Imput[[C. Imp.]:[C. Imp.]],$D426,Imput[[PERIODO Imp.]:[PERIODO Imp.]],CT$9)</f>
        <v>0</v>
      </c>
      <c r="CU426" s="693">
        <f>SUMIFS(Imput[[Importe Neto]:[Importe Neto]],Imput[[C. Imp.]:[C. Imp.]],$D426,Imput[[PERIODO Imp.]:[PERIODO Imp.]],CU$9)</f>
        <v>0</v>
      </c>
      <c r="CV426" s="693">
        <f>SUMIFS(Imput[[Importe Neto]:[Importe Neto]],Imput[[C. Imp.]:[C. Imp.]],$D426,Imput[[PERIODO Imp.]:[PERIODO Imp.]],CV$9)</f>
        <v>0</v>
      </c>
      <c r="CW426" s="693">
        <f>SUMIFS(Imput[[Importe Neto]:[Importe Neto]],Imput[[C. Imp.]:[C. Imp.]],$D426,Imput[[PERIODO Imp.]:[PERIODO Imp.]],CW$9)</f>
        <v>0</v>
      </c>
      <c r="CX426" s="693">
        <f>SUMIFS(Imput[[Importe Neto]:[Importe Neto]],Imput[[C. Imp.]:[C. Imp.]],$D426,Imput[[PERIODO Imp.]:[PERIODO Imp.]],CX$9)</f>
        <v>0</v>
      </c>
      <c r="CY426" s="693">
        <f>SUMIFS(Imput[[Importe Neto]:[Importe Neto]],Imput[[C. Imp.]:[C. Imp.]],$D426,Imput[[PERIODO Imp.]:[PERIODO Imp.]],CY$9)</f>
        <v>0</v>
      </c>
      <c r="CZ426" s="693">
        <f>SUMIFS(Imput[[Importe Neto]:[Importe Neto]],Imput[[C. Imp.]:[C. Imp.]],$D426,Imput[[PERIODO Imp.]:[PERIODO Imp.]],CZ$9)</f>
        <v>0</v>
      </c>
      <c r="DA426" s="693">
        <f>SUMIFS(Imput[[Importe Neto]:[Importe Neto]],Imput[[C. Imp.]:[C. Imp.]],$D426,Imput[[PERIODO Imp.]:[PERIODO Imp.]],DA$9)</f>
        <v>0</v>
      </c>
      <c r="DB426" s="693">
        <f>SUMIFS(Imput[[Importe Neto]:[Importe Neto]],Imput[[C. Imp.]:[C. Imp.]],$D426,Imput[[PERIODO Imp.]:[PERIODO Imp.]],DB$9)</f>
        <v>0</v>
      </c>
      <c r="DC426" s="693">
        <f>SUMIFS(Imput[[Importe Neto]:[Importe Neto]],Imput[[C. Imp.]:[C. Imp.]],$D426,Imput[[PERIODO Imp.]:[PERIODO Imp.]],DC$9)</f>
        <v>0</v>
      </c>
      <c r="DD426" s="693">
        <f>SUMIFS(Imput[[Importe Neto]:[Importe Neto]],Imput[[C. Imp.]:[C. Imp.]],$D426,Imput[[PERIODO Imp.]:[PERIODO Imp.]],DD$9)</f>
        <v>0</v>
      </c>
      <c r="DE426" s="693">
        <f>SUMIFS(Imput[[Importe Neto]:[Importe Neto]],Imput[[C. Imp.]:[C. Imp.]],$D426,Imput[[PERIODO Imp.]:[PERIODO Imp.]],DE$9)</f>
        <v>0</v>
      </c>
      <c r="DF426" s="693">
        <f>SUMIFS(Imput[[Importe Neto]:[Importe Neto]],Imput[[C. Imp.]:[C. Imp.]],$D426,Imput[[PERIODO Imp.]:[PERIODO Imp.]],DF$9)</f>
        <v>0</v>
      </c>
      <c r="DG426" s="693">
        <f>SUMIFS(Imput[[Importe Neto]:[Importe Neto]],Imput[[C. Imp.]:[C. Imp.]],$D426,Imput[[PERIODO Imp.]:[PERIODO Imp.]],DG$9)</f>
        <v>0</v>
      </c>
      <c r="DH426" s="694">
        <f>SUMIFS(Imput[[Importe Neto]:[Importe Neto]],Imput[[C. Imp.]:[C. Imp.]],$D426,Imput[[PERIODO Imp.]:[PERIODO Imp.]],DH$9)</f>
        <v>0</v>
      </c>
    </row>
    <row r="427" spans="1:112" s="649" customFormat="1" ht="14.4" hidden="1" outlineLevel="1" thickBot="1" x14ac:dyDescent="0.35">
      <c r="A427" s="652" t="str">
        <f t="shared" si="171"/>
        <v/>
      </c>
      <c r="B427" s="652"/>
      <c r="C427" s="685"/>
      <c r="D427" s="686" t="s">
        <v>2479</v>
      </c>
      <c r="E427" s="686"/>
      <c r="F427" s="720"/>
      <c r="G427" s="688"/>
      <c r="H427" s="689"/>
      <c r="I427" s="851" t="str">
        <f t="shared" si="172"/>
        <v/>
      </c>
      <c r="J427" s="850" t="str">
        <f t="shared" si="173"/>
        <v/>
      </c>
      <c r="K427" s="667"/>
      <c r="L427" s="858"/>
      <c r="M427" s="859"/>
      <c r="N427" s="859"/>
      <c r="O427" s="859"/>
      <c r="P427" s="859"/>
      <c r="Q427" s="859"/>
      <c r="R427" s="859"/>
      <c r="S427" s="859"/>
      <c r="T427" s="859"/>
      <c r="U427" s="859"/>
      <c r="V427" s="859"/>
      <c r="W427" s="859"/>
      <c r="X427" s="859"/>
      <c r="Y427" s="859"/>
      <c r="Z427" s="860"/>
      <c r="AA427" s="860"/>
      <c r="AB427" s="860"/>
      <c r="AC427" s="860"/>
      <c r="AD427" s="860"/>
      <c r="AE427" s="860"/>
      <c r="AF427" s="860"/>
      <c r="AG427" s="860"/>
      <c r="AH427" s="860"/>
      <c r="AI427" s="860"/>
      <c r="AJ427" s="860"/>
      <c r="AK427" s="860"/>
      <c r="AL427" s="860"/>
      <c r="AM427" s="860"/>
      <c r="AN427" s="860"/>
      <c r="AO427" s="860"/>
      <c r="AP427" s="860"/>
      <c r="AQ427" s="860"/>
      <c r="AR427" s="860"/>
      <c r="AS427" s="860"/>
      <c r="AT427" s="860"/>
      <c r="AU427" s="860"/>
      <c r="AV427" s="860"/>
      <c r="AW427" s="860"/>
      <c r="AX427" s="860"/>
      <c r="AY427" s="860"/>
      <c r="AZ427" s="860"/>
      <c r="BA427" s="860"/>
      <c r="BB427" s="860"/>
      <c r="BC427" s="860"/>
      <c r="BD427" s="860"/>
      <c r="BE427" s="860"/>
      <c r="BF427" s="860"/>
      <c r="BG427" s="860"/>
      <c r="BH427" s="668"/>
      <c r="BI427" s="667"/>
      <c r="BJ427" s="690">
        <f t="shared" si="174"/>
        <v>0</v>
      </c>
      <c r="BK427" s="691">
        <f t="shared" si="175"/>
        <v>0</v>
      </c>
      <c r="BL427" s="654"/>
      <c r="BM427" s="692">
        <f>SUMIFS(Imput[[Importe Neto]:[Importe Neto]],Imput[[C. Imp.]:[C. Imp.]],$D427,Imput[[PERIODO Imp.]:[PERIODO Imp.]],BM$9)</f>
        <v>0</v>
      </c>
      <c r="BN427" s="693">
        <f>SUMIFS(Imput[[Importe Neto]:[Importe Neto]],Imput[[C. Imp.]:[C. Imp.]],$D427,Imput[[PERIODO Imp.]:[PERIODO Imp.]],BN$9)</f>
        <v>0</v>
      </c>
      <c r="BO427" s="693">
        <f>SUMIFS(Imput[[Importe Neto]:[Importe Neto]],Imput[[C. Imp.]:[C. Imp.]],$D427,Imput[[PERIODO Imp.]:[PERIODO Imp.]],BO$9)</f>
        <v>0</v>
      </c>
      <c r="BP427" s="693">
        <f>SUMIFS(Imput[[Importe Neto]:[Importe Neto]],Imput[[C. Imp.]:[C. Imp.]],$D427,Imput[[PERIODO Imp.]:[PERIODO Imp.]],BP$9)</f>
        <v>0</v>
      </c>
      <c r="BQ427" s="693">
        <f>SUMIFS(Imput[[Importe Neto]:[Importe Neto]],Imput[[C. Imp.]:[C. Imp.]],$D427,Imput[[PERIODO Imp.]:[PERIODO Imp.]],BQ$9)</f>
        <v>0</v>
      </c>
      <c r="BR427" s="693">
        <f>SUMIFS(Imput[[Importe Neto]:[Importe Neto]],Imput[[C. Imp.]:[C. Imp.]],$D427,Imput[[PERIODO Imp.]:[PERIODO Imp.]],BR$9)</f>
        <v>0</v>
      </c>
      <c r="BS427" s="693">
        <f>SUMIFS(Imput[[Importe Neto]:[Importe Neto]],Imput[[C. Imp.]:[C. Imp.]],$D427,Imput[[PERIODO Imp.]:[PERIODO Imp.]],BS$9)</f>
        <v>0</v>
      </c>
      <c r="BT427" s="693">
        <f>SUMIFS(Imput[[Importe Neto]:[Importe Neto]],Imput[[C. Imp.]:[C. Imp.]],$D427,Imput[[PERIODO Imp.]:[PERIODO Imp.]],BT$9)</f>
        <v>0</v>
      </c>
      <c r="BU427" s="693">
        <f>SUMIFS(Imput[[Importe Neto]:[Importe Neto]],Imput[[C. Imp.]:[C. Imp.]],$D427,Imput[[PERIODO Imp.]:[PERIODO Imp.]],BU$9)</f>
        <v>0</v>
      </c>
      <c r="BV427" s="693">
        <f>SUMIFS(Imput[[Importe Neto]:[Importe Neto]],Imput[[C. Imp.]:[C. Imp.]],$D427,Imput[[PERIODO Imp.]:[PERIODO Imp.]],BV$9)</f>
        <v>0</v>
      </c>
      <c r="BW427" s="693">
        <f>SUMIFS(Imput[[Importe Neto]:[Importe Neto]],Imput[[C. Imp.]:[C. Imp.]],$D427,Imput[[PERIODO Imp.]:[PERIODO Imp.]],BW$9)</f>
        <v>0</v>
      </c>
      <c r="BX427" s="693">
        <f>SUMIFS(Imput[[Importe Neto]:[Importe Neto]],Imput[[C. Imp.]:[C. Imp.]],$D427,Imput[[PERIODO Imp.]:[PERIODO Imp.]],BX$9)</f>
        <v>0</v>
      </c>
      <c r="BY427" s="693">
        <f>SUMIFS(Imput[[Importe Neto]:[Importe Neto]],Imput[[C. Imp.]:[C. Imp.]],$D427,Imput[[PERIODO Imp.]:[PERIODO Imp.]],BY$9)</f>
        <v>0</v>
      </c>
      <c r="BZ427" s="693">
        <f>SUMIFS(Imput[[Importe Neto]:[Importe Neto]],Imput[[C. Imp.]:[C. Imp.]],$D427,Imput[[PERIODO Imp.]:[PERIODO Imp.]],BZ$9)</f>
        <v>0</v>
      </c>
      <c r="CA427" s="693">
        <f>SUMIFS(Imput[[Importe Neto]:[Importe Neto]],Imput[[C. Imp.]:[C. Imp.]],$D427,Imput[[PERIODO Imp.]:[PERIODO Imp.]],CA$9)</f>
        <v>0</v>
      </c>
      <c r="CB427" s="693">
        <f>SUMIFS(Imput[[Importe Neto]:[Importe Neto]],Imput[[C. Imp.]:[C. Imp.]],$D427,Imput[[PERIODO Imp.]:[PERIODO Imp.]],CB$9)</f>
        <v>0</v>
      </c>
      <c r="CC427" s="693">
        <f>SUMIFS(Imput[[Importe Neto]:[Importe Neto]],Imput[[C. Imp.]:[C. Imp.]],$D427,Imput[[PERIODO Imp.]:[PERIODO Imp.]],CC$9)</f>
        <v>0</v>
      </c>
      <c r="CD427" s="693">
        <f>SUMIFS(Imput[[Importe Neto]:[Importe Neto]],Imput[[C. Imp.]:[C. Imp.]],$D427,Imput[[PERIODO Imp.]:[PERIODO Imp.]],CD$9)</f>
        <v>0</v>
      </c>
      <c r="CE427" s="693">
        <f>SUMIFS(Imput[[Importe Neto]:[Importe Neto]],Imput[[C. Imp.]:[C. Imp.]],$D427,Imput[[PERIODO Imp.]:[PERIODO Imp.]],CE$9)</f>
        <v>0</v>
      </c>
      <c r="CF427" s="693">
        <f>SUMIFS(Imput[[Importe Neto]:[Importe Neto]],Imput[[C. Imp.]:[C. Imp.]],$D427,Imput[[PERIODO Imp.]:[PERIODO Imp.]],CF$9)</f>
        <v>0</v>
      </c>
      <c r="CG427" s="693">
        <f>SUMIFS(Imput[[Importe Neto]:[Importe Neto]],Imput[[C. Imp.]:[C. Imp.]],$D427,Imput[[PERIODO Imp.]:[PERIODO Imp.]],CG$9)</f>
        <v>0</v>
      </c>
      <c r="CH427" s="693">
        <f>SUMIFS(Imput[[Importe Neto]:[Importe Neto]],Imput[[C. Imp.]:[C. Imp.]],$D427,Imput[[PERIODO Imp.]:[PERIODO Imp.]],CH$9)</f>
        <v>0</v>
      </c>
      <c r="CI427" s="693">
        <f>SUMIFS(Imput[[Importe Neto]:[Importe Neto]],Imput[[C. Imp.]:[C. Imp.]],$D427,Imput[[PERIODO Imp.]:[PERIODO Imp.]],CI$9)</f>
        <v>0</v>
      </c>
      <c r="CJ427" s="693">
        <f>SUMIFS(Imput[[Importe Neto]:[Importe Neto]],Imput[[C. Imp.]:[C. Imp.]],$D427,Imput[[PERIODO Imp.]:[PERIODO Imp.]],CJ$9)</f>
        <v>0</v>
      </c>
      <c r="CK427" s="693">
        <f>SUMIFS(Imput[[Importe Neto]:[Importe Neto]],Imput[[C. Imp.]:[C. Imp.]],$D427,Imput[[PERIODO Imp.]:[PERIODO Imp.]],CK$9)</f>
        <v>0</v>
      </c>
      <c r="CL427" s="693">
        <f>SUMIFS(Imput[[Importe Neto]:[Importe Neto]],Imput[[C. Imp.]:[C. Imp.]],$D427,Imput[[PERIODO Imp.]:[PERIODO Imp.]],CL$9)</f>
        <v>0</v>
      </c>
      <c r="CM427" s="693">
        <f>SUMIFS(Imput[[Importe Neto]:[Importe Neto]],Imput[[C. Imp.]:[C. Imp.]],$D427,Imput[[PERIODO Imp.]:[PERIODO Imp.]],CM$9)</f>
        <v>0</v>
      </c>
      <c r="CN427" s="693">
        <f>SUMIFS(Imput[[Importe Neto]:[Importe Neto]],Imput[[C. Imp.]:[C. Imp.]],$D427,Imput[[PERIODO Imp.]:[PERIODO Imp.]],CN$9)</f>
        <v>0</v>
      </c>
      <c r="CO427" s="693">
        <f>SUMIFS(Imput[[Importe Neto]:[Importe Neto]],Imput[[C. Imp.]:[C. Imp.]],$D427,Imput[[PERIODO Imp.]:[PERIODO Imp.]],CO$9)</f>
        <v>0</v>
      </c>
      <c r="CP427" s="693">
        <f>SUMIFS(Imput[[Importe Neto]:[Importe Neto]],Imput[[C. Imp.]:[C. Imp.]],$D427,Imput[[PERIODO Imp.]:[PERIODO Imp.]],CP$9)</f>
        <v>0</v>
      </c>
      <c r="CQ427" s="693">
        <f>SUMIFS(Imput[[Importe Neto]:[Importe Neto]],Imput[[C. Imp.]:[C. Imp.]],$D427,Imput[[PERIODO Imp.]:[PERIODO Imp.]],CQ$9)</f>
        <v>0</v>
      </c>
      <c r="CR427" s="693">
        <f>SUMIFS(Imput[[Importe Neto]:[Importe Neto]],Imput[[C. Imp.]:[C. Imp.]],$D427,Imput[[PERIODO Imp.]:[PERIODO Imp.]],CR$9)</f>
        <v>0</v>
      </c>
      <c r="CS427" s="693">
        <f>SUMIFS(Imput[[Importe Neto]:[Importe Neto]],Imput[[C. Imp.]:[C. Imp.]],$D427,Imput[[PERIODO Imp.]:[PERIODO Imp.]],CS$9)</f>
        <v>0</v>
      </c>
      <c r="CT427" s="693">
        <f>SUMIFS(Imput[[Importe Neto]:[Importe Neto]],Imput[[C. Imp.]:[C. Imp.]],$D427,Imput[[PERIODO Imp.]:[PERIODO Imp.]],CT$9)</f>
        <v>0</v>
      </c>
      <c r="CU427" s="693">
        <f>SUMIFS(Imput[[Importe Neto]:[Importe Neto]],Imput[[C. Imp.]:[C. Imp.]],$D427,Imput[[PERIODO Imp.]:[PERIODO Imp.]],CU$9)</f>
        <v>0</v>
      </c>
      <c r="CV427" s="693">
        <f>SUMIFS(Imput[[Importe Neto]:[Importe Neto]],Imput[[C. Imp.]:[C. Imp.]],$D427,Imput[[PERIODO Imp.]:[PERIODO Imp.]],CV$9)</f>
        <v>0</v>
      </c>
      <c r="CW427" s="693">
        <f>SUMIFS(Imput[[Importe Neto]:[Importe Neto]],Imput[[C. Imp.]:[C. Imp.]],$D427,Imput[[PERIODO Imp.]:[PERIODO Imp.]],CW$9)</f>
        <v>0</v>
      </c>
      <c r="CX427" s="693">
        <f>SUMIFS(Imput[[Importe Neto]:[Importe Neto]],Imput[[C. Imp.]:[C. Imp.]],$D427,Imput[[PERIODO Imp.]:[PERIODO Imp.]],CX$9)</f>
        <v>0</v>
      </c>
      <c r="CY427" s="693">
        <f>SUMIFS(Imput[[Importe Neto]:[Importe Neto]],Imput[[C. Imp.]:[C. Imp.]],$D427,Imput[[PERIODO Imp.]:[PERIODO Imp.]],CY$9)</f>
        <v>0</v>
      </c>
      <c r="CZ427" s="693">
        <f>SUMIFS(Imput[[Importe Neto]:[Importe Neto]],Imput[[C. Imp.]:[C. Imp.]],$D427,Imput[[PERIODO Imp.]:[PERIODO Imp.]],CZ$9)</f>
        <v>0</v>
      </c>
      <c r="DA427" s="693">
        <f>SUMIFS(Imput[[Importe Neto]:[Importe Neto]],Imput[[C. Imp.]:[C. Imp.]],$D427,Imput[[PERIODO Imp.]:[PERIODO Imp.]],DA$9)</f>
        <v>0</v>
      </c>
      <c r="DB427" s="693">
        <f>SUMIFS(Imput[[Importe Neto]:[Importe Neto]],Imput[[C. Imp.]:[C. Imp.]],$D427,Imput[[PERIODO Imp.]:[PERIODO Imp.]],DB$9)</f>
        <v>0</v>
      </c>
      <c r="DC427" s="693">
        <f>SUMIFS(Imput[[Importe Neto]:[Importe Neto]],Imput[[C. Imp.]:[C. Imp.]],$D427,Imput[[PERIODO Imp.]:[PERIODO Imp.]],DC$9)</f>
        <v>0</v>
      </c>
      <c r="DD427" s="693">
        <f>SUMIFS(Imput[[Importe Neto]:[Importe Neto]],Imput[[C. Imp.]:[C. Imp.]],$D427,Imput[[PERIODO Imp.]:[PERIODO Imp.]],DD$9)</f>
        <v>0</v>
      </c>
      <c r="DE427" s="693">
        <f>SUMIFS(Imput[[Importe Neto]:[Importe Neto]],Imput[[C. Imp.]:[C. Imp.]],$D427,Imput[[PERIODO Imp.]:[PERIODO Imp.]],DE$9)</f>
        <v>0</v>
      </c>
      <c r="DF427" s="693">
        <f>SUMIFS(Imput[[Importe Neto]:[Importe Neto]],Imput[[C. Imp.]:[C. Imp.]],$D427,Imput[[PERIODO Imp.]:[PERIODO Imp.]],DF$9)</f>
        <v>0</v>
      </c>
      <c r="DG427" s="693">
        <f>SUMIFS(Imput[[Importe Neto]:[Importe Neto]],Imput[[C. Imp.]:[C. Imp.]],$D427,Imput[[PERIODO Imp.]:[PERIODO Imp.]],DG$9)</f>
        <v>0</v>
      </c>
      <c r="DH427" s="694">
        <f>SUMIFS(Imput[[Importe Neto]:[Importe Neto]],Imput[[C. Imp.]:[C. Imp.]],$D427,Imput[[PERIODO Imp.]:[PERIODO Imp.]],DH$9)</f>
        <v>0</v>
      </c>
    </row>
    <row r="428" spans="1:112" s="649" customFormat="1" ht="14.4" hidden="1" outlineLevel="1" thickBot="1" x14ac:dyDescent="0.35">
      <c r="A428" s="652" t="str">
        <f t="shared" si="171"/>
        <v/>
      </c>
      <c r="B428" s="652"/>
      <c r="C428" s="685"/>
      <c r="D428" s="686" t="s">
        <v>2480</v>
      </c>
      <c r="E428" s="686"/>
      <c r="F428" s="720"/>
      <c r="G428" s="688"/>
      <c r="H428" s="689"/>
      <c r="I428" s="851" t="str">
        <f t="shared" si="172"/>
        <v/>
      </c>
      <c r="J428" s="850" t="str">
        <f t="shared" si="173"/>
        <v/>
      </c>
      <c r="K428" s="667"/>
      <c r="L428" s="858"/>
      <c r="M428" s="859"/>
      <c r="N428" s="859"/>
      <c r="O428" s="859"/>
      <c r="P428" s="859"/>
      <c r="Q428" s="859"/>
      <c r="R428" s="859"/>
      <c r="S428" s="859"/>
      <c r="T428" s="859"/>
      <c r="U428" s="859"/>
      <c r="V428" s="859"/>
      <c r="W428" s="859"/>
      <c r="X428" s="859"/>
      <c r="Y428" s="859"/>
      <c r="Z428" s="860"/>
      <c r="AA428" s="860"/>
      <c r="AB428" s="860"/>
      <c r="AC428" s="860"/>
      <c r="AD428" s="860"/>
      <c r="AE428" s="860"/>
      <c r="AF428" s="860"/>
      <c r="AG428" s="860"/>
      <c r="AH428" s="860"/>
      <c r="AI428" s="860"/>
      <c r="AJ428" s="860"/>
      <c r="AK428" s="860"/>
      <c r="AL428" s="860"/>
      <c r="AM428" s="860"/>
      <c r="AN428" s="860"/>
      <c r="AO428" s="860"/>
      <c r="AP428" s="860"/>
      <c r="AQ428" s="860"/>
      <c r="AR428" s="860"/>
      <c r="AS428" s="860"/>
      <c r="AT428" s="860"/>
      <c r="AU428" s="860"/>
      <c r="AV428" s="860"/>
      <c r="AW428" s="860"/>
      <c r="AX428" s="860"/>
      <c r="AY428" s="860"/>
      <c r="AZ428" s="860"/>
      <c r="BA428" s="860"/>
      <c r="BB428" s="860"/>
      <c r="BC428" s="860"/>
      <c r="BD428" s="860"/>
      <c r="BE428" s="860"/>
      <c r="BF428" s="860"/>
      <c r="BG428" s="860"/>
      <c r="BH428" s="668"/>
      <c r="BI428" s="667"/>
      <c r="BJ428" s="690">
        <f t="shared" si="174"/>
        <v>0</v>
      </c>
      <c r="BK428" s="691">
        <f t="shared" si="175"/>
        <v>0</v>
      </c>
      <c r="BL428" s="654"/>
      <c r="BM428" s="692">
        <f>SUMIFS(Imput[[Importe Neto]:[Importe Neto]],Imput[[C. Imp.]:[C. Imp.]],$D428,Imput[[PERIODO Imp.]:[PERIODO Imp.]],BM$9)</f>
        <v>0</v>
      </c>
      <c r="BN428" s="693">
        <f>SUMIFS(Imput[[Importe Neto]:[Importe Neto]],Imput[[C. Imp.]:[C. Imp.]],$D428,Imput[[PERIODO Imp.]:[PERIODO Imp.]],BN$9)</f>
        <v>0</v>
      </c>
      <c r="BO428" s="693">
        <f>SUMIFS(Imput[[Importe Neto]:[Importe Neto]],Imput[[C. Imp.]:[C. Imp.]],$D428,Imput[[PERIODO Imp.]:[PERIODO Imp.]],BO$9)</f>
        <v>0</v>
      </c>
      <c r="BP428" s="693">
        <f>SUMIFS(Imput[[Importe Neto]:[Importe Neto]],Imput[[C. Imp.]:[C. Imp.]],$D428,Imput[[PERIODO Imp.]:[PERIODO Imp.]],BP$9)</f>
        <v>0</v>
      </c>
      <c r="BQ428" s="693">
        <f>SUMIFS(Imput[[Importe Neto]:[Importe Neto]],Imput[[C. Imp.]:[C. Imp.]],$D428,Imput[[PERIODO Imp.]:[PERIODO Imp.]],BQ$9)</f>
        <v>0</v>
      </c>
      <c r="BR428" s="693">
        <f>SUMIFS(Imput[[Importe Neto]:[Importe Neto]],Imput[[C. Imp.]:[C. Imp.]],$D428,Imput[[PERIODO Imp.]:[PERIODO Imp.]],BR$9)</f>
        <v>0</v>
      </c>
      <c r="BS428" s="693">
        <f>SUMIFS(Imput[[Importe Neto]:[Importe Neto]],Imput[[C. Imp.]:[C. Imp.]],$D428,Imput[[PERIODO Imp.]:[PERIODO Imp.]],BS$9)</f>
        <v>0</v>
      </c>
      <c r="BT428" s="693">
        <f>SUMIFS(Imput[[Importe Neto]:[Importe Neto]],Imput[[C. Imp.]:[C. Imp.]],$D428,Imput[[PERIODO Imp.]:[PERIODO Imp.]],BT$9)</f>
        <v>0</v>
      </c>
      <c r="BU428" s="693">
        <f>SUMIFS(Imput[[Importe Neto]:[Importe Neto]],Imput[[C. Imp.]:[C. Imp.]],$D428,Imput[[PERIODO Imp.]:[PERIODO Imp.]],BU$9)</f>
        <v>0</v>
      </c>
      <c r="BV428" s="693">
        <f>SUMIFS(Imput[[Importe Neto]:[Importe Neto]],Imput[[C. Imp.]:[C. Imp.]],$D428,Imput[[PERIODO Imp.]:[PERIODO Imp.]],BV$9)</f>
        <v>0</v>
      </c>
      <c r="BW428" s="693">
        <f>SUMIFS(Imput[[Importe Neto]:[Importe Neto]],Imput[[C. Imp.]:[C. Imp.]],$D428,Imput[[PERIODO Imp.]:[PERIODO Imp.]],BW$9)</f>
        <v>0</v>
      </c>
      <c r="BX428" s="693">
        <f>SUMIFS(Imput[[Importe Neto]:[Importe Neto]],Imput[[C. Imp.]:[C. Imp.]],$D428,Imput[[PERIODO Imp.]:[PERIODO Imp.]],BX$9)</f>
        <v>0</v>
      </c>
      <c r="BY428" s="693">
        <f>SUMIFS(Imput[[Importe Neto]:[Importe Neto]],Imput[[C. Imp.]:[C. Imp.]],$D428,Imput[[PERIODO Imp.]:[PERIODO Imp.]],BY$9)</f>
        <v>0</v>
      </c>
      <c r="BZ428" s="693">
        <f>SUMIFS(Imput[[Importe Neto]:[Importe Neto]],Imput[[C. Imp.]:[C. Imp.]],$D428,Imput[[PERIODO Imp.]:[PERIODO Imp.]],BZ$9)</f>
        <v>0</v>
      </c>
      <c r="CA428" s="693">
        <f>SUMIFS(Imput[[Importe Neto]:[Importe Neto]],Imput[[C. Imp.]:[C. Imp.]],$D428,Imput[[PERIODO Imp.]:[PERIODO Imp.]],CA$9)</f>
        <v>0</v>
      </c>
      <c r="CB428" s="693">
        <f>SUMIFS(Imput[[Importe Neto]:[Importe Neto]],Imput[[C. Imp.]:[C. Imp.]],$D428,Imput[[PERIODO Imp.]:[PERIODO Imp.]],CB$9)</f>
        <v>0</v>
      </c>
      <c r="CC428" s="693">
        <f>SUMIFS(Imput[[Importe Neto]:[Importe Neto]],Imput[[C. Imp.]:[C. Imp.]],$D428,Imput[[PERIODO Imp.]:[PERIODO Imp.]],CC$9)</f>
        <v>0</v>
      </c>
      <c r="CD428" s="693">
        <f>SUMIFS(Imput[[Importe Neto]:[Importe Neto]],Imput[[C. Imp.]:[C. Imp.]],$D428,Imput[[PERIODO Imp.]:[PERIODO Imp.]],CD$9)</f>
        <v>0</v>
      </c>
      <c r="CE428" s="693">
        <f>SUMIFS(Imput[[Importe Neto]:[Importe Neto]],Imput[[C. Imp.]:[C. Imp.]],$D428,Imput[[PERIODO Imp.]:[PERIODO Imp.]],CE$9)</f>
        <v>0</v>
      </c>
      <c r="CF428" s="693">
        <f>SUMIFS(Imput[[Importe Neto]:[Importe Neto]],Imput[[C. Imp.]:[C. Imp.]],$D428,Imput[[PERIODO Imp.]:[PERIODO Imp.]],CF$9)</f>
        <v>0</v>
      </c>
      <c r="CG428" s="693">
        <f>SUMIFS(Imput[[Importe Neto]:[Importe Neto]],Imput[[C. Imp.]:[C. Imp.]],$D428,Imput[[PERIODO Imp.]:[PERIODO Imp.]],CG$9)</f>
        <v>0</v>
      </c>
      <c r="CH428" s="693">
        <f>SUMIFS(Imput[[Importe Neto]:[Importe Neto]],Imput[[C. Imp.]:[C. Imp.]],$D428,Imput[[PERIODO Imp.]:[PERIODO Imp.]],CH$9)</f>
        <v>0</v>
      </c>
      <c r="CI428" s="693">
        <f>SUMIFS(Imput[[Importe Neto]:[Importe Neto]],Imput[[C. Imp.]:[C. Imp.]],$D428,Imput[[PERIODO Imp.]:[PERIODO Imp.]],CI$9)</f>
        <v>0</v>
      </c>
      <c r="CJ428" s="693">
        <f>SUMIFS(Imput[[Importe Neto]:[Importe Neto]],Imput[[C. Imp.]:[C. Imp.]],$D428,Imput[[PERIODO Imp.]:[PERIODO Imp.]],CJ$9)</f>
        <v>0</v>
      </c>
      <c r="CK428" s="693">
        <f>SUMIFS(Imput[[Importe Neto]:[Importe Neto]],Imput[[C. Imp.]:[C. Imp.]],$D428,Imput[[PERIODO Imp.]:[PERIODO Imp.]],CK$9)</f>
        <v>0</v>
      </c>
      <c r="CL428" s="693">
        <f>SUMIFS(Imput[[Importe Neto]:[Importe Neto]],Imput[[C. Imp.]:[C. Imp.]],$D428,Imput[[PERIODO Imp.]:[PERIODO Imp.]],CL$9)</f>
        <v>0</v>
      </c>
      <c r="CM428" s="693">
        <f>SUMIFS(Imput[[Importe Neto]:[Importe Neto]],Imput[[C. Imp.]:[C. Imp.]],$D428,Imput[[PERIODO Imp.]:[PERIODO Imp.]],CM$9)</f>
        <v>0</v>
      </c>
      <c r="CN428" s="693">
        <f>SUMIFS(Imput[[Importe Neto]:[Importe Neto]],Imput[[C. Imp.]:[C. Imp.]],$D428,Imput[[PERIODO Imp.]:[PERIODO Imp.]],CN$9)</f>
        <v>0</v>
      </c>
      <c r="CO428" s="693">
        <f>SUMIFS(Imput[[Importe Neto]:[Importe Neto]],Imput[[C. Imp.]:[C. Imp.]],$D428,Imput[[PERIODO Imp.]:[PERIODO Imp.]],CO$9)</f>
        <v>0</v>
      </c>
      <c r="CP428" s="693">
        <f>SUMIFS(Imput[[Importe Neto]:[Importe Neto]],Imput[[C. Imp.]:[C. Imp.]],$D428,Imput[[PERIODO Imp.]:[PERIODO Imp.]],CP$9)</f>
        <v>0</v>
      </c>
      <c r="CQ428" s="693">
        <f>SUMIFS(Imput[[Importe Neto]:[Importe Neto]],Imput[[C. Imp.]:[C. Imp.]],$D428,Imput[[PERIODO Imp.]:[PERIODO Imp.]],CQ$9)</f>
        <v>0</v>
      </c>
      <c r="CR428" s="693">
        <f>SUMIFS(Imput[[Importe Neto]:[Importe Neto]],Imput[[C. Imp.]:[C. Imp.]],$D428,Imput[[PERIODO Imp.]:[PERIODO Imp.]],CR$9)</f>
        <v>0</v>
      </c>
      <c r="CS428" s="693">
        <f>SUMIFS(Imput[[Importe Neto]:[Importe Neto]],Imput[[C. Imp.]:[C. Imp.]],$D428,Imput[[PERIODO Imp.]:[PERIODO Imp.]],CS$9)</f>
        <v>0</v>
      </c>
      <c r="CT428" s="693">
        <f>SUMIFS(Imput[[Importe Neto]:[Importe Neto]],Imput[[C. Imp.]:[C. Imp.]],$D428,Imput[[PERIODO Imp.]:[PERIODO Imp.]],CT$9)</f>
        <v>0</v>
      </c>
      <c r="CU428" s="693">
        <f>SUMIFS(Imput[[Importe Neto]:[Importe Neto]],Imput[[C. Imp.]:[C. Imp.]],$D428,Imput[[PERIODO Imp.]:[PERIODO Imp.]],CU$9)</f>
        <v>0</v>
      </c>
      <c r="CV428" s="693">
        <f>SUMIFS(Imput[[Importe Neto]:[Importe Neto]],Imput[[C. Imp.]:[C. Imp.]],$D428,Imput[[PERIODO Imp.]:[PERIODO Imp.]],CV$9)</f>
        <v>0</v>
      </c>
      <c r="CW428" s="693">
        <f>SUMIFS(Imput[[Importe Neto]:[Importe Neto]],Imput[[C. Imp.]:[C. Imp.]],$D428,Imput[[PERIODO Imp.]:[PERIODO Imp.]],CW$9)</f>
        <v>0</v>
      </c>
      <c r="CX428" s="693">
        <f>SUMIFS(Imput[[Importe Neto]:[Importe Neto]],Imput[[C. Imp.]:[C. Imp.]],$D428,Imput[[PERIODO Imp.]:[PERIODO Imp.]],CX$9)</f>
        <v>0</v>
      </c>
      <c r="CY428" s="693">
        <f>SUMIFS(Imput[[Importe Neto]:[Importe Neto]],Imput[[C. Imp.]:[C. Imp.]],$D428,Imput[[PERIODO Imp.]:[PERIODO Imp.]],CY$9)</f>
        <v>0</v>
      </c>
      <c r="CZ428" s="693">
        <f>SUMIFS(Imput[[Importe Neto]:[Importe Neto]],Imput[[C. Imp.]:[C. Imp.]],$D428,Imput[[PERIODO Imp.]:[PERIODO Imp.]],CZ$9)</f>
        <v>0</v>
      </c>
      <c r="DA428" s="693">
        <f>SUMIFS(Imput[[Importe Neto]:[Importe Neto]],Imput[[C. Imp.]:[C. Imp.]],$D428,Imput[[PERIODO Imp.]:[PERIODO Imp.]],DA$9)</f>
        <v>0</v>
      </c>
      <c r="DB428" s="693">
        <f>SUMIFS(Imput[[Importe Neto]:[Importe Neto]],Imput[[C. Imp.]:[C. Imp.]],$D428,Imput[[PERIODO Imp.]:[PERIODO Imp.]],DB$9)</f>
        <v>0</v>
      </c>
      <c r="DC428" s="693">
        <f>SUMIFS(Imput[[Importe Neto]:[Importe Neto]],Imput[[C. Imp.]:[C. Imp.]],$D428,Imput[[PERIODO Imp.]:[PERIODO Imp.]],DC$9)</f>
        <v>0</v>
      </c>
      <c r="DD428" s="693">
        <f>SUMIFS(Imput[[Importe Neto]:[Importe Neto]],Imput[[C. Imp.]:[C. Imp.]],$D428,Imput[[PERIODO Imp.]:[PERIODO Imp.]],DD$9)</f>
        <v>0</v>
      </c>
      <c r="DE428" s="693">
        <f>SUMIFS(Imput[[Importe Neto]:[Importe Neto]],Imput[[C. Imp.]:[C. Imp.]],$D428,Imput[[PERIODO Imp.]:[PERIODO Imp.]],DE$9)</f>
        <v>0</v>
      </c>
      <c r="DF428" s="693">
        <f>SUMIFS(Imput[[Importe Neto]:[Importe Neto]],Imput[[C. Imp.]:[C. Imp.]],$D428,Imput[[PERIODO Imp.]:[PERIODO Imp.]],DF$9)</f>
        <v>0</v>
      </c>
      <c r="DG428" s="693">
        <f>SUMIFS(Imput[[Importe Neto]:[Importe Neto]],Imput[[C. Imp.]:[C. Imp.]],$D428,Imput[[PERIODO Imp.]:[PERIODO Imp.]],DG$9)</f>
        <v>0</v>
      </c>
      <c r="DH428" s="694">
        <f>SUMIFS(Imput[[Importe Neto]:[Importe Neto]],Imput[[C. Imp.]:[C. Imp.]],$D428,Imput[[PERIODO Imp.]:[PERIODO Imp.]],DH$9)</f>
        <v>0</v>
      </c>
    </row>
    <row r="429" spans="1:112" s="649" customFormat="1" ht="14.4" hidden="1" outlineLevel="1" thickBot="1" x14ac:dyDescent="0.35">
      <c r="A429" s="652" t="str">
        <f t="shared" si="171"/>
        <v/>
      </c>
      <c r="B429" s="652"/>
      <c r="C429" s="685"/>
      <c r="D429" s="686" t="s">
        <v>2481</v>
      </c>
      <c r="E429" s="686"/>
      <c r="F429" s="720"/>
      <c r="G429" s="688"/>
      <c r="H429" s="689"/>
      <c r="I429" s="851" t="str">
        <f t="shared" si="172"/>
        <v/>
      </c>
      <c r="J429" s="850" t="str">
        <f t="shared" si="173"/>
        <v/>
      </c>
      <c r="K429" s="667"/>
      <c r="L429" s="858"/>
      <c r="M429" s="859"/>
      <c r="N429" s="859"/>
      <c r="O429" s="859"/>
      <c r="P429" s="859"/>
      <c r="Q429" s="859"/>
      <c r="R429" s="859"/>
      <c r="S429" s="859"/>
      <c r="T429" s="859"/>
      <c r="U429" s="859"/>
      <c r="V429" s="859"/>
      <c r="W429" s="859"/>
      <c r="X429" s="859"/>
      <c r="Y429" s="859"/>
      <c r="Z429" s="860"/>
      <c r="AA429" s="860"/>
      <c r="AB429" s="860"/>
      <c r="AC429" s="860"/>
      <c r="AD429" s="860"/>
      <c r="AE429" s="860"/>
      <c r="AF429" s="860"/>
      <c r="AG429" s="860"/>
      <c r="AH429" s="860"/>
      <c r="AI429" s="860"/>
      <c r="AJ429" s="860"/>
      <c r="AK429" s="860"/>
      <c r="AL429" s="860"/>
      <c r="AM429" s="860"/>
      <c r="AN429" s="860"/>
      <c r="AO429" s="860"/>
      <c r="AP429" s="860"/>
      <c r="AQ429" s="860"/>
      <c r="AR429" s="860"/>
      <c r="AS429" s="860"/>
      <c r="AT429" s="860"/>
      <c r="AU429" s="860"/>
      <c r="AV429" s="860"/>
      <c r="AW429" s="860"/>
      <c r="AX429" s="860"/>
      <c r="AY429" s="860"/>
      <c r="AZ429" s="860"/>
      <c r="BA429" s="860"/>
      <c r="BB429" s="860"/>
      <c r="BC429" s="860"/>
      <c r="BD429" s="860"/>
      <c r="BE429" s="860"/>
      <c r="BF429" s="860"/>
      <c r="BG429" s="860"/>
      <c r="BH429" s="668"/>
      <c r="BI429" s="667"/>
      <c r="BJ429" s="690">
        <f t="shared" si="174"/>
        <v>0</v>
      </c>
      <c r="BK429" s="691">
        <f t="shared" si="175"/>
        <v>0</v>
      </c>
      <c r="BL429" s="654"/>
      <c r="BM429" s="692">
        <f>SUMIFS(Imput[[Importe Neto]:[Importe Neto]],Imput[[C. Imp.]:[C. Imp.]],$D429,Imput[[PERIODO Imp.]:[PERIODO Imp.]],BM$9)</f>
        <v>0</v>
      </c>
      <c r="BN429" s="693">
        <f>SUMIFS(Imput[[Importe Neto]:[Importe Neto]],Imput[[C. Imp.]:[C. Imp.]],$D429,Imput[[PERIODO Imp.]:[PERIODO Imp.]],BN$9)</f>
        <v>0</v>
      </c>
      <c r="BO429" s="693">
        <f>SUMIFS(Imput[[Importe Neto]:[Importe Neto]],Imput[[C. Imp.]:[C. Imp.]],$D429,Imput[[PERIODO Imp.]:[PERIODO Imp.]],BO$9)</f>
        <v>0</v>
      </c>
      <c r="BP429" s="693">
        <f>SUMIFS(Imput[[Importe Neto]:[Importe Neto]],Imput[[C. Imp.]:[C. Imp.]],$D429,Imput[[PERIODO Imp.]:[PERIODO Imp.]],BP$9)</f>
        <v>0</v>
      </c>
      <c r="BQ429" s="693">
        <f>SUMIFS(Imput[[Importe Neto]:[Importe Neto]],Imput[[C. Imp.]:[C. Imp.]],$D429,Imput[[PERIODO Imp.]:[PERIODO Imp.]],BQ$9)</f>
        <v>0</v>
      </c>
      <c r="BR429" s="693">
        <f>SUMIFS(Imput[[Importe Neto]:[Importe Neto]],Imput[[C. Imp.]:[C. Imp.]],$D429,Imput[[PERIODO Imp.]:[PERIODO Imp.]],BR$9)</f>
        <v>0</v>
      </c>
      <c r="BS429" s="693">
        <f>SUMIFS(Imput[[Importe Neto]:[Importe Neto]],Imput[[C. Imp.]:[C. Imp.]],$D429,Imput[[PERIODO Imp.]:[PERIODO Imp.]],BS$9)</f>
        <v>0</v>
      </c>
      <c r="BT429" s="693">
        <f>SUMIFS(Imput[[Importe Neto]:[Importe Neto]],Imput[[C. Imp.]:[C. Imp.]],$D429,Imput[[PERIODO Imp.]:[PERIODO Imp.]],BT$9)</f>
        <v>0</v>
      </c>
      <c r="BU429" s="693">
        <f>SUMIFS(Imput[[Importe Neto]:[Importe Neto]],Imput[[C. Imp.]:[C. Imp.]],$D429,Imput[[PERIODO Imp.]:[PERIODO Imp.]],BU$9)</f>
        <v>0</v>
      </c>
      <c r="BV429" s="693">
        <f>SUMIFS(Imput[[Importe Neto]:[Importe Neto]],Imput[[C. Imp.]:[C. Imp.]],$D429,Imput[[PERIODO Imp.]:[PERIODO Imp.]],BV$9)</f>
        <v>0</v>
      </c>
      <c r="BW429" s="693">
        <f>SUMIFS(Imput[[Importe Neto]:[Importe Neto]],Imput[[C. Imp.]:[C. Imp.]],$D429,Imput[[PERIODO Imp.]:[PERIODO Imp.]],BW$9)</f>
        <v>0</v>
      </c>
      <c r="BX429" s="693">
        <f>SUMIFS(Imput[[Importe Neto]:[Importe Neto]],Imput[[C. Imp.]:[C. Imp.]],$D429,Imput[[PERIODO Imp.]:[PERIODO Imp.]],BX$9)</f>
        <v>0</v>
      </c>
      <c r="BY429" s="693">
        <f>SUMIFS(Imput[[Importe Neto]:[Importe Neto]],Imput[[C. Imp.]:[C. Imp.]],$D429,Imput[[PERIODO Imp.]:[PERIODO Imp.]],BY$9)</f>
        <v>0</v>
      </c>
      <c r="BZ429" s="693">
        <f>SUMIFS(Imput[[Importe Neto]:[Importe Neto]],Imput[[C. Imp.]:[C. Imp.]],$D429,Imput[[PERIODO Imp.]:[PERIODO Imp.]],BZ$9)</f>
        <v>0</v>
      </c>
      <c r="CA429" s="693">
        <f>SUMIFS(Imput[[Importe Neto]:[Importe Neto]],Imput[[C. Imp.]:[C. Imp.]],$D429,Imput[[PERIODO Imp.]:[PERIODO Imp.]],CA$9)</f>
        <v>0</v>
      </c>
      <c r="CB429" s="693">
        <f>SUMIFS(Imput[[Importe Neto]:[Importe Neto]],Imput[[C. Imp.]:[C. Imp.]],$D429,Imput[[PERIODO Imp.]:[PERIODO Imp.]],CB$9)</f>
        <v>0</v>
      </c>
      <c r="CC429" s="693">
        <f>SUMIFS(Imput[[Importe Neto]:[Importe Neto]],Imput[[C. Imp.]:[C. Imp.]],$D429,Imput[[PERIODO Imp.]:[PERIODO Imp.]],CC$9)</f>
        <v>0</v>
      </c>
      <c r="CD429" s="693">
        <f>SUMIFS(Imput[[Importe Neto]:[Importe Neto]],Imput[[C. Imp.]:[C. Imp.]],$D429,Imput[[PERIODO Imp.]:[PERIODO Imp.]],CD$9)</f>
        <v>0</v>
      </c>
      <c r="CE429" s="693">
        <f>SUMIFS(Imput[[Importe Neto]:[Importe Neto]],Imput[[C. Imp.]:[C. Imp.]],$D429,Imput[[PERIODO Imp.]:[PERIODO Imp.]],CE$9)</f>
        <v>0</v>
      </c>
      <c r="CF429" s="693">
        <f>SUMIFS(Imput[[Importe Neto]:[Importe Neto]],Imput[[C. Imp.]:[C. Imp.]],$D429,Imput[[PERIODO Imp.]:[PERIODO Imp.]],CF$9)</f>
        <v>0</v>
      </c>
      <c r="CG429" s="693">
        <f>SUMIFS(Imput[[Importe Neto]:[Importe Neto]],Imput[[C. Imp.]:[C. Imp.]],$D429,Imput[[PERIODO Imp.]:[PERIODO Imp.]],CG$9)</f>
        <v>0</v>
      </c>
      <c r="CH429" s="693">
        <f>SUMIFS(Imput[[Importe Neto]:[Importe Neto]],Imput[[C. Imp.]:[C. Imp.]],$D429,Imput[[PERIODO Imp.]:[PERIODO Imp.]],CH$9)</f>
        <v>0</v>
      </c>
      <c r="CI429" s="693">
        <f>SUMIFS(Imput[[Importe Neto]:[Importe Neto]],Imput[[C. Imp.]:[C. Imp.]],$D429,Imput[[PERIODO Imp.]:[PERIODO Imp.]],CI$9)</f>
        <v>0</v>
      </c>
      <c r="CJ429" s="693">
        <f>SUMIFS(Imput[[Importe Neto]:[Importe Neto]],Imput[[C. Imp.]:[C. Imp.]],$D429,Imput[[PERIODO Imp.]:[PERIODO Imp.]],CJ$9)</f>
        <v>0</v>
      </c>
      <c r="CK429" s="693">
        <f>SUMIFS(Imput[[Importe Neto]:[Importe Neto]],Imput[[C. Imp.]:[C. Imp.]],$D429,Imput[[PERIODO Imp.]:[PERIODO Imp.]],CK$9)</f>
        <v>0</v>
      </c>
      <c r="CL429" s="693">
        <f>SUMIFS(Imput[[Importe Neto]:[Importe Neto]],Imput[[C. Imp.]:[C. Imp.]],$D429,Imput[[PERIODO Imp.]:[PERIODO Imp.]],CL$9)</f>
        <v>0</v>
      </c>
      <c r="CM429" s="693">
        <f>SUMIFS(Imput[[Importe Neto]:[Importe Neto]],Imput[[C. Imp.]:[C. Imp.]],$D429,Imput[[PERIODO Imp.]:[PERIODO Imp.]],CM$9)</f>
        <v>0</v>
      </c>
      <c r="CN429" s="693">
        <f>SUMIFS(Imput[[Importe Neto]:[Importe Neto]],Imput[[C. Imp.]:[C. Imp.]],$D429,Imput[[PERIODO Imp.]:[PERIODO Imp.]],CN$9)</f>
        <v>0</v>
      </c>
      <c r="CO429" s="693">
        <f>SUMIFS(Imput[[Importe Neto]:[Importe Neto]],Imput[[C. Imp.]:[C. Imp.]],$D429,Imput[[PERIODO Imp.]:[PERIODO Imp.]],CO$9)</f>
        <v>0</v>
      </c>
      <c r="CP429" s="693">
        <f>SUMIFS(Imput[[Importe Neto]:[Importe Neto]],Imput[[C. Imp.]:[C. Imp.]],$D429,Imput[[PERIODO Imp.]:[PERIODO Imp.]],CP$9)</f>
        <v>0</v>
      </c>
      <c r="CQ429" s="693">
        <f>SUMIFS(Imput[[Importe Neto]:[Importe Neto]],Imput[[C. Imp.]:[C. Imp.]],$D429,Imput[[PERIODO Imp.]:[PERIODO Imp.]],CQ$9)</f>
        <v>0</v>
      </c>
      <c r="CR429" s="693">
        <f>SUMIFS(Imput[[Importe Neto]:[Importe Neto]],Imput[[C. Imp.]:[C. Imp.]],$D429,Imput[[PERIODO Imp.]:[PERIODO Imp.]],CR$9)</f>
        <v>0</v>
      </c>
      <c r="CS429" s="693">
        <f>SUMIFS(Imput[[Importe Neto]:[Importe Neto]],Imput[[C. Imp.]:[C. Imp.]],$D429,Imput[[PERIODO Imp.]:[PERIODO Imp.]],CS$9)</f>
        <v>0</v>
      </c>
      <c r="CT429" s="693">
        <f>SUMIFS(Imput[[Importe Neto]:[Importe Neto]],Imput[[C. Imp.]:[C. Imp.]],$D429,Imput[[PERIODO Imp.]:[PERIODO Imp.]],CT$9)</f>
        <v>0</v>
      </c>
      <c r="CU429" s="693">
        <f>SUMIFS(Imput[[Importe Neto]:[Importe Neto]],Imput[[C. Imp.]:[C. Imp.]],$D429,Imput[[PERIODO Imp.]:[PERIODO Imp.]],CU$9)</f>
        <v>0</v>
      </c>
      <c r="CV429" s="693">
        <f>SUMIFS(Imput[[Importe Neto]:[Importe Neto]],Imput[[C. Imp.]:[C. Imp.]],$D429,Imput[[PERIODO Imp.]:[PERIODO Imp.]],CV$9)</f>
        <v>0</v>
      </c>
      <c r="CW429" s="693">
        <f>SUMIFS(Imput[[Importe Neto]:[Importe Neto]],Imput[[C. Imp.]:[C. Imp.]],$D429,Imput[[PERIODO Imp.]:[PERIODO Imp.]],CW$9)</f>
        <v>0</v>
      </c>
      <c r="CX429" s="693">
        <f>SUMIFS(Imput[[Importe Neto]:[Importe Neto]],Imput[[C. Imp.]:[C. Imp.]],$D429,Imput[[PERIODO Imp.]:[PERIODO Imp.]],CX$9)</f>
        <v>0</v>
      </c>
      <c r="CY429" s="693">
        <f>SUMIFS(Imput[[Importe Neto]:[Importe Neto]],Imput[[C. Imp.]:[C. Imp.]],$D429,Imput[[PERIODO Imp.]:[PERIODO Imp.]],CY$9)</f>
        <v>0</v>
      </c>
      <c r="CZ429" s="693">
        <f>SUMIFS(Imput[[Importe Neto]:[Importe Neto]],Imput[[C. Imp.]:[C. Imp.]],$D429,Imput[[PERIODO Imp.]:[PERIODO Imp.]],CZ$9)</f>
        <v>0</v>
      </c>
      <c r="DA429" s="693">
        <f>SUMIFS(Imput[[Importe Neto]:[Importe Neto]],Imput[[C. Imp.]:[C. Imp.]],$D429,Imput[[PERIODO Imp.]:[PERIODO Imp.]],DA$9)</f>
        <v>0</v>
      </c>
      <c r="DB429" s="693">
        <f>SUMIFS(Imput[[Importe Neto]:[Importe Neto]],Imput[[C. Imp.]:[C. Imp.]],$D429,Imput[[PERIODO Imp.]:[PERIODO Imp.]],DB$9)</f>
        <v>0</v>
      </c>
      <c r="DC429" s="693">
        <f>SUMIFS(Imput[[Importe Neto]:[Importe Neto]],Imput[[C. Imp.]:[C. Imp.]],$D429,Imput[[PERIODO Imp.]:[PERIODO Imp.]],DC$9)</f>
        <v>0</v>
      </c>
      <c r="DD429" s="693">
        <f>SUMIFS(Imput[[Importe Neto]:[Importe Neto]],Imput[[C. Imp.]:[C. Imp.]],$D429,Imput[[PERIODO Imp.]:[PERIODO Imp.]],DD$9)</f>
        <v>0</v>
      </c>
      <c r="DE429" s="693">
        <f>SUMIFS(Imput[[Importe Neto]:[Importe Neto]],Imput[[C. Imp.]:[C. Imp.]],$D429,Imput[[PERIODO Imp.]:[PERIODO Imp.]],DE$9)</f>
        <v>0</v>
      </c>
      <c r="DF429" s="693">
        <f>SUMIFS(Imput[[Importe Neto]:[Importe Neto]],Imput[[C. Imp.]:[C. Imp.]],$D429,Imput[[PERIODO Imp.]:[PERIODO Imp.]],DF$9)</f>
        <v>0</v>
      </c>
      <c r="DG429" s="693">
        <f>SUMIFS(Imput[[Importe Neto]:[Importe Neto]],Imput[[C. Imp.]:[C. Imp.]],$D429,Imput[[PERIODO Imp.]:[PERIODO Imp.]],DG$9)</f>
        <v>0</v>
      </c>
      <c r="DH429" s="694">
        <f>SUMIFS(Imput[[Importe Neto]:[Importe Neto]],Imput[[C. Imp.]:[C. Imp.]],$D429,Imput[[PERIODO Imp.]:[PERIODO Imp.]],DH$9)</f>
        <v>0</v>
      </c>
    </row>
    <row r="430" spans="1:112" s="649" customFormat="1" ht="14.4" hidden="1" outlineLevel="1" thickBot="1" x14ac:dyDescent="0.35">
      <c r="A430" s="652" t="str">
        <f t="shared" si="171"/>
        <v/>
      </c>
      <c r="B430" s="652"/>
      <c r="C430" s="685"/>
      <c r="D430" s="686" t="s">
        <v>2482</v>
      </c>
      <c r="E430" s="686"/>
      <c r="F430" s="720"/>
      <c r="G430" s="688"/>
      <c r="H430" s="689"/>
      <c r="I430" s="851" t="str">
        <f t="shared" si="172"/>
        <v/>
      </c>
      <c r="J430" s="850" t="str">
        <f t="shared" si="173"/>
        <v/>
      </c>
      <c r="K430" s="667"/>
      <c r="L430" s="858"/>
      <c r="M430" s="859"/>
      <c r="N430" s="859"/>
      <c r="O430" s="859"/>
      <c r="P430" s="859"/>
      <c r="Q430" s="859"/>
      <c r="R430" s="859"/>
      <c r="S430" s="859"/>
      <c r="T430" s="859"/>
      <c r="U430" s="859"/>
      <c r="V430" s="859"/>
      <c r="W430" s="859"/>
      <c r="X430" s="859"/>
      <c r="Y430" s="859"/>
      <c r="Z430" s="860"/>
      <c r="AA430" s="860"/>
      <c r="AB430" s="860"/>
      <c r="AC430" s="860"/>
      <c r="AD430" s="860"/>
      <c r="AE430" s="860"/>
      <c r="AF430" s="860"/>
      <c r="AG430" s="860"/>
      <c r="AH430" s="860"/>
      <c r="AI430" s="860"/>
      <c r="AJ430" s="860"/>
      <c r="AK430" s="860"/>
      <c r="AL430" s="860"/>
      <c r="AM430" s="860"/>
      <c r="AN430" s="860"/>
      <c r="AO430" s="860"/>
      <c r="AP430" s="860"/>
      <c r="AQ430" s="860"/>
      <c r="AR430" s="860"/>
      <c r="AS430" s="860"/>
      <c r="AT430" s="860"/>
      <c r="AU430" s="860"/>
      <c r="AV430" s="860"/>
      <c r="AW430" s="860"/>
      <c r="AX430" s="860"/>
      <c r="AY430" s="860"/>
      <c r="AZ430" s="860"/>
      <c r="BA430" s="860"/>
      <c r="BB430" s="860"/>
      <c r="BC430" s="860"/>
      <c r="BD430" s="860"/>
      <c r="BE430" s="860"/>
      <c r="BF430" s="860"/>
      <c r="BG430" s="860"/>
      <c r="BH430" s="668"/>
      <c r="BI430" s="667"/>
      <c r="BJ430" s="690">
        <f t="shared" si="174"/>
        <v>0</v>
      </c>
      <c r="BK430" s="691">
        <f t="shared" si="175"/>
        <v>0</v>
      </c>
      <c r="BL430" s="654"/>
      <c r="BM430" s="692">
        <f>SUMIFS(Imput[[Importe Neto]:[Importe Neto]],Imput[[C. Imp.]:[C. Imp.]],$D430,Imput[[PERIODO Imp.]:[PERIODO Imp.]],BM$9)</f>
        <v>0</v>
      </c>
      <c r="BN430" s="693">
        <f>SUMIFS(Imput[[Importe Neto]:[Importe Neto]],Imput[[C. Imp.]:[C. Imp.]],$D430,Imput[[PERIODO Imp.]:[PERIODO Imp.]],BN$9)</f>
        <v>0</v>
      </c>
      <c r="BO430" s="693">
        <f>SUMIFS(Imput[[Importe Neto]:[Importe Neto]],Imput[[C. Imp.]:[C. Imp.]],$D430,Imput[[PERIODO Imp.]:[PERIODO Imp.]],BO$9)</f>
        <v>0</v>
      </c>
      <c r="BP430" s="693">
        <f>SUMIFS(Imput[[Importe Neto]:[Importe Neto]],Imput[[C. Imp.]:[C. Imp.]],$D430,Imput[[PERIODO Imp.]:[PERIODO Imp.]],BP$9)</f>
        <v>0</v>
      </c>
      <c r="BQ430" s="693">
        <f>SUMIFS(Imput[[Importe Neto]:[Importe Neto]],Imput[[C. Imp.]:[C. Imp.]],$D430,Imput[[PERIODO Imp.]:[PERIODO Imp.]],BQ$9)</f>
        <v>0</v>
      </c>
      <c r="BR430" s="693">
        <f>SUMIFS(Imput[[Importe Neto]:[Importe Neto]],Imput[[C. Imp.]:[C. Imp.]],$D430,Imput[[PERIODO Imp.]:[PERIODO Imp.]],BR$9)</f>
        <v>0</v>
      </c>
      <c r="BS430" s="693">
        <f>SUMIFS(Imput[[Importe Neto]:[Importe Neto]],Imput[[C. Imp.]:[C. Imp.]],$D430,Imput[[PERIODO Imp.]:[PERIODO Imp.]],BS$9)</f>
        <v>0</v>
      </c>
      <c r="BT430" s="693">
        <f>SUMIFS(Imput[[Importe Neto]:[Importe Neto]],Imput[[C. Imp.]:[C. Imp.]],$D430,Imput[[PERIODO Imp.]:[PERIODO Imp.]],BT$9)</f>
        <v>0</v>
      </c>
      <c r="BU430" s="693">
        <f>SUMIFS(Imput[[Importe Neto]:[Importe Neto]],Imput[[C. Imp.]:[C. Imp.]],$D430,Imput[[PERIODO Imp.]:[PERIODO Imp.]],BU$9)</f>
        <v>0</v>
      </c>
      <c r="BV430" s="693">
        <f>SUMIFS(Imput[[Importe Neto]:[Importe Neto]],Imput[[C. Imp.]:[C. Imp.]],$D430,Imput[[PERIODO Imp.]:[PERIODO Imp.]],BV$9)</f>
        <v>0</v>
      </c>
      <c r="BW430" s="693">
        <f>SUMIFS(Imput[[Importe Neto]:[Importe Neto]],Imput[[C. Imp.]:[C. Imp.]],$D430,Imput[[PERIODO Imp.]:[PERIODO Imp.]],BW$9)</f>
        <v>0</v>
      </c>
      <c r="BX430" s="693">
        <f>SUMIFS(Imput[[Importe Neto]:[Importe Neto]],Imput[[C. Imp.]:[C. Imp.]],$D430,Imput[[PERIODO Imp.]:[PERIODO Imp.]],BX$9)</f>
        <v>0</v>
      </c>
      <c r="BY430" s="693">
        <f>SUMIFS(Imput[[Importe Neto]:[Importe Neto]],Imput[[C. Imp.]:[C. Imp.]],$D430,Imput[[PERIODO Imp.]:[PERIODO Imp.]],BY$9)</f>
        <v>0</v>
      </c>
      <c r="BZ430" s="693">
        <f>SUMIFS(Imput[[Importe Neto]:[Importe Neto]],Imput[[C. Imp.]:[C. Imp.]],$D430,Imput[[PERIODO Imp.]:[PERIODO Imp.]],BZ$9)</f>
        <v>0</v>
      </c>
      <c r="CA430" s="693">
        <f>SUMIFS(Imput[[Importe Neto]:[Importe Neto]],Imput[[C. Imp.]:[C. Imp.]],$D430,Imput[[PERIODO Imp.]:[PERIODO Imp.]],CA$9)</f>
        <v>0</v>
      </c>
      <c r="CB430" s="693">
        <f>SUMIFS(Imput[[Importe Neto]:[Importe Neto]],Imput[[C. Imp.]:[C. Imp.]],$D430,Imput[[PERIODO Imp.]:[PERIODO Imp.]],CB$9)</f>
        <v>0</v>
      </c>
      <c r="CC430" s="693">
        <f>SUMIFS(Imput[[Importe Neto]:[Importe Neto]],Imput[[C. Imp.]:[C. Imp.]],$D430,Imput[[PERIODO Imp.]:[PERIODO Imp.]],CC$9)</f>
        <v>0</v>
      </c>
      <c r="CD430" s="693">
        <f>SUMIFS(Imput[[Importe Neto]:[Importe Neto]],Imput[[C. Imp.]:[C. Imp.]],$D430,Imput[[PERIODO Imp.]:[PERIODO Imp.]],CD$9)</f>
        <v>0</v>
      </c>
      <c r="CE430" s="693">
        <f>SUMIFS(Imput[[Importe Neto]:[Importe Neto]],Imput[[C. Imp.]:[C. Imp.]],$D430,Imput[[PERIODO Imp.]:[PERIODO Imp.]],CE$9)</f>
        <v>0</v>
      </c>
      <c r="CF430" s="693">
        <f>SUMIFS(Imput[[Importe Neto]:[Importe Neto]],Imput[[C. Imp.]:[C. Imp.]],$D430,Imput[[PERIODO Imp.]:[PERIODO Imp.]],CF$9)</f>
        <v>0</v>
      </c>
      <c r="CG430" s="693">
        <f>SUMIFS(Imput[[Importe Neto]:[Importe Neto]],Imput[[C. Imp.]:[C. Imp.]],$D430,Imput[[PERIODO Imp.]:[PERIODO Imp.]],CG$9)</f>
        <v>0</v>
      </c>
      <c r="CH430" s="693">
        <f>SUMIFS(Imput[[Importe Neto]:[Importe Neto]],Imput[[C. Imp.]:[C. Imp.]],$D430,Imput[[PERIODO Imp.]:[PERIODO Imp.]],CH$9)</f>
        <v>0</v>
      </c>
      <c r="CI430" s="693">
        <f>SUMIFS(Imput[[Importe Neto]:[Importe Neto]],Imput[[C. Imp.]:[C. Imp.]],$D430,Imput[[PERIODO Imp.]:[PERIODO Imp.]],CI$9)</f>
        <v>0</v>
      </c>
      <c r="CJ430" s="693">
        <f>SUMIFS(Imput[[Importe Neto]:[Importe Neto]],Imput[[C. Imp.]:[C. Imp.]],$D430,Imput[[PERIODO Imp.]:[PERIODO Imp.]],CJ$9)</f>
        <v>0</v>
      </c>
      <c r="CK430" s="693">
        <f>SUMIFS(Imput[[Importe Neto]:[Importe Neto]],Imput[[C. Imp.]:[C. Imp.]],$D430,Imput[[PERIODO Imp.]:[PERIODO Imp.]],CK$9)</f>
        <v>0</v>
      </c>
      <c r="CL430" s="693">
        <f>SUMIFS(Imput[[Importe Neto]:[Importe Neto]],Imput[[C. Imp.]:[C. Imp.]],$D430,Imput[[PERIODO Imp.]:[PERIODO Imp.]],CL$9)</f>
        <v>0</v>
      </c>
      <c r="CM430" s="693">
        <f>SUMIFS(Imput[[Importe Neto]:[Importe Neto]],Imput[[C. Imp.]:[C. Imp.]],$D430,Imput[[PERIODO Imp.]:[PERIODO Imp.]],CM$9)</f>
        <v>0</v>
      </c>
      <c r="CN430" s="693">
        <f>SUMIFS(Imput[[Importe Neto]:[Importe Neto]],Imput[[C. Imp.]:[C. Imp.]],$D430,Imput[[PERIODO Imp.]:[PERIODO Imp.]],CN$9)</f>
        <v>0</v>
      </c>
      <c r="CO430" s="693">
        <f>SUMIFS(Imput[[Importe Neto]:[Importe Neto]],Imput[[C. Imp.]:[C. Imp.]],$D430,Imput[[PERIODO Imp.]:[PERIODO Imp.]],CO$9)</f>
        <v>0</v>
      </c>
      <c r="CP430" s="693">
        <f>SUMIFS(Imput[[Importe Neto]:[Importe Neto]],Imput[[C. Imp.]:[C. Imp.]],$D430,Imput[[PERIODO Imp.]:[PERIODO Imp.]],CP$9)</f>
        <v>0</v>
      </c>
      <c r="CQ430" s="693">
        <f>SUMIFS(Imput[[Importe Neto]:[Importe Neto]],Imput[[C. Imp.]:[C. Imp.]],$D430,Imput[[PERIODO Imp.]:[PERIODO Imp.]],CQ$9)</f>
        <v>0</v>
      </c>
      <c r="CR430" s="693">
        <f>SUMIFS(Imput[[Importe Neto]:[Importe Neto]],Imput[[C. Imp.]:[C. Imp.]],$D430,Imput[[PERIODO Imp.]:[PERIODO Imp.]],CR$9)</f>
        <v>0</v>
      </c>
      <c r="CS430" s="693">
        <f>SUMIFS(Imput[[Importe Neto]:[Importe Neto]],Imput[[C. Imp.]:[C. Imp.]],$D430,Imput[[PERIODO Imp.]:[PERIODO Imp.]],CS$9)</f>
        <v>0</v>
      </c>
      <c r="CT430" s="693">
        <f>SUMIFS(Imput[[Importe Neto]:[Importe Neto]],Imput[[C. Imp.]:[C. Imp.]],$D430,Imput[[PERIODO Imp.]:[PERIODO Imp.]],CT$9)</f>
        <v>0</v>
      </c>
      <c r="CU430" s="693">
        <f>SUMIFS(Imput[[Importe Neto]:[Importe Neto]],Imput[[C. Imp.]:[C. Imp.]],$D430,Imput[[PERIODO Imp.]:[PERIODO Imp.]],CU$9)</f>
        <v>0</v>
      </c>
      <c r="CV430" s="693">
        <f>SUMIFS(Imput[[Importe Neto]:[Importe Neto]],Imput[[C. Imp.]:[C. Imp.]],$D430,Imput[[PERIODO Imp.]:[PERIODO Imp.]],CV$9)</f>
        <v>0</v>
      </c>
      <c r="CW430" s="693">
        <f>SUMIFS(Imput[[Importe Neto]:[Importe Neto]],Imput[[C. Imp.]:[C. Imp.]],$D430,Imput[[PERIODO Imp.]:[PERIODO Imp.]],CW$9)</f>
        <v>0</v>
      </c>
      <c r="CX430" s="693">
        <f>SUMIFS(Imput[[Importe Neto]:[Importe Neto]],Imput[[C. Imp.]:[C. Imp.]],$D430,Imput[[PERIODO Imp.]:[PERIODO Imp.]],CX$9)</f>
        <v>0</v>
      </c>
      <c r="CY430" s="693">
        <f>SUMIFS(Imput[[Importe Neto]:[Importe Neto]],Imput[[C. Imp.]:[C. Imp.]],$D430,Imput[[PERIODO Imp.]:[PERIODO Imp.]],CY$9)</f>
        <v>0</v>
      </c>
      <c r="CZ430" s="693">
        <f>SUMIFS(Imput[[Importe Neto]:[Importe Neto]],Imput[[C. Imp.]:[C. Imp.]],$D430,Imput[[PERIODO Imp.]:[PERIODO Imp.]],CZ$9)</f>
        <v>0</v>
      </c>
      <c r="DA430" s="693">
        <f>SUMIFS(Imput[[Importe Neto]:[Importe Neto]],Imput[[C. Imp.]:[C. Imp.]],$D430,Imput[[PERIODO Imp.]:[PERIODO Imp.]],DA$9)</f>
        <v>0</v>
      </c>
      <c r="DB430" s="693">
        <f>SUMIFS(Imput[[Importe Neto]:[Importe Neto]],Imput[[C. Imp.]:[C. Imp.]],$D430,Imput[[PERIODO Imp.]:[PERIODO Imp.]],DB$9)</f>
        <v>0</v>
      </c>
      <c r="DC430" s="693">
        <f>SUMIFS(Imput[[Importe Neto]:[Importe Neto]],Imput[[C. Imp.]:[C. Imp.]],$D430,Imput[[PERIODO Imp.]:[PERIODO Imp.]],DC$9)</f>
        <v>0</v>
      </c>
      <c r="DD430" s="693">
        <f>SUMIFS(Imput[[Importe Neto]:[Importe Neto]],Imput[[C. Imp.]:[C. Imp.]],$D430,Imput[[PERIODO Imp.]:[PERIODO Imp.]],DD$9)</f>
        <v>0</v>
      </c>
      <c r="DE430" s="693">
        <f>SUMIFS(Imput[[Importe Neto]:[Importe Neto]],Imput[[C. Imp.]:[C. Imp.]],$D430,Imput[[PERIODO Imp.]:[PERIODO Imp.]],DE$9)</f>
        <v>0</v>
      </c>
      <c r="DF430" s="693">
        <f>SUMIFS(Imput[[Importe Neto]:[Importe Neto]],Imput[[C. Imp.]:[C. Imp.]],$D430,Imput[[PERIODO Imp.]:[PERIODO Imp.]],DF$9)</f>
        <v>0</v>
      </c>
      <c r="DG430" s="693">
        <f>SUMIFS(Imput[[Importe Neto]:[Importe Neto]],Imput[[C. Imp.]:[C. Imp.]],$D430,Imput[[PERIODO Imp.]:[PERIODO Imp.]],DG$9)</f>
        <v>0</v>
      </c>
      <c r="DH430" s="694">
        <f>SUMIFS(Imput[[Importe Neto]:[Importe Neto]],Imput[[C. Imp.]:[C. Imp.]],$D430,Imput[[PERIODO Imp.]:[PERIODO Imp.]],DH$9)</f>
        <v>0</v>
      </c>
    </row>
    <row r="431" spans="1:112" s="649" customFormat="1" ht="14.4" hidden="1" outlineLevel="1" thickBot="1" x14ac:dyDescent="0.35">
      <c r="A431" s="652" t="str">
        <f t="shared" si="171"/>
        <v/>
      </c>
      <c r="B431" s="652"/>
      <c r="C431" s="685"/>
      <c r="D431" s="686" t="s">
        <v>2483</v>
      </c>
      <c r="E431" s="686"/>
      <c r="F431" s="720"/>
      <c r="G431" s="688"/>
      <c r="H431" s="689"/>
      <c r="I431" s="851" t="str">
        <f t="shared" si="172"/>
        <v/>
      </c>
      <c r="J431" s="850" t="str">
        <f t="shared" si="173"/>
        <v/>
      </c>
      <c r="K431" s="667"/>
      <c r="L431" s="858"/>
      <c r="M431" s="859"/>
      <c r="N431" s="859"/>
      <c r="O431" s="859"/>
      <c r="P431" s="859"/>
      <c r="Q431" s="859"/>
      <c r="R431" s="859"/>
      <c r="S431" s="859"/>
      <c r="T431" s="859"/>
      <c r="U431" s="859"/>
      <c r="V431" s="859"/>
      <c r="W431" s="859"/>
      <c r="X431" s="859"/>
      <c r="Y431" s="859"/>
      <c r="Z431" s="860"/>
      <c r="AA431" s="860"/>
      <c r="AB431" s="860"/>
      <c r="AC431" s="860"/>
      <c r="AD431" s="860"/>
      <c r="AE431" s="860"/>
      <c r="AF431" s="860"/>
      <c r="AG431" s="860"/>
      <c r="AH431" s="860"/>
      <c r="AI431" s="860"/>
      <c r="AJ431" s="860"/>
      <c r="AK431" s="860"/>
      <c r="AL431" s="860"/>
      <c r="AM431" s="860"/>
      <c r="AN431" s="860"/>
      <c r="AO431" s="860"/>
      <c r="AP431" s="860"/>
      <c r="AQ431" s="860"/>
      <c r="AR431" s="860"/>
      <c r="AS431" s="860"/>
      <c r="AT431" s="860"/>
      <c r="AU431" s="860"/>
      <c r="AV431" s="860"/>
      <c r="AW431" s="860"/>
      <c r="AX431" s="860"/>
      <c r="AY431" s="860"/>
      <c r="AZ431" s="860"/>
      <c r="BA431" s="860"/>
      <c r="BB431" s="860"/>
      <c r="BC431" s="860"/>
      <c r="BD431" s="860"/>
      <c r="BE431" s="860"/>
      <c r="BF431" s="860"/>
      <c r="BG431" s="860"/>
      <c r="BH431" s="668"/>
      <c r="BI431" s="667"/>
      <c r="BJ431" s="690">
        <f t="shared" si="174"/>
        <v>0</v>
      </c>
      <c r="BK431" s="691">
        <f t="shared" si="175"/>
        <v>0</v>
      </c>
      <c r="BL431" s="654"/>
      <c r="BM431" s="692">
        <f>SUMIFS(Imput[[Importe Neto]:[Importe Neto]],Imput[[C. Imp.]:[C. Imp.]],$D431,Imput[[PERIODO Imp.]:[PERIODO Imp.]],BM$9)</f>
        <v>0</v>
      </c>
      <c r="BN431" s="693">
        <f>SUMIFS(Imput[[Importe Neto]:[Importe Neto]],Imput[[C. Imp.]:[C. Imp.]],$D431,Imput[[PERIODO Imp.]:[PERIODO Imp.]],BN$9)</f>
        <v>0</v>
      </c>
      <c r="BO431" s="693">
        <f>SUMIFS(Imput[[Importe Neto]:[Importe Neto]],Imput[[C. Imp.]:[C. Imp.]],$D431,Imput[[PERIODO Imp.]:[PERIODO Imp.]],BO$9)</f>
        <v>0</v>
      </c>
      <c r="BP431" s="693">
        <f>SUMIFS(Imput[[Importe Neto]:[Importe Neto]],Imput[[C. Imp.]:[C. Imp.]],$D431,Imput[[PERIODO Imp.]:[PERIODO Imp.]],BP$9)</f>
        <v>0</v>
      </c>
      <c r="BQ431" s="693">
        <f>SUMIFS(Imput[[Importe Neto]:[Importe Neto]],Imput[[C. Imp.]:[C. Imp.]],$D431,Imput[[PERIODO Imp.]:[PERIODO Imp.]],BQ$9)</f>
        <v>0</v>
      </c>
      <c r="BR431" s="693">
        <f>SUMIFS(Imput[[Importe Neto]:[Importe Neto]],Imput[[C. Imp.]:[C. Imp.]],$D431,Imput[[PERIODO Imp.]:[PERIODO Imp.]],BR$9)</f>
        <v>0</v>
      </c>
      <c r="BS431" s="693">
        <f>SUMIFS(Imput[[Importe Neto]:[Importe Neto]],Imput[[C. Imp.]:[C. Imp.]],$D431,Imput[[PERIODO Imp.]:[PERIODO Imp.]],BS$9)</f>
        <v>0</v>
      </c>
      <c r="BT431" s="693">
        <f>SUMIFS(Imput[[Importe Neto]:[Importe Neto]],Imput[[C. Imp.]:[C. Imp.]],$D431,Imput[[PERIODO Imp.]:[PERIODO Imp.]],BT$9)</f>
        <v>0</v>
      </c>
      <c r="BU431" s="693">
        <f>SUMIFS(Imput[[Importe Neto]:[Importe Neto]],Imput[[C. Imp.]:[C. Imp.]],$D431,Imput[[PERIODO Imp.]:[PERIODO Imp.]],BU$9)</f>
        <v>0</v>
      </c>
      <c r="BV431" s="693">
        <f>SUMIFS(Imput[[Importe Neto]:[Importe Neto]],Imput[[C. Imp.]:[C. Imp.]],$D431,Imput[[PERIODO Imp.]:[PERIODO Imp.]],BV$9)</f>
        <v>0</v>
      </c>
      <c r="BW431" s="693">
        <f>SUMIFS(Imput[[Importe Neto]:[Importe Neto]],Imput[[C. Imp.]:[C. Imp.]],$D431,Imput[[PERIODO Imp.]:[PERIODO Imp.]],BW$9)</f>
        <v>0</v>
      </c>
      <c r="BX431" s="693">
        <f>SUMIFS(Imput[[Importe Neto]:[Importe Neto]],Imput[[C. Imp.]:[C. Imp.]],$D431,Imput[[PERIODO Imp.]:[PERIODO Imp.]],BX$9)</f>
        <v>0</v>
      </c>
      <c r="BY431" s="693">
        <f>SUMIFS(Imput[[Importe Neto]:[Importe Neto]],Imput[[C. Imp.]:[C. Imp.]],$D431,Imput[[PERIODO Imp.]:[PERIODO Imp.]],BY$9)</f>
        <v>0</v>
      </c>
      <c r="BZ431" s="693">
        <f>SUMIFS(Imput[[Importe Neto]:[Importe Neto]],Imput[[C. Imp.]:[C. Imp.]],$D431,Imput[[PERIODO Imp.]:[PERIODO Imp.]],BZ$9)</f>
        <v>0</v>
      </c>
      <c r="CA431" s="693">
        <f>SUMIFS(Imput[[Importe Neto]:[Importe Neto]],Imput[[C. Imp.]:[C. Imp.]],$D431,Imput[[PERIODO Imp.]:[PERIODO Imp.]],CA$9)</f>
        <v>0</v>
      </c>
      <c r="CB431" s="693">
        <f>SUMIFS(Imput[[Importe Neto]:[Importe Neto]],Imput[[C. Imp.]:[C. Imp.]],$D431,Imput[[PERIODO Imp.]:[PERIODO Imp.]],CB$9)</f>
        <v>0</v>
      </c>
      <c r="CC431" s="693">
        <f>SUMIFS(Imput[[Importe Neto]:[Importe Neto]],Imput[[C. Imp.]:[C. Imp.]],$D431,Imput[[PERIODO Imp.]:[PERIODO Imp.]],CC$9)</f>
        <v>0</v>
      </c>
      <c r="CD431" s="693">
        <f>SUMIFS(Imput[[Importe Neto]:[Importe Neto]],Imput[[C. Imp.]:[C. Imp.]],$D431,Imput[[PERIODO Imp.]:[PERIODO Imp.]],CD$9)</f>
        <v>0</v>
      </c>
      <c r="CE431" s="693">
        <f>SUMIFS(Imput[[Importe Neto]:[Importe Neto]],Imput[[C. Imp.]:[C. Imp.]],$D431,Imput[[PERIODO Imp.]:[PERIODO Imp.]],CE$9)</f>
        <v>0</v>
      </c>
      <c r="CF431" s="693">
        <f>SUMIFS(Imput[[Importe Neto]:[Importe Neto]],Imput[[C. Imp.]:[C. Imp.]],$D431,Imput[[PERIODO Imp.]:[PERIODO Imp.]],CF$9)</f>
        <v>0</v>
      </c>
      <c r="CG431" s="693">
        <f>SUMIFS(Imput[[Importe Neto]:[Importe Neto]],Imput[[C. Imp.]:[C. Imp.]],$D431,Imput[[PERIODO Imp.]:[PERIODO Imp.]],CG$9)</f>
        <v>0</v>
      </c>
      <c r="CH431" s="693">
        <f>SUMIFS(Imput[[Importe Neto]:[Importe Neto]],Imput[[C. Imp.]:[C. Imp.]],$D431,Imput[[PERIODO Imp.]:[PERIODO Imp.]],CH$9)</f>
        <v>0</v>
      </c>
      <c r="CI431" s="693">
        <f>SUMIFS(Imput[[Importe Neto]:[Importe Neto]],Imput[[C. Imp.]:[C. Imp.]],$D431,Imput[[PERIODO Imp.]:[PERIODO Imp.]],CI$9)</f>
        <v>0</v>
      </c>
      <c r="CJ431" s="693">
        <f>SUMIFS(Imput[[Importe Neto]:[Importe Neto]],Imput[[C. Imp.]:[C. Imp.]],$D431,Imput[[PERIODO Imp.]:[PERIODO Imp.]],CJ$9)</f>
        <v>0</v>
      </c>
      <c r="CK431" s="693">
        <f>SUMIFS(Imput[[Importe Neto]:[Importe Neto]],Imput[[C. Imp.]:[C. Imp.]],$D431,Imput[[PERIODO Imp.]:[PERIODO Imp.]],CK$9)</f>
        <v>0</v>
      </c>
      <c r="CL431" s="693">
        <f>SUMIFS(Imput[[Importe Neto]:[Importe Neto]],Imput[[C. Imp.]:[C. Imp.]],$D431,Imput[[PERIODO Imp.]:[PERIODO Imp.]],CL$9)</f>
        <v>0</v>
      </c>
      <c r="CM431" s="693">
        <f>SUMIFS(Imput[[Importe Neto]:[Importe Neto]],Imput[[C. Imp.]:[C. Imp.]],$D431,Imput[[PERIODO Imp.]:[PERIODO Imp.]],CM$9)</f>
        <v>0</v>
      </c>
      <c r="CN431" s="693">
        <f>SUMIFS(Imput[[Importe Neto]:[Importe Neto]],Imput[[C. Imp.]:[C. Imp.]],$D431,Imput[[PERIODO Imp.]:[PERIODO Imp.]],CN$9)</f>
        <v>0</v>
      </c>
      <c r="CO431" s="693">
        <f>SUMIFS(Imput[[Importe Neto]:[Importe Neto]],Imput[[C. Imp.]:[C. Imp.]],$D431,Imput[[PERIODO Imp.]:[PERIODO Imp.]],CO$9)</f>
        <v>0</v>
      </c>
      <c r="CP431" s="693">
        <f>SUMIFS(Imput[[Importe Neto]:[Importe Neto]],Imput[[C. Imp.]:[C. Imp.]],$D431,Imput[[PERIODO Imp.]:[PERIODO Imp.]],CP$9)</f>
        <v>0</v>
      </c>
      <c r="CQ431" s="693">
        <f>SUMIFS(Imput[[Importe Neto]:[Importe Neto]],Imput[[C. Imp.]:[C. Imp.]],$D431,Imput[[PERIODO Imp.]:[PERIODO Imp.]],CQ$9)</f>
        <v>0</v>
      </c>
      <c r="CR431" s="693">
        <f>SUMIFS(Imput[[Importe Neto]:[Importe Neto]],Imput[[C. Imp.]:[C. Imp.]],$D431,Imput[[PERIODO Imp.]:[PERIODO Imp.]],CR$9)</f>
        <v>0</v>
      </c>
      <c r="CS431" s="693">
        <f>SUMIFS(Imput[[Importe Neto]:[Importe Neto]],Imput[[C. Imp.]:[C. Imp.]],$D431,Imput[[PERIODO Imp.]:[PERIODO Imp.]],CS$9)</f>
        <v>0</v>
      </c>
      <c r="CT431" s="693">
        <f>SUMIFS(Imput[[Importe Neto]:[Importe Neto]],Imput[[C. Imp.]:[C. Imp.]],$D431,Imput[[PERIODO Imp.]:[PERIODO Imp.]],CT$9)</f>
        <v>0</v>
      </c>
      <c r="CU431" s="693">
        <f>SUMIFS(Imput[[Importe Neto]:[Importe Neto]],Imput[[C. Imp.]:[C. Imp.]],$D431,Imput[[PERIODO Imp.]:[PERIODO Imp.]],CU$9)</f>
        <v>0</v>
      </c>
      <c r="CV431" s="693">
        <f>SUMIFS(Imput[[Importe Neto]:[Importe Neto]],Imput[[C. Imp.]:[C. Imp.]],$D431,Imput[[PERIODO Imp.]:[PERIODO Imp.]],CV$9)</f>
        <v>0</v>
      </c>
      <c r="CW431" s="693">
        <f>SUMIFS(Imput[[Importe Neto]:[Importe Neto]],Imput[[C. Imp.]:[C. Imp.]],$D431,Imput[[PERIODO Imp.]:[PERIODO Imp.]],CW$9)</f>
        <v>0</v>
      </c>
      <c r="CX431" s="693">
        <f>SUMIFS(Imput[[Importe Neto]:[Importe Neto]],Imput[[C. Imp.]:[C. Imp.]],$D431,Imput[[PERIODO Imp.]:[PERIODO Imp.]],CX$9)</f>
        <v>0</v>
      </c>
      <c r="CY431" s="693">
        <f>SUMIFS(Imput[[Importe Neto]:[Importe Neto]],Imput[[C. Imp.]:[C. Imp.]],$D431,Imput[[PERIODO Imp.]:[PERIODO Imp.]],CY$9)</f>
        <v>0</v>
      </c>
      <c r="CZ431" s="693">
        <f>SUMIFS(Imput[[Importe Neto]:[Importe Neto]],Imput[[C. Imp.]:[C. Imp.]],$D431,Imput[[PERIODO Imp.]:[PERIODO Imp.]],CZ$9)</f>
        <v>0</v>
      </c>
      <c r="DA431" s="693">
        <f>SUMIFS(Imput[[Importe Neto]:[Importe Neto]],Imput[[C. Imp.]:[C. Imp.]],$D431,Imput[[PERIODO Imp.]:[PERIODO Imp.]],DA$9)</f>
        <v>0</v>
      </c>
      <c r="DB431" s="693">
        <f>SUMIFS(Imput[[Importe Neto]:[Importe Neto]],Imput[[C. Imp.]:[C. Imp.]],$D431,Imput[[PERIODO Imp.]:[PERIODO Imp.]],DB$9)</f>
        <v>0</v>
      </c>
      <c r="DC431" s="693">
        <f>SUMIFS(Imput[[Importe Neto]:[Importe Neto]],Imput[[C. Imp.]:[C. Imp.]],$D431,Imput[[PERIODO Imp.]:[PERIODO Imp.]],DC$9)</f>
        <v>0</v>
      </c>
      <c r="DD431" s="693">
        <f>SUMIFS(Imput[[Importe Neto]:[Importe Neto]],Imput[[C. Imp.]:[C. Imp.]],$D431,Imput[[PERIODO Imp.]:[PERIODO Imp.]],DD$9)</f>
        <v>0</v>
      </c>
      <c r="DE431" s="693">
        <f>SUMIFS(Imput[[Importe Neto]:[Importe Neto]],Imput[[C. Imp.]:[C. Imp.]],$D431,Imput[[PERIODO Imp.]:[PERIODO Imp.]],DE$9)</f>
        <v>0</v>
      </c>
      <c r="DF431" s="693">
        <f>SUMIFS(Imput[[Importe Neto]:[Importe Neto]],Imput[[C. Imp.]:[C. Imp.]],$D431,Imput[[PERIODO Imp.]:[PERIODO Imp.]],DF$9)</f>
        <v>0</v>
      </c>
      <c r="DG431" s="693">
        <f>SUMIFS(Imput[[Importe Neto]:[Importe Neto]],Imput[[C. Imp.]:[C. Imp.]],$D431,Imput[[PERIODO Imp.]:[PERIODO Imp.]],DG$9)</f>
        <v>0</v>
      </c>
      <c r="DH431" s="694">
        <f>SUMIFS(Imput[[Importe Neto]:[Importe Neto]],Imput[[C. Imp.]:[C. Imp.]],$D431,Imput[[PERIODO Imp.]:[PERIODO Imp.]],DH$9)</f>
        <v>0</v>
      </c>
    </row>
    <row r="432" spans="1:112" s="649" customFormat="1" ht="14.4" hidden="1" outlineLevel="1" thickBot="1" x14ac:dyDescent="0.35">
      <c r="A432" s="652" t="str">
        <f t="shared" si="171"/>
        <v/>
      </c>
      <c r="B432" s="652"/>
      <c r="C432" s="685"/>
      <c r="D432" s="686" t="s">
        <v>2484</v>
      </c>
      <c r="E432" s="686"/>
      <c r="F432" s="720"/>
      <c r="G432" s="688"/>
      <c r="H432" s="689"/>
      <c r="I432" s="851" t="str">
        <f t="shared" si="172"/>
        <v/>
      </c>
      <c r="J432" s="850" t="str">
        <f t="shared" si="173"/>
        <v/>
      </c>
      <c r="K432" s="667"/>
      <c r="L432" s="858"/>
      <c r="M432" s="859"/>
      <c r="N432" s="859"/>
      <c r="O432" s="859"/>
      <c r="P432" s="859"/>
      <c r="Q432" s="859"/>
      <c r="R432" s="859"/>
      <c r="S432" s="859"/>
      <c r="T432" s="859"/>
      <c r="U432" s="859"/>
      <c r="V432" s="859"/>
      <c r="W432" s="859"/>
      <c r="X432" s="859"/>
      <c r="Y432" s="859"/>
      <c r="Z432" s="860"/>
      <c r="AA432" s="860"/>
      <c r="AB432" s="860"/>
      <c r="AC432" s="860"/>
      <c r="AD432" s="860"/>
      <c r="AE432" s="860"/>
      <c r="AF432" s="860"/>
      <c r="AG432" s="860"/>
      <c r="AH432" s="860"/>
      <c r="AI432" s="860"/>
      <c r="AJ432" s="860"/>
      <c r="AK432" s="860"/>
      <c r="AL432" s="860"/>
      <c r="AM432" s="860"/>
      <c r="AN432" s="860"/>
      <c r="AO432" s="860"/>
      <c r="AP432" s="860"/>
      <c r="AQ432" s="860"/>
      <c r="AR432" s="860"/>
      <c r="AS432" s="860"/>
      <c r="AT432" s="860"/>
      <c r="AU432" s="860"/>
      <c r="AV432" s="860"/>
      <c r="AW432" s="860"/>
      <c r="AX432" s="860"/>
      <c r="AY432" s="860"/>
      <c r="AZ432" s="860"/>
      <c r="BA432" s="860"/>
      <c r="BB432" s="860"/>
      <c r="BC432" s="860"/>
      <c r="BD432" s="860"/>
      <c r="BE432" s="860"/>
      <c r="BF432" s="860"/>
      <c r="BG432" s="860"/>
      <c r="BH432" s="668"/>
      <c r="BI432" s="667"/>
      <c r="BJ432" s="690">
        <f t="shared" si="174"/>
        <v>0</v>
      </c>
      <c r="BK432" s="691">
        <f t="shared" si="175"/>
        <v>0</v>
      </c>
      <c r="BL432" s="654"/>
      <c r="BM432" s="692">
        <f>SUMIFS(Imput[[Importe Neto]:[Importe Neto]],Imput[[C. Imp.]:[C. Imp.]],$D432,Imput[[PERIODO Imp.]:[PERIODO Imp.]],BM$9)</f>
        <v>0</v>
      </c>
      <c r="BN432" s="693">
        <f>SUMIFS(Imput[[Importe Neto]:[Importe Neto]],Imput[[C. Imp.]:[C. Imp.]],$D432,Imput[[PERIODO Imp.]:[PERIODO Imp.]],BN$9)</f>
        <v>0</v>
      </c>
      <c r="BO432" s="693">
        <f>SUMIFS(Imput[[Importe Neto]:[Importe Neto]],Imput[[C. Imp.]:[C. Imp.]],$D432,Imput[[PERIODO Imp.]:[PERIODO Imp.]],BO$9)</f>
        <v>0</v>
      </c>
      <c r="BP432" s="693">
        <f>SUMIFS(Imput[[Importe Neto]:[Importe Neto]],Imput[[C. Imp.]:[C. Imp.]],$D432,Imput[[PERIODO Imp.]:[PERIODO Imp.]],BP$9)</f>
        <v>0</v>
      </c>
      <c r="BQ432" s="693">
        <f>SUMIFS(Imput[[Importe Neto]:[Importe Neto]],Imput[[C. Imp.]:[C. Imp.]],$D432,Imput[[PERIODO Imp.]:[PERIODO Imp.]],BQ$9)</f>
        <v>0</v>
      </c>
      <c r="BR432" s="693">
        <f>SUMIFS(Imput[[Importe Neto]:[Importe Neto]],Imput[[C. Imp.]:[C. Imp.]],$D432,Imput[[PERIODO Imp.]:[PERIODO Imp.]],BR$9)</f>
        <v>0</v>
      </c>
      <c r="BS432" s="693">
        <f>SUMIFS(Imput[[Importe Neto]:[Importe Neto]],Imput[[C. Imp.]:[C. Imp.]],$D432,Imput[[PERIODO Imp.]:[PERIODO Imp.]],BS$9)</f>
        <v>0</v>
      </c>
      <c r="BT432" s="693">
        <f>SUMIFS(Imput[[Importe Neto]:[Importe Neto]],Imput[[C. Imp.]:[C. Imp.]],$D432,Imput[[PERIODO Imp.]:[PERIODO Imp.]],BT$9)</f>
        <v>0</v>
      </c>
      <c r="BU432" s="693">
        <f>SUMIFS(Imput[[Importe Neto]:[Importe Neto]],Imput[[C. Imp.]:[C. Imp.]],$D432,Imput[[PERIODO Imp.]:[PERIODO Imp.]],BU$9)</f>
        <v>0</v>
      </c>
      <c r="BV432" s="693">
        <f>SUMIFS(Imput[[Importe Neto]:[Importe Neto]],Imput[[C. Imp.]:[C. Imp.]],$D432,Imput[[PERIODO Imp.]:[PERIODO Imp.]],BV$9)</f>
        <v>0</v>
      </c>
      <c r="BW432" s="693">
        <f>SUMIFS(Imput[[Importe Neto]:[Importe Neto]],Imput[[C. Imp.]:[C. Imp.]],$D432,Imput[[PERIODO Imp.]:[PERIODO Imp.]],BW$9)</f>
        <v>0</v>
      </c>
      <c r="BX432" s="693">
        <f>SUMIFS(Imput[[Importe Neto]:[Importe Neto]],Imput[[C. Imp.]:[C. Imp.]],$D432,Imput[[PERIODO Imp.]:[PERIODO Imp.]],BX$9)</f>
        <v>0</v>
      </c>
      <c r="BY432" s="693">
        <f>SUMIFS(Imput[[Importe Neto]:[Importe Neto]],Imput[[C. Imp.]:[C. Imp.]],$D432,Imput[[PERIODO Imp.]:[PERIODO Imp.]],BY$9)</f>
        <v>0</v>
      </c>
      <c r="BZ432" s="693">
        <f>SUMIFS(Imput[[Importe Neto]:[Importe Neto]],Imput[[C. Imp.]:[C. Imp.]],$D432,Imput[[PERIODO Imp.]:[PERIODO Imp.]],BZ$9)</f>
        <v>0</v>
      </c>
      <c r="CA432" s="693">
        <f>SUMIFS(Imput[[Importe Neto]:[Importe Neto]],Imput[[C. Imp.]:[C. Imp.]],$D432,Imput[[PERIODO Imp.]:[PERIODO Imp.]],CA$9)</f>
        <v>0</v>
      </c>
      <c r="CB432" s="693">
        <f>SUMIFS(Imput[[Importe Neto]:[Importe Neto]],Imput[[C. Imp.]:[C. Imp.]],$D432,Imput[[PERIODO Imp.]:[PERIODO Imp.]],CB$9)</f>
        <v>0</v>
      </c>
      <c r="CC432" s="693">
        <f>SUMIFS(Imput[[Importe Neto]:[Importe Neto]],Imput[[C. Imp.]:[C. Imp.]],$D432,Imput[[PERIODO Imp.]:[PERIODO Imp.]],CC$9)</f>
        <v>0</v>
      </c>
      <c r="CD432" s="693">
        <f>SUMIFS(Imput[[Importe Neto]:[Importe Neto]],Imput[[C. Imp.]:[C. Imp.]],$D432,Imput[[PERIODO Imp.]:[PERIODO Imp.]],CD$9)</f>
        <v>0</v>
      </c>
      <c r="CE432" s="693">
        <f>SUMIFS(Imput[[Importe Neto]:[Importe Neto]],Imput[[C. Imp.]:[C. Imp.]],$D432,Imput[[PERIODO Imp.]:[PERIODO Imp.]],CE$9)</f>
        <v>0</v>
      </c>
      <c r="CF432" s="693">
        <f>SUMIFS(Imput[[Importe Neto]:[Importe Neto]],Imput[[C. Imp.]:[C. Imp.]],$D432,Imput[[PERIODO Imp.]:[PERIODO Imp.]],CF$9)</f>
        <v>0</v>
      </c>
      <c r="CG432" s="693">
        <f>SUMIFS(Imput[[Importe Neto]:[Importe Neto]],Imput[[C. Imp.]:[C. Imp.]],$D432,Imput[[PERIODO Imp.]:[PERIODO Imp.]],CG$9)</f>
        <v>0</v>
      </c>
      <c r="CH432" s="693">
        <f>SUMIFS(Imput[[Importe Neto]:[Importe Neto]],Imput[[C. Imp.]:[C. Imp.]],$D432,Imput[[PERIODO Imp.]:[PERIODO Imp.]],CH$9)</f>
        <v>0</v>
      </c>
      <c r="CI432" s="693">
        <f>SUMIFS(Imput[[Importe Neto]:[Importe Neto]],Imput[[C. Imp.]:[C. Imp.]],$D432,Imput[[PERIODO Imp.]:[PERIODO Imp.]],CI$9)</f>
        <v>0</v>
      </c>
      <c r="CJ432" s="693">
        <f>SUMIFS(Imput[[Importe Neto]:[Importe Neto]],Imput[[C. Imp.]:[C. Imp.]],$D432,Imput[[PERIODO Imp.]:[PERIODO Imp.]],CJ$9)</f>
        <v>0</v>
      </c>
      <c r="CK432" s="693">
        <f>SUMIFS(Imput[[Importe Neto]:[Importe Neto]],Imput[[C. Imp.]:[C. Imp.]],$D432,Imput[[PERIODO Imp.]:[PERIODO Imp.]],CK$9)</f>
        <v>0</v>
      </c>
      <c r="CL432" s="693">
        <f>SUMIFS(Imput[[Importe Neto]:[Importe Neto]],Imput[[C. Imp.]:[C. Imp.]],$D432,Imput[[PERIODO Imp.]:[PERIODO Imp.]],CL$9)</f>
        <v>0</v>
      </c>
      <c r="CM432" s="693">
        <f>SUMIFS(Imput[[Importe Neto]:[Importe Neto]],Imput[[C. Imp.]:[C. Imp.]],$D432,Imput[[PERIODO Imp.]:[PERIODO Imp.]],CM$9)</f>
        <v>0</v>
      </c>
      <c r="CN432" s="693">
        <f>SUMIFS(Imput[[Importe Neto]:[Importe Neto]],Imput[[C. Imp.]:[C. Imp.]],$D432,Imput[[PERIODO Imp.]:[PERIODO Imp.]],CN$9)</f>
        <v>0</v>
      </c>
      <c r="CO432" s="693">
        <f>SUMIFS(Imput[[Importe Neto]:[Importe Neto]],Imput[[C. Imp.]:[C. Imp.]],$D432,Imput[[PERIODO Imp.]:[PERIODO Imp.]],CO$9)</f>
        <v>0</v>
      </c>
      <c r="CP432" s="693">
        <f>SUMIFS(Imput[[Importe Neto]:[Importe Neto]],Imput[[C. Imp.]:[C. Imp.]],$D432,Imput[[PERIODO Imp.]:[PERIODO Imp.]],CP$9)</f>
        <v>0</v>
      </c>
      <c r="CQ432" s="693">
        <f>SUMIFS(Imput[[Importe Neto]:[Importe Neto]],Imput[[C. Imp.]:[C. Imp.]],$D432,Imput[[PERIODO Imp.]:[PERIODO Imp.]],CQ$9)</f>
        <v>0</v>
      </c>
      <c r="CR432" s="693">
        <f>SUMIFS(Imput[[Importe Neto]:[Importe Neto]],Imput[[C. Imp.]:[C. Imp.]],$D432,Imput[[PERIODO Imp.]:[PERIODO Imp.]],CR$9)</f>
        <v>0</v>
      </c>
      <c r="CS432" s="693">
        <f>SUMIFS(Imput[[Importe Neto]:[Importe Neto]],Imput[[C. Imp.]:[C. Imp.]],$D432,Imput[[PERIODO Imp.]:[PERIODO Imp.]],CS$9)</f>
        <v>0</v>
      </c>
      <c r="CT432" s="693">
        <f>SUMIFS(Imput[[Importe Neto]:[Importe Neto]],Imput[[C. Imp.]:[C. Imp.]],$D432,Imput[[PERIODO Imp.]:[PERIODO Imp.]],CT$9)</f>
        <v>0</v>
      </c>
      <c r="CU432" s="693">
        <f>SUMIFS(Imput[[Importe Neto]:[Importe Neto]],Imput[[C. Imp.]:[C. Imp.]],$D432,Imput[[PERIODO Imp.]:[PERIODO Imp.]],CU$9)</f>
        <v>0</v>
      </c>
      <c r="CV432" s="693">
        <f>SUMIFS(Imput[[Importe Neto]:[Importe Neto]],Imput[[C. Imp.]:[C. Imp.]],$D432,Imput[[PERIODO Imp.]:[PERIODO Imp.]],CV$9)</f>
        <v>0</v>
      </c>
      <c r="CW432" s="693">
        <f>SUMIFS(Imput[[Importe Neto]:[Importe Neto]],Imput[[C. Imp.]:[C. Imp.]],$D432,Imput[[PERIODO Imp.]:[PERIODO Imp.]],CW$9)</f>
        <v>0</v>
      </c>
      <c r="CX432" s="693">
        <f>SUMIFS(Imput[[Importe Neto]:[Importe Neto]],Imput[[C. Imp.]:[C. Imp.]],$D432,Imput[[PERIODO Imp.]:[PERIODO Imp.]],CX$9)</f>
        <v>0</v>
      </c>
      <c r="CY432" s="693">
        <f>SUMIFS(Imput[[Importe Neto]:[Importe Neto]],Imput[[C. Imp.]:[C. Imp.]],$D432,Imput[[PERIODO Imp.]:[PERIODO Imp.]],CY$9)</f>
        <v>0</v>
      </c>
      <c r="CZ432" s="693">
        <f>SUMIFS(Imput[[Importe Neto]:[Importe Neto]],Imput[[C. Imp.]:[C. Imp.]],$D432,Imput[[PERIODO Imp.]:[PERIODO Imp.]],CZ$9)</f>
        <v>0</v>
      </c>
      <c r="DA432" s="693">
        <f>SUMIFS(Imput[[Importe Neto]:[Importe Neto]],Imput[[C. Imp.]:[C. Imp.]],$D432,Imput[[PERIODO Imp.]:[PERIODO Imp.]],DA$9)</f>
        <v>0</v>
      </c>
      <c r="DB432" s="693">
        <f>SUMIFS(Imput[[Importe Neto]:[Importe Neto]],Imput[[C. Imp.]:[C. Imp.]],$D432,Imput[[PERIODO Imp.]:[PERIODO Imp.]],DB$9)</f>
        <v>0</v>
      </c>
      <c r="DC432" s="693">
        <f>SUMIFS(Imput[[Importe Neto]:[Importe Neto]],Imput[[C. Imp.]:[C. Imp.]],$D432,Imput[[PERIODO Imp.]:[PERIODO Imp.]],DC$9)</f>
        <v>0</v>
      </c>
      <c r="DD432" s="693">
        <f>SUMIFS(Imput[[Importe Neto]:[Importe Neto]],Imput[[C. Imp.]:[C. Imp.]],$D432,Imput[[PERIODO Imp.]:[PERIODO Imp.]],DD$9)</f>
        <v>0</v>
      </c>
      <c r="DE432" s="693">
        <f>SUMIFS(Imput[[Importe Neto]:[Importe Neto]],Imput[[C. Imp.]:[C. Imp.]],$D432,Imput[[PERIODO Imp.]:[PERIODO Imp.]],DE$9)</f>
        <v>0</v>
      </c>
      <c r="DF432" s="693">
        <f>SUMIFS(Imput[[Importe Neto]:[Importe Neto]],Imput[[C. Imp.]:[C. Imp.]],$D432,Imput[[PERIODO Imp.]:[PERIODO Imp.]],DF$9)</f>
        <v>0</v>
      </c>
      <c r="DG432" s="693">
        <f>SUMIFS(Imput[[Importe Neto]:[Importe Neto]],Imput[[C. Imp.]:[C. Imp.]],$D432,Imput[[PERIODO Imp.]:[PERIODO Imp.]],DG$9)</f>
        <v>0</v>
      </c>
      <c r="DH432" s="694">
        <f>SUMIFS(Imput[[Importe Neto]:[Importe Neto]],Imput[[C. Imp.]:[C. Imp.]],$D432,Imput[[PERIODO Imp.]:[PERIODO Imp.]],DH$9)</f>
        <v>0</v>
      </c>
    </row>
    <row r="433" spans="1:112" s="649" customFormat="1" ht="14.4" hidden="1" outlineLevel="1" thickBot="1" x14ac:dyDescent="0.35">
      <c r="A433" s="652" t="str">
        <f t="shared" si="171"/>
        <v/>
      </c>
      <c r="B433" s="652"/>
      <c r="C433" s="685"/>
      <c r="D433" s="686" t="s">
        <v>2485</v>
      </c>
      <c r="E433" s="686"/>
      <c r="F433" s="720"/>
      <c r="G433" s="688"/>
      <c r="H433" s="689"/>
      <c r="I433" s="851" t="str">
        <f t="shared" si="172"/>
        <v/>
      </c>
      <c r="J433" s="850" t="str">
        <f t="shared" si="173"/>
        <v/>
      </c>
      <c r="K433" s="667"/>
      <c r="L433" s="858"/>
      <c r="M433" s="859"/>
      <c r="N433" s="859"/>
      <c r="O433" s="859"/>
      <c r="P433" s="859"/>
      <c r="Q433" s="859"/>
      <c r="R433" s="859"/>
      <c r="S433" s="859"/>
      <c r="T433" s="859"/>
      <c r="U433" s="859"/>
      <c r="V433" s="859"/>
      <c r="W433" s="859"/>
      <c r="X433" s="859"/>
      <c r="Y433" s="859"/>
      <c r="Z433" s="860"/>
      <c r="AA433" s="860"/>
      <c r="AB433" s="860"/>
      <c r="AC433" s="860"/>
      <c r="AD433" s="860"/>
      <c r="AE433" s="860"/>
      <c r="AF433" s="860"/>
      <c r="AG433" s="860"/>
      <c r="AH433" s="860"/>
      <c r="AI433" s="860"/>
      <c r="AJ433" s="860"/>
      <c r="AK433" s="860"/>
      <c r="AL433" s="860"/>
      <c r="AM433" s="860"/>
      <c r="AN433" s="860"/>
      <c r="AO433" s="860"/>
      <c r="AP433" s="860"/>
      <c r="AQ433" s="860"/>
      <c r="AR433" s="860"/>
      <c r="AS433" s="860"/>
      <c r="AT433" s="860"/>
      <c r="AU433" s="860"/>
      <c r="AV433" s="860"/>
      <c r="AW433" s="860"/>
      <c r="AX433" s="860"/>
      <c r="AY433" s="860"/>
      <c r="AZ433" s="860"/>
      <c r="BA433" s="860"/>
      <c r="BB433" s="860"/>
      <c r="BC433" s="860"/>
      <c r="BD433" s="860"/>
      <c r="BE433" s="860"/>
      <c r="BF433" s="860"/>
      <c r="BG433" s="860"/>
      <c r="BH433" s="668"/>
      <c r="BI433" s="667"/>
      <c r="BJ433" s="690">
        <f t="shared" si="174"/>
        <v>0</v>
      </c>
      <c r="BK433" s="691">
        <f t="shared" si="175"/>
        <v>0</v>
      </c>
      <c r="BL433" s="654"/>
      <c r="BM433" s="692">
        <f>SUMIFS(Imput[[Importe Neto]:[Importe Neto]],Imput[[C. Imp.]:[C. Imp.]],$D433,Imput[[PERIODO Imp.]:[PERIODO Imp.]],BM$9)</f>
        <v>0</v>
      </c>
      <c r="BN433" s="693">
        <f>SUMIFS(Imput[[Importe Neto]:[Importe Neto]],Imput[[C. Imp.]:[C. Imp.]],$D433,Imput[[PERIODO Imp.]:[PERIODO Imp.]],BN$9)</f>
        <v>0</v>
      </c>
      <c r="BO433" s="693">
        <f>SUMIFS(Imput[[Importe Neto]:[Importe Neto]],Imput[[C. Imp.]:[C. Imp.]],$D433,Imput[[PERIODO Imp.]:[PERIODO Imp.]],BO$9)</f>
        <v>0</v>
      </c>
      <c r="BP433" s="693">
        <f>SUMIFS(Imput[[Importe Neto]:[Importe Neto]],Imput[[C. Imp.]:[C. Imp.]],$D433,Imput[[PERIODO Imp.]:[PERIODO Imp.]],BP$9)</f>
        <v>0</v>
      </c>
      <c r="BQ433" s="693">
        <f>SUMIFS(Imput[[Importe Neto]:[Importe Neto]],Imput[[C. Imp.]:[C. Imp.]],$D433,Imput[[PERIODO Imp.]:[PERIODO Imp.]],BQ$9)</f>
        <v>0</v>
      </c>
      <c r="BR433" s="693">
        <f>SUMIFS(Imput[[Importe Neto]:[Importe Neto]],Imput[[C. Imp.]:[C. Imp.]],$D433,Imput[[PERIODO Imp.]:[PERIODO Imp.]],BR$9)</f>
        <v>0</v>
      </c>
      <c r="BS433" s="693">
        <f>SUMIFS(Imput[[Importe Neto]:[Importe Neto]],Imput[[C. Imp.]:[C. Imp.]],$D433,Imput[[PERIODO Imp.]:[PERIODO Imp.]],BS$9)</f>
        <v>0</v>
      </c>
      <c r="BT433" s="693">
        <f>SUMIFS(Imput[[Importe Neto]:[Importe Neto]],Imput[[C. Imp.]:[C. Imp.]],$D433,Imput[[PERIODO Imp.]:[PERIODO Imp.]],BT$9)</f>
        <v>0</v>
      </c>
      <c r="BU433" s="693">
        <f>SUMIFS(Imput[[Importe Neto]:[Importe Neto]],Imput[[C. Imp.]:[C. Imp.]],$D433,Imput[[PERIODO Imp.]:[PERIODO Imp.]],BU$9)</f>
        <v>0</v>
      </c>
      <c r="BV433" s="693">
        <f>SUMIFS(Imput[[Importe Neto]:[Importe Neto]],Imput[[C. Imp.]:[C. Imp.]],$D433,Imput[[PERIODO Imp.]:[PERIODO Imp.]],BV$9)</f>
        <v>0</v>
      </c>
      <c r="BW433" s="693">
        <f>SUMIFS(Imput[[Importe Neto]:[Importe Neto]],Imput[[C. Imp.]:[C. Imp.]],$D433,Imput[[PERIODO Imp.]:[PERIODO Imp.]],BW$9)</f>
        <v>0</v>
      </c>
      <c r="BX433" s="693">
        <f>SUMIFS(Imput[[Importe Neto]:[Importe Neto]],Imput[[C. Imp.]:[C. Imp.]],$D433,Imput[[PERIODO Imp.]:[PERIODO Imp.]],BX$9)</f>
        <v>0</v>
      </c>
      <c r="BY433" s="693">
        <f>SUMIFS(Imput[[Importe Neto]:[Importe Neto]],Imput[[C. Imp.]:[C. Imp.]],$D433,Imput[[PERIODO Imp.]:[PERIODO Imp.]],BY$9)</f>
        <v>0</v>
      </c>
      <c r="BZ433" s="693">
        <f>SUMIFS(Imput[[Importe Neto]:[Importe Neto]],Imput[[C. Imp.]:[C. Imp.]],$D433,Imput[[PERIODO Imp.]:[PERIODO Imp.]],BZ$9)</f>
        <v>0</v>
      </c>
      <c r="CA433" s="693">
        <f>SUMIFS(Imput[[Importe Neto]:[Importe Neto]],Imput[[C. Imp.]:[C. Imp.]],$D433,Imput[[PERIODO Imp.]:[PERIODO Imp.]],CA$9)</f>
        <v>0</v>
      </c>
      <c r="CB433" s="693">
        <f>SUMIFS(Imput[[Importe Neto]:[Importe Neto]],Imput[[C. Imp.]:[C. Imp.]],$D433,Imput[[PERIODO Imp.]:[PERIODO Imp.]],CB$9)</f>
        <v>0</v>
      </c>
      <c r="CC433" s="693">
        <f>SUMIFS(Imput[[Importe Neto]:[Importe Neto]],Imput[[C. Imp.]:[C. Imp.]],$D433,Imput[[PERIODO Imp.]:[PERIODO Imp.]],CC$9)</f>
        <v>0</v>
      </c>
      <c r="CD433" s="693">
        <f>SUMIFS(Imput[[Importe Neto]:[Importe Neto]],Imput[[C. Imp.]:[C. Imp.]],$D433,Imput[[PERIODO Imp.]:[PERIODO Imp.]],CD$9)</f>
        <v>0</v>
      </c>
      <c r="CE433" s="693">
        <f>SUMIFS(Imput[[Importe Neto]:[Importe Neto]],Imput[[C. Imp.]:[C. Imp.]],$D433,Imput[[PERIODO Imp.]:[PERIODO Imp.]],CE$9)</f>
        <v>0</v>
      </c>
      <c r="CF433" s="693">
        <f>SUMIFS(Imput[[Importe Neto]:[Importe Neto]],Imput[[C. Imp.]:[C. Imp.]],$D433,Imput[[PERIODO Imp.]:[PERIODO Imp.]],CF$9)</f>
        <v>0</v>
      </c>
      <c r="CG433" s="693">
        <f>SUMIFS(Imput[[Importe Neto]:[Importe Neto]],Imput[[C. Imp.]:[C. Imp.]],$D433,Imput[[PERIODO Imp.]:[PERIODO Imp.]],CG$9)</f>
        <v>0</v>
      </c>
      <c r="CH433" s="693">
        <f>SUMIFS(Imput[[Importe Neto]:[Importe Neto]],Imput[[C. Imp.]:[C. Imp.]],$D433,Imput[[PERIODO Imp.]:[PERIODO Imp.]],CH$9)</f>
        <v>0</v>
      </c>
      <c r="CI433" s="693">
        <f>SUMIFS(Imput[[Importe Neto]:[Importe Neto]],Imput[[C. Imp.]:[C. Imp.]],$D433,Imput[[PERIODO Imp.]:[PERIODO Imp.]],CI$9)</f>
        <v>0</v>
      </c>
      <c r="CJ433" s="693">
        <f>SUMIFS(Imput[[Importe Neto]:[Importe Neto]],Imput[[C. Imp.]:[C. Imp.]],$D433,Imput[[PERIODO Imp.]:[PERIODO Imp.]],CJ$9)</f>
        <v>0</v>
      </c>
      <c r="CK433" s="693">
        <f>SUMIFS(Imput[[Importe Neto]:[Importe Neto]],Imput[[C. Imp.]:[C. Imp.]],$D433,Imput[[PERIODO Imp.]:[PERIODO Imp.]],CK$9)</f>
        <v>0</v>
      </c>
      <c r="CL433" s="693">
        <f>SUMIFS(Imput[[Importe Neto]:[Importe Neto]],Imput[[C. Imp.]:[C. Imp.]],$D433,Imput[[PERIODO Imp.]:[PERIODO Imp.]],CL$9)</f>
        <v>0</v>
      </c>
      <c r="CM433" s="693">
        <f>SUMIFS(Imput[[Importe Neto]:[Importe Neto]],Imput[[C. Imp.]:[C. Imp.]],$D433,Imput[[PERIODO Imp.]:[PERIODO Imp.]],CM$9)</f>
        <v>0</v>
      </c>
      <c r="CN433" s="693">
        <f>SUMIFS(Imput[[Importe Neto]:[Importe Neto]],Imput[[C. Imp.]:[C. Imp.]],$D433,Imput[[PERIODO Imp.]:[PERIODO Imp.]],CN$9)</f>
        <v>0</v>
      </c>
      <c r="CO433" s="693">
        <f>SUMIFS(Imput[[Importe Neto]:[Importe Neto]],Imput[[C. Imp.]:[C. Imp.]],$D433,Imput[[PERIODO Imp.]:[PERIODO Imp.]],CO$9)</f>
        <v>0</v>
      </c>
      <c r="CP433" s="693">
        <f>SUMIFS(Imput[[Importe Neto]:[Importe Neto]],Imput[[C. Imp.]:[C. Imp.]],$D433,Imput[[PERIODO Imp.]:[PERIODO Imp.]],CP$9)</f>
        <v>0</v>
      </c>
      <c r="CQ433" s="693">
        <f>SUMIFS(Imput[[Importe Neto]:[Importe Neto]],Imput[[C. Imp.]:[C. Imp.]],$D433,Imput[[PERIODO Imp.]:[PERIODO Imp.]],CQ$9)</f>
        <v>0</v>
      </c>
      <c r="CR433" s="693">
        <f>SUMIFS(Imput[[Importe Neto]:[Importe Neto]],Imput[[C. Imp.]:[C. Imp.]],$D433,Imput[[PERIODO Imp.]:[PERIODO Imp.]],CR$9)</f>
        <v>0</v>
      </c>
      <c r="CS433" s="693">
        <f>SUMIFS(Imput[[Importe Neto]:[Importe Neto]],Imput[[C. Imp.]:[C. Imp.]],$D433,Imput[[PERIODO Imp.]:[PERIODO Imp.]],CS$9)</f>
        <v>0</v>
      </c>
      <c r="CT433" s="693">
        <f>SUMIFS(Imput[[Importe Neto]:[Importe Neto]],Imput[[C. Imp.]:[C. Imp.]],$D433,Imput[[PERIODO Imp.]:[PERIODO Imp.]],CT$9)</f>
        <v>0</v>
      </c>
      <c r="CU433" s="693">
        <f>SUMIFS(Imput[[Importe Neto]:[Importe Neto]],Imput[[C. Imp.]:[C. Imp.]],$D433,Imput[[PERIODO Imp.]:[PERIODO Imp.]],CU$9)</f>
        <v>0</v>
      </c>
      <c r="CV433" s="693">
        <f>SUMIFS(Imput[[Importe Neto]:[Importe Neto]],Imput[[C. Imp.]:[C. Imp.]],$D433,Imput[[PERIODO Imp.]:[PERIODO Imp.]],CV$9)</f>
        <v>0</v>
      </c>
      <c r="CW433" s="693">
        <f>SUMIFS(Imput[[Importe Neto]:[Importe Neto]],Imput[[C. Imp.]:[C. Imp.]],$D433,Imput[[PERIODO Imp.]:[PERIODO Imp.]],CW$9)</f>
        <v>0</v>
      </c>
      <c r="CX433" s="693">
        <f>SUMIFS(Imput[[Importe Neto]:[Importe Neto]],Imput[[C. Imp.]:[C. Imp.]],$D433,Imput[[PERIODO Imp.]:[PERIODO Imp.]],CX$9)</f>
        <v>0</v>
      </c>
      <c r="CY433" s="693">
        <f>SUMIFS(Imput[[Importe Neto]:[Importe Neto]],Imput[[C. Imp.]:[C. Imp.]],$D433,Imput[[PERIODO Imp.]:[PERIODO Imp.]],CY$9)</f>
        <v>0</v>
      </c>
      <c r="CZ433" s="693">
        <f>SUMIFS(Imput[[Importe Neto]:[Importe Neto]],Imput[[C. Imp.]:[C. Imp.]],$D433,Imput[[PERIODO Imp.]:[PERIODO Imp.]],CZ$9)</f>
        <v>0</v>
      </c>
      <c r="DA433" s="693">
        <f>SUMIFS(Imput[[Importe Neto]:[Importe Neto]],Imput[[C. Imp.]:[C. Imp.]],$D433,Imput[[PERIODO Imp.]:[PERIODO Imp.]],DA$9)</f>
        <v>0</v>
      </c>
      <c r="DB433" s="693">
        <f>SUMIFS(Imput[[Importe Neto]:[Importe Neto]],Imput[[C. Imp.]:[C. Imp.]],$D433,Imput[[PERIODO Imp.]:[PERIODO Imp.]],DB$9)</f>
        <v>0</v>
      </c>
      <c r="DC433" s="693">
        <f>SUMIFS(Imput[[Importe Neto]:[Importe Neto]],Imput[[C. Imp.]:[C. Imp.]],$D433,Imput[[PERIODO Imp.]:[PERIODO Imp.]],DC$9)</f>
        <v>0</v>
      </c>
      <c r="DD433" s="693">
        <f>SUMIFS(Imput[[Importe Neto]:[Importe Neto]],Imput[[C. Imp.]:[C. Imp.]],$D433,Imput[[PERIODO Imp.]:[PERIODO Imp.]],DD$9)</f>
        <v>0</v>
      </c>
      <c r="DE433" s="693">
        <f>SUMIFS(Imput[[Importe Neto]:[Importe Neto]],Imput[[C. Imp.]:[C. Imp.]],$D433,Imput[[PERIODO Imp.]:[PERIODO Imp.]],DE$9)</f>
        <v>0</v>
      </c>
      <c r="DF433" s="693">
        <f>SUMIFS(Imput[[Importe Neto]:[Importe Neto]],Imput[[C. Imp.]:[C. Imp.]],$D433,Imput[[PERIODO Imp.]:[PERIODO Imp.]],DF$9)</f>
        <v>0</v>
      </c>
      <c r="DG433" s="693">
        <f>SUMIFS(Imput[[Importe Neto]:[Importe Neto]],Imput[[C. Imp.]:[C. Imp.]],$D433,Imput[[PERIODO Imp.]:[PERIODO Imp.]],DG$9)</f>
        <v>0</v>
      </c>
      <c r="DH433" s="694">
        <f>SUMIFS(Imput[[Importe Neto]:[Importe Neto]],Imput[[C. Imp.]:[C. Imp.]],$D433,Imput[[PERIODO Imp.]:[PERIODO Imp.]],DH$9)</f>
        <v>0</v>
      </c>
    </row>
    <row r="434" spans="1:112" s="649" customFormat="1" ht="14.4" hidden="1" outlineLevel="1" thickBot="1" x14ac:dyDescent="0.35">
      <c r="A434" s="652" t="str">
        <f t="shared" si="171"/>
        <v/>
      </c>
      <c r="B434" s="652"/>
      <c r="C434" s="685"/>
      <c r="D434" s="686" t="s">
        <v>2486</v>
      </c>
      <c r="E434" s="686"/>
      <c r="F434" s="720"/>
      <c r="G434" s="688"/>
      <c r="H434" s="689"/>
      <c r="I434" s="851" t="str">
        <f t="shared" si="172"/>
        <v/>
      </c>
      <c r="J434" s="850" t="str">
        <f t="shared" si="173"/>
        <v/>
      </c>
      <c r="K434" s="667"/>
      <c r="L434" s="858"/>
      <c r="M434" s="859"/>
      <c r="N434" s="859"/>
      <c r="O434" s="859"/>
      <c r="P434" s="859"/>
      <c r="Q434" s="859"/>
      <c r="R434" s="859"/>
      <c r="S434" s="859"/>
      <c r="T434" s="859"/>
      <c r="U434" s="859"/>
      <c r="V434" s="859"/>
      <c r="W434" s="859"/>
      <c r="X434" s="859"/>
      <c r="Y434" s="859"/>
      <c r="Z434" s="860"/>
      <c r="AA434" s="860"/>
      <c r="AB434" s="860"/>
      <c r="AC434" s="860"/>
      <c r="AD434" s="860"/>
      <c r="AE434" s="860"/>
      <c r="AF434" s="860"/>
      <c r="AG434" s="860"/>
      <c r="AH434" s="860"/>
      <c r="AI434" s="860"/>
      <c r="AJ434" s="860"/>
      <c r="AK434" s="860"/>
      <c r="AL434" s="860"/>
      <c r="AM434" s="860"/>
      <c r="AN434" s="860"/>
      <c r="AO434" s="860"/>
      <c r="AP434" s="860"/>
      <c r="AQ434" s="860"/>
      <c r="AR434" s="860"/>
      <c r="AS434" s="860"/>
      <c r="AT434" s="860"/>
      <c r="AU434" s="860"/>
      <c r="AV434" s="860"/>
      <c r="AW434" s="860"/>
      <c r="AX434" s="860"/>
      <c r="AY434" s="860"/>
      <c r="AZ434" s="860"/>
      <c r="BA434" s="860"/>
      <c r="BB434" s="860"/>
      <c r="BC434" s="860"/>
      <c r="BD434" s="860"/>
      <c r="BE434" s="860"/>
      <c r="BF434" s="860"/>
      <c r="BG434" s="860"/>
      <c r="BH434" s="668"/>
      <c r="BI434" s="667"/>
      <c r="BJ434" s="690">
        <f t="shared" si="174"/>
        <v>0</v>
      </c>
      <c r="BK434" s="691">
        <f t="shared" si="175"/>
        <v>0</v>
      </c>
      <c r="BL434" s="654"/>
      <c r="BM434" s="692">
        <f>SUMIFS(Imput[[Importe Neto]:[Importe Neto]],Imput[[C. Imp.]:[C. Imp.]],$D434,Imput[[PERIODO Imp.]:[PERIODO Imp.]],BM$9)</f>
        <v>0</v>
      </c>
      <c r="BN434" s="693">
        <f>SUMIFS(Imput[[Importe Neto]:[Importe Neto]],Imput[[C. Imp.]:[C. Imp.]],$D434,Imput[[PERIODO Imp.]:[PERIODO Imp.]],BN$9)</f>
        <v>0</v>
      </c>
      <c r="BO434" s="693">
        <f>SUMIFS(Imput[[Importe Neto]:[Importe Neto]],Imput[[C. Imp.]:[C. Imp.]],$D434,Imput[[PERIODO Imp.]:[PERIODO Imp.]],BO$9)</f>
        <v>0</v>
      </c>
      <c r="BP434" s="693">
        <f>SUMIFS(Imput[[Importe Neto]:[Importe Neto]],Imput[[C. Imp.]:[C. Imp.]],$D434,Imput[[PERIODO Imp.]:[PERIODO Imp.]],BP$9)</f>
        <v>0</v>
      </c>
      <c r="BQ434" s="693">
        <f>SUMIFS(Imput[[Importe Neto]:[Importe Neto]],Imput[[C. Imp.]:[C. Imp.]],$D434,Imput[[PERIODO Imp.]:[PERIODO Imp.]],BQ$9)</f>
        <v>0</v>
      </c>
      <c r="BR434" s="693">
        <f>SUMIFS(Imput[[Importe Neto]:[Importe Neto]],Imput[[C. Imp.]:[C. Imp.]],$D434,Imput[[PERIODO Imp.]:[PERIODO Imp.]],BR$9)</f>
        <v>0</v>
      </c>
      <c r="BS434" s="693">
        <f>SUMIFS(Imput[[Importe Neto]:[Importe Neto]],Imput[[C. Imp.]:[C. Imp.]],$D434,Imput[[PERIODO Imp.]:[PERIODO Imp.]],BS$9)</f>
        <v>0</v>
      </c>
      <c r="BT434" s="693">
        <f>SUMIFS(Imput[[Importe Neto]:[Importe Neto]],Imput[[C. Imp.]:[C. Imp.]],$D434,Imput[[PERIODO Imp.]:[PERIODO Imp.]],BT$9)</f>
        <v>0</v>
      </c>
      <c r="BU434" s="693">
        <f>SUMIFS(Imput[[Importe Neto]:[Importe Neto]],Imput[[C. Imp.]:[C. Imp.]],$D434,Imput[[PERIODO Imp.]:[PERIODO Imp.]],BU$9)</f>
        <v>0</v>
      </c>
      <c r="BV434" s="693">
        <f>SUMIFS(Imput[[Importe Neto]:[Importe Neto]],Imput[[C. Imp.]:[C. Imp.]],$D434,Imput[[PERIODO Imp.]:[PERIODO Imp.]],BV$9)</f>
        <v>0</v>
      </c>
      <c r="BW434" s="693">
        <f>SUMIFS(Imput[[Importe Neto]:[Importe Neto]],Imput[[C. Imp.]:[C. Imp.]],$D434,Imput[[PERIODO Imp.]:[PERIODO Imp.]],BW$9)</f>
        <v>0</v>
      </c>
      <c r="BX434" s="693">
        <f>SUMIFS(Imput[[Importe Neto]:[Importe Neto]],Imput[[C. Imp.]:[C. Imp.]],$D434,Imput[[PERIODO Imp.]:[PERIODO Imp.]],BX$9)</f>
        <v>0</v>
      </c>
      <c r="BY434" s="693">
        <f>SUMIFS(Imput[[Importe Neto]:[Importe Neto]],Imput[[C. Imp.]:[C. Imp.]],$D434,Imput[[PERIODO Imp.]:[PERIODO Imp.]],BY$9)</f>
        <v>0</v>
      </c>
      <c r="BZ434" s="693">
        <f>SUMIFS(Imput[[Importe Neto]:[Importe Neto]],Imput[[C. Imp.]:[C. Imp.]],$D434,Imput[[PERIODO Imp.]:[PERIODO Imp.]],BZ$9)</f>
        <v>0</v>
      </c>
      <c r="CA434" s="693">
        <f>SUMIFS(Imput[[Importe Neto]:[Importe Neto]],Imput[[C. Imp.]:[C. Imp.]],$D434,Imput[[PERIODO Imp.]:[PERIODO Imp.]],CA$9)</f>
        <v>0</v>
      </c>
      <c r="CB434" s="693">
        <f>SUMIFS(Imput[[Importe Neto]:[Importe Neto]],Imput[[C. Imp.]:[C. Imp.]],$D434,Imput[[PERIODO Imp.]:[PERIODO Imp.]],CB$9)</f>
        <v>0</v>
      </c>
      <c r="CC434" s="693">
        <f>SUMIFS(Imput[[Importe Neto]:[Importe Neto]],Imput[[C. Imp.]:[C. Imp.]],$D434,Imput[[PERIODO Imp.]:[PERIODO Imp.]],CC$9)</f>
        <v>0</v>
      </c>
      <c r="CD434" s="693">
        <f>SUMIFS(Imput[[Importe Neto]:[Importe Neto]],Imput[[C. Imp.]:[C. Imp.]],$D434,Imput[[PERIODO Imp.]:[PERIODO Imp.]],CD$9)</f>
        <v>0</v>
      </c>
      <c r="CE434" s="693">
        <f>SUMIFS(Imput[[Importe Neto]:[Importe Neto]],Imput[[C. Imp.]:[C. Imp.]],$D434,Imput[[PERIODO Imp.]:[PERIODO Imp.]],CE$9)</f>
        <v>0</v>
      </c>
      <c r="CF434" s="693">
        <f>SUMIFS(Imput[[Importe Neto]:[Importe Neto]],Imput[[C. Imp.]:[C. Imp.]],$D434,Imput[[PERIODO Imp.]:[PERIODO Imp.]],CF$9)</f>
        <v>0</v>
      </c>
      <c r="CG434" s="693">
        <f>SUMIFS(Imput[[Importe Neto]:[Importe Neto]],Imput[[C. Imp.]:[C. Imp.]],$D434,Imput[[PERIODO Imp.]:[PERIODO Imp.]],CG$9)</f>
        <v>0</v>
      </c>
      <c r="CH434" s="693">
        <f>SUMIFS(Imput[[Importe Neto]:[Importe Neto]],Imput[[C. Imp.]:[C. Imp.]],$D434,Imput[[PERIODO Imp.]:[PERIODO Imp.]],CH$9)</f>
        <v>0</v>
      </c>
      <c r="CI434" s="693">
        <f>SUMIFS(Imput[[Importe Neto]:[Importe Neto]],Imput[[C. Imp.]:[C. Imp.]],$D434,Imput[[PERIODO Imp.]:[PERIODO Imp.]],CI$9)</f>
        <v>0</v>
      </c>
      <c r="CJ434" s="693">
        <f>SUMIFS(Imput[[Importe Neto]:[Importe Neto]],Imput[[C. Imp.]:[C. Imp.]],$D434,Imput[[PERIODO Imp.]:[PERIODO Imp.]],CJ$9)</f>
        <v>0</v>
      </c>
      <c r="CK434" s="693">
        <f>SUMIFS(Imput[[Importe Neto]:[Importe Neto]],Imput[[C. Imp.]:[C. Imp.]],$D434,Imput[[PERIODO Imp.]:[PERIODO Imp.]],CK$9)</f>
        <v>0</v>
      </c>
      <c r="CL434" s="693">
        <f>SUMIFS(Imput[[Importe Neto]:[Importe Neto]],Imput[[C. Imp.]:[C. Imp.]],$D434,Imput[[PERIODO Imp.]:[PERIODO Imp.]],CL$9)</f>
        <v>0</v>
      </c>
      <c r="CM434" s="693">
        <f>SUMIFS(Imput[[Importe Neto]:[Importe Neto]],Imput[[C. Imp.]:[C. Imp.]],$D434,Imput[[PERIODO Imp.]:[PERIODO Imp.]],CM$9)</f>
        <v>0</v>
      </c>
      <c r="CN434" s="693">
        <f>SUMIFS(Imput[[Importe Neto]:[Importe Neto]],Imput[[C. Imp.]:[C. Imp.]],$D434,Imput[[PERIODO Imp.]:[PERIODO Imp.]],CN$9)</f>
        <v>0</v>
      </c>
      <c r="CO434" s="693">
        <f>SUMIFS(Imput[[Importe Neto]:[Importe Neto]],Imput[[C. Imp.]:[C. Imp.]],$D434,Imput[[PERIODO Imp.]:[PERIODO Imp.]],CO$9)</f>
        <v>0</v>
      </c>
      <c r="CP434" s="693">
        <f>SUMIFS(Imput[[Importe Neto]:[Importe Neto]],Imput[[C. Imp.]:[C. Imp.]],$D434,Imput[[PERIODO Imp.]:[PERIODO Imp.]],CP$9)</f>
        <v>0</v>
      </c>
      <c r="CQ434" s="693">
        <f>SUMIFS(Imput[[Importe Neto]:[Importe Neto]],Imput[[C. Imp.]:[C. Imp.]],$D434,Imput[[PERIODO Imp.]:[PERIODO Imp.]],CQ$9)</f>
        <v>0</v>
      </c>
      <c r="CR434" s="693">
        <f>SUMIFS(Imput[[Importe Neto]:[Importe Neto]],Imput[[C. Imp.]:[C. Imp.]],$D434,Imput[[PERIODO Imp.]:[PERIODO Imp.]],CR$9)</f>
        <v>0</v>
      </c>
      <c r="CS434" s="693">
        <f>SUMIFS(Imput[[Importe Neto]:[Importe Neto]],Imput[[C. Imp.]:[C. Imp.]],$D434,Imput[[PERIODO Imp.]:[PERIODO Imp.]],CS$9)</f>
        <v>0</v>
      </c>
      <c r="CT434" s="693">
        <f>SUMIFS(Imput[[Importe Neto]:[Importe Neto]],Imput[[C. Imp.]:[C. Imp.]],$D434,Imput[[PERIODO Imp.]:[PERIODO Imp.]],CT$9)</f>
        <v>0</v>
      </c>
      <c r="CU434" s="693">
        <f>SUMIFS(Imput[[Importe Neto]:[Importe Neto]],Imput[[C. Imp.]:[C. Imp.]],$D434,Imput[[PERIODO Imp.]:[PERIODO Imp.]],CU$9)</f>
        <v>0</v>
      </c>
      <c r="CV434" s="693">
        <f>SUMIFS(Imput[[Importe Neto]:[Importe Neto]],Imput[[C. Imp.]:[C. Imp.]],$D434,Imput[[PERIODO Imp.]:[PERIODO Imp.]],CV$9)</f>
        <v>0</v>
      </c>
      <c r="CW434" s="693">
        <f>SUMIFS(Imput[[Importe Neto]:[Importe Neto]],Imput[[C. Imp.]:[C. Imp.]],$D434,Imput[[PERIODO Imp.]:[PERIODO Imp.]],CW$9)</f>
        <v>0</v>
      </c>
      <c r="CX434" s="693">
        <f>SUMIFS(Imput[[Importe Neto]:[Importe Neto]],Imput[[C. Imp.]:[C. Imp.]],$D434,Imput[[PERIODO Imp.]:[PERIODO Imp.]],CX$9)</f>
        <v>0</v>
      </c>
      <c r="CY434" s="693">
        <f>SUMIFS(Imput[[Importe Neto]:[Importe Neto]],Imput[[C. Imp.]:[C. Imp.]],$D434,Imput[[PERIODO Imp.]:[PERIODO Imp.]],CY$9)</f>
        <v>0</v>
      </c>
      <c r="CZ434" s="693">
        <f>SUMIFS(Imput[[Importe Neto]:[Importe Neto]],Imput[[C. Imp.]:[C. Imp.]],$D434,Imput[[PERIODO Imp.]:[PERIODO Imp.]],CZ$9)</f>
        <v>0</v>
      </c>
      <c r="DA434" s="693">
        <f>SUMIFS(Imput[[Importe Neto]:[Importe Neto]],Imput[[C. Imp.]:[C. Imp.]],$D434,Imput[[PERIODO Imp.]:[PERIODO Imp.]],DA$9)</f>
        <v>0</v>
      </c>
      <c r="DB434" s="693">
        <f>SUMIFS(Imput[[Importe Neto]:[Importe Neto]],Imput[[C. Imp.]:[C. Imp.]],$D434,Imput[[PERIODO Imp.]:[PERIODO Imp.]],DB$9)</f>
        <v>0</v>
      </c>
      <c r="DC434" s="693">
        <f>SUMIFS(Imput[[Importe Neto]:[Importe Neto]],Imput[[C. Imp.]:[C. Imp.]],$D434,Imput[[PERIODO Imp.]:[PERIODO Imp.]],DC$9)</f>
        <v>0</v>
      </c>
      <c r="DD434" s="693">
        <f>SUMIFS(Imput[[Importe Neto]:[Importe Neto]],Imput[[C. Imp.]:[C. Imp.]],$D434,Imput[[PERIODO Imp.]:[PERIODO Imp.]],DD$9)</f>
        <v>0</v>
      </c>
      <c r="DE434" s="693">
        <f>SUMIFS(Imput[[Importe Neto]:[Importe Neto]],Imput[[C. Imp.]:[C. Imp.]],$D434,Imput[[PERIODO Imp.]:[PERIODO Imp.]],DE$9)</f>
        <v>0</v>
      </c>
      <c r="DF434" s="693">
        <f>SUMIFS(Imput[[Importe Neto]:[Importe Neto]],Imput[[C. Imp.]:[C. Imp.]],$D434,Imput[[PERIODO Imp.]:[PERIODO Imp.]],DF$9)</f>
        <v>0</v>
      </c>
      <c r="DG434" s="693">
        <f>SUMIFS(Imput[[Importe Neto]:[Importe Neto]],Imput[[C. Imp.]:[C. Imp.]],$D434,Imput[[PERIODO Imp.]:[PERIODO Imp.]],DG$9)</f>
        <v>0</v>
      </c>
      <c r="DH434" s="694">
        <f>SUMIFS(Imput[[Importe Neto]:[Importe Neto]],Imput[[C. Imp.]:[C. Imp.]],$D434,Imput[[PERIODO Imp.]:[PERIODO Imp.]],DH$9)</f>
        <v>0</v>
      </c>
    </row>
    <row r="435" spans="1:112" s="649" customFormat="1" ht="14.4" hidden="1" outlineLevel="1" thickBot="1" x14ac:dyDescent="0.35">
      <c r="A435" s="652" t="str">
        <f t="shared" si="171"/>
        <v/>
      </c>
      <c r="B435" s="652"/>
      <c r="C435" s="685"/>
      <c r="D435" s="686" t="s">
        <v>2487</v>
      </c>
      <c r="E435" s="686"/>
      <c r="F435" s="720"/>
      <c r="G435" s="688"/>
      <c r="H435" s="689"/>
      <c r="I435" s="851" t="str">
        <f t="shared" si="172"/>
        <v/>
      </c>
      <c r="J435" s="850" t="str">
        <f t="shared" si="173"/>
        <v/>
      </c>
      <c r="K435" s="667"/>
      <c r="L435" s="858"/>
      <c r="M435" s="859"/>
      <c r="N435" s="859"/>
      <c r="O435" s="859"/>
      <c r="P435" s="859"/>
      <c r="Q435" s="859"/>
      <c r="R435" s="859"/>
      <c r="S435" s="859"/>
      <c r="T435" s="859"/>
      <c r="U435" s="859"/>
      <c r="V435" s="859"/>
      <c r="W435" s="859"/>
      <c r="X435" s="859"/>
      <c r="Y435" s="859"/>
      <c r="Z435" s="860"/>
      <c r="AA435" s="860"/>
      <c r="AB435" s="860"/>
      <c r="AC435" s="860"/>
      <c r="AD435" s="860"/>
      <c r="AE435" s="860"/>
      <c r="AF435" s="860"/>
      <c r="AG435" s="860"/>
      <c r="AH435" s="860"/>
      <c r="AI435" s="860"/>
      <c r="AJ435" s="860"/>
      <c r="AK435" s="860"/>
      <c r="AL435" s="860"/>
      <c r="AM435" s="860"/>
      <c r="AN435" s="860"/>
      <c r="AO435" s="860"/>
      <c r="AP435" s="860"/>
      <c r="AQ435" s="860"/>
      <c r="AR435" s="860"/>
      <c r="AS435" s="860"/>
      <c r="AT435" s="860"/>
      <c r="AU435" s="860"/>
      <c r="AV435" s="860"/>
      <c r="AW435" s="860"/>
      <c r="AX435" s="860"/>
      <c r="AY435" s="860"/>
      <c r="AZ435" s="860"/>
      <c r="BA435" s="860"/>
      <c r="BB435" s="860"/>
      <c r="BC435" s="860"/>
      <c r="BD435" s="860"/>
      <c r="BE435" s="860"/>
      <c r="BF435" s="860"/>
      <c r="BG435" s="860"/>
      <c r="BH435" s="668"/>
      <c r="BI435" s="667"/>
      <c r="BJ435" s="690">
        <f t="shared" si="174"/>
        <v>0</v>
      </c>
      <c r="BK435" s="691">
        <f t="shared" si="175"/>
        <v>0</v>
      </c>
      <c r="BL435" s="654"/>
      <c r="BM435" s="692">
        <f>SUMIFS(Imput[[Importe Neto]:[Importe Neto]],Imput[[C. Imp.]:[C. Imp.]],$D435,Imput[[PERIODO Imp.]:[PERIODO Imp.]],BM$9)</f>
        <v>0</v>
      </c>
      <c r="BN435" s="693">
        <f>SUMIFS(Imput[[Importe Neto]:[Importe Neto]],Imput[[C. Imp.]:[C. Imp.]],$D435,Imput[[PERIODO Imp.]:[PERIODO Imp.]],BN$9)</f>
        <v>0</v>
      </c>
      <c r="BO435" s="693">
        <f>SUMIFS(Imput[[Importe Neto]:[Importe Neto]],Imput[[C. Imp.]:[C. Imp.]],$D435,Imput[[PERIODO Imp.]:[PERIODO Imp.]],BO$9)</f>
        <v>0</v>
      </c>
      <c r="BP435" s="693">
        <f>SUMIFS(Imput[[Importe Neto]:[Importe Neto]],Imput[[C. Imp.]:[C. Imp.]],$D435,Imput[[PERIODO Imp.]:[PERIODO Imp.]],BP$9)</f>
        <v>0</v>
      </c>
      <c r="BQ435" s="693">
        <f>SUMIFS(Imput[[Importe Neto]:[Importe Neto]],Imput[[C. Imp.]:[C. Imp.]],$D435,Imput[[PERIODO Imp.]:[PERIODO Imp.]],BQ$9)</f>
        <v>0</v>
      </c>
      <c r="BR435" s="693">
        <f>SUMIFS(Imput[[Importe Neto]:[Importe Neto]],Imput[[C. Imp.]:[C. Imp.]],$D435,Imput[[PERIODO Imp.]:[PERIODO Imp.]],BR$9)</f>
        <v>0</v>
      </c>
      <c r="BS435" s="693">
        <f>SUMIFS(Imput[[Importe Neto]:[Importe Neto]],Imput[[C. Imp.]:[C. Imp.]],$D435,Imput[[PERIODO Imp.]:[PERIODO Imp.]],BS$9)</f>
        <v>0</v>
      </c>
      <c r="BT435" s="693">
        <f>SUMIFS(Imput[[Importe Neto]:[Importe Neto]],Imput[[C. Imp.]:[C. Imp.]],$D435,Imput[[PERIODO Imp.]:[PERIODO Imp.]],BT$9)</f>
        <v>0</v>
      </c>
      <c r="BU435" s="693">
        <f>SUMIFS(Imput[[Importe Neto]:[Importe Neto]],Imput[[C. Imp.]:[C. Imp.]],$D435,Imput[[PERIODO Imp.]:[PERIODO Imp.]],BU$9)</f>
        <v>0</v>
      </c>
      <c r="BV435" s="693">
        <f>SUMIFS(Imput[[Importe Neto]:[Importe Neto]],Imput[[C. Imp.]:[C. Imp.]],$D435,Imput[[PERIODO Imp.]:[PERIODO Imp.]],BV$9)</f>
        <v>0</v>
      </c>
      <c r="BW435" s="693">
        <f>SUMIFS(Imput[[Importe Neto]:[Importe Neto]],Imput[[C. Imp.]:[C. Imp.]],$D435,Imput[[PERIODO Imp.]:[PERIODO Imp.]],BW$9)</f>
        <v>0</v>
      </c>
      <c r="BX435" s="693">
        <f>SUMIFS(Imput[[Importe Neto]:[Importe Neto]],Imput[[C. Imp.]:[C. Imp.]],$D435,Imput[[PERIODO Imp.]:[PERIODO Imp.]],BX$9)</f>
        <v>0</v>
      </c>
      <c r="BY435" s="693">
        <f>SUMIFS(Imput[[Importe Neto]:[Importe Neto]],Imput[[C. Imp.]:[C. Imp.]],$D435,Imput[[PERIODO Imp.]:[PERIODO Imp.]],BY$9)</f>
        <v>0</v>
      </c>
      <c r="BZ435" s="693">
        <f>SUMIFS(Imput[[Importe Neto]:[Importe Neto]],Imput[[C. Imp.]:[C. Imp.]],$D435,Imput[[PERIODO Imp.]:[PERIODO Imp.]],BZ$9)</f>
        <v>0</v>
      </c>
      <c r="CA435" s="693">
        <f>SUMIFS(Imput[[Importe Neto]:[Importe Neto]],Imput[[C. Imp.]:[C. Imp.]],$D435,Imput[[PERIODO Imp.]:[PERIODO Imp.]],CA$9)</f>
        <v>0</v>
      </c>
      <c r="CB435" s="693">
        <f>SUMIFS(Imput[[Importe Neto]:[Importe Neto]],Imput[[C. Imp.]:[C. Imp.]],$D435,Imput[[PERIODO Imp.]:[PERIODO Imp.]],CB$9)</f>
        <v>0</v>
      </c>
      <c r="CC435" s="693">
        <f>SUMIFS(Imput[[Importe Neto]:[Importe Neto]],Imput[[C. Imp.]:[C. Imp.]],$D435,Imput[[PERIODO Imp.]:[PERIODO Imp.]],CC$9)</f>
        <v>0</v>
      </c>
      <c r="CD435" s="693">
        <f>SUMIFS(Imput[[Importe Neto]:[Importe Neto]],Imput[[C. Imp.]:[C. Imp.]],$D435,Imput[[PERIODO Imp.]:[PERIODO Imp.]],CD$9)</f>
        <v>0</v>
      </c>
      <c r="CE435" s="693">
        <f>SUMIFS(Imput[[Importe Neto]:[Importe Neto]],Imput[[C. Imp.]:[C. Imp.]],$D435,Imput[[PERIODO Imp.]:[PERIODO Imp.]],CE$9)</f>
        <v>0</v>
      </c>
      <c r="CF435" s="693">
        <f>SUMIFS(Imput[[Importe Neto]:[Importe Neto]],Imput[[C. Imp.]:[C. Imp.]],$D435,Imput[[PERIODO Imp.]:[PERIODO Imp.]],CF$9)</f>
        <v>0</v>
      </c>
      <c r="CG435" s="693">
        <f>SUMIFS(Imput[[Importe Neto]:[Importe Neto]],Imput[[C. Imp.]:[C. Imp.]],$D435,Imput[[PERIODO Imp.]:[PERIODO Imp.]],CG$9)</f>
        <v>0</v>
      </c>
      <c r="CH435" s="693">
        <f>SUMIFS(Imput[[Importe Neto]:[Importe Neto]],Imput[[C. Imp.]:[C. Imp.]],$D435,Imput[[PERIODO Imp.]:[PERIODO Imp.]],CH$9)</f>
        <v>0</v>
      </c>
      <c r="CI435" s="693">
        <f>SUMIFS(Imput[[Importe Neto]:[Importe Neto]],Imput[[C. Imp.]:[C. Imp.]],$D435,Imput[[PERIODO Imp.]:[PERIODO Imp.]],CI$9)</f>
        <v>0</v>
      </c>
      <c r="CJ435" s="693">
        <f>SUMIFS(Imput[[Importe Neto]:[Importe Neto]],Imput[[C. Imp.]:[C. Imp.]],$D435,Imput[[PERIODO Imp.]:[PERIODO Imp.]],CJ$9)</f>
        <v>0</v>
      </c>
      <c r="CK435" s="693">
        <f>SUMIFS(Imput[[Importe Neto]:[Importe Neto]],Imput[[C. Imp.]:[C. Imp.]],$D435,Imput[[PERIODO Imp.]:[PERIODO Imp.]],CK$9)</f>
        <v>0</v>
      </c>
      <c r="CL435" s="693">
        <f>SUMIFS(Imput[[Importe Neto]:[Importe Neto]],Imput[[C. Imp.]:[C. Imp.]],$D435,Imput[[PERIODO Imp.]:[PERIODO Imp.]],CL$9)</f>
        <v>0</v>
      </c>
      <c r="CM435" s="693">
        <f>SUMIFS(Imput[[Importe Neto]:[Importe Neto]],Imput[[C. Imp.]:[C. Imp.]],$D435,Imput[[PERIODO Imp.]:[PERIODO Imp.]],CM$9)</f>
        <v>0</v>
      </c>
      <c r="CN435" s="693">
        <f>SUMIFS(Imput[[Importe Neto]:[Importe Neto]],Imput[[C. Imp.]:[C. Imp.]],$D435,Imput[[PERIODO Imp.]:[PERIODO Imp.]],CN$9)</f>
        <v>0</v>
      </c>
      <c r="CO435" s="693">
        <f>SUMIFS(Imput[[Importe Neto]:[Importe Neto]],Imput[[C. Imp.]:[C. Imp.]],$D435,Imput[[PERIODO Imp.]:[PERIODO Imp.]],CO$9)</f>
        <v>0</v>
      </c>
      <c r="CP435" s="693">
        <f>SUMIFS(Imput[[Importe Neto]:[Importe Neto]],Imput[[C. Imp.]:[C. Imp.]],$D435,Imput[[PERIODO Imp.]:[PERIODO Imp.]],CP$9)</f>
        <v>0</v>
      </c>
      <c r="CQ435" s="693">
        <f>SUMIFS(Imput[[Importe Neto]:[Importe Neto]],Imput[[C. Imp.]:[C. Imp.]],$D435,Imput[[PERIODO Imp.]:[PERIODO Imp.]],CQ$9)</f>
        <v>0</v>
      </c>
      <c r="CR435" s="693">
        <f>SUMIFS(Imput[[Importe Neto]:[Importe Neto]],Imput[[C. Imp.]:[C. Imp.]],$D435,Imput[[PERIODO Imp.]:[PERIODO Imp.]],CR$9)</f>
        <v>0</v>
      </c>
      <c r="CS435" s="693">
        <f>SUMIFS(Imput[[Importe Neto]:[Importe Neto]],Imput[[C. Imp.]:[C. Imp.]],$D435,Imput[[PERIODO Imp.]:[PERIODO Imp.]],CS$9)</f>
        <v>0</v>
      </c>
      <c r="CT435" s="693">
        <f>SUMIFS(Imput[[Importe Neto]:[Importe Neto]],Imput[[C. Imp.]:[C. Imp.]],$D435,Imput[[PERIODO Imp.]:[PERIODO Imp.]],CT$9)</f>
        <v>0</v>
      </c>
      <c r="CU435" s="693">
        <f>SUMIFS(Imput[[Importe Neto]:[Importe Neto]],Imput[[C. Imp.]:[C. Imp.]],$D435,Imput[[PERIODO Imp.]:[PERIODO Imp.]],CU$9)</f>
        <v>0</v>
      </c>
      <c r="CV435" s="693">
        <f>SUMIFS(Imput[[Importe Neto]:[Importe Neto]],Imput[[C. Imp.]:[C. Imp.]],$D435,Imput[[PERIODO Imp.]:[PERIODO Imp.]],CV$9)</f>
        <v>0</v>
      </c>
      <c r="CW435" s="693">
        <f>SUMIFS(Imput[[Importe Neto]:[Importe Neto]],Imput[[C. Imp.]:[C. Imp.]],$D435,Imput[[PERIODO Imp.]:[PERIODO Imp.]],CW$9)</f>
        <v>0</v>
      </c>
      <c r="CX435" s="693">
        <f>SUMIFS(Imput[[Importe Neto]:[Importe Neto]],Imput[[C. Imp.]:[C. Imp.]],$D435,Imput[[PERIODO Imp.]:[PERIODO Imp.]],CX$9)</f>
        <v>0</v>
      </c>
      <c r="CY435" s="693">
        <f>SUMIFS(Imput[[Importe Neto]:[Importe Neto]],Imput[[C. Imp.]:[C. Imp.]],$D435,Imput[[PERIODO Imp.]:[PERIODO Imp.]],CY$9)</f>
        <v>0</v>
      </c>
      <c r="CZ435" s="693">
        <f>SUMIFS(Imput[[Importe Neto]:[Importe Neto]],Imput[[C. Imp.]:[C. Imp.]],$D435,Imput[[PERIODO Imp.]:[PERIODO Imp.]],CZ$9)</f>
        <v>0</v>
      </c>
      <c r="DA435" s="693">
        <f>SUMIFS(Imput[[Importe Neto]:[Importe Neto]],Imput[[C. Imp.]:[C. Imp.]],$D435,Imput[[PERIODO Imp.]:[PERIODO Imp.]],DA$9)</f>
        <v>0</v>
      </c>
      <c r="DB435" s="693">
        <f>SUMIFS(Imput[[Importe Neto]:[Importe Neto]],Imput[[C. Imp.]:[C. Imp.]],$D435,Imput[[PERIODO Imp.]:[PERIODO Imp.]],DB$9)</f>
        <v>0</v>
      </c>
      <c r="DC435" s="693">
        <f>SUMIFS(Imput[[Importe Neto]:[Importe Neto]],Imput[[C. Imp.]:[C. Imp.]],$D435,Imput[[PERIODO Imp.]:[PERIODO Imp.]],DC$9)</f>
        <v>0</v>
      </c>
      <c r="DD435" s="693">
        <f>SUMIFS(Imput[[Importe Neto]:[Importe Neto]],Imput[[C. Imp.]:[C. Imp.]],$D435,Imput[[PERIODO Imp.]:[PERIODO Imp.]],DD$9)</f>
        <v>0</v>
      </c>
      <c r="DE435" s="693">
        <f>SUMIFS(Imput[[Importe Neto]:[Importe Neto]],Imput[[C. Imp.]:[C. Imp.]],$D435,Imput[[PERIODO Imp.]:[PERIODO Imp.]],DE$9)</f>
        <v>0</v>
      </c>
      <c r="DF435" s="693">
        <f>SUMIFS(Imput[[Importe Neto]:[Importe Neto]],Imput[[C. Imp.]:[C. Imp.]],$D435,Imput[[PERIODO Imp.]:[PERIODO Imp.]],DF$9)</f>
        <v>0</v>
      </c>
      <c r="DG435" s="693">
        <f>SUMIFS(Imput[[Importe Neto]:[Importe Neto]],Imput[[C. Imp.]:[C. Imp.]],$D435,Imput[[PERIODO Imp.]:[PERIODO Imp.]],DG$9)</f>
        <v>0</v>
      </c>
      <c r="DH435" s="694">
        <f>SUMIFS(Imput[[Importe Neto]:[Importe Neto]],Imput[[C. Imp.]:[C. Imp.]],$D435,Imput[[PERIODO Imp.]:[PERIODO Imp.]],DH$9)</f>
        <v>0</v>
      </c>
    </row>
    <row r="436" spans="1:112" s="649" customFormat="1" ht="14.4" hidden="1" outlineLevel="1" thickBot="1" x14ac:dyDescent="0.35">
      <c r="A436" s="652" t="str">
        <f t="shared" si="171"/>
        <v/>
      </c>
      <c r="B436" s="652"/>
      <c r="C436" s="685"/>
      <c r="D436" s="686" t="s">
        <v>2488</v>
      </c>
      <c r="E436" s="686"/>
      <c r="F436" s="720"/>
      <c r="G436" s="688"/>
      <c r="H436" s="689"/>
      <c r="I436" s="851" t="str">
        <f t="shared" si="172"/>
        <v/>
      </c>
      <c r="J436" s="850" t="str">
        <f t="shared" si="173"/>
        <v/>
      </c>
      <c r="K436" s="667"/>
      <c r="L436" s="858"/>
      <c r="M436" s="859"/>
      <c r="N436" s="859"/>
      <c r="O436" s="859"/>
      <c r="P436" s="859"/>
      <c r="Q436" s="859"/>
      <c r="R436" s="859"/>
      <c r="S436" s="859"/>
      <c r="T436" s="859"/>
      <c r="U436" s="859"/>
      <c r="V436" s="859"/>
      <c r="W436" s="859"/>
      <c r="X436" s="859"/>
      <c r="Y436" s="859"/>
      <c r="Z436" s="860"/>
      <c r="AA436" s="860"/>
      <c r="AB436" s="860"/>
      <c r="AC436" s="860"/>
      <c r="AD436" s="860"/>
      <c r="AE436" s="860"/>
      <c r="AF436" s="860"/>
      <c r="AG436" s="860"/>
      <c r="AH436" s="860"/>
      <c r="AI436" s="860"/>
      <c r="AJ436" s="860"/>
      <c r="AK436" s="860"/>
      <c r="AL436" s="860"/>
      <c r="AM436" s="860"/>
      <c r="AN436" s="860"/>
      <c r="AO436" s="860"/>
      <c r="AP436" s="860"/>
      <c r="AQ436" s="860"/>
      <c r="AR436" s="860"/>
      <c r="AS436" s="860"/>
      <c r="AT436" s="860"/>
      <c r="AU436" s="860"/>
      <c r="AV436" s="860"/>
      <c r="AW436" s="860"/>
      <c r="AX436" s="860"/>
      <c r="AY436" s="860"/>
      <c r="AZ436" s="860"/>
      <c r="BA436" s="860"/>
      <c r="BB436" s="860"/>
      <c r="BC436" s="860"/>
      <c r="BD436" s="860"/>
      <c r="BE436" s="860"/>
      <c r="BF436" s="860"/>
      <c r="BG436" s="860"/>
      <c r="BH436" s="668"/>
      <c r="BI436" s="667"/>
      <c r="BJ436" s="690">
        <f t="shared" si="174"/>
        <v>0</v>
      </c>
      <c r="BK436" s="691">
        <f t="shared" si="175"/>
        <v>0</v>
      </c>
      <c r="BL436" s="654"/>
      <c r="BM436" s="692">
        <f>SUMIFS(Imput[[Importe Neto]:[Importe Neto]],Imput[[C. Imp.]:[C. Imp.]],$D436,Imput[[PERIODO Imp.]:[PERIODO Imp.]],BM$9)</f>
        <v>0</v>
      </c>
      <c r="BN436" s="693">
        <f>SUMIFS(Imput[[Importe Neto]:[Importe Neto]],Imput[[C. Imp.]:[C. Imp.]],$D436,Imput[[PERIODO Imp.]:[PERIODO Imp.]],BN$9)</f>
        <v>0</v>
      </c>
      <c r="BO436" s="693">
        <f>SUMIFS(Imput[[Importe Neto]:[Importe Neto]],Imput[[C. Imp.]:[C. Imp.]],$D436,Imput[[PERIODO Imp.]:[PERIODO Imp.]],BO$9)</f>
        <v>0</v>
      </c>
      <c r="BP436" s="693">
        <f>SUMIFS(Imput[[Importe Neto]:[Importe Neto]],Imput[[C. Imp.]:[C. Imp.]],$D436,Imput[[PERIODO Imp.]:[PERIODO Imp.]],BP$9)</f>
        <v>0</v>
      </c>
      <c r="BQ436" s="693">
        <f>SUMIFS(Imput[[Importe Neto]:[Importe Neto]],Imput[[C. Imp.]:[C. Imp.]],$D436,Imput[[PERIODO Imp.]:[PERIODO Imp.]],BQ$9)</f>
        <v>0</v>
      </c>
      <c r="BR436" s="693">
        <f>SUMIFS(Imput[[Importe Neto]:[Importe Neto]],Imput[[C. Imp.]:[C. Imp.]],$D436,Imput[[PERIODO Imp.]:[PERIODO Imp.]],BR$9)</f>
        <v>0</v>
      </c>
      <c r="BS436" s="693">
        <f>SUMIFS(Imput[[Importe Neto]:[Importe Neto]],Imput[[C. Imp.]:[C. Imp.]],$D436,Imput[[PERIODO Imp.]:[PERIODO Imp.]],BS$9)</f>
        <v>0</v>
      </c>
      <c r="BT436" s="693">
        <f>SUMIFS(Imput[[Importe Neto]:[Importe Neto]],Imput[[C. Imp.]:[C. Imp.]],$D436,Imput[[PERIODO Imp.]:[PERIODO Imp.]],BT$9)</f>
        <v>0</v>
      </c>
      <c r="BU436" s="693">
        <f>SUMIFS(Imput[[Importe Neto]:[Importe Neto]],Imput[[C. Imp.]:[C. Imp.]],$D436,Imput[[PERIODO Imp.]:[PERIODO Imp.]],BU$9)</f>
        <v>0</v>
      </c>
      <c r="BV436" s="693">
        <f>SUMIFS(Imput[[Importe Neto]:[Importe Neto]],Imput[[C. Imp.]:[C. Imp.]],$D436,Imput[[PERIODO Imp.]:[PERIODO Imp.]],BV$9)</f>
        <v>0</v>
      </c>
      <c r="BW436" s="693">
        <f>SUMIFS(Imput[[Importe Neto]:[Importe Neto]],Imput[[C. Imp.]:[C. Imp.]],$D436,Imput[[PERIODO Imp.]:[PERIODO Imp.]],BW$9)</f>
        <v>0</v>
      </c>
      <c r="BX436" s="693">
        <f>SUMIFS(Imput[[Importe Neto]:[Importe Neto]],Imput[[C. Imp.]:[C. Imp.]],$D436,Imput[[PERIODO Imp.]:[PERIODO Imp.]],BX$9)</f>
        <v>0</v>
      </c>
      <c r="BY436" s="693">
        <f>SUMIFS(Imput[[Importe Neto]:[Importe Neto]],Imput[[C. Imp.]:[C. Imp.]],$D436,Imput[[PERIODO Imp.]:[PERIODO Imp.]],BY$9)</f>
        <v>0</v>
      </c>
      <c r="BZ436" s="693">
        <f>SUMIFS(Imput[[Importe Neto]:[Importe Neto]],Imput[[C. Imp.]:[C. Imp.]],$D436,Imput[[PERIODO Imp.]:[PERIODO Imp.]],BZ$9)</f>
        <v>0</v>
      </c>
      <c r="CA436" s="693">
        <f>SUMIFS(Imput[[Importe Neto]:[Importe Neto]],Imput[[C. Imp.]:[C. Imp.]],$D436,Imput[[PERIODO Imp.]:[PERIODO Imp.]],CA$9)</f>
        <v>0</v>
      </c>
      <c r="CB436" s="693">
        <f>SUMIFS(Imput[[Importe Neto]:[Importe Neto]],Imput[[C. Imp.]:[C. Imp.]],$D436,Imput[[PERIODO Imp.]:[PERIODO Imp.]],CB$9)</f>
        <v>0</v>
      </c>
      <c r="CC436" s="693">
        <f>SUMIFS(Imput[[Importe Neto]:[Importe Neto]],Imput[[C. Imp.]:[C. Imp.]],$D436,Imput[[PERIODO Imp.]:[PERIODO Imp.]],CC$9)</f>
        <v>0</v>
      </c>
      <c r="CD436" s="693">
        <f>SUMIFS(Imput[[Importe Neto]:[Importe Neto]],Imput[[C. Imp.]:[C. Imp.]],$D436,Imput[[PERIODO Imp.]:[PERIODO Imp.]],CD$9)</f>
        <v>0</v>
      </c>
      <c r="CE436" s="693">
        <f>SUMIFS(Imput[[Importe Neto]:[Importe Neto]],Imput[[C. Imp.]:[C. Imp.]],$D436,Imput[[PERIODO Imp.]:[PERIODO Imp.]],CE$9)</f>
        <v>0</v>
      </c>
      <c r="CF436" s="693">
        <f>SUMIFS(Imput[[Importe Neto]:[Importe Neto]],Imput[[C. Imp.]:[C. Imp.]],$D436,Imput[[PERIODO Imp.]:[PERIODO Imp.]],CF$9)</f>
        <v>0</v>
      </c>
      <c r="CG436" s="693">
        <f>SUMIFS(Imput[[Importe Neto]:[Importe Neto]],Imput[[C. Imp.]:[C. Imp.]],$D436,Imput[[PERIODO Imp.]:[PERIODO Imp.]],CG$9)</f>
        <v>0</v>
      </c>
      <c r="CH436" s="693">
        <f>SUMIFS(Imput[[Importe Neto]:[Importe Neto]],Imput[[C. Imp.]:[C. Imp.]],$D436,Imput[[PERIODO Imp.]:[PERIODO Imp.]],CH$9)</f>
        <v>0</v>
      </c>
      <c r="CI436" s="693">
        <f>SUMIFS(Imput[[Importe Neto]:[Importe Neto]],Imput[[C. Imp.]:[C. Imp.]],$D436,Imput[[PERIODO Imp.]:[PERIODO Imp.]],CI$9)</f>
        <v>0</v>
      </c>
      <c r="CJ436" s="693">
        <f>SUMIFS(Imput[[Importe Neto]:[Importe Neto]],Imput[[C. Imp.]:[C. Imp.]],$D436,Imput[[PERIODO Imp.]:[PERIODO Imp.]],CJ$9)</f>
        <v>0</v>
      </c>
      <c r="CK436" s="693">
        <f>SUMIFS(Imput[[Importe Neto]:[Importe Neto]],Imput[[C. Imp.]:[C. Imp.]],$D436,Imput[[PERIODO Imp.]:[PERIODO Imp.]],CK$9)</f>
        <v>0</v>
      </c>
      <c r="CL436" s="693">
        <f>SUMIFS(Imput[[Importe Neto]:[Importe Neto]],Imput[[C. Imp.]:[C. Imp.]],$D436,Imput[[PERIODO Imp.]:[PERIODO Imp.]],CL$9)</f>
        <v>0</v>
      </c>
      <c r="CM436" s="693">
        <f>SUMIFS(Imput[[Importe Neto]:[Importe Neto]],Imput[[C. Imp.]:[C. Imp.]],$D436,Imput[[PERIODO Imp.]:[PERIODO Imp.]],CM$9)</f>
        <v>0</v>
      </c>
      <c r="CN436" s="693">
        <f>SUMIFS(Imput[[Importe Neto]:[Importe Neto]],Imput[[C. Imp.]:[C. Imp.]],$D436,Imput[[PERIODO Imp.]:[PERIODO Imp.]],CN$9)</f>
        <v>0</v>
      </c>
      <c r="CO436" s="693">
        <f>SUMIFS(Imput[[Importe Neto]:[Importe Neto]],Imput[[C. Imp.]:[C. Imp.]],$D436,Imput[[PERIODO Imp.]:[PERIODO Imp.]],CO$9)</f>
        <v>0</v>
      </c>
      <c r="CP436" s="693">
        <f>SUMIFS(Imput[[Importe Neto]:[Importe Neto]],Imput[[C. Imp.]:[C. Imp.]],$D436,Imput[[PERIODO Imp.]:[PERIODO Imp.]],CP$9)</f>
        <v>0</v>
      </c>
      <c r="CQ436" s="693">
        <f>SUMIFS(Imput[[Importe Neto]:[Importe Neto]],Imput[[C. Imp.]:[C. Imp.]],$D436,Imput[[PERIODO Imp.]:[PERIODO Imp.]],CQ$9)</f>
        <v>0</v>
      </c>
      <c r="CR436" s="693">
        <f>SUMIFS(Imput[[Importe Neto]:[Importe Neto]],Imput[[C. Imp.]:[C. Imp.]],$D436,Imput[[PERIODO Imp.]:[PERIODO Imp.]],CR$9)</f>
        <v>0</v>
      </c>
      <c r="CS436" s="693">
        <f>SUMIFS(Imput[[Importe Neto]:[Importe Neto]],Imput[[C. Imp.]:[C. Imp.]],$D436,Imput[[PERIODO Imp.]:[PERIODO Imp.]],CS$9)</f>
        <v>0</v>
      </c>
      <c r="CT436" s="693">
        <f>SUMIFS(Imput[[Importe Neto]:[Importe Neto]],Imput[[C. Imp.]:[C. Imp.]],$D436,Imput[[PERIODO Imp.]:[PERIODO Imp.]],CT$9)</f>
        <v>0</v>
      </c>
      <c r="CU436" s="693">
        <f>SUMIFS(Imput[[Importe Neto]:[Importe Neto]],Imput[[C. Imp.]:[C. Imp.]],$D436,Imput[[PERIODO Imp.]:[PERIODO Imp.]],CU$9)</f>
        <v>0</v>
      </c>
      <c r="CV436" s="693">
        <f>SUMIFS(Imput[[Importe Neto]:[Importe Neto]],Imput[[C. Imp.]:[C. Imp.]],$D436,Imput[[PERIODO Imp.]:[PERIODO Imp.]],CV$9)</f>
        <v>0</v>
      </c>
      <c r="CW436" s="693">
        <f>SUMIFS(Imput[[Importe Neto]:[Importe Neto]],Imput[[C. Imp.]:[C. Imp.]],$D436,Imput[[PERIODO Imp.]:[PERIODO Imp.]],CW$9)</f>
        <v>0</v>
      </c>
      <c r="CX436" s="693">
        <f>SUMIFS(Imput[[Importe Neto]:[Importe Neto]],Imput[[C. Imp.]:[C. Imp.]],$D436,Imput[[PERIODO Imp.]:[PERIODO Imp.]],CX$9)</f>
        <v>0</v>
      </c>
      <c r="CY436" s="693">
        <f>SUMIFS(Imput[[Importe Neto]:[Importe Neto]],Imput[[C. Imp.]:[C. Imp.]],$D436,Imput[[PERIODO Imp.]:[PERIODO Imp.]],CY$9)</f>
        <v>0</v>
      </c>
      <c r="CZ436" s="693">
        <f>SUMIFS(Imput[[Importe Neto]:[Importe Neto]],Imput[[C. Imp.]:[C. Imp.]],$D436,Imput[[PERIODO Imp.]:[PERIODO Imp.]],CZ$9)</f>
        <v>0</v>
      </c>
      <c r="DA436" s="693">
        <f>SUMIFS(Imput[[Importe Neto]:[Importe Neto]],Imput[[C. Imp.]:[C. Imp.]],$D436,Imput[[PERIODO Imp.]:[PERIODO Imp.]],DA$9)</f>
        <v>0</v>
      </c>
      <c r="DB436" s="693">
        <f>SUMIFS(Imput[[Importe Neto]:[Importe Neto]],Imput[[C. Imp.]:[C. Imp.]],$D436,Imput[[PERIODO Imp.]:[PERIODO Imp.]],DB$9)</f>
        <v>0</v>
      </c>
      <c r="DC436" s="693">
        <f>SUMIFS(Imput[[Importe Neto]:[Importe Neto]],Imput[[C. Imp.]:[C. Imp.]],$D436,Imput[[PERIODO Imp.]:[PERIODO Imp.]],DC$9)</f>
        <v>0</v>
      </c>
      <c r="DD436" s="693">
        <f>SUMIFS(Imput[[Importe Neto]:[Importe Neto]],Imput[[C. Imp.]:[C. Imp.]],$D436,Imput[[PERIODO Imp.]:[PERIODO Imp.]],DD$9)</f>
        <v>0</v>
      </c>
      <c r="DE436" s="693">
        <f>SUMIFS(Imput[[Importe Neto]:[Importe Neto]],Imput[[C. Imp.]:[C. Imp.]],$D436,Imput[[PERIODO Imp.]:[PERIODO Imp.]],DE$9)</f>
        <v>0</v>
      </c>
      <c r="DF436" s="693">
        <f>SUMIFS(Imput[[Importe Neto]:[Importe Neto]],Imput[[C. Imp.]:[C. Imp.]],$D436,Imput[[PERIODO Imp.]:[PERIODO Imp.]],DF$9)</f>
        <v>0</v>
      </c>
      <c r="DG436" s="693">
        <f>SUMIFS(Imput[[Importe Neto]:[Importe Neto]],Imput[[C. Imp.]:[C. Imp.]],$D436,Imput[[PERIODO Imp.]:[PERIODO Imp.]],DG$9)</f>
        <v>0</v>
      </c>
      <c r="DH436" s="694">
        <f>SUMIFS(Imput[[Importe Neto]:[Importe Neto]],Imput[[C. Imp.]:[C. Imp.]],$D436,Imput[[PERIODO Imp.]:[PERIODO Imp.]],DH$9)</f>
        <v>0</v>
      </c>
    </row>
    <row r="437" spans="1:112" s="649" customFormat="1" ht="14.4" hidden="1" outlineLevel="1" thickBot="1" x14ac:dyDescent="0.35">
      <c r="A437" s="652" t="str">
        <f t="shared" si="171"/>
        <v/>
      </c>
      <c r="B437" s="652"/>
      <c r="C437" s="685"/>
      <c r="D437" s="686" t="s">
        <v>2489</v>
      </c>
      <c r="E437" s="686"/>
      <c r="F437" s="720"/>
      <c r="G437" s="688"/>
      <c r="H437" s="689"/>
      <c r="I437" s="851" t="str">
        <f t="shared" si="172"/>
        <v/>
      </c>
      <c r="J437" s="850" t="str">
        <f t="shared" si="173"/>
        <v/>
      </c>
      <c r="K437" s="667"/>
      <c r="L437" s="858"/>
      <c r="M437" s="859"/>
      <c r="N437" s="859"/>
      <c r="O437" s="859"/>
      <c r="P437" s="859"/>
      <c r="Q437" s="859"/>
      <c r="R437" s="859"/>
      <c r="S437" s="859"/>
      <c r="T437" s="859"/>
      <c r="U437" s="859"/>
      <c r="V437" s="859"/>
      <c r="W437" s="859"/>
      <c r="X437" s="859"/>
      <c r="Y437" s="859"/>
      <c r="Z437" s="860"/>
      <c r="AA437" s="860"/>
      <c r="AB437" s="860"/>
      <c r="AC437" s="860"/>
      <c r="AD437" s="860"/>
      <c r="AE437" s="860"/>
      <c r="AF437" s="860"/>
      <c r="AG437" s="860"/>
      <c r="AH437" s="860"/>
      <c r="AI437" s="860"/>
      <c r="AJ437" s="860"/>
      <c r="AK437" s="860"/>
      <c r="AL437" s="860"/>
      <c r="AM437" s="860"/>
      <c r="AN437" s="860"/>
      <c r="AO437" s="860"/>
      <c r="AP437" s="860"/>
      <c r="AQ437" s="860"/>
      <c r="AR437" s="860"/>
      <c r="AS437" s="860"/>
      <c r="AT437" s="860"/>
      <c r="AU437" s="860"/>
      <c r="AV437" s="860"/>
      <c r="AW437" s="860"/>
      <c r="AX437" s="860"/>
      <c r="AY437" s="860"/>
      <c r="AZ437" s="860"/>
      <c r="BA437" s="860"/>
      <c r="BB437" s="860"/>
      <c r="BC437" s="860"/>
      <c r="BD437" s="860"/>
      <c r="BE437" s="860"/>
      <c r="BF437" s="860"/>
      <c r="BG437" s="860"/>
      <c r="BH437" s="668"/>
      <c r="BI437" s="667"/>
      <c r="BJ437" s="690">
        <f t="shared" si="174"/>
        <v>0</v>
      </c>
      <c r="BK437" s="691">
        <f t="shared" si="175"/>
        <v>0</v>
      </c>
      <c r="BL437" s="654"/>
      <c r="BM437" s="692">
        <f>SUMIFS(Imput[[Importe Neto]:[Importe Neto]],Imput[[C. Imp.]:[C. Imp.]],$D437,Imput[[PERIODO Imp.]:[PERIODO Imp.]],BM$9)</f>
        <v>0</v>
      </c>
      <c r="BN437" s="693">
        <f>SUMIFS(Imput[[Importe Neto]:[Importe Neto]],Imput[[C. Imp.]:[C. Imp.]],$D437,Imput[[PERIODO Imp.]:[PERIODO Imp.]],BN$9)</f>
        <v>0</v>
      </c>
      <c r="BO437" s="693">
        <f>SUMIFS(Imput[[Importe Neto]:[Importe Neto]],Imput[[C. Imp.]:[C. Imp.]],$D437,Imput[[PERIODO Imp.]:[PERIODO Imp.]],BO$9)</f>
        <v>0</v>
      </c>
      <c r="BP437" s="693">
        <f>SUMIFS(Imput[[Importe Neto]:[Importe Neto]],Imput[[C. Imp.]:[C. Imp.]],$D437,Imput[[PERIODO Imp.]:[PERIODO Imp.]],BP$9)</f>
        <v>0</v>
      </c>
      <c r="BQ437" s="693">
        <f>SUMIFS(Imput[[Importe Neto]:[Importe Neto]],Imput[[C. Imp.]:[C. Imp.]],$D437,Imput[[PERIODO Imp.]:[PERIODO Imp.]],BQ$9)</f>
        <v>0</v>
      </c>
      <c r="BR437" s="693">
        <f>SUMIFS(Imput[[Importe Neto]:[Importe Neto]],Imput[[C. Imp.]:[C. Imp.]],$D437,Imput[[PERIODO Imp.]:[PERIODO Imp.]],BR$9)</f>
        <v>0</v>
      </c>
      <c r="BS437" s="693">
        <f>SUMIFS(Imput[[Importe Neto]:[Importe Neto]],Imput[[C. Imp.]:[C. Imp.]],$D437,Imput[[PERIODO Imp.]:[PERIODO Imp.]],BS$9)</f>
        <v>0</v>
      </c>
      <c r="BT437" s="693">
        <f>SUMIFS(Imput[[Importe Neto]:[Importe Neto]],Imput[[C. Imp.]:[C. Imp.]],$D437,Imput[[PERIODO Imp.]:[PERIODO Imp.]],BT$9)</f>
        <v>0</v>
      </c>
      <c r="BU437" s="693">
        <f>SUMIFS(Imput[[Importe Neto]:[Importe Neto]],Imput[[C. Imp.]:[C. Imp.]],$D437,Imput[[PERIODO Imp.]:[PERIODO Imp.]],BU$9)</f>
        <v>0</v>
      </c>
      <c r="BV437" s="693">
        <f>SUMIFS(Imput[[Importe Neto]:[Importe Neto]],Imput[[C. Imp.]:[C. Imp.]],$D437,Imput[[PERIODO Imp.]:[PERIODO Imp.]],BV$9)</f>
        <v>0</v>
      </c>
      <c r="BW437" s="693">
        <f>SUMIFS(Imput[[Importe Neto]:[Importe Neto]],Imput[[C. Imp.]:[C. Imp.]],$D437,Imput[[PERIODO Imp.]:[PERIODO Imp.]],BW$9)</f>
        <v>0</v>
      </c>
      <c r="BX437" s="693">
        <f>SUMIFS(Imput[[Importe Neto]:[Importe Neto]],Imput[[C. Imp.]:[C. Imp.]],$D437,Imput[[PERIODO Imp.]:[PERIODO Imp.]],BX$9)</f>
        <v>0</v>
      </c>
      <c r="BY437" s="693">
        <f>SUMIFS(Imput[[Importe Neto]:[Importe Neto]],Imput[[C. Imp.]:[C. Imp.]],$D437,Imput[[PERIODO Imp.]:[PERIODO Imp.]],BY$9)</f>
        <v>0</v>
      </c>
      <c r="BZ437" s="693">
        <f>SUMIFS(Imput[[Importe Neto]:[Importe Neto]],Imput[[C. Imp.]:[C. Imp.]],$D437,Imput[[PERIODO Imp.]:[PERIODO Imp.]],BZ$9)</f>
        <v>0</v>
      </c>
      <c r="CA437" s="693">
        <f>SUMIFS(Imput[[Importe Neto]:[Importe Neto]],Imput[[C. Imp.]:[C. Imp.]],$D437,Imput[[PERIODO Imp.]:[PERIODO Imp.]],CA$9)</f>
        <v>0</v>
      </c>
      <c r="CB437" s="693">
        <f>SUMIFS(Imput[[Importe Neto]:[Importe Neto]],Imput[[C. Imp.]:[C. Imp.]],$D437,Imput[[PERIODO Imp.]:[PERIODO Imp.]],CB$9)</f>
        <v>0</v>
      </c>
      <c r="CC437" s="693">
        <f>SUMIFS(Imput[[Importe Neto]:[Importe Neto]],Imput[[C. Imp.]:[C. Imp.]],$D437,Imput[[PERIODO Imp.]:[PERIODO Imp.]],CC$9)</f>
        <v>0</v>
      </c>
      <c r="CD437" s="693">
        <f>SUMIFS(Imput[[Importe Neto]:[Importe Neto]],Imput[[C. Imp.]:[C. Imp.]],$D437,Imput[[PERIODO Imp.]:[PERIODO Imp.]],CD$9)</f>
        <v>0</v>
      </c>
      <c r="CE437" s="693">
        <f>SUMIFS(Imput[[Importe Neto]:[Importe Neto]],Imput[[C. Imp.]:[C. Imp.]],$D437,Imput[[PERIODO Imp.]:[PERIODO Imp.]],CE$9)</f>
        <v>0</v>
      </c>
      <c r="CF437" s="693">
        <f>SUMIFS(Imput[[Importe Neto]:[Importe Neto]],Imput[[C. Imp.]:[C. Imp.]],$D437,Imput[[PERIODO Imp.]:[PERIODO Imp.]],CF$9)</f>
        <v>0</v>
      </c>
      <c r="CG437" s="693">
        <f>SUMIFS(Imput[[Importe Neto]:[Importe Neto]],Imput[[C. Imp.]:[C. Imp.]],$D437,Imput[[PERIODO Imp.]:[PERIODO Imp.]],CG$9)</f>
        <v>0</v>
      </c>
      <c r="CH437" s="693">
        <f>SUMIFS(Imput[[Importe Neto]:[Importe Neto]],Imput[[C. Imp.]:[C. Imp.]],$D437,Imput[[PERIODO Imp.]:[PERIODO Imp.]],CH$9)</f>
        <v>0</v>
      </c>
      <c r="CI437" s="693">
        <f>SUMIFS(Imput[[Importe Neto]:[Importe Neto]],Imput[[C. Imp.]:[C. Imp.]],$D437,Imput[[PERIODO Imp.]:[PERIODO Imp.]],CI$9)</f>
        <v>0</v>
      </c>
      <c r="CJ437" s="693">
        <f>SUMIFS(Imput[[Importe Neto]:[Importe Neto]],Imput[[C. Imp.]:[C. Imp.]],$D437,Imput[[PERIODO Imp.]:[PERIODO Imp.]],CJ$9)</f>
        <v>0</v>
      </c>
      <c r="CK437" s="693">
        <f>SUMIFS(Imput[[Importe Neto]:[Importe Neto]],Imput[[C. Imp.]:[C. Imp.]],$D437,Imput[[PERIODO Imp.]:[PERIODO Imp.]],CK$9)</f>
        <v>0</v>
      </c>
      <c r="CL437" s="693">
        <f>SUMIFS(Imput[[Importe Neto]:[Importe Neto]],Imput[[C. Imp.]:[C. Imp.]],$D437,Imput[[PERIODO Imp.]:[PERIODO Imp.]],CL$9)</f>
        <v>0</v>
      </c>
      <c r="CM437" s="693">
        <f>SUMIFS(Imput[[Importe Neto]:[Importe Neto]],Imput[[C. Imp.]:[C. Imp.]],$D437,Imput[[PERIODO Imp.]:[PERIODO Imp.]],CM$9)</f>
        <v>0</v>
      </c>
      <c r="CN437" s="693">
        <f>SUMIFS(Imput[[Importe Neto]:[Importe Neto]],Imput[[C. Imp.]:[C. Imp.]],$D437,Imput[[PERIODO Imp.]:[PERIODO Imp.]],CN$9)</f>
        <v>0</v>
      </c>
      <c r="CO437" s="693">
        <f>SUMIFS(Imput[[Importe Neto]:[Importe Neto]],Imput[[C. Imp.]:[C. Imp.]],$D437,Imput[[PERIODO Imp.]:[PERIODO Imp.]],CO$9)</f>
        <v>0</v>
      </c>
      <c r="CP437" s="693">
        <f>SUMIFS(Imput[[Importe Neto]:[Importe Neto]],Imput[[C. Imp.]:[C. Imp.]],$D437,Imput[[PERIODO Imp.]:[PERIODO Imp.]],CP$9)</f>
        <v>0</v>
      </c>
      <c r="CQ437" s="693">
        <f>SUMIFS(Imput[[Importe Neto]:[Importe Neto]],Imput[[C. Imp.]:[C. Imp.]],$D437,Imput[[PERIODO Imp.]:[PERIODO Imp.]],CQ$9)</f>
        <v>0</v>
      </c>
      <c r="CR437" s="693">
        <f>SUMIFS(Imput[[Importe Neto]:[Importe Neto]],Imput[[C. Imp.]:[C. Imp.]],$D437,Imput[[PERIODO Imp.]:[PERIODO Imp.]],CR$9)</f>
        <v>0</v>
      </c>
      <c r="CS437" s="693">
        <f>SUMIFS(Imput[[Importe Neto]:[Importe Neto]],Imput[[C. Imp.]:[C. Imp.]],$D437,Imput[[PERIODO Imp.]:[PERIODO Imp.]],CS$9)</f>
        <v>0</v>
      </c>
      <c r="CT437" s="693">
        <f>SUMIFS(Imput[[Importe Neto]:[Importe Neto]],Imput[[C. Imp.]:[C. Imp.]],$D437,Imput[[PERIODO Imp.]:[PERIODO Imp.]],CT$9)</f>
        <v>0</v>
      </c>
      <c r="CU437" s="693">
        <f>SUMIFS(Imput[[Importe Neto]:[Importe Neto]],Imput[[C. Imp.]:[C. Imp.]],$D437,Imput[[PERIODO Imp.]:[PERIODO Imp.]],CU$9)</f>
        <v>0</v>
      </c>
      <c r="CV437" s="693">
        <f>SUMIFS(Imput[[Importe Neto]:[Importe Neto]],Imput[[C. Imp.]:[C. Imp.]],$D437,Imput[[PERIODO Imp.]:[PERIODO Imp.]],CV$9)</f>
        <v>0</v>
      </c>
      <c r="CW437" s="693">
        <f>SUMIFS(Imput[[Importe Neto]:[Importe Neto]],Imput[[C. Imp.]:[C. Imp.]],$D437,Imput[[PERIODO Imp.]:[PERIODO Imp.]],CW$9)</f>
        <v>0</v>
      </c>
      <c r="CX437" s="693">
        <f>SUMIFS(Imput[[Importe Neto]:[Importe Neto]],Imput[[C. Imp.]:[C. Imp.]],$D437,Imput[[PERIODO Imp.]:[PERIODO Imp.]],CX$9)</f>
        <v>0</v>
      </c>
      <c r="CY437" s="693">
        <f>SUMIFS(Imput[[Importe Neto]:[Importe Neto]],Imput[[C. Imp.]:[C. Imp.]],$D437,Imput[[PERIODO Imp.]:[PERIODO Imp.]],CY$9)</f>
        <v>0</v>
      </c>
      <c r="CZ437" s="693">
        <f>SUMIFS(Imput[[Importe Neto]:[Importe Neto]],Imput[[C. Imp.]:[C. Imp.]],$D437,Imput[[PERIODO Imp.]:[PERIODO Imp.]],CZ$9)</f>
        <v>0</v>
      </c>
      <c r="DA437" s="693">
        <f>SUMIFS(Imput[[Importe Neto]:[Importe Neto]],Imput[[C. Imp.]:[C. Imp.]],$D437,Imput[[PERIODO Imp.]:[PERIODO Imp.]],DA$9)</f>
        <v>0</v>
      </c>
      <c r="DB437" s="693">
        <f>SUMIFS(Imput[[Importe Neto]:[Importe Neto]],Imput[[C. Imp.]:[C. Imp.]],$D437,Imput[[PERIODO Imp.]:[PERIODO Imp.]],DB$9)</f>
        <v>0</v>
      </c>
      <c r="DC437" s="693">
        <f>SUMIFS(Imput[[Importe Neto]:[Importe Neto]],Imput[[C. Imp.]:[C. Imp.]],$D437,Imput[[PERIODO Imp.]:[PERIODO Imp.]],DC$9)</f>
        <v>0</v>
      </c>
      <c r="DD437" s="693">
        <f>SUMIFS(Imput[[Importe Neto]:[Importe Neto]],Imput[[C. Imp.]:[C. Imp.]],$D437,Imput[[PERIODO Imp.]:[PERIODO Imp.]],DD$9)</f>
        <v>0</v>
      </c>
      <c r="DE437" s="693">
        <f>SUMIFS(Imput[[Importe Neto]:[Importe Neto]],Imput[[C. Imp.]:[C. Imp.]],$D437,Imput[[PERIODO Imp.]:[PERIODO Imp.]],DE$9)</f>
        <v>0</v>
      </c>
      <c r="DF437" s="693">
        <f>SUMIFS(Imput[[Importe Neto]:[Importe Neto]],Imput[[C. Imp.]:[C. Imp.]],$D437,Imput[[PERIODO Imp.]:[PERIODO Imp.]],DF$9)</f>
        <v>0</v>
      </c>
      <c r="DG437" s="693">
        <f>SUMIFS(Imput[[Importe Neto]:[Importe Neto]],Imput[[C. Imp.]:[C. Imp.]],$D437,Imput[[PERIODO Imp.]:[PERIODO Imp.]],DG$9)</f>
        <v>0</v>
      </c>
      <c r="DH437" s="694">
        <f>SUMIFS(Imput[[Importe Neto]:[Importe Neto]],Imput[[C. Imp.]:[C. Imp.]],$D437,Imput[[PERIODO Imp.]:[PERIODO Imp.]],DH$9)</f>
        <v>0</v>
      </c>
    </row>
    <row r="438" spans="1:112" s="649" customFormat="1" ht="14.4" hidden="1" outlineLevel="1" thickBot="1" x14ac:dyDescent="0.35">
      <c r="A438" s="652" t="str">
        <f t="shared" si="171"/>
        <v/>
      </c>
      <c r="B438" s="652"/>
      <c r="C438" s="685"/>
      <c r="D438" s="686" t="s">
        <v>2490</v>
      </c>
      <c r="E438" s="686"/>
      <c r="F438" s="720"/>
      <c r="G438" s="688"/>
      <c r="H438" s="689"/>
      <c r="I438" s="851" t="str">
        <f t="shared" si="172"/>
        <v/>
      </c>
      <c r="J438" s="850" t="str">
        <f t="shared" si="173"/>
        <v/>
      </c>
      <c r="K438" s="667"/>
      <c r="L438" s="858"/>
      <c r="M438" s="859"/>
      <c r="N438" s="859"/>
      <c r="O438" s="859"/>
      <c r="P438" s="859"/>
      <c r="Q438" s="859"/>
      <c r="R438" s="859"/>
      <c r="S438" s="859"/>
      <c r="T438" s="859"/>
      <c r="U438" s="859"/>
      <c r="V438" s="859"/>
      <c r="W438" s="859"/>
      <c r="X438" s="859"/>
      <c r="Y438" s="859"/>
      <c r="Z438" s="860"/>
      <c r="AA438" s="860"/>
      <c r="AB438" s="860"/>
      <c r="AC438" s="860"/>
      <c r="AD438" s="860"/>
      <c r="AE438" s="860"/>
      <c r="AF438" s="860"/>
      <c r="AG438" s="860"/>
      <c r="AH438" s="860"/>
      <c r="AI438" s="860"/>
      <c r="AJ438" s="860"/>
      <c r="AK438" s="860"/>
      <c r="AL438" s="860"/>
      <c r="AM438" s="860"/>
      <c r="AN438" s="860"/>
      <c r="AO438" s="860"/>
      <c r="AP438" s="860"/>
      <c r="AQ438" s="860"/>
      <c r="AR438" s="860"/>
      <c r="AS438" s="860"/>
      <c r="AT438" s="860"/>
      <c r="AU438" s="860"/>
      <c r="AV438" s="860"/>
      <c r="AW438" s="860"/>
      <c r="AX438" s="860"/>
      <c r="AY438" s="860"/>
      <c r="AZ438" s="860"/>
      <c r="BA438" s="860"/>
      <c r="BB438" s="860"/>
      <c r="BC438" s="860"/>
      <c r="BD438" s="860"/>
      <c r="BE438" s="860"/>
      <c r="BF438" s="860"/>
      <c r="BG438" s="860"/>
      <c r="BH438" s="668"/>
      <c r="BI438" s="667"/>
      <c r="BJ438" s="690">
        <f t="shared" si="174"/>
        <v>0</v>
      </c>
      <c r="BK438" s="691">
        <f t="shared" si="175"/>
        <v>0</v>
      </c>
      <c r="BL438" s="654"/>
      <c r="BM438" s="692">
        <f>SUMIFS(Imput[[Importe Neto]:[Importe Neto]],Imput[[C. Imp.]:[C. Imp.]],$D438,Imput[[PERIODO Imp.]:[PERIODO Imp.]],BM$9)</f>
        <v>0</v>
      </c>
      <c r="BN438" s="693">
        <f>SUMIFS(Imput[[Importe Neto]:[Importe Neto]],Imput[[C. Imp.]:[C. Imp.]],$D438,Imput[[PERIODO Imp.]:[PERIODO Imp.]],BN$9)</f>
        <v>0</v>
      </c>
      <c r="BO438" s="693">
        <f>SUMIFS(Imput[[Importe Neto]:[Importe Neto]],Imput[[C. Imp.]:[C. Imp.]],$D438,Imput[[PERIODO Imp.]:[PERIODO Imp.]],BO$9)</f>
        <v>0</v>
      </c>
      <c r="BP438" s="693">
        <f>SUMIFS(Imput[[Importe Neto]:[Importe Neto]],Imput[[C. Imp.]:[C. Imp.]],$D438,Imput[[PERIODO Imp.]:[PERIODO Imp.]],BP$9)</f>
        <v>0</v>
      </c>
      <c r="BQ438" s="693">
        <f>SUMIFS(Imput[[Importe Neto]:[Importe Neto]],Imput[[C. Imp.]:[C. Imp.]],$D438,Imput[[PERIODO Imp.]:[PERIODO Imp.]],BQ$9)</f>
        <v>0</v>
      </c>
      <c r="BR438" s="693">
        <f>SUMIFS(Imput[[Importe Neto]:[Importe Neto]],Imput[[C. Imp.]:[C. Imp.]],$D438,Imput[[PERIODO Imp.]:[PERIODO Imp.]],BR$9)</f>
        <v>0</v>
      </c>
      <c r="BS438" s="693">
        <f>SUMIFS(Imput[[Importe Neto]:[Importe Neto]],Imput[[C. Imp.]:[C. Imp.]],$D438,Imput[[PERIODO Imp.]:[PERIODO Imp.]],BS$9)</f>
        <v>0</v>
      </c>
      <c r="BT438" s="693">
        <f>SUMIFS(Imput[[Importe Neto]:[Importe Neto]],Imput[[C. Imp.]:[C. Imp.]],$D438,Imput[[PERIODO Imp.]:[PERIODO Imp.]],BT$9)</f>
        <v>0</v>
      </c>
      <c r="BU438" s="693">
        <f>SUMIFS(Imput[[Importe Neto]:[Importe Neto]],Imput[[C. Imp.]:[C. Imp.]],$D438,Imput[[PERIODO Imp.]:[PERIODO Imp.]],BU$9)</f>
        <v>0</v>
      </c>
      <c r="BV438" s="693">
        <f>SUMIFS(Imput[[Importe Neto]:[Importe Neto]],Imput[[C. Imp.]:[C. Imp.]],$D438,Imput[[PERIODO Imp.]:[PERIODO Imp.]],BV$9)</f>
        <v>0</v>
      </c>
      <c r="BW438" s="693">
        <f>SUMIFS(Imput[[Importe Neto]:[Importe Neto]],Imput[[C. Imp.]:[C. Imp.]],$D438,Imput[[PERIODO Imp.]:[PERIODO Imp.]],BW$9)</f>
        <v>0</v>
      </c>
      <c r="BX438" s="693">
        <f>SUMIFS(Imput[[Importe Neto]:[Importe Neto]],Imput[[C. Imp.]:[C. Imp.]],$D438,Imput[[PERIODO Imp.]:[PERIODO Imp.]],BX$9)</f>
        <v>0</v>
      </c>
      <c r="BY438" s="693">
        <f>SUMIFS(Imput[[Importe Neto]:[Importe Neto]],Imput[[C. Imp.]:[C. Imp.]],$D438,Imput[[PERIODO Imp.]:[PERIODO Imp.]],BY$9)</f>
        <v>0</v>
      </c>
      <c r="BZ438" s="693">
        <f>SUMIFS(Imput[[Importe Neto]:[Importe Neto]],Imput[[C. Imp.]:[C. Imp.]],$D438,Imput[[PERIODO Imp.]:[PERIODO Imp.]],BZ$9)</f>
        <v>0</v>
      </c>
      <c r="CA438" s="693">
        <f>SUMIFS(Imput[[Importe Neto]:[Importe Neto]],Imput[[C. Imp.]:[C. Imp.]],$D438,Imput[[PERIODO Imp.]:[PERIODO Imp.]],CA$9)</f>
        <v>0</v>
      </c>
      <c r="CB438" s="693">
        <f>SUMIFS(Imput[[Importe Neto]:[Importe Neto]],Imput[[C. Imp.]:[C. Imp.]],$D438,Imput[[PERIODO Imp.]:[PERIODO Imp.]],CB$9)</f>
        <v>0</v>
      </c>
      <c r="CC438" s="693">
        <f>SUMIFS(Imput[[Importe Neto]:[Importe Neto]],Imput[[C. Imp.]:[C. Imp.]],$D438,Imput[[PERIODO Imp.]:[PERIODO Imp.]],CC$9)</f>
        <v>0</v>
      </c>
      <c r="CD438" s="693">
        <f>SUMIFS(Imput[[Importe Neto]:[Importe Neto]],Imput[[C. Imp.]:[C. Imp.]],$D438,Imput[[PERIODO Imp.]:[PERIODO Imp.]],CD$9)</f>
        <v>0</v>
      </c>
      <c r="CE438" s="693">
        <f>SUMIFS(Imput[[Importe Neto]:[Importe Neto]],Imput[[C. Imp.]:[C. Imp.]],$D438,Imput[[PERIODO Imp.]:[PERIODO Imp.]],CE$9)</f>
        <v>0</v>
      </c>
      <c r="CF438" s="693">
        <f>SUMIFS(Imput[[Importe Neto]:[Importe Neto]],Imput[[C. Imp.]:[C. Imp.]],$D438,Imput[[PERIODO Imp.]:[PERIODO Imp.]],CF$9)</f>
        <v>0</v>
      </c>
      <c r="CG438" s="693">
        <f>SUMIFS(Imput[[Importe Neto]:[Importe Neto]],Imput[[C. Imp.]:[C. Imp.]],$D438,Imput[[PERIODO Imp.]:[PERIODO Imp.]],CG$9)</f>
        <v>0</v>
      </c>
      <c r="CH438" s="693">
        <f>SUMIFS(Imput[[Importe Neto]:[Importe Neto]],Imput[[C. Imp.]:[C. Imp.]],$D438,Imput[[PERIODO Imp.]:[PERIODO Imp.]],CH$9)</f>
        <v>0</v>
      </c>
      <c r="CI438" s="693">
        <f>SUMIFS(Imput[[Importe Neto]:[Importe Neto]],Imput[[C. Imp.]:[C. Imp.]],$D438,Imput[[PERIODO Imp.]:[PERIODO Imp.]],CI$9)</f>
        <v>0</v>
      </c>
      <c r="CJ438" s="693">
        <f>SUMIFS(Imput[[Importe Neto]:[Importe Neto]],Imput[[C. Imp.]:[C. Imp.]],$D438,Imput[[PERIODO Imp.]:[PERIODO Imp.]],CJ$9)</f>
        <v>0</v>
      </c>
      <c r="CK438" s="693">
        <f>SUMIFS(Imput[[Importe Neto]:[Importe Neto]],Imput[[C. Imp.]:[C. Imp.]],$D438,Imput[[PERIODO Imp.]:[PERIODO Imp.]],CK$9)</f>
        <v>0</v>
      </c>
      <c r="CL438" s="693">
        <f>SUMIFS(Imput[[Importe Neto]:[Importe Neto]],Imput[[C. Imp.]:[C. Imp.]],$D438,Imput[[PERIODO Imp.]:[PERIODO Imp.]],CL$9)</f>
        <v>0</v>
      </c>
      <c r="CM438" s="693">
        <f>SUMIFS(Imput[[Importe Neto]:[Importe Neto]],Imput[[C. Imp.]:[C. Imp.]],$D438,Imput[[PERIODO Imp.]:[PERIODO Imp.]],CM$9)</f>
        <v>0</v>
      </c>
      <c r="CN438" s="693">
        <f>SUMIFS(Imput[[Importe Neto]:[Importe Neto]],Imput[[C. Imp.]:[C. Imp.]],$D438,Imput[[PERIODO Imp.]:[PERIODO Imp.]],CN$9)</f>
        <v>0</v>
      </c>
      <c r="CO438" s="693">
        <f>SUMIFS(Imput[[Importe Neto]:[Importe Neto]],Imput[[C. Imp.]:[C. Imp.]],$D438,Imput[[PERIODO Imp.]:[PERIODO Imp.]],CO$9)</f>
        <v>0</v>
      </c>
      <c r="CP438" s="693">
        <f>SUMIFS(Imput[[Importe Neto]:[Importe Neto]],Imput[[C. Imp.]:[C. Imp.]],$D438,Imput[[PERIODO Imp.]:[PERIODO Imp.]],CP$9)</f>
        <v>0</v>
      </c>
      <c r="CQ438" s="693">
        <f>SUMIFS(Imput[[Importe Neto]:[Importe Neto]],Imput[[C. Imp.]:[C. Imp.]],$D438,Imput[[PERIODO Imp.]:[PERIODO Imp.]],CQ$9)</f>
        <v>0</v>
      </c>
      <c r="CR438" s="693">
        <f>SUMIFS(Imput[[Importe Neto]:[Importe Neto]],Imput[[C. Imp.]:[C. Imp.]],$D438,Imput[[PERIODO Imp.]:[PERIODO Imp.]],CR$9)</f>
        <v>0</v>
      </c>
      <c r="CS438" s="693">
        <f>SUMIFS(Imput[[Importe Neto]:[Importe Neto]],Imput[[C. Imp.]:[C. Imp.]],$D438,Imput[[PERIODO Imp.]:[PERIODO Imp.]],CS$9)</f>
        <v>0</v>
      </c>
      <c r="CT438" s="693">
        <f>SUMIFS(Imput[[Importe Neto]:[Importe Neto]],Imput[[C. Imp.]:[C. Imp.]],$D438,Imput[[PERIODO Imp.]:[PERIODO Imp.]],CT$9)</f>
        <v>0</v>
      </c>
      <c r="CU438" s="693">
        <f>SUMIFS(Imput[[Importe Neto]:[Importe Neto]],Imput[[C. Imp.]:[C. Imp.]],$D438,Imput[[PERIODO Imp.]:[PERIODO Imp.]],CU$9)</f>
        <v>0</v>
      </c>
      <c r="CV438" s="693">
        <f>SUMIFS(Imput[[Importe Neto]:[Importe Neto]],Imput[[C. Imp.]:[C. Imp.]],$D438,Imput[[PERIODO Imp.]:[PERIODO Imp.]],CV$9)</f>
        <v>0</v>
      </c>
      <c r="CW438" s="693">
        <f>SUMIFS(Imput[[Importe Neto]:[Importe Neto]],Imput[[C. Imp.]:[C. Imp.]],$D438,Imput[[PERIODO Imp.]:[PERIODO Imp.]],CW$9)</f>
        <v>0</v>
      </c>
      <c r="CX438" s="693">
        <f>SUMIFS(Imput[[Importe Neto]:[Importe Neto]],Imput[[C. Imp.]:[C. Imp.]],$D438,Imput[[PERIODO Imp.]:[PERIODO Imp.]],CX$9)</f>
        <v>0</v>
      </c>
      <c r="CY438" s="693">
        <f>SUMIFS(Imput[[Importe Neto]:[Importe Neto]],Imput[[C. Imp.]:[C. Imp.]],$D438,Imput[[PERIODO Imp.]:[PERIODO Imp.]],CY$9)</f>
        <v>0</v>
      </c>
      <c r="CZ438" s="693">
        <f>SUMIFS(Imput[[Importe Neto]:[Importe Neto]],Imput[[C. Imp.]:[C. Imp.]],$D438,Imput[[PERIODO Imp.]:[PERIODO Imp.]],CZ$9)</f>
        <v>0</v>
      </c>
      <c r="DA438" s="693">
        <f>SUMIFS(Imput[[Importe Neto]:[Importe Neto]],Imput[[C. Imp.]:[C. Imp.]],$D438,Imput[[PERIODO Imp.]:[PERIODO Imp.]],DA$9)</f>
        <v>0</v>
      </c>
      <c r="DB438" s="693">
        <f>SUMIFS(Imput[[Importe Neto]:[Importe Neto]],Imput[[C. Imp.]:[C. Imp.]],$D438,Imput[[PERIODO Imp.]:[PERIODO Imp.]],DB$9)</f>
        <v>0</v>
      </c>
      <c r="DC438" s="693">
        <f>SUMIFS(Imput[[Importe Neto]:[Importe Neto]],Imput[[C. Imp.]:[C. Imp.]],$D438,Imput[[PERIODO Imp.]:[PERIODO Imp.]],DC$9)</f>
        <v>0</v>
      </c>
      <c r="DD438" s="693">
        <f>SUMIFS(Imput[[Importe Neto]:[Importe Neto]],Imput[[C. Imp.]:[C. Imp.]],$D438,Imput[[PERIODO Imp.]:[PERIODO Imp.]],DD$9)</f>
        <v>0</v>
      </c>
      <c r="DE438" s="693">
        <f>SUMIFS(Imput[[Importe Neto]:[Importe Neto]],Imput[[C. Imp.]:[C. Imp.]],$D438,Imput[[PERIODO Imp.]:[PERIODO Imp.]],DE$9)</f>
        <v>0</v>
      </c>
      <c r="DF438" s="693">
        <f>SUMIFS(Imput[[Importe Neto]:[Importe Neto]],Imput[[C. Imp.]:[C. Imp.]],$D438,Imput[[PERIODO Imp.]:[PERIODO Imp.]],DF$9)</f>
        <v>0</v>
      </c>
      <c r="DG438" s="693">
        <f>SUMIFS(Imput[[Importe Neto]:[Importe Neto]],Imput[[C. Imp.]:[C. Imp.]],$D438,Imput[[PERIODO Imp.]:[PERIODO Imp.]],DG$9)</f>
        <v>0</v>
      </c>
      <c r="DH438" s="694">
        <f>SUMIFS(Imput[[Importe Neto]:[Importe Neto]],Imput[[C. Imp.]:[C. Imp.]],$D438,Imput[[PERIODO Imp.]:[PERIODO Imp.]],DH$9)</f>
        <v>0</v>
      </c>
    </row>
    <row r="439" spans="1:112" s="649" customFormat="1" ht="14.4" hidden="1" outlineLevel="1" thickBot="1" x14ac:dyDescent="0.35">
      <c r="A439" s="652" t="str">
        <f t="shared" si="171"/>
        <v/>
      </c>
      <c r="B439" s="652"/>
      <c r="C439" s="685"/>
      <c r="D439" s="686" t="s">
        <v>2491</v>
      </c>
      <c r="E439" s="686"/>
      <c r="F439" s="720"/>
      <c r="G439" s="688"/>
      <c r="H439" s="689"/>
      <c r="I439" s="851" t="str">
        <f t="shared" si="172"/>
        <v/>
      </c>
      <c r="J439" s="850" t="str">
        <f t="shared" si="173"/>
        <v/>
      </c>
      <c r="K439" s="667"/>
      <c r="L439" s="858"/>
      <c r="M439" s="859"/>
      <c r="N439" s="859"/>
      <c r="O439" s="859"/>
      <c r="P439" s="859"/>
      <c r="Q439" s="859"/>
      <c r="R439" s="859"/>
      <c r="S439" s="859"/>
      <c r="T439" s="859"/>
      <c r="U439" s="859"/>
      <c r="V439" s="859"/>
      <c r="W439" s="859"/>
      <c r="X439" s="859"/>
      <c r="Y439" s="859"/>
      <c r="Z439" s="860"/>
      <c r="AA439" s="860"/>
      <c r="AB439" s="860"/>
      <c r="AC439" s="860"/>
      <c r="AD439" s="860"/>
      <c r="AE439" s="860"/>
      <c r="AF439" s="860"/>
      <c r="AG439" s="860"/>
      <c r="AH439" s="860"/>
      <c r="AI439" s="860"/>
      <c r="AJ439" s="860"/>
      <c r="AK439" s="860"/>
      <c r="AL439" s="860"/>
      <c r="AM439" s="860"/>
      <c r="AN439" s="860"/>
      <c r="AO439" s="860"/>
      <c r="AP439" s="860"/>
      <c r="AQ439" s="860"/>
      <c r="AR439" s="860"/>
      <c r="AS439" s="860"/>
      <c r="AT439" s="860"/>
      <c r="AU439" s="860"/>
      <c r="AV439" s="860"/>
      <c r="AW439" s="860"/>
      <c r="AX439" s="860"/>
      <c r="AY439" s="860"/>
      <c r="AZ439" s="860"/>
      <c r="BA439" s="860"/>
      <c r="BB439" s="860"/>
      <c r="BC439" s="860"/>
      <c r="BD439" s="860"/>
      <c r="BE439" s="860"/>
      <c r="BF439" s="860"/>
      <c r="BG439" s="860"/>
      <c r="BH439" s="668"/>
      <c r="BI439" s="667"/>
      <c r="BJ439" s="690">
        <f t="shared" si="174"/>
        <v>0</v>
      </c>
      <c r="BK439" s="691">
        <f t="shared" si="175"/>
        <v>0</v>
      </c>
      <c r="BL439" s="654"/>
      <c r="BM439" s="692">
        <f>SUMIFS(Imput[[Importe Neto]:[Importe Neto]],Imput[[C. Imp.]:[C. Imp.]],$D439,Imput[[PERIODO Imp.]:[PERIODO Imp.]],BM$9)</f>
        <v>0</v>
      </c>
      <c r="BN439" s="693">
        <f>SUMIFS(Imput[[Importe Neto]:[Importe Neto]],Imput[[C. Imp.]:[C. Imp.]],$D439,Imput[[PERIODO Imp.]:[PERIODO Imp.]],BN$9)</f>
        <v>0</v>
      </c>
      <c r="BO439" s="693">
        <f>SUMIFS(Imput[[Importe Neto]:[Importe Neto]],Imput[[C. Imp.]:[C. Imp.]],$D439,Imput[[PERIODO Imp.]:[PERIODO Imp.]],BO$9)</f>
        <v>0</v>
      </c>
      <c r="BP439" s="693">
        <f>SUMIFS(Imput[[Importe Neto]:[Importe Neto]],Imput[[C. Imp.]:[C. Imp.]],$D439,Imput[[PERIODO Imp.]:[PERIODO Imp.]],BP$9)</f>
        <v>0</v>
      </c>
      <c r="BQ439" s="693">
        <f>SUMIFS(Imput[[Importe Neto]:[Importe Neto]],Imput[[C. Imp.]:[C. Imp.]],$D439,Imput[[PERIODO Imp.]:[PERIODO Imp.]],BQ$9)</f>
        <v>0</v>
      </c>
      <c r="BR439" s="693">
        <f>SUMIFS(Imput[[Importe Neto]:[Importe Neto]],Imput[[C. Imp.]:[C. Imp.]],$D439,Imput[[PERIODO Imp.]:[PERIODO Imp.]],BR$9)</f>
        <v>0</v>
      </c>
      <c r="BS439" s="693">
        <f>SUMIFS(Imput[[Importe Neto]:[Importe Neto]],Imput[[C. Imp.]:[C. Imp.]],$D439,Imput[[PERIODO Imp.]:[PERIODO Imp.]],BS$9)</f>
        <v>0</v>
      </c>
      <c r="BT439" s="693">
        <f>SUMIFS(Imput[[Importe Neto]:[Importe Neto]],Imput[[C. Imp.]:[C. Imp.]],$D439,Imput[[PERIODO Imp.]:[PERIODO Imp.]],BT$9)</f>
        <v>0</v>
      </c>
      <c r="BU439" s="693">
        <f>SUMIFS(Imput[[Importe Neto]:[Importe Neto]],Imput[[C. Imp.]:[C. Imp.]],$D439,Imput[[PERIODO Imp.]:[PERIODO Imp.]],BU$9)</f>
        <v>0</v>
      </c>
      <c r="BV439" s="693">
        <f>SUMIFS(Imput[[Importe Neto]:[Importe Neto]],Imput[[C. Imp.]:[C. Imp.]],$D439,Imput[[PERIODO Imp.]:[PERIODO Imp.]],BV$9)</f>
        <v>0</v>
      </c>
      <c r="BW439" s="693">
        <f>SUMIFS(Imput[[Importe Neto]:[Importe Neto]],Imput[[C. Imp.]:[C. Imp.]],$D439,Imput[[PERIODO Imp.]:[PERIODO Imp.]],BW$9)</f>
        <v>0</v>
      </c>
      <c r="BX439" s="693">
        <f>SUMIFS(Imput[[Importe Neto]:[Importe Neto]],Imput[[C. Imp.]:[C. Imp.]],$D439,Imput[[PERIODO Imp.]:[PERIODO Imp.]],BX$9)</f>
        <v>0</v>
      </c>
      <c r="BY439" s="693">
        <f>SUMIFS(Imput[[Importe Neto]:[Importe Neto]],Imput[[C. Imp.]:[C. Imp.]],$D439,Imput[[PERIODO Imp.]:[PERIODO Imp.]],BY$9)</f>
        <v>0</v>
      </c>
      <c r="BZ439" s="693">
        <f>SUMIFS(Imput[[Importe Neto]:[Importe Neto]],Imput[[C. Imp.]:[C. Imp.]],$D439,Imput[[PERIODO Imp.]:[PERIODO Imp.]],BZ$9)</f>
        <v>0</v>
      </c>
      <c r="CA439" s="693">
        <f>SUMIFS(Imput[[Importe Neto]:[Importe Neto]],Imput[[C. Imp.]:[C. Imp.]],$D439,Imput[[PERIODO Imp.]:[PERIODO Imp.]],CA$9)</f>
        <v>0</v>
      </c>
      <c r="CB439" s="693">
        <f>SUMIFS(Imput[[Importe Neto]:[Importe Neto]],Imput[[C. Imp.]:[C. Imp.]],$D439,Imput[[PERIODO Imp.]:[PERIODO Imp.]],CB$9)</f>
        <v>0</v>
      </c>
      <c r="CC439" s="693">
        <f>SUMIFS(Imput[[Importe Neto]:[Importe Neto]],Imput[[C. Imp.]:[C. Imp.]],$D439,Imput[[PERIODO Imp.]:[PERIODO Imp.]],CC$9)</f>
        <v>0</v>
      </c>
      <c r="CD439" s="693">
        <f>SUMIFS(Imput[[Importe Neto]:[Importe Neto]],Imput[[C. Imp.]:[C. Imp.]],$D439,Imput[[PERIODO Imp.]:[PERIODO Imp.]],CD$9)</f>
        <v>0</v>
      </c>
      <c r="CE439" s="693">
        <f>SUMIFS(Imput[[Importe Neto]:[Importe Neto]],Imput[[C. Imp.]:[C. Imp.]],$D439,Imput[[PERIODO Imp.]:[PERIODO Imp.]],CE$9)</f>
        <v>0</v>
      </c>
      <c r="CF439" s="693">
        <f>SUMIFS(Imput[[Importe Neto]:[Importe Neto]],Imput[[C. Imp.]:[C. Imp.]],$D439,Imput[[PERIODO Imp.]:[PERIODO Imp.]],CF$9)</f>
        <v>0</v>
      </c>
      <c r="CG439" s="693">
        <f>SUMIFS(Imput[[Importe Neto]:[Importe Neto]],Imput[[C. Imp.]:[C. Imp.]],$D439,Imput[[PERIODO Imp.]:[PERIODO Imp.]],CG$9)</f>
        <v>0</v>
      </c>
      <c r="CH439" s="693">
        <f>SUMIFS(Imput[[Importe Neto]:[Importe Neto]],Imput[[C. Imp.]:[C. Imp.]],$D439,Imput[[PERIODO Imp.]:[PERIODO Imp.]],CH$9)</f>
        <v>0</v>
      </c>
      <c r="CI439" s="693">
        <f>SUMIFS(Imput[[Importe Neto]:[Importe Neto]],Imput[[C. Imp.]:[C. Imp.]],$D439,Imput[[PERIODO Imp.]:[PERIODO Imp.]],CI$9)</f>
        <v>0</v>
      </c>
      <c r="CJ439" s="693">
        <f>SUMIFS(Imput[[Importe Neto]:[Importe Neto]],Imput[[C. Imp.]:[C. Imp.]],$D439,Imput[[PERIODO Imp.]:[PERIODO Imp.]],CJ$9)</f>
        <v>0</v>
      </c>
      <c r="CK439" s="693">
        <f>SUMIFS(Imput[[Importe Neto]:[Importe Neto]],Imput[[C. Imp.]:[C. Imp.]],$D439,Imput[[PERIODO Imp.]:[PERIODO Imp.]],CK$9)</f>
        <v>0</v>
      </c>
      <c r="CL439" s="693">
        <f>SUMIFS(Imput[[Importe Neto]:[Importe Neto]],Imput[[C. Imp.]:[C. Imp.]],$D439,Imput[[PERIODO Imp.]:[PERIODO Imp.]],CL$9)</f>
        <v>0</v>
      </c>
      <c r="CM439" s="693">
        <f>SUMIFS(Imput[[Importe Neto]:[Importe Neto]],Imput[[C. Imp.]:[C. Imp.]],$D439,Imput[[PERIODO Imp.]:[PERIODO Imp.]],CM$9)</f>
        <v>0</v>
      </c>
      <c r="CN439" s="693">
        <f>SUMIFS(Imput[[Importe Neto]:[Importe Neto]],Imput[[C. Imp.]:[C. Imp.]],$D439,Imput[[PERIODO Imp.]:[PERIODO Imp.]],CN$9)</f>
        <v>0</v>
      </c>
      <c r="CO439" s="693">
        <f>SUMIFS(Imput[[Importe Neto]:[Importe Neto]],Imput[[C. Imp.]:[C. Imp.]],$D439,Imput[[PERIODO Imp.]:[PERIODO Imp.]],CO$9)</f>
        <v>0</v>
      </c>
      <c r="CP439" s="693">
        <f>SUMIFS(Imput[[Importe Neto]:[Importe Neto]],Imput[[C. Imp.]:[C. Imp.]],$D439,Imput[[PERIODO Imp.]:[PERIODO Imp.]],CP$9)</f>
        <v>0</v>
      </c>
      <c r="CQ439" s="693">
        <f>SUMIFS(Imput[[Importe Neto]:[Importe Neto]],Imput[[C. Imp.]:[C. Imp.]],$D439,Imput[[PERIODO Imp.]:[PERIODO Imp.]],CQ$9)</f>
        <v>0</v>
      </c>
      <c r="CR439" s="693">
        <f>SUMIFS(Imput[[Importe Neto]:[Importe Neto]],Imput[[C. Imp.]:[C. Imp.]],$D439,Imput[[PERIODO Imp.]:[PERIODO Imp.]],CR$9)</f>
        <v>0</v>
      </c>
      <c r="CS439" s="693">
        <f>SUMIFS(Imput[[Importe Neto]:[Importe Neto]],Imput[[C. Imp.]:[C. Imp.]],$D439,Imput[[PERIODO Imp.]:[PERIODO Imp.]],CS$9)</f>
        <v>0</v>
      </c>
      <c r="CT439" s="693">
        <f>SUMIFS(Imput[[Importe Neto]:[Importe Neto]],Imput[[C. Imp.]:[C. Imp.]],$D439,Imput[[PERIODO Imp.]:[PERIODO Imp.]],CT$9)</f>
        <v>0</v>
      </c>
      <c r="CU439" s="693">
        <f>SUMIFS(Imput[[Importe Neto]:[Importe Neto]],Imput[[C. Imp.]:[C. Imp.]],$D439,Imput[[PERIODO Imp.]:[PERIODO Imp.]],CU$9)</f>
        <v>0</v>
      </c>
      <c r="CV439" s="693">
        <f>SUMIFS(Imput[[Importe Neto]:[Importe Neto]],Imput[[C. Imp.]:[C. Imp.]],$D439,Imput[[PERIODO Imp.]:[PERIODO Imp.]],CV$9)</f>
        <v>0</v>
      </c>
      <c r="CW439" s="693">
        <f>SUMIFS(Imput[[Importe Neto]:[Importe Neto]],Imput[[C. Imp.]:[C. Imp.]],$D439,Imput[[PERIODO Imp.]:[PERIODO Imp.]],CW$9)</f>
        <v>0</v>
      </c>
      <c r="CX439" s="693">
        <f>SUMIFS(Imput[[Importe Neto]:[Importe Neto]],Imput[[C. Imp.]:[C. Imp.]],$D439,Imput[[PERIODO Imp.]:[PERIODO Imp.]],CX$9)</f>
        <v>0</v>
      </c>
      <c r="CY439" s="693">
        <f>SUMIFS(Imput[[Importe Neto]:[Importe Neto]],Imput[[C. Imp.]:[C. Imp.]],$D439,Imput[[PERIODO Imp.]:[PERIODO Imp.]],CY$9)</f>
        <v>0</v>
      </c>
      <c r="CZ439" s="693">
        <f>SUMIFS(Imput[[Importe Neto]:[Importe Neto]],Imput[[C. Imp.]:[C. Imp.]],$D439,Imput[[PERIODO Imp.]:[PERIODO Imp.]],CZ$9)</f>
        <v>0</v>
      </c>
      <c r="DA439" s="693">
        <f>SUMIFS(Imput[[Importe Neto]:[Importe Neto]],Imput[[C. Imp.]:[C. Imp.]],$D439,Imput[[PERIODO Imp.]:[PERIODO Imp.]],DA$9)</f>
        <v>0</v>
      </c>
      <c r="DB439" s="693">
        <f>SUMIFS(Imput[[Importe Neto]:[Importe Neto]],Imput[[C. Imp.]:[C. Imp.]],$D439,Imput[[PERIODO Imp.]:[PERIODO Imp.]],DB$9)</f>
        <v>0</v>
      </c>
      <c r="DC439" s="693">
        <f>SUMIFS(Imput[[Importe Neto]:[Importe Neto]],Imput[[C. Imp.]:[C. Imp.]],$D439,Imput[[PERIODO Imp.]:[PERIODO Imp.]],DC$9)</f>
        <v>0</v>
      </c>
      <c r="DD439" s="693">
        <f>SUMIFS(Imput[[Importe Neto]:[Importe Neto]],Imput[[C. Imp.]:[C. Imp.]],$D439,Imput[[PERIODO Imp.]:[PERIODO Imp.]],DD$9)</f>
        <v>0</v>
      </c>
      <c r="DE439" s="693">
        <f>SUMIFS(Imput[[Importe Neto]:[Importe Neto]],Imput[[C. Imp.]:[C. Imp.]],$D439,Imput[[PERIODO Imp.]:[PERIODO Imp.]],DE$9)</f>
        <v>0</v>
      </c>
      <c r="DF439" s="693">
        <f>SUMIFS(Imput[[Importe Neto]:[Importe Neto]],Imput[[C. Imp.]:[C. Imp.]],$D439,Imput[[PERIODO Imp.]:[PERIODO Imp.]],DF$9)</f>
        <v>0</v>
      </c>
      <c r="DG439" s="693">
        <f>SUMIFS(Imput[[Importe Neto]:[Importe Neto]],Imput[[C. Imp.]:[C. Imp.]],$D439,Imput[[PERIODO Imp.]:[PERIODO Imp.]],DG$9)</f>
        <v>0</v>
      </c>
      <c r="DH439" s="694">
        <f>SUMIFS(Imput[[Importe Neto]:[Importe Neto]],Imput[[C. Imp.]:[C. Imp.]],$D439,Imput[[PERIODO Imp.]:[PERIODO Imp.]],DH$9)</f>
        <v>0</v>
      </c>
    </row>
    <row r="440" spans="1:112" s="649" customFormat="1" ht="14.4" hidden="1" outlineLevel="1" thickBot="1" x14ac:dyDescent="0.35">
      <c r="A440" s="652" t="str">
        <f t="shared" si="171"/>
        <v/>
      </c>
      <c r="B440" s="652"/>
      <c r="C440" s="685"/>
      <c r="D440" s="686" t="s">
        <v>2492</v>
      </c>
      <c r="E440" s="686"/>
      <c r="F440" s="720"/>
      <c r="G440" s="688"/>
      <c r="H440" s="689"/>
      <c r="I440" s="851" t="str">
        <f t="shared" si="172"/>
        <v/>
      </c>
      <c r="J440" s="850" t="str">
        <f t="shared" si="173"/>
        <v/>
      </c>
      <c r="K440" s="667"/>
      <c r="L440" s="858"/>
      <c r="M440" s="859"/>
      <c r="N440" s="859"/>
      <c r="O440" s="859"/>
      <c r="P440" s="859"/>
      <c r="Q440" s="859"/>
      <c r="R440" s="859"/>
      <c r="S440" s="859"/>
      <c r="T440" s="859"/>
      <c r="U440" s="859"/>
      <c r="V440" s="859"/>
      <c r="W440" s="859"/>
      <c r="X440" s="859"/>
      <c r="Y440" s="859"/>
      <c r="Z440" s="860"/>
      <c r="AA440" s="860"/>
      <c r="AB440" s="860"/>
      <c r="AC440" s="860"/>
      <c r="AD440" s="860"/>
      <c r="AE440" s="860"/>
      <c r="AF440" s="860"/>
      <c r="AG440" s="860"/>
      <c r="AH440" s="860"/>
      <c r="AI440" s="860"/>
      <c r="AJ440" s="860"/>
      <c r="AK440" s="860"/>
      <c r="AL440" s="860"/>
      <c r="AM440" s="860"/>
      <c r="AN440" s="860"/>
      <c r="AO440" s="860"/>
      <c r="AP440" s="860"/>
      <c r="AQ440" s="860"/>
      <c r="AR440" s="860"/>
      <c r="AS440" s="860"/>
      <c r="AT440" s="860"/>
      <c r="AU440" s="860"/>
      <c r="AV440" s="860"/>
      <c r="AW440" s="860"/>
      <c r="AX440" s="860"/>
      <c r="AY440" s="860"/>
      <c r="AZ440" s="860"/>
      <c r="BA440" s="860"/>
      <c r="BB440" s="860"/>
      <c r="BC440" s="860"/>
      <c r="BD440" s="860"/>
      <c r="BE440" s="860"/>
      <c r="BF440" s="860"/>
      <c r="BG440" s="860"/>
      <c r="BH440" s="668"/>
      <c r="BI440" s="667"/>
      <c r="BJ440" s="690">
        <f t="shared" si="174"/>
        <v>0</v>
      </c>
      <c r="BK440" s="691">
        <f t="shared" si="175"/>
        <v>0</v>
      </c>
      <c r="BL440" s="654"/>
      <c r="BM440" s="692">
        <f>SUMIFS(Imput[[Importe Neto]:[Importe Neto]],Imput[[C. Imp.]:[C. Imp.]],$D440,Imput[[PERIODO Imp.]:[PERIODO Imp.]],BM$9)</f>
        <v>0</v>
      </c>
      <c r="BN440" s="693">
        <f>SUMIFS(Imput[[Importe Neto]:[Importe Neto]],Imput[[C. Imp.]:[C. Imp.]],$D440,Imput[[PERIODO Imp.]:[PERIODO Imp.]],BN$9)</f>
        <v>0</v>
      </c>
      <c r="BO440" s="693">
        <f>SUMIFS(Imput[[Importe Neto]:[Importe Neto]],Imput[[C. Imp.]:[C. Imp.]],$D440,Imput[[PERIODO Imp.]:[PERIODO Imp.]],BO$9)</f>
        <v>0</v>
      </c>
      <c r="BP440" s="693">
        <f>SUMIFS(Imput[[Importe Neto]:[Importe Neto]],Imput[[C. Imp.]:[C. Imp.]],$D440,Imput[[PERIODO Imp.]:[PERIODO Imp.]],BP$9)</f>
        <v>0</v>
      </c>
      <c r="BQ440" s="693">
        <f>SUMIFS(Imput[[Importe Neto]:[Importe Neto]],Imput[[C. Imp.]:[C. Imp.]],$D440,Imput[[PERIODO Imp.]:[PERIODO Imp.]],BQ$9)</f>
        <v>0</v>
      </c>
      <c r="BR440" s="693">
        <f>SUMIFS(Imput[[Importe Neto]:[Importe Neto]],Imput[[C. Imp.]:[C. Imp.]],$D440,Imput[[PERIODO Imp.]:[PERIODO Imp.]],BR$9)</f>
        <v>0</v>
      </c>
      <c r="BS440" s="693">
        <f>SUMIFS(Imput[[Importe Neto]:[Importe Neto]],Imput[[C. Imp.]:[C. Imp.]],$D440,Imput[[PERIODO Imp.]:[PERIODO Imp.]],BS$9)</f>
        <v>0</v>
      </c>
      <c r="BT440" s="693">
        <f>SUMIFS(Imput[[Importe Neto]:[Importe Neto]],Imput[[C. Imp.]:[C. Imp.]],$D440,Imput[[PERIODO Imp.]:[PERIODO Imp.]],BT$9)</f>
        <v>0</v>
      </c>
      <c r="BU440" s="693">
        <f>SUMIFS(Imput[[Importe Neto]:[Importe Neto]],Imput[[C. Imp.]:[C. Imp.]],$D440,Imput[[PERIODO Imp.]:[PERIODO Imp.]],BU$9)</f>
        <v>0</v>
      </c>
      <c r="BV440" s="693">
        <f>SUMIFS(Imput[[Importe Neto]:[Importe Neto]],Imput[[C. Imp.]:[C. Imp.]],$D440,Imput[[PERIODO Imp.]:[PERIODO Imp.]],BV$9)</f>
        <v>0</v>
      </c>
      <c r="BW440" s="693">
        <f>SUMIFS(Imput[[Importe Neto]:[Importe Neto]],Imput[[C. Imp.]:[C. Imp.]],$D440,Imput[[PERIODO Imp.]:[PERIODO Imp.]],BW$9)</f>
        <v>0</v>
      </c>
      <c r="BX440" s="693">
        <f>SUMIFS(Imput[[Importe Neto]:[Importe Neto]],Imput[[C. Imp.]:[C. Imp.]],$D440,Imput[[PERIODO Imp.]:[PERIODO Imp.]],BX$9)</f>
        <v>0</v>
      </c>
      <c r="BY440" s="693">
        <f>SUMIFS(Imput[[Importe Neto]:[Importe Neto]],Imput[[C. Imp.]:[C. Imp.]],$D440,Imput[[PERIODO Imp.]:[PERIODO Imp.]],BY$9)</f>
        <v>0</v>
      </c>
      <c r="BZ440" s="693">
        <f>SUMIFS(Imput[[Importe Neto]:[Importe Neto]],Imput[[C. Imp.]:[C. Imp.]],$D440,Imput[[PERIODO Imp.]:[PERIODO Imp.]],BZ$9)</f>
        <v>0</v>
      </c>
      <c r="CA440" s="693">
        <f>SUMIFS(Imput[[Importe Neto]:[Importe Neto]],Imput[[C. Imp.]:[C. Imp.]],$D440,Imput[[PERIODO Imp.]:[PERIODO Imp.]],CA$9)</f>
        <v>0</v>
      </c>
      <c r="CB440" s="693">
        <f>SUMIFS(Imput[[Importe Neto]:[Importe Neto]],Imput[[C. Imp.]:[C. Imp.]],$D440,Imput[[PERIODO Imp.]:[PERIODO Imp.]],CB$9)</f>
        <v>0</v>
      </c>
      <c r="CC440" s="693">
        <f>SUMIFS(Imput[[Importe Neto]:[Importe Neto]],Imput[[C. Imp.]:[C. Imp.]],$D440,Imput[[PERIODO Imp.]:[PERIODO Imp.]],CC$9)</f>
        <v>0</v>
      </c>
      <c r="CD440" s="693">
        <f>SUMIFS(Imput[[Importe Neto]:[Importe Neto]],Imput[[C. Imp.]:[C. Imp.]],$D440,Imput[[PERIODO Imp.]:[PERIODO Imp.]],CD$9)</f>
        <v>0</v>
      </c>
      <c r="CE440" s="693">
        <f>SUMIFS(Imput[[Importe Neto]:[Importe Neto]],Imput[[C. Imp.]:[C. Imp.]],$D440,Imput[[PERIODO Imp.]:[PERIODO Imp.]],CE$9)</f>
        <v>0</v>
      </c>
      <c r="CF440" s="693">
        <f>SUMIFS(Imput[[Importe Neto]:[Importe Neto]],Imput[[C. Imp.]:[C. Imp.]],$D440,Imput[[PERIODO Imp.]:[PERIODO Imp.]],CF$9)</f>
        <v>0</v>
      </c>
      <c r="CG440" s="693">
        <f>SUMIFS(Imput[[Importe Neto]:[Importe Neto]],Imput[[C. Imp.]:[C. Imp.]],$D440,Imput[[PERIODO Imp.]:[PERIODO Imp.]],CG$9)</f>
        <v>0</v>
      </c>
      <c r="CH440" s="693">
        <f>SUMIFS(Imput[[Importe Neto]:[Importe Neto]],Imput[[C. Imp.]:[C. Imp.]],$D440,Imput[[PERIODO Imp.]:[PERIODO Imp.]],CH$9)</f>
        <v>0</v>
      </c>
      <c r="CI440" s="693">
        <f>SUMIFS(Imput[[Importe Neto]:[Importe Neto]],Imput[[C. Imp.]:[C. Imp.]],$D440,Imput[[PERIODO Imp.]:[PERIODO Imp.]],CI$9)</f>
        <v>0</v>
      </c>
      <c r="CJ440" s="693">
        <f>SUMIFS(Imput[[Importe Neto]:[Importe Neto]],Imput[[C. Imp.]:[C. Imp.]],$D440,Imput[[PERIODO Imp.]:[PERIODO Imp.]],CJ$9)</f>
        <v>0</v>
      </c>
      <c r="CK440" s="693">
        <f>SUMIFS(Imput[[Importe Neto]:[Importe Neto]],Imput[[C. Imp.]:[C. Imp.]],$D440,Imput[[PERIODO Imp.]:[PERIODO Imp.]],CK$9)</f>
        <v>0</v>
      </c>
      <c r="CL440" s="693">
        <f>SUMIFS(Imput[[Importe Neto]:[Importe Neto]],Imput[[C. Imp.]:[C. Imp.]],$D440,Imput[[PERIODO Imp.]:[PERIODO Imp.]],CL$9)</f>
        <v>0</v>
      </c>
      <c r="CM440" s="693">
        <f>SUMIFS(Imput[[Importe Neto]:[Importe Neto]],Imput[[C. Imp.]:[C. Imp.]],$D440,Imput[[PERIODO Imp.]:[PERIODO Imp.]],CM$9)</f>
        <v>0</v>
      </c>
      <c r="CN440" s="693">
        <f>SUMIFS(Imput[[Importe Neto]:[Importe Neto]],Imput[[C. Imp.]:[C. Imp.]],$D440,Imput[[PERIODO Imp.]:[PERIODO Imp.]],CN$9)</f>
        <v>0</v>
      </c>
      <c r="CO440" s="693">
        <f>SUMIFS(Imput[[Importe Neto]:[Importe Neto]],Imput[[C. Imp.]:[C. Imp.]],$D440,Imput[[PERIODO Imp.]:[PERIODO Imp.]],CO$9)</f>
        <v>0</v>
      </c>
      <c r="CP440" s="693">
        <f>SUMIFS(Imput[[Importe Neto]:[Importe Neto]],Imput[[C. Imp.]:[C. Imp.]],$D440,Imput[[PERIODO Imp.]:[PERIODO Imp.]],CP$9)</f>
        <v>0</v>
      </c>
      <c r="CQ440" s="693">
        <f>SUMIFS(Imput[[Importe Neto]:[Importe Neto]],Imput[[C. Imp.]:[C. Imp.]],$D440,Imput[[PERIODO Imp.]:[PERIODO Imp.]],CQ$9)</f>
        <v>0</v>
      </c>
      <c r="CR440" s="693">
        <f>SUMIFS(Imput[[Importe Neto]:[Importe Neto]],Imput[[C. Imp.]:[C. Imp.]],$D440,Imput[[PERIODO Imp.]:[PERIODO Imp.]],CR$9)</f>
        <v>0</v>
      </c>
      <c r="CS440" s="693">
        <f>SUMIFS(Imput[[Importe Neto]:[Importe Neto]],Imput[[C. Imp.]:[C. Imp.]],$D440,Imput[[PERIODO Imp.]:[PERIODO Imp.]],CS$9)</f>
        <v>0</v>
      </c>
      <c r="CT440" s="693">
        <f>SUMIFS(Imput[[Importe Neto]:[Importe Neto]],Imput[[C. Imp.]:[C. Imp.]],$D440,Imput[[PERIODO Imp.]:[PERIODO Imp.]],CT$9)</f>
        <v>0</v>
      </c>
      <c r="CU440" s="693">
        <f>SUMIFS(Imput[[Importe Neto]:[Importe Neto]],Imput[[C. Imp.]:[C. Imp.]],$D440,Imput[[PERIODO Imp.]:[PERIODO Imp.]],CU$9)</f>
        <v>0</v>
      </c>
      <c r="CV440" s="693">
        <f>SUMIFS(Imput[[Importe Neto]:[Importe Neto]],Imput[[C. Imp.]:[C. Imp.]],$D440,Imput[[PERIODO Imp.]:[PERIODO Imp.]],CV$9)</f>
        <v>0</v>
      </c>
      <c r="CW440" s="693">
        <f>SUMIFS(Imput[[Importe Neto]:[Importe Neto]],Imput[[C. Imp.]:[C. Imp.]],$D440,Imput[[PERIODO Imp.]:[PERIODO Imp.]],CW$9)</f>
        <v>0</v>
      </c>
      <c r="CX440" s="693">
        <f>SUMIFS(Imput[[Importe Neto]:[Importe Neto]],Imput[[C. Imp.]:[C. Imp.]],$D440,Imput[[PERIODO Imp.]:[PERIODO Imp.]],CX$9)</f>
        <v>0</v>
      </c>
      <c r="CY440" s="693">
        <f>SUMIFS(Imput[[Importe Neto]:[Importe Neto]],Imput[[C. Imp.]:[C. Imp.]],$D440,Imput[[PERIODO Imp.]:[PERIODO Imp.]],CY$9)</f>
        <v>0</v>
      </c>
      <c r="CZ440" s="693">
        <f>SUMIFS(Imput[[Importe Neto]:[Importe Neto]],Imput[[C. Imp.]:[C. Imp.]],$D440,Imput[[PERIODO Imp.]:[PERIODO Imp.]],CZ$9)</f>
        <v>0</v>
      </c>
      <c r="DA440" s="693">
        <f>SUMIFS(Imput[[Importe Neto]:[Importe Neto]],Imput[[C. Imp.]:[C. Imp.]],$D440,Imput[[PERIODO Imp.]:[PERIODO Imp.]],DA$9)</f>
        <v>0</v>
      </c>
      <c r="DB440" s="693">
        <f>SUMIFS(Imput[[Importe Neto]:[Importe Neto]],Imput[[C. Imp.]:[C. Imp.]],$D440,Imput[[PERIODO Imp.]:[PERIODO Imp.]],DB$9)</f>
        <v>0</v>
      </c>
      <c r="DC440" s="693">
        <f>SUMIFS(Imput[[Importe Neto]:[Importe Neto]],Imput[[C. Imp.]:[C. Imp.]],$D440,Imput[[PERIODO Imp.]:[PERIODO Imp.]],DC$9)</f>
        <v>0</v>
      </c>
      <c r="DD440" s="693">
        <f>SUMIFS(Imput[[Importe Neto]:[Importe Neto]],Imput[[C. Imp.]:[C. Imp.]],$D440,Imput[[PERIODO Imp.]:[PERIODO Imp.]],DD$9)</f>
        <v>0</v>
      </c>
      <c r="DE440" s="693">
        <f>SUMIFS(Imput[[Importe Neto]:[Importe Neto]],Imput[[C. Imp.]:[C. Imp.]],$D440,Imput[[PERIODO Imp.]:[PERIODO Imp.]],DE$9)</f>
        <v>0</v>
      </c>
      <c r="DF440" s="693">
        <f>SUMIFS(Imput[[Importe Neto]:[Importe Neto]],Imput[[C. Imp.]:[C. Imp.]],$D440,Imput[[PERIODO Imp.]:[PERIODO Imp.]],DF$9)</f>
        <v>0</v>
      </c>
      <c r="DG440" s="693">
        <f>SUMIFS(Imput[[Importe Neto]:[Importe Neto]],Imput[[C. Imp.]:[C. Imp.]],$D440,Imput[[PERIODO Imp.]:[PERIODO Imp.]],DG$9)</f>
        <v>0</v>
      </c>
      <c r="DH440" s="694">
        <f>SUMIFS(Imput[[Importe Neto]:[Importe Neto]],Imput[[C. Imp.]:[C. Imp.]],$D440,Imput[[PERIODO Imp.]:[PERIODO Imp.]],DH$9)</f>
        <v>0</v>
      </c>
    </row>
    <row r="441" spans="1:112" s="649" customFormat="1" ht="14.4" hidden="1" outlineLevel="1" thickBot="1" x14ac:dyDescent="0.35">
      <c r="A441" s="652" t="str">
        <f t="shared" si="171"/>
        <v/>
      </c>
      <c r="B441" s="652"/>
      <c r="C441" s="685"/>
      <c r="D441" s="686" t="s">
        <v>2493</v>
      </c>
      <c r="E441" s="686"/>
      <c r="F441" s="720"/>
      <c r="G441" s="688"/>
      <c r="H441" s="689"/>
      <c r="I441" s="851" t="str">
        <f t="shared" si="172"/>
        <v/>
      </c>
      <c r="J441" s="850" t="str">
        <f t="shared" si="173"/>
        <v/>
      </c>
      <c r="K441" s="667"/>
      <c r="L441" s="858"/>
      <c r="M441" s="859"/>
      <c r="N441" s="859"/>
      <c r="O441" s="859"/>
      <c r="P441" s="859"/>
      <c r="Q441" s="859"/>
      <c r="R441" s="859"/>
      <c r="S441" s="859"/>
      <c r="T441" s="859"/>
      <c r="U441" s="859"/>
      <c r="V441" s="859"/>
      <c r="W441" s="859"/>
      <c r="X441" s="859"/>
      <c r="Y441" s="859"/>
      <c r="Z441" s="860"/>
      <c r="AA441" s="860"/>
      <c r="AB441" s="860"/>
      <c r="AC441" s="860"/>
      <c r="AD441" s="860"/>
      <c r="AE441" s="860"/>
      <c r="AF441" s="860"/>
      <c r="AG441" s="860"/>
      <c r="AH441" s="860"/>
      <c r="AI441" s="860"/>
      <c r="AJ441" s="860"/>
      <c r="AK441" s="860"/>
      <c r="AL441" s="860"/>
      <c r="AM441" s="860"/>
      <c r="AN441" s="860"/>
      <c r="AO441" s="860"/>
      <c r="AP441" s="860"/>
      <c r="AQ441" s="860"/>
      <c r="AR441" s="860"/>
      <c r="AS441" s="860"/>
      <c r="AT441" s="860"/>
      <c r="AU441" s="860"/>
      <c r="AV441" s="860"/>
      <c r="AW441" s="860"/>
      <c r="AX441" s="860"/>
      <c r="AY441" s="860"/>
      <c r="AZ441" s="860"/>
      <c r="BA441" s="860"/>
      <c r="BB441" s="860"/>
      <c r="BC441" s="860"/>
      <c r="BD441" s="860"/>
      <c r="BE441" s="860"/>
      <c r="BF441" s="860"/>
      <c r="BG441" s="860"/>
      <c r="BH441" s="668"/>
      <c r="BI441" s="667"/>
      <c r="BJ441" s="690">
        <f t="shared" si="174"/>
        <v>0</v>
      </c>
      <c r="BK441" s="691">
        <f t="shared" si="175"/>
        <v>0</v>
      </c>
      <c r="BL441" s="654"/>
      <c r="BM441" s="692">
        <f>SUMIFS(Imput[[Importe Neto]:[Importe Neto]],Imput[[C. Imp.]:[C. Imp.]],$D441,Imput[[PERIODO Imp.]:[PERIODO Imp.]],BM$9)</f>
        <v>0</v>
      </c>
      <c r="BN441" s="693">
        <f>SUMIFS(Imput[[Importe Neto]:[Importe Neto]],Imput[[C. Imp.]:[C. Imp.]],$D441,Imput[[PERIODO Imp.]:[PERIODO Imp.]],BN$9)</f>
        <v>0</v>
      </c>
      <c r="BO441" s="693">
        <f>SUMIFS(Imput[[Importe Neto]:[Importe Neto]],Imput[[C. Imp.]:[C. Imp.]],$D441,Imput[[PERIODO Imp.]:[PERIODO Imp.]],BO$9)</f>
        <v>0</v>
      </c>
      <c r="BP441" s="693">
        <f>SUMIFS(Imput[[Importe Neto]:[Importe Neto]],Imput[[C. Imp.]:[C. Imp.]],$D441,Imput[[PERIODO Imp.]:[PERIODO Imp.]],BP$9)</f>
        <v>0</v>
      </c>
      <c r="BQ441" s="693">
        <f>SUMIFS(Imput[[Importe Neto]:[Importe Neto]],Imput[[C. Imp.]:[C. Imp.]],$D441,Imput[[PERIODO Imp.]:[PERIODO Imp.]],BQ$9)</f>
        <v>0</v>
      </c>
      <c r="BR441" s="693">
        <f>SUMIFS(Imput[[Importe Neto]:[Importe Neto]],Imput[[C. Imp.]:[C. Imp.]],$D441,Imput[[PERIODO Imp.]:[PERIODO Imp.]],BR$9)</f>
        <v>0</v>
      </c>
      <c r="BS441" s="693">
        <f>SUMIFS(Imput[[Importe Neto]:[Importe Neto]],Imput[[C. Imp.]:[C. Imp.]],$D441,Imput[[PERIODO Imp.]:[PERIODO Imp.]],BS$9)</f>
        <v>0</v>
      </c>
      <c r="BT441" s="693">
        <f>SUMIFS(Imput[[Importe Neto]:[Importe Neto]],Imput[[C. Imp.]:[C. Imp.]],$D441,Imput[[PERIODO Imp.]:[PERIODO Imp.]],BT$9)</f>
        <v>0</v>
      </c>
      <c r="BU441" s="693">
        <f>SUMIFS(Imput[[Importe Neto]:[Importe Neto]],Imput[[C. Imp.]:[C. Imp.]],$D441,Imput[[PERIODO Imp.]:[PERIODO Imp.]],BU$9)</f>
        <v>0</v>
      </c>
      <c r="BV441" s="693">
        <f>SUMIFS(Imput[[Importe Neto]:[Importe Neto]],Imput[[C. Imp.]:[C. Imp.]],$D441,Imput[[PERIODO Imp.]:[PERIODO Imp.]],BV$9)</f>
        <v>0</v>
      </c>
      <c r="BW441" s="693">
        <f>SUMIFS(Imput[[Importe Neto]:[Importe Neto]],Imput[[C. Imp.]:[C. Imp.]],$D441,Imput[[PERIODO Imp.]:[PERIODO Imp.]],BW$9)</f>
        <v>0</v>
      </c>
      <c r="BX441" s="693">
        <f>SUMIFS(Imput[[Importe Neto]:[Importe Neto]],Imput[[C. Imp.]:[C. Imp.]],$D441,Imput[[PERIODO Imp.]:[PERIODO Imp.]],BX$9)</f>
        <v>0</v>
      </c>
      <c r="BY441" s="693">
        <f>SUMIFS(Imput[[Importe Neto]:[Importe Neto]],Imput[[C. Imp.]:[C. Imp.]],$D441,Imput[[PERIODO Imp.]:[PERIODO Imp.]],BY$9)</f>
        <v>0</v>
      </c>
      <c r="BZ441" s="693">
        <f>SUMIFS(Imput[[Importe Neto]:[Importe Neto]],Imput[[C. Imp.]:[C. Imp.]],$D441,Imput[[PERIODO Imp.]:[PERIODO Imp.]],BZ$9)</f>
        <v>0</v>
      </c>
      <c r="CA441" s="693">
        <f>SUMIFS(Imput[[Importe Neto]:[Importe Neto]],Imput[[C. Imp.]:[C. Imp.]],$D441,Imput[[PERIODO Imp.]:[PERIODO Imp.]],CA$9)</f>
        <v>0</v>
      </c>
      <c r="CB441" s="693">
        <f>SUMIFS(Imput[[Importe Neto]:[Importe Neto]],Imput[[C. Imp.]:[C. Imp.]],$D441,Imput[[PERIODO Imp.]:[PERIODO Imp.]],CB$9)</f>
        <v>0</v>
      </c>
      <c r="CC441" s="693">
        <f>SUMIFS(Imput[[Importe Neto]:[Importe Neto]],Imput[[C. Imp.]:[C. Imp.]],$D441,Imput[[PERIODO Imp.]:[PERIODO Imp.]],CC$9)</f>
        <v>0</v>
      </c>
      <c r="CD441" s="693">
        <f>SUMIFS(Imput[[Importe Neto]:[Importe Neto]],Imput[[C. Imp.]:[C. Imp.]],$D441,Imput[[PERIODO Imp.]:[PERIODO Imp.]],CD$9)</f>
        <v>0</v>
      </c>
      <c r="CE441" s="693">
        <f>SUMIFS(Imput[[Importe Neto]:[Importe Neto]],Imput[[C. Imp.]:[C. Imp.]],$D441,Imput[[PERIODO Imp.]:[PERIODO Imp.]],CE$9)</f>
        <v>0</v>
      </c>
      <c r="CF441" s="693">
        <f>SUMIFS(Imput[[Importe Neto]:[Importe Neto]],Imput[[C. Imp.]:[C. Imp.]],$D441,Imput[[PERIODO Imp.]:[PERIODO Imp.]],CF$9)</f>
        <v>0</v>
      </c>
      <c r="CG441" s="693">
        <f>SUMIFS(Imput[[Importe Neto]:[Importe Neto]],Imput[[C. Imp.]:[C. Imp.]],$D441,Imput[[PERIODO Imp.]:[PERIODO Imp.]],CG$9)</f>
        <v>0</v>
      </c>
      <c r="CH441" s="693">
        <f>SUMIFS(Imput[[Importe Neto]:[Importe Neto]],Imput[[C. Imp.]:[C. Imp.]],$D441,Imput[[PERIODO Imp.]:[PERIODO Imp.]],CH$9)</f>
        <v>0</v>
      </c>
      <c r="CI441" s="693">
        <f>SUMIFS(Imput[[Importe Neto]:[Importe Neto]],Imput[[C. Imp.]:[C. Imp.]],$D441,Imput[[PERIODO Imp.]:[PERIODO Imp.]],CI$9)</f>
        <v>0</v>
      </c>
      <c r="CJ441" s="693">
        <f>SUMIFS(Imput[[Importe Neto]:[Importe Neto]],Imput[[C. Imp.]:[C. Imp.]],$D441,Imput[[PERIODO Imp.]:[PERIODO Imp.]],CJ$9)</f>
        <v>0</v>
      </c>
      <c r="CK441" s="693">
        <f>SUMIFS(Imput[[Importe Neto]:[Importe Neto]],Imput[[C. Imp.]:[C. Imp.]],$D441,Imput[[PERIODO Imp.]:[PERIODO Imp.]],CK$9)</f>
        <v>0</v>
      </c>
      <c r="CL441" s="693">
        <f>SUMIFS(Imput[[Importe Neto]:[Importe Neto]],Imput[[C. Imp.]:[C. Imp.]],$D441,Imput[[PERIODO Imp.]:[PERIODO Imp.]],CL$9)</f>
        <v>0</v>
      </c>
      <c r="CM441" s="693">
        <f>SUMIFS(Imput[[Importe Neto]:[Importe Neto]],Imput[[C. Imp.]:[C. Imp.]],$D441,Imput[[PERIODO Imp.]:[PERIODO Imp.]],CM$9)</f>
        <v>0</v>
      </c>
      <c r="CN441" s="693">
        <f>SUMIFS(Imput[[Importe Neto]:[Importe Neto]],Imput[[C. Imp.]:[C. Imp.]],$D441,Imput[[PERIODO Imp.]:[PERIODO Imp.]],CN$9)</f>
        <v>0</v>
      </c>
      <c r="CO441" s="693">
        <f>SUMIFS(Imput[[Importe Neto]:[Importe Neto]],Imput[[C. Imp.]:[C. Imp.]],$D441,Imput[[PERIODO Imp.]:[PERIODO Imp.]],CO$9)</f>
        <v>0</v>
      </c>
      <c r="CP441" s="693">
        <f>SUMIFS(Imput[[Importe Neto]:[Importe Neto]],Imput[[C. Imp.]:[C. Imp.]],$D441,Imput[[PERIODO Imp.]:[PERIODO Imp.]],CP$9)</f>
        <v>0</v>
      </c>
      <c r="CQ441" s="693">
        <f>SUMIFS(Imput[[Importe Neto]:[Importe Neto]],Imput[[C. Imp.]:[C. Imp.]],$D441,Imput[[PERIODO Imp.]:[PERIODO Imp.]],CQ$9)</f>
        <v>0</v>
      </c>
      <c r="CR441" s="693">
        <f>SUMIFS(Imput[[Importe Neto]:[Importe Neto]],Imput[[C. Imp.]:[C. Imp.]],$D441,Imput[[PERIODO Imp.]:[PERIODO Imp.]],CR$9)</f>
        <v>0</v>
      </c>
      <c r="CS441" s="693">
        <f>SUMIFS(Imput[[Importe Neto]:[Importe Neto]],Imput[[C. Imp.]:[C. Imp.]],$D441,Imput[[PERIODO Imp.]:[PERIODO Imp.]],CS$9)</f>
        <v>0</v>
      </c>
      <c r="CT441" s="693">
        <f>SUMIFS(Imput[[Importe Neto]:[Importe Neto]],Imput[[C. Imp.]:[C. Imp.]],$D441,Imput[[PERIODO Imp.]:[PERIODO Imp.]],CT$9)</f>
        <v>0</v>
      </c>
      <c r="CU441" s="693">
        <f>SUMIFS(Imput[[Importe Neto]:[Importe Neto]],Imput[[C. Imp.]:[C. Imp.]],$D441,Imput[[PERIODO Imp.]:[PERIODO Imp.]],CU$9)</f>
        <v>0</v>
      </c>
      <c r="CV441" s="693">
        <f>SUMIFS(Imput[[Importe Neto]:[Importe Neto]],Imput[[C. Imp.]:[C. Imp.]],$D441,Imput[[PERIODO Imp.]:[PERIODO Imp.]],CV$9)</f>
        <v>0</v>
      </c>
      <c r="CW441" s="693">
        <f>SUMIFS(Imput[[Importe Neto]:[Importe Neto]],Imput[[C. Imp.]:[C. Imp.]],$D441,Imput[[PERIODO Imp.]:[PERIODO Imp.]],CW$9)</f>
        <v>0</v>
      </c>
      <c r="CX441" s="693">
        <f>SUMIFS(Imput[[Importe Neto]:[Importe Neto]],Imput[[C. Imp.]:[C. Imp.]],$D441,Imput[[PERIODO Imp.]:[PERIODO Imp.]],CX$9)</f>
        <v>0</v>
      </c>
      <c r="CY441" s="693">
        <f>SUMIFS(Imput[[Importe Neto]:[Importe Neto]],Imput[[C. Imp.]:[C. Imp.]],$D441,Imput[[PERIODO Imp.]:[PERIODO Imp.]],CY$9)</f>
        <v>0</v>
      </c>
      <c r="CZ441" s="693">
        <f>SUMIFS(Imput[[Importe Neto]:[Importe Neto]],Imput[[C. Imp.]:[C. Imp.]],$D441,Imput[[PERIODO Imp.]:[PERIODO Imp.]],CZ$9)</f>
        <v>0</v>
      </c>
      <c r="DA441" s="693">
        <f>SUMIFS(Imput[[Importe Neto]:[Importe Neto]],Imput[[C. Imp.]:[C. Imp.]],$D441,Imput[[PERIODO Imp.]:[PERIODO Imp.]],DA$9)</f>
        <v>0</v>
      </c>
      <c r="DB441" s="693">
        <f>SUMIFS(Imput[[Importe Neto]:[Importe Neto]],Imput[[C. Imp.]:[C. Imp.]],$D441,Imput[[PERIODO Imp.]:[PERIODO Imp.]],DB$9)</f>
        <v>0</v>
      </c>
      <c r="DC441" s="693">
        <f>SUMIFS(Imput[[Importe Neto]:[Importe Neto]],Imput[[C. Imp.]:[C. Imp.]],$D441,Imput[[PERIODO Imp.]:[PERIODO Imp.]],DC$9)</f>
        <v>0</v>
      </c>
      <c r="DD441" s="693">
        <f>SUMIFS(Imput[[Importe Neto]:[Importe Neto]],Imput[[C. Imp.]:[C. Imp.]],$D441,Imput[[PERIODO Imp.]:[PERIODO Imp.]],DD$9)</f>
        <v>0</v>
      </c>
      <c r="DE441" s="693">
        <f>SUMIFS(Imput[[Importe Neto]:[Importe Neto]],Imput[[C. Imp.]:[C. Imp.]],$D441,Imput[[PERIODO Imp.]:[PERIODO Imp.]],DE$9)</f>
        <v>0</v>
      </c>
      <c r="DF441" s="693">
        <f>SUMIFS(Imput[[Importe Neto]:[Importe Neto]],Imput[[C. Imp.]:[C. Imp.]],$D441,Imput[[PERIODO Imp.]:[PERIODO Imp.]],DF$9)</f>
        <v>0</v>
      </c>
      <c r="DG441" s="693">
        <f>SUMIFS(Imput[[Importe Neto]:[Importe Neto]],Imput[[C. Imp.]:[C. Imp.]],$D441,Imput[[PERIODO Imp.]:[PERIODO Imp.]],DG$9)</f>
        <v>0</v>
      </c>
      <c r="DH441" s="694">
        <f>SUMIFS(Imput[[Importe Neto]:[Importe Neto]],Imput[[C. Imp.]:[C. Imp.]],$D441,Imput[[PERIODO Imp.]:[PERIODO Imp.]],DH$9)</f>
        <v>0</v>
      </c>
    </row>
    <row r="442" spans="1:112" s="649" customFormat="1" ht="14.4" hidden="1" outlineLevel="1" thickBot="1" x14ac:dyDescent="0.35">
      <c r="A442" s="652" t="str">
        <f t="shared" si="171"/>
        <v/>
      </c>
      <c r="B442" s="652"/>
      <c r="C442" s="685"/>
      <c r="D442" s="686" t="s">
        <v>2494</v>
      </c>
      <c r="E442" s="686"/>
      <c r="F442" s="720"/>
      <c r="G442" s="688"/>
      <c r="H442" s="689"/>
      <c r="I442" s="851" t="str">
        <f t="shared" si="172"/>
        <v/>
      </c>
      <c r="J442" s="850" t="str">
        <f t="shared" si="173"/>
        <v/>
      </c>
      <c r="K442" s="667"/>
      <c r="L442" s="858"/>
      <c r="M442" s="859"/>
      <c r="N442" s="859"/>
      <c r="O442" s="859"/>
      <c r="P442" s="859"/>
      <c r="Q442" s="859"/>
      <c r="R442" s="859"/>
      <c r="S442" s="859"/>
      <c r="T442" s="859"/>
      <c r="U442" s="859"/>
      <c r="V442" s="859"/>
      <c r="W442" s="859"/>
      <c r="X442" s="859"/>
      <c r="Y442" s="859"/>
      <c r="Z442" s="860"/>
      <c r="AA442" s="860"/>
      <c r="AB442" s="860"/>
      <c r="AC442" s="860"/>
      <c r="AD442" s="860"/>
      <c r="AE442" s="860"/>
      <c r="AF442" s="860"/>
      <c r="AG442" s="860"/>
      <c r="AH442" s="860"/>
      <c r="AI442" s="860"/>
      <c r="AJ442" s="860"/>
      <c r="AK442" s="860"/>
      <c r="AL442" s="860"/>
      <c r="AM442" s="860"/>
      <c r="AN442" s="860"/>
      <c r="AO442" s="860"/>
      <c r="AP442" s="860"/>
      <c r="AQ442" s="860"/>
      <c r="AR442" s="860"/>
      <c r="AS442" s="860"/>
      <c r="AT442" s="860"/>
      <c r="AU442" s="860"/>
      <c r="AV442" s="860"/>
      <c r="AW442" s="860"/>
      <c r="AX442" s="860"/>
      <c r="AY442" s="860"/>
      <c r="AZ442" s="860"/>
      <c r="BA442" s="860"/>
      <c r="BB442" s="860"/>
      <c r="BC442" s="860"/>
      <c r="BD442" s="860"/>
      <c r="BE442" s="860"/>
      <c r="BF442" s="860"/>
      <c r="BG442" s="860"/>
      <c r="BH442" s="668"/>
      <c r="BI442" s="667"/>
      <c r="BJ442" s="690">
        <f t="shared" si="174"/>
        <v>0</v>
      </c>
      <c r="BK442" s="691">
        <f t="shared" si="175"/>
        <v>0</v>
      </c>
      <c r="BL442" s="654"/>
      <c r="BM442" s="692">
        <f>SUMIFS(Imput[[Importe Neto]:[Importe Neto]],Imput[[C. Imp.]:[C. Imp.]],$D442,Imput[[PERIODO Imp.]:[PERIODO Imp.]],BM$9)</f>
        <v>0</v>
      </c>
      <c r="BN442" s="693">
        <f>SUMIFS(Imput[[Importe Neto]:[Importe Neto]],Imput[[C. Imp.]:[C. Imp.]],$D442,Imput[[PERIODO Imp.]:[PERIODO Imp.]],BN$9)</f>
        <v>0</v>
      </c>
      <c r="BO442" s="693">
        <f>SUMIFS(Imput[[Importe Neto]:[Importe Neto]],Imput[[C. Imp.]:[C. Imp.]],$D442,Imput[[PERIODO Imp.]:[PERIODO Imp.]],BO$9)</f>
        <v>0</v>
      </c>
      <c r="BP442" s="693">
        <f>SUMIFS(Imput[[Importe Neto]:[Importe Neto]],Imput[[C. Imp.]:[C. Imp.]],$D442,Imput[[PERIODO Imp.]:[PERIODO Imp.]],BP$9)</f>
        <v>0</v>
      </c>
      <c r="BQ442" s="693">
        <f>SUMIFS(Imput[[Importe Neto]:[Importe Neto]],Imput[[C. Imp.]:[C. Imp.]],$D442,Imput[[PERIODO Imp.]:[PERIODO Imp.]],BQ$9)</f>
        <v>0</v>
      </c>
      <c r="BR442" s="693">
        <f>SUMIFS(Imput[[Importe Neto]:[Importe Neto]],Imput[[C. Imp.]:[C. Imp.]],$D442,Imput[[PERIODO Imp.]:[PERIODO Imp.]],BR$9)</f>
        <v>0</v>
      </c>
      <c r="BS442" s="693">
        <f>SUMIFS(Imput[[Importe Neto]:[Importe Neto]],Imput[[C. Imp.]:[C. Imp.]],$D442,Imput[[PERIODO Imp.]:[PERIODO Imp.]],BS$9)</f>
        <v>0</v>
      </c>
      <c r="BT442" s="693">
        <f>SUMIFS(Imput[[Importe Neto]:[Importe Neto]],Imput[[C. Imp.]:[C. Imp.]],$D442,Imput[[PERIODO Imp.]:[PERIODO Imp.]],BT$9)</f>
        <v>0</v>
      </c>
      <c r="BU442" s="693">
        <f>SUMIFS(Imput[[Importe Neto]:[Importe Neto]],Imput[[C. Imp.]:[C. Imp.]],$D442,Imput[[PERIODO Imp.]:[PERIODO Imp.]],BU$9)</f>
        <v>0</v>
      </c>
      <c r="BV442" s="693">
        <f>SUMIFS(Imput[[Importe Neto]:[Importe Neto]],Imput[[C. Imp.]:[C. Imp.]],$D442,Imput[[PERIODO Imp.]:[PERIODO Imp.]],BV$9)</f>
        <v>0</v>
      </c>
      <c r="BW442" s="693">
        <f>SUMIFS(Imput[[Importe Neto]:[Importe Neto]],Imput[[C. Imp.]:[C. Imp.]],$D442,Imput[[PERIODO Imp.]:[PERIODO Imp.]],BW$9)</f>
        <v>0</v>
      </c>
      <c r="BX442" s="693">
        <f>SUMIFS(Imput[[Importe Neto]:[Importe Neto]],Imput[[C. Imp.]:[C. Imp.]],$D442,Imput[[PERIODO Imp.]:[PERIODO Imp.]],BX$9)</f>
        <v>0</v>
      </c>
      <c r="BY442" s="693">
        <f>SUMIFS(Imput[[Importe Neto]:[Importe Neto]],Imput[[C. Imp.]:[C. Imp.]],$D442,Imput[[PERIODO Imp.]:[PERIODO Imp.]],BY$9)</f>
        <v>0</v>
      </c>
      <c r="BZ442" s="693">
        <f>SUMIFS(Imput[[Importe Neto]:[Importe Neto]],Imput[[C. Imp.]:[C. Imp.]],$D442,Imput[[PERIODO Imp.]:[PERIODO Imp.]],BZ$9)</f>
        <v>0</v>
      </c>
      <c r="CA442" s="693">
        <f>SUMIFS(Imput[[Importe Neto]:[Importe Neto]],Imput[[C. Imp.]:[C. Imp.]],$D442,Imput[[PERIODO Imp.]:[PERIODO Imp.]],CA$9)</f>
        <v>0</v>
      </c>
      <c r="CB442" s="693">
        <f>SUMIFS(Imput[[Importe Neto]:[Importe Neto]],Imput[[C. Imp.]:[C. Imp.]],$D442,Imput[[PERIODO Imp.]:[PERIODO Imp.]],CB$9)</f>
        <v>0</v>
      </c>
      <c r="CC442" s="693">
        <f>SUMIFS(Imput[[Importe Neto]:[Importe Neto]],Imput[[C. Imp.]:[C. Imp.]],$D442,Imput[[PERIODO Imp.]:[PERIODO Imp.]],CC$9)</f>
        <v>0</v>
      </c>
      <c r="CD442" s="693">
        <f>SUMIFS(Imput[[Importe Neto]:[Importe Neto]],Imput[[C. Imp.]:[C. Imp.]],$D442,Imput[[PERIODO Imp.]:[PERIODO Imp.]],CD$9)</f>
        <v>0</v>
      </c>
      <c r="CE442" s="693">
        <f>SUMIFS(Imput[[Importe Neto]:[Importe Neto]],Imput[[C. Imp.]:[C. Imp.]],$D442,Imput[[PERIODO Imp.]:[PERIODO Imp.]],CE$9)</f>
        <v>0</v>
      </c>
      <c r="CF442" s="693">
        <f>SUMIFS(Imput[[Importe Neto]:[Importe Neto]],Imput[[C. Imp.]:[C. Imp.]],$D442,Imput[[PERIODO Imp.]:[PERIODO Imp.]],CF$9)</f>
        <v>0</v>
      </c>
      <c r="CG442" s="693">
        <f>SUMIFS(Imput[[Importe Neto]:[Importe Neto]],Imput[[C. Imp.]:[C. Imp.]],$D442,Imput[[PERIODO Imp.]:[PERIODO Imp.]],CG$9)</f>
        <v>0</v>
      </c>
      <c r="CH442" s="693">
        <f>SUMIFS(Imput[[Importe Neto]:[Importe Neto]],Imput[[C. Imp.]:[C. Imp.]],$D442,Imput[[PERIODO Imp.]:[PERIODO Imp.]],CH$9)</f>
        <v>0</v>
      </c>
      <c r="CI442" s="693">
        <f>SUMIFS(Imput[[Importe Neto]:[Importe Neto]],Imput[[C. Imp.]:[C. Imp.]],$D442,Imput[[PERIODO Imp.]:[PERIODO Imp.]],CI$9)</f>
        <v>0</v>
      </c>
      <c r="CJ442" s="693">
        <f>SUMIFS(Imput[[Importe Neto]:[Importe Neto]],Imput[[C. Imp.]:[C. Imp.]],$D442,Imput[[PERIODO Imp.]:[PERIODO Imp.]],CJ$9)</f>
        <v>0</v>
      </c>
      <c r="CK442" s="693">
        <f>SUMIFS(Imput[[Importe Neto]:[Importe Neto]],Imput[[C. Imp.]:[C. Imp.]],$D442,Imput[[PERIODO Imp.]:[PERIODO Imp.]],CK$9)</f>
        <v>0</v>
      </c>
      <c r="CL442" s="693">
        <f>SUMIFS(Imput[[Importe Neto]:[Importe Neto]],Imput[[C. Imp.]:[C. Imp.]],$D442,Imput[[PERIODO Imp.]:[PERIODO Imp.]],CL$9)</f>
        <v>0</v>
      </c>
      <c r="CM442" s="693">
        <f>SUMIFS(Imput[[Importe Neto]:[Importe Neto]],Imput[[C. Imp.]:[C. Imp.]],$D442,Imput[[PERIODO Imp.]:[PERIODO Imp.]],CM$9)</f>
        <v>0</v>
      </c>
      <c r="CN442" s="693">
        <f>SUMIFS(Imput[[Importe Neto]:[Importe Neto]],Imput[[C. Imp.]:[C. Imp.]],$D442,Imput[[PERIODO Imp.]:[PERIODO Imp.]],CN$9)</f>
        <v>0</v>
      </c>
      <c r="CO442" s="693">
        <f>SUMIFS(Imput[[Importe Neto]:[Importe Neto]],Imput[[C. Imp.]:[C. Imp.]],$D442,Imput[[PERIODO Imp.]:[PERIODO Imp.]],CO$9)</f>
        <v>0</v>
      </c>
      <c r="CP442" s="693">
        <f>SUMIFS(Imput[[Importe Neto]:[Importe Neto]],Imput[[C. Imp.]:[C. Imp.]],$D442,Imput[[PERIODO Imp.]:[PERIODO Imp.]],CP$9)</f>
        <v>0</v>
      </c>
      <c r="CQ442" s="693">
        <f>SUMIFS(Imput[[Importe Neto]:[Importe Neto]],Imput[[C. Imp.]:[C. Imp.]],$D442,Imput[[PERIODO Imp.]:[PERIODO Imp.]],CQ$9)</f>
        <v>0</v>
      </c>
      <c r="CR442" s="693">
        <f>SUMIFS(Imput[[Importe Neto]:[Importe Neto]],Imput[[C. Imp.]:[C. Imp.]],$D442,Imput[[PERIODO Imp.]:[PERIODO Imp.]],CR$9)</f>
        <v>0</v>
      </c>
      <c r="CS442" s="693">
        <f>SUMIFS(Imput[[Importe Neto]:[Importe Neto]],Imput[[C. Imp.]:[C. Imp.]],$D442,Imput[[PERIODO Imp.]:[PERIODO Imp.]],CS$9)</f>
        <v>0</v>
      </c>
      <c r="CT442" s="693">
        <f>SUMIFS(Imput[[Importe Neto]:[Importe Neto]],Imput[[C. Imp.]:[C. Imp.]],$D442,Imput[[PERIODO Imp.]:[PERIODO Imp.]],CT$9)</f>
        <v>0</v>
      </c>
      <c r="CU442" s="693">
        <f>SUMIFS(Imput[[Importe Neto]:[Importe Neto]],Imput[[C. Imp.]:[C. Imp.]],$D442,Imput[[PERIODO Imp.]:[PERIODO Imp.]],CU$9)</f>
        <v>0</v>
      </c>
      <c r="CV442" s="693">
        <f>SUMIFS(Imput[[Importe Neto]:[Importe Neto]],Imput[[C. Imp.]:[C. Imp.]],$D442,Imput[[PERIODO Imp.]:[PERIODO Imp.]],CV$9)</f>
        <v>0</v>
      </c>
      <c r="CW442" s="693">
        <f>SUMIFS(Imput[[Importe Neto]:[Importe Neto]],Imput[[C. Imp.]:[C. Imp.]],$D442,Imput[[PERIODO Imp.]:[PERIODO Imp.]],CW$9)</f>
        <v>0</v>
      </c>
      <c r="CX442" s="693">
        <f>SUMIFS(Imput[[Importe Neto]:[Importe Neto]],Imput[[C. Imp.]:[C. Imp.]],$D442,Imput[[PERIODO Imp.]:[PERIODO Imp.]],CX$9)</f>
        <v>0</v>
      </c>
      <c r="CY442" s="693">
        <f>SUMIFS(Imput[[Importe Neto]:[Importe Neto]],Imput[[C. Imp.]:[C. Imp.]],$D442,Imput[[PERIODO Imp.]:[PERIODO Imp.]],CY$9)</f>
        <v>0</v>
      </c>
      <c r="CZ442" s="693">
        <f>SUMIFS(Imput[[Importe Neto]:[Importe Neto]],Imput[[C. Imp.]:[C. Imp.]],$D442,Imput[[PERIODO Imp.]:[PERIODO Imp.]],CZ$9)</f>
        <v>0</v>
      </c>
      <c r="DA442" s="693">
        <f>SUMIFS(Imput[[Importe Neto]:[Importe Neto]],Imput[[C. Imp.]:[C. Imp.]],$D442,Imput[[PERIODO Imp.]:[PERIODO Imp.]],DA$9)</f>
        <v>0</v>
      </c>
      <c r="DB442" s="693">
        <f>SUMIFS(Imput[[Importe Neto]:[Importe Neto]],Imput[[C. Imp.]:[C. Imp.]],$D442,Imput[[PERIODO Imp.]:[PERIODO Imp.]],DB$9)</f>
        <v>0</v>
      </c>
      <c r="DC442" s="693">
        <f>SUMIFS(Imput[[Importe Neto]:[Importe Neto]],Imput[[C. Imp.]:[C. Imp.]],$D442,Imput[[PERIODO Imp.]:[PERIODO Imp.]],DC$9)</f>
        <v>0</v>
      </c>
      <c r="DD442" s="693">
        <f>SUMIFS(Imput[[Importe Neto]:[Importe Neto]],Imput[[C. Imp.]:[C. Imp.]],$D442,Imput[[PERIODO Imp.]:[PERIODO Imp.]],DD$9)</f>
        <v>0</v>
      </c>
      <c r="DE442" s="693">
        <f>SUMIFS(Imput[[Importe Neto]:[Importe Neto]],Imput[[C. Imp.]:[C. Imp.]],$D442,Imput[[PERIODO Imp.]:[PERIODO Imp.]],DE$9)</f>
        <v>0</v>
      </c>
      <c r="DF442" s="693">
        <f>SUMIFS(Imput[[Importe Neto]:[Importe Neto]],Imput[[C. Imp.]:[C. Imp.]],$D442,Imput[[PERIODO Imp.]:[PERIODO Imp.]],DF$9)</f>
        <v>0</v>
      </c>
      <c r="DG442" s="693">
        <f>SUMIFS(Imput[[Importe Neto]:[Importe Neto]],Imput[[C. Imp.]:[C. Imp.]],$D442,Imput[[PERIODO Imp.]:[PERIODO Imp.]],DG$9)</f>
        <v>0</v>
      </c>
      <c r="DH442" s="694">
        <f>SUMIFS(Imput[[Importe Neto]:[Importe Neto]],Imput[[C. Imp.]:[C. Imp.]],$D442,Imput[[PERIODO Imp.]:[PERIODO Imp.]],DH$9)</f>
        <v>0</v>
      </c>
    </row>
    <row r="443" spans="1:112" s="649" customFormat="1" ht="14.4" hidden="1" outlineLevel="1" thickBot="1" x14ac:dyDescent="0.35">
      <c r="A443" s="652" t="str">
        <f t="shared" si="171"/>
        <v/>
      </c>
      <c r="B443" s="652"/>
      <c r="C443" s="685"/>
      <c r="D443" s="686" t="s">
        <v>2495</v>
      </c>
      <c r="E443" s="686"/>
      <c r="F443" s="720"/>
      <c r="G443" s="688"/>
      <c r="H443" s="689"/>
      <c r="I443" s="851" t="str">
        <f t="shared" si="172"/>
        <v/>
      </c>
      <c r="J443" s="850" t="str">
        <f t="shared" si="173"/>
        <v/>
      </c>
      <c r="K443" s="667"/>
      <c r="L443" s="858"/>
      <c r="M443" s="859"/>
      <c r="N443" s="859"/>
      <c r="O443" s="859"/>
      <c r="P443" s="859"/>
      <c r="Q443" s="859"/>
      <c r="R443" s="859"/>
      <c r="S443" s="859"/>
      <c r="T443" s="859"/>
      <c r="U443" s="859"/>
      <c r="V443" s="859"/>
      <c r="W443" s="859"/>
      <c r="X443" s="859"/>
      <c r="Y443" s="859"/>
      <c r="Z443" s="860"/>
      <c r="AA443" s="860"/>
      <c r="AB443" s="860"/>
      <c r="AC443" s="860"/>
      <c r="AD443" s="860"/>
      <c r="AE443" s="860"/>
      <c r="AF443" s="860"/>
      <c r="AG443" s="860"/>
      <c r="AH443" s="860"/>
      <c r="AI443" s="860"/>
      <c r="AJ443" s="860"/>
      <c r="AK443" s="860"/>
      <c r="AL443" s="860"/>
      <c r="AM443" s="860"/>
      <c r="AN443" s="860"/>
      <c r="AO443" s="860"/>
      <c r="AP443" s="860"/>
      <c r="AQ443" s="860"/>
      <c r="AR443" s="860"/>
      <c r="AS443" s="860"/>
      <c r="AT443" s="860"/>
      <c r="AU443" s="860"/>
      <c r="AV443" s="860"/>
      <c r="AW443" s="860"/>
      <c r="AX443" s="860"/>
      <c r="AY443" s="860"/>
      <c r="AZ443" s="860"/>
      <c r="BA443" s="860"/>
      <c r="BB443" s="860"/>
      <c r="BC443" s="860"/>
      <c r="BD443" s="860"/>
      <c r="BE443" s="860"/>
      <c r="BF443" s="860"/>
      <c r="BG443" s="860"/>
      <c r="BH443" s="668"/>
      <c r="BI443" s="667"/>
      <c r="BJ443" s="690">
        <f t="shared" si="174"/>
        <v>0</v>
      </c>
      <c r="BK443" s="691">
        <f t="shared" si="175"/>
        <v>0</v>
      </c>
      <c r="BL443" s="654"/>
      <c r="BM443" s="692">
        <f>SUMIFS(Imput[[Importe Neto]:[Importe Neto]],Imput[[C. Imp.]:[C. Imp.]],$D443,Imput[[PERIODO Imp.]:[PERIODO Imp.]],BM$9)</f>
        <v>0</v>
      </c>
      <c r="BN443" s="693">
        <f>SUMIFS(Imput[[Importe Neto]:[Importe Neto]],Imput[[C. Imp.]:[C. Imp.]],$D443,Imput[[PERIODO Imp.]:[PERIODO Imp.]],BN$9)</f>
        <v>0</v>
      </c>
      <c r="BO443" s="693">
        <f>SUMIFS(Imput[[Importe Neto]:[Importe Neto]],Imput[[C. Imp.]:[C. Imp.]],$D443,Imput[[PERIODO Imp.]:[PERIODO Imp.]],BO$9)</f>
        <v>0</v>
      </c>
      <c r="BP443" s="693">
        <f>SUMIFS(Imput[[Importe Neto]:[Importe Neto]],Imput[[C. Imp.]:[C. Imp.]],$D443,Imput[[PERIODO Imp.]:[PERIODO Imp.]],BP$9)</f>
        <v>0</v>
      </c>
      <c r="BQ443" s="693">
        <f>SUMIFS(Imput[[Importe Neto]:[Importe Neto]],Imput[[C. Imp.]:[C. Imp.]],$D443,Imput[[PERIODO Imp.]:[PERIODO Imp.]],BQ$9)</f>
        <v>0</v>
      </c>
      <c r="BR443" s="693">
        <f>SUMIFS(Imput[[Importe Neto]:[Importe Neto]],Imput[[C. Imp.]:[C. Imp.]],$D443,Imput[[PERIODO Imp.]:[PERIODO Imp.]],BR$9)</f>
        <v>0</v>
      </c>
      <c r="BS443" s="693">
        <f>SUMIFS(Imput[[Importe Neto]:[Importe Neto]],Imput[[C. Imp.]:[C. Imp.]],$D443,Imput[[PERIODO Imp.]:[PERIODO Imp.]],BS$9)</f>
        <v>0</v>
      </c>
      <c r="BT443" s="693">
        <f>SUMIFS(Imput[[Importe Neto]:[Importe Neto]],Imput[[C. Imp.]:[C. Imp.]],$D443,Imput[[PERIODO Imp.]:[PERIODO Imp.]],BT$9)</f>
        <v>0</v>
      </c>
      <c r="BU443" s="693">
        <f>SUMIFS(Imput[[Importe Neto]:[Importe Neto]],Imput[[C. Imp.]:[C. Imp.]],$D443,Imput[[PERIODO Imp.]:[PERIODO Imp.]],BU$9)</f>
        <v>0</v>
      </c>
      <c r="BV443" s="693">
        <f>SUMIFS(Imput[[Importe Neto]:[Importe Neto]],Imput[[C. Imp.]:[C. Imp.]],$D443,Imput[[PERIODO Imp.]:[PERIODO Imp.]],BV$9)</f>
        <v>0</v>
      </c>
      <c r="BW443" s="693">
        <f>SUMIFS(Imput[[Importe Neto]:[Importe Neto]],Imput[[C. Imp.]:[C. Imp.]],$D443,Imput[[PERIODO Imp.]:[PERIODO Imp.]],BW$9)</f>
        <v>0</v>
      </c>
      <c r="BX443" s="693">
        <f>SUMIFS(Imput[[Importe Neto]:[Importe Neto]],Imput[[C. Imp.]:[C. Imp.]],$D443,Imput[[PERIODO Imp.]:[PERIODO Imp.]],BX$9)</f>
        <v>0</v>
      </c>
      <c r="BY443" s="693">
        <f>SUMIFS(Imput[[Importe Neto]:[Importe Neto]],Imput[[C. Imp.]:[C. Imp.]],$D443,Imput[[PERIODO Imp.]:[PERIODO Imp.]],BY$9)</f>
        <v>0</v>
      </c>
      <c r="BZ443" s="693">
        <f>SUMIFS(Imput[[Importe Neto]:[Importe Neto]],Imput[[C. Imp.]:[C. Imp.]],$D443,Imput[[PERIODO Imp.]:[PERIODO Imp.]],BZ$9)</f>
        <v>0</v>
      </c>
      <c r="CA443" s="693">
        <f>SUMIFS(Imput[[Importe Neto]:[Importe Neto]],Imput[[C. Imp.]:[C. Imp.]],$D443,Imput[[PERIODO Imp.]:[PERIODO Imp.]],CA$9)</f>
        <v>0</v>
      </c>
      <c r="CB443" s="693">
        <f>SUMIFS(Imput[[Importe Neto]:[Importe Neto]],Imput[[C. Imp.]:[C. Imp.]],$D443,Imput[[PERIODO Imp.]:[PERIODO Imp.]],CB$9)</f>
        <v>0</v>
      </c>
      <c r="CC443" s="693">
        <f>SUMIFS(Imput[[Importe Neto]:[Importe Neto]],Imput[[C. Imp.]:[C. Imp.]],$D443,Imput[[PERIODO Imp.]:[PERIODO Imp.]],CC$9)</f>
        <v>0</v>
      </c>
      <c r="CD443" s="693">
        <f>SUMIFS(Imput[[Importe Neto]:[Importe Neto]],Imput[[C. Imp.]:[C. Imp.]],$D443,Imput[[PERIODO Imp.]:[PERIODO Imp.]],CD$9)</f>
        <v>0</v>
      </c>
      <c r="CE443" s="693">
        <f>SUMIFS(Imput[[Importe Neto]:[Importe Neto]],Imput[[C. Imp.]:[C. Imp.]],$D443,Imput[[PERIODO Imp.]:[PERIODO Imp.]],CE$9)</f>
        <v>0</v>
      </c>
      <c r="CF443" s="693">
        <f>SUMIFS(Imput[[Importe Neto]:[Importe Neto]],Imput[[C. Imp.]:[C. Imp.]],$D443,Imput[[PERIODO Imp.]:[PERIODO Imp.]],CF$9)</f>
        <v>0</v>
      </c>
      <c r="CG443" s="693">
        <f>SUMIFS(Imput[[Importe Neto]:[Importe Neto]],Imput[[C. Imp.]:[C. Imp.]],$D443,Imput[[PERIODO Imp.]:[PERIODO Imp.]],CG$9)</f>
        <v>0</v>
      </c>
      <c r="CH443" s="693">
        <f>SUMIFS(Imput[[Importe Neto]:[Importe Neto]],Imput[[C. Imp.]:[C. Imp.]],$D443,Imput[[PERIODO Imp.]:[PERIODO Imp.]],CH$9)</f>
        <v>0</v>
      </c>
      <c r="CI443" s="693">
        <f>SUMIFS(Imput[[Importe Neto]:[Importe Neto]],Imput[[C. Imp.]:[C. Imp.]],$D443,Imput[[PERIODO Imp.]:[PERIODO Imp.]],CI$9)</f>
        <v>0</v>
      </c>
      <c r="CJ443" s="693">
        <f>SUMIFS(Imput[[Importe Neto]:[Importe Neto]],Imput[[C. Imp.]:[C. Imp.]],$D443,Imput[[PERIODO Imp.]:[PERIODO Imp.]],CJ$9)</f>
        <v>0</v>
      </c>
      <c r="CK443" s="693">
        <f>SUMIFS(Imput[[Importe Neto]:[Importe Neto]],Imput[[C. Imp.]:[C. Imp.]],$D443,Imput[[PERIODO Imp.]:[PERIODO Imp.]],CK$9)</f>
        <v>0</v>
      </c>
      <c r="CL443" s="693">
        <f>SUMIFS(Imput[[Importe Neto]:[Importe Neto]],Imput[[C. Imp.]:[C. Imp.]],$D443,Imput[[PERIODO Imp.]:[PERIODO Imp.]],CL$9)</f>
        <v>0</v>
      </c>
      <c r="CM443" s="693">
        <f>SUMIFS(Imput[[Importe Neto]:[Importe Neto]],Imput[[C. Imp.]:[C. Imp.]],$D443,Imput[[PERIODO Imp.]:[PERIODO Imp.]],CM$9)</f>
        <v>0</v>
      </c>
      <c r="CN443" s="693">
        <f>SUMIFS(Imput[[Importe Neto]:[Importe Neto]],Imput[[C. Imp.]:[C. Imp.]],$D443,Imput[[PERIODO Imp.]:[PERIODO Imp.]],CN$9)</f>
        <v>0</v>
      </c>
      <c r="CO443" s="693">
        <f>SUMIFS(Imput[[Importe Neto]:[Importe Neto]],Imput[[C. Imp.]:[C. Imp.]],$D443,Imput[[PERIODO Imp.]:[PERIODO Imp.]],CO$9)</f>
        <v>0</v>
      </c>
      <c r="CP443" s="693">
        <f>SUMIFS(Imput[[Importe Neto]:[Importe Neto]],Imput[[C. Imp.]:[C. Imp.]],$D443,Imput[[PERIODO Imp.]:[PERIODO Imp.]],CP$9)</f>
        <v>0</v>
      </c>
      <c r="CQ443" s="693">
        <f>SUMIFS(Imput[[Importe Neto]:[Importe Neto]],Imput[[C. Imp.]:[C. Imp.]],$D443,Imput[[PERIODO Imp.]:[PERIODO Imp.]],CQ$9)</f>
        <v>0</v>
      </c>
      <c r="CR443" s="693">
        <f>SUMIFS(Imput[[Importe Neto]:[Importe Neto]],Imput[[C. Imp.]:[C. Imp.]],$D443,Imput[[PERIODO Imp.]:[PERIODO Imp.]],CR$9)</f>
        <v>0</v>
      </c>
      <c r="CS443" s="693">
        <f>SUMIFS(Imput[[Importe Neto]:[Importe Neto]],Imput[[C. Imp.]:[C. Imp.]],$D443,Imput[[PERIODO Imp.]:[PERIODO Imp.]],CS$9)</f>
        <v>0</v>
      </c>
      <c r="CT443" s="693">
        <f>SUMIFS(Imput[[Importe Neto]:[Importe Neto]],Imput[[C. Imp.]:[C. Imp.]],$D443,Imput[[PERIODO Imp.]:[PERIODO Imp.]],CT$9)</f>
        <v>0</v>
      </c>
      <c r="CU443" s="693">
        <f>SUMIFS(Imput[[Importe Neto]:[Importe Neto]],Imput[[C. Imp.]:[C. Imp.]],$D443,Imput[[PERIODO Imp.]:[PERIODO Imp.]],CU$9)</f>
        <v>0</v>
      </c>
      <c r="CV443" s="693">
        <f>SUMIFS(Imput[[Importe Neto]:[Importe Neto]],Imput[[C. Imp.]:[C. Imp.]],$D443,Imput[[PERIODO Imp.]:[PERIODO Imp.]],CV$9)</f>
        <v>0</v>
      </c>
      <c r="CW443" s="693">
        <f>SUMIFS(Imput[[Importe Neto]:[Importe Neto]],Imput[[C. Imp.]:[C. Imp.]],$D443,Imput[[PERIODO Imp.]:[PERIODO Imp.]],CW$9)</f>
        <v>0</v>
      </c>
      <c r="CX443" s="693">
        <f>SUMIFS(Imput[[Importe Neto]:[Importe Neto]],Imput[[C. Imp.]:[C. Imp.]],$D443,Imput[[PERIODO Imp.]:[PERIODO Imp.]],CX$9)</f>
        <v>0</v>
      </c>
      <c r="CY443" s="693">
        <f>SUMIFS(Imput[[Importe Neto]:[Importe Neto]],Imput[[C. Imp.]:[C. Imp.]],$D443,Imput[[PERIODO Imp.]:[PERIODO Imp.]],CY$9)</f>
        <v>0</v>
      </c>
      <c r="CZ443" s="693">
        <f>SUMIFS(Imput[[Importe Neto]:[Importe Neto]],Imput[[C. Imp.]:[C. Imp.]],$D443,Imput[[PERIODO Imp.]:[PERIODO Imp.]],CZ$9)</f>
        <v>0</v>
      </c>
      <c r="DA443" s="693">
        <f>SUMIFS(Imput[[Importe Neto]:[Importe Neto]],Imput[[C. Imp.]:[C. Imp.]],$D443,Imput[[PERIODO Imp.]:[PERIODO Imp.]],DA$9)</f>
        <v>0</v>
      </c>
      <c r="DB443" s="693">
        <f>SUMIFS(Imput[[Importe Neto]:[Importe Neto]],Imput[[C. Imp.]:[C. Imp.]],$D443,Imput[[PERIODO Imp.]:[PERIODO Imp.]],DB$9)</f>
        <v>0</v>
      </c>
      <c r="DC443" s="693">
        <f>SUMIFS(Imput[[Importe Neto]:[Importe Neto]],Imput[[C. Imp.]:[C. Imp.]],$D443,Imput[[PERIODO Imp.]:[PERIODO Imp.]],DC$9)</f>
        <v>0</v>
      </c>
      <c r="DD443" s="693">
        <f>SUMIFS(Imput[[Importe Neto]:[Importe Neto]],Imput[[C. Imp.]:[C. Imp.]],$D443,Imput[[PERIODO Imp.]:[PERIODO Imp.]],DD$9)</f>
        <v>0</v>
      </c>
      <c r="DE443" s="693">
        <f>SUMIFS(Imput[[Importe Neto]:[Importe Neto]],Imput[[C. Imp.]:[C. Imp.]],$D443,Imput[[PERIODO Imp.]:[PERIODO Imp.]],DE$9)</f>
        <v>0</v>
      </c>
      <c r="DF443" s="693">
        <f>SUMIFS(Imput[[Importe Neto]:[Importe Neto]],Imput[[C. Imp.]:[C. Imp.]],$D443,Imput[[PERIODO Imp.]:[PERIODO Imp.]],DF$9)</f>
        <v>0</v>
      </c>
      <c r="DG443" s="693">
        <f>SUMIFS(Imput[[Importe Neto]:[Importe Neto]],Imput[[C. Imp.]:[C. Imp.]],$D443,Imput[[PERIODO Imp.]:[PERIODO Imp.]],DG$9)</f>
        <v>0</v>
      </c>
      <c r="DH443" s="694">
        <f>SUMIFS(Imput[[Importe Neto]:[Importe Neto]],Imput[[C. Imp.]:[C. Imp.]],$D443,Imput[[PERIODO Imp.]:[PERIODO Imp.]],DH$9)</f>
        <v>0</v>
      </c>
    </row>
    <row r="444" spans="1:112" s="649" customFormat="1" ht="14.4" hidden="1" outlineLevel="1" thickBot="1" x14ac:dyDescent="0.35">
      <c r="A444" s="652" t="str">
        <f t="shared" si="171"/>
        <v/>
      </c>
      <c r="B444" s="652"/>
      <c r="C444" s="685"/>
      <c r="D444" s="686" t="s">
        <v>2496</v>
      </c>
      <c r="E444" s="686"/>
      <c r="F444" s="720"/>
      <c r="G444" s="688"/>
      <c r="H444" s="689"/>
      <c r="I444" s="851" t="str">
        <f t="shared" si="172"/>
        <v/>
      </c>
      <c r="J444" s="850" t="str">
        <f t="shared" si="173"/>
        <v/>
      </c>
      <c r="K444" s="667"/>
      <c r="L444" s="858"/>
      <c r="M444" s="859"/>
      <c r="N444" s="859"/>
      <c r="O444" s="859"/>
      <c r="P444" s="859"/>
      <c r="Q444" s="859"/>
      <c r="R444" s="859"/>
      <c r="S444" s="859"/>
      <c r="T444" s="859"/>
      <c r="U444" s="859"/>
      <c r="V444" s="859"/>
      <c r="W444" s="859"/>
      <c r="X444" s="859"/>
      <c r="Y444" s="859"/>
      <c r="Z444" s="860"/>
      <c r="AA444" s="860"/>
      <c r="AB444" s="860"/>
      <c r="AC444" s="860"/>
      <c r="AD444" s="860"/>
      <c r="AE444" s="860"/>
      <c r="AF444" s="860"/>
      <c r="AG444" s="860"/>
      <c r="AH444" s="860"/>
      <c r="AI444" s="860"/>
      <c r="AJ444" s="860"/>
      <c r="AK444" s="860"/>
      <c r="AL444" s="860"/>
      <c r="AM444" s="860"/>
      <c r="AN444" s="860"/>
      <c r="AO444" s="860"/>
      <c r="AP444" s="860"/>
      <c r="AQ444" s="860"/>
      <c r="AR444" s="860"/>
      <c r="AS444" s="860"/>
      <c r="AT444" s="860"/>
      <c r="AU444" s="860"/>
      <c r="AV444" s="860"/>
      <c r="AW444" s="860"/>
      <c r="AX444" s="860"/>
      <c r="AY444" s="860"/>
      <c r="AZ444" s="860"/>
      <c r="BA444" s="860"/>
      <c r="BB444" s="860"/>
      <c r="BC444" s="860"/>
      <c r="BD444" s="860"/>
      <c r="BE444" s="860"/>
      <c r="BF444" s="860"/>
      <c r="BG444" s="860"/>
      <c r="BH444" s="668"/>
      <c r="BI444" s="667"/>
      <c r="BJ444" s="690">
        <f t="shared" si="174"/>
        <v>0</v>
      </c>
      <c r="BK444" s="691">
        <f t="shared" si="175"/>
        <v>0</v>
      </c>
      <c r="BL444" s="654"/>
      <c r="BM444" s="692">
        <f>SUMIFS(Imput[[Importe Neto]:[Importe Neto]],Imput[[C. Imp.]:[C. Imp.]],$D444,Imput[[PERIODO Imp.]:[PERIODO Imp.]],BM$9)</f>
        <v>0</v>
      </c>
      <c r="BN444" s="693">
        <f>SUMIFS(Imput[[Importe Neto]:[Importe Neto]],Imput[[C. Imp.]:[C. Imp.]],$D444,Imput[[PERIODO Imp.]:[PERIODO Imp.]],BN$9)</f>
        <v>0</v>
      </c>
      <c r="BO444" s="693">
        <f>SUMIFS(Imput[[Importe Neto]:[Importe Neto]],Imput[[C. Imp.]:[C. Imp.]],$D444,Imput[[PERIODO Imp.]:[PERIODO Imp.]],BO$9)</f>
        <v>0</v>
      </c>
      <c r="BP444" s="693">
        <f>SUMIFS(Imput[[Importe Neto]:[Importe Neto]],Imput[[C. Imp.]:[C. Imp.]],$D444,Imput[[PERIODO Imp.]:[PERIODO Imp.]],BP$9)</f>
        <v>0</v>
      </c>
      <c r="BQ444" s="693">
        <f>SUMIFS(Imput[[Importe Neto]:[Importe Neto]],Imput[[C. Imp.]:[C. Imp.]],$D444,Imput[[PERIODO Imp.]:[PERIODO Imp.]],BQ$9)</f>
        <v>0</v>
      </c>
      <c r="BR444" s="693">
        <f>SUMIFS(Imput[[Importe Neto]:[Importe Neto]],Imput[[C. Imp.]:[C. Imp.]],$D444,Imput[[PERIODO Imp.]:[PERIODO Imp.]],BR$9)</f>
        <v>0</v>
      </c>
      <c r="BS444" s="693">
        <f>SUMIFS(Imput[[Importe Neto]:[Importe Neto]],Imput[[C. Imp.]:[C. Imp.]],$D444,Imput[[PERIODO Imp.]:[PERIODO Imp.]],BS$9)</f>
        <v>0</v>
      </c>
      <c r="BT444" s="693">
        <f>SUMIFS(Imput[[Importe Neto]:[Importe Neto]],Imput[[C. Imp.]:[C. Imp.]],$D444,Imput[[PERIODO Imp.]:[PERIODO Imp.]],BT$9)</f>
        <v>0</v>
      </c>
      <c r="BU444" s="693">
        <f>SUMIFS(Imput[[Importe Neto]:[Importe Neto]],Imput[[C. Imp.]:[C. Imp.]],$D444,Imput[[PERIODO Imp.]:[PERIODO Imp.]],BU$9)</f>
        <v>0</v>
      </c>
      <c r="BV444" s="693">
        <f>SUMIFS(Imput[[Importe Neto]:[Importe Neto]],Imput[[C. Imp.]:[C. Imp.]],$D444,Imput[[PERIODO Imp.]:[PERIODO Imp.]],BV$9)</f>
        <v>0</v>
      </c>
      <c r="BW444" s="693">
        <f>SUMIFS(Imput[[Importe Neto]:[Importe Neto]],Imput[[C. Imp.]:[C. Imp.]],$D444,Imput[[PERIODO Imp.]:[PERIODO Imp.]],BW$9)</f>
        <v>0</v>
      </c>
      <c r="BX444" s="693">
        <f>SUMIFS(Imput[[Importe Neto]:[Importe Neto]],Imput[[C. Imp.]:[C. Imp.]],$D444,Imput[[PERIODO Imp.]:[PERIODO Imp.]],BX$9)</f>
        <v>0</v>
      </c>
      <c r="BY444" s="693">
        <f>SUMIFS(Imput[[Importe Neto]:[Importe Neto]],Imput[[C. Imp.]:[C. Imp.]],$D444,Imput[[PERIODO Imp.]:[PERIODO Imp.]],BY$9)</f>
        <v>0</v>
      </c>
      <c r="BZ444" s="693">
        <f>SUMIFS(Imput[[Importe Neto]:[Importe Neto]],Imput[[C. Imp.]:[C. Imp.]],$D444,Imput[[PERIODO Imp.]:[PERIODO Imp.]],BZ$9)</f>
        <v>0</v>
      </c>
      <c r="CA444" s="693">
        <f>SUMIFS(Imput[[Importe Neto]:[Importe Neto]],Imput[[C. Imp.]:[C. Imp.]],$D444,Imput[[PERIODO Imp.]:[PERIODO Imp.]],CA$9)</f>
        <v>0</v>
      </c>
      <c r="CB444" s="693">
        <f>SUMIFS(Imput[[Importe Neto]:[Importe Neto]],Imput[[C. Imp.]:[C. Imp.]],$D444,Imput[[PERIODO Imp.]:[PERIODO Imp.]],CB$9)</f>
        <v>0</v>
      </c>
      <c r="CC444" s="693">
        <f>SUMIFS(Imput[[Importe Neto]:[Importe Neto]],Imput[[C. Imp.]:[C. Imp.]],$D444,Imput[[PERIODO Imp.]:[PERIODO Imp.]],CC$9)</f>
        <v>0</v>
      </c>
      <c r="CD444" s="693">
        <f>SUMIFS(Imput[[Importe Neto]:[Importe Neto]],Imput[[C. Imp.]:[C. Imp.]],$D444,Imput[[PERIODO Imp.]:[PERIODO Imp.]],CD$9)</f>
        <v>0</v>
      </c>
      <c r="CE444" s="693">
        <f>SUMIFS(Imput[[Importe Neto]:[Importe Neto]],Imput[[C. Imp.]:[C. Imp.]],$D444,Imput[[PERIODO Imp.]:[PERIODO Imp.]],CE$9)</f>
        <v>0</v>
      </c>
      <c r="CF444" s="693">
        <f>SUMIFS(Imput[[Importe Neto]:[Importe Neto]],Imput[[C. Imp.]:[C. Imp.]],$D444,Imput[[PERIODO Imp.]:[PERIODO Imp.]],CF$9)</f>
        <v>0</v>
      </c>
      <c r="CG444" s="693">
        <f>SUMIFS(Imput[[Importe Neto]:[Importe Neto]],Imput[[C. Imp.]:[C. Imp.]],$D444,Imput[[PERIODO Imp.]:[PERIODO Imp.]],CG$9)</f>
        <v>0</v>
      </c>
      <c r="CH444" s="693">
        <f>SUMIFS(Imput[[Importe Neto]:[Importe Neto]],Imput[[C. Imp.]:[C. Imp.]],$D444,Imput[[PERIODO Imp.]:[PERIODO Imp.]],CH$9)</f>
        <v>0</v>
      </c>
      <c r="CI444" s="693">
        <f>SUMIFS(Imput[[Importe Neto]:[Importe Neto]],Imput[[C. Imp.]:[C. Imp.]],$D444,Imput[[PERIODO Imp.]:[PERIODO Imp.]],CI$9)</f>
        <v>0</v>
      </c>
      <c r="CJ444" s="693">
        <f>SUMIFS(Imput[[Importe Neto]:[Importe Neto]],Imput[[C. Imp.]:[C. Imp.]],$D444,Imput[[PERIODO Imp.]:[PERIODO Imp.]],CJ$9)</f>
        <v>0</v>
      </c>
      <c r="CK444" s="693">
        <f>SUMIFS(Imput[[Importe Neto]:[Importe Neto]],Imput[[C. Imp.]:[C. Imp.]],$D444,Imput[[PERIODO Imp.]:[PERIODO Imp.]],CK$9)</f>
        <v>0</v>
      </c>
      <c r="CL444" s="693">
        <f>SUMIFS(Imput[[Importe Neto]:[Importe Neto]],Imput[[C. Imp.]:[C. Imp.]],$D444,Imput[[PERIODO Imp.]:[PERIODO Imp.]],CL$9)</f>
        <v>0</v>
      </c>
      <c r="CM444" s="693">
        <f>SUMIFS(Imput[[Importe Neto]:[Importe Neto]],Imput[[C. Imp.]:[C. Imp.]],$D444,Imput[[PERIODO Imp.]:[PERIODO Imp.]],CM$9)</f>
        <v>0</v>
      </c>
      <c r="CN444" s="693">
        <f>SUMIFS(Imput[[Importe Neto]:[Importe Neto]],Imput[[C. Imp.]:[C. Imp.]],$D444,Imput[[PERIODO Imp.]:[PERIODO Imp.]],CN$9)</f>
        <v>0</v>
      </c>
      <c r="CO444" s="693">
        <f>SUMIFS(Imput[[Importe Neto]:[Importe Neto]],Imput[[C. Imp.]:[C. Imp.]],$D444,Imput[[PERIODO Imp.]:[PERIODO Imp.]],CO$9)</f>
        <v>0</v>
      </c>
      <c r="CP444" s="693">
        <f>SUMIFS(Imput[[Importe Neto]:[Importe Neto]],Imput[[C. Imp.]:[C. Imp.]],$D444,Imput[[PERIODO Imp.]:[PERIODO Imp.]],CP$9)</f>
        <v>0</v>
      </c>
      <c r="CQ444" s="693">
        <f>SUMIFS(Imput[[Importe Neto]:[Importe Neto]],Imput[[C. Imp.]:[C. Imp.]],$D444,Imput[[PERIODO Imp.]:[PERIODO Imp.]],CQ$9)</f>
        <v>0</v>
      </c>
      <c r="CR444" s="693">
        <f>SUMIFS(Imput[[Importe Neto]:[Importe Neto]],Imput[[C. Imp.]:[C. Imp.]],$D444,Imput[[PERIODO Imp.]:[PERIODO Imp.]],CR$9)</f>
        <v>0</v>
      </c>
      <c r="CS444" s="693">
        <f>SUMIFS(Imput[[Importe Neto]:[Importe Neto]],Imput[[C. Imp.]:[C. Imp.]],$D444,Imput[[PERIODO Imp.]:[PERIODO Imp.]],CS$9)</f>
        <v>0</v>
      </c>
      <c r="CT444" s="693">
        <f>SUMIFS(Imput[[Importe Neto]:[Importe Neto]],Imput[[C. Imp.]:[C. Imp.]],$D444,Imput[[PERIODO Imp.]:[PERIODO Imp.]],CT$9)</f>
        <v>0</v>
      </c>
      <c r="CU444" s="693">
        <f>SUMIFS(Imput[[Importe Neto]:[Importe Neto]],Imput[[C. Imp.]:[C. Imp.]],$D444,Imput[[PERIODO Imp.]:[PERIODO Imp.]],CU$9)</f>
        <v>0</v>
      </c>
      <c r="CV444" s="693">
        <f>SUMIFS(Imput[[Importe Neto]:[Importe Neto]],Imput[[C. Imp.]:[C. Imp.]],$D444,Imput[[PERIODO Imp.]:[PERIODO Imp.]],CV$9)</f>
        <v>0</v>
      </c>
      <c r="CW444" s="693">
        <f>SUMIFS(Imput[[Importe Neto]:[Importe Neto]],Imput[[C. Imp.]:[C. Imp.]],$D444,Imput[[PERIODO Imp.]:[PERIODO Imp.]],CW$9)</f>
        <v>0</v>
      </c>
      <c r="CX444" s="693">
        <f>SUMIFS(Imput[[Importe Neto]:[Importe Neto]],Imput[[C. Imp.]:[C. Imp.]],$D444,Imput[[PERIODO Imp.]:[PERIODO Imp.]],CX$9)</f>
        <v>0</v>
      </c>
      <c r="CY444" s="693">
        <f>SUMIFS(Imput[[Importe Neto]:[Importe Neto]],Imput[[C. Imp.]:[C. Imp.]],$D444,Imput[[PERIODO Imp.]:[PERIODO Imp.]],CY$9)</f>
        <v>0</v>
      </c>
      <c r="CZ444" s="693">
        <f>SUMIFS(Imput[[Importe Neto]:[Importe Neto]],Imput[[C. Imp.]:[C. Imp.]],$D444,Imput[[PERIODO Imp.]:[PERIODO Imp.]],CZ$9)</f>
        <v>0</v>
      </c>
      <c r="DA444" s="693">
        <f>SUMIFS(Imput[[Importe Neto]:[Importe Neto]],Imput[[C. Imp.]:[C. Imp.]],$D444,Imput[[PERIODO Imp.]:[PERIODO Imp.]],DA$9)</f>
        <v>0</v>
      </c>
      <c r="DB444" s="693">
        <f>SUMIFS(Imput[[Importe Neto]:[Importe Neto]],Imput[[C. Imp.]:[C. Imp.]],$D444,Imput[[PERIODO Imp.]:[PERIODO Imp.]],DB$9)</f>
        <v>0</v>
      </c>
      <c r="DC444" s="693">
        <f>SUMIFS(Imput[[Importe Neto]:[Importe Neto]],Imput[[C. Imp.]:[C. Imp.]],$D444,Imput[[PERIODO Imp.]:[PERIODO Imp.]],DC$9)</f>
        <v>0</v>
      </c>
      <c r="DD444" s="693">
        <f>SUMIFS(Imput[[Importe Neto]:[Importe Neto]],Imput[[C. Imp.]:[C. Imp.]],$D444,Imput[[PERIODO Imp.]:[PERIODO Imp.]],DD$9)</f>
        <v>0</v>
      </c>
      <c r="DE444" s="693">
        <f>SUMIFS(Imput[[Importe Neto]:[Importe Neto]],Imput[[C. Imp.]:[C. Imp.]],$D444,Imput[[PERIODO Imp.]:[PERIODO Imp.]],DE$9)</f>
        <v>0</v>
      </c>
      <c r="DF444" s="693">
        <f>SUMIFS(Imput[[Importe Neto]:[Importe Neto]],Imput[[C. Imp.]:[C. Imp.]],$D444,Imput[[PERIODO Imp.]:[PERIODO Imp.]],DF$9)</f>
        <v>0</v>
      </c>
      <c r="DG444" s="693">
        <f>SUMIFS(Imput[[Importe Neto]:[Importe Neto]],Imput[[C. Imp.]:[C. Imp.]],$D444,Imput[[PERIODO Imp.]:[PERIODO Imp.]],DG$9)</f>
        <v>0</v>
      </c>
      <c r="DH444" s="694">
        <f>SUMIFS(Imput[[Importe Neto]:[Importe Neto]],Imput[[C. Imp.]:[C. Imp.]],$D444,Imput[[PERIODO Imp.]:[PERIODO Imp.]],DH$9)</f>
        <v>0</v>
      </c>
    </row>
    <row r="445" spans="1:112" s="649" customFormat="1" ht="14.4" hidden="1" outlineLevel="1" thickBot="1" x14ac:dyDescent="0.35">
      <c r="A445" s="652" t="str">
        <f>IF(J423&gt;0,"Imprimir","")</f>
        <v/>
      </c>
      <c r="B445" s="652"/>
      <c r="C445" s="699"/>
      <c r="D445" s="700"/>
      <c r="E445" s="700"/>
      <c r="F445" s="701"/>
      <c r="G445" s="702"/>
      <c r="H445" s="703"/>
      <c r="I445" s="704"/>
      <c r="J445" s="117"/>
      <c r="K445" s="667"/>
      <c r="L445" s="706"/>
      <c r="M445" s="707"/>
      <c r="N445" s="777"/>
      <c r="O445" s="777"/>
      <c r="P445" s="778"/>
      <c r="Q445" s="778"/>
      <c r="R445" s="708"/>
      <c r="S445" s="708"/>
      <c r="T445" s="779"/>
      <c r="U445" s="779"/>
      <c r="V445" s="778"/>
      <c r="W445" s="778"/>
      <c r="X445" s="708"/>
      <c r="Y445" s="708"/>
      <c r="Z445" s="708"/>
      <c r="AA445" s="708"/>
      <c r="AB445" s="708"/>
      <c r="AC445" s="708"/>
      <c r="AD445" s="708"/>
      <c r="AE445" s="708"/>
      <c r="AF445" s="708"/>
      <c r="AG445" s="708"/>
      <c r="AH445" s="708"/>
      <c r="AI445" s="708"/>
      <c r="AJ445" s="708"/>
      <c r="AK445" s="708"/>
      <c r="AL445" s="708"/>
      <c r="AM445" s="708"/>
      <c r="AN445" s="708"/>
      <c r="AO445" s="708"/>
      <c r="AP445" s="708"/>
      <c r="AQ445" s="708"/>
      <c r="AR445" s="708"/>
      <c r="AS445" s="708"/>
      <c r="AT445" s="708"/>
      <c r="AU445" s="708"/>
      <c r="AV445" s="708"/>
      <c r="AW445" s="708"/>
      <c r="AX445" s="708"/>
      <c r="AY445" s="708"/>
      <c r="AZ445" s="708"/>
      <c r="BA445" s="708"/>
      <c r="BB445" s="708"/>
      <c r="BC445" s="708"/>
      <c r="BD445" s="708"/>
      <c r="BE445" s="708"/>
      <c r="BF445" s="708"/>
      <c r="BG445" s="708"/>
      <c r="BH445" s="780"/>
      <c r="BI445" s="654"/>
      <c r="BJ445" s="709"/>
      <c r="BK445" s="710"/>
      <c r="BL445" s="654"/>
      <c r="BM445" s="731"/>
      <c r="BN445" s="701"/>
      <c r="BO445" s="701"/>
      <c r="BP445" s="701"/>
      <c r="BQ445" s="701"/>
      <c r="BR445" s="701"/>
      <c r="BS445" s="701"/>
      <c r="BT445" s="701"/>
      <c r="BU445" s="701"/>
      <c r="BV445" s="701"/>
      <c r="BW445" s="701"/>
      <c r="BX445" s="701"/>
      <c r="BY445" s="701"/>
      <c r="BZ445" s="701"/>
      <c r="CA445" s="701"/>
      <c r="CB445" s="701"/>
      <c r="CC445" s="701"/>
      <c r="CD445" s="701"/>
      <c r="CE445" s="701"/>
      <c r="CF445" s="701"/>
      <c r="CG445" s="701"/>
      <c r="CH445" s="701"/>
      <c r="CI445" s="701"/>
      <c r="CJ445" s="701"/>
      <c r="CK445" s="701"/>
      <c r="CL445" s="701"/>
      <c r="CM445" s="701"/>
      <c r="CN445" s="701"/>
      <c r="CO445" s="701"/>
      <c r="CP445" s="701"/>
      <c r="CQ445" s="701"/>
      <c r="CR445" s="701"/>
      <c r="CS445" s="701"/>
      <c r="CT445" s="701"/>
      <c r="CU445" s="701"/>
      <c r="CV445" s="701"/>
      <c r="CW445" s="701"/>
      <c r="CX445" s="701"/>
      <c r="CY445" s="701"/>
      <c r="CZ445" s="701"/>
      <c r="DA445" s="701"/>
      <c r="DB445" s="701"/>
      <c r="DC445" s="701"/>
      <c r="DD445" s="701"/>
      <c r="DE445" s="701"/>
      <c r="DF445" s="701"/>
      <c r="DG445" s="701"/>
      <c r="DH445" s="710"/>
    </row>
    <row r="446" spans="1:112" s="649" customFormat="1" ht="14.4" hidden="1" collapsed="1" thickBot="1" x14ac:dyDescent="0.35">
      <c r="A446" s="652" t="str">
        <f>IF(J446&gt;0,"Imprimir","")</f>
        <v/>
      </c>
      <c r="B446" s="652"/>
      <c r="C446" s="711"/>
      <c r="D446" s="712" t="s">
        <v>454</v>
      </c>
      <c r="E446" s="712" t="s">
        <v>510</v>
      </c>
      <c r="F446" s="712"/>
      <c r="G446" s="713"/>
      <c r="H446" s="712"/>
      <c r="I446" s="714"/>
      <c r="J446" s="166">
        <f>SUBTOTAL(9,J449:J462)</f>
        <v>0</v>
      </c>
      <c r="K446" s="658"/>
      <c r="L446" s="770">
        <f t="shared" ref="L446:BG446" si="176">SUMPRODUCT($J449:$J462,L449:L462)</f>
        <v>0</v>
      </c>
      <c r="M446" s="771">
        <f t="shared" si="176"/>
        <v>0</v>
      </c>
      <c r="N446" s="771">
        <f t="shared" si="176"/>
        <v>0</v>
      </c>
      <c r="O446" s="771">
        <f t="shared" si="176"/>
        <v>0</v>
      </c>
      <c r="P446" s="771">
        <f t="shared" si="176"/>
        <v>0</v>
      </c>
      <c r="Q446" s="771">
        <f t="shared" si="176"/>
        <v>0</v>
      </c>
      <c r="R446" s="771">
        <f t="shared" si="176"/>
        <v>0</v>
      </c>
      <c r="S446" s="771">
        <f t="shared" si="176"/>
        <v>0</v>
      </c>
      <c r="T446" s="771">
        <f t="shared" si="176"/>
        <v>0</v>
      </c>
      <c r="U446" s="771">
        <f t="shared" si="176"/>
        <v>0</v>
      </c>
      <c r="V446" s="771">
        <f t="shared" si="176"/>
        <v>0</v>
      </c>
      <c r="W446" s="771">
        <f t="shared" si="176"/>
        <v>0</v>
      </c>
      <c r="X446" s="771">
        <f t="shared" si="176"/>
        <v>0</v>
      </c>
      <c r="Y446" s="771">
        <f t="shared" si="176"/>
        <v>0</v>
      </c>
      <c r="Z446" s="771">
        <f t="shared" si="176"/>
        <v>0</v>
      </c>
      <c r="AA446" s="771">
        <f t="shared" si="176"/>
        <v>0</v>
      </c>
      <c r="AB446" s="771">
        <f t="shared" si="176"/>
        <v>0</v>
      </c>
      <c r="AC446" s="771">
        <f t="shared" si="176"/>
        <v>0</v>
      </c>
      <c r="AD446" s="771">
        <f t="shared" si="176"/>
        <v>0</v>
      </c>
      <c r="AE446" s="771">
        <f t="shared" si="176"/>
        <v>0</v>
      </c>
      <c r="AF446" s="771">
        <f t="shared" si="176"/>
        <v>0</v>
      </c>
      <c r="AG446" s="771">
        <f t="shared" si="176"/>
        <v>0</v>
      </c>
      <c r="AH446" s="771">
        <f t="shared" si="176"/>
        <v>0</v>
      </c>
      <c r="AI446" s="771">
        <f t="shared" si="176"/>
        <v>0</v>
      </c>
      <c r="AJ446" s="771">
        <f t="shared" si="176"/>
        <v>0</v>
      </c>
      <c r="AK446" s="771">
        <f t="shared" si="176"/>
        <v>0</v>
      </c>
      <c r="AL446" s="771">
        <f t="shared" si="176"/>
        <v>0</v>
      </c>
      <c r="AM446" s="771">
        <f t="shared" si="176"/>
        <v>0</v>
      </c>
      <c r="AN446" s="771">
        <f t="shared" si="176"/>
        <v>0</v>
      </c>
      <c r="AO446" s="771">
        <f t="shared" si="176"/>
        <v>0</v>
      </c>
      <c r="AP446" s="771">
        <f t="shared" si="176"/>
        <v>0</v>
      </c>
      <c r="AQ446" s="771">
        <f t="shared" si="176"/>
        <v>0</v>
      </c>
      <c r="AR446" s="771">
        <f t="shared" si="176"/>
        <v>0</v>
      </c>
      <c r="AS446" s="771">
        <f t="shared" si="176"/>
        <v>0</v>
      </c>
      <c r="AT446" s="771">
        <f t="shared" si="176"/>
        <v>0</v>
      </c>
      <c r="AU446" s="771">
        <f t="shared" si="176"/>
        <v>0</v>
      </c>
      <c r="AV446" s="771">
        <f t="shared" si="176"/>
        <v>0</v>
      </c>
      <c r="AW446" s="771">
        <f t="shared" si="176"/>
        <v>0</v>
      </c>
      <c r="AX446" s="771">
        <f t="shared" si="176"/>
        <v>0</v>
      </c>
      <c r="AY446" s="771">
        <f t="shared" si="176"/>
        <v>0</v>
      </c>
      <c r="AZ446" s="771">
        <f t="shared" si="176"/>
        <v>0</v>
      </c>
      <c r="BA446" s="771">
        <f t="shared" si="176"/>
        <v>0</v>
      </c>
      <c r="BB446" s="771">
        <f t="shared" si="176"/>
        <v>0</v>
      </c>
      <c r="BC446" s="771">
        <f t="shared" si="176"/>
        <v>0</v>
      </c>
      <c r="BD446" s="771">
        <f t="shared" si="176"/>
        <v>0</v>
      </c>
      <c r="BE446" s="771">
        <f t="shared" si="176"/>
        <v>0</v>
      </c>
      <c r="BF446" s="771">
        <f t="shared" si="176"/>
        <v>0</v>
      </c>
      <c r="BG446" s="764">
        <f t="shared" si="176"/>
        <v>0</v>
      </c>
      <c r="BH446" s="776"/>
      <c r="BI446" s="654"/>
      <c r="BJ446" s="659">
        <f>IFERROR(13/J446,0)</f>
        <v>0</v>
      </c>
      <c r="BK446" s="660">
        <f>SUBTOTAL(9,BK447:BK462)</f>
        <v>0</v>
      </c>
      <c r="BL446" s="654"/>
      <c r="BM446" s="661">
        <f t="shared" ref="BM446:DH446" si="177">SUBTOTAL(9,BM447:BM462)</f>
        <v>0</v>
      </c>
      <c r="BN446" s="662">
        <f t="shared" si="177"/>
        <v>0</v>
      </c>
      <c r="BO446" s="662">
        <f t="shared" si="177"/>
        <v>0</v>
      </c>
      <c r="BP446" s="662">
        <f t="shared" si="177"/>
        <v>0</v>
      </c>
      <c r="BQ446" s="662">
        <f t="shared" si="177"/>
        <v>0</v>
      </c>
      <c r="BR446" s="662">
        <f t="shared" si="177"/>
        <v>0</v>
      </c>
      <c r="BS446" s="662">
        <f t="shared" si="177"/>
        <v>0</v>
      </c>
      <c r="BT446" s="662">
        <f t="shared" si="177"/>
        <v>0</v>
      </c>
      <c r="BU446" s="662">
        <f t="shared" si="177"/>
        <v>0</v>
      </c>
      <c r="BV446" s="662">
        <f t="shared" si="177"/>
        <v>0</v>
      </c>
      <c r="BW446" s="662">
        <f t="shared" si="177"/>
        <v>0</v>
      </c>
      <c r="BX446" s="662">
        <f t="shared" si="177"/>
        <v>0</v>
      </c>
      <c r="BY446" s="662">
        <f t="shared" si="177"/>
        <v>0</v>
      </c>
      <c r="BZ446" s="662">
        <f t="shared" si="177"/>
        <v>0</v>
      </c>
      <c r="CA446" s="662">
        <f t="shared" si="177"/>
        <v>0</v>
      </c>
      <c r="CB446" s="662">
        <f t="shared" si="177"/>
        <v>0</v>
      </c>
      <c r="CC446" s="662">
        <f t="shared" si="177"/>
        <v>0</v>
      </c>
      <c r="CD446" s="662">
        <f t="shared" si="177"/>
        <v>0</v>
      </c>
      <c r="CE446" s="662">
        <f t="shared" si="177"/>
        <v>0</v>
      </c>
      <c r="CF446" s="662">
        <f t="shared" si="177"/>
        <v>0</v>
      </c>
      <c r="CG446" s="662">
        <f t="shared" si="177"/>
        <v>0</v>
      </c>
      <c r="CH446" s="662">
        <f t="shared" si="177"/>
        <v>0</v>
      </c>
      <c r="CI446" s="662">
        <f t="shared" si="177"/>
        <v>0</v>
      </c>
      <c r="CJ446" s="662">
        <f t="shared" si="177"/>
        <v>0</v>
      </c>
      <c r="CK446" s="662">
        <f t="shared" si="177"/>
        <v>0</v>
      </c>
      <c r="CL446" s="662">
        <f t="shared" si="177"/>
        <v>0</v>
      </c>
      <c r="CM446" s="662">
        <f t="shared" si="177"/>
        <v>0</v>
      </c>
      <c r="CN446" s="662">
        <f t="shared" si="177"/>
        <v>0</v>
      </c>
      <c r="CO446" s="662">
        <f t="shared" si="177"/>
        <v>0</v>
      </c>
      <c r="CP446" s="662">
        <f t="shared" si="177"/>
        <v>0</v>
      </c>
      <c r="CQ446" s="662">
        <f t="shared" si="177"/>
        <v>0</v>
      </c>
      <c r="CR446" s="662">
        <f t="shared" si="177"/>
        <v>0</v>
      </c>
      <c r="CS446" s="662">
        <f t="shared" si="177"/>
        <v>0</v>
      </c>
      <c r="CT446" s="662">
        <f t="shared" si="177"/>
        <v>0</v>
      </c>
      <c r="CU446" s="662">
        <f t="shared" si="177"/>
        <v>0</v>
      </c>
      <c r="CV446" s="662">
        <f t="shared" si="177"/>
        <v>0</v>
      </c>
      <c r="CW446" s="662">
        <f t="shared" si="177"/>
        <v>0</v>
      </c>
      <c r="CX446" s="662">
        <f t="shared" si="177"/>
        <v>0</v>
      </c>
      <c r="CY446" s="662">
        <f t="shared" si="177"/>
        <v>0</v>
      </c>
      <c r="CZ446" s="662">
        <f t="shared" si="177"/>
        <v>0</v>
      </c>
      <c r="DA446" s="662">
        <f t="shared" si="177"/>
        <v>0</v>
      </c>
      <c r="DB446" s="662">
        <f t="shared" si="177"/>
        <v>0</v>
      </c>
      <c r="DC446" s="662">
        <f t="shared" si="177"/>
        <v>0</v>
      </c>
      <c r="DD446" s="662">
        <f t="shared" si="177"/>
        <v>0</v>
      </c>
      <c r="DE446" s="662">
        <f t="shared" si="177"/>
        <v>0</v>
      </c>
      <c r="DF446" s="662">
        <f t="shared" si="177"/>
        <v>0</v>
      </c>
      <c r="DG446" s="662">
        <f t="shared" si="177"/>
        <v>0</v>
      </c>
      <c r="DH446" s="663">
        <f t="shared" si="177"/>
        <v>0</v>
      </c>
    </row>
    <row r="447" spans="1:112" s="649" customFormat="1" ht="14.4" hidden="1" outlineLevel="1" thickBot="1" x14ac:dyDescent="0.35">
      <c r="A447" s="652" t="str">
        <f>IF(J446&gt;0,"Imprimir","")</f>
        <v/>
      </c>
      <c r="B447" s="652"/>
      <c r="C447" s="664"/>
      <c r="D447" s="665"/>
      <c r="E447" s="665"/>
      <c r="F447" s="665" t="s">
        <v>472</v>
      </c>
      <c r="G447" s="716" t="s">
        <v>463</v>
      </c>
      <c r="H447" s="665" t="str">
        <f>H251</f>
        <v>Cantidad</v>
      </c>
      <c r="I447" s="665" t="s">
        <v>474</v>
      </c>
      <c r="J447" s="104" t="s">
        <v>29</v>
      </c>
      <c r="K447" s="667"/>
      <c r="L447" s="745"/>
      <c r="M447" s="741"/>
      <c r="N447" s="741"/>
      <c r="O447" s="741"/>
      <c r="P447" s="741"/>
      <c r="Q447" s="741"/>
      <c r="R447" s="741"/>
      <c r="S447" s="741"/>
      <c r="T447" s="741"/>
      <c r="U447" s="741"/>
      <c r="V447" s="741"/>
      <c r="W447" s="741"/>
      <c r="X447" s="741"/>
      <c r="Y447" s="741"/>
      <c r="Z447" s="741"/>
      <c r="AA447" s="741"/>
      <c r="AB447" s="741"/>
      <c r="AC447" s="741"/>
      <c r="AD447" s="741"/>
      <c r="AE447" s="741"/>
      <c r="AF447" s="741"/>
      <c r="AG447" s="741"/>
      <c r="AH447" s="741"/>
      <c r="AI447" s="741"/>
      <c r="AJ447" s="741"/>
      <c r="AK447" s="741"/>
      <c r="AL447" s="741"/>
      <c r="AM447" s="741"/>
      <c r="AN447" s="741"/>
      <c r="AO447" s="741"/>
      <c r="AP447" s="741"/>
      <c r="AQ447" s="741"/>
      <c r="AR447" s="741"/>
      <c r="AS447" s="741"/>
      <c r="AT447" s="741"/>
      <c r="AU447" s="741"/>
      <c r="AV447" s="741"/>
      <c r="AW447" s="741"/>
      <c r="AX447" s="741"/>
      <c r="AY447" s="741"/>
      <c r="AZ447" s="741"/>
      <c r="BA447" s="741"/>
      <c r="BB447" s="741"/>
      <c r="BC447" s="741"/>
      <c r="BD447" s="741"/>
      <c r="BE447" s="741"/>
      <c r="BF447" s="741"/>
      <c r="BG447" s="741"/>
      <c r="BH447" s="668"/>
      <c r="BI447" s="654"/>
      <c r="BJ447" s="669"/>
      <c r="BK447" s="670"/>
      <c r="BL447" s="654"/>
      <c r="BM447" s="671"/>
      <c r="BN447" s="665"/>
      <c r="BO447" s="665"/>
      <c r="BP447" s="665"/>
      <c r="BQ447" s="665"/>
      <c r="BR447" s="665"/>
      <c r="BS447" s="665"/>
      <c r="BT447" s="665"/>
      <c r="BU447" s="665"/>
      <c r="BV447" s="665"/>
      <c r="BW447" s="665"/>
      <c r="BX447" s="665"/>
      <c r="BY447" s="665"/>
      <c r="BZ447" s="665"/>
      <c r="CA447" s="665"/>
      <c r="CB447" s="665"/>
      <c r="CC447" s="665"/>
      <c r="CD447" s="665"/>
      <c r="CE447" s="665"/>
      <c r="CF447" s="665"/>
      <c r="CG447" s="665"/>
      <c r="CH447" s="665"/>
      <c r="CI447" s="665"/>
      <c r="CJ447" s="665"/>
      <c r="CK447" s="665"/>
      <c r="CL447" s="665"/>
      <c r="CM447" s="665"/>
      <c r="CN447" s="665"/>
      <c r="CO447" s="665"/>
      <c r="CP447" s="665"/>
      <c r="CQ447" s="665"/>
      <c r="CR447" s="665"/>
      <c r="CS447" s="665"/>
      <c r="CT447" s="665"/>
      <c r="CU447" s="665"/>
      <c r="CV447" s="665"/>
      <c r="CW447" s="665"/>
      <c r="CX447" s="665"/>
      <c r="CY447" s="665"/>
      <c r="CZ447" s="665"/>
      <c r="DA447" s="665"/>
      <c r="DB447" s="665"/>
      <c r="DC447" s="665"/>
      <c r="DD447" s="665"/>
      <c r="DE447" s="665"/>
      <c r="DF447" s="665"/>
      <c r="DG447" s="665"/>
      <c r="DH447" s="666"/>
    </row>
    <row r="448" spans="1:112" s="649" customFormat="1" ht="16.2" hidden="1" outlineLevel="1" thickBot="1" x14ac:dyDescent="0.35">
      <c r="A448" s="652" t="str">
        <f>IF(J448&gt;0,"Imprimir","")</f>
        <v/>
      </c>
      <c r="B448" s="652"/>
      <c r="C448" s="672"/>
      <c r="D448" s="673"/>
      <c r="E448" s="674"/>
      <c r="F448" s="675"/>
      <c r="G448" s="726"/>
      <c r="H448" s="676"/>
      <c r="I448" s="677"/>
      <c r="J448" s="219">
        <f>SUBTOTAL(9,J449:J462)</f>
        <v>0</v>
      </c>
      <c r="K448" s="678"/>
      <c r="L448" s="747"/>
      <c r="M448" s="742"/>
      <c r="N448" s="742"/>
      <c r="O448" s="742"/>
      <c r="P448" s="742"/>
      <c r="Q448" s="742"/>
      <c r="R448" s="742"/>
      <c r="S448" s="742"/>
      <c r="T448" s="742"/>
      <c r="U448" s="742"/>
      <c r="V448" s="742"/>
      <c r="W448" s="742"/>
      <c r="X448" s="742"/>
      <c r="Y448" s="742"/>
      <c r="Z448" s="742"/>
      <c r="AA448" s="742"/>
      <c r="AB448" s="742"/>
      <c r="AC448" s="742"/>
      <c r="AD448" s="742"/>
      <c r="AE448" s="742"/>
      <c r="AF448" s="742"/>
      <c r="AG448" s="742"/>
      <c r="AH448" s="742"/>
      <c r="AI448" s="742"/>
      <c r="AJ448" s="742"/>
      <c r="AK448" s="742"/>
      <c r="AL448" s="742"/>
      <c r="AM448" s="742"/>
      <c r="AN448" s="742"/>
      <c r="AO448" s="742"/>
      <c r="AP448" s="742"/>
      <c r="AQ448" s="742"/>
      <c r="AR448" s="742"/>
      <c r="AS448" s="742"/>
      <c r="AT448" s="742"/>
      <c r="AU448" s="742"/>
      <c r="AV448" s="742"/>
      <c r="AW448" s="742"/>
      <c r="AX448" s="742"/>
      <c r="AY448" s="742"/>
      <c r="AZ448" s="742"/>
      <c r="BA448" s="742"/>
      <c r="BB448" s="742"/>
      <c r="BC448" s="742"/>
      <c r="BD448" s="742"/>
      <c r="BE448" s="742"/>
      <c r="BF448" s="742"/>
      <c r="BG448" s="742"/>
      <c r="BH448" s="668"/>
      <c r="BI448" s="654"/>
      <c r="BJ448" s="729"/>
      <c r="BK448" s="681"/>
      <c r="BL448" s="654"/>
      <c r="BM448" s="682"/>
      <c r="BN448" s="683"/>
      <c r="BO448" s="683"/>
      <c r="BP448" s="683"/>
      <c r="BQ448" s="683"/>
      <c r="BR448" s="683"/>
      <c r="BS448" s="683"/>
      <c r="BT448" s="683"/>
      <c r="BU448" s="683"/>
      <c r="BV448" s="683"/>
      <c r="BW448" s="683"/>
      <c r="BX448" s="683"/>
      <c r="BY448" s="683"/>
      <c r="BZ448" s="683"/>
      <c r="CA448" s="683"/>
      <c r="CB448" s="683"/>
      <c r="CC448" s="683"/>
      <c r="CD448" s="683"/>
      <c r="CE448" s="683"/>
      <c r="CF448" s="683"/>
      <c r="CG448" s="683"/>
      <c r="CH448" s="683"/>
      <c r="CI448" s="683"/>
      <c r="CJ448" s="683"/>
      <c r="CK448" s="683"/>
      <c r="CL448" s="683"/>
      <c r="CM448" s="683"/>
      <c r="CN448" s="683"/>
      <c r="CO448" s="683"/>
      <c r="CP448" s="683"/>
      <c r="CQ448" s="683"/>
      <c r="CR448" s="683"/>
      <c r="CS448" s="683"/>
      <c r="CT448" s="683"/>
      <c r="CU448" s="683"/>
      <c r="CV448" s="683"/>
      <c r="CW448" s="683"/>
      <c r="CX448" s="683"/>
      <c r="CY448" s="683"/>
      <c r="CZ448" s="683"/>
      <c r="DA448" s="683"/>
      <c r="DB448" s="683"/>
      <c r="DC448" s="683"/>
      <c r="DD448" s="683"/>
      <c r="DE448" s="683"/>
      <c r="DF448" s="683"/>
      <c r="DG448" s="683"/>
      <c r="DH448" s="684"/>
    </row>
    <row r="449" spans="1:112" s="649" customFormat="1" ht="14.4" hidden="1" outlineLevel="1" thickBot="1" x14ac:dyDescent="0.35">
      <c r="A449" s="652" t="str">
        <f t="shared" ref="A449:A461" si="178">IF(J449="","",IF(J449=0,"","Imprimir"))</f>
        <v/>
      </c>
      <c r="B449" s="652"/>
      <c r="C449" s="685"/>
      <c r="D449" s="686" t="s">
        <v>2497</v>
      </c>
      <c r="E449" s="686"/>
      <c r="F449" s="720"/>
      <c r="G449" s="688"/>
      <c r="H449" s="689"/>
      <c r="I449" s="851" t="str">
        <f t="shared" ref="I449:I461" si="179">IF(E449&gt;0,$J$5,"")</f>
        <v/>
      </c>
      <c r="J449" s="517" t="str">
        <f t="shared" ref="J449:J461" si="180">IFERROR(G449*H449*I449,"")</f>
        <v/>
      </c>
      <c r="K449" s="667"/>
      <c r="L449" s="858"/>
      <c r="M449" s="859"/>
      <c r="N449" s="859"/>
      <c r="O449" s="859"/>
      <c r="P449" s="859"/>
      <c r="Q449" s="859"/>
      <c r="R449" s="859"/>
      <c r="S449" s="859"/>
      <c r="T449" s="859"/>
      <c r="U449" s="859"/>
      <c r="V449" s="859"/>
      <c r="W449" s="859"/>
      <c r="X449" s="859"/>
      <c r="Y449" s="859"/>
      <c r="Z449" s="860"/>
      <c r="AA449" s="860"/>
      <c r="AB449" s="860"/>
      <c r="AC449" s="860"/>
      <c r="AD449" s="860"/>
      <c r="AE449" s="860"/>
      <c r="AF449" s="860"/>
      <c r="AG449" s="860"/>
      <c r="AH449" s="860"/>
      <c r="AI449" s="860"/>
      <c r="AJ449" s="860"/>
      <c r="AK449" s="860"/>
      <c r="AL449" s="860"/>
      <c r="AM449" s="860"/>
      <c r="AN449" s="860"/>
      <c r="AO449" s="860"/>
      <c r="AP449" s="860"/>
      <c r="AQ449" s="860"/>
      <c r="AR449" s="860"/>
      <c r="AS449" s="860"/>
      <c r="AT449" s="860"/>
      <c r="AU449" s="860"/>
      <c r="AV449" s="860"/>
      <c r="AW449" s="860"/>
      <c r="AX449" s="860"/>
      <c r="AY449" s="860"/>
      <c r="AZ449" s="860"/>
      <c r="BA449" s="860"/>
      <c r="BB449" s="860"/>
      <c r="BC449" s="860"/>
      <c r="BD449" s="860"/>
      <c r="BE449" s="860"/>
      <c r="BF449" s="860"/>
      <c r="BG449" s="860"/>
      <c r="BH449" s="668"/>
      <c r="BI449" s="654"/>
      <c r="BJ449" s="690">
        <f t="shared" ref="BJ449:BJ461" si="181">IFERROR(BK449/J449,0)</f>
        <v>0</v>
      </c>
      <c r="BK449" s="691">
        <f t="shared" ref="BK449:BK461" si="182">SUM(BM449:DH449)</f>
        <v>0</v>
      </c>
      <c r="BL449" s="654"/>
      <c r="BM449" s="692">
        <f>SUMIFS(Imput[[Importe Neto]:[Importe Neto]],Imput[[C. Imp.]:[C. Imp.]],$D449,Imput[[PERIODO Imp.]:[PERIODO Imp.]],BM$9)</f>
        <v>0</v>
      </c>
      <c r="BN449" s="693">
        <f>SUMIFS(Imput[[Importe Neto]:[Importe Neto]],Imput[[C. Imp.]:[C. Imp.]],$D449,Imput[[PERIODO Imp.]:[PERIODO Imp.]],BN$9)</f>
        <v>0</v>
      </c>
      <c r="BO449" s="693">
        <f>SUMIFS(Imput[[Importe Neto]:[Importe Neto]],Imput[[C. Imp.]:[C. Imp.]],$D449,Imput[[PERIODO Imp.]:[PERIODO Imp.]],BO$9)</f>
        <v>0</v>
      </c>
      <c r="BP449" s="693">
        <f>SUMIFS(Imput[[Importe Neto]:[Importe Neto]],Imput[[C. Imp.]:[C. Imp.]],$D449,Imput[[PERIODO Imp.]:[PERIODO Imp.]],BP$9)</f>
        <v>0</v>
      </c>
      <c r="BQ449" s="693">
        <f>SUMIFS(Imput[[Importe Neto]:[Importe Neto]],Imput[[C. Imp.]:[C. Imp.]],$D449,Imput[[PERIODO Imp.]:[PERIODO Imp.]],BQ$9)</f>
        <v>0</v>
      </c>
      <c r="BR449" s="693">
        <f>SUMIFS(Imput[[Importe Neto]:[Importe Neto]],Imput[[C. Imp.]:[C. Imp.]],$D449,Imput[[PERIODO Imp.]:[PERIODO Imp.]],BR$9)</f>
        <v>0</v>
      </c>
      <c r="BS449" s="693">
        <f>SUMIFS(Imput[[Importe Neto]:[Importe Neto]],Imput[[C. Imp.]:[C. Imp.]],$D449,Imput[[PERIODO Imp.]:[PERIODO Imp.]],BS$9)</f>
        <v>0</v>
      </c>
      <c r="BT449" s="693">
        <f>SUMIFS(Imput[[Importe Neto]:[Importe Neto]],Imput[[C. Imp.]:[C. Imp.]],$D449,Imput[[PERIODO Imp.]:[PERIODO Imp.]],BT$9)</f>
        <v>0</v>
      </c>
      <c r="BU449" s="693">
        <f>SUMIFS(Imput[[Importe Neto]:[Importe Neto]],Imput[[C. Imp.]:[C. Imp.]],$D449,Imput[[PERIODO Imp.]:[PERIODO Imp.]],BU$9)</f>
        <v>0</v>
      </c>
      <c r="BV449" s="693">
        <f>SUMIFS(Imput[[Importe Neto]:[Importe Neto]],Imput[[C. Imp.]:[C. Imp.]],$D449,Imput[[PERIODO Imp.]:[PERIODO Imp.]],BV$9)</f>
        <v>0</v>
      </c>
      <c r="BW449" s="693">
        <f>SUMIFS(Imput[[Importe Neto]:[Importe Neto]],Imput[[C. Imp.]:[C. Imp.]],$D449,Imput[[PERIODO Imp.]:[PERIODO Imp.]],BW$9)</f>
        <v>0</v>
      </c>
      <c r="BX449" s="693">
        <f>SUMIFS(Imput[[Importe Neto]:[Importe Neto]],Imput[[C. Imp.]:[C. Imp.]],$D449,Imput[[PERIODO Imp.]:[PERIODO Imp.]],BX$9)</f>
        <v>0</v>
      </c>
      <c r="BY449" s="693">
        <f>SUMIFS(Imput[[Importe Neto]:[Importe Neto]],Imput[[C. Imp.]:[C. Imp.]],$D449,Imput[[PERIODO Imp.]:[PERIODO Imp.]],BY$9)</f>
        <v>0</v>
      </c>
      <c r="BZ449" s="693">
        <f>SUMIFS(Imput[[Importe Neto]:[Importe Neto]],Imput[[C. Imp.]:[C. Imp.]],$D449,Imput[[PERIODO Imp.]:[PERIODO Imp.]],BZ$9)</f>
        <v>0</v>
      </c>
      <c r="CA449" s="693">
        <f>SUMIFS(Imput[[Importe Neto]:[Importe Neto]],Imput[[C. Imp.]:[C. Imp.]],$D449,Imput[[PERIODO Imp.]:[PERIODO Imp.]],CA$9)</f>
        <v>0</v>
      </c>
      <c r="CB449" s="693">
        <f>SUMIFS(Imput[[Importe Neto]:[Importe Neto]],Imput[[C. Imp.]:[C. Imp.]],$D449,Imput[[PERIODO Imp.]:[PERIODO Imp.]],CB$9)</f>
        <v>0</v>
      </c>
      <c r="CC449" s="693">
        <f>SUMIFS(Imput[[Importe Neto]:[Importe Neto]],Imput[[C. Imp.]:[C. Imp.]],$D449,Imput[[PERIODO Imp.]:[PERIODO Imp.]],CC$9)</f>
        <v>0</v>
      </c>
      <c r="CD449" s="693">
        <f>SUMIFS(Imput[[Importe Neto]:[Importe Neto]],Imput[[C. Imp.]:[C. Imp.]],$D449,Imput[[PERIODO Imp.]:[PERIODO Imp.]],CD$9)</f>
        <v>0</v>
      </c>
      <c r="CE449" s="693">
        <f>SUMIFS(Imput[[Importe Neto]:[Importe Neto]],Imput[[C. Imp.]:[C. Imp.]],$D449,Imput[[PERIODO Imp.]:[PERIODO Imp.]],CE$9)</f>
        <v>0</v>
      </c>
      <c r="CF449" s="693">
        <f>SUMIFS(Imput[[Importe Neto]:[Importe Neto]],Imput[[C. Imp.]:[C. Imp.]],$D449,Imput[[PERIODO Imp.]:[PERIODO Imp.]],CF$9)</f>
        <v>0</v>
      </c>
      <c r="CG449" s="693">
        <f>SUMIFS(Imput[[Importe Neto]:[Importe Neto]],Imput[[C. Imp.]:[C. Imp.]],$D449,Imput[[PERIODO Imp.]:[PERIODO Imp.]],CG$9)</f>
        <v>0</v>
      </c>
      <c r="CH449" s="693">
        <f>SUMIFS(Imput[[Importe Neto]:[Importe Neto]],Imput[[C. Imp.]:[C. Imp.]],$D449,Imput[[PERIODO Imp.]:[PERIODO Imp.]],CH$9)</f>
        <v>0</v>
      </c>
      <c r="CI449" s="693">
        <f>SUMIFS(Imput[[Importe Neto]:[Importe Neto]],Imput[[C. Imp.]:[C. Imp.]],$D449,Imput[[PERIODO Imp.]:[PERIODO Imp.]],CI$9)</f>
        <v>0</v>
      </c>
      <c r="CJ449" s="693">
        <f>SUMIFS(Imput[[Importe Neto]:[Importe Neto]],Imput[[C. Imp.]:[C. Imp.]],$D449,Imput[[PERIODO Imp.]:[PERIODO Imp.]],CJ$9)</f>
        <v>0</v>
      </c>
      <c r="CK449" s="693">
        <f>SUMIFS(Imput[[Importe Neto]:[Importe Neto]],Imput[[C. Imp.]:[C. Imp.]],$D449,Imput[[PERIODO Imp.]:[PERIODO Imp.]],CK$9)</f>
        <v>0</v>
      </c>
      <c r="CL449" s="693">
        <f>SUMIFS(Imput[[Importe Neto]:[Importe Neto]],Imput[[C. Imp.]:[C. Imp.]],$D449,Imput[[PERIODO Imp.]:[PERIODO Imp.]],CL$9)</f>
        <v>0</v>
      </c>
      <c r="CM449" s="693">
        <f>SUMIFS(Imput[[Importe Neto]:[Importe Neto]],Imput[[C. Imp.]:[C. Imp.]],$D449,Imput[[PERIODO Imp.]:[PERIODO Imp.]],CM$9)</f>
        <v>0</v>
      </c>
      <c r="CN449" s="693">
        <f>SUMIFS(Imput[[Importe Neto]:[Importe Neto]],Imput[[C. Imp.]:[C. Imp.]],$D449,Imput[[PERIODO Imp.]:[PERIODO Imp.]],CN$9)</f>
        <v>0</v>
      </c>
      <c r="CO449" s="693">
        <f>SUMIFS(Imput[[Importe Neto]:[Importe Neto]],Imput[[C. Imp.]:[C. Imp.]],$D449,Imput[[PERIODO Imp.]:[PERIODO Imp.]],CO$9)</f>
        <v>0</v>
      </c>
      <c r="CP449" s="693">
        <f>SUMIFS(Imput[[Importe Neto]:[Importe Neto]],Imput[[C. Imp.]:[C. Imp.]],$D449,Imput[[PERIODO Imp.]:[PERIODO Imp.]],CP$9)</f>
        <v>0</v>
      </c>
      <c r="CQ449" s="693">
        <f>SUMIFS(Imput[[Importe Neto]:[Importe Neto]],Imput[[C. Imp.]:[C. Imp.]],$D449,Imput[[PERIODO Imp.]:[PERIODO Imp.]],CQ$9)</f>
        <v>0</v>
      </c>
      <c r="CR449" s="693">
        <f>SUMIFS(Imput[[Importe Neto]:[Importe Neto]],Imput[[C. Imp.]:[C. Imp.]],$D449,Imput[[PERIODO Imp.]:[PERIODO Imp.]],CR$9)</f>
        <v>0</v>
      </c>
      <c r="CS449" s="693">
        <f>SUMIFS(Imput[[Importe Neto]:[Importe Neto]],Imput[[C. Imp.]:[C. Imp.]],$D449,Imput[[PERIODO Imp.]:[PERIODO Imp.]],CS$9)</f>
        <v>0</v>
      </c>
      <c r="CT449" s="693">
        <f>SUMIFS(Imput[[Importe Neto]:[Importe Neto]],Imput[[C. Imp.]:[C. Imp.]],$D449,Imput[[PERIODO Imp.]:[PERIODO Imp.]],CT$9)</f>
        <v>0</v>
      </c>
      <c r="CU449" s="693">
        <f>SUMIFS(Imput[[Importe Neto]:[Importe Neto]],Imput[[C. Imp.]:[C. Imp.]],$D449,Imput[[PERIODO Imp.]:[PERIODO Imp.]],CU$9)</f>
        <v>0</v>
      </c>
      <c r="CV449" s="693">
        <f>SUMIFS(Imput[[Importe Neto]:[Importe Neto]],Imput[[C. Imp.]:[C. Imp.]],$D449,Imput[[PERIODO Imp.]:[PERIODO Imp.]],CV$9)</f>
        <v>0</v>
      </c>
      <c r="CW449" s="693">
        <f>SUMIFS(Imput[[Importe Neto]:[Importe Neto]],Imput[[C. Imp.]:[C. Imp.]],$D449,Imput[[PERIODO Imp.]:[PERIODO Imp.]],CW$9)</f>
        <v>0</v>
      </c>
      <c r="CX449" s="693">
        <f>SUMIFS(Imput[[Importe Neto]:[Importe Neto]],Imput[[C. Imp.]:[C. Imp.]],$D449,Imput[[PERIODO Imp.]:[PERIODO Imp.]],CX$9)</f>
        <v>0</v>
      </c>
      <c r="CY449" s="693">
        <f>SUMIFS(Imput[[Importe Neto]:[Importe Neto]],Imput[[C. Imp.]:[C. Imp.]],$D449,Imput[[PERIODO Imp.]:[PERIODO Imp.]],CY$9)</f>
        <v>0</v>
      </c>
      <c r="CZ449" s="693">
        <f>SUMIFS(Imput[[Importe Neto]:[Importe Neto]],Imput[[C. Imp.]:[C. Imp.]],$D449,Imput[[PERIODO Imp.]:[PERIODO Imp.]],CZ$9)</f>
        <v>0</v>
      </c>
      <c r="DA449" s="693">
        <f>SUMIFS(Imput[[Importe Neto]:[Importe Neto]],Imput[[C. Imp.]:[C. Imp.]],$D449,Imput[[PERIODO Imp.]:[PERIODO Imp.]],DA$9)</f>
        <v>0</v>
      </c>
      <c r="DB449" s="693">
        <f>SUMIFS(Imput[[Importe Neto]:[Importe Neto]],Imput[[C. Imp.]:[C. Imp.]],$D449,Imput[[PERIODO Imp.]:[PERIODO Imp.]],DB$9)</f>
        <v>0</v>
      </c>
      <c r="DC449" s="693">
        <f>SUMIFS(Imput[[Importe Neto]:[Importe Neto]],Imput[[C. Imp.]:[C. Imp.]],$D449,Imput[[PERIODO Imp.]:[PERIODO Imp.]],DC$9)</f>
        <v>0</v>
      </c>
      <c r="DD449" s="693">
        <f>SUMIFS(Imput[[Importe Neto]:[Importe Neto]],Imput[[C. Imp.]:[C. Imp.]],$D449,Imput[[PERIODO Imp.]:[PERIODO Imp.]],DD$9)</f>
        <v>0</v>
      </c>
      <c r="DE449" s="693">
        <f>SUMIFS(Imput[[Importe Neto]:[Importe Neto]],Imput[[C. Imp.]:[C. Imp.]],$D449,Imput[[PERIODO Imp.]:[PERIODO Imp.]],DE$9)</f>
        <v>0</v>
      </c>
      <c r="DF449" s="693">
        <f>SUMIFS(Imput[[Importe Neto]:[Importe Neto]],Imput[[C. Imp.]:[C. Imp.]],$D449,Imput[[PERIODO Imp.]:[PERIODO Imp.]],DF$9)</f>
        <v>0</v>
      </c>
      <c r="DG449" s="693">
        <f>SUMIFS(Imput[[Importe Neto]:[Importe Neto]],Imput[[C. Imp.]:[C. Imp.]],$D449,Imput[[PERIODO Imp.]:[PERIODO Imp.]],DG$9)</f>
        <v>0</v>
      </c>
      <c r="DH449" s="694">
        <f>SUMIFS(Imput[[Importe Neto]:[Importe Neto]],Imput[[C. Imp.]:[C. Imp.]],$D449,Imput[[PERIODO Imp.]:[PERIODO Imp.]],DH$9)</f>
        <v>0</v>
      </c>
    </row>
    <row r="450" spans="1:112" s="649" customFormat="1" ht="14.4" hidden="1" outlineLevel="1" thickBot="1" x14ac:dyDescent="0.35">
      <c r="A450" s="652" t="str">
        <f t="shared" si="178"/>
        <v/>
      </c>
      <c r="B450" s="652"/>
      <c r="C450" s="685"/>
      <c r="D450" s="686" t="s">
        <v>2498</v>
      </c>
      <c r="E450" s="686"/>
      <c r="F450" s="720"/>
      <c r="G450" s="688"/>
      <c r="H450" s="689"/>
      <c r="I450" s="851" t="str">
        <f t="shared" si="179"/>
        <v/>
      </c>
      <c r="J450" s="517" t="str">
        <f t="shared" si="180"/>
        <v/>
      </c>
      <c r="K450" s="667"/>
      <c r="L450" s="858"/>
      <c r="M450" s="859"/>
      <c r="N450" s="859"/>
      <c r="O450" s="859"/>
      <c r="P450" s="859"/>
      <c r="Q450" s="859"/>
      <c r="R450" s="859"/>
      <c r="S450" s="859"/>
      <c r="T450" s="859"/>
      <c r="U450" s="859"/>
      <c r="V450" s="859"/>
      <c r="W450" s="859"/>
      <c r="X450" s="859"/>
      <c r="Y450" s="859"/>
      <c r="Z450" s="860"/>
      <c r="AA450" s="860"/>
      <c r="AB450" s="860"/>
      <c r="AC450" s="860"/>
      <c r="AD450" s="860"/>
      <c r="AE450" s="860"/>
      <c r="AF450" s="860"/>
      <c r="AG450" s="860"/>
      <c r="AH450" s="860"/>
      <c r="AI450" s="860"/>
      <c r="AJ450" s="860"/>
      <c r="AK450" s="860"/>
      <c r="AL450" s="860"/>
      <c r="AM450" s="860"/>
      <c r="AN450" s="860"/>
      <c r="AO450" s="860"/>
      <c r="AP450" s="860"/>
      <c r="AQ450" s="860"/>
      <c r="AR450" s="860"/>
      <c r="AS450" s="860"/>
      <c r="AT450" s="860"/>
      <c r="AU450" s="860"/>
      <c r="AV450" s="860"/>
      <c r="AW450" s="860"/>
      <c r="AX450" s="860"/>
      <c r="AY450" s="860"/>
      <c r="AZ450" s="860"/>
      <c r="BA450" s="860"/>
      <c r="BB450" s="860"/>
      <c r="BC450" s="860"/>
      <c r="BD450" s="860"/>
      <c r="BE450" s="860"/>
      <c r="BF450" s="860"/>
      <c r="BG450" s="860"/>
      <c r="BH450" s="668"/>
      <c r="BI450" s="654"/>
      <c r="BJ450" s="690">
        <f t="shared" si="181"/>
        <v>0</v>
      </c>
      <c r="BK450" s="691">
        <f t="shared" si="182"/>
        <v>0</v>
      </c>
      <c r="BL450" s="654"/>
      <c r="BM450" s="692">
        <f>SUMIFS(Imput[[Importe Neto]:[Importe Neto]],Imput[[C. Imp.]:[C. Imp.]],$D450,Imput[[PERIODO Imp.]:[PERIODO Imp.]],BM$9)</f>
        <v>0</v>
      </c>
      <c r="BN450" s="693">
        <f>SUMIFS(Imput[[Importe Neto]:[Importe Neto]],Imput[[C. Imp.]:[C. Imp.]],$D450,Imput[[PERIODO Imp.]:[PERIODO Imp.]],BN$9)</f>
        <v>0</v>
      </c>
      <c r="BO450" s="693">
        <f>SUMIFS(Imput[[Importe Neto]:[Importe Neto]],Imput[[C. Imp.]:[C. Imp.]],$D450,Imput[[PERIODO Imp.]:[PERIODO Imp.]],BO$9)</f>
        <v>0</v>
      </c>
      <c r="BP450" s="693">
        <f>SUMIFS(Imput[[Importe Neto]:[Importe Neto]],Imput[[C. Imp.]:[C. Imp.]],$D450,Imput[[PERIODO Imp.]:[PERIODO Imp.]],BP$9)</f>
        <v>0</v>
      </c>
      <c r="BQ450" s="693">
        <f>SUMIFS(Imput[[Importe Neto]:[Importe Neto]],Imput[[C. Imp.]:[C. Imp.]],$D450,Imput[[PERIODO Imp.]:[PERIODO Imp.]],BQ$9)</f>
        <v>0</v>
      </c>
      <c r="BR450" s="693">
        <f>SUMIFS(Imput[[Importe Neto]:[Importe Neto]],Imput[[C. Imp.]:[C. Imp.]],$D450,Imput[[PERIODO Imp.]:[PERIODO Imp.]],BR$9)</f>
        <v>0</v>
      </c>
      <c r="BS450" s="693">
        <f>SUMIFS(Imput[[Importe Neto]:[Importe Neto]],Imput[[C. Imp.]:[C. Imp.]],$D450,Imput[[PERIODO Imp.]:[PERIODO Imp.]],BS$9)</f>
        <v>0</v>
      </c>
      <c r="BT450" s="693">
        <f>SUMIFS(Imput[[Importe Neto]:[Importe Neto]],Imput[[C. Imp.]:[C. Imp.]],$D450,Imput[[PERIODO Imp.]:[PERIODO Imp.]],BT$9)</f>
        <v>0</v>
      </c>
      <c r="BU450" s="693">
        <f>SUMIFS(Imput[[Importe Neto]:[Importe Neto]],Imput[[C. Imp.]:[C. Imp.]],$D450,Imput[[PERIODO Imp.]:[PERIODO Imp.]],BU$9)</f>
        <v>0</v>
      </c>
      <c r="BV450" s="693">
        <f>SUMIFS(Imput[[Importe Neto]:[Importe Neto]],Imput[[C. Imp.]:[C. Imp.]],$D450,Imput[[PERIODO Imp.]:[PERIODO Imp.]],BV$9)</f>
        <v>0</v>
      </c>
      <c r="BW450" s="693">
        <f>SUMIFS(Imput[[Importe Neto]:[Importe Neto]],Imput[[C. Imp.]:[C. Imp.]],$D450,Imput[[PERIODO Imp.]:[PERIODO Imp.]],BW$9)</f>
        <v>0</v>
      </c>
      <c r="BX450" s="693">
        <f>SUMIFS(Imput[[Importe Neto]:[Importe Neto]],Imput[[C. Imp.]:[C. Imp.]],$D450,Imput[[PERIODO Imp.]:[PERIODO Imp.]],BX$9)</f>
        <v>0</v>
      </c>
      <c r="BY450" s="693">
        <f>SUMIFS(Imput[[Importe Neto]:[Importe Neto]],Imput[[C. Imp.]:[C. Imp.]],$D450,Imput[[PERIODO Imp.]:[PERIODO Imp.]],BY$9)</f>
        <v>0</v>
      </c>
      <c r="BZ450" s="693">
        <f>SUMIFS(Imput[[Importe Neto]:[Importe Neto]],Imput[[C. Imp.]:[C. Imp.]],$D450,Imput[[PERIODO Imp.]:[PERIODO Imp.]],BZ$9)</f>
        <v>0</v>
      </c>
      <c r="CA450" s="693">
        <f>SUMIFS(Imput[[Importe Neto]:[Importe Neto]],Imput[[C. Imp.]:[C. Imp.]],$D450,Imput[[PERIODO Imp.]:[PERIODO Imp.]],CA$9)</f>
        <v>0</v>
      </c>
      <c r="CB450" s="693">
        <f>SUMIFS(Imput[[Importe Neto]:[Importe Neto]],Imput[[C. Imp.]:[C. Imp.]],$D450,Imput[[PERIODO Imp.]:[PERIODO Imp.]],CB$9)</f>
        <v>0</v>
      </c>
      <c r="CC450" s="693">
        <f>SUMIFS(Imput[[Importe Neto]:[Importe Neto]],Imput[[C. Imp.]:[C. Imp.]],$D450,Imput[[PERIODO Imp.]:[PERIODO Imp.]],CC$9)</f>
        <v>0</v>
      </c>
      <c r="CD450" s="693">
        <f>SUMIFS(Imput[[Importe Neto]:[Importe Neto]],Imput[[C. Imp.]:[C. Imp.]],$D450,Imput[[PERIODO Imp.]:[PERIODO Imp.]],CD$9)</f>
        <v>0</v>
      </c>
      <c r="CE450" s="693">
        <f>SUMIFS(Imput[[Importe Neto]:[Importe Neto]],Imput[[C. Imp.]:[C. Imp.]],$D450,Imput[[PERIODO Imp.]:[PERIODO Imp.]],CE$9)</f>
        <v>0</v>
      </c>
      <c r="CF450" s="693">
        <f>SUMIFS(Imput[[Importe Neto]:[Importe Neto]],Imput[[C. Imp.]:[C. Imp.]],$D450,Imput[[PERIODO Imp.]:[PERIODO Imp.]],CF$9)</f>
        <v>0</v>
      </c>
      <c r="CG450" s="693">
        <f>SUMIFS(Imput[[Importe Neto]:[Importe Neto]],Imput[[C. Imp.]:[C. Imp.]],$D450,Imput[[PERIODO Imp.]:[PERIODO Imp.]],CG$9)</f>
        <v>0</v>
      </c>
      <c r="CH450" s="693">
        <f>SUMIFS(Imput[[Importe Neto]:[Importe Neto]],Imput[[C. Imp.]:[C. Imp.]],$D450,Imput[[PERIODO Imp.]:[PERIODO Imp.]],CH$9)</f>
        <v>0</v>
      </c>
      <c r="CI450" s="693">
        <f>SUMIFS(Imput[[Importe Neto]:[Importe Neto]],Imput[[C. Imp.]:[C. Imp.]],$D450,Imput[[PERIODO Imp.]:[PERIODO Imp.]],CI$9)</f>
        <v>0</v>
      </c>
      <c r="CJ450" s="693">
        <f>SUMIFS(Imput[[Importe Neto]:[Importe Neto]],Imput[[C. Imp.]:[C. Imp.]],$D450,Imput[[PERIODO Imp.]:[PERIODO Imp.]],CJ$9)</f>
        <v>0</v>
      </c>
      <c r="CK450" s="693">
        <f>SUMIFS(Imput[[Importe Neto]:[Importe Neto]],Imput[[C. Imp.]:[C. Imp.]],$D450,Imput[[PERIODO Imp.]:[PERIODO Imp.]],CK$9)</f>
        <v>0</v>
      </c>
      <c r="CL450" s="693">
        <f>SUMIFS(Imput[[Importe Neto]:[Importe Neto]],Imput[[C. Imp.]:[C. Imp.]],$D450,Imput[[PERIODO Imp.]:[PERIODO Imp.]],CL$9)</f>
        <v>0</v>
      </c>
      <c r="CM450" s="693">
        <f>SUMIFS(Imput[[Importe Neto]:[Importe Neto]],Imput[[C. Imp.]:[C. Imp.]],$D450,Imput[[PERIODO Imp.]:[PERIODO Imp.]],CM$9)</f>
        <v>0</v>
      </c>
      <c r="CN450" s="693">
        <f>SUMIFS(Imput[[Importe Neto]:[Importe Neto]],Imput[[C. Imp.]:[C. Imp.]],$D450,Imput[[PERIODO Imp.]:[PERIODO Imp.]],CN$9)</f>
        <v>0</v>
      </c>
      <c r="CO450" s="693">
        <f>SUMIFS(Imput[[Importe Neto]:[Importe Neto]],Imput[[C. Imp.]:[C. Imp.]],$D450,Imput[[PERIODO Imp.]:[PERIODO Imp.]],CO$9)</f>
        <v>0</v>
      </c>
      <c r="CP450" s="693">
        <f>SUMIFS(Imput[[Importe Neto]:[Importe Neto]],Imput[[C. Imp.]:[C. Imp.]],$D450,Imput[[PERIODO Imp.]:[PERIODO Imp.]],CP$9)</f>
        <v>0</v>
      </c>
      <c r="CQ450" s="693">
        <f>SUMIFS(Imput[[Importe Neto]:[Importe Neto]],Imput[[C. Imp.]:[C. Imp.]],$D450,Imput[[PERIODO Imp.]:[PERIODO Imp.]],CQ$9)</f>
        <v>0</v>
      </c>
      <c r="CR450" s="693">
        <f>SUMIFS(Imput[[Importe Neto]:[Importe Neto]],Imput[[C. Imp.]:[C. Imp.]],$D450,Imput[[PERIODO Imp.]:[PERIODO Imp.]],CR$9)</f>
        <v>0</v>
      </c>
      <c r="CS450" s="693">
        <f>SUMIFS(Imput[[Importe Neto]:[Importe Neto]],Imput[[C. Imp.]:[C. Imp.]],$D450,Imput[[PERIODO Imp.]:[PERIODO Imp.]],CS$9)</f>
        <v>0</v>
      </c>
      <c r="CT450" s="693">
        <f>SUMIFS(Imput[[Importe Neto]:[Importe Neto]],Imput[[C. Imp.]:[C. Imp.]],$D450,Imput[[PERIODO Imp.]:[PERIODO Imp.]],CT$9)</f>
        <v>0</v>
      </c>
      <c r="CU450" s="693">
        <f>SUMIFS(Imput[[Importe Neto]:[Importe Neto]],Imput[[C. Imp.]:[C. Imp.]],$D450,Imput[[PERIODO Imp.]:[PERIODO Imp.]],CU$9)</f>
        <v>0</v>
      </c>
      <c r="CV450" s="693">
        <f>SUMIFS(Imput[[Importe Neto]:[Importe Neto]],Imput[[C. Imp.]:[C. Imp.]],$D450,Imput[[PERIODO Imp.]:[PERIODO Imp.]],CV$9)</f>
        <v>0</v>
      </c>
      <c r="CW450" s="693">
        <f>SUMIFS(Imput[[Importe Neto]:[Importe Neto]],Imput[[C. Imp.]:[C. Imp.]],$D450,Imput[[PERIODO Imp.]:[PERIODO Imp.]],CW$9)</f>
        <v>0</v>
      </c>
      <c r="CX450" s="693">
        <f>SUMIFS(Imput[[Importe Neto]:[Importe Neto]],Imput[[C. Imp.]:[C. Imp.]],$D450,Imput[[PERIODO Imp.]:[PERIODO Imp.]],CX$9)</f>
        <v>0</v>
      </c>
      <c r="CY450" s="693">
        <f>SUMIFS(Imput[[Importe Neto]:[Importe Neto]],Imput[[C. Imp.]:[C. Imp.]],$D450,Imput[[PERIODO Imp.]:[PERIODO Imp.]],CY$9)</f>
        <v>0</v>
      </c>
      <c r="CZ450" s="693">
        <f>SUMIFS(Imput[[Importe Neto]:[Importe Neto]],Imput[[C. Imp.]:[C. Imp.]],$D450,Imput[[PERIODO Imp.]:[PERIODO Imp.]],CZ$9)</f>
        <v>0</v>
      </c>
      <c r="DA450" s="693">
        <f>SUMIFS(Imput[[Importe Neto]:[Importe Neto]],Imput[[C. Imp.]:[C. Imp.]],$D450,Imput[[PERIODO Imp.]:[PERIODO Imp.]],DA$9)</f>
        <v>0</v>
      </c>
      <c r="DB450" s="693">
        <f>SUMIFS(Imput[[Importe Neto]:[Importe Neto]],Imput[[C. Imp.]:[C. Imp.]],$D450,Imput[[PERIODO Imp.]:[PERIODO Imp.]],DB$9)</f>
        <v>0</v>
      </c>
      <c r="DC450" s="693">
        <f>SUMIFS(Imput[[Importe Neto]:[Importe Neto]],Imput[[C. Imp.]:[C. Imp.]],$D450,Imput[[PERIODO Imp.]:[PERIODO Imp.]],DC$9)</f>
        <v>0</v>
      </c>
      <c r="DD450" s="693">
        <f>SUMIFS(Imput[[Importe Neto]:[Importe Neto]],Imput[[C. Imp.]:[C. Imp.]],$D450,Imput[[PERIODO Imp.]:[PERIODO Imp.]],DD$9)</f>
        <v>0</v>
      </c>
      <c r="DE450" s="693">
        <f>SUMIFS(Imput[[Importe Neto]:[Importe Neto]],Imput[[C. Imp.]:[C. Imp.]],$D450,Imput[[PERIODO Imp.]:[PERIODO Imp.]],DE$9)</f>
        <v>0</v>
      </c>
      <c r="DF450" s="693">
        <f>SUMIFS(Imput[[Importe Neto]:[Importe Neto]],Imput[[C. Imp.]:[C. Imp.]],$D450,Imput[[PERIODO Imp.]:[PERIODO Imp.]],DF$9)</f>
        <v>0</v>
      </c>
      <c r="DG450" s="693">
        <f>SUMIFS(Imput[[Importe Neto]:[Importe Neto]],Imput[[C. Imp.]:[C. Imp.]],$D450,Imput[[PERIODO Imp.]:[PERIODO Imp.]],DG$9)</f>
        <v>0</v>
      </c>
      <c r="DH450" s="694">
        <f>SUMIFS(Imput[[Importe Neto]:[Importe Neto]],Imput[[C. Imp.]:[C. Imp.]],$D450,Imput[[PERIODO Imp.]:[PERIODO Imp.]],DH$9)</f>
        <v>0</v>
      </c>
    </row>
    <row r="451" spans="1:112" s="649" customFormat="1" ht="14.4" hidden="1" outlineLevel="1" thickBot="1" x14ac:dyDescent="0.35">
      <c r="A451" s="652" t="str">
        <f t="shared" si="178"/>
        <v/>
      </c>
      <c r="B451" s="652"/>
      <c r="C451" s="685"/>
      <c r="D451" s="686" t="s">
        <v>2499</v>
      </c>
      <c r="E451" s="686"/>
      <c r="F451" s="720"/>
      <c r="G451" s="688"/>
      <c r="H451" s="689"/>
      <c r="I451" s="851" t="str">
        <f t="shared" si="179"/>
        <v/>
      </c>
      <c r="J451" s="517" t="str">
        <f t="shared" si="180"/>
        <v/>
      </c>
      <c r="K451" s="667"/>
      <c r="L451" s="858"/>
      <c r="M451" s="859"/>
      <c r="N451" s="859"/>
      <c r="O451" s="859"/>
      <c r="P451" s="859"/>
      <c r="Q451" s="859"/>
      <c r="R451" s="859"/>
      <c r="S451" s="859"/>
      <c r="T451" s="859"/>
      <c r="U451" s="859"/>
      <c r="V451" s="859"/>
      <c r="W451" s="859"/>
      <c r="X451" s="859"/>
      <c r="Y451" s="859"/>
      <c r="Z451" s="860"/>
      <c r="AA451" s="860"/>
      <c r="AB451" s="860"/>
      <c r="AC451" s="860"/>
      <c r="AD451" s="860"/>
      <c r="AE451" s="860"/>
      <c r="AF451" s="860"/>
      <c r="AG451" s="860"/>
      <c r="AH451" s="860"/>
      <c r="AI451" s="860"/>
      <c r="AJ451" s="860"/>
      <c r="AK451" s="860"/>
      <c r="AL451" s="860"/>
      <c r="AM451" s="860"/>
      <c r="AN451" s="860"/>
      <c r="AO451" s="860"/>
      <c r="AP451" s="860"/>
      <c r="AQ451" s="860"/>
      <c r="AR451" s="860"/>
      <c r="AS451" s="860"/>
      <c r="AT451" s="860"/>
      <c r="AU451" s="860"/>
      <c r="AV451" s="860"/>
      <c r="AW451" s="860"/>
      <c r="AX451" s="860"/>
      <c r="AY451" s="860"/>
      <c r="AZ451" s="860"/>
      <c r="BA451" s="860"/>
      <c r="BB451" s="860"/>
      <c r="BC451" s="860"/>
      <c r="BD451" s="860"/>
      <c r="BE451" s="860"/>
      <c r="BF451" s="860"/>
      <c r="BG451" s="860"/>
      <c r="BH451" s="668"/>
      <c r="BI451" s="654"/>
      <c r="BJ451" s="690">
        <f t="shared" si="181"/>
        <v>0</v>
      </c>
      <c r="BK451" s="691">
        <f t="shared" si="182"/>
        <v>0</v>
      </c>
      <c r="BL451" s="654"/>
      <c r="BM451" s="692">
        <f>SUMIFS(Imput[[Importe Neto]:[Importe Neto]],Imput[[C. Imp.]:[C. Imp.]],$D451,Imput[[PERIODO Imp.]:[PERIODO Imp.]],BM$9)</f>
        <v>0</v>
      </c>
      <c r="BN451" s="693">
        <f>SUMIFS(Imput[[Importe Neto]:[Importe Neto]],Imput[[C. Imp.]:[C. Imp.]],$D451,Imput[[PERIODO Imp.]:[PERIODO Imp.]],BN$9)</f>
        <v>0</v>
      </c>
      <c r="BO451" s="693">
        <f>SUMIFS(Imput[[Importe Neto]:[Importe Neto]],Imput[[C. Imp.]:[C. Imp.]],$D451,Imput[[PERIODO Imp.]:[PERIODO Imp.]],BO$9)</f>
        <v>0</v>
      </c>
      <c r="BP451" s="693">
        <f>SUMIFS(Imput[[Importe Neto]:[Importe Neto]],Imput[[C. Imp.]:[C. Imp.]],$D451,Imput[[PERIODO Imp.]:[PERIODO Imp.]],BP$9)</f>
        <v>0</v>
      </c>
      <c r="BQ451" s="693">
        <f>SUMIFS(Imput[[Importe Neto]:[Importe Neto]],Imput[[C. Imp.]:[C. Imp.]],$D451,Imput[[PERIODO Imp.]:[PERIODO Imp.]],BQ$9)</f>
        <v>0</v>
      </c>
      <c r="BR451" s="693">
        <f>SUMIFS(Imput[[Importe Neto]:[Importe Neto]],Imput[[C. Imp.]:[C. Imp.]],$D451,Imput[[PERIODO Imp.]:[PERIODO Imp.]],BR$9)</f>
        <v>0</v>
      </c>
      <c r="BS451" s="693">
        <f>SUMIFS(Imput[[Importe Neto]:[Importe Neto]],Imput[[C. Imp.]:[C. Imp.]],$D451,Imput[[PERIODO Imp.]:[PERIODO Imp.]],BS$9)</f>
        <v>0</v>
      </c>
      <c r="BT451" s="693">
        <f>SUMIFS(Imput[[Importe Neto]:[Importe Neto]],Imput[[C. Imp.]:[C. Imp.]],$D451,Imput[[PERIODO Imp.]:[PERIODO Imp.]],BT$9)</f>
        <v>0</v>
      </c>
      <c r="BU451" s="693">
        <f>SUMIFS(Imput[[Importe Neto]:[Importe Neto]],Imput[[C. Imp.]:[C. Imp.]],$D451,Imput[[PERIODO Imp.]:[PERIODO Imp.]],BU$9)</f>
        <v>0</v>
      </c>
      <c r="BV451" s="693">
        <f>SUMIFS(Imput[[Importe Neto]:[Importe Neto]],Imput[[C. Imp.]:[C. Imp.]],$D451,Imput[[PERIODO Imp.]:[PERIODO Imp.]],BV$9)</f>
        <v>0</v>
      </c>
      <c r="BW451" s="693">
        <f>SUMIFS(Imput[[Importe Neto]:[Importe Neto]],Imput[[C. Imp.]:[C. Imp.]],$D451,Imput[[PERIODO Imp.]:[PERIODO Imp.]],BW$9)</f>
        <v>0</v>
      </c>
      <c r="BX451" s="693">
        <f>SUMIFS(Imput[[Importe Neto]:[Importe Neto]],Imput[[C. Imp.]:[C. Imp.]],$D451,Imput[[PERIODO Imp.]:[PERIODO Imp.]],BX$9)</f>
        <v>0</v>
      </c>
      <c r="BY451" s="693">
        <f>SUMIFS(Imput[[Importe Neto]:[Importe Neto]],Imput[[C. Imp.]:[C. Imp.]],$D451,Imput[[PERIODO Imp.]:[PERIODO Imp.]],BY$9)</f>
        <v>0</v>
      </c>
      <c r="BZ451" s="693">
        <f>SUMIFS(Imput[[Importe Neto]:[Importe Neto]],Imput[[C. Imp.]:[C. Imp.]],$D451,Imput[[PERIODO Imp.]:[PERIODO Imp.]],BZ$9)</f>
        <v>0</v>
      </c>
      <c r="CA451" s="693">
        <f>SUMIFS(Imput[[Importe Neto]:[Importe Neto]],Imput[[C. Imp.]:[C. Imp.]],$D451,Imput[[PERIODO Imp.]:[PERIODO Imp.]],CA$9)</f>
        <v>0</v>
      </c>
      <c r="CB451" s="693">
        <f>SUMIFS(Imput[[Importe Neto]:[Importe Neto]],Imput[[C. Imp.]:[C. Imp.]],$D451,Imput[[PERIODO Imp.]:[PERIODO Imp.]],CB$9)</f>
        <v>0</v>
      </c>
      <c r="CC451" s="693">
        <f>SUMIFS(Imput[[Importe Neto]:[Importe Neto]],Imput[[C. Imp.]:[C. Imp.]],$D451,Imput[[PERIODO Imp.]:[PERIODO Imp.]],CC$9)</f>
        <v>0</v>
      </c>
      <c r="CD451" s="693">
        <f>SUMIFS(Imput[[Importe Neto]:[Importe Neto]],Imput[[C. Imp.]:[C. Imp.]],$D451,Imput[[PERIODO Imp.]:[PERIODO Imp.]],CD$9)</f>
        <v>0</v>
      </c>
      <c r="CE451" s="693">
        <f>SUMIFS(Imput[[Importe Neto]:[Importe Neto]],Imput[[C. Imp.]:[C. Imp.]],$D451,Imput[[PERIODO Imp.]:[PERIODO Imp.]],CE$9)</f>
        <v>0</v>
      </c>
      <c r="CF451" s="693">
        <f>SUMIFS(Imput[[Importe Neto]:[Importe Neto]],Imput[[C. Imp.]:[C. Imp.]],$D451,Imput[[PERIODO Imp.]:[PERIODO Imp.]],CF$9)</f>
        <v>0</v>
      </c>
      <c r="CG451" s="693">
        <f>SUMIFS(Imput[[Importe Neto]:[Importe Neto]],Imput[[C. Imp.]:[C. Imp.]],$D451,Imput[[PERIODO Imp.]:[PERIODO Imp.]],CG$9)</f>
        <v>0</v>
      </c>
      <c r="CH451" s="693">
        <f>SUMIFS(Imput[[Importe Neto]:[Importe Neto]],Imput[[C. Imp.]:[C. Imp.]],$D451,Imput[[PERIODO Imp.]:[PERIODO Imp.]],CH$9)</f>
        <v>0</v>
      </c>
      <c r="CI451" s="693">
        <f>SUMIFS(Imput[[Importe Neto]:[Importe Neto]],Imput[[C. Imp.]:[C. Imp.]],$D451,Imput[[PERIODO Imp.]:[PERIODO Imp.]],CI$9)</f>
        <v>0</v>
      </c>
      <c r="CJ451" s="693">
        <f>SUMIFS(Imput[[Importe Neto]:[Importe Neto]],Imput[[C. Imp.]:[C. Imp.]],$D451,Imput[[PERIODO Imp.]:[PERIODO Imp.]],CJ$9)</f>
        <v>0</v>
      </c>
      <c r="CK451" s="693">
        <f>SUMIFS(Imput[[Importe Neto]:[Importe Neto]],Imput[[C. Imp.]:[C. Imp.]],$D451,Imput[[PERIODO Imp.]:[PERIODO Imp.]],CK$9)</f>
        <v>0</v>
      </c>
      <c r="CL451" s="693">
        <f>SUMIFS(Imput[[Importe Neto]:[Importe Neto]],Imput[[C. Imp.]:[C. Imp.]],$D451,Imput[[PERIODO Imp.]:[PERIODO Imp.]],CL$9)</f>
        <v>0</v>
      </c>
      <c r="CM451" s="693">
        <f>SUMIFS(Imput[[Importe Neto]:[Importe Neto]],Imput[[C. Imp.]:[C. Imp.]],$D451,Imput[[PERIODO Imp.]:[PERIODO Imp.]],CM$9)</f>
        <v>0</v>
      </c>
      <c r="CN451" s="693">
        <f>SUMIFS(Imput[[Importe Neto]:[Importe Neto]],Imput[[C. Imp.]:[C. Imp.]],$D451,Imput[[PERIODO Imp.]:[PERIODO Imp.]],CN$9)</f>
        <v>0</v>
      </c>
      <c r="CO451" s="693">
        <f>SUMIFS(Imput[[Importe Neto]:[Importe Neto]],Imput[[C. Imp.]:[C. Imp.]],$D451,Imput[[PERIODO Imp.]:[PERIODO Imp.]],CO$9)</f>
        <v>0</v>
      </c>
      <c r="CP451" s="693">
        <f>SUMIFS(Imput[[Importe Neto]:[Importe Neto]],Imput[[C. Imp.]:[C. Imp.]],$D451,Imput[[PERIODO Imp.]:[PERIODO Imp.]],CP$9)</f>
        <v>0</v>
      </c>
      <c r="CQ451" s="693">
        <f>SUMIFS(Imput[[Importe Neto]:[Importe Neto]],Imput[[C. Imp.]:[C. Imp.]],$D451,Imput[[PERIODO Imp.]:[PERIODO Imp.]],CQ$9)</f>
        <v>0</v>
      </c>
      <c r="CR451" s="693">
        <f>SUMIFS(Imput[[Importe Neto]:[Importe Neto]],Imput[[C. Imp.]:[C. Imp.]],$D451,Imput[[PERIODO Imp.]:[PERIODO Imp.]],CR$9)</f>
        <v>0</v>
      </c>
      <c r="CS451" s="693">
        <f>SUMIFS(Imput[[Importe Neto]:[Importe Neto]],Imput[[C. Imp.]:[C. Imp.]],$D451,Imput[[PERIODO Imp.]:[PERIODO Imp.]],CS$9)</f>
        <v>0</v>
      </c>
      <c r="CT451" s="693">
        <f>SUMIFS(Imput[[Importe Neto]:[Importe Neto]],Imput[[C. Imp.]:[C. Imp.]],$D451,Imput[[PERIODO Imp.]:[PERIODO Imp.]],CT$9)</f>
        <v>0</v>
      </c>
      <c r="CU451" s="693">
        <f>SUMIFS(Imput[[Importe Neto]:[Importe Neto]],Imput[[C. Imp.]:[C. Imp.]],$D451,Imput[[PERIODO Imp.]:[PERIODO Imp.]],CU$9)</f>
        <v>0</v>
      </c>
      <c r="CV451" s="693">
        <f>SUMIFS(Imput[[Importe Neto]:[Importe Neto]],Imput[[C. Imp.]:[C. Imp.]],$D451,Imput[[PERIODO Imp.]:[PERIODO Imp.]],CV$9)</f>
        <v>0</v>
      </c>
      <c r="CW451" s="693">
        <f>SUMIFS(Imput[[Importe Neto]:[Importe Neto]],Imput[[C. Imp.]:[C. Imp.]],$D451,Imput[[PERIODO Imp.]:[PERIODO Imp.]],CW$9)</f>
        <v>0</v>
      </c>
      <c r="CX451" s="693">
        <f>SUMIFS(Imput[[Importe Neto]:[Importe Neto]],Imput[[C. Imp.]:[C. Imp.]],$D451,Imput[[PERIODO Imp.]:[PERIODO Imp.]],CX$9)</f>
        <v>0</v>
      </c>
      <c r="CY451" s="693">
        <f>SUMIFS(Imput[[Importe Neto]:[Importe Neto]],Imput[[C. Imp.]:[C. Imp.]],$D451,Imput[[PERIODO Imp.]:[PERIODO Imp.]],CY$9)</f>
        <v>0</v>
      </c>
      <c r="CZ451" s="693">
        <f>SUMIFS(Imput[[Importe Neto]:[Importe Neto]],Imput[[C. Imp.]:[C. Imp.]],$D451,Imput[[PERIODO Imp.]:[PERIODO Imp.]],CZ$9)</f>
        <v>0</v>
      </c>
      <c r="DA451" s="693">
        <f>SUMIFS(Imput[[Importe Neto]:[Importe Neto]],Imput[[C. Imp.]:[C. Imp.]],$D451,Imput[[PERIODO Imp.]:[PERIODO Imp.]],DA$9)</f>
        <v>0</v>
      </c>
      <c r="DB451" s="693">
        <f>SUMIFS(Imput[[Importe Neto]:[Importe Neto]],Imput[[C. Imp.]:[C. Imp.]],$D451,Imput[[PERIODO Imp.]:[PERIODO Imp.]],DB$9)</f>
        <v>0</v>
      </c>
      <c r="DC451" s="693">
        <f>SUMIFS(Imput[[Importe Neto]:[Importe Neto]],Imput[[C. Imp.]:[C. Imp.]],$D451,Imput[[PERIODO Imp.]:[PERIODO Imp.]],DC$9)</f>
        <v>0</v>
      </c>
      <c r="DD451" s="693">
        <f>SUMIFS(Imput[[Importe Neto]:[Importe Neto]],Imput[[C. Imp.]:[C. Imp.]],$D451,Imput[[PERIODO Imp.]:[PERIODO Imp.]],DD$9)</f>
        <v>0</v>
      </c>
      <c r="DE451" s="693">
        <f>SUMIFS(Imput[[Importe Neto]:[Importe Neto]],Imput[[C. Imp.]:[C. Imp.]],$D451,Imput[[PERIODO Imp.]:[PERIODO Imp.]],DE$9)</f>
        <v>0</v>
      </c>
      <c r="DF451" s="693">
        <f>SUMIFS(Imput[[Importe Neto]:[Importe Neto]],Imput[[C. Imp.]:[C. Imp.]],$D451,Imput[[PERIODO Imp.]:[PERIODO Imp.]],DF$9)</f>
        <v>0</v>
      </c>
      <c r="DG451" s="693">
        <f>SUMIFS(Imput[[Importe Neto]:[Importe Neto]],Imput[[C. Imp.]:[C. Imp.]],$D451,Imput[[PERIODO Imp.]:[PERIODO Imp.]],DG$9)</f>
        <v>0</v>
      </c>
      <c r="DH451" s="694">
        <f>SUMIFS(Imput[[Importe Neto]:[Importe Neto]],Imput[[C. Imp.]:[C. Imp.]],$D451,Imput[[PERIODO Imp.]:[PERIODO Imp.]],DH$9)</f>
        <v>0</v>
      </c>
    </row>
    <row r="452" spans="1:112" s="649" customFormat="1" ht="14.4" hidden="1" outlineLevel="1" thickBot="1" x14ac:dyDescent="0.35">
      <c r="A452" s="652" t="str">
        <f t="shared" si="178"/>
        <v/>
      </c>
      <c r="B452" s="652"/>
      <c r="C452" s="685"/>
      <c r="D452" s="686" t="s">
        <v>2500</v>
      </c>
      <c r="E452" s="686"/>
      <c r="F452" s="720"/>
      <c r="G452" s="688"/>
      <c r="H452" s="689"/>
      <c r="I452" s="851" t="str">
        <f t="shared" si="179"/>
        <v/>
      </c>
      <c r="J452" s="517" t="str">
        <f t="shared" si="180"/>
        <v/>
      </c>
      <c r="K452" s="667"/>
      <c r="L452" s="858"/>
      <c r="M452" s="859"/>
      <c r="N452" s="859"/>
      <c r="O452" s="859"/>
      <c r="P452" s="859"/>
      <c r="Q452" s="859"/>
      <c r="R452" s="859"/>
      <c r="S452" s="859"/>
      <c r="T452" s="859"/>
      <c r="U452" s="859"/>
      <c r="V452" s="859"/>
      <c r="W452" s="859"/>
      <c r="X452" s="859"/>
      <c r="Y452" s="859"/>
      <c r="Z452" s="860"/>
      <c r="AA452" s="860"/>
      <c r="AB452" s="860"/>
      <c r="AC452" s="860"/>
      <c r="AD452" s="860"/>
      <c r="AE452" s="860"/>
      <c r="AF452" s="860"/>
      <c r="AG452" s="860"/>
      <c r="AH452" s="860"/>
      <c r="AI452" s="860"/>
      <c r="AJ452" s="860"/>
      <c r="AK452" s="860"/>
      <c r="AL452" s="860"/>
      <c r="AM452" s="860"/>
      <c r="AN452" s="860"/>
      <c r="AO452" s="860"/>
      <c r="AP452" s="860"/>
      <c r="AQ452" s="860"/>
      <c r="AR452" s="860"/>
      <c r="AS452" s="860"/>
      <c r="AT452" s="860"/>
      <c r="AU452" s="860"/>
      <c r="AV452" s="860"/>
      <c r="AW452" s="860"/>
      <c r="AX452" s="860"/>
      <c r="AY452" s="860"/>
      <c r="AZ452" s="860"/>
      <c r="BA452" s="860"/>
      <c r="BB452" s="860"/>
      <c r="BC452" s="860"/>
      <c r="BD452" s="860"/>
      <c r="BE452" s="860"/>
      <c r="BF452" s="860"/>
      <c r="BG452" s="860"/>
      <c r="BH452" s="668"/>
      <c r="BI452" s="654"/>
      <c r="BJ452" s="690">
        <f t="shared" si="181"/>
        <v>0</v>
      </c>
      <c r="BK452" s="691">
        <f t="shared" si="182"/>
        <v>0</v>
      </c>
      <c r="BL452" s="654"/>
      <c r="BM452" s="692">
        <f>SUMIFS(Imput[[Importe Neto]:[Importe Neto]],Imput[[C. Imp.]:[C. Imp.]],$D452,Imput[[PERIODO Imp.]:[PERIODO Imp.]],BM$9)</f>
        <v>0</v>
      </c>
      <c r="BN452" s="693">
        <f>SUMIFS(Imput[[Importe Neto]:[Importe Neto]],Imput[[C. Imp.]:[C. Imp.]],$D452,Imput[[PERIODO Imp.]:[PERIODO Imp.]],BN$9)</f>
        <v>0</v>
      </c>
      <c r="BO452" s="693">
        <f>SUMIFS(Imput[[Importe Neto]:[Importe Neto]],Imput[[C. Imp.]:[C. Imp.]],$D452,Imput[[PERIODO Imp.]:[PERIODO Imp.]],BO$9)</f>
        <v>0</v>
      </c>
      <c r="BP452" s="693">
        <f>SUMIFS(Imput[[Importe Neto]:[Importe Neto]],Imput[[C. Imp.]:[C. Imp.]],$D452,Imput[[PERIODO Imp.]:[PERIODO Imp.]],BP$9)</f>
        <v>0</v>
      </c>
      <c r="BQ452" s="693">
        <f>SUMIFS(Imput[[Importe Neto]:[Importe Neto]],Imput[[C. Imp.]:[C. Imp.]],$D452,Imput[[PERIODO Imp.]:[PERIODO Imp.]],BQ$9)</f>
        <v>0</v>
      </c>
      <c r="BR452" s="693">
        <f>SUMIFS(Imput[[Importe Neto]:[Importe Neto]],Imput[[C. Imp.]:[C. Imp.]],$D452,Imput[[PERIODO Imp.]:[PERIODO Imp.]],BR$9)</f>
        <v>0</v>
      </c>
      <c r="BS452" s="693">
        <f>SUMIFS(Imput[[Importe Neto]:[Importe Neto]],Imput[[C. Imp.]:[C. Imp.]],$D452,Imput[[PERIODO Imp.]:[PERIODO Imp.]],BS$9)</f>
        <v>0</v>
      </c>
      <c r="BT452" s="693">
        <f>SUMIFS(Imput[[Importe Neto]:[Importe Neto]],Imput[[C. Imp.]:[C. Imp.]],$D452,Imput[[PERIODO Imp.]:[PERIODO Imp.]],BT$9)</f>
        <v>0</v>
      </c>
      <c r="BU452" s="693">
        <f>SUMIFS(Imput[[Importe Neto]:[Importe Neto]],Imput[[C. Imp.]:[C. Imp.]],$D452,Imput[[PERIODO Imp.]:[PERIODO Imp.]],BU$9)</f>
        <v>0</v>
      </c>
      <c r="BV452" s="693">
        <f>SUMIFS(Imput[[Importe Neto]:[Importe Neto]],Imput[[C. Imp.]:[C. Imp.]],$D452,Imput[[PERIODO Imp.]:[PERIODO Imp.]],BV$9)</f>
        <v>0</v>
      </c>
      <c r="BW452" s="693">
        <f>SUMIFS(Imput[[Importe Neto]:[Importe Neto]],Imput[[C. Imp.]:[C. Imp.]],$D452,Imput[[PERIODO Imp.]:[PERIODO Imp.]],BW$9)</f>
        <v>0</v>
      </c>
      <c r="BX452" s="693">
        <f>SUMIFS(Imput[[Importe Neto]:[Importe Neto]],Imput[[C. Imp.]:[C. Imp.]],$D452,Imput[[PERIODO Imp.]:[PERIODO Imp.]],BX$9)</f>
        <v>0</v>
      </c>
      <c r="BY452" s="693">
        <f>SUMIFS(Imput[[Importe Neto]:[Importe Neto]],Imput[[C. Imp.]:[C. Imp.]],$D452,Imput[[PERIODO Imp.]:[PERIODO Imp.]],BY$9)</f>
        <v>0</v>
      </c>
      <c r="BZ452" s="693">
        <f>SUMIFS(Imput[[Importe Neto]:[Importe Neto]],Imput[[C. Imp.]:[C. Imp.]],$D452,Imput[[PERIODO Imp.]:[PERIODO Imp.]],BZ$9)</f>
        <v>0</v>
      </c>
      <c r="CA452" s="693">
        <f>SUMIFS(Imput[[Importe Neto]:[Importe Neto]],Imput[[C. Imp.]:[C. Imp.]],$D452,Imput[[PERIODO Imp.]:[PERIODO Imp.]],CA$9)</f>
        <v>0</v>
      </c>
      <c r="CB452" s="693">
        <f>SUMIFS(Imput[[Importe Neto]:[Importe Neto]],Imput[[C. Imp.]:[C. Imp.]],$D452,Imput[[PERIODO Imp.]:[PERIODO Imp.]],CB$9)</f>
        <v>0</v>
      </c>
      <c r="CC452" s="693">
        <f>SUMIFS(Imput[[Importe Neto]:[Importe Neto]],Imput[[C. Imp.]:[C. Imp.]],$D452,Imput[[PERIODO Imp.]:[PERIODO Imp.]],CC$9)</f>
        <v>0</v>
      </c>
      <c r="CD452" s="693">
        <f>SUMIFS(Imput[[Importe Neto]:[Importe Neto]],Imput[[C. Imp.]:[C. Imp.]],$D452,Imput[[PERIODO Imp.]:[PERIODO Imp.]],CD$9)</f>
        <v>0</v>
      </c>
      <c r="CE452" s="693">
        <f>SUMIFS(Imput[[Importe Neto]:[Importe Neto]],Imput[[C. Imp.]:[C. Imp.]],$D452,Imput[[PERIODO Imp.]:[PERIODO Imp.]],CE$9)</f>
        <v>0</v>
      </c>
      <c r="CF452" s="693">
        <f>SUMIFS(Imput[[Importe Neto]:[Importe Neto]],Imput[[C. Imp.]:[C. Imp.]],$D452,Imput[[PERIODO Imp.]:[PERIODO Imp.]],CF$9)</f>
        <v>0</v>
      </c>
      <c r="CG452" s="693">
        <f>SUMIFS(Imput[[Importe Neto]:[Importe Neto]],Imput[[C. Imp.]:[C. Imp.]],$D452,Imput[[PERIODO Imp.]:[PERIODO Imp.]],CG$9)</f>
        <v>0</v>
      </c>
      <c r="CH452" s="693">
        <f>SUMIFS(Imput[[Importe Neto]:[Importe Neto]],Imput[[C. Imp.]:[C. Imp.]],$D452,Imput[[PERIODO Imp.]:[PERIODO Imp.]],CH$9)</f>
        <v>0</v>
      </c>
      <c r="CI452" s="693">
        <f>SUMIFS(Imput[[Importe Neto]:[Importe Neto]],Imput[[C. Imp.]:[C. Imp.]],$D452,Imput[[PERIODO Imp.]:[PERIODO Imp.]],CI$9)</f>
        <v>0</v>
      </c>
      <c r="CJ452" s="693">
        <f>SUMIFS(Imput[[Importe Neto]:[Importe Neto]],Imput[[C. Imp.]:[C. Imp.]],$D452,Imput[[PERIODO Imp.]:[PERIODO Imp.]],CJ$9)</f>
        <v>0</v>
      </c>
      <c r="CK452" s="693">
        <f>SUMIFS(Imput[[Importe Neto]:[Importe Neto]],Imput[[C. Imp.]:[C. Imp.]],$D452,Imput[[PERIODO Imp.]:[PERIODO Imp.]],CK$9)</f>
        <v>0</v>
      </c>
      <c r="CL452" s="693">
        <f>SUMIFS(Imput[[Importe Neto]:[Importe Neto]],Imput[[C. Imp.]:[C. Imp.]],$D452,Imput[[PERIODO Imp.]:[PERIODO Imp.]],CL$9)</f>
        <v>0</v>
      </c>
      <c r="CM452" s="693">
        <f>SUMIFS(Imput[[Importe Neto]:[Importe Neto]],Imput[[C. Imp.]:[C. Imp.]],$D452,Imput[[PERIODO Imp.]:[PERIODO Imp.]],CM$9)</f>
        <v>0</v>
      </c>
      <c r="CN452" s="693">
        <f>SUMIFS(Imput[[Importe Neto]:[Importe Neto]],Imput[[C. Imp.]:[C. Imp.]],$D452,Imput[[PERIODO Imp.]:[PERIODO Imp.]],CN$9)</f>
        <v>0</v>
      </c>
      <c r="CO452" s="693">
        <f>SUMIFS(Imput[[Importe Neto]:[Importe Neto]],Imput[[C. Imp.]:[C. Imp.]],$D452,Imput[[PERIODO Imp.]:[PERIODO Imp.]],CO$9)</f>
        <v>0</v>
      </c>
      <c r="CP452" s="693">
        <f>SUMIFS(Imput[[Importe Neto]:[Importe Neto]],Imput[[C. Imp.]:[C. Imp.]],$D452,Imput[[PERIODO Imp.]:[PERIODO Imp.]],CP$9)</f>
        <v>0</v>
      </c>
      <c r="CQ452" s="693">
        <f>SUMIFS(Imput[[Importe Neto]:[Importe Neto]],Imput[[C. Imp.]:[C. Imp.]],$D452,Imput[[PERIODO Imp.]:[PERIODO Imp.]],CQ$9)</f>
        <v>0</v>
      </c>
      <c r="CR452" s="693">
        <f>SUMIFS(Imput[[Importe Neto]:[Importe Neto]],Imput[[C. Imp.]:[C. Imp.]],$D452,Imput[[PERIODO Imp.]:[PERIODO Imp.]],CR$9)</f>
        <v>0</v>
      </c>
      <c r="CS452" s="693">
        <f>SUMIFS(Imput[[Importe Neto]:[Importe Neto]],Imput[[C. Imp.]:[C. Imp.]],$D452,Imput[[PERIODO Imp.]:[PERIODO Imp.]],CS$9)</f>
        <v>0</v>
      </c>
      <c r="CT452" s="693">
        <f>SUMIFS(Imput[[Importe Neto]:[Importe Neto]],Imput[[C. Imp.]:[C. Imp.]],$D452,Imput[[PERIODO Imp.]:[PERIODO Imp.]],CT$9)</f>
        <v>0</v>
      </c>
      <c r="CU452" s="693">
        <f>SUMIFS(Imput[[Importe Neto]:[Importe Neto]],Imput[[C. Imp.]:[C. Imp.]],$D452,Imput[[PERIODO Imp.]:[PERIODO Imp.]],CU$9)</f>
        <v>0</v>
      </c>
      <c r="CV452" s="693">
        <f>SUMIFS(Imput[[Importe Neto]:[Importe Neto]],Imput[[C. Imp.]:[C. Imp.]],$D452,Imput[[PERIODO Imp.]:[PERIODO Imp.]],CV$9)</f>
        <v>0</v>
      </c>
      <c r="CW452" s="693">
        <f>SUMIFS(Imput[[Importe Neto]:[Importe Neto]],Imput[[C. Imp.]:[C. Imp.]],$D452,Imput[[PERIODO Imp.]:[PERIODO Imp.]],CW$9)</f>
        <v>0</v>
      </c>
      <c r="CX452" s="693">
        <f>SUMIFS(Imput[[Importe Neto]:[Importe Neto]],Imput[[C. Imp.]:[C. Imp.]],$D452,Imput[[PERIODO Imp.]:[PERIODO Imp.]],CX$9)</f>
        <v>0</v>
      </c>
      <c r="CY452" s="693">
        <f>SUMIFS(Imput[[Importe Neto]:[Importe Neto]],Imput[[C. Imp.]:[C. Imp.]],$D452,Imput[[PERIODO Imp.]:[PERIODO Imp.]],CY$9)</f>
        <v>0</v>
      </c>
      <c r="CZ452" s="693">
        <f>SUMIFS(Imput[[Importe Neto]:[Importe Neto]],Imput[[C. Imp.]:[C. Imp.]],$D452,Imput[[PERIODO Imp.]:[PERIODO Imp.]],CZ$9)</f>
        <v>0</v>
      </c>
      <c r="DA452" s="693">
        <f>SUMIFS(Imput[[Importe Neto]:[Importe Neto]],Imput[[C. Imp.]:[C. Imp.]],$D452,Imput[[PERIODO Imp.]:[PERIODO Imp.]],DA$9)</f>
        <v>0</v>
      </c>
      <c r="DB452" s="693">
        <f>SUMIFS(Imput[[Importe Neto]:[Importe Neto]],Imput[[C. Imp.]:[C. Imp.]],$D452,Imput[[PERIODO Imp.]:[PERIODO Imp.]],DB$9)</f>
        <v>0</v>
      </c>
      <c r="DC452" s="693">
        <f>SUMIFS(Imput[[Importe Neto]:[Importe Neto]],Imput[[C. Imp.]:[C. Imp.]],$D452,Imput[[PERIODO Imp.]:[PERIODO Imp.]],DC$9)</f>
        <v>0</v>
      </c>
      <c r="DD452" s="693">
        <f>SUMIFS(Imput[[Importe Neto]:[Importe Neto]],Imput[[C. Imp.]:[C. Imp.]],$D452,Imput[[PERIODO Imp.]:[PERIODO Imp.]],DD$9)</f>
        <v>0</v>
      </c>
      <c r="DE452" s="693">
        <f>SUMIFS(Imput[[Importe Neto]:[Importe Neto]],Imput[[C. Imp.]:[C. Imp.]],$D452,Imput[[PERIODO Imp.]:[PERIODO Imp.]],DE$9)</f>
        <v>0</v>
      </c>
      <c r="DF452" s="693">
        <f>SUMIFS(Imput[[Importe Neto]:[Importe Neto]],Imput[[C. Imp.]:[C. Imp.]],$D452,Imput[[PERIODO Imp.]:[PERIODO Imp.]],DF$9)</f>
        <v>0</v>
      </c>
      <c r="DG452" s="693">
        <f>SUMIFS(Imput[[Importe Neto]:[Importe Neto]],Imput[[C. Imp.]:[C. Imp.]],$D452,Imput[[PERIODO Imp.]:[PERIODO Imp.]],DG$9)</f>
        <v>0</v>
      </c>
      <c r="DH452" s="694">
        <f>SUMIFS(Imput[[Importe Neto]:[Importe Neto]],Imput[[C. Imp.]:[C. Imp.]],$D452,Imput[[PERIODO Imp.]:[PERIODO Imp.]],DH$9)</f>
        <v>0</v>
      </c>
    </row>
    <row r="453" spans="1:112" s="649" customFormat="1" ht="14.4" hidden="1" outlineLevel="1" thickBot="1" x14ac:dyDescent="0.35">
      <c r="A453" s="652" t="str">
        <f t="shared" si="178"/>
        <v/>
      </c>
      <c r="B453" s="652"/>
      <c r="C453" s="685"/>
      <c r="D453" s="686" t="s">
        <v>2501</v>
      </c>
      <c r="E453" s="686"/>
      <c r="F453" s="720"/>
      <c r="G453" s="688"/>
      <c r="H453" s="689"/>
      <c r="I453" s="851" t="str">
        <f t="shared" si="179"/>
        <v/>
      </c>
      <c r="J453" s="517" t="str">
        <f t="shared" si="180"/>
        <v/>
      </c>
      <c r="K453" s="667"/>
      <c r="L453" s="858"/>
      <c r="M453" s="859"/>
      <c r="N453" s="859"/>
      <c r="O453" s="859"/>
      <c r="P453" s="859"/>
      <c r="Q453" s="859"/>
      <c r="R453" s="859"/>
      <c r="S453" s="859"/>
      <c r="T453" s="859"/>
      <c r="U453" s="859"/>
      <c r="V453" s="859"/>
      <c r="W453" s="859"/>
      <c r="X453" s="859"/>
      <c r="Y453" s="859"/>
      <c r="Z453" s="860"/>
      <c r="AA453" s="860"/>
      <c r="AB453" s="860"/>
      <c r="AC453" s="860"/>
      <c r="AD453" s="860"/>
      <c r="AE453" s="860"/>
      <c r="AF453" s="860"/>
      <c r="AG453" s="860"/>
      <c r="AH453" s="860"/>
      <c r="AI453" s="860"/>
      <c r="AJ453" s="860"/>
      <c r="AK453" s="860"/>
      <c r="AL453" s="860"/>
      <c r="AM453" s="860"/>
      <c r="AN453" s="860"/>
      <c r="AO453" s="860"/>
      <c r="AP453" s="860"/>
      <c r="AQ453" s="860"/>
      <c r="AR453" s="860"/>
      <c r="AS453" s="860"/>
      <c r="AT453" s="860"/>
      <c r="AU453" s="860"/>
      <c r="AV453" s="860"/>
      <c r="AW453" s="860"/>
      <c r="AX453" s="860"/>
      <c r="AY453" s="860"/>
      <c r="AZ453" s="860"/>
      <c r="BA453" s="860"/>
      <c r="BB453" s="860"/>
      <c r="BC453" s="860"/>
      <c r="BD453" s="860"/>
      <c r="BE453" s="860"/>
      <c r="BF453" s="860"/>
      <c r="BG453" s="860"/>
      <c r="BH453" s="668"/>
      <c r="BI453" s="654"/>
      <c r="BJ453" s="690">
        <f t="shared" si="181"/>
        <v>0</v>
      </c>
      <c r="BK453" s="691">
        <f t="shared" si="182"/>
        <v>0</v>
      </c>
      <c r="BL453" s="654"/>
      <c r="BM453" s="692">
        <f>SUMIFS(Imput[[Importe Neto]:[Importe Neto]],Imput[[C. Imp.]:[C. Imp.]],$D453,Imput[[PERIODO Imp.]:[PERIODO Imp.]],BM$9)</f>
        <v>0</v>
      </c>
      <c r="BN453" s="693">
        <f>SUMIFS(Imput[[Importe Neto]:[Importe Neto]],Imput[[C. Imp.]:[C. Imp.]],$D453,Imput[[PERIODO Imp.]:[PERIODO Imp.]],BN$9)</f>
        <v>0</v>
      </c>
      <c r="BO453" s="693">
        <f>SUMIFS(Imput[[Importe Neto]:[Importe Neto]],Imput[[C. Imp.]:[C. Imp.]],$D453,Imput[[PERIODO Imp.]:[PERIODO Imp.]],BO$9)</f>
        <v>0</v>
      </c>
      <c r="BP453" s="693">
        <f>SUMIFS(Imput[[Importe Neto]:[Importe Neto]],Imput[[C. Imp.]:[C. Imp.]],$D453,Imput[[PERIODO Imp.]:[PERIODO Imp.]],BP$9)</f>
        <v>0</v>
      </c>
      <c r="BQ453" s="693">
        <f>SUMIFS(Imput[[Importe Neto]:[Importe Neto]],Imput[[C. Imp.]:[C. Imp.]],$D453,Imput[[PERIODO Imp.]:[PERIODO Imp.]],BQ$9)</f>
        <v>0</v>
      </c>
      <c r="BR453" s="693">
        <f>SUMIFS(Imput[[Importe Neto]:[Importe Neto]],Imput[[C. Imp.]:[C. Imp.]],$D453,Imput[[PERIODO Imp.]:[PERIODO Imp.]],BR$9)</f>
        <v>0</v>
      </c>
      <c r="BS453" s="693">
        <f>SUMIFS(Imput[[Importe Neto]:[Importe Neto]],Imput[[C. Imp.]:[C. Imp.]],$D453,Imput[[PERIODO Imp.]:[PERIODO Imp.]],BS$9)</f>
        <v>0</v>
      </c>
      <c r="BT453" s="693">
        <f>SUMIFS(Imput[[Importe Neto]:[Importe Neto]],Imput[[C. Imp.]:[C. Imp.]],$D453,Imput[[PERIODO Imp.]:[PERIODO Imp.]],BT$9)</f>
        <v>0</v>
      </c>
      <c r="BU453" s="693">
        <f>SUMIFS(Imput[[Importe Neto]:[Importe Neto]],Imput[[C. Imp.]:[C. Imp.]],$D453,Imput[[PERIODO Imp.]:[PERIODO Imp.]],BU$9)</f>
        <v>0</v>
      </c>
      <c r="BV453" s="693">
        <f>SUMIFS(Imput[[Importe Neto]:[Importe Neto]],Imput[[C. Imp.]:[C. Imp.]],$D453,Imput[[PERIODO Imp.]:[PERIODO Imp.]],BV$9)</f>
        <v>0</v>
      </c>
      <c r="BW453" s="693">
        <f>SUMIFS(Imput[[Importe Neto]:[Importe Neto]],Imput[[C. Imp.]:[C. Imp.]],$D453,Imput[[PERIODO Imp.]:[PERIODO Imp.]],BW$9)</f>
        <v>0</v>
      </c>
      <c r="BX453" s="693">
        <f>SUMIFS(Imput[[Importe Neto]:[Importe Neto]],Imput[[C. Imp.]:[C. Imp.]],$D453,Imput[[PERIODO Imp.]:[PERIODO Imp.]],BX$9)</f>
        <v>0</v>
      </c>
      <c r="BY453" s="693">
        <f>SUMIFS(Imput[[Importe Neto]:[Importe Neto]],Imput[[C. Imp.]:[C. Imp.]],$D453,Imput[[PERIODO Imp.]:[PERIODO Imp.]],BY$9)</f>
        <v>0</v>
      </c>
      <c r="BZ453" s="693">
        <f>SUMIFS(Imput[[Importe Neto]:[Importe Neto]],Imput[[C. Imp.]:[C. Imp.]],$D453,Imput[[PERIODO Imp.]:[PERIODO Imp.]],BZ$9)</f>
        <v>0</v>
      </c>
      <c r="CA453" s="693">
        <f>SUMIFS(Imput[[Importe Neto]:[Importe Neto]],Imput[[C. Imp.]:[C. Imp.]],$D453,Imput[[PERIODO Imp.]:[PERIODO Imp.]],CA$9)</f>
        <v>0</v>
      </c>
      <c r="CB453" s="693">
        <f>SUMIFS(Imput[[Importe Neto]:[Importe Neto]],Imput[[C. Imp.]:[C. Imp.]],$D453,Imput[[PERIODO Imp.]:[PERIODO Imp.]],CB$9)</f>
        <v>0</v>
      </c>
      <c r="CC453" s="693">
        <f>SUMIFS(Imput[[Importe Neto]:[Importe Neto]],Imput[[C. Imp.]:[C. Imp.]],$D453,Imput[[PERIODO Imp.]:[PERIODO Imp.]],CC$9)</f>
        <v>0</v>
      </c>
      <c r="CD453" s="693">
        <f>SUMIFS(Imput[[Importe Neto]:[Importe Neto]],Imput[[C. Imp.]:[C. Imp.]],$D453,Imput[[PERIODO Imp.]:[PERIODO Imp.]],CD$9)</f>
        <v>0</v>
      </c>
      <c r="CE453" s="693">
        <f>SUMIFS(Imput[[Importe Neto]:[Importe Neto]],Imput[[C. Imp.]:[C. Imp.]],$D453,Imput[[PERIODO Imp.]:[PERIODO Imp.]],CE$9)</f>
        <v>0</v>
      </c>
      <c r="CF453" s="693">
        <f>SUMIFS(Imput[[Importe Neto]:[Importe Neto]],Imput[[C. Imp.]:[C. Imp.]],$D453,Imput[[PERIODO Imp.]:[PERIODO Imp.]],CF$9)</f>
        <v>0</v>
      </c>
      <c r="CG453" s="693">
        <f>SUMIFS(Imput[[Importe Neto]:[Importe Neto]],Imput[[C. Imp.]:[C. Imp.]],$D453,Imput[[PERIODO Imp.]:[PERIODO Imp.]],CG$9)</f>
        <v>0</v>
      </c>
      <c r="CH453" s="693">
        <f>SUMIFS(Imput[[Importe Neto]:[Importe Neto]],Imput[[C. Imp.]:[C. Imp.]],$D453,Imput[[PERIODO Imp.]:[PERIODO Imp.]],CH$9)</f>
        <v>0</v>
      </c>
      <c r="CI453" s="693">
        <f>SUMIFS(Imput[[Importe Neto]:[Importe Neto]],Imput[[C. Imp.]:[C. Imp.]],$D453,Imput[[PERIODO Imp.]:[PERIODO Imp.]],CI$9)</f>
        <v>0</v>
      </c>
      <c r="CJ453" s="693">
        <f>SUMIFS(Imput[[Importe Neto]:[Importe Neto]],Imput[[C. Imp.]:[C. Imp.]],$D453,Imput[[PERIODO Imp.]:[PERIODO Imp.]],CJ$9)</f>
        <v>0</v>
      </c>
      <c r="CK453" s="693">
        <f>SUMIFS(Imput[[Importe Neto]:[Importe Neto]],Imput[[C. Imp.]:[C. Imp.]],$D453,Imput[[PERIODO Imp.]:[PERIODO Imp.]],CK$9)</f>
        <v>0</v>
      </c>
      <c r="CL453" s="693">
        <f>SUMIFS(Imput[[Importe Neto]:[Importe Neto]],Imput[[C. Imp.]:[C. Imp.]],$D453,Imput[[PERIODO Imp.]:[PERIODO Imp.]],CL$9)</f>
        <v>0</v>
      </c>
      <c r="CM453" s="693">
        <f>SUMIFS(Imput[[Importe Neto]:[Importe Neto]],Imput[[C. Imp.]:[C. Imp.]],$D453,Imput[[PERIODO Imp.]:[PERIODO Imp.]],CM$9)</f>
        <v>0</v>
      </c>
      <c r="CN453" s="693">
        <f>SUMIFS(Imput[[Importe Neto]:[Importe Neto]],Imput[[C. Imp.]:[C. Imp.]],$D453,Imput[[PERIODO Imp.]:[PERIODO Imp.]],CN$9)</f>
        <v>0</v>
      </c>
      <c r="CO453" s="693">
        <f>SUMIFS(Imput[[Importe Neto]:[Importe Neto]],Imput[[C. Imp.]:[C. Imp.]],$D453,Imput[[PERIODO Imp.]:[PERIODO Imp.]],CO$9)</f>
        <v>0</v>
      </c>
      <c r="CP453" s="693">
        <f>SUMIFS(Imput[[Importe Neto]:[Importe Neto]],Imput[[C. Imp.]:[C. Imp.]],$D453,Imput[[PERIODO Imp.]:[PERIODO Imp.]],CP$9)</f>
        <v>0</v>
      </c>
      <c r="CQ453" s="693">
        <f>SUMIFS(Imput[[Importe Neto]:[Importe Neto]],Imput[[C. Imp.]:[C. Imp.]],$D453,Imput[[PERIODO Imp.]:[PERIODO Imp.]],CQ$9)</f>
        <v>0</v>
      </c>
      <c r="CR453" s="693">
        <f>SUMIFS(Imput[[Importe Neto]:[Importe Neto]],Imput[[C. Imp.]:[C. Imp.]],$D453,Imput[[PERIODO Imp.]:[PERIODO Imp.]],CR$9)</f>
        <v>0</v>
      </c>
      <c r="CS453" s="693">
        <f>SUMIFS(Imput[[Importe Neto]:[Importe Neto]],Imput[[C. Imp.]:[C. Imp.]],$D453,Imput[[PERIODO Imp.]:[PERIODO Imp.]],CS$9)</f>
        <v>0</v>
      </c>
      <c r="CT453" s="693">
        <f>SUMIFS(Imput[[Importe Neto]:[Importe Neto]],Imput[[C. Imp.]:[C. Imp.]],$D453,Imput[[PERIODO Imp.]:[PERIODO Imp.]],CT$9)</f>
        <v>0</v>
      </c>
      <c r="CU453" s="693">
        <f>SUMIFS(Imput[[Importe Neto]:[Importe Neto]],Imput[[C. Imp.]:[C. Imp.]],$D453,Imput[[PERIODO Imp.]:[PERIODO Imp.]],CU$9)</f>
        <v>0</v>
      </c>
      <c r="CV453" s="693">
        <f>SUMIFS(Imput[[Importe Neto]:[Importe Neto]],Imput[[C. Imp.]:[C. Imp.]],$D453,Imput[[PERIODO Imp.]:[PERIODO Imp.]],CV$9)</f>
        <v>0</v>
      </c>
      <c r="CW453" s="693">
        <f>SUMIFS(Imput[[Importe Neto]:[Importe Neto]],Imput[[C. Imp.]:[C. Imp.]],$D453,Imput[[PERIODO Imp.]:[PERIODO Imp.]],CW$9)</f>
        <v>0</v>
      </c>
      <c r="CX453" s="693">
        <f>SUMIFS(Imput[[Importe Neto]:[Importe Neto]],Imput[[C. Imp.]:[C. Imp.]],$D453,Imput[[PERIODO Imp.]:[PERIODO Imp.]],CX$9)</f>
        <v>0</v>
      </c>
      <c r="CY453" s="693">
        <f>SUMIFS(Imput[[Importe Neto]:[Importe Neto]],Imput[[C. Imp.]:[C. Imp.]],$D453,Imput[[PERIODO Imp.]:[PERIODO Imp.]],CY$9)</f>
        <v>0</v>
      </c>
      <c r="CZ453" s="693">
        <f>SUMIFS(Imput[[Importe Neto]:[Importe Neto]],Imput[[C. Imp.]:[C. Imp.]],$D453,Imput[[PERIODO Imp.]:[PERIODO Imp.]],CZ$9)</f>
        <v>0</v>
      </c>
      <c r="DA453" s="693">
        <f>SUMIFS(Imput[[Importe Neto]:[Importe Neto]],Imput[[C. Imp.]:[C. Imp.]],$D453,Imput[[PERIODO Imp.]:[PERIODO Imp.]],DA$9)</f>
        <v>0</v>
      </c>
      <c r="DB453" s="693">
        <f>SUMIFS(Imput[[Importe Neto]:[Importe Neto]],Imput[[C. Imp.]:[C. Imp.]],$D453,Imput[[PERIODO Imp.]:[PERIODO Imp.]],DB$9)</f>
        <v>0</v>
      </c>
      <c r="DC453" s="693">
        <f>SUMIFS(Imput[[Importe Neto]:[Importe Neto]],Imput[[C. Imp.]:[C. Imp.]],$D453,Imput[[PERIODO Imp.]:[PERIODO Imp.]],DC$9)</f>
        <v>0</v>
      </c>
      <c r="DD453" s="693">
        <f>SUMIFS(Imput[[Importe Neto]:[Importe Neto]],Imput[[C. Imp.]:[C. Imp.]],$D453,Imput[[PERIODO Imp.]:[PERIODO Imp.]],DD$9)</f>
        <v>0</v>
      </c>
      <c r="DE453" s="693">
        <f>SUMIFS(Imput[[Importe Neto]:[Importe Neto]],Imput[[C. Imp.]:[C. Imp.]],$D453,Imput[[PERIODO Imp.]:[PERIODO Imp.]],DE$9)</f>
        <v>0</v>
      </c>
      <c r="DF453" s="693">
        <f>SUMIFS(Imput[[Importe Neto]:[Importe Neto]],Imput[[C. Imp.]:[C. Imp.]],$D453,Imput[[PERIODO Imp.]:[PERIODO Imp.]],DF$9)</f>
        <v>0</v>
      </c>
      <c r="DG453" s="693">
        <f>SUMIFS(Imput[[Importe Neto]:[Importe Neto]],Imput[[C. Imp.]:[C. Imp.]],$D453,Imput[[PERIODO Imp.]:[PERIODO Imp.]],DG$9)</f>
        <v>0</v>
      </c>
      <c r="DH453" s="694">
        <f>SUMIFS(Imput[[Importe Neto]:[Importe Neto]],Imput[[C. Imp.]:[C. Imp.]],$D453,Imput[[PERIODO Imp.]:[PERIODO Imp.]],DH$9)</f>
        <v>0</v>
      </c>
    </row>
    <row r="454" spans="1:112" s="649" customFormat="1" ht="14.4" hidden="1" outlineLevel="1" thickBot="1" x14ac:dyDescent="0.35">
      <c r="A454" s="652" t="str">
        <f t="shared" si="178"/>
        <v/>
      </c>
      <c r="B454" s="652"/>
      <c r="C454" s="685"/>
      <c r="D454" s="686" t="s">
        <v>2502</v>
      </c>
      <c r="E454" s="686"/>
      <c r="F454" s="720"/>
      <c r="G454" s="688"/>
      <c r="H454" s="689"/>
      <c r="I454" s="851" t="str">
        <f t="shared" si="179"/>
        <v/>
      </c>
      <c r="J454" s="517" t="str">
        <f t="shared" si="180"/>
        <v/>
      </c>
      <c r="K454" s="667"/>
      <c r="L454" s="858"/>
      <c r="M454" s="859"/>
      <c r="N454" s="859"/>
      <c r="O454" s="859"/>
      <c r="P454" s="859"/>
      <c r="Q454" s="859"/>
      <c r="R454" s="859"/>
      <c r="S454" s="859"/>
      <c r="T454" s="859"/>
      <c r="U454" s="859"/>
      <c r="V454" s="859"/>
      <c r="W454" s="859"/>
      <c r="X454" s="859"/>
      <c r="Y454" s="859"/>
      <c r="Z454" s="860"/>
      <c r="AA454" s="860"/>
      <c r="AB454" s="860"/>
      <c r="AC454" s="860"/>
      <c r="AD454" s="860"/>
      <c r="AE454" s="860"/>
      <c r="AF454" s="860"/>
      <c r="AG454" s="860"/>
      <c r="AH454" s="860"/>
      <c r="AI454" s="860"/>
      <c r="AJ454" s="860"/>
      <c r="AK454" s="860"/>
      <c r="AL454" s="860"/>
      <c r="AM454" s="860"/>
      <c r="AN454" s="860"/>
      <c r="AO454" s="860"/>
      <c r="AP454" s="860"/>
      <c r="AQ454" s="860"/>
      <c r="AR454" s="860"/>
      <c r="AS454" s="860"/>
      <c r="AT454" s="860"/>
      <c r="AU454" s="860"/>
      <c r="AV454" s="860"/>
      <c r="AW454" s="860"/>
      <c r="AX454" s="860"/>
      <c r="AY454" s="860"/>
      <c r="AZ454" s="860"/>
      <c r="BA454" s="860"/>
      <c r="BB454" s="860"/>
      <c r="BC454" s="860"/>
      <c r="BD454" s="860"/>
      <c r="BE454" s="860"/>
      <c r="BF454" s="860"/>
      <c r="BG454" s="860"/>
      <c r="BH454" s="668"/>
      <c r="BI454" s="654"/>
      <c r="BJ454" s="690">
        <f t="shared" si="181"/>
        <v>0</v>
      </c>
      <c r="BK454" s="691">
        <f t="shared" si="182"/>
        <v>0</v>
      </c>
      <c r="BL454" s="654"/>
      <c r="BM454" s="692">
        <f>SUMIFS(Imput[[Importe Neto]:[Importe Neto]],Imput[[C. Imp.]:[C. Imp.]],$D454,Imput[[PERIODO Imp.]:[PERIODO Imp.]],BM$9)</f>
        <v>0</v>
      </c>
      <c r="BN454" s="693">
        <f>SUMIFS(Imput[[Importe Neto]:[Importe Neto]],Imput[[C. Imp.]:[C. Imp.]],$D454,Imput[[PERIODO Imp.]:[PERIODO Imp.]],BN$9)</f>
        <v>0</v>
      </c>
      <c r="BO454" s="693">
        <f>SUMIFS(Imput[[Importe Neto]:[Importe Neto]],Imput[[C. Imp.]:[C. Imp.]],$D454,Imput[[PERIODO Imp.]:[PERIODO Imp.]],BO$9)</f>
        <v>0</v>
      </c>
      <c r="BP454" s="693">
        <f>SUMIFS(Imput[[Importe Neto]:[Importe Neto]],Imput[[C. Imp.]:[C. Imp.]],$D454,Imput[[PERIODO Imp.]:[PERIODO Imp.]],BP$9)</f>
        <v>0</v>
      </c>
      <c r="BQ454" s="693">
        <f>SUMIFS(Imput[[Importe Neto]:[Importe Neto]],Imput[[C. Imp.]:[C. Imp.]],$D454,Imput[[PERIODO Imp.]:[PERIODO Imp.]],BQ$9)</f>
        <v>0</v>
      </c>
      <c r="BR454" s="693">
        <f>SUMIFS(Imput[[Importe Neto]:[Importe Neto]],Imput[[C. Imp.]:[C. Imp.]],$D454,Imput[[PERIODO Imp.]:[PERIODO Imp.]],BR$9)</f>
        <v>0</v>
      </c>
      <c r="BS454" s="693">
        <f>SUMIFS(Imput[[Importe Neto]:[Importe Neto]],Imput[[C. Imp.]:[C. Imp.]],$D454,Imput[[PERIODO Imp.]:[PERIODO Imp.]],BS$9)</f>
        <v>0</v>
      </c>
      <c r="BT454" s="693">
        <f>SUMIFS(Imput[[Importe Neto]:[Importe Neto]],Imput[[C. Imp.]:[C. Imp.]],$D454,Imput[[PERIODO Imp.]:[PERIODO Imp.]],BT$9)</f>
        <v>0</v>
      </c>
      <c r="BU454" s="693">
        <f>SUMIFS(Imput[[Importe Neto]:[Importe Neto]],Imput[[C. Imp.]:[C. Imp.]],$D454,Imput[[PERIODO Imp.]:[PERIODO Imp.]],BU$9)</f>
        <v>0</v>
      </c>
      <c r="BV454" s="693">
        <f>SUMIFS(Imput[[Importe Neto]:[Importe Neto]],Imput[[C. Imp.]:[C. Imp.]],$D454,Imput[[PERIODO Imp.]:[PERIODO Imp.]],BV$9)</f>
        <v>0</v>
      </c>
      <c r="BW454" s="693">
        <f>SUMIFS(Imput[[Importe Neto]:[Importe Neto]],Imput[[C. Imp.]:[C. Imp.]],$D454,Imput[[PERIODO Imp.]:[PERIODO Imp.]],BW$9)</f>
        <v>0</v>
      </c>
      <c r="BX454" s="693">
        <f>SUMIFS(Imput[[Importe Neto]:[Importe Neto]],Imput[[C. Imp.]:[C. Imp.]],$D454,Imput[[PERIODO Imp.]:[PERIODO Imp.]],BX$9)</f>
        <v>0</v>
      </c>
      <c r="BY454" s="693">
        <f>SUMIFS(Imput[[Importe Neto]:[Importe Neto]],Imput[[C. Imp.]:[C. Imp.]],$D454,Imput[[PERIODO Imp.]:[PERIODO Imp.]],BY$9)</f>
        <v>0</v>
      </c>
      <c r="BZ454" s="693">
        <f>SUMIFS(Imput[[Importe Neto]:[Importe Neto]],Imput[[C. Imp.]:[C. Imp.]],$D454,Imput[[PERIODO Imp.]:[PERIODO Imp.]],BZ$9)</f>
        <v>0</v>
      </c>
      <c r="CA454" s="693">
        <f>SUMIFS(Imput[[Importe Neto]:[Importe Neto]],Imput[[C. Imp.]:[C. Imp.]],$D454,Imput[[PERIODO Imp.]:[PERIODO Imp.]],CA$9)</f>
        <v>0</v>
      </c>
      <c r="CB454" s="693">
        <f>SUMIFS(Imput[[Importe Neto]:[Importe Neto]],Imput[[C. Imp.]:[C. Imp.]],$D454,Imput[[PERIODO Imp.]:[PERIODO Imp.]],CB$9)</f>
        <v>0</v>
      </c>
      <c r="CC454" s="693">
        <f>SUMIFS(Imput[[Importe Neto]:[Importe Neto]],Imput[[C. Imp.]:[C. Imp.]],$D454,Imput[[PERIODO Imp.]:[PERIODO Imp.]],CC$9)</f>
        <v>0</v>
      </c>
      <c r="CD454" s="693">
        <f>SUMIFS(Imput[[Importe Neto]:[Importe Neto]],Imput[[C. Imp.]:[C. Imp.]],$D454,Imput[[PERIODO Imp.]:[PERIODO Imp.]],CD$9)</f>
        <v>0</v>
      </c>
      <c r="CE454" s="693">
        <f>SUMIFS(Imput[[Importe Neto]:[Importe Neto]],Imput[[C. Imp.]:[C. Imp.]],$D454,Imput[[PERIODO Imp.]:[PERIODO Imp.]],CE$9)</f>
        <v>0</v>
      </c>
      <c r="CF454" s="693">
        <f>SUMIFS(Imput[[Importe Neto]:[Importe Neto]],Imput[[C. Imp.]:[C. Imp.]],$D454,Imput[[PERIODO Imp.]:[PERIODO Imp.]],CF$9)</f>
        <v>0</v>
      </c>
      <c r="CG454" s="693">
        <f>SUMIFS(Imput[[Importe Neto]:[Importe Neto]],Imput[[C. Imp.]:[C. Imp.]],$D454,Imput[[PERIODO Imp.]:[PERIODO Imp.]],CG$9)</f>
        <v>0</v>
      </c>
      <c r="CH454" s="693">
        <f>SUMIFS(Imput[[Importe Neto]:[Importe Neto]],Imput[[C. Imp.]:[C. Imp.]],$D454,Imput[[PERIODO Imp.]:[PERIODO Imp.]],CH$9)</f>
        <v>0</v>
      </c>
      <c r="CI454" s="693">
        <f>SUMIFS(Imput[[Importe Neto]:[Importe Neto]],Imput[[C. Imp.]:[C. Imp.]],$D454,Imput[[PERIODO Imp.]:[PERIODO Imp.]],CI$9)</f>
        <v>0</v>
      </c>
      <c r="CJ454" s="693">
        <f>SUMIFS(Imput[[Importe Neto]:[Importe Neto]],Imput[[C. Imp.]:[C. Imp.]],$D454,Imput[[PERIODO Imp.]:[PERIODO Imp.]],CJ$9)</f>
        <v>0</v>
      </c>
      <c r="CK454" s="693">
        <f>SUMIFS(Imput[[Importe Neto]:[Importe Neto]],Imput[[C. Imp.]:[C. Imp.]],$D454,Imput[[PERIODO Imp.]:[PERIODO Imp.]],CK$9)</f>
        <v>0</v>
      </c>
      <c r="CL454" s="693">
        <f>SUMIFS(Imput[[Importe Neto]:[Importe Neto]],Imput[[C. Imp.]:[C. Imp.]],$D454,Imput[[PERIODO Imp.]:[PERIODO Imp.]],CL$9)</f>
        <v>0</v>
      </c>
      <c r="CM454" s="693">
        <f>SUMIFS(Imput[[Importe Neto]:[Importe Neto]],Imput[[C. Imp.]:[C. Imp.]],$D454,Imput[[PERIODO Imp.]:[PERIODO Imp.]],CM$9)</f>
        <v>0</v>
      </c>
      <c r="CN454" s="693">
        <f>SUMIFS(Imput[[Importe Neto]:[Importe Neto]],Imput[[C. Imp.]:[C. Imp.]],$D454,Imput[[PERIODO Imp.]:[PERIODO Imp.]],CN$9)</f>
        <v>0</v>
      </c>
      <c r="CO454" s="693">
        <f>SUMIFS(Imput[[Importe Neto]:[Importe Neto]],Imput[[C. Imp.]:[C. Imp.]],$D454,Imput[[PERIODO Imp.]:[PERIODO Imp.]],CO$9)</f>
        <v>0</v>
      </c>
      <c r="CP454" s="693">
        <f>SUMIFS(Imput[[Importe Neto]:[Importe Neto]],Imput[[C. Imp.]:[C. Imp.]],$D454,Imput[[PERIODO Imp.]:[PERIODO Imp.]],CP$9)</f>
        <v>0</v>
      </c>
      <c r="CQ454" s="693">
        <f>SUMIFS(Imput[[Importe Neto]:[Importe Neto]],Imput[[C. Imp.]:[C. Imp.]],$D454,Imput[[PERIODO Imp.]:[PERIODO Imp.]],CQ$9)</f>
        <v>0</v>
      </c>
      <c r="CR454" s="693">
        <f>SUMIFS(Imput[[Importe Neto]:[Importe Neto]],Imput[[C. Imp.]:[C. Imp.]],$D454,Imput[[PERIODO Imp.]:[PERIODO Imp.]],CR$9)</f>
        <v>0</v>
      </c>
      <c r="CS454" s="693">
        <f>SUMIFS(Imput[[Importe Neto]:[Importe Neto]],Imput[[C. Imp.]:[C. Imp.]],$D454,Imput[[PERIODO Imp.]:[PERIODO Imp.]],CS$9)</f>
        <v>0</v>
      </c>
      <c r="CT454" s="693">
        <f>SUMIFS(Imput[[Importe Neto]:[Importe Neto]],Imput[[C. Imp.]:[C. Imp.]],$D454,Imput[[PERIODO Imp.]:[PERIODO Imp.]],CT$9)</f>
        <v>0</v>
      </c>
      <c r="CU454" s="693">
        <f>SUMIFS(Imput[[Importe Neto]:[Importe Neto]],Imput[[C. Imp.]:[C. Imp.]],$D454,Imput[[PERIODO Imp.]:[PERIODO Imp.]],CU$9)</f>
        <v>0</v>
      </c>
      <c r="CV454" s="693">
        <f>SUMIFS(Imput[[Importe Neto]:[Importe Neto]],Imput[[C. Imp.]:[C. Imp.]],$D454,Imput[[PERIODO Imp.]:[PERIODO Imp.]],CV$9)</f>
        <v>0</v>
      </c>
      <c r="CW454" s="693">
        <f>SUMIFS(Imput[[Importe Neto]:[Importe Neto]],Imput[[C. Imp.]:[C. Imp.]],$D454,Imput[[PERIODO Imp.]:[PERIODO Imp.]],CW$9)</f>
        <v>0</v>
      </c>
      <c r="CX454" s="693">
        <f>SUMIFS(Imput[[Importe Neto]:[Importe Neto]],Imput[[C. Imp.]:[C. Imp.]],$D454,Imput[[PERIODO Imp.]:[PERIODO Imp.]],CX$9)</f>
        <v>0</v>
      </c>
      <c r="CY454" s="693">
        <f>SUMIFS(Imput[[Importe Neto]:[Importe Neto]],Imput[[C. Imp.]:[C. Imp.]],$D454,Imput[[PERIODO Imp.]:[PERIODO Imp.]],CY$9)</f>
        <v>0</v>
      </c>
      <c r="CZ454" s="693">
        <f>SUMIFS(Imput[[Importe Neto]:[Importe Neto]],Imput[[C. Imp.]:[C. Imp.]],$D454,Imput[[PERIODO Imp.]:[PERIODO Imp.]],CZ$9)</f>
        <v>0</v>
      </c>
      <c r="DA454" s="693">
        <f>SUMIFS(Imput[[Importe Neto]:[Importe Neto]],Imput[[C. Imp.]:[C. Imp.]],$D454,Imput[[PERIODO Imp.]:[PERIODO Imp.]],DA$9)</f>
        <v>0</v>
      </c>
      <c r="DB454" s="693">
        <f>SUMIFS(Imput[[Importe Neto]:[Importe Neto]],Imput[[C. Imp.]:[C. Imp.]],$D454,Imput[[PERIODO Imp.]:[PERIODO Imp.]],DB$9)</f>
        <v>0</v>
      </c>
      <c r="DC454" s="693">
        <f>SUMIFS(Imput[[Importe Neto]:[Importe Neto]],Imput[[C. Imp.]:[C. Imp.]],$D454,Imput[[PERIODO Imp.]:[PERIODO Imp.]],DC$9)</f>
        <v>0</v>
      </c>
      <c r="DD454" s="693">
        <f>SUMIFS(Imput[[Importe Neto]:[Importe Neto]],Imput[[C. Imp.]:[C. Imp.]],$D454,Imput[[PERIODO Imp.]:[PERIODO Imp.]],DD$9)</f>
        <v>0</v>
      </c>
      <c r="DE454" s="693">
        <f>SUMIFS(Imput[[Importe Neto]:[Importe Neto]],Imput[[C. Imp.]:[C. Imp.]],$D454,Imput[[PERIODO Imp.]:[PERIODO Imp.]],DE$9)</f>
        <v>0</v>
      </c>
      <c r="DF454" s="693">
        <f>SUMIFS(Imput[[Importe Neto]:[Importe Neto]],Imput[[C. Imp.]:[C. Imp.]],$D454,Imput[[PERIODO Imp.]:[PERIODO Imp.]],DF$9)</f>
        <v>0</v>
      </c>
      <c r="DG454" s="693">
        <f>SUMIFS(Imput[[Importe Neto]:[Importe Neto]],Imput[[C. Imp.]:[C. Imp.]],$D454,Imput[[PERIODO Imp.]:[PERIODO Imp.]],DG$9)</f>
        <v>0</v>
      </c>
      <c r="DH454" s="694">
        <f>SUMIFS(Imput[[Importe Neto]:[Importe Neto]],Imput[[C. Imp.]:[C. Imp.]],$D454,Imput[[PERIODO Imp.]:[PERIODO Imp.]],DH$9)</f>
        <v>0</v>
      </c>
    </row>
    <row r="455" spans="1:112" s="649" customFormat="1" ht="14.4" hidden="1" outlineLevel="1" thickBot="1" x14ac:dyDescent="0.35">
      <c r="A455" s="652" t="str">
        <f t="shared" si="178"/>
        <v/>
      </c>
      <c r="B455" s="652"/>
      <c r="C455" s="685"/>
      <c r="D455" s="686" t="s">
        <v>2503</v>
      </c>
      <c r="E455" s="686"/>
      <c r="F455" s="720"/>
      <c r="G455" s="688"/>
      <c r="H455" s="689"/>
      <c r="I455" s="851" t="str">
        <f t="shared" si="179"/>
        <v/>
      </c>
      <c r="J455" s="517" t="str">
        <f t="shared" si="180"/>
        <v/>
      </c>
      <c r="K455" s="667"/>
      <c r="L455" s="858"/>
      <c r="M455" s="859"/>
      <c r="N455" s="859"/>
      <c r="O455" s="859"/>
      <c r="P455" s="859"/>
      <c r="Q455" s="859"/>
      <c r="R455" s="859"/>
      <c r="S455" s="859"/>
      <c r="T455" s="859"/>
      <c r="U455" s="859"/>
      <c r="V455" s="859"/>
      <c r="W455" s="859"/>
      <c r="X455" s="859"/>
      <c r="Y455" s="859"/>
      <c r="Z455" s="860"/>
      <c r="AA455" s="860"/>
      <c r="AB455" s="860"/>
      <c r="AC455" s="860"/>
      <c r="AD455" s="860"/>
      <c r="AE455" s="860"/>
      <c r="AF455" s="860"/>
      <c r="AG455" s="860"/>
      <c r="AH455" s="860"/>
      <c r="AI455" s="860"/>
      <c r="AJ455" s="860"/>
      <c r="AK455" s="860"/>
      <c r="AL455" s="860"/>
      <c r="AM455" s="860"/>
      <c r="AN455" s="860"/>
      <c r="AO455" s="860"/>
      <c r="AP455" s="860"/>
      <c r="AQ455" s="860"/>
      <c r="AR455" s="860"/>
      <c r="AS455" s="860"/>
      <c r="AT455" s="860"/>
      <c r="AU455" s="860"/>
      <c r="AV455" s="860"/>
      <c r="AW455" s="860"/>
      <c r="AX455" s="860"/>
      <c r="AY455" s="860"/>
      <c r="AZ455" s="860"/>
      <c r="BA455" s="860"/>
      <c r="BB455" s="860"/>
      <c r="BC455" s="860"/>
      <c r="BD455" s="860"/>
      <c r="BE455" s="860"/>
      <c r="BF455" s="860"/>
      <c r="BG455" s="860"/>
      <c r="BH455" s="668"/>
      <c r="BI455" s="654"/>
      <c r="BJ455" s="690">
        <f t="shared" si="181"/>
        <v>0</v>
      </c>
      <c r="BK455" s="691">
        <f t="shared" si="182"/>
        <v>0</v>
      </c>
      <c r="BL455" s="654"/>
      <c r="BM455" s="692">
        <f>SUMIFS(Imput[[Importe Neto]:[Importe Neto]],Imput[[C. Imp.]:[C. Imp.]],$D455,Imput[[PERIODO Imp.]:[PERIODO Imp.]],BM$9)</f>
        <v>0</v>
      </c>
      <c r="BN455" s="693">
        <f>SUMIFS(Imput[[Importe Neto]:[Importe Neto]],Imput[[C. Imp.]:[C. Imp.]],$D455,Imput[[PERIODO Imp.]:[PERIODO Imp.]],BN$9)</f>
        <v>0</v>
      </c>
      <c r="BO455" s="693">
        <f>SUMIFS(Imput[[Importe Neto]:[Importe Neto]],Imput[[C. Imp.]:[C. Imp.]],$D455,Imput[[PERIODO Imp.]:[PERIODO Imp.]],BO$9)</f>
        <v>0</v>
      </c>
      <c r="BP455" s="693">
        <f>SUMIFS(Imput[[Importe Neto]:[Importe Neto]],Imput[[C. Imp.]:[C. Imp.]],$D455,Imput[[PERIODO Imp.]:[PERIODO Imp.]],BP$9)</f>
        <v>0</v>
      </c>
      <c r="BQ455" s="693">
        <f>SUMIFS(Imput[[Importe Neto]:[Importe Neto]],Imput[[C. Imp.]:[C. Imp.]],$D455,Imput[[PERIODO Imp.]:[PERIODO Imp.]],BQ$9)</f>
        <v>0</v>
      </c>
      <c r="BR455" s="693">
        <f>SUMIFS(Imput[[Importe Neto]:[Importe Neto]],Imput[[C. Imp.]:[C. Imp.]],$D455,Imput[[PERIODO Imp.]:[PERIODO Imp.]],BR$9)</f>
        <v>0</v>
      </c>
      <c r="BS455" s="693">
        <f>SUMIFS(Imput[[Importe Neto]:[Importe Neto]],Imput[[C. Imp.]:[C. Imp.]],$D455,Imput[[PERIODO Imp.]:[PERIODO Imp.]],BS$9)</f>
        <v>0</v>
      </c>
      <c r="BT455" s="693">
        <f>SUMIFS(Imput[[Importe Neto]:[Importe Neto]],Imput[[C. Imp.]:[C. Imp.]],$D455,Imput[[PERIODO Imp.]:[PERIODO Imp.]],BT$9)</f>
        <v>0</v>
      </c>
      <c r="BU455" s="693">
        <f>SUMIFS(Imput[[Importe Neto]:[Importe Neto]],Imput[[C. Imp.]:[C. Imp.]],$D455,Imput[[PERIODO Imp.]:[PERIODO Imp.]],BU$9)</f>
        <v>0</v>
      </c>
      <c r="BV455" s="693">
        <f>SUMIFS(Imput[[Importe Neto]:[Importe Neto]],Imput[[C. Imp.]:[C. Imp.]],$D455,Imput[[PERIODO Imp.]:[PERIODO Imp.]],BV$9)</f>
        <v>0</v>
      </c>
      <c r="BW455" s="693">
        <f>SUMIFS(Imput[[Importe Neto]:[Importe Neto]],Imput[[C. Imp.]:[C. Imp.]],$D455,Imput[[PERIODO Imp.]:[PERIODO Imp.]],BW$9)</f>
        <v>0</v>
      </c>
      <c r="BX455" s="693">
        <f>SUMIFS(Imput[[Importe Neto]:[Importe Neto]],Imput[[C. Imp.]:[C. Imp.]],$D455,Imput[[PERIODO Imp.]:[PERIODO Imp.]],BX$9)</f>
        <v>0</v>
      </c>
      <c r="BY455" s="693">
        <f>SUMIFS(Imput[[Importe Neto]:[Importe Neto]],Imput[[C. Imp.]:[C. Imp.]],$D455,Imput[[PERIODO Imp.]:[PERIODO Imp.]],BY$9)</f>
        <v>0</v>
      </c>
      <c r="BZ455" s="693">
        <f>SUMIFS(Imput[[Importe Neto]:[Importe Neto]],Imput[[C. Imp.]:[C. Imp.]],$D455,Imput[[PERIODO Imp.]:[PERIODO Imp.]],BZ$9)</f>
        <v>0</v>
      </c>
      <c r="CA455" s="693">
        <f>SUMIFS(Imput[[Importe Neto]:[Importe Neto]],Imput[[C. Imp.]:[C. Imp.]],$D455,Imput[[PERIODO Imp.]:[PERIODO Imp.]],CA$9)</f>
        <v>0</v>
      </c>
      <c r="CB455" s="693">
        <f>SUMIFS(Imput[[Importe Neto]:[Importe Neto]],Imput[[C. Imp.]:[C. Imp.]],$D455,Imput[[PERIODO Imp.]:[PERIODO Imp.]],CB$9)</f>
        <v>0</v>
      </c>
      <c r="CC455" s="693">
        <f>SUMIFS(Imput[[Importe Neto]:[Importe Neto]],Imput[[C. Imp.]:[C. Imp.]],$D455,Imput[[PERIODO Imp.]:[PERIODO Imp.]],CC$9)</f>
        <v>0</v>
      </c>
      <c r="CD455" s="693">
        <f>SUMIFS(Imput[[Importe Neto]:[Importe Neto]],Imput[[C. Imp.]:[C. Imp.]],$D455,Imput[[PERIODO Imp.]:[PERIODO Imp.]],CD$9)</f>
        <v>0</v>
      </c>
      <c r="CE455" s="693">
        <f>SUMIFS(Imput[[Importe Neto]:[Importe Neto]],Imput[[C. Imp.]:[C. Imp.]],$D455,Imput[[PERIODO Imp.]:[PERIODO Imp.]],CE$9)</f>
        <v>0</v>
      </c>
      <c r="CF455" s="693">
        <f>SUMIFS(Imput[[Importe Neto]:[Importe Neto]],Imput[[C. Imp.]:[C. Imp.]],$D455,Imput[[PERIODO Imp.]:[PERIODO Imp.]],CF$9)</f>
        <v>0</v>
      </c>
      <c r="CG455" s="693">
        <f>SUMIFS(Imput[[Importe Neto]:[Importe Neto]],Imput[[C. Imp.]:[C. Imp.]],$D455,Imput[[PERIODO Imp.]:[PERIODO Imp.]],CG$9)</f>
        <v>0</v>
      </c>
      <c r="CH455" s="693">
        <f>SUMIFS(Imput[[Importe Neto]:[Importe Neto]],Imput[[C. Imp.]:[C. Imp.]],$D455,Imput[[PERIODO Imp.]:[PERIODO Imp.]],CH$9)</f>
        <v>0</v>
      </c>
      <c r="CI455" s="693">
        <f>SUMIFS(Imput[[Importe Neto]:[Importe Neto]],Imput[[C. Imp.]:[C. Imp.]],$D455,Imput[[PERIODO Imp.]:[PERIODO Imp.]],CI$9)</f>
        <v>0</v>
      </c>
      <c r="CJ455" s="693">
        <f>SUMIFS(Imput[[Importe Neto]:[Importe Neto]],Imput[[C. Imp.]:[C. Imp.]],$D455,Imput[[PERIODO Imp.]:[PERIODO Imp.]],CJ$9)</f>
        <v>0</v>
      </c>
      <c r="CK455" s="693">
        <f>SUMIFS(Imput[[Importe Neto]:[Importe Neto]],Imput[[C. Imp.]:[C. Imp.]],$D455,Imput[[PERIODO Imp.]:[PERIODO Imp.]],CK$9)</f>
        <v>0</v>
      </c>
      <c r="CL455" s="693">
        <f>SUMIFS(Imput[[Importe Neto]:[Importe Neto]],Imput[[C. Imp.]:[C. Imp.]],$D455,Imput[[PERIODO Imp.]:[PERIODO Imp.]],CL$9)</f>
        <v>0</v>
      </c>
      <c r="CM455" s="693">
        <f>SUMIFS(Imput[[Importe Neto]:[Importe Neto]],Imput[[C. Imp.]:[C. Imp.]],$D455,Imput[[PERIODO Imp.]:[PERIODO Imp.]],CM$9)</f>
        <v>0</v>
      </c>
      <c r="CN455" s="693">
        <f>SUMIFS(Imput[[Importe Neto]:[Importe Neto]],Imput[[C. Imp.]:[C. Imp.]],$D455,Imput[[PERIODO Imp.]:[PERIODO Imp.]],CN$9)</f>
        <v>0</v>
      </c>
      <c r="CO455" s="693">
        <f>SUMIFS(Imput[[Importe Neto]:[Importe Neto]],Imput[[C. Imp.]:[C. Imp.]],$D455,Imput[[PERIODO Imp.]:[PERIODO Imp.]],CO$9)</f>
        <v>0</v>
      </c>
      <c r="CP455" s="693">
        <f>SUMIFS(Imput[[Importe Neto]:[Importe Neto]],Imput[[C. Imp.]:[C. Imp.]],$D455,Imput[[PERIODO Imp.]:[PERIODO Imp.]],CP$9)</f>
        <v>0</v>
      </c>
      <c r="CQ455" s="693">
        <f>SUMIFS(Imput[[Importe Neto]:[Importe Neto]],Imput[[C. Imp.]:[C. Imp.]],$D455,Imput[[PERIODO Imp.]:[PERIODO Imp.]],CQ$9)</f>
        <v>0</v>
      </c>
      <c r="CR455" s="693">
        <f>SUMIFS(Imput[[Importe Neto]:[Importe Neto]],Imput[[C. Imp.]:[C. Imp.]],$D455,Imput[[PERIODO Imp.]:[PERIODO Imp.]],CR$9)</f>
        <v>0</v>
      </c>
      <c r="CS455" s="693">
        <f>SUMIFS(Imput[[Importe Neto]:[Importe Neto]],Imput[[C. Imp.]:[C. Imp.]],$D455,Imput[[PERIODO Imp.]:[PERIODO Imp.]],CS$9)</f>
        <v>0</v>
      </c>
      <c r="CT455" s="693">
        <f>SUMIFS(Imput[[Importe Neto]:[Importe Neto]],Imput[[C. Imp.]:[C. Imp.]],$D455,Imput[[PERIODO Imp.]:[PERIODO Imp.]],CT$9)</f>
        <v>0</v>
      </c>
      <c r="CU455" s="693">
        <f>SUMIFS(Imput[[Importe Neto]:[Importe Neto]],Imput[[C. Imp.]:[C. Imp.]],$D455,Imput[[PERIODO Imp.]:[PERIODO Imp.]],CU$9)</f>
        <v>0</v>
      </c>
      <c r="CV455" s="693">
        <f>SUMIFS(Imput[[Importe Neto]:[Importe Neto]],Imput[[C. Imp.]:[C. Imp.]],$D455,Imput[[PERIODO Imp.]:[PERIODO Imp.]],CV$9)</f>
        <v>0</v>
      </c>
      <c r="CW455" s="693">
        <f>SUMIFS(Imput[[Importe Neto]:[Importe Neto]],Imput[[C. Imp.]:[C. Imp.]],$D455,Imput[[PERIODO Imp.]:[PERIODO Imp.]],CW$9)</f>
        <v>0</v>
      </c>
      <c r="CX455" s="693">
        <f>SUMIFS(Imput[[Importe Neto]:[Importe Neto]],Imput[[C. Imp.]:[C. Imp.]],$D455,Imput[[PERIODO Imp.]:[PERIODO Imp.]],CX$9)</f>
        <v>0</v>
      </c>
      <c r="CY455" s="693">
        <f>SUMIFS(Imput[[Importe Neto]:[Importe Neto]],Imput[[C. Imp.]:[C. Imp.]],$D455,Imput[[PERIODO Imp.]:[PERIODO Imp.]],CY$9)</f>
        <v>0</v>
      </c>
      <c r="CZ455" s="693">
        <f>SUMIFS(Imput[[Importe Neto]:[Importe Neto]],Imput[[C. Imp.]:[C. Imp.]],$D455,Imput[[PERIODO Imp.]:[PERIODO Imp.]],CZ$9)</f>
        <v>0</v>
      </c>
      <c r="DA455" s="693">
        <f>SUMIFS(Imput[[Importe Neto]:[Importe Neto]],Imput[[C. Imp.]:[C. Imp.]],$D455,Imput[[PERIODO Imp.]:[PERIODO Imp.]],DA$9)</f>
        <v>0</v>
      </c>
      <c r="DB455" s="693">
        <f>SUMIFS(Imput[[Importe Neto]:[Importe Neto]],Imput[[C. Imp.]:[C. Imp.]],$D455,Imput[[PERIODO Imp.]:[PERIODO Imp.]],DB$9)</f>
        <v>0</v>
      </c>
      <c r="DC455" s="693">
        <f>SUMIFS(Imput[[Importe Neto]:[Importe Neto]],Imput[[C. Imp.]:[C. Imp.]],$D455,Imput[[PERIODO Imp.]:[PERIODO Imp.]],DC$9)</f>
        <v>0</v>
      </c>
      <c r="DD455" s="693">
        <f>SUMIFS(Imput[[Importe Neto]:[Importe Neto]],Imput[[C. Imp.]:[C. Imp.]],$D455,Imput[[PERIODO Imp.]:[PERIODO Imp.]],DD$9)</f>
        <v>0</v>
      </c>
      <c r="DE455" s="693">
        <f>SUMIFS(Imput[[Importe Neto]:[Importe Neto]],Imput[[C. Imp.]:[C. Imp.]],$D455,Imput[[PERIODO Imp.]:[PERIODO Imp.]],DE$9)</f>
        <v>0</v>
      </c>
      <c r="DF455" s="693">
        <f>SUMIFS(Imput[[Importe Neto]:[Importe Neto]],Imput[[C. Imp.]:[C. Imp.]],$D455,Imput[[PERIODO Imp.]:[PERIODO Imp.]],DF$9)</f>
        <v>0</v>
      </c>
      <c r="DG455" s="693">
        <f>SUMIFS(Imput[[Importe Neto]:[Importe Neto]],Imput[[C. Imp.]:[C. Imp.]],$D455,Imput[[PERIODO Imp.]:[PERIODO Imp.]],DG$9)</f>
        <v>0</v>
      </c>
      <c r="DH455" s="694">
        <f>SUMIFS(Imput[[Importe Neto]:[Importe Neto]],Imput[[C. Imp.]:[C. Imp.]],$D455,Imput[[PERIODO Imp.]:[PERIODO Imp.]],DH$9)</f>
        <v>0</v>
      </c>
    </row>
    <row r="456" spans="1:112" s="649" customFormat="1" ht="14.4" hidden="1" outlineLevel="1" thickBot="1" x14ac:dyDescent="0.35">
      <c r="A456" s="652" t="str">
        <f t="shared" si="178"/>
        <v/>
      </c>
      <c r="B456" s="652"/>
      <c r="C456" s="685"/>
      <c r="D456" s="686" t="s">
        <v>2504</v>
      </c>
      <c r="E456" s="686"/>
      <c r="F456" s="720"/>
      <c r="G456" s="688"/>
      <c r="H456" s="689"/>
      <c r="I456" s="851" t="str">
        <f t="shared" si="179"/>
        <v/>
      </c>
      <c r="J456" s="517" t="str">
        <f t="shared" si="180"/>
        <v/>
      </c>
      <c r="K456" s="667"/>
      <c r="L456" s="858"/>
      <c r="M456" s="859"/>
      <c r="N456" s="859"/>
      <c r="O456" s="859"/>
      <c r="P456" s="859"/>
      <c r="Q456" s="859"/>
      <c r="R456" s="859"/>
      <c r="S456" s="859"/>
      <c r="T456" s="859"/>
      <c r="U456" s="859"/>
      <c r="V456" s="859"/>
      <c r="W456" s="859"/>
      <c r="X456" s="859"/>
      <c r="Y456" s="859"/>
      <c r="Z456" s="860"/>
      <c r="AA456" s="860"/>
      <c r="AB456" s="860"/>
      <c r="AC456" s="860"/>
      <c r="AD456" s="860"/>
      <c r="AE456" s="860"/>
      <c r="AF456" s="860"/>
      <c r="AG456" s="860"/>
      <c r="AH456" s="860"/>
      <c r="AI456" s="860"/>
      <c r="AJ456" s="860"/>
      <c r="AK456" s="860"/>
      <c r="AL456" s="860"/>
      <c r="AM456" s="860"/>
      <c r="AN456" s="860"/>
      <c r="AO456" s="860"/>
      <c r="AP456" s="860"/>
      <c r="AQ456" s="860"/>
      <c r="AR456" s="860"/>
      <c r="AS456" s="860"/>
      <c r="AT456" s="860"/>
      <c r="AU456" s="860"/>
      <c r="AV456" s="860"/>
      <c r="AW456" s="860"/>
      <c r="AX456" s="860"/>
      <c r="AY456" s="860"/>
      <c r="AZ456" s="860"/>
      <c r="BA456" s="860"/>
      <c r="BB456" s="860"/>
      <c r="BC456" s="860"/>
      <c r="BD456" s="860"/>
      <c r="BE456" s="860"/>
      <c r="BF456" s="860"/>
      <c r="BG456" s="860"/>
      <c r="BH456" s="668"/>
      <c r="BI456" s="654"/>
      <c r="BJ456" s="690">
        <f t="shared" si="181"/>
        <v>0</v>
      </c>
      <c r="BK456" s="691">
        <f t="shared" si="182"/>
        <v>0</v>
      </c>
      <c r="BL456" s="654"/>
      <c r="BM456" s="692">
        <f>SUMIFS(Imput[[Importe Neto]:[Importe Neto]],Imput[[C. Imp.]:[C. Imp.]],$D456,Imput[[PERIODO Imp.]:[PERIODO Imp.]],BM$9)</f>
        <v>0</v>
      </c>
      <c r="BN456" s="693">
        <f>SUMIFS(Imput[[Importe Neto]:[Importe Neto]],Imput[[C. Imp.]:[C. Imp.]],$D456,Imput[[PERIODO Imp.]:[PERIODO Imp.]],BN$9)</f>
        <v>0</v>
      </c>
      <c r="BO456" s="693">
        <f>SUMIFS(Imput[[Importe Neto]:[Importe Neto]],Imput[[C. Imp.]:[C. Imp.]],$D456,Imput[[PERIODO Imp.]:[PERIODO Imp.]],BO$9)</f>
        <v>0</v>
      </c>
      <c r="BP456" s="693">
        <f>SUMIFS(Imput[[Importe Neto]:[Importe Neto]],Imput[[C. Imp.]:[C. Imp.]],$D456,Imput[[PERIODO Imp.]:[PERIODO Imp.]],BP$9)</f>
        <v>0</v>
      </c>
      <c r="BQ456" s="693">
        <f>SUMIFS(Imput[[Importe Neto]:[Importe Neto]],Imput[[C. Imp.]:[C. Imp.]],$D456,Imput[[PERIODO Imp.]:[PERIODO Imp.]],BQ$9)</f>
        <v>0</v>
      </c>
      <c r="BR456" s="693">
        <f>SUMIFS(Imput[[Importe Neto]:[Importe Neto]],Imput[[C. Imp.]:[C. Imp.]],$D456,Imput[[PERIODO Imp.]:[PERIODO Imp.]],BR$9)</f>
        <v>0</v>
      </c>
      <c r="BS456" s="693">
        <f>SUMIFS(Imput[[Importe Neto]:[Importe Neto]],Imput[[C. Imp.]:[C. Imp.]],$D456,Imput[[PERIODO Imp.]:[PERIODO Imp.]],BS$9)</f>
        <v>0</v>
      </c>
      <c r="BT456" s="693">
        <f>SUMIFS(Imput[[Importe Neto]:[Importe Neto]],Imput[[C. Imp.]:[C. Imp.]],$D456,Imput[[PERIODO Imp.]:[PERIODO Imp.]],BT$9)</f>
        <v>0</v>
      </c>
      <c r="BU456" s="693">
        <f>SUMIFS(Imput[[Importe Neto]:[Importe Neto]],Imput[[C. Imp.]:[C. Imp.]],$D456,Imput[[PERIODO Imp.]:[PERIODO Imp.]],BU$9)</f>
        <v>0</v>
      </c>
      <c r="BV456" s="693">
        <f>SUMIFS(Imput[[Importe Neto]:[Importe Neto]],Imput[[C. Imp.]:[C. Imp.]],$D456,Imput[[PERIODO Imp.]:[PERIODO Imp.]],BV$9)</f>
        <v>0</v>
      </c>
      <c r="BW456" s="693">
        <f>SUMIFS(Imput[[Importe Neto]:[Importe Neto]],Imput[[C. Imp.]:[C. Imp.]],$D456,Imput[[PERIODO Imp.]:[PERIODO Imp.]],BW$9)</f>
        <v>0</v>
      </c>
      <c r="BX456" s="693">
        <f>SUMIFS(Imput[[Importe Neto]:[Importe Neto]],Imput[[C. Imp.]:[C. Imp.]],$D456,Imput[[PERIODO Imp.]:[PERIODO Imp.]],BX$9)</f>
        <v>0</v>
      </c>
      <c r="BY456" s="693">
        <f>SUMIFS(Imput[[Importe Neto]:[Importe Neto]],Imput[[C. Imp.]:[C. Imp.]],$D456,Imput[[PERIODO Imp.]:[PERIODO Imp.]],BY$9)</f>
        <v>0</v>
      </c>
      <c r="BZ456" s="693">
        <f>SUMIFS(Imput[[Importe Neto]:[Importe Neto]],Imput[[C. Imp.]:[C. Imp.]],$D456,Imput[[PERIODO Imp.]:[PERIODO Imp.]],BZ$9)</f>
        <v>0</v>
      </c>
      <c r="CA456" s="693">
        <f>SUMIFS(Imput[[Importe Neto]:[Importe Neto]],Imput[[C. Imp.]:[C. Imp.]],$D456,Imput[[PERIODO Imp.]:[PERIODO Imp.]],CA$9)</f>
        <v>0</v>
      </c>
      <c r="CB456" s="693">
        <f>SUMIFS(Imput[[Importe Neto]:[Importe Neto]],Imput[[C. Imp.]:[C. Imp.]],$D456,Imput[[PERIODO Imp.]:[PERIODO Imp.]],CB$9)</f>
        <v>0</v>
      </c>
      <c r="CC456" s="693">
        <f>SUMIFS(Imput[[Importe Neto]:[Importe Neto]],Imput[[C. Imp.]:[C. Imp.]],$D456,Imput[[PERIODO Imp.]:[PERIODO Imp.]],CC$9)</f>
        <v>0</v>
      </c>
      <c r="CD456" s="693">
        <f>SUMIFS(Imput[[Importe Neto]:[Importe Neto]],Imput[[C. Imp.]:[C. Imp.]],$D456,Imput[[PERIODO Imp.]:[PERIODO Imp.]],CD$9)</f>
        <v>0</v>
      </c>
      <c r="CE456" s="693">
        <f>SUMIFS(Imput[[Importe Neto]:[Importe Neto]],Imput[[C. Imp.]:[C. Imp.]],$D456,Imput[[PERIODO Imp.]:[PERIODO Imp.]],CE$9)</f>
        <v>0</v>
      </c>
      <c r="CF456" s="693">
        <f>SUMIFS(Imput[[Importe Neto]:[Importe Neto]],Imput[[C. Imp.]:[C. Imp.]],$D456,Imput[[PERIODO Imp.]:[PERIODO Imp.]],CF$9)</f>
        <v>0</v>
      </c>
      <c r="CG456" s="693">
        <f>SUMIFS(Imput[[Importe Neto]:[Importe Neto]],Imput[[C. Imp.]:[C. Imp.]],$D456,Imput[[PERIODO Imp.]:[PERIODO Imp.]],CG$9)</f>
        <v>0</v>
      </c>
      <c r="CH456" s="693">
        <f>SUMIFS(Imput[[Importe Neto]:[Importe Neto]],Imput[[C. Imp.]:[C. Imp.]],$D456,Imput[[PERIODO Imp.]:[PERIODO Imp.]],CH$9)</f>
        <v>0</v>
      </c>
      <c r="CI456" s="693">
        <f>SUMIFS(Imput[[Importe Neto]:[Importe Neto]],Imput[[C. Imp.]:[C. Imp.]],$D456,Imput[[PERIODO Imp.]:[PERIODO Imp.]],CI$9)</f>
        <v>0</v>
      </c>
      <c r="CJ456" s="693">
        <f>SUMIFS(Imput[[Importe Neto]:[Importe Neto]],Imput[[C. Imp.]:[C. Imp.]],$D456,Imput[[PERIODO Imp.]:[PERIODO Imp.]],CJ$9)</f>
        <v>0</v>
      </c>
      <c r="CK456" s="693">
        <f>SUMIFS(Imput[[Importe Neto]:[Importe Neto]],Imput[[C. Imp.]:[C. Imp.]],$D456,Imput[[PERIODO Imp.]:[PERIODO Imp.]],CK$9)</f>
        <v>0</v>
      </c>
      <c r="CL456" s="693">
        <f>SUMIFS(Imput[[Importe Neto]:[Importe Neto]],Imput[[C. Imp.]:[C. Imp.]],$D456,Imput[[PERIODO Imp.]:[PERIODO Imp.]],CL$9)</f>
        <v>0</v>
      </c>
      <c r="CM456" s="693">
        <f>SUMIFS(Imput[[Importe Neto]:[Importe Neto]],Imput[[C. Imp.]:[C. Imp.]],$D456,Imput[[PERIODO Imp.]:[PERIODO Imp.]],CM$9)</f>
        <v>0</v>
      </c>
      <c r="CN456" s="693">
        <f>SUMIFS(Imput[[Importe Neto]:[Importe Neto]],Imput[[C. Imp.]:[C. Imp.]],$D456,Imput[[PERIODO Imp.]:[PERIODO Imp.]],CN$9)</f>
        <v>0</v>
      </c>
      <c r="CO456" s="693">
        <f>SUMIFS(Imput[[Importe Neto]:[Importe Neto]],Imput[[C. Imp.]:[C. Imp.]],$D456,Imput[[PERIODO Imp.]:[PERIODO Imp.]],CO$9)</f>
        <v>0</v>
      </c>
      <c r="CP456" s="693">
        <f>SUMIFS(Imput[[Importe Neto]:[Importe Neto]],Imput[[C. Imp.]:[C. Imp.]],$D456,Imput[[PERIODO Imp.]:[PERIODO Imp.]],CP$9)</f>
        <v>0</v>
      </c>
      <c r="CQ456" s="693">
        <f>SUMIFS(Imput[[Importe Neto]:[Importe Neto]],Imput[[C. Imp.]:[C. Imp.]],$D456,Imput[[PERIODO Imp.]:[PERIODO Imp.]],CQ$9)</f>
        <v>0</v>
      </c>
      <c r="CR456" s="693">
        <f>SUMIFS(Imput[[Importe Neto]:[Importe Neto]],Imput[[C. Imp.]:[C. Imp.]],$D456,Imput[[PERIODO Imp.]:[PERIODO Imp.]],CR$9)</f>
        <v>0</v>
      </c>
      <c r="CS456" s="693">
        <f>SUMIFS(Imput[[Importe Neto]:[Importe Neto]],Imput[[C. Imp.]:[C. Imp.]],$D456,Imput[[PERIODO Imp.]:[PERIODO Imp.]],CS$9)</f>
        <v>0</v>
      </c>
      <c r="CT456" s="693">
        <f>SUMIFS(Imput[[Importe Neto]:[Importe Neto]],Imput[[C. Imp.]:[C. Imp.]],$D456,Imput[[PERIODO Imp.]:[PERIODO Imp.]],CT$9)</f>
        <v>0</v>
      </c>
      <c r="CU456" s="693">
        <f>SUMIFS(Imput[[Importe Neto]:[Importe Neto]],Imput[[C. Imp.]:[C. Imp.]],$D456,Imput[[PERIODO Imp.]:[PERIODO Imp.]],CU$9)</f>
        <v>0</v>
      </c>
      <c r="CV456" s="693">
        <f>SUMIFS(Imput[[Importe Neto]:[Importe Neto]],Imput[[C. Imp.]:[C. Imp.]],$D456,Imput[[PERIODO Imp.]:[PERIODO Imp.]],CV$9)</f>
        <v>0</v>
      </c>
      <c r="CW456" s="693">
        <f>SUMIFS(Imput[[Importe Neto]:[Importe Neto]],Imput[[C. Imp.]:[C. Imp.]],$D456,Imput[[PERIODO Imp.]:[PERIODO Imp.]],CW$9)</f>
        <v>0</v>
      </c>
      <c r="CX456" s="693">
        <f>SUMIFS(Imput[[Importe Neto]:[Importe Neto]],Imput[[C. Imp.]:[C. Imp.]],$D456,Imput[[PERIODO Imp.]:[PERIODO Imp.]],CX$9)</f>
        <v>0</v>
      </c>
      <c r="CY456" s="693">
        <f>SUMIFS(Imput[[Importe Neto]:[Importe Neto]],Imput[[C. Imp.]:[C. Imp.]],$D456,Imput[[PERIODO Imp.]:[PERIODO Imp.]],CY$9)</f>
        <v>0</v>
      </c>
      <c r="CZ456" s="693">
        <f>SUMIFS(Imput[[Importe Neto]:[Importe Neto]],Imput[[C. Imp.]:[C. Imp.]],$D456,Imput[[PERIODO Imp.]:[PERIODO Imp.]],CZ$9)</f>
        <v>0</v>
      </c>
      <c r="DA456" s="693">
        <f>SUMIFS(Imput[[Importe Neto]:[Importe Neto]],Imput[[C. Imp.]:[C. Imp.]],$D456,Imput[[PERIODO Imp.]:[PERIODO Imp.]],DA$9)</f>
        <v>0</v>
      </c>
      <c r="DB456" s="693">
        <f>SUMIFS(Imput[[Importe Neto]:[Importe Neto]],Imput[[C. Imp.]:[C. Imp.]],$D456,Imput[[PERIODO Imp.]:[PERIODO Imp.]],DB$9)</f>
        <v>0</v>
      </c>
      <c r="DC456" s="693">
        <f>SUMIFS(Imput[[Importe Neto]:[Importe Neto]],Imput[[C. Imp.]:[C. Imp.]],$D456,Imput[[PERIODO Imp.]:[PERIODO Imp.]],DC$9)</f>
        <v>0</v>
      </c>
      <c r="DD456" s="693">
        <f>SUMIFS(Imput[[Importe Neto]:[Importe Neto]],Imput[[C. Imp.]:[C. Imp.]],$D456,Imput[[PERIODO Imp.]:[PERIODO Imp.]],DD$9)</f>
        <v>0</v>
      </c>
      <c r="DE456" s="693">
        <f>SUMIFS(Imput[[Importe Neto]:[Importe Neto]],Imput[[C. Imp.]:[C. Imp.]],$D456,Imput[[PERIODO Imp.]:[PERIODO Imp.]],DE$9)</f>
        <v>0</v>
      </c>
      <c r="DF456" s="693">
        <f>SUMIFS(Imput[[Importe Neto]:[Importe Neto]],Imput[[C. Imp.]:[C. Imp.]],$D456,Imput[[PERIODO Imp.]:[PERIODO Imp.]],DF$9)</f>
        <v>0</v>
      </c>
      <c r="DG456" s="693">
        <f>SUMIFS(Imput[[Importe Neto]:[Importe Neto]],Imput[[C. Imp.]:[C. Imp.]],$D456,Imput[[PERIODO Imp.]:[PERIODO Imp.]],DG$9)</f>
        <v>0</v>
      </c>
      <c r="DH456" s="694">
        <f>SUMIFS(Imput[[Importe Neto]:[Importe Neto]],Imput[[C. Imp.]:[C. Imp.]],$D456,Imput[[PERIODO Imp.]:[PERIODO Imp.]],DH$9)</f>
        <v>0</v>
      </c>
    </row>
    <row r="457" spans="1:112" s="649" customFormat="1" ht="14.4" hidden="1" outlineLevel="1" thickBot="1" x14ac:dyDescent="0.35">
      <c r="A457" s="652" t="str">
        <f t="shared" si="178"/>
        <v/>
      </c>
      <c r="B457" s="652"/>
      <c r="C457" s="685"/>
      <c r="D457" s="686" t="s">
        <v>2505</v>
      </c>
      <c r="E457" s="686"/>
      <c r="F457" s="720"/>
      <c r="G457" s="688"/>
      <c r="H457" s="689"/>
      <c r="I457" s="851" t="str">
        <f t="shared" si="179"/>
        <v/>
      </c>
      <c r="J457" s="517" t="str">
        <f t="shared" si="180"/>
        <v/>
      </c>
      <c r="K457" s="667"/>
      <c r="L457" s="858"/>
      <c r="M457" s="859"/>
      <c r="N457" s="859"/>
      <c r="O457" s="859"/>
      <c r="P457" s="859"/>
      <c r="Q457" s="859"/>
      <c r="R457" s="859"/>
      <c r="S457" s="859"/>
      <c r="T457" s="859"/>
      <c r="U457" s="859"/>
      <c r="V457" s="859"/>
      <c r="W457" s="859"/>
      <c r="X457" s="859"/>
      <c r="Y457" s="859"/>
      <c r="Z457" s="860"/>
      <c r="AA457" s="860"/>
      <c r="AB457" s="860"/>
      <c r="AC457" s="860"/>
      <c r="AD457" s="860"/>
      <c r="AE457" s="860"/>
      <c r="AF457" s="860"/>
      <c r="AG457" s="860"/>
      <c r="AH457" s="860"/>
      <c r="AI457" s="860"/>
      <c r="AJ457" s="860"/>
      <c r="AK457" s="860"/>
      <c r="AL457" s="860"/>
      <c r="AM457" s="860"/>
      <c r="AN457" s="860"/>
      <c r="AO457" s="860"/>
      <c r="AP457" s="860"/>
      <c r="AQ457" s="860"/>
      <c r="AR457" s="860"/>
      <c r="AS457" s="860"/>
      <c r="AT457" s="860"/>
      <c r="AU457" s="860"/>
      <c r="AV457" s="860"/>
      <c r="AW457" s="860"/>
      <c r="AX457" s="860"/>
      <c r="AY457" s="860"/>
      <c r="AZ457" s="860"/>
      <c r="BA457" s="860"/>
      <c r="BB457" s="860"/>
      <c r="BC457" s="860"/>
      <c r="BD457" s="860"/>
      <c r="BE457" s="860"/>
      <c r="BF457" s="860"/>
      <c r="BG457" s="860"/>
      <c r="BH457" s="668"/>
      <c r="BI457" s="654"/>
      <c r="BJ457" s="690">
        <f t="shared" si="181"/>
        <v>0</v>
      </c>
      <c r="BK457" s="691">
        <f t="shared" si="182"/>
        <v>0</v>
      </c>
      <c r="BL457" s="654"/>
      <c r="BM457" s="692">
        <f>SUMIFS(Imput[[Importe Neto]:[Importe Neto]],Imput[[C. Imp.]:[C. Imp.]],$D457,Imput[[PERIODO Imp.]:[PERIODO Imp.]],BM$9)</f>
        <v>0</v>
      </c>
      <c r="BN457" s="693">
        <f>SUMIFS(Imput[[Importe Neto]:[Importe Neto]],Imput[[C. Imp.]:[C. Imp.]],$D457,Imput[[PERIODO Imp.]:[PERIODO Imp.]],BN$9)</f>
        <v>0</v>
      </c>
      <c r="BO457" s="693">
        <f>SUMIFS(Imput[[Importe Neto]:[Importe Neto]],Imput[[C. Imp.]:[C. Imp.]],$D457,Imput[[PERIODO Imp.]:[PERIODO Imp.]],BO$9)</f>
        <v>0</v>
      </c>
      <c r="BP457" s="693">
        <f>SUMIFS(Imput[[Importe Neto]:[Importe Neto]],Imput[[C. Imp.]:[C. Imp.]],$D457,Imput[[PERIODO Imp.]:[PERIODO Imp.]],BP$9)</f>
        <v>0</v>
      </c>
      <c r="BQ457" s="693">
        <f>SUMIFS(Imput[[Importe Neto]:[Importe Neto]],Imput[[C. Imp.]:[C. Imp.]],$D457,Imput[[PERIODO Imp.]:[PERIODO Imp.]],BQ$9)</f>
        <v>0</v>
      </c>
      <c r="BR457" s="693">
        <f>SUMIFS(Imput[[Importe Neto]:[Importe Neto]],Imput[[C. Imp.]:[C. Imp.]],$D457,Imput[[PERIODO Imp.]:[PERIODO Imp.]],BR$9)</f>
        <v>0</v>
      </c>
      <c r="BS457" s="693">
        <f>SUMIFS(Imput[[Importe Neto]:[Importe Neto]],Imput[[C. Imp.]:[C. Imp.]],$D457,Imput[[PERIODO Imp.]:[PERIODO Imp.]],BS$9)</f>
        <v>0</v>
      </c>
      <c r="BT457" s="693">
        <f>SUMIFS(Imput[[Importe Neto]:[Importe Neto]],Imput[[C. Imp.]:[C. Imp.]],$D457,Imput[[PERIODO Imp.]:[PERIODO Imp.]],BT$9)</f>
        <v>0</v>
      </c>
      <c r="BU457" s="693">
        <f>SUMIFS(Imput[[Importe Neto]:[Importe Neto]],Imput[[C. Imp.]:[C. Imp.]],$D457,Imput[[PERIODO Imp.]:[PERIODO Imp.]],BU$9)</f>
        <v>0</v>
      </c>
      <c r="BV457" s="693">
        <f>SUMIFS(Imput[[Importe Neto]:[Importe Neto]],Imput[[C. Imp.]:[C. Imp.]],$D457,Imput[[PERIODO Imp.]:[PERIODO Imp.]],BV$9)</f>
        <v>0</v>
      </c>
      <c r="BW457" s="693">
        <f>SUMIFS(Imput[[Importe Neto]:[Importe Neto]],Imput[[C. Imp.]:[C. Imp.]],$D457,Imput[[PERIODO Imp.]:[PERIODO Imp.]],BW$9)</f>
        <v>0</v>
      </c>
      <c r="BX457" s="693">
        <f>SUMIFS(Imput[[Importe Neto]:[Importe Neto]],Imput[[C. Imp.]:[C. Imp.]],$D457,Imput[[PERIODO Imp.]:[PERIODO Imp.]],BX$9)</f>
        <v>0</v>
      </c>
      <c r="BY457" s="693">
        <f>SUMIFS(Imput[[Importe Neto]:[Importe Neto]],Imput[[C. Imp.]:[C. Imp.]],$D457,Imput[[PERIODO Imp.]:[PERIODO Imp.]],BY$9)</f>
        <v>0</v>
      </c>
      <c r="BZ457" s="693">
        <f>SUMIFS(Imput[[Importe Neto]:[Importe Neto]],Imput[[C. Imp.]:[C. Imp.]],$D457,Imput[[PERIODO Imp.]:[PERIODO Imp.]],BZ$9)</f>
        <v>0</v>
      </c>
      <c r="CA457" s="693">
        <f>SUMIFS(Imput[[Importe Neto]:[Importe Neto]],Imput[[C. Imp.]:[C. Imp.]],$D457,Imput[[PERIODO Imp.]:[PERIODO Imp.]],CA$9)</f>
        <v>0</v>
      </c>
      <c r="CB457" s="693">
        <f>SUMIFS(Imput[[Importe Neto]:[Importe Neto]],Imput[[C. Imp.]:[C. Imp.]],$D457,Imput[[PERIODO Imp.]:[PERIODO Imp.]],CB$9)</f>
        <v>0</v>
      </c>
      <c r="CC457" s="693">
        <f>SUMIFS(Imput[[Importe Neto]:[Importe Neto]],Imput[[C. Imp.]:[C. Imp.]],$D457,Imput[[PERIODO Imp.]:[PERIODO Imp.]],CC$9)</f>
        <v>0</v>
      </c>
      <c r="CD457" s="693">
        <f>SUMIFS(Imput[[Importe Neto]:[Importe Neto]],Imput[[C. Imp.]:[C. Imp.]],$D457,Imput[[PERIODO Imp.]:[PERIODO Imp.]],CD$9)</f>
        <v>0</v>
      </c>
      <c r="CE457" s="693">
        <f>SUMIFS(Imput[[Importe Neto]:[Importe Neto]],Imput[[C. Imp.]:[C. Imp.]],$D457,Imput[[PERIODO Imp.]:[PERIODO Imp.]],CE$9)</f>
        <v>0</v>
      </c>
      <c r="CF457" s="693">
        <f>SUMIFS(Imput[[Importe Neto]:[Importe Neto]],Imput[[C. Imp.]:[C. Imp.]],$D457,Imput[[PERIODO Imp.]:[PERIODO Imp.]],CF$9)</f>
        <v>0</v>
      </c>
      <c r="CG457" s="693">
        <f>SUMIFS(Imput[[Importe Neto]:[Importe Neto]],Imput[[C. Imp.]:[C. Imp.]],$D457,Imput[[PERIODO Imp.]:[PERIODO Imp.]],CG$9)</f>
        <v>0</v>
      </c>
      <c r="CH457" s="693">
        <f>SUMIFS(Imput[[Importe Neto]:[Importe Neto]],Imput[[C. Imp.]:[C. Imp.]],$D457,Imput[[PERIODO Imp.]:[PERIODO Imp.]],CH$9)</f>
        <v>0</v>
      </c>
      <c r="CI457" s="693">
        <f>SUMIFS(Imput[[Importe Neto]:[Importe Neto]],Imput[[C. Imp.]:[C. Imp.]],$D457,Imput[[PERIODO Imp.]:[PERIODO Imp.]],CI$9)</f>
        <v>0</v>
      </c>
      <c r="CJ457" s="693">
        <f>SUMIFS(Imput[[Importe Neto]:[Importe Neto]],Imput[[C. Imp.]:[C. Imp.]],$D457,Imput[[PERIODO Imp.]:[PERIODO Imp.]],CJ$9)</f>
        <v>0</v>
      </c>
      <c r="CK457" s="693">
        <f>SUMIFS(Imput[[Importe Neto]:[Importe Neto]],Imput[[C. Imp.]:[C. Imp.]],$D457,Imput[[PERIODO Imp.]:[PERIODO Imp.]],CK$9)</f>
        <v>0</v>
      </c>
      <c r="CL457" s="693">
        <f>SUMIFS(Imput[[Importe Neto]:[Importe Neto]],Imput[[C. Imp.]:[C. Imp.]],$D457,Imput[[PERIODO Imp.]:[PERIODO Imp.]],CL$9)</f>
        <v>0</v>
      </c>
      <c r="CM457" s="693">
        <f>SUMIFS(Imput[[Importe Neto]:[Importe Neto]],Imput[[C. Imp.]:[C. Imp.]],$D457,Imput[[PERIODO Imp.]:[PERIODO Imp.]],CM$9)</f>
        <v>0</v>
      </c>
      <c r="CN457" s="693">
        <f>SUMIFS(Imput[[Importe Neto]:[Importe Neto]],Imput[[C. Imp.]:[C. Imp.]],$D457,Imput[[PERIODO Imp.]:[PERIODO Imp.]],CN$9)</f>
        <v>0</v>
      </c>
      <c r="CO457" s="693">
        <f>SUMIFS(Imput[[Importe Neto]:[Importe Neto]],Imput[[C. Imp.]:[C. Imp.]],$D457,Imput[[PERIODO Imp.]:[PERIODO Imp.]],CO$9)</f>
        <v>0</v>
      </c>
      <c r="CP457" s="693">
        <f>SUMIFS(Imput[[Importe Neto]:[Importe Neto]],Imput[[C. Imp.]:[C. Imp.]],$D457,Imput[[PERIODO Imp.]:[PERIODO Imp.]],CP$9)</f>
        <v>0</v>
      </c>
      <c r="CQ457" s="693">
        <f>SUMIFS(Imput[[Importe Neto]:[Importe Neto]],Imput[[C. Imp.]:[C. Imp.]],$D457,Imput[[PERIODO Imp.]:[PERIODO Imp.]],CQ$9)</f>
        <v>0</v>
      </c>
      <c r="CR457" s="693">
        <f>SUMIFS(Imput[[Importe Neto]:[Importe Neto]],Imput[[C. Imp.]:[C. Imp.]],$D457,Imput[[PERIODO Imp.]:[PERIODO Imp.]],CR$9)</f>
        <v>0</v>
      </c>
      <c r="CS457" s="693">
        <f>SUMIFS(Imput[[Importe Neto]:[Importe Neto]],Imput[[C. Imp.]:[C. Imp.]],$D457,Imput[[PERIODO Imp.]:[PERIODO Imp.]],CS$9)</f>
        <v>0</v>
      </c>
      <c r="CT457" s="693">
        <f>SUMIFS(Imput[[Importe Neto]:[Importe Neto]],Imput[[C. Imp.]:[C. Imp.]],$D457,Imput[[PERIODO Imp.]:[PERIODO Imp.]],CT$9)</f>
        <v>0</v>
      </c>
      <c r="CU457" s="693">
        <f>SUMIFS(Imput[[Importe Neto]:[Importe Neto]],Imput[[C. Imp.]:[C. Imp.]],$D457,Imput[[PERIODO Imp.]:[PERIODO Imp.]],CU$9)</f>
        <v>0</v>
      </c>
      <c r="CV457" s="693">
        <f>SUMIFS(Imput[[Importe Neto]:[Importe Neto]],Imput[[C. Imp.]:[C. Imp.]],$D457,Imput[[PERIODO Imp.]:[PERIODO Imp.]],CV$9)</f>
        <v>0</v>
      </c>
      <c r="CW457" s="693">
        <f>SUMIFS(Imput[[Importe Neto]:[Importe Neto]],Imput[[C. Imp.]:[C. Imp.]],$D457,Imput[[PERIODO Imp.]:[PERIODO Imp.]],CW$9)</f>
        <v>0</v>
      </c>
      <c r="CX457" s="693">
        <f>SUMIFS(Imput[[Importe Neto]:[Importe Neto]],Imput[[C. Imp.]:[C. Imp.]],$D457,Imput[[PERIODO Imp.]:[PERIODO Imp.]],CX$9)</f>
        <v>0</v>
      </c>
      <c r="CY457" s="693">
        <f>SUMIFS(Imput[[Importe Neto]:[Importe Neto]],Imput[[C. Imp.]:[C. Imp.]],$D457,Imput[[PERIODO Imp.]:[PERIODO Imp.]],CY$9)</f>
        <v>0</v>
      </c>
      <c r="CZ457" s="693">
        <f>SUMIFS(Imput[[Importe Neto]:[Importe Neto]],Imput[[C. Imp.]:[C. Imp.]],$D457,Imput[[PERIODO Imp.]:[PERIODO Imp.]],CZ$9)</f>
        <v>0</v>
      </c>
      <c r="DA457" s="693">
        <f>SUMIFS(Imput[[Importe Neto]:[Importe Neto]],Imput[[C. Imp.]:[C. Imp.]],$D457,Imput[[PERIODO Imp.]:[PERIODO Imp.]],DA$9)</f>
        <v>0</v>
      </c>
      <c r="DB457" s="693">
        <f>SUMIFS(Imput[[Importe Neto]:[Importe Neto]],Imput[[C. Imp.]:[C. Imp.]],$D457,Imput[[PERIODO Imp.]:[PERIODO Imp.]],DB$9)</f>
        <v>0</v>
      </c>
      <c r="DC457" s="693">
        <f>SUMIFS(Imput[[Importe Neto]:[Importe Neto]],Imput[[C. Imp.]:[C. Imp.]],$D457,Imput[[PERIODO Imp.]:[PERIODO Imp.]],DC$9)</f>
        <v>0</v>
      </c>
      <c r="DD457" s="693">
        <f>SUMIFS(Imput[[Importe Neto]:[Importe Neto]],Imput[[C. Imp.]:[C. Imp.]],$D457,Imput[[PERIODO Imp.]:[PERIODO Imp.]],DD$9)</f>
        <v>0</v>
      </c>
      <c r="DE457" s="693">
        <f>SUMIFS(Imput[[Importe Neto]:[Importe Neto]],Imput[[C. Imp.]:[C. Imp.]],$D457,Imput[[PERIODO Imp.]:[PERIODO Imp.]],DE$9)</f>
        <v>0</v>
      </c>
      <c r="DF457" s="693">
        <f>SUMIFS(Imput[[Importe Neto]:[Importe Neto]],Imput[[C. Imp.]:[C. Imp.]],$D457,Imput[[PERIODO Imp.]:[PERIODO Imp.]],DF$9)</f>
        <v>0</v>
      </c>
      <c r="DG457" s="693">
        <f>SUMIFS(Imput[[Importe Neto]:[Importe Neto]],Imput[[C. Imp.]:[C. Imp.]],$D457,Imput[[PERIODO Imp.]:[PERIODO Imp.]],DG$9)</f>
        <v>0</v>
      </c>
      <c r="DH457" s="694">
        <f>SUMIFS(Imput[[Importe Neto]:[Importe Neto]],Imput[[C. Imp.]:[C. Imp.]],$D457,Imput[[PERIODO Imp.]:[PERIODO Imp.]],DH$9)</f>
        <v>0</v>
      </c>
    </row>
    <row r="458" spans="1:112" s="649" customFormat="1" ht="14.4" hidden="1" outlineLevel="1" thickBot="1" x14ac:dyDescent="0.35">
      <c r="A458" s="652" t="str">
        <f t="shared" si="178"/>
        <v/>
      </c>
      <c r="B458" s="652"/>
      <c r="C458" s="685"/>
      <c r="D458" s="686" t="s">
        <v>2506</v>
      </c>
      <c r="E458" s="686"/>
      <c r="F458" s="720"/>
      <c r="G458" s="688"/>
      <c r="H458" s="689"/>
      <c r="I458" s="851" t="str">
        <f t="shared" si="179"/>
        <v/>
      </c>
      <c r="J458" s="517" t="str">
        <f t="shared" si="180"/>
        <v/>
      </c>
      <c r="K458" s="667"/>
      <c r="L458" s="858"/>
      <c r="M458" s="859"/>
      <c r="N458" s="859"/>
      <c r="O458" s="859"/>
      <c r="P458" s="859"/>
      <c r="Q458" s="859"/>
      <c r="R458" s="859"/>
      <c r="S458" s="859"/>
      <c r="T458" s="859"/>
      <c r="U458" s="859"/>
      <c r="V458" s="859"/>
      <c r="W458" s="859"/>
      <c r="X458" s="859"/>
      <c r="Y458" s="859"/>
      <c r="Z458" s="860"/>
      <c r="AA458" s="860"/>
      <c r="AB458" s="860"/>
      <c r="AC458" s="860"/>
      <c r="AD458" s="860"/>
      <c r="AE458" s="860"/>
      <c r="AF458" s="860"/>
      <c r="AG458" s="860"/>
      <c r="AH458" s="860"/>
      <c r="AI458" s="860"/>
      <c r="AJ458" s="860"/>
      <c r="AK458" s="860"/>
      <c r="AL458" s="860"/>
      <c r="AM458" s="860"/>
      <c r="AN458" s="860"/>
      <c r="AO458" s="860"/>
      <c r="AP458" s="860"/>
      <c r="AQ458" s="860"/>
      <c r="AR458" s="860"/>
      <c r="AS458" s="860"/>
      <c r="AT458" s="860"/>
      <c r="AU458" s="860"/>
      <c r="AV458" s="860"/>
      <c r="AW458" s="860"/>
      <c r="AX458" s="860"/>
      <c r="AY458" s="860"/>
      <c r="AZ458" s="860"/>
      <c r="BA458" s="860"/>
      <c r="BB458" s="860"/>
      <c r="BC458" s="860"/>
      <c r="BD458" s="860"/>
      <c r="BE458" s="860"/>
      <c r="BF458" s="860"/>
      <c r="BG458" s="860"/>
      <c r="BH458" s="668"/>
      <c r="BI458" s="654"/>
      <c r="BJ458" s="690">
        <f t="shared" si="181"/>
        <v>0</v>
      </c>
      <c r="BK458" s="691">
        <f t="shared" si="182"/>
        <v>0</v>
      </c>
      <c r="BL458" s="654"/>
      <c r="BM458" s="692">
        <f>SUMIFS(Imput[[Importe Neto]:[Importe Neto]],Imput[[C. Imp.]:[C. Imp.]],$D458,Imput[[PERIODO Imp.]:[PERIODO Imp.]],BM$9)</f>
        <v>0</v>
      </c>
      <c r="BN458" s="693">
        <f>SUMIFS(Imput[[Importe Neto]:[Importe Neto]],Imput[[C. Imp.]:[C. Imp.]],$D458,Imput[[PERIODO Imp.]:[PERIODO Imp.]],BN$9)</f>
        <v>0</v>
      </c>
      <c r="BO458" s="693">
        <f>SUMIFS(Imput[[Importe Neto]:[Importe Neto]],Imput[[C. Imp.]:[C. Imp.]],$D458,Imput[[PERIODO Imp.]:[PERIODO Imp.]],BO$9)</f>
        <v>0</v>
      </c>
      <c r="BP458" s="693">
        <f>SUMIFS(Imput[[Importe Neto]:[Importe Neto]],Imput[[C. Imp.]:[C. Imp.]],$D458,Imput[[PERIODO Imp.]:[PERIODO Imp.]],BP$9)</f>
        <v>0</v>
      </c>
      <c r="BQ458" s="693">
        <f>SUMIFS(Imput[[Importe Neto]:[Importe Neto]],Imput[[C. Imp.]:[C. Imp.]],$D458,Imput[[PERIODO Imp.]:[PERIODO Imp.]],BQ$9)</f>
        <v>0</v>
      </c>
      <c r="BR458" s="693">
        <f>SUMIFS(Imput[[Importe Neto]:[Importe Neto]],Imput[[C. Imp.]:[C. Imp.]],$D458,Imput[[PERIODO Imp.]:[PERIODO Imp.]],BR$9)</f>
        <v>0</v>
      </c>
      <c r="BS458" s="693">
        <f>SUMIFS(Imput[[Importe Neto]:[Importe Neto]],Imput[[C. Imp.]:[C. Imp.]],$D458,Imput[[PERIODO Imp.]:[PERIODO Imp.]],BS$9)</f>
        <v>0</v>
      </c>
      <c r="BT458" s="693">
        <f>SUMIFS(Imput[[Importe Neto]:[Importe Neto]],Imput[[C. Imp.]:[C. Imp.]],$D458,Imput[[PERIODO Imp.]:[PERIODO Imp.]],BT$9)</f>
        <v>0</v>
      </c>
      <c r="BU458" s="693">
        <f>SUMIFS(Imput[[Importe Neto]:[Importe Neto]],Imput[[C. Imp.]:[C. Imp.]],$D458,Imput[[PERIODO Imp.]:[PERIODO Imp.]],BU$9)</f>
        <v>0</v>
      </c>
      <c r="BV458" s="693">
        <f>SUMIFS(Imput[[Importe Neto]:[Importe Neto]],Imput[[C. Imp.]:[C. Imp.]],$D458,Imput[[PERIODO Imp.]:[PERIODO Imp.]],BV$9)</f>
        <v>0</v>
      </c>
      <c r="BW458" s="693">
        <f>SUMIFS(Imput[[Importe Neto]:[Importe Neto]],Imput[[C. Imp.]:[C. Imp.]],$D458,Imput[[PERIODO Imp.]:[PERIODO Imp.]],BW$9)</f>
        <v>0</v>
      </c>
      <c r="BX458" s="693">
        <f>SUMIFS(Imput[[Importe Neto]:[Importe Neto]],Imput[[C. Imp.]:[C. Imp.]],$D458,Imput[[PERIODO Imp.]:[PERIODO Imp.]],BX$9)</f>
        <v>0</v>
      </c>
      <c r="BY458" s="693">
        <f>SUMIFS(Imput[[Importe Neto]:[Importe Neto]],Imput[[C. Imp.]:[C. Imp.]],$D458,Imput[[PERIODO Imp.]:[PERIODO Imp.]],BY$9)</f>
        <v>0</v>
      </c>
      <c r="BZ458" s="693">
        <f>SUMIFS(Imput[[Importe Neto]:[Importe Neto]],Imput[[C. Imp.]:[C. Imp.]],$D458,Imput[[PERIODO Imp.]:[PERIODO Imp.]],BZ$9)</f>
        <v>0</v>
      </c>
      <c r="CA458" s="693">
        <f>SUMIFS(Imput[[Importe Neto]:[Importe Neto]],Imput[[C. Imp.]:[C. Imp.]],$D458,Imput[[PERIODO Imp.]:[PERIODO Imp.]],CA$9)</f>
        <v>0</v>
      </c>
      <c r="CB458" s="693">
        <f>SUMIFS(Imput[[Importe Neto]:[Importe Neto]],Imput[[C. Imp.]:[C. Imp.]],$D458,Imput[[PERIODO Imp.]:[PERIODO Imp.]],CB$9)</f>
        <v>0</v>
      </c>
      <c r="CC458" s="693">
        <f>SUMIFS(Imput[[Importe Neto]:[Importe Neto]],Imput[[C. Imp.]:[C. Imp.]],$D458,Imput[[PERIODO Imp.]:[PERIODO Imp.]],CC$9)</f>
        <v>0</v>
      </c>
      <c r="CD458" s="693">
        <f>SUMIFS(Imput[[Importe Neto]:[Importe Neto]],Imput[[C. Imp.]:[C. Imp.]],$D458,Imput[[PERIODO Imp.]:[PERIODO Imp.]],CD$9)</f>
        <v>0</v>
      </c>
      <c r="CE458" s="693">
        <f>SUMIFS(Imput[[Importe Neto]:[Importe Neto]],Imput[[C. Imp.]:[C. Imp.]],$D458,Imput[[PERIODO Imp.]:[PERIODO Imp.]],CE$9)</f>
        <v>0</v>
      </c>
      <c r="CF458" s="693">
        <f>SUMIFS(Imput[[Importe Neto]:[Importe Neto]],Imput[[C. Imp.]:[C. Imp.]],$D458,Imput[[PERIODO Imp.]:[PERIODO Imp.]],CF$9)</f>
        <v>0</v>
      </c>
      <c r="CG458" s="693">
        <f>SUMIFS(Imput[[Importe Neto]:[Importe Neto]],Imput[[C. Imp.]:[C. Imp.]],$D458,Imput[[PERIODO Imp.]:[PERIODO Imp.]],CG$9)</f>
        <v>0</v>
      </c>
      <c r="CH458" s="693">
        <f>SUMIFS(Imput[[Importe Neto]:[Importe Neto]],Imput[[C. Imp.]:[C. Imp.]],$D458,Imput[[PERIODO Imp.]:[PERIODO Imp.]],CH$9)</f>
        <v>0</v>
      </c>
      <c r="CI458" s="693">
        <f>SUMIFS(Imput[[Importe Neto]:[Importe Neto]],Imput[[C. Imp.]:[C. Imp.]],$D458,Imput[[PERIODO Imp.]:[PERIODO Imp.]],CI$9)</f>
        <v>0</v>
      </c>
      <c r="CJ458" s="693">
        <f>SUMIFS(Imput[[Importe Neto]:[Importe Neto]],Imput[[C. Imp.]:[C. Imp.]],$D458,Imput[[PERIODO Imp.]:[PERIODO Imp.]],CJ$9)</f>
        <v>0</v>
      </c>
      <c r="CK458" s="693">
        <f>SUMIFS(Imput[[Importe Neto]:[Importe Neto]],Imput[[C. Imp.]:[C. Imp.]],$D458,Imput[[PERIODO Imp.]:[PERIODO Imp.]],CK$9)</f>
        <v>0</v>
      </c>
      <c r="CL458" s="693">
        <f>SUMIFS(Imput[[Importe Neto]:[Importe Neto]],Imput[[C. Imp.]:[C. Imp.]],$D458,Imput[[PERIODO Imp.]:[PERIODO Imp.]],CL$9)</f>
        <v>0</v>
      </c>
      <c r="CM458" s="693">
        <f>SUMIFS(Imput[[Importe Neto]:[Importe Neto]],Imput[[C. Imp.]:[C. Imp.]],$D458,Imput[[PERIODO Imp.]:[PERIODO Imp.]],CM$9)</f>
        <v>0</v>
      </c>
      <c r="CN458" s="693">
        <f>SUMIFS(Imput[[Importe Neto]:[Importe Neto]],Imput[[C. Imp.]:[C. Imp.]],$D458,Imput[[PERIODO Imp.]:[PERIODO Imp.]],CN$9)</f>
        <v>0</v>
      </c>
      <c r="CO458" s="693">
        <f>SUMIFS(Imput[[Importe Neto]:[Importe Neto]],Imput[[C. Imp.]:[C. Imp.]],$D458,Imput[[PERIODO Imp.]:[PERIODO Imp.]],CO$9)</f>
        <v>0</v>
      </c>
      <c r="CP458" s="693">
        <f>SUMIFS(Imput[[Importe Neto]:[Importe Neto]],Imput[[C. Imp.]:[C. Imp.]],$D458,Imput[[PERIODO Imp.]:[PERIODO Imp.]],CP$9)</f>
        <v>0</v>
      </c>
      <c r="CQ458" s="693">
        <f>SUMIFS(Imput[[Importe Neto]:[Importe Neto]],Imput[[C. Imp.]:[C. Imp.]],$D458,Imput[[PERIODO Imp.]:[PERIODO Imp.]],CQ$9)</f>
        <v>0</v>
      </c>
      <c r="CR458" s="693">
        <f>SUMIFS(Imput[[Importe Neto]:[Importe Neto]],Imput[[C. Imp.]:[C. Imp.]],$D458,Imput[[PERIODO Imp.]:[PERIODO Imp.]],CR$9)</f>
        <v>0</v>
      </c>
      <c r="CS458" s="693">
        <f>SUMIFS(Imput[[Importe Neto]:[Importe Neto]],Imput[[C. Imp.]:[C. Imp.]],$D458,Imput[[PERIODO Imp.]:[PERIODO Imp.]],CS$9)</f>
        <v>0</v>
      </c>
      <c r="CT458" s="693">
        <f>SUMIFS(Imput[[Importe Neto]:[Importe Neto]],Imput[[C. Imp.]:[C. Imp.]],$D458,Imput[[PERIODO Imp.]:[PERIODO Imp.]],CT$9)</f>
        <v>0</v>
      </c>
      <c r="CU458" s="693">
        <f>SUMIFS(Imput[[Importe Neto]:[Importe Neto]],Imput[[C. Imp.]:[C. Imp.]],$D458,Imput[[PERIODO Imp.]:[PERIODO Imp.]],CU$9)</f>
        <v>0</v>
      </c>
      <c r="CV458" s="693">
        <f>SUMIFS(Imput[[Importe Neto]:[Importe Neto]],Imput[[C. Imp.]:[C. Imp.]],$D458,Imput[[PERIODO Imp.]:[PERIODO Imp.]],CV$9)</f>
        <v>0</v>
      </c>
      <c r="CW458" s="693">
        <f>SUMIFS(Imput[[Importe Neto]:[Importe Neto]],Imput[[C. Imp.]:[C. Imp.]],$D458,Imput[[PERIODO Imp.]:[PERIODO Imp.]],CW$9)</f>
        <v>0</v>
      </c>
      <c r="CX458" s="693">
        <f>SUMIFS(Imput[[Importe Neto]:[Importe Neto]],Imput[[C. Imp.]:[C. Imp.]],$D458,Imput[[PERIODO Imp.]:[PERIODO Imp.]],CX$9)</f>
        <v>0</v>
      </c>
      <c r="CY458" s="693">
        <f>SUMIFS(Imput[[Importe Neto]:[Importe Neto]],Imput[[C. Imp.]:[C. Imp.]],$D458,Imput[[PERIODO Imp.]:[PERIODO Imp.]],CY$9)</f>
        <v>0</v>
      </c>
      <c r="CZ458" s="693">
        <f>SUMIFS(Imput[[Importe Neto]:[Importe Neto]],Imput[[C. Imp.]:[C. Imp.]],$D458,Imput[[PERIODO Imp.]:[PERIODO Imp.]],CZ$9)</f>
        <v>0</v>
      </c>
      <c r="DA458" s="693">
        <f>SUMIFS(Imput[[Importe Neto]:[Importe Neto]],Imput[[C. Imp.]:[C. Imp.]],$D458,Imput[[PERIODO Imp.]:[PERIODO Imp.]],DA$9)</f>
        <v>0</v>
      </c>
      <c r="DB458" s="693">
        <f>SUMIFS(Imput[[Importe Neto]:[Importe Neto]],Imput[[C. Imp.]:[C. Imp.]],$D458,Imput[[PERIODO Imp.]:[PERIODO Imp.]],DB$9)</f>
        <v>0</v>
      </c>
      <c r="DC458" s="693">
        <f>SUMIFS(Imput[[Importe Neto]:[Importe Neto]],Imput[[C. Imp.]:[C. Imp.]],$D458,Imput[[PERIODO Imp.]:[PERIODO Imp.]],DC$9)</f>
        <v>0</v>
      </c>
      <c r="DD458" s="693">
        <f>SUMIFS(Imput[[Importe Neto]:[Importe Neto]],Imput[[C. Imp.]:[C. Imp.]],$D458,Imput[[PERIODO Imp.]:[PERIODO Imp.]],DD$9)</f>
        <v>0</v>
      </c>
      <c r="DE458" s="693">
        <f>SUMIFS(Imput[[Importe Neto]:[Importe Neto]],Imput[[C. Imp.]:[C. Imp.]],$D458,Imput[[PERIODO Imp.]:[PERIODO Imp.]],DE$9)</f>
        <v>0</v>
      </c>
      <c r="DF458" s="693">
        <f>SUMIFS(Imput[[Importe Neto]:[Importe Neto]],Imput[[C. Imp.]:[C. Imp.]],$D458,Imput[[PERIODO Imp.]:[PERIODO Imp.]],DF$9)</f>
        <v>0</v>
      </c>
      <c r="DG458" s="693">
        <f>SUMIFS(Imput[[Importe Neto]:[Importe Neto]],Imput[[C. Imp.]:[C. Imp.]],$D458,Imput[[PERIODO Imp.]:[PERIODO Imp.]],DG$9)</f>
        <v>0</v>
      </c>
      <c r="DH458" s="694">
        <f>SUMIFS(Imput[[Importe Neto]:[Importe Neto]],Imput[[C. Imp.]:[C. Imp.]],$D458,Imput[[PERIODO Imp.]:[PERIODO Imp.]],DH$9)</f>
        <v>0</v>
      </c>
    </row>
    <row r="459" spans="1:112" s="651" customFormat="1" ht="14.4" hidden="1" outlineLevel="1" thickBot="1" x14ac:dyDescent="0.35">
      <c r="A459" s="652" t="str">
        <f t="shared" si="178"/>
        <v/>
      </c>
      <c r="B459" s="732"/>
      <c r="C459" s="685"/>
      <c r="D459" s="686" t="s">
        <v>2507</v>
      </c>
      <c r="E459" s="686"/>
      <c r="F459" s="720"/>
      <c r="G459" s="688"/>
      <c r="H459" s="689"/>
      <c r="I459" s="851" t="str">
        <f t="shared" si="179"/>
        <v/>
      </c>
      <c r="J459" s="517" t="str">
        <f t="shared" si="180"/>
        <v/>
      </c>
      <c r="K459" s="678"/>
      <c r="L459" s="858"/>
      <c r="M459" s="859"/>
      <c r="N459" s="859"/>
      <c r="O459" s="859"/>
      <c r="P459" s="859"/>
      <c r="Q459" s="859"/>
      <c r="R459" s="859"/>
      <c r="S459" s="859"/>
      <c r="T459" s="859"/>
      <c r="U459" s="859"/>
      <c r="V459" s="859"/>
      <c r="W459" s="859"/>
      <c r="X459" s="859"/>
      <c r="Y459" s="859"/>
      <c r="Z459" s="860"/>
      <c r="AA459" s="860"/>
      <c r="AB459" s="860"/>
      <c r="AC459" s="860"/>
      <c r="AD459" s="860"/>
      <c r="AE459" s="860"/>
      <c r="AF459" s="860"/>
      <c r="AG459" s="860"/>
      <c r="AH459" s="860"/>
      <c r="AI459" s="860"/>
      <c r="AJ459" s="860"/>
      <c r="AK459" s="860"/>
      <c r="AL459" s="860"/>
      <c r="AM459" s="860"/>
      <c r="AN459" s="860"/>
      <c r="AO459" s="860"/>
      <c r="AP459" s="860"/>
      <c r="AQ459" s="860"/>
      <c r="AR459" s="860"/>
      <c r="AS459" s="860"/>
      <c r="AT459" s="860"/>
      <c r="AU459" s="860"/>
      <c r="AV459" s="860"/>
      <c r="AW459" s="860"/>
      <c r="AX459" s="860"/>
      <c r="AY459" s="860"/>
      <c r="AZ459" s="860"/>
      <c r="BA459" s="860"/>
      <c r="BB459" s="860"/>
      <c r="BC459" s="860"/>
      <c r="BD459" s="860"/>
      <c r="BE459" s="860"/>
      <c r="BF459" s="860"/>
      <c r="BG459" s="860"/>
      <c r="BH459" s="668"/>
      <c r="BI459" s="678"/>
      <c r="BJ459" s="690">
        <f t="shared" si="181"/>
        <v>0</v>
      </c>
      <c r="BK459" s="691">
        <f t="shared" si="182"/>
        <v>0</v>
      </c>
      <c r="BL459" s="654"/>
      <c r="BM459" s="692">
        <f>SUMIFS(Imput[[Importe Neto]:[Importe Neto]],Imput[[C. Imp.]:[C. Imp.]],$D459,Imput[[PERIODO Imp.]:[PERIODO Imp.]],BM$9)</f>
        <v>0</v>
      </c>
      <c r="BN459" s="693">
        <f>SUMIFS(Imput[[Importe Neto]:[Importe Neto]],Imput[[C. Imp.]:[C. Imp.]],$D459,Imput[[PERIODO Imp.]:[PERIODO Imp.]],BN$9)</f>
        <v>0</v>
      </c>
      <c r="BO459" s="693">
        <f>SUMIFS(Imput[[Importe Neto]:[Importe Neto]],Imput[[C. Imp.]:[C. Imp.]],$D459,Imput[[PERIODO Imp.]:[PERIODO Imp.]],BO$9)</f>
        <v>0</v>
      </c>
      <c r="BP459" s="693">
        <f>SUMIFS(Imput[[Importe Neto]:[Importe Neto]],Imput[[C. Imp.]:[C. Imp.]],$D459,Imput[[PERIODO Imp.]:[PERIODO Imp.]],BP$9)</f>
        <v>0</v>
      </c>
      <c r="BQ459" s="693">
        <f>SUMIFS(Imput[[Importe Neto]:[Importe Neto]],Imput[[C. Imp.]:[C. Imp.]],$D459,Imput[[PERIODO Imp.]:[PERIODO Imp.]],BQ$9)</f>
        <v>0</v>
      </c>
      <c r="BR459" s="693">
        <f>SUMIFS(Imput[[Importe Neto]:[Importe Neto]],Imput[[C. Imp.]:[C. Imp.]],$D459,Imput[[PERIODO Imp.]:[PERIODO Imp.]],BR$9)</f>
        <v>0</v>
      </c>
      <c r="BS459" s="693">
        <f>SUMIFS(Imput[[Importe Neto]:[Importe Neto]],Imput[[C. Imp.]:[C. Imp.]],$D459,Imput[[PERIODO Imp.]:[PERIODO Imp.]],BS$9)</f>
        <v>0</v>
      </c>
      <c r="BT459" s="693">
        <f>SUMIFS(Imput[[Importe Neto]:[Importe Neto]],Imput[[C. Imp.]:[C. Imp.]],$D459,Imput[[PERIODO Imp.]:[PERIODO Imp.]],BT$9)</f>
        <v>0</v>
      </c>
      <c r="BU459" s="693">
        <f>SUMIFS(Imput[[Importe Neto]:[Importe Neto]],Imput[[C. Imp.]:[C. Imp.]],$D459,Imput[[PERIODO Imp.]:[PERIODO Imp.]],BU$9)</f>
        <v>0</v>
      </c>
      <c r="BV459" s="693">
        <f>SUMIFS(Imput[[Importe Neto]:[Importe Neto]],Imput[[C. Imp.]:[C. Imp.]],$D459,Imput[[PERIODO Imp.]:[PERIODO Imp.]],BV$9)</f>
        <v>0</v>
      </c>
      <c r="BW459" s="693">
        <f>SUMIFS(Imput[[Importe Neto]:[Importe Neto]],Imput[[C. Imp.]:[C. Imp.]],$D459,Imput[[PERIODO Imp.]:[PERIODO Imp.]],BW$9)</f>
        <v>0</v>
      </c>
      <c r="BX459" s="693">
        <f>SUMIFS(Imput[[Importe Neto]:[Importe Neto]],Imput[[C. Imp.]:[C. Imp.]],$D459,Imput[[PERIODO Imp.]:[PERIODO Imp.]],BX$9)</f>
        <v>0</v>
      </c>
      <c r="BY459" s="693">
        <f>SUMIFS(Imput[[Importe Neto]:[Importe Neto]],Imput[[C. Imp.]:[C. Imp.]],$D459,Imput[[PERIODO Imp.]:[PERIODO Imp.]],BY$9)</f>
        <v>0</v>
      </c>
      <c r="BZ459" s="693">
        <f>SUMIFS(Imput[[Importe Neto]:[Importe Neto]],Imput[[C. Imp.]:[C. Imp.]],$D459,Imput[[PERIODO Imp.]:[PERIODO Imp.]],BZ$9)</f>
        <v>0</v>
      </c>
      <c r="CA459" s="693">
        <f>SUMIFS(Imput[[Importe Neto]:[Importe Neto]],Imput[[C. Imp.]:[C. Imp.]],$D459,Imput[[PERIODO Imp.]:[PERIODO Imp.]],CA$9)</f>
        <v>0</v>
      </c>
      <c r="CB459" s="693">
        <f>SUMIFS(Imput[[Importe Neto]:[Importe Neto]],Imput[[C. Imp.]:[C. Imp.]],$D459,Imput[[PERIODO Imp.]:[PERIODO Imp.]],CB$9)</f>
        <v>0</v>
      </c>
      <c r="CC459" s="693">
        <f>SUMIFS(Imput[[Importe Neto]:[Importe Neto]],Imput[[C. Imp.]:[C. Imp.]],$D459,Imput[[PERIODO Imp.]:[PERIODO Imp.]],CC$9)</f>
        <v>0</v>
      </c>
      <c r="CD459" s="693">
        <f>SUMIFS(Imput[[Importe Neto]:[Importe Neto]],Imput[[C. Imp.]:[C. Imp.]],$D459,Imput[[PERIODO Imp.]:[PERIODO Imp.]],CD$9)</f>
        <v>0</v>
      </c>
      <c r="CE459" s="693">
        <f>SUMIFS(Imput[[Importe Neto]:[Importe Neto]],Imput[[C. Imp.]:[C. Imp.]],$D459,Imput[[PERIODO Imp.]:[PERIODO Imp.]],CE$9)</f>
        <v>0</v>
      </c>
      <c r="CF459" s="693">
        <f>SUMIFS(Imput[[Importe Neto]:[Importe Neto]],Imput[[C. Imp.]:[C. Imp.]],$D459,Imput[[PERIODO Imp.]:[PERIODO Imp.]],CF$9)</f>
        <v>0</v>
      </c>
      <c r="CG459" s="693">
        <f>SUMIFS(Imput[[Importe Neto]:[Importe Neto]],Imput[[C. Imp.]:[C. Imp.]],$D459,Imput[[PERIODO Imp.]:[PERIODO Imp.]],CG$9)</f>
        <v>0</v>
      </c>
      <c r="CH459" s="693">
        <f>SUMIFS(Imput[[Importe Neto]:[Importe Neto]],Imput[[C. Imp.]:[C. Imp.]],$D459,Imput[[PERIODO Imp.]:[PERIODO Imp.]],CH$9)</f>
        <v>0</v>
      </c>
      <c r="CI459" s="693">
        <f>SUMIFS(Imput[[Importe Neto]:[Importe Neto]],Imput[[C. Imp.]:[C. Imp.]],$D459,Imput[[PERIODO Imp.]:[PERIODO Imp.]],CI$9)</f>
        <v>0</v>
      </c>
      <c r="CJ459" s="693">
        <f>SUMIFS(Imput[[Importe Neto]:[Importe Neto]],Imput[[C. Imp.]:[C. Imp.]],$D459,Imput[[PERIODO Imp.]:[PERIODO Imp.]],CJ$9)</f>
        <v>0</v>
      </c>
      <c r="CK459" s="693">
        <f>SUMIFS(Imput[[Importe Neto]:[Importe Neto]],Imput[[C. Imp.]:[C. Imp.]],$D459,Imput[[PERIODO Imp.]:[PERIODO Imp.]],CK$9)</f>
        <v>0</v>
      </c>
      <c r="CL459" s="693">
        <f>SUMIFS(Imput[[Importe Neto]:[Importe Neto]],Imput[[C. Imp.]:[C. Imp.]],$D459,Imput[[PERIODO Imp.]:[PERIODO Imp.]],CL$9)</f>
        <v>0</v>
      </c>
      <c r="CM459" s="693">
        <f>SUMIFS(Imput[[Importe Neto]:[Importe Neto]],Imput[[C. Imp.]:[C. Imp.]],$D459,Imput[[PERIODO Imp.]:[PERIODO Imp.]],CM$9)</f>
        <v>0</v>
      </c>
      <c r="CN459" s="693">
        <f>SUMIFS(Imput[[Importe Neto]:[Importe Neto]],Imput[[C. Imp.]:[C. Imp.]],$D459,Imput[[PERIODO Imp.]:[PERIODO Imp.]],CN$9)</f>
        <v>0</v>
      </c>
      <c r="CO459" s="693">
        <f>SUMIFS(Imput[[Importe Neto]:[Importe Neto]],Imput[[C. Imp.]:[C. Imp.]],$D459,Imput[[PERIODO Imp.]:[PERIODO Imp.]],CO$9)</f>
        <v>0</v>
      </c>
      <c r="CP459" s="693">
        <f>SUMIFS(Imput[[Importe Neto]:[Importe Neto]],Imput[[C. Imp.]:[C. Imp.]],$D459,Imput[[PERIODO Imp.]:[PERIODO Imp.]],CP$9)</f>
        <v>0</v>
      </c>
      <c r="CQ459" s="693">
        <f>SUMIFS(Imput[[Importe Neto]:[Importe Neto]],Imput[[C. Imp.]:[C. Imp.]],$D459,Imput[[PERIODO Imp.]:[PERIODO Imp.]],CQ$9)</f>
        <v>0</v>
      </c>
      <c r="CR459" s="693">
        <f>SUMIFS(Imput[[Importe Neto]:[Importe Neto]],Imput[[C. Imp.]:[C. Imp.]],$D459,Imput[[PERIODO Imp.]:[PERIODO Imp.]],CR$9)</f>
        <v>0</v>
      </c>
      <c r="CS459" s="693">
        <f>SUMIFS(Imput[[Importe Neto]:[Importe Neto]],Imput[[C. Imp.]:[C. Imp.]],$D459,Imput[[PERIODO Imp.]:[PERIODO Imp.]],CS$9)</f>
        <v>0</v>
      </c>
      <c r="CT459" s="693">
        <f>SUMIFS(Imput[[Importe Neto]:[Importe Neto]],Imput[[C. Imp.]:[C. Imp.]],$D459,Imput[[PERIODO Imp.]:[PERIODO Imp.]],CT$9)</f>
        <v>0</v>
      </c>
      <c r="CU459" s="693">
        <f>SUMIFS(Imput[[Importe Neto]:[Importe Neto]],Imput[[C. Imp.]:[C. Imp.]],$D459,Imput[[PERIODO Imp.]:[PERIODO Imp.]],CU$9)</f>
        <v>0</v>
      </c>
      <c r="CV459" s="693">
        <f>SUMIFS(Imput[[Importe Neto]:[Importe Neto]],Imput[[C. Imp.]:[C. Imp.]],$D459,Imput[[PERIODO Imp.]:[PERIODO Imp.]],CV$9)</f>
        <v>0</v>
      </c>
      <c r="CW459" s="693">
        <f>SUMIFS(Imput[[Importe Neto]:[Importe Neto]],Imput[[C. Imp.]:[C. Imp.]],$D459,Imput[[PERIODO Imp.]:[PERIODO Imp.]],CW$9)</f>
        <v>0</v>
      </c>
      <c r="CX459" s="693">
        <f>SUMIFS(Imput[[Importe Neto]:[Importe Neto]],Imput[[C. Imp.]:[C. Imp.]],$D459,Imput[[PERIODO Imp.]:[PERIODO Imp.]],CX$9)</f>
        <v>0</v>
      </c>
      <c r="CY459" s="693">
        <f>SUMIFS(Imput[[Importe Neto]:[Importe Neto]],Imput[[C. Imp.]:[C. Imp.]],$D459,Imput[[PERIODO Imp.]:[PERIODO Imp.]],CY$9)</f>
        <v>0</v>
      </c>
      <c r="CZ459" s="693">
        <f>SUMIFS(Imput[[Importe Neto]:[Importe Neto]],Imput[[C. Imp.]:[C. Imp.]],$D459,Imput[[PERIODO Imp.]:[PERIODO Imp.]],CZ$9)</f>
        <v>0</v>
      </c>
      <c r="DA459" s="693">
        <f>SUMIFS(Imput[[Importe Neto]:[Importe Neto]],Imput[[C. Imp.]:[C. Imp.]],$D459,Imput[[PERIODO Imp.]:[PERIODO Imp.]],DA$9)</f>
        <v>0</v>
      </c>
      <c r="DB459" s="693">
        <f>SUMIFS(Imput[[Importe Neto]:[Importe Neto]],Imput[[C. Imp.]:[C. Imp.]],$D459,Imput[[PERIODO Imp.]:[PERIODO Imp.]],DB$9)</f>
        <v>0</v>
      </c>
      <c r="DC459" s="693">
        <f>SUMIFS(Imput[[Importe Neto]:[Importe Neto]],Imput[[C. Imp.]:[C. Imp.]],$D459,Imput[[PERIODO Imp.]:[PERIODO Imp.]],DC$9)</f>
        <v>0</v>
      </c>
      <c r="DD459" s="693">
        <f>SUMIFS(Imput[[Importe Neto]:[Importe Neto]],Imput[[C. Imp.]:[C. Imp.]],$D459,Imput[[PERIODO Imp.]:[PERIODO Imp.]],DD$9)</f>
        <v>0</v>
      </c>
      <c r="DE459" s="693">
        <f>SUMIFS(Imput[[Importe Neto]:[Importe Neto]],Imput[[C. Imp.]:[C. Imp.]],$D459,Imput[[PERIODO Imp.]:[PERIODO Imp.]],DE$9)</f>
        <v>0</v>
      </c>
      <c r="DF459" s="693">
        <f>SUMIFS(Imput[[Importe Neto]:[Importe Neto]],Imput[[C. Imp.]:[C. Imp.]],$D459,Imput[[PERIODO Imp.]:[PERIODO Imp.]],DF$9)</f>
        <v>0</v>
      </c>
      <c r="DG459" s="693">
        <f>SUMIFS(Imput[[Importe Neto]:[Importe Neto]],Imput[[C. Imp.]:[C. Imp.]],$D459,Imput[[PERIODO Imp.]:[PERIODO Imp.]],DG$9)</f>
        <v>0</v>
      </c>
      <c r="DH459" s="694">
        <f>SUMIFS(Imput[[Importe Neto]:[Importe Neto]],Imput[[C. Imp.]:[C. Imp.]],$D459,Imput[[PERIODO Imp.]:[PERIODO Imp.]],DH$9)</f>
        <v>0</v>
      </c>
    </row>
    <row r="460" spans="1:112" s="651" customFormat="1" ht="14.4" hidden="1" outlineLevel="1" thickBot="1" x14ac:dyDescent="0.35">
      <c r="A460" s="652" t="str">
        <f t="shared" si="178"/>
        <v/>
      </c>
      <c r="B460" s="732"/>
      <c r="C460" s="685"/>
      <c r="D460" s="686" t="s">
        <v>2508</v>
      </c>
      <c r="E460" s="686"/>
      <c r="F460" s="720"/>
      <c r="G460" s="688"/>
      <c r="H460" s="689"/>
      <c r="I460" s="851" t="str">
        <f t="shared" si="179"/>
        <v/>
      </c>
      <c r="J460" s="517" t="str">
        <f t="shared" si="180"/>
        <v/>
      </c>
      <c r="K460" s="678"/>
      <c r="L460" s="858"/>
      <c r="M460" s="859"/>
      <c r="N460" s="859"/>
      <c r="O460" s="859"/>
      <c r="P460" s="859"/>
      <c r="Q460" s="859"/>
      <c r="R460" s="859"/>
      <c r="S460" s="859"/>
      <c r="T460" s="859"/>
      <c r="U460" s="859"/>
      <c r="V460" s="859"/>
      <c r="W460" s="859"/>
      <c r="X460" s="859"/>
      <c r="Y460" s="859"/>
      <c r="Z460" s="860"/>
      <c r="AA460" s="860"/>
      <c r="AB460" s="860"/>
      <c r="AC460" s="860"/>
      <c r="AD460" s="860"/>
      <c r="AE460" s="860"/>
      <c r="AF460" s="860"/>
      <c r="AG460" s="860"/>
      <c r="AH460" s="860"/>
      <c r="AI460" s="860"/>
      <c r="AJ460" s="860"/>
      <c r="AK460" s="860"/>
      <c r="AL460" s="860"/>
      <c r="AM460" s="860"/>
      <c r="AN460" s="860"/>
      <c r="AO460" s="860"/>
      <c r="AP460" s="860"/>
      <c r="AQ460" s="860"/>
      <c r="AR460" s="860"/>
      <c r="AS460" s="860"/>
      <c r="AT460" s="860"/>
      <c r="AU460" s="860"/>
      <c r="AV460" s="860"/>
      <c r="AW460" s="860"/>
      <c r="AX460" s="860"/>
      <c r="AY460" s="860"/>
      <c r="AZ460" s="860"/>
      <c r="BA460" s="860"/>
      <c r="BB460" s="860"/>
      <c r="BC460" s="860"/>
      <c r="BD460" s="860"/>
      <c r="BE460" s="860"/>
      <c r="BF460" s="860"/>
      <c r="BG460" s="860"/>
      <c r="BH460" s="668"/>
      <c r="BI460" s="678"/>
      <c r="BJ460" s="690">
        <f t="shared" si="181"/>
        <v>0</v>
      </c>
      <c r="BK460" s="691">
        <f t="shared" si="182"/>
        <v>0</v>
      </c>
      <c r="BL460" s="654"/>
      <c r="BM460" s="692">
        <f>SUMIFS(Imput[[Importe Neto]:[Importe Neto]],Imput[[C. Imp.]:[C. Imp.]],$D460,Imput[[PERIODO Imp.]:[PERIODO Imp.]],BM$9)</f>
        <v>0</v>
      </c>
      <c r="BN460" s="693">
        <f>SUMIFS(Imput[[Importe Neto]:[Importe Neto]],Imput[[C. Imp.]:[C. Imp.]],$D460,Imput[[PERIODO Imp.]:[PERIODO Imp.]],BN$9)</f>
        <v>0</v>
      </c>
      <c r="BO460" s="693">
        <f>SUMIFS(Imput[[Importe Neto]:[Importe Neto]],Imput[[C. Imp.]:[C. Imp.]],$D460,Imput[[PERIODO Imp.]:[PERIODO Imp.]],BO$9)</f>
        <v>0</v>
      </c>
      <c r="BP460" s="693">
        <f>SUMIFS(Imput[[Importe Neto]:[Importe Neto]],Imput[[C. Imp.]:[C. Imp.]],$D460,Imput[[PERIODO Imp.]:[PERIODO Imp.]],BP$9)</f>
        <v>0</v>
      </c>
      <c r="BQ460" s="693">
        <f>SUMIFS(Imput[[Importe Neto]:[Importe Neto]],Imput[[C. Imp.]:[C. Imp.]],$D460,Imput[[PERIODO Imp.]:[PERIODO Imp.]],BQ$9)</f>
        <v>0</v>
      </c>
      <c r="BR460" s="693">
        <f>SUMIFS(Imput[[Importe Neto]:[Importe Neto]],Imput[[C. Imp.]:[C. Imp.]],$D460,Imput[[PERIODO Imp.]:[PERIODO Imp.]],BR$9)</f>
        <v>0</v>
      </c>
      <c r="BS460" s="693">
        <f>SUMIFS(Imput[[Importe Neto]:[Importe Neto]],Imput[[C. Imp.]:[C. Imp.]],$D460,Imput[[PERIODO Imp.]:[PERIODO Imp.]],BS$9)</f>
        <v>0</v>
      </c>
      <c r="BT460" s="693">
        <f>SUMIFS(Imput[[Importe Neto]:[Importe Neto]],Imput[[C. Imp.]:[C. Imp.]],$D460,Imput[[PERIODO Imp.]:[PERIODO Imp.]],BT$9)</f>
        <v>0</v>
      </c>
      <c r="BU460" s="693">
        <f>SUMIFS(Imput[[Importe Neto]:[Importe Neto]],Imput[[C. Imp.]:[C. Imp.]],$D460,Imput[[PERIODO Imp.]:[PERIODO Imp.]],BU$9)</f>
        <v>0</v>
      </c>
      <c r="BV460" s="693">
        <f>SUMIFS(Imput[[Importe Neto]:[Importe Neto]],Imput[[C. Imp.]:[C. Imp.]],$D460,Imput[[PERIODO Imp.]:[PERIODO Imp.]],BV$9)</f>
        <v>0</v>
      </c>
      <c r="BW460" s="693">
        <f>SUMIFS(Imput[[Importe Neto]:[Importe Neto]],Imput[[C. Imp.]:[C. Imp.]],$D460,Imput[[PERIODO Imp.]:[PERIODO Imp.]],BW$9)</f>
        <v>0</v>
      </c>
      <c r="BX460" s="693">
        <f>SUMIFS(Imput[[Importe Neto]:[Importe Neto]],Imput[[C. Imp.]:[C. Imp.]],$D460,Imput[[PERIODO Imp.]:[PERIODO Imp.]],BX$9)</f>
        <v>0</v>
      </c>
      <c r="BY460" s="693">
        <f>SUMIFS(Imput[[Importe Neto]:[Importe Neto]],Imput[[C. Imp.]:[C. Imp.]],$D460,Imput[[PERIODO Imp.]:[PERIODO Imp.]],BY$9)</f>
        <v>0</v>
      </c>
      <c r="BZ460" s="693">
        <f>SUMIFS(Imput[[Importe Neto]:[Importe Neto]],Imput[[C. Imp.]:[C. Imp.]],$D460,Imput[[PERIODO Imp.]:[PERIODO Imp.]],BZ$9)</f>
        <v>0</v>
      </c>
      <c r="CA460" s="693">
        <f>SUMIFS(Imput[[Importe Neto]:[Importe Neto]],Imput[[C. Imp.]:[C. Imp.]],$D460,Imput[[PERIODO Imp.]:[PERIODO Imp.]],CA$9)</f>
        <v>0</v>
      </c>
      <c r="CB460" s="693">
        <f>SUMIFS(Imput[[Importe Neto]:[Importe Neto]],Imput[[C. Imp.]:[C. Imp.]],$D460,Imput[[PERIODO Imp.]:[PERIODO Imp.]],CB$9)</f>
        <v>0</v>
      </c>
      <c r="CC460" s="693">
        <f>SUMIFS(Imput[[Importe Neto]:[Importe Neto]],Imput[[C. Imp.]:[C. Imp.]],$D460,Imput[[PERIODO Imp.]:[PERIODO Imp.]],CC$9)</f>
        <v>0</v>
      </c>
      <c r="CD460" s="693">
        <f>SUMIFS(Imput[[Importe Neto]:[Importe Neto]],Imput[[C. Imp.]:[C. Imp.]],$D460,Imput[[PERIODO Imp.]:[PERIODO Imp.]],CD$9)</f>
        <v>0</v>
      </c>
      <c r="CE460" s="693">
        <f>SUMIFS(Imput[[Importe Neto]:[Importe Neto]],Imput[[C. Imp.]:[C. Imp.]],$D460,Imput[[PERIODO Imp.]:[PERIODO Imp.]],CE$9)</f>
        <v>0</v>
      </c>
      <c r="CF460" s="693">
        <f>SUMIFS(Imput[[Importe Neto]:[Importe Neto]],Imput[[C. Imp.]:[C. Imp.]],$D460,Imput[[PERIODO Imp.]:[PERIODO Imp.]],CF$9)</f>
        <v>0</v>
      </c>
      <c r="CG460" s="693">
        <f>SUMIFS(Imput[[Importe Neto]:[Importe Neto]],Imput[[C. Imp.]:[C. Imp.]],$D460,Imput[[PERIODO Imp.]:[PERIODO Imp.]],CG$9)</f>
        <v>0</v>
      </c>
      <c r="CH460" s="693">
        <f>SUMIFS(Imput[[Importe Neto]:[Importe Neto]],Imput[[C. Imp.]:[C. Imp.]],$D460,Imput[[PERIODO Imp.]:[PERIODO Imp.]],CH$9)</f>
        <v>0</v>
      </c>
      <c r="CI460" s="693">
        <f>SUMIFS(Imput[[Importe Neto]:[Importe Neto]],Imput[[C. Imp.]:[C. Imp.]],$D460,Imput[[PERIODO Imp.]:[PERIODO Imp.]],CI$9)</f>
        <v>0</v>
      </c>
      <c r="CJ460" s="693">
        <f>SUMIFS(Imput[[Importe Neto]:[Importe Neto]],Imput[[C. Imp.]:[C. Imp.]],$D460,Imput[[PERIODO Imp.]:[PERIODO Imp.]],CJ$9)</f>
        <v>0</v>
      </c>
      <c r="CK460" s="693">
        <f>SUMIFS(Imput[[Importe Neto]:[Importe Neto]],Imput[[C. Imp.]:[C. Imp.]],$D460,Imput[[PERIODO Imp.]:[PERIODO Imp.]],CK$9)</f>
        <v>0</v>
      </c>
      <c r="CL460" s="693">
        <f>SUMIFS(Imput[[Importe Neto]:[Importe Neto]],Imput[[C. Imp.]:[C. Imp.]],$D460,Imput[[PERIODO Imp.]:[PERIODO Imp.]],CL$9)</f>
        <v>0</v>
      </c>
      <c r="CM460" s="693">
        <f>SUMIFS(Imput[[Importe Neto]:[Importe Neto]],Imput[[C. Imp.]:[C. Imp.]],$D460,Imput[[PERIODO Imp.]:[PERIODO Imp.]],CM$9)</f>
        <v>0</v>
      </c>
      <c r="CN460" s="693">
        <f>SUMIFS(Imput[[Importe Neto]:[Importe Neto]],Imput[[C. Imp.]:[C. Imp.]],$D460,Imput[[PERIODO Imp.]:[PERIODO Imp.]],CN$9)</f>
        <v>0</v>
      </c>
      <c r="CO460" s="693">
        <f>SUMIFS(Imput[[Importe Neto]:[Importe Neto]],Imput[[C. Imp.]:[C. Imp.]],$D460,Imput[[PERIODO Imp.]:[PERIODO Imp.]],CO$9)</f>
        <v>0</v>
      </c>
      <c r="CP460" s="693">
        <f>SUMIFS(Imput[[Importe Neto]:[Importe Neto]],Imput[[C. Imp.]:[C. Imp.]],$D460,Imput[[PERIODO Imp.]:[PERIODO Imp.]],CP$9)</f>
        <v>0</v>
      </c>
      <c r="CQ460" s="693">
        <f>SUMIFS(Imput[[Importe Neto]:[Importe Neto]],Imput[[C. Imp.]:[C. Imp.]],$D460,Imput[[PERIODO Imp.]:[PERIODO Imp.]],CQ$9)</f>
        <v>0</v>
      </c>
      <c r="CR460" s="693">
        <f>SUMIFS(Imput[[Importe Neto]:[Importe Neto]],Imput[[C. Imp.]:[C. Imp.]],$D460,Imput[[PERIODO Imp.]:[PERIODO Imp.]],CR$9)</f>
        <v>0</v>
      </c>
      <c r="CS460" s="693">
        <f>SUMIFS(Imput[[Importe Neto]:[Importe Neto]],Imput[[C. Imp.]:[C. Imp.]],$D460,Imput[[PERIODO Imp.]:[PERIODO Imp.]],CS$9)</f>
        <v>0</v>
      </c>
      <c r="CT460" s="693">
        <f>SUMIFS(Imput[[Importe Neto]:[Importe Neto]],Imput[[C. Imp.]:[C. Imp.]],$D460,Imput[[PERIODO Imp.]:[PERIODO Imp.]],CT$9)</f>
        <v>0</v>
      </c>
      <c r="CU460" s="693">
        <f>SUMIFS(Imput[[Importe Neto]:[Importe Neto]],Imput[[C. Imp.]:[C. Imp.]],$D460,Imput[[PERIODO Imp.]:[PERIODO Imp.]],CU$9)</f>
        <v>0</v>
      </c>
      <c r="CV460" s="693">
        <f>SUMIFS(Imput[[Importe Neto]:[Importe Neto]],Imput[[C. Imp.]:[C. Imp.]],$D460,Imput[[PERIODO Imp.]:[PERIODO Imp.]],CV$9)</f>
        <v>0</v>
      </c>
      <c r="CW460" s="693">
        <f>SUMIFS(Imput[[Importe Neto]:[Importe Neto]],Imput[[C. Imp.]:[C. Imp.]],$D460,Imput[[PERIODO Imp.]:[PERIODO Imp.]],CW$9)</f>
        <v>0</v>
      </c>
      <c r="CX460" s="693">
        <f>SUMIFS(Imput[[Importe Neto]:[Importe Neto]],Imput[[C. Imp.]:[C. Imp.]],$D460,Imput[[PERIODO Imp.]:[PERIODO Imp.]],CX$9)</f>
        <v>0</v>
      </c>
      <c r="CY460" s="693">
        <f>SUMIFS(Imput[[Importe Neto]:[Importe Neto]],Imput[[C. Imp.]:[C. Imp.]],$D460,Imput[[PERIODO Imp.]:[PERIODO Imp.]],CY$9)</f>
        <v>0</v>
      </c>
      <c r="CZ460" s="693">
        <f>SUMIFS(Imput[[Importe Neto]:[Importe Neto]],Imput[[C. Imp.]:[C. Imp.]],$D460,Imput[[PERIODO Imp.]:[PERIODO Imp.]],CZ$9)</f>
        <v>0</v>
      </c>
      <c r="DA460" s="693">
        <f>SUMIFS(Imput[[Importe Neto]:[Importe Neto]],Imput[[C. Imp.]:[C. Imp.]],$D460,Imput[[PERIODO Imp.]:[PERIODO Imp.]],DA$9)</f>
        <v>0</v>
      </c>
      <c r="DB460" s="693">
        <f>SUMIFS(Imput[[Importe Neto]:[Importe Neto]],Imput[[C. Imp.]:[C. Imp.]],$D460,Imput[[PERIODO Imp.]:[PERIODO Imp.]],DB$9)</f>
        <v>0</v>
      </c>
      <c r="DC460" s="693">
        <f>SUMIFS(Imput[[Importe Neto]:[Importe Neto]],Imput[[C. Imp.]:[C. Imp.]],$D460,Imput[[PERIODO Imp.]:[PERIODO Imp.]],DC$9)</f>
        <v>0</v>
      </c>
      <c r="DD460" s="693">
        <f>SUMIFS(Imput[[Importe Neto]:[Importe Neto]],Imput[[C. Imp.]:[C. Imp.]],$D460,Imput[[PERIODO Imp.]:[PERIODO Imp.]],DD$9)</f>
        <v>0</v>
      </c>
      <c r="DE460" s="693">
        <f>SUMIFS(Imput[[Importe Neto]:[Importe Neto]],Imput[[C. Imp.]:[C. Imp.]],$D460,Imput[[PERIODO Imp.]:[PERIODO Imp.]],DE$9)</f>
        <v>0</v>
      </c>
      <c r="DF460" s="693">
        <f>SUMIFS(Imput[[Importe Neto]:[Importe Neto]],Imput[[C. Imp.]:[C. Imp.]],$D460,Imput[[PERIODO Imp.]:[PERIODO Imp.]],DF$9)</f>
        <v>0</v>
      </c>
      <c r="DG460" s="693">
        <f>SUMIFS(Imput[[Importe Neto]:[Importe Neto]],Imput[[C. Imp.]:[C. Imp.]],$D460,Imput[[PERIODO Imp.]:[PERIODO Imp.]],DG$9)</f>
        <v>0</v>
      </c>
      <c r="DH460" s="694">
        <f>SUMIFS(Imput[[Importe Neto]:[Importe Neto]],Imput[[C. Imp.]:[C. Imp.]],$D460,Imput[[PERIODO Imp.]:[PERIODO Imp.]],DH$9)</f>
        <v>0</v>
      </c>
    </row>
    <row r="461" spans="1:112" s="651" customFormat="1" ht="14.4" hidden="1" outlineLevel="1" thickBot="1" x14ac:dyDescent="0.35">
      <c r="A461" s="652" t="str">
        <f t="shared" si="178"/>
        <v/>
      </c>
      <c r="B461" s="732"/>
      <c r="C461" s="685"/>
      <c r="D461" s="686" t="s">
        <v>2509</v>
      </c>
      <c r="E461" s="733"/>
      <c r="F461" s="720"/>
      <c r="G461" s="688"/>
      <c r="H461" s="734"/>
      <c r="I461" s="851" t="str">
        <f t="shared" si="179"/>
        <v/>
      </c>
      <c r="J461" s="517" t="str">
        <f t="shared" si="180"/>
        <v/>
      </c>
      <c r="K461" s="678"/>
      <c r="L461" s="858"/>
      <c r="M461" s="859"/>
      <c r="N461" s="859"/>
      <c r="O461" s="859"/>
      <c r="P461" s="859"/>
      <c r="Q461" s="859"/>
      <c r="R461" s="859"/>
      <c r="S461" s="859"/>
      <c r="T461" s="859"/>
      <c r="U461" s="859"/>
      <c r="V461" s="859"/>
      <c r="W461" s="859"/>
      <c r="X461" s="859"/>
      <c r="Y461" s="859"/>
      <c r="Z461" s="860"/>
      <c r="AA461" s="860"/>
      <c r="AB461" s="860"/>
      <c r="AC461" s="860"/>
      <c r="AD461" s="860"/>
      <c r="AE461" s="860"/>
      <c r="AF461" s="860"/>
      <c r="AG461" s="860"/>
      <c r="AH461" s="860"/>
      <c r="AI461" s="860"/>
      <c r="AJ461" s="860"/>
      <c r="AK461" s="860"/>
      <c r="AL461" s="860"/>
      <c r="AM461" s="860"/>
      <c r="AN461" s="860"/>
      <c r="AO461" s="860"/>
      <c r="AP461" s="860"/>
      <c r="AQ461" s="860"/>
      <c r="AR461" s="860"/>
      <c r="AS461" s="860"/>
      <c r="AT461" s="860"/>
      <c r="AU461" s="860"/>
      <c r="AV461" s="860"/>
      <c r="AW461" s="860"/>
      <c r="AX461" s="860"/>
      <c r="AY461" s="860"/>
      <c r="AZ461" s="860"/>
      <c r="BA461" s="860"/>
      <c r="BB461" s="860"/>
      <c r="BC461" s="860"/>
      <c r="BD461" s="860"/>
      <c r="BE461" s="860"/>
      <c r="BF461" s="860"/>
      <c r="BG461" s="860"/>
      <c r="BH461" s="668"/>
      <c r="BI461" s="678"/>
      <c r="BJ461" s="690">
        <f t="shared" si="181"/>
        <v>0</v>
      </c>
      <c r="BK461" s="691">
        <f t="shared" si="182"/>
        <v>0</v>
      </c>
      <c r="BL461" s="654"/>
      <c r="BM461" s="692">
        <f>SUMIFS(Imput[[Importe Neto]:[Importe Neto]],Imput[[C. Imp.]:[C. Imp.]],$D461,Imput[[PERIODO Imp.]:[PERIODO Imp.]],BM$9)</f>
        <v>0</v>
      </c>
      <c r="BN461" s="693">
        <f>SUMIFS(Imput[[Importe Neto]:[Importe Neto]],Imput[[C. Imp.]:[C. Imp.]],$D461,Imput[[PERIODO Imp.]:[PERIODO Imp.]],BN$9)</f>
        <v>0</v>
      </c>
      <c r="BO461" s="693">
        <f>SUMIFS(Imput[[Importe Neto]:[Importe Neto]],Imput[[C. Imp.]:[C. Imp.]],$D461,Imput[[PERIODO Imp.]:[PERIODO Imp.]],BO$9)</f>
        <v>0</v>
      </c>
      <c r="BP461" s="693">
        <f>SUMIFS(Imput[[Importe Neto]:[Importe Neto]],Imput[[C. Imp.]:[C. Imp.]],$D461,Imput[[PERIODO Imp.]:[PERIODO Imp.]],BP$9)</f>
        <v>0</v>
      </c>
      <c r="BQ461" s="693">
        <f>SUMIFS(Imput[[Importe Neto]:[Importe Neto]],Imput[[C. Imp.]:[C. Imp.]],$D461,Imput[[PERIODO Imp.]:[PERIODO Imp.]],BQ$9)</f>
        <v>0</v>
      </c>
      <c r="BR461" s="693">
        <f>SUMIFS(Imput[[Importe Neto]:[Importe Neto]],Imput[[C. Imp.]:[C. Imp.]],$D461,Imput[[PERIODO Imp.]:[PERIODO Imp.]],BR$9)</f>
        <v>0</v>
      </c>
      <c r="BS461" s="693">
        <f>SUMIFS(Imput[[Importe Neto]:[Importe Neto]],Imput[[C. Imp.]:[C. Imp.]],$D461,Imput[[PERIODO Imp.]:[PERIODO Imp.]],BS$9)</f>
        <v>0</v>
      </c>
      <c r="BT461" s="693">
        <f>SUMIFS(Imput[[Importe Neto]:[Importe Neto]],Imput[[C. Imp.]:[C. Imp.]],$D461,Imput[[PERIODO Imp.]:[PERIODO Imp.]],BT$9)</f>
        <v>0</v>
      </c>
      <c r="BU461" s="693">
        <f>SUMIFS(Imput[[Importe Neto]:[Importe Neto]],Imput[[C. Imp.]:[C. Imp.]],$D461,Imput[[PERIODO Imp.]:[PERIODO Imp.]],BU$9)</f>
        <v>0</v>
      </c>
      <c r="BV461" s="693">
        <f>SUMIFS(Imput[[Importe Neto]:[Importe Neto]],Imput[[C. Imp.]:[C. Imp.]],$D461,Imput[[PERIODO Imp.]:[PERIODO Imp.]],BV$9)</f>
        <v>0</v>
      </c>
      <c r="BW461" s="693">
        <f>SUMIFS(Imput[[Importe Neto]:[Importe Neto]],Imput[[C. Imp.]:[C. Imp.]],$D461,Imput[[PERIODO Imp.]:[PERIODO Imp.]],BW$9)</f>
        <v>0</v>
      </c>
      <c r="BX461" s="693">
        <f>SUMIFS(Imput[[Importe Neto]:[Importe Neto]],Imput[[C. Imp.]:[C. Imp.]],$D461,Imput[[PERIODO Imp.]:[PERIODO Imp.]],BX$9)</f>
        <v>0</v>
      </c>
      <c r="BY461" s="693">
        <f>SUMIFS(Imput[[Importe Neto]:[Importe Neto]],Imput[[C. Imp.]:[C. Imp.]],$D461,Imput[[PERIODO Imp.]:[PERIODO Imp.]],BY$9)</f>
        <v>0</v>
      </c>
      <c r="BZ461" s="693">
        <f>SUMIFS(Imput[[Importe Neto]:[Importe Neto]],Imput[[C. Imp.]:[C. Imp.]],$D461,Imput[[PERIODO Imp.]:[PERIODO Imp.]],BZ$9)</f>
        <v>0</v>
      </c>
      <c r="CA461" s="693">
        <f>SUMIFS(Imput[[Importe Neto]:[Importe Neto]],Imput[[C. Imp.]:[C. Imp.]],$D461,Imput[[PERIODO Imp.]:[PERIODO Imp.]],CA$9)</f>
        <v>0</v>
      </c>
      <c r="CB461" s="693">
        <f>SUMIFS(Imput[[Importe Neto]:[Importe Neto]],Imput[[C. Imp.]:[C. Imp.]],$D461,Imput[[PERIODO Imp.]:[PERIODO Imp.]],CB$9)</f>
        <v>0</v>
      </c>
      <c r="CC461" s="693">
        <f>SUMIFS(Imput[[Importe Neto]:[Importe Neto]],Imput[[C. Imp.]:[C. Imp.]],$D461,Imput[[PERIODO Imp.]:[PERIODO Imp.]],CC$9)</f>
        <v>0</v>
      </c>
      <c r="CD461" s="693">
        <f>SUMIFS(Imput[[Importe Neto]:[Importe Neto]],Imput[[C. Imp.]:[C. Imp.]],$D461,Imput[[PERIODO Imp.]:[PERIODO Imp.]],CD$9)</f>
        <v>0</v>
      </c>
      <c r="CE461" s="693">
        <f>SUMIFS(Imput[[Importe Neto]:[Importe Neto]],Imput[[C. Imp.]:[C. Imp.]],$D461,Imput[[PERIODO Imp.]:[PERIODO Imp.]],CE$9)</f>
        <v>0</v>
      </c>
      <c r="CF461" s="693">
        <f>SUMIFS(Imput[[Importe Neto]:[Importe Neto]],Imput[[C. Imp.]:[C. Imp.]],$D461,Imput[[PERIODO Imp.]:[PERIODO Imp.]],CF$9)</f>
        <v>0</v>
      </c>
      <c r="CG461" s="693">
        <f>SUMIFS(Imput[[Importe Neto]:[Importe Neto]],Imput[[C. Imp.]:[C. Imp.]],$D461,Imput[[PERIODO Imp.]:[PERIODO Imp.]],CG$9)</f>
        <v>0</v>
      </c>
      <c r="CH461" s="693">
        <f>SUMIFS(Imput[[Importe Neto]:[Importe Neto]],Imput[[C. Imp.]:[C. Imp.]],$D461,Imput[[PERIODO Imp.]:[PERIODO Imp.]],CH$9)</f>
        <v>0</v>
      </c>
      <c r="CI461" s="693">
        <f>SUMIFS(Imput[[Importe Neto]:[Importe Neto]],Imput[[C. Imp.]:[C. Imp.]],$D461,Imput[[PERIODO Imp.]:[PERIODO Imp.]],CI$9)</f>
        <v>0</v>
      </c>
      <c r="CJ461" s="693">
        <f>SUMIFS(Imput[[Importe Neto]:[Importe Neto]],Imput[[C. Imp.]:[C. Imp.]],$D461,Imput[[PERIODO Imp.]:[PERIODO Imp.]],CJ$9)</f>
        <v>0</v>
      </c>
      <c r="CK461" s="693">
        <f>SUMIFS(Imput[[Importe Neto]:[Importe Neto]],Imput[[C. Imp.]:[C. Imp.]],$D461,Imput[[PERIODO Imp.]:[PERIODO Imp.]],CK$9)</f>
        <v>0</v>
      </c>
      <c r="CL461" s="693">
        <f>SUMIFS(Imput[[Importe Neto]:[Importe Neto]],Imput[[C. Imp.]:[C. Imp.]],$D461,Imput[[PERIODO Imp.]:[PERIODO Imp.]],CL$9)</f>
        <v>0</v>
      </c>
      <c r="CM461" s="693">
        <f>SUMIFS(Imput[[Importe Neto]:[Importe Neto]],Imput[[C. Imp.]:[C. Imp.]],$D461,Imput[[PERIODO Imp.]:[PERIODO Imp.]],CM$9)</f>
        <v>0</v>
      </c>
      <c r="CN461" s="693">
        <f>SUMIFS(Imput[[Importe Neto]:[Importe Neto]],Imput[[C. Imp.]:[C. Imp.]],$D461,Imput[[PERIODO Imp.]:[PERIODO Imp.]],CN$9)</f>
        <v>0</v>
      </c>
      <c r="CO461" s="693">
        <f>SUMIFS(Imput[[Importe Neto]:[Importe Neto]],Imput[[C. Imp.]:[C. Imp.]],$D461,Imput[[PERIODO Imp.]:[PERIODO Imp.]],CO$9)</f>
        <v>0</v>
      </c>
      <c r="CP461" s="693">
        <f>SUMIFS(Imput[[Importe Neto]:[Importe Neto]],Imput[[C. Imp.]:[C. Imp.]],$D461,Imput[[PERIODO Imp.]:[PERIODO Imp.]],CP$9)</f>
        <v>0</v>
      </c>
      <c r="CQ461" s="693">
        <f>SUMIFS(Imput[[Importe Neto]:[Importe Neto]],Imput[[C. Imp.]:[C. Imp.]],$D461,Imput[[PERIODO Imp.]:[PERIODO Imp.]],CQ$9)</f>
        <v>0</v>
      </c>
      <c r="CR461" s="693">
        <f>SUMIFS(Imput[[Importe Neto]:[Importe Neto]],Imput[[C. Imp.]:[C. Imp.]],$D461,Imput[[PERIODO Imp.]:[PERIODO Imp.]],CR$9)</f>
        <v>0</v>
      </c>
      <c r="CS461" s="693">
        <f>SUMIFS(Imput[[Importe Neto]:[Importe Neto]],Imput[[C. Imp.]:[C. Imp.]],$D461,Imput[[PERIODO Imp.]:[PERIODO Imp.]],CS$9)</f>
        <v>0</v>
      </c>
      <c r="CT461" s="693">
        <f>SUMIFS(Imput[[Importe Neto]:[Importe Neto]],Imput[[C. Imp.]:[C. Imp.]],$D461,Imput[[PERIODO Imp.]:[PERIODO Imp.]],CT$9)</f>
        <v>0</v>
      </c>
      <c r="CU461" s="693">
        <f>SUMIFS(Imput[[Importe Neto]:[Importe Neto]],Imput[[C. Imp.]:[C. Imp.]],$D461,Imput[[PERIODO Imp.]:[PERIODO Imp.]],CU$9)</f>
        <v>0</v>
      </c>
      <c r="CV461" s="693">
        <f>SUMIFS(Imput[[Importe Neto]:[Importe Neto]],Imput[[C. Imp.]:[C. Imp.]],$D461,Imput[[PERIODO Imp.]:[PERIODO Imp.]],CV$9)</f>
        <v>0</v>
      </c>
      <c r="CW461" s="693">
        <f>SUMIFS(Imput[[Importe Neto]:[Importe Neto]],Imput[[C. Imp.]:[C. Imp.]],$D461,Imput[[PERIODO Imp.]:[PERIODO Imp.]],CW$9)</f>
        <v>0</v>
      </c>
      <c r="CX461" s="693">
        <f>SUMIFS(Imput[[Importe Neto]:[Importe Neto]],Imput[[C. Imp.]:[C. Imp.]],$D461,Imput[[PERIODO Imp.]:[PERIODO Imp.]],CX$9)</f>
        <v>0</v>
      </c>
      <c r="CY461" s="693">
        <f>SUMIFS(Imput[[Importe Neto]:[Importe Neto]],Imput[[C. Imp.]:[C. Imp.]],$D461,Imput[[PERIODO Imp.]:[PERIODO Imp.]],CY$9)</f>
        <v>0</v>
      </c>
      <c r="CZ461" s="693">
        <f>SUMIFS(Imput[[Importe Neto]:[Importe Neto]],Imput[[C. Imp.]:[C. Imp.]],$D461,Imput[[PERIODO Imp.]:[PERIODO Imp.]],CZ$9)</f>
        <v>0</v>
      </c>
      <c r="DA461" s="693">
        <f>SUMIFS(Imput[[Importe Neto]:[Importe Neto]],Imput[[C. Imp.]:[C. Imp.]],$D461,Imput[[PERIODO Imp.]:[PERIODO Imp.]],DA$9)</f>
        <v>0</v>
      </c>
      <c r="DB461" s="693">
        <f>SUMIFS(Imput[[Importe Neto]:[Importe Neto]],Imput[[C. Imp.]:[C. Imp.]],$D461,Imput[[PERIODO Imp.]:[PERIODO Imp.]],DB$9)</f>
        <v>0</v>
      </c>
      <c r="DC461" s="693">
        <f>SUMIFS(Imput[[Importe Neto]:[Importe Neto]],Imput[[C. Imp.]:[C. Imp.]],$D461,Imput[[PERIODO Imp.]:[PERIODO Imp.]],DC$9)</f>
        <v>0</v>
      </c>
      <c r="DD461" s="693">
        <f>SUMIFS(Imput[[Importe Neto]:[Importe Neto]],Imput[[C. Imp.]:[C. Imp.]],$D461,Imput[[PERIODO Imp.]:[PERIODO Imp.]],DD$9)</f>
        <v>0</v>
      </c>
      <c r="DE461" s="693">
        <f>SUMIFS(Imput[[Importe Neto]:[Importe Neto]],Imput[[C. Imp.]:[C. Imp.]],$D461,Imput[[PERIODO Imp.]:[PERIODO Imp.]],DE$9)</f>
        <v>0</v>
      </c>
      <c r="DF461" s="693">
        <f>SUMIFS(Imput[[Importe Neto]:[Importe Neto]],Imput[[C. Imp.]:[C. Imp.]],$D461,Imput[[PERIODO Imp.]:[PERIODO Imp.]],DF$9)</f>
        <v>0</v>
      </c>
      <c r="DG461" s="693">
        <f>SUMIFS(Imput[[Importe Neto]:[Importe Neto]],Imput[[C. Imp.]:[C. Imp.]],$D461,Imput[[PERIODO Imp.]:[PERIODO Imp.]],DG$9)</f>
        <v>0</v>
      </c>
      <c r="DH461" s="694">
        <f>SUMIFS(Imput[[Importe Neto]:[Importe Neto]],Imput[[C. Imp.]:[C. Imp.]],$D461,Imput[[PERIODO Imp.]:[PERIODO Imp.]],DH$9)</f>
        <v>0</v>
      </c>
    </row>
    <row r="462" spans="1:112" s="649" customFormat="1" ht="14.4" hidden="1" outlineLevel="1" thickBot="1" x14ac:dyDescent="0.35">
      <c r="A462" s="652" t="str">
        <f>IF(J446&gt;0,"Imprimir","")</f>
        <v/>
      </c>
      <c r="B462" s="652"/>
      <c r="C462" s="699"/>
      <c r="D462" s="700"/>
      <c r="E462" s="700"/>
      <c r="F462" s="701"/>
      <c r="G462" s="702"/>
      <c r="H462" s="703"/>
      <c r="I462" s="704"/>
      <c r="J462" s="117"/>
      <c r="K462" s="667"/>
      <c r="L462" s="706"/>
      <c r="M462" s="707"/>
      <c r="N462" s="777"/>
      <c r="O462" s="777"/>
      <c r="P462" s="778"/>
      <c r="Q462" s="778"/>
      <c r="R462" s="708"/>
      <c r="S462" s="708"/>
      <c r="T462" s="779"/>
      <c r="U462" s="779"/>
      <c r="V462" s="778"/>
      <c r="W462" s="778"/>
      <c r="X462" s="708"/>
      <c r="Y462" s="708"/>
      <c r="Z462" s="708"/>
      <c r="AA462" s="708"/>
      <c r="AB462" s="708"/>
      <c r="AC462" s="708"/>
      <c r="AD462" s="708"/>
      <c r="AE462" s="708"/>
      <c r="AF462" s="708"/>
      <c r="AG462" s="708"/>
      <c r="AH462" s="708"/>
      <c r="AI462" s="708"/>
      <c r="AJ462" s="708"/>
      <c r="AK462" s="708"/>
      <c r="AL462" s="708"/>
      <c r="AM462" s="708"/>
      <c r="AN462" s="708"/>
      <c r="AO462" s="708"/>
      <c r="AP462" s="708"/>
      <c r="AQ462" s="708"/>
      <c r="AR462" s="708"/>
      <c r="AS462" s="708"/>
      <c r="AT462" s="708"/>
      <c r="AU462" s="708"/>
      <c r="AV462" s="708"/>
      <c r="AW462" s="708"/>
      <c r="AX462" s="708"/>
      <c r="AY462" s="708"/>
      <c r="AZ462" s="708"/>
      <c r="BA462" s="708"/>
      <c r="BB462" s="708"/>
      <c r="BC462" s="708"/>
      <c r="BD462" s="708"/>
      <c r="BE462" s="708"/>
      <c r="BF462" s="708"/>
      <c r="BG462" s="708"/>
      <c r="BH462" s="780"/>
      <c r="BI462" s="654"/>
      <c r="BJ462" s="709"/>
      <c r="BK462" s="710"/>
      <c r="BL462" s="654"/>
      <c r="BM462" s="731"/>
      <c r="BN462" s="701"/>
      <c r="BO462" s="701"/>
      <c r="BP462" s="701"/>
      <c r="BQ462" s="701"/>
      <c r="BR462" s="701"/>
      <c r="BS462" s="701"/>
      <c r="BT462" s="701"/>
      <c r="BU462" s="701"/>
      <c r="BV462" s="701"/>
      <c r="BW462" s="701"/>
      <c r="BX462" s="701"/>
      <c r="BY462" s="701"/>
      <c r="BZ462" s="701"/>
      <c r="CA462" s="701"/>
      <c r="CB462" s="701"/>
      <c r="CC462" s="701"/>
      <c r="CD462" s="701"/>
      <c r="CE462" s="701"/>
      <c r="CF462" s="701"/>
      <c r="CG462" s="701"/>
      <c r="CH462" s="701"/>
      <c r="CI462" s="701"/>
      <c r="CJ462" s="701"/>
      <c r="CK462" s="701"/>
      <c r="CL462" s="701"/>
      <c r="CM462" s="701"/>
      <c r="CN462" s="701"/>
      <c r="CO462" s="701"/>
      <c r="CP462" s="701"/>
      <c r="CQ462" s="701"/>
      <c r="CR462" s="701"/>
      <c r="CS462" s="701"/>
      <c r="CT462" s="701"/>
      <c r="CU462" s="701"/>
      <c r="CV462" s="701"/>
      <c r="CW462" s="701"/>
      <c r="CX462" s="701"/>
      <c r="CY462" s="701"/>
      <c r="CZ462" s="701"/>
      <c r="DA462" s="701"/>
      <c r="DB462" s="701"/>
      <c r="DC462" s="701"/>
      <c r="DD462" s="701"/>
      <c r="DE462" s="701"/>
      <c r="DF462" s="701"/>
      <c r="DG462" s="701"/>
      <c r="DH462" s="710"/>
    </row>
    <row r="463" spans="1:112" s="649" customFormat="1" ht="14.4" hidden="1" collapsed="1" thickBot="1" x14ac:dyDescent="0.35">
      <c r="A463" s="652" t="str">
        <f>IF(J463&gt;0,"Imprimir","")</f>
        <v/>
      </c>
      <c r="B463" s="652"/>
      <c r="C463" s="711"/>
      <c r="D463" s="712" t="s">
        <v>455</v>
      </c>
      <c r="E463" s="712" t="s">
        <v>511</v>
      </c>
      <c r="F463" s="712"/>
      <c r="G463" s="713"/>
      <c r="H463" s="712"/>
      <c r="I463" s="714"/>
      <c r="J463" s="166">
        <f>SUBTOTAL(9,J466:J470)</f>
        <v>0</v>
      </c>
      <c r="K463" s="658"/>
      <c r="L463" s="770">
        <f t="shared" ref="L463:BG463" si="183">SUMPRODUCT($J466:$J470,L466:L470)</f>
        <v>0</v>
      </c>
      <c r="M463" s="771">
        <f t="shared" si="183"/>
        <v>0</v>
      </c>
      <c r="N463" s="771">
        <f t="shared" si="183"/>
        <v>0</v>
      </c>
      <c r="O463" s="771">
        <f t="shared" si="183"/>
        <v>0</v>
      </c>
      <c r="P463" s="771">
        <f t="shared" si="183"/>
        <v>0</v>
      </c>
      <c r="Q463" s="771">
        <f t="shared" si="183"/>
        <v>0</v>
      </c>
      <c r="R463" s="771">
        <f t="shared" si="183"/>
        <v>0</v>
      </c>
      <c r="S463" s="771">
        <f t="shared" si="183"/>
        <v>0</v>
      </c>
      <c r="T463" s="771">
        <f t="shared" si="183"/>
        <v>0</v>
      </c>
      <c r="U463" s="771">
        <f t="shared" si="183"/>
        <v>0</v>
      </c>
      <c r="V463" s="771">
        <f t="shared" si="183"/>
        <v>0</v>
      </c>
      <c r="W463" s="771">
        <f t="shared" si="183"/>
        <v>0</v>
      </c>
      <c r="X463" s="771">
        <f t="shared" si="183"/>
        <v>0</v>
      </c>
      <c r="Y463" s="771">
        <f t="shared" si="183"/>
        <v>0</v>
      </c>
      <c r="Z463" s="771">
        <f t="shared" si="183"/>
        <v>0</v>
      </c>
      <c r="AA463" s="771">
        <f t="shared" si="183"/>
        <v>0</v>
      </c>
      <c r="AB463" s="771">
        <f t="shared" si="183"/>
        <v>0</v>
      </c>
      <c r="AC463" s="771">
        <f t="shared" si="183"/>
        <v>0</v>
      </c>
      <c r="AD463" s="771">
        <f t="shared" si="183"/>
        <v>0</v>
      </c>
      <c r="AE463" s="771">
        <f t="shared" si="183"/>
        <v>0</v>
      </c>
      <c r="AF463" s="771">
        <f t="shared" si="183"/>
        <v>0</v>
      </c>
      <c r="AG463" s="771">
        <f t="shared" si="183"/>
        <v>0</v>
      </c>
      <c r="AH463" s="771">
        <f t="shared" si="183"/>
        <v>0</v>
      </c>
      <c r="AI463" s="771">
        <f t="shared" si="183"/>
        <v>0</v>
      </c>
      <c r="AJ463" s="771">
        <f t="shared" si="183"/>
        <v>0</v>
      </c>
      <c r="AK463" s="771">
        <f t="shared" si="183"/>
        <v>0</v>
      </c>
      <c r="AL463" s="771">
        <f t="shared" si="183"/>
        <v>0</v>
      </c>
      <c r="AM463" s="771">
        <f t="shared" si="183"/>
        <v>0</v>
      </c>
      <c r="AN463" s="771">
        <f t="shared" si="183"/>
        <v>0</v>
      </c>
      <c r="AO463" s="771">
        <f t="shared" si="183"/>
        <v>0</v>
      </c>
      <c r="AP463" s="771">
        <f t="shared" si="183"/>
        <v>0</v>
      </c>
      <c r="AQ463" s="771">
        <f t="shared" si="183"/>
        <v>0</v>
      </c>
      <c r="AR463" s="771">
        <f t="shared" si="183"/>
        <v>0</v>
      </c>
      <c r="AS463" s="771">
        <f t="shared" si="183"/>
        <v>0</v>
      </c>
      <c r="AT463" s="771">
        <f t="shared" si="183"/>
        <v>0</v>
      </c>
      <c r="AU463" s="771">
        <f t="shared" si="183"/>
        <v>0</v>
      </c>
      <c r="AV463" s="771">
        <f t="shared" si="183"/>
        <v>0</v>
      </c>
      <c r="AW463" s="771">
        <f t="shared" si="183"/>
        <v>0</v>
      </c>
      <c r="AX463" s="771">
        <f t="shared" si="183"/>
        <v>0</v>
      </c>
      <c r="AY463" s="771">
        <f t="shared" si="183"/>
        <v>0</v>
      </c>
      <c r="AZ463" s="771">
        <f t="shared" si="183"/>
        <v>0</v>
      </c>
      <c r="BA463" s="771">
        <f t="shared" si="183"/>
        <v>0</v>
      </c>
      <c r="BB463" s="771">
        <f t="shared" si="183"/>
        <v>0</v>
      </c>
      <c r="BC463" s="771">
        <f t="shared" si="183"/>
        <v>0</v>
      </c>
      <c r="BD463" s="771">
        <f t="shared" si="183"/>
        <v>0</v>
      </c>
      <c r="BE463" s="771">
        <f t="shared" si="183"/>
        <v>0</v>
      </c>
      <c r="BF463" s="771">
        <f t="shared" si="183"/>
        <v>0</v>
      </c>
      <c r="BG463" s="764">
        <f t="shared" si="183"/>
        <v>0</v>
      </c>
      <c r="BH463" s="776"/>
      <c r="BI463" s="654"/>
      <c r="BJ463" s="659">
        <f>IFERROR(13/J463,0)</f>
        <v>0</v>
      </c>
      <c r="BK463" s="660">
        <f>SUBTOTAL(9,BK464:BK470)</f>
        <v>0</v>
      </c>
      <c r="BL463" s="654"/>
      <c r="BM463" s="661">
        <f t="shared" ref="BM463:DH463" si="184">SUBTOTAL(9,BM464:BM470)</f>
        <v>0</v>
      </c>
      <c r="BN463" s="662">
        <f t="shared" si="184"/>
        <v>0</v>
      </c>
      <c r="BO463" s="662">
        <f t="shared" si="184"/>
        <v>0</v>
      </c>
      <c r="BP463" s="662">
        <f t="shared" si="184"/>
        <v>0</v>
      </c>
      <c r="BQ463" s="662">
        <f t="shared" si="184"/>
        <v>0</v>
      </c>
      <c r="BR463" s="662">
        <f t="shared" si="184"/>
        <v>0</v>
      </c>
      <c r="BS463" s="662">
        <f t="shared" si="184"/>
        <v>0</v>
      </c>
      <c r="BT463" s="662">
        <f t="shared" si="184"/>
        <v>0</v>
      </c>
      <c r="BU463" s="662">
        <f t="shared" si="184"/>
        <v>0</v>
      </c>
      <c r="BV463" s="662">
        <f t="shared" si="184"/>
        <v>0</v>
      </c>
      <c r="BW463" s="662">
        <f t="shared" si="184"/>
        <v>0</v>
      </c>
      <c r="BX463" s="662">
        <f t="shared" si="184"/>
        <v>0</v>
      </c>
      <c r="BY463" s="662">
        <f t="shared" si="184"/>
        <v>0</v>
      </c>
      <c r="BZ463" s="662">
        <f t="shared" si="184"/>
        <v>0</v>
      </c>
      <c r="CA463" s="662">
        <f t="shared" si="184"/>
        <v>0</v>
      </c>
      <c r="CB463" s="662">
        <f t="shared" si="184"/>
        <v>0</v>
      </c>
      <c r="CC463" s="662">
        <f t="shared" si="184"/>
        <v>0</v>
      </c>
      <c r="CD463" s="662">
        <f t="shared" si="184"/>
        <v>0</v>
      </c>
      <c r="CE463" s="662">
        <f t="shared" si="184"/>
        <v>0</v>
      </c>
      <c r="CF463" s="662">
        <f t="shared" si="184"/>
        <v>0</v>
      </c>
      <c r="CG463" s="662">
        <f t="shared" si="184"/>
        <v>0</v>
      </c>
      <c r="CH463" s="662">
        <f t="shared" si="184"/>
        <v>0</v>
      </c>
      <c r="CI463" s="662">
        <f t="shared" si="184"/>
        <v>0</v>
      </c>
      <c r="CJ463" s="662">
        <f t="shared" si="184"/>
        <v>0</v>
      </c>
      <c r="CK463" s="662">
        <f t="shared" si="184"/>
        <v>0</v>
      </c>
      <c r="CL463" s="662">
        <f t="shared" si="184"/>
        <v>0</v>
      </c>
      <c r="CM463" s="662">
        <f t="shared" si="184"/>
        <v>0</v>
      </c>
      <c r="CN463" s="662">
        <f t="shared" si="184"/>
        <v>0</v>
      </c>
      <c r="CO463" s="662">
        <f t="shared" si="184"/>
        <v>0</v>
      </c>
      <c r="CP463" s="662">
        <f t="shared" si="184"/>
        <v>0</v>
      </c>
      <c r="CQ463" s="662">
        <f t="shared" si="184"/>
        <v>0</v>
      </c>
      <c r="CR463" s="662">
        <f t="shared" si="184"/>
        <v>0</v>
      </c>
      <c r="CS463" s="662">
        <f t="shared" si="184"/>
        <v>0</v>
      </c>
      <c r="CT463" s="662">
        <f t="shared" si="184"/>
        <v>0</v>
      </c>
      <c r="CU463" s="662">
        <f t="shared" si="184"/>
        <v>0</v>
      </c>
      <c r="CV463" s="662">
        <f t="shared" si="184"/>
        <v>0</v>
      </c>
      <c r="CW463" s="662">
        <f t="shared" si="184"/>
        <v>0</v>
      </c>
      <c r="CX463" s="662">
        <f t="shared" si="184"/>
        <v>0</v>
      </c>
      <c r="CY463" s="662">
        <f t="shared" si="184"/>
        <v>0</v>
      </c>
      <c r="CZ463" s="662">
        <f t="shared" si="184"/>
        <v>0</v>
      </c>
      <c r="DA463" s="662">
        <f t="shared" si="184"/>
        <v>0</v>
      </c>
      <c r="DB463" s="662">
        <f t="shared" si="184"/>
        <v>0</v>
      </c>
      <c r="DC463" s="662">
        <f t="shared" si="184"/>
        <v>0</v>
      </c>
      <c r="DD463" s="662">
        <f t="shared" si="184"/>
        <v>0</v>
      </c>
      <c r="DE463" s="662">
        <f t="shared" si="184"/>
        <v>0</v>
      </c>
      <c r="DF463" s="662">
        <f t="shared" si="184"/>
        <v>0</v>
      </c>
      <c r="DG463" s="662">
        <f t="shared" si="184"/>
        <v>0</v>
      </c>
      <c r="DH463" s="663">
        <f t="shared" si="184"/>
        <v>0</v>
      </c>
    </row>
    <row r="464" spans="1:112" s="649" customFormat="1" ht="14.4" hidden="1" outlineLevel="1" thickBot="1" x14ac:dyDescent="0.35">
      <c r="A464" s="652" t="str">
        <f>IF(J463&gt;0,"Imprimir","")</f>
        <v/>
      </c>
      <c r="B464" s="652"/>
      <c r="C464" s="664"/>
      <c r="D464" s="665"/>
      <c r="E464" s="665"/>
      <c r="F464" s="665" t="s">
        <v>472</v>
      </c>
      <c r="G464" s="716" t="s">
        <v>2128</v>
      </c>
      <c r="H464" s="665" t="str">
        <f>H251</f>
        <v>Cantidad</v>
      </c>
      <c r="I464" s="665" t="s">
        <v>474</v>
      </c>
      <c r="J464" s="104" t="s">
        <v>29</v>
      </c>
      <c r="K464" s="667"/>
      <c r="L464" s="745"/>
      <c r="M464" s="741"/>
      <c r="N464" s="741"/>
      <c r="O464" s="741"/>
      <c r="P464" s="741"/>
      <c r="Q464" s="741"/>
      <c r="R464" s="741"/>
      <c r="S464" s="741"/>
      <c r="T464" s="741"/>
      <c r="U464" s="741"/>
      <c r="V464" s="741"/>
      <c r="W464" s="741"/>
      <c r="X464" s="741"/>
      <c r="Y464" s="741"/>
      <c r="Z464" s="741"/>
      <c r="AA464" s="741"/>
      <c r="AB464" s="741"/>
      <c r="AC464" s="741"/>
      <c r="AD464" s="741"/>
      <c r="AE464" s="741"/>
      <c r="AF464" s="741"/>
      <c r="AG464" s="741"/>
      <c r="AH464" s="741"/>
      <c r="AI464" s="741"/>
      <c r="AJ464" s="741"/>
      <c r="AK464" s="741"/>
      <c r="AL464" s="741"/>
      <c r="AM464" s="741"/>
      <c r="AN464" s="741"/>
      <c r="AO464" s="741"/>
      <c r="AP464" s="741"/>
      <c r="AQ464" s="741"/>
      <c r="AR464" s="741"/>
      <c r="AS464" s="741"/>
      <c r="AT464" s="741"/>
      <c r="AU464" s="741"/>
      <c r="AV464" s="741"/>
      <c r="AW464" s="741"/>
      <c r="AX464" s="741"/>
      <c r="AY464" s="741"/>
      <c r="AZ464" s="741"/>
      <c r="BA464" s="741"/>
      <c r="BB464" s="741"/>
      <c r="BC464" s="741"/>
      <c r="BD464" s="741"/>
      <c r="BE464" s="741"/>
      <c r="BF464" s="741"/>
      <c r="BG464" s="741"/>
      <c r="BH464" s="668"/>
      <c r="BI464" s="654"/>
      <c r="BJ464" s="669"/>
      <c r="BK464" s="670"/>
      <c r="BL464" s="654"/>
      <c r="BM464" s="671"/>
      <c r="BN464" s="665"/>
      <c r="BO464" s="665"/>
      <c r="BP464" s="665"/>
      <c r="BQ464" s="665"/>
      <c r="BR464" s="665"/>
      <c r="BS464" s="665"/>
      <c r="BT464" s="665"/>
      <c r="BU464" s="665"/>
      <c r="BV464" s="665"/>
      <c r="BW464" s="665"/>
      <c r="BX464" s="665"/>
      <c r="BY464" s="665"/>
      <c r="BZ464" s="665"/>
      <c r="CA464" s="665"/>
      <c r="CB464" s="665"/>
      <c r="CC464" s="665"/>
      <c r="CD464" s="665"/>
      <c r="CE464" s="665"/>
      <c r="CF464" s="665"/>
      <c r="CG464" s="665"/>
      <c r="CH464" s="665"/>
      <c r="CI464" s="665"/>
      <c r="CJ464" s="665"/>
      <c r="CK464" s="665"/>
      <c r="CL464" s="665"/>
      <c r="CM464" s="665"/>
      <c r="CN464" s="665"/>
      <c r="CO464" s="665"/>
      <c r="CP464" s="665"/>
      <c r="CQ464" s="665"/>
      <c r="CR464" s="665"/>
      <c r="CS464" s="665"/>
      <c r="CT464" s="665"/>
      <c r="CU464" s="665"/>
      <c r="CV464" s="665"/>
      <c r="CW464" s="665"/>
      <c r="CX464" s="665"/>
      <c r="CY464" s="665"/>
      <c r="CZ464" s="665"/>
      <c r="DA464" s="665"/>
      <c r="DB464" s="665"/>
      <c r="DC464" s="665"/>
      <c r="DD464" s="665"/>
      <c r="DE464" s="665"/>
      <c r="DF464" s="665"/>
      <c r="DG464" s="665"/>
      <c r="DH464" s="666"/>
    </row>
    <row r="465" spans="1:112" s="649" customFormat="1" ht="16.2" hidden="1" outlineLevel="1" thickBot="1" x14ac:dyDescent="0.35">
      <c r="A465" s="652" t="str">
        <f>IF(J465&gt;0,"Imprimir","")</f>
        <v/>
      </c>
      <c r="B465" s="652"/>
      <c r="C465" s="672"/>
      <c r="D465" s="673"/>
      <c r="E465" s="674"/>
      <c r="F465" s="675"/>
      <c r="G465" s="726"/>
      <c r="H465" s="676"/>
      <c r="I465" s="677"/>
      <c r="J465" s="219">
        <f>SUBTOTAL(9,J466:J470)</f>
        <v>0</v>
      </c>
      <c r="K465" s="678"/>
      <c r="L465" s="747"/>
      <c r="M465" s="742"/>
      <c r="N465" s="742"/>
      <c r="O465" s="742"/>
      <c r="P465" s="742"/>
      <c r="Q465" s="742"/>
      <c r="R465" s="742"/>
      <c r="S465" s="742"/>
      <c r="T465" s="742"/>
      <c r="U465" s="742"/>
      <c r="V465" s="742"/>
      <c r="W465" s="742"/>
      <c r="X465" s="742"/>
      <c r="Y465" s="742"/>
      <c r="Z465" s="742"/>
      <c r="AA465" s="742"/>
      <c r="AB465" s="742"/>
      <c r="AC465" s="742"/>
      <c r="AD465" s="742"/>
      <c r="AE465" s="742"/>
      <c r="AF465" s="742"/>
      <c r="AG465" s="742"/>
      <c r="AH465" s="742"/>
      <c r="AI465" s="742"/>
      <c r="AJ465" s="742"/>
      <c r="AK465" s="742"/>
      <c r="AL465" s="742"/>
      <c r="AM465" s="742"/>
      <c r="AN465" s="742"/>
      <c r="AO465" s="742"/>
      <c r="AP465" s="742"/>
      <c r="AQ465" s="742"/>
      <c r="AR465" s="742"/>
      <c r="AS465" s="742"/>
      <c r="AT465" s="742"/>
      <c r="AU465" s="742"/>
      <c r="AV465" s="742"/>
      <c r="AW465" s="742"/>
      <c r="AX465" s="742"/>
      <c r="AY465" s="742"/>
      <c r="AZ465" s="742"/>
      <c r="BA465" s="742"/>
      <c r="BB465" s="742"/>
      <c r="BC465" s="742"/>
      <c r="BD465" s="742"/>
      <c r="BE465" s="742"/>
      <c r="BF465" s="742"/>
      <c r="BG465" s="742"/>
      <c r="BH465" s="668"/>
      <c r="BI465" s="654"/>
      <c r="BJ465" s="729"/>
      <c r="BK465" s="681"/>
      <c r="BL465" s="654"/>
      <c r="BM465" s="682"/>
      <c r="BN465" s="683"/>
      <c r="BO465" s="683"/>
      <c r="BP465" s="683"/>
      <c r="BQ465" s="683"/>
      <c r="BR465" s="683"/>
      <c r="BS465" s="683"/>
      <c r="BT465" s="683"/>
      <c r="BU465" s="683"/>
      <c r="BV465" s="683"/>
      <c r="BW465" s="683"/>
      <c r="BX465" s="683"/>
      <c r="BY465" s="683"/>
      <c r="BZ465" s="683"/>
      <c r="CA465" s="683"/>
      <c r="CB465" s="683"/>
      <c r="CC465" s="683"/>
      <c r="CD465" s="683"/>
      <c r="CE465" s="683"/>
      <c r="CF465" s="683"/>
      <c r="CG465" s="683"/>
      <c r="CH465" s="683"/>
      <c r="CI465" s="683"/>
      <c r="CJ465" s="683"/>
      <c r="CK465" s="683"/>
      <c r="CL465" s="683"/>
      <c r="CM465" s="683"/>
      <c r="CN465" s="683"/>
      <c r="CO465" s="683"/>
      <c r="CP465" s="683"/>
      <c r="CQ465" s="683"/>
      <c r="CR465" s="683"/>
      <c r="CS465" s="683"/>
      <c r="CT465" s="683"/>
      <c r="CU465" s="683"/>
      <c r="CV465" s="683"/>
      <c r="CW465" s="683"/>
      <c r="CX465" s="683"/>
      <c r="CY465" s="683"/>
      <c r="CZ465" s="683"/>
      <c r="DA465" s="683"/>
      <c r="DB465" s="683"/>
      <c r="DC465" s="683"/>
      <c r="DD465" s="683"/>
      <c r="DE465" s="683"/>
      <c r="DF465" s="683"/>
      <c r="DG465" s="683"/>
      <c r="DH465" s="684"/>
    </row>
    <row r="466" spans="1:112" s="649" customFormat="1" ht="14.4" hidden="1" outlineLevel="1" thickBot="1" x14ac:dyDescent="0.35">
      <c r="A466" s="652" t="str">
        <f t="shared" ref="A466:A469" si="185">IF(J466="","",IF(J466=0,"","Imprimir"))</f>
        <v/>
      </c>
      <c r="B466" s="652"/>
      <c r="C466" s="685"/>
      <c r="D466" s="686" t="s">
        <v>2510</v>
      </c>
      <c r="E466" s="686"/>
      <c r="F466" s="720"/>
      <c r="G466" s="688"/>
      <c r="H466" s="689"/>
      <c r="I466" s="851" t="str">
        <f>IF(E466&gt;0,$J$5,"")</f>
        <v/>
      </c>
      <c r="J466" s="517" t="str">
        <f t="shared" ref="J466:J469" si="186">IFERROR(G466*H466*I466,"")</f>
        <v/>
      </c>
      <c r="K466" s="667"/>
      <c r="L466" s="858"/>
      <c r="M466" s="859"/>
      <c r="N466" s="859"/>
      <c r="O466" s="859"/>
      <c r="P466" s="859"/>
      <c r="Q466" s="859"/>
      <c r="R466" s="859"/>
      <c r="S466" s="859"/>
      <c r="T466" s="859"/>
      <c r="U466" s="859"/>
      <c r="V466" s="859"/>
      <c r="W466" s="859"/>
      <c r="X466" s="859"/>
      <c r="Y466" s="859"/>
      <c r="Z466" s="860"/>
      <c r="AA466" s="860"/>
      <c r="AB466" s="860"/>
      <c r="AC466" s="860"/>
      <c r="AD466" s="860"/>
      <c r="AE466" s="860"/>
      <c r="AF466" s="860"/>
      <c r="AG466" s="860"/>
      <c r="AH466" s="860"/>
      <c r="AI466" s="860"/>
      <c r="AJ466" s="860"/>
      <c r="AK466" s="860"/>
      <c r="AL466" s="860"/>
      <c r="AM466" s="860"/>
      <c r="AN466" s="860"/>
      <c r="AO466" s="860"/>
      <c r="AP466" s="860"/>
      <c r="AQ466" s="860"/>
      <c r="AR466" s="860"/>
      <c r="AS466" s="860"/>
      <c r="AT466" s="860"/>
      <c r="AU466" s="860"/>
      <c r="AV466" s="860"/>
      <c r="AW466" s="860"/>
      <c r="AX466" s="860"/>
      <c r="AY466" s="860"/>
      <c r="AZ466" s="860"/>
      <c r="BA466" s="860"/>
      <c r="BB466" s="860"/>
      <c r="BC466" s="860"/>
      <c r="BD466" s="860"/>
      <c r="BE466" s="860"/>
      <c r="BF466" s="860"/>
      <c r="BG466" s="860"/>
      <c r="BH466" s="668"/>
      <c r="BI466" s="654"/>
      <c r="BJ466" s="690">
        <f>IFERROR(BK466/J466,0)</f>
        <v>0</v>
      </c>
      <c r="BK466" s="691">
        <f>SUM(BM466:DH466)</f>
        <v>0</v>
      </c>
      <c r="BL466" s="654"/>
      <c r="BM466" s="692">
        <f>SUMIFS(Imput[[Importe Neto]:[Importe Neto]],Imput[[C. Imp.]:[C. Imp.]],$D466,Imput[[PERIODO Imp.]:[PERIODO Imp.]],BM$9)</f>
        <v>0</v>
      </c>
      <c r="BN466" s="693">
        <f>SUMIFS(Imput[[Importe Neto]:[Importe Neto]],Imput[[C. Imp.]:[C. Imp.]],$D466,Imput[[PERIODO Imp.]:[PERIODO Imp.]],BN$9)</f>
        <v>0</v>
      </c>
      <c r="BO466" s="693">
        <f>SUMIFS(Imput[[Importe Neto]:[Importe Neto]],Imput[[C. Imp.]:[C. Imp.]],$D466,Imput[[PERIODO Imp.]:[PERIODO Imp.]],BO$9)</f>
        <v>0</v>
      </c>
      <c r="BP466" s="693">
        <f>SUMIFS(Imput[[Importe Neto]:[Importe Neto]],Imput[[C. Imp.]:[C. Imp.]],$D466,Imput[[PERIODO Imp.]:[PERIODO Imp.]],BP$9)</f>
        <v>0</v>
      </c>
      <c r="BQ466" s="693">
        <f>SUMIFS(Imput[[Importe Neto]:[Importe Neto]],Imput[[C. Imp.]:[C. Imp.]],$D466,Imput[[PERIODO Imp.]:[PERIODO Imp.]],BQ$9)</f>
        <v>0</v>
      </c>
      <c r="BR466" s="693">
        <f>SUMIFS(Imput[[Importe Neto]:[Importe Neto]],Imput[[C. Imp.]:[C. Imp.]],$D466,Imput[[PERIODO Imp.]:[PERIODO Imp.]],BR$9)</f>
        <v>0</v>
      </c>
      <c r="BS466" s="693">
        <f>SUMIFS(Imput[[Importe Neto]:[Importe Neto]],Imput[[C. Imp.]:[C. Imp.]],$D466,Imput[[PERIODO Imp.]:[PERIODO Imp.]],BS$9)</f>
        <v>0</v>
      </c>
      <c r="BT466" s="693">
        <f>SUMIFS(Imput[[Importe Neto]:[Importe Neto]],Imput[[C. Imp.]:[C. Imp.]],$D466,Imput[[PERIODO Imp.]:[PERIODO Imp.]],BT$9)</f>
        <v>0</v>
      </c>
      <c r="BU466" s="693">
        <f>SUMIFS(Imput[[Importe Neto]:[Importe Neto]],Imput[[C. Imp.]:[C. Imp.]],$D466,Imput[[PERIODO Imp.]:[PERIODO Imp.]],BU$9)</f>
        <v>0</v>
      </c>
      <c r="BV466" s="693">
        <f>SUMIFS(Imput[[Importe Neto]:[Importe Neto]],Imput[[C. Imp.]:[C. Imp.]],$D466,Imput[[PERIODO Imp.]:[PERIODO Imp.]],BV$9)</f>
        <v>0</v>
      </c>
      <c r="BW466" s="693">
        <f>SUMIFS(Imput[[Importe Neto]:[Importe Neto]],Imput[[C. Imp.]:[C. Imp.]],$D466,Imput[[PERIODO Imp.]:[PERIODO Imp.]],BW$9)</f>
        <v>0</v>
      </c>
      <c r="BX466" s="693">
        <f>SUMIFS(Imput[[Importe Neto]:[Importe Neto]],Imput[[C. Imp.]:[C. Imp.]],$D466,Imput[[PERIODO Imp.]:[PERIODO Imp.]],BX$9)</f>
        <v>0</v>
      </c>
      <c r="BY466" s="693">
        <f>SUMIFS(Imput[[Importe Neto]:[Importe Neto]],Imput[[C. Imp.]:[C. Imp.]],$D466,Imput[[PERIODO Imp.]:[PERIODO Imp.]],BY$9)</f>
        <v>0</v>
      </c>
      <c r="BZ466" s="693">
        <f>SUMIFS(Imput[[Importe Neto]:[Importe Neto]],Imput[[C. Imp.]:[C. Imp.]],$D466,Imput[[PERIODO Imp.]:[PERIODO Imp.]],BZ$9)</f>
        <v>0</v>
      </c>
      <c r="CA466" s="693">
        <f>SUMIFS(Imput[[Importe Neto]:[Importe Neto]],Imput[[C. Imp.]:[C. Imp.]],$D466,Imput[[PERIODO Imp.]:[PERIODO Imp.]],CA$9)</f>
        <v>0</v>
      </c>
      <c r="CB466" s="693">
        <f>SUMIFS(Imput[[Importe Neto]:[Importe Neto]],Imput[[C. Imp.]:[C. Imp.]],$D466,Imput[[PERIODO Imp.]:[PERIODO Imp.]],CB$9)</f>
        <v>0</v>
      </c>
      <c r="CC466" s="693">
        <f>SUMIFS(Imput[[Importe Neto]:[Importe Neto]],Imput[[C. Imp.]:[C. Imp.]],$D466,Imput[[PERIODO Imp.]:[PERIODO Imp.]],CC$9)</f>
        <v>0</v>
      </c>
      <c r="CD466" s="693">
        <f>SUMIFS(Imput[[Importe Neto]:[Importe Neto]],Imput[[C. Imp.]:[C. Imp.]],$D466,Imput[[PERIODO Imp.]:[PERIODO Imp.]],CD$9)</f>
        <v>0</v>
      </c>
      <c r="CE466" s="693">
        <f>SUMIFS(Imput[[Importe Neto]:[Importe Neto]],Imput[[C. Imp.]:[C. Imp.]],$D466,Imput[[PERIODO Imp.]:[PERIODO Imp.]],CE$9)</f>
        <v>0</v>
      </c>
      <c r="CF466" s="693">
        <f>SUMIFS(Imput[[Importe Neto]:[Importe Neto]],Imput[[C. Imp.]:[C. Imp.]],$D466,Imput[[PERIODO Imp.]:[PERIODO Imp.]],CF$9)</f>
        <v>0</v>
      </c>
      <c r="CG466" s="693">
        <f>SUMIFS(Imput[[Importe Neto]:[Importe Neto]],Imput[[C. Imp.]:[C. Imp.]],$D466,Imput[[PERIODO Imp.]:[PERIODO Imp.]],CG$9)</f>
        <v>0</v>
      </c>
      <c r="CH466" s="693">
        <f>SUMIFS(Imput[[Importe Neto]:[Importe Neto]],Imput[[C. Imp.]:[C. Imp.]],$D466,Imput[[PERIODO Imp.]:[PERIODO Imp.]],CH$9)</f>
        <v>0</v>
      </c>
      <c r="CI466" s="693">
        <f>SUMIFS(Imput[[Importe Neto]:[Importe Neto]],Imput[[C. Imp.]:[C. Imp.]],$D466,Imput[[PERIODO Imp.]:[PERIODO Imp.]],CI$9)</f>
        <v>0</v>
      </c>
      <c r="CJ466" s="693">
        <f>SUMIFS(Imput[[Importe Neto]:[Importe Neto]],Imput[[C. Imp.]:[C. Imp.]],$D466,Imput[[PERIODO Imp.]:[PERIODO Imp.]],CJ$9)</f>
        <v>0</v>
      </c>
      <c r="CK466" s="693">
        <f>SUMIFS(Imput[[Importe Neto]:[Importe Neto]],Imput[[C. Imp.]:[C. Imp.]],$D466,Imput[[PERIODO Imp.]:[PERIODO Imp.]],CK$9)</f>
        <v>0</v>
      </c>
      <c r="CL466" s="693">
        <f>SUMIFS(Imput[[Importe Neto]:[Importe Neto]],Imput[[C. Imp.]:[C. Imp.]],$D466,Imput[[PERIODO Imp.]:[PERIODO Imp.]],CL$9)</f>
        <v>0</v>
      </c>
      <c r="CM466" s="693">
        <f>SUMIFS(Imput[[Importe Neto]:[Importe Neto]],Imput[[C. Imp.]:[C. Imp.]],$D466,Imput[[PERIODO Imp.]:[PERIODO Imp.]],CM$9)</f>
        <v>0</v>
      </c>
      <c r="CN466" s="693">
        <f>SUMIFS(Imput[[Importe Neto]:[Importe Neto]],Imput[[C. Imp.]:[C. Imp.]],$D466,Imput[[PERIODO Imp.]:[PERIODO Imp.]],CN$9)</f>
        <v>0</v>
      </c>
      <c r="CO466" s="693">
        <f>SUMIFS(Imput[[Importe Neto]:[Importe Neto]],Imput[[C. Imp.]:[C. Imp.]],$D466,Imput[[PERIODO Imp.]:[PERIODO Imp.]],CO$9)</f>
        <v>0</v>
      </c>
      <c r="CP466" s="693">
        <f>SUMIFS(Imput[[Importe Neto]:[Importe Neto]],Imput[[C. Imp.]:[C. Imp.]],$D466,Imput[[PERIODO Imp.]:[PERIODO Imp.]],CP$9)</f>
        <v>0</v>
      </c>
      <c r="CQ466" s="693">
        <f>SUMIFS(Imput[[Importe Neto]:[Importe Neto]],Imput[[C. Imp.]:[C. Imp.]],$D466,Imput[[PERIODO Imp.]:[PERIODO Imp.]],CQ$9)</f>
        <v>0</v>
      </c>
      <c r="CR466" s="693">
        <f>SUMIFS(Imput[[Importe Neto]:[Importe Neto]],Imput[[C. Imp.]:[C. Imp.]],$D466,Imput[[PERIODO Imp.]:[PERIODO Imp.]],CR$9)</f>
        <v>0</v>
      </c>
      <c r="CS466" s="693">
        <f>SUMIFS(Imput[[Importe Neto]:[Importe Neto]],Imput[[C. Imp.]:[C. Imp.]],$D466,Imput[[PERIODO Imp.]:[PERIODO Imp.]],CS$9)</f>
        <v>0</v>
      </c>
      <c r="CT466" s="693">
        <f>SUMIFS(Imput[[Importe Neto]:[Importe Neto]],Imput[[C. Imp.]:[C. Imp.]],$D466,Imput[[PERIODO Imp.]:[PERIODO Imp.]],CT$9)</f>
        <v>0</v>
      </c>
      <c r="CU466" s="693">
        <f>SUMIFS(Imput[[Importe Neto]:[Importe Neto]],Imput[[C. Imp.]:[C. Imp.]],$D466,Imput[[PERIODO Imp.]:[PERIODO Imp.]],CU$9)</f>
        <v>0</v>
      </c>
      <c r="CV466" s="693">
        <f>SUMIFS(Imput[[Importe Neto]:[Importe Neto]],Imput[[C. Imp.]:[C. Imp.]],$D466,Imput[[PERIODO Imp.]:[PERIODO Imp.]],CV$9)</f>
        <v>0</v>
      </c>
      <c r="CW466" s="693">
        <f>SUMIFS(Imput[[Importe Neto]:[Importe Neto]],Imput[[C. Imp.]:[C. Imp.]],$D466,Imput[[PERIODO Imp.]:[PERIODO Imp.]],CW$9)</f>
        <v>0</v>
      </c>
      <c r="CX466" s="693">
        <f>SUMIFS(Imput[[Importe Neto]:[Importe Neto]],Imput[[C. Imp.]:[C. Imp.]],$D466,Imput[[PERIODO Imp.]:[PERIODO Imp.]],CX$9)</f>
        <v>0</v>
      </c>
      <c r="CY466" s="693">
        <f>SUMIFS(Imput[[Importe Neto]:[Importe Neto]],Imput[[C. Imp.]:[C. Imp.]],$D466,Imput[[PERIODO Imp.]:[PERIODO Imp.]],CY$9)</f>
        <v>0</v>
      </c>
      <c r="CZ466" s="693">
        <f>SUMIFS(Imput[[Importe Neto]:[Importe Neto]],Imput[[C. Imp.]:[C. Imp.]],$D466,Imput[[PERIODO Imp.]:[PERIODO Imp.]],CZ$9)</f>
        <v>0</v>
      </c>
      <c r="DA466" s="693">
        <f>SUMIFS(Imput[[Importe Neto]:[Importe Neto]],Imput[[C. Imp.]:[C. Imp.]],$D466,Imput[[PERIODO Imp.]:[PERIODO Imp.]],DA$9)</f>
        <v>0</v>
      </c>
      <c r="DB466" s="693">
        <f>SUMIFS(Imput[[Importe Neto]:[Importe Neto]],Imput[[C. Imp.]:[C. Imp.]],$D466,Imput[[PERIODO Imp.]:[PERIODO Imp.]],DB$9)</f>
        <v>0</v>
      </c>
      <c r="DC466" s="693">
        <f>SUMIFS(Imput[[Importe Neto]:[Importe Neto]],Imput[[C. Imp.]:[C. Imp.]],$D466,Imput[[PERIODO Imp.]:[PERIODO Imp.]],DC$9)</f>
        <v>0</v>
      </c>
      <c r="DD466" s="693">
        <f>SUMIFS(Imput[[Importe Neto]:[Importe Neto]],Imput[[C. Imp.]:[C. Imp.]],$D466,Imput[[PERIODO Imp.]:[PERIODO Imp.]],DD$9)</f>
        <v>0</v>
      </c>
      <c r="DE466" s="693">
        <f>SUMIFS(Imput[[Importe Neto]:[Importe Neto]],Imput[[C. Imp.]:[C. Imp.]],$D466,Imput[[PERIODO Imp.]:[PERIODO Imp.]],DE$9)</f>
        <v>0</v>
      </c>
      <c r="DF466" s="693">
        <f>SUMIFS(Imput[[Importe Neto]:[Importe Neto]],Imput[[C. Imp.]:[C. Imp.]],$D466,Imput[[PERIODO Imp.]:[PERIODO Imp.]],DF$9)</f>
        <v>0</v>
      </c>
      <c r="DG466" s="693">
        <f>SUMIFS(Imput[[Importe Neto]:[Importe Neto]],Imput[[C. Imp.]:[C. Imp.]],$D466,Imput[[PERIODO Imp.]:[PERIODO Imp.]],DG$9)</f>
        <v>0</v>
      </c>
      <c r="DH466" s="694">
        <f>SUMIFS(Imput[[Importe Neto]:[Importe Neto]],Imput[[C. Imp.]:[C. Imp.]],$D466,Imput[[PERIODO Imp.]:[PERIODO Imp.]],DH$9)</f>
        <v>0</v>
      </c>
    </row>
    <row r="467" spans="1:112" s="649" customFormat="1" ht="14.4" hidden="1" outlineLevel="1" thickBot="1" x14ac:dyDescent="0.35">
      <c r="A467" s="652" t="str">
        <f t="shared" si="185"/>
        <v/>
      </c>
      <c r="B467" s="652"/>
      <c r="C467" s="685"/>
      <c r="D467" s="686" t="s">
        <v>2511</v>
      </c>
      <c r="E467" s="686"/>
      <c r="F467" s="720"/>
      <c r="G467" s="688"/>
      <c r="H467" s="689"/>
      <c r="I467" s="851" t="str">
        <f>IF(E467&gt;0,$J$5,"")</f>
        <v/>
      </c>
      <c r="J467" s="517" t="str">
        <f t="shared" si="186"/>
        <v/>
      </c>
      <c r="K467" s="667"/>
      <c r="L467" s="858"/>
      <c r="M467" s="859"/>
      <c r="N467" s="859"/>
      <c r="O467" s="859"/>
      <c r="P467" s="859"/>
      <c r="Q467" s="859"/>
      <c r="R467" s="859"/>
      <c r="S467" s="859"/>
      <c r="T467" s="859"/>
      <c r="U467" s="859"/>
      <c r="V467" s="859"/>
      <c r="W467" s="859"/>
      <c r="X467" s="859"/>
      <c r="Y467" s="859"/>
      <c r="Z467" s="860"/>
      <c r="AA467" s="860"/>
      <c r="AB467" s="860"/>
      <c r="AC467" s="860"/>
      <c r="AD467" s="860"/>
      <c r="AE467" s="860"/>
      <c r="AF467" s="860"/>
      <c r="AG467" s="860"/>
      <c r="AH467" s="860"/>
      <c r="AI467" s="860"/>
      <c r="AJ467" s="860"/>
      <c r="AK467" s="860"/>
      <c r="AL467" s="860"/>
      <c r="AM467" s="860"/>
      <c r="AN467" s="860"/>
      <c r="AO467" s="860"/>
      <c r="AP467" s="860"/>
      <c r="AQ467" s="860"/>
      <c r="AR467" s="860"/>
      <c r="AS467" s="860"/>
      <c r="AT467" s="860"/>
      <c r="AU467" s="860"/>
      <c r="AV467" s="860"/>
      <c r="AW467" s="860"/>
      <c r="AX467" s="860"/>
      <c r="AY467" s="860"/>
      <c r="AZ467" s="860"/>
      <c r="BA467" s="860"/>
      <c r="BB467" s="860"/>
      <c r="BC467" s="860"/>
      <c r="BD467" s="860"/>
      <c r="BE467" s="860"/>
      <c r="BF467" s="860"/>
      <c r="BG467" s="860"/>
      <c r="BH467" s="668"/>
      <c r="BI467" s="654"/>
      <c r="BJ467" s="690">
        <f>IFERROR(BK467/J467,0)</f>
        <v>0</v>
      </c>
      <c r="BK467" s="691">
        <f>SUM(BM467:DH467)</f>
        <v>0</v>
      </c>
      <c r="BL467" s="654"/>
      <c r="BM467" s="692">
        <f>SUMIFS(Imput[[Importe Neto]:[Importe Neto]],Imput[[C. Imp.]:[C. Imp.]],$D467,Imput[[PERIODO Imp.]:[PERIODO Imp.]],BM$9)</f>
        <v>0</v>
      </c>
      <c r="BN467" s="693">
        <f>SUMIFS(Imput[[Importe Neto]:[Importe Neto]],Imput[[C. Imp.]:[C. Imp.]],$D467,Imput[[PERIODO Imp.]:[PERIODO Imp.]],BN$9)</f>
        <v>0</v>
      </c>
      <c r="BO467" s="693">
        <f>SUMIFS(Imput[[Importe Neto]:[Importe Neto]],Imput[[C. Imp.]:[C. Imp.]],$D467,Imput[[PERIODO Imp.]:[PERIODO Imp.]],BO$9)</f>
        <v>0</v>
      </c>
      <c r="BP467" s="693">
        <f>SUMIFS(Imput[[Importe Neto]:[Importe Neto]],Imput[[C. Imp.]:[C. Imp.]],$D467,Imput[[PERIODO Imp.]:[PERIODO Imp.]],BP$9)</f>
        <v>0</v>
      </c>
      <c r="BQ467" s="693">
        <f>SUMIFS(Imput[[Importe Neto]:[Importe Neto]],Imput[[C. Imp.]:[C. Imp.]],$D467,Imput[[PERIODO Imp.]:[PERIODO Imp.]],BQ$9)</f>
        <v>0</v>
      </c>
      <c r="BR467" s="693">
        <f>SUMIFS(Imput[[Importe Neto]:[Importe Neto]],Imput[[C. Imp.]:[C. Imp.]],$D467,Imput[[PERIODO Imp.]:[PERIODO Imp.]],BR$9)</f>
        <v>0</v>
      </c>
      <c r="BS467" s="693">
        <f>SUMIFS(Imput[[Importe Neto]:[Importe Neto]],Imput[[C. Imp.]:[C. Imp.]],$D467,Imput[[PERIODO Imp.]:[PERIODO Imp.]],BS$9)</f>
        <v>0</v>
      </c>
      <c r="BT467" s="693">
        <f>SUMIFS(Imput[[Importe Neto]:[Importe Neto]],Imput[[C. Imp.]:[C. Imp.]],$D467,Imput[[PERIODO Imp.]:[PERIODO Imp.]],BT$9)</f>
        <v>0</v>
      </c>
      <c r="BU467" s="693">
        <f>SUMIFS(Imput[[Importe Neto]:[Importe Neto]],Imput[[C. Imp.]:[C. Imp.]],$D467,Imput[[PERIODO Imp.]:[PERIODO Imp.]],BU$9)</f>
        <v>0</v>
      </c>
      <c r="BV467" s="693">
        <f>SUMIFS(Imput[[Importe Neto]:[Importe Neto]],Imput[[C. Imp.]:[C. Imp.]],$D467,Imput[[PERIODO Imp.]:[PERIODO Imp.]],BV$9)</f>
        <v>0</v>
      </c>
      <c r="BW467" s="693">
        <f>SUMIFS(Imput[[Importe Neto]:[Importe Neto]],Imput[[C. Imp.]:[C. Imp.]],$D467,Imput[[PERIODO Imp.]:[PERIODO Imp.]],BW$9)</f>
        <v>0</v>
      </c>
      <c r="BX467" s="693">
        <f>SUMIFS(Imput[[Importe Neto]:[Importe Neto]],Imput[[C. Imp.]:[C. Imp.]],$D467,Imput[[PERIODO Imp.]:[PERIODO Imp.]],BX$9)</f>
        <v>0</v>
      </c>
      <c r="BY467" s="693">
        <f>SUMIFS(Imput[[Importe Neto]:[Importe Neto]],Imput[[C. Imp.]:[C. Imp.]],$D467,Imput[[PERIODO Imp.]:[PERIODO Imp.]],BY$9)</f>
        <v>0</v>
      </c>
      <c r="BZ467" s="693">
        <f>SUMIFS(Imput[[Importe Neto]:[Importe Neto]],Imput[[C. Imp.]:[C. Imp.]],$D467,Imput[[PERIODO Imp.]:[PERIODO Imp.]],BZ$9)</f>
        <v>0</v>
      </c>
      <c r="CA467" s="693">
        <f>SUMIFS(Imput[[Importe Neto]:[Importe Neto]],Imput[[C. Imp.]:[C. Imp.]],$D467,Imput[[PERIODO Imp.]:[PERIODO Imp.]],CA$9)</f>
        <v>0</v>
      </c>
      <c r="CB467" s="693">
        <f>SUMIFS(Imput[[Importe Neto]:[Importe Neto]],Imput[[C. Imp.]:[C. Imp.]],$D467,Imput[[PERIODO Imp.]:[PERIODO Imp.]],CB$9)</f>
        <v>0</v>
      </c>
      <c r="CC467" s="693">
        <f>SUMIFS(Imput[[Importe Neto]:[Importe Neto]],Imput[[C. Imp.]:[C. Imp.]],$D467,Imput[[PERIODO Imp.]:[PERIODO Imp.]],CC$9)</f>
        <v>0</v>
      </c>
      <c r="CD467" s="693">
        <f>SUMIFS(Imput[[Importe Neto]:[Importe Neto]],Imput[[C. Imp.]:[C. Imp.]],$D467,Imput[[PERIODO Imp.]:[PERIODO Imp.]],CD$9)</f>
        <v>0</v>
      </c>
      <c r="CE467" s="693">
        <f>SUMIFS(Imput[[Importe Neto]:[Importe Neto]],Imput[[C. Imp.]:[C. Imp.]],$D467,Imput[[PERIODO Imp.]:[PERIODO Imp.]],CE$9)</f>
        <v>0</v>
      </c>
      <c r="CF467" s="693">
        <f>SUMIFS(Imput[[Importe Neto]:[Importe Neto]],Imput[[C. Imp.]:[C. Imp.]],$D467,Imput[[PERIODO Imp.]:[PERIODO Imp.]],CF$9)</f>
        <v>0</v>
      </c>
      <c r="CG467" s="693">
        <f>SUMIFS(Imput[[Importe Neto]:[Importe Neto]],Imput[[C. Imp.]:[C. Imp.]],$D467,Imput[[PERIODO Imp.]:[PERIODO Imp.]],CG$9)</f>
        <v>0</v>
      </c>
      <c r="CH467" s="693">
        <f>SUMIFS(Imput[[Importe Neto]:[Importe Neto]],Imput[[C. Imp.]:[C. Imp.]],$D467,Imput[[PERIODO Imp.]:[PERIODO Imp.]],CH$9)</f>
        <v>0</v>
      </c>
      <c r="CI467" s="693">
        <f>SUMIFS(Imput[[Importe Neto]:[Importe Neto]],Imput[[C. Imp.]:[C. Imp.]],$D467,Imput[[PERIODO Imp.]:[PERIODO Imp.]],CI$9)</f>
        <v>0</v>
      </c>
      <c r="CJ467" s="693">
        <f>SUMIFS(Imput[[Importe Neto]:[Importe Neto]],Imput[[C. Imp.]:[C. Imp.]],$D467,Imput[[PERIODO Imp.]:[PERIODO Imp.]],CJ$9)</f>
        <v>0</v>
      </c>
      <c r="CK467" s="693">
        <f>SUMIFS(Imput[[Importe Neto]:[Importe Neto]],Imput[[C. Imp.]:[C. Imp.]],$D467,Imput[[PERIODO Imp.]:[PERIODO Imp.]],CK$9)</f>
        <v>0</v>
      </c>
      <c r="CL467" s="693">
        <f>SUMIFS(Imput[[Importe Neto]:[Importe Neto]],Imput[[C. Imp.]:[C. Imp.]],$D467,Imput[[PERIODO Imp.]:[PERIODO Imp.]],CL$9)</f>
        <v>0</v>
      </c>
      <c r="CM467" s="693">
        <f>SUMIFS(Imput[[Importe Neto]:[Importe Neto]],Imput[[C. Imp.]:[C. Imp.]],$D467,Imput[[PERIODO Imp.]:[PERIODO Imp.]],CM$9)</f>
        <v>0</v>
      </c>
      <c r="CN467" s="693">
        <f>SUMIFS(Imput[[Importe Neto]:[Importe Neto]],Imput[[C. Imp.]:[C. Imp.]],$D467,Imput[[PERIODO Imp.]:[PERIODO Imp.]],CN$9)</f>
        <v>0</v>
      </c>
      <c r="CO467" s="693">
        <f>SUMIFS(Imput[[Importe Neto]:[Importe Neto]],Imput[[C. Imp.]:[C. Imp.]],$D467,Imput[[PERIODO Imp.]:[PERIODO Imp.]],CO$9)</f>
        <v>0</v>
      </c>
      <c r="CP467" s="693">
        <f>SUMIFS(Imput[[Importe Neto]:[Importe Neto]],Imput[[C. Imp.]:[C. Imp.]],$D467,Imput[[PERIODO Imp.]:[PERIODO Imp.]],CP$9)</f>
        <v>0</v>
      </c>
      <c r="CQ467" s="693">
        <f>SUMIFS(Imput[[Importe Neto]:[Importe Neto]],Imput[[C. Imp.]:[C. Imp.]],$D467,Imput[[PERIODO Imp.]:[PERIODO Imp.]],CQ$9)</f>
        <v>0</v>
      </c>
      <c r="CR467" s="693">
        <f>SUMIFS(Imput[[Importe Neto]:[Importe Neto]],Imput[[C. Imp.]:[C. Imp.]],$D467,Imput[[PERIODO Imp.]:[PERIODO Imp.]],CR$9)</f>
        <v>0</v>
      </c>
      <c r="CS467" s="693">
        <f>SUMIFS(Imput[[Importe Neto]:[Importe Neto]],Imput[[C. Imp.]:[C. Imp.]],$D467,Imput[[PERIODO Imp.]:[PERIODO Imp.]],CS$9)</f>
        <v>0</v>
      </c>
      <c r="CT467" s="693">
        <f>SUMIFS(Imput[[Importe Neto]:[Importe Neto]],Imput[[C. Imp.]:[C. Imp.]],$D467,Imput[[PERIODO Imp.]:[PERIODO Imp.]],CT$9)</f>
        <v>0</v>
      </c>
      <c r="CU467" s="693">
        <f>SUMIFS(Imput[[Importe Neto]:[Importe Neto]],Imput[[C. Imp.]:[C. Imp.]],$D467,Imput[[PERIODO Imp.]:[PERIODO Imp.]],CU$9)</f>
        <v>0</v>
      </c>
      <c r="CV467" s="693">
        <f>SUMIFS(Imput[[Importe Neto]:[Importe Neto]],Imput[[C. Imp.]:[C. Imp.]],$D467,Imput[[PERIODO Imp.]:[PERIODO Imp.]],CV$9)</f>
        <v>0</v>
      </c>
      <c r="CW467" s="693">
        <f>SUMIFS(Imput[[Importe Neto]:[Importe Neto]],Imput[[C. Imp.]:[C. Imp.]],$D467,Imput[[PERIODO Imp.]:[PERIODO Imp.]],CW$9)</f>
        <v>0</v>
      </c>
      <c r="CX467" s="693">
        <f>SUMIFS(Imput[[Importe Neto]:[Importe Neto]],Imput[[C. Imp.]:[C. Imp.]],$D467,Imput[[PERIODO Imp.]:[PERIODO Imp.]],CX$9)</f>
        <v>0</v>
      </c>
      <c r="CY467" s="693">
        <f>SUMIFS(Imput[[Importe Neto]:[Importe Neto]],Imput[[C. Imp.]:[C. Imp.]],$D467,Imput[[PERIODO Imp.]:[PERIODO Imp.]],CY$9)</f>
        <v>0</v>
      </c>
      <c r="CZ467" s="693">
        <f>SUMIFS(Imput[[Importe Neto]:[Importe Neto]],Imput[[C. Imp.]:[C. Imp.]],$D467,Imput[[PERIODO Imp.]:[PERIODO Imp.]],CZ$9)</f>
        <v>0</v>
      </c>
      <c r="DA467" s="693">
        <f>SUMIFS(Imput[[Importe Neto]:[Importe Neto]],Imput[[C. Imp.]:[C. Imp.]],$D467,Imput[[PERIODO Imp.]:[PERIODO Imp.]],DA$9)</f>
        <v>0</v>
      </c>
      <c r="DB467" s="693">
        <f>SUMIFS(Imput[[Importe Neto]:[Importe Neto]],Imput[[C. Imp.]:[C. Imp.]],$D467,Imput[[PERIODO Imp.]:[PERIODO Imp.]],DB$9)</f>
        <v>0</v>
      </c>
      <c r="DC467" s="693">
        <f>SUMIFS(Imput[[Importe Neto]:[Importe Neto]],Imput[[C. Imp.]:[C. Imp.]],$D467,Imput[[PERIODO Imp.]:[PERIODO Imp.]],DC$9)</f>
        <v>0</v>
      </c>
      <c r="DD467" s="693">
        <f>SUMIFS(Imput[[Importe Neto]:[Importe Neto]],Imput[[C. Imp.]:[C. Imp.]],$D467,Imput[[PERIODO Imp.]:[PERIODO Imp.]],DD$9)</f>
        <v>0</v>
      </c>
      <c r="DE467" s="693">
        <f>SUMIFS(Imput[[Importe Neto]:[Importe Neto]],Imput[[C. Imp.]:[C. Imp.]],$D467,Imput[[PERIODO Imp.]:[PERIODO Imp.]],DE$9)</f>
        <v>0</v>
      </c>
      <c r="DF467" s="693">
        <f>SUMIFS(Imput[[Importe Neto]:[Importe Neto]],Imput[[C. Imp.]:[C. Imp.]],$D467,Imput[[PERIODO Imp.]:[PERIODO Imp.]],DF$9)</f>
        <v>0</v>
      </c>
      <c r="DG467" s="693">
        <f>SUMIFS(Imput[[Importe Neto]:[Importe Neto]],Imput[[C. Imp.]:[C. Imp.]],$D467,Imput[[PERIODO Imp.]:[PERIODO Imp.]],DG$9)</f>
        <v>0</v>
      </c>
      <c r="DH467" s="694">
        <f>SUMIFS(Imput[[Importe Neto]:[Importe Neto]],Imput[[C. Imp.]:[C. Imp.]],$D467,Imput[[PERIODO Imp.]:[PERIODO Imp.]],DH$9)</f>
        <v>0</v>
      </c>
    </row>
    <row r="468" spans="1:112" s="649" customFormat="1" ht="14.4" hidden="1" outlineLevel="1" thickBot="1" x14ac:dyDescent="0.35">
      <c r="A468" s="652" t="str">
        <f t="shared" si="185"/>
        <v/>
      </c>
      <c r="B468" s="652"/>
      <c r="C468" s="685"/>
      <c r="D468" s="686" t="s">
        <v>2512</v>
      </c>
      <c r="E468" s="686"/>
      <c r="F468" s="720"/>
      <c r="G468" s="688"/>
      <c r="H468" s="689"/>
      <c r="I468" s="851" t="str">
        <f>IF(E468&gt;0,$J$5,"")</f>
        <v/>
      </c>
      <c r="J468" s="517" t="str">
        <f t="shared" si="186"/>
        <v/>
      </c>
      <c r="K468" s="667"/>
      <c r="L468" s="858"/>
      <c r="M468" s="859"/>
      <c r="N468" s="859"/>
      <c r="O468" s="859"/>
      <c r="P468" s="859"/>
      <c r="Q468" s="859"/>
      <c r="R468" s="859"/>
      <c r="S468" s="859"/>
      <c r="T468" s="859"/>
      <c r="U468" s="859"/>
      <c r="V468" s="859"/>
      <c r="W468" s="859"/>
      <c r="X468" s="859"/>
      <c r="Y468" s="859"/>
      <c r="Z468" s="860"/>
      <c r="AA468" s="860"/>
      <c r="AB468" s="860"/>
      <c r="AC468" s="860"/>
      <c r="AD468" s="860"/>
      <c r="AE468" s="860"/>
      <c r="AF468" s="860"/>
      <c r="AG468" s="860"/>
      <c r="AH468" s="860"/>
      <c r="AI468" s="860"/>
      <c r="AJ468" s="860"/>
      <c r="AK468" s="860"/>
      <c r="AL468" s="860"/>
      <c r="AM468" s="860"/>
      <c r="AN468" s="860"/>
      <c r="AO468" s="860"/>
      <c r="AP468" s="860"/>
      <c r="AQ468" s="860"/>
      <c r="AR468" s="860"/>
      <c r="AS468" s="860"/>
      <c r="AT468" s="860"/>
      <c r="AU468" s="860"/>
      <c r="AV468" s="860"/>
      <c r="AW468" s="860"/>
      <c r="AX468" s="860"/>
      <c r="AY468" s="860"/>
      <c r="AZ468" s="860"/>
      <c r="BA468" s="860"/>
      <c r="BB468" s="860"/>
      <c r="BC468" s="860"/>
      <c r="BD468" s="860"/>
      <c r="BE468" s="860"/>
      <c r="BF468" s="860"/>
      <c r="BG468" s="860"/>
      <c r="BH468" s="668"/>
      <c r="BI468" s="654"/>
      <c r="BJ468" s="690">
        <f>IFERROR(BK468/J468,0)</f>
        <v>0</v>
      </c>
      <c r="BK468" s="691">
        <f>SUM(BM468:DH468)</f>
        <v>0</v>
      </c>
      <c r="BL468" s="654"/>
      <c r="BM468" s="692">
        <f>SUMIFS(Imput[[Importe Neto]:[Importe Neto]],Imput[[C. Imp.]:[C. Imp.]],$D468,Imput[[PERIODO Imp.]:[PERIODO Imp.]],BM$9)</f>
        <v>0</v>
      </c>
      <c r="BN468" s="693">
        <f>SUMIFS(Imput[[Importe Neto]:[Importe Neto]],Imput[[C. Imp.]:[C. Imp.]],$D468,Imput[[PERIODO Imp.]:[PERIODO Imp.]],BN$9)</f>
        <v>0</v>
      </c>
      <c r="BO468" s="693">
        <f>SUMIFS(Imput[[Importe Neto]:[Importe Neto]],Imput[[C. Imp.]:[C. Imp.]],$D468,Imput[[PERIODO Imp.]:[PERIODO Imp.]],BO$9)</f>
        <v>0</v>
      </c>
      <c r="BP468" s="693">
        <f>SUMIFS(Imput[[Importe Neto]:[Importe Neto]],Imput[[C. Imp.]:[C. Imp.]],$D468,Imput[[PERIODO Imp.]:[PERIODO Imp.]],BP$9)</f>
        <v>0</v>
      </c>
      <c r="BQ468" s="693">
        <f>SUMIFS(Imput[[Importe Neto]:[Importe Neto]],Imput[[C. Imp.]:[C. Imp.]],$D468,Imput[[PERIODO Imp.]:[PERIODO Imp.]],BQ$9)</f>
        <v>0</v>
      </c>
      <c r="BR468" s="693">
        <f>SUMIFS(Imput[[Importe Neto]:[Importe Neto]],Imput[[C. Imp.]:[C. Imp.]],$D468,Imput[[PERIODO Imp.]:[PERIODO Imp.]],BR$9)</f>
        <v>0</v>
      </c>
      <c r="BS468" s="693">
        <f>SUMIFS(Imput[[Importe Neto]:[Importe Neto]],Imput[[C. Imp.]:[C. Imp.]],$D468,Imput[[PERIODO Imp.]:[PERIODO Imp.]],BS$9)</f>
        <v>0</v>
      </c>
      <c r="BT468" s="693">
        <f>SUMIFS(Imput[[Importe Neto]:[Importe Neto]],Imput[[C. Imp.]:[C. Imp.]],$D468,Imput[[PERIODO Imp.]:[PERIODO Imp.]],BT$9)</f>
        <v>0</v>
      </c>
      <c r="BU468" s="693">
        <f>SUMIFS(Imput[[Importe Neto]:[Importe Neto]],Imput[[C. Imp.]:[C. Imp.]],$D468,Imput[[PERIODO Imp.]:[PERIODO Imp.]],BU$9)</f>
        <v>0</v>
      </c>
      <c r="BV468" s="693">
        <f>SUMIFS(Imput[[Importe Neto]:[Importe Neto]],Imput[[C. Imp.]:[C. Imp.]],$D468,Imput[[PERIODO Imp.]:[PERIODO Imp.]],BV$9)</f>
        <v>0</v>
      </c>
      <c r="BW468" s="693">
        <f>SUMIFS(Imput[[Importe Neto]:[Importe Neto]],Imput[[C. Imp.]:[C. Imp.]],$D468,Imput[[PERIODO Imp.]:[PERIODO Imp.]],BW$9)</f>
        <v>0</v>
      </c>
      <c r="BX468" s="693">
        <f>SUMIFS(Imput[[Importe Neto]:[Importe Neto]],Imput[[C. Imp.]:[C. Imp.]],$D468,Imput[[PERIODO Imp.]:[PERIODO Imp.]],BX$9)</f>
        <v>0</v>
      </c>
      <c r="BY468" s="693">
        <f>SUMIFS(Imput[[Importe Neto]:[Importe Neto]],Imput[[C. Imp.]:[C. Imp.]],$D468,Imput[[PERIODO Imp.]:[PERIODO Imp.]],BY$9)</f>
        <v>0</v>
      </c>
      <c r="BZ468" s="693">
        <f>SUMIFS(Imput[[Importe Neto]:[Importe Neto]],Imput[[C. Imp.]:[C. Imp.]],$D468,Imput[[PERIODO Imp.]:[PERIODO Imp.]],BZ$9)</f>
        <v>0</v>
      </c>
      <c r="CA468" s="693">
        <f>SUMIFS(Imput[[Importe Neto]:[Importe Neto]],Imput[[C. Imp.]:[C. Imp.]],$D468,Imput[[PERIODO Imp.]:[PERIODO Imp.]],CA$9)</f>
        <v>0</v>
      </c>
      <c r="CB468" s="693">
        <f>SUMIFS(Imput[[Importe Neto]:[Importe Neto]],Imput[[C. Imp.]:[C. Imp.]],$D468,Imput[[PERIODO Imp.]:[PERIODO Imp.]],CB$9)</f>
        <v>0</v>
      </c>
      <c r="CC468" s="693">
        <f>SUMIFS(Imput[[Importe Neto]:[Importe Neto]],Imput[[C. Imp.]:[C. Imp.]],$D468,Imput[[PERIODO Imp.]:[PERIODO Imp.]],CC$9)</f>
        <v>0</v>
      </c>
      <c r="CD468" s="693">
        <f>SUMIFS(Imput[[Importe Neto]:[Importe Neto]],Imput[[C. Imp.]:[C. Imp.]],$D468,Imput[[PERIODO Imp.]:[PERIODO Imp.]],CD$9)</f>
        <v>0</v>
      </c>
      <c r="CE468" s="693">
        <f>SUMIFS(Imput[[Importe Neto]:[Importe Neto]],Imput[[C. Imp.]:[C. Imp.]],$D468,Imput[[PERIODO Imp.]:[PERIODO Imp.]],CE$9)</f>
        <v>0</v>
      </c>
      <c r="CF468" s="693">
        <f>SUMIFS(Imput[[Importe Neto]:[Importe Neto]],Imput[[C. Imp.]:[C. Imp.]],$D468,Imput[[PERIODO Imp.]:[PERIODO Imp.]],CF$9)</f>
        <v>0</v>
      </c>
      <c r="CG468" s="693">
        <f>SUMIFS(Imput[[Importe Neto]:[Importe Neto]],Imput[[C. Imp.]:[C. Imp.]],$D468,Imput[[PERIODO Imp.]:[PERIODO Imp.]],CG$9)</f>
        <v>0</v>
      </c>
      <c r="CH468" s="693">
        <f>SUMIFS(Imput[[Importe Neto]:[Importe Neto]],Imput[[C. Imp.]:[C. Imp.]],$D468,Imput[[PERIODO Imp.]:[PERIODO Imp.]],CH$9)</f>
        <v>0</v>
      </c>
      <c r="CI468" s="693">
        <f>SUMIFS(Imput[[Importe Neto]:[Importe Neto]],Imput[[C. Imp.]:[C. Imp.]],$D468,Imput[[PERIODO Imp.]:[PERIODO Imp.]],CI$9)</f>
        <v>0</v>
      </c>
      <c r="CJ468" s="693">
        <f>SUMIFS(Imput[[Importe Neto]:[Importe Neto]],Imput[[C. Imp.]:[C. Imp.]],$D468,Imput[[PERIODO Imp.]:[PERIODO Imp.]],CJ$9)</f>
        <v>0</v>
      </c>
      <c r="CK468" s="693">
        <f>SUMIFS(Imput[[Importe Neto]:[Importe Neto]],Imput[[C. Imp.]:[C. Imp.]],$D468,Imput[[PERIODO Imp.]:[PERIODO Imp.]],CK$9)</f>
        <v>0</v>
      </c>
      <c r="CL468" s="693">
        <f>SUMIFS(Imput[[Importe Neto]:[Importe Neto]],Imput[[C. Imp.]:[C. Imp.]],$D468,Imput[[PERIODO Imp.]:[PERIODO Imp.]],CL$9)</f>
        <v>0</v>
      </c>
      <c r="CM468" s="693">
        <f>SUMIFS(Imput[[Importe Neto]:[Importe Neto]],Imput[[C. Imp.]:[C. Imp.]],$D468,Imput[[PERIODO Imp.]:[PERIODO Imp.]],CM$9)</f>
        <v>0</v>
      </c>
      <c r="CN468" s="693">
        <f>SUMIFS(Imput[[Importe Neto]:[Importe Neto]],Imput[[C. Imp.]:[C. Imp.]],$D468,Imput[[PERIODO Imp.]:[PERIODO Imp.]],CN$9)</f>
        <v>0</v>
      </c>
      <c r="CO468" s="693">
        <f>SUMIFS(Imput[[Importe Neto]:[Importe Neto]],Imput[[C. Imp.]:[C. Imp.]],$D468,Imput[[PERIODO Imp.]:[PERIODO Imp.]],CO$9)</f>
        <v>0</v>
      </c>
      <c r="CP468" s="693">
        <f>SUMIFS(Imput[[Importe Neto]:[Importe Neto]],Imput[[C. Imp.]:[C. Imp.]],$D468,Imput[[PERIODO Imp.]:[PERIODO Imp.]],CP$9)</f>
        <v>0</v>
      </c>
      <c r="CQ468" s="693">
        <f>SUMIFS(Imput[[Importe Neto]:[Importe Neto]],Imput[[C. Imp.]:[C. Imp.]],$D468,Imput[[PERIODO Imp.]:[PERIODO Imp.]],CQ$9)</f>
        <v>0</v>
      </c>
      <c r="CR468" s="693">
        <f>SUMIFS(Imput[[Importe Neto]:[Importe Neto]],Imput[[C. Imp.]:[C. Imp.]],$D468,Imput[[PERIODO Imp.]:[PERIODO Imp.]],CR$9)</f>
        <v>0</v>
      </c>
      <c r="CS468" s="693">
        <f>SUMIFS(Imput[[Importe Neto]:[Importe Neto]],Imput[[C. Imp.]:[C. Imp.]],$D468,Imput[[PERIODO Imp.]:[PERIODO Imp.]],CS$9)</f>
        <v>0</v>
      </c>
      <c r="CT468" s="693">
        <f>SUMIFS(Imput[[Importe Neto]:[Importe Neto]],Imput[[C. Imp.]:[C. Imp.]],$D468,Imput[[PERIODO Imp.]:[PERIODO Imp.]],CT$9)</f>
        <v>0</v>
      </c>
      <c r="CU468" s="693">
        <f>SUMIFS(Imput[[Importe Neto]:[Importe Neto]],Imput[[C. Imp.]:[C. Imp.]],$D468,Imput[[PERIODO Imp.]:[PERIODO Imp.]],CU$9)</f>
        <v>0</v>
      </c>
      <c r="CV468" s="693">
        <f>SUMIFS(Imput[[Importe Neto]:[Importe Neto]],Imput[[C. Imp.]:[C. Imp.]],$D468,Imput[[PERIODO Imp.]:[PERIODO Imp.]],CV$9)</f>
        <v>0</v>
      </c>
      <c r="CW468" s="693">
        <f>SUMIFS(Imput[[Importe Neto]:[Importe Neto]],Imput[[C. Imp.]:[C. Imp.]],$D468,Imput[[PERIODO Imp.]:[PERIODO Imp.]],CW$9)</f>
        <v>0</v>
      </c>
      <c r="CX468" s="693">
        <f>SUMIFS(Imput[[Importe Neto]:[Importe Neto]],Imput[[C. Imp.]:[C. Imp.]],$D468,Imput[[PERIODO Imp.]:[PERIODO Imp.]],CX$9)</f>
        <v>0</v>
      </c>
      <c r="CY468" s="693">
        <f>SUMIFS(Imput[[Importe Neto]:[Importe Neto]],Imput[[C. Imp.]:[C. Imp.]],$D468,Imput[[PERIODO Imp.]:[PERIODO Imp.]],CY$9)</f>
        <v>0</v>
      </c>
      <c r="CZ468" s="693">
        <f>SUMIFS(Imput[[Importe Neto]:[Importe Neto]],Imput[[C. Imp.]:[C. Imp.]],$D468,Imput[[PERIODO Imp.]:[PERIODO Imp.]],CZ$9)</f>
        <v>0</v>
      </c>
      <c r="DA468" s="693">
        <f>SUMIFS(Imput[[Importe Neto]:[Importe Neto]],Imput[[C. Imp.]:[C. Imp.]],$D468,Imput[[PERIODO Imp.]:[PERIODO Imp.]],DA$9)</f>
        <v>0</v>
      </c>
      <c r="DB468" s="693">
        <f>SUMIFS(Imput[[Importe Neto]:[Importe Neto]],Imput[[C. Imp.]:[C. Imp.]],$D468,Imput[[PERIODO Imp.]:[PERIODO Imp.]],DB$9)</f>
        <v>0</v>
      </c>
      <c r="DC468" s="693">
        <f>SUMIFS(Imput[[Importe Neto]:[Importe Neto]],Imput[[C. Imp.]:[C. Imp.]],$D468,Imput[[PERIODO Imp.]:[PERIODO Imp.]],DC$9)</f>
        <v>0</v>
      </c>
      <c r="DD468" s="693">
        <f>SUMIFS(Imput[[Importe Neto]:[Importe Neto]],Imput[[C. Imp.]:[C. Imp.]],$D468,Imput[[PERIODO Imp.]:[PERIODO Imp.]],DD$9)</f>
        <v>0</v>
      </c>
      <c r="DE468" s="693">
        <f>SUMIFS(Imput[[Importe Neto]:[Importe Neto]],Imput[[C. Imp.]:[C. Imp.]],$D468,Imput[[PERIODO Imp.]:[PERIODO Imp.]],DE$9)</f>
        <v>0</v>
      </c>
      <c r="DF468" s="693">
        <f>SUMIFS(Imput[[Importe Neto]:[Importe Neto]],Imput[[C. Imp.]:[C. Imp.]],$D468,Imput[[PERIODO Imp.]:[PERIODO Imp.]],DF$9)</f>
        <v>0</v>
      </c>
      <c r="DG468" s="693">
        <f>SUMIFS(Imput[[Importe Neto]:[Importe Neto]],Imput[[C. Imp.]:[C. Imp.]],$D468,Imput[[PERIODO Imp.]:[PERIODO Imp.]],DG$9)</f>
        <v>0</v>
      </c>
      <c r="DH468" s="694">
        <f>SUMIFS(Imput[[Importe Neto]:[Importe Neto]],Imput[[C. Imp.]:[C. Imp.]],$D468,Imput[[PERIODO Imp.]:[PERIODO Imp.]],DH$9)</f>
        <v>0</v>
      </c>
    </row>
    <row r="469" spans="1:112" s="649" customFormat="1" ht="14.4" hidden="1" outlineLevel="1" thickBot="1" x14ac:dyDescent="0.35">
      <c r="A469" s="652" t="str">
        <f t="shared" si="185"/>
        <v/>
      </c>
      <c r="B469" s="652"/>
      <c r="C469" s="685"/>
      <c r="D469" s="686" t="s">
        <v>2513</v>
      </c>
      <c r="E469" s="686"/>
      <c r="F469" s="720"/>
      <c r="G469" s="688"/>
      <c r="H469" s="696"/>
      <c r="I469" s="851" t="str">
        <f>IF(E469&gt;0,$J$5,"")</f>
        <v/>
      </c>
      <c r="J469" s="517" t="str">
        <f t="shared" si="186"/>
        <v/>
      </c>
      <c r="K469" s="667"/>
      <c r="L469" s="858"/>
      <c r="M469" s="859"/>
      <c r="N469" s="859"/>
      <c r="O469" s="859"/>
      <c r="P469" s="859"/>
      <c r="Q469" s="859"/>
      <c r="R469" s="859"/>
      <c r="S469" s="859"/>
      <c r="T469" s="859"/>
      <c r="U469" s="859"/>
      <c r="V469" s="859"/>
      <c r="W469" s="859"/>
      <c r="X469" s="859"/>
      <c r="Y469" s="859"/>
      <c r="Z469" s="860"/>
      <c r="AA469" s="860"/>
      <c r="AB469" s="860"/>
      <c r="AC469" s="860"/>
      <c r="AD469" s="860"/>
      <c r="AE469" s="860"/>
      <c r="AF469" s="860"/>
      <c r="AG469" s="860"/>
      <c r="AH469" s="860"/>
      <c r="AI469" s="860"/>
      <c r="AJ469" s="860"/>
      <c r="AK469" s="860"/>
      <c r="AL469" s="860"/>
      <c r="AM469" s="860"/>
      <c r="AN469" s="860"/>
      <c r="AO469" s="860"/>
      <c r="AP469" s="860"/>
      <c r="AQ469" s="860"/>
      <c r="AR469" s="860"/>
      <c r="AS469" s="860"/>
      <c r="AT469" s="860"/>
      <c r="AU469" s="860"/>
      <c r="AV469" s="860"/>
      <c r="AW469" s="860"/>
      <c r="AX469" s="860"/>
      <c r="AY469" s="860"/>
      <c r="AZ469" s="860"/>
      <c r="BA469" s="860"/>
      <c r="BB469" s="860"/>
      <c r="BC469" s="860"/>
      <c r="BD469" s="860"/>
      <c r="BE469" s="860"/>
      <c r="BF469" s="860"/>
      <c r="BG469" s="860"/>
      <c r="BH469" s="668"/>
      <c r="BI469" s="654"/>
      <c r="BJ469" s="690">
        <f>IFERROR(BK469/J469,0)</f>
        <v>0</v>
      </c>
      <c r="BK469" s="691">
        <f>SUM(BM469:DH469)</f>
        <v>0</v>
      </c>
      <c r="BL469" s="654"/>
      <c r="BM469" s="692">
        <f>SUMIFS(Imput[[Importe Neto]:[Importe Neto]],Imput[[C. Imp.]:[C. Imp.]],$D469,Imput[[PERIODO Imp.]:[PERIODO Imp.]],BM$9)</f>
        <v>0</v>
      </c>
      <c r="BN469" s="693">
        <f>SUMIFS(Imput[[Importe Neto]:[Importe Neto]],Imput[[C. Imp.]:[C. Imp.]],$D469,Imput[[PERIODO Imp.]:[PERIODO Imp.]],BN$9)</f>
        <v>0</v>
      </c>
      <c r="BO469" s="693">
        <f>SUMIFS(Imput[[Importe Neto]:[Importe Neto]],Imput[[C. Imp.]:[C. Imp.]],$D469,Imput[[PERIODO Imp.]:[PERIODO Imp.]],BO$9)</f>
        <v>0</v>
      </c>
      <c r="BP469" s="693">
        <f>SUMIFS(Imput[[Importe Neto]:[Importe Neto]],Imput[[C. Imp.]:[C. Imp.]],$D469,Imput[[PERIODO Imp.]:[PERIODO Imp.]],BP$9)</f>
        <v>0</v>
      </c>
      <c r="BQ469" s="693">
        <f>SUMIFS(Imput[[Importe Neto]:[Importe Neto]],Imput[[C. Imp.]:[C. Imp.]],$D469,Imput[[PERIODO Imp.]:[PERIODO Imp.]],BQ$9)</f>
        <v>0</v>
      </c>
      <c r="BR469" s="693">
        <f>SUMIFS(Imput[[Importe Neto]:[Importe Neto]],Imput[[C. Imp.]:[C. Imp.]],$D469,Imput[[PERIODO Imp.]:[PERIODO Imp.]],BR$9)</f>
        <v>0</v>
      </c>
      <c r="BS469" s="693">
        <f>SUMIFS(Imput[[Importe Neto]:[Importe Neto]],Imput[[C. Imp.]:[C. Imp.]],$D469,Imput[[PERIODO Imp.]:[PERIODO Imp.]],BS$9)</f>
        <v>0</v>
      </c>
      <c r="BT469" s="693">
        <f>SUMIFS(Imput[[Importe Neto]:[Importe Neto]],Imput[[C. Imp.]:[C. Imp.]],$D469,Imput[[PERIODO Imp.]:[PERIODO Imp.]],BT$9)</f>
        <v>0</v>
      </c>
      <c r="BU469" s="693">
        <f>SUMIFS(Imput[[Importe Neto]:[Importe Neto]],Imput[[C. Imp.]:[C. Imp.]],$D469,Imput[[PERIODO Imp.]:[PERIODO Imp.]],BU$9)</f>
        <v>0</v>
      </c>
      <c r="BV469" s="693">
        <f>SUMIFS(Imput[[Importe Neto]:[Importe Neto]],Imput[[C. Imp.]:[C. Imp.]],$D469,Imput[[PERIODO Imp.]:[PERIODO Imp.]],BV$9)</f>
        <v>0</v>
      </c>
      <c r="BW469" s="693">
        <f>SUMIFS(Imput[[Importe Neto]:[Importe Neto]],Imput[[C. Imp.]:[C. Imp.]],$D469,Imput[[PERIODO Imp.]:[PERIODO Imp.]],BW$9)</f>
        <v>0</v>
      </c>
      <c r="BX469" s="693">
        <f>SUMIFS(Imput[[Importe Neto]:[Importe Neto]],Imput[[C. Imp.]:[C. Imp.]],$D469,Imput[[PERIODO Imp.]:[PERIODO Imp.]],BX$9)</f>
        <v>0</v>
      </c>
      <c r="BY469" s="693">
        <f>SUMIFS(Imput[[Importe Neto]:[Importe Neto]],Imput[[C. Imp.]:[C. Imp.]],$D469,Imput[[PERIODO Imp.]:[PERIODO Imp.]],BY$9)</f>
        <v>0</v>
      </c>
      <c r="BZ469" s="693">
        <f>SUMIFS(Imput[[Importe Neto]:[Importe Neto]],Imput[[C. Imp.]:[C. Imp.]],$D469,Imput[[PERIODO Imp.]:[PERIODO Imp.]],BZ$9)</f>
        <v>0</v>
      </c>
      <c r="CA469" s="693">
        <f>SUMIFS(Imput[[Importe Neto]:[Importe Neto]],Imput[[C. Imp.]:[C. Imp.]],$D469,Imput[[PERIODO Imp.]:[PERIODO Imp.]],CA$9)</f>
        <v>0</v>
      </c>
      <c r="CB469" s="693">
        <f>SUMIFS(Imput[[Importe Neto]:[Importe Neto]],Imput[[C. Imp.]:[C. Imp.]],$D469,Imput[[PERIODO Imp.]:[PERIODO Imp.]],CB$9)</f>
        <v>0</v>
      </c>
      <c r="CC469" s="693">
        <f>SUMIFS(Imput[[Importe Neto]:[Importe Neto]],Imput[[C. Imp.]:[C. Imp.]],$D469,Imput[[PERIODO Imp.]:[PERIODO Imp.]],CC$9)</f>
        <v>0</v>
      </c>
      <c r="CD469" s="693">
        <f>SUMIFS(Imput[[Importe Neto]:[Importe Neto]],Imput[[C. Imp.]:[C. Imp.]],$D469,Imput[[PERIODO Imp.]:[PERIODO Imp.]],CD$9)</f>
        <v>0</v>
      </c>
      <c r="CE469" s="693">
        <f>SUMIFS(Imput[[Importe Neto]:[Importe Neto]],Imput[[C. Imp.]:[C. Imp.]],$D469,Imput[[PERIODO Imp.]:[PERIODO Imp.]],CE$9)</f>
        <v>0</v>
      </c>
      <c r="CF469" s="693">
        <f>SUMIFS(Imput[[Importe Neto]:[Importe Neto]],Imput[[C. Imp.]:[C. Imp.]],$D469,Imput[[PERIODO Imp.]:[PERIODO Imp.]],CF$9)</f>
        <v>0</v>
      </c>
      <c r="CG469" s="693">
        <f>SUMIFS(Imput[[Importe Neto]:[Importe Neto]],Imput[[C. Imp.]:[C. Imp.]],$D469,Imput[[PERIODO Imp.]:[PERIODO Imp.]],CG$9)</f>
        <v>0</v>
      </c>
      <c r="CH469" s="693">
        <f>SUMIFS(Imput[[Importe Neto]:[Importe Neto]],Imput[[C. Imp.]:[C. Imp.]],$D469,Imput[[PERIODO Imp.]:[PERIODO Imp.]],CH$9)</f>
        <v>0</v>
      </c>
      <c r="CI469" s="693">
        <f>SUMIFS(Imput[[Importe Neto]:[Importe Neto]],Imput[[C. Imp.]:[C. Imp.]],$D469,Imput[[PERIODO Imp.]:[PERIODO Imp.]],CI$9)</f>
        <v>0</v>
      </c>
      <c r="CJ469" s="693">
        <f>SUMIFS(Imput[[Importe Neto]:[Importe Neto]],Imput[[C. Imp.]:[C. Imp.]],$D469,Imput[[PERIODO Imp.]:[PERIODO Imp.]],CJ$9)</f>
        <v>0</v>
      </c>
      <c r="CK469" s="693">
        <f>SUMIFS(Imput[[Importe Neto]:[Importe Neto]],Imput[[C. Imp.]:[C. Imp.]],$D469,Imput[[PERIODO Imp.]:[PERIODO Imp.]],CK$9)</f>
        <v>0</v>
      </c>
      <c r="CL469" s="693">
        <f>SUMIFS(Imput[[Importe Neto]:[Importe Neto]],Imput[[C. Imp.]:[C. Imp.]],$D469,Imput[[PERIODO Imp.]:[PERIODO Imp.]],CL$9)</f>
        <v>0</v>
      </c>
      <c r="CM469" s="693">
        <f>SUMIFS(Imput[[Importe Neto]:[Importe Neto]],Imput[[C. Imp.]:[C. Imp.]],$D469,Imput[[PERIODO Imp.]:[PERIODO Imp.]],CM$9)</f>
        <v>0</v>
      </c>
      <c r="CN469" s="693">
        <f>SUMIFS(Imput[[Importe Neto]:[Importe Neto]],Imput[[C. Imp.]:[C. Imp.]],$D469,Imput[[PERIODO Imp.]:[PERIODO Imp.]],CN$9)</f>
        <v>0</v>
      </c>
      <c r="CO469" s="693">
        <f>SUMIFS(Imput[[Importe Neto]:[Importe Neto]],Imput[[C. Imp.]:[C. Imp.]],$D469,Imput[[PERIODO Imp.]:[PERIODO Imp.]],CO$9)</f>
        <v>0</v>
      </c>
      <c r="CP469" s="693">
        <f>SUMIFS(Imput[[Importe Neto]:[Importe Neto]],Imput[[C. Imp.]:[C. Imp.]],$D469,Imput[[PERIODO Imp.]:[PERIODO Imp.]],CP$9)</f>
        <v>0</v>
      </c>
      <c r="CQ469" s="693">
        <f>SUMIFS(Imput[[Importe Neto]:[Importe Neto]],Imput[[C. Imp.]:[C. Imp.]],$D469,Imput[[PERIODO Imp.]:[PERIODO Imp.]],CQ$9)</f>
        <v>0</v>
      </c>
      <c r="CR469" s="693">
        <f>SUMIFS(Imput[[Importe Neto]:[Importe Neto]],Imput[[C. Imp.]:[C. Imp.]],$D469,Imput[[PERIODO Imp.]:[PERIODO Imp.]],CR$9)</f>
        <v>0</v>
      </c>
      <c r="CS469" s="693">
        <f>SUMIFS(Imput[[Importe Neto]:[Importe Neto]],Imput[[C. Imp.]:[C. Imp.]],$D469,Imput[[PERIODO Imp.]:[PERIODO Imp.]],CS$9)</f>
        <v>0</v>
      </c>
      <c r="CT469" s="693">
        <f>SUMIFS(Imput[[Importe Neto]:[Importe Neto]],Imput[[C. Imp.]:[C. Imp.]],$D469,Imput[[PERIODO Imp.]:[PERIODO Imp.]],CT$9)</f>
        <v>0</v>
      </c>
      <c r="CU469" s="693">
        <f>SUMIFS(Imput[[Importe Neto]:[Importe Neto]],Imput[[C. Imp.]:[C. Imp.]],$D469,Imput[[PERIODO Imp.]:[PERIODO Imp.]],CU$9)</f>
        <v>0</v>
      </c>
      <c r="CV469" s="693">
        <f>SUMIFS(Imput[[Importe Neto]:[Importe Neto]],Imput[[C. Imp.]:[C. Imp.]],$D469,Imput[[PERIODO Imp.]:[PERIODO Imp.]],CV$9)</f>
        <v>0</v>
      </c>
      <c r="CW469" s="693">
        <f>SUMIFS(Imput[[Importe Neto]:[Importe Neto]],Imput[[C. Imp.]:[C. Imp.]],$D469,Imput[[PERIODO Imp.]:[PERIODO Imp.]],CW$9)</f>
        <v>0</v>
      </c>
      <c r="CX469" s="693">
        <f>SUMIFS(Imput[[Importe Neto]:[Importe Neto]],Imput[[C. Imp.]:[C. Imp.]],$D469,Imput[[PERIODO Imp.]:[PERIODO Imp.]],CX$9)</f>
        <v>0</v>
      </c>
      <c r="CY469" s="693">
        <f>SUMIFS(Imput[[Importe Neto]:[Importe Neto]],Imput[[C. Imp.]:[C. Imp.]],$D469,Imput[[PERIODO Imp.]:[PERIODO Imp.]],CY$9)</f>
        <v>0</v>
      </c>
      <c r="CZ469" s="693">
        <f>SUMIFS(Imput[[Importe Neto]:[Importe Neto]],Imput[[C. Imp.]:[C. Imp.]],$D469,Imput[[PERIODO Imp.]:[PERIODO Imp.]],CZ$9)</f>
        <v>0</v>
      </c>
      <c r="DA469" s="693">
        <f>SUMIFS(Imput[[Importe Neto]:[Importe Neto]],Imput[[C. Imp.]:[C. Imp.]],$D469,Imput[[PERIODO Imp.]:[PERIODO Imp.]],DA$9)</f>
        <v>0</v>
      </c>
      <c r="DB469" s="693">
        <f>SUMIFS(Imput[[Importe Neto]:[Importe Neto]],Imput[[C. Imp.]:[C. Imp.]],$D469,Imput[[PERIODO Imp.]:[PERIODO Imp.]],DB$9)</f>
        <v>0</v>
      </c>
      <c r="DC469" s="693">
        <f>SUMIFS(Imput[[Importe Neto]:[Importe Neto]],Imput[[C. Imp.]:[C. Imp.]],$D469,Imput[[PERIODO Imp.]:[PERIODO Imp.]],DC$9)</f>
        <v>0</v>
      </c>
      <c r="DD469" s="693">
        <f>SUMIFS(Imput[[Importe Neto]:[Importe Neto]],Imput[[C. Imp.]:[C. Imp.]],$D469,Imput[[PERIODO Imp.]:[PERIODO Imp.]],DD$9)</f>
        <v>0</v>
      </c>
      <c r="DE469" s="693">
        <f>SUMIFS(Imput[[Importe Neto]:[Importe Neto]],Imput[[C. Imp.]:[C. Imp.]],$D469,Imput[[PERIODO Imp.]:[PERIODO Imp.]],DE$9)</f>
        <v>0</v>
      </c>
      <c r="DF469" s="693">
        <f>SUMIFS(Imput[[Importe Neto]:[Importe Neto]],Imput[[C. Imp.]:[C. Imp.]],$D469,Imput[[PERIODO Imp.]:[PERIODO Imp.]],DF$9)</f>
        <v>0</v>
      </c>
      <c r="DG469" s="693">
        <f>SUMIFS(Imput[[Importe Neto]:[Importe Neto]],Imput[[C. Imp.]:[C. Imp.]],$D469,Imput[[PERIODO Imp.]:[PERIODO Imp.]],DG$9)</f>
        <v>0</v>
      </c>
      <c r="DH469" s="694">
        <f>SUMIFS(Imput[[Importe Neto]:[Importe Neto]],Imput[[C. Imp.]:[C. Imp.]],$D469,Imput[[PERIODO Imp.]:[PERIODO Imp.]],DH$9)</f>
        <v>0</v>
      </c>
    </row>
    <row r="470" spans="1:112" s="649" customFormat="1" ht="14.4" hidden="1" outlineLevel="1" thickBot="1" x14ac:dyDescent="0.35">
      <c r="A470" s="652" t="str">
        <f>IF(J463&gt;0,"Imprimir","")</f>
        <v/>
      </c>
      <c r="B470" s="652"/>
      <c r="C470" s="699"/>
      <c r="D470" s="700"/>
      <c r="E470" s="700"/>
      <c r="F470" s="701"/>
      <c r="G470" s="702"/>
      <c r="H470" s="703"/>
      <c r="I470" s="704"/>
      <c r="J470" s="120"/>
      <c r="K470" s="667"/>
      <c r="L470" s="706"/>
      <c r="M470" s="707"/>
      <c r="N470" s="777"/>
      <c r="O470" s="777"/>
      <c r="P470" s="778"/>
      <c r="Q470" s="778"/>
      <c r="R470" s="708"/>
      <c r="S470" s="708"/>
      <c r="T470" s="779"/>
      <c r="U470" s="779"/>
      <c r="V470" s="778"/>
      <c r="W470" s="778"/>
      <c r="X470" s="708"/>
      <c r="Y470" s="708"/>
      <c r="Z470" s="708"/>
      <c r="AA470" s="708"/>
      <c r="AB470" s="708"/>
      <c r="AC470" s="708"/>
      <c r="AD470" s="708"/>
      <c r="AE470" s="708"/>
      <c r="AF470" s="708"/>
      <c r="AG470" s="708"/>
      <c r="AH470" s="708"/>
      <c r="AI470" s="708"/>
      <c r="AJ470" s="708"/>
      <c r="AK470" s="708"/>
      <c r="AL470" s="708"/>
      <c r="AM470" s="708"/>
      <c r="AN470" s="708"/>
      <c r="AO470" s="708"/>
      <c r="AP470" s="708"/>
      <c r="AQ470" s="708"/>
      <c r="AR470" s="708"/>
      <c r="AS470" s="708"/>
      <c r="AT470" s="708"/>
      <c r="AU470" s="708"/>
      <c r="AV470" s="708"/>
      <c r="AW470" s="708"/>
      <c r="AX470" s="708"/>
      <c r="AY470" s="708"/>
      <c r="AZ470" s="708"/>
      <c r="BA470" s="708"/>
      <c r="BB470" s="708"/>
      <c r="BC470" s="708"/>
      <c r="BD470" s="708"/>
      <c r="BE470" s="708"/>
      <c r="BF470" s="708"/>
      <c r="BG470" s="708"/>
      <c r="BH470" s="780"/>
      <c r="BI470" s="654"/>
      <c r="BJ470" s="709"/>
      <c r="BK470" s="710"/>
      <c r="BL470" s="654"/>
      <c r="BM470" s="735"/>
      <c r="BN470" s="796"/>
      <c r="BO470" s="796"/>
      <c r="BP470" s="796"/>
      <c r="BQ470" s="796"/>
      <c r="BR470" s="796"/>
      <c r="BS470" s="796"/>
      <c r="BT470" s="796"/>
      <c r="BU470" s="796"/>
      <c r="BV470" s="796"/>
      <c r="BW470" s="796"/>
      <c r="BX470" s="796"/>
      <c r="BY470" s="796"/>
      <c r="BZ470" s="796"/>
      <c r="CA470" s="796"/>
      <c r="CB470" s="796"/>
      <c r="CC470" s="796"/>
      <c r="CD470" s="796"/>
      <c r="CE470" s="796"/>
      <c r="CF470" s="796"/>
      <c r="CG470" s="796"/>
      <c r="CH470" s="796"/>
      <c r="CI470" s="796"/>
      <c r="CJ470" s="796"/>
      <c r="CK470" s="796"/>
      <c r="CL470" s="796"/>
      <c r="CM470" s="796"/>
      <c r="CN470" s="796"/>
      <c r="CO470" s="796"/>
      <c r="CP470" s="796"/>
      <c r="CQ470" s="796"/>
      <c r="CR470" s="796"/>
      <c r="CS470" s="796"/>
      <c r="CT470" s="796"/>
      <c r="CU470" s="796"/>
      <c r="CV470" s="796"/>
      <c r="CW470" s="796"/>
      <c r="CX470" s="796"/>
      <c r="CY470" s="796"/>
      <c r="CZ470" s="796"/>
      <c r="DA470" s="796"/>
      <c r="DB470" s="796"/>
      <c r="DC470" s="796"/>
      <c r="DD470" s="796"/>
      <c r="DE470" s="796"/>
      <c r="DF470" s="796"/>
      <c r="DG470" s="796"/>
      <c r="DH470" s="736"/>
    </row>
    <row r="471" spans="1:112" s="649" customFormat="1" collapsed="1" x14ac:dyDescent="0.3">
      <c r="A471" s="652" t="str">
        <f>IF(J471&gt;0,"Imprimir","")</f>
        <v>Imprimir</v>
      </c>
      <c r="B471" s="652"/>
      <c r="C471" s="711"/>
      <c r="D471" s="712" t="s">
        <v>456</v>
      </c>
      <c r="E471" s="712" t="s">
        <v>512</v>
      </c>
      <c r="F471" s="712"/>
      <c r="G471" s="713"/>
      <c r="H471" s="712"/>
      <c r="I471" s="714"/>
      <c r="J471" s="715">
        <f>SUBTOTAL(9,J474:J476)</f>
        <v>36066.337172084211</v>
      </c>
      <c r="K471" s="658"/>
      <c r="L471" s="770">
        <f t="shared" ref="L471:BG471" si="187">SUMPRODUCT($J474:$J476,L474:L476)</f>
        <v>25246.436020458947</v>
      </c>
      <c r="M471" s="771">
        <f t="shared" si="187"/>
        <v>0</v>
      </c>
      <c r="N471" s="771">
        <f t="shared" si="187"/>
        <v>0</v>
      </c>
      <c r="O471" s="771">
        <f t="shared" si="187"/>
        <v>0</v>
      </c>
      <c r="P471" s="771">
        <f t="shared" si="187"/>
        <v>0</v>
      </c>
      <c r="Q471" s="771">
        <f t="shared" si="187"/>
        <v>0</v>
      </c>
      <c r="R471" s="771">
        <f t="shared" si="187"/>
        <v>0</v>
      </c>
      <c r="S471" s="771">
        <f t="shared" si="187"/>
        <v>0</v>
      </c>
      <c r="T471" s="771">
        <f t="shared" si="187"/>
        <v>0</v>
      </c>
      <c r="U471" s="771">
        <f t="shared" si="187"/>
        <v>0</v>
      </c>
      <c r="V471" s="771">
        <f t="shared" si="187"/>
        <v>0</v>
      </c>
      <c r="W471" s="771">
        <f t="shared" si="187"/>
        <v>0</v>
      </c>
      <c r="X471" s="771">
        <f t="shared" si="187"/>
        <v>0</v>
      </c>
      <c r="Y471" s="771">
        <f t="shared" si="187"/>
        <v>0</v>
      </c>
      <c r="Z471" s="771">
        <f t="shared" si="187"/>
        <v>10819.901151625263</v>
      </c>
      <c r="AA471" s="771">
        <f t="shared" si="187"/>
        <v>0</v>
      </c>
      <c r="AB471" s="771">
        <f t="shared" si="187"/>
        <v>0</v>
      </c>
      <c r="AC471" s="771">
        <f t="shared" si="187"/>
        <v>0</v>
      </c>
      <c r="AD471" s="771">
        <f t="shared" si="187"/>
        <v>0</v>
      </c>
      <c r="AE471" s="771">
        <f t="shared" si="187"/>
        <v>0</v>
      </c>
      <c r="AF471" s="771">
        <f t="shared" si="187"/>
        <v>0</v>
      </c>
      <c r="AG471" s="771">
        <f t="shared" si="187"/>
        <v>0</v>
      </c>
      <c r="AH471" s="771">
        <f t="shared" si="187"/>
        <v>0</v>
      </c>
      <c r="AI471" s="771">
        <f t="shared" si="187"/>
        <v>0</v>
      </c>
      <c r="AJ471" s="771">
        <f t="shared" si="187"/>
        <v>0</v>
      </c>
      <c r="AK471" s="771">
        <f t="shared" si="187"/>
        <v>0</v>
      </c>
      <c r="AL471" s="771">
        <f t="shared" si="187"/>
        <v>0</v>
      </c>
      <c r="AM471" s="771">
        <f t="shared" si="187"/>
        <v>0</v>
      </c>
      <c r="AN471" s="771">
        <f t="shared" si="187"/>
        <v>0</v>
      </c>
      <c r="AO471" s="771">
        <f t="shared" si="187"/>
        <v>0</v>
      </c>
      <c r="AP471" s="771">
        <f t="shared" si="187"/>
        <v>0</v>
      </c>
      <c r="AQ471" s="771">
        <f t="shared" si="187"/>
        <v>0</v>
      </c>
      <c r="AR471" s="771">
        <f t="shared" si="187"/>
        <v>0</v>
      </c>
      <c r="AS471" s="771">
        <f t="shared" si="187"/>
        <v>0</v>
      </c>
      <c r="AT471" s="771">
        <f t="shared" si="187"/>
        <v>0</v>
      </c>
      <c r="AU471" s="771">
        <f t="shared" si="187"/>
        <v>0</v>
      </c>
      <c r="AV471" s="771">
        <f t="shared" si="187"/>
        <v>0</v>
      </c>
      <c r="AW471" s="771">
        <f t="shared" si="187"/>
        <v>0</v>
      </c>
      <c r="AX471" s="771">
        <f t="shared" si="187"/>
        <v>0</v>
      </c>
      <c r="AY471" s="771">
        <f t="shared" si="187"/>
        <v>0</v>
      </c>
      <c r="AZ471" s="771">
        <f t="shared" si="187"/>
        <v>0</v>
      </c>
      <c r="BA471" s="771">
        <f t="shared" si="187"/>
        <v>0</v>
      </c>
      <c r="BB471" s="771">
        <f t="shared" si="187"/>
        <v>0</v>
      </c>
      <c r="BC471" s="771">
        <f t="shared" si="187"/>
        <v>0</v>
      </c>
      <c r="BD471" s="771">
        <f t="shared" si="187"/>
        <v>0</v>
      </c>
      <c r="BE471" s="771">
        <f t="shared" si="187"/>
        <v>0</v>
      </c>
      <c r="BF471" s="771">
        <f t="shared" si="187"/>
        <v>0</v>
      </c>
      <c r="BG471" s="764">
        <f t="shared" si="187"/>
        <v>0</v>
      </c>
      <c r="BH471" s="776"/>
      <c r="BI471" s="654"/>
      <c r="BJ471" s="659">
        <f>IFERROR(BK471/J471,0)</f>
        <v>0.93127968310043452</v>
      </c>
      <c r="BK471" s="660">
        <f>SUBTOTAL(9,BK472:BK476)</f>
        <v>33587.847052212004</v>
      </c>
      <c r="BL471" s="654"/>
      <c r="BM471" s="661">
        <f t="shared" ref="BM471:DH471" si="188">SUBTOTAL(9,BM472:BM476)</f>
        <v>0</v>
      </c>
      <c r="BN471" s="662">
        <f t="shared" si="188"/>
        <v>1354.96758</v>
      </c>
      <c r="BO471" s="662">
        <f t="shared" si="188"/>
        <v>18097.373698500003</v>
      </c>
      <c r="BP471" s="662">
        <f t="shared" si="188"/>
        <v>14135.505773712001</v>
      </c>
      <c r="BQ471" s="662">
        <f t="shared" si="188"/>
        <v>0</v>
      </c>
      <c r="BR471" s="662">
        <f t="shared" si="188"/>
        <v>0</v>
      </c>
      <c r="BS471" s="662">
        <f t="shared" si="188"/>
        <v>0</v>
      </c>
      <c r="BT471" s="662">
        <f t="shared" si="188"/>
        <v>0</v>
      </c>
      <c r="BU471" s="662">
        <f t="shared" si="188"/>
        <v>0</v>
      </c>
      <c r="BV471" s="662">
        <f t="shared" si="188"/>
        <v>0</v>
      </c>
      <c r="BW471" s="662">
        <f t="shared" si="188"/>
        <v>0</v>
      </c>
      <c r="BX471" s="662">
        <f t="shared" si="188"/>
        <v>0</v>
      </c>
      <c r="BY471" s="662">
        <f t="shared" si="188"/>
        <v>0</v>
      </c>
      <c r="BZ471" s="662">
        <f t="shared" si="188"/>
        <v>0</v>
      </c>
      <c r="CA471" s="662">
        <f t="shared" si="188"/>
        <v>0</v>
      </c>
      <c r="CB471" s="662">
        <f t="shared" si="188"/>
        <v>0</v>
      </c>
      <c r="CC471" s="662">
        <f t="shared" si="188"/>
        <v>0</v>
      </c>
      <c r="CD471" s="662">
        <f t="shared" si="188"/>
        <v>0</v>
      </c>
      <c r="CE471" s="662">
        <f t="shared" si="188"/>
        <v>0</v>
      </c>
      <c r="CF471" s="662">
        <f t="shared" si="188"/>
        <v>0</v>
      </c>
      <c r="CG471" s="662">
        <f t="shared" si="188"/>
        <v>0</v>
      </c>
      <c r="CH471" s="662">
        <f t="shared" si="188"/>
        <v>0</v>
      </c>
      <c r="CI471" s="662">
        <f t="shared" si="188"/>
        <v>0</v>
      </c>
      <c r="CJ471" s="662">
        <f t="shared" si="188"/>
        <v>0</v>
      </c>
      <c r="CK471" s="662">
        <f t="shared" si="188"/>
        <v>0</v>
      </c>
      <c r="CL471" s="662">
        <f t="shared" si="188"/>
        <v>0</v>
      </c>
      <c r="CM471" s="662">
        <f t="shared" si="188"/>
        <v>0</v>
      </c>
      <c r="CN471" s="662">
        <f t="shared" si="188"/>
        <v>0</v>
      </c>
      <c r="CO471" s="662">
        <f t="shared" si="188"/>
        <v>0</v>
      </c>
      <c r="CP471" s="662">
        <f t="shared" si="188"/>
        <v>0</v>
      </c>
      <c r="CQ471" s="662">
        <f t="shared" si="188"/>
        <v>0</v>
      </c>
      <c r="CR471" s="662">
        <f t="shared" si="188"/>
        <v>0</v>
      </c>
      <c r="CS471" s="662">
        <f t="shared" si="188"/>
        <v>0</v>
      </c>
      <c r="CT471" s="662">
        <f t="shared" si="188"/>
        <v>0</v>
      </c>
      <c r="CU471" s="662">
        <f t="shared" si="188"/>
        <v>0</v>
      </c>
      <c r="CV471" s="662">
        <f t="shared" si="188"/>
        <v>0</v>
      </c>
      <c r="CW471" s="662">
        <f t="shared" si="188"/>
        <v>0</v>
      </c>
      <c r="CX471" s="662">
        <f t="shared" si="188"/>
        <v>0</v>
      </c>
      <c r="CY471" s="662">
        <f t="shared" si="188"/>
        <v>0</v>
      </c>
      <c r="CZ471" s="662">
        <f t="shared" si="188"/>
        <v>0</v>
      </c>
      <c r="DA471" s="662">
        <f t="shared" si="188"/>
        <v>0</v>
      </c>
      <c r="DB471" s="662">
        <f t="shared" si="188"/>
        <v>0</v>
      </c>
      <c r="DC471" s="662">
        <f t="shared" si="188"/>
        <v>0</v>
      </c>
      <c r="DD471" s="662">
        <f t="shared" si="188"/>
        <v>0</v>
      </c>
      <c r="DE471" s="662">
        <f t="shared" si="188"/>
        <v>0</v>
      </c>
      <c r="DF471" s="662">
        <f t="shared" si="188"/>
        <v>0</v>
      </c>
      <c r="DG471" s="662">
        <f t="shared" si="188"/>
        <v>0</v>
      </c>
      <c r="DH471" s="663">
        <f t="shared" si="188"/>
        <v>0</v>
      </c>
    </row>
    <row r="472" spans="1:112" s="649" customFormat="1" outlineLevel="1" x14ac:dyDescent="0.3">
      <c r="A472" s="652" t="str">
        <f>IF(J471&gt;0,"Imprimir","")</f>
        <v>Imprimir</v>
      </c>
      <c r="B472" s="652"/>
      <c r="C472" s="664"/>
      <c r="D472" s="665"/>
      <c r="E472" s="665"/>
      <c r="F472" s="665" t="s">
        <v>472</v>
      </c>
      <c r="G472" s="716" t="s">
        <v>2128</v>
      </c>
      <c r="H472" s="665" t="str">
        <f>H251</f>
        <v>Cantidad</v>
      </c>
      <c r="I472" s="665" t="s">
        <v>474</v>
      </c>
      <c r="J472" s="666" t="s">
        <v>29</v>
      </c>
      <c r="K472" s="667"/>
      <c r="L472" s="745"/>
      <c r="M472" s="741"/>
      <c r="N472" s="741"/>
      <c r="O472" s="741"/>
      <c r="P472" s="741"/>
      <c r="Q472" s="741"/>
      <c r="R472" s="741"/>
      <c r="S472" s="741"/>
      <c r="T472" s="741"/>
      <c r="U472" s="741"/>
      <c r="V472" s="741"/>
      <c r="W472" s="741"/>
      <c r="X472" s="741"/>
      <c r="Y472" s="741"/>
      <c r="Z472" s="741"/>
      <c r="AA472" s="741"/>
      <c r="AB472" s="741"/>
      <c r="AC472" s="741"/>
      <c r="AD472" s="741"/>
      <c r="AE472" s="741"/>
      <c r="AF472" s="741"/>
      <c r="AG472" s="741"/>
      <c r="AH472" s="741"/>
      <c r="AI472" s="741"/>
      <c r="AJ472" s="741"/>
      <c r="AK472" s="741"/>
      <c r="AL472" s="741"/>
      <c r="AM472" s="741"/>
      <c r="AN472" s="741"/>
      <c r="AO472" s="741"/>
      <c r="AP472" s="741"/>
      <c r="AQ472" s="741"/>
      <c r="AR472" s="741"/>
      <c r="AS472" s="741"/>
      <c r="AT472" s="741"/>
      <c r="AU472" s="741"/>
      <c r="AV472" s="741"/>
      <c r="AW472" s="741"/>
      <c r="AX472" s="741"/>
      <c r="AY472" s="741"/>
      <c r="AZ472" s="741"/>
      <c r="BA472" s="741"/>
      <c r="BB472" s="741"/>
      <c r="BC472" s="741"/>
      <c r="BD472" s="741"/>
      <c r="BE472" s="741"/>
      <c r="BF472" s="741"/>
      <c r="BG472" s="741"/>
      <c r="BH472" s="668"/>
      <c r="BI472" s="654"/>
      <c r="BJ472" s="669"/>
      <c r="BK472" s="670"/>
      <c r="BL472" s="654"/>
      <c r="BM472" s="671"/>
      <c r="BN472" s="665"/>
      <c r="BO472" s="665"/>
      <c r="BP472" s="665"/>
      <c r="BQ472" s="665"/>
      <c r="BR472" s="665"/>
      <c r="BS472" s="665"/>
      <c r="BT472" s="665"/>
      <c r="BU472" s="665"/>
      <c r="BV472" s="665"/>
      <c r="BW472" s="665"/>
      <c r="BX472" s="665"/>
      <c r="BY472" s="665"/>
      <c r="BZ472" s="665"/>
      <c r="CA472" s="665"/>
      <c r="CB472" s="665"/>
      <c r="CC472" s="665"/>
      <c r="CD472" s="665"/>
      <c r="CE472" s="665"/>
      <c r="CF472" s="665"/>
      <c r="CG472" s="665"/>
      <c r="CH472" s="665"/>
      <c r="CI472" s="665"/>
      <c r="CJ472" s="665"/>
      <c r="CK472" s="665"/>
      <c r="CL472" s="665"/>
      <c r="CM472" s="665"/>
      <c r="CN472" s="665"/>
      <c r="CO472" s="665"/>
      <c r="CP472" s="665"/>
      <c r="CQ472" s="665"/>
      <c r="CR472" s="665"/>
      <c r="CS472" s="665"/>
      <c r="CT472" s="665"/>
      <c r="CU472" s="665"/>
      <c r="CV472" s="665"/>
      <c r="CW472" s="665"/>
      <c r="CX472" s="665"/>
      <c r="CY472" s="665"/>
      <c r="CZ472" s="665"/>
      <c r="DA472" s="665"/>
      <c r="DB472" s="665"/>
      <c r="DC472" s="665"/>
      <c r="DD472" s="665"/>
      <c r="DE472" s="665"/>
      <c r="DF472" s="665"/>
      <c r="DG472" s="665"/>
      <c r="DH472" s="666"/>
    </row>
    <row r="473" spans="1:112" s="649" customFormat="1" ht="15.6" outlineLevel="1" x14ac:dyDescent="0.3">
      <c r="A473" s="652" t="str">
        <f>IF(J473&gt;0,"Imprimir","")</f>
        <v>Imprimir</v>
      </c>
      <c r="B473" s="652"/>
      <c r="C473" s="672"/>
      <c r="D473" s="673"/>
      <c r="E473" s="674"/>
      <c r="F473" s="675"/>
      <c r="G473" s="726"/>
      <c r="H473" s="676"/>
      <c r="I473" s="677"/>
      <c r="J473" s="219">
        <f>SUBTOTAL(9,J474:J476)</f>
        <v>36066.337172084211</v>
      </c>
      <c r="K473" s="678"/>
      <c r="L473" s="747"/>
      <c r="M473" s="742"/>
      <c r="N473" s="742"/>
      <c r="O473" s="742"/>
      <c r="P473" s="742"/>
      <c r="Q473" s="742"/>
      <c r="R473" s="742"/>
      <c r="S473" s="742"/>
      <c r="T473" s="742"/>
      <c r="U473" s="742"/>
      <c r="V473" s="742"/>
      <c r="W473" s="742"/>
      <c r="X473" s="742"/>
      <c r="Y473" s="742"/>
      <c r="Z473" s="742"/>
      <c r="AA473" s="742"/>
      <c r="AB473" s="742"/>
      <c r="AC473" s="742"/>
      <c r="AD473" s="742"/>
      <c r="AE473" s="742"/>
      <c r="AF473" s="742"/>
      <c r="AG473" s="742"/>
      <c r="AH473" s="742"/>
      <c r="AI473" s="742"/>
      <c r="AJ473" s="742"/>
      <c r="AK473" s="742"/>
      <c r="AL473" s="742"/>
      <c r="AM473" s="742"/>
      <c r="AN473" s="742"/>
      <c r="AO473" s="742"/>
      <c r="AP473" s="742"/>
      <c r="AQ473" s="742"/>
      <c r="AR473" s="742"/>
      <c r="AS473" s="742"/>
      <c r="AT473" s="742"/>
      <c r="AU473" s="742"/>
      <c r="AV473" s="742"/>
      <c r="AW473" s="742"/>
      <c r="AX473" s="742"/>
      <c r="AY473" s="742"/>
      <c r="AZ473" s="742"/>
      <c r="BA473" s="742"/>
      <c r="BB473" s="742"/>
      <c r="BC473" s="742"/>
      <c r="BD473" s="742"/>
      <c r="BE473" s="742"/>
      <c r="BF473" s="742"/>
      <c r="BG473" s="742"/>
      <c r="BH473" s="668"/>
      <c r="BI473" s="654"/>
      <c r="BJ473" s="729"/>
      <c r="BK473" s="681"/>
      <c r="BL473" s="654"/>
      <c r="BM473" s="682"/>
      <c r="BN473" s="683"/>
      <c r="BO473" s="683"/>
      <c r="BP473" s="683"/>
      <c r="BQ473" s="683"/>
      <c r="BR473" s="683"/>
      <c r="BS473" s="683"/>
      <c r="BT473" s="683"/>
      <c r="BU473" s="683"/>
      <c r="BV473" s="683"/>
      <c r="BW473" s="683"/>
      <c r="BX473" s="683"/>
      <c r="BY473" s="683"/>
      <c r="BZ473" s="683"/>
      <c r="CA473" s="683"/>
      <c r="CB473" s="683"/>
      <c r="CC473" s="683"/>
      <c r="CD473" s="683"/>
      <c r="CE473" s="683"/>
      <c r="CF473" s="683"/>
      <c r="CG473" s="683"/>
      <c r="CH473" s="683"/>
      <c r="CI473" s="683"/>
      <c r="CJ473" s="683"/>
      <c r="CK473" s="683"/>
      <c r="CL473" s="683"/>
      <c r="CM473" s="683"/>
      <c r="CN473" s="683"/>
      <c r="CO473" s="683"/>
      <c r="CP473" s="683"/>
      <c r="CQ473" s="683"/>
      <c r="CR473" s="683"/>
      <c r="CS473" s="683"/>
      <c r="CT473" s="683"/>
      <c r="CU473" s="683"/>
      <c r="CV473" s="683"/>
      <c r="CW473" s="683"/>
      <c r="CX473" s="683"/>
      <c r="CY473" s="683"/>
      <c r="CZ473" s="683"/>
      <c r="DA473" s="683"/>
      <c r="DB473" s="683"/>
      <c r="DC473" s="683"/>
      <c r="DD473" s="683"/>
      <c r="DE473" s="683"/>
      <c r="DF473" s="683"/>
      <c r="DG473" s="683"/>
      <c r="DH473" s="684"/>
    </row>
    <row r="474" spans="1:112" s="649" customFormat="1" outlineLevel="1" x14ac:dyDescent="0.3">
      <c r="A474" s="652" t="str">
        <f t="shared" ref="A474:A475" si="189">IF(J474="","",IF(J474=0,"","Imprimir"))</f>
        <v>Imprimir</v>
      </c>
      <c r="B474" s="652"/>
      <c r="C474" s="685"/>
      <c r="D474" s="686" t="s">
        <v>2514</v>
      </c>
      <c r="E474" s="686" t="s">
        <v>513</v>
      </c>
      <c r="F474" s="720"/>
      <c r="G474" s="529">
        <f>SUM(J250,J262,J304,J357,J410,J423,J446,J463)</f>
        <v>601105.61953473685</v>
      </c>
      <c r="H474" s="846">
        <v>0.03</v>
      </c>
      <c r="I474" s="851">
        <f>IF(E474&gt;0,$J$5,"")</f>
        <v>1</v>
      </c>
      <c r="J474" s="517">
        <f>G474*H474*I474</f>
        <v>18033.168586042106</v>
      </c>
      <c r="K474" s="667"/>
      <c r="L474" s="858">
        <v>0.7</v>
      </c>
      <c r="M474" s="859"/>
      <c r="N474" s="859"/>
      <c r="O474" s="859"/>
      <c r="P474" s="859"/>
      <c r="Q474" s="859"/>
      <c r="R474" s="859"/>
      <c r="S474" s="859"/>
      <c r="T474" s="859"/>
      <c r="U474" s="859"/>
      <c r="V474" s="859"/>
      <c r="W474" s="859"/>
      <c r="X474" s="859"/>
      <c r="Y474" s="859"/>
      <c r="Z474" s="860">
        <v>0.3</v>
      </c>
      <c r="AA474" s="860"/>
      <c r="AB474" s="860"/>
      <c r="AC474" s="860"/>
      <c r="AD474" s="860"/>
      <c r="AE474" s="860"/>
      <c r="AF474" s="860"/>
      <c r="AG474" s="860"/>
      <c r="AH474" s="860"/>
      <c r="AI474" s="860"/>
      <c r="AJ474" s="860"/>
      <c r="AK474" s="860"/>
      <c r="AL474" s="860"/>
      <c r="AM474" s="860"/>
      <c r="AN474" s="860"/>
      <c r="AO474" s="860"/>
      <c r="AP474" s="860"/>
      <c r="AQ474" s="860"/>
      <c r="AR474" s="860"/>
      <c r="AS474" s="860"/>
      <c r="AT474" s="860"/>
      <c r="AU474" s="860"/>
      <c r="AV474" s="860"/>
      <c r="AW474" s="860"/>
      <c r="AX474" s="860"/>
      <c r="AY474" s="860"/>
      <c r="AZ474" s="860"/>
      <c r="BA474" s="860"/>
      <c r="BB474" s="860"/>
      <c r="BC474" s="860"/>
      <c r="BD474" s="860"/>
      <c r="BE474" s="860"/>
      <c r="BF474" s="860"/>
      <c r="BG474" s="860"/>
      <c r="BH474" s="668"/>
      <c r="BI474" s="654"/>
      <c r="BJ474" s="690">
        <f>IFERROR(BK474/J474,0)</f>
        <v>0.56179025243813285</v>
      </c>
      <c r="BK474" s="691">
        <f>SUM(BM474:DH474)</f>
        <v>10130.858332212001</v>
      </c>
      <c r="BL474" s="654"/>
      <c r="BM474" s="692">
        <f>SUMIFS(Imput[[Importe Neto]:[Importe Neto]],Imput[[C. Imp.]:[C. Imp.]],$D474,Imput[[PERIODO Imp.]:[PERIODO Imp.]],BM$9)</f>
        <v>0</v>
      </c>
      <c r="BN474" s="693">
        <f>SUMIFS(Imput[[Importe Neto]:[Importe Neto]],Imput[[C. Imp.]:[C. Imp.]],$D474,Imput[[PERIODO Imp.]:[PERIODO Imp.]],BN$9)</f>
        <v>1354.96758</v>
      </c>
      <c r="BO474" s="693">
        <f>SUMIFS(Imput[[Importe Neto]:[Importe Neto]],Imput[[C. Imp.]:[C. Imp.]],$D474,Imput[[PERIODO Imp.]:[PERIODO Imp.]],BO$9)</f>
        <v>299.10857850000002</v>
      </c>
      <c r="BP474" s="693">
        <f>SUMIFS(Imput[[Importe Neto]:[Importe Neto]],Imput[[C. Imp.]:[C. Imp.]],$D474,Imput[[PERIODO Imp.]:[PERIODO Imp.]],BP$9)</f>
        <v>8476.7821737120012</v>
      </c>
      <c r="BQ474" s="693">
        <f>SUMIFS(Imput[[Importe Neto]:[Importe Neto]],Imput[[C. Imp.]:[C. Imp.]],$D474,Imput[[PERIODO Imp.]:[PERIODO Imp.]],BQ$9)</f>
        <v>0</v>
      </c>
      <c r="BR474" s="693">
        <f>SUMIFS(Imput[[Importe Neto]:[Importe Neto]],Imput[[C. Imp.]:[C. Imp.]],$D474,Imput[[PERIODO Imp.]:[PERIODO Imp.]],BR$9)</f>
        <v>0</v>
      </c>
      <c r="BS474" s="693">
        <f>SUMIFS(Imput[[Importe Neto]:[Importe Neto]],Imput[[C. Imp.]:[C. Imp.]],$D474,Imput[[PERIODO Imp.]:[PERIODO Imp.]],BS$9)</f>
        <v>0</v>
      </c>
      <c r="BT474" s="693">
        <f>SUMIFS(Imput[[Importe Neto]:[Importe Neto]],Imput[[C. Imp.]:[C. Imp.]],$D474,Imput[[PERIODO Imp.]:[PERIODO Imp.]],BT$9)</f>
        <v>0</v>
      </c>
      <c r="BU474" s="693">
        <f>SUMIFS(Imput[[Importe Neto]:[Importe Neto]],Imput[[C. Imp.]:[C. Imp.]],$D474,Imput[[PERIODO Imp.]:[PERIODO Imp.]],BU$9)</f>
        <v>0</v>
      </c>
      <c r="BV474" s="693">
        <f>SUMIFS(Imput[[Importe Neto]:[Importe Neto]],Imput[[C. Imp.]:[C. Imp.]],$D474,Imput[[PERIODO Imp.]:[PERIODO Imp.]],BV$9)</f>
        <v>0</v>
      </c>
      <c r="BW474" s="693">
        <f>SUMIFS(Imput[[Importe Neto]:[Importe Neto]],Imput[[C. Imp.]:[C. Imp.]],$D474,Imput[[PERIODO Imp.]:[PERIODO Imp.]],BW$9)</f>
        <v>0</v>
      </c>
      <c r="BX474" s="693">
        <f>SUMIFS(Imput[[Importe Neto]:[Importe Neto]],Imput[[C. Imp.]:[C. Imp.]],$D474,Imput[[PERIODO Imp.]:[PERIODO Imp.]],BX$9)</f>
        <v>0</v>
      </c>
      <c r="BY474" s="693">
        <f>SUMIFS(Imput[[Importe Neto]:[Importe Neto]],Imput[[C. Imp.]:[C. Imp.]],$D474,Imput[[PERIODO Imp.]:[PERIODO Imp.]],BY$9)</f>
        <v>0</v>
      </c>
      <c r="BZ474" s="693">
        <f>SUMIFS(Imput[[Importe Neto]:[Importe Neto]],Imput[[C. Imp.]:[C. Imp.]],$D474,Imput[[PERIODO Imp.]:[PERIODO Imp.]],BZ$9)</f>
        <v>0</v>
      </c>
      <c r="CA474" s="693">
        <f>SUMIFS(Imput[[Importe Neto]:[Importe Neto]],Imput[[C. Imp.]:[C. Imp.]],$D474,Imput[[PERIODO Imp.]:[PERIODO Imp.]],CA$9)</f>
        <v>0</v>
      </c>
      <c r="CB474" s="693">
        <f>SUMIFS(Imput[[Importe Neto]:[Importe Neto]],Imput[[C. Imp.]:[C. Imp.]],$D474,Imput[[PERIODO Imp.]:[PERIODO Imp.]],CB$9)</f>
        <v>0</v>
      </c>
      <c r="CC474" s="693">
        <f>SUMIFS(Imput[[Importe Neto]:[Importe Neto]],Imput[[C. Imp.]:[C. Imp.]],$D474,Imput[[PERIODO Imp.]:[PERIODO Imp.]],CC$9)</f>
        <v>0</v>
      </c>
      <c r="CD474" s="693">
        <f>SUMIFS(Imput[[Importe Neto]:[Importe Neto]],Imput[[C. Imp.]:[C. Imp.]],$D474,Imput[[PERIODO Imp.]:[PERIODO Imp.]],CD$9)</f>
        <v>0</v>
      </c>
      <c r="CE474" s="693">
        <f>SUMIFS(Imput[[Importe Neto]:[Importe Neto]],Imput[[C. Imp.]:[C. Imp.]],$D474,Imput[[PERIODO Imp.]:[PERIODO Imp.]],CE$9)</f>
        <v>0</v>
      </c>
      <c r="CF474" s="693">
        <f>SUMIFS(Imput[[Importe Neto]:[Importe Neto]],Imput[[C. Imp.]:[C. Imp.]],$D474,Imput[[PERIODO Imp.]:[PERIODO Imp.]],CF$9)</f>
        <v>0</v>
      </c>
      <c r="CG474" s="693">
        <f>SUMIFS(Imput[[Importe Neto]:[Importe Neto]],Imput[[C. Imp.]:[C. Imp.]],$D474,Imput[[PERIODO Imp.]:[PERIODO Imp.]],CG$9)</f>
        <v>0</v>
      </c>
      <c r="CH474" s="693">
        <f>SUMIFS(Imput[[Importe Neto]:[Importe Neto]],Imput[[C. Imp.]:[C. Imp.]],$D474,Imput[[PERIODO Imp.]:[PERIODO Imp.]],CH$9)</f>
        <v>0</v>
      </c>
      <c r="CI474" s="693">
        <f>SUMIFS(Imput[[Importe Neto]:[Importe Neto]],Imput[[C. Imp.]:[C. Imp.]],$D474,Imput[[PERIODO Imp.]:[PERIODO Imp.]],CI$9)</f>
        <v>0</v>
      </c>
      <c r="CJ474" s="693">
        <f>SUMIFS(Imput[[Importe Neto]:[Importe Neto]],Imput[[C. Imp.]:[C. Imp.]],$D474,Imput[[PERIODO Imp.]:[PERIODO Imp.]],CJ$9)</f>
        <v>0</v>
      </c>
      <c r="CK474" s="693">
        <f>SUMIFS(Imput[[Importe Neto]:[Importe Neto]],Imput[[C. Imp.]:[C. Imp.]],$D474,Imput[[PERIODO Imp.]:[PERIODO Imp.]],CK$9)</f>
        <v>0</v>
      </c>
      <c r="CL474" s="693">
        <f>SUMIFS(Imput[[Importe Neto]:[Importe Neto]],Imput[[C. Imp.]:[C. Imp.]],$D474,Imput[[PERIODO Imp.]:[PERIODO Imp.]],CL$9)</f>
        <v>0</v>
      </c>
      <c r="CM474" s="693">
        <f>SUMIFS(Imput[[Importe Neto]:[Importe Neto]],Imput[[C. Imp.]:[C. Imp.]],$D474,Imput[[PERIODO Imp.]:[PERIODO Imp.]],CM$9)</f>
        <v>0</v>
      </c>
      <c r="CN474" s="693">
        <f>SUMIFS(Imput[[Importe Neto]:[Importe Neto]],Imput[[C. Imp.]:[C. Imp.]],$D474,Imput[[PERIODO Imp.]:[PERIODO Imp.]],CN$9)</f>
        <v>0</v>
      </c>
      <c r="CO474" s="693">
        <f>SUMIFS(Imput[[Importe Neto]:[Importe Neto]],Imput[[C. Imp.]:[C. Imp.]],$D474,Imput[[PERIODO Imp.]:[PERIODO Imp.]],CO$9)</f>
        <v>0</v>
      </c>
      <c r="CP474" s="693">
        <f>SUMIFS(Imput[[Importe Neto]:[Importe Neto]],Imput[[C. Imp.]:[C. Imp.]],$D474,Imput[[PERIODO Imp.]:[PERIODO Imp.]],CP$9)</f>
        <v>0</v>
      </c>
      <c r="CQ474" s="693">
        <f>SUMIFS(Imput[[Importe Neto]:[Importe Neto]],Imput[[C. Imp.]:[C. Imp.]],$D474,Imput[[PERIODO Imp.]:[PERIODO Imp.]],CQ$9)</f>
        <v>0</v>
      </c>
      <c r="CR474" s="693">
        <f>SUMIFS(Imput[[Importe Neto]:[Importe Neto]],Imput[[C. Imp.]:[C. Imp.]],$D474,Imput[[PERIODO Imp.]:[PERIODO Imp.]],CR$9)</f>
        <v>0</v>
      </c>
      <c r="CS474" s="693">
        <f>SUMIFS(Imput[[Importe Neto]:[Importe Neto]],Imput[[C. Imp.]:[C. Imp.]],$D474,Imput[[PERIODO Imp.]:[PERIODO Imp.]],CS$9)</f>
        <v>0</v>
      </c>
      <c r="CT474" s="693">
        <f>SUMIFS(Imput[[Importe Neto]:[Importe Neto]],Imput[[C. Imp.]:[C. Imp.]],$D474,Imput[[PERIODO Imp.]:[PERIODO Imp.]],CT$9)</f>
        <v>0</v>
      </c>
      <c r="CU474" s="693">
        <f>SUMIFS(Imput[[Importe Neto]:[Importe Neto]],Imput[[C. Imp.]:[C. Imp.]],$D474,Imput[[PERIODO Imp.]:[PERIODO Imp.]],CU$9)</f>
        <v>0</v>
      </c>
      <c r="CV474" s="693">
        <f>SUMIFS(Imput[[Importe Neto]:[Importe Neto]],Imput[[C. Imp.]:[C. Imp.]],$D474,Imput[[PERIODO Imp.]:[PERIODO Imp.]],CV$9)</f>
        <v>0</v>
      </c>
      <c r="CW474" s="693">
        <f>SUMIFS(Imput[[Importe Neto]:[Importe Neto]],Imput[[C. Imp.]:[C. Imp.]],$D474,Imput[[PERIODO Imp.]:[PERIODO Imp.]],CW$9)</f>
        <v>0</v>
      </c>
      <c r="CX474" s="693">
        <f>SUMIFS(Imput[[Importe Neto]:[Importe Neto]],Imput[[C. Imp.]:[C. Imp.]],$D474,Imput[[PERIODO Imp.]:[PERIODO Imp.]],CX$9)</f>
        <v>0</v>
      </c>
      <c r="CY474" s="693">
        <f>SUMIFS(Imput[[Importe Neto]:[Importe Neto]],Imput[[C. Imp.]:[C. Imp.]],$D474,Imput[[PERIODO Imp.]:[PERIODO Imp.]],CY$9)</f>
        <v>0</v>
      </c>
      <c r="CZ474" s="693">
        <f>SUMIFS(Imput[[Importe Neto]:[Importe Neto]],Imput[[C. Imp.]:[C. Imp.]],$D474,Imput[[PERIODO Imp.]:[PERIODO Imp.]],CZ$9)</f>
        <v>0</v>
      </c>
      <c r="DA474" s="693">
        <f>SUMIFS(Imput[[Importe Neto]:[Importe Neto]],Imput[[C. Imp.]:[C. Imp.]],$D474,Imput[[PERIODO Imp.]:[PERIODO Imp.]],DA$9)</f>
        <v>0</v>
      </c>
      <c r="DB474" s="693">
        <f>SUMIFS(Imput[[Importe Neto]:[Importe Neto]],Imput[[C. Imp.]:[C. Imp.]],$D474,Imput[[PERIODO Imp.]:[PERIODO Imp.]],DB$9)</f>
        <v>0</v>
      </c>
      <c r="DC474" s="693">
        <f>SUMIFS(Imput[[Importe Neto]:[Importe Neto]],Imput[[C. Imp.]:[C. Imp.]],$D474,Imput[[PERIODO Imp.]:[PERIODO Imp.]],DC$9)</f>
        <v>0</v>
      </c>
      <c r="DD474" s="693">
        <f>SUMIFS(Imput[[Importe Neto]:[Importe Neto]],Imput[[C. Imp.]:[C. Imp.]],$D474,Imput[[PERIODO Imp.]:[PERIODO Imp.]],DD$9)</f>
        <v>0</v>
      </c>
      <c r="DE474" s="693">
        <f>SUMIFS(Imput[[Importe Neto]:[Importe Neto]],Imput[[C. Imp.]:[C. Imp.]],$D474,Imput[[PERIODO Imp.]:[PERIODO Imp.]],DE$9)</f>
        <v>0</v>
      </c>
      <c r="DF474" s="693">
        <f>SUMIFS(Imput[[Importe Neto]:[Importe Neto]],Imput[[C. Imp.]:[C. Imp.]],$D474,Imput[[PERIODO Imp.]:[PERIODO Imp.]],DF$9)</f>
        <v>0</v>
      </c>
      <c r="DG474" s="693">
        <f>SUMIFS(Imput[[Importe Neto]:[Importe Neto]],Imput[[C. Imp.]:[C. Imp.]],$D474,Imput[[PERIODO Imp.]:[PERIODO Imp.]],DG$9)</f>
        <v>0</v>
      </c>
      <c r="DH474" s="694">
        <f>SUMIFS(Imput[[Importe Neto]:[Importe Neto]],Imput[[C. Imp.]:[C. Imp.]],$D474,Imput[[PERIODO Imp.]:[PERIODO Imp.]],DH$9)</f>
        <v>0</v>
      </c>
    </row>
    <row r="475" spans="1:112" s="649" customFormat="1" outlineLevel="1" x14ac:dyDescent="0.3">
      <c r="A475" s="652" t="str">
        <f t="shared" si="189"/>
        <v>Imprimir</v>
      </c>
      <c r="B475" s="652"/>
      <c r="C475" s="685"/>
      <c r="D475" s="686" t="s">
        <v>2515</v>
      </c>
      <c r="E475" s="686" t="s">
        <v>514</v>
      </c>
      <c r="F475" s="720"/>
      <c r="G475" s="529">
        <f>SUM(J250,J262,J304,J357,J410,J423,J446,J463)</f>
        <v>601105.61953473685</v>
      </c>
      <c r="H475" s="846">
        <v>0.03</v>
      </c>
      <c r="I475" s="851">
        <f>IF(E475&gt;0,$J$5,"")</f>
        <v>1</v>
      </c>
      <c r="J475" s="517">
        <f>G475*H475*I475</f>
        <v>18033.168586042106</v>
      </c>
      <c r="K475" s="667"/>
      <c r="L475" s="858">
        <v>0.7</v>
      </c>
      <c r="M475" s="859"/>
      <c r="N475" s="859"/>
      <c r="O475" s="859"/>
      <c r="P475" s="859"/>
      <c r="Q475" s="859"/>
      <c r="R475" s="859"/>
      <c r="S475" s="859"/>
      <c r="T475" s="859"/>
      <c r="U475" s="859"/>
      <c r="V475" s="859"/>
      <c r="W475" s="859"/>
      <c r="X475" s="859"/>
      <c r="Y475" s="859"/>
      <c r="Z475" s="860">
        <v>0.3</v>
      </c>
      <c r="AA475" s="860"/>
      <c r="AB475" s="860"/>
      <c r="AC475" s="860"/>
      <c r="AD475" s="860"/>
      <c r="AE475" s="860"/>
      <c r="AF475" s="860"/>
      <c r="AG475" s="860"/>
      <c r="AH475" s="860"/>
      <c r="AI475" s="860"/>
      <c r="AJ475" s="860"/>
      <c r="AK475" s="860"/>
      <c r="AL475" s="860"/>
      <c r="AM475" s="860"/>
      <c r="AN475" s="860"/>
      <c r="AO475" s="860"/>
      <c r="AP475" s="860"/>
      <c r="AQ475" s="860"/>
      <c r="AR475" s="860"/>
      <c r="AS475" s="860"/>
      <c r="AT475" s="860"/>
      <c r="AU475" s="860"/>
      <c r="AV475" s="860"/>
      <c r="AW475" s="860"/>
      <c r="AX475" s="860"/>
      <c r="AY475" s="860"/>
      <c r="AZ475" s="860"/>
      <c r="BA475" s="860"/>
      <c r="BB475" s="860"/>
      <c r="BC475" s="860"/>
      <c r="BD475" s="860"/>
      <c r="BE475" s="860"/>
      <c r="BF475" s="860"/>
      <c r="BG475" s="860"/>
      <c r="BH475" s="668"/>
      <c r="BI475" s="654"/>
      <c r="BJ475" s="690">
        <f>IFERROR(BK475/J475,0)</f>
        <v>1.3007691137627362</v>
      </c>
      <c r="BK475" s="691">
        <f>SUM(BM475:DH475)</f>
        <v>23456.988720000005</v>
      </c>
      <c r="BL475" s="654"/>
      <c r="BM475" s="692">
        <f>SUMIFS(Imput[[Importe Neto]:[Importe Neto]],Imput[[C. Imp.]:[C. Imp.]],$D475,Imput[[PERIODO Imp.]:[PERIODO Imp.]],BM$9)</f>
        <v>0</v>
      </c>
      <c r="BN475" s="693">
        <f>SUMIFS(Imput[[Importe Neto]:[Importe Neto]],Imput[[C. Imp.]:[C. Imp.]],$D475,Imput[[PERIODO Imp.]:[PERIODO Imp.]],BN$9)</f>
        <v>0</v>
      </c>
      <c r="BO475" s="693">
        <f>SUMIFS(Imput[[Importe Neto]:[Importe Neto]],Imput[[C. Imp.]:[C. Imp.]],$D475,Imput[[PERIODO Imp.]:[PERIODO Imp.]],BO$9)</f>
        <v>17798.265120000004</v>
      </c>
      <c r="BP475" s="693">
        <f>SUMIFS(Imput[[Importe Neto]:[Importe Neto]],Imput[[C. Imp.]:[C. Imp.]],$D475,Imput[[PERIODO Imp.]:[PERIODO Imp.]],BP$9)</f>
        <v>5658.7236000000003</v>
      </c>
      <c r="BQ475" s="693">
        <f>SUMIFS(Imput[[Importe Neto]:[Importe Neto]],Imput[[C. Imp.]:[C. Imp.]],$D475,Imput[[PERIODO Imp.]:[PERIODO Imp.]],BQ$9)</f>
        <v>0</v>
      </c>
      <c r="BR475" s="693">
        <f>SUMIFS(Imput[[Importe Neto]:[Importe Neto]],Imput[[C. Imp.]:[C. Imp.]],$D475,Imput[[PERIODO Imp.]:[PERIODO Imp.]],BR$9)</f>
        <v>0</v>
      </c>
      <c r="BS475" s="693">
        <f>SUMIFS(Imput[[Importe Neto]:[Importe Neto]],Imput[[C. Imp.]:[C. Imp.]],$D475,Imput[[PERIODO Imp.]:[PERIODO Imp.]],BS$9)</f>
        <v>0</v>
      </c>
      <c r="BT475" s="693">
        <f>SUMIFS(Imput[[Importe Neto]:[Importe Neto]],Imput[[C. Imp.]:[C. Imp.]],$D475,Imput[[PERIODO Imp.]:[PERIODO Imp.]],BT$9)</f>
        <v>0</v>
      </c>
      <c r="BU475" s="693">
        <f>SUMIFS(Imput[[Importe Neto]:[Importe Neto]],Imput[[C. Imp.]:[C. Imp.]],$D475,Imput[[PERIODO Imp.]:[PERIODO Imp.]],BU$9)</f>
        <v>0</v>
      </c>
      <c r="BV475" s="693">
        <f>SUMIFS(Imput[[Importe Neto]:[Importe Neto]],Imput[[C. Imp.]:[C. Imp.]],$D475,Imput[[PERIODO Imp.]:[PERIODO Imp.]],BV$9)</f>
        <v>0</v>
      </c>
      <c r="BW475" s="693">
        <f>SUMIFS(Imput[[Importe Neto]:[Importe Neto]],Imput[[C. Imp.]:[C. Imp.]],$D475,Imput[[PERIODO Imp.]:[PERIODO Imp.]],BW$9)</f>
        <v>0</v>
      </c>
      <c r="BX475" s="693">
        <f>SUMIFS(Imput[[Importe Neto]:[Importe Neto]],Imput[[C. Imp.]:[C. Imp.]],$D475,Imput[[PERIODO Imp.]:[PERIODO Imp.]],BX$9)</f>
        <v>0</v>
      </c>
      <c r="BY475" s="693">
        <f>SUMIFS(Imput[[Importe Neto]:[Importe Neto]],Imput[[C. Imp.]:[C. Imp.]],$D475,Imput[[PERIODO Imp.]:[PERIODO Imp.]],BY$9)</f>
        <v>0</v>
      </c>
      <c r="BZ475" s="693">
        <f>SUMIFS(Imput[[Importe Neto]:[Importe Neto]],Imput[[C. Imp.]:[C. Imp.]],$D475,Imput[[PERIODO Imp.]:[PERIODO Imp.]],BZ$9)</f>
        <v>0</v>
      </c>
      <c r="CA475" s="693">
        <f>SUMIFS(Imput[[Importe Neto]:[Importe Neto]],Imput[[C. Imp.]:[C. Imp.]],$D475,Imput[[PERIODO Imp.]:[PERIODO Imp.]],CA$9)</f>
        <v>0</v>
      </c>
      <c r="CB475" s="693">
        <f>SUMIFS(Imput[[Importe Neto]:[Importe Neto]],Imput[[C. Imp.]:[C. Imp.]],$D475,Imput[[PERIODO Imp.]:[PERIODO Imp.]],CB$9)</f>
        <v>0</v>
      </c>
      <c r="CC475" s="693">
        <f>SUMIFS(Imput[[Importe Neto]:[Importe Neto]],Imput[[C. Imp.]:[C. Imp.]],$D475,Imput[[PERIODO Imp.]:[PERIODO Imp.]],CC$9)</f>
        <v>0</v>
      </c>
      <c r="CD475" s="693">
        <f>SUMIFS(Imput[[Importe Neto]:[Importe Neto]],Imput[[C. Imp.]:[C. Imp.]],$D475,Imput[[PERIODO Imp.]:[PERIODO Imp.]],CD$9)</f>
        <v>0</v>
      </c>
      <c r="CE475" s="693">
        <f>SUMIFS(Imput[[Importe Neto]:[Importe Neto]],Imput[[C. Imp.]:[C. Imp.]],$D475,Imput[[PERIODO Imp.]:[PERIODO Imp.]],CE$9)</f>
        <v>0</v>
      </c>
      <c r="CF475" s="693">
        <f>SUMIFS(Imput[[Importe Neto]:[Importe Neto]],Imput[[C. Imp.]:[C. Imp.]],$D475,Imput[[PERIODO Imp.]:[PERIODO Imp.]],CF$9)</f>
        <v>0</v>
      </c>
      <c r="CG475" s="693">
        <f>SUMIFS(Imput[[Importe Neto]:[Importe Neto]],Imput[[C. Imp.]:[C. Imp.]],$D475,Imput[[PERIODO Imp.]:[PERIODO Imp.]],CG$9)</f>
        <v>0</v>
      </c>
      <c r="CH475" s="693">
        <f>SUMIFS(Imput[[Importe Neto]:[Importe Neto]],Imput[[C. Imp.]:[C. Imp.]],$D475,Imput[[PERIODO Imp.]:[PERIODO Imp.]],CH$9)</f>
        <v>0</v>
      </c>
      <c r="CI475" s="693">
        <f>SUMIFS(Imput[[Importe Neto]:[Importe Neto]],Imput[[C. Imp.]:[C. Imp.]],$D475,Imput[[PERIODO Imp.]:[PERIODO Imp.]],CI$9)</f>
        <v>0</v>
      </c>
      <c r="CJ475" s="693">
        <f>SUMIFS(Imput[[Importe Neto]:[Importe Neto]],Imput[[C. Imp.]:[C. Imp.]],$D475,Imput[[PERIODO Imp.]:[PERIODO Imp.]],CJ$9)</f>
        <v>0</v>
      </c>
      <c r="CK475" s="693">
        <f>SUMIFS(Imput[[Importe Neto]:[Importe Neto]],Imput[[C. Imp.]:[C. Imp.]],$D475,Imput[[PERIODO Imp.]:[PERIODO Imp.]],CK$9)</f>
        <v>0</v>
      </c>
      <c r="CL475" s="693">
        <f>SUMIFS(Imput[[Importe Neto]:[Importe Neto]],Imput[[C. Imp.]:[C. Imp.]],$D475,Imput[[PERIODO Imp.]:[PERIODO Imp.]],CL$9)</f>
        <v>0</v>
      </c>
      <c r="CM475" s="693">
        <f>SUMIFS(Imput[[Importe Neto]:[Importe Neto]],Imput[[C. Imp.]:[C. Imp.]],$D475,Imput[[PERIODO Imp.]:[PERIODO Imp.]],CM$9)</f>
        <v>0</v>
      </c>
      <c r="CN475" s="693">
        <f>SUMIFS(Imput[[Importe Neto]:[Importe Neto]],Imput[[C. Imp.]:[C. Imp.]],$D475,Imput[[PERIODO Imp.]:[PERIODO Imp.]],CN$9)</f>
        <v>0</v>
      </c>
      <c r="CO475" s="693">
        <f>SUMIFS(Imput[[Importe Neto]:[Importe Neto]],Imput[[C. Imp.]:[C. Imp.]],$D475,Imput[[PERIODO Imp.]:[PERIODO Imp.]],CO$9)</f>
        <v>0</v>
      </c>
      <c r="CP475" s="693">
        <f>SUMIFS(Imput[[Importe Neto]:[Importe Neto]],Imput[[C. Imp.]:[C. Imp.]],$D475,Imput[[PERIODO Imp.]:[PERIODO Imp.]],CP$9)</f>
        <v>0</v>
      </c>
      <c r="CQ475" s="693">
        <f>SUMIFS(Imput[[Importe Neto]:[Importe Neto]],Imput[[C. Imp.]:[C. Imp.]],$D475,Imput[[PERIODO Imp.]:[PERIODO Imp.]],CQ$9)</f>
        <v>0</v>
      </c>
      <c r="CR475" s="693">
        <f>SUMIFS(Imput[[Importe Neto]:[Importe Neto]],Imput[[C. Imp.]:[C. Imp.]],$D475,Imput[[PERIODO Imp.]:[PERIODO Imp.]],CR$9)</f>
        <v>0</v>
      </c>
      <c r="CS475" s="693">
        <f>SUMIFS(Imput[[Importe Neto]:[Importe Neto]],Imput[[C. Imp.]:[C. Imp.]],$D475,Imput[[PERIODO Imp.]:[PERIODO Imp.]],CS$9)</f>
        <v>0</v>
      </c>
      <c r="CT475" s="693">
        <f>SUMIFS(Imput[[Importe Neto]:[Importe Neto]],Imput[[C. Imp.]:[C. Imp.]],$D475,Imput[[PERIODO Imp.]:[PERIODO Imp.]],CT$9)</f>
        <v>0</v>
      </c>
      <c r="CU475" s="693">
        <f>SUMIFS(Imput[[Importe Neto]:[Importe Neto]],Imput[[C. Imp.]:[C. Imp.]],$D475,Imput[[PERIODO Imp.]:[PERIODO Imp.]],CU$9)</f>
        <v>0</v>
      </c>
      <c r="CV475" s="693">
        <f>SUMIFS(Imput[[Importe Neto]:[Importe Neto]],Imput[[C. Imp.]:[C. Imp.]],$D475,Imput[[PERIODO Imp.]:[PERIODO Imp.]],CV$9)</f>
        <v>0</v>
      </c>
      <c r="CW475" s="693">
        <f>SUMIFS(Imput[[Importe Neto]:[Importe Neto]],Imput[[C. Imp.]:[C. Imp.]],$D475,Imput[[PERIODO Imp.]:[PERIODO Imp.]],CW$9)</f>
        <v>0</v>
      </c>
      <c r="CX475" s="693">
        <f>SUMIFS(Imput[[Importe Neto]:[Importe Neto]],Imput[[C. Imp.]:[C. Imp.]],$D475,Imput[[PERIODO Imp.]:[PERIODO Imp.]],CX$9)</f>
        <v>0</v>
      </c>
      <c r="CY475" s="693">
        <f>SUMIFS(Imput[[Importe Neto]:[Importe Neto]],Imput[[C. Imp.]:[C. Imp.]],$D475,Imput[[PERIODO Imp.]:[PERIODO Imp.]],CY$9)</f>
        <v>0</v>
      </c>
      <c r="CZ475" s="693">
        <f>SUMIFS(Imput[[Importe Neto]:[Importe Neto]],Imput[[C. Imp.]:[C. Imp.]],$D475,Imput[[PERIODO Imp.]:[PERIODO Imp.]],CZ$9)</f>
        <v>0</v>
      </c>
      <c r="DA475" s="693">
        <f>SUMIFS(Imput[[Importe Neto]:[Importe Neto]],Imput[[C. Imp.]:[C. Imp.]],$D475,Imput[[PERIODO Imp.]:[PERIODO Imp.]],DA$9)</f>
        <v>0</v>
      </c>
      <c r="DB475" s="693">
        <f>SUMIFS(Imput[[Importe Neto]:[Importe Neto]],Imput[[C. Imp.]:[C. Imp.]],$D475,Imput[[PERIODO Imp.]:[PERIODO Imp.]],DB$9)</f>
        <v>0</v>
      </c>
      <c r="DC475" s="693">
        <f>SUMIFS(Imput[[Importe Neto]:[Importe Neto]],Imput[[C. Imp.]:[C. Imp.]],$D475,Imput[[PERIODO Imp.]:[PERIODO Imp.]],DC$9)</f>
        <v>0</v>
      </c>
      <c r="DD475" s="693">
        <f>SUMIFS(Imput[[Importe Neto]:[Importe Neto]],Imput[[C. Imp.]:[C. Imp.]],$D475,Imput[[PERIODO Imp.]:[PERIODO Imp.]],DD$9)</f>
        <v>0</v>
      </c>
      <c r="DE475" s="693">
        <f>SUMIFS(Imput[[Importe Neto]:[Importe Neto]],Imput[[C. Imp.]:[C. Imp.]],$D475,Imput[[PERIODO Imp.]:[PERIODO Imp.]],DE$9)</f>
        <v>0</v>
      </c>
      <c r="DF475" s="693">
        <f>SUMIFS(Imput[[Importe Neto]:[Importe Neto]],Imput[[C. Imp.]:[C. Imp.]],$D475,Imput[[PERIODO Imp.]:[PERIODO Imp.]],DF$9)</f>
        <v>0</v>
      </c>
      <c r="DG475" s="693">
        <f>SUMIFS(Imput[[Importe Neto]:[Importe Neto]],Imput[[C. Imp.]:[C. Imp.]],$D475,Imput[[PERIODO Imp.]:[PERIODO Imp.]],DG$9)</f>
        <v>0</v>
      </c>
      <c r="DH475" s="694">
        <f>SUMIFS(Imput[[Importe Neto]:[Importe Neto]],Imput[[C. Imp.]:[C. Imp.]],$D475,Imput[[PERIODO Imp.]:[PERIODO Imp.]],DH$9)</f>
        <v>0</v>
      </c>
    </row>
    <row r="476" spans="1:112" s="649" customFormat="1" ht="14.4" outlineLevel="1" thickBot="1" x14ac:dyDescent="0.35">
      <c r="A476" s="652" t="str">
        <f>IF(J471&gt;0,"Imprimir","")</f>
        <v>Imprimir</v>
      </c>
      <c r="B476" s="652"/>
      <c r="C476" s="699"/>
      <c r="D476" s="700"/>
      <c r="E476" s="700"/>
      <c r="F476" s="701"/>
      <c r="G476" s="702"/>
      <c r="H476" s="703"/>
      <c r="I476" s="704"/>
      <c r="J476" s="120"/>
      <c r="K476" s="667"/>
      <c r="L476" s="706"/>
      <c r="M476" s="707"/>
      <c r="N476" s="777"/>
      <c r="O476" s="777"/>
      <c r="P476" s="778"/>
      <c r="Q476" s="778"/>
      <c r="R476" s="708"/>
      <c r="S476" s="708"/>
      <c r="T476" s="779"/>
      <c r="U476" s="779"/>
      <c r="V476" s="778"/>
      <c r="W476" s="778"/>
      <c r="X476" s="708"/>
      <c r="Y476" s="708"/>
      <c r="Z476" s="708"/>
      <c r="AA476" s="708"/>
      <c r="AB476" s="708"/>
      <c r="AC476" s="708"/>
      <c r="AD476" s="708"/>
      <c r="AE476" s="708"/>
      <c r="AF476" s="708"/>
      <c r="AG476" s="708"/>
      <c r="AH476" s="708"/>
      <c r="AI476" s="708"/>
      <c r="AJ476" s="708"/>
      <c r="AK476" s="708"/>
      <c r="AL476" s="708"/>
      <c r="AM476" s="708"/>
      <c r="AN476" s="708"/>
      <c r="AO476" s="708"/>
      <c r="AP476" s="708"/>
      <c r="AQ476" s="708"/>
      <c r="AR476" s="708"/>
      <c r="AS476" s="708"/>
      <c r="AT476" s="708"/>
      <c r="AU476" s="708"/>
      <c r="AV476" s="708"/>
      <c r="AW476" s="708"/>
      <c r="AX476" s="708"/>
      <c r="AY476" s="708"/>
      <c r="AZ476" s="708"/>
      <c r="BA476" s="708"/>
      <c r="BB476" s="708"/>
      <c r="BC476" s="708"/>
      <c r="BD476" s="708"/>
      <c r="BE476" s="708"/>
      <c r="BF476" s="708"/>
      <c r="BG476" s="708"/>
      <c r="BH476" s="780"/>
      <c r="BI476" s="654"/>
      <c r="BJ476" s="709"/>
      <c r="BK476" s="710"/>
      <c r="BL476" s="654"/>
      <c r="BM476" s="731"/>
      <c r="BN476" s="701"/>
      <c r="BO476" s="701"/>
      <c r="BP476" s="701"/>
      <c r="BQ476" s="701"/>
      <c r="BR476" s="701"/>
      <c r="BS476" s="701"/>
      <c r="BT476" s="701"/>
      <c r="BU476" s="701"/>
      <c r="BV476" s="701"/>
      <c r="BW476" s="701"/>
      <c r="BX476" s="701"/>
      <c r="BY476" s="701"/>
      <c r="BZ476" s="701"/>
      <c r="CA476" s="701"/>
      <c r="CB476" s="701"/>
      <c r="CC476" s="701"/>
      <c r="CD476" s="701"/>
      <c r="CE476" s="701"/>
      <c r="CF476" s="701"/>
      <c r="CG476" s="701"/>
      <c r="CH476" s="701"/>
      <c r="CI476" s="701"/>
      <c r="CJ476" s="701"/>
      <c r="CK476" s="701"/>
      <c r="CL476" s="701"/>
      <c r="CM476" s="701"/>
      <c r="CN476" s="701"/>
      <c r="CO476" s="701"/>
      <c r="CP476" s="701"/>
      <c r="CQ476" s="701"/>
      <c r="CR476" s="701"/>
      <c r="CS476" s="701"/>
      <c r="CT476" s="701"/>
      <c r="CU476" s="701"/>
      <c r="CV476" s="701"/>
      <c r="CW476" s="701"/>
      <c r="CX476" s="701"/>
      <c r="CY476" s="701"/>
      <c r="CZ476" s="701"/>
      <c r="DA476" s="701"/>
      <c r="DB476" s="701"/>
      <c r="DC476" s="701"/>
      <c r="DD476" s="701"/>
      <c r="DE476" s="701"/>
      <c r="DF476" s="701"/>
      <c r="DG476" s="701"/>
      <c r="DH476" s="710"/>
    </row>
    <row r="477" spans="1:112" s="649" customFormat="1" hidden="1" x14ac:dyDescent="0.3">
      <c r="A477" s="652" t="str">
        <f>IF(J477&gt;0,"Imprimir","")</f>
        <v/>
      </c>
      <c r="B477" s="652"/>
      <c r="C477" s="711"/>
      <c r="D477" s="712" t="s">
        <v>457</v>
      </c>
      <c r="E477" s="712" t="s">
        <v>515</v>
      </c>
      <c r="F477" s="712"/>
      <c r="G477" s="713"/>
      <c r="H477" s="712"/>
      <c r="I477" s="714">
        <v>480000</v>
      </c>
      <c r="J477" s="715">
        <f>SUBTOTAL(9,J480:J483)</f>
        <v>0</v>
      </c>
      <c r="K477" s="658"/>
      <c r="L477" s="770">
        <f t="shared" ref="L477:BG477" si="190">SUMPRODUCT($J480:$J483,L480:L483)</f>
        <v>0</v>
      </c>
      <c r="M477" s="771">
        <f t="shared" si="190"/>
        <v>0</v>
      </c>
      <c r="N477" s="771">
        <f t="shared" si="190"/>
        <v>0</v>
      </c>
      <c r="O477" s="771">
        <f t="shared" si="190"/>
        <v>0</v>
      </c>
      <c r="P477" s="771">
        <f t="shared" si="190"/>
        <v>0</v>
      </c>
      <c r="Q477" s="771">
        <f t="shared" si="190"/>
        <v>0</v>
      </c>
      <c r="R477" s="771">
        <f t="shared" si="190"/>
        <v>0</v>
      </c>
      <c r="S477" s="771">
        <f t="shared" si="190"/>
        <v>0</v>
      </c>
      <c r="T477" s="771">
        <f t="shared" si="190"/>
        <v>0</v>
      </c>
      <c r="U477" s="771">
        <f t="shared" si="190"/>
        <v>0</v>
      </c>
      <c r="V477" s="771">
        <f t="shared" si="190"/>
        <v>0</v>
      </c>
      <c r="W477" s="771">
        <f t="shared" si="190"/>
        <v>0</v>
      </c>
      <c r="X477" s="771">
        <f t="shared" si="190"/>
        <v>0</v>
      </c>
      <c r="Y477" s="771">
        <f t="shared" si="190"/>
        <v>0</v>
      </c>
      <c r="Z477" s="771">
        <f t="shared" si="190"/>
        <v>0</v>
      </c>
      <c r="AA477" s="771">
        <f t="shared" si="190"/>
        <v>0</v>
      </c>
      <c r="AB477" s="771">
        <f t="shared" si="190"/>
        <v>0</v>
      </c>
      <c r="AC477" s="771">
        <f t="shared" si="190"/>
        <v>0</v>
      </c>
      <c r="AD477" s="771">
        <f t="shared" si="190"/>
        <v>0</v>
      </c>
      <c r="AE477" s="771">
        <f t="shared" si="190"/>
        <v>0</v>
      </c>
      <c r="AF477" s="771">
        <f t="shared" si="190"/>
        <v>0</v>
      </c>
      <c r="AG477" s="771">
        <f t="shared" si="190"/>
        <v>0</v>
      </c>
      <c r="AH477" s="771">
        <f t="shared" si="190"/>
        <v>0</v>
      </c>
      <c r="AI477" s="771">
        <f t="shared" si="190"/>
        <v>0</v>
      </c>
      <c r="AJ477" s="771">
        <f t="shared" si="190"/>
        <v>0</v>
      </c>
      <c r="AK477" s="771">
        <f t="shared" si="190"/>
        <v>0</v>
      </c>
      <c r="AL477" s="771">
        <f t="shared" si="190"/>
        <v>0</v>
      </c>
      <c r="AM477" s="771">
        <f t="shared" si="190"/>
        <v>0</v>
      </c>
      <c r="AN477" s="771">
        <f t="shared" si="190"/>
        <v>0</v>
      </c>
      <c r="AO477" s="771">
        <f t="shared" si="190"/>
        <v>0</v>
      </c>
      <c r="AP477" s="771">
        <f t="shared" si="190"/>
        <v>0</v>
      </c>
      <c r="AQ477" s="771">
        <f t="shared" si="190"/>
        <v>0</v>
      </c>
      <c r="AR477" s="771">
        <f t="shared" si="190"/>
        <v>0</v>
      </c>
      <c r="AS477" s="771">
        <f t="shared" si="190"/>
        <v>0</v>
      </c>
      <c r="AT477" s="771">
        <f t="shared" si="190"/>
        <v>0</v>
      </c>
      <c r="AU477" s="771">
        <f t="shared" si="190"/>
        <v>0</v>
      </c>
      <c r="AV477" s="771">
        <f t="shared" si="190"/>
        <v>0</v>
      </c>
      <c r="AW477" s="771">
        <f t="shared" si="190"/>
        <v>0</v>
      </c>
      <c r="AX477" s="771">
        <f t="shared" si="190"/>
        <v>0</v>
      </c>
      <c r="AY477" s="771">
        <f t="shared" si="190"/>
        <v>0</v>
      </c>
      <c r="AZ477" s="771">
        <f t="shared" si="190"/>
        <v>0</v>
      </c>
      <c r="BA477" s="771">
        <f t="shared" si="190"/>
        <v>0</v>
      </c>
      <c r="BB477" s="771">
        <f t="shared" si="190"/>
        <v>0</v>
      </c>
      <c r="BC477" s="771">
        <f t="shared" si="190"/>
        <v>0</v>
      </c>
      <c r="BD477" s="771">
        <f t="shared" si="190"/>
        <v>0</v>
      </c>
      <c r="BE477" s="771">
        <f t="shared" si="190"/>
        <v>0</v>
      </c>
      <c r="BF477" s="771">
        <f t="shared" si="190"/>
        <v>0</v>
      </c>
      <c r="BG477" s="764">
        <f t="shared" si="190"/>
        <v>0</v>
      </c>
      <c r="BH477" s="776"/>
      <c r="BI477" s="654"/>
      <c r="BJ477" s="659">
        <f>IFERROR(13/J477,0)</f>
        <v>0</v>
      </c>
      <c r="BK477" s="660">
        <f>SUBTOTAL(9,BK478:BK483)</f>
        <v>0</v>
      </c>
      <c r="BL477" s="654"/>
      <c r="BM477" s="661">
        <f t="shared" ref="BM477:DH477" si="191">SUBTOTAL(9,BM478:BM483)</f>
        <v>0</v>
      </c>
      <c r="BN477" s="662">
        <f t="shared" si="191"/>
        <v>0</v>
      </c>
      <c r="BO477" s="662">
        <f t="shared" si="191"/>
        <v>0</v>
      </c>
      <c r="BP477" s="662">
        <f t="shared" si="191"/>
        <v>0</v>
      </c>
      <c r="BQ477" s="662">
        <f t="shared" si="191"/>
        <v>0</v>
      </c>
      <c r="BR477" s="662">
        <f t="shared" si="191"/>
        <v>0</v>
      </c>
      <c r="BS477" s="662">
        <f t="shared" si="191"/>
        <v>0</v>
      </c>
      <c r="BT477" s="662">
        <f t="shared" si="191"/>
        <v>0</v>
      </c>
      <c r="BU477" s="662">
        <f t="shared" si="191"/>
        <v>0</v>
      </c>
      <c r="BV477" s="662">
        <f t="shared" si="191"/>
        <v>0</v>
      </c>
      <c r="BW477" s="662">
        <f t="shared" si="191"/>
        <v>0</v>
      </c>
      <c r="BX477" s="662">
        <f t="shared" si="191"/>
        <v>0</v>
      </c>
      <c r="BY477" s="662">
        <f t="shared" si="191"/>
        <v>0</v>
      </c>
      <c r="BZ477" s="662">
        <f t="shared" si="191"/>
        <v>0</v>
      </c>
      <c r="CA477" s="662">
        <f t="shared" si="191"/>
        <v>0</v>
      </c>
      <c r="CB477" s="662">
        <f t="shared" si="191"/>
        <v>0</v>
      </c>
      <c r="CC477" s="662">
        <f t="shared" si="191"/>
        <v>0</v>
      </c>
      <c r="CD477" s="662">
        <f t="shared" si="191"/>
        <v>0</v>
      </c>
      <c r="CE477" s="662">
        <f t="shared" si="191"/>
        <v>0</v>
      </c>
      <c r="CF477" s="662">
        <f t="shared" si="191"/>
        <v>0</v>
      </c>
      <c r="CG477" s="662">
        <f t="shared" si="191"/>
        <v>0</v>
      </c>
      <c r="CH477" s="662">
        <f t="shared" si="191"/>
        <v>0</v>
      </c>
      <c r="CI477" s="662">
        <f t="shared" si="191"/>
        <v>0</v>
      </c>
      <c r="CJ477" s="662">
        <f t="shared" si="191"/>
        <v>0</v>
      </c>
      <c r="CK477" s="662">
        <f t="shared" si="191"/>
        <v>0</v>
      </c>
      <c r="CL477" s="662">
        <f t="shared" si="191"/>
        <v>0</v>
      </c>
      <c r="CM477" s="662">
        <f t="shared" si="191"/>
        <v>0</v>
      </c>
      <c r="CN477" s="662">
        <f t="shared" si="191"/>
        <v>0</v>
      </c>
      <c r="CO477" s="662">
        <f t="shared" si="191"/>
        <v>0</v>
      </c>
      <c r="CP477" s="662">
        <f t="shared" si="191"/>
        <v>0</v>
      </c>
      <c r="CQ477" s="662">
        <f t="shared" si="191"/>
        <v>0</v>
      </c>
      <c r="CR477" s="662">
        <f t="shared" si="191"/>
        <v>0</v>
      </c>
      <c r="CS477" s="662">
        <f t="shared" si="191"/>
        <v>0</v>
      </c>
      <c r="CT477" s="662">
        <f t="shared" si="191"/>
        <v>0</v>
      </c>
      <c r="CU477" s="662">
        <f t="shared" si="191"/>
        <v>0</v>
      </c>
      <c r="CV477" s="662">
        <f t="shared" si="191"/>
        <v>0</v>
      </c>
      <c r="CW477" s="662">
        <f t="shared" si="191"/>
        <v>0</v>
      </c>
      <c r="CX477" s="662">
        <f t="shared" si="191"/>
        <v>0</v>
      </c>
      <c r="CY477" s="662">
        <f t="shared" si="191"/>
        <v>0</v>
      </c>
      <c r="CZ477" s="662">
        <f t="shared" si="191"/>
        <v>0</v>
      </c>
      <c r="DA477" s="662">
        <f t="shared" si="191"/>
        <v>0</v>
      </c>
      <c r="DB477" s="662">
        <f t="shared" si="191"/>
        <v>0</v>
      </c>
      <c r="DC477" s="662">
        <f t="shared" si="191"/>
        <v>0</v>
      </c>
      <c r="DD477" s="662">
        <f t="shared" si="191"/>
        <v>0</v>
      </c>
      <c r="DE477" s="662">
        <f t="shared" si="191"/>
        <v>0</v>
      </c>
      <c r="DF477" s="662">
        <f t="shared" si="191"/>
        <v>0</v>
      </c>
      <c r="DG477" s="662">
        <f t="shared" si="191"/>
        <v>0</v>
      </c>
      <c r="DH477" s="663">
        <f t="shared" si="191"/>
        <v>0</v>
      </c>
    </row>
    <row r="478" spans="1:112" s="649" customFormat="1" hidden="1" outlineLevel="1" x14ac:dyDescent="0.3">
      <c r="A478" s="652" t="str">
        <f>IF(J477&gt;0,"Imprimir","")</f>
        <v/>
      </c>
      <c r="B478" s="652"/>
      <c r="C478" s="664"/>
      <c r="D478" s="665"/>
      <c r="E478" s="665"/>
      <c r="F478" s="665" t="s">
        <v>472</v>
      </c>
      <c r="G478" s="716" t="s">
        <v>2128</v>
      </c>
      <c r="H478" s="665" t="str">
        <f>H251</f>
        <v>Cantidad</v>
      </c>
      <c r="I478" s="665" t="s">
        <v>474</v>
      </c>
      <c r="J478" s="104" t="s">
        <v>29</v>
      </c>
      <c r="K478" s="667"/>
      <c r="L478" s="745"/>
      <c r="M478" s="741"/>
      <c r="N478" s="741"/>
      <c r="O478" s="741"/>
      <c r="P478" s="741"/>
      <c r="Q478" s="741"/>
      <c r="R478" s="741"/>
      <c r="S478" s="741"/>
      <c r="T478" s="741"/>
      <c r="U478" s="741"/>
      <c r="V478" s="741"/>
      <c r="W478" s="741"/>
      <c r="X478" s="741"/>
      <c r="Y478" s="741"/>
      <c r="Z478" s="741"/>
      <c r="AA478" s="741"/>
      <c r="AB478" s="741"/>
      <c r="AC478" s="741"/>
      <c r="AD478" s="741"/>
      <c r="AE478" s="741"/>
      <c r="AF478" s="741"/>
      <c r="AG478" s="741"/>
      <c r="AH478" s="741"/>
      <c r="AI478" s="741"/>
      <c r="AJ478" s="741"/>
      <c r="AK478" s="741"/>
      <c r="AL478" s="741"/>
      <c r="AM478" s="741"/>
      <c r="AN478" s="741"/>
      <c r="AO478" s="741"/>
      <c r="AP478" s="741"/>
      <c r="AQ478" s="741"/>
      <c r="AR478" s="741"/>
      <c r="AS478" s="741"/>
      <c r="AT478" s="741"/>
      <c r="AU478" s="741"/>
      <c r="AV478" s="741"/>
      <c r="AW478" s="741"/>
      <c r="AX478" s="741"/>
      <c r="AY478" s="741"/>
      <c r="AZ478" s="741"/>
      <c r="BA478" s="741"/>
      <c r="BB478" s="741"/>
      <c r="BC478" s="741"/>
      <c r="BD478" s="741"/>
      <c r="BE478" s="741"/>
      <c r="BF478" s="741"/>
      <c r="BG478" s="741"/>
      <c r="BH478" s="668"/>
      <c r="BI478" s="654"/>
      <c r="BJ478" s="669"/>
      <c r="BK478" s="670"/>
      <c r="BL478" s="654"/>
      <c r="BM478" s="671"/>
      <c r="BN478" s="665"/>
      <c r="BO478" s="665"/>
      <c r="BP478" s="665"/>
      <c r="BQ478" s="665"/>
      <c r="BR478" s="665"/>
      <c r="BS478" s="665"/>
      <c r="BT478" s="665"/>
      <c r="BU478" s="665"/>
      <c r="BV478" s="665"/>
      <c r="BW478" s="665"/>
      <c r="BX478" s="665"/>
      <c r="BY478" s="665"/>
      <c r="BZ478" s="665"/>
      <c r="CA478" s="665"/>
      <c r="CB478" s="665"/>
      <c r="CC478" s="665"/>
      <c r="CD478" s="665"/>
      <c r="CE478" s="665"/>
      <c r="CF478" s="665"/>
      <c r="CG478" s="665"/>
      <c r="CH478" s="665"/>
      <c r="CI478" s="665"/>
      <c r="CJ478" s="665"/>
      <c r="CK478" s="665"/>
      <c r="CL478" s="665"/>
      <c r="CM478" s="665"/>
      <c r="CN478" s="665"/>
      <c r="CO478" s="665"/>
      <c r="CP478" s="665"/>
      <c r="CQ478" s="665"/>
      <c r="CR478" s="665"/>
      <c r="CS478" s="665"/>
      <c r="CT478" s="665"/>
      <c r="CU478" s="665"/>
      <c r="CV478" s="665"/>
      <c r="CW478" s="665"/>
      <c r="CX478" s="665"/>
      <c r="CY478" s="665"/>
      <c r="CZ478" s="665"/>
      <c r="DA478" s="665"/>
      <c r="DB478" s="665"/>
      <c r="DC478" s="665"/>
      <c r="DD478" s="665"/>
      <c r="DE478" s="665"/>
      <c r="DF478" s="665"/>
      <c r="DG478" s="665"/>
      <c r="DH478" s="666"/>
    </row>
    <row r="479" spans="1:112" s="649" customFormat="1" ht="15.6" hidden="1" outlineLevel="1" x14ac:dyDescent="0.3">
      <c r="A479" s="652" t="str">
        <f>IF(J479&gt;0,"Imprimir","")</f>
        <v/>
      </c>
      <c r="B479" s="652"/>
      <c r="C479" s="672"/>
      <c r="D479" s="673"/>
      <c r="E479" s="674"/>
      <c r="F479" s="675"/>
      <c r="G479" s="726"/>
      <c r="H479" s="676"/>
      <c r="I479" s="677"/>
      <c r="J479" s="219">
        <f>SUBTOTAL(9,J480:J483)</f>
        <v>0</v>
      </c>
      <c r="K479" s="678"/>
      <c r="L479" s="747"/>
      <c r="M479" s="742"/>
      <c r="N479" s="742"/>
      <c r="O479" s="742"/>
      <c r="P479" s="742"/>
      <c r="Q479" s="742"/>
      <c r="R479" s="742"/>
      <c r="S479" s="742"/>
      <c r="T479" s="742"/>
      <c r="U479" s="742"/>
      <c r="V479" s="742"/>
      <c r="W479" s="742"/>
      <c r="X479" s="742"/>
      <c r="Y479" s="742"/>
      <c r="Z479" s="742"/>
      <c r="AA479" s="742"/>
      <c r="AB479" s="742"/>
      <c r="AC479" s="742"/>
      <c r="AD479" s="742"/>
      <c r="AE479" s="742"/>
      <c r="AF479" s="742"/>
      <c r="AG479" s="742"/>
      <c r="AH479" s="742"/>
      <c r="AI479" s="742"/>
      <c r="AJ479" s="742"/>
      <c r="AK479" s="742"/>
      <c r="AL479" s="742"/>
      <c r="AM479" s="742"/>
      <c r="AN479" s="742"/>
      <c r="AO479" s="742"/>
      <c r="AP479" s="742"/>
      <c r="AQ479" s="742"/>
      <c r="AR479" s="742"/>
      <c r="AS479" s="742"/>
      <c r="AT479" s="742"/>
      <c r="AU479" s="742"/>
      <c r="AV479" s="742"/>
      <c r="AW479" s="742"/>
      <c r="AX479" s="742"/>
      <c r="AY479" s="742"/>
      <c r="AZ479" s="742"/>
      <c r="BA479" s="742"/>
      <c r="BB479" s="742"/>
      <c r="BC479" s="742"/>
      <c r="BD479" s="742"/>
      <c r="BE479" s="742"/>
      <c r="BF479" s="742"/>
      <c r="BG479" s="742"/>
      <c r="BH479" s="668"/>
      <c r="BI479" s="654"/>
      <c r="BJ479" s="729"/>
      <c r="BK479" s="681"/>
      <c r="BL479" s="654"/>
      <c r="BM479" s="682"/>
      <c r="BN479" s="683"/>
      <c r="BO479" s="683"/>
      <c r="BP479" s="683"/>
      <c r="BQ479" s="683"/>
      <c r="BR479" s="683"/>
      <c r="BS479" s="683"/>
      <c r="BT479" s="683"/>
      <c r="BU479" s="683"/>
      <c r="BV479" s="683"/>
      <c r="BW479" s="683"/>
      <c r="BX479" s="683"/>
      <c r="BY479" s="683"/>
      <c r="BZ479" s="683"/>
      <c r="CA479" s="683"/>
      <c r="CB479" s="683"/>
      <c r="CC479" s="683"/>
      <c r="CD479" s="683"/>
      <c r="CE479" s="683"/>
      <c r="CF479" s="683"/>
      <c r="CG479" s="683"/>
      <c r="CH479" s="683"/>
      <c r="CI479" s="683"/>
      <c r="CJ479" s="683"/>
      <c r="CK479" s="683"/>
      <c r="CL479" s="683"/>
      <c r="CM479" s="683"/>
      <c r="CN479" s="683"/>
      <c r="CO479" s="683"/>
      <c r="CP479" s="683"/>
      <c r="CQ479" s="683"/>
      <c r="CR479" s="683"/>
      <c r="CS479" s="683"/>
      <c r="CT479" s="683"/>
      <c r="CU479" s="683"/>
      <c r="CV479" s="683"/>
      <c r="CW479" s="683"/>
      <c r="CX479" s="683"/>
      <c r="CY479" s="683"/>
      <c r="CZ479" s="683"/>
      <c r="DA479" s="683"/>
      <c r="DB479" s="683"/>
      <c r="DC479" s="683"/>
      <c r="DD479" s="683"/>
      <c r="DE479" s="683"/>
      <c r="DF479" s="683"/>
      <c r="DG479" s="683"/>
      <c r="DH479" s="684"/>
    </row>
    <row r="480" spans="1:112" s="649" customFormat="1" hidden="1" outlineLevel="1" x14ac:dyDescent="0.3">
      <c r="A480" s="652" t="str">
        <f t="shared" ref="A480:A482" si="192">IF(J480="","",IF(J480=0,"","Imprimir"))</f>
        <v/>
      </c>
      <c r="B480" s="652"/>
      <c r="C480" s="685"/>
      <c r="D480" s="686" t="s">
        <v>2516</v>
      </c>
      <c r="E480" s="686"/>
      <c r="F480" s="720"/>
      <c r="G480" s="688"/>
      <c r="H480" s="689"/>
      <c r="I480" s="851" t="str">
        <f>IF(E480&gt;0,$J$5,"")</f>
        <v/>
      </c>
      <c r="J480" s="517" t="str">
        <f t="shared" ref="J480:J482" si="193">IFERROR(G480*H480*I480,"")</f>
        <v/>
      </c>
      <c r="K480" s="667"/>
      <c r="L480" s="858"/>
      <c r="M480" s="859"/>
      <c r="N480" s="859"/>
      <c r="O480" s="859"/>
      <c r="P480" s="859"/>
      <c r="Q480" s="859"/>
      <c r="R480" s="859"/>
      <c r="S480" s="859"/>
      <c r="T480" s="859"/>
      <c r="U480" s="859"/>
      <c r="V480" s="859"/>
      <c r="W480" s="859"/>
      <c r="X480" s="859"/>
      <c r="Y480" s="859"/>
      <c r="Z480" s="860"/>
      <c r="AA480" s="860"/>
      <c r="AB480" s="860"/>
      <c r="AC480" s="860"/>
      <c r="AD480" s="860"/>
      <c r="AE480" s="860"/>
      <c r="AF480" s="860"/>
      <c r="AG480" s="860"/>
      <c r="AH480" s="860"/>
      <c r="AI480" s="860"/>
      <c r="AJ480" s="860"/>
      <c r="AK480" s="860"/>
      <c r="AL480" s="860"/>
      <c r="AM480" s="860"/>
      <c r="AN480" s="860"/>
      <c r="AO480" s="860"/>
      <c r="AP480" s="860"/>
      <c r="AQ480" s="860"/>
      <c r="AR480" s="860"/>
      <c r="AS480" s="860"/>
      <c r="AT480" s="860"/>
      <c r="AU480" s="860"/>
      <c r="AV480" s="860"/>
      <c r="AW480" s="860"/>
      <c r="AX480" s="860"/>
      <c r="AY480" s="860"/>
      <c r="AZ480" s="860"/>
      <c r="BA480" s="860"/>
      <c r="BB480" s="860"/>
      <c r="BC480" s="860"/>
      <c r="BD480" s="860"/>
      <c r="BE480" s="860"/>
      <c r="BF480" s="860"/>
      <c r="BG480" s="860"/>
      <c r="BH480" s="668"/>
      <c r="BI480" s="654"/>
      <c r="BJ480" s="690">
        <f>IFERROR(BK480/J480,0)</f>
        <v>0</v>
      </c>
      <c r="BK480" s="691">
        <f>SUM(BM480:DH480)</f>
        <v>0</v>
      </c>
      <c r="BL480" s="654"/>
      <c r="BM480" s="692">
        <f>SUMIFS(Imput[[Importe Neto]:[Importe Neto]],Imput[[C. Imp.]:[C. Imp.]],$D480,Imput[[PERIODO Imp.]:[PERIODO Imp.]],BM$9)</f>
        <v>0</v>
      </c>
      <c r="BN480" s="693">
        <f>SUMIFS(Imput[[Importe Neto]:[Importe Neto]],Imput[[C. Imp.]:[C. Imp.]],$D480,Imput[[PERIODO Imp.]:[PERIODO Imp.]],BN$9)</f>
        <v>0</v>
      </c>
      <c r="BO480" s="693">
        <f>SUMIFS(Imput[[Importe Neto]:[Importe Neto]],Imput[[C. Imp.]:[C. Imp.]],$D480,Imput[[PERIODO Imp.]:[PERIODO Imp.]],BO$9)</f>
        <v>0</v>
      </c>
      <c r="BP480" s="693">
        <f>SUMIFS(Imput[[Importe Neto]:[Importe Neto]],Imput[[C. Imp.]:[C. Imp.]],$D480,Imput[[PERIODO Imp.]:[PERIODO Imp.]],BP$9)</f>
        <v>0</v>
      </c>
      <c r="BQ480" s="693">
        <f>SUMIFS(Imput[[Importe Neto]:[Importe Neto]],Imput[[C. Imp.]:[C. Imp.]],$D480,Imput[[PERIODO Imp.]:[PERIODO Imp.]],BQ$9)</f>
        <v>0</v>
      </c>
      <c r="BR480" s="693">
        <f>SUMIFS(Imput[[Importe Neto]:[Importe Neto]],Imput[[C. Imp.]:[C. Imp.]],$D480,Imput[[PERIODO Imp.]:[PERIODO Imp.]],BR$9)</f>
        <v>0</v>
      </c>
      <c r="BS480" s="693">
        <f>SUMIFS(Imput[[Importe Neto]:[Importe Neto]],Imput[[C. Imp.]:[C. Imp.]],$D480,Imput[[PERIODO Imp.]:[PERIODO Imp.]],BS$9)</f>
        <v>0</v>
      </c>
      <c r="BT480" s="693">
        <f>SUMIFS(Imput[[Importe Neto]:[Importe Neto]],Imput[[C. Imp.]:[C. Imp.]],$D480,Imput[[PERIODO Imp.]:[PERIODO Imp.]],BT$9)</f>
        <v>0</v>
      </c>
      <c r="BU480" s="693">
        <f>SUMIFS(Imput[[Importe Neto]:[Importe Neto]],Imput[[C. Imp.]:[C. Imp.]],$D480,Imput[[PERIODO Imp.]:[PERIODO Imp.]],BU$9)</f>
        <v>0</v>
      </c>
      <c r="BV480" s="693">
        <f>SUMIFS(Imput[[Importe Neto]:[Importe Neto]],Imput[[C. Imp.]:[C. Imp.]],$D480,Imput[[PERIODO Imp.]:[PERIODO Imp.]],BV$9)</f>
        <v>0</v>
      </c>
      <c r="BW480" s="693">
        <f>SUMIFS(Imput[[Importe Neto]:[Importe Neto]],Imput[[C. Imp.]:[C. Imp.]],$D480,Imput[[PERIODO Imp.]:[PERIODO Imp.]],BW$9)</f>
        <v>0</v>
      </c>
      <c r="BX480" s="693">
        <f>SUMIFS(Imput[[Importe Neto]:[Importe Neto]],Imput[[C. Imp.]:[C. Imp.]],$D480,Imput[[PERIODO Imp.]:[PERIODO Imp.]],BX$9)</f>
        <v>0</v>
      </c>
      <c r="BY480" s="693">
        <f>SUMIFS(Imput[[Importe Neto]:[Importe Neto]],Imput[[C. Imp.]:[C. Imp.]],$D480,Imput[[PERIODO Imp.]:[PERIODO Imp.]],BY$9)</f>
        <v>0</v>
      </c>
      <c r="BZ480" s="693">
        <f>SUMIFS(Imput[[Importe Neto]:[Importe Neto]],Imput[[C. Imp.]:[C. Imp.]],$D480,Imput[[PERIODO Imp.]:[PERIODO Imp.]],BZ$9)</f>
        <v>0</v>
      </c>
      <c r="CA480" s="693">
        <f>SUMIFS(Imput[[Importe Neto]:[Importe Neto]],Imput[[C. Imp.]:[C. Imp.]],$D480,Imput[[PERIODO Imp.]:[PERIODO Imp.]],CA$9)</f>
        <v>0</v>
      </c>
      <c r="CB480" s="693">
        <f>SUMIFS(Imput[[Importe Neto]:[Importe Neto]],Imput[[C. Imp.]:[C. Imp.]],$D480,Imput[[PERIODO Imp.]:[PERIODO Imp.]],CB$9)</f>
        <v>0</v>
      </c>
      <c r="CC480" s="693">
        <f>SUMIFS(Imput[[Importe Neto]:[Importe Neto]],Imput[[C. Imp.]:[C. Imp.]],$D480,Imput[[PERIODO Imp.]:[PERIODO Imp.]],CC$9)</f>
        <v>0</v>
      </c>
      <c r="CD480" s="693">
        <f>SUMIFS(Imput[[Importe Neto]:[Importe Neto]],Imput[[C. Imp.]:[C. Imp.]],$D480,Imput[[PERIODO Imp.]:[PERIODO Imp.]],CD$9)</f>
        <v>0</v>
      </c>
      <c r="CE480" s="693">
        <f>SUMIFS(Imput[[Importe Neto]:[Importe Neto]],Imput[[C. Imp.]:[C. Imp.]],$D480,Imput[[PERIODO Imp.]:[PERIODO Imp.]],CE$9)</f>
        <v>0</v>
      </c>
      <c r="CF480" s="693">
        <f>SUMIFS(Imput[[Importe Neto]:[Importe Neto]],Imput[[C. Imp.]:[C. Imp.]],$D480,Imput[[PERIODO Imp.]:[PERIODO Imp.]],CF$9)</f>
        <v>0</v>
      </c>
      <c r="CG480" s="693">
        <f>SUMIFS(Imput[[Importe Neto]:[Importe Neto]],Imput[[C. Imp.]:[C. Imp.]],$D480,Imput[[PERIODO Imp.]:[PERIODO Imp.]],CG$9)</f>
        <v>0</v>
      </c>
      <c r="CH480" s="693">
        <f>SUMIFS(Imput[[Importe Neto]:[Importe Neto]],Imput[[C. Imp.]:[C. Imp.]],$D480,Imput[[PERIODO Imp.]:[PERIODO Imp.]],CH$9)</f>
        <v>0</v>
      </c>
      <c r="CI480" s="693">
        <f>SUMIFS(Imput[[Importe Neto]:[Importe Neto]],Imput[[C. Imp.]:[C. Imp.]],$D480,Imput[[PERIODO Imp.]:[PERIODO Imp.]],CI$9)</f>
        <v>0</v>
      </c>
      <c r="CJ480" s="693">
        <f>SUMIFS(Imput[[Importe Neto]:[Importe Neto]],Imput[[C. Imp.]:[C. Imp.]],$D480,Imput[[PERIODO Imp.]:[PERIODO Imp.]],CJ$9)</f>
        <v>0</v>
      </c>
      <c r="CK480" s="693">
        <f>SUMIFS(Imput[[Importe Neto]:[Importe Neto]],Imput[[C. Imp.]:[C. Imp.]],$D480,Imput[[PERIODO Imp.]:[PERIODO Imp.]],CK$9)</f>
        <v>0</v>
      </c>
      <c r="CL480" s="693">
        <f>SUMIFS(Imput[[Importe Neto]:[Importe Neto]],Imput[[C. Imp.]:[C. Imp.]],$D480,Imput[[PERIODO Imp.]:[PERIODO Imp.]],CL$9)</f>
        <v>0</v>
      </c>
      <c r="CM480" s="693">
        <f>SUMIFS(Imput[[Importe Neto]:[Importe Neto]],Imput[[C. Imp.]:[C. Imp.]],$D480,Imput[[PERIODO Imp.]:[PERIODO Imp.]],CM$9)</f>
        <v>0</v>
      </c>
      <c r="CN480" s="693">
        <f>SUMIFS(Imput[[Importe Neto]:[Importe Neto]],Imput[[C. Imp.]:[C. Imp.]],$D480,Imput[[PERIODO Imp.]:[PERIODO Imp.]],CN$9)</f>
        <v>0</v>
      </c>
      <c r="CO480" s="693">
        <f>SUMIFS(Imput[[Importe Neto]:[Importe Neto]],Imput[[C. Imp.]:[C. Imp.]],$D480,Imput[[PERIODO Imp.]:[PERIODO Imp.]],CO$9)</f>
        <v>0</v>
      </c>
      <c r="CP480" s="693">
        <f>SUMIFS(Imput[[Importe Neto]:[Importe Neto]],Imput[[C. Imp.]:[C. Imp.]],$D480,Imput[[PERIODO Imp.]:[PERIODO Imp.]],CP$9)</f>
        <v>0</v>
      </c>
      <c r="CQ480" s="693">
        <f>SUMIFS(Imput[[Importe Neto]:[Importe Neto]],Imput[[C. Imp.]:[C. Imp.]],$D480,Imput[[PERIODO Imp.]:[PERIODO Imp.]],CQ$9)</f>
        <v>0</v>
      </c>
      <c r="CR480" s="693">
        <f>SUMIFS(Imput[[Importe Neto]:[Importe Neto]],Imput[[C. Imp.]:[C. Imp.]],$D480,Imput[[PERIODO Imp.]:[PERIODO Imp.]],CR$9)</f>
        <v>0</v>
      </c>
      <c r="CS480" s="693">
        <f>SUMIFS(Imput[[Importe Neto]:[Importe Neto]],Imput[[C. Imp.]:[C. Imp.]],$D480,Imput[[PERIODO Imp.]:[PERIODO Imp.]],CS$9)</f>
        <v>0</v>
      </c>
      <c r="CT480" s="693">
        <f>SUMIFS(Imput[[Importe Neto]:[Importe Neto]],Imput[[C. Imp.]:[C. Imp.]],$D480,Imput[[PERIODO Imp.]:[PERIODO Imp.]],CT$9)</f>
        <v>0</v>
      </c>
      <c r="CU480" s="693">
        <f>SUMIFS(Imput[[Importe Neto]:[Importe Neto]],Imput[[C. Imp.]:[C. Imp.]],$D480,Imput[[PERIODO Imp.]:[PERIODO Imp.]],CU$9)</f>
        <v>0</v>
      </c>
      <c r="CV480" s="693">
        <f>SUMIFS(Imput[[Importe Neto]:[Importe Neto]],Imput[[C. Imp.]:[C. Imp.]],$D480,Imput[[PERIODO Imp.]:[PERIODO Imp.]],CV$9)</f>
        <v>0</v>
      </c>
      <c r="CW480" s="693">
        <f>SUMIFS(Imput[[Importe Neto]:[Importe Neto]],Imput[[C. Imp.]:[C. Imp.]],$D480,Imput[[PERIODO Imp.]:[PERIODO Imp.]],CW$9)</f>
        <v>0</v>
      </c>
      <c r="CX480" s="693">
        <f>SUMIFS(Imput[[Importe Neto]:[Importe Neto]],Imput[[C. Imp.]:[C. Imp.]],$D480,Imput[[PERIODO Imp.]:[PERIODO Imp.]],CX$9)</f>
        <v>0</v>
      </c>
      <c r="CY480" s="693">
        <f>SUMIFS(Imput[[Importe Neto]:[Importe Neto]],Imput[[C. Imp.]:[C. Imp.]],$D480,Imput[[PERIODO Imp.]:[PERIODO Imp.]],CY$9)</f>
        <v>0</v>
      </c>
      <c r="CZ480" s="693">
        <f>SUMIFS(Imput[[Importe Neto]:[Importe Neto]],Imput[[C. Imp.]:[C. Imp.]],$D480,Imput[[PERIODO Imp.]:[PERIODO Imp.]],CZ$9)</f>
        <v>0</v>
      </c>
      <c r="DA480" s="693">
        <f>SUMIFS(Imput[[Importe Neto]:[Importe Neto]],Imput[[C. Imp.]:[C. Imp.]],$D480,Imput[[PERIODO Imp.]:[PERIODO Imp.]],DA$9)</f>
        <v>0</v>
      </c>
      <c r="DB480" s="693">
        <f>SUMIFS(Imput[[Importe Neto]:[Importe Neto]],Imput[[C. Imp.]:[C. Imp.]],$D480,Imput[[PERIODO Imp.]:[PERIODO Imp.]],DB$9)</f>
        <v>0</v>
      </c>
      <c r="DC480" s="693">
        <f>SUMIFS(Imput[[Importe Neto]:[Importe Neto]],Imput[[C. Imp.]:[C. Imp.]],$D480,Imput[[PERIODO Imp.]:[PERIODO Imp.]],DC$9)</f>
        <v>0</v>
      </c>
      <c r="DD480" s="693">
        <f>SUMIFS(Imput[[Importe Neto]:[Importe Neto]],Imput[[C. Imp.]:[C. Imp.]],$D480,Imput[[PERIODO Imp.]:[PERIODO Imp.]],DD$9)</f>
        <v>0</v>
      </c>
      <c r="DE480" s="693">
        <f>SUMIFS(Imput[[Importe Neto]:[Importe Neto]],Imput[[C. Imp.]:[C. Imp.]],$D480,Imput[[PERIODO Imp.]:[PERIODO Imp.]],DE$9)</f>
        <v>0</v>
      </c>
      <c r="DF480" s="693">
        <f>SUMIFS(Imput[[Importe Neto]:[Importe Neto]],Imput[[C. Imp.]:[C. Imp.]],$D480,Imput[[PERIODO Imp.]:[PERIODO Imp.]],DF$9)</f>
        <v>0</v>
      </c>
      <c r="DG480" s="693">
        <f>SUMIFS(Imput[[Importe Neto]:[Importe Neto]],Imput[[C. Imp.]:[C. Imp.]],$D480,Imput[[PERIODO Imp.]:[PERIODO Imp.]],DG$9)</f>
        <v>0</v>
      </c>
      <c r="DH480" s="694">
        <f>SUMIFS(Imput[[Importe Neto]:[Importe Neto]],Imput[[C. Imp.]:[C. Imp.]],$D480,Imput[[PERIODO Imp.]:[PERIODO Imp.]],DH$9)</f>
        <v>0</v>
      </c>
    </row>
    <row r="481" spans="1:112" s="649" customFormat="1" hidden="1" outlineLevel="1" x14ac:dyDescent="0.3">
      <c r="A481" s="652" t="str">
        <f t="shared" si="192"/>
        <v/>
      </c>
      <c r="B481" s="652"/>
      <c r="C481" s="685"/>
      <c r="D481" s="686" t="s">
        <v>2517</v>
      </c>
      <c r="E481" s="686"/>
      <c r="F481" s="720"/>
      <c r="G481" s="688"/>
      <c r="H481" s="689"/>
      <c r="I481" s="851" t="str">
        <f>IF(E481&gt;0,$J$5,"")</f>
        <v/>
      </c>
      <c r="J481" s="517" t="str">
        <f t="shared" si="193"/>
        <v/>
      </c>
      <c r="K481" s="667"/>
      <c r="L481" s="858"/>
      <c r="M481" s="859"/>
      <c r="N481" s="859"/>
      <c r="O481" s="859"/>
      <c r="P481" s="859"/>
      <c r="Q481" s="859"/>
      <c r="R481" s="859"/>
      <c r="S481" s="859"/>
      <c r="T481" s="859"/>
      <c r="U481" s="859"/>
      <c r="V481" s="859"/>
      <c r="W481" s="859"/>
      <c r="X481" s="859"/>
      <c r="Y481" s="859"/>
      <c r="Z481" s="860"/>
      <c r="AA481" s="860"/>
      <c r="AB481" s="860"/>
      <c r="AC481" s="860"/>
      <c r="AD481" s="860"/>
      <c r="AE481" s="860"/>
      <c r="AF481" s="860"/>
      <c r="AG481" s="860"/>
      <c r="AH481" s="860"/>
      <c r="AI481" s="860"/>
      <c r="AJ481" s="860"/>
      <c r="AK481" s="860"/>
      <c r="AL481" s="860"/>
      <c r="AM481" s="860"/>
      <c r="AN481" s="860"/>
      <c r="AO481" s="860"/>
      <c r="AP481" s="860"/>
      <c r="AQ481" s="860"/>
      <c r="AR481" s="860"/>
      <c r="AS481" s="860"/>
      <c r="AT481" s="860"/>
      <c r="AU481" s="860"/>
      <c r="AV481" s="860"/>
      <c r="AW481" s="860"/>
      <c r="AX481" s="860"/>
      <c r="AY481" s="860"/>
      <c r="AZ481" s="860"/>
      <c r="BA481" s="860"/>
      <c r="BB481" s="860"/>
      <c r="BC481" s="860"/>
      <c r="BD481" s="860"/>
      <c r="BE481" s="860"/>
      <c r="BF481" s="860"/>
      <c r="BG481" s="860"/>
      <c r="BH481" s="668"/>
      <c r="BI481" s="654"/>
      <c r="BJ481" s="690">
        <f>IFERROR(BK481/J481,0)</f>
        <v>0</v>
      </c>
      <c r="BK481" s="691">
        <f>SUM(BM481:DH481)</f>
        <v>0</v>
      </c>
      <c r="BL481" s="654"/>
      <c r="BM481" s="692">
        <f>SUMIFS(Imput[[Importe Neto]:[Importe Neto]],Imput[[C. Imp.]:[C. Imp.]],$D481,Imput[[PERIODO Imp.]:[PERIODO Imp.]],BM$9)</f>
        <v>0</v>
      </c>
      <c r="BN481" s="693">
        <f>SUMIFS(Imput[[Importe Neto]:[Importe Neto]],Imput[[C. Imp.]:[C. Imp.]],$D481,Imput[[PERIODO Imp.]:[PERIODO Imp.]],BN$9)</f>
        <v>0</v>
      </c>
      <c r="BO481" s="693">
        <f>SUMIFS(Imput[[Importe Neto]:[Importe Neto]],Imput[[C. Imp.]:[C. Imp.]],$D481,Imput[[PERIODO Imp.]:[PERIODO Imp.]],BO$9)</f>
        <v>0</v>
      </c>
      <c r="BP481" s="693">
        <f>SUMIFS(Imput[[Importe Neto]:[Importe Neto]],Imput[[C. Imp.]:[C. Imp.]],$D481,Imput[[PERIODO Imp.]:[PERIODO Imp.]],BP$9)</f>
        <v>0</v>
      </c>
      <c r="BQ481" s="693">
        <f>SUMIFS(Imput[[Importe Neto]:[Importe Neto]],Imput[[C. Imp.]:[C. Imp.]],$D481,Imput[[PERIODO Imp.]:[PERIODO Imp.]],BQ$9)</f>
        <v>0</v>
      </c>
      <c r="BR481" s="693">
        <f>SUMIFS(Imput[[Importe Neto]:[Importe Neto]],Imput[[C. Imp.]:[C. Imp.]],$D481,Imput[[PERIODO Imp.]:[PERIODO Imp.]],BR$9)</f>
        <v>0</v>
      </c>
      <c r="BS481" s="693">
        <f>SUMIFS(Imput[[Importe Neto]:[Importe Neto]],Imput[[C. Imp.]:[C. Imp.]],$D481,Imput[[PERIODO Imp.]:[PERIODO Imp.]],BS$9)</f>
        <v>0</v>
      </c>
      <c r="BT481" s="693">
        <f>SUMIFS(Imput[[Importe Neto]:[Importe Neto]],Imput[[C. Imp.]:[C. Imp.]],$D481,Imput[[PERIODO Imp.]:[PERIODO Imp.]],BT$9)</f>
        <v>0</v>
      </c>
      <c r="BU481" s="693">
        <f>SUMIFS(Imput[[Importe Neto]:[Importe Neto]],Imput[[C. Imp.]:[C. Imp.]],$D481,Imput[[PERIODO Imp.]:[PERIODO Imp.]],BU$9)</f>
        <v>0</v>
      </c>
      <c r="BV481" s="693">
        <f>SUMIFS(Imput[[Importe Neto]:[Importe Neto]],Imput[[C. Imp.]:[C. Imp.]],$D481,Imput[[PERIODO Imp.]:[PERIODO Imp.]],BV$9)</f>
        <v>0</v>
      </c>
      <c r="BW481" s="693">
        <f>SUMIFS(Imput[[Importe Neto]:[Importe Neto]],Imput[[C. Imp.]:[C. Imp.]],$D481,Imput[[PERIODO Imp.]:[PERIODO Imp.]],BW$9)</f>
        <v>0</v>
      </c>
      <c r="BX481" s="693">
        <f>SUMIFS(Imput[[Importe Neto]:[Importe Neto]],Imput[[C. Imp.]:[C. Imp.]],$D481,Imput[[PERIODO Imp.]:[PERIODO Imp.]],BX$9)</f>
        <v>0</v>
      </c>
      <c r="BY481" s="693">
        <f>SUMIFS(Imput[[Importe Neto]:[Importe Neto]],Imput[[C. Imp.]:[C. Imp.]],$D481,Imput[[PERIODO Imp.]:[PERIODO Imp.]],BY$9)</f>
        <v>0</v>
      </c>
      <c r="BZ481" s="693">
        <f>SUMIFS(Imput[[Importe Neto]:[Importe Neto]],Imput[[C. Imp.]:[C. Imp.]],$D481,Imput[[PERIODO Imp.]:[PERIODO Imp.]],BZ$9)</f>
        <v>0</v>
      </c>
      <c r="CA481" s="693">
        <f>SUMIFS(Imput[[Importe Neto]:[Importe Neto]],Imput[[C. Imp.]:[C. Imp.]],$D481,Imput[[PERIODO Imp.]:[PERIODO Imp.]],CA$9)</f>
        <v>0</v>
      </c>
      <c r="CB481" s="693">
        <f>SUMIFS(Imput[[Importe Neto]:[Importe Neto]],Imput[[C. Imp.]:[C. Imp.]],$D481,Imput[[PERIODO Imp.]:[PERIODO Imp.]],CB$9)</f>
        <v>0</v>
      </c>
      <c r="CC481" s="693">
        <f>SUMIFS(Imput[[Importe Neto]:[Importe Neto]],Imput[[C. Imp.]:[C. Imp.]],$D481,Imput[[PERIODO Imp.]:[PERIODO Imp.]],CC$9)</f>
        <v>0</v>
      </c>
      <c r="CD481" s="693">
        <f>SUMIFS(Imput[[Importe Neto]:[Importe Neto]],Imput[[C. Imp.]:[C. Imp.]],$D481,Imput[[PERIODO Imp.]:[PERIODO Imp.]],CD$9)</f>
        <v>0</v>
      </c>
      <c r="CE481" s="693">
        <f>SUMIFS(Imput[[Importe Neto]:[Importe Neto]],Imput[[C. Imp.]:[C. Imp.]],$D481,Imput[[PERIODO Imp.]:[PERIODO Imp.]],CE$9)</f>
        <v>0</v>
      </c>
      <c r="CF481" s="693">
        <f>SUMIFS(Imput[[Importe Neto]:[Importe Neto]],Imput[[C. Imp.]:[C. Imp.]],$D481,Imput[[PERIODO Imp.]:[PERIODO Imp.]],CF$9)</f>
        <v>0</v>
      </c>
      <c r="CG481" s="693">
        <f>SUMIFS(Imput[[Importe Neto]:[Importe Neto]],Imput[[C. Imp.]:[C. Imp.]],$D481,Imput[[PERIODO Imp.]:[PERIODO Imp.]],CG$9)</f>
        <v>0</v>
      </c>
      <c r="CH481" s="693">
        <f>SUMIFS(Imput[[Importe Neto]:[Importe Neto]],Imput[[C. Imp.]:[C. Imp.]],$D481,Imput[[PERIODO Imp.]:[PERIODO Imp.]],CH$9)</f>
        <v>0</v>
      </c>
      <c r="CI481" s="693">
        <f>SUMIFS(Imput[[Importe Neto]:[Importe Neto]],Imput[[C. Imp.]:[C. Imp.]],$D481,Imput[[PERIODO Imp.]:[PERIODO Imp.]],CI$9)</f>
        <v>0</v>
      </c>
      <c r="CJ481" s="693">
        <f>SUMIFS(Imput[[Importe Neto]:[Importe Neto]],Imput[[C. Imp.]:[C. Imp.]],$D481,Imput[[PERIODO Imp.]:[PERIODO Imp.]],CJ$9)</f>
        <v>0</v>
      </c>
      <c r="CK481" s="693">
        <f>SUMIFS(Imput[[Importe Neto]:[Importe Neto]],Imput[[C. Imp.]:[C. Imp.]],$D481,Imput[[PERIODO Imp.]:[PERIODO Imp.]],CK$9)</f>
        <v>0</v>
      </c>
      <c r="CL481" s="693">
        <f>SUMIFS(Imput[[Importe Neto]:[Importe Neto]],Imput[[C. Imp.]:[C. Imp.]],$D481,Imput[[PERIODO Imp.]:[PERIODO Imp.]],CL$9)</f>
        <v>0</v>
      </c>
      <c r="CM481" s="693">
        <f>SUMIFS(Imput[[Importe Neto]:[Importe Neto]],Imput[[C. Imp.]:[C. Imp.]],$D481,Imput[[PERIODO Imp.]:[PERIODO Imp.]],CM$9)</f>
        <v>0</v>
      </c>
      <c r="CN481" s="693">
        <f>SUMIFS(Imput[[Importe Neto]:[Importe Neto]],Imput[[C. Imp.]:[C. Imp.]],$D481,Imput[[PERIODO Imp.]:[PERIODO Imp.]],CN$9)</f>
        <v>0</v>
      </c>
      <c r="CO481" s="693">
        <f>SUMIFS(Imput[[Importe Neto]:[Importe Neto]],Imput[[C. Imp.]:[C. Imp.]],$D481,Imput[[PERIODO Imp.]:[PERIODO Imp.]],CO$9)</f>
        <v>0</v>
      </c>
      <c r="CP481" s="693">
        <f>SUMIFS(Imput[[Importe Neto]:[Importe Neto]],Imput[[C. Imp.]:[C. Imp.]],$D481,Imput[[PERIODO Imp.]:[PERIODO Imp.]],CP$9)</f>
        <v>0</v>
      </c>
      <c r="CQ481" s="693">
        <f>SUMIFS(Imput[[Importe Neto]:[Importe Neto]],Imput[[C. Imp.]:[C. Imp.]],$D481,Imput[[PERIODO Imp.]:[PERIODO Imp.]],CQ$9)</f>
        <v>0</v>
      </c>
      <c r="CR481" s="693">
        <f>SUMIFS(Imput[[Importe Neto]:[Importe Neto]],Imput[[C. Imp.]:[C. Imp.]],$D481,Imput[[PERIODO Imp.]:[PERIODO Imp.]],CR$9)</f>
        <v>0</v>
      </c>
      <c r="CS481" s="693">
        <f>SUMIFS(Imput[[Importe Neto]:[Importe Neto]],Imput[[C. Imp.]:[C. Imp.]],$D481,Imput[[PERIODO Imp.]:[PERIODO Imp.]],CS$9)</f>
        <v>0</v>
      </c>
      <c r="CT481" s="693">
        <f>SUMIFS(Imput[[Importe Neto]:[Importe Neto]],Imput[[C. Imp.]:[C. Imp.]],$D481,Imput[[PERIODO Imp.]:[PERIODO Imp.]],CT$9)</f>
        <v>0</v>
      </c>
      <c r="CU481" s="693">
        <f>SUMIFS(Imput[[Importe Neto]:[Importe Neto]],Imput[[C. Imp.]:[C. Imp.]],$D481,Imput[[PERIODO Imp.]:[PERIODO Imp.]],CU$9)</f>
        <v>0</v>
      </c>
      <c r="CV481" s="693">
        <f>SUMIFS(Imput[[Importe Neto]:[Importe Neto]],Imput[[C. Imp.]:[C. Imp.]],$D481,Imput[[PERIODO Imp.]:[PERIODO Imp.]],CV$9)</f>
        <v>0</v>
      </c>
      <c r="CW481" s="693">
        <f>SUMIFS(Imput[[Importe Neto]:[Importe Neto]],Imput[[C. Imp.]:[C. Imp.]],$D481,Imput[[PERIODO Imp.]:[PERIODO Imp.]],CW$9)</f>
        <v>0</v>
      </c>
      <c r="CX481" s="693">
        <f>SUMIFS(Imput[[Importe Neto]:[Importe Neto]],Imput[[C. Imp.]:[C. Imp.]],$D481,Imput[[PERIODO Imp.]:[PERIODO Imp.]],CX$9)</f>
        <v>0</v>
      </c>
      <c r="CY481" s="693">
        <f>SUMIFS(Imput[[Importe Neto]:[Importe Neto]],Imput[[C. Imp.]:[C. Imp.]],$D481,Imput[[PERIODO Imp.]:[PERIODO Imp.]],CY$9)</f>
        <v>0</v>
      </c>
      <c r="CZ481" s="693">
        <f>SUMIFS(Imput[[Importe Neto]:[Importe Neto]],Imput[[C. Imp.]:[C. Imp.]],$D481,Imput[[PERIODO Imp.]:[PERIODO Imp.]],CZ$9)</f>
        <v>0</v>
      </c>
      <c r="DA481" s="693">
        <f>SUMIFS(Imput[[Importe Neto]:[Importe Neto]],Imput[[C. Imp.]:[C. Imp.]],$D481,Imput[[PERIODO Imp.]:[PERIODO Imp.]],DA$9)</f>
        <v>0</v>
      </c>
      <c r="DB481" s="693">
        <f>SUMIFS(Imput[[Importe Neto]:[Importe Neto]],Imput[[C. Imp.]:[C. Imp.]],$D481,Imput[[PERIODO Imp.]:[PERIODO Imp.]],DB$9)</f>
        <v>0</v>
      </c>
      <c r="DC481" s="693">
        <f>SUMIFS(Imput[[Importe Neto]:[Importe Neto]],Imput[[C. Imp.]:[C. Imp.]],$D481,Imput[[PERIODO Imp.]:[PERIODO Imp.]],DC$9)</f>
        <v>0</v>
      </c>
      <c r="DD481" s="693">
        <f>SUMIFS(Imput[[Importe Neto]:[Importe Neto]],Imput[[C. Imp.]:[C. Imp.]],$D481,Imput[[PERIODO Imp.]:[PERIODO Imp.]],DD$9)</f>
        <v>0</v>
      </c>
      <c r="DE481" s="693">
        <f>SUMIFS(Imput[[Importe Neto]:[Importe Neto]],Imput[[C. Imp.]:[C. Imp.]],$D481,Imput[[PERIODO Imp.]:[PERIODO Imp.]],DE$9)</f>
        <v>0</v>
      </c>
      <c r="DF481" s="693">
        <f>SUMIFS(Imput[[Importe Neto]:[Importe Neto]],Imput[[C. Imp.]:[C. Imp.]],$D481,Imput[[PERIODO Imp.]:[PERIODO Imp.]],DF$9)</f>
        <v>0</v>
      </c>
      <c r="DG481" s="693">
        <f>SUMIFS(Imput[[Importe Neto]:[Importe Neto]],Imput[[C. Imp.]:[C. Imp.]],$D481,Imput[[PERIODO Imp.]:[PERIODO Imp.]],DG$9)</f>
        <v>0</v>
      </c>
      <c r="DH481" s="694">
        <f>SUMIFS(Imput[[Importe Neto]:[Importe Neto]],Imput[[C. Imp.]:[C. Imp.]],$D481,Imput[[PERIODO Imp.]:[PERIODO Imp.]],DH$9)</f>
        <v>0</v>
      </c>
    </row>
    <row r="482" spans="1:112" s="649" customFormat="1" hidden="1" outlineLevel="1" x14ac:dyDescent="0.3">
      <c r="A482" s="652" t="str">
        <f t="shared" si="192"/>
        <v/>
      </c>
      <c r="B482" s="652"/>
      <c r="C482" s="685"/>
      <c r="D482" s="686" t="s">
        <v>2518</v>
      </c>
      <c r="E482" s="686"/>
      <c r="F482" s="737"/>
      <c r="G482" s="688"/>
      <c r="H482" s="696"/>
      <c r="I482" s="851" t="str">
        <f>IF(E482&gt;0,$J$5,"")</f>
        <v/>
      </c>
      <c r="J482" s="517" t="str">
        <f t="shared" si="193"/>
        <v/>
      </c>
      <c r="K482" s="667"/>
      <c r="L482" s="858"/>
      <c r="M482" s="859"/>
      <c r="N482" s="859"/>
      <c r="O482" s="859"/>
      <c r="P482" s="859"/>
      <c r="Q482" s="859"/>
      <c r="R482" s="859"/>
      <c r="S482" s="859"/>
      <c r="T482" s="859"/>
      <c r="U482" s="859"/>
      <c r="V482" s="859"/>
      <c r="W482" s="859"/>
      <c r="X482" s="859"/>
      <c r="Y482" s="859"/>
      <c r="Z482" s="860"/>
      <c r="AA482" s="860"/>
      <c r="AB482" s="860"/>
      <c r="AC482" s="860"/>
      <c r="AD482" s="860"/>
      <c r="AE482" s="860"/>
      <c r="AF482" s="860"/>
      <c r="AG482" s="860"/>
      <c r="AH482" s="860"/>
      <c r="AI482" s="860"/>
      <c r="AJ482" s="860"/>
      <c r="AK482" s="860"/>
      <c r="AL482" s="860"/>
      <c r="AM482" s="860"/>
      <c r="AN482" s="860"/>
      <c r="AO482" s="860"/>
      <c r="AP482" s="860"/>
      <c r="AQ482" s="860"/>
      <c r="AR482" s="860"/>
      <c r="AS482" s="860"/>
      <c r="AT482" s="860"/>
      <c r="AU482" s="860"/>
      <c r="AV482" s="860"/>
      <c r="AW482" s="860"/>
      <c r="AX482" s="860"/>
      <c r="AY482" s="860"/>
      <c r="AZ482" s="860"/>
      <c r="BA482" s="860"/>
      <c r="BB482" s="860"/>
      <c r="BC482" s="860"/>
      <c r="BD482" s="860"/>
      <c r="BE482" s="860"/>
      <c r="BF482" s="860"/>
      <c r="BG482" s="860"/>
      <c r="BH482" s="668"/>
      <c r="BI482" s="654"/>
      <c r="BJ482" s="690">
        <f>IFERROR(BK482/J482,0)</f>
        <v>0</v>
      </c>
      <c r="BK482" s="691">
        <f>SUM(BM482:DH482)</f>
        <v>0</v>
      </c>
      <c r="BL482" s="654"/>
      <c r="BM482" s="692">
        <f>SUMIFS(Imput[[Importe Neto]:[Importe Neto]],Imput[[C. Imp.]:[C. Imp.]],$D482,Imput[[PERIODO Imp.]:[PERIODO Imp.]],BM$9)</f>
        <v>0</v>
      </c>
      <c r="BN482" s="693">
        <f>SUMIFS(Imput[[Importe Neto]:[Importe Neto]],Imput[[C. Imp.]:[C. Imp.]],$D482,Imput[[PERIODO Imp.]:[PERIODO Imp.]],BN$9)</f>
        <v>0</v>
      </c>
      <c r="BO482" s="693">
        <f>SUMIFS(Imput[[Importe Neto]:[Importe Neto]],Imput[[C. Imp.]:[C. Imp.]],$D482,Imput[[PERIODO Imp.]:[PERIODO Imp.]],BO$9)</f>
        <v>0</v>
      </c>
      <c r="BP482" s="693">
        <f>SUMIFS(Imput[[Importe Neto]:[Importe Neto]],Imput[[C. Imp.]:[C. Imp.]],$D482,Imput[[PERIODO Imp.]:[PERIODO Imp.]],BP$9)</f>
        <v>0</v>
      </c>
      <c r="BQ482" s="693">
        <f>SUMIFS(Imput[[Importe Neto]:[Importe Neto]],Imput[[C. Imp.]:[C. Imp.]],$D482,Imput[[PERIODO Imp.]:[PERIODO Imp.]],BQ$9)</f>
        <v>0</v>
      </c>
      <c r="BR482" s="693">
        <f>SUMIFS(Imput[[Importe Neto]:[Importe Neto]],Imput[[C. Imp.]:[C. Imp.]],$D482,Imput[[PERIODO Imp.]:[PERIODO Imp.]],BR$9)</f>
        <v>0</v>
      </c>
      <c r="BS482" s="693">
        <f>SUMIFS(Imput[[Importe Neto]:[Importe Neto]],Imput[[C. Imp.]:[C. Imp.]],$D482,Imput[[PERIODO Imp.]:[PERIODO Imp.]],BS$9)</f>
        <v>0</v>
      </c>
      <c r="BT482" s="693">
        <f>SUMIFS(Imput[[Importe Neto]:[Importe Neto]],Imput[[C. Imp.]:[C. Imp.]],$D482,Imput[[PERIODO Imp.]:[PERIODO Imp.]],BT$9)</f>
        <v>0</v>
      </c>
      <c r="BU482" s="693">
        <f>SUMIFS(Imput[[Importe Neto]:[Importe Neto]],Imput[[C. Imp.]:[C. Imp.]],$D482,Imput[[PERIODO Imp.]:[PERIODO Imp.]],BU$9)</f>
        <v>0</v>
      </c>
      <c r="BV482" s="693">
        <f>SUMIFS(Imput[[Importe Neto]:[Importe Neto]],Imput[[C. Imp.]:[C. Imp.]],$D482,Imput[[PERIODO Imp.]:[PERIODO Imp.]],BV$9)</f>
        <v>0</v>
      </c>
      <c r="BW482" s="693">
        <f>SUMIFS(Imput[[Importe Neto]:[Importe Neto]],Imput[[C. Imp.]:[C. Imp.]],$D482,Imput[[PERIODO Imp.]:[PERIODO Imp.]],BW$9)</f>
        <v>0</v>
      </c>
      <c r="BX482" s="693">
        <f>SUMIFS(Imput[[Importe Neto]:[Importe Neto]],Imput[[C. Imp.]:[C. Imp.]],$D482,Imput[[PERIODO Imp.]:[PERIODO Imp.]],BX$9)</f>
        <v>0</v>
      </c>
      <c r="BY482" s="693">
        <f>SUMIFS(Imput[[Importe Neto]:[Importe Neto]],Imput[[C. Imp.]:[C. Imp.]],$D482,Imput[[PERIODO Imp.]:[PERIODO Imp.]],BY$9)</f>
        <v>0</v>
      </c>
      <c r="BZ482" s="693">
        <f>SUMIFS(Imput[[Importe Neto]:[Importe Neto]],Imput[[C. Imp.]:[C. Imp.]],$D482,Imput[[PERIODO Imp.]:[PERIODO Imp.]],BZ$9)</f>
        <v>0</v>
      </c>
      <c r="CA482" s="693">
        <f>SUMIFS(Imput[[Importe Neto]:[Importe Neto]],Imput[[C. Imp.]:[C. Imp.]],$D482,Imput[[PERIODO Imp.]:[PERIODO Imp.]],CA$9)</f>
        <v>0</v>
      </c>
      <c r="CB482" s="693">
        <f>SUMIFS(Imput[[Importe Neto]:[Importe Neto]],Imput[[C. Imp.]:[C. Imp.]],$D482,Imput[[PERIODO Imp.]:[PERIODO Imp.]],CB$9)</f>
        <v>0</v>
      </c>
      <c r="CC482" s="693">
        <f>SUMIFS(Imput[[Importe Neto]:[Importe Neto]],Imput[[C. Imp.]:[C. Imp.]],$D482,Imput[[PERIODO Imp.]:[PERIODO Imp.]],CC$9)</f>
        <v>0</v>
      </c>
      <c r="CD482" s="693">
        <f>SUMIFS(Imput[[Importe Neto]:[Importe Neto]],Imput[[C. Imp.]:[C. Imp.]],$D482,Imput[[PERIODO Imp.]:[PERIODO Imp.]],CD$9)</f>
        <v>0</v>
      </c>
      <c r="CE482" s="693">
        <f>SUMIFS(Imput[[Importe Neto]:[Importe Neto]],Imput[[C. Imp.]:[C. Imp.]],$D482,Imput[[PERIODO Imp.]:[PERIODO Imp.]],CE$9)</f>
        <v>0</v>
      </c>
      <c r="CF482" s="693">
        <f>SUMIFS(Imput[[Importe Neto]:[Importe Neto]],Imput[[C. Imp.]:[C. Imp.]],$D482,Imput[[PERIODO Imp.]:[PERIODO Imp.]],CF$9)</f>
        <v>0</v>
      </c>
      <c r="CG482" s="693">
        <f>SUMIFS(Imput[[Importe Neto]:[Importe Neto]],Imput[[C. Imp.]:[C. Imp.]],$D482,Imput[[PERIODO Imp.]:[PERIODO Imp.]],CG$9)</f>
        <v>0</v>
      </c>
      <c r="CH482" s="693">
        <f>SUMIFS(Imput[[Importe Neto]:[Importe Neto]],Imput[[C. Imp.]:[C. Imp.]],$D482,Imput[[PERIODO Imp.]:[PERIODO Imp.]],CH$9)</f>
        <v>0</v>
      </c>
      <c r="CI482" s="693">
        <f>SUMIFS(Imput[[Importe Neto]:[Importe Neto]],Imput[[C. Imp.]:[C. Imp.]],$D482,Imput[[PERIODO Imp.]:[PERIODO Imp.]],CI$9)</f>
        <v>0</v>
      </c>
      <c r="CJ482" s="693">
        <f>SUMIFS(Imput[[Importe Neto]:[Importe Neto]],Imput[[C. Imp.]:[C. Imp.]],$D482,Imput[[PERIODO Imp.]:[PERIODO Imp.]],CJ$9)</f>
        <v>0</v>
      </c>
      <c r="CK482" s="693">
        <f>SUMIFS(Imput[[Importe Neto]:[Importe Neto]],Imput[[C. Imp.]:[C. Imp.]],$D482,Imput[[PERIODO Imp.]:[PERIODO Imp.]],CK$9)</f>
        <v>0</v>
      </c>
      <c r="CL482" s="693">
        <f>SUMIFS(Imput[[Importe Neto]:[Importe Neto]],Imput[[C. Imp.]:[C. Imp.]],$D482,Imput[[PERIODO Imp.]:[PERIODO Imp.]],CL$9)</f>
        <v>0</v>
      </c>
      <c r="CM482" s="693">
        <f>SUMIFS(Imput[[Importe Neto]:[Importe Neto]],Imput[[C. Imp.]:[C. Imp.]],$D482,Imput[[PERIODO Imp.]:[PERIODO Imp.]],CM$9)</f>
        <v>0</v>
      </c>
      <c r="CN482" s="693">
        <f>SUMIFS(Imput[[Importe Neto]:[Importe Neto]],Imput[[C. Imp.]:[C. Imp.]],$D482,Imput[[PERIODO Imp.]:[PERIODO Imp.]],CN$9)</f>
        <v>0</v>
      </c>
      <c r="CO482" s="693">
        <f>SUMIFS(Imput[[Importe Neto]:[Importe Neto]],Imput[[C. Imp.]:[C. Imp.]],$D482,Imput[[PERIODO Imp.]:[PERIODO Imp.]],CO$9)</f>
        <v>0</v>
      </c>
      <c r="CP482" s="693">
        <f>SUMIFS(Imput[[Importe Neto]:[Importe Neto]],Imput[[C. Imp.]:[C. Imp.]],$D482,Imput[[PERIODO Imp.]:[PERIODO Imp.]],CP$9)</f>
        <v>0</v>
      </c>
      <c r="CQ482" s="693">
        <f>SUMIFS(Imput[[Importe Neto]:[Importe Neto]],Imput[[C. Imp.]:[C. Imp.]],$D482,Imput[[PERIODO Imp.]:[PERIODO Imp.]],CQ$9)</f>
        <v>0</v>
      </c>
      <c r="CR482" s="693">
        <f>SUMIFS(Imput[[Importe Neto]:[Importe Neto]],Imput[[C. Imp.]:[C. Imp.]],$D482,Imput[[PERIODO Imp.]:[PERIODO Imp.]],CR$9)</f>
        <v>0</v>
      </c>
      <c r="CS482" s="693">
        <f>SUMIFS(Imput[[Importe Neto]:[Importe Neto]],Imput[[C. Imp.]:[C. Imp.]],$D482,Imput[[PERIODO Imp.]:[PERIODO Imp.]],CS$9)</f>
        <v>0</v>
      </c>
      <c r="CT482" s="693">
        <f>SUMIFS(Imput[[Importe Neto]:[Importe Neto]],Imput[[C. Imp.]:[C. Imp.]],$D482,Imput[[PERIODO Imp.]:[PERIODO Imp.]],CT$9)</f>
        <v>0</v>
      </c>
      <c r="CU482" s="693">
        <f>SUMIFS(Imput[[Importe Neto]:[Importe Neto]],Imput[[C. Imp.]:[C. Imp.]],$D482,Imput[[PERIODO Imp.]:[PERIODO Imp.]],CU$9)</f>
        <v>0</v>
      </c>
      <c r="CV482" s="693">
        <f>SUMIFS(Imput[[Importe Neto]:[Importe Neto]],Imput[[C. Imp.]:[C. Imp.]],$D482,Imput[[PERIODO Imp.]:[PERIODO Imp.]],CV$9)</f>
        <v>0</v>
      </c>
      <c r="CW482" s="693">
        <f>SUMIFS(Imput[[Importe Neto]:[Importe Neto]],Imput[[C. Imp.]:[C. Imp.]],$D482,Imput[[PERIODO Imp.]:[PERIODO Imp.]],CW$9)</f>
        <v>0</v>
      </c>
      <c r="CX482" s="693">
        <f>SUMIFS(Imput[[Importe Neto]:[Importe Neto]],Imput[[C. Imp.]:[C. Imp.]],$D482,Imput[[PERIODO Imp.]:[PERIODO Imp.]],CX$9)</f>
        <v>0</v>
      </c>
      <c r="CY482" s="693">
        <f>SUMIFS(Imput[[Importe Neto]:[Importe Neto]],Imput[[C. Imp.]:[C. Imp.]],$D482,Imput[[PERIODO Imp.]:[PERIODO Imp.]],CY$9)</f>
        <v>0</v>
      </c>
      <c r="CZ482" s="693">
        <f>SUMIFS(Imput[[Importe Neto]:[Importe Neto]],Imput[[C. Imp.]:[C. Imp.]],$D482,Imput[[PERIODO Imp.]:[PERIODO Imp.]],CZ$9)</f>
        <v>0</v>
      </c>
      <c r="DA482" s="693">
        <f>SUMIFS(Imput[[Importe Neto]:[Importe Neto]],Imput[[C. Imp.]:[C. Imp.]],$D482,Imput[[PERIODO Imp.]:[PERIODO Imp.]],DA$9)</f>
        <v>0</v>
      </c>
      <c r="DB482" s="693">
        <f>SUMIFS(Imput[[Importe Neto]:[Importe Neto]],Imput[[C. Imp.]:[C. Imp.]],$D482,Imput[[PERIODO Imp.]:[PERIODO Imp.]],DB$9)</f>
        <v>0</v>
      </c>
      <c r="DC482" s="693">
        <f>SUMIFS(Imput[[Importe Neto]:[Importe Neto]],Imput[[C. Imp.]:[C. Imp.]],$D482,Imput[[PERIODO Imp.]:[PERIODO Imp.]],DC$9)</f>
        <v>0</v>
      </c>
      <c r="DD482" s="693">
        <f>SUMIFS(Imput[[Importe Neto]:[Importe Neto]],Imput[[C. Imp.]:[C. Imp.]],$D482,Imput[[PERIODO Imp.]:[PERIODO Imp.]],DD$9)</f>
        <v>0</v>
      </c>
      <c r="DE482" s="693">
        <f>SUMIFS(Imput[[Importe Neto]:[Importe Neto]],Imput[[C. Imp.]:[C. Imp.]],$D482,Imput[[PERIODO Imp.]:[PERIODO Imp.]],DE$9)</f>
        <v>0</v>
      </c>
      <c r="DF482" s="693">
        <f>SUMIFS(Imput[[Importe Neto]:[Importe Neto]],Imput[[C. Imp.]:[C. Imp.]],$D482,Imput[[PERIODO Imp.]:[PERIODO Imp.]],DF$9)</f>
        <v>0</v>
      </c>
      <c r="DG482" s="693">
        <f>SUMIFS(Imput[[Importe Neto]:[Importe Neto]],Imput[[C. Imp.]:[C. Imp.]],$D482,Imput[[PERIODO Imp.]:[PERIODO Imp.]],DG$9)</f>
        <v>0</v>
      </c>
      <c r="DH482" s="694">
        <f>SUMIFS(Imput[[Importe Neto]:[Importe Neto]],Imput[[C. Imp.]:[C. Imp.]],$D482,Imput[[PERIODO Imp.]:[PERIODO Imp.]],DH$9)</f>
        <v>0</v>
      </c>
    </row>
    <row r="483" spans="1:112" s="649" customFormat="1" ht="14.4" hidden="1" outlineLevel="1" thickBot="1" x14ac:dyDescent="0.35">
      <c r="A483" s="652" t="str">
        <f>IF(J477&gt;0,"Imprimir","")</f>
        <v/>
      </c>
      <c r="B483" s="652"/>
      <c r="C483" s="699"/>
      <c r="D483" s="700"/>
      <c r="E483" s="700"/>
      <c r="F483" s="701"/>
      <c r="G483" s="702"/>
      <c r="H483" s="701"/>
      <c r="I483" s="704"/>
      <c r="J483" s="120"/>
      <c r="K483" s="667"/>
      <c r="L483" s="706"/>
      <c r="M483" s="707"/>
      <c r="N483" s="777"/>
      <c r="O483" s="777"/>
      <c r="P483" s="778"/>
      <c r="Q483" s="778"/>
      <c r="R483" s="708"/>
      <c r="S483" s="708"/>
      <c r="T483" s="779"/>
      <c r="U483" s="779"/>
      <c r="V483" s="778"/>
      <c r="W483" s="778"/>
      <c r="X483" s="708"/>
      <c r="Y483" s="708"/>
      <c r="Z483" s="708"/>
      <c r="AA483" s="708"/>
      <c r="AB483" s="708"/>
      <c r="AC483" s="708"/>
      <c r="AD483" s="708"/>
      <c r="AE483" s="708"/>
      <c r="AF483" s="708"/>
      <c r="AG483" s="708"/>
      <c r="AH483" s="708"/>
      <c r="AI483" s="708"/>
      <c r="AJ483" s="708"/>
      <c r="AK483" s="708"/>
      <c r="AL483" s="708"/>
      <c r="AM483" s="708"/>
      <c r="AN483" s="708"/>
      <c r="AO483" s="708"/>
      <c r="AP483" s="708"/>
      <c r="AQ483" s="708"/>
      <c r="AR483" s="708"/>
      <c r="AS483" s="708"/>
      <c r="AT483" s="708"/>
      <c r="AU483" s="708"/>
      <c r="AV483" s="708"/>
      <c r="AW483" s="708"/>
      <c r="AX483" s="708"/>
      <c r="AY483" s="708"/>
      <c r="AZ483" s="708"/>
      <c r="BA483" s="708"/>
      <c r="BB483" s="708"/>
      <c r="BC483" s="708"/>
      <c r="BD483" s="708"/>
      <c r="BE483" s="708"/>
      <c r="BF483" s="708"/>
      <c r="BG483" s="708"/>
      <c r="BH483" s="781"/>
      <c r="BI483" s="654"/>
      <c r="BJ483" s="709"/>
      <c r="BK483" s="710"/>
      <c r="BL483" s="654"/>
      <c r="BM483" s="731"/>
      <c r="BN483" s="701"/>
      <c r="BO483" s="701"/>
      <c r="BP483" s="701"/>
      <c r="BQ483" s="701"/>
      <c r="BR483" s="701"/>
      <c r="BS483" s="701"/>
      <c r="BT483" s="701"/>
      <c r="BU483" s="701"/>
      <c r="BV483" s="701"/>
      <c r="BW483" s="701"/>
      <c r="BX483" s="701"/>
      <c r="BY483" s="701"/>
      <c r="BZ483" s="701"/>
      <c r="CA483" s="701"/>
      <c r="CB483" s="701"/>
      <c r="CC483" s="701"/>
      <c r="CD483" s="701"/>
      <c r="CE483" s="701"/>
      <c r="CF483" s="701"/>
      <c r="CG483" s="701"/>
      <c r="CH483" s="701"/>
      <c r="CI483" s="701"/>
      <c r="CJ483" s="701"/>
      <c r="CK483" s="701"/>
      <c r="CL483" s="701"/>
      <c r="CM483" s="701"/>
      <c r="CN483" s="701"/>
      <c r="CO483" s="701"/>
      <c r="CP483" s="701"/>
      <c r="CQ483" s="701"/>
      <c r="CR483" s="701"/>
      <c r="CS483" s="701"/>
      <c r="CT483" s="701"/>
      <c r="CU483" s="701"/>
      <c r="CV483" s="701"/>
      <c r="CW483" s="701"/>
      <c r="CX483" s="701"/>
      <c r="CY483" s="701"/>
      <c r="CZ483" s="701"/>
      <c r="DA483" s="701"/>
      <c r="DB483" s="701"/>
      <c r="DC483" s="701"/>
      <c r="DD483" s="701"/>
      <c r="DE483" s="701"/>
      <c r="DF483" s="701"/>
      <c r="DG483" s="701"/>
      <c r="DH483" s="710"/>
    </row>
    <row r="484" spans="1:112" s="66" customFormat="1" ht="14.4" collapsed="1" thickBot="1" x14ac:dyDescent="0.35">
      <c r="A484" s="652" t="s">
        <v>516</v>
      </c>
      <c r="B484" s="652"/>
      <c r="C484" s="654"/>
      <c r="D484" s="654"/>
      <c r="E484" s="654"/>
      <c r="F484" s="654"/>
      <c r="G484" s="654"/>
      <c r="H484" s="654"/>
      <c r="I484" s="738"/>
      <c r="J484" s="68"/>
      <c r="K484" s="667"/>
      <c r="L484" s="782"/>
      <c r="M484" s="782"/>
      <c r="N484" s="782"/>
      <c r="O484" s="782"/>
      <c r="P484" s="782"/>
      <c r="Q484" s="782"/>
      <c r="R484" s="782"/>
      <c r="S484" s="782"/>
      <c r="T484" s="782"/>
      <c r="U484" s="782"/>
      <c r="V484" s="782"/>
      <c r="W484" s="782"/>
      <c r="X484" s="782"/>
      <c r="Y484" s="782"/>
      <c r="Z484" s="782"/>
      <c r="AA484" s="782"/>
      <c r="AB484" s="782"/>
      <c r="AC484" s="782"/>
      <c r="AD484" s="782"/>
      <c r="AE484" s="782"/>
      <c r="AF484" s="782"/>
      <c r="AG484" s="782"/>
      <c r="AH484" s="782"/>
      <c r="AI484" s="782"/>
      <c r="AJ484" s="782"/>
      <c r="AK484" s="782"/>
      <c r="AL484" s="782"/>
      <c r="AM484" s="782"/>
      <c r="AN484" s="782"/>
      <c r="AO484" s="782"/>
      <c r="AP484" s="782"/>
      <c r="AQ484" s="782"/>
      <c r="AR484" s="782"/>
      <c r="AS484" s="782"/>
      <c r="AT484" s="782"/>
      <c r="AU484" s="782"/>
      <c r="AV484" s="782"/>
      <c r="AW484" s="782"/>
      <c r="AX484" s="782"/>
      <c r="AY484" s="782"/>
      <c r="AZ484" s="782"/>
      <c r="BA484" s="782"/>
      <c r="BB484" s="782"/>
      <c r="BC484" s="782"/>
      <c r="BD484" s="782"/>
      <c r="BE484" s="782"/>
      <c r="BF484" s="782"/>
      <c r="BG484" s="782"/>
      <c r="BH484" s="667"/>
      <c r="BI484" s="654"/>
      <c r="BJ484" s="652"/>
      <c r="BK484" s="652"/>
      <c r="BL484" s="654"/>
      <c r="BM484" s="652"/>
      <c r="BN484" s="652"/>
      <c r="BO484" s="652"/>
      <c r="BP484" s="652"/>
      <c r="BQ484" s="652"/>
      <c r="BR484" s="652"/>
      <c r="BS484" s="652"/>
      <c r="BT484" s="652"/>
      <c r="BU484" s="652"/>
      <c r="BV484" s="652"/>
      <c r="BW484" s="652"/>
      <c r="BX484" s="652"/>
      <c r="BY484" s="652"/>
      <c r="BZ484" s="652"/>
      <c r="CA484" s="652"/>
      <c r="CB484" s="652"/>
      <c r="CC484" s="652"/>
      <c r="CD484" s="652"/>
      <c r="CE484" s="652"/>
      <c r="CF484" s="652"/>
      <c r="CG484" s="652"/>
      <c r="CH484" s="652"/>
      <c r="CI484" s="652"/>
      <c r="CJ484" s="652"/>
      <c r="CK484" s="652"/>
      <c r="CL484" s="652"/>
      <c r="CM484" s="652"/>
      <c r="CN484" s="652"/>
      <c r="CO484" s="652"/>
      <c r="CP484" s="652"/>
      <c r="CQ484" s="652"/>
      <c r="CR484" s="652"/>
      <c r="CS484" s="652"/>
      <c r="CT484" s="652"/>
      <c r="CU484" s="652"/>
      <c r="CV484" s="652"/>
      <c r="CW484" s="652"/>
      <c r="CX484" s="652"/>
      <c r="CY484" s="652"/>
      <c r="CZ484" s="652"/>
      <c r="DA484" s="652"/>
      <c r="DB484" s="652"/>
      <c r="DC484" s="652"/>
      <c r="DD484" s="652"/>
      <c r="DE484" s="652"/>
      <c r="DF484" s="652"/>
      <c r="DG484" s="652"/>
      <c r="DH484" s="652"/>
    </row>
    <row r="485" spans="1:112" s="66" customFormat="1" ht="25.8" thickBot="1" x14ac:dyDescent="0.35">
      <c r="A485" s="652" t="str">
        <f>IF(J485&gt;0,"Imprimir","")</f>
        <v>Imprimir</v>
      </c>
      <c r="B485" s="652"/>
      <c r="C485" s="841" t="s">
        <v>2098</v>
      </c>
      <c r="D485" s="648"/>
      <c r="E485" s="739"/>
      <c r="F485" s="648"/>
      <c r="G485" s="648"/>
      <c r="H485" s="648"/>
      <c r="I485" s="648"/>
      <c r="J485" s="749">
        <f>SUBTOTAL(9,J486:J719)</f>
        <v>1294299.9140108509</v>
      </c>
      <c r="K485" s="653"/>
      <c r="L485" s="790">
        <f t="shared" ref="L485:BG485" si="194">SUBTOTAL(9,L486:L720)</f>
        <v>581277.25268290401</v>
      </c>
      <c r="M485" s="791">
        <f t="shared" si="194"/>
        <v>13248.837142857141</v>
      </c>
      <c r="N485" s="791">
        <f t="shared" si="194"/>
        <v>27536.767142857138</v>
      </c>
      <c r="O485" s="791">
        <f t="shared" si="194"/>
        <v>33752.407142857133</v>
      </c>
      <c r="P485" s="791">
        <f t="shared" si="194"/>
        <v>60508.443142857141</v>
      </c>
      <c r="Q485" s="791">
        <f t="shared" si="194"/>
        <v>13248.837142857141</v>
      </c>
      <c r="R485" s="791">
        <f t="shared" si="194"/>
        <v>37436.817142857144</v>
      </c>
      <c r="S485" s="791">
        <f t="shared" si="194"/>
        <v>27401.507142857139</v>
      </c>
      <c r="T485" s="791">
        <f t="shared" si="194"/>
        <v>37436.817142857144</v>
      </c>
      <c r="U485" s="791">
        <f t="shared" si="194"/>
        <v>13248.837142857141</v>
      </c>
      <c r="V485" s="791">
        <f t="shared" si="194"/>
        <v>37436.817142857144</v>
      </c>
      <c r="W485" s="791">
        <f t="shared" si="194"/>
        <v>44427.887542857148</v>
      </c>
      <c r="X485" s="791">
        <f t="shared" si="194"/>
        <v>37436.817142857144</v>
      </c>
      <c r="Y485" s="791">
        <f t="shared" si="194"/>
        <v>13541.257142857141</v>
      </c>
      <c r="Z485" s="791">
        <f t="shared" si="194"/>
        <v>59416.094927947066</v>
      </c>
      <c r="AA485" s="791">
        <f t="shared" si="194"/>
        <v>11567.211428571429</v>
      </c>
      <c r="AB485" s="791">
        <f t="shared" si="194"/>
        <v>29111.871428571427</v>
      </c>
      <c r="AC485" s="791">
        <f t="shared" si="194"/>
        <v>5216.3114285714282</v>
      </c>
      <c r="AD485" s="791">
        <f t="shared" si="194"/>
        <v>29111.871428571427</v>
      </c>
      <c r="AE485" s="791">
        <f t="shared" si="194"/>
        <v>28908.76142857143</v>
      </c>
      <c r="AF485" s="791">
        <f t="shared" si="194"/>
        <v>29111.871428571427</v>
      </c>
      <c r="AG485" s="791">
        <f t="shared" si="194"/>
        <v>5216.3114285714282</v>
      </c>
      <c r="AH485" s="791">
        <f t="shared" si="194"/>
        <v>19211.821428571428</v>
      </c>
      <c r="AI485" s="791">
        <f t="shared" si="194"/>
        <v>19076.561428571429</v>
      </c>
      <c r="AJ485" s="791">
        <f t="shared" si="194"/>
        <v>67587.781428571412</v>
      </c>
      <c r="AK485" s="791">
        <f t="shared" si="194"/>
        <v>0</v>
      </c>
      <c r="AL485" s="791">
        <f t="shared" si="194"/>
        <v>0</v>
      </c>
      <c r="AM485" s="791">
        <f t="shared" si="194"/>
        <v>0</v>
      </c>
      <c r="AN485" s="791">
        <f t="shared" si="194"/>
        <v>0</v>
      </c>
      <c r="AO485" s="791">
        <f t="shared" si="194"/>
        <v>0</v>
      </c>
      <c r="AP485" s="791">
        <f t="shared" si="194"/>
        <v>0</v>
      </c>
      <c r="AQ485" s="791">
        <f t="shared" si="194"/>
        <v>0</v>
      </c>
      <c r="AR485" s="791">
        <f t="shared" si="194"/>
        <v>0</v>
      </c>
      <c r="AS485" s="791">
        <f t="shared" si="194"/>
        <v>0</v>
      </c>
      <c r="AT485" s="791">
        <f t="shared" si="194"/>
        <v>0</v>
      </c>
      <c r="AU485" s="791">
        <f t="shared" si="194"/>
        <v>0</v>
      </c>
      <c r="AV485" s="791">
        <f t="shared" si="194"/>
        <v>0</v>
      </c>
      <c r="AW485" s="791">
        <f t="shared" si="194"/>
        <v>0</v>
      </c>
      <c r="AX485" s="791">
        <f t="shared" si="194"/>
        <v>0</v>
      </c>
      <c r="AY485" s="791">
        <f t="shared" si="194"/>
        <v>0</v>
      </c>
      <c r="AZ485" s="791">
        <f t="shared" si="194"/>
        <v>0</v>
      </c>
      <c r="BA485" s="791">
        <f t="shared" si="194"/>
        <v>0</v>
      </c>
      <c r="BB485" s="791">
        <f t="shared" si="194"/>
        <v>0</v>
      </c>
      <c r="BC485" s="791">
        <f t="shared" si="194"/>
        <v>0</v>
      </c>
      <c r="BD485" s="791">
        <f t="shared" si="194"/>
        <v>0</v>
      </c>
      <c r="BE485" s="791">
        <f t="shared" si="194"/>
        <v>0</v>
      </c>
      <c r="BF485" s="791">
        <f t="shared" si="194"/>
        <v>0</v>
      </c>
      <c r="BG485" s="791">
        <f t="shared" si="194"/>
        <v>0</v>
      </c>
      <c r="BH485" s="798"/>
      <c r="BI485" s="654"/>
      <c r="BJ485" s="740"/>
      <c r="BK485" s="749">
        <f>SUBTOTAL(9,BK486:BK719)</f>
        <v>51341.965141299996</v>
      </c>
      <c r="BL485" s="654"/>
      <c r="BM485" s="794">
        <f t="shared" ref="BM485:DH485" si="195">SUBTOTAL(9,BM486:BM719)</f>
        <v>0</v>
      </c>
      <c r="BN485" s="793">
        <f t="shared" si="195"/>
        <v>0</v>
      </c>
      <c r="BO485" s="793">
        <f t="shared" si="195"/>
        <v>1364.972</v>
      </c>
      <c r="BP485" s="793">
        <f t="shared" si="195"/>
        <v>18913.021195699999</v>
      </c>
      <c r="BQ485" s="793">
        <f t="shared" si="195"/>
        <v>0</v>
      </c>
      <c r="BR485" s="793">
        <f t="shared" si="195"/>
        <v>10800</v>
      </c>
      <c r="BS485" s="793">
        <f t="shared" si="195"/>
        <v>20263.971945599998</v>
      </c>
      <c r="BT485" s="793">
        <f t="shared" si="195"/>
        <v>0</v>
      </c>
      <c r="BU485" s="793">
        <f t="shared" si="195"/>
        <v>0</v>
      </c>
      <c r="BV485" s="793">
        <f t="shared" si="195"/>
        <v>0</v>
      </c>
      <c r="BW485" s="793">
        <f t="shared" si="195"/>
        <v>0</v>
      </c>
      <c r="BX485" s="793">
        <f t="shared" si="195"/>
        <v>0</v>
      </c>
      <c r="BY485" s="793">
        <f t="shared" si="195"/>
        <v>0</v>
      </c>
      <c r="BZ485" s="793">
        <f t="shared" si="195"/>
        <v>0</v>
      </c>
      <c r="CA485" s="793">
        <f t="shared" si="195"/>
        <v>0</v>
      </c>
      <c r="CB485" s="793">
        <f t="shared" si="195"/>
        <v>0</v>
      </c>
      <c r="CC485" s="793">
        <f t="shared" si="195"/>
        <v>0</v>
      </c>
      <c r="CD485" s="793">
        <f t="shared" si="195"/>
        <v>0</v>
      </c>
      <c r="CE485" s="793">
        <f t="shared" si="195"/>
        <v>0</v>
      </c>
      <c r="CF485" s="793">
        <f t="shared" si="195"/>
        <v>0</v>
      </c>
      <c r="CG485" s="793">
        <f t="shared" si="195"/>
        <v>0</v>
      </c>
      <c r="CH485" s="793">
        <f t="shared" si="195"/>
        <v>0</v>
      </c>
      <c r="CI485" s="793">
        <f t="shared" si="195"/>
        <v>0</v>
      </c>
      <c r="CJ485" s="793">
        <f t="shared" si="195"/>
        <v>0</v>
      </c>
      <c r="CK485" s="793">
        <f t="shared" si="195"/>
        <v>0</v>
      </c>
      <c r="CL485" s="793">
        <f t="shared" si="195"/>
        <v>0</v>
      </c>
      <c r="CM485" s="793">
        <f t="shared" si="195"/>
        <v>0</v>
      </c>
      <c r="CN485" s="793">
        <f t="shared" si="195"/>
        <v>0</v>
      </c>
      <c r="CO485" s="793">
        <f t="shared" si="195"/>
        <v>0</v>
      </c>
      <c r="CP485" s="793">
        <f t="shared" si="195"/>
        <v>0</v>
      </c>
      <c r="CQ485" s="793">
        <f t="shared" si="195"/>
        <v>0</v>
      </c>
      <c r="CR485" s="793">
        <f t="shared" si="195"/>
        <v>0</v>
      </c>
      <c r="CS485" s="793">
        <f t="shared" si="195"/>
        <v>0</v>
      </c>
      <c r="CT485" s="793">
        <f t="shared" si="195"/>
        <v>0</v>
      </c>
      <c r="CU485" s="793">
        <f t="shared" si="195"/>
        <v>0</v>
      </c>
      <c r="CV485" s="793">
        <f t="shared" si="195"/>
        <v>0</v>
      </c>
      <c r="CW485" s="793">
        <f t="shared" si="195"/>
        <v>0</v>
      </c>
      <c r="CX485" s="793">
        <f t="shared" si="195"/>
        <v>0</v>
      </c>
      <c r="CY485" s="793">
        <f t="shared" si="195"/>
        <v>0</v>
      </c>
      <c r="CZ485" s="793">
        <f t="shared" si="195"/>
        <v>0</v>
      </c>
      <c r="DA485" s="793">
        <f t="shared" si="195"/>
        <v>0</v>
      </c>
      <c r="DB485" s="793">
        <f t="shared" si="195"/>
        <v>0</v>
      </c>
      <c r="DC485" s="793">
        <f t="shared" si="195"/>
        <v>0</v>
      </c>
      <c r="DD485" s="793">
        <f t="shared" si="195"/>
        <v>0</v>
      </c>
      <c r="DE485" s="793">
        <f t="shared" si="195"/>
        <v>0</v>
      </c>
      <c r="DF485" s="793">
        <f t="shared" si="195"/>
        <v>0</v>
      </c>
      <c r="DG485" s="793">
        <f t="shared" si="195"/>
        <v>0</v>
      </c>
      <c r="DH485" s="749">
        <f t="shared" si="195"/>
        <v>0</v>
      </c>
    </row>
    <row r="486" spans="1:112" s="649" customFormat="1" x14ac:dyDescent="0.3">
      <c r="A486" s="652" t="str">
        <f>IF(J486&gt;0,"Imprimir","")</f>
        <v>Imprimir</v>
      </c>
      <c r="B486" s="652"/>
      <c r="C486" s="655"/>
      <c r="D486" s="656" t="s">
        <v>374</v>
      </c>
      <c r="E486" s="656" t="s">
        <v>471</v>
      </c>
      <c r="F486" s="656"/>
      <c r="G486" s="656"/>
      <c r="H486" s="656"/>
      <c r="I486" s="657"/>
      <c r="J486" s="647">
        <f>SUBTOTAL(9,J489:J497)</f>
        <v>496610.74285714282</v>
      </c>
      <c r="K486" s="658"/>
      <c r="L486" s="770">
        <f t="shared" ref="L486:BG486" si="196">SUMPRODUCT($J489:$J497,L489:L497)</f>
        <v>184726.08000000002</v>
      </c>
      <c r="M486" s="771">
        <f t="shared" si="196"/>
        <v>0</v>
      </c>
      <c r="N486" s="771">
        <f t="shared" si="196"/>
        <v>14287.68</v>
      </c>
      <c r="O486" s="771">
        <f t="shared" si="196"/>
        <v>0</v>
      </c>
      <c r="P486" s="771">
        <f t="shared" si="196"/>
        <v>14287.68</v>
      </c>
      <c r="Q486" s="771">
        <f t="shared" si="196"/>
        <v>0</v>
      </c>
      <c r="R486" s="771">
        <f t="shared" si="196"/>
        <v>24187.68</v>
      </c>
      <c r="S486" s="771">
        <f t="shared" si="196"/>
        <v>0</v>
      </c>
      <c r="T486" s="771">
        <f t="shared" si="196"/>
        <v>24187.68</v>
      </c>
      <c r="U486" s="771">
        <f t="shared" si="196"/>
        <v>0</v>
      </c>
      <c r="V486" s="771">
        <f t="shared" si="196"/>
        <v>24187.68</v>
      </c>
      <c r="W486" s="771">
        <f t="shared" si="196"/>
        <v>0</v>
      </c>
      <c r="X486" s="771">
        <f t="shared" si="196"/>
        <v>24187.68</v>
      </c>
      <c r="Y486" s="771">
        <f t="shared" si="196"/>
        <v>0</v>
      </c>
      <c r="Z486" s="771">
        <f t="shared" si="196"/>
        <v>24187.68</v>
      </c>
      <c r="AA486" s="771">
        <f t="shared" si="196"/>
        <v>0</v>
      </c>
      <c r="AB486" s="771">
        <f t="shared" si="196"/>
        <v>24187.68</v>
      </c>
      <c r="AC486" s="771">
        <f t="shared" si="196"/>
        <v>0</v>
      </c>
      <c r="AD486" s="771">
        <f t="shared" si="196"/>
        <v>24187.68</v>
      </c>
      <c r="AE486" s="771">
        <f t="shared" si="196"/>
        <v>0</v>
      </c>
      <c r="AF486" s="771">
        <f t="shared" si="196"/>
        <v>24187.68</v>
      </c>
      <c r="AG486" s="771">
        <f t="shared" si="196"/>
        <v>0</v>
      </c>
      <c r="AH486" s="771">
        <f t="shared" si="196"/>
        <v>14287.68</v>
      </c>
      <c r="AI486" s="771">
        <f t="shared" si="196"/>
        <v>0</v>
      </c>
      <c r="AJ486" s="771">
        <f t="shared" si="196"/>
        <v>62663.040000000001</v>
      </c>
      <c r="AK486" s="771">
        <f t="shared" si="196"/>
        <v>0</v>
      </c>
      <c r="AL486" s="771">
        <f t="shared" si="196"/>
        <v>0</v>
      </c>
      <c r="AM486" s="771">
        <f t="shared" si="196"/>
        <v>0</v>
      </c>
      <c r="AN486" s="771">
        <f t="shared" si="196"/>
        <v>0</v>
      </c>
      <c r="AO486" s="771">
        <f t="shared" si="196"/>
        <v>0</v>
      </c>
      <c r="AP486" s="771">
        <f t="shared" si="196"/>
        <v>0</v>
      </c>
      <c r="AQ486" s="771">
        <f t="shared" si="196"/>
        <v>0</v>
      </c>
      <c r="AR486" s="771">
        <f t="shared" si="196"/>
        <v>0</v>
      </c>
      <c r="AS486" s="771">
        <f t="shared" si="196"/>
        <v>0</v>
      </c>
      <c r="AT486" s="771">
        <f t="shared" si="196"/>
        <v>0</v>
      </c>
      <c r="AU486" s="771">
        <f t="shared" si="196"/>
        <v>0</v>
      </c>
      <c r="AV486" s="771">
        <f t="shared" si="196"/>
        <v>0</v>
      </c>
      <c r="AW486" s="771">
        <f t="shared" si="196"/>
        <v>0</v>
      </c>
      <c r="AX486" s="771">
        <f t="shared" si="196"/>
        <v>0</v>
      </c>
      <c r="AY486" s="771">
        <f t="shared" si="196"/>
        <v>0</v>
      </c>
      <c r="AZ486" s="771">
        <f t="shared" si="196"/>
        <v>0</v>
      </c>
      <c r="BA486" s="771">
        <f t="shared" si="196"/>
        <v>0</v>
      </c>
      <c r="BB486" s="771">
        <f t="shared" si="196"/>
        <v>0</v>
      </c>
      <c r="BC486" s="771">
        <f t="shared" si="196"/>
        <v>0</v>
      </c>
      <c r="BD486" s="771">
        <f t="shared" si="196"/>
        <v>0</v>
      </c>
      <c r="BE486" s="771">
        <f t="shared" si="196"/>
        <v>0</v>
      </c>
      <c r="BF486" s="771">
        <f t="shared" si="196"/>
        <v>0</v>
      </c>
      <c r="BG486" s="764">
        <f t="shared" si="196"/>
        <v>0</v>
      </c>
      <c r="BH486" s="776"/>
      <c r="BI486" s="654"/>
      <c r="BJ486" s="659">
        <f>IFERROR(BK486/J486,0)</f>
        <v>6.2411601935312831E-2</v>
      </c>
      <c r="BK486" s="660">
        <f>SUBTOTAL(9,BK487:BK497)</f>
        <v>30994.271999999997</v>
      </c>
      <c r="BL486" s="654"/>
      <c r="BM486" s="661">
        <f t="shared" ref="BM486:DH486" si="197">SUBTOTAL(9,BM487:BM497)</f>
        <v>0</v>
      </c>
      <c r="BN486" s="662">
        <f t="shared" si="197"/>
        <v>0</v>
      </c>
      <c r="BO486" s="662">
        <f t="shared" si="197"/>
        <v>0</v>
      </c>
      <c r="BP486" s="662">
        <f t="shared" si="197"/>
        <v>0</v>
      </c>
      <c r="BQ486" s="662">
        <f t="shared" si="197"/>
        <v>0</v>
      </c>
      <c r="BR486" s="662">
        <f t="shared" si="197"/>
        <v>10800</v>
      </c>
      <c r="BS486" s="662">
        <f t="shared" si="197"/>
        <v>20194.271999999997</v>
      </c>
      <c r="BT486" s="662">
        <f t="shared" si="197"/>
        <v>0</v>
      </c>
      <c r="BU486" s="662">
        <f t="shared" si="197"/>
        <v>0</v>
      </c>
      <c r="BV486" s="662">
        <f t="shared" si="197"/>
        <v>0</v>
      </c>
      <c r="BW486" s="662">
        <f t="shared" si="197"/>
        <v>0</v>
      </c>
      <c r="BX486" s="662">
        <f t="shared" si="197"/>
        <v>0</v>
      </c>
      <c r="BY486" s="662">
        <f t="shared" si="197"/>
        <v>0</v>
      </c>
      <c r="BZ486" s="662">
        <f t="shared" si="197"/>
        <v>0</v>
      </c>
      <c r="CA486" s="662">
        <f t="shared" si="197"/>
        <v>0</v>
      </c>
      <c r="CB486" s="662">
        <f t="shared" si="197"/>
        <v>0</v>
      </c>
      <c r="CC486" s="662">
        <f t="shared" si="197"/>
        <v>0</v>
      </c>
      <c r="CD486" s="662">
        <f t="shared" si="197"/>
        <v>0</v>
      </c>
      <c r="CE486" s="662">
        <f t="shared" si="197"/>
        <v>0</v>
      </c>
      <c r="CF486" s="662">
        <f t="shared" si="197"/>
        <v>0</v>
      </c>
      <c r="CG486" s="662">
        <f t="shared" si="197"/>
        <v>0</v>
      </c>
      <c r="CH486" s="662">
        <f t="shared" si="197"/>
        <v>0</v>
      </c>
      <c r="CI486" s="662">
        <f t="shared" si="197"/>
        <v>0</v>
      </c>
      <c r="CJ486" s="662">
        <f t="shared" si="197"/>
        <v>0</v>
      </c>
      <c r="CK486" s="662">
        <f t="shared" si="197"/>
        <v>0</v>
      </c>
      <c r="CL486" s="662">
        <f t="shared" si="197"/>
        <v>0</v>
      </c>
      <c r="CM486" s="662">
        <f t="shared" si="197"/>
        <v>0</v>
      </c>
      <c r="CN486" s="662">
        <f t="shared" si="197"/>
        <v>0</v>
      </c>
      <c r="CO486" s="662">
        <f t="shared" si="197"/>
        <v>0</v>
      </c>
      <c r="CP486" s="662">
        <f t="shared" si="197"/>
        <v>0</v>
      </c>
      <c r="CQ486" s="662">
        <f t="shared" si="197"/>
        <v>0</v>
      </c>
      <c r="CR486" s="662">
        <f t="shared" si="197"/>
        <v>0</v>
      </c>
      <c r="CS486" s="662">
        <f t="shared" si="197"/>
        <v>0</v>
      </c>
      <c r="CT486" s="662">
        <f t="shared" si="197"/>
        <v>0</v>
      </c>
      <c r="CU486" s="662">
        <f t="shared" si="197"/>
        <v>0</v>
      </c>
      <c r="CV486" s="662">
        <f t="shared" si="197"/>
        <v>0</v>
      </c>
      <c r="CW486" s="662">
        <f t="shared" si="197"/>
        <v>0</v>
      </c>
      <c r="CX486" s="662">
        <f t="shared" si="197"/>
        <v>0</v>
      </c>
      <c r="CY486" s="662">
        <f t="shared" si="197"/>
        <v>0</v>
      </c>
      <c r="CZ486" s="662">
        <f t="shared" si="197"/>
        <v>0</v>
      </c>
      <c r="DA486" s="662">
        <f t="shared" si="197"/>
        <v>0</v>
      </c>
      <c r="DB486" s="662">
        <f t="shared" si="197"/>
        <v>0</v>
      </c>
      <c r="DC486" s="662">
        <f t="shared" si="197"/>
        <v>0</v>
      </c>
      <c r="DD486" s="662">
        <f t="shared" si="197"/>
        <v>0</v>
      </c>
      <c r="DE486" s="662">
        <f t="shared" si="197"/>
        <v>0</v>
      </c>
      <c r="DF486" s="662">
        <f t="shared" si="197"/>
        <v>0</v>
      </c>
      <c r="DG486" s="662">
        <f t="shared" si="197"/>
        <v>0</v>
      </c>
      <c r="DH486" s="663">
        <f t="shared" si="197"/>
        <v>0</v>
      </c>
    </row>
    <row r="487" spans="1:112" s="649" customFormat="1" outlineLevel="1" x14ac:dyDescent="0.3">
      <c r="A487" s="652" t="str">
        <f>IF(J486&gt;0,"Imprimir","")</f>
        <v>Imprimir</v>
      </c>
      <c r="B487" s="652"/>
      <c r="C487" s="664"/>
      <c r="D487" s="665"/>
      <c r="E487" s="665"/>
      <c r="F487" s="665" t="s">
        <v>472</v>
      </c>
      <c r="G487" s="665" t="s">
        <v>2128</v>
      </c>
      <c r="H487" s="665" t="s">
        <v>98</v>
      </c>
      <c r="I487" s="665" t="s">
        <v>474</v>
      </c>
      <c r="J487" s="104" t="s">
        <v>29</v>
      </c>
      <c r="K487" s="667"/>
      <c r="L487" s="745"/>
      <c r="M487" s="741"/>
      <c r="N487" s="741"/>
      <c r="O487" s="741"/>
      <c r="P487" s="741"/>
      <c r="Q487" s="741"/>
      <c r="R487" s="741"/>
      <c r="S487" s="741"/>
      <c r="T487" s="741"/>
      <c r="U487" s="741"/>
      <c r="V487" s="741"/>
      <c r="W487" s="741"/>
      <c r="X487" s="741"/>
      <c r="Y487" s="741"/>
      <c r="Z487" s="741"/>
      <c r="AA487" s="741"/>
      <c r="AB487" s="741"/>
      <c r="AC487" s="741"/>
      <c r="AD487" s="741"/>
      <c r="AE487" s="741"/>
      <c r="AF487" s="741"/>
      <c r="AG487" s="741"/>
      <c r="AH487" s="741"/>
      <c r="AI487" s="741"/>
      <c r="AJ487" s="741"/>
      <c r="AK487" s="741"/>
      <c r="AL487" s="741"/>
      <c r="AM487" s="741"/>
      <c r="AN487" s="741"/>
      <c r="AO487" s="741"/>
      <c r="AP487" s="741"/>
      <c r="AQ487" s="741"/>
      <c r="AR487" s="741"/>
      <c r="AS487" s="741"/>
      <c r="AT487" s="741"/>
      <c r="AU487" s="741"/>
      <c r="AV487" s="741"/>
      <c r="AW487" s="741"/>
      <c r="AX487" s="741"/>
      <c r="AY487" s="741"/>
      <c r="AZ487" s="741"/>
      <c r="BA487" s="741"/>
      <c r="BB487" s="741"/>
      <c r="BC487" s="741"/>
      <c r="BD487" s="741"/>
      <c r="BE487" s="741"/>
      <c r="BF487" s="741"/>
      <c r="BG487" s="741"/>
      <c r="BH487" s="668"/>
      <c r="BI487" s="654"/>
      <c r="BJ487" s="669"/>
      <c r="BK487" s="670"/>
      <c r="BL487" s="654"/>
      <c r="BM487" s="671"/>
      <c r="BN487" s="665"/>
      <c r="BO487" s="665"/>
      <c r="BP487" s="665"/>
      <c r="BQ487" s="665"/>
      <c r="BR487" s="665"/>
      <c r="BS487" s="665"/>
      <c r="BT487" s="665"/>
      <c r="BU487" s="665"/>
      <c r="BV487" s="665"/>
      <c r="BW487" s="665"/>
      <c r="BX487" s="665"/>
      <c r="BY487" s="665"/>
      <c r="BZ487" s="665"/>
      <c r="CA487" s="665"/>
      <c r="CB487" s="665"/>
      <c r="CC487" s="665"/>
      <c r="CD487" s="665"/>
      <c r="CE487" s="665"/>
      <c r="CF487" s="665"/>
      <c r="CG487" s="665"/>
      <c r="CH487" s="665"/>
      <c r="CI487" s="665"/>
      <c r="CJ487" s="665"/>
      <c r="CK487" s="665"/>
      <c r="CL487" s="665"/>
      <c r="CM487" s="665"/>
      <c r="CN487" s="665"/>
      <c r="CO487" s="665"/>
      <c r="CP487" s="665"/>
      <c r="CQ487" s="665"/>
      <c r="CR487" s="665"/>
      <c r="CS487" s="665"/>
      <c r="CT487" s="665"/>
      <c r="CU487" s="665"/>
      <c r="CV487" s="665"/>
      <c r="CW487" s="665"/>
      <c r="CX487" s="665"/>
      <c r="CY487" s="665"/>
      <c r="CZ487" s="665"/>
      <c r="DA487" s="665"/>
      <c r="DB487" s="665"/>
      <c r="DC487" s="665"/>
      <c r="DD487" s="665"/>
      <c r="DE487" s="665"/>
      <c r="DF487" s="665"/>
      <c r="DG487" s="665"/>
      <c r="DH487" s="666"/>
    </row>
    <row r="488" spans="1:112" s="649" customFormat="1" ht="15.6" outlineLevel="1" x14ac:dyDescent="0.3">
      <c r="A488" s="652" t="str">
        <f>IF(J488&gt;0,"Imprimir","")</f>
        <v>Imprimir</v>
      </c>
      <c r="B488" s="652"/>
      <c r="C488" s="672"/>
      <c r="D488" s="673"/>
      <c r="E488" s="674"/>
      <c r="F488" s="675"/>
      <c r="G488" s="675"/>
      <c r="H488" s="676"/>
      <c r="I488" s="677"/>
      <c r="J488" s="219">
        <f>SUBTOTAL(9,J489:J497)</f>
        <v>496610.74285714282</v>
      </c>
      <c r="K488" s="678"/>
      <c r="L488" s="747"/>
      <c r="M488" s="742"/>
      <c r="N488" s="742"/>
      <c r="O488" s="742"/>
      <c r="P488" s="742"/>
      <c r="Q488" s="742"/>
      <c r="R488" s="742"/>
      <c r="S488" s="742"/>
      <c r="T488" s="742"/>
      <c r="U488" s="742"/>
      <c r="V488" s="742"/>
      <c r="W488" s="742"/>
      <c r="X488" s="742"/>
      <c r="Y488" s="742"/>
      <c r="Z488" s="742"/>
      <c r="AA488" s="742"/>
      <c r="AB488" s="742"/>
      <c r="AC488" s="742"/>
      <c r="AD488" s="742"/>
      <c r="AE488" s="742"/>
      <c r="AF488" s="742"/>
      <c r="AG488" s="742"/>
      <c r="AH488" s="742"/>
      <c r="AI488" s="742"/>
      <c r="AJ488" s="742"/>
      <c r="AK488" s="742"/>
      <c r="AL488" s="742"/>
      <c r="AM488" s="742"/>
      <c r="AN488" s="742"/>
      <c r="AO488" s="742"/>
      <c r="AP488" s="742"/>
      <c r="AQ488" s="742"/>
      <c r="AR488" s="742"/>
      <c r="AS488" s="742"/>
      <c r="AT488" s="742"/>
      <c r="AU488" s="742"/>
      <c r="AV488" s="742"/>
      <c r="AW488" s="742"/>
      <c r="AX488" s="742"/>
      <c r="AY488" s="742"/>
      <c r="AZ488" s="742"/>
      <c r="BA488" s="742"/>
      <c r="BB488" s="742"/>
      <c r="BC488" s="742"/>
      <c r="BD488" s="742"/>
      <c r="BE488" s="742"/>
      <c r="BF488" s="742"/>
      <c r="BG488" s="742"/>
      <c r="BH488" s="679"/>
      <c r="BI488" s="654"/>
      <c r="BJ488" s="680"/>
      <c r="BK488" s="681"/>
      <c r="BL488" s="654"/>
      <c r="BM488" s="682"/>
      <c r="BN488" s="683"/>
      <c r="BO488" s="683"/>
      <c r="BP488" s="683"/>
      <c r="BQ488" s="683"/>
      <c r="BR488" s="683"/>
      <c r="BS488" s="683"/>
      <c r="BT488" s="683"/>
      <c r="BU488" s="683"/>
      <c r="BV488" s="683"/>
      <c r="BW488" s="683"/>
      <c r="BX488" s="683"/>
      <c r="BY488" s="683"/>
      <c r="BZ488" s="683"/>
      <c r="CA488" s="683"/>
      <c r="CB488" s="683"/>
      <c r="CC488" s="683"/>
      <c r="CD488" s="683"/>
      <c r="CE488" s="683"/>
      <c r="CF488" s="683"/>
      <c r="CG488" s="683"/>
      <c r="CH488" s="683"/>
      <c r="CI488" s="683"/>
      <c r="CJ488" s="683"/>
      <c r="CK488" s="683"/>
      <c r="CL488" s="683"/>
      <c r="CM488" s="683"/>
      <c r="CN488" s="683"/>
      <c r="CO488" s="683"/>
      <c r="CP488" s="683"/>
      <c r="CQ488" s="683"/>
      <c r="CR488" s="683"/>
      <c r="CS488" s="683"/>
      <c r="CT488" s="683"/>
      <c r="CU488" s="683"/>
      <c r="CV488" s="683"/>
      <c r="CW488" s="683"/>
      <c r="CX488" s="683"/>
      <c r="CY488" s="683"/>
      <c r="CZ488" s="683"/>
      <c r="DA488" s="683"/>
      <c r="DB488" s="683"/>
      <c r="DC488" s="683"/>
      <c r="DD488" s="683"/>
      <c r="DE488" s="683"/>
      <c r="DF488" s="683"/>
      <c r="DG488" s="683"/>
      <c r="DH488" s="684"/>
    </row>
    <row r="489" spans="1:112" s="649" customFormat="1" outlineLevel="1" x14ac:dyDescent="0.3">
      <c r="A489" s="652" t="str">
        <f t="shared" ref="A489:A496" si="198">IF(J489="","",IF(J489=0,"","Imprimir"))</f>
        <v>Imprimir</v>
      </c>
      <c r="B489" s="652"/>
      <c r="C489" s="685"/>
      <c r="D489" s="686" t="s">
        <v>2519</v>
      </c>
      <c r="E489" s="686" t="s">
        <v>2010</v>
      </c>
      <c r="F489" s="687"/>
      <c r="G489" s="688">
        <v>262</v>
      </c>
      <c r="H489" s="531">
        <f>Producción!G56*1</f>
        <v>72</v>
      </c>
      <c r="I489" s="851">
        <f t="shared" ref="I489:I496" si="199">IF(E489&gt;0,$J$5,"")</f>
        <v>1</v>
      </c>
      <c r="J489" s="850">
        <f>IFERROR(G489*H489*I489,"")</f>
        <v>18864</v>
      </c>
      <c r="K489" s="667"/>
      <c r="L489" s="862">
        <v>0.3</v>
      </c>
      <c r="M489" s="859"/>
      <c r="N489" s="859">
        <v>0.05</v>
      </c>
      <c r="O489" s="859"/>
      <c r="P489" s="859">
        <v>0.05</v>
      </c>
      <c r="Q489" s="859"/>
      <c r="R489" s="859">
        <v>0.05</v>
      </c>
      <c r="S489" s="859"/>
      <c r="T489" s="859">
        <v>0.05</v>
      </c>
      <c r="U489" s="859"/>
      <c r="V489" s="859">
        <v>0.05</v>
      </c>
      <c r="W489" s="859"/>
      <c r="X489" s="859">
        <v>0.05</v>
      </c>
      <c r="Y489" s="859"/>
      <c r="Z489" s="860">
        <v>0.05</v>
      </c>
      <c r="AA489" s="860"/>
      <c r="AB489" s="860">
        <v>0.05</v>
      </c>
      <c r="AC489" s="860"/>
      <c r="AD489" s="860">
        <v>0.05</v>
      </c>
      <c r="AE489" s="860"/>
      <c r="AF489" s="860">
        <v>0.05</v>
      </c>
      <c r="AG489" s="860"/>
      <c r="AH489" s="860">
        <v>0.05</v>
      </c>
      <c r="AI489" s="860"/>
      <c r="AJ489" s="860">
        <v>0.15</v>
      </c>
      <c r="AK489" s="860"/>
      <c r="AL489" s="860"/>
      <c r="AM489" s="860"/>
      <c r="AN489" s="860"/>
      <c r="AO489" s="860"/>
      <c r="AP489" s="860"/>
      <c r="AQ489" s="860"/>
      <c r="AR489" s="860"/>
      <c r="AS489" s="860"/>
      <c r="AT489" s="860"/>
      <c r="AU489" s="860"/>
      <c r="AV489" s="860"/>
      <c r="AW489" s="860"/>
      <c r="AX489" s="860"/>
      <c r="AY489" s="860"/>
      <c r="AZ489" s="860"/>
      <c r="BA489" s="860"/>
      <c r="BB489" s="860"/>
      <c r="BC489" s="860"/>
      <c r="BD489" s="860"/>
      <c r="BE489" s="860"/>
      <c r="BF489" s="860"/>
      <c r="BG489" s="860"/>
      <c r="BH489" s="668"/>
      <c r="BI489" s="654"/>
      <c r="BJ489" s="690">
        <f t="shared" ref="BJ489:BJ496" si="200">IFERROR(BK489/J489,0)</f>
        <v>0</v>
      </c>
      <c r="BK489" s="691">
        <f t="shared" ref="BK489:BK496" si="201">SUM(BM489:DH489)</f>
        <v>0</v>
      </c>
      <c r="BL489" s="654"/>
      <c r="BM489" s="692">
        <f>SUMIFS(Imput[Importe Neto],Imput[C. Imp.],$D489,Imput[PERIODO Imp.],BM$9)</f>
        <v>0</v>
      </c>
      <c r="BN489" s="693">
        <f>SUMIFS(Imput[Importe Neto],Imput[C. Imp.],$D489,Imput[PERIODO Imp.],BN$9)</f>
        <v>0</v>
      </c>
      <c r="BO489" s="693">
        <f>SUMIFS(Imput[Importe Neto],Imput[C. Imp.],$D489,Imput[PERIODO Imp.],BO$9)</f>
        <v>0</v>
      </c>
      <c r="BP489" s="693">
        <f>SUMIFS(Imput[Importe Neto],Imput[C. Imp.],$D489,Imput[PERIODO Imp.],BP$9)</f>
        <v>0</v>
      </c>
      <c r="BQ489" s="693">
        <f>SUMIFS(Imput[Importe Neto],Imput[C. Imp.],$D489,Imput[PERIODO Imp.],BQ$9)</f>
        <v>0</v>
      </c>
      <c r="BR489" s="693">
        <f>SUMIFS(Imput[Importe Neto],Imput[C. Imp.],$D489,Imput[PERIODO Imp.],BR$9)</f>
        <v>0</v>
      </c>
      <c r="BS489" s="693">
        <f>SUMIFS(Imput[Importe Neto],Imput[C. Imp.],$D489,Imput[PERIODO Imp.],BS$9)</f>
        <v>0</v>
      </c>
      <c r="BT489" s="693">
        <f>SUMIFS(Imput[Importe Neto],Imput[C. Imp.],$D489,Imput[PERIODO Imp.],BT$9)</f>
        <v>0</v>
      </c>
      <c r="BU489" s="693">
        <f>SUMIFS(Imput[Importe Neto],Imput[C. Imp.],$D489,Imput[PERIODO Imp.],BU$9)</f>
        <v>0</v>
      </c>
      <c r="BV489" s="693">
        <f>SUMIFS(Imput[Importe Neto],Imput[C. Imp.],$D489,Imput[PERIODO Imp.],BV$9)</f>
        <v>0</v>
      </c>
      <c r="BW489" s="693">
        <f>SUMIFS(Imput[Importe Neto],Imput[C. Imp.],$D489,Imput[PERIODO Imp.],BW$9)</f>
        <v>0</v>
      </c>
      <c r="BX489" s="693">
        <f>SUMIFS(Imput[Importe Neto],Imput[C. Imp.],$D489,Imput[PERIODO Imp.],BX$9)</f>
        <v>0</v>
      </c>
      <c r="BY489" s="693">
        <f>SUMIFS(Imput[Importe Neto],Imput[C. Imp.],$D489,Imput[PERIODO Imp.],BY$9)</f>
        <v>0</v>
      </c>
      <c r="BZ489" s="693">
        <f>SUMIFS(Imput[Importe Neto],Imput[C. Imp.],$D489,Imput[PERIODO Imp.],BZ$9)</f>
        <v>0</v>
      </c>
      <c r="CA489" s="693">
        <f>SUMIFS(Imput[Importe Neto],Imput[C. Imp.],$D489,Imput[PERIODO Imp.],CA$9)</f>
        <v>0</v>
      </c>
      <c r="CB489" s="693">
        <f>SUMIFS(Imput[Importe Neto],Imput[C. Imp.],$D489,Imput[PERIODO Imp.],CB$9)</f>
        <v>0</v>
      </c>
      <c r="CC489" s="693">
        <f>SUMIFS(Imput[Importe Neto],Imput[C. Imp.],$D489,Imput[PERIODO Imp.],CC$9)</f>
        <v>0</v>
      </c>
      <c r="CD489" s="693">
        <f>SUMIFS(Imput[Importe Neto],Imput[C. Imp.],$D489,Imput[PERIODO Imp.],CD$9)</f>
        <v>0</v>
      </c>
      <c r="CE489" s="693">
        <f>SUMIFS(Imput[Importe Neto],Imput[C. Imp.],$D489,Imput[PERIODO Imp.],CE$9)</f>
        <v>0</v>
      </c>
      <c r="CF489" s="693">
        <f>SUMIFS(Imput[Importe Neto],Imput[C. Imp.],$D489,Imput[PERIODO Imp.],CF$9)</f>
        <v>0</v>
      </c>
      <c r="CG489" s="693">
        <f>SUMIFS(Imput[Importe Neto],Imput[C. Imp.],$D489,Imput[PERIODO Imp.],CG$9)</f>
        <v>0</v>
      </c>
      <c r="CH489" s="693">
        <f>SUMIFS(Imput[Importe Neto],Imput[C. Imp.],$D489,Imput[PERIODO Imp.],CH$9)</f>
        <v>0</v>
      </c>
      <c r="CI489" s="693">
        <f>SUMIFS(Imput[Importe Neto],Imput[C. Imp.],$D489,Imput[PERIODO Imp.],CI$9)</f>
        <v>0</v>
      </c>
      <c r="CJ489" s="693">
        <f>SUMIFS(Imput[Importe Neto],Imput[C. Imp.],$D489,Imput[PERIODO Imp.],CJ$9)</f>
        <v>0</v>
      </c>
      <c r="CK489" s="693">
        <f>SUMIFS(Imput[Importe Neto],Imput[C. Imp.],$D489,Imput[PERIODO Imp.],CK$9)</f>
        <v>0</v>
      </c>
      <c r="CL489" s="693">
        <f>SUMIFS(Imput[Importe Neto],Imput[C. Imp.],$D489,Imput[PERIODO Imp.],CL$9)</f>
        <v>0</v>
      </c>
      <c r="CM489" s="693">
        <f>SUMIFS(Imput[Importe Neto],Imput[C. Imp.],$D489,Imput[PERIODO Imp.],CM$9)</f>
        <v>0</v>
      </c>
      <c r="CN489" s="693">
        <f>SUMIFS(Imput[Importe Neto],Imput[C. Imp.],$D489,Imput[PERIODO Imp.],CN$9)</f>
        <v>0</v>
      </c>
      <c r="CO489" s="693">
        <f>SUMIFS(Imput[Importe Neto],Imput[C. Imp.],$D489,Imput[PERIODO Imp.],CO$9)</f>
        <v>0</v>
      </c>
      <c r="CP489" s="693">
        <f>SUMIFS(Imput[Importe Neto],Imput[C. Imp.],$D489,Imput[PERIODO Imp.],CP$9)</f>
        <v>0</v>
      </c>
      <c r="CQ489" s="693">
        <f>SUMIFS(Imput[Importe Neto],Imput[C. Imp.],$D489,Imput[PERIODO Imp.],CQ$9)</f>
        <v>0</v>
      </c>
      <c r="CR489" s="693">
        <f>SUMIFS(Imput[Importe Neto],Imput[C. Imp.],$D489,Imput[PERIODO Imp.],CR$9)</f>
        <v>0</v>
      </c>
      <c r="CS489" s="693">
        <f>SUMIFS(Imput[Importe Neto],Imput[C. Imp.],$D489,Imput[PERIODO Imp.],CS$9)</f>
        <v>0</v>
      </c>
      <c r="CT489" s="693">
        <f>SUMIFS(Imput[Importe Neto],Imput[C. Imp.],$D489,Imput[PERIODO Imp.],CT$9)</f>
        <v>0</v>
      </c>
      <c r="CU489" s="693">
        <f>SUMIFS(Imput[Importe Neto],Imput[C. Imp.],$D489,Imput[PERIODO Imp.],CU$9)</f>
        <v>0</v>
      </c>
      <c r="CV489" s="693">
        <f>SUMIFS(Imput[Importe Neto],Imput[C. Imp.],$D489,Imput[PERIODO Imp.],CV$9)</f>
        <v>0</v>
      </c>
      <c r="CW489" s="693">
        <f>SUMIFS(Imput[Importe Neto],Imput[C. Imp.],$D489,Imput[PERIODO Imp.],CW$9)</f>
        <v>0</v>
      </c>
      <c r="CX489" s="693">
        <f>SUMIFS(Imput[Importe Neto],Imput[C. Imp.],$D489,Imput[PERIODO Imp.],CX$9)</f>
        <v>0</v>
      </c>
      <c r="CY489" s="693">
        <f>SUMIFS(Imput[Importe Neto],Imput[C. Imp.],$D489,Imput[PERIODO Imp.],CY$9)</f>
        <v>0</v>
      </c>
      <c r="CZ489" s="693">
        <f>SUMIFS(Imput[Importe Neto],Imput[C. Imp.],$D489,Imput[PERIODO Imp.],CZ$9)</f>
        <v>0</v>
      </c>
      <c r="DA489" s="693">
        <f>SUMIFS(Imput[Importe Neto],Imput[C. Imp.],$D489,Imput[PERIODO Imp.],DA$9)</f>
        <v>0</v>
      </c>
      <c r="DB489" s="693">
        <f>SUMIFS(Imput[Importe Neto],Imput[C. Imp.],$D489,Imput[PERIODO Imp.],DB$9)</f>
        <v>0</v>
      </c>
      <c r="DC489" s="693">
        <f>SUMIFS(Imput[Importe Neto],Imput[C. Imp.],$D489,Imput[PERIODO Imp.],DC$9)</f>
        <v>0</v>
      </c>
      <c r="DD489" s="693">
        <f>SUMIFS(Imput[Importe Neto],Imput[C. Imp.],$D489,Imput[PERIODO Imp.],DD$9)</f>
        <v>0</v>
      </c>
      <c r="DE489" s="693">
        <f>SUMIFS(Imput[Importe Neto],Imput[C. Imp.],$D489,Imput[PERIODO Imp.],DE$9)</f>
        <v>0</v>
      </c>
      <c r="DF489" s="693">
        <f>SUMIFS(Imput[Importe Neto],Imput[C. Imp.],$D489,Imput[PERIODO Imp.],DF$9)</f>
        <v>0</v>
      </c>
      <c r="DG489" s="693">
        <f>SUMIFS(Imput[Importe Neto],Imput[C. Imp.],$D489,Imput[PERIODO Imp.],DG$9)</f>
        <v>0</v>
      </c>
      <c r="DH489" s="694">
        <f>SUMIFS(Imput[Importe Neto],Imput[C. Imp.],$D489,Imput[PERIODO Imp.],DH$9)</f>
        <v>0</v>
      </c>
    </row>
    <row r="490" spans="1:112" s="649" customFormat="1" outlineLevel="1" x14ac:dyDescent="0.3">
      <c r="A490" s="652" t="str">
        <f t="shared" si="198"/>
        <v>Imprimir</v>
      </c>
      <c r="B490" s="652"/>
      <c r="C490" s="685"/>
      <c r="D490" s="686" t="s">
        <v>2520</v>
      </c>
      <c r="E490" s="686" t="s">
        <v>2011</v>
      </c>
      <c r="F490" s="687"/>
      <c r="G490" s="688">
        <v>170</v>
      </c>
      <c r="H490" s="531">
        <f>Producción!G56*1</f>
        <v>72</v>
      </c>
      <c r="I490" s="851">
        <f t="shared" si="199"/>
        <v>1</v>
      </c>
      <c r="J490" s="850">
        <f t="shared" ref="J490:J496" si="202">IFERROR(G490*H490*I490,"")</f>
        <v>12240</v>
      </c>
      <c r="K490" s="667"/>
      <c r="L490" s="858">
        <v>0.3</v>
      </c>
      <c r="M490" s="859"/>
      <c r="N490" s="859">
        <v>0.05</v>
      </c>
      <c r="O490" s="859"/>
      <c r="P490" s="859">
        <v>0.05</v>
      </c>
      <c r="Q490" s="859"/>
      <c r="R490" s="859">
        <v>0.05</v>
      </c>
      <c r="S490" s="859"/>
      <c r="T490" s="859">
        <v>0.05</v>
      </c>
      <c r="U490" s="859"/>
      <c r="V490" s="859">
        <v>0.05</v>
      </c>
      <c r="W490" s="859"/>
      <c r="X490" s="859">
        <v>0.05</v>
      </c>
      <c r="Y490" s="859"/>
      <c r="Z490" s="860">
        <v>0.05</v>
      </c>
      <c r="AA490" s="860"/>
      <c r="AB490" s="860">
        <v>0.05</v>
      </c>
      <c r="AC490" s="860"/>
      <c r="AD490" s="860">
        <v>0.05</v>
      </c>
      <c r="AE490" s="860"/>
      <c r="AF490" s="860">
        <v>0.05</v>
      </c>
      <c r="AG490" s="860"/>
      <c r="AH490" s="860">
        <v>0.05</v>
      </c>
      <c r="AI490" s="860"/>
      <c r="AJ490" s="860">
        <v>0.15</v>
      </c>
      <c r="AK490" s="860"/>
      <c r="AL490" s="860"/>
      <c r="AM490" s="860"/>
      <c r="AN490" s="860"/>
      <c r="AO490" s="860"/>
      <c r="AP490" s="860"/>
      <c r="AQ490" s="860"/>
      <c r="AR490" s="860"/>
      <c r="AS490" s="860"/>
      <c r="AT490" s="860"/>
      <c r="AU490" s="860"/>
      <c r="AV490" s="860"/>
      <c r="AW490" s="860"/>
      <c r="AX490" s="860"/>
      <c r="AY490" s="860"/>
      <c r="AZ490" s="860"/>
      <c r="BA490" s="860"/>
      <c r="BB490" s="860"/>
      <c r="BC490" s="860"/>
      <c r="BD490" s="860"/>
      <c r="BE490" s="860"/>
      <c r="BF490" s="860"/>
      <c r="BG490" s="860"/>
      <c r="BH490" s="668"/>
      <c r="BI490" s="654"/>
      <c r="BJ490" s="690">
        <f t="shared" si="200"/>
        <v>0</v>
      </c>
      <c r="BK490" s="691">
        <f t="shared" si="201"/>
        <v>0</v>
      </c>
      <c r="BL490" s="654"/>
      <c r="BM490" s="692">
        <f>SUMIFS(Imput[Importe Neto],Imput[C. Imp.],$D490,Imput[PERIODO Imp.],BM$9)</f>
        <v>0</v>
      </c>
      <c r="BN490" s="693">
        <f>SUMIFS(Imput[Importe Neto],Imput[C. Imp.],$D490,Imput[PERIODO Imp.],BN$9)</f>
        <v>0</v>
      </c>
      <c r="BO490" s="693">
        <f>SUMIFS(Imput[Importe Neto],Imput[C. Imp.],$D490,Imput[PERIODO Imp.],BO$9)</f>
        <v>0</v>
      </c>
      <c r="BP490" s="693">
        <f>SUMIFS(Imput[Importe Neto],Imput[C. Imp.],$D490,Imput[PERIODO Imp.],BP$9)</f>
        <v>0</v>
      </c>
      <c r="BQ490" s="693">
        <f>SUMIFS(Imput[Importe Neto],Imput[C. Imp.],$D490,Imput[PERIODO Imp.],BQ$9)</f>
        <v>0</v>
      </c>
      <c r="BR490" s="693">
        <f>SUMIFS(Imput[Importe Neto],Imput[C. Imp.],$D490,Imput[PERIODO Imp.],BR$9)</f>
        <v>0</v>
      </c>
      <c r="BS490" s="693">
        <f>SUMIFS(Imput[Importe Neto],Imput[C. Imp.],$D490,Imput[PERIODO Imp.],BS$9)</f>
        <v>0</v>
      </c>
      <c r="BT490" s="693">
        <f>SUMIFS(Imput[Importe Neto],Imput[C. Imp.],$D490,Imput[PERIODO Imp.],BT$9)</f>
        <v>0</v>
      </c>
      <c r="BU490" s="693">
        <f>SUMIFS(Imput[Importe Neto],Imput[C. Imp.],$D490,Imput[PERIODO Imp.],BU$9)</f>
        <v>0</v>
      </c>
      <c r="BV490" s="693">
        <f>SUMIFS(Imput[Importe Neto],Imput[C. Imp.],$D490,Imput[PERIODO Imp.],BV$9)</f>
        <v>0</v>
      </c>
      <c r="BW490" s="693">
        <f>SUMIFS(Imput[Importe Neto],Imput[C. Imp.],$D490,Imput[PERIODO Imp.],BW$9)</f>
        <v>0</v>
      </c>
      <c r="BX490" s="693">
        <f>SUMIFS(Imput[Importe Neto],Imput[C. Imp.],$D490,Imput[PERIODO Imp.],BX$9)</f>
        <v>0</v>
      </c>
      <c r="BY490" s="693">
        <f>SUMIFS(Imput[Importe Neto],Imput[C. Imp.],$D490,Imput[PERIODO Imp.],BY$9)</f>
        <v>0</v>
      </c>
      <c r="BZ490" s="693">
        <f>SUMIFS(Imput[Importe Neto],Imput[C. Imp.],$D490,Imput[PERIODO Imp.],BZ$9)</f>
        <v>0</v>
      </c>
      <c r="CA490" s="693">
        <f>SUMIFS(Imput[Importe Neto],Imput[C. Imp.],$D490,Imput[PERIODO Imp.],CA$9)</f>
        <v>0</v>
      </c>
      <c r="CB490" s="693">
        <f>SUMIFS(Imput[Importe Neto],Imput[C. Imp.],$D490,Imput[PERIODO Imp.],CB$9)</f>
        <v>0</v>
      </c>
      <c r="CC490" s="693">
        <f>SUMIFS(Imput[Importe Neto],Imput[C. Imp.],$D490,Imput[PERIODO Imp.],CC$9)</f>
        <v>0</v>
      </c>
      <c r="CD490" s="693">
        <f>SUMIFS(Imput[Importe Neto],Imput[C. Imp.],$D490,Imput[PERIODO Imp.],CD$9)</f>
        <v>0</v>
      </c>
      <c r="CE490" s="693">
        <f>SUMIFS(Imput[Importe Neto],Imput[C. Imp.],$D490,Imput[PERIODO Imp.],CE$9)</f>
        <v>0</v>
      </c>
      <c r="CF490" s="693">
        <f>SUMIFS(Imput[Importe Neto],Imput[C. Imp.],$D490,Imput[PERIODO Imp.],CF$9)</f>
        <v>0</v>
      </c>
      <c r="CG490" s="693">
        <f>SUMIFS(Imput[Importe Neto],Imput[C. Imp.],$D490,Imput[PERIODO Imp.],CG$9)</f>
        <v>0</v>
      </c>
      <c r="CH490" s="693">
        <f>SUMIFS(Imput[Importe Neto],Imput[C. Imp.],$D490,Imput[PERIODO Imp.],CH$9)</f>
        <v>0</v>
      </c>
      <c r="CI490" s="693">
        <f>SUMIFS(Imput[Importe Neto],Imput[C. Imp.],$D490,Imput[PERIODO Imp.],CI$9)</f>
        <v>0</v>
      </c>
      <c r="CJ490" s="693">
        <f>SUMIFS(Imput[Importe Neto],Imput[C. Imp.],$D490,Imput[PERIODO Imp.],CJ$9)</f>
        <v>0</v>
      </c>
      <c r="CK490" s="693">
        <f>SUMIFS(Imput[Importe Neto],Imput[C. Imp.],$D490,Imput[PERIODO Imp.],CK$9)</f>
        <v>0</v>
      </c>
      <c r="CL490" s="693">
        <f>SUMIFS(Imput[Importe Neto],Imput[C. Imp.],$D490,Imput[PERIODO Imp.],CL$9)</f>
        <v>0</v>
      </c>
      <c r="CM490" s="693">
        <f>SUMIFS(Imput[Importe Neto],Imput[C. Imp.],$D490,Imput[PERIODO Imp.],CM$9)</f>
        <v>0</v>
      </c>
      <c r="CN490" s="693">
        <f>SUMIFS(Imput[Importe Neto],Imput[C. Imp.],$D490,Imput[PERIODO Imp.],CN$9)</f>
        <v>0</v>
      </c>
      <c r="CO490" s="693">
        <f>SUMIFS(Imput[Importe Neto],Imput[C. Imp.],$D490,Imput[PERIODO Imp.],CO$9)</f>
        <v>0</v>
      </c>
      <c r="CP490" s="693">
        <f>SUMIFS(Imput[Importe Neto],Imput[C. Imp.],$D490,Imput[PERIODO Imp.],CP$9)</f>
        <v>0</v>
      </c>
      <c r="CQ490" s="693">
        <f>SUMIFS(Imput[Importe Neto],Imput[C. Imp.],$D490,Imput[PERIODO Imp.],CQ$9)</f>
        <v>0</v>
      </c>
      <c r="CR490" s="693">
        <f>SUMIFS(Imput[Importe Neto],Imput[C. Imp.],$D490,Imput[PERIODO Imp.],CR$9)</f>
        <v>0</v>
      </c>
      <c r="CS490" s="693">
        <f>SUMIFS(Imput[Importe Neto],Imput[C. Imp.],$D490,Imput[PERIODO Imp.],CS$9)</f>
        <v>0</v>
      </c>
      <c r="CT490" s="693">
        <f>SUMIFS(Imput[Importe Neto],Imput[C. Imp.],$D490,Imput[PERIODO Imp.],CT$9)</f>
        <v>0</v>
      </c>
      <c r="CU490" s="693">
        <f>SUMIFS(Imput[Importe Neto],Imput[C. Imp.],$D490,Imput[PERIODO Imp.],CU$9)</f>
        <v>0</v>
      </c>
      <c r="CV490" s="693">
        <f>SUMIFS(Imput[Importe Neto],Imput[C. Imp.],$D490,Imput[PERIODO Imp.],CV$9)</f>
        <v>0</v>
      </c>
      <c r="CW490" s="693">
        <f>SUMIFS(Imput[Importe Neto],Imput[C. Imp.],$D490,Imput[PERIODO Imp.],CW$9)</f>
        <v>0</v>
      </c>
      <c r="CX490" s="693">
        <f>SUMIFS(Imput[Importe Neto],Imput[C. Imp.],$D490,Imput[PERIODO Imp.],CX$9)</f>
        <v>0</v>
      </c>
      <c r="CY490" s="693">
        <f>SUMIFS(Imput[Importe Neto],Imput[C. Imp.],$D490,Imput[PERIODO Imp.],CY$9)</f>
        <v>0</v>
      </c>
      <c r="CZ490" s="693">
        <f>SUMIFS(Imput[Importe Neto],Imput[C. Imp.],$D490,Imput[PERIODO Imp.],CZ$9)</f>
        <v>0</v>
      </c>
      <c r="DA490" s="693">
        <f>SUMIFS(Imput[Importe Neto],Imput[C. Imp.],$D490,Imput[PERIODO Imp.],DA$9)</f>
        <v>0</v>
      </c>
      <c r="DB490" s="693">
        <f>SUMIFS(Imput[Importe Neto],Imput[C. Imp.],$D490,Imput[PERIODO Imp.],DB$9)</f>
        <v>0</v>
      </c>
      <c r="DC490" s="693">
        <f>SUMIFS(Imput[Importe Neto],Imput[C. Imp.],$D490,Imput[PERIODO Imp.],DC$9)</f>
        <v>0</v>
      </c>
      <c r="DD490" s="693">
        <f>SUMIFS(Imput[Importe Neto],Imput[C. Imp.],$D490,Imput[PERIODO Imp.],DD$9)</f>
        <v>0</v>
      </c>
      <c r="DE490" s="693">
        <f>SUMIFS(Imput[Importe Neto],Imput[C. Imp.],$D490,Imput[PERIODO Imp.],DE$9)</f>
        <v>0</v>
      </c>
      <c r="DF490" s="693">
        <f>SUMIFS(Imput[Importe Neto],Imput[C. Imp.],$D490,Imput[PERIODO Imp.],DF$9)</f>
        <v>0</v>
      </c>
      <c r="DG490" s="693">
        <f>SUMIFS(Imput[Importe Neto],Imput[C. Imp.],$D490,Imput[PERIODO Imp.],DG$9)</f>
        <v>0</v>
      </c>
      <c r="DH490" s="694">
        <f>SUMIFS(Imput[Importe Neto],Imput[C. Imp.],$D490,Imput[PERIODO Imp.],DH$9)</f>
        <v>0</v>
      </c>
    </row>
    <row r="491" spans="1:112" s="649" customFormat="1" outlineLevel="1" x14ac:dyDescent="0.3">
      <c r="A491" s="652" t="str">
        <f t="shared" si="198"/>
        <v>Imprimir</v>
      </c>
      <c r="B491" s="652"/>
      <c r="C491" s="685"/>
      <c r="D491" s="686" t="s">
        <v>2521</v>
      </c>
      <c r="E491" s="686" t="s">
        <v>476</v>
      </c>
      <c r="F491" s="687"/>
      <c r="G491" s="688">
        <v>80000</v>
      </c>
      <c r="H491" s="531">
        <f>Producción!G56*0.022</f>
        <v>1.5839999999999999</v>
      </c>
      <c r="I491" s="851">
        <f t="shared" si="199"/>
        <v>1</v>
      </c>
      <c r="J491" s="850">
        <f t="shared" si="202"/>
        <v>126719.99999999999</v>
      </c>
      <c r="K491" s="667"/>
      <c r="L491" s="858">
        <v>0.3</v>
      </c>
      <c r="M491" s="859"/>
      <c r="N491" s="859">
        <v>0.05</v>
      </c>
      <c r="O491" s="859"/>
      <c r="P491" s="859">
        <v>0.05</v>
      </c>
      <c r="Q491" s="859"/>
      <c r="R491" s="859">
        <v>0.05</v>
      </c>
      <c r="S491" s="859"/>
      <c r="T491" s="859">
        <v>0.05</v>
      </c>
      <c r="U491" s="859"/>
      <c r="V491" s="859">
        <v>0.05</v>
      </c>
      <c r="W491" s="859"/>
      <c r="X491" s="859">
        <v>0.05</v>
      </c>
      <c r="Y491" s="859"/>
      <c r="Z491" s="860">
        <v>0.05</v>
      </c>
      <c r="AA491" s="860"/>
      <c r="AB491" s="860">
        <v>0.05</v>
      </c>
      <c r="AC491" s="860"/>
      <c r="AD491" s="860">
        <v>0.05</v>
      </c>
      <c r="AE491" s="860"/>
      <c r="AF491" s="860">
        <v>0.05</v>
      </c>
      <c r="AG491" s="860"/>
      <c r="AH491" s="860">
        <v>0.05</v>
      </c>
      <c r="AI491" s="860"/>
      <c r="AJ491" s="860">
        <v>0.15</v>
      </c>
      <c r="AK491" s="860"/>
      <c r="AL491" s="860"/>
      <c r="AM491" s="860"/>
      <c r="AN491" s="860"/>
      <c r="AO491" s="860"/>
      <c r="AP491" s="860"/>
      <c r="AQ491" s="860"/>
      <c r="AR491" s="860"/>
      <c r="AS491" s="860"/>
      <c r="AT491" s="860"/>
      <c r="AU491" s="860"/>
      <c r="AV491" s="860"/>
      <c r="AW491" s="860"/>
      <c r="AX491" s="860"/>
      <c r="AY491" s="860"/>
      <c r="AZ491" s="860"/>
      <c r="BA491" s="860"/>
      <c r="BB491" s="860"/>
      <c r="BC491" s="860"/>
      <c r="BD491" s="860"/>
      <c r="BE491" s="860"/>
      <c r="BF491" s="860"/>
      <c r="BG491" s="860"/>
      <c r="BH491" s="668"/>
      <c r="BI491" s="654"/>
      <c r="BJ491" s="690">
        <f t="shared" si="200"/>
        <v>0</v>
      </c>
      <c r="BK491" s="691">
        <f t="shared" si="201"/>
        <v>0</v>
      </c>
      <c r="BL491" s="654"/>
      <c r="BM491" s="692">
        <f>SUMIFS(Imput[Importe Neto],Imput[C. Imp.],$D491,Imput[PERIODO Imp.],BM$9)</f>
        <v>0</v>
      </c>
      <c r="BN491" s="693">
        <f>SUMIFS(Imput[Importe Neto],Imput[C. Imp.],$D491,Imput[PERIODO Imp.],BN$9)</f>
        <v>0</v>
      </c>
      <c r="BO491" s="693">
        <f>SUMIFS(Imput[Importe Neto],Imput[C. Imp.],$D491,Imput[PERIODO Imp.],BO$9)</f>
        <v>0</v>
      </c>
      <c r="BP491" s="693">
        <f>SUMIFS(Imput[Importe Neto],Imput[C. Imp.],$D491,Imput[PERIODO Imp.],BP$9)</f>
        <v>0</v>
      </c>
      <c r="BQ491" s="693">
        <f>SUMIFS(Imput[Importe Neto],Imput[C. Imp.],$D491,Imput[PERIODO Imp.],BQ$9)</f>
        <v>0</v>
      </c>
      <c r="BR491" s="693">
        <f>SUMIFS(Imput[Importe Neto],Imput[C. Imp.],$D491,Imput[PERIODO Imp.],BR$9)</f>
        <v>0</v>
      </c>
      <c r="BS491" s="693">
        <f>SUMIFS(Imput[Importe Neto],Imput[C. Imp.],$D491,Imput[PERIODO Imp.],BS$9)</f>
        <v>0</v>
      </c>
      <c r="BT491" s="693">
        <f>SUMIFS(Imput[Importe Neto],Imput[C. Imp.],$D491,Imput[PERIODO Imp.],BT$9)</f>
        <v>0</v>
      </c>
      <c r="BU491" s="693">
        <f>SUMIFS(Imput[Importe Neto],Imput[C. Imp.],$D491,Imput[PERIODO Imp.],BU$9)</f>
        <v>0</v>
      </c>
      <c r="BV491" s="693">
        <f>SUMIFS(Imput[Importe Neto],Imput[C. Imp.],$D491,Imput[PERIODO Imp.],BV$9)</f>
        <v>0</v>
      </c>
      <c r="BW491" s="693">
        <f>SUMIFS(Imput[Importe Neto],Imput[C. Imp.],$D491,Imput[PERIODO Imp.],BW$9)</f>
        <v>0</v>
      </c>
      <c r="BX491" s="693">
        <f>SUMIFS(Imput[Importe Neto],Imput[C. Imp.],$D491,Imput[PERIODO Imp.],BX$9)</f>
        <v>0</v>
      </c>
      <c r="BY491" s="693">
        <f>SUMIFS(Imput[Importe Neto],Imput[C. Imp.],$D491,Imput[PERIODO Imp.],BY$9)</f>
        <v>0</v>
      </c>
      <c r="BZ491" s="693">
        <f>SUMIFS(Imput[Importe Neto],Imput[C. Imp.],$D491,Imput[PERIODO Imp.],BZ$9)</f>
        <v>0</v>
      </c>
      <c r="CA491" s="693">
        <f>SUMIFS(Imput[Importe Neto],Imput[C. Imp.],$D491,Imput[PERIODO Imp.],CA$9)</f>
        <v>0</v>
      </c>
      <c r="CB491" s="693">
        <f>SUMIFS(Imput[Importe Neto],Imput[C. Imp.],$D491,Imput[PERIODO Imp.],CB$9)</f>
        <v>0</v>
      </c>
      <c r="CC491" s="693">
        <f>SUMIFS(Imput[Importe Neto],Imput[C. Imp.],$D491,Imput[PERIODO Imp.],CC$9)</f>
        <v>0</v>
      </c>
      <c r="CD491" s="693">
        <f>SUMIFS(Imput[Importe Neto],Imput[C. Imp.],$D491,Imput[PERIODO Imp.],CD$9)</f>
        <v>0</v>
      </c>
      <c r="CE491" s="693">
        <f>SUMIFS(Imput[Importe Neto],Imput[C. Imp.],$D491,Imput[PERIODO Imp.],CE$9)</f>
        <v>0</v>
      </c>
      <c r="CF491" s="693">
        <f>SUMIFS(Imput[Importe Neto],Imput[C. Imp.],$D491,Imput[PERIODO Imp.],CF$9)</f>
        <v>0</v>
      </c>
      <c r="CG491" s="693">
        <f>SUMIFS(Imput[Importe Neto],Imput[C. Imp.],$D491,Imput[PERIODO Imp.],CG$9)</f>
        <v>0</v>
      </c>
      <c r="CH491" s="693">
        <f>SUMIFS(Imput[Importe Neto],Imput[C. Imp.],$D491,Imput[PERIODO Imp.],CH$9)</f>
        <v>0</v>
      </c>
      <c r="CI491" s="693">
        <f>SUMIFS(Imput[Importe Neto],Imput[C. Imp.],$D491,Imput[PERIODO Imp.],CI$9)</f>
        <v>0</v>
      </c>
      <c r="CJ491" s="693">
        <f>SUMIFS(Imput[Importe Neto],Imput[C. Imp.],$D491,Imput[PERIODO Imp.],CJ$9)</f>
        <v>0</v>
      </c>
      <c r="CK491" s="693">
        <f>SUMIFS(Imput[Importe Neto],Imput[C. Imp.],$D491,Imput[PERIODO Imp.],CK$9)</f>
        <v>0</v>
      </c>
      <c r="CL491" s="693">
        <f>SUMIFS(Imput[Importe Neto],Imput[C. Imp.],$D491,Imput[PERIODO Imp.],CL$9)</f>
        <v>0</v>
      </c>
      <c r="CM491" s="693">
        <f>SUMIFS(Imput[Importe Neto],Imput[C. Imp.],$D491,Imput[PERIODO Imp.],CM$9)</f>
        <v>0</v>
      </c>
      <c r="CN491" s="693">
        <f>SUMIFS(Imput[Importe Neto],Imput[C. Imp.],$D491,Imput[PERIODO Imp.],CN$9)</f>
        <v>0</v>
      </c>
      <c r="CO491" s="693">
        <f>SUMIFS(Imput[Importe Neto],Imput[C. Imp.],$D491,Imput[PERIODO Imp.],CO$9)</f>
        <v>0</v>
      </c>
      <c r="CP491" s="693">
        <f>SUMIFS(Imput[Importe Neto],Imput[C. Imp.],$D491,Imput[PERIODO Imp.],CP$9)</f>
        <v>0</v>
      </c>
      <c r="CQ491" s="693">
        <f>SUMIFS(Imput[Importe Neto],Imput[C. Imp.],$D491,Imput[PERIODO Imp.],CQ$9)</f>
        <v>0</v>
      </c>
      <c r="CR491" s="693">
        <f>SUMIFS(Imput[Importe Neto],Imput[C. Imp.],$D491,Imput[PERIODO Imp.],CR$9)</f>
        <v>0</v>
      </c>
      <c r="CS491" s="693">
        <f>SUMIFS(Imput[Importe Neto],Imput[C. Imp.],$D491,Imput[PERIODO Imp.],CS$9)</f>
        <v>0</v>
      </c>
      <c r="CT491" s="693">
        <f>SUMIFS(Imput[Importe Neto],Imput[C. Imp.],$D491,Imput[PERIODO Imp.],CT$9)</f>
        <v>0</v>
      </c>
      <c r="CU491" s="693">
        <f>SUMIFS(Imput[Importe Neto],Imput[C. Imp.],$D491,Imput[PERIODO Imp.],CU$9)</f>
        <v>0</v>
      </c>
      <c r="CV491" s="693">
        <f>SUMIFS(Imput[Importe Neto],Imput[C. Imp.],$D491,Imput[PERIODO Imp.],CV$9)</f>
        <v>0</v>
      </c>
      <c r="CW491" s="693">
        <f>SUMIFS(Imput[Importe Neto],Imput[C. Imp.],$D491,Imput[PERIODO Imp.],CW$9)</f>
        <v>0</v>
      </c>
      <c r="CX491" s="693">
        <f>SUMIFS(Imput[Importe Neto],Imput[C. Imp.],$D491,Imput[PERIODO Imp.],CX$9)</f>
        <v>0</v>
      </c>
      <c r="CY491" s="693">
        <f>SUMIFS(Imput[Importe Neto],Imput[C. Imp.],$D491,Imput[PERIODO Imp.],CY$9)</f>
        <v>0</v>
      </c>
      <c r="CZ491" s="693">
        <f>SUMIFS(Imput[Importe Neto],Imput[C. Imp.],$D491,Imput[PERIODO Imp.],CZ$9)</f>
        <v>0</v>
      </c>
      <c r="DA491" s="693">
        <f>SUMIFS(Imput[Importe Neto],Imput[C. Imp.],$D491,Imput[PERIODO Imp.],DA$9)</f>
        <v>0</v>
      </c>
      <c r="DB491" s="693">
        <f>SUMIFS(Imput[Importe Neto],Imput[C. Imp.],$D491,Imput[PERIODO Imp.],DB$9)</f>
        <v>0</v>
      </c>
      <c r="DC491" s="693">
        <f>SUMIFS(Imput[Importe Neto],Imput[C. Imp.],$D491,Imput[PERIODO Imp.],DC$9)</f>
        <v>0</v>
      </c>
      <c r="DD491" s="693">
        <f>SUMIFS(Imput[Importe Neto],Imput[C. Imp.],$D491,Imput[PERIODO Imp.],DD$9)</f>
        <v>0</v>
      </c>
      <c r="DE491" s="693">
        <f>SUMIFS(Imput[Importe Neto],Imput[C. Imp.],$D491,Imput[PERIODO Imp.],DE$9)</f>
        <v>0</v>
      </c>
      <c r="DF491" s="693">
        <f>SUMIFS(Imput[Importe Neto],Imput[C. Imp.],$D491,Imput[PERIODO Imp.],DF$9)</f>
        <v>0</v>
      </c>
      <c r="DG491" s="693">
        <f>SUMIFS(Imput[Importe Neto],Imput[C. Imp.],$D491,Imput[PERIODO Imp.],DG$9)</f>
        <v>0</v>
      </c>
      <c r="DH491" s="694">
        <f>SUMIFS(Imput[Importe Neto],Imput[C. Imp.],$D491,Imput[PERIODO Imp.],DH$9)</f>
        <v>0</v>
      </c>
    </row>
    <row r="492" spans="1:112" s="649" customFormat="1" outlineLevel="1" x14ac:dyDescent="0.3">
      <c r="A492" s="652" t="str">
        <f t="shared" si="198"/>
        <v>Imprimir</v>
      </c>
      <c r="B492" s="652"/>
      <c r="C492" s="685"/>
      <c r="D492" s="686" t="s">
        <v>2522</v>
      </c>
      <c r="E492" s="686" t="s">
        <v>477</v>
      </c>
      <c r="F492" s="687"/>
      <c r="G492" s="688">
        <v>10</v>
      </c>
      <c r="H492" s="531">
        <f>Producción!G56*127.68</f>
        <v>9192.9600000000009</v>
      </c>
      <c r="I492" s="851">
        <f t="shared" si="199"/>
        <v>1</v>
      </c>
      <c r="J492" s="850">
        <f t="shared" si="202"/>
        <v>91929.600000000006</v>
      </c>
      <c r="K492" s="667"/>
      <c r="L492" s="858">
        <v>0.3</v>
      </c>
      <c r="M492" s="859"/>
      <c r="N492" s="859">
        <v>0.05</v>
      </c>
      <c r="O492" s="859"/>
      <c r="P492" s="859">
        <v>0.05</v>
      </c>
      <c r="Q492" s="859"/>
      <c r="R492" s="859">
        <v>0.05</v>
      </c>
      <c r="S492" s="859"/>
      <c r="T492" s="859">
        <v>0.05</v>
      </c>
      <c r="U492" s="859"/>
      <c r="V492" s="859">
        <v>0.05</v>
      </c>
      <c r="W492" s="859"/>
      <c r="X492" s="859">
        <v>0.05</v>
      </c>
      <c r="Y492" s="859"/>
      <c r="Z492" s="860">
        <v>0.05</v>
      </c>
      <c r="AA492" s="860"/>
      <c r="AB492" s="860">
        <v>0.05</v>
      </c>
      <c r="AC492" s="860"/>
      <c r="AD492" s="860">
        <v>0.05</v>
      </c>
      <c r="AE492" s="860"/>
      <c r="AF492" s="860">
        <v>0.05</v>
      </c>
      <c r="AG492" s="860"/>
      <c r="AH492" s="860">
        <v>0.05</v>
      </c>
      <c r="AI492" s="860"/>
      <c r="AJ492" s="860">
        <v>0.15</v>
      </c>
      <c r="AK492" s="860"/>
      <c r="AL492" s="860"/>
      <c r="AM492" s="860"/>
      <c r="AN492" s="860"/>
      <c r="AO492" s="860"/>
      <c r="AP492" s="860"/>
      <c r="AQ492" s="860"/>
      <c r="AR492" s="860"/>
      <c r="AS492" s="860"/>
      <c r="AT492" s="860"/>
      <c r="AU492" s="860"/>
      <c r="AV492" s="860"/>
      <c r="AW492" s="860"/>
      <c r="AX492" s="860"/>
      <c r="AY492" s="860"/>
      <c r="AZ492" s="860"/>
      <c r="BA492" s="860"/>
      <c r="BB492" s="860"/>
      <c r="BC492" s="860"/>
      <c r="BD492" s="860"/>
      <c r="BE492" s="860"/>
      <c r="BF492" s="860"/>
      <c r="BG492" s="860"/>
      <c r="BH492" s="668"/>
      <c r="BI492" s="654"/>
      <c r="BJ492" s="690">
        <f t="shared" si="200"/>
        <v>0.11748120300751878</v>
      </c>
      <c r="BK492" s="691">
        <f t="shared" si="201"/>
        <v>10800</v>
      </c>
      <c r="BL492" s="654"/>
      <c r="BM492" s="692">
        <f>SUMIFS(Imput[Importe Neto],Imput[C. Imp.],$D492,Imput[PERIODO Imp.],BM$9)</f>
        <v>0</v>
      </c>
      <c r="BN492" s="693">
        <f>SUMIFS(Imput[Importe Neto],Imput[C. Imp.],$D492,Imput[PERIODO Imp.],BN$9)</f>
        <v>0</v>
      </c>
      <c r="BO492" s="693">
        <f>SUMIFS(Imput[Importe Neto],Imput[C. Imp.],$D492,Imput[PERIODO Imp.],BO$9)</f>
        <v>0</v>
      </c>
      <c r="BP492" s="693">
        <f>SUMIFS(Imput[Importe Neto],Imput[C. Imp.],$D492,Imput[PERIODO Imp.],BP$9)</f>
        <v>0</v>
      </c>
      <c r="BQ492" s="693">
        <f>SUMIFS(Imput[Importe Neto],Imput[C. Imp.],$D492,Imput[PERIODO Imp.],BQ$9)</f>
        <v>0</v>
      </c>
      <c r="BR492" s="693">
        <f>SUMIFS(Imput[Importe Neto],Imput[C. Imp.],$D492,Imput[PERIODO Imp.],BR$9)</f>
        <v>10800</v>
      </c>
      <c r="BS492" s="693">
        <f>SUMIFS(Imput[Importe Neto],Imput[C. Imp.],$D492,Imput[PERIODO Imp.],BS$9)</f>
        <v>0</v>
      </c>
      <c r="BT492" s="693">
        <f>SUMIFS(Imput[Importe Neto],Imput[C. Imp.],$D492,Imput[PERIODO Imp.],BT$9)</f>
        <v>0</v>
      </c>
      <c r="BU492" s="693">
        <f>SUMIFS(Imput[Importe Neto],Imput[C. Imp.],$D492,Imput[PERIODO Imp.],BU$9)</f>
        <v>0</v>
      </c>
      <c r="BV492" s="693">
        <f>SUMIFS(Imput[Importe Neto],Imput[C. Imp.],$D492,Imput[PERIODO Imp.],BV$9)</f>
        <v>0</v>
      </c>
      <c r="BW492" s="693">
        <f>SUMIFS(Imput[Importe Neto],Imput[C. Imp.],$D492,Imput[PERIODO Imp.],BW$9)</f>
        <v>0</v>
      </c>
      <c r="BX492" s="693">
        <f>SUMIFS(Imput[Importe Neto],Imput[C. Imp.],$D492,Imput[PERIODO Imp.],BX$9)</f>
        <v>0</v>
      </c>
      <c r="BY492" s="693">
        <f>SUMIFS(Imput[Importe Neto],Imput[C. Imp.],$D492,Imput[PERIODO Imp.],BY$9)</f>
        <v>0</v>
      </c>
      <c r="BZ492" s="693">
        <f>SUMIFS(Imput[Importe Neto],Imput[C. Imp.],$D492,Imput[PERIODO Imp.],BZ$9)</f>
        <v>0</v>
      </c>
      <c r="CA492" s="693">
        <f>SUMIFS(Imput[Importe Neto],Imput[C. Imp.],$D492,Imput[PERIODO Imp.],CA$9)</f>
        <v>0</v>
      </c>
      <c r="CB492" s="693">
        <f>SUMIFS(Imput[Importe Neto],Imput[C. Imp.],$D492,Imput[PERIODO Imp.],CB$9)</f>
        <v>0</v>
      </c>
      <c r="CC492" s="693">
        <f>SUMIFS(Imput[Importe Neto],Imput[C. Imp.],$D492,Imput[PERIODO Imp.],CC$9)</f>
        <v>0</v>
      </c>
      <c r="CD492" s="693">
        <f>SUMIFS(Imput[Importe Neto],Imput[C. Imp.],$D492,Imput[PERIODO Imp.],CD$9)</f>
        <v>0</v>
      </c>
      <c r="CE492" s="693">
        <f>SUMIFS(Imput[Importe Neto],Imput[C. Imp.],$D492,Imput[PERIODO Imp.],CE$9)</f>
        <v>0</v>
      </c>
      <c r="CF492" s="693">
        <f>SUMIFS(Imput[Importe Neto],Imput[C. Imp.],$D492,Imput[PERIODO Imp.],CF$9)</f>
        <v>0</v>
      </c>
      <c r="CG492" s="693">
        <f>SUMIFS(Imput[Importe Neto],Imput[C. Imp.],$D492,Imput[PERIODO Imp.],CG$9)</f>
        <v>0</v>
      </c>
      <c r="CH492" s="693">
        <f>SUMIFS(Imput[Importe Neto],Imput[C. Imp.],$D492,Imput[PERIODO Imp.],CH$9)</f>
        <v>0</v>
      </c>
      <c r="CI492" s="693">
        <f>SUMIFS(Imput[Importe Neto],Imput[C. Imp.],$D492,Imput[PERIODO Imp.],CI$9)</f>
        <v>0</v>
      </c>
      <c r="CJ492" s="693">
        <f>SUMIFS(Imput[Importe Neto],Imput[C. Imp.],$D492,Imput[PERIODO Imp.],CJ$9)</f>
        <v>0</v>
      </c>
      <c r="CK492" s="693">
        <f>SUMIFS(Imput[Importe Neto],Imput[C. Imp.],$D492,Imput[PERIODO Imp.],CK$9)</f>
        <v>0</v>
      </c>
      <c r="CL492" s="693">
        <f>SUMIFS(Imput[Importe Neto],Imput[C. Imp.],$D492,Imput[PERIODO Imp.],CL$9)</f>
        <v>0</v>
      </c>
      <c r="CM492" s="693">
        <f>SUMIFS(Imput[Importe Neto],Imput[C. Imp.],$D492,Imput[PERIODO Imp.],CM$9)</f>
        <v>0</v>
      </c>
      <c r="CN492" s="693">
        <f>SUMIFS(Imput[Importe Neto],Imput[C. Imp.],$D492,Imput[PERIODO Imp.],CN$9)</f>
        <v>0</v>
      </c>
      <c r="CO492" s="693">
        <f>SUMIFS(Imput[Importe Neto],Imput[C. Imp.],$D492,Imput[PERIODO Imp.],CO$9)</f>
        <v>0</v>
      </c>
      <c r="CP492" s="693">
        <f>SUMIFS(Imput[Importe Neto],Imput[C. Imp.],$D492,Imput[PERIODO Imp.],CP$9)</f>
        <v>0</v>
      </c>
      <c r="CQ492" s="693">
        <f>SUMIFS(Imput[Importe Neto],Imput[C. Imp.],$D492,Imput[PERIODO Imp.],CQ$9)</f>
        <v>0</v>
      </c>
      <c r="CR492" s="693">
        <f>SUMIFS(Imput[Importe Neto],Imput[C. Imp.],$D492,Imput[PERIODO Imp.],CR$9)</f>
        <v>0</v>
      </c>
      <c r="CS492" s="693">
        <f>SUMIFS(Imput[Importe Neto],Imput[C. Imp.],$D492,Imput[PERIODO Imp.],CS$9)</f>
        <v>0</v>
      </c>
      <c r="CT492" s="693">
        <f>SUMIFS(Imput[Importe Neto],Imput[C. Imp.],$D492,Imput[PERIODO Imp.],CT$9)</f>
        <v>0</v>
      </c>
      <c r="CU492" s="693">
        <f>SUMIFS(Imput[Importe Neto],Imput[C. Imp.],$D492,Imput[PERIODO Imp.],CU$9)</f>
        <v>0</v>
      </c>
      <c r="CV492" s="693">
        <f>SUMIFS(Imput[Importe Neto],Imput[C. Imp.],$D492,Imput[PERIODO Imp.],CV$9)</f>
        <v>0</v>
      </c>
      <c r="CW492" s="693">
        <f>SUMIFS(Imput[Importe Neto],Imput[C. Imp.],$D492,Imput[PERIODO Imp.],CW$9)</f>
        <v>0</v>
      </c>
      <c r="CX492" s="693">
        <f>SUMIFS(Imput[Importe Neto],Imput[C. Imp.],$D492,Imput[PERIODO Imp.],CX$9)</f>
        <v>0</v>
      </c>
      <c r="CY492" s="693">
        <f>SUMIFS(Imput[Importe Neto],Imput[C. Imp.],$D492,Imput[PERIODO Imp.],CY$9)</f>
        <v>0</v>
      </c>
      <c r="CZ492" s="693">
        <f>SUMIFS(Imput[Importe Neto],Imput[C. Imp.],$D492,Imput[PERIODO Imp.],CZ$9)</f>
        <v>0</v>
      </c>
      <c r="DA492" s="693">
        <f>SUMIFS(Imput[Importe Neto],Imput[C. Imp.],$D492,Imput[PERIODO Imp.],DA$9)</f>
        <v>0</v>
      </c>
      <c r="DB492" s="693">
        <f>SUMIFS(Imput[Importe Neto],Imput[C. Imp.],$D492,Imput[PERIODO Imp.],DB$9)</f>
        <v>0</v>
      </c>
      <c r="DC492" s="693">
        <f>SUMIFS(Imput[Importe Neto],Imput[C. Imp.],$D492,Imput[PERIODO Imp.],DC$9)</f>
        <v>0</v>
      </c>
      <c r="DD492" s="693">
        <f>SUMIFS(Imput[Importe Neto],Imput[C. Imp.],$D492,Imput[PERIODO Imp.],DD$9)</f>
        <v>0</v>
      </c>
      <c r="DE492" s="693">
        <f>SUMIFS(Imput[Importe Neto],Imput[C. Imp.],$D492,Imput[PERIODO Imp.],DE$9)</f>
        <v>0</v>
      </c>
      <c r="DF492" s="693">
        <f>SUMIFS(Imput[Importe Neto],Imput[C. Imp.],$D492,Imput[PERIODO Imp.],DF$9)</f>
        <v>0</v>
      </c>
      <c r="DG492" s="693">
        <f>SUMIFS(Imput[Importe Neto],Imput[C. Imp.],$D492,Imput[PERIODO Imp.],DG$9)</f>
        <v>0</v>
      </c>
      <c r="DH492" s="694">
        <f>SUMIFS(Imput[Importe Neto],Imput[C. Imp.],$D492,Imput[PERIODO Imp.],DH$9)</f>
        <v>0</v>
      </c>
    </row>
    <row r="493" spans="1:112" s="649" customFormat="1" outlineLevel="1" x14ac:dyDescent="0.3">
      <c r="A493" s="652" t="str">
        <f t="shared" si="198"/>
        <v>Imprimir</v>
      </c>
      <c r="B493" s="652"/>
      <c r="C493" s="685"/>
      <c r="D493" s="686" t="s">
        <v>2523</v>
      </c>
      <c r="E493" s="686" t="s">
        <v>475</v>
      </c>
      <c r="F493" s="687"/>
      <c r="G493" s="688">
        <v>1100</v>
      </c>
      <c r="H493" s="531">
        <f>Producción!G56*2.5</f>
        <v>180</v>
      </c>
      <c r="I493" s="851">
        <f t="shared" si="199"/>
        <v>1</v>
      </c>
      <c r="J493" s="850">
        <f t="shared" si="202"/>
        <v>198000</v>
      </c>
      <c r="K493" s="667"/>
      <c r="L493" s="858">
        <v>0.5</v>
      </c>
      <c r="M493" s="859"/>
      <c r="N493" s="859"/>
      <c r="O493" s="859"/>
      <c r="P493" s="859"/>
      <c r="Q493" s="859"/>
      <c r="R493" s="859">
        <v>0.05</v>
      </c>
      <c r="S493" s="859"/>
      <c r="T493" s="859">
        <v>0.05</v>
      </c>
      <c r="U493" s="859"/>
      <c r="V493" s="859">
        <v>0.05</v>
      </c>
      <c r="W493" s="859"/>
      <c r="X493" s="859">
        <v>0.05</v>
      </c>
      <c r="Y493" s="859"/>
      <c r="Z493" s="860">
        <v>0.05</v>
      </c>
      <c r="AA493" s="860"/>
      <c r="AB493" s="860">
        <v>0.05</v>
      </c>
      <c r="AC493" s="860"/>
      <c r="AD493" s="860">
        <v>0.05</v>
      </c>
      <c r="AE493" s="860"/>
      <c r="AF493" s="860">
        <v>0.05</v>
      </c>
      <c r="AG493" s="860"/>
      <c r="AH493" s="860"/>
      <c r="AI493" s="860"/>
      <c r="AJ493" s="860">
        <v>0.1</v>
      </c>
      <c r="AK493" s="860"/>
      <c r="AL493" s="860"/>
      <c r="AM493" s="860"/>
      <c r="AN493" s="860"/>
      <c r="AO493" s="860"/>
      <c r="AP493" s="860"/>
      <c r="AQ493" s="860"/>
      <c r="AR493" s="860"/>
      <c r="AS493" s="860"/>
      <c r="AT493" s="860"/>
      <c r="AU493" s="860"/>
      <c r="AV493" s="860"/>
      <c r="AW493" s="860"/>
      <c r="AX493" s="860"/>
      <c r="AY493" s="860"/>
      <c r="AZ493" s="860"/>
      <c r="BA493" s="860"/>
      <c r="BB493" s="860"/>
      <c r="BC493" s="860"/>
      <c r="BD493" s="860"/>
      <c r="BE493" s="860"/>
      <c r="BF493" s="860"/>
      <c r="BG493" s="860"/>
      <c r="BH493" s="668"/>
      <c r="BI493" s="654"/>
      <c r="BJ493" s="690">
        <f t="shared" si="200"/>
        <v>0.10199127272727271</v>
      </c>
      <c r="BK493" s="691">
        <f t="shared" si="201"/>
        <v>20194.271999999997</v>
      </c>
      <c r="BL493" s="654"/>
      <c r="BM493" s="692">
        <f>SUMIFS(Imput[Importe Neto],Imput[C. Imp.],$D493,Imput[PERIODO Imp.],BM$9)</f>
        <v>0</v>
      </c>
      <c r="BN493" s="693">
        <f>SUMIFS(Imput[Importe Neto],Imput[C. Imp.],$D493,Imput[PERIODO Imp.],BN$9)</f>
        <v>0</v>
      </c>
      <c r="BO493" s="693">
        <f>SUMIFS(Imput[Importe Neto],Imput[C. Imp.],$D493,Imput[PERIODO Imp.],BO$9)</f>
        <v>0</v>
      </c>
      <c r="BP493" s="693">
        <f>SUMIFS(Imput[Importe Neto],Imput[C. Imp.],$D493,Imput[PERIODO Imp.],BP$9)</f>
        <v>0</v>
      </c>
      <c r="BQ493" s="693">
        <f>SUMIFS(Imput[Importe Neto],Imput[C. Imp.],$D493,Imput[PERIODO Imp.],BQ$9)</f>
        <v>0</v>
      </c>
      <c r="BR493" s="693">
        <f>SUMIFS(Imput[Importe Neto],Imput[C. Imp.],$D493,Imput[PERIODO Imp.],BR$9)</f>
        <v>0</v>
      </c>
      <c r="BS493" s="693">
        <f>SUMIFS(Imput[Importe Neto],Imput[C. Imp.],$D493,Imput[PERIODO Imp.],BS$9)</f>
        <v>20194.271999999997</v>
      </c>
      <c r="BT493" s="693">
        <f>SUMIFS(Imput[Importe Neto],Imput[C. Imp.],$D493,Imput[PERIODO Imp.],BT$9)</f>
        <v>0</v>
      </c>
      <c r="BU493" s="693">
        <f>SUMIFS(Imput[Importe Neto],Imput[C. Imp.],$D493,Imput[PERIODO Imp.],BU$9)</f>
        <v>0</v>
      </c>
      <c r="BV493" s="693">
        <f>SUMIFS(Imput[Importe Neto],Imput[C. Imp.],$D493,Imput[PERIODO Imp.],BV$9)</f>
        <v>0</v>
      </c>
      <c r="BW493" s="693">
        <f>SUMIFS(Imput[Importe Neto],Imput[C. Imp.],$D493,Imput[PERIODO Imp.],BW$9)</f>
        <v>0</v>
      </c>
      <c r="BX493" s="693">
        <f>SUMIFS(Imput[Importe Neto],Imput[C. Imp.],$D493,Imput[PERIODO Imp.],BX$9)</f>
        <v>0</v>
      </c>
      <c r="BY493" s="693">
        <f>SUMIFS(Imput[Importe Neto],Imput[C. Imp.],$D493,Imput[PERIODO Imp.],BY$9)</f>
        <v>0</v>
      </c>
      <c r="BZ493" s="693">
        <f>SUMIFS(Imput[Importe Neto],Imput[C. Imp.],$D493,Imput[PERIODO Imp.],BZ$9)</f>
        <v>0</v>
      </c>
      <c r="CA493" s="693">
        <f>SUMIFS(Imput[Importe Neto],Imput[C. Imp.],$D493,Imput[PERIODO Imp.],CA$9)</f>
        <v>0</v>
      </c>
      <c r="CB493" s="693">
        <f>SUMIFS(Imput[Importe Neto],Imput[C. Imp.],$D493,Imput[PERIODO Imp.],CB$9)</f>
        <v>0</v>
      </c>
      <c r="CC493" s="693">
        <f>SUMIFS(Imput[Importe Neto],Imput[C. Imp.],$D493,Imput[PERIODO Imp.],CC$9)</f>
        <v>0</v>
      </c>
      <c r="CD493" s="693">
        <f>SUMIFS(Imput[Importe Neto],Imput[C. Imp.],$D493,Imput[PERIODO Imp.],CD$9)</f>
        <v>0</v>
      </c>
      <c r="CE493" s="693">
        <f>SUMIFS(Imput[Importe Neto],Imput[C. Imp.],$D493,Imput[PERIODO Imp.],CE$9)</f>
        <v>0</v>
      </c>
      <c r="CF493" s="693">
        <f>SUMIFS(Imput[Importe Neto],Imput[C. Imp.],$D493,Imput[PERIODO Imp.],CF$9)</f>
        <v>0</v>
      </c>
      <c r="CG493" s="693">
        <f>SUMIFS(Imput[Importe Neto],Imput[C. Imp.],$D493,Imput[PERIODO Imp.],CG$9)</f>
        <v>0</v>
      </c>
      <c r="CH493" s="693">
        <f>SUMIFS(Imput[Importe Neto],Imput[C. Imp.],$D493,Imput[PERIODO Imp.],CH$9)</f>
        <v>0</v>
      </c>
      <c r="CI493" s="693">
        <f>SUMIFS(Imput[Importe Neto],Imput[C. Imp.],$D493,Imput[PERIODO Imp.],CI$9)</f>
        <v>0</v>
      </c>
      <c r="CJ493" s="693">
        <f>SUMIFS(Imput[Importe Neto],Imput[C. Imp.],$D493,Imput[PERIODO Imp.],CJ$9)</f>
        <v>0</v>
      </c>
      <c r="CK493" s="693">
        <f>SUMIFS(Imput[Importe Neto],Imput[C. Imp.],$D493,Imput[PERIODO Imp.],CK$9)</f>
        <v>0</v>
      </c>
      <c r="CL493" s="693">
        <f>SUMIFS(Imput[Importe Neto],Imput[C. Imp.],$D493,Imput[PERIODO Imp.],CL$9)</f>
        <v>0</v>
      </c>
      <c r="CM493" s="693">
        <f>SUMIFS(Imput[Importe Neto],Imput[C. Imp.],$D493,Imput[PERIODO Imp.],CM$9)</f>
        <v>0</v>
      </c>
      <c r="CN493" s="693">
        <f>SUMIFS(Imput[Importe Neto],Imput[C. Imp.],$D493,Imput[PERIODO Imp.],CN$9)</f>
        <v>0</v>
      </c>
      <c r="CO493" s="693">
        <f>SUMIFS(Imput[Importe Neto],Imput[C. Imp.],$D493,Imput[PERIODO Imp.],CO$9)</f>
        <v>0</v>
      </c>
      <c r="CP493" s="693">
        <f>SUMIFS(Imput[Importe Neto],Imput[C. Imp.],$D493,Imput[PERIODO Imp.],CP$9)</f>
        <v>0</v>
      </c>
      <c r="CQ493" s="693">
        <f>SUMIFS(Imput[Importe Neto],Imput[C. Imp.],$D493,Imput[PERIODO Imp.],CQ$9)</f>
        <v>0</v>
      </c>
      <c r="CR493" s="693">
        <f>SUMIFS(Imput[Importe Neto],Imput[C. Imp.],$D493,Imput[PERIODO Imp.],CR$9)</f>
        <v>0</v>
      </c>
      <c r="CS493" s="693">
        <f>SUMIFS(Imput[Importe Neto],Imput[C. Imp.],$D493,Imput[PERIODO Imp.],CS$9)</f>
        <v>0</v>
      </c>
      <c r="CT493" s="693">
        <f>SUMIFS(Imput[Importe Neto],Imput[C. Imp.],$D493,Imput[PERIODO Imp.],CT$9)</f>
        <v>0</v>
      </c>
      <c r="CU493" s="693">
        <f>SUMIFS(Imput[Importe Neto],Imput[C. Imp.],$D493,Imput[PERIODO Imp.],CU$9)</f>
        <v>0</v>
      </c>
      <c r="CV493" s="693">
        <f>SUMIFS(Imput[Importe Neto],Imput[C. Imp.],$D493,Imput[PERIODO Imp.],CV$9)</f>
        <v>0</v>
      </c>
      <c r="CW493" s="693">
        <f>SUMIFS(Imput[Importe Neto],Imput[C. Imp.],$D493,Imput[PERIODO Imp.],CW$9)</f>
        <v>0</v>
      </c>
      <c r="CX493" s="693">
        <f>SUMIFS(Imput[Importe Neto],Imput[C. Imp.],$D493,Imput[PERIODO Imp.],CX$9)</f>
        <v>0</v>
      </c>
      <c r="CY493" s="693">
        <f>SUMIFS(Imput[Importe Neto],Imput[C. Imp.],$D493,Imput[PERIODO Imp.],CY$9)</f>
        <v>0</v>
      </c>
      <c r="CZ493" s="693">
        <f>SUMIFS(Imput[Importe Neto],Imput[C. Imp.],$D493,Imput[PERIODO Imp.],CZ$9)</f>
        <v>0</v>
      </c>
      <c r="DA493" s="693">
        <f>SUMIFS(Imput[Importe Neto],Imput[C. Imp.],$D493,Imput[PERIODO Imp.],DA$9)</f>
        <v>0</v>
      </c>
      <c r="DB493" s="693">
        <f>SUMIFS(Imput[Importe Neto],Imput[C. Imp.],$D493,Imput[PERIODO Imp.],DB$9)</f>
        <v>0</v>
      </c>
      <c r="DC493" s="693">
        <f>SUMIFS(Imput[Importe Neto],Imput[C. Imp.],$D493,Imput[PERIODO Imp.],DC$9)</f>
        <v>0</v>
      </c>
      <c r="DD493" s="693">
        <f>SUMIFS(Imput[Importe Neto],Imput[C. Imp.],$D493,Imput[PERIODO Imp.],DD$9)</f>
        <v>0</v>
      </c>
      <c r="DE493" s="693">
        <f>SUMIFS(Imput[Importe Neto],Imput[C. Imp.],$D493,Imput[PERIODO Imp.],DE$9)</f>
        <v>0</v>
      </c>
      <c r="DF493" s="693">
        <f>SUMIFS(Imput[Importe Neto],Imput[C. Imp.],$D493,Imput[PERIODO Imp.],DF$9)</f>
        <v>0</v>
      </c>
      <c r="DG493" s="693">
        <f>SUMIFS(Imput[Importe Neto],Imput[C. Imp.],$D493,Imput[PERIODO Imp.],DG$9)</f>
        <v>0</v>
      </c>
      <c r="DH493" s="694">
        <f>SUMIFS(Imput[Importe Neto],Imput[C. Imp.],$D493,Imput[PERIODO Imp.],DH$9)</f>
        <v>0</v>
      </c>
    </row>
    <row r="494" spans="1:112" s="649" customFormat="1" outlineLevel="1" x14ac:dyDescent="0.3">
      <c r="A494" s="652" t="str">
        <f t="shared" si="198"/>
        <v>Imprimir</v>
      </c>
      <c r="B494" s="652"/>
      <c r="C494" s="685"/>
      <c r="D494" s="686" t="s">
        <v>2524</v>
      </c>
      <c r="E494" s="686" t="s">
        <v>2129</v>
      </c>
      <c r="F494" s="720"/>
      <c r="G494" s="688">
        <v>5000</v>
      </c>
      <c r="H494" s="689">
        <f>Producción!G56*0.1</f>
        <v>7.2</v>
      </c>
      <c r="I494" s="851">
        <f t="shared" si="199"/>
        <v>1</v>
      </c>
      <c r="J494" s="852">
        <f t="shared" si="202"/>
        <v>36000</v>
      </c>
      <c r="K494" s="667"/>
      <c r="L494" s="858">
        <v>0.3</v>
      </c>
      <c r="M494" s="859"/>
      <c r="N494" s="859">
        <v>0.05</v>
      </c>
      <c r="O494" s="859"/>
      <c r="P494" s="859">
        <v>0.05</v>
      </c>
      <c r="Q494" s="859"/>
      <c r="R494" s="859">
        <v>0.05</v>
      </c>
      <c r="S494" s="859"/>
      <c r="T494" s="859">
        <v>0.05</v>
      </c>
      <c r="U494" s="859"/>
      <c r="V494" s="859">
        <v>0.05</v>
      </c>
      <c r="W494" s="859"/>
      <c r="X494" s="859">
        <v>0.05</v>
      </c>
      <c r="Y494" s="859"/>
      <c r="Z494" s="860">
        <v>0.05</v>
      </c>
      <c r="AA494" s="860"/>
      <c r="AB494" s="860">
        <v>0.05</v>
      </c>
      <c r="AC494" s="860"/>
      <c r="AD494" s="860">
        <v>0.05</v>
      </c>
      <c r="AE494" s="860"/>
      <c r="AF494" s="860">
        <v>0.05</v>
      </c>
      <c r="AG494" s="860"/>
      <c r="AH494" s="860">
        <v>0.05</v>
      </c>
      <c r="AI494" s="860"/>
      <c r="AJ494" s="860">
        <v>0.15</v>
      </c>
      <c r="AK494" s="860"/>
      <c r="AL494" s="860"/>
      <c r="AM494" s="860"/>
      <c r="AN494" s="860"/>
      <c r="AO494" s="860"/>
      <c r="AP494" s="860"/>
      <c r="AQ494" s="860"/>
      <c r="AR494" s="860"/>
      <c r="AS494" s="860"/>
      <c r="AT494" s="860"/>
      <c r="AU494" s="860"/>
      <c r="AV494" s="860"/>
      <c r="AW494" s="860"/>
      <c r="AX494" s="860"/>
      <c r="AY494" s="860"/>
      <c r="AZ494" s="860"/>
      <c r="BA494" s="860"/>
      <c r="BB494" s="860"/>
      <c r="BC494" s="860"/>
      <c r="BD494" s="860"/>
      <c r="BE494" s="860"/>
      <c r="BF494" s="860"/>
      <c r="BG494" s="860"/>
      <c r="BH494" s="668"/>
      <c r="BI494" s="667"/>
      <c r="BJ494" s="690">
        <f t="shared" si="200"/>
        <v>0</v>
      </c>
      <c r="BK494" s="691">
        <f t="shared" si="201"/>
        <v>0</v>
      </c>
      <c r="BL494" s="654"/>
      <c r="BM494" s="692">
        <f>SUMIFS(Imput[Importe Neto],Imput[C. Imp.],$D494,Imput[PERIODO Imp.],BM$9)</f>
        <v>0</v>
      </c>
      <c r="BN494" s="693">
        <f>SUMIFS(Imput[Importe Neto],Imput[C. Imp.],$D494,Imput[PERIODO Imp.],BN$9)</f>
        <v>0</v>
      </c>
      <c r="BO494" s="693">
        <f>SUMIFS(Imput[Importe Neto],Imput[C. Imp.],$D494,Imput[PERIODO Imp.],BO$9)</f>
        <v>0</v>
      </c>
      <c r="BP494" s="693">
        <f>SUMIFS(Imput[Importe Neto],Imput[C. Imp.],$D494,Imput[PERIODO Imp.],BP$9)</f>
        <v>0</v>
      </c>
      <c r="BQ494" s="693">
        <f>SUMIFS(Imput[Importe Neto],Imput[C. Imp.],$D494,Imput[PERIODO Imp.],BQ$9)</f>
        <v>0</v>
      </c>
      <c r="BR494" s="693">
        <f>SUMIFS(Imput[Importe Neto],Imput[C. Imp.],$D494,Imput[PERIODO Imp.],BR$9)</f>
        <v>0</v>
      </c>
      <c r="BS494" s="693">
        <f>SUMIFS(Imput[Importe Neto],Imput[C. Imp.],$D494,Imput[PERIODO Imp.],BS$9)</f>
        <v>0</v>
      </c>
      <c r="BT494" s="693">
        <f>SUMIFS(Imput[Importe Neto],Imput[C. Imp.],$D494,Imput[PERIODO Imp.],BT$9)</f>
        <v>0</v>
      </c>
      <c r="BU494" s="693">
        <f>SUMIFS(Imput[Importe Neto],Imput[C. Imp.],$D494,Imput[PERIODO Imp.],BU$9)</f>
        <v>0</v>
      </c>
      <c r="BV494" s="693">
        <f>SUMIFS(Imput[Importe Neto],Imput[C. Imp.],$D494,Imput[PERIODO Imp.],BV$9)</f>
        <v>0</v>
      </c>
      <c r="BW494" s="693">
        <f>SUMIFS(Imput[Importe Neto],Imput[C. Imp.],$D494,Imput[PERIODO Imp.],BW$9)</f>
        <v>0</v>
      </c>
      <c r="BX494" s="693">
        <f>SUMIFS(Imput[Importe Neto],Imput[C. Imp.],$D494,Imput[PERIODO Imp.],BX$9)</f>
        <v>0</v>
      </c>
      <c r="BY494" s="693">
        <f>SUMIFS(Imput[Importe Neto],Imput[C. Imp.],$D494,Imput[PERIODO Imp.],BY$9)</f>
        <v>0</v>
      </c>
      <c r="BZ494" s="693">
        <f>SUMIFS(Imput[Importe Neto],Imput[C. Imp.],$D494,Imput[PERIODO Imp.],BZ$9)</f>
        <v>0</v>
      </c>
      <c r="CA494" s="693">
        <f>SUMIFS(Imput[Importe Neto],Imput[C. Imp.],$D494,Imput[PERIODO Imp.],CA$9)</f>
        <v>0</v>
      </c>
      <c r="CB494" s="693">
        <f>SUMIFS(Imput[Importe Neto],Imput[C. Imp.],$D494,Imput[PERIODO Imp.],CB$9)</f>
        <v>0</v>
      </c>
      <c r="CC494" s="693">
        <f>SUMIFS(Imput[Importe Neto],Imput[C. Imp.],$D494,Imput[PERIODO Imp.],CC$9)</f>
        <v>0</v>
      </c>
      <c r="CD494" s="693">
        <f>SUMIFS(Imput[Importe Neto],Imput[C. Imp.],$D494,Imput[PERIODO Imp.],CD$9)</f>
        <v>0</v>
      </c>
      <c r="CE494" s="693">
        <f>SUMIFS(Imput[Importe Neto],Imput[C. Imp.],$D494,Imput[PERIODO Imp.],CE$9)</f>
        <v>0</v>
      </c>
      <c r="CF494" s="693">
        <f>SUMIFS(Imput[Importe Neto],Imput[C. Imp.],$D494,Imput[PERIODO Imp.],CF$9)</f>
        <v>0</v>
      </c>
      <c r="CG494" s="693">
        <f>SUMIFS(Imput[Importe Neto],Imput[C. Imp.],$D494,Imput[PERIODO Imp.],CG$9)</f>
        <v>0</v>
      </c>
      <c r="CH494" s="693">
        <f>SUMIFS(Imput[Importe Neto],Imput[C. Imp.],$D494,Imput[PERIODO Imp.],CH$9)</f>
        <v>0</v>
      </c>
      <c r="CI494" s="693">
        <f>SUMIFS(Imput[Importe Neto],Imput[C. Imp.],$D494,Imput[PERIODO Imp.],CI$9)</f>
        <v>0</v>
      </c>
      <c r="CJ494" s="693">
        <f>SUMIFS(Imput[Importe Neto],Imput[C. Imp.],$D494,Imput[PERIODO Imp.],CJ$9)</f>
        <v>0</v>
      </c>
      <c r="CK494" s="693">
        <f>SUMIFS(Imput[Importe Neto],Imput[C. Imp.],$D494,Imput[PERIODO Imp.],CK$9)</f>
        <v>0</v>
      </c>
      <c r="CL494" s="693">
        <f>SUMIFS(Imput[Importe Neto],Imput[C. Imp.],$D494,Imput[PERIODO Imp.],CL$9)</f>
        <v>0</v>
      </c>
      <c r="CM494" s="693">
        <f>SUMIFS(Imput[Importe Neto],Imput[C. Imp.],$D494,Imput[PERIODO Imp.],CM$9)</f>
        <v>0</v>
      </c>
      <c r="CN494" s="693">
        <f>SUMIFS(Imput[Importe Neto],Imput[C. Imp.],$D494,Imput[PERIODO Imp.],CN$9)</f>
        <v>0</v>
      </c>
      <c r="CO494" s="693">
        <f>SUMIFS(Imput[Importe Neto],Imput[C. Imp.],$D494,Imput[PERIODO Imp.],CO$9)</f>
        <v>0</v>
      </c>
      <c r="CP494" s="693">
        <f>SUMIFS(Imput[Importe Neto],Imput[C. Imp.],$D494,Imput[PERIODO Imp.],CP$9)</f>
        <v>0</v>
      </c>
      <c r="CQ494" s="693">
        <f>SUMIFS(Imput[Importe Neto],Imput[C. Imp.],$D494,Imput[PERIODO Imp.],CQ$9)</f>
        <v>0</v>
      </c>
      <c r="CR494" s="693">
        <f>SUMIFS(Imput[Importe Neto],Imput[C. Imp.],$D494,Imput[PERIODO Imp.],CR$9)</f>
        <v>0</v>
      </c>
      <c r="CS494" s="693">
        <f>SUMIFS(Imput[Importe Neto],Imput[C. Imp.],$D494,Imput[PERIODO Imp.],CS$9)</f>
        <v>0</v>
      </c>
      <c r="CT494" s="693">
        <f>SUMIFS(Imput[Importe Neto],Imput[C. Imp.],$D494,Imput[PERIODO Imp.],CT$9)</f>
        <v>0</v>
      </c>
      <c r="CU494" s="693">
        <f>SUMIFS(Imput[Importe Neto],Imput[C. Imp.],$D494,Imput[PERIODO Imp.],CU$9)</f>
        <v>0</v>
      </c>
      <c r="CV494" s="693">
        <f>SUMIFS(Imput[Importe Neto],Imput[C. Imp.],$D494,Imput[PERIODO Imp.],CV$9)</f>
        <v>0</v>
      </c>
      <c r="CW494" s="693">
        <f>SUMIFS(Imput[Importe Neto],Imput[C. Imp.],$D494,Imput[PERIODO Imp.],CW$9)</f>
        <v>0</v>
      </c>
      <c r="CX494" s="693">
        <f>SUMIFS(Imput[Importe Neto],Imput[C. Imp.],$D494,Imput[PERIODO Imp.],CX$9)</f>
        <v>0</v>
      </c>
      <c r="CY494" s="693">
        <f>SUMIFS(Imput[Importe Neto],Imput[C. Imp.],$D494,Imput[PERIODO Imp.],CY$9)</f>
        <v>0</v>
      </c>
      <c r="CZ494" s="693">
        <f>SUMIFS(Imput[Importe Neto],Imput[C. Imp.],$D494,Imput[PERIODO Imp.],CZ$9)</f>
        <v>0</v>
      </c>
      <c r="DA494" s="693">
        <f>SUMIFS(Imput[Importe Neto],Imput[C. Imp.],$D494,Imput[PERIODO Imp.],DA$9)</f>
        <v>0</v>
      </c>
      <c r="DB494" s="693">
        <f>SUMIFS(Imput[Importe Neto],Imput[C. Imp.],$D494,Imput[PERIODO Imp.],DB$9)</f>
        <v>0</v>
      </c>
      <c r="DC494" s="693">
        <f>SUMIFS(Imput[Importe Neto],Imput[C. Imp.],$D494,Imput[PERIODO Imp.],DC$9)</f>
        <v>0</v>
      </c>
      <c r="DD494" s="693">
        <f>SUMIFS(Imput[Importe Neto],Imput[C. Imp.],$D494,Imput[PERIODO Imp.],DD$9)</f>
        <v>0</v>
      </c>
      <c r="DE494" s="693">
        <f>SUMIFS(Imput[Importe Neto],Imput[C. Imp.],$D494,Imput[PERIODO Imp.],DE$9)</f>
        <v>0</v>
      </c>
      <c r="DF494" s="693">
        <f>SUMIFS(Imput[Importe Neto],Imput[C. Imp.],$D494,Imput[PERIODO Imp.],DF$9)</f>
        <v>0</v>
      </c>
      <c r="DG494" s="693">
        <f>SUMIFS(Imput[Importe Neto],Imput[C. Imp.],$D494,Imput[PERIODO Imp.],DG$9)</f>
        <v>0</v>
      </c>
      <c r="DH494" s="694">
        <f>SUMIFS(Imput[Importe Neto],Imput[C. Imp.],$D494,Imput[PERIODO Imp.],DH$9)</f>
        <v>0</v>
      </c>
    </row>
    <row r="495" spans="1:112" s="649" customFormat="1" outlineLevel="1" x14ac:dyDescent="0.3">
      <c r="A495" s="652" t="str">
        <f t="shared" si="198"/>
        <v>Imprimir</v>
      </c>
      <c r="B495" s="652"/>
      <c r="C495" s="685"/>
      <c r="D495" s="686" t="s">
        <v>2525</v>
      </c>
      <c r="E495" s="528" t="s">
        <v>3371</v>
      </c>
      <c r="F495" s="720"/>
      <c r="G495" s="688">
        <f>1857.14285714285+11000</f>
        <v>12857.14285714285</v>
      </c>
      <c r="H495" s="689">
        <v>1</v>
      </c>
      <c r="I495" s="851">
        <f t="shared" si="199"/>
        <v>1</v>
      </c>
      <c r="J495" s="852">
        <f t="shared" si="202"/>
        <v>12857.14285714285</v>
      </c>
      <c r="K495" s="667"/>
      <c r="L495" s="858"/>
      <c r="M495" s="859"/>
      <c r="N495" s="859"/>
      <c r="O495" s="859"/>
      <c r="P495" s="859"/>
      <c r="Q495" s="859"/>
      <c r="R495" s="859"/>
      <c r="S495" s="859"/>
      <c r="T495" s="859"/>
      <c r="U495" s="859"/>
      <c r="V495" s="859"/>
      <c r="W495" s="859"/>
      <c r="X495" s="859"/>
      <c r="Y495" s="859"/>
      <c r="Z495" s="860"/>
      <c r="AA495" s="860"/>
      <c r="AB495" s="860"/>
      <c r="AC495" s="860"/>
      <c r="AD495" s="860"/>
      <c r="AE495" s="860"/>
      <c r="AF495" s="860"/>
      <c r="AG495" s="860"/>
      <c r="AH495" s="860"/>
      <c r="AI495" s="860"/>
      <c r="AJ495" s="860"/>
      <c r="AK495" s="860"/>
      <c r="AL495" s="860"/>
      <c r="AM495" s="860"/>
      <c r="AN495" s="860"/>
      <c r="AO495" s="860"/>
      <c r="AP495" s="860"/>
      <c r="AQ495" s="860"/>
      <c r="AR495" s="860"/>
      <c r="AS495" s="860"/>
      <c r="AT495" s="860"/>
      <c r="AU495" s="860"/>
      <c r="AV495" s="860"/>
      <c r="AW495" s="860"/>
      <c r="AX495" s="860"/>
      <c r="AY495" s="860"/>
      <c r="AZ495" s="860"/>
      <c r="BA495" s="860"/>
      <c r="BB495" s="860"/>
      <c r="BC495" s="860"/>
      <c r="BD495" s="860"/>
      <c r="BE495" s="860"/>
      <c r="BF495" s="860"/>
      <c r="BG495" s="860"/>
      <c r="BH495" s="668"/>
      <c r="BI495" s="667"/>
      <c r="BJ495" s="690">
        <f t="shared" si="200"/>
        <v>0</v>
      </c>
      <c r="BK495" s="691">
        <f t="shared" si="201"/>
        <v>0</v>
      </c>
      <c r="BL495" s="654"/>
      <c r="BM495" s="692">
        <f>SUMIFS(Imput[Importe Neto],Imput[C. Imp.],$D495,Imput[PERIODO Imp.],BM$9)</f>
        <v>0</v>
      </c>
      <c r="BN495" s="693">
        <f>SUMIFS(Imput[Importe Neto],Imput[C. Imp.],$D495,Imput[PERIODO Imp.],BN$9)</f>
        <v>0</v>
      </c>
      <c r="BO495" s="693">
        <f>SUMIFS(Imput[Importe Neto],Imput[C. Imp.],$D495,Imput[PERIODO Imp.],BO$9)</f>
        <v>0</v>
      </c>
      <c r="BP495" s="693">
        <f>SUMIFS(Imput[Importe Neto],Imput[C. Imp.],$D495,Imput[PERIODO Imp.],BP$9)</f>
        <v>0</v>
      </c>
      <c r="BQ495" s="693">
        <f>SUMIFS(Imput[Importe Neto],Imput[C. Imp.],$D495,Imput[PERIODO Imp.],BQ$9)</f>
        <v>0</v>
      </c>
      <c r="BR495" s="693">
        <f>SUMIFS(Imput[Importe Neto],Imput[C. Imp.],$D495,Imput[PERIODO Imp.],BR$9)</f>
        <v>0</v>
      </c>
      <c r="BS495" s="693">
        <f>SUMIFS(Imput[Importe Neto],Imput[C. Imp.],$D495,Imput[PERIODO Imp.],BS$9)</f>
        <v>0</v>
      </c>
      <c r="BT495" s="693">
        <f>SUMIFS(Imput[Importe Neto],Imput[C. Imp.],$D495,Imput[PERIODO Imp.],BT$9)</f>
        <v>0</v>
      </c>
      <c r="BU495" s="693">
        <f>SUMIFS(Imput[Importe Neto],Imput[C. Imp.],$D495,Imput[PERIODO Imp.],BU$9)</f>
        <v>0</v>
      </c>
      <c r="BV495" s="693">
        <f>SUMIFS(Imput[Importe Neto],Imput[C. Imp.],$D495,Imput[PERIODO Imp.],BV$9)</f>
        <v>0</v>
      </c>
      <c r="BW495" s="693">
        <f>SUMIFS(Imput[Importe Neto],Imput[C. Imp.],$D495,Imput[PERIODO Imp.],BW$9)</f>
        <v>0</v>
      </c>
      <c r="BX495" s="693">
        <f>SUMIFS(Imput[Importe Neto],Imput[C. Imp.],$D495,Imput[PERIODO Imp.],BX$9)</f>
        <v>0</v>
      </c>
      <c r="BY495" s="693">
        <f>SUMIFS(Imput[Importe Neto],Imput[C. Imp.],$D495,Imput[PERIODO Imp.],BY$9)</f>
        <v>0</v>
      </c>
      <c r="BZ495" s="693">
        <f>SUMIFS(Imput[Importe Neto],Imput[C. Imp.],$D495,Imput[PERIODO Imp.],BZ$9)</f>
        <v>0</v>
      </c>
      <c r="CA495" s="693">
        <f>SUMIFS(Imput[Importe Neto],Imput[C. Imp.],$D495,Imput[PERIODO Imp.],CA$9)</f>
        <v>0</v>
      </c>
      <c r="CB495" s="693">
        <f>SUMIFS(Imput[Importe Neto],Imput[C. Imp.],$D495,Imput[PERIODO Imp.],CB$9)</f>
        <v>0</v>
      </c>
      <c r="CC495" s="693">
        <f>SUMIFS(Imput[Importe Neto],Imput[C. Imp.],$D495,Imput[PERIODO Imp.],CC$9)</f>
        <v>0</v>
      </c>
      <c r="CD495" s="693">
        <f>SUMIFS(Imput[Importe Neto],Imput[C. Imp.],$D495,Imput[PERIODO Imp.],CD$9)</f>
        <v>0</v>
      </c>
      <c r="CE495" s="693">
        <f>SUMIFS(Imput[Importe Neto],Imput[C. Imp.],$D495,Imput[PERIODO Imp.],CE$9)</f>
        <v>0</v>
      </c>
      <c r="CF495" s="693">
        <f>SUMIFS(Imput[Importe Neto],Imput[C. Imp.],$D495,Imput[PERIODO Imp.],CF$9)</f>
        <v>0</v>
      </c>
      <c r="CG495" s="693">
        <f>SUMIFS(Imput[Importe Neto],Imput[C. Imp.],$D495,Imput[PERIODO Imp.],CG$9)</f>
        <v>0</v>
      </c>
      <c r="CH495" s="693">
        <f>SUMIFS(Imput[Importe Neto],Imput[C. Imp.],$D495,Imput[PERIODO Imp.],CH$9)</f>
        <v>0</v>
      </c>
      <c r="CI495" s="693">
        <f>SUMIFS(Imput[Importe Neto],Imput[C. Imp.],$D495,Imput[PERIODO Imp.],CI$9)</f>
        <v>0</v>
      </c>
      <c r="CJ495" s="693">
        <f>SUMIFS(Imput[Importe Neto],Imput[C. Imp.],$D495,Imput[PERIODO Imp.],CJ$9)</f>
        <v>0</v>
      </c>
      <c r="CK495" s="693">
        <f>SUMIFS(Imput[Importe Neto],Imput[C. Imp.],$D495,Imput[PERIODO Imp.],CK$9)</f>
        <v>0</v>
      </c>
      <c r="CL495" s="693">
        <f>SUMIFS(Imput[Importe Neto],Imput[C. Imp.],$D495,Imput[PERIODO Imp.],CL$9)</f>
        <v>0</v>
      </c>
      <c r="CM495" s="693">
        <f>SUMIFS(Imput[Importe Neto],Imput[C. Imp.],$D495,Imput[PERIODO Imp.],CM$9)</f>
        <v>0</v>
      </c>
      <c r="CN495" s="693">
        <f>SUMIFS(Imput[Importe Neto],Imput[C. Imp.],$D495,Imput[PERIODO Imp.],CN$9)</f>
        <v>0</v>
      </c>
      <c r="CO495" s="693">
        <f>SUMIFS(Imput[Importe Neto],Imput[C. Imp.],$D495,Imput[PERIODO Imp.],CO$9)</f>
        <v>0</v>
      </c>
      <c r="CP495" s="693">
        <f>SUMIFS(Imput[Importe Neto],Imput[C. Imp.],$D495,Imput[PERIODO Imp.],CP$9)</f>
        <v>0</v>
      </c>
      <c r="CQ495" s="693">
        <f>SUMIFS(Imput[Importe Neto],Imput[C. Imp.],$D495,Imput[PERIODO Imp.],CQ$9)</f>
        <v>0</v>
      </c>
      <c r="CR495" s="693">
        <f>SUMIFS(Imput[Importe Neto],Imput[C. Imp.],$D495,Imput[PERIODO Imp.],CR$9)</f>
        <v>0</v>
      </c>
      <c r="CS495" s="693">
        <f>SUMIFS(Imput[Importe Neto],Imput[C. Imp.],$D495,Imput[PERIODO Imp.],CS$9)</f>
        <v>0</v>
      </c>
      <c r="CT495" s="693">
        <f>SUMIFS(Imput[Importe Neto],Imput[C. Imp.],$D495,Imput[PERIODO Imp.],CT$9)</f>
        <v>0</v>
      </c>
      <c r="CU495" s="693">
        <f>SUMIFS(Imput[Importe Neto],Imput[C. Imp.],$D495,Imput[PERIODO Imp.],CU$9)</f>
        <v>0</v>
      </c>
      <c r="CV495" s="693">
        <f>SUMIFS(Imput[Importe Neto],Imput[C. Imp.],$D495,Imput[PERIODO Imp.],CV$9)</f>
        <v>0</v>
      </c>
      <c r="CW495" s="693">
        <f>SUMIFS(Imput[Importe Neto],Imput[C. Imp.],$D495,Imput[PERIODO Imp.],CW$9)</f>
        <v>0</v>
      </c>
      <c r="CX495" s="693">
        <f>SUMIFS(Imput[Importe Neto],Imput[C. Imp.],$D495,Imput[PERIODO Imp.],CX$9)</f>
        <v>0</v>
      </c>
      <c r="CY495" s="693">
        <f>SUMIFS(Imput[Importe Neto],Imput[C. Imp.],$D495,Imput[PERIODO Imp.],CY$9)</f>
        <v>0</v>
      </c>
      <c r="CZ495" s="693">
        <f>SUMIFS(Imput[Importe Neto],Imput[C. Imp.],$D495,Imput[PERIODO Imp.],CZ$9)</f>
        <v>0</v>
      </c>
      <c r="DA495" s="693">
        <f>SUMIFS(Imput[Importe Neto],Imput[C. Imp.],$D495,Imput[PERIODO Imp.],DA$9)</f>
        <v>0</v>
      </c>
      <c r="DB495" s="693">
        <f>SUMIFS(Imput[Importe Neto],Imput[C. Imp.],$D495,Imput[PERIODO Imp.],DB$9)</f>
        <v>0</v>
      </c>
      <c r="DC495" s="693">
        <f>SUMIFS(Imput[Importe Neto],Imput[C. Imp.],$D495,Imput[PERIODO Imp.],DC$9)</f>
        <v>0</v>
      </c>
      <c r="DD495" s="693">
        <f>SUMIFS(Imput[Importe Neto],Imput[C. Imp.],$D495,Imput[PERIODO Imp.],DD$9)</f>
        <v>0</v>
      </c>
      <c r="DE495" s="693">
        <f>SUMIFS(Imput[Importe Neto],Imput[C. Imp.],$D495,Imput[PERIODO Imp.],DE$9)</f>
        <v>0</v>
      </c>
      <c r="DF495" s="693">
        <f>SUMIFS(Imput[Importe Neto],Imput[C. Imp.],$D495,Imput[PERIODO Imp.],DF$9)</f>
        <v>0</v>
      </c>
      <c r="DG495" s="693">
        <f>SUMIFS(Imput[Importe Neto],Imput[C. Imp.],$D495,Imput[PERIODO Imp.],DG$9)</f>
        <v>0</v>
      </c>
      <c r="DH495" s="694">
        <f>SUMIFS(Imput[Importe Neto],Imput[C. Imp.],$D495,Imput[PERIODO Imp.],DH$9)</f>
        <v>0</v>
      </c>
    </row>
    <row r="496" spans="1:112" s="649" customFormat="1" hidden="1" outlineLevel="1" x14ac:dyDescent="0.3">
      <c r="A496" s="652" t="str">
        <f t="shared" si="198"/>
        <v/>
      </c>
      <c r="B496" s="652"/>
      <c r="C496" s="685"/>
      <c r="D496" s="686" t="s">
        <v>2526</v>
      </c>
      <c r="E496" s="528" t="s">
        <v>3372</v>
      </c>
      <c r="F496" s="695"/>
      <c r="G496" s="688"/>
      <c r="H496" s="696"/>
      <c r="I496" s="851">
        <f t="shared" si="199"/>
        <v>1</v>
      </c>
      <c r="J496" s="850">
        <f t="shared" si="202"/>
        <v>0</v>
      </c>
      <c r="K496" s="667"/>
      <c r="L496" s="858"/>
      <c r="M496" s="859"/>
      <c r="N496" s="859"/>
      <c r="O496" s="859"/>
      <c r="P496" s="859"/>
      <c r="Q496" s="859"/>
      <c r="R496" s="859"/>
      <c r="S496" s="859"/>
      <c r="T496" s="859"/>
      <c r="U496" s="859"/>
      <c r="V496" s="859"/>
      <c r="W496" s="859"/>
      <c r="X496" s="859"/>
      <c r="Y496" s="859"/>
      <c r="Z496" s="860"/>
      <c r="AA496" s="860"/>
      <c r="AB496" s="860"/>
      <c r="AC496" s="860"/>
      <c r="AD496" s="860"/>
      <c r="AE496" s="860"/>
      <c r="AF496" s="860"/>
      <c r="AG496" s="860"/>
      <c r="AH496" s="860"/>
      <c r="AI496" s="860"/>
      <c r="AJ496" s="860"/>
      <c r="AK496" s="860"/>
      <c r="AL496" s="860"/>
      <c r="AM496" s="860"/>
      <c r="AN496" s="860"/>
      <c r="AO496" s="860"/>
      <c r="AP496" s="860"/>
      <c r="AQ496" s="860"/>
      <c r="AR496" s="860"/>
      <c r="AS496" s="860"/>
      <c r="AT496" s="860"/>
      <c r="AU496" s="860"/>
      <c r="AV496" s="860"/>
      <c r="AW496" s="860"/>
      <c r="AX496" s="860"/>
      <c r="AY496" s="860"/>
      <c r="AZ496" s="860"/>
      <c r="BA496" s="860"/>
      <c r="BB496" s="860"/>
      <c r="BC496" s="860"/>
      <c r="BD496" s="860"/>
      <c r="BE496" s="860"/>
      <c r="BF496" s="860"/>
      <c r="BG496" s="860"/>
      <c r="BH496" s="668"/>
      <c r="BI496" s="654"/>
      <c r="BJ496" s="690">
        <f t="shared" si="200"/>
        <v>0</v>
      </c>
      <c r="BK496" s="691">
        <f t="shared" si="201"/>
        <v>0</v>
      </c>
      <c r="BL496" s="654"/>
      <c r="BM496" s="697">
        <f>SUMIFS(Imput[Importe Neto],Imput[C. Imp.],$D496,Imput[PERIODO Imp.],BM$9)</f>
        <v>0</v>
      </c>
      <c r="BN496" s="698">
        <f>SUMIFS(Imput[Importe Neto],Imput[C. Imp.],$D496,Imput[PERIODO Imp.],BN$9)</f>
        <v>0</v>
      </c>
      <c r="BO496" s="698">
        <f>SUMIFS(Imput[Importe Neto],Imput[C. Imp.],$D496,Imput[PERIODO Imp.],BO$9)</f>
        <v>0</v>
      </c>
      <c r="BP496" s="698">
        <f>SUMIFS(Imput[Importe Neto],Imput[C. Imp.],$D496,Imput[PERIODO Imp.],BP$9)</f>
        <v>0</v>
      </c>
      <c r="BQ496" s="698">
        <f>SUMIFS(Imput[Importe Neto],Imput[C. Imp.],$D496,Imput[PERIODO Imp.],BQ$9)</f>
        <v>0</v>
      </c>
      <c r="BR496" s="698">
        <f>SUMIFS(Imput[Importe Neto],Imput[C. Imp.],$D496,Imput[PERIODO Imp.],BR$9)</f>
        <v>0</v>
      </c>
      <c r="BS496" s="698">
        <f>SUMIFS(Imput[Importe Neto],Imput[C. Imp.],$D496,Imput[PERIODO Imp.],BS$9)</f>
        <v>0</v>
      </c>
      <c r="BT496" s="698">
        <f>SUMIFS(Imput[Importe Neto],Imput[C. Imp.],$D496,Imput[PERIODO Imp.],BT$9)</f>
        <v>0</v>
      </c>
      <c r="BU496" s="698">
        <f>SUMIFS(Imput[Importe Neto],Imput[C. Imp.],$D496,Imput[PERIODO Imp.],BU$9)</f>
        <v>0</v>
      </c>
      <c r="BV496" s="698">
        <f>SUMIFS(Imput[Importe Neto],Imput[C. Imp.],$D496,Imput[PERIODO Imp.],BV$9)</f>
        <v>0</v>
      </c>
      <c r="BW496" s="698">
        <f>SUMIFS(Imput[Importe Neto],Imput[C. Imp.],$D496,Imput[PERIODO Imp.],BW$9)</f>
        <v>0</v>
      </c>
      <c r="BX496" s="698">
        <f>SUMIFS(Imput[Importe Neto],Imput[C. Imp.],$D496,Imput[PERIODO Imp.],BX$9)</f>
        <v>0</v>
      </c>
      <c r="BY496" s="698">
        <f>SUMIFS(Imput[Importe Neto],Imput[C. Imp.],$D496,Imput[PERIODO Imp.],BY$9)</f>
        <v>0</v>
      </c>
      <c r="BZ496" s="698">
        <f>SUMIFS(Imput[Importe Neto],Imput[C. Imp.],$D496,Imput[PERIODO Imp.],BZ$9)</f>
        <v>0</v>
      </c>
      <c r="CA496" s="698">
        <f>SUMIFS(Imput[Importe Neto],Imput[C. Imp.],$D496,Imput[PERIODO Imp.],CA$9)</f>
        <v>0</v>
      </c>
      <c r="CB496" s="698">
        <f>SUMIFS(Imput[Importe Neto],Imput[C. Imp.],$D496,Imput[PERIODO Imp.],CB$9)</f>
        <v>0</v>
      </c>
      <c r="CC496" s="698">
        <f>SUMIFS(Imput[Importe Neto],Imput[C. Imp.],$D496,Imput[PERIODO Imp.],CC$9)</f>
        <v>0</v>
      </c>
      <c r="CD496" s="698">
        <f>SUMIFS(Imput[Importe Neto],Imput[C. Imp.],$D496,Imput[PERIODO Imp.],CD$9)</f>
        <v>0</v>
      </c>
      <c r="CE496" s="698">
        <f>SUMIFS(Imput[Importe Neto],Imput[C. Imp.],$D496,Imput[PERIODO Imp.],CE$9)</f>
        <v>0</v>
      </c>
      <c r="CF496" s="698">
        <f>SUMIFS(Imput[Importe Neto],Imput[C. Imp.],$D496,Imput[PERIODO Imp.],CF$9)</f>
        <v>0</v>
      </c>
      <c r="CG496" s="698">
        <f>SUMIFS(Imput[Importe Neto],Imput[C. Imp.],$D496,Imput[PERIODO Imp.],CG$9)</f>
        <v>0</v>
      </c>
      <c r="CH496" s="698">
        <f>SUMIFS(Imput[Importe Neto],Imput[C. Imp.],$D496,Imput[PERIODO Imp.],CH$9)</f>
        <v>0</v>
      </c>
      <c r="CI496" s="698">
        <f>SUMIFS(Imput[Importe Neto],Imput[C. Imp.],$D496,Imput[PERIODO Imp.],CI$9)</f>
        <v>0</v>
      </c>
      <c r="CJ496" s="698">
        <f>SUMIFS(Imput[Importe Neto],Imput[C. Imp.],$D496,Imput[PERIODO Imp.],CJ$9)</f>
        <v>0</v>
      </c>
      <c r="CK496" s="698">
        <f>SUMIFS(Imput[Importe Neto],Imput[C. Imp.],$D496,Imput[PERIODO Imp.],CK$9)</f>
        <v>0</v>
      </c>
      <c r="CL496" s="698">
        <f>SUMIFS(Imput[Importe Neto],Imput[C. Imp.],$D496,Imput[PERIODO Imp.],CL$9)</f>
        <v>0</v>
      </c>
      <c r="CM496" s="698">
        <f>SUMIFS(Imput[Importe Neto],Imput[C. Imp.],$D496,Imput[PERIODO Imp.],CM$9)</f>
        <v>0</v>
      </c>
      <c r="CN496" s="698">
        <f>SUMIFS(Imput[Importe Neto],Imput[C. Imp.],$D496,Imput[PERIODO Imp.],CN$9)</f>
        <v>0</v>
      </c>
      <c r="CO496" s="698">
        <f>SUMIFS(Imput[Importe Neto],Imput[C. Imp.],$D496,Imput[PERIODO Imp.],CO$9)</f>
        <v>0</v>
      </c>
      <c r="CP496" s="698">
        <f>SUMIFS(Imput[Importe Neto],Imput[C. Imp.],$D496,Imput[PERIODO Imp.],CP$9)</f>
        <v>0</v>
      </c>
      <c r="CQ496" s="698">
        <f>SUMIFS(Imput[Importe Neto],Imput[C. Imp.],$D496,Imput[PERIODO Imp.],CQ$9)</f>
        <v>0</v>
      </c>
      <c r="CR496" s="698">
        <f>SUMIFS(Imput[Importe Neto],Imput[C. Imp.],$D496,Imput[PERIODO Imp.],CR$9)</f>
        <v>0</v>
      </c>
      <c r="CS496" s="698">
        <f>SUMIFS(Imput[Importe Neto],Imput[C. Imp.],$D496,Imput[PERIODO Imp.],CS$9)</f>
        <v>0</v>
      </c>
      <c r="CT496" s="698">
        <f>SUMIFS(Imput[Importe Neto],Imput[C. Imp.],$D496,Imput[PERIODO Imp.],CT$9)</f>
        <v>0</v>
      </c>
      <c r="CU496" s="698">
        <f>SUMIFS(Imput[Importe Neto],Imput[C. Imp.],$D496,Imput[PERIODO Imp.],CU$9)</f>
        <v>0</v>
      </c>
      <c r="CV496" s="698">
        <f>SUMIFS(Imput[Importe Neto],Imput[C. Imp.],$D496,Imput[PERIODO Imp.],CV$9)</f>
        <v>0</v>
      </c>
      <c r="CW496" s="698">
        <f>SUMIFS(Imput[Importe Neto],Imput[C. Imp.],$D496,Imput[PERIODO Imp.],CW$9)</f>
        <v>0</v>
      </c>
      <c r="CX496" s="698">
        <f>SUMIFS(Imput[Importe Neto],Imput[C. Imp.],$D496,Imput[PERIODO Imp.],CX$9)</f>
        <v>0</v>
      </c>
      <c r="CY496" s="698">
        <f>SUMIFS(Imput[Importe Neto],Imput[C. Imp.],$D496,Imput[PERIODO Imp.],CY$9)</f>
        <v>0</v>
      </c>
      <c r="CZ496" s="698">
        <f>SUMIFS(Imput[Importe Neto],Imput[C. Imp.],$D496,Imput[PERIODO Imp.],CZ$9)</f>
        <v>0</v>
      </c>
      <c r="DA496" s="698">
        <f>SUMIFS(Imput[Importe Neto],Imput[C. Imp.],$D496,Imput[PERIODO Imp.],DA$9)</f>
        <v>0</v>
      </c>
      <c r="DB496" s="698">
        <f>SUMIFS(Imput[Importe Neto],Imput[C. Imp.],$D496,Imput[PERIODO Imp.],DB$9)</f>
        <v>0</v>
      </c>
      <c r="DC496" s="698">
        <f>SUMIFS(Imput[Importe Neto],Imput[C. Imp.],$D496,Imput[PERIODO Imp.],DC$9)</f>
        <v>0</v>
      </c>
      <c r="DD496" s="698">
        <f>SUMIFS(Imput[Importe Neto],Imput[C. Imp.],$D496,Imput[PERIODO Imp.],DD$9)</f>
        <v>0</v>
      </c>
      <c r="DE496" s="698">
        <f>SUMIFS(Imput[Importe Neto],Imput[C. Imp.],$D496,Imput[PERIODO Imp.],DE$9)</f>
        <v>0</v>
      </c>
      <c r="DF496" s="698">
        <f>SUMIFS(Imput[Importe Neto],Imput[C. Imp.],$D496,Imput[PERIODO Imp.],DF$9)</f>
        <v>0</v>
      </c>
      <c r="DG496" s="698">
        <f>SUMIFS(Imput[Importe Neto],Imput[C. Imp.],$D496,Imput[PERIODO Imp.],DG$9)</f>
        <v>0</v>
      </c>
      <c r="DH496" s="795">
        <f>SUMIFS(Imput[Importe Neto],Imput[C. Imp.],$D496,Imput[PERIODO Imp.],DH$9)</f>
        <v>0</v>
      </c>
    </row>
    <row r="497" spans="1:112" s="649" customFormat="1" ht="14.4" outlineLevel="1" thickBot="1" x14ac:dyDescent="0.35">
      <c r="A497" s="652" t="str">
        <f>IF(J486&gt;0,"Imprimir","")</f>
        <v>Imprimir</v>
      </c>
      <c r="B497" s="652"/>
      <c r="C497" s="699"/>
      <c r="D497" s="700"/>
      <c r="E497" s="700"/>
      <c r="F497" s="701"/>
      <c r="G497" s="702"/>
      <c r="H497" s="703"/>
      <c r="I497" s="704"/>
      <c r="J497" s="705"/>
      <c r="K497" s="667"/>
      <c r="L497" s="706"/>
      <c r="M497" s="707"/>
      <c r="N497" s="777"/>
      <c r="O497" s="777"/>
      <c r="P497" s="778"/>
      <c r="Q497" s="778"/>
      <c r="R497" s="708"/>
      <c r="S497" s="708"/>
      <c r="T497" s="779"/>
      <c r="U497" s="779"/>
      <c r="V497" s="778"/>
      <c r="W497" s="778"/>
      <c r="X497" s="708"/>
      <c r="Y497" s="708"/>
      <c r="Z497" s="779"/>
      <c r="AA497" s="779"/>
      <c r="AB497" s="778"/>
      <c r="AC497" s="778"/>
      <c r="AD497" s="708"/>
      <c r="AE497" s="708"/>
      <c r="AF497" s="779"/>
      <c r="AG497" s="779"/>
      <c r="AH497" s="778"/>
      <c r="AI497" s="778"/>
      <c r="AJ497" s="778"/>
      <c r="AK497" s="778"/>
      <c r="AL497" s="778"/>
      <c r="AM497" s="778"/>
      <c r="AN497" s="778"/>
      <c r="AO497" s="778"/>
      <c r="AP497" s="778"/>
      <c r="AQ497" s="778"/>
      <c r="AR497" s="778"/>
      <c r="AS497" s="778"/>
      <c r="AT497" s="778"/>
      <c r="AU497" s="778"/>
      <c r="AV497" s="778"/>
      <c r="AW497" s="778"/>
      <c r="AX497" s="778"/>
      <c r="AY497" s="778"/>
      <c r="AZ497" s="778"/>
      <c r="BA497" s="778"/>
      <c r="BB497" s="778"/>
      <c r="BC497" s="778"/>
      <c r="BD497" s="778"/>
      <c r="BE497" s="778"/>
      <c r="BF497" s="778"/>
      <c r="BG497" s="778"/>
      <c r="BH497" s="780"/>
      <c r="BI497" s="654"/>
      <c r="BJ497" s="709"/>
      <c r="BK497" s="710"/>
      <c r="BL497" s="654"/>
      <c r="BM497" s="731"/>
      <c r="BN497" s="701"/>
      <c r="BO497" s="701"/>
      <c r="BP497" s="701"/>
      <c r="BQ497" s="701"/>
      <c r="BR497" s="701"/>
      <c r="BS497" s="701"/>
      <c r="BT497" s="701"/>
      <c r="BU497" s="701"/>
      <c r="BV497" s="701"/>
      <c r="BW497" s="701"/>
      <c r="BX497" s="701"/>
      <c r="BY497" s="701"/>
      <c r="BZ497" s="701"/>
      <c r="CA497" s="701"/>
      <c r="CB497" s="701"/>
      <c r="CC497" s="701"/>
      <c r="CD497" s="701"/>
      <c r="CE497" s="701"/>
      <c r="CF497" s="701"/>
      <c r="CG497" s="701"/>
      <c r="CH497" s="701"/>
      <c r="CI497" s="701"/>
      <c r="CJ497" s="701"/>
      <c r="CK497" s="701"/>
      <c r="CL497" s="701"/>
      <c r="CM497" s="701"/>
      <c r="CN497" s="701"/>
      <c r="CO497" s="701"/>
      <c r="CP497" s="701"/>
      <c r="CQ497" s="701"/>
      <c r="CR497" s="701"/>
      <c r="CS497" s="701"/>
      <c r="CT497" s="701"/>
      <c r="CU497" s="701"/>
      <c r="CV497" s="701"/>
      <c r="CW497" s="701"/>
      <c r="CX497" s="701"/>
      <c r="CY497" s="701"/>
      <c r="CZ497" s="701"/>
      <c r="DA497" s="701"/>
      <c r="DB497" s="701"/>
      <c r="DC497" s="701"/>
      <c r="DD497" s="701"/>
      <c r="DE497" s="701"/>
      <c r="DF497" s="701"/>
      <c r="DG497" s="701"/>
      <c r="DH497" s="710"/>
    </row>
    <row r="498" spans="1:112" s="649" customFormat="1" x14ac:dyDescent="0.3">
      <c r="A498" s="652" t="str">
        <f>IF(J498&gt;0,"Imprimir","")</f>
        <v>Imprimir</v>
      </c>
      <c r="B498" s="652"/>
      <c r="C498" s="711"/>
      <c r="D498" s="712" t="s">
        <v>390</v>
      </c>
      <c r="E498" s="712" t="s">
        <v>478</v>
      </c>
      <c r="F498" s="712"/>
      <c r="G498" s="713"/>
      <c r="H498" s="712"/>
      <c r="I498" s="714"/>
      <c r="J498" s="166">
        <f>SUBTOTAL(9,J501:J539)</f>
        <v>19116</v>
      </c>
      <c r="K498" s="658"/>
      <c r="L498" s="770">
        <f t="shared" ref="L498:BG498" si="203">SUMPRODUCT($J501:$J539,L501:L539)</f>
        <v>5734.8</v>
      </c>
      <c r="M498" s="771">
        <f t="shared" si="203"/>
        <v>0</v>
      </c>
      <c r="N498" s="771">
        <f t="shared" si="203"/>
        <v>0</v>
      </c>
      <c r="O498" s="771">
        <f t="shared" si="203"/>
        <v>0</v>
      </c>
      <c r="P498" s="771">
        <f t="shared" si="203"/>
        <v>5734.8</v>
      </c>
      <c r="Q498" s="771">
        <f t="shared" si="203"/>
        <v>0</v>
      </c>
      <c r="R498" s="771">
        <f t="shared" si="203"/>
        <v>0</v>
      </c>
      <c r="S498" s="771">
        <f t="shared" si="203"/>
        <v>0</v>
      </c>
      <c r="T498" s="771">
        <f t="shared" si="203"/>
        <v>0</v>
      </c>
      <c r="U498" s="771">
        <f t="shared" si="203"/>
        <v>0</v>
      </c>
      <c r="V498" s="771">
        <f t="shared" si="203"/>
        <v>0</v>
      </c>
      <c r="W498" s="771">
        <f t="shared" si="203"/>
        <v>5734.8</v>
      </c>
      <c r="X498" s="771">
        <f t="shared" si="203"/>
        <v>0</v>
      </c>
      <c r="Y498" s="771">
        <f t="shared" si="203"/>
        <v>0</v>
      </c>
      <c r="Z498" s="771">
        <f t="shared" si="203"/>
        <v>0</v>
      </c>
      <c r="AA498" s="771">
        <f t="shared" si="203"/>
        <v>0</v>
      </c>
      <c r="AB498" s="771">
        <f t="shared" si="203"/>
        <v>0</v>
      </c>
      <c r="AC498" s="771">
        <f t="shared" si="203"/>
        <v>0</v>
      </c>
      <c r="AD498" s="771">
        <f t="shared" si="203"/>
        <v>0</v>
      </c>
      <c r="AE498" s="771">
        <f t="shared" si="203"/>
        <v>1911.6</v>
      </c>
      <c r="AF498" s="771">
        <f t="shared" si="203"/>
        <v>0</v>
      </c>
      <c r="AG498" s="771">
        <f t="shared" si="203"/>
        <v>0</v>
      </c>
      <c r="AH498" s="771">
        <f t="shared" si="203"/>
        <v>0</v>
      </c>
      <c r="AI498" s="771">
        <f t="shared" si="203"/>
        <v>0</v>
      </c>
      <c r="AJ498" s="771">
        <f t="shared" si="203"/>
        <v>0</v>
      </c>
      <c r="AK498" s="771">
        <f t="shared" si="203"/>
        <v>0</v>
      </c>
      <c r="AL498" s="771">
        <f t="shared" si="203"/>
        <v>0</v>
      </c>
      <c r="AM498" s="771">
        <f t="shared" si="203"/>
        <v>0</v>
      </c>
      <c r="AN498" s="771">
        <f t="shared" si="203"/>
        <v>0</v>
      </c>
      <c r="AO498" s="771">
        <f t="shared" si="203"/>
        <v>0</v>
      </c>
      <c r="AP498" s="771">
        <f t="shared" si="203"/>
        <v>0</v>
      </c>
      <c r="AQ498" s="771">
        <f t="shared" si="203"/>
        <v>0</v>
      </c>
      <c r="AR498" s="771">
        <f t="shared" si="203"/>
        <v>0</v>
      </c>
      <c r="AS498" s="771">
        <f t="shared" si="203"/>
        <v>0</v>
      </c>
      <c r="AT498" s="771">
        <f t="shared" si="203"/>
        <v>0</v>
      </c>
      <c r="AU498" s="771">
        <f t="shared" si="203"/>
        <v>0</v>
      </c>
      <c r="AV498" s="771">
        <f t="shared" si="203"/>
        <v>0</v>
      </c>
      <c r="AW498" s="771">
        <f t="shared" si="203"/>
        <v>0</v>
      </c>
      <c r="AX498" s="771">
        <f t="shared" si="203"/>
        <v>0</v>
      </c>
      <c r="AY498" s="771">
        <f t="shared" si="203"/>
        <v>0</v>
      </c>
      <c r="AZ498" s="771">
        <f t="shared" si="203"/>
        <v>0</v>
      </c>
      <c r="BA498" s="771">
        <f t="shared" si="203"/>
        <v>0</v>
      </c>
      <c r="BB498" s="771">
        <f t="shared" si="203"/>
        <v>0</v>
      </c>
      <c r="BC498" s="771">
        <f t="shared" si="203"/>
        <v>0</v>
      </c>
      <c r="BD498" s="771">
        <f t="shared" si="203"/>
        <v>0</v>
      </c>
      <c r="BE498" s="771">
        <f t="shared" si="203"/>
        <v>0</v>
      </c>
      <c r="BF498" s="771">
        <f t="shared" si="203"/>
        <v>0</v>
      </c>
      <c r="BG498" s="764">
        <f t="shared" si="203"/>
        <v>0</v>
      </c>
      <c r="BH498" s="776"/>
      <c r="BI498" s="654"/>
      <c r="BJ498" s="659">
        <f>IFERROR(BK498/J498,0)</f>
        <v>0</v>
      </c>
      <c r="BK498" s="660">
        <f>SUBTOTAL(9,BK499:BK539)</f>
        <v>0</v>
      </c>
      <c r="BL498" s="654"/>
      <c r="BM498" s="661">
        <f t="shared" ref="BM498:DH498" si="204">SUBTOTAL(9,BM499:BM539)</f>
        <v>0</v>
      </c>
      <c r="BN498" s="662">
        <f t="shared" si="204"/>
        <v>0</v>
      </c>
      <c r="BO498" s="662">
        <f t="shared" si="204"/>
        <v>0</v>
      </c>
      <c r="BP498" s="662">
        <f t="shared" si="204"/>
        <v>0</v>
      </c>
      <c r="BQ498" s="662">
        <f t="shared" si="204"/>
        <v>0</v>
      </c>
      <c r="BR498" s="662">
        <f t="shared" si="204"/>
        <v>0</v>
      </c>
      <c r="BS498" s="662">
        <f t="shared" si="204"/>
        <v>0</v>
      </c>
      <c r="BT498" s="662">
        <f t="shared" si="204"/>
        <v>0</v>
      </c>
      <c r="BU498" s="662">
        <f t="shared" si="204"/>
        <v>0</v>
      </c>
      <c r="BV498" s="662">
        <f t="shared" si="204"/>
        <v>0</v>
      </c>
      <c r="BW498" s="662">
        <f t="shared" si="204"/>
        <v>0</v>
      </c>
      <c r="BX498" s="662">
        <f t="shared" si="204"/>
        <v>0</v>
      </c>
      <c r="BY498" s="662">
        <f t="shared" si="204"/>
        <v>0</v>
      </c>
      <c r="BZ498" s="662">
        <f t="shared" si="204"/>
        <v>0</v>
      </c>
      <c r="CA498" s="662">
        <f t="shared" si="204"/>
        <v>0</v>
      </c>
      <c r="CB498" s="662">
        <f t="shared" si="204"/>
        <v>0</v>
      </c>
      <c r="CC498" s="662">
        <f t="shared" si="204"/>
        <v>0</v>
      </c>
      <c r="CD498" s="662">
        <f t="shared" si="204"/>
        <v>0</v>
      </c>
      <c r="CE498" s="662">
        <f t="shared" si="204"/>
        <v>0</v>
      </c>
      <c r="CF498" s="662">
        <f t="shared" si="204"/>
        <v>0</v>
      </c>
      <c r="CG498" s="662">
        <f t="shared" si="204"/>
        <v>0</v>
      </c>
      <c r="CH498" s="662">
        <f t="shared" si="204"/>
        <v>0</v>
      </c>
      <c r="CI498" s="662">
        <f t="shared" si="204"/>
        <v>0</v>
      </c>
      <c r="CJ498" s="662">
        <f t="shared" si="204"/>
        <v>0</v>
      </c>
      <c r="CK498" s="662">
        <f t="shared" si="204"/>
        <v>0</v>
      </c>
      <c r="CL498" s="662">
        <f t="shared" si="204"/>
        <v>0</v>
      </c>
      <c r="CM498" s="662">
        <f t="shared" si="204"/>
        <v>0</v>
      </c>
      <c r="CN498" s="662">
        <f t="shared" si="204"/>
        <v>0</v>
      </c>
      <c r="CO498" s="662">
        <f t="shared" si="204"/>
        <v>0</v>
      </c>
      <c r="CP498" s="662">
        <f t="shared" si="204"/>
        <v>0</v>
      </c>
      <c r="CQ498" s="662">
        <f t="shared" si="204"/>
        <v>0</v>
      </c>
      <c r="CR498" s="662">
        <f t="shared" si="204"/>
        <v>0</v>
      </c>
      <c r="CS498" s="662">
        <f t="shared" si="204"/>
        <v>0</v>
      </c>
      <c r="CT498" s="662">
        <f t="shared" si="204"/>
        <v>0</v>
      </c>
      <c r="CU498" s="662">
        <f t="shared" si="204"/>
        <v>0</v>
      </c>
      <c r="CV498" s="662">
        <f t="shared" si="204"/>
        <v>0</v>
      </c>
      <c r="CW498" s="662">
        <f t="shared" si="204"/>
        <v>0</v>
      </c>
      <c r="CX498" s="662">
        <f t="shared" si="204"/>
        <v>0</v>
      </c>
      <c r="CY498" s="662">
        <f t="shared" si="204"/>
        <v>0</v>
      </c>
      <c r="CZ498" s="662">
        <f t="shared" si="204"/>
        <v>0</v>
      </c>
      <c r="DA498" s="662">
        <f t="shared" si="204"/>
        <v>0</v>
      </c>
      <c r="DB498" s="662">
        <f t="shared" si="204"/>
        <v>0</v>
      </c>
      <c r="DC498" s="662">
        <f t="shared" si="204"/>
        <v>0</v>
      </c>
      <c r="DD498" s="662">
        <f t="shared" si="204"/>
        <v>0</v>
      </c>
      <c r="DE498" s="662">
        <f t="shared" si="204"/>
        <v>0</v>
      </c>
      <c r="DF498" s="662">
        <f t="shared" si="204"/>
        <v>0</v>
      </c>
      <c r="DG498" s="662">
        <f t="shared" si="204"/>
        <v>0</v>
      </c>
      <c r="DH498" s="663">
        <f t="shared" si="204"/>
        <v>0</v>
      </c>
    </row>
    <row r="499" spans="1:112" s="649" customFormat="1" outlineLevel="1" x14ac:dyDescent="0.3">
      <c r="A499" s="652" t="str">
        <f>IF(J498&gt;0,"Imprimir","")</f>
        <v>Imprimir</v>
      </c>
      <c r="B499" s="652"/>
      <c r="C499" s="664"/>
      <c r="D499" s="665"/>
      <c r="E499" s="665"/>
      <c r="F499" s="665" t="s">
        <v>472</v>
      </c>
      <c r="G499" s="716" t="s">
        <v>2128</v>
      </c>
      <c r="H499" s="665" t="s">
        <v>98</v>
      </c>
      <c r="I499" s="665" t="s">
        <v>474</v>
      </c>
      <c r="J499" s="104" t="s">
        <v>29</v>
      </c>
      <c r="K499" s="667"/>
      <c r="L499" s="745"/>
      <c r="M499" s="741"/>
      <c r="N499" s="741"/>
      <c r="O499" s="741"/>
      <c r="P499" s="741"/>
      <c r="Q499" s="741"/>
      <c r="R499" s="741"/>
      <c r="S499" s="741"/>
      <c r="T499" s="741"/>
      <c r="U499" s="741"/>
      <c r="V499" s="741"/>
      <c r="W499" s="741"/>
      <c r="X499" s="741"/>
      <c r="Y499" s="741"/>
      <c r="Z499" s="741"/>
      <c r="AA499" s="741"/>
      <c r="AB499" s="741"/>
      <c r="AC499" s="741"/>
      <c r="AD499" s="741"/>
      <c r="AE499" s="741"/>
      <c r="AF499" s="741"/>
      <c r="AG499" s="741"/>
      <c r="AH499" s="741"/>
      <c r="AI499" s="741"/>
      <c r="AJ499" s="741"/>
      <c r="AK499" s="741"/>
      <c r="AL499" s="741"/>
      <c r="AM499" s="741"/>
      <c r="AN499" s="741"/>
      <c r="AO499" s="741"/>
      <c r="AP499" s="741"/>
      <c r="AQ499" s="741"/>
      <c r="AR499" s="741"/>
      <c r="AS499" s="741"/>
      <c r="AT499" s="741"/>
      <c r="AU499" s="741"/>
      <c r="AV499" s="741"/>
      <c r="AW499" s="741"/>
      <c r="AX499" s="741"/>
      <c r="AY499" s="741"/>
      <c r="AZ499" s="741"/>
      <c r="BA499" s="741"/>
      <c r="BB499" s="741"/>
      <c r="BC499" s="741"/>
      <c r="BD499" s="741"/>
      <c r="BE499" s="741"/>
      <c r="BF499" s="741"/>
      <c r="BG499" s="741"/>
      <c r="BH499" s="668"/>
      <c r="BI499" s="654"/>
      <c r="BJ499" s="669"/>
      <c r="BK499" s="670"/>
      <c r="BL499" s="654"/>
      <c r="BM499" s="671"/>
      <c r="BN499" s="665"/>
      <c r="BO499" s="665"/>
      <c r="BP499" s="665"/>
      <c r="BQ499" s="665"/>
      <c r="BR499" s="665"/>
      <c r="BS499" s="665"/>
      <c r="BT499" s="665"/>
      <c r="BU499" s="665"/>
      <c r="BV499" s="665"/>
      <c r="BW499" s="665"/>
      <c r="BX499" s="665"/>
      <c r="BY499" s="665"/>
      <c r="BZ499" s="665"/>
      <c r="CA499" s="665"/>
      <c r="CB499" s="665"/>
      <c r="CC499" s="665"/>
      <c r="CD499" s="665"/>
      <c r="CE499" s="665"/>
      <c r="CF499" s="665"/>
      <c r="CG499" s="665"/>
      <c r="CH499" s="665"/>
      <c r="CI499" s="665"/>
      <c r="CJ499" s="665"/>
      <c r="CK499" s="665"/>
      <c r="CL499" s="665"/>
      <c r="CM499" s="665"/>
      <c r="CN499" s="665"/>
      <c r="CO499" s="665"/>
      <c r="CP499" s="665"/>
      <c r="CQ499" s="665"/>
      <c r="CR499" s="665"/>
      <c r="CS499" s="665"/>
      <c r="CT499" s="665"/>
      <c r="CU499" s="665"/>
      <c r="CV499" s="665"/>
      <c r="CW499" s="665"/>
      <c r="CX499" s="665"/>
      <c r="CY499" s="665"/>
      <c r="CZ499" s="665"/>
      <c r="DA499" s="665"/>
      <c r="DB499" s="665"/>
      <c r="DC499" s="665"/>
      <c r="DD499" s="665"/>
      <c r="DE499" s="665"/>
      <c r="DF499" s="665"/>
      <c r="DG499" s="665"/>
      <c r="DH499" s="666"/>
    </row>
    <row r="500" spans="1:112" s="649" customFormat="1" ht="15.6" outlineLevel="1" x14ac:dyDescent="0.3">
      <c r="A500" s="652" t="str">
        <f>IF(J500&gt;0,"Imprimir","")</f>
        <v>Imprimir</v>
      </c>
      <c r="B500" s="652"/>
      <c r="C500" s="672"/>
      <c r="D500" s="673"/>
      <c r="E500" s="674"/>
      <c r="F500" s="675"/>
      <c r="G500" s="717"/>
      <c r="H500" s="718"/>
      <c r="I500" s="719"/>
      <c r="J500" s="219">
        <f>SUBTOTAL(9,J501:J539)</f>
        <v>19116</v>
      </c>
      <c r="K500" s="678"/>
      <c r="L500" s="747"/>
      <c r="M500" s="742"/>
      <c r="N500" s="742"/>
      <c r="O500" s="742"/>
      <c r="P500" s="742"/>
      <c r="Q500" s="742"/>
      <c r="R500" s="742"/>
      <c r="S500" s="742"/>
      <c r="T500" s="742"/>
      <c r="U500" s="742"/>
      <c r="V500" s="742"/>
      <c r="W500" s="742"/>
      <c r="X500" s="742"/>
      <c r="Y500" s="742"/>
      <c r="Z500" s="742"/>
      <c r="AA500" s="742"/>
      <c r="AB500" s="742"/>
      <c r="AC500" s="742"/>
      <c r="AD500" s="742"/>
      <c r="AE500" s="742"/>
      <c r="AF500" s="742"/>
      <c r="AG500" s="742"/>
      <c r="AH500" s="742"/>
      <c r="AI500" s="742"/>
      <c r="AJ500" s="742"/>
      <c r="AK500" s="742"/>
      <c r="AL500" s="742"/>
      <c r="AM500" s="742"/>
      <c r="AN500" s="742"/>
      <c r="AO500" s="742"/>
      <c r="AP500" s="742"/>
      <c r="AQ500" s="742"/>
      <c r="AR500" s="742"/>
      <c r="AS500" s="742"/>
      <c r="AT500" s="742"/>
      <c r="AU500" s="742"/>
      <c r="AV500" s="742"/>
      <c r="AW500" s="742"/>
      <c r="AX500" s="742"/>
      <c r="AY500" s="742"/>
      <c r="AZ500" s="742"/>
      <c r="BA500" s="742"/>
      <c r="BB500" s="742"/>
      <c r="BC500" s="742"/>
      <c r="BD500" s="742"/>
      <c r="BE500" s="742"/>
      <c r="BF500" s="742"/>
      <c r="BG500" s="742"/>
      <c r="BH500" s="668"/>
      <c r="BI500" s="654"/>
      <c r="BJ500" s="680"/>
      <c r="BK500" s="681"/>
      <c r="BL500" s="654"/>
      <c r="BM500" s="682"/>
      <c r="BN500" s="683"/>
      <c r="BO500" s="683"/>
      <c r="BP500" s="683"/>
      <c r="BQ500" s="683"/>
      <c r="BR500" s="683"/>
      <c r="BS500" s="683"/>
      <c r="BT500" s="683"/>
      <c r="BU500" s="683"/>
      <c r="BV500" s="683"/>
      <c r="BW500" s="683"/>
      <c r="BX500" s="683"/>
      <c r="BY500" s="683"/>
      <c r="BZ500" s="683"/>
      <c r="CA500" s="683"/>
      <c r="CB500" s="683"/>
      <c r="CC500" s="683"/>
      <c r="CD500" s="683"/>
      <c r="CE500" s="683"/>
      <c r="CF500" s="683"/>
      <c r="CG500" s="683"/>
      <c r="CH500" s="683"/>
      <c r="CI500" s="683"/>
      <c r="CJ500" s="683"/>
      <c r="CK500" s="683"/>
      <c r="CL500" s="683"/>
      <c r="CM500" s="683"/>
      <c r="CN500" s="683"/>
      <c r="CO500" s="683"/>
      <c r="CP500" s="683"/>
      <c r="CQ500" s="683"/>
      <c r="CR500" s="683"/>
      <c r="CS500" s="683"/>
      <c r="CT500" s="683"/>
      <c r="CU500" s="683"/>
      <c r="CV500" s="683"/>
      <c r="CW500" s="683"/>
      <c r="CX500" s="683"/>
      <c r="CY500" s="683"/>
      <c r="CZ500" s="683"/>
      <c r="DA500" s="683"/>
      <c r="DB500" s="683"/>
      <c r="DC500" s="683"/>
      <c r="DD500" s="683"/>
      <c r="DE500" s="683"/>
      <c r="DF500" s="683"/>
      <c r="DG500" s="683"/>
      <c r="DH500" s="684"/>
    </row>
    <row r="501" spans="1:112" s="649" customFormat="1" outlineLevel="1" x14ac:dyDescent="0.3">
      <c r="A501" s="652" t="str">
        <f t="shared" ref="A501:A538" si="205">IF(J501="","",IF(J501=0,"","Imprimir"))</f>
        <v>Imprimir</v>
      </c>
      <c r="B501" s="652"/>
      <c r="C501" s="685"/>
      <c r="D501" s="686" t="s">
        <v>2527</v>
      </c>
      <c r="E501" s="686" t="s">
        <v>479</v>
      </c>
      <c r="F501" s="720"/>
      <c r="G501" s="688">
        <v>500</v>
      </c>
      <c r="H501" s="531">
        <f>Producción!G56*0.275</f>
        <v>19.8</v>
      </c>
      <c r="I501" s="851">
        <f t="shared" ref="I501:I538" si="206">IF(E501&gt;0,$J$5,"")</f>
        <v>1</v>
      </c>
      <c r="J501" s="850">
        <f t="shared" ref="J501:J538" si="207">IFERROR(G501*H501*I501,"")</f>
        <v>9900</v>
      </c>
      <c r="K501" s="667"/>
      <c r="L501" s="858">
        <v>0.3</v>
      </c>
      <c r="M501" s="859"/>
      <c r="N501" s="859"/>
      <c r="O501" s="859"/>
      <c r="P501" s="859">
        <v>0.3</v>
      </c>
      <c r="Q501" s="859"/>
      <c r="R501" s="859"/>
      <c r="S501" s="859"/>
      <c r="T501" s="859"/>
      <c r="U501" s="859"/>
      <c r="V501" s="859"/>
      <c r="W501" s="859">
        <v>0.3</v>
      </c>
      <c r="X501" s="859"/>
      <c r="Y501" s="859"/>
      <c r="Z501" s="860"/>
      <c r="AA501" s="860"/>
      <c r="AB501" s="860"/>
      <c r="AC501" s="860"/>
      <c r="AD501" s="860"/>
      <c r="AE501" s="860">
        <v>0.1</v>
      </c>
      <c r="AF501" s="860"/>
      <c r="AG501" s="860"/>
      <c r="AH501" s="860"/>
      <c r="AI501" s="860"/>
      <c r="AJ501" s="860"/>
      <c r="AK501" s="860"/>
      <c r="AL501" s="860"/>
      <c r="AM501" s="860"/>
      <c r="AN501" s="860"/>
      <c r="AO501" s="860"/>
      <c r="AP501" s="860"/>
      <c r="AQ501" s="860"/>
      <c r="AR501" s="860"/>
      <c r="AS501" s="860"/>
      <c r="AT501" s="860"/>
      <c r="AU501" s="860"/>
      <c r="AV501" s="860"/>
      <c r="AW501" s="860"/>
      <c r="AX501" s="860"/>
      <c r="AY501" s="860"/>
      <c r="AZ501" s="860"/>
      <c r="BA501" s="860"/>
      <c r="BB501" s="860"/>
      <c r="BC501" s="860"/>
      <c r="BD501" s="860"/>
      <c r="BE501" s="860"/>
      <c r="BF501" s="860"/>
      <c r="BG501" s="860"/>
      <c r="BH501" s="668"/>
      <c r="BI501" s="667"/>
      <c r="BJ501" s="690">
        <f t="shared" ref="BJ501:BJ538" si="208">IFERROR(BK501/J501,0)</f>
        <v>0</v>
      </c>
      <c r="BK501" s="691">
        <f t="shared" ref="BK501:BK538" si="209">SUM(BM501:DH501)</f>
        <v>0</v>
      </c>
      <c r="BL501" s="654"/>
      <c r="BM501" s="692">
        <f>SUMIFS(Imput[Importe Neto],Imput[C. Imp.],$D501,Imput[PERIODO Imp.],BM$9)</f>
        <v>0</v>
      </c>
      <c r="BN501" s="693">
        <f>SUMIFS(Imput[Importe Neto],Imput[C. Imp.],$D501,Imput[PERIODO Imp.],BN$9)</f>
        <v>0</v>
      </c>
      <c r="BO501" s="693">
        <f>SUMIFS(Imput[Importe Neto],Imput[C. Imp.],$D501,Imput[PERIODO Imp.],BO$9)</f>
        <v>0</v>
      </c>
      <c r="BP501" s="693">
        <f>SUMIFS(Imput[Importe Neto],Imput[C. Imp.],$D501,Imput[PERIODO Imp.],BP$9)</f>
        <v>0</v>
      </c>
      <c r="BQ501" s="693">
        <f>SUMIFS(Imput[Importe Neto],Imput[C. Imp.],$D501,Imput[PERIODO Imp.],BQ$9)</f>
        <v>0</v>
      </c>
      <c r="BR501" s="693">
        <f>SUMIFS(Imput[Importe Neto],Imput[C. Imp.],$D501,Imput[PERIODO Imp.],BR$9)</f>
        <v>0</v>
      </c>
      <c r="BS501" s="693">
        <f>SUMIFS(Imput[Importe Neto],Imput[C. Imp.],$D501,Imput[PERIODO Imp.],BS$9)</f>
        <v>0</v>
      </c>
      <c r="BT501" s="693">
        <f>SUMIFS(Imput[Importe Neto],Imput[C. Imp.],$D501,Imput[PERIODO Imp.],BT$9)</f>
        <v>0</v>
      </c>
      <c r="BU501" s="693">
        <f>SUMIFS(Imput[Importe Neto],Imput[C. Imp.],$D501,Imput[PERIODO Imp.],BU$9)</f>
        <v>0</v>
      </c>
      <c r="BV501" s="693">
        <f>SUMIFS(Imput[Importe Neto],Imput[C. Imp.],$D501,Imput[PERIODO Imp.],BV$9)</f>
        <v>0</v>
      </c>
      <c r="BW501" s="693">
        <f>SUMIFS(Imput[Importe Neto],Imput[C. Imp.],$D501,Imput[PERIODO Imp.],BW$9)</f>
        <v>0</v>
      </c>
      <c r="BX501" s="693">
        <f>SUMIFS(Imput[Importe Neto],Imput[C. Imp.],$D501,Imput[PERIODO Imp.],BX$9)</f>
        <v>0</v>
      </c>
      <c r="BY501" s="693">
        <f>SUMIFS(Imput[Importe Neto],Imput[C. Imp.],$D501,Imput[PERIODO Imp.],BY$9)</f>
        <v>0</v>
      </c>
      <c r="BZ501" s="693">
        <f>SUMIFS(Imput[Importe Neto],Imput[C. Imp.],$D501,Imput[PERIODO Imp.],BZ$9)</f>
        <v>0</v>
      </c>
      <c r="CA501" s="693">
        <f>SUMIFS(Imput[Importe Neto],Imput[C. Imp.],$D501,Imput[PERIODO Imp.],CA$9)</f>
        <v>0</v>
      </c>
      <c r="CB501" s="693">
        <f>SUMIFS(Imput[Importe Neto],Imput[C. Imp.],$D501,Imput[PERIODO Imp.],CB$9)</f>
        <v>0</v>
      </c>
      <c r="CC501" s="693">
        <f>SUMIFS(Imput[Importe Neto],Imput[C. Imp.],$D501,Imput[PERIODO Imp.],CC$9)</f>
        <v>0</v>
      </c>
      <c r="CD501" s="693">
        <f>SUMIFS(Imput[Importe Neto],Imput[C. Imp.],$D501,Imput[PERIODO Imp.],CD$9)</f>
        <v>0</v>
      </c>
      <c r="CE501" s="693">
        <f>SUMIFS(Imput[Importe Neto],Imput[C. Imp.],$D501,Imput[PERIODO Imp.],CE$9)</f>
        <v>0</v>
      </c>
      <c r="CF501" s="693">
        <f>SUMIFS(Imput[Importe Neto],Imput[C. Imp.],$D501,Imput[PERIODO Imp.],CF$9)</f>
        <v>0</v>
      </c>
      <c r="CG501" s="693">
        <f>SUMIFS(Imput[Importe Neto],Imput[C. Imp.],$D501,Imput[PERIODO Imp.],CG$9)</f>
        <v>0</v>
      </c>
      <c r="CH501" s="693">
        <f>SUMIFS(Imput[Importe Neto],Imput[C. Imp.],$D501,Imput[PERIODO Imp.],CH$9)</f>
        <v>0</v>
      </c>
      <c r="CI501" s="693">
        <f>SUMIFS(Imput[Importe Neto],Imput[C. Imp.],$D501,Imput[PERIODO Imp.],CI$9)</f>
        <v>0</v>
      </c>
      <c r="CJ501" s="693">
        <f>SUMIFS(Imput[Importe Neto],Imput[C. Imp.],$D501,Imput[PERIODO Imp.],CJ$9)</f>
        <v>0</v>
      </c>
      <c r="CK501" s="693">
        <f>SUMIFS(Imput[Importe Neto],Imput[C. Imp.],$D501,Imput[PERIODO Imp.],CK$9)</f>
        <v>0</v>
      </c>
      <c r="CL501" s="693">
        <f>SUMIFS(Imput[Importe Neto],Imput[C. Imp.],$D501,Imput[PERIODO Imp.],CL$9)</f>
        <v>0</v>
      </c>
      <c r="CM501" s="693">
        <f>SUMIFS(Imput[Importe Neto],Imput[C. Imp.],$D501,Imput[PERIODO Imp.],CM$9)</f>
        <v>0</v>
      </c>
      <c r="CN501" s="693">
        <f>SUMIFS(Imput[Importe Neto],Imput[C. Imp.],$D501,Imput[PERIODO Imp.],CN$9)</f>
        <v>0</v>
      </c>
      <c r="CO501" s="693">
        <f>SUMIFS(Imput[Importe Neto],Imput[C. Imp.],$D501,Imput[PERIODO Imp.],CO$9)</f>
        <v>0</v>
      </c>
      <c r="CP501" s="693">
        <f>SUMIFS(Imput[Importe Neto],Imput[C. Imp.],$D501,Imput[PERIODO Imp.],CP$9)</f>
        <v>0</v>
      </c>
      <c r="CQ501" s="693">
        <f>SUMIFS(Imput[Importe Neto],Imput[C. Imp.],$D501,Imput[PERIODO Imp.],CQ$9)</f>
        <v>0</v>
      </c>
      <c r="CR501" s="693">
        <f>SUMIFS(Imput[Importe Neto],Imput[C. Imp.],$D501,Imput[PERIODO Imp.],CR$9)</f>
        <v>0</v>
      </c>
      <c r="CS501" s="693">
        <f>SUMIFS(Imput[Importe Neto],Imput[C. Imp.],$D501,Imput[PERIODO Imp.],CS$9)</f>
        <v>0</v>
      </c>
      <c r="CT501" s="693">
        <f>SUMIFS(Imput[Importe Neto],Imput[C. Imp.],$D501,Imput[PERIODO Imp.],CT$9)</f>
        <v>0</v>
      </c>
      <c r="CU501" s="693">
        <f>SUMIFS(Imput[Importe Neto],Imput[C. Imp.],$D501,Imput[PERIODO Imp.],CU$9)</f>
        <v>0</v>
      </c>
      <c r="CV501" s="693">
        <f>SUMIFS(Imput[Importe Neto],Imput[C. Imp.],$D501,Imput[PERIODO Imp.],CV$9)</f>
        <v>0</v>
      </c>
      <c r="CW501" s="693">
        <f>SUMIFS(Imput[Importe Neto],Imput[C. Imp.],$D501,Imput[PERIODO Imp.],CW$9)</f>
        <v>0</v>
      </c>
      <c r="CX501" s="693">
        <f>SUMIFS(Imput[Importe Neto],Imput[C. Imp.],$D501,Imput[PERIODO Imp.],CX$9)</f>
        <v>0</v>
      </c>
      <c r="CY501" s="693">
        <f>SUMIFS(Imput[Importe Neto],Imput[C. Imp.],$D501,Imput[PERIODO Imp.],CY$9)</f>
        <v>0</v>
      </c>
      <c r="CZ501" s="693">
        <f>SUMIFS(Imput[Importe Neto],Imput[C. Imp.],$D501,Imput[PERIODO Imp.],CZ$9)</f>
        <v>0</v>
      </c>
      <c r="DA501" s="693">
        <f>SUMIFS(Imput[Importe Neto],Imput[C. Imp.],$D501,Imput[PERIODO Imp.],DA$9)</f>
        <v>0</v>
      </c>
      <c r="DB501" s="693">
        <f>SUMIFS(Imput[Importe Neto],Imput[C. Imp.],$D501,Imput[PERIODO Imp.],DB$9)</f>
        <v>0</v>
      </c>
      <c r="DC501" s="693">
        <f>SUMIFS(Imput[Importe Neto],Imput[C. Imp.],$D501,Imput[PERIODO Imp.],DC$9)</f>
        <v>0</v>
      </c>
      <c r="DD501" s="693">
        <f>SUMIFS(Imput[Importe Neto],Imput[C. Imp.],$D501,Imput[PERIODO Imp.],DD$9)</f>
        <v>0</v>
      </c>
      <c r="DE501" s="693">
        <f>SUMIFS(Imput[Importe Neto],Imput[C. Imp.],$D501,Imput[PERIODO Imp.],DE$9)</f>
        <v>0</v>
      </c>
      <c r="DF501" s="693">
        <f>SUMIFS(Imput[Importe Neto],Imput[C. Imp.],$D501,Imput[PERIODO Imp.],DF$9)</f>
        <v>0</v>
      </c>
      <c r="DG501" s="693">
        <f>SUMIFS(Imput[Importe Neto],Imput[C. Imp.],$D501,Imput[PERIODO Imp.],DG$9)</f>
        <v>0</v>
      </c>
      <c r="DH501" s="694">
        <f>SUMIFS(Imput[Importe Neto],Imput[C. Imp.],$D501,Imput[PERIODO Imp.],DH$9)</f>
        <v>0</v>
      </c>
    </row>
    <row r="502" spans="1:112" s="649" customFormat="1" outlineLevel="1" x14ac:dyDescent="0.3">
      <c r="A502" s="652" t="str">
        <f t="shared" si="205"/>
        <v>Imprimir</v>
      </c>
      <c r="B502" s="652"/>
      <c r="C502" s="685"/>
      <c r="D502" s="686" t="s">
        <v>2528</v>
      </c>
      <c r="E502" s="686" t="s">
        <v>480</v>
      </c>
      <c r="F502" s="720"/>
      <c r="G502" s="688">
        <v>500</v>
      </c>
      <c r="H502" s="689">
        <f>Producción!G56*0.25</f>
        <v>18</v>
      </c>
      <c r="I502" s="851">
        <f t="shared" si="206"/>
        <v>1</v>
      </c>
      <c r="J502" s="852">
        <f t="shared" si="207"/>
        <v>9000</v>
      </c>
      <c r="K502" s="667"/>
      <c r="L502" s="858">
        <v>0.3</v>
      </c>
      <c r="M502" s="859"/>
      <c r="N502" s="859"/>
      <c r="O502" s="859"/>
      <c r="P502" s="859">
        <v>0.3</v>
      </c>
      <c r="Q502" s="859"/>
      <c r="R502" s="859"/>
      <c r="S502" s="859"/>
      <c r="T502" s="859"/>
      <c r="U502" s="859"/>
      <c r="V502" s="859"/>
      <c r="W502" s="859">
        <v>0.3</v>
      </c>
      <c r="X502" s="859"/>
      <c r="Y502" s="859"/>
      <c r="Z502" s="860"/>
      <c r="AA502" s="860"/>
      <c r="AB502" s="860"/>
      <c r="AC502" s="860"/>
      <c r="AD502" s="860"/>
      <c r="AE502" s="860">
        <v>0.1</v>
      </c>
      <c r="AF502" s="860"/>
      <c r="AG502" s="860"/>
      <c r="AH502" s="860"/>
      <c r="AI502" s="860"/>
      <c r="AJ502" s="860"/>
      <c r="AK502" s="860"/>
      <c r="AL502" s="860"/>
      <c r="AM502" s="860"/>
      <c r="AN502" s="860"/>
      <c r="AO502" s="860"/>
      <c r="AP502" s="860"/>
      <c r="AQ502" s="860"/>
      <c r="AR502" s="860"/>
      <c r="AS502" s="860"/>
      <c r="AT502" s="860"/>
      <c r="AU502" s="860"/>
      <c r="AV502" s="860"/>
      <c r="AW502" s="860"/>
      <c r="AX502" s="860"/>
      <c r="AY502" s="860"/>
      <c r="AZ502" s="860"/>
      <c r="BA502" s="860"/>
      <c r="BB502" s="860"/>
      <c r="BC502" s="860"/>
      <c r="BD502" s="860"/>
      <c r="BE502" s="860"/>
      <c r="BF502" s="860"/>
      <c r="BG502" s="860"/>
      <c r="BH502" s="668"/>
      <c r="BI502" s="667"/>
      <c r="BJ502" s="690">
        <f t="shared" si="208"/>
        <v>0</v>
      </c>
      <c r="BK502" s="691">
        <f t="shared" si="209"/>
        <v>0</v>
      </c>
      <c r="BL502" s="654"/>
      <c r="BM502" s="692">
        <f>SUMIFS(Imput[Importe Neto],Imput[C. Imp.],$D502,Imput[PERIODO Imp.],BM$9)</f>
        <v>0</v>
      </c>
      <c r="BN502" s="693">
        <f>SUMIFS(Imput[Importe Neto],Imput[C. Imp.],$D502,Imput[PERIODO Imp.],BN$9)</f>
        <v>0</v>
      </c>
      <c r="BO502" s="693">
        <f>SUMIFS(Imput[Importe Neto],Imput[C. Imp.],$D502,Imput[PERIODO Imp.],BO$9)</f>
        <v>0</v>
      </c>
      <c r="BP502" s="693">
        <f>SUMIFS(Imput[Importe Neto],Imput[C. Imp.],$D502,Imput[PERIODO Imp.],BP$9)</f>
        <v>0</v>
      </c>
      <c r="BQ502" s="693">
        <f>SUMIFS(Imput[Importe Neto],Imput[C. Imp.],$D502,Imput[PERIODO Imp.],BQ$9)</f>
        <v>0</v>
      </c>
      <c r="BR502" s="693">
        <f>SUMIFS(Imput[Importe Neto],Imput[C. Imp.],$D502,Imput[PERIODO Imp.],BR$9)</f>
        <v>0</v>
      </c>
      <c r="BS502" s="693">
        <f>SUMIFS(Imput[Importe Neto],Imput[C. Imp.],$D502,Imput[PERIODO Imp.],BS$9)</f>
        <v>0</v>
      </c>
      <c r="BT502" s="693">
        <f>SUMIFS(Imput[Importe Neto],Imput[C. Imp.],$D502,Imput[PERIODO Imp.],BT$9)</f>
        <v>0</v>
      </c>
      <c r="BU502" s="693">
        <f>SUMIFS(Imput[Importe Neto],Imput[C. Imp.],$D502,Imput[PERIODO Imp.],BU$9)</f>
        <v>0</v>
      </c>
      <c r="BV502" s="693">
        <f>SUMIFS(Imput[Importe Neto],Imput[C. Imp.],$D502,Imput[PERIODO Imp.],BV$9)</f>
        <v>0</v>
      </c>
      <c r="BW502" s="693">
        <f>SUMIFS(Imput[Importe Neto],Imput[C. Imp.],$D502,Imput[PERIODO Imp.],BW$9)</f>
        <v>0</v>
      </c>
      <c r="BX502" s="693">
        <f>SUMIFS(Imput[Importe Neto],Imput[C. Imp.],$D502,Imput[PERIODO Imp.],BX$9)</f>
        <v>0</v>
      </c>
      <c r="BY502" s="693">
        <f>SUMIFS(Imput[Importe Neto],Imput[C. Imp.],$D502,Imput[PERIODO Imp.],BY$9)</f>
        <v>0</v>
      </c>
      <c r="BZ502" s="693">
        <f>SUMIFS(Imput[Importe Neto],Imput[C. Imp.],$D502,Imput[PERIODO Imp.],BZ$9)</f>
        <v>0</v>
      </c>
      <c r="CA502" s="693">
        <f>SUMIFS(Imput[Importe Neto],Imput[C. Imp.],$D502,Imput[PERIODO Imp.],CA$9)</f>
        <v>0</v>
      </c>
      <c r="CB502" s="693">
        <f>SUMIFS(Imput[Importe Neto],Imput[C. Imp.],$D502,Imput[PERIODO Imp.],CB$9)</f>
        <v>0</v>
      </c>
      <c r="CC502" s="693">
        <f>SUMIFS(Imput[Importe Neto],Imput[C. Imp.],$D502,Imput[PERIODO Imp.],CC$9)</f>
        <v>0</v>
      </c>
      <c r="CD502" s="693">
        <f>SUMIFS(Imput[Importe Neto],Imput[C. Imp.],$D502,Imput[PERIODO Imp.],CD$9)</f>
        <v>0</v>
      </c>
      <c r="CE502" s="693">
        <f>SUMIFS(Imput[Importe Neto],Imput[C. Imp.],$D502,Imput[PERIODO Imp.],CE$9)</f>
        <v>0</v>
      </c>
      <c r="CF502" s="693">
        <f>SUMIFS(Imput[Importe Neto],Imput[C. Imp.],$D502,Imput[PERIODO Imp.],CF$9)</f>
        <v>0</v>
      </c>
      <c r="CG502" s="693">
        <f>SUMIFS(Imput[Importe Neto],Imput[C. Imp.],$D502,Imput[PERIODO Imp.],CG$9)</f>
        <v>0</v>
      </c>
      <c r="CH502" s="693">
        <f>SUMIFS(Imput[Importe Neto],Imput[C. Imp.],$D502,Imput[PERIODO Imp.],CH$9)</f>
        <v>0</v>
      </c>
      <c r="CI502" s="693">
        <f>SUMIFS(Imput[Importe Neto],Imput[C. Imp.],$D502,Imput[PERIODO Imp.],CI$9)</f>
        <v>0</v>
      </c>
      <c r="CJ502" s="693">
        <f>SUMIFS(Imput[Importe Neto],Imput[C. Imp.],$D502,Imput[PERIODO Imp.],CJ$9)</f>
        <v>0</v>
      </c>
      <c r="CK502" s="693">
        <f>SUMIFS(Imput[Importe Neto],Imput[C. Imp.],$D502,Imput[PERIODO Imp.],CK$9)</f>
        <v>0</v>
      </c>
      <c r="CL502" s="693">
        <f>SUMIFS(Imput[Importe Neto],Imput[C. Imp.],$D502,Imput[PERIODO Imp.],CL$9)</f>
        <v>0</v>
      </c>
      <c r="CM502" s="693">
        <f>SUMIFS(Imput[Importe Neto],Imput[C. Imp.],$D502,Imput[PERIODO Imp.],CM$9)</f>
        <v>0</v>
      </c>
      <c r="CN502" s="693">
        <f>SUMIFS(Imput[Importe Neto],Imput[C. Imp.],$D502,Imput[PERIODO Imp.],CN$9)</f>
        <v>0</v>
      </c>
      <c r="CO502" s="693">
        <f>SUMIFS(Imput[Importe Neto],Imput[C. Imp.],$D502,Imput[PERIODO Imp.],CO$9)</f>
        <v>0</v>
      </c>
      <c r="CP502" s="693">
        <f>SUMIFS(Imput[Importe Neto],Imput[C. Imp.],$D502,Imput[PERIODO Imp.],CP$9)</f>
        <v>0</v>
      </c>
      <c r="CQ502" s="693">
        <f>SUMIFS(Imput[Importe Neto],Imput[C. Imp.],$D502,Imput[PERIODO Imp.],CQ$9)</f>
        <v>0</v>
      </c>
      <c r="CR502" s="693">
        <f>SUMIFS(Imput[Importe Neto],Imput[C. Imp.],$D502,Imput[PERIODO Imp.],CR$9)</f>
        <v>0</v>
      </c>
      <c r="CS502" s="693">
        <f>SUMIFS(Imput[Importe Neto],Imput[C. Imp.],$D502,Imput[PERIODO Imp.],CS$9)</f>
        <v>0</v>
      </c>
      <c r="CT502" s="693">
        <f>SUMIFS(Imput[Importe Neto],Imput[C. Imp.],$D502,Imput[PERIODO Imp.],CT$9)</f>
        <v>0</v>
      </c>
      <c r="CU502" s="693">
        <f>SUMIFS(Imput[Importe Neto],Imput[C. Imp.],$D502,Imput[PERIODO Imp.],CU$9)</f>
        <v>0</v>
      </c>
      <c r="CV502" s="693">
        <f>SUMIFS(Imput[Importe Neto],Imput[C. Imp.],$D502,Imput[PERIODO Imp.],CV$9)</f>
        <v>0</v>
      </c>
      <c r="CW502" s="693">
        <f>SUMIFS(Imput[Importe Neto],Imput[C. Imp.],$D502,Imput[PERIODO Imp.],CW$9)</f>
        <v>0</v>
      </c>
      <c r="CX502" s="693">
        <f>SUMIFS(Imput[Importe Neto],Imput[C. Imp.],$D502,Imput[PERIODO Imp.],CX$9)</f>
        <v>0</v>
      </c>
      <c r="CY502" s="693">
        <f>SUMIFS(Imput[Importe Neto],Imput[C. Imp.],$D502,Imput[PERIODO Imp.],CY$9)</f>
        <v>0</v>
      </c>
      <c r="CZ502" s="693">
        <f>SUMIFS(Imput[Importe Neto],Imput[C. Imp.],$D502,Imput[PERIODO Imp.],CZ$9)</f>
        <v>0</v>
      </c>
      <c r="DA502" s="693">
        <f>SUMIFS(Imput[Importe Neto],Imput[C. Imp.],$D502,Imput[PERIODO Imp.],DA$9)</f>
        <v>0</v>
      </c>
      <c r="DB502" s="693">
        <f>SUMIFS(Imput[Importe Neto],Imput[C. Imp.],$D502,Imput[PERIODO Imp.],DB$9)</f>
        <v>0</v>
      </c>
      <c r="DC502" s="693">
        <f>SUMIFS(Imput[Importe Neto],Imput[C. Imp.],$D502,Imput[PERIODO Imp.],DC$9)</f>
        <v>0</v>
      </c>
      <c r="DD502" s="693">
        <f>SUMIFS(Imput[Importe Neto],Imput[C. Imp.],$D502,Imput[PERIODO Imp.],DD$9)</f>
        <v>0</v>
      </c>
      <c r="DE502" s="693">
        <f>SUMIFS(Imput[Importe Neto],Imput[C. Imp.],$D502,Imput[PERIODO Imp.],DE$9)</f>
        <v>0</v>
      </c>
      <c r="DF502" s="693">
        <f>SUMIFS(Imput[Importe Neto],Imput[C. Imp.],$D502,Imput[PERIODO Imp.],DF$9)</f>
        <v>0</v>
      </c>
      <c r="DG502" s="693">
        <f>SUMIFS(Imput[Importe Neto],Imput[C. Imp.],$D502,Imput[PERIODO Imp.],DG$9)</f>
        <v>0</v>
      </c>
      <c r="DH502" s="694">
        <f>SUMIFS(Imput[Importe Neto],Imput[C. Imp.],$D502,Imput[PERIODO Imp.],DH$9)</f>
        <v>0</v>
      </c>
    </row>
    <row r="503" spans="1:112" s="649" customFormat="1" outlineLevel="1" x14ac:dyDescent="0.3">
      <c r="A503" s="652" t="str">
        <f t="shared" si="205"/>
        <v>Imprimir</v>
      </c>
      <c r="B503" s="652"/>
      <c r="C503" s="685"/>
      <c r="D503" s="686" t="s">
        <v>2529</v>
      </c>
      <c r="E503" s="686" t="s">
        <v>481</v>
      </c>
      <c r="F503" s="720"/>
      <c r="G503" s="688">
        <v>300</v>
      </c>
      <c r="H503" s="689">
        <f>Producción!G56*0.01</f>
        <v>0.72</v>
      </c>
      <c r="I503" s="851">
        <f t="shared" si="206"/>
        <v>1</v>
      </c>
      <c r="J503" s="852">
        <f t="shared" si="207"/>
        <v>216</v>
      </c>
      <c r="K503" s="667"/>
      <c r="L503" s="858">
        <v>0.3</v>
      </c>
      <c r="M503" s="859"/>
      <c r="N503" s="859"/>
      <c r="O503" s="859"/>
      <c r="P503" s="859">
        <v>0.3</v>
      </c>
      <c r="Q503" s="859"/>
      <c r="R503" s="859"/>
      <c r="S503" s="859"/>
      <c r="T503" s="859"/>
      <c r="U503" s="859"/>
      <c r="V503" s="859"/>
      <c r="W503" s="859">
        <v>0.3</v>
      </c>
      <c r="X503" s="859"/>
      <c r="Y503" s="859"/>
      <c r="Z503" s="860"/>
      <c r="AA503" s="860"/>
      <c r="AB503" s="860"/>
      <c r="AC503" s="860"/>
      <c r="AD503" s="860"/>
      <c r="AE503" s="860">
        <v>0.1</v>
      </c>
      <c r="AF503" s="860"/>
      <c r="AG503" s="860"/>
      <c r="AH503" s="860"/>
      <c r="AI503" s="860"/>
      <c r="AJ503" s="860"/>
      <c r="AK503" s="860"/>
      <c r="AL503" s="860"/>
      <c r="AM503" s="860"/>
      <c r="AN503" s="860"/>
      <c r="AO503" s="860"/>
      <c r="AP503" s="860"/>
      <c r="AQ503" s="860"/>
      <c r="AR503" s="860"/>
      <c r="AS503" s="860"/>
      <c r="AT503" s="860"/>
      <c r="AU503" s="860"/>
      <c r="AV503" s="860"/>
      <c r="AW503" s="860"/>
      <c r="AX503" s="860"/>
      <c r="AY503" s="860"/>
      <c r="AZ503" s="860"/>
      <c r="BA503" s="860"/>
      <c r="BB503" s="860"/>
      <c r="BC503" s="860"/>
      <c r="BD503" s="860"/>
      <c r="BE503" s="860"/>
      <c r="BF503" s="860"/>
      <c r="BG503" s="860"/>
      <c r="BH503" s="668"/>
      <c r="BI503" s="667"/>
      <c r="BJ503" s="690">
        <f t="shared" si="208"/>
        <v>0</v>
      </c>
      <c r="BK503" s="691">
        <f t="shared" si="209"/>
        <v>0</v>
      </c>
      <c r="BL503" s="654"/>
      <c r="BM503" s="692">
        <f>SUMIFS(Imput[Importe Neto],Imput[C. Imp.],$D503,Imput[PERIODO Imp.],BM$9)</f>
        <v>0</v>
      </c>
      <c r="BN503" s="693">
        <f>SUMIFS(Imput[Importe Neto],Imput[C. Imp.],$D503,Imput[PERIODO Imp.],BN$9)</f>
        <v>0</v>
      </c>
      <c r="BO503" s="693">
        <f>SUMIFS(Imput[Importe Neto],Imput[C. Imp.],$D503,Imput[PERIODO Imp.],BO$9)</f>
        <v>0</v>
      </c>
      <c r="BP503" s="693">
        <f>SUMIFS(Imput[Importe Neto],Imput[C. Imp.],$D503,Imput[PERIODO Imp.],BP$9)</f>
        <v>0</v>
      </c>
      <c r="BQ503" s="693">
        <f>SUMIFS(Imput[Importe Neto],Imput[C. Imp.],$D503,Imput[PERIODO Imp.],BQ$9)</f>
        <v>0</v>
      </c>
      <c r="BR503" s="693">
        <f>SUMIFS(Imput[Importe Neto],Imput[C. Imp.],$D503,Imput[PERIODO Imp.],BR$9)</f>
        <v>0</v>
      </c>
      <c r="BS503" s="693">
        <f>SUMIFS(Imput[Importe Neto],Imput[C. Imp.],$D503,Imput[PERIODO Imp.],BS$9)</f>
        <v>0</v>
      </c>
      <c r="BT503" s="693">
        <f>SUMIFS(Imput[Importe Neto],Imput[C. Imp.],$D503,Imput[PERIODO Imp.],BT$9)</f>
        <v>0</v>
      </c>
      <c r="BU503" s="693">
        <f>SUMIFS(Imput[Importe Neto],Imput[C. Imp.],$D503,Imput[PERIODO Imp.],BU$9)</f>
        <v>0</v>
      </c>
      <c r="BV503" s="693">
        <f>SUMIFS(Imput[Importe Neto],Imput[C. Imp.],$D503,Imput[PERIODO Imp.],BV$9)</f>
        <v>0</v>
      </c>
      <c r="BW503" s="693">
        <f>SUMIFS(Imput[Importe Neto],Imput[C. Imp.],$D503,Imput[PERIODO Imp.],BW$9)</f>
        <v>0</v>
      </c>
      <c r="BX503" s="693">
        <f>SUMIFS(Imput[Importe Neto],Imput[C. Imp.],$D503,Imput[PERIODO Imp.],BX$9)</f>
        <v>0</v>
      </c>
      <c r="BY503" s="693">
        <f>SUMIFS(Imput[Importe Neto],Imput[C. Imp.],$D503,Imput[PERIODO Imp.],BY$9)</f>
        <v>0</v>
      </c>
      <c r="BZ503" s="693">
        <f>SUMIFS(Imput[Importe Neto],Imput[C. Imp.],$D503,Imput[PERIODO Imp.],BZ$9)</f>
        <v>0</v>
      </c>
      <c r="CA503" s="693">
        <f>SUMIFS(Imput[Importe Neto],Imput[C. Imp.],$D503,Imput[PERIODO Imp.],CA$9)</f>
        <v>0</v>
      </c>
      <c r="CB503" s="693">
        <f>SUMIFS(Imput[Importe Neto],Imput[C. Imp.],$D503,Imput[PERIODO Imp.],CB$9)</f>
        <v>0</v>
      </c>
      <c r="CC503" s="693">
        <f>SUMIFS(Imput[Importe Neto],Imput[C. Imp.],$D503,Imput[PERIODO Imp.],CC$9)</f>
        <v>0</v>
      </c>
      <c r="CD503" s="693">
        <f>SUMIFS(Imput[Importe Neto],Imput[C. Imp.],$D503,Imput[PERIODO Imp.],CD$9)</f>
        <v>0</v>
      </c>
      <c r="CE503" s="693">
        <f>SUMIFS(Imput[Importe Neto],Imput[C. Imp.],$D503,Imput[PERIODO Imp.],CE$9)</f>
        <v>0</v>
      </c>
      <c r="CF503" s="693">
        <f>SUMIFS(Imput[Importe Neto],Imput[C. Imp.],$D503,Imput[PERIODO Imp.],CF$9)</f>
        <v>0</v>
      </c>
      <c r="CG503" s="693">
        <f>SUMIFS(Imput[Importe Neto],Imput[C. Imp.],$D503,Imput[PERIODO Imp.],CG$9)</f>
        <v>0</v>
      </c>
      <c r="CH503" s="693">
        <f>SUMIFS(Imput[Importe Neto],Imput[C. Imp.],$D503,Imput[PERIODO Imp.],CH$9)</f>
        <v>0</v>
      </c>
      <c r="CI503" s="693">
        <f>SUMIFS(Imput[Importe Neto],Imput[C. Imp.],$D503,Imput[PERIODO Imp.],CI$9)</f>
        <v>0</v>
      </c>
      <c r="CJ503" s="693">
        <f>SUMIFS(Imput[Importe Neto],Imput[C. Imp.],$D503,Imput[PERIODO Imp.],CJ$9)</f>
        <v>0</v>
      </c>
      <c r="CK503" s="693">
        <f>SUMIFS(Imput[Importe Neto],Imput[C. Imp.],$D503,Imput[PERIODO Imp.],CK$9)</f>
        <v>0</v>
      </c>
      <c r="CL503" s="693">
        <f>SUMIFS(Imput[Importe Neto],Imput[C. Imp.],$D503,Imput[PERIODO Imp.],CL$9)</f>
        <v>0</v>
      </c>
      <c r="CM503" s="693">
        <f>SUMIFS(Imput[Importe Neto],Imput[C. Imp.],$D503,Imput[PERIODO Imp.],CM$9)</f>
        <v>0</v>
      </c>
      <c r="CN503" s="693">
        <f>SUMIFS(Imput[Importe Neto],Imput[C. Imp.],$D503,Imput[PERIODO Imp.],CN$9)</f>
        <v>0</v>
      </c>
      <c r="CO503" s="693">
        <f>SUMIFS(Imput[Importe Neto],Imput[C. Imp.],$D503,Imput[PERIODO Imp.],CO$9)</f>
        <v>0</v>
      </c>
      <c r="CP503" s="693">
        <f>SUMIFS(Imput[Importe Neto],Imput[C. Imp.],$D503,Imput[PERIODO Imp.],CP$9)</f>
        <v>0</v>
      </c>
      <c r="CQ503" s="693">
        <f>SUMIFS(Imput[Importe Neto],Imput[C. Imp.],$D503,Imput[PERIODO Imp.],CQ$9)</f>
        <v>0</v>
      </c>
      <c r="CR503" s="693">
        <f>SUMIFS(Imput[Importe Neto],Imput[C. Imp.],$D503,Imput[PERIODO Imp.],CR$9)</f>
        <v>0</v>
      </c>
      <c r="CS503" s="693">
        <f>SUMIFS(Imput[Importe Neto],Imput[C. Imp.],$D503,Imput[PERIODO Imp.],CS$9)</f>
        <v>0</v>
      </c>
      <c r="CT503" s="693">
        <f>SUMIFS(Imput[Importe Neto],Imput[C. Imp.],$D503,Imput[PERIODO Imp.],CT$9)</f>
        <v>0</v>
      </c>
      <c r="CU503" s="693">
        <f>SUMIFS(Imput[Importe Neto],Imput[C. Imp.],$D503,Imput[PERIODO Imp.],CU$9)</f>
        <v>0</v>
      </c>
      <c r="CV503" s="693">
        <f>SUMIFS(Imput[Importe Neto],Imput[C. Imp.],$D503,Imput[PERIODO Imp.],CV$9)</f>
        <v>0</v>
      </c>
      <c r="CW503" s="693">
        <f>SUMIFS(Imput[Importe Neto],Imput[C. Imp.],$D503,Imput[PERIODO Imp.],CW$9)</f>
        <v>0</v>
      </c>
      <c r="CX503" s="693">
        <f>SUMIFS(Imput[Importe Neto],Imput[C. Imp.],$D503,Imput[PERIODO Imp.],CX$9)</f>
        <v>0</v>
      </c>
      <c r="CY503" s="693">
        <f>SUMIFS(Imput[Importe Neto],Imput[C. Imp.],$D503,Imput[PERIODO Imp.],CY$9)</f>
        <v>0</v>
      </c>
      <c r="CZ503" s="693">
        <f>SUMIFS(Imput[Importe Neto],Imput[C. Imp.],$D503,Imput[PERIODO Imp.],CZ$9)</f>
        <v>0</v>
      </c>
      <c r="DA503" s="693">
        <f>SUMIFS(Imput[Importe Neto],Imput[C. Imp.],$D503,Imput[PERIODO Imp.],DA$9)</f>
        <v>0</v>
      </c>
      <c r="DB503" s="693">
        <f>SUMIFS(Imput[Importe Neto],Imput[C. Imp.],$D503,Imput[PERIODO Imp.],DB$9)</f>
        <v>0</v>
      </c>
      <c r="DC503" s="693">
        <f>SUMIFS(Imput[Importe Neto],Imput[C. Imp.],$D503,Imput[PERIODO Imp.],DC$9)</f>
        <v>0</v>
      </c>
      <c r="DD503" s="693">
        <f>SUMIFS(Imput[Importe Neto],Imput[C. Imp.],$D503,Imput[PERIODO Imp.],DD$9)</f>
        <v>0</v>
      </c>
      <c r="DE503" s="693">
        <f>SUMIFS(Imput[Importe Neto],Imput[C. Imp.],$D503,Imput[PERIODO Imp.],DE$9)</f>
        <v>0</v>
      </c>
      <c r="DF503" s="693">
        <f>SUMIFS(Imput[Importe Neto],Imput[C. Imp.],$D503,Imput[PERIODO Imp.],DF$9)</f>
        <v>0</v>
      </c>
      <c r="DG503" s="693">
        <f>SUMIFS(Imput[Importe Neto],Imput[C. Imp.],$D503,Imput[PERIODO Imp.],DG$9)</f>
        <v>0</v>
      </c>
      <c r="DH503" s="694">
        <f>SUMIFS(Imput[Importe Neto],Imput[C. Imp.],$D503,Imput[PERIODO Imp.],DH$9)</f>
        <v>0</v>
      </c>
    </row>
    <row r="504" spans="1:112" s="649" customFormat="1" hidden="1" outlineLevel="1" x14ac:dyDescent="0.3">
      <c r="A504" s="652" t="str">
        <f t="shared" si="205"/>
        <v/>
      </c>
      <c r="B504" s="652"/>
      <c r="C504" s="685"/>
      <c r="D504" s="686" t="s">
        <v>2530</v>
      </c>
      <c r="E504" s="686"/>
      <c r="F504" s="720"/>
      <c r="G504" s="688"/>
      <c r="H504" s="689"/>
      <c r="I504" s="851" t="str">
        <f t="shared" si="206"/>
        <v/>
      </c>
      <c r="J504" s="852" t="str">
        <f t="shared" si="207"/>
        <v/>
      </c>
      <c r="K504" s="667"/>
      <c r="L504" s="858"/>
      <c r="M504" s="859"/>
      <c r="N504" s="859"/>
      <c r="O504" s="859"/>
      <c r="P504" s="859"/>
      <c r="Q504" s="859"/>
      <c r="R504" s="859"/>
      <c r="S504" s="859"/>
      <c r="T504" s="859"/>
      <c r="U504" s="859"/>
      <c r="V504" s="859"/>
      <c r="W504" s="859"/>
      <c r="X504" s="859"/>
      <c r="Y504" s="859"/>
      <c r="Z504" s="860"/>
      <c r="AA504" s="860"/>
      <c r="AB504" s="860"/>
      <c r="AC504" s="860"/>
      <c r="AD504" s="860"/>
      <c r="AE504" s="860"/>
      <c r="AF504" s="860"/>
      <c r="AG504" s="860"/>
      <c r="AH504" s="860"/>
      <c r="AI504" s="860"/>
      <c r="AJ504" s="860"/>
      <c r="AK504" s="860"/>
      <c r="AL504" s="860"/>
      <c r="AM504" s="860"/>
      <c r="AN504" s="860"/>
      <c r="AO504" s="860"/>
      <c r="AP504" s="860"/>
      <c r="AQ504" s="860"/>
      <c r="AR504" s="860"/>
      <c r="AS504" s="860"/>
      <c r="AT504" s="860"/>
      <c r="AU504" s="860"/>
      <c r="AV504" s="860"/>
      <c r="AW504" s="860"/>
      <c r="AX504" s="860"/>
      <c r="AY504" s="860"/>
      <c r="AZ504" s="860"/>
      <c r="BA504" s="860"/>
      <c r="BB504" s="860"/>
      <c r="BC504" s="860"/>
      <c r="BD504" s="860"/>
      <c r="BE504" s="860"/>
      <c r="BF504" s="860"/>
      <c r="BG504" s="860"/>
      <c r="BH504" s="668"/>
      <c r="BI504" s="667"/>
      <c r="BJ504" s="690">
        <f t="shared" si="208"/>
        <v>0</v>
      </c>
      <c r="BK504" s="691">
        <f t="shared" si="209"/>
        <v>0</v>
      </c>
      <c r="BL504" s="654"/>
      <c r="BM504" s="692">
        <f>SUMIFS(Imput[Importe Neto],Imput[C. Imp.],$D504,Imput[PERIODO Imp.],BM$9)</f>
        <v>0</v>
      </c>
      <c r="BN504" s="693">
        <f>SUMIFS(Imput[Importe Neto],Imput[C. Imp.],$D504,Imput[PERIODO Imp.],BN$9)</f>
        <v>0</v>
      </c>
      <c r="BO504" s="693">
        <f>SUMIFS(Imput[Importe Neto],Imput[C. Imp.],$D504,Imput[PERIODO Imp.],BO$9)</f>
        <v>0</v>
      </c>
      <c r="BP504" s="693">
        <f>SUMIFS(Imput[Importe Neto],Imput[C. Imp.],$D504,Imput[PERIODO Imp.],BP$9)</f>
        <v>0</v>
      </c>
      <c r="BQ504" s="693">
        <f>SUMIFS(Imput[Importe Neto],Imput[C. Imp.],$D504,Imput[PERIODO Imp.],BQ$9)</f>
        <v>0</v>
      </c>
      <c r="BR504" s="693">
        <f>SUMIFS(Imput[Importe Neto],Imput[C. Imp.],$D504,Imput[PERIODO Imp.],BR$9)</f>
        <v>0</v>
      </c>
      <c r="BS504" s="693">
        <f>SUMIFS(Imput[Importe Neto],Imput[C. Imp.],$D504,Imput[PERIODO Imp.],BS$9)</f>
        <v>0</v>
      </c>
      <c r="BT504" s="693">
        <f>SUMIFS(Imput[Importe Neto],Imput[C. Imp.],$D504,Imput[PERIODO Imp.],BT$9)</f>
        <v>0</v>
      </c>
      <c r="BU504" s="693">
        <f>SUMIFS(Imput[Importe Neto],Imput[C. Imp.],$D504,Imput[PERIODO Imp.],BU$9)</f>
        <v>0</v>
      </c>
      <c r="BV504" s="693">
        <f>SUMIFS(Imput[Importe Neto],Imput[C. Imp.],$D504,Imput[PERIODO Imp.],BV$9)</f>
        <v>0</v>
      </c>
      <c r="BW504" s="693">
        <f>SUMIFS(Imput[Importe Neto],Imput[C. Imp.],$D504,Imput[PERIODO Imp.],BW$9)</f>
        <v>0</v>
      </c>
      <c r="BX504" s="693">
        <f>SUMIFS(Imput[Importe Neto],Imput[C. Imp.],$D504,Imput[PERIODO Imp.],BX$9)</f>
        <v>0</v>
      </c>
      <c r="BY504" s="693">
        <f>SUMIFS(Imput[Importe Neto],Imput[C. Imp.],$D504,Imput[PERIODO Imp.],BY$9)</f>
        <v>0</v>
      </c>
      <c r="BZ504" s="693">
        <f>SUMIFS(Imput[Importe Neto],Imput[C. Imp.],$D504,Imput[PERIODO Imp.],BZ$9)</f>
        <v>0</v>
      </c>
      <c r="CA504" s="693">
        <f>SUMIFS(Imput[Importe Neto],Imput[C. Imp.],$D504,Imput[PERIODO Imp.],CA$9)</f>
        <v>0</v>
      </c>
      <c r="CB504" s="693">
        <f>SUMIFS(Imput[Importe Neto],Imput[C. Imp.],$D504,Imput[PERIODO Imp.],CB$9)</f>
        <v>0</v>
      </c>
      <c r="CC504" s="693">
        <f>SUMIFS(Imput[Importe Neto],Imput[C. Imp.],$D504,Imput[PERIODO Imp.],CC$9)</f>
        <v>0</v>
      </c>
      <c r="CD504" s="693">
        <f>SUMIFS(Imput[Importe Neto],Imput[C. Imp.],$D504,Imput[PERIODO Imp.],CD$9)</f>
        <v>0</v>
      </c>
      <c r="CE504" s="693">
        <f>SUMIFS(Imput[Importe Neto],Imput[C. Imp.],$D504,Imput[PERIODO Imp.],CE$9)</f>
        <v>0</v>
      </c>
      <c r="CF504" s="693">
        <f>SUMIFS(Imput[Importe Neto],Imput[C. Imp.],$D504,Imput[PERIODO Imp.],CF$9)</f>
        <v>0</v>
      </c>
      <c r="CG504" s="693">
        <f>SUMIFS(Imput[Importe Neto],Imput[C. Imp.],$D504,Imput[PERIODO Imp.],CG$9)</f>
        <v>0</v>
      </c>
      <c r="CH504" s="693">
        <f>SUMIFS(Imput[Importe Neto],Imput[C. Imp.],$D504,Imput[PERIODO Imp.],CH$9)</f>
        <v>0</v>
      </c>
      <c r="CI504" s="693">
        <f>SUMIFS(Imput[Importe Neto],Imput[C. Imp.],$D504,Imput[PERIODO Imp.],CI$9)</f>
        <v>0</v>
      </c>
      <c r="CJ504" s="693">
        <f>SUMIFS(Imput[Importe Neto],Imput[C. Imp.],$D504,Imput[PERIODO Imp.],CJ$9)</f>
        <v>0</v>
      </c>
      <c r="CK504" s="693">
        <f>SUMIFS(Imput[Importe Neto],Imput[C. Imp.],$D504,Imput[PERIODO Imp.],CK$9)</f>
        <v>0</v>
      </c>
      <c r="CL504" s="693">
        <f>SUMIFS(Imput[Importe Neto],Imput[C. Imp.],$D504,Imput[PERIODO Imp.],CL$9)</f>
        <v>0</v>
      </c>
      <c r="CM504" s="693">
        <f>SUMIFS(Imput[Importe Neto],Imput[C. Imp.],$D504,Imput[PERIODO Imp.],CM$9)</f>
        <v>0</v>
      </c>
      <c r="CN504" s="693">
        <f>SUMIFS(Imput[Importe Neto],Imput[C. Imp.],$D504,Imput[PERIODO Imp.],CN$9)</f>
        <v>0</v>
      </c>
      <c r="CO504" s="693">
        <f>SUMIFS(Imput[Importe Neto],Imput[C. Imp.],$D504,Imput[PERIODO Imp.],CO$9)</f>
        <v>0</v>
      </c>
      <c r="CP504" s="693">
        <f>SUMIFS(Imput[Importe Neto],Imput[C. Imp.],$D504,Imput[PERIODO Imp.],CP$9)</f>
        <v>0</v>
      </c>
      <c r="CQ504" s="693">
        <f>SUMIFS(Imput[Importe Neto],Imput[C. Imp.],$D504,Imput[PERIODO Imp.],CQ$9)</f>
        <v>0</v>
      </c>
      <c r="CR504" s="693">
        <f>SUMIFS(Imput[Importe Neto],Imput[C. Imp.],$D504,Imput[PERIODO Imp.],CR$9)</f>
        <v>0</v>
      </c>
      <c r="CS504" s="693">
        <f>SUMIFS(Imput[Importe Neto],Imput[C. Imp.],$D504,Imput[PERIODO Imp.],CS$9)</f>
        <v>0</v>
      </c>
      <c r="CT504" s="693">
        <f>SUMIFS(Imput[Importe Neto],Imput[C. Imp.],$D504,Imput[PERIODO Imp.],CT$9)</f>
        <v>0</v>
      </c>
      <c r="CU504" s="693">
        <f>SUMIFS(Imput[Importe Neto],Imput[C. Imp.],$D504,Imput[PERIODO Imp.],CU$9)</f>
        <v>0</v>
      </c>
      <c r="CV504" s="693">
        <f>SUMIFS(Imput[Importe Neto],Imput[C. Imp.],$D504,Imput[PERIODO Imp.],CV$9)</f>
        <v>0</v>
      </c>
      <c r="CW504" s="693">
        <f>SUMIFS(Imput[Importe Neto],Imput[C. Imp.],$D504,Imput[PERIODO Imp.],CW$9)</f>
        <v>0</v>
      </c>
      <c r="CX504" s="693">
        <f>SUMIFS(Imput[Importe Neto],Imput[C. Imp.],$D504,Imput[PERIODO Imp.],CX$9)</f>
        <v>0</v>
      </c>
      <c r="CY504" s="693">
        <f>SUMIFS(Imput[Importe Neto],Imput[C. Imp.],$D504,Imput[PERIODO Imp.],CY$9)</f>
        <v>0</v>
      </c>
      <c r="CZ504" s="693">
        <f>SUMIFS(Imput[Importe Neto],Imput[C. Imp.],$D504,Imput[PERIODO Imp.],CZ$9)</f>
        <v>0</v>
      </c>
      <c r="DA504" s="693">
        <f>SUMIFS(Imput[Importe Neto],Imput[C. Imp.],$D504,Imput[PERIODO Imp.],DA$9)</f>
        <v>0</v>
      </c>
      <c r="DB504" s="693">
        <f>SUMIFS(Imput[Importe Neto],Imput[C. Imp.],$D504,Imput[PERIODO Imp.],DB$9)</f>
        <v>0</v>
      </c>
      <c r="DC504" s="693">
        <f>SUMIFS(Imput[Importe Neto],Imput[C. Imp.],$D504,Imput[PERIODO Imp.],DC$9)</f>
        <v>0</v>
      </c>
      <c r="DD504" s="693">
        <f>SUMIFS(Imput[Importe Neto],Imput[C. Imp.],$D504,Imput[PERIODO Imp.],DD$9)</f>
        <v>0</v>
      </c>
      <c r="DE504" s="693">
        <f>SUMIFS(Imput[Importe Neto],Imput[C. Imp.],$D504,Imput[PERIODO Imp.],DE$9)</f>
        <v>0</v>
      </c>
      <c r="DF504" s="693">
        <f>SUMIFS(Imput[Importe Neto],Imput[C. Imp.],$D504,Imput[PERIODO Imp.],DF$9)</f>
        <v>0</v>
      </c>
      <c r="DG504" s="693">
        <f>SUMIFS(Imput[Importe Neto],Imput[C. Imp.],$D504,Imput[PERIODO Imp.],DG$9)</f>
        <v>0</v>
      </c>
      <c r="DH504" s="694">
        <f>SUMIFS(Imput[Importe Neto],Imput[C. Imp.],$D504,Imput[PERIODO Imp.],DH$9)</f>
        <v>0</v>
      </c>
    </row>
    <row r="505" spans="1:112" s="649" customFormat="1" hidden="1" outlineLevel="1" x14ac:dyDescent="0.3">
      <c r="A505" s="652" t="str">
        <f t="shared" si="205"/>
        <v/>
      </c>
      <c r="B505" s="652"/>
      <c r="C505" s="685"/>
      <c r="D505" s="686" t="s">
        <v>2531</v>
      </c>
      <c r="E505" s="686"/>
      <c r="F505" s="720"/>
      <c r="G505" s="688"/>
      <c r="H505" s="689"/>
      <c r="I505" s="851" t="str">
        <f t="shared" si="206"/>
        <v/>
      </c>
      <c r="J505" s="852" t="str">
        <f t="shared" si="207"/>
        <v/>
      </c>
      <c r="K505" s="667"/>
      <c r="L505" s="858"/>
      <c r="M505" s="859"/>
      <c r="N505" s="859"/>
      <c r="O505" s="859"/>
      <c r="P505" s="859"/>
      <c r="Q505" s="859"/>
      <c r="R505" s="859"/>
      <c r="S505" s="859"/>
      <c r="T505" s="859"/>
      <c r="U505" s="859"/>
      <c r="V505" s="859"/>
      <c r="W505" s="859"/>
      <c r="X505" s="859"/>
      <c r="Y505" s="859"/>
      <c r="Z505" s="860"/>
      <c r="AA505" s="860"/>
      <c r="AB505" s="860"/>
      <c r="AC505" s="860"/>
      <c r="AD505" s="860"/>
      <c r="AE505" s="860"/>
      <c r="AF505" s="860"/>
      <c r="AG505" s="860"/>
      <c r="AH505" s="860"/>
      <c r="AI505" s="860"/>
      <c r="AJ505" s="860"/>
      <c r="AK505" s="860"/>
      <c r="AL505" s="860"/>
      <c r="AM505" s="860"/>
      <c r="AN505" s="860"/>
      <c r="AO505" s="860"/>
      <c r="AP505" s="860"/>
      <c r="AQ505" s="860"/>
      <c r="AR505" s="860"/>
      <c r="AS505" s="860"/>
      <c r="AT505" s="860"/>
      <c r="AU505" s="860"/>
      <c r="AV505" s="860"/>
      <c r="AW505" s="860"/>
      <c r="AX505" s="860"/>
      <c r="AY505" s="860"/>
      <c r="AZ505" s="860"/>
      <c r="BA505" s="860"/>
      <c r="BB505" s="860"/>
      <c r="BC505" s="860"/>
      <c r="BD505" s="860"/>
      <c r="BE505" s="860"/>
      <c r="BF505" s="860"/>
      <c r="BG505" s="860"/>
      <c r="BH505" s="668"/>
      <c r="BI505" s="667"/>
      <c r="BJ505" s="690">
        <f t="shared" si="208"/>
        <v>0</v>
      </c>
      <c r="BK505" s="691">
        <f t="shared" si="209"/>
        <v>0</v>
      </c>
      <c r="BL505" s="654"/>
      <c r="BM505" s="692">
        <f>SUMIFS(Imput[Importe Neto],Imput[C. Imp.],$D505,Imput[PERIODO Imp.],BM$9)</f>
        <v>0</v>
      </c>
      <c r="BN505" s="693">
        <f>SUMIFS(Imput[Importe Neto],Imput[C. Imp.],$D505,Imput[PERIODO Imp.],BN$9)</f>
        <v>0</v>
      </c>
      <c r="BO505" s="693">
        <f>SUMIFS(Imput[Importe Neto],Imput[C. Imp.],$D505,Imput[PERIODO Imp.],BO$9)</f>
        <v>0</v>
      </c>
      <c r="BP505" s="693">
        <f>SUMIFS(Imput[Importe Neto],Imput[C. Imp.],$D505,Imput[PERIODO Imp.],BP$9)</f>
        <v>0</v>
      </c>
      <c r="BQ505" s="693">
        <f>SUMIFS(Imput[Importe Neto],Imput[C. Imp.],$D505,Imput[PERIODO Imp.],BQ$9)</f>
        <v>0</v>
      </c>
      <c r="BR505" s="693">
        <f>SUMIFS(Imput[Importe Neto],Imput[C. Imp.],$D505,Imput[PERIODO Imp.],BR$9)</f>
        <v>0</v>
      </c>
      <c r="BS505" s="693">
        <f>SUMIFS(Imput[Importe Neto],Imput[C. Imp.],$D505,Imput[PERIODO Imp.],BS$9)</f>
        <v>0</v>
      </c>
      <c r="BT505" s="693">
        <f>SUMIFS(Imput[Importe Neto],Imput[C. Imp.],$D505,Imput[PERIODO Imp.],BT$9)</f>
        <v>0</v>
      </c>
      <c r="BU505" s="693">
        <f>SUMIFS(Imput[Importe Neto],Imput[C. Imp.],$D505,Imput[PERIODO Imp.],BU$9)</f>
        <v>0</v>
      </c>
      <c r="BV505" s="693">
        <f>SUMIFS(Imput[Importe Neto],Imput[C. Imp.],$D505,Imput[PERIODO Imp.],BV$9)</f>
        <v>0</v>
      </c>
      <c r="BW505" s="693">
        <f>SUMIFS(Imput[Importe Neto],Imput[C. Imp.],$D505,Imput[PERIODO Imp.],BW$9)</f>
        <v>0</v>
      </c>
      <c r="BX505" s="693">
        <f>SUMIFS(Imput[Importe Neto],Imput[C. Imp.],$D505,Imput[PERIODO Imp.],BX$9)</f>
        <v>0</v>
      </c>
      <c r="BY505" s="693">
        <f>SUMIFS(Imput[Importe Neto],Imput[C. Imp.],$D505,Imput[PERIODO Imp.],BY$9)</f>
        <v>0</v>
      </c>
      <c r="BZ505" s="693">
        <f>SUMIFS(Imput[Importe Neto],Imput[C. Imp.],$D505,Imput[PERIODO Imp.],BZ$9)</f>
        <v>0</v>
      </c>
      <c r="CA505" s="693">
        <f>SUMIFS(Imput[Importe Neto],Imput[C. Imp.],$D505,Imput[PERIODO Imp.],CA$9)</f>
        <v>0</v>
      </c>
      <c r="CB505" s="693">
        <f>SUMIFS(Imput[Importe Neto],Imput[C. Imp.],$D505,Imput[PERIODO Imp.],CB$9)</f>
        <v>0</v>
      </c>
      <c r="CC505" s="693">
        <f>SUMIFS(Imput[Importe Neto],Imput[C. Imp.],$D505,Imput[PERIODO Imp.],CC$9)</f>
        <v>0</v>
      </c>
      <c r="CD505" s="693">
        <f>SUMIFS(Imput[Importe Neto],Imput[C. Imp.],$D505,Imput[PERIODO Imp.],CD$9)</f>
        <v>0</v>
      </c>
      <c r="CE505" s="693">
        <f>SUMIFS(Imput[Importe Neto],Imput[C. Imp.],$D505,Imput[PERIODO Imp.],CE$9)</f>
        <v>0</v>
      </c>
      <c r="CF505" s="693">
        <f>SUMIFS(Imput[Importe Neto],Imput[C. Imp.],$D505,Imput[PERIODO Imp.],CF$9)</f>
        <v>0</v>
      </c>
      <c r="CG505" s="693">
        <f>SUMIFS(Imput[Importe Neto],Imput[C. Imp.],$D505,Imput[PERIODO Imp.],CG$9)</f>
        <v>0</v>
      </c>
      <c r="CH505" s="693">
        <f>SUMIFS(Imput[Importe Neto],Imput[C. Imp.],$D505,Imput[PERIODO Imp.],CH$9)</f>
        <v>0</v>
      </c>
      <c r="CI505" s="693">
        <f>SUMIFS(Imput[Importe Neto],Imput[C. Imp.],$D505,Imput[PERIODO Imp.],CI$9)</f>
        <v>0</v>
      </c>
      <c r="CJ505" s="693">
        <f>SUMIFS(Imput[Importe Neto],Imput[C. Imp.],$D505,Imput[PERIODO Imp.],CJ$9)</f>
        <v>0</v>
      </c>
      <c r="CK505" s="693">
        <f>SUMIFS(Imput[Importe Neto],Imput[C. Imp.],$D505,Imput[PERIODO Imp.],CK$9)</f>
        <v>0</v>
      </c>
      <c r="CL505" s="693">
        <f>SUMIFS(Imput[Importe Neto],Imput[C. Imp.],$D505,Imput[PERIODO Imp.],CL$9)</f>
        <v>0</v>
      </c>
      <c r="CM505" s="693">
        <f>SUMIFS(Imput[Importe Neto],Imput[C. Imp.],$D505,Imput[PERIODO Imp.],CM$9)</f>
        <v>0</v>
      </c>
      <c r="CN505" s="693">
        <f>SUMIFS(Imput[Importe Neto],Imput[C. Imp.],$D505,Imput[PERIODO Imp.],CN$9)</f>
        <v>0</v>
      </c>
      <c r="CO505" s="693">
        <f>SUMIFS(Imput[Importe Neto],Imput[C. Imp.],$D505,Imput[PERIODO Imp.],CO$9)</f>
        <v>0</v>
      </c>
      <c r="CP505" s="693">
        <f>SUMIFS(Imput[Importe Neto],Imput[C. Imp.],$D505,Imput[PERIODO Imp.],CP$9)</f>
        <v>0</v>
      </c>
      <c r="CQ505" s="693">
        <f>SUMIFS(Imput[Importe Neto],Imput[C. Imp.],$D505,Imput[PERIODO Imp.],CQ$9)</f>
        <v>0</v>
      </c>
      <c r="CR505" s="693">
        <f>SUMIFS(Imput[Importe Neto],Imput[C. Imp.],$D505,Imput[PERIODO Imp.],CR$9)</f>
        <v>0</v>
      </c>
      <c r="CS505" s="693">
        <f>SUMIFS(Imput[Importe Neto],Imput[C. Imp.],$D505,Imput[PERIODO Imp.],CS$9)</f>
        <v>0</v>
      </c>
      <c r="CT505" s="693">
        <f>SUMIFS(Imput[Importe Neto],Imput[C. Imp.],$D505,Imput[PERIODO Imp.],CT$9)</f>
        <v>0</v>
      </c>
      <c r="CU505" s="693">
        <f>SUMIFS(Imput[Importe Neto],Imput[C. Imp.],$D505,Imput[PERIODO Imp.],CU$9)</f>
        <v>0</v>
      </c>
      <c r="CV505" s="693">
        <f>SUMIFS(Imput[Importe Neto],Imput[C. Imp.],$D505,Imput[PERIODO Imp.],CV$9)</f>
        <v>0</v>
      </c>
      <c r="CW505" s="693">
        <f>SUMIFS(Imput[Importe Neto],Imput[C. Imp.],$D505,Imput[PERIODO Imp.],CW$9)</f>
        <v>0</v>
      </c>
      <c r="CX505" s="693">
        <f>SUMIFS(Imput[Importe Neto],Imput[C. Imp.],$D505,Imput[PERIODO Imp.],CX$9)</f>
        <v>0</v>
      </c>
      <c r="CY505" s="693">
        <f>SUMIFS(Imput[Importe Neto],Imput[C. Imp.],$D505,Imput[PERIODO Imp.],CY$9)</f>
        <v>0</v>
      </c>
      <c r="CZ505" s="693">
        <f>SUMIFS(Imput[Importe Neto],Imput[C. Imp.],$D505,Imput[PERIODO Imp.],CZ$9)</f>
        <v>0</v>
      </c>
      <c r="DA505" s="693">
        <f>SUMIFS(Imput[Importe Neto],Imput[C. Imp.],$D505,Imput[PERIODO Imp.],DA$9)</f>
        <v>0</v>
      </c>
      <c r="DB505" s="693">
        <f>SUMIFS(Imput[Importe Neto],Imput[C. Imp.],$D505,Imput[PERIODO Imp.],DB$9)</f>
        <v>0</v>
      </c>
      <c r="DC505" s="693">
        <f>SUMIFS(Imput[Importe Neto],Imput[C. Imp.],$D505,Imput[PERIODO Imp.],DC$9)</f>
        <v>0</v>
      </c>
      <c r="DD505" s="693">
        <f>SUMIFS(Imput[Importe Neto],Imput[C. Imp.],$D505,Imput[PERIODO Imp.],DD$9)</f>
        <v>0</v>
      </c>
      <c r="DE505" s="693">
        <f>SUMIFS(Imput[Importe Neto],Imput[C. Imp.],$D505,Imput[PERIODO Imp.],DE$9)</f>
        <v>0</v>
      </c>
      <c r="DF505" s="693">
        <f>SUMIFS(Imput[Importe Neto],Imput[C. Imp.],$D505,Imput[PERIODO Imp.],DF$9)</f>
        <v>0</v>
      </c>
      <c r="DG505" s="693">
        <f>SUMIFS(Imput[Importe Neto],Imput[C. Imp.],$D505,Imput[PERIODO Imp.],DG$9)</f>
        <v>0</v>
      </c>
      <c r="DH505" s="694">
        <f>SUMIFS(Imput[Importe Neto],Imput[C. Imp.],$D505,Imput[PERIODO Imp.],DH$9)</f>
        <v>0</v>
      </c>
    </row>
    <row r="506" spans="1:112" s="649" customFormat="1" hidden="1" outlineLevel="1" x14ac:dyDescent="0.3">
      <c r="A506" s="652" t="str">
        <f t="shared" si="205"/>
        <v/>
      </c>
      <c r="B506" s="652"/>
      <c r="C506" s="685"/>
      <c r="D506" s="686" t="s">
        <v>2532</v>
      </c>
      <c r="E506" s="686"/>
      <c r="F506" s="720"/>
      <c r="G506" s="688"/>
      <c r="H506" s="689"/>
      <c r="I506" s="851" t="str">
        <f t="shared" si="206"/>
        <v/>
      </c>
      <c r="J506" s="850" t="str">
        <f t="shared" si="207"/>
        <v/>
      </c>
      <c r="K506" s="667"/>
      <c r="L506" s="858"/>
      <c r="M506" s="859"/>
      <c r="N506" s="859"/>
      <c r="O506" s="859"/>
      <c r="P506" s="859"/>
      <c r="Q506" s="859"/>
      <c r="R506" s="859"/>
      <c r="S506" s="859"/>
      <c r="T506" s="859"/>
      <c r="U506" s="859"/>
      <c r="V506" s="859"/>
      <c r="W506" s="859"/>
      <c r="X506" s="859"/>
      <c r="Y506" s="859"/>
      <c r="Z506" s="860"/>
      <c r="AA506" s="860"/>
      <c r="AB506" s="860"/>
      <c r="AC506" s="860"/>
      <c r="AD506" s="860"/>
      <c r="AE506" s="860"/>
      <c r="AF506" s="860"/>
      <c r="AG506" s="860"/>
      <c r="AH506" s="860"/>
      <c r="AI506" s="860"/>
      <c r="AJ506" s="860"/>
      <c r="AK506" s="860"/>
      <c r="AL506" s="860"/>
      <c r="AM506" s="860"/>
      <c r="AN506" s="860"/>
      <c r="AO506" s="860"/>
      <c r="AP506" s="860"/>
      <c r="AQ506" s="860"/>
      <c r="AR506" s="860"/>
      <c r="AS506" s="860"/>
      <c r="AT506" s="860"/>
      <c r="AU506" s="860"/>
      <c r="AV506" s="860"/>
      <c r="AW506" s="860"/>
      <c r="AX506" s="860"/>
      <c r="AY506" s="860"/>
      <c r="AZ506" s="860"/>
      <c r="BA506" s="860"/>
      <c r="BB506" s="860"/>
      <c r="BC506" s="860"/>
      <c r="BD506" s="860"/>
      <c r="BE506" s="860"/>
      <c r="BF506" s="860"/>
      <c r="BG506" s="860"/>
      <c r="BH506" s="668"/>
      <c r="BI506" s="667"/>
      <c r="BJ506" s="690">
        <f t="shared" si="208"/>
        <v>0</v>
      </c>
      <c r="BK506" s="691">
        <f t="shared" si="209"/>
        <v>0</v>
      </c>
      <c r="BL506" s="654"/>
      <c r="BM506" s="692">
        <f>SUMIFS(Imput[Importe Neto],Imput[C. Imp.],$D506,Imput[PERIODO Imp.],BM$9)</f>
        <v>0</v>
      </c>
      <c r="BN506" s="693">
        <f>SUMIFS(Imput[Importe Neto],Imput[C. Imp.],$D506,Imput[PERIODO Imp.],BN$9)</f>
        <v>0</v>
      </c>
      <c r="BO506" s="693">
        <f>SUMIFS(Imput[Importe Neto],Imput[C. Imp.],$D506,Imput[PERIODO Imp.],BO$9)</f>
        <v>0</v>
      </c>
      <c r="BP506" s="693">
        <f>SUMIFS(Imput[Importe Neto],Imput[C. Imp.],$D506,Imput[PERIODO Imp.],BP$9)</f>
        <v>0</v>
      </c>
      <c r="BQ506" s="693">
        <f>SUMIFS(Imput[Importe Neto],Imput[C. Imp.],$D506,Imput[PERIODO Imp.],BQ$9)</f>
        <v>0</v>
      </c>
      <c r="BR506" s="693">
        <f>SUMIFS(Imput[Importe Neto],Imput[C. Imp.],$D506,Imput[PERIODO Imp.],BR$9)</f>
        <v>0</v>
      </c>
      <c r="BS506" s="693">
        <f>SUMIFS(Imput[Importe Neto],Imput[C. Imp.],$D506,Imput[PERIODO Imp.],BS$9)</f>
        <v>0</v>
      </c>
      <c r="BT506" s="693">
        <f>SUMIFS(Imput[Importe Neto],Imput[C. Imp.],$D506,Imput[PERIODO Imp.],BT$9)</f>
        <v>0</v>
      </c>
      <c r="BU506" s="693">
        <f>SUMIFS(Imput[Importe Neto],Imput[C. Imp.],$D506,Imput[PERIODO Imp.],BU$9)</f>
        <v>0</v>
      </c>
      <c r="BV506" s="693">
        <f>SUMIFS(Imput[Importe Neto],Imput[C. Imp.],$D506,Imput[PERIODO Imp.],BV$9)</f>
        <v>0</v>
      </c>
      <c r="BW506" s="693">
        <f>SUMIFS(Imput[Importe Neto],Imput[C. Imp.],$D506,Imput[PERIODO Imp.],BW$9)</f>
        <v>0</v>
      </c>
      <c r="BX506" s="693">
        <f>SUMIFS(Imput[Importe Neto],Imput[C. Imp.],$D506,Imput[PERIODO Imp.],BX$9)</f>
        <v>0</v>
      </c>
      <c r="BY506" s="693">
        <f>SUMIFS(Imput[Importe Neto],Imput[C. Imp.],$D506,Imput[PERIODO Imp.],BY$9)</f>
        <v>0</v>
      </c>
      <c r="BZ506" s="693">
        <f>SUMIFS(Imput[Importe Neto],Imput[C. Imp.],$D506,Imput[PERIODO Imp.],BZ$9)</f>
        <v>0</v>
      </c>
      <c r="CA506" s="693">
        <f>SUMIFS(Imput[Importe Neto],Imput[C. Imp.],$D506,Imput[PERIODO Imp.],CA$9)</f>
        <v>0</v>
      </c>
      <c r="CB506" s="693">
        <f>SUMIFS(Imput[Importe Neto],Imput[C. Imp.],$D506,Imput[PERIODO Imp.],CB$9)</f>
        <v>0</v>
      </c>
      <c r="CC506" s="693">
        <f>SUMIFS(Imput[Importe Neto],Imput[C. Imp.],$D506,Imput[PERIODO Imp.],CC$9)</f>
        <v>0</v>
      </c>
      <c r="CD506" s="693">
        <f>SUMIFS(Imput[Importe Neto],Imput[C. Imp.],$D506,Imput[PERIODO Imp.],CD$9)</f>
        <v>0</v>
      </c>
      <c r="CE506" s="693">
        <f>SUMIFS(Imput[Importe Neto],Imput[C. Imp.],$D506,Imput[PERIODO Imp.],CE$9)</f>
        <v>0</v>
      </c>
      <c r="CF506" s="693">
        <f>SUMIFS(Imput[Importe Neto],Imput[C. Imp.],$D506,Imput[PERIODO Imp.],CF$9)</f>
        <v>0</v>
      </c>
      <c r="CG506" s="693">
        <f>SUMIFS(Imput[Importe Neto],Imput[C. Imp.],$D506,Imput[PERIODO Imp.],CG$9)</f>
        <v>0</v>
      </c>
      <c r="CH506" s="693">
        <f>SUMIFS(Imput[Importe Neto],Imput[C. Imp.],$D506,Imput[PERIODO Imp.],CH$9)</f>
        <v>0</v>
      </c>
      <c r="CI506" s="693">
        <f>SUMIFS(Imput[Importe Neto],Imput[C. Imp.],$D506,Imput[PERIODO Imp.],CI$9)</f>
        <v>0</v>
      </c>
      <c r="CJ506" s="693">
        <f>SUMIFS(Imput[Importe Neto],Imput[C. Imp.],$D506,Imput[PERIODO Imp.],CJ$9)</f>
        <v>0</v>
      </c>
      <c r="CK506" s="693">
        <f>SUMIFS(Imput[Importe Neto],Imput[C. Imp.],$D506,Imput[PERIODO Imp.],CK$9)</f>
        <v>0</v>
      </c>
      <c r="CL506" s="693">
        <f>SUMIFS(Imput[Importe Neto],Imput[C. Imp.],$D506,Imput[PERIODO Imp.],CL$9)</f>
        <v>0</v>
      </c>
      <c r="CM506" s="693">
        <f>SUMIFS(Imput[Importe Neto],Imput[C. Imp.],$D506,Imput[PERIODO Imp.],CM$9)</f>
        <v>0</v>
      </c>
      <c r="CN506" s="693">
        <f>SUMIFS(Imput[Importe Neto],Imput[C. Imp.],$D506,Imput[PERIODO Imp.],CN$9)</f>
        <v>0</v>
      </c>
      <c r="CO506" s="693">
        <f>SUMIFS(Imput[Importe Neto],Imput[C. Imp.],$D506,Imput[PERIODO Imp.],CO$9)</f>
        <v>0</v>
      </c>
      <c r="CP506" s="693">
        <f>SUMIFS(Imput[Importe Neto],Imput[C. Imp.],$D506,Imput[PERIODO Imp.],CP$9)</f>
        <v>0</v>
      </c>
      <c r="CQ506" s="693">
        <f>SUMIFS(Imput[Importe Neto],Imput[C. Imp.],$D506,Imput[PERIODO Imp.],CQ$9)</f>
        <v>0</v>
      </c>
      <c r="CR506" s="693">
        <f>SUMIFS(Imput[Importe Neto],Imput[C. Imp.],$D506,Imput[PERIODO Imp.],CR$9)</f>
        <v>0</v>
      </c>
      <c r="CS506" s="693">
        <f>SUMIFS(Imput[Importe Neto],Imput[C. Imp.],$D506,Imput[PERIODO Imp.],CS$9)</f>
        <v>0</v>
      </c>
      <c r="CT506" s="693">
        <f>SUMIFS(Imput[Importe Neto],Imput[C. Imp.],$D506,Imput[PERIODO Imp.],CT$9)</f>
        <v>0</v>
      </c>
      <c r="CU506" s="693">
        <f>SUMIFS(Imput[Importe Neto],Imput[C. Imp.],$D506,Imput[PERIODO Imp.],CU$9)</f>
        <v>0</v>
      </c>
      <c r="CV506" s="693">
        <f>SUMIFS(Imput[Importe Neto],Imput[C. Imp.],$D506,Imput[PERIODO Imp.],CV$9)</f>
        <v>0</v>
      </c>
      <c r="CW506" s="693">
        <f>SUMIFS(Imput[Importe Neto],Imput[C. Imp.],$D506,Imput[PERIODO Imp.],CW$9)</f>
        <v>0</v>
      </c>
      <c r="CX506" s="693">
        <f>SUMIFS(Imput[Importe Neto],Imput[C. Imp.],$D506,Imput[PERIODO Imp.],CX$9)</f>
        <v>0</v>
      </c>
      <c r="CY506" s="693">
        <f>SUMIFS(Imput[Importe Neto],Imput[C. Imp.],$D506,Imput[PERIODO Imp.],CY$9)</f>
        <v>0</v>
      </c>
      <c r="CZ506" s="693">
        <f>SUMIFS(Imput[Importe Neto],Imput[C. Imp.],$D506,Imput[PERIODO Imp.],CZ$9)</f>
        <v>0</v>
      </c>
      <c r="DA506" s="693">
        <f>SUMIFS(Imput[Importe Neto],Imput[C. Imp.],$D506,Imput[PERIODO Imp.],DA$9)</f>
        <v>0</v>
      </c>
      <c r="DB506" s="693">
        <f>SUMIFS(Imput[Importe Neto],Imput[C. Imp.],$D506,Imput[PERIODO Imp.],DB$9)</f>
        <v>0</v>
      </c>
      <c r="DC506" s="693">
        <f>SUMIFS(Imput[Importe Neto],Imput[C. Imp.],$D506,Imput[PERIODO Imp.],DC$9)</f>
        <v>0</v>
      </c>
      <c r="DD506" s="693">
        <f>SUMIFS(Imput[Importe Neto],Imput[C. Imp.],$D506,Imput[PERIODO Imp.],DD$9)</f>
        <v>0</v>
      </c>
      <c r="DE506" s="693">
        <f>SUMIFS(Imput[Importe Neto],Imput[C. Imp.],$D506,Imput[PERIODO Imp.],DE$9)</f>
        <v>0</v>
      </c>
      <c r="DF506" s="693">
        <f>SUMIFS(Imput[Importe Neto],Imput[C. Imp.],$D506,Imput[PERIODO Imp.],DF$9)</f>
        <v>0</v>
      </c>
      <c r="DG506" s="693">
        <f>SUMIFS(Imput[Importe Neto],Imput[C. Imp.],$D506,Imput[PERIODO Imp.],DG$9)</f>
        <v>0</v>
      </c>
      <c r="DH506" s="694">
        <f>SUMIFS(Imput[Importe Neto],Imput[C. Imp.],$D506,Imput[PERIODO Imp.],DH$9)</f>
        <v>0</v>
      </c>
    </row>
    <row r="507" spans="1:112" s="649" customFormat="1" hidden="1" outlineLevel="1" x14ac:dyDescent="0.3">
      <c r="A507" s="652" t="str">
        <f t="shared" si="205"/>
        <v/>
      </c>
      <c r="B507" s="652"/>
      <c r="C507" s="685"/>
      <c r="D507" s="686" t="s">
        <v>2533</v>
      </c>
      <c r="E507" s="686"/>
      <c r="F507" s="720"/>
      <c r="G507" s="688"/>
      <c r="H507" s="689"/>
      <c r="I507" s="851" t="str">
        <f t="shared" si="206"/>
        <v/>
      </c>
      <c r="J507" s="850" t="str">
        <f t="shared" si="207"/>
        <v/>
      </c>
      <c r="K507" s="667"/>
      <c r="L507" s="858"/>
      <c r="M507" s="859"/>
      <c r="N507" s="859"/>
      <c r="O507" s="859"/>
      <c r="P507" s="859"/>
      <c r="Q507" s="859"/>
      <c r="R507" s="859"/>
      <c r="S507" s="859"/>
      <c r="T507" s="859"/>
      <c r="U507" s="859"/>
      <c r="V507" s="859"/>
      <c r="W507" s="859"/>
      <c r="X507" s="859"/>
      <c r="Y507" s="859"/>
      <c r="Z507" s="860"/>
      <c r="AA507" s="860"/>
      <c r="AB507" s="860"/>
      <c r="AC507" s="860"/>
      <c r="AD507" s="860"/>
      <c r="AE507" s="860"/>
      <c r="AF507" s="860"/>
      <c r="AG507" s="860"/>
      <c r="AH507" s="860"/>
      <c r="AI507" s="860"/>
      <c r="AJ507" s="860"/>
      <c r="AK507" s="860"/>
      <c r="AL507" s="860"/>
      <c r="AM507" s="860"/>
      <c r="AN507" s="860"/>
      <c r="AO507" s="860"/>
      <c r="AP507" s="860"/>
      <c r="AQ507" s="860"/>
      <c r="AR507" s="860"/>
      <c r="AS507" s="860"/>
      <c r="AT507" s="860"/>
      <c r="AU507" s="860"/>
      <c r="AV507" s="860"/>
      <c r="AW507" s="860"/>
      <c r="AX507" s="860"/>
      <c r="AY507" s="860"/>
      <c r="AZ507" s="860"/>
      <c r="BA507" s="860"/>
      <c r="BB507" s="860"/>
      <c r="BC507" s="860"/>
      <c r="BD507" s="860"/>
      <c r="BE507" s="860"/>
      <c r="BF507" s="860"/>
      <c r="BG507" s="860"/>
      <c r="BH507" s="668"/>
      <c r="BI507" s="667"/>
      <c r="BJ507" s="690">
        <f t="shared" si="208"/>
        <v>0</v>
      </c>
      <c r="BK507" s="691">
        <f t="shared" si="209"/>
        <v>0</v>
      </c>
      <c r="BL507" s="654"/>
      <c r="BM507" s="692">
        <f>SUMIFS(Imput[Importe Neto],Imput[C. Imp.],$D507,Imput[PERIODO Imp.],BM$9)</f>
        <v>0</v>
      </c>
      <c r="BN507" s="693">
        <f>SUMIFS(Imput[Importe Neto],Imput[C. Imp.],$D507,Imput[PERIODO Imp.],BN$9)</f>
        <v>0</v>
      </c>
      <c r="BO507" s="693">
        <f>SUMIFS(Imput[Importe Neto],Imput[C. Imp.],$D507,Imput[PERIODO Imp.],BO$9)</f>
        <v>0</v>
      </c>
      <c r="BP507" s="693">
        <f>SUMIFS(Imput[Importe Neto],Imput[C. Imp.],$D507,Imput[PERIODO Imp.],BP$9)</f>
        <v>0</v>
      </c>
      <c r="BQ507" s="693">
        <f>SUMIFS(Imput[Importe Neto],Imput[C. Imp.],$D507,Imput[PERIODO Imp.],BQ$9)</f>
        <v>0</v>
      </c>
      <c r="BR507" s="693">
        <f>SUMIFS(Imput[Importe Neto],Imput[C. Imp.],$D507,Imput[PERIODO Imp.],BR$9)</f>
        <v>0</v>
      </c>
      <c r="BS507" s="693">
        <f>SUMIFS(Imput[Importe Neto],Imput[C. Imp.],$D507,Imput[PERIODO Imp.],BS$9)</f>
        <v>0</v>
      </c>
      <c r="BT507" s="693">
        <f>SUMIFS(Imput[Importe Neto],Imput[C. Imp.],$D507,Imput[PERIODO Imp.],BT$9)</f>
        <v>0</v>
      </c>
      <c r="BU507" s="693">
        <f>SUMIFS(Imput[Importe Neto],Imput[C. Imp.],$D507,Imput[PERIODO Imp.],BU$9)</f>
        <v>0</v>
      </c>
      <c r="BV507" s="693">
        <f>SUMIFS(Imput[Importe Neto],Imput[C. Imp.],$D507,Imput[PERIODO Imp.],BV$9)</f>
        <v>0</v>
      </c>
      <c r="BW507" s="693">
        <f>SUMIFS(Imput[Importe Neto],Imput[C. Imp.],$D507,Imput[PERIODO Imp.],BW$9)</f>
        <v>0</v>
      </c>
      <c r="BX507" s="693">
        <f>SUMIFS(Imput[Importe Neto],Imput[C. Imp.],$D507,Imput[PERIODO Imp.],BX$9)</f>
        <v>0</v>
      </c>
      <c r="BY507" s="693">
        <f>SUMIFS(Imput[Importe Neto],Imput[C. Imp.],$D507,Imput[PERIODO Imp.],BY$9)</f>
        <v>0</v>
      </c>
      <c r="BZ507" s="693">
        <f>SUMIFS(Imput[Importe Neto],Imput[C. Imp.],$D507,Imput[PERIODO Imp.],BZ$9)</f>
        <v>0</v>
      </c>
      <c r="CA507" s="693">
        <f>SUMIFS(Imput[Importe Neto],Imput[C. Imp.],$D507,Imput[PERIODO Imp.],CA$9)</f>
        <v>0</v>
      </c>
      <c r="CB507" s="693">
        <f>SUMIFS(Imput[Importe Neto],Imput[C. Imp.],$D507,Imput[PERIODO Imp.],CB$9)</f>
        <v>0</v>
      </c>
      <c r="CC507" s="693">
        <f>SUMIFS(Imput[Importe Neto],Imput[C. Imp.],$D507,Imput[PERIODO Imp.],CC$9)</f>
        <v>0</v>
      </c>
      <c r="CD507" s="693">
        <f>SUMIFS(Imput[Importe Neto],Imput[C. Imp.],$D507,Imput[PERIODO Imp.],CD$9)</f>
        <v>0</v>
      </c>
      <c r="CE507" s="693">
        <f>SUMIFS(Imput[Importe Neto],Imput[C. Imp.],$D507,Imput[PERIODO Imp.],CE$9)</f>
        <v>0</v>
      </c>
      <c r="CF507" s="693">
        <f>SUMIFS(Imput[Importe Neto],Imput[C. Imp.],$D507,Imput[PERIODO Imp.],CF$9)</f>
        <v>0</v>
      </c>
      <c r="CG507" s="693">
        <f>SUMIFS(Imput[Importe Neto],Imput[C. Imp.],$D507,Imput[PERIODO Imp.],CG$9)</f>
        <v>0</v>
      </c>
      <c r="CH507" s="693">
        <f>SUMIFS(Imput[Importe Neto],Imput[C. Imp.],$D507,Imput[PERIODO Imp.],CH$9)</f>
        <v>0</v>
      </c>
      <c r="CI507" s="693">
        <f>SUMIFS(Imput[Importe Neto],Imput[C. Imp.],$D507,Imput[PERIODO Imp.],CI$9)</f>
        <v>0</v>
      </c>
      <c r="CJ507" s="693">
        <f>SUMIFS(Imput[Importe Neto],Imput[C. Imp.],$D507,Imput[PERIODO Imp.],CJ$9)</f>
        <v>0</v>
      </c>
      <c r="CK507" s="693">
        <f>SUMIFS(Imput[Importe Neto],Imput[C. Imp.],$D507,Imput[PERIODO Imp.],CK$9)</f>
        <v>0</v>
      </c>
      <c r="CL507" s="693">
        <f>SUMIFS(Imput[Importe Neto],Imput[C. Imp.],$D507,Imput[PERIODO Imp.],CL$9)</f>
        <v>0</v>
      </c>
      <c r="CM507" s="693">
        <f>SUMIFS(Imput[Importe Neto],Imput[C. Imp.],$D507,Imput[PERIODO Imp.],CM$9)</f>
        <v>0</v>
      </c>
      <c r="CN507" s="693">
        <f>SUMIFS(Imput[Importe Neto],Imput[C. Imp.],$D507,Imput[PERIODO Imp.],CN$9)</f>
        <v>0</v>
      </c>
      <c r="CO507" s="693">
        <f>SUMIFS(Imput[Importe Neto],Imput[C. Imp.],$D507,Imput[PERIODO Imp.],CO$9)</f>
        <v>0</v>
      </c>
      <c r="CP507" s="693">
        <f>SUMIFS(Imput[Importe Neto],Imput[C. Imp.],$D507,Imput[PERIODO Imp.],CP$9)</f>
        <v>0</v>
      </c>
      <c r="CQ507" s="693">
        <f>SUMIFS(Imput[Importe Neto],Imput[C. Imp.],$D507,Imput[PERIODO Imp.],CQ$9)</f>
        <v>0</v>
      </c>
      <c r="CR507" s="693">
        <f>SUMIFS(Imput[Importe Neto],Imput[C. Imp.],$D507,Imput[PERIODO Imp.],CR$9)</f>
        <v>0</v>
      </c>
      <c r="CS507" s="693">
        <f>SUMIFS(Imput[Importe Neto],Imput[C. Imp.],$D507,Imput[PERIODO Imp.],CS$9)</f>
        <v>0</v>
      </c>
      <c r="CT507" s="693">
        <f>SUMIFS(Imput[Importe Neto],Imput[C. Imp.],$D507,Imput[PERIODO Imp.],CT$9)</f>
        <v>0</v>
      </c>
      <c r="CU507" s="693">
        <f>SUMIFS(Imput[Importe Neto],Imput[C. Imp.],$D507,Imput[PERIODO Imp.],CU$9)</f>
        <v>0</v>
      </c>
      <c r="CV507" s="693">
        <f>SUMIFS(Imput[Importe Neto],Imput[C. Imp.],$D507,Imput[PERIODO Imp.],CV$9)</f>
        <v>0</v>
      </c>
      <c r="CW507" s="693">
        <f>SUMIFS(Imput[Importe Neto],Imput[C. Imp.],$D507,Imput[PERIODO Imp.],CW$9)</f>
        <v>0</v>
      </c>
      <c r="CX507" s="693">
        <f>SUMIFS(Imput[Importe Neto],Imput[C. Imp.],$D507,Imput[PERIODO Imp.],CX$9)</f>
        <v>0</v>
      </c>
      <c r="CY507" s="693">
        <f>SUMIFS(Imput[Importe Neto],Imput[C. Imp.],$D507,Imput[PERIODO Imp.],CY$9)</f>
        <v>0</v>
      </c>
      <c r="CZ507" s="693">
        <f>SUMIFS(Imput[Importe Neto],Imput[C. Imp.],$D507,Imput[PERIODO Imp.],CZ$9)</f>
        <v>0</v>
      </c>
      <c r="DA507" s="693">
        <f>SUMIFS(Imput[Importe Neto],Imput[C. Imp.],$D507,Imput[PERIODO Imp.],DA$9)</f>
        <v>0</v>
      </c>
      <c r="DB507" s="693">
        <f>SUMIFS(Imput[Importe Neto],Imput[C. Imp.],$D507,Imput[PERIODO Imp.],DB$9)</f>
        <v>0</v>
      </c>
      <c r="DC507" s="693">
        <f>SUMIFS(Imput[Importe Neto],Imput[C. Imp.],$D507,Imput[PERIODO Imp.],DC$9)</f>
        <v>0</v>
      </c>
      <c r="DD507" s="693">
        <f>SUMIFS(Imput[Importe Neto],Imput[C. Imp.],$D507,Imput[PERIODO Imp.],DD$9)</f>
        <v>0</v>
      </c>
      <c r="DE507" s="693">
        <f>SUMIFS(Imput[Importe Neto],Imput[C. Imp.],$D507,Imput[PERIODO Imp.],DE$9)</f>
        <v>0</v>
      </c>
      <c r="DF507" s="693">
        <f>SUMIFS(Imput[Importe Neto],Imput[C. Imp.],$D507,Imput[PERIODO Imp.],DF$9)</f>
        <v>0</v>
      </c>
      <c r="DG507" s="693">
        <f>SUMIFS(Imput[Importe Neto],Imput[C. Imp.],$D507,Imput[PERIODO Imp.],DG$9)</f>
        <v>0</v>
      </c>
      <c r="DH507" s="694">
        <f>SUMIFS(Imput[Importe Neto],Imput[C. Imp.],$D507,Imput[PERIODO Imp.],DH$9)</f>
        <v>0</v>
      </c>
    </row>
    <row r="508" spans="1:112" s="649" customFormat="1" hidden="1" outlineLevel="1" x14ac:dyDescent="0.3">
      <c r="A508" s="652" t="str">
        <f t="shared" si="205"/>
        <v/>
      </c>
      <c r="B508" s="652"/>
      <c r="C508" s="685"/>
      <c r="D508" s="686" t="s">
        <v>2534</v>
      </c>
      <c r="E508" s="686"/>
      <c r="F508" s="720"/>
      <c r="G508" s="688"/>
      <c r="H508" s="689"/>
      <c r="I508" s="851" t="str">
        <f t="shared" si="206"/>
        <v/>
      </c>
      <c r="J508" s="850" t="str">
        <f t="shared" si="207"/>
        <v/>
      </c>
      <c r="K508" s="667"/>
      <c r="L508" s="858"/>
      <c r="M508" s="859"/>
      <c r="N508" s="859"/>
      <c r="O508" s="859"/>
      <c r="P508" s="859"/>
      <c r="Q508" s="859"/>
      <c r="R508" s="859"/>
      <c r="S508" s="859"/>
      <c r="T508" s="859"/>
      <c r="U508" s="859"/>
      <c r="V508" s="859"/>
      <c r="W508" s="859"/>
      <c r="X508" s="859"/>
      <c r="Y508" s="859"/>
      <c r="Z508" s="860"/>
      <c r="AA508" s="860"/>
      <c r="AB508" s="860"/>
      <c r="AC508" s="860"/>
      <c r="AD508" s="860"/>
      <c r="AE508" s="860"/>
      <c r="AF508" s="860"/>
      <c r="AG508" s="860"/>
      <c r="AH508" s="860"/>
      <c r="AI508" s="860"/>
      <c r="AJ508" s="860"/>
      <c r="AK508" s="860"/>
      <c r="AL508" s="860"/>
      <c r="AM508" s="860"/>
      <c r="AN508" s="860"/>
      <c r="AO508" s="860"/>
      <c r="AP508" s="860"/>
      <c r="AQ508" s="860"/>
      <c r="AR508" s="860"/>
      <c r="AS508" s="860"/>
      <c r="AT508" s="860"/>
      <c r="AU508" s="860"/>
      <c r="AV508" s="860"/>
      <c r="AW508" s="860"/>
      <c r="AX508" s="860"/>
      <c r="AY508" s="860"/>
      <c r="AZ508" s="860"/>
      <c r="BA508" s="860"/>
      <c r="BB508" s="860"/>
      <c r="BC508" s="860"/>
      <c r="BD508" s="860"/>
      <c r="BE508" s="860"/>
      <c r="BF508" s="860"/>
      <c r="BG508" s="860"/>
      <c r="BH508" s="668"/>
      <c r="BI508" s="667"/>
      <c r="BJ508" s="690">
        <f t="shared" si="208"/>
        <v>0</v>
      </c>
      <c r="BK508" s="691">
        <f t="shared" si="209"/>
        <v>0</v>
      </c>
      <c r="BL508" s="654"/>
      <c r="BM508" s="692">
        <f>SUMIFS(Imput[Importe Neto],Imput[C. Imp.],$D508,Imput[PERIODO Imp.],BM$9)</f>
        <v>0</v>
      </c>
      <c r="BN508" s="693">
        <f>SUMIFS(Imput[Importe Neto],Imput[C. Imp.],$D508,Imput[PERIODO Imp.],BN$9)</f>
        <v>0</v>
      </c>
      <c r="BO508" s="693">
        <f>SUMIFS(Imput[Importe Neto],Imput[C. Imp.],$D508,Imput[PERIODO Imp.],BO$9)</f>
        <v>0</v>
      </c>
      <c r="BP508" s="693">
        <f>SUMIFS(Imput[Importe Neto],Imput[C. Imp.],$D508,Imput[PERIODO Imp.],BP$9)</f>
        <v>0</v>
      </c>
      <c r="BQ508" s="693">
        <f>SUMIFS(Imput[Importe Neto],Imput[C. Imp.],$D508,Imput[PERIODO Imp.],BQ$9)</f>
        <v>0</v>
      </c>
      <c r="BR508" s="693">
        <f>SUMIFS(Imput[Importe Neto],Imput[C. Imp.],$D508,Imput[PERIODO Imp.],BR$9)</f>
        <v>0</v>
      </c>
      <c r="BS508" s="693">
        <f>SUMIFS(Imput[Importe Neto],Imput[C. Imp.],$D508,Imput[PERIODO Imp.],BS$9)</f>
        <v>0</v>
      </c>
      <c r="BT508" s="693">
        <f>SUMIFS(Imput[Importe Neto],Imput[C. Imp.],$D508,Imput[PERIODO Imp.],BT$9)</f>
        <v>0</v>
      </c>
      <c r="BU508" s="693">
        <f>SUMIFS(Imput[Importe Neto],Imput[C. Imp.],$D508,Imput[PERIODO Imp.],BU$9)</f>
        <v>0</v>
      </c>
      <c r="BV508" s="693">
        <f>SUMIFS(Imput[Importe Neto],Imput[C. Imp.],$D508,Imput[PERIODO Imp.],BV$9)</f>
        <v>0</v>
      </c>
      <c r="BW508" s="693">
        <f>SUMIFS(Imput[Importe Neto],Imput[C. Imp.],$D508,Imput[PERIODO Imp.],BW$9)</f>
        <v>0</v>
      </c>
      <c r="BX508" s="693">
        <f>SUMIFS(Imput[Importe Neto],Imput[C. Imp.],$D508,Imput[PERIODO Imp.],BX$9)</f>
        <v>0</v>
      </c>
      <c r="BY508" s="693">
        <f>SUMIFS(Imput[Importe Neto],Imput[C. Imp.],$D508,Imput[PERIODO Imp.],BY$9)</f>
        <v>0</v>
      </c>
      <c r="BZ508" s="693">
        <f>SUMIFS(Imput[Importe Neto],Imput[C. Imp.],$D508,Imput[PERIODO Imp.],BZ$9)</f>
        <v>0</v>
      </c>
      <c r="CA508" s="693">
        <f>SUMIFS(Imput[Importe Neto],Imput[C. Imp.],$D508,Imput[PERIODO Imp.],CA$9)</f>
        <v>0</v>
      </c>
      <c r="CB508" s="693">
        <f>SUMIFS(Imput[Importe Neto],Imput[C. Imp.],$D508,Imput[PERIODO Imp.],CB$9)</f>
        <v>0</v>
      </c>
      <c r="CC508" s="693">
        <f>SUMIFS(Imput[Importe Neto],Imput[C. Imp.],$D508,Imput[PERIODO Imp.],CC$9)</f>
        <v>0</v>
      </c>
      <c r="CD508" s="693">
        <f>SUMIFS(Imput[Importe Neto],Imput[C. Imp.],$D508,Imput[PERIODO Imp.],CD$9)</f>
        <v>0</v>
      </c>
      <c r="CE508" s="693">
        <f>SUMIFS(Imput[Importe Neto],Imput[C. Imp.],$D508,Imput[PERIODO Imp.],CE$9)</f>
        <v>0</v>
      </c>
      <c r="CF508" s="693">
        <f>SUMIFS(Imput[Importe Neto],Imput[C. Imp.],$D508,Imput[PERIODO Imp.],CF$9)</f>
        <v>0</v>
      </c>
      <c r="CG508" s="693">
        <f>SUMIFS(Imput[Importe Neto],Imput[C. Imp.],$D508,Imput[PERIODO Imp.],CG$9)</f>
        <v>0</v>
      </c>
      <c r="CH508" s="693">
        <f>SUMIFS(Imput[Importe Neto],Imput[C. Imp.],$D508,Imput[PERIODO Imp.],CH$9)</f>
        <v>0</v>
      </c>
      <c r="CI508" s="693">
        <f>SUMIFS(Imput[Importe Neto],Imput[C. Imp.],$D508,Imput[PERIODO Imp.],CI$9)</f>
        <v>0</v>
      </c>
      <c r="CJ508" s="693">
        <f>SUMIFS(Imput[Importe Neto],Imput[C. Imp.],$D508,Imput[PERIODO Imp.],CJ$9)</f>
        <v>0</v>
      </c>
      <c r="CK508" s="693">
        <f>SUMIFS(Imput[Importe Neto],Imput[C. Imp.],$D508,Imput[PERIODO Imp.],CK$9)</f>
        <v>0</v>
      </c>
      <c r="CL508" s="693">
        <f>SUMIFS(Imput[Importe Neto],Imput[C. Imp.],$D508,Imput[PERIODO Imp.],CL$9)</f>
        <v>0</v>
      </c>
      <c r="CM508" s="693">
        <f>SUMIFS(Imput[Importe Neto],Imput[C. Imp.],$D508,Imput[PERIODO Imp.],CM$9)</f>
        <v>0</v>
      </c>
      <c r="CN508" s="693">
        <f>SUMIFS(Imput[Importe Neto],Imput[C. Imp.],$D508,Imput[PERIODO Imp.],CN$9)</f>
        <v>0</v>
      </c>
      <c r="CO508" s="693">
        <f>SUMIFS(Imput[Importe Neto],Imput[C. Imp.],$D508,Imput[PERIODO Imp.],CO$9)</f>
        <v>0</v>
      </c>
      <c r="CP508" s="693">
        <f>SUMIFS(Imput[Importe Neto],Imput[C. Imp.],$D508,Imput[PERIODO Imp.],CP$9)</f>
        <v>0</v>
      </c>
      <c r="CQ508" s="693">
        <f>SUMIFS(Imput[Importe Neto],Imput[C. Imp.],$D508,Imput[PERIODO Imp.],CQ$9)</f>
        <v>0</v>
      </c>
      <c r="CR508" s="693">
        <f>SUMIFS(Imput[Importe Neto],Imput[C. Imp.],$D508,Imput[PERIODO Imp.],CR$9)</f>
        <v>0</v>
      </c>
      <c r="CS508" s="693">
        <f>SUMIFS(Imput[Importe Neto],Imput[C. Imp.],$D508,Imput[PERIODO Imp.],CS$9)</f>
        <v>0</v>
      </c>
      <c r="CT508" s="693">
        <f>SUMIFS(Imput[Importe Neto],Imput[C. Imp.],$D508,Imput[PERIODO Imp.],CT$9)</f>
        <v>0</v>
      </c>
      <c r="CU508" s="693">
        <f>SUMIFS(Imput[Importe Neto],Imput[C. Imp.],$D508,Imput[PERIODO Imp.],CU$9)</f>
        <v>0</v>
      </c>
      <c r="CV508" s="693">
        <f>SUMIFS(Imput[Importe Neto],Imput[C. Imp.],$D508,Imput[PERIODO Imp.],CV$9)</f>
        <v>0</v>
      </c>
      <c r="CW508" s="693">
        <f>SUMIFS(Imput[Importe Neto],Imput[C. Imp.],$D508,Imput[PERIODO Imp.],CW$9)</f>
        <v>0</v>
      </c>
      <c r="CX508" s="693">
        <f>SUMIFS(Imput[Importe Neto],Imput[C. Imp.],$D508,Imput[PERIODO Imp.],CX$9)</f>
        <v>0</v>
      </c>
      <c r="CY508" s="693">
        <f>SUMIFS(Imput[Importe Neto],Imput[C. Imp.],$D508,Imput[PERIODO Imp.],CY$9)</f>
        <v>0</v>
      </c>
      <c r="CZ508" s="693">
        <f>SUMIFS(Imput[Importe Neto],Imput[C. Imp.],$D508,Imput[PERIODO Imp.],CZ$9)</f>
        <v>0</v>
      </c>
      <c r="DA508" s="693">
        <f>SUMIFS(Imput[Importe Neto],Imput[C. Imp.],$D508,Imput[PERIODO Imp.],DA$9)</f>
        <v>0</v>
      </c>
      <c r="DB508" s="693">
        <f>SUMIFS(Imput[Importe Neto],Imput[C. Imp.],$D508,Imput[PERIODO Imp.],DB$9)</f>
        <v>0</v>
      </c>
      <c r="DC508" s="693">
        <f>SUMIFS(Imput[Importe Neto],Imput[C. Imp.],$D508,Imput[PERIODO Imp.],DC$9)</f>
        <v>0</v>
      </c>
      <c r="DD508" s="693">
        <f>SUMIFS(Imput[Importe Neto],Imput[C. Imp.],$D508,Imput[PERIODO Imp.],DD$9)</f>
        <v>0</v>
      </c>
      <c r="DE508" s="693">
        <f>SUMIFS(Imput[Importe Neto],Imput[C. Imp.],$D508,Imput[PERIODO Imp.],DE$9)</f>
        <v>0</v>
      </c>
      <c r="DF508" s="693">
        <f>SUMIFS(Imput[Importe Neto],Imput[C. Imp.],$D508,Imput[PERIODO Imp.],DF$9)</f>
        <v>0</v>
      </c>
      <c r="DG508" s="693">
        <f>SUMIFS(Imput[Importe Neto],Imput[C. Imp.],$D508,Imput[PERIODO Imp.],DG$9)</f>
        <v>0</v>
      </c>
      <c r="DH508" s="694">
        <f>SUMIFS(Imput[Importe Neto],Imput[C. Imp.],$D508,Imput[PERIODO Imp.],DH$9)</f>
        <v>0</v>
      </c>
    </row>
    <row r="509" spans="1:112" s="649" customFormat="1" hidden="1" outlineLevel="1" x14ac:dyDescent="0.3">
      <c r="A509" s="652" t="str">
        <f t="shared" si="205"/>
        <v/>
      </c>
      <c r="B509" s="652"/>
      <c r="C509" s="685"/>
      <c r="D509" s="686" t="s">
        <v>2535</v>
      </c>
      <c r="E509" s="686"/>
      <c r="F509" s="720"/>
      <c r="G509" s="688"/>
      <c r="H509" s="689"/>
      <c r="I509" s="851" t="str">
        <f t="shared" si="206"/>
        <v/>
      </c>
      <c r="J509" s="850" t="str">
        <f t="shared" si="207"/>
        <v/>
      </c>
      <c r="K509" s="667"/>
      <c r="L509" s="858"/>
      <c r="M509" s="859"/>
      <c r="N509" s="859"/>
      <c r="O509" s="859"/>
      <c r="P509" s="859"/>
      <c r="Q509" s="859"/>
      <c r="R509" s="859"/>
      <c r="S509" s="859"/>
      <c r="T509" s="859"/>
      <c r="U509" s="859"/>
      <c r="V509" s="859"/>
      <c r="W509" s="859"/>
      <c r="X509" s="859"/>
      <c r="Y509" s="859"/>
      <c r="Z509" s="860"/>
      <c r="AA509" s="860"/>
      <c r="AB509" s="860"/>
      <c r="AC509" s="860"/>
      <c r="AD509" s="860"/>
      <c r="AE509" s="860"/>
      <c r="AF509" s="860"/>
      <c r="AG509" s="860"/>
      <c r="AH509" s="860"/>
      <c r="AI509" s="860"/>
      <c r="AJ509" s="860"/>
      <c r="AK509" s="860"/>
      <c r="AL509" s="860"/>
      <c r="AM509" s="860"/>
      <c r="AN509" s="860"/>
      <c r="AO509" s="860"/>
      <c r="AP509" s="860"/>
      <c r="AQ509" s="860"/>
      <c r="AR509" s="860"/>
      <c r="AS509" s="860"/>
      <c r="AT509" s="860"/>
      <c r="AU509" s="860"/>
      <c r="AV509" s="860"/>
      <c r="AW509" s="860"/>
      <c r="AX509" s="860"/>
      <c r="AY509" s="860"/>
      <c r="AZ509" s="860"/>
      <c r="BA509" s="860"/>
      <c r="BB509" s="860"/>
      <c r="BC509" s="860"/>
      <c r="BD509" s="860"/>
      <c r="BE509" s="860"/>
      <c r="BF509" s="860"/>
      <c r="BG509" s="860"/>
      <c r="BH509" s="780"/>
      <c r="BI509" s="654"/>
      <c r="BJ509" s="690">
        <f t="shared" si="208"/>
        <v>0</v>
      </c>
      <c r="BK509" s="691">
        <f t="shared" si="209"/>
        <v>0</v>
      </c>
      <c r="BL509" s="654"/>
      <c r="BM509" s="692">
        <f>SUMIFS(Imput[Importe Neto],Imput[C. Imp.],$D509,Imput[PERIODO Imp.],BM$9)</f>
        <v>0</v>
      </c>
      <c r="BN509" s="693">
        <f>SUMIFS(Imput[Importe Neto],Imput[C. Imp.],$D509,Imput[PERIODO Imp.],BN$9)</f>
        <v>0</v>
      </c>
      <c r="BO509" s="693">
        <f>SUMIFS(Imput[Importe Neto],Imput[C. Imp.],$D509,Imput[PERIODO Imp.],BO$9)</f>
        <v>0</v>
      </c>
      <c r="BP509" s="693">
        <f>SUMIFS(Imput[Importe Neto],Imput[C. Imp.],$D509,Imput[PERIODO Imp.],BP$9)</f>
        <v>0</v>
      </c>
      <c r="BQ509" s="693">
        <f>SUMIFS(Imput[Importe Neto],Imput[C. Imp.],$D509,Imput[PERIODO Imp.],BQ$9)</f>
        <v>0</v>
      </c>
      <c r="BR509" s="693">
        <f>SUMIFS(Imput[Importe Neto],Imput[C. Imp.],$D509,Imput[PERIODO Imp.],BR$9)</f>
        <v>0</v>
      </c>
      <c r="BS509" s="693">
        <f>SUMIFS(Imput[Importe Neto],Imput[C. Imp.],$D509,Imput[PERIODO Imp.],BS$9)</f>
        <v>0</v>
      </c>
      <c r="BT509" s="693">
        <f>SUMIFS(Imput[Importe Neto],Imput[C. Imp.],$D509,Imput[PERIODO Imp.],BT$9)</f>
        <v>0</v>
      </c>
      <c r="BU509" s="693">
        <f>SUMIFS(Imput[Importe Neto],Imput[C. Imp.],$D509,Imput[PERIODO Imp.],BU$9)</f>
        <v>0</v>
      </c>
      <c r="BV509" s="693">
        <f>SUMIFS(Imput[Importe Neto],Imput[C. Imp.],$D509,Imput[PERIODO Imp.],BV$9)</f>
        <v>0</v>
      </c>
      <c r="BW509" s="693">
        <f>SUMIFS(Imput[Importe Neto],Imput[C. Imp.],$D509,Imput[PERIODO Imp.],BW$9)</f>
        <v>0</v>
      </c>
      <c r="BX509" s="693">
        <f>SUMIFS(Imput[Importe Neto],Imput[C. Imp.],$D509,Imput[PERIODO Imp.],BX$9)</f>
        <v>0</v>
      </c>
      <c r="BY509" s="693">
        <f>SUMIFS(Imput[Importe Neto],Imput[C. Imp.],$D509,Imput[PERIODO Imp.],BY$9)</f>
        <v>0</v>
      </c>
      <c r="BZ509" s="693">
        <f>SUMIFS(Imput[Importe Neto],Imput[C. Imp.],$D509,Imput[PERIODO Imp.],BZ$9)</f>
        <v>0</v>
      </c>
      <c r="CA509" s="693">
        <f>SUMIFS(Imput[Importe Neto],Imput[C. Imp.],$D509,Imput[PERIODO Imp.],CA$9)</f>
        <v>0</v>
      </c>
      <c r="CB509" s="693">
        <f>SUMIFS(Imput[Importe Neto],Imput[C. Imp.],$D509,Imput[PERIODO Imp.],CB$9)</f>
        <v>0</v>
      </c>
      <c r="CC509" s="693">
        <f>SUMIFS(Imput[Importe Neto],Imput[C. Imp.],$D509,Imput[PERIODO Imp.],CC$9)</f>
        <v>0</v>
      </c>
      <c r="CD509" s="693">
        <f>SUMIFS(Imput[Importe Neto],Imput[C. Imp.],$D509,Imput[PERIODO Imp.],CD$9)</f>
        <v>0</v>
      </c>
      <c r="CE509" s="693">
        <f>SUMIFS(Imput[Importe Neto],Imput[C. Imp.],$D509,Imput[PERIODO Imp.],CE$9)</f>
        <v>0</v>
      </c>
      <c r="CF509" s="693">
        <f>SUMIFS(Imput[Importe Neto],Imput[C. Imp.],$D509,Imput[PERIODO Imp.],CF$9)</f>
        <v>0</v>
      </c>
      <c r="CG509" s="693">
        <f>SUMIFS(Imput[Importe Neto],Imput[C. Imp.],$D509,Imput[PERIODO Imp.],CG$9)</f>
        <v>0</v>
      </c>
      <c r="CH509" s="693">
        <f>SUMIFS(Imput[Importe Neto],Imput[C. Imp.],$D509,Imput[PERIODO Imp.],CH$9)</f>
        <v>0</v>
      </c>
      <c r="CI509" s="693">
        <f>SUMIFS(Imput[Importe Neto],Imput[C. Imp.],$D509,Imput[PERIODO Imp.],CI$9)</f>
        <v>0</v>
      </c>
      <c r="CJ509" s="693">
        <f>SUMIFS(Imput[Importe Neto],Imput[C. Imp.],$D509,Imput[PERIODO Imp.],CJ$9)</f>
        <v>0</v>
      </c>
      <c r="CK509" s="693">
        <f>SUMIFS(Imput[Importe Neto],Imput[C. Imp.],$D509,Imput[PERIODO Imp.],CK$9)</f>
        <v>0</v>
      </c>
      <c r="CL509" s="693">
        <f>SUMIFS(Imput[Importe Neto],Imput[C. Imp.],$D509,Imput[PERIODO Imp.],CL$9)</f>
        <v>0</v>
      </c>
      <c r="CM509" s="693">
        <f>SUMIFS(Imput[Importe Neto],Imput[C. Imp.],$D509,Imput[PERIODO Imp.],CM$9)</f>
        <v>0</v>
      </c>
      <c r="CN509" s="693">
        <f>SUMIFS(Imput[Importe Neto],Imput[C. Imp.],$D509,Imput[PERIODO Imp.],CN$9)</f>
        <v>0</v>
      </c>
      <c r="CO509" s="693">
        <f>SUMIFS(Imput[Importe Neto],Imput[C. Imp.],$D509,Imput[PERIODO Imp.],CO$9)</f>
        <v>0</v>
      </c>
      <c r="CP509" s="693">
        <f>SUMIFS(Imput[Importe Neto],Imput[C. Imp.],$D509,Imput[PERIODO Imp.],CP$9)</f>
        <v>0</v>
      </c>
      <c r="CQ509" s="693">
        <f>SUMIFS(Imput[Importe Neto],Imput[C. Imp.],$D509,Imput[PERIODO Imp.],CQ$9)</f>
        <v>0</v>
      </c>
      <c r="CR509" s="693">
        <f>SUMIFS(Imput[Importe Neto],Imput[C. Imp.],$D509,Imput[PERIODO Imp.],CR$9)</f>
        <v>0</v>
      </c>
      <c r="CS509" s="693">
        <f>SUMIFS(Imput[Importe Neto],Imput[C. Imp.],$D509,Imput[PERIODO Imp.],CS$9)</f>
        <v>0</v>
      </c>
      <c r="CT509" s="693">
        <f>SUMIFS(Imput[Importe Neto],Imput[C. Imp.],$D509,Imput[PERIODO Imp.],CT$9)</f>
        <v>0</v>
      </c>
      <c r="CU509" s="693">
        <f>SUMIFS(Imput[Importe Neto],Imput[C. Imp.],$D509,Imput[PERIODO Imp.],CU$9)</f>
        <v>0</v>
      </c>
      <c r="CV509" s="693">
        <f>SUMIFS(Imput[Importe Neto],Imput[C. Imp.],$D509,Imput[PERIODO Imp.],CV$9)</f>
        <v>0</v>
      </c>
      <c r="CW509" s="693">
        <f>SUMIFS(Imput[Importe Neto],Imput[C. Imp.],$D509,Imput[PERIODO Imp.],CW$9)</f>
        <v>0</v>
      </c>
      <c r="CX509" s="693">
        <f>SUMIFS(Imput[Importe Neto],Imput[C. Imp.],$D509,Imput[PERIODO Imp.],CX$9)</f>
        <v>0</v>
      </c>
      <c r="CY509" s="693">
        <f>SUMIFS(Imput[Importe Neto],Imput[C. Imp.],$D509,Imput[PERIODO Imp.],CY$9)</f>
        <v>0</v>
      </c>
      <c r="CZ509" s="693">
        <f>SUMIFS(Imput[Importe Neto],Imput[C. Imp.],$D509,Imput[PERIODO Imp.],CZ$9)</f>
        <v>0</v>
      </c>
      <c r="DA509" s="693">
        <f>SUMIFS(Imput[Importe Neto],Imput[C. Imp.],$D509,Imput[PERIODO Imp.],DA$9)</f>
        <v>0</v>
      </c>
      <c r="DB509" s="693">
        <f>SUMIFS(Imput[Importe Neto],Imput[C. Imp.],$D509,Imput[PERIODO Imp.],DB$9)</f>
        <v>0</v>
      </c>
      <c r="DC509" s="693">
        <f>SUMIFS(Imput[Importe Neto],Imput[C. Imp.],$D509,Imput[PERIODO Imp.],DC$9)</f>
        <v>0</v>
      </c>
      <c r="DD509" s="693">
        <f>SUMIFS(Imput[Importe Neto],Imput[C. Imp.],$D509,Imput[PERIODO Imp.],DD$9)</f>
        <v>0</v>
      </c>
      <c r="DE509" s="693">
        <f>SUMIFS(Imput[Importe Neto],Imput[C. Imp.],$D509,Imput[PERIODO Imp.],DE$9)</f>
        <v>0</v>
      </c>
      <c r="DF509" s="693">
        <f>SUMIFS(Imput[Importe Neto],Imput[C. Imp.],$D509,Imput[PERIODO Imp.],DF$9)</f>
        <v>0</v>
      </c>
      <c r="DG509" s="693">
        <f>SUMIFS(Imput[Importe Neto],Imput[C. Imp.],$D509,Imput[PERIODO Imp.],DG$9)</f>
        <v>0</v>
      </c>
      <c r="DH509" s="694">
        <f>SUMIFS(Imput[Importe Neto],Imput[C. Imp.],$D509,Imput[PERIODO Imp.],DH$9)</f>
        <v>0</v>
      </c>
    </row>
    <row r="510" spans="1:112" s="649" customFormat="1" hidden="1" outlineLevel="1" x14ac:dyDescent="0.3">
      <c r="A510" s="652" t="str">
        <f t="shared" si="205"/>
        <v/>
      </c>
      <c r="B510" s="652"/>
      <c r="C510" s="685"/>
      <c r="D510" s="686" t="s">
        <v>2536</v>
      </c>
      <c r="E510" s="686"/>
      <c r="F510" s="720"/>
      <c r="G510" s="688"/>
      <c r="H510" s="689"/>
      <c r="I510" s="851" t="str">
        <f t="shared" si="206"/>
        <v/>
      </c>
      <c r="J510" s="850" t="str">
        <f t="shared" si="207"/>
        <v/>
      </c>
      <c r="K510" s="678"/>
      <c r="L510" s="858"/>
      <c r="M510" s="859"/>
      <c r="N510" s="859"/>
      <c r="O510" s="859"/>
      <c r="P510" s="859"/>
      <c r="Q510" s="859"/>
      <c r="R510" s="859"/>
      <c r="S510" s="859"/>
      <c r="T510" s="859"/>
      <c r="U510" s="859"/>
      <c r="V510" s="859"/>
      <c r="W510" s="859"/>
      <c r="X510" s="859"/>
      <c r="Y510" s="859"/>
      <c r="Z510" s="860"/>
      <c r="AA510" s="860"/>
      <c r="AB510" s="860"/>
      <c r="AC510" s="860"/>
      <c r="AD510" s="860"/>
      <c r="AE510" s="860"/>
      <c r="AF510" s="860"/>
      <c r="AG510" s="860"/>
      <c r="AH510" s="860"/>
      <c r="AI510" s="860"/>
      <c r="AJ510" s="860"/>
      <c r="AK510" s="860"/>
      <c r="AL510" s="860"/>
      <c r="AM510" s="860"/>
      <c r="AN510" s="860"/>
      <c r="AO510" s="860"/>
      <c r="AP510" s="860"/>
      <c r="AQ510" s="860"/>
      <c r="AR510" s="860"/>
      <c r="AS510" s="860"/>
      <c r="AT510" s="860"/>
      <c r="AU510" s="860"/>
      <c r="AV510" s="860"/>
      <c r="AW510" s="860"/>
      <c r="AX510" s="860"/>
      <c r="AY510" s="860"/>
      <c r="AZ510" s="860"/>
      <c r="BA510" s="860"/>
      <c r="BB510" s="860"/>
      <c r="BC510" s="860"/>
      <c r="BD510" s="860"/>
      <c r="BE510" s="860"/>
      <c r="BF510" s="860"/>
      <c r="BG510" s="860"/>
      <c r="BH510" s="668"/>
      <c r="BI510" s="654"/>
      <c r="BJ510" s="690">
        <f t="shared" si="208"/>
        <v>0</v>
      </c>
      <c r="BK510" s="691">
        <f t="shared" si="209"/>
        <v>0</v>
      </c>
      <c r="BL510" s="654"/>
      <c r="BM510" s="692">
        <f>SUMIFS(Imput[Importe Neto],Imput[C. Imp.],$D510,Imput[PERIODO Imp.],BM$9)</f>
        <v>0</v>
      </c>
      <c r="BN510" s="693">
        <f>SUMIFS(Imput[Importe Neto],Imput[C. Imp.],$D510,Imput[PERIODO Imp.],BN$9)</f>
        <v>0</v>
      </c>
      <c r="BO510" s="693">
        <f>SUMIFS(Imput[Importe Neto],Imput[C. Imp.],$D510,Imput[PERIODO Imp.],BO$9)</f>
        <v>0</v>
      </c>
      <c r="BP510" s="693">
        <f>SUMIFS(Imput[Importe Neto],Imput[C. Imp.],$D510,Imput[PERIODO Imp.],BP$9)</f>
        <v>0</v>
      </c>
      <c r="BQ510" s="693">
        <f>SUMIFS(Imput[Importe Neto],Imput[C. Imp.],$D510,Imput[PERIODO Imp.],BQ$9)</f>
        <v>0</v>
      </c>
      <c r="BR510" s="693">
        <f>SUMIFS(Imput[Importe Neto],Imput[C. Imp.],$D510,Imput[PERIODO Imp.],BR$9)</f>
        <v>0</v>
      </c>
      <c r="BS510" s="693">
        <f>SUMIFS(Imput[Importe Neto],Imput[C. Imp.],$D510,Imput[PERIODO Imp.],BS$9)</f>
        <v>0</v>
      </c>
      <c r="BT510" s="693">
        <f>SUMIFS(Imput[Importe Neto],Imput[C. Imp.],$D510,Imput[PERIODO Imp.],BT$9)</f>
        <v>0</v>
      </c>
      <c r="BU510" s="693">
        <f>SUMIFS(Imput[Importe Neto],Imput[C. Imp.],$D510,Imput[PERIODO Imp.],BU$9)</f>
        <v>0</v>
      </c>
      <c r="BV510" s="693">
        <f>SUMIFS(Imput[Importe Neto],Imput[C. Imp.],$D510,Imput[PERIODO Imp.],BV$9)</f>
        <v>0</v>
      </c>
      <c r="BW510" s="693">
        <f>SUMIFS(Imput[Importe Neto],Imput[C. Imp.],$D510,Imput[PERIODO Imp.],BW$9)</f>
        <v>0</v>
      </c>
      <c r="BX510" s="693">
        <f>SUMIFS(Imput[Importe Neto],Imput[C. Imp.],$D510,Imput[PERIODO Imp.],BX$9)</f>
        <v>0</v>
      </c>
      <c r="BY510" s="693">
        <f>SUMIFS(Imput[Importe Neto],Imput[C. Imp.],$D510,Imput[PERIODO Imp.],BY$9)</f>
        <v>0</v>
      </c>
      <c r="BZ510" s="693">
        <f>SUMIFS(Imput[Importe Neto],Imput[C. Imp.],$D510,Imput[PERIODO Imp.],BZ$9)</f>
        <v>0</v>
      </c>
      <c r="CA510" s="693">
        <f>SUMIFS(Imput[Importe Neto],Imput[C. Imp.],$D510,Imput[PERIODO Imp.],CA$9)</f>
        <v>0</v>
      </c>
      <c r="CB510" s="693">
        <f>SUMIFS(Imput[Importe Neto],Imput[C. Imp.],$D510,Imput[PERIODO Imp.],CB$9)</f>
        <v>0</v>
      </c>
      <c r="CC510" s="693">
        <f>SUMIFS(Imput[Importe Neto],Imput[C. Imp.],$D510,Imput[PERIODO Imp.],CC$9)</f>
        <v>0</v>
      </c>
      <c r="CD510" s="693">
        <f>SUMIFS(Imput[Importe Neto],Imput[C. Imp.],$D510,Imput[PERIODO Imp.],CD$9)</f>
        <v>0</v>
      </c>
      <c r="CE510" s="693">
        <f>SUMIFS(Imput[Importe Neto],Imput[C. Imp.],$D510,Imput[PERIODO Imp.],CE$9)</f>
        <v>0</v>
      </c>
      <c r="CF510" s="693">
        <f>SUMIFS(Imput[Importe Neto],Imput[C. Imp.],$D510,Imput[PERIODO Imp.],CF$9)</f>
        <v>0</v>
      </c>
      <c r="CG510" s="693">
        <f>SUMIFS(Imput[Importe Neto],Imput[C. Imp.],$D510,Imput[PERIODO Imp.],CG$9)</f>
        <v>0</v>
      </c>
      <c r="CH510" s="693">
        <f>SUMIFS(Imput[Importe Neto],Imput[C. Imp.],$D510,Imput[PERIODO Imp.],CH$9)</f>
        <v>0</v>
      </c>
      <c r="CI510" s="693">
        <f>SUMIFS(Imput[Importe Neto],Imput[C. Imp.],$D510,Imput[PERIODO Imp.],CI$9)</f>
        <v>0</v>
      </c>
      <c r="CJ510" s="693">
        <f>SUMIFS(Imput[Importe Neto],Imput[C. Imp.],$D510,Imput[PERIODO Imp.],CJ$9)</f>
        <v>0</v>
      </c>
      <c r="CK510" s="693">
        <f>SUMIFS(Imput[Importe Neto],Imput[C. Imp.],$D510,Imput[PERIODO Imp.],CK$9)</f>
        <v>0</v>
      </c>
      <c r="CL510" s="693">
        <f>SUMIFS(Imput[Importe Neto],Imput[C. Imp.],$D510,Imput[PERIODO Imp.],CL$9)</f>
        <v>0</v>
      </c>
      <c r="CM510" s="693">
        <f>SUMIFS(Imput[Importe Neto],Imput[C. Imp.],$D510,Imput[PERIODO Imp.],CM$9)</f>
        <v>0</v>
      </c>
      <c r="CN510" s="693">
        <f>SUMIFS(Imput[Importe Neto],Imput[C. Imp.],$D510,Imput[PERIODO Imp.],CN$9)</f>
        <v>0</v>
      </c>
      <c r="CO510" s="693">
        <f>SUMIFS(Imput[Importe Neto],Imput[C. Imp.],$D510,Imput[PERIODO Imp.],CO$9)</f>
        <v>0</v>
      </c>
      <c r="CP510" s="693">
        <f>SUMIFS(Imput[Importe Neto],Imput[C. Imp.],$D510,Imput[PERIODO Imp.],CP$9)</f>
        <v>0</v>
      </c>
      <c r="CQ510" s="693">
        <f>SUMIFS(Imput[Importe Neto],Imput[C. Imp.],$D510,Imput[PERIODO Imp.],CQ$9)</f>
        <v>0</v>
      </c>
      <c r="CR510" s="693">
        <f>SUMIFS(Imput[Importe Neto],Imput[C. Imp.],$D510,Imput[PERIODO Imp.],CR$9)</f>
        <v>0</v>
      </c>
      <c r="CS510" s="693">
        <f>SUMIFS(Imput[Importe Neto],Imput[C. Imp.],$D510,Imput[PERIODO Imp.],CS$9)</f>
        <v>0</v>
      </c>
      <c r="CT510" s="693">
        <f>SUMIFS(Imput[Importe Neto],Imput[C. Imp.],$D510,Imput[PERIODO Imp.],CT$9)</f>
        <v>0</v>
      </c>
      <c r="CU510" s="693">
        <f>SUMIFS(Imput[Importe Neto],Imput[C. Imp.],$D510,Imput[PERIODO Imp.],CU$9)</f>
        <v>0</v>
      </c>
      <c r="CV510" s="693">
        <f>SUMIFS(Imput[Importe Neto],Imput[C. Imp.],$D510,Imput[PERIODO Imp.],CV$9)</f>
        <v>0</v>
      </c>
      <c r="CW510" s="693">
        <f>SUMIFS(Imput[Importe Neto],Imput[C. Imp.],$D510,Imput[PERIODO Imp.],CW$9)</f>
        <v>0</v>
      </c>
      <c r="CX510" s="693">
        <f>SUMIFS(Imput[Importe Neto],Imput[C. Imp.],$D510,Imput[PERIODO Imp.],CX$9)</f>
        <v>0</v>
      </c>
      <c r="CY510" s="693">
        <f>SUMIFS(Imput[Importe Neto],Imput[C. Imp.],$D510,Imput[PERIODO Imp.],CY$9)</f>
        <v>0</v>
      </c>
      <c r="CZ510" s="693">
        <f>SUMIFS(Imput[Importe Neto],Imput[C. Imp.],$D510,Imput[PERIODO Imp.],CZ$9)</f>
        <v>0</v>
      </c>
      <c r="DA510" s="693">
        <f>SUMIFS(Imput[Importe Neto],Imput[C. Imp.],$D510,Imput[PERIODO Imp.],DA$9)</f>
        <v>0</v>
      </c>
      <c r="DB510" s="693">
        <f>SUMIFS(Imput[Importe Neto],Imput[C. Imp.],$D510,Imput[PERIODO Imp.],DB$9)</f>
        <v>0</v>
      </c>
      <c r="DC510" s="693">
        <f>SUMIFS(Imput[Importe Neto],Imput[C. Imp.],$D510,Imput[PERIODO Imp.],DC$9)</f>
        <v>0</v>
      </c>
      <c r="DD510" s="693">
        <f>SUMIFS(Imput[Importe Neto],Imput[C. Imp.],$D510,Imput[PERIODO Imp.],DD$9)</f>
        <v>0</v>
      </c>
      <c r="DE510" s="693">
        <f>SUMIFS(Imput[Importe Neto],Imput[C. Imp.],$D510,Imput[PERIODO Imp.],DE$9)</f>
        <v>0</v>
      </c>
      <c r="DF510" s="693">
        <f>SUMIFS(Imput[Importe Neto],Imput[C. Imp.],$D510,Imput[PERIODO Imp.],DF$9)</f>
        <v>0</v>
      </c>
      <c r="DG510" s="693">
        <f>SUMIFS(Imput[Importe Neto],Imput[C. Imp.],$D510,Imput[PERIODO Imp.],DG$9)</f>
        <v>0</v>
      </c>
      <c r="DH510" s="694">
        <f>SUMIFS(Imput[Importe Neto],Imput[C. Imp.],$D510,Imput[PERIODO Imp.],DH$9)</f>
        <v>0</v>
      </c>
    </row>
    <row r="511" spans="1:112" s="649" customFormat="1" hidden="1" outlineLevel="1" x14ac:dyDescent="0.3">
      <c r="A511" s="652" t="str">
        <f t="shared" si="205"/>
        <v/>
      </c>
      <c r="B511" s="652"/>
      <c r="C511" s="685"/>
      <c r="D511" s="686" t="s">
        <v>2537</v>
      </c>
      <c r="E511" s="686"/>
      <c r="F511" s="720"/>
      <c r="G511" s="688"/>
      <c r="H511" s="689"/>
      <c r="I511" s="851" t="str">
        <f t="shared" si="206"/>
        <v/>
      </c>
      <c r="J511" s="850" t="str">
        <f t="shared" si="207"/>
        <v/>
      </c>
      <c r="K511" s="667"/>
      <c r="L511" s="858"/>
      <c r="M511" s="859"/>
      <c r="N511" s="859"/>
      <c r="O511" s="859"/>
      <c r="P511" s="859"/>
      <c r="Q511" s="859"/>
      <c r="R511" s="859"/>
      <c r="S511" s="859"/>
      <c r="T511" s="859"/>
      <c r="U511" s="859"/>
      <c r="V511" s="859"/>
      <c r="W511" s="859"/>
      <c r="X511" s="859"/>
      <c r="Y511" s="859"/>
      <c r="Z511" s="860"/>
      <c r="AA511" s="860"/>
      <c r="AB511" s="860"/>
      <c r="AC511" s="860"/>
      <c r="AD511" s="860"/>
      <c r="AE511" s="860"/>
      <c r="AF511" s="860"/>
      <c r="AG511" s="860"/>
      <c r="AH511" s="860"/>
      <c r="AI511" s="860"/>
      <c r="AJ511" s="860"/>
      <c r="AK511" s="860"/>
      <c r="AL511" s="860"/>
      <c r="AM511" s="860"/>
      <c r="AN511" s="860"/>
      <c r="AO511" s="860"/>
      <c r="AP511" s="860"/>
      <c r="AQ511" s="860"/>
      <c r="AR511" s="860"/>
      <c r="AS511" s="860"/>
      <c r="AT511" s="860"/>
      <c r="AU511" s="860"/>
      <c r="AV511" s="860"/>
      <c r="AW511" s="860"/>
      <c r="AX511" s="860"/>
      <c r="AY511" s="860"/>
      <c r="AZ511" s="860"/>
      <c r="BA511" s="860"/>
      <c r="BB511" s="860"/>
      <c r="BC511" s="860"/>
      <c r="BD511" s="860"/>
      <c r="BE511" s="860"/>
      <c r="BF511" s="860"/>
      <c r="BG511" s="860"/>
      <c r="BH511" s="668"/>
      <c r="BI511" s="667"/>
      <c r="BJ511" s="690">
        <f t="shared" si="208"/>
        <v>0</v>
      </c>
      <c r="BK511" s="691">
        <f t="shared" si="209"/>
        <v>0</v>
      </c>
      <c r="BL511" s="654"/>
      <c r="BM511" s="692">
        <f>SUMIFS(Imput[Importe Neto],Imput[C. Imp.],$D511,Imput[PERIODO Imp.],BM$9)</f>
        <v>0</v>
      </c>
      <c r="BN511" s="693">
        <f>SUMIFS(Imput[Importe Neto],Imput[C. Imp.],$D511,Imput[PERIODO Imp.],BN$9)</f>
        <v>0</v>
      </c>
      <c r="BO511" s="693">
        <f>SUMIFS(Imput[Importe Neto],Imput[C. Imp.],$D511,Imput[PERIODO Imp.],BO$9)</f>
        <v>0</v>
      </c>
      <c r="BP511" s="693">
        <f>SUMIFS(Imput[Importe Neto],Imput[C. Imp.],$D511,Imput[PERIODO Imp.],BP$9)</f>
        <v>0</v>
      </c>
      <c r="BQ511" s="693">
        <f>SUMIFS(Imput[Importe Neto],Imput[C. Imp.],$D511,Imput[PERIODO Imp.],BQ$9)</f>
        <v>0</v>
      </c>
      <c r="BR511" s="693">
        <f>SUMIFS(Imput[Importe Neto],Imput[C. Imp.],$D511,Imput[PERIODO Imp.],BR$9)</f>
        <v>0</v>
      </c>
      <c r="BS511" s="693">
        <f>SUMIFS(Imput[Importe Neto],Imput[C. Imp.],$D511,Imput[PERIODO Imp.],BS$9)</f>
        <v>0</v>
      </c>
      <c r="BT511" s="693">
        <f>SUMIFS(Imput[Importe Neto],Imput[C. Imp.],$D511,Imput[PERIODO Imp.],BT$9)</f>
        <v>0</v>
      </c>
      <c r="BU511" s="693">
        <f>SUMIFS(Imput[Importe Neto],Imput[C. Imp.],$D511,Imput[PERIODO Imp.],BU$9)</f>
        <v>0</v>
      </c>
      <c r="BV511" s="693">
        <f>SUMIFS(Imput[Importe Neto],Imput[C. Imp.],$D511,Imput[PERIODO Imp.],BV$9)</f>
        <v>0</v>
      </c>
      <c r="BW511" s="693">
        <f>SUMIFS(Imput[Importe Neto],Imput[C. Imp.],$D511,Imput[PERIODO Imp.],BW$9)</f>
        <v>0</v>
      </c>
      <c r="BX511" s="693">
        <f>SUMIFS(Imput[Importe Neto],Imput[C. Imp.],$D511,Imput[PERIODO Imp.],BX$9)</f>
        <v>0</v>
      </c>
      <c r="BY511" s="693">
        <f>SUMIFS(Imput[Importe Neto],Imput[C. Imp.],$D511,Imput[PERIODO Imp.],BY$9)</f>
        <v>0</v>
      </c>
      <c r="BZ511" s="693">
        <f>SUMIFS(Imput[Importe Neto],Imput[C. Imp.],$D511,Imput[PERIODO Imp.],BZ$9)</f>
        <v>0</v>
      </c>
      <c r="CA511" s="693">
        <f>SUMIFS(Imput[Importe Neto],Imput[C. Imp.],$D511,Imput[PERIODO Imp.],CA$9)</f>
        <v>0</v>
      </c>
      <c r="CB511" s="693">
        <f>SUMIFS(Imput[Importe Neto],Imput[C. Imp.],$D511,Imput[PERIODO Imp.],CB$9)</f>
        <v>0</v>
      </c>
      <c r="CC511" s="693">
        <f>SUMIFS(Imput[Importe Neto],Imput[C. Imp.],$D511,Imput[PERIODO Imp.],CC$9)</f>
        <v>0</v>
      </c>
      <c r="CD511" s="693">
        <f>SUMIFS(Imput[Importe Neto],Imput[C. Imp.],$D511,Imput[PERIODO Imp.],CD$9)</f>
        <v>0</v>
      </c>
      <c r="CE511" s="693">
        <f>SUMIFS(Imput[Importe Neto],Imput[C. Imp.],$D511,Imput[PERIODO Imp.],CE$9)</f>
        <v>0</v>
      </c>
      <c r="CF511" s="693">
        <f>SUMIFS(Imput[Importe Neto],Imput[C. Imp.],$D511,Imput[PERIODO Imp.],CF$9)</f>
        <v>0</v>
      </c>
      <c r="CG511" s="693">
        <f>SUMIFS(Imput[Importe Neto],Imput[C. Imp.],$D511,Imput[PERIODO Imp.],CG$9)</f>
        <v>0</v>
      </c>
      <c r="CH511" s="693">
        <f>SUMIFS(Imput[Importe Neto],Imput[C. Imp.],$D511,Imput[PERIODO Imp.],CH$9)</f>
        <v>0</v>
      </c>
      <c r="CI511" s="693">
        <f>SUMIFS(Imput[Importe Neto],Imput[C. Imp.],$D511,Imput[PERIODO Imp.],CI$9)</f>
        <v>0</v>
      </c>
      <c r="CJ511" s="693">
        <f>SUMIFS(Imput[Importe Neto],Imput[C. Imp.],$D511,Imput[PERIODO Imp.],CJ$9)</f>
        <v>0</v>
      </c>
      <c r="CK511" s="693">
        <f>SUMIFS(Imput[Importe Neto],Imput[C. Imp.],$D511,Imput[PERIODO Imp.],CK$9)</f>
        <v>0</v>
      </c>
      <c r="CL511" s="693">
        <f>SUMIFS(Imput[Importe Neto],Imput[C. Imp.],$D511,Imput[PERIODO Imp.],CL$9)</f>
        <v>0</v>
      </c>
      <c r="CM511" s="693">
        <f>SUMIFS(Imput[Importe Neto],Imput[C. Imp.],$D511,Imput[PERIODO Imp.],CM$9)</f>
        <v>0</v>
      </c>
      <c r="CN511" s="693">
        <f>SUMIFS(Imput[Importe Neto],Imput[C. Imp.],$D511,Imput[PERIODO Imp.],CN$9)</f>
        <v>0</v>
      </c>
      <c r="CO511" s="693">
        <f>SUMIFS(Imput[Importe Neto],Imput[C. Imp.],$D511,Imput[PERIODO Imp.],CO$9)</f>
        <v>0</v>
      </c>
      <c r="CP511" s="693">
        <f>SUMIFS(Imput[Importe Neto],Imput[C. Imp.],$D511,Imput[PERIODO Imp.],CP$9)</f>
        <v>0</v>
      </c>
      <c r="CQ511" s="693">
        <f>SUMIFS(Imput[Importe Neto],Imput[C. Imp.],$D511,Imput[PERIODO Imp.],CQ$9)</f>
        <v>0</v>
      </c>
      <c r="CR511" s="693">
        <f>SUMIFS(Imput[Importe Neto],Imput[C. Imp.],$D511,Imput[PERIODO Imp.],CR$9)</f>
        <v>0</v>
      </c>
      <c r="CS511" s="693">
        <f>SUMIFS(Imput[Importe Neto],Imput[C. Imp.],$D511,Imput[PERIODO Imp.],CS$9)</f>
        <v>0</v>
      </c>
      <c r="CT511" s="693">
        <f>SUMIFS(Imput[Importe Neto],Imput[C. Imp.],$D511,Imput[PERIODO Imp.],CT$9)</f>
        <v>0</v>
      </c>
      <c r="CU511" s="693">
        <f>SUMIFS(Imput[Importe Neto],Imput[C. Imp.],$D511,Imput[PERIODO Imp.],CU$9)</f>
        <v>0</v>
      </c>
      <c r="CV511" s="693">
        <f>SUMIFS(Imput[Importe Neto],Imput[C. Imp.],$D511,Imput[PERIODO Imp.],CV$9)</f>
        <v>0</v>
      </c>
      <c r="CW511" s="693">
        <f>SUMIFS(Imput[Importe Neto],Imput[C. Imp.],$D511,Imput[PERIODO Imp.],CW$9)</f>
        <v>0</v>
      </c>
      <c r="CX511" s="693">
        <f>SUMIFS(Imput[Importe Neto],Imput[C. Imp.],$D511,Imput[PERIODO Imp.],CX$9)</f>
        <v>0</v>
      </c>
      <c r="CY511" s="693">
        <f>SUMIFS(Imput[Importe Neto],Imput[C. Imp.],$D511,Imput[PERIODO Imp.],CY$9)</f>
        <v>0</v>
      </c>
      <c r="CZ511" s="693">
        <f>SUMIFS(Imput[Importe Neto],Imput[C. Imp.],$D511,Imput[PERIODO Imp.],CZ$9)</f>
        <v>0</v>
      </c>
      <c r="DA511" s="693">
        <f>SUMIFS(Imput[Importe Neto],Imput[C. Imp.],$D511,Imput[PERIODO Imp.],DA$9)</f>
        <v>0</v>
      </c>
      <c r="DB511" s="693">
        <f>SUMIFS(Imput[Importe Neto],Imput[C. Imp.],$D511,Imput[PERIODO Imp.],DB$9)</f>
        <v>0</v>
      </c>
      <c r="DC511" s="693">
        <f>SUMIFS(Imput[Importe Neto],Imput[C. Imp.],$D511,Imput[PERIODO Imp.],DC$9)</f>
        <v>0</v>
      </c>
      <c r="DD511" s="693">
        <f>SUMIFS(Imput[Importe Neto],Imput[C. Imp.],$D511,Imput[PERIODO Imp.],DD$9)</f>
        <v>0</v>
      </c>
      <c r="DE511" s="693">
        <f>SUMIFS(Imput[Importe Neto],Imput[C. Imp.],$D511,Imput[PERIODO Imp.],DE$9)</f>
        <v>0</v>
      </c>
      <c r="DF511" s="693">
        <f>SUMIFS(Imput[Importe Neto],Imput[C. Imp.],$D511,Imput[PERIODO Imp.],DF$9)</f>
        <v>0</v>
      </c>
      <c r="DG511" s="693">
        <f>SUMIFS(Imput[Importe Neto],Imput[C. Imp.],$D511,Imput[PERIODO Imp.],DG$9)</f>
        <v>0</v>
      </c>
      <c r="DH511" s="694">
        <f>SUMIFS(Imput[Importe Neto],Imput[C. Imp.],$D511,Imput[PERIODO Imp.],DH$9)</f>
        <v>0</v>
      </c>
    </row>
    <row r="512" spans="1:112" s="649" customFormat="1" hidden="1" outlineLevel="1" x14ac:dyDescent="0.3">
      <c r="A512" s="652" t="str">
        <f t="shared" si="205"/>
        <v/>
      </c>
      <c r="B512" s="652"/>
      <c r="C512" s="685"/>
      <c r="D512" s="686" t="s">
        <v>2538</v>
      </c>
      <c r="E512" s="686"/>
      <c r="F512" s="720"/>
      <c r="G512" s="688"/>
      <c r="H512" s="689"/>
      <c r="I512" s="851" t="str">
        <f t="shared" si="206"/>
        <v/>
      </c>
      <c r="J512" s="850" t="str">
        <f t="shared" si="207"/>
        <v/>
      </c>
      <c r="K512" s="667"/>
      <c r="L512" s="858"/>
      <c r="M512" s="859"/>
      <c r="N512" s="859"/>
      <c r="O512" s="859"/>
      <c r="P512" s="859"/>
      <c r="Q512" s="859"/>
      <c r="R512" s="859"/>
      <c r="S512" s="859"/>
      <c r="T512" s="859"/>
      <c r="U512" s="859"/>
      <c r="V512" s="859"/>
      <c r="W512" s="859"/>
      <c r="X512" s="859"/>
      <c r="Y512" s="859"/>
      <c r="Z512" s="860"/>
      <c r="AA512" s="860"/>
      <c r="AB512" s="860"/>
      <c r="AC512" s="860"/>
      <c r="AD512" s="860"/>
      <c r="AE512" s="860"/>
      <c r="AF512" s="860"/>
      <c r="AG512" s="860"/>
      <c r="AH512" s="860"/>
      <c r="AI512" s="860"/>
      <c r="AJ512" s="860"/>
      <c r="AK512" s="860"/>
      <c r="AL512" s="860"/>
      <c r="AM512" s="860"/>
      <c r="AN512" s="860"/>
      <c r="AO512" s="860"/>
      <c r="AP512" s="860"/>
      <c r="AQ512" s="860"/>
      <c r="AR512" s="860"/>
      <c r="AS512" s="860"/>
      <c r="AT512" s="860"/>
      <c r="AU512" s="860"/>
      <c r="AV512" s="860"/>
      <c r="AW512" s="860"/>
      <c r="AX512" s="860"/>
      <c r="AY512" s="860"/>
      <c r="AZ512" s="860"/>
      <c r="BA512" s="860"/>
      <c r="BB512" s="860"/>
      <c r="BC512" s="860"/>
      <c r="BD512" s="860"/>
      <c r="BE512" s="860"/>
      <c r="BF512" s="860"/>
      <c r="BG512" s="860"/>
      <c r="BH512" s="668"/>
      <c r="BI512" s="667"/>
      <c r="BJ512" s="690">
        <f t="shared" si="208"/>
        <v>0</v>
      </c>
      <c r="BK512" s="691">
        <f t="shared" si="209"/>
        <v>0</v>
      </c>
      <c r="BL512" s="654"/>
      <c r="BM512" s="692">
        <f>SUMIFS(Imput[Importe Neto],Imput[C. Imp.],$D512,Imput[PERIODO Imp.],BM$9)</f>
        <v>0</v>
      </c>
      <c r="BN512" s="693">
        <f>SUMIFS(Imput[Importe Neto],Imput[C. Imp.],$D512,Imput[PERIODO Imp.],BN$9)</f>
        <v>0</v>
      </c>
      <c r="BO512" s="693">
        <f>SUMIFS(Imput[Importe Neto],Imput[C. Imp.],$D512,Imput[PERIODO Imp.],BO$9)</f>
        <v>0</v>
      </c>
      <c r="BP512" s="693">
        <f>SUMIFS(Imput[Importe Neto],Imput[C. Imp.],$D512,Imput[PERIODO Imp.],BP$9)</f>
        <v>0</v>
      </c>
      <c r="BQ512" s="693">
        <f>SUMIFS(Imput[Importe Neto],Imput[C. Imp.],$D512,Imput[PERIODO Imp.],BQ$9)</f>
        <v>0</v>
      </c>
      <c r="BR512" s="693">
        <f>SUMIFS(Imput[Importe Neto],Imput[C. Imp.],$D512,Imput[PERIODO Imp.],BR$9)</f>
        <v>0</v>
      </c>
      <c r="BS512" s="693">
        <f>SUMIFS(Imput[Importe Neto],Imput[C. Imp.],$D512,Imput[PERIODO Imp.],BS$9)</f>
        <v>0</v>
      </c>
      <c r="BT512" s="693">
        <f>SUMIFS(Imput[Importe Neto],Imput[C. Imp.],$D512,Imput[PERIODO Imp.],BT$9)</f>
        <v>0</v>
      </c>
      <c r="BU512" s="693">
        <f>SUMIFS(Imput[Importe Neto],Imput[C. Imp.],$D512,Imput[PERIODO Imp.],BU$9)</f>
        <v>0</v>
      </c>
      <c r="BV512" s="693">
        <f>SUMIFS(Imput[Importe Neto],Imput[C. Imp.],$D512,Imput[PERIODO Imp.],BV$9)</f>
        <v>0</v>
      </c>
      <c r="BW512" s="693">
        <f>SUMIFS(Imput[Importe Neto],Imput[C. Imp.],$D512,Imput[PERIODO Imp.],BW$9)</f>
        <v>0</v>
      </c>
      <c r="BX512" s="693">
        <f>SUMIFS(Imput[Importe Neto],Imput[C. Imp.],$D512,Imput[PERIODO Imp.],BX$9)</f>
        <v>0</v>
      </c>
      <c r="BY512" s="693">
        <f>SUMIFS(Imput[Importe Neto],Imput[C. Imp.],$D512,Imput[PERIODO Imp.],BY$9)</f>
        <v>0</v>
      </c>
      <c r="BZ512" s="693">
        <f>SUMIFS(Imput[Importe Neto],Imput[C. Imp.],$D512,Imput[PERIODO Imp.],BZ$9)</f>
        <v>0</v>
      </c>
      <c r="CA512" s="693">
        <f>SUMIFS(Imput[Importe Neto],Imput[C. Imp.],$D512,Imput[PERIODO Imp.],CA$9)</f>
        <v>0</v>
      </c>
      <c r="CB512" s="693">
        <f>SUMIFS(Imput[Importe Neto],Imput[C. Imp.],$D512,Imput[PERIODO Imp.],CB$9)</f>
        <v>0</v>
      </c>
      <c r="CC512" s="693">
        <f>SUMIFS(Imput[Importe Neto],Imput[C. Imp.],$D512,Imput[PERIODO Imp.],CC$9)</f>
        <v>0</v>
      </c>
      <c r="CD512" s="693">
        <f>SUMIFS(Imput[Importe Neto],Imput[C. Imp.],$D512,Imput[PERIODO Imp.],CD$9)</f>
        <v>0</v>
      </c>
      <c r="CE512" s="693">
        <f>SUMIFS(Imput[Importe Neto],Imput[C. Imp.],$D512,Imput[PERIODO Imp.],CE$9)</f>
        <v>0</v>
      </c>
      <c r="CF512" s="693">
        <f>SUMIFS(Imput[Importe Neto],Imput[C. Imp.],$D512,Imput[PERIODO Imp.],CF$9)</f>
        <v>0</v>
      </c>
      <c r="CG512" s="693">
        <f>SUMIFS(Imput[Importe Neto],Imput[C. Imp.],$D512,Imput[PERIODO Imp.],CG$9)</f>
        <v>0</v>
      </c>
      <c r="CH512" s="693">
        <f>SUMIFS(Imput[Importe Neto],Imput[C. Imp.],$D512,Imput[PERIODO Imp.],CH$9)</f>
        <v>0</v>
      </c>
      <c r="CI512" s="693">
        <f>SUMIFS(Imput[Importe Neto],Imput[C. Imp.],$D512,Imput[PERIODO Imp.],CI$9)</f>
        <v>0</v>
      </c>
      <c r="CJ512" s="693">
        <f>SUMIFS(Imput[Importe Neto],Imput[C. Imp.],$D512,Imput[PERIODO Imp.],CJ$9)</f>
        <v>0</v>
      </c>
      <c r="CK512" s="693">
        <f>SUMIFS(Imput[Importe Neto],Imput[C. Imp.],$D512,Imput[PERIODO Imp.],CK$9)</f>
        <v>0</v>
      </c>
      <c r="CL512" s="693">
        <f>SUMIFS(Imput[Importe Neto],Imput[C. Imp.],$D512,Imput[PERIODO Imp.],CL$9)</f>
        <v>0</v>
      </c>
      <c r="CM512" s="693">
        <f>SUMIFS(Imput[Importe Neto],Imput[C. Imp.],$D512,Imput[PERIODO Imp.],CM$9)</f>
        <v>0</v>
      </c>
      <c r="CN512" s="693">
        <f>SUMIFS(Imput[Importe Neto],Imput[C. Imp.],$D512,Imput[PERIODO Imp.],CN$9)</f>
        <v>0</v>
      </c>
      <c r="CO512" s="693">
        <f>SUMIFS(Imput[Importe Neto],Imput[C. Imp.],$D512,Imput[PERIODO Imp.],CO$9)</f>
        <v>0</v>
      </c>
      <c r="CP512" s="693">
        <f>SUMIFS(Imput[Importe Neto],Imput[C. Imp.],$D512,Imput[PERIODO Imp.],CP$9)</f>
        <v>0</v>
      </c>
      <c r="CQ512" s="693">
        <f>SUMIFS(Imput[Importe Neto],Imput[C. Imp.],$D512,Imput[PERIODO Imp.],CQ$9)</f>
        <v>0</v>
      </c>
      <c r="CR512" s="693">
        <f>SUMIFS(Imput[Importe Neto],Imput[C. Imp.],$D512,Imput[PERIODO Imp.],CR$9)</f>
        <v>0</v>
      </c>
      <c r="CS512" s="693">
        <f>SUMIFS(Imput[Importe Neto],Imput[C. Imp.],$D512,Imput[PERIODO Imp.],CS$9)</f>
        <v>0</v>
      </c>
      <c r="CT512" s="693">
        <f>SUMIFS(Imput[Importe Neto],Imput[C. Imp.],$D512,Imput[PERIODO Imp.],CT$9)</f>
        <v>0</v>
      </c>
      <c r="CU512" s="693">
        <f>SUMIFS(Imput[Importe Neto],Imput[C. Imp.],$D512,Imput[PERIODO Imp.],CU$9)</f>
        <v>0</v>
      </c>
      <c r="CV512" s="693">
        <f>SUMIFS(Imput[Importe Neto],Imput[C. Imp.],$D512,Imput[PERIODO Imp.],CV$9)</f>
        <v>0</v>
      </c>
      <c r="CW512" s="693">
        <f>SUMIFS(Imput[Importe Neto],Imput[C. Imp.],$D512,Imput[PERIODO Imp.],CW$9)</f>
        <v>0</v>
      </c>
      <c r="CX512" s="693">
        <f>SUMIFS(Imput[Importe Neto],Imput[C. Imp.],$D512,Imput[PERIODO Imp.],CX$9)</f>
        <v>0</v>
      </c>
      <c r="CY512" s="693">
        <f>SUMIFS(Imput[Importe Neto],Imput[C. Imp.],$D512,Imput[PERIODO Imp.],CY$9)</f>
        <v>0</v>
      </c>
      <c r="CZ512" s="693">
        <f>SUMIFS(Imput[Importe Neto],Imput[C. Imp.],$D512,Imput[PERIODO Imp.],CZ$9)</f>
        <v>0</v>
      </c>
      <c r="DA512" s="693">
        <f>SUMIFS(Imput[Importe Neto],Imput[C. Imp.],$D512,Imput[PERIODO Imp.],DA$9)</f>
        <v>0</v>
      </c>
      <c r="DB512" s="693">
        <f>SUMIFS(Imput[Importe Neto],Imput[C. Imp.],$D512,Imput[PERIODO Imp.],DB$9)</f>
        <v>0</v>
      </c>
      <c r="DC512" s="693">
        <f>SUMIFS(Imput[Importe Neto],Imput[C. Imp.],$D512,Imput[PERIODO Imp.],DC$9)</f>
        <v>0</v>
      </c>
      <c r="DD512" s="693">
        <f>SUMIFS(Imput[Importe Neto],Imput[C. Imp.],$D512,Imput[PERIODO Imp.],DD$9)</f>
        <v>0</v>
      </c>
      <c r="DE512" s="693">
        <f>SUMIFS(Imput[Importe Neto],Imput[C. Imp.],$D512,Imput[PERIODO Imp.],DE$9)</f>
        <v>0</v>
      </c>
      <c r="DF512" s="693">
        <f>SUMIFS(Imput[Importe Neto],Imput[C. Imp.],$D512,Imput[PERIODO Imp.],DF$9)</f>
        <v>0</v>
      </c>
      <c r="DG512" s="693">
        <f>SUMIFS(Imput[Importe Neto],Imput[C. Imp.],$D512,Imput[PERIODO Imp.],DG$9)</f>
        <v>0</v>
      </c>
      <c r="DH512" s="694">
        <f>SUMIFS(Imput[Importe Neto],Imput[C. Imp.],$D512,Imput[PERIODO Imp.],DH$9)</f>
        <v>0</v>
      </c>
    </row>
    <row r="513" spans="1:112" s="649" customFormat="1" hidden="1" outlineLevel="1" x14ac:dyDescent="0.3">
      <c r="A513" s="652" t="str">
        <f t="shared" si="205"/>
        <v/>
      </c>
      <c r="B513" s="652"/>
      <c r="C513" s="685"/>
      <c r="D513" s="686" t="s">
        <v>2539</v>
      </c>
      <c r="E513" s="686"/>
      <c r="F513" s="720"/>
      <c r="G513" s="688"/>
      <c r="H513" s="689"/>
      <c r="I513" s="851" t="str">
        <f t="shared" si="206"/>
        <v/>
      </c>
      <c r="J513" s="850" t="str">
        <f t="shared" si="207"/>
        <v/>
      </c>
      <c r="K513" s="667"/>
      <c r="L513" s="858"/>
      <c r="M513" s="859"/>
      <c r="N513" s="859"/>
      <c r="O513" s="859"/>
      <c r="P513" s="859"/>
      <c r="Q513" s="859"/>
      <c r="R513" s="859"/>
      <c r="S513" s="859"/>
      <c r="T513" s="859"/>
      <c r="U513" s="859"/>
      <c r="V513" s="859"/>
      <c r="W513" s="859"/>
      <c r="X513" s="859"/>
      <c r="Y513" s="859"/>
      <c r="Z513" s="860"/>
      <c r="AA513" s="860"/>
      <c r="AB513" s="860"/>
      <c r="AC513" s="860"/>
      <c r="AD513" s="860"/>
      <c r="AE513" s="860"/>
      <c r="AF513" s="860"/>
      <c r="AG513" s="860"/>
      <c r="AH513" s="860"/>
      <c r="AI513" s="860"/>
      <c r="AJ513" s="860"/>
      <c r="AK513" s="860"/>
      <c r="AL513" s="860"/>
      <c r="AM513" s="860"/>
      <c r="AN513" s="860"/>
      <c r="AO513" s="860"/>
      <c r="AP513" s="860"/>
      <c r="AQ513" s="860"/>
      <c r="AR513" s="860"/>
      <c r="AS513" s="860"/>
      <c r="AT513" s="860"/>
      <c r="AU513" s="860"/>
      <c r="AV513" s="860"/>
      <c r="AW513" s="860"/>
      <c r="AX513" s="860"/>
      <c r="AY513" s="860"/>
      <c r="AZ513" s="860"/>
      <c r="BA513" s="860"/>
      <c r="BB513" s="860"/>
      <c r="BC513" s="860"/>
      <c r="BD513" s="860"/>
      <c r="BE513" s="860"/>
      <c r="BF513" s="860"/>
      <c r="BG513" s="860"/>
      <c r="BH513" s="668"/>
      <c r="BI513" s="667"/>
      <c r="BJ513" s="690">
        <f t="shared" si="208"/>
        <v>0</v>
      </c>
      <c r="BK513" s="691">
        <f t="shared" si="209"/>
        <v>0</v>
      </c>
      <c r="BL513" s="654"/>
      <c r="BM513" s="692">
        <f>SUMIFS(Imput[Importe Neto],Imput[C. Imp.],$D513,Imput[PERIODO Imp.],BM$9)</f>
        <v>0</v>
      </c>
      <c r="BN513" s="693">
        <f>SUMIFS(Imput[Importe Neto],Imput[C. Imp.],$D513,Imput[PERIODO Imp.],BN$9)</f>
        <v>0</v>
      </c>
      <c r="BO513" s="693">
        <f>SUMIFS(Imput[Importe Neto],Imput[C. Imp.],$D513,Imput[PERIODO Imp.],BO$9)</f>
        <v>0</v>
      </c>
      <c r="BP513" s="693">
        <f>SUMIFS(Imput[Importe Neto],Imput[C. Imp.],$D513,Imput[PERIODO Imp.],BP$9)</f>
        <v>0</v>
      </c>
      <c r="BQ513" s="693">
        <f>SUMIFS(Imput[Importe Neto],Imput[C. Imp.],$D513,Imput[PERIODO Imp.],BQ$9)</f>
        <v>0</v>
      </c>
      <c r="BR513" s="693">
        <f>SUMIFS(Imput[Importe Neto],Imput[C. Imp.],$D513,Imput[PERIODO Imp.],BR$9)</f>
        <v>0</v>
      </c>
      <c r="BS513" s="693">
        <f>SUMIFS(Imput[Importe Neto],Imput[C. Imp.],$D513,Imput[PERIODO Imp.],BS$9)</f>
        <v>0</v>
      </c>
      <c r="BT513" s="693">
        <f>SUMIFS(Imput[Importe Neto],Imput[C. Imp.],$D513,Imput[PERIODO Imp.],BT$9)</f>
        <v>0</v>
      </c>
      <c r="BU513" s="693">
        <f>SUMIFS(Imput[Importe Neto],Imput[C. Imp.],$D513,Imput[PERIODO Imp.],BU$9)</f>
        <v>0</v>
      </c>
      <c r="BV513" s="693">
        <f>SUMIFS(Imput[Importe Neto],Imput[C. Imp.],$D513,Imput[PERIODO Imp.],BV$9)</f>
        <v>0</v>
      </c>
      <c r="BW513" s="693">
        <f>SUMIFS(Imput[Importe Neto],Imput[C. Imp.],$D513,Imput[PERIODO Imp.],BW$9)</f>
        <v>0</v>
      </c>
      <c r="BX513" s="693">
        <f>SUMIFS(Imput[Importe Neto],Imput[C. Imp.],$D513,Imput[PERIODO Imp.],BX$9)</f>
        <v>0</v>
      </c>
      <c r="BY513" s="693">
        <f>SUMIFS(Imput[Importe Neto],Imput[C. Imp.],$D513,Imput[PERIODO Imp.],BY$9)</f>
        <v>0</v>
      </c>
      <c r="BZ513" s="693">
        <f>SUMIFS(Imput[Importe Neto],Imput[C. Imp.],$D513,Imput[PERIODO Imp.],BZ$9)</f>
        <v>0</v>
      </c>
      <c r="CA513" s="693">
        <f>SUMIFS(Imput[Importe Neto],Imput[C. Imp.],$D513,Imput[PERIODO Imp.],CA$9)</f>
        <v>0</v>
      </c>
      <c r="CB513" s="693">
        <f>SUMIFS(Imput[Importe Neto],Imput[C. Imp.],$D513,Imput[PERIODO Imp.],CB$9)</f>
        <v>0</v>
      </c>
      <c r="CC513" s="693">
        <f>SUMIFS(Imput[Importe Neto],Imput[C. Imp.],$D513,Imput[PERIODO Imp.],CC$9)</f>
        <v>0</v>
      </c>
      <c r="CD513" s="693">
        <f>SUMIFS(Imput[Importe Neto],Imput[C. Imp.],$D513,Imput[PERIODO Imp.],CD$9)</f>
        <v>0</v>
      </c>
      <c r="CE513" s="693">
        <f>SUMIFS(Imput[Importe Neto],Imput[C. Imp.],$D513,Imput[PERIODO Imp.],CE$9)</f>
        <v>0</v>
      </c>
      <c r="CF513" s="693">
        <f>SUMIFS(Imput[Importe Neto],Imput[C. Imp.],$D513,Imput[PERIODO Imp.],CF$9)</f>
        <v>0</v>
      </c>
      <c r="CG513" s="693">
        <f>SUMIFS(Imput[Importe Neto],Imput[C. Imp.],$D513,Imput[PERIODO Imp.],CG$9)</f>
        <v>0</v>
      </c>
      <c r="CH513" s="693">
        <f>SUMIFS(Imput[Importe Neto],Imput[C. Imp.],$D513,Imput[PERIODO Imp.],CH$9)</f>
        <v>0</v>
      </c>
      <c r="CI513" s="693">
        <f>SUMIFS(Imput[Importe Neto],Imput[C. Imp.],$D513,Imput[PERIODO Imp.],CI$9)</f>
        <v>0</v>
      </c>
      <c r="CJ513" s="693">
        <f>SUMIFS(Imput[Importe Neto],Imput[C. Imp.],$D513,Imput[PERIODO Imp.],CJ$9)</f>
        <v>0</v>
      </c>
      <c r="CK513" s="693">
        <f>SUMIFS(Imput[Importe Neto],Imput[C. Imp.],$D513,Imput[PERIODO Imp.],CK$9)</f>
        <v>0</v>
      </c>
      <c r="CL513" s="693">
        <f>SUMIFS(Imput[Importe Neto],Imput[C. Imp.],$D513,Imput[PERIODO Imp.],CL$9)</f>
        <v>0</v>
      </c>
      <c r="CM513" s="693">
        <f>SUMIFS(Imput[Importe Neto],Imput[C. Imp.],$D513,Imput[PERIODO Imp.],CM$9)</f>
        <v>0</v>
      </c>
      <c r="CN513" s="693">
        <f>SUMIFS(Imput[Importe Neto],Imput[C. Imp.],$D513,Imput[PERIODO Imp.],CN$9)</f>
        <v>0</v>
      </c>
      <c r="CO513" s="693">
        <f>SUMIFS(Imput[Importe Neto],Imput[C. Imp.],$D513,Imput[PERIODO Imp.],CO$9)</f>
        <v>0</v>
      </c>
      <c r="CP513" s="693">
        <f>SUMIFS(Imput[Importe Neto],Imput[C. Imp.],$D513,Imput[PERIODO Imp.],CP$9)</f>
        <v>0</v>
      </c>
      <c r="CQ513" s="693">
        <f>SUMIFS(Imput[Importe Neto],Imput[C. Imp.],$D513,Imput[PERIODO Imp.],CQ$9)</f>
        <v>0</v>
      </c>
      <c r="CR513" s="693">
        <f>SUMIFS(Imput[Importe Neto],Imput[C. Imp.],$D513,Imput[PERIODO Imp.],CR$9)</f>
        <v>0</v>
      </c>
      <c r="CS513" s="693">
        <f>SUMIFS(Imput[Importe Neto],Imput[C. Imp.],$D513,Imput[PERIODO Imp.],CS$9)</f>
        <v>0</v>
      </c>
      <c r="CT513" s="693">
        <f>SUMIFS(Imput[Importe Neto],Imput[C. Imp.],$D513,Imput[PERIODO Imp.],CT$9)</f>
        <v>0</v>
      </c>
      <c r="CU513" s="693">
        <f>SUMIFS(Imput[Importe Neto],Imput[C. Imp.],$D513,Imput[PERIODO Imp.],CU$9)</f>
        <v>0</v>
      </c>
      <c r="CV513" s="693">
        <f>SUMIFS(Imput[Importe Neto],Imput[C. Imp.],$D513,Imput[PERIODO Imp.],CV$9)</f>
        <v>0</v>
      </c>
      <c r="CW513" s="693">
        <f>SUMIFS(Imput[Importe Neto],Imput[C. Imp.],$D513,Imput[PERIODO Imp.],CW$9)</f>
        <v>0</v>
      </c>
      <c r="CX513" s="693">
        <f>SUMIFS(Imput[Importe Neto],Imput[C. Imp.],$D513,Imput[PERIODO Imp.],CX$9)</f>
        <v>0</v>
      </c>
      <c r="CY513" s="693">
        <f>SUMIFS(Imput[Importe Neto],Imput[C. Imp.],$D513,Imput[PERIODO Imp.],CY$9)</f>
        <v>0</v>
      </c>
      <c r="CZ513" s="693">
        <f>SUMIFS(Imput[Importe Neto],Imput[C. Imp.],$D513,Imput[PERIODO Imp.],CZ$9)</f>
        <v>0</v>
      </c>
      <c r="DA513" s="693">
        <f>SUMIFS(Imput[Importe Neto],Imput[C. Imp.],$D513,Imput[PERIODO Imp.],DA$9)</f>
        <v>0</v>
      </c>
      <c r="DB513" s="693">
        <f>SUMIFS(Imput[Importe Neto],Imput[C. Imp.],$D513,Imput[PERIODO Imp.],DB$9)</f>
        <v>0</v>
      </c>
      <c r="DC513" s="693">
        <f>SUMIFS(Imput[Importe Neto],Imput[C. Imp.],$D513,Imput[PERIODO Imp.],DC$9)</f>
        <v>0</v>
      </c>
      <c r="DD513" s="693">
        <f>SUMIFS(Imput[Importe Neto],Imput[C. Imp.],$D513,Imput[PERIODO Imp.],DD$9)</f>
        <v>0</v>
      </c>
      <c r="DE513" s="693">
        <f>SUMIFS(Imput[Importe Neto],Imput[C. Imp.],$D513,Imput[PERIODO Imp.],DE$9)</f>
        <v>0</v>
      </c>
      <c r="DF513" s="693">
        <f>SUMIFS(Imput[Importe Neto],Imput[C. Imp.],$D513,Imput[PERIODO Imp.],DF$9)</f>
        <v>0</v>
      </c>
      <c r="DG513" s="693">
        <f>SUMIFS(Imput[Importe Neto],Imput[C. Imp.],$D513,Imput[PERIODO Imp.],DG$9)</f>
        <v>0</v>
      </c>
      <c r="DH513" s="694">
        <f>SUMIFS(Imput[Importe Neto],Imput[C. Imp.],$D513,Imput[PERIODO Imp.],DH$9)</f>
        <v>0</v>
      </c>
    </row>
    <row r="514" spans="1:112" s="649" customFormat="1" hidden="1" outlineLevel="1" x14ac:dyDescent="0.3">
      <c r="A514" s="652" t="str">
        <f t="shared" si="205"/>
        <v/>
      </c>
      <c r="B514" s="652"/>
      <c r="C514" s="685"/>
      <c r="D514" s="686" t="s">
        <v>2540</v>
      </c>
      <c r="E514" s="686"/>
      <c r="F514" s="720"/>
      <c r="G514" s="688"/>
      <c r="H514" s="689"/>
      <c r="I514" s="851" t="str">
        <f t="shared" si="206"/>
        <v/>
      </c>
      <c r="J514" s="850" t="str">
        <f t="shared" si="207"/>
        <v/>
      </c>
      <c r="K514" s="667"/>
      <c r="L514" s="858"/>
      <c r="M514" s="859"/>
      <c r="N514" s="859"/>
      <c r="O514" s="859"/>
      <c r="P514" s="859"/>
      <c r="Q514" s="859"/>
      <c r="R514" s="859"/>
      <c r="S514" s="859"/>
      <c r="T514" s="859"/>
      <c r="U514" s="859"/>
      <c r="V514" s="859"/>
      <c r="W514" s="859"/>
      <c r="X514" s="859"/>
      <c r="Y514" s="859"/>
      <c r="Z514" s="860"/>
      <c r="AA514" s="860"/>
      <c r="AB514" s="860"/>
      <c r="AC514" s="860"/>
      <c r="AD514" s="860"/>
      <c r="AE514" s="860"/>
      <c r="AF514" s="860"/>
      <c r="AG514" s="860"/>
      <c r="AH514" s="860"/>
      <c r="AI514" s="860"/>
      <c r="AJ514" s="860"/>
      <c r="AK514" s="860"/>
      <c r="AL514" s="860"/>
      <c r="AM514" s="860"/>
      <c r="AN514" s="860"/>
      <c r="AO514" s="860"/>
      <c r="AP514" s="860"/>
      <c r="AQ514" s="860"/>
      <c r="AR514" s="860"/>
      <c r="AS514" s="860"/>
      <c r="AT514" s="860"/>
      <c r="AU514" s="860"/>
      <c r="AV514" s="860"/>
      <c r="AW514" s="860"/>
      <c r="AX514" s="860"/>
      <c r="AY514" s="860"/>
      <c r="AZ514" s="860"/>
      <c r="BA514" s="860"/>
      <c r="BB514" s="860"/>
      <c r="BC514" s="860"/>
      <c r="BD514" s="860"/>
      <c r="BE514" s="860"/>
      <c r="BF514" s="860"/>
      <c r="BG514" s="860"/>
      <c r="BH514" s="668"/>
      <c r="BI514" s="667"/>
      <c r="BJ514" s="690">
        <f t="shared" si="208"/>
        <v>0</v>
      </c>
      <c r="BK514" s="691">
        <f t="shared" si="209"/>
        <v>0</v>
      </c>
      <c r="BL514" s="654"/>
      <c r="BM514" s="692">
        <f>SUMIFS(Imput[Importe Neto],Imput[C. Imp.],$D514,Imput[PERIODO Imp.],BM$9)</f>
        <v>0</v>
      </c>
      <c r="BN514" s="693">
        <f>SUMIFS(Imput[Importe Neto],Imput[C. Imp.],$D514,Imput[PERIODO Imp.],BN$9)</f>
        <v>0</v>
      </c>
      <c r="BO514" s="693">
        <f>SUMIFS(Imput[Importe Neto],Imput[C. Imp.],$D514,Imput[PERIODO Imp.],BO$9)</f>
        <v>0</v>
      </c>
      <c r="BP514" s="693">
        <f>SUMIFS(Imput[Importe Neto],Imput[C. Imp.],$D514,Imput[PERIODO Imp.],BP$9)</f>
        <v>0</v>
      </c>
      <c r="BQ514" s="693">
        <f>SUMIFS(Imput[Importe Neto],Imput[C. Imp.],$D514,Imput[PERIODO Imp.],BQ$9)</f>
        <v>0</v>
      </c>
      <c r="BR514" s="693">
        <f>SUMIFS(Imput[Importe Neto],Imput[C. Imp.],$D514,Imput[PERIODO Imp.],BR$9)</f>
        <v>0</v>
      </c>
      <c r="BS514" s="693">
        <f>SUMIFS(Imput[Importe Neto],Imput[C. Imp.],$D514,Imput[PERIODO Imp.],BS$9)</f>
        <v>0</v>
      </c>
      <c r="BT514" s="693">
        <f>SUMIFS(Imput[Importe Neto],Imput[C. Imp.],$D514,Imput[PERIODO Imp.],BT$9)</f>
        <v>0</v>
      </c>
      <c r="BU514" s="693">
        <f>SUMIFS(Imput[Importe Neto],Imput[C. Imp.],$D514,Imput[PERIODO Imp.],BU$9)</f>
        <v>0</v>
      </c>
      <c r="BV514" s="693">
        <f>SUMIFS(Imput[Importe Neto],Imput[C. Imp.],$D514,Imput[PERIODO Imp.],BV$9)</f>
        <v>0</v>
      </c>
      <c r="BW514" s="693">
        <f>SUMIFS(Imput[Importe Neto],Imput[C. Imp.],$D514,Imput[PERIODO Imp.],BW$9)</f>
        <v>0</v>
      </c>
      <c r="BX514" s="693">
        <f>SUMIFS(Imput[Importe Neto],Imput[C. Imp.],$D514,Imput[PERIODO Imp.],BX$9)</f>
        <v>0</v>
      </c>
      <c r="BY514" s="693">
        <f>SUMIFS(Imput[Importe Neto],Imput[C. Imp.],$D514,Imput[PERIODO Imp.],BY$9)</f>
        <v>0</v>
      </c>
      <c r="BZ514" s="693">
        <f>SUMIFS(Imput[Importe Neto],Imput[C. Imp.],$D514,Imput[PERIODO Imp.],BZ$9)</f>
        <v>0</v>
      </c>
      <c r="CA514" s="693">
        <f>SUMIFS(Imput[Importe Neto],Imput[C. Imp.],$D514,Imput[PERIODO Imp.],CA$9)</f>
        <v>0</v>
      </c>
      <c r="CB514" s="693">
        <f>SUMIFS(Imput[Importe Neto],Imput[C. Imp.],$D514,Imput[PERIODO Imp.],CB$9)</f>
        <v>0</v>
      </c>
      <c r="CC514" s="693">
        <f>SUMIFS(Imput[Importe Neto],Imput[C. Imp.],$D514,Imput[PERIODO Imp.],CC$9)</f>
        <v>0</v>
      </c>
      <c r="CD514" s="693">
        <f>SUMIFS(Imput[Importe Neto],Imput[C. Imp.],$D514,Imput[PERIODO Imp.],CD$9)</f>
        <v>0</v>
      </c>
      <c r="CE514" s="693">
        <f>SUMIFS(Imput[Importe Neto],Imput[C. Imp.],$D514,Imput[PERIODO Imp.],CE$9)</f>
        <v>0</v>
      </c>
      <c r="CF514" s="693">
        <f>SUMIFS(Imput[Importe Neto],Imput[C. Imp.],$D514,Imput[PERIODO Imp.],CF$9)</f>
        <v>0</v>
      </c>
      <c r="CG514" s="693">
        <f>SUMIFS(Imput[Importe Neto],Imput[C. Imp.],$D514,Imput[PERIODO Imp.],CG$9)</f>
        <v>0</v>
      </c>
      <c r="CH514" s="693">
        <f>SUMIFS(Imput[Importe Neto],Imput[C. Imp.],$D514,Imput[PERIODO Imp.],CH$9)</f>
        <v>0</v>
      </c>
      <c r="CI514" s="693">
        <f>SUMIFS(Imput[Importe Neto],Imput[C. Imp.],$D514,Imput[PERIODO Imp.],CI$9)</f>
        <v>0</v>
      </c>
      <c r="CJ514" s="693">
        <f>SUMIFS(Imput[Importe Neto],Imput[C. Imp.],$D514,Imput[PERIODO Imp.],CJ$9)</f>
        <v>0</v>
      </c>
      <c r="CK514" s="693">
        <f>SUMIFS(Imput[Importe Neto],Imput[C. Imp.],$D514,Imput[PERIODO Imp.],CK$9)</f>
        <v>0</v>
      </c>
      <c r="CL514" s="693">
        <f>SUMIFS(Imput[Importe Neto],Imput[C. Imp.],$D514,Imput[PERIODO Imp.],CL$9)</f>
        <v>0</v>
      </c>
      <c r="CM514" s="693">
        <f>SUMIFS(Imput[Importe Neto],Imput[C. Imp.],$D514,Imput[PERIODO Imp.],CM$9)</f>
        <v>0</v>
      </c>
      <c r="CN514" s="693">
        <f>SUMIFS(Imput[Importe Neto],Imput[C. Imp.],$D514,Imput[PERIODO Imp.],CN$9)</f>
        <v>0</v>
      </c>
      <c r="CO514" s="693">
        <f>SUMIFS(Imput[Importe Neto],Imput[C. Imp.],$D514,Imput[PERIODO Imp.],CO$9)</f>
        <v>0</v>
      </c>
      <c r="CP514" s="693">
        <f>SUMIFS(Imput[Importe Neto],Imput[C. Imp.],$D514,Imput[PERIODO Imp.],CP$9)</f>
        <v>0</v>
      </c>
      <c r="CQ514" s="693">
        <f>SUMIFS(Imput[Importe Neto],Imput[C. Imp.],$D514,Imput[PERIODO Imp.],CQ$9)</f>
        <v>0</v>
      </c>
      <c r="CR514" s="693">
        <f>SUMIFS(Imput[Importe Neto],Imput[C. Imp.],$D514,Imput[PERIODO Imp.],CR$9)</f>
        <v>0</v>
      </c>
      <c r="CS514" s="693">
        <f>SUMIFS(Imput[Importe Neto],Imput[C. Imp.],$D514,Imput[PERIODO Imp.],CS$9)</f>
        <v>0</v>
      </c>
      <c r="CT514" s="693">
        <f>SUMIFS(Imput[Importe Neto],Imput[C. Imp.],$D514,Imput[PERIODO Imp.],CT$9)</f>
        <v>0</v>
      </c>
      <c r="CU514" s="693">
        <f>SUMIFS(Imput[Importe Neto],Imput[C. Imp.],$D514,Imput[PERIODO Imp.],CU$9)</f>
        <v>0</v>
      </c>
      <c r="CV514" s="693">
        <f>SUMIFS(Imput[Importe Neto],Imput[C. Imp.],$D514,Imput[PERIODO Imp.],CV$9)</f>
        <v>0</v>
      </c>
      <c r="CW514" s="693">
        <f>SUMIFS(Imput[Importe Neto],Imput[C. Imp.],$D514,Imput[PERIODO Imp.],CW$9)</f>
        <v>0</v>
      </c>
      <c r="CX514" s="693">
        <f>SUMIFS(Imput[Importe Neto],Imput[C. Imp.],$D514,Imput[PERIODO Imp.],CX$9)</f>
        <v>0</v>
      </c>
      <c r="CY514" s="693">
        <f>SUMIFS(Imput[Importe Neto],Imput[C. Imp.],$D514,Imput[PERIODO Imp.],CY$9)</f>
        <v>0</v>
      </c>
      <c r="CZ514" s="693">
        <f>SUMIFS(Imput[Importe Neto],Imput[C. Imp.],$D514,Imput[PERIODO Imp.],CZ$9)</f>
        <v>0</v>
      </c>
      <c r="DA514" s="693">
        <f>SUMIFS(Imput[Importe Neto],Imput[C. Imp.],$D514,Imput[PERIODO Imp.],DA$9)</f>
        <v>0</v>
      </c>
      <c r="DB514" s="693">
        <f>SUMIFS(Imput[Importe Neto],Imput[C. Imp.],$D514,Imput[PERIODO Imp.],DB$9)</f>
        <v>0</v>
      </c>
      <c r="DC514" s="693">
        <f>SUMIFS(Imput[Importe Neto],Imput[C. Imp.],$D514,Imput[PERIODO Imp.],DC$9)</f>
        <v>0</v>
      </c>
      <c r="DD514" s="693">
        <f>SUMIFS(Imput[Importe Neto],Imput[C. Imp.],$D514,Imput[PERIODO Imp.],DD$9)</f>
        <v>0</v>
      </c>
      <c r="DE514" s="693">
        <f>SUMIFS(Imput[Importe Neto],Imput[C. Imp.],$D514,Imput[PERIODO Imp.],DE$9)</f>
        <v>0</v>
      </c>
      <c r="DF514" s="693">
        <f>SUMIFS(Imput[Importe Neto],Imput[C. Imp.],$D514,Imput[PERIODO Imp.],DF$9)</f>
        <v>0</v>
      </c>
      <c r="DG514" s="693">
        <f>SUMIFS(Imput[Importe Neto],Imput[C. Imp.],$D514,Imput[PERIODO Imp.],DG$9)</f>
        <v>0</v>
      </c>
      <c r="DH514" s="694">
        <f>SUMIFS(Imput[Importe Neto],Imput[C. Imp.],$D514,Imput[PERIODO Imp.],DH$9)</f>
        <v>0</v>
      </c>
    </row>
    <row r="515" spans="1:112" s="649" customFormat="1" hidden="1" outlineLevel="1" x14ac:dyDescent="0.3">
      <c r="A515" s="652" t="str">
        <f t="shared" si="205"/>
        <v/>
      </c>
      <c r="B515" s="652"/>
      <c r="C515" s="685"/>
      <c r="D515" s="686" t="s">
        <v>2541</v>
      </c>
      <c r="E515" s="686"/>
      <c r="F515" s="720"/>
      <c r="G515" s="688"/>
      <c r="H515" s="689"/>
      <c r="I515" s="851" t="str">
        <f t="shared" si="206"/>
        <v/>
      </c>
      <c r="J515" s="850" t="str">
        <f t="shared" si="207"/>
        <v/>
      </c>
      <c r="K515" s="667"/>
      <c r="L515" s="858"/>
      <c r="M515" s="859"/>
      <c r="N515" s="859"/>
      <c r="O515" s="859"/>
      <c r="P515" s="859"/>
      <c r="Q515" s="859"/>
      <c r="R515" s="859"/>
      <c r="S515" s="859"/>
      <c r="T515" s="859"/>
      <c r="U515" s="859"/>
      <c r="V515" s="859"/>
      <c r="W515" s="859"/>
      <c r="X515" s="859"/>
      <c r="Y515" s="859"/>
      <c r="Z515" s="860"/>
      <c r="AA515" s="860"/>
      <c r="AB515" s="860"/>
      <c r="AC515" s="860"/>
      <c r="AD515" s="860"/>
      <c r="AE515" s="860"/>
      <c r="AF515" s="860"/>
      <c r="AG515" s="860"/>
      <c r="AH515" s="860"/>
      <c r="AI515" s="860"/>
      <c r="AJ515" s="860"/>
      <c r="AK515" s="860"/>
      <c r="AL515" s="860"/>
      <c r="AM515" s="860"/>
      <c r="AN515" s="860"/>
      <c r="AO515" s="860"/>
      <c r="AP515" s="860"/>
      <c r="AQ515" s="860"/>
      <c r="AR515" s="860"/>
      <c r="AS515" s="860"/>
      <c r="AT515" s="860"/>
      <c r="AU515" s="860"/>
      <c r="AV515" s="860"/>
      <c r="AW515" s="860"/>
      <c r="AX515" s="860"/>
      <c r="AY515" s="860"/>
      <c r="AZ515" s="860"/>
      <c r="BA515" s="860"/>
      <c r="BB515" s="860"/>
      <c r="BC515" s="860"/>
      <c r="BD515" s="860"/>
      <c r="BE515" s="860"/>
      <c r="BF515" s="860"/>
      <c r="BG515" s="860"/>
      <c r="BH515" s="668"/>
      <c r="BI515" s="667"/>
      <c r="BJ515" s="690">
        <f t="shared" si="208"/>
        <v>0</v>
      </c>
      <c r="BK515" s="691">
        <f t="shared" si="209"/>
        <v>0</v>
      </c>
      <c r="BL515" s="654"/>
      <c r="BM515" s="692">
        <f>SUMIFS(Imput[Importe Neto],Imput[C. Imp.],$D515,Imput[PERIODO Imp.],BM$9)</f>
        <v>0</v>
      </c>
      <c r="BN515" s="693">
        <f>SUMIFS(Imput[Importe Neto],Imput[C. Imp.],$D515,Imput[PERIODO Imp.],BN$9)</f>
        <v>0</v>
      </c>
      <c r="BO515" s="693">
        <f>SUMIFS(Imput[Importe Neto],Imput[C. Imp.],$D515,Imput[PERIODO Imp.],BO$9)</f>
        <v>0</v>
      </c>
      <c r="BP515" s="693">
        <f>SUMIFS(Imput[Importe Neto],Imput[C. Imp.],$D515,Imput[PERIODO Imp.],BP$9)</f>
        <v>0</v>
      </c>
      <c r="BQ515" s="693">
        <f>SUMIFS(Imput[Importe Neto],Imput[C. Imp.],$D515,Imput[PERIODO Imp.],BQ$9)</f>
        <v>0</v>
      </c>
      <c r="BR515" s="693">
        <f>SUMIFS(Imput[Importe Neto],Imput[C. Imp.],$D515,Imput[PERIODO Imp.],BR$9)</f>
        <v>0</v>
      </c>
      <c r="BS515" s="693">
        <f>SUMIFS(Imput[Importe Neto],Imput[C. Imp.],$D515,Imput[PERIODO Imp.],BS$9)</f>
        <v>0</v>
      </c>
      <c r="BT515" s="693">
        <f>SUMIFS(Imput[Importe Neto],Imput[C. Imp.],$D515,Imput[PERIODO Imp.],BT$9)</f>
        <v>0</v>
      </c>
      <c r="BU515" s="693">
        <f>SUMIFS(Imput[Importe Neto],Imput[C. Imp.],$D515,Imput[PERIODO Imp.],BU$9)</f>
        <v>0</v>
      </c>
      <c r="BV515" s="693">
        <f>SUMIFS(Imput[Importe Neto],Imput[C. Imp.],$D515,Imput[PERIODO Imp.],BV$9)</f>
        <v>0</v>
      </c>
      <c r="BW515" s="693">
        <f>SUMIFS(Imput[Importe Neto],Imput[C. Imp.],$D515,Imput[PERIODO Imp.],BW$9)</f>
        <v>0</v>
      </c>
      <c r="BX515" s="693">
        <f>SUMIFS(Imput[Importe Neto],Imput[C. Imp.],$D515,Imput[PERIODO Imp.],BX$9)</f>
        <v>0</v>
      </c>
      <c r="BY515" s="693">
        <f>SUMIFS(Imput[Importe Neto],Imput[C. Imp.],$D515,Imput[PERIODO Imp.],BY$9)</f>
        <v>0</v>
      </c>
      <c r="BZ515" s="693">
        <f>SUMIFS(Imput[Importe Neto],Imput[C. Imp.],$D515,Imput[PERIODO Imp.],BZ$9)</f>
        <v>0</v>
      </c>
      <c r="CA515" s="693">
        <f>SUMIFS(Imput[Importe Neto],Imput[C. Imp.],$D515,Imput[PERIODO Imp.],CA$9)</f>
        <v>0</v>
      </c>
      <c r="CB515" s="693">
        <f>SUMIFS(Imput[Importe Neto],Imput[C. Imp.],$D515,Imput[PERIODO Imp.],CB$9)</f>
        <v>0</v>
      </c>
      <c r="CC515" s="693">
        <f>SUMIFS(Imput[Importe Neto],Imput[C. Imp.],$D515,Imput[PERIODO Imp.],CC$9)</f>
        <v>0</v>
      </c>
      <c r="CD515" s="693">
        <f>SUMIFS(Imput[Importe Neto],Imput[C. Imp.],$D515,Imput[PERIODO Imp.],CD$9)</f>
        <v>0</v>
      </c>
      <c r="CE515" s="693">
        <f>SUMIFS(Imput[Importe Neto],Imput[C. Imp.],$D515,Imput[PERIODO Imp.],CE$9)</f>
        <v>0</v>
      </c>
      <c r="CF515" s="693">
        <f>SUMIFS(Imput[Importe Neto],Imput[C. Imp.],$D515,Imput[PERIODO Imp.],CF$9)</f>
        <v>0</v>
      </c>
      <c r="CG515" s="693">
        <f>SUMIFS(Imput[Importe Neto],Imput[C. Imp.],$D515,Imput[PERIODO Imp.],CG$9)</f>
        <v>0</v>
      </c>
      <c r="CH515" s="693">
        <f>SUMIFS(Imput[Importe Neto],Imput[C. Imp.],$D515,Imput[PERIODO Imp.],CH$9)</f>
        <v>0</v>
      </c>
      <c r="CI515" s="693">
        <f>SUMIFS(Imput[Importe Neto],Imput[C. Imp.],$D515,Imput[PERIODO Imp.],CI$9)</f>
        <v>0</v>
      </c>
      <c r="CJ515" s="693">
        <f>SUMIFS(Imput[Importe Neto],Imput[C. Imp.],$D515,Imput[PERIODO Imp.],CJ$9)</f>
        <v>0</v>
      </c>
      <c r="CK515" s="693">
        <f>SUMIFS(Imput[Importe Neto],Imput[C. Imp.],$D515,Imput[PERIODO Imp.],CK$9)</f>
        <v>0</v>
      </c>
      <c r="CL515" s="693">
        <f>SUMIFS(Imput[Importe Neto],Imput[C. Imp.],$D515,Imput[PERIODO Imp.],CL$9)</f>
        <v>0</v>
      </c>
      <c r="CM515" s="693">
        <f>SUMIFS(Imput[Importe Neto],Imput[C. Imp.],$D515,Imput[PERIODO Imp.],CM$9)</f>
        <v>0</v>
      </c>
      <c r="CN515" s="693">
        <f>SUMIFS(Imput[Importe Neto],Imput[C. Imp.],$D515,Imput[PERIODO Imp.],CN$9)</f>
        <v>0</v>
      </c>
      <c r="CO515" s="693">
        <f>SUMIFS(Imput[Importe Neto],Imput[C. Imp.],$D515,Imput[PERIODO Imp.],CO$9)</f>
        <v>0</v>
      </c>
      <c r="CP515" s="693">
        <f>SUMIFS(Imput[Importe Neto],Imput[C. Imp.],$D515,Imput[PERIODO Imp.],CP$9)</f>
        <v>0</v>
      </c>
      <c r="CQ515" s="693">
        <f>SUMIFS(Imput[Importe Neto],Imput[C. Imp.],$D515,Imput[PERIODO Imp.],CQ$9)</f>
        <v>0</v>
      </c>
      <c r="CR515" s="693">
        <f>SUMIFS(Imput[Importe Neto],Imput[C. Imp.],$D515,Imput[PERIODO Imp.],CR$9)</f>
        <v>0</v>
      </c>
      <c r="CS515" s="693">
        <f>SUMIFS(Imput[Importe Neto],Imput[C. Imp.],$D515,Imput[PERIODO Imp.],CS$9)</f>
        <v>0</v>
      </c>
      <c r="CT515" s="693">
        <f>SUMIFS(Imput[Importe Neto],Imput[C. Imp.],$D515,Imput[PERIODO Imp.],CT$9)</f>
        <v>0</v>
      </c>
      <c r="CU515" s="693">
        <f>SUMIFS(Imput[Importe Neto],Imput[C. Imp.],$D515,Imput[PERIODO Imp.],CU$9)</f>
        <v>0</v>
      </c>
      <c r="CV515" s="693">
        <f>SUMIFS(Imput[Importe Neto],Imput[C. Imp.],$D515,Imput[PERIODO Imp.],CV$9)</f>
        <v>0</v>
      </c>
      <c r="CW515" s="693">
        <f>SUMIFS(Imput[Importe Neto],Imput[C. Imp.],$D515,Imput[PERIODO Imp.],CW$9)</f>
        <v>0</v>
      </c>
      <c r="CX515" s="693">
        <f>SUMIFS(Imput[Importe Neto],Imput[C. Imp.],$D515,Imput[PERIODO Imp.],CX$9)</f>
        <v>0</v>
      </c>
      <c r="CY515" s="693">
        <f>SUMIFS(Imput[Importe Neto],Imput[C. Imp.],$D515,Imput[PERIODO Imp.],CY$9)</f>
        <v>0</v>
      </c>
      <c r="CZ515" s="693">
        <f>SUMIFS(Imput[Importe Neto],Imput[C. Imp.],$D515,Imput[PERIODO Imp.],CZ$9)</f>
        <v>0</v>
      </c>
      <c r="DA515" s="693">
        <f>SUMIFS(Imput[Importe Neto],Imput[C. Imp.],$D515,Imput[PERIODO Imp.],DA$9)</f>
        <v>0</v>
      </c>
      <c r="DB515" s="693">
        <f>SUMIFS(Imput[Importe Neto],Imput[C. Imp.],$D515,Imput[PERIODO Imp.],DB$9)</f>
        <v>0</v>
      </c>
      <c r="DC515" s="693">
        <f>SUMIFS(Imput[Importe Neto],Imput[C. Imp.],$D515,Imput[PERIODO Imp.],DC$9)</f>
        <v>0</v>
      </c>
      <c r="DD515" s="693">
        <f>SUMIFS(Imput[Importe Neto],Imput[C. Imp.],$D515,Imput[PERIODO Imp.],DD$9)</f>
        <v>0</v>
      </c>
      <c r="DE515" s="693">
        <f>SUMIFS(Imput[Importe Neto],Imput[C. Imp.],$D515,Imput[PERIODO Imp.],DE$9)</f>
        <v>0</v>
      </c>
      <c r="DF515" s="693">
        <f>SUMIFS(Imput[Importe Neto],Imput[C. Imp.],$D515,Imput[PERIODO Imp.],DF$9)</f>
        <v>0</v>
      </c>
      <c r="DG515" s="693">
        <f>SUMIFS(Imput[Importe Neto],Imput[C. Imp.],$D515,Imput[PERIODO Imp.],DG$9)</f>
        <v>0</v>
      </c>
      <c r="DH515" s="694">
        <f>SUMIFS(Imput[Importe Neto],Imput[C. Imp.],$D515,Imput[PERIODO Imp.],DH$9)</f>
        <v>0</v>
      </c>
    </row>
    <row r="516" spans="1:112" s="649" customFormat="1" hidden="1" outlineLevel="1" x14ac:dyDescent="0.3">
      <c r="A516" s="652" t="str">
        <f t="shared" si="205"/>
        <v/>
      </c>
      <c r="B516" s="652"/>
      <c r="C516" s="685"/>
      <c r="D516" s="686" t="s">
        <v>2542</v>
      </c>
      <c r="E516" s="686"/>
      <c r="F516" s="720"/>
      <c r="G516" s="688"/>
      <c r="H516" s="689"/>
      <c r="I516" s="851" t="str">
        <f t="shared" si="206"/>
        <v/>
      </c>
      <c r="J516" s="850" t="str">
        <f t="shared" si="207"/>
        <v/>
      </c>
      <c r="K516" s="667"/>
      <c r="L516" s="858"/>
      <c r="M516" s="859"/>
      <c r="N516" s="859"/>
      <c r="O516" s="859"/>
      <c r="P516" s="859"/>
      <c r="Q516" s="859"/>
      <c r="R516" s="859"/>
      <c r="S516" s="859"/>
      <c r="T516" s="859"/>
      <c r="U516" s="859"/>
      <c r="V516" s="859"/>
      <c r="W516" s="859"/>
      <c r="X516" s="859"/>
      <c r="Y516" s="859"/>
      <c r="Z516" s="860"/>
      <c r="AA516" s="860"/>
      <c r="AB516" s="860"/>
      <c r="AC516" s="860"/>
      <c r="AD516" s="860"/>
      <c r="AE516" s="860"/>
      <c r="AF516" s="860"/>
      <c r="AG516" s="860"/>
      <c r="AH516" s="860"/>
      <c r="AI516" s="860"/>
      <c r="AJ516" s="860"/>
      <c r="AK516" s="860"/>
      <c r="AL516" s="860"/>
      <c r="AM516" s="860"/>
      <c r="AN516" s="860"/>
      <c r="AO516" s="860"/>
      <c r="AP516" s="860"/>
      <c r="AQ516" s="860"/>
      <c r="AR516" s="860"/>
      <c r="AS516" s="860"/>
      <c r="AT516" s="860"/>
      <c r="AU516" s="860"/>
      <c r="AV516" s="860"/>
      <c r="AW516" s="860"/>
      <c r="AX516" s="860"/>
      <c r="AY516" s="860"/>
      <c r="AZ516" s="860"/>
      <c r="BA516" s="860"/>
      <c r="BB516" s="860"/>
      <c r="BC516" s="860"/>
      <c r="BD516" s="860"/>
      <c r="BE516" s="860"/>
      <c r="BF516" s="860"/>
      <c r="BG516" s="860"/>
      <c r="BH516" s="668"/>
      <c r="BI516" s="667"/>
      <c r="BJ516" s="690">
        <f t="shared" si="208"/>
        <v>0</v>
      </c>
      <c r="BK516" s="691">
        <f t="shared" si="209"/>
        <v>0</v>
      </c>
      <c r="BL516" s="654"/>
      <c r="BM516" s="692">
        <f>SUMIFS(Imput[Importe Neto],Imput[C. Imp.],$D516,Imput[PERIODO Imp.],BM$9)</f>
        <v>0</v>
      </c>
      <c r="BN516" s="693">
        <f>SUMIFS(Imput[Importe Neto],Imput[C. Imp.],$D516,Imput[PERIODO Imp.],BN$9)</f>
        <v>0</v>
      </c>
      <c r="BO516" s="693">
        <f>SUMIFS(Imput[Importe Neto],Imput[C. Imp.],$D516,Imput[PERIODO Imp.],BO$9)</f>
        <v>0</v>
      </c>
      <c r="BP516" s="693">
        <f>SUMIFS(Imput[Importe Neto],Imput[C. Imp.],$D516,Imput[PERIODO Imp.],BP$9)</f>
        <v>0</v>
      </c>
      <c r="BQ516" s="693">
        <f>SUMIFS(Imput[Importe Neto],Imput[C. Imp.],$D516,Imput[PERIODO Imp.],BQ$9)</f>
        <v>0</v>
      </c>
      <c r="BR516" s="693">
        <f>SUMIFS(Imput[Importe Neto],Imput[C. Imp.],$D516,Imput[PERIODO Imp.],BR$9)</f>
        <v>0</v>
      </c>
      <c r="BS516" s="693">
        <f>SUMIFS(Imput[Importe Neto],Imput[C. Imp.],$D516,Imput[PERIODO Imp.],BS$9)</f>
        <v>0</v>
      </c>
      <c r="BT516" s="693">
        <f>SUMIFS(Imput[Importe Neto],Imput[C. Imp.],$D516,Imput[PERIODO Imp.],BT$9)</f>
        <v>0</v>
      </c>
      <c r="BU516" s="693">
        <f>SUMIFS(Imput[Importe Neto],Imput[C. Imp.],$D516,Imput[PERIODO Imp.],BU$9)</f>
        <v>0</v>
      </c>
      <c r="BV516" s="693">
        <f>SUMIFS(Imput[Importe Neto],Imput[C. Imp.],$D516,Imput[PERIODO Imp.],BV$9)</f>
        <v>0</v>
      </c>
      <c r="BW516" s="693">
        <f>SUMIFS(Imput[Importe Neto],Imput[C. Imp.],$D516,Imput[PERIODO Imp.],BW$9)</f>
        <v>0</v>
      </c>
      <c r="BX516" s="693">
        <f>SUMIFS(Imput[Importe Neto],Imput[C. Imp.],$D516,Imput[PERIODO Imp.],BX$9)</f>
        <v>0</v>
      </c>
      <c r="BY516" s="693">
        <f>SUMIFS(Imput[Importe Neto],Imput[C. Imp.],$D516,Imput[PERIODO Imp.],BY$9)</f>
        <v>0</v>
      </c>
      <c r="BZ516" s="693">
        <f>SUMIFS(Imput[Importe Neto],Imput[C. Imp.],$D516,Imput[PERIODO Imp.],BZ$9)</f>
        <v>0</v>
      </c>
      <c r="CA516" s="693">
        <f>SUMIFS(Imput[Importe Neto],Imput[C. Imp.],$D516,Imput[PERIODO Imp.],CA$9)</f>
        <v>0</v>
      </c>
      <c r="CB516" s="693">
        <f>SUMIFS(Imput[Importe Neto],Imput[C. Imp.],$D516,Imput[PERIODO Imp.],CB$9)</f>
        <v>0</v>
      </c>
      <c r="CC516" s="693">
        <f>SUMIFS(Imput[Importe Neto],Imput[C. Imp.],$D516,Imput[PERIODO Imp.],CC$9)</f>
        <v>0</v>
      </c>
      <c r="CD516" s="693">
        <f>SUMIFS(Imput[Importe Neto],Imput[C. Imp.],$D516,Imput[PERIODO Imp.],CD$9)</f>
        <v>0</v>
      </c>
      <c r="CE516" s="693">
        <f>SUMIFS(Imput[Importe Neto],Imput[C. Imp.],$D516,Imput[PERIODO Imp.],CE$9)</f>
        <v>0</v>
      </c>
      <c r="CF516" s="693">
        <f>SUMIFS(Imput[Importe Neto],Imput[C. Imp.],$D516,Imput[PERIODO Imp.],CF$9)</f>
        <v>0</v>
      </c>
      <c r="CG516" s="693">
        <f>SUMIFS(Imput[Importe Neto],Imput[C. Imp.],$D516,Imput[PERIODO Imp.],CG$9)</f>
        <v>0</v>
      </c>
      <c r="CH516" s="693">
        <f>SUMIFS(Imput[Importe Neto],Imput[C. Imp.],$D516,Imput[PERIODO Imp.],CH$9)</f>
        <v>0</v>
      </c>
      <c r="CI516" s="693">
        <f>SUMIFS(Imput[Importe Neto],Imput[C. Imp.],$D516,Imput[PERIODO Imp.],CI$9)</f>
        <v>0</v>
      </c>
      <c r="CJ516" s="693">
        <f>SUMIFS(Imput[Importe Neto],Imput[C. Imp.],$D516,Imput[PERIODO Imp.],CJ$9)</f>
        <v>0</v>
      </c>
      <c r="CK516" s="693">
        <f>SUMIFS(Imput[Importe Neto],Imput[C. Imp.],$D516,Imput[PERIODO Imp.],CK$9)</f>
        <v>0</v>
      </c>
      <c r="CL516" s="693">
        <f>SUMIFS(Imput[Importe Neto],Imput[C. Imp.],$D516,Imput[PERIODO Imp.],CL$9)</f>
        <v>0</v>
      </c>
      <c r="CM516" s="693">
        <f>SUMIFS(Imput[Importe Neto],Imput[C. Imp.],$D516,Imput[PERIODO Imp.],CM$9)</f>
        <v>0</v>
      </c>
      <c r="CN516" s="693">
        <f>SUMIFS(Imput[Importe Neto],Imput[C. Imp.],$D516,Imput[PERIODO Imp.],CN$9)</f>
        <v>0</v>
      </c>
      <c r="CO516" s="693">
        <f>SUMIFS(Imput[Importe Neto],Imput[C. Imp.],$D516,Imput[PERIODO Imp.],CO$9)</f>
        <v>0</v>
      </c>
      <c r="CP516" s="693">
        <f>SUMIFS(Imput[Importe Neto],Imput[C. Imp.],$D516,Imput[PERIODO Imp.],CP$9)</f>
        <v>0</v>
      </c>
      <c r="CQ516" s="693">
        <f>SUMIFS(Imput[Importe Neto],Imput[C. Imp.],$D516,Imput[PERIODO Imp.],CQ$9)</f>
        <v>0</v>
      </c>
      <c r="CR516" s="693">
        <f>SUMIFS(Imput[Importe Neto],Imput[C. Imp.],$D516,Imput[PERIODO Imp.],CR$9)</f>
        <v>0</v>
      </c>
      <c r="CS516" s="693">
        <f>SUMIFS(Imput[Importe Neto],Imput[C. Imp.],$D516,Imput[PERIODO Imp.],CS$9)</f>
        <v>0</v>
      </c>
      <c r="CT516" s="693">
        <f>SUMIFS(Imput[Importe Neto],Imput[C. Imp.],$D516,Imput[PERIODO Imp.],CT$9)</f>
        <v>0</v>
      </c>
      <c r="CU516" s="693">
        <f>SUMIFS(Imput[Importe Neto],Imput[C. Imp.],$D516,Imput[PERIODO Imp.],CU$9)</f>
        <v>0</v>
      </c>
      <c r="CV516" s="693">
        <f>SUMIFS(Imput[Importe Neto],Imput[C. Imp.],$D516,Imput[PERIODO Imp.],CV$9)</f>
        <v>0</v>
      </c>
      <c r="CW516" s="693">
        <f>SUMIFS(Imput[Importe Neto],Imput[C. Imp.],$D516,Imput[PERIODO Imp.],CW$9)</f>
        <v>0</v>
      </c>
      <c r="CX516" s="693">
        <f>SUMIFS(Imput[Importe Neto],Imput[C. Imp.],$D516,Imput[PERIODO Imp.],CX$9)</f>
        <v>0</v>
      </c>
      <c r="CY516" s="693">
        <f>SUMIFS(Imput[Importe Neto],Imput[C. Imp.],$D516,Imput[PERIODO Imp.],CY$9)</f>
        <v>0</v>
      </c>
      <c r="CZ516" s="693">
        <f>SUMIFS(Imput[Importe Neto],Imput[C. Imp.],$D516,Imput[PERIODO Imp.],CZ$9)</f>
        <v>0</v>
      </c>
      <c r="DA516" s="693">
        <f>SUMIFS(Imput[Importe Neto],Imput[C. Imp.],$D516,Imput[PERIODO Imp.],DA$9)</f>
        <v>0</v>
      </c>
      <c r="DB516" s="693">
        <f>SUMIFS(Imput[Importe Neto],Imput[C. Imp.],$D516,Imput[PERIODO Imp.],DB$9)</f>
        <v>0</v>
      </c>
      <c r="DC516" s="693">
        <f>SUMIFS(Imput[Importe Neto],Imput[C. Imp.],$D516,Imput[PERIODO Imp.],DC$9)</f>
        <v>0</v>
      </c>
      <c r="DD516" s="693">
        <f>SUMIFS(Imput[Importe Neto],Imput[C. Imp.],$D516,Imput[PERIODO Imp.],DD$9)</f>
        <v>0</v>
      </c>
      <c r="DE516" s="693">
        <f>SUMIFS(Imput[Importe Neto],Imput[C. Imp.],$D516,Imput[PERIODO Imp.],DE$9)</f>
        <v>0</v>
      </c>
      <c r="DF516" s="693">
        <f>SUMIFS(Imput[Importe Neto],Imput[C. Imp.],$D516,Imput[PERIODO Imp.],DF$9)</f>
        <v>0</v>
      </c>
      <c r="DG516" s="693">
        <f>SUMIFS(Imput[Importe Neto],Imput[C. Imp.],$D516,Imput[PERIODO Imp.],DG$9)</f>
        <v>0</v>
      </c>
      <c r="DH516" s="694">
        <f>SUMIFS(Imput[Importe Neto],Imput[C. Imp.],$D516,Imput[PERIODO Imp.],DH$9)</f>
        <v>0</v>
      </c>
    </row>
    <row r="517" spans="1:112" s="649" customFormat="1" hidden="1" outlineLevel="1" x14ac:dyDescent="0.3">
      <c r="A517" s="652" t="str">
        <f t="shared" si="205"/>
        <v/>
      </c>
      <c r="B517" s="652"/>
      <c r="C517" s="685"/>
      <c r="D517" s="686" t="s">
        <v>2543</v>
      </c>
      <c r="E517" s="686"/>
      <c r="F517" s="720"/>
      <c r="G517" s="688"/>
      <c r="H517" s="689"/>
      <c r="I517" s="851" t="str">
        <f t="shared" si="206"/>
        <v/>
      </c>
      <c r="J517" s="850" t="str">
        <f t="shared" si="207"/>
        <v/>
      </c>
      <c r="K517" s="667"/>
      <c r="L517" s="858"/>
      <c r="M517" s="859"/>
      <c r="N517" s="859"/>
      <c r="O517" s="859"/>
      <c r="P517" s="859"/>
      <c r="Q517" s="859"/>
      <c r="R517" s="859"/>
      <c r="S517" s="859"/>
      <c r="T517" s="859"/>
      <c r="U517" s="859"/>
      <c r="V517" s="859"/>
      <c r="W517" s="859"/>
      <c r="X517" s="859"/>
      <c r="Y517" s="859"/>
      <c r="Z517" s="860"/>
      <c r="AA517" s="860"/>
      <c r="AB517" s="860"/>
      <c r="AC517" s="860"/>
      <c r="AD517" s="860"/>
      <c r="AE517" s="860"/>
      <c r="AF517" s="860"/>
      <c r="AG517" s="860"/>
      <c r="AH517" s="860"/>
      <c r="AI517" s="860"/>
      <c r="AJ517" s="860"/>
      <c r="AK517" s="860"/>
      <c r="AL517" s="860"/>
      <c r="AM517" s="860"/>
      <c r="AN517" s="860"/>
      <c r="AO517" s="860"/>
      <c r="AP517" s="860"/>
      <c r="AQ517" s="860"/>
      <c r="AR517" s="860"/>
      <c r="AS517" s="860"/>
      <c r="AT517" s="860"/>
      <c r="AU517" s="860"/>
      <c r="AV517" s="860"/>
      <c r="AW517" s="860"/>
      <c r="AX517" s="860"/>
      <c r="AY517" s="860"/>
      <c r="AZ517" s="860"/>
      <c r="BA517" s="860"/>
      <c r="BB517" s="860"/>
      <c r="BC517" s="860"/>
      <c r="BD517" s="860"/>
      <c r="BE517" s="860"/>
      <c r="BF517" s="860"/>
      <c r="BG517" s="860"/>
      <c r="BH517" s="668"/>
      <c r="BI517" s="667"/>
      <c r="BJ517" s="690">
        <f t="shared" si="208"/>
        <v>0</v>
      </c>
      <c r="BK517" s="691">
        <f t="shared" si="209"/>
        <v>0</v>
      </c>
      <c r="BL517" s="654"/>
      <c r="BM517" s="692">
        <f>SUMIFS(Imput[Importe Neto],Imput[C. Imp.],$D517,Imput[PERIODO Imp.],BM$9)</f>
        <v>0</v>
      </c>
      <c r="BN517" s="693">
        <f>SUMIFS(Imput[Importe Neto],Imput[C. Imp.],$D517,Imput[PERIODO Imp.],BN$9)</f>
        <v>0</v>
      </c>
      <c r="BO517" s="693">
        <f>SUMIFS(Imput[Importe Neto],Imput[C. Imp.],$D517,Imput[PERIODO Imp.],BO$9)</f>
        <v>0</v>
      </c>
      <c r="BP517" s="693">
        <f>SUMIFS(Imput[Importe Neto],Imput[C. Imp.],$D517,Imput[PERIODO Imp.],BP$9)</f>
        <v>0</v>
      </c>
      <c r="BQ517" s="693">
        <f>SUMIFS(Imput[Importe Neto],Imput[C. Imp.],$D517,Imput[PERIODO Imp.],BQ$9)</f>
        <v>0</v>
      </c>
      <c r="BR517" s="693">
        <f>SUMIFS(Imput[Importe Neto],Imput[C. Imp.],$D517,Imput[PERIODO Imp.],BR$9)</f>
        <v>0</v>
      </c>
      <c r="BS517" s="693">
        <f>SUMIFS(Imput[Importe Neto],Imput[C. Imp.],$D517,Imput[PERIODO Imp.],BS$9)</f>
        <v>0</v>
      </c>
      <c r="BT517" s="693">
        <f>SUMIFS(Imput[Importe Neto],Imput[C. Imp.],$D517,Imput[PERIODO Imp.],BT$9)</f>
        <v>0</v>
      </c>
      <c r="BU517" s="693">
        <f>SUMIFS(Imput[Importe Neto],Imput[C. Imp.],$D517,Imput[PERIODO Imp.],BU$9)</f>
        <v>0</v>
      </c>
      <c r="BV517" s="693">
        <f>SUMIFS(Imput[Importe Neto],Imput[C. Imp.],$D517,Imput[PERIODO Imp.],BV$9)</f>
        <v>0</v>
      </c>
      <c r="BW517" s="693">
        <f>SUMIFS(Imput[Importe Neto],Imput[C. Imp.],$D517,Imput[PERIODO Imp.],BW$9)</f>
        <v>0</v>
      </c>
      <c r="BX517" s="693">
        <f>SUMIFS(Imput[Importe Neto],Imput[C. Imp.],$D517,Imput[PERIODO Imp.],BX$9)</f>
        <v>0</v>
      </c>
      <c r="BY517" s="693">
        <f>SUMIFS(Imput[Importe Neto],Imput[C. Imp.],$D517,Imput[PERIODO Imp.],BY$9)</f>
        <v>0</v>
      </c>
      <c r="BZ517" s="693">
        <f>SUMIFS(Imput[Importe Neto],Imput[C. Imp.],$D517,Imput[PERIODO Imp.],BZ$9)</f>
        <v>0</v>
      </c>
      <c r="CA517" s="693">
        <f>SUMIFS(Imput[Importe Neto],Imput[C. Imp.],$D517,Imput[PERIODO Imp.],CA$9)</f>
        <v>0</v>
      </c>
      <c r="CB517" s="693">
        <f>SUMIFS(Imput[Importe Neto],Imput[C. Imp.],$D517,Imput[PERIODO Imp.],CB$9)</f>
        <v>0</v>
      </c>
      <c r="CC517" s="693">
        <f>SUMIFS(Imput[Importe Neto],Imput[C. Imp.],$D517,Imput[PERIODO Imp.],CC$9)</f>
        <v>0</v>
      </c>
      <c r="CD517" s="693">
        <f>SUMIFS(Imput[Importe Neto],Imput[C. Imp.],$D517,Imput[PERIODO Imp.],CD$9)</f>
        <v>0</v>
      </c>
      <c r="CE517" s="693">
        <f>SUMIFS(Imput[Importe Neto],Imput[C. Imp.],$D517,Imput[PERIODO Imp.],CE$9)</f>
        <v>0</v>
      </c>
      <c r="CF517" s="693">
        <f>SUMIFS(Imput[Importe Neto],Imput[C. Imp.],$D517,Imput[PERIODO Imp.],CF$9)</f>
        <v>0</v>
      </c>
      <c r="CG517" s="693">
        <f>SUMIFS(Imput[Importe Neto],Imput[C. Imp.],$D517,Imput[PERIODO Imp.],CG$9)</f>
        <v>0</v>
      </c>
      <c r="CH517" s="693">
        <f>SUMIFS(Imput[Importe Neto],Imput[C. Imp.],$D517,Imput[PERIODO Imp.],CH$9)</f>
        <v>0</v>
      </c>
      <c r="CI517" s="693">
        <f>SUMIFS(Imput[Importe Neto],Imput[C. Imp.],$D517,Imput[PERIODO Imp.],CI$9)</f>
        <v>0</v>
      </c>
      <c r="CJ517" s="693">
        <f>SUMIFS(Imput[Importe Neto],Imput[C. Imp.],$D517,Imput[PERIODO Imp.],CJ$9)</f>
        <v>0</v>
      </c>
      <c r="CK517" s="693">
        <f>SUMIFS(Imput[Importe Neto],Imput[C. Imp.],$D517,Imput[PERIODO Imp.],CK$9)</f>
        <v>0</v>
      </c>
      <c r="CL517" s="693">
        <f>SUMIFS(Imput[Importe Neto],Imput[C. Imp.],$D517,Imput[PERIODO Imp.],CL$9)</f>
        <v>0</v>
      </c>
      <c r="CM517" s="693">
        <f>SUMIFS(Imput[Importe Neto],Imput[C. Imp.],$D517,Imput[PERIODO Imp.],CM$9)</f>
        <v>0</v>
      </c>
      <c r="CN517" s="693">
        <f>SUMIFS(Imput[Importe Neto],Imput[C. Imp.],$D517,Imput[PERIODO Imp.],CN$9)</f>
        <v>0</v>
      </c>
      <c r="CO517" s="693">
        <f>SUMIFS(Imput[Importe Neto],Imput[C. Imp.],$D517,Imput[PERIODO Imp.],CO$9)</f>
        <v>0</v>
      </c>
      <c r="CP517" s="693">
        <f>SUMIFS(Imput[Importe Neto],Imput[C. Imp.],$D517,Imput[[PERIODO Imp.]:[PERIODO Imp.]],CP$9)</f>
        <v>0</v>
      </c>
      <c r="CQ517" s="693">
        <f>SUMIFS(Imput[[Importe Neto]:[Importe Neto]],Imput[[C. Imp.]:[C. Imp.]],$D517,Imput[[PERIODO Imp.]:[PERIODO Imp.]],CQ$9)</f>
        <v>0</v>
      </c>
      <c r="CR517" s="693">
        <f>SUMIFS(Imput[[Importe Neto]:[Importe Neto]],Imput[[C. Imp.]:[C. Imp.]],$D517,Imput[[PERIODO Imp.]:[PERIODO Imp.]],CR$9)</f>
        <v>0</v>
      </c>
      <c r="CS517" s="693">
        <f>SUMIFS(Imput[[Importe Neto]:[Importe Neto]],Imput[[C. Imp.]:[C. Imp.]],$D517,Imput[[PERIODO Imp.]:[PERIODO Imp.]],CS$9)</f>
        <v>0</v>
      </c>
      <c r="CT517" s="693">
        <f>SUMIFS(Imput[[Importe Neto]:[Importe Neto]],Imput[[C. Imp.]:[C. Imp.]],$D517,Imput[[PERIODO Imp.]:[PERIODO Imp.]],CT$9)</f>
        <v>0</v>
      </c>
      <c r="CU517" s="693">
        <f>SUMIFS(Imput[[Importe Neto]:[Importe Neto]],Imput[[C. Imp.]:[C. Imp.]],$D517,Imput[[PERIODO Imp.]:[PERIODO Imp.]],CU$9)</f>
        <v>0</v>
      </c>
      <c r="CV517" s="693">
        <f>SUMIFS(Imput[[Importe Neto]:[Importe Neto]],Imput[[C. Imp.]:[C. Imp.]],$D517,Imput[[PERIODO Imp.]:[PERIODO Imp.]],CV$9)</f>
        <v>0</v>
      </c>
      <c r="CW517" s="693">
        <f>SUMIFS(Imput[[Importe Neto]:[Importe Neto]],Imput[[C. Imp.]:[C. Imp.]],$D517,Imput[[PERIODO Imp.]:[PERIODO Imp.]],CW$9)</f>
        <v>0</v>
      </c>
      <c r="CX517" s="693">
        <f>SUMIFS(Imput[[Importe Neto]:[Importe Neto]],Imput[[C. Imp.]:[C. Imp.]],$D517,Imput[[PERIODO Imp.]:[PERIODO Imp.]],CX$9)</f>
        <v>0</v>
      </c>
      <c r="CY517" s="693">
        <f>SUMIFS(Imput[[Importe Neto]:[Importe Neto]],Imput[[C. Imp.]:[C. Imp.]],$D517,Imput[[PERIODO Imp.]:[PERIODO Imp.]],CY$9)</f>
        <v>0</v>
      </c>
      <c r="CZ517" s="693">
        <f>SUMIFS(Imput[[Importe Neto]:[Importe Neto]],Imput[[C. Imp.]:[C. Imp.]],$D517,Imput[[PERIODO Imp.]:[PERIODO Imp.]],CZ$9)</f>
        <v>0</v>
      </c>
      <c r="DA517" s="693">
        <f>SUMIFS(Imput[[Importe Neto]:[Importe Neto]],Imput[[C. Imp.]:[C. Imp.]],$D517,Imput[[PERIODO Imp.]:[PERIODO Imp.]],DA$9)</f>
        <v>0</v>
      </c>
      <c r="DB517" s="693">
        <f>SUMIFS(Imput[[Importe Neto]:[Importe Neto]],Imput[[C. Imp.]:[C. Imp.]],$D517,Imput[[PERIODO Imp.]:[PERIODO Imp.]],DB$9)</f>
        <v>0</v>
      </c>
      <c r="DC517" s="693">
        <f>SUMIFS(Imput[[Importe Neto]:[Importe Neto]],Imput[[C. Imp.]:[C. Imp.]],$D517,Imput[[PERIODO Imp.]:[PERIODO Imp.]],DC$9)</f>
        <v>0</v>
      </c>
      <c r="DD517" s="693">
        <f>SUMIFS(Imput[[Importe Neto]:[Importe Neto]],Imput[[C. Imp.]:[C. Imp.]],$D517,Imput[[PERIODO Imp.]:[PERIODO Imp.]],DD$9)</f>
        <v>0</v>
      </c>
      <c r="DE517" s="693">
        <f>SUMIFS(Imput[[Importe Neto]:[Importe Neto]],Imput[[C. Imp.]:[C. Imp.]],$D517,Imput[[PERIODO Imp.]:[PERIODO Imp.]],DE$9)</f>
        <v>0</v>
      </c>
      <c r="DF517" s="693">
        <f>SUMIFS(Imput[[Importe Neto]:[Importe Neto]],Imput[[C. Imp.]:[C. Imp.]],$D517,Imput[[PERIODO Imp.]:[PERIODO Imp.]],DF$9)</f>
        <v>0</v>
      </c>
      <c r="DG517" s="693">
        <f>SUMIFS(Imput[[Importe Neto]:[Importe Neto]],Imput[[C. Imp.]:[C. Imp.]],$D517,Imput[[PERIODO Imp.]:[PERIODO Imp.]],DG$9)</f>
        <v>0</v>
      </c>
      <c r="DH517" s="694">
        <f>SUMIFS(Imput[[Importe Neto]:[Importe Neto]],Imput[[C. Imp.]:[C. Imp.]],$D517,Imput[[PERIODO Imp.]:[PERIODO Imp.]],DH$9)</f>
        <v>0</v>
      </c>
    </row>
    <row r="518" spans="1:112" s="649" customFormat="1" hidden="1" outlineLevel="1" x14ac:dyDescent="0.3">
      <c r="A518" s="652" t="str">
        <f t="shared" si="205"/>
        <v/>
      </c>
      <c r="B518" s="652"/>
      <c r="C518" s="685"/>
      <c r="D518" s="686" t="s">
        <v>2544</v>
      </c>
      <c r="E518" s="686"/>
      <c r="F518" s="720"/>
      <c r="G518" s="688"/>
      <c r="H518" s="689"/>
      <c r="I518" s="851" t="str">
        <f t="shared" si="206"/>
        <v/>
      </c>
      <c r="J518" s="850" t="str">
        <f t="shared" si="207"/>
        <v/>
      </c>
      <c r="K518" s="667"/>
      <c r="L518" s="858"/>
      <c r="M518" s="859"/>
      <c r="N518" s="859"/>
      <c r="O518" s="859"/>
      <c r="P518" s="859"/>
      <c r="Q518" s="859"/>
      <c r="R518" s="859"/>
      <c r="S518" s="859"/>
      <c r="T518" s="859"/>
      <c r="U518" s="859"/>
      <c r="V518" s="859"/>
      <c r="W518" s="859"/>
      <c r="X518" s="859"/>
      <c r="Y518" s="859"/>
      <c r="Z518" s="860"/>
      <c r="AA518" s="860"/>
      <c r="AB518" s="860"/>
      <c r="AC518" s="860"/>
      <c r="AD518" s="860"/>
      <c r="AE518" s="860"/>
      <c r="AF518" s="860"/>
      <c r="AG518" s="860"/>
      <c r="AH518" s="860"/>
      <c r="AI518" s="860"/>
      <c r="AJ518" s="860"/>
      <c r="AK518" s="860"/>
      <c r="AL518" s="860"/>
      <c r="AM518" s="860"/>
      <c r="AN518" s="860"/>
      <c r="AO518" s="860"/>
      <c r="AP518" s="860"/>
      <c r="AQ518" s="860"/>
      <c r="AR518" s="860"/>
      <c r="AS518" s="860"/>
      <c r="AT518" s="860"/>
      <c r="AU518" s="860"/>
      <c r="AV518" s="860"/>
      <c r="AW518" s="860"/>
      <c r="AX518" s="860"/>
      <c r="AY518" s="860"/>
      <c r="AZ518" s="860"/>
      <c r="BA518" s="860"/>
      <c r="BB518" s="860"/>
      <c r="BC518" s="860"/>
      <c r="BD518" s="860"/>
      <c r="BE518" s="860"/>
      <c r="BF518" s="860"/>
      <c r="BG518" s="860"/>
      <c r="BH518" s="668"/>
      <c r="BI518" s="667"/>
      <c r="BJ518" s="690">
        <f t="shared" si="208"/>
        <v>0</v>
      </c>
      <c r="BK518" s="691">
        <f t="shared" si="209"/>
        <v>0</v>
      </c>
      <c r="BL518" s="654"/>
      <c r="BM518" s="692">
        <f>SUMIFS(Imput[[Importe Neto]:[Importe Neto]],Imput[[C. Imp.]:[C. Imp.]],$D518,Imput[[PERIODO Imp.]:[PERIODO Imp.]],BM$9)</f>
        <v>0</v>
      </c>
      <c r="BN518" s="693">
        <f>SUMIFS(Imput[[Importe Neto]:[Importe Neto]],Imput[[C. Imp.]:[C. Imp.]],$D518,Imput[[PERIODO Imp.]:[PERIODO Imp.]],BN$9)</f>
        <v>0</v>
      </c>
      <c r="BO518" s="693">
        <f>SUMIFS(Imput[[Importe Neto]:[Importe Neto]],Imput[[C. Imp.]:[C. Imp.]],$D518,Imput[[PERIODO Imp.]:[PERIODO Imp.]],BO$9)</f>
        <v>0</v>
      </c>
      <c r="BP518" s="693">
        <f>SUMIFS(Imput[[Importe Neto]:[Importe Neto]],Imput[[C. Imp.]:[C. Imp.]],$D518,Imput[[PERIODO Imp.]:[PERIODO Imp.]],BP$9)</f>
        <v>0</v>
      </c>
      <c r="BQ518" s="693">
        <f>SUMIFS(Imput[[Importe Neto]:[Importe Neto]],Imput[[C. Imp.]:[C. Imp.]],$D518,Imput[[PERIODO Imp.]:[PERIODO Imp.]],BQ$9)</f>
        <v>0</v>
      </c>
      <c r="BR518" s="693">
        <f>SUMIFS(Imput[[Importe Neto]:[Importe Neto]],Imput[[C. Imp.]:[C. Imp.]],$D518,Imput[[PERIODO Imp.]:[PERIODO Imp.]],BR$9)</f>
        <v>0</v>
      </c>
      <c r="BS518" s="693">
        <f>SUMIFS(Imput[[Importe Neto]:[Importe Neto]],Imput[[C. Imp.]:[C. Imp.]],$D518,Imput[[PERIODO Imp.]:[PERIODO Imp.]],BS$9)</f>
        <v>0</v>
      </c>
      <c r="BT518" s="693">
        <f>SUMIFS(Imput[[Importe Neto]:[Importe Neto]],Imput[[C. Imp.]:[C. Imp.]],$D518,Imput[[PERIODO Imp.]:[PERIODO Imp.]],BT$9)</f>
        <v>0</v>
      </c>
      <c r="BU518" s="693">
        <f>SUMIFS(Imput[[Importe Neto]:[Importe Neto]],Imput[[C. Imp.]:[C. Imp.]],$D518,Imput[[PERIODO Imp.]:[PERIODO Imp.]],BU$9)</f>
        <v>0</v>
      </c>
      <c r="BV518" s="693">
        <f>SUMIFS(Imput[[Importe Neto]:[Importe Neto]],Imput[[C. Imp.]:[C. Imp.]],$D518,Imput[[PERIODO Imp.]:[PERIODO Imp.]],BV$9)</f>
        <v>0</v>
      </c>
      <c r="BW518" s="693">
        <f>SUMIFS(Imput[[Importe Neto]:[Importe Neto]],Imput[[C. Imp.]:[C. Imp.]],$D518,Imput[[PERIODO Imp.]:[PERIODO Imp.]],BW$9)</f>
        <v>0</v>
      </c>
      <c r="BX518" s="693">
        <f>SUMIFS(Imput[[Importe Neto]:[Importe Neto]],Imput[[C. Imp.]:[C. Imp.]],$D518,Imput[[PERIODO Imp.]:[PERIODO Imp.]],BX$9)</f>
        <v>0</v>
      </c>
      <c r="BY518" s="693">
        <f>SUMIFS(Imput[[Importe Neto]:[Importe Neto]],Imput[[C. Imp.]:[C. Imp.]],$D518,Imput[[PERIODO Imp.]:[PERIODO Imp.]],BY$9)</f>
        <v>0</v>
      </c>
      <c r="BZ518" s="693">
        <f>SUMIFS(Imput[[Importe Neto]:[Importe Neto]],Imput[[C. Imp.]:[C. Imp.]],$D518,Imput[[PERIODO Imp.]:[PERIODO Imp.]],BZ$9)</f>
        <v>0</v>
      </c>
      <c r="CA518" s="693">
        <f>SUMIFS(Imput[[Importe Neto]:[Importe Neto]],Imput[[C. Imp.]:[C. Imp.]],$D518,Imput[[PERIODO Imp.]:[PERIODO Imp.]],CA$9)</f>
        <v>0</v>
      </c>
      <c r="CB518" s="693">
        <f>SUMIFS(Imput[[Importe Neto]:[Importe Neto]],Imput[[C. Imp.]:[C. Imp.]],$D518,Imput[[PERIODO Imp.]:[PERIODO Imp.]],CB$9)</f>
        <v>0</v>
      </c>
      <c r="CC518" s="693">
        <f>SUMIFS(Imput[[Importe Neto]:[Importe Neto]],Imput[[C. Imp.]:[C. Imp.]],$D518,Imput[[PERIODO Imp.]:[PERIODO Imp.]],CC$9)</f>
        <v>0</v>
      </c>
      <c r="CD518" s="693">
        <f>SUMIFS(Imput[[Importe Neto]:[Importe Neto]],Imput[[C. Imp.]:[C. Imp.]],$D518,Imput[[PERIODO Imp.]:[PERIODO Imp.]],CD$9)</f>
        <v>0</v>
      </c>
      <c r="CE518" s="693">
        <f>SUMIFS(Imput[[Importe Neto]:[Importe Neto]],Imput[[C. Imp.]:[C. Imp.]],$D518,Imput[[PERIODO Imp.]:[PERIODO Imp.]],CE$9)</f>
        <v>0</v>
      </c>
      <c r="CF518" s="693">
        <f>SUMIFS(Imput[[Importe Neto]:[Importe Neto]],Imput[[C. Imp.]:[C. Imp.]],$D518,Imput[[PERIODO Imp.]:[PERIODO Imp.]],CF$9)</f>
        <v>0</v>
      </c>
      <c r="CG518" s="693">
        <f>SUMIFS(Imput[[Importe Neto]:[Importe Neto]],Imput[[C. Imp.]:[C. Imp.]],$D518,Imput[[PERIODO Imp.]:[PERIODO Imp.]],CG$9)</f>
        <v>0</v>
      </c>
      <c r="CH518" s="693">
        <f>SUMIFS(Imput[[Importe Neto]:[Importe Neto]],Imput[[C. Imp.]:[C. Imp.]],$D518,Imput[[PERIODO Imp.]:[PERIODO Imp.]],CH$9)</f>
        <v>0</v>
      </c>
      <c r="CI518" s="693">
        <f>SUMIFS(Imput[[Importe Neto]:[Importe Neto]],Imput[[C. Imp.]:[C. Imp.]],$D518,Imput[[PERIODO Imp.]:[PERIODO Imp.]],CI$9)</f>
        <v>0</v>
      </c>
      <c r="CJ518" s="693">
        <f>SUMIFS(Imput[[Importe Neto]:[Importe Neto]],Imput[[C. Imp.]:[C. Imp.]],$D518,Imput[[PERIODO Imp.]:[PERIODO Imp.]],CJ$9)</f>
        <v>0</v>
      </c>
      <c r="CK518" s="693">
        <f>SUMIFS(Imput[[Importe Neto]:[Importe Neto]],Imput[[C. Imp.]:[C. Imp.]],$D518,Imput[[PERIODO Imp.]:[PERIODO Imp.]],CK$9)</f>
        <v>0</v>
      </c>
      <c r="CL518" s="693">
        <f>SUMIFS(Imput[[Importe Neto]:[Importe Neto]],Imput[[C. Imp.]:[C. Imp.]],$D518,Imput[[PERIODO Imp.]:[PERIODO Imp.]],CL$9)</f>
        <v>0</v>
      </c>
      <c r="CM518" s="693">
        <f>SUMIFS(Imput[[Importe Neto]:[Importe Neto]],Imput[[C. Imp.]:[C. Imp.]],$D518,Imput[[PERIODO Imp.]:[PERIODO Imp.]],CM$9)</f>
        <v>0</v>
      </c>
      <c r="CN518" s="693">
        <f>SUMIFS(Imput[[Importe Neto]:[Importe Neto]],Imput[[C. Imp.]:[C. Imp.]],$D518,Imput[[PERIODO Imp.]:[PERIODO Imp.]],CN$9)</f>
        <v>0</v>
      </c>
      <c r="CO518" s="693">
        <f>SUMIFS(Imput[[Importe Neto]:[Importe Neto]],Imput[[C. Imp.]:[C. Imp.]],$D518,Imput[[PERIODO Imp.]:[PERIODO Imp.]],CO$9)</f>
        <v>0</v>
      </c>
      <c r="CP518" s="693">
        <f>SUMIFS(Imput[[Importe Neto]:[Importe Neto]],Imput[[C. Imp.]:[C. Imp.]],$D518,Imput[[PERIODO Imp.]:[PERIODO Imp.]],CP$9)</f>
        <v>0</v>
      </c>
      <c r="CQ518" s="693">
        <f>SUMIFS(Imput[[Importe Neto]:[Importe Neto]],Imput[[C. Imp.]:[C. Imp.]],$D518,Imput[[PERIODO Imp.]:[PERIODO Imp.]],CQ$9)</f>
        <v>0</v>
      </c>
      <c r="CR518" s="693">
        <f>SUMIFS(Imput[[Importe Neto]:[Importe Neto]],Imput[[C. Imp.]:[C. Imp.]],$D518,Imput[[PERIODO Imp.]:[PERIODO Imp.]],CR$9)</f>
        <v>0</v>
      </c>
      <c r="CS518" s="693">
        <f>SUMIFS(Imput[[Importe Neto]:[Importe Neto]],Imput[[C. Imp.]:[C. Imp.]],$D518,Imput[[PERIODO Imp.]:[PERIODO Imp.]],CS$9)</f>
        <v>0</v>
      </c>
      <c r="CT518" s="693">
        <f>SUMIFS(Imput[[Importe Neto]:[Importe Neto]],Imput[[C. Imp.]:[C. Imp.]],$D518,Imput[[PERIODO Imp.]:[PERIODO Imp.]],CT$9)</f>
        <v>0</v>
      </c>
      <c r="CU518" s="693">
        <f>SUMIFS(Imput[[Importe Neto]:[Importe Neto]],Imput[[C. Imp.]:[C. Imp.]],$D518,Imput[[PERIODO Imp.]:[PERIODO Imp.]],CU$9)</f>
        <v>0</v>
      </c>
      <c r="CV518" s="693">
        <f>SUMIFS(Imput[[Importe Neto]:[Importe Neto]],Imput[[C. Imp.]:[C. Imp.]],$D518,Imput[[PERIODO Imp.]:[PERIODO Imp.]],CV$9)</f>
        <v>0</v>
      </c>
      <c r="CW518" s="693">
        <f>SUMIFS(Imput[[Importe Neto]:[Importe Neto]],Imput[[C. Imp.]:[C. Imp.]],$D518,Imput[[PERIODO Imp.]:[PERIODO Imp.]],CW$9)</f>
        <v>0</v>
      </c>
      <c r="CX518" s="693">
        <f>SUMIFS(Imput[[Importe Neto]:[Importe Neto]],Imput[[C. Imp.]:[C. Imp.]],$D518,Imput[[PERIODO Imp.]:[PERIODO Imp.]],CX$9)</f>
        <v>0</v>
      </c>
      <c r="CY518" s="693">
        <f>SUMIFS(Imput[[Importe Neto]:[Importe Neto]],Imput[[C. Imp.]:[C. Imp.]],$D518,Imput[[PERIODO Imp.]:[PERIODO Imp.]],CY$9)</f>
        <v>0</v>
      </c>
      <c r="CZ518" s="693">
        <f>SUMIFS(Imput[[Importe Neto]:[Importe Neto]],Imput[[C. Imp.]:[C. Imp.]],$D518,Imput[[PERIODO Imp.]:[PERIODO Imp.]],CZ$9)</f>
        <v>0</v>
      </c>
      <c r="DA518" s="693">
        <f>SUMIFS(Imput[[Importe Neto]:[Importe Neto]],Imput[[C. Imp.]:[C. Imp.]],$D518,Imput[[PERIODO Imp.]:[PERIODO Imp.]],DA$9)</f>
        <v>0</v>
      </c>
      <c r="DB518" s="693">
        <f>SUMIFS(Imput[[Importe Neto]:[Importe Neto]],Imput[[C. Imp.]:[C. Imp.]],$D518,Imput[[PERIODO Imp.]:[PERIODO Imp.]],DB$9)</f>
        <v>0</v>
      </c>
      <c r="DC518" s="693">
        <f>SUMIFS(Imput[[Importe Neto]:[Importe Neto]],Imput[[C. Imp.]:[C. Imp.]],$D518,Imput[[PERIODO Imp.]:[PERIODO Imp.]],DC$9)</f>
        <v>0</v>
      </c>
      <c r="DD518" s="693">
        <f>SUMIFS(Imput[[Importe Neto]:[Importe Neto]],Imput[[C. Imp.]:[C. Imp.]],$D518,Imput[[PERIODO Imp.]:[PERIODO Imp.]],DD$9)</f>
        <v>0</v>
      </c>
      <c r="DE518" s="693">
        <f>SUMIFS(Imput[[Importe Neto]:[Importe Neto]],Imput[[C. Imp.]:[C. Imp.]],$D518,Imput[[PERIODO Imp.]:[PERIODO Imp.]],DE$9)</f>
        <v>0</v>
      </c>
      <c r="DF518" s="693">
        <f>SUMIFS(Imput[[Importe Neto]:[Importe Neto]],Imput[[C. Imp.]:[C. Imp.]],$D518,Imput[[PERIODO Imp.]:[PERIODO Imp.]],DF$9)</f>
        <v>0</v>
      </c>
      <c r="DG518" s="693">
        <f>SUMIFS(Imput[[Importe Neto]:[Importe Neto]],Imput[[C. Imp.]:[C. Imp.]],$D518,Imput[[PERIODO Imp.]:[PERIODO Imp.]],DG$9)</f>
        <v>0</v>
      </c>
      <c r="DH518" s="694">
        <f>SUMIFS(Imput[[Importe Neto]:[Importe Neto]],Imput[[C. Imp.]:[C. Imp.]],$D518,Imput[[PERIODO Imp.]:[PERIODO Imp.]],DH$9)</f>
        <v>0</v>
      </c>
    </row>
    <row r="519" spans="1:112" s="649" customFormat="1" hidden="1" outlineLevel="1" x14ac:dyDescent="0.3">
      <c r="A519" s="652" t="str">
        <f t="shared" si="205"/>
        <v/>
      </c>
      <c r="B519" s="652"/>
      <c r="C519" s="685"/>
      <c r="D519" s="686" t="s">
        <v>2545</v>
      </c>
      <c r="E519" s="686"/>
      <c r="F519" s="720"/>
      <c r="G519" s="688"/>
      <c r="H519" s="689"/>
      <c r="I519" s="851" t="str">
        <f t="shared" si="206"/>
        <v/>
      </c>
      <c r="J519" s="850" t="str">
        <f t="shared" si="207"/>
        <v/>
      </c>
      <c r="K519" s="667"/>
      <c r="L519" s="858"/>
      <c r="M519" s="859"/>
      <c r="N519" s="859"/>
      <c r="O519" s="859"/>
      <c r="P519" s="859"/>
      <c r="Q519" s="859"/>
      <c r="R519" s="859"/>
      <c r="S519" s="859"/>
      <c r="T519" s="859"/>
      <c r="U519" s="859"/>
      <c r="V519" s="859"/>
      <c r="W519" s="859"/>
      <c r="X519" s="859"/>
      <c r="Y519" s="859"/>
      <c r="Z519" s="860"/>
      <c r="AA519" s="860"/>
      <c r="AB519" s="860"/>
      <c r="AC519" s="860"/>
      <c r="AD519" s="860"/>
      <c r="AE519" s="860"/>
      <c r="AF519" s="860"/>
      <c r="AG519" s="860"/>
      <c r="AH519" s="860"/>
      <c r="AI519" s="860"/>
      <c r="AJ519" s="860"/>
      <c r="AK519" s="860"/>
      <c r="AL519" s="860"/>
      <c r="AM519" s="860"/>
      <c r="AN519" s="860"/>
      <c r="AO519" s="860"/>
      <c r="AP519" s="860"/>
      <c r="AQ519" s="860"/>
      <c r="AR519" s="860"/>
      <c r="AS519" s="860"/>
      <c r="AT519" s="860"/>
      <c r="AU519" s="860"/>
      <c r="AV519" s="860"/>
      <c r="AW519" s="860"/>
      <c r="AX519" s="860"/>
      <c r="AY519" s="860"/>
      <c r="AZ519" s="860"/>
      <c r="BA519" s="860"/>
      <c r="BB519" s="860"/>
      <c r="BC519" s="860"/>
      <c r="BD519" s="860"/>
      <c r="BE519" s="860"/>
      <c r="BF519" s="860"/>
      <c r="BG519" s="860"/>
      <c r="BH519" s="780"/>
      <c r="BI519" s="654"/>
      <c r="BJ519" s="690">
        <f t="shared" si="208"/>
        <v>0</v>
      </c>
      <c r="BK519" s="691">
        <f t="shared" si="209"/>
        <v>0</v>
      </c>
      <c r="BL519" s="654"/>
      <c r="BM519" s="692">
        <f>SUMIFS(Imput[[Importe Neto]:[Importe Neto]],Imput[[C. Imp.]:[C. Imp.]],$D519,Imput[[PERIODO Imp.]:[PERIODO Imp.]],BM$9)</f>
        <v>0</v>
      </c>
      <c r="BN519" s="693">
        <f>SUMIFS(Imput[[Importe Neto]:[Importe Neto]],Imput[[C. Imp.]:[C. Imp.]],$D519,Imput[[PERIODO Imp.]:[PERIODO Imp.]],BN$9)</f>
        <v>0</v>
      </c>
      <c r="BO519" s="693">
        <f>SUMIFS(Imput[[Importe Neto]:[Importe Neto]],Imput[[C. Imp.]:[C. Imp.]],$D519,Imput[[PERIODO Imp.]:[PERIODO Imp.]],BO$9)</f>
        <v>0</v>
      </c>
      <c r="BP519" s="693">
        <f>SUMIFS(Imput[[Importe Neto]:[Importe Neto]],Imput[[C. Imp.]:[C. Imp.]],$D519,Imput[[PERIODO Imp.]:[PERIODO Imp.]],BP$9)</f>
        <v>0</v>
      </c>
      <c r="BQ519" s="693">
        <f>SUMIFS(Imput[[Importe Neto]:[Importe Neto]],Imput[[C. Imp.]:[C. Imp.]],$D519,Imput[[PERIODO Imp.]:[PERIODO Imp.]],BQ$9)</f>
        <v>0</v>
      </c>
      <c r="BR519" s="693">
        <f>SUMIFS(Imput[[Importe Neto]:[Importe Neto]],Imput[[C. Imp.]:[C. Imp.]],$D519,Imput[[PERIODO Imp.]:[PERIODO Imp.]],BR$9)</f>
        <v>0</v>
      </c>
      <c r="BS519" s="693">
        <f>SUMIFS(Imput[[Importe Neto]:[Importe Neto]],Imput[[C. Imp.]:[C. Imp.]],$D519,Imput[[PERIODO Imp.]:[PERIODO Imp.]],BS$9)</f>
        <v>0</v>
      </c>
      <c r="BT519" s="693">
        <f>SUMIFS(Imput[[Importe Neto]:[Importe Neto]],Imput[[C. Imp.]:[C. Imp.]],$D519,Imput[[PERIODO Imp.]:[PERIODO Imp.]],BT$9)</f>
        <v>0</v>
      </c>
      <c r="BU519" s="693">
        <f>SUMIFS(Imput[[Importe Neto]:[Importe Neto]],Imput[[C. Imp.]:[C. Imp.]],$D519,Imput[[PERIODO Imp.]:[PERIODO Imp.]],BU$9)</f>
        <v>0</v>
      </c>
      <c r="BV519" s="693">
        <f>SUMIFS(Imput[[Importe Neto]:[Importe Neto]],Imput[[C. Imp.]:[C. Imp.]],$D519,Imput[[PERIODO Imp.]:[PERIODO Imp.]],BV$9)</f>
        <v>0</v>
      </c>
      <c r="BW519" s="693">
        <f>SUMIFS(Imput[[Importe Neto]:[Importe Neto]],Imput[[C. Imp.]:[C. Imp.]],$D519,Imput[[PERIODO Imp.]:[PERIODO Imp.]],BW$9)</f>
        <v>0</v>
      </c>
      <c r="BX519" s="693">
        <f>SUMIFS(Imput[[Importe Neto]:[Importe Neto]],Imput[[C. Imp.]:[C. Imp.]],$D519,Imput[[PERIODO Imp.]:[PERIODO Imp.]],BX$9)</f>
        <v>0</v>
      </c>
      <c r="BY519" s="693">
        <f>SUMIFS(Imput[[Importe Neto]:[Importe Neto]],Imput[[C. Imp.]:[C. Imp.]],$D519,Imput[[PERIODO Imp.]:[PERIODO Imp.]],BY$9)</f>
        <v>0</v>
      </c>
      <c r="BZ519" s="693">
        <f>SUMIFS(Imput[[Importe Neto]:[Importe Neto]],Imput[[C. Imp.]:[C. Imp.]],$D519,Imput[[PERIODO Imp.]:[PERIODO Imp.]],BZ$9)</f>
        <v>0</v>
      </c>
      <c r="CA519" s="693">
        <f>SUMIFS(Imput[[Importe Neto]:[Importe Neto]],Imput[[C. Imp.]:[C. Imp.]],$D519,Imput[[PERIODO Imp.]:[PERIODO Imp.]],CA$9)</f>
        <v>0</v>
      </c>
      <c r="CB519" s="693">
        <f>SUMIFS(Imput[[Importe Neto]:[Importe Neto]],Imput[[C. Imp.]:[C. Imp.]],$D519,Imput[[PERIODO Imp.]:[PERIODO Imp.]],CB$9)</f>
        <v>0</v>
      </c>
      <c r="CC519" s="693">
        <f>SUMIFS(Imput[[Importe Neto]:[Importe Neto]],Imput[[C. Imp.]:[C. Imp.]],$D519,Imput[[PERIODO Imp.]:[PERIODO Imp.]],CC$9)</f>
        <v>0</v>
      </c>
      <c r="CD519" s="693">
        <f>SUMIFS(Imput[[Importe Neto]:[Importe Neto]],Imput[[C. Imp.]:[C. Imp.]],$D519,Imput[[PERIODO Imp.]:[PERIODO Imp.]],CD$9)</f>
        <v>0</v>
      </c>
      <c r="CE519" s="693">
        <f>SUMIFS(Imput[[Importe Neto]:[Importe Neto]],Imput[[C. Imp.]:[C. Imp.]],$D519,Imput[[PERIODO Imp.]:[PERIODO Imp.]],CE$9)</f>
        <v>0</v>
      </c>
      <c r="CF519" s="693">
        <f>SUMIFS(Imput[[Importe Neto]:[Importe Neto]],Imput[[C. Imp.]:[C. Imp.]],$D519,Imput[[PERIODO Imp.]:[PERIODO Imp.]],CF$9)</f>
        <v>0</v>
      </c>
      <c r="CG519" s="693">
        <f>SUMIFS(Imput[[Importe Neto]:[Importe Neto]],Imput[[C. Imp.]:[C. Imp.]],$D519,Imput[[PERIODO Imp.]:[PERIODO Imp.]],CG$9)</f>
        <v>0</v>
      </c>
      <c r="CH519" s="693">
        <f>SUMIFS(Imput[[Importe Neto]:[Importe Neto]],Imput[[C. Imp.]:[C. Imp.]],$D519,Imput[[PERIODO Imp.]:[PERIODO Imp.]],CH$9)</f>
        <v>0</v>
      </c>
      <c r="CI519" s="693">
        <f>SUMIFS(Imput[[Importe Neto]:[Importe Neto]],Imput[[C. Imp.]:[C. Imp.]],$D519,Imput[[PERIODO Imp.]:[PERIODO Imp.]],CI$9)</f>
        <v>0</v>
      </c>
      <c r="CJ519" s="693">
        <f>SUMIFS(Imput[[Importe Neto]:[Importe Neto]],Imput[[C. Imp.]:[C. Imp.]],$D519,Imput[[PERIODO Imp.]:[PERIODO Imp.]],CJ$9)</f>
        <v>0</v>
      </c>
      <c r="CK519" s="693">
        <f>SUMIFS(Imput[[Importe Neto]:[Importe Neto]],Imput[[C. Imp.]:[C. Imp.]],$D519,Imput[[PERIODO Imp.]:[PERIODO Imp.]],CK$9)</f>
        <v>0</v>
      </c>
      <c r="CL519" s="693">
        <f>SUMIFS(Imput[[Importe Neto]:[Importe Neto]],Imput[[C. Imp.]:[C. Imp.]],$D519,Imput[[PERIODO Imp.]:[PERIODO Imp.]],CL$9)</f>
        <v>0</v>
      </c>
      <c r="CM519" s="693">
        <f>SUMIFS(Imput[[Importe Neto]:[Importe Neto]],Imput[[C. Imp.]:[C. Imp.]],$D519,Imput[[PERIODO Imp.]:[PERIODO Imp.]],CM$9)</f>
        <v>0</v>
      </c>
      <c r="CN519" s="693">
        <f>SUMIFS(Imput[[Importe Neto]:[Importe Neto]],Imput[[C. Imp.]:[C. Imp.]],$D519,Imput[[PERIODO Imp.]:[PERIODO Imp.]],CN$9)</f>
        <v>0</v>
      </c>
      <c r="CO519" s="693">
        <f>SUMIFS(Imput[[Importe Neto]:[Importe Neto]],Imput[[C. Imp.]:[C. Imp.]],$D519,Imput[[PERIODO Imp.]:[PERIODO Imp.]],CO$9)</f>
        <v>0</v>
      </c>
      <c r="CP519" s="693">
        <f>SUMIFS(Imput[[Importe Neto]:[Importe Neto]],Imput[[C. Imp.]:[C. Imp.]],$D519,Imput[[PERIODO Imp.]:[PERIODO Imp.]],CP$9)</f>
        <v>0</v>
      </c>
      <c r="CQ519" s="693">
        <f>SUMIFS(Imput[[Importe Neto]:[Importe Neto]],Imput[[C. Imp.]:[C. Imp.]],$D519,Imput[[PERIODO Imp.]:[PERIODO Imp.]],CQ$9)</f>
        <v>0</v>
      </c>
      <c r="CR519" s="693">
        <f>SUMIFS(Imput[[Importe Neto]:[Importe Neto]],Imput[[C. Imp.]:[C. Imp.]],$D519,Imput[[PERIODO Imp.]:[PERIODO Imp.]],CR$9)</f>
        <v>0</v>
      </c>
      <c r="CS519" s="693">
        <f>SUMIFS(Imput[[Importe Neto]:[Importe Neto]],Imput[[C. Imp.]:[C. Imp.]],$D519,Imput[[PERIODO Imp.]:[PERIODO Imp.]],CS$9)</f>
        <v>0</v>
      </c>
      <c r="CT519" s="693">
        <f>SUMIFS(Imput[[Importe Neto]:[Importe Neto]],Imput[[C. Imp.]:[C. Imp.]],$D519,Imput[[PERIODO Imp.]:[PERIODO Imp.]],CT$9)</f>
        <v>0</v>
      </c>
      <c r="CU519" s="693">
        <f>SUMIFS(Imput[[Importe Neto]:[Importe Neto]],Imput[[C. Imp.]:[C. Imp.]],$D519,Imput[[PERIODO Imp.]:[PERIODO Imp.]],CU$9)</f>
        <v>0</v>
      </c>
      <c r="CV519" s="693">
        <f>SUMIFS(Imput[[Importe Neto]:[Importe Neto]],Imput[[C. Imp.]:[C. Imp.]],$D519,Imput[[PERIODO Imp.]:[PERIODO Imp.]],CV$9)</f>
        <v>0</v>
      </c>
      <c r="CW519" s="693">
        <f>SUMIFS(Imput[[Importe Neto]:[Importe Neto]],Imput[[C. Imp.]:[C. Imp.]],$D519,Imput[[PERIODO Imp.]:[PERIODO Imp.]],CW$9)</f>
        <v>0</v>
      </c>
      <c r="CX519" s="693">
        <f>SUMIFS(Imput[[Importe Neto]:[Importe Neto]],Imput[[C. Imp.]:[C. Imp.]],$D519,Imput[[PERIODO Imp.]:[PERIODO Imp.]],CX$9)</f>
        <v>0</v>
      </c>
      <c r="CY519" s="693">
        <f>SUMIFS(Imput[[Importe Neto]:[Importe Neto]],Imput[[C. Imp.]:[C. Imp.]],$D519,Imput[[PERIODO Imp.]:[PERIODO Imp.]],CY$9)</f>
        <v>0</v>
      </c>
      <c r="CZ519" s="693">
        <f>SUMIFS(Imput[[Importe Neto]:[Importe Neto]],Imput[[C. Imp.]:[C. Imp.]],$D519,Imput[[PERIODO Imp.]:[PERIODO Imp.]],CZ$9)</f>
        <v>0</v>
      </c>
      <c r="DA519" s="693">
        <f>SUMIFS(Imput[[Importe Neto]:[Importe Neto]],Imput[[C. Imp.]:[C. Imp.]],$D519,Imput[[PERIODO Imp.]:[PERIODO Imp.]],DA$9)</f>
        <v>0</v>
      </c>
      <c r="DB519" s="693">
        <f>SUMIFS(Imput[[Importe Neto]:[Importe Neto]],Imput[[C. Imp.]:[C. Imp.]],$D519,Imput[[PERIODO Imp.]:[PERIODO Imp.]],DB$9)</f>
        <v>0</v>
      </c>
      <c r="DC519" s="693">
        <f>SUMIFS(Imput[[Importe Neto]:[Importe Neto]],Imput[[C. Imp.]:[C. Imp.]],$D519,Imput[[PERIODO Imp.]:[PERIODO Imp.]],DC$9)</f>
        <v>0</v>
      </c>
      <c r="DD519" s="693">
        <f>SUMIFS(Imput[[Importe Neto]:[Importe Neto]],Imput[[C. Imp.]:[C. Imp.]],$D519,Imput[[PERIODO Imp.]:[PERIODO Imp.]],DD$9)</f>
        <v>0</v>
      </c>
      <c r="DE519" s="693">
        <f>SUMIFS(Imput[[Importe Neto]:[Importe Neto]],Imput[[C. Imp.]:[C. Imp.]],$D519,Imput[[PERIODO Imp.]:[PERIODO Imp.]],DE$9)</f>
        <v>0</v>
      </c>
      <c r="DF519" s="693">
        <f>SUMIFS(Imput[[Importe Neto]:[Importe Neto]],Imput[[C. Imp.]:[C. Imp.]],$D519,Imput[[PERIODO Imp.]:[PERIODO Imp.]],DF$9)</f>
        <v>0</v>
      </c>
      <c r="DG519" s="693">
        <f>SUMIFS(Imput[[Importe Neto]:[Importe Neto]],Imput[[C. Imp.]:[C. Imp.]],$D519,Imput[[PERIODO Imp.]:[PERIODO Imp.]],DG$9)</f>
        <v>0</v>
      </c>
      <c r="DH519" s="694">
        <f>SUMIFS(Imput[[Importe Neto]:[Importe Neto]],Imput[[C. Imp.]:[C. Imp.]],$D519,Imput[[PERIODO Imp.]:[PERIODO Imp.]],DH$9)</f>
        <v>0</v>
      </c>
    </row>
    <row r="520" spans="1:112" s="649" customFormat="1" hidden="1" outlineLevel="1" x14ac:dyDescent="0.3">
      <c r="A520" s="652" t="str">
        <f t="shared" si="205"/>
        <v/>
      </c>
      <c r="B520" s="652"/>
      <c r="C520" s="685"/>
      <c r="D520" s="686" t="s">
        <v>2546</v>
      </c>
      <c r="E520" s="686"/>
      <c r="F520" s="720"/>
      <c r="G520" s="688"/>
      <c r="H520" s="689"/>
      <c r="I520" s="851" t="str">
        <f t="shared" si="206"/>
        <v/>
      </c>
      <c r="J520" s="850" t="str">
        <f t="shared" si="207"/>
        <v/>
      </c>
      <c r="K520" s="678"/>
      <c r="L520" s="858"/>
      <c r="M520" s="859"/>
      <c r="N520" s="859"/>
      <c r="O520" s="859"/>
      <c r="P520" s="859"/>
      <c r="Q520" s="859"/>
      <c r="R520" s="859"/>
      <c r="S520" s="859"/>
      <c r="T520" s="859"/>
      <c r="U520" s="859"/>
      <c r="V520" s="859"/>
      <c r="W520" s="859"/>
      <c r="X520" s="859"/>
      <c r="Y520" s="859"/>
      <c r="Z520" s="860"/>
      <c r="AA520" s="860"/>
      <c r="AB520" s="860"/>
      <c r="AC520" s="860"/>
      <c r="AD520" s="860"/>
      <c r="AE520" s="860"/>
      <c r="AF520" s="860"/>
      <c r="AG520" s="860"/>
      <c r="AH520" s="860"/>
      <c r="AI520" s="860"/>
      <c r="AJ520" s="860"/>
      <c r="AK520" s="860"/>
      <c r="AL520" s="860"/>
      <c r="AM520" s="860"/>
      <c r="AN520" s="860"/>
      <c r="AO520" s="860"/>
      <c r="AP520" s="860"/>
      <c r="AQ520" s="860"/>
      <c r="AR520" s="860"/>
      <c r="AS520" s="860"/>
      <c r="AT520" s="860"/>
      <c r="AU520" s="860"/>
      <c r="AV520" s="860"/>
      <c r="AW520" s="860"/>
      <c r="AX520" s="860"/>
      <c r="AY520" s="860"/>
      <c r="AZ520" s="860"/>
      <c r="BA520" s="860"/>
      <c r="BB520" s="860"/>
      <c r="BC520" s="860"/>
      <c r="BD520" s="860"/>
      <c r="BE520" s="860"/>
      <c r="BF520" s="860"/>
      <c r="BG520" s="860"/>
      <c r="BH520" s="668"/>
      <c r="BI520" s="654"/>
      <c r="BJ520" s="690">
        <f t="shared" si="208"/>
        <v>0</v>
      </c>
      <c r="BK520" s="691">
        <f t="shared" si="209"/>
        <v>0</v>
      </c>
      <c r="BL520" s="654"/>
      <c r="BM520" s="692">
        <f>SUMIFS(Imput[[Importe Neto]:[Importe Neto]],Imput[[C. Imp.]:[C. Imp.]],$D520,Imput[[PERIODO Imp.]:[PERIODO Imp.]],BM$9)</f>
        <v>0</v>
      </c>
      <c r="BN520" s="693">
        <f>SUMIFS(Imput[[Importe Neto]:[Importe Neto]],Imput[[C. Imp.]:[C. Imp.]],$D520,Imput[[PERIODO Imp.]:[PERIODO Imp.]],BN$9)</f>
        <v>0</v>
      </c>
      <c r="BO520" s="693">
        <f>SUMIFS(Imput[[Importe Neto]:[Importe Neto]],Imput[[C. Imp.]:[C. Imp.]],$D520,Imput[[PERIODO Imp.]:[PERIODO Imp.]],BO$9)</f>
        <v>0</v>
      </c>
      <c r="BP520" s="693">
        <f>SUMIFS(Imput[[Importe Neto]:[Importe Neto]],Imput[[C. Imp.]:[C. Imp.]],$D520,Imput[[PERIODO Imp.]:[PERIODO Imp.]],BP$9)</f>
        <v>0</v>
      </c>
      <c r="BQ520" s="693">
        <f>SUMIFS(Imput[[Importe Neto]:[Importe Neto]],Imput[[C. Imp.]:[C. Imp.]],$D520,Imput[[PERIODO Imp.]:[PERIODO Imp.]],BQ$9)</f>
        <v>0</v>
      </c>
      <c r="BR520" s="693">
        <f>SUMIFS(Imput[[Importe Neto]:[Importe Neto]],Imput[[C. Imp.]:[C. Imp.]],$D520,Imput[[PERIODO Imp.]:[PERIODO Imp.]],BR$9)</f>
        <v>0</v>
      </c>
      <c r="BS520" s="693">
        <f>SUMIFS(Imput[[Importe Neto]:[Importe Neto]],Imput[[C. Imp.]:[C. Imp.]],$D520,Imput[[PERIODO Imp.]:[PERIODO Imp.]],BS$9)</f>
        <v>0</v>
      </c>
      <c r="BT520" s="693">
        <f>SUMIFS(Imput[[Importe Neto]:[Importe Neto]],Imput[[C. Imp.]:[C. Imp.]],$D520,Imput[[PERIODO Imp.]:[PERIODO Imp.]],BT$9)</f>
        <v>0</v>
      </c>
      <c r="BU520" s="693">
        <f>SUMIFS(Imput[[Importe Neto]:[Importe Neto]],Imput[[C. Imp.]:[C. Imp.]],$D520,Imput[[PERIODO Imp.]:[PERIODO Imp.]],BU$9)</f>
        <v>0</v>
      </c>
      <c r="BV520" s="693">
        <f>SUMIFS(Imput[[Importe Neto]:[Importe Neto]],Imput[[C. Imp.]:[C. Imp.]],$D520,Imput[[PERIODO Imp.]:[PERIODO Imp.]],BV$9)</f>
        <v>0</v>
      </c>
      <c r="BW520" s="693">
        <f>SUMIFS(Imput[[Importe Neto]:[Importe Neto]],Imput[[C. Imp.]:[C. Imp.]],$D520,Imput[[PERIODO Imp.]:[PERIODO Imp.]],BW$9)</f>
        <v>0</v>
      </c>
      <c r="BX520" s="693">
        <f>SUMIFS(Imput[[Importe Neto]:[Importe Neto]],Imput[[C. Imp.]:[C. Imp.]],$D520,Imput[[PERIODO Imp.]:[PERIODO Imp.]],BX$9)</f>
        <v>0</v>
      </c>
      <c r="BY520" s="693">
        <f>SUMIFS(Imput[[Importe Neto]:[Importe Neto]],Imput[[C. Imp.]:[C. Imp.]],$D520,Imput[[PERIODO Imp.]:[PERIODO Imp.]],BY$9)</f>
        <v>0</v>
      </c>
      <c r="BZ520" s="693">
        <f>SUMIFS(Imput[[Importe Neto]:[Importe Neto]],Imput[[C. Imp.]:[C. Imp.]],$D520,Imput[[PERIODO Imp.]:[PERIODO Imp.]],BZ$9)</f>
        <v>0</v>
      </c>
      <c r="CA520" s="693">
        <f>SUMIFS(Imput[[Importe Neto]:[Importe Neto]],Imput[[C. Imp.]:[C. Imp.]],$D520,Imput[[PERIODO Imp.]:[PERIODO Imp.]],CA$9)</f>
        <v>0</v>
      </c>
      <c r="CB520" s="693">
        <f>SUMIFS(Imput[[Importe Neto]:[Importe Neto]],Imput[[C. Imp.]:[C. Imp.]],$D520,Imput[[PERIODO Imp.]:[PERIODO Imp.]],CB$9)</f>
        <v>0</v>
      </c>
      <c r="CC520" s="693">
        <f>SUMIFS(Imput[[Importe Neto]:[Importe Neto]],Imput[[C. Imp.]:[C. Imp.]],$D520,Imput[[PERIODO Imp.]:[PERIODO Imp.]],CC$9)</f>
        <v>0</v>
      </c>
      <c r="CD520" s="693">
        <f>SUMIFS(Imput[[Importe Neto]:[Importe Neto]],Imput[[C. Imp.]:[C. Imp.]],$D520,Imput[[PERIODO Imp.]:[PERIODO Imp.]],CD$9)</f>
        <v>0</v>
      </c>
      <c r="CE520" s="693">
        <f>SUMIFS(Imput[[Importe Neto]:[Importe Neto]],Imput[[C. Imp.]:[C. Imp.]],$D520,Imput[[PERIODO Imp.]:[PERIODO Imp.]],CE$9)</f>
        <v>0</v>
      </c>
      <c r="CF520" s="693">
        <f>SUMIFS(Imput[[Importe Neto]:[Importe Neto]],Imput[[C. Imp.]:[C. Imp.]],$D520,Imput[[PERIODO Imp.]:[PERIODO Imp.]],CF$9)</f>
        <v>0</v>
      </c>
      <c r="CG520" s="693">
        <f>SUMIFS(Imput[[Importe Neto]:[Importe Neto]],Imput[[C. Imp.]:[C. Imp.]],$D520,Imput[[PERIODO Imp.]:[PERIODO Imp.]],CG$9)</f>
        <v>0</v>
      </c>
      <c r="CH520" s="693">
        <f>SUMIFS(Imput[[Importe Neto]:[Importe Neto]],Imput[[C. Imp.]:[C. Imp.]],$D520,Imput[[PERIODO Imp.]:[PERIODO Imp.]],CH$9)</f>
        <v>0</v>
      </c>
      <c r="CI520" s="693">
        <f>SUMIFS(Imput[[Importe Neto]:[Importe Neto]],Imput[[C. Imp.]:[C. Imp.]],$D520,Imput[[PERIODO Imp.]:[PERIODO Imp.]],CI$9)</f>
        <v>0</v>
      </c>
      <c r="CJ520" s="693">
        <f>SUMIFS(Imput[[Importe Neto]:[Importe Neto]],Imput[[C. Imp.]:[C. Imp.]],$D520,Imput[[PERIODO Imp.]:[PERIODO Imp.]],CJ$9)</f>
        <v>0</v>
      </c>
      <c r="CK520" s="693">
        <f>SUMIFS(Imput[[Importe Neto]:[Importe Neto]],Imput[[C. Imp.]:[C. Imp.]],$D520,Imput[[PERIODO Imp.]:[PERIODO Imp.]],CK$9)</f>
        <v>0</v>
      </c>
      <c r="CL520" s="693">
        <f>SUMIFS(Imput[[Importe Neto]:[Importe Neto]],Imput[[C. Imp.]:[C. Imp.]],$D520,Imput[[PERIODO Imp.]:[PERIODO Imp.]],CL$9)</f>
        <v>0</v>
      </c>
      <c r="CM520" s="693">
        <f>SUMIFS(Imput[[Importe Neto]:[Importe Neto]],Imput[[C. Imp.]:[C. Imp.]],$D520,Imput[[PERIODO Imp.]:[PERIODO Imp.]],CM$9)</f>
        <v>0</v>
      </c>
      <c r="CN520" s="693">
        <f>SUMIFS(Imput[[Importe Neto]:[Importe Neto]],Imput[[C. Imp.]:[C. Imp.]],$D520,Imput[[PERIODO Imp.]:[PERIODO Imp.]],CN$9)</f>
        <v>0</v>
      </c>
      <c r="CO520" s="693">
        <f>SUMIFS(Imput[[Importe Neto]:[Importe Neto]],Imput[[C. Imp.]:[C. Imp.]],$D520,Imput[[PERIODO Imp.]:[PERIODO Imp.]],CO$9)</f>
        <v>0</v>
      </c>
      <c r="CP520" s="693">
        <f>SUMIFS(Imput[[Importe Neto]:[Importe Neto]],Imput[[C. Imp.]:[C. Imp.]],$D520,Imput[[PERIODO Imp.]:[PERIODO Imp.]],CP$9)</f>
        <v>0</v>
      </c>
      <c r="CQ520" s="693">
        <f>SUMIFS(Imput[[Importe Neto]:[Importe Neto]],Imput[[C. Imp.]:[C. Imp.]],$D520,Imput[[PERIODO Imp.]:[PERIODO Imp.]],CQ$9)</f>
        <v>0</v>
      </c>
      <c r="CR520" s="693">
        <f>SUMIFS(Imput[[Importe Neto]:[Importe Neto]],Imput[[C. Imp.]:[C. Imp.]],$D520,Imput[[PERIODO Imp.]:[PERIODO Imp.]],CR$9)</f>
        <v>0</v>
      </c>
      <c r="CS520" s="693">
        <f>SUMIFS(Imput[[Importe Neto]:[Importe Neto]],Imput[[C. Imp.]:[C. Imp.]],$D520,Imput[[PERIODO Imp.]:[PERIODO Imp.]],CS$9)</f>
        <v>0</v>
      </c>
      <c r="CT520" s="693">
        <f>SUMIFS(Imput[[Importe Neto]:[Importe Neto]],Imput[[C. Imp.]:[C. Imp.]],$D520,Imput[[PERIODO Imp.]:[PERIODO Imp.]],CT$9)</f>
        <v>0</v>
      </c>
      <c r="CU520" s="693">
        <f>SUMIFS(Imput[[Importe Neto]:[Importe Neto]],Imput[[C. Imp.]:[C. Imp.]],$D520,Imput[[PERIODO Imp.]:[PERIODO Imp.]],CU$9)</f>
        <v>0</v>
      </c>
      <c r="CV520" s="693">
        <f>SUMIFS(Imput[[Importe Neto]:[Importe Neto]],Imput[[C. Imp.]:[C. Imp.]],$D520,Imput[[PERIODO Imp.]:[PERIODO Imp.]],CV$9)</f>
        <v>0</v>
      </c>
      <c r="CW520" s="693">
        <f>SUMIFS(Imput[[Importe Neto]:[Importe Neto]],Imput[[C. Imp.]:[C. Imp.]],$D520,Imput[[PERIODO Imp.]:[PERIODO Imp.]],CW$9)</f>
        <v>0</v>
      </c>
      <c r="CX520" s="693">
        <f>SUMIFS(Imput[[Importe Neto]:[Importe Neto]],Imput[[C. Imp.]:[C. Imp.]],$D520,Imput[[PERIODO Imp.]:[PERIODO Imp.]],CX$9)</f>
        <v>0</v>
      </c>
      <c r="CY520" s="693">
        <f>SUMIFS(Imput[[Importe Neto]:[Importe Neto]],Imput[[C. Imp.]:[C. Imp.]],$D520,Imput[[PERIODO Imp.]:[PERIODO Imp.]],CY$9)</f>
        <v>0</v>
      </c>
      <c r="CZ520" s="693">
        <f>SUMIFS(Imput[[Importe Neto]:[Importe Neto]],Imput[[C. Imp.]:[C. Imp.]],$D520,Imput[[PERIODO Imp.]:[PERIODO Imp.]],CZ$9)</f>
        <v>0</v>
      </c>
      <c r="DA520" s="693">
        <f>SUMIFS(Imput[[Importe Neto]:[Importe Neto]],Imput[[C. Imp.]:[C. Imp.]],$D520,Imput[[PERIODO Imp.]:[PERIODO Imp.]],DA$9)</f>
        <v>0</v>
      </c>
      <c r="DB520" s="693">
        <f>SUMIFS(Imput[[Importe Neto]:[Importe Neto]],Imput[[C. Imp.]:[C. Imp.]],$D520,Imput[[PERIODO Imp.]:[PERIODO Imp.]],DB$9)</f>
        <v>0</v>
      </c>
      <c r="DC520" s="693">
        <f>SUMIFS(Imput[[Importe Neto]:[Importe Neto]],Imput[[C. Imp.]:[C. Imp.]],$D520,Imput[[PERIODO Imp.]:[PERIODO Imp.]],DC$9)</f>
        <v>0</v>
      </c>
      <c r="DD520" s="693">
        <f>SUMIFS(Imput[[Importe Neto]:[Importe Neto]],Imput[[C. Imp.]:[C. Imp.]],$D520,Imput[[PERIODO Imp.]:[PERIODO Imp.]],DD$9)</f>
        <v>0</v>
      </c>
      <c r="DE520" s="693">
        <f>SUMIFS(Imput[[Importe Neto]:[Importe Neto]],Imput[[C. Imp.]:[C. Imp.]],$D520,Imput[[PERIODO Imp.]:[PERIODO Imp.]],DE$9)</f>
        <v>0</v>
      </c>
      <c r="DF520" s="693">
        <f>SUMIFS(Imput[[Importe Neto]:[Importe Neto]],Imput[[C. Imp.]:[C. Imp.]],$D520,Imput[[PERIODO Imp.]:[PERIODO Imp.]],DF$9)</f>
        <v>0</v>
      </c>
      <c r="DG520" s="693">
        <f>SUMIFS(Imput[[Importe Neto]:[Importe Neto]],Imput[[C. Imp.]:[C. Imp.]],$D520,Imput[[PERIODO Imp.]:[PERIODO Imp.]],DG$9)</f>
        <v>0</v>
      </c>
      <c r="DH520" s="694">
        <f>SUMIFS(Imput[[Importe Neto]:[Importe Neto]],Imput[[C. Imp.]:[C. Imp.]],$D520,Imput[[PERIODO Imp.]:[PERIODO Imp.]],DH$9)</f>
        <v>0</v>
      </c>
    </row>
    <row r="521" spans="1:112" s="649" customFormat="1" hidden="1" outlineLevel="1" x14ac:dyDescent="0.3">
      <c r="A521" s="652" t="str">
        <f t="shared" si="205"/>
        <v/>
      </c>
      <c r="B521" s="652"/>
      <c r="C521" s="685"/>
      <c r="D521" s="686" t="s">
        <v>2547</v>
      </c>
      <c r="E521" s="686"/>
      <c r="F521" s="720"/>
      <c r="G521" s="688"/>
      <c r="H521" s="689"/>
      <c r="I521" s="851" t="str">
        <f t="shared" si="206"/>
        <v/>
      </c>
      <c r="J521" s="850" t="str">
        <f t="shared" si="207"/>
        <v/>
      </c>
      <c r="K521" s="667"/>
      <c r="L521" s="858"/>
      <c r="M521" s="859"/>
      <c r="N521" s="859"/>
      <c r="O521" s="859"/>
      <c r="P521" s="859"/>
      <c r="Q521" s="859"/>
      <c r="R521" s="859"/>
      <c r="S521" s="859"/>
      <c r="T521" s="859"/>
      <c r="U521" s="859"/>
      <c r="V521" s="859"/>
      <c r="W521" s="859"/>
      <c r="X521" s="859"/>
      <c r="Y521" s="859"/>
      <c r="Z521" s="860"/>
      <c r="AA521" s="860"/>
      <c r="AB521" s="860"/>
      <c r="AC521" s="860"/>
      <c r="AD521" s="860"/>
      <c r="AE521" s="860"/>
      <c r="AF521" s="860"/>
      <c r="AG521" s="860"/>
      <c r="AH521" s="860"/>
      <c r="AI521" s="860"/>
      <c r="AJ521" s="860"/>
      <c r="AK521" s="860"/>
      <c r="AL521" s="860"/>
      <c r="AM521" s="860"/>
      <c r="AN521" s="860"/>
      <c r="AO521" s="860"/>
      <c r="AP521" s="860"/>
      <c r="AQ521" s="860"/>
      <c r="AR521" s="860"/>
      <c r="AS521" s="860"/>
      <c r="AT521" s="860"/>
      <c r="AU521" s="860"/>
      <c r="AV521" s="860"/>
      <c r="AW521" s="860"/>
      <c r="AX521" s="860"/>
      <c r="AY521" s="860"/>
      <c r="AZ521" s="860"/>
      <c r="BA521" s="860"/>
      <c r="BB521" s="860"/>
      <c r="BC521" s="860"/>
      <c r="BD521" s="860"/>
      <c r="BE521" s="860"/>
      <c r="BF521" s="860"/>
      <c r="BG521" s="860"/>
      <c r="BH521" s="668"/>
      <c r="BI521" s="667"/>
      <c r="BJ521" s="690">
        <f t="shared" si="208"/>
        <v>0</v>
      </c>
      <c r="BK521" s="691">
        <f t="shared" si="209"/>
        <v>0</v>
      </c>
      <c r="BL521" s="654"/>
      <c r="BM521" s="692">
        <f>SUMIFS(Imput[[Importe Neto]:[Importe Neto]],Imput[[C. Imp.]:[C. Imp.]],$D521,Imput[[PERIODO Imp.]:[PERIODO Imp.]],BM$9)</f>
        <v>0</v>
      </c>
      <c r="BN521" s="693">
        <f>SUMIFS(Imput[[Importe Neto]:[Importe Neto]],Imput[[C. Imp.]:[C. Imp.]],$D521,Imput[[PERIODO Imp.]:[PERIODO Imp.]],BN$9)</f>
        <v>0</v>
      </c>
      <c r="BO521" s="693">
        <f>SUMIFS(Imput[[Importe Neto]:[Importe Neto]],Imput[[C. Imp.]:[C. Imp.]],$D521,Imput[[PERIODO Imp.]:[PERIODO Imp.]],BO$9)</f>
        <v>0</v>
      </c>
      <c r="BP521" s="693">
        <f>SUMIFS(Imput[[Importe Neto]:[Importe Neto]],Imput[[C. Imp.]:[C. Imp.]],$D521,Imput[[PERIODO Imp.]:[PERIODO Imp.]],BP$9)</f>
        <v>0</v>
      </c>
      <c r="BQ521" s="693">
        <f>SUMIFS(Imput[[Importe Neto]:[Importe Neto]],Imput[[C. Imp.]:[C. Imp.]],$D521,Imput[[PERIODO Imp.]:[PERIODO Imp.]],BQ$9)</f>
        <v>0</v>
      </c>
      <c r="BR521" s="693">
        <f>SUMIFS(Imput[[Importe Neto]:[Importe Neto]],Imput[[C. Imp.]:[C. Imp.]],$D521,Imput[[PERIODO Imp.]:[PERIODO Imp.]],BR$9)</f>
        <v>0</v>
      </c>
      <c r="BS521" s="693">
        <f>SUMIFS(Imput[[Importe Neto]:[Importe Neto]],Imput[[C. Imp.]:[C. Imp.]],$D521,Imput[[PERIODO Imp.]:[PERIODO Imp.]],BS$9)</f>
        <v>0</v>
      </c>
      <c r="BT521" s="693">
        <f>SUMIFS(Imput[[Importe Neto]:[Importe Neto]],Imput[[C. Imp.]:[C. Imp.]],$D521,Imput[[PERIODO Imp.]:[PERIODO Imp.]],BT$9)</f>
        <v>0</v>
      </c>
      <c r="BU521" s="693">
        <f>SUMIFS(Imput[[Importe Neto]:[Importe Neto]],Imput[[C. Imp.]:[C. Imp.]],$D521,Imput[[PERIODO Imp.]:[PERIODO Imp.]],BU$9)</f>
        <v>0</v>
      </c>
      <c r="BV521" s="693">
        <f>SUMIFS(Imput[[Importe Neto]:[Importe Neto]],Imput[[C. Imp.]:[C. Imp.]],$D521,Imput[[PERIODO Imp.]:[PERIODO Imp.]],BV$9)</f>
        <v>0</v>
      </c>
      <c r="BW521" s="693">
        <f>SUMIFS(Imput[[Importe Neto]:[Importe Neto]],Imput[[C. Imp.]:[C. Imp.]],$D521,Imput[[PERIODO Imp.]:[PERIODO Imp.]],BW$9)</f>
        <v>0</v>
      </c>
      <c r="BX521" s="693">
        <f>SUMIFS(Imput[[Importe Neto]:[Importe Neto]],Imput[[C. Imp.]:[C. Imp.]],$D521,Imput[[PERIODO Imp.]:[PERIODO Imp.]],BX$9)</f>
        <v>0</v>
      </c>
      <c r="BY521" s="693">
        <f>SUMIFS(Imput[[Importe Neto]:[Importe Neto]],Imput[[C. Imp.]:[C. Imp.]],$D521,Imput[[PERIODO Imp.]:[PERIODO Imp.]],BY$9)</f>
        <v>0</v>
      </c>
      <c r="BZ521" s="693">
        <f>SUMIFS(Imput[[Importe Neto]:[Importe Neto]],Imput[[C. Imp.]:[C. Imp.]],$D521,Imput[[PERIODO Imp.]:[PERIODO Imp.]],BZ$9)</f>
        <v>0</v>
      </c>
      <c r="CA521" s="693">
        <f>SUMIFS(Imput[[Importe Neto]:[Importe Neto]],Imput[[C. Imp.]:[C. Imp.]],$D521,Imput[[PERIODO Imp.]:[PERIODO Imp.]],CA$9)</f>
        <v>0</v>
      </c>
      <c r="CB521" s="693">
        <f>SUMIFS(Imput[[Importe Neto]:[Importe Neto]],Imput[[C. Imp.]:[C. Imp.]],$D521,Imput[[PERIODO Imp.]:[PERIODO Imp.]],CB$9)</f>
        <v>0</v>
      </c>
      <c r="CC521" s="693">
        <f>SUMIFS(Imput[[Importe Neto]:[Importe Neto]],Imput[[C. Imp.]:[C. Imp.]],$D521,Imput[[PERIODO Imp.]:[PERIODO Imp.]],CC$9)</f>
        <v>0</v>
      </c>
      <c r="CD521" s="693">
        <f>SUMIFS(Imput[[Importe Neto]:[Importe Neto]],Imput[[C. Imp.]:[C. Imp.]],$D521,Imput[[PERIODO Imp.]:[PERIODO Imp.]],CD$9)</f>
        <v>0</v>
      </c>
      <c r="CE521" s="693">
        <f>SUMIFS(Imput[[Importe Neto]:[Importe Neto]],Imput[[C. Imp.]:[C. Imp.]],$D521,Imput[[PERIODO Imp.]:[PERIODO Imp.]],CE$9)</f>
        <v>0</v>
      </c>
      <c r="CF521" s="693">
        <f>SUMIFS(Imput[[Importe Neto]:[Importe Neto]],Imput[[C. Imp.]:[C. Imp.]],$D521,Imput[[PERIODO Imp.]:[PERIODO Imp.]],CF$9)</f>
        <v>0</v>
      </c>
      <c r="CG521" s="693">
        <f>SUMIFS(Imput[[Importe Neto]:[Importe Neto]],Imput[[C. Imp.]:[C. Imp.]],$D521,Imput[[PERIODO Imp.]:[PERIODO Imp.]],CG$9)</f>
        <v>0</v>
      </c>
      <c r="CH521" s="693">
        <f>SUMIFS(Imput[[Importe Neto]:[Importe Neto]],Imput[[C. Imp.]:[C. Imp.]],$D521,Imput[[PERIODO Imp.]:[PERIODO Imp.]],CH$9)</f>
        <v>0</v>
      </c>
      <c r="CI521" s="693">
        <f>SUMIFS(Imput[[Importe Neto]:[Importe Neto]],Imput[[C. Imp.]:[C. Imp.]],$D521,Imput[[PERIODO Imp.]:[PERIODO Imp.]],CI$9)</f>
        <v>0</v>
      </c>
      <c r="CJ521" s="693">
        <f>SUMIFS(Imput[[Importe Neto]:[Importe Neto]],Imput[[C. Imp.]:[C. Imp.]],$D521,Imput[[PERIODO Imp.]:[PERIODO Imp.]],CJ$9)</f>
        <v>0</v>
      </c>
      <c r="CK521" s="693">
        <f>SUMIFS(Imput[[Importe Neto]:[Importe Neto]],Imput[[C. Imp.]:[C. Imp.]],$D521,Imput[[PERIODO Imp.]:[PERIODO Imp.]],CK$9)</f>
        <v>0</v>
      </c>
      <c r="CL521" s="693">
        <f>SUMIFS(Imput[[Importe Neto]:[Importe Neto]],Imput[[C. Imp.]:[C. Imp.]],$D521,Imput[[PERIODO Imp.]:[PERIODO Imp.]],CL$9)</f>
        <v>0</v>
      </c>
      <c r="CM521" s="693">
        <f>SUMIFS(Imput[[Importe Neto]:[Importe Neto]],Imput[[C. Imp.]:[C. Imp.]],$D521,Imput[[PERIODO Imp.]:[PERIODO Imp.]],CM$9)</f>
        <v>0</v>
      </c>
      <c r="CN521" s="693">
        <f>SUMIFS(Imput[[Importe Neto]:[Importe Neto]],Imput[[C. Imp.]:[C. Imp.]],$D521,Imput[[PERIODO Imp.]:[PERIODO Imp.]],CN$9)</f>
        <v>0</v>
      </c>
      <c r="CO521" s="693">
        <f>SUMIFS(Imput[[Importe Neto]:[Importe Neto]],Imput[[C. Imp.]:[C. Imp.]],$D521,Imput[[PERIODO Imp.]:[PERIODO Imp.]],CO$9)</f>
        <v>0</v>
      </c>
      <c r="CP521" s="693">
        <f>SUMIFS(Imput[[Importe Neto]:[Importe Neto]],Imput[[C. Imp.]:[C. Imp.]],$D521,Imput[[PERIODO Imp.]:[PERIODO Imp.]],CP$9)</f>
        <v>0</v>
      </c>
      <c r="CQ521" s="693">
        <f>SUMIFS(Imput[[Importe Neto]:[Importe Neto]],Imput[[C. Imp.]:[C. Imp.]],$D521,Imput[[PERIODO Imp.]:[PERIODO Imp.]],CQ$9)</f>
        <v>0</v>
      </c>
      <c r="CR521" s="693">
        <f>SUMIFS(Imput[[Importe Neto]:[Importe Neto]],Imput[[C. Imp.]:[C. Imp.]],$D521,Imput[[PERIODO Imp.]:[PERIODO Imp.]],CR$9)</f>
        <v>0</v>
      </c>
      <c r="CS521" s="693">
        <f>SUMIFS(Imput[[Importe Neto]:[Importe Neto]],Imput[[C. Imp.]:[C. Imp.]],$D521,Imput[[PERIODO Imp.]:[PERIODO Imp.]],CS$9)</f>
        <v>0</v>
      </c>
      <c r="CT521" s="693">
        <f>SUMIFS(Imput[[Importe Neto]:[Importe Neto]],Imput[[C. Imp.]:[C. Imp.]],$D521,Imput[[PERIODO Imp.]:[PERIODO Imp.]],CT$9)</f>
        <v>0</v>
      </c>
      <c r="CU521" s="693">
        <f>SUMIFS(Imput[[Importe Neto]:[Importe Neto]],Imput[[C. Imp.]:[C. Imp.]],$D521,Imput[[PERIODO Imp.]:[PERIODO Imp.]],CU$9)</f>
        <v>0</v>
      </c>
      <c r="CV521" s="693">
        <f>SUMIFS(Imput[[Importe Neto]:[Importe Neto]],Imput[[C. Imp.]:[C. Imp.]],$D521,Imput[[PERIODO Imp.]:[PERIODO Imp.]],CV$9)</f>
        <v>0</v>
      </c>
      <c r="CW521" s="693">
        <f>SUMIFS(Imput[[Importe Neto]:[Importe Neto]],Imput[[C. Imp.]:[C. Imp.]],$D521,Imput[[PERIODO Imp.]:[PERIODO Imp.]],CW$9)</f>
        <v>0</v>
      </c>
      <c r="CX521" s="693">
        <f>SUMIFS(Imput[[Importe Neto]:[Importe Neto]],Imput[[C. Imp.]:[C. Imp.]],$D521,Imput[[PERIODO Imp.]:[PERIODO Imp.]],CX$9)</f>
        <v>0</v>
      </c>
      <c r="CY521" s="693">
        <f>SUMIFS(Imput[[Importe Neto]:[Importe Neto]],Imput[[C. Imp.]:[C. Imp.]],$D521,Imput[[PERIODO Imp.]:[PERIODO Imp.]],CY$9)</f>
        <v>0</v>
      </c>
      <c r="CZ521" s="693">
        <f>SUMIFS(Imput[[Importe Neto]:[Importe Neto]],Imput[[C. Imp.]:[C. Imp.]],$D521,Imput[[PERIODO Imp.]:[PERIODO Imp.]],CZ$9)</f>
        <v>0</v>
      </c>
      <c r="DA521" s="693">
        <f>SUMIFS(Imput[[Importe Neto]:[Importe Neto]],Imput[[C. Imp.]:[C. Imp.]],$D521,Imput[[PERIODO Imp.]:[PERIODO Imp.]],DA$9)</f>
        <v>0</v>
      </c>
      <c r="DB521" s="693">
        <f>SUMIFS(Imput[[Importe Neto]:[Importe Neto]],Imput[[C. Imp.]:[C. Imp.]],$D521,Imput[[PERIODO Imp.]:[PERIODO Imp.]],DB$9)</f>
        <v>0</v>
      </c>
      <c r="DC521" s="693">
        <f>SUMIFS(Imput[[Importe Neto]:[Importe Neto]],Imput[[C. Imp.]:[C. Imp.]],$D521,Imput[[PERIODO Imp.]:[PERIODO Imp.]],DC$9)</f>
        <v>0</v>
      </c>
      <c r="DD521" s="693">
        <f>SUMIFS(Imput[[Importe Neto]:[Importe Neto]],Imput[[C. Imp.]:[C. Imp.]],$D521,Imput[[PERIODO Imp.]:[PERIODO Imp.]],DD$9)</f>
        <v>0</v>
      </c>
      <c r="DE521" s="693">
        <f>SUMIFS(Imput[[Importe Neto]:[Importe Neto]],Imput[[C. Imp.]:[C. Imp.]],$D521,Imput[[PERIODO Imp.]:[PERIODO Imp.]],DE$9)</f>
        <v>0</v>
      </c>
      <c r="DF521" s="693">
        <f>SUMIFS(Imput[[Importe Neto]:[Importe Neto]],Imput[[C. Imp.]:[C. Imp.]],$D521,Imput[[PERIODO Imp.]:[PERIODO Imp.]],DF$9)</f>
        <v>0</v>
      </c>
      <c r="DG521" s="693">
        <f>SUMIFS(Imput[[Importe Neto]:[Importe Neto]],Imput[[C. Imp.]:[C. Imp.]],$D521,Imput[[PERIODO Imp.]:[PERIODO Imp.]],DG$9)</f>
        <v>0</v>
      </c>
      <c r="DH521" s="694">
        <f>SUMIFS(Imput[[Importe Neto]:[Importe Neto]],Imput[[C. Imp.]:[C. Imp.]],$D521,Imput[[PERIODO Imp.]:[PERIODO Imp.]],DH$9)</f>
        <v>0</v>
      </c>
    </row>
    <row r="522" spans="1:112" s="649" customFormat="1" hidden="1" outlineLevel="1" x14ac:dyDescent="0.3">
      <c r="A522" s="652" t="str">
        <f t="shared" si="205"/>
        <v/>
      </c>
      <c r="B522" s="652"/>
      <c r="C522" s="685"/>
      <c r="D522" s="686" t="s">
        <v>2548</v>
      </c>
      <c r="E522" s="686"/>
      <c r="F522" s="720"/>
      <c r="G522" s="688"/>
      <c r="H522" s="689"/>
      <c r="I522" s="851" t="str">
        <f t="shared" si="206"/>
        <v/>
      </c>
      <c r="J522" s="850" t="str">
        <f t="shared" si="207"/>
        <v/>
      </c>
      <c r="K522" s="667"/>
      <c r="L522" s="858"/>
      <c r="M522" s="859"/>
      <c r="N522" s="859"/>
      <c r="O522" s="859"/>
      <c r="P522" s="859"/>
      <c r="Q522" s="859"/>
      <c r="R522" s="859"/>
      <c r="S522" s="859"/>
      <c r="T522" s="859"/>
      <c r="U522" s="859"/>
      <c r="V522" s="859"/>
      <c r="W522" s="859"/>
      <c r="X522" s="859"/>
      <c r="Y522" s="859"/>
      <c r="Z522" s="860"/>
      <c r="AA522" s="860"/>
      <c r="AB522" s="860"/>
      <c r="AC522" s="860"/>
      <c r="AD522" s="860"/>
      <c r="AE522" s="860"/>
      <c r="AF522" s="860"/>
      <c r="AG522" s="860"/>
      <c r="AH522" s="860"/>
      <c r="AI522" s="860"/>
      <c r="AJ522" s="860"/>
      <c r="AK522" s="860"/>
      <c r="AL522" s="860"/>
      <c r="AM522" s="860"/>
      <c r="AN522" s="860"/>
      <c r="AO522" s="860"/>
      <c r="AP522" s="860"/>
      <c r="AQ522" s="860"/>
      <c r="AR522" s="860"/>
      <c r="AS522" s="860"/>
      <c r="AT522" s="860"/>
      <c r="AU522" s="860"/>
      <c r="AV522" s="860"/>
      <c r="AW522" s="860"/>
      <c r="AX522" s="860"/>
      <c r="AY522" s="860"/>
      <c r="AZ522" s="860"/>
      <c r="BA522" s="860"/>
      <c r="BB522" s="860"/>
      <c r="BC522" s="860"/>
      <c r="BD522" s="860"/>
      <c r="BE522" s="860"/>
      <c r="BF522" s="860"/>
      <c r="BG522" s="860"/>
      <c r="BH522" s="668"/>
      <c r="BI522" s="667"/>
      <c r="BJ522" s="690">
        <f t="shared" si="208"/>
        <v>0</v>
      </c>
      <c r="BK522" s="691">
        <f t="shared" si="209"/>
        <v>0</v>
      </c>
      <c r="BL522" s="654"/>
      <c r="BM522" s="692">
        <f>SUMIFS(Imput[[Importe Neto]:[Importe Neto]],Imput[[C. Imp.]:[C. Imp.]],$D522,Imput[[PERIODO Imp.]:[PERIODO Imp.]],BM$9)</f>
        <v>0</v>
      </c>
      <c r="BN522" s="693">
        <f>SUMIFS(Imput[[Importe Neto]:[Importe Neto]],Imput[[C. Imp.]:[C. Imp.]],$D522,Imput[[PERIODO Imp.]:[PERIODO Imp.]],BN$9)</f>
        <v>0</v>
      </c>
      <c r="BO522" s="693">
        <f>SUMIFS(Imput[[Importe Neto]:[Importe Neto]],Imput[[C. Imp.]:[C. Imp.]],$D522,Imput[[PERIODO Imp.]:[PERIODO Imp.]],BO$9)</f>
        <v>0</v>
      </c>
      <c r="BP522" s="693">
        <f>SUMIFS(Imput[[Importe Neto]:[Importe Neto]],Imput[[C. Imp.]:[C. Imp.]],$D522,Imput[[PERIODO Imp.]:[PERIODO Imp.]],BP$9)</f>
        <v>0</v>
      </c>
      <c r="BQ522" s="693">
        <f>SUMIFS(Imput[[Importe Neto]:[Importe Neto]],Imput[[C. Imp.]:[C. Imp.]],$D522,Imput[[PERIODO Imp.]:[PERIODO Imp.]],BQ$9)</f>
        <v>0</v>
      </c>
      <c r="BR522" s="693">
        <f>SUMIFS(Imput[[Importe Neto]:[Importe Neto]],Imput[[C. Imp.]:[C. Imp.]],$D522,Imput[[PERIODO Imp.]:[PERIODO Imp.]],BR$9)</f>
        <v>0</v>
      </c>
      <c r="BS522" s="693">
        <f>SUMIFS(Imput[[Importe Neto]:[Importe Neto]],Imput[[C. Imp.]:[C. Imp.]],$D522,Imput[[PERIODO Imp.]:[PERIODO Imp.]],BS$9)</f>
        <v>0</v>
      </c>
      <c r="BT522" s="693">
        <f>SUMIFS(Imput[[Importe Neto]:[Importe Neto]],Imput[[C. Imp.]:[C. Imp.]],$D522,Imput[[PERIODO Imp.]:[PERIODO Imp.]],BT$9)</f>
        <v>0</v>
      </c>
      <c r="BU522" s="693">
        <f>SUMIFS(Imput[[Importe Neto]:[Importe Neto]],Imput[[C. Imp.]:[C. Imp.]],$D522,Imput[[PERIODO Imp.]:[PERIODO Imp.]],BU$9)</f>
        <v>0</v>
      </c>
      <c r="BV522" s="693">
        <f>SUMIFS(Imput[[Importe Neto]:[Importe Neto]],Imput[[C. Imp.]:[C. Imp.]],$D522,Imput[[PERIODO Imp.]:[PERIODO Imp.]],BV$9)</f>
        <v>0</v>
      </c>
      <c r="BW522" s="693">
        <f>SUMIFS(Imput[[Importe Neto]:[Importe Neto]],Imput[[C. Imp.]:[C. Imp.]],$D522,Imput[[PERIODO Imp.]:[PERIODO Imp.]],BW$9)</f>
        <v>0</v>
      </c>
      <c r="BX522" s="693">
        <f>SUMIFS(Imput[[Importe Neto]:[Importe Neto]],Imput[[C. Imp.]:[C. Imp.]],$D522,Imput[[PERIODO Imp.]:[PERIODO Imp.]],BX$9)</f>
        <v>0</v>
      </c>
      <c r="BY522" s="693">
        <f>SUMIFS(Imput[[Importe Neto]:[Importe Neto]],Imput[[C. Imp.]:[C. Imp.]],$D522,Imput[[PERIODO Imp.]:[PERIODO Imp.]],BY$9)</f>
        <v>0</v>
      </c>
      <c r="BZ522" s="693">
        <f>SUMIFS(Imput[[Importe Neto]:[Importe Neto]],Imput[[C. Imp.]:[C. Imp.]],$D522,Imput[[PERIODO Imp.]:[PERIODO Imp.]],BZ$9)</f>
        <v>0</v>
      </c>
      <c r="CA522" s="693">
        <f>SUMIFS(Imput[[Importe Neto]:[Importe Neto]],Imput[[C. Imp.]:[C. Imp.]],$D522,Imput[[PERIODO Imp.]:[PERIODO Imp.]],CA$9)</f>
        <v>0</v>
      </c>
      <c r="CB522" s="693">
        <f>SUMIFS(Imput[[Importe Neto]:[Importe Neto]],Imput[[C. Imp.]:[C. Imp.]],$D522,Imput[[PERIODO Imp.]:[PERIODO Imp.]],CB$9)</f>
        <v>0</v>
      </c>
      <c r="CC522" s="693">
        <f>SUMIFS(Imput[[Importe Neto]:[Importe Neto]],Imput[[C. Imp.]:[C. Imp.]],$D522,Imput[[PERIODO Imp.]:[PERIODO Imp.]],CC$9)</f>
        <v>0</v>
      </c>
      <c r="CD522" s="693">
        <f>SUMIFS(Imput[[Importe Neto]:[Importe Neto]],Imput[[C. Imp.]:[C. Imp.]],$D522,Imput[[PERIODO Imp.]:[PERIODO Imp.]],CD$9)</f>
        <v>0</v>
      </c>
      <c r="CE522" s="693">
        <f>SUMIFS(Imput[[Importe Neto]:[Importe Neto]],Imput[[C. Imp.]:[C. Imp.]],$D522,Imput[[PERIODO Imp.]:[PERIODO Imp.]],CE$9)</f>
        <v>0</v>
      </c>
      <c r="CF522" s="693">
        <f>SUMIFS(Imput[[Importe Neto]:[Importe Neto]],Imput[[C. Imp.]:[C. Imp.]],$D522,Imput[[PERIODO Imp.]:[PERIODO Imp.]],CF$9)</f>
        <v>0</v>
      </c>
      <c r="CG522" s="693">
        <f>SUMIFS(Imput[[Importe Neto]:[Importe Neto]],Imput[[C. Imp.]:[C. Imp.]],$D522,Imput[[PERIODO Imp.]:[PERIODO Imp.]],CG$9)</f>
        <v>0</v>
      </c>
      <c r="CH522" s="693">
        <f>SUMIFS(Imput[[Importe Neto]:[Importe Neto]],Imput[[C. Imp.]:[C. Imp.]],$D522,Imput[[PERIODO Imp.]:[PERIODO Imp.]],CH$9)</f>
        <v>0</v>
      </c>
      <c r="CI522" s="693">
        <f>SUMIFS(Imput[[Importe Neto]:[Importe Neto]],Imput[[C. Imp.]:[C. Imp.]],$D522,Imput[[PERIODO Imp.]:[PERIODO Imp.]],CI$9)</f>
        <v>0</v>
      </c>
      <c r="CJ522" s="693">
        <f>SUMIFS(Imput[[Importe Neto]:[Importe Neto]],Imput[[C. Imp.]:[C. Imp.]],$D522,Imput[[PERIODO Imp.]:[PERIODO Imp.]],CJ$9)</f>
        <v>0</v>
      </c>
      <c r="CK522" s="693">
        <f>SUMIFS(Imput[[Importe Neto]:[Importe Neto]],Imput[[C. Imp.]:[C. Imp.]],$D522,Imput[[PERIODO Imp.]:[PERIODO Imp.]],CK$9)</f>
        <v>0</v>
      </c>
      <c r="CL522" s="693">
        <f>SUMIFS(Imput[[Importe Neto]:[Importe Neto]],Imput[[C. Imp.]:[C. Imp.]],$D522,Imput[[PERIODO Imp.]:[PERIODO Imp.]],CL$9)</f>
        <v>0</v>
      </c>
      <c r="CM522" s="693">
        <f>SUMIFS(Imput[[Importe Neto]:[Importe Neto]],Imput[[C. Imp.]:[C. Imp.]],$D522,Imput[[PERIODO Imp.]:[PERIODO Imp.]],CM$9)</f>
        <v>0</v>
      </c>
      <c r="CN522" s="693">
        <f>SUMIFS(Imput[[Importe Neto]:[Importe Neto]],Imput[[C. Imp.]:[C. Imp.]],$D522,Imput[[PERIODO Imp.]:[PERIODO Imp.]],CN$9)</f>
        <v>0</v>
      </c>
      <c r="CO522" s="693">
        <f>SUMIFS(Imput[[Importe Neto]:[Importe Neto]],Imput[[C. Imp.]:[C. Imp.]],$D522,Imput[[PERIODO Imp.]:[PERIODO Imp.]],CO$9)</f>
        <v>0</v>
      </c>
      <c r="CP522" s="693">
        <f>SUMIFS(Imput[[Importe Neto]:[Importe Neto]],Imput[[C. Imp.]:[C. Imp.]],$D522,Imput[[PERIODO Imp.]:[PERIODO Imp.]],CP$9)</f>
        <v>0</v>
      </c>
      <c r="CQ522" s="693">
        <f>SUMIFS(Imput[[Importe Neto]:[Importe Neto]],Imput[[C. Imp.]:[C. Imp.]],$D522,Imput[[PERIODO Imp.]:[PERIODO Imp.]],CQ$9)</f>
        <v>0</v>
      </c>
      <c r="CR522" s="693">
        <f>SUMIFS(Imput[[Importe Neto]:[Importe Neto]],Imput[[C. Imp.]:[C. Imp.]],$D522,Imput[[PERIODO Imp.]:[PERIODO Imp.]],CR$9)</f>
        <v>0</v>
      </c>
      <c r="CS522" s="693">
        <f>SUMIFS(Imput[[Importe Neto]:[Importe Neto]],Imput[[C. Imp.]:[C. Imp.]],$D522,Imput[[PERIODO Imp.]:[PERIODO Imp.]],CS$9)</f>
        <v>0</v>
      </c>
      <c r="CT522" s="693">
        <f>SUMIFS(Imput[[Importe Neto]:[Importe Neto]],Imput[[C. Imp.]:[C. Imp.]],$D522,Imput[[PERIODO Imp.]:[PERIODO Imp.]],CT$9)</f>
        <v>0</v>
      </c>
      <c r="CU522" s="693">
        <f>SUMIFS(Imput[[Importe Neto]:[Importe Neto]],Imput[[C. Imp.]:[C. Imp.]],$D522,Imput[[PERIODO Imp.]:[PERIODO Imp.]],CU$9)</f>
        <v>0</v>
      </c>
      <c r="CV522" s="693">
        <f>SUMIFS(Imput[[Importe Neto]:[Importe Neto]],Imput[[C. Imp.]:[C. Imp.]],$D522,Imput[[PERIODO Imp.]:[PERIODO Imp.]],CV$9)</f>
        <v>0</v>
      </c>
      <c r="CW522" s="693">
        <f>SUMIFS(Imput[[Importe Neto]:[Importe Neto]],Imput[[C. Imp.]:[C. Imp.]],$D522,Imput[[PERIODO Imp.]:[PERIODO Imp.]],CW$9)</f>
        <v>0</v>
      </c>
      <c r="CX522" s="693">
        <f>SUMIFS(Imput[[Importe Neto]:[Importe Neto]],Imput[[C. Imp.]:[C. Imp.]],$D522,Imput[[PERIODO Imp.]:[PERIODO Imp.]],CX$9)</f>
        <v>0</v>
      </c>
      <c r="CY522" s="693">
        <f>SUMIFS(Imput[[Importe Neto]:[Importe Neto]],Imput[[C. Imp.]:[C. Imp.]],$D522,Imput[[PERIODO Imp.]:[PERIODO Imp.]],CY$9)</f>
        <v>0</v>
      </c>
      <c r="CZ522" s="693">
        <f>SUMIFS(Imput[[Importe Neto]:[Importe Neto]],Imput[[C. Imp.]:[C. Imp.]],$D522,Imput[[PERIODO Imp.]:[PERIODO Imp.]],CZ$9)</f>
        <v>0</v>
      </c>
      <c r="DA522" s="693">
        <f>SUMIFS(Imput[[Importe Neto]:[Importe Neto]],Imput[[C. Imp.]:[C. Imp.]],$D522,Imput[[PERIODO Imp.]:[PERIODO Imp.]],DA$9)</f>
        <v>0</v>
      </c>
      <c r="DB522" s="693">
        <f>SUMIFS(Imput[[Importe Neto]:[Importe Neto]],Imput[[C. Imp.]:[C. Imp.]],$D522,Imput[[PERIODO Imp.]:[PERIODO Imp.]],DB$9)</f>
        <v>0</v>
      </c>
      <c r="DC522" s="693">
        <f>SUMIFS(Imput[[Importe Neto]:[Importe Neto]],Imput[[C. Imp.]:[C. Imp.]],$D522,Imput[[PERIODO Imp.]:[PERIODO Imp.]],DC$9)</f>
        <v>0</v>
      </c>
      <c r="DD522" s="693">
        <f>SUMIFS(Imput[[Importe Neto]:[Importe Neto]],Imput[[C. Imp.]:[C. Imp.]],$D522,Imput[[PERIODO Imp.]:[PERIODO Imp.]],DD$9)</f>
        <v>0</v>
      </c>
      <c r="DE522" s="693">
        <f>SUMIFS(Imput[[Importe Neto]:[Importe Neto]],Imput[[C. Imp.]:[C. Imp.]],$D522,Imput[[PERIODO Imp.]:[PERIODO Imp.]],DE$9)</f>
        <v>0</v>
      </c>
      <c r="DF522" s="693">
        <f>SUMIFS(Imput[[Importe Neto]:[Importe Neto]],Imput[[C. Imp.]:[C. Imp.]],$D522,Imput[[PERIODO Imp.]:[PERIODO Imp.]],DF$9)</f>
        <v>0</v>
      </c>
      <c r="DG522" s="693">
        <f>SUMIFS(Imput[[Importe Neto]:[Importe Neto]],Imput[[C. Imp.]:[C. Imp.]],$D522,Imput[[PERIODO Imp.]:[PERIODO Imp.]],DG$9)</f>
        <v>0</v>
      </c>
      <c r="DH522" s="694">
        <f>SUMIFS(Imput[[Importe Neto]:[Importe Neto]],Imput[[C. Imp.]:[C. Imp.]],$D522,Imput[[PERIODO Imp.]:[PERIODO Imp.]],DH$9)</f>
        <v>0</v>
      </c>
    </row>
    <row r="523" spans="1:112" s="649" customFormat="1" hidden="1" outlineLevel="1" x14ac:dyDescent="0.3">
      <c r="A523" s="652" t="str">
        <f t="shared" si="205"/>
        <v/>
      </c>
      <c r="B523" s="652"/>
      <c r="C523" s="685"/>
      <c r="D523" s="686" t="s">
        <v>2549</v>
      </c>
      <c r="E523" s="686"/>
      <c r="F523" s="720"/>
      <c r="G523" s="688"/>
      <c r="H523" s="689"/>
      <c r="I523" s="851" t="str">
        <f t="shared" si="206"/>
        <v/>
      </c>
      <c r="J523" s="850" t="str">
        <f t="shared" si="207"/>
        <v/>
      </c>
      <c r="K523" s="667"/>
      <c r="L523" s="858"/>
      <c r="M523" s="859"/>
      <c r="N523" s="859"/>
      <c r="O523" s="859"/>
      <c r="P523" s="859"/>
      <c r="Q523" s="859"/>
      <c r="R523" s="859"/>
      <c r="S523" s="859"/>
      <c r="T523" s="859"/>
      <c r="U523" s="859"/>
      <c r="V523" s="859"/>
      <c r="W523" s="859"/>
      <c r="X523" s="859"/>
      <c r="Y523" s="859"/>
      <c r="Z523" s="860"/>
      <c r="AA523" s="860"/>
      <c r="AB523" s="860"/>
      <c r="AC523" s="860"/>
      <c r="AD523" s="860"/>
      <c r="AE523" s="860"/>
      <c r="AF523" s="860"/>
      <c r="AG523" s="860"/>
      <c r="AH523" s="860"/>
      <c r="AI523" s="860"/>
      <c r="AJ523" s="860"/>
      <c r="AK523" s="860"/>
      <c r="AL523" s="860"/>
      <c r="AM523" s="860"/>
      <c r="AN523" s="860"/>
      <c r="AO523" s="860"/>
      <c r="AP523" s="860"/>
      <c r="AQ523" s="860"/>
      <c r="AR523" s="860"/>
      <c r="AS523" s="860"/>
      <c r="AT523" s="860"/>
      <c r="AU523" s="860"/>
      <c r="AV523" s="860"/>
      <c r="AW523" s="860"/>
      <c r="AX523" s="860"/>
      <c r="AY523" s="860"/>
      <c r="AZ523" s="860"/>
      <c r="BA523" s="860"/>
      <c r="BB523" s="860"/>
      <c r="BC523" s="860"/>
      <c r="BD523" s="860"/>
      <c r="BE523" s="860"/>
      <c r="BF523" s="860"/>
      <c r="BG523" s="860"/>
      <c r="BH523" s="668"/>
      <c r="BI523" s="667"/>
      <c r="BJ523" s="690">
        <f t="shared" si="208"/>
        <v>0</v>
      </c>
      <c r="BK523" s="691">
        <f t="shared" si="209"/>
        <v>0</v>
      </c>
      <c r="BL523" s="654"/>
      <c r="BM523" s="692">
        <f>SUMIFS(Imput[[Importe Neto]:[Importe Neto]],Imput[[C. Imp.]:[C. Imp.]],$D523,Imput[[PERIODO Imp.]:[PERIODO Imp.]],BM$9)</f>
        <v>0</v>
      </c>
      <c r="BN523" s="693">
        <f>SUMIFS(Imput[[Importe Neto]:[Importe Neto]],Imput[[C. Imp.]:[C. Imp.]],$D523,Imput[[PERIODO Imp.]:[PERIODO Imp.]],BN$9)</f>
        <v>0</v>
      </c>
      <c r="BO523" s="693">
        <f>SUMIFS(Imput[[Importe Neto]:[Importe Neto]],Imput[[C. Imp.]:[C. Imp.]],$D523,Imput[[PERIODO Imp.]:[PERIODO Imp.]],BO$9)</f>
        <v>0</v>
      </c>
      <c r="BP523" s="693">
        <f>SUMIFS(Imput[[Importe Neto]:[Importe Neto]],Imput[[C. Imp.]:[C. Imp.]],$D523,Imput[[PERIODO Imp.]:[PERIODO Imp.]],BP$9)</f>
        <v>0</v>
      </c>
      <c r="BQ523" s="693">
        <f>SUMIFS(Imput[[Importe Neto]:[Importe Neto]],Imput[[C. Imp.]:[C. Imp.]],$D523,Imput[[PERIODO Imp.]:[PERIODO Imp.]],BQ$9)</f>
        <v>0</v>
      </c>
      <c r="BR523" s="693">
        <f>SUMIFS(Imput[[Importe Neto]:[Importe Neto]],Imput[[C. Imp.]:[C. Imp.]],$D523,Imput[[PERIODO Imp.]:[PERIODO Imp.]],BR$9)</f>
        <v>0</v>
      </c>
      <c r="BS523" s="693">
        <f>SUMIFS(Imput[[Importe Neto]:[Importe Neto]],Imput[[C. Imp.]:[C. Imp.]],$D523,Imput[[PERIODO Imp.]:[PERIODO Imp.]],BS$9)</f>
        <v>0</v>
      </c>
      <c r="BT523" s="693">
        <f>SUMIFS(Imput[[Importe Neto]:[Importe Neto]],Imput[[C. Imp.]:[C. Imp.]],$D523,Imput[[PERIODO Imp.]:[PERIODO Imp.]],BT$9)</f>
        <v>0</v>
      </c>
      <c r="BU523" s="693">
        <f>SUMIFS(Imput[[Importe Neto]:[Importe Neto]],Imput[[C. Imp.]:[C. Imp.]],$D523,Imput[[PERIODO Imp.]:[PERIODO Imp.]],BU$9)</f>
        <v>0</v>
      </c>
      <c r="BV523" s="693">
        <f>SUMIFS(Imput[[Importe Neto]:[Importe Neto]],Imput[[C. Imp.]:[C. Imp.]],$D523,Imput[[PERIODO Imp.]:[PERIODO Imp.]],BV$9)</f>
        <v>0</v>
      </c>
      <c r="BW523" s="693">
        <f>SUMIFS(Imput[[Importe Neto]:[Importe Neto]],Imput[[C. Imp.]:[C. Imp.]],$D523,Imput[[PERIODO Imp.]:[PERIODO Imp.]],BW$9)</f>
        <v>0</v>
      </c>
      <c r="BX523" s="693">
        <f>SUMIFS(Imput[[Importe Neto]:[Importe Neto]],Imput[[C. Imp.]:[C. Imp.]],$D523,Imput[[PERIODO Imp.]:[PERIODO Imp.]],BX$9)</f>
        <v>0</v>
      </c>
      <c r="BY523" s="693">
        <f>SUMIFS(Imput[[Importe Neto]:[Importe Neto]],Imput[[C. Imp.]:[C. Imp.]],$D523,Imput[[PERIODO Imp.]:[PERIODO Imp.]],BY$9)</f>
        <v>0</v>
      </c>
      <c r="BZ523" s="693">
        <f>SUMIFS(Imput[[Importe Neto]:[Importe Neto]],Imput[[C. Imp.]:[C. Imp.]],$D523,Imput[[PERIODO Imp.]:[PERIODO Imp.]],BZ$9)</f>
        <v>0</v>
      </c>
      <c r="CA523" s="693">
        <f>SUMIFS(Imput[[Importe Neto]:[Importe Neto]],Imput[[C. Imp.]:[C. Imp.]],$D523,Imput[[PERIODO Imp.]:[PERIODO Imp.]],CA$9)</f>
        <v>0</v>
      </c>
      <c r="CB523" s="693">
        <f>SUMIFS(Imput[[Importe Neto]:[Importe Neto]],Imput[[C. Imp.]:[C. Imp.]],$D523,Imput[[PERIODO Imp.]:[PERIODO Imp.]],CB$9)</f>
        <v>0</v>
      </c>
      <c r="CC523" s="693">
        <f>SUMIFS(Imput[[Importe Neto]:[Importe Neto]],Imput[[C. Imp.]:[C. Imp.]],$D523,Imput[[PERIODO Imp.]:[PERIODO Imp.]],CC$9)</f>
        <v>0</v>
      </c>
      <c r="CD523" s="693">
        <f>SUMIFS(Imput[[Importe Neto]:[Importe Neto]],Imput[[C. Imp.]:[C. Imp.]],$D523,Imput[[PERIODO Imp.]:[PERIODO Imp.]],CD$9)</f>
        <v>0</v>
      </c>
      <c r="CE523" s="693">
        <f>SUMIFS(Imput[[Importe Neto]:[Importe Neto]],Imput[[C. Imp.]:[C. Imp.]],$D523,Imput[[PERIODO Imp.]:[PERIODO Imp.]],CE$9)</f>
        <v>0</v>
      </c>
      <c r="CF523" s="693">
        <f>SUMIFS(Imput[[Importe Neto]:[Importe Neto]],Imput[[C. Imp.]:[C. Imp.]],$D523,Imput[[PERIODO Imp.]:[PERIODO Imp.]],CF$9)</f>
        <v>0</v>
      </c>
      <c r="CG523" s="693">
        <f>SUMIFS(Imput[[Importe Neto]:[Importe Neto]],Imput[[C. Imp.]:[C. Imp.]],$D523,Imput[[PERIODO Imp.]:[PERIODO Imp.]],CG$9)</f>
        <v>0</v>
      </c>
      <c r="CH523" s="693">
        <f>SUMIFS(Imput[[Importe Neto]:[Importe Neto]],Imput[[C. Imp.]:[C. Imp.]],$D523,Imput[[PERIODO Imp.]:[PERIODO Imp.]],CH$9)</f>
        <v>0</v>
      </c>
      <c r="CI523" s="693">
        <f>SUMIFS(Imput[[Importe Neto]:[Importe Neto]],Imput[[C. Imp.]:[C. Imp.]],$D523,Imput[[PERIODO Imp.]:[PERIODO Imp.]],CI$9)</f>
        <v>0</v>
      </c>
      <c r="CJ523" s="693">
        <f>SUMIFS(Imput[[Importe Neto]:[Importe Neto]],Imput[[C. Imp.]:[C. Imp.]],$D523,Imput[[PERIODO Imp.]:[PERIODO Imp.]],CJ$9)</f>
        <v>0</v>
      </c>
      <c r="CK523" s="693">
        <f>SUMIFS(Imput[[Importe Neto]:[Importe Neto]],Imput[[C. Imp.]:[C. Imp.]],$D523,Imput[[PERIODO Imp.]:[PERIODO Imp.]],CK$9)</f>
        <v>0</v>
      </c>
      <c r="CL523" s="693">
        <f>SUMIFS(Imput[[Importe Neto]:[Importe Neto]],Imput[[C. Imp.]:[C. Imp.]],$D523,Imput[[PERIODO Imp.]:[PERIODO Imp.]],CL$9)</f>
        <v>0</v>
      </c>
      <c r="CM523" s="693">
        <f>SUMIFS(Imput[[Importe Neto]:[Importe Neto]],Imput[[C. Imp.]:[C. Imp.]],$D523,Imput[[PERIODO Imp.]:[PERIODO Imp.]],CM$9)</f>
        <v>0</v>
      </c>
      <c r="CN523" s="693">
        <f>SUMIFS(Imput[[Importe Neto]:[Importe Neto]],Imput[[C. Imp.]:[C. Imp.]],$D523,Imput[[PERIODO Imp.]:[PERIODO Imp.]],CN$9)</f>
        <v>0</v>
      </c>
      <c r="CO523" s="693">
        <f>SUMIFS(Imput[[Importe Neto]:[Importe Neto]],Imput[[C. Imp.]:[C. Imp.]],$D523,Imput[[PERIODO Imp.]:[PERIODO Imp.]],CO$9)</f>
        <v>0</v>
      </c>
      <c r="CP523" s="693">
        <f>SUMIFS(Imput[[Importe Neto]:[Importe Neto]],Imput[[C. Imp.]:[C. Imp.]],$D523,Imput[[PERIODO Imp.]:[PERIODO Imp.]],CP$9)</f>
        <v>0</v>
      </c>
      <c r="CQ523" s="693">
        <f>SUMIFS(Imput[[Importe Neto]:[Importe Neto]],Imput[[C. Imp.]:[C. Imp.]],$D523,Imput[[PERIODO Imp.]:[PERIODO Imp.]],CQ$9)</f>
        <v>0</v>
      </c>
      <c r="CR523" s="693">
        <f>SUMIFS(Imput[[Importe Neto]:[Importe Neto]],Imput[[C. Imp.]:[C. Imp.]],$D523,Imput[[PERIODO Imp.]:[PERIODO Imp.]],CR$9)</f>
        <v>0</v>
      </c>
      <c r="CS523" s="693">
        <f>SUMIFS(Imput[[Importe Neto]:[Importe Neto]],Imput[[C. Imp.]:[C. Imp.]],$D523,Imput[[PERIODO Imp.]:[PERIODO Imp.]],CS$9)</f>
        <v>0</v>
      </c>
      <c r="CT523" s="693">
        <f>SUMIFS(Imput[[Importe Neto]:[Importe Neto]],Imput[[C. Imp.]:[C. Imp.]],$D523,Imput[[PERIODO Imp.]:[PERIODO Imp.]],CT$9)</f>
        <v>0</v>
      </c>
      <c r="CU523" s="693">
        <f>SUMIFS(Imput[[Importe Neto]:[Importe Neto]],Imput[[C. Imp.]:[C. Imp.]],$D523,Imput[[PERIODO Imp.]:[PERIODO Imp.]],CU$9)</f>
        <v>0</v>
      </c>
      <c r="CV523" s="693">
        <f>SUMIFS(Imput[[Importe Neto]:[Importe Neto]],Imput[[C. Imp.]:[C. Imp.]],$D523,Imput[[PERIODO Imp.]:[PERIODO Imp.]],CV$9)</f>
        <v>0</v>
      </c>
      <c r="CW523" s="693">
        <f>SUMIFS(Imput[[Importe Neto]:[Importe Neto]],Imput[[C. Imp.]:[C. Imp.]],$D523,Imput[[PERIODO Imp.]:[PERIODO Imp.]],CW$9)</f>
        <v>0</v>
      </c>
      <c r="CX523" s="693">
        <f>SUMIFS(Imput[[Importe Neto]:[Importe Neto]],Imput[[C. Imp.]:[C. Imp.]],$D523,Imput[[PERIODO Imp.]:[PERIODO Imp.]],CX$9)</f>
        <v>0</v>
      </c>
      <c r="CY523" s="693">
        <f>SUMIFS(Imput[[Importe Neto]:[Importe Neto]],Imput[[C. Imp.]:[C. Imp.]],$D523,Imput[[PERIODO Imp.]:[PERIODO Imp.]],CY$9)</f>
        <v>0</v>
      </c>
      <c r="CZ523" s="693">
        <f>SUMIFS(Imput[[Importe Neto]:[Importe Neto]],Imput[[C. Imp.]:[C. Imp.]],$D523,Imput[[PERIODO Imp.]:[PERIODO Imp.]],CZ$9)</f>
        <v>0</v>
      </c>
      <c r="DA523" s="693">
        <f>SUMIFS(Imput[[Importe Neto]:[Importe Neto]],Imput[[C. Imp.]:[C. Imp.]],$D523,Imput[[PERIODO Imp.]:[PERIODO Imp.]],DA$9)</f>
        <v>0</v>
      </c>
      <c r="DB523" s="693">
        <f>SUMIFS(Imput[[Importe Neto]:[Importe Neto]],Imput[[C. Imp.]:[C. Imp.]],$D523,Imput[[PERIODO Imp.]:[PERIODO Imp.]],DB$9)</f>
        <v>0</v>
      </c>
      <c r="DC523" s="693">
        <f>SUMIFS(Imput[[Importe Neto]:[Importe Neto]],Imput[[C. Imp.]:[C. Imp.]],$D523,Imput[[PERIODO Imp.]:[PERIODO Imp.]],DC$9)</f>
        <v>0</v>
      </c>
      <c r="DD523" s="693">
        <f>SUMIFS(Imput[[Importe Neto]:[Importe Neto]],Imput[[C. Imp.]:[C. Imp.]],$D523,Imput[[PERIODO Imp.]:[PERIODO Imp.]],DD$9)</f>
        <v>0</v>
      </c>
      <c r="DE523" s="693">
        <f>SUMIFS(Imput[[Importe Neto]:[Importe Neto]],Imput[[C. Imp.]:[C. Imp.]],$D523,Imput[[PERIODO Imp.]:[PERIODO Imp.]],DE$9)</f>
        <v>0</v>
      </c>
      <c r="DF523" s="693">
        <f>SUMIFS(Imput[[Importe Neto]:[Importe Neto]],Imput[[C. Imp.]:[C. Imp.]],$D523,Imput[[PERIODO Imp.]:[PERIODO Imp.]],DF$9)</f>
        <v>0</v>
      </c>
      <c r="DG523" s="693">
        <f>SUMIFS(Imput[[Importe Neto]:[Importe Neto]],Imput[[C. Imp.]:[C. Imp.]],$D523,Imput[[PERIODO Imp.]:[PERIODO Imp.]],DG$9)</f>
        <v>0</v>
      </c>
      <c r="DH523" s="694">
        <f>SUMIFS(Imput[[Importe Neto]:[Importe Neto]],Imput[[C. Imp.]:[C. Imp.]],$D523,Imput[[PERIODO Imp.]:[PERIODO Imp.]],DH$9)</f>
        <v>0</v>
      </c>
    </row>
    <row r="524" spans="1:112" s="649" customFormat="1" hidden="1" outlineLevel="1" x14ac:dyDescent="0.3">
      <c r="A524" s="652" t="str">
        <f t="shared" si="205"/>
        <v/>
      </c>
      <c r="B524" s="652"/>
      <c r="C524" s="685"/>
      <c r="D524" s="686" t="s">
        <v>2550</v>
      </c>
      <c r="E524" s="686"/>
      <c r="F524" s="720"/>
      <c r="G524" s="688"/>
      <c r="H524" s="689"/>
      <c r="I524" s="851" t="str">
        <f t="shared" si="206"/>
        <v/>
      </c>
      <c r="J524" s="850" t="str">
        <f t="shared" si="207"/>
        <v/>
      </c>
      <c r="K524" s="667"/>
      <c r="L524" s="858"/>
      <c r="M524" s="859"/>
      <c r="N524" s="859"/>
      <c r="O524" s="859"/>
      <c r="P524" s="859"/>
      <c r="Q524" s="859"/>
      <c r="R524" s="859"/>
      <c r="S524" s="859"/>
      <c r="T524" s="859"/>
      <c r="U524" s="859"/>
      <c r="V524" s="859"/>
      <c r="W524" s="859"/>
      <c r="X524" s="859"/>
      <c r="Y524" s="859"/>
      <c r="Z524" s="860"/>
      <c r="AA524" s="860"/>
      <c r="AB524" s="860"/>
      <c r="AC524" s="860"/>
      <c r="AD524" s="860"/>
      <c r="AE524" s="860"/>
      <c r="AF524" s="860"/>
      <c r="AG524" s="860"/>
      <c r="AH524" s="860"/>
      <c r="AI524" s="860"/>
      <c r="AJ524" s="860"/>
      <c r="AK524" s="860"/>
      <c r="AL524" s="860"/>
      <c r="AM524" s="860"/>
      <c r="AN524" s="860"/>
      <c r="AO524" s="860"/>
      <c r="AP524" s="860"/>
      <c r="AQ524" s="860"/>
      <c r="AR524" s="860"/>
      <c r="AS524" s="860"/>
      <c r="AT524" s="860"/>
      <c r="AU524" s="860"/>
      <c r="AV524" s="860"/>
      <c r="AW524" s="860"/>
      <c r="AX524" s="860"/>
      <c r="AY524" s="860"/>
      <c r="AZ524" s="860"/>
      <c r="BA524" s="860"/>
      <c r="BB524" s="860"/>
      <c r="BC524" s="860"/>
      <c r="BD524" s="860"/>
      <c r="BE524" s="860"/>
      <c r="BF524" s="860"/>
      <c r="BG524" s="860"/>
      <c r="BH524" s="668"/>
      <c r="BI524" s="667"/>
      <c r="BJ524" s="690">
        <f t="shared" si="208"/>
        <v>0</v>
      </c>
      <c r="BK524" s="691">
        <f t="shared" si="209"/>
        <v>0</v>
      </c>
      <c r="BL524" s="654"/>
      <c r="BM524" s="692">
        <f>SUMIFS(Imput[[Importe Neto]:[Importe Neto]],Imput[[C. Imp.]:[C. Imp.]],$D524,Imput[[PERIODO Imp.]:[PERIODO Imp.]],BM$9)</f>
        <v>0</v>
      </c>
      <c r="BN524" s="693">
        <f>SUMIFS(Imput[[Importe Neto]:[Importe Neto]],Imput[[C. Imp.]:[C. Imp.]],$D524,Imput[[PERIODO Imp.]:[PERIODO Imp.]],BN$9)</f>
        <v>0</v>
      </c>
      <c r="BO524" s="693">
        <f>SUMIFS(Imput[[Importe Neto]:[Importe Neto]],Imput[[C. Imp.]:[C. Imp.]],$D524,Imput[[PERIODO Imp.]:[PERIODO Imp.]],BO$9)</f>
        <v>0</v>
      </c>
      <c r="BP524" s="693">
        <f>SUMIFS(Imput[[Importe Neto]:[Importe Neto]],Imput[[C. Imp.]:[C. Imp.]],$D524,Imput[[PERIODO Imp.]:[PERIODO Imp.]],BP$9)</f>
        <v>0</v>
      </c>
      <c r="BQ524" s="693">
        <f>SUMIFS(Imput[[Importe Neto]:[Importe Neto]],Imput[[C. Imp.]:[C. Imp.]],$D524,Imput[[PERIODO Imp.]:[PERIODO Imp.]],BQ$9)</f>
        <v>0</v>
      </c>
      <c r="BR524" s="693">
        <f>SUMIFS(Imput[[Importe Neto]:[Importe Neto]],Imput[[C. Imp.]:[C. Imp.]],$D524,Imput[[PERIODO Imp.]:[PERIODO Imp.]],BR$9)</f>
        <v>0</v>
      </c>
      <c r="BS524" s="693">
        <f>SUMIFS(Imput[[Importe Neto]:[Importe Neto]],Imput[[C. Imp.]:[C. Imp.]],$D524,Imput[[PERIODO Imp.]:[PERIODO Imp.]],BS$9)</f>
        <v>0</v>
      </c>
      <c r="BT524" s="693">
        <f>SUMIFS(Imput[[Importe Neto]:[Importe Neto]],Imput[[C. Imp.]:[C. Imp.]],$D524,Imput[[PERIODO Imp.]:[PERIODO Imp.]],BT$9)</f>
        <v>0</v>
      </c>
      <c r="BU524" s="693">
        <f>SUMIFS(Imput[[Importe Neto]:[Importe Neto]],Imput[[C. Imp.]:[C. Imp.]],$D524,Imput[[PERIODO Imp.]:[PERIODO Imp.]],BU$9)</f>
        <v>0</v>
      </c>
      <c r="BV524" s="693">
        <f>SUMIFS(Imput[[Importe Neto]:[Importe Neto]],Imput[[C. Imp.]:[C. Imp.]],$D524,Imput[[PERIODO Imp.]:[PERIODO Imp.]],BV$9)</f>
        <v>0</v>
      </c>
      <c r="BW524" s="693">
        <f>SUMIFS(Imput[[Importe Neto]:[Importe Neto]],Imput[[C. Imp.]:[C. Imp.]],$D524,Imput[[PERIODO Imp.]:[PERIODO Imp.]],BW$9)</f>
        <v>0</v>
      </c>
      <c r="BX524" s="693">
        <f>SUMIFS(Imput[[Importe Neto]:[Importe Neto]],Imput[[C. Imp.]:[C. Imp.]],$D524,Imput[[PERIODO Imp.]:[PERIODO Imp.]],BX$9)</f>
        <v>0</v>
      </c>
      <c r="BY524" s="693">
        <f>SUMIFS(Imput[[Importe Neto]:[Importe Neto]],Imput[[C. Imp.]:[C. Imp.]],$D524,Imput[[PERIODO Imp.]:[PERIODO Imp.]],BY$9)</f>
        <v>0</v>
      </c>
      <c r="BZ524" s="693">
        <f>SUMIFS(Imput[[Importe Neto]:[Importe Neto]],Imput[[C. Imp.]:[C. Imp.]],$D524,Imput[[PERIODO Imp.]:[PERIODO Imp.]],BZ$9)</f>
        <v>0</v>
      </c>
      <c r="CA524" s="693">
        <f>SUMIFS(Imput[[Importe Neto]:[Importe Neto]],Imput[[C. Imp.]:[C. Imp.]],$D524,Imput[[PERIODO Imp.]:[PERIODO Imp.]],CA$9)</f>
        <v>0</v>
      </c>
      <c r="CB524" s="693">
        <f>SUMIFS(Imput[[Importe Neto]:[Importe Neto]],Imput[[C. Imp.]:[C. Imp.]],$D524,Imput[[PERIODO Imp.]:[PERIODO Imp.]],CB$9)</f>
        <v>0</v>
      </c>
      <c r="CC524" s="693">
        <f>SUMIFS(Imput[[Importe Neto]:[Importe Neto]],Imput[[C. Imp.]:[C. Imp.]],$D524,Imput[[PERIODO Imp.]:[PERIODO Imp.]],CC$9)</f>
        <v>0</v>
      </c>
      <c r="CD524" s="693">
        <f>SUMIFS(Imput[[Importe Neto]:[Importe Neto]],Imput[[C. Imp.]:[C. Imp.]],$D524,Imput[[PERIODO Imp.]:[PERIODO Imp.]],CD$9)</f>
        <v>0</v>
      </c>
      <c r="CE524" s="693">
        <f>SUMIFS(Imput[[Importe Neto]:[Importe Neto]],Imput[[C. Imp.]:[C. Imp.]],$D524,Imput[[PERIODO Imp.]:[PERIODO Imp.]],CE$9)</f>
        <v>0</v>
      </c>
      <c r="CF524" s="693">
        <f>SUMIFS(Imput[[Importe Neto]:[Importe Neto]],Imput[[C. Imp.]:[C. Imp.]],$D524,Imput[[PERIODO Imp.]:[PERIODO Imp.]],CF$9)</f>
        <v>0</v>
      </c>
      <c r="CG524" s="693">
        <f>SUMIFS(Imput[[Importe Neto]:[Importe Neto]],Imput[[C. Imp.]:[C. Imp.]],$D524,Imput[[PERIODO Imp.]:[PERIODO Imp.]],CG$9)</f>
        <v>0</v>
      </c>
      <c r="CH524" s="693">
        <f>SUMIFS(Imput[[Importe Neto]:[Importe Neto]],Imput[[C. Imp.]:[C. Imp.]],$D524,Imput[[PERIODO Imp.]:[PERIODO Imp.]],CH$9)</f>
        <v>0</v>
      </c>
      <c r="CI524" s="693">
        <f>SUMIFS(Imput[[Importe Neto]:[Importe Neto]],Imput[[C. Imp.]:[C. Imp.]],$D524,Imput[[PERIODO Imp.]:[PERIODO Imp.]],CI$9)</f>
        <v>0</v>
      </c>
      <c r="CJ524" s="693">
        <f>SUMIFS(Imput[[Importe Neto]:[Importe Neto]],Imput[[C. Imp.]:[C. Imp.]],$D524,Imput[[PERIODO Imp.]:[PERIODO Imp.]],CJ$9)</f>
        <v>0</v>
      </c>
      <c r="CK524" s="693">
        <f>SUMIFS(Imput[[Importe Neto]:[Importe Neto]],Imput[[C. Imp.]:[C. Imp.]],$D524,Imput[[PERIODO Imp.]:[PERIODO Imp.]],CK$9)</f>
        <v>0</v>
      </c>
      <c r="CL524" s="693">
        <f>SUMIFS(Imput[[Importe Neto]:[Importe Neto]],Imput[[C. Imp.]:[C. Imp.]],$D524,Imput[[PERIODO Imp.]:[PERIODO Imp.]],CL$9)</f>
        <v>0</v>
      </c>
      <c r="CM524" s="693">
        <f>SUMIFS(Imput[[Importe Neto]:[Importe Neto]],Imput[[C. Imp.]:[C. Imp.]],$D524,Imput[[PERIODO Imp.]:[PERIODO Imp.]],CM$9)</f>
        <v>0</v>
      </c>
      <c r="CN524" s="693">
        <f>SUMIFS(Imput[[Importe Neto]:[Importe Neto]],Imput[[C. Imp.]:[C. Imp.]],$D524,Imput[[PERIODO Imp.]:[PERIODO Imp.]],CN$9)</f>
        <v>0</v>
      </c>
      <c r="CO524" s="693">
        <f>SUMIFS(Imput[[Importe Neto]:[Importe Neto]],Imput[[C. Imp.]:[C. Imp.]],$D524,Imput[[PERIODO Imp.]:[PERIODO Imp.]],CO$9)</f>
        <v>0</v>
      </c>
      <c r="CP524" s="693">
        <f>SUMIFS(Imput[[Importe Neto]:[Importe Neto]],Imput[[C. Imp.]:[C. Imp.]],$D524,Imput[[PERIODO Imp.]:[PERIODO Imp.]],CP$9)</f>
        <v>0</v>
      </c>
      <c r="CQ524" s="693">
        <f>SUMIFS(Imput[[Importe Neto]:[Importe Neto]],Imput[[C. Imp.]:[C. Imp.]],$D524,Imput[[PERIODO Imp.]:[PERIODO Imp.]],CQ$9)</f>
        <v>0</v>
      </c>
      <c r="CR524" s="693">
        <f>SUMIFS(Imput[[Importe Neto]:[Importe Neto]],Imput[[C. Imp.]:[C. Imp.]],$D524,Imput[[PERIODO Imp.]:[PERIODO Imp.]],CR$9)</f>
        <v>0</v>
      </c>
      <c r="CS524" s="693">
        <f>SUMIFS(Imput[[Importe Neto]:[Importe Neto]],Imput[[C. Imp.]:[C. Imp.]],$D524,Imput[[PERIODO Imp.]:[PERIODO Imp.]],CS$9)</f>
        <v>0</v>
      </c>
      <c r="CT524" s="693">
        <f>SUMIFS(Imput[[Importe Neto]:[Importe Neto]],Imput[[C. Imp.]:[C. Imp.]],$D524,Imput[[PERIODO Imp.]:[PERIODO Imp.]],CT$9)</f>
        <v>0</v>
      </c>
      <c r="CU524" s="693">
        <f>SUMIFS(Imput[[Importe Neto]:[Importe Neto]],Imput[[C. Imp.]:[C. Imp.]],$D524,Imput[[PERIODO Imp.]:[PERIODO Imp.]],CU$9)</f>
        <v>0</v>
      </c>
      <c r="CV524" s="693">
        <f>SUMIFS(Imput[[Importe Neto]:[Importe Neto]],Imput[[C. Imp.]:[C. Imp.]],$D524,Imput[[PERIODO Imp.]:[PERIODO Imp.]],CV$9)</f>
        <v>0</v>
      </c>
      <c r="CW524" s="693">
        <f>SUMIFS(Imput[[Importe Neto]:[Importe Neto]],Imput[[C. Imp.]:[C. Imp.]],$D524,Imput[[PERIODO Imp.]:[PERIODO Imp.]],CW$9)</f>
        <v>0</v>
      </c>
      <c r="CX524" s="693">
        <f>SUMIFS(Imput[[Importe Neto]:[Importe Neto]],Imput[[C. Imp.]:[C. Imp.]],$D524,Imput[[PERIODO Imp.]:[PERIODO Imp.]],CX$9)</f>
        <v>0</v>
      </c>
      <c r="CY524" s="693">
        <f>SUMIFS(Imput[[Importe Neto]:[Importe Neto]],Imput[[C. Imp.]:[C. Imp.]],$D524,Imput[[PERIODO Imp.]:[PERIODO Imp.]],CY$9)</f>
        <v>0</v>
      </c>
      <c r="CZ524" s="693">
        <f>SUMIFS(Imput[[Importe Neto]:[Importe Neto]],Imput[[C. Imp.]:[C. Imp.]],$D524,Imput[[PERIODO Imp.]:[PERIODO Imp.]],CZ$9)</f>
        <v>0</v>
      </c>
      <c r="DA524" s="693">
        <f>SUMIFS(Imput[[Importe Neto]:[Importe Neto]],Imput[[C. Imp.]:[C. Imp.]],$D524,Imput[[PERIODO Imp.]:[PERIODO Imp.]],DA$9)</f>
        <v>0</v>
      </c>
      <c r="DB524" s="693">
        <f>SUMIFS(Imput[[Importe Neto]:[Importe Neto]],Imput[[C. Imp.]:[C. Imp.]],$D524,Imput[[PERIODO Imp.]:[PERIODO Imp.]],DB$9)</f>
        <v>0</v>
      </c>
      <c r="DC524" s="693">
        <f>SUMIFS(Imput[[Importe Neto]:[Importe Neto]],Imput[[C. Imp.]:[C. Imp.]],$D524,Imput[[PERIODO Imp.]:[PERIODO Imp.]],DC$9)</f>
        <v>0</v>
      </c>
      <c r="DD524" s="693">
        <f>SUMIFS(Imput[[Importe Neto]:[Importe Neto]],Imput[[C. Imp.]:[C. Imp.]],$D524,Imput[[PERIODO Imp.]:[PERIODO Imp.]],DD$9)</f>
        <v>0</v>
      </c>
      <c r="DE524" s="693">
        <f>SUMIFS(Imput[[Importe Neto]:[Importe Neto]],Imput[[C. Imp.]:[C. Imp.]],$D524,Imput[[PERIODO Imp.]:[PERIODO Imp.]],DE$9)</f>
        <v>0</v>
      </c>
      <c r="DF524" s="693">
        <f>SUMIFS(Imput[[Importe Neto]:[Importe Neto]],Imput[[C. Imp.]:[C. Imp.]],$D524,Imput[[PERIODO Imp.]:[PERIODO Imp.]],DF$9)</f>
        <v>0</v>
      </c>
      <c r="DG524" s="693">
        <f>SUMIFS(Imput[[Importe Neto]:[Importe Neto]],Imput[[C. Imp.]:[C. Imp.]],$D524,Imput[[PERIODO Imp.]:[PERIODO Imp.]],DG$9)</f>
        <v>0</v>
      </c>
      <c r="DH524" s="694">
        <f>SUMIFS(Imput[[Importe Neto]:[Importe Neto]],Imput[[C. Imp.]:[C. Imp.]],$D524,Imput[[PERIODO Imp.]:[PERIODO Imp.]],DH$9)</f>
        <v>0</v>
      </c>
    </row>
    <row r="525" spans="1:112" s="649" customFormat="1" hidden="1" outlineLevel="1" x14ac:dyDescent="0.3">
      <c r="A525" s="652" t="str">
        <f t="shared" si="205"/>
        <v/>
      </c>
      <c r="B525" s="652"/>
      <c r="C525" s="685"/>
      <c r="D525" s="686" t="s">
        <v>2551</v>
      </c>
      <c r="E525" s="686"/>
      <c r="F525" s="720"/>
      <c r="G525" s="688"/>
      <c r="H525" s="689"/>
      <c r="I525" s="851" t="str">
        <f t="shared" si="206"/>
        <v/>
      </c>
      <c r="J525" s="850" t="str">
        <f t="shared" si="207"/>
        <v/>
      </c>
      <c r="K525" s="667"/>
      <c r="L525" s="858"/>
      <c r="M525" s="859"/>
      <c r="N525" s="859"/>
      <c r="O525" s="859"/>
      <c r="P525" s="859"/>
      <c r="Q525" s="859"/>
      <c r="R525" s="859"/>
      <c r="S525" s="859"/>
      <c r="T525" s="859"/>
      <c r="U525" s="859"/>
      <c r="V525" s="859"/>
      <c r="W525" s="859"/>
      <c r="X525" s="859"/>
      <c r="Y525" s="859"/>
      <c r="Z525" s="860"/>
      <c r="AA525" s="860"/>
      <c r="AB525" s="860"/>
      <c r="AC525" s="860"/>
      <c r="AD525" s="860"/>
      <c r="AE525" s="860"/>
      <c r="AF525" s="860"/>
      <c r="AG525" s="860"/>
      <c r="AH525" s="860"/>
      <c r="AI525" s="860"/>
      <c r="AJ525" s="860"/>
      <c r="AK525" s="860"/>
      <c r="AL525" s="860"/>
      <c r="AM525" s="860"/>
      <c r="AN525" s="860"/>
      <c r="AO525" s="860"/>
      <c r="AP525" s="860"/>
      <c r="AQ525" s="860"/>
      <c r="AR525" s="860"/>
      <c r="AS525" s="860"/>
      <c r="AT525" s="860"/>
      <c r="AU525" s="860"/>
      <c r="AV525" s="860"/>
      <c r="AW525" s="860"/>
      <c r="AX525" s="860"/>
      <c r="AY525" s="860"/>
      <c r="AZ525" s="860"/>
      <c r="BA525" s="860"/>
      <c r="BB525" s="860"/>
      <c r="BC525" s="860"/>
      <c r="BD525" s="860"/>
      <c r="BE525" s="860"/>
      <c r="BF525" s="860"/>
      <c r="BG525" s="860"/>
      <c r="BH525" s="668"/>
      <c r="BI525" s="667"/>
      <c r="BJ525" s="690">
        <f t="shared" si="208"/>
        <v>0</v>
      </c>
      <c r="BK525" s="691">
        <f t="shared" si="209"/>
        <v>0</v>
      </c>
      <c r="BL525" s="654"/>
      <c r="BM525" s="692">
        <f>SUMIFS(Imput[[Importe Neto]:[Importe Neto]],Imput[[C. Imp.]:[C. Imp.]],$D525,Imput[[PERIODO Imp.]:[PERIODO Imp.]],BM$9)</f>
        <v>0</v>
      </c>
      <c r="BN525" s="693">
        <f>SUMIFS(Imput[[Importe Neto]:[Importe Neto]],Imput[[C. Imp.]:[C. Imp.]],$D525,Imput[[PERIODO Imp.]:[PERIODO Imp.]],BN$9)</f>
        <v>0</v>
      </c>
      <c r="BO525" s="693">
        <f>SUMIFS(Imput[[Importe Neto]:[Importe Neto]],Imput[[C. Imp.]:[C. Imp.]],$D525,Imput[[PERIODO Imp.]:[PERIODO Imp.]],BO$9)</f>
        <v>0</v>
      </c>
      <c r="BP525" s="693">
        <f>SUMIFS(Imput[[Importe Neto]:[Importe Neto]],Imput[[C. Imp.]:[C. Imp.]],$D525,Imput[[PERIODO Imp.]:[PERIODO Imp.]],BP$9)</f>
        <v>0</v>
      </c>
      <c r="BQ525" s="693">
        <f>SUMIFS(Imput[[Importe Neto]:[Importe Neto]],Imput[[C. Imp.]:[C. Imp.]],$D525,Imput[[PERIODO Imp.]:[PERIODO Imp.]],BQ$9)</f>
        <v>0</v>
      </c>
      <c r="BR525" s="693">
        <f>SUMIFS(Imput[[Importe Neto]:[Importe Neto]],Imput[[C. Imp.]:[C. Imp.]],$D525,Imput[[PERIODO Imp.]:[PERIODO Imp.]],BR$9)</f>
        <v>0</v>
      </c>
      <c r="BS525" s="693">
        <f>SUMIFS(Imput[[Importe Neto]:[Importe Neto]],Imput[[C. Imp.]:[C. Imp.]],$D525,Imput[[PERIODO Imp.]:[PERIODO Imp.]],BS$9)</f>
        <v>0</v>
      </c>
      <c r="BT525" s="693">
        <f>SUMIFS(Imput[[Importe Neto]:[Importe Neto]],Imput[[C. Imp.]:[C. Imp.]],$D525,Imput[[PERIODO Imp.]:[PERIODO Imp.]],BT$9)</f>
        <v>0</v>
      </c>
      <c r="BU525" s="693">
        <f>SUMIFS(Imput[[Importe Neto]:[Importe Neto]],Imput[[C. Imp.]:[C. Imp.]],$D525,Imput[[PERIODO Imp.]:[PERIODO Imp.]],BU$9)</f>
        <v>0</v>
      </c>
      <c r="BV525" s="693">
        <f>SUMIFS(Imput[[Importe Neto]:[Importe Neto]],Imput[[C. Imp.]:[C. Imp.]],$D525,Imput[[PERIODO Imp.]:[PERIODO Imp.]],BV$9)</f>
        <v>0</v>
      </c>
      <c r="BW525" s="693">
        <f>SUMIFS(Imput[[Importe Neto]:[Importe Neto]],Imput[[C. Imp.]:[C. Imp.]],$D525,Imput[[PERIODO Imp.]:[PERIODO Imp.]],BW$9)</f>
        <v>0</v>
      </c>
      <c r="BX525" s="693">
        <f>SUMIFS(Imput[[Importe Neto]:[Importe Neto]],Imput[[C. Imp.]:[C. Imp.]],$D525,Imput[[PERIODO Imp.]:[PERIODO Imp.]],BX$9)</f>
        <v>0</v>
      </c>
      <c r="BY525" s="693">
        <f>SUMIFS(Imput[[Importe Neto]:[Importe Neto]],Imput[[C. Imp.]:[C. Imp.]],$D525,Imput[[PERIODO Imp.]:[PERIODO Imp.]],BY$9)</f>
        <v>0</v>
      </c>
      <c r="BZ525" s="693">
        <f>SUMIFS(Imput[[Importe Neto]:[Importe Neto]],Imput[[C. Imp.]:[C. Imp.]],$D525,Imput[[PERIODO Imp.]:[PERIODO Imp.]],BZ$9)</f>
        <v>0</v>
      </c>
      <c r="CA525" s="693">
        <f>SUMIFS(Imput[[Importe Neto]:[Importe Neto]],Imput[[C. Imp.]:[C. Imp.]],$D525,Imput[[PERIODO Imp.]:[PERIODO Imp.]],CA$9)</f>
        <v>0</v>
      </c>
      <c r="CB525" s="693">
        <f>SUMIFS(Imput[[Importe Neto]:[Importe Neto]],Imput[[C. Imp.]:[C. Imp.]],$D525,Imput[[PERIODO Imp.]:[PERIODO Imp.]],CB$9)</f>
        <v>0</v>
      </c>
      <c r="CC525" s="693">
        <f>SUMIFS(Imput[[Importe Neto]:[Importe Neto]],Imput[[C. Imp.]:[C. Imp.]],$D525,Imput[[PERIODO Imp.]:[PERIODO Imp.]],CC$9)</f>
        <v>0</v>
      </c>
      <c r="CD525" s="693">
        <f>SUMIFS(Imput[[Importe Neto]:[Importe Neto]],Imput[[C. Imp.]:[C. Imp.]],$D525,Imput[[PERIODO Imp.]:[PERIODO Imp.]],CD$9)</f>
        <v>0</v>
      </c>
      <c r="CE525" s="693">
        <f>SUMIFS(Imput[[Importe Neto]:[Importe Neto]],Imput[[C. Imp.]:[C. Imp.]],$D525,Imput[[PERIODO Imp.]:[PERIODO Imp.]],CE$9)</f>
        <v>0</v>
      </c>
      <c r="CF525" s="693">
        <f>SUMIFS(Imput[[Importe Neto]:[Importe Neto]],Imput[[C. Imp.]:[C. Imp.]],$D525,Imput[[PERIODO Imp.]:[PERIODO Imp.]],CF$9)</f>
        <v>0</v>
      </c>
      <c r="CG525" s="693">
        <f>SUMIFS(Imput[[Importe Neto]:[Importe Neto]],Imput[[C. Imp.]:[C. Imp.]],$D525,Imput[[PERIODO Imp.]:[PERIODO Imp.]],CG$9)</f>
        <v>0</v>
      </c>
      <c r="CH525" s="693">
        <f>SUMIFS(Imput[[Importe Neto]:[Importe Neto]],Imput[[C. Imp.]:[C. Imp.]],$D525,Imput[[PERIODO Imp.]:[PERIODO Imp.]],CH$9)</f>
        <v>0</v>
      </c>
      <c r="CI525" s="693">
        <f>SUMIFS(Imput[[Importe Neto]:[Importe Neto]],Imput[[C. Imp.]:[C. Imp.]],$D525,Imput[[PERIODO Imp.]:[PERIODO Imp.]],CI$9)</f>
        <v>0</v>
      </c>
      <c r="CJ525" s="693">
        <f>SUMIFS(Imput[[Importe Neto]:[Importe Neto]],Imput[[C. Imp.]:[C. Imp.]],$D525,Imput[[PERIODO Imp.]:[PERIODO Imp.]],CJ$9)</f>
        <v>0</v>
      </c>
      <c r="CK525" s="693">
        <f>SUMIFS(Imput[[Importe Neto]:[Importe Neto]],Imput[[C. Imp.]:[C. Imp.]],$D525,Imput[[PERIODO Imp.]:[PERIODO Imp.]],CK$9)</f>
        <v>0</v>
      </c>
      <c r="CL525" s="693">
        <f>SUMIFS(Imput[[Importe Neto]:[Importe Neto]],Imput[[C. Imp.]:[C. Imp.]],$D525,Imput[[PERIODO Imp.]:[PERIODO Imp.]],CL$9)</f>
        <v>0</v>
      </c>
      <c r="CM525" s="693">
        <f>SUMIFS(Imput[[Importe Neto]:[Importe Neto]],Imput[[C. Imp.]:[C. Imp.]],$D525,Imput[[PERIODO Imp.]:[PERIODO Imp.]],CM$9)</f>
        <v>0</v>
      </c>
      <c r="CN525" s="693">
        <f>SUMIFS(Imput[[Importe Neto]:[Importe Neto]],Imput[[C. Imp.]:[C. Imp.]],$D525,Imput[[PERIODO Imp.]:[PERIODO Imp.]],CN$9)</f>
        <v>0</v>
      </c>
      <c r="CO525" s="693">
        <f>SUMIFS(Imput[[Importe Neto]:[Importe Neto]],Imput[[C. Imp.]:[C. Imp.]],$D525,Imput[[PERIODO Imp.]:[PERIODO Imp.]],CO$9)</f>
        <v>0</v>
      </c>
      <c r="CP525" s="693">
        <f>SUMIFS(Imput[[Importe Neto]:[Importe Neto]],Imput[[C. Imp.]:[C. Imp.]],$D525,Imput[[PERIODO Imp.]:[PERIODO Imp.]],CP$9)</f>
        <v>0</v>
      </c>
      <c r="CQ525" s="693">
        <f>SUMIFS(Imput[[Importe Neto]:[Importe Neto]],Imput[[C. Imp.]:[C. Imp.]],$D525,Imput[[PERIODO Imp.]:[PERIODO Imp.]],CQ$9)</f>
        <v>0</v>
      </c>
      <c r="CR525" s="693">
        <f>SUMIFS(Imput[[Importe Neto]:[Importe Neto]],Imput[[C. Imp.]:[C. Imp.]],$D525,Imput[[PERIODO Imp.]:[PERIODO Imp.]],CR$9)</f>
        <v>0</v>
      </c>
      <c r="CS525" s="693">
        <f>SUMIFS(Imput[[Importe Neto]:[Importe Neto]],Imput[[C. Imp.]:[C. Imp.]],$D525,Imput[[PERIODO Imp.]:[PERIODO Imp.]],CS$9)</f>
        <v>0</v>
      </c>
      <c r="CT525" s="693">
        <f>SUMIFS(Imput[[Importe Neto]:[Importe Neto]],Imput[[C. Imp.]:[C. Imp.]],$D525,Imput[[PERIODO Imp.]:[PERIODO Imp.]],CT$9)</f>
        <v>0</v>
      </c>
      <c r="CU525" s="693">
        <f>SUMIFS(Imput[[Importe Neto]:[Importe Neto]],Imput[[C. Imp.]:[C. Imp.]],$D525,Imput[[PERIODO Imp.]:[PERIODO Imp.]],CU$9)</f>
        <v>0</v>
      </c>
      <c r="CV525" s="693">
        <f>SUMIFS(Imput[[Importe Neto]:[Importe Neto]],Imput[[C. Imp.]:[C. Imp.]],$D525,Imput[[PERIODO Imp.]:[PERIODO Imp.]],CV$9)</f>
        <v>0</v>
      </c>
      <c r="CW525" s="693">
        <f>SUMIFS(Imput[[Importe Neto]:[Importe Neto]],Imput[[C. Imp.]:[C. Imp.]],$D525,Imput[[PERIODO Imp.]:[PERIODO Imp.]],CW$9)</f>
        <v>0</v>
      </c>
      <c r="CX525" s="693">
        <f>SUMIFS(Imput[[Importe Neto]:[Importe Neto]],Imput[[C. Imp.]:[C. Imp.]],$D525,Imput[[PERIODO Imp.]:[PERIODO Imp.]],CX$9)</f>
        <v>0</v>
      </c>
      <c r="CY525" s="693">
        <f>SUMIFS(Imput[[Importe Neto]:[Importe Neto]],Imput[[C. Imp.]:[C. Imp.]],$D525,Imput[[PERIODO Imp.]:[PERIODO Imp.]],CY$9)</f>
        <v>0</v>
      </c>
      <c r="CZ525" s="693">
        <f>SUMIFS(Imput[[Importe Neto]:[Importe Neto]],Imput[[C. Imp.]:[C. Imp.]],$D525,Imput[[PERIODO Imp.]:[PERIODO Imp.]],CZ$9)</f>
        <v>0</v>
      </c>
      <c r="DA525" s="693">
        <f>SUMIFS(Imput[[Importe Neto]:[Importe Neto]],Imput[[C. Imp.]:[C. Imp.]],$D525,Imput[[PERIODO Imp.]:[PERIODO Imp.]],DA$9)</f>
        <v>0</v>
      </c>
      <c r="DB525" s="693">
        <f>SUMIFS(Imput[[Importe Neto]:[Importe Neto]],Imput[[C. Imp.]:[C. Imp.]],$D525,Imput[[PERIODO Imp.]:[PERIODO Imp.]],DB$9)</f>
        <v>0</v>
      </c>
      <c r="DC525" s="693">
        <f>SUMIFS(Imput[[Importe Neto]:[Importe Neto]],Imput[[C. Imp.]:[C. Imp.]],$D525,Imput[[PERIODO Imp.]:[PERIODO Imp.]],DC$9)</f>
        <v>0</v>
      </c>
      <c r="DD525" s="693">
        <f>SUMIFS(Imput[[Importe Neto]:[Importe Neto]],Imput[[C. Imp.]:[C. Imp.]],$D525,Imput[[PERIODO Imp.]:[PERIODO Imp.]],DD$9)</f>
        <v>0</v>
      </c>
      <c r="DE525" s="693">
        <f>SUMIFS(Imput[[Importe Neto]:[Importe Neto]],Imput[[C. Imp.]:[C. Imp.]],$D525,Imput[[PERIODO Imp.]:[PERIODO Imp.]],DE$9)</f>
        <v>0</v>
      </c>
      <c r="DF525" s="693">
        <f>SUMIFS(Imput[[Importe Neto]:[Importe Neto]],Imput[[C. Imp.]:[C. Imp.]],$D525,Imput[[PERIODO Imp.]:[PERIODO Imp.]],DF$9)</f>
        <v>0</v>
      </c>
      <c r="DG525" s="693">
        <f>SUMIFS(Imput[[Importe Neto]:[Importe Neto]],Imput[[C. Imp.]:[C. Imp.]],$D525,Imput[[PERIODO Imp.]:[PERIODO Imp.]],DG$9)</f>
        <v>0</v>
      </c>
      <c r="DH525" s="694">
        <f>SUMIFS(Imput[[Importe Neto]:[Importe Neto]],Imput[[C. Imp.]:[C. Imp.]],$D525,Imput[[PERIODO Imp.]:[PERIODO Imp.]],DH$9)</f>
        <v>0</v>
      </c>
    </row>
    <row r="526" spans="1:112" s="649" customFormat="1" hidden="1" outlineLevel="1" x14ac:dyDescent="0.3">
      <c r="A526" s="652" t="str">
        <f t="shared" si="205"/>
        <v/>
      </c>
      <c r="B526" s="652"/>
      <c r="C526" s="685"/>
      <c r="D526" s="686" t="s">
        <v>2552</v>
      </c>
      <c r="E526" s="686"/>
      <c r="F526" s="720"/>
      <c r="G526" s="688"/>
      <c r="H526" s="689"/>
      <c r="I526" s="851" t="str">
        <f t="shared" si="206"/>
        <v/>
      </c>
      <c r="J526" s="850" t="str">
        <f t="shared" si="207"/>
        <v/>
      </c>
      <c r="K526" s="667"/>
      <c r="L526" s="858"/>
      <c r="M526" s="859"/>
      <c r="N526" s="859"/>
      <c r="O526" s="859"/>
      <c r="P526" s="859"/>
      <c r="Q526" s="859"/>
      <c r="R526" s="859"/>
      <c r="S526" s="859"/>
      <c r="T526" s="859"/>
      <c r="U526" s="859"/>
      <c r="V526" s="859"/>
      <c r="W526" s="859"/>
      <c r="X526" s="859"/>
      <c r="Y526" s="859"/>
      <c r="Z526" s="860"/>
      <c r="AA526" s="860"/>
      <c r="AB526" s="860"/>
      <c r="AC526" s="860"/>
      <c r="AD526" s="860"/>
      <c r="AE526" s="860"/>
      <c r="AF526" s="860"/>
      <c r="AG526" s="860"/>
      <c r="AH526" s="860"/>
      <c r="AI526" s="860"/>
      <c r="AJ526" s="860"/>
      <c r="AK526" s="860"/>
      <c r="AL526" s="860"/>
      <c r="AM526" s="860"/>
      <c r="AN526" s="860"/>
      <c r="AO526" s="860"/>
      <c r="AP526" s="860"/>
      <c r="AQ526" s="860"/>
      <c r="AR526" s="860"/>
      <c r="AS526" s="860"/>
      <c r="AT526" s="860"/>
      <c r="AU526" s="860"/>
      <c r="AV526" s="860"/>
      <c r="AW526" s="860"/>
      <c r="AX526" s="860"/>
      <c r="AY526" s="860"/>
      <c r="AZ526" s="860"/>
      <c r="BA526" s="860"/>
      <c r="BB526" s="860"/>
      <c r="BC526" s="860"/>
      <c r="BD526" s="860"/>
      <c r="BE526" s="860"/>
      <c r="BF526" s="860"/>
      <c r="BG526" s="860"/>
      <c r="BH526" s="668"/>
      <c r="BI526" s="667"/>
      <c r="BJ526" s="690">
        <f t="shared" si="208"/>
        <v>0</v>
      </c>
      <c r="BK526" s="691">
        <f t="shared" si="209"/>
        <v>0</v>
      </c>
      <c r="BL526" s="654"/>
      <c r="BM526" s="692">
        <f>SUMIFS(Imput[[Importe Neto]:[Importe Neto]],Imput[[C. Imp.]:[C. Imp.]],$D526,Imput[[PERIODO Imp.]:[PERIODO Imp.]],BM$9)</f>
        <v>0</v>
      </c>
      <c r="BN526" s="693">
        <f>SUMIFS(Imput[[Importe Neto]:[Importe Neto]],Imput[[C. Imp.]:[C. Imp.]],$D526,Imput[[PERIODO Imp.]:[PERIODO Imp.]],BN$9)</f>
        <v>0</v>
      </c>
      <c r="BO526" s="693">
        <f>SUMIFS(Imput[[Importe Neto]:[Importe Neto]],Imput[[C. Imp.]:[C. Imp.]],$D526,Imput[[PERIODO Imp.]:[PERIODO Imp.]],BO$9)</f>
        <v>0</v>
      </c>
      <c r="BP526" s="693">
        <f>SUMIFS(Imput[[Importe Neto]:[Importe Neto]],Imput[[C. Imp.]:[C. Imp.]],$D526,Imput[[PERIODO Imp.]:[PERIODO Imp.]],BP$9)</f>
        <v>0</v>
      </c>
      <c r="BQ526" s="693">
        <f>SUMIFS(Imput[[Importe Neto]:[Importe Neto]],Imput[[C. Imp.]:[C. Imp.]],$D526,Imput[[PERIODO Imp.]:[PERIODO Imp.]],BQ$9)</f>
        <v>0</v>
      </c>
      <c r="BR526" s="693">
        <f>SUMIFS(Imput[[Importe Neto]:[Importe Neto]],Imput[[C. Imp.]:[C. Imp.]],$D526,Imput[[PERIODO Imp.]:[PERIODO Imp.]],BR$9)</f>
        <v>0</v>
      </c>
      <c r="BS526" s="693">
        <f>SUMIFS(Imput[[Importe Neto]:[Importe Neto]],Imput[[C. Imp.]:[C. Imp.]],$D526,Imput[[PERIODO Imp.]:[PERIODO Imp.]],BS$9)</f>
        <v>0</v>
      </c>
      <c r="BT526" s="693">
        <f>SUMIFS(Imput[[Importe Neto]:[Importe Neto]],Imput[[C. Imp.]:[C. Imp.]],$D526,Imput[[PERIODO Imp.]:[PERIODO Imp.]],BT$9)</f>
        <v>0</v>
      </c>
      <c r="BU526" s="693">
        <f>SUMIFS(Imput[[Importe Neto]:[Importe Neto]],Imput[[C. Imp.]:[C. Imp.]],$D526,Imput[[PERIODO Imp.]:[PERIODO Imp.]],BU$9)</f>
        <v>0</v>
      </c>
      <c r="BV526" s="693">
        <f>SUMIFS(Imput[[Importe Neto]:[Importe Neto]],Imput[[C. Imp.]:[C. Imp.]],$D526,Imput[[PERIODO Imp.]:[PERIODO Imp.]],BV$9)</f>
        <v>0</v>
      </c>
      <c r="BW526" s="693">
        <f>SUMIFS(Imput[[Importe Neto]:[Importe Neto]],Imput[[C. Imp.]:[C. Imp.]],$D526,Imput[[PERIODO Imp.]:[PERIODO Imp.]],BW$9)</f>
        <v>0</v>
      </c>
      <c r="BX526" s="693">
        <f>SUMIFS(Imput[[Importe Neto]:[Importe Neto]],Imput[[C. Imp.]:[C. Imp.]],$D526,Imput[[PERIODO Imp.]:[PERIODO Imp.]],BX$9)</f>
        <v>0</v>
      </c>
      <c r="BY526" s="693">
        <f>SUMIFS(Imput[[Importe Neto]:[Importe Neto]],Imput[[C. Imp.]:[C. Imp.]],$D526,Imput[[PERIODO Imp.]:[PERIODO Imp.]],BY$9)</f>
        <v>0</v>
      </c>
      <c r="BZ526" s="693">
        <f>SUMIFS(Imput[[Importe Neto]:[Importe Neto]],Imput[[C. Imp.]:[C. Imp.]],$D526,Imput[[PERIODO Imp.]:[PERIODO Imp.]],BZ$9)</f>
        <v>0</v>
      </c>
      <c r="CA526" s="693">
        <f>SUMIFS(Imput[[Importe Neto]:[Importe Neto]],Imput[[C. Imp.]:[C. Imp.]],$D526,Imput[[PERIODO Imp.]:[PERIODO Imp.]],CA$9)</f>
        <v>0</v>
      </c>
      <c r="CB526" s="693">
        <f>SUMIFS(Imput[[Importe Neto]:[Importe Neto]],Imput[[C. Imp.]:[C. Imp.]],$D526,Imput[[PERIODO Imp.]:[PERIODO Imp.]],CB$9)</f>
        <v>0</v>
      </c>
      <c r="CC526" s="693">
        <f>SUMIFS(Imput[[Importe Neto]:[Importe Neto]],Imput[[C. Imp.]:[C. Imp.]],$D526,Imput[[PERIODO Imp.]:[PERIODO Imp.]],CC$9)</f>
        <v>0</v>
      </c>
      <c r="CD526" s="693">
        <f>SUMIFS(Imput[[Importe Neto]:[Importe Neto]],Imput[[C. Imp.]:[C. Imp.]],$D526,Imput[[PERIODO Imp.]:[PERIODO Imp.]],CD$9)</f>
        <v>0</v>
      </c>
      <c r="CE526" s="693">
        <f>SUMIFS(Imput[[Importe Neto]:[Importe Neto]],Imput[[C. Imp.]:[C. Imp.]],$D526,Imput[[PERIODO Imp.]:[PERIODO Imp.]],CE$9)</f>
        <v>0</v>
      </c>
      <c r="CF526" s="693">
        <f>SUMIFS(Imput[[Importe Neto]:[Importe Neto]],Imput[[C. Imp.]:[C. Imp.]],$D526,Imput[[PERIODO Imp.]:[PERIODO Imp.]],CF$9)</f>
        <v>0</v>
      </c>
      <c r="CG526" s="693">
        <f>SUMIFS(Imput[[Importe Neto]:[Importe Neto]],Imput[[C. Imp.]:[C. Imp.]],$D526,Imput[[PERIODO Imp.]:[PERIODO Imp.]],CG$9)</f>
        <v>0</v>
      </c>
      <c r="CH526" s="693">
        <f>SUMIFS(Imput[[Importe Neto]:[Importe Neto]],Imput[[C. Imp.]:[C. Imp.]],$D526,Imput[[PERIODO Imp.]:[PERIODO Imp.]],CH$9)</f>
        <v>0</v>
      </c>
      <c r="CI526" s="693">
        <f>SUMIFS(Imput[[Importe Neto]:[Importe Neto]],Imput[[C. Imp.]:[C. Imp.]],$D526,Imput[[PERIODO Imp.]:[PERIODO Imp.]],CI$9)</f>
        <v>0</v>
      </c>
      <c r="CJ526" s="693">
        <f>SUMIFS(Imput[[Importe Neto]:[Importe Neto]],Imput[[C. Imp.]:[C. Imp.]],$D526,Imput[[PERIODO Imp.]:[PERIODO Imp.]],CJ$9)</f>
        <v>0</v>
      </c>
      <c r="CK526" s="693">
        <f>SUMIFS(Imput[[Importe Neto]:[Importe Neto]],Imput[[C. Imp.]:[C. Imp.]],$D526,Imput[[PERIODO Imp.]:[PERIODO Imp.]],CK$9)</f>
        <v>0</v>
      </c>
      <c r="CL526" s="693">
        <f>SUMIFS(Imput[[Importe Neto]:[Importe Neto]],Imput[[C. Imp.]:[C. Imp.]],$D526,Imput[[PERIODO Imp.]:[PERIODO Imp.]],CL$9)</f>
        <v>0</v>
      </c>
      <c r="CM526" s="693">
        <f>SUMIFS(Imput[[Importe Neto]:[Importe Neto]],Imput[[C. Imp.]:[C. Imp.]],$D526,Imput[[PERIODO Imp.]:[PERIODO Imp.]],CM$9)</f>
        <v>0</v>
      </c>
      <c r="CN526" s="693">
        <f>SUMIFS(Imput[[Importe Neto]:[Importe Neto]],Imput[[C. Imp.]:[C. Imp.]],$D526,Imput[[PERIODO Imp.]:[PERIODO Imp.]],CN$9)</f>
        <v>0</v>
      </c>
      <c r="CO526" s="693">
        <f>SUMIFS(Imput[[Importe Neto]:[Importe Neto]],Imput[[C. Imp.]:[C. Imp.]],$D526,Imput[[PERIODO Imp.]:[PERIODO Imp.]],CO$9)</f>
        <v>0</v>
      </c>
      <c r="CP526" s="693">
        <f>SUMIFS(Imput[[Importe Neto]:[Importe Neto]],Imput[[C. Imp.]:[C. Imp.]],$D526,Imput[[PERIODO Imp.]:[PERIODO Imp.]],CP$9)</f>
        <v>0</v>
      </c>
      <c r="CQ526" s="693">
        <f>SUMIFS(Imput[[Importe Neto]:[Importe Neto]],Imput[[C. Imp.]:[C. Imp.]],$D526,Imput[[PERIODO Imp.]:[PERIODO Imp.]],CQ$9)</f>
        <v>0</v>
      </c>
      <c r="CR526" s="693">
        <f>SUMIFS(Imput[[Importe Neto]:[Importe Neto]],Imput[[C. Imp.]:[C. Imp.]],$D526,Imput[[PERIODO Imp.]:[PERIODO Imp.]],CR$9)</f>
        <v>0</v>
      </c>
      <c r="CS526" s="693">
        <f>SUMIFS(Imput[[Importe Neto]:[Importe Neto]],Imput[[C. Imp.]:[C. Imp.]],$D526,Imput[[PERIODO Imp.]:[PERIODO Imp.]],CS$9)</f>
        <v>0</v>
      </c>
      <c r="CT526" s="693">
        <f>SUMIFS(Imput[[Importe Neto]:[Importe Neto]],Imput[[C. Imp.]:[C. Imp.]],$D526,Imput[[PERIODO Imp.]:[PERIODO Imp.]],CT$9)</f>
        <v>0</v>
      </c>
      <c r="CU526" s="693">
        <f>SUMIFS(Imput[[Importe Neto]:[Importe Neto]],Imput[[C. Imp.]:[C. Imp.]],$D526,Imput[[PERIODO Imp.]:[PERIODO Imp.]],CU$9)</f>
        <v>0</v>
      </c>
      <c r="CV526" s="693">
        <f>SUMIFS(Imput[[Importe Neto]:[Importe Neto]],Imput[[C. Imp.]:[C. Imp.]],$D526,Imput[[PERIODO Imp.]:[PERIODO Imp.]],CV$9)</f>
        <v>0</v>
      </c>
      <c r="CW526" s="693">
        <f>SUMIFS(Imput[[Importe Neto]:[Importe Neto]],Imput[[C. Imp.]:[C. Imp.]],$D526,Imput[[PERIODO Imp.]:[PERIODO Imp.]],CW$9)</f>
        <v>0</v>
      </c>
      <c r="CX526" s="693">
        <f>SUMIFS(Imput[[Importe Neto]:[Importe Neto]],Imput[[C. Imp.]:[C. Imp.]],$D526,Imput[[PERIODO Imp.]:[PERIODO Imp.]],CX$9)</f>
        <v>0</v>
      </c>
      <c r="CY526" s="693">
        <f>SUMIFS(Imput[[Importe Neto]:[Importe Neto]],Imput[[C. Imp.]:[C. Imp.]],$D526,Imput[[PERIODO Imp.]:[PERIODO Imp.]],CY$9)</f>
        <v>0</v>
      </c>
      <c r="CZ526" s="693">
        <f>SUMIFS(Imput[[Importe Neto]:[Importe Neto]],Imput[[C. Imp.]:[C. Imp.]],$D526,Imput[[PERIODO Imp.]:[PERIODO Imp.]],CZ$9)</f>
        <v>0</v>
      </c>
      <c r="DA526" s="693">
        <f>SUMIFS(Imput[[Importe Neto]:[Importe Neto]],Imput[[C. Imp.]:[C. Imp.]],$D526,Imput[[PERIODO Imp.]:[PERIODO Imp.]],DA$9)</f>
        <v>0</v>
      </c>
      <c r="DB526" s="693">
        <f>SUMIFS(Imput[[Importe Neto]:[Importe Neto]],Imput[[C. Imp.]:[C. Imp.]],$D526,Imput[[PERIODO Imp.]:[PERIODO Imp.]],DB$9)</f>
        <v>0</v>
      </c>
      <c r="DC526" s="693">
        <f>SUMIFS(Imput[[Importe Neto]:[Importe Neto]],Imput[[C. Imp.]:[C. Imp.]],$D526,Imput[[PERIODO Imp.]:[PERIODO Imp.]],DC$9)</f>
        <v>0</v>
      </c>
      <c r="DD526" s="693">
        <f>SUMIFS(Imput[[Importe Neto]:[Importe Neto]],Imput[[C. Imp.]:[C. Imp.]],$D526,Imput[[PERIODO Imp.]:[PERIODO Imp.]],DD$9)</f>
        <v>0</v>
      </c>
      <c r="DE526" s="693">
        <f>SUMIFS(Imput[[Importe Neto]:[Importe Neto]],Imput[[C. Imp.]:[C. Imp.]],$D526,Imput[[PERIODO Imp.]:[PERIODO Imp.]],DE$9)</f>
        <v>0</v>
      </c>
      <c r="DF526" s="693">
        <f>SUMIFS(Imput[[Importe Neto]:[Importe Neto]],Imput[[C. Imp.]:[C. Imp.]],$D526,Imput[[PERIODO Imp.]:[PERIODO Imp.]],DF$9)</f>
        <v>0</v>
      </c>
      <c r="DG526" s="693">
        <f>SUMIFS(Imput[[Importe Neto]:[Importe Neto]],Imput[[C. Imp.]:[C. Imp.]],$D526,Imput[[PERIODO Imp.]:[PERIODO Imp.]],DG$9)</f>
        <v>0</v>
      </c>
      <c r="DH526" s="694">
        <f>SUMIFS(Imput[[Importe Neto]:[Importe Neto]],Imput[[C. Imp.]:[C. Imp.]],$D526,Imput[[PERIODO Imp.]:[PERIODO Imp.]],DH$9)</f>
        <v>0</v>
      </c>
    </row>
    <row r="527" spans="1:112" s="649" customFormat="1" hidden="1" outlineLevel="1" x14ac:dyDescent="0.3">
      <c r="A527" s="652" t="str">
        <f t="shared" si="205"/>
        <v/>
      </c>
      <c r="B527" s="652"/>
      <c r="C527" s="685"/>
      <c r="D527" s="686" t="s">
        <v>2553</v>
      </c>
      <c r="E527" s="686"/>
      <c r="F527" s="720"/>
      <c r="G527" s="688"/>
      <c r="H527" s="689"/>
      <c r="I527" s="851" t="str">
        <f t="shared" si="206"/>
        <v/>
      </c>
      <c r="J527" s="850" t="str">
        <f t="shared" si="207"/>
        <v/>
      </c>
      <c r="K527" s="667"/>
      <c r="L527" s="858"/>
      <c r="M527" s="859"/>
      <c r="N527" s="859"/>
      <c r="O527" s="859"/>
      <c r="P527" s="859"/>
      <c r="Q527" s="859"/>
      <c r="R527" s="859"/>
      <c r="S527" s="859"/>
      <c r="T527" s="859"/>
      <c r="U527" s="859"/>
      <c r="V527" s="859"/>
      <c r="W527" s="859"/>
      <c r="X527" s="859"/>
      <c r="Y527" s="859"/>
      <c r="Z527" s="860"/>
      <c r="AA527" s="860"/>
      <c r="AB527" s="860"/>
      <c r="AC527" s="860"/>
      <c r="AD527" s="860"/>
      <c r="AE527" s="860"/>
      <c r="AF527" s="860"/>
      <c r="AG527" s="860"/>
      <c r="AH527" s="860"/>
      <c r="AI527" s="860"/>
      <c r="AJ527" s="860"/>
      <c r="AK527" s="860"/>
      <c r="AL527" s="860"/>
      <c r="AM527" s="860"/>
      <c r="AN527" s="860"/>
      <c r="AO527" s="860"/>
      <c r="AP527" s="860"/>
      <c r="AQ527" s="860"/>
      <c r="AR527" s="860"/>
      <c r="AS527" s="860"/>
      <c r="AT527" s="860"/>
      <c r="AU527" s="860"/>
      <c r="AV527" s="860"/>
      <c r="AW527" s="860"/>
      <c r="AX527" s="860"/>
      <c r="AY527" s="860"/>
      <c r="AZ527" s="860"/>
      <c r="BA527" s="860"/>
      <c r="BB527" s="860"/>
      <c r="BC527" s="860"/>
      <c r="BD527" s="860"/>
      <c r="BE527" s="860"/>
      <c r="BF527" s="860"/>
      <c r="BG527" s="860"/>
      <c r="BH527" s="668"/>
      <c r="BI527" s="667"/>
      <c r="BJ527" s="690">
        <f t="shared" si="208"/>
        <v>0</v>
      </c>
      <c r="BK527" s="691">
        <f t="shared" si="209"/>
        <v>0</v>
      </c>
      <c r="BL527" s="654"/>
      <c r="BM527" s="692">
        <f>SUMIFS(Imput[[Importe Neto]:[Importe Neto]],Imput[[C. Imp.]:[C. Imp.]],$D527,Imput[[PERIODO Imp.]:[PERIODO Imp.]],BM$9)</f>
        <v>0</v>
      </c>
      <c r="BN527" s="693">
        <f>SUMIFS(Imput[[Importe Neto]:[Importe Neto]],Imput[[C. Imp.]:[C. Imp.]],$D527,Imput[[PERIODO Imp.]:[PERIODO Imp.]],BN$9)</f>
        <v>0</v>
      </c>
      <c r="BO527" s="693">
        <f>SUMIFS(Imput[[Importe Neto]:[Importe Neto]],Imput[[C. Imp.]:[C. Imp.]],$D527,Imput[[PERIODO Imp.]:[PERIODO Imp.]],BO$9)</f>
        <v>0</v>
      </c>
      <c r="BP527" s="693">
        <f>SUMIFS(Imput[[Importe Neto]:[Importe Neto]],Imput[[C. Imp.]:[C. Imp.]],$D527,Imput[[PERIODO Imp.]:[PERIODO Imp.]],BP$9)</f>
        <v>0</v>
      </c>
      <c r="BQ527" s="693">
        <f>SUMIFS(Imput[[Importe Neto]:[Importe Neto]],Imput[[C. Imp.]:[C. Imp.]],$D527,Imput[[PERIODO Imp.]:[PERIODO Imp.]],BQ$9)</f>
        <v>0</v>
      </c>
      <c r="BR527" s="693">
        <f>SUMIFS(Imput[[Importe Neto]:[Importe Neto]],Imput[[C. Imp.]:[C. Imp.]],$D527,Imput[[PERIODO Imp.]:[PERIODO Imp.]],BR$9)</f>
        <v>0</v>
      </c>
      <c r="BS527" s="693">
        <f>SUMIFS(Imput[[Importe Neto]:[Importe Neto]],Imput[[C. Imp.]:[C. Imp.]],$D527,Imput[[PERIODO Imp.]:[PERIODO Imp.]],BS$9)</f>
        <v>0</v>
      </c>
      <c r="BT527" s="693">
        <f>SUMIFS(Imput[[Importe Neto]:[Importe Neto]],Imput[[C. Imp.]:[C. Imp.]],$D527,Imput[[PERIODO Imp.]:[PERIODO Imp.]],BT$9)</f>
        <v>0</v>
      </c>
      <c r="BU527" s="693">
        <f>SUMIFS(Imput[[Importe Neto]:[Importe Neto]],Imput[[C. Imp.]:[C. Imp.]],$D527,Imput[[PERIODO Imp.]:[PERIODO Imp.]],BU$9)</f>
        <v>0</v>
      </c>
      <c r="BV527" s="693">
        <f>SUMIFS(Imput[[Importe Neto]:[Importe Neto]],Imput[[C. Imp.]:[C. Imp.]],$D527,Imput[[PERIODO Imp.]:[PERIODO Imp.]],BV$9)</f>
        <v>0</v>
      </c>
      <c r="BW527" s="693">
        <f>SUMIFS(Imput[[Importe Neto]:[Importe Neto]],Imput[[C. Imp.]:[C. Imp.]],$D527,Imput[[PERIODO Imp.]:[PERIODO Imp.]],BW$9)</f>
        <v>0</v>
      </c>
      <c r="BX527" s="693">
        <f>SUMIFS(Imput[[Importe Neto]:[Importe Neto]],Imput[[C. Imp.]:[C. Imp.]],$D527,Imput[[PERIODO Imp.]:[PERIODO Imp.]],BX$9)</f>
        <v>0</v>
      </c>
      <c r="BY527" s="693">
        <f>SUMIFS(Imput[[Importe Neto]:[Importe Neto]],Imput[[C. Imp.]:[C. Imp.]],$D527,Imput[[PERIODO Imp.]:[PERIODO Imp.]],BY$9)</f>
        <v>0</v>
      </c>
      <c r="BZ527" s="693">
        <f>SUMIFS(Imput[[Importe Neto]:[Importe Neto]],Imput[[C. Imp.]:[C. Imp.]],$D527,Imput[[PERIODO Imp.]:[PERIODO Imp.]],BZ$9)</f>
        <v>0</v>
      </c>
      <c r="CA527" s="693">
        <f>SUMIFS(Imput[[Importe Neto]:[Importe Neto]],Imput[[C. Imp.]:[C. Imp.]],$D527,Imput[[PERIODO Imp.]:[PERIODO Imp.]],CA$9)</f>
        <v>0</v>
      </c>
      <c r="CB527" s="693">
        <f>SUMIFS(Imput[[Importe Neto]:[Importe Neto]],Imput[[C. Imp.]:[C. Imp.]],$D527,Imput[[PERIODO Imp.]:[PERIODO Imp.]],CB$9)</f>
        <v>0</v>
      </c>
      <c r="CC527" s="693">
        <f>SUMIFS(Imput[[Importe Neto]:[Importe Neto]],Imput[[C. Imp.]:[C. Imp.]],$D527,Imput[[PERIODO Imp.]:[PERIODO Imp.]],CC$9)</f>
        <v>0</v>
      </c>
      <c r="CD527" s="693">
        <f>SUMIFS(Imput[[Importe Neto]:[Importe Neto]],Imput[[C. Imp.]:[C. Imp.]],$D527,Imput[[PERIODO Imp.]:[PERIODO Imp.]],CD$9)</f>
        <v>0</v>
      </c>
      <c r="CE527" s="693">
        <f>SUMIFS(Imput[[Importe Neto]:[Importe Neto]],Imput[[C. Imp.]:[C. Imp.]],$D527,Imput[[PERIODO Imp.]:[PERIODO Imp.]],CE$9)</f>
        <v>0</v>
      </c>
      <c r="CF527" s="693">
        <f>SUMIFS(Imput[[Importe Neto]:[Importe Neto]],Imput[[C. Imp.]:[C. Imp.]],$D527,Imput[[PERIODO Imp.]:[PERIODO Imp.]],CF$9)</f>
        <v>0</v>
      </c>
      <c r="CG527" s="693">
        <f>SUMIFS(Imput[[Importe Neto]:[Importe Neto]],Imput[[C. Imp.]:[C. Imp.]],$D527,Imput[[PERIODO Imp.]:[PERIODO Imp.]],CG$9)</f>
        <v>0</v>
      </c>
      <c r="CH527" s="693">
        <f>SUMIFS(Imput[[Importe Neto]:[Importe Neto]],Imput[[C. Imp.]:[C. Imp.]],$D527,Imput[[PERIODO Imp.]:[PERIODO Imp.]],CH$9)</f>
        <v>0</v>
      </c>
      <c r="CI527" s="693">
        <f>SUMIFS(Imput[[Importe Neto]:[Importe Neto]],Imput[[C. Imp.]:[C. Imp.]],$D527,Imput[[PERIODO Imp.]:[PERIODO Imp.]],CI$9)</f>
        <v>0</v>
      </c>
      <c r="CJ527" s="693">
        <f>SUMIFS(Imput[[Importe Neto]:[Importe Neto]],Imput[[C. Imp.]:[C. Imp.]],$D527,Imput[[PERIODO Imp.]:[PERIODO Imp.]],CJ$9)</f>
        <v>0</v>
      </c>
      <c r="CK527" s="693">
        <f>SUMIFS(Imput[[Importe Neto]:[Importe Neto]],Imput[[C. Imp.]:[C. Imp.]],$D527,Imput[[PERIODO Imp.]:[PERIODO Imp.]],CK$9)</f>
        <v>0</v>
      </c>
      <c r="CL527" s="693">
        <f>SUMIFS(Imput[[Importe Neto]:[Importe Neto]],Imput[[C. Imp.]:[C. Imp.]],$D527,Imput[[PERIODO Imp.]:[PERIODO Imp.]],CL$9)</f>
        <v>0</v>
      </c>
      <c r="CM527" s="693">
        <f>SUMIFS(Imput[[Importe Neto]:[Importe Neto]],Imput[[C. Imp.]:[C. Imp.]],$D527,Imput[[PERIODO Imp.]:[PERIODO Imp.]],CM$9)</f>
        <v>0</v>
      </c>
      <c r="CN527" s="693">
        <f>SUMIFS(Imput[[Importe Neto]:[Importe Neto]],Imput[[C. Imp.]:[C. Imp.]],$D527,Imput[[PERIODO Imp.]:[PERIODO Imp.]],CN$9)</f>
        <v>0</v>
      </c>
      <c r="CO527" s="693">
        <f>SUMIFS(Imput[[Importe Neto]:[Importe Neto]],Imput[[C. Imp.]:[C. Imp.]],$D527,Imput[[PERIODO Imp.]:[PERIODO Imp.]],CO$9)</f>
        <v>0</v>
      </c>
      <c r="CP527" s="693">
        <f>SUMIFS(Imput[[Importe Neto]:[Importe Neto]],Imput[[C. Imp.]:[C. Imp.]],$D527,Imput[[PERIODO Imp.]:[PERIODO Imp.]],CP$9)</f>
        <v>0</v>
      </c>
      <c r="CQ527" s="693">
        <f>SUMIFS(Imput[[Importe Neto]:[Importe Neto]],Imput[[C. Imp.]:[C. Imp.]],$D527,Imput[[PERIODO Imp.]:[PERIODO Imp.]],CQ$9)</f>
        <v>0</v>
      </c>
      <c r="CR527" s="693">
        <f>SUMIFS(Imput[[Importe Neto]:[Importe Neto]],Imput[[C. Imp.]:[C. Imp.]],$D527,Imput[[PERIODO Imp.]:[PERIODO Imp.]],CR$9)</f>
        <v>0</v>
      </c>
      <c r="CS527" s="693">
        <f>SUMIFS(Imput[[Importe Neto]:[Importe Neto]],Imput[[C. Imp.]:[C. Imp.]],$D527,Imput[[PERIODO Imp.]:[PERIODO Imp.]],CS$9)</f>
        <v>0</v>
      </c>
      <c r="CT527" s="693">
        <f>SUMIFS(Imput[[Importe Neto]:[Importe Neto]],Imput[[C. Imp.]:[C. Imp.]],$D527,Imput[[PERIODO Imp.]:[PERIODO Imp.]],CT$9)</f>
        <v>0</v>
      </c>
      <c r="CU527" s="693">
        <f>SUMIFS(Imput[[Importe Neto]:[Importe Neto]],Imput[[C. Imp.]:[C. Imp.]],$D527,Imput[[PERIODO Imp.]:[PERIODO Imp.]],CU$9)</f>
        <v>0</v>
      </c>
      <c r="CV527" s="693">
        <f>SUMIFS(Imput[[Importe Neto]:[Importe Neto]],Imput[[C. Imp.]:[C. Imp.]],$D527,Imput[[PERIODO Imp.]:[PERIODO Imp.]],CV$9)</f>
        <v>0</v>
      </c>
      <c r="CW527" s="693">
        <f>SUMIFS(Imput[[Importe Neto]:[Importe Neto]],Imput[[C. Imp.]:[C. Imp.]],$D527,Imput[[PERIODO Imp.]:[PERIODO Imp.]],CW$9)</f>
        <v>0</v>
      </c>
      <c r="CX527" s="693">
        <f>SUMIFS(Imput[[Importe Neto]:[Importe Neto]],Imput[[C. Imp.]:[C. Imp.]],$D527,Imput[[PERIODO Imp.]:[PERIODO Imp.]],CX$9)</f>
        <v>0</v>
      </c>
      <c r="CY527" s="693">
        <f>SUMIFS(Imput[[Importe Neto]:[Importe Neto]],Imput[[C. Imp.]:[C. Imp.]],$D527,Imput[[PERIODO Imp.]:[PERIODO Imp.]],CY$9)</f>
        <v>0</v>
      </c>
      <c r="CZ527" s="693">
        <f>SUMIFS(Imput[[Importe Neto]:[Importe Neto]],Imput[[C. Imp.]:[C. Imp.]],$D527,Imput[[PERIODO Imp.]:[PERIODO Imp.]],CZ$9)</f>
        <v>0</v>
      </c>
      <c r="DA527" s="693">
        <f>SUMIFS(Imput[[Importe Neto]:[Importe Neto]],Imput[[C. Imp.]:[C. Imp.]],$D527,Imput[[PERIODO Imp.]:[PERIODO Imp.]],DA$9)</f>
        <v>0</v>
      </c>
      <c r="DB527" s="693">
        <f>SUMIFS(Imput[[Importe Neto]:[Importe Neto]],Imput[[C. Imp.]:[C. Imp.]],$D527,Imput[[PERIODO Imp.]:[PERIODO Imp.]],DB$9)</f>
        <v>0</v>
      </c>
      <c r="DC527" s="693">
        <f>SUMIFS(Imput[[Importe Neto]:[Importe Neto]],Imput[[C. Imp.]:[C. Imp.]],$D527,Imput[[PERIODO Imp.]:[PERIODO Imp.]],DC$9)</f>
        <v>0</v>
      </c>
      <c r="DD527" s="693">
        <f>SUMIFS(Imput[[Importe Neto]:[Importe Neto]],Imput[[C. Imp.]:[C. Imp.]],$D527,Imput[[PERIODO Imp.]:[PERIODO Imp.]],DD$9)</f>
        <v>0</v>
      </c>
      <c r="DE527" s="693">
        <f>SUMIFS(Imput[[Importe Neto]:[Importe Neto]],Imput[[C. Imp.]:[C. Imp.]],$D527,Imput[[PERIODO Imp.]:[PERIODO Imp.]],DE$9)</f>
        <v>0</v>
      </c>
      <c r="DF527" s="693">
        <f>SUMIFS(Imput[[Importe Neto]:[Importe Neto]],Imput[[C. Imp.]:[C. Imp.]],$D527,Imput[[PERIODO Imp.]:[PERIODO Imp.]],DF$9)</f>
        <v>0</v>
      </c>
      <c r="DG527" s="693">
        <f>SUMIFS(Imput[[Importe Neto]:[Importe Neto]],Imput[[C. Imp.]:[C. Imp.]],$D527,Imput[[PERIODO Imp.]:[PERIODO Imp.]],DG$9)</f>
        <v>0</v>
      </c>
      <c r="DH527" s="694">
        <f>SUMIFS(Imput[[Importe Neto]:[Importe Neto]],Imput[[C. Imp.]:[C. Imp.]],$D527,Imput[[PERIODO Imp.]:[PERIODO Imp.]],DH$9)</f>
        <v>0</v>
      </c>
    </row>
    <row r="528" spans="1:112" s="649" customFormat="1" hidden="1" outlineLevel="1" x14ac:dyDescent="0.3">
      <c r="A528" s="652" t="str">
        <f t="shared" si="205"/>
        <v/>
      </c>
      <c r="B528" s="652"/>
      <c r="C528" s="685"/>
      <c r="D528" s="686" t="s">
        <v>2554</v>
      </c>
      <c r="E528" s="686"/>
      <c r="F528" s="720"/>
      <c r="G528" s="688"/>
      <c r="H528" s="689"/>
      <c r="I528" s="851" t="str">
        <f t="shared" si="206"/>
        <v/>
      </c>
      <c r="J528" s="850" t="str">
        <f t="shared" si="207"/>
        <v/>
      </c>
      <c r="K528" s="667"/>
      <c r="L528" s="858"/>
      <c r="M528" s="859"/>
      <c r="N528" s="859"/>
      <c r="O528" s="859"/>
      <c r="P528" s="859"/>
      <c r="Q528" s="859"/>
      <c r="R528" s="859"/>
      <c r="S528" s="859"/>
      <c r="T528" s="859"/>
      <c r="U528" s="859"/>
      <c r="V528" s="859"/>
      <c r="W528" s="859"/>
      <c r="X528" s="859"/>
      <c r="Y528" s="859"/>
      <c r="Z528" s="860"/>
      <c r="AA528" s="860"/>
      <c r="AB528" s="860"/>
      <c r="AC528" s="860"/>
      <c r="AD528" s="860"/>
      <c r="AE528" s="860"/>
      <c r="AF528" s="860"/>
      <c r="AG528" s="860"/>
      <c r="AH528" s="860"/>
      <c r="AI528" s="860"/>
      <c r="AJ528" s="860"/>
      <c r="AK528" s="860"/>
      <c r="AL528" s="860"/>
      <c r="AM528" s="860"/>
      <c r="AN528" s="860"/>
      <c r="AO528" s="860"/>
      <c r="AP528" s="860"/>
      <c r="AQ528" s="860"/>
      <c r="AR528" s="860"/>
      <c r="AS528" s="860"/>
      <c r="AT528" s="860"/>
      <c r="AU528" s="860"/>
      <c r="AV528" s="860"/>
      <c r="AW528" s="860"/>
      <c r="AX528" s="860"/>
      <c r="AY528" s="860"/>
      <c r="AZ528" s="860"/>
      <c r="BA528" s="860"/>
      <c r="BB528" s="860"/>
      <c r="BC528" s="860"/>
      <c r="BD528" s="860"/>
      <c r="BE528" s="860"/>
      <c r="BF528" s="860"/>
      <c r="BG528" s="860"/>
      <c r="BH528" s="668"/>
      <c r="BI528" s="667"/>
      <c r="BJ528" s="690">
        <f t="shared" si="208"/>
        <v>0</v>
      </c>
      <c r="BK528" s="691">
        <f t="shared" si="209"/>
        <v>0</v>
      </c>
      <c r="BL528" s="654"/>
      <c r="BM528" s="692">
        <f>SUMIFS(Imput[[Importe Neto]:[Importe Neto]],Imput[[C. Imp.]:[C. Imp.]],$D528,Imput[[PERIODO Imp.]:[PERIODO Imp.]],BM$9)</f>
        <v>0</v>
      </c>
      <c r="BN528" s="693">
        <f>SUMIFS(Imput[[Importe Neto]:[Importe Neto]],Imput[[C. Imp.]:[C. Imp.]],$D528,Imput[[PERIODO Imp.]:[PERIODO Imp.]],BN$9)</f>
        <v>0</v>
      </c>
      <c r="BO528" s="693">
        <f>SUMIFS(Imput[[Importe Neto]:[Importe Neto]],Imput[[C. Imp.]:[C. Imp.]],$D528,Imput[[PERIODO Imp.]:[PERIODO Imp.]],BO$9)</f>
        <v>0</v>
      </c>
      <c r="BP528" s="693">
        <f>SUMIFS(Imput[[Importe Neto]:[Importe Neto]],Imput[[C. Imp.]:[C. Imp.]],$D528,Imput[[PERIODO Imp.]:[PERIODO Imp.]],BP$9)</f>
        <v>0</v>
      </c>
      <c r="BQ528" s="693">
        <f>SUMIFS(Imput[[Importe Neto]:[Importe Neto]],Imput[[C. Imp.]:[C. Imp.]],$D528,Imput[[PERIODO Imp.]:[PERIODO Imp.]],BQ$9)</f>
        <v>0</v>
      </c>
      <c r="BR528" s="693">
        <f>SUMIFS(Imput[[Importe Neto]:[Importe Neto]],Imput[[C. Imp.]:[C. Imp.]],$D528,Imput[[PERIODO Imp.]:[PERIODO Imp.]],BR$9)</f>
        <v>0</v>
      </c>
      <c r="BS528" s="693">
        <f>SUMIFS(Imput[[Importe Neto]:[Importe Neto]],Imput[[C. Imp.]:[C. Imp.]],$D528,Imput[[PERIODO Imp.]:[PERIODO Imp.]],BS$9)</f>
        <v>0</v>
      </c>
      <c r="BT528" s="693">
        <f>SUMIFS(Imput[[Importe Neto]:[Importe Neto]],Imput[[C. Imp.]:[C. Imp.]],$D528,Imput[[PERIODO Imp.]:[PERIODO Imp.]],BT$9)</f>
        <v>0</v>
      </c>
      <c r="BU528" s="693">
        <f>SUMIFS(Imput[[Importe Neto]:[Importe Neto]],Imput[[C. Imp.]:[C. Imp.]],$D528,Imput[[PERIODO Imp.]:[PERIODO Imp.]],BU$9)</f>
        <v>0</v>
      </c>
      <c r="BV528" s="693">
        <f>SUMIFS(Imput[[Importe Neto]:[Importe Neto]],Imput[[C. Imp.]:[C. Imp.]],$D528,Imput[[PERIODO Imp.]:[PERIODO Imp.]],BV$9)</f>
        <v>0</v>
      </c>
      <c r="BW528" s="693">
        <f>SUMIFS(Imput[[Importe Neto]:[Importe Neto]],Imput[[C. Imp.]:[C. Imp.]],$D528,Imput[[PERIODO Imp.]:[PERIODO Imp.]],BW$9)</f>
        <v>0</v>
      </c>
      <c r="BX528" s="693">
        <f>SUMIFS(Imput[[Importe Neto]:[Importe Neto]],Imput[[C. Imp.]:[C. Imp.]],$D528,Imput[[PERIODO Imp.]:[PERIODO Imp.]],BX$9)</f>
        <v>0</v>
      </c>
      <c r="BY528" s="693">
        <f>SUMIFS(Imput[[Importe Neto]:[Importe Neto]],Imput[[C. Imp.]:[C. Imp.]],$D528,Imput[[PERIODO Imp.]:[PERIODO Imp.]],BY$9)</f>
        <v>0</v>
      </c>
      <c r="BZ528" s="693">
        <f>SUMIFS(Imput[[Importe Neto]:[Importe Neto]],Imput[[C. Imp.]:[C. Imp.]],$D528,Imput[[PERIODO Imp.]:[PERIODO Imp.]],BZ$9)</f>
        <v>0</v>
      </c>
      <c r="CA528" s="693">
        <f>SUMIFS(Imput[[Importe Neto]:[Importe Neto]],Imput[[C. Imp.]:[C. Imp.]],$D528,Imput[[PERIODO Imp.]:[PERIODO Imp.]],CA$9)</f>
        <v>0</v>
      </c>
      <c r="CB528" s="693">
        <f>SUMIFS(Imput[[Importe Neto]:[Importe Neto]],Imput[[C. Imp.]:[C. Imp.]],$D528,Imput[[PERIODO Imp.]:[PERIODO Imp.]],CB$9)</f>
        <v>0</v>
      </c>
      <c r="CC528" s="693">
        <f>SUMIFS(Imput[[Importe Neto]:[Importe Neto]],Imput[[C. Imp.]:[C. Imp.]],$D528,Imput[[PERIODO Imp.]:[PERIODO Imp.]],CC$9)</f>
        <v>0</v>
      </c>
      <c r="CD528" s="693">
        <f>SUMIFS(Imput[[Importe Neto]:[Importe Neto]],Imput[[C. Imp.]:[C. Imp.]],$D528,Imput[[PERIODO Imp.]:[PERIODO Imp.]],CD$9)</f>
        <v>0</v>
      </c>
      <c r="CE528" s="693">
        <f>SUMIFS(Imput[[Importe Neto]:[Importe Neto]],Imput[[C. Imp.]:[C. Imp.]],$D528,Imput[[PERIODO Imp.]:[PERIODO Imp.]],CE$9)</f>
        <v>0</v>
      </c>
      <c r="CF528" s="693">
        <f>SUMIFS(Imput[[Importe Neto]:[Importe Neto]],Imput[[C. Imp.]:[C. Imp.]],$D528,Imput[[PERIODO Imp.]:[PERIODO Imp.]],CF$9)</f>
        <v>0</v>
      </c>
      <c r="CG528" s="693">
        <f>SUMIFS(Imput[[Importe Neto]:[Importe Neto]],Imput[[C. Imp.]:[C. Imp.]],$D528,Imput[[PERIODO Imp.]:[PERIODO Imp.]],CG$9)</f>
        <v>0</v>
      </c>
      <c r="CH528" s="693">
        <f>SUMIFS(Imput[[Importe Neto]:[Importe Neto]],Imput[[C. Imp.]:[C. Imp.]],$D528,Imput[[PERIODO Imp.]:[PERIODO Imp.]],CH$9)</f>
        <v>0</v>
      </c>
      <c r="CI528" s="693">
        <f>SUMIFS(Imput[[Importe Neto]:[Importe Neto]],Imput[[C. Imp.]:[C. Imp.]],$D528,Imput[[PERIODO Imp.]:[PERIODO Imp.]],CI$9)</f>
        <v>0</v>
      </c>
      <c r="CJ528" s="693">
        <f>SUMIFS(Imput[[Importe Neto]:[Importe Neto]],Imput[[C. Imp.]:[C. Imp.]],$D528,Imput[[PERIODO Imp.]:[PERIODO Imp.]],CJ$9)</f>
        <v>0</v>
      </c>
      <c r="CK528" s="693">
        <f>SUMIFS(Imput[[Importe Neto]:[Importe Neto]],Imput[[C. Imp.]:[C. Imp.]],$D528,Imput[[PERIODO Imp.]:[PERIODO Imp.]],CK$9)</f>
        <v>0</v>
      </c>
      <c r="CL528" s="693">
        <f>SUMIFS(Imput[[Importe Neto]:[Importe Neto]],Imput[[C. Imp.]:[C. Imp.]],$D528,Imput[[PERIODO Imp.]:[PERIODO Imp.]],CL$9)</f>
        <v>0</v>
      </c>
      <c r="CM528" s="693">
        <f>SUMIFS(Imput[[Importe Neto]:[Importe Neto]],Imput[[C. Imp.]:[C. Imp.]],$D528,Imput[[PERIODO Imp.]:[PERIODO Imp.]],CM$9)</f>
        <v>0</v>
      </c>
      <c r="CN528" s="693">
        <f>SUMIFS(Imput[[Importe Neto]:[Importe Neto]],Imput[[C. Imp.]:[C. Imp.]],$D528,Imput[[PERIODO Imp.]:[PERIODO Imp.]],CN$9)</f>
        <v>0</v>
      </c>
      <c r="CO528" s="693">
        <f>SUMIFS(Imput[[Importe Neto]:[Importe Neto]],Imput[[C. Imp.]:[C. Imp.]],$D528,Imput[[PERIODO Imp.]:[PERIODO Imp.]],CO$9)</f>
        <v>0</v>
      </c>
      <c r="CP528" s="693">
        <f>SUMIFS(Imput[[Importe Neto]:[Importe Neto]],Imput[[C. Imp.]:[C. Imp.]],$D528,Imput[[PERIODO Imp.]:[PERIODO Imp.]],CP$9)</f>
        <v>0</v>
      </c>
      <c r="CQ528" s="693">
        <f>SUMIFS(Imput[[Importe Neto]:[Importe Neto]],Imput[[C. Imp.]:[C. Imp.]],$D528,Imput[[PERIODO Imp.]:[PERIODO Imp.]],CQ$9)</f>
        <v>0</v>
      </c>
      <c r="CR528" s="693">
        <f>SUMIFS(Imput[[Importe Neto]:[Importe Neto]],Imput[[C. Imp.]:[C. Imp.]],$D528,Imput[[PERIODO Imp.]:[PERIODO Imp.]],CR$9)</f>
        <v>0</v>
      </c>
      <c r="CS528" s="693">
        <f>SUMIFS(Imput[[Importe Neto]:[Importe Neto]],Imput[[C. Imp.]:[C. Imp.]],$D528,Imput[[PERIODO Imp.]:[PERIODO Imp.]],CS$9)</f>
        <v>0</v>
      </c>
      <c r="CT528" s="693">
        <f>SUMIFS(Imput[[Importe Neto]:[Importe Neto]],Imput[[C. Imp.]:[C. Imp.]],$D528,Imput[[PERIODO Imp.]:[PERIODO Imp.]],CT$9)</f>
        <v>0</v>
      </c>
      <c r="CU528" s="693">
        <f>SUMIFS(Imput[[Importe Neto]:[Importe Neto]],Imput[[C. Imp.]:[C. Imp.]],$D528,Imput[[PERIODO Imp.]:[PERIODO Imp.]],CU$9)</f>
        <v>0</v>
      </c>
      <c r="CV528" s="693">
        <f>SUMIFS(Imput[[Importe Neto]:[Importe Neto]],Imput[[C. Imp.]:[C. Imp.]],$D528,Imput[[PERIODO Imp.]:[PERIODO Imp.]],CV$9)</f>
        <v>0</v>
      </c>
      <c r="CW528" s="693">
        <f>SUMIFS(Imput[[Importe Neto]:[Importe Neto]],Imput[[C. Imp.]:[C. Imp.]],$D528,Imput[[PERIODO Imp.]:[PERIODO Imp.]],CW$9)</f>
        <v>0</v>
      </c>
      <c r="CX528" s="693">
        <f>SUMIFS(Imput[[Importe Neto]:[Importe Neto]],Imput[[C. Imp.]:[C. Imp.]],$D528,Imput[[PERIODO Imp.]:[PERIODO Imp.]],CX$9)</f>
        <v>0</v>
      </c>
      <c r="CY528" s="693">
        <f>SUMIFS(Imput[[Importe Neto]:[Importe Neto]],Imput[[C. Imp.]:[C. Imp.]],$D528,Imput[[PERIODO Imp.]:[PERIODO Imp.]],CY$9)</f>
        <v>0</v>
      </c>
      <c r="CZ528" s="693">
        <f>SUMIFS(Imput[[Importe Neto]:[Importe Neto]],Imput[[C. Imp.]:[C. Imp.]],$D528,Imput[[PERIODO Imp.]:[PERIODO Imp.]],CZ$9)</f>
        <v>0</v>
      </c>
      <c r="DA528" s="693">
        <f>SUMIFS(Imput[[Importe Neto]:[Importe Neto]],Imput[[C. Imp.]:[C. Imp.]],$D528,Imput[[PERIODO Imp.]:[PERIODO Imp.]],DA$9)</f>
        <v>0</v>
      </c>
      <c r="DB528" s="693">
        <f>SUMIFS(Imput[[Importe Neto]:[Importe Neto]],Imput[[C. Imp.]:[C. Imp.]],$D528,Imput[[PERIODO Imp.]:[PERIODO Imp.]],DB$9)</f>
        <v>0</v>
      </c>
      <c r="DC528" s="693">
        <f>SUMIFS(Imput[[Importe Neto]:[Importe Neto]],Imput[[C. Imp.]:[C. Imp.]],$D528,Imput[[PERIODO Imp.]:[PERIODO Imp.]],DC$9)</f>
        <v>0</v>
      </c>
      <c r="DD528" s="693">
        <f>SUMIFS(Imput[[Importe Neto]:[Importe Neto]],Imput[[C. Imp.]:[C. Imp.]],$D528,Imput[[PERIODO Imp.]:[PERIODO Imp.]],DD$9)</f>
        <v>0</v>
      </c>
      <c r="DE528" s="693">
        <f>SUMIFS(Imput[[Importe Neto]:[Importe Neto]],Imput[[C. Imp.]:[C. Imp.]],$D528,Imput[[PERIODO Imp.]:[PERIODO Imp.]],DE$9)</f>
        <v>0</v>
      </c>
      <c r="DF528" s="693">
        <f>SUMIFS(Imput[[Importe Neto]:[Importe Neto]],Imput[[C. Imp.]:[C. Imp.]],$D528,Imput[[PERIODO Imp.]:[PERIODO Imp.]],DF$9)</f>
        <v>0</v>
      </c>
      <c r="DG528" s="693">
        <f>SUMIFS(Imput[[Importe Neto]:[Importe Neto]],Imput[[C. Imp.]:[C. Imp.]],$D528,Imput[[PERIODO Imp.]:[PERIODO Imp.]],DG$9)</f>
        <v>0</v>
      </c>
      <c r="DH528" s="694">
        <f>SUMIFS(Imput[[Importe Neto]:[Importe Neto]],Imput[[C. Imp.]:[C. Imp.]],$D528,Imput[[PERIODO Imp.]:[PERIODO Imp.]],DH$9)</f>
        <v>0</v>
      </c>
    </row>
    <row r="529" spans="1:112" s="649" customFormat="1" hidden="1" outlineLevel="1" x14ac:dyDescent="0.3">
      <c r="A529" s="652" t="str">
        <f t="shared" si="205"/>
        <v/>
      </c>
      <c r="B529" s="652"/>
      <c r="C529" s="685"/>
      <c r="D529" s="686" t="s">
        <v>2555</v>
      </c>
      <c r="E529" s="686"/>
      <c r="F529" s="720"/>
      <c r="G529" s="688"/>
      <c r="H529" s="689"/>
      <c r="I529" s="851" t="str">
        <f t="shared" si="206"/>
        <v/>
      </c>
      <c r="J529" s="850" t="str">
        <f t="shared" si="207"/>
        <v/>
      </c>
      <c r="K529" s="667"/>
      <c r="L529" s="858"/>
      <c r="M529" s="859"/>
      <c r="N529" s="859"/>
      <c r="O529" s="859"/>
      <c r="P529" s="859"/>
      <c r="Q529" s="859"/>
      <c r="R529" s="859"/>
      <c r="S529" s="859"/>
      <c r="T529" s="859"/>
      <c r="U529" s="859"/>
      <c r="V529" s="859"/>
      <c r="W529" s="859"/>
      <c r="X529" s="859"/>
      <c r="Y529" s="859"/>
      <c r="Z529" s="860"/>
      <c r="AA529" s="860"/>
      <c r="AB529" s="860"/>
      <c r="AC529" s="860"/>
      <c r="AD529" s="860"/>
      <c r="AE529" s="860"/>
      <c r="AF529" s="860"/>
      <c r="AG529" s="860"/>
      <c r="AH529" s="860"/>
      <c r="AI529" s="860"/>
      <c r="AJ529" s="860"/>
      <c r="AK529" s="860"/>
      <c r="AL529" s="860"/>
      <c r="AM529" s="860"/>
      <c r="AN529" s="860"/>
      <c r="AO529" s="860"/>
      <c r="AP529" s="860"/>
      <c r="AQ529" s="860"/>
      <c r="AR529" s="860"/>
      <c r="AS529" s="860"/>
      <c r="AT529" s="860"/>
      <c r="AU529" s="860"/>
      <c r="AV529" s="860"/>
      <c r="AW529" s="860"/>
      <c r="AX529" s="860"/>
      <c r="AY529" s="860"/>
      <c r="AZ529" s="860"/>
      <c r="BA529" s="860"/>
      <c r="BB529" s="860"/>
      <c r="BC529" s="860"/>
      <c r="BD529" s="860"/>
      <c r="BE529" s="860"/>
      <c r="BF529" s="860"/>
      <c r="BG529" s="860"/>
      <c r="BH529" s="668"/>
      <c r="BI529" s="667"/>
      <c r="BJ529" s="690">
        <f t="shared" si="208"/>
        <v>0</v>
      </c>
      <c r="BK529" s="691">
        <f t="shared" si="209"/>
        <v>0</v>
      </c>
      <c r="BL529" s="654"/>
      <c r="BM529" s="692">
        <f>SUMIFS(Imput[[Importe Neto]:[Importe Neto]],Imput[[C. Imp.]:[C. Imp.]],$D529,Imput[[PERIODO Imp.]:[PERIODO Imp.]],BM$9)</f>
        <v>0</v>
      </c>
      <c r="BN529" s="693">
        <f>SUMIFS(Imput[[Importe Neto]:[Importe Neto]],Imput[[C. Imp.]:[C. Imp.]],$D529,Imput[[PERIODO Imp.]:[PERIODO Imp.]],BN$9)</f>
        <v>0</v>
      </c>
      <c r="BO529" s="693">
        <f>SUMIFS(Imput[[Importe Neto]:[Importe Neto]],Imput[[C. Imp.]:[C. Imp.]],$D529,Imput[[PERIODO Imp.]:[PERIODO Imp.]],BO$9)</f>
        <v>0</v>
      </c>
      <c r="BP529" s="693">
        <f>SUMIFS(Imput[[Importe Neto]:[Importe Neto]],Imput[[C. Imp.]:[C. Imp.]],$D529,Imput[[PERIODO Imp.]:[PERIODO Imp.]],BP$9)</f>
        <v>0</v>
      </c>
      <c r="BQ529" s="693">
        <f>SUMIFS(Imput[[Importe Neto]:[Importe Neto]],Imput[[C. Imp.]:[C. Imp.]],$D529,Imput[[PERIODO Imp.]:[PERIODO Imp.]],BQ$9)</f>
        <v>0</v>
      </c>
      <c r="BR529" s="693">
        <f>SUMIFS(Imput[[Importe Neto]:[Importe Neto]],Imput[[C. Imp.]:[C. Imp.]],$D529,Imput[[PERIODO Imp.]:[PERIODO Imp.]],BR$9)</f>
        <v>0</v>
      </c>
      <c r="BS529" s="693">
        <f>SUMIFS(Imput[[Importe Neto]:[Importe Neto]],Imput[[C. Imp.]:[C. Imp.]],$D529,Imput[[PERIODO Imp.]:[PERIODO Imp.]],BS$9)</f>
        <v>0</v>
      </c>
      <c r="BT529" s="693">
        <f>SUMIFS(Imput[[Importe Neto]:[Importe Neto]],Imput[[C. Imp.]:[C. Imp.]],$D529,Imput[[PERIODO Imp.]:[PERIODO Imp.]],BT$9)</f>
        <v>0</v>
      </c>
      <c r="BU529" s="693">
        <f>SUMIFS(Imput[[Importe Neto]:[Importe Neto]],Imput[[C. Imp.]:[C. Imp.]],$D529,Imput[[PERIODO Imp.]:[PERIODO Imp.]],BU$9)</f>
        <v>0</v>
      </c>
      <c r="BV529" s="693">
        <f>SUMIFS(Imput[[Importe Neto]:[Importe Neto]],Imput[[C. Imp.]:[C. Imp.]],$D529,Imput[[PERIODO Imp.]:[PERIODO Imp.]],BV$9)</f>
        <v>0</v>
      </c>
      <c r="BW529" s="693">
        <f>SUMIFS(Imput[[Importe Neto]:[Importe Neto]],Imput[[C. Imp.]:[C. Imp.]],$D529,Imput[[PERIODO Imp.]:[PERIODO Imp.]],BW$9)</f>
        <v>0</v>
      </c>
      <c r="BX529" s="693">
        <f>SUMIFS(Imput[[Importe Neto]:[Importe Neto]],Imput[[C. Imp.]:[C. Imp.]],$D529,Imput[[PERIODO Imp.]:[PERIODO Imp.]],BX$9)</f>
        <v>0</v>
      </c>
      <c r="BY529" s="693">
        <f>SUMIFS(Imput[[Importe Neto]:[Importe Neto]],Imput[[C. Imp.]:[C. Imp.]],$D529,Imput[[PERIODO Imp.]:[PERIODO Imp.]],BY$9)</f>
        <v>0</v>
      </c>
      <c r="BZ529" s="693">
        <f>SUMIFS(Imput[[Importe Neto]:[Importe Neto]],Imput[[C. Imp.]:[C. Imp.]],$D529,Imput[[PERIODO Imp.]:[PERIODO Imp.]],BZ$9)</f>
        <v>0</v>
      </c>
      <c r="CA529" s="693">
        <f>SUMIFS(Imput[[Importe Neto]:[Importe Neto]],Imput[[C. Imp.]:[C. Imp.]],$D529,Imput[[PERIODO Imp.]:[PERIODO Imp.]],CA$9)</f>
        <v>0</v>
      </c>
      <c r="CB529" s="693">
        <f>SUMIFS(Imput[[Importe Neto]:[Importe Neto]],Imput[[C. Imp.]:[C. Imp.]],$D529,Imput[[PERIODO Imp.]:[PERIODO Imp.]],CB$9)</f>
        <v>0</v>
      </c>
      <c r="CC529" s="693">
        <f>SUMIFS(Imput[[Importe Neto]:[Importe Neto]],Imput[[C. Imp.]:[C. Imp.]],$D529,Imput[[PERIODO Imp.]:[PERIODO Imp.]],CC$9)</f>
        <v>0</v>
      </c>
      <c r="CD529" s="693">
        <f>SUMIFS(Imput[[Importe Neto]:[Importe Neto]],Imput[[C. Imp.]:[C. Imp.]],$D529,Imput[[PERIODO Imp.]:[PERIODO Imp.]],CD$9)</f>
        <v>0</v>
      </c>
      <c r="CE529" s="693">
        <f>SUMIFS(Imput[[Importe Neto]:[Importe Neto]],Imput[[C. Imp.]:[C. Imp.]],$D529,Imput[[PERIODO Imp.]:[PERIODO Imp.]],CE$9)</f>
        <v>0</v>
      </c>
      <c r="CF529" s="693">
        <f>SUMIFS(Imput[[Importe Neto]:[Importe Neto]],Imput[[C. Imp.]:[C. Imp.]],$D529,Imput[[PERIODO Imp.]:[PERIODO Imp.]],CF$9)</f>
        <v>0</v>
      </c>
      <c r="CG529" s="693">
        <f>SUMIFS(Imput[[Importe Neto]:[Importe Neto]],Imput[[C. Imp.]:[C. Imp.]],$D529,Imput[[PERIODO Imp.]:[PERIODO Imp.]],CG$9)</f>
        <v>0</v>
      </c>
      <c r="CH529" s="693">
        <f>SUMIFS(Imput[[Importe Neto]:[Importe Neto]],Imput[[C. Imp.]:[C. Imp.]],$D529,Imput[[PERIODO Imp.]:[PERIODO Imp.]],CH$9)</f>
        <v>0</v>
      </c>
      <c r="CI529" s="693">
        <f>SUMIFS(Imput[[Importe Neto]:[Importe Neto]],Imput[[C. Imp.]:[C. Imp.]],$D529,Imput[[PERIODO Imp.]:[PERIODO Imp.]],CI$9)</f>
        <v>0</v>
      </c>
      <c r="CJ529" s="693">
        <f>SUMIFS(Imput[[Importe Neto]:[Importe Neto]],Imput[[C. Imp.]:[C. Imp.]],$D529,Imput[[PERIODO Imp.]:[PERIODO Imp.]],CJ$9)</f>
        <v>0</v>
      </c>
      <c r="CK529" s="693">
        <f>SUMIFS(Imput[[Importe Neto]:[Importe Neto]],Imput[[C. Imp.]:[C. Imp.]],$D529,Imput[[PERIODO Imp.]:[PERIODO Imp.]],CK$9)</f>
        <v>0</v>
      </c>
      <c r="CL529" s="693">
        <f>SUMIFS(Imput[[Importe Neto]:[Importe Neto]],Imput[[C. Imp.]:[C. Imp.]],$D529,Imput[[PERIODO Imp.]:[PERIODO Imp.]],CL$9)</f>
        <v>0</v>
      </c>
      <c r="CM529" s="693">
        <f>SUMIFS(Imput[[Importe Neto]:[Importe Neto]],Imput[[C. Imp.]:[C. Imp.]],$D529,Imput[[PERIODO Imp.]:[PERIODO Imp.]],CM$9)</f>
        <v>0</v>
      </c>
      <c r="CN529" s="693">
        <f>SUMIFS(Imput[[Importe Neto]:[Importe Neto]],Imput[[C. Imp.]:[C. Imp.]],$D529,Imput[[PERIODO Imp.]:[PERIODO Imp.]],CN$9)</f>
        <v>0</v>
      </c>
      <c r="CO529" s="693">
        <f>SUMIFS(Imput[[Importe Neto]:[Importe Neto]],Imput[[C. Imp.]:[C. Imp.]],$D529,Imput[[PERIODO Imp.]:[PERIODO Imp.]],CO$9)</f>
        <v>0</v>
      </c>
      <c r="CP529" s="693">
        <f>SUMIFS(Imput[[Importe Neto]:[Importe Neto]],Imput[[C. Imp.]:[C. Imp.]],$D529,Imput[[PERIODO Imp.]:[PERIODO Imp.]],CP$9)</f>
        <v>0</v>
      </c>
      <c r="CQ529" s="693">
        <f>SUMIFS(Imput[[Importe Neto]:[Importe Neto]],Imput[[C. Imp.]:[C. Imp.]],$D529,Imput[[PERIODO Imp.]:[PERIODO Imp.]],CQ$9)</f>
        <v>0</v>
      </c>
      <c r="CR529" s="693">
        <f>SUMIFS(Imput[[Importe Neto]:[Importe Neto]],Imput[[C. Imp.]:[C. Imp.]],$D529,Imput[[PERIODO Imp.]:[PERIODO Imp.]],CR$9)</f>
        <v>0</v>
      </c>
      <c r="CS529" s="693">
        <f>SUMIFS(Imput[[Importe Neto]:[Importe Neto]],Imput[[C. Imp.]:[C. Imp.]],$D529,Imput[[PERIODO Imp.]:[PERIODO Imp.]],CS$9)</f>
        <v>0</v>
      </c>
      <c r="CT529" s="693">
        <f>SUMIFS(Imput[[Importe Neto]:[Importe Neto]],Imput[[C. Imp.]:[C. Imp.]],$D529,Imput[[PERIODO Imp.]:[PERIODO Imp.]],CT$9)</f>
        <v>0</v>
      </c>
      <c r="CU529" s="693">
        <f>SUMIFS(Imput[[Importe Neto]:[Importe Neto]],Imput[[C. Imp.]:[C. Imp.]],$D529,Imput[[PERIODO Imp.]:[PERIODO Imp.]],CU$9)</f>
        <v>0</v>
      </c>
      <c r="CV529" s="693">
        <f>SUMIFS(Imput[[Importe Neto]:[Importe Neto]],Imput[[C. Imp.]:[C. Imp.]],$D529,Imput[[PERIODO Imp.]:[PERIODO Imp.]],CV$9)</f>
        <v>0</v>
      </c>
      <c r="CW529" s="693">
        <f>SUMIFS(Imput[[Importe Neto]:[Importe Neto]],Imput[[C. Imp.]:[C. Imp.]],$D529,Imput[[PERIODO Imp.]:[PERIODO Imp.]],CW$9)</f>
        <v>0</v>
      </c>
      <c r="CX529" s="693">
        <f>SUMIFS(Imput[[Importe Neto]:[Importe Neto]],Imput[[C. Imp.]:[C. Imp.]],$D529,Imput[[PERIODO Imp.]:[PERIODO Imp.]],CX$9)</f>
        <v>0</v>
      </c>
      <c r="CY529" s="693">
        <f>SUMIFS(Imput[[Importe Neto]:[Importe Neto]],Imput[[C. Imp.]:[C. Imp.]],$D529,Imput[[PERIODO Imp.]:[PERIODO Imp.]],CY$9)</f>
        <v>0</v>
      </c>
      <c r="CZ529" s="693">
        <f>SUMIFS(Imput[[Importe Neto]:[Importe Neto]],Imput[[C. Imp.]:[C. Imp.]],$D529,Imput[[PERIODO Imp.]:[PERIODO Imp.]],CZ$9)</f>
        <v>0</v>
      </c>
      <c r="DA529" s="693">
        <f>SUMIFS(Imput[[Importe Neto]:[Importe Neto]],Imput[[C. Imp.]:[C. Imp.]],$D529,Imput[[PERIODO Imp.]:[PERIODO Imp.]],DA$9)</f>
        <v>0</v>
      </c>
      <c r="DB529" s="693">
        <f>SUMIFS(Imput[[Importe Neto]:[Importe Neto]],Imput[[C. Imp.]:[C. Imp.]],$D529,Imput[[PERIODO Imp.]:[PERIODO Imp.]],DB$9)</f>
        <v>0</v>
      </c>
      <c r="DC529" s="693">
        <f>SUMIFS(Imput[[Importe Neto]:[Importe Neto]],Imput[[C. Imp.]:[C. Imp.]],$D529,Imput[[PERIODO Imp.]:[PERIODO Imp.]],DC$9)</f>
        <v>0</v>
      </c>
      <c r="DD529" s="693">
        <f>SUMIFS(Imput[[Importe Neto]:[Importe Neto]],Imput[[C. Imp.]:[C. Imp.]],$D529,Imput[[PERIODO Imp.]:[PERIODO Imp.]],DD$9)</f>
        <v>0</v>
      </c>
      <c r="DE529" s="693">
        <f>SUMIFS(Imput[[Importe Neto]:[Importe Neto]],Imput[[C. Imp.]:[C. Imp.]],$D529,Imput[[PERIODO Imp.]:[PERIODO Imp.]],DE$9)</f>
        <v>0</v>
      </c>
      <c r="DF529" s="693">
        <f>SUMIFS(Imput[[Importe Neto]:[Importe Neto]],Imput[[C. Imp.]:[C. Imp.]],$D529,Imput[[PERIODO Imp.]:[PERIODO Imp.]],DF$9)</f>
        <v>0</v>
      </c>
      <c r="DG529" s="693">
        <f>SUMIFS(Imput[[Importe Neto]:[Importe Neto]],Imput[[C. Imp.]:[C. Imp.]],$D529,Imput[[PERIODO Imp.]:[PERIODO Imp.]],DG$9)</f>
        <v>0</v>
      </c>
      <c r="DH529" s="694">
        <f>SUMIFS(Imput[[Importe Neto]:[Importe Neto]],Imput[[C. Imp.]:[C. Imp.]],$D529,Imput[[PERIODO Imp.]:[PERIODO Imp.]],DH$9)</f>
        <v>0</v>
      </c>
    </row>
    <row r="530" spans="1:112" s="649" customFormat="1" hidden="1" outlineLevel="1" x14ac:dyDescent="0.3">
      <c r="A530" s="652" t="str">
        <f t="shared" si="205"/>
        <v/>
      </c>
      <c r="B530" s="652"/>
      <c r="C530" s="685"/>
      <c r="D530" s="686" t="s">
        <v>2556</v>
      </c>
      <c r="E530" s="686"/>
      <c r="F530" s="720"/>
      <c r="G530" s="688"/>
      <c r="H530" s="689"/>
      <c r="I530" s="851" t="str">
        <f t="shared" si="206"/>
        <v/>
      </c>
      <c r="J530" s="850" t="str">
        <f t="shared" si="207"/>
        <v/>
      </c>
      <c r="K530" s="667"/>
      <c r="L530" s="858"/>
      <c r="M530" s="859"/>
      <c r="N530" s="859"/>
      <c r="O530" s="859"/>
      <c r="P530" s="859"/>
      <c r="Q530" s="859"/>
      <c r="R530" s="859"/>
      <c r="S530" s="859"/>
      <c r="T530" s="859"/>
      <c r="U530" s="859"/>
      <c r="V530" s="859"/>
      <c r="W530" s="859"/>
      <c r="X530" s="859"/>
      <c r="Y530" s="859"/>
      <c r="Z530" s="860"/>
      <c r="AA530" s="860"/>
      <c r="AB530" s="860"/>
      <c r="AC530" s="860"/>
      <c r="AD530" s="860"/>
      <c r="AE530" s="860"/>
      <c r="AF530" s="860"/>
      <c r="AG530" s="860"/>
      <c r="AH530" s="860"/>
      <c r="AI530" s="860"/>
      <c r="AJ530" s="860"/>
      <c r="AK530" s="860"/>
      <c r="AL530" s="860"/>
      <c r="AM530" s="860"/>
      <c r="AN530" s="860"/>
      <c r="AO530" s="860"/>
      <c r="AP530" s="860"/>
      <c r="AQ530" s="860"/>
      <c r="AR530" s="860"/>
      <c r="AS530" s="860"/>
      <c r="AT530" s="860"/>
      <c r="AU530" s="860"/>
      <c r="AV530" s="860"/>
      <c r="AW530" s="860"/>
      <c r="AX530" s="860"/>
      <c r="AY530" s="860"/>
      <c r="AZ530" s="860"/>
      <c r="BA530" s="860"/>
      <c r="BB530" s="860"/>
      <c r="BC530" s="860"/>
      <c r="BD530" s="860"/>
      <c r="BE530" s="860"/>
      <c r="BF530" s="860"/>
      <c r="BG530" s="860"/>
      <c r="BH530" s="668"/>
      <c r="BI530" s="667"/>
      <c r="BJ530" s="690">
        <f t="shared" si="208"/>
        <v>0</v>
      </c>
      <c r="BK530" s="691">
        <f t="shared" si="209"/>
        <v>0</v>
      </c>
      <c r="BL530" s="654"/>
      <c r="BM530" s="692">
        <f>SUMIFS(Imput[[Importe Neto]:[Importe Neto]],Imput[[C. Imp.]:[C. Imp.]],$D530,Imput[[PERIODO Imp.]:[PERIODO Imp.]],BM$9)</f>
        <v>0</v>
      </c>
      <c r="BN530" s="693">
        <f>SUMIFS(Imput[[Importe Neto]:[Importe Neto]],Imput[[C. Imp.]:[C. Imp.]],$D530,Imput[[PERIODO Imp.]:[PERIODO Imp.]],BN$9)</f>
        <v>0</v>
      </c>
      <c r="BO530" s="693">
        <f>SUMIFS(Imput[[Importe Neto]:[Importe Neto]],Imput[[C. Imp.]:[C. Imp.]],$D530,Imput[[PERIODO Imp.]:[PERIODO Imp.]],BO$9)</f>
        <v>0</v>
      </c>
      <c r="BP530" s="693">
        <f>SUMIFS(Imput[[Importe Neto]:[Importe Neto]],Imput[[C. Imp.]:[C. Imp.]],$D530,Imput[[PERIODO Imp.]:[PERIODO Imp.]],BP$9)</f>
        <v>0</v>
      </c>
      <c r="BQ530" s="693">
        <f>SUMIFS(Imput[[Importe Neto]:[Importe Neto]],Imput[[C. Imp.]:[C. Imp.]],$D530,Imput[[PERIODO Imp.]:[PERIODO Imp.]],BQ$9)</f>
        <v>0</v>
      </c>
      <c r="BR530" s="693">
        <f>SUMIFS(Imput[[Importe Neto]:[Importe Neto]],Imput[[C. Imp.]:[C. Imp.]],$D530,Imput[[PERIODO Imp.]:[PERIODO Imp.]],BR$9)</f>
        <v>0</v>
      </c>
      <c r="BS530" s="693">
        <f>SUMIFS(Imput[[Importe Neto]:[Importe Neto]],Imput[[C. Imp.]:[C. Imp.]],$D530,Imput[[PERIODO Imp.]:[PERIODO Imp.]],BS$9)</f>
        <v>0</v>
      </c>
      <c r="BT530" s="693">
        <f>SUMIFS(Imput[[Importe Neto]:[Importe Neto]],Imput[[C. Imp.]:[C. Imp.]],$D530,Imput[[PERIODO Imp.]:[PERIODO Imp.]],BT$9)</f>
        <v>0</v>
      </c>
      <c r="BU530" s="693">
        <f>SUMIFS(Imput[[Importe Neto]:[Importe Neto]],Imput[[C. Imp.]:[C. Imp.]],$D530,Imput[[PERIODO Imp.]:[PERIODO Imp.]],BU$9)</f>
        <v>0</v>
      </c>
      <c r="BV530" s="693">
        <f>SUMIFS(Imput[[Importe Neto]:[Importe Neto]],Imput[[C. Imp.]:[C. Imp.]],$D530,Imput[[PERIODO Imp.]:[PERIODO Imp.]],BV$9)</f>
        <v>0</v>
      </c>
      <c r="BW530" s="693">
        <f>SUMIFS(Imput[[Importe Neto]:[Importe Neto]],Imput[[C. Imp.]:[C. Imp.]],$D530,Imput[[PERIODO Imp.]:[PERIODO Imp.]],BW$9)</f>
        <v>0</v>
      </c>
      <c r="BX530" s="693">
        <f>SUMIFS(Imput[[Importe Neto]:[Importe Neto]],Imput[[C. Imp.]:[C. Imp.]],$D530,Imput[[PERIODO Imp.]:[PERIODO Imp.]],BX$9)</f>
        <v>0</v>
      </c>
      <c r="BY530" s="693">
        <f>SUMIFS(Imput[[Importe Neto]:[Importe Neto]],Imput[[C. Imp.]:[C. Imp.]],$D530,Imput[[PERIODO Imp.]:[PERIODO Imp.]],BY$9)</f>
        <v>0</v>
      </c>
      <c r="BZ530" s="693">
        <f>SUMIFS(Imput[[Importe Neto]:[Importe Neto]],Imput[[C. Imp.]:[C. Imp.]],$D530,Imput[[PERIODO Imp.]:[PERIODO Imp.]],BZ$9)</f>
        <v>0</v>
      </c>
      <c r="CA530" s="693">
        <f>SUMIFS(Imput[[Importe Neto]:[Importe Neto]],Imput[[C. Imp.]:[C. Imp.]],$D530,Imput[[PERIODO Imp.]:[PERIODO Imp.]],CA$9)</f>
        <v>0</v>
      </c>
      <c r="CB530" s="693">
        <f>SUMIFS(Imput[[Importe Neto]:[Importe Neto]],Imput[[C. Imp.]:[C. Imp.]],$D530,Imput[[PERIODO Imp.]:[PERIODO Imp.]],CB$9)</f>
        <v>0</v>
      </c>
      <c r="CC530" s="693">
        <f>SUMIFS(Imput[[Importe Neto]:[Importe Neto]],Imput[[C. Imp.]:[C. Imp.]],$D530,Imput[[PERIODO Imp.]:[PERIODO Imp.]],CC$9)</f>
        <v>0</v>
      </c>
      <c r="CD530" s="693">
        <f>SUMIFS(Imput[[Importe Neto]:[Importe Neto]],Imput[[C. Imp.]:[C. Imp.]],$D530,Imput[[PERIODO Imp.]:[PERIODO Imp.]],CD$9)</f>
        <v>0</v>
      </c>
      <c r="CE530" s="693">
        <f>SUMIFS(Imput[[Importe Neto]:[Importe Neto]],Imput[[C. Imp.]:[C. Imp.]],$D530,Imput[[PERIODO Imp.]:[PERIODO Imp.]],CE$9)</f>
        <v>0</v>
      </c>
      <c r="CF530" s="693">
        <f>SUMIFS(Imput[[Importe Neto]:[Importe Neto]],Imput[[C. Imp.]:[C. Imp.]],$D530,Imput[[PERIODO Imp.]:[PERIODO Imp.]],CF$9)</f>
        <v>0</v>
      </c>
      <c r="CG530" s="693">
        <f>SUMIFS(Imput[[Importe Neto]:[Importe Neto]],Imput[[C. Imp.]:[C. Imp.]],$D530,Imput[[PERIODO Imp.]:[PERIODO Imp.]],CG$9)</f>
        <v>0</v>
      </c>
      <c r="CH530" s="693">
        <f>SUMIFS(Imput[[Importe Neto]:[Importe Neto]],Imput[[C. Imp.]:[C. Imp.]],$D530,Imput[[PERIODO Imp.]:[PERIODO Imp.]],CH$9)</f>
        <v>0</v>
      </c>
      <c r="CI530" s="693">
        <f>SUMIFS(Imput[[Importe Neto]:[Importe Neto]],Imput[[C. Imp.]:[C. Imp.]],$D530,Imput[[PERIODO Imp.]:[PERIODO Imp.]],CI$9)</f>
        <v>0</v>
      </c>
      <c r="CJ530" s="693">
        <f>SUMIFS(Imput[[Importe Neto]:[Importe Neto]],Imput[[C. Imp.]:[C. Imp.]],$D530,Imput[[PERIODO Imp.]:[PERIODO Imp.]],CJ$9)</f>
        <v>0</v>
      </c>
      <c r="CK530" s="693">
        <f>SUMIFS(Imput[[Importe Neto]:[Importe Neto]],Imput[[C. Imp.]:[C. Imp.]],$D530,Imput[[PERIODO Imp.]:[PERIODO Imp.]],CK$9)</f>
        <v>0</v>
      </c>
      <c r="CL530" s="693">
        <f>SUMIFS(Imput[[Importe Neto]:[Importe Neto]],Imput[[C. Imp.]:[C. Imp.]],$D530,Imput[[PERIODO Imp.]:[PERIODO Imp.]],CL$9)</f>
        <v>0</v>
      </c>
      <c r="CM530" s="693">
        <f>SUMIFS(Imput[[Importe Neto]:[Importe Neto]],Imput[[C. Imp.]:[C. Imp.]],$D530,Imput[[PERIODO Imp.]:[PERIODO Imp.]],CM$9)</f>
        <v>0</v>
      </c>
      <c r="CN530" s="693">
        <f>SUMIFS(Imput[[Importe Neto]:[Importe Neto]],Imput[[C. Imp.]:[C. Imp.]],$D530,Imput[[PERIODO Imp.]:[PERIODO Imp.]],CN$9)</f>
        <v>0</v>
      </c>
      <c r="CO530" s="693">
        <f>SUMIFS(Imput[[Importe Neto]:[Importe Neto]],Imput[[C. Imp.]:[C. Imp.]],$D530,Imput[[PERIODO Imp.]:[PERIODO Imp.]],CO$9)</f>
        <v>0</v>
      </c>
      <c r="CP530" s="693">
        <f>SUMIFS(Imput[[Importe Neto]:[Importe Neto]],Imput[[C. Imp.]:[C. Imp.]],$D530,Imput[[PERIODO Imp.]:[PERIODO Imp.]],CP$9)</f>
        <v>0</v>
      </c>
      <c r="CQ530" s="693">
        <f>SUMIFS(Imput[[Importe Neto]:[Importe Neto]],Imput[[C. Imp.]:[C. Imp.]],$D530,Imput[[PERIODO Imp.]:[PERIODO Imp.]],CQ$9)</f>
        <v>0</v>
      </c>
      <c r="CR530" s="693">
        <f>SUMIFS(Imput[[Importe Neto]:[Importe Neto]],Imput[[C. Imp.]:[C. Imp.]],$D530,Imput[[PERIODO Imp.]:[PERIODO Imp.]],CR$9)</f>
        <v>0</v>
      </c>
      <c r="CS530" s="693">
        <f>SUMIFS(Imput[[Importe Neto]:[Importe Neto]],Imput[[C. Imp.]:[C. Imp.]],$D530,Imput[[PERIODO Imp.]:[PERIODO Imp.]],CS$9)</f>
        <v>0</v>
      </c>
      <c r="CT530" s="693">
        <f>SUMIFS(Imput[[Importe Neto]:[Importe Neto]],Imput[[C. Imp.]:[C. Imp.]],$D530,Imput[[PERIODO Imp.]:[PERIODO Imp.]],CT$9)</f>
        <v>0</v>
      </c>
      <c r="CU530" s="693">
        <f>SUMIFS(Imput[[Importe Neto]:[Importe Neto]],Imput[[C. Imp.]:[C. Imp.]],$D530,Imput[[PERIODO Imp.]:[PERIODO Imp.]],CU$9)</f>
        <v>0</v>
      </c>
      <c r="CV530" s="693">
        <f>SUMIFS(Imput[[Importe Neto]:[Importe Neto]],Imput[[C. Imp.]:[C. Imp.]],$D530,Imput[[PERIODO Imp.]:[PERIODO Imp.]],CV$9)</f>
        <v>0</v>
      </c>
      <c r="CW530" s="693">
        <f>SUMIFS(Imput[[Importe Neto]:[Importe Neto]],Imput[[C. Imp.]:[C. Imp.]],$D530,Imput[[PERIODO Imp.]:[PERIODO Imp.]],CW$9)</f>
        <v>0</v>
      </c>
      <c r="CX530" s="693">
        <f>SUMIFS(Imput[[Importe Neto]:[Importe Neto]],Imput[[C. Imp.]:[C. Imp.]],$D530,Imput[[PERIODO Imp.]:[PERIODO Imp.]],CX$9)</f>
        <v>0</v>
      </c>
      <c r="CY530" s="693">
        <f>SUMIFS(Imput[[Importe Neto]:[Importe Neto]],Imput[[C. Imp.]:[C. Imp.]],$D530,Imput[[PERIODO Imp.]:[PERIODO Imp.]],CY$9)</f>
        <v>0</v>
      </c>
      <c r="CZ530" s="693">
        <f>SUMIFS(Imput[[Importe Neto]:[Importe Neto]],Imput[[C. Imp.]:[C. Imp.]],$D530,Imput[[PERIODO Imp.]:[PERIODO Imp.]],CZ$9)</f>
        <v>0</v>
      </c>
      <c r="DA530" s="693">
        <f>SUMIFS(Imput[[Importe Neto]:[Importe Neto]],Imput[[C. Imp.]:[C. Imp.]],$D530,Imput[[PERIODO Imp.]:[PERIODO Imp.]],DA$9)</f>
        <v>0</v>
      </c>
      <c r="DB530" s="693">
        <f>SUMIFS(Imput[[Importe Neto]:[Importe Neto]],Imput[[C. Imp.]:[C. Imp.]],$D530,Imput[[PERIODO Imp.]:[PERIODO Imp.]],DB$9)</f>
        <v>0</v>
      </c>
      <c r="DC530" s="693">
        <f>SUMIFS(Imput[[Importe Neto]:[Importe Neto]],Imput[[C. Imp.]:[C. Imp.]],$D530,Imput[[PERIODO Imp.]:[PERIODO Imp.]],DC$9)</f>
        <v>0</v>
      </c>
      <c r="DD530" s="693">
        <f>SUMIFS(Imput[[Importe Neto]:[Importe Neto]],Imput[[C. Imp.]:[C. Imp.]],$D530,Imput[[PERIODO Imp.]:[PERIODO Imp.]],DD$9)</f>
        <v>0</v>
      </c>
      <c r="DE530" s="693">
        <f>SUMIFS(Imput[[Importe Neto]:[Importe Neto]],Imput[[C. Imp.]:[C. Imp.]],$D530,Imput[[PERIODO Imp.]:[PERIODO Imp.]],DE$9)</f>
        <v>0</v>
      </c>
      <c r="DF530" s="693">
        <f>SUMIFS(Imput[[Importe Neto]:[Importe Neto]],Imput[[C. Imp.]:[C. Imp.]],$D530,Imput[[PERIODO Imp.]:[PERIODO Imp.]],DF$9)</f>
        <v>0</v>
      </c>
      <c r="DG530" s="693">
        <f>SUMIFS(Imput[[Importe Neto]:[Importe Neto]],Imput[[C. Imp.]:[C. Imp.]],$D530,Imput[[PERIODO Imp.]:[PERIODO Imp.]],DG$9)</f>
        <v>0</v>
      </c>
      <c r="DH530" s="694">
        <f>SUMIFS(Imput[[Importe Neto]:[Importe Neto]],Imput[[C. Imp.]:[C. Imp.]],$D530,Imput[[PERIODO Imp.]:[PERIODO Imp.]],DH$9)</f>
        <v>0</v>
      </c>
    </row>
    <row r="531" spans="1:112" s="649" customFormat="1" hidden="1" outlineLevel="1" x14ac:dyDescent="0.3">
      <c r="A531" s="652" t="str">
        <f t="shared" si="205"/>
        <v/>
      </c>
      <c r="B531" s="652"/>
      <c r="C531" s="685"/>
      <c r="D531" s="686" t="s">
        <v>2557</v>
      </c>
      <c r="E531" s="686"/>
      <c r="F531" s="720"/>
      <c r="G531" s="688"/>
      <c r="H531" s="689"/>
      <c r="I531" s="851" t="str">
        <f t="shared" si="206"/>
        <v/>
      </c>
      <c r="J531" s="850" t="str">
        <f t="shared" si="207"/>
        <v/>
      </c>
      <c r="K531" s="667"/>
      <c r="L531" s="858"/>
      <c r="M531" s="859"/>
      <c r="N531" s="859"/>
      <c r="O531" s="859"/>
      <c r="P531" s="859"/>
      <c r="Q531" s="859"/>
      <c r="R531" s="859"/>
      <c r="S531" s="859"/>
      <c r="T531" s="859"/>
      <c r="U531" s="859"/>
      <c r="V531" s="859"/>
      <c r="W531" s="859"/>
      <c r="X531" s="859"/>
      <c r="Y531" s="859"/>
      <c r="Z531" s="860"/>
      <c r="AA531" s="860"/>
      <c r="AB531" s="860"/>
      <c r="AC531" s="860"/>
      <c r="AD531" s="860"/>
      <c r="AE531" s="860"/>
      <c r="AF531" s="860"/>
      <c r="AG531" s="860"/>
      <c r="AH531" s="860"/>
      <c r="AI531" s="860"/>
      <c r="AJ531" s="860"/>
      <c r="AK531" s="860"/>
      <c r="AL531" s="860"/>
      <c r="AM531" s="860"/>
      <c r="AN531" s="860"/>
      <c r="AO531" s="860"/>
      <c r="AP531" s="860"/>
      <c r="AQ531" s="860"/>
      <c r="AR531" s="860"/>
      <c r="AS531" s="860"/>
      <c r="AT531" s="860"/>
      <c r="AU531" s="860"/>
      <c r="AV531" s="860"/>
      <c r="AW531" s="860"/>
      <c r="AX531" s="860"/>
      <c r="AY531" s="860"/>
      <c r="AZ531" s="860"/>
      <c r="BA531" s="860"/>
      <c r="BB531" s="860"/>
      <c r="BC531" s="860"/>
      <c r="BD531" s="860"/>
      <c r="BE531" s="860"/>
      <c r="BF531" s="860"/>
      <c r="BG531" s="860"/>
      <c r="BH531" s="668"/>
      <c r="BI531" s="667"/>
      <c r="BJ531" s="690">
        <f t="shared" si="208"/>
        <v>0</v>
      </c>
      <c r="BK531" s="691">
        <f t="shared" si="209"/>
        <v>0</v>
      </c>
      <c r="BL531" s="654"/>
      <c r="BM531" s="692">
        <f>SUMIFS(Imput[[Importe Neto]:[Importe Neto]],Imput[[C. Imp.]:[C. Imp.]],$D531,Imput[[PERIODO Imp.]:[PERIODO Imp.]],BM$9)</f>
        <v>0</v>
      </c>
      <c r="BN531" s="693">
        <f>SUMIFS(Imput[[Importe Neto]:[Importe Neto]],Imput[[C. Imp.]:[C. Imp.]],$D531,Imput[[PERIODO Imp.]:[PERIODO Imp.]],BN$9)</f>
        <v>0</v>
      </c>
      <c r="BO531" s="693">
        <f>SUMIFS(Imput[[Importe Neto]:[Importe Neto]],Imput[[C. Imp.]:[C. Imp.]],$D531,Imput[[PERIODO Imp.]:[PERIODO Imp.]],BO$9)</f>
        <v>0</v>
      </c>
      <c r="BP531" s="693">
        <f>SUMIFS(Imput[[Importe Neto]:[Importe Neto]],Imput[[C. Imp.]:[C. Imp.]],$D531,Imput[[PERIODO Imp.]:[PERIODO Imp.]],BP$9)</f>
        <v>0</v>
      </c>
      <c r="BQ531" s="693">
        <f>SUMIFS(Imput[[Importe Neto]:[Importe Neto]],Imput[[C. Imp.]:[C. Imp.]],$D531,Imput[[PERIODO Imp.]:[PERIODO Imp.]],BQ$9)</f>
        <v>0</v>
      </c>
      <c r="BR531" s="693">
        <f>SUMIFS(Imput[[Importe Neto]:[Importe Neto]],Imput[[C. Imp.]:[C. Imp.]],$D531,Imput[[PERIODO Imp.]:[PERIODO Imp.]],BR$9)</f>
        <v>0</v>
      </c>
      <c r="BS531" s="693">
        <f>SUMIFS(Imput[[Importe Neto]:[Importe Neto]],Imput[[C. Imp.]:[C. Imp.]],$D531,Imput[[PERIODO Imp.]:[PERIODO Imp.]],BS$9)</f>
        <v>0</v>
      </c>
      <c r="BT531" s="693">
        <f>SUMIFS(Imput[[Importe Neto]:[Importe Neto]],Imput[[C. Imp.]:[C. Imp.]],$D531,Imput[[PERIODO Imp.]:[PERIODO Imp.]],BT$9)</f>
        <v>0</v>
      </c>
      <c r="BU531" s="693">
        <f>SUMIFS(Imput[[Importe Neto]:[Importe Neto]],Imput[[C. Imp.]:[C. Imp.]],$D531,Imput[[PERIODO Imp.]:[PERIODO Imp.]],BU$9)</f>
        <v>0</v>
      </c>
      <c r="BV531" s="693">
        <f>SUMIFS(Imput[[Importe Neto]:[Importe Neto]],Imput[[C. Imp.]:[C. Imp.]],$D531,Imput[[PERIODO Imp.]:[PERIODO Imp.]],BV$9)</f>
        <v>0</v>
      </c>
      <c r="BW531" s="693">
        <f>SUMIFS(Imput[[Importe Neto]:[Importe Neto]],Imput[[C. Imp.]:[C. Imp.]],$D531,Imput[[PERIODO Imp.]:[PERIODO Imp.]],BW$9)</f>
        <v>0</v>
      </c>
      <c r="BX531" s="693">
        <f>SUMIFS(Imput[[Importe Neto]:[Importe Neto]],Imput[[C. Imp.]:[C. Imp.]],$D531,Imput[[PERIODO Imp.]:[PERIODO Imp.]],BX$9)</f>
        <v>0</v>
      </c>
      <c r="BY531" s="693">
        <f>SUMIFS(Imput[[Importe Neto]:[Importe Neto]],Imput[[C. Imp.]:[C. Imp.]],$D531,Imput[[PERIODO Imp.]:[PERIODO Imp.]],BY$9)</f>
        <v>0</v>
      </c>
      <c r="BZ531" s="693">
        <f>SUMIFS(Imput[[Importe Neto]:[Importe Neto]],Imput[[C. Imp.]:[C. Imp.]],$D531,Imput[[PERIODO Imp.]:[PERIODO Imp.]],BZ$9)</f>
        <v>0</v>
      </c>
      <c r="CA531" s="693">
        <f>SUMIFS(Imput[[Importe Neto]:[Importe Neto]],Imput[[C. Imp.]:[C. Imp.]],$D531,Imput[[PERIODO Imp.]:[PERIODO Imp.]],CA$9)</f>
        <v>0</v>
      </c>
      <c r="CB531" s="693">
        <f>SUMIFS(Imput[[Importe Neto]:[Importe Neto]],Imput[[C. Imp.]:[C. Imp.]],$D531,Imput[[PERIODO Imp.]:[PERIODO Imp.]],CB$9)</f>
        <v>0</v>
      </c>
      <c r="CC531" s="693">
        <f>SUMIFS(Imput[[Importe Neto]:[Importe Neto]],Imput[[C. Imp.]:[C. Imp.]],$D531,Imput[[PERIODO Imp.]:[PERIODO Imp.]],CC$9)</f>
        <v>0</v>
      </c>
      <c r="CD531" s="693">
        <f>SUMIFS(Imput[[Importe Neto]:[Importe Neto]],Imput[[C. Imp.]:[C. Imp.]],$D531,Imput[[PERIODO Imp.]:[PERIODO Imp.]],CD$9)</f>
        <v>0</v>
      </c>
      <c r="CE531" s="693">
        <f>SUMIFS(Imput[[Importe Neto]:[Importe Neto]],Imput[[C. Imp.]:[C. Imp.]],$D531,Imput[[PERIODO Imp.]:[PERIODO Imp.]],CE$9)</f>
        <v>0</v>
      </c>
      <c r="CF531" s="693">
        <f>SUMIFS(Imput[[Importe Neto]:[Importe Neto]],Imput[[C. Imp.]:[C. Imp.]],$D531,Imput[[PERIODO Imp.]:[PERIODO Imp.]],CF$9)</f>
        <v>0</v>
      </c>
      <c r="CG531" s="693">
        <f>SUMIFS(Imput[[Importe Neto]:[Importe Neto]],Imput[[C. Imp.]:[C. Imp.]],$D531,Imput[[PERIODO Imp.]:[PERIODO Imp.]],CG$9)</f>
        <v>0</v>
      </c>
      <c r="CH531" s="693">
        <f>SUMIFS(Imput[[Importe Neto]:[Importe Neto]],Imput[[C. Imp.]:[C. Imp.]],$D531,Imput[[PERIODO Imp.]:[PERIODO Imp.]],CH$9)</f>
        <v>0</v>
      </c>
      <c r="CI531" s="693">
        <f>SUMIFS(Imput[[Importe Neto]:[Importe Neto]],Imput[[C. Imp.]:[C. Imp.]],$D531,Imput[[PERIODO Imp.]:[PERIODO Imp.]],CI$9)</f>
        <v>0</v>
      </c>
      <c r="CJ531" s="693">
        <f>SUMIFS(Imput[[Importe Neto]:[Importe Neto]],Imput[[C. Imp.]:[C. Imp.]],$D531,Imput[[PERIODO Imp.]:[PERIODO Imp.]],CJ$9)</f>
        <v>0</v>
      </c>
      <c r="CK531" s="693">
        <f>SUMIFS(Imput[[Importe Neto]:[Importe Neto]],Imput[[C. Imp.]:[C. Imp.]],$D531,Imput[[PERIODO Imp.]:[PERIODO Imp.]],CK$9)</f>
        <v>0</v>
      </c>
      <c r="CL531" s="693">
        <f>SUMIFS(Imput[[Importe Neto]:[Importe Neto]],Imput[[C. Imp.]:[C. Imp.]],$D531,Imput[[PERIODO Imp.]:[PERIODO Imp.]],CL$9)</f>
        <v>0</v>
      </c>
      <c r="CM531" s="693">
        <f>SUMIFS(Imput[[Importe Neto]:[Importe Neto]],Imput[[C. Imp.]:[C. Imp.]],$D531,Imput[[PERIODO Imp.]:[PERIODO Imp.]],CM$9)</f>
        <v>0</v>
      </c>
      <c r="CN531" s="693">
        <f>SUMIFS(Imput[[Importe Neto]:[Importe Neto]],Imput[[C. Imp.]:[C. Imp.]],$D531,Imput[[PERIODO Imp.]:[PERIODO Imp.]],CN$9)</f>
        <v>0</v>
      </c>
      <c r="CO531" s="693">
        <f>SUMIFS(Imput[[Importe Neto]:[Importe Neto]],Imput[[C. Imp.]:[C. Imp.]],$D531,Imput[[PERIODO Imp.]:[PERIODO Imp.]],CO$9)</f>
        <v>0</v>
      </c>
      <c r="CP531" s="693">
        <f>SUMIFS(Imput[[Importe Neto]:[Importe Neto]],Imput[[C. Imp.]:[C. Imp.]],$D531,Imput[[PERIODO Imp.]:[PERIODO Imp.]],CP$9)</f>
        <v>0</v>
      </c>
      <c r="CQ531" s="693">
        <f>SUMIFS(Imput[[Importe Neto]:[Importe Neto]],Imput[[C. Imp.]:[C. Imp.]],$D531,Imput[[PERIODO Imp.]:[PERIODO Imp.]],CQ$9)</f>
        <v>0</v>
      </c>
      <c r="CR531" s="693">
        <f>SUMIFS(Imput[[Importe Neto]:[Importe Neto]],Imput[[C. Imp.]:[C. Imp.]],$D531,Imput[[PERIODO Imp.]:[PERIODO Imp.]],CR$9)</f>
        <v>0</v>
      </c>
      <c r="CS531" s="693">
        <f>SUMIFS(Imput[[Importe Neto]:[Importe Neto]],Imput[[C. Imp.]:[C. Imp.]],$D531,Imput[[PERIODO Imp.]:[PERIODO Imp.]],CS$9)</f>
        <v>0</v>
      </c>
      <c r="CT531" s="693">
        <f>SUMIFS(Imput[[Importe Neto]:[Importe Neto]],Imput[[C. Imp.]:[C. Imp.]],$D531,Imput[[PERIODO Imp.]:[PERIODO Imp.]],CT$9)</f>
        <v>0</v>
      </c>
      <c r="CU531" s="693">
        <f>SUMIFS(Imput[[Importe Neto]:[Importe Neto]],Imput[[C. Imp.]:[C. Imp.]],$D531,Imput[[PERIODO Imp.]:[PERIODO Imp.]],CU$9)</f>
        <v>0</v>
      </c>
      <c r="CV531" s="693">
        <f>SUMIFS(Imput[[Importe Neto]:[Importe Neto]],Imput[[C. Imp.]:[C. Imp.]],$D531,Imput[[PERIODO Imp.]:[PERIODO Imp.]],CV$9)</f>
        <v>0</v>
      </c>
      <c r="CW531" s="693">
        <f>SUMIFS(Imput[[Importe Neto]:[Importe Neto]],Imput[[C. Imp.]:[C. Imp.]],$D531,Imput[[PERIODO Imp.]:[PERIODO Imp.]],CW$9)</f>
        <v>0</v>
      </c>
      <c r="CX531" s="693">
        <f>SUMIFS(Imput[[Importe Neto]:[Importe Neto]],Imput[[C. Imp.]:[C. Imp.]],$D531,Imput[[PERIODO Imp.]:[PERIODO Imp.]],CX$9)</f>
        <v>0</v>
      </c>
      <c r="CY531" s="693">
        <f>SUMIFS(Imput[[Importe Neto]:[Importe Neto]],Imput[[C. Imp.]:[C. Imp.]],$D531,Imput[[PERIODO Imp.]:[PERIODO Imp.]],CY$9)</f>
        <v>0</v>
      </c>
      <c r="CZ531" s="693">
        <f>SUMIFS(Imput[[Importe Neto]:[Importe Neto]],Imput[[C. Imp.]:[C. Imp.]],$D531,Imput[[PERIODO Imp.]:[PERIODO Imp.]],CZ$9)</f>
        <v>0</v>
      </c>
      <c r="DA531" s="693">
        <f>SUMIFS(Imput[[Importe Neto]:[Importe Neto]],Imput[[C. Imp.]:[C. Imp.]],$D531,Imput[[PERIODO Imp.]:[PERIODO Imp.]],DA$9)</f>
        <v>0</v>
      </c>
      <c r="DB531" s="693">
        <f>SUMIFS(Imput[[Importe Neto]:[Importe Neto]],Imput[[C. Imp.]:[C. Imp.]],$D531,Imput[[PERIODO Imp.]:[PERIODO Imp.]],DB$9)</f>
        <v>0</v>
      </c>
      <c r="DC531" s="693">
        <f>SUMIFS(Imput[[Importe Neto]:[Importe Neto]],Imput[[C. Imp.]:[C. Imp.]],$D531,Imput[[PERIODO Imp.]:[PERIODO Imp.]],DC$9)</f>
        <v>0</v>
      </c>
      <c r="DD531" s="693">
        <f>SUMIFS(Imput[[Importe Neto]:[Importe Neto]],Imput[[C. Imp.]:[C. Imp.]],$D531,Imput[[PERIODO Imp.]:[PERIODO Imp.]],DD$9)</f>
        <v>0</v>
      </c>
      <c r="DE531" s="693">
        <f>SUMIFS(Imput[[Importe Neto]:[Importe Neto]],Imput[[C. Imp.]:[C. Imp.]],$D531,Imput[[PERIODO Imp.]:[PERIODO Imp.]],DE$9)</f>
        <v>0</v>
      </c>
      <c r="DF531" s="693">
        <f>SUMIFS(Imput[[Importe Neto]:[Importe Neto]],Imput[[C. Imp.]:[C. Imp.]],$D531,Imput[[PERIODO Imp.]:[PERIODO Imp.]],DF$9)</f>
        <v>0</v>
      </c>
      <c r="DG531" s="693">
        <f>SUMIFS(Imput[[Importe Neto]:[Importe Neto]],Imput[[C. Imp.]:[C. Imp.]],$D531,Imput[[PERIODO Imp.]:[PERIODO Imp.]],DG$9)</f>
        <v>0</v>
      </c>
      <c r="DH531" s="694">
        <f>SUMIFS(Imput[[Importe Neto]:[Importe Neto]],Imput[[C. Imp.]:[C. Imp.]],$D531,Imput[[PERIODO Imp.]:[PERIODO Imp.]],DH$9)</f>
        <v>0</v>
      </c>
    </row>
    <row r="532" spans="1:112" s="649" customFormat="1" hidden="1" outlineLevel="1" x14ac:dyDescent="0.3">
      <c r="A532" s="652" t="str">
        <f t="shared" si="205"/>
        <v/>
      </c>
      <c r="B532" s="652"/>
      <c r="C532" s="685"/>
      <c r="D532" s="686" t="s">
        <v>2558</v>
      </c>
      <c r="E532" s="686"/>
      <c r="F532" s="720"/>
      <c r="G532" s="688"/>
      <c r="H532" s="689"/>
      <c r="I532" s="851" t="str">
        <f t="shared" si="206"/>
        <v/>
      </c>
      <c r="J532" s="850" t="str">
        <f t="shared" si="207"/>
        <v/>
      </c>
      <c r="K532" s="667"/>
      <c r="L532" s="858"/>
      <c r="M532" s="859"/>
      <c r="N532" s="859"/>
      <c r="O532" s="859"/>
      <c r="P532" s="859"/>
      <c r="Q532" s="859"/>
      <c r="R532" s="859"/>
      <c r="S532" s="859"/>
      <c r="T532" s="859"/>
      <c r="U532" s="859"/>
      <c r="V532" s="859"/>
      <c r="W532" s="859"/>
      <c r="X532" s="859"/>
      <c r="Y532" s="859"/>
      <c r="Z532" s="860"/>
      <c r="AA532" s="860"/>
      <c r="AB532" s="860"/>
      <c r="AC532" s="860"/>
      <c r="AD532" s="860"/>
      <c r="AE532" s="860"/>
      <c r="AF532" s="860"/>
      <c r="AG532" s="860"/>
      <c r="AH532" s="860"/>
      <c r="AI532" s="860"/>
      <c r="AJ532" s="860"/>
      <c r="AK532" s="860"/>
      <c r="AL532" s="860"/>
      <c r="AM532" s="860"/>
      <c r="AN532" s="860"/>
      <c r="AO532" s="860"/>
      <c r="AP532" s="860"/>
      <c r="AQ532" s="860"/>
      <c r="AR532" s="860"/>
      <c r="AS532" s="860"/>
      <c r="AT532" s="860"/>
      <c r="AU532" s="860"/>
      <c r="AV532" s="860"/>
      <c r="AW532" s="860"/>
      <c r="AX532" s="860"/>
      <c r="AY532" s="860"/>
      <c r="AZ532" s="860"/>
      <c r="BA532" s="860"/>
      <c r="BB532" s="860"/>
      <c r="BC532" s="860"/>
      <c r="BD532" s="860"/>
      <c r="BE532" s="860"/>
      <c r="BF532" s="860"/>
      <c r="BG532" s="860"/>
      <c r="BH532" s="780"/>
      <c r="BI532" s="654"/>
      <c r="BJ532" s="690">
        <f t="shared" si="208"/>
        <v>0</v>
      </c>
      <c r="BK532" s="691">
        <f t="shared" si="209"/>
        <v>0</v>
      </c>
      <c r="BL532" s="654"/>
      <c r="BM532" s="692">
        <f>SUMIFS(Imput[[Importe Neto]:[Importe Neto]],Imput[[C. Imp.]:[C. Imp.]],$D532,Imput[[PERIODO Imp.]:[PERIODO Imp.]],BM$9)</f>
        <v>0</v>
      </c>
      <c r="BN532" s="693">
        <f>SUMIFS(Imput[[Importe Neto]:[Importe Neto]],Imput[[C. Imp.]:[C. Imp.]],$D532,Imput[[PERIODO Imp.]:[PERIODO Imp.]],BN$9)</f>
        <v>0</v>
      </c>
      <c r="BO532" s="693">
        <f>SUMIFS(Imput[[Importe Neto]:[Importe Neto]],Imput[[C. Imp.]:[C. Imp.]],$D532,Imput[[PERIODO Imp.]:[PERIODO Imp.]],BO$9)</f>
        <v>0</v>
      </c>
      <c r="BP532" s="693">
        <f>SUMIFS(Imput[[Importe Neto]:[Importe Neto]],Imput[[C. Imp.]:[C. Imp.]],$D532,Imput[[PERIODO Imp.]:[PERIODO Imp.]],BP$9)</f>
        <v>0</v>
      </c>
      <c r="BQ532" s="693">
        <f>SUMIFS(Imput[[Importe Neto]:[Importe Neto]],Imput[[C. Imp.]:[C. Imp.]],$D532,Imput[[PERIODO Imp.]:[PERIODO Imp.]],BQ$9)</f>
        <v>0</v>
      </c>
      <c r="BR532" s="693">
        <f>SUMIFS(Imput[[Importe Neto]:[Importe Neto]],Imput[[C. Imp.]:[C. Imp.]],$D532,Imput[[PERIODO Imp.]:[PERIODO Imp.]],BR$9)</f>
        <v>0</v>
      </c>
      <c r="BS532" s="693">
        <f>SUMIFS(Imput[[Importe Neto]:[Importe Neto]],Imput[[C. Imp.]:[C. Imp.]],$D532,Imput[[PERIODO Imp.]:[PERIODO Imp.]],BS$9)</f>
        <v>0</v>
      </c>
      <c r="BT532" s="693">
        <f>SUMIFS(Imput[[Importe Neto]:[Importe Neto]],Imput[[C. Imp.]:[C. Imp.]],$D532,Imput[[PERIODO Imp.]:[PERIODO Imp.]],BT$9)</f>
        <v>0</v>
      </c>
      <c r="BU532" s="693">
        <f>SUMIFS(Imput[[Importe Neto]:[Importe Neto]],Imput[[C. Imp.]:[C. Imp.]],$D532,Imput[[PERIODO Imp.]:[PERIODO Imp.]],BU$9)</f>
        <v>0</v>
      </c>
      <c r="BV532" s="693">
        <f>SUMIFS(Imput[[Importe Neto]:[Importe Neto]],Imput[[C. Imp.]:[C. Imp.]],$D532,Imput[[PERIODO Imp.]:[PERIODO Imp.]],BV$9)</f>
        <v>0</v>
      </c>
      <c r="BW532" s="693">
        <f>SUMIFS(Imput[[Importe Neto]:[Importe Neto]],Imput[[C. Imp.]:[C. Imp.]],$D532,Imput[[PERIODO Imp.]:[PERIODO Imp.]],BW$9)</f>
        <v>0</v>
      </c>
      <c r="BX532" s="693">
        <f>SUMIFS(Imput[[Importe Neto]:[Importe Neto]],Imput[[C. Imp.]:[C. Imp.]],$D532,Imput[[PERIODO Imp.]:[PERIODO Imp.]],BX$9)</f>
        <v>0</v>
      </c>
      <c r="BY532" s="693">
        <f>SUMIFS(Imput[[Importe Neto]:[Importe Neto]],Imput[[C. Imp.]:[C. Imp.]],$D532,Imput[[PERIODO Imp.]:[PERIODO Imp.]],BY$9)</f>
        <v>0</v>
      </c>
      <c r="BZ532" s="693">
        <f>SUMIFS(Imput[[Importe Neto]:[Importe Neto]],Imput[[C. Imp.]:[C. Imp.]],$D532,Imput[[PERIODO Imp.]:[PERIODO Imp.]],BZ$9)</f>
        <v>0</v>
      </c>
      <c r="CA532" s="693">
        <f>SUMIFS(Imput[[Importe Neto]:[Importe Neto]],Imput[[C. Imp.]:[C. Imp.]],$D532,Imput[[PERIODO Imp.]:[PERIODO Imp.]],CA$9)</f>
        <v>0</v>
      </c>
      <c r="CB532" s="693">
        <f>SUMIFS(Imput[[Importe Neto]:[Importe Neto]],Imput[[C. Imp.]:[C. Imp.]],$D532,Imput[[PERIODO Imp.]:[PERIODO Imp.]],CB$9)</f>
        <v>0</v>
      </c>
      <c r="CC532" s="693">
        <f>SUMIFS(Imput[[Importe Neto]:[Importe Neto]],Imput[[C. Imp.]:[C. Imp.]],$D532,Imput[[PERIODO Imp.]:[PERIODO Imp.]],CC$9)</f>
        <v>0</v>
      </c>
      <c r="CD532" s="693">
        <f>SUMIFS(Imput[[Importe Neto]:[Importe Neto]],Imput[[C. Imp.]:[C. Imp.]],$D532,Imput[[PERIODO Imp.]:[PERIODO Imp.]],CD$9)</f>
        <v>0</v>
      </c>
      <c r="CE532" s="693">
        <f>SUMIFS(Imput[[Importe Neto]:[Importe Neto]],Imput[[C. Imp.]:[C. Imp.]],$D532,Imput[[PERIODO Imp.]:[PERIODO Imp.]],CE$9)</f>
        <v>0</v>
      </c>
      <c r="CF532" s="693">
        <f>SUMIFS(Imput[[Importe Neto]:[Importe Neto]],Imput[[C. Imp.]:[C. Imp.]],$D532,Imput[[PERIODO Imp.]:[PERIODO Imp.]],CF$9)</f>
        <v>0</v>
      </c>
      <c r="CG532" s="693">
        <f>SUMIFS(Imput[[Importe Neto]:[Importe Neto]],Imput[[C. Imp.]:[C. Imp.]],$D532,Imput[[PERIODO Imp.]:[PERIODO Imp.]],CG$9)</f>
        <v>0</v>
      </c>
      <c r="CH532" s="693">
        <f>SUMIFS(Imput[[Importe Neto]:[Importe Neto]],Imput[[C. Imp.]:[C. Imp.]],$D532,Imput[[PERIODO Imp.]:[PERIODO Imp.]],CH$9)</f>
        <v>0</v>
      </c>
      <c r="CI532" s="693">
        <f>SUMIFS(Imput[[Importe Neto]:[Importe Neto]],Imput[[C. Imp.]:[C. Imp.]],$D532,Imput[[PERIODO Imp.]:[PERIODO Imp.]],CI$9)</f>
        <v>0</v>
      </c>
      <c r="CJ532" s="693">
        <f>SUMIFS(Imput[[Importe Neto]:[Importe Neto]],Imput[[C. Imp.]:[C. Imp.]],$D532,Imput[[PERIODO Imp.]:[PERIODO Imp.]],CJ$9)</f>
        <v>0</v>
      </c>
      <c r="CK532" s="693">
        <f>SUMIFS(Imput[[Importe Neto]:[Importe Neto]],Imput[[C. Imp.]:[C. Imp.]],$D532,Imput[[PERIODO Imp.]:[PERIODO Imp.]],CK$9)</f>
        <v>0</v>
      </c>
      <c r="CL532" s="693">
        <f>SUMIFS(Imput[[Importe Neto]:[Importe Neto]],Imput[[C. Imp.]:[C. Imp.]],$D532,Imput[[PERIODO Imp.]:[PERIODO Imp.]],CL$9)</f>
        <v>0</v>
      </c>
      <c r="CM532" s="693">
        <f>SUMIFS(Imput[[Importe Neto]:[Importe Neto]],Imput[[C. Imp.]:[C. Imp.]],$D532,Imput[[PERIODO Imp.]:[PERIODO Imp.]],CM$9)</f>
        <v>0</v>
      </c>
      <c r="CN532" s="693">
        <f>SUMIFS(Imput[[Importe Neto]:[Importe Neto]],Imput[[C. Imp.]:[C. Imp.]],$D532,Imput[[PERIODO Imp.]:[PERIODO Imp.]],CN$9)</f>
        <v>0</v>
      </c>
      <c r="CO532" s="693">
        <f>SUMIFS(Imput[[Importe Neto]:[Importe Neto]],Imput[[C. Imp.]:[C. Imp.]],$D532,Imput[[PERIODO Imp.]:[PERIODO Imp.]],CO$9)</f>
        <v>0</v>
      </c>
      <c r="CP532" s="693">
        <f>SUMIFS(Imput[[Importe Neto]:[Importe Neto]],Imput[[C. Imp.]:[C. Imp.]],$D532,Imput[[PERIODO Imp.]:[PERIODO Imp.]],CP$9)</f>
        <v>0</v>
      </c>
      <c r="CQ532" s="693">
        <f>SUMIFS(Imput[[Importe Neto]:[Importe Neto]],Imput[[C. Imp.]:[C. Imp.]],$D532,Imput[[PERIODO Imp.]:[PERIODO Imp.]],CQ$9)</f>
        <v>0</v>
      </c>
      <c r="CR532" s="693">
        <f>SUMIFS(Imput[[Importe Neto]:[Importe Neto]],Imput[[C. Imp.]:[C. Imp.]],$D532,Imput[[PERIODO Imp.]:[PERIODO Imp.]],CR$9)</f>
        <v>0</v>
      </c>
      <c r="CS532" s="693">
        <f>SUMIFS(Imput[[Importe Neto]:[Importe Neto]],Imput[[C. Imp.]:[C. Imp.]],$D532,Imput[[PERIODO Imp.]:[PERIODO Imp.]],CS$9)</f>
        <v>0</v>
      </c>
      <c r="CT532" s="693">
        <f>SUMIFS(Imput[[Importe Neto]:[Importe Neto]],Imput[[C. Imp.]:[C. Imp.]],$D532,Imput[[PERIODO Imp.]:[PERIODO Imp.]],CT$9)</f>
        <v>0</v>
      </c>
      <c r="CU532" s="693">
        <f>SUMIFS(Imput[[Importe Neto]:[Importe Neto]],Imput[[C. Imp.]:[C. Imp.]],$D532,Imput[[PERIODO Imp.]:[PERIODO Imp.]],CU$9)</f>
        <v>0</v>
      </c>
      <c r="CV532" s="693">
        <f>SUMIFS(Imput[[Importe Neto]:[Importe Neto]],Imput[[C. Imp.]:[C. Imp.]],$D532,Imput[[PERIODO Imp.]:[PERIODO Imp.]],CV$9)</f>
        <v>0</v>
      </c>
      <c r="CW532" s="693">
        <f>SUMIFS(Imput[[Importe Neto]:[Importe Neto]],Imput[[C. Imp.]:[C. Imp.]],$D532,Imput[[PERIODO Imp.]:[PERIODO Imp.]],CW$9)</f>
        <v>0</v>
      </c>
      <c r="CX532" s="693">
        <f>SUMIFS(Imput[[Importe Neto]:[Importe Neto]],Imput[[C. Imp.]:[C. Imp.]],$D532,Imput[[PERIODO Imp.]:[PERIODO Imp.]],CX$9)</f>
        <v>0</v>
      </c>
      <c r="CY532" s="693">
        <f>SUMIFS(Imput[[Importe Neto]:[Importe Neto]],Imput[[C. Imp.]:[C. Imp.]],$D532,Imput[[PERIODO Imp.]:[PERIODO Imp.]],CY$9)</f>
        <v>0</v>
      </c>
      <c r="CZ532" s="693">
        <f>SUMIFS(Imput[[Importe Neto]:[Importe Neto]],Imput[[C. Imp.]:[C. Imp.]],$D532,Imput[[PERIODO Imp.]:[PERIODO Imp.]],CZ$9)</f>
        <v>0</v>
      </c>
      <c r="DA532" s="693">
        <f>SUMIFS(Imput[[Importe Neto]:[Importe Neto]],Imput[[C. Imp.]:[C. Imp.]],$D532,Imput[[PERIODO Imp.]:[PERIODO Imp.]],DA$9)</f>
        <v>0</v>
      </c>
      <c r="DB532" s="693">
        <f>SUMIFS(Imput[[Importe Neto]:[Importe Neto]],Imput[[C. Imp.]:[C. Imp.]],$D532,Imput[[PERIODO Imp.]:[PERIODO Imp.]],DB$9)</f>
        <v>0</v>
      </c>
      <c r="DC532" s="693">
        <f>SUMIFS(Imput[[Importe Neto]:[Importe Neto]],Imput[[C. Imp.]:[C. Imp.]],$D532,Imput[[PERIODO Imp.]:[PERIODO Imp.]],DC$9)</f>
        <v>0</v>
      </c>
      <c r="DD532" s="693">
        <f>SUMIFS(Imput[[Importe Neto]:[Importe Neto]],Imput[[C. Imp.]:[C. Imp.]],$D532,Imput[[PERIODO Imp.]:[PERIODO Imp.]],DD$9)</f>
        <v>0</v>
      </c>
      <c r="DE532" s="693">
        <f>SUMIFS(Imput[[Importe Neto]:[Importe Neto]],Imput[[C. Imp.]:[C. Imp.]],$D532,Imput[[PERIODO Imp.]:[PERIODO Imp.]],DE$9)</f>
        <v>0</v>
      </c>
      <c r="DF532" s="693">
        <f>SUMIFS(Imput[[Importe Neto]:[Importe Neto]],Imput[[C. Imp.]:[C. Imp.]],$D532,Imput[[PERIODO Imp.]:[PERIODO Imp.]],DF$9)</f>
        <v>0</v>
      </c>
      <c r="DG532" s="693">
        <f>SUMIFS(Imput[[Importe Neto]:[Importe Neto]],Imput[[C. Imp.]:[C. Imp.]],$D532,Imput[[PERIODO Imp.]:[PERIODO Imp.]],DG$9)</f>
        <v>0</v>
      </c>
      <c r="DH532" s="694">
        <f>SUMIFS(Imput[[Importe Neto]:[Importe Neto]],Imput[[C. Imp.]:[C. Imp.]],$D532,Imput[[PERIODO Imp.]:[PERIODO Imp.]],DH$9)</f>
        <v>0</v>
      </c>
    </row>
    <row r="533" spans="1:112" s="649" customFormat="1" hidden="1" outlineLevel="1" x14ac:dyDescent="0.3">
      <c r="A533" s="652" t="str">
        <f t="shared" si="205"/>
        <v/>
      </c>
      <c r="B533" s="652"/>
      <c r="C533" s="685"/>
      <c r="D533" s="686" t="s">
        <v>2559</v>
      </c>
      <c r="E533" s="686"/>
      <c r="F533" s="720"/>
      <c r="G533" s="688"/>
      <c r="H533" s="689"/>
      <c r="I533" s="851" t="str">
        <f t="shared" si="206"/>
        <v/>
      </c>
      <c r="J533" s="850" t="str">
        <f t="shared" si="207"/>
        <v/>
      </c>
      <c r="K533" s="678"/>
      <c r="L533" s="858"/>
      <c r="M533" s="859"/>
      <c r="N533" s="859"/>
      <c r="O533" s="859"/>
      <c r="P533" s="859"/>
      <c r="Q533" s="859"/>
      <c r="R533" s="859"/>
      <c r="S533" s="859"/>
      <c r="T533" s="859"/>
      <c r="U533" s="859"/>
      <c r="V533" s="859"/>
      <c r="W533" s="859"/>
      <c r="X533" s="859"/>
      <c r="Y533" s="859"/>
      <c r="Z533" s="860"/>
      <c r="AA533" s="860"/>
      <c r="AB533" s="860"/>
      <c r="AC533" s="860"/>
      <c r="AD533" s="860"/>
      <c r="AE533" s="860"/>
      <c r="AF533" s="860"/>
      <c r="AG533" s="860"/>
      <c r="AH533" s="860"/>
      <c r="AI533" s="860"/>
      <c r="AJ533" s="860"/>
      <c r="AK533" s="860"/>
      <c r="AL533" s="860"/>
      <c r="AM533" s="860"/>
      <c r="AN533" s="860"/>
      <c r="AO533" s="860"/>
      <c r="AP533" s="860"/>
      <c r="AQ533" s="860"/>
      <c r="AR533" s="860"/>
      <c r="AS533" s="860"/>
      <c r="AT533" s="860"/>
      <c r="AU533" s="860"/>
      <c r="AV533" s="860"/>
      <c r="AW533" s="860"/>
      <c r="AX533" s="860"/>
      <c r="AY533" s="860"/>
      <c r="AZ533" s="860"/>
      <c r="BA533" s="860"/>
      <c r="BB533" s="860"/>
      <c r="BC533" s="860"/>
      <c r="BD533" s="860"/>
      <c r="BE533" s="860"/>
      <c r="BF533" s="860"/>
      <c r="BG533" s="860"/>
      <c r="BH533" s="668"/>
      <c r="BI533" s="654"/>
      <c r="BJ533" s="690">
        <f t="shared" si="208"/>
        <v>0</v>
      </c>
      <c r="BK533" s="691">
        <f t="shared" si="209"/>
        <v>0</v>
      </c>
      <c r="BL533" s="654"/>
      <c r="BM533" s="692">
        <f>SUMIFS(Imput[[Importe Neto]:[Importe Neto]],Imput[[C. Imp.]:[C. Imp.]],$D533,Imput[[PERIODO Imp.]:[PERIODO Imp.]],BM$9)</f>
        <v>0</v>
      </c>
      <c r="BN533" s="693">
        <f>SUMIFS(Imput[[Importe Neto]:[Importe Neto]],Imput[[C. Imp.]:[C. Imp.]],$D533,Imput[[PERIODO Imp.]:[PERIODO Imp.]],BN$9)</f>
        <v>0</v>
      </c>
      <c r="BO533" s="693">
        <f>SUMIFS(Imput[[Importe Neto]:[Importe Neto]],Imput[[C. Imp.]:[C. Imp.]],$D533,Imput[[PERIODO Imp.]:[PERIODO Imp.]],BO$9)</f>
        <v>0</v>
      </c>
      <c r="BP533" s="693">
        <f>SUMIFS(Imput[[Importe Neto]:[Importe Neto]],Imput[[C. Imp.]:[C. Imp.]],$D533,Imput[[PERIODO Imp.]:[PERIODO Imp.]],BP$9)</f>
        <v>0</v>
      </c>
      <c r="BQ533" s="693">
        <f>SUMIFS(Imput[[Importe Neto]:[Importe Neto]],Imput[[C. Imp.]:[C. Imp.]],$D533,Imput[[PERIODO Imp.]:[PERIODO Imp.]],BQ$9)</f>
        <v>0</v>
      </c>
      <c r="BR533" s="693">
        <f>SUMIFS(Imput[[Importe Neto]:[Importe Neto]],Imput[[C. Imp.]:[C. Imp.]],$D533,Imput[[PERIODO Imp.]:[PERIODO Imp.]],BR$9)</f>
        <v>0</v>
      </c>
      <c r="BS533" s="693">
        <f>SUMIFS(Imput[[Importe Neto]:[Importe Neto]],Imput[[C. Imp.]:[C. Imp.]],$D533,Imput[[PERIODO Imp.]:[PERIODO Imp.]],BS$9)</f>
        <v>0</v>
      </c>
      <c r="BT533" s="693">
        <f>SUMIFS(Imput[[Importe Neto]:[Importe Neto]],Imput[[C. Imp.]:[C. Imp.]],$D533,Imput[[PERIODO Imp.]:[PERIODO Imp.]],BT$9)</f>
        <v>0</v>
      </c>
      <c r="BU533" s="693">
        <f>SUMIFS(Imput[[Importe Neto]:[Importe Neto]],Imput[[C. Imp.]:[C. Imp.]],$D533,Imput[[PERIODO Imp.]:[PERIODO Imp.]],BU$9)</f>
        <v>0</v>
      </c>
      <c r="BV533" s="693">
        <f>SUMIFS(Imput[[Importe Neto]:[Importe Neto]],Imput[[C. Imp.]:[C. Imp.]],$D533,Imput[[PERIODO Imp.]:[PERIODO Imp.]],BV$9)</f>
        <v>0</v>
      </c>
      <c r="BW533" s="693">
        <f>SUMIFS(Imput[[Importe Neto]:[Importe Neto]],Imput[[C. Imp.]:[C. Imp.]],$D533,Imput[[PERIODO Imp.]:[PERIODO Imp.]],BW$9)</f>
        <v>0</v>
      </c>
      <c r="BX533" s="693">
        <f>SUMIFS(Imput[[Importe Neto]:[Importe Neto]],Imput[[C. Imp.]:[C. Imp.]],$D533,Imput[[PERIODO Imp.]:[PERIODO Imp.]],BX$9)</f>
        <v>0</v>
      </c>
      <c r="BY533" s="693">
        <f>SUMIFS(Imput[[Importe Neto]:[Importe Neto]],Imput[[C. Imp.]:[C. Imp.]],$D533,Imput[[PERIODO Imp.]:[PERIODO Imp.]],BY$9)</f>
        <v>0</v>
      </c>
      <c r="BZ533" s="693">
        <f>SUMIFS(Imput[[Importe Neto]:[Importe Neto]],Imput[[C. Imp.]:[C. Imp.]],$D533,Imput[[PERIODO Imp.]:[PERIODO Imp.]],BZ$9)</f>
        <v>0</v>
      </c>
      <c r="CA533" s="693">
        <f>SUMIFS(Imput[[Importe Neto]:[Importe Neto]],Imput[[C. Imp.]:[C. Imp.]],$D533,Imput[[PERIODO Imp.]:[PERIODO Imp.]],CA$9)</f>
        <v>0</v>
      </c>
      <c r="CB533" s="693">
        <f>SUMIFS(Imput[[Importe Neto]:[Importe Neto]],Imput[[C. Imp.]:[C. Imp.]],$D533,Imput[[PERIODO Imp.]:[PERIODO Imp.]],CB$9)</f>
        <v>0</v>
      </c>
      <c r="CC533" s="693">
        <f>SUMIFS(Imput[[Importe Neto]:[Importe Neto]],Imput[[C. Imp.]:[C. Imp.]],$D533,Imput[[PERIODO Imp.]:[PERIODO Imp.]],CC$9)</f>
        <v>0</v>
      </c>
      <c r="CD533" s="693">
        <f>SUMIFS(Imput[[Importe Neto]:[Importe Neto]],Imput[[C. Imp.]:[C. Imp.]],$D533,Imput[[PERIODO Imp.]:[PERIODO Imp.]],CD$9)</f>
        <v>0</v>
      </c>
      <c r="CE533" s="693">
        <f>SUMIFS(Imput[[Importe Neto]:[Importe Neto]],Imput[[C. Imp.]:[C. Imp.]],$D533,Imput[[PERIODO Imp.]:[PERIODO Imp.]],CE$9)</f>
        <v>0</v>
      </c>
      <c r="CF533" s="693">
        <f>SUMIFS(Imput[[Importe Neto]:[Importe Neto]],Imput[[C. Imp.]:[C. Imp.]],$D533,Imput[[PERIODO Imp.]:[PERIODO Imp.]],CF$9)</f>
        <v>0</v>
      </c>
      <c r="CG533" s="693">
        <f>SUMIFS(Imput[[Importe Neto]:[Importe Neto]],Imput[[C. Imp.]:[C. Imp.]],$D533,Imput[[PERIODO Imp.]:[PERIODO Imp.]],CG$9)</f>
        <v>0</v>
      </c>
      <c r="CH533" s="693">
        <f>SUMIFS(Imput[[Importe Neto]:[Importe Neto]],Imput[[C. Imp.]:[C. Imp.]],$D533,Imput[[PERIODO Imp.]:[PERIODO Imp.]],CH$9)</f>
        <v>0</v>
      </c>
      <c r="CI533" s="693">
        <f>SUMIFS(Imput[[Importe Neto]:[Importe Neto]],Imput[[C. Imp.]:[C. Imp.]],$D533,Imput[[PERIODO Imp.]:[PERIODO Imp.]],CI$9)</f>
        <v>0</v>
      </c>
      <c r="CJ533" s="693">
        <f>SUMIFS(Imput[[Importe Neto]:[Importe Neto]],Imput[[C. Imp.]:[C. Imp.]],$D533,Imput[[PERIODO Imp.]:[PERIODO Imp.]],CJ$9)</f>
        <v>0</v>
      </c>
      <c r="CK533" s="693">
        <f>SUMIFS(Imput[[Importe Neto]:[Importe Neto]],Imput[[C. Imp.]:[C. Imp.]],$D533,Imput[[PERIODO Imp.]:[PERIODO Imp.]],CK$9)</f>
        <v>0</v>
      </c>
      <c r="CL533" s="693">
        <f>SUMIFS(Imput[[Importe Neto]:[Importe Neto]],Imput[[C. Imp.]:[C. Imp.]],$D533,Imput[[PERIODO Imp.]:[PERIODO Imp.]],CL$9)</f>
        <v>0</v>
      </c>
      <c r="CM533" s="693">
        <f>SUMIFS(Imput[[Importe Neto]:[Importe Neto]],Imput[[C. Imp.]:[C. Imp.]],$D533,Imput[[PERIODO Imp.]:[PERIODO Imp.]],CM$9)</f>
        <v>0</v>
      </c>
      <c r="CN533" s="693">
        <f>SUMIFS(Imput[[Importe Neto]:[Importe Neto]],Imput[[C. Imp.]:[C. Imp.]],$D533,Imput[[PERIODO Imp.]:[PERIODO Imp.]],CN$9)</f>
        <v>0</v>
      </c>
      <c r="CO533" s="693">
        <f>SUMIFS(Imput[[Importe Neto]:[Importe Neto]],Imput[[C. Imp.]:[C. Imp.]],$D533,Imput[[PERIODO Imp.]:[PERIODO Imp.]],CO$9)</f>
        <v>0</v>
      </c>
      <c r="CP533" s="693">
        <f>SUMIFS(Imput[[Importe Neto]:[Importe Neto]],Imput[[C. Imp.]:[C. Imp.]],$D533,Imput[[PERIODO Imp.]:[PERIODO Imp.]],CP$9)</f>
        <v>0</v>
      </c>
      <c r="CQ533" s="693">
        <f>SUMIFS(Imput[[Importe Neto]:[Importe Neto]],Imput[[C. Imp.]:[C. Imp.]],$D533,Imput[[PERIODO Imp.]:[PERIODO Imp.]],CQ$9)</f>
        <v>0</v>
      </c>
      <c r="CR533" s="693">
        <f>SUMIFS(Imput[[Importe Neto]:[Importe Neto]],Imput[[C. Imp.]:[C. Imp.]],$D533,Imput[[PERIODO Imp.]:[PERIODO Imp.]],CR$9)</f>
        <v>0</v>
      </c>
      <c r="CS533" s="693">
        <f>SUMIFS(Imput[[Importe Neto]:[Importe Neto]],Imput[[C. Imp.]:[C. Imp.]],$D533,Imput[[PERIODO Imp.]:[PERIODO Imp.]],CS$9)</f>
        <v>0</v>
      </c>
      <c r="CT533" s="693">
        <f>SUMIFS(Imput[[Importe Neto]:[Importe Neto]],Imput[[C. Imp.]:[C. Imp.]],$D533,Imput[[PERIODO Imp.]:[PERIODO Imp.]],CT$9)</f>
        <v>0</v>
      </c>
      <c r="CU533" s="693">
        <f>SUMIFS(Imput[[Importe Neto]:[Importe Neto]],Imput[[C. Imp.]:[C. Imp.]],$D533,Imput[[PERIODO Imp.]:[PERIODO Imp.]],CU$9)</f>
        <v>0</v>
      </c>
      <c r="CV533" s="693">
        <f>SUMIFS(Imput[[Importe Neto]:[Importe Neto]],Imput[[C. Imp.]:[C. Imp.]],$D533,Imput[[PERIODO Imp.]:[PERIODO Imp.]],CV$9)</f>
        <v>0</v>
      </c>
      <c r="CW533" s="693">
        <f>SUMIFS(Imput[[Importe Neto]:[Importe Neto]],Imput[[C. Imp.]:[C. Imp.]],$D533,Imput[[PERIODO Imp.]:[PERIODO Imp.]],CW$9)</f>
        <v>0</v>
      </c>
      <c r="CX533" s="693">
        <f>SUMIFS(Imput[[Importe Neto]:[Importe Neto]],Imput[[C. Imp.]:[C. Imp.]],$D533,Imput[[PERIODO Imp.]:[PERIODO Imp.]],CX$9)</f>
        <v>0</v>
      </c>
      <c r="CY533" s="693">
        <f>SUMIFS(Imput[[Importe Neto]:[Importe Neto]],Imput[[C. Imp.]:[C. Imp.]],$D533,Imput[[PERIODO Imp.]:[PERIODO Imp.]],CY$9)</f>
        <v>0</v>
      </c>
      <c r="CZ533" s="693">
        <f>SUMIFS(Imput[[Importe Neto]:[Importe Neto]],Imput[[C. Imp.]:[C. Imp.]],$D533,Imput[[PERIODO Imp.]:[PERIODO Imp.]],CZ$9)</f>
        <v>0</v>
      </c>
      <c r="DA533" s="693">
        <f>SUMIFS(Imput[[Importe Neto]:[Importe Neto]],Imput[[C. Imp.]:[C. Imp.]],$D533,Imput[[PERIODO Imp.]:[PERIODO Imp.]],DA$9)</f>
        <v>0</v>
      </c>
      <c r="DB533" s="693">
        <f>SUMIFS(Imput[[Importe Neto]:[Importe Neto]],Imput[[C. Imp.]:[C. Imp.]],$D533,Imput[[PERIODO Imp.]:[PERIODO Imp.]],DB$9)</f>
        <v>0</v>
      </c>
      <c r="DC533" s="693">
        <f>SUMIFS(Imput[[Importe Neto]:[Importe Neto]],Imput[[C. Imp.]:[C. Imp.]],$D533,Imput[[PERIODO Imp.]:[PERIODO Imp.]],DC$9)</f>
        <v>0</v>
      </c>
      <c r="DD533" s="693">
        <f>SUMIFS(Imput[[Importe Neto]:[Importe Neto]],Imput[[C. Imp.]:[C. Imp.]],$D533,Imput[[PERIODO Imp.]:[PERIODO Imp.]],DD$9)</f>
        <v>0</v>
      </c>
      <c r="DE533" s="693">
        <f>SUMIFS(Imput[[Importe Neto]:[Importe Neto]],Imput[[C. Imp.]:[C. Imp.]],$D533,Imput[[PERIODO Imp.]:[PERIODO Imp.]],DE$9)</f>
        <v>0</v>
      </c>
      <c r="DF533" s="693">
        <f>SUMIFS(Imput[[Importe Neto]:[Importe Neto]],Imput[[C. Imp.]:[C. Imp.]],$D533,Imput[[PERIODO Imp.]:[PERIODO Imp.]],DF$9)</f>
        <v>0</v>
      </c>
      <c r="DG533" s="693">
        <f>SUMIFS(Imput[[Importe Neto]:[Importe Neto]],Imput[[C. Imp.]:[C. Imp.]],$D533,Imput[[PERIODO Imp.]:[PERIODO Imp.]],DG$9)</f>
        <v>0</v>
      </c>
      <c r="DH533" s="694">
        <f>SUMIFS(Imput[[Importe Neto]:[Importe Neto]],Imput[[C. Imp.]:[C. Imp.]],$D533,Imput[[PERIODO Imp.]:[PERIODO Imp.]],DH$9)</f>
        <v>0</v>
      </c>
    </row>
    <row r="534" spans="1:112" s="649" customFormat="1" hidden="1" outlineLevel="1" x14ac:dyDescent="0.3">
      <c r="A534" s="652" t="str">
        <f t="shared" si="205"/>
        <v/>
      </c>
      <c r="B534" s="652"/>
      <c r="C534" s="685"/>
      <c r="D534" s="686" t="s">
        <v>2560</v>
      </c>
      <c r="E534" s="686"/>
      <c r="F534" s="720"/>
      <c r="G534" s="688"/>
      <c r="H534" s="689"/>
      <c r="I534" s="851" t="str">
        <f t="shared" si="206"/>
        <v/>
      </c>
      <c r="J534" s="850" t="str">
        <f t="shared" si="207"/>
        <v/>
      </c>
      <c r="K534" s="667"/>
      <c r="L534" s="858"/>
      <c r="M534" s="859"/>
      <c r="N534" s="859"/>
      <c r="O534" s="859"/>
      <c r="P534" s="859"/>
      <c r="Q534" s="859"/>
      <c r="R534" s="859"/>
      <c r="S534" s="859"/>
      <c r="T534" s="859"/>
      <c r="U534" s="859"/>
      <c r="V534" s="859"/>
      <c r="W534" s="859"/>
      <c r="X534" s="859"/>
      <c r="Y534" s="859"/>
      <c r="Z534" s="860"/>
      <c r="AA534" s="860"/>
      <c r="AB534" s="860"/>
      <c r="AC534" s="860"/>
      <c r="AD534" s="860"/>
      <c r="AE534" s="860"/>
      <c r="AF534" s="860"/>
      <c r="AG534" s="860"/>
      <c r="AH534" s="860"/>
      <c r="AI534" s="860"/>
      <c r="AJ534" s="860"/>
      <c r="AK534" s="860"/>
      <c r="AL534" s="860"/>
      <c r="AM534" s="860"/>
      <c r="AN534" s="860"/>
      <c r="AO534" s="860"/>
      <c r="AP534" s="860"/>
      <c r="AQ534" s="860"/>
      <c r="AR534" s="860"/>
      <c r="AS534" s="860"/>
      <c r="AT534" s="860"/>
      <c r="AU534" s="860"/>
      <c r="AV534" s="860"/>
      <c r="AW534" s="860"/>
      <c r="AX534" s="860"/>
      <c r="AY534" s="860"/>
      <c r="AZ534" s="860"/>
      <c r="BA534" s="860"/>
      <c r="BB534" s="860"/>
      <c r="BC534" s="860"/>
      <c r="BD534" s="860"/>
      <c r="BE534" s="860"/>
      <c r="BF534" s="860"/>
      <c r="BG534" s="860"/>
      <c r="BH534" s="668"/>
      <c r="BI534" s="667"/>
      <c r="BJ534" s="690">
        <f t="shared" si="208"/>
        <v>0</v>
      </c>
      <c r="BK534" s="691">
        <f t="shared" si="209"/>
        <v>0</v>
      </c>
      <c r="BL534" s="654"/>
      <c r="BM534" s="692">
        <f>SUMIFS(Imput[[Importe Neto]:[Importe Neto]],Imput[[C. Imp.]:[C. Imp.]],$D534,Imput[[PERIODO Imp.]:[PERIODO Imp.]],BM$9)</f>
        <v>0</v>
      </c>
      <c r="BN534" s="693">
        <f>SUMIFS(Imput[[Importe Neto]:[Importe Neto]],Imput[[C. Imp.]:[C. Imp.]],$D534,Imput[[PERIODO Imp.]:[PERIODO Imp.]],BN$9)</f>
        <v>0</v>
      </c>
      <c r="BO534" s="693">
        <f>SUMIFS(Imput[[Importe Neto]:[Importe Neto]],Imput[[C. Imp.]:[C. Imp.]],$D534,Imput[[PERIODO Imp.]:[PERIODO Imp.]],BO$9)</f>
        <v>0</v>
      </c>
      <c r="BP534" s="693">
        <f>SUMIFS(Imput[[Importe Neto]:[Importe Neto]],Imput[[C. Imp.]:[C. Imp.]],$D534,Imput[[PERIODO Imp.]:[PERIODO Imp.]],BP$9)</f>
        <v>0</v>
      </c>
      <c r="BQ534" s="693">
        <f>SUMIFS(Imput[[Importe Neto]:[Importe Neto]],Imput[[C. Imp.]:[C. Imp.]],$D534,Imput[[PERIODO Imp.]:[PERIODO Imp.]],BQ$9)</f>
        <v>0</v>
      </c>
      <c r="BR534" s="693">
        <f>SUMIFS(Imput[[Importe Neto]:[Importe Neto]],Imput[[C. Imp.]:[C. Imp.]],$D534,Imput[[PERIODO Imp.]:[PERIODO Imp.]],BR$9)</f>
        <v>0</v>
      </c>
      <c r="BS534" s="693">
        <f>SUMIFS(Imput[[Importe Neto]:[Importe Neto]],Imput[[C. Imp.]:[C. Imp.]],$D534,Imput[[PERIODO Imp.]:[PERIODO Imp.]],BS$9)</f>
        <v>0</v>
      </c>
      <c r="BT534" s="693">
        <f>SUMIFS(Imput[[Importe Neto]:[Importe Neto]],Imput[[C. Imp.]:[C. Imp.]],$D534,Imput[[PERIODO Imp.]:[PERIODO Imp.]],BT$9)</f>
        <v>0</v>
      </c>
      <c r="BU534" s="693">
        <f>SUMIFS(Imput[[Importe Neto]:[Importe Neto]],Imput[[C. Imp.]:[C. Imp.]],$D534,Imput[[PERIODO Imp.]:[PERIODO Imp.]],BU$9)</f>
        <v>0</v>
      </c>
      <c r="BV534" s="693">
        <f>SUMIFS(Imput[[Importe Neto]:[Importe Neto]],Imput[[C. Imp.]:[C. Imp.]],$D534,Imput[[PERIODO Imp.]:[PERIODO Imp.]],BV$9)</f>
        <v>0</v>
      </c>
      <c r="BW534" s="693">
        <f>SUMIFS(Imput[[Importe Neto]:[Importe Neto]],Imput[[C. Imp.]:[C. Imp.]],$D534,Imput[[PERIODO Imp.]:[PERIODO Imp.]],BW$9)</f>
        <v>0</v>
      </c>
      <c r="BX534" s="693">
        <f>SUMIFS(Imput[[Importe Neto]:[Importe Neto]],Imput[[C. Imp.]:[C. Imp.]],$D534,Imput[[PERIODO Imp.]:[PERIODO Imp.]],BX$9)</f>
        <v>0</v>
      </c>
      <c r="BY534" s="693">
        <f>SUMIFS(Imput[[Importe Neto]:[Importe Neto]],Imput[[C. Imp.]:[C. Imp.]],$D534,Imput[[PERIODO Imp.]:[PERIODO Imp.]],BY$9)</f>
        <v>0</v>
      </c>
      <c r="BZ534" s="693">
        <f>SUMIFS(Imput[[Importe Neto]:[Importe Neto]],Imput[[C. Imp.]:[C. Imp.]],$D534,Imput[[PERIODO Imp.]:[PERIODO Imp.]],BZ$9)</f>
        <v>0</v>
      </c>
      <c r="CA534" s="693">
        <f>SUMIFS(Imput[[Importe Neto]:[Importe Neto]],Imput[[C. Imp.]:[C. Imp.]],$D534,Imput[[PERIODO Imp.]:[PERIODO Imp.]],CA$9)</f>
        <v>0</v>
      </c>
      <c r="CB534" s="693">
        <f>SUMIFS(Imput[[Importe Neto]:[Importe Neto]],Imput[[C. Imp.]:[C. Imp.]],$D534,Imput[[PERIODO Imp.]:[PERIODO Imp.]],CB$9)</f>
        <v>0</v>
      </c>
      <c r="CC534" s="693">
        <f>SUMIFS(Imput[[Importe Neto]:[Importe Neto]],Imput[[C. Imp.]:[C. Imp.]],$D534,Imput[[PERIODO Imp.]:[PERIODO Imp.]],CC$9)</f>
        <v>0</v>
      </c>
      <c r="CD534" s="693">
        <f>SUMIFS(Imput[[Importe Neto]:[Importe Neto]],Imput[[C. Imp.]:[C. Imp.]],$D534,Imput[[PERIODO Imp.]:[PERIODO Imp.]],CD$9)</f>
        <v>0</v>
      </c>
      <c r="CE534" s="693">
        <f>SUMIFS(Imput[[Importe Neto]:[Importe Neto]],Imput[[C. Imp.]:[C. Imp.]],$D534,Imput[[PERIODO Imp.]:[PERIODO Imp.]],CE$9)</f>
        <v>0</v>
      </c>
      <c r="CF534" s="693">
        <f>SUMIFS(Imput[[Importe Neto]:[Importe Neto]],Imput[[C. Imp.]:[C. Imp.]],$D534,Imput[[PERIODO Imp.]:[PERIODO Imp.]],CF$9)</f>
        <v>0</v>
      </c>
      <c r="CG534" s="693">
        <f>SUMIFS(Imput[[Importe Neto]:[Importe Neto]],Imput[[C. Imp.]:[C. Imp.]],$D534,Imput[[PERIODO Imp.]:[PERIODO Imp.]],CG$9)</f>
        <v>0</v>
      </c>
      <c r="CH534" s="693">
        <f>SUMIFS(Imput[[Importe Neto]:[Importe Neto]],Imput[[C. Imp.]:[C. Imp.]],$D534,Imput[[PERIODO Imp.]:[PERIODO Imp.]],CH$9)</f>
        <v>0</v>
      </c>
      <c r="CI534" s="693">
        <f>SUMIFS(Imput[[Importe Neto]:[Importe Neto]],Imput[[C. Imp.]:[C. Imp.]],$D534,Imput[[PERIODO Imp.]:[PERIODO Imp.]],CI$9)</f>
        <v>0</v>
      </c>
      <c r="CJ534" s="693">
        <f>SUMIFS(Imput[[Importe Neto]:[Importe Neto]],Imput[[C. Imp.]:[C. Imp.]],$D534,Imput[[PERIODO Imp.]:[PERIODO Imp.]],CJ$9)</f>
        <v>0</v>
      </c>
      <c r="CK534" s="693">
        <f>SUMIFS(Imput[[Importe Neto]:[Importe Neto]],Imput[[C. Imp.]:[C. Imp.]],$D534,Imput[[PERIODO Imp.]:[PERIODO Imp.]],CK$9)</f>
        <v>0</v>
      </c>
      <c r="CL534" s="693">
        <f>SUMIFS(Imput[[Importe Neto]:[Importe Neto]],Imput[[C. Imp.]:[C. Imp.]],$D534,Imput[[PERIODO Imp.]:[PERIODO Imp.]],CL$9)</f>
        <v>0</v>
      </c>
      <c r="CM534" s="693">
        <f>SUMIFS(Imput[[Importe Neto]:[Importe Neto]],Imput[[C. Imp.]:[C. Imp.]],$D534,Imput[[PERIODO Imp.]:[PERIODO Imp.]],CM$9)</f>
        <v>0</v>
      </c>
      <c r="CN534" s="693">
        <f>SUMIFS(Imput[[Importe Neto]:[Importe Neto]],Imput[[C. Imp.]:[C. Imp.]],$D534,Imput[[PERIODO Imp.]:[PERIODO Imp.]],CN$9)</f>
        <v>0</v>
      </c>
      <c r="CO534" s="693">
        <f>SUMIFS(Imput[[Importe Neto]:[Importe Neto]],Imput[[C. Imp.]:[C. Imp.]],$D534,Imput[[PERIODO Imp.]:[PERIODO Imp.]],CO$9)</f>
        <v>0</v>
      </c>
      <c r="CP534" s="693">
        <f>SUMIFS(Imput[[Importe Neto]:[Importe Neto]],Imput[[C. Imp.]:[C. Imp.]],$D534,Imput[[PERIODO Imp.]:[PERIODO Imp.]],CP$9)</f>
        <v>0</v>
      </c>
      <c r="CQ534" s="693">
        <f>SUMIFS(Imput[[Importe Neto]:[Importe Neto]],Imput[[C. Imp.]:[C. Imp.]],$D534,Imput[[PERIODO Imp.]:[PERIODO Imp.]],CQ$9)</f>
        <v>0</v>
      </c>
      <c r="CR534" s="693">
        <f>SUMIFS(Imput[[Importe Neto]:[Importe Neto]],Imput[[C. Imp.]:[C. Imp.]],$D534,Imput[[PERIODO Imp.]:[PERIODO Imp.]],CR$9)</f>
        <v>0</v>
      </c>
      <c r="CS534" s="693">
        <f>SUMIFS(Imput[[Importe Neto]:[Importe Neto]],Imput[[C. Imp.]:[C. Imp.]],$D534,Imput[[PERIODO Imp.]:[PERIODO Imp.]],CS$9)</f>
        <v>0</v>
      </c>
      <c r="CT534" s="693">
        <f>SUMIFS(Imput[[Importe Neto]:[Importe Neto]],Imput[[C. Imp.]:[C. Imp.]],$D534,Imput[[PERIODO Imp.]:[PERIODO Imp.]],CT$9)</f>
        <v>0</v>
      </c>
      <c r="CU534" s="693">
        <f>SUMIFS(Imput[[Importe Neto]:[Importe Neto]],Imput[[C. Imp.]:[C. Imp.]],$D534,Imput[[PERIODO Imp.]:[PERIODO Imp.]],CU$9)</f>
        <v>0</v>
      </c>
      <c r="CV534" s="693">
        <f>SUMIFS(Imput[[Importe Neto]:[Importe Neto]],Imput[[C. Imp.]:[C. Imp.]],$D534,Imput[[PERIODO Imp.]:[PERIODO Imp.]],CV$9)</f>
        <v>0</v>
      </c>
      <c r="CW534" s="693">
        <f>SUMIFS(Imput[[Importe Neto]:[Importe Neto]],Imput[[C. Imp.]:[C. Imp.]],$D534,Imput[[PERIODO Imp.]:[PERIODO Imp.]],CW$9)</f>
        <v>0</v>
      </c>
      <c r="CX534" s="693">
        <f>SUMIFS(Imput[[Importe Neto]:[Importe Neto]],Imput[[C. Imp.]:[C. Imp.]],$D534,Imput[[PERIODO Imp.]:[PERIODO Imp.]],CX$9)</f>
        <v>0</v>
      </c>
      <c r="CY534" s="693">
        <f>SUMIFS(Imput[[Importe Neto]:[Importe Neto]],Imput[[C. Imp.]:[C. Imp.]],$D534,Imput[[PERIODO Imp.]:[PERIODO Imp.]],CY$9)</f>
        <v>0</v>
      </c>
      <c r="CZ534" s="693">
        <f>SUMIFS(Imput[[Importe Neto]:[Importe Neto]],Imput[[C. Imp.]:[C. Imp.]],$D534,Imput[[PERIODO Imp.]:[PERIODO Imp.]],CZ$9)</f>
        <v>0</v>
      </c>
      <c r="DA534" s="693">
        <f>SUMIFS(Imput[[Importe Neto]:[Importe Neto]],Imput[[C. Imp.]:[C. Imp.]],$D534,Imput[[PERIODO Imp.]:[PERIODO Imp.]],DA$9)</f>
        <v>0</v>
      </c>
      <c r="DB534" s="693">
        <f>SUMIFS(Imput[[Importe Neto]:[Importe Neto]],Imput[[C. Imp.]:[C. Imp.]],$D534,Imput[[PERIODO Imp.]:[PERIODO Imp.]],DB$9)</f>
        <v>0</v>
      </c>
      <c r="DC534" s="693">
        <f>SUMIFS(Imput[[Importe Neto]:[Importe Neto]],Imput[[C. Imp.]:[C. Imp.]],$D534,Imput[[PERIODO Imp.]:[PERIODO Imp.]],DC$9)</f>
        <v>0</v>
      </c>
      <c r="DD534" s="693">
        <f>SUMIFS(Imput[[Importe Neto]:[Importe Neto]],Imput[[C. Imp.]:[C. Imp.]],$D534,Imput[[PERIODO Imp.]:[PERIODO Imp.]],DD$9)</f>
        <v>0</v>
      </c>
      <c r="DE534" s="693">
        <f>SUMIFS(Imput[[Importe Neto]:[Importe Neto]],Imput[[C. Imp.]:[C. Imp.]],$D534,Imput[[PERIODO Imp.]:[PERIODO Imp.]],DE$9)</f>
        <v>0</v>
      </c>
      <c r="DF534" s="693">
        <f>SUMIFS(Imput[[Importe Neto]:[Importe Neto]],Imput[[C. Imp.]:[C. Imp.]],$D534,Imput[[PERIODO Imp.]:[PERIODO Imp.]],DF$9)</f>
        <v>0</v>
      </c>
      <c r="DG534" s="693">
        <f>SUMIFS(Imput[[Importe Neto]:[Importe Neto]],Imput[[C. Imp.]:[C. Imp.]],$D534,Imput[[PERIODO Imp.]:[PERIODO Imp.]],DG$9)</f>
        <v>0</v>
      </c>
      <c r="DH534" s="694">
        <f>SUMIFS(Imput[[Importe Neto]:[Importe Neto]],Imput[[C. Imp.]:[C. Imp.]],$D534,Imput[[PERIODO Imp.]:[PERIODO Imp.]],DH$9)</f>
        <v>0</v>
      </c>
    </row>
    <row r="535" spans="1:112" s="649" customFormat="1" hidden="1" outlineLevel="1" x14ac:dyDescent="0.3">
      <c r="A535" s="652" t="str">
        <f t="shared" si="205"/>
        <v/>
      </c>
      <c r="B535" s="652"/>
      <c r="C535" s="685"/>
      <c r="D535" s="686" t="s">
        <v>2561</v>
      </c>
      <c r="E535" s="686"/>
      <c r="F535" s="720"/>
      <c r="G535" s="688"/>
      <c r="H535" s="689"/>
      <c r="I535" s="851" t="str">
        <f t="shared" si="206"/>
        <v/>
      </c>
      <c r="J535" s="850" t="str">
        <f t="shared" si="207"/>
        <v/>
      </c>
      <c r="K535" s="667"/>
      <c r="L535" s="858"/>
      <c r="M535" s="859"/>
      <c r="N535" s="859"/>
      <c r="O535" s="859"/>
      <c r="P535" s="859"/>
      <c r="Q535" s="859"/>
      <c r="R535" s="859"/>
      <c r="S535" s="859"/>
      <c r="T535" s="859"/>
      <c r="U535" s="859"/>
      <c r="V535" s="859"/>
      <c r="W535" s="859"/>
      <c r="X535" s="859"/>
      <c r="Y535" s="859"/>
      <c r="Z535" s="860"/>
      <c r="AA535" s="860"/>
      <c r="AB535" s="860"/>
      <c r="AC535" s="860"/>
      <c r="AD535" s="860"/>
      <c r="AE535" s="860"/>
      <c r="AF535" s="860"/>
      <c r="AG535" s="860"/>
      <c r="AH535" s="860"/>
      <c r="AI535" s="860"/>
      <c r="AJ535" s="860"/>
      <c r="AK535" s="860"/>
      <c r="AL535" s="860"/>
      <c r="AM535" s="860"/>
      <c r="AN535" s="860"/>
      <c r="AO535" s="860"/>
      <c r="AP535" s="860"/>
      <c r="AQ535" s="860"/>
      <c r="AR535" s="860"/>
      <c r="AS535" s="860"/>
      <c r="AT535" s="860"/>
      <c r="AU535" s="860"/>
      <c r="AV535" s="860"/>
      <c r="AW535" s="860"/>
      <c r="AX535" s="860"/>
      <c r="AY535" s="860"/>
      <c r="AZ535" s="860"/>
      <c r="BA535" s="860"/>
      <c r="BB535" s="860"/>
      <c r="BC535" s="860"/>
      <c r="BD535" s="860"/>
      <c r="BE535" s="860"/>
      <c r="BF535" s="860"/>
      <c r="BG535" s="860"/>
      <c r="BH535" s="668"/>
      <c r="BI535" s="667"/>
      <c r="BJ535" s="690">
        <f t="shared" si="208"/>
        <v>0</v>
      </c>
      <c r="BK535" s="691">
        <f t="shared" si="209"/>
        <v>0</v>
      </c>
      <c r="BL535" s="654"/>
      <c r="BM535" s="692">
        <f>SUMIFS(Imput[[Importe Neto]:[Importe Neto]],Imput[[C. Imp.]:[C. Imp.]],$D535,Imput[[PERIODO Imp.]:[PERIODO Imp.]],BM$9)</f>
        <v>0</v>
      </c>
      <c r="BN535" s="693">
        <f>SUMIFS(Imput[[Importe Neto]:[Importe Neto]],Imput[[C. Imp.]:[C. Imp.]],$D535,Imput[[PERIODO Imp.]:[PERIODO Imp.]],BN$9)</f>
        <v>0</v>
      </c>
      <c r="BO535" s="693">
        <f>SUMIFS(Imput[[Importe Neto]:[Importe Neto]],Imput[[C. Imp.]:[C. Imp.]],$D535,Imput[[PERIODO Imp.]:[PERIODO Imp.]],BO$9)</f>
        <v>0</v>
      </c>
      <c r="BP535" s="693">
        <f>SUMIFS(Imput[[Importe Neto]:[Importe Neto]],Imput[[C. Imp.]:[C. Imp.]],$D535,Imput[[PERIODO Imp.]:[PERIODO Imp.]],BP$9)</f>
        <v>0</v>
      </c>
      <c r="BQ535" s="693">
        <f>SUMIFS(Imput[[Importe Neto]:[Importe Neto]],Imput[[C. Imp.]:[C. Imp.]],$D535,Imput[[PERIODO Imp.]:[PERIODO Imp.]],BQ$9)</f>
        <v>0</v>
      </c>
      <c r="BR535" s="693">
        <f>SUMIFS(Imput[[Importe Neto]:[Importe Neto]],Imput[[C. Imp.]:[C. Imp.]],$D535,Imput[[PERIODO Imp.]:[PERIODO Imp.]],BR$9)</f>
        <v>0</v>
      </c>
      <c r="BS535" s="693">
        <f>SUMIFS(Imput[[Importe Neto]:[Importe Neto]],Imput[[C. Imp.]:[C. Imp.]],$D535,Imput[[PERIODO Imp.]:[PERIODO Imp.]],BS$9)</f>
        <v>0</v>
      </c>
      <c r="BT535" s="693">
        <f>SUMIFS(Imput[[Importe Neto]:[Importe Neto]],Imput[[C. Imp.]:[C. Imp.]],$D535,Imput[[PERIODO Imp.]:[PERIODO Imp.]],BT$9)</f>
        <v>0</v>
      </c>
      <c r="BU535" s="693">
        <f>SUMIFS(Imput[[Importe Neto]:[Importe Neto]],Imput[[C. Imp.]:[C. Imp.]],$D535,Imput[[PERIODO Imp.]:[PERIODO Imp.]],BU$9)</f>
        <v>0</v>
      </c>
      <c r="BV535" s="693">
        <f>SUMIFS(Imput[[Importe Neto]:[Importe Neto]],Imput[[C. Imp.]:[C. Imp.]],$D535,Imput[[PERIODO Imp.]:[PERIODO Imp.]],BV$9)</f>
        <v>0</v>
      </c>
      <c r="BW535" s="693">
        <f>SUMIFS(Imput[[Importe Neto]:[Importe Neto]],Imput[[C. Imp.]:[C. Imp.]],$D535,Imput[[PERIODO Imp.]:[PERIODO Imp.]],BW$9)</f>
        <v>0</v>
      </c>
      <c r="BX535" s="693">
        <f>SUMIFS(Imput[[Importe Neto]:[Importe Neto]],Imput[[C. Imp.]:[C. Imp.]],$D535,Imput[[PERIODO Imp.]:[PERIODO Imp.]],BX$9)</f>
        <v>0</v>
      </c>
      <c r="BY535" s="693">
        <f>SUMIFS(Imput[[Importe Neto]:[Importe Neto]],Imput[[C. Imp.]:[C. Imp.]],$D535,Imput[[PERIODO Imp.]:[PERIODO Imp.]],BY$9)</f>
        <v>0</v>
      </c>
      <c r="BZ535" s="693">
        <f>SUMIFS(Imput[[Importe Neto]:[Importe Neto]],Imput[[C. Imp.]:[C. Imp.]],$D535,Imput[[PERIODO Imp.]:[PERIODO Imp.]],BZ$9)</f>
        <v>0</v>
      </c>
      <c r="CA535" s="693">
        <f>SUMIFS(Imput[[Importe Neto]:[Importe Neto]],Imput[[C. Imp.]:[C. Imp.]],$D535,Imput[[PERIODO Imp.]:[PERIODO Imp.]],CA$9)</f>
        <v>0</v>
      </c>
      <c r="CB535" s="693">
        <f>SUMIFS(Imput[[Importe Neto]:[Importe Neto]],Imput[[C. Imp.]:[C. Imp.]],$D535,Imput[[PERIODO Imp.]:[PERIODO Imp.]],CB$9)</f>
        <v>0</v>
      </c>
      <c r="CC535" s="693">
        <f>SUMIFS(Imput[[Importe Neto]:[Importe Neto]],Imput[[C. Imp.]:[C. Imp.]],$D535,Imput[[PERIODO Imp.]:[PERIODO Imp.]],CC$9)</f>
        <v>0</v>
      </c>
      <c r="CD535" s="693">
        <f>SUMIFS(Imput[[Importe Neto]:[Importe Neto]],Imput[[C. Imp.]:[C. Imp.]],$D535,Imput[[PERIODO Imp.]:[PERIODO Imp.]],CD$9)</f>
        <v>0</v>
      </c>
      <c r="CE535" s="693">
        <f>SUMIFS(Imput[[Importe Neto]:[Importe Neto]],Imput[[C. Imp.]:[C. Imp.]],$D535,Imput[[PERIODO Imp.]:[PERIODO Imp.]],CE$9)</f>
        <v>0</v>
      </c>
      <c r="CF535" s="693">
        <f>SUMIFS(Imput[[Importe Neto]:[Importe Neto]],Imput[[C. Imp.]:[C. Imp.]],$D535,Imput[[PERIODO Imp.]:[PERIODO Imp.]],CF$9)</f>
        <v>0</v>
      </c>
      <c r="CG535" s="693">
        <f>SUMIFS(Imput[[Importe Neto]:[Importe Neto]],Imput[[C. Imp.]:[C. Imp.]],$D535,Imput[[PERIODO Imp.]:[PERIODO Imp.]],CG$9)</f>
        <v>0</v>
      </c>
      <c r="CH535" s="693">
        <f>SUMIFS(Imput[[Importe Neto]:[Importe Neto]],Imput[[C. Imp.]:[C. Imp.]],$D535,Imput[[PERIODO Imp.]:[PERIODO Imp.]],CH$9)</f>
        <v>0</v>
      </c>
      <c r="CI535" s="693">
        <f>SUMIFS(Imput[[Importe Neto]:[Importe Neto]],Imput[[C. Imp.]:[C. Imp.]],$D535,Imput[[PERIODO Imp.]:[PERIODO Imp.]],CI$9)</f>
        <v>0</v>
      </c>
      <c r="CJ535" s="693">
        <f>SUMIFS(Imput[[Importe Neto]:[Importe Neto]],Imput[[C. Imp.]:[C. Imp.]],$D535,Imput[[PERIODO Imp.]:[PERIODO Imp.]],CJ$9)</f>
        <v>0</v>
      </c>
      <c r="CK535" s="693">
        <f>SUMIFS(Imput[[Importe Neto]:[Importe Neto]],Imput[[C. Imp.]:[C. Imp.]],$D535,Imput[[PERIODO Imp.]:[PERIODO Imp.]],CK$9)</f>
        <v>0</v>
      </c>
      <c r="CL535" s="693">
        <f>SUMIFS(Imput[[Importe Neto]:[Importe Neto]],Imput[[C. Imp.]:[C. Imp.]],$D535,Imput[[PERIODO Imp.]:[PERIODO Imp.]],CL$9)</f>
        <v>0</v>
      </c>
      <c r="CM535" s="693">
        <f>SUMIFS(Imput[[Importe Neto]:[Importe Neto]],Imput[[C. Imp.]:[C. Imp.]],$D535,Imput[[PERIODO Imp.]:[PERIODO Imp.]],CM$9)</f>
        <v>0</v>
      </c>
      <c r="CN535" s="693">
        <f>SUMIFS(Imput[[Importe Neto]:[Importe Neto]],Imput[[C. Imp.]:[C. Imp.]],$D535,Imput[[PERIODO Imp.]:[PERIODO Imp.]],CN$9)</f>
        <v>0</v>
      </c>
      <c r="CO535" s="693">
        <f>SUMIFS(Imput[[Importe Neto]:[Importe Neto]],Imput[[C. Imp.]:[C. Imp.]],$D535,Imput[[PERIODO Imp.]:[PERIODO Imp.]],CO$9)</f>
        <v>0</v>
      </c>
      <c r="CP535" s="693">
        <f>SUMIFS(Imput[[Importe Neto]:[Importe Neto]],Imput[[C. Imp.]:[C. Imp.]],$D535,Imput[[PERIODO Imp.]:[PERIODO Imp.]],CP$9)</f>
        <v>0</v>
      </c>
      <c r="CQ535" s="693">
        <f>SUMIFS(Imput[[Importe Neto]:[Importe Neto]],Imput[[C. Imp.]:[C. Imp.]],$D535,Imput[[PERIODO Imp.]:[PERIODO Imp.]],CQ$9)</f>
        <v>0</v>
      </c>
      <c r="CR535" s="693">
        <f>SUMIFS(Imput[[Importe Neto]:[Importe Neto]],Imput[[C. Imp.]:[C. Imp.]],$D535,Imput[[PERIODO Imp.]:[PERIODO Imp.]],CR$9)</f>
        <v>0</v>
      </c>
      <c r="CS535" s="693">
        <f>SUMIFS(Imput[[Importe Neto]:[Importe Neto]],Imput[[C. Imp.]:[C. Imp.]],$D535,Imput[[PERIODO Imp.]:[PERIODO Imp.]],CS$9)</f>
        <v>0</v>
      </c>
      <c r="CT535" s="693">
        <f>SUMIFS(Imput[[Importe Neto]:[Importe Neto]],Imput[[C. Imp.]:[C. Imp.]],$D535,Imput[[PERIODO Imp.]:[PERIODO Imp.]],CT$9)</f>
        <v>0</v>
      </c>
      <c r="CU535" s="693">
        <f>SUMIFS(Imput[[Importe Neto]:[Importe Neto]],Imput[[C. Imp.]:[C. Imp.]],$D535,Imput[[PERIODO Imp.]:[PERIODO Imp.]],CU$9)</f>
        <v>0</v>
      </c>
      <c r="CV535" s="693">
        <f>SUMIFS(Imput[[Importe Neto]:[Importe Neto]],Imput[[C. Imp.]:[C. Imp.]],$D535,Imput[[PERIODO Imp.]:[PERIODO Imp.]],CV$9)</f>
        <v>0</v>
      </c>
      <c r="CW535" s="693">
        <f>SUMIFS(Imput[[Importe Neto]:[Importe Neto]],Imput[[C. Imp.]:[C. Imp.]],$D535,Imput[[PERIODO Imp.]:[PERIODO Imp.]],CW$9)</f>
        <v>0</v>
      </c>
      <c r="CX535" s="693">
        <f>SUMIFS(Imput[[Importe Neto]:[Importe Neto]],Imput[[C. Imp.]:[C. Imp.]],$D535,Imput[[PERIODO Imp.]:[PERIODO Imp.]],CX$9)</f>
        <v>0</v>
      </c>
      <c r="CY535" s="693">
        <f>SUMIFS(Imput[[Importe Neto]:[Importe Neto]],Imput[[C. Imp.]:[C. Imp.]],$D535,Imput[[PERIODO Imp.]:[PERIODO Imp.]],CY$9)</f>
        <v>0</v>
      </c>
      <c r="CZ535" s="693">
        <f>SUMIFS(Imput[[Importe Neto]:[Importe Neto]],Imput[[C. Imp.]:[C. Imp.]],$D535,Imput[[PERIODO Imp.]:[PERIODO Imp.]],CZ$9)</f>
        <v>0</v>
      </c>
      <c r="DA535" s="693">
        <f>SUMIFS(Imput[[Importe Neto]:[Importe Neto]],Imput[[C. Imp.]:[C. Imp.]],$D535,Imput[[PERIODO Imp.]:[PERIODO Imp.]],DA$9)</f>
        <v>0</v>
      </c>
      <c r="DB535" s="693">
        <f>SUMIFS(Imput[[Importe Neto]:[Importe Neto]],Imput[[C. Imp.]:[C. Imp.]],$D535,Imput[[PERIODO Imp.]:[PERIODO Imp.]],DB$9)</f>
        <v>0</v>
      </c>
      <c r="DC535" s="693">
        <f>SUMIFS(Imput[[Importe Neto]:[Importe Neto]],Imput[[C. Imp.]:[C. Imp.]],$D535,Imput[[PERIODO Imp.]:[PERIODO Imp.]],DC$9)</f>
        <v>0</v>
      </c>
      <c r="DD535" s="693">
        <f>SUMIFS(Imput[[Importe Neto]:[Importe Neto]],Imput[[C. Imp.]:[C. Imp.]],$D535,Imput[[PERIODO Imp.]:[PERIODO Imp.]],DD$9)</f>
        <v>0</v>
      </c>
      <c r="DE535" s="693">
        <f>SUMIFS(Imput[[Importe Neto]:[Importe Neto]],Imput[[C. Imp.]:[C. Imp.]],$D535,Imput[[PERIODO Imp.]:[PERIODO Imp.]],DE$9)</f>
        <v>0</v>
      </c>
      <c r="DF535" s="693">
        <f>SUMIFS(Imput[[Importe Neto]:[Importe Neto]],Imput[[C. Imp.]:[C. Imp.]],$D535,Imput[[PERIODO Imp.]:[PERIODO Imp.]],DF$9)</f>
        <v>0</v>
      </c>
      <c r="DG535" s="693">
        <f>SUMIFS(Imput[[Importe Neto]:[Importe Neto]],Imput[[C. Imp.]:[C. Imp.]],$D535,Imput[[PERIODO Imp.]:[PERIODO Imp.]],DG$9)</f>
        <v>0</v>
      </c>
      <c r="DH535" s="694">
        <f>SUMIFS(Imput[[Importe Neto]:[Importe Neto]],Imput[[C. Imp.]:[C. Imp.]],$D535,Imput[[PERIODO Imp.]:[PERIODO Imp.]],DH$9)</f>
        <v>0</v>
      </c>
    </row>
    <row r="536" spans="1:112" s="649" customFormat="1" hidden="1" outlineLevel="1" x14ac:dyDescent="0.3">
      <c r="A536" s="652" t="str">
        <f t="shared" si="205"/>
        <v/>
      </c>
      <c r="B536" s="652"/>
      <c r="C536" s="685"/>
      <c r="D536" s="686" t="s">
        <v>2562</v>
      </c>
      <c r="E536" s="686"/>
      <c r="F536" s="720"/>
      <c r="G536" s="688"/>
      <c r="H536" s="689"/>
      <c r="I536" s="851" t="str">
        <f t="shared" si="206"/>
        <v/>
      </c>
      <c r="J536" s="850" t="str">
        <f t="shared" si="207"/>
        <v/>
      </c>
      <c r="K536" s="667"/>
      <c r="L536" s="858"/>
      <c r="M536" s="859"/>
      <c r="N536" s="859"/>
      <c r="O536" s="859"/>
      <c r="P536" s="859"/>
      <c r="Q536" s="859"/>
      <c r="R536" s="859"/>
      <c r="S536" s="859"/>
      <c r="T536" s="859"/>
      <c r="U536" s="859"/>
      <c r="V536" s="859"/>
      <c r="W536" s="859"/>
      <c r="X536" s="859"/>
      <c r="Y536" s="859"/>
      <c r="Z536" s="860"/>
      <c r="AA536" s="860"/>
      <c r="AB536" s="860"/>
      <c r="AC536" s="860"/>
      <c r="AD536" s="860"/>
      <c r="AE536" s="860"/>
      <c r="AF536" s="860"/>
      <c r="AG536" s="860"/>
      <c r="AH536" s="860"/>
      <c r="AI536" s="860"/>
      <c r="AJ536" s="860"/>
      <c r="AK536" s="860"/>
      <c r="AL536" s="860"/>
      <c r="AM536" s="860"/>
      <c r="AN536" s="860"/>
      <c r="AO536" s="860"/>
      <c r="AP536" s="860"/>
      <c r="AQ536" s="860"/>
      <c r="AR536" s="860"/>
      <c r="AS536" s="860"/>
      <c r="AT536" s="860"/>
      <c r="AU536" s="860"/>
      <c r="AV536" s="860"/>
      <c r="AW536" s="860"/>
      <c r="AX536" s="860"/>
      <c r="AY536" s="860"/>
      <c r="AZ536" s="860"/>
      <c r="BA536" s="860"/>
      <c r="BB536" s="860"/>
      <c r="BC536" s="860"/>
      <c r="BD536" s="860"/>
      <c r="BE536" s="860"/>
      <c r="BF536" s="860"/>
      <c r="BG536" s="860"/>
      <c r="BH536" s="668"/>
      <c r="BI536" s="667"/>
      <c r="BJ536" s="690">
        <f t="shared" si="208"/>
        <v>0</v>
      </c>
      <c r="BK536" s="691">
        <f t="shared" si="209"/>
        <v>0</v>
      </c>
      <c r="BL536" s="654"/>
      <c r="BM536" s="692">
        <f>SUMIFS(Imput[[Importe Neto]:[Importe Neto]],Imput[[C. Imp.]:[C. Imp.]],$D536,Imput[[PERIODO Imp.]:[PERIODO Imp.]],BM$9)</f>
        <v>0</v>
      </c>
      <c r="BN536" s="693">
        <f>SUMIFS(Imput[[Importe Neto]:[Importe Neto]],Imput[[C. Imp.]:[C. Imp.]],$D536,Imput[[PERIODO Imp.]:[PERIODO Imp.]],BN$9)</f>
        <v>0</v>
      </c>
      <c r="BO536" s="693">
        <f>SUMIFS(Imput[[Importe Neto]:[Importe Neto]],Imput[[C. Imp.]:[C. Imp.]],$D536,Imput[[PERIODO Imp.]:[PERIODO Imp.]],BO$9)</f>
        <v>0</v>
      </c>
      <c r="BP536" s="693">
        <f>SUMIFS(Imput[[Importe Neto]:[Importe Neto]],Imput[[C. Imp.]:[C. Imp.]],$D536,Imput[[PERIODO Imp.]:[PERIODO Imp.]],BP$9)</f>
        <v>0</v>
      </c>
      <c r="BQ536" s="693">
        <f>SUMIFS(Imput[[Importe Neto]:[Importe Neto]],Imput[[C. Imp.]:[C. Imp.]],$D536,Imput[[PERIODO Imp.]:[PERIODO Imp.]],BQ$9)</f>
        <v>0</v>
      </c>
      <c r="BR536" s="693">
        <f>SUMIFS(Imput[[Importe Neto]:[Importe Neto]],Imput[[C. Imp.]:[C. Imp.]],$D536,Imput[[PERIODO Imp.]:[PERIODO Imp.]],BR$9)</f>
        <v>0</v>
      </c>
      <c r="BS536" s="693">
        <f>SUMIFS(Imput[[Importe Neto]:[Importe Neto]],Imput[[C. Imp.]:[C. Imp.]],$D536,Imput[[PERIODO Imp.]:[PERIODO Imp.]],BS$9)</f>
        <v>0</v>
      </c>
      <c r="BT536" s="693">
        <f>SUMIFS(Imput[[Importe Neto]:[Importe Neto]],Imput[[C. Imp.]:[C. Imp.]],$D536,Imput[[PERIODO Imp.]:[PERIODO Imp.]],BT$9)</f>
        <v>0</v>
      </c>
      <c r="BU536" s="693">
        <f>SUMIFS(Imput[[Importe Neto]:[Importe Neto]],Imput[[C. Imp.]:[C. Imp.]],$D536,Imput[[PERIODO Imp.]:[PERIODO Imp.]],BU$9)</f>
        <v>0</v>
      </c>
      <c r="BV536" s="693">
        <f>SUMIFS(Imput[[Importe Neto]:[Importe Neto]],Imput[[C. Imp.]:[C. Imp.]],$D536,Imput[[PERIODO Imp.]:[PERIODO Imp.]],BV$9)</f>
        <v>0</v>
      </c>
      <c r="BW536" s="693">
        <f>SUMIFS(Imput[[Importe Neto]:[Importe Neto]],Imput[[C. Imp.]:[C. Imp.]],$D536,Imput[[PERIODO Imp.]:[PERIODO Imp.]],BW$9)</f>
        <v>0</v>
      </c>
      <c r="BX536" s="693">
        <f>SUMIFS(Imput[[Importe Neto]:[Importe Neto]],Imput[[C. Imp.]:[C. Imp.]],$D536,Imput[[PERIODO Imp.]:[PERIODO Imp.]],BX$9)</f>
        <v>0</v>
      </c>
      <c r="BY536" s="693">
        <f>SUMIFS(Imput[[Importe Neto]:[Importe Neto]],Imput[[C. Imp.]:[C. Imp.]],$D536,Imput[[PERIODO Imp.]:[PERIODO Imp.]],BY$9)</f>
        <v>0</v>
      </c>
      <c r="BZ536" s="693">
        <f>SUMIFS(Imput[[Importe Neto]:[Importe Neto]],Imput[[C. Imp.]:[C. Imp.]],$D536,Imput[[PERIODO Imp.]:[PERIODO Imp.]],BZ$9)</f>
        <v>0</v>
      </c>
      <c r="CA536" s="693">
        <f>SUMIFS(Imput[[Importe Neto]:[Importe Neto]],Imput[[C. Imp.]:[C. Imp.]],$D536,Imput[[PERIODO Imp.]:[PERIODO Imp.]],CA$9)</f>
        <v>0</v>
      </c>
      <c r="CB536" s="693">
        <f>SUMIFS(Imput[[Importe Neto]:[Importe Neto]],Imput[[C. Imp.]:[C. Imp.]],$D536,Imput[[PERIODO Imp.]:[PERIODO Imp.]],CB$9)</f>
        <v>0</v>
      </c>
      <c r="CC536" s="693">
        <f>SUMIFS(Imput[[Importe Neto]:[Importe Neto]],Imput[[C. Imp.]:[C. Imp.]],$D536,Imput[[PERIODO Imp.]:[PERIODO Imp.]],CC$9)</f>
        <v>0</v>
      </c>
      <c r="CD536" s="693">
        <f>SUMIFS(Imput[[Importe Neto]:[Importe Neto]],Imput[[C. Imp.]:[C. Imp.]],$D536,Imput[[PERIODO Imp.]:[PERIODO Imp.]],CD$9)</f>
        <v>0</v>
      </c>
      <c r="CE536" s="693">
        <f>SUMIFS(Imput[[Importe Neto]:[Importe Neto]],Imput[[C. Imp.]:[C. Imp.]],$D536,Imput[[PERIODO Imp.]:[PERIODO Imp.]],CE$9)</f>
        <v>0</v>
      </c>
      <c r="CF536" s="693">
        <f>SUMIFS(Imput[[Importe Neto]:[Importe Neto]],Imput[[C. Imp.]:[C. Imp.]],$D536,Imput[[PERIODO Imp.]:[PERIODO Imp.]],CF$9)</f>
        <v>0</v>
      </c>
      <c r="CG536" s="693">
        <f>SUMIFS(Imput[[Importe Neto]:[Importe Neto]],Imput[[C. Imp.]:[C. Imp.]],$D536,Imput[[PERIODO Imp.]:[PERIODO Imp.]],CG$9)</f>
        <v>0</v>
      </c>
      <c r="CH536" s="693">
        <f>SUMIFS(Imput[[Importe Neto]:[Importe Neto]],Imput[[C. Imp.]:[C. Imp.]],$D536,Imput[[PERIODO Imp.]:[PERIODO Imp.]],CH$9)</f>
        <v>0</v>
      </c>
      <c r="CI536" s="693">
        <f>SUMIFS(Imput[[Importe Neto]:[Importe Neto]],Imput[[C. Imp.]:[C. Imp.]],$D536,Imput[[PERIODO Imp.]:[PERIODO Imp.]],CI$9)</f>
        <v>0</v>
      </c>
      <c r="CJ536" s="693">
        <f>SUMIFS(Imput[[Importe Neto]:[Importe Neto]],Imput[[C. Imp.]:[C. Imp.]],$D536,Imput[[PERIODO Imp.]:[PERIODO Imp.]],CJ$9)</f>
        <v>0</v>
      </c>
      <c r="CK536" s="693">
        <f>SUMIFS(Imput[[Importe Neto]:[Importe Neto]],Imput[[C. Imp.]:[C. Imp.]],$D536,Imput[[PERIODO Imp.]:[PERIODO Imp.]],CK$9)</f>
        <v>0</v>
      </c>
      <c r="CL536" s="693">
        <f>SUMIFS(Imput[[Importe Neto]:[Importe Neto]],Imput[[C. Imp.]:[C. Imp.]],$D536,Imput[[PERIODO Imp.]:[PERIODO Imp.]],CL$9)</f>
        <v>0</v>
      </c>
      <c r="CM536" s="693">
        <f>SUMIFS(Imput[[Importe Neto]:[Importe Neto]],Imput[[C. Imp.]:[C. Imp.]],$D536,Imput[[PERIODO Imp.]:[PERIODO Imp.]],CM$9)</f>
        <v>0</v>
      </c>
      <c r="CN536" s="693">
        <f>SUMIFS(Imput[[Importe Neto]:[Importe Neto]],Imput[[C. Imp.]:[C. Imp.]],$D536,Imput[[PERIODO Imp.]:[PERIODO Imp.]],CN$9)</f>
        <v>0</v>
      </c>
      <c r="CO536" s="693">
        <f>SUMIFS(Imput[[Importe Neto]:[Importe Neto]],Imput[[C. Imp.]:[C. Imp.]],$D536,Imput[[PERIODO Imp.]:[PERIODO Imp.]],CO$9)</f>
        <v>0</v>
      </c>
      <c r="CP536" s="693">
        <f>SUMIFS(Imput[[Importe Neto]:[Importe Neto]],Imput[[C. Imp.]:[C. Imp.]],$D536,Imput[[PERIODO Imp.]:[PERIODO Imp.]],CP$9)</f>
        <v>0</v>
      </c>
      <c r="CQ536" s="693">
        <f>SUMIFS(Imput[[Importe Neto]:[Importe Neto]],Imput[[C. Imp.]:[C. Imp.]],$D536,Imput[[PERIODO Imp.]:[PERIODO Imp.]],CQ$9)</f>
        <v>0</v>
      </c>
      <c r="CR536" s="693">
        <f>SUMIFS(Imput[[Importe Neto]:[Importe Neto]],Imput[[C. Imp.]:[C. Imp.]],$D536,Imput[[PERIODO Imp.]:[PERIODO Imp.]],CR$9)</f>
        <v>0</v>
      </c>
      <c r="CS536" s="693">
        <f>SUMIFS(Imput[[Importe Neto]:[Importe Neto]],Imput[[C. Imp.]:[C. Imp.]],$D536,Imput[[PERIODO Imp.]:[PERIODO Imp.]],CS$9)</f>
        <v>0</v>
      </c>
      <c r="CT536" s="693">
        <f>SUMIFS(Imput[[Importe Neto]:[Importe Neto]],Imput[[C. Imp.]:[C. Imp.]],$D536,Imput[[PERIODO Imp.]:[PERIODO Imp.]],CT$9)</f>
        <v>0</v>
      </c>
      <c r="CU536" s="693">
        <f>SUMIFS(Imput[[Importe Neto]:[Importe Neto]],Imput[[C. Imp.]:[C. Imp.]],$D536,Imput[[PERIODO Imp.]:[PERIODO Imp.]],CU$9)</f>
        <v>0</v>
      </c>
      <c r="CV536" s="693">
        <f>SUMIFS(Imput[[Importe Neto]:[Importe Neto]],Imput[[C. Imp.]:[C. Imp.]],$D536,Imput[[PERIODO Imp.]:[PERIODO Imp.]],CV$9)</f>
        <v>0</v>
      </c>
      <c r="CW536" s="693">
        <f>SUMIFS(Imput[[Importe Neto]:[Importe Neto]],Imput[[C. Imp.]:[C. Imp.]],$D536,Imput[[PERIODO Imp.]:[PERIODO Imp.]],CW$9)</f>
        <v>0</v>
      </c>
      <c r="CX536" s="693">
        <f>SUMIFS(Imput[[Importe Neto]:[Importe Neto]],Imput[[C. Imp.]:[C. Imp.]],$D536,Imput[[PERIODO Imp.]:[PERIODO Imp.]],CX$9)</f>
        <v>0</v>
      </c>
      <c r="CY536" s="693">
        <f>SUMIFS(Imput[[Importe Neto]:[Importe Neto]],Imput[[C. Imp.]:[C. Imp.]],$D536,Imput[[PERIODO Imp.]:[PERIODO Imp.]],CY$9)</f>
        <v>0</v>
      </c>
      <c r="CZ536" s="693">
        <f>SUMIFS(Imput[[Importe Neto]:[Importe Neto]],Imput[[C. Imp.]:[C. Imp.]],$D536,Imput[[PERIODO Imp.]:[PERIODO Imp.]],CZ$9)</f>
        <v>0</v>
      </c>
      <c r="DA536" s="693">
        <f>SUMIFS(Imput[[Importe Neto]:[Importe Neto]],Imput[[C. Imp.]:[C. Imp.]],$D536,Imput[[PERIODO Imp.]:[PERIODO Imp.]],DA$9)</f>
        <v>0</v>
      </c>
      <c r="DB536" s="693">
        <f>SUMIFS(Imput[[Importe Neto]:[Importe Neto]],Imput[[C. Imp.]:[C. Imp.]],$D536,Imput[[PERIODO Imp.]:[PERIODO Imp.]],DB$9)</f>
        <v>0</v>
      </c>
      <c r="DC536" s="693">
        <f>SUMIFS(Imput[[Importe Neto]:[Importe Neto]],Imput[[C. Imp.]:[C. Imp.]],$D536,Imput[[PERIODO Imp.]:[PERIODO Imp.]],DC$9)</f>
        <v>0</v>
      </c>
      <c r="DD536" s="693">
        <f>SUMIFS(Imput[[Importe Neto]:[Importe Neto]],Imput[[C. Imp.]:[C. Imp.]],$D536,Imput[[PERIODO Imp.]:[PERIODO Imp.]],DD$9)</f>
        <v>0</v>
      </c>
      <c r="DE536" s="693">
        <f>SUMIFS(Imput[[Importe Neto]:[Importe Neto]],Imput[[C. Imp.]:[C. Imp.]],$D536,Imput[[PERIODO Imp.]:[PERIODO Imp.]],DE$9)</f>
        <v>0</v>
      </c>
      <c r="DF536" s="693">
        <f>SUMIFS(Imput[[Importe Neto]:[Importe Neto]],Imput[[C. Imp.]:[C. Imp.]],$D536,Imput[[PERIODO Imp.]:[PERIODO Imp.]],DF$9)</f>
        <v>0</v>
      </c>
      <c r="DG536" s="693">
        <f>SUMIFS(Imput[[Importe Neto]:[Importe Neto]],Imput[[C. Imp.]:[C. Imp.]],$D536,Imput[[PERIODO Imp.]:[PERIODO Imp.]],DG$9)</f>
        <v>0</v>
      </c>
      <c r="DH536" s="694">
        <f>SUMIFS(Imput[[Importe Neto]:[Importe Neto]],Imput[[C. Imp.]:[C. Imp.]],$D536,Imput[[PERIODO Imp.]:[PERIODO Imp.]],DH$9)</f>
        <v>0</v>
      </c>
    </row>
    <row r="537" spans="1:112" s="649" customFormat="1" hidden="1" outlineLevel="1" x14ac:dyDescent="0.3">
      <c r="A537" s="652" t="str">
        <f t="shared" si="205"/>
        <v/>
      </c>
      <c r="B537" s="652"/>
      <c r="C537" s="685"/>
      <c r="D537" s="686" t="s">
        <v>2563</v>
      </c>
      <c r="E537" s="686"/>
      <c r="F537" s="720"/>
      <c r="G537" s="688"/>
      <c r="H537" s="689"/>
      <c r="I537" s="851" t="str">
        <f t="shared" si="206"/>
        <v/>
      </c>
      <c r="J537" s="850" t="str">
        <f t="shared" si="207"/>
        <v/>
      </c>
      <c r="K537" s="667"/>
      <c r="L537" s="858"/>
      <c r="M537" s="859"/>
      <c r="N537" s="859"/>
      <c r="O537" s="859"/>
      <c r="P537" s="859"/>
      <c r="Q537" s="859"/>
      <c r="R537" s="859"/>
      <c r="S537" s="859"/>
      <c r="T537" s="859"/>
      <c r="U537" s="859"/>
      <c r="V537" s="859"/>
      <c r="W537" s="859"/>
      <c r="X537" s="859"/>
      <c r="Y537" s="859"/>
      <c r="Z537" s="860"/>
      <c r="AA537" s="860"/>
      <c r="AB537" s="860"/>
      <c r="AC537" s="860"/>
      <c r="AD537" s="860"/>
      <c r="AE537" s="860"/>
      <c r="AF537" s="860"/>
      <c r="AG537" s="860"/>
      <c r="AH537" s="860"/>
      <c r="AI537" s="860"/>
      <c r="AJ537" s="860"/>
      <c r="AK537" s="860"/>
      <c r="AL537" s="860"/>
      <c r="AM537" s="860"/>
      <c r="AN537" s="860"/>
      <c r="AO537" s="860"/>
      <c r="AP537" s="860"/>
      <c r="AQ537" s="860"/>
      <c r="AR537" s="860"/>
      <c r="AS537" s="860"/>
      <c r="AT537" s="860"/>
      <c r="AU537" s="860"/>
      <c r="AV537" s="860"/>
      <c r="AW537" s="860"/>
      <c r="AX537" s="860"/>
      <c r="AY537" s="860"/>
      <c r="AZ537" s="860"/>
      <c r="BA537" s="860"/>
      <c r="BB537" s="860"/>
      <c r="BC537" s="860"/>
      <c r="BD537" s="860"/>
      <c r="BE537" s="860"/>
      <c r="BF537" s="860"/>
      <c r="BG537" s="860"/>
      <c r="BH537" s="668"/>
      <c r="BI537" s="667"/>
      <c r="BJ537" s="690">
        <f t="shared" si="208"/>
        <v>0</v>
      </c>
      <c r="BK537" s="691">
        <f t="shared" si="209"/>
        <v>0</v>
      </c>
      <c r="BL537" s="654"/>
      <c r="BM537" s="692">
        <f>SUMIFS(Imput[[Importe Neto]:[Importe Neto]],Imput[[C. Imp.]:[C. Imp.]],$D537,Imput[[PERIODO Imp.]:[PERIODO Imp.]],BM$9)</f>
        <v>0</v>
      </c>
      <c r="BN537" s="693">
        <f>SUMIFS(Imput[[Importe Neto]:[Importe Neto]],Imput[[C. Imp.]:[C. Imp.]],$D537,Imput[[PERIODO Imp.]:[PERIODO Imp.]],BN$9)</f>
        <v>0</v>
      </c>
      <c r="BO537" s="693">
        <f>SUMIFS(Imput[[Importe Neto]:[Importe Neto]],Imput[[C. Imp.]:[C. Imp.]],$D537,Imput[[PERIODO Imp.]:[PERIODO Imp.]],BO$9)</f>
        <v>0</v>
      </c>
      <c r="BP537" s="693">
        <f>SUMIFS(Imput[[Importe Neto]:[Importe Neto]],Imput[[C. Imp.]:[C. Imp.]],$D537,Imput[[PERIODO Imp.]:[PERIODO Imp.]],BP$9)</f>
        <v>0</v>
      </c>
      <c r="BQ537" s="693">
        <f>SUMIFS(Imput[[Importe Neto]:[Importe Neto]],Imput[[C. Imp.]:[C. Imp.]],$D537,Imput[[PERIODO Imp.]:[PERIODO Imp.]],BQ$9)</f>
        <v>0</v>
      </c>
      <c r="BR537" s="693">
        <f>SUMIFS(Imput[[Importe Neto]:[Importe Neto]],Imput[[C. Imp.]:[C. Imp.]],$D537,Imput[[PERIODO Imp.]:[PERIODO Imp.]],BR$9)</f>
        <v>0</v>
      </c>
      <c r="BS537" s="693">
        <f>SUMIFS(Imput[[Importe Neto]:[Importe Neto]],Imput[[C. Imp.]:[C. Imp.]],$D537,Imput[[PERIODO Imp.]:[PERIODO Imp.]],BS$9)</f>
        <v>0</v>
      </c>
      <c r="BT537" s="693">
        <f>SUMIFS(Imput[[Importe Neto]:[Importe Neto]],Imput[[C. Imp.]:[C. Imp.]],$D537,Imput[[PERIODO Imp.]:[PERIODO Imp.]],BT$9)</f>
        <v>0</v>
      </c>
      <c r="BU537" s="693">
        <f>SUMIFS(Imput[[Importe Neto]:[Importe Neto]],Imput[[C. Imp.]:[C. Imp.]],$D537,Imput[[PERIODO Imp.]:[PERIODO Imp.]],BU$9)</f>
        <v>0</v>
      </c>
      <c r="BV537" s="693">
        <f>SUMIFS(Imput[[Importe Neto]:[Importe Neto]],Imput[[C. Imp.]:[C. Imp.]],$D537,Imput[[PERIODO Imp.]:[PERIODO Imp.]],BV$9)</f>
        <v>0</v>
      </c>
      <c r="BW537" s="693">
        <f>SUMIFS(Imput[[Importe Neto]:[Importe Neto]],Imput[[C. Imp.]:[C. Imp.]],$D537,Imput[[PERIODO Imp.]:[PERIODO Imp.]],BW$9)</f>
        <v>0</v>
      </c>
      <c r="BX537" s="693">
        <f>SUMIFS(Imput[[Importe Neto]:[Importe Neto]],Imput[[C. Imp.]:[C. Imp.]],$D537,Imput[[PERIODO Imp.]:[PERIODO Imp.]],BX$9)</f>
        <v>0</v>
      </c>
      <c r="BY537" s="693">
        <f>SUMIFS(Imput[[Importe Neto]:[Importe Neto]],Imput[[C. Imp.]:[C. Imp.]],$D537,Imput[[PERIODO Imp.]:[PERIODO Imp.]],BY$9)</f>
        <v>0</v>
      </c>
      <c r="BZ537" s="693">
        <f>SUMIFS(Imput[[Importe Neto]:[Importe Neto]],Imput[[C. Imp.]:[C. Imp.]],$D537,Imput[[PERIODO Imp.]:[PERIODO Imp.]],BZ$9)</f>
        <v>0</v>
      </c>
      <c r="CA537" s="693">
        <f>SUMIFS(Imput[[Importe Neto]:[Importe Neto]],Imput[[C. Imp.]:[C. Imp.]],$D537,Imput[[PERIODO Imp.]:[PERIODO Imp.]],CA$9)</f>
        <v>0</v>
      </c>
      <c r="CB537" s="693">
        <f>SUMIFS(Imput[[Importe Neto]:[Importe Neto]],Imput[[C. Imp.]:[C. Imp.]],$D537,Imput[[PERIODO Imp.]:[PERIODO Imp.]],CB$9)</f>
        <v>0</v>
      </c>
      <c r="CC537" s="693">
        <f>SUMIFS(Imput[[Importe Neto]:[Importe Neto]],Imput[[C. Imp.]:[C. Imp.]],$D537,Imput[[PERIODO Imp.]:[PERIODO Imp.]],CC$9)</f>
        <v>0</v>
      </c>
      <c r="CD537" s="693">
        <f>SUMIFS(Imput[[Importe Neto]:[Importe Neto]],Imput[[C. Imp.]:[C. Imp.]],$D537,Imput[[PERIODO Imp.]:[PERIODO Imp.]],CD$9)</f>
        <v>0</v>
      </c>
      <c r="CE537" s="693">
        <f>SUMIFS(Imput[[Importe Neto]:[Importe Neto]],Imput[[C. Imp.]:[C. Imp.]],$D537,Imput[[PERIODO Imp.]:[PERIODO Imp.]],CE$9)</f>
        <v>0</v>
      </c>
      <c r="CF537" s="693">
        <f>SUMIFS(Imput[[Importe Neto]:[Importe Neto]],Imput[[C. Imp.]:[C. Imp.]],$D537,Imput[[PERIODO Imp.]:[PERIODO Imp.]],CF$9)</f>
        <v>0</v>
      </c>
      <c r="CG537" s="693">
        <f>SUMIFS(Imput[[Importe Neto]:[Importe Neto]],Imput[[C. Imp.]:[C. Imp.]],$D537,Imput[[PERIODO Imp.]:[PERIODO Imp.]],CG$9)</f>
        <v>0</v>
      </c>
      <c r="CH537" s="693">
        <f>SUMIFS(Imput[[Importe Neto]:[Importe Neto]],Imput[[C. Imp.]:[C. Imp.]],$D537,Imput[[PERIODO Imp.]:[PERIODO Imp.]],CH$9)</f>
        <v>0</v>
      </c>
      <c r="CI537" s="693">
        <f>SUMIFS(Imput[[Importe Neto]:[Importe Neto]],Imput[[C. Imp.]:[C. Imp.]],$D537,Imput[[PERIODO Imp.]:[PERIODO Imp.]],CI$9)</f>
        <v>0</v>
      </c>
      <c r="CJ537" s="693">
        <f>SUMIFS(Imput[[Importe Neto]:[Importe Neto]],Imput[[C. Imp.]:[C. Imp.]],$D537,Imput[[PERIODO Imp.]:[PERIODO Imp.]],CJ$9)</f>
        <v>0</v>
      </c>
      <c r="CK537" s="693">
        <f>SUMIFS(Imput[[Importe Neto]:[Importe Neto]],Imput[[C. Imp.]:[C. Imp.]],$D537,Imput[[PERIODO Imp.]:[PERIODO Imp.]],CK$9)</f>
        <v>0</v>
      </c>
      <c r="CL537" s="693">
        <f>SUMIFS(Imput[[Importe Neto]:[Importe Neto]],Imput[[C. Imp.]:[C. Imp.]],$D537,Imput[[PERIODO Imp.]:[PERIODO Imp.]],CL$9)</f>
        <v>0</v>
      </c>
      <c r="CM537" s="693">
        <f>SUMIFS(Imput[[Importe Neto]:[Importe Neto]],Imput[[C. Imp.]:[C. Imp.]],$D537,Imput[[PERIODO Imp.]:[PERIODO Imp.]],CM$9)</f>
        <v>0</v>
      </c>
      <c r="CN537" s="693">
        <f>SUMIFS(Imput[[Importe Neto]:[Importe Neto]],Imput[[C. Imp.]:[C. Imp.]],$D537,Imput[[PERIODO Imp.]:[PERIODO Imp.]],CN$9)</f>
        <v>0</v>
      </c>
      <c r="CO537" s="693">
        <f>SUMIFS(Imput[[Importe Neto]:[Importe Neto]],Imput[[C. Imp.]:[C. Imp.]],$D537,Imput[[PERIODO Imp.]:[PERIODO Imp.]],CO$9)</f>
        <v>0</v>
      </c>
      <c r="CP537" s="693">
        <f>SUMIFS(Imput[[Importe Neto]:[Importe Neto]],Imput[[C. Imp.]:[C. Imp.]],$D537,Imput[[PERIODO Imp.]:[PERIODO Imp.]],CP$9)</f>
        <v>0</v>
      </c>
      <c r="CQ537" s="693">
        <f>SUMIFS(Imput[[Importe Neto]:[Importe Neto]],Imput[[C. Imp.]:[C. Imp.]],$D537,Imput[[PERIODO Imp.]:[PERIODO Imp.]],CQ$9)</f>
        <v>0</v>
      </c>
      <c r="CR537" s="693">
        <f>SUMIFS(Imput[[Importe Neto]:[Importe Neto]],Imput[[C. Imp.]:[C. Imp.]],$D537,Imput[[PERIODO Imp.]:[PERIODO Imp.]],CR$9)</f>
        <v>0</v>
      </c>
      <c r="CS537" s="693">
        <f>SUMIFS(Imput[[Importe Neto]:[Importe Neto]],Imput[[C. Imp.]:[C. Imp.]],$D537,Imput[[PERIODO Imp.]:[PERIODO Imp.]],CS$9)</f>
        <v>0</v>
      </c>
      <c r="CT537" s="693">
        <f>SUMIFS(Imput[[Importe Neto]:[Importe Neto]],Imput[[C. Imp.]:[C. Imp.]],$D537,Imput[[PERIODO Imp.]:[PERIODO Imp.]],CT$9)</f>
        <v>0</v>
      </c>
      <c r="CU537" s="693">
        <f>SUMIFS(Imput[[Importe Neto]:[Importe Neto]],Imput[[C. Imp.]:[C. Imp.]],$D537,Imput[[PERIODO Imp.]:[PERIODO Imp.]],CU$9)</f>
        <v>0</v>
      </c>
      <c r="CV537" s="693">
        <f>SUMIFS(Imput[[Importe Neto]:[Importe Neto]],Imput[[C. Imp.]:[C. Imp.]],$D537,Imput[[PERIODO Imp.]:[PERIODO Imp.]],CV$9)</f>
        <v>0</v>
      </c>
      <c r="CW537" s="693">
        <f>SUMIFS(Imput[[Importe Neto]:[Importe Neto]],Imput[[C. Imp.]:[C. Imp.]],$D537,Imput[[PERIODO Imp.]:[PERIODO Imp.]],CW$9)</f>
        <v>0</v>
      </c>
      <c r="CX537" s="693">
        <f>SUMIFS(Imput[[Importe Neto]:[Importe Neto]],Imput[[C. Imp.]:[C. Imp.]],$D537,Imput[[PERIODO Imp.]:[PERIODO Imp.]],CX$9)</f>
        <v>0</v>
      </c>
      <c r="CY537" s="693">
        <f>SUMIFS(Imput[[Importe Neto]:[Importe Neto]],Imput[[C. Imp.]:[C. Imp.]],$D537,Imput[[PERIODO Imp.]:[PERIODO Imp.]],CY$9)</f>
        <v>0</v>
      </c>
      <c r="CZ537" s="693">
        <f>SUMIFS(Imput[[Importe Neto]:[Importe Neto]],Imput[[C. Imp.]:[C. Imp.]],$D537,Imput[[PERIODO Imp.]:[PERIODO Imp.]],CZ$9)</f>
        <v>0</v>
      </c>
      <c r="DA537" s="693">
        <f>SUMIFS(Imput[[Importe Neto]:[Importe Neto]],Imput[[C. Imp.]:[C. Imp.]],$D537,Imput[[PERIODO Imp.]:[PERIODO Imp.]],DA$9)</f>
        <v>0</v>
      </c>
      <c r="DB537" s="693">
        <f>SUMIFS(Imput[[Importe Neto]:[Importe Neto]],Imput[[C. Imp.]:[C. Imp.]],$D537,Imput[[PERIODO Imp.]:[PERIODO Imp.]],DB$9)</f>
        <v>0</v>
      </c>
      <c r="DC537" s="693">
        <f>SUMIFS(Imput[[Importe Neto]:[Importe Neto]],Imput[[C. Imp.]:[C. Imp.]],$D537,Imput[[PERIODO Imp.]:[PERIODO Imp.]],DC$9)</f>
        <v>0</v>
      </c>
      <c r="DD537" s="693">
        <f>SUMIFS(Imput[[Importe Neto]:[Importe Neto]],Imput[[C. Imp.]:[C. Imp.]],$D537,Imput[[PERIODO Imp.]:[PERIODO Imp.]],DD$9)</f>
        <v>0</v>
      </c>
      <c r="DE537" s="693">
        <f>SUMIFS(Imput[[Importe Neto]:[Importe Neto]],Imput[[C. Imp.]:[C. Imp.]],$D537,Imput[[PERIODO Imp.]:[PERIODO Imp.]],DE$9)</f>
        <v>0</v>
      </c>
      <c r="DF537" s="693">
        <f>SUMIFS(Imput[[Importe Neto]:[Importe Neto]],Imput[[C. Imp.]:[C. Imp.]],$D537,Imput[[PERIODO Imp.]:[PERIODO Imp.]],DF$9)</f>
        <v>0</v>
      </c>
      <c r="DG537" s="693">
        <f>SUMIFS(Imput[[Importe Neto]:[Importe Neto]],Imput[[C. Imp.]:[C. Imp.]],$D537,Imput[[PERIODO Imp.]:[PERIODO Imp.]],DG$9)</f>
        <v>0</v>
      </c>
      <c r="DH537" s="694">
        <f>SUMIFS(Imput[[Importe Neto]:[Importe Neto]],Imput[[C. Imp.]:[C. Imp.]],$D537,Imput[[PERIODO Imp.]:[PERIODO Imp.]],DH$9)</f>
        <v>0</v>
      </c>
    </row>
    <row r="538" spans="1:112" s="649" customFormat="1" hidden="1" outlineLevel="1" x14ac:dyDescent="0.3">
      <c r="A538" s="652" t="str">
        <f t="shared" si="205"/>
        <v/>
      </c>
      <c r="B538" s="652"/>
      <c r="C538" s="685"/>
      <c r="D538" s="686" t="s">
        <v>2564</v>
      </c>
      <c r="E538" s="686"/>
      <c r="F538" s="720"/>
      <c r="G538" s="688"/>
      <c r="H538" s="689"/>
      <c r="I538" s="851" t="str">
        <f t="shared" si="206"/>
        <v/>
      </c>
      <c r="J538" s="850" t="str">
        <f t="shared" si="207"/>
        <v/>
      </c>
      <c r="K538" s="667"/>
      <c r="L538" s="858"/>
      <c r="M538" s="859"/>
      <c r="N538" s="859"/>
      <c r="O538" s="859"/>
      <c r="P538" s="859"/>
      <c r="Q538" s="859"/>
      <c r="R538" s="859"/>
      <c r="S538" s="859"/>
      <c r="T538" s="859"/>
      <c r="U538" s="859"/>
      <c r="V538" s="859"/>
      <c r="W538" s="859"/>
      <c r="X538" s="859"/>
      <c r="Y538" s="859"/>
      <c r="Z538" s="860"/>
      <c r="AA538" s="860"/>
      <c r="AB538" s="860"/>
      <c r="AC538" s="860"/>
      <c r="AD538" s="860"/>
      <c r="AE538" s="860"/>
      <c r="AF538" s="860"/>
      <c r="AG538" s="860"/>
      <c r="AH538" s="860"/>
      <c r="AI538" s="860"/>
      <c r="AJ538" s="860"/>
      <c r="AK538" s="860"/>
      <c r="AL538" s="860"/>
      <c r="AM538" s="860"/>
      <c r="AN538" s="860"/>
      <c r="AO538" s="860"/>
      <c r="AP538" s="860"/>
      <c r="AQ538" s="860"/>
      <c r="AR538" s="860"/>
      <c r="AS538" s="860"/>
      <c r="AT538" s="860"/>
      <c r="AU538" s="860"/>
      <c r="AV538" s="860"/>
      <c r="AW538" s="860"/>
      <c r="AX538" s="860"/>
      <c r="AY538" s="860"/>
      <c r="AZ538" s="860"/>
      <c r="BA538" s="860"/>
      <c r="BB538" s="860"/>
      <c r="BC538" s="860"/>
      <c r="BD538" s="860"/>
      <c r="BE538" s="860"/>
      <c r="BF538" s="860"/>
      <c r="BG538" s="860"/>
      <c r="BH538" s="668"/>
      <c r="BI538" s="667"/>
      <c r="BJ538" s="690">
        <f t="shared" si="208"/>
        <v>0</v>
      </c>
      <c r="BK538" s="691">
        <f t="shared" si="209"/>
        <v>0</v>
      </c>
      <c r="BL538" s="654"/>
      <c r="BM538" s="697">
        <f>SUMIFS(Imput[[Importe Neto]:[Importe Neto]],Imput[[C. Imp.]:[C. Imp.]],$D538,Imput[[PERIODO Imp.]:[PERIODO Imp.]],BM$9)</f>
        <v>0</v>
      </c>
      <c r="BN538" s="698">
        <f>SUMIFS(Imput[[Importe Neto]:[Importe Neto]],Imput[[C. Imp.]:[C. Imp.]],$D538,Imput[[PERIODO Imp.]:[PERIODO Imp.]],BN$9)</f>
        <v>0</v>
      </c>
      <c r="BO538" s="698">
        <f>SUMIFS(Imput[[Importe Neto]:[Importe Neto]],Imput[[C. Imp.]:[C. Imp.]],$D538,Imput[[PERIODO Imp.]:[PERIODO Imp.]],BO$9)</f>
        <v>0</v>
      </c>
      <c r="BP538" s="698">
        <f>SUMIFS(Imput[[Importe Neto]:[Importe Neto]],Imput[[C. Imp.]:[C. Imp.]],$D538,Imput[[PERIODO Imp.]:[PERIODO Imp.]],BP$9)</f>
        <v>0</v>
      </c>
      <c r="BQ538" s="698">
        <f>SUMIFS(Imput[[Importe Neto]:[Importe Neto]],Imput[[C. Imp.]:[C. Imp.]],$D538,Imput[[PERIODO Imp.]:[PERIODO Imp.]],BQ$9)</f>
        <v>0</v>
      </c>
      <c r="BR538" s="698">
        <f>SUMIFS(Imput[[Importe Neto]:[Importe Neto]],Imput[[C. Imp.]:[C. Imp.]],$D538,Imput[[PERIODO Imp.]:[PERIODO Imp.]],BR$9)</f>
        <v>0</v>
      </c>
      <c r="BS538" s="698">
        <f>SUMIFS(Imput[[Importe Neto]:[Importe Neto]],Imput[[C. Imp.]:[C. Imp.]],$D538,Imput[[PERIODO Imp.]:[PERIODO Imp.]],BS$9)</f>
        <v>0</v>
      </c>
      <c r="BT538" s="698">
        <f>SUMIFS(Imput[[Importe Neto]:[Importe Neto]],Imput[[C. Imp.]:[C. Imp.]],$D538,Imput[[PERIODO Imp.]:[PERIODO Imp.]],BT$9)</f>
        <v>0</v>
      </c>
      <c r="BU538" s="698">
        <f>SUMIFS(Imput[[Importe Neto]:[Importe Neto]],Imput[[C. Imp.]:[C. Imp.]],$D538,Imput[[PERIODO Imp.]:[PERIODO Imp.]],BU$9)</f>
        <v>0</v>
      </c>
      <c r="BV538" s="698">
        <f>SUMIFS(Imput[[Importe Neto]:[Importe Neto]],Imput[[C. Imp.]:[C. Imp.]],$D538,Imput[[PERIODO Imp.]:[PERIODO Imp.]],BV$9)</f>
        <v>0</v>
      </c>
      <c r="BW538" s="698">
        <f>SUMIFS(Imput[[Importe Neto]:[Importe Neto]],Imput[[C. Imp.]:[C. Imp.]],$D538,Imput[[PERIODO Imp.]:[PERIODO Imp.]],BW$9)</f>
        <v>0</v>
      </c>
      <c r="BX538" s="698">
        <f>SUMIFS(Imput[[Importe Neto]:[Importe Neto]],Imput[[C. Imp.]:[C. Imp.]],$D538,Imput[[PERIODO Imp.]:[PERIODO Imp.]],BX$9)</f>
        <v>0</v>
      </c>
      <c r="BY538" s="698">
        <f>SUMIFS(Imput[[Importe Neto]:[Importe Neto]],Imput[[C. Imp.]:[C. Imp.]],$D538,Imput[[PERIODO Imp.]:[PERIODO Imp.]],BY$9)</f>
        <v>0</v>
      </c>
      <c r="BZ538" s="698">
        <f>SUMIFS(Imput[[Importe Neto]:[Importe Neto]],Imput[[C. Imp.]:[C. Imp.]],$D538,Imput[[PERIODO Imp.]:[PERIODO Imp.]],BZ$9)</f>
        <v>0</v>
      </c>
      <c r="CA538" s="698">
        <f>SUMIFS(Imput[[Importe Neto]:[Importe Neto]],Imput[[C. Imp.]:[C. Imp.]],$D538,Imput[[PERIODO Imp.]:[PERIODO Imp.]],CA$9)</f>
        <v>0</v>
      </c>
      <c r="CB538" s="698">
        <f>SUMIFS(Imput[[Importe Neto]:[Importe Neto]],Imput[[C. Imp.]:[C. Imp.]],$D538,Imput[[PERIODO Imp.]:[PERIODO Imp.]],CB$9)</f>
        <v>0</v>
      </c>
      <c r="CC538" s="698">
        <f>SUMIFS(Imput[[Importe Neto]:[Importe Neto]],Imput[[C. Imp.]:[C. Imp.]],$D538,Imput[[PERIODO Imp.]:[PERIODO Imp.]],CC$9)</f>
        <v>0</v>
      </c>
      <c r="CD538" s="698">
        <f>SUMIFS(Imput[[Importe Neto]:[Importe Neto]],Imput[[C. Imp.]:[C. Imp.]],$D538,Imput[[PERIODO Imp.]:[PERIODO Imp.]],CD$9)</f>
        <v>0</v>
      </c>
      <c r="CE538" s="698">
        <f>SUMIFS(Imput[[Importe Neto]:[Importe Neto]],Imput[[C. Imp.]:[C. Imp.]],$D538,Imput[[PERIODO Imp.]:[PERIODO Imp.]],CE$9)</f>
        <v>0</v>
      </c>
      <c r="CF538" s="698">
        <f>SUMIFS(Imput[[Importe Neto]:[Importe Neto]],Imput[[C. Imp.]:[C. Imp.]],$D538,Imput[[PERIODO Imp.]:[PERIODO Imp.]],CF$9)</f>
        <v>0</v>
      </c>
      <c r="CG538" s="698">
        <f>SUMIFS(Imput[[Importe Neto]:[Importe Neto]],Imput[[C. Imp.]:[C. Imp.]],$D538,Imput[[PERIODO Imp.]:[PERIODO Imp.]],CG$9)</f>
        <v>0</v>
      </c>
      <c r="CH538" s="698">
        <f>SUMIFS(Imput[[Importe Neto]:[Importe Neto]],Imput[[C. Imp.]:[C. Imp.]],$D538,Imput[[PERIODO Imp.]:[PERIODO Imp.]],CH$9)</f>
        <v>0</v>
      </c>
      <c r="CI538" s="698">
        <f>SUMIFS(Imput[[Importe Neto]:[Importe Neto]],Imput[[C. Imp.]:[C. Imp.]],$D538,Imput[[PERIODO Imp.]:[PERIODO Imp.]],CI$9)</f>
        <v>0</v>
      </c>
      <c r="CJ538" s="698">
        <f>SUMIFS(Imput[[Importe Neto]:[Importe Neto]],Imput[[C. Imp.]:[C. Imp.]],$D538,Imput[[PERIODO Imp.]:[PERIODO Imp.]],CJ$9)</f>
        <v>0</v>
      </c>
      <c r="CK538" s="698">
        <f>SUMIFS(Imput[[Importe Neto]:[Importe Neto]],Imput[[C. Imp.]:[C. Imp.]],$D538,Imput[[PERIODO Imp.]:[PERIODO Imp.]],CK$9)</f>
        <v>0</v>
      </c>
      <c r="CL538" s="698">
        <f>SUMIFS(Imput[[Importe Neto]:[Importe Neto]],Imput[[C. Imp.]:[C. Imp.]],$D538,Imput[[PERIODO Imp.]:[PERIODO Imp.]],CL$9)</f>
        <v>0</v>
      </c>
      <c r="CM538" s="698">
        <f>SUMIFS(Imput[[Importe Neto]:[Importe Neto]],Imput[[C. Imp.]:[C. Imp.]],$D538,Imput[[PERIODO Imp.]:[PERIODO Imp.]],CM$9)</f>
        <v>0</v>
      </c>
      <c r="CN538" s="698">
        <f>SUMIFS(Imput[[Importe Neto]:[Importe Neto]],Imput[[C. Imp.]:[C. Imp.]],$D538,Imput[[PERIODO Imp.]:[PERIODO Imp.]],CN$9)</f>
        <v>0</v>
      </c>
      <c r="CO538" s="698">
        <f>SUMIFS(Imput[[Importe Neto]:[Importe Neto]],Imput[[C. Imp.]:[C. Imp.]],$D538,Imput[[PERIODO Imp.]:[PERIODO Imp.]],CO$9)</f>
        <v>0</v>
      </c>
      <c r="CP538" s="698">
        <f>SUMIFS(Imput[[Importe Neto]:[Importe Neto]],Imput[[C. Imp.]:[C. Imp.]],$D538,Imput[[PERIODO Imp.]:[PERIODO Imp.]],CP$9)</f>
        <v>0</v>
      </c>
      <c r="CQ538" s="698">
        <f>SUMIFS(Imput[[Importe Neto]:[Importe Neto]],Imput[[C. Imp.]:[C. Imp.]],$D538,Imput[[PERIODO Imp.]:[PERIODO Imp.]],CQ$9)</f>
        <v>0</v>
      </c>
      <c r="CR538" s="698">
        <f>SUMIFS(Imput[[Importe Neto]:[Importe Neto]],Imput[[C. Imp.]:[C. Imp.]],$D538,Imput[[PERIODO Imp.]:[PERIODO Imp.]],CR$9)</f>
        <v>0</v>
      </c>
      <c r="CS538" s="698">
        <f>SUMIFS(Imput[[Importe Neto]:[Importe Neto]],Imput[[C. Imp.]:[C. Imp.]],$D538,Imput[[PERIODO Imp.]:[PERIODO Imp.]],CS$9)</f>
        <v>0</v>
      </c>
      <c r="CT538" s="698">
        <f>SUMIFS(Imput[[Importe Neto]:[Importe Neto]],Imput[[C. Imp.]:[C. Imp.]],$D538,Imput[[PERIODO Imp.]:[PERIODO Imp.]],CT$9)</f>
        <v>0</v>
      </c>
      <c r="CU538" s="698">
        <f>SUMIFS(Imput[[Importe Neto]:[Importe Neto]],Imput[[C. Imp.]:[C. Imp.]],$D538,Imput[[PERIODO Imp.]:[PERIODO Imp.]],CU$9)</f>
        <v>0</v>
      </c>
      <c r="CV538" s="698">
        <f>SUMIFS(Imput[[Importe Neto]:[Importe Neto]],Imput[[C. Imp.]:[C. Imp.]],$D538,Imput[[PERIODO Imp.]:[PERIODO Imp.]],CV$9)</f>
        <v>0</v>
      </c>
      <c r="CW538" s="698">
        <f>SUMIFS(Imput[[Importe Neto]:[Importe Neto]],Imput[[C. Imp.]:[C. Imp.]],$D538,Imput[[PERIODO Imp.]:[PERIODO Imp.]],CW$9)</f>
        <v>0</v>
      </c>
      <c r="CX538" s="698">
        <f>SUMIFS(Imput[[Importe Neto]:[Importe Neto]],Imput[[C. Imp.]:[C. Imp.]],$D538,Imput[[PERIODO Imp.]:[PERIODO Imp.]],CX$9)</f>
        <v>0</v>
      </c>
      <c r="CY538" s="698">
        <f>SUMIFS(Imput[[Importe Neto]:[Importe Neto]],Imput[[C. Imp.]:[C. Imp.]],$D538,Imput[[PERIODO Imp.]:[PERIODO Imp.]],CY$9)</f>
        <v>0</v>
      </c>
      <c r="CZ538" s="698">
        <f>SUMIFS(Imput[[Importe Neto]:[Importe Neto]],Imput[[C. Imp.]:[C. Imp.]],$D538,Imput[[PERIODO Imp.]:[PERIODO Imp.]],CZ$9)</f>
        <v>0</v>
      </c>
      <c r="DA538" s="698">
        <f>SUMIFS(Imput[[Importe Neto]:[Importe Neto]],Imput[[C. Imp.]:[C. Imp.]],$D538,Imput[[PERIODO Imp.]:[PERIODO Imp.]],DA$9)</f>
        <v>0</v>
      </c>
      <c r="DB538" s="698">
        <f>SUMIFS(Imput[[Importe Neto]:[Importe Neto]],Imput[[C. Imp.]:[C. Imp.]],$D538,Imput[[PERIODO Imp.]:[PERIODO Imp.]],DB$9)</f>
        <v>0</v>
      </c>
      <c r="DC538" s="698">
        <f>SUMIFS(Imput[[Importe Neto]:[Importe Neto]],Imput[[C. Imp.]:[C. Imp.]],$D538,Imput[[PERIODO Imp.]:[PERIODO Imp.]],DC$9)</f>
        <v>0</v>
      </c>
      <c r="DD538" s="698">
        <f>SUMIFS(Imput[[Importe Neto]:[Importe Neto]],Imput[[C. Imp.]:[C. Imp.]],$D538,Imput[[PERIODO Imp.]:[PERIODO Imp.]],DD$9)</f>
        <v>0</v>
      </c>
      <c r="DE538" s="698">
        <f>SUMIFS(Imput[[Importe Neto]:[Importe Neto]],Imput[[C. Imp.]:[C. Imp.]],$D538,Imput[[PERIODO Imp.]:[PERIODO Imp.]],DE$9)</f>
        <v>0</v>
      </c>
      <c r="DF538" s="698">
        <f>SUMIFS(Imput[[Importe Neto]:[Importe Neto]],Imput[[C. Imp.]:[C. Imp.]],$D538,Imput[[PERIODO Imp.]:[PERIODO Imp.]],DF$9)</f>
        <v>0</v>
      </c>
      <c r="DG538" s="698">
        <f>SUMIFS(Imput[[Importe Neto]:[Importe Neto]],Imput[[C. Imp.]:[C. Imp.]],$D538,Imput[[PERIODO Imp.]:[PERIODO Imp.]],DG$9)</f>
        <v>0</v>
      </c>
      <c r="DH538" s="795">
        <f>SUMIFS(Imput[[Importe Neto]:[Importe Neto]],Imput[[C. Imp.]:[C. Imp.]],$D538,Imput[[PERIODO Imp.]:[PERIODO Imp.]],DH$9)</f>
        <v>0</v>
      </c>
    </row>
    <row r="539" spans="1:112" s="649" customFormat="1" ht="14.4" outlineLevel="1" thickBot="1" x14ac:dyDescent="0.35">
      <c r="A539" s="652" t="str">
        <f>IF(J498&gt;0,"Imprimir","")</f>
        <v>Imprimir</v>
      </c>
      <c r="B539" s="652"/>
      <c r="C539" s="699"/>
      <c r="D539" s="700"/>
      <c r="E539" s="700"/>
      <c r="F539" s="701"/>
      <c r="G539" s="702"/>
      <c r="H539" s="703"/>
      <c r="I539" s="704"/>
      <c r="J539" s="705"/>
      <c r="K539" s="667"/>
      <c r="L539" s="706"/>
      <c r="M539" s="707"/>
      <c r="N539" s="777"/>
      <c r="O539" s="777"/>
      <c r="P539" s="778"/>
      <c r="Q539" s="778"/>
      <c r="R539" s="708"/>
      <c r="S539" s="708"/>
      <c r="T539" s="779"/>
      <c r="U539" s="779"/>
      <c r="V539" s="778"/>
      <c r="W539" s="778"/>
      <c r="X539" s="708"/>
      <c r="Y539" s="708"/>
      <c r="Z539" s="708"/>
      <c r="AA539" s="708"/>
      <c r="AB539" s="708"/>
      <c r="AC539" s="708"/>
      <c r="AD539" s="708"/>
      <c r="AE539" s="708"/>
      <c r="AF539" s="708"/>
      <c r="AG539" s="708"/>
      <c r="AH539" s="708"/>
      <c r="AI539" s="708"/>
      <c r="AJ539" s="708"/>
      <c r="AK539" s="708"/>
      <c r="AL539" s="708"/>
      <c r="AM539" s="708"/>
      <c r="AN539" s="708"/>
      <c r="AO539" s="708"/>
      <c r="AP539" s="708"/>
      <c r="AQ539" s="708"/>
      <c r="AR539" s="708"/>
      <c r="AS539" s="708"/>
      <c r="AT539" s="708"/>
      <c r="AU539" s="708"/>
      <c r="AV539" s="708"/>
      <c r="AW539" s="708"/>
      <c r="AX539" s="708"/>
      <c r="AY539" s="708"/>
      <c r="AZ539" s="708"/>
      <c r="BA539" s="708"/>
      <c r="BB539" s="708"/>
      <c r="BC539" s="708"/>
      <c r="BD539" s="708"/>
      <c r="BE539" s="708"/>
      <c r="BF539" s="708"/>
      <c r="BG539" s="708"/>
      <c r="BH539" s="780"/>
      <c r="BI539" s="654"/>
      <c r="BJ539" s="709"/>
      <c r="BK539" s="710"/>
      <c r="BL539" s="654"/>
      <c r="BM539" s="731"/>
      <c r="BN539" s="701"/>
      <c r="BO539" s="701"/>
      <c r="BP539" s="701"/>
      <c r="BQ539" s="701"/>
      <c r="BR539" s="701"/>
      <c r="BS539" s="701"/>
      <c r="BT539" s="701"/>
      <c r="BU539" s="701"/>
      <c r="BV539" s="701"/>
      <c r="BW539" s="701"/>
      <c r="BX539" s="701"/>
      <c r="BY539" s="701"/>
      <c r="BZ539" s="701"/>
      <c r="CA539" s="701"/>
      <c r="CB539" s="701"/>
      <c r="CC539" s="701"/>
      <c r="CD539" s="701"/>
      <c r="CE539" s="701"/>
      <c r="CF539" s="701"/>
      <c r="CG539" s="701"/>
      <c r="CH539" s="701"/>
      <c r="CI539" s="701"/>
      <c r="CJ539" s="701"/>
      <c r="CK539" s="701"/>
      <c r="CL539" s="701"/>
      <c r="CM539" s="701"/>
      <c r="CN539" s="701"/>
      <c r="CO539" s="701"/>
      <c r="CP539" s="701"/>
      <c r="CQ539" s="701"/>
      <c r="CR539" s="701"/>
      <c r="CS539" s="701"/>
      <c r="CT539" s="701"/>
      <c r="CU539" s="701"/>
      <c r="CV539" s="701"/>
      <c r="CW539" s="701"/>
      <c r="CX539" s="701"/>
      <c r="CY539" s="701"/>
      <c r="CZ539" s="701"/>
      <c r="DA539" s="701"/>
      <c r="DB539" s="701"/>
      <c r="DC539" s="701"/>
      <c r="DD539" s="701"/>
      <c r="DE539" s="701"/>
      <c r="DF539" s="701"/>
      <c r="DG539" s="701"/>
      <c r="DH539" s="710"/>
    </row>
    <row r="540" spans="1:112" s="649" customFormat="1" x14ac:dyDescent="0.3">
      <c r="A540" s="652" t="str">
        <f>IF(J540&gt;0,"Imprimir","")</f>
        <v>Imprimir</v>
      </c>
      <c r="B540" s="652"/>
      <c r="C540" s="711"/>
      <c r="D540" s="712" t="s">
        <v>450</v>
      </c>
      <c r="E540" s="712" t="s">
        <v>482</v>
      </c>
      <c r="F540" s="712"/>
      <c r="G540" s="713"/>
      <c r="H540" s="712"/>
      <c r="I540" s="714"/>
      <c r="J540" s="715">
        <f>SUBTOTAL(9,J543:J592)</f>
        <v>123094.28571428571</v>
      </c>
      <c r="K540" s="658"/>
      <c r="L540" s="770">
        <f t="shared" ref="L540:BG540" si="210">SUMPRODUCT($J543:$J592,L543:L592)</f>
        <v>4923.7714285714283</v>
      </c>
      <c r="M540" s="771">
        <f t="shared" si="210"/>
        <v>4923.7714285714283</v>
      </c>
      <c r="N540" s="771">
        <f t="shared" si="210"/>
        <v>4923.7714285714283</v>
      </c>
      <c r="O540" s="771">
        <f t="shared" si="210"/>
        <v>4923.7714285714283</v>
      </c>
      <c r="P540" s="771">
        <f t="shared" si="210"/>
        <v>4923.7714285714283</v>
      </c>
      <c r="Q540" s="771">
        <f t="shared" si="210"/>
        <v>4923.7714285714283</v>
      </c>
      <c r="R540" s="771">
        <f t="shared" si="210"/>
        <v>4923.7714285714283</v>
      </c>
      <c r="S540" s="771">
        <f t="shared" si="210"/>
        <v>4923.7714285714283</v>
      </c>
      <c r="T540" s="771">
        <f t="shared" si="210"/>
        <v>4923.7714285714283</v>
      </c>
      <c r="U540" s="771">
        <f t="shared" si="210"/>
        <v>4923.7714285714283</v>
      </c>
      <c r="V540" s="771">
        <f t="shared" si="210"/>
        <v>4923.7714285714283</v>
      </c>
      <c r="W540" s="771">
        <f t="shared" si="210"/>
        <v>4923.7714285714283</v>
      </c>
      <c r="X540" s="771">
        <f t="shared" si="210"/>
        <v>4923.7714285714283</v>
      </c>
      <c r="Y540" s="771">
        <f t="shared" si="210"/>
        <v>4923.7714285714283</v>
      </c>
      <c r="Z540" s="771">
        <f t="shared" si="210"/>
        <v>4923.7714285714283</v>
      </c>
      <c r="AA540" s="771">
        <f t="shared" si="210"/>
        <v>4923.7714285714283</v>
      </c>
      <c r="AB540" s="771">
        <f t="shared" si="210"/>
        <v>4923.7714285714283</v>
      </c>
      <c r="AC540" s="771">
        <f t="shared" si="210"/>
        <v>4923.7714285714283</v>
      </c>
      <c r="AD540" s="771">
        <f t="shared" si="210"/>
        <v>4923.7714285714283</v>
      </c>
      <c r="AE540" s="771">
        <f t="shared" si="210"/>
        <v>4923.7714285714283</v>
      </c>
      <c r="AF540" s="771">
        <f t="shared" si="210"/>
        <v>4923.7714285714283</v>
      </c>
      <c r="AG540" s="771">
        <f t="shared" si="210"/>
        <v>4923.7714285714283</v>
      </c>
      <c r="AH540" s="771">
        <f t="shared" si="210"/>
        <v>4923.7714285714283</v>
      </c>
      <c r="AI540" s="771">
        <f t="shared" si="210"/>
        <v>4923.7714285714283</v>
      </c>
      <c r="AJ540" s="771">
        <f t="shared" si="210"/>
        <v>4923.7714285714283</v>
      </c>
      <c r="AK540" s="771">
        <f t="shared" si="210"/>
        <v>0</v>
      </c>
      <c r="AL540" s="771">
        <f t="shared" si="210"/>
        <v>0</v>
      </c>
      <c r="AM540" s="771">
        <f t="shared" si="210"/>
        <v>0</v>
      </c>
      <c r="AN540" s="771">
        <f t="shared" si="210"/>
        <v>0</v>
      </c>
      <c r="AO540" s="771">
        <f t="shared" si="210"/>
        <v>0</v>
      </c>
      <c r="AP540" s="771">
        <f t="shared" si="210"/>
        <v>0</v>
      </c>
      <c r="AQ540" s="771">
        <f t="shared" si="210"/>
        <v>0</v>
      </c>
      <c r="AR540" s="771">
        <f t="shared" si="210"/>
        <v>0</v>
      </c>
      <c r="AS540" s="771">
        <f t="shared" si="210"/>
        <v>0</v>
      </c>
      <c r="AT540" s="771">
        <f t="shared" si="210"/>
        <v>0</v>
      </c>
      <c r="AU540" s="771">
        <f t="shared" si="210"/>
        <v>0</v>
      </c>
      <c r="AV540" s="771">
        <f t="shared" si="210"/>
        <v>0</v>
      </c>
      <c r="AW540" s="771">
        <f t="shared" si="210"/>
        <v>0</v>
      </c>
      <c r="AX540" s="771">
        <f t="shared" si="210"/>
        <v>0</v>
      </c>
      <c r="AY540" s="771">
        <f t="shared" si="210"/>
        <v>0</v>
      </c>
      <c r="AZ540" s="771">
        <f t="shared" si="210"/>
        <v>0</v>
      </c>
      <c r="BA540" s="771">
        <f t="shared" si="210"/>
        <v>0</v>
      </c>
      <c r="BB540" s="771">
        <f t="shared" si="210"/>
        <v>0</v>
      </c>
      <c r="BC540" s="771">
        <f t="shared" si="210"/>
        <v>0</v>
      </c>
      <c r="BD540" s="771">
        <f t="shared" si="210"/>
        <v>0</v>
      </c>
      <c r="BE540" s="771">
        <f t="shared" si="210"/>
        <v>0</v>
      </c>
      <c r="BF540" s="771">
        <f t="shared" si="210"/>
        <v>0</v>
      </c>
      <c r="BG540" s="764">
        <f t="shared" si="210"/>
        <v>0</v>
      </c>
      <c r="BH540" s="776"/>
      <c r="BI540" s="654"/>
      <c r="BJ540" s="659">
        <f>IFERROR(BK540/J540,0)</f>
        <v>0</v>
      </c>
      <c r="BK540" s="660">
        <f>SUBTOTAL(9,BK541:BK592)</f>
        <v>0</v>
      </c>
      <c r="BL540" s="654"/>
      <c r="BM540" s="661">
        <f t="shared" ref="BM540:DH540" si="211">SUBTOTAL(9,BM541:BM592)</f>
        <v>0</v>
      </c>
      <c r="BN540" s="662">
        <f t="shared" si="211"/>
        <v>0</v>
      </c>
      <c r="BO540" s="662">
        <f t="shared" si="211"/>
        <v>0</v>
      </c>
      <c r="BP540" s="662">
        <f t="shared" si="211"/>
        <v>0</v>
      </c>
      <c r="BQ540" s="662">
        <f t="shared" si="211"/>
        <v>0</v>
      </c>
      <c r="BR540" s="662">
        <f t="shared" si="211"/>
        <v>0</v>
      </c>
      <c r="BS540" s="662">
        <f t="shared" si="211"/>
        <v>0</v>
      </c>
      <c r="BT540" s="662">
        <f t="shared" si="211"/>
        <v>0</v>
      </c>
      <c r="BU540" s="662">
        <f t="shared" si="211"/>
        <v>0</v>
      </c>
      <c r="BV540" s="662">
        <f t="shared" si="211"/>
        <v>0</v>
      </c>
      <c r="BW540" s="662">
        <f t="shared" si="211"/>
        <v>0</v>
      </c>
      <c r="BX540" s="662">
        <f t="shared" si="211"/>
        <v>0</v>
      </c>
      <c r="BY540" s="662">
        <f t="shared" si="211"/>
        <v>0</v>
      </c>
      <c r="BZ540" s="662">
        <f t="shared" si="211"/>
        <v>0</v>
      </c>
      <c r="CA540" s="662">
        <f t="shared" si="211"/>
        <v>0</v>
      </c>
      <c r="CB540" s="662">
        <f t="shared" si="211"/>
        <v>0</v>
      </c>
      <c r="CC540" s="662">
        <f t="shared" si="211"/>
        <v>0</v>
      </c>
      <c r="CD540" s="662">
        <f t="shared" si="211"/>
        <v>0</v>
      </c>
      <c r="CE540" s="662">
        <f t="shared" si="211"/>
        <v>0</v>
      </c>
      <c r="CF540" s="662">
        <f t="shared" si="211"/>
        <v>0</v>
      </c>
      <c r="CG540" s="662">
        <f t="shared" si="211"/>
        <v>0</v>
      </c>
      <c r="CH540" s="662">
        <f t="shared" si="211"/>
        <v>0</v>
      </c>
      <c r="CI540" s="662">
        <f t="shared" si="211"/>
        <v>0</v>
      </c>
      <c r="CJ540" s="662">
        <f t="shared" si="211"/>
        <v>0</v>
      </c>
      <c r="CK540" s="662">
        <f t="shared" si="211"/>
        <v>0</v>
      </c>
      <c r="CL540" s="662">
        <f t="shared" si="211"/>
        <v>0</v>
      </c>
      <c r="CM540" s="662">
        <f t="shared" si="211"/>
        <v>0</v>
      </c>
      <c r="CN540" s="662">
        <f t="shared" si="211"/>
        <v>0</v>
      </c>
      <c r="CO540" s="662">
        <f t="shared" si="211"/>
        <v>0</v>
      </c>
      <c r="CP540" s="662">
        <f t="shared" si="211"/>
        <v>0</v>
      </c>
      <c r="CQ540" s="662">
        <f t="shared" si="211"/>
        <v>0</v>
      </c>
      <c r="CR540" s="662">
        <f t="shared" si="211"/>
        <v>0</v>
      </c>
      <c r="CS540" s="662">
        <f t="shared" si="211"/>
        <v>0</v>
      </c>
      <c r="CT540" s="662">
        <f t="shared" si="211"/>
        <v>0</v>
      </c>
      <c r="CU540" s="662">
        <f t="shared" si="211"/>
        <v>0</v>
      </c>
      <c r="CV540" s="662">
        <f t="shared" si="211"/>
        <v>0</v>
      </c>
      <c r="CW540" s="662">
        <f t="shared" si="211"/>
        <v>0</v>
      </c>
      <c r="CX540" s="662">
        <f t="shared" si="211"/>
        <v>0</v>
      </c>
      <c r="CY540" s="662">
        <f t="shared" si="211"/>
        <v>0</v>
      </c>
      <c r="CZ540" s="662">
        <f t="shared" si="211"/>
        <v>0</v>
      </c>
      <c r="DA540" s="662">
        <f t="shared" si="211"/>
        <v>0</v>
      </c>
      <c r="DB540" s="662">
        <f t="shared" si="211"/>
        <v>0</v>
      </c>
      <c r="DC540" s="662">
        <f t="shared" si="211"/>
        <v>0</v>
      </c>
      <c r="DD540" s="662">
        <f t="shared" si="211"/>
        <v>0</v>
      </c>
      <c r="DE540" s="662">
        <f t="shared" si="211"/>
        <v>0</v>
      </c>
      <c r="DF540" s="662">
        <f t="shared" si="211"/>
        <v>0</v>
      </c>
      <c r="DG540" s="662">
        <f t="shared" si="211"/>
        <v>0</v>
      </c>
      <c r="DH540" s="663">
        <f t="shared" si="211"/>
        <v>0</v>
      </c>
    </row>
    <row r="541" spans="1:112" s="650" customFormat="1" outlineLevel="1" x14ac:dyDescent="0.3">
      <c r="A541" s="652" t="str">
        <f>IF(J540&gt;0,"Imprimir","")</f>
        <v>Imprimir</v>
      </c>
      <c r="B541" s="722"/>
      <c r="C541" s="664"/>
      <c r="D541" s="665"/>
      <c r="E541" s="665"/>
      <c r="F541" s="665" t="s">
        <v>472</v>
      </c>
      <c r="G541" s="716" t="s">
        <v>2128</v>
      </c>
      <c r="H541" s="665" t="str">
        <f>H487</f>
        <v>Cantidad</v>
      </c>
      <c r="I541" s="665" t="s">
        <v>474</v>
      </c>
      <c r="J541" s="666" t="s">
        <v>29</v>
      </c>
      <c r="K541" s="723"/>
      <c r="L541" s="745"/>
      <c r="M541" s="741"/>
      <c r="N541" s="741"/>
      <c r="O541" s="741"/>
      <c r="P541" s="741"/>
      <c r="Q541" s="741"/>
      <c r="R541" s="741"/>
      <c r="S541" s="741"/>
      <c r="T541" s="741"/>
      <c r="U541" s="741"/>
      <c r="V541" s="741"/>
      <c r="W541" s="741"/>
      <c r="X541" s="741"/>
      <c r="Y541" s="741"/>
      <c r="Z541" s="741"/>
      <c r="AA541" s="741"/>
      <c r="AB541" s="741"/>
      <c r="AC541" s="741"/>
      <c r="AD541" s="741"/>
      <c r="AE541" s="741"/>
      <c r="AF541" s="741"/>
      <c r="AG541" s="741"/>
      <c r="AH541" s="741"/>
      <c r="AI541" s="741"/>
      <c r="AJ541" s="741"/>
      <c r="AK541" s="741"/>
      <c r="AL541" s="741"/>
      <c r="AM541" s="741"/>
      <c r="AN541" s="741"/>
      <c r="AO541" s="741"/>
      <c r="AP541" s="741"/>
      <c r="AQ541" s="741"/>
      <c r="AR541" s="741"/>
      <c r="AS541" s="741"/>
      <c r="AT541" s="741"/>
      <c r="AU541" s="741"/>
      <c r="AV541" s="741"/>
      <c r="AW541" s="741"/>
      <c r="AX541" s="741"/>
      <c r="AY541" s="741"/>
      <c r="AZ541" s="741"/>
      <c r="BA541" s="741"/>
      <c r="BB541" s="741"/>
      <c r="BC541" s="741"/>
      <c r="BD541" s="741"/>
      <c r="BE541" s="741"/>
      <c r="BF541" s="741"/>
      <c r="BG541" s="741"/>
      <c r="BH541" s="724"/>
      <c r="BI541" s="725"/>
      <c r="BJ541" s="669"/>
      <c r="BK541" s="670"/>
      <c r="BL541" s="725"/>
      <c r="BM541" s="671"/>
      <c r="BN541" s="665"/>
      <c r="BO541" s="665"/>
      <c r="BP541" s="665"/>
      <c r="BQ541" s="665"/>
      <c r="BR541" s="665"/>
      <c r="BS541" s="665"/>
      <c r="BT541" s="665"/>
      <c r="BU541" s="665"/>
      <c r="BV541" s="665"/>
      <c r="BW541" s="665"/>
      <c r="BX541" s="665"/>
      <c r="BY541" s="665"/>
      <c r="BZ541" s="665"/>
      <c r="CA541" s="665"/>
      <c r="CB541" s="665"/>
      <c r="CC541" s="665"/>
      <c r="CD541" s="665"/>
      <c r="CE541" s="665"/>
      <c r="CF541" s="665"/>
      <c r="CG541" s="665"/>
      <c r="CH541" s="665"/>
      <c r="CI541" s="665"/>
      <c r="CJ541" s="665"/>
      <c r="CK541" s="665"/>
      <c r="CL541" s="665"/>
      <c r="CM541" s="665"/>
      <c r="CN541" s="665"/>
      <c r="CO541" s="665"/>
      <c r="CP541" s="665"/>
      <c r="CQ541" s="665"/>
      <c r="CR541" s="665"/>
      <c r="CS541" s="665"/>
      <c r="CT541" s="665"/>
      <c r="CU541" s="665"/>
      <c r="CV541" s="665"/>
      <c r="CW541" s="665"/>
      <c r="CX541" s="665"/>
      <c r="CY541" s="665"/>
      <c r="CZ541" s="665"/>
      <c r="DA541" s="665"/>
      <c r="DB541" s="665"/>
      <c r="DC541" s="665"/>
      <c r="DD541" s="665"/>
      <c r="DE541" s="665"/>
      <c r="DF541" s="665"/>
      <c r="DG541" s="665"/>
      <c r="DH541" s="666"/>
    </row>
    <row r="542" spans="1:112" s="649" customFormat="1" ht="15.6" outlineLevel="1" x14ac:dyDescent="0.3">
      <c r="A542" s="652" t="str">
        <f>IF(J542&gt;0,"Imprimir","")</f>
        <v>Imprimir</v>
      </c>
      <c r="B542" s="652"/>
      <c r="C542" s="672"/>
      <c r="D542" s="673"/>
      <c r="E542" s="674" t="s">
        <v>483</v>
      </c>
      <c r="F542" s="675"/>
      <c r="G542" s="726"/>
      <c r="H542" s="676"/>
      <c r="I542" s="677"/>
      <c r="J542" s="219">
        <f>SUBTOTAL(9,J543:J592)</f>
        <v>123094.28571428571</v>
      </c>
      <c r="K542" s="678"/>
      <c r="L542" s="747"/>
      <c r="M542" s="742"/>
      <c r="N542" s="742"/>
      <c r="O542" s="742"/>
      <c r="P542" s="742"/>
      <c r="Q542" s="742"/>
      <c r="R542" s="742"/>
      <c r="S542" s="742"/>
      <c r="T542" s="742"/>
      <c r="U542" s="742"/>
      <c r="V542" s="742"/>
      <c r="W542" s="742"/>
      <c r="X542" s="742"/>
      <c r="Y542" s="742"/>
      <c r="Z542" s="742"/>
      <c r="AA542" s="742"/>
      <c r="AB542" s="742"/>
      <c r="AC542" s="742"/>
      <c r="AD542" s="742"/>
      <c r="AE542" s="742"/>
      <c r="AF542" s="742"/>
      <c r="AG542" s="742"/>
      <c r="AH542" s="742"/>
      <c r="AI542" s="742"/>
      <c r="AJ542" s="742"/>
      <c r="AK542" s="742"/>
      <c r="AL542" s="742"/>
      <c r="AM542" s="742"/>
      <c r="AN542" s="742"/>
      <c r="AO542" s="742"/>
      <c r="AP542" s="742"/>
      <c r="AQ542" s="742"/>
      <c r="AR542" s="742"/>
      <c r="AS542" s="742"/>
      <c r="AT542" s="742"/>
      <c r="AU542" s="742"/>
      <c r="AV542" s="742"/>
      <c r="AW542" s="742"/>
      <c r="AX542" s="742"/>
      <c r="AY542" s="742"/>
      <c r="AZ542" s="742"/>
      <c r="BA542" s="742"/>
      <c r="BB542" s="742"/>
      <c r="BC542" s="742"/>
      <c r="BD542" s="742"/>
      <c r="BE542" s="742"/>
      <c r="BF542" s="742"/>
      <c r="BG542" s="742"/>
      <c r="BH542" s="668"/>
      <c r="BI542" s="654"/>
      <c r="BJ542" s="680"/>
      <c r="BK542" s="681"/>
      <c r="BL542" s="654"/>
      <c r="BM542" s="682"/>
      <c r="BN542" s="683"/>
      <c r="BO542" s="683"/>
      <c r="BP542" s="683"/>
      <c r="BQ542" s="683"/>
      <c r="BR542" s="683"/>
      <c r="BS542" s="683"/>
      <c r="BT542" s="683"/>
      <c r="BU542" s="683"/>
      <c r="BV542" s="683"/>
      <c r="BW542" s="683"/>
      <c r="BX542" s="683"/>
      <c r="BY542" s="683"/>
      <c r="BZ542" s="683"/>
      <c r="CA542" s="683"/>
      <c r="CB542" s="683"/>
      <c r="CC542" s="683"/>
      <c r="CD542" s="683"/>
      <c r="CE542" s="683"/>
      <c r="CF542" s="683"/>
      <c r="CG542" s="683"/>
      <c r="CH542" s="683"/>
      <c r="CI542" s="683"/>
      <c r="CJ542" s="683"/>
      <c r="CK542" s="683"/>
      <c r="CL542" s="683"/>
      <c r="CM542" s="683"/>
      <c r="CN542" s="683"/>
      <c r="CO542" s="683"/>
      <c r="CP542" s="683"/>
      <c r="CQ542" s="683"/>
      <c r="CR542" s="683"/>
      <c r="CS542" s="683"/>
      <c r="CT542" s="683"/>
      <c r="CU542" s="683"/>
      <c r="CV542" s="683"/>
      <c r="CW542" s="683"/>
      <c r="CX542" s="683"/>
      <c r="CY542" s="683"/>
      <c r="CZ542" s="683"/>
      <c r="DA542" s="683"/>
      <c r="DB542" s="683"/>
      <c r="DC542" s="683"/>
      <c r="DD542" s="683"/>
      <c r="DE542" s="683"/>
      <c r="DF542" s="683"/>
      <c r="DG542" s="683"/>
      <c r="DH542" s="684"/>
    </row>
    <row r="543" spans="1:112" s="649" customFormat="1" outlineLevel="1" x14ac:dyDescent="0.3">
      <c r="A543" s="652" t="str">
        <f t="shared" ref="A543:A591" si="212">IF(J543="","",IF(J543=0,"","Imprimir"))</f>
        <v>Imprimir</v>
      </c>
      <c r="B543" s="652"/>
      <c r="C543" s="685"/>
      <c r="D543" s="686" t="s">
        <v>2565</v>
      </c>
      <c r="E543" s="686" t="s">
        <v>484</v>
      </c>
      <c r="F543" s="720"/>
      <c r="G543" s="688">
        <v>442.85714285714283</v>
      </c>
      <c r="H543" s="689">
        <f>Producción!G56*1.4625</f>
        <v>105.3</v>
      </c>
      <c r="I543" s="851">
        <f t="shared" ref="I543:I574" si="213">IF(E543&gt;0,$J$5,"")</f>
        <v>1</v>
      </c>
      <c r="J543" s="852">
        <f t="shared" ref="J543:J591" si="214">IFERROR(G543*H543*I543,"")</f>
        <v>46632.857142857138</v>
      </c>
      <c r="K543" s="667"/>
      <c r="L543" s="858">
        <v>0.04</v>
      </c>
      <c r="M543" s="859">
        <v>0.04</v>
      </c>
      <c r="N543" s="859">
        <v>0.04</v>
      </c>
      <c r="O543" s="859">
        <v>0.04</v>
      </c>
      <c r="P543" s="859">
        <v>0.04</v>
      </c>
      <c r="Q543" s="859">
        <v>0.04</v>
      </c>
      <c r="R543" s="859">
        <v>0.04</v>
      </c>
      <c r="S543" s="859">
        <v>0.04</v>
      </c>
      <c r="T543" s="859">
        <v>0.04</v>
      </c>
      <c r="U543" s="859">
        <v>0.04</v>
      </c>
      <c r="V543" s="859">
        <v>0.04</v>
      </c>
      <c r="W543" s="859">
        <v>0.04</v>
      </c>
      <c r="X543" s="859">
        <v>0.04</v>
      </c>
      <c r="Y543" s="859">
        <v>0.04</v>
      </c>
      <c r="Z543" s="860">
        <v>0.04</v>
      </c>
      <c r="AA543" s="860">
        <v>0.04</v>
      </c>
      <c r="AB543" s="860">
        <v>0.04</v>
      </c>
      <c r="AC543" s="860">
        <v>0.04</v>
      </c>
      <c r="AD543" s="860">
        <v>0.04</v>
      </c>
      <c r="AE543" s="860">
        <v>0.04</v>
      </c>
      <c r="AF543" s="860">
        <v>0.04</v>
      </c>
      <c r="AG543" s="860">
        <v>0.04</v>
      </c>
      <c r="AH543" s="860">
        <v>0.04</v>
      </c>
      <c r="AI543" s="860">
        <v>0.04</v>
      </c>
      <c r="AJ543" s="860">
        <v>0.04</v>
      </c>
      <c r="AK543" s="860"/>
      <c r="AL543" s="860"/>
      <c r="AM543" s="860"/>
      <c r="AN543" s="860"/>
      <c r="AO543" s="860"/>
      <c r="AP543" s="860"/>
      <c r="AQ543" s="860"/>
      <c r="AR543" s="860"/>
      <c r="AS543" s="860"/>
      <c r="AT543" s="860"/>
      <c r="AU543" s="860"/>
      <c r="AV543" s="860"/>
      <c r="AW543" s="860"/>
      <c r="AX543" s="860"/>
      <c r="AY543" s="860"/>
      <c r="AZ543" s="860"/>
      <c r="BA543" s="860"/>
      <c r="BB543" s="860"/>
      <c r="BC543" s="860"/>
      <c r="BD543" s="860"/>
      <c r="BE543" s="860"/>
      <c r="BF543" s="860"/>
      <c r="BG543" s="860"/>
      <c r="BH543" s="668"/>
      <c r="BI543" s="667"/>
      <c r="BJ543" s="690">
        <f t="shared" ref="BJ543:BJ574" si="215">IFERROR(BK543/J543,0)</f>
        <v>0</v>
      </c>
      <c r="BK543" s="691">
        <f t="shared" ref="BK543:BK574" si="216">SUM(BM543:DH543)</f>
        <v>0</v>
      </c>
      <c r="BL543" s="654"/>
      <c r="BM543" s="692">
        <f>SUMIFS(Imput[[Importe Neto]:[Importe Neto]],Imput[[C. Imp.]:[C. Imp.]],$D543,Imput[[PERIODO Imp.]:[PERIODO Imp.]],BM$9)</f>
        <v>0</v>
      </c>
      <c r="BN543" s="693">
        <f>SUMIFS(Imput[[Importe Neto]:[Importe Neto]],Imput[[C. Imp.]:[C. Imp.]],$D543,Imput[[PERIODO Imp.]:[PERIODO Imp.]],BN$9)</f>
        <v>0</v>
      </c>
      <c r="BO543" s="693">
        <f>SUMIFS(Imput[[Importe Neto]:[Importe Neto]],Imput[[C. Imp.]:[C. Imp.]],$D543,Imput[[PERIODO Imp.]:[PERIODO Imp.]],BO$9)</f>
        <v>0</v>
      </c>
      <c r="BP543" s="693">
        <f>SUMIFS(Imput[[Importe Neto]:[Importe Neto]],Imput[[C. Imp.]:[C. Imp.]],$D543,Imput[[PERIODO Imp.]:[PERIODO Imp.]],BP$9)</f>
        <v>0</v>
      </c>
      <c r="BQ543" s="693">
        <f>SUMIFS(Imput[[Importe Neto]:[Importe Neto]],Imput[[C. Imp.]:[C. Imp.]],$D543,Imput[[PERIODO Imp.]:[PERIODO Imp.]],BQ$9)</f>
        <v>0</v>
      </c>
      <c r="BR543" s="693">
        <f>SUMIFS(Imput[[Importe Neto]:[Importe Neto]],Imput[[C. Imp.]:[C. Imp.]],$D543,Imput[[PERIODO Imp.]:[PERIODO Imp.]],BR$9)</f>
        <v>0</v>
      </c>
      <c r="BS543" s="693">
        <f>SUMIFS(Imput[[Importe Neto]:[Importe Neto]],Imput[[C. Imp.]:[C. Imp.]],$D543,Imput[[PERIODO Imp.]:[PERIODO Imp.]],BS$9)</f>
        <v>0</v>
      </c>
      <c r="BT543" s="693">
        <f>SUMIFS(Imput[[Importe Neto]:[Importe Neto]],Imput[[C. Imp.]:[C. Imp.]],$D543,Imput[[PERIODO Imp.]:[PERIODO Imp.]],BT$9)</f>
        <v>0</v>
      </c>
      <c r="BU543" s="693">
        <f>SUMIFS(Imput[[Importe Neto]:[Importe Neto]],Imput[[C. Imp.]:[C. Imp.]],$D543,Imput[[PERIODO Imp.]:[PERIODO Imp.]],BU$9)</f>
        <v>0</v>
      </c>
      <c r="BV543" s="693">
        <f>SUMIFS(Imput[[Importe Neto]:[Importe Neto]],Imput[[C. Imp.]:[C. Imp.]],$D543,Imput[[PERIODO Imp.]:[PERIODO Imp.]],BV$9)</f>
        <v>0</v>
      </c>
      <c r="BW543" s="693">
        <f>SUMIFS(Imput[[Importe Neto]:[Importe Neto]],Imput[[C. Imp.]:[C. Imp.]],$D543,Imput[[PERIODO Imp.]:[PERIODO Imp.]],BW$9)</f>
        <v>0</v>
      </c>
      <c r="BX543" s="693">
        <f>SUMIFS(Imput[[Importe Neto]:[Importe Neto]],Imput[[C. Imp.]:[C. Imp.]],$D543,Imput[[PERIODO Imp.]:[PERIODO Imp.]],BX$9)</f>
        <v>0</v>
      </c>
      <c r="BY543" s="693">
        <f>SUMIFS(Imput[[Importe Neto]:[Importe Neto]],Imput[[C. Imp.]:[C. Imp.]],$D543,Imput[[PERIODO Imp.]:[PERIODO Imp.]],BY$9)</f>
        <v>0</v>
      </c>
      <c r="BZ543" s="693">
        <f>SUMIFS(Imput[[Importe Neto]:[Importe Neto]],Imput[[C. Imp.]:[C. Imp.]],$D543,Imput[[PERIODO Imp.]:[PERIODO Imp.]],BZ$9)</f>
        <v>0</v>
      </c>
      <c r="CA543" s="693">
        <f>SUMIFS(Imput[[Importe Neto]:[Importe Neto]],Imput[[C. Imp.]:[C. Imp.]],$D543,Imput[[PERIODO Imp.]:[PERIODO Imp.]],CA$9)</f>
        <v>0</v>
      </c>
      <c r="CB543" s="693">
        <f>SUMIFS(Imput[[Importe Neto]:[Importe Neto]],Imput[[C. Imp.]:[C. Imp.]],$D543,Imput[[PERIODO Imp.]:[PERIODO Imp.]],CB$9)</f>
        <v>0</v>
      </c>
      <c r="CC543" s="693">
        <f>SUMIFS(Imput[[Importe Neto]:[Importe Neto]],Imput[[C. Imp.]:[C. Imp.]],$D543,Imput[[PERIODO Imp.]:[PERIODO Imp.]],CC$9)</f>
        <v>0</v>
      </c>
      <c r="CD543" s="693">
        <f>SUMIFS(Imput[[Importe Neto]:[Importe Neto]],Imput[[C. Imp.]:[C. Imp.]],$D543,Imput[[PERIODO Imp.]:[PERIODO Imp.]],CD$9)</f>
        <v>0</v>
      </c>
      <c r="CE543" s="693">
        <f>SUMIFS(Imput[[Importe Neto]:[Importe Neto]],Imput[[C. Imp.]:[C. Imp.]],$D543,Imput[[PERIODO Imp.]:[PERIODO Imp.]],CE$9)</f>
        <v>0</v>
      </c>
      <c r="CF543" s="693">
        <f>SUMIFS(Imput[[Importe Neto]:[Importe Neto]],Imput[[C. Imp.]:[C. Imp.]],$D543,Imput[[PERIODO Imp.]:[PERIODO Imp.]],CF$9)</f>
        <v>0</v>
      </c>
      <c r="CG543" s="693">
        <f>SUMIFS(Imput[[Importe Neto]:[Importe Neto]],Imput[[C. Imp.]:[C. Imp.]],$D543,Imput[[PERIODO Imp.]:[PERIODO Imp.]],CG$9)</f>
        <v>0</v>
      </c>
      <c r="CH543" s="693">
        <f>SUMIFS(Imput[[Importe Neto]:[Importe Neto]],Imput[[C. Imp.]:[C. Imp.]],$D543,Imput[[PERIODO Imp.]:[PERIODO Imp.]],CH$9)</f>
        <v>0</v>
      </c>
      <c r="CI543" s="693">
        <f>SUMIFS(Imput[[Importe Neto]:[Importe Neto]],Imput[[C. Imp.]:[C. Imp.]],$D543,Imput[[PERIODO Imp.]:[PERIODO Imp.]],CI$9)</f>
        <v>0</v>
      </c>
      <c r="CJ543" s="693">
        <f>SUMIFS(Imput[[Importe Neto]:[Importe Neto]],Imput[[C. Imp.]:[C. Imp.]],$D543,Imput[[PERIODO Imp.]:[PERIODO Imp.]],CJ$9)</f>
        <v>0</v>
      </c>
      <c r="CK543" s="693">
        <f>SUMIFS(Imput[[Importe Neto]:[Importe Neto]],Imput[[C. Imp.]:[C. Imp.]],$D543,Imput[[PERIODO Imp.]:[PERIODO Imp.]],CK$9)</f>
        <v>0</v>
      </c>
      <c r="CL543" s="693">
        <f>SUMIFS(Imput[[Importe Neto]:[Importe Neto]],Imput[[C. Imp.]:[C. Imp.]],$D543,Imput[[PERIODO Imp.]:[PERIODO Imp.]],CL$9)</f>
        <v>0</v>
      </c>
      <c r="CM543" s="693">
        <f>SUMIFS(Imput[[Importe Neto]:[Importe Neto]],Imput[[C. Imp.]:[C. Imp.]],$D543,Imput[[PERIODO Imp.]:[PERIODO Imp.]],CM$9)</f>
        <v>0</v>
      </c>
      <c r="CN543" s="693">
        <f>SUMIFS(Imput[[Importe Neto]:[Importe Neto]],Imput[[C. Imp.]:[C. Imp.]],$D543,Imput[[PERIODO Imp.]:[PERIODO Imp.]],CN$9)</f>
        <v>0</v>
      </c>
      <c r="CO543" s="693">
        <f>SUMIFS(Imput[[Importe Neto]:[Importe Neto]],Imput[[C. Imp.]:[C. Imp.]],$D543,Imput[[PERIODO Imp.]:[PERIODO Imp.]],CO$9)</f>
        <v>0</v>
      </c>
      <c r="CP543" s="693">
        <f>SUMIFS(Imput[[Importe Neto]:[Importe Neto]],Imput[[C. Imp.]:[C. Imp.]],$D543,Imput[[PERIODO Imp.]:[PERIODO Imp.]],CP$9)</f>
        <v>0</v>
      </c>
      <c r="CQ543" s="693">
        <f>SUMIFS(Imput[[Importe Neto]:[Importe Neto]],Imput[[C. Imp.]:[C. Imp.]],$D543,Imput[[PERIODO Imp.]:[PERIODO Imp.]],CQ$9)</f>
        <v>0</v>
      </c>
      <c r="CR543" s="693">
        <f>SUMIFS(Imput[[Importe Neto]:[Importe Neto]],Imput[[C. Imp.]:[C. Imp.]],$D543,Imput[[PERIODO Imp.]:[PERIODO Imp.]],CR$9)</f>
        <v>0</v>
      </c>
      <c r="CS543" s="693">
        <f>SUMIFS(Imput[[Importe Neto]:[Importe Neto]],Imput[[C. Imp.]:[C. Imp.]],$D543,Imput[[PERIODO Imp.]:[PERIODO Imp.]],CS$9)</f>
        <v>0</v>
      </c>
      <c r="CT543" s="693">
        <f>SUMIFS(Imput[[Importe Neto]:[Importe Neto]],Imput[[C. Imp.]:[C. Imp.]],$D543,Imput[[PERIODO Imp.]:[PERIODO Imp.]],CT$9)</f>
        <v>0</v>
      </c>
      <c r="CU543" s="693">
        <f>SUMIFS(Imput[[Importe Neto]:[Importe Neto]],Imput[[C. Imp.]:[C. Imp.]],$D543,Imput[[PERIODO Imp.]:[PERIODO Imp.]],CU$9)</f>
        <v>0</v>
      </c>
      <c r="CV543" s="693">
        <f>SUMIFS(Imput[[Importe Neto]:[Importe Neto]],Imput[[C. Imp.]:[C. Imp.]],$D543,Imput[[PERIODO Imp.]:[PERIODO Imp.]],CV$9)</f>
        <v>0</v>
      </c>
      <c r="CW543" s="693">
        <f>SUMIFS(Imput[[Importe Neto]:[Importe Neto]],Imput[[C. Imp.]:[C. Imp.]],$D543,Imput[[PERIODO Imp.]:[PERIODO Imp.]],CW$9)</f>
        <v>0</v>
      </c>
      <c r="CX543" s="693">
        <f>SUMIFS(Imput[[Importe Neto]:[Importe Neto]],Imput[[C. Imp.]:[C. Imp.]],$D543,Imput[[PERIODO Imp.]:[PERIODO Imp.]],CX$9)</f>
        <v>0</v>
      </c>
      <c r="CY543" s="693">
        <f>SUMIFS(Imput[[Importe Neto]:[Importe Neto]],Imput[[C. Imp.]:[C. Imp.]],$D543,Imput[[PERIODO Imp.]:[PERIODO Imp.]],CY$9)</f>
        <v>0</v>
      </c>
      <c r="CZ543" s="693">
        <f>SUMIFS(Imput[[Importe Neto]:[Importe Neto]],Imput[[C. Imp.]:[C. Imp.]],$D543,Imput[[PERIODO Imp.]:[PERIODO Imp.]],CZ$9)</f>
        <v>0</v>
      </c>
      <c r="DA543" s="693">
        <f>SUMIFS(Imput[[Importe Neto]:[Importe Neto]],Imput[[C. Imp.]:[C. Imp.]],$D543,Imput[[PERIODO Imp.]:[PERIODO Imp.]],DA$9)</f>
        <v>0</v>
      </c>
      <c r="DB543" s="693">
        <f>SUMIFS(Imput[[Importe Neto]:[Importe Neto]],Imput[[C. Imp.]:[C. Imp.]],$D543,Imput[[PERIODO Imp.]:[PERIODO Imp.]],DB$9)</f>
        <v>0</v>
      </c>
      <c r="DC543" s="693">
        <f>SUMIFS(Imput[[Importe Neto]:[Importe Neto]],Imput[[C. Imp.]:[C. Imp.]],$D543,Imput[[PERIODO Imp.]:[PERIODO Imp.]],DC$9)</f>
        <v>0</v>
      </c>
      <c r="DD543" s="693">
        <f>SUMIFS(Imput[[Importe Neto]:[Importe Neto]],Imput[[C. Imp.]:[C. Imp.]],$D543,Imput[[PERIODO Imp.]:[PERIODO Imp.]],DD$9)</f>
        <v>0</v>
      </c>
      <c r="DE543" s="693">
        <f>SUMIFS(Imput[[Importe Neto]:[Importe Neto]],Imput[[C. Imp.]:[C. Imp.]],$D543,Imput[[PERIODO Imp.]:[PERIODO Imp.]],DE$9)</f>
        <v>0</v>
      </c>
      <c r="DF543" s="693">
        <f>SUMIFS(Imput[[Importe Neto]:[Importe Neto]],Imput[[C. Imp.]:[C. Imp.]],$D543,Imput[[PERIODO Imp.]:[PERIODO Imp.]],DF$9)</f>
        <v>0</v>
      </c>
      <c r="DG543" s="693">
        <f>SUMIFS(Imput[[Importe Neto]:[Importe Neto]],Imput[[C. Imp.]:[C. Imp.]],$D543,Imput[[PERIODO Imp.]:[PERIODO Imp.]],DG$9)</f>
        <v>0</v>
      </c>
      <c r="DH543" s="694">
        <f>SUMIFS(Imput[[Importe Neto]:[Importe Neto]],Imput[[C. Imp.]:[C. Imp.]],$D543,Imput[[PERIODO Imp.]:[PERIODO Imp.]],DH$9)</f>
        <v>0</v>
      </c>
    </row>
    <row r="544" spans="1:112" s="649" customFormat="1" outlineLevel="1" x14ac:dyDescent="0.3">
      <c r="A544" s="652" t="str">
        <f t="shared" si="212"/>
        <v>Imprimir</v>
      </c>
      <c r="B544" s="652"/>
      <c r="C544" s="685"/>
      <c r="D544" s="686" t="s">
        <v>2566</v>
      </c>
      <c r="E544" s="686" t="s">
        <v>485</v>
      </c>
      <c r="F544" s="720"/>
      <c r="G544" s="688">
        <v>442.85714285714283</v>
      </c>
      <c r="H544" s="689">
        <f>Producción!G56*0.275</f>
        <v>19.8</v>
      </c>
      <c r="I544" s="851">
        <f t="shared" si="213"/>
        <v>1</v>
      </c>
      <c r="J544" s="852">
        <f t="shared" si="214"/>
        <v>8768.5714285714275</v>
      </c>
      <c r="K544" s="667"/>
      <c r="L544" s="858">
        <v>0.04</v>
      </c>
      <c r="M544" s="859">
        <v>0.04</v>
      </c>
      <c r="N544" s="859">
        <v>0.04</v>
      </c>
      <c r="O544" s="859">
        <v>0.04</v>
      </c>
      <c r="P544" s="859">
        <v>0.04</v>
      </c>
      <c r="Q544" s="859">
        <v>0.04</v>
      </c>
      <c r="R544" s="859">
        <v>0.04</v>
      </c>
      <c r="S544" s="859">
        <v>0.04</v>
      </c>
      <c r="T544" s="859">
        <v>0.04</v>
      </c>
      <c r="U544" s="859">
        <v>0.04</v>
      </c>
      <c r="V544" s="859">
        <v>0.04</v>
      </c>
      <c r="W544" s="859">
        <v>0.04</v>
      </c>
      <c r="X544" s="859">
        <v>0.04</v>
      </c>
      <c r="Y544" s="859">
        <v>0.04</v>
      </c>
      <c r="Z544" s="860">
        <v>0.04</v>
      </c>
      <c r="AA544" s="860">
        <v>0.04</v>
      </c>
      <c r="AB544" s="860">
        <v>0.04</v>
      </c>
      <c r="AC544" s="860">
        <v>0.04</v>
      </c>
      <c r="AD544" s="860">
        <v>0.04</v>
      </c>
      <c r="AE544" s="860">
        <v>0.04</v>
      </c>
      <c r="AF544" s="860">
        <v>0.04</v>
      </c>
      <c r="AG544" s="860">
        <v>0.04</v>
      </c>
      <c r="AH544" s="860">
        <v>0.04</v>
      </c>
      <c r="AI544" s="860">
        <v>0.04</v>
      </c>
      <c r="AJ544" s="860">
        <v>0.04</v>
      </c>
      <c r="AK544" s="860"/>
      <c r="AL544" s="860"/>
      <c r="AM544" s="860"/>
      <c r="AN544" s="860"/>
      <c r="AO544" s="860"/>
      <c r="AP544" s="860"/>
      <c r="AQ544" s="860"/>
      <c r="AR544" s="860"/>
      <c r="AS544" s="860"/>
      <c r="AT544" s="860"/>
      <c r="AU544" s="860"/>
      <c r="AV544" s="860"/>
      <c r="AW544" s="860"/>
      <c r="AX544" s="860"/>
      <c r="AY544" s="860"/>
      <c r="AZ544" s="860"/>
      <c r="BA544" s="860"/>
      <c r="BB544" s="860"/>
      <c r="BC544" s="860"/>
      <c r="BD544" s="860"/>
      <c r="BE544" s="860"/>
      <c r="BF544" s="860"/>
      <c r="BG544" s="860"/>
      <c r="BH544" s="668"/>
      <c r="BI544" s="667"/>
      <c r="BJ544" s="690">
        <f t="shared" si="215"/>
        <v>0</v>
      </c>
      <c r="BK544" s="691">
        <f t="shared" si="216"/>
        <v>0</v>
      </c>
      <c r="BL544" s="654"/>
      <c r="BM544" s="692">
        <f>SUMIFS(Imput[[Importe Neto]:[Importe Neto]],Imput[[C. Imp.]:[C. Imp.]],$D544,Imput[[PERIODO Imp.]:[PERIODO Imp.]],BM$9)</f>
        <v>0</v>
      </c>
      <c r="BN544" s="693">
        <f>SUMIFS(Imput[[Importe Neto]:[Importe Neto]],Imput[[C. Imp.]:[C. Imp.]],$D544,Imput[[PERIODO Imp.]:[PERIODO Imp.]],BN$9)</f>
        <v>0</v>
      </c>
      <c r="BO544" s="693">
        <f>SUMIFS(Imput[[Importe Neto]:[Importe Neto]],Imput[[C. Imp.]:[C. Imp.]],$D544,Imput[[PERIODO Imp.]:[PERIODO Imp.]],BO$9)</f>
        <v>0</v>
      </c>
      <c r="BP544" s="693">
        <f>SUMIFS(Imput[[Importe Neto]:[Importe Neto]],Imput[[C. Imp.]:[C. Imp.]],$D544,Imput[[PERIODO Imp.]:[PERIODO Imp.]],BP$9)</f>
        <v>0</v>
      </c>
      <c r="BQ544" s="693">
        <f>SUMIFS(Imput[[Importe Neto]:[Importe Neto]],Imput[[C. Imp.]:[C. Imp.]],$D544,Imput[[PERIODO Imp.]:[PERIODO Imp.]],BQ$9)</f>
        <v>0</v>
      </c>
      <c r="BR544" s="693">
        <f>SUMIFS(Imput[[Importe Neto]:[Importe Neto]],Imput[[C. Imp.]:[C. Imp.]],$D544,Imput[[PERIODO Imp.]:[PERIODO Imp.]],BR$9)</f>
        <v>0</v>
      </c>
      <c r="BS544" s="693">
        <f>SUMIFS(Imput[[Importe Neto]:[Importe Neto]],Imput[[C. Imp.]:[C. Imp.]],$D544,Imput[[PERIODO Imp.]:[PERIODO Imp.]],BS$9)</f>
        <v>0</v>
      </c>
      <c r="BT544" s="693">
        <f>SUMIFS(Imput[[Importe Neto]:[Importe Neto]],Imput[[C. Imp.]:[C. Imp.]],$D544,Imput[[PERIODO Imp.]:[PERIODO Imp.]],BT$9)</f>
        <v>0</v>
      </c>
      <c r="BU544" s="693">
        <f>SUMIFS(Imput[[Importe Neto]:[Importe Neto]],Imput[[C. Imp.]:[C. Imp.]],$D544,Imput[[PERIODO Imp.]:[PERIODO Imp.]],BU$9)</f>
        <v>0</v>
      </c>
      <c r="BV544" s="693">
        <f>SUMIFS(Imput[[Importe Neto]:[Importe Neto]],Imput[[C. Imp.]:[C. Imp.]],$D544,Imput[[PERIODO Imp.]:[PERIODO Imp.]],BV$9)</f>
        <v>0</v>
      </c>
      <c r="BW544" s="693">
        <f>SUMIFS(Imput[[Importe Neto]:[Importe Neto]],Imput[[C. Imp.]:[C. Imp.]],$D544,Imput[[PERIODO Imp.]:[PERIODO Imp.]],BW$9)</f>
        <v>0</v>
      </c>
      <c r="BX544" s="693">
        <f>SUMIFS(Imput[[Importe Neto]:[Importe Neto]],Imput[[C. Imp.]:[C. Imp.]],$D544,Imput[[PERIODO Imp.]:[PERIODO Imp.]],BX$9)</f>
        <v>0</v>
      </c>
      <c r="BY544" s="693">
        <f>SUMIFS(Imput[[Importe Neto]:[Importe Neto]],Imput[[C. Imp.]:[C. Imp.]],$D544,Imput[[PERIODO Imp.]:[PERIODO Imp.]],BY$9)</f>
        <v>0</v>
      </c>
      <c r="BZ544" s="693">
        <f>SUMIFS(Imput[[Importe Neto]:[Importe Neto]],Imput[[C. Imp.]:[C. Imp.]],$D544,Imput[[PERIODO Imp.]:[PERIODO Imp.]],BZ$9)</f>
        <v>0</v>
      </c>
      <c r="CA544" s="693">
        <f>SUMIFS(Imput[[Importe Neto]:[Importe Neto]],Imput[[C. Imp.]:[C. Imp.]],$D544,Imput[[PERIODO Imp.]:[PERIODO Imp.]],CA$9)</f>
        <v>0</v>
      </c>
      <c r="CB544" s="693">
        <f>SUMIFS(Imput[[Importe Neto]:[Importe Neto]],Imput[[C. Imp.]:[C. Imp.]],$D544,Imput[[PERIODO Imp.]:[PERIODO Imp.]],CB$9)</f>
        <v>0</v>
      </c>
      <c r="CC544" s="693">
        <f>SUMIFS(Imput[[Importe Neto]:[Importe Neto]],Imput[[C. Imp.]:[C. Imp.]],$D544,Imput[[PERIODO Imp.]:[PERIODO Imp.]],CC$9)</f>
        <v>0</v>
      </c>
      <c r="CD544" s="693">
        <f>SUMIFS(Imput[[Importe Neto]:[Importe Neto]],Imput[[C. Imp.]:[C. Imp.]],$D544,Imput[[PERIODO Imp.]:[PERIODO Imp.]],CD$9)</f>
        <v>0</v>
      </c>
      <c r="CE544" s="693">
        <f>SUMIFS(Imput[[Importe Neto]:[Importe Neto]],Imput[[C. Imp.]:[C. Imp.]],$D544,Imput[[PERIODO Imp.]:[PERIODO Imp.]],CE$9)</f>
        <v>0</v>
      </c>
      <c r="CF544" s="693">
        <f>SUMIFS(Imput[[Importe Neto]:[Importe Neto]],Imput[[C. Imp.]:[C. Imp.]],$D544,Imput[[PERIODO Imp.]:[PERIODO Imp.]],CF$9)</f>
        <v>0</v>
      </c>
      <c r="CG544" s="693">
        <f>SUMIFS(Imput[[Importe Neto]:[Importe Neto]],Imput[[C. Imp.]:[C. Imp.]],$D544,Imput[[PERIODO Imp.]:[PERIODO Imp.]],CG$9)</f>
        <v>0</v>
      </c>
      <c r="CH544" s="693">
        <f>SUMIFS(Imput[[Importe Neto]:[Importe Neto]],Imput[[C. Imp.]:[C. Imp.]],$D544,Imput[[PERIODO Imp.]:[PERIODO Imp.]],CH$9)</f>
        <v>0</v>
      </c>
      <c r="CI544" s="693">
        <f>SUMIFS(Imput[[Importe Neto]:[Importe Neto]],Imput[[C. Imp.]:[C. Imp.]],$D544,Imput[[PERIODO Imp.]:[PERIODO Imp.]],CI$9)</f>
        <v>0</v>
      </c>
      <c r="CJ544" s="693">
        <f>SUMIFS(Imput[[Importe Neto]:[Importe Neto]],Imput[[C. Imp.]:[C. Imp.]],$D544,Imput[[PERIODO Imp.]:[PERIODO Imp.]],CJ$9)</f>
        <v>0</v>
      </c>
      <c r="CK544" s="693">
        <f>SUMIFS(Imput[[Importe Neto]:[Importe Neto]],Imput[[C. Imp.]:[C. Imp.]],$D544,Imput[[PERIODO Imp.]:[PERIODO Imp.]],CK$9)</f>
        <v>0</v>
      </c>
      <c r="CL544" s="693">
        <f>SUMIFS(Imput[[Importe Neto]:[Importe Neto]],Imput[[C. Imp.]:[C. Imp.]],$D544,Imput[[PERIODO Imp.]:[PERIODO Imp.]],CL$9)</f>
        <v>0</v>
      </c>
      <c r="CM544" s="693">
        <f>SUMIFS(Imput[[Importe Neto]:[Importe Neto]],Imput[[C. Imp.]:[C. Imp.]],$D544,Imput[[PERIODO Imp.]:[PERIODO Imp.]],CM$9)</f>
        <v>0</v>
      </c>
      <c r="CN544" s="693">
        <f>SUMIFS(Imput[[Importe Neto]:[Importe Neto]],Imput[[C. Imp.]:[C. Imp.]],$D544,Imput[[PERIODO Imp.]:[PERIODO Imp.]],CN$9)</f>
        <v>0</v>
      </c>
      <c r="CO544" s="693">
        <f>SUMIFS(Imput[[Importe Neto]:[Importe Neto]],Imput[[C. Imp.]:[C. Imp.]],$D544,Imput[[PERIODO Imp.]:[PERIODO Imp.]],CO$9)</f>
        <v>0</v>
      </c>
      <c r="CP544" s="693">
        <f>SUMIFS(Imput[[Importe Neto]:[Importe Neto]],Imput[[C. Imp.]:[C. Imp.]],$D544,Imput[[PERIODO Imp.]:[PERIODO Imp.]],CP$9)</f>
        <v>0</v>
      </c>
      <c r="CQ544" s="693">
        <f>SUMIFS(Imput[[Importe Neto]:[Importe Neto]],Imput[[C. Imp.]:[C. Imp.]],$D544,Imput[[PERIODO Imp.]:[PERIODO Imp.]],CQ$9)</f>
        <v>0</v>
      </c>
      <c r="CR544" s="693">
        <f>SUMIFS(Imput[[Importe Neto]:[Importe Neto]],Imput[[C. Imp.]:[C. Imp.]],$D544,Imput[[PERIODO Imp.]:[PERIODO Imp.]],CR$9)</f>
        <v>0</v>
      </c>
      <c r="CS544" s="693">
        <f>SUMIFS(Imput[[Importe Neto]:[Importe Neto]],Imput[[C. Imp.]:[C. Imp.]],$D544,Imput[[PERIODO Imp.]:[PERIODO Imp.]],CS$9)</f>
        <v>0</v>
      </c>
      <c r="CT544" s="693">
        <f>SUMIFS(Imput[[Importe Neto]:[Importe Neto]],Imput[[C. Imp.]:[C. Imp.]],$D544,Imput[[PERIODO Imp.]:[PERIODO Imp.]],CT$9)</f>
        <v>0</v>
      </c>
      <c r="CU544" s="693">
        <f>SUMIFS(Imput[[Importe Neto]:[Importe Neto]],Imput[[C. Imp.]:[C. Imp.]],$D544,Imput[[PERIODO Imp.]:[PERIODO Imp.]],CU$9)</f>
        <v>0</v>
      </c>
      <c r="CV544" s="693">
        <f>SUMIFS(Imput[[Importe Neto]:[Importe Neto]],Imput[[C. Imp.]:[C. Imp.]],$D544,Imput[[PERIODO Imp.]:[PERIODO Imp.]],CV$9)</f>
        <v>0</v>
      </c>
      <c r="CW544" s="693">
        <f>SUMIFS(Imput[[Importe Neto]:[Importe Neto]],Imput[[C. Imp.]:[C. Imp.]],$D544,Imput[[PERIODO Imp.]:[PERIODO Imp.]],CW$9)</f>
        <v>0</v>
      </c>
      <c r="CX544" s="693">
        <f>SUMIFS(Imput[[Importe Neto]:[Importe Neto]],Imput[[C. Imp.]:[C. Imp.]],$D544,Imput[[PERIODO Imp.]:[PERIODO Imp.]],CX$9)</f>
        <v>0</v>
      </c>
      <c r="CY544" s="693">
        <f>SUMIFS(Imput[[Importe Neto]:[Importe Neto]],Imput[[C. Imp.]:[C. Imp.]],$D544,Imput[[PERIODO Imp.]:[PERIODO Imp.]],CY$9)</f>
        <v>0</v>
      </c>
      <c r="CZ544" s="693">
        <f>SUMIFS(Imput[[Importe Neto]:[Importe Neto]],Imput[[C. Imp.]:[C. Imp.]],$D544,Imput[[PERIODO Imp.]:[PERIODO Imp.]],CZ$9)</f>
        <v>0</v>
      </c>
      <c r="DA544" s="693">
        <f>SUMIFS(Imput[[Importe Neto]:[Importe Neto]],Imput[[C. Imp.]:[C. Imp.]],$D544,Imput[[PERIODO Imp.]:[PERIODO Imp.]],DA$9)</f>
        <v>0</v>
      </c>
      <c r="DB544" s="693">
        <f>SUMIFS(Imput[[Importe Neto]:[Importe Neto]],Imput[[C. Imp.]:[C. Imp.]],$D544,Imput[[PERIODO Imp.]:[PERIODO Imp.]],DB$9)</f>
        <v>0</v>
      </c>
      <c r="DC544" s="693">
        <f>SUMIFS(Imput[[Importe Neto]:[Importe Neto]],Imput[[C. Imp.]:[C. Imp.]],$D544,Imput[[PERIODO Imp.]:[PERIODO Imp.]],DC$9)</f>
        <v>0</v>
      </c>
      <c r="DD544" s="693">
        <f>SUMIFS(Imput[[Importe Neto]:[Importe Neto]],Imput[[C. Imp.]:[C. Imp.]],$D544,Imput[[PERIODO Imp.]:[PERIODO Imp.]],DD$9)</f>
        <v>0</v>
      </c>
      <c r="DE544" s="693">
        <f>SUMIFS(Imput[[Importe Neto]:[Importe Neto]],Imput[[C. Imp.]:[C. Imp.]],$D544,Imput[[PERIODO Imp.]:[PERIODO Imp.]],DE$9)</f>
        <v>0</v>
      </c>
      <c r="DF544" s="693">
        <f>SUMIFS(Imput[[Importe Neto]:[Importe Neto]],Imput[[C. Imp.]:[C. Imp.]],$D544,Imput[[PERIODO Imp.]:[PERIODO Imp.]],DF$9)</f>
        <v>0</v>
      </c>
      <c r="DG544" s="693">
        <f>SUMIFS(Imput[[Importe Neto]:[Importe Neto]],Imput[[C. Imp.]:[C. Imp.]],$D544,Imput[[PERIODO Imp.]:[PERIODO Imp.]],DG$9)</f>
        <v>0</v>
      </c>
      <c r="DH544" s="694">
        <f>SUMIFS(Imput[[Importe Neto]:[Importe Neto]],Imput[[C. Imp.]:[C. Imp.]],$D544,Imput[[PERIODO Imp.]:[PERIODO Imp.]],DH$9)</f>
        <v>0</v>
      </c>
    </row>
    <row r="545" spans="1:112" s="649" customFormat="1" outlineLevel="1" x14ac:dyDescent="0.3">
      <c r="A545" s="652" t="str">
        <f t="shared" si="212"/>
        <v>Imprimir</v>
      </c>
      <c r="B545" s="652"/>
      <c r="C545" s="685"/>
      <c r="D545" s="686" t="s">
        <v>2567</v>
      </c>
      <c r="E545" s="686" t="s">
        <v>486</v>
      </c>
      <c r="F545" s="720"/>
      <c r="G545" s="688">
        <v>642.85714285714289</v>
      </c>
      <c r="H545" s="689">
        <f>Producción!G56*1.4625</f>
        <v>105.3</v>
      </c>
      <c r="I545" s="851">
        <f t="shared" si="213"/>
        <v>1</v>
      </c>
      <c r="J545" s="852">
        <f t="shared" si="214"/>
        <v>67692.857142857145</v>
      </c>
      <c r="K545" s="667"/>
      <c r="L545" s="858">
        <v>0.04</v>
      </c>
      <c r="M545" s="859">
        <v>0.04</v>
      </c>
      <c r="N545" s="859">
        <v>0.04</v>
      </c>
      <c r="O545" s="859">
        <v>0.04</v>
      </c>
      <c r="P545" s="859">
        <v>0.04</v>
      </c>
      <c r="Q545" s="859">
        <v>0.04</v>
      </c>
      <c r="R545" s="859">
        <v>0.04</v>
      </c>
      <c r="S545" s="859">
        <v>0.04</v>
      </c>
      <c r="T545" s="859">
        <v>0.04</v>
      </c>
      <c r="U545" s="859">
        <v>0.04</v>
      </c>
      <c r="V545" s="859">
        <v>0.04</v>
      </c>
      <c r="W545" s="859">
        <v>0.04</v>
      </c>
      <c r="X545" s="859">
        <v>0.04</v>
      </c>
      <c r="Y545" s="859">
        <v>0.04</v>
      </c>
      <c r="Z545" s="860">
        <v>0.04</v>
      </c>
      <c r="AA545" s="860">
        <v>0.04</v>
      </c>
      <c r="AB545" s="860">
        <v>0.04</v>
      </c>
      <c r="AC545" s="860">
        <v>0.04</v>
      </c>
      <c r="AD545" s="860">
        <v>0.04</v>
      </c>
      <c r="AE545" s="860">
        <v>0.04</v>
      </c>
      <c r="AF545" s="860">
        <v>0.04</v>
      </c>
      <c r="AG545" s="860">
        <v>0.04</v>
      </c>
      <c r="AH545" s="860">
        <v>0.04</v>
      </c>
      <c r="AI545" s="860">
        <v>0.04</v>
      </c>
      <c r="AJ545" s="860">
        <v>0.04</v>
      </c>
      <c r="AK545" s="860"/>
      <c r="AL545" s="860"/>
      <c r="AM545" s="860"/>
      <c r="AN545" s="860"/>
      <c r="AO545" s="860"/>
      <c r="AP545" s="860"/>
      <c r="AQ545" s="860"/>
      <c r="AR545" s="860"/>
      <c r="AS545" s="860"/>
      <c r="AT545" s="860"/>
      <c r="AU545" s="860"/>
      <c r="AV545" s="860"/>
      <c r="AW545" s="860"/>
      <c r="AX545" s="860"/>
      <c r="AY545" s="860"/>
      <c r="AZ545" s="860"/>
      <c r="BA545" s="860"/>
      <c r="BB545" s="860"/>
      <c r="BC545" s="860"/>
      <c r="BD545" s="860"/>
      <c r="BE545" s="860"/>
      <c r="BF545" s="860"/>
      <c r="BG545" s="860"/>
      <c r="BH545" s="668"/>
      <c r="BI545" s="667"/>
      <c r="BJ545" s="690">
        <f t="shared" si="215"/>
        <v>0</v>
      </c>
      <c r="BK545" s="691">
        <f t="shared" si="216"/>
        <v>0</v>
      </c>
      <c r="BL545" s="654"/>
      <c r="BM545" s="692">
        <f>SUMIFS(Imput[[Importe Neto]:[Importe Neto]],Imput[[C. Imp.]:[C. Imp.]],$D545,Imput[[PERIODO Imp.]:[PERIODO Imp.]],BM$9)</f>
        <v>0</v>
      </c>
      <c r="BN545" s="693">
        <f>SUMIFS(Imput[[Importe Neto]:[Importe Neto]],Imput[[C. Imp.]:[C. Imp.]],$D545,Imput[[PERIODO Imp.]:[PERIODO Imp.]],BN$9)</f>
        <v>0</v>
      </c>
      <c r="BO545" s="693">
        <f>SUMIFS(Imput[[Importe Neto]:[Importe Neto]],Imput[[C. Imp.]:[C. Imp.]],$D545,Imput[[PERIODO Imp.]:[PERIODO Imp.]],BO$9)</f>
        <v>0</v>
      </c>
      <c r="BP545" s="693">
        <f>SUMIFS(Imput[[Importe Neto]:[Importe Neto]],Imput[[C. Imp.]:[C. Imp.]],$D545,Imput[[PERIODO Imp.]:[PERIODO Imp.]],BP$9)</f>
        <v>0</v>
      </c>
      <c r="BQ545" s="693">
        <f>SUMIFS(Imput[[Importe Neto]:[Importe Neto]],Imput[[C. Imp.]:[C. Imp.]],$D545,Imput[[PERIODO Imp.]:[PERIODO Imp.]],BQ$9)</f>
        <v>0</v>
      </c>
      <c r="BR545" s="693">
        <f>SUMIFS(Imput[[Importe Neto]:[Importe Neto]],Imput[[C. Imp.]:[C. Imp.]],$D545,Imput[[PERIODO Imp.]:[PERIODO Imp.]],BR$9)</f>
        <v>0</v>
      </c>
      <c r="BS545" s="693">
        <f>SUMIFS(Imput[[Importe Neto]:[Importe Neto]],Imput[[C. Imp.]:[C. Imp.]],$D545,Imput[[PERIODO Imp.]:[PERIODO Imp.]],BS$9)</f>
        <v>0</v>
      </c>
      <c r="BT545" s="693">
        <f>SUMIFS(Imput[[Importe Neto]:[Importe Neto]],Imput[[C. Imp.]:[C. Imp.]],$D545,Imput[[PERIODO Imp.]:[PERIODO Imp.]],BT$9)</f>
        <v>0</v>
      </c>
      <c r="BU545" s="693">
        <f>SUMIFS(Imput[[Importe Neto]:[Importe Neto]],Imput[[C. Imp.]:[C. Imp.]],$D545,Imput[[PERIODO Imp.]:[PERIODO Imp.]],BU$9)</f>
        <v>0</v>
      </c>
      <c r="BV545" s="693">
        <f>SUMIFS(Imput[[Importe Neto]:[Importe Neto]],Imput[[C. Imp.]:[C. Imp.]],$D545,Imput[[PERIODO Imp.]:[PERIODO Imp.]],BV$9)</f>
        <v>0</v>
      </c>
      <c r="BW545" s="693">
        <f>SUMIFS(Imput[[Importe Neto]:[Importe Neto]],Imput[[C. Imp.]:[C. Imp.]],$D545,Imput[[PERIODO Imp.]:[PERIODO Imp.]],BW$9)</f>
        <v>0</v>
      </c>
      <c r="BX545" s="693">
        <f>SUMIFS(Imput[[Importe Neto]:[Importe Neto]],Imput[[C. Imp.]:[C. Imp.]],$D545,Imput[[PERIODO Imp.]:[PERIODO Imp.]],BX$9)</f>
        <v>0</v>
      </c>
      <c r="BY545" s="693">
        <f>SUMIFS(Imput[[Importe Neto]:[Importe Neto]],Imput[[C. Imp.]:[C. Imp.]],$D545,Imput[[PERIODO Imp.]:[PERIODO Imp.]],BY$9)</f>
        <v>0</v>
      </c>
      <c r="BZ545" s="693">
        <f>SUMIFS(Imput[[Importe Neto]:[Importe Neto]],Imput[[C. Imp.]:[C. Imp.]],$D545,Imput[[PERIODO Imp.]:[PERIODO Imp.]],BZ$9)</f>
        <v>0</v>
      </c>
      <c r="CA545" s="693">
        <f>SUMIFS(Imput[[Importe Neto]:[Importe Neto]],Imput[[C. Imp.]:[C. Imp.]],$D545,Imput[[PERIODO Imp.]:[PERIODO Imp.]],CA$9)</f>
        <v>0</v>
      </c>
      <c r="CB545" s="693">
        <f>SUMIFS(Imput[[Importe Neto]:[Importe Neto]],Imput[[C. Imp.]:[C. Imp.]],$D545,Imput[[PERIODO Imp.]:[PERIODO Imp.]],CB$9)</f>
        <v>0</v>
      </c>
      <c r="CC545" s="693">
        <f>SUMIFS(Imput[[Importe Neto]:[Importe Neto]],Imput[[C. Imp.]:[C. Imp.]],$D545,Imput[[PERIODO Imp.]:[PERIODO Imp.]],CC$9)</f>
        <v>0</v>
      </c>
      <c r="CD545" s="693">
        <f>SUMIFS(Imput[[Importe Neto]:[Importe Neto]],Imput[[C. Imp.]:[C. Imp.]],$D545,Imput[[PERIODO Imp.]:[PERIODO Imp.]],CD$9)</f>
        <v>0</v>
      </c>
      <c r="CE545" s="693">
        <f>SUMIFS(Imput[[Importe Neto]:[Importe Neto]],Imput[[C. Imp.]:[C. Imp.]],$D545,Imput[[PERIODO Imp.]:[PERIODO Imp.]],CE$9)</f>
        <v>0</v>
      </c>
      <c r="CF545" s="693">
        <f>SUMIFS(Imput[[Importe Neto]:[Importe Neto]],Imput[[C. Imp.]:[C. Imp.]],$D545,Imput[[PERIODO Imp.]:[PERIODO Imp.]],CF$9)</f>
        <v>0</v>
      </c>
      <c r="CG545" s="693">
        <f>SUMIFS(Imput[[Importe Neto]:[Importe Neto]],Imput[[C. Imp.]:[C. Imp.]],$D545,Imput[[PERIODO Imp.]:[PERIODO Imp.]],CG$9)</f>
        <v>0</v>
      </c>
      <c r="CH545" s="693">
        <f>SUMIFS(Imput[[Importe Neto]:[Importe Neto]],Imput[[C. Imp.]:[C. Imp.]],$D545,Imput[[PERIODO Imp.]:[PERIODO Imp.]],CH$9)</f>
        <v>0</v>
      </c>
      <c r="CI545" s="693">
        <f>SUMIFS(Imput[[Importe Neto]:[Importe Neto]],Imput[[C. Imp.]:[C. Imp.]],$D545,Imput[[PERIODO Imp.]:[PERIODO Imp.]],CI$9)</f>
        <v>0</v>
      </c>
      <c r="CJ545" s="693">
        <f>SUMIFS(Imput[[Importe Neto]:[Importe Neto]],Imput[[C. Imp.]:[C. Imp.]],$D545,Imput[[PERIODO Imp.]:[PERIODO Imp.]],CJ$9)</f>
        <v>0</v>
      </c>
      <c r="CK545" s="693">
        <f>SUMIFS(Imput[[Importe Neto]:[Importe Neto]],Imput[[C. Imp.]:[C. Imp.]],$D545,Imput[[PERIODO Imp.]:[PERIODO Imp.]],CK$9)</f>
        <v>0</v>
      </c>
      <c r="CL545" s="693">
        <f>SUMIFS(Imput[[Importe Neto]:[Importe Neto]],Imput[[C. Imp.]:[C. Imp.]],$D545,Imput[[PERIODO Imp.]:[PERIODO Imp.]],CL$9)</f>
        <v>0</v>
      </c>
      <c r="CM545" s="693">
        <f>SUMIFS(Imput[[Importe Neto]:[Importe Neto]],Imput[[C. Imp.]:[C. Imp.]],$D545,Imput[[PERIODO Imp.]:[PERIODO Imp.]],CM$9)</f>
        <v>0</v>
      </c>
      <c r="CN545" s="693">
        <f>SUMIFS(Imput[[Importe Neto]:[Importe Neto]],Imput[[C. Imp.]:[C. Imp.]],$D545,Imput[[PERIODO Imp.]:[PERIODO Imp.]],CN$9)</f>
        <v>0</v>
      </c>
      <c r="CO545" s="693">
        <f>SUMIFS(Imput[[Importe Neto]:[Importe Neto]],Imput[[C. Imp.]:[C. Imp.]],$D545,Imput[[PERIODO Imp.]:[PERIODO Imp.]],CO$9)</f>
        <v>0</v>
      </c>
      <c r="CP545" s="693">
        <f>SUMIFS(Imput[[Importe Neto]:[Importe Neto]],Imput[[C. Imp.]:[C. Imp.]],$D545,Imput[[PERIODO Imp.]:[PERIODO Imp.]],CP$9)</f>
        <v>0</v>
      </c>
      <c r="CQ545" s="693">
        <f>SUMIFS(Imput[[Importe Neto]:[Importe Neto]],Imput[[C. Imp.]:[C. Imp.]],$D545,Imput[[PERIODO Imp.]:[PERIODO Imp.]],CQ$9)</f>
        <v>0</v>
      </c>
      <c r="CR545" s="693">
        <f>SUMIFS(Imput[[Importe Neto]:[Importe Neto]],Imput[[C. Imp.]:[C. Imp.]],$D545,Imput[[PERIODO Imp.]:[PERIODO Imp.]],CR$9)</f>
        <v>0</v>
      </c>
      <c r="CS545" s="693">
        <f>SUMIFS(Imput[[Importe Neto]:[Importe Neto]],Imput[[C. Imp.]:[C. Imp.]],$D545,Imput[[PERIODO Imp.]:[PERIODO Imp.]],CS$9)</f>
        <v>0</v>
      </c>
      <c r="CT545" s="693">
        <f>SUMIFS(Imput[[Importe Neto]:[Importe Neto]],Imput[[C. Imp.]:[C. Imp.]],$D545,Imput[[PERIODO Imp.]:[PERIODO Imp.]],CT$9)</f>
        <v>0</v>
      </c>
      <c r="CU545" s="693">
        <f>SUMIFS(Imput[[Importe Neto]:[Importe Neto]],Imput[[C. Imp.]:[C. Imp.]],$D545,Imput[[PERIODO Imp.]:[PERIODO Imp.]],CU$9)</f>
        <v>0</v>
      </c>
      <c r="CV545" s="693">
        <f>SUMIFS(Imput[[Importe Neto]:[Importe Neto]],Imput[[C. Imp.]:[C. Imp.]],$D545,Imput[[PERIODO Imp.]:[PERIODO Imp.]],CV$9)</f>
        <v>0</v>
      </c>
      <c r="CW545" s="693">
        <f>SUMIFS(Imput[[Importe Neto]:[Importe Neto]],Imput[[C. Imp.]:[C. Imp.]],$D545,Imput[[PERIODO Imp.]:[PERIODO Imp.]],CW$9)</f>
        <v>0</v>
      </c>
      <c r="CX545" s="693">
        <f>SUMIFS(Imput[[Importe Neto]:[Importe Neto]],Imput[[C. Imp.]:[C. Imp.]],$D545,Imput[[PERIODO Imp.]:[PERIODO Imp.]],CX$9)</f>
        <v>0</v>
      </c>
      <c r="CY545" s="693">
        <f>SUMIFS(Imput[[Importe Neto]:[Importe Neto]],Imput[[C. Imp.]:[C. Imp.]],$D545,Imput[[PERIODO Imp.]:[PERIODO Imp.]],CY$9)</f>
        <v>0</v>
      </c>
      <c r="CZ545" s="693">
        <f>SUMIFS(Imput[[Importe Neto]:[Importe Neto]],Imput[[C. Imp.]:[C. Imp.]],$D545,Imput[[PERIODO Imp.]:[PERIODO Imp.]],CZ$9)</f>
        <v>0</v>
      </c>
      <c r="DA545" s="693">
        <f>SUMIFS(Imput[[Importe Neto]:[Importe Neto]],Imput[[C. Imp.]:[C. Imp.]],$D545,Imput[[PERIODO Imp.]:[PERIODO Imp.]],DA$9)</f>
        <v>0</v>
      </c>
      <c r="DB545" s="693">
        <f>SUMIFS(Imput[[Importe Neto]:[Importe Neto]],Imput[[C. Imp.]:[C. Imp.]],$D545,Imput[[PERIODO Imp.]:[PERIODO Imp.]],DB$9)</f>
        <v>0</v>
      </c>
      <c r="DC545" s="693">
        <f>SUMIFS(Imput[[Importe Neto]:[Importe Neto]],Imput[[C. Imp.]:[C. Imp.]],$D545,Imput[[PERIODO Imp.]:[PERIODO Imp.]],DC$9)</f>
        <v>0</v>
      </c>
      <c r="DD545" s="693">
        <f>SUMIFS(Imput[[Importe Neto]:[Importe Neto]],Imput[[C. Imp.]:[C. Imp.]],$D545,Imput[[PERIODO Imp.]:[PERIODO Imp.]],DD$9)</f>
        <v>0</v>
      </c>
      <c r="DE545" s="693">
        <f>SUMIFS(Imput[[Importe Neto]:[Importe Neto]],Imput[[C. Imp.]:[C. Imp.]],$D545,Imput[[PERIODO Imp.]:[PERIODO Imp.]],DE$9)</f>
        <v>0</v>
      </c>
      <c r="DF545" s="693">
        <f>SUMIFS(Imput[[Importe Neto]:[Importe Neto]],Imput[[C. Imp.]:[C. Imp.]],$D545,Imput[[PERIODO Imp.]:[PERIODO Imp.]],DF$9)</f>
        <v>0</v>
      </c>
      <c r="DG545" s="693">
        <f>SUMIFS(Imput[[Importe Neto]:[Importe Neto]],Imput[[C. Imp.]:[C. Imp.]],$D545,Imput[[PERIODO Imp.]:[PERIODO Imp.]],DG$9)</f>
        <v>0</v>
      </c>
      <c r="DH545" s="694">
        <f>SUMIFS(Imput[[Importe Neto]:[Importe Neto]],Imput[[C. Imp.]:[C. Imp.]],$D545,Imput[[PERIODO Imp.]:[PERIODO Imp.]],DH$9)</f>
        <v>0</v>
      </c>
    </row>
    <row r="546" spans="1:112" s="649" customFormat="1" hidden="1" outlineLevel="1" x14ac:dyDescent="0.3">
      <c r="A546" s="652" t="str">
        <f t="shared" si="212"/>
        <v/>
      </c>
      <c r="B546" s="652"/>
      <c r="C546" s="685"/>
      <c r="D546" s="686" t="s">
        <v>2568</v>
      </c>
      <c r="E546" s="686"/>
      <c r="F546" s="720"/>
      <c r="G546" s="688"/>
      <c r="H546" s="689"/>
      <c r="I546" s="851" t="str">
        <f t="shared" si="213"/>
        <v/>
      </c>
      <c r="J546" s="852" t="str">
        <f t="shared" si="214"/>
        <v/>
      </c>
      <c r="K546" s="667"/>
      <c r="L546" s="858"/>
      <c r="M546" s="859"/>
      <c r="N546" s="859"/>
      <c r="O546" s="859"/>
      <c r="P546" s="859"/>
      <c r="Q546" s="859"/>
      <c r="R546" s="859"/>
      <c r="S546" s="859"/>
      <c r="T546" s="859"/>
      <c r="U546" s="859"/>
      <c r="V546" s="859"/>
      <c r="W546" s="859"/>
      <c r="X546" s="859"/>
      <c r="Y546" s="859"/>
      <c r="Z546" s="860"/>
      <c r="AA546" s="860"/>
      <c r="AB546" s="860"/>
      <c r="AC546" s="860"/>
      <c r="AD546" s="860"/>
      <c r="AE546" s="860"/>
      <c r="AF546" s="860"/>
      <c r="AG546" s="860"/>
      <c r="AH546" s="860"/>
      <c r="AI546" s="860"/>
      <c r="AJ546" s="860"/>
      <c r="AK546" s="860"/>
      <c r="AL546" s="860"/>
      <c r="AM546" s="860"/>
      <c r="AN546" s="860"/>
      <c r="AO546" s="860"/>
      <c r="AP546" s="860"/>
      <c r="AQ546" s="860"/>
      <c r="AR546" s="860"/>
      <c r="AS546" s="860"/>
      <c r="AT546" s="860"/>
      <c r="AU546" s="860"/>
      <c r="AV546" s="860"/>
      <c r="AW546" s="860"/>
      <c r="AX546" s="860"/>
      <c r="AY546" s="860"/>
      <c r="AZ546" s="860"/>
      <c r="BA546" s="860"/>
      <c r="BB546" s="860"/>
      <c r="BC546" s="860"/>
      <c r="BD546" s="860"/>
      <c r="BE546" s="860"/>
      <c r="BF546" s="860"/>
      <c r="BG546" s="860"/>
      <c r="BH546" s="668"/>
      <c r="BI546" s="667"/>
      <c r="BJ546" s="690">
        <f t="shared" si="215"/>
        <v>0</v>
      </c>
      <c r="BK546" s="691">
        <f t="shared" si="216"/>
        <v>0</v>
      </c>
      <c r="BL546" s="654"/>
      <c r="BM546" s="692">
        <f>SUMIFS(Imput[[Importe Neto]:[Importe Neto]],Imput[[C. Imp.]:[C. Imp.]],$D546,Imput[[PERIODO Imp.]:[PERIODO Imp.]],BM$9)</f>
        <v>0</v>
      </c>
      <c r="BN546" s="693">
        <f>SUMIFS(Imput[[Importe Neto]:[Importe Neto]],Imput[[C. Imp.]:[C. Imp.]],$D546,Imput[[PERIODO Imp.]:[PERIODO Imp.]],BN$9)</f>
        <v>0</v>
      </c>
      <c r="BO546" s="693">
        <f>SUMIFS(Imput[[Importe Neto]:[Importe Neto]],Imput[[C. Imp.]:[C. Imp.]],$D546,Imput[[PERIODO Imp.]:[PERIODO Imp.]],BO$9)</f>
        <v>0</v>
      </c>
      <c r="BP546" s="693">
        <f>SUMIFS(Imput[[Importe Neto]:[Importe Neto]],Imput[[C. Imp.]:[C. Imp.]],$D546,Imput[[PERIODO Imp.]:[PERIODO Imp.]],BP$9)</f>
        <v>0</v>
      </c>
      <c r="BQ546" s="693">
        <f>SUMIFS(Imput[[Importe Neto]:[Importe Neto]],Imput[[C. Imp.]:[C. Imp.]],$D546,Imput[[PERIODO Imp.]:[PERIODO Imp.]],BQ$9)</f>
        <v>0</v>
      </c>
      <c r="BR546" s="693">
        <f>SUMIFS(Imput[[Importe Neto]:[Importe Neto]],Imput[[C. Imp.]:[C. Imp.]],$D546,Imput[[PERIODO Imp.]:[PERIODO Imp.]],BR$9)</f>
        <v>0</v>
      </c>
      <c r="BS546" s="693">
        <f>SUMIFS(Imput[[Importe Neto]:[Importe Neto]],Imput[[C. Imp.]:[C. Imp.]],$D546,Imput[[PERIODO Imp.]:[PERIODO Imp.]],BS$9)</f>
        <v>0</v>
      </c>
      <c r="BT546" s="693">
        <f>SUMIFS(Imput[[Importe Neto]:[Importe Neto]],Imput[[C. Imp.]:[C. Imp.]],$D546,Imput[[PERIODO Imp.]:[PERIODO Imp.]],BT$9)</f>
        <v>0</v>
      </c>
      <c r="BU546" s="693">
        <f>SUMIFS(Imput[[Importe Neto]:[Importe Neto]],Imput[[C. Imp.]:[C. Imp.]],$D546,Imput[[PERIODO Imp.]:[PERIODO Imp.]],BU$9)</f>
        <v>0</v>
      </c>
      <c r="BV546" s="693">
        <f>SUMIFS(Imput[[Importe Neto]:[Importe Neto]],Imput[[C. Imp.]:[C. Imp.]],$D546,Imput[[PERIODO Imp.]:[PERIODO Imp.]],BV$9)</f>
        <v>0</v>
      </c>
      <c r="BW546" s="693">
        <f>SUMIFS(Imput[[Importe Neto]:[Importe Neto]],Imput[[C. Imp.]:[C. Imp.]],$D546,Imput[[PERIODO Imp.]:[PERIODO Imp.]],BW$9)</f>
        <v>0</v>
      </c>
      <c r="BX546" s="693">
        <f>SUMIFS(Imput[[Importe Neto]:[Importe Neto]],Imput[[C. Imp.]:[C. Imp.]],$D546,Imput[[PERIODO Imp.]:[PERIODO Imp.]],BX$9)</f>
        <v>0</v>
      </c>
      <c r="BY546" s="693">
        <f>SUMIFS(Imput[[Importe Neto]:[Importe Neto]],Imput[[C. Imp.]:[C. Imp.]],$D546,Imput[[PERIODO Imp.]:[PERIODO Imp.]],BY$9)</f>
        <v>0</v>
      </c>
      <c r="BZ546" s="693">
        <f>SUMIFS(Imput[[Importe Neto]:[Importe Neto]],Imput[[C. Imp.]:[C. Imp.]],$D546,Imput[[PERIODO Imp.]:[PERIODO Imp.]],BZ$9)</f>
        <v>0</v>
      </c>
      <c r="CA546" s="693">
        <f>SUMIFS(Imput[[Importe Neto]:[Importe Neto]],Imput[[C. Imp.]:[C. Imp.]],$D546,Imput[[PERIODO Imp.]:[PERIODO Imp.]],CA$9)</f>
        <v>0</v>
      </c>
      <c r="CB546" s="693">
        <f>SUMIFS(Imput[[Importe Neto]:[Importe Neto]],Imput[[C. Imp.]:[C. Imp.]],$D546,Imput[[PERIODO Imp.]:[PERIODO Imp.]],CB$9)</f>
        <v>0</v>
      </c>
      <c r="CC546" s="693">
        <f>SUMIFS(Imput[[Importe Neto]:[Importe Neto]],Imput[[C. Imp.]:[C. Imp.]],$D546,Imput[[PERIODO Imp.]:[PERIODO Imp.]],CC$9)</f>
        <v>0</v>
      </c>
      <c r="CD546" s="693">
        <f>SUMIFS(Imput[[Importe Neto]:[Importe Neto]],Imput[[C. Imp.]:[C. Imp.]],$D546,Imput[[PERIODO Imp.]:[PERIODO Imp.]],CD$9)</f>
        <v>0</v>
      </c>
      <c r="CE546" s="693">
        <f>SUMIFS(Imput[[Importe Neto]:[Importe Neto]],Imput[[C. Imp.]:[C. Imp.]],$D546,Imput[[PERIODO Imp.]:[PERIODO Imp.]],CE$9)</f>
        <v>0</v>
      </c>
      <c r="CF546" s="693">
        <f>SUMIFS(Imput[[Importe Neto]:[Importe Neto]],Imput[[C. Imp.]:[C. Imp.]],$D546,Imput[[PERIODO Imp.]:[PERIODO Imp.]],CF$9)</f>
        <v>0</v>
      </c>
      <c r="CG546" s="693">
        <f>SUMIFS(Imput[[Importe Neto]:[Importe Neto]],Imput[[C. Imp.]:[C. Imp.]],$D546,Imput[[PERIODO Imp.]:[PERIODO Imp.]],CG$9)</f>
        <v>0</v>
      </c>
      <c r="CH546" s="693">
        <f>SUMIFS(Imput[[Importe Neto]:[Importe Neto]],Imput[[C. Imp.]:[C. Imp.]],$D546,Imput[[PERIODO Imp.]:[PERIODO Imp.]],CH$9)</f>
        <v>0</v>
      </c>
      <c r="CI546" s="693">
        <f>SUMIFS(Imput[[Importe Neto]:[Importe Neto]],Imput[[C. Imp.]:[C. Imp.]],$D546,Imput[[PERIODO Imp.]:[PERIODO Imp.]],CI$9)</f>
        <v>0</v>
      </c>
      <c r="CJ546" s="693">
        <f>SUMIFS(Imput[[Importe Neto]:[Importe Neto]],Imput[[C. Imp.]:[C. Imp.]],$D546,Imput[[PERIODO Imp.]:[PERIODO Imp.]],CJ$9)</f>
        <v>0</v>
      </c>
      <c r="CK546" s="693">
        <f>SUMIFS(Imput[[Importe Neto]:[Importe Neto]],Imput[[C. Imp.]:[C. Imp.]],$D546,Imput[[PERIODO Imp.]:[PERIODO Imp.]],CK$9)</f>
        <v>0</v>
      </c>
      <c r="CL546" s="693">
        <f>SUMIFS(Imput[[Importe Neto]:[Importe Neto]],Imput[[C. Imp.]:[C. Imp.]],$D546,Imput[[PERIODO Imp.]:[PERIODO Imp.]],CL$9)</f>
        <v>0</v>
      </c>
      <c r="CM546" s="693">
        <f>SUMIFS(Imput[[Importe Neto]:[Importe Neto]],Imput[[C. Imp.]:[C. Imp.]],$D546,Imput[[PERIODO Imp.]:[PERIODO Imp.]],CM$9)</f>
        <v>0</v>
      </c>
      <c r="CN546" s="693">
        <f>SUMIFS(Imput[[Importe Neto]:[Importe Neto]],Imput[[C. Imp.]:[C. Imp.]],$D546,Imput[[PERIODO Imp.]:[PERIODO Imp.]],CN$9)</f>
        <v>0</v>
      </c>
      <c r="CO546" s="693">
        <f>SUMIFS(Imput[[Importe Neto]:[Importe Neto]],Imput[[C. Imp.]:[C. Imp.]],$D546,Imput[[PERIODO Imp.]:[PERIODO Imp.]],CO$9)</f>
        <v>0</v>
      </c>
      <c r="CP546" s="693">
        <f>SUMIFS(Imput[[Importe Neto]:[Importe Neto]],Imput[[C. Imp.]:[C. Imp.]],$D546,Imput[[PERIODO Imp.]:[PERIODO Imp.]],CP$9)</f>
        <v>0</v>
      </c>
      <c r="CQ546" s="693">
        <f>SUMIFS(Imput[[Importe Neto]:[Importe Neto]],Imput[[C. Imp.]:[C. Imp.]],$D546,Imput[[PERIODO Imp.]:[PERIODO Imp.]],CQ$9)</f>
        <v>0</v>
      </c>
      <c r="CR546" s="693">
        <f>SUMIFS(Imput[[Importe Neto]:[Importe Neto]],Imput[[C. Imp.]:[C. Imp.]],$D546,Imput[[PERIODO Imp.]:[PERIODO Imp.]],CR$9)</f>
        <v>0</v>
      </c>
      <c r="CS546" s="693">
        <f>SUMIFS(Imput[[Importe Neto]:[Importe Neto]],Imput[[C. Imp.]:[C. Imp.]],$D546,Imput[[PERIODO Imp.]:[PERIODO Imp.]],CS$9)</f>
        <v>0</v>
      </c>
      <c r="CT546" s="693">
        <f>SUMIFS(Imput[[Importe Neto]:[Importe Neto]],Imput[[C. Imp.]:[C. Imp.]],$D546,Imput[[PERIODO Imp.]:[PERIODO Imp.]],CT$9)</f>
        <v>0</v>
      </c>
      <c r="CU546" s="693">
        <f>SUMIFS(Imput[[Importe Neto]:[Importe Neto]],Imput[[C. Imp.]:[C. Imp.]],$D546,Imput[[PERIODO Imp.]:[PERIODO Imp.]],CU$9)</f>
        <v>0</v>
      </c>
      <c r="CV546" s="693">
        <f>SUMIFS(Imput[[Importe Neto]:[Importe Neto]],Imput[[C. Imp.]:[C. Imp.]],$D546,Imput[[PERIODO Imp.]:[PERIODO Imp.]],CV$9)</f>
        <v>0</v>
      </c>
      <c r="CW546" s="693">
        <f>SUMIFS(Imput[[Importe Neto]:[Importe Neto]],Imput[[C. Imp.]:[C. Imp.]],$D546,Imput[[PERIODO Imp.]:[PERIODO Imp.]],CW$9)</f>
        <v>0</v>
      </c>
      <c r="CX546" s="693">
        <f>SUMIFS(Imput[[Importe Neto]:[Importe Neto]],Imput[[C. Imp.]:[C. Imp.]],$D546,Imput[[PERIODO Imp.]:[PERIODO Imp.]],CX$9)</f>
        <v>0</v>
      </c>
      <c r="CY546" s="693">
        <f>SUMIFS(Imput[[Importe Neto]:[Importe Neto]],Imput[[C. Imp.]:[C. Imp.]],$D546,Imput[[PERIODO Imp.]:[PERIODO Imp.]],CY$9)</f>
        <v>0</v>
      </c>
      <c r="CZ546" s="693">
        <f>SUMIFS(Imput[[Importe Neto]:[Importe Neto]],Imput[[C. Imp.]:[C. Imp.]],$D546,Imput[[PERIODO Imp.]:[PERIODO Imp.]],CZ$9)</f>
        <v>0</v>
      </c>
      <c r="DA546" s="693">
        <f>SUMIFS(Imput[[Importe Neto]:[Importe Neto]],Imput[[C. Imp.]:[C. Imp.]],$D546,Imput[[PERIODO Imp.]:[PERIODO Imp.]],DA$9)</f>
        <v>0</v>
      </c>
      <c r="DB546" s="693">
        <f>SUMIFS(Imput[[Importe Neto]:[Importe Neto]],Imput[[C. Imp.]:[C. Imp.]],$D546,Imput[[PERIODO Imp.]:[PERIODO Imp.]],DB$9)</f>
        <v>0</v>
      </c>
      <c r="DC546" s="693">
        <f>SUMIFS(Imput[[Importe Neto]:[Importe Neto]],Imput[[C. Imp.]:[C. Imp.]],$D546,Imput[[PERIODO Imp.]:[PERIODO Imp.]],DC$9)</f>
        <v>0</v>
      </c>
      <c r="DD546" s="693">
        <f>SUMIFS(Imput[[Importe Neto]:[Importe Neto]],Imput[[C. Imp.]:[C. Imp.]],$D546,Imput[[PERIODO Imp.]:[PERIODO Imp.]],DD$9)</f>
        <v>0</v>
      </c>
      <c r="DE546" s="693">
        <f>SUMIFS(Imput[[Importe Neto]:[Importe Neto]],Imput[[C. Imp.]:[C. Imp.]],$D546,Imput[[PERIODO Imp.]:[PERIODO Imp.]],DE$9)</f>
        <v>0</v>
      </c>
      <c r="DF546" s="693">
        <f>SUMIFS(Imput[[Importe Neto]:[Importe Neto]],Imput[[C. Imp.]:[C. Imp.]],$D546,Imput[[PERIODO Imp.]:[PERIODO Imp.]],DF$9)</f>
        <v>0</v>
      </c>
      <c r="DG546" s="693">
        <f>SUMIFS(Imput[[Importe Neto]:[Importe Neto]],Imput[[C. Imp.]:[C. Imp.]],$D546,Imput[[PERIODO Imp.]:[PERIODO Imp.]],DG$9)</f>
        <v>0</v>
      </c>
      <c r="DH546" s="694">
        <f>SUMIFS(Imput[[Importe Neto]:[Importe Neto]],Imput[[C. Imp.]:[C. Imp.]],$D546,Imput[[PERIODO Imp.]:[PERIODO Imp.]],DH$9)</f>
        <v>0</v>
      </c>
    </row>
    <row r="547" spans="1:112" s="649" customFormat="1" hidden="1" outlineLevel="1" x14ac:dyDescent="0.3">
      <c r="A547" s="652" t="str">
        <f t="shared" si="212"/>
        <v/>
      </c>
      <c r="B547" s="652"/>
      <c r="C547" s="685"/>
      <c r="D547" s="686" t="s">
        <v>2569</v>
      </c>
      <c r="E547" s="686"/>
      <c r="F547" s="720"/>
      <c r="G547" s="688"/>
      <c r="H547" s="689"/>
      <c r="I547" s="851" t="str">
        <f t="shared" si="213"/>
        <v/>
      </c>
      <c r="J547" s="852" t="str">
        <f t="shared" si="214"/>
        <v/>
      </c>
      <c r="K547" s="667"/>
      <c r="L547" s="858"/>
      <c r="M547" s="859"/>
      <c r="N547" s="859"/>
      <c r="O547" s="859"/>
      <c r="P547" s="859"/>
      <c r="Q547" s="859"/>
      <c r="R547" s="859"/>
      <c r="S547" s="859"/>
      <c r="T547" s="859"/>
      <c r="U547" s="859"/>
      <c r="V547" s="859"/>
      <c r="W547" s="859"/>
      <c r="X547" s="859"/>
      <c r="Y547" s="859"/>
      <c r="Z547" s="860"/>
      <c r="AA547" s="860"/>
      <c r="AB547" s="860"/>
      <c r="AC547" s="860"/>
      <c r="AD547" s="860"/>
      <c r="AE547" s="860"/>
      <c r="AF547" s="860"/>
      <c r="AG547" s="860"/>
      <c r="AH547" s="860"/>
      <c r="AI547" s="860"/>
      <c r="AJ547" s="860"/>
      <c r="AK547" s="860"/>
      <c r="AL547" s="860"/>
      <c r="AM547" s="860"/>
      <c r="AN547" s="860"/>
      <c r="AO547" s="860"/>
      <c r="AP547" s="860"/>
      <c r="AQ547" s="860"/>
      <c r="AR547" s="860"/>
      <c r="AS547" s="860"/>
      <c r="AT547" s="860"/>
      <c r="AU547" s="860"/>
      <c r="AV547" s="860"/>
      <c r="AW547" s="860"/>
      <c r="AX547" s="860"/>
      <c r="AY547" s="860"/>
      <c r="AZ547" s="860"/>
      <c r="BA547" s="860"/>
      <c r="BB547" s="860"/>
      <c r="BC547" s="860"/>
      <c r="BD547" s="860"/>
      <c r="BE547" s="860"/>
      <c r="BF547" s="860"/>
      <c r="BG547" s="860"/>
      <c r="BH547" s="668"/>
      <c r="BI547" s="667"/>
      <c r="BJ547" s="690">
        <f t="shared" si="215"/>
        <v>0</v>
      </c>
      <c r="BK547" s="691">
        <f t="shared" si="216"/>
        <v>0</v>
      </c>
      <c r="BL547" s="654"/>
      <c r="BM547" s="692">
        <f>SUMIFS(Imput[[Importe Neto]:[Importe Neto]],Imput[[C. Imp.]:[C. Imp.]],$D547,Imput[[PERIODO Imp.]:[PERIODO Imp.]],BM$9)</f>
        <v>0</v>
      </c>
      <c r="BN547" s="693">
        <f>SUMIFS(Imput[[Importe Neto]:[Importe Neto]],Imput[[C. Imp.]:[C. Imp.]],$D547,Imput[[PERIODO Imp.]:[PERIODO Imp.]],BN$9)</f>
        <v>0</v>
      </c>
      <c r="BO547" s="693">
        <f>SUMIFS(Imput[[Importe Neto]:[Importe Neto]],Imput[[C. Imp.]:[C. Imp.]],$D547,Imput[[PERIODO Imp.]:[PERIODO Imp.]],BO$9)</f>
        <v>0</v>
      </c>
      <c r="BP547" s="693">
        <f>SUMIFS(Imput[[Importe Neto]:[Importe Neto]],Imput[[C. Imp.]:[C. Imp.]],$D547,Imput[[PERIODO Imp.]:[PERIODO Imp.]],BP$9)</f>
        <v>0</v>
      </c>
      <c r="BQ547" s="693">
        <f>SUMIFS(Imput[[Importe Neto]:[Importe Neto]],Imput[[C. Imp.]:[C. Imp.]],$D547,Imput[[PERIODO Imp.]:[PERIODO Imp.]],BQ$9)</f>
        <v>0</v>
      </c>
      <c r="BR547" s="693">
        <f>SUMIFS(Imput[[Importe Neto]:[Importe Neto]],Imput[[C. Imp.]:[C. Imp.]],$D547,Imput[[PERIODO Imp.]:[PERIODO Imp.]],BR$9)</f>
        <v>0</v>
      </c>
      <c r="BS547" s="693">
        <f>SUMIFS(Imput[[Importe Neto]:[Importe Neto]],Imput[[C. Imp.]:[C. Imp.]],$D547,Imput[[PERIODO Imp.]:[PERIODO Imp.]],BS$9)</f>
        <v>0</v>
      </c>
      <c r="BT547" s="693">
        <f>SUMIFS(Imput[[Importe Neto]:[Importe Neto]],Imput[[C. Imp.]:[C. Imp.]],$D547,Imput[[PERIODO Imp.]:[PERIODO Imp.]],BT$9)</f>
        <v>0</v>
      </c>
      <c r="BU547" s="693">
        <f>SUMIFS(Imput[[Importe Neto]:[Importe Neto]],Imput[[C. Imp.]:[C. Imp.]],$D547,Imput[[PERIODO Imp.]:[PERIODO Imp.]],BU$9)</f>
        <v>0</v>
      </c>
      <c r="BV547" s="693">
        <f>SUMIFS(Imput[[Importe Neto]:[Importe Neto]],Imput[[C. Imp.]:[C. Imp.]],$D547,Imput[[PERIODO Imp.]:[PERIODO Imp.]],BV$9)</f>
        <v>0</v>
      </c>
      <c r="BW547" s="693">
        <f>SUMIFS(Imput[[Importe Neto]:[Importe Neto]],Imput[[C. Imp.]:[C. Imp.]],$D547,Imput[[PERIODO Imp.]:[PERIODO Imp.]],BW$9)</f>
        <v>0</v>
      </c>
      <c r="BX547" s="693">
        <f>SUMIFS(Imput[[Importe Neto]:[Importe Neto]],Imput[[C. Imp.]:[C. Imp.]],$D547,Imput[[PERIODO Imp.]:[PERIODO Imp.]],BX$9)</f>
        <v>0</v>
      </c>
      <c r="BY547" s="693">
        <f>SUMIFS(Imput[[Importe Neto]:[Importe Neto]],Imput[[C. Imp.]:[C. Imp.]],$D547,Imput[[PERIODO Imp.]:[PERIODO Imp.]],BY$9)</f>
        <v>0</v>
      </c>
      <c r="BZ547" s="693">
        <f>SUMIFS(Imput[[Importe Neto]:[Importe Neto]],Imput[[C. Imp.]:[C. Imp.]],$D547,Imput[[PERIODO Imp.]:[PERIODO Imp.]],BZ$9)</f>
        <v>0</v>
      </c>
      <c r="CA547" s="693">
        <f>SUMIFS(Imput[[Importe Neto]:[Importe Neto]],Imput[[C. Imp.]:[C. Imp.]],$D547,Imput[[PERIODO Imp.]:[PERIODO Imp.]],CA$9)</f>
        <v>0</v>
      </c>
      <c r="CB547" s="693">
        <f>SUMIFS(Imput[[Importe Neto]:[Importe Neto]],Imput[[C. Imp.]:[C. Imp.]],$D547,Imput[[PERIODO Imp.]:[PERIODO Imp.]],CB$9)</f>
        <v>0</v>
      </c>
      <c r="CC547" s="693">
        <f>SUMIFS(Imput[[Importe Neto]:[Importe Neto]],Imput[[C. Imp.]:[C. Imp.]],$D547,Imput[[PERIODO Imp.]:[PERIODO Imp.]],CC$9)</f>
        <v>0</v>
      </c>
      <c r="CD547" s="693">
        <f>SUMIFS(Imput[[Importe Neto]:[Importe Neto]],Imput[[C. Imp.]:[C. Imp.]],$D547,Imput[[PERIODO Imp.]:[PERIODO Imp.]],CD$9)</f>
        <v>0</v>
      </c>
      <c r="CE547" s="693">
        <f>SUMIFS(Imput[[Importe Neto]:[Importe Neto]],Imput[[C. Imp.]:[C. Imp.]],$D547,Imput[[PERIODO Imp.]:[PERIODO Imp.]],CE$9)</f>
        <v>0</v>
      </c>
      <c r="CF547" s="693">
        <f>SUMIFS(Imput[[Importe Neto]:[Importe Neto]],Imput[[C. Imp.]:[C. Imp.]],$D547,Imput[[PERIODO Imp.]:[PERIODO Imp.]],CF$9)</f>
        <v>0</v>
      </c>
      <c r="CG547" s="693">
        <f>SUMIFS(Imput[[Importe Neto]:[Importe Neto]],Imput[[C. Imp.]:[C. Imp.]],$D547,Imput[[PERIODO Imp.]:[PERIODO Imp.]],CG$9)</f>
        <v>0</v>
      </c>
      <c r="CH547" s="693">
        <f>SUMIFS(Imput[[Importe Neto]:[Importe Neto]],Imput[[C. Imp.]:[C. Imp.]],$D547,Imput[[PERIODO Imp.]:[PERIODO Imp.]],CH$9)</f>
        <v>0</v>
      </c>
      <c r="CI547" s="693">
        <f>SUMIFS(Imput[[Importe Neto]:[Importe Neto]],Imput[[C. Imp.]:[C. Imp.]],$D547,Imput[[PERIODO Imp.]:[PERIODO Imp.]],CI$9)</f>
        <v>0</v>
      </c>
      <c r="CJ547" s="693">
        <f>SUMIFS(Imput[[Importe Neto]:[Importe Neto]],Imput[[C. Imp.]:[C. Imp.]],$D547,Imput[[PERIODO Imp.]:[PERIODO Imp.]],CJ$9)</f>
        <v>0</v>
      </c>
      <c r="CK547" s="693">
        <f>SUMIFS(Imput[[Importe Neto]:[Importe Neto]],Imput[[C. Imp.]:[C. Imp.]],$D547,Imput[[PERIODO Imp.]:[PERIODO Imp.]],CK$9)</f>
        <v>0</v>
      </c>
      <c r="CL547" s="693">
        <f>SUMIFS(Imput[[Importe Neto]:[Importe Neto]],Imput[[C. Imp.]:[C. Imp.]],$D547,Imput[[PERIODO Imp.]:[PERIODO Imp.]],CL$9)</f>
        <v>0</v>
      </c>
      <c r="CM547" s="693">
        <f>SUMIFS(Imput[[Importe Neto]:[Importe Neto]],Imput[[C. Imp.]:[C. Imp.]],$D547,Imput[[PERIODO Imp.]:[PERIODO Imp.]],CM$9)</f>
        <v>0</v>
      </c>
      <c r="CN547" s="693">
        <f>SUMIFS(Imput[[Importe Neto]:[Importe Neto]],Imput[[C. Imp.]:[C. Imp.]],$D547,Imput[[PERIODO Imp.]:[PERIODO Imp.]],CN$9)</f>
        <v>0</v>
      </c>
      <c r="CO547" s="693">
        <f>SUMIFS(Imput[[Importe Neto]:[Importe Neto]],Imput[[C. Imp.]:[C. Imp.]],$D547,Imput[[PERIODO Imp.]:[PERIODO Imp.]],CO$9)</f>
        <v>0</v>
      </c>
      <c r="CP547" s="693">
        <f>SUMIFS(Imput[[Importe Neto]:[Importe Neto]],Imput[[C. Imp.]:[C. Imp.]],$D547,Imput[[PERIODO Imp.]:[PERIODO Imp.]],CP$9)</f>
        <v>0</v>
      </c>
      <c r="CQ547" s="693">
        <f>SUMIFS(Imput[[Importe Neto]:[Importe Neto]],Imput[[C. Imp.]:[C. Imp.]],$D547,Imput[[PERIODO Imp.]:[PERIODO Imp.]],CQ$9)</f>
        <v>0</v>
      </c>
      <c r="CR547" s="693">
        <f>SUMIFS(Imput[[Importe Neto]:[Importe Neto]],Imput[[C. Imp.]:[C. Imp.]],$D547,Imput[[PERIODO Imp.]:[PERIODO Imp.]],CR$9)</f>
        <v>0</v>
      </c>
      <c r="CS547" s="693">
        <f>SUMIFS(Imput[[Importe Neto]:[Importe Neto]],Imput[[C. Imp.]:[C. Imp.]],$D547,Imput[[PERIODO Imp.]:[PERIODO Imp.]],CS$9)</f>
        <v>0</v>
      </c>
      <c r="CT547" s="693">
        <f>SUMIFS(Imput[[Importe Neto]:[Importe Neto]],Imput[[C. Imp.]:[C. Imp.]],$D547,Imput[[PERIODO Imp.]:[PERIODO Imp.]],CT$9)</f>
        <v>0</v>
      </c>
      <c r="CU547" s="693">
        <f>SUMIFS(Imput[[Importe Neto]:[Importe Neto]],Imput[[C. Imp.]:[C. Imp.]],$D547,Imput[[PERIODO Imp.]:[PERIODO Imp.]],CU$9)</f>
        <v>0</v>
      </c>
      <c r="CV547" s="693">
        <f>SUMIFS(Imput[[Importe Neto]:[Importe Neto]],Imput[[C. Imp.]:[C. Imp.]],$D547,Imput[[PERIODO Imp.]:[PERIODO Imp.]],CV$9)</f>
        <v>0</v>
      </c>
      <c r="CW547" s="693">
        <f>SUMIFS(Imput[[Importe Neto]:[Importe Neto]],Imput[[C. Imp.]:[C. Imp.]],$D547,Imput[[PERIODO Imp.]:[PERIODO Imp.]],CW$9)</f>
        <v>0</v>
      </c>
      <c r="CX547" s="693">
        <f>SUMIFS(Imput[[Importe Neto]:[Importe Neto]],Imput[[C. Imp.]:[C. Imp.]],$D547,Imput[[PERIODO Imp.]:[PERIODO Imp.]],CX$9)</f>
        <v>0</v>
      </c>
      <c r="CY547" s="693">
        <f>SUMIFS(Imput[[Importe Neto]:[Importe Neto]],Imput[[C. Imp.]:[C. Imp.]],$D547,Imput[[PERIODO Imp.]:[PERIODO Imp.]],CY$9)</f>
        <v>0</v>
      </c>
      <c r="CZ547" s="693">
        <f>SUMIFS(Imput[[Importe Neto]:[Importe Neto]],Imput[[C. Imp.]:[C. Imp.]],$D547,Imput[[PERIODO Imp.]:[PERIODO Imp.]],CZ$9)</f>
        <v>0</v>
      </c>
      <c r="DA547" s="693">
        <f>SUMIFS(Imput[[Importe Neto]:[Importe Neto]],Imput[[C. Imp.]:[C. Imp.]],$D547,Imput[[PERIODO Imp.]:[PERIODO Imp.]],DA$9)</f>
        <v>0</v>
      </c>
      <c r="DB547" s="693">
        <f>SUMIFS(Imput[[Importe Neto]:[Importe Neto]],Imput[[C. Imp.]:[C. Imp.]],$D547,Imput[[PERIODO Imp.]:[PERIODO Imp.]],DB$9)</f>
        <v>0</v>
      </c>
      <c r="DC547" s="693">
        <f>SUMIFS(Imput[[Importe Neto]:[Importe Neto]],Imput[[C. Imp.]:[C. Imp.]],$D547,Imput[[PERIODO Imp.]:[PERIODO Imp.]],DC$9)</f>
        <v>0</v>
      </c>
      <c r="DD547" s="693">
        <f>SUMIFS(Imput[[Importe Neto]:[Importe Neto]],Imput[[C. Imp.]:[C. Imp.]],$D547,Imput[[PERIODO Imp.]:[PERIODO Imp.]],DD$9)</f>
        <v>0</v>
      </c>
      <c r="DE547" s="693">
        <f>SUMIFS(Imput[[Importe Neto]:[Importe Neto]],Imput[[C. Imp.]:[C. Imp.]],$D547,Imput[[PERIODO Imp.]:[PERIODO Imp.]],DE$9)</f>
        <v>0</v>
      </c>
      <c r="DF547" s="693">
        <f>SUMIFS(Imput[[Importe Neto]:[Importe Neto]],Imput[[C. Imp.]:[C. Imp.]],$D547,Imput[[PERIODO Imp.]:[PERIODO Imp.]],DF$9)</f>
        <v>0</v>
      </c>
      <c r="DG547" s="693">
        <f>SUMIFS(Imput[[Importe Neto]:[Importe Neto]],Imput[[C. Imp.]:[C. Imp.]],$D547,Imput[[PERIODO Imp.]:[PERIODO Imp.]],DG$9)</f>
        <v>0</v>
      </c>
      <c r="DH547" s="694">
        <f>SUMIFS(Imput[[Importe Neto]:[Importe Neto]],Imput[[C. Imp.]:[C. Imp.]],$D547,Imput[[PERIODO Imp.]:[PERIODO Imp.]],DH$9)</f>
        <v>0</v>
      </c>
    </row>
    <row r="548" spans="1:112" s="649" customFormat="1" hidden="1" outlineLevel="1" x14ac:dyDescent="0.3">
      <c r="A548" s="652" t="str">
        <f t="shared" si="212"/>
        <v/>
      </c>
      <c r="B548" s="652"/>
      <c r="C548" s="685"/>
      <c r="D548" s="686" t="s">
        <v>2570</v>
      </c>
      <c r="E548" s="686"/>
      <c r="F548" s="720"/>
      <c r="G548" s="688"/>
      <c r="H548" s="689"/>
      <c r="I548" s="851" t="str">
        <f t="shared" si="213"/>
        <v/>
      </c>
      <c r="J548" s="850" t="str">
        <f t="shared" si="214"/>
        <v/>
      </c>
      <c r="K548" s="667"/>
      <c r="L548" s="858"/>
      <c r="M548" s="859"/>
      <c r="N548" s="859"/>
      <c r="O548" s="859"/>
      <c r="P548" s="859"/>
      <c r="Q548" s="859"/>
      <c r="R548" s="859"/>
      <c r="S548" s="859"/>
      <c r="T548" s="859"/>
      <c r="U548" s="859"/>
      <c r="V548" s="859"/>
      <c r="W548" s="859"/>
      <c r="X548" s="859"/>
      <c r="Y548" s="859"/>
      <c r="Z548" s="860"/>
      <c r="AA548" s="860"/>
      <c r="AB548" s="860"/>
      <c r="AC548" s="860"/>
      <c r="AD548" s="860"/>
      <c r="AE548" s="860"/>
      <c r="AF548" s="860"/>
      <c r="AG548" s="860"/>
      <c r="AH548" s="860"/>
      <c r="AI548" s="860"/>
      <c r="AJ548" s="860"/>
      <c r="AK548" s="860"/>
      <c r="AL548" s="860"/>
      <c r="AM548" s="860"/>
      <c r="AN548" s="860"/>
      <c r="AO548" s="860"/>
      <c r="AP548" s="860"/>
      <c r="AQ548" s="860"/>
      <c r="AR548" s="860"/>
      <c r="AS548" s="860"/>
      <c r="AT548" s="860"/>
      <c r="AU548" s="860"/>
      <c r="AV548" s="860"/>
      <c r="AW548" s="860"/>
      <c r="AX548" s="860"/>
      <c r="AY548" s="860"/>
      <c r="AZ548" s="860"/>
      <c r="BA548" s="860"/>
      <c r="BB548" s="860"/>
      <c r="BC548" s="860"/>
      <c r="BD548" s="860"/>
      <c r="BE548" s="860"/>
      <c r="BF548" s="860"/>
      <c r="BG548" s="860"/>
      <c r="BH548" s="668"/>
      <c r="BI548" s="667"/>
      <c r="BJ548" s="690">
        <f t="shared" si="215"/>
        <v>0</v>
      </c>
      <c r="BK548" s="691">
        <f t="shared" si="216"/>
        <v>0</v>
      </c>
      <c r="BL548" s="654"/>
      <c r="BM548" s="692">
        <f>SUMIFS(Imput[[Importe Neto]:[Importe Neto]],Imput[[C. Imp.]:[C. Imp.]],$D548,Imput[[PERIODO Imp.]:[PERIODO Imp.]],BM$9)</f>
        <v>0</v>
      </c>
      <c r="BN548" s="693">
        <f>SUMIFS(Imput[[Importe Neto]:[Importe Neto]],Imput[[C. Imp.]:[C. Imp.]],$D548,Imput[[PERIODO Imp.]:[PERIODO Imp.]],BN$9)</f>
        <v>0</v>
      </c>
      <c r="BO548" s="693">
        <f>SUMIFS(Imput[[Importe Neto]:[Importe Neto]],Imput[[C. Imp.]:[C. Imp.]],$D548,Imput[[PERIODO Imp.]:[PERIODO Imp.]],BO$9)</f>
        <v>0</v>
      </c>
      <c r="BP548" s="693">
        <f>SUMIFS(Imput[[Importe Neto]:[Importe Neto]],Imput[[C. Imp.]:[C. Imp.]],$D548,Imput[[PERIODO Imp.]:[PERIODO Imp.]],BP$9)</f>
        <v>0</v>
      </c>
      <c r="BQ548" s="693">
        <f>SUMIFS(Imput[[Importe Neto]:[Importe Neto]],Imput[[C. Imp.]:[C. Imp.]],$D548,Imput[[PERIODO Imp.]:[PERIODO Imp.]],BQ$9)</f>
        <v>0</v>
      </c>
      <c r="BR548" s="693">
        <f>SUMIFS(Imput[[Importe Neto]:[Importe Neto]],Imput[[C. Imp.]:[C. Imp.]],$D548,Imput[[PERIODO Imp.]:[PERIODO Imp.]],BR$9)</f>
        <v>0</v>
      </c>
      <c r="BS548" s="693">
        <f>SUMIFS(Imput[[Importe Neto]:[Importe Neto]],Imput[[C. Imp.]:[C. Imp.]],$D548,Imput[[PERIODO Imp.]:[PERIODO Imp.]],BS$9)</f>
        <v>0</v>
      </c>
      <c r="BT548" s="693">
        <f>SUMIFS(Imput[[Importe Neto]:[Importe Neto]],Imput[[C. Imp.]:[C. Imp.]],$D548,Imput[[PERIODO Imp.]:[PERIODO Imp.]],BT$9)</f>
        <v>0</v>
      </c>
      <c r="BU548" s="693">
        <f>SUMIFS(Imput[[Importe Neto]:[Importe Neto]],Imput[[C. Imp.]:[C. Imp.]],$D548,Imput[[PERIODO Imp.]:[PERIODO Imp.]],BU$9)</f>
        <v>0</v>
      </c>
      <c r="BV548" s="693">
        <f>SUMIFS(Imput[[Importe Neto]:[Importe Neto]],Imput[[C. Imp.]:[C. Imp.]],$D548,Imput[[PERIODO Imp.]:[PERIODO Imp.]],BV$9)</f>
        <v>0</v>
      </c>
      <c r="BW548" s="693">
        <f>SUMIFS(Imput[[Importe Neto]:[Importe Neto]],Imput[[C. Imp.]:[C. Imp.]],$D548,Imput[[PERIODO Imp.]:[PERIODO Imp.]],BW$9)</f>
        <v>0</v>
      </c>
      <c r="BX548" s="693">
        <f>SUMIFS(Imput[[Importe Neto]:[Importe Neto]],Imput[[C. Imp.]:[C. Imp.]],$D548,Imput[[PERIODO Imp.]:[PERIODO Imp.]],BX$9)</f>
        <v>0</v>
      </c>
      <c r="BY548" s="693">
        <f>SUMIFS(Imput[[Importe Neto]:[Importe Neto]],Imput[[C. Imp.]:[C. Imp.]],$D548,Imput[[PERIODO Imp.]:[PERIODO Imp.]],BY$9)</f>
        <v>0</v>
      </c>
      <c r="BZ548" s="693">
        <f>SUMIFS(Imput[[Importe Neto]:[Importe Neto]],Imput[[C. Imp.]:[C. Imp.]],$D548,Imput[[PERIODO Imp.]:[PERIODO Imp.]],BZ$9)</f>
        <v>0</v>
      </c>
      <c r="CA548" s="693">
        <f>SUMIFS(Imput[[Importe Neto]:[Importe Neto]],Imput[[C. Imp.]:[C. Imp.]],$D548,Imput[[PERIODO Imp.]:[PERIODO Imp.]],CA$9)</f>
        <v>0</v>
      </c>
      <c r="CB548" s="693">
        <f>SUMIFS(Imput[[Importe Neto]:[Importe Neto]],Imput[[C. Imp.]:[C. Imp.]],$D548,Imput[[PERIODO Imp.]:[PERIODO Imp.]],CB$9)</f>
        <v>0</v>
      </c>
      <c r="CC548" s="693">
        <f>SUMIFS(Imput[[Importe Neto]:[Importe Neto]],Imput[[C. Imp.]:[C. Imp.]],$D548,Imput[[PERIODO Imp.]:[PERIODO Imp.]],CC$9)</f>
        <v>0</v>
      </c>
      <c r="CD548" s="693">
        <f>SUMIFS(Imput[[Importe Neto]:[Importe Neto]],Imput[[C. Imp.]:[C. Imp.]],$D548,Imput[[PERIODO Imp.]:[PERIODO Imp.]],CD$9)</f>
        <v>0</v>
      </c>
      <c r="CE548" s="693">
        <f>SUMIFS(Imput[[Importe Neto]:[Importe Neto]],Imput[[C. Imp.]:[C. Imp.]],$D548,Imput[[PERIODO Imp.]:[PERIODO Imp.]],CE$9)</f>
        <v>0</v>
      </c>
      <c r="CF548" s="693">
        <f>SUMIFS(Imput[[Importe Neto]:[Importe Neto]],Imput[[C. Imp.]:[C. Imp.]],$D548,Imput[[PERIODO Imp.]:[PERIODO Imp.]],CF$9)</f>
        <v>0</v>
      </c>
      <c r="CG548" s="693">
        <f>SUMIFS(Imput[[Importe Neto]:[Importe Neto]],Imput[[C. Imp.]:[C. Imp.]],$D548,Imput[[PERIODO Imp.]:[PERIODO Imp.]],CG$9)</f>
        <v>0</v>
      </c>
      <c r="CH548" s="693">
        <f>SUMIFS(Imput[[Importe Neto]:[Importe Neto]],Imput[[C. Imp.]:[C. Imp.]],$D548,Imput[[PERIODO Imp.]:[PERIODO Imp.]],CH$9)</f>
        <v>0</v>
      </c>
      <c r="CI548" s="693">
        <f>SUMIFS(Imput[[Importe Neto]:[Importe Neto]],Imput[[C. Imp.]:[C. Imp.]],$D548,Imput[[PERIODO Imp.]:[PERIODO Imp.]],CI$9)</f>
        <v>0</v>
      </c>
      <c r="CJ548" s="693">
        <f>SUMIFS(Imput[[Importe Neto]:[Importe Neto]],Imput[[C. Imp.]:[C. Imp.]],$D548,Imput[[PERIODO Imp.]:[PERIODO Imp.]],CJ$9)</f>
        <v>0</v>
      </c>
      <c r="CK548" s="693">
        <f>SUMIFS(Imput[[Importe Neto]:[Importe Neto]],Imput[[C. Imp.]:[C. Imp.]],$D548,Imput[[PERIODO Imp.]:[PERIODO Imp.]],CK$9)</f>
        <v>0</v>
      </c>
      <c r="CL548" s="693">
        <f>SUMIFS(Imput[[Importe Neto]:[Importe Neto]],Imput[[C. Imp.]:[C. Imp.]],$D548,Imput[[PERIODO Imp.]:[PERIODO Imp.]],CL$9)</f>
        <v>0</v>
      </c>
      <c r="CM548" s="693">
        <f>SUMIFS(Imput[[Importe Neto]:[Importe Neto]],Imput[[C. Imp.]:[C. Imp.]],$D548,Imput[[PERIODO Imp.]:[PERIODO Imp.]],CM$9)</f>
        <v>0</v>
      </c>
      <c r="CN548" s="693">
        <f>SUMIFS(Imput[[Importe Neto]:[Importe Neto]],Imput[[C. Imp.]:[C. Imp.]],$D548,Imput[[PERIODO Imp.]:[PERIODO Imp.]],CN$9)</f>
        <v>0</v>
      </c>
      <c r="CO548" s="693">
        <f>SUMIFS(Imput[[Importe Neto]:[Importe Neto]],Imput[[C. Imp.]:[C. Imp.]],$D548,Imput[[PERIODO Imp.]:[PERIODO Imp.]],CO$9)</f>
        <v>0</v>
      </c>
      <c r="CP548" s="693">
        <f>SUMIFS(Imput[[Importe Neto]:[Importe Neto]],Imput[[C. Imp.]:[C. Imp.]],$D548,Imput[[PERIODO Imp.]:[PERIODO Imp.]],CP$9)</f>
        <v>0</v>
      </c>
      <c r="CQ548" s="693">
        <f>SUMIFS(Imput[[Importe Neto]:[Importe Neto]],Imput[[C. Imp.]:[C. Imp.]],$D548,Imput[[PERIODO Imp.]:[PERIODO Imp.]],CQ$9)</f>
        <v>0</v>
      </c>
      <c r="CR548" s="693">
        <f>SUMIFS(Imput[[Importe Neto]:[Importe Neto]],Imput[[C. Imp.]:[C. Imp.]],$D548,Imput[[PERIODO Imp.]:[PERIODO Imp.]],CR$9)</f>
        <v>0</v>
      </c>
      <c r="CS548" s="693">
        <f>SUMIFS(Imput[[Importe Neto]:[Importe Neto]],Imput[[C. Imp.]:[C. Imp.]],$D548,Imput[[PERIODO Imp.]:[PERIODO Imp.]],CS$9)</f>
        <v>0</v>
      </c>
      <c r="CT548" s="693">
        <f>SUMIFS(Imput[[Importe Neto]:[Importe Neto]],Imput[[C. Imp.]:[C. Imp.]],$D548,Imput[[PERIODO Imp.]:[PERIODO Imp.]],CT$9)</f>
        <v>0</v>
      </c>
      <c r="CU548" s="693">
        <f>SUMIFS(Imput[[Importe Neto]:[Importe Neto]],Imput[[C. Imp.]:[C. Imp.]],$D548,Imput[[PERIODO Imp.]:[PERIODO Imp.]],CU$9)</f>
        <v>0</v>
      </c>
      <c r="CV548" s="693">
        <f>SUMIFS(Imput[[Importe Neto]:[Importe Neto]],Imput[[C. Imp.]:[C. Imp.]],$D548,Imput[[PERIODO Imp.]:[PERIODO Imp.]],CV$9)</f>
        <v>0</v>
      </c>
      <c r="CW548" s="693">
        <f>SUMIFS(Imput[[Importe Neto]:[Importe Neto]],Imput[[C. Imp.]:[C. Imp.]],$D548,Imput[[PERIODO Imp.]:[PERIODO Imp.]],CW$9)</f>
        <v>0</v>
      </c>
      <c r="CX548" s="693">
        <f>SUMIFS(Imput[[Importe Neto]:[Importe Neto]],Imput[[C. Imp.]:[C. Imp.]],$D548,Imput[[PERIODO Imp.]:[PERIODO Imp.]],CX$9)</f>
        <v>0</v>
      </c>
      <c r="CY548" s="693">
        <f>SUMIFS(Imput[[Importe Neto]:[Importe Neto]],Imput[[C. Imp.]:[C. Imp.]],$D548,Imput[[PERIODO Imp.]:[PERIODO Imp.]],CY$9)</f>
        <v>0</v>
      </c>
      <c r="CZ548" s="693">
        <f>SUMIFS(Imput[[Importe Neto]:[Importe Neto]],Imput[[C. Imp.]:[C. Imp.]],$D548,Imput[[PERIODO Imp.]:[PERIODO Imp.]],CZ$9)</f>
        <v>0</v>
      </c>
      <c r="DA548" s="693">
        <f>SUMIFS(Imput[[Importe Neto]:[Importe Neto]],Imput[[C. Imp.]:[C. Imp.]],$D548,Imput[[PERIODO Imp.]:[PERIODO Imp.]],DA$9)</f>
        <v>0</v>
      </c>
      <c r="DB548" s="693">
        <f>SUMIFS(Imput[[Importe Neto]:[Importe Neto]],Imput[[C. Imp.]:[C. Imp.]],$D548,Imput[[PERIODO Imp.]:[PERIODO Imp.]],DB$9)</f>
        <v>0</v>
      </c>
      <c r="DC548" s="693">
        <f>SUMIFS(Imput[[Importe Neto]:[Importe Neto]],Imput[[C. Imp.]:[C. Imp.]],$D548,Imput[[PERIODO Imp.]:[PERIODO Imp.]],DC$9)</f>
        <v>0</v>
      </c>
      <c r="DD548" s="693">
        <f>SUMIFS(Imput[[Importe Neto]:[Importe Neto]],Imput[[C. Imp.]:[C. Imp.]],$D548,Imput[[PERIODO Imp.]:[PERIODO Imp.]],DD$9)</f>
        <v>0</v>
      </c>
      <c r="DE548" s="693">
        <f>SUMIFS(Imput[[Importe Neto]:[Importe Neto]],Imput[[C. Imp.]:[C. Imp.]],$D548,Imput[[PERIODO Imp.]:[PERIODO Imp.]],DE$9)</f>
        <v>0</v>
      </c>
      <c r="DF548" s="693">
        <f>SUMIFS(Imput[[Importe Neto]:[Importe Neto]],Imput[[C. Imp.]:[C. Imp.]],$D548,Imput[[PERIODO Imp.]:[PERIODO Imp.]],DF$9)</f>
        <v>0</v>
      </c>
      <c r="DG548" s="693">
        <f>SUMIFS(Imput[[Importe Neto]:[Importe Neto]],Imput[[C. Imp.]:[C. Imp.]],$D548,Imput[[PERIODO Imp.]:[PERIODO Imp.]],DG$9)</f>
        <v>0</v>
      </c>
      <c r="DH548" s="694">
        <f>SUMIFS(Imput[[Importe Neto]:[Importe Neto]],Imput[[C. Imp.]:[C. Imp.]],$D548,Imput[[PERIODO Imp.]:[PERIODO Imp.]],DH$9)</f>
        <v>0</v>
      </c>
    </row>
    <row r="549" spans="1:112" s="649" customFormat="1" hidden="1" outlineLevel="1" x14ac:dyDescent="0.3">
      <c r="A549" s="652" t="str">
        <f t="shared" si="212"/>
        <v/>
      </c>
      <c r="B549" s="652"/>
      <c r="C549" s="685"/>
      <c r="D549" s="686" t="s">
        <v>2571</v>
      </c>
      <c r="E549" s="686"/>
      <c r="F549" s="720"/>
      <c r="G549" s="688"/>
      <c r="H549" s="689"/>
      <c r="I549" s="851" t="str">
        <f t="shared" si="213"/>
        <v/>
      </c>
      <c r="J549" s="850" t="str">
        <f t="shared" si="214"/>
        <v/>
      </c>
      <c r="K549" s="667"/>
      <c r="L549" s="858"/>
      <c r="M549" s="859"/>
      <c r="N549" s="859"/>
      <c r="O549" s="859"/>
      <c r="P549" s="859"/>
      <c r="Q549" s="859"/>
      <c r="R549" s="859"/>
      <c r="S549" s="859"/>
      <c r="T549" s="859"/>
      <c r="U549" s="859"/>
      <c r="V549" s="859"/>
      <c r="W549" s="859"/>
      <c r="X549" s="859"/>
      <c r="Y549" s="859"/>
      <c r="Z549" s="860"/>
      <c r="AA549" s="860"/>
      <c r="AB549" s="860"/>
      <c r="AC549" s="860"/>
      <c r="AD549" s="860"/>
      <c r="AE549" s="860"/>
      <c r="AF549" s="860"/>
      <c r="AG549" s="860"/>
      <c r="AH549" s="860"/>
      <c r="AI549" s="860"/>
      <c r="AJ549" s="860"/>
      <c r="AK549" s="860"/>
      <c r="AL549" s="860"/>
      <c r="AM549" s="860"/>
      <c r="AN549" s="860"/>
      <c r="AO549" s="860"/>
      <c r="AP549" s="860"/>
      <c r="AQ549" s="860"/>
      <c r="AR549" s="860"/>
      <c r="AS549" s="860"/>
      <c r="AT549" s="860"/>
      <c r="AU549" s="860"/>
      <c r="AV549" s="860"/>
      <c r="AW549" s="860"/>
      <c r="AX549" s="860"/>
      <c r="AY549" s="860"/>
      <c r="AZ549" s="860"/>
      <c r="BA549" s="860"/>
      <c r="BB549" s="860"/>
      <c r="BC549" s="860"/>
      <c r="BD549" s="860"/>
      <c r="BE549" s="860"/>
      <c r="BF549" s="860"/>
      <c r="BG549" s="860"/>
      <c r="BH549" s="668"/>
      <c r="BI549" s="667"/>
      <c r="BJ549" s="690">
        <f t="shared" si="215"/>
        <v>0</v>
      </c>
      <c r="BK549" s="691">
        <f t="shared" si="216"/>
        <v>0</v>
      </c>
      <c r="BL549" s="654"/>
      <c r="BM549" s="692">
        <f>SUMIFS(Imput[[Importe Neto]:[Importe Neto]],Imput[[C. Imp.]:[C. Imp.]],$D549,Imput[[PERIODO Imp.]:[PERIODO Imp.]],BM$9)</f>
        <v>0</v>
      </c>
      <c r="BN549" s="693">
        <f>SUMIFS(Imput[[Importe Neto]:[Importe Neto]],Imput[[C. Imp.]:[C. Imp.]],$D549,Imput[[PERIODO Imp.]:[PERIODO Imp.]],BN$9)</f>
        <v>0</v>
      </c>
      <c r="BO549" s="693">
        <f>SUMIFS(Imput[[Importe Neto]:[Importe Neto]],Imput[[C. Imp.]:[C. Imp.]],$D549,Imput[[PERIODO Imp.]:[PERIODO Imp.]],BO$9)</f>
        <v>0</v>
      </c>
      <c r="BP549" s="693">
        <f>SUMIFS(Imput[[Importe Neto]:[Importe Neto]],Imput[[C. Imp.]:[C. Imp.]],$D549,Imput[[PERIODO Imp.]:[PERIODO Imp.]],BP$9)</f>
        <v>0</v>
      </c>
      <c r="BQ549" s="693">
        <f>SUMIFS(Imput[[Importe Neto]:[Importe Neto]],Imput[[C. Imp.]:[C. Imp.]],$D549,Imput[[PERIODO Imp.]:[PERIODO Imp.]],BQ$9)</f>
        <v>0</v>
      </c>
      <c r="BR549" s="693">
        <f>SUMIFS(Imput[[Importe Neto]:[Importe Neto]],Imput[[C. Imp.]:[C. Imp.]],$D549,Imput[[PERIODO Imp.]:[PERIODO Imp.]],BR$9)</f>
        <v>0</v>
      </c>
      <c r="BS549" s="693">
        <f>SUMIFS(Imput[[Importe Neto]:[Importe Neto]],Imput[[C. Imp.]:[C. Imp.]],$D549,Imput[[PERIODO Imp.]:[PERIODO Imp.]],BS$9)</f>
        <v>0</v>
      </c>
      <c r="BT549" s="693">
        <f>SUMIFS(Imput[[Importe Neto]:[Importe Neto]],Imput[[C. Imp.]:[C. Imp.]],$D549,Imput[[PERIODO Imp.]:[PERIODO Imp.]],BT$9)</f>
        <v>0</v>
      </c>
      <c r="BU549" s="693">
        <f>SUMIFS(Imput[[Importe Neto]:[Importe Neto]],Imput[[C. Imp.]:[C. Imp.]],$D549,Imput[[PERIODO Imp.]:[PERIODO Imp.]],BU$9)</f>
        <v>0</v>
      </c>
      <c r="BV549" s="693">
        <f>SUMIFS(Imput[[Importe Neto]:[Importe Neto]],Imput[[C. Imp.]:[C. Imp.]],$D549,Imput[[PERIODO Imp.]:[PERIODO Imp.]],BV$9)</f>
        <v>0</v>
      </c>
      <c r="BW549" s="693">
        <f>SUMIFS(Imput[[Importe Neto]:[Importe Neto]],Imput[[C. Imp.]:[C. Imp.]],$D549,Imput[[PERIODO Imp.]:[PERIODO Imp.]],BW$9)</f>
        <v>0</v>
      </c>
      <c r="BX549" s="693">
        <f>SUMIFS(Imput[[Importe Neto]:[Importe Neto]],Imput[[C. Imp.]:[C. Imp.]],$D549,Imput[[PERIODO Imp.]:[PERIODO Imp.]],BX$9)</f>
        <v>0</v>
      </c>
      <c r="BY549" s="693">
        <f>SUMIFS(Imput[[Importe Neto]:[Importe Neto]],Imput[[C. Imp.]:[C. Imp.]],$D549,Imput[[PERIODO Imp.]:[PERIODO Imp.]],BY$9)</f>
        <v>0</v>
      </c>
      <c r="BZ549" s="693">
        <f>SUMIFS(Imput[[Importe Neto]:[Importe Neto]],Imput[[C. Imp.]:[C. Imp.]],$D549,Imput[[PERIODO Imp.]:[PERIODO Imp.]],BZ$9)</f>
        <v>0</v>
      </c>
      <c r="CA549" s="693">
        <f>SUMIFS(Imput[[Importe Neto]:[Importe Neto]],Imput[[C. Imp.]:[C. Imp.]],$D549,Imput[[PERIODO Imp.]:[PERIODO Imp.]],CA$9)</f>
        <v>0</v>
      </c>
      <c r="CB549" s="693">
        <f>SUMIFS(Imput[[Importe Neto]:[Importe Neto]],Imput[[C. Imp.]:[C. Imp.]],$D549,Imput[[PERIODO Imp.]:[PERIODO Imp.]],CB$9)</f>
        <v>0</v>
      </c>
      <c r="CC549" s="693">
        <f>SUMIFS(Imput[[Importe Neto]:[Importe Neto]],Imput[[C. Imp.]:[C. Imp.]],$D549,Imput[[PERIODO Imp.]:[PERIODO Imp.]],CC$9)</f>
        <v>0</v>
      </c>
      <c r="CD549" s="693">
        <f>SUMIFS(Imput[[Importe Neto]:[Importe Neto]],Imput[[C. Imp.]:[C. Imp.]],$D549,Imput[[PERIODO Imp.]:[PERIODO Imp.]],CD$9)</f>
        <v>0</v>
      </c>
      <c r="CE549" s="693">
        <f>SUMIFS(Imput[[Importe Neto]:[Importe Neto]],Imput[[C. Imp.]:[C. Imp.]],$D549,Imput[[PERIODO Imp.]:[PERIODO Imp.]],CE$9)</f>
        <v>0</v>
      </c>
      <c r="CF549" s="693">
        <f>SUMIFS(Imput[[Importe Neto]:[Importe Neto]],Imput[[C. Imp.]:[C. Imp.]],$D549,Imput[[PERIODO Imp.]:[PERIODO Imp.]],CF$9)</f>
        <v>0</v>
      </c>
      <c r="CG549" s="693">
        <f>SUMIFS(Imput[[Importe Neto]:[Importe Neto]],Imput[[C. Imp.]:[C. Imp.]],$D549,Imput[[PERIODO Imp.]:[PERIODO Imp.]],CG$9)</f>
        <v>0</v>
      </c>
      <c r="CH549" s="693">
        <f>SUMIFS(Imput[[Importe Neto]:[Importe Neto]],Imput[[C. Imp.]:[C. Imp.]],$D549,Imput[[PERIODO Imp.]:[PERIODO Imp.]],CH$9)</f>
        <v>0</v>
      </c>
      <c r="CI549" s="693">
        <f>SUMIFS(Imput[[Importe Neto]:[Importe Neto]],Imput[[C. Imp.]:[C. Imp.]],$D549,Imput[[PERIODO Imp.]:[PERIODO Imp.]],CI$9)</f>
        <v>0</v>
      </c>
      <c r="CJ549" s="693">
        <f>SUMIFS(Imput[[Importe Neto]:[Importe Neto]],Imput[[C. Imp.]:[C. Imp.]],$D549,Imput[[PERIODO Imp.]:[PERIODO Imp.]],CJ$9)</f>
        <v>0</v>
      </c>
      <c r="CK549" s="693">
        <f>SUMIFS(Imput[[Importe Neto]:[Importe Neto]],Imput[[C. Imp.]:[C. Imp.]],$D549,Imput[[PERIODO Imp.]:[PERIODO Imp.]],CK$9)</f>
        <v>0</v>
      </c>
      <c r="CL549" s="693">
        <f>SUMIFS(Imput[[Importe Neto]:[Importe Neto]],Imput[[C. Imp.]:[C. Imp.]],$D549,Imput[[PERIODO Imp.]:[PERIODO Imp.]],CL$9)</f>
        <v>0</v>
      </c>
      <c r="CM549" s="693">
        <f>SUMIFS(Imput[[Importe Neto]:[Importe Neto]],Imput[[C. Imp.]:[C. Imp.]],$D549,Imput[[PERIODO Imp.]:[PERIODO Imp.]],CM$9)</f>
        <v>0</v>
      </c>
      <c r="CN549" s="693">
        <f>SUMIFS(Imput[[Importe Neto]:[Importe Neto]],Imput[[C. Imp.]:[C. Imp.]],$D549,Imput[[PERIODO Imp.]:[PERIODO Imp.]],CN$9)</f>
        <v>0</v>
      </c>
      <c r="CO549" s="693">
        <f>SUMIFS(Imput[[Importe Neto]:[Importe Neto]],Imput[[C. Imp.]:[C. Imp.]],$D549,Imput[[PERIODO Imp.]:[PERIODO Imp.]],CO$9)</f>
        <v>0</v>
      </c>
      <c r="CP549" s="693">
        <f>SUMIFS(Imput[[Importe Neto]:[Importe Neto]],Imput[[C. Imp.]:[C. Imp.]],$D549,Imput[[PERIODO Imp.]:[PERIODO Imp.]],CP$9)</f>
        <v>0</v>
      </c>
      <c r="CQ549" s="693">
        <f>SUMIFS(Imput[[Importe Neto]:[Importe Neto]],Imput[[C. Imp.]:[C. Imp.]],$D549,Imput[[PERIODO Imp.]:[PERIODO Imp.]],CQ$9)</f>
        <v>0</v>
      </c>
      <c r="CR549" s="693">
        <f>SUMIFS(Imput[[Importe Neto]:[Importe Neto]],Imput[[C. Imp.]:[C. Imp.]],$D549,Imput[[PERIODO Imp.]:[PERIODO Imp.]],CR$9)</f>
        <v>0</v>
      </c>
      <c r="CS549" s="693">
        <f>SUMIFS(Imput[[Importe Neto]:[Importe Neto]],Imput[[C. Imp.]:[C. Imp.]],$D549,Imput[[PERIODO Imp.]:[PERIODO Imp.]],CS$9)</f>
        <v>0</v>
      </c>
      <c r="CT549" s="693">
        <f>SUMIFS(Imput[[Importe Neto]:[Importe Neto]],Imput[[C. Imp.]:[C. Imp.]],$D549,Imput[[PERIODO Imp.]:[PERIODO Imp.]],CT$9)</f>
        <v>0</v>
      </c>
      <c r="CU549" s="693">
        <f>SUMIFS(Imput[[Importe Neto]:[Importe Neto]],Imput[[C. Imp.]:[C. Imp.]],$D549,Imput[[PERIODO Imp.]:[PERIODO Imp.]],CU$9)</f>
        <v>0</v>
      </c>
      <c r="CV549" s="693">
        <f>SUMIFS(Imput[[Importe Neto]:[Importe Neto]],Imput[[C. Imp.]:[C. Imp.]],$D549,Imput[[PERIODO Imp.]:[PERIODO Imp.]],CV$9)</f>
        <v>0</v>
      </c>
      <c r="CW549" s="693">
        <f>SUMIFS(Imput[[Importe Neto]:[Importe Neto]],Imput[[C. Imp.]:[C. Imp.]],$D549,Imput[[PERIODO Imp.]:[PERIODO Imp.]],CW$9)</f>
        <v>0</v>
      </c>
      <c r="CX549" s="693">
        <f>SUMIFS(Imput[[Importe Neto]:[Importe Neto]],Imput[[C. Imp.]:[C. Imp.]],$D549,Imput[[PERIODO Imp.]:[PERIODO Imp.]],CX$9)</f>
        <v>0</v>
      </c>
      <c r="CY549" s="693">
        <f>SUMIFS(Imput[[Importe Neto]:[Importe Neto]],Imput[[C. Imp.]:[C. Imp.]],$D549,Imput[[PERIODO Imp.]:[PERIODO Imp.]],CY$9)</f>
        <v>0</v>
      </c>
      <c r="CZ549" s="693">
        <f>SUMIFS(Imput[[Importe Neto]:[Importe Neto]],Imput[[C. Imp.]:[C. Imp.]],$D549,Imput[[PERIODO Imp.]:[PERIODO Imp.]],CZ$9)</f>
        <v>0</v>
      </c>
      <c r="DA549" s="693">
        <f>SUMIFS(Imput[[Importe Neto]:[Importe Neto]],Imput[[C. Imp.]:[C. Imp.]],$D549,Imput[[PERIODO Imp.]:[PERIODO Imp.]],DA$9)</f>
        <v>0</v>
      </c>
      <c r="DB549" s="693">
        <f>SUMIFS(Imput[[Importe Neto]:[Importe Neto]],Imput[[C. Imp.]:[C. Imp.]],$D549,Imput[[PERIODO Imp.]:[PERIODO Imp.]],DB$9)</f>
        <v>0</v>
      </c>
      <c r="DC549" s="693">
        <f>SUMIFS(Imput[[Importe Neto]:[Importe Neto]],Imput[[C. Imp.]:[C. Imp.]],$D549,Imput[[PERIODO Imp.]:[PERIODO Imp.]],DC$9)</f>
        <v>0</v>
      </c>
      <c r="DD549" s="693">
        <f>SUMIFS(Imput[[Importe Neto]:[Importe Neto]],Imput[[C. Imp.]:[C. Imp.]],$D549,Imput[[PERIODO Imp.]:[PERIODO Imp.]],DD$9)</f>
        <v>0</v>
      </c>
      <c r="DE549" s="693">
        <f>SUMIFS(Imput[[Importe Neto]:[Importe Neto]],Imput[[C. Imp.]:[C. Imp.]],$D549,Imput[[PERIODO Imp.]:[PERIODO Imp.]],DE$9)</f>
        <v>0</v>
      </c>
      <c r="DF549" s="693">
        <f>SUMIFS(Imput[[Importe Neto]:[Importe Neto]],Imput[[C. Imp.]:[C. Imp.]],$D549,Imput[[PERIODO Imp.]:[PERIODO Imp.]],DF$9)</f>
        <v>0</v>
      </c>
      <c r="DG549" s="693">
        <f>SUMIFS(Imput[[Importe Neto]:[Importe Neto]],Imput[[C. Imp.]:[C. Imp.]],$D549,Imput[[PERIODO Imp.]:[PERIODO Imp.]],DG$9)</f>
        <v>0</v>
      </c>
      <c r="DH549" s="694">
        <f>SUMIFS(Imput[[Importe Neto]:[Importe Neto]],Imput[[C. Imp.]:[C. Imp.]],$D549,Imput[[PERIODO Imp.]:[PERIODO Imp.]],DH$9)</f>
        <v>0</v>
      </c>
    </row>
    <row r="550" spans="1:112" s="649" customFormat="1" hidden="1" outlineLevel="1" x14ac:dyDescent="0.3">
      <c r="A550" s="652" t="str">
        <f t="shared" si="212"/>
        <v/>
      </c>
      <c r="B550" s="652"/>
      <c r="C550" s="685"/>
      <c r="D550" s="686" t="s">
        <v>2572</v>
      </c>
      <c r="E550" s="686"/>
      <c r="F550" s="720"/>
      <c r="G550" s="688"/>
      <c r="H550" s="689"/>
      <c r="I550" s="851" t="str">
        <f t="shared" si="213"/>
        <v/>
      </c>
      <c r="J550" s="850" t="str">
        <f t="shared" si="214"/>
        <v/>
      </c>
      <c r="K550" s="667"/>
      <c r="L550" s="858"/>
      <c r="M550" s="859"/>
      <c r="N550" s="859"/>
      <c r="O550" s="859"/>
      <c r="P550" s="859"/>
      <c r="Q550" s="859"/>
      <c r="R550" s="859"/>
      <c r="S550" s="859"/>
      <c r="T550" s="859"/>
      <c r="U550" s="859"/>
      <c r="V550" s="859"/>
      <c r="W550" s="859"/>
      <c r="X550" s="859"/>
      <c r="Y550" s="859"/>
      <c r="Z550" s="860"/>
      <c r="AA550" s="860"/>
      <c r="AB550" s="860"/>
      <c r="AC550" s="860"/>
      <c r="AD550" s="860"/>
      <c r="AE550" s="860"/>
      <c r="AF550" s="860"/>
      <c r="AG550" s="860"/>
      <c r="AH550" s="860"/>
      <c r="AI550" s="860"/>
      <c r="AJ550" s="860"/>
      <c r="AK550" s="860"/>
      <c r="AL550" s="860"/>
      <c r="AM550" s="860"/>
      <c r="AN550" s="860"/>
      <c r="AO550" s="860"/>
      <c r="AP550" s="860"/>
      <c r="AQ550" s="860"/>
      <c r="AR550" s="860"/>
      <c r="AS550" s="860"/>
      <c r="AT550" s="860"/>
      <c r="AU550" s="860"/>
      <c r="AV550" s="860"/>
      <c r="AW550" s="860"/>
      <c r="AX550" s="860"/>
      <c r="AY550" s="860"/>
      <c r="AZ550" s="860"/>
      <c r="BA550" s="860"/>
      <c r="BB550" s="860"/>
      <c r="BC550" s="860"/>
      <c r="BD550" s="860"/>
      <c r="BE550" s="860"/>
      <c r="BF550" s="860"/>
      <c r="BG550" s="860"/>
      <c r="BH550" s="668"/>
      <c r="BI550" s="667"/>
      <c r="BJ550" s="690">
        <f t="shared" si="215"/>
        <v>0</v>
      </c>
      <c r="BK550" s="691">
        <f t="shared" si="216"/>
        <v>0</v>
      </c>
      <c r="BL550" s="654"/>
      <c r="BM550" s="692">
        <f>SUMIFS(Imput[[Importe Neto]:[Importe Neto]],Imput[[C. Imp.]:[C. Imp.]],$D550,Imput[[PERIODO Imp.]:[PERIODO Imp.]],BM$9)</f>
        <v>0</v>
      </c>
      <c r="BN550" s="693">
        <f>SUMIFS(Imput[[Importe Neto]:[Importe Neto]],Imput[[C. Imp.]:[C. Imp.]],$D550,Imput[[PERIODO Imp.]:[PERIODO Imp.]],BN$9)</f>
        <v>0</v>
      </c>
      <c r="BO550" s="693">
        <f>SUMIFS(Imput[[Importe Neto]:[Importe Neto]],Imput[[C. Imp.]:[C. Imp.]],$D550,Imput[[PERIODO Imp.]:[PERIODO Imp.]],BO$9)</f>
        <v>0</v>
      </c>
      <c r="BP550" s="693">
        <f>SUMIFS(Imput[[Importe Neto]:[Importe Neto]],Imput[[C. Imp.]:[C. Imp.]],$D550,Imput[[PERIODO Imp.]:[PERIODO Imp.]],BP$9)</f>
        <v>0</v>
      </c>
      <c r="BQ550" s="693">
        <f>SUMIFS(Imput[[Importe Neto]:[Importe Neto]],Imput[[C. Imp.]:[C. Imp.]],$D550,Imput[[PERIODO Imp.]:[PERIODO Imp.]],BQ$9)</f>
        <v>0</v>
      </c>
      <c r="BR550" s="693">
        <f>SUMIFS(Imput[[Importe Neto]:[Importe Neto]],Imput[[C. Imp.]:[C. Imp.]],$D550,Imput[[PERIODO Imp.]:[PERIODO Imp.]],BR$9)</f>
        <v>0</v>
      </c>
      <c r="BS550" s="693">
        <f>SUMIFS(Imput[[Importe Neto]:[Importe Neto]],Imput[[C. Imp.]:[C. Imp.]],$D550,Imput[[PERIODO Imp.]:[PERIODO Imp.]],BS$9)</f>
        <v>0</v>
      </c>
      <c r="BT550" s="693">
        <f>SUMIFS(Imput[[Importe Neto]:[Importe Neto]],Imput[[C. Imp.]:[C. Imp.]],$D550,Imput[[PERIODO Imp.]:[PERIODO Imp.]],BT$9)</f>
        <v>0</v>
      </c>
      <c r="BU550" s="693">
        <f>SUMIFS(Imput[[Importe Neto]:[Importe Neto]],Imput[[C. Imp.]:[C. Imp.]],$D550,Imput[[PERIODO Imp.]:[PERIODO Imp.]],BU$9)</f>
        <v>0</v>
      </c>
      <c r="BV550" s="693">
        <f>SUMIFS(Imput[[Importe Neto]:[Importe Neto]],Imput[[C. Imp.]:[C. Imp.]],$D550,Imput[[PERIODO Imp.]:[PERIODO Imp.]],BV$9)</f>
        <v>0</v>
      </c>
      <c r="BW550" s="693">
        <f>SUMIFS(Imput[[Importe Neto]:[Importe Neto]],Imput[[C. Imp.]:[C. Imp.]],$D550,Imput[[PERIODO Imp.]:[PERIODO Imp.]],BW$9)</f>
        <v>0</v>
      </c>
      <c r="BX550" s="693">
        <f>SUMIFS(Imput[[Importe Neto]:[Importe Neto]],Imput[[C. Imp.]:[C. Imp.]],$D550,Imput[[PERIODO Imp.]:[PERIODO Imp.]],BX$9)</f>
        <v>0</v>
      </c>
      <c r="BY550" s="693">
        <f>SUMIFS(Imput[[Importe Neto]:[Importe Neto]],Imput[[C. Imp.]:[C. Imp.]],$D550,Imput[[PERIODO Imp.]:[PERIODO Imp.]],BY$9)</f>
        <v>0</v>
      </c>
      <c r="BZ550" s="693">
        <f>SUMIFS(Imput[[Importe Neto]:[Importe Neto]],Imput[[C. Imp.]:[C. Imp.]],$D550,Imput[[PERIODO Imp.]:[PERIODO Imp.]],BZ$9)</f>
        <v>0</v>
      </c>
      <c r="CA550" s="693">
        <f>SUMIFS(Imput[[Importe Neto]:[Importe Neto]],Imput[[C. Imp.]:[C. Imp.]],$D550,Imput[[PERIODO Imp.]:[PERIODO Imp.]],CA$9)</f>
        <v>0</v>
      </c>
      <c r="CB550" s="693">
        <f>SUMIFS(Imput[[Importe Neto]:[Importe Neto]],Imput[[C. Imp.]:[C. Imp.]],$D550,Imput[[PERIODO Imp.]:[PERIODO Imp.]],CB$9)</f>
        <v>0</v>
      </c>
      <c r="CC550" s="693">
        <f>SUMIFS(Imput[[Importe Neto]:[Importe Neto]],Imput[[C. Imp.]:[C. Imp.]],$D550,Imput[[PERIODO Imp.]:[PERIODO Imp.]],CC$9)</f>
        <v>0</v>
      </c>
      <c r="CD550" s="693">
        <f>SUMIFS(Imput[[Importe Neto]:[Importe Neto]],Imput[[C. Imp.]:[C. Imp.]],$D550,Imput[[PERIODO Imp.]:[PERIODO Imp.]],CD$9)</f>
        <v>0</v>
      </c>
      <c r="CE550" s="693">
        <f>SUMIFS(Imput[[Importe Neto]:[Importe Neto]],Imput[[C. Imp.]:[C. Imp.]],$D550,Imput[[PERIODO Imp.]:[PERIODO Imp.]],CE$9)</f>
        <v>0</v>
      </c>
      <c r="CF550" s="693">
        <f>SUMIFS(Imput[[Importe Neto]:[Importe Neto]],Imput[[C. Imp.]:[C. Imp.]],$D550,Imput[[PERIODO Imp.]:[PERIODO Imp.]],CF$9)</f>
        <v>0</v>
      </c>
      <c r="CG550" s="693">
        <f>SUMIFS(Imput[[Importe Neto]:[Importe Neto]],Imput[[C. Imp.]:[C. Imp.]],$D550,Imput[[PERIODO Imp.]:[PERIODO Imp.]],CG$9)</f>
        <v>0</v>
      </c>
      <c r="CH550" s="693">
        <f>SUMIFS(Imput[[Importe Neto]:[Importe Neto]],Imput[[C. Imp.]:[C. Imp.]],$D550,Imput[[PERIODO Imp.]:[PERIODO Imp.]],CH$9)</f>
        <v>0</v>
      </c>
      <c r="CI550" s="693">
        <f>SUMIFS(Imput[[Importe Neto]:[Importe Neto]],Imput[[C. Imp.]:[C. Imp.]],$D550,Imput[[PERIODO Imp.]:[PERIODO Imp.]],CI$9)</f>
        <v>0</v>
      </c>
      <c r="CJ550" s="693">
        <f>SUMIFS(Imput[[Importe Neto]:[Importe Neto]],Imput[[C. Imp.]:[C. Imp.]],$D550,Imput[[PERIODO Imp.]:[PERIODO Imp.]],CJ$9)</f>
        <v>0</v>
      </c>
      <c r="CK550" s="693">
        <f>SUMIFS(Imput[[Importe Neto]:[Importe Neto]],Imput[[C. Imp.]:[C. Imp.]],$D550,Imput[[PERIODO Imp.]:[PERIODO Imp.]],CK$9)</f>
        <v>0</v>
      </c>
      <c r="CL550" s="693">
        <f>SUMIFS(Imput[[Importe Neto]:[Importe Neto]],Imput[[C. Imp.]:[C. Imp.]],$D550,Imput[[PERIODO Imp.]:[PERIODO Imp.]],CL$9)</f>
        <v>0</v>
      </c>
      <c r="CM550" s="693">
        <f>SUMIFS(Imput[[Importe Neto]:[Importe Neto]],Imput[[C. Imp.]:[C. Imp.]],$D550,Imput[[PERIODO Imp.]:[PERIODO Imp.]],CM$9)</f>
        <v>0</v>
      </c>
      <c r="CN550" s="693">
        <f>SUMIFS(Imput[[Importe Neto]:[Importe Neto]],Imput[[C. Imp.]:[C. Imp.]],$D550,Imput[[PERIODO Imp.]:[PERIODO Imp.]],CN$9)</f>
        <v>0</v>
      </c>
      <c r="CO550" s="693">
        <f>SUMIFS(Imput[[Importe Neto]:[Importe Neto]],Imput[[C. Imp.]:[C. Imp.]],$D550,Imput[[PERIODO Imp.]:[PERIODO Imp.]],CO$9)</f>
        <v>0</v>
      </c>
      <c r="CP550" s="693">
        <f>SUMIFS(Imput[[Importe Neto]:[Importe Neto]],Imput[[C. Imp.]:[C. Imp.]],$D550,Imput[[PERIODO Imp.]:[PERIODO Imp.]],CP$9)</f>
        <v>0</v>
      </c>
      <c r="CQ550" s="693">
        <f>SUMIFS(Imput[[Importe Neto]:[Importe Neto]],Imput[[C. Imp.]:[C. Imp.]],$D550,Imput[[PERIODO Imp.]:[PERIODO Imp.]],CQ$9)</f>
        <v>0</v>
      </c>
      <c r="CR550" s="693">
        <f>SUMIFS(Imput[[Importe Neto]:[Importe Neto]],Imput[[C. Imp.]:[C. Imp.]],$D550,Imput[[PERIODO Imp.]:[PERIODO Imp.]],CR$9)</f>
        <v>0</v>
      </c>
      <c r="CS550" s="693">
        <f>SUMIFS(Imput[[Importe Neto]:[Importe Neto]],Imput[[C. Imp.]:[C. Imp.]],$D550,Imput[[PERIODO Imp.]:[PERIODO Imp.]],CS$9)</f>
        <v>0</v>
      </c>
      <c r="CT550" s="693">
        <f>SUMIFS(Imput[[Importe Neto]:[Importe Neto]],Imput[[C. Imp.]:[C. Imp.]],$D550,Imput[[PERIODO Imp.]:[PERIODO Imp.]],CT$9)</f>
        <v>0</v>
      </c>
      <c r="CU550" s="693">
        <f>SUMIFS(Imput[[Importe Neto]:[Importe Neto]],Imput[[C. Imp.]:[C. Imp.]],$D550,Imput[[PERIODO Imp.]:[PERIODO Imp.]],CU$9)</f>
        <v>0</v>
      </c>
      <c r="CV550" s="693">
        <f>SUMIFS(Imput[[Importe Neto]:[Importe Neto]],Imput[[C. Imp.]:[C. Imp.]],$D550,Imput[[PERIODO Imp.]:[PERIODO Imp.]],CV$9)</f>
        <v>0</v>
      </c>
      <c r="CW550" s="693">
        <f>SUMIFS(Imput[[Importe Neto]:[Importe Neto]],Imput[[C. Imp.]:[C. Imp.]],$D550,Imput[[PERIODO Imp.]:[PERIODO Imp.]],CW$9)</f>
        <v>0</v>
      </c>
      <c r="CX550" s="693">
        <f>SUMIFS(Imput[[Importe Neto]:[Importe Neto]],Imput[[C. Imp.]:[C. Imp.]],$D550,Imput[[PERIODO Imp.]:[PERIODO Imp.]],CX$9)</f>
        <v>0</v>
      </c>
      <c r="CY550" s="693">
        <f>SUMIFS(Imput[[Importe Neto]:[Importe Neto]],Imput[[C. Imp.]:[C. Imp.]],$D550,Imput[[PERIODO Imp.]:[PERIODO Imp.]],CY$9)</f>
        <v>0</v>
      </c>
      <c r="CZ550" s="693">
        <f>SUMIFS(Imput[[Importe Neto]:[Importe Neto]],Imput[[C. Imp.]:[C. Imp.]],$D550,Imput[[PERIODO Imp.]:[PERIODO Imp.]],CZ$9)</f>
        <v>0</v>
      </c>
      <c r="DA550" s="693">
        <f>SUMIFS(Imput[[Importe Neto]:[Importe Neto]],Imput[[C. Imp.]:[C. Imp.]],$D550,Imput[[PERIODO Imp.]:[PERIODO Imp.]],DA$9)</f>
        <v>0</v>
      </c>
      <c r="DB550" s="693">
        <f>SUMIFS(Imput[[Importe Neto]:[Importe Neto]],Imput[[C. Imp.]:[C. Imp.]],$D550,Imput[[PERIODO Imp.]:[PERIODO Imp.]],DB$9)</f>
        <v>0</v>
      </c>
      <c r="DC550" s="693">
        <f>SUMIFS(Imput[[Importe Neto]:[Importe Neto]],Imput[[C. Imp.]:[C. Imp.]],$D550,Imput[[PERIODO Imp.]:[PERIODO Imp.]],DC$9)</f>
        <v>0</v>
      </c>
      <c r="DD550" s="693">
        <f>SUMIFS(Imput[[Importe Neto]:[Importe Neto]],Imput[[C. Imp.]:[C. Imp.]],$D550,Imput[[PERIODO Imp.]:[PERIODO Imp.]],DD$9)</f>
        <v>0</v>
      </c>
      <c r="DE550" s="693">
        <f>SUMIFS(Imput[[Importe Neto]:[Importe Neto]],Imput[[C. Imp.]:[C. Imp.]],$D550,Imput[[PERIODO Imp.]:[PERIODO Imp.]],DE$9)</f>
        <v>0</v>
      </c>
      <c r="DF550" s="693">
        <f>SUMIFS(Imput[[Importe Neto]:[Importe Neto]],Imput[[C. Imp.]:[C. Imp.]],$D550,Imput[[PERIODO Imp.]:[PERIODO Imp.]],DF$9)</f>
        <v>0</v>
      </c>
      <c r="DG550" s="693">
        <f>SUMIFS(Imput[[Importe Neto]:[Importe Neto]],Imput[[C. Imp.]:[C. Imp.]],$D550,Imput[[PERIODO Imp.]:[PERIODO Imp.]],DG$9)</f>
        <v>0</v>
      </c>
      <c r="DH550" s="694">
        <f>SUMIFS(Imput[[Importe Neto]:[Importe Neto]],Imput[[C. Imp.]:[C. Imp.]],$D550,Imput[[PERIODO Imp.]:[PERIODO Imp.]],DH$9)</f>
        <v>0</v>
      </c>
    </row>
    <row r="551" spans="1:112" s="649" customFormat="1" hidden="1" outlineLevel="1" x14ac:dyDescent="0.3">
      <c r="A551" s="652" t="str">
        <f t="shared" si="212"/>
        <v/>
      </c>
      <c r="B551" s="652"/>
      <c r="C551" s="685"/>
      <c r="D551" s="686" t="s">
        <v>2573</v>
      </c>
      <c r="E551" s="686"/>
      <c r="F551" s="720"/>
      <c r="G551" s="688"/>
      <c r="H551" s="689"/>
      <c r="I551" s="851" t="str">
        <f t="shared" si="213"/>
        <v/>
      </c>
      <c r="J551" s="850" t="str">
        <f t="shared" si="214"/>
        <v/>
      </c>
      <c r="K551" s="667"/>
      <c r="L551" s="858"/>
      <c r="M551" s="859"/>
      <c r="N551" s="859"/>
      <c r="O551" s="859"/>
      <c r="P551" s="859"/>
      <c r="Q551" s="859"/>
      <c r="R551" s="859"/>
      <c r="S551" s="859"/>
      <c r="T551" s="859"/>
      <c r="U551" s="859"/>
      <c r="V551" s="859"/>
      <c r="W551" s="859"/>
      <c r="X551" s="859"/>
      <c r="Y551" s="859"/>
      <c r="Z551" s="860"/>
      <c r="AA551" s="860"/>
      <c r="AB551" s="860"/>
      <c r="AC551" s="860"/>
      <c r="AD551" s="860"/>
      <c r="AE551" s="860"/>
      <c r="AF551" s="860"/>
      <c r="AG551" s="860"/>
      <c r="AH551" s="860"/>
      <c r="AI551" s="860"/>
      <c r="AJ551" s="860"/>
      <c r="AK551" s="860"/>
      <c r="AL551" s="860"/>
      <c r="AM551" s="860"/>
      <c r="AN551" s="860"/>
      <c r="AO551" s="860"/>
      <c r="AP551" s="860"/>
      <c r="AQ551" s="860"/>
      <c r="AR551" s="860"/>
      <c r="AS551" s="860"/>
      <c r="AT551" s="860"/>
      <c r="AU551" s="860"/>
      <c r="AV551" s="860"/>
      <c r="AW551" s="860"/>
      <c r="AX551" s="860"/>
      <c r="AY551" s="860"/>
      <c r="AZ551" s="860"/>
      <c r="BA551" s="860"/>
      <c r="BB551" s="860"/>
      <c r="BC551" s="860"/>
      <c r="BD551" s="860"/>
      <c r="BE551" s="860"/>
      <c r="BF551" s="860"/>
      <c r="BG551" s="860"/>
      <c r="BH551" s="668"/>
      <c r="BI551" s="667"/>
      <c r="BJ551" s="690">
        <f t="shared" si="215"/>
        <v>0</v>
      </c>
      <c r="BK551" s="691">
        <f t="shared" si="216"/>
        <v>0</v>
      </c>
      <c r="BL551" s="654"/>
      <c r="BM551" s="692">
        <f>SUMIFS(Imput[[Importe Neto]:[Importe Neto]],Imput[[C. Imp.]:[C. Imp.]],$D551,Imput[[PERIODO Imp.]:[PERIODO Imp.]],BM$9)</f>
        <v>0</v>
      </c>
      <c r="BN551" s="693">
        <f>SUMIFS(Imput[[Importe Neto]:[Importe Neto]],Imput[[C. Imp.]:[C. Imp.]],$D551,Imput[[PERIODO Imp.]:[PERIODO Imp.]],BN$9)</f>
        <v>0</v>
      </c>
      <c r="BO551" s="693">
        <f>SUMIFS(Imput[[Importe Neto]:[Importe Neto]],Imput[[C. Imp.]:[C. Imp.]],$D551,Imput[[PERIODO Imp.]:[PERIODO Imp.]],BO$9)</f>
        <v>0</v>
      </c>
      <c r="BP551" s="693">
        <f>SUMIFS(Imput[[Importe Neto]:[Importe Neto]],Imput[[C. Imp.]:[C. Imp.]],$D551,Imput[[PERIODO Imp.]:[PERIODO Imp.]],BP$9)</f>
        <v>0</v>
      </c>
      <c r="BQ551" s="693">
        <f>SUMIFS(Imput[[Importe Neto]:[Importe Neto]],Imput[[C. Imp.]:[C. Imp.]],$D551,Imput[[PERIODO Imp.]:[PERIODO Imp.]],BQ$9)</f>
        <v>0</v>
      </c>
      <c r="BR551" s="693">
        <f>SUMIFS(Imput[[Importe Neto]:[Importe Neto]],Imput[[C. Imp.]:[C. Imp.]],$D551,Imput[[PERIODO Imp.]:[PERIODO Imp.]],BR$9)</f>
        <v>0</v>
      </c>
      <c r="BS551" s="693">
        <f>SUMIFS(Imput[[Importe Neto]:[Importe Neto]],Imput[[C. Imp.]:[C. Imp.]],$D551,Imput[[PERIODO Imp.]:[PERIODO Imp.]],BS$9)</f>
        <v>0</v>
      </c>
      <c r="BT551" s="693">
        <f>SUMIFS(Imput[[Importe Neto]:[Importe Neto]],Imput[[C. Imp.]:[C. Imp.]],$D551,Imput[[PERIODO Imp.]:[PERIODO Imp.]],BT$9)</f>
        <v>0</v>
      </c>
      <c r="BU551" s="693">
        <f>SUMIFS(Imput[[Importe Neto]:[Importe Neto]],Imput[[C. Imp.]:[C. Imp.]],$D551,Imput[[PERIODO Imp.]:[PERIODO Imp.]],BU$9)</f>
        <v>0</v>
      </c>
      <c r="BV551" s="693">
        <f>SUMIFS(Imput[[Importe Neto]:[Importe Neto]],Imput[[C. Imp.]:[C. Imp.]],$D551,Imput[[PERIODO Imp.]:[PERIODO Imp.]],BV$9)</f>
        <v>0</v>
      </c>
      <c r="BW551" s="693">
        <f>SUMIFS(Imput[[Importe Neto]:[Importe Neto]],Imput[[C. Imp.]:[C. Imp.]],$D551,Imput[[PERIODO Imp.]:[PERIODO Imp.]],BW$9)</f>
        <v>0</v>
      </c>
      <c r="BX551" s="693">
        <f>SUMIFS(Imput[[Importe Neto]:[Importe Neto]],Imput[[C. Imp.]:[C. Imp.]],$D551,Imput[[PERIODO Imp.]:[PERIODO Imp.]],BX$9)</f>
        <v>0</v>
      </c>
      <c r="BY551" s="693">
        <f>SUMIFS(Imput[[Importe Neto]:[Importe Neto]],Imput[[C. Imp.]:[C. Imp.]],$D551,Imput[[PERIODO Imp.]:[PERIODO Imp.]],BY$9)</f>
        <v>0</v>
      </c>
      <c r="BZ551" s="693">
        <f>SUMIFS(Imput[[Importe Neto]:[Importe Neto]],Imput[[C. Imp.]:[C. Imp.]],$D551,Imput[[PERIODO Imp.]:[PERIODO Imp.]],BZ$9)</f>
        <v>0</v>
      </c>
      <c r="CA551" s="693">
        <f>SUMIFS(Imput[[Importe Neto]:[Importe Neto]],Imput[[C. Imp.]:[C. Imp.]],$D551,Imput[[PERIODO Imp.]:[PERIODO Imp.]],CA$9)</f>
        <v>0</v>
      </c>
      <c r="CB551" s="693">
        <f>SUMIFS(Imput[[Importe Neto]:[Importe Neto]],Imput[[C. Imp.]:[C. Imp.]],$D551,Imput[[PERIODO Imp.]:[PERIODO Imp.]],CB$9)</f>
        <v>0</v>
      </c>
      <c r="CC551" s="693">
        <f>SUMIFS(Imput[[Importe Neto]:[Importe Neto]],Imput[[C. Imp.]:[C. Imp.]],$D551,Imput[[PERIODO Imp.]:[PERIODO Imp.]],CC$9)</f>
        <v>0</v>
      </c>
      <c r="CD551" s="693">
        <f>SUMIFS(Imput[[Importe Neto]:[Importe Neto]],Imput[[C. Imp.]:[C. Imp.]],$D551,Imput[[PERIODO Imp.]:[PERIODO Imp.]],CD$9)</f>
        <v>0</v>
      </c>
      <c r="CE551" s="693">
        <f>SUMIFS(Imput[[Importe Neto]:[Importe Neto]],Imput[[C. Imp.]:[C. Imp.]],$D551,Imput[[PERIODO Imp.]:[PERIODO Imp.]],CE$9)</f>
        <v>0</v>
      </c>
      <c r="CF551" s="693">
        <f>SUMIFS(Imput[[Importe Neto]:[Importe Neto]],Imput[[C. Imp.]:[C. Imp.]],$D551,Imput[[PERIODO Imp.]:[PERIODO Imp.]],CF$9)</f>
        <v>0</v>
      </c>
      <c r="CG551" s="693">
        <f>SUMIFS(Imput[[Importe Neto]:[Importe Neto]],Imput[[C. Imp.]:[C. Imp.]],$D551,Imput[[PERIODO Imp.]:[PERIODO Imp.]],CG$9)</f>
        <v>0</v>
      </c>
      <c r="CH551" s="693">
        <f>SUMIFS(Imput[[Importe Neto]:[Importe Neto]],Imput[[C. Imp.]:[C. Imp.]],$D551,Imput[[PERIODO Imp.]:[PERIODO Imp.]],CH$9)</f>
        <v>0</v>
      </c>
      <c r="CI551" s="693">
        <f>SUMIFS(Imput[[Importe Neto]:[Importe Neto]],Imput[[C. Imp.]:[C. Imp.]],$D551,Imput[[PERIODO Imp.]:[PERIODO Imp.]],CI$9)</f>
        <v>0</v>
      </c>
      <c r="CJ551" s="693">
        <f>SUMIFS(Imput[[Importe Neto]:[Importe Neto]],Imput[[C. Imp.]:[C. Imp.]],$D551,Imput[[PERIODO Imp.]:[PERIODO Imp.]],CJ$9)</f>
        <v>0</v>
      </c>
      <c r="CK551" s="693">
        <f>SUMIFS(Imput[[Importe Neto]:[Importe Neto]],Imput[[C. Imp.]:[C. Imp.]],$D551,Imput[[PERIODO Imp.]:[PERIODO Imp.]],CK$9)</f>
        <v>0</v>
      </c>
      <c r="CL551" s="693">
        <f>SUMIFS(Imput[[Importe Neto]:[Importe Neto]],Imput[[C. Imp.]:[C. Imp.]],$D551,Imput[[PERIODO Imp.]:[PERIODO Imp.]],CL$9)</f>
        <v>0</v>
      </c>
      <c r="CM551" s="693">
        <f>SUMIFS(Imput[[Importe Neto]:[Importe Neto]],Imput[[C. Imp.]:[C. Imp.]],$D551,Imput[[PERIODO Imp.]:[PERIODO Imp.]],CM$9)</f>
        <v>0</v>
      </c>
      <c r="CN551" s="693">
        <f>SUMIFS(Imput[[Importe Neto]:[Importe Neto]],Imput[[C. Imp.]:[C. Imp.]],$D551,Imput[[PERIODO Imp.]:[PERIODO Imp.]],CN$9)</f>
        <v>0</v>
      </c>
      <c r="CO551" s="693">
        <f>SUMIFS(Imput[[Importe Neto]:[Importe Neto]],Imput[[C. Imp.]:[C. Imp.]],$D551,Imput[[PERIODO Imp.]:[PERIODO Imp.]],CO$9)</f>
        <v>0</v>
      </c>
      <c r="CP551" s="693">
        <f>SUMIFS(Imput[[Importe Neto]:[Importe Neto]],Imput[[C. Imp.]:[C. Imp.]],$D551,Imput[[PERIODO Imp.]:[PERIODO Imp.]],CP$9)</f>
        <v>0</v>
      </c>
      <c r="CQ551" s="693">
        <f>SUMIFS(Imput[[Importe Neto]:[Importe Neto]],Imput[[C. Imp.]:[C. Imp.]],$D551,Imput[[PERIODO Imp.]:[PERIODO Imp.]],CQ$9)</f>
        <v>0</v>
      </c>
      <c r="CR551" s="693">
        <f>SUMIFS(Imput[[Importe Neto]:[Importe Neto]],Imput[[C. Imp.]:[C. Imp.]],$D551,Imput[[PERIODO Imp.]:[PERIODO Imp.]],CR$9)</f>
        <v>0</v>
      </c>
      <c r="CS551" s="693">
        <f>SUMIFS(Imput[[Importe Neto]:[Importe Neto]],Imput[[C. Imp.]:[C. Imp.]],$D551,Imput[[PERIODO Imp.]:[PERIODO Imp.]],CS$9)</f>
        <v>0</v>
      </c>
      <c r="CT551" s="693">
        <f>SUMIFS(Imput[[Importe Neto]:[Importe Neto]],Imput[[C. Imp.]:[C. Imp.]],$D551,Imput[[PERIODO Imp.]:[PERIODO Imp.]],CT$9)</f>
        <v>0</v>
      </c>
      <c r="CU551" s="693">
        <f>SUMIFS(Imput[[Importe Neto]:[Importe Neto]],Imput[[C. Imp.]:[C. Imp.]],$D551,Imput[[PERIODO Imp.]:[PERIODO Imp.]],CU$9)</f>
        <v>0</v>
      </c>
      <c r="CV551" s="693">
        <f>SUMIFS(Imput[[Importe Neto]:[Importe Neto]],Imput[[C. Imp.]:[C. Imp.]],$D551,Imput[[PERIODO Imp.]:[PERIODO Imp.]],CV$9)</f>
        <v>0</v>
      </c>
      <c r="CW551" s="693">
        <f>SUMIFS(Imput[[Importe Neto]:[Importe Neto]],Imput[[C. Imp.]:[C. Imp.]],$D551,Imput[[PERIODO Imp.]:[PERIODO Imp.]],CW$9)</f>
        <v>0</v>
      </c>
      <c r="CX551" s="693">
        <f>SUMIFS(Imput[[Importe Neto]:[Importe Neto]],Imput[[C. Imp.]:[C. Imp.]],$D551,Imput[[PERIODO Imp.]:[PERIODO Imp.]],CX$9)</f>
        <v>0</v>
      </c>
      <c r="CY551" s="693">
        <f>SUMIFS(Imput[[Importe Neto]:[Importe Neto]],Imput[[C. Imp.]:[C. Imp.]],$D551,Imput[[PERIODO Imp.]:[PERIODO Imp.]],CY$9)</f>
        <v>0</v>
      </c>
      <c r="CZ551" s="693">
        <f>SUMIFS(Imput[[Importe Neto]:[Importe Neto]],Imput[[C. Imp.]:[C. Imp.]],$D551,Imput[[PERIODO Imp.]:[PERIODO Imp.]],CZ$9)</f>
        <v>0</v>
      </c>
      <c r="DA551" s="693">
        <f>SUMIFS(Imput[[Importe Neto]:[Importe Neto]],Imput[[C. Imp.]:[C. Imp.]],$D551,Imput[[PERIODO Imp.]:[PERIODO Imp.]],DA$9)</f>
        <v>0</v>
      </c>
      <c r="DB551" s="693">
        <f>SUMIFS(Imput[[Importe Neto]:[Importe Neto]],Imput[[C. Imp.]:[C. Imp.]],$D551,Imput[[PERIODO Imp.]:[PERIODO Imp.]],DB$9)</f>
        <v>0</v>
      </c>
      <c r="DC551" s="693">
        <f>SUMIFS(Imput[[Importe Neto]:[Importe Neto]],Imput[[C. Imp.]:[C. Imp.]],$D551,Imput[[PERIODO Imp.]:[PERIODO Imp.]],DC$9)</f>
        <v>0</v>
      </c>
      <c r="DD551" s="693">
        <f>SUMIFS(Imput[[Importe Neto]:[Importe Neto]],Imput[[C. Imp.]:[C. Imp.]],$D551,Imput[[PERIODO Imp.]:[PERIODO Imp.]],DD$9)</f>
        <v>0</v>
      </c>
      <c r="DE551" s="693">
        <f>SUMIFS(Imput[[Importe Neto]:[Importe Neto]],Imput[[C. Imp.]:[C. Imp.]],$D551,Imput[[PERIODO Imp.]:[PERIODO Imp.]],DE$9)</f>
        <v>0</v>
      </c>
      <c r="DF551" s="693">
        <f>SUMIFS(Imput[[Importe Neto]:[Importe Neto]],Imput[[C. Imp.]:[C. Imp.]],$D551,Imput[[PERIODO Imp.]:[PERIODO Imp.]],DF$9)</f>
        <v>0</v>
      </c>
      <c r="DG551" s="693">
        <f>SUMIFS(Imput[[Importe Neto]:[Importe Neto]],Imput[[C. Imp.]:[C. Imp.]],$D551,Imput[[PERIODO Imp.]:[PERIODO Imp.]],DG$9)</f>
        <v>0</v>
      </c>
      <c r="DH551" s="694">
        <f>SUMIFS(Imput[[Importe Neto]:[Importe Neto]],Imput[[C. Imp.]:[C. Imp.]],$D551,Imput[[PERIODO Imp.]:[PERIODO Imp.]],DH$9)</f>
        <v>0</v>
      </c>
    </row>
    <row r="552" spans="1:112" s="649" customFormat="1" hidden="1" outlineLevel="1" x14ac:dyDescent="0.3">
      <c r="A552" s="652" t="str">
        <f t="shared" si="212"/>
        <v/>
      </c>
      <c r="B552" s="652"/>
      <c r="C552" s="685"/>
      <c r="D552" s="686" t="s">
        <v>2574</v>
      </c>
      <c r="E552" s="686"/>
      <c r="F552" s="720"/>
      <c r="G552" s="688"/>
      <c r="H552" s="689"/>
      <c r="I552" s="851" t="str">
        <f t="shared" si="213"/>
        <v/>
      </c>
      <c r="J552" s="850" t="str">
        <f t="shared" si="214"/>
        <v/>
      </c>
      <c r="K552" s="667"/>
      <c r="L552" s="858"/>
      <c r="M552" s="859"/>
      <c r="N552" s="859"/>
      <c r="O552" s="859"/>
      <c r="P552" s="859"/>
      <c r="Q552" s="859"/>
      <c r="R552" s="859"/>
      <c r="S552" s="859"/>
      <c r="T552" s="859"/>
      <c r="U552" s="859"/>
      <c r="V552" s="859"/>
      <c r="W552" s="859"/>
      <c r="X552" s="859"/>
      <c r="Y552" s="859"/>
      <c r="Z552" s="860"/>
      <c r="AA552" s="860"/>
      <c r="AB552" s="860"/>
      <c r="AC552" s="860"/>
      <c r="AD552" s="860"/>
      <c r="AE552" s="860"/>
      <c r="AF552" s="860"/>
      <c r="AG552" s="860"/>
      <c r="AH552" s="860"/>
      <c r="AI552" s="860"/>
      <c r="AJ552" s="860"/>
      <c r="AK552" s="860"/>
      <c r="AL552" s="860"/>
      <c r="AM552" s="860"/>
      <c r="AN552" s="860"/>
      <c r="AO552" s="860"/>
      <c r="AP552" s="860"/>
      <c r="AQ552" s="860"/>
      <c r="AR552" s="860"/>
      <c r="AS552" s="860"/>
      <c r="AT552" s="860"/>
      <c r="AU552" s="860"/>
      <c r="AV552" s="860"/>
      <c r="AW552" s="860"/>
      <c r="AX552" s="860"/>
      <c r="AY552" s="860"/>
      <c r="AZ552" s="860"/>
      <c r="BA552" s="860"/>
      <c r="BB552" s="860"/>
      <c r="BC552" s="860"/>
      <c r="BD552" s="860"/>
      <c r="BE552" s="860"/>
      <c r="BF552" s="860"/>
      <c r="BG552" s="860"/>
      <c r="BH552" s="668"/>
      <c r="BI552" s="667"/>
      <c r="BJ552" s="690">
        <f t="shared" si="215"/>
        <v>0</v>
      </c>
      <c r="BK552" s="691">
        <f t="shared" si="216"/>
        <v>0</v>
      </c>
      <c r="BL552" s="654"/>
      <c r="BM552" s="692">
        <f>SUMIFS(Imput[[Importe Neto]:[Importe Neto]],Imput[[C. Imp.]:[C. Imp.]],$D552,Imput[[PERIODO Imp.]:[PERIODO Imp.]],BM$9)</f>
        <v>0</v>
      </c>
      <c r="BN552" s="693">
        <f>SUMIFS(Imput[[Importe Neto]:[Importe Neto]],Imput[[C. Imp.]:[C. Imp.]],$D552,Imput[[PERIODO Imp.]:[PERIODO Imp.]],BN$9)</f>
        <v>0</v>
      </c>
      <c r="BO552" s="693">
        <f>SUMIFS(Imput[[Importe Neto]:[Importe Neto]],Imput[[C. Imp.]:[C. Imp.]],$D552,Imput[[PERIODO Imp.]:[PERIODO Imp.]],BO$9)</f>
        <v>0</v>
      </c>
      <c r="BP552" s="693">
        <f>SUMIFS(Imput[[Importe Neto]:[Importe Neto]],Imput[[C. Imp.]:[C. Imp.]],$D552,Imput[[PERIODO Imp.]:[PERIODO Imp.]],BP$9)</f>
        <v>0</v>
      </c>
      <c r="BQ552" s="693">
        <f>SUMIFS(Imput[[Importe Neto]:[Importe Neto]],Imput[[C. Imp.]:[C. Imp.]],$D552,Imput[[PERIODO Imp.]:[PERIODO Imp.]],BQ$9)</f>
        <v>0</v>
      </c>
      <c r="BR552" s="693">
        <f>SUMIFS(Imput[[Importe Neto]:[Importe Neto]],Imput[[C. Imp.]:[C. Imp.]],$D552,Imput[[PERIODO Imp.]:[PERIODO Imp.]],BR$9)</f>
        <v>0</v>
      </c>
      <c r="BS552" s="693">
        <f>SUMIFS(Imput[[Importe Neto]:[Importe Neto]],Imput[[C. Imp.]:[C. Imp.]],$D552,Imput[[PERIODO Imp.]:[PERIODO Imp.]],BS$9)</f>
        <v>0</v>
      </c>
      <c r="BT552" s="693">
        <f>SUMIFS(Imput[[Importe Neto]:[Importe Neto]],Imput[[C. Imp.]:[C. Imp.]],$D552,Imput[[PERIODO Imp.]:[PERIODO Imp.]],BT$9)</f>
        <v>0</v>
      </c>
      <c r="BU552" s="693">
        <f>SUMIFS(Imput[[Importe Neto]:[Importe Neto]],Imput[[C. Imp.]:[C. Imp.]],$D552,Imput[[PERIODO Imp.]:[PERIODO Imp.]],BU$9)</f>
        <v>0</v>
      </c>
      <c r="BV552" s="693">
        <f>SUMIFS(Imput[[Importe Neto]:[Importe Neto]],Imput[[C. Imp.]:[C. Imp.]],$D552,Imput[[PERIODO Imp.]:[PERIODO Imp.]],BV$9)</f>
        <v>0</v>
      </c>
      <c r="BW552" s="693">
        <f>SUMIFS(Imput[[Importe Neto]:[Importe Neto]],Imput[[C. Imp.]:[C. Imp.]],$D552,Imput[[PERIODO Imp.]:[PERIODO Imp.]],BW$9)</f>
        <v>0</v>
      </c>
      <c r="BX552" s="693">
        <f>SUMIFS(Imput[[Importe Neto]:[Importe Neto]],Imput[[C. Imp.]:[C. Imp.]],$D552,Imput[[PERIODO Imp.]:[PERIODO Imp.]],BX$9)</f>
        <v>0</v>
      </c>
      <c r="BY552" s="693">
        <f>SUMIFS(Imput[[Importe Neto]:[Importe Neto]],Imput[[C. Imp.]:[C. Imp.]],$D552,Imput[[PERIODO Imp.]:[PERIODO Imp.]],BY$9)</f>
        <v>0</v>
      </c>
      <c r="BZ552" s="693">
        <f>SUMIFS(Imput[[Importe Neto]:[Importe Neto]],Imput[[C. Imp.]:[C. Imp.]],$D552,Imput[[PERIODO Imp.]:[PERIODO Imp.]],BZ$9)</f>
        <v>0</v>
      </c>
      <c r="CA552" s="693">
        <f>SUMIFS(Imput[[Importe Neto]:[Importe Neto]],Imput[[C. Imp.]:[C. Imp.]],$D552,Imput[[PERIODO Imp.]:[PERIODO Imp.]],CA$9)</f>
        <v>0</v>
      </c>
      <c r="CB552" s="693">
        <f>SUMIFS(Imput[[Importe Neto]:[Importe Neto]],Imput[[C. Imp.]:[C. Imp.]],$D552,Imput[[PERIODO Imp.]:[PERIODO Imp.]],CB$9)</f>
        <v>0</v>
      </c>
      <c r="CC552" s="693">
        <f>SUMIFS(Imput[[Importe Neto]:[Importe Neto]],Imput[[C. Imp.]:[C. Imp.]],$D552,Imput[[PERIODO Imp.]:[PERIODO Imp.]],CC$9)</f>
        <v>0</v>
      </c>
      <c r="CD552" s="693">
        <f>SUMIFS(Imput[[Importe Neto]:[Importe Neto]],Imput[[C. Imp.]:[C. Imp.]],$D552,Imput[[PERIODO Imp.]:[PERIODO Imp.]],CD$9)</f>
        <v>0</v>
      </c>
      <c r="CE552" s="693">
        <f>SUMIFS(Imput[[Importe Neto]:[Importe Neto]],Imput[[C. Imp.]:[C. Imp.]],$D552,Imput[[PERIODO Imp.]:[PERIODO Imp.]],CE$9)</f>
        <v>0</v>
      </c>
      <c r="CF552" s="693">
        <f>SUMIFS(Imput[[Importe Neto]:[Importe Neto]],Imput[[C. Imp.]:[C. Imp.]],$D552,Imput[[PERIODO Imp.]:[PERIODO Imp.]],CF$9)</f>
        <v>0</v>
      </c>
      <c r="CG552" s="693">
        <f>SUMIFS(Imput[[Importe Neto]:[Importe Neto]],Imput[[C. Imp.]:[C. Imp.]],$D552,Imput[[PERIODO Imp.]:[PERIODO Imp.]],CG$9)</f>
        <v>0</v>
      </c>
      <c r="CH552" s="693">
        <f>SUMIFS(Imput[[Importe Neto]:[Importe Neto]],Imput[[C. Imp.]:[C. Imp.]],$D552,Imput[[PERIODO Imp.]:[PERIODO Imp.]],CH$9)</f>
        <v>0</v>
      </c>
      <c r="CI552" s="693">
        <f>SUMIFS(Imput[[Importe Neto]:[Importe Neto]],Imput[[C. Imp.]:[C. Imp.]],$D552,Imput[[PERIODO Imp.]:[PERIODO Imp.]],CI$9)</f>
        <v>0</v>
      </c>
      <c r="CJ552" s="693">
        <f>SUMIFS(Imput[[Importe Neto]:[Importe Neto]],Imput[[C. Imp.]:[C. Imp.]],$D552,Imput[[PERIODO Imp.]:[PERIODO Imp.]],CJ$9)</f>
        <v>0</v>
      </c>
      <c r="CK552" s="693">
        <f>SUMIFS(Imput[[Importe Neto]:[Importe Neto]],Imput[[C. Imp.]:[C. Imp.]],$D552,Imput[[PERIODO Imp.]:[PERIODO Imp.]],CK$9)</f>
        <v>0</v>
      </c>
      <c r="CL552" s="693">
        <f>SUMIFS(Imput[[Importe Neto]:[Importe Neto]],Imput[[C. Imp.]:[C. Imp.]],$D552,Imput[[PERIODO Imp.]:[PERIODO Imp.]],CL$9)</f>
        <v>0</v>
      </c>
      <c r="CM552" s="693">
        <f>SUMIFS(Imput[[Importe Neto]:[Importe Neto]],Imput[[C. Imp.]:[C. Imp.]],$D552,Imput[[PERIODO Imp.]:[PERIODO Imp.]],CM$9)</f>
        <v>0</v>
      </c>
      <c r="CN552" s="693">
        <f>SUMIFS(Imput[[Importe Neto]:[Importe Neto]],Imput[[C. Imp.]:[C. Imp.]],$D552,Imput[[PERIODO Imp.]:[PERIODO Imp.]],CN$9)</f>
        <v>0</v>
      </c>
      <c r="CO552" s="693">
        <f>SUMIFS(Imput[[Importe Neto]:[Importe Neto]],Imput[[C. Imp.]:[C. Imp.]],$D552,Imput[[PERIODO Imp.]:[PERIODO Imp.]],CO$9)</f>
        <v>0</v>
      </c>
      <c r="CP552" s="693">
        <f>SUMIFS(Imput[[Importe Neto]:[Importe Neto]],Imput[[C. Imp.]:[C. Imp.]],$D552,Imput[[PERIODO Imp.]:[PERIODO Imp.]],CP$9)</f>
        <v>0</v>
      </c>
      <c r="CQ552" s="693">
        <f>SUMIFS(Imput[[Importe Neto]:[Importe Neto]],Imput[[C. Imp.]:[C. Imp.]],$D552,Imput[[PERIODO Imp.]:[PERIODO Imp.]],CQ$9)</f>
        <v>0</v>
      </c>
      <c r="CR552" s="693">
        <f>SUMIFS(Imput[[Importe Neto]:[Importe Neto]],Imput[[C. Imp.]:[C. Imp.]],$D552,Imput[[PERIODO Imp.]:[PERIODO Imp.]],CR$9)</f>
        <v>0</v>
      </c>
      <c r="CS552" s="693">
        <f>SUMIFS(Imput[[Importe Neto]:[Importe Neto]],Imput[[C. Imp.]:[C. Imp.]],$D552,Imput[[PERIODO Imp.]:[PERIODO Imp.]],CS$9)</f>
        <v>0</v>
      </c>
      <c r="CT552" s="693">
        <f>SUMIFS(Imput[[Importe Neto]:[Importe Neto]],Imput[[C. Imp.]:[C. Imp.]],$D552,Imput[[PERIODO Imp.]:[PERIODO Imp.]],CT$9)</f>
        <v>0</v>
      </c>
      <c r="CU552" s="693">
        <f>SUMIFS(Imput[[Importe Neto]:[Importe Neto]],Imput[[C. Imp.]:[C. Imp.]],$D552,Imput[[PERIODO Imp.]:[PERIODO Imp.]],CU$9)</f>
        <v>0</v>
      </c>
      <c r="CV552" s="693">
        <f>SUMIFS(Imput[[Importe Neto]:[Importe Neto]],Imput[[C. Imp.]:[C. Imp.]],$D552,Imput[[PERIODO Imp.]:[PERIODO Imp.]],CV$9)</f>
        <v>0</v>
      </c>
      <c r="CW552" s="693">
        <f>SUMIFS(Imput[[Importe Neto]:[Importe Neto]],Imput[[C. Imp.]:[C. Imp.]],$D552,Imput[[PERIODO Imp.]:[PERIODO Imp.]],CW$9)</f>
        <v>0</v>
      </c>
      <c r="CX552" s="693">
        <f>SUMIFS(Imput[[Importe Neto]:[Importe Neto]],Imput[[C. Imp.]:[C. Imp.]],$D552,Imput[[PERIODO Imp.]:[PERIODO Imp.]],CX$9)</f>
        <v>0</v>
      </c>
      <c r="CY552" s="693">
        <f>SUMIFS(Imput[[Importe Neto]:[Importe Neto]],Imput[[C. Imp.]:[C. Imp.]],$D552,Imput[[PERIODO Imp.]:[PERIODO Imp.]],CY$9)</f>
        <v>0</v>
      </c>
      <c r="CZ552" s="693">
        <f>SUMIFS(Imput[[Importe Neto]:[Importe Neto]],Imput[[C. Imp.]:[C. Imp.]],$D552,Imput[[PERIODO Imp.]:[PERIODO Imp.]],CZ$9)</f>
        <v>0</v>
      </c>
      <c r="DA552" s="693">
        <f>SUMIFS(Imput[[Importe Neto]:[Importe Neto]],Imput[[C. Imp.]:[C. Imp.]],$D552,Imput[[PERIODO Imp.]:[PERIODO Imp.]],DA$9)</f>
        <v>0</v>
      </c>
      <c r="DB552" s="693">
        <f>SUMIFS(Imput[[Importe Neto]:[Importe Neto]],Imput[[C. Imp.]:[C. Imp.]],$D552,Imput[[PERIODO Imp.]:[PERIODO Imp.]],DB$9)</f>
        <v>0</v>
      </c>
      <c r="DC552" s="693">
        <f>SUMIFS(Imput[[Importe Neto]:[Importe Neto]],Imput[[C. Imp.]:[C. Imp.]],$D552,Imput[[PERIODO Imp.]:[PERIODO Imp.]],DC$9)</f>
        <v>0</v>
      </c>
      <c r="DD552" s="693">
        <f>SUMIFS(Imput[[Importe Neto]:[Importe Neto]],Imput[[C. Imp.]:[C. Imp.]],$D552,Imput[[PERIODO Imp.]:[PERIODO Imp.]],DD$9)</f>
        <v>0</v>
      </c>
      <c r="DE552" s="693">
        <f>SUMIFS(Imput[[Importe Neto]:[Importe Neto]],Imput[[C. Imp.]:[C. Imp.]],$D552,Imput[[PERIODO Imp.]:[PERIODO Imp.]],DE$9)</f>
        <v>0</v>
      </c>
      <c r="DF552" s="693">
        <f>SUMIFS(Imput[[Importe Neto]:[Importe Neto]],Imput[[C. Imp.]:[C. Imp.]],$D552,Imput[[PERIODO Imp.]:[PERIODO Imp.]],DF$9)</f>
        <v>0</v>
      </c>
      <c r="DG552" s="693">
        <f>SUMIFS(Imput[[Importe Neto]:[Importe Neto]],Imput[[C. Imp.]:[C. Imp.]],$D552,Imput[[PERIODO Imp.]:[PERIODO Imp.]],DG$9)</f>
        <v>0</v>
      </c>
      <c r="DH552" s="694">
        <f>SUMIFS(Imput[[Importe Neto]:[Importe Neto]],Imput[[C. Imp.]:[C. Imp.]],$D552,Imput[[PERIODO Imp.]:[PERIODO Imp.]],DH$9)</f>
        <v>0</v>
      </c>
    </row>
    <row r="553" spans="1:112" s="649" customFormat="1" hidden="1" outlineLevel="1" x14ac:dyDescent="0.3">
      <c r="A553" s="652" t="str">
        <f t="shared" si="212"/>
        <v/>
      </c>
      <c r="B553" s="652"/>
      <c r="C553" s="685"/>
      <c r="D553" s="686" t="s">
        <v>2575</v>
      </c>
      <c r="E553" s="686"/>
      <c r="F553" s="720"/>
      <c r="G553" s="688"/>
      <c r="H553" s="689"/>
      <c r="I553" s="851" t="str">
        <f t="shared" si="213"/>
        <v/>
      </c>
      <c r="J553" s="850" t="str">
        <f t="shared" si="214"/>
        <v/>
      </c>
      <c r="K553" s="667"/>
      <c r="L553" s="858"/>
      <c r="M553" s="859"/>
      <c r="N553" s="859"/>
      <c r="O553" s="859"/>
      <c r="P553" s="859"/>
      <c r="Q553" s="859"/>
      <c r="R553" s="859"/>
      <c r="S553" s="859"/>
      <c r="T553" s="859"/>
      <c r="U553" s="859"/>
      <c r="V553" s="859"/>
      <c r="W553" s="859"/>
      <c r="X553" s="859"/>
      <c r="Y553" s="859"/>
      <c r="Z553" s="860"/>
      <c r="AA553" s="860"/>
      <c r="AB553" s="860"/>
      <c r="AC553" s="860"/>
      <c r="AD553" s="860"/>
      <c r="AE553" s="860"/>
      <c r="AF553" s="860"/>
      <c r="AG553" s="860"/>
      <c r="AH553" s="860"/>
      <c r="AI553" s="860"/>
      <c r="AJ553" s="860"/>
      <c r="AK553" s="860"/>
      <c r="AL553" s="860"/>
      <c r="AM553" s="860"/>
      <c r="AN553" s="860"/>
      <c r="AO553" s="860"/>
      <c r="AP553" s="860"/>
      <c r="AQ553" s="860"/>
      <c r="AR553" s="860"/>
      <c r="AS553" s="860"/>
      <c r="AT553" s="860"/>
      <c r="AU553" s="860"/>
      <c r="AV553" s="860"/>
      <c r="AW553" s="860"/>
      <c r="AX553" s="860"/>
      <c r="AY553" s="860"/>
      <c r="AZ553" s="860"/>
      <c r="BA553" s="860"/>
      <c r="BB553" s="860"/>
      <c r="BC553" s="860"/>
      <c r="BD553" s="860"/>
      <c r="BE553" s="860"/>
      <c r="BF553" s="860"/>
      <c r="BG553" s="860"/>
      <c r="BH553" s="668"/>
      <c r="BI553" s="667"/>
      <c r="BJ553" s="690">
        <f t="shared" si="215"/>
        <v>0</v>
      </c>
      <c r="BK553" s="691">
        <f t="shared" si="216"/>
        <v>0</v>
      </c>
      <c r="BL553" s="654"/>
      <c r="BM553" s="692">
        <f>SUMIFS(Imput[[Importe Neto]:[Importe Neto]],Imput[[C. Imp.]:[C. Imp.]],$D553,Imput[[PERIODO Imp.]:[PERIODO Imp.]],BM$9)</f>
        <v>0</v>
      </c>
      <c r="BN553" s="693">
        <f>SUMIFS(Imput[[Importe Neto]:[Importe Neto]],Imput[[C. Imp.]:[C. Imp.]],$D553,Imput[[PERIODO Imp.]:[PERIODO Imp.]],BN$9)</f>
        <v>0</v>
      </c>
      <c r="BO553" s="693">
        <f>SUMIFS(Imput[[Importe Neto]:[Importe Neto]],Imput[[C. Imp.]:[C. Imp.]],$D553,Imput[[PERIODO Imp.]:[PERIODO Imp.]],BO$9)</f>
        <v>0</v>
      </c>
      <c r="BP553" s="693">
        <f>SUMIFS(Imput[[Importe Neto]:[Importe Neto]],Imput[[C. Imp.]:[C. Imp.]],$D553,Imput[[PERIODO Imp.]:[PERIODO Imp.]],BP$9)</f>
        <v>0</v>
      </c>
      <c r="BQ553" s="693">
        <f>SUMIFS(Imput[[Importe Neto]:[Importe Neto]],Imput[[C. Imp.]:[C. Imp.]],$D553,Imput[[PERIODO Imp.]:[PERIODO Imp.]],BQ$9)</f>
        <v>0</v>
      </c>
      <c r="BR553" s="693">
        <f>SUMIFS(Imput[[Importe Neto]:[Importe Neto]],Imput[[C. Imp.]:[C. Imp.]],$D553,Imput[[PERIODO Imp.]:[PERIODO Imp.]],BR$9)</f>
        <v>0</v>
      </c>
      <c r="BS553" s="693">
        <f>SUMIFS(Imput[[Importe Neto]:[Importe Neto]],Imput[[C. Imp.]:[C. Imp.]],$D553,Imput[[PERIODO Imp.]:[PERIODO Imp.]],BS$9)</f>
        <v>0</v>
      </c>
      <c r="BT553" s="693">
        <f>SUMIFS(Imput[[Importe Neto]:[Importe Neto]],Imput[[C. Imp.]:[C. Imp.]],$D553,Imput[[PERIODO Imp.]:[PERIODO Imp.]],BT$9)</f>
        <v>0</v>
      </c>
      <c r="BU553" s="693">
        <f>SUMIFS(Imput[[Importe Neto]:[Importe Neto]],Imput[[C. Imp.]:[C. Imp.]],$D553,Imput[[PERIODO Imp.]:[PERIODO Imp.]],BU$9)</f>
        <v>0</v>
      </c>
      <c r="BV553" s="693">
        <f>SUMIFS(Imput[[Importe Neto]:[Importe Neto]],Imput[[C. Imp.]:[C. Imp.]],$D553,Imput[[PERIODO Imp.]:[PERIODO Imp.]],BV$9)</f>
        <v>0</v>
      </c>
      <c r="BW553" s="693">
        <f>SUMIFS(Imput[[Importe Neto]:[Importe Neto]],Imput[[C. Imp.]:[C. Imp.]],$D553,Imput[[PERIODO Imp.]:[PERIODO Imp.]],BW$9)</f>
        <v>0</v>
      </c>
      <c r="BX553" s="693">
        <f>SUMIFS(Imput[[Importe Neto]:[Importe Neto]],Imput[[C. Imp.]:[C. Imp.]],$D553,Imput[[PERIODO Imp.]:[PERIODO Imp.]],BX$9)</f>
        <v>0</v>
      </c>
      <c r="BY553" s="693">
        <f>SUMIFS(Imput[[Importe Neto]:[Importe Neto]],Imput[[C. Imp.]:[C. Imp.]],$D553,Imput[[PERIODO Imp.]:[PERIODO Imp.]],BY$9)</f>
        <v>0</v>
      </c>
      <c r="BZ553" s="693">
        <f>SUMIFS(Imput[[Importe Neto]:[Importe Neto]],Imput[[C. Imp.]:[C. Imp.]],$D553,Imput[[PERIODO Imp.]:[PERIODO Imp.]],BZ$9)</f>
        <v>0</v>
      </c>
      <c r="CA553" s="693">
        <f>SUMIFS(Imput[[Importe Neto]:[Importe Neto]],Imput[[C. Imp.]:[C. Imp.]],$D553,Imput[[PERIODO Imp.]:[PERIODO Imp.]],CA$9)</f>
        <v>0</v>
      </c>
      <c r="CB553" s="693">
        <f>SUMIFS(Imput[[Importe Neto]:[Importe Neto]],Imput[[C. Imp.]:[C. Imp.]],$D553,Imput[[PERIODO Imp.]:[PERIODO Imp.]],CB$9)</f>
        <v>0</v>
      </c>
      <c r="CC553" s="693">
        <f>SUMIFS(Imput[[Importe Neto]:[Importe Neto]],Imput[[C. Imp.]:[C. Imp.]],$D553,Imput[[PERIODO Imp.]:[PERIODO Imp.]],CC$9)</f>
        <v>0</v>
      </c>
      <c r="CD553" s="693">
        <f>SUMIFS(Imput[[Importe Neto]:[Importe Neto]],Imput[[C. Imp.]:[C. Imp.]],$D553,Imput[[PERIODO Imp.]:[PERIODO Imp.]],CD$9)</f>
        <v>0</v>
      </c>
      <c r="CE553" s="693">
        <f>SUMIFS(Imput[[Importe Neto]:[Importe Neto]],Imput[[C. Imp.]:[C. Imp.]],$D553,Imput[[PERIODO Imp.]:[PERIODO Imp.]],CE$9)</f>
        <v>0</v>
      </c>
      <c r="CF553" s="693">
        <f>SUMIFS(Imput[[Importe Neto]:[Importe Neto]],Imput[[C. Imp.]:[C. Imp.]],$D553,Imput[[PERIODO Imp.]:[PERIODO Imp.]],CF$9)</f>
        <v>0</v>
      </c>
      <c r="CG553" s="693">
        <f>SUMIFS(Imput[[Importe Neto]:[Importe Neto]],Imput[[C. Imp.]:[C. Imp.]],$D553,Imput[[PERIODO Imp.]:[PERIODO Imp.]],CG$9)</f>
        <v>0</v>
      </c>
      <c r="CH553" s="693">
        <f>SUMIFS(Imput[[Importe Neto]:[Importe Neto]],Imput[[C. Imp.]:[C. Imp.]],$D553,Imput[[PERIODO Imp.]:[PERIODO Imp.]],CH$9)</f>
        <v>0</v>
      </c>
      <c r="CI553" s="693">
        <f>SUMIFS(Imput[[Importe Neto]:[Importe Neto]],Imput[[C. Imp.]:[C. Imp.]],$D553,Imput[[PERIODO Imp.]:[PERIODO Imp.]],CI$9)</f>
        <v>0</v>
      </c>
      <c r="CJ553" s="693">
        <f>SUMIFS(Imput[[Importe Neto]:[Importe Neto]],Imput[[C. Imp.]:[C. Imp.]],$D553,Imput[[PERIODO Imp.]:[PERIODO Imp.]],CJ$9)</f>
        <v>0</v>
      </c>
      <c r="CK553" s="693">
        <f>SUMIFS(Imput[[Importe Neto]:[Importe Neto]],Imput[[C. Imp.]:[C. Imp.]],$D553,Imput[[PERIODO Imp.]:[PERIODO Imp.]],CK$9)</f>
        <v>0</v>
      </c>
      <c r="CL553" s="693">
        <f>SUMIFS(Imput[[Importe Neto]:[Importe Neto]],Imput[[C. Imp.]:[C. Imp.]],$D553,Imput[[PERIODO Imp.]:[PERIODO Imp.]],CL$9)</f>
        <v>0</v>
      </c>
      <c r="CM553" s="693">
        <f>SUMIFS(Imput[[Importe Neto]:[Importe Neto]],Imput[[C. Imp.]:[C. Imp.]],$D553,Imput[[PERIODO Imp.]:[PERIODO Imp.]],CM$9)</f>
        <v>0</v>
      </c>
      <c r="CN553" s="693">
        <f>SUMIFS(Imput[[Importe Neto]:[Importe Neto]],Imput[[C. Imp.]:[C. Imp.]],$D553,Imput[[PERIODO Imp.]:[PERIODO Imp.]],CN$9)</f>
        <v>0</v>
      </c>
      <c r="CO553" s="693">
        <f>SUMIFS(Imput[[Importe Neto]:[Importe Neto]],Imput[[C. Imp.]:[C. Imp.]],$D553,Imput[[PERIODO Imp.]:[PERIODO Imp.]],CO$9)</f>
        <v>0</v>
      </c>
      <c r="CP553" s="693">
        <f>SUMIFS(Imput[[Importe Neto]:[Importe Neto]],Imput[[C. Imp.]:[C. Imp.]],$D553,Imput[[PERIODO Imp.]:[PERIODO Imp.]],CP$9)</f>
        <v>0</v>
      </c>
      <c r="CQ553" s="693">
        <f>SUMIFS(Imput[[Importe Neto]:[Importe Neto]],Imput[[C. Imp.]:[C. Imp.]],$D553,Imput[[PERIODO Imp.]:[PERIODO Imp.]],CQ$9)</f>
        <v>0</v>
      </c>
      <c r="CR553" s="693">
        <f>SUMIFS(Imput[[Importe Neto]:[Importe Neto]],Imput[[C. Imp.]:[C. Imp.]],$D553,Imput[[PERIODO Imp.]:[PERIODO Imp.]],CR$9)</f>
        <v>0</v>
      </c>
      <c r="CS553" s="693">
        <f>SUMIFS(Imput[[Importe Neto]:[Importe Neto]],Imput[[C. Imp.]:[C. Imp.]],$D553,Imput[[PERIODO Imp.]:[PERIODO Imp.]],CS$9)</f>
        <v>0</v>
      </c>
      <c r="CT553" s="693">
        <f>SUMIFS(Imput[[Importe Neto]:[Importe Neto]],Imput[[C. Imp.]:[C. Imp.]],$D553,Imput[[PERIODO Imp.]:[PERIODO Imp.]],CT$9)</f>
        <v>0</v>
      </c>
      <c r="CU553" s="693">
        <f>SUMIFS(Imput[[Importe Neto]:[Importe Neto]],Imput[[C. Imp.]:[C. Imp.]],$D553,Imput[[PERIODO Imp.]:[PERIODO Imp.]],CU$9)</f>
        <v>0</v>
      </c>
      <c r="CV553" s="693">
        <f>SUMIFS(Imput[[Importe Neto]:[Importe Neto]],Imput[[C. Imp.]:[C. Imp.]],$D553,Imput[[PERIODO Imp.]:[PERIODO Imp.]],CV$9)</f>
        <v>0</v>
      </c>
      <c r="CW553" s="693">
        <f>SUMIFS(Imput[[Importe Neto]:[Importe Neto]],Imput[[C. Imp.]:[C. Imp.]],$D553,Imput[[PERIODO Imp.]:[PERIODO Imp.]],CW$9)</f>
        <v>0</v>
      </c>
      <c r="CX553" s="693">
        <f>SUMIFS(Imput[[Importe Neto]:[Importe Neto]],Imput[[C. Imp.]:[C. Imp.]],$D553,Imput[[PERIODO Imp.]:[PERIODO Imp.]],CX$9)</f>
        <v>0</v>
      </c>
      <c r="CY553" s="693">
        <f>SUMIFS(Imput[[Importe Neto]:[Importe Neto]],Imput[[C. Imp.]:[C. Imp.]],$D553,Imput[[PERIODO Imp.]:[PERIODO Imp.]],CY$9)</f>
        <v>0</v>
      </c>
      <c r="CZ553" s="693">
        <f>SUMIFS(Imput[[Importe Neto]:[Importe Neto]],Imput[[C. Imp.]:[C. Imp.]],$D553,Imput[[PERIODO Imp.]:[PERIODO Imp.]],CZ$9)</f>
        <v>0</v>
      </c>
      <c r="DA553" s="693">
        <f>SUMIFS(Imput[[Importe Neto]:[Importe Neto]],Imput[[C. Imp.]:[C. Imp.]],$D553,Imput[[PERIODO Imp.]:[PERIODO Imp.]],DA$9)</f>
        <v>0</v>
      </c>
      <c r="DB553" s="693">
        <f>SUMIFS(Imput[[Importe Neto]:[Importe Neto]],Imput[[C. Imp.]:[C. Imp.]],$D553,Imput[[PERIODO Imp.]:[PERIODO Imp.]],DB$9)</f>
        <v>0</v>
      </c>
      <c r="DC553" s="693">
        <f>SUMIFS(Imput[[Importe Neto]:[Importe Neto]],Imput[[C. Imp.]:[C. Imp.]],$D553,Imput[[PERIODO Imp.]:[PERIODO Imp.]],DC$9)</f>
        <v>0</v>
      </c>
      <c r="DD553" s="693">
        <f>SUMIFS(Imput[[Importe Neto]:[Importe Neto]],Imput[[C. Imp.]:[C. Imp.]],$D553,Imput[[PERIODO Imp.]:[PERIODO Imp.]],DD$9)</f>
        <v>0</v>
      </c>
      <c r="DE553" s="693">
        <f>SUMIFS(Imput[[Importe Neto]:[Importe Neto]],Imput[[C. Imp.]:[C. Imp.]],$D553,Imput[[PERIODO Imp.]:[PERIODO Imp.]],DE$9)</f>
        <v>0</v>
      </c>
      <c r="DF553" s="693">
        <f>SUMIFS(Imput[[Importe Neto]:[Importe Neto]],Imput[[C. Imp.]:[C. Imp.]],$D553,Imput[[PERIODO Imp.]:[PERIODO Imp.]],DF$9)</f>
        <v>0</v>
      </c>
      <c r="DG553" s="693">
        <f>SUMIFS(Imput[[Importe Neto]:[Importe Neto]],Imput[[C. Imp.]:[C. Imp.]],$D553,Imput[[PERIODO Imp.]:[PERIODO Imp.]],DG$9)</f>
        <v>0</v>
      </c>
      <c r="DH553" s="694">
        <f>SUMIFS(Imput[[Importe Neto]:[Importe Neto]],Imput[[C. Imp.]:[C. Imp.]],$D553,Imput[[PERIODO Imp.]:[PERIODO Imp.]],DH$9)</f>
        <v>0</v>
      </c>
    </row>
    <row r="554" spans="1:112" s="649" customFormat="1" hidden="1" outlineLevel="1" x14ac:dyDescent="0.3">
      <c r="A554" s="652" t="str">
        <f t="shared" si="212"/>
        <v/>
      </c>
      <c r="B554" s="652"/>
      <c r="C554" s="685"/>
      <c r="D554" s="686" t="s">
        <v>2576</v>
      </c>
      <c r="E554" s="686"/>
      <c r="F554" s="720"/>
      <c r="G554" s="688"/>
      <c r="H554" s="689"/>
      <c r="I554" s="851" t="str">
        <f t="shared" si="213"/>
        <v/>
      </c>
      <c r="J554" s="850" t="str">
        <f t="shared" si="214"/>
        <v/>
      </c>
      <c r="K554" s="667"/>
      <c r="L554" s="858"/>
      <c r="M554" s="859"/>
      <c r="N554" s="859"/>
      <c r="O554" s="859"/>
      <c r="P554" s="859"/>
      <c r="Q554" s="859"/>
      <c r="R554" s="859"/>
      <c r="S554" s="859"/>
      <c r="T554" s="859"/>
      <c r="U554" s="859"/>
      <c r="V554" s="859"/>
      <c r="W554" s="859"/>
      <c r="X554" s="859"/>
      <c r="Y554" s="859"/>
      <c r="Z554" s="860"/>
      <c r="AA554" s="860"/>
      <c r="AB554" s="860"/>
      <c r="AC554" s="860"/>
      <c r="AD554" s="860"/>
      <c r="AE554" s="860"/>
      <c r="AF554" s="860"/>
      <c r="AG554" s="860"/>
      <c r="AH554" s="860"/>
      <c r="AI554" s="860"/>
      <c r="AJ554" s="860"/>
      <c r="AK554" s="860"/>
      <c r="AL554" s="860"/>
      <c r="AM554" s="860"/>
      <c r="AN554" s="860"/>
      <c r="AO554" s="860"/>
      <c r="AP554" s="860"/>
      <c r="AQ554" s="860"/>
      <c r="AR554" s="860"/>
      <c r="AS554" s="860"/>
      <c r="AT554" s="860"/>
      <c r="AU554" s="860"/>
      <c r="AV554" s="860"/>
      <c r="AW554" s="860"/>
      <c r="AX554" s="860"/>
      <c r="AY554" s="860"/>
      <c r="AZ554" s="860"/>
      <c r="BA554" s="860"/>
      <c r="BB554" s="860"/>
      <c r="BC554" s="860"/>
      <c r="BD554" s="860"/>
      <c r="BE554" s="860"/>
      <c r="BF554" s="860"/>
      <c r="BG554" s="860"/>
      <c r="BH554" s="668"/>
      <c r="BI554" s="667"/>
      <c r="BJ554" s="690">
        <f t="shared" si="215"/>
        <v>0</v>
      </c>
      <c r="BK554" s="691">
        <f t="shared" si="216"/>
        <v>0</v>
      </c>
      <c r="BL554" s="654"/>
      <c r="BM554" s="692">
        <f>SUMIFS(Imput[[Importe Neto]:[Importe Neto]],Imput[[C. Imp.]:[C. Imp.]],$D554,Imput[[PERIODO Imp.]:[PERIODO Imp.]],BM$9)</f>
        <v>0</v>
      </c>
      <c r="BN554" s="693">
        <f>SUMIFS(Imput[[Importe Neto]:[Importe Neto]],Imput[[C. Imp.]:[C. Imp.]],$D554,Imput[[PERIODO Imp.]:[PERIODO Imp.]],BN$9)</f>
        <v>0</v>
      </c>
      <c r="BO554" s="693">
        <f>SUMIFS(Imput[[Importe Neto]:[Importe Neto]],Imput[[C. Imp.]:[C. Imp.]],$D554,Imput[[PERIODO Imp.]:[PERIODO Imp.]],BO$9)</f>
        <v>0</v>
      </c>
      <c r="BP554" s="693">
        <f>SUMIFS(Imput[[Importe Neto]:[Importe Neto]],Imput[[C. Imp.]:[C. Imp.]],$D554,Imput[[PERIODO Imp.]:[PERIODO Imp.]],BP$9)</f>
        <v>0</v>
      </c>
      <c r="BQ554" s="693">
        <f>SUMIFS(Imput[[Importe Neto]:[Importe Neto]],Imput[[C. Imp.]:[C. Imp.]],$D554,Imput[[PERIODO Imp.]:[PERIODO Imp.]],BQ$9)</f>
        <v>0</v>
      </c>
      <c r="BR554" s="693">
        <f>SUMIFS(Imput[[Importe Neto]:[Importe Neto]],Imput[[C. Imp.]:[C. Imp.]],$D554,Imput[[PERIODO Imp.]:[PERIODO Imp.]],BR$9)</f>
        <v>0</v>
      </c>
      <c r="BS554" s="693">
        <f>SUMIFS(Imput[[Importe Neto]:[Importe Neto]],Imput[[C. Imp.]:[C. Imp.]],$D554,Imput[[PERIODO Imp.]:[PERIODO Imp.]],BS$9)</f>
        <v>0</v>
      </c>
      <c r="BT554" s="693">
        <f>SUMIFS(Imput[[Importe Neto]:[Importe Neto]],Imput[[C. Imp.]:[C. Imp.]],$D554,Imput[[PERIODO Imp.]:[PERIODO Imp.]],BT$9)</f>
        <v>0</v>
      </c>
      <c r="BU554" s="693">
        <f>SUMIFS(Imput[[Importe Neto]:[Importe Neto]],Imput[[C. Imp.]:[C. Imp.]],$D554,Imput[[PERIODO Imp.]:[PERIODO Imp.]],BU$9)</f>
        <v>0</v>
      </c>
      <c r="BV554" s="693">
        <f>SUMIFS(Imput[[Importe Neto]:[Importe Neto]],Imput[[C. Imp.]:[C. Imp.]],$D554,Imput[[PERIODO Imp.]:[PERIODO Imp.]],BV$9)</f>
        <v>0</v>
      </c>
      <c r="BW554" s="693">
        <f>SUMIFS(Imput[[Importe Neto]:[Importe Neto]],Imput[[C. Imp.]:[C. Imp.]],$D554,Imput[[PERIODO Imp.]:[PERIODO Imp.]],BW$9)</f>
        <v>0</v>
      </c>
      <c r="BX554" s="693">
        <f>SUMIFS(Imput[[Importe Neto]:[Importe Neto]],Imput[[C. Imp.]:[C. Imp.]],$D554,Imput[[PERIODO Imp.]:[PERIODO Imp.]],BX$9)</f>
        <v>0</v>
      </c>
      <c r="BY554" s="693">
        <f>SUMIFS(Imput[[Importe Neto]:[Importe Neto]],Imput[[C. Imp.]:[C. Imp.]],$D554,Imput[[PERIODO Imp.]:[PERIODO Imp.]],BY$9)</f>
        <v>0</v>
      </c>
      <c r="BZ554" s="693">
        <f>SUMIFS(Imput[[Importe Neto]:[Importe Neto]],Imput[[C. Imp.]:[C. Imp.]],$D554,Imput[[PERIODO Imp.]:[PERIODO Imp.]],BZ$9)</f>
        <v>0</v>
      </c>
      <c r="CA554" s="693">
        <f>SUMIFS(Imput[[Importe Neto]:[Importe Neto]],Imput[[C. Imp.]:[C. Imp.]],$D554,Imput[[PERIODO Imp.]:[PERIODO Imp.]],CA$9)</f>
        <v>0</v>
      </c>
      <c r="CB554" s="693">
        <f>SUMIFS(Imput[[Importe Neto]:[Importe Neto]],Imput[[C. Imp.]:[C. Imp.]],$D554,Imput[[PERIODO Imp.]:[PERIODO Imp.]],CB$9)</f>
        <v>0</v>
      </c>
      <c r="CC554" s="693">
        <f>SUMIFS(Imput[[Importe Neto]:[Importe Neto]],Imput[[C. Imp.]:[C. Imp.]],$D554,Imput[[PERIODO Imp.]:[PERIODO Imp.]],CC$9)</f>
        <v>0</v>
      </c>
      <c r="CD554" s="693">
        <f>SUMIFS(Imput[[Importe Neto]:[Importe Neto]],Imput[[C. Imp.]:[C. Imp.]],$D554,Imput[[PERIODO Imp.]:[PERIODO Imp.]],CD$9)</f>
        <v>0</v>
      </c>
      <c r="CE554" s="693">
        <f>SUMIFS(Imput[[Importe Neto]:[Importe Neto]],Imput[[C. Imp.]:[C. Imp.]],$D554,Imput[[PERIODO Imp.]:[PERIODO Imp.]],CE$9)</f>
        <v>0</v>
      </c>
      <c r="CF554" s="693">
        <f>SUMIFS(Imput[[Importe Neto]:[Importe Neto]],Imput[[C. Imp.]:[C. Imp.]],$D554,Imput[[PERIODO Imp.]:[PERIODO Imp.]],CF$9)</f>
        <v>0</v>
      </c>
      <c r="CG554" s="693">
        <f>SUMIFS(Imput[[Importe Neto]:[Importe Neto]],Imput[[C. Imp.]:[C. Imp.]],$D554,Imput[[PERIODO Imp.]:[PERIODO Imp.]],CG$9)</f>
        <v>0</v>
      </c>
      <c r="CH554" s="693">
        <f>SUMIFS(Imput[[Importe Neto]:[Importe Neto]],Imput[[C. Imp.]:[C. Imp.]],$D554,Imput[[PERIODO Imp.]:[PERIODO Imp.]],CH$9)</f>
        <v>0</v>
      </c>
      <c r="CI554" s="693">
        <f>SUMIFS(Imput[[Importe Neto]:[Importe Neto]],Imput[[C. Imp.]:[C. Imp.]],$D554,Imput[[PERIODO Imp.]:[PERIODO Imp.]],CI$9)</f>
        <v>0</v>
      </c>
      <c r="CJ554" s="693">
        <f>SUMIFS(Imput[[Importe Neto]:[Importe Neto]],Imput[[C. Imp.]:[C. Imp.]],$D554,Imput[[PERIODO Imp.]:[PERIODO Imp.]],CJ$9)</f>
        <v>0</v>
      </c>
      <c r="CK554" s="693">
        <f>SUMIFS(Imput[[Importe Neto]:[Importe Neto]],Imput[[C. Imp.]:[C. Imp.]],$D554,Imput[[PERIODO Imp.]:[PERIODO Imp.]],CK$9)</f>
        <v>0</v>
      </c>
      <c r="CL554" s="693">
        <f>SUMIFS(Imput[[Importe Neto]:[Importe Neto]],Imput[[C. Imp.]:[C. Imp.]],$D554,Imput[[PERIODO Imp.]:[PERIODO Imp.]],CL$9)</f>
        <v>0</v>
      </c>
      <c r="CM554" s="693">
        <f>SUMIFS(Imput[[Importe Neto]:[Importe Neto]],Imput[[C. Imp.]:[C. Imp.]],$D554,Imput[[PERIODO Imp.]:[PERIODO Imp.]],CM$9)</f>
        <v>0</v>
      </c>
      <c r="CN554" s="693">
        <f>SUMIFS(Imput[[Importe Neto]:[Importe Neto]],Imput[[C. Imp.]:[C. Imp.]],$D554,Imput[[PERIODO Imp.]:[PERIODO Imp.]],CN$9)</f>
        <v>0</v>
      </c>
      <c r="CO554" s="693">
        <f>SUMIFS(Imput[[Importe Neto]:[Importe Neto]],Imput[[C. Imp.]:[C. Imp.]],$D554,Imput[[PERIODO Imp.]:[PERIODO Imp.]],CO$9)</f>
        <v>0</v>
      </c>
      <c r="CP554" s="693">
        <f>SUMIFS(Imput[[Importe Neto]:[Importe Neto]],Imput[[C. Imp.]:[C. Imp.]],$D554,Imput[[PERIODO Imp.]:[PERIODO Imp.]],CP$9)</f>
        <v>0</v>
      </c>
      <c r="CQ554" s="693">
        <f>SUMIFS(Imput[[Importe Neto]:[Importe Neto]],Imput[[C. Imp.]:[C. Imp.]],$D554,Imput[[PERIODO Imp.]:[PERIODO Imp.]],CQ$9)</f>
        <v>0</v>
      </c>
      <c r="CR554" s="693">
        <f>SUMIFS(Imput[[Importe Neto]:[Importe Neto]],Imput[[C. Imp.]:[C. Imp.]],$D554,Imput[[PERIODO Imp.]:[PERIODO Imp.]],CR$9)</f>
        <v>0</v>
      </c>
      <c r="CS554" s="693">
        <f>SUMIFS(Imput[[Importe Neto]:[Importe Neto]],Imput[[C. Imp.]:[C. Imp.]],$D554,Imput[[PERIODO Imp.]:[PERIODO Imp.]],CS$9)</f>
        <v>0</v>
      </c>
      <c r="CT554" s="693">
        <f>SUMIFS(Imput[[Importe Neto]:[Importe Neto]],Imput[[C. Imp.]:[C. Imp.]],$D554,Imput[[PERIODO Imp.]:[PERIODO Imp.]],CT$9)</f>
        <v>0</v>
      </c>
      <c r="CU554" s="693">
        <f>SUMIFS(Imput[[Importe Neto]:[Importe Neto]],Imput[[C. Imp.]:[C. Imp.]],$D554,Imput[[PERIODO Imp.]:[PERIODO Imp.]],CU$9)</f>
        <v>0</v>
      </c>
      <c r="CV554" s="693">
        <f>SUMIFS(Imput[[Importe Neto]:[Importe Neto]],Imput[[C. Imp.]:[C. Imp.]],$D554,Imput[[PERIODO Imp.]:[PERIODO Imp.]],CV$9)</f>
        <v>0</v>
      </c>
      <c r="CW554" s="693">
        <f>SUMIFS(Imput[[Importe Neto]:[Importe Neto]],Imput[[C. Imp.]:[C. Imp.]],$D554,Imput[[PERIODO Imp.]:[PERIODO Imp.]],CW$9)</f>
        <v>0</v>
      </c>
      <c r="CX554" s="693">
        <f>SUMIFS(Imput[[Importe Neto]:[Importe Neto]],Imput[[C. Imp.]:[C. Imp.]],$D554,Imput[[PERIODO Imp.]:[PERIODO Imp.]],CX$9)</f>
        <v>0</v>
      </c>
      <c r="CY554" s="693">
        <f>SUMIFS(Imput[[Importe Neto]:[Importe Neto]],Imput[[C. Imp.]:[C. Imp.]],$D554,Imput[[PERIODO Imp.]:[PERIODO Imp.]],CY$9)</f>
        <v>0</v>
      </c>
      <c r="CZ554" s="693">
        <f>SUMIFS(Imput[[Importe Neto]:[Importe Neto]],Imput[[C. Imp.]:[C. Imp.]],$D554,Imput[[PERIODO Imp.]:[PERIODO Imp.]],CZ$9)</f>
        <v>0</v>
      </c>
      <c r="DA554" s="693">
        <f>SUMIFS(Imput[[Importe Neto]:[Importe Neto]],Imput[[C. Imp.]:[C. Imp.]],$D554,Imput[[PERIODO Imp.]:[PERIODO Imp.]],DA$9)</f>
        <v>0</v>
      </c>
      <c r="DB554" s="693">
        <f>SUMIFS(Imput[[Importe Neto]:[Importe Neto]],Imput[[C. Imp.]:[C. Imp.]],$D554,Imput[[PERIODO Imp.]:[PERIODO Imp.]],DB$9)</f>
        <v>0</v>
      </c>
      <c r="DC554" s="693">
        <f>SUMIFS(Imput[[Importe Neto]:[Importe Neto]],Imput[[C. Imp.]:[C. Imp.]],$D554,Imput[[PERIODO Imp.]:[PERIODO Imp.]],DC$9)</f>
        <v>0</v>
      </c>
      <c r="DD554" s="693">
        <f>SUMIFS(Imput[[Importe Neto]:[Importe Neto]],Imput[[C. Imp.]:[C. Imp.]],$D554,Imput[[PERIODO Imp.]:[PERIODO Imp.]],DD$9)</f>
        <v>0</v>
      </c>
      <c r="DE554" s="693">
        <f>SUMIFS(Imput[[Importe Neto]:[Importe Neto]],Imput[[C. Imp.]:[C. Imp.]],$D554,Imput[[PERIODO Imp.]:[PERIODO Imp.]],DE$9)</f>
        <v>0</v>
      </c>
      <c r="DF554" s="693">
        <f>SUMIFS(Imput[[Importe Neto]:[Importe Neto]],Imput[[C. Imp.]:[C. Imp.]],$D554,Imput[[PERIODO Imp.]:[PERIODO Imp.]],DF$9)</f>
        <v>0</v>
      </c>
      <c r="DG554" s="693">
        <f>SUMIFS(Imput[[Importe Neto]:[Importe Neto]],Imput[[C. Imp.]:[C. Imp.]],$D554,Imput[[PERIODO Imp.]:[PERIODO Imp.]],DG$9)</f>
        <v>0</v>
      </c>
      <c r="DH554" s="694">
        <f>SUMIFS(Imput[[Importe Neto]:[Importe Neto]],Imput[[C. Imp.]:[C. Imp.]],$D554,Imput[[PERIODO Imp.]:[PERIODO Imp.]],DH$9)</f>
        <v>0</v>
      </c>
    </row>
    <row r="555" spans="1:112" s="649" customFormat="1" hidden="1" outlineLevel="1" x14ac:dyDescent="0.3">
      <c r="A555" s="652" t="str">
        <f t="shared" si="212"/>
        <v/>
      </c>
      <c r="B555" s="652"/>
      <c r="C555" s="685"/>
      <c r="D555" s="686" t="s">
        <v>2577</v>
      </c>
      <c r="E555" s="686"/>
      <c r="F555" s="720"/>
      <c r="G555" s="688"/>
      <c r="H555" s="689"/>
      <c r="I555" s="851" t="str">
        <f t="shared" si="213"/>
        <v/>
      </c>
      <c r="J555" s="850" t="str">
        <f t="shared" si="214"/>
        <v/>
      </c>
      <c r="K555" s="678"/>
      <c r="L555" s="858"/>
      <c r="M555" s="859"/>
      <c r="N555" s="859"/>
      <c r="O555" s="859"/>
      <c r="P555" s="859"/>
      <c r="Q555" s="859"/>
      <c r="R555" s="859"/>
      <c r="S555" s="859"/>
      <c r="T555" s="859"/>
      <c r="U555" s="859"/>
      <c r="V555" s="859"/>
      <c r="W555" s="859"/>
      <c r="X555" s="859"/>
      <c r="Y555" s="859"/>
      <c r="Z555" s="860"/>
      <c r="AA555" s="860"/>
      <c r="AB555" s="860"/>
      <c r="AC555" s="860"/>
      <c r="AD555" s="860"/>
      <c r="AE555" s="860"/>
      <c r="AF555" s="860"/>
      <c r="AG555" s="860"/>
      <c r="AH555" s="860"/>
      <c r="AI555" s="860"/>
      <c r="AJ555" s="860"/>
      <c r="AK555" s="860"/>
      <c r="AL555" s="860"/>
      <c r="AM555" s="860"/>
      <c r="AN555" s="860"/>
      <c r="AO555" s="860"/>
      <c r="AP555" s="860"/>
      <c r="AQ555" s="860"/>
      <c r="AR555" s="860"/>
      <c r="AS555" s="860"/>
      <c r="AT555" s="860"/>
      <c r="AU555" s="860"/>
      <c r="AV555" s="860"/>
      <c r="AW555" s="860"/>
      <c r="AX555" s="860"/>
      <c r="AY555" s="860"/>
      <c r="AZ555" s="860"/>
      <c r="BA555" s="860"/>
      <c r="BB555" s="860"/>
      <c r="BC555" s="860"/>
      <c r="BD555" s="860"/>
      <c r="BE555" s="860"/>
      <c r="BF555" s="860"/>
      <c r="BG555" s="860"/>
      <c r="BH555" s="668"/>
      <c r="BI555" s="654"/>
      <c r="BJ555" s="690">
        <f t="shared" si="215"/>
        <v>0</v>
      </c>
      <c r="BK555" s="691">
        <f t="shared" si="216"/>
        <v>0</v>
      </c>
      <c r="BL555" s="654"/>
      <c r="BM555" s="692">
        <f>SUMIFS(Imput[[Importe Neto]:[Importe Neto]],Imput[[C. Imp.]:[C. Imp.]],$D555,Imput[[PERIODO Imp.]:[PERIODO Imp.]],BM$9)</f>
        <v>0</v>
      </c>
      <c r="BN555" s="693">
        <f>SUMIFS(Imput[[Importe Neto]:[Importe Neto]],Imput[[C. Imp.]:[C. Imp.]],$D555,Imput[[PERIODO Imp.]:[PERIODO Imp.]],BN$9)</f>
        <v>0</v>
      </c>
      <c r="BO555" s="693">
        <f>SUMIFS(Imput[[Importe Neto]:[Importe Neto]],Imput[[C. Imp.]:[C. Imp.]],$D555,Imput[[PERIODO Imp.]:[PERIODO Imp.]],BO$9)</f>
        <v>0</v>
      </c>
      <c r="BP555" s="693">
        <f>SUMIFS(Imput[[Importe Neto]:[Importe Neto]],Imput[[C. Imp.]:[C. Imp.]],$D555,Imput[[PERIODO Imp.]:[PERIODO Imp.]],BP$9)</f>
        <v>0</v>
      </c>
      <c r="BQ555" s="693">
        <f>SUMIFS(Imput[[Importe Neto]:[Importe Neto]],Imput[[C. Imp.]:[C. Imp.]],$D555,Imput[[PERIODO Imp.]:[PERIODO Imp.]],BQ$9)</f>
        <v>0</v>
      </c>
      <c r="BR555" s="693">
        <f>SUMIFS(Imput[[Importe Neto]:[Importe Neto]],Imput[[C. Imp.]:[C. Imp.]],$D555,Imput[[PERIODO Imp.]:[PERIODO Imp.]],BR$9)</f>
        <v>0</v>
      </c>
      <c r="BS555" s="693">
        <f>SUMIFS(Imput[[Importe Neto]:[Importe Neto]],Imput[[C. Imp.]:[C. Imp.]],$D555,Imput[[PERIODO Imp.]:[PERIODO Imp.]],BS$9)</f>
        <v>0</v>
      </c>
      <c r="BT555" s="693">
        <f>SUMIFS(Imput[[Importe Neto]:[Importe Neto]],Imput[[C. Imp.]:[C. Imp.]],$D555,Imput[[PERIODO Imp.]:[PERIODO Imp.]],BT$9)</f>
        <v>0</v>
      </c>
      <c r="BU555" s="693">
        <f>SUMIFS(Imput[[Importe Neto]:[Importe Neto]],Imput[[C. Imp.]:[C. Imp.]],$D555,Imput[[PERIODO Imp.]:[PERIODO Imp.]],BU$9)</f>
        <v>0</v>
      </c>
      <c r="BV555" s="693">
        <f>SUMIFS(Imput[[Importe Neto]:[Importe Neto]],Imput[[C. Imp.]:[C. Imp.]],$D555,Imput[[PERIODO Imp.]:[PERIODO Imp.]],BV$9)</f>
        <v>0</v>
      </c>
      <c r="BW555" s="693">
        <f>SUMIFS(Imput[[Importe Neto]:[Importe Neto]],Imput[[C. Imp.]:[C. Imp.]],$D555,Imput[[PERIODO Imp.]:[PERIODO Imp.]],BW$9)</f>
        <v>0</v>
      </c>
      <c r="BX555" s="693">
        <f>SUMIFS(Imput[[Importe Neto]:[Importe Neto]],Imput[[C. Imp.]:[C. Imp.]],$D555,Imput[[PERIODO Imp.]:[PERIODO Imp.]],BX$9)</f>
        <v>0</v>
      </c>
      <c r="BY555" s="693">
        <f>SUMIFS(Imput[[Importe Neto]:[Importe Neto]],Imput[[C. Imp.]:[C. Imp.]],$D555,Imput[[PERIODO Imp.]:[PERIODO Imp.]],BY$9)</f>
        <v>0</v>
      </c>
      <c r="BZ555" s="693">
        <f>SUMIFS(Imput[[Importe Neto]:[Importe Neto]],Imput[[C. Imp.]:[C. Imp.]],$D555,Imput[[PERIODO Imp.]:[PERIODO Imp.]],BZ$9)</f>
        <v>0</v>
      </c>
      <c r="CA555" s="693">
        <f>SUMIFS(Imput[[Importe Neto]:[Importe Neto]],Imput[[C. Imp.]:[C. Imp.]],$D555,Imput[[PERIODO Imp.]:[PERIODO Imp.]],CA$9)</f>
        <v>0</v>
      </c>
      <c r="CB555" s="693">
        <f>SUMIFS(Imput[[Importe Neto]:[Importe Neto]],Imput[[C. Imp.]:[C. Imp.]],$D555,Imput[[PERIODO Imp.]:[PERIODO Imp.]],CB$9)</f>
        <v>0</v>
      </c>
      <c r="CC555" s="693">
        <f>SUMIFS(Imput[[Importe Neto]:[Importe Neto]],Imput[[C. Imp.]:[C. Imp.]],$D555,Imput[[PERIODO Imp.]:[PERIODO Imp.]],CC$9)</f>
        <v>0</v>
      </c>
      <c r="CD555" s="693">
        <f>SUMIFS(Imput[[Importe Neto]:[Importe Neto]],Imput[[C. Imp.]:[C. Imp.]],$D555,Imput[[PERIODO Imp.]:[PERIODO Imp.]],CD$9)</f>
        <v>0</v>
      </c>
      <c r="CE555" s="693">
        <f>SUMIFS(Imput[[Importe Neto]:[Importe Neto]],Imput[[C. Imp.]:[C. Imp.]],$D555,Imput[[PERIODO Imp.]:[PERIODO Imp.]],CE$9)</f>
        <v>0</v>
      </c>
      <c r="CF555" s="693">
        <f>SUMIFS(Imput[[Importe Neto]:[Importe Neto]],Imput[[C. Imp.]:[C. Imp.]],$D555,Imput[[PERIODO Imp.]:[PERIODO Imp.]],CF$9)</f>
        <v>0</v>
      </c>
      <c r="CG555" s="693">
        <f>SUMIFS(Imput[[Importe Neto]:[Importe Neto]],Imput[[C. Imp.]:[C. Imp.]],$D555,Imput[[PERIODO Imp.]:[PERIODO Imp.]],CG$9)</f>
        <v>0</v>
      </c>
      <c r="CH555" s="693">
        <f>SUMIFS(Imput[[Importe Neto]:[Importe Neto]],Imput[[C. Imp.]:[C. Imp.]],$D555,Imput[[PERIODO Imp.]:[PERIODO Imp.]],CH$9)</f>
        <v>0</v>
      </c>
      <c r="CI555" s="693">
        <f>SUMIFS(Imput[[Importe Neto]:[Importe Neto]],Imput[[C. Imp.]:[C. Imp.]],$D555,Imput[[PERIODO Imp.]:[PERIODO Imp.]],CI$9)</f>
        <v>0</v>
      </c>
      <c r="CJ555" s="693">
        <f>SUMIFS(Imput[[Importe Neto]:[Importe Neto]],Imput[[C. Imp.]:[C. Imp.]],$D555,Imput[[PERIODO Imp.]:[PERIODO Imp.]],CJ$9)</f>
        <v>0</v>
      </c>
      <c r="CK555" s="693">
        <f>SUMIFS(Imput[[Importe Neto]:[Importe Neto]],Imput[[C. Imp.]:[C. Imp.]],$D555,Imput[[PERIODO Imp.]:[PERIODO Imp.]],CK$9)</f>
        <v>0</v>
      </c>
      <c r="CL555" s="693">
        <f>SUMIFS(Imput[[Importe Neto]:[Importe Neto]],Imput[[C. Imp.]:[C. Imp.]],$D555,Imput[[PERIODO Imp.]:[PERIODO Imp.]],CL$9)</f>
        <v>0</v>
      </c>
      <c r="CM555" s="693">
        <f>SUMIFS(Imput[[Importe Neto]:[Importe Neto]],Imput[[C. Imp.]:[C. Imp.]],$D555,Imput[[PERIODO Imp.]:[PERIODO Imp.]],CM$9)</f>
        <v>0</v>
      </c>
      <c r="CN555" s="693">
        <f>SUMIFS(Imput[[Importe Neto]:[Importe Neto]],Imput[[C. Imp.]:[C. Imp.]],$D555,Imput[[PERIODO Imp.]:[PERIODO Imp.]],CN$9)</f>
        <v>0</v>
      </c>
      <c r="CO555" s="693">
        <f>SUMIFS(Imput[[Importe Neto]:[Importe Neto]],Imput[[C. Imp.]:[C. Imp.]],$D555,Imput[[PERIODO Imp.]:[PERIODO Imp.]],CO$9)</f>
        <v>0</v>
      </c>
      <c r="CP555" s="693">
        <f>SUMIFS(Imput[[Importe Neto]:[Importe Neto]],Imput[[C. Imp.]:[C. Imp.]],$D555,Imput[[PERIODO Imp.]:[PERIODO Imp.]],CP$9)</f>
        <v>0</v>
      </c>
      <c r="CQ555" s="693">
        <f>SUMIFS(Imput[[Importe Neto]:[Importe Neto]],Imput[[C. Imp.]:[C. Imp.]],$D555,Imput[[PERIODO Imp.]:[PERIODO Imp.]],CQ$9)</f>
        <v>0</v>
      </c>
      <c r="CR555" s="693">
        <f>SUMIFS(Imput[[Importe Neto]:[Importe Neto]],Imput[[C. Imp.]:[C. Imp.]],$D555,Imput[[PERIODO Imp.]:[PERIODO Imp.]],CR$9)</f>
        <v>0</v>
      </c>
      <c r="CS555" s="693">
        <f>SUMIFS(Imput[[Importe Neto]:[Importe Neto]],Imput[[C. Imp.]:[C. Imp.]],$D555,Imput[[PERIODO Imp.]:[PERIODO Imp.]],CS$9)</f>
        <v>0</v>
      </c>
      <c r="CT555" s="693">
        <f>SUMIFS(Imput[[Importe Neto]:[Importe Neto]],Imput[[C. Imp.]:[C. Imp.]],$D555,Imput[[PERIODO Imp.]:[PERIODO Imp.]],CT$9)</f>
        <v>0</v>
      </c>
      <c r="CU555" s="693">
        <f>SUMIFS(Imput[[Importe Neto]:[Importe Neto]],Imput[[C. Imp.]:[C. Imp.]],$D555,Imput[[PERIODO Imp.]:[PERIODO Imp.]],CU$9)</f>
        <v>0</v>
      </c>
      <c r="CV555" s="693">
        <f>SUMIFS(Imput[[Importe Neto]:[Importe Neto]],Imput[[C. Imp.]:[C. Imp.]],$D555,Imput[[PERIODO Imp.]:[PERIODO Imp.]],CV$9)</f>
        <v>0</v>
      </c>
      <c r="CW555" s="693">
        <f>SUMIFS(Imput[[Importe Neto]:[Importe Neto]],Imput[[C. Imp.]:[C. Imp.]],$D555,Imput[[PERIODO Imp.]:[PERIODO Imp.]],CW$9)</f>
        <v>0</v>
      </c>
      <c r="CX555" s="693">
        <f>SUMIFS(Imput[[Importe Neto]:[Importe Neto]],Imput[[C. Imp.]:[C. Imp.]],$D555,Imput[[PERIODO Imp.]:[PERIODO Imp.]],CX$9)</f>
        <v>0</v>
      </c>
      <c r="CY555" s="693">
        <f>SUMIFS(Imput[[Importe Neto]:[Importe Neto]],Imput[[C. Imp.]:[C. Imp.]],$D555,Imput[[PERIODO Imp.]:[PERIODO Imp.]],CY$9)</f>
        <v>0</v>
      </c>
      <c r="CZ555" s="693">
        <f>SUMIFS(Imput[[Importe Neto]:[Importe Neto]],Imput[[C. Imp.]:[C. Imp.]],$D555,Imput[[PERIODO Imp.]:[PERIODO Imp.]],CZ$9)</f>
        <v>0</v>
      </c>
      <c r="DA555" s="693">
        <f>SUMIFS(Imput[[Importe Neto]:[Importe Neto]],Imput[[C. Imp.]:[C. Imp.]],$D555,Imput[[PERIODO Imp.]:[PERIODO Imp.]],DA$9)</f>
        <v>0</v>
      </c>
      <c r="DB555" s="693">
        <f>SUMIFS(Imput[[Importe Neto]:[Importe Neto]],Imput[[C. Imp.]:[C. Imp.]],$D555,Imput[[PERIODO Imp.]:[PERIODO Imp.]],DB$9)</f>
        <v>0</v>
      </c>
      <c r="DC555" s="693">
        <f>SUMIFS(Imput[[Importe Neto]:[Importe Neto]],Imput[[C. Imp.]:[C. Imp.]],$D555,Imput[[PERIODO Imp.]:[PERIODO Imp.]],DC$9)</f>
        <v>0</v>
      </c>
      <c r="DD555" s="693">
        <f>SUMIFS(Imput[[Importe Neto]:[Importe Neto]],Imput[[C. Imp.]:[C. Imp.]],$D555,Imput[[PERIODO Imp.]:[PERIODO Imp.]],DD$9)</f>
        <v>0</v>
      </c>
      <c r="DE555" s="693">
        <f>SUMIFS(Imput[[Importe Neto]:[Importe Neto]],Imput[[C. Imp.]:[C. Imp.]],$D555,Imput[[PERIODO Imp.]:[PERIODO Imp.]],DE$9)</f>
        <v>0</v>
      </c>
      <c r="DF555" s="693">
        <f>SUMIFS(Imput[[Importe Neto]:[Importe Neto]],Imput[[C. Imp.]:[C. Imp.]],$D555,Imput[[PERIODO Imp.]:[PERIODO Imp.]],DF$9)</f>
        <v>0</v>
      </c>
      <c r="DG555" s="693">
        <f>SUMIFS(Imput[[Importe Neto]:[Importe Neto]],Imput[[C. Imp.]:[C. Imp.]],$D555,Imput[[PERIODO Imp.]:[PERIODO Imp.]],DG$9)</f>
        <v>0</v>
      </c>
      <c r="DH555" s="694">
        <f>SUMIFS(Imput[[Importe Neto]:[Importe Neto]],Imput[[C. Imp.]:[C. Imp.]],$D555,Imput[[PERIODO Imp.]:[PERIODO Imp.]],DH$9)</f>
        <v>0</v>
      </c>
    </row>
    <row r="556" spans="1:112" s="649" customFormat="1" hidden="1" outlineLevel="1" x14ac:dyDescent="0.3">
      <c r="A556" s="652" t="str">
        <f t="shared" si="212"/>
        <v/>
      </c>
      <c r="B556" s="652"/>
      <c r="C556" s="685"/>
      <c r="D556" s="686" t="s">
        <v>2578</v>
      </c>
      <c r="E556" s="686"/>
      <c r="F556" s="720"/>
      <c r="G556" s="688"/>
      <c r="H556" s="689"/>
      <c r="I556" s="851" t="str">
        <f t="shared" si="213"/>
        <v/>
      </c>
      <c r="J556" s="850" t="str">
        <f t="shared" si="214"/>
        <v/>
      </c>
      <c r="K556" s="667"/>
      <c r="L556" s="858"/>
      <c r="M556" s="859"/>
      <c r="N556" s="859"/>
      <c r="O556" s="859"/>
      <c r="P556" s="859"/>
      <c r="Q556" s="859"/>
      <c r="R556" s="859"/>
      <c r="S556" s="859"/>
      <c r="T556" s="859"/>
      <c r="U556" s="859"/>
      <c r="V556" s="859"/>
      <c r="W556" s="859"/>
      <c r="X556" s="859"/>
      <c r="Y556" s="859"/>
      <c r="Z556" s="860"/>
      <c r="AA556" s="860"/>
      <c r="AB556" s="860"/>
      <c r="AC556" s="860"/>
      <c r="AD556" s="860"/>
      <c r="AE556" s="860"/>
      <c r="AF556" s="860"/>
      <c r="AG556" s="860"/>
      <c r="AH556" s="860"/>
      <c r="AI556" s="860"/>
      <c r="AJ556" s="860"/>
      <c r="AK556" s="860"/>
      <c r="AL556" s="860"/>
      <c r="AM556" s="860"/>
      <c r="AN556" s="860"/>
      <c r="AO556" s="860"/>
      <c r="AP556" s="860"/>
      <c r="AQ556" s="860"/>
      <c r="AR556" s="860"/>
      <c r="AS556" s="860"/>
      <c r="AT556" s="860"/>
      <c r="AU556" s="860"/>
      <c r="AV556" s="860"/>
      <c r="AW556" s="860"/>
      <c r="AX556" s="860"/>
      <c r="AY556" s="860"/>
      <c r="AZ556" s="860"/>
      <c r="BA556" s="860"/>
      <c r="BB556" s="860"/>
      <c r="BC556" s="860"/>
      <c r="BD556" s="860"/>
      <c r="BE556" s="860"/>
      <c r="BF556" s="860"/>
      <c r="BG556" s="860"/>
      <c r="BH556" s="668"/>
      <c r="BI556" s="667"/>
      <c r="BJ556" s="690">
        <f t="shared" si="215"/>
        <v>0</v>
      </c>
      <c r="BK556" s="691">
        <f t="shared" si="216"/>
        <v>0</v>
      </c>
      <c r="BL556" s="654"/>
      <c r="BM556" s="692">
        <f>SUMIFS(Imput[[Importe Neto]:[Importe Neto]],Imput[[C. Imp.]:[C. Imp.]],$D556,Imput[[PERIODO Imp.]:[PERIODO Imp.]],BM$9)</f>
        <v>0</v>
      </c>
      <c r="BN556" s="693">
        <f>SUMIFS(Imput[[Importe Neto]:[Importe Neto]],Imput[[C. Imp.]:[C. Imp.]],$D556,Imput[[PERIODO Imp.]:[PERIODO Imp.]],BN$9)</f>
        <v>0</v>
      </c>
      <c r="BO556" s="693">
        <f>SUMIFS(Imput[[Importe Neto]:[Importe Neto]],Imput[[C. Imp.]:[C. Imp.]],$D556,Imput[[PERIODO Imp.]:[PERIODO Imp.]],BO$9)</f>
        <v>0</v>
      </c>
      <c r="BP556" s="693">
        <f>SUMIFS(Imput[[Importe Neto]:[Importe Neto]],Imput[[C. Imp.]:[C. Imp.]],$D556,Imput[[PERIODO Imp.]:[PERIODO Imp.]],BP$9)</f>
        <v>0</v>
      </c>
      <c r="BQ556" s="693">
        <f>SUMIFS(Imput[[Importe Neto]:[Importe Neto]],Imput[[C. Imp.]:[C. Imp.]],$D556,Imput[[PERIODO Imp.]:[PERIODO Imp.]],BQ$9)</f>
        <v>0</v>
      </c>
      <c r="BR556" s="693">
        <f>SUMIFS(Imput[[Importe Neto]:[Importe Neto]],Imput[[C. Imp.]:[C. Imp.]],$D556,Imput[[PERIODO Imp.]:[PERIODO Imp.]],BR$9)</f>
        <v>0</v>
      </c>
      <c r="BS556" s="693">
        <f>SUMIFS(Imput[[Importe Neto]:[Importe Neto]],Imput[[C. Imp.]:[C. Imp.]],$D556,Imput[[PERIODO Imp.]:[PERIODO Imp.]],BS$9)</f>
        <v>0</v>
      </c>
      <c r="BT556" s="693">
        <f>SUMIFS(Imput[[Importe Neto]:[Importe Neto]],Imput[[C. Imp.]:[C. Imp.]],$D556,Imput[[PERIODO Imp.]:[PERIODO Imp.]],BT$9)</f>
        <v>0</v>
      </c>
      <c r="BU556" s="693">
        <f>SUMIFS(Imput[[Importe Neto]:[Importe Neto]],Imput[[C. Imp.]:[C. Imp.]],$D556,Imput[[PERIODO Imp.]:[PERIODO Imp.]],BU$9)</f>
        <v>0</v>
      </c>
      <c r="BV556" s="693">
        <f>SUMIFS(Imput[[Importe Neto]:[Importe Neto]],Imput[[C. Imp.]:[C. Imp.]],$D556,Imput[[PERIODO Imp.]:[PERIODO Imp.]],BV$9)</f>
        <v>0</v>
      </c>
      <c r="BW556" s="693">
        <f>SUMIFS(Imput[[Importe Neto]:[Importe Neto]],Imput[[C. Imp.]:[C. Imp.]],$D556,Imput[[PERIODO Imp.]:[PERIODO Imp.]],BW$9)</f>
        <v>0</v>
      </c>
      <c r="BX556" s="693">
        <f>SUMIFS(Imput[[Importe Neto]:[Importe Neto]],Imput[[C. Imp.]:[C. Imp.]],$D556,Imput[[PERIODO Imp.]:[PERIODO Imp.]],BX$9)</f>
        <v>0</v>
      </c>
      <c r="BY556" s="693">
        <f>SUMIFS(Imput[[Importe Neto]:[Importe Neto]],Imput[[C. Imp.]:[C. Imp.]],$D556,Imput[[PERIODO Imp.]:[PERIODO Imp.]],BY$9)</f>
        <v>0</v>
      </c>
      <c r="BZ556" s="693">
        <f>SUMIFS(Imput[[Importe Neto]:[Importe Neto]],Imput[[C. Imp.]:[C. Imp.]],$D556,Imput[[PERIODO Imp.]:[PERIODO Imp.]],BZ$9)</f>
        <v>0</v>
      </c>
      <c r="CA556" s="693">
        <f>SUMIFS(Imput[[Importe Neto]:[Importe Neto]],Imput[[C. Imp.]:[C. Imp.]],$D556,Imput[[PERIODO Imp.]:[PERIODO Imp.]],CA$9)</f>
        <v>0</v>
      </c>
      <c r="CB556" s="693">
        <f>SUMIFS(Imput[[Importe Neto]:[Importe Neto]],Imput[[C. Imp.]:[C. Imp.]],$D556,Imput[[PERIODO Imp.]:[PERIODO Imp.]],CB$9)</f>
        <v>0</v>
      </c>
      <c r="CC556" s="693">
        <f>SUMIFS(Imput[[Importe Neto]:[Importe Neto]],Imput[[C. Imp.]:[C. Imp.]],$D556,Imput[[PERIODO Imp.]:[PERIODO Imp.]],CC$9)</f>
        <v>0</v>
      </c>
      <c r="CD556" s="693">
        <f>SUMIFS(Imput[[Importe Neto]:[Importe Neto]],Imput[[C. Imp.]:[C. Imp.]],$D556,Imput[[PERIODO Imp.]:[PERIODO Imp.]],CD$9)</f>
        <v>0</v>
      </c>
      <c r="CE556" s="693">
        <f>SUMIFS(Imput[[Importe Neto]:[Importe Neto]],Imput[[C. Imp.]:[C. Imp.]],$D556,Imput[[PERIODO Imp.]:[PERIODO Imp.]],CE$9)</f>
        <v>0</v>
      </c>
      <c r="CF556" s="693">
        <f>SUMIFS(Imput[[Importe Neto]:[Importe Neto]],Imput[[C. Imp.]:[C. Imp.]],$D556,Imput[[PERIODO Imp.]:[PERIODO Imp.]],CF$9)</f>
        <v>0</v>
      </c>
      <c r="CG556" s="693">
        <f>SUMIFS(Imput[[Importe Neto]:[Importe Neto]],Imput[[C. Imp.]:[C. Imp.]],$D556,Imput[[PERIODO Imp.]:[PERIODO Imp.]],CG$9)</f>
        <v>0</v>
      </c>
      <c r="CH556" s="693">
        <f>SUMIFS(Imput[[Importe Neto]:[Importe Neto]],Imput[[C. Imp.]:[C. Imp.]],$D556,Imput[[PERIODO Imp.]:[PERIODO Imp.]],CH$9)</f>
        <v>0</v>
      </c>
      <c r="CI556" s="693">
        <f>SUMIFS(Imput[[Importe Neto]:[Importe Neto]],Imput[[C. Imp.]:[C. Imp.]],$D556,Imput[[PERIODO Imp.]:[PERIODO Imp.]],CI$9)</f>
        <v>0</v>
      </c>
      <c r="CJ556" s="693">
        <f>SUMIFS(Imput[[Importe Neto]:[Importe Neto]],Imput[[C. Imp.]:[C. Imp.]],$D556,Imput[[PERIODO Imp.]:[PERIODO Imp.]],CJ$9)</f>
        <v>0</v>
      </c>
      <c r="CK556" s="693">
        <f>SUMIFS(Imput[[Importe Neto]:[Importe Neto]],Imput[[C. Imp.]:[C. Imp.]],$D556,Imput[[PERIODO Imp.]:[PERIODO Imp.]],CK$9)</f>
        <v>0</v>
      </c>
      <c r="CL556" s="693">
        <f>SUMIFS(Imput[[Importe Neto]:[Importe Neto]],Imput[[C. Imp.]:[C. Imp.]],$D556,Imput[[PERIODO Imp.]:[PERIODO Imp.]],CL$9)</f>
        <v>0</v>
      </c>
      <c r="CM556" s="693">
        <f>SUMIFS(Imput[[Importe Neto]:[Importe Neto]],Imput[[C. Imp.]:[C. Imp.]],$D556,Imput[[PERIODO Imp.]:[PERIODO Imp.]],CM$9)</f>
        <v>0</v>
      </c>
      <c r="CN556" s="693">
        <f>SUMIFS(Imput[[Importe Neto]:[Importe Neto]],Imput[[C. Imp.]:[C. Imp.]],$D556,Imput[[PERIODO Imp.]:[PERIODO Imp.]],CN$9)</f>
        <v>0</v>
      </c>
      <c r="CO556" s="693">
        <f>SUMIFS(Imput[[Importe Neto]:[Importe Neto]],Imput[[C. Imp.]:[C. Imp.]],$D556,Imput[[PERIODO Imp.]:[PERIODO Imp.]],CO$9)</f>
        <v>0</v>
      </c>
      <c r="CP556" s="693">
        <f>SUMIFS(Imput[[Importe Neto]:[Importe Neto]],Imput[[C. Imp.]:[C. Imp.]],$D556,Imput[[PERIODO Imp.]:[PERIODO Imp.]],CP$9)</f>
        <v>0</v>
      </c>
      <c r="CQ556" s="693">
        <f>SUMIFS(Imput[[Importe Neto]:[Importe Neto]],Imput[[C. Imp.]:[C. Imp.]],$D556,Imput[[PERIODO Imp.]:[PERIODO Imp.]],CQ$9)</f>
        <v>0</v>
      </c>
      <c r="CR556" s="693">
        <f>SUMIFS(Imput[[Importe Neto]:[Importe Neto]],Imput[[C. Imp.]:[C. Imp.]],$D556,Imput[[PERIODO Imp.]:[PERIODO Imp.]],CR$9)</f>
        <v>0</v>
      </c>
      <c r="CS556" s="693">
        <f>SUMIFS(Imput[[Importe Neto]:[Importe Neto]],Imput[[C. Imp.]:[C. Imp.]],$D556,Imput[[PERIODO Imp.]:[PERIODO Imp.]],CS$9)</f>
        <v>0</v>
      </c>
      <c r="CT556" s="693">
        <f>SUMIFS(Imput[[Importe Neto]:[Importe Neto]],Imput[[C. Imp.]:[C. Imp.]],$D556,Imput[[PERIODO Imp.]:[PERIODO Imp.]],CT$9)</f>
        <v>0</v>
      </c>
      <c r="CU556" s="693">
        <f>SUMIFS(Imput[[Importe Neto]:[Importe Neto]],Imput[[C. Imp.]:[C. Imp.]],$D556,Imput[[PERIODO Imp.]:[PERIODO Imp.]],CU$9)</f>
        <v>0</v>
      </c>
      <c r="CV556" s="693">
        <f>SUMIFS(Imput[[Importe Neto]:[Importe Neto]],Imput[[C. Imp.]:[C. Imp.]],$D556,Imput[[PERIODO Imp.]:[PERIODO Imp.]],CV$9)</f>
        <v>0</v>
      </c>
      <c r="CW556" s="693">
        <f>SUMIFS(Imput[[Importe Neto]:[Importe Neto]],Imput[[C. Imp.]:[C. Imp.]],$D556,Imput[[PERIODO Imp.]:[PERIODO Imp.]],CW$9)</f>
        <v>0</v>
      </c>
      <c r="CX556" s="693">
        <f>SUMIFS(Imput[[Importe Neto]:[Importe Neto]],Imput[[C. Imp.]:[C. Imp.]],$D556,Imput[[PERIODO Imp.]:[PERIODO Imp.]],CX$9)</f>
        <v>0</v>
      </c>
      <c r="CY556" s="693">
        <f>SUMIFS(Imput[[Importe Neto]:[Importe Neto]],Imput[[C. Imp.]:[C. Imp.]],$D556,Imput[[PERIODO Imp.]:[PERIODO Imp.]],CY$9)</f>
        <v>0</v>
      </c>
      <c r="CZ556" s="693">
        <f>SUMIFS(Imput[[Importe Neto]:[Importe Neto]],Imput[[C. Imp.]:[C. Imp.]],$D556,Imput[[PERIODO Imp.]:[PERIODO Imp.]],CZ$9)</f>
        <v>0</v>
      </c>
      <c r="DA556" s="693">
        <f>SUMIFS(Imput[[Importe Neto]:[Importe Neto]],Imput[[C. Imp.]:[C. Imp.]],$D556,Imput[[PERIODO Imp.]:[PERIODO Imp.]],DA$9)</f>
        <v>0</v>
      </c>
      <c r="DB556" s="693">
        <f>SUMIFS(Imput[[Importe Neto]:[Importe Neto]],Imput[[C. Imp.]:[C. Imp.]],$D556,Imput[[PERIODO Imp.]:[PERIODO Imp.]],DB$9)</f>
        <v>0</v>
      </c>
      <c r="DC556" s="693">
        <f>SUMIFS(Imput[[Importe Neto]:[Importe Neto]],Imput[[C. Imp.]:[C. Imp.]],$D556,Imput[[PERIODO Imp.]:[PERIODO Imp.]],DC$9)</f>
        <v>0</v>
      </c>
      <c r="DD556" s="693">
        <f>SUMIFS(Imput[[Importe Neto]:[Importe Neto]],Imput[[C. Imp.]:[C. Imp.]],$D556,Imput[[PERIODO Imp.]:[PERIODO Imp.]],DD$9)</f>
        <v>0</v>
      </c>
      <c r="DE556" s="693">
        <f>SUMIFS(Imput[[Importe Neto]:[Importe Neto]],Imput[[C. Imp.]:[C. Imp.]],$D556,Imput[[PERIODO Imp.]:[PERIODO Imp.]],DE$9)</f>
        <v>0</v>
      </c>
      <c r="DF556" s="693">
        <f>SUMIFS(Imput[[Importe Neto]:[Importe Neto]],Imput[[C. Imp.]:[C. Imp.]],$D556,Imput[[PERIODO Imp.]:[PERIODO Imp.]],DF$9)</f>
        <v>0</v>
      </c>
      <c r="DG556" s="693">
        <f>SUMIFS(Imput[[Importe Neto]:[Importe Neto]],Imput[[C. Imp.]:[C. Imp.]],$D556,Imput[[PERIODO Imp.]:[PERIODO Imp.]],DG$9)</f>
        <v>0</v>
      </c>
      <c r="DH556" s="694">
        <f>SUMIFS(Imput[[Importe Neto]:[Importe Neto]],Imput[[C. Imp.]:[C. Imp.]],$D556,Imput[[PERIODO Imp.]:[PERIODO Imp.]],DH$9)</f>
        <v>0</v>
      </c>
    </row>
    <row r="557" spans="1:112" s="649" customFormat="1" hidden="1" outlineLevel="1" x14ac:dyDescent="0.3">
      <c r="A557" s="652" t="str">
        <f t="shared" si="212"/>
        <v/>
      </c>
      <c r="B557" s="652"/>
      <c r="C557" s="685"/>
      <c r="D557" s="686" t="s">
        <v>2579</v>
      </c>
      <c r="E557" s="686"/>
      <c r="F557" s="720"/>
      <c r="G557" s="688"/>
      <c r="H557" s="689"/>
      <c r="I557" s="851" t="str">
        <f t="shared" si="213"/>
        <v/>
      </c>
      <c r="J557" s="850" t="str">
        <f t="shared" si="214"/>
        <v/>
      </c>
      <c r="K557" s="667"/>
      <c r="L557" s="858"/>
      <c r="M557" s="859"/>
      <c r="N557" s="859"/>
      <c r="O557" s="859"/>
      <c r="P557" s="859"/>
      <c r="Q557" s="859"/>
      <c r="R557" s="859"/>
      <c r="S557" s="859"/>
      <c r="T557" s="859"/>
      <c r="U557" s="859"/>
      <c r="V557" s="859"/>
      <c r="W557" s="859"/>
      <c r="X557" s="859"/>
      <c r="Y557" s="859"/>
      <c r="Z557" s="860"/>
      <c r="AA557" s="860"/>
      <c r="AB557" s="860"/>
      <c r="AC557" s="860"/>
      <c r="AD557" s="860"/>
      <c r="AE557" s="860"/>
      <c r="AF557" s="860"/>
      <c r="AG557" s="860"/>
      <c r="AH557" s="860"/>
      <c r="AI557" s="860"/>
      <c r="AJ557" s="860"/>
      <c r="AK557" s="860"/>
      <c r="AL557" s="860"/>
      <c r="AM557" s="860"/>
      <c r="AN557" s="860"/>
      <c r="AO557" s="860"/>
      <c r="AP557" s="860"/>
      <c r="AQ557" s="860"/>
      <c r="AR557" s="860"/>
      <c r="AS557" s="860"/>
      <c r="AT557" s="860"/>
      <c r="AU557" s="860"/>
      <c r="AV557" s="860"/>
      <c r="AW557" s="860"/>
      <c r="AX557" s="860"/>
      <c r="AY557" s="860"/>
      <c r="AZ557" s="860"/>
      <c r="BA557" s="860"/>
      <c r="BB557" s="860"/>
      <c r="BC557" s="860"/>
      <c r="BD557" s="860"/>
      <c r="BE557" s="860"/>
      <c r="BF557" s="860"/>
      <c r="BG557" s="860"/>
      <c r="BH557" s="668"/>
      <c r="BI557" s="667"/>
      <c r="BJ557" s="690">
        <f t="shared" si="215"/>
        <v>0</v>
      </c>
      <c r="BK557" s="691">
        <f t="shared" si="216"/>
        <v>0</v>
      </c>
      <c r="BL557" s="654"/>
      <c r="BM557" s="692">
        <f>SUMIFS(Imput[[Importe Neto]:[Importe Neto]],Imput[[C. Imp.]:[C. Imp.]],$D557,Imput[[PERIODO Imp.]:[PERIODO Imp.]],BM$9)</f>
        <v>0</v>
      </c>
      <c r="BN557" s="693">
        <f>SUMIFS(Imput[[Importe Neto]:[Importe Neto]],Imput[[C. Imp.]:[C. Imp.]],$D557,Imput[[PERIODO Imp.]:[PERIODO Imp.]],BN$9)</f>
        <v>0</v>
      </c>
      <c r="BO557" s="693">
        <f>SUMIFS(Imput[[Importe Neto]:[Importe Neto]],Imput[[C. Imp.]:[C. Imp.]],$D557,Imput[[PERIODO Imp.]:[PERIODO Imp.]],BO$9)</f>
        <v>0</v>
      </c>
      <c r="BP557" s="693">
        <f>SUMIFS(Imput[[Importe Neto]:[Importe Neto]],Imput[[C. Imp.]:[C. Imp.]],$D557,Imput[[PERIODO Imp.]:[PERIODO Imp.]],BP$9)</f>
        <v>0</v>
      </c>
      <c r="BQ557" s="693">
        <f>SUMIFS(Imput[[Importe Neto]:[Importe Neto]],Imput[[C. Imp.]:[C. Imp.]],$D557,Imput[[PERIODO Imp.]:[PERIODO Imp.]],BQ$9)</f>
        <v>0</v>
      </c>
      <c r="BR557" s="693">
        <f>SUMIFS(Imput[[Importe Neto]:[Importe Neto]],Imput[[C. Imp.]:[C. Imp.]],$D557,Imput[[PERIODO Imp.]:[PERIODO Imp.]],BR$9)</f>
        <v>0</v>
      </c>
      <c r="BS557" s="693">
        <f>SUMIFS(Imput[[Importe Neto]:[Importe Neto]],Imput[[C. Imp.]:[C. Imp.]],$D557,Imput[[PERIODO Imp.]:[PERIODO Imp.]],BS$9)</f>
        <v>0</v>
      </c>
      <c r="BT557" s="693">
        <f>SUMIFS(Imput[[Importe Neto]:[Importe Neto]],Imput[[C. Imp.]:[C. Imp.]],$D557,Imput[[PERIODO Imp.]:[PERIODO Imp.]],BT$9)</f>
        <v>0</v>
      </c>
      <c r="BU557" s="693">
        <f>SUMIFS(Imput[[Importe Neto]:[Importe Neto]],Imput[[C. Imp.]:[C. Imp.]],$D557,Imput[[PERIODO Imp.]:[PERIODO Imp.]],BU$9)</f>
        <v>0</v>
      </c>
      <c r="BV557" s="693">
        <f>SUMIFS(Imput[[Importe Neto]:[Importe Neto]],Imput[[C. Imp.]:[C. Imp.]],$D557,Imput[[PERIODO Imp.]:[PERIODO Imp.]],BV$9)</f>
        <v>0</v>
      </c>
      <c r="BW557" s="693">
        <f>SUMIFS(Imput[[Importe Neto]:[Importe Neto]],Imput[[C. Imp.]:[C. Imp.]],$D557,Imput[[PERIODO Imp.]:[PERIODO Imp.]],BW$9)</f>
        <v>0</v>
      </c>
      <c r="BX557" s="693">
        <f>SUMIFS(Imput[[Importe Neto]:[Importe Neto]],Imput[[C. Imp.]:[C. Imp.]],$D557,Imput[[PERIODO Imp.]:[PERIODO Imp.]],BX$9)</f>
        <v>0</v>
      </c>
      <c r="BY557" s="693">
        <f>SUMIFS(Imput[[Importe Neto]:[Importe Neto]],Imput[[C. Imp.]:[C. Imp.]],$D557,Imput[[PERIODO Imp.]:[PERIODO Imp.]],BY$9)</f>
        <v>0</v>
      </c>
      <c r="BZ557" s="693">
        <f>SUMIFS(Imput[[Importe Neto]:[Importe Neto]],Imput[[C. Imp.]:[C. Imp.]],$D557,Imput[[PERIODO Imp.]:[PERIODO Imp.]],BZ$9)</f>
        <v>0</v>
      </c>
      <c r="CA557" s="693">
        <f>SUMIFS(Imput[[Importe Neto]:[Importe Neto]],Imput[[C. Imp.]:[C. Imp.]],$D557,Imput[[PERIODO Imp.]:[PERIODO Imp.]],CA$9)</f>
        <v>0</v>
      </c>
      <c r="CB557" s="693">
        <f>SUMIFS(Imput[[Importe Neto]:[Importe Neto]],Imput[[C. Imp.]:[C. Imp.]],$D557,Imput[[PERIODO Imp.]:[PERIODO Imp.]],CB$9)</f>
        <v>0</v>
      </c>
      <c r="CC557" s="693">
        <f>SUMIFS(Imput[[Importe Neto]:[Importe Neto]],Imput[[C. Imp.]:[C. Imp.]],$D557,Imput[[PERIODO Imp.]:[PERIODO Imp.]],CC$9)</f>
        <v>0</v>
      </c>
      <c r="CD557" s="693">
        <f>SUMIFS(Imput[[Importe Neto]:[Importe Neto]],Imput[[C. Imp.]:[C. Imp.]],$D557,Imput[[PERIODO Imp.]:[PERIODO Imp.]],CD$9)</f>
        <v>0</v>
      </c>
      <c r="CE557" s="693">
        <f>SUMIFS(Imput[[Importe Neto]:[Importe Neto]],Imput[[C. Imp.]:[C. Imp.]],$D557,Imput[[PERIODO Imp.]:[PERIODO Imp.]],CE$9)</f>
        <v>0</v>
      </c>
      <c r="CF557" s="693">
        <f>SUMIFS(Imput[[Importe Neto]:[Importe Neto]],Imput[[C. Imp.]:[C. Imp.]],$D557,Imput[[PERIODO Imp.]:[PERIODO Imp.]],CF$9)</f>
        <v>0</v>
      </c>
      <c r="CG557" s="693">
        <f>SUMIFS(Imput[[Importe Neto]:[Importe Neto]],Imput[[C. Imp.]:[C. Imp.]],$D557,Imput[[PERIODO Imp.]:[PERIODO Imp.]],CG$9)</f>
        <v>0</v>
      </c>
      <c r="CH557" s="693">
        <f>SUMIFS(Imput[[Importe Neto]:[Importe Neto]],Imput[[C. Imp.]:[C. Imp.]],$D557,Imput[[PERIODO Imp.]:[PERIODO Imp.]],CH$9)</f>
        <v>0</v>
      </c>
      <c r="CI557" s="693">
        <f>SUMIFS(Imput[[Importe Neto]:[Importe Neto]],Imput[[C. Imp.]:[C. Imp.]],$D557,Imput[[PERIODO Imp.]:[PERIODO Imp.]],CI$9)</f>
        <v>0</v>
      </c>
      <c r="CJ557" s="693">
        <f>SUMIFS(Imput[[Importe Neto]:[Importe Neto]],Imput[[C. Imp.]:[C. Imp.]],$D557,Imput[[PERIODO Imp.]:[PERIODO Imp.]],CJ$9)</f>
        <v>0</v>
      </c>
      <c r="CK557" s="693">
        <f>SUMIFS(Imput[[Importe Neto]:[Importe Neto]],Imput[[C. Imp.]:[C. Imp.]],$D557,Imput[[PERIODO Imp.]:[PERIODO Imp.]],CK$9)</f>
        <v>0</v>
      </c>
      <c r="CL557" s="693">
        <f>SUMIFS(Imput[[Importe Neto]:[Importe Neto]],Imput[[C. Imp.]:[C. Imp.]],$D557,Imput[[PERIODO Imp.]:[PERIODO Imp.]],CL$9)</f>
        <v>0</v>
      </c>
      <c r="CM557" s="693">
        <f>SUMIFS(Imput[[Importe Neto]:[Importe Neto]],Imput[[C. Imp.]:[C. Imp.]],$D557,Imput[[PERIODO Imp.]:[PERIODO Imp.]],CM$9)</f>
        <v>0</v>
      </c>
      <c r="CN557" s="693">
        <f>SUMIFS(Imput[[Importe Neto]:[Importe Neto]],Imput[[C. Imp.]:[C. Imp.]],$D557,Imput[[PERIODO Imp.]:[PERIODO Imp.]],CN$9)</f>
        <v>0</v>
      </c>
      <c r="CO557" s="693">
        <f>SUMIFS(Imput[[Importe Neto]:[Importe Neto]],Imput[[C. Imp.]:[C. Imp.]],$D557,Imput[[PERIODO Imp.]:[PERIODO Imp.]],CO$9)</f>
        <v>0</v>
      </c>
      <c r="CP557" s="693">
        <f>SUMIFS(Imput[[Importe Neto]:[Importe Neto]],Imput[[C. Imp.]:[C. Imp.]],$D557,Imput[[PERIODO Imp.]:[PERIODO Imp.]],CP$9)</f>
        <v>0</v>
      </c>
      <c r="CQ557" s="693">
        <f>SUMIFS(Imput[[Importe Neto]:[Importe Neto]],Imput[[C. Imp.]:[C. Imp.]],$D557,Imput[[PERIODO Imp.]:[PERIODO Imp.]],CQ$9)</f>
        <v>0</v>
      </c>
      <c r="CR557" s="693">
        <f>SUMIFS(Imput[[Importe Neto]:[Importe Neto]],Imput[[C. Imp.]:[C. Imp.]],$D557,Imput[[PERIODO Imp.]:[PERIODO Imp.]],CR$9)</f>
        <v>0</v>
      </c>
      <c r="CS557" s="693">
        <f>SUMIFS(Imput[[Importe Neto]:[Importe Neto]],Imput[[C. Imp.]:[C. Imp.]],$D557,Imput[[PERIODO Imp.]:[PERIODO Imp.]],CS$9)</f>
        <v>0</v>
      </c>
      <c r="CT557" s="693">
        <f>SUMIFS(Imput[[Importe Neto]:[Importe Neto]],Imput[[C. Imp.]:[C. Imp.]],$D557,Imput[[PERIODO Imp.]:[PERIODO Imp.]],CT$9)</f>
        <v>0</v>
      </c>
      <c r="CU557" s="693">
        <f>SUMIFS(Imput[[Importe Neto]:[Importe Neto]],Imput[[C. Imp.]:[C. Imp.]],$D557,Imput[[PERIODO Imp.]:[PERIODO Imp.]],CU$9)</f>
        <v>0</v>
      </c>
      <c r="CV557" s="693">
        <f>SUMIFS(Imput[[Importe Neto]:[Importe Neto]],Imput[[C. Imp.]:[C. Imp.]],$D557,Imput[[PERIODO Imp.]:[PERIODO Imp.]],CV$9)</f>
        <v>0</v>
      </c>
      <c r="CW557" s="693">
        <f>SUMIFS(Imput[[Importe Neto]:[Importe Neto]],Imput[[C. Imp.]:[C. Imp.]],$D557,Imput[[PERIODO Imp.]:[PERIODO Imp.]],CW$9)</f>
        <v>0</v>
      </c>
      <c r="CX557" s="693">
        <f>SUMIFS(Imput[[Importe Neto]:[Importe Neto]],Imput[[C. Imp.]:[C. Imp.]],$D557,Imput[[PERIODO Imp.]:[PERIODO Imp.]],CX$9)</f>
        <v>0</v>
      </c>
      <c r="CY557" s="693">
        <f>SUMIFS(Imput[[Importe Neto]:[Importe Neto]],Imput[[C. Imp.]:[C. Imp.]],$D557,Imput[[PERIODO Imp.]:[PERIODO Imp.]],CY$9)</f>
        <v>0</v>
      </c>
      <c r="CZ557" s="693">
        <f>SUMIFS(Imput[[Importe Neto]:[Importe Neto]],Imput[[C. Imp.]:[C. Imp.]],$D557,Imput[[PERIODO Imp.]:[PERIODO Imp.]],CZ$9)</f>
        <v>0</v>
      </c>
      <c r="DA557" s="693">
        <f>SUMIFS(Imput[[Importe Neto]:[Importe Neto]],Imput[[C. Imp.]:[C. Imp.]],$D557,Imput[[PERIODO Imp.]:[PERIODO Imp.]],DA$9)</f>
        <v>0</v>
      </c>
      <c r="DB557" s="693">
        <f>SUMIFS(Imput[[Importe Neto]:[Importe Neto]],Imput[[C. Imp.]:[C. Imp.]],$D557,Imput[[PERIODO Imp.]:[PERIODO Imp.]],DB$9)</f>
        <v>0</v>
      </c>
      <c r="DC557" s="693">
        <f>SUMIFS(Imput[[Importe Neto]:[Importe Neto]],Imput[[C. Imp.]:[C. Imp.]],$D557,Imput[[PERIODO Imp.]:[PERIODO Imp.]],DC$9)</f>
        <v>0</v>
      </c>
      <c r="DD557" s="693">
        <f>SUMIFS(Imput[[Importe Neto]:[Importe Neto]],Imput[[C. Imp.]:[C. Imp.]],$D557,Imput[[PERIODO Imp.]:[PERIODO Imp.]],DD$9)</f>
        <v>0</v>
      </c>
      <c r="DE557" s="693">
        <f>SUMIFS(Imput[[Importe Neto]:[Importe Neto]],Imput[[C. Imp.]:[C. Imp.]],$D557,Imput[[PERIODO Imp.]:[PERIODO Imp.]],DE$9)</f>
        <v>0</v>
      </c>
      <c r="DF557" s="693">
        <f>SUMIFS(Imput[[Importe Neto]:[Importe Neto]],Imput[[C. Imp.]:[C. Imp.]],$D557,Imput[[PERIODO Imp.]:[PERIODO Imp.]],DF$9)</f>
        <v>0</v>
      </c>
      <c r="DG557" s="693">
        <f>SUMIFS(Imput[[Importe Neto]:[Importe Neto]],Imput[[C. Imp.]:[C. Imp.]],$D557,Imput[[PERIODO Imp.]:[PERIODO Imp.]],DG$9)</f>
        <v>0</v>
      </c>
      <c r="DH557" s="694">
        <f>SUMIFS(Imput[[Importe Neto]:[Importe Neto]],Imput[[C. Imp.]:[C. Imp.]],$D557,Imput[[PERIODO Imp.]:[PERIODO Imp.]],DH$9)</f>
        <v>0</v>
      </c>
    </row>
    <row r="558" spans="1:112" s="649" customFormat="1" hidden="1" outlineLevel="1" x14ac:dyDescent="0.3">
      <c r="A558" s="652" t="str">
        <f t="shared" si="212"/>
        <v/>
      </c>
      <c r="B558" s="652"/>
      <c r="C558" s="685"/>
      <c r="D558" s="686" t="s">
        <v>2580</v>
      </c>
      <c r="E558" s="686"/>
      <c r="F558" s="720"/>
      <c r="G558" s="688"/>
      <c r="H558" s="689"/>
      <c r="I558" s="851" t="str">
        <f t="shared" si="213"/>
        <v/>
      </c>
      <c r="J558" s="850" t="str">
        <f t="shared" si="214"/>
        <v/>
      </c>
      <c r="K558" s="667"/>
      <c r="L558" s="858"/>
      <c r="M558" s="859"/>
      <c r="N558" s="859"/>
      <c r="O558" s="859"/>
      <c r="P558" s="859"/>
      <c r="Q558" s="859"/>
      <c r="R558" s="859"/>
      <c r="S558" s="859"/>
      <c r="T558" s="859"/>
      <c r="U558" s="859"/>
      <c r="V558" s="859"/>
      <c r="W558" s="859"/>
      <c r="X558" s="859"/>
      <c r="Y558" s="859"/>
      <c r="Z558" s="860"/>
      <c r="AA558" s="860"/>
      <c r="AB558" s="860"/>
      <c r="AC558" s="860"/>
      <c r="AD558" s="860"/>
      <c r="AE558" s="860"/>
      <c r="AF558" s="860"/>
      <c r="AG558" s="860"/>
      <c r="AH558" s="860"/>
      <c r="AI558" s="860"/>
      <c r="AJ558" s="860"/>
      <c r="AK558" s="860"/>
      <c r="AL558" s="860"/>
      <c r="AM558" s="860"/>
      <c r="AN558" s="860"/>
      <c r="AO558" s="860"/>
      <c r="AP558" s="860"/>
      <c r="AQ558" s="860"/>
      <c r="AR558" s="860"/>
      <c r="AS558" s="860"/>
      <c r="AT558" s="860"/>
      <c r="AU558" s="860"/>
      <c r="AV558" s="860"/>
      <c r="AW558" s="860"/>
      <c r="AX558" s="860"/>
      <c r="AY558" s="860"/>
      <c r="AZ558" s="860"/>
      <c r="BA558" s="860"/>
      <c r="BB558" s="860"/>
      <c r="BC558" s="860"/>
      <c r="BD558" s="860"/>
      <c r="BE558" s="860"/>
      <c r="BF558" s="860"/>
      <c r="BG558" s="860"/>
      <c r="BH558" s="668"/>
      <c r="BI558" s="667"/>
      <c r="BJ558" s="690">
        <f t="shared" si="215"/>
        <v>0</v>
      </c>
      <c r="BK558" s="691">
        <f t="shared" si="216"/>
        <v>0</v>
      </c>
      <c r="BL558" s="654"/>
      <c r="BM558" s="692">
        <f>SUMIFS(Imput[[Importe Neto]:[Importe Neto]],Imput[[C. Imp.]:[C. Imp.]],$D558,Imput[[PERIODO Imp.]:[PERIODO Imp.]],BM$9)</f>
        <v>0</v>
      </c>
      <c r="BN558" s="693">
        <f>SUMIFS(Imput[[Importe Neto]:[Importe Neto]],Imput[[C. Imp.]:[C. Imp.]],$D558,Imput[[PERIODO Imp.]:[PERIODO Imp.]],BN$9)</f>
        <v>0</v>
      </c>
      <c r="BO558" s="693">
        <f>SUMIFS(Imput[[Importe Neto]:[Importe Neto]],Imput[[C. Imp.]:[C. Imp.]],$D558,Imput[[PERIODO Imp.]:[PERIODO Imp.]],BO$9)</f>
        <v>0</v>
      </c>
      <c r="BP558" s="693">
        <f>SUMIFS(Imput[[Importe Neto]:[Importe Neto]],Imput[[C. Imp.]:[C. Imp.]],$D558,Imput[[PERIODO Imp.]:[PERIODO Imp.]],BP$9)</f>
        <v>0</v>
      </c>
      <c r="BQ558" s="693">
        <f>SUMIFS(Imput[[Importe Neto]:[Importe Neto]],Imput[[C. Imp.]:[C. Imp.]],$D558,Imput[[PERIODO Imp.]:[PERIODO Imp.]],BQ$9)</f>
        <v>0</v>
      </c>
      <c r="BR558" s="693">
        <f>SUMIFS(Imput[[Importe Neto]:[Importe Neto]],Imput[[C. Imp.]:[C. Imp.]],$D558,Imput[[PERIODO Imp.]:[PERIODO Imp.]],BR$9)</f>
        <v>0</v>
      </c>
      <c r="BS558" s="693">
        <f>SUMIFS(Imput[[Importe Neto]:[Importe Neto]],Imput[[C. Imp.]:[C. Imp.]],$D558,Imput[[PERIODO Imp.]:[PERIODO Imp.]],BS$9)</f>
        <v>0</v>
      </c>
      <c r="BT558" s="693">
        <f>SUMIFS(Imput[[Importe Neto]:[Importe Neto]],Imput[[C. Imp.]:[C. Imp.]],$D558,Imput[[PERIODO Imp.]:[PERIODO Imp.]],BT$9)</f>
        <v>0</v>
      </c>
      <c r="BU558" s="693">
        <f>SUMIFS(Imput[[Importe Neto]:[Importe Neto]],Imput[[C. Imp.]:[C. Imp.]],$D558,Imput[[PERIODO Imp.]:[PERIODO Imp.]],BU$9)</f>
        <v>0</v>
      </c>
      <c r="BV558" s="693">
        <f>SUMIFS(Imput[[Importe Neto]:[Importe Neto]],Imput[[C. Imp.]:[C. Imp.]],$D558,Imput[[PERIODO Imp.]:[PERIODO Imp.]],BV$9)</f>
        <v>0</v>
      </c>
      <c r="BW558" s="693">
        <f>SUMIFS(Imput[[Importe Neto]:[Importe Neto]],Imput[[C. Imp.]:[C. Imp.]],$D558,Imput[[PERIODO Imp.]:[PERIODO Imp.]],BW$9)</f>
        <v>0</v>
      </c>
      <c r="BX558" s="693">
        <f>SUMIFS(Imput[[Importe Neto]:[Importe Neto]],Imput[[C. Imp.]:[C. Imp.]],$D558,Imput[[PERIODO Imp.]:[PERIODO Imp.]],BX$9)</f>
        <v>0</v>
      </c>
      <c r="BY558" s="693">
        <f>SUMIFS(Imput[[Importe Neto]:[Importe Neto]],Imput[[C. Imp.]:[C. Imp.]],$D558,Imput[[PERIODO Imp.]:[PERIODO Imp.]],BY$9)</f>
        <v>0</v>
      </c>
      <c r="BZ558" s="693">
        <f>SUMIFS(Imput[[Importe Neto]:[Importe Neto]],Imput[[C. Imp.]:[C. Imp.]],$D558,Imput[[PERIODO Imp.]:[PERIODO Imp.]],BZ$9)</f>
        <v>0</v>
      </c>
      <c r="CA558" s="693">
        <f>SUMIFS(Imput[[Importe Neto]:[Importe Neto]],Imput[[C. Imp.]:[C. Imp.]],$D558,Imput[[PERIODO Imp.]:[PERIODO Imp.]],CA$9)</f>
        <v>0</v>
      </c>
      <c r="CB558" s="693">
        <f>SUMIFS(Imput[[Importe Neto]:[Importe Neto]],Imput[[C. Imp.]:[C. Imp.]],$D558,Imput[[PERIODO Imp.]:[PERIODO Imp.]],CB$9)</f>
        <v>0</v>
      </c>
      <c r="CC558" s="693">
        <f>SUMIFS(Imput[[Importe Neto]:[Importe Neto]],Imput[[C. Imp.]:[C. Imp.]],$D558,Imput[[PERIODO Imp.]:[PERIODO Imp.]],CC$9)</f>
        <v>0</v>
      </c>
      <c r="CD558" s="693">
        <f>SUMIFS(Imput[[Importe Neto]:[Importe Neto]],Imput[[C. Imp.]:[C. Imp.]],$D558,Imput[[PERIODO Imp.]:[PERIODO Imp.]],CD$9)</f>
        <v>0</v>
      </c>
      <c r="CE558" s="693">
        <f>SUMIFS(Imput[[Importe Neto]:[Importe Neto]],Imput[[C. Imp.]:[C. Imp.]],$D558,Imput[[PERIODO Imp.]:[PERIODO Imp.]],CE$9)</f>
        <v>0</v>
      </c>
      <c r="CF558" s="693">
        <f>SUMIFS(Imput[[Importe Neto]:[Importe Neto]],Imput[[C. Imp.]:[C. Imp.]],$D558,Imput[[PERIODO Imp.]:[PERIODO Imp.]],CF$9)</f>
        <v>0</v>
      </c>
      <c r="CG558" s="693">
        <f>SUMIFS(Imput[[Importe Neto]:[Importe Neto]],Imput[[C. Imp.]:[C. Imp.]],$D558,Imput[[PERIODO Imp.]:[PERIODO Imp.]],CG$9)</f>
        <v>0</v>
      </c>
      <c r="CH558" s="693">
        <f>SUMIFS(Imput[[Importe Neto]:[Importe Neto]],Imput[[C. Imp.]:[C. Imp.]],$D558,Imput[[PERIODO Imp.]:[PERIODO Imp.]],CH$9)</f>
        <v>0</v>
      </c>
      <c r="CI558" s="693">
        <f>SUMIFS(Imput[[Importe Neto]:[Importe Neto]],Imput[[C. Imp.]:[C. Imp.]],$D558,Imput[[PERIODO Imp.]:[PERIODO Imp.]],CI$9)</f>
        <v>0</v>
      </c>
      <c r="CJ558" s="693">
        <f>SUMIFS(Imput[[Importe Neto]:[Importe Neto]],Imput[[C. Imp.]:[C. Imp.]],$D558,Imput[[PERIODO Imp.]:[PERIODO Imp.]],CJ$9)</f>
        <v>0</v>
      </c>
      <c r="CK558" s="693">
        <f>SUMIFS(Imput[[Importe Neto]:[Importe Neto]],Imput[[C. Imp.]:[C. Imp.]],$D558,Imput[[PERIODO Imp.]:[PERIODO Imp.]],CK$9)</f>
        <v>0</v>
      </c>
      <c r="CL558" s="693">
        <f>SUMIFS(Imput[[Importe Neto]:[Importe Neto]],Imput[[C. Imp.]:[C. Imp.]],$D558,Imput[[PERIODO Imp.]:[PERIODO Imp.]],CL$9)</f>
        <v>0</v>
      </c>
      <c r="CM558" s="693">
        <f>SUMIFS(Imput[[Importe Neto]:[Importe Neto]],Imput[[C. Imp.]:[C. Imp.]],$D558,Imput[[PERIODO Imp.]:[PERIODO Imp.]],CM$9)</f>
        <v>0</v>
      </c>
      <c r="CN558" s="693">
        <f>SUMIFS(Imput[[Importe Neto]:[Importe Neto]],Imput[[C. Imp.]:[C. Imp.]],$D558,Imput[[PERIODO Imp.]:[PERIODO Imp.]],CN$9)</f>
        <v>0</v>
      </c>
      <c r="CO558" s="693">
        <f>SUMIFS(Imput[[Importe Neto]:[Importe Neto]],Imput[[C. Imp.]:[C. Imp.]],$D558,Imput[[PERIODO Imp.]:[PERIODO Imp.]],CO$9)</f>
        <v>0</v>
      </c>
      <c r="CP558" s="693">
        <f>SUMIFS(Imput[[Importe Neto]:[Importe Neto]],Imput[[C. Imp.]:[C. Imp.]],$D558,Imput[[PERIODO Imp.]:[PERIODO Imp.]],CP$9)</f>
        <v>0</v>
      </c>
      <c r="CQ558" s="693">
        <f>SUMIFS(Imput[[Importe Neto]:[Importe Neto]],Imput[[C. Imp.]:[C. Imp.]],$D558,Imput[[PERIODO Imp.]:[PERIODO Imp.]],CQ$9)</f>
        <v>0</v>
      </c>
      <c r="CR558" s="693">
        <f>SUMIFS(Imput[[Importe Neto]:[Importe Neto]],Imput[[C. Imp.]:[C. Imp.]],$D558,Imput[[PERIODO Imp.]:[PERIODO Imp.]],CR$9)</f>
        <v>0</v>
      </c>
      <c r="CS558" s="693">
        <f>SUMIFS(Imput[[Importe Neto]:[Importe Neto]],Imput[[C. Imp.]:[C. Imp.]],$D558,Imput[[PERIODO Imp.]:[PERIODO Imp.]],CS$9)</f>
        <v>0</v>
      </c>
      <c r="CT558" s="693">
        <f>SUMIFS(Imput[[Importe Neto]:[Importe Neto]],Imput[[C. Imp.]:[C. Imp.]],$D558,Imput[[PERIODO Imp.]:[PERIODO Imp.]],CT$9)</f>
        <v>0</v>
      </c>
      <c r="CU558" s="693">
        <f>SUMIFS(Imput[[Importe Neto]:[Importe Neto]],Imput[[C. Imp.]:[C. Imp.]],$D558,Imput[[PERIODO Imp.]:[PERIODO Imp.]],CU$9)</f>
        <v>0</v>
      </c>
      <c r="CV558" s="693">
        <f>SUMIFS(Imput[[Importe Neto]:[Importe Neto]],Imput[[C. Imp.]:[C. Imp.]],$D558,Imput[[PERIODO Imp.]:[PERIODO Imp.]],CV$9)</f>
        <v>0</v>
      </c>
      <c r="CW558" s="693">
        <f>SUMIFS(Imput[[Importe Neto]:[Importe Neto]],Imput[[C. Imp.]:[C. Imp.]],$D558,Imput[[PERIODO Imp.]:[PERIODO Imp.]],CW$9)</f>
        <v>0</v>
      </c>
      <c r="CX558" s="693">
        <f>SUMIFS(Imput[[Importe Neto]:[Importe Neto]],Imput[[C. Imp.]:[C. Imp.]],$D558,Imput[[PERIODO Imp.]:[PERIODO Imp.]],CX$9)</f>
        <v>0</v>
      </c>
      <c r="CY558" s="693">
        <f>SUMIFS(Imput[[Importe Neto]:[Importe Neto]],Imput[[C. Imp.]:[C. Imp.]],$D558,Imput[[PERIODO Imp.]:[PERIODO Imp.]],CY$9)</f>
        <v>0</v>
      </c>
      <c r="CZ558" s="693">
        <f>SUMIFS(Imput[[Importe Neto]:[Importe Neto]],Imput[[C. Imp.]:[C. Imp.]],$D558,Imput[[PERIODO Imp.]:[PERIODO Imp.]],CZ$9)</f>
        <v>0</v>
      </c>
      <c r="DA558" s="693">
        <f>SUMIFS(Imput[[Importe Neto]:[Importe Neto]],Imput[[C. Imp.]:[C. Imp.]],$D558,Imput[[PERIODO Imp.]:[PERIODO Imp.]],DA$9)</f>
        <v>0</v>
      </c>
      <c r="DB558" s="693">
        <f>SUMIFS(Imput[[Importe Neto]:[Importe Neto]],Imput[[C. Imp.]:[C. Imp.]],$D558,Imput[[PERIODO Imp.]:[PERIODO Imp.]],DB$9)</f>
        <v>0</v>
      </c>
      <c r="DC558" s="693">
        <f>SUMIFS(Imput[[Importe Neto]:[Importe Neto]],Imput[[C. Imp.]:[C. Imp.]],$D558,Imput[[PERIODO Imp.]:[PERIODO Imp.]],DC$9)</f>
        <v>0</v>
      </c>
      <c r="DD558" s="693">
        <f>SUMIFS(Imput[[Importe Neto]:[Importe Neto]],Imput[[C. Imp.]:[C. Imp.]],$D558,Imput[[PERIODO Imp.]:[PERIODO Imp.]],DD$9)</f>
        <v>0</v>
      </c>
      <c r="DE558" s="693">
        <f>SUMIFS(Imput[[Importe Neto]:[Importe Neto]],Imput[[C. Imp.]:[C. Imp.]],$D558,Imput[[PERIODO Imp.]:[PERIODO Imp.]],DE$9)</f>
        <v>0</v>
      </c>
      <c r="DF558" s="693">
        <f>SUMIFS(Imput[[Importe Neto]:[Importe Neto]],Imput[[C. Imp.]:[C. Imp.]],$D558,Imput[[PERIODO Imp.]:[PERIODO Imp.]],DF$9)</f>
        <v>0</v>
      </c>
      <c r="DG558" s="693">
        <f>SUMIFS(Imput[[Importe Neto]:[Importe Neto]],Imput[[C. Imp.]:[C. Imp.]],$D558,Imput[[PERIODO Imp.]:[PERIODO Imp.]],DG$9)</f>
        <v>0</v>
      </c>
      <c r="DH558" s="694">
        <f>SUMIFS(Imput[[Importe Neto]:[Importe Neto]],Imput[[C. Imp.]:[C. Imp.]],$D558,Imput[[PERIODO Imp.]:[PERIODO Imp.]],DH$9)</f>
        <v>0</v>
      </c>
    </row>
    <row r="559" spans="1:112" s="649" customFormat="1" hidden="1" outlineLevel="1" x14ac:dyDescent="0.3">
      <c r="A559" s="652" t="str">
        <f t="shared" si="212"/>
        <v/>
      </c>
      <c r="B559" s="652"/>
      <c r="C559" s="685"/>
      <c r="D559" s="686" t="s">
        <v>2581</v>
      </c>
      <c r="E559" s="686"/>
      <c r="F559" s="720"/>
      <c r="G559" s="688"/>
      <c r="H559" s="689"/>
      <c r="I559" s="851" t="str">
        <f t="shared" si="213"/>
        <v/>
      </c>
      <c r="J559" s="850" t="str">
        <f t="shared" si="214"/>
        <v/>
      </c>
      <c r="K559" s="667"/>
      <c r="L559" s="858"/>
      <c r="M559" s="859"/>
      <c r="N559" s="859"/>
      <c r="O559" s="859"/>
      <c r="P559" s="859"/>
      <c r="Q559" s="859"/>
      <c r="R559" s="859"/>
      <c r="S559" s="859"/>
      <c r="T559" s="859"/>
      <c r="U559" s="859"/>
      <c r="V559" s="859"/>
      <c r="W559" s="859"/>
      <c r="X559" s="859"/>
      <c r="Y559" s="859"/>
      <c r="Z559" s="860"/>
      <c r="AA559" s="860"/>
      <c r="AB559" s="860"/>
      <c r="AC559" s="860"/>
      <c r="AD559" s="860"/>
      <c r="AE559" s="860"/>
      <c r="AF559" s="860"/>
      <c r="AG559" s="860"/>
      <c r="AH559" s="860"/>
      <c r="AI559" s="860"/>
      <c r="AJ559" s="860"/>
      <c r="AK559" s="860"/>
      <c r="AL559" s="860"/>
      <c r="AM559" s="860"/>
      <c r="AN559" s="860"/>
      <c r="AO559" s="860"/>
      <c r="AP559" s="860"/>
      <c r="AQ559" s="860"/>
      <c r="AR559" s="860"/>
      <c r="AS559" s="860"/>
      <c r="AT559" s="860"/>
      <c r="AU559" s="860"/>
      <c r="AV559" s="860"/>
      <c r="AW559" s="860"/>
      <c r="AX559" s="860"/>
      <c r="AY559" s="860"/>
      <c r="AZ559" s="860"/>
      <c r="BA559" s="860"/>
      <c r="BB559" s="860"/>
      <c r="BC559" s="860"/>
      <c r="BD559" s="860"/>
      <c r="BE559" s="860"/>
      <c r="BF559" s="860"/>
      <c r="BG559" s="860"/>
      <c r="BH559" s="668"/>
      <c r="BI559" s="667"/>
      <c r="BJ559" s="690">
        <f t="shared" si="215"/>
        <v>0</v>
      </c>
      <c r="BK559" s="691">
        <f t="shared" si="216"/>
        <v>0</v>
      </c>
      <c r="BL559" s="654"/>
      <c r="BM559" s="692">
        <f>SUMIFS(Imput[[Importe Neto]:[Importe Neto]],Imput[[C. Imp.]:[C. Imp.]],$D559,Imput[[PERIODO Imp.]:[PERIODO Imp.]],BM$9)</f>
        <v>0</v>
      </c>
      <c r="BN559" s="693">
        <f>SUMIFS(Imput[[Importe Neto]:[Importe Neto]],Imput[[C. Imp.]:[C. Imp.]],$D559,Imput[[PERIODO Imp.]:[PERIODO Imp.]],BN$9)</f>
        <v>0</v>
      </c>
      <c r="BO559" s="693">
        <f>SUMIFS(Imput[[Importe Neto]:[Importe Neto]],Imput[[C. Imp.]:[C. Imp.]],$D559,Imput[[PERIODO Imp.]:[PERIODO Imp.]],BO$9)</f>
        <v>0</v>
      </c>
      <c r="BP559" s="693">
        <f>SUMIFS(Imput[[Importe Neto]:[Importe Neto]],Imput[[C. Imp.]:[C. Imp.]],$D559,Imput[[PERIODO Imp.]:[PERIODO Imp.]],BP$9)</f>
        <v>0</v>
      </c>
      <c r="BQ559" s="693">
        <f>SUMIFS(Imput[[Importe Neto]:[Importe Neto]],Imput[[C. Imp.]:[C. Imp.]],$D559,Imput[[PERIODO Imp.]:[PERIODO Imp.]],BQ$9)</f>
        <v>0</v>
      </c>
      <c r="BR559" s="693">
        <f>SUMIFS(Imput[[Importe Neto]:[Importe Neto]],Imput[[C. Imp.]:[C. Imp.]],$D559,Imput[[PERIODO Imp.]:[PERIODO Imp.]],BR$9)</f>
        <v>0</v>
      </c>
      <c r="BS559" s="693">
        <f>SUMIFS(Imput[[Importe Neto]:[Importe Neto]],Imput[[C. Imp.]:[C. Imp.]],$D559,Imput[[PERIODO Imp.]:[PERIODO Imp.]],BS$9)</f>
        <v>0</v>
      </c>
      <c r="BT559" s="693">
        <f>SUMIFS(Imput[[Importe Neto]:[Importe Neto]],Imput[[C. Imp.]:[C. Imp.]],$D559,Imput[[PERIODO Imp.]:[PERIODO Imp.]],BT$9)</f>
        <v>0</v>
      </c>
      <c r="BU559" s="693">
        <f>SUMIFS(Imput[[Importe Neto]:[Importe Neto]],Imput[[C. Imp.]:[C. Imp.]],$D559,Imput[[PERIODO Imp.]:[PERIODO Imp.]],BU$9)</f>
        <v>0</v>
      </c>
      <c r="BV559" s="693">
        <f>SUMIFS(Imput[[Importe Neto]:[Importe Neto]],Imput[[C. Imp.]:[C. Imp.]],$D559,Imput[[PERIODO Imp.]:[PERIODO Imp.]],BV$9)</f>
        <v>0</v>
      </c>
      <c r="BW559" s="693">
        <f>SUMIFS(Imput[[Importe Neto]:[Importe Neto]],Imput[[C. Imp.]:[C. Imp.]],$D559,Imput[[PERIODO Imp.]:[PERIODO Imp.]],BW$9)</f>
        <v>0</v>
      </c>
      <c r="BX559" s="693">
        <f>SUMIFS(Imput[[Importe Neto]:[Importe Neto]],Imput[[C. Imp.]:[C. Imp.]],$D559,Imput[[PERIODO Imp.]:[PERIODO Imp.]],BX$9)</f>
        <v>0</v>
      </c>
      <c r="BY559" s="693">
        <f>SUMIFS(Imput[[Importe Neto]:[Importe Neto]],Imput[[C. Imp.]:[C. Imp.]],$D559,Imput[[PERIODO Imp.]:[PERIODO Imp.]],BY$9)</f>
        <v>0</v>
      </c>
      <c r="BZ559" s="693">
        <f>SUMIFS(Imput[[Importe Neto]:[Importe Neto]],Imput[[C. Imp.]:[C. Imp.]],$D559,Imput[[PERIODO Imp.]:[PERIODO Imp.]],BZ$9)</f>
        <v>0</v>
      </c>
      <c r="CA559" s="693">
        <f>SUMIFS(Imput[[Importe Neto]:[Importe Neto]],Imput[[C. Imp.]:[C. Imp.]],$D559,Imput[[PERIODO Imp.]:[PERIODO Imp.]],CA$9)</f>
        <v>0</v>
      </c>
      <c r="CB559" s="693">
        <f>SUMIFS(Imput[[Importe Neto]:[Importe Neto]],Imput[[C. Imp.]:[C. Imp.]],$D559,Imput[[PERIODO Imp.]:[PERIODO Imp.]],CB$9)</f>
        <v>0</v>
      </c>
      <c r="CC559" s="693">
        <f>SUMIFS(Imput[[Importe Neto]:[Importe Neto]],Imput[[C. Imp.]:[C. Imp.]],$D559,Imput[[PERIODO Imp.]:[PERIODO Imp.]],CC$9)</f>
        <v>0</v>
      </c>
      <c r="CD559" s="693">
        <f>SUMIFS(Imput[[Importe Neto]:[Importe Neto]],Imput[[C. Imp.]:[C. Imp.]],$D559,Imput[[PERIODO Imp.]:[PERIODO Imp.]],CD$9)</f>
        <v>0</v>
      </c>
      <c r="CE559" s="693">
        <f>SUMIFS(Imput[[Importe Neto]:[Importe Neto]],Imput[[C. Imp.]:[C. Imp.]],$D559,Imput[[PERIODO Imp.]:[PERIODO Imp.]],CE$9)</f>
        <v>0</v>
      </c>
      <c r="CF559" s="693">
        <f>SUMIFS(Imput[[Importe Neto]:[Importe Neto]],Imput[[C. Imp.]:[C. Imp.]],$D559,Imput[[PERIODO Imp.]:[PERIODO Imp.]],CF$9)</f>
        <v>0</v>
      </c>
      <c r="CG559" s="693">
        <f>SUMIFS(Imput[[Importe Neto]:[Importe Neto]],Imput[[C. Imp.]:[C. Imp.]],$D559,Imput[[PERIODO Imp.]:[PERIODO Imp.]],CG$9)</f>
        <v>0</v>
      </c>
      <c r="CH559" s="693">
        <f>SUMIFS(Imput[[Importe Neto]:[Importe Neto]],Imput[[C. Imp.]:[C. Imp.]],$D559,Imput[[PERIODO Imp.]:[PERIODO Imp.]],CH$9)</f>
        <v>0</v>
      </c>
      <c r="CI559" s="693">
        <f>SUMIFS(Imput[[Importe Neto]:[Importe Neto]],Imput[[C. Imp.]:[C. Imp.]],$D559,Imput[[PERIODO Imp.]:[PERIODO Imp.]],CI$9)</f>
        <v>0</v>
      </c>
      <c r="CJ559" s="693">
        <f>SUMIFS(Imput[[Importe Neto]:[Importe Neto]],Imput[[C. Imp.]:[C. Imp.]],$D559,Imput[[PERIODO Imp.]:[PERIODO Imp.]],CJ$9)</f>
        <v>0</v>
      </c>
      <c r="CK559" s="693">
        <f>SUMIFS(Imput[[Importe Neto]:[Importe Neto]],Imput[[C. Imp.]:[C. Imp.]],$D559,Imput[[PERIODO Imp.]:[PERIODO Imp.]],CK$9)</f>
        <v>0</v>
      </c>
      <c r="CL559" s="693">
        <f>SUMIFS(Imput[[Importe Neto]:[Importe Neto]],Imput[[C. Imp.]:[C. Imp.]],$D559,Imput[[PERIODO Imp.]:[PERIODO Imp.]],CL$9)</f>
        <v>0</v>
      </c>
      <c r="CM559" s="693">
        <f>SUMIFS(Imput[[Importe Neto]:[Importe Neto]],Imput[[C. Imp.]:[C. Imp.]],$D559,Imput[[PERIODO Imp.]:[PERIODO Imp.]],CM$9)</f>
        <v>0</v>
      </c>
      <c r="CN559" s="693">
        <f>SUMIFS(Imput[[Importe Neto]:[Importe Neto]],Imput[[C. Imp.]:[C. Imp.]],$D559,Imput[[PERIODO Imp.]:[PERIODO Imp.]],CN$9)</f>
        <v>0</v>
      </c>
      <c r="CO559" s="693">
        <f>SUMIFS(Imput[[Importe Neto]:[Importe Neto]],Imput[[C. Imp.]:[C. Imp.]],$D559,Imput[[PERIODO Imp.]:[PERIODO Imp.]],CO$9)</f>
        <v>0</v>
      </c>
      <c r="CP559" s="693">
        <f>SUMIFS(Imput[[Importe Neto]:[Importe Neto]],Imput[[C. Imp.]:[C. Imp.]],$D559,Imput[[PERIODO Imp.]:[PERIODO Imp.]],CP$9)</f>
        <v>0</v>
      </c>
      <c r="CQ559" s="693">
        <f>SUMIFS(Imput[[Importe Neto]:[Importe Neto]],Imput[[C. Imp.]:[C. Imp.]],$D559,Imput[[PERIODO Imp.]:[PERIODO Imp.]],CQ$9)</f>
        <v>0</v>
      </c>
      <c r="CR559" s="693">
        <f>SUMIFS(Imput[[Importe Neto]:[Importe Neto]],Imput[[C. Imp.]:[C. Imp.]],$D559,Imput[[PERIODO Imp.]:[PERIODO Imp.]],CR$9)</f>
        <v>0</v>
      </c>
      <c r="CS559" s="693">
        <f>SUMIFS(Imput[[Importe Neto]:[Importe Neto]],Imput[[C. Imp.]:[C. Imp.]],$D559,Imput[[PERIODO Imp.]:[PERIODO Imp.]],CS$9)</f>
        <v>0</v>
      </c>
      <c r="CT559" s="693">
        <f>SUMIFS(Imput[[Importe Neto]:[Importe Neto]],Imput[[C. Imp.]:[C. Imp.]],$D559,Imput[[PERIODO Imp.]:[PERIODO Imp.]],CT$9)</f>
        <v>0</v>
      </c>
      <c r="CU559" s="693">
        <f>SUMIFS(Imput[[Importe Neto]:[Importe Neto]],Imput[[C. Imp.]:[C. Imp.]],$D559,Imput[[PERIODO Imp.]:[PERIODO Imp.]],CU$9)</f>
        <v>0</v>
      </c>
      <c r="CV559" s="693">
        <f>SUMIFS(Imput[[Importe Neto]:[Importe Neto]],Imput[[C. Imp.]:[C. Imp.]],$D559,Imput[[PERIODO Imp.]:[PERIODO Imp.]],CV$9)</f>
        <v>0</v>
      </c>
      <c r="CW559" s="693">
        <f>SUMIFS(Imput[[Importe Neto]:[Importe Neto]],Imput[[C. Imp.]:[C. Imp.]],$D559,Imput[[PERIODO Imp.]:[PERIODO Imp.]],CW$9)</f>
        <v>0</v>
      </c>
      <c r="CX559" s="693">
        <f>SUMIFS(Imput[[Importe Neto]:[Importe Neto]],Imput[[C. Imp.]:[C. Imp.]],$D559,Imput[[PERIODO Imp.]:[PERIODO Imp.]],CX$9)</f>
        <v>0</v>
      </c>
      <c r="CY559" s="693">
        <f>SUMIFS(Imput[[Importe Neto]:[Importe Neto]],Imput[[C. Imp.]:[C. Imp.]],$D559,Imput[[PERIODO Imp.]:[PERIODO Imp.]],CY$9)</f>
        <v>0</v>
      </c>
      <c r="CZ559" s="693">
        <f>SUMIFS(Imput[[Importe Neto]:[Importe Neto]],Imput[[C. Imp.]:[C. Imp.]],$D559,Imput[[PERIODO Imp.]:[PERIODO Imp.]],CZ$9)</f>
        <v>0</v>
      </c>
      <c r="DA559" s="693">
        <f>SUMIFS(Imput[[Importe Neto]:[Importe Neto]],Imput[[C. Imp.]:[C. Imp.]],$D559,Imput[[PERIODO Imp.]:[PERIODO Imp.]],DA$9)</f>
        <v>0</v>
      </c>
      <c r="DB559" s="693">
        <f>SUMIFS(Imput[[Importe Neto]:[Importe Neto]],Imput[[C. Imp.]:[C. Imp.]],$D559,Imput[[PERIODO Imp.]:[PERIODO Imp.]],DB$9)</f>
        <v>0</v>
      </c>
      <c r="DC559" s="693">
        <f>SUMIFS(Imput[[Importe Neto]:[Importe Neto]],Imput[[C. Imp.]:[C. Imp.]],$D559,Imput[[PERIODO Imp.]:[PERIODO Imp.]],DC$9)</f>
        <v>0</v>
      </c>
      <c r="DD559" s="693">
        <f>SUMIFS(Imput[[Importe Neto]:[Importe Neto]],Imput[[C. Imp.]:[C. Imp.]],$D559,Imput[[PERIODO Imp.]:[PERIODO Imp.]],DD$9)</f>
        <v>0</v>
      </c>
      <c r="DE559" s="693">
        <f>SUMIFS(Imput[[Importe Neto]:[Importe Neto]],Imput[[C. Imp.]:[C. Imp.]],$D559,Imput[[PERIODO Imp.]:[PERIODO Imp.]],DE$9)</f>
        <v>0</v>
      </c>
      <c r="DF559" s="693">
        <f>SUMIFS(Imput[[Importe Neto]:[Importe Neto]],Imput[[C. Imp.]:[C. Imp.]],$D559,Imput[[PERIODO Imp.]:[PERIODO Imp.]],DF$9)</f>
        <v>0</v>
      </c>
      <c r="DG559" s="693">
        <f>SUMIFS(Imput[[Importe Neto]:[Importe Neto]],Imput[[C. Imp.]:[C. Imp.]],$D559,Imput[[PERIODO Imp.]:[PERIODO Imp.]],DG$9)</f>
        <v>0</v>
      </c>
      <c r="DH559" s="694">
        <f>SUMIFS(Imput[[Importe Neto]:[Importe Neto]],Imput[[C. Imp.]:[C. Imp.]],$D559,Imput[[PERIODO Imp.]:[PERIODO Imp.]],DH$9)</f>
        <v>0</v>
      </c>
    </row>
    <row r="560" spans="1:112" s="649" customFormat="1" hidden="1" outlineLevel="1" x14ac:dyDescent="0.3">
      <c r="A560" s="652" t="str">
        <f t="shared" si="212"/>
        <v/>
      </c>
      <c r="B560" s="652"/>
      <c r="C560" s="685"/>
      <c r="D560" s="686" t="s">
        <v>2582</v>
      </c>
      <c r="E560" s="686"/>
      <c r="F560" s="720"/>
      <c r="G560" s="688"/>
      <c r="H560" s="689"/>
      <c r="I560" s="851" t="str">
        <f t="shared" si="213"/>
        <v/>
      </c>
      <c r="J560" s="850" t="str">
        <f t="shared" si="214"/>
        <v/>
      </c>
      <c r="K560" s="667"/>
      <c r="L560" s="858"/>
      <c r="M560" s="859"/>
      <c r="N560" s="859"/>
      <c r="O560" s="859"/>
      <c r="P560" s="859"/>
      <c r="Q560" s="859"/>
      <c r="R560" s="859"/>
      <c r="S560" s="859"/>
      <c r="T560" s="859"/>
      <c r="U560" s="859"/>
      <c r="V560" s="859"/>
      <c r="W560" s="859"/>
      <c r="X560" s="859"/>
      <c r="Y560" s="859"/>
      <c r="Z560" s="860"/>
      <c r="AA560" s="860"/>
      <c r="AB560" s="860"/>
      <c r="AC560" s="860"/>
      <c r="AD560" s="860"/>
      <c r="AE560" s="860"/>
      <c r="AF560" s="860"/>
      <c r="AG560" s="860"/>
      <c r="AH560" s="860"/>
      <c r="AI560" s="860"/>
      <c r="AJ560" s="860"/>
      <c r="AK560" s="860"/>
      <c r="AL560" s="860"/>
      <c r="AM560" s="860"/>
      <c r="AN560" s="860"/>
      <c r="AO560" s="860"/>
      <c r="AP560" s="860"/>
      <c r="AQ560" s="860"/>
      <c r="AR560" s="860"/>
      <c r="AS560" s="860"/>
      <c r="AT560" s="860"/>
      <c r="AU560" s="860"/>
      <c r="AV560" s="860"/>
      <c r="AW560" s="860"/>
      <c r="AX560" s="860"/>
      <c r="AY560" s="860"/>
      <c r="AZ560" s="860"/>
      <c r="BA560" s="860"/>
      <c r="BB560" s="860"/>
      <c r="BC560" s="860"/>
      <c r="BD560" s="860"/>
      <c r="BE560" s="860"/>
      <c r="BF560" s="860"/>
      <c r="BG560" s="860"/>
      <c r="BH560" s="668"/>
      <c r="BI560" s="667"/>
      <c r="BJ560" s="690">
        <f t="shared" si="215"/>
        <v>0</v>
      </c>
      <c r="BK560" s="691">
        <f t="shared" si="216"/>
        <v>0</v>
      </c>
      <c r="BL560" s="654"/>
      <c r="BM560" s="692">
        <f>SUMIFS(Imput[[Importe Neto]:[Importe Neto]],Imput[[C. Imp.]:[C. Imp.]],$D560,Imput[[PERIODO Imp.]:[PERIODO Imp.]],BM$9)</f>
        <v>0</v>
      </c>
      <c r="BN560" s="693">
        <f>SUMIFS(Imput[[Importe Neto]:[Importe Neto]],Imput[[C. Imp.]:[C. Imp.]],$D560,Imput[[PERIODO Imp.]:[PERIODO Imp.]],BN$9)</f>
        <v>0</v>
      </c>
      <c r="BO560" s="693">
        <f>SUMIFS(Imput[[Importe Neto]:[Importe Neto]],Imput[[C. Imp.]:[C. Imp.]],$D560,Imput[[PERIODO Imp.]:[PERIODO Imp.]],BO$9)</f>
        <v>0</v>
      </c>
      <c r="BP560" s="693">
        <f>SUMIFS(Imput[[Importe Neto]:[Importe Neto]],Imput[[C. Imp.]:[C. Imp.]],$D560,Imput[[PERIODO Imp.]:[PERIODO Imp.]],BP$9)</f>
        <v>0</v>
      </c>
      <c r="BQ560" s="693">
        <f>SUMIFS(Imput[[Importe Neto]:[Importe Neto]],Imput[[C. Imp.]:[C. Imp.]],$D560,Imput[[PERIODO Imp.]:[PERIODO Imp.]],BQ$9)</f>
        <v>0</v>
      </c>
      <c r="BR560" s="693">
        <f>SUMIFS(Imput[[Importe Neto]:[Importe Neto]],Imput[[C. Imp.]:[C. Imp.]],$D560,Imput[[PERIODO Imp.]:[PERIODO Imp.]],BR$9)</f>
        <v>0</v>
      </c>
      <c r="BS560" s="693">
        <f>SUMIFS(Imput[[Importe Neto]:[Importe Neto]],Imput[[C. Imp.]:[C. Imp.]],$D560,Imput[[PERIODO Imp.]:[PERIODO Imp.]],BS$9)</f>
        <v>0</v>
      </c>
      <c r="BT560" s="693">
        <f>SUMIFS(Imput[[Importe Neto]:[Importe Neto]],Imput[[C. Imp.]:[C. Imp.]],$D560,Imput[[PERIODO Imp.]:[PERIODO Imp.]],BT$9)</f>
        <v>0</v>
      </c>
      <c r="BU560" s="693">
        <f>SUMIFS(Imput[[Importe Neto]:[Importe Neto]],Imput[[C. Imp.]:[C. Imp.]],$D560,Imput[[PERIODO Imp.]:[PERIODO Imp.]],BU$9)</f>
        <v>0</v>
      </c>
      <c r="BV560" s="693">
        <f>SUMIFS(Imput[[Importe Neto]:[Importe Neto]],Imput[[C. Imp.]:[C. Imp.]],$D560,Imput[[PERIODO Imp.]:[PERIODO Imp.]],BV$9)</f>
        <v>0</v>
      </c>
      <c r="BW560" s="693">
        <f>SUMIFS(Imput[[Importe Neto]:[Importe Neto]],Imput[[C. Imp.]:[C. Imp.]],$D560,Imput[[PERIODO Imp.]:[PERIODO Imp.]],BW$9)</f>
        <v>0</v>
      </c>
      <c r="BX560" s="693">
        <f>SUMIFS(Imput[[Importe Neto]:[Importe Neto]],Imput[[C. Imp.]:[C. Imp.]],$D560,Imput[[PERIODO Imp.]:[PERIODO Imp.]],BX$9)</f>
        <v>0</v>
      </c>
      <c r="BY560" s="693">
        <f>SUMIFS(Imput[[Importe Neto]:[Importe Neto]],Imput[[C. Imp.]:[C. Imp.]],$D560,Imput[[PERIODO Imp.]:[PERIODO Imp.]],BY$9)</f>
        <v>0</v>
      </c>
      <c r="BZ560" s="693">
        <f>SUMIFS(Imput[[Importe Neto]:[Importe Neto]],Imput[[C. Imp.]:[C. Imp.]],$D560,Imput[[PERIODO Imp.]:[PERIODO Imp.]],BZ$9)</f>
        <v>0</v>
      </c>
      <c r="CA560" s="693">
        <f>SUMIFS(Imput[[Importe Neto]:[Importe Neto]],Imput[[C. Imp.]:[C. Imp.]],$D560,Imput[[PERIODO Imp.]:[PERIODO Imp.]],CA$9)</f>
        <v>0</v>
      </c>
      <c r="CB560" s="693">
        <f>SUMIFS(Imput[[Importe Neto]:[Importe Neto]],Imput[[C. Imp.]:[C. Imp.]],$D560,Imput[[PERIODO Imp.]:[PERIODO Imp.]],CB$9)</f>
        <v>0</v>
      </c>
      <c r="CC560" s="693">
        <f>SUMIFS(Imput[[Importe Neto]:[Importe Neto]],Imput[[C. Imp.]:[C. Imp.]],$D560,Imput[[PERIODO Imp.]:[PERIODO Imp.]],CC$9)</f>
        <v>0</v>
      </c>
      <c r="CD560" s="693">
        <f>SUMIFS(Imput[[Importe Neto]:[Importe Neto]],Imput[[C. Imp.]:[C. Imp.]],$D560,Imput[[PERIODO Imp.]:[PERIODO Imp.]],CD$9)</f>
        <v>0</v>
      </c>
      <c r="CE560" s="693">
        <f>SUMIFS(Imput[[Importe Neto]:[Importe Neto]],Imput[[C. Imp.]:[C. Imp.]],$D560,Imput[[PERIODO Imp.]:[PERIODO Imp.]],CE$9)</f>
        <v>0</v>
      </c>
      <c r="CF560" s="693">
        <f>SUMIFS(Imput[[Importe Neto]:[Importe Neto]],Imput[[C. Imp.]:[C. Imp.]],$D560,Imput[[PERIODO Imp.]:[PERIODO Imp.]],CF$9)</f>
        <v>0</v>
      </c>
      <c r="CG560" s="693">
        <f>SUMIFS(Imput[[Importe Neto]:[Importe Neto]],Imput[[C. Imp.]:[C. Imp.]],$D560,Imput[[PERIODO Imp.]:[PERIODO Imp.]],CG$9)</f>
        <v>0</v>
      </c>
      <c r="CH560" s="693">
        <f>SUMIFS(Imput[[Importe Neto]:[Importe Neto]],Imput[[C. Imp.]:[C. Imp.]],$D560,Imput[[PERIODO Imp.]:[PERIODO Imp.]],CH$9)</f>
        <v>0</v>
      </c>
      <c r="CI560" s="693">
        <f>SUMIFS(Imput[[Importe Neto]:[Importe Neto]],Imput[[C. Imp.]:[C. Imp.]],$D560,Imput[[PERIODO Imp.]:[PERIODO Imp.]],CI$9)</f>
        <v>0</v>
      </c>
      <c r="CJ560" s="693">
        <f>SUMIFS(Imput[[Importe Neto]:[Importe Neto]],Imput[[C. Imp.]:[C. Imp.]],$D560,Imput[[PERIODO Imp.]:[PERIODO Imp.]],CJ$9)</f>
        <v>0</v>
      </c>
      <c r="CK560" s="693">
        <f>SUMIFS(Imput[[Importe Neto]:[Importe Neto]],Imput[[C. Imp.]:[C. Imp.]],$D560,Imput[[PERIODO Imp.]:[PERIODO Imp.]],CK$9)</f>
        <v>0</v>
      </c>
      <c r="CL560" s="693">
        <f>SUMIFS(Imput[[Importe Neto]:[Importe Neto]],Imput[[C. Imp.]:[C. Imp.]],$D560,Imput[[PERIODO Imp.]:[PERIODO Imp.]],CL$9)</f>
        <v>0</v>
      </c>
      <c r="CM560" s="693">
        <f>SUMIFS(Imput[[Importe Neto]:[Importe Neto]],Imput[[C. Imp.]:[C. Imp.]],$D560,Imput[[PERIODO Imp.]:[PERIODO Imp.]],CM$9)</f>
        <v>0</v>
      </c>
      <c r="CN560" s="693">
        <f>SUMIFS(Imput[[Importe Neto]:[Importe Neto]],Imput[[C. Imp.]:[C. Imp.]],$D560,Imput[[PERIODO Imp.]:[PERIODO Imp.]],CN$9)</f>
        <v>0</v>
      </c>
      <c r="CO560" s="693">
        <f>SUMIFS(Imput[[Importe Neto]:[Importe Neto]],Imput[[C. Imp.]:[C. Imp.]],$D560,Imput[[PERIODO Imp.]:[PERIODO Imp.]],CO$9)</f>
        <v>0</v>
      </c>
      <c r="CP560" s="693">
        <f>SUMIFS(Imput[[Importe Neto]:[Importe Neto]],Imput[[C. Imp.]:[C. Imp.]],$D560,Imput[[PERIODO Imp.]:[PERIODO Imp.]],CP$9)</f>
        <v>0</v>
      </c>
      <c r="CQ560" s="693">
        <f>SUMIFS(Imput[[Importe Neto]:[Importe Neto]],Imput[[C. Imp.]:[C. Imp.]],$D560,Imput[[PERIODO Imp.]:[PERIODO Imp.]],CQ$9)</f>
        <v>0</v>
      </c>
      <c r="CR560" s="693">
        <f>SUMIFS(Imput[[Importe Neto]:[Importe Neto]],Imput[[C. Imp.]:[C. Imp.]],$D560,Imput[[PERIODO Imp.]:[PERIODO Imp.]],CR$9)</f>
        <v>0</v>
      </c>
      <c r="CS560" s="693">
        <f>SUMIFS(Imput[[Importe Neto]:[Importe Neto]],Imput[[C. Imp.]:[C. Imp.]],$D560,Imput[[PERIODO Imp.]:[PERIODO Imp.]],CS$9)</f>
        <v>0</v>
      </c>
      <c r="CT560" s="693">
        <f>SUMIFS(Imput[[Importe Neto]:[Importe Neto]],Imput[[C. Imp.]:[C. Imp.]],$D560,Imput[[PERIODO Imp.]:[PERIODO Imp.]],CT$9)</f>
        <v>0</v>
      </c>
      <c r="CU560" s="693">
        <f>SUMIFS(Imput[[Importe Neto]:[Importe Neto]],Imput[[C. Imp.]:[C. Imp.]],$D560,Imput[[PERIODO Imp.]:[PERIODO Imp.]],CU$9)</f>
        <v>0</v>
      </c>
      <c r="CV560" s="693">
        <f>SUMIFS(Imput[[Importe Neto]:[Importe Neto]],Imput[[C. Imp.]:[C. Imp.]],$D560,Imput[[PERIODO Imp.]:[PERIODO Imp.]],CV$9)</f>
        <v>0</v>
      </c>
      <c r="CW560" s="693">
        <f>SUMIFS(Imput[[Importe Neto]:[Importe Neto]],Imput[[C. Imp.]:[C. Imp.]],$D560,Imput[[PERIODO Imp.]:[PERIODO Imp.]],CW$9)</f>
        <v>0</v>
      </c>
      <c r="CX560" s="693">
        <f>SUMIFS(Imput[[Importe Neto]:[Importe Neto]],Imput[[C. Imp.]:[C. Imp.]],$D560,Imput[[PERIODO Imp.]:[PERIODO Imp.]],CX$9)</f>
        <v>0</v>
      </c>
      <c r="CY560" s="693">
        <f>SUMIFS(Imput[[Importe Neto]:[Importe Neto]],Imput[[C. Imp.]:[C. Imp.]],$D560,Imput[[PERIODO Imp.]:[PERIODO Imp.]],CY$9)</f>
        <v>0</v>
      </c>
      <c r="CZ560" s="693">
        <f>SUMIFS(Imput[[Importe Neto]:[Importe Neto]],Imput[[C. Imp.]:[C. Imp.]],$D560,Imput[[PERIODO Imp.]:[PERIODO Imp.]],CZ$9)</f>
        <v>0</v>
      </c>
      <c r="DA560" s="693">
        <f>SUMIFS(Imput[[Importe Neto]:[Importe Neto]],Imput[[C. Imp.]:[C. Imp.]],$D560,Imput[[PERIODO Imp.]:[PERIODO Imp.]],DA$9)</f>
        <v>0</v>
      </c>
      <c r="DB560" s="693">
        <f>SUMIFS(Imput[[Importe Neto]:[Importe Neto]],Imput[[C. Imp.]:[C. Imp.]],$D560,Imput[[PERIODO Imp.]:[PERIODO Imp.]],DB$9)</f>
        <v>0</v>
      </c>
      <c r="DC560" s="693">
        <f>SUMIFS(Imput[[Importe Neto]:[Importe Neto]],Imput[[C. Imp.]:[C. Imp.]],$D560,Imput[[PERIODO Imp.]:[PERIODO Imp.]],DC$9)</f>
        <v>0</v>
      </c>
      <c r="DD560" s="693">
        <f>SUMIFS(Imput[[Importe Neto]:[Importe Neto]],Imput[[C. Imp.]:[C. Imp.]],$D560,Imput[[PERIODO Imp.]:[PERIODO Imp.]],DD$9)</f>
        <v>0</v>
      </c>
      <c r="DE560" s="693">
        <f>SUMIFS(Imput[[Importe Neto]:[Importe Neto]],Imput[[C. Imp.]:[C. Imp.]],$D560,Imput[[PERIODO Imp.]:[PERIODO Imp.]],DE$9)</f>
        <v>0</v>
      </c>
      <c r="DF560" s="693">
        <f>SUMIFS(Imput[[Importe Neto]:[Importe Neto]],Imput[[C. Imp.]:[C. Imp.]],$D560,Imput[[PERIODO Imp.]:[PERIODO Imp.]],DF$9)</f>
        <v>0</v>
      </c>
      <c r="DG560" s="693">
        <f>SUMIFS(Imput[[Importe Neto]:[Importe Neto]],Imput[[C. Imp.]:[C. Imp.]],$D560,Imput[[PERIODO Imp.]:[PERIODO Imp.]],DG$9)</f>
        <v>0</v>
      </c>
      <c r="DH560" s="694">
        <f>SUMIFS(Imput[[Importe Neto]:[Importe Neto]],Imput[[C. Imp.]:[C. Imp.]],$D560,Imput[[PERIODO Imp.]:[PERIODO Imp.]],DH$9)</f>
        <v>0</v>
      </c>
    </row>
    <row r="561" spans="1:112" s="649" customFormat="1" hidden="1" outlineLevel="1" x14ac:dyDescent="0.3">
      <c r="A561" s="652" t="str">
        <f t="shared" si="212"/>
        <v/>
      </c>
      <c r="B561" s="652"/>
      <c r="C561" s="685"/>
      <c r="D561" s="686" t="s">
        <v>2583</v>
      </c>
      <c r="E561" s="686"/>
      <c r="F561" s="720"/>
      <c r="G561" s="688"/>
      <c r="H561" s="689"/>
      <c r="I561" s="851" t="str">
        <f t="shared" si="213"/>
        <v/>
      </c>
      <c r="J561" s="850" t="str">
        <f t="shared" si="214"/>
        <v/>
      </c>
      <c r="K561" s="667"/>
      <c r="L561" s="858"/>
      <c r="M561" s="859"/>
      <c r="N561" s="859"/>
      <c r="O561" s="859"/>
      <c r="P561" s="859"/>
      <c r="Q561" s="859"/>
      <c r="R561" s="859"/>
      <c r="S561" s="859"/>
      <c r="T561" s="859"/>
      <c r="U561" s="859"/>
      <c r="V561" s="859"/>
      <c r="W561" s="859"/>
      <c r="X561" s="859"/>
      <c r="Y561" s="859"/>
      <c r="Z561" s="860"/>
      <c r="AA561" s="860"/>
      <c r="AB561" s="860"/>
      <c r="AC561" s="860"/>
      <c r="AD561" s="860"/>
      <c r="AE561" s="860"/>
      <c r="AF561" s="860"/>
      <c r="AG561" s="860"/>
      <c r="AH561" s="860"/>
      <c r="AI561" s="860"/>
      <c r="AJ561" s="860"/>
      <c r="AK561" s="860"/>
      <c r="AL561" s="860"/>
      <c r="AM561" s="860"/>
      <c r="AN561" s="860"/>
      <c r="AO561" s="860"/>
      <c r="AP561" s="860"/>
      <c r="AQ561" s="860"/>
      <c r="AR561" s="860"/>
      <c r="AS561" s="860"/>
      <c r="AT561" s="860"/>
      <c r="AU561" s="860"/>
      <c r="AV561" s="860"/>
      <c r="AW561" s="860"/>
      <c r="AX561" s="860"/>
      <c r="AY561" s="860"/>
      <c r="AZ561" s="860"/>
      <c r="BA561" s="860"/>
      <c r="BB561" s="860"/>
      <c r="BC561" s="860"/>
      <c r="BD561" s="860"/>
      <c r="BE561" s="860"/>
      <c r="BF561" s="860"/>
      <c r="BG561" s="860"/>
      <c r="BH561" s="668"/>
      <c r="BI561" s="667"/>
      <c r="BJ561" s="690">
        <f t="shared" si="215"/>
        <v>0</v>
      </c>
      <c r="BK561" s="691">
        <f t="shared" si="216"/>
        <v>0</v>
      </c>
      <c r="BL561" s="654"/>
      <c r="BM561" s="692">
        <f>SUMIFS(Imput[[Importe Neto]:[Importe Neto]],Imput[[C. Imp.]:[C. Imp.]],$D561,Imput[[PERIODO Imp.]:[PERIODO Imp.]],BM$9)</f>
        <v>0</v>
      </c>
      <c r="BN561" s="693">
        <f>SUMIFS(Imput[[Importe Neto]:[Importe Neto]],Imput[[C. Imp.]:[C. Imp.]],$D561,Imput[[PERIODO Imp.]:[PERIODO Imp.]],BN$9)</f>
        <v>0</v>
      </c>
      <c r="BO561" s="693">
        <f>SUMIFS(Imput[[Importe Neto]:[Importe Neto]],Imput[[C. Imp.]:[C. Imp.]],$D561,Imput[[PERIODO Imp.]:[PERIODO Imp.]],BO$9)</f>
        <v>0</v>
      </c>
      <c r="BP561" s="693">
        <f>SUMIFS(Imput[[Importe Neto]:[Importe Neto]],Imput[[C. Imp.]:[C. Imp.]],$D561,Imput[[PERIODO Imp.]:[PERIODO Imp.]],BP$9)</f>
        <v>0</v>
      </c>
      <c r="BQ561" s="693">
        <f>SUMIFS(Imput[[Importe Neto]:[Importe Neto]],Imput[[C. Imp.]:[C. Imp.]],$D561,Imput[[PERIODO Imp.]:[PERIODO Imp.]],BQ$9)</f>
        <v>0</v>
      </c>
      <c r="BR561" s="693">
        <f>SUMIFS(Imput[[Importe Neto]:[Importe Neto]],Imput[[C. Imp.]:[C. Imp.]],$D561,Imput[[PERIODO Imp.]:[PERIODO Imp.]],BR$9)</f>
        <v>0</v>
      </c>
      <c r="BS561" s="693">
        <f>SUMIFS(Imput[[Importe Neto]:[Importe Neto]],Imput[[C. Imp.]:[C. Imp.]],$D561,Imput[[PERIODO Imp.]:[PERIODO Imp.]],BS$9)</f>
        <v>0</v>
      </c>
      <c r="BT561" s="693">
        <f>SUMIFS(Imput[[Importe Neto]:[Importe Neto]],Imput[[C. Imp.]:[C. Imp.]],$D561,Imput[[PERIODO Imp.]:[PERIODO Imp.]],BT$9)</f>
        <v>0</v>
      </c>
      <c r="BU561" s="693">
        <f>SUMIFS(Imput[[Importe Neto]:[Importe Neto]],Imput[[C. Imp.]:[C. Imp.]],$D561,Imput[[PERIODO Imp.]:[PERIODO Imp.]],BU$9)</f>
        <v>0</v>
      </c>
      <c r="BV561" s="693">
        <f>SUMIFS(Imput[[Importe Neto]:[Importe Neto]],Imput[[C. Imp.]:[C. Imp.]],$D561,Imput[[PERIODO Imp.]:[PERIODO Imp.]],BV$9)</f>
        <v>0</v>
      </c>
      <c r="BW561" s="693">
        <f>SUMIFS(Imput[[Importe Neto]:[Importe Neto]],Imput[[C. Imp.]:[C. Imp.]],$D561,Imput[[PERIODO Imp.]:[PERIODO Imp.]],BW$9)</f>
        <v>0</v>
      </c>
      <c r="BX561" s="693">
        <f>SUMIFS(Imput[[Importe Neto]:[Importe Neto]],Imput[[C. Imp.]:[C. Imp.]],$D561,Imput[[PERIODO Imp.]:[PERIODO Imp.]],BX$9)</f>
        <v>0</v>
      </c>
      <c r="BY561" s="693">
        <f>SUMIFS(Imput[[Importe Neto]:[Importe Neto]],Imput[[C. Imp.]:[C. Imp.]],$D561,Imput[[PERIODO Imp.]:[PERIODO Imp.]],BY$9)</f>
        <v>0</v>
      </c>
      <c r="BZ561" s="693">
        <f>SUMIFS(Imput[[Importe Neto]:[Importe Neto]],Imput[[C. Imp.]:[C. Imp.]],$D561,Imput[[PERIODO Imp.]:[PERIODO Imp.]],BZ$9)</f>
        <v>0</v>
      </c>
      <c r="CA561" s="693">
        <f>SUMIFS(Imput[[Importe Neto]:[Importe Neto]],Imput[[C. Imp.]:[C. Imp.]],$D561,Imput[[PERIODO Imp.]:[PERIODO Imp.]],CA$9)</f>
        <v>0</v>
      </c>
      <c r="CB561" s="693">
        <f>SUMIFS(Imput[[Importe Neto]:[Importe Neto]],Imput[[C. Imp.]:[C. Imp.]],$D561,Imput[[PERIODO Imp.]:[PERIODO Imp.]],CB$9)</f>
        <v>0</v>
      </c>
      <c r="CC561" s="693">
        <f>SUMIFS(Imput[[Importe Neto]:[Importe Neto]],Imput[[C. Imp.]:[C. Imp.]],$D561,Imput[[PERIODO Imp.]:[PERIODO Imp.]],CC$9)</f>
        <v>0</v>
      </c>
      <c r="CD561" s="693">
        <f>SUMIFS(Imput[[Importe Neto]:[Importe Neto]],Imput[[C. Imp.]:[C. Imp.]],$D561,Imput[[PERIODO Imp.]:[PERIODO Imp.]],CD$9)</f>
        <v>0</v>
      </c>
      <c r="CE561" s="693">
        <f>SUMIFS(Imput[[Importe Neto]:[Importe Neto]],Imput[[C. Imp.]:[C. Imp.]],$D561,Imput[[PERIODO Imp.]:[PERIODO Imp.]],CE$9)</f>
        <v>0</v>
      </c>
      <c r="CF561" s="693">
        <f>SUMIFS(Imput[[Importe Neto]:[Importe Neto]],Imput[[C. Imp.]:[C. Imp.]],$D561,Imput[[PERIODO Imp.]:[PERIODO Imp.]],CF$9)</f>
        <v>0</v>
      </c>
      <c r="CG561" s="693">
        <f>SUMIFS(Imput[[Importe Neto]:[Importe Neto]],Imput[[C. Imp.]:[C. Imp.]],$D561,Imput[[PERIODO Imp.]:[PERIODO Imp.]],CG$9)</f>
        <v>0</v>
      </c>
      <c r="CH561" s="693">
        <f>SUMIFS(Imput[[Importe Neto]:[Importe Neto]],Imput[[C. Imp.]:[C. Imp.]],$D561,Imput[[PERIODO Imp.]:[PERIODO Imp.]],CH$9)</f>
        <v>0</v>
      </c>
      <c r="CI561" s="693">
        <f>SUMIFS(Imput[[Importe Neto]:[Importe Neto]],Imput[[C. Imp.]:[C. Imp.]],$D561,Imput[[PERIODO Imp.]:[PERIODO Imp.]],CI$9)</f>
        <v>0</v>
      </c>
      <c r="CJ561" s="693">
        <f>SUMIFS(Imput[[Importe Neto]:[Importe Neto]],Imput[[C. Imp.]:[C. Imp.]],$D561,Imput[[PERIODO Imp.]:[PERIODO Imp.]],CJ$9)</f>
        <v>0</v>
      </c>
      <c r="CK561" s="693">
        <f>SUMIFS(Imput[[Importe Neto]:[Importe Neto]],Imput[[C. Imp.]:[C. Imp.]],$D561,Imput[[PERIODO Imp.]:[PERIODO Imp.]],CK$9)</f>
        <v>0</v>
      </c>
      <c r="CL561" s="693">
        <f>SUMIFS(Imput[[Importe Neto]:[Importe Neto]],Imput[[C. Imp.]:[C. Imp.]],$D561,Imput[[PERIODO Imp.]:[PERIODO Imp.]],CL$9)</f>
        <v>0</v>
      </c>
      <c r="CM561" s="693">
        <f>SUMIFS(Imput[[Importe Neto]:[Importe Neto]],Imput[[C. Imp.]:[C. Imp.]],$D561,Imput[[PERIODO Imp.]:[PERIODO Imp.]],CM$9)</f>
        <v>0</v>
      </c>
      <c r="CN561" s="693">
        <f>SUMIFS(Imput[[Importe Neto]:[Importe Neto]],Imput[[C. Imp.]:[C. Imp.]],$D561,Imput[[PERIODO Imp.]:[PERIODO Imp.]],CN$9)</f>
        <v>0</v>
      </c>
      <c r="CO561" s="693">
        <f>SUMIFS(Imput[[Importe Neto]:[Importe Neto]],Imput[[C. Imp.]:[C. Imp.]],$D561,Imput[[PERIODO Imp.]:[PERIODO Imp.]],CO$9)</f>
        <v>0</v>
      </c>
      <c r="CP561" s="693">
        <f>SUMIFS(Imput[[Importe Neto]:[Importe Neto]],Imput[[C. Imp.]:[C. Imp.]],$D561,Imput[[PERIODO Imp.]:[PERIODO Imp.]],CP$9)</f>
        <v>0</v>
      </c>
      <c r="CQ561" s="693">
        <f>SUMIFS(Imput[[Importe Neto]:[Importe Neto]],Imput[[C. Imp.]:[C. Imp.]],$D561,Imput[[PERIODO Imp.]:[PERIODO Imp.]],CQ$9)</f>
        <v>0</v>
      </c>
      <c r="CR561" s="693">
        <f>SUMIFS(Imput[[Importe Neto]:[Importe Neto]],Imput[[C. Imp.]:[C. Imp.]],$D561,Imput[[PERIODO Imp.]:[PERIODO Imp.]],CR$9)</f>
        <v>0</v>
      </c>
      <c r="CS561" s="693">
        <f>SUMIFS(Imput[[Importe Neto]:[Importe Neto]],Imput[[C. Imp.]:[C. Imp.]],$D561,Imput[[PERIODO Imp.]:[PERIODO Imp.]],CS$9)</f>
        <v>0</v>
      </c>
      <c r="CT561" s="693">
        <f>SUMIFS(Imput[[Importe Neto]:[Importe Neto]],Imput[[C. Imp.]:[C. Imp.]],$D561,Imput[[PERIODO Imp.]:[PERIODO Imp.]],CT$9)</f>
        <v>0</v>
      </c>
      <c r="CU561" s="693">
        <f>SUMIFS(Imput[[Importe Neto]:[Importe Neto]],Imput[[C. Imp.]:[C. Imp.]],$D561,Imput[[PERIODO Imp.]:[PERIODO Imp.]],CU$9)</f>
        <v>0</v>
      </c>
      <c r="CV561" s="693">
        <f>SUMIFS(Imput[[Importe Neto]:[Importe Neto]],Imput[[C. Imp.]:[C. Imp.]],$D561,Imput[[PERIODO Imp.]:[PERIODO Imp.]],CV$9)</f>
        <v>0</v>
      </c>
      <c r="CW561" s="693">
        <f>SUMIFS(Imput[[Importe Neto]:[Importe Neto]],Imput[[C. Imp.]:[C. Imp.]],$D561,Imput[[PERIODO Imp.]:[PERIODO Imp.]],CW$9)</f>
        <v>0</v>
      </c>
      <c r="CX561" s="693">
        <f>SUMIFS(Imput[[Importe Neto]:[Importe Neto]],Imput[[C. Imp.]:[C. Imp.]],$D561,Imput[[PERIODO Imp.]:[PERIODO Imp.]],CX$9)</f>
        <v>0</v>
      </c>
      <c r="CY561" s="693">
        <f>SUMIFS(Imput[[Importe Neto]:[Importe Neto]],Imput[[C. Imp.]:[C. Imp.]],$D561,Imput[[PERIODO Imp.]:[PERIODO Imp.]],CY$9)</f>
        <v>0</v>
      </c>
      <c r="CZ561" s="693">
        <f>SUMIFS(Imput[[Importe Neto]:[Importe Neto]],Imput[[C. Imp.]:[C. Imp.]],$D561,Imput[[PERIODO Imp.]:[PERIODO Imp.]],CZ$9)</f>
        <v>0</v>
      </c>
      <c r="DA561" s="693">
        <f>SUMIFS(Imput[[Importe Neto]:[Importe Neto]],Imput[[C. Imp.]:[C. Imp.]],$D561,Imput[[PERIODO Imp.]:[PERIODO Imp.]],DA$9)</f>
        <v>0</v>
      </c>
      <c r="DB561" s="693">
        <f>SUMIFS(Imput[[Importe Neto]:[Importe Neto]],Imput[[C. Imp.]:[C. Imp.]],$D561,Imput[[PERIODO Imp.]:[PERIODO Imp.]],DB$9)</f>
        <v>0</v>
      </c>
      <c r="DC561" s="693">
        <f>SUMIFS(Imput[[Importe Neto]:[Importe Neto]],Imput[[C. Imp.]:[C. Imp.]],$D561,Imput[[PERIODO Imp.]:[PERIODO Imp.]],DC$9)</f>
        <v>0</v>
      </c>
      <c r="DD561" s="693">
        <f>SUMIFS(Imput[[Importe Neto]:[Importe Neto]],Imput[[C. Imp.]:[C. Imp.]],$D561,Imput[[PERIODO Imp.]:[PERIODO Imp.]],DD$9)</f>
        <v>0</v>
      </c>
      <c r="DE561" s="693">
        <f>SUMIFS(Imput[[Importe Neto]:[Importe Neto]],Imput[[C. Imp.]:[C. Imp.]],$D561,Imput[[PERIODO Imp.]:[PERIODO Imp.]],DE$9)</f>
        <v>0</v>
      </c>
      <c r="DF561" s="693">
        <f>SUMIFS(Imput[[Importe Neto]:[Importe Neto]],Imput[[C. Imp.]:[C. Imp.]],$D561,Imput[[PERIODO Imp.]:[PERIODO Imp.]],DF$9)</f>
        <v>0</v>
      </c>
      <c r="DG561" s="693">
        <f>SUMIFS(Imput[[Importe Neto]:[Importe Neto]],Imput[[C. Imp.]:[C. Imp.]],$D561,Imput[[PERIODO Imp.]:[PERIODO Imp.]],DG$9)</f>
        <v>0</v>
      </c>
      <c r="DH561" s="694">
        <f>SUMIFS(Imput[[Importe Neto]:[Importe Neto]],Imput[[C. Imp.]:[C. Imp.]],$D561,Imput[[PERIODO Imp.]:[PERIODO Imp.]],DH$9)</f>
        <v>0</v>
      </c>
    </row>
    <row r="562" spans="1:112" s="649" customFormat="1" hidden="1" outlineLevel="1" x14ac:dyDescent="0.3">
      <c r="A562" s="652" t="str">
        <f t="shared" si="212"/>
        <v/>
      </c>
      <c r="B562" s="652"/>
      <c r="C562" s="685"/>
      <c r="D562" s="686" t="s">
        <v>2584</v>
      </c>
      <c r="E562" s="686"/>
      <c r="F562" s="720"/>
      <c r="G562" s="688"/>
      <c r="H562" s="689"/>
      <c r="I562" s="851" t="str">
        <f t="shared" si="213"/>
        <v/>
      </c>
      <c r="J562" s="850" t="str">
        <f t="shared" si="214"/>
        <v/>
      </c>
      <c r="K562" s="667"/>
      <c r="L562" s="858"/>
      <c r="M562" s="859"/>
      <c r="N562" s="859"/>
      <c r="O562" s="859"/>
      <c r="P562" s="859"/>
      <c r="Q562" s="859"/>
      <c r="R562" s="859"/>
      <c r="S562" s="859"/>
      <c r="T562" s="859"/>
      <c r="U562" s="859"/>
      <c r="V562" s="859"/>
      <c r="W562" s="859"/>
      <c r="X562" s="859"/>
      <c r="Y562" s="859"/>
      <c r="Z562" s="860"/>
      <c r="AA562" s="860"/>
      <c r="AB562" s="860"/>
      <c r="AC562" s="860"/>
      <c r="AD562" s="860"/>
      <c r="AE562" s="860"/>
      <c r="AF562" s="860"/>
      <c r="AG562" s="860"/>
      <c r="AH562" s="860"/>
      <c r="AI562" s="860"/>
      <c r="AJ562" s="860"/>
      <c r="AK562" s="860"/>
      <c r="AL562" s="860"/>
      <c r="AM562" s="860"/>
      <c r="AN562" s="860"/>
      <c r="AO562" s="860"/>
      <c r="AP562" s="860"/>
      <c r="AQ562" s="860"/>
      <c r="AR562" s="860"/>
      <c r="AS562" s="860"/>
      <c r="AT562" s="860"/>
      <c r="AU562" s="860"/>
      <c r="AV562" s="860"/>
      <c r="AW562" s="860"/>
      <c r="AX562" s="860"/>
      <c r="AY562" s="860"/>
      <c r="AZ562" s="860"/>
      <c r="BA562" s="860"/>
      <c r="BB562" s="860"/>
      <c r="BC562" s="860"/>
      <c r="BD562" s="860"/>
      <c r="BE562" s="860"/>
      <c r="BF562" s="860"/>
      <c r="BG562" s="860"/>
      <c r="BH562" s="668"/>
      <c r="BI562" s="667"/>
      <c r="BJ562" s="690">
        <f t="shared" si="215"/>
        <v>0</v>
      </c>
      <c r="BK562" s="691">
        <f t="shared" si="216"/>
        <v>0</v>
      </c>
      <c r="BL562" s="654"/>
      <c r="BM562" s="692">
        <f>SUMIFS(Imput[[Importe Neto]:[Importe Neto]],Imput[[C. Imp.]:[C. Imp.]],$D562,Imput[[PERIODO Imp.]:[PERIODO Imp.]],BM$9)</f>
        <v>0</v>
      </c>
      <c r="BN562" s="693">
        <f>SUMIFS(Imput[[Importe Neto]:[Importe Neto]],Imput[[C. Imp.]:[C. Imp.]],$D562,Imput[[PERIODO Imp.]:[PERIODO Imp.]],BN$9)</f>
        <v>0</v>
      </c>
      <c r="BO562" s="693">
        <f>SUMIFS(Imput[[Importe Neto]:[Importe Neto]],Imput[[C. Imp.]:[C. Imp.]],$D562,Imput[[PERIODO Imp.]:[PERIODO Imp.]],BO$9)</f>
        <v>0</v>
      </c>
      <c r="BP562" s="693">
        <f>SUMIFS(Imput[[Importe Neto]:[Importe Neto]],Imput[[C. Imp.]:[C. Imp.]],$D562,Imput[[PERIODO Imp.]:[PERIODO Imp.]],BP$9)</f>
        <v>0</v>
      </c>
      <c r="BQ562" s="693">
        <f>SUMIFS(Imput[[Importe Neto]:[Importe Neto]],Imput[[C. Imp.]:[C. Imp.]],$D562,Imput[[PERIODO Imp.]:[PERIODO Imp.]],BQ$9)</f>
        <v>0</v>
      </c>
      <c r="BR562" s="693">
        <f>SUMIFS(Imput[[Importe Neto]:[Importe Neto]],Imput[[C. Imp.]:[C. Imp.]],$D562,Imput[[PERIODO Imp.]:[PERIODO Imp.]],BR$9)</f>
        <v>0</v>
      </c>
      <c r="BS562" s="693">
        <f>SUMIFS(Imput[[Importe Neto]:[Importe Neto]],Imput[[C. Imp.]:[C. Imp.]],$D562,Imput[[PERIODO Imp.]:[PERIODO Imp.]],BS$9)</f>
        <v>0</v>
      </c>
      <c r="BT562" s="693">
        <f>SUMIFS(Imput[[Importe Neto]:[Importe Neto]],Imput[[C. Imp.]:[C. Imp.]],$D562,Imput[[PERIODO Imp.]:[PERIODO Imp.]],BT$9)</f>
        <v>0</v>
      </c>
      <c r="BU562" s="693">
        <f>SUMIFS(Imput[[Importe Neto]:[Importe Neto]],Imput[[C. Imp.]:[C. Imp.]],$D562,Imput[[PERIODO Imp.]:[PERIODO Imp.]],BU$9)</f>
        <v>0</v>
      </c>
      <c r="BV562" s="693">
        <f>SUMIFS(Imput[[Importe Neto]:[Importe Neto]],Imput[[C. Imp.]:[C. Imp.]],$D562,Imput[[PERIODO Imp.]:[PERIODO Imp.]],BV$9)</f>
        <v>0</v>
      </c>
      <c r="BW562" s="693">
        <f>SUMIFS(Imput[[Importe Neto]:[Importe Neto]],Imput[[C. Imp.]:[C. Imp.]],$D562,Imput[[PERIODO Imp.]:[PERIODO Imp.]],BW$9)</f>
        <v>0</v>
      </c>
      <c r="BX562" s="693">
        <f>SUMIFS(Imput[[Importe Neto]:[Importe Neto]],Imput[[C. Imp.]:[C. Imp.]],$D562,Imput[[PERIODO Imp.]:[PERIODO Imp.]],BX$9)</f>
        <v>0</v>
      </c>
      <c r="BY562" s="693">
        <f>SUMIFS(Imput[[Importe Neto]:[Importe Neto]],Imput[[C. Imp.]:[C. Imp.]],$D562,Imput[[PERIODO Imp.]:[PERIODO Imp.]],BY$9)</f>
        <v>0</v>
      </c>
      <c r="BZ562" s="693">
        <f>SUMIFS(Imput[[Importe Neto]:[Importe Neto]],Imput[[C. Imp.]:[C. Imp.]],$D562,Imput[[PERIODO Imp.]:[PERIODO Imp.]],BZ$9)</f>
        <v>0</v>
      </c>
      <c r="CA562" s="693">
        <f>SUMIFS(Imput[[Importe Neto]:[Importe Neto]],Imput[[C. Imp.]:[C. Imp.]],$D562,Imput[[PERIODO Imp.]:[PERIODO Imp.]],CA$9)</f>
        <v>0</v>
      </c>
      <c r="CB562" s="693">
        <f>SUMIFS(Imput[[Importe Neto]:[Importe Neto]],Imput[[C. Imp.]:[C. Imp.]],$D562,Imput[[PERIODO Imp.]:[PERIODO Imp.]],CB$9)</f>
        <v>0</v>
      </c>
      <c r="CC562" s="693">
        <f>SUMIFS(Imput[[Importe Neto]:[Importe Neto]],Imput[[C. Imp.]:[C. Imp.]],$D562,Imput[[PERIODO Imp.]:[PERIODO Imp.]],CC$9)</f>
        <v>0</v>
      </c>
      <c r="CD562" s="693">
        <f>SUMIFS(Imput[[Importe Neto]:[Importe Neto]],Imput[[C. Imp.]:[C. Imp.]],$D562,Imput[[PERIODO Imp.]:[PERIODO Imp.]],CD$9)</f>
        <v>0</v>
      </c>
      <c r="CE562" s="693">
        <f>SUMIFS(Imput[[Importe Neto]:[Importe Neto]],Imput[[C. Imp.]:[C. Imp.]],$D562,Imput[[PERIODO Imp.]:[PERIODO Imp.]],CE$9)</f>
        <v>0</v>
      </c>
      <c r="CF562" s="693">
        <f>SUMIFS(Imput[[Importe Neto]:[Importe Neto]],Imput[[C. Imp.]:[C. Imp.]],$D562,Imput[[PERIODO Imp.]:[PERIODO Imp.]],CF$9)</f>
        <v>0</v>
      </c>
      <c r="CG562" s="693">
        <f>SUMIFS(Imput[[Importe Neto]:[Importe Neto]],Imput[[C. Imp.]:[C. Imp.]],$D562,Imput[[PERIODO Imp.]:[PERIODO Imp.]],CG$9)</f>
        <v>0</v>
      </c>
      <c r="CH562" s="693">
        <f>SUMIFS(Imput[[Importe Neto]:[Importe Neto]],Imput[[C. Imp.]:[C. Imp.]],$D562,Imput[[PERIODO Imp.]:[PERIODO Imp.]],CH$9)</f>
        <v>0</v>
      </c>
      <c r="CI562" s="693">
        <f>SUMIFS(Imput[[Importe Neto]:[Importe Neto]],Imput[[C. Imp.]:[C. Imp.]],$D562,Imput[[PERIODO Imp.]:[PERIODO Imp.]],CI$9)</f>
        <v>0</v>
      </c>
      <c r="CJ562" s="693">
        <f>SUMIFS(Imput[[Importe Neto]:[Importe Neto]],Imput[[C. Imp.]:[C. Imp.]],$D562,Imput[[PERIODO Imp.]:[PERIODO Imp.]],CJ$9)</f>
        <v>0</v>
      </c>
      <c r="CK562" s="693">
        <f>SUMIFS(Imput[[Importe Neto]:[Importe Neto]],Imput[[C. Imp.]:[C. Imp.]],$D562,Imput[[PERIODO Imp.]:[PERIODO Imp.]],CK$9)</f>
        <v>0</v>
      </c>
      <c r="CL562" s="693">
        <f>SUMIFS(Imput[[Importe Neto]:[Importe Neto]],Imput[[C. Imp.]:[C. Imp.]],$D562,Imput[[PERIODO Imp.]:[PERIODO Imp.]],CL$9)</f>
        <v>0</v>
      </c>
      <c r="CM562" s="693">
        <f>SUMIFS(Imput[[Importe Neto]:[Importe Neto]],Imput[[C. Imp.]:[C. Imp.]],$D562,Imput[[PERIODO Imp.]:[PERIODO Imp.]],CM$9)</f>
        <v>0</v>
      </c>
      <c r="CN562" s="693">
        <f>SUMIFS(Imput[[Importe Neto]:[Importe Neto]],Imput[[C. Imp.]:[C. Imp.]],$D562,Imput[[PERIODO Imp.]:[PERIODO Imp.]],CN$9)</f>
        <v>0</v>
      </c>
      <c r="CO562" s="693">
        <f>SUMIFS(Imput[[Importe Neto]:[Importe Neto]],Imput[[C. Imp.]:[C. Imp.]],$D562,Imput[[PERIODO Imp.]:[PERIODO Imp.]],CO$9)</f>
        <v>0</v>
      </c>
      <c r="CP562" s="693">
        <f>SUMIFS(Imput[[Importe Neto]:[Importe Neto]],Imput[[C. Imp.]:[C. Imp.]],$D562,Imput[[PERIODO Imp.]:[PERIODO Imp.]],CP$9)</f>
        <v>0</v>
      </c>
      <c r="CQ562" s="693">
        <f>SUMIFS(Imput[[Importe Neto]:[Importe Neto]],Imput[[C. Imp.]:[C. Imp.]],$D562,Imput[[PERIODO Imp.]:[PERIODO Imp.]],CQ$9)</f>
        <v>0</v>
      </c>
      <c r="CR562" s="693">
        <f>SUMIFS(Imput[[Importe Neto]:[Importe Neto]],Imput[[C. Imp.]:[C. Imp.]],$D562,Imput[[PERIODO Imp.]:[PERIODO Imp.]],CR$9)</f>
        <v>0</v>
      </c>
      <c r="CS562" s="693">
        <f>SUMIFS(Imput[[Importe Neto]:[Importe Neto]],Imput[[C. Imp.]:[C. Imp.]],$D562,Imput[[PERIODO Imp.]:[PERIODO Imp.]],CS$9)</f>
        <v>0</v>
      </c>
      <c r="CT562" s="693">
        <f>SUMIFS(Imput[[Importe Neto]:[Importe Neto]],Imput[[C. Imp.]:[C. Imp.]],$D562,Imput[[PERIODO Imp.]:[PERIODO Imp.]],CT$9)</f>
        <v>0</v>
      </c>
      <c r="CU562" s="693">
        <f>SUMIFS(Imput[[Importe Neto]:[Importe Neto]],Imput[[C. Imp.]:[C. Imp.]],$D562,Imput[[PERIODO Imp.]:[PERIODO Imp.]],CU$9)</f>
        <v>0</v>
      </c>
      <c r="CV562" s="693">
        <f>SUMIFS(Imput[[Importe Neto]:[Importe Neto]],Imput[[C. Imp.]:[C. Imp.]],$D562,Imput[[PERIODO Imp.]:[PERIODO Imp.]],CV$9)</f>
        <v>0</v>
      </c>
      <c r="CW562" s="693">
        <f>SUMIFS(Imput[[Importe Neto]:[Importe Neto]],Imput[[C. Imp.]:[C. Imp.]],$D562,Imput[[PERIODO Imp.]:[PERIODO Imp.]],CW$9)</f>
        <v>0</v>
      </c>
      <c r="CX562" s="693">
        <f>SUMIFS(Imput[[Importe Neto]:[Importe Neto]],Imput[[C. Imp.]:[C. Imp.]],$D562,Imput[[PERIODO Imp.]:[PERIODO Imp.]],CX$9)</f>
        <v>0</v>
      </c>
      <c r="CY562" s="693">
        <f>SUMIFS(Imput[[Importe Neto]:[Importe Neto]],Imput[[C. Imp.]:[C. Imp.]],$D562,Imput[[PERIODO Imp.]:[PERIODO Imp.]],CY$9)</f>
        <v>0</v>
      </c>
      <c r="CZ562" s="693">
        <f>SUMIFS(Imput[[Importe Neto]:[Importe Neto]],Imput[[C. Imp.]:[C. Imp.]],$D562,Imput[[PERIODO Imp.]:[PERIODO Imp.]],CZ$9)</f>
        <v>0</v>
      </c>
      <c r="DA562" s="693">
        <f>SUMIFS(Imput[[Importe Neto]:[Importe Neto]],Imput[[C. Imp.]:[C. Imp.]],$D562,Imput[[PERIODO Imp.]:[PERIODO Imp.]],DA$9)</f>
        <v>0</v>
      </c>
      <c r="DB562" s="693">
        <f>SUMIFS(Imput[[Importe Neto]:[Importe Neto]],Imput[[C. Imp.]:[C. Imp.]],$D562,Imput[[PERIODO Imp.]:[PERIODO Imp.]],DB$9)</f>
        <v>0</v>
      </c>
      <c r="DC562" s="693">
        <f>SUMIFS(Imput[[Importe Neto]:[Importe Neto]],Imput[[C. Imp.]:[C. Imp.]],$D562,Imput[[PERIODO Imp.]:[PERIODO Imp.]],DC$9)</f>
        <v>0</v>
      </c>
      <c r="DD562" s="693">
        <f>SUMIFS(Imput[[Importe Neto]:[Importe Neto]],Imput[[C. Imp.]:[C. Imp.]],$D562,Imput[[PERIODO Imp.]:[PERIODO Imp.]],DD$9)</f>
        <v>0</v>
      </c>
      <c r="DE562" s="693">
        <f>SUMIFS(Imput[[Importe Neto]:[Importe Neto]],Imput[[C. Imp.]:[C. Imp.]],$D562,Imput[[PERIODO Imp.]:[PERIODO Imp.]],DE$9)</f>
        <v>0</v>
      </c>
      <c r="DF562" s="693">
        <f>SUMIFS(Imput[[Importe Neto]:[Importe Neto]],Imput[[C. Imp.]:[C. Imp.]],$D562,Imput[[PERIODO Imp.]:[PERIODO Imp.]],DF$9)</f>
        <v>0</v>
      </c>
      <c r="DG562" s="693">
        <f>SUMIFS(Imput[[Importe Neto]:[Importe Neto]],Imput[[C. Imp.]:[C. Imp.]],$D562,Imput[[PERIODO Imp.]:[PERIODO Imp.]],DG$9)</f>
        <v>0</v>
      </c>
      <c r="DH562" s="694">
        <f>SUMIFS(Imput[[Importe Neto]:[Importe Neto]],Imput[[C. Imp.]:[C. Imp.]],$D562,Imput[[PERIODO Imp.]:[PERIODO Imp.]],DH$9)</f>
        <v>0</v>
      </c>
    </row>
    <row r="563" spans="1:112" s="649" customFormat="1" hidden="1" outlineLevel="1" x14ac:dyDescent="0.3">
      <c r="A563" s="652" t="str">
        <f t="shared" si="212"/>
        <v/>
      </c>
      <c r="B563" s="652"/>
      <c r="C563" s="685"/>
      <c r="D563" s="686" t="s">
        <v>2585</v>
      </c>
      <c r="E563" s="686"/>
      <c r="F563" s="720"/>
      <c r="G563" s="688"/>
      <c r="H563" s="689"/>
      <c r="I563" s="851" t="str">
        <f t="shared" si="213"/>
        <v/>
      </c>
      <c r="J563" s="850" t="str">
        <f t="shared" si="214"/>
        <v/>
      </c>
      <c r="K563" s="667"/>
      <c r="L563" s="858"/>
      <c r="M563" s="859"/>
      <c r="N563" s="859"/>
      <c r="O563" s="859"/>
      <c r="P563" s="859"/>
      <c r="Q563" s="859"/>
      <c r="R563" s="859"/>
      <c r="S563" s="859"/>
      <c r="T563" s="859"/>
      <c r="U563" s="859"/>
      <c r="V563" s="859"/>
      <c r="W563" s="859"/>
      <c r="X563" s="859"/>
      <c r="Y563" s="859"/>
      <c r="Z563" s="860"/>
      <c r="AA563" s="860"/>
      <c r="AB563" s="860"/>
      <c r="AC563" s="860"/>
      <c r="AD563" s="860"/>
      <c r="AE563" s="860"/>
      <c r="AF563" s="860"/>
      <c r="AG563" s="860"/>
      <c r="AH563" s="860"/>
      <c r="AI563" s="860"/>
      <c r="AJ563" s="860"/>
      <c r="AK563" s="860"/>
      <c r="AL563" s="860"/>
      <c r="AM563" s="860"/>
      <c r="AN563" s="860"/>
      <c r="AO563" s="860"/>
      <c r="AP563" s="860"/>
      <c r="AQ563" s="860"/>
      <c r="AR563" s="860"/>
      <c r="AS563" s="860"/>
      <c r="AT563" s="860"/>
      <c r="AU563" s="860"/>
      <c r="AV563" s="860"/>
      <c r="AW563" s="860"/>
      <c r="AX563" s="860"/>
      <c r="AY563" s="860"/>
      <c r="AZ563" s="860"/>
      <c r="BA563" s="860"/>
      <c r="BB563" s="860"/>
      <c r="BC563" s="860"/>
      <c r="BD563" s="860"/>
      <c r="BE563" s="860"/>
      <c r="BF563" s="860"/>
      <c r="BG563" s="860"/>
      <c r="BH563" s="668"/>
      <c r="BI563" s="667"/>
      <c r="BJ563" s="690">
        <f t="shared" si="215"/>
        <v>0</v>
      </c>
      <c r="BK563" s="691">
        <f t="shared" si="216"/>
        <v>0</v>
      </c>
      <c r="BL563" s="654"/>
      <c r="BM563" s="692">
        <f>SUMIFS(Imput[[Importe Neto]:[Importe Neto]],Imput[[C. Imp.]:[C. Imp.]],$D563,Imput[[PERIODO Imp.]:[PERIODO Imp.]],BM$9)</f>
        <v>0</v>
      </c>
      <c r="BN563" s="693">
        <f>SUMIFS(Imput[[Importe Neto]:[Importe Neto]],Imput[[C. Imp.]:[C. Imp.]],$D563,Imput[[PERIODO Imp.]:[PERIODO Imp.]],BN$9)</f>
        <v>0</v>
      </c>
      <c r="BO563" s="693">
        <f>SUMIFS(Imput[[Importe Neto]:[Importe Neto]],Imput[[C. Imp.]:[C. Imp.]],$D563,Imput[[PERIODO Imp.]:[PERIODO Imp.]],BO$9)</f>
        <v>0</v>
      </c>
      <c r="BP563" s="693">
        <f>SUMIFS(Imput[[Importe Neto]:[Importe Neto]],Imput[[C. Imp.]:[C. Imp.]],$D563,Imput[[PERIODO Imp.]:[PERIODO Imp.]],BP$9)</f>
        <v>0</v>
      </c>
      <c r="BQ563" s="693">
        <f>SUMIFS(Imput[[Importe Neto]:[Importe Neto]],Imput[[C. Imp.]:[C. Imp.]],$D563,Imput[[PERIODO Imp.]:[PERIODO Imp.]],BQ$9)</f>
        <v>0</v>
      </c>
      <c r="BR563" s="693">
        <f>SUMIFS(Imput[[Importe Neto]:[Importe Neto]],Imput[[C. Imp.]:[C. Imp.]],$D563,Imput[[PERIODO Imp.]:[PERIODO Imp.]],BR$9)</f>
        <v>0</v>
      </c>
      <c r="BS563" s="693">
        <f>SUMIFS(Imput[[Importe Neto]:[Importe Neto]],Imput[[C. Imp.]:[C. Imp.]],$D563,Imput[[PERIODO Imp.]:[PERIODO Imp.]],BS$9)</f>
        <v>0</v>
      </c>
      <c r="BT563" s="693">
        <f>SUMIFS(Imput[[Importe Neto]:[Importe Neto]],Imput[[C. Imp.]:[C. Imp.]],$D563,Imput[[PERIODO Imp.]:[PERIODO Imp.]],BT$9)</f>
        <v>0</v>
      </c>
      <c r="BU563" s="693">
        <f>SUMIFS(Imput[[Importe Neto]:[Importe Neto]],Imput[[C. Imp.]:[C. Imp.]],$D563,Imput[[PERIODO Imp.]:[PERIODO Imp.]],BU$9)</f>
        <v>0</v>
      </c>
      <c r="BV563" s="693">
        <f>SUMIFS(Imput[[Importe Neto]:[Importe Neto]],Imput[[C. Imp.]:[C. Imp.]],$D563,Imput[[PERIODO Imp.]:[PERIODO Imp.]],BV$9)</f>
        <v>0</v>
      </c>
      <c r="BW563" s="693">
        <f>SUMIFS(Imput[[Importe Neto]:[Importe Neto]],Imput[[C. Imp.]:[C. Imp.]],$D563,Imput[[PERIODO Imp.]:[PERIODO Imp.]],BW$9)</f>
        <v>0</v>
      </c>
      <c r="BX563" s="693">
        <f>SUMIFS(Imput[[Importe Neto]:[Importe Neto]],Imput[[C. Imp.]:[C. Imp.]],$D563,Imput[[PERIODO Imp.]:[PERIODO Imp.]],BX$9)</f>
        <v>0</v>
      </c>
      <c r="BY563" s="693">
        <f>SUMIFS(Imput[[Importe Neto]:[Importe Neto]],Imput[[C. Imp.]:[C. Imp.]],$D563,Imput[[PERIODO Imp.]:[PERIODO Imp.]],BY$9)</f>
        <v>0</v>
      </c>
      <c r="BZ563" s="693">
        <f>SUMIFS(Imput[[Importe Neto]:[Importe Neto]],Imput[[C. Imp.]:[C. Imp.]],$D563,Imput[[PERIODO Imp.]:[PERIODO Imp.]],BZ$9)</f>
        <v>0</v>
      </c>
      <c r="CA563" s="693">
        <f>SUMIFS(Imput[[Importe Neto]:[Importe Neto]],Imput[[C. Imp.]:[C. Imp.]],$D563,Imput[[PERIODO Imp.]:[PERIODO Imp.]],CA$9)</f>
        <v>0</v>
      </c>
      <c r="CB563" s="693">
        <f>SUMIFS(Imput[[Importe Neto]:[Importe Neto]],Imput[[C. Imp.]:[C. Imp.]],$D563,Imput[[PERIODO Imp.]:[PERIODO Imp.]],CB$9)</f>
        <v>0</v>
      </c>
      <c r="CC563" s="693">
        <f>SUMIFS(Imput[[Importe Neto]:[Importe Neto]],Imput[[C. Imp.]:[C. Imp.]],$D563,Imput[[PERIODO Imp.]:[PERIODO Imp.]],CC$9)</f>
        <v>0</v>
      </c>
      <c r="CD563" s="693">
        <f>SUMIFS(Imput[[Importe Neto]:[Importe Neto]],Imput[[C. Imp.]:[C. Imp.]],$D563,Imput[[PERIODO Imp.]:[PERIODO Imp.]],CD$9)</f>
        <v>0</v>
      </c>
      <c r="CE563" s="693">
        <f>SUMIFS(Imput[[Importe Neto]:[Importe Neto]],Imput[[C. Imp.]:[C. Imp.]],$D563,Imput[[PERIODO Imp.]:[PERIODO Imp.]],CE$9)</f>
        <v>0</v>
      </c>
      <c r="CF563" s="693">
        <f>SUMIFS(Imput[[Importe Neto]:[Importe Neto]],Imput[[C. Imp.]:[C. Imp.]],$D563,Imput[[PERIODO Imp.]:[PERIODO Imp.]],CF$9)</f>
        <v>0</v>
      </c>
      <c r="CG563" s="693">
        <f>SUMIFS(Imput[[Importe Neto]:[Importe Neto]],Imput[[C. Imp.]:[C. Imp.]],$D563,Imput[[PERIODO Imp.]:[PERIODO Imp.]],CG$9)</f>
        <v>0</v>
      </c>
      <c r="CH563" s="693">
        <f>SUMIFS(Imput[[Importe Neto]:[Importe Neto]],Imput[[C. Imp.]:[C. Imp.]],$D563,Imput[[PERIODO Imp.]:[PERIODO Imp.]],CH$9)</f>
        <v>0</v>
      </c>
      <c r="CI563" s="693">
        <f>SUMIFS(Imput[[Importe Neto]:[Importe Neto]],Imput[[C. Imp.]:[C. Imp.]],$D563,Imput[[PERIODO Imp.]:[PERIODO Imp.]],CI$9)</f>
        <v>0</v>
      </c>
      <c r="CJ563" s="693">
        <f>SUMIFS(Imput[[Importe Neto]:[Importe Neto]],Imput[[C. Imp.]:[C. Imp.]],$D563,Imput[[PERIODO Imp.]:[PERIODO Imp.]],CJ$9)</f>
        <v>0</v>
      </c>
      <c r="CK563" s="693">
        <f>SUMIFS(Imput[[Importe Neto]:[Importe Neto]],Imput[[C. Imp.]:[C. Imp.]],$D563,Imput[[PERIODO Imp.]:[PERIODO Imp.]],CK$9)</f>
        <v>0</v>
      </c>
      <c r="CL563" s="693">
        <f>SUMIFS(Imput[[Importe Neto]:[Importe Neto]],Imput[[C. Imp.]:[C. Imp.]],$D563,Imput[[PERIODO Imp.]:[PERIODO Imp.]],CL$9)</f>
        <v>0</v>
      </c>
      <c r="CM563" s="693">
        <f>SUMIFS(Imput[[Importe Neto]:[Importe Neto]],Imput[[C. Imp.]:[C. Imp.]],$D563,Imput[[PERIODO Imp.]:[PERIODO Imp.]],CM$9)</f>
        <v>0</v>
      </c>
      <c r="CN563" s="693">
        <f>SUMIFS(Imput[[Importe Neto]:[Importe Neto]],Imput[[C. Imp.]:[C. Imp.]],$D563,Imput[[PERIODO Imp.]:[PERIODO Imp.]],CN$9)</f>
        <v>0</v>
      </c>
      <c r="CO563" s="693">
        <f>SUMIFS(Imput[[Importe Neto]:[Importe Neto]],Imput[[C. Imp.]:[C. Imp.]],$D563,Imput[[PERIODO Imp.]:[PERIODO Imp.]],CO$9)</f>
        <v>0</v>
      </c>
      <c r="CP563" s="693">
        <f>SUMIFS(Imput[[Importe Neto]:[Importe Neto]],Imput[[C. Imp.]:[C. Imp.]],$D563,Imput[[PERIODO Imp.]:[PERIODO Imp.]],CP$9)</f>
        <v>0</v>
      </c>
      <c r="CQ563" s="693">
        <f>SUMIFS(Imput[[Importe Neto]:[Importe Neto]],Imput[[C. Imp.]:[C. Imp.]],$D563,Imput[[PERIODO Imp.]:[PERIODO Imp.]],CQ$9)</f>
        <v>0</v>
      </c>
      <c r="CR563" s="693">
        <f>SUMIFS(Imput[[Importe Neto]:[Importe Neto]],Imput[[C. Imp.]:[C. Imp.]],$D563,Imput[[PERIODO Imp.]:[PERIODO Imp.]],CR$9)</f>
        <v>0</v>
      </c>
      <c r="CS563" s="693">
        <f>SUMIFS(Imput[[Importe Neto]:[Importe Neto]],Imput[[C. Imp.]:[C. Imp.]],$D563,Imput[[PERIODO Imp.]:[PERIODO Imp.]],CS$9)</f>
        <v>0</v>
      </c>
      <c r="CT563" s="693">
        <f>SUMIFS(Imput[[Importe Neto]:[Importe Neto]],Imput[[C. Imp.]:[C. Imp.]],$D563,Imput[[PERIODO Imp.]:[PERIODO Imp.]],CT$9)</f>
        <v>0</v>
      </c>
      <c r="CU563" s="693">
        <f>SUMIFS(Imput[[Importe Neto]:[Importe Neto]],Imput[[C. Imp.]:[C. Imp.]],$D563,Imput[[PERIODO Imp.]:[PERIODO Imp.]],CU$9)</f>
        <v>0</v>
      </c>
      <c r="CV563" s="693">
        <f>SUMIFS(Imput[[Importe Neto]:[Importe Neto]],Imput[[C. Imp.]:[C. Imp.]],$D563,Imput[[PERIODO Imp.]:[PERIODO Imp.]],CV$9)</f>
        <v>0</v>
      </c>
      <c r="CW563" s="693">
        <f>SUMIFS(Imput[[Importe Neto]:[Importe Neto]],Imput[[C. Imp.]:[C. Imp.]],$D563,Imput[[PERIODO Imp.]:[PERIODO Imp.]],CW$9)</f>
        <v>0</v>
      </c>
      <c r="CX563" s="693">
        <f>SUMIFS(Imput[[Importe Neto]:[Importe Neto]],Imput[[C. Imp.]:[C. Imp.]],$D563,Imput[[PERIODO Imp.]:[PERIODO Imp.]],CX$9)</f>
        <v>0</v>
      </c>
      <c r="CY563" s="693">
        <f>SUMIFS(Imput[[Importe Neto]:[Importe Neto]],Imput[[C. Imp.]:[C. Imp.]],$D563,Imput[[PERIODO Imp.]:[PERIODO Imp.]],CY$9)</f>
        <v>0</v>
      </c>
      <c r="CZ563" s="693">
        <f>SUMIFS(Imput[[Importe Neto]:[Importe Neto]],Imput[[C. Imp.]:[C. Imp.]],$D563,Imput[[PERIODO Imp.]:[PERIODO Imp.]],CZ$9)</f>
        <v>0</v>
      </c>
      <c r="DA563" s="693">
        <f>SUMIFS(Imput[[Importe Neto]:[Importe Neto]],Imput[[C. Imp.]:[C. Imp.]],$D563,Imput[[PERIODO Imp.]:[PERIODO Imp.]],DA$9)</f>
        <v>0</v>
      </c>
      <c r="DB563" s="693">
        <f>SUMIFS(Imput[[Importe Neto]:[Importe Neto]],Imput[[C. Imp.]:[C. Imp.]],$D563,Imput[[PERIODO Imp.]:[PERIODO Imp.]],DB$9)</f>
        <v>0</v>
      </c>
      <c r="DC563" s="693">
        <f>SUMIFS(Imput[[Importe Neto]:[Importe Neto]],Imput[[C. Imp.]:[C. Imp.]],$D563,Imput[[PERIODO Imp.]:[PERIODO Imp.]],DC$9)</f>
        <v>0</v>
      </c>
      <c r="DD563" s="693">
        <f>SUMIFS(Imput[[Importe Neto]:[Importe Neto]],Imput[[C. Imp.]:[C. Imp.]],$D563,Imput[[PERIODO Imp.]:[PERIODO Imp.]],DD$9)</f>
        <v>0</v>
      </c>
      <c r="DE563" s="693">
        <f>SUMIFS(Imput[[Importe Neto]:[Importe Neto]],Imput[[C. Imp.]:[C. Imp.]],$D563,Imput[[PERIODO Imp.]:[PERIODO Imp.]],DE$9)</f>
        <v>0</v>
      </c>
      <c r="DF563" s="693">
        <f>SUMIFS(Imput[[Importe Neto]:[Importe Neto]],Imput[[C. Imp.]:[C. Imp.]],$D563,Imput[[PERIODO Imp.]:[PERIODO Imp.]],DF$9)</f>
        <v>0</v>
      </c>
      <c r="DG563" s="693">
        <f>SUMIFS(Imput[[Importe Neto]:[Importe Neto]],Imput[[C. Imp.]:[C. Imp.]],$D563,Imput[[PERIODO Imp.]:[PERIODO Imp.]],DG$9)</f>
        <v>0</v>
      </c>
      <c r="DH563" s="694">
        <f>SUMIFS(Imput[[Importe Neto]:[Importe Neto]],Imput[[C. Imp.]:[C. Imp.]],$D563,Imput[[PERIODO Imp.]:[PERIODO Imp.]],DH$9)</f>
        <v>0</v>
      </c>
    </row>
    <row r="564" spans="1:112" s="649" customFormat="1" hidden="1" outlineLevel="1" x14ac:dyDescent="0.3">
      <c r="A564" s="652" t="str">
        <f t="shared" si="212"/>
        <v/>
      </c>
      <c r="B564" s="652"/>
      <c r="C564" s="685"/>
      <c r="D564" s="686" t="s">
        <v>2586</v>
      </c>
      <c r="E564" s="686"/>
      <c r="F564" s="720"/>
      <c r="G564" s="688"/>
      <c r="H564" s="689"/>
      <c r="I564" s="851" t="str">
        <f t="shared" si="213"/>
        <v/>
      </c>
      <c r="J564" s="850" t="str">
        <f t="shared" si="214"/>
        <v/>
      </c>
      <c r="K564" s="667"/>
      <c r="L564" s="858"/>
      <c r="M564" s="859"/>
      <c r="N564" s="859"/>
      <c r="O564" s="859"/>
      <c r="P564" s="859"/>
      <c r="Q564" s="859"/>
      <c r="R564" s="859"/>
      <c r="S564" s="859"/>
      <c r="T564" s="859"/>
      <c r="U564" s="859"/>
      <c r="V564" s="859"/>
      <c r="W564" s="859"/>
      <c r="X564" s="859"/>
      <c r="Y564" s="859"/>
      <c r="Z564" s="860"/>
      <c r="AA564" s="860"/>
      <c r="AB564" s="860"/>
      <c r="AC564" s="860"/>
      <c r="AD564" s="860"/>
      <c r="AE564" s="860"/>
      <c r="AF564" s="860"/>
      <c r="AG564" s="860"/>
      <c r="AH564" s="860"/>
      <c r="AI564" s="860"/>
      <c r="AJ564" s="860"/>
      <c r="AK564" s="860"/>
      <c r="AL564" s="860"/>
      <c r="AM564" s="860"/>
      <c r="AN564" s="860"/>
      <c r="AO564" s="860"/>
      <c r="AP564" s="860"/>
      <c r="AQ564" s="860"/>
      <c r="AR564" s="860"/>
      <c r="AS564" s="860"/>
      <c r="AT564" s="860"/>
      <c r="AU564" s="860"/>
      <c r="AV564" s="860"/>
      <c r="AW564" s="860"/>
      <c r="AX564" s="860"/>
      <c r="AY564" s="860"/>
      <c r="AZ564" s="860"/>
      <c r="BA564" s="860"/>
      <c r="BB564" s="860"/>
      <c r="BC564" s="860"/>
      <c r="BD564" s="860"/>
      <c r="BE564" s="860"/>
      <c r="BF564" s="860"/>
      <c r="BG564" s="860"/>
      <c r="BH564" s="668"/>
      <c r="BI564" s="667"/>
      <c r="BJ564" s="690">
        <f t="shared" si="215"/>
        <v>0</v>
      </c>
      <c r="BK564" s="691">
        <f t="shared" si="216"/>
        <v>0</v>
      </c>
      <c r="BL564" s="654"/>
      <c r="BM564" s="692">
        <f>SUMIFS(Imput[[Importe Neto]:[Importe Neto]],Imput[[C. Imp.]:[C. Imp.]],$D564,Imput[[PERIODO Imp.]:[PERIODO Imp.]],BM$9)</f>
        <v>0</v>
      </c>
      <c r="BN564" s="693">
        <f>SUMIFS(Imput[[Importe Neto]:[Importe Neto]],Imput[[C. Imp.]:[C. Imp.]],$D564,Imput[[PERIODO Imp.]:[PERIODO Imp.]],BN$9)</f>
        <v>0</v>
      </c>
      <c r="BO564" s="693">
        <f>SUMIFS(Imput[[Importe Neto]:[Importe Neto]],Imput[[C. Imp.]:[C. Imp.]],$D564,Imput[[PERIODO Imp.]:[PERIODO Imp.]],BO$9)</f>
        <v>0</v>
      </c>
      <c r="BP564" s="693">
        <f>SUMIFS(Imput[[Importe Neto]:[Importe Neto]],Imput[[C. Imp.]:[C. Imp.]],$D564,Imput[[PERIODO Imp.]:[PERIODO Imp.]],BP$9)</f>
        <v>0</v>
      </c>
      <c r="BQ564" s="693">
        <f>SUMIFS(Imput[[Importe Neto]:[Importe Neto]],Imput[[C. Imp.]:[C. Imp.]],$D564,Imput[[PERIODO Imp.]:[PERIODO Imp.]],BQ$9)</f>
        <v>0</v>
      </c>
      <c r="BR564" s="693">
        <f>SUMIFS(Imput[[Importe Neto]:[Importe Neto]],Imput[[C. Imp.]:[C. Imp.]],$D564,Imput[[PERIODO Imp.]:[PERIODO Imp.]],BR$9)</f>
        <v>0</v>
      </c>
      <c r="BS564" s="693">
        <f>SUMIFS(Imput[[Importe Neto]:[Importe Neto]],Imput[[C. Imp.]:[C. Imp.]],$D564,Imput[[PERIODO Imp.]:[PERIODO Imp.]],BS$9)</f>
        <v>0</v>
      </c>
      <c r="BT564" s="693">
        <f>SUMIFS(Imput[[Importe Neto]:[Importe Neto]],Imput[[C. Imp.]:[C. Imp.]],$D564,Imput[[PERIODO Imp.]:[PERIODO Imp.]],BT$9)</f>
        <v>0</v>
      </c>
      <c r="BU564" s="693">
        <f>SUMIFS(Imput[[Importe Neto]:[Importe Neto]],Imput[[C. Imp.]:[C. Imp.]],$D564,Imput[[PERIODO Imp.]:[PERIODO Imp.]],BU$9)</f>
        <v>0</v>
      </c>
      <c r="BV564" s="693">
        <f>SUMIFS(Imput[[Importe Neto]:[Importe Neto]],Imput[[C. Imp.]:[C. Imp.]],$D564,Imput[[PERIODO Imp.]:[PERIODO Imp.]],BV$9)</f>
        <v>0</v>
      </c>
      <c r="BW564" s="693">
        <f>SUMIFS(Imput[[Importe Neto]:[Importe Neto]],Imput[[C. Imp.]:[C. Imp.]],$D564,Imput[[PERIODO Imp.]:[PERIODO Imp.]],BW$9)</f>
        <v>0</v>
      </c>
      <c r="BX564" s="693">
        <f>SUMIFS(Imput[[Importe Neto]:[Importe Neto]],Imput[[C. Imp.]:[C. Imp.]],$D564,Imput[[PERIODO Imp.]:[PERIODO Imp.]],BX$9)</f>
        <v>0</v>
      </c>
      <c r="BY564" s="693">
        <f>SUMIFS(Imput[[Importe Neto]:[Importe Neto]],Imput[[C. Imp.]:[C. Imp.]],$D564,Imput[[PERIODO Imp.]:[PERIODO Imp.]],BY$9)</f>
        <v>0</v>
      </c>
      <c r="BZ564" s="693">
        <f>SUMIFS(Imput[[Importe Neto]:[Importe Neto]],Imput[[C. Imp.]:[C. Imp.]],$D564,Imput[[PERIODO Imp.]:[PERIODO Imp.]],BZ$9)</f>
        <v>0</v>
      </c>
      <c r="CA564" s="693">
        <f>SUMIFS(Imput[[Importe Neto]:[Importe Neto]],Imput[[C. Imp.]:[C. Imp.]],$D564,Imput[[PERIODO Imp.]:[PERIODO Imp.]],CA$9)</f>
        <v>0</v>
      </c>
      <c r="CB564" s="693">
        <f>SUMIFS(Imput[[Importe Neto]:[Importe Neto]],Imput[[C. Imp.]:[C. Imp.]],$D564,Imput[[PERIODO Imp.]:[PERIODO Imp.]],CB$9)</f>
        <v>0</v>
      </c>
      <c r="CC564" s="693">
        <f>SUMIFS(Imput[[Importe Neto]:[Importe Neto]],Imput[[C. Imp.]:[C. Imp.]],$D564,Imput[[PERIODO Imp.]:[PERIODO Imp.]],CC$9)</f>
        <v>0</v>
      </c>
      <c r="CD564" s="693">
        <f>SUMIFS(Imput[[Importe Neto]:[Importe Neto]],Imput[[C. Imp.]:[C. Imp.]],$D564,Imput[[PERIODO Imp.]:[PERIODO Imp.]],CD$9)</f>
        <v>0</v>
      </c>
      <c r="CE564" s="693">
        <f>SUMIFS(Imput[[Importe Neto]:[Importe Neto]],Imput[[C. Imp.]:[C. Imp.]],$D564,Imput[[PERIODO Imp.]:[PERIODO Imp.]],CE$9)</f>
        <v>0</v>
      </c>
      <c r="CF564" s="693">
        <f>SUMIFS(Imput[[Importe Neto]:[Importe Neto]],Imput[[C. Imp.]:[C. Imp.]],$D564,Imput[[PERIODO Imp.]:[PERIODO Imp.]],CF$9)</f>
        <v>0</v>
      </c>
      <c r="CG564" s="693">
        <f>SUMIFS(Imput[[Importe Neto]:[Importe Neto]],Imput[[C. Imp.]:[C. Imp.]],$D564,Imput[[PERIODO Imp.]:[PERIODO Imp.]],CG$9)</f>
        <v>0</v>
      </c>
      <c r="CH564" s="693">
        <f>SUMIFS(Imput[[Importe Neto]:[Importe Neto]],Imput[[C. Imp.]:[C. Imp.]],$D564,Imput[[PERIODO Imp.]:[PERIODO Imp.]],CH$9)</f>
        <v>0</v>
      </c>
      <c r="CI564" s="693">
        <f>SUMIFS(Imput[[Importe Neto]:[Importe Neto]],Imput[[C. Imp.]:[C. Imp.]],$D564,Imput[[PERIODO Imp.]:[PERIODO Imp.]],CI$9)</f>
        <v>0</v>
      </c>
      <c r="CJ564" s="693">
        <f>SUMIFS(Imput[[Importe Neto]:[Importe Neto]],Imput[[C. Imp.]:[C. Imp.]],$D564,Imput[[PERIODO Imp.]:[PERIODO Imp.]],CJ$9)</f>
        <v>0</v>
      </c>
      <c r="CK564" s="693">
        <f>SUMIFS(Imput[[Importe Neto]:[Importe Neto]],Imput[[C. Imp.]:[C. Imp.]],$D564,Imput[[PERIODO Imp.]:[PERIODO Imp.]],CK$9)</f>
        <v>0</v>
      </c>
      <c r="CL564" s="693">
        <f>SUMIFS(Imput[[Importe Neto]:[Importe Neto]],Imput[[C. Imp.]:[C. Imp.]],$D564,Imput[[PERIODO Imp.]:[PERIODO Imp.]],CL$9)</f>
        <v>0</v>
      </c>
      <c r="CM564" s="693">
        <f>SUMIFS(Imput[[Importe Neto]:[Importe Neto]],Imput[[C. Imp.]:[C. Imp.]],$D564,Imput[[PERIODO Imp.]:[PERIODO Imp.]],CM$9)</f>
        <v>0</v>
      </c>
      <c r="CN564" s="693">
        <f>SUMIFS(Imput[[Importe Neto]:[Importe Neto]],Imput[[C. Imp.]:[C. Imp.]],$D564,Imput[[PERIODO Imp.]:[PERIODO Imp.]],CN$9)</f>
        <v>0</v>
      </c>
      <c r="CO564" s="693">
        <f>SUMIFS(Imput[[Importe Neto]:[Importe Neto]],Imput[[C. Imp.]:[C. Imp.]],$D564,Imput[[PERIODO Imp.]:[PERIODO Imp.]],CO$9)</f>
        <v>0</v>
      </c>
      <c r="CP564" s="693">
        <f>SUMIFS(Imput[[Importe Neto]:[Importe Neto]],Imput[[C. Imp.]:[C. Imp.]],$D564,Imput[[PERIODO Imp.]:[PERIODO Imp.]],CP$9)</f>
        <v>0</v>
      </c>
      <c r="CQ564" s="693">
        <f>SUMIFS(Imput[[Importe Neto]:[Importe Neto]],Imput[[C. Imp.]:[C. Imp.]],$D564,Imput[[PERIODO Imp.]:[PERIODO Imp.]],CQ$9)</f>
        <v>0</v>
      </c>
      <c r="CR564" s="693">
        <f>SUMIFS(Imput[[Importe Neto]:[Importe Neto]],Imput[[C. Imp.]:[C. Imp.]],$D564,Imput[[PERIODO Imp.]:[PERIODO Imp.]],CR$9)</f>
        <v>0</v>
      </c>
      <c r="CS564" s="693">
        <f>SUMIFS(Imput[[Importe Neto]:[Importe Neto]],Imput[[C. Imp.]:[C. Imp.]],$D564,Imput[[PERIODO Imp.]:[PERIODO Imp.]],CS$9)</f>
        <v>0</v>
      </c>
      <c r="CT564" s="693">
        <f>SUMIFS(Imput[[Importe Neto]:[Importe Neto]],Imput[[C. Imp.]:[C. Imp.]],$D564,Imput[[PERIODO Imp.]:[PERIODO Imp.]],CT$9)</f>
        <v>0</v>
      </c>
      <c r="CU564" s="693">
        <f>SUMIFS(Imput[[Importe Neto]:[Importe Neto]],Imput[[C. Imp.]:[C. Imp.]],$D564,Imput[[PERIODO Imp.]:[PERIODO Imp.]],CU$9)</f>
        <v>0</v>
      </c>
      <c r="CV564" s="693">
        <f>SUMIFS(Imput[[Importe Neto]:[Importe Neto]],Imput[[C. Imp.]:[C. Imp.]],$D564,Imput[[PERIODO Imp.]:[PERIODO Imp.]],CV$9)</f>
        <v>0</v>
      </c>
      <c r="CW564" s="693">
        <f>SUMIFS(Imput[[Importe Neto]:[Importe Neto]],Imput[[C. Imp.]:[C. Imp.]],$D564,Imput[[PERIODO Imp.]:[PERIODO Imp.]],CW$9)</f>
        <v>0</v>
      </c>
      <c r="CX564" s="693">
        <f>SUMIFS(Imput[[Importe Neto]:[Importe Neto]],Imput[[C. Imp.]:[C. Imp.]],$D564,Imput[[PERIODO Imp.]:[PERIODO Imp.]],CX$9)</f>
        <v>0</v>
      </c>
      <c r="CY564" s="693">
        <f>SUMIFS(Imput[[Importe Neto]:[Importe Neto]],Imput[[C. Imp.]:[C. Imp.]],$D564,Imput[[PERIODO Imp.]:[PERIODO Imp.]],CY$9)</f>
        <v>0</v>
      </c>
      <c r="CZ564" s="693">
        <f>SUMIFS(Imput[[Importe Neto]:[Importe Neto]],Imput[[C. Imp.]:[C. Imp.]],$D564,Imput[[PERIODO Imp.]:[PERIODO Imp.]],CZ$9)</f>
        <v>0</v>
      </c>
      <c r="DA564" s="693">
        <f>SUMIFS(Imput[[Importe Neto]:[Importe Neto]],Imput[[C. Imp.]:[C. Imp.]],$D564,Imput[[PERIODO Imp.]:[PERIODO Imp.]],DA$9)</f>
        <v>0</v>
      </c>
      <c r="DB564" s="693">
        <f>SUMIFS(Imput[[Importe Neto]:[Importe Neto]],Imput[[C. Imp.]:[C. Imp.]],$D564,Imput[[PERIODO Imp.]:[PERIODO Imp.]],DB$9)</f>
        <v>0</v>
      </c>
      <c r="DC564" s="693">
        <f>SUMIFS(Imput[[Importe Neto]:[Importe Neto]],Imput[[C. Imp.]:[C. Imp.]],$D564,Imput[[PERIODO Imp.]:[PERIODO Imp.]],DC$9)</f>
        <v>0</v>
      </c>
      <c r="DD564" s="693">
        <f>SUMIFS(Imput[[Importe Neto]:[Importe Neto]],Imput[[C. Imp.]:[C. Imp.]],$D564,Imput[[PERIODO Imp.]:[PERIODO Imp.]],DD$9)</f>
        <v>0</v>
      </c>
      <c r="DE564" s="693">
        <f>SUMIFS(Imput[[Importe Neto]:[Importe Neto]],Imput[[C. Imp.]:[C. Imp.]],$D564,Imput[[PERIODO Imp.]:[PERIODO Imp.]],DE$9)</f>
        <v>0</v>
      </c>
      <c r="DF564" s="693">
        <f>SUMIFS(Imput[[Importe Neto]:[Importe Neto]],Imput[[C. Imp.]:[C. Imp.]],$D564,Imput[[PERIODO Imp.]:[PERIODO Imp.]],DF$9)</f>
        <v>0</v>
      </c>
      <c r="DG564" s="693">
        <f>SUMIFS(Imput[[Importe Neto]:[Importe Neto]],Imput[[C. Imp.]:[C. Imp.]],$D564,Imput[[PERIODO Imp.]:[PERIODO Imp.]],DG$9)</f>
        <v>0</v>
      </c>
      <c r="DH564" s="694">
        <f>SUMIFS(Imput[[Importe Neto]:[Importe Neto]],Imput[[C. Imp.]:[C. Imp.]],$D564,Imput[[PERIODO Imp.]:[PERIODO Imp.]],DH$9)</f>
        <v>0</v>
      </c>
    </row>
    <row r="565" spans="1:112" s="649" customFormat="1" hidden="1" outlineLevel="1" x14ac:dyDescent="0.3">
      <c r="A565" s="652" t="str">
        <f t="shared" si="212"/>
        <v/>
      </c>
      <c r="B565" s="652"/>
      <c r="C565" s="685"/>
      <c r="D565" s="686" t="s">
        <v>2587</v>
      </c>
      <c r="E565" s="686"/>
      <c r="F565" s="720"/>
      <c r="G565" s="688"/>
      <c r="H565" s="689"/>
      <c r="I565" s="851" t="str">
        <f t="shared" si="213"/>
        <v/>
      </c>
      <c r="J565" s="850" t="str">
        <f t="shared" si="214"/>
        <v/>
      </c>
      <c r="K565" s="667"/>
      <c r="L565" s="858"/>
      <c r="M565" s="859"/>
      <c r="N565" s="859"/>
      <c r="O565" s="859"/>
      <c r="P565" s="859"/>
      <c r="Q565" s="859"/>
      <c r="R565" s="859"/>
      <c r="S565" s="859"/>
      <c r="T565" s="859"/>
      <c r="U565" s="859"/>
      <c r="V565" s="859"/>
      <c r="W565" s="859"/>
      <c r="X565" s="859"/>
      <c r="Y565" s="859"/>
      <c r="Z565" s="860"/>
      <c r="AA565" s="860"/>
      <c r="AB565" s="860"/>
      <c r="AC565" s="860"/>
      <c r="AD565" s="860"/>
      <c r="AE565" s="860"/>
      <c r="AF565" s="860"/>
      <c r="AG565" s="860"/>
      <c r="AH565" s="860"/>
      <c r="AI565" s="860"/>
      <c r="AJ565" s="860"/>
      <c r="AK565" s="860"/>
      <c r="AL565" s="860"/>
      <c r="AM565" s="860"/>
      <c r="AN565" s="860"/>
      <c r="AO565" s="860"/>
      <c r="AP565" s="860"/>
      <c r="AQ565" s="860"/>
      <c r="AR565" s="860"/>
      <c r="AS565" s="860"/>
      <c r="AT565" s="860"/>
      <c r="AU565" s="860"/>
      <c r="AV565" s="860"/>
      <c r="AW565" s="860"/>
      <c r="AX565" s="860"/>
      <c r="AY565" s="860"/>
      <c r="AZ565" s="860"/>
      <c r="BA565" s="860"/>
      <c r="BB565" s="860"/>
      <c r="BC565" s="860"/>
      <c r="BD565" s="860"/>
      <c r="BE565" s="860"/>
      <c r="BF565" s="860"/>
      <c r="BG565" s="860"/>
      <c r="BH565" s="668"/>
      <c r="BI565" s="667"/>
      <c r="BJ565" s="690">
        <f t="shared" si="215"/>
        <v>0</v>
      </c>
      <c r="BK565" s="691">
        <f t="shared" si="216"/>
        <v>0</v>
      </c>
      <c r="BL565" s="654"/>
      <c r="BM565" s="692">
        <f>SUMIFS(Imput[[Importe Neto]:[Importe Neto]],Imput[[C. Imp.]:[C. Imp.]],$D565,Imput[[PERIODO Imp.]:[PERIODO Imp.]],BM$9)</f>
        <v>0</v>
      </c>
      <c r="BN565" s="693">
        <f>SUMIFS(Imput[[Importe Neto]:[Importe Neto]],Imput[[C. Imp.]:[C. Imp.]],$D565,Imput[[PERIODO Imp.]:[PERIODO Imp.]],BN$9)</f>
        <v>0</v>
      </c>
      <c r="BO565" s="693">
        <f>SUMIFS(Imput[[Importe Neto]:[Importe Neto]],Imput[[C. Imp.]:[C. Imp.]],$D565,Imput[[PERIODO Imp.]:[PERIODO Imp.]],BO$9)</f>
        <v>0</v>
      </c>
      <c r="BP565" s="693">
        <f>SUMIFS(Imput[[Importe Neto]:[Importe Neto]],Imput[[C. Imp.]:[C. Imp.]],$D565,Imput[[PERIODO Imp.]:[PERIODO Imp.]],BP$9)</f>
        <v>0</v>
      </c>
      <c r="BQ565" s="693">
        <f>SUMIFS(Imput[[Importe Neto]:[Importe Neto]],Imput[[C. Imp.]:[C. Imp.]],$D565,Imput[[PERIODO Imp.]:[PERIODO Imp.]],BQ$9)</f>
        <v>0</v>
      </c>
      <c r="BR565" s="693">
        <f>SUMIFS(Imput[[Importe Neto]:[Importe Neto]],Imput[[C. Imp.]:[C. Imp.]],$D565,Imput[[PERIODO Imp.]:[PERIODO Imp.]],BR$9)</f>
        <v>0</v>
      </c>
      <c r="BS565" s="693">
        <f>SUMIFS(Imput[[Importe Neto]:[Importe Neto]],Imput[[C. Imp.]:[C. Imp.]],$D565,Imput[[PERIODO Imp.]:[PERIODO Imp.]],BS$9)</f>
        <v>0</v>
      </c>
      <c r="BT565" s="693">
        <f>SUMIFS(Imput[[Importe Neto]:[Importe Neto]],Imput[[C. Imp.]:[C. Imp.]],$D565,Imput[[PERIODO Imp.]:[PERIODO Imp.]],BT$9)</f>
        <v>0</v>
      </c>
      <c r="BU565" s="693">
        <f>SUMIFS(Imput[[Importe Neto]:[Importe Neto]],Imput[[C. Imp.]:[C. Imp.]],$D565,Imput[[PERIODO Imp.]:[PERIODO Imp.]],BU$9)</f>
        <v>0</v>
      </c>
      <c r="BV565" s="693">
        <f>SUMIFS(Imput[[Importe Neto]:[Importe Neto]],Imput[[C. Imp.]:[C. Imp.]],$D565,Imput[[PERIODO Imp.]:[PERIODO Imp.]],BV$9)</f>
        <v>0</v>
      </c>
      <c r="BW565" s="693">
        <f>SUMIFS(Imput[[Importe Neto]:[Importe Neto]],Imput[[C. Imp.]:[C. Imp.]],$D565,Imput[[PERIODO Imp.]:[PERIODO Imp.]],BW$9)</f>
        <v>0</v>
      </c>
      <c r="BX565" s="693">
        <f>SUMIFS(Imput[[Importe Neto]:[Importe Neto]],Imput[[C. Imp.]:[C. Imp.]],$D565,Imput[[PERIODO Imp.]:[PERIODO Imp.]],BX$9)</f>
        <v>0</v>
      </c>
      <c r="BY565" s="693">
        <f>SUMIFS(Imput[[Importe Neto]:[Importe Neto]],Imput[[C. Imp.]:[C. Imp.]],$D565,Imput[[PERIODO Imp.]:[PERIODO Imp.]],BY$9)</f>
        <v>0</v>
      </c>
      <c r="BZ565" s="693">
        <f>SUMIFS(Imput[[Importe Neto]:[Importe Neto]],Imput[[C. Imp.]:[C. Imp.]],$D565,Imput[[PERIODO Imp.]:[PERIODO Imp.]],BZ$9)</f>
        <v>0</v>
      </c>
      <c r="CA565" s="693">
        <f>SUMIFS(Imput[[Importe Neto]:[Importe Neto]],Imput[[C. Imp.]:[C. Imp.]],$D565,Imput[[PERIODO Imp.]:[PERIODO Imp.]],CA$9)</f>
        <v>0</v>
      </c>
      <c r="CB565" s="693">
        <f>SUMIFS(Imput[[Importe Neto]:[Importe Neto]],Imput[[C. Imp.]:[C. Imp.]],$D565,Imput[[PERIODO Imp.]:[PERIODO Imp.]],CB$9)</f>
        <v>0</v>
      </c>
      <c r="CC565" s="693">
        <f>SUMIFS(Imput[[Importe Neto]:[Importe Neto]],Imput[[C. Imp.]:[C. Imp.]],$D565,Imput[[PERIODO Imp.]:[PERIODO Imp.]],CC$9)</f>
        <v>0</v>
      </c>
      <c r="CD565" s="693">
        <f>SUMIFS(Imput[[Importe Neto]:[Importe Neto]],Imput[[C. Imp.]:[C. Imp.]],$D565,Imput[[PERIODO Imp.]:[PERIODO Imp.]],CD$9)</f>
        <v>0</v>
      </c>
      <c r="CE565" s="693">
        <f>SUMIFS(Imput[[Importe Neto]:[Importe Neto]],Imput[[C. Imp.]:[C. Imp.]],$D565,Imput[[PERIODO Imp.]:[PERIODO Imp.]],CE$9)</f>
        <v>0</v>
      </c>
      <c r="CF565" s="693">
        <f>SUMIFS(Imput[[Importe Neto]:[Importe Neto]],Imput[[C. Imp.]:[C. Imp.]],$D565,Imput[[PERIODO Imp.]:[PERIODO Imp.]],CF$9)</f>
        <v>0</v>
      </c>
      <c r="CG565" s="693">
        <f>SUMIFS(Imput[[Importe Neto]:[Importe Neto]],Imput[[C. Imp.]:[C. Imp.]],$D565,Imput[[PERIODO Imp.]:[PERIODO Imp.]],CG$9)</f>
        <v>0</v>
      </c>
      <c r="CH565" s="693">
        <f>SUMIFS(Imput[[Importe Neto]:[Importe Neto]],Imput[[C. Imp.]:[C. Imp.]],$D565,Imput[[PERIODO Imp.]:[PERIODO Imp.]],CH$9)</f>
        <v>0</v>
      </c>
      <c r="CI565" s="693">
        <f>SUMIFS(Imput[[Importe Neto]:[Importe Neto]],Imput[[C. Imp.]:[C. Imp.]],$D565,Imput[[PERIODO Imp.]:[PERIODO Imp.]],CI$9)</f>
        <v>0</v>
      </c>
      <c r="CJ565" s="693">
        <f>SUMIFS(Imput[[Importe Neto]:[Importe Neto]],Imput[[C. Imp.]:[C. Imp.]],$D565,Imput[[PERIODO Imp.]:[PERIODO Imp.]],CJ$9)</f>
        <v>0</v>
      </c>
      <c r="CK565" s="693">
        <f>SUMIFS(Imput[[Importe Neto]:[Importe Neto]],Imput[[C. Imp.]:[C. Imp.]],$D565,Imput[[PERIODO Imp.]:[PERIODO Imp.]],CK$9)</f>
        <v>0</v>
      </c>
      <c r="CL565" s="693">
        <f>SUMIFS(Imput[[Importe Neto]:[Importe Neto]],Imput[[C. Imp.]:[C. Imp.]],$D565,Imput[[PERIODO Imp.]:[PERIODO Imp.]],CL$9)</f>
        <v>0</v>
      </c>
      <c r="CM565" s="693">
        <f>SUMIFS(Imput[[Importe Neto]:[Importe Neto]],Imput[[C. Imp.]:[C. Imp.]],$D565,Imput[[PERIODO Imp.]:[PERIODO Imp.]],CM$9)</f>
        <v>0</v>
      </c>
      <c r="CN565" s="693">
        <f>SUMIFS(Imput[[Importe Neto]:[Importe Neto]],Imput[[C. Imp.]:[C. Imp.]],$D565,Imput[[PERIODO Imp.]:[PERIODO Imp.]],CN$9)</f>
        <v>0</v>
      </c>
      <c r="CO565" s="693">
        <f>SUMIFS(Imput[[Importe Neto]:[Importe Neto]],Imput[[C. Imp.]:[C. Imp.]],$D565,Imput[[PERIODO Imp.]:[PERIODO Imp.]],CO$9)</f>
        <v>0</v>
      </c>
      <c r="CP565" s="693">
        <f>SUMIFS(Imput[[Importe Neto]:[Importe Neto]],Imput[[C. Imp.]:[C. Imp.]],$D565,Imput[[PERIODO Imp.]:[PERIODO Imp.]],CP$9)</f>
        <v>0</v>
      </c>
      <c r="CQ565" s="693">
        <f>SUMIFS(Imput[[Importe Neto]:[Importe Neto]],Imput[[C. Imp.]:[C. Imp.]],$D565,Imput[[PERIODO Imp.]:[PERIODO Imp.]],CQ$9)</f>
        <v>0</v>
      </c>
      <c r="CR565" s="693">
        <f>SUMIFS(Imput[[Importe Neto]:[Importe Neto]],Imput[[C. Imp.]:[C. Imp.]],$D565,Imput[[PERIODO Imp.]:[PERIODO Imp.]],CR$9)</f>
        <v>0</v>
      </c>
      <c r="CS565" s="693">
        <f>SUMIFS(Imput[[Importe Neto]:[Importe Neto]],Imput[[C. Imp.]:[C. Imp.]],$D565,Imput[[PERIODO Imp.]:[PERIODO Imp.]],CS$9)</f>
        <v>0</v>
      </c>
      <c r="CT565" s="693">
        <f>SUMIFS(Imput[[Importe Neto]:[Importe Neto]],Imput[[C. Imp.]:[C. Imp.]],$D565,Imput[[PERIODO Imp.]:[PERIODO Imp.]],CT$9)</f>
        <v>0</v>
      </c>
      <c r="CU565" s="693">
        <f>SUMIFS(Imput[[Importe Neto]:[Importe Neto]],Imput[[C. Imp.]:[C. Imp.]],$D565,Imput[[PERIODO Imp.]:[PERIODO Imp.]],CU$9)</f>
        <v>0</v>
      </c>
      <c r="CV565" s="693">
        <f>SUMIFS(Imput[[Importe Neto]:[Importe Neto]],Imput[[C. Imp.]:[C. Imp.]],$D565,Imput[[PERIODO Imp.]:[PERIODO Imp.]],CV$9)</f>
        <v>0</v>
      </c>
      <c r="CW565" s="693">
        <f>SUMIFS(Imput[[Importe Neto]:[Importe Neto]],Imput[[C. Imp.]:[C. Imp.]],$D565,Imput[[PERIODO Imp.]:[PERIODO Imp.]],CW$9)</f>
        <v>0</v>
      </c>
      <c r="CX565" s="693">
        <f>SUMIFS(Imput[[Importe Neto]:[Importe Neto]],Imput[[C. Imp.]:[C. Imp.]],$D565,Imput[[PERIODO Imp.]:[PERIODO Imp.]],CX$9)</f>
        <v>0</v>
      </c>
      <c r="CY565" s="693">
        <f>SUMIFS(Imput[[Importe Neto]:[Importe Neto]],Imput[[C. Imp.]:[C. Imp.]],$D565,Imput[[PERIODO Imp.]:[PERIODO Imp.]],CY$9)</f>
        <v>0</v>
      </c>
      <c r="CZ565" s="693">
        <f>SUMIFS(Imput[[Importe Neto]:[Importe Neto]],Imput[[C. Imp.]:[C. Imp.]],$D565,Imput[[PERIODO Imp.]:[PERIODO Imp.]],CZ$9)</f>
        <v>0</v>
      </c>
      <c r="DA565" s="693">
        <f>SUMIFS(Imput[[Importe Neto]:[Importe Neto]],Imput[[C. Imp.]:[C. Imp.]],$D565,Imput[[PERIODO Imp.]:[PERIODO Imp.]],DA$9)</f>
        <v>0</v>
      </c>
      <c r="DB565" s="693">
        <f>SUMIFS(Imput[[Importe Neto]:[Importe Neto]],Imput[[C. Imp.]:[C. Imp.]],$D565,Imput[[PERIODO Imp.]:[PERIODO Imp.]],DB$9)</f>
        <v>0</v>
      </c>
      <c r="DC565" s="693">
        <f>SUMIFS(Imput[[Importe Neto]:[Importe Neto]],Imput[[C. Imp.]:[C. Imp.]],$D565,Imput[[PERIODO Imp.]:[PERIODO Imp.]],DC$9)</f>
        <v>0</v>
      </c>
      <c r="DD565" s="693">
        <f>SUMIFS(Imput[[Importe Neto]:[Importe Neto]],Imput[[C. Imp.]:[C. Imp.]],$D565,Imput[[PERIODO Imp.]:[PERIODO Imp.]],DD$9)</f>
        <v>0</v>
      </c>
      <c r="DE565" s="693">
        <f>SUMIFS(Imput[[Importe Neto]:[Importe Neto]],Imput[[C. Imp.]:[C. Imp.]],$D565,Imput[[PERIODO Imp.]:[PERIODO Imp.]],DE$9)</f>
        <v>0</v>
      </c>
      <c r="DF565" s="693">
        <f>SUMIFS(Imput[[Importe Neto]:[Importe Neto]],Imput[[C. Imp.]:[C. Imp.]],$D565,Imput[[PERIODO Imp.]:[PERIODO Imp.]],DF$9)</f>
        <v>0</v>
      </c>
      <c r="DG565" s="693">
        <f>SUMIFS(Imput[[Importe Neto]:[Importe Neto]],Imput[[C. Imp.]:[C. Imp.]],$D565,Imput[[PERIODO Imp.]:[PERIODO Imp.]],DG$9)</f>
        <v>0</v>
      </c>
      <c r="DH565" s="694">
        <f>SUMIFS(Imput[[Importe Neto]:[Importe Neto]],Imput[[C. Imp.]:[C. Imp.]],$D565,Imput[[PERIODO Imp.]:[PERIODO Imp.]],DH$9)</f>
        <v>0</v>
      </c>
    </row>
    <row r="566" spans="1:112" s="649" customFormat="1" hidden="1" outlineLevel="1" x14ac:dyDescent="0.3">
      <c r="A566" s="652" t="str">
        <f t="shared" si="212"/>
        <v/>
      </c>
      <c r="B566" s="652"/>
      <c r="C566" s="685"/>
      <c r="D566" s="686" t="s">
        <v>2588</v>
      </c>
      <c r="E566" s="686"/>
      <c r="F566" s="720"/>
      <c r="G566" s="688"/>
      <c r="H566" s="689"/>
      <c r="I566" s="851" t="str">
        <f t="shared" si="213"/>
        <v/>
      </c>
      <c r="J566" s="850" t="str">
        <f t="shared" si="214"/>
        <v/>
      </c>
      <c r="K566" s="667"/>
      <c r="L566" s="858"/>
      <c r="M566" s="859"/>
      <c r="N566" s="859"/>
      <c r="O566" s="859"/>
      <c r="P566" s="859"/>
      <c r="Q566" s="859"/>
      <c r="R566" s="859"/>
      <c r="S566" s="859"/>
      <c r="T566" s="859"/>
      <c r="U566" s="859"/>
      <c r="V566" s="859"/>
      <c r="W566" s="859"/>
      <c r="X566" s="859"/>
      <c r="Y566" s="859"/>
      <c r="Z566" s="860"/>
      <c r="AA566" s="860"/>
      <c r="AB566" s="860"/>
      <c r="AC566" s="860"/>
      <c r="AD566" s="860"/>
      <c r="AE566" s="860"/>
      <c r="AF566" s="860"/>
      <c r="AG566" s="860"/>
      <c r="AH566" s="860"/>
      <c r="AI566" s="860"/>
      <c r="AJ566" s="860"/>
      <c r="AK566" s="860"/>
      <c r="AL566" s="860"/>
      <c r="AM566" s="860"/>
      <c r="AN566" s="860"/>
      <c r="AO566" s="860"/>
      <c r="AP566" s="860"/>
      <c r="AQ566" s="860"/>
      <c r="AR566" s="860"/>
      <c r="AS566" s="860"/>
      <c r="AT566" s="860"/>
      <c r="AU566" s="860"/>
      <c r="AV566" s="860"/>
      <c r="AW566" s="860"/>
      <c r="AX566" s="860"/>
      <c r="AY566" s="860"/>
      <c r="AZ566" s="860"/>
      <c r="BA566" s="860"/>
      <c r="BB566" s="860"/>
      <c r="BC566" s="860"/>
      <c r="BD566" s="860"/>
      <c r="BE566" s="860"/>
      <c r="BF566" s="860"/>
      <c r="BG566" s="860"/>
      <c r="BH566" s="668"/>
      <c r="BI566" s="667"/>
      <c r="BJ566" s="690">
        <f t="shared" si="215"/>
        <v>0</v>
      </c>
      <c r="BK566" s="691">
        <f t="shared" si="216"/>
        <v>0</v>
      </c>
      <c r="BL566" s="654"/>
      <c r="BM566" s="692">
        <f>SUMIFS(Imput[[Importe Neto]:[Importe Neto]],Imput[[C. Imp.]:[C. Imp.]],$D566,Imput[[PERIODO Imp.]:[PERIODO Imp.]],BM$9)</f>
        <v>0</v>
      </c>
      <c r="BN566" s="693">
        <f>SUMIFS(Imput[[Importe Neto]:[Importe Neto]],Imput[[C. Imp.]:[C. Imp.]],$D566,Imput[[PERIODO Imp.]:[PERIODO Imp.]],BN$9)</f>
        <v>0</v>
      </c>
      <c r="BO566" s="693">
        <f>SUMIFS(Imput[[Importe Neto]:[Importe Neto]],Imput[[C. Imp.]:[C. Imp.]],$D566,Imput[[PERIODO Imp.]:[PERIODO Imp.]],BO$9)</f>
        <v>0</v>
      </c>
      <c r="BP566" s="693">
        <f>SUMIFS(Imput[[Importe Neto]:[Importe Neto]],Imput[[C. Imp.]:[C. Imp.]],$D566,Imput[[PERIODO Imp.]:[PERIODO Imp.]],BP$9)</f>
        <v>0</v>
      </c>
      <c r="BQ566" s="693">
        <f>SUMIFS(Imput[[Importe Neto]:[Importe Neto]],Imput[[C. Imp.]:[C. Imp.]],$D566,Imput[[PERIODO Imp.]:[PERIODO Imp.]],BQ$9)</f>
        <v>0</v>
      </c>
      <c r="BR566" s="693">
        <f>SUMIFS(Imput[[Importe Neto]:[Importe Neto]],Imput[[C. Imp.]:[C. Imp.]],$D566,Imput[[PERIODO Imp.]:[PERIODO Imp.]],BR$9)</f>
        <v>0</v>
      </c>
      <c r="BS566" s="693">
        <f>SUMIFS(Imput[[Importe Neto]:[Importe Neto]],Imput[[C. Imp.]:[C. Imp.]],$D566,Imput[[PERIODO Imp.]:[PERIODO Imp.]],BS$9)</f>
        <v>0</v>
      </c>
      <c r="BT566" s="693">
        <f>SUMIFS(Imput[[Importe Neto]:[Importe Neto]],Imput[[C. Imp.]:[C. Imp.]],$D566,Imput[[PERIODO Imp.]:[PERIODO Imp.]],BT$9)</f>
        <v>0</v>
      </c>
      <c r="BU566" s="693">
        <f>SUMIFS(Imput[[Importe Neto]:[Importe Neto]],Imput[[C. Imp.]:[C. Imp.]],$D566,Imput[[PERIODO Imp.]:[PERIODO Imp.]],BU$9)</f>
        <v>0</v>
      </c>
      <c r="BV566" s="693">
        <f>SUMIFS(Imput[[Importe Neto]:[Importe Neto]],Imput[[C. Imp.]:[C. Imp.]],$D566,Imput[[PERIODO Imp.]:[PERIODO Imp.]],BV$9)</f>
        <v>0</v>
      </c>
      <c r="BW566" s="693">
        <f>SUMIFS(Imput[[Importe Neto]:[Importe Neto]],Imput[[C. Imp.]:[C. Imp.]],$D566,Imput[[PERIODO Imp.]:[PERIODO Imp.]],BW$9)</f>
        <v>0</v>
      </c>
      <c r="BX566" s="693">
        <f>SUMIFS(Imput[[Importe Neto]:[Importe Neto]],Imput[[C. Imp.]:[C. Imp.]],$D566,Imput[[PERIODO Imp.]:[PERIODO Imp.]],BX$9)</f>
        <v>0</v>
      </c>
      <c r="BY566" s="693">
        <f>SUMIFS(Imput[[Importe Neto]:[Importe Neto]],Imput[[C. Imp.]:[C. Imp.]],$D566,Imput[[PERIODO Imp.]:[PERIODO Imp.]],BY$9)</f>
        <v>0</v>
      </c>
      <c r="BZ566" s="693">
        <f>SUMIFS(Imput[[Importe Neto]:[Importe Neto]],Imput[[C. Imp.]:[C. Imp.]],$D566,Imput[[PERIODO Imp.]:[PERIODO Imp.]],BZ$9)</f>
        <v>0</v>
      </c>
      <c r="CA566" s="693">
        <f>SUMIFS(Imput[[Importe Neto]:[Importe Neto]],Imput[[C. Imp.]:[C. Imp.]],$D566,Imput[[PERIODO Imp.]:[PERIODO Imp.]],CA$9)</f>
        <v>0</v>
      </c>
      <c r="CB566" s="693">
        <f>SUMIFS(Imput[[Importe Neto]:[Importe Neto]],Imput[[C. Imp.]:[C. Imp.]],$D566,Imput[[PERIODO Imp.]:[PERIODO Imp.]],CB$9)</f>
        <v>0</v>
      </c>
      <c r="CC566" s="693">
        <f>SUMIFS(Imput[[Importe Neto]:[Importe Neto]],Imput[[C. Imp.]:[C. Imp.]],$D566,Imput[[PERIODO Imp.]:[PERIODO Imp.]],CC$9)</f>
        <v>0</v>
      </c>
      <c r="CD566" s="693">
        <f>SUMIFS(Imput[[Importe Neto]:[Importe Neto]],Imput[[C. Imp.]:[C. Imp.]],$D566,Imput[[PERIODO Imp.]:[PERIODO Imp.]],CD$9)</f>
        <v>0</v>
      </c>
      <c r="CE566" s="693">
        <f>SUMIFS(Imput[[Importe Neto]:[Importe Neto]],Imput[[C. Imp.]:[C. Imp.]],$D566,Imput[[PERIODO Imp.]:[PERIODO Imp.]],CE$9)</f>
        <v>0</v>
      </c>
      <c r="CF566" s="693">
        <f>SUMIFS(Imput[[Importe Neto]:[Importe Neto]],Imput[[C. Imp.]:[C. Imp.]],$D566,Imput[[PERIODO Imp.]:[PERIODO Imp.]],CF$9)</f>
        <v>0</v>
      </c>
      <c r="CG566" s="693">
        <f>SUMIFS(Imput[[Importe Neto]:[Importe Neto]],Imput[[C. Imp.]:[C. Imp.]],$D566,Imput[[PERIODO Imp.]:[PERIODO Imp.]],CG$9)</f>
        <v>0</v>
      </c>
      <c r="CH566" s="693">
        <f>SUMIFS(Imput[[Importe Neto]:[Importe Neto]],Imput[[C. Imp.]:[C. Imp.]],$D566,Imput[[PERIODO Imp.]:[PERIODO Imp.]],CH$9)</f>
        <v>0</v>
      </c>
      <c r="CI566" s="693">
        <f>SUMIFS(Imput[[Importe Neto]:[Importe Neto]],Imput[[C. Imp.]:[C. Imp.]],$D566,Imput[[PERIODO Imp.]:[PERIODO Imp.]],CI$9)</f>
        <v>0</v>
      </c>
      <c r="CJ566" s="693">
        <f>SUMIFS(Imput[[Importe Neto]:[Importe Neto]],Imput[[C. Imp.]:[C. Imp.]],$D566,Imput[[PERIODO Imp.]:[PERIODO Imp.]],CJ$9)</f>
        <v>0</v>
      </c>
      <c r="CK566" s="693">
        <f>SUMIFS(Imput[[Importe Neto]:[Importe Neto]],Imput[[C. Imp.]:[C. Imp.]],$D566,Imput[[PERIODO Imp.]:[PERIODO Imp.]],CK$9)</f>
        <v>0</v>
      </c>
      <c r="CL566" s="693">
        <f>SUMIFS(Imput[[Importe Neto]:[Importe Neto]],Imput[[C. Imp.]:[C. Imp.]],$D566,Imput[[PERIODO Imp.]:[PERIODO Imp.]],CL$9)</f>
        <v>0</v>
      </c>
      <c r="CM566" s="693">
        <f>SUMIFS(Imput[[Importe Neto]:[Importe Neto]],Imput[[C. Imp.]:[C. Imp.]],$D566,Imput[[PERIODO Imp.]:[PERIODO Imp.]],CM$9)</f>
        <v>0</v>
      </c>
      <c r="CN566" s="693">
        <f>SUMIFS(Imput[[Importe Neto]:[Importe Neto]],Imput[[C. Imp.]:[C. Imp.]],$D566,Imput[[PERIODO Imp.]:[PERIODO Imp.]],CN$9)</f>
        <v>0</v>
      </c>
      <c r="CO566" s="693">
        <f>SUMIFS(Imput[[Importe Neto]:[Importe Neto]],Imput[[C. Imp.]:[C. Imp.]],$D566,Imput[[PERIODO Imp.]:[PERIODO Imp.]],CO$9)</f>
        <v>0</v>
      </c>
      <c r="CP566" s="693">
        <f>SUMIFS(Imput[[Importe Neto]:[Importe Neto]],Imput[[C. Imp.]:[C. Imp.]],$D566,Imput[[PERIODO Imp.]:[PERIODO Imp.]],CP$9)</f>
        <v>0</v>
      </c>
      <c r="CQ566" s="693">
        <f>SUMIFS(Imput[[Importe Neto]:[Importe Neto]],Imput[[C. Imp.]:[C. Imp.]],$D566,Imput[[PERIODO Imp.]:[PERIODO Imp.]],CQ$9)</f>
        <v>0</v>
      </c>
      <c r="CR566" s="693">
        <f>SUMIFS(Imput[[Importe Neto]:[Importe Neto]],Imput[[C. Imp.]:[C. Imp.]],$D566,Imput[[PERIODO Imp.]:[PERIODO Imp.]],CR$9)</f>
        <v>0</v>
      </c>
      <c r="CS566" s="693">
        <f>SUMIFS(Imput[[Importe Neto]:[Importe Neto]],Imput[[C. Imp.]:[C. Imp.]],$D566,Imput[[PERIODO Imp.]:[PERIODO Imp.]],CS$9)</f>
        <v>0</v>
      </c>
      <c r="CT566" s="693">
        <f>SUMIFS(Imput[[Importe Neto]:[Importe Neto]],Imput[[C. Imp.]:[C. Imp.]],$D566,Imput[[PERIODO Imp.]:[PERIODO Imp.]],CT$9)</f>
        <v>0</v>
      </c>
      <c r="CU566" s="693">
        <f>SUMIFS(Imput[[Importe Neto]:[Importe Neto]],Imput[[C. Imp.]:[C. Imp.]],$D566,Imput[[PERIODO Imp.]:[PERIODO Imp.]],CU$9)</f>
        <v>0</v>
      </c>
      <c r="CV566" s="693">
        <f>SUMIFS(Imput[[Importe Neto]:[Importe Neto]],Imput[[C. Imp.]:[C. Imp.]],$D566,Imput[[PERIODO Imp.]:[PERIODO Imp.]],CV$9)</f>
        <v>0</v>
      </c>
      <c r="CW566" s="693">
        <f>SUMIFS(Imput[[Importe Neto]:[Importe Neto]],Imput[[C. Imp.]:[C. Imp.]],$D566,Imput[[PERIODO Imp.]:[PERIODO Imp.]],CW$9)</f>
        <v>0</v>
      </c>
      <c r="CX566" s="693">
        <f>SUMIFS(Imput[[Importe Neto]:[Importe Neto]],Imput[[C. Imp.]:[C. Imp.]],$D566,Imput[[PERIODO Imp.]:[PERIODO Imp.]],CX$9)</f>
        <v>0</v>
      </c>
      <c r="CY566" s="693">
        <f>SUMIFS(Imput[[Importe Neto]:[Importe Neto]],Imput[[C. Imp.]:[C. Imp.]],$D566,Imput[[PERIODO Imp.]:[PERIODO Imp.]],CY$9)</f>
        <v>0</v>
      </c>
      <c r="CZ566" s="693">
        <f>SUMIFS(Imput[[Importe Neto]:[Importe Neto]],Imput[[C. Imp.]:[C. Imp.]],$D566,Imput[[PERIODO Imp.]:[PERIODO Imp.]],CZ$9)</f>
        <v>0</v>
      </c>
      <c r="DA566" s="693">
        <f>SUMIFS(Imput[[Importe Neto]:[Importe Neto]],Imput[[C. Imp.]:[C. Imp.]],$D566,Imput[[PERIODO Imp.]:[PERIODO Imp.]],DA$9)</f>
        <v>0</v>
      </c>
      <c r="DB566" s="693">
        <f>SUMIFS(Imput[[Importe Neto]:[Importe Neto]],Imput[[C. Imp.]:[C. Imp.]],$D566,Imput[[PERIODO Imp.]:[PERIODO Imp.]],DB$9)</f>
        <v>0</v>
      </c>
      <c r="DC566" s="693">
        <f>SUMIFS(Imput[[Importe Neto]:[Importe Neto]],Imput[[C. Imp.]:[C. Imp.]],$D566,Imput[[PERIODO Imp.]:[PERIODO Imp.]],DC$9)</f>
        <v>0</v>
      </c>
      <c r="DD566" s="693">
        <f>SUMIFS(Imput[[Importe Neto]:[Importe Neto]],Imput[[C. Imp.]:[C. Imp.]],$D566,Imput[[PERIODO Imp.]:[PERIODO Imp.]],DD$9)</f>
        <v>0</v>
      </c>
      <c r="DE566" s="693">
        <f>SUMIFS(Imput[[Importe Neto]:[Importe Neto]],Imput[[C. Imp.]:[C. Imp.]],$D566,Imput[[PERIODO Imp.]:[PERIODO Imp.]],DE$9)</f>
        <v>0</v>
      </c>
      <c r="DF566" s="693">
        <f>SUMIFS(Imput[[Importe Neto]:[Importe Neto]],Imput[[C. Imp.]:[C. Imp.]],$D566,Imput[[PERIODO Imp.]:[PERIODO Imp.]],DF$9)</f>
        <v>0</v>
      </c>
      <c r="DG566" s="693">
        <f>SUMIFS(Imput[[Importe Neto]:[Importe Neto]],Imput[[C. Imp.]:[C. Imp.]],$D566,Imput[[PERIODO Imp.]:[PERIODO Imp.]],DG$9)</f>
        <v>0</v>
      </c>
      <c r="DH566" s="694">
        <f>SUMIFS(Imput[[Importe Neto]:[Importe Neto]],Imput[[C. Imp.]:[C. Imp.]],$D566,Imput[[PERIODO Imp.]:[PERIODO Imp.]],DH$9)</f>
        <v>0</v>
      </c>
    </row>
    <row r="567" spans="1:112" s="649" customFormat="1" hidden="1" outlineLevel="1" x14ac:dyDescent="0.3">
      <c r="A567" s="652" t="str">
        <f t="shared" si="212"/>
        <v/>
      </c>
      <c r="B567" s="652"/>
      <c r="C567" s="685"/>
      <c r="D567" s="686" t="s">
        <v>2589</v>
      </c>
      <c r="E567" s="686"/>
      <c r="F567" s="720"/>
      <c r="G567" s="688"/>
      <c r="H567" s="689"/>
      <c r="I567" s="851" t="str">
        <f t="shared" si="213"/>
        <v/>
      </c>
      <c r="J567" s="850" t="str">
        <f t="shared" si="214"/>
        <v/>
      </c>
      <c r="K567" s="667"/>
      <c r="L567" s="858"/>
      <c r="M567" s="859"/>
      <c r="N567" s="859"/>
      <c r="O567" s="859"/>
      <c r="P567" s="859"/>
      <c r="Q567" s="859"/>
      <c r="R567" s="859"/>
      <c r="S567" s="859"/>
      <c r="T567" s="859"/>
      <c r="U567" s="859"/>
      <c r="V567" s="859"/>
      <c r="W567" s="859"/>
      <c r="X567" s="859"/>
      <c r="Y567" s="859"/>
      <c r="Z567" s="860"/>
      <c r="AA567" s="860"/>
      <c r="AB567" s="860"/>
      <c r="AC567" s="860"/>
      <c r="AD567" s="860"/>
      <c r="AE567" s="860"/>
      <c r="AF567" s="860"/>
      <c r="AG567" s="860"/>
      <c r="AH567" s="860"/>
      <c r="AI567" s="860"/>
      <c r="AJ567" s="860"/>
      <c r="AK567" s="860"/>
      <c r="AL567" s="860"/>
      <c r="AM567" s="860"/>
      <c r="AN567" s="860"/>
      <c r="AO567" s="860"/>
      <c r="AP567" s="860"/>
      <c r="AQ567" s="860"/>
      <c r="AR567" s="860"/>
      <c r="AS567" s="860"/>
      <c r="AT567" s="860"/>
      <c r="AU567" s="860"/>
      <c r="AV567" s="860"/>
      <c r="AW567" s="860"/>
      <c r="AX567" s="860"/>
      <c r="AY567" s="860"/>
      <c r="AZ567" s="860"/>
      <c r="BA567" s="860"/>
      <c r="BB567" s="860"/>
      <c r="BC567" s="860"/>
      <c r="BD567" s="860"/>
      <c r="BE567" s="860"/>
      <c r="BF567" s="860"/>
      <c r="BG567" s="860"/>
      <c r="BH567" s="668"/>
      <c r="BI567" s="667"/>
      <c r="BJ567" s="690">
        <f t="shared" si="215"/>
        <v>0</v>
      </c>
      <c r="BK567" s="691">
        <f t="shared" si="216"/>
        <v>0</v>
      </c>
      <c r="BL567" s="654"/>
      <c r="BM567" s="692">
        <f>SUMIFS(Imput[[Importe Neto]:[Importe Neto]],Imput[[C. Imp.]:[C. Imp.]],$D567,Imput[[PERIODO Imp.]:[PERIODO Imp.]],BM$9)</f>
        <v>0</v>
      </c>
      <c r="BN567" s="693">
        <f>SUMIFS(Imput[[Importe Neto]:[Importe Neto]],Imput[[C. Imp.]:[C. Imp.]],$D567,Imput[[PERIODO Imp.]:[PERIODO Imp.]],BN$9)</f>
        <v>0</v>
      </c>
      <c r="BO567" s="693">
        <f>SUMIFS(Imput[[Importe Neto]:[Importe Neto]],Imput[[C. Imp.]:[C. Imp.]],$D567,Imput[[PERIODO Imp.]:[PERIODO Imp.]],BO$9)</f>
        <v>0</v>
      </c>
      <c r="BP567" s="693">
        <f>SUMIFS(Imput[[Importe Neto]:[Importe Neto]],Imput[[C. Imp.]:[C. Imp.]],$D567,Imput[[PERIODO Imp.]:[PERIODO Imp.]],BP$9)</f>
        <v>0</v>
      </c>
      <c r="BQ567" s="693">
        <f>SUMIFS(Imput[[Importe Neto]:[Importe Neto]],Imput[[C. Imp.]:[C. Imp.]],$D567,Imput[[PERIODO Imp.]:[PERIODO Imp.]],BQ$9)</f>
        <v>0</v>
      </c>
      <c r="BR567" s="693">
        <f>SUMIFS(Imput[[Importe Neto]:[Importe Neto]],Imput[[C. Imp.]:[C. Imp.]],$D567,Imput[[PERIODO Imp.]:[PERIODO Imp.]],BR$9)</f>
        <v>0</v>
      </c>
      <c r="BS567" s="693">
        <f>SUMIFS(Imput[[Importe Neto]:[Importe Neto]],Imput[[C. Imp.]:[C. Imp.]],$D567,Imput[[PERIODO Imp.]:[PERIODO Imp.]],BS$9)</f>
        <v>0</v>
      </c>
      <c r="BT567" s="693">
        <f>SUMIFS(Imput[[Importe Neto]:[Importe Neto]],Imput[[C. Imp.]:[C. Imp.]],$D567,Imput[[PERIODO Imp.]:[PERIODO Imp.]],BT$9)</f>
        <v>0</v>
      </c>
      <c r="BU567" s="693">
        <f>SUMIFS(Imput[[Importe Neto]:[Importe Neto]],Imput[[C. Imp.]:[C. Imp.]],$D567,Imput[[PERIODO Imp.]:[PERIODO Imp.]],BU$9)</f>
        <v>0</v>
      </c>
      <c r="BV567" s="693">
        <f>SUMIFS(Imput[[Importe Neto]:[Importe Neto]],Imput[[C. Imp.]:[C. Imp.]],$D567,Imput[[PERIODO Imp.]:[PERIODO Imp.]],BV$9)</f>
        <v>0</v>
      </c>
      <c r="BW567" s="693">
        <f>SUMIFS(Imput[[Importe Neto]:[Importe Neto]],Imput[[C. Imp.]:[C. Imp.]],$D567,Imput[[PERIODO Imp.]:[PERIODO Imp.]],BW$9)</f>
        <v>0</v>
      </c>
      <c r="BX567" s="693">
        <f>SUMIFS(Imput[[Importe Neto]:[Importe Neto]],Imput[[C. Imp.]:[C. Imp.]],$D567,Imput[[PERIODO Imp.]:[PERIODO Imp.]],BX$9)</f>
        <v>0</v>
      </c>
      <c r="BY567" s="693">
        <f>SUMIFS(Imput[[Importe Neto]:[Importe Neto]],Imput[[C. Imp.]:[C. Imp.]],$D567,Imput[[PERIODO Imp.]:[PERIODO Imp.]],BY$9)</f>
        <v>0</v>
      </c>
      <c r="BZ567" s="693">
        <f>SUMIFS(Imput[[Importe Neto]:[Importe Neto]],Imput[[C. Imp.]:[C. Imp.]],$D567,Imput[[PERIODO Imp.]:[PERIODO Imp.]],BZ$9)</f>
        <v>0</v>
      </c>
      <c r="CA567" s="693">
        <f>SUMIFS(Imput[[Importe Neto]:[Importe Neto]],Imput[[C. Imp.]:[C. Imp.]],$D567,Imput[[PERIODO Imp.]:[PERIODO Imp.]],CA$9)</f>
        <v>0</v>
      </c>
      <c r="CB567" s="693">
        <f>SUMIFS(Imput[[Importe Neto]:[Importe Neto]],Imput[[C. Imp.]:[C. Imp.]],$D567,Imput[[PERIODO Imp.]:[PERIODO Imp.]],CB$9)</f>
        <v>0</v>
      </c>
      <c r="CC567" s="693">
        <f>SUMIFS(Imput[[Importe Neto]:[Importe Neto]],Imput[[C. Imp.]:[C. Imp.]],$D567,Imput[[PERIODO Imp.]:[PERIODO Imp.]],CC$9)</f>
        <v>0</v>
      </c>
      <c r="CD567" s="693">
        <f>SUMIFS(Imput[[Importe Neto]:[Importe Neto]],Imput[[C. Imp.]:[C. Imp.]],$D567,Imput[[PERIODO Imp.]:[PERIODO Imp.]],CD$9)</f>
        <v>0</v>
      </c>
      <c r="CE567" s="693">
        <f>SUMIFS(Imput[[Importe Neto]:[Importe Neto]],Imput[[C. Imp.]:[C. Imp.]],$D567,Imput[[PERIODO Imp.]:[PERIODO Imp.]],CE$9)</f>
        <v>0</v>
      </c>
      <c r="CF567" s="693">
        <f>SUMIFS(Imput[[Importe Neto]:[Importe Neto]],Imput[[C. Imp.]:[C. Imp.]],$D567,Imput[[PERIODO Imp.]:[PERIODO Imp.]],CF$9)</f>
        <v>0</v>
      </c>
      <c r="CG567" s="693">
        <f>SUMIFS(Imput[[Importe Neto]:[Importe Neto]],Imput[[C. Imp.]:[C. Imp.]],$D567,Imput[[PERIODO Imp.]:[PERIODO Imp.]],CG$9)</f>
        <v>0</v>
      </c>
      <c r="CH567" s="693">
        <f>SUMIFS(Imput[[Importe Neto]:[Importe Neto]],Imput[[C. Imp.]:[C. Imp.]],$D567,Imput[[PERIODO Imp.]:[PERIODO Imp.]],CH$9)</f>
        <v>0</v>
      </c>
      <c r="CI567" s="693">
        <f>SUMIFS(Imput[[Importe Neto]:[Importe Neto]],Imput[[C. Imp.]:[C. Imp.]],$D567,Imput[[PERIODO Imp.]:[PERIODO Imp.]],CI$9)</f>
        <v>0</v>
      </c>
      <c r="CJ567" s="693">
        <f>SUMIFS(Imput[[Importe Neto]:[Importe Neto]],Imput[[C. Imp.]:[C. Imp.]],$D567,Imput[[PERIODO Imp.]:[PERIODO Imp.]],CJ$9)</f>
        <v>0</v>
      </c>
      <c r="CK567" s="693">
        <f>SUMIFS(Imput[[Importe Neto]:[Importe Neto]],Imput[[C. Imp.]:[C. Imp.]],$D567,Imput[[PERIODO Imp.]:[PERIODO Imp.]],CK$9)</f>
        <v>0</v>
      </c>
      <c r="CL567" s="693">
        <f>SUMIFS(Imput[[Importe Neto]:[Importe Neto]],Imput[[C. Imp.]:[C. Imp.]],$D567,Imput[[PERIODO Imp.]:[PERIODO Imp.]],CL$9)</f>
        <v>0</v>
      </c>
      <c r="CM567" s="693">
        <f>SUMIFS(Imput[[Importe Neto]:[Importe Neto]],Imput[[C. Imp.]:[C. Imp.]],$D567,Imput[[PERIODO Imp.]:[PERIODO Imp.]],CM$9)</f>
        <v>0</v>
      </c>
      <c r="CN567" s="693">
        <f>SUMIFS(Imput[[Importe Neto]:[Importe Neto]],Imput[[C. Imp.]:[C. Imp.]],$D567,Imput[[PERIODO Imp.]:[PERIODO Imp.]],CN$9)</f>
        <v>0</v>
      </c>
      <c r="CO567" s="693">
        <f>SUMIFS(Imput[[Importe Neto]:[Importe Neto]],Imput[[C. Imp.]:[C. Imp.]],$D567,Imput[[PERIODO Imp.]:[PERIODO Imp.]],CO$9)</f>
        <v>0</v>
      </c>
      <c r="CP567" s="693">
        <f>SUMIFS(Imput[[Importe Neto]:[Importe Neto]],Imput[[C. Imp.]:[C. Imp.]],$D567,Imput[[PERIODO Imp.]:[PERIODO Imp.]],CP$9)</f>
        <v>0</v>
      </c>
      <c r="CQ567" s="693">
        <f>SUMIFS(Imput[[Importe Neto]:[Importe Neto]],Imput[[C. Imp.]:[C. Imp.]],$D567,Imput[[PERIODO Imp.]:[PERIODO Imp.]],CQ$9)</f>
        <v>0</v>
      </c>
      <c r="CR567" s="693">
        <f>SUMIFS(Imput[[Importe Neto]:[Importe Neto]],Imput[[C. Imp.]:[C. Imp.]],$D567,Imput[[PERIODO Imp.]:[PERIODO Imp.]],CR$9)</f>
        <v>0</v>
      </c>
      <c r="CS567" s="693">
        <f>SUMIFS(Imput[[Importe Neto]:[Importe Neto]],Imput[[C. Imp.]:[C. Imp.]],$D567,Imput[[PERIODO Imp.]:[PERIODO Imp.]],CS$9)</f>
        <v>0</v>
      </c>
      <c r="CT567" s="693">
        <f>SUMIFS(Imput[[Importe Neto]:[Importe Neto]],Imput[[C. Imp.]:[C. Imp.]],$D567,Imput[[PERIODO Imp.]:[PERIODO Imp.]],CT$9)</f>
        <v>0</v>
      </c>
      <c r="CU567" s="693">
        <f>SUMIFS(Imput[[Importe Neto]:[Importe Neto]],Imput[[C. Imp.]:[C. Imp.]],$D567,Imput[[PERIODO Imp.]:[PERIODO Imp.]],CU$9)</f>
        <v>0</v>
      </c>
      <c r="CV567" s="693">
        <f>SUMIFS(Imput[[Importe Neto]:[Importe Neto]],Imput[[C. Imp.]:[C. Imp.]],$D567,Imput[[PERIODO Imp.]:[PERIODO Imp.]],CV$9)</f>
        <v>0</v>
      </c>
      <c r="CW567" s="693">
        <f>SUMIFS(Imput[[Importe Neto]:[Importe Neto]],Imput[[C. Imp.]:[C. Imp.]],$D567,Imput[[PERIODO Imp.]:[PERIODO Imp.]],CW$9)</f>
        <v>0</v>
      </c>
      <c r="CX567" s="693">
        <f>SUMIFS(Imput[[Importe Neto]:[Importe Neto]],Imput[[C. Imp.]:[C. Imp.]],$D567,Imput[[PERIODO Imp.]:[PERIODO Imp.]],CX$9)</f>
        <v>0</v>
      </c>
      <c r="CY567" s="693">
        <f>SUMIFS(Imput[[Importe Neto]:[Importe Neto]],Imput[[C. Imp.]:[C. Imp.]],$D567,Imput[[PERIODO Imp.]:[PERIODO Imp.]],CY$9)</f>
        <v>0</v>
      </c>
      <c r="CZ567" s="693">
        <f>SUMIFS(Imput[[Importe Neto]:[Importe Neto]],Imput[[C. Imp.]:[C. Imp.]],$D567,Imput[[PERIODO Imp.]:[PERIODO Imp.]],CZ$9)</f>
        <v>0</v>
      </c>
      <c r="DA567" s="693">
        <f>SUMIFS(Imput[[Importe Neto]:[Importe Neto]],Imput[[C. Imp.]:[C. Imp.]],$D567,Imput[[PERIODO Imp.]:[PERIODO Imp.]],DA$9)</f>
        <v>0</v>
      </c>
      <c r="DB567" s="693">
        <f>SUMIFS(Imput[[Importe Neto]:[Importe Neto]],Imput[[C. Imp.]:[C. Imp.]],$D567,Imput[[PERIODO Imp.]:[PERIODO Imp.]],DB$9)</f>
        <v>0</v>
      </c>
      <c r="DC567" s="693">
        <f>SUMIFS(Imput[[Importe Neto]:[Importe Neto]],Imput[[C. Imp.]:[C. Imp.]],$D567,Imput[[PERIODO Imp.]:[PERIODO Imp.]],DC$9)</f>
        <v>0</v>
      </c>
      <c r="DD567" s="693">
        <f>SUMIFS(Imput[[Importe Neto]:[Importe Neto]],Imput[[C. Imp.]:[C. Imp.]],$D567,Imput[[PERIODO Imp.]:[PERIODO Imp.]],DD$9)</f>
        <v>0</v>
      </c>
      <c r="DE567" s="693">
        <f>SUMIFS(Imput[[Importe Neto]:[Importe Neto]],Imput[[C. Imp.]:[C. Imp.]],$D567,Imput[[PERIODO Imp.]:[PERIODO Imp.]],DE$9)</f>
        <v>0</v>
      </c>
      <c r="DF567" s="693">
        <f>SUMIFS(Imput[[Importe Neto]:[Importe Neto]],Imput[[C. Imp.]:[C. Imp.]],$D567,Imput[[PERIODO Imp.]:[PERIODO Imp.]],DF$9)</f>
        <v>0</v>
      </c>
      <c r="DG567" s="693">
        <f>SUMIFS(Imput[[Importe Neto]:[Importe Neto]],Imput[[C. Imp.]:[C. Imp.]],$D567,Imput[[PERIODO Imp.]:[PERIODO Imp.]],DG$9)</f>
        <v>0</v>
      </c>
      <c r="DH567" s="694">
        <f>SUMIFS(Imput[[Importe Neto]:[Importe Neto]],Imput[[C. Imp.]:[C. Imp.]],$D567,Imput[[PERIODO Imp.]:[PERIODO Imp.]],DH$9)</f>
        <v>0</v>
      </c>
    </row>
    <row r="568" spans="1:112" s="649" customFormat="1" hidden="1" outlineLevel="1" x14ac:dyDescent="0.3">
      <c r="A568" s="652" t="str">
        <f t="shared" si="212"/>
        <v/>
      </c>
      <c r="B568" s="652"/>
      <c r="C568" s="685"/>
      <c r="D568" s="686" t="s">
        <v>2590</v>
      </c>
      <c r="E568" s="686"/>
      <c r="F568" s="720"/>
      <c r="G568" s="688"/>
      <c r="H568" s="689"/>
      <c r="I568" s="851" t="str">
        <f t="shared" si="213"/>
        <v/>
      </c>
      <c r="J568" s="850" t="str">
        <f t="shared" si="214"/>
        <v/>
      </c>
      <c r="K568" s="667"/>
      <c r="L568" s="858"/>
      <c r="M568" s="859"/>
      <c r="N568" s="859"/>
      <c r="O568" s="859"/>
      <c r="P568" s="859"/>
      <c r="Q568" s="859"/>
      <c r="R568" s="859"/>
      <c r="S568" s="859"/>
      <c r="T568" s="859"/>
      <c r="U568" s="859"/>
      <c r="V568" s="859"/>
      <c r="W568" s="859"/>
      <c r="X568" s="859"/>
      <c r="Y568" s="859"/>
      <c r="Z568" s="860"/>
      <c r="AA568" s="860"/>
      <c r="AB568" s="860"/>
      <c r="AC568" s="860"/>
      <c r="AD568" s="860"/>
      <c r="AE568" s="860"/>
      <c r="AF568" s="860"/>
      <c r="AG568" s="860"/>
      <c r="AH568" s="860"/>
      <c r="AI568" s="860"/>
      <c r="AJ568" s="860"/>
      <c r="AK568" s="860"/>
      <c r="AL568" s="860"/>
      <c r="AM568" s="860"/>
      <c r="AN568" s="860"/>
      <c r="AO568" s="860"/>
      <c r="AP568" s="860"/>
      <c r="AQ568" s="860"/>
      <c r="AR568" s="860"/>
      <c r="AS568" s="860"/>
      <c r="AT568" s="860"/>
      <c r="AU568" s="860"/>
      <c r="AV568" s="860"/>
      <c r="AW568" s="860"/>
      <c r="AX568" s="860"/>
      <c r="AY568" s="860"/>
      <c r="AZ568" s="860"/>
      <c r="BA568" s="860"/>
      <c r="BB568" s="860"/>
      <c r="BC568" s="860"/>
      <c r="BD568" s="860"/>
      <c r="BE568" s="860"/>
      <c r="BF568" s="860"/>
      <c r="BG568" s="860"/>
      <c r="BH568" s="668"/>
      <c r="BI568" s="667"/>
      <c r="BJ568" s="690">
        <f t="shared" si="215"/>
        <v>0</v>
      </c>
      <c r="BK568" s="691">
        <f t="shared" si="216"/>
        <v>0</v>
      </c>
      <c r="BL568" s="654"/>
      <c r="BM568" s="692">
        <f>SUMIFS(Imput[[Importe Neto]:[Importe Neto]],Imput[[C. Imp.]:[C. Imp.]],$D568,Imput[[PERIODO Imp.]:[PERIODO Imp.]],BM$9)</f>
        <v>0</v>
      </c>
      <c r="BN568" s="693">
        <f>SUMIFS(Imput[[Importe Neto]:[Importe Neto]],Imput[[C. Imp.]:[C. Imp.]],$D568,Imput[[PERIODO Imp.]:[PERIODO Imp.]],BN$9)</f>
        <v>0</v>
      </c>
      <c r="BO568" s="693">
        <f>SUMIFS(Imput[[Importe Neto]:[Importe Neto]],Imput[[C. Imp.]:[C. Imp.]],$D568,Imput[[PERIODO Imp.]:[PERIODO Imp.]],BO$9)</f>
        <v>0</v>
      </c>
      <c r="BP568" s="693">
        <f>SUMIFS(Imput[[Importe Neto]:[Importe Neto]],Imput[[C. Imp.]:[C. Imp.]],$D568,Imput[[PERIODO Imp.]:[PERIODO Imp.]],BP$9)</f>
        <v>0</v>
      </c>
      <c r="BQ568" s="693">
        <f>SUMIFS(Imput[[Importe Neto]:[Importe Neto]],Imput[[C. Imp.]:[C. Imp.]],$D568,Imput[[PERIODO Imp.]:[PERIODO Imp.]],BQ$9)</f>
        <v>0</v>
      </c>
      <c r="BR568" s="693">
        <f>SUMIFS(Imput[[Importe Neto]:[Importe Neto]],Imput[[C. Imp.]:[C. Imp.]],$D568,Imput[[PERIODO Imp.]:[PERIODO Imp.]],BR$9)</f>
        <v>0</v>
      </c>
      <c r="BS568" s="693">
        <f>SUMIFS(Imput[[Importe Neto]:[Importe Neto]],Imput[[C. Imp.]:[C. Imp.]],$D568,Imput[[PERIODO Imp.]:[PERIODO Imp.]],BS$9)</f>
        <v>0</v>
      </c>
      <c r="BT568" s="693">
        <f>SUMIFS(Imput[[Importe Neto]:[Importe Neto]],Imput[[C. Imp.]:[C. Imp.]],$D568,Imput[[PERIODO Imp.]:[PERIODO Imp.]],BT$9)</f>
        <v>0</v>
      </c>
      <c r="BU568" s="693">
        <f>SUMIFS(Imput[[Importe Neto]:[Importe Neto]],Imput[[C. Imp.]:[C. Imp.]],$D568,Imput[[PERIODO Imp.]:[PERIODO Imp.]],BU$9)</f>
        <v>0</v>
      </c>
      <c r="BV568" s="693">
        <f>SUMIFS(Imput[[Importe Neto]:[Importe Neto]],Imput[[C. Imp.]:[C. Imp.]],$D568,Imput[[PERIODO Imp.]:[PERIODO Imp.]],BV$9)</f>
        <v>0</v>
      </c>
      <c r="BW568" s="693">
        <f>SUMIFS(Imput[[Importe Neto]:[Importe Neto]],Imput[[C. Imp.]:[C. Imp.]],$D568,Imput[[PERIODO Imp.]:[PERIODO Imp.]],BW$9)</f>
        <v>0</v>
      </c>
      <c r="BX568" s="693">
        <f>SUMIFS(Imput[[Importe Neto]:[Importe Neto]],Imput[[C. Imp.]:[C. Imp.]],$D568,Imput[[PERIODO Imp.]:[PERIODO Imp.]],BX$9)</f>
        <v>0</v>
      </c>
      <c r="BY568" s="693">
        <f>SUMIFS(Imput[[Importe Neto]:[Importe Neto]],Imput[[C. Imp.]:[C. Imp.]],$D568,Imput[[PERIODO Imp.]:[PERIODO Imp.]],BY$9)</f>
        <v>0</v>
      </c>
      <c r="BZ568" s="693">
        <f>SUMIFS(Imput[[Importe Neto]:[Importe Neto]],Imput[[C. Imp.]:[C. Imp.]],$D568,Imput[[PERIODO Imp.]:[PERIODO Imp.]],BZ$9)</f>
        <v>0</v>
      </c>
      <c r="CA568" s="693">
        <f>SUMIFS(Imput[[Importe Neto]:[Importe Neto]],Imput[[C. Imp.]:[C. Imp.]],$D568,Imput[[PERIODO Imp.]:[PERIODO Imp.]],CA$9)</f>
        <v>0</v>
      </c>
      <c r="CB568" s="693">
        <f>SUMIFS(Imput[[Importe Neto]:[Importe Neto]],Imput[[C. Imp.]:[C. Imp.]],$D568,Imput[[PERIODO Imp.]:[PERIODO Imp.]],CB$9)</f>
        <v>0</v>
      </c>
      <c r="CC568" s="693">
        <f>SUMIFS(Imput[[Importe Neto]:[Importe Neto]],Imput[[C. Imp.]:[C. Imp.]],$D568,Imput[[PERIODO Imp.]:[PERIODO Imp.]],CC$9)</f>
        <v>0</v>
      </c>
      <c r="CD568" s="693">
        <f>SUMIFS(Imput[[Importe Neto]:[Importe Neto]],Imput[[C. Imp.]:[C. Imp.]],$D568,Imput[[PERIODO Imp.]:[PERIODO Imp.]],CD$9)</f>
        <v>0</v>
      </c>
      <c r="CE568" s="693">
        <f>SUMIFS(Imput[[Importe Neto]:[Importe Neto]],Imput[[C. Imp.]:[C. Imp.]],$D568,Imput[[PERIODO Imp.]:[PERIODO Imp.]],CE$9)</f>
        <v>0</v>
      </c>
      <c r="CF568" s="693">
        <f>SUMIFS(Imput[[Importe Neto]:[Importe Neto]],Imput[[C. Imp.]:[C. Imp.]],$D568,Imput[[PERIODO Imp.]:[PERIODO Imp.]],CF$9)</f>
        <v>0</v>
      </c>
      <c r="CG568" s="693">
        <f>SUMIFS(Imput[[Importe Neto]:[Importe Neto]],Imput[[C. Imp.]:[C. Imp.]],$D568,Imput[[PERIODO Imp.]:[PERIODO Imp.]],CG$9)</f>
        <v>0</v>
      </c>
      <c r="CH568" s="693">
        <f>SUMIFS(Imput[[Importe Neto]:[Importe Neto]],Imput[[C. Imp.]:[C. Imp.]],$D568,Imput[[PERIODO Imp.]:[PERIODO Imp.]],CH$9)</f>
        <v>0</v>
      </c>
      <c r="CI568" s="693">
        <f>SUMIFS(Imput[[Importe Neto]:[Importe Neto]],Imput[[C. Imp.]:[C. Imp.]],$D568,Imput[[PERIODO Imp.]:[PERIODO Imp.]],CI$9)</f>
        <v>0</v>
      </c>
      <c r="CJ568" s="693">
        <f>SUMIFS(Imput[[Importe Neto]:[Importe Neto]],Imput[[C. Imp.]:[C. Imp.]],$D568,Imput[[PERIODO Imp.]:[PERIODO Imp.]],CJ$9)</f>
        <v>0</v>
      </c>
      <c r="CK568" s="693">
        <f>SUMIFS(Imput[[Importe Neto]:[Importe Neto]],Imput[[C. Imp.]:[C. Imp.]],$D568,Imput[[PERIODO Imp.]:[PERIODO Imp.]],CK$9)</f>
        <v>0</v>
      </c>
      <c r="CL568" s="693">
        <f>SUMIFS(Imput[[Importe Neto]:[Importe Neto]],Imput[[C. Imp.]:[C. Imp.]],$D568,Imput[[PERIODO Imp.]:[PERIODO Imp.]],CL$9)</f>
        <v>0</v>
      </c>
      <c r="CM568" s="693">
        <f>SUMIFS(Imput[[Importe Neto]:[Importe Neto]],Imput[[C. Imp.]:[C. Imp.]],$D568,Imput[[PERIODO Imp.]:[PERIODO Imp.]],CM$9)</f>
        <v>0</v>
      </c>
      <c r="CN568" s="693">
        <f>SUMIFS(Imput[[Importe Neto]:[Importe Neto]],Imput[[C. Imp.]:[C. Imp.]],$D568,Imput[[PERIODO Imp.]:[PERIODO Imp.]],CN$9)</f>
        <v>0</v>
      </c>
      <c r="CO568" s="693">
        <f>SUMIFS(Imput[[Importe Neto]:[Importe Neto]],Imput[[C. Imp.]:[C. Imp.]],$D568,Imput[[PERIODO Imp.]:[PERIODO Imp.]],CO$9)</f>
        <v>0</v>
      </c>
      <c r="CP568" s="693">
        <f>SUMIFS(Imput[[Importe Neto]:[Importe Neto]],Imput[[C. Imp.]:[C. Imp.]],$D568,Imput[[PERIODO Imp.]:[PERIODO Imp.]],CP$9)</f>
        <v>0</v>
      </c>
      <c r="CQ568" s="693">
        <f>SUMIFS(Imput[[Importe Neto]:[Importe Neto]],Imput[[C. Imp.]:[C. Imp.]],$D568,Imput[[PERIODO Imp.]:[PERIODO Imp.]],CQ$9)</f>
        <v>0</v>
      </c>
      <c r="CR568" s="693">
        <f>SUMIFS(Imput[[Importe Neto]:[Importe Neto]],Imput[[C. Imp.]:[C. Imp.]],$D568,Imput[[PERIODO Imp.]:[PERIODO Imp.]],CR$9)</f>
        <v>0</v>
      </c>
      <c r="CS568" s="693">
        <f>SUMIFS(Imput[[Importe Neto]:[Importe Neto]],Imput[[C. Imp.]:[C. Imp.]],$D568,Imput[[PERIODO Imp.]:[PERIODO Imp.]],CS$9)</f>
        <v>0</v>
      </c>
      <c r="CT568" s="693">
        <f>SUMIFS(Imput[[Importe Neto]:[Importe Neto]],Imput[[C. Imp.]:[C. Imp.]],$D568,Imput[[PERIODO Imp.]:[PERIODO Imp.]],CT$9)</f>
        <v>0</v>
      </c>
      <c r="CU568" s="693">
        <f>SUMIFS(Imput[[Importe Neto]:[Importe Neto]],Imput[[C. Imp.]:[C. Imp.]],$D568,Imput[[PERIODO Imp.]:[PERIODO Imp.]],CU$9)</f>
        <v>0</v>
      </c>
      <c r="CV568" s="693">
        <f>SUMIFS(Imput[[Importe Neto]:[Importe Neto]],Imput[[C. Imp.]:[C. Imp.]],$D568,Imput[[PERIODO Imp.]:[PERIODO Imp.]],CV$9)</f>
        <v>0</v>
      </c>
      <c r="CW568" s="693">
        <f>SUMIFS(Imput[[Importe Neto]:[Importe Neto]],Imput[[C. Imp.]:[C. Imp.]],$D568,Imput[[PERIODO Imp.]:[PERIODO Imp.]],CW$9)</f>
        <v>0</v>
      </c>
      <c r="CX568" s="693">
        <f>SUMIFS(Imput[[Importe Neto]:[Importe Neto]],Imput[[C. Imp.]:[C. Imp.]],$D568,Imput[[PERIODO Imp.]:[PERIODO Imp.]],CX$9)</f>
        <v>0</v>
      </c>
      <c r="CY568" s="693">
        <f>SUMIFS(Imput[[Importe Neto]:[Importe Neto]],Imput[[C. Imp.]:[C. Imp.]],$D568,Imput[[PERIODO Imp.]:[PERIODO Imp.]],CY$9)</f>
        <v>0</v>
      </c>
      <c r="CZ568" s="693">
        <f>SUMIFS(Imput[[Importe Neto]:[Importe Neto]],Imput[[C. Imp.]:[C. Imp.]],$D568,Imput[[PERIODO Imp.]:[PERIODO Imp.]],CZ$9)</f>
        <v>0</v>
      </c>
      <c r="DA568" s="693">
        <f>SUMIFS(Imput[[Importe Neto]:[Importe Neto]],Imput[[C. Imp.]:[C. Imp.]],$D568,Imput[[PERIODO Imp.]:[PERIODO Imp.]],DA$9)</f>
        <v>0</v>
      </c>
      <c r="DB568" s="693">
        <f>SUMIFS(Imput[[Importe Neto]:[Importe Neto]],Imput[[C. Imp.]:[C. Imp.]],$D568,Imput[[PERIODO Imp.]:[PERIODO Imp.]],DB$9)</f>
        <v>0</v>
      </c>
      <c r="DC568" s="693">
        <f>SUMIFS(Imput[[Importe Neto]:[Importe Neto]],Imput[[C. Imp.]:[C. Imp.]],$D568,Imput[[PERIODO Imp.]:[PERIODO Imp.]],DC$9)</f>
        <v>0</v>
      </c>
      <c r="DD568" s="693">
        <f>SUMIFS(Imput[[Importe Neto]:[Importe Neto]],Imput[[C. Imp.]:[C. Imp.]],$D568,Imput[[PERIODO Imp.]:[PERIODO Imp.]],DD$9)</f>
        <v>0</v>
      </c>
      <c r="DE568" s="693">
        <f>SUMIFS(Imput[[Importe Neto]:[Importe Neto]],Imput[[C. Imp.]:[C. Imp.]],$D568,Imput[[PERIODO Imp.]:[PERIODO Imp.]],DE$9)</f>
        <v>0</v>
      </c>
      <c r="DF568" s="693">
        <f>SUMIFS(Imput[[Importe Neto]:[Importe Neto]],Imput[[C. Imp.]:[C. Imp.]],$D568,Imput[[PERIODO Imp.]:[PERIODO Imp.]],DF$9)</f>
        <v>0</v>
      </c>
      <c r="DG568" s="693">
        <f>SUMIFS(Imput[[Importe Neto]:[Importe Neto]],Imput[[C. Imp.]:[C. Imp.]],$D568,Imput[[PERIODO Imp.]:[PERIODO Imp.]],DG$9)</f>
        <v>0</v>
      </c>
      <c r="DH568" s="694">
        <f>SUMIFS(Imput[[Importe Neto]:[Importe Neto]],Imput[[C. Imp.]:[C. Imp.]],$D568,Imput[[PERIODO Imp.]:[PERIODO Imp.]],DH$9)</f>
        <v>0</v>
      </c>
    </row>
    <row r="569" spans="1:112" s="649" customFormat="1" hidden="1" outlineLevel="1" x14ac:dyDescent="0.3">
      <c r="A569" s="652" t="str">
        <f t="shared" si="212"/>
        <v/>
      </c>
      <c r="B569" s="652"/>
      <c r="C569" s="685"/>
      <c r="D569" s="686" t="s">
        <v>2591</v>
      </c>
      <c r="E569" s="686"/>
      <c r="F569" s="720"/>
      <c r="G569" s="688"/>
      <c r="H569" s="689"/>
      <c r="I569" s="851" t="str">
        <f t="shared" si="213"/>
        <v/>
      </c>
      <c r="J569" s="850" t="str">
        <f t="shared" si="214"/>
        <v/>
      </c>
      <c r="K569" s="667"/>
      <c r="L569" s="858"/>
      <c r="M569" s="859"/>
      <c r="N569" s="859"/>
      <c r="O569" s="859"/>
      <c r="P569" s="859"/>
      <c r="Q569" s="859"/>
      <c r="R569" s="859"/>
      <c r="S569" s="859"/>
      <c r="T569" s="859"/>
      <c r="U569" s="859"/>
      <c r="V569" s="859"/>
      <c r="W569" s="859"/>
      <c r="X569" s="859"/>
      <c r="Y569" s="859"/>
      <c r="Z569" s="860"/>
      <c r="AA569" s="860"/>
      <c r="AB569" s="860"/>
      <c r="AC569" s="860"/>
      <c r="AD569" s="860"/>
      <c r="AE569" s="860"/>
      <c r="AF569" s="860"/>
      <c r="AG569" s="860"/>
      <c r="AH569" s="860"/>
      <c r="AI569" s="860"/>
      <c r="AJ569" s="860"/>
      <c r="AK569" s="860"/>
      <c r="AL569" s="860"/>
      <c r="AM569" s="860"/>
      <c r="AN569" s="860"/>
      <c r="AO569" s="860"/>
      <c r="AP569" s="860"/>
      <c r="AQ569" s="860"/>
      <c r="AR569" s="860"/>
      <c r="AS569" s="860"/>
      <c r="AT569" s="860"/>
      <c r="AU569" s="860"/>
      <c r="AV569" s="860"/>
      <c r="AW569" s="860"/>
      <c r="AX569" s="860"/>
      <c r="AY569" s="860"/>
      <c r="AZ569" s="860"/>
      <c r="BA569" s="860"/>
      <c r="BB569" s="860"/>
      <c r="BC569" s="860"/>
      <c r="BD569" s="860"/>
      <c r="BE569" s="860"/>
      <c r="BF569" s="860"/>
      <c r="BG569" s="860"/>
      <c r="BH569" s="668"/>
      <c r="BI569" s="667"/>
      <c r="BJ569" s="690">
        <f t="shared" si="215"/>
        <v>0</v>
      </c>
      <c r="BK569" s="691">
        <f t="shared" si="216"/>
        <v>0</v>
      </c>
      <c r="BL569" s="654"/>
      <c r="BM569" s="692">
        <f>SUMIFS(Imput[[Importe Neto]:[Importe Neto]],Imput[[C. Imp.]:[C. Imp.]],$D569,Imput[[PERIODO Imp.]:[PERIODO Imp.]],BM$9)</f>
        <v>0</v>
      </c>
      <c r="BN569" s="693">
        <f>SUMIFS(Imput[[Importe Neto]:[Importe Neto]],Imput[[C. Imp.]:[C. Imp.]],$D569,Imput[[PERIODO Imp.]:[PERIODO Imp.]],BN$9)</f>
        <v>0</v>
      </c>
      <c r="BO569" s="693">
        <f>SUMIFS(Imput[[Importe Neto]:[Importe Neto]],Imput[[C. Imp.]:[C. Imp.]],$D569,Imput[[PERIODO Imp.]:[PERIODO Imp.]],BO$9)</f>
        <v>0</v>
      </c>
      <c r="BP569" s="693">
        <f>SUMIFS(Imput[[Importe Neto]:[Importe Neto]],Imput[[C. Imp.]:[C. Imp.]],$D569,Imput[[PERIODO Imp.]:[PERIODO Imp.]],BP$9)</f>
        <v>0</v>
      </c>
      <c r="BQ569" s="693">
        <f>SUMIFS(Imput[[Importe Neto]:[Importe Neto]],Imput[[C. Imp.]:[C. Imp.]],$D569,Imput[[PERIODO Imp.]:[PERIODO Imp.]],BQ$9)</f>
        <v>0</v>
      </c>
      <c r="BR569" s="693">
        <f>SUMIFS(Imput[[Importe Neto]:[Importe Neto]],Imput[[C. Imp.]:[C. Imp.]],$D569,Imput[[PERIODO Imp.]:[PERIODO Imp.]],BR$9)</f>
        <v>0</v>
      </c>
      <c r="BS569" s="693">
        <f>SUMIFS(Imput[[Importe Neto]:[Importe Neto]],Imput[[C. Imp.]:[C. Imp.]],$D569,Imput[[PERIODO Imp.]:[PERIODO Imp.]],BS$9)</f>
        <v>0</v>
      </c>
      <c r="BT569" s="693">
        <f>SUMIFS(Imput[[Importe Neto]:[Importe Neto]],Imput[[C. Imp.]:[C. Imp.]],$D569,Imput[[PERIODO Imp.]:[PERIODO Imp.]],BT$9)</f>
        <v>0</v>
      </c>
      <c r="BU569" s="693">
        <f>SUMIFS(Imput[[Importe Neto]:[Importe Neto]],Imput[[C. Imp.]:[C. Imp.]],$D569,Imput[[PERIODO Imp.]:[PERIODO Imp.]],BU$9)</f>
        <v>0</v>
      </c>
      <c r="BV569" s="693">
        <f>SUMIFS(Imput[[Importe Neto]:[Importe Neto]],Imput[[C. Imp.]:[C. Imp.]],$D569,Imput[[PERIODO Imp.]:[PERIODO Imp.]],BV$9)</f>
        <v>0</v>
      </c>
      <c r="BW569" s="693">
        <f>SUMIFS(Imput[[Importe Neto]:[Importe Neto]],Imput[[C. Imp.]:[C. Imp.]],$D569,Imput[[PERIODO Imp.]:[PERIODO Imp.]],BW$9)</f>
        <v>0</v>
      </c>
      <c r="BX569" s="693">
        <f>SUMIFS(Imput[[Importe Neto]:[Importe Neto]],Imput[[C. Imp.]:[C. Imp.]],$D569,Imput[[PERIODO Imp.]:[PERIODO Imp.]],BX$9)</f>
        <v>0</v>
      </c>
      <c r="BY569" s="693">
        <f>SUMIFS(Imput[[Importe Neto]:[Importe Neto]],Imput[[C. Imp.]:[C. Imp.]],$D569,Imput[[PERIODO Imp.]:[PERIODO Imp.]],BY$9)</f>
        <v>0</v>
      </c>
      <c r="BZ569" s="693">
        <f>SUMIFS(Imput[[Importe Neto]:[Importe Neto]],Imput[[C. Imp.]:[C. Imp.]],$D569,Imput[[PERIODO Imp.]:[PERIODO Imp.]],BZ$9)</f>
        <v>0</v>
      </c>
      <c r="CA569" s="693">
        <f>SUMIFS(Imput[[Importe Neto]:[Importe Neto]],Imput[[C. Imp.]:[C. Imp.]],$D569,Imput[[PERIODO Imp.]:[PERIODO Imp.]],CA$9)</f>
        <v>0</v>
      </c>
      <c r="CB569" s="693">
        <f>SUMIFS(Imput[[Importe Neto]:[Importe Neto]],Imput[[C. Imp.]:[C. Imp.]],$D569,Imput[[PERIODO Imp.]:[PERIODO Imp.]],CB$9)</f>
        <v>0</v>
      </c>
      <c r="CC569" s="693">
        <f>SUMIFS(Imput[[Importe Neto]:[Importe Neto]],Imput[[C. Imp.]:[C. Imp.]],$D569,Imput[[PERIODO Imp.]:[PERIODO Imp.]],CC$9)</f>
        <v>0</v>
      </c>
      <c r="CD569" s="693">
        <f>SUMIFS(Imput[[Importe Neto]:[Importe Neto]],Imput[[C. Imp.]:[C. Imp.]],$D569,Imput[[PERIODO Imp.]:[PERIODO Imp.]],CD$9)</f>
        <v>0</v>
      </c>
      <c r="CE569" s="693">
        <f>SUMIFS(Imput[[Importe Neto]:[Importe Neto]],Imput[[C. Imp.]:[C. Imp.]],$D569,Imput[[PERIODO Imp.]:[PERIODO Imp.]],CE$9)</f>
        <v>0</v>
      </c>
      <c r="CF569" s="693">
        <f>SUMIFS(Imput[[Importe Neto]:[Importe Neto]],Imput[[C. Imp.]:[C. Imp.]],$D569,Imput[[PERIODO Imp.]:[PERIODO Imp.]],CF$9)</f>
        <v>0</v>
      </c>
      <c r="CG569" s="693">
        <f>SUMIFS(Imput[[Importe Neto]:[Importe Neto]],Imput[[C. Imp.]:[C. Imp.]],$D569,Imput[[PERIODO Imp.]:[PERIODO Imp.]],CG$9)</f>
        <v>0</v>
      </c>
      <c r="CH569" s="693">
        <f>SUMIFS(Imput[[Importe Neto]:[Importe Neto]],Imput[[C. Imp.]:[C. Imp.]],$D569,Imput[[PERIODO Imp.]:[PERIODO Imp.]],CH$9)</f>
        <v>0</v>
      </c>
      <c r="CI569" s="693">
        <f>SUMIFS(Imput[[Importe Neto]:[Importe Neto]],Imput[[C. Imp.]:[C. Imp.]],$D569,Imput[[PERIODO Imp.]:[PERIODO Imp.]],CI$9)</f>
        <v>0</v>
      </c>
      <c r="CJ569" s="693">
        <f>SUMIFS(Imput[[Importe Neto]:[Importe Neto]],Imput[[C. Imp.]:[C. Imp.]],$D569,Imput[[PERIODO Imp.]:[PERIODO Imp.]],CJ$9)</f>
        <v>0</v>
      </c>
      <c r="CK569" s="693">
        <f>SUMIFS(Imput[[Importe Neto]:[Importe Neto]],Imput[[C. Imp.]:[C. Imp.]],$D569,Imput[[PERIODO Imp.]:[PERIODO Imp.]],CK$9)</f>
        <v>0</v>
      </c>
      <c r="CL569" s="693">
        <f>SUMIFS(Imput[[Importe Neto]:[Importe Neto]],Imput[[C. Imp.]:[C. Imp.]],$D569,Imput[[PERIODO Imp.]:[PERIODO Imp.]],CL$9)</f>
        <v>0</v>
      </c>
      <c r="CM569" s="693">
        <f>SUMIFS(Imput[[Importe Neto]:[Importe Neto]],Imput[[C. Imp.]:[C. Imp.]],$D569,Imput[[PERIODO Imp.]:[PERIODO Imp.]],CM$9)</f>
        <v>0</v>
      </c>
      <c r="CN569" s="693">
        <f>SUMIFS(Imput[[Importe Neto]:[Importe Neto]],Imput[[C. Imp.]:[C. Imp.]],$D569,Imput[[PERIODO Imp.]:[PERIODO Imp.]],CN$9)</f>
        <v>0</v>
      </c>
      <c r="CO569" s="693">
        <f>SUMIFS(Imput[[Importe Neto]:[Importe Neto]],Imput[[C. Imp.]:[C. Imp.]],$D569,Imput[[PERIODO Imp.]:[PERIODO Imp.]],CO$9)</f>
        <v>0</v>
      </c>
      <c r="CP569" s="693">
        <f>SUMIFS(Imput[[Importe Neto]:[Importe Neto]],Imput[[C. Imp.]:[C. Imp.]],$D569,Imput[[PERIODO Imp.]:[PERIODO Imp.]],CP$9)</f>
        <v>0</v>
      </c>
      <c r="CQ569" s="693">
        <f>SUMIFS(Imput[[Importe Neto]:[Importe Neto]],Imput[[C. Imp.]:[C. Imp.]],$D569,Imput[[PERIODO Imp.]:[PERIODO Imp.]],CQ$9)</f>
        <v>0</v>
      </c>
      <c r="CR569" s="693">
        <f>SUMIFS(Imput[[Importe Neto]:[Importe Neto]],Imput[[C. Imp.]:[C. Imp.]],$D569,Imput[[PERIODO Imp.]:[PERIODO Imp.]],CR$9)</f>
        <v>0</v>
      </c>
      <c r="CS569" s="693">
        <f>SUMIFS(Imput[[Importe Neto]:[Importe Neto]],Imput[[C. Imp.]:[C. Imp.]],$D569,Imput[[PERIODO Imp.]:[PERIODO Imp.]],CS$9)</f>
        <v>0</v>
      </c>
      <c r="CT569" s="693">
        <f>SUMIFS(Imput[[Importe Neto]:[Importe Neto]],Imput[[C. Imp.]:[C. Imp.]],$D569,Imput[[PERIODO Imp.]:[PERIODO Imp.]],CT$9)</f>
        <v>0</v>
      </c>
      <c r="CU569" s="693">
        <f>SUMIFS(Imput[[Importe Neto]:[Importe Neto]],Imput[[C. Imp.]:[C. Imp.]],$D569,Imput[[PERIODO Imp.]:[PERIODO Imp.]],CU$9)</f>
        <v>0</v>
      </c>
      <c r="CV569" s="693">
        <f>SUMIFS(Imput[[Importe Neto]:[Importe Neto]],Imput[[C. Imp.]:[C. Imp.]],$D569,Imput[[PERIODO Imp.]:[PERIODO Imp.]],CV$9)</f>
        <v>0</v>
      </c>
      <c r="CW569" s="693">
        <f>SUMIFS(Imput[[Importe Neto]:[Importe Neto]],Imput[[C. Imp.]:[C. Imp.]],$D569,Imput[[PERIODO Imp.]:[PERIODO Imp.]],CW$9)</f>
        <v>0</v>
      </c>
      <c r="CX569" s="693">
        <f>SUMIFS(Imput[[Importe Neto]:[Importe Neto]],Imput[[C. Imp.]:[C. Imp.]],$D569,Imput[[PERIODO Imp.]:[PERIODO Imp.]],CX$9)</f>
        <v>0</v>
      </c>
      <c r="CY569" s="693">
        <f>SUMIFS(Imput[[Importe Neto]:[Importe Neto]],Imput[[C. Imp.]:[C. Imp.]],$D569,Imput[[PERIODO Imp.]:[PERIODO Imp.]],CY$9)</f>
        <v>0</v>
      </c>
      <c r="CZ569" s="693">
        <f>SUMIFS(Imput[[Importe Neto]:[Importe Neto]],Imput[[C. Imp.]:[C. Imp.]],$D569,Imput[[PERIODO Imp.]:[PERIODO Imp.]],CZ$9)</f>
        <v>0</v>
      </c>
      <c r="DA569" s="693">
        <f>SUMIFS(Imput[[Importe Neto]:[Importe Neto]],Imput[[C. Imp.]:[C. Imp.]],$D569,Imput[[PERIODO Imp.]:[PERIODO Imp.]],DA$9)</f>
        <v>0</v>
      </c>
      <c r="DB569" s="693">
        <f>SUMIFS(Imput[[Importe Neto]:[Importe Neto]],Imput[[C. Imp.]:[C. Imp.]],$D569,Imput[[PERIODO Imp.]:[PERIODO Imp.]],DB$9)</f>
        <v>0</v>
      </c>
      <c r="DC569" s="693">
        <f>SUMIFS(Imput[[Importe Neto]:[Importe Neto]],Imput[[C. Imp.]:[C. Imp.]],$D569,Imput[[PERIODO Imp.]:[PERIODO Imp.]],DC$9)</f>
        <v>0</v>
      </c>
      <c r="DD569" s="693">
        <f>SUMIFS(Imput[[Importe Neto]:[Importe Neto]],Imput[[C. Imp.]:[C. Imp.]],$D569,Imput[[PERIODO Imp.]:[PERIODO Imp.]],DD$9)</f>
        <v>0</v>
      </c>
      <c r="DE569" s="693">
        <f>SUMIFS(Imput[[Importe Neto]:[Importe Neto]],Imput[[C. Imp.]:[C. Imp.]],$D569,Imput[[PERIODO Imp.]:[PERIODO Imp.]],DE$9)</f>
        <v>0</v>
      </c>
      <c r="DF569" s="693">
        <f>SUMIFS(Imput[[Importe Neto]:[Importe Neto]],Imput[[C. Imp.]:[C. Imp.]],$D569,Imput[[PERIODO Imp.]:[PERIODO Imp.]],DF$9)</f>
        <v>0</v>
      </c>
      <c r="DG569" s="693">
        <f>SUMIFS(Imput[[Importe Neto]:[Importe Neto]],Imput[[C. Imp.]:[C. Imp.]],$D569,Imput[[PERIODO Imp.]:[PERIODO Imp.]],DG$9)</f>
        <v>0</v>
      </c>
      <c r="DH569" s="694">
        <f>SUMIFS(Imput[[Importe Neto]:[Importe Neto]],Imput[[C. Imp.]:[C. Imp.]],$D569,Imput[[PERIODO Imp.]:[PERIODO Imp.]],DH$9)</f>
        <v>0</v>
      </c>
    </row>
    <row r="570" spans="1:112" s="649" customFormat="1" hidden="1" outlineLevel="1" x14ac:dyDescent="0.3">
      <c r="A570" s="652" t="str">
        <f t="shared" si="212"/>
        <v/>
      </c>
      <c r="B570" s="652"/>
      <c r="C570" s="685"/>
      <c r="D570" s="686" t="s">
        <v>2592</v>
      </c>
      <c r="E570" s="686"/>
      <c r="F570" s="720"/>
      <c r="G570" s="688"/>
      <c r="H570" s="689"/>
      <c r="I570" s="851" t="str">
        <f t="shared" si="213"/>
        <v/>
      </c>
      <c r="J570" s="850" t="str">
        <f t="shared" si="214"/>
        <v/>
      </c>
      <c r="K570" s="667"/>
      <c r="L570" s="858"/>
      <c r="M570" s="859"/>
      <c r="N570" s="859"/>
      <c r="O570" s="859"/>
      <c r="P570" s="859"/>
      <c r="Q570" s="859"/>
      <c r="R570" s="859"/>
      <c r="S570" s="859"/>
      <c r="T570" s="859"/>
      <c r="U570" s="859"/>
      <c r="V570" s="859"/>
      <c r="W570" s="859"/>
      <c r="X570" s="859"/>
      <c r="Y570" s="859"/>
      <c r="Z570" s="860"/>
      <c r="AA570" s="860"/>
      <c r="AB570" s="860"/>
      <c r="AC570" s="860"/>
      <c r="AD570" s="860"/>
      <c r="AE570" s="860"/>
      <c r="AF570" s="860"/>
      <c r="AG570" s="860"/>
      <c r="AH570" s="860"/>
      <c r="AI570" s="860"/>
      <c r="AJ570" s="860"/>
      <c r="AK570" s="860"/>
      <c r="AL570" s="860"/>
      <c r="AM570" s="860"/>
      <c r="AN570" s="860"/>
      <c r="AO570" s="860"/>
      <c r="AP570" s="860"/>
      <c r="AQ570" s="860"/>
      <c r="AR570" s="860"/>
      <c r="AS570" s="860"/>
      <c r="AT570" s="860"/>
      <c r="AU570" s="860"/>
      <c r="AV570" s="860"/>
      <c r="AW570" s="860"/>
      <c r="AX570" s="860"/>
      <c r="AY570" s="860"/>
      <c r="AZ570" s="860"/>
      <c r="BA570" s="860"/>
      <c r="BB570" s="860"/>
      <c r="BC570" s="860"/>
      <c r="BD570" s="860"/>
      <c r="BE570" s="860"/>
      <c r="BF570" s="860"/>
      <c r="BG570" s="860"/>
      <c r="BH570" s="668"/>
      <c r="BI570" s="667"/>
      <c r="BJ570" s="690">
        <f t="shared" si="215"/>
        <v>0</v>
      </c>
      <c r="BK570" s="691">
        <f t="shared" si="216"/>
        <v>0</v>
      </c>
      <c r="BL570" s="654"/>
      <c r="BM570" s="692">
        <f>SUMIFS(Imput[[Importe Neto]:[Importe Neto]],Imput[[C. Imp.]:[C. Imp.]],$D570,Imput[[PERIODO Imp.]:[PERIODO Imp.]],BM$9)</f>
        <v>0</v>
      </c>
      <c r="BN570" s="693">
        <f>SUMIFS(Imput[[Importe Neto]:[Importe Neto]],Imput[[C. Imp.]:[C. Imp.]],$D570,Imput[[PERIODO Imp.]:[PERIODO Imp.]],BN$9)</f>
        <v>0</v>
      </c>
      <c r="BO570" s="693">
        <f>SUMIFS(Imput[[Importe Neto]:[Importe Neto]],Imput[[C. Imp.]:[C. Imp.]],$D570,Imput[[PERIODO Imp.]:[PERIODO Imp.]],BO$9)</f>
        <v>0</v>
      </c>
      <c r="BP570" s="693">
        <f>SUMIFS(Imput[[Importe Neto]:[Importe Neto]],Imput[[C. Imp.]:[C. Imp.]],$D570,Imput[[PERIODO Imp.]:[PERIODO Imp.]],BP$9)</f>
        <v>0</v>
      </c>
      <c r="BQ570" s="693">
        <f>SUMIFS(Imput[[Importe Neto]:[Importe Neto]],Imput[[C. Imp.]:[C. Imp.]],$D570,Imput[[PERIODO Imp.]:[PERIODO Imp.]],BQ$9)</f>
        <v>0</v>
      </c>
      <c r="BR570" s="693">
        <f>SUMIFS(Imput[[Importe Neto]:[Importe Neto]],Imput[[C. Imp.]:[C. Imp.]],$D570,Imput[[PERIODO Imp.]:[PERIODO Imp.]],BR$9)</f>
        <v>0</v>
      </c>
      <c r="BS570" s="693">
        <f>SUMIFS(Imput[[Importe Neto]:[Importe Neto]],Imput[[C. Imp.]:[C. Imp.]],$D570,Imput[[PERIODO Imp.]:[PERIODO Imp.]],BS$9)</f>
        <v>0</v>
      </c>
      <c r="BT570" s="693">
        <f>SUMIFS(Imput[[Importe Neto]:[Importe Neto]],Imput[[C. Imp.]:[C. Imp.]],$D570,Imput[[PERIODO Imp.]:[PERIODO Imp.]],BT$9)</f>
        <v>0</v>
      </c>
      <c r="BU570" s="693">
        <f>SUMIFS(Imput[[Importe Neto]:[Importe Neto]],Imput[[C. Imp.]:[C. Imp.]],$D570,Imput[[PERIODO Imp.]:[PERIODO Imp.]],BU$9)</f>
        <v>0</v>
      </c>
      <c r="BV570" s="693">
        <f>SUMIFS(Imput[[Importe Neto]:[Importe Neto]],Imput[[C. Imp.]:[C. Imp.]],$D570,Imput[[PERIODO Imp.]:[PERIODO Imp.]],BV$9)</f>
        <v>0</v>
      </c>
      <c r="BW570" s="693">
        <f>SUMIFS(Imput[[Importe Neto]:[Importe Neto]],Imput[[C. Imp.]:[C. Imp.]],$D570,Imput[[PERIODO Imp.]:[PERIODO Imp.]],BW$9)</f>
        <v>0</v>
      </c>
      <c r="BX570" s="693">
        <f>SUMIFS(Imput[[Importe Neto]:[Importe Neto]],Imput[[C. Imp.]:[C. Imp.]],$D570,Imput[[PERIODO Imp.]:[PERIODO Imp.]],BX$9)</f>
        <v>0</v>
      </c>
      <c r="BY570" s="693">
        <f>SUMIFS(Imput[[Importe Neto]:[Importe Neto]],Imput[[C. Imp.]:[C. Imp.]],$D570,Imput[[PERIODO Imp.]:[PERIODO Imp.]],BY$9)</f>
        <v>0</v>
      </c>
      <c r="BZ570" s="693">
        <f>SUMIFS(Imput[[Importe Neto]:[Importe Neto]],Imput[[C. Imp.]:[C. Imp.]],$D570,Imput[[PERIODO Imp.]:[PERIODO Imp.]],BZ$9)</f>
        <v>0</v>
      </c>
      <c r="CA570" s="693">
        <f>SUMIFS(Imput[[Importe Neto]:[Importe Neto]],Imput[[C. Imp.]:[C. Imp.]],$D570,Imput[[PERIODO Imp.]:[PERIODO Imp.]],CA$9)</f>
        <v>0</v>
      </c>
      <c r="CB570" s="693">
        <f>SUMIFS(Imput[[Importe Neto]:[Importe Neto]],Imput[[C. Imp.]:[C. Imp.]],$D570,Imput[[PERIODO Imp.]:[PERIODO Imp.]],CB$9)</f>
        <v>0</v>
      </c>
      <c r="CC570" s="693">
        <f>SUMIFS(Imput[[Importe Neto]:[Importe Neto]],Imput[[C. Imp.]:[C. Imp.]],$D570,Imput[[PERIODO Imp.]:[PERIODO Imp.]],CC$9)</f>
        <v>0</v>
      </c>
      <c r="CD570" s="693">
        <f>SUMIFS(Imput[[Importe Neto]:[Importe Neto]],Imput[[C. Imp.]:[C. Imp.]],$D570,Imput[[PERIODO Imp.]:[PERIODO Imp.]],CD$9)</f>
        <v>0</v>
      </c>
      <c r="CE570" s="693">
        <f>SUMIFS(Imput[[Importe Neto]:[Importe Neto]],Imput[[C. Imp.]:[C. Imp.]],$D570,Imput[[PERIODO Imp.]:[PERIODO Imp.]],CE$9)</f>
        <v>0</v>
      </c>
      <c r="CF570" s="693">
        <f>SUMIFS(Imput[[Importe Neto]:[Importe Neto]],Imput[[C. Imp.]:[C. Imp.]],$D570,Imput[[PERIODO Imp.]:[PERIODO Imp.]],CF$9)</f>
        <v>0</v>
      </c>
      <c r="CG570" s="693">
        <f>SUMIFS(Imput[[Importe Neto]:[Importe Neto]],Imput[[C. Imp.]:[C. Imp.]],$D570,Imput[[PERIODO Imp.]:[PERIODO Imp.]],CG$9)</f>
        <v>0</v>
      </c>
      <c r="CH570" s="693">
        <f>SUMIFS(Imput[[Importe Neto]:[Importe Neto]],Imput[[C. Imp.]:[C. Imp.]],$D570,Imput[[PERIODO Imp.]:[PERIODO Imp.]],CH$9)</f>
        <v>0</v>
      </c>
      <c r="CI570" s="693">
        <f>SUMIFS(Imput[[Importe Neto]:[Importe Neto]],Imput[[C. Imp.]:[C. Imp.]],$D570,Imput[[PERIODO Imp.]:[PERIODO Imp.]],CI$9)</f>
        <v>0</v>
      </c>
      <c r="CJ570" s="693">
        <f>SUMIFS(Imput[[Importe Neto]:[Importe Neto]],Imput[[C. Imp.]:[C. Imp.]],$D570,Imput[[PERIODO Imp.]:[PERIODO Imp.]],CJ$9)</f>
        <v>0</v>
      </c>
      <c r="CK570" s="693">
        <f>SUMIFS(Imput[[Importe Neto]:[Importe Neto]],Imput[[C. Imp.]:[C. Imp.]],$D570,Imput[[PERIODO Imp.]:[PERIODO Imp.]],CK$9)</f>
        <v>0</v>
      </c>
      <c r="CL570" s="693">
        <f>SUMIFS(Imput[[Importe Neto]:[Importe Neto]],Imput[[C. Imp.]:[C. Imp.]],$D570,Imput[[PERIODO Imp.]:[PERIODO Imp.]],CL$9)</f>
        <v>0</v>
      </c>
      <c r="CM570" s="693">
        <f>SUMIFS(Imput[[Importe Neto]:[Importe Neto]],Imput[[C. Imp.]:[C. Imp.]],$D570,Imput[[PERIODO Imp.]:[PERIODO Imp.]],CM$9)</f>
        <v>0</v>
      </c>
      <c r="CN570" s="693">
        <f>SUMIFS(Imput[[Importe Neto]:[Importe Neto]],Imput[[C. Imp.]:[C. Imp.]],$D570,Imput[[PERIODO Imp.]:[PERIODO Imp.]],CN$9)</f>
        <v>0</v>
      </c>
      <c r="CO570" s="693">
        <f>SUMIFS(Imput[[Importe Neto]:[Importe Neto]],Imput[[C. Imp.]:[C. Imp.]],$D570,Imput[[PERIODO Imp.]:[PERIODO Imp.]],CO$9)</f>
        <v>0</v>
      </c>
      <c r="CP570" s="693">
        <f>SUMIFS(Imput[[Importe Neto]:[Importe Neto]],Imput[[C. Imp.]:[C. Imp.]],$D570,Imput[[PERIODO Imp.]:[PERIODO Imp.]],CP$9)</f>
        <v>0</v>
      </c>
      <c r="CQ570" s="693">
        <f>SUMIFS(Imput[[Importe Neto]:[Importe Neto]],Imput[[C. Imp.]:[C. Imp.]],$D570,Imput[[PERIODO Imp.]:[PERIODO Imp.]],CQ$9)</f>
        <v>0</v>
      </c>
      <c r="CR570" s="693">
        <f>SUMIFS(Imput[[Importe Neto]:[Importe Neto]],Imput[[C. Imp.]:[C. Imp.]],$D570,Imput[[PERIODO Imp.]:[PERIODO Imp.]],CR$9)</f>
        <v>0</v>
      </c>
      <c r="CS570" s="693">
        <f>SUMIFS(Imput[[Importe Neto]:[Importe Neto]],Imput[[C. Imp.]:[C. Imp.]],$D570,Imput[[PERIODO Imp.]:[PERIODO Imp.]],CS$9)</f>
        <v>0</v>
      </c>
      <c r="CT570" s="693">
        <f>SUMIFS(Imput[[Importe Neto]:[Importe Neto]],Imput[[C. Imp.]:[C. Imp.]],$D570,Imput[[PERIODO Imp.]:[PERIODO Imp.]],CT$9)</f>
        <v>0</v>
      </c>
      <c r="CU570" s="693">
        <f>SUMIFS(Imput[[Importe Neto]:[Importe Neto]],Imput[[C. Imp.]:[C. Imp.]],$D570,Imput[[PERIODO Imp.]:[PERIODO Imp.]],CU$9)</f>
        <v>0</v>
      </c>
      <c r="CV570" s="693">
        <f>SUMIFS(Imput[[Importe Neto]:[Importe Neto]],Imput[[C. Imp.]:[C. Imp.]],$D570,Imput[[PERIODO Imp.]:[PERIODO Imp.]],CV$9)</f>
        <v>0</v>
      </c>
      <c r="CW570" s="693">
        <f>SUMIFS(Imput[[Importe Neto]:[Importe Neto]],Imput[[C. Imp.]:[C. Imp.]],$D570,Imput[[PERIODO Imp.]:[PERIODO Imp.]],CW$9)</f>
        <v>0</v>
      </c>
      <c r="CX570" s="693">
        <f>SUMIFS(Imput[[Importe Neto]:[Importe Neto]],Imput[[C. Imp.]:[C. Imp.]],$D570,Imput[[PERIODO Imp.]:[PERIODO Imp.]],CX$9)</f>
        <v>0</v>
      </c>
      <c r="CY570" s="693">
        <f>SUMIFS(Imput[[Importe Neto]:[Importe Neto]],Imput[[C. Imp.]:[C. Imp.]],$D570,Imput[[PERIODO Imp.]:[PERIODO Imp.]],CY$9)</f>
        <v>0</v>
      </c>
      <c r="CZ570" s="693">
        <f>SUMIFS(Imput[[Importe Neto]:[Importe Neto]],Imput[[C. Imp.]:[C. Imp.]],$D570,Imput[[PERIODO Imp.]:[PERIODO Imp.]],CZ$9)</f>
        <v>0</v>
      </c>
      <c r="DA570" s="693">
        <f>SUMIFS(Imput[[Importe Neto]:[Importe Neto]],Imput[[C. Imp.]:[C. Imp.]],$D570,Imput[[PERIODO Imp.]:[PERIODO Imp.]],DA$9)</f>
        <v>0</v>
      </c>
      <c r="DB570" s="693">
        <f>SUMIFS(Imput[[Importe Neto]:[Importe Neto]],Imput[[C. Imp.]:[C. Imp.]],$D570,Imput[[PERIODO Imp.]:[PERIODO Imp.]],DB$9)</f>
        <v>0</v>
      </c>
      <c r="DC570" s="693">
        <f>SUMIFS(Imput[[Importe Neto]:[Importe Neto]],Imput[[C. Imp.]:[C. Imp.]],$D570,Imput[[PERIODO Imp.]:[PERIODO Imp.]],DC$9)</f>
        <v>0</v>
      </c>
      <c r="DD570" s="693">
        <f>SUMIFS(Imput[[Importe Neto]:[Importe Neto]],Imput[[C. Imp.]:[C. Imp.]],$D570,Imput[[PERIODO Imp.]:[PERIODO Imp.]],DD$9)</f>
        <v>0</v>
      </c>
      <c r="DE570" s="693">
        <f>SUMIFS(Imput[[Importe Neto]:[Importe Neto]],Imput[[C. Imp.]:[C. Imp.]],$D570,Imput[[PERIODO Imp.]:[PERIODO Imp.]],DE$9)</f>
        <v>0</v>
      </c>
      <c r="DF570" s="693">
        <f>SUMIFS(Imput[[Importe Neto]:[Importe Neto]],Imput[[C. Imp.]:[C. Imp.]],$D570,Imput[[PERIODO Imp.]:[PERIODO Imp.]],DF$9)</f>
        <v>0</v>
      </c>
      <c r="DG570" s="693">
        <f>SUMIFS(Imput[[Importe Neto]:[Importe Neto]],Imput[[C. Imp.]:[C. Imp.]],$D570,Imput[[PERIODO Imp.]:[PERIODO Imp.]],DG$9)</f>
        <v>0</v>
      </c>
      <c r="DH570" s="694">
        <f>SUMIFS(Imput[[Importe Neto]:[Importe Neto]],Imput[[C. Imp.]:[C. Imp.]],$D570,Imput[[PERIODO Imp.]:[PERIODO Imp.]],DH$9)</f>
        <v>0</v>
      </c>
    </row>
    <row r="571" spans="1:112" s="649" customFormat="1" hidden="1" outlineLevel="1" x14ac:dyDescent="0.3">
      <c r="A571" s="652" t="str">
        <f t="shared" si="212"/>
        <v/>
      </c>
      <c r="B571" s="652"/>
      <c r="C571" s="685"/>
      <c r="D571" s="686" t="s">
        <v>2593</v>
      </c>
      <c r="E571" s="686"/>
      <c r="F571" s="720"/>
      <c r="G571" s="688"/>
      <c r="H571" s="689"/>
      <c r="I571" s="851" t="str">
        <f t="shared" si="213"/>
        <v/>
      </c>
      <c r="J571" s="850" t="str">
        <f t="shared" si="214"/>
        <v/>
      </c>
      <c r="K571" s="667"/>
      <c r="L571" s="858"/>
      <c r="M571" s="859"/>
      <c r="N571" s="859"/>
      <c r="O571" s="859"/>
      <c r="P571" s="859"/>
      <c r="Q571" s="859"/>
      <c r="R571" s="859"/>
      <c r="S571" s="859"/>
      <c r="T571" s="859"/>
      <c r="U571" s="859"/>
      <c r="V571" s="859"/>
      <c r="W571" s="859"/>
      <c r="X571" s="859"/>
      <c r="Y571" s="859"/>
      <c r="Z571" s="860"/>
      <c r="AA571" s="860"/>
      <c r="AB571" s="860"/>
      <c r="AC571" s="860"/>
      <c r="AD571" s="860"/>
      <c r="AE571" s="860"/>
      <c r="AF571" s="860"/>
      <c r="AG571" s="860"/>
      <c r="AH571" s="860"/>
      <c r="AI571" s="860"/>
      <c r="AJ571" s="860"/>
      <c r="AK571" s="860"/>
      <c r="AL571" s="860"/>
      <c r="AM571" s="860"/>
      <c r="AN571" s="860"/>
      <c r="AO571" s="860"/>
      <c r="AP571" s="860"/>
      <c r="AQ571" s="860"/>
      <c r="AR571" s="860"/>
      <c r="AS571" s="860"/>
      <c r="AT571" s="860"/>
      <c r="AU571" s="860"/>
      <c r="AV571" s="860"/>
      <c r="AW571" s="860"/>
      <c r="AX571" s="860"/>
      <c r="AY571" s="860"/>
      <c r="AZ571" s="860"/>
      <c r="BA571" s="860"/>
      <c r="BB571" s="860"/>
      <c r="BC571" s="860"/>
      <c r="BD571" s="860"/>
      <c r="BE571" s="860"/>
      <c r="BF571" s="860"/>
      <c r="BG571" s="860"/>
      <c r="BH571" s="668"/>
      <c r="BI571" s="667"/>
      <c r="BJ571" s="690">
        <f t="shared" si="215"/>
        <v>0</v>
      </c>
      <c r="BK571" s="691">
        <f t="shared" si="216"/>
        <v>0</v>
      </c>
      <c r="BL571" s="654"/>
      <c r="BM571" s="692">
        <f>SUMIFS(Imput[[Importe Neto]:[Importe Neto]],Imput[[C. Imp.]:[C. Imp.]],$D571,Imput[[PERIODO Imp.]:[PERIODO Imp.]],BM$9)</f>
        <v>0</v>
      </c>
      <c r="BN571" s="693">
        <f>SUMIFS(Imput[[Importe Neto]:[Importe Neto]],Imput[[C. Imp.]:[C. Imp.]],$D571,Imput[[PERIODO Imp.]:[PERIODO Imp.]],BN$9)</f>
        <v>0</v>
      </c>
      <c r="BO571" s="693">
        <f>SUMIFS(Imput[[Importe Neto]:[Importe Neto]],Imput[[C. Imp.]:[C. Imp.]],$D571,Imput[[PERIODO Imp.]:[PERIODO Imp.]],BO$9)</f>
        <v>0</v>
      </c>
      <c r="BP571" s="693">
        <f>SUMIFS(Imput[[Importe Neto]:[Importe Neto]],Imput[[C. Imp.]:[C. Imp.]],$D571,Imput[[PERIODO Imp.]:[PERIODO Imp.]],BP$9)</f>
        <v>0</v>
      </c>
      <c r="BQ571" s="693">
        <f>SUMIFS(Imput[[Importe Neto]:[Importe Neto]],Imput[[C. Imp.]:[C. Imp.]],$D571,Imput[[PERIODO Imp.]:[PERIODO Imp.]],BQ$9)</f>
        <v>0</v>
      </c>
      <c r="BR571" s="693">
        <f>SUMIFS(Imput[[Importe Neto]:[Importe Neto]],Imput[[C. Imp.]:[C. Imp.]],$D571,Imput[[PERIODO Imp.]:[PERIODO Imp.]],BR$9)</f>
        <v>0</v>
      </c>
      <c r="BS571" s="693">
        <f>SUMIFS(Imput[[Importe Neto]:[Importe Neto]],Imput[[C. Imp.]:[C. Imp.]],$D571,Imput[[PERIODO Imp.]:[PERIODO Imp.]],BS$9)</f>
        <v>0</v>
      </c>
      <c r="BT571" s="693">
        <f>SUMIFS(Imput[[Importe Neto]:[Importe Neto]],Imput[[C. Imp.]:[C. Imp.]],$D571,Imput[[PERIODO Imp.]:[PERIODO Imp.]],BT$9)</f>
        <v>0</v>
      </c>
      <c r="BU571" s="693">
        <f>SUMIFS(Imput[[Importe Neto]:[Importe Neto]],Imput[[C. Imp.]:[C. Imp.]],$D571,Imput[[PERIODO Imp.]:[PERIODO Imp.]],BU$9)</f>
        <v>0</v>
      </c>
      <c r="BV571" s="693">
        <f>SUMIFS(Imput[[Importe Neto]:[Importe Neto]],Imput[[C. Imp.]:[C. Imp.]],$D571,Imput[[PERIODO Imp.]:[PERIODO Imp.]],BV$9)</f>
        <v>0</v>
      </c>
      <c r="BW571" s="693">
        <f>SUMIFS(Imput[[Importe Neto]:[Importe Neto]],Imput[[C. Imp.]:[C. Imp.]],$D571,Imput[[PERIODO Imp.]:[PERIODO Imp.]],BW$9)</f>
        <v>0</v>
      </c>
      <c r="BX571" s="693">
        <f>SUMIFS(Imput[[Importe Neto]:[Importe Neto]],Imput[[C. Imp.]:[C. Imp.]],$D571,Imput[[PERIODO Imp.]:[PERIODO Imp.]],BX$9)</f>
        <v>0</v>
      </c>
      <c r="BY571" s="693">
        <f>SUMIFS(Imput[[Importe Neto]:[Importe Neto]],Imput[[C. Imp.]:[C. Imp.]],$D571,Imput[[PERIODO Imp.]:[PERIODO Imp.]],BY$9)</f>
        <v>0</v>
      </c>
      <c r="BZ571" s="693">
        <f>SUMIFS(Imput[[Importe Neto]:[Importe Neto]],Imput[[C. Imp.]:[C. Imp.]],$D571,Imput[[PERIODO Imp.]:[PERIODO Imp.]],BZ$9)</f>
        <v>0</v>
      </c>
      <c r="CA571" s="693">
        <f>SUMIFS(Imput[[Importe Neto]:[Importe Neto]],Imput[[C. Imp.]:[C. Imp.]],$D571,Imput[[PERIODO Imp.]:[PERIODO Imp.]],CA$9)</f>
        <v>0</v>
      </c>
      <c r="CB571" s="693">
        <f>SUMIFS(Imput[[Importe Neto]:[Importe Neto]],Imput[[C. Imp.]:[C. Imp.]],$D571,Imput[[PERIODO Imp.]:[PERIODO Imp.]],CB$9)</f>
        <v>0</v>
      </c>
      <c r="CC571" s="693">
        <f>SUMIFS(Imput[[Importe Neto]:[Importe Neto]],Imput[[C. Imp.]:[C. Imp.]],$D571,Imput[[PERIODO Imp.]:[PERIODO Imp.]],CC$9)</f>
        <v>0</v>
      </c>
      <c r="CD571" s="693">
        <f>SUMIFS(Imput[[Importe Neto]:[Importe Neto]],Imput[[C. Imp.]:[C. Imp.]],$D571,Imput[[PERIODO Imp.]:[PERIODO Imp.]],CD$9)</f>
        <v>0</v>
      </c>
      <c r="CE571" s="693">
        <f>SUMIFS(Imput[[Importe Neto]:[Importe Neto]],Imput[[C. Imp.]:[C. Imp.]],$D571,Imput[[PERIODO Imp.]:[PERIODO Imp.]],CE$9)</f>
        <v>0</v>
      </c>
      <c r="CF571" s="693">
        <f>SUMIFS(Imput[[Importe Neto]:[Importe Neto]],Imput[[C. Imp.]:[C. Imp.]],$D571,Imput[[PERIODO Imp.]:[PERIODO Imp.]],CF$9)</f>
        <v>0</v>
      </c>
      <c r="CG571" s="693">
        <f>SUMIFS(Imput[[Importe Neto]:[Importe Neto]],Imput[[C. Imp.]:[C. Imp.]],$D571,Imput[[PERIODO Imp.]:[PERIODO Imp.]],CG$9)</f>
        <v>0</v>
      </c>
      <c r="CH571" s="693">
        <f>SUMIFS(Imput[[Importe Neto]:[Importe Neto]],Imput[[C. Imp.]:[C. Imp.]],$D571,Imput[[PERIODO Imp.]:[PERIODO Imp.]],CH$9)</f>
        <v>0</v>
      </c>
      <c r="CI571" s="693">
        <f>SUMIFS(Imput[[Importe Neto]:[Importe Neto]],Imput[[C. Imp.]:[C. Imp.]],$D571,Imput[[PERIODO Imp.]:[PERIODO Imp.]],CI$9)</f>
        <v>0</v>
      </c>
      <c r="CJ571" s="693">
        <f>SUMIFS(Imput[[Importe Neto]:[Importe Neto]],Imput[[C. Imp.]:[C. Imp.]],$D571,Imput[[PERIODO Imp.]:[PERIODO Imp.]],CJ$9)</f>
        <v>0</v>
      </c>
      <c r="CK571" s="693">
        <f>SUMIFS(Imput[[Importe Neto]:[Importe Neto]],Imput[[C. Imp.]:[C. Imp.]],$D571,Imput[[PERIODO Imp.]:[PERIODO Imp.]],CK$9)</f>
        <v>0</v>
      </c>
      <c r="CL571" s="693">
        <f>SUMIFS(Imput[[Importe Neto]:[Importe Neto]],Imput[[C. Imp.]:[C. Imp.]],$D571,Imput[[PERIODO Imp.]:[PERIODO Imp.]],CL$9)</f>
        <v>0</v>
      </c>
      <c r="CM571" s="693">
        <f>SUMIFS(Imput[[Importe Neto]:[Importe Neto]],Imput[[C. Imp.]:[C. Imp.]],$D571,Imput[[PERIODO Imp.]:[PERIODO Imp.]],CM$9)</f>
        <v>0</v>
      </c>
      <c r="CN571" s="693">
        <f>SUMIFS(Imput[[Importe Neto]:[Importe Neto]],Imput[[C. Imp.]:[C. Imp.]],$D571,Imput[[PERIODO Imp.]:[PERIODO Imp.]],CN$9)</f>
        <v>0</v>
      </c>
      <c r="CO571" s="693">
        <f>SUMIFS(Imput[[Importe Neto]:[Importe Neto]],Imput[[C. Imp.]:[C. Imp.]],$D571,Imput[[PERIODO Imp.]:[PERIODO Imp.]],CO$9)</f>
        <v>0</v>
      </c>
      <c r="CP571" s="693">
        <f>SUMIFS(Imput[[Importe Neto]:[Importe Neto]],Imput[[C. Imp.]:[C. Imp.]],$D571,Imput[[PERIODO Imp.]:[PERIODO Imp.]],CP$9)</f>
        <v>0</v>
      </c>
      <c r="CQ571" s="693">
        <f>SUMIFS(Imput[[Importe Neto]:[Importe Neto]],Imput[[C. Imp.]:[C. Imp.]],$D571,Imput[[PERIODO Imp.]:[PERIODO Imp.]],CQ$9)</f>
        <v>0</v>
      </c>
      <c r="CR571" s="693">
        <f>SUMIFS(Imput[[Importe Neto]:[Importe Neto]],Imput[[C. Imp.]:[C. Imp.]],$D571,Imput[[PERIODO Imp.]:[PERIODO Imp.]],CR$9)</f>
        <v>0</v>
      </c>
      <c r="CS571" s="693">
        <f>SUMIFS(Imput[[Importe Neto]:[Importe Neto]],Imput[[C. Imp.]:[C. Imp.]],$D571,Imput[[PERIODO Imp.]:[PERIODO Imp.]],CS$9)</f>
        <v>0</v>
      </c>
      <c r="CT571" s="693">
        <f>SUMIFS(Imput[[Importe Neto]:[Importe Neto]],Imput[[C. Imp.]:[C. Imp.]],$D571,Imput[[PERIODO Imp.]:[PERIODO Imp.]],CT$9)</f>
        <v>0</v>
      </c>
      <c r="CU571" s="693">
        <f>SUMIFS(Imput[[Importe Neto]:[Importe Neto]],Imput[[C. Imp.]:[C. Imp.]],$D571,Imput[[PERIODO Imp.]:[PERIODO Imp.]],CU$9)</f>
        <v>0</v>
      </c>
      <c r="CV571" s="693">
        <f>SUMIFS(Imput[[Importe Neto]:[Importe Neto]],Imput[[C. Imp.]:[C. Imp.]],$D571,Imput[[PERIODO Imp.]:[PERIODO Imp.]],CV$9)</f>
        <v>0</v>
      </c>
      <c r="CW571" s="693">
        <f>SUMIFS(Imput[[Importe Neto]:[Importe Neto]],Imput[[C. Imp.]:[C. Imp.]],$D571,Imput[[PERIODO Imp.]:[PERIODO Imp.]],CW$9)</f>
        <v>0</v>
      </c>
      <c r="CX571" s="693">
        <f>SUMIFS(Imput[[Importe Neto]:[Importe Neto]],Imput[[C. Imp.]:[C. Imp.]],$D571,Imput[[PERIODO Imp.]:[PERIODO Imp.]],CX$9)</f>
        <v>0</v>
      </c>
      <c r="CY571" s="693">
        <f>SUMIFS(Imput[[Importe Neto]:[Importe Neto]],Imput[[C. Imp.]:[C. Imp.]],$D571,Imput[[PERIODO Imp.]:[PERIODO Imp.]],CY$9)</f>
        <v>0</v>
      </c>
      <c r="CZ571" s="693">
        <f>SUMIFS(Imput[[Importe Neto]:[Importe Neto]],Imput[[C. Imp.]:[C. Imp.]],$D571,Imput[[PERIODO Imp.]:[PERIODO Imp.]],CZ$9)</f>
        <v>0</v>
      </c>
      <c r="DA571" s="693">
        <f>SUMIFS(Imput[[Importe Neto]:[Importe Neto]],Imput[[C. Imp.]:[C. Imp.]],$D571,Imput[[PERIODO Imp.]:[PERIODO Imp.]],DA$9)</f>
        <v>0</v>
      </c>
      <c r="DB571" s="693">
        <f>SUMIFS(Imput[[Importe Neto]:[Importe Neto]],Imput[[C. Imp.]:[C. Imp.]],$D571,Imput[[PERIODO Imp.]:[PERIODO Imp.]],DB$9)</f>
        <v>0</v>
      </c>
      <c r="DC571" s="693">
        <f>SUMIFS(Imput[[Importe Neto]:[Importe Neto]],Imput[[C. Imp.]:[C. Imp.]],$D571,Imput[[PERIODO Imp.]:[PERIODO Imp.]],DC$9)</f>
        <v>0</v>
      </c>
      <c r="DD571" s="693">
        <f>SUMIFS(Imput[[Importe Neto]:[Importe Neto]],Imput[[C. Imp.]:[C. Imp.]],$D571,Imput[[PERIODO Imp.]:[PERIODO Imp.]],DD$9)</f>
        <v>0</v>
      </c>
      <c r="DE571" s="693">
        <f>SUMIFS(Imput[[Importe Neto]:[Importe Neto]],Imput[[C. Imp.]:[C. Imp.]],$D571,Imput[[PERIODO Imp.]:[PERIODO Imp.]],DE$9)</f>
        <v>0</v>
      </c>
      <c r="DF571" s="693">
        <f>SUMIFS(Imput[[Importe Neto]:[Importe Neto]],Imput[[C. Imp.]:[C. Imp.]],$D571,Imput[[PERIODO Imp.]:[PERIODO Imp.]],DF$9)</f>
        <v>0</v>
      </c>
      <c r="DG571" s="693">
        <f>SUMIFS(Imput[[Importe Neto]:[Importe Neto]],Imput[[C. Imp.]:[C. Imp.]],$D571,Imput[[PERIODO Imp.]:[PERIODO Imp.]],DG$9)</f>
        <v>0</v>
      </c>
      <c r="DH571" s="694">
        <f>SUMIFS(Imput[[Importe Neto]:[Importe Neto]],Imput[[C. Imp.]:[C. Imp.]],$D571,Imput[[PERIODO Imp.]:[PERIODO Imp.]],DH$9)</f>
        <v>0</v>
      </c>
    </row>
    <row r="572" spans="1:112" s="649" customFormat="1" hidden="1" outlineLevel="1" x14ac:dyDescent="0.3">
      <c r="A572" s="652" t="str">
        <f t="shared" si="212"/>
        <v/>
      </c>
      <c r="B572" s="652"/>
      <c r="C572" s="685"/>
      <c r="D572" s="686" t="s">
        <v>2594</v>
      </c>
      <c r="E572" s="686"/>
      <c r="F572" s="720"/>
      <c r="G572" s="688"/>
      <c r="H572" s="689"/>
      <c r="I572" s="851" t="str">
        <f t="shared" si="213"/>
        <v/>
      </c>
      <c r="J572" s="850" t="str">
        <f t="shared" si="214"/>
        <v/>
      </c>
      <c r="K572" s="667"/>
      <c r="L572" s="858"/>
      <c r="M572" s="859"/>
      <c r="N572" s="859"/>
      <c r="O572" s="859"/>
      <c r="P572" s="859"/>
      <c r="Q572" s="859"/>
      <c r="R572" s="859"/>
      <c r="S572" s="859"/>
      <c r="T572" s="859"/>
      <c r="U572" s="859"/>
      <c r="V572" s="859"/>
      <c r="W572" s="859"/>
      <c r="X572" s="859"/>
      <c r="Y572" s="859"/>
      <c r="Z572" s="860"/>
      <c r="AA572" s="860"/>
      <c r="AB572" s="860"/>
      <c r="AC572" s="860"/>
      <c r="AD572" s="860"/>
      <c r="AE572" s="860"/>
      <c r="AF572" s="860"/>
      <c r="AG572" s="860"/>
      <c r="AH572" s="860"/>
      <c r="AI572" s="860"/>
      <c r="AJ572" s="860"/>
      <c r="AK572" s="860"/>
      <c r="AL572" s="860"/>
      <c r="AM572" s="860"/>
      <c r="AN572" s="860"/>
      <c r="AO572" s="860"/>
      <c r="AP572" s="860"/>
      <c r="AQ572" s="860"/>
      <c r="AR572" s="860"/>
      <c r="AS572" s="860"/>
      <c r="AT572" s="860"/>
      <c r="AU572" s="860"/>
      <c r="AV572" s="860"/>
      <c r="AW572" s="860"/>
      <c r="AX572" s="860"/>
      <c r="AY572" s="860"/>
      <c r="AZ572" s="860"/>
      <c r="BA572" s="860"/>
      <c r="BB572" s="860"/>
      <c r="BC572" s="860"/>
      <c r="BD572" s="860"/>
      <c r="BE572" s="860"/>
      <c r="BF572" s="860"/>
      <c r="BG572" s="860"/>
      <c r="BH572" s="668"/>
      <c r="BI572" s="667"/>
      <c r="BJ572" s="690">
        <f t="shared" si="215"/>
        <v>0</v>
      </c>
      <c r="BK572" s="691">
        <f t="shared" si="216"/>
        <v>0</v>
      </c>
      <c r="BL572" s="654"/>
      <c r="BM572" s="692">
        <f>SUMIFS(Imput[[Importe Neto]:[Importe Neto]],Imput[[C. Imp.]:[C. Imp.]],$D572,Imput[[PERIODO Imp.]:[PERIODO Imp.]],BM$9)</f>
        <v>0</v>
      </c>
      <c r="BN572" s="693">
        <f>SUMIFS(Imput[[Importe Neto]:[Importe Neto]],Imput[[C. Imp.]:[C. Imp.]],$D572,Imput[[PERIODO Imp.]:[PERIODO Imp.]],BN$9)</f>
        <v>0</v>
      </c>
      <c r="BO572" s="693">
        <f>SUMIFS(Imput[[Importe Neto]:[Importe Neto]],Imput[[C. Imp.]:[C. Imp.]],$D572,Imput[[PERIODO Imp.]:[PERIODO Imp.]],BO$9)</f>
        <v>0</v>
      </c>
      <c r="BP572" s="693">
        <f>SUMIFS(Imput[[Importe Neto]:[Importe Neto]],Imput[[C. Imp.]:[C. Imp.]],$D572,Imput[[PERIODO Imp.]:[PERIODO Imp.]],BP$9)</f>
        <v>0</v>
      </c>
      <c r="BQ572" s="693">
        <f>SUMIFS(Imput[[Importe Neto]:[Importe Neto]],Imput[[C. Imp.]:[C. Imp.]],$D572,Imput[[PERIODO Imp.]:[PERIODO Imp.]],BQ$9)</f>
        <v>0</v>
      </c>
      <c r="BR572" s="693">
        <f>SUMIFS(Imput[[Importe Neto]:[Importe Neto]],Imput[[C. Imp.]:[C. Imp.]],$D572,Imput[[PERIODO Imp.]:[PERIODO Imp.]],BR$9)</f>
        <v>0</v>
      </c>
      <c r="BS572" s="693">
        <f>SUMIFS(Imput[[Importe Neto]:[Importe Neto]],Imput[[C. Imp.]:[C. Imp.]],$D572,Imput[[PERIODO Imp.]:[PERIODO Imp.]],BS$9)</f>
        <v>0</v>
      </c>
      <c r="BT572" s="693">
        <f>SUMIFS(Imput[[Importe Neto]:[Importe Neto]],Imput[[C. Imp.]:[C. Imp.]],$D572,Imput[[PERIODO Imp.]:[PERIODO Imp.]],BT$9)</f>
        <v>0</v>
      </c>
      <c r="BU572" s="693">
        <f>SUMIFS(Imput[[Importe Neto]:[Importe Neto]],Imput[[C. Imp.]:[C. Imp.]],$D572,Imput[[PERIODO Imp.]:[PERIODO Imp.]],BU$9)</f>
        <v>0</v>
      </c>
      <c r="BV572" s="693">
        <f>SUMIFS(Imput[[Importe Neto]:[Importe Neto]],Imput[[C. Imp.]:[C. Imp.]],$D572,Imput[[PERIODO Imp.]:[PERIODO Imp.]],BV$9)</f>
        <v>0</v>
      </c>
      <c r="BW572" s="693">
        <f>SUMIFS(Imput[[Importe Neto]:[Importe Neto]],Imput[[C. Imp.]:[C. Imp.]],$D572,Imput[[PERIODO Imp.]:[PERIODO Imp.]],BW$9)</f>
        <v>0</v>
      </c>
      <c r="BX572" s="693">
        <f>SUMIFS(Imput[[Importe Neto]:[Importe Neto]],Imput[[C. Imp.]:[C. Imp.]],$D572,Imput[[PERIODO Imp.]:[PERIODO Imp.]],BX$9)</f>
        <v>0</v>
      </c>
      <c r="BY572" s="693">
        <f>SUMIFS(Imput[[Importe Neto]:[Importe Neto]],Imput[[C. Imp.]:[C. Imp.]],$D572,Imput[[PERIODO Imp.]:[PERIODO Imp.]],BY$9)</f>
        <v>0</v>
      </c>
      <c r="BZ572" s="693">
        <f>SUMIFS(Imput[[Importe Neto]:[Importe Neto]],Imput[[C. Imp.]:[C. Imp.]],$D572,Imput[[PERIODO Imp.]:[PERIODO Imp.]],BZ$9)</f>
        <v>0</v>
      </c>
      <c r="CA572" s="693">
        <f>SUMIFS(Imput[[Importe Neto]:[Importe Neto]],Imput[[C. Imp.]:[C. Imp.]],$D572,Imput[[PERIODO Imp.]:[PERIODO Imp.]],CA$9)</f>
        <v>0</v>
      </c>
      <c r="CB572" s="693">
        <f>SUMIFS(Imput[[Importe Neto]:[Importe Neto]],Imput[[C. Imp.]:[C. Imp.]],$D572,Imput[[PERIODO Imp.]:[PERIODO Imp.]],CB$9)</f>
        <v>0</v>
      </c>
      <c r="CC572" s="693">
        <f>SUMIFS(Imput[[Importe Neto]:[Importe Neto]],Imput[[C. Imp.]:[C. Imp.]],$D572,Imput[[PERIODO Imp.]:[PERIODO Imp.]],CC$9)</f>
        <v>0</v>
      </c>
      <c r="CD572" s="693">
        <f>SUMIFS(Imput[[Importe Neto]:[Importe Neto]],Imput[[C. Imp.]:[C. Imp.]],$D572,Imput[[PERIODO Imp.]:[PERIODO Imp.]],CD$9)</f>
        <v>0</v>
      </c>
      <c r="CE572" s="693">
        <f>SUMIFS(Imput[[Importe Neto]:[Importe Neto]],Imput[[C. Imp.]:[C. Imp.]],$D572,Imput[[PERIODO Imp.]:[PERIODO Imp.]],CE$9)</f>
        <v>0</v>
      </c>
      <c r="CF572" s="693">
        <f>SUMIFS(Imput[[Importe Neto]:[Importe Neto]],Imput[[C. Imp.]:[C. Imp.]],$D572,Imput[[PERIODO Imp.]:[PERIODO Imp.]],CF$9)</f>
        <v>0</v>
      </c>
      <c r="CG572" s="693">
        <f>SUMIFS(Imput[[Importe Neto]:[Importe Neto]],Imput[[C. Imp.]:[C. Imp.]],$D572,Imput[[PERIODO Imp.]:[PERIODO Imp.]],CG$9)</f>
        <v>0</v>
      </c>
      <c r="CH572" s="693">
        <f>SUMIFS(Imput[[Importe Neto]:[Importe Neto]],Imput[[C. Imp.]:[C. Imp.]],$D572,Imput[[PERIODO Imp.]:[PERIODO Imp.]],CH$9)</f>
        <v>0</v>
      </c>
      <c r="CI572" s="693">
        <f>SUMIFS(Imput[[Importe Neto]:[Importe Neto]],Imput[[C. Imp.]:[C. Imp.]],$D572,Imput[[PERIODO Imp.]:[PERIODO Imp.]],CI$9)</f>
        <v>0</v>
      </c>
      <c r="CJ572" s="693">
        <f>SUMIFS(Imput[[Importe Neto]:[Importe Neto]],Imput[[C. Imp.]:[C. Imp.]],$D572,Imput[[PERIODO Imp.]:[PERIODO Imp.]],CJ$9)</f>
        <v>0</v>
      </c>
      <c r="CK572" s="693">
        <f>SUMIFS(Imput[[Importe Neto]:[Importe Neto]],Imput[[C. Imp.]:[C. Imp.]],$D572,Imput[[PERIODO Imp.]:[PERIODO Imp.]],CK$9)</f>
        <v>0</v>
      </c>
      <c r="CL572" s="693">
        <f>SUMIFS(Imput[[Importe Neto]:[Importe Neto]],Imput[[C. Imp.]:[C. Imp.]],$D572,Imput[[PERIODO Imp.]:[PERIODO Imp.]],CL$9)</f>
        <v>0</v>
      </c>
      <c r="CM572" s="693">
        <f>SUMIFS(Imput[[Importe Neto]:[Importe Neto]],Imput[[C. Imp.]:[C. Imp.]],$D572,Imput[[PERIODO Imp.]:[PERIODO Imp.]],CM$9)</f>
        <v>0</v>
      </c>
      <c r="CN572" s="693">
        <f>SUMIFS(Imput[[Importe Neto]:[Importe Neto]],Imput[[C. Imp.]:[C. Imp.]],$D572,Imput[[PERIODO Imp.]:[PERIODO Imp.]],CN$9)</f>
        <v>0</v>
      </c>
      <c r="CO572" s="693">
        <f>SUMIFS(Imput[[Importe Neto]:[Importe Neto]],Imput[[C. Imp.]:[C. Imp.]],$D572,Imput[[PERIODO Imp.]:[PERIODO Imp.]],CO$9)</f>
        <v>0</v>
      </c>
      <c r="CP572" s="693">
        <f>SUMIFS(Imput[[Importe Neto]:[Importe Neto]],Imput[[C. Imp.]:[C. Imp.]],$D572,Imput[[PERIODO Imp.]:[PERIODO Imp.]],CP$9)</f>
        <v>0</v>
      </c>
      <c r="CQ572" s="693">
        <f>SUMIFS(Imput[[Importe Neto]:[Importe Neto]],Imput[[C. Imp.]:[C. Imp.]],$D572,Imput[[PERIODO Imp.]:[PERIODO Imp.]],CQ$9)</f>
        <v>0</v>
      </c>
      <c r="CR572" s="693">
        <f>SUMIFS(Imput[[Importe Neto]:[Importe Neto]],Imput[[C. Imp.]:[C. Imp.]],$D572,Imput[[PERIODO Imp.]:[PERIODO Imp.]],CR$9)</f>
        <v>0</v>
      </c>
      <c r="CS572" s="693">
        <f>SUMIFS(Imput[[Importe Neto]:[Importe Neto]],Imput[[C. Imp.]:[C. Imp.]],$D572,Imput[[PERIODO Imp.]:[PERIODO Imp.]],CS$9)</f>
        <v>0</v>
      </c>
      <c r="CT572" s="693">
        <f>SUMIFS(Imput[[Importe Neto]:[Importe Neto]],Imput[[C. Imp.]:[C. Imp.]],$D572,Imput[[PERIODO Imp.]:[PERIODO Imp.]],CT$9)</f>
        <v>0</v>
      </c>
      <c r="CU572" s="693">
        <f>SUMIFS(Imput[[Importe Neto]:[Importe Neto]],Imput[[C. Imp.]:[C. Imp.]],$D572,Imput[[PERIODO Imp.]:[PERIODO Imp.]],CU$9)</f>
        <v>0</v>
      </c>
      <c r="CV572" s="693">
        <f>SUMIFS(Imput[[Importe Neto]:[Importe Neto]],Imput[[C. Imp.]:[C. Imp.]],$D572,Imput[[PERIODO Imp.]:[PERIODO Imp.]],CV$9)</f>
        <v>0</v>
      </c>
      <c r="CW572" s="693">
        <f>SUMIFS(Imput[[Importe Neto]:[Importe Neto]],Imput[[C. Imp.]:[C. Imp.]],$D572,Imput[[PERIODO Imp.]:[PERIODO Imp.]],CW$9)</f>
        <v>0</v>
      </c>
      <c r="CX572" s="693">
        <f>SUMIFS(Imput[[Importe Neto]:[Importe Neto]],Imput[[C. Imp.]:[C. Imp.]],$D572,Imput[[PERIODO Imp.]:[PERIODO Imp.]],CX$9)</f>
        <v>0</v>
      </c>
      <c r="CY572" s="693">
        <f>SUMIFS(Imput[[Importe Neto]:[Importe Neto]],Imput[[C. Imp.]:[C. Imp.]],$D572,Imput[[PERIODO Imp.]:[PERIODO Imp.]],CY$9)</f>
        <v>0</v>
      </c>
      <c r="CZ572" s="693">
        <f>SUMIFS(Imput[[Importe Neto]:[Importe Neto]],Imput[[C. Imp.]:[C. Imp.]],$D572,Imput[[PERIODO Imp.]:[PERIODO Imp.]],CZ$9)</f>
        <v>0</v>
      </c>
      <c r="DA572" s="693">
        <f>SUMIFS(Imput[[Importe Neto]:[Importe Neto]],Imput[[C. Imp.]:[C. Imp.]],$D572,Imput[[PERIODO Imp.]:[PERIODO Imp.]],DA$9)</f>
        <v>0</v>
      </c>
      <c r="DB572" s="693">
        <f>SUMIFS(Imput[[Importe Neto]:[Importe Neto]],Imput[[C. Imp.]:[C. Imp.]],$D572,Imput[[PERIODO Imp.]:[PERIODO Imp.]],DB$9)</f>
        <v>0</v>
      </c>
      <c r="DC572" s="693">
        <f>SUMIFS(Imput[[Importe Neto]:[Importe Neto]],Imput[[C. Imp.]:[C. Imp.]],$D572,Imput[[PERIODO Imp.]:[PERIODO Imp.]],DC$9)</f>
        <v>0</v>
      </c>
      <c r="DD572" s="693">
        <f>SUMIFS(Imput[[Importe Neto]:[Importe Neto]],Imput[[C. Imp.]:[C. Imp.]],$D572,Imput[[PERIODO Imp.]:[PERIODO Imp.]],DD$9)</f>
        <v>0</v>
      </c>
      <c r="DE572" s="693">
        <f>SUMIFS(Imput[[Importe Neto]:[Importe Neto]],Imput[[C. Imp.]:[C. Imp.]],$D572,Imput[[PERIODO Imp.]:[PERIODO Imp.]],DE$9)</f>
        <v>0</v>
      </c>
      <c r="DF572" s="693">
        <f>SUMIFS(Imput[[Importe Neto]:[Importe Neto]],Imput[[C. Imp.]:[C. Imp.]],$D572,Imput[[PERIODO Imp.]:[PERIODO Imp.]],DF$9)</f>
        <v>0</v>
      </c>
      <c r="DG572" s="693">
        <f>SUMIFS(Imput[[Importe Neto]:[Importe Neto]],Imput[[C. Imp.]:[C. Imp.]],$D572,Imput[[PERIODO Imp.]:[PERIODO Imp.]],DG$9)</f>
        <v>0</v>
      </c>
      <c r="DH572" s="694">
        <f>SUMIFS(Imput[[Importe Neto]:[Importe Neto]],Imput[[C. Imp.]:[C. Imp.]],$D572,Imput[[PERIODO Imp.]:[PERIODO Imp.]],DH$9)</f>
        <v>0</v>
      </c>
    </row>
    <row r="573" spans="1:112" s="649" customFormat="1" hidden="1" outlineLevel="1" x14ac:dyDescent="0.3">
      <c r="A573" s="652" t="str">
        <f t="shared" si="212"/>
        <v/>
      </c>
      <c r="B573" s="652"/>
      <c r="C573" s="685"/>
      <c r="D573" s="686" t="s">
        <v>2595</v>
      </c>
      <c r="E573" s="686"/>
      <c r="F573" s="720"/>
      <c r="G573" s="688"/>
      <c r="H573" s="689"/>
      <c r="I573" s="851" t="str">
        <f t="shared" si="213"/>
        <v/>
      </c>
      <c r="J573" s="850" t="str">
        <f t="shared" si="214"/>
        <v/>
      </c>
      <c r="K573" s="667"/>
      <c r="L573" s="858"/>
      <c r="M573" s="859"/>
      <c r="N573" s="859"/>
      <c r="O573" s="859"/>
      <c r="P573" s="859"/>
      <c r="Q573" s="859"/>
      <c r="R573" s="859"/>
      <c r="S573" s="859"/>
      <c r="T573" s="859"/>
      <c r="U573" s="859"/>
      <c r="V573" s="859"/>
      <c r="W573" s="859"/>
      <c r="X573" s="859"/>
      <c r="Y573" s="859"/>
      <c r="Z573" s="860"/>
      <c r="AA573" s="860"/>
      <c r="AB573" s="860"/>
      <c r="AC573" s="860"/>
      <c r="AD573" s="860"/>
      <c r="AE573" s="860"/>
      <c r="AF573" s="860"/>
      <c r="AG573" s="860"/>
      <c r="AH573" s="860"/>
      <c r="AI573" s="860"/>
      <c r="AJ573" s="860"/>
      <c r="AK573" s="860"/>
      <c r="AL573" s="860"/>
      <c r="AM573" s="860"/>
      <c r="AN573" s="860"/>
      <c r="AO573" s="860"/>
      <c r="AP573" s="860"/>
      <c r="AQ573" s="860"/>
      <c r="AR573" s="860"/>
      <c r="AS573" s="860"/>
      <c r="AT573" s="860"/>
      <c r="AU573" s="860"/>
      <c r="AV573" s="860"/>
      <c r="AW573" s="860"/>
      <c r="AX573" s="860"/>
      <c r="AY573" s="860"/>
      <c r="AZ573" s="860"/>
      <c r="BA573" s="860"/>
      <c r="BB573" s="860"/>
      <c r="BC573" s="860"/>
      <c r="BD573" s="860"/>
      <c r="BE573" s="860"/>
      <c r="BF573" s="860"/>
      <c r="BG573" s="860"/>
      <c r="BH573" s="668"/>
      <c r="BI573" s="667"/>
      <c r="BJ573" s="690">
        <f t="shared" si="215"/>
        <v>0</v>
      </c>
      <c r="BK573" s="691">
        <f t="shared" si="216"/>
        <v>0</v>
      </c>
      <c r="BL573" s="654"/>
      <c r="BM573" s="692">
        <f>SUMIFS(Imput[[Importe Neto]:[Importe Neto]],Imput[[C. Imp.]:[C. Imp.]],$D573,Imput[[PERIODO Imp.]:[PERIODO Imp.]],BM$9)</f>
        <v>0</v>
      </c>
      <c r="BN573" s="693">
        <f>SUMIFS(Imput[[Importe Neto]:[Importe Neto]],Imput[[C. Imp.]:[C. Imp.]],$D573,Imput[[PERIODO Imp.]:[PERIODO Imp.]],BN$9)</f>
        <v>0</v>
      </c>
      <c r="BO573" s="693">
        <f>SUMIFS(Imput[[Importe Neto]:[Importe Neto]],Imput[[C. Imp.]:[C. Imp.]],$D573,Imput[[PERIODO Imp.]:[PERIODO Imp.]],BO$9)</f>
        <v>0</v>
      </c>
      <c r="BP573" s="693">
        <f>SUMIFS(Imput[[Importe Neto]:[Importe Neto]],Imput[[C. Imp.]:[C. Imp.]],$D573,Imput[[PERIODO Imp.]:[PERIODO Imp.]],BP$9)</f>
        <v>0</v>
      </c>
      <c r="BQ573" s="693">
        <f>SUMIFS(Imput[[Importe Neto]:[Importe Neto]],Imput[[C. Imp.]:[C. Imp.]],$D573,Imput[[PERIODO Imp.]:[PERIODO Imp.]],BQ$9)</f>
        <v>0</v>
      </c>
      <c r="BR573" s="693">
        <f>SUMIFS(Imput[[Importe Neto]:[Importe Neto]],Imput[[C. Imp.]:[C. Imp.]],$D573,Imput[[PERIODO Imp.]:[PERIODO Imp.]],BR$9)</f>
        <v>0</v>
      </c>
      <c r="BS573" s="693">
        <f>SUMIFS(Imput[[Importe Neto]:[Importe Neto]],Imput[[C. Imp.]:[C. Imp.]],$D573,Imput[[PERIODO Imp.]:[PERIODO Imp.]],BS$9)</f>
        <v>0</v>
      </c>
      <c r="BT573" s="693">
        <f>SUMIFS(Imput[[Importe Neto]:[Importe Neto]],Imput[[C. Imp.]:[C. Imp.]],$D573,Imput[[PERIODO Imp.]:[PERIODO Imp.]],BT$9)</f>
        <v>0</v>
      </c>
      <c r="BU573" s="693">
        <f>SUMIFS(Imput[[Importe Neto]:[Importe Neto]],Imput[[C. Imp.]:[C. Imp.]],$D573,Imput[[PERIODO Imp.]:[PERIODO Imp.]],BU$9)</f>
        <v>0</v>
      </c>
      <c r="BV573" s="693">
        <f>SUMIFS(Imput[[Importe Neto]:[Importe Neto]],Imput[[C. Imp.]:[C. Imp.]],$D573,Imput[[PERIODO Imp.]:[PERIODO Imp.]],BV$9)</f>
        <v>0</v>
      </c>
      <c r="BW573" s="693">
        <f>SUMIFS(Imput[[Importe Neto]:[Importe Neto]],Imput[[C. Imp.]:[C. Imp.]],$D573,Imput[[PERIODO Imp.]:[PERIODO Imp.]],BW$9)</f>
        <v>0</v>
      </c>
      <c r="BX573" s="693">
        <f>SUMIFS(Imput[[Importe Neto]:[Importe Neto]],Imput[[C. Imp.]:[C. Imp.]],$D573,Imput[[PERIODO Imp.]:[PERIODO Imp.]],BX$9)</f>
        <v>0</v>
      </c>
      <c r="BY573" s="693">
        <f>SUMIFS(Imput[[Importe Neto]:[Importe Neto]],Imput[[C. Imp.]:[C. Imp.]],$D573,Imput[[PERIODO Imp.]:[PERIODO Imp.]],BY$9)</f>
        <v>0</v>
      </c>
      <c r="BZ573" s="693">
        <f>SUMIFS(Imput[[Importe Neto]:[Importe Neto]],Imput[[C. Imp.]:[C. Imp.]],$D573,Imput[[PERIODO Imp.]:[PERIODO Imp.]],BZ$9)</f>
        <v>0</v>
      </c>
      <c r="CA573" s="693">
        <f>SUMIFS(Imput[[Importe Neto]:[Importe Neto]],Imput[[C. Imp.]:[C. Imp.]],$D573,Imput[[PERIODO Imp.]:[PERIODO Imp.]],CA$9)</f>
        <v>0</v>
      </c>
      <c r="CB573" s="693">
        <f>SUMIFS(Imput[[Importe Neto]:[Importe Neto]],Imput[[C. Imp.]:[C. Imp.]],$D573,Imput[[PERIODO Imp.]:[PERIODO Imp.]],CB$9)</f>
        <v>0</v>
      </c>
      <c r="CC573" s="693">
        <f>SUMIFS(Imput[[Importe Neto]:[Importe Neto]],Imput[[C. Imp.]:[C. Imp.]],$D573,Imput[[PERIODO Imp.]:[PERIODO Imp.]],CC$9)</f>
        <v>0</v>
      </c>
      <c r="CD573" s="693">
        <f>SUMIFS(Imput[[Importe Neto]:[Importe Neto]],Imput[[C. Imp.]:[C. Imp.]],$D573,Imput[[PERIODO Imp.]:[PERIODO Imp.]],CD$9)</f>
        <v>0</v>
      </c>
      <c r="CE573" s="693">
        <f>SUMIFS(Imput[[Importe Neto]:[Importe Neto]],Imput[[C. Imp.]:[C. Imp.]],$D573,Imput[[PERIODO Imp.]:[PERIODO Imp.]],CE$9)</f>
        <v>0</v>
      </c>
      <c r="CF573" s="693">
        <f>SUMIFS(Imput[[Importe Neto]:[Importe Neto]],Imput[[C. Imp.]:[C. Imp.]],$D573,Imput[[PERIODO Imp.]:[PERIODO Imp.]],CF$9)</f>
        <v>0</v>
      </c>
      <c r="CG573" s="693">
        <f>SUMIFS(Imput[[Importe Neto]:[Importe Neto]],Imput[[C. Imp.]:[C. Imp.]],$D573,Imput[[PERIODO Imp.]:[PERIODO Imp.]],CG$9)</f>
        <v>0</v>
      </c>
      <c r="CH573" s="693">
        <f>SUMIFS(Imput[[Importe Neto]:[Importe Neto]],Imput[[C. Imp.]:[C. Imp.]],$D573,Imput[[PERIODO Imp.]:[PERIODO Imp.]],CH$9)</f>
        <v>0</v>
      </c>
      <c r="CI573" s="693">
        <f>SUMIFS(Imput[[Importe Neto]:[Importe Neto]],Imput[[C. Imp.]:[C. Imp.]],$D573,Imput[[PERIODO Imp.]:[PERIODO Imp.]],CI$9)</f>
        <v>0</v>
      </c>
      <c r="CJ573" s="693">
        <f>SUMIFS(Imput[[Importe Neto]:[Importe Neto]],Imput[[C. Imp.]:[C. Imp.]],$D573,Imput[[PERIODO Imp.]:[PERIODO Imp.]],CJ$9)</f>
        <v>0</v>
      </c>
      <c r="CK573" s="693">
        <f>SUMIFS(Imput[[Importe Neto]:[Importe Neto]],Imput[[C. Imp.]:[C. Imp.]],$D573,Imput[[PERIODO Imp.]:[PERIODO Imp.]],CK$9)</f>
        <v>0</v>
      </c>
      <c r="CL573" s="693">
        <f>SUMIFS(Imput[[Importe Neto]:[Importe Neto]],Imput[[C. Imp.]:[C. Imp.]],$D573,Imput[[PERIODO Imp.]:[PERIODO Imp.]],CL$9)</f>
        <v>0</v>
      </c>
      <c r="CM573" s="693">
        <f>SUMIFS(Imput[[Importe Neto]:[Importe Neto]],Imput[[C. Imp.]:[C. Imp.]],$D573,Imput[[PERIODO Imp.]:[PERIODO Imp.]],CM$9)</f>
        <v>0</v>
      </c>
      <c r="CN573" s="693">
        <f>SUMIFS(Imput[[Importe Neto]:[Importe Neto]],Imput[[C. Imp.]:[C. Imp.]],$D573,Imput[[PERIODO Imp.]:[PERIODO Imp.]],CN$9)</f>
        <v>0</v>
      </c>
      <c r="CO573" s="693">
        <f>SUMIFS(Imput[[Importe Neto]:[Importe Neto]],Imput[[C. Imp.]:[C. Imp.]],$D573,Imput[[PERIODO Imp.]:[PERIODO Imp.]],CO$9)</f>
        <v>0</v>
      </c>
      <c r="CP573" s="693">
        <f>SUMIFS(Imput[[Importe Neto]:[Importe Neto]],Imput[[C. Imp.]:[C. Imp.]],$D573,Imput[[PERIODO Imp.]:[PERIODO Imp.]],CP$9)</f>
        <v>0</v>
      </c>
      <c r="CQ573" s="693">
        <f>SUMIFS(Imput[[Importe Neto]:[Importe Neto]],Imput[[C. Imp.]:[C. Imp.]],$D573,Imput[[PERIODO Imp.]:[PERIODO Imp.]],CQ$9)</f>
        <v>0</v>
      </c>
      <c r="CR573" s="693">
        <f>SUMIFS(Imput[[Importe Neto]:[Importe Neto]],Imput[[C. Imp.]:[C. Imp.]],$D573,Imput[[PERIODO Imp.]:[PERIODO Imp.]],CR$9)</f>
        <v>0</v>
      </c>
      <c r="CS573" s="693">
        <f>SUMIFS(Imput[[Importe Neto]:[Importe Neto]],Imput[[C. Imp.]:[C. Imp.]],$D573,Imput[[PERIODO Imp.]:[PERIODO Imp.]],CS$9)</f>
        <v>0</v>
      </c>
      <c r="CT573" s="693">
        <f>SUMIFS(Imput[[Importe Neto]:[Importe Neto]],Imput[[C. Imp.]:[C. Imp.]],$D573,Imput[[PERIODO Imp.]:[PERIODO Imp.]],CT$9)</f>
        <v>0</v>
      </c>
      <c r="CU573" s="693">
        <f>SUMIFS(Imput[[Importe Neto]:[Importe Neto]],Imput[[C. Imp.]:[C. Imp.]],$D573,Imput[[PERIODO Imp.]:[PERIODO Imp.]],CU$9)</f>
        <v>0</v>
      </c>
      <c r="CV573" s="693">
        <f>SUMIFS(Imput[[Importe Neto]:[Importe Neto]],Imput[[C. Imp.]:[C. Imp.]],$D573,Imput[[PERIODO Imp.]:[PERIODO Imp.]],CV$9)</f>
        <v>0</v>
      </c>
      <c r="CW573" s="693">
        <f>SUMIFS(Imput[[Importe Neto]:[Importe Neto]],Imput[[C. Imp.]:[C. Imp.]],$D573,Imput[[PERIODO Imp.]:[PERIODO Imp.]],CW$9)</f>
        <v>0</v>
      </c>
      <c r="CX573" s="693">
        <f>SUMIFS(Imput[[Importe Neto]:[Importe Neto]],Imput[[C. Imp.]:[C. Imp.]],$D573,Imput[[PERIODO Imp.]:[PERIODO Imp.]],CX$9)</f>
        <v>0</v>
      </c>
      <c r="CY573" s="693">
        <f>SUMIFS(Imput[[Importe Neto]:[Importe Neto]],Imput[[C. Imp.]:[C. Imp.]],$D573,Imput[[PERIODO Imp.]:[PERIODO Imp.]],CY$9)</f>
        <v>0</v>
      </c>
      <c r="CZ573" s="693">
        <f>SUMIFS(Imput[[Importe Neto]:[Importe Neto]],Imput[[C. Imp.]:[C. Imp.]],$D573,Imput[[PERIODO Imp.]:[PERIODO Imp.]],CZ$9)</f>
        <v>0</v>
      </c>
      <c r="DA573" s="693">
        <f>SUMIFS(Imput[[Importe Neto]:[Importe Neto]],Imput[[C. Imp.]:[C. Imp.]],$D573,Imput[[PERIODO Imp.]:[PERIODO Imp.]],DA$9)</f>
        <v>0</v>
      </c>
      <c r="DB573" s="693">
        <f>SUMIFS(Imput[[Importe Neto]:[Importe Neto]],Imput[[C. Imp.]:[C. Imp.]],$D573,Imput[[PERIODO Imp.]:[PERIODO Imp.]],DB$9)</f>
        <v>0</v>
      </c>
      <c r="DC573" s="693">
        <f>SUMIFS(Imput[[Importe Neto]:[Importe Neto]],Imput[[C. Imp.]:[C. Imp.]],$D573,Imput[[PERIODO Imp.]:[PERIODO Imp.]],DC$9)</f>
        <v>0</v>
      </c>
      <c r="DD573" s="693">
        <f>SUMIFS(Imput[[Importe Neto]:[Importe Neto]],Imput[[C. Imp.]:[C. Imp.]],$D573,Imput[[PERIODO Imp.]:[PERIODO Imp.]],DD$9)</f>
        <v>0</v>
      </c>
      <c r="DE573" s="693">
        <f>SUMIFS(Imput[[Importe Neto]:[Importe Neto]],Imput[[C. Imp.]:[C. Imp.]],$D573,Imput[[PERIODO Imp.]:[PERIODO Imp.]],DE$9)</f>
        <v>0</v>
      </c>
      <c r="DF573" s="693">
        <f>SUMIFS(Imput[[Importe Neto]:[Importe Neto]],Imput[[C. Imp.]:[C. Imp.]],$D573,Imput[[PERIODO Imp.]:[PERIODO Imp.]],DF$9)</f>
        <v>0</v>
      </c>
      <c r="DG573" s="693">
        <f>SUMIFS(Imput[[Importe Neto]:[Importe Neto]],Imput[[C. Imp.]:[C. Imp.]],$D573,Imput[[PERIODO Imp.]:[PERIODO Imp.]],DG$9)</f>
        <v>0</v>
      </c>
      <c r="DH573" s="694">
        <f>SUMIFS(Imput[[Importe Neto]:[Importe Neto]],Imput[[C. Imp.]:[C. Imp.]],$D573,Imput[[PERIODO Imp.]:[PERIODO Imp.]],DH$9)</f>
        <v>0</v>
      </c>
    </row>
    <row r="574" spans="1:112" s="649" customFormat="1" hidden="1" outlineLevel="1" x14ac:dyDescent="0.3">
      <c r="A574" s="652" t="str">
        <f t="shared" si="212"/>
        <v/>
      </c>
      <c r="B574" s="652"/>
      <c r="C574" s="685"/>
      <c r="D574" s="686" t="s">
        <v>2596</v>
      </c>
      <c r="E574" s="686"/>
      <c r="F574" s="720"/>
      <c r="G574" s="688"/>
      <c r="H574" s="689"/>
      <c r="I574" s="851" t="str">
        <f t="shared" si="213"/>
        <v/>
      </c>
      <c r="J574" s="850" t="str">
        <f t="shared" si="214"/>
        <v/>
      </c>
      <c r="K574" s="667"/>
      <c r="L574" s="858"/>
      <c r="M574" s="859"/>
      <c r="N574" s="859"/>
      <c r="O574" s="859"/>
      <c r="P574" s="859"/>
      <c r="Q574" s="859"/>
      <c r="R574" s="859"/>
      <c r="S574" s="859"/>
      <c r="T574" s="859"/>
      <c r="U574" s="859"/>
      <c r="V574" s="859"/>
      <c r="W574" s="859"/>
      <c r="X574" s="859"/>
      <c r="Y574" s="859"/>
      <c r="Z574" s="860"/>
      <c r="AA574" s="860"/>
      <c r="AB574" s="860"/>
      <c r="AC574" s="860"/>
      <c r="AD574" s="860"/>
      <c r="AE574" s="860"/>
      <c r="AF574" s="860"/>
      <c r="AG574" s="860"/>
      <c r="AH574" s="860"/>
      <c r="AI574" s="860"/>
      <c r="AJ574" s="860"/>
      <c r="AK574" s="860"/>
      <c r="AL574" s="860"/>
      <c r="AM574" s="860"/>
      <c r="AN574" s="860"/>
      <c r="AO574" s="860"/>
      <c r="AP574" s="860"/>
      <c r="AQ574" s="860"/>
      <c r="AR574" s="860"/>
      <c r="AS574" s="860"/>
      <c r="AT574" s="860"/>
      <c r="AU574" s="860"/>
      <c r="AV574" s="860"/>
      <c r="AW574" s="860"/>
      <c r="AX574" s="860"/>
      <c r="AY574" s="860"/>
      <c r="AZ574" s="860"/>
      <c r="BA574" s="860"/>
      <c r="BB574" s="860"/>
      <c r="BC574" s="860"/>
      <c r="BD574" s="860"/>
      <c r="BE574" s="860"/>
      <c r="BF574" s="860"/>
      <c r="BG574" s="860"/>
      <c r="BH574" s="668"/>
      <c r="BI574" s="667"/>
      <c r="BJ574" s="690">
        <f t="shared" si="215"/>
        <v>0</v>
      </c>
      <c r="BK574" s="691">
        <f t="shared" si="216"/>
        <v>0</v>
      </c>
      <c r="BL574" s="654"/>
      <c r="BM574" s="692">
        <f>SUMIFS(Imput[[Importe Neto]:[Importe Neto]],Imput[[C. Imp.]:[C. Imp.]],$D574,Imput[[PERIODO Imp.]:[PERIODO Imp.]],BM$9)</f>
        <v>0</v>
      </c>
      <c r="BN574" s="693">
        <f>SUMIFS(Imput[[Importe Neto]:[Importe Neto]],Imput[[C. Imp.]:[C. Imp.]],$D574,Imput[[PERIODO Imp.]:[PERIODO Imp.]],BN$9)</f>
        <v>0</v>
      </c>
      <c r="BO574" s="693">
        <f>SUMIFS(Imput[[Importe Neto]:[Importe Neto]],Imput[[C. Imp.]:[C. Imp.]],$D574,Imput[[PERIODO Imp.]:[PERIODO Imp.]],BO$9)</f>
        <v>0</v>
      </c>
      <c r="BP574" s="693">
        <f>SUMIFS(Imput[[Importe Neto]:[Importe Neto]],Imput[[C. Imp.]:[C. Imp.]],$D574,Imput[[PERIODO Imp.]:[PERIODO Imp.]],BP$9)</f>
        <v>0</v>
      </c>
      <c r="BQ574" s="693">
        <f>SUMIFS(Imput[[Importe Neto]:[Importe Neto]],Imput[[C. Imp.]:[C. Imp.]],$D574,Imput[[PERIODO Imp.]:[PERIODO Imp.]],BQ$9)</f>
        <v>0</v>
      </c>
      <c r="BR574" s="693">
        <f>SUMIFS(Imput[[Importe Neto]:[Importe Neto]],Imput[[C. Imp.]:[C. Imp.]],$D574,Imput[[PERIODO Imp.]:[PERIODO Imp.]],BR$9)</f>
        <v>0</v>
      </c>
      <c r="BS574" s="693">
        <f>SUMIFS(Imput[[Importe Neto]:[Importe Neto]],Imput[[C. Imp.]:[C. Imp.]],$D574,Imput[[PERIODO Imp.]:[PERIODO Imp.]],BS$9)</f>
        <v>0</v>
      </c>
      <c r="BT574" s="693">
        <f>SUMIFS(Imput[[Importe Neto]:[Importe Neto]],Imput[[C. Imp.]:[C. Imp.]],$D574,Imput[[PERIODO Imp.]:[PERIODO Imp.]],BT$9)</f>
        <v>0</v>
      </c>
      <c r="BU574" s="693">
        <f>SUMIFS(Imput[[Importe Neto]:[Importe Neto]],Imput[[C. Imp.]:[C. Imp.]],$D574,Imput[[PERIODO Imp.]:[PERIODO Imp.]],BU$9)</f>
        <v>0</v>
      </c>
      <c r="BV574" s="693">
        <f>SUMIFS(Imput[[Importe Neto]:[Importe Neto]],Imput[[C. Imp.]:[C. Imp.]],$D574,Imput[[PERIODO Imp.]:[PERIODO Imp.]],BV$9)</f>
        <v>0</v>
      </c>
      <c r="BW574" s="693">
        <f>SUMIFS(Imput[[Importe Neto]:[Importe Neto]],Imput[[C. Imp.]:[C. Imp.]],$D574,Imput[[PERIODO Imp.]:[PERIODO Imp.]],BW$9)</f>
        <v>0</v>
      </c>
      <c r="BX574" s="693">
        <f>SUMIFS(Imput[[Importe Neto]:[Importe Neto]],Imput[[C. Imp.]:[C. Imp.]],$D574,Imput[[PERIODO Imp.]:[PERIODO Imp.]],BX$9)</f>
        <v>0</v>
      </c>
      <c r="BY574" s="693">
        <f>SUMIFS(Imput[[Importe Neto]:[Importe Neto]],Imput[[C. Imp.]:[C. Imp.]],$D574,Imput[[PERIODO Imp.]:[PERIODO Imp.]],BY$9)</f>
        <v>0</v>
      </c>
      <c r="BZ574" s="693">
        <f>SUMIFS(Imput[[Importe Neto]:[Importe Neto]],Imput[[C. Imp.]:[C. Imp.]],$D574,Imput[[PERIODO Imp.]:[PERIODO Imp.]],BZ$9)</f>
        <v>0</v>
      </c>
      <c r="CA574" s="693">
        <f>SUMIFS(Imput[[Importe Neto]:[Importe Neto]],Imput[[C. Imp.]:[C. Imp.]],$D574,Imput[[PERIODO Imp.]:[PERIODO Imp.]],CA$9)</f>
        <v>0</v>
      </c>
      <c r="CB574" s="693">
        <f>SUMIFS(Imput[[Importe Neto]:[Importe Neto]],Imput[[C. Imp.]:[C. Imp.]],$D574,Imput[[PERIODO Imp.]:[PERIODO Imp.]],CB$9)</f>
        <v>0</v>
      </c>
      <c r="CC574" s="693">
        <f>SUMIFS(Imput[[Importe Neto]:[Importe Neto]],Imput[[C. Imp.]:[C. Imp.]],$D574,Imput[[PERIODO Imp.]:[PERIODO Imp.]],CC$9)</f>
        <v>0</v>
      </c>
      <c r="CD574" s="693">
        <f>SUMIFS(Imput[[Importe Neto]:[Importe Neto]],Imput[[C. Imp.]:[C. Imp.]],$D574,Imput[[PERIODO Imp.]:[PERIODO Imp.]],CD$9)</f>
        <v>0</v>
      </c>
      <c r="CE574" s="693">
        <f>SUMIFS(Imput[[Importe Neto]:[Importe Neto]],Imput[[C. Imp.]:[C. Imp.]],$D574,Imput[[PERIODO Imp.]:[PERIODO Imp.]],CE$9)</f>
        <v>0</v>
      </c>
      <c r="CF574" s="693">
        <f>SUMIFS(Imput[[Importe Neto]:[Importe Neto]],Imput[[C. Imp.]:[C. Imp.]],$D574,Imput[[PERIODO Imp.]:[PERIODO Imp.]],CF$9)</f>
        <v>0</v>
      </c>
      <c r="CG574" s="693">
        <f>SUMIFS(Imput[[Importe Neto]:[Importe Neto]],Imput[[C. Imp.]:[C. Imp.]],$D574,Imput[[PERIODO Imp.]:[PERIODO Imp.]],CG$9)</f>
        <v>0</v>
      </c>
      <c r="CH574" s="693">
        <f>SUMIFS(Imput[[Importe Neto]:[Importe Neto]],Imput[[C. Imp.]:[C. Imp.]],$D574,Imput[[PERIODO Imp.]:[PERIODO Imp.]],CH$9)</f>
        <v>0</v>
      </c>
      <c r="CI574" s="693">
        <f>SUMIFS(Imput[[Importe Neto]:[Importe Neto]],Imput[[C. Imp.]:[C. Imp.]],$D574,Imput[[PERIODO Imp.]:[PERIODO Imp.]],CI$9)</f>
        <v>0</v>
      </c>
      <c r="CJ574" s="693">
        <f>SUMIFS(Imput[[Importe Neto]:[Importe Neto]],Imput[[C. Imp.]:[C. Imp.]],$D574,Imput[[PERIODO Imp.]:[PERIODO Imp.]],CJ$9)</f>
        <v>0</v>
      </c>
      <c r="CK574" s="693">
        <f>SUMIFS(Imput[[Importe Neto]:[Importe Neto]],Imput[[C. Imp.]:[C. Imp.]],$D574,Imput[[PERIODO Imp.]:[PERIODO Imp.]],CK$9)</f>
        <v>0</v>
      </c>
      <c r="CL574" s="693">
        <f>SUMIFS(Imput[[Importe Neto]:[Importe Neto]],Imput[[C. Imp.]:[C. Imp.]],$D574,Imput[[PERIODO Imp.]:[PERIODO Imp.]],CL$9)</f>
        <v>0</v>
      </c>
      <c r="CM574" s="693">
        <f>SUMIFS(Imput[[Importe Neto]:[Importe Neto]],Imput[[C. Imp.]:[C. Imp.]],$D574,Imput[[PERIODO Imp.]:[PERIODO Imp.]],CM$9)</f>
        <v>0</v>
      </c>
      <c r="CN574" s="693">
        <f>SUMIFS(Imput[[Importe Neto]:[Importe Neto]],Imput[[C. Imp.]:[C. Imp.]],$D574,Imput[[PERIODO Imp.]:[PERIODO Imp.]],CN$9)</f>
        <v>0</v>
      </c>
      <c r="CO574" s="693">
        <f>SUMIFS(Imput[[Importe Neto]:[Importe Neto]],Imput[[C. Imp.]:[C. Imp.]],$D574,Imput[[PERIODO Imp.]:[PERIODO Imp.]],CO$9)</f>
        <v>0</v>
      </c>
      <c r="CP574" s="693">
        <f>SUMIFS(Imput[[Importe Neto]:[Importe Neto]],Imput[[C. Imp.]:[C. Imp.]],$D574,Imput[[PERIODO Imp.]:[PERIODO Imp.]],CP$9)</f>
        <v>0</v>
      </c>
      <c r="CQ574" s="693">
        <f>SUMIFS(Imput[[Importe Neto]:[Importe Neto]],Imput[[C. Imp.]:[C. Imp.]],$D574,Imput[[PERIODO Imp.]:[PERIODO Imp.]],CQ$9)</f>
        <v>0</v>
      </c>
      <c r="CR574" s="693">
        <f>SUMIFS(Imput[[Importe Neto]:[Importe Neto]],Imput[[C. Imp.]:[C. Imp.]],$D574,Imput[[PERIODO Imp.]:[PERIODO Imp.]],CR$9)</f>
        <v>0</v>
      </c>
      <c r="CS574" s="693">
        <f>SUMIFS(Imput[[Importe Neto]:[Importe Neto]],Imput[[C. Imp.]:[C. Imp.]],$D574,Imput[[PERIODO Imp.]:[PERIODO Imp.]],CS$9)</f>
        <v>0</v>
      </c>
      <c r="CT574" s="693">
        <f>SUMIFS(Imput[[Importe Neto]:[Importe Neto]],Imput[[C. Imp.]:[C. Imp.]],$D574,Imput[[PERIODO Imp.]:[PERIODO Imp.]],CT$9)</f>
        <v>0</v>
      </c>
      <c r="CU574" s="693">
        <f>SUMIFS(Imput[[Importe Neto]:[Importe Neto]],Imput[[C. Imp.]:[C. Imp.]],$D574,Imput[[PERIODO Imp.]:[PERIODO Imp.]],CU$9)</f>
        <v>0</v>
      </c>
      <c r="CV574" s="693">
        <f>SUMIFS(Imput[[Importe Neto]:[Importe Neto]],Imput[[C. Imp.]:[C. Imp.]],$D574,Imput[[PERIODO Imp.]:[PERIODO Imp.]],CV$9)</f>
        <v>0</v>
      </c>
      <c r="CW574" s="693">
        <f>SUMIFS(Imput[[Importe Neto]:[Importe Neto]],Imput[[C. Imp.]:[C. Imp.]],$D574,Imput[[PERIODO Imp.]:[PERIODO Imp.]],CW$9)</f>
        <v>0</v>
      </c>
      <c r="CX574" s="693">
        <f>SUMIFS(Imput[[Importe Neto]:[Importe Neto]],Imput[[C. Imp.]:[C. Imp.]],$D574,Imput[[PERIODO Imp.]:[PERIODO Imp.]],CX$9)</f>
        <v>0</v>
      </c>
      <c r="CY574" s="693">
        <f>SUMIFS(Imput[[Importe Neto]:[Importe Neto]],Imput[[C. Imp.]:[C. Imp.]],$D574,Imput[[PERIODO Imp.]:[PERIODO Imp.]],CY$9)</f>
        <v>0</v>
      </c>
      <c r="CZ574" s="693">
        <f>SUMIFS(Imput[[Importe Neto]:[Importe Neto]],Imput[[C. Imp.]:[C. Imp.]],$D574,Imput[[PERIODO Imp.]:[PERIODO Imp.]],CZ$9)</f>
        <v>0</v>
      </c>
      <c r="DA574" s="693">
        <f>SUMIFS(Imput[[Importe Neto]:[Importe Neto]],Imput[[C. Imp.]:[C. Imp.]],$D574,Imput[[PERIODO Imp.]:[PERIODO Imp.]],DA$9)</f>
        <v>0</v>
      </c>
      <c r="DB574" s="693">
        <f>SUMIFS(Imput[[Importe Neto]:[Importe Neto]],Imput[[C. Imp.]:[C. Imp.]],$D574,Imput[[PERIODO Imp.]:[PERIODO Imp.]],DB$9)</f>
        <v>0</v>
      </c>
      <c r="DC574" s="693">
        <f>SUMIFS(Imput[[Importe Neto]:[Importe Neto]],Imput[[C. Imp.]:[C. Imp.]],$D574,Imput[[PERIODO Imp.]:[PERIODO Imp.]],DC$9)</f>
        <v>0</v>
      </c>
      <c r="DD574" s="693">
        <f>SUMIFS(Imput[[Importe Neto]:[Importe Neto]],Imput[[C. Imp.]:[C. Imp.]],$D574,Imput[[PERIODO Imp.]:[PERIODO Imp.]],DD$9)</f>
        <v>0</v>
      </c>
      <c r="DE574" s="693">
        <f>SUMIFS(Imput[[Importe Neto]:[Importe Neto]],Imput[[C. Imp.]:[C. Imp.]],$D574,Imput[[PERIODO Imp.]:[PERIODO Imp.]],DE$9)</f>
        <v>0</v>
      </c>
      <c r="DF574" s="693">
        <f>SUMIFS(Imput[[Importe Neto]:[Importe Neto]],Imput[[C. Imp.]:[C. Imp.]],$D574,Imput[[PERIODO Imp.]:[PERIODO Imp.]],DF$9)</f>
        <v>0</v>
      </c>
      <c r="DG574" s="693">
        <f>SUMIFS(Imput[[Importe Neto]:[Importe Neto]],Imput[[C. Imp.]:[C. Imp.]],$D574,Imput[[PERIODO Imp.]:[PERIODO Imp.]],DG$9)</f>
        <v>0</v>
      </c>
      <c r="DH574" s="694">
        <f>SUMIFS(Imput[[Importe Neto]:[Importe Neto]],Imput[[C. Imp.]:[C. Imp.]],$D574,Imput[[PERIODO Imp.]:[PERIODO Imp.]],DH$9)</f>
        <v>0</v>
      </c>
    </row>
    <row r="575" spans="1:112" s="649" customFormat="1" hidden="1" outlineLevel="1" x14ac:dyDescent="0.3">
      <c r="A575" s="652" t="str">
        <f t="shared" si="212"/>
        <v/>
      </c>
      <c r="B575" s="652"/>
      <c r="C575" s="685"/>
      <c r="D575" s="686" t="s">
        <v>2597</v>
      </c>
      <c r="E575" s="686"/>
      <c r="F575" s="720"/>
      <c r="G575" s="688"/>
      <c r="H575" s="689"/>
      <c r="I575" s="851" t="str">
        <f t="shared" ref="I575:I591" si="217">IF(E575&gt;0,$J$5,"")</f>
        <v/>
      </c>
      <c r="J575" s="850" t="str">
        <f t="shared" si="214"/>
        <v/>
      </c>
      <c r="K575" s="667"/>
      <c r="L575" s="858"/>
      <c r="M575" s="859"/>
      <c r="N575" s="859"/>
      <c r="O575" s="859"/>
      <c r="P575" s="859"/>
      <c r="Q575" s="859"/>
      <c r="R575" s="859"/>
      <c r="S575" s="859"/>
      <c r="T575" s="859"/>
      <c r="U575" s="859"/>
      <c r="V575" s="859"/>
      <c r="W575" s="859"/>
      <c r="X575" s="859"/>
      <c r="Y575" s="859"/>
      <c r="Z575" s="860"/>
      <c r="AA575" s="860"/>
      <c r="AB575" s="860"/>
      <c r="AC575" s="860"/>
      <c r="AD575" s="860"/>
      <c r="AE575" s="860"/>
      <c r="AF575" s="860"/>
      <c r="AG575" s="860"/>
      <c r="AH575" s="860"/>
      <c r="AI575" s="860"/>
      <c r="AJ575" s="860"/>
      <c r="AK575" s="860"/>
      <c r="AL575" s="860"/>
      <c r="AM575" s="860"/>
      <c r="AN575" s="860"/>
      <c r="AO575" s="860"/>
      <c r="AP575" s="860"/>
      <c r="AQ575" s="860"/>
      <c r="AR575" s="860"/>
      <c r="AS575" s="860"/>
      <c r="AT575" s="860"/>
      <c r="AU575" s="860"/>
      <c r="AV575" s="860"/>
      <c r="AW575" s="860"/>
      <c r="AX575" s="860"/>
      <c r="AY575" s="860"/>
      <c r="AZ575" s="860"/>
      <c r="BA575" s="860"/>
      <c r="BB575" s="860"/>
      <c r="BC575" s="860"/>
      <c r="BD575" s="860"/>
      <c r="BE575" s="860"/>
      <c r="BF575" s="860"/>
      <c r="BG575" s="860"/>
      <c r="BH575" s="668"/>
      <c r="BI575" s="667"/>
      <c r="BJ575" s="690">
        <f t="shared" ref="BJ575:BJ591" si="218">IFERROR(BK575/J575,0)</f>
        <v>0</v>
      </c>
      <c r="BK575" s="691">
        <f t="shared" ref="BK575:BK591" si="219">SUM(BM575:DH575)</f>
        <v>0</v>
      </c>
      <c r="BL575" s="654"/>
      <c r="BM575" s="692">
        <f>SUMIFS(Imput[[Importe Neto]:[Importe Neto]],Imput[[C. Imp.]:[C. Imp.]],$D575,Imput[[PERIODO Imp.]:[PERIODO Imp.]],BM$9)</f>
        <v>0</v>
      </c>
      <c r="BN575" s="693">
        <f>SUMIFS(Imput[[Importe Neto]:[Importe Neto]],Imput[[C. Imp.]:[C. Imp.]],$D575,Imput[[PERIODO Imp.]:[PERIODO Imp.]],BN$9)</f>
        <v>0</v>
      </c>
      <c r="BO575" s="693">
        <f>SUMIFS(Imput[[Importe Neto]:[Importe Neto]],Imput[[C. Imp.]:[C. Imp.]],$D575,Imput[[PERIODO Imp.]:[PERIODO Imp.]],BO$9)</f>
        <v>0</v>
      </c>
      <c r="BP575" s="693">
        <f>SUMIFS(Imput[[Importe Neto]:[Importe Neto]],Imput[[C. Imp.]:[C. Imp.]],$D575,Imput[[PERIODO Imp.]:[PERIODO Imp.]],BP$9)</f>
        <v>0</v>
      </c>
      <c r="BQ575" s="693">
        <f>SUMIFS(Imput[[Importe Neto]:[Importe Neto]],Imput[[C. Imp.]:[C. Imp.]],$D575,Imput[[PERIODO Imp.]:[PERIODO Imp.]],BQ$9)</f>
        <v>0</v>
      </c>
      <c r="BR575" s="693">
        <f>SUMIFS(Imput[[Importe Neto]:[Importe Neto]],Imput[[C. Imp.]:[C. Imp.]],$D575,Imput[[PERIODO Imp.]:[PERIODO Imp.]],BR$9)</f>
        <v>0</v>
      </c>
      <c r="BS575" s="693">
        <f>SUMIFS(Imput[[Importe Neto]:[Importe Neto]],Imput[[C. Imp.]:[C. Imp.]],$D575,Imput[[PERIODO Imp.]:[PERIODO Imp.]],BS$9)</f>
        <v>0</v>
      </c>
      <c r="BT575" s="693">
        <f>SUMIFS(Imput[[Importe Neto]:[Importe Neto]],Imput[[C. Imp.]:[C. Imp.]],$D575,Imput[[PERIODO Imp.]:[PERIODO Imp.]],BT$9)</f>
        <v>0</v>
      </c>
      <c r="BU575" s="693">
        <f>SUMIFS(Imput[[Importe Neto]:[Importe Neto]],Imput[[C. Imp.]:[C. Imp.]],$D575,Imput[[PERIODO Imp.]:[PERIODO Imp.]],BU$9)</f>
        <v>0</v>
      </c>
      <c r="BV575" s="693">
        <f>SUMIFS(Imput[[Importe Neto]:[Importe Neto]],Imput[[C. Imp.]:[C. Imp.]],$D575,Imput[[PERIODO Imp.]:[PERIODO Imp.]],BV$9)</f>
        <v>0</v>
      </c>
      <c r="BW575" s="693">
        <f>SUMIFS(Imput[[Importe Neto]:[Importe Neto]],Imput[[C. Imp.]:[C. Imp.]],$D575,Imput[[PERIODO Imp.]:[PERIODO Imp.]],BW$9)</f>
        <v>0</v>
      </c>
      <c r="BX575" s="693">
        <f>SUMIFS(Imput[[Importe Neto]:[Importe Neto]],Imput[[C. Imp.]:[C. Imp.]],$D575,Imput[[PERIODO Imp.]:[PERIODO Imp.]],BX$9)</f>
        <v>0</v>
      </c>
      <c r="BY575" s="693">
        <f>SUMIFS(Imput[[Importe Neto]:[Importe Neto]],Imput[[C. Imp.]:[C. Imp.]],$D575,Imput[[PERIODO Imp.]:[PERIODO Imp.]],BY$9)</f>
        <v>0</v>
      </c>
      <c r="BZ575" s="693">
        <f>SUMIFS(Imput[[Importe Neto]:[Importe Neto]],Imput[[C. Imp.]:[C. Imp.]],$D575,Imput[[PERIODO Imp.]:[PERIODO Imp.]],BZ$9)</f>
        <v>0</v>
      </c>
      <c r="CA575" s="693">
        <f>SUMIFS(Imput[[Importe Neto]:[Importe Neto]],Imput[[C. Imp.]:[C. Imp.]],$D575,Imput[[PERIODO Imp.]:[PERIODO Imp.]],CA$9)</f>
        <v>0</v>
      </c>
      <c r="CB575" s="693">
        <f>SUMIFS(Imput[[Importe Neto]:[Importe Neto]],Imput[[C. Imp.]:[C. Imp.]],$D575,Imput[[PERIODO Imp.]:[PERIODO Imp.]],CB$9)</f>
        <v>0</v>
      </c>
      <c r="CC575" s="693">
        <f>SUMIFS(Imput[[Importe Neto]:[Importe Neto]],Imput[[C. Imp.]:[C. Imp.]],$D575,Imput[[PERIODO Imp.]:[PERIODO Imp.]],CC$9)</f>
        <v>0</v>
      </c>
      <c r="CD575" s="693">
        <f>SUMIFS(Imput[[Importe Neto]:[Importe Neto]],Imput[[C. Imp.]:[C. Imp.]],$D575,Imput[[PERIODO Imp.]:[PERIODO Imp.]],CD$9)</f>
        <v>0</v>
      </c>
      <c r="CE575" s="693">
        <f>SUMIFS(Imput[[Importe Neto]:[Importe Neto]],Imput[[C. Imp.]:[C. Imp.]],$D575,Imput[[PERIODO Imp.]:[PERIODO Imp.]],CE$9)</f>
        <v>0</v>
      </c>
      <c r="CF575" s="693">
        <f>SUMIFS(Imput[[Importe Neto]:[Importe Neto]],Imput[[C. Imp.]:[C. Imp.]],$D575,Imput[[PERIODO Imp.]:[PERIODO Imp.]],CF$9)</f>
        <v>0</v>
      </c>
      <c r="CG575" s="693">
        <f>SUMIFS(Imput[[Importe Neto]:[Importe Neto]],Imput[[C. Imp.]:[C. Imp.]],$D575,Imput[[PERIODO Imp.]:[PERIODO Imp.]],CG$9)</f>
        <v>0</v>
      </c>
      <c r="CH575" s="693">
        <f>SUMIFS(Imput[[Importe Neto]:[Importe Neto]],Imput[[C. Imp.]:[C. Imp.]],$D575,Imput[[PERIODO Imp.]:[PERIODO Imp.]],CH$9)</f>
        <v>0</v>
      </c>
      <c r="CI575" s="693">
        <f>SUMIFS(Imput[[Importe Neto]:[Importe Neto]],Imput[[C. Imp.]:[C. Imp.]],$D575,Imput[[PERIODO Imp.]:[PERIODO Imp.]],CI$9)</f>
        <v>0</v>
      </c>
      <c r="CJ575" s="693">
        <f>SUMIFS(Imput[[Importe Neto]:[Importe Neto]],Imput[[C. Imp.]:[C. Imp.]],$D575,Imput[[PERIODO Imp.]:[PERIODO Imp.]],CJ$9)</f>
        <v>0</v>
      </c>
      <c r="CK575" s="693">
        <f>SUMIFS(Imput[[Importe Neto]:[Importe Neto]],Imput[[C. Imp.]:[C. Imp.]],$D575,Imput[[PERIODO Imp.]:[PERIODO Imp.]],CK$9)</f>
        <v>0</v>
      </c>
      <c r="CL575" s="693">
        <f>SUMIFS(Imput[[Importe Neto]:[Importe Neto]],Imput[[C. Imp.]:[C. Imp.]],$D575,Imput[[PERIODO Imp.]:[PERIODO Imp.]],CL$9)</f>
        <v>0</v>
      </c>
      <c r="CM575" s="693">
        <f>SUMIFS(Imput[[Importe Neto]:[Importe Neto]],Imput[[C. Imp.]:[C. Imp.]],$D575,Imput[[PERIODO Imp.]:[PERIODO Imp.]],CM$9)</f>
        <v>0</v>
      </c>
      <c r="CN575" s="693">
        <f>SUMIFS(Imput[[Importe Neto]:[Importe Neto]],Imput[[C. Imp.]:[C. Imp.]],$D575,Imput[[PERIODO Imp.]:[PERIODO Imp.]],CN$9)</f>
        <v>0</v>
      </c>
      <c r="CO575" s="693">
        <f>SUMIFS(Imput[[Importe Neto]:[Importe Neto]],Imput[[C. Imp.]:[C. Imp.]],$D575,Imput[[PERIODO Imp.]:[PERIODO Imp.]],CO$9)</f>
        <v>0</v>
      </c>
      <c r="CP575" s="693">
        <f>SUMIFS(Imput[[Importe Neto]:[Importe Neto]],Imput[[C. Imp.]:[C. Imp.]],$D575,Imput[[PERIODO Imp.]:[PERIODO Imp.]],CP$9)</f>
        <v>0</v>
      </c>
      <c r="CQ575" s="693">
        <f>SUMIFS(Imput[[Importe Neto]:[Importe Neto]],Imput[[C. Imp.]:[C. Imp.]],$D575,Imput[[PERIODO Imp.]:[PERIODO Imp.]],CQ$9)</f>
        <v>0</v>
      </c>
      <c r="CR575" s="693">
        <f>SUMIFS(Imput[[Importe Neto]:[Importe Neto]],Imput[[C. Imp.]:[C. Imp.]],$D575,Imput[[PERIODO Imp.]:[PERIODO Imp.]],CR$9)</f>
        <v>0</v>
      </c>
      <c r="CS575" s="693">
        <f>SUMIFS(Imput[[Importe Neto]:[Importe Neto]],Imput[[C. Imp.]:[C. Imp.]],$D575,Imput[[PERIODO Imp.]:[PERIODO Imp.]],CS$9)</f>
        <v>0</v>
      </c>
      <c r="CT575" s="693">
        <f>SUMIFS(Imput[[Importe Neto]:[Importe Neto]],Imput[[C. Imp.]:[C. Imp.]],$D575,Imput[[PERIODO Imp.]:[PERIODO Imp.]],CT$9)</f>
        <v>0</v>
      </c>
      <c r="CU575" s="693">
        <f>SUMIFS(Imput[[Importe Neto]:[Importe Neto]],Imput[[C. Imp.]:[C. Imp.]],$D575,Imput[[PERIODO Imp.]:[PERIODO Imp.]],CU$9)</f>
        <v>0</v>
      </c>
      <c r="CV575" s="693">
        <f>SUMIFS(Imput[[Importe Neto]:[Importe Neto]],Imput[[C. Imp.]:[C. Imp.]],$D575,Imput[[PERIODO Imp.]:[PERIODO Imp.]],CV$9)</f>
        <v>0</v>
      </c>
      <c r="CW575" s="693">
        <f>SUMIFS(Imput[[Importe Neto]:[Importe Neto]],Imput[[C. Imp.]:[C. Imp.]],$D575,Imput[[PERIODO Imp.]:[PERIODO Imp.]],CW$9)</f>
        <v>0</v>
      </c>
      <c r="CX575" s="693">
        <f>SUMIFS(Imput[[Importe Neto]:[Importe Neto]],Imput[[C. Imp.]:[C. Imp.]],$D575,Imput[[PERIODO Imp.]:[PERIODO Imp.]],CX$9)</f>
        <v>0</v>
      </c>
      <c r="CY575" s="693">
        <f>SUMIFS(Imput[[Importe Neto]:[Importe Neto]],Imput[[C. Imp.]:[C. Imp.]],$D575,Imput[[PERIODO Imp.]:[PERIODO Imp.]],CY$9)</f>
        <v>0</v>
      </c>
      <c r="CZ575" s="693">
        <f>SUMIFS(Imput[[Importe Neto]:[Importe Neto]],Imput[[C. Imp.]:[C. Imp.]],$D575,Imput[[PERIODO Imp.]:[PERIODO Imp.]],CZ$9)</f>
        <v>0</v>
      </c>
      <c r="DA575" s="693">
        <f>SUMIFS(Imput[[Importe Neto]:[Importe Neto]],Imput[[C. Imp.]:[C. Imp.]],$D575,Imput[[PERIODO Imp.]:[PERIODO Imp.]],DA$9)</f>
        <v>0</v>
      </c>
      <c r="DB575" s="693">
        <f>SUMIFS(Imput[[Importe Neto]:[Importe Neto]],Imput[[C. Imp.]:[C. Imp.]],$D575,Imput[[PERIODO Imp.]:[PERIODO Imp.]],DB$9)</f>
        <v>0</v>
      </c>
      <c r="DC575" s="693">
        <f>SUMIFS(Imput[[Importe Neto]:[Importe Neto]],Imput[[C. Imp.]:[C. Imp.]],$D575,Imput[[PERIODO Imp.]:[PERIODO Imp.]],DC$9)</f>
        <v>0</v>
      </c>
      <c r="DD575" s="693">
        <f>SUMIFS(Imput[[Importe Neto]:[Importe Neto]],Imput[[C. Imp.]:[C. Imp.]],$D575,Imput[[PERIODO Imp.]:[PERIODO Imp.]],DD$9)</f>
        <v>0</v>
      </c>
      <c r="DE575" s="693">
        <f>SUMIFS(Imput[[Importe Neto]:[Importe Neto]],Imput[[C. Imp.]:[C. Imp.]],$D575,Imput[[PERIODO Imp.]:[PERIODO Imp.]],DE$9)</f>
        <v>0</v>
      </c>
      <c r="DF575" s="693">
        <f>SUMIFS(Imput[[Importe Neto]:[Importe Neto]],Imput[[C. Imp.]:[C. Imp.]],$D575,Imput[[PERIODO Imp.]:[PERIODO Imp.]],DF$9)</f>
        <v>0</v>
      </c>
      <c r="DG575" s="693">
        <f>SUMIFS(Imput[[Importe Neto]:[Importe Neto]],Imput[[C. Imp.]:[C. Imp.]],$D575,Imput[[PERIODO Imp.]:[PERIODO Imp.]],DG$9)</f>
        <v>0</v>
      </c>
      <c r="DH575" s="694">
        <f>SUMIFS(Imput[[Importe Neto]:[Importe Neto]],Imput[[C. Imp.]:[C. Imp.]],$D575,Imput[[PERIODO Imp.]:[PERIODO Imp.]],DH$9)</f>
        <v>0</v>
      </c>
    </row>
    <row r="576" spans="1:112" s="649" customFormat="1" hidden="1" outlineLevel="1" x14ac:dyDescent="0.3">
      <c r="A576" s="652" t="str">
        <f t="shared" si="212"/>
        <v/>
      </c>
      <c r="B576" s="652"/>
      <c r="C576" s="685"/>
      <c r="D576" s="686" t="s">
        <v>2598</v>
      </c>
      <c r="E576" s="686"/>
      <c r="F576" s="720"/>
      <c r="G576" s="688"/>
      <c r="H576" s="689"/>
      <c r="I576" s="851" t="str">
        <f t="shared" si="217"/>
        <v/>
      </c>
      <c r="J576" s="850" t="str">
        <f t="shared" si="214"/>
        <v/>
      </c>
      <c r="K576" s="667"/>
      <c r="L576" s="858"/>
      <c r="M576" s="859"/>
      <c r="N576" s="859"/>
      <c r="O576" s="859"/>
      <c r="P576" s="859"/>
      <c r="Q576" s="859"/>
      <c r="R576" s="859"/>
      <c r="S576" s="859"/>
      <c r="T576" s="859"/>
      <c r="U576" s="859"/>
      <c r="V576" s="859"/>
      <c r="W576" s="859"/>
      <c r="X576" s="859"/>
      <c r="Y576" s="859"/>
      <c r="Z576" s="860"/>
      <c r="AA576" s="860"/>
      <c r="AB576" s="860"/>
      <c r="AC576" s="860"/>
      <c r="AD576" s="860"/>
      <c r="AE576" s="860"/>
      <c r="AF576" s="860"/>
      <c r="AG576" s="860"/>
      <c r="AH576" s="860"/>
      <c r="AI576" s="860"/>
      <c r="AJ576" s="860"/>
      <c r="AK576" s="860"/>
      <c r="AL576" s="860"/>
      <c r="AM576" s="860"/>
      <c r="AN576" s="860"/>
      <c r="AO576" s="860"/>
      <c r="AP576" s="860"/>
      <c r="AQ576" s="860"/>
      <c r="AR576" s="860"/>
      <c r="AS576" s="860"/>
      <c r="AT576" s="860"/>
      <c r="AU576" s="860"/>
      <c r="AV576" s="860"/>
      <c r="AW576" s="860"/>
      <c r="AX576" s="860"/>
      <c r="AY576" s="860"/>
      <c r="AZ576" s="860"/>
      <c r="BA576" s="860"/>
      <c r="BB576" s="860"/>
      <c r="BC576" s="860"/>
      <c r="BD576" s="860"/>
      <c r="BE576" s="860"/>
      <c r="BF576" s="860"/>
      <c r="BG576" s="860"/>
      <c r="BH576" s="668"/>
      <c r="BI576" s="667"/>
      <c r="BJ576" s="690">
        <f t="shared" si="218"/>
        <v>0</v>
      </c>
      <c r="BK576" s="691">
        <f t="shared" si="219"/>
        <v>0</v>
      </c>
      <c r="BL576" s="654"/>
      <c r="BM576" s="692">
        <f>SUMIFS(Imput[[Importe Neto]:[Importe Neto]],Imput[[C. Imp.]:[C. Imp.]],$D576,Imput[[PERIODO Imp.]:[PERIODO Imp.]],BM$9)</f>
        <v>0</v>
      </c>
      <c r="BN576" s="693">
        <f>SUMIFS(Imput[[Importe Neto]:[Importe Neto]],Imput[[C. Imp.]:[C. Imp.]],$D576,Imput[[PERIODO Imp.]:[PERIODO Imp.]],BN$9)</f>
        <v>0</v>
      </c>
      <c r="BO576" s="693">
        <f>SUMIFS(Imput[[Importe Neto]:[Importe Neto]],Imput[[C. Imp.]:[C. Imp.]],$D576,Imput[[PERIODO Imp.]:[PERIODO Imp.]],BO$9)</f>
        <v>0</v>
      </c>
      <c r="BP576" s="693">
        <f>SUMIFS(Imput[[Importe Neto]:[Importe Neto]],Imput[[C. Imp.]:[C. Imp.]],$D576,Imput[[PERIODO Imp.]:[PERIODO Imp.]],BP$9)</f>
        <v>0</v>
      </c>
      <c r="BQ576" s="693">
        <f>SUMIFS(Imput[[Importe Neto]:[Importe Neto]],Imput[[C. Imp.]:[C. Imp.]],$D576,Imput[[PERIODO Imp.]:[PERIODO Imp.]],BQ$9)</f>
        <v>0</v>
      </c>
      <c r="BR576" s="693">
        <f>SUMIFS(Imput[[Importe Neto]:[Importe Neto]],Imput[[C. Imp.]:[C. Imp.]],$D576,Imput[[PERIODO Imp.]:[PERIODO Imp.]],BR$9)</f>
        <v>0</v>
      </c>
      <c r="BS576" s="693">
        <f>SUMIFS(Imput[[Importe Neto]:[Importe Neto]],Imput[[C. Imp.]:[C. Imp.]],$D576,Imput[[PERIODO Imp.]:[PERIODO Imp.]],BS$9)</f>
        <v>0</v>
      </c>
      <c r="BT576" s="693">
        <f>SUMIFS(Imput[[Importe Neto]:[Importe Neto]],Imput[[C. Imp.]:[C. Imp.]],$D576,Imput[[PERIODO Imp.]:[PERIODO Imp.]],BT$9)</f>
        <v>0</v>
      </c>
      <c r="BU576" s="693">
        <f>SUMIFS(Imput[[Importe Neto]:[Importe Neto]],Imput[[C. Imp.]:[C. Imp.]],$D576,Imput[[PERIODO Imp.]:[PERIODO Imp.]],BU$9)</f>
        <v>0</v>
      </c>
      <c r="BV576" s="693">
        <f>SUMIFS(Imput[[Importe Neto]:[Importe Neto]],Imput[[C. Imp.]:[C. Imp.]],$D576,Imput[[PERIODO Imp.]:[PERIODO Imp.]],BV$9)</f>
        <v>0</v>
      </c>
      <c r="BW576" s="693">
        <f>SUMIFS(Imput[[Importe Neto]:[Importe Neto]],Imput[[C. Imp.]:[C. Imp.]],$D576,Imput[[PERIODO Imp.]:[PERIODO Imp.]],BW$9)</f>
        <v>0</v>
      </c>
      <c r="BX576" s="693">
        <f>SUMIFS(Imput[[Importe Neto]:[Importe Neto]],Imput[[C. Imp.]:[C. Imp.]],$D576,Imput[[PERIODO Imp.]:[PERIODO Imp.]],BX$9)</f>
        <v>0</v>
      </c>
      <c r="BY576" s="693">
        <f>SUMIFS(Imput[[Importe Neto]:[Importe Neto]],Imput[[C. Imp.]:[C. Imp.]],$D576,Imput[[PERIODO Imp.]:[PERIODO Imp.]],BY$9)</f>
        <v>0</v>
      </c>
      <c r="BZ576" s="693">
        <f>SUMIFS(Imput[[Importe Neto]:[Importe Neto]],Imput[[C. Imp.]:[C. Imp.]],$D576,Imput[[PERIODO Imp.]:[PERIODO Imp.]],BZ$9)</f>
        <v>0</v>
      </c>
      <c r="CA576" s="693">
        <f>SUMIFS(Imput[[Importe Neto]:[Importe Neto]],Imput[[C. Imp.]:[C. Imp.]],$D576,Imput[[PERIODO Imp.]:[PERIODO Imp.]],CA$9)</f>
        <v>0</v>
      </c>
      <c r="CB576" s="693">
        <f>SUMIFS(Imput[[Importe Neto]:[Importe Neto]],Imput[[C. Imp.]:[C. Imp.]],$D576,Imput[[PERIODO Imp.]:[PERIODO Imp.]],CB$9)</f>
        <v>0</v>
      </c>
      <c r="CC576" s="693">
        <f>SUMIFS(Imput[[Importe Neto]:[Importe Neto]],Imput[[C. Imp.]:[C. Imp.]],$D576,Imput[[PERIODO Imp.]:[PERIODO Imp.]],CC$9)</f>
        <v>0</v>
      </c>
      <c r="CD576" s="693">
        <f>SUMIFS(Imput[[Importe Neto]:[Importe Neto]],Imput[[C. Imp.]:[C. Imp.]],$D576,Imput[[PERIODO Imp.]:[PERIODO Imp.]],CD$9)</f>
        <v>0</v>
      </c>
      <c r="CE576" s="693">
        <f>SUMIFS(Imput[[Importe Neto]:[Importe Neto]],Imput[[C. Imp.]:[C. Imp.]],$D576,Imput[[PERIODO Imp.]:[PERIODO Imp.]],CE$9)</f>
        <v>0</v>
      </c>
      <c r="CF576" s="693">
        <f>SUMIFS(Imput[[Importe Neto]:[Importe Neto]],Imput[[C. Imp.]:[C. Imp.]],$D576,Imput[[PERIODO Imp.]:[PERIODO Imp.]],CF$9)</f>
        <v>0</v>
      </c>
      <c r="CG576" s="693">
        <f>SUMIFS(Imput[[Importe Neto]:[Importe Neto]],Imput[[C. Imp.]:[C. Imp.]],$D576,Imput[[PERIODO Imp.]:[PERIODO Imp.]],CG$9)</f>
        <v>0</v>
      </c>
      <c r="CH576" s="693">
        <f>SUMIFS(Imput[[Importe Neto]:[Importe Neto]],Imput[[C. Imp.]:[C. Imp.]],$D576,Imput[[PERIODO Imp.]:[PERIODO Imp.]],CH$9)</f>
        <v>0</v>
      </c>
      <c r="CI576" s="693">
        <f>SUMIFS(Imput[[Importe Neto]:[Importe Neto]],Imput[[C. Imp.]:[C. Imp.]],$D576,Imput[[PERIODO Imp.]:[PERIODO Imp.]],CI$9)</f>
        <v>0</v>
      </c>
      <c r="CJ576" s="693">
        <f>SUMIFS(Imput[[Importe Neto]:[Importe Neto]],Imput[[C. Imp.]:[C. Imp.]],$D576,Imput[[PERIODO Imp.]:[PERIODO Imp.]],CJ$9)</f>
        <v>0</v>
      </c>
      <c r="CK576" s="693">
        <f>SUMIFS(Imput[[Importe Neto]:[Importe Neto]],Imput[[C. Imp.]:[C. Imp.]],$D576,Imput[[PERIODO Imp.]:[PERIODO Imp.]],CK$9)</f>
        <v>0</v>
      </c>
      <c r="CL576" s="693">
        <f>SUMIFS(Imput[[Importe Neto]:[Importe Neto]],Imput[[C. Imp.]:[C. Imp.]],$D576,Imput[[PERIODO Imp.]:[PERIODO Imp.]],CL$9)</f>
        <v>0</v>
      </c>
      <c r="CM576" s="693">
        <f>SUMIFS(Imput[[Importe Neto]:[Importe Neto]],Imput[[C. Imp.]:[C. Imp.]],$D576,Imput[[PERIODO Imp.]:[PERIODO Imp.]],CM$9)</f>
        <v>0</v>
      </c>
      <c r="CN576" s="693">
        <f>SUMIFS(Imput[[Importe Neto]:[Importe Neto]],Imput[[C. Imp.]:[C. Imp.]],$D576,Imput[[PERIODO Imp.]:[PERIODO Imp.]],CN$9)</f>
        <v>0</v>
      </c>
      <c r="CO576" s="693">
        <f>SUMIFS(Imput[[Importe Neto]:[Importe Neto]],Imput[[C. Imp.]:[C. Imp.]],$D576,Imput[[PERIODO Imp.]:[PERIODO Imp.]],CO$9)</f>
        <v>0</v>
      </c>
      <c r="CP576" s="693">
        <f>SUMIFS(Imput[[Importe Neto]:[Importe Neto]],Imput[[C. Imp.]:[C. Imp.]],$D576,Imput[[PERIODO Imp.]:[PERIODO Imp.]],CP$9)</f>
        <v>0</v>
      </c>
      <c r="CQ576" s="693">
        <f>SUMIFS(Imput[[Importe Neto]:[Importe Neto]],Imput[[C. Imp.]:[C. Imp.]],$D576,Imput[[PERIODO Imp.]:[PERIODO Imp.]],CQ$9)</f>
        <v>0</v>
      </c>
      <c r="CR576" s="693">
        <f>SUMIFS(Imput[[Importe Neto]:[Importe Neto]],Imput[[C. Imp.]:[C. Imp.]],$D576,Imput[[PERIODO Imp.]:[PERIODO Imp.]],CR$9)</f>
        <v>0</v>
      </c>
      <c r="CS576" s="693">
        <f>SUMIFS(Imput[[Importe Neto]:[Importe Neto]],Imput[[C. Imp.]:[C. Imp.]],$D576,Imput[[PERIODO Imp.]:[PERIODO Imp.]],CS$9)</f>
        <v>0</v>
      </c>
      <c r="CT576" s="693">
        <f>SUMIFS(Imput[[Importe Neto]:[Importe Neto]],Imput[[C. Imp.]:[C. Imp.]],$D576,Imput[[PERIODO Imp.]:[PERIODO Imp.]],CT$9)</f>
        <v>0</v>
      </c>
      <c r="CU576" s="693">
        <f>SUMIFS(Imput[[Importe Neto]:[Importe Neto]],Imput[[C. Imp.]:[C. Imp.]],$D576,Imput[[PERIODO Imp.]:[PERIODO Imp.]],CU$9)</f>
        <v>0</v>
      </c>
      <c r="CV576" s="693">
        <f>SUMIFS(Imput[[Importe Neto]:[Importe Neto]],Imput[[C. Imp.]:[C. Imp.]],$D576,Imput[[PERIODO Imp.]:[PERIODO Imp.]],CV$9)</f>
        <v>0</v>
      </c>
      <c r="CW576" s="693">
        <f>SUMIFS(Imput[[Importe Neto]:[Importe Neto]],Imput[[C. Imp.]:[C. Imp.]],$D576,Imput[[PERIODO Imp.]:[PERIODO Imp.]],CW$9)</f>
        <v>0</v>
      </c>
      <c r="CX576" s="693">
        <f>SUMIFS(Imput[[Importe Neto]:[Importe Neto]],Imput[[C. Imp.]:[C. Imp.]],$D576,Imput[[PERIODO Imp.]:[PERIODO Imp.]],CX$9)</f>
        <v>0</v>
      </c>
      <c r="CY576" s="693">
        <f>SUMIFS(Imput[[Importe Neto]:[Importe Neto]],Imput[[C. Imp.]:[C. Imp.]],$D576,Imput[[PERIODO Imp.]:[PERIODO Imp.]],CY$9)</f>
        <v>0</v>
      </c>
      <c r="CZ576" s="693">
        <f>SUMIFS(Imput[[Importe Neto]:[Importe Neto]],Imput[[C. Imp.]:[C. Imp.]],$D576,Imput[[PERIODO Imp.]:[PERIODO Imp.]],CZ$9)</f>
        <v>0</v>
      </c>
      <c r="DA576" s="693">
        <f>SUMIFS(Imput[[Importe Neto]:[Importe Neto]],Imput[[C. Imp.]:[C. Imp.]],$D576,Imput[[PERIODO Imp.]:[PERIODO Imp.]],DA$9)</f>
        <v>0</v>
      </c>
      <c r="DB576" s="693">
        <f>SUMIFS(Imput[[Importe Neto]:[Importe Neto]],Imput[[C. Imp.]:[C. Imp.]],$D576,Imput[[PERIODO Imp.]:[PERIODO Imp.]],DB$9)</f>
        <v>0</v>
      </c>
      <c r="DC576" s="693">
        <f>SUMIFS(Imput[[Importe Neto]:[Importe Neto]],Imput[[C. Imp.]:[C. Imp.]],$D576,Imput[[PERIODO Imp.]:[PERIODO Imp.]],DC$9)</f>
        <v>0</v>
      </c>
      <c r="DD576" s="693">
        <f>SUMIFS(Imput[[Importe Neto]:[Importe Neto]],Imput[[C. Imp.]:[C. Imp.]],$D576,Imput[[PERIODO Imp.]:[PERIODO Imp.]],DD$9)</f>
        <v>0</v>
      </c>
      <c r="DE576" s="693">
        <f>SUMIFS(Imput[[Importe Neto]:[Importe Neto]],Imput[[C. Imp.]:[C. Imp.]],$D576,Imput[[PERIODO Imp.]:[PERIODO Imp.]],DE$9)</f>
        <v>0</v>
      </c>
      <c r="DF576" s="693">
        <f>SUMIFS(Imput[[Importe Neto]:[Importe Neto]],Imput[[C. Imp.]:[C. Imp.]],$D576,Imput[[PERIODO Imp.]:[PERIODO Imp.]],DF$9)</f>
        <v>0</v>
      </c>
      <c r="DG576" s="693">
        <f>SUMIFS(Imput[[Importe Neto]:[Importe Neto]],Imput[[C. Imp.]:[C. Imp.]],$D576,Imput[[PERIODO Imp.]:[PERIODO Imp.]],DG$9)</f>
        <v>0</v>
      </c>
      <c r="DH576" s="694">
        <f>SUMIFS(Imput[[Importe Neto]:[Importe Neto]],Imput[[C. Imp.]:[C. Imp.]],$D576,Imput[[PERIODO Imp.]:[PERIODO Imp.]],DH$9)</f>
        <v>0</v>
      </c>
    </row>
    <row r="577" spans="1:112" s="649" customFormat="1" hidden="1" outlineLevel="1" x14ac:dyDescent="0.3">
      <c r="A577" s="652" t="str">
        <f t="shared" si="212"/>
        <v/>
      </c>
      <c r="B577" s="652"/>
      <c r="C577" s="685"/>
      <c r="D577" s="686" t="s">
        <v>2599</v>
      </c>
      <c r="E577" s="686"/>
      <c r="F577" s="720"/>
      <c r="G577" s="688"/>
      <c r="H577" s="689"/>
      <c r="I577" s="851" t="str">
        <f t="shared" si="217"/>
        <v/>
      </c>
      <c r="J577" s="850" t="str">
        <f t="shared" si="214"/>
        <v/>
      </c>
      <c r="K577" s="667"/>
      <c r="L577" s="858"/>
      <c r="M577" s="859"/>
      <c r="N577" s="859"/>
      <c r="O577" s="859"/>
      <c r="P577" s="859"/>
      <c r="Q577" s="859"/>
      <c r="R577" s="859"/>
      <c r="S577" s="859"/>
      <c r="T577" s="859"/>
      <c r="U577" s="859"/>
      <c r="V577" s="859"/>
      <c r="W577" s="859"/>
      <c r="X577" s="859"/>
      <c r="Y577" s="859"/>
      <c r="Z577" s="860"/>
      <c r="AA577" s="860"/>
      <c r="AB577" s="860"/>
      <c r="AC577" s="860"/>
      <c r="AD577" s="860"/>
      <c r="AE577" s="860"/>
      <c r="AF577" s="860"/>
      <c r="AG577" s="860"/>
      <c r="AH577" s="860"/>
      <c r="AI577" s="860"/>
      <c r="AJ577" s="860"/>
      <c r="AK577" s="860"/>
      <c r="AL577" s="860"/>
      <c r="AM577" s="860"/>
      <c r="AN577" s="860"/>
      <c r="AO577" s="860"/>
      <c r="AP577" s="860"/>
      <c r="AQ577" s="860"/>
      <c r="AR577" s="860"/>
      <c r="AS577" s="860"/>
      <c r="AT577" s="860"/>
      <c r="AU577" s="860"/>
      <c r="AV577" s="860"/>
      <c r="AW577" s="860"/>
      <c r="AX577" s="860"/>
      <c r="AY577" s="860"/>
      <c r="AZ577" s="860"/>
      <c r="BA577" s="860"/>
      <c r="BB577" s="860"/>
      <c r="BC577" s="860"/>
      <c r="BD577" s="860"/>
      <c r="BE577" s="860"/>
      <c r="BF577" s="860"/>
      <c r="BG577" s="860"/>
      <c r="BH577" s="668"/>
      <c r="BI577" s="654"/>
      <c r="BJ577" s="690">
        <f t="shared" si="218"/>
        <v>0</v>
      </c>
      <c r="BK577" s="691">
        <f t="shared" si="219"/>
        <v>0</v>
      </c>
      <c r="BL577" s="654"/>
      <c r="BM577" s="692">
        <f>SUMIFS(Imput[[Importe Neto]:[Importe Neto]],Imput[[C. Imp.]:[C. Imp.]],$D577,Imput[[PERIODO Imp.]:[PERIODO Imp.]],BM$9)</f>
        <v>0</v>
      </c>
      <c r="BN577" s="693">
        <f>SUMIFS(Imput[[Importe Neto]:[Importe Neto]],Imput[[C. Imp.]:[C. Imp.]],$D577,Imput[[PERIODO Imp.]:[PERIODO Imp.]],BN$9)</f>
        <v>0</v>
      </c>
      <c r="BO577" s="693">
        <f>SUMIFS(Imput[[Importe Neto]:[Importe Neto]],Imput[[C. Imp.]:[C. Imp.]],$D577,Imput[[PERIODO Imp.]:[PERIODO Imp.]],BO$9)</f>
        <v>0</v>
      </c>
      <c r="BP577" s="693">
        <f>SUMIFS(Imput[[Importe Neto]:[Importe Neto]],Imput[[C. Imp.]:[C. Imp.]],$D577,Imput[[PERIODO Imp.]:[PERIODO Imp.]],BP$9)</f>
        <v>0</v>
      </c>
      <c r="BQ577" s="693">
        <f>SUMIFS(Imput[[Importe Neto]:[Importe Neto]],Imput[[C. Imp.]:[C. Imp.]],$D577,Imput[[PERIODO Imp.]:[PERIODO Imp.]],BQ$9)</f>
        <v>0</v>
      </c>
      <c r="BR577" s="693">
        <f>SUMIFS(Imput[[Importe Neto]:[Importe Neto]],Imput[[C. Imp.]:[C. Imp.]],$D577,Imput[[PERIODO Imp.]:[PERIODO Imp.]],BR$9)</f>
        <v>0</v>
      </c>
      <c r="BS577" s="693">
        <f>SUMIFS(Imput[[Importe Neto]:[Importe Neto]],Imput[[C. Imp.]:[C. Imp.]],$D577,Imput[[PERIODO Imp.]:[PERIODO Imp.]],BS$9)</f>
        <v>0</v>
      </c>
      <c r="BT577" s="693">
        <f>SUMIFS(Imput[[Importe Neto]:[Importe Neto]],Imput[[C. Imp.]:[C. Imp.]],$D577,Imput[[PERIODO Imp.]:[PERIODO Imp.]],BT$9)</f>
        <v>0</v>
      </c>
      <c r="BU577" s="693">
        <f>SUMIFS(Imput[[Importe Neto]:[Importe Neto]],Imput[[C. Imp.]:[C. Imp.]],$D577,Imput[[PERIODO Imp.]:[PERIODO Imp.]],BU$9)</f>
        <v>0</v>
      </c>
      <c r="BV577" s="693">
        <f>SUMIFS(Imput[[Importe Neto]:[Importe Neto]],Imput[[C. Imp.]:[C. Imp.]],$D577,Imput[[PERIODO Imp.]:[PERIODO Imp.]],BV$9)</f>
        <v>0</v>
      </c>
      <c r="BW577" s="693">
        <f>SUMIFS(Imput[[Importe Neto]:[Importe Neto]],Imput[[C. Imp.]:[C. Imp.]],$D577,Imput[[PERIODO Imp.]:[PERIODO Imp.]],BW$9)</f>
        <v>0</v>
      </c>
      <c r="BX577" s="693">
        <f>SUMIFS(Imput[[Importe Neto]:[Importe Neto]],Imput[[C. Imp.]:[C. Imp.]],$D577,Imput[[PERIODO Imp.]:[PERIODO Imp.]],BX$9)</f>
        <v>0</v>
      </c>
      <c r="BY577" s="693">
        <f>SUMIFS(Imput[[Importe Neto]:[Importe Neto]],Imput[[C. Imp.]:[C. Imp.]],$D577,Imput[[PERIODO Imp.]:[PERIODO Imp.]],BY$9)</f>
        <v>0</v>
      </c>
      <c r="BZ577" s="693">
        <f>SUMIFS(Imput[[Importe Neto]:[Importe Neto]],Imput[[C. Imp.]:[C. Imp.]],$D577,Imput[[PERIODO Imp.]:[PERIODO Imp.]],BZ$9)</f>
        <v>0</v>
      </c>
      <c r="CA577" s="693">
        <f>SUMIFS(Imput[[Importe Neto]:[Importe Neto]],Imput[[C. Imp.]:[C. Imp.]],$D577,Imput[[PERIODO Imp.]:[PERIODO Imp.]],CA$9)</f>
        <v>0</v>
      </c>
      <c r="CB577" s="693">
        <f>SUMIFS(Imput[[Importe Neto]:[Importe Neto]],Imput[[C. Imp.]:[C. Imp.]],$D577,Imput[[PERIODO Imp.]:[PERIODO Imp.]],CB$9)</f>
        <v>0</v>
      </c>
      <c r="CC577" s="693">
        <f>SUMIFS(Imput[[Importe Neto]:[Importe Neto]],Imput[[C. Imp.]:[C. Imp.]],$D577,Imput[[PERIODO Imp.]:[PERIODO Imp.]],CC$9)</f>
        <v>0</v>
      </c>
      <c r="CD577" s="693">
        <f>SUMIFS(Imput[[Importe Neto]:[Importe Neto]],Imput[[C. Imp.]:[C. Imp.]],$D577,Imput[[PERIODO Imp.]:[PERIODO Imp.]],CD$9)</f>
        <v>0</v>
      </c>
      <c r="CE577" s="693">
        <f>SUMIFS(Imput[[Importe Neto]:[Importe Neto]],Imput[[C. Imp.]:[C. Imp.]],$D577,Imput[[PERIODO Imp.]:[PERIODO Imp.]],CE$9)</f>
        <v>0</v>
      </c>
      <c r="CF577" s="693">
        <f>SUMIFS(Imput[[Importe Neto]:[Importe Neto]],Imput[[C. Imp.]:[C. Imp.]],$D577,Imput[[PERIODO Imp.]:[PERIODO Imp.]],CF$9)</f>
        <v>0</v>
      </c>
      <c r="CG577" s="693">
        <f>SUMIFS(Imput[[Importe Neto]:[Importe Neto]],Imput[[C. Imp.]:[C. Imp.]],$D577,Imput[[PERIODO Imp.]:[PERIODO Imp.]],CG$9)</f>
        <v>0</v>
      </c>
      <c r="CH577" s="693">
        <f>SUMIFS(Imput[[Importe Neto]:[Importe Neto]],Imput[[C. Imp.]:[C. Imp.]],$D577,Imput[[PERIODO Imp.]:[PERIODO Imp.]],CH$9)</f>
        <v>0</v>
      </c>
      <c r="CI577" s="693">
        <f>SUMIFS(Imput[[Importe Neto]:[Importe Neto]],Imput[[C. Imp.]:[C. Imp.]],$D577,Imput[[PERIODO Imp.]:[PERIODO Imp.]],CI$9)</f>
        <v>0</v>
      </c>
      <c r="CJ577" s="693">
        <f>SUMIFS(Imput[[Importe Neto]:[Importe Neto]],Imput[[C. Imp.]:[C. Imp.]],$D577,Imput[[PERIODO Imp.]:[PERIODO Imp.]],CJ$9)</f>
        <v>0</v>
      </c>
      <c r="CK577" s="693">
        <f>SUMIFS(Imput[[Importe Neto]:[Importe Neto]],Imput[[C. Imp.]:[C. Imp.]],$D577,Imput[[PERIODO Imp.]:[PERIODO Imp.]],CK$9)</f>
        <v>0</v>
      </c>
      <c r="CL577" s="693">
        <f>SUMIFS(Imput[[Importe Neto]:[Importe Neto]],Imput[[C. Imp.]:[C. Imp.]],$D577,Imput[[PERIODO Imp.]:[PERIODO Imp.]],CL$9)</f>
        <v>0</v>
      </c>
      <c r="CM577" s="693">
        <f>SUMIFS(Imput[[Importe Neto]:[Importe Neto]],Imput[[C. Imp.]:[C. Imp.]],$D577,Imput[[PERIODO Imp.]:[PERIODO Imp.]],CM$9)</f>
        <v>0</v>
      </c>
      <c r="CN577" s="693">
        <f>SUMIFS(Imput[[Importe Neto]:[Importe Neto]],Imput[[C. Imp.]:[C. Imp.]],$D577,Imput[[PERIODO Imp.]:[PERIODO Imp.]],CN$9)</f>
        <v>0</v>
      </c>
      <c r="CO577" s="693">
        <f>SUMIFS(Imput[[Importe Neto]:[Importe Neto]],Imput[[C. Imp.]:[C. Imp.]],$D577,Imput[[PERIODO Imp.]:[PERIODO Imp.]],CO$9)</f>
        <v>0</v>
      </c>
      <c r="CP577" s="693">
        <f>SUMIFS(Imput[[Importe Neto]:[Importe Neto]],Imput[[C. Imp.]:[C. Imp.]],$D577,Imput[[PERIODO Imp.]:[PERIODO Imp.]],CP$9)</f>
        <v>0</v>
      </c>
      <c r="CQ577" s="693">
        <f>SUMIFS(Imput[[Importe Neto]:[Importe Neto]],Imput[[C. Imp.]:[C. Imp.]],$D577,Imput[[PERIODO Imp.]:[PERIODO Imp.]],CQ$9)</f>
        <v>0</v>
      </c>
      <c r="CR577" s="693">
        <f>SUMIFS(Imput[[Importe Neto]:[Importe Neto]],Imput[[C. Imp.]:[C. Imp.]],$D577,Imput[[PERIODO Imp.]:[PERIODO Imp.]],CR$9)</f>
        <v>0</v>
      </c>
      <c r="CS577" s="693">
        <f>SUMIFS(Imput[[Importe Neto]:[Importe Neto]],Imput[[C. Imp.]:[C. Imp.]],$D577,Imput[[PERIODO Imp.]:[PERIODO Imp.]],CS$9)</f>
        <v>0</v>
      </c>
      <c r="CT577" s="693">
        <f>SUMIFS(Imput[[Importe Neto]:[Importe Neto]],Imput[[C. Imp.]:[C. Imp.]],$D577,Imput[[PERIODO Imp.]:[PERIODO Imp.]],CT$9)</f>
        <v>0</v>
      </c>
      <c r="CU577" s="693">
        <f>SUMIFS(Imput[[Importe Neto]:[Importe Neto]],Imput[[C. Imp.]:[C. Imp.]],$D577,Imput[[PERIODO Imp.]:[PERIODO Imp.]],CU$9)</f>
        <v>0</v>
      </c>
      <c r="CV577" s="693">
        <f>SUMIFS(Imput[[Importe Neto]:[Importe Neto]],Imput[[C. Imp.]:[C. Imp.]],$D577,Imput[[PERIODO Imp.]:[PERIODO Imp.]],CV$9)</f>
        <v>0</v>
      </c>
      <c r="CW577" s="693">
        <f>SUMIFS(Imput[[Importe Neto]:[Importe Neto]],Imput[[C. Imp.]:[C. Imp.]],$D577,Imput[[PERIODO Imp.]:[PERIODO Imp.]],CW$9)</f>
        <v>0</v>
      </c>
      <c r="CX577" s="693">
        <f>SUMIFS(Imput[[Importe Neto]:[Importe Neto]],Imput[[C. Imp.]:[C. Imp.]],$D577,Imput[[PERIODO Imp.]:[PERIODO Imp.]],CX$9)</f>
        <v>0</v>
      </c>
      <c r="CY577" s="693">
        <f>SUMIFS(Imput[[Importe Neto]:[Importe Neto]],Imput[[C. Imp.]:[C. Imp.]],$D577,Imput[[PERIODO Imp.]:[PERIODO Imp.]],CY$9)</f>
        <v>0</v>
      </c>
      <c r="CZ577" s="693">
        <f>SUMIFS(Imput[[Importe Neto]:[Importe Neto]],Imput[[C. Imp.]:[C. Imp.]],$D577,Imput[[PERIODO Imp.]:[PERIODO Imp.]],CZ$9)</f>
        <v>0</v>
      </c>
      <c r="DA577" s="693">
        <f>SUMIFS(Imput[[Importe Neto]:[Importe Neto]],Imput[[C. Imp.]:[C. Imp.]],$D577,Imput[[PERIODO Imp.]:[PERIODO Imp.]],DA$9)</f>
        <v>0</v>
      </c>
      <c r="DB577" s="693">
        <f>SUMIFS(Imput[[Importe Neto]:[Importe Neto]],Imput[[C. Imp.]:[C. Imp.]],$D577,Imput[[PERIODO Imp.]:[PERIODO Imp.]],DB$9)</f>
        <v>0</v>
      </c>
      <c r="DC577" s="693">
        <f>SUMIFS(Imput[[Importe Neto]:[Importe Neto]],Imput[[C. Imp.]:[C. Imp.]],$D577,Imput[[PERIODO Imp.]:[PERIODO Imp.]],DC$9)</f>
        <v>0</v>
      </c>
      <c r="DD577" s="693">
        <f>SUMIFS(Imput[[Importe Neto]:[Importe Neto]],Imput[[C. Imp.]:[C. Imp.]],$D577,Imput[[PERIODO Imp.]:[PERIODO Imp.]],DD$9)</f>
        <v>0</v>
      </c>
      <c r="DE577" s="693">
        <f>SUMIFS(Imput[[Importe Neto]:[Importe Neto]],Imput[[C. Imp.]:[C. Imp.]],$D577,Imput[[PERIODO Imp.]:[PERIODO Imp.]],DE$9)</f>
        <v>0</v>
      </c>
      <c r="DF577" s="693">
        <f>SUMIFS(Imput[[Importe Neto]:[Importe Neto]],Imput[[C. Imp.]:[C. Imp.]],$D577,Imput[[PERIODO Imp.]:[PERIODO Imp.]],DF$9)</f>
        <v>0</v>
      </c>
      <c r="DG577" s="693">
        <f>SUMIFS(Imput[[Importe Neto]:[Importe Neto]],Imput[[C. Imp.]:[C. Imp.]],$D577,Imput[[PERIODO Imp.]:[PERIODO Imp.]],DG$9)</f>
        <v>0</v>
      </c>
      <c r="DH577" s="694">
        <f>SUMIFS(Imput[[Importe Neto]:[Importe Neto]],Imput[[C. Imp.]:[C. Imp.]],$D577,Imput[[PERIODO Imp.]:[PERIODO Imp.]],DH$9)</f>
        <v>0</v>
      </c>
    </row>
    <row r="578" spans="1:112" s="649" customFormat="1" hidden="1" outlineLevel="1" x14ac:dyDescent="0.3">
      <c r="A578" s="652" t="str">
        <f t="shared" si="212"/>
        <v/>
      </c>
      <c r="B578" s="652"/>
      <c r="C578" s="685"/>
      <c r="D578" s="686" t="s">
        <v>2600</v>
      </c>
      <c r="E578" s="686"/>
      <c r="F578" s="720"/>
      <c r="G578" s="688"/>
      <c r="H578" s="689"/>
      <c r="I578" s="851" t="str">
        <f t="shared" si="217"/>
        <v/>
      </c>
      <c r="J578" s="850" t="str">
        <f t="shared" si="214"/>
        <v/>
      </c>
      <c r="K578" s="667"/>
      <c r="L578" s="858"/>
      <c r="M578" s="859"/>
      <c r="N578" s="859"/>
      <c r="O578" s="859"/>
      <c r="P578" s="859"/>
      <c r="Q578" s="859"/>
      <c r="R578" s="859"/>
      <c r="S578" s="859"/>
      <c r="T578" s="859"/>
      <c r="U578" s="859"/>
      <c r="V578" s="859"/>
      <c r="W578" s="859"/>
      <c r="X578" s="859"/>
      <c r="Y578" s="859"/>
      <c r="Z578" s="860"/>
      <c r="AA578" s="860"/>
      <c r="AB578" s="860"/>
      <c r="AC578" s="860"/>
      <c r="AD578" s="860"/>
      <c r="AE578" s="860"/>
      <c r="AF578" s="860"/>
      <c r="AG578" s="860"/>
      <c r="AH578" s="860"/>
      <c r="AI578" s="860"/>
      <c r="AJ578" s="860"/>
      <c r="AK578" s="860"/>
      <c r="AL578" s="860"/>
      <c r="AM578" s="860"/>
      <c r="AN578" s="860"/>
      <c r="AO578" s="860"/>
      <c r="AP578" s="860"/>
      <c r="AQ578" s="860"/>
      <c r="AR578" s="860"/>
      <c r="AS578" s="860"/>
      <c r="AT578" s="860"/>
      <c r="AU578" s="860"/>
      <c r="AV578" s="860"/>
      <c r="AW578" s="860"/>
      <c r="AX578" s="860"/>
      <c r="AY578" s="860"/>
      <c r="AZ578" s="860"/>
      <c r="BA578" s="860"/>
      <c r="BB578" s="860"/>
      <c r="BC578" s="860"/>
      <c r="BD578" s="860"/>
      <c r="BE578" s="860"/>
      <c r="BF578" s="860"/>
      <c r="BG578" s="860"/>
      <c r="BH578" s="668"/>
      <c r="BI578" s="654"/>
      <c r="BJ578" s="690">
        <f t="shared" si="218"/>
        <v>0</v>
      </c>
      <c r="BK578" s="691">
        <f t="shared" si="219"/>
        <v>0</v>
      </c>
      <c r="BL578" s="654"/>
      <c r="BM578" s="692">
        <f>SUMIFS(Imput[[Importe Neto]:[Importe Neto]],Imput[[C. Imp.]:[C. Imp.]],$D578,Imput[[PERIODO Imp.]:[PERIODO Imp.]],BM$9)</f>
        <v>0</v>
      </c>
      <c r="BN578" s="693">
        <f>SUMIFS(Imput[[Importe Neto]:[Importe Neto]],Imput[[C. Imp.]:[C. Imp.]],$D578,Imput[[PERIODO Imp.]:[PERIODO Imp.]],BN$9)</f>
        <v>0</v>
      </c>
      <c r="BO578" s="693">
        <f>SUMIFS(Imput[[Importe Neto]:[Importe Neto]],Imput[[C. Imp.]:[C. Imp.]],$D578,Imput[[PERIODO Imp.]:[PERIODO Imp.]],BO$9)</f>
        <v>0</v>
      </c>
      <c r="BP578" s="693">
        <f>SUMIFS(Imput[[Importe Neto]:[Importe Neto]],Imput[[C. Imp.]:[C. Imp.]],$D578,Imput[[PERIODO Imp.]:[PERIODO Imp.]],BP$9)</f>
        <v>0</v>
      </c>
      <c r="BQ578" s="693">
        <f>SUMIFS(Imput[[Importe Neto]:[Importe Neto]],Imput[[C. Imp.]:[C. Imp.]],$D578,Imput[[PERIODO Imp.]:[PERIODO Imp.]],BQ$9)</f>
        <v>0</v>
      </c>
      <c r="BR578" s="693">
        <f>SUMIFS(Imput[[Importe Neto]:[Importe Neto]],Imput[[C. Imp.]:[C. Imp.]],$D578,Imput[[PERIODO Imp.]:[PERIODO Imp.]],BR$9)</f>
        <v>0</v>
      </c>
      <c r="BS578" s="693">
        <f>SUMIFS(Imput[[Importe Neto]:[Importe Neto]],Imput[[C. Imp.]:[C. Imp.]],$D578,Imput[[PERIODO Imp.]:[PERIODO Imp.]],BS$9)</f>
        <v>0</v>
      </c>
      <c r="BT578" s="693">
        <f>SUMIFS(Imput[[Importe Neto]:[Importe Neto]],Imput[[C. Imp.]:[C. Imp.]],$D578,Imput[[PERIODO Imp.]:[PERIODO Imp.]],BT$9)</f>
        <v>0</v>
      </c>
      <c r="BU578" s="693">
        <f>SUMIFS(Imput[[Importe Neto]:[Importe Neto]],Imput[[C. Imp.]:[C. Imp.]],$D578,Imput[[PERIODO Imp.]:[PERIODO Imp.]],BU$9)</f>
        <v>0</v>
      </c>
      <c r="BV578" s="693">
        <f>SUMIFS(Imput[[Importe Neto]:[Importe Neto]],Imput[[C. Imp.]:[C. Imp.]],$D578,Imput[[PERIODO Imp.]:[PERIODO Imp.]],BV$9)</f>
        <v>0</v>
      </c>
      <c r="BW578" s="693">
        <f>SUMIFS(Imput[[Importe Neto]:[Importe Neto]],Imput[[C. Imp.]:[C. Imp.]],$D578,Imput[[PERIODO Imp.]:[PERIODO Imp.]],BW$9)</f>
        <v>0</v>
      </c>
      <c r="BX578" s="693">
        <f>SUMIFS(Imput[[Importe Neto]:[Importe Neto]],Imput[[C. Imp.]:[C. Imp.]],$D578,Imput[[PERIODO Imp.]:[PERIODO Imp.]],BX$9)</f>
        <v>0</v>
      </c>
      <c r="BY578" s="693">
        <f>SUMIFS(Imput[[Importe Neto]:[Importe Neto]],Imput[[C. Imp.]:[C. Imp.]],$D578,Imput[[PERIODO Imp.]:[PERIODO Imp.]],BY$9)</f>
        <v>0</v>
      </c>
      <c r="BZ578" s="693">
        <f>SUMIFS(Imput[[Importe Neto]:[Importe Neto]],Imput[[C. Imp.]:[C. Imp.]],$D578,Imput[[PERIODO Imp.]:[PERIODO Imp.]],BZ$9)</f>
        <v>0</v>
      </c>
      <c r="CA578" s="693">
        <f>SUMIFS(Imput[[Importe Neto]:[Importe Neto]],Imput[[C. Imp.]:[C. Imp.]],$D578,Imput[[PERIODO Imp.]:[PERIODO Imp.]],CA$9)</f>
        <v>0</v>
      </c>
      <c r="CB578" s="693">
        <f>SUMIFS(Imput[[Importe Neto]:[Importe Neto]],Imput[[C. Imp.]:[C. Imp.]],$D578,Imput[[PERIODO Imp.]:[PERIODO Imp.]],CB$9)</f>
        <v>0</v>
      </c>
      <c r="CC578" s="693">
        <f>SUMIFS(Imput[[Importe Neto]:[Importe Neto]],Imput[[C. Imp.]:[C. Imp.]],$D578,Imput[[PERIODO Imp.]:[PERIODO Imp.]],CC$9)</f>
        <v>0</v>
      </c>
      <c r="CD578" s="693">
        <f>SUMIFS(Imput[[Importe Neto]:[Importe Neto]],Imput[[C. Imp.]:[C. Imp.]],$D578,Imput[[PERIODO Imp.]:[PERIODO Imp.]],CD$9)</f>
        <v>0</v>
      </c>
      <c r="CE578" s="693">
        <f>SUMIFS(Imput[[Importe Neto]:[Importe Neto]],Imput[[C. Imp.]:[C. Imp.]],$D578,Imput[[PERIODO Imp.]:[PERIODO Imp.]],CE$9)</f>
        <v>0</v>
      </c>
      <c r="CF578" s="693">
        <f>SUMIFS(Imput[[Importe Neto]:[Importe Neto]],Imput[[C. Imp.]:[C. Imp.]],$D578,Imput[[PERIODO Imp.]:[PERIODO Imp.]],CF$9)</f>
        <v>0</v>
      </c>
      <c r="CG578" s="693">
        <f>SUMIFS(Imput[[Importe Neto]:[Importe Neto]],Imput[[C. Imp.]:[C. Imp.]],$D578,Imput[[PERIODO Imp.]:[PERIODO Imp.]],CG$9)</f>
        <v>0</v>
      </c>
      <c r="CH578" s="693">
        <f>SUMIFS(Imput[[Importe Neto]:[Importe Neto]],Imput[[C. Imp.]:[C. Imp.]],$D578,Imput[[PERIODO Imp.]:[PERIODO Imp.]],CH$9)</f>
        <v>0</v>
      </c>
      <c r="CI578" s="693">
        <f>SUMIFS(Imput[[Importe Neto]:[Importe Neto]],Imput[[C. Imp.]:[C. Imp.]],$D578,Imput[[PERIODO Imp.]:[PERIODO Imp.]],CI$9)</f>
        <v>0</v>
      </c>
      <c r="CJ578" s="693">
        <f>SUMIFS(Imput[[Importe Neto]:[Importe Neto]],Imput[[C. Imp.]:[C. Imp.]],$D578,Imput[[PERIODO Imp.]:[PERIODO Imp.]],CJ$9)</f>
        <v>0</v>
      </c>
      <c r="CK578" s="693">
        <f>SUMIFS(Imput[[Importe Neto]:[Importe Neto]],Imput[[C. Imp.]:[C. Imp.]],$D578,Imput[[PERIODO Imp.]:[PERIODO Imp.]],CK$9)</f>
        <v>0</v>
      </c>
      <c r="CL578" s="693">
        <f>SUMIFS(Imput[[Importe Neto]:[Importe Neto]],Imput[[C. Imp.]:[C. Imp.]],$D578,Imput[[PERIODO Imp.]:[PERIODO Imp.]],CL$9)</f>
        <v>0</v>
      </c>
      <c r="CM578" s="693">
        <f>SUMIFS(Imput[[Importe Neto]:[Importe Neto]],Imput[[C. Imp.]:[C. Imp.]],$D578,Imput[[PERIODO Imp.]:[PERIODO Imp.]],CM$9)</f>
        <v>0</v>
      </c>
      <c r="CN578" s="693">
        <f>SUMIFS(Imput[[Importe Neto]:[Importe Neto]],Imput[[C. Imp.]:[C. Imp.]],$D578,Imput[[PERIODO Imp.]:[PERIODO Imp.]],CN$9)</f>
        <v>0</v>
      </c>
      <c r="CO578" s="693">
        <f>SUMIFS(Imput[[Importe Neto]:[Importe Neto]],Imput[[C. Imp.]:[C. Imp.]],$D578,Imput[[PERIODO Imp.]:[PERIODO Imp.]],CO$9)</f>
        <v>0</v>
      </c>
      <c r="CP578" s="693">
        <f>SUMIFS(Imput[[Importe Neto]:[Importe Neto]],Imput[[C. Imp.]:[C. Imp.]],$D578,Imput[[PERIODO Imp.]:[PERIODO Imp.]],CP$9)</f>
        <v>0</v>
      </c>
      <c r="CQ578" s="693">
        <f>SUMIFS(Imput[[Importe Neto]:[Importe Neto]],Imput[[C. Imp.]:[C. Imp.]],$D578,Imput[[PERIODO Imp.]:[PERIODO Imp.]],CQ$9)</f>
        <v>0</v>
      </c>
      <c r="CR578" s="693">
        <f>SUMIFS(Imput[[Importe Neto]:[Importe Neto]],Imput[[C. Imp.]:[C. Imp.]],$D578,Imput[[PERIODO Imp.]:[PERIODO Imp.]],CR$9)</f>
        <v>0</v>
      </c>
      <c r="CS578" s="693">
        <f>SUMIFS(Imput[[Importe Neto]:[Importe Neto]],Imput[[C. Imp.]:[C. Imp.]],$D578,Imput[[PERIODO Imp.]:[PERIODO Imp.]],CS$9)</f>
        <v>0</v>
      </c>
      <c r="CT578" s="693">
        <f>SUMIFS(Imput[[Importe Neto]:[Importe Neto]],Imput[[C. Imp.]:[C. Imp.]],$D578,Imput[[PERIODO Imp.]:[PERIODO Imp.]],CT$9)</f>
        <v>0</v>
      </c>
      <c r="CU578" s="693">
        <f>SUMIFS(Imput[[Importe Neto]:[Importe Neto]],Imput[[C. Imp.]:[C. Imp.]],$D578,Imput[[PERIODO Imp.]:[PERIODO Imp.]],CU$9)</f>
        <v>0</v>
      </c>
      <c r="CV578" s="693">
        <f>SUMIFS(Imput[[Importe Neto]:[Importe Neto]],Imput[[C. Imp.]:[C. Imp.]],$D578,Imput[[PERIODO Imp.]:[PERIODO Imp.]],CV$9)</f>
        <v>0</v>
      </c>
      <c r="CW578" s="693">
        <f>SUMIFS(Imput[[Importe Neto]:[Importe Neto]],Imput[[C. Imp.]:[C. Imp.]],$D578,Imput[[PERIODO Imp.]:[PERIODO Imp.]],CW$9)</f>
        <v>0</v>
      </c>
      <c r="CX578" s="693">
        <f>SUMIFS(Imput[[Importe Neto]:[Importe Neto]],Imput[[C. Imp.]:[C. Imp.]],$D578,Imput[[PERIODO Imp.]:[PERIODO Imp.]],CX$9)</f>
        <v>0</v>
      </c>
      <c r="CY578" s="693">
        <f>SUMIFS(Imput[[Importe Neto]:[Importe Neto]],Imput[[C. Imp.]:[C. Imp.]],$D578,Imput[[PERIODO Imp.]:[PERIODO Imp.]],CY$9)</f>
        <v>0</v>
      </c>
      <c r="CZ578" s="693">
        <f>SUMIFS(Imput[[Importe Neto]:[Importe Neto]],Imput[[C. Imp.]:[C. Imp.]],$D578,Imput[[PERIODO Imp.]:[PERIODO Imp.]],CZ$9)</f>
        <v>0</v>
      </c>
      <c r="DA578" s="693">
        <f>SUMIFS(Imput[[Importe Neto]:[Importe Neto]],Imput[[C. Imp.]:[C. Imp.]],$D578,Imput[[PERIODO Imp.]:[PERIODO Imp.]],DA$9)</f>
        <v>0</v>
      </c>
      <c r="DB578" s="693">
        <f>SUMIFS(Imput[[Importe Neto]:[Importe Neto]],Imput[[C. Imp.]:[C. Imp.]],$D578,Imput[[PERIODO Imp.]:[PERIODO Imp.]],DB$9)</f>
        <v>0</v>
      </c>
      <c r="DC578" s="693">
        <f>SUMIFS(Imput[[Importe Neto]:[Importe Neto]],Imput[[C. Imp.]:[C. Imp.]],$D578,Imput[[PERIODO Imp.]:[PERIODO Imp.]],DC$9)</f>
        <v>0</v>
      </c>
      <c r="DD578" s="693">
        <f>SUMIFS(Imput[[Importe Neto]:[Importe Neto]],Imput[[C. Imp.]:[C. Imp.]],$D578,Imput[[PERIODO Imp.]:[PERIODO Imp.]],DD$9)</f>
        <v>0</v>
      </c>
      <c r="DE578" s="693">
        <f>SUMIFS(Imput[[Importe Neto]:[Importe Neto]],Imput[[C. Imp.]:[C. Imp.]],$D578,Imput[[PERIODO Imp.]:[PERIODO Imp.]],DE$9)</f>
        <v>0</v>
      </c>
      <c r="DF578" s="693">
        <f>SUMIFS(Imput[[Importe Neto]:[Importe Neto]],Imput[[C. Imp.]:[C. Imp.]],$D578,Imput[[PERIODO Imp.]:[PERIODO Imp.]],DF$9)</f>
        <v>0</v>
      </c>
      <c r="DG578" s="693">
        <f>SUMIFS(Imput[[Importe Neto]:[Importe Neto]],Imput[[C. Imp.]:[C. Imp.]],$D578,Imput[[PERIODO Imp.]:[PERIODO Imp.]],DG$9)</f>
        <v>0</v>
      </c>
      <c r="DH578" s="694">
        <f>SUMIFS(Imput[[Importe Neto]:[Importe Neto]],Imput[[C. Imp.]:[C. Imp.]],$D578,Imput[[PERIODO Imp.]:[PERIODO Imp.]],DH$9)</f>
        <v>0</v>
      </c>
    </row>
    <row r="579" spans="1:112" s="649" customFormat="1" hidden="1" outlineLevel="1" x14ac:dyDescent="0.3">
      <c r="A579" s="652" t="str">
        <f t="shared" si="212"/>
        <v/>
      </c>
      <c r="B579" s="652"/>
      <c r="C579" s="685"/>
      <c r="D579" s="686" t="s">
        <v>2601</v>
      </c>
      <c r="E579" s="686"/>
      <c r="F579" s="720"/>
      <c r="G579" s="688"/>
      <c r="H579" s="689"/>
      <c r="I579" s="851" t="str">
        <f t="shared" si="217"/>
        <v/>
      </c>
      <c r="J579" s="850" t="str">
        <f t="shared" si="214"/>
        <v/>
      </c>
      <c r="K579" s="667"/>
      <c r="L579" s="858"/>
      <c r="M579" s="859"/>
      <c r="N579" s="859"/>
      <c r="O579" s="859"/>
      <c r="P579" s="859"/>
      <c r="Q579" s="859"/>
      <c r="R579" s="859"/>
      <c r="S579" s="859"/>
      <c r="T579" s="859"/>
      <c r="U579" s="859"/>
      <c r="V579" s="859"/>
      <c r="W579" s="859"/>
      <c r="X579" s="859"/>
      <c r="Y579" s="859"/>
      <c r="Z579" s="860"/>
      <c r="AA579" s="860"/>
      <c r="AB579" s="860"/>
      <c r="AC579" s="860"/>
      <c r="AD579" s="860"/>
      <c r="AE579" s="860"/>
      <c r="AF579" s="860"/>
      <c r="AG579" s="860"/>
      <c r="AH579" s="860"/>
      <c r="AI579" s="860"/>
      <c r="AJ579" s="860"/>
      <c r="AK579" s="860"/>
      <c r="AL579" s="860"/>
      <c r="AM579" s="860"/>
      <c r="AN579" s="860"/>
      <c r="AO579" s="860"/>
      <c r="AP579" s="860"/>
      <c r="AQ579" s="860"/>
      <c r="AR579" s="860"/>
      <c r="AS579" s="860"/>
      <c r="AT579" s="860"/>
      <c r="AU579" s="860"/>
      <c r="AV579" s="860"/>
      <c r="AW579" s="860"/>
      <c r="AX579" s="860"/>
      <c r="AY579" s="860"/>
      <c r="AZ579" s="860"/>
      <c r="BA579" s="860"/>
      <c r="BB579" s="860"/>
      <c r="BC579" s="860"/>
      <c r="BD579" s="860"/>
      <c r="BE579" s="860"/>
      <c r="BF579" s="860"/>
      <c r="BG579" s="860"/>
      <c r="BH579" s="668"/>
      <c r="BI579" s="654"/>
      <c r="BJ579" s="690">
        <f t="shared" si="218"/>
        <v>0</v>
      </c>
      <c r="BK579" s="691">
        <f t="shared" si="219"/>
        <v>0</v>
      </c>
      <c r="BL579" s="654"/>
      <c r="BM579" s="692">
        <f>SUMIFS(Imput[[Importe Neto]:[Importe Neto]],Imput[[C. Imp.]:[C. Imp.]],$D579,Imput[[PERIODO Imp.]:[PERIODO Imp.]],BM$9)</f>
        <v>0</v>
      </c>
      <c r="BN579" s="693">
        <f>SUMIFS(Imput[[Importe Neto]:[Importe Neto]],Imput[[C. Imp.]:[C. Imp.]],$D579,Imput[[PERIODO Imp.]:[PERIODO Imp.]],BN$9)</f>
        <v>0</v>
      </c>
      <c r="BO579" s="693">
        <f>SUMIFS(Imput[[Importe Neto]:[Importe Neto]],Imput[[C. Imp.]:[C. Imp.]],$D579,Imput[[PERIODO Imp.]:[PERIODO Imp.]],BO$9)</f>
        <v>0</v>
      </c>
      <c r="BP579" s="693">
        <f>SUMIFS(Imput[[Importe Neto]:[Importe Neto]],Imput[[C. Imp.]:[C. Imp.]],$D579,Imput[[PERIODO Imp.]:[PERIODO Imp.]],BP$9)</f>
        <v>0</v>
      </c>
      <c r="BQ579" s="693">
        <f>SUMIFS(Imput[[Importe Neto]:[Importe Neto]],Imput[[C. Imp.]:[C. Imp.]],$D579,Imput[[PERIODO Imp.]:[PERIODO Imp.]],BQ$9)</f>
        <v>0</v>
      </c>
      <c r="BR579" s="693">
        <f>SUMIFS(Imput[[Importe Neto]:[Importe Neto]],Imput[[C. Imp.]:[C. Imp.]],$D579,Imput[[PERIODO Imp.]:[PERIODO Imp.]],BR$9)</f>
        <v>0</v>
      </c>
      <c r="BS579" s="693">
        <f>SUMIFS(Imput[[Importe Neto]:[Importe Neto]],Imput[[C. Imp.]:[C. Imp.]],$D579,Imput[[PERIODO Imp.]:[PERIODO Imp.]],BS$9)</f>
        <v>0</v>
      </c>
      <c r="BT579" s="693">
        <f>SUMIFS(Imput[[Importe Neto]:[Importe Neto]],Imput[[C. Imp.]:[C. Imp.]],$D579,Imput[[PERIODO Imp.]:[PERIODO Imp.]],BT$9)</f>
        <v>0</v>
      </c>
      <c r="BU579" s="693">
        <f>SUMIFS(Imput[[Importe Neto]:[Importe Neto]],Imput[[C. Imp.]:[C. Imp.]],$D579,Imput[[PERIODO Imp.]:[PERIODO Imp.]],BU$9)</f>
        <v>0</v>
      </c>
      <c r="BV579" s="693">
        <f>SUMIFS(Imput[[Importe Neto]:[Importe Neto]],Imput[[C. Imp.]:[C. Imp.]],$D579,Imput[[PERIODO Imp.]:[PERIODO Imp.]],BV$9)</f>
        <v>0</v>
      </c>
      <c r="BW579" s="693">
        <f>SUMIFS(Imput[[Importe Neto]:[Importe Neto]],Imput[[C. Imp.]:[C. Imp.]],$D579,Imput[[PERIODO Imp.]:[PERIODO Imp.]],BW$9)</f>
        <v>0</v>
      </c>
      <c r="BX579" s="693">
        <f>SUMIFS(Imput[[Importe Neto]:[Importe Neto]],Imput[[C. Imp.]:[C. Imp.]],$D579,Imput[[PERIODO Imp.]:[PERIODO Imp.]],BX$9)</f>
        <v>0</v>
      </c>
      <c r="BY579" s="693">
        <f>SUMIFS(Imput[[Importe Neto]:[Importe Neto]],Imput[[C. Imp.]:[C. Imp.]],$D579,Imput[[PERIODO Imp.]:[PERIODO Imp.]],BY$9)</f>
        <v>0</v>
      </c>
      <c r="BZ579" s="693">
        <f>SUMIFS(Imput[[Importe Neto]:[Importe Neto]],Imput[[C. Imp.]:[C. Imp.]],$D579,Imput[[PERIODO Imp.]:[PERIODO Imp.]],BZ$9)</f>
        <v>0</v>
      </c>
      <c r="CA579" s="693">
        <f>SUMIFS(Imput[[Importe Neto]:[Importe Neto]],Imput[[C. Imp.]:[C. Imp.]],$D579,Imput[[PERIODO Imp.]:[PERIODO Imp.]],CA$9)</f>
        <v>0</v>
      </c>
      <c r="CB579" s="693">
        <f>SUMIFS(Imput[[Importe Neto]:[Importe Neto]],Imput[[C. Imp.]:[C. Imp.]],$D579,Imput[[PERIODO Imp.]:[PERIODO Imp.]],CB$9)</f>
        <v>0</v>
      </c>
      <c r="CC579" s="693">
        <f>SUMIFS(Imput[[Importe Neto]:[Importe Neto]],Imput[[C. Imp.]:[C. Imp.]],$D579,Imput[[PERIODO Imp.]:[PERIODO Imp.]],CC$9)</f>
        <v>0</v>
      </c>
      <c r="CD579" s="693">
        <f>SUMIFS(Imput[[Importe Neto]:[Importe Neto]],Imput[[C. Imp.]:[C. Imp.]],$D579,Imput[[PERIODO Imp.]:[PERIODO Imp.]],CD$9)</f>
        <v>0</v>
      </c>
      <c r="CE579" s="693">
        <f>SUMIFS(Imput[[Importe Neto]:[Importe Neto]],Imput[[C. Imp.]:[C. Imp.]],$D579,Imput[[PERIODO Imp.]:[PERIODO Imp.]],CE$9)</f>
        <v>0</v>
      </c>
      <c r="CF579" s="693">
        <f>SUMIFS(Imput[[Importe Neto]:[Importe Neto]],Imput[[C. Imp.]:[C. Imp.]],$D579,Imput[[PERIODO Imp.]:[PERIODO Imp.]],CF$9)</f>
        <v>0</v>
      </c>
      <c r="CG579" s="693">
        <f>SUMIFS(Imput[[Importe Neto]:[Importe Neto]],Imput[[C. Imp.]:[C. Imp.]],$D579,Imput[[PERIODO Imp.]:[PERIODO Imp.]],CG$9)</f>
        <v>0</v>
      </c>
      <c r="CH579" s="693">
        <f>SUMIFS(Imput[[Importe Neto]:[Importe Neto]],Imput[[C. Imp.]:[C. Imp.]],$D579,Imput[[PERIODO Imp.]:[PERIODO Imp.]],CH$9)</f>
        <v>0</v>
      </c>
      <c r="CI579" s="693">
        <f>SUMIFS(Imput[[Importe Neto]:[Importe Neto]],Imput[[C. Imp.]:[C. Imp.]],$D579,Imput[[PERIODO Imp.]:[PERIODO Imp.]],CI$9)</f>
        <v>0</v>
      </c>
      <c r="CJ579" s="693">
        <f>SUMIFS(Imput[[Importe Neto]:[Importe Neto]],Imput[[C. Imp.]:[C. Imp.]],$D579,Imput[[PERIODO Imp.]:[PERIODO Imp.]],CJ$9)</f>
        <v>0</v>
      </c>
      <c r="CK579" s="693">
        <f>SUMIFS(Imput[[Importe Neto]:[Importe Neto]],Imput[[C. Imp.]:[C. Imp.]],$D579,Imput[[PERIODO Imp.]:[PERIODO Imp.]],CK$9)</f>
        <v>0</v>
      </c>
      <c r="CL579" s="693">
        <f>SUMIFS(Imput[[Importe Neto]:[Importe Neto]],Imput[[C. Imp.]:[C. Imp.]],$D579,Imput[[PERIODO Imp.]:[PERIODO Imp.]],CL$9)</f>
        <v>0</v>
      </c>
      <c r="CM579" s="693">
        <f>SUMIFS(Imput[[Importe Neto]:[Importe Neto]],Imput[[C. Imp.]:[C. Imp.]],$D579,Imput[[PERIODO Imp.]:[PERIODO Imp.]],CM$9)</f>
        <v>0</v>
      </c>
      <c r="CN579" s="693">
        <f>SUMIFS(Imput[[Importe Neto]:[Importe Neto]],Imput[[C. Imp.]:[C. Imp.]],$D579,Imput[[PERIODO Imp.]:[PERIODO Imp.]],CN$9)</f>
        <v>0</v>
      </c>
      <c r="CO579" s="693">
        <f>SUMIFS(Imput[[Importe Neto]:[Importe Neto]],Imput[[C. Imp.]:[C. Imp.]],$D579,Imput[[PERIODO Imp.]:[PERIODO Imp.]],CO$9)</f>
        <v>0</v>
      </c>
      <c r="CP579" s="693">
        <f>SUMIFS(Imput[[Importe Neto]:[Importe Neto]],Imput[[C. Imp.]:[C. Imp.]],$D579,Imput[[PERIODO Imp.]:[PERIODO Imp.]],CP$9)</f>
        <v>0</v>
      </c>
      <c r="CQ579" s="693">
        <f>SUMIFS(Imput[[Importe Neto]:[Importe Neto]],Imput[[C. Imp.]:[C. Imp.]],$D579,Imput[[PERIODO Imp.]:[PERIODO Imp.]],CQ$9)</f>
        <v>0</v>
      </c>
      <c r="CR579" s="693">
        <f>SUMIFS(Imput[[Importe Neto]:[Importe Neto]],Imput[[C. Imp.]:[C. Imp.]],$D579,Imput[[PERIODO Imp.]:[PERIODO Imp.]],CR$9)</f>
        <v>0</v>
      </c>
      <c r="CS579" s="693">
        <f>SUMIFS(Imput[[Importe Neto]:[Importe Neto]],Imput[[C. Imp.]:[C. Imp.]],$D579,Imput[[PERIODO Imp.]:[PERIODO Imp.]],CS$9)</f>
        <v>0</v>
      </c>
      <c r="CT579" s="693">
        <f>SUMIFS(Imput[[Importe Neto]:[Importe Neto]],Imput[[C. Imp.]:[C. Imp.]],$D579,Imput[[PERIODO Imp.]:[PERIODO Imp.]],CT$9)</f>
        <v>0</v>
      </c>
      <c r="CU579" s="693">
        <f>SUMIFS(Imput[[Importe Neto]:[Importe Neto]],Imput[[C. Imp.]:[C. Imp.]],$D579,Imput[[PERIODO Imp.]:[PERIODO Imp.]],CU$9)</f>
        <v>0</v>
      </c>
      <c r="CV579" s="693">
        <f>SUMIFS(Imput[[Importe Neto]:[Importe Neto]],Imput[[C. Imp.]:[C. Imp.]],$D579,Imput[[PERIODO Imp.]:[PERIODO Imp.]],CV$9)</f>
        <v>0</v>
      </c>
      <c r="CW579" s="693">
        <f>SUMIFS(Imput[[Importe Neto]:[Importe Neto]],Imput[[C. Imp.]:[C. Imp.]],$D579,Imput[[PERIODO Imp.]:[PERIODO Imp.]],CW$9)</f>
        <v>0</v>
      </c>
      <c r="CX579" s="693">
        <f>SUMIFS(Imput[[Importe Neto]:[Importe Neto]],Imput[[C. Imp.]:[C. Imp.]],$D579,Imput[[PERIODO Imp.]:[PERIODO Imp.]],CX$9)</f>
        <v>0</v>
      </c>
      <c r="CY579" s="693">
        <f>SUMIFS(Imput[[Importe Neto]:[Importe Neto]],Imput[[C. Imp.]:[C. Imp.]],$D579,Imput[[PERIODO Imp.]:[PERIODO Imp.]],CY$9)</f>
        <v>0</v>
      </c>
      <c r="CZ579" s="693">
        <f>SUMIFS(Imput[[Importe Neto]:[Importe Neto]],Imput[[C. Imp.]:[C. Imp.]],$D579,Imput[[PERIODO Imp.]:[PERIODO Imp.]],CZ$9)</f>
        <v>0</v>
      </c>
      <c r="DA579" s="693">
        <f>SUMIFS(Imput[[Importe Neto]:[Importe Neto]],Imput[[C. Imp.]:[C. Imp.]],$D579,Imput[[PERIODO Imp.]:[PERIODO Imp.]],DA$9)</f>
        <v>0</v>
      </c>
      <c r="DB579" s="693">
        <f>SUMIFS(Imput[[Importe Neto]:[Importe Neto]],Imput[[C. Imp.]:[C. Imp.]],$D579,Imput[[PERIODO Imp.]:[PERIODO Imp.]],DB$9)</f>
        <v>0</v>
      </c>
      <c r="DC579" s="693">
        <f>SUMIFS(Imput[[Importe Neto]:[Importe Neto]],Imput[[C. Imp.]:[C. Imp.]],$D579,Imput[[PERIODO Imp.]:[PERIODO Imp.]],DC$9)</f>
        <v>0</v>
      </c>
      <c r="DD579" s="693">
        <f>SUMIFS(Imput[[Importe Neto]:[Importe Neto]],Imput[[C. Imp.]:[C. Imp.]],$D579,Imput[[PERIODO Imp.]:[PERIODO Imp.]],DD$9)</f>
        <v>0</v>
      </c>
      <c r="DE579" s="693">
        <f>SUMIFS(Imput[[Importe Neto]:[Importe Neto]],Imput[[C. Imp.]:[C. Imp.]],$D579,Imput[[PERIODO Imp.]:[PERIODO Imp.]],DE$9)</f>
        <v>0</v>
      </c>
      <c r="DF579" s="693">
        <f>SUMIFS(Imput[[Importe Neto]:[Importe Neto]],Imput[[C. Imp.]:[C. Imp.]],$D579,Imput[[PERIODO Imp.]:[PERIODO Imp.]],DF$9)</f>
        <v>0</v>
      </c>
      <c r="DG579" s="693">
        <f>SUMIFS(Imput[[Importe Neto]:[Importe Neto]],Imput[[C. Imp.]:[C. Imp.]],$D579,Imput[[PERIODO Imp.]:[PERIODO Imp.]],DG$9)</f>
        <v>0</v>
      </c>
      <c r="DH579" s="694">
        <f>SUMIFS(Imput[[Importe Neto]:[Importe Neto]],Imput[[C. Imp.]:[C. Imp.]],$D579,Imput[[PERIODO Imp.]:[PERIODO Imp.]],DH$9)</f>
        <v>0</v>
      </c>
    </row>
    <row r="580" spans="1:112" s="649" customFormat="1" hidden="1" outlineLevel="1" x14ac:dyDescent="0.3">
      <c r="A580" s="652" t="str">
        <f t="shared" si="212"/>
        <v/>
      </c>
      <c r="B580" s="652"/>
      <c r="C580" s="685"/>
      <c r="D580" s="686" t="s">
        <v>2602</v>
      </c>
      <c r="E580" s="686"/>
      <c r="F580" s="720"/>
      <c r="G580" s="688"/>
      <c r="H580" s="689"/>
      <c r="I580" s="851" t="str">
        <f t="shared" si="217"/>
        <v/>
      </c>
      <c r="J580" s="850" t="str">
        <f t="shared" si="214"/>
        <v/>
      </c>
      <c r="K580" s="667"/>
      <c r="L580" s="858"/>
      <c r="M580" s="859"/>
      <c r="N580" s="859"/>
      <c r="O580" s="859"/>
      <c r="P580" s="859"/>
      <c r="Q580" s="859"/>
      <c r="R580" s="859"/>
      <c r="S580" s="859"/>
      <c r="T580" s="859"/>
      <c r="U580" s="859"/>
      <c r="V580" s="859"/>
      <c r="W580" s="859"/>
      <c r="X580" s="859"/>
      <c r="Y580" s="859"/>
      <c r="Z580" s="860"/>
      <c r="AA580" s="860"/>
      <c r="AB580" s="860"/>
      <c r="AC580" s="860"/>
      <c r="AD580" s="860"/>
      <c r="AE580" s="860"/>
      <c r="AF580" s="860"/>
      <c r="AG580" s="860"/>
      <c r="AH580" s="860"/>
      <c r="AI580" s="860"/>
      <c r="AJ580" s="860"/>
      <c r="AK580" s="860"/>
      <c r="AL580" s="860"/>
      <c r="AM580" s="860"/>
      <c r="AN580" s="860"/>
      <c r="AO580" s="860"/>
      <c r="AP580" s="860"/>
      <c r="AQ580" s="860"/>
      <c r="AR580" s="860"/>
      <c r="AS580" s="860"/>
      <c r="AT580" s="860"/>
      <c r="AU580" s="860"/>
      <c r="AV580" s="860"/>
      <c r="AW580" s="860"/>
      <c r="AX580" s="860"/>
      <c r="AY580" s="860"/>
      <c r="AZ580" s="860"/>
      <c r="BA580" s="860"/>
      <c r="BB580" s="860"/>
      <c r="BC580" s="860"/>
      <c r="BD580" s="860"/>
      <c r="BE580" s="860"/>
      <c r="BF580" s="860"/>
      <c r="BG580" s="860"/>
      <c r="BH580" s="668"/>
      <c r="BI580" s="654"/>
      <c r="BJ580" s="690">
        <f t="shared" si="218"/>
        <v>0</v>
      </c>
      <c r="BK580" s="691">
        <f t="shared" si="219"/>
        <v>0</v>
      </c>
      <c r="BL580" s="654"/>
      <c r="BM580" s="692">
        <f>SUMIFS(Imput[[Importe Neto]:[Importe Neto]],Imput[[C. Imp.]:[C. Imp.]],$D580,Imput[[PERIODO Imp.]:[PERIODO Imp.]],BM$9)</f>
        <v>0</v>
      </c>
      <c r="BN580" s="693">
        <f>SUMIFS(Imput[[Importe Neto]:[Importe Neto]],Imput[[C. Imp.]:[C. Imp.]],$D580,Imput[[PERIODO Imp.]:[PERIODO Imp.]],BN$9)</f>
        <v>0</v>
      </c>
      <c r="BO580" s="693">
        <f>SUMIFS(Imput[[Importe Neto]:[Importe Neto]],Imput[[C. Imp.]:[C. Imp.]],$D580,Imput[[PERIODO Imp.]:[PERIODO Imp.]],BO$9)</f>
        <v>0</v>
      </c>
      <c r="BP580" s="693">
        <f>SUMIFS(Imput[[Importe Neto]:[Importe Neto]],Imput[[C. Imp.]:[C. Imp.]],$D580,Imput[[PERIODO Imp.]:[PERIODO Imp.]],BP$9)</f>
        <v>0</v>
      </c>
      <c r="BQ580" s="693">
        <f>SUMIFS(Imput[[Importe Neto]:[Importe Neto]],Imput[[C. Imp.]:[C. Imp.]],$D580,Imput[[PERIODO Imp.]:[PERIODO Imp.]],BQ$9)</f>
        <v>0</v>
      </c>
      <c r="BR580" s="693">
        <f>SUMIFS(Imput[[Importe Neto]:[Importe Neto]],Imput[[C. Imp.]:[C. Imp.]],$D580,Imput[[PERIODO Imp.]:[PERIODO Imp.]],BR$9)</f>
        <v>0</v>
      </c>
      <c r="BS580" s="693">
        <f>SUMIFS(Imput[[Importe Neto]:[Importe Neto]],Imput[[C. Imp.]:[C. Imp.]],$D580,Imput[[PERIODO Imp.]:[PERIODO Imp.]],BS$9)</f>
        <v>0</v>
      </c>
      <c r="BT580" s="693">
        <f>SUMIFS(Imput[[Importe Neto]:[Importe Neto]],Imput[[C. Imp.]:[C. Imp.]],$D580,Imput[[PERIODO Imp.]:[PERIODO Imp.]],BT$9)</f>
        <v>0</v>
      </c>
      <c r="BU580" s="693">
        <f>SUMIFS(Imput[[Importe Neto]:[Importe Neto]],Imput[[C. Imp.]:[C. Imp.]],$D580,Imput[[PERIODO Imp.]:[PERIODO Imp.]],BU$9)</f>
        <v>0</v>
      </c>
      <c r="BV580" s="693">
        <f>SUMIFS(Imput[[Importe Neto]:[Importe Neto]],Imput[[C. Imp.]:[C. Imp.]],$D580,Imput[[PERIODO Imp.]:[PERIODO Imp.]],BV$9)</f>
        <v>0</v>
      </c>
      <c r="BW580" s="693">
        <f>SUMIFS(Imput[[Importe Neto]:[Importe Neto]],Imput[[C. Imp.]:[C. Imp.]],$D580,Imput[[PERIODO Imp.]:[PERIODO Imp.]],BW$9)</f>
        <v>0</v>
      </c>
      <c r="BX580" s="693">
        <f>SUMIFS(Imput[[Importe Neto]:[Importe Neto]],Imput[[C. Imp.]:[C. Imp.]],$D580,Imput[[PERIODO Imp.]:[PERIODO Imp.]],BX$9)</f>
        <v>0</v>
      </c>
      <c r="BY580" s="693">
        <f>SUMIFS(Imput[[Importe Neto]:[Importe Neto]],Imput[[C. Imp.]:[C. Imp.]],$D580,Imput[[PERIODO Imp.]:[PERIODO Imp.]],BY$9)</f>
        <v>0</v>
      </c>
      <c r="BZ580" s="693">
        <f>SUMIFS(Imput[[Importe Neto]:[Importe Neto]],Imput[[C. Imp.]:[C. Imp.]],$D580,Imput[[PERIODO Imp.]:[PERIODO Imp.]],BZ$9)</f>
        <v>0</v>
      </c>
      <c r="CA580" s="693">
        <f>SUMIFS(Imput[[Importe Neto]:[Importe Neto]],Imput[[C. Imp.]:[C. Imp.]],$D580,Imput[[PERIODO Imp.]:[PERIODO Imp.]],CA$9)</f>
        <v>0</v>
      </c>
      <c r="CB580" s="693">
        <f>SUMIFS(Imput[[Importe Neto]:[Importe Neto]],Imput[[C. Imp.]:[C. Imp.]],$D580,Imput[[PERIODO Imp.]:[PERIODO Imp.]],CB$9)</f>
        <v>0</v>
      </c>
      <c r="CC580" s="693">
        <f>SUMIFS(Imput[[Importe Neto]:[Importe Neto]],Imput[[C. Imp.]:[C. Imp.]],$D580,Imput[[PERIODO Imp.]:[PERIODO Imp.]],CC$9)</f>
        <v>0</v>
      </c>
      <c r="CD580" s="693">
        <f>SUMIFS(Imput[[Importe Neto]:[Importe Neto]],Imput[[C. Imp.]:[C. Imp.]],$D580,Imput[[PERIODO Imp.]:[PERIODO Imp.]],CD$9)</f>
        <v>0</v>
      </c>
      <c r="CE580" s="693">
        <f>SUMIFS(Imput[[Importe Neto]:[Importe Neto]],Imput[[C. Imp.]:[C. Imp.]],$D580,Imput[[PERIODO Imp.]:[PERIODO Imp.]],CE$9)</f>
        <v>0</v>
      </c>
      <c r="CF580" s="693">
        <f>SUMIFS(Imput[[Importe Neto]:[Importe Neto]],Imput[[C. Imp.]:[C. Imp.]],$D580,Imput[[PERIODO Imp.]:[PERIODO Imp.]],CF$9)</f>
        <v>0</v>
      </c>
      <c r="CG580" s="693">
        <f>SUMIFS(Imput[[Importe Neto]:[Importe Neto]],Imput[[C. Imp.]:[C. Imp.]],$D580,Imput[[PERIODO Imp.]:[PERIODO Imp.]],CG$9)</f>
        <v>0</v>
      </c>
      <c r="CH580" s="693">
        <f>SUMIFS(Imput[[Importe Neto]:[Importe Neto]],Imput[[C. Imp.]:[C. Imp.]],$D580,Imput[[PERIODO Imp.]:[PERIODO Imp.]],CH$9)</f>
        <v>0</v>
      </c>
      <c r="CI580" s="693">
        <f>SUMIFS(Imput[[Importe Neto]:[Importe Neto]],Imput[[C. Imp.]:[C. Imp.]],$D580,Imput[[PERIODO Imp.]:[PERIODO Imp.]],CI$9)</f>
        <v>0</v>
      </c>
      <c r="CJ580" s="693">
        <f>SUMIFS(Imput[[Importe Neto]:[Importe Neto]],Imput[[C. Imp.]:[C. Imp.]],$D580,Imput[[PERIODO Imp.]:[PERIODO Imp.]],CJ$9)</f>
        <v>0</v>
      </c>
      <c r="CK580" s="693">
        <f>SUMIFS(Imput[[Importe Neto]:[Importe Neto]],Imput[[C. Imp.]:[C. Imp.]],$D580,Imput[[PERIODO Imp.]:[PERIODO Imp.]],CK$9)</f>
        <v>0</v>
      </c>
      <c r="CL580" s="693">
        <f>SUMIFS(Imput[[Importe Neto]:[Importe Neto]],Imput[[C. Imp.]:[C. Imp.]],$D580,Imput[[PERIODO Imp.]:[PERIODO Imp.]],CL$9)</f>
        <v>0</v>
      </c>
      <c r="CM580" s="693">
        <f>SUMIFS(Imput[[Importe Neto]:[Importe Neto]],Imput[[C. Imp.]:[C. Imp.]],$D580,Imput[[PERIODO Imp.]:[PERIODO Imp.]],CM$9)</f>
        <v>0</v>
      </c>
      <c r="CN580" s="693">
        <f>SUMIFS(Imput[[Importe Neto]:[Importe Neto]],Imput[[C. Imp.]:[C. Imp.]],$D580,Imput[[PERIODO Imp.]:[PERIODO Imp.]],CN$9)</f>
        <v>0</v>
      </c>
      <c r="CO580" s="693">
        <f>SUMIFS(Imput[[Importe Neto]:[Importe Neto]],Imput[[C. Imp.]:[C. Imp.]],$D580,Imput[[PERIODO Imp.]:[PERIODO Imp.]],CO$9)</f>
        <v>0</v>
      </c>
      <c r="CP580" s="693">
        <f>SUMIFS(Imput[[Importe Neto]:[Importe Neto]],Imput[[C. Imp.]:[C. Imp.]],$D580,Imput[[PERIODO Imp.]:[PERIODO Imp.]],CP$9)</f>
        <v>0</v>
      </c>
      <c r="CQ580" s="693">
        <f>SUMIFS(Imput[[Importe Neto]:[Importe Neto]],Imput[[C. Imp.]:[C. Imp.]],$D580,Imput[[PERIODO Imp.]:[PERIODO Imp.]],CQ$9)</f>
        <v>0</v>
      </c>
      <c r="CR580" s="693">
        <f>SUMIFS(Imput[[Importe Neto]:[Importe Neto]],Imput[[C. Imp.]:[C. Imp.]],$D580,Imput[[PERIODO Imp.]:[PERIODO Imp.]],CR$9)</f>
        <v>0</v>
      </c>
      <c r="CS580" s="693">
        <f>SUMIFS(Imput[[Importe Neto]:[Importe Neto]],Imput[[C. Imp.]:[C. Imp.]],$D580,Imput[[PERIODO Imp.]:[PERIODO Imp.]],CS$9)</f>
        <v>0</v>
      </c>
      <c r="CT580" s="693">
        <f>SUMIFS(Imput[[Importe Neto]:[Importe Neto]],Imput[[C. Imp.]:[C. Imp.]],$D580,Imput[[PERIODO Imp.]:[PERIODO Imp.]],CT$9)</f>
        <v>0</v>
      </c>
      <c r="CU580" s="693">
        <f>SUMIFS(Imput[[Importe Neto]:[Importe Neto]],Imput[[C. Imp.]:[C. Imp.]],$D580,Imput[[PERIODO Imp.]:[PERIODO Imp.]],CU$9)</f>
        <v>0</v>
      </c>
      <c r="CV580" s="693">
        <f>SUMIFS(Imput[[Importe Neto]:[Importe Neto]],Imput[[C. Imp.]:[C. Imp.]],$D580,Imput[[PERIODO Imp.]:[PERIODO Imp.]],CV$9)</f>
        <v>0</v>
      </c>
      <c r="CW580" s="693">
        <f>SUMIFS(Imput[[Importe Neto]:[Importe Neto]],Imput[[C. Imp.]:[C. Imp.]],$D580,Imput[[PERIODO Imp.]:[PERIODO Imp.]],CW$9)</f>
        <v>0</v>
      </c>
      <c r="CX580" s="693">
        <f>SUMIFS(Imput[[Importe Neto]:[Importe Neto]],Imput[[C. Imp.]:[C. Imp.]],$D580,Imput[[PERIODO Imp.]:[PERIODO Imp.]],CX$9)</f>
        <v>0</v>
      </c>
      <c r="CY580" s="693">
        <f>SUMIFS(Imput[[Importe Neto]:[Importe Neto]],Imput[[C. Imp.]:[C. Imp.]],$D580,Imput[[PERIODO Imp.]:[PERIODO Imp.]],CY$9)</f>
        <v>0</v>
      </c>
      <c r="CZ580" s="693">
        <f>SUMIFS(Imput[[Importe Neto]:[Importe Neto]],Imput[[C. Imp.]:[C. Imp.]],$D580,Imput[[PERIODO Imp.]:[PERIODO Imp.]],CZ$9)</f>
        <v>0</v>
      </c>
      <c r="DA580" s="693">
        <f>SUMIFS(Imput[[Importe Neto]:[Importe Neto]],Imput[[C. Imp.]:[C. Imp.]],$D580,Imput[[PERIODO Imp.]:[PERIODO Imp.]],DA$9)</f>
        <v>0</v>
      </c>
      <c r="DB580" s="693">
        <f>SUMIFS(Imput[[Importe Neto]:[Importe Neto]],Imput[[C. Imp.]:[C. Imp.]],$D580,Imput[[PERIODO Imp.]:[PERIODO Imp.]],DB$9)</f>
        <v>0</v>
      </c>
      <c r="DC580" s="693">
        <f>SUMIFS(Imput[[Importe Neto]:[Importe Neto]],Imput[[C. Imp.]:[C. Imp.]],$D580,Imput[[PERIODO Imp.]:[PERIODO Imp.]],DC$9)</f>
        <v>0</v>
      </c>
      <c r="DD580" s="693">
        <f>SUMIFS(Imput[[Importe Neto]:[Importe Neto]],Imput[[C. Imp.]:[C. Imp.]],$D580,Imput[[PERIODO Imp.]:[PERIODO Imp.]],DD$9)</f>
        <v>0</v>
      </c>
      <c r="DE580" s="693">
        <f>SUMIFS(Imput[[Importe Neto]:[Importe Neto]],Imput[[C. Imp.]:[C. Imp.]],$D580,Imput[[PERIODO Imp.]:[PERIODO Imp.]],DE$9)</f>
        <v>0</v>
      </c>
      <c r="DF580" s="693">
        <f>SUMIFS(Imput[[Importe Neto]:[Importe Neto]],Imput[[C. Imp.]:[C. Imp.]],$D580,Imput[[PERIODO Imp.]:[PERIODO Imp.]],DF$9)</f>
        <v>0</v>
      </c>
      <c r="DG580" s="693">
        <f>SUMIFS(Imput[[Importe Neto]:[Importe Neto]],Imput[[C. Imp.]:[C. Imp.]],$D580,Imput[[PERIODO Imp.]:[PERIODO Imp.]],DG$9)</f>
        <v>0</v>
      </c>
      <c r="DH580" s="694">
        <f>SUMIFS(Imput[[Importe Neto]:[Importe Neto]],Imput[[C. Imp.]:[C. Imp.]],$D580,Imput[[PERIODO Imp.]:[PERIODO Imp.]],DH$9)</f>
        <v>0</v>
      </c>
    </row>
    <row r="581" spans="1:112" s="649" customFormat="1" hidden="1" outlineLevel="1" x14ac:dyDescent="0.3">
      <c r="A581" s="652" t="str">
        <f t="shared" si="212"/>
        <v/>
      </c>
      <c r="B581" s="652"/>
      <c r="C581" s="685"/>
      <c r="D581" s="686" t="s">
        <v>2603</v>
      </c>
      <c r="E581" s="686"/>
      <c r="F581" s="720"/>
      <c r="G581" s="688"/>
      <c r="H581" s="689"/>
      <c r="I581" s="851" t="str">
        <f t="shared" si="217"/>
        <v/>
      </c>
      <c r="J581" s="850" t="str">
        <f t="shared" si="214"/>
        <v/>
      </c>
      <c r="K581" s="678"/>
      <c r="L581" s="858"/>
      <c r="M581" s="859"/>
      <c r="N581" s="859"/>
      <c r="O581" s="859"/>
      <c r="P581" s="859"/>
      <c r="Q581" s="859"/>
      <c r="R581" s="859"/>
      <c r="S581" s="859"/>
      <c r="T581" s="859"/>
      <c r="U581" s="859"/>
      <c r="V581" s="859"/>
      <c r="W581" s="859"/>
      <c r="X581" s="859"/>
      <c r="Y581" s="859"/>
      <c r="Z581" s="860"/>
      <c r="AA581" s="860"/>
      <c r="AB581" s="860"/>
      <c r="AC581" s="860"/>
      <c r="AD581" s="860"/>
      <c r="AE581" s="860"/>
      <c r="AF581" s="860"/>
      <c r="AG581" s="860"/>
      <c r="AH581" s="860"/>
      <c r="AI581" s="860"/>
      <c r="AJ581" s="860"/>
      <c r="AK581" s="860"/>
      <c r="AL581" s="860"/>
      <c r="AM581" s="860"/>
      <c r="AN581" s="860"/>
      <c r="AO581" s="860"/>
      <c r="AP581" s="860"/>
      <c r="AQ581" s="860"/>
      <c r="AR581" s="860"/>
      <c r="AS581" s="860"/>
      <c r="AT581" s="860"/>
      <c r="AU581" s="860"/>
      <c r="AV581" s="860"/>
      <c r="AW581" s="860"/>
      <c r="AX581" s="860"/>
      <c r="AY581" s="860"/>
      <c r="AZ581" s="860"/>
      <c r="BA581" s="860"/>
      <c r="BB581" s="860"/>
      <c r="BC581" s="860"/>
      <c r="BD581" s="860"/>
      <c r="BE581" s="860"/>
      <c r="BF581" s="860"/>
      <c r="BG581" s="860"/>
      <c r="BH581" s="668"/>
      <c r="BI581" s="654"/>
      <c r="BJ581" s="690">
        <f t="shared" si="218"/>
        <v>0</v>
      </c>
      <c r="BK581" s="691">
        <f t="shared" si="219"/>
        <v>0</v>
      </c>
      <c r="BL581" s="654"/>
      <c r="BM581" s="692">
        <f>SUMIFS(Imput[[Importe Neto]:[Importe Neto]],Imput[[C. Imp.]:[C. Imp.]],$D581,Imput[[PERIODO Imp.]:[PERIODO Imp.]],BM$9)</f>
        <v>0</v>
      </c>
      <c r="BN581" s="693">
        <f>SUMIFS(Imput[[Importe Neto]:[Importe Neto]],Imput[[C. Imp.]:[C. Imp.]],$D581,Imput[[PERIODO Imp.]:[PERIODO Imp.]],BN$9)</f>
        <v>0</v>
      </c>
      <c r="BO581" s="693">
        <f>SUMIFS(Imput[[Importe Neto]:[Importe Neto]],Imput[[C. Imp.]:[C. Imp.]],$D581,Imput[[PERIODO Imp.]:[PERIODO Imp.]],BO$9)</f>
        <v>0</v>
      </c>
      <c r="BP581" s="693">
        <f>SUMIFS(Imput[[Importe Neto]:[Importe Neto]],Imput[[C. Imp.]:[C. Imp.]],$D581,Imput[[PERIODO Imp.]:[PERIODO Imp.]],BP$9)</f>
        <v>0</v>
      </c>
      <c r="BQ581" s="693">
        <f>SUMIFS(Imput[[Importe Neto]:[Importe Neto]],Imput[[C. Imp.]:[C. Imp.]],$D581,Imput[[PERIODO Imp.]:[PERIODO Imp.]],BQ$9)</f>
        <v>0</v>
      </c>
      <c r="BR581" s="693">
        <f>SUMIFS(Imput[[Importe Neto]:[Importe Neto]],Imput[[C. Imp.]:[C. Imp.]],$D581,Imput[[PERIODO Imp.]:[PERIODO Imp.]],BR$9)</f>
        <v>0</v>
      </c>
      <c r="BS581" s="693">
        <f>SUMIFS(Imput[[Importe Neto]:[Importe Neto]],Imput[[C. Imp.]:[C. Imp.]],$D581,Imput[[PERIODO Imp.]:[PERIODO Imp.]],BS$9)</f>
        <v>0</v>
      </c>
      <c r="BT581" s="693">
        <f>SUMIFS(Imput[[Importe Neto]:[Importe Neto]],Imput[[C. Imp.]:[C. Imp.]],$D581,Imput[[PERIODO Imp.]:[PERIODO Imp.]],BT$9)</f>
        <v>0</v>
      </c>
      <c r="BU581" s="693">
        <f>SUMIFS(Imput[[Importe Neto]:[Importe Neto]],Imput[[C. Imp.]:[C. Imp.]],$D581,Imput[[PERIODO Imp.]:[PERIODO Imp.]],BU$9)</f>
        <v>0</v>
      </c>
      <c r="BV581" s="693">
        <f>SUMIFS(Imput[[Importe Neto]:[Importe Neto]],Imput[[C. Imp.]:[C. Imp.]],$D581,Imput[[PERIODO Imp.]:[PERIODO Imp.]],BV$9)</f>
        <v>0</v>
      </c>
      <c r="BW581" s="693">
        <f>SUMIFS(Imput[[Importe Neto]:[Importe Neto]],Imput[[C. Imp.]:[C. Imp.]],$D581,Imput[[PERIODO Imp.]:[PERIODO Imp.]],BW$9)</f>
        <v>0</v>
      </c>
      <c r="BX581" s="693">
        <f>SUMIFS(Imput[[Importe Neto]:[Importe Neto]],Imput[[C. Imp.]:[C. Imp.]],$D581,Imput[[PERIODO Imp.]:[PERIODO Imp.]],BX$9)</f>
        <v>0</v>
      </c>
      <c r="BY581" s="693">
        <f>SUMIFS(Imput[[Importe Neto]:[Importe Neto]],Imput[[C. Imp.]:[C. Imp.]],$D581,Imput[[PERIODO Imp.]:[PERIODO Imp.]],BY$9)</f>
        <v>0</v>
      </c>
      <c r="BZ581" s="693">
        <f>SUMIFS(Imput[[Importe Neto]:[Importe Neto]],Imput[[C. Imp.]:[C. Imp.]],$D581,Imput[[PERIODO Imp.]:[PERIODO Imp.]],BZ$9)</f>
        <v>0</v>
      </c>
      <c r="CA581" s="693">
        <f>SUMIFS(Imput[[Importe Neto]:[Importe Neto]],Imput[[C. Imp.]:[C. Imp.]],$D581,Imput[[PERIODO Imp.]:[PERIODO Imp.]],CA$9)</f>
        <v>0</v>
      </c>
      <c r="CB581" s="693">
        <f>SUMIFS(Imput[[Importe Neto]:[Importe Neto]],Imput[[C. Imp.]:[C. Imp.]],$D581,Imput[[PERIODO Imp.]:[PERIODO Imp.]],CB$9)</f>
        <v>0</v>
      </c>
      <c r="CC581" s="693">
        <f>SUMIFS(Imput[[Importe Neto]:[Importe Neto]],Imput[[C. Imp.]:[C. Imp.]],$D581,Imput[[PERIODO Imp.]:[PERIODO Imp.]],CC$9)</f>
        <v>0</v>
      </c>
      <c r="CD581" s="693">
        <f>SUMIFS(Imput[[Importe Neto]:[Importe Neto]],Imput[[C. Imp.]:[C. Imp.]],$D581,Imput[[PERIODO Imp.]:[PERIODO Imp.]],CD$9)</f>
        <v>0</v>
      </c>
      <c r="CE581" s="693">
        <f>SUMIFS(Imput[[Importe Neto]:[Importe Neto]],Imput[[C. Imp.]:[C. Imp.]],$D581,Imput[[PERIODO Imp.]:[PERIODO Imp.]],CE$9)</f>
        <v>0</v>
      </c>
      <c r="CF581" s="693">
        <f>SUMIFS(Imput[[Importe Neto]:[Importe Neto]],Imput[[C. Imp.]:[C. Imp.]],$D581,Imput[[PERIODO Imp.]:[PERIODO Imp.]],CF$9)</f>
        <v>0</v>
      </c>
      <c r="CG581" s="693">
        <f>SUMIFS(Imput[[Importe Neto]:[Importe Neto]],Imput[[C. Imp.]:[C. Imp.]],$D581,Imput[[PERIODO Imp.]:[PERIODO Imp.]],CG$9)</f>
        <v>0</v>
      </c>
      <c r="CH581" s="693">
        <f>SUMIFS(Imput[[Importe Neto]:[Importe Neto]],Imput[[C. Imp.]:[C. Imp.]],$D581,Imput[[PERIODO Imp.]:[PERIODO Imp.]],CH$9)</f>
        <v>0</v>
      </c>
      <c r="CI581" s="693">
        <f>SUMIFS(Imput[[Importe Neto]:[Importe Neto]],Imput[[C. Imp.]:[C. Imp.]],$D581,Imput[[PERIODO Imp.]:[PERIODO Imp.]],CI$9)</f>
        <v>0</v>
      </c>
      <c r="CJ581" s="693">
        <f>SUMIFS(Imput[[Importe Neto]:[Importe Neto]],Imput[[C. Imp.]:[C. Imp.]],$D581,Imput[[PERIODO Imp.]:[PERIODO Imp.]],CJ$9)</f>
        <v>0</v>
      </c>
      <c r="CK581" s="693">
        <f>SUMIFS(Imput[[Importe Neto]:[Importe Neto]],Imput[[C. Imp.]:[C. Imp.]],$D581,Imput[[PERIODO Imp.]:[PERIODO Imp.]],CK$9)</f>
        <v>0</v>
      </c>
      <c r="CL581" s="693">
        <f>SUMIFS(Imput[[Importe Neto]:[Importe Neto]],Imput[[C. Imp.]:[C. Imp.]],$D581,Imput[[PERIODO Imp.]:[PERIODO Imp.]],CL$9)</f>
        <v>0</v>
      </c>
      <c r="CM581" s="693">
        <f>SUMIFS(Imput[[Importe Neto]:[Importe Neto]],Imput[[C. Imp.]:[C. Imp.]],$D581,Imput[[PERIODO Imp.]:[PERIODO Imp.]],CM$9)</f>
        <v>0</v>
      </c>
      <c r="CN581" s="693">
        <f>SUMIFS(Imput[[Importe Neto]:[Importe Neto]],Imput[[C. Imp.]:[C. Imp.]],$D581,Imput[[PERIODO Imp.]:[PERIODO Imp.]],CN$9)</f>
        <v>0</v>
      </c>
      <c r="CO581" s="693">
        <f>SUMIFS(Imput[[Importe Neto]:[Importe Neto]],Imput[[C. Imp.]:[C. Imp.]],$D581,Imput[[PERIODO Imp.]:[PERIODO Imp.]],CO$9)</f>
        <v>0</v>
      </c>
      <c r="CP581" s="693">
        <f>SUMIFS(Imput[[Importe Neto]:[Importe Neto]],Imput[[C. Imp.]:[C. Imp.]],$D581,Imput[[PERIODO Imp.]:[PERIODO Imp.]],CP$9)</f>
        <v>0</v>
      </c>
      <c r="CQ581" s="693">
        <f>SUMIFS(Imput[[Importe Neto]:[Importe Neto]],Imput[[C. Imp.]:[C. Imp.]],$D581,Imput[[PERIODO Imp.]:[PERIODO Imp.]],CQ$9)</f>
        <v>0</v>
      </c>
      <c r="CR581" s="693">
        <f>SUMIFS(Imput[[Importe Neto]:[Importe Neto]],Imput[[C. Imp.]:[C. Imp.]],$D581,Imput[[PERIODO Imp.]:[PERIODO Imp.]],CR$9)</f>
        <v>0</v>
      </c>
      <c r="CS581" s="693">
        <f>SUMIFS(Imput[[Importe Neto]:[Importe Neto]],Imput[[C. Imp.]:[C. Imp.]],$D581,Imput[[PERIODO Imp.]:[PERIODO Imp.]],CS$9)</f>
        <v>0</v>
      </c>
      <c r="CT581" s="693">
        <f>SUMIFS(Imput[[Importe Neto]:[Importe Neto]],Imput[[C. Imp.]:[C. Imp.]],$D581,Imput[[PERIODO Imp.]:[PERIODO Imp.]],CT$9)</f>
        <v>0</v>
      </c>
      <c r="CU581" s="693">
        <f>SUMIFS(Imput[[Importe Neto]:[Importe Neto]],Imput[[C. Imp.]:[C. Imp.]],$D581,Imput[[PERIODO Imp.]:[PERIODO Imp.]],CU$9)</f>
        <v>0</v>
      </c>
      <c r="CV581" s="693">
        <f>SUMIFS(Imput[[Importe Neto]:[Importe Neto]],Imput[[C. Imp.]:[C. Imp.]],$D581,Imput[[PERIODO Imp.]:[PERIODO Imp.]],CV$9)</f>
        <v>0</v>
      </c>
      <c r="CW581" s="693">
        <f>SUMIFS(Imput[[Importe Neto]:[Importe Neto]],Imput[[C. Imp.]:[C. Imp.]],$D581,Imput[[PERIODO Imp.]:[PERIODO Imp.]],CW$9)</f>
        <v>0</v>
      </c>
      <c r="CX581" s="693">
        <f>SUMIFS(Imput[[Importe Neto]:[Importe Neto]],Imput[[C. Imp.]:[C. Imp.]],$D581,Imput[[PERIODO Imp.]:[PERIODO Imp.]],CX$9)</f>
        <v>0</v>
      </c>
      <c r="CY581" s="693">
        <f>SUMIFS(Imput[[Importe Neto]:[Importe Neto]],Imput[[C. Imp.]:[C. Imp.]],$D581,Imput[[PERIODO Imp.]:[PERIODO Imp.]],CY$9)</f>
        <v>0</v>
      </c>
      <c r="CZ581" s="693">
        <f>SUMIFS(Imput[[Importe Neto]:[Importe Neto]],Imput[[C. Imp.]:[C. Imp.]],$D581,Imput[[PERIODO Imp.]:[PERIODO Imp.]],CZ$9)</f>
        <v>0</v>
      </c>
      <c r="DA581" s="693">
        <f>SUMIFS(Imput[[Importe Neto]:[Importe Neto]],Imput[[C. Imp.]:[C. Imp.]],$D581,Imput[[PERIODO Imp.]:[PERIODO Imp.]],DA$9)</f>
        <v>0</v>
      </c>
      <c r="DB581" s="693">
        <f>SUMIFS(Imput[[Importe Neto]:[Importe Neto]],Imput[[C. Imp.]:[C. Imp.]],$D581,Imput[[PERIODO Imp.]:[PERIODO Imp.]],DB$9)</f>
        <v>0</v>
      </c>
      <c r="DC581" s="693">
        <f>SUMIFS(Imput[[Importe Neto]:[Importe Neto]],Imput[[C. Imp.]:[C. Imp.]],$D581,Imput[[PERIODO Imp.]:[PERIODO Imp.]],DC$9)</f>
        <v>0</v>
      </c>
      <c r="DD581" s="693">
        <f>SUMIFS(Imput[[Importe Neto]:[Importe Neto]],Imput[[C. Imp.]:[C. Imp.]],$D581,Imput[[PERIODO Imp.]:[PERIODO Imp.]],DD$9)</f>
        <v>0</v>
      </c>
      <c r="DE581" s="693">
        <f>SUMIFS(Imput[[Importe Neto]:[Importe Neto]],Imput[[C. Imp.]:[C. Imp.]],$D581,Imput[[PERIODO Imp.]:[PERIODO Imp.]],DE$9)</f>
        <v>0</v>
      </c>
      <c r="DF581" s="693">
        <f>SUMIFS(Imput[[Importe Neto]:[Importe Neto]],Imput[[C. Imp.]:[C. Imp.]],$D581,Imput[[PERIODO Imp.]:[PERIODO Imp.]],DF$9)</f>
        <v>0</v>
      </c>
      <c r="DG581" s="693">
        <f>SUMIFS(Imput[[Importe Neto]:[Importe Neto]],Imput[[C. Imp.]:[C. Imp.]],$D581,Imput[[PERIODO Imp.]:[PERIODO Imp.]],DG$9)</f>
        <v>0</v>
      </c>
      <c r="DH581" s="694">
        <f>SUMIFS(Imput[[Importe Neto]:[Importe Neto]],Imput[[C. Imp.]:[C. Imp.]],$D581,Imput[[PERIODO Imp.]:[PERIODO Imp.]],DH$9)</f>
        <v>0</v>
      </c>
    </row>
    <row r="582" spans="1:112" s="649" customFormat="1" hidden="1" outlineLevel="1" x14ac:dyDescent="0.3">
      <c r="A582" s="652" t="str">
        <f t="shared" si="212"/>
        <v/>
      </c>
      <c r="B582" s="652"/>
      <c r="C582" s="685"/>
      <c r="D582" s="686" t="s">
        <v>2604</v>
      </c>
      <c r="E582" s="728"/>
      <c r="F582" s="720"/>
      <c r="G582" s="688"/>
      <c r="H582" s="689"/>
      <c r="I582" s="851" t="str">
        <f t="shared" si="217"/>
        <v/>
      </c>
      <c r="J582" s="850" t="str">
        <f t="shared" si="214"/>
        <v/>
      </c>
      <c r="K582" s="667"/>
      <c r="L582" s="858"/>
      <c r="M582" s="859"/>
      <c r="N582" s="859"/>
      <c r="O582" s="859"/>
      <c r="P582" s="859"/>
      <c r="Q582" s="859"/>
      <c r="R582" s="859"/>
      <c r="S582" s="859"/>
      <c r="T582" s="859"/>
      <c r="U582" s="859"/>
      <c r="V582" s="859"/>
      <c r="W582" s="859"/>
      <c r="X582" s="859"/>
      <c r="Y582" s="859"/>
      <c r="Z582" s="860"/>
      <c r="AA582" s="860"/>
      <c r="AB582" s="860"/>
      <c r="AC582" s="860"/>
      <c r="AD582" s="860"/>
      <c r="AE582" s="860"/>
      <c r="AF582" s="860"/>
      <c r="AG582" s="860"/>
      <c r="AH582" s="860"/>
      <c r="AI582" s="860"/>
      <c r="AJ582" s="860"/>
      <c r="AK582" s="860"/>
      <c r="AL582" s="860"/>
      <c r="AM582" s="860"/>
      <c r="AN582" s="860"/>
      <c r="AO582" s="860"/>
      <c r="AP582" s="860"/>
      <c r="AQ582" s="860"/>
      <c r="AR582" s="860"/>
      <c r="AS582" s="860"/>
      <c r="AT582" s="860"/>
      <c r="AU582" s="860"/>
      <c r="AV582" s="860"/>
      <c r="AW582" s="860"/>
      <c r="AX582" s="860"/>
      <c r="AY582" s="860"/>
      <c r="AZ582" s="860"/>
      <c r="BA582" s="860"/>
      <c r="BB582" s="860"/>
      <c r="BC582" s="860"/>
      <c r="BD582" s="860"/>
      <c r="BE582" s="860"/>
      <c r="BF582" s="860"/>
      <c r="BG582" s="860"/>
      <c r="BH582" s="668"/>
      <c r="BI582" s="667"/>
      <c r="BJ582" s="690">
        <f t="shared" si="218"/>
        <v>0</v>
      </c>
      <c r="BK582" s="691">
        <f t="shared" si="219"/>
        <v>0</v>
      </c>
      <c r="BL582" s="654"/>
      <c r="BM582" s="692">
        <f>SUMIFS(Imput[[Importe Neto]:[Importe Neto]],Imput[[C. Imp.]:[C. Imp.]],$D582,Imput[[PERIODO Imp.]:[PERIODO Imp.]],BM$9)</f>
        <v>0</v>
      </c>
      <c r="BN582" s="693">
        <f>SUMIFS(Imput[[Importe Neto]:[Importe Neto]],Imput[[C. Imp.]:[C. Imp.]],$D582,Imput[[PERIODO Imp.]:[PERIODO Imp.]],BN$9)</f>
        <v>0</v>
      </c>
      <c r="BO582" s="693">
        <f>SUMIFS(Imput[[Importe Neto]:[Importe Neto]],Imput[[C. Imp.]:[C. Imp.]],$D582,Imput[[PERIODO Imp.]:[PERIODO Imp.]],BO$9)</f>
        <v>0</v>
      </c>
      <c r="BP582" s="693">
        <f>SUMIFS(Imput[[Importe Neto]:[Importe Neto]],Imput[[C. Imp.]:[C. Imp.]],$D582,Imput[[PERIODO Imp.]:[PERIODO Imp.]],BP$9)</f>
        <v>0</v>
      </c>
      <c r="BQ582" s="693">
        <f>SUMIFS(Imput[[Importe Neto]:[Importe Neto]],Imput[[C. Imp.]:[C. Imp.]],$D582,Imput[[PERIODO Imp.]:[PERIODO Imp.]],BQ$9)</f>
        <v>0</v>
      </c>
      <c r="BR582" s="693">
        <f>SUMIFS(Imput[[Importe Neto]:[Importe Neto]],Imput[[C. Imp.]:[C. Imp.]],$D582,Imput[[PERIODO Imp.]:[PERIODO Imp.]],BR$9)</f>
        <v>0</v>
      </c>
      <c r="BS582" s="693">
        <f>SUMIFS(Imput[[Importe Neto]:[Importe Neto]],Imput[[C. Imp.]:[C. Imp.]],$D582,Imput[[PERIODO Imp.]:[PERIODO Imp.]],BS$9)</f>
        <v>0</v>
      </c>
      <c r="BT582" s="693">
        <f>SUMIFS(Imput[[Importe Neto]:[Importe Neto]],Imput[[C. Imp.]:[C. Imp.]],$D582,Imput[[PERIODO Imp.]:[PERIODO Imp.]],BT$9)</f>
        <v>0</v>
      </c>
      <c r="BU582" s="693">
        <f>SUMIFS(Imput[[Importe Neto]:[Importe Neto]],Imput[[C. Imp.]:[C. Imp.]],$D582,Imput[[PERIODO Imp.]:[PERIODO Imp.]],BU$9)</f>
        <v>0</v>
      </c>
      <c r="BV582" s="693">
        <f>SUMIFS(Imput[[Importe Neto]:[Importe Neto]],Imput[[C. Imp.]:[C. Imp.]],$D582,Imput[[PERIODO Imp.]:[PERIODO Imp.]],BV$9)</f>
        <v>0</v>
      </c>
      <c r="BW582" s="693">
        <f>SUMIFS(Imput[[Importe Neto]:[Importe Neto]],Imput[[C. Imp.]:[C. Imp.]],$D582,Imput[[PERIODO Imp.]:[PERIODO Imp.]],BW$9)</f>
        <v>0</v>
      </c>
      <c r="BX582" s="693">
        <f>SUMIFS(Imput[[Importe Neto]:[Importe Neto]],Imput[[C. Imp.]:[C. Imp.]],$D582,Imput[[PERIODO Imp.]:[PERIODO Imp.]],BX$9)</f>
        <v>0</v>
      </c>
      <c r="BY582" s="693">
        <f>SUMIFS(Imput[[Importe Neto]:[Importe Neto]],Imput[[C. Imp.]:[C. Imp.]],$D582,Imput[[PERIODO Imp.]:[PERIODO Imp.]],BY$9)</f>
        <v>0</v>
      </c>
      <c r="BZ582" s="693">
        <f>SUMIFS(Imput[[Importe Neto]:[Importe Neto]],Imput[[C. Imp.]:[C. Imp.]],$D582,Imput[[PERIODO Imp.]:[PERIODO Imp.]],BZ$9)</f>
        <v>0</v>
      </c>
      <c r="CA582" s="693">
        <f>SUMIFS(Imput[[Importe Neto]:[Importe Neto]],Imput[[C. Imp.]:[C. Imp.]],$D582,Imput[[PERIODO Imp.]:[PERIODO Imp.]],CA$9)</f>
        <v>0</v>
      </c>
      <c r="CB582" s="693">
        <f>SUMIFS(Imput[[Importe Neto]:[Importe Neto]],Imput[[C. Imp.]:[C. Imp.]],$D582,Imput[[PERIODO Imp.]:[PERIODO Imp.]],CB$9)</f>
        <v>0</v>
      </c>
      <c r="CC582" s="693">
        <f>SUMIFS(Imput[[Importe Neto]:[Importe Neto]],Imput[[C. Imp.]:[C. Imp.]],$D582,Imput[[PERIODO Imp.]:[PERIODO Imp.]],CC$9)</f>
        <v>0</v>
      </c>
      <c r="CD582" s="693">
        <f>SUMIFS(Imput[[Importe Neto]:[Importe Neto]],Imput[[C. Imp.]:[C. Imp.]],$D582,Imput[[PERIODO Imp.]:[PERIODO Imp.]],CD$9)</f>
        <v>0</v>
      </c>
      <c r="CE582" s="693">
        <f>SUMIFS(Imput[[Importe Neto]:[Importe Neto]],Imput[[C. Imp.]:[C. Imp.]],$D582,Imput[[PERIODO Imp.]:[PERIODO Imp.]],CE$9)</f>
        <v>0</v>
      </c>
      <c r="CF582" s="693">
        <f>SUMIFS(Imput[[Importe Neto]:[Importe Neto]],Imput[[C. Imp.]:[C. Imp.]],$D582,Imput[[PERIODO Imp.]:[PERIODO Imp.]],CF$9)</f>
        <v>0</v>
      </c>
      <c r="CG582" s="693">
        <f>SUMIFS(Imput[[Importe Neto]:[Importe Neto]],Imput[[C. Imp.]:[C. Imp.]],$D582,Imput[[PERIODO Imp.]:[PERIODO Imp.]],CG$9)</f>
        <v>0</v>
      </c>
      <c r="CH582" s="693">
        <f>SUMIFS(Imput[[Importe Neto]:[Importe Neto]],Imput[[C. Imp.]:[C. Imp.]],$D582,Imput[[PERIODO Imp.]:[PERIODO Imp.]],CH$9)</f>
        <v>0</v>
      </c>
      <c r="CI582" s="693">
        <f>SUMIFS(Imput[[Importe Neto]:[Importe Neto]],Imput[[C. Imp.]:[C. Imp.]],$D582,Imput[[PERIODO Imp.]:[PERIODO Imp.]],CI$9)</f>
        <v>0</v>
      </c>
      <c r="CJ582" s="693">
        <f>SUMIFS(Imput[[Importe Neto]:[Importe Neto]],Imput[[C. Imp.]:[C. Imp.]],$D582,Imput[[PERIODO Imp.]:[PERIODO Imp.]],CJ$9)</f>
        <v>0</v>
      </c>
      <c r="CK582" s="693">
        <f>SUMIFS(Imput[[Importe Neto]:[Importe Neto]],Imput[[C. Imp.]:[C. Imp.]],$D582,Imput[[PERIODO Imp.]:[PERIODO Imp.]],CK$9)</f>
        <v>0</v>
      </c>
      <c r="CL582" s="693">
        <f>SUMIFS(Imput[[Importe Neto]:[Importe Neto]],Imput[[C. Imp.]:[C. Imp.]],$D582,Imput[[PERIODO Imp.]:[PERIODO Imp.]],CL$9)</f>
        <v>0</v>
      </c>
      <c r="CM582" s="693">
        <f>SUMIFS(Imput[[Importe Neto]:[Importe Neto]],Imput[[C. Imp.]:[C. Imp.]],$D582,Imput[[PERIODO Imp.]:[PERIODO Imp.]],CM$9)</f>
        <v>0</v>
      </c>
      <c r="CN582" s="693">
        <f>SUMIFS(Imput[[Importe Neto]:[Importe Neto]],Imput[[C. Imp.]:[C. Imp.]],$D582,Imput[[PERIODO Imp.]:[PERIODO Imp.]],CN$9)</f>
        <v>0</v>
      </c>
      <c r="CO582" s="693">
        <f>SUMIFS(Imput[[Importe Neto]:[Importe Neto]],Imput[[C. Imp.]:[C. Imp.]],$D582,Imput[[PERIODO Imp.]:[PERIODO Imp.]],CO$9)</f>
        <v>0</v>
      </c>
      <c r="CP582" s="693">
        <f>SUMIFS(Imput[[Importe Neto]:[Importe Neto]],Imput[[C. Imp.]:[C. Imp.]],$D582,Imput[[PERIODO Imp.]:[PERIODO Imp.]],CP$9)</f>
        <v>0</v>
      </c>
      <c r="CQ582" s="693">
        <f>SUMIFS(Imput[[Importe Neto]:[Importe Neto]],Imput[[C. Imp.]:[C. Imp.]],$D582,Imput[[PERIODO Imp.]:[PERIODO Imp.]],CQ$9)</f>
        <v>0</v>
      </c>
      <c r="CR582" s="693">
        <f>SUMIFS(Imput[[Importe Neto]:[Importe Neto]],Imput[[C. Imp.]:[C. Imp.]],$D582,Imput[[PERIODO Imp.]:[PERIODO Imp.]],CR$9)</f>
        <v>0</v>
      </c>
      <c r="CS582" s="693">
        <f>SUMIFS(Imput[[Importe Neto]:[Importe Neto]],Imput[[C. Imp.]:[C. Imp.]],$D582,Imput[[PERIODO Imp.]:[PERIODO Imp.]],CS$9)</f>
        <v>0</v>
      </c>
      <c r="CT582" s="693">
        <f>SUMIFS(Imput[[Importe Neto]:[Importe Neto]],Imput[[C. Imp.]:[C. Imp.]],$D582,Imput[[PERIODO Imp.]:[PERIODO Imp.]],CT$9)</f>
        <v>0</v>
      </c>
      <c r="CU582" s="693">
        <f>SUMIFS(Imput[[Importe Neto]:[Importe Neto]],Imput[[C. Imp.]:[C. Imp.]],$D582,Imput[[PERIODO Imp.]:[PERIODO Imp.]],CU$9)</f>
        <v>0</v>
      </c>
      <c r="CV582" s="693">
        <f>SUMIFS(Imput[[Importe Neto]:[Importe Neto]],Imput[[C. Imp.]:[C. Imp.]],$D582,Imput[[PERIODO Imp.]:[PERIODO Imp.]],CV$9)</f>
        <v>0</v>
      </c>
      <c r="CW582" s="693">
        <f>SUMIFS(Imput[[Importe Neto]:[Importe Neto]],Imput[[C. Imp.]:[C. Imp.]],$D582,Imput[[PERIODO Imp.]:[PERIODO Imp.]],CW$9)</f>
        <v>0</v>
      </c>
      <c r="CX582" s="693">
        <f>SUMIFS(Imput[[Importe Neto]:[Importe Neto]],Imput[[C. Imp.]:[C. Imp.]],$D582,Imput[[PERIODO Imp.]:[PERIODO Imp.]],CX$9)</f>
        <v>0</v>
      </c>
      <c r="CY582" s="693">
        <f>SUMIFS(Imput[[Importe Neto]:[Importe Neto]],Imput[[C. Imp.]:[C. Imp.]],$D582,Imput[[PERIODO Imp.]:[PERIODO Imp.]],CY$9)</f>
        <v>0</v>
      </c>
      <c r="CZ582" s="693">
        <f>SUMIFS(Imput[[Importe Neto]:[Importe Neto]],Imput[[C. Imp.]:[C. Imp.]],$D582,Imput[[PERIODO Imp.]:[PERIODO Imp.]],CZ$9)</f>
        <v>0</v>
      </c>
      <c r="DA582" s="693">
        <f>SUMIFS(Imput[[Importe Neto]:[Importe Neto]],Imput[[C. Imp.]:[C. Imp.]],$D582,Imput[[PERIODO Imp.]:[PERIODO Imp.]],DA$9)</f>
        <v>0</v>
      </c>
      <c r="DB582" s="693">
        <f>SUMIFS(Imput[[Importe Neto]:[Importe Neto]],Imput[[C. Imp.]:[C. Imp.]],$D582,Imput[[PERIODO Imp.]:[PERIODO Imp.]],DB$9)</f>
        <v>0</v>
      </c>
      <c r="DC582" s="693">
        <f>SUMIFS(Imput[[Importe Neto]:[Importe Neto]],Imput[[C. Imp.]:[C. Imp.]],$D582,Imput[[PERIODO Imp.]:[PERIODO Imp.]],DC$9)</f>
        <v>0</v>
      </c>
      <c r="DD582" s="693">
        <f>SUMIFS(Imput[[Importe Neto]:[Importe Neto]],Imput[[C. Imp.]:[C. Imp.]],$D582,Imput[[PERIODO Imp.]:[PERIODO Imp.]],DD$9)</f>
        <v>0</v>
      </c>
      <c r="DE582" s="693">
        <f>SUMIFS(Imput[[Importe Neto]:[Importe Neto]],Imput[[C. Imp.]:[C. Imp.]],$D582,Imput[[PERIODO Imp.]:[PERIODO Imp.]],DE$9)</f>
        <v>0</v>
      </c>
      <c r="DF582" s="693">
        <f>SUMIFS(Imput[[Importe Neto]:[Importe Neto]],Imput[[C. Imp.]:[C. Imp.]],$D582,Imput[[PERIODO Imp.]:[PERIODO Imp.]],DF$9)</f>
        <v>0</v>
      </c>
      <c r="DG582" s="693">
        <f>SUMIFS(Imput[[Importe Neto]:[Importe Neto]],Imput[[C. Imp.]:[C. Imp.]],$D582,Imput[[PERIODO Imp.]:[PERIODO Imp.]],DG$9)</f>
        <v>0</v>
      </c>
      <c r="DH582" s="694">
        <f>SUMIFS(Imput[[Importe Neto]:[Importe Neto]],Imput[[C. Imp.]:[C. Imp.]],$D582,Imput[[PERIODO Imp.]:[PERIODO Imp.]],DH$9)</f>
        <v>0</v>
      </c>
    </row>
    <row r="583" spans="1:112" s="649" customFormat="1" hidden="1" outlineLevel="1" x14ac:dyDescent="0.3">
      <c r="A583" s="652" t="str">
        <f t="shared" si="212"/>
        <v/>
      </c>
      <c r="B583" s="652"/>
      <c r="C583" s="685"/>
      <c r="D583" s="686" t="s">
        <v>2605</v>
      </c>
      <c r="E583" s="728"/>
      <c r="F583" s="720"/>
      <c r="G583" s="688"/>
      <c r="H583" s="689"/>
      <c r="I583" s="851" t="str">
        <f t="shared" si="217"/>
        <v/>
      </c>
      <c r="J583" s="850" t="str">
        <f t="shared" si="214"/>
        <v/>
      </c>
      <c r="K583" s="667"/>
      <c r="L583" s="858"/>
      <c r="M583" s="859"/>
      <c r="N583" s="859"/>
      <c r="O583" s="859"/>
      <c r="P583" s="859"/>
      <c r="Q583" s="859"/>
      <c r="R583" s="859"/>
      <c r="S583" s="859"/>
      <c r="T583" s="859"/>
      <c r="U583" s="859"/>
      <c r="V583" s="859"/>
      <c r="W583" s="859"/>
      <c r="X583" s="859"/>
      <c r="Y583" s="859"/>
      <c r="Z583" s="860"/>
      <c r="AA583" s="860"/>
      <c r="AB583" s="860"/>
      <c r="AC583" s="860"/>
      <c r="AD583" s="860"/>
      <c r="AE583" s="860"/>
      <c r="AF583" s="860"/>
      <c r="AG583" s="860"/>
      <c r="AH583" s="860"/>
      <c r="AI583" s="860"/>
      <c r="AJ583" s="860"/>
      <c r="AK583" s="860"/>
      <c r="AL583" s="860"/>
      <c r="AM583" s="860"/>
      <c r="AN583" s="860"/>
      <c r="AO583" s="860"/>
      <c r="AP583" s="860"/>
      <c r="AQ583" s="860"/>
      <c r="AR583" s="860"/>
      <c r="AS583" s="860"/>
      <c r="AT583" s="860"/>
      <c r="AU583" s="860"/>
      <c r="AV583" s="860"/>
      <c r="AW583" s="860"/>
      <c r="AX583" s="860"/>
      <c r="AY583" s="860"/>
      <c r="AZ583" s="860"/>
      <c r="BA583" s="860"/>
      <c r="BB583" s="860"/>
      <c r="BC583" s="860"/>
      <c r="BD583" s="860"/>
      <c r="BE583" s="860"/>
      <c r="BF583" s="860"/>
      <c r="BG583" s="860"/>
      <c r="BH583" s="668"/>
      <c r="BI583" s="667"/>
      <c r="BJ583" s="690">
        <f t="shared" si="218"/>
        <v>0</v>
      </c>
      <c r="BK583" s="691">
        <f t="shared" si="219"/>
        <v>0</v>
      </c>
      <c r="BL583" s="654"/>
      <c r="BM583" s="692">
        <f>SUMIFS(Imput[[Importe Neto]:[Importe Neto]],Imput[[C. Imp.]:[C. Imp.]],$D583,Imput[[PERIODO Imp.]:[PERIODO Imp.]],BM$9)</f>
        <v>0</v>
      </c>
      <c r="BN583" s="693">
        <f>SUMIFS(Imput[[Importe Neto]:[Importe Neto]],Imput[[C. Imp.]:[C. Imp.]],$D583,Imput[[PERIODO Imp.]:[PERIODO Imp.]],BN$9)</f>
        <v>0</v>
      </c>
      <c r="BO583" s="693">
        <f>SUMIFS(Imput[[Importe Neto]:[Importe Neto]],Imput[[C. Imp.]:[C. Imp.]],$D583,Imput[[PERIODO Imp.]:[PERIODO Imp.]],BO$9)</f>
        <v>0</v>
      </c>
      <c r="BP583" s="693">
        <f>SUMIFS(Imput[[Importe Neto]:[Importe Neto]],Imput[[C. Imp.]:[C. Imp.]],$D583,Imput[[PERIODO Imp.]:[PERIODO Imp.]],BP$9)</f>
        <v>0</v>
      </c>
      <c r="BQ583" s="693">
        <f>SUMIFS(Imput[[Importe Neto]:[Importe Neto]],Imput[[C. Imp.]:[C. Imp.]],$D583,Imput[[PERIODO Imp.]:[PERIODO Imp.]],BQ$9)</f>
        <v>0</v>
      </c>
      <c r="BR583" s="693">
        <f>SUMIFS(Imput[[Importe Neto]:[Importe Neto]],Imput[[C. Imp.]:[C. Imp.]],$D583,Imput[[PERIODO Imp.]:[PERIODO Imp.]],BR$9)</f>
        <v>0</v>
      </c>
      <c r="BS583" s="693">
        <f>SUMIFS(Imput[[Importe Neto]:[Importe Neto]],Imput[[C. Imp.]:[C. Imp.]],$D583,Imput[[PERIODO Imp.]:[PERIODO Imp.]],BS$9)</f>
        <v>0</v>
      </c>
      <c r="BT583" s="693">
        <f>SUMIFS(Imput[[Importe Neto]:[Importe Neto]],Imput[[C. Imp.]:[C. Imp.]],$D583,Imput[[PERIODO Imp.]:[PERIODO Imp.]],BT$9)</f>
        <v>0</v>
      </c>
      <c r="BU583" s="693">
        <f>SUMIFS(Imput[[Importe Neto]:[Importe Neto]],Imput[[C. Imp.]:[C. Imp.]],$D583,Imput[[PERIODO Imp.]:[PERIODO Imp.]],BU$9)</f>
        <v>0</v>
      </c>
      <c r="BV583" s="693">
        <f>SUMIFS(Imput[[Importe Neto]:[Importe Neto]],Imput[[C. Imp.]:[C. Imp.]],$D583,Imput[[PERIODO Imp.]:[PERIODO Imp.]],BV$9)</f>
        <v>0</v>
      </c>
      <c r="BW583" s="693">
        <f>SUMIFS(Imput[[Importe Neto]:[Importe Neto]],Imput[[C. Imp.]:[C. Imp.]],$D583,Imput[[PERIODO Imp.]:[PERIODO Imp.]],BW$9)</f>
        <v>0</v>
      </c>
      <c r="BX583" s="693">
        <f>SUMIFS(Imput[[Importe Neto]:[Importe Neto]],Imput[[C. Imp.]:[C. Imp.]],$D583,Imput[[PERIODO Imp.]:[PERIODO Imp.]],BX$9)</f>
        <v>0</v>
      </c>
      <c r="BY583" s="693">
        <f>SUMIFS(Imput[[Importe Neto]:[Importe Neto]],Imput[[C. Imp.]:[C. Imp.]],$D583,Imput[[PERIODO Imp.]:[PERIODO Imp.]],BY$9)</f>
        <v>0</v>
      </c>
      <c r="BZ583" s="693">
        <f>SUMIFS(Imput[[Importe Neto]:[Importe Neto]],Imput[[C. Imp.]:[C. Imp.]],$D583,Imput[[PERIODO Imp.]:[PERIODO Imp.]],BZ$9)</f>
        <v>0</v>
      </c>
      <c r="CA583" s="693">
        <f>SUMIFS(Imput[[Importe Neto]:[Importe Neto]],Imput[[C. Imp.]:[C. Imp.]],$D583,Imput[[PERIODO Imp.]:[PERIODO Imp.]],CA$9)</f>
        <v>0</v>
      </c>
      <c r="CB583" s="693">
        <f>SUMIFS(Imput[[Importe Neto]:[Importe Neto]],Imput[[C. Imp.]:[C. Imp.]],$D583,Imput[[PERIODO Imp.]:[PERIODO Imp.]],CB$9)</f>
        <v>0</v>
      </c>
      <c r="CC583" s="693">
        <f>SUMIFS(Imput[[Importe Neto]:[Importe Neto]],Imput[[C. Imp.]:[C. Imp.]],$D583,Imput[[PERIODO Imp.]:[PERIODO Imp.]],CC$9)</f>
        <v>0</v>
      </c>
      <c r="CD583" s="693">
        <f>SUMIFS(Imput[[Importe Neto]:[Importe Neto]],Imput[[C. Imp.]:[C. Imp.]],$D583,Imput[[PERIODO Imp.]:[PERIODO Imp.]],CD$9)</f>
        <v>0</v>
      </c>
      <c r="CE583" s="693">
        <f>SUMIFS(Imput[[Importe Neto]:[Importe Neto]],Imput[[C. Imp.]:[C. Imp.]],$D583,Imput[[PERIODO Imp.]:[PERIODO Imp.]],CE$9)</f>
        <v>0</v>
      </c>
      <c r="CF583" s="693">
        <f>SUMIFS(Imput[[Importe Neto]:[Importe Neto]],Imput[[C. Imp.]:[C. Imp.]],$D583,Imput[[PERIODO Imp.]:[PERIODO Imp.]],CF$9)</f>
        <v>0</v>
      </c>
      <c r="CG583" s="693">
        <f>SUMIFS(Imput[[Importe Neto]:[Importe Neto]],Imput[[C. Imp.]:[C. Imp.]],$D583,Imput[[PERIODO Imp.]:[PERIODO Imp.]],CG$9)</f>
        <v>0</v>
      </c>
      <c r="CH583" s="693">
        <f>SUMIFS(Imput[[Importe Neto]:[Importe Neto]],Imput[[C. Imp.]:[C. Imp.]],$D583,Imput[[PERIODO Imp.]:[PERIODO Imp.]],CH$9)</f>
        <v>0</v>
      </c>
      <c r="CI583" s="693">
        <f>SUMIFS(Imput[[Importe Neto]:[Importe Neto]],Imput[[C. Imp.]:[C. Imp.]],$D583,Imput[[PERIODO Imp.]:[PERIODO Imp.]],CI$9)</f>
        <v>0</v>
      </c>
      <c r="CJ583" s="693">
        <f>SUMIFS(Imput[[Importe Neto]:[Importe Neto]],Imput[[C. Imp.]:[C. Imp.]],$D583,Imput[[PERIODO Imp.]:[PERIODO Imp.]],CJ$9)</f>
        <v>0</v>
      </c>
      <c r="CK583" s="693">
        <f>SUMIFS(Imput[[Importe Neto]:[Importe Neto]],Imput[[C. Imp.]:[C. Imp.]],$D583,Imput[[PERIODO Imp.]:[PERIODO Imp.]],CK$9)</f>
        <v>0</v>
      </c>
      <c r="CL583" s="693">
        <f>SUMIFS(Imput[[Importe Neto]:[Importe Neto]],Imput[[C. Imp.]:[C. Imp.]],$D583,Imput[[PERIODO Imp.]:[PERIODO Imp.]],CL$9)</f>
        <v>0</v>
      </c>
      <c r="CM583" s="693">
        <f>SUMIFS(Imput[[Importe Neto]:[Importe Neto]],Imput[[C. Imp.]:[C. Imp.]],$D583,Imput[[PERIODO Imp.]:[PERIODO Imp.]],CM$9)</f>
        <v>0</v>
      </c>
      <c r="CN583" s="693">
        <f>SUMIFS(Imput[[Importe Neto]:[Importe Neto]],Imput[[C. Imp.]:[C. Imp.]],$D583,Imput[[PERIODO Imp.]:[PERIODO Imp.]],CN$9)</f>
        <v>0</v>
      </c>
      <c r="CO583" s="693">
        <f>SUMIFS(Imput[[Importe Neto]:[Importe Neto]],Imput[[C. Imp.]:[C. Imp.]],$D583,Imput[[PERIODO Imp.]:[PERIODO Imp.]],CO$9)</f>
        <v>0</v>
      </c>
      <c r="CP583" s="693">
        <f>SUMIFS(Imput[[Importe Neto]:[Importe Neto]],Imput[[C. Imp.]:[C. Imp.]],$D583,Imput[[PERIODO Imp.]:[PERIODO Imp.]],CP$9)</f>
        <v>0</v>
      </c>
      <c r="CQ583" s="693">
        <f>SUMIFS(Imput[[Importe Neto]:[Importe Neto]],Imput[[C. Imp.]:[C. Imp.]],$D583,Imput[[PERIODO Imp.]:[PERIODO Imp.]],CQ$9)</f>
        <v>0</v>
      </c>
      <c r="CR583" s="693">
        <f>SUMIFS(Imput[[Importe Neto]:[Importe Neto]],Imput[[C. Imp.]:[C. Imp.]],$D583,Imput[[PERIODO Imp.]:[PERIODO Imp.]],CR$9)</f>
        <v>0</v>
      </c>
      <c r="CS583" s="693">
        <f>SUMIFS(Imput[[Importe Neto]:[Importe Neto]],Imput[[C. Imp.]:[C. Imp.]],$D583,Imput[[PERIODO Imp.]:[PERIODO Imp.]],CS$9)</f>
        <v>0</v>
      </c>
      <c r="CT583" s="693">
        <f>SUMIFS(Imput[[Importe Neto]:[Importe Neto]],Imput[[C. Imp.]:[C. Imp.]],$D583,Imput[[PERIODO Imp.]:[PERIODO Imp.]],CT$9)</f>
        <v>0</v>
      </c>
      <c r="CU583" s="693">
        <f>SUMIFS(Imput[[Importe Neto]:[Importe Neto]],Imput[[C. Imp.]:[C. Imp.]],$D583,Imput[[PERIODO Imp.]:[PERIODO Imp.]],CU$9)</f>
        <v>0</v>
      </c>
      <c r="CV583" s="693">
        <f>SUMIFS(Imput[[Importe Neto]:[Importe Neto]],Imput[[C. Imp.]:[C. Imp.]],$D583,Imput[[PERIODO Imp.]:[PERIODO Imp.]],CV$9)</f>
        <v>0</v>
      </c>
      <c r="CW583" s="693">
        <f>SUMIFS(Imput[[Importe Neto]:[Importe Neto]],Imput[[C. Imp.]:[C. Imp.]],$D583,Imput[[PERIODO Imp.]:[PERIODO Imp.]],CW$9)</f>
        <v>0</v>
      </c>
      <c r="CX583" s="693">
        <f>SUMIFS(Imput[[Importe Neto]:[Importe Neto]],Imput[[C. Imp.]:[C. Imp.]],$D583,Imput[[PERIODO Imp.]:[PERIODO Imp.]],CX$9)</f>
        <v>0</v>
      </c>
      <c r="CY583" s="693">
        <f>SUMIFS(Imput[[Importe Neto]:[Importe Neto]],Imput[[C. Imp.]:[C. Imp.]],$D583,Imput[[PERIODO Imp.]:[PERIODO Imp.]],CY$9)</f>
        <v>0</v>
      </c>
      <c r="CZ583" s="693">
        <f>SUMIFS(Imput[[Importe Neto]:[Importe Neto]],Imput[[C. Imp.]:[C. Imp.]],$D583,Imput[[PERIODO Imp.]:[PERIODO Imp.]],CZ$9)</f>
        <v>0</v>
      </c>
      <c r="DA583" s="693">
        <f>SUMIFS(Imput[[Importe Neto]:[Importe Neto]],Imput[[C. Imp.]:[C. Imp.]],$D583,Imput[[PERIODO Imp.]:[PERIODO Imp.]],DA$9)</f>
        <v>0</v>
      </c>
      <c r="DB583" s="693">
        <f>SUMIFS(Imput[[Importe Neto]:[Importe Neto]],Imput[[C. Imp.]:[C. Imp.]],$D583,Imput[[PERIODO Imp.]:[PERIODO Imp.]],DB$9)</f>
        <v>0</v>
      </c>
      <c r="DC583" s="693">
        <f>SUMIFS(Imput[[Importe Neto]:[Importe Neto]],Imput[[C. Imp.]:[C. Imp.]],$D583,Imput[[PERIODO Imp.]:[PERIODO Imp.]],DC$9)</f>
        <v>0</v>
      </c>
      <c r="DD583" s="693">
        <f>SUMIFS(Imput[[Importe Neto]:[Importe Neto]],Imput[[C. Imp.]:[C. Imp.]],$D583,Imput[[PERIODO Imp.]:[PERIODO Imp.]],DD$9)</f>
        <v>0</v>
      </c>
      <c r="DE583" s="693">
        <f>SUMIFS(Imput[[Importe Neto]:[Importe Neto]],Imput[[C. Imp.]:[C. Imp.]],$D583,Imput[[PERIODO Imp.]:[PERIODO Imp.]],DE$9)</f>
        <v>0</v>
      </c>
      <c r="DF583" s="693">
        <f>SUMIFS(Imput[[Importe Neto]:[Importe Neto]],Imput[[C. Imp.]:[C. Imp.]],$D583,Imput[[PERIODO Imp.]:[PERIODO Imp.]],DF$9)</f>
        <v>0</v>
      </c>
      <c r="DG583" s="693">
        <f>SUMIFS(Imput[[Importe Neto]:[Importe Neto]],Imput[[C. Imp.]:[C. Imp.]],$D583,Imput[[PERIODO Imp.]:[PERIODO Imp.]],DG$9)</f>
        <v>0</v>
      </c>
      <c r="DH583" s="694">
        <f>SUMIFS(Imput[[Importe Neto]:[Importe Neto]],Imput[[C. Imp.]:[C. Imp.]],$D583,Imput[[PERIODO Imp.]:[PERIODO Imp.]],DH$9)</f>
        <v>0</v>
      </c>
    </row>
    <row r="584" spans="1:112" s="649" customFormat="1" hidden="1" outlineLevel="1" x14ac:dyDescent="0.3">
      <c r="A584" s="652" t="str">
        <f t="shared" si="212"/>
        <v/>
      </c>
      <c r="B584" s="652"/>
      <c r="C584" s="685"/>
      <c r="D584" s="686" t="s">
        <v>2606</v>
      </c>
      <c r="E584" s="728"/>
      <c r="F584" s="720"/>
      <c r="G584" s="688"/>
      <c r="H584" s="689"/>
      <c r="I584" s="851" t="str">
        <f t="shared" si="217"/>
        <v/>
      </c>
      <c r="J584" s="850" t="str">
        <f t="shared" si="214"/>
        <v/>
      </c>
      <c r="K584" s="667"/>
      <c r="L584" s="858"/>
      <c r="M584" s="859"/>
      <c r="N584" s="859"/>
      <c r="O584" s="859"/>
      <c r="P584" s="859"/>
      <c r="Q584" s="859"/>
      <c r="R584" s="859"/>
      <c r="S584" s="859"/>
      <c r="T584" s="859"/>
      <c r="U584" s="859"/>
      <c r="V584" s="859"/>
      <c r="W584" s="859"/>
      <c r="X584" s="859"/>
      <c r="Y584" s="859"/>
      <c r="Z584" s="860"/>
      <c r="AA584" s="860"/>
      <c r="AB584" s="860"/>
      <c r="AC584" s="860"/>
      <c r="AD584" s="860"/>
      <c r="AE584" s="860"/>
      <c r="AF584" s="860"/>
      <c r="AG584" s="860"/>
      <c r="AH584" s="860"/>
      <c r="AI584" s="860"/>
      <c r="AJ584" s="860"/>
      <c r="AK584" s="860"/>
      <c r="AL584" s="860"/>
      <c r="AM584" s="860"/>
      <c r="AN584" s="860"/>
      <c r="AO584" s="860"/>
      <c r="AP584" s="860"/>
      <c r="AQ584" s="860"/>
      <c r="AR584" s="860"/>
      <c r="AS584" s="860"/>
      <c r="AT584" s="860"/>
      <c r="AU584" s="860"/>
      <c r="AV584" s="860"/>
      <c r="AW584" s="860"/>
      <c r="AX584" s="860"/>
      <c r="AY584" s="860"/>
      <c r="AZ584" s="860"/>
      <c r="BA584" s="860"/>
      <c r="BB584" s="860"/>
      <c r="BC584" s="860"/>
      <c r="BD584" s="860"/>
      <c r="BE584" s="860"/>
      <c r="BF584" s="860"/>
      <c r="BG584" s="860"/>
      <c r="BH584" s="668"/>
      <c r="BI584" s="667"/>
      <c r="BJ584" s="690">
        <f t="shared" si="218"/>
        <v>0</v>
      </c>
      <c r="BK584" s="691">
        <f t="shared" si="219"/>
        <v>0</v>
      </c>
      <c r="BL584" s="654"/>
      <c r="BM584" s="692">
        <f>SUMIFS(Imput[[Importe Neto]:[Importe Neto]],Imput[[C. Imp.]:[C. Imp.]],$D584,Imput[[PERIODO Imp.]:[PERIODO Imp.]],BM$9)</f>
        <v>0</v>
      </c>
      <c r="BN584" s="693">
        <f>SUMIFS(Imput[[Importe Neto]:[Importe Neto]],Imput[[C. Imp.]:[C. Imp.]],$D584,Imput[[PERIODO Imp.]:[PERIODO Imp.]],BN$9)</f>
        <v>0</v>
      </c>
      <c r="BO584" s="693">
        <f>SUMIFS(Imput[[Importe Neto]:[Importe Neto]],Imput[[C. Imp.]:[C. Imp.]],$D584,Imput[[PERIODO Imp.]:[PERIODO Imp.]],BO$9)</f>
        <v>0</v>
      </c>
      <c r="BP584" s="693">
        <f>SUMIFS(Imput[[Importe Neto]:[Importe Neto]],Imput[[C. Imp.]:[C. Imp.]],$D584,Imput[[PERIODO Imp.]:[PERIODO Imp.]],BP$9)</f>
        <v>0</v>
      </c>
      <c r="BQ584" s="693">
        <f>SUMIFS(Imput[[Importe Neto]:[Importe Neto]],Imput[[C. Imp.]:[C. Imp.]],$D584,Imput[[PERIODO Imp.]:[PERIODO Imp.]],BQ$9)</f>
        <v>0</v>
      </c>
      <c r="BR584" s="693">
        <f>SUMIFS(Imput[[Importe Neto]:[Importe Neto]],Imput[[C. Imp.]:[C. Imp.]],$D584,Imput[[PERIODO Imp.]:[PERIODO Imp.]],BR$9)</f>
        <v>0</v>
      </c>
      <c r="BS584" s="693">
        <f>SUMIFS(Imput[[Importe Neto]:[Importe Neto]],Imput[[C. Imp.]:[C. Imp.]],$D584,Imput[[PERIODO Imp.]:[PERIODO Imp.]],BS$9)</f>
        <v>0</v>
      </c>
      <c r="BT584" s="693">
        <f>SUMIFS(Imput[[Importe Neto]:[Importe Neto]],Imput[[C. Imp.]:[C. Imp.]],$D584,Imput[[PERIODO Imp.]:[PERIODO Imp.]],BT$9)</f>
        <v>0</v>
      </c>
      <c r="BU584" s="693">
        <f>SUMIFS(Imput[[Importe Neto]:[Importe Neto]],Imput[[C. Imp.]:[C. Imp.]],$D584,Imput[[PERIODO Imp.]:[PERIODO Imp.]],BU$9)</f>
        <v>0</v>
      </c>
      <c r="BV584" s="693">
        <f>SUMIFS(Imput[[Importe Neto]:[Importe Neto]],Imput[[C. Imp.]:[C. Imp.]],$D584,Imput[[PERIODO Imp.]:[PERIODO Imp.]],BV$9)</f>
        <v>0</v>
      </c>
      <c r="BW584" s="693">
        <f>SUMIFS(Imput[[Importe Neto]:[Importe Neto]],Imput[[C. Imp.]:[C. Imp.]],$D584,Imput[[PERIODO Imp.]:[PERIODO Imp.]],BW$9)</f>
        <v>0</v>
      </c>
      <c r="BX584" s="693">
        <f>SUMIFS(Imput[[Importe Neto]:[Importe Neto]],Imput[[C. Imp.]:[C. Imp.]],$D584,Imput[[PERIODO Imp.]:[PERIODO Imp.]],BX$9)</f>
        <v>0</v>
      </c>
      <c r="BY584" s="693">
        <f>SUMIFS(Imput[[Importe Neto]:[Importe Neto]],Imput[[C. Imp.]:[C. Imp.]],$D584,Imput[[PERIODO Imp.]:[PERIODO Imp.]],BY$9)</f>
        <v>0</v>
      </c>
      <c r="BZ584" s="693">
        <f>SUMIFS(Imput[[Importe Neto]:[Importe Neto]],Imput[[C. Imp.]:[C. Imp.]],$D584,Imput[[PERIODO Imp.]:[PERIODO Imp.]],BZ$9)</f>
        <v>0</v>
      </c>
      <c r="CA584" s="693">
        <f>SUMIFS(Imput[[Importe Neto]:[Importe Neto]],Imput[[C. Imp.]:[C. Imp.]],$D584,Imput[[PERIODO Imp.]:[PERIODO Imp.]],CA$9)</f>
        <v>0</v>
      </c>
      <c r="CB584" s="693">
        <f>SUMIFS(Imput[[Importe Neto]:[Importe Neto]],Imput[[C. Imp.]:[C. Imp.]],$D584,Imput[[PERIODO Imp.]:[PERIODO Imp.]],CB$9)</f>
        <v>0</v>
      </c>
      <c r="CC584" s="693">
        <f>SUMIFS(Imput[[Importe Neto]:[Importe Neto]],Imput[[C. Imp.]:[C. Imp.]],$D584,Imput[[PERIODO Imp.]:[PERIODO Imp.]],CC$9)</f>
        <v>0</v>
      </c>
      <c r="CD584" s="693">
        <f>SUMIFS(Imput[[Importe Neto]:[Importe Neto]],Imput[[C. Imp.]:[C. Imp.]],$D584,Imput[[PERIODO Imp.]:[PERIODO Imp.]],CD$9)</f>
        <v>0</v>
      </c>
      <c r="CE584" s="693">
        <f>SUMIFS(Imput[[Importe Neto]:[Importe Neto]],Imput[[C. Imp.]:[C. Imp.]],$D584,Imput[[PERIODO Imp.]:[PERIODO Imp.]],CE$9)</f>
        <v>0</v>
      </c>
      <c r="CF584" s="693">
        <f>SUMIFS(Imput[[Importe Neto]:[Importe Neto]],Imput[[C. Imp.]:[C. Imp.]],$D584,Imput[[PERIODO Imp.]:[PERIODO Imp.]],CF$9)</f>
        <v>0</v>
      </c>
      <c r="CG584" s="693">
        <f>SUMIFS(Imput[[Importe Neto]:[Importe Neto]],Imput[[C. Imp.]:[C. Imp.]],$D584,Imput[[PERIODO Imp.]:[PERIODO Imp.]],CG$9)</f>
        <v>0</v>
      </c>
      <c r="CH584" s="693">
        <f>SUMIFS(Imput[[Importe Neto]:[Importe Neto]],Imput[[C. Imp.]:[C. Imp.]],$D584,Imput[[PERIODO Imp.]:[PERIODO Imp.]],CH$9)</f>
        <v>0</v>
      </c>
      <c r="CI584" s="693">
        <f>SUMIFS(Imput[[Importe Neto]:[Importe Neto]],Imput[[C. Imp.]:[C. Imp.]],$D584,Imput[[PERIODO Imp.]:[PERIODO Imp.]],CI$9)</f>
        <v>0</v>
      </c>
      <c r="CJ584" s="693">
        <f>SUMIFS(Imput[[Importe Neto]:[Importe Neto]],Imput[[C. Imp.]:[C. Imp.]],$D584,Imput[[PERIODO Imp.]:[PERIODO Imp.]],CJ$9)</f>
        <v>0</v>
      </c>
      <c r="CK584" s="693">
        <f>SUMIFS(Imput[[Importe Neto]:[Importe Neto]],Imput[[C. Imp.]:[C. Imp.]],$D584,Imput[[PERIODO Imp.]:[PERIODO Imp.]],CK$9)</f>
        <v>0</v>
      </c>
      <c r="CL584" s="693">
        <f>SUMIFS(Imput[[Importe Neto]:[Importe Neto]],Imput[[C. Imp.]:[C. Imp.]],$D584,Imput[[PERIODO Imp.]:[PERIODO Imp.]],CL$9)</f>
        <v>0</v>
      </c>
      <c r="CM584" s="693">
        <f>SUMIFS(Imput[[Importe Neto]:[Importe Neto]],Imput[[C. Imp.]:[C. Imp.]],$D584,Imput[[PERIODO Imp.]:[PERIODO Imp.]],CM$9)</f>
        <v>0</v>
      </c>
      <c r="CN584" s="693">
        <f>SUMIFS(Imput[[Importe Neto]:[Importe Neto]],Imput[[C. Imp.]:[C. Imp.]],$D584,Imput[[PERIODO Imp.]:[PERIODO Imp.]],CN$9)</f>
        <v>0</v>
      </c>
      <c r="CO584" s="693">
        <f>SUMIFS(Imput[[Importe Neto]:[Importe Neto]],Imput[[C. Imp.]:[C. Imp.]],$D584,Imput[[PERIODO Imp.]:[PERIODO Imp.]],CO$9)</f>
        <v>0</v>
      </c>
      <c r="CP584" s="693">
        <f>SUMIFS(Imput[[Importe Neto]:[Importe Neto]],Imput[[C. Imp.]:[C. Imp.]],$D584,Imput[[PERIODO Imp.]:[PERIODO Imp.]],CP$9)</f>
        <v>0</v>
      </c>
      <c r="CQ584" s="693">
        <f>SUMIFS(Imput[[Importe Neto]:[Importe Neto]],Imput[[C. Imp.]:[C. Imp.]],$D584,Imput[[PERIODO Imp.]:[PERIODO Imp.]],CQ$9)</f>
        <v>0</v>
      </c>
      <c r="CR584" s="693">
        <f>SUMIFS(Imput[[Importe Neto]:[Importe Neto]],Imput[[C. Imp.]:[C. Imp.]],$D584,Imput[[PERIODO Imp.]:[PERIODO Imp.]],CR$9)</f>
        <v>0</v>
      </c>
      <c r="CS584" s="693">
        <f>SUMIFS(Imput[[Importe Neto]:[Importe Neto]],Imput[[C. Imp.]:[C. Imp.]],$D584,Imput[[PERIODO Imp.]:[PERIODO Imp.]],CS$9)</f>
        <v>0</v>
      </c>
      <c r="CT584" s="693">
        <f>SUMIFS(Imput[[Importe Neto]:[Importe Neto]],Imput[[C. Imp.]:[C. Imp.]],$D584,Imput[[PERIODO Imp.]:[PERIODO Imp.]],CT$9)</f>
        <v>0</v>
      </c>
      <c r="CU584" s="693">
        <f>SUMIFS(Imput[[Importe Neto]:[Importe Neto]],Imput[[C. Imp.]:[C. Imp.]],$D584,Imput[[PERIODO Imp.]:[PERIODO Imp.]],CU$9)</f>
        <v>0</v>
      </c>
      <c r="CV584" s="693">
        <f>SUMIFS(Imput[[Importe Neto]:[Importe Neto]],Imput[[C. Imp.]:[C. Imp.]],$D584,Imput[[PERIODO Imp.]:[PERIODO Imp.]],CV$9)</f>
        <v>0</v>
      </c>
      <c r="CW584" s="693">
        <f>SUMIFS(Imput[[Importe Neto]:[Importe Neto]],Imput[[C. Imp.]:[C. Imp.]],$D584,Imput[[PERIODO Imp.]:[PERIODO Imp.]],CW$9)</f>
        <v>0</v>
      </c>
      <c r="CX584" s="693">
        <f>SUMIFS(Imput[[Importe Neto]:[Importe Neto]],Imput[[C. Imp.]:[C. Imp.]],$D584,Imput[[PERIODO Imp.]:[PERIODO Imp.]],CX$9)</f>
        <v>0</v>
      </c>
      <c r="CY584" s="693">
        <f>SUMIFS(Imput[[Importe Neto]:[Importe Neto]],Imput[[C. Imp.]:[C. Imp.]],$D584,Imput[[PERIODO Imp.]:[PERIODO Imp.]],CY$9)</f>
        <v>0</v>
      </c>
      <c r="CZ584" s="693">
        <f>SUMIFS(Imput[[Importe Neto]:[Importe Neto]],Imput[[C. Imp.]:[C. Imp.]],$D584,Imput[[PERIODO Imp.]:[PERIODO Imp.]],CZ$9)</f>
        <v>0</v>
      </c>
      <c r="DA584" s="693">
        <f>SUMIFS(Imput[[Importe Neto]:[Importe Neto]],Imput[[C. Imp.]:[C. Imp.]],$D584,Imput[[PERIODO Imp.]:[PERIODO Imp.]],DA$9)</f>
        <v>0</v>
      </c>
      <c r="DB584" s="693">
        <f>SUMIFS(Imput[[Importe Neto]:[Importe Neto]],Imput[[C. Imp.]:[C. Imp.]],$D584,Imput[[PERIODO Imp.]:[PERIODO Imp.]],DB$9)</f>
        <v>0</v>
      </c>
      <c r="DC584" s="693">
        <f>SUMIFS(Imput[[Importe Neto]:[Importe Neto]],Imput[[C. Imp.]:[C. Imp.]],$D584,Imput[[PERIODO Imp.]:[PERIODO Imp.]],DC$9)</f>
        <v>0</v>
      </c>
      <c r="DD584" s="693">
        <f>SUMIFS(Imput[[Importe Neto]:[Importe Neto]],Imput[[C. Imp.]:[C. Imp.]],$D584,Imput[[PERIODO Imp.]:[PERIODO Imp.]],DD$9)</f>
        <v>0</v>
      </c>
      <c r="DE584" s="693">
        <f>SUMIFS(Imput[[Importe Neto]:[Importe Neto]],Imput[[C. Imp.]:[C. Imp.]],$D584,Imput[[PERIODO Imp.]:[PERIODO Imp.]],DE$9)</f>
        <v>0</v>
      </c>
      <c r="DF584" s="693">
        <f>SUMIFS(Imput[[Importe Neto]:[Importe Neto]],Imput[[C. Imp.]:[C. Imp.]],$D584,Imput[[PERIODO Imp.]:[PERIODO Imp.]],DF$9)</f>
        <v>0</v>
      </c>
      <c r="DG584" s="693">
        <f>SUMIFS(Imput[[Importe Neto]:[Importe Neto]],Imput[[C. Imp.]:[C. Imp.]],$D584,Imput[[PERIODO Imp.]:[PERIODO Imp.]],DG$9)</f>
        <v>0</v>
      </c>
      <c r="DH584" s="694">
        <f>SUMIFS(Imput[[Importe Neto]:[Importe Neto]],Imput[[C. Imp.]:[C. Imp.]],$D584,Imput[[PERIODO Imp.]:[PERIODO Imp.]],DH$9)</f>
        <v>0</v>
      </c>
    </row>
    <row r="585" spans="1:112" s="649" customFormat="1" hidden="1" outlineLevel="1" x14ac:dyDescent="0.3">
      <c r="A585" s="652" t="str">
        <f t="shared" si="212"/>
        <v/>
      </c>
      <c r="B585" s="652"/>
      <c r="C585" s="685"/>
      <c r="D585" s="686" t="s">
        <v>2607</v>
      </c>
      <c r="E585" s="686"/>
      <c r="F585" s="720"/>
      <c r="G585" s="688"/>
      <c r="H585" s="689"/>
      <c r="I585" s="851" t="str">
        <f t="shared" si="217"/>
        <v/>
      </c>
      <c r="J585" s="850" t="str">
        <f t="shared" si="214"/>
        <v/>
      </c>
      <c r="K585" s="667"/>
      <c r="L585" s="858"/>
      <c r="M585" s="859"/>
      <c r="N585" s="859"/>
      <c r="O585" s="859"/>
      <c r="P585" s="859"/>
      <c r="Q585" s="859"/>
      <c r="R585" s="859"/>
      <c r="S585" s="859"/>
      <c r="T585" s="859"/>
      <c r="U585" s="859"/>
      <c r="V585" s="859"/>
      <c r="W585" s="859"/>
      <c r="X585" s="859"/>
      <c r="Y585" s="859"/>
      <c r="Z585" s="860"/>
      <c r="AA585" s="860"/>
      <c r="AB585" s="860"/>
      <c r="AC585" s="860"/>
      <c r="AD585" s="860"/>
      <c r="AE585" s="860"/>
      <c r="AF585" s="860"/>
      <c r="AG585" s="860"/>
      <c r="AH585" s="860"/>
      <c r="AI585" s="860"/>
      <c r="AJ585" s="860"/>
      <c r="AK585" s="860"/>
      <c r="AL585" s="860"/>
      <c r="AM585" s="860"/>
      <c r="AN585" s="860"/>
      <c r="AO585" s="860"/>
      <c r="AP585" s="860"/>
      <c r="AQ585" s="860"/>
      <c r="AR585" s="860"/>
      <c r="AS585" s="860"/>
      <c r="AT585" s="860"/>
      <c r="AU585" s="860"/>
      <c r="AV585" s="860"/>
      <c r="AW585" s="860"/>
      <c r="AX585" s="860"/>
      <c r="AY585" s="860"/>
      <c r="AZ585" s="860"/>
      <c r="BA585" s="860"/>
      <c r="BB585" s="860"/>
      <c r="BC585" s="860"/>
      <c r="BD585" s="860"/>
      <c r="BE585" s="860"/>
      <c r="BF585" s="860"/>
      <c r="BG585" s="860"/>
      <c r="BH585" s="668"/>
      <c r="BI585" s="667"/>
      <c r="BJ585" s="690">
        <f t="shared" si="218"/>
        <v>0</v>
      </c>
      <c r="BK585" s="691">
        <f t="shared" si="219"/>
        <v>0</v>
      </c>
      <c r="BL585" s="654"/>
      <c r="BM585" s="692">
        <f>SUMIFS(Imput[[Importe Neto]:[Importe Neto]],Imput[[C. Imp.]:[C. Imp.]],$D585,Imput[[PERIODO Imp.]:[PERIODO Imp.]],BM$9)</f>
        <v>0</v>
      </c>
      <c r="BN585" s="693">
        <f>SUMIFS(Imput[[Importe Neto]:[Importe Neto]],Imput[[C. Imp.]:[C. Imp.]],$D585,Imput[[PERIODO Imp.]:[PERIODO Imp.]],BN$9)</f>
        <v>0</v>
      </c>
      <c r="BO585" s="693">
        <f>SUMIFS(Imput[[Importe Neto]:[Importe Neto]],Imput[[C. Imp.]:[C. Imp.]],$D585,Imput[[PERIODO Imp.]:[PERIODO Imp.]],BO$9)</f>
        <v>0</v>
      </c>
      <c r="BP585" s="693">
        <f>SUMIFS(Imput[[Importe Neto]:[Importe Neto]],Imput[[C. Imp.]:[C. Imp.]],$D585,Imput[[PERIODO Imp.]:[PERIODO Imp.]],BP$9)</f>
        <v>0</v>
      </c>
      <c r="BQ585" s="693">
        <f>SUMIFS(Imput[[Importe Neto]:[Importe Neto]],Imput[[C. Imp.]:[C. Imp.]],$D585,Imput[[PERIODO Imp.]:[PERIODO Imp.]],BQ$9)</f>
        <v>0</v>
      </c>
      <c r="BR585" s="693">
        <f>SUMIFS(Imput[[Importe Neto]:[Importe Neto]],Imput[[C. Imp.]:[C. Imp.]],$D585,Imput[[PERIODO Imp.]:[PERIODO Imp.]],BR$9)</f>
        <v>0</v>
      </c>
      <c r="BS585" s="693">
        <f>SUMIFS(Imput[[Importe Neto]:[Importe Neto]],Imput[[C. Imp.]:[C. Imp.]],$D585,Imput[[PERIODO Imp.]:[PERIODO Imp.]],BS$9)</f>
        <v>0</v>
      </c>
      <c r="BT585" s="693">
        <f>SUMIFS(Imput[[Importe Neto]:[Importe Neto]],Imput[[C. Imp.]:[C. Imp.]],$D585,Imput[[PERIODO Imp.]:[PERIODO Imp.]],BT$9)</f>
        <v>0</v>
      </c>
      <c r="BU585" s="693">
        <f>SUMIFS(Imput[[Importe Neto]:[Importe Neto]],Imput[[C. Imp.]:[C. Imp.]],$D585,Imput[[PERIODO Imp.]:[PERIODO Imp.]],BU$9)</f>
        <v>0</v>
      </c>
      <c r="BV585" s="693">
        <f>SUMIFS(Imput[[Importe Neto]:[Importe Neto]],Imput[[C. Imp.]:[C. Imp.]],$D585,Imput[[PERIODO Imp.]:[PERIODO Imp.]],BV$9)</f>
        <v>0</v>
      </c>
      <c r="BW585" s="693">
        <f>SUMIFS(Imput[[Importe Neto]:[Importe Neto]],Imput[[C. Imp.]:[C. Imp.]],$D585,Imput[[PERIODO Imp.]:[PERIODO Imp.]],BW$9)</f>
        <v>0</v>
      </c>
      <c r="BX585" s="693">
        <f>SUMIFS(Imput[[Importe Neto]:[Importe Neto]],Imput[[C. Imp.]:[C. Imp.]],$D585,Imput[[PERIODO Imp.]:[PERIODO Imp.]],BX$9)</f>
        <v>0</v>
      </c>
      <c r="BY585" s="693">
        <f>SUMIFS(Imput[[Importe Neto]:[Importe Neto]],Imput[[C. Imp.]:[C. Imp.]],$D585,Imput[[PERIODO Imp.]:[PERIODO Imp.]],BY$9)</f>
        <v>0</v>
      </c>
      <c r="BZ585" s="693">
        <f>SUMIFS(Imput[[Importe Neto]:[Importe Neto]],Imput[[C. Imp.]:[C. Imp.]],$D585,Imput[[PERIODO Imp.]:[PERIODO Imp.]],BZ$9)</f>
        <v>0</v>
      </c>
      <c r="CA585" s="693">
        <f>SUMIFS(Imput[[Importe Neto]:[Importe Neto]],Imput[[C. Imp.]:[C. Imp.]],$D585,Imput[[PERIODO Imp.]:[PERIODO Imp.]],CA$9)</f>
        <v>0</v>
      </c>
      <c r="CB585" s="693">
        <f>SUMIFS(Imput[[Importe Neto]:[Importe Neto]],Imput[[C. Imp.]:[C. Imp.]],$D585,Imput[[PERIODO Imp.]:[PERIODO Imp.]],CB$9)</f>
        <v>0</v>
      </c>
      <c r="CC585" s="693">
        <f>SUMIFS(Imput[[Importe Neto]:[Importe Neto]],Imput[[C. Imp.]:[C. Imp.]],$D585,Imput[[PERIODO Imp.]:[PERIODO Imp.]],CC$9)</f>
        <v>0</v>
      </c>
      <c r="CD585" s="693">
        <f>SUMIFS(Imput[[Importe Neto]:[Importe Neto]],Imput[[C. Imp.]:[C. Imp.]],$D585,Imput[[PERIODO Imp.]:[PERIODO Imp.]],CD$9)</f>
        <v>0</v>
      </c>
      <c r="CE585" s="693">
        <f>SUMIFS(Imput[[Importe Neto]:[Importe Neto]],Imput[[C. Imp.]:[C. Imp.]],$D585,Imput[[PERIODO Imp.]:[PERIODO Imp.]],CE$9)</f>
        <v>0</v>
      </c>
      <c r="CF585" s="693">
        <f>SUMIFS(Imput[[Importe Neto]:[Importe Neto]],Imput[[C. Imp.]:[C. Imp.]],$D585,Imput[[PERIODO Imp.]:[PERIODO Imp.]],CF$9)</f>
        <v>0</v>
      </c>
      <c r="CG585" s="693">
        <f>SUMIFS(Imput[[Importe Neto]:[Importe Neto]],Imput[[C. Imp.]:[C. Imp.]],$D585,Imput[[PERIODO Imp.]:[PERIODO Imp.]],CG$9)</f>
        <v>0</v>
      </c>
      <c r="CH585" s="693">
        <f>SUMIFS(Imput[[Importe Neto]:[Importe Neto]],Imput[[C. Imp.]:[C. Imp.]],$D585,Imput[[PERIODO Imp.]:[PERIODO Imp.]],CH$9)</f>
        <v>0</v>
      </c>
      <c r="CI585" s="693">
        <f>SUMIFS(Imput[[Importe Neto]:[Importe Neto]],Imput[[C. Imp.]:[C. Imp.]],$D585,Imput[[PERIODO Imp.]:[PERIODO Imp.]],CI$9)</f>
        <v>0</v>
      </c>
      <c r="CJ585" s="693">
        <f>SUMIFS(Imput[[Importe Neto]:[Importe Neto]],Imput[[C. Imp.]:[C. Imp.]],$D585,Imput[[PERIODO Imp.]:[PERIODO Imp.]],CJ$9)</f>
        <v>0</v>
      </c>
      <c r="CK585" s="693">
        <f>SUMIFS(Imput[[Importe Neto]:[Importe Neto]],Imput[[C. Imp.]:[C. Imp.]],$D585,Imput[[PERIODO Imp.]:[PERIODO Imp.]],CK$9)</f>
        <v>0</v>
      </c>
      <c r="CL585" s="693">
        <f>SUMIFS(Imput[[Importe Neto]:[Importe Neto]],Imput[[C. Imp.]:[C. Imp.]],$D585,Imput[[PERIODO Imp.]:[PERIODO Imp.]],CL$9)</f>
        <v>0</v>
      </c>
      <c r="CM585" s="693">
        <f>SUMIFS(Imput[[Importe Neto]:[Importe Neto]],Imput[[C. Imp.]:[C. Imp.]],$D585,Imput[[PERIODO Imp.]:[PERIODO Imp.]],CM$9)</f>
        <v>0</v>
      </c>
      <c r="CN585" s="693">
        <f>SUMIFS(Imput[[Importe Neto]:[Importe Neto]],Imput[[C. Imp.]:[C. Imp.]],$D585,Imput[[PERIODO Imp.]:[PERIODO Imp.]],CN$9)</f>
        <v>0</v>
      </c>
      <c r="CO585" s="693">
        <f>SUMIFS(Imput[[Importe Neto]:[Importe Neto]],Imput[[C. Imp.]:[C. Imp.]],$D585,Imput[[PERIODO Imp.]:[PERIODO Imp.]],CO$9)</f>
        <v>0</v>
      </c>
      <c r="CP585" s="693">
        <f>SUMIFS(Imput[[Importe Neto]:[Importe Neto]],Imput[[C. Imp.]:[C. Imp.]],$D585,Imput[[PERIODO Imp.]:[PERIODO Imp.]],CP$9)</f>
        <v>0</v>
      </c>
      <c r="CQ585" s="693">
        <f>SUMIFS(Imput[[Importe Neto]:[Importe Neto]],Imput[[C. Imp.]:[C. Imp.]],$D585,Imput[[PERIODO Imp.]:[PERIODO Imp.]],CQ$9)</f>
        <v>0</v>
      </c>
      <c r="CR585" s="693">
        <f>SUMIFS(Imput[[Importe Neto]:[Importe Neto]],Imput[[C. Imp.]:[C. Imp.]],$D585,Imput[[PERIODO Imp.]:[PERIODO Imp.]],CR$9)</f>
        <v>0</v>
      </c>
      <c r="CS585" s="693">
        <f>SUMIFS(Imput[[Importe Neto]:[Importe Neto]],Imput[[C. Imp.]:[C. Imp.]],$D585,Imput[[PERIODO Imp.]:[PERIODO Imp.]],CS$9)</f>
        <v>0</v>
      </c>
      <c r="CT585" s="693">
        <f>SUMIFS(Imput[[Importe Neto]:[Importe Neto]],Imput[[C. Imp.]:[C. Imp.]],$D585,Imput[[PERIODO Imp.]:[PERIODO Imp.]],CT$9)</f>
        <v>0</v>
      </c>
      <c r="CU585" s="693">
        <f>SUMIFS(Imput[[Importe Neto]:[Importe Neto]],Imput[[C. Imp.]:[C. Imp.]],$D585,Imput[[PERIODO Imp.]:[PERIODO Imp.]],CU$9)</f>
        <v>0</v>
      </c>
      <c r="CV585" s="693">
        <f>SUMIFS(Imput[[Importe Neto]:[Importe Neto]],Imput[[C. Imp.]:[C. Imp.]],$D585,Imput[[PERIODO Imp.]:[PERIODO Imp.]],CV$9)</f>
        <v>0</v>
      </c>
      <c r="CW585" s="693">
        <f>SUMIFS(Imput[[Importe Neto]:[Importe Neto]],Imput[[C. Imp.]:[C. Imp.]],$D585,Imput[[PERIODO Imp.]:[PERIODO Imp.]],CW$9)</f>
        <v>0</v>
      </c>
      <c r="CX585" s="693">
        <f>SUMIFS(Imput[[Importe Neto]:[Importe Neto]],Imput[[C. Imp.]:[C. Imp.]],$D585,Imput[[PERIODO Imp.]:[PERIODO Imp.]],CX$9)</f>
        <v>0</v>
      </c>
      <c r="CY585" s="693">
        <f>SUMIFS(Imput[[Importe Neto]:[Importe Neto]],Imput[[C. Imp.]:[C. Imp.]],$D585,Imput[[PERIODO Imp.]:[PERIODO Imp.]],CY$9)</f>
        <v>0</v>
      </c>
      <c r="CZ585" s="693">
        <f>SUMIFS(Imput[[Importe Neto]:[Importe Neto]],Imput[[C. Imp.]:[C. Imp.]],$D585,Imput[[PERIODO Imp.]:[PERIODO Imp.]],CZ$9)</f>
        <v>0</v>
      </c>
      <c r="DA585" s="693">
        <f>SUMIFS(Imput[[Importe Neto]:[Importe Neto]],Imput[[C. Imp.]:[C. Imp.]],$D585,Imput[[PERIODO Imp.]:[PERIODO Imp.]],DA$9)</f>
        <v>0</v>
      </c>
      <c r="DB585" s="693">
        <f>SUMIFS(Imput[[Importe Neto]:[Importe Neto]],Imput[[C. Imp.]:[C. Imp.]],$D585,Imput[[PERIODO Imp.]:[PERIODO Imp.]],DB$9)</f>
        <v>0</v>
      </c>
      <c r="DC585" s="693">
        <f>SUMIFS(Imput[[Importe Neto]:[Importe Neto]],Imput[[C. Imp.]:[C. Imp.]],$D585,Imput[[PERIODO Imp.]:[PERIODO Imp.]],DC$9)</f>
        <v>0</v>
      </c>
      <c r="DD585" s="693">
        <f>SUMIFS(Imput[[Importe Neto]:[Importe Neto]],Imput[[C. Imp.]:[C. Imp.]],$D585,Imput[[PERIODO Imp.]:[PERIODO Imp.]],DD$9)</f>
        <v>0</v>
      </c>
      <c r="DE585" s="693">
        <f>SUMIFS(Imput[[Importe Neto]:[Importe Neto]],Imput[[C. Imp.]:[C. Imp.]],$D585,Imput[[PERIODO Imp.]:[PERIODO Imp.]],DE$9)</f>
        <v>0</v>
      </c>
      <c r="DF585" s="693">
        <f>SUMIFS(Imput[[Importe Neto]:[Importe Neto]],Imput[[C. Imp.]:[C. Imp.]],$D585,Imput[[PERIODO Imp.]:[PERIODO Imp.]],DF$9)</f>
        <v>0</v>
      </c>
      <c r="DG585" s="693">
        <f>SUMIFS(Imput[[Importe Neto]:[Importe Neto]],Imput[[C. Imp.]:[C. Imp.]],$D585,Imput[[PERIODO Imp.]:[PERIODO Imp.]],DG$9)</f>
        <v>0</v>
      </c>
      <c r="DH585" s="694">
        <f>SUMIFS(Imput[[Importe Neto]:[Importe Neto]],Imput[[C. Imp.]:[C. Imp.]],$D585,Imput[[PERIODO Imp.]:[PERIODO Imp.]],DH$9)</f>
        <v>0</v>
      </c>
    </row>
    <row r="586" spans="1:112" s="649" customFormat="1" hidden="1" outlineLevel="1" x14ac:dyDescent="0.3">
      <c r="A586" s="652" t="str">
        <f t="shared" si="212"/>
        <v/>
      </c>
      <c r="B586" s="652"/>
      <c r="C586" s="685"/>
      <c r="D586" s="686" t="s">
        <v>2608</v>
      </c>
      <c r="E586" s="686"/>
      <c r="F586" s="720"/>
      <c r="G586" s="688"/>
      <c r="H586" s="696"/>
      <c r="I586" s="851" t="str">
        <f t="shared" si="217"/>
        <v/>
      </c>
      <c r="J586" s="850" t="str">
        <f t="shared" si="214"/>
        <v/>
      </c>
      <c r="K586" s="667"/>
      <c r="L586" s="858"/>
      <c r="M586" s="859"/>
      <c r="N586" s="859"/>
      <c r="O586" s="859"/>
      <c r="P586" s="859"/>
      <c r="Q586" s="859"/>
      <c r="R586" s="859"/>
      <c r="S586" s="859"/>
      <c r="T586" s="859"/>
      <c r="U586" s="859"/>
      <c r="V586" s="859"/>
      <c r="W586" s="859"/>
      <c r="X586" s="859"/>
      <c r="Y586" s="859"/>
      <c r="Z586" s="860"/>
      <c r="AA586" s="860"/>
      <c r="AB586" s="860"/>
      <c r="AC586" s="860"/>
      <c r="AD586" s="860"/>
      <c r="AE586" s="860"/>
      <c r="AF586" s="860"/>
      <c r="AG586" s="860"/>
      <c r="AH586" s="860"/>
      <c r="AI586" s="860"/>
      <c r="AJ586" s="860"/>
      <c r="AK586" s="860"/>
      <c r="AL586" s="860"/>
      <c r="AM586" s="860"/>
      <c r="AN586" s="860"/>
      <c r="AO586" s="860"/>
      <c r="AP586" s="860"/>
      <c r="AQ586" s="860"/>
      <c r="AR586" s="860"/>
      <c r="AS586" s="860"/>
      <c r="AT586" s="860"/>
      <c r="AU586" s="860"/>
      <c r="AV586" s="860"/>
      <c r="AW586" s="860"/>
      <c r="AX586" s="860"/>
      <c r="AY586" s="860"/>
      <c r="AZ586" s="860"/>
      <c r="BA586" s="860"/>
      <c r="BB586" s="860"/>
      <c r="BC586" s="860"/>
      <c r="BD586" s="860"/>
      <c r="BE586" s="860"/>
      <c r="BF586" s="860"/>
      <c r="BG586" s="860"/>
      <c r="BH586" s="668"/>
      <c r="BI586" s="667"/>
      <c r="BJ586" s="690">
        <f t="shared" si="218"/>
        <v>0</v>
      </c>
      <c r="BK586" s="691">
        <f t="shared" si="219"/>
        <v>0</v>
      </c>
      <c r="BL586" s="654"/>
      <c r="BM586" s="692">
        <f>SUMIFS(Imput[[Importe Neto]:[Importe Neto]],Imput[[C. Imp.]:[C. Imp.]],$D586,Imput[[PERIODO Imp.]:[PERIODO Imp.]],BM$9)</f>
        <v>0</v>
      </c>
      <c r="BN586" s="693">
        <f>SUMIFS(Imput[[Importe Neto]:[Importe Neto]],Imput[[C. Imp.]:[C. Imp.]],$D586,Imput[[PERIODO Imp.]:[PERIODO Imp.]],BN$9)</f>
        <v>0</v>
      </c>
      <c r="BO586" s="693">
        <f>SUMIFS(Imput[[Importe Neto]:[Importe Neto]],Imput[[C. Imp.]:[C. Imp.]],$D586,Imput[[PERIODO Imp.]:[PERIODO Imp.]],BO$9)</f>
        <v>0</v>
      </c>
      <c r="BP586" s="693">
        <f>SUMIFS(Imput[[Importe Neto]:[Importe Neto]],Imput[[C. Imp.]:[C. Imp.]],$D586,Imput[[PERIODO Imp.]:[PERIODO Imp.]],BP$9)</f>
        <v>0</v>
      </c>
      <c r="BQ586" s="693">
        <f>SUMIFS(Imput[[Importe Neto]:[Importe Neto]],Imput[[C. Imp.]:[C. Imp.]],$D586,Imput[[PERIODO Imp.]:[PERIODO Imp.]],BQ$9)</f>
        <v>0</v>
      </c>
      <c r="BR586" s="693">
        <f>SUMIFS(Imput[[Importe Neto]:[Importe Neto]],Imput[[C. Imp.]:[C. Imp.]],$D586,Imput[[PERIODO Imp.]:[PERIODO Imp.]],BR$9)</f>
        <v>0</v>
      </c>
      <c r="BS586" s="693">
        <f>SUMIFS(Imput[[Importe Neto]:[Importe Neto]],Imput[[C. Imp.]:[C. Imp.]],$D586,Imput[[PERIODO Imp.]:[PERIODO Imp.]],BS$9)</f>
        <v>0</v>
      </c>
      <c r="BT586" s="693">
        <f>SUMIFS(Imput[[Importe Neto]:[Importe Neto]],Imput[[C. Imp.]:[C. Imp.]],$D586,Imput[[PERIODO Imp.]:[PERIODO Imp.]],BT$9)</f>
        <v>0</v>
      </c>
      <c r="BU586" s="693">
        <f>SUMIFS(Imput[[Importe Neto]:[Importe Neto]],Imput[[C. Imp.]:[C. Imp.]],$D586,Imput[[PERIODO Imp.]:[PERIODO Imp.]],BU$9)</f>
        <v>0</v>
      </c>
      <c r="BV586" s="693">
        <f>SUMIFS(Imput[[Importe Neto]:[Importe Neto]],Imput[[C. Imp.]:[C. Imp.]],$D586,Imput[[PERIODO Imp.]:[PERIODO Imp.]],BV$9)</f>
        <v>0</v>
      </c>
      <c r="BW586" s="693">
        <f>SUMIFS(Imput[[Importe Neto]:[Importe Neto]],Imput[[C. Imp.]:[C. Imp.]],$D586,Imput[[PERIODO Imp.]:[PERIODO Imp.]],BW$9)</f>
        <v>0</v>
      </c>
      <c r="BX586" s="693">
        <f>SUMIFS(Imput[[Importe Neto]:[Importe Neto]],Imput[[C. Imp.]:[C. Imp.]],$D586,Imput[[PERIODO Imp.]:[PERIODO Imp.]],BX$9)</f>
        <v>0</v>
      </c>
      <c r="BY586" s="693">
        <f>SUMIFS(Imput[[Importe Neto]:[Importe Neto]],Imput[[C. Imp.]:[C. Imp.]],$D586,Imput[[PERIODO Imp.]:[PERIODO Imp.]],BY$9)</f>
        <v>0</v>
      </c>
      <c r="BZ586" s="693">
        <f>SUMIFS(Imput[[Importe Neto]:[Importe Neto]],Imput[[C. Imp.]:[C. Imp.]],$D586,Imput[[PERIODO Imp.]:[PERIODO Imp.]],BZ$9)</f>
        <v>0</v>
      </c>
      <c r="CA586" s="693">
        <f>SUMIFS(Imput[[Importe Neto]:[Importe Neto]],Imput[[C. Imp.]:[C. Imp.]],$D586,Imput[[PERIODO Imp.]:[PERIODO Imp.]],CA$9)</f>
        <v>0</v>
      </c>
      <c r="CB586" s="693">
        <f>SUMIFS(Imput[[Importe Neto]:[Importe Neto]],Imput[[C. Imp.]:[C. Imp.]],$D586,Imput[[PERIODO Imp.]:[PERIODO Imp.]],CB$9)</f>
        <v>0</v>
      </c>
      <c r="CC586" s="693">
        <f>SUMIFS(Imput[[Importe Neto]:[Importe Neto]],Imput[[C. Imp.]:[C. Imp.]],$D586,Imput[[PERIODO Imp.]:[PERIODO Imp.]],CC$9)</f>
        <v>0</v>
      </c>
      <c r="CD586" s="693">
        <f>SUMIFS(Imput[[Importe Neto]:[Importe Neto]],Imput[[C. Imp.]:[C. Imp.]],$D586,Imput[[PERIODO Imp.]:[PERIODO Imp.]],CD$9)</f>
        <v>0</v>
      </c>
      <c r="CE586" s="693">
        <f>SUMIFS(Imput[[Importe Neto]:[Importe Neto]],Imput[[C. Imp.]:[C. Imp.]],$D586,Imput[[PERIODO Imp.]:[PERIODO Imp.]],CE$9)</f>
        <v>0</v>
      </c>
      <c r="CF586" s="693">
        <f>SUMIFS(Imput[[Importe Neto]:[Importe Neto]],Imput[[C. Imp.]:[C. Imp.]],$D586,Imput[[PERIODO Imp.]:[PERIODO Imp.]],CF$9)</f>
        <v>0</v>
      </c>
      <c r="CG586" s="693">
        <f>SUMIFS(Imput[[Importe Neto]:[Importe Neto]],Imput[[C. Imp.]:[C. Imp.]],$D586,Imput[[PERIODO Imp.]:[PERIODO Imp.]],CG$9)</f>
        <v>0</v>
      </c>
      <c r="CH586" s="693">
        <f>SUMIFS(Imput[[Importe Neto]:[Importe Neto]],Imput[[C. Imp.]:[C. Imp.]],$D586,Imput[[PERIODO Imp.]:[PERIODO Imp.]],CH$9)</f>
        <v>0</v>
      </c>
      <c r="CI586" s="693">
        <f>SUMIFS(Imput[[Importe Neto]:[Importe Neto]],Imput[[C. Imp.]:[C. Imp.]],$D586,Imput[[PERIODO Imp.]:[PERIODO Imp.]],CI$9)</f>
        <v>0</v>
      </c>
      <c r="CJ586" s="693">
        <f>SUMIFS(Imput[[Importe Neto]:[Importe Neto]],Imput[[C. Imp.]:[C. Imp.]],$D586,Imput[[PERIODO Imp.]:[PERIODO Imp.]],CJ$9)</f>
        <v>0</v>
      </c>
      <c r="CK586" s="693">
        <f>SUMIFS(Imput[[Importe Neto]:[Importe Neto]],Imput[[C. Imp.]:[C. Imp.]],$D586,Imput[[PERIODO Imp.]:[PERIODO Imp.]],CK$9)</f>
        <v>0</v>
      </c>
      <c r="CL586" s="693">
        <f>SUMIFS(Imput[[Importe Neto]:[Importe Neto]],Imput[[C. Imp.]:[C. Imp.]],$D586,Imput[[PERIODO Imp.]:[PERIODO Imp.]],CL$9)</f>
        <v>0</v>
      </c>
      <c r="CM586" s="693">
        <f>SUMIFS(Imput[[Importe Neto]:[Importe Neto]],Imput[[C. Imp.]:[C. Imp.]],$D586,Imput[[PERIODO Imp.]:[PERIODO Imp.]],CM$9)</f>
        <v>0</v>
      </c>
      <c r="CN586" s="693">
        <f>SUMIFS(Imput[[Importe Neto]:[Importe Neto]],Imput[[C. Imp.]:[C. Imp.]],$D586,Imput[[PERIODO Imp.]:[PERIODO Imp.]],CN$9)</f>
        <v>0</v>
      </c>
      <c r="CO586" s="693">
        <f>SUMIFS(Imput[[Importe Neto]:[Importe Neto]],Imput[[C. Imp.]:[C. Imp.]],$D586,Imput[[PERIODO Imp.]:[PERIODO Imp.]],CO$9)</f>
        <v>0</v>
      </c>
      <c r="CP586" s="693">
        <f>SUMIFS(Imput[[Importe Neto]:[Importe Neto]],Imput[[C. Imp.]:[C. Imp.]],$D586,Imput[[PERIODO Imp.]:[PERIODO Imp.]],CP$9)</f>
        <v>0</v>
      </c>
      <c r="CQ586" s="693">
        <f>SUMIFS(Imput[[Importe Neto]:[Importe Neto]],Imput[[C. Imp.]:[C. Imp.]],$D586,Imput[[PERIODO Imp.]:[PERIODO Imp.]],CQ$9)</f>
        <v>0</v>
      </c>
      <c r="CR586" s="693">
        <f>SUMIFS(Imput[[Importe Neto]:[Importe Neto]],Imput[[C. Imp.]:[C. Imp.]],$D586,Imput[[PERIODO Imp.]:[PERIODO Imp.]],CR$9)</f>
        <v>0</v>
      </c>
      <c r="CS586" s="693">
        <f>SUMIFS(Imput[[Importe Neto]:[Importe Neto]],Imput[[C. Imp.]:[C. Imp.]],$D586,Imput[[PERIODO Imp.]:[PERIODO Imp.]],CS$9)</f>
        <v>0</v>
      </c>
      <c r="CT586" s="693">
        <f>SUMIFS(Imput[[Importe Neto]:[Importe Neto]],Imput[[C. Imp.]:[C. Imp.]],$D586,Imput[[PERIODO Imp.]:[PERIODO Imp.]],CT$9)</f>
        <v>0</v>
      </c>
      <c r="CU586" s="693">
        <f>SUMIFS(Imput[[Importe Neto]:[Importe Neto]],Imput[[C. Imp.]:[C. Imp.]],$D586,Imput[[PERIODO Imp.]:[PERIODO Imp.]],CU$9)</f>
        <v>0</v>
      </c>
      <c r="CV586" s="693">
        <f>SUMIFS(Imput[[Importe Neto]:[Importe Neto]],Imput[[C. Imp.]:[C. Imp.]],$D586,Imput[[PERIODO Imp.]:[PERIODO Imp.]],CV$9)</f>
        <v>0</v>
      </c>
      <c r="CW586" s="693">
        <f>SUMIFS(Imput[[Importe Neto]:[Importe Neto]],Imput[[C. Imp.]:[C. Imp.]],$D586,Imput[[PERIODO Imp.]:[PERIODO Imp.]],CW$9)</f>
        <v>0</v>
      </c>
      <c r="CX586" s="693">
        <f>SUMIFS(Imput[[Importe Neto]:[Importe Neto]],Imput[[C. Imp.]:[C. Imp.]],$D586,Imput[[PERIODO Imp.]:[PERIODO Imp.]],CX$9)</f>
        <v>0</v>
      </c>
      <c r="CY586" s="693">
        <f>SUMIFS(Imput[[Importe Neto]:[Importe Neto]],Imput[[C. Imp.]:[C. Imp.]],$D586,Imput[[PERIODO Imp.]:[PERIODO Imp.]],CY$9)</f>
        <v>0</v>
      </c>
      <c r="CZ586" s="693">
        <f>SUMIFS(Imput[[Importe Neto]:[Importe Neto]],Imput[[C. Imp.]:[C. Imp.]],$D586,Imput[[PERIODO Imp.]:[PERIODO Imp.]],CZ$9)</f>
        <v>0</v>
      </c>
      <c r="DA586" s="693">
        <f>SUMIFS(Imput[[Importe Neto]:[Importe Neto]],Imput[[C. Imp.]:[C. Imp.]],$D586,Imput[[PERIODO Imp.]:[PERIODO Imp.]],DA$9)</f>
        <v>0</v>
      </c>
      <c r="DB586" s="693">
        <f>SUMIFS(Imput[[Importe Neto]:[Importe Neto]],Imput[[C. Imp.]:[C. Imp.]],$D586,Imput[[PERIODO Imp.]:[PERIODO Imp.]],DB$9)</f>
        <v>0</v>
      </c>
      <c r="DC586" s="693">
        <f>SUMIFS(Imput[[Importe Neto]:[Importe Neto]],Imput[[C. Imp.]:[C. Imp.]],$D586,Imput[[PERIODO Imp.]:[PERIODO Imp.]],DC$9)</f>
        <v>0</v>
      </c>
      <c r="DD586" s="693">
        <f>SUMIFS(Imput[[Importe Neto]:[Importe Neto]],Imput[[C. Imp.]:[C. Imp.]],$D586,Imput[[PERIODO Imp.]:[PERIODO Imp.]],DD$9)</f>
        <v>0</v>
      </c>
      <c r="DE586" s="693">
        <f>SUMIFS(Imput[[Importe Neto]:[Importe Neto]],Imput[[C. Imp.]:[C. Imp.]],$D586,Imput[[PERIODO Imp.]:[PERIODO Imp.]],DE$9)</f>
        <v>0</v>
      </c>
      <c r="DF586" s="693">
        <f>SUMIFS(Imput[[Importe Neto]:[Importe Neto]],Imput[[C. Imp.]:[C. Imp.]],$D586,Imput[[PERIODO Imp.]:[PERIODO Imp.]],DF$9)</f>
        <v>0</v>
      </c>
      <c r="DG586" s="693">
        <f>SUMIFS(Imput[[Importe Neto]:[Importe Neto]],Imput[[C. Imp.]:[C. Imp.]],$D586,Imput[[PERIODO Imp.]:[PERIODO Imp.]],DG$9)</f>
        <v>0</v>
      </c>
      <c r="DH586" s="694">
        <f>SUMIFS(Imput[[Importe Neto]:[Importe Neto]],Imput[[C. Imp.]:[C. Imp.]],$D586,Imput[[PERIODO Imp.]:[PERIODO Imp.]],DH$9)</f>
        <v>0</v>
      </c>
    </row>
    <row r="587" spans="1:112" s="649" customFormat="1" hidden="1" outlineLevel="1" x14ac:dyDescent="0.3">
      <c r="A587" s="652" t="str">
        <f t="shared" si="212"/>
        <v/>
      </c>
      <c r="B587" s="652"/>
      <c r="C587" s="685"/>
      <c r="D587" s="686" t="s">
        <v>2609</v>
      </c>
      <c r="E587" s="686"/>
      <c r="F587" s="720"/>
      <c r="G587" s="688"/>
      <c r="H587" s="696"/>
      <c r="I587" s="851" t="str">
        <f t="shared" si="217"/>
        <v/>
      </c>
      <c r="J587" s="850" t="str">
        <f t="shared" si="214"/>
        <v/>
      </c>
      <c r="K587" s="667"/>
      <c r="L587" s="858"/>
      <c r="M587" s="859"/>
      <c r="N587" s="859"/>
      <c r="O587" s="859"/>
      <c r="P587" s="859"/>
      <c r="Q587" s="859"/>
      <c r="R587" s="859"/>
      <c r="S587" s="859"/>
      <c r="T587" s="859"/>
      <c r="U587" s="859"/>
      <c r="V587" s="859"/>
      <c r="W587" s="859"/>
      <c r="X587" s="859"/>
      <c r="Y587" s="859"/>
      <c r="Z587" s="860"/>
      <c r="AA587" s="860"/>
      <c r="AB587" s="860"/>
      <c r="AC587" s="860"/>
      <c r="AD587" s="860"/>
      <c r="AE587" s="860"/>
      <c r="AF587" s="860"/>
      <c r="AG587" s="860"/>
      <c r="AH587" s="860"/>
      <c r="AI587" s="860"/>
      <c r="AJ587" s="860"/>
      <c r="AK587" s="860"/>
      <c r="AL587" s="860"/>
      <c r="AM587" s="860"/>
      <c r="AN587" s="860"/>
      <c r="AO587" s="860"/>
      <c r="AP587" s="860"/>
      <c r="AQ587" s="860"/>
      <c r="AR587" s="860"/>
      <c r="AS587" s="860"/>
      <c r="AT587" s="860"/>
      <c r="AU587" s="860"/>
      <c r="AV587" s="860"/>
      <c r="AW587" s="860"/>
      <c r="AX587" s="860"/>
      <c r="AY587" s="860"/>
      <c r="AZ587" s="860"/>
      <c r="BA587" s="860"/>
      <c r="BB587" s="860"/>
      <c r="BC587" s="860"/>
      <c r="BD587" s="860"/>
      <c r="BE587" s="860"/>
      <c r="BF587" s="860"/>
      <c r="BG587" s="860"/>
      <c r="BH587" s="668"/>
      <c r="BI587" s="667"/>
      <c r="BJ587" s="690">
        <f t="shared" si="218"/>
        <v>0</v>
      </c>
      <c r="BK587" s="691">
        <f t="shared" si="219"/>
        <v>0</v>
      </c>
      <c r="BL587" s="654"/>
      <c r="BM587" s="692">
        <f>SUMIFS(Imput[[Importe Neto]:[Importe Neto]],Imput[[C. Imp.]:[C. Imp.]],$D587,Imput[[PERIODO Imp.]:[PERIODO Imp.]],BM$9)</f>
        <v>0</v>
      </c>
      <c r="BN587" s="693">
        <f>SUMIFS(Imput[[Importe Neto]:[Importe Neto]],Imput[[C. Imp.]:[C. Imp.]],$D587,Imput[[PERIODO Imp.]:[PERIODO Imp.]],BN$9)</f>
        <v>0</v>
      </c>
      <c r="BO587" s="693">
        <f>SUMIFS(Imput[[Importe Neto]:[Importe Neto]],Imput[[C. Imp.]:[C. Imp.]],$D587,Imput[[PERIODO Imp.]:[PERIODO Imp.]],BO$9)</f>
        <v>0</v>
      </c>
      <c r="BP587" s="693">
        <f>SUMIFS(Imput[[Importe Neto]:[Importe Neto]],Imput[[C. Imp.]:[C. Imp.]],$D587,Imput[[PERIODO Imp.]:[PERIODO Imp.]],BP$9)</f>
        <v>0</v>
      </c>
      <c r="BQ587" s="693">
        <f>SUMIFS(Imput[[Importe Neto]:[Importe Neto]],Imput[[C. Imp.]:[C. Imp.]],$D587,Imput[[PERIODO Imp.]:[PERIODO Imp.]],BQ$9)</f>
        <v>0</v>
      </c>
      <c r="BR587" s="693">
        <f>SUMIFS(Imput[[Importe Neto]:[Importe Neto]],Imput[[C. Imp.]:[C. Imp.]],$D587,Imput[[PERIODO Imp.]:[PERIODO Imp.]],BR$9)</f>
        <v>0</v>
      </c>
      <c r="BS587" s="693">
        <f>SUMIFS(Imput[[Importe Neto]:[Importe Neto]],Imput[[C. Imp.]:[C. Imp.]],$D587,Imput[[PERIODO Imp.]:[PERIODO Imp.]],BS$9)</f>
        <v>0</v>
      </c>
      <c r="BT587" s="693">
        <f>SUMIFS(Imput[[Importe Neto]:[Importe Neto]],Imput[[C. Imp.]:[C. Imp.]],$D587,Imput[[PERIODO Imp.]:[PERIODO Imp.]],BT$9)</f>
        <v>0</v>
      </c>
      <c r="BU587" s="693">
        <f>SUMIFS(Imput[[Importe Neto]:[Importe Neto]],Imput[[C. Imp.]:[C. Imp.]],$D587,Imput[[PERIODO Imp.]:[PERIODO Imp.]],BU$9)</f>
        <v>0</v>
      </c>
      <c r="BV587" s="693">
        <f>SUMIFS(Imput[[Importe Neto]:[Importe Neto]],Imput[[C. Imp.]:[C. Imp.]],$D587,Imput[[PERIODO Imp.]:[PERIODO Imp.]],BV$9)</f>
        <v>0</v>
      </c>
      <c r="BW587" s="693">
        <f>SUMIFS(Imput[[Importe Neto]:[Importe Neto]],Imput[[C. Imp.]:[C. Imp.]],$D587,Imput[[PERIODO Imp.]:[PERIODO Imp.]],BW$9)</f>
        <v>0</v>
      </c>
      <c r="BX587" s="693">
        <f>SUMIFS(Imput[[Importe Neto]:[Importe Neto]],Imput[[C. Imp.]:[C. Imp.]],$D587,Imput[[PERIODO Imp.]:[PERIODO Imp.]],BX$9)</f>
        <v>0</v>
      </c>
      <c r="BY587" s="693">
        <f>SUMIFS(Imput[[Importe Neto]:[Importe Neto]],Imput[[C. Imp.]:[C. Imp.]],$D587,Imput[[PERIODO Imp.]:[PERIODO Imp.]],BY$9)</f>
        <v>0</v>
      </c>
      <c r="BZ587" s="693">
        <f>SUMIFS(Imput[[Importe Neto]:[Importe Neto]],Imput[[C. Imp.]:[C. Imp.]],$D587,Imput[[PERIODO Imp.]:[PERIODO Imp.]],BZ$9)</f>
        <v>0</v>
      </c>
      <c r="CA587" s="693">
        <f>SUMIFS(Imput[[Importe Neto]:[Importe Neto]],Imput[[C. Imp.]:[C. Imp.]],$D587,Imput[[PERIODO Imp.]:[PERIODO Imp.]],CA$9)</f>
        <v>0</v>
      </c>
      <c r="CB587" s="693">
        <f>SUMIFS(Imput[[Importe Neto]:[Importe Neto]],Imput[[C. Imp.]:[C. Imp.]],$D587,Imput[[PERIODO Imp.]:[PERIODO Imp.]],CB$9)</f>
        <v>0</v>
      </c>
      <c r="CC587" s="693">
        <f>SUMIFS(Imput[[Importe Neto]:[Importe Neto]],Imput[[C. Imp.]:[C. Imp.]],$D587,Imput[[PERIODO Imp.]:[PERIODO Imp.]],CC$9)</f>
        <v>0</v>
      </c>
      <c r="CD587" s="693">
        <f>SUMIFS(Imput[[Importe Neto]:[Importe Neto]],Imput[[C. Imp.]:[C. Imp.]],$D587,Imput[[PERIODO Imp.]:[PERIODO Imp.]],CD$9)</f>
        <v>0</v>
      </c>
      <c r="CE587" s="693">
        <f>SUMIFS(Imput[[Importe Neto]:[Importe Neto]],Imput[[C. Imp.]:[C. Imp.]],$D587,Imput[[PERIODO Imp.]:[PERIODO Imp.]],CE$9)</f>
        <v>0</v>
      </c>
      <c r="CF587" s="693">
        <f>SUMIFS(Imput[[Importe Neto]:[Importe Neto]],Imput[[C. Imp.]:[C. Imp.]],$D587,Imput[[PERIODO Imp.]:[PERIODO Imp.]],CF$9)</f>
        <v>0</v>
      </c>
      <c r="CG587" s="693">
        <f>SUMIFS(Imput[[Importe Neto]:[Importe Neto]],Imput[[C. Imp.]:[C. Imp.]],$D587,Imput[[PERIODO Imp.]:[PERIODO Imp.]],CG$9)</f>
        <v>0</v>
      </c>
      <c r="CH587" s="693">
        <f>SUMIFS(Imput[[Importe Neto]:[Importe Neto]],Imput[[C. Imp.]:[C. Imp.]],$D587,Imput[[PERIODO Imp.]:[PERIODO Imp.]],CH$9)</f>
        <v>0</v>
      </c>
      <c r="CI587" s="693">
        <f>SUMIFS(Imput[[Importe Neto]:[Importe Neto]],Imput[[C. Imp.]:[C. Imp.]],$D587,Imput[[PERIODO Imp.]:[PERIODO Imp.]],CI$9)</f>
        <v>0</v>
      </c>
      <c r="CJ587" s="693">
        <f>SUMIFS(Imput[[Importe Neto]:[Importe Neto]],Imput[[C. Imp.]:[C. Imp.]],$D587,Imput[[PERIODO Imp.]:[PERIODO Imp.]],CJ$9)</f>
        <v>0</v>
      </c>
      <c r="CK587" s="693">
        <f>SUMIFS(Imput[[Importe Neto]:[Importe Neto]],Imput[[C. Imp.]:[C. Imp.]],$D587,Imput[[PERIODO Imp.]:[PERIODO Imp.]],CK$9)</f>
        <v>0</v>
      </c>
      <c r="CL587" s="693">
        <f>SUMIFS(Imput[[Importe Neto]:[Importe Neto]],Imput[[C. Imp.]:[C. Imp.]],$D587,Imput[[PERIODO Imp.]:[PERIODO Imp.]],CL$9)</f>
        <v>0</v>
      </c>
      <c r="CM587" s="693">
        <f>SUMIFS(Imput[[Importe Neto]:[Importe Neto]],Imput[[C. Imp.]:[C. Imp.]],$D587,Imput[[PERIODO Imp.]:[PERIODO Imp.]],CM$9)</f>
        <v>0</v>
      </c>
      <c r="CN587" s="693">
        <f>SUMIFS(Imput[[Importe Neto]:[Importe Neto]],Imput[[C. Imp.]:[C. Imp.]],$D587,Imput[[PERIODO Imp.]:[PERIODO Imp.]],CN$9)</f>
        <v>0</v>
      </c>
      <c r="CO587" s="693">
        <f>SUMIFS(Imput[[Importe Neto]:[Importe Neto]],Imput[[C. Imp.]:[C. Imp.]],$D587,Imput[[PERIODO Imp.]:[PERIODO Imp.]],CO$9)</f>
        <v>0</v>
      </c>
      <c r="CP587" s="693">
        <f>SUMIFS(Imput[[Importe Neto]:[Importe Neto]],Imput[[C. Imp.]:[C. Imp.]],$D587,Imput[[PERIODO Imp.]:[PERIODO Imp.]],CP$9)</f>
        <v>0</v>
      </c>
      <c r="CQ587" s="693">
        <f>SUMIFS(Imput[[Importe Neto]:[Importe Neto]],Imput[[C. Imp.]:[C. Imp.]],$D587,Imput[[PERIODO Imp.]:[PERIODO Imp.]],CQ$9)</f>
        <v>0</v>
      </c>
      <c r="CR587" s="693">
        <f>SUMIFS(Imput[[Importe Neto]:[Importe Neto]],Imput[[C. Imp.]:[C. Imp.]],$D587,Imput[[PERIODO Imp.]:[PERIODO Imp.]],CR$9)</f>
        <v>0</v>
      </c>
      <c r="CS587" s="693">
        <f>SUMIFS(Imput[[Importe Neto]:[Importe Neto]],Imput[[C. Imp.]:[C. Imp.]],$D587,Imput[[PERIODO Imp.]:[PERIODO Imp.]],CS$9)</f>
        <v>0</v>
      </c>
      <c r="CT587" s="693">
        <f>SUMIFS(Imput[[Importe Neto]:[Importe Neto]],Imput[[C. Imp.]:[C. Imp.]],$D587,Imput[[PERIODO Imp.]:[PERIODO Imp.]],CT$9)</f>
        <v>0</v>
      </c>
      <c r="CU587" s="693">
        <f>SUMIFS(Imput[[Importe Neto]:[Importe Neto]],Imput[[C. Imp.]:[C. Imp.]],$D587,Imput[[PERIODO Imp.]:[PERIODO Imp.]],CU$9)</f>
        <v>0</v>
      </c>
      <c r="CV587" s="693">
        <f>SUMIFS(Imput[[Importe Neto]:[Importe Neto]],Imput[[C. Imp.]:[C. Imp.]],$D587,Imput[[PERIODO Imp.]:[PERIODO Imp.]],CV$9)</f>
        <v>0</v>
      </c>
      <c r="CW587" s="693">
        <f>SUMIFS(Imput[[Importe Neto]:[Importe Neto]],Imput[[C. Imp.]:[C. Imp.]],$D587,Imput[[PERIODO Imp.]:[PERIODO Imp.]],CW$9)</f>
        <v>0</v>
      </c>
      <c r="CX587" s="693">
        <f>SUMIFS(Imput[[Importe Neto]:[Importe Neto]],Imput[[C. Imp.]:[C. Imp.]],$D587,Imput[[PERIODO Imp.]:[PERIODO Imp.]],CX$9)</f>
        <v>0</v>
      </c>
      <c r="CY587" s="693">
        <f>SUMIFS(Imput[[Importe Neto]:[Importe Neto]],Imput[[C. Imp.]:[C. Imp.]],$D587,Imput[[PERIODO Imp.]:[PERIODO Imp.]],CY$9)</f>
        <v>0</v>
      </c>
      <c r="CZ587" s="693">
        <f>SUMIFS(Imput[[Importe Neto]:[Importe Neto]],Imput[[C. Imp.]:[C. Imp.]],$D587,Imput[[PERIODO Imp.]:[PERIODO Imp.]],CZ$9)</f>
        <v>0</v>
      </c>
      <c r="DA587" s="693">
        <f>SUMIFS(Imput[[Importe Neto]:[Importe Neto]],Imput[[C. Imp.]:[C. Imp.]],$D587,Imput[[PERIODO Imp.]:[PERIODO Imp.]],DA$9)</f>
        <v>0</v>
      </c>
      <c r="DB587" s="693">
        <f>SUMIFS(Imput[[Importe Neto]:[Importe Neto]],Imput[[C. Imp.]:[C. Imp.]],$D587,Imput[[PERIODO Imp.]:[PERIODO Imp.]],DB$9)</f>
        <v>0</v>
      </c>
      <c r="DC587" s="693">
        <f>SUMIFS(Imput[[Importe Neto]:[Importe Neto]],Imput[[C. Imp.]:[C. Imp.]],$D587,Imput[[PERIODO Imp.]:[PERIODO Imp.]],DC$9)</f>
        <v>0</v>
      </c>
      <c r="DD587" s="693">
        <f>SUMIFS(Imput[[Importe Neto]:[Importe Neto]],Imput[[C. Imp.]:[C. Imp.]],$D587,Imput[[PERIODO Imp.]:[PERIODO Imp.]],DD$9)</f>
        <v>0</v>
      </c>
      <c r="DE587" s="693">
        <f>SUMIFS(Imput[[Importe Neto]:[Importe Neto]],Imput[[C. Imp.]:[C. Imp.]],$D587,Imput[[PERIODO Imp.]:[PERIODO Imp.]],DE$9)</f>
        <v>0</v>
      </c>
      <c r="DF587" s="693">
        <f>SUMIFS(Imput[[Importe Neto]:[Importe Neto]],Imput[[C. Imp.]:[C. Imp.]],$D587,Imput[[PERIODO Imp.]:[PERIODO Imp.]],DF$9)</f>
        <v>0</v>
      </c>
      <c r="DG587" s="693">
        <f>SUMIFS(Imput[[Importe Neto]:[Importe Neto]],Imput[[C. Imp.]:[C. Imp.]],$D587,Imput[[PERIODO Imp.]:[PERIODO Imp.]],DG$9)</f>
        <v>0</v>
      </c>
      <c r="DH587" s="694">
        <f>SUMIFS(Imput[[Importe Neto]:[Importe Neto]],Imput[[C. Imp.]:[C. Imp.]],$D587,Imput[[PERIODO Imp.]:[PERIODO Imp.]],DH$9)</f>
        <v>0</v>
      </c>
    </row>
    <row r="588" spans="1:112" s="649" customFormat="1" hidden="1" outlineLevel="1" x14ac:dyDescent="0.3">
      <c r="A588" s="652" t="str">
        <f t="shared" si="212"/>
        <v/>
      </c>
      <c r="B588" s="652"/>
      <c r="C588" s="685"/>
      <c r="D588" s="686" t="s">
        <v>2610</v>
      </c>
      <c r="E588" s="686"/>
      <c r="F588" s="720"/>
      <c r="G588" s="688"/>
      <c r="H588" s="696"/>
      <c r="I588" s="851" t="str">
        <f t="shared" si="217"/>
        <v/>
      </c>
      <c r="J588" s="850" t="str">
        <f t="shared" si="214"/>
        <v/>
      </c>
      <c r="K588" s="678"/>
      <c r="L588" s="858"/>
      <c r="M588" s="859"/>
      <c r="N588" s="859"/>
      <c r="O588" s="859"/>
      <c r="P588" s="859"/>
      <c r="Q588" s="859"/>
      <c r="R588" s="859"/>
      <c r="S588" s="859"/>
      <c r="T588" s="859"/>
      <c r="U588" s="859"/>
      <c r="V588" s="859"/>
      <c r="W588" s="859"/>
      <c r="X588" s="859"/>
      <c r="Y588" s="859"/>
      <c r="Z588" s="860"/>
      <c r="AA588" s="860"/>
      <c r="AB588" s="860"/>
      <c r="AC588" s="860"/>
      <c r="AD588" s="860"/>
      <c r="AE588" s="860"/>
      <c r="AF588" s="860"/>
      <c r="AG588" s="860"/>
      <c r="AH588" s="860"/>
      <c r="AI588" s="860"/>
      <c r="AJ588" s="860"/>
      <c r="AK588" s="860"/>
      <c r="AL588" s="860"/>
      <c r="AM588" s="860"/>
      <c r="AN588" s="860"/>
      <c r="AO588" s="860"/>
      <c r="AP588" s="860"/>
      <c r="AQ588" s="860"/>
      <c r="AR588" s="860"/>
      <c r="AS588" s="860"/>
      <c r="AT588" s="860"/>
      <c r="AU588" s="860"/>
      <c r="AV588" s="860"/>
      <c r="AW588" s="860"/>
      <c r="AX588" s="860"/>
      <c r="AY588" s="860"/>
      <c r="AZ588" s="860"/>
      <c r="BA588" s="860"/>
      <c r="BB588" s="860"/>
      <c r="BC588" s="860"/>
      <c r="BD588" s="860"/>
      <c r="BE588" s="860"/>
      <c r="BF588" s="860"/>
      <c r="BG588" s="860"/>
      <c r="BH588" s="668"/>
      <c r="BI588" s="654"/>
      <c r="BJ588" s="690">
        <f t="shared" si="218"/>
        <v>0</v>
      </c>
      <c r="BK588" s="691">
        <f t="shared" si="219"/>
        <v>0</v>
      </c>
      <c r="BL588" s="654"/>
      <c r="BM588" s="692">
        <f>SUMIFS(Imput[[Importe Neto]:[Importe Neto]],Imput[[C. Imp.]:[C. Imp.]],$D588,Imput[[PERIODO Imp.]:[PERIODO Imp.]],BM$9)</f>
        <v>0</v>
      </c>
      <c r="BN588" s="693">
        <f>SUMIFS(Imput[[Importe Neto]:[Importe Neto]],Imput[[C. Imp.]:[C. Imp.]],$D588,Imput[[PERIODO Imp.]:[PERIODO Imp.]],BN$9)</f>
        <v>0</v>
      </c>
      <c r="BO588" s="693">
        <f>SUMIFS(Imput[[Importe Neto]:[Importe Neto]],Imput[[C. Imp.]:[C. Imp.]],$D588,Imput[[PERIODO Imp.]:[PERIODO Imp.]],BO$9)</f>
        <v>0</v>
      </c>
      <c r="BP588" s="693">
        <f>SUMIFS(Imput[[Importe Neto]:[Importe Neto]],Imput[[C. Imp.]:[C. Imp.]],$D588,Imput[[PERIODO Imp.]:[PERIODO Imp.]],BP$9)</f>
        <v>0</v>
      </c>
      <c r="BQ588" s="693">
        <f>SUMIFS(Imput[[Importe Neto]:[Importe Neto]],Imput[[C. Imp.]:[C. Imp.]],$D588,Imput[[PERIODO Imp.]:[PERIODO Imp.]],BQ$9)</f>
        <v>0</v>
      </c>
      <c r="BR588" s="693">
        <f>SUMIFS(Imput[[Importe Neto]:[Importe Neto]],Imput[[C. Imp.]:[C. Imp.]],$D588,Imput[[PERIODO Imp.]:[PERIODO Imp.]],BR$9)</f>
        <v>0</v>
      </c>
      <c r="BS588" s="693">
        <f>SUMIFS(Imput[[Importe Neto]:[Importe Neto]],Imput[[C. Imp.]:[C. Imp.]],$D588,Imput[[PERIODO Imp.]:[PERIODO Imp.]],BS$9)</f>
        <v>0</v>
      </c>
      <c r="BT588" s="693">
        <f>SUMIFS(Imput[[Importe Neto]:[Importe Neto]],Imput[[C. Imp.]:[C. Imp.]],$D588,Imput[[PERIODO Imp.]:[PERIODO Imp.]],BT$9)</f>
        <v>0</v>
      </c>
      <c r="BU588" s="693">
        <f>SUMIFS(Imput[[Importe Neto]:[Importe Neto]],Imput[[C. Imp.]:[C. Imp.]],$D588,Imput[[PERIODO Imp.]:[PERIODO Imp.]],BU$9)</f>
        <v>0</v>
      </c>
      <c r="BV588" s="693">
        <f>SUMIFS(Imput[[Importe Neto]:[Importe Neto]],Imput[[C. Imp.]:[C. Imp.]],$D588,Imput[[PERIODO Imp.]:[PERIODO Imp.]],BV$9)</f>
        <v>0</v>
      </c>
      <c r="BW588" s="693">
        <f>SUMIFS(Imput[[Importe Neto]:[Importe Neto]],Imput[[C. Imp.]:[C. Imp.]],$D588,Imput[[PERIODO Imp.]:[PERIODO Imp.]],BW$9)</f>
        <v>0</v>
      </c>
      <c r="BX588" s="693">
        <f>SUMIFS(Imput[[Importe Neto]:[Importe Neto]],Imput[[C. Imp.]:[C. Imp.]],$D588,Imput[[PERIODO Imp.]:[PERIODO Imp.]],BX$9)</f>
        <v>0</v>
      </c>
      <c r="BY588" s="693">
        <f>SUMIFS(Imput[[Importe Neto]:[Importe Neto]],Imput[[C. Imp.]:[C. Imp.]],$D588,Imput[[PERIODO Imp.]:[PERIODO Imp.]],BY$9)</f>
        <v>0</v>
      </c>
      <c r="BZ588" s="693">
        <f>SUMIFS(Imput[[Importe Neto]:[Importe Neto]],Imput[[C. Imp.]:[C. Imp.]],$D588,Imput[[PERIODO Imp.]:[PERIODO Imp.]],BZ$9)</f>
        <v>0</v>
      </c>
      <c r="CA588" s="693">
        <f>SUMIFS(Imput[[Importe Neto]:[Importe Neto]],Imput[[C. Imp.]:[C. Imp.]],$D588,Imput[[PERIODO Imp.]:[PERIODO Imp.]],CA$9)</f>
        <v>0</v>
      </c>
      <c r="CB588" s="693">
        <f>SUMIFS(Imput[[Importe Neto]:[Importe Neto]],Imput[[C. Imp.]:[C. Imp.]],$D588,Imput[[PERIODO Imp.]:[PERIODO Imp.]],CB$9)</f>
        <v>0</v>
      </c>
      <c r="CC588" s="693">
        <f>SUMIFS(Imput[[Importe Neto]:[Importe Neto]],Imput[[C. Imp.]:[C. Imp.]],$D588,Imput[[PERIODO Imp.]:[PERIODO Imp.]],CC$9)</f>
        <v>0</v>
      </c>
      <c r="CD588" s="693">
        <f>SUMIFS(Imput[[Importe Neto]:[Importe Neto]],Imput[[C. Imp.]:[C. Imp.]],$D588,Imput[[PERIODO Imp.]:[PERIODO Imp.]],CD$9)</f>
        <v>0</v>
      </c>
      <c r="CE588" s="693">
        <f>SUMIFS(Imput[[Importe Neto]:[Importe Neto]],Imput[[C. Imp.]:[C. Imp.]],$D588,Imput[[PERIODO Imp.]:[PERIODO Imp.]],CE$9)</f>
        <v>0</v>
      </c>
      <c r="CF588" s="693">
        <f>SUMIFS(Imput[[Importe Neto]:[Importe Neto]],Imput[[C. Imp.]:[C. Imp.]],$D588,Imput[[PERIODO Imp.]:[PERIODO Imp.]],CF$9)</f>
        <v>0</v>
      </c>
      <c r="CG588" s="693">
        <f>SUMIFS(Imput[[Importe Neto]:[Importe Neto]],Imput[[C. Imp.]:[C. Imp.]],$D588,Imput[[PERIODO Imp.]:[PERIODO Imp.]],CG$9)</f>
        <v>0</v>
      </c>
      <c r="CH588" s="693">
        <f>SUMIFS(Imput[[Importe Neto]:[Importe Neto]],Imput[[C. Imp.]:[C. Imp.]],$D588,Imput[[PERIODO Imp.]:[PERIODO Imp.]],CH$9)</f>
        <v>0</v>
      </c>
      <c r="CI588" s="693">
        <f>SUMIFS(Imput[[Importe Neto]:[Importe Neto]],Imput[[C. Imp.]:[C. Imp.]],$D588,Imput[[PERIODO Imp.]:[PERIODO Imp.]],CI$9)</f>
        <v>0</v>
      </c>
      <c r="CJ588" s="693">
        <f>SUMIFS(Imput[[Importe Neto]:[Importe Neto]],Imput[[C. Imp.]:[C. Imp.]],$D588,Imput[[PERIODO Imp.]:[PERIODO Imp.]],CJ$9)</f>
        <v>0</v>
      </c>
      <c r="CK588" s="693">
        <f>SUMIFS(Imput[[Importe Neto]:[Importe Neto]],Imput[[C. Imp.]:[C. Imp.]],$D588,Imput[[PERIODO Imp.]:[PERIODO Imp.]],CK$9)</f>
        <v>0</v>
      </c>
      <c r="CL588" s="693">
        <f>SUMIFS(Imput[[Importe Neto]:[Importe Neto]],Imput[[C. Imp.]:[C. Imp.]],$D588,Imput[[PERIODO Imp.]:[PERIODO Imp.]],CL$9)</f>
        <v>0</v>
      </c>
      <c r="CM588" s="693">
        <f>SUMIFS(Imput[[Importe Neto]:[Importe Neto]],Imput[[C. Imp.]:[C. Imp.]],$D588,Imput[[PERIODO Imp.]:[PERIODO Imp.]],CM$9)</f>
        <v>0</v>
      </c>
      <c r="CN588" s="693">
        <f>SUMIFS(Imput[[Importe Neto]:[Importe Neto]],Imput[[C. Imp.]:[C. Imp.]],$D588,Imput[[PERIODO Imp.]:[PERIODO Imp.]],CN$9)</f>
        <v>0</v>
      </c>
      <c r="CO588" s="693">
        <f>SUMIFS(Imput[[Importe Neto]:[Importe Neto]],Imput[[C. Imp.]:[C. Imp.]],$D588,Imput[[PERIODO Imp.]:[PERIODO Imp.]],CO$9)</f>
        <v>0</v>
      </c>
      <c r="CP588" s="693">
        <f>SUMIFS(Imput[[Importe Neto]:[Importe Neto]],Imput[[C. Imp.]:[C. Imp.]],$D588,Imput[[PERIODO Imp.]:[PERIODO Imp.]],CP$9)</f>
        <v>0</v>
      </c>
      <c r="CQ588" s="693">
        <f>SUMIFS(Imput[[Importe Neto]:[Importe Neto]],Imput[[C. Imp.]:[C. Imp.]],$D588,Imput[[PERIODO Imp.]:[PERIODO Imp.]],CQ$9)</f>
        <v>0</v>
      </c>
      <c r="CR588" s="693">
        <f>SUMIFS(Imput[[Importe Neto]:[Importe Neto]],Imput[[C. Imp.]:[C. Imp.]],$D588,Imput[[PERIODO Imp.]:[PERIODO Imp.]],CR$9)</f>
        <v>0</v>
      </c>
      <c r="CS588" s="693">
        <f>SUMIFS(Imput[[Importe Neto]:[Importe Neto]],Imput[[C. Imp.]:[C. Imp.]],$D588,Imput[[PERIODO Imp.]:[PERIODO Imp.]],CS$9)</f>
        <v>0</v>
      </c>
      <c r="CT588" s="693">
        <f>SUMIFS(Imput[[Importe Neto]:[Importe Neto]],Imput[[C. Imp.]:[C. Imp.]],$D588,Imput[[PERIODO Imp.]:[PERIODO Imp.]],CT$9)</f>
        <v>0</v>
      </c>
      <c r="CU588" s="693">
        <f>SUMIFS(Imput[[Importe Neto]:[Importe Neto]],Imput[[C. Imp.]:[C. Imp.]],$D588,Imput[[PERIODO Imp.]:[PERIODO Imp.]],CU$9)</f>
        <v>0</v>
      </c>
      <c r="CV588" s="693">
        <f>SUMIFS(Imput[[Importe Neto]:[Importe Neto]],Imput[[C. Imp.]:[C. Imp.]],$D588,Imput[[PERIODO Imp.]:[PERIODO Imp.]],CV$9)</f>
        <v>0</v>
      </c>
      <c r="CW588" s="693">
        <f>SUMIFS(Imput[[Importe Neto]:[Importe Neto]],Imput[[C. Imp.]:[C. Imp.]],$D588,Imput[[PERIODO Imp.]:[PERIODO Imp.]],CW$9)</f>
        <v>0</v>
      </c>
      <c r="CX588" s="693">
        <f>SUMIFS(Imput[[Importe Neto]:[Importe Neto]],Imput[[C. Imp.]:[C. Imp.]],$D588,Imput[[PERIODO Imp.]:[PERIODO Imp.]],CX$9)</f>
        <v>0</v>
      </c>
      <c r="CY588" s="693">
        <f>SUMIFS(Imput[[Importe Neto]:[Importe Neto]],Imput[[C. Imp.]:[C. Imp.]],$D588,Imput[[PERIODO Imp.]:[PERIODO Imp.]],CY$9)</f>
        <v>0</v>
      </c>
      <c r="CZ588" s="693">
        <f>SUMIFS(Imput[[Importe Neto]:[Importe Neto]],Imput[[C. Imp.]:[C. Imp.]],$D588,Imput[[PERIODO Imp.]:[PERIODO Imp.]],CZ$9)</f>
        <v>0</v>
      </c>
      <c r="DA588" s="693">
        <f>SUMIFS(Imput[[Importe Neto]:[Importe Neto]],Imput[[C. Imp.]:[C. Imp.]],$D588,Imput[[PERIODO Imp.]:[PERIODO Imp.]],DA$9)</f>
        <v>0</v>
      </c>
      <c r="DB588" s="693">
        <f>SUMIFS(Imput[[Importe Neto]:[Importe Neto]],Imput[[C. Imp.]:[C. Imp.]],$D588,Imput[[PERIODO Imp.]:[PERIODO Imp.]],DB$9)</f>
        <v>0</v>
      </c>
      <c r="DC588" s="693">
        <f>SUMIFS(Imput[[Importe Neto]:[Importe Neto]],Imput[[C. Imp.]:[C. Imp.]],$D588,Imput[[PERIODO Imp.]:[PERIODO Imp.]],DC$9)</f>
        <v>0</v>
      </c>
      <c r="DD588" s="693">
        <f>SUMIFS(Imput[[Importe Neto]:[Importe Neto]],Imput[[C. Imp.]:[C. Imp.]],$D588,Imput[[PERIODO Imp.]:[PERIODO Imp.]],DD$9)</f>
        <v>0</v>
      </c>
      <c r="DE588" s="693">
        <f>SUMIFS(Imput[[Importe Neto]:[Importe Neto]],Imput[[C. Imp.]:[C. Imp.]],$D588,Imput[[PERIODO Imp.]:[PERIODO Imp.]],DE$9)</f>
        <v>0</v>
      </c>
      <c r="DF588" s="693">
        <f>SUMIFS(Imput[[Importe Neto]:[Importe Neto]],Imput[[C. Imp.]:[C. Imp.]],$D588,Imput[[PERIODO Imp.]:[PERIODO Imp.]],DF$9)</f>
        <v>0</v>
      </c>
      <c r="DG588" s="693">
        <f>SUMIFS(Imput[[Importe Neto]:[Importe Neto]],Imput[[C. Imp.]:[C. Imp.]],$D588,Imput[[PERIODO Imp.]:[PERIODO Imp.]],DG$9)</f>
        <v>0</v>
      </c>
      <c r="DH588" s="694">
        <f>SUMIFS(Imput[[Importe Neto]:[Importe Neto]],Imput[[C. Imp.]:[C. Imp.]],$D588,Imput[[PERIODO Imp.]:[PERIODO Imp.]],DH$9)</f>
        <v>0</v>
      </c>
    </row>
    <row r="589" spans="1:112" s="649" customFormat="1" hidden="1" outlineLevel="1" x14ac:dyDescent="0.3">
      <c r="A589" s="652" t="str">
        <f t="shared" si="212"/>
        <v/>
      </c>
      <c r="B589" s="652"/>
      <c r="C589" s="685"/>
      <c r="D589" s="686" t="s">
        <v>2611</v>
      </c>
      <c r="E589" s="728"/>
      <c r="F589" s="720"/>
      <c r="G589" s="688"/>
      <c r="H589" s="696"/>
      <c r="I589" s="851" t="str">
        <f t="shared" si="217"/>
        <v/>
      </c>
      <c r="J589" s="850" t="str">
        <f t="shared" si="214"/>
        <v/>
      </c>
      <c r="K589" s="667"/>
      <c r="L589" s="858"/>
      <c r="M589" s="859"/>
      <c r="N589" s="859"/>
      <c r="O589" s="859"/>
      <c r="P589" s="859"/>
      <c r="Q589" s="859"/>
      <c r="R589" s="859"/>
      <c r="S589" s="859"/>
      <c r="T589" s="859"/>
      <c r="U589" s="859"/>
      <c r="V589" s="859"/>
      <c r="W589" s="859"/>
      <c r="X589" s="859"/>
      <c r="Y589" s="859"/>
      <c r="Z589" s="860"/>
      <c r="AA589" s="860"/>
      <c r="AB589" s="860"/>
      <c r="AC589" s="860"/>
      <c r="AD589" s="860"/>
      <c r="AE589" s="860"/>
      <c r="AF589" s="860"/>
      <c r="AG589" s="860"/>
      <c r="AH589" s="860"/>
      <c r="AI589" s="860"/>
      <c r="AJ589" s="860"/>
      <c r="AK589" s="860"/>
      <c r="AL589" s="860"/>
      <c r="AM589" s="860"/>
      <c r="AN589" s="860"/>
      <c r="AO589" s="860"/>
      <c r="AP589" s="860"/>
      <c r="AQ589" s="860"/>
      <c r="AR589" s="860"/>
      <c r="AS589" s="860"/>
      <c r="AT589" s="860"/>
      <c r="AU589" s="860"/>
      <c r="AV589" s="860"/>
      <c r="AW589" s="860"/>
      <c r="AX589" s="860"/>
      <c r="AY589" s="860"/>
      <c r="AZ589" s="860"/>
      <c r="BA589" s="860"/>
      <c r="BB589" s="860"/>
      <c r="BC589" s="860"/>
      <c r="BD589" s="860"/>
      <c r="BE589" s="860"/>
      <c r="BF589" s="860"/>
      <c r="BG589" s="860"/>
      <c r="BH589" s="668"/>
      <c r="BI589" s="667"/>
      <c r="BJ589" s="690">
        <f t="shared" si="218"/>
        <v>0</v>
      </c>
      <c r="BK589" s="691">
        <f t="shared" si="219"/>
        <v>0</v>
      </c>
      <c r="BL589" s="654"/>
      <c r="BM589" s="692">
        <f>SUMIFS(Imput[[Importe Neto]:[Importe Neto]],Imput[[C. Imp.]:[C. Imp.]],$D589,Imput[[PERIODO Imp.]:[PERIODO Imp.]],BM$9)</f>
        <v>0</v>
      </c>
      <c r="BN589" s="693">
        <f>SUMIFS(Imput[[Importe Neto]:[Importe Neto]],Imput[[C. Imp.]:[C. Imp.]],$D589,Imput[[PERIODO Imp.]:[PERIODO Imp.]],BN$9)</f>
        <v>0</v>
      </c>
      <c r="BO589" s="693">
        <f>SUMIFS(Imput[[Importe Neto]:[Importe Neto]],Imput[[C. Imp.]:[C. Imp.]],$D589,Imput[[PERIODO Imp.]:[PERIODO Imp.]],BO$9)</f>
        <v>0</v>
      </c>
      <c r="BP589" s="693">
        <f>SUMIFS(Imput[[Importe Neto]:[Importe Neto]],Imput[[C. Imp.]:[C. Imp.]],$D589,Imput[[PERIODO Imp.]:[PERIODO Imp.]],BP$9)</f>
        <v>0</v>
      </c>
      <c r="BQ589" s="693">
        <f>SUMIFS(Imput[[Importe Neto]:[Importe Neto]],Imput[[C. Imp.]:[C. Imp.]],$D589,Imput[[PERIODO Imp.]:[PERIODO Imp.]],BQ$9)</f>
        <v>0</v>
      </c>
      <c r="BR589" s="693">
        <f>SUMIFS(Imput[[Importe Neto]:[Importe Neto]],Imput[[C. Imp.]:[C. Imp.]],$D589,Imput[[PERIODO Imp.]:[PERIODO Imp.]],BR$9)</f>
        <v>0</v>
      </c>
      <c r="BS589" s="693">
        <f>SUMIFS(Imput[[Importe Neto]:[Importe Neto]],Imput[[C. Imp.]:[C. Imp.]],$D589,Imput[[PERIODO Imp.]:[PERIODO Imp.]],BS$9)</f>
        <v>0</v>
      </c>
      <c r="BT589" s="693">
        <f>SUMIFS(Imput[[Importe Neto]:[Importe Neto]],Imput[[C. Imp.]:[C. Imp.]],$D589,Imput[[PERIODO Imp.]:[PERIODO Imp.]],BT$9)</f>
        <v>0</v>
      </c>
      <c r="BU589" s="693">
        <f>SUMIFS(Imput[[Importe Neto]:[Importe Neto]],Imput[[C. Imp.]:[C. Imp.]],$D589,Imput[[PERIODO Imp.]:[PERIODO Imp.]],BU$9)</f>
        <v>0</v>
      </c>
      <c r="BV589" s="693">
        <f>SUMIFS(Imput[[Importe Neto]:[Importe Neto]],Imput[[C. Imp.]:[C. Imp.]],$D589,Imput[[PERIODO Imp.]:[PERIODO Imp.]],BV$9)</f>
        <v>0</v>
      </c>
      <c r="BW589" s="693">
        <f>SUMIFS(Imput[[Importe Neto]:[Importe Neto]],Imput[[C. Imp.]:[C. Imp.]],$D589,Imput[[PERIODO Imp.]:[PERIODO Imp.]],BW$9)</f>
        <v>0</v>
      </c>
      <c r="BX589" s="693">
        <f>SUMIFS(Imput[[Importe Neto]:[Importe Neto]],Imput[[C. Imp.]:[C. Imp.]],$D589,Imput[[PERIODO Imp.]:[PERIODO Imp.]],BX$9)</f>
        <v>0</v>
      </c>
      <c r="BY589" s="693">
        <f>SUMIFS(Imput[[Importe Neto]:[Importe Neto]],Imput[[C. Imp.]:[C. Imp.]],$D589,Imput[[PERIODO Imp.]:[PERIODO Imp.]],BY$9)</f>
        <v>0</v>
      </c>
      <c r="BZ589" s="693">
        <f>SUMIFS(Imput[[Importe Neto]:[Importe Neto]],Imput[[C. Imp.]:[C. Imp.]],$D589,Imput[[PERIODO Imp.]:[PERIODO Imp.]],BZ$9)</f>
        <v>0</v>
      </c>
      <c r="CA589" s="693">
        <f>SUMIFS(Imput[[Importe Neto]:[Importe Neto]],Imput[[C. Imp.]:[C. Imp.]],$D589,Imput[[PERIODO Imp.]:[PERIODO Imp.]],CA$9)</f>
        <v>0</v>
      </c>
      <c r="CB589" s="693">
        <f>SUMIFS(Imput[[Importe Neto]:[Importe Neto]],Imput[[C. Imp.]:[C. Imp.]],$D589,Imput[[PERIODO Imp.]:[PERIODO Imp.]],CB$9)</f>
        <v>0</v>
      </c>
      <c r="CC589" s="693">
        <f>SUMIFS(Imput[[Importe Neto]:[Importe Neto]],Imput[[C. Imp.]:[C. Imp.]],$D589,Imput[[PERIODO Imp.]:[PERIODO Imp.]],CC$9)</f>
        <v>0</v>
      </c>
      <c r="CD589" s="693">
        <f>SUMIFS(Imput[[Importe Neto]:[Importe Neto]],Imput[[C. Imp.]:[C. Imp.]],$D589,Imput[[PERIODO Imp.]:[PERIODO Imp.]],CD$9)</f>
        <v>0</v>
      </c>
      <c r="CE589" s="693">
        <f>SUMIFS(Imput[[Importe Neto]:[Importe Neto]],Imput[[C. Imp.]:[C. Imp.]],$D589,Imput[[PERIODO Imp.]:[PERIODO Imp.]],CE$9)</f>
        <v>0</v>
      </c>
      <c r="CF589" s="693">
        <f>SUMIFS(Imput[[Importe Neto]:[Importe Neto]],Imput[[C. Imp.]:[C. Imp.]],$D589,Imput[[PERIODO Imp.]:[PERIODO Imp.]],CF$9)</f>
        <v>0</v>
      </c>
      <c r="CG589" s="693">
        <f>SUMIFS(Imput[[Importe Neto]:[Importe Neto]],Imput[[C. Imp.]:[C. Imp.]],$D589,Imput[[PERIODO Imp.]:[PERIODO Imp.]],CG$9)</f>
        <v>0</v>
      </c>
      <c r="CH589" s="693">
        <f>SUMIFS(Imput[[Importe Neto]:[Importe Neto]],Imput[[C. Imp.]:[C. Imp.]],$D589,Imput[[PERIODO Imp.]:[PERIODO Imp.]],CH$9)</f>
        <v>0</v>
      </c>
      <c r="CI589" s="693">
        <f>SUMIFS(Imput[[Importe Neto]:[Importe Neto]],Imput[[C. Imp.]:[C. Imp.]],$D589,Imput[[PERIODO Imp.]:[PERIODO Imp.]],CI$9)</f>
        <v>0</v>
      </c>
      <c r="CJ589" s="693">
        <f>SUMIFS(Imput[[Importe Neto]:[Importe Neto]],Imput[[C. Imp.]:[C. Imp.]],$D589,Imput[[PERIODO Imp.]:[PERIODO Imp.]],CJ$9)</f>
        <v>0</v>
      </c>
      <c r="CK589" s="693">
        <f>SUMIFS(Imput[[Importe Neto]:[Importe Neto]],Imput[[C. Imp.]:[C. Imp.]],$D589,Imput[[PERIODO Imp.]:[PERIODO Imp.]],CK$9)</f>
        <v>0</v>
      </c>
      <c r="CL589" s="693">
        <f>SUMIFS(Imput[[Importe Neto]:[Importe Neto]],Imput[[C. Imp.]:[C. Imp.]],$D589,Imput[[PERIODO Imp.]:[PERIODO Imp.]],CL$9)</f>
        <v>0</v>
      </c>
      <c r="CM589" s="693">
        <f>SUMIFS(Imput[[Importe Neto]:[Importe Neto]],Imput[[C. Imp.]:[C. Imp.]],$D589,Imput[[PERIODO Imp.]:[PERIODO Imp.]],CM$9)</f>
        <v>0</v>
      </c>
      <c r="CN589" s="693">
        <f>SUMIFS(Imput[[Importe Neto]:[Importe Neto]],Imput[[C. Imp.]:[C. Imp.]],$D589,Imput[[PERIODO Imp.]:[PERIODO Imp.]],CN$9)</f>
        <v>0</v>
      </c>
      <c r="CO589" s="693">
        <f>SUMIFS(Imput[[Importe Neto]:[Importe Neto]],Imput[[C. Imp.]:[C. Imp.]],$D589,Imput[[PERIODO Imp.]:[PERIODO Imp.]],CO$9)</f>
        <v>0</v>
      </c>
      <c r="CP589" s="693">
        <f>SUMIFS(Imput[[Importe Neto]:[Importe Neto]],Imput[[C. Imp.]:[C. Imp.]],$D589,Imput[[PERIODO Imp.]:[PERIODO Imp.]],CP$9)</f>
        <v>0</v>
      </c>
      <c r="CQ589" s="693">
        <f>SUMIFS(Imput[[Importe Neto]:[Importe Neto]],Imput[[C. Imp.]:[C. Imp.]],$D589,Imput[[PERIODO Imp.]:[PERIODO Imp.]],CQ$9)</f>
        <v>0</v>
      </c>
      <c r="CR589" s="693">
        <f>SUMIFS(Imput[[Importe Neto]:[Importe Neto]],Imput[[C. Imp.]:[C. Imp.]],$D589,Imput[[PERIODO Imp.]:[PERIODO Imp.]],CR$9)</f>
        <v>0</v>
      </c>
      <c r="CS589" s="693">
        <f>SUMIFS(Imput[[Importe Neto]:[Importe Neto]],Imput[[C. Imp.]:[C. Imp.]],$D589,Imput[[PERIODO Imp.]:[PERIODO Imp.]],CS$9)</f>
        <v>0</v>
      </c>
      <c r="CT589" s="693">
        <f>SUMIFS(Imput[[Importe Neto]:[Importe Neto]],Imput[[C. Imp.]:[C. Imp.]],$D589,Imput[[PERIODO Imp.]:[PERIODO Imp.]],CT$9)</f>
        <v>0</v>
      </c>
      <c r="CU589" s="693">
        <f>SUMIFS(Imput[[Importe Neto]:[Importe Neto]],Imput[[C. Imp.]:[C. Imp.]],$D589,Imput[[PERIODO Imp.]:[PERIODO Imp.]],CU$9)</f>
        <v>0</v>
      </c>
      <c r="CV589" s="693">
        <f>SUMIFS(Imput[[Importe Neto]:[Importe Neto]],Imput[[C. Imp.]:[C. Imp.]],$D589,Imput[[PERIODO Imp.]:[PERIODO Imp.]],CV$9)</f>
        <v>0</v>
      </c>
      <c r="CW589" s="693">
        <f>SUMIFS(Imput[[Importe Neto]:[Importe Neto]],Imput[[C. Imp.]:[C. Imp.]],$D589,Imput[[PERIODO Imp.]:[PERIODO Imp.]],CW$9)</f>
        <v>0</v>
      </c>
      <c r="CX589" s="693">
        <f>SUMIFS(Imput[[Importe Neto]:[Importe Neto]],Imput[[C. Imp.]:[C. Imp.]],$D589,Imput[[PERIODO Imp.]:[PERIODO Imp.]],CX$9)</f>
        <v>0</v>
      </c>
      <c r="CY589" s="693">
        <f>SUMIFS(Imput[[Importe Neto]:[Importe Neto]],Imput[[C. Imp.]:[C. Imp.]],$D589,Imput[[PERIODO Imp.]:[PERIODO Imp.]],CY$9)</f>
        <v>0</v>
      </c>
      <c r="CZ589" s="693">
        <f>SUMIFS(Imput[[Importe Neto]:[Importe Neto]],Imput[[C. Imp.]:[C. Imp.]],$D589,Imput[[PERIODO Imp.]:[PERIODO Imp.]],CZ$9)</f>
        <v>0</v>
      </c>
      <c r="DA589" s="693">
        <f>SUMIFS(Imput[[Importe Neto]:[Importe Neto]],Imput[[C. Imp.]:[C. Imp.]],$D589,Imput[[PERIODO Imp.]:[PERIODO Imp.]],DA$9)</f>
        <v>0</v>
      </c>
      <c r="DB589" s="693">
        <f>SUMIFS(Imput[[Importe Neto]:[Importe Neto]],Imput[[C. Imp.]:[C. Imp.]],$D589,Imput[[PERIODO Imp.]:[PERIODO Imp.]],DB$9)</f>
        <v>0</v>
      </c>
      <c r="DC589" s="693">
        <f>SUMIFS(Imput[[Importe Neto]:[Importe Neto]],Imput[[C. Imp.]:[C. Imp.]],$D589,Imput[[PERIODO Imp.]:[PERIODO Imp.]],DC$9)</f>
        <v>0</v>
      </c>
      <c r="DD589" s="693">
        <f>SUMIFS(Imput[[Importe Neto]:[Importe Neto]],Imput[[C. Imp.]:[C. Imp.]],$D589,Imput[[PERIODO Imp.]:[PERIODO Imp.]],DD$9)</f>
        <v>0</v>
      </c>
      <c r="DE589" s="693">
        <f>SUMIFS(Imput[[Importe Neto]:[Importe Neto]],Imput[[C. Imp.]:[C. Imp.]],$D589,Imput[[PERIODO Imp.]:[PERIODO Imp.]],DE$9)</f>
        <v>0</v>
      </c>
      <c r="DF589" s="693">
        <f>SUMIFS(Imput[[Importe Neto]:[Importe Neto]],Imput[[C. Imp.]:[C. Imp.]],$D589,Imput[[PERIODO Imp.]:[PERIODO Imp.]],DF$9)</f>
        <v>0</v>
      </c>
      <c r="DG589" s="693">
        <f>SUMIFS(Imput[[Importe Neto]:[Importe Neto]],Imput[[C. Imp.]:[C. Imp.]],$D589,Imput[[PERIODO Imp.]:[PERIODO Imp.]],DG$9)</f>
        <v>0</v>
      </c>
      <c r="DH589" s="694">
        <f>SUMIFS(Imput[[Importe Neto]:[Importe Neto]],Imput[[C. Imp.]:[C. Imp.]],$D589,Imput[[PERIODO Imp.]:[PERIODO Imp.]],DH$9)</f>
        <v>0</v>
      </c>
    </row>
    <row r="590" spans="1:112" s="649" customFormat="1" hidden="1" outlineLevel="1" x14ac:dyDescent="0.3">
      <c r="A590" s="652" t="str">
        <f t="shared" si="212"/>
        <v/>
      </c>
      <c r="B590" s="652"/>
      <c r="C590" s="685"/>
      <c r="D590" s="686" t="s">
        <v>2612</v>
      </c>
      <c r="E590" s="728"/>
      <c r="F590" s="720"/>
      <c r="G590" s="688"/>
      <c r="H590" s="696"/>
      <c r="I590" s="851" t="str">
        <f t="shared" si="217"/>
        <v/>
      </c>
      <c r="J590" s="850" t="str">
        <f t="shared" si="214"/>
        <v/>
      </c>
      <c r="K590" s="678"/>
      <c r="L590" s="858"/>
      <c r="M590" s="859"/>
      <c r="N590" s="859"/>
      <c r="O590" s="859"/>
      <c r="P590" s="859"/>
      <c r="Q590" s="859"/>
      <c r="R590" s="859"/>
      <c r="S590" s="859"/>
      <c r="T590" s="859"/>
      <c r="U590" s="859"/>
      <c r="V590" s="859"/>
      <c r="W590" s="859"/>
      <c r="X590" s="859"/>
      <c r="Y590" s="859"/>
      <c r="Z590" s="860"/>
      <c r="AA590" s="860"/>
      <c r="AB590" s="860"/>
      <c r="AC590" s="860"/>
      <c r="AD590" s="860"/>
      <c r="AE590" s="860"/>
      <c r="AF590" s="860"/>
      <c r="AG590" s="860"/>
      <c r="AH590" s="860"/>
      <c r="AI590" s="860"/>
      <c r="AJ590" s="860"/>
      <c r="AK590" s="860"/>
      <c r="AL590" s="860"/>
      <c r="AM590" s="860"/>
      <c r="AN590" s="860"/>
      <c r="AO590" s="860"/>
      <c r="AP590" s="860"/>
      <c r="AQ590" s="860"/>
      <c r="AR590" s="860"/>
      <c r="AS590" s="860"/>
      <c r="AT590" s="860"/>
      <c r="AU590" s="860"/>
      <c r="AV590" s="860"/>
      <c r="AW590" s="860"/>
      <c r="AX590" s="860"/>
      <c r="AY590" s="860"/>
      <c r="AZ590" s="860"/>
      <c r="BA590" s="860"/>
      <c r="BB590" s="860"/>
      <c r="BC590" s="860"/>
      <c r="BD590" s="860"/>
      <c r="BE590" s="860"/>
      <c r="BF590" s="860"/>
      <c r="BG590" s="860"/>
      <c r="BH590" s="668"/>
      <c r="BI590" s="654"/>
      <c r="BJ590" s="690">
        <f t="shared" si="218"/>
        <v>0</v>
      </c>
      <c r="BK590" s="691">
        <f t="shared" si="219"/>
        <v>0</v>
      </c>
      <c r="BL590" s="654"/>
      <c r="BM590" s="692">
        <f>SUMIFS(Imput[[Importe Neto]:[Importe Neto]],Imput[[C. Imp.]:[C. Imp.]],$D590,Imput[[PERIODO Imp.]:[PERIODO Imp.]],BM$9)</f>
        <v>0</v>
      </c>
      <c r="BN590" s="693">
        <f>SUMIFS(Imput[[Importe Neto]:[Importe Neto]],Imput[[C. Imp.]:[C. Imp.]],$D590,Imput[[PERIODO Imp.]:[PERIODO Imp.]],BN$9)</f>
        <v>0</v>
      </c>
      <c r="BO590" s="693">
        <f>SUMIFS(Imput[[Importe Neto]:[Importe Neto]],Imput[[C. Imp.]:[C. Imp.]],$D590,Imput[[PERIODO Imp.]:[PERIODO Imp.]],BO$9)</f>
        <v>0</v>
      </c>
      <c r="BP590" s="693">
        <f>SUMIFS(Imput[[Importe Neto]:[Importe Neto]],Imput[[C. Imp.]:[C. Imp.]],$D590,Imput[[PERIODO Imp.]:[PERIODO Imp.]],BP$9)</f>
        <v>0</v>
      </c>
      <c r="BQ590" s="693">
        <f>SUMIFS(Imput[[Importe Neto]:[Importe Neto]],Imput[[C. Imp.]:[C. Imp.]],$D590,Imput[[PERIODO Imp.]:[PERIODO Imp.]],BQ$9)</f>
        <v>0</v>
      </c>
      <c r="BR590" s="693">
        <f>SUMIFS(Imput[[Importe Neto]:[Importe Neto]],Imput[[C. Imp.]:[C. Imp.]],$D590,Imput[[PERIODO Imp.]:[PERIODO Imp.]],BR$9)</f>
        <v>0</v>
      </c>
      <c r="BS590" s="693">
        <f>SUMIFS(Imput[[Importe Neto]:[Importe Neto]],Imput[[C. Imp.]:[C. Imp.]],$D590,Imput[[PERIODO Imp.]:[PERIODO Imp.]],BS$9)</f>
        <v>0</v>
      </c>
      <c r="BT590" s="693">
        <f>SUMIFS(Imput[[Importe Neto]:[Importe Neto]],Imput[[C. Imp.]:[C. Imp.]],$D590,Imput[[PERIODO Imp.]:[PERIODO Imp.]],BT$9)</f>
        <v>0</v>
      </c>
      <c r="BU590" s="693">
        <f>SUMIFS(Imput[[Importe Neto]:[Importe Neto]],Imput[[C. Imp.]:[C. Imp.]],$D590,Imput[[PERIODO Imp.]:[PERIODO Imp.]],BU$9)</f>
        <v>0</v>
      </c>
      <c r="BV590" s="693">
        <f>SUMIFS(Imput[[Importe Neto]:[Importe Neto]],Imput[[C. Imp.]:[C. Imp.]],$D590,Imput[[PERIODO Imp.]:[PERIODO Imp.]],BV$9)</f>
        <v>0</v>
      </c>
      <c r="BW590" s="693">
        <f>SUMIFS(Imput[[Importe Neto]:[Importe Neto]],Imput[[C. Imp.]:[C. Imp.]],$D590,Imput[[PERIODO Imp.]:[PERIODO Imp.]],BW$9)</f>
        <v>0</v>
      </c>
      <c r="BX590" s="693">
        <f>SUMIFS(Imput[[Importe Neto]:[Importe Neto]],Imput[[C. Imp.]:[C. Imp.]],$D590,Imput[[PERIODO Imp.]:[PERIODO Imp.]],BX$9)</f>
        <v>0</v>
      </c>
      <c r="BY590" s="693">
        <f>SUMIFS(Imput[[Importe Neto]:[Importe Neto]],Imput[[C. Imp.]:[C. Imp.]],$D590,Imput[[PERIODO Imp.]:[PERIODO Imp.]],BY$9)</f>
        <v>0</v>
      </c>
      <c r="BZ590" s="693">
        <f>SUMIFS(Imput[[Importe Neto]:[Importe Neto]],Imput[[C. Imp.]:[C. Imp.]],$D590,Imput[[PERIODO Imp.]:[PERIODO Imp.]],BZ$9)</f>
        <v>0</v>
      </c>
      <c r="CA590" s="693">
        <f>SUMIFS(Imput[[Importe Neto]:[Importe Neto]],Imput[[C. Imp.]:[C. Imp.]],$D590,Imput[[PERIODO Imp.]:[PERIODO Imp.]],CA$9)</f>
        <v>0</v>
      </c>
      <c r="CB590" s="693">
        <f>SUMIFS(Imput[[Importe Neto]:[Importe Neto]],Imput[[C. Imp.]:[C. Imp.]],$D590,Imput[[PERIODO Imp.]:[PERIODO Imp.]],CB$9)</f>
        <v>0</v>
      </c>
      <c r="CC590" s="693">
        <f>SUMIFS(Imput[[Importe Neto]:[Importe Neto]],Imput[[C. Imp.]:[C. Imp.]],$D590,Imput[[PERIODO Imp.]:[PERIODO Imp.]],CC$9)</f>
        <v>0</v>
      </c>
      <c r="CD590" s="693">
        <f>SUMIFS(Imput[[Importe Neto]:[Importe Neto]],Imput[[C. Imp.]:[C. Imp.]],$D590,Imput[[PERIODO Imp.]:[PERIODO Imp.]],CD$9)</f>
        <v>0</v>
      </c>
      <c r="CE590" s="693">
        <f>SUMIFS(Imput[[Importe Neto]:[Importe Neto]],Imput[[C. Imp.]:[C. Imp.]],$D590,Imput[[PERIODO Imp.]:[PERIODO Imp.]],CE$9)</f>
        <v>0</v>
      </c>
      <c r="CF590" s="693">
        <f>SUMIFS(Imput[[Importe Neto]:[Importe Neto]],Imput[[C. Imp.]:[C. Imp.]],$D590,Imput[[PERIODO Imp.]:[PERIODO Imp.]],CF$9)</f>
        <v>0</v>
      </c>
      <c r="CG590" s="693">
        <f>SUMIFS(Imput[[Importe Neto]:[Importe Neto]],Imput[[C. Imp.]:[C. Imp.]],$D590,Imput[[PERIODO Imp.]:[PERIODO Imp.]],CG$9)</f>
        <v>0</v>
      </c>
      <c r="CH590" s="693">
        <f>SUMIFS(Imput[[Importe Neto]:[Importe Neto]],Imput[[C. Imp.]:[C. Imp.]],$D590,Imput[[PERIODO Imp.]:[PERIODO Imp.]],CH$9)</f>
        <v>0</v>
      </c>
      <c r="CI590" s="693">
        <f>SUMIFS(Imput[[Importe Neto]:[Importe Neto]],Imput[[C. Imp.]:[C. Imp.]],$D590,Imput[[PERIODO Imp.]:[PERIODO Imp.]],CI$9)</f>
        <v>0</v>
      </c>
      <c r="CJ590" s="693">
        <f>SUMIFS(Imput[[Importe Neto]:[Importe Neto]],Imput[[C. Imp.]:[C. Imp.]],$D590,Imput[[PERIODO Imp.]:[PERIODO Imp.]],CJ$9)</f>
        <v>0</v>
      </c>
      <c r="CK590" s="693">
        <f>SUMIFS(Imput[[Importe Neto]:[Importe Neto]],Imput[[C. Imp.]:[C. Imp.]],$D590,Imput[[PERIODO Imp.]:[PERIODO Imp.]],CK$9)</f>
        <v>0</v>
      </c>
      <c r="CL590" s="693">
        <f>SUMIFS(Imput[[Importe Neto]:[Importe Neto]],Imput[[C. Imp.]:[C. Imp.]],$D590,Imput[[PERIODO Imp.]:[PERIODO Imp.]],CL$9)</f>
        <v>0</v>
      </c>
      <c r="CM590" s="693">
        <f>SUMIFS(Imput[[Importe Neto]:[Importe Neto]],Imput[[C. Imp.]:[C. Imp.]],$D590,Imput[[PERIODO Imp.]:[PERIODO Imp.]],CM$9)</f>
        <v>0</v>
      </c>
      <c r="CN590" s="693">
        <f>SUMIFS(Imput[[Importe Neto]:[Importe Neto]],Imput[[C. Imp.]:[C. Imp.]],$D590,Imput[[PERIODO Imp.]:[PERIODO Imp.]],CN$9)</f>
        <v>0</v>
      </c>
      <c r="CO590" s="693">
        <f>SUMIFS(Imput[[Importe Neto]:[Importe Neto]],Imput[[C. Imp.]:[C. Imp.]],$D590,Imput[[PERIODO Imp.]:[PERIODO Imp.]],CO$9)</f>
        <v>0</v>
      </c>
      <c r="CP590" s="693">
        <f>SUMIFS(Imput[[Importe Neto]:[Importe Neto]],Imput[[C. Imp.]:[C. Imp.]],$D590,Imput[[PERIODO Imp.]:[PERIODO Imp.]],CP$9)</f>
        <v>0</v>
      </c>
      <c r="CQ590" s="693">
        <f>SUMIFS(Imput[[Importe Neto]:[Importe Neto]],Imput[[C. Imp.]:[C. Imp.]],$D590,Imput[[PERIODO Imp.]:[PERIODO Imp.]],CQ$9)</f>
        <v>0</v>
      </c>
      <c r="CR590" s="693">
        <f>SUMIFS(Imput[[Importe Neto]:[Importe Neto]],Imput[[C. Imp.]:[C. Imp.]],$D590,Imput[[PERIODO Imp.]:[PERIODO Imp.]],CR$9)</f>
        <v>0</v>
      </c>
      <c r="CS590" s="693">
        <f>SUMIFS(Imput[[Importe Neto]:[Importe Neto]],Imput[[C. Imp.]:[C. Imp.]],$D590,Imput[[PERIODO Imp.]:[PERIODO Imp.]],CS$9)</f>
        <v>0</v>
      </c>
      <c r="CT590" s="693">
        <f>SUMIFS(Imput[[Importe Neto]:[Importe Neto]],Imput[[C. Imp.]:[C. Imp.]],$D590,Imput[[PERIODO Imp.]:[PERIODO Imp.]],CT$9)</f>
        <v>0</v>
      </c>
      <c r="CU590" s="693">
        <f>SUMIFS(Imput[[Importe Neto]:[Importe Neto]],Imput[[C. Imp.]:[C. Imp.]],$D590,Imput[[PERIODO Imp.]:[PERIODO Imp.]],CU$9)</f>
        <v>0</v>
      </c>
      <c r="CV590" s="693">
        <f>SUMIFS(Imput[[Importe Neto]:[Importe Neto]],Imput[[C. Imp.]:[C. Imp.]],$D590,Imput[[PERIODO Imp.]:[PERIODO Imp.]],CV$9)</f>
        <v>0</v>
      </c>
      <c r="CW590" s="693">
        <f>SUMIFS(Imput[[Importe Neto]:[Importe Neto]],Imput[[C. Imp.]:[C. Imp.]],$D590,Imput[[PERIODO Imp.]:[PERIODO Imp.]],CW$9)</f>
        <v>0</v>
      </c>
      <c r="CX590" s="693">
        <f>SUMIFS(Imput[[Importe Neto]:[Importe Neto]],Imput[[C. Imp.]:[C. Imp.]],$D590,Imput[[PERIODO Imp.]:[PERIODO Imp.]],CX$9)</f>
        <v>0</v>
      </c>
      <c r="CY590" s="693">
        <f>SUMIFS(Imput[[Importe Neto]:[Importe Neto]],Imput[[C. Imp.]:[C. Imp.]],$D590,Imput[[PERIODO Imp.]:[PERIODO Imp.]],CY$9)</f>
        <v>0</v>
      </c>
      <c r="CZ590" s="693">
        <f>SUMIFS(Imput[[Importe Neto]:[Importe Neto]],Imput[[C. Imp.]:[C. Imp.]],$D590,Imput[[PERIODO Imp.]:[PERIODO Imp.]],CZ$9)</f>
        <v>0</v>
      </c>
      <c r="DA590" s="693">
        <f>SUMIFS(Imput[[Importe Neto]:[Importe Neto]],Imput[[C. Imp.]:[C. Imp.]],$D590,Imput[[PERIODO Imp.]:[PERIODO Imp.]],DA$9)</f>
        <v>0</v>
      </c>
      <c r="DB590" s="693">
        <f>SUMIFS(Imput[[Importe Neto]:[Importe Neto]],Imput[[C. Imp.]:[C. Imp.]],$D590,Imput[[PERIODO Imp.]:[PERIODO Imp.]],DB$9)</f>
        <v>0</v>
      </c>
      <c r="DC590" s="693">
        <f>SUMIFS(Imput[[Importe Neto]:[Importe Neto]],Imput[[C. Imp.]:[C. Imp.]],$D590,Imput[[PERIODO Imp.]:[PERIODO Imp.]],DC$9)</f>
        <v>0</v>
      </c>
      <c r="DD590" s="693">
        <f>SUMIFS(Imput[[Importe Neto]:[Importe Neto]],Imput[[C. Imp.]:[C. Imp.]],$D590,Imput[[PERIODO Imp.]:[PERIODO Imp.]],DD$9)</f>
        <v>0</v>
      </c>
      <c r="DE590" s="693">
        <f>SUMIFS(Imput[[Importe Neto]:[Importe Neto]],Imput[[C. Imp.]:[C. Imp.]],$D590,Imput[[PERIODO Imp.]:[PERIODO Imp.]],DE$9)</f>
        <v>0</v>
      </c>
      <c r="DF590" s="693">
        <f>SUMIFS(Imput[[Importe Neto]:[Importe Neto]],Imput[[C. Imp.]:[C. Imp.]],$D590,Imput[[PERIODO Imp.]:[PERIODO Imp.]],DF$9)</f>
        <v>0</v>
      </c>
      <c r="DG590" s="693">
        <f>SUMIFS(Imput[[Importe Neto]:[Importe Neto]],Imput[[C. Imp.]:[C. Imp.]],$D590,Imput[[PERIODO Imp.]:[PERIODO Imp.]],DG$9)</f>
        <v>0</v>
      </c>
      <c r="DH590" s="694">
        <f>SUMIFS(Imput[[Importe Neto]:[Importe Neto]],Imput[[C. Imp.]:[C. Imp.]],$D590,Imput[[PERIODO Imp.]:[PERIODO Imp.]],DH$9)</f>
        <v>0</v>
      </c>
    </row>
    <row r="591" spans="1:112" s="649" customFormat="1" hidden="1" outlineLevel="1" x14ac:dyDescent="0.3">
      <c r="A591" s="652" t="str">
        <f t="shared" si="212"/>
        <v/>
      </c>
      <c r="B591" s="652"/>
      <c r="C591" s="685"/>
      <c r="D591" s="686" t="s">
        <v>2613</v>
      </c>
      <c r="E591" s="728"/>
      <c r="F591" s="720"/>
      <c r="G591" s="688"/>
      <c r="H591" s="696"/>
      <c r="I591" s="851" t="str">
        <f t="shared" si="217"/>
        <v/>
      </c>
      <c r="J591" s="850" t="str">
        <f t="shared" si="214"/>
        <v/>
      </c>
      <c r="K591" s="667"/>
      <c r="L591" s="858"/>
      <c r="M591" s="859"/>
      <c r="N591" s="859"/>
      <c r="O591" s="859"/>
      <c r="P591" s="859"/>
      <c r="Q591" s="859"/>
      <c r="R591" s="859"/>
      <c r="S591" s="859"/>
      <c r="T591" s="859"/>
      <c r="U591" s="859"/>
      <c r="V591" s="859"/>
      <c r="W591" s="859"/>
      <c r="X591" s="859"/>
      <c r="Y591" s="859"/>
      <c r="Z591" s="860"/>
      <c r="AA591" s="860"/>
      <c r="AB591" s="860"/>
      <c r="AC591" s="860"/>
      <c r="AD591" s="860"/>
      <c r="AE591" s="860"/>
      <c r="AF591" s="860"/>
      <c r="AG591" s="860"/>
      <c r="AH591" s="860"/>
      <c r="AI591" s="860"/>
      <c r="AJ591" s="860"/>
      <c r="AK591" s="860"/>
      <c r="AL591" s="860"/>
      <c r="AM591" s="860"/>
      <c r="AN591" s="860"/>
      <c r="AO591" s="860"/>
      <c r="AP591" s="860"/>
      <c r="AQ591" s="860"/>
      <c r="AR591" s="860"/>
      <c r="AS591" s="860"/>
      <c r="AT591" s="860"/>
      <c r="AU591" s="860"/>
      <c r="AV591" s="860"/>
      <c r="AW591" s="860"/>
      <c r="AX591" s="860"/>
      <c r="AY591" s="860"/>
      <c r="AZ591" s="860"/>
      <c r="BA591" s="860"/>
      <c r="BB591" s="860"/>
      <c r="BC591" s="860"/>
      <c r="BD591" s="860"/>
      <c r="BE591" s="860"/>
      <c r="BF591" s="860"/>
      <c r="BG591" s="860"/>
      <c r="BH591" s="668"/>
      <c r="BI591" s="654"/>
      <c r="BJ591" s="690">
        <f t="shared" si="218"/>
        <v>0</v>
      </c>
      <c r="BK591" s="691">
        <f t="shared" si="219"/>
        <v>0</v>
      </c>
      <c r="BL591" s="654"/>
      <c r="BM591" s="697">
        <f>SUMIFS(Imput[[Importe Neto]:[Importe Neto]],Imput[[C. Imp.]:[C. Imp.]],$D591,Imput[[PERIODO Imp.]:[PERIODO Imp.]],BM$9)</f>
        <v>0</v>
      </c>
      <c r="BN591" s="698">
        <f>SUMIFS(Imput[[Importe Neto]:[Importe Neto]],Imput[[C. Imp.]:[C. Imp.]],$D591,Imput[[PERIODO Imp.]:[PERIODO Imp.]],BN$9)</f>
        <v>0</v>
      </c>
      <c r="BO591" s="698">
        <f>SUMIFS(Imput[[Importe Neto]:[Importe Neto]],Imput[[C. Imp.]:[C. Imp.]],$D591,Imput[[PERIODO Imp.]:[PERIODO Imp.]],BO$9)</f>
        <v>0</v>
      </c>
      <c r="BP591" s="698">
        <f>SUMIFS(Imput[[Importe Neto]:[Importe Neto]],Imput[[C. Imp.]:[C. Imp.]],$D591,Imput[[PERIODO Imp.]:[PERIODO Imp.]],BP$9)</f>
        <v>0</v>
      </c>
      <c r="BQ591" s="698">
        <f>SUMIFS(Imput[[Importe Neto]:[Importe Neto]],Imput[[C. Imp.]:[C. Imp.]],$D591,Imput[[PERIODO Imp.]:[PERIODO Imp.]],BQ$9)</f>
        <v>0</v>
      </c>
      <c r="BR591" s="698">
        <f>SUMIFS(Imput[[Importe Neto]:[Importe Neto]],Imput[[C. Imp.]:[C. Imp.]],$D591,Imput[[PERIODO Imp.]:[PERIODO Imp.]],BR$9)</f>
        <v>0</v>
      </c>
      <c r="BS591" s="698">
        <f>SUMIFS(Imput[[Importe Neto]:[Importe Neto]],Imput[[C. Imp.]:[C. Imp.]],$D591,Imput[[PERIODO Imp.]:[PERIODO Imp.]],BS$9)</f>
        <v>0</v>
      </c>
      <c r="BT591" s="698">
        <f>SUMIFS(Imput[[Importe Neto]:[Importe Neto]],Imput[[C. Imp.]:[C. Imp.]],$D591,Imput[[PERIODO Imp.]:[PERIODO Imp.]],BT$9)</f>
        <v>0</v>
      </c>
      <c r="BU591" s="698">
        <f>SUMIFS(Imput[[Importe Neto]:[Importe Neto]],Imput[[C. Imp.]:[C. Imp.]],$D591,Imput[[PERIODO Imp.]:[PERIODO Imp.]],BU$9)</f>
        <v>0</v>
      </c>
      <c r="BV591" s="698">
        <f>SUMIFS(Imput[[Importe Neto]:[Importe Neto]],Imput[[C. Imp.]:[C. Imp.]],$D591,Imput[[PERIODO Imp.]:[PERIODO Imp.]],BV$9)</f>
        <v>0</v>
      </c>
      <c r="BW591" s="698">
        <f>SUMIFS(Imput[[Importe Neto]:[Importe Neto]],Imput[[C. Imp.]:[C. Imp.]],$D591,Imput[[PERIODO Imp.]:[PERIODO Imp.]],BW$9)</f>
        <v>0</v>
      </c>
      <c r="BX591" s="698">
        <f>SUMIFS(Imput[[Importe Neto]:[Importe Neto]],Imput[[C. Imp.]:[C. Imp.]],$D591,Imput[[PERIODO Imp.]:[PERIODO Imp.]],BX$9)</f>
        <v>0</v>
      </c>
      <c r="BY591" s="698">
        <f>SUMIFS(Imput[[Importe Neto]:[Importe Neto]],Imput[[C. Imp.]:[C. Imp.]],$D591,Imput[[PERIODO Imp.]:[PERIODO Imp.]],BY$9)</f>
        <v>0</v>
      </c>
      <c r="BZ591" s="698">
        <f>SUMIFS(Imput[[Importe Neto]:[Importe Neto]],Imput[[C. Imp.]:[C. Imp.]],$D591,Imput[[PERIODO Imp.]:[PERIODO Imp.]],BZ$9)</f>
        <v>0</v>
      </c>
      <c r="CA591" s="698">
        <f>SUMIFS(Imput[[Importe Neto]:[Importe Neto]],Imput[[C. Imp.]:[C. Imp.]],$D591,Imput[[PERIODO Imp.]:[PERIODO Imp.]],CA$9)</f>
        <v>0</v>
      </c>
      <c r="CB591" s="698">
        <f>SUMIFS(Imput[[Importe Neto]:[Importe Neto]],Imput[[C. Imp.]:[C. Imp.]],$D591,Imput[[PERIODO Imp.]:[PERIODO Imp.]],CB$9)</f>
        <v>0</v>
      </c>
      <c r="CC591" s="698">
        <f>SUMIFS(Imput[[Importe Neto]:[Importe Neto]],Imput[[C. Imp.]:[C. Imp.]],$D591,Imput[[PERIODO Imp.]:[PERIODO Imp.]],CC$9)</f>
        <v>0</v>
      </c>
      <c r="CD591" s="698">
        <f>SUMIFS(Imput[[Importe Neto]:[Importe Neto]],Imput[[C. Imp.]:[C. Imp.]],$D591,Imput[[PERIODO Imp.]:[PERIODO Imp.]],CD$9)</f>
        <v>0</v>
      </c>
      <c r="CE591" s="698">
        <f>SUMIFS(Imput[[Importe Neto]:[Importe Neto]],Imput[[C. Imp.]:[C. Imp.]],$D591,Imput[[PERIODO Imp.]:[PERIODO Imp.]],CE$9)</f>
        <v>0</v>
      </c>
      <c r="CF591" s="698">
        <f>SUMIFS(Imput[[Importe Neto]:[Importe Neto]],Imput[[C. Imp.]:[C. Imp.]],$D591,Imput[[PERIODO Imp.]:[PERIODO Imp.]],CF$9)</f>
        <v>0</v>
      </c>
      <c r="CG591" s="698">
        <f>SUMIFS(Imput[[Importe Neto]:[Importe Neto]],Imput[[C. Imp.]:[C. Imp.]],$D591,Imput[[PERIODO Imp.]:[PERIODO Imp.]],CG$9)</f>
        <v>0</v>
      </c>
      <c r="CH591" s="698">
        <f>SUMIFS(Imput[[Importe Neto]:[Importe Neto]],Imput[[C. Imp.]:[C. Imp.]],$D591,Imput[[PERIODO Imp.]:[PERIODO Imp.]],CH$9)</f>
        <v>0</v>
      </c>
      <c r="CI591" s="698">
        <f>SUMIFS(Imput[[Importe Neto]:[Importe Neto]],Imput[[C. Imp.]:[C. Imp.]],$D591,Imput[[PERIODO Imp.]:[PERIODO Imp.]],CI$9)</f>
        <v>0</v>
      </c>
      <c r="CJ591" s="698">
        <f>SUMIFS(Imput[[Importe Neto]:[Importe Neto]],Imput[[C. Imp.]:[C. Imp.]],$D591,Imput[[PERIODO Imp.]:[PERIODO Imp.]],CJ$9)</f>
        <v>0</v>
      </c>
      <c r="CK591" s="698">
        <f>SUMIFS(Imput[[Importe Neto]:[Importe Neto]],Imput[[C. Imp.]:[C. Imp.]],$D591,Imput[[PERIODO Imp.]:[PERIODO Imp.]],CK$9)</f>
        <v>0</v>
      </c>
      <c r="CL591" s="698">
        <f>SUMIFS(Imput[[Importe Neto]:[Importe Neto]],Imput[[C. Imp.]:[C. Imp.]],$D591,Imput[[PERIODO Imp.]:[PERIODO Imp.]],CL$9)</f>
        <v>0</v>
      </c>
      <c r="CM591" s="698">
        <f>SUMIFS(Imput[[Importe Neto]:[Importe Neto]],Imput[[C. Imp.]:[C. Imp.]],$D591,Imput[[PERIODO Imp.]:[PERIODO Imp.]],CM$9)</f>
        <v>0</v>
      </c>
      <c r="CN591" s="698">
        <f>SUMIFS(Imput[[Importe Neto]:[Importe Neto]],Imput[[C. Imp.]:[C. Imp.]],$D591,Imput[[PERIODO Imp.]:[PERIODO Imp.]],CN$9)</f>
        <v>0</v>
      </c>
      <c r="CO591" s="698">
        <f>SUMIFS(Imput[[Importe Neto]:[Importe Neto]],Imput[[C. Imp.]:[C. Imp.]],$D591,Imput[[PERIODO Imp.]:[PERIODO Imp.]],CO$9)</f>
        <v>0</v>
      </c>
      <c r="CP591" s="698">
        <f>SUMIFS(Imput[[Importe Neto]:[Importe Neto]],Imput[[C. Imp.]:[C. Imp.]],$D591,Imput[[PERIODO Imp.]:[PERIODO Imp.]],CP$9)</f>
        <v>0</v>
      </c>
      <c r="CQ591" s="698">
        <f>SUMIFS(Imput[[Importe Neto]:[Importe Neto]],Imput[[C. Imp.]:[C. Imp.]],$D591,Imput[[PERIODO Imp.]:[PERIODO Imp.]],CQ$9)</f>
        <v>0</v>
      </c>
      <c r="CR591" s="698">
        <f>SUMIFS(Imput[[Importe Neto]:[Importe Neto]],Imput[[C. Imp.]:[C. Imp.]],$D591,Imput[[PERIODO Imp.]:[PERIODO Imp.]],CR$9)</f>
        <v>0</v>
      </c>
      <c r="CS591" s="698">
        <f>SUMIFS(Imput[[Importe Neto]:[Importe Neto]],Imput[[C. Imp.]:[C. Imp.]],$D591,Imput[[PERIODO Imp.]:[PERIODO Imp.]],CS$9)</f>
        <v>0</v>
      </c>
      <c r="CT591" s="698">
        <f>SUMIFS(Imput[[Importe Neto]:[Importe Neto]],Imput[[C. Imp.]:[C. Imp.]],$D591,Imput[[PERIODO Imp.]:[PERIODO Imp.]],CT$9)</f>
        <v>0</v>
      </c>
      <c r="CU591" s="698">
        <f>SUMIFS(Imput[[Importe Neto]:[Importe Neto]],Imput[[C. Imp.]:[C. Imp.]],$D591,Imput[[PERIODO Imp.]:[PERIODO Imp.]],CU$9)</f>
        <v>0</v>
      </c>
      <c r="CV591" s="698">
        <f>SUMIFS(Imput[[Importe Neto]:[Importe Neto]],Imput[[C. Imp.]:[C. Imp.]],$D591,Imput[[PERIODO Imp.]:[PERIODO Imp.]],CV$9)</f>
        <v>0</v>
      </c>
      <c r="CW591" s="698">
        <f>SUMIFS(Imput[[Importe Neto]:[Importe Neto]],Imput[[C. Imp.]:[C. Imp.]],$D591,Imput[[PERIODO Imp.]:[PERIODO Imp.]],CW$9)</f>
        <v>0</v>
      </c>
      <c r="CX591" s="698">
        <f>SUMIFS(Imput[[Importe Neto]:[Importe Neto]],Imput[[C. Imp.]:[C. Imp.]],$D591,Imput[[PERIODO Imp.]:[PERIODO Imp.]],CX$9)</f>
        <v>0</v>
      </c>
      <c r="CY591" s="698">
        <f>SUMIFS(Imput[[Importe Neto]:[Importe Neto]],Imput[[C. Imp.]:[C. Imp.]],$D591,Imput[[PERIODO Imp.]:[PERIODO Imp.]],CY$9)</f>
        <v>0</v>
      </c>
      <c r="CZ591" s="698">
        <f>SUMIFS(Imput[[Importe Neto]:[Importe Neto]],Imput[[C. Imp.]:[C. Imp.]],$D591,Imput[[PERIODO Imp.]:[PERIODO Imp.]],CZ$9)</f>
        <v>0</v>
      </c>
      <c r="DA591" s="698">
        <f>SUMIFS(Imput[[Importe Neto]:[Importe Neto]],Imput[[C. Imp.]:[C. Imp.]],$D591,Imput[[PERIODO Imp.]:[PERIODO Imp.]],DA$9)</f>
        <v>0</v>
      </c>
      <c r="DB591" s="698">
        <f>SUMIFS(Imput[[Importe Neto]:[Importe Neto]],Imput[[C. Imp.]:[C. Imp.]],$D591,Imput[[PERIODO Imp.]:[PERIODO Imp.]],DB$9)</f>
        <v>0</v>
      </c>
      <c r="DC591" s="698">
        <f>SUMIFS(Imput[[Importe Neto]:[Importe Neto]],Imput[[C. Imp.]:[C. Imp.]],$D591,Imput[[PERIODO Imp.]:[PERIODO Imp.]],DC$9)</f>
        <v>0</v>
      </c>
      <c r="DD591" s="698">
        <f>SUMIFS(Imput[[Importe Neto]:[Importe Neto]],Imput[[C. Imp.]:[C. Imp.]],$D591,Imput[[PERIODO Imp.]:[PERIODO Imp.]],DD$9)</f>
        <v>0</v>
      </c>
      <c r="DE591" s="698">
        <f>SUMIFS(Imput[[Importe Neto]:[Importe Neto]],Imput[[C. Imp.]:[C. Imp.]],$D591,Imput[[PERIODO Imp.]:[PERIODO Imp.]],DE$9)</f>
        <v>0</v>
      </c>
      <c r="DF591" s="698">
        <f>SUMIFS(Imput[[Importe Neto]:[Importe Neto]],Imput[[C. Imp.]:[C. Imp.]],$D591,Imput[[PERIODO Imp.]:[PERIODO Imp.]],DF$9)</f>
        <v>0</v>
      </c>
      <c r="DG591" s="698">
        <f>SUMIFS(Imput[[Importe Neto]:[Importe Neto]],Imput[[C. Imp.]:[C. Imp.]],$D591,Imput[[PERIODO Imp.]:[PERIODO Imp.]],DG$9)</f>
        <v>0</v>
      </c>
      <c r="DH591" s="795">
        <f>SUMIFS(Imput[[Importe Neto]:[Importe Neto]],Imput[[C. Imp.]:[C. Imp.]],$D591,Imput[[PERIODO Imp.]:[PERIODO Imp.]],DH$9)</f>
        <v>0</v>
      </c>
    </row>
    <row r="592" spans="1:112" s="649" customFormat="1" ht="14.4" outlineLevel="1" thickBot="1" x14ac:dyDescent="0.35">
      <c r="A592" s="652" t="str">
        <f>IF(J540&gt;0,"Imprimir","")</f>
        <v>Imprimir</v>
      </c>
      <c r="B592" s="652"/>
      <c r="C592" s="699"/>
      <c r="D592" s="700"/>
      <c r="E592" s="700"/>
      <c r="F592" s="701"/>
      <c r="G592" s="702"/>
      <c r="H592" s="703"/>
      <c r="I592" s="704"/>
      <c r="J592" s="705"/>
      <c r="K592" s="667"/>
      <c r="L592" s="706"/>
      <c r="M592" s="707"/>
      <c r="N592" s="777"/>
      <c r="O592" s="777"/>
      <c r="P592" s="778"/>
      <c r="Q592" s="778"/>
      <c r="R592" s="708"/>
      <c r="S592" s="708"/>
      <c r="T592" s="779"/>
      <c r="U592" s="779"/>
      <c r="V592" s="778"/>
      <c r="W592" s="778"/>
      <c r="X592" s="708"/>
      <c r="Y592" s="708"/>
      <c r="Z592" s="708"/>
      <c r="AA592" s="708"/>
      <c r="AB592" s="708"/>
      <c r="AC592" s="708"/>
      <c r="AD592" s="708"/>
      <c r="AE592" s="708"/>
      <c r="AF592" s="708"/>
      <c r="AG592" s="708"/>
      <c r="AH592" s="708"/>
      <c r="AI592" s="708"/>
      <c r="AJ592" s="708"/>
      <c r="AK592" s="708"/>
      <c r="AL592" s="708"/>
      <c r="AM592" s="708"/>
      <c r="AN592" s="708"/>
      <c r="AO592" s="708"/>
      <c r="AP592" s="708"/>
      <c r="AQ592" s="708"/>
      <c r="AR592" s="708"/>
      <c r="AS592" s="708"/>
      <c r="AT592" s="708"/>
      <c r="AU592" s="708"/>
      <c r="AV592" s="708"/>
      <c r="AW592" s="708"/>
      <c r="AX592" s="708"/>
      <c r="AY592" s="708"/>
      <c r="AZ592" s="708"/>
      <c r="BA592" s="708"/>
      <c r="BB592" s="708"/>
      <c r="BC592" s="708"/>
      <c r="BD592" s="708"/>
      <c r="BE592" s="708"/>
      <c r="BF592" s="708"/>
      <c r="BG592" s="708"/>
      <c r="BH592" s="780"/>
      <c r="BI592" s="654"/>
      <c r="BJ592" s="709"/>
      <c r="BK592" s="710"/>
      <c r="BL592" s="654"/>
      <c r="BM592" s="731"/>
      <c r="BN592" s="701"/>
      <c r="BO592" s="701"/>
      <c r="BP592" s="701"/>
      <c r="BQ592" s="701"/>
      <c r="BR592" s="701"/>
      <c r="BS592" s="701"/>
      <c r="BT592" s="701"/>
      <c r="BU592" s="701"/>
      <c r="BV592" s="701"/>
      <c r="BW592" s="701"/>
      <c r="BX592" s="701"/>
      <c r="BY592" s="701"/>
      <c r="BZ592" s="701"/>
      <c r="CA592" s="701"/>
      <c r="CB592" s="701"/>
      <c r="CC592" s="701"/>
      <c r="CD592" s="701"/>
      <c r="CE592" s="701"/>
      <c r="CF592" s="701"/>
      <c r="CG592" s="701"/>
      <c r="CH592" s="701"/>
      <c r="CI592" s="701"/>
      <c r="CJ592" s="701"/>
      <c r="CK592" s="701"/>
      <c r="CL592" s="701"/>
      <c r="CM592" s="701"/>
      <c r="CN592" s="701"/>
      <c r="CO592" s="701"/>
      <c r="CP592" s="701"/>
      <c r="CQ592" s="701"/>
      <c r="CR592" s="701"/>
      <c r="CS592" s="701"/>
      <c r="CT592" s="701"/>
      <c r="CU592" s="701"/>
      <c r="CV592" s="701"/>
      <c r="CW592" s="701"/>
      <c r="CX592" s="701"/>
      <c r="CY592" s="701"/>
      <c r="CZ592" s="701"/>
      <c r="DA592" s="701"/>
      <c r="DB592" s="701"/>
      <c r="DC592" s="701"/>
      <c r="DD592" s="701"/>
      <c r="DE592" s="701"/>
      <c r="DF592" s="701"/>
      <c r="DG592" s="701"/>
      <c r="DH592" s="710"/>
    </row>
    <row r="593" spans="1:112" s="649" customFormat="1" x14ac:dyDescent="0.3">
      <c r="A593" s="652" t="str">
        <f>IF(J593&gt;0,"Imprimir","")</f>
        <v>Imprimir</v>
      </c>
      <c r="B593" s="652"/>
      <c r="C593" s="711"/>
      <c r="D593" s="712" t="s">
        <v>451</v>
      </c>
      <c r="E593" s="712" t="s">
        <v>487</v>
      </c>
      <c r="F593" s="712"/>
      <c r="G593" s="713"/>
      <c r="H593" s="712"/>
      <c r="I593" s="714"/>
      <c r="J593" s="715">
        <f>SUBTOTAL(9,J596:J645)</f>
        <v>526776.62615578948</v>
      </c>
      <c r="K593" s="658"/>
      <c r="L593" s="770">
        <f t="shared" ref="L593:BG593" si="220">SUMPRODUCT($J596:$J645,L596:L645)</f>
        <v>334591.79975578946</v>
      </c>
      <c r="M593" s="771">
        <f t="shared" si="220"/>
        <v>8324.909999999998</v>
      </c>
      <c r="N593" s="771">
        <f t="shared" si="220"/>
        <v>8324.909999999998</v>
      </c>
      <c r="O593" s="771">
        <f t="shared" si="220"/>
        <v>14967.629999999997</v>
      </c>
      <c r="P593" s="771">
        <f t="shared" si="220"/>
        <v>35559.48599999999</v>
      </c>
      <c r="Q593" s="771">
        <f t="shared" si="220"/>
        <v>8324.909999999998</v>
      </c>
      <c r="R593" s="771">
        <f t="shared" si="220"/>
        <v>8324.909999999998</v>
      </c>
      <c r="S593" s="771">
        <f t="shared" si="220"/>
        <v>8617.2299999999977</v>
      </c>
      <c r="T593" s="771">
        <f t="shared" si="220"/>
        <v>8324.909999999998</v>
      </c>
      <c r="U593" s="771">
        <f t="shared" si="220"/>
        <v>8324.909999999998</v>
      </c>
      <c r="V593" s="771">
        <f t="shared" si="220"/>
        <v>8324.909999999998</v>
      </c>
      <c r="W593" s="771">
        <f t="shared" si="220"/>
        <v>33767.060399999995</v>
      </c>
      <c r="X593" s="771">
        <f t="shared" si="220"/>
        <v>8324.909999999998</v>
      </c>
      <c r="Y593" s="771">
        <f t="shared" si="220"/>
        <v>8617.2299999999977</v>
      </c>
      <c r="Z593" s="771">
        <f t="shared" si="220"/>
        <v>8324.909999999998</v>
      </c>
      <c r="AA593" s="771">
        <f t="shared" si="220"/>
        <v>6642.72</v>
      </c>
      <c r="AB593" s="771">
        <f t="shared" si="220"/>
        <v>0</v>
      </c>
      <c r="AC593" s="771">
        <f t="shared" si="220"/>
        <v>292.32000000000005</v>
      </c>
      <c r="AD593" s="771">
        <f t="shared" si="220"/>
        <v>0</v>
      </c>
      <c r="AE593" s="771">
        <f t="shared" si="220"/>
        <v>8212.32</v>
      </c>
      <c r="AF593" s="771">
        <f t="shared" si="220"/>
        <v>0</v>
      </c>
      <c r="AG593" s="771">
        <f t="shared" si="220"/>
        <v>292.32000000000005</v>
      </c>
      <c r="AH593" s="771">
        <f t="shared" si="220"/>
        <v>0</v>
      </c>
      <c r="AI593" s="771">
        <f t="shared" si="220"/>
        <v>292.32000000000005</v>
      </c>
      <c r="AJ593" s="771">
        <f t="shared" si="220"/>
        <v>0</v>
      </c>
      <c r="AK593" s="771">
        <f t="shared" si="220"/>
        <v>0</v>
      </c>
      <c r="AL593" s="771">
        <f t="shared" si="220"/>
        <v>0</v>
      </c>
      <c r="AM593" s="771">
        <f t="shared" si="220"/>
        <v>0</v>
      </c>
      <c r="AN593" s="771">
        <f t="shared" si="220"/>
        <v>0</v>
      </c>
      <c r="AO593" s="771">
        <f t="shared" si="220"/>
        <v>0</v>
      </c>
      <c r="AP593" s="771">
        <f t="shared" si="220"/>
        <v>0</v>
      </c>
      <c r="AQ593" s="771">
        <f t="shared" si="220"/>
        <v>0</v>
      </c>
      <c r="AR593" s="771">
        <f t="shared" si="220"/>
        <v>0</v>
      </c>
      <c r="AS593" s="771">
        <f t="shared" si="220"/>
        <v>0</v>
      </c>
      <c r="AT593" s="771">
        <f t="shared" si="220"/>
        <v>0</v>
      </c>
      <c r="AU593" s="771">
        <f t="shared" si="220"/>
        <v>0</v>
      </c>
      <c r="AV593" s="771">
        <f t="shared" si="220"/>
        <v>0</v>
      </c>
      <c r="AW593" s="771">
        <f t="shared" si="220"/>
        <v>0</v>
      </c>
      <c r="AX593" s="771">
        <f t="shared" si="220"/>
        <v>0</v>
      </c>
      <c r="AY593" s="771">
        <f t="shared" si="220"/>
        <v>0</v>
      </c>
      <c r="AZ593" s="771">
        <f t="shared" si="220"/>
        <v>0</v>
      </c>
      <c r="BA593" s="771">
        <f t="shared" si="220"/>
        <v>0</v>
      </c>
      <c r="BB593" s="771">
        <f t="shared" si="220"/>
        <v>0</v>
      </c>
      <c r="BC593" s="771">
        <f t="shared" si="220"/>
        <v>0</v>
      </c>
      <c r="BD593" s="771">
        <f t="shared" si="220"/>
        <v>0</v>
      </c>
      <c r="BE593" s="771">
        <f t="shared" si="220"/>
        <v>0</v>
      </c>
      <c r="BF593" s="771">
        <f t="shared" si="220"/>
        <v>0</v>
      </c>
      <c r="BG593" s="764">
        <f t="shared" si="220"/>
        <v>0</v>
      </c>
      <c r="BH593" s="776"/>
      <c r="BI593" s="654"/>
      <c r="BJ593" s="659">
        <f>IFERROR(BK593/J593,0)</f>
        <v>5.9622856057989539E-3</v>
      </c>
      <c r="BK593" s="660">
        <f>SUBTOTAL(9,BK594:BK645)</f>
        <v>3140.7926956000001</v>
      </c>
      <c r="BL593" s="654"/>
      <c r="BM593" s="661">
        <f t="shared" ref="BM593:DH593" si="221">SUBTOTAL(9,BM594:BM645)</f>
        <v>0</v>
      </c>
      <c r="BN593" s="662">
        <f t="shared" si="221"/>
        <v>0</v>
      </c>
      <c r="BO593" s="662">
        <f t="shared" si="221"/>
        <v>0</v>
      </c>
      <c r="BP593" s="662">
        <f t="shared" si="221"/>
        <v>3071.0927500000003</v>
      </c>
      <c r="BQ593" s="662">
        <f t="shared" si="221"/>
        <v>0</v>
      </c>
      <c r="BR593" s="662">
        <f t="shared" si="221"/>
        <v>0</v>
      </c>
      <c r="BS593" s="662">
        <f t="shared" si="221"/>
        <v>69.699945600000007</v>
      </c>
      <c r="BT593" s="662">
        <f t="shared" si="221"/>
        <v>0</v>
      </c>
      <c r="BU593" s="662">
        <f t="shared" si="221"/>
        <v>0</v>
      </c>
      <c r="BV593" s="662">
        <f t="shared" si="221"/>
        <v>0</v>
      </c>
      <c r="BW593" s="662">
        <f t="shared" si="221"/>
        <v>0</v>
      </c>
      <c r="BX593" s="662">
        <f t="shared" si="221"/>
        <v>0</v>
      </c>
      <c r="BY593" s="662">
        <f t="shared" si="221"/>
        <v>0</v>
      </c>
      <c r="BZ593" s="662">
        <f t="shared" si="221"/>
        <v>0</v>
      </c>
      <c r="CA593" s="662">
        <f t="shared" si="221"/>
        <v>0</v>
      </c>
      <c r="CB593" s="662">
        <f t="shared" si="221"/>
        <v>0</v>
      </c>
      <c r="CC593" s="662">
        <f t="shared" si="221"/>
        <v>0</v>
      </c>
      <c r="CD593" s="662">
        <f t="shared" si="221"/>
        <v>0</v>
      </c>
      <c r="CE593" s="662">
        <f t="shared" si="221"/>
        <v>0</v>
      </c>
      <c r="CF593" s="662">
        <f t="shared" si="221"/>
        <v>0</v>
      </c>
      <c r="CG593" s="662">
        <f t="shared" si="221"/>
        <v>0</v>
      </c>
      <c r="CH593" s="662">
        <f t="shared" si="221"/>
        <v>0</v>
      </c>
      <c r="CI593" s="662">
        <f t="shared" si="221"/>
        <v>0</v>
      </c>
      <c r="CJ593" s="662">
        <f t="shared" si="221"/>
        <v>0</v>
      </c>
      <c r="CK593" s="662">
        <f t="shared" si="221"/>
        <v>0</v>
      </c>
      <c r="CL593" s="662">
        <f t="shared" si="221"/>
        <v>0</v>
      </c>
      <c r="CM593" s="662">
        <f t="shared" si="221"/>
        <v>0</v>
      </c>
      <c r="CN593" s="662">
        <f t="shared" si="221"/>
        <v>0</v>
      </c>
      <c r="CO593" s="662">
        <f t="shared" si="221"/>
        <v>0</v>
      </c>
      <c r="CP593" s="662">
        <f t="shared" si="221"/>
        <v>0</v>
      </c>
      <c r="CQ593" s="662">
        <f t="shared" si="221"/>
        <v>0</v>
      </c>
      <c r="CR593" s="662">
        <f t="shared" si="221"/>
        <v>0</v>
      </c>
      <c r="CS593" s="662">
        <f t="shared" si="221"/>
        <v>0</v>
      </c>
      <c r="CT593" s="662">
        <f t="shared" si="221"/>
        <v>0</v>
      </c>
      <c r="CU593" s="662">
        <f t="shared" si="221"/>
        <v>0</v>
      </c>
      <c r="CV593" s="662">
        <f t="shared" si="221"/>
        <v>0</v>
      </c>
      <c r="CW593" s="662">
        <f t="shared" si="221"/>
        <v>0</v>
      </c>
      <c r="CX593" s="662">
        <f t="shared" si="221"/>
        <v>0</v>
      </c>
      <c r="CY593" s="662">
        <f t="shared" si="221"/>
        <v>0</v>
      </c>
      <c r="CZ593" s="662">
        <f t="shared" si="221"/>
        <v>0</v>
      </c>
      <c r="DA593" s="662">
        <f t="shared" si="221"/>
        <v>0</v>
      </c>
      <c r="DB593" s="662">
        <f t="shared" si="221"/>
        <v>0</v>
      </c>
      <c r="DC593" s="662">
        <f t="shared" si="221"/>
        <v>0</v>
      </c>
      <c r="DD593" s="662">
        <f t="shared" si="221"/>
        <v>0</v>
      </c>
      <c r="DE593" s="662">
        <f t="shared" si="221"/>
        <v>0</v>
      </c>
      <c r="DF593" s="662">
        <f t="shared" si="221"/>
        <v>0</v>
      </c>
      <c r="DG593" s="662">
        <f t="shared" si="221"/>
        <v>0</v>
      </c>
      <c r="DH593" s="663">
        <f t="shared" si="221"/>
        <v>0</v>
      </c>
    </row>
    <row r="594" spans="1:112" s="650" customFormat="1" outlineLevel="1" x14ac:dyDescent="0.3">
      <c r="A594" s="652" t="str">
        <f>IF(J593&gt;0,"Imprimir","")</f>
        <v>Imprimir</v>
      </c>
      <c r="B594" s="722"/>
      <c r="C594" s="664"/>
      <c r="D594" s="665"/>
      <c r="E594" s="665"/>
      <c r="F594" s="665" t="s">
        <v>472</v>
      </c>
      <c r="G594" s="716" t="s">
        <v>2128</v>
      </c>
      <c r="H594" s="665" t="str">
        <f>H487</f>
        <v>Cantidad</v>
      </c>
      <c r="I594" s="665" t="s">
        <v>474</v>
      </c>
      <c r="J594" s="666" t="s">
        <v>29</v>
      </c>
      <c r="K594" s="723"/>
      <c r="L594" s="745"/>
      <c r="M594" s="741"/>
      <c r="N594" s="741"/>
      <c r="O594" s="741"/>
      <c r="P594" s="741"/>
      <c r="Q594" s="741"/>
      <c r="R594" s="741"/>
      <c r="S594" s="741"/>
      <c r="T594" s="741"/>
      <c r="U594" s="741"/>
      <c r="V594" s="741"/>
      <c r="W594" s="741"/>
      <c r="X594" s="741"/>
      <c r="Y594" s="741"/>
      <c r="Z594" s="741"/>
      <c r="AA594" s="741"/>
      <c r="AB594" s="741"/>
      <c r="AC594" s="741"/>
      <c r="AD594" s="741"/>
      <c r="AE594" s="741"/>
      <c r="AF594" s="741"/>
      <c r="AG594" s="741"/>
      <c r="AH594" s="741"/>
      <c r="AI594" s="741"/>
      <c r="AJ594" s="741"/>
      <c r="AK594" s="741"/>
      <c r="AL594" s="741"/>
      <c r="AM594" s="741"/>
      <c r="AN594" s="741"/>
      <c r="AO594" s="741"/>
      <c r="AP594" s="741"/>
      <c r="AQ594" s="741"/>
      <c r="AR594" s="741"/>
      <c r="AS594" s="741"/>
      <c r="AT594" s="741"/>
      <c r="AU594" s="741"/>
      <c r="AV594" s="741"/>
      <c r="AW594" s="741"/>
      <c r="AX594" s="741"/>
      <c r="AY594" s="741"/>
      <c r="AZ594" s="741"/>
      <c r="BA594" s="741"/>
      <c r="BB594" s="741"/>
      <c r="BC594" s="741"/>
      <c r="BD594" s="741"/>
      <c r="BE594" s="741"/>
      <c r="BF594" s="741"/>
      <c r="BG594" s="741"/>
      <c r="BH594" s="724"/>
      <c r="BI594" s="725"/>
      <c r="BJ594" s="669"/>
      <c r="BK594" s="670"/>
      <c r="BL594" s="725"/>
      <c r="BM594" s="671"/>
      <c r="BN594" s="665"/>
      <c r="BO594" s="665"/>
      <c r="BP594" s="665"/>
      <c r="BQ594" s="665"/>
      <c r="BR594" s="665"/>
      <c r="BS594" s="665"/>
      <c r="BT594" s="665"/>
      <c r="BU594" s="665"/>
      <c r="BV594" s="665"/>
      <c r="BW594" s="665"/>
      <c r="BX594" s="665"/>
      <c r="BY594" s="665"/>
      <c r="BZ594" s="665"/>
      <c r="CA594" s="665"/>
      <c r="CB594" s="665"/>
      <c r="CC594" s="665"/>
      <c r="CD594" s="665"/>
      <c r="CE594" s="665"/>
      <c r="CF594" s="665"/>
      <c r="CG594" s="665"/>
      <c r="CH594" s="665"/>
      <c r="CI594" s="665"/>
      <c r="CJ594" s="665"/>
      <c r="CK594" s="665"/>
      <c r="CL594" s="665"/>
      <c r="CM594" s="665"/>
      <c r="CN594" s="665"/>
      <c r="CO594" s="665"/>
      <c r="CP594" s="665"/>
      <c r="CQ594" s="665"/>
      <c r="CR594" s="665"/>
      <c r="CS594" s="665"/>
      <c r="CT594" s="665"/>
      <c r="CU594" s="665"/>
      <c r="CV594" s="665"/>
      <c r="CW594" s="665"/>
      <c r="CX594" s="665"/>
      <c r="CY594" s="665"/>
      <c r="CZ594" s="665"/>
      <c r="DA594" s="665"/>
      <c r="DB594" s="665"/>
      <c r="DC594" s="665"/>
      <c r="DD594" s="665"/>
      <c r="DE594" s="665"/>
      <c r="DF594" s="665"/>
      <c r="DG594" s="665"/>
      <c r="DH594" s="666"/>
    </row>
    <row r="595" spans="1:112" s="649" customFormat="1" ht="15.6" outlineLevel="1" x14ac:dyDescent="0.3">
      <c r="A595" s="652" t="str">
        <f>IF(J595&gt;0,"Imprimir","")</f>
        <v>Imprimir</v>
      </c>
      <c r="B595" s="652"/>
      <c r="C595" s="672"/>
      <c r="D595" s="673"/>
      <c r="E595" s="674"/>
      <c r="F595" s="675"/>
      <c r="G595" s="726"/>
      <c r="H595" s="676"/>
      <c r="I595" s="677"/>
      <c r="J595" s="219">
        <f>SUBTOTAL(9,J596:J645)</f>
        <v>526776.62615578948</v>
      </c>
      <c r="K595" s="678"/>
      <c r="L595" s="747"/>
      <c r="M595" s="742"/>
      <c r="N595" s="742"/>
      <c r="O595" s="742"/>
      <c r="P595" s="742"/>
      <c r="Q595" s="742"/>
      <c r="R595" s="742"/>
      <c r="S595" s="742"/>
      <c r="T595" s="742"/>
      <c r="U595" s="742"/>
      <c r="V595" s="742"/>
      <c r="W595" s="742"/>
      <c r="X595" s="742"/>
      <c r="Y595" s="742"/>
      <c r="Z595" s="742"/>
      <c r="AA595" s="742"/>
      <c r="AB595" s="742"/>
      <c r="AC595" s="742"/>
      <c r="AD595" s="742"/>
      <c r="AE595" s="742"/>
      <c r="AF595" s="742"/>
      <c r="AG595" s="742"/>
      <c r="AH595" s="742"/>
      <c r="AI595" s="742"/>
      <c r="AJ595" s="742"/>
      <c r="AK595" s="742"/>
      <c r="AL595" s="742"/>
      <c r="AM595" s="742"/>
      <c r="AN595" s="742"/>
      <c r="AO595" s="742"/>
      <c r="AP595" s="742"/>
      <c r="AQ595" s="742"/>
      <c r="AR595" s="742"/>
      <c r="AS595" s="742"/>
      <c r="AT595" s="742"/>
      <c r="AU595" s="742"/>
      <c r="AV595" s="742"/>
      <c r="AW595" s="742"/>
      <c r="AX595" s="742"/>
      <c r="AY595" s="742"/>
      <c r="AZ595" s="742"/>
      <c r="BA595" s="742"/>
      <c r="BB595" s="742"/>
      <c r="BC595" s="742"/>
      <c r="BD595" s="742"/>
      <c r="BE595" s="742"/>
      <c r="BF595" s="742"/>
      <c r="BG595" s="742"/>
      <c r="BH595" s="668"/>
      <c r="BI595" s="654"/>
      <c r="BJ595" s="680"/>
      <c r="BK595" s="681"/>
      <c r="BL595" s="654"/>
      <c r="BM595" s="682"/>
      <c r="BN595" s="683"/>
      <c r="BO595" s="683"/>
      <c r="BP595" s="683"/>
      <c r="BQ595" s="683"/>
      <c r="BR595" s="683"/>
      <c r="BS595" s="683"/>
      <c r="BT595" s="683"/>
      <c r="BU595" s="683"/>
      <c r="BV595" s="683"/>
      <c r="BW595" s="683"/>
      <c r="BX595" s="683"/>
      <c r="BY595" s="683"/>
      <c r="BZ595" s="683"/>
      <c r="CA595" s="683"/>
      <c r="CB595" s="683"/>
      <c r="CC595" s="683"/>
      <c r="CD595" s="683"/>
      <c r="CE595" s="683"/>
      <c r="CF595" s="683"/>
      <c r="CG595" s="683"/>
      <c r="CH595" s="683"/>
      <c r="CI595" s="683"/>
      <c r="CJ595" s="683"/>
      <c r="CK595" s="683"/>
      <c r="CL595" s="683"/>
      <c r="CM595" s="683"/>
      <c r="CN595" s="683"/>
      <c r="CO595" s="683"/>
      <c r="CP595" s="683"/>
      <c r="CQ595" s="683"/>
      <c r="CR595" s="683"/>
      <c r="CS595" s="683"/>
      <c r="CT595" s="683"/>
      <c r="CU595" s="683"/>
      <c r="CV595" s="683"/>
      <c r="CW595" s="683"/>
      <c r="CX595" s="683"/>
      <c r="CY595" s="683"/>
      <c r="CZ595" s="683"/>
      <c r="DA595" s="683"/>
      <c r="DB595" s="683"/>
      <c r="DC595" s="683"/>
      <c r="DD595" s="683"/>
      <c r="DE595" s="683"/>
      <c r="DF595" s="683"/>
      <c r="DG595" s="683"/>
      <c r="DH595" s="684"/>
    </row>
    <row r="596" spans="1:112" s="649" customFormat="1" outlineLevel="1" x14ac:dyDescent="0.3">
      <c r="A596" s="652" t="str">
        <f t="shared" ref="A596:A644" si="222">IF(J596="","",IF(J596=0,"","Imprimir"))</f>
        <v>Imprimir</v>
      </c>
      <c r="B596" s="652"/>
      <c r="C596" s="685"/>
      <c r="D596" s="686" t="s">
        <v>2614</v>
      </c>
      <c r="E596" s="686" t="s">
        <v>488</v>
      </c>
      <c r="F596" s="720"/>
      <c r="G596" s="688">
        <v>68.421052631578945</v>
      </c>
      <c r="H596" s="689">
        <f>Producción!G56*0.1</f>
        <v>7.2</v>
      </c>
      <c r="I596" s="851">
        <f t="shared" ref="I596:I627" si="223">IF(E596&gt;0,$J$5,"")</f>
        <v>1</v>
      </c>
      <c r="J596" s="852">
        <f t="shared" ref="J596:J644" si="224">IFERROR(G596*H596*I596,"")</f>
        <v>492.63157894736844</v>
      </c>
      <c r="K596" s="667"/>
      <c r="L596" s="858">
        <v>1</v>
      </c>
      <c r="M596" s="859"/>
      <c r="N596" s="859"/>
      <c r="O596" s="859"/>
      <c r="P596" s="859"/>
      <c r="Q596" s="859"/>
      <c r="R596" s="859"/>
      <c r="S596" s="859"/>
      <c r="T596" s="859"/>
      <c r="U596" s="859"/>
      <c r="V596" s="859"/>
      <c r="W596" s="859"/>
      <c r="X596" s="859"/>
      <c r="Y596" s="859"/>
      <c r="Z596" s="860"/>
      <c r="AA596" s="860"/>
      <c r="AB596" s="860"/>
      <c r="AC596" s="860"/>
      <c r="AD596" s="860"/>
      <c r="AE596" s="860"/>
      <c r="AF596" s="860"/>
      <c r="AG596" s="860"/>
      <c r="AH596" s="860"/>
      <c r="AI596" s="860"/>
      <c r="AJ596" s="860"/>
      <c r="AK596" s="860"/>
      <c r="AL596" s="860"/>
      <c r="AM596" s="860"/>
      <c r="AN596" s="860"/>
      <c r="AO596" s="860"/>
      <c r="AP596" s="860"/>
      <c r="AQ596" s="860"/>
      <c r="AR596" s="860"/>
      <c r="AS596" s="860"/>
      <c r="AT596" s="860"/>
      <c r="AU596" s="860"/>
      <c r="AV596" s="860"/>
      <c r="AW596" s="860"/>
      <c r="AX596" s="860"/>
      <c r="AY596" s="860"/>
      <c r="AZ596" s="860"/>
      <c r="BA596" s="860"/>
      <c r="BB596" s="860"/>
      <c r="BC596" s="860"/>
      <c r="BD596" s="860"/>
      <c r="BE596" s="860"/>
      <c r="BF596" s="860"/>
      <c r="BG596" s="860"/>
      <c r="BH596" s="668"/>
      <c r="BI596" s="667"/>
      <c r="BJ596" s="690">
        <f t="shared" ref="BJ596:BJ627" si="225">IFERROR(BK596/J596,0)</f>
        <v>0</v>
      </c>
      <c r="BK596" s="691">
        <f t="shared" ref="BK596:BK627" si="226">SUM(BM596:DH596)</f>
        <v>0</v>
      </c>
      <c r="BL596" s="654"/>
      <c r="BM596" s="692">
        <f>SUMIFS(Imput[[Importe Neto]:[Importe Neto]],Imput[[C. Imp.]:[C. Imp.]],$D596,Imput[[PERIODO Imp.]:[PERIODO Imp.]],BM$9)</f>
        <v>0</v>
      </c>
      <c r="BN596" s="693">
        <f>SUMIFS(Imput[[Importe Neto]:[Importe Neto]],Imput[[C. Imp.]:[C. Imp.]],$D596,Imput[[PERIODO Imp.]:[PERIODO Imp.]],BN$9)</f>
        <v>0</v>
      </c>
      <c r="BO596" s="693">
        <f>SUMIFS(Imput[[Importe Neto]:[Importe Neto]],Imput[[C. Imp.]:[C. Imp.]],$D596,Imput[[PERIODO Imp.]:[PERIODO Imp.]],BO$9)</f>
        <v>0</v>
      </c>
      <c r="BP596" s="693">
        <f>SUMIFS(Imput[[Importe Neto]:[Importe Neto]],Imput[[C. Imp.]:[C. Imp.]],$D596,Imput[[PERIODO Imp.]:[PERIODO Imp.]],BP$9)</f>
        <v>0</v>
      </c>
      <c r="BQ596" s="693">
        <f>SUMIFS(Imput[[Importe Neto]:[Importe Neto]],Imput[[C. Imp.]:[C. Imp.]],$D596,Imput[[PERIODO Imp.]:[PERIODO Imp.]],BQ$9)</f>
        <v>0</v>
      </c>
      <c r="BR596" s="693">
        <f>SUMIFS(Imput[[Importe Neto]:[Importe Neto]],Imput[[C. Imp.]:[C. Imp.]],$D596,Imput[[PERIODO Imp.]:[PERIODO Imp.]],BR$9)</f>
        <v>0</v>
      </c>
      <c r="BS596" s="693">
        <f>SUMIFS(Imput[[Importe Neto]:[Importe Neto]],Imput[[C. Imp.]:[C. Imp.]],$D596,Imput[[PERIODO Imp.]:[PERIODO Imp.]],BS$9)</f>
        <v>0</v>
      </c>
      <c r="BT596" s="693">
        <f>SUMIFS(Imput[[Importe Neto]:[Importe Neto]],Imput[[C. Imp.]:[C. Imp.]],$D596,Imput[[PERIODO Imp.]:[PERIODO Imp.]],BT$9)</f>
        <v>0</v>
      </c>
      <c r="BU596" s="693">
        <f>SUMIFS(Imput[[Importe Neto]:[Importe Neto]],Imput[[C. Imp.]:[C. Imp.]],$D596,Imput[[PERIODO Imp.]:[PERIODO Imp.]],BU$9)</f>
        <v>0</v>
      </c>
      <c r="BV596" s="693">
        <f>SUMIFS(Imput[[Importe Neto]:[Importe Neto]],Imput[[C. Imp.]:[C. Imp.]],$D596,Imput[[PERIODO Imp.]:[PERIODO Imp.]],BV$9)</f>
        <v>0</v>
      </c>
      <c r="BW596" s="693">
        <f>SUMIFS(Imput[[Importe Neto]:[Importe Neto]],Imput[[C. Imp.]:[C. Imp.]],$D596,Imput[[PERIODO Imp.]:[PERIODO Imp.]],BW$9)</f>
        <v>0</v>
      </c>
      <c r="BX596" s="693">
        <f>SUMIFS(Imput[[Importe Neto]:[Importe Neto]],Imput[[C. Imp.]:[C. Imp.]],$D596,Imput[[PERIODO Imp.]:[PERIODO Imp.]],BX$9)</f>
        <v>0</v>
      </c>
      <c r="BY596" s="693">
        <f>SUMIFS(Imput[[Importe Neto]:[Importe Neto]],Imput[[C. Imp.]:[C. Imp.]],$D596,Imput[[PERIODO Imp.]:[PERIODO Imp.]],BY$9)</f>
        <v>0</v>
      </c>
      <c r="BZ596" s="693">
        <f>SUMIFS(Imput[[Importe Neto]:[Importe Neto]],Imput[[C. Imp.]:[C. Imp.]],$D596,Imput[[PERIODO Imp.]:[PERIODO Imp.]],BZ$9)</f>
        <v>0</v>
      </c>
      <c r="CA596" s="693">
        <f>SUMIFS(Imput[[Importe Neto]:[Importe Neto]],Imput[[C. Imp.]:[C. Imp.]],$D596,Imput[[PERIODO Imp.]:[PERIODO Imp.]],CA$9)</f>
        <v>0</v>
      </c>
      <c r="CB596" s="693">
        <f>SUMIFS(Imput[[Importe Neto]:[Importe Neto]],Imput[[C. Imp.]:[C. Imp.]],$D596,Imput[[PERIODO Imp.]:[PERIODO Imp.]],CB$9)</f>
        <v>0</v>
      </c>
      <c r="CC596" s="693">
        <f>SUMIFS(Imput[[Importe Neto]:[Importe Neto]],Imput[[C. Imp.]:[C. Imp.]],$D596,Imput[[PERIODO Imp.]:[PERIODO Imp.]],CC$9)</f>
        <v>0</v>
      </c>
      <c r="CD596" s="693">
        <f>SUMIFS(Imput[[Importe Neto]:[Importe Neto]],Imput[[C. Imp.]:[C. Imp.]],$D596,Imput[[PERIODO Imp.]:[PERIODO Imp.]],CD$9)</f>
        <v>0</v>
      </c>
      <c r="CE596" s="693">
        <f>SUMIFS(Imput[[Importe Neto]:[Importe Neto]],Imput[[C. Imp.]:[C. Imp.]],$D596,Imput[[PERIODO Imp.]:[PERIODO Imp.]],CE$9)</f>
        <v>0</v>
      </c>
      <c r="CF596" s="693">
        <f>SUMIFS(Imput[[Importe Neto]:[Importe Neto]],Imput[[C. Imp.]:[C. Imp.]],$D596,Imput[[PERIODO Imp.]:[PERIODO Imp.]],CF$9)</f>
        <v>0</v>
      </c>
      <c r="CG596" s="693">
        <f>SUMIFS(Imput[[Importe Neto]:[Importe Neto]],Imput[[C. Imp.]:[C. Imp.]],$D596,Imput[[PERIODO Imp.]:[PERIODO Imp.]],CG$9)</f>
        <v>0</v>
      </c>
      <c r="CH596" s="693">
        <f>SUMIFS(Imput[[Importe Neto]:[Importe Neto]],Imput[[C. Imp.]:[C. Imp.]],$D596,Imput[[PERIODO Imp.]:[PERIODO Imp.]],CH$9)</f>
        <v>0</v>
      </c>
      <c r="CI596" s="693">
        <f>SUMIFS(Imput[[Importe Neto]:[Importe Neto]],Imput[[C. Imp.]:[C. Imp.]],$D596,Imput[[PERIODO Imp.]:[PERIODO Imp.]],CI$9)</f>
        <v>0</v>
      </c>
      <c r="CJ596" s="693">
        <f>SUMIFS(Imput[[Importe Neto]:[Importe Neto]],Imput[[C. Imp.]:[C. Imp.]],$D596,Imput[[PERIODO Imp.]:[PERIODO Imp.]],CJ$9)</f>
        <v>0</v>
      </c>
      <c r="CK596" s="693">
        <f>SUMIFS(Imput[[Importe Neto]:[Importe Neto]],Imput[[C. Imp.]:[C. Imp.]],$D596,Imput[[PERIODO Imp.]:[PERIODO Imp.]],CK$9)</f>
        <v>0</v>
      </c>
      <c r="CL596" s="693">
        <f>SUMIFS(Imput[[Importe Neto]:[Importe Neto]],Imput[[C. Imp.]:[C. Imp.]],$D596,Imput[[PERIODO Imp.]:[PERIODO Imp.]],CL$9)</f>
        <v>0</v>
      </c>
      <c r="CM596" s="693">
        <f>SUMIFS(Imput[[Importe Neto]:[Importe Neto]],Imput[[C. Imp.]:[C. Imp.]],$D596,Imput[[PERIODO Imp.]:[PERIODO Imp.]],CM$9)</f>
        <v>0</v>
      </c>
      <c r="CN596" s="693">
        <f>SUMIFS(Imput[[Importe Neto]:[Importe Neto]],Imput[[C. Imp.]:[C. Imp.]],$D596,Imput[[PERIODO Imp.]:[PERIODO Imp.]],CN$9)</f>
        <v>0</v>
      </c>
      <c r="CO596" s="693">
        <f>SUMIFS(Imput[[Importe Neto]:[Importe Neto]],Imput[[C. Imp.]:[C. Imp.]],$D596,Imput[[PERIODO Imp.]:[PERIODO Imp.]],CO$9)</f>
        <v>0</v>
      </c>
      <c r="CP596" s="693">
        <f>SUMIFS(Imput[[Importe Neto]:[Importe Neto]],Imput[[C. Imp.]:[C. Imp.]],$D596,Imput[[PERIODO Imp.]:[PERIODO Imp.]],CP$9)</f>
        <v>0</v>
      </c>
      <c r="CQ596" s="693">
        <f>SUMIFS(Imput[[Importe Neto]:[Importe Neto]],Imput[[C. Imp.]:[C. Imp.]],$D596,Imput[[PERIODO Imp.]:[PERIODO Imp.]],CQ$9)</f>
        <v>0</v>
      </c>
      <c r="CR596" s="693">
        <f>SUMIFS(Imput[[Importe Neto]:[Importe Neto]],Imput[[C. Imp.]:[C. Imp.]],$D596,Imput[[PERIODO Imp.]:[PERIODO Imp.]],CR$9)</f>
        <v>0</v>
      </c>
      <c r="CS596" s="693">
        <f>SUMIFS(Imput[[Importe Neto]:[Importe Neto]],Imput[[C. Imp.]:[C. Imp.]],$D596,Imput[[PERIODO Imp.]:[PERIODO Imp.]],CS$9)</f>
        <v>0</v>
      </c>
      <c r="CT596" s="693">
        <f>SUMIFS(Imput[[Importe Neto]:[Importe Neto]],Imput[[C. Imp.]:[C. Imp.]],$D596,Imput[[PERIODO Imp.]:[PERIODO Imp.]],CT$9)</f>
        <v>0</v>
      </c>
      <c r="CU596" s="693">
        <f>SUMIFS(Imput[[Importe Neto]:[Importe Neto]],Imput[[C. Imp.]:[C. Imp.]],$D596,Imput[[PERIODO Imp.]:[PERIODO Imp.]],CU$9)</f>
        <v>0</v>
      </c>
      <c r="CV596" s="693">
        <f>SUMIFS(Imput[[Importe Neto]:[Importe Neto]],Imput[[C. Imp.]:[C. Imp.]],$D596,Imput[[PERIODO Imp.]:[PERIODO Imp.]],CV$9)</f>
        <v>0</v>
      </c>
      <c r="CW596" s="693">
        <f>SUMIFS(Imput[[Importe Neto]:[Importe Neto]],Imput[[C. Imp.]:[C. Imp.]],$D596,Imput[[PERIODO Imp.]:[PERIODO Imp.]],CW$9)</f>
        <v>0</v>
      </c>
      <c r="CX596" s="693">
        <f>SUMIFS(Imput[[Importe Neto]:[Importe Neto]],Imput[[C. Imp.]:[C. Imp.]],$D596,Imput[[PERIODO Imp.]:[PERIODO Imp.]],CX$9)</f>
        <v>0</v>
      </c>
      <c r="CY596" s="693">
        <f>SUMIFS(Imput[[Importe Neto]:[Importe Neto]],Imput[[C. Imp.]:[C. Imp.]],$D596,Imput[[PERIODO Imp.]:[PERIODO Imp.]],CY$9)</f>
        <v>0</v>
      </c>
      <c r="CZ596" s="693">
        <f>SUMIFS(Imput[[Importe Neto]:[Importe Neto]],Imput[[C. Imp.]:[C. Imp.]],$D596,Imput[[PERIODO Imp.]:[PERIODO Imp.]],CZ$9)</f>
        <v>0</v>
      </c>
      <c r="DA596" s="693">
        <f>SUMIFS(Imput[[Importe Neto]:[Importe Neto]],Imput[[C. Imp.]:[C. Imp.]],$D596,Imput[[PERIODO Imp.]:[PERIODO Imp.]],DA$9)</f>
        <v>0</v>
      </c>
      <c r="DB596" s="693">
        <f>SUMIFS(Imput[[Importe Neto]:[Importe Neto]],Imput[[C. Imp.]:[C. Imp.]],$D596,Imput[[PERIODO Imp.]:[PERIODO Imp.]],DB$9)</f>
        <v>0</v>
      </c>
      <c r="DC596" s="693">
        <f>SUMIFS(Imput[[Importe Neto]:[Importe Neto]],Imput[[C. Imp.]:[C. Imp.]],$D596,Imput[[PERIODO Imp.]:[PERIODO Imp.]],DC$9)</f>
        <v>0</v>
      </c>
      <c r="DD596" s="693">
        <f>SUMIFS(Imput[[Importe Neto]:[Importe Neto]],Imput[[C. Imp.]:[C. Imp.]],$D596,Imput[[PERIODO Imp.]:[PERIODO Imp.]],DD$9)</f>
        <v>0</v>
      </c>
      <c r="DE596" s="693">
        <f>SUMIFS(Imput[[Importe Neto]:[Importe Neto]],Imput[[C. Imp.]:[C. Imp.]],$D596,Imput[[PERIODO Imp.]:[PERIODO Imp.]],DE$9)</f>
        <v>0</v>
      </c>
      <c r="DF596" s="693">
        <f>SUMIFS(Imput[[Importe Neto]:[Importe Neto]],Imput[[C. Imp.]:[C. Imp.]],$D596,Imput[[PERIODO Imp.]:[PERIODO Imp.]],DF$9)</f>
        <v>0</v>
      </c>
      <c r="DG596" s="693">
        <f>SUMIFS(Imput[[Importe Neto]:[Importe Neto]],Imput[[C. Imp.]:[C. Imp.]],$D596,Imput[[PERIODO Imp.]:[PERIODO Imp.]],DG$9)</f>
        <v>0</v>
      </c>
      <c r="DH596" s="694">
        <f>SUMIFS(Imput[[Importe Neto]:[Importe Neto]],Imput[[C. Imp.]:[C. Imp.]],$D596,Imput[[PERIODO Imp.]:[PERIODO Imp.]],DH$9)</f>
        <v>0</v>
      </c>
    </row>
    <row r="597" spans="1:112" s="649" customFormat="1" outlineLevel="1" x14ac:dyDescent="0.3">
      <c r="A597" s="652" t="str">
        <f t="shared" si="222"/>
        <v>Imprimir</v>
      </c>
      <c r="B597" s="652"/>
      <c r="C597" s="685"/>
      <c r="D597" s="686" t="s">
        <v>2615</v>
      </c>
      <c r="E597" s="686" t="s">
        <v>489</v>
      </c>
      <c r="F597" s="720"/>
      <c r="G597" s="688">
        <v>115.73684210526316</v>
      </c>
      <c r="H597" s="531">
        <f>Producción!G56*0.09</f>
        <v>6.4799999999999995</v>
      </c>
      <c r="I597" s="851">
        <f t="shared" si="223"/>
        <v>1</v>
      </c>
      <c r="J597" s="850">
        <f t="shared" si="224"/>
        <v>749.97473684210524</v>
      </c>
      <c r="K597" s="667"/>
      <c r="L597" s="858">
        <v>1</v>
      </c>
      <c r="M597" s="859"/>
      <c r="N597" s="859"/>
      <c r="O597" s="859"/>
      <c r="P597" s="859"/>
      <c r="Q597" s="859"/>
      <c r="R597" s="859"/>
      <c r="S597" s="859"/>
      <c r="T597" s="859"/>
      <c r="U597" s="859"/>
      <c r="V597" s="859"/>
      <c r="W597" s="859"/>
      <c r="X597" s="859"/>
      <c r="Y597" s="859"/>
      <c r="Z597" s="860"/>
      <c r="AA597" s="860"/>
      <c r="AB597" s="860"/>
      <c r="AC597" s="860"/>
      <c r="AD597" s="860"/>
      <c r="AE597" s="860"/>
      <c r="AF597" s="860"/>
      <c r="AG597" s="860"/>
      <c r="AH597" s="860"/>
      <c r="AI597" s="860"/>
      <c r="AJ597" s="860"/>
      <c r="AK597" s="860"/>
      <c r="AL597" s="860"/>
      <c r="AM597" s="860"/>
      <c r="AN597" s="860"/>
      <c r="AO597" s="860"/>
      <c r="AP597" s="860"/>
      <c r="AQ597" s="860"/>
      <c r="AR597" s="860"/>
      <c r="AS597" s="860"/>
      <c r="AT597" s="860"/>
      <c r="AU597" s="860"/>
      <c r="AV597" s="860"/>
      <c r="AW597" s="860"/>
      <c r="AX597" s="860"/>
      <c r="AY597" s="860"/>
      <c r="AZ597" s="860"/>
      <c r="BA597" s="860"/>
      <c r="BB597" s="860"/>
      <c r="BC597" s="860"/>
      <c r="BD597" s="860"/>
      <c r="BE597" s="860"/>
      <c r="BF597" s="860"/>
      <c r="BG597" s="860"/>
      <c r="BH597" s="668"/>
      <c r="BI597" s="667"/>
      <c r="BJ597" s="690">
        <f t="shared" si="225"/>
        <v>0</v>
      </c>
      <c r="BK597" s="691">
        <f t="shared" si="226"/>
        <v>0</v>
      </c>
      <c r="BL597" s="654"/>
      <c r="BM597" s="692">
        <f>SUMIFS(Imput[[Importe Neto]:[Importe Neto]],Imput[[C. Imp.]:[C. Imp.]],$D597,Imput[[PERIODO Imp.]:[PERIODO Imp.]],BM$9)</f>
        <v>0</v>
      </c>
      <c r="BN597" s="693">
        <f>SUMIFS(Imput[[Importe Neto]:[Importe Neto]],Imput[[C. Imp.]:[C. Imp.]],$D597,Imput[[PERIODO Imp.]:[PERIODO Imp.]],BN$9)</f>
        <v>0</v>
      </c>
      <c r="BO597" s="693">
        <f>SUMIFS(Imput[[Importe Neto]:[Importe Neto]],Imput[[C. Imp.]:[C. Imp.]],$D597,Imput[[PERIODO Imp.]:[PERIODO Imp.]],BO$9)</f>
        <v>0</v>
      </c>
      <c r="BP597" s="693">
        <f>SUMIFS(Imput[[Importe Neto]:[Importe Neto]],Imput[[C. Imp.]:[C. Imp.]],$D597,Imput[[PERIODO Imp.]:[PERIODO Imp.]],BP$9)</f>
        <v>0</v>
      </c>
      <c r="BQ597" s="693">
        <f>SUMIFS(Imput[[Importe Neto]:[Importe Neto]],Imput[[C. Imp.]:[C. Imp.]],$D597,Imput[[PERIODO Imp.]:[PERIODO Imp.]],BQ$9)</f>
        <v>0</v>
      </c>
      <c r="BR597" s="693">
        <f>SUMIFS(Imput[[Importe Neto]:[Importe Neto]],Imput[[C. Imp.]:[C. Imp.]],$D597,Imput[[PERIODO Imp.]:[PERIODO Imp.]],BR$9)</f>
        <v>0</v>
      </c>
      <c r="BS597" s="693">
        <f>SUMIFS(Imput[[Importe Neto]:[Importe Neto]],Imput[[C. Imp.]:[C. Imp.]],$D597,Imput[[PERIODO Imp.]:[PERIODO Imp.]],BS$9)</f>
        <v>0</v>
      </c>
      <c r="BT597" s="693">
        <f>SUMIFS(Imput[[Importe Neto]:[Importe Neto]],Imput[[C. Imp.]:[C. Imp.]],$D597,Imput[[PERIODO Imp.]:[PERIODO Imp.]],BT$9)</f>
        <v>0</v>
      </c>
      <c r="BU597" s="693">
        <f>SUMIFS(Imput[[Importe Neto]:[Importe Neto]],Imput[[C. Imp.]:[C. Imp.]],$D597,Imput[[PERIODO Imp.]:[PERIODO Imp.]],BU$9)</f>
        <v>0</v>
      </c>
      <c r="BV597" s="693">
        <f>SUMIFS(Imput[[Importe Neto]:[Importe Neto]],Imput[[C. Imp.]:[C. Imp.]],$D597,Imput[[PERIODO Imp.]:[PERIODO Imp.]],BV$9)</f>
        <v>0</v>
      </c>
      <c r="BW597" s="693">
        <f>SUMIFS(Imput[[Importe Neto]:[Importe Neto]],Imput[[C. Imp.]:[C. Imp.]],$D597,Imput[[PERIODO Imp.]:[PERIODO Imp.]],BW$9)</f>
        <v>0</v>
      </c>
      <c r="BX597" s="693">
        <f>SUMIFS(Imput[[Importe Neto]:[Importe Neto]],Imput[[C. Imp.]:[C. Imp.]],$D597,Imput[[PERIODO Imp.]:[PERIODO Imp.]],BX$9)</f>
        <v>0</v>
      </c>
      <c r="BY597" s="693">
        <f>SUMIFS(Imput[[Importe Neto]:[Importe Neto]],Imput[[C. Imp.]:[C. Imp.]],$D597,Imput[[PERIODO Imp.]:[PERIODO Imp.]],BY$9)</f>
        <v>0</v>
      </c>
      <c r="BZ597" s="693">
        <f>SUMIFS(Imput[[Importe Neto]:[Importe Neto]],Imput[[C. Imp.]:[C. Imp.]],$D597,Imput[[PERIODO Imp.]:[PERIODO Imp.]],BZ$9)</f>
        <v>0</v>
      </c>
      <c r="CA597" s="693">
        <f>SUMIFS(Imput[[Importe Neto]:[Importe Neto]],Imput[[C. Imp.]:[C. Imp.]],$D597,Imput[[PERIODO Imp.]:[PERIODO Imp.]],CA$9)</f>
        <v>0</v>
      </c>
      <c r="CB597" s="693">
        <f>SUMIFS(Imput[[Importe Neto]:[Importe Neto]],Imput[[C. Imp.]:[C. Imp.]],$D597,Imput[[PERIODO Imp.]:[PERIODO Imp.]],CB$9)</f>
        <v>0</v>
      </c>
      <c r="CC597" s="693">
        <f>SUMIFS(Imput[[Importe Neto]:[Importe Neto]],Imput[[C. Imp.]:[C. Imp.]],$D597,Imput[[PERIODO Imp.]:[PERIODO Imp.]],CC$9)</f>
        <v>0</v>
      </c>
      <c r="CD597" s="693">
        <f>SUMIFS(Imput[[Importe Neto]:[Importe Neto]],Imput[[C. Imp.]:[C. Imp.]],$D597,Imput[[PERIODO Imp.]:[PERIODO Imp.]],CD$9)</f>
        <v>0</v>
      </c>
      <c r="CE597" s="693">
        <f>SUMIFS(Imput[[Importe Neto]:[Importe Neto]],Imput[[C. Imp.]:[C. Imp.]],$D597,Imput[[PERIODO Imp.]:[PERIODO Imp.]],CE$9)</f>
        <v>0</v>
      </c>
      <c r="CF597" s="693">
        <f>SUMIFS(Imput[[Importe Neto]:[Importe Neto]],Imput[[C. Imp.]:[C. Imp.]],$D597,Imput[[PERIODO Imp.]:[PERIODO Imp.]],CF$9)</f>
        <v>0</v>
      </c>
      <c r="CG597" s="693">
        <f>SUMIFS(Imput[[Importe Neto]:[Importe Neto]],Imput[[C. Imp.]:[C. Imp.]],$D597,Imput[[PERIODO Imp.]:[PERIODO Imp.]],CG$9)</f>
        <v>0</v>
      </c>
      <c r="CH597" s="693">
        <f>SUMIFS(Imput[[Importe Neto]:[Importe Neto]],Imput[[C. Imp.]:[C. Imp.]],$D597,Imput[[PERIODO Imp.]:[PERIODO Imp.]],CH$9)</f>
        <v>0</v>
      </c>
      <c r="CI597" s="693">
        <f>SUMIFS(Imput[[Importe Neto]:[Importe Neto]],Imput[[C. Imp.]:[C. Imp.]],$D597,Imput[[PERIODO Imp.]:[PERIODO Imp.]],CI$9)</f>
        <v>0</v>
      </c>
      <c r="CJ597" s="693">
        <f>SUMIFS(Imput[[Importe Neto]:[Importe Neto]],Imput[[C. Imp.]:[C. Imp.]],$D597,Imput[[PERIODO Imp.]:[PERIODO Imp.]],CJ$9)</f>
        <v>0</v>
      </c>
      <c r="CK597" s="693">
        <f>SUMIFS(Imput[[Importe Neto]:[Importe Neto]],Imput[[C. Imp.]:[C. Imp.]],$D597,Imput[[PERIODO Imp.]:[PERIODO Imp.]],CK$9)</f>
        <v>0</v>
      </c>
      <c r="CL597" s="693">
        <f>SUMIFS(Imput[[Importe Neto]:[Importe Neto]],Imput[[C. Imp.]:[C. Imp.]],$D597,Imput[[PERIODO Imp.]:[PERIODO Imp.]],CL$9)</f>
        <v>0</v>
      </c>
      <c r="CM597" s="693">
        <f>SUMIFS(Imput[[Importe Neto]:[Importe Neto]],Imput[[C. Imp.]:[C. Imp.]],$D597,Imput[[PERIODO Imp.]:[PERIODO Imp.]],CM$9)</f>
        <v>0</v>
      </c>
      <c r="CN597" s="693">
        <f>SUMIFS(Imput[[Importe Neto]:[Importe Neto]],Imput[[C. Imp.]:[C. Imp.]],$D597,Imput[[PERIODO Imp.]:[PERIODO Imp.]],CN$9)</f>
        <v>0</v>
      </c>
      <c r="CO597" s="693">
        <f>SUMIFS(Imput[[Importe Neto]:[Importe Neto]],Imput[[C. Imp.]:[C. Imp.]],$D597,Imput[[PERIODO Imp.]:[PERIODO Imp.]],CO$9)</f>
        <v>0</v>
      </c>
      <c r="CP597" s="693">
        <f>SUMIFS(Imput[[Importe Neto]:[Importe Neto]],Imput[[C. Imp.]:[C. Imp.]],$D597,Imput[[PERIODO Imp.]:[PERIODO Imp.]],CP$9)</f>
        <v>0</v>
      </c>
      <c r="CQ597" s="693">
        <f>SUMIFS(Imput[[Importe Neto]:[Importe Neto]],Imput[[C. Imp.]:[C. Imp.]],$D597,Imput[[PERIODO Imp.]:[PERIODO Imp.]],CQ$9)</f>
        <v>0</v>
      </c>
      <c r="CR597" s="693">
        <f>SUMIFS(Imput[[Importe Neto]:[Importe Neto]],Imput[[C. Imp.]:[C. Imp.]],$D597,Imput[[PERIODO Imp.]:[PERIODO Imp.]],CR$9)</f>
        <v>0</v>
      </c>
      <c r="CS597" s="693">
        <f>SUMIFS(Imput[[Importe Neto]:[Importe Neto]],Imput[[C. Imp.]:[C. Imp.]],$D597,Imput[[PERIODO Imp.]:[PERIODO Imp.]],CS$9)</f>
        <v>0</v>
      </c>
      <c r="CT597" s="693">
        <f>SUMIFS(Imput[[Importe Neto]:[Importe Neto]],Imput[[C. Imp.]:[C. Imp.]],$D597,Imput[[PERIODO Imp.]:[PERIODO Imp.]],CT$9)</f>
        <v>0</v>
      </c>
      <c r="CU597" s="693">
        <f>SUMIFS(Imput[[Importe Neto]:[Importe Neto]],Imput[[C. Imp.]:[C. Imp.]],$D597,Imput[[PERIODO Imp.]:[PERIODO Imp.]],CU$9)</f>
        <v>0</v>
      </c>
      <c r="CV597" s="693">
        <f>SUMIFS(Imput[[Importe Neto]:[Importe Neto]],Imput[[C. Imp.]:[C. Imp.]],$D597,Imput[[PERIODO Imp.]:[PERIODO Imp.]],CV$9)</f>
        <v>0</v>
      </c>
      <c r="CW597" s="693">
        <f>SUMIFS(Imput[[Importe Neto]:[Importe Neto]],Imput[[C. Imp.]:[C. Imp.]],$D597,Imput[[PERIODO Imp.]:[PERIODO Imp.]],CW$9)</f>
        <v>0</v>
      </c>
      <c r="CX597" s="693">
        <f>SUMIFS(Imput[[Importe Neto]:[Importe Neto]],Imput[[C. Imp.]:[C. Imp.]],$D597,Imput[[PERIODO Imp.]:[PERIODO Imp.]],CX$9)</f>
        <v>0</v>
      </c>
      <c r="CY597" s="693">
        <f>SUMIFS(Imput[[Importe Neto]:[Importe Neto]],Imput[[C. Imp.]:[C. Imp.]],$D597,Imput[[PERIODO Imp.]:[PERIODO Imp.]],CY$9)</f>
        <v>0</v>
      </c>
      <c r="CZ597" s="693">
        <f>SUMIFS(Imput[[Importe Neto]:[Importe Neto]],Imput[[C. Imp.]:[C. Imp.]],$D597,Imput[[PERIODO Imp.]:[PERIODO Imp.]],CZ$9)</f>
        <v>0</v>
      </c>
      <c r="DA597" s="693">
        <f>SUMIFS(Imput[[Importe Neto]:[Importe Neto]],Imput[[C. Imp.]:[C. Imp.]],$D597,Imput[[PERIODO Imp.]:[PERIODO Imp.]],DA$9)</f>
        <v>0</v>
      </c>
      <c r="DB597" s="693">
        <f>SUMIFS(Imput[[Importe Neto]:[Importe Neto]],Imput[[C. Imp.]:[C. Imp.]],$D597,Imput[[PERIODO Imp.]:[PERIODO Imp.]],DB$9)</f>
        <v>0</v>
      </c>
      <c r="DC597" s="693">
        <f>SUMIFS(Imput[[Importe Neto]:[Importe Neto]],Imput[[C. Imp.]:[C. Imp.]],$D597,Imput[[PERIODO Imp.]:[PERIODO Imp.]],DC$9)</f>
        <v>0</v>
      </c>
      <c r="DD597" s="693">
        <f>SUMIFS(Imput[[Importe Neto]:[Importe Neto]],Imput[[C. Imp.]:[C. Imp.]],$D597,Imput[[PERIODO Imp.]:[PERIODO Imp.]],DD$9)</f>
        <v>0</v>
      </c>
      <c r="DE597" s="693">
        <f>SUMIFS(Imput[[Importe Neto]:[Importe Neto]],Imput[[C. Imp.]:[C. Imp.]],$D597,Imput[[PERIODO Imp.]:[PERIODO Imp.]],DE$9)</f>
        <v>0</v>
      </c>
      <c r="DF597" s="693">
        <f>SUMIFS(Imput[[Importe Neto]:[Importe Neto]],Imput[[C. Imp.]:[C. Imp.]],$D597,Imput[[PERIODO Imp.]:[PERIODO Imp.]],DF$9)</f>
        <v>0</v>
      </c>
      <c r="DG597" s="693">
        <f>SUMIFS(Imput[[Importe Neto]:[Importe Neto]],Imput[[C. Imp.]:[C. Imp.]],$D597,Imput[[PERIODO Imp.]:[PERIODO Imp.]],DG$9)</f>
        <v>0</v>
      </c>
      <c r="DH597" s="694">
        <f>SUMIFS(Imput[[Importe Neto]:[Importe Neto]],Imput[[C. Imp.]:[C. Imp.]],$D597,Imput[[PERIODO Imp.]:[PERIODO Imp.]],DH$9)</f>
        <v>0</v>
      </c>
    </row>
    <row r="598" spans="1:112" s="649" customFormat="1" outlineLevel="1" x14ac:dyDescent="0.3">
      <c r="A598" s="652" t="str">
        <f t="shared" si="222"/>
        <v>Imprimir</v>
      </c>
      <c r="B598" s="652"/>
      <c r="C598" s="685"/>
      <c r="D598" s="686" t="s">
        <v>2616</v>
      </c>
      <c r="E598" s="686" t="s">
        <v>490</v>
      </c>
      <c r="F598" s="720"/>
      <c r="G598" s="688">
        <v>50</v>
      </c>
      <c r="H598" s="531">
        <f>Producción!G56*0.812</f>
        <v>58.464000000000006</v>
      </c>
      <c r="I598" s="851">
        <f t="shared" si="223"/>
        <v>1</v>
      </c>
      <c r="J598" s="850">
        <f t="shared" si="224"/>
        <v>2923.2000000000003</v>
      </c>
      <c r="K598" s="667"/>
      <c r="L598" s="858">
        <v>0.1</v>
      </c>
      <c r="M598" s="859"/>
      <c r="N598" s="859"/>
      <c r="O598" s="859">
        <v>0.1</v>
      </c>
      <c r="P598" s="859"/>
      <c r="Q598" s="859"/>
      <c r="R598" s="859"/>
      <c r="S598" s="859">
        <v>0.1</v>
      </c>
      <c r="T598" s="859"/>
      <c r="U598" s="859"/>
      <c r="V598" s="859"/>
      <c r="W598" s="859">
        <v>0.1</v>
      </c>
      <c r="X598" s="859"/>
      <c r="Y598" s="859">
        <v>0.1</v>
      </c>
      <c r="Z598" s="860"/>
      <c r="AA598" s="860">
        <v>0.1</v>
      </c>
      <c r="AB598" s="860"/>
      <c r="AC598" s="860">
        <v>0.1</v>
      </c>
      <c r="AD598" s="860"/>
      <c r="AE598" s="860">
        <v>0.1</v>
      </c>
      <c r="AF598" s="860"/>
      <c r="AG598" s="860">
        <v>0.1</v>
      </c>
      <c r="AH598" s="860"/>
      <c r="AI598" s="860">
        <v>0.1</v>
      </c>
      <c r="AJ598" s="860"/>
      <c r="AK598" s="860"/>
      <c r="AL598" s="860"/>
      <c r="AM598" s="860"/>
      <c r="AN598" s="860"/>
      <c r="AO598" s="860"/>
      <c r="AP598" s="860"/>
      <c r="AQ598" s="860"/>
      <c r="AR598" s="860"/>
      <c r="AS598" s="860"/>
      <c r="AT598" s="860"/>
      <c r="AU598" s="860"/>
      <c r="AV598" s="860"/>
      <c r="AW598" s="860"/>
      <c r="AX598" s="860"/>
      <c r="AY598" s="860"/>
      <c r="AZ598" s="860"/>
      <c r="BA598" s="860"/>
      <c r="BB598" s="860"/>
      <c r="BC598" s="860"/>
      <c r="BD598" s="860"/>
      <c r="BE598" s="860"/>
      <c r="BF598" s="860"/>
      <c r="BG598" s="860"/>
      <c r="BH598" s="668"/>
      <c r="BI598" s="667"/>
      <c r="BJ598" s="690">
        <f t="shared" si="225"/>
        <v>0</v>
      </c>
      <c r="BK598" s="691">
        <f t="shared" si="226"/>
        <v>0</v>
      </c>
      <c r="BL598" s="654"/>
      <c r="BM598" s="692">
        <f>SUMIFS(Imput[[Importe Neto]:[Importe Neto]],Imput[[C. Imp.]:[C. Imp.]],$D598,Imput[[PERIODO Imp.]:[PERIODO Imp.]],BM$9)</f>
        <v>0</v>
      </c>
      <c r="BN598" s="693">
        <f>SUMIFS(Imput[[Importe Neto]:[Importe Neto]],Imput[[C. Imp.]:[C. Imp.]],$D598,Imput[[PERIODO Imp.]:[PERIODO Imp.]],BN$9)</f>
        <v>0</v>
      </c>
      <c r="BO598" s="693">
        <f>SUMIFS(Imput[[Importe Neto]:[Importe Neto]],Imput[[C. Imp.]:[C. Imp.]],$D598,Imput[[PERIODO Imp.]:[PERIODO Imp.]],BO$9)</f>
        <v>0</v>
      </c>
      <c r="BP598" s="693">
        <f>SUMIFS(Imput[[Importe Neto]:[Importe Neto]],Imput[[C. Imp.]:[C. Imp.]],$D598,Imput[[PERIODO Imp.]:[PERIODO Imp.]],BP$9)</f>
        <v>0</v>
      </c>
      <c r="BQ598" s="693">
        <f>SUMIFS(Imput[[Importe Neto]:[Importe Neto]],Imput[[C. Imp.]:[C. Imp.]],$D598,Imput[[PERIODO Imp.]:[PERIODO Imp.]],BQ$9)</f>
        <v>0</v>
      </c>
      <c r="BR598" s="693">
        <f>SUMIFS(Imput[[Importe Neto]:[Importe Neto]],Imput[[C. Imp.]:[C. Imp.]],$D598,Imput[[PERIODO Imp.]:[PERIODO Imp.]],BR$9)</f>
        <v>0</v>
      </c>
      <c r="BS598" s="693">
        <f>SUMIFS(Imput[[Importe Neto]:[Importe Neto]],Imput[[C. Imp.]:[C. Imp.]],$D598,Imput[[PERIODO Imp.]:[PERIODO Imp.]],BS$9)</f>
        <v>0</v>
      </c>
      <c r="BT598" s="693">
        <f>SUMIFS(Imput[[Importe Neto]:[Importe Neto]],Imput[[C. Imp.]:[C. Imp.]],$D598,Imput[[PERIODO Imp.]:[PERIODO Imp.]],BT$9)</f>
        <v>0</v>
      </c>
      <c r="BU598" s="693">
        <f>SUMIFS(Imput[[Importe Neto]:[Importe Neto]],Imput[[C. Imp.]:[C. Imp.]],$D598,Imput[[PERIODO Imp.]:[PERIODO Imp.]],BU$9)</f>
        <v>0</v>
      </c>
      <c r="BV598" s="693">
        <f>SUMIFS(Imput[[Importe Neto]:[Importe Neto]],Imput[[C. Imp.]:[C. Imp.]],$D598,Imput[[PERIODO Imp.]:[PERIODO Imp.]],BV$9)</f>
        <v>0</v>
      </c>
      <c r="BW598" s="693">
        <f>SUMIFS(Imput[[Importe Neto]:[Importe Neto]],Imput[[C. Imp.]:[C. Imp.]],$D598,Imput[[PERIODO Imp.]:[PERIODO Imp.]],BW$9)</f>
        <v>0</v>
      </c>
      <c r="BX598" s="693">
        <f>SUMIFS(Imput[[Importe Neto]:[Importe Neto]],Imput[[C. Imp.]:[C. Imp.]],$D598,Imput[[PERIODO Imp.]:[PERIODO Imp.]],BX$9)</f>
        <v>0</v>
      </c>
      <c r="BY598" s="693">
        <f>SUMIFS(Imput[[Importe Neto]:[Importe Neto]],Imput[[C. Imp.]:[C. Imp.]],$D598,Imput[[PERIODO Imp.]:[PERIODO Imp.]],BY$9)</f>
        <v>0</v>
      </c>
      <c r="BZ598" s="693">
        <f>SUMIFS(Imput[[Importe Neto]:[Importe Neto]],Imput[[C. Imp.]:[C. Imp.]],$D598,Imput[[PERIODO Imp.]:[PERIODO Imp.]],BZ$9)</f>
        <v>0</v>
      </c>
      <c r="CA598" s="693">
        <f>SUMIFS(Imput[[Importe Neto]:[Importe Neto]],Imput[[C. Imp.]:[C. Imp.]],$D598,Imput[[PERIODO Imp.]:[PERIODO Imp.]],CA$9)</f>
        <v>0</v>
      </c>
      <c r="CB598" s="693">
        <f>SUMIFS(Imput[[Importe Neto]:[Importe Neto]],Imput[[C. Imp.]:[C. Imp.]],$D598,Imput[[PERIODO Imp.]:[PERIODO Imp.]],CB$9)</f>
        <v>0</v>
      </c>
      <c r="CC598" s="693">
        <f>SUMIFS(Imput[[Importe Neto]:[Importe Neto]],Imput[[C. Imp.]:[C. Imp.]],$D598,Imput[[PERIODO Imp.]:[PERIODO Imp.]],CC$9)</f>
        <v>0</v>
      </c>
      <c r="CD598" s="693">
        <f>SUMIFS(Imput[[Importe Neto]:[Importe Neto]],Imput[[C. Imp.]:[C. Imp.]],$D598,Imput[[PERIODO Imp.]:[PERIODO Imp.]],CD$9)</f>
        <v>0</v>
      </c>
      <c r="CE598" s="693">
        <f>SUMIFS(Imput[[Importe Neto]:[Importe Neto]],Imput[[C. Imp.]:[C. Imp.]],$D598,Imput[[PERIODO Imp.]:[PERIODO Imp.]],CE$9)</f>
        <v>0</v>
      </c>
      <c r="CF598" s="693">
        <f>SUMIFS(Imput[[Importe Neto]:[Importe Neto]],Imput[[C. Imp.]:[C. Imp.]],$D598,Imput[[PERIODO Imp.]:[PERIODO Imp.]],CF$9)</f>
        <v>0</v>
      </c>
      <c r="CG598" s="693">
        <f>SUMIFS(Imput[[Importe Neto]:[Importe Neto]],Imput[[C. Imp.]:[C. Imp.]],$D598,Imput[[PERIODO Imp.]:[PERIODO Imp.]],CG$9)</f>
        <v>0</v>
      </c>
      <c r="CH598" s="693">
        <f>SUMIFS(Imput[[Importe Neto]:[Importe Neto]],Imput[[C. Imp.]:[C. Imp.]],$D598,Imput[[PERIODO Imp.]:[PERIODO Imp.]],CH$9)</f>
        <v>0</v>
      </c>
      <c r="CI598" s="693">
        <f>SUMIFS(Imput[[Importe Neto]:[Importe Neto]],Imput[[C. Imp.]:[C. Imp.]],$D598,Imput[[PERIODO Imp.]:[PERIODO Imp.]],CI$9)</f>
        <v>0</v>
      </c>
      <c r="CJ598" s="693">
        <f>SUMIFS(Imput[[Importe Neto]:[Importe Neto]],Imput[[C. Imp.]:[C. Imp.]],$D598,Imput[[PERIODO Imp.]:[PERIODO Imp.]],CJ$9)</f>
        <v>0</v>
      </c>
      <c r="CK598" s="693">
        <f>SUMIFS(Imput[[Importe Neto]:[Importe Neto]],Imput[[C. Imp.]:[C. Imp.]],$D598,Imput[[PERIODO Imp.]:[PERIODO Imp.]],CK$9)</f>
        <v>0</v>
      </c>
      <c r="CL598" s="693">
        <f>SUMIFS(Imput[[Importe Neto]:[Importe Neto]],Imput[[C. Imp.]:[C. Imp.]],$D598,Imput[[PERIODO Imp.]:[PERIODO Imp.]],CL$9)</f>
        <v>0</v>
      </c>
      <c r="CM598" s="693">
        <f>SUMIFS(Imput[[Importe Neto]:[Importe Neto]],Imput[[C. Imp.]:[C. Imp.]],$D598,Imput[[PERIODO Imp.]:[PERIODO Imp.]],CM$9)</f>
        <v>0</v>
      </c>
      <c r="CN598" s="693">
        <f>SUMIFS(Imput[[Importe Neto]:[Importe Neto]],Imput[[C. Imp.]:[C. Imp.]],$D598,Imput[[PERIODO Imp.]:[PERIODO Imp.]],CN$9)</f>
        <v>0</v>
      </c>
      <c r="CO598" s="693">
        <f>SUMIFS(Imput[[Importe Neto]:[Importe Neto]],Imput[[C. Imp.]:[C. Imp.]],$D598,Imput[[PERIODO Imp.]:[PERIODO Imp.]],CO$9)</f>
        <v>0</v>
      </c>
      <c r="CP598" s="693">
        <f>SUMIFS(Imput[[Importe Neto]:[Importe Neto]],Imput[[C. Imp.]:[C. Imp.]],$D598,Imput[[PERIODO Imp.]:[PERIODO Imp.]],CP$9)</f>
        <v>0</v>
      </c>
      <c r="CQ598" s="693">
        <f>SUMIFS(Imput[[Importe Neto]:[Importe Neto]],Imput[[C. Imp.]:[C. Imp.]],$D598,Imput[[PERIODO Imp.]:[PERIODO Imp.]],CQ$9)</f>
        <v>0</v>
      </c>
      <c r="CR598" s="693">
        <f>SUMIFS(Imput[[Importe Neto]:[Importe Neto]],Imput[[C. Imp.]:[C. Imp.]],$D598,Imput[[PERIODO Imp.]:[PERIODO Imp.]],CR$9)</f>
        <v>0</v>
      </c>
      <c r="CS598" s="693">
        <f>SUMIFS(Imput[[Importe Neto]:[Importe Neto]],Imput[[C. Imp.]:[C. Imp.]],$D598,Imput[[PERIODO Imp.]:[PERIODO Imp.]],CS$9)</f>
        <v>0</v>
      </c>
      <c r="CT598" s="693">
        <f>SUMIFS(Imput[[Importe Neto]:[Importe Neto]],Imput[[C. Imp.]:[C. Imp.]],$D598,Imput[[PERIODO Imp.]:[PERIODO Imp.]],CT$9)</f>
        <v>0</v>
      </c>
      <c r="CU598" s="693">
        <f>SUMIFS(Imput[[Importe Neto]:[Importe Neto]],Imput[[C. Imp.]:[C. Imp.]],$D598,Imput[[PERIODO Imp.]:[PERIODO Imp.]],CU$9)</f>
        <v>0</v>
      </c>
      <c r="CV598" s="693">
        <f>SUMIFS(Imput[[Importe Neto]:[Importe Neto]],Imput[[C. Imp.]:[C. Imp.]],$D598,Imput[[PERIODO Imp.]:[PERIODO Imp.]],CV$9)</f>
        <v>0</v>
      </c>
      <c r="CW598" s="693">
        <f>SUMIFS(Imput[[Importe Neto]:[Importe Neto]],Imput[[C. Imp.]:[C. Imp.]],$D598,Imput[[PERIODO Imp.]:[PERIODO Imp.]],CW$9)</f>
        <v>0</v>
      </c>
      <c r="CX598" s="693">
        <f>SUMIFS(Imput[[Importe Neto]:[Importe Neto]],Imput[[C. Imp.]:[C. Imp.]],$D598,Imput[[PERIODO Imp.]:[PERIODO Imp.]],CX$9)</f>
        <v>0</v>
      </c>
      <c r="CY598" s="693">
        <f>SUMIFS(Imput[[Importe Neto]:[Importe Neto]],Imput[[C. Imp.]:[C. Imp.]],$D598,Imput[[PERIODO Imp.]:[PERIODO Imp.]],CY$9)</f>
        <v>0</v>
      </c>
      <c r="CZ598" s="693">
        <f>SUMIFS(Imput[[Importe Neto]:[Importe Neto]],Imput[[C. Imp.]:[C. Imp.]],$D598,Imput[[PERIODO Imp.]:[PERIODO Imp.]],CZ$9)</f>
        <v>0</v>
      </c>
      <c r="DA598" s="693">
        <f>SUMIFS(Imput[[Importe Neto]:[Importe Neto]],Imput[[C. Imp.]:[C. Imp.]],$D598,Imput[[PERIODO Imp.]:[PERIODO Imp.]],DA$9)</f>
        <v>0</v>
      </c>
      <c r="DB598" s="693">
        <f>SUMIFS(Imput[[Importe Neto]:[Importe Neto]],Imput[[C. Imp.]:[C. Imp.]],$D598,Imput[[PERIODO Imp.]:[PERIODO Imp.]],DB$9)</f>
        <v>0</v>
      </c>
      <c r="DC598" s="693">
        <f>SUMIFS(Imput[[Importe Neto]:[Importe Neto]],Imput[[C. Imp.]:[C. Imp.]],$D598,Imput[[PERIODO Imp.]:[PERIODO Imp.]],DC$9)</f>
        <v>0</v>
      </c>
      <c r="DD598" s="693">
        <f>SUMIFS(Imput[[Importe Neto]:[Importe Neto]],Imput[[C. Imp.]:[C. Imp.]],$D598,Imput[[PERIODO Imp.]:[PERIODO Imp.]],DD$9)</f>
        <v>0</v>
      </c>
      <c r="DE598" s="693">
        <f>SUMIFS(Imput[[Importe Neto]:[Importe Neto]],Imput[[C. Imp.]:[C. Imp.]],$D598,Imput[[PERIODO Imp.]:[PERIODO Imp.]],DE$9)</f>
        <v>0</v>
      </c>
      <c r="DF598" s="693">
        <f>SUMIFS(Imput[[Importe Neto]:[Importe Neto]],Imput[[C. Imp.]:[C. Imp.]],$D598,Imput[[PERIODO Imp.]:[PERIODO Imp.]],DF$9)</f>
        <v>0</v>
      </c>
      <c r="DG598" s="693">
        <f>SUMIFS(Imput[[Importe Neto]:[Importe Neto]],Imput[[C. Imp.]:[C. Imp.]],$D598,Imput[[PERIODO Imp.]:[PERIODO Imp.]],DG$9)</f>
        <v>0</v>
      </c>
      <c r="DH598" s="694">
        <f>SUMIFS(Imput[[Importe Neto]:[Importe Neto]],Imput[[C. Imp.]:[C. Imp.]],$D598,Imput[[PERIODO Imp.]:[PERIODO Imp.]],DH$9)</f>
        <v>0</v>
      </c>
    </row>
    <row r="599" spans="1:112" s="649" customFormat="1" outlineLevel="1" x14ac:dyDescent="0.3">
      <c r="A599" s="652" t="str">
        <f t="shared" si="222"/>
        <v>Imprimir</v>
      </c>
      <c r="B599" s="652"/>
      <c r="C599" s="685"/>
      <c r="D599" s="686" t="s">
        <v>2617</v>
      </c>
      <c r="E599" s="686" t="s">
        <v>491</v>
      </c>
      <c r="F599" s="720"/>
      <c r="G599" s="688">
        <v>24</v>
      </c>
      <c r="H599" s="531">
        <f>Producción!G56*4.0215</f>
        <v>289.548</v>
      </c>
      <c r="I599" s="851">
        <f t="shared" si="223"/>
        <v>1</v>
      </c>
      <c r="J599" s="850">
        <f t="shared" si="224"/>
        <v>6949.152</v>
      </c>
      <c r="K599" s="667"/>
      <c r="L599" s="858">
        <v>0.3</v>
      </c>
      <c r="M599" s="859"/>
      <c r="N599" s="859"/>
      <c r="O599" s="859"/>
      <c r="P599" s="859">
        <v>0.5</v>
      </c>
      <c r="Q599" s="859"/>
      <c r="R599" s="859"/>
      <c r="S599" s="859"/>
      <c r="T599" s="859"/>
      <c r="U599" s="859"/>
      <c r="V599" s="859"/>
      <c r="W599" s="859">
        <v>0.2</v>
      </c>
      <c r="X599" s="859"/>
      <c r="Y599" s="859"/>
      <c r="Z599" s="860"/>
      <c r="AA599" s="860"/>
      <c r="AB599" s="860"/>
      <c r="AC599" s="860"/>
      <c r="AD599" s="860"/>
      <c r="AE599" s="860"/>
      <c r="AF599" s="860"/>
      <c r="AG599" s="860"/>
      <c r="AH599" s="860"/>
      <c r="AI599" s="860"/>
      <c r="AJ599" s="860"/>
      <c r="AK599" s="860"/>
      <c r="AL599" s="860"/>
      <c r="AM599" s="860"/>
      <c r="AN599" s="860"/>
      <c r="AO599" s="860"/>
      <c r="AP599" s="860"/>
      <c r="AQ599" s="860"/>
      <c r="AR599" s="860"/>
      <c r="AS599" s="860"/>
      <c r="AT599" s="860"/>
      <c r="AU599" s="860"/>
      <c r="AV599" s="860"/>
      <c r="AW599" s="860"/>
      <c r="AX599" s="860"/>
      <c r="AY599" s="860"/>
      <c r="AZ599" s="860"/>
      <c r="BA599" s="860"/>
      <c r="BB599" s="860"/>
      <c r="BC599" s="860"/>
      <c r="BD599" s="860"/>
      <c r="BE599" s="860"/>
      <c r="BF599" s="860"/>
      <c r="BG599" s="860"/>
      <c r="BH599" s="668"/>
      <c r="BI599" s="667"/>
      <c r="BJ599" s="690">
        <f t="shared" si="225"/>
        <v>0</v>
      </c>
      <c r="BK599" s="691">
        <f t="shared" si="226"/>
        <v>0</v>
      </c>
      <c r="BL599" s="654"/>
      <c r="BM599" s="692">
        <f>SUMIFS(Imput[[Importe Neto]:[Importe Neto]],Imput[[C. Imp.]:[C. Imp.]],$D599,Imput[[PERIODO Imp.]:[PERIODO Imp.]],BM$9)</f>
        <v>0</v>
      </c>
      <c r="BN599" s="693">
        <f>SUMIFS(Imput[[Importe Neto]:[Importe Neto]],Imput[[C. Imp.]:[C. Imp.]],$D599,Imput[[PERIODO Imp.]:[PERIODO Imp.]],BN$9)</f>
        <v>0</v>
      </c>
      <c r="BO599" s="693">
        <f>SUMIFS(Imput[[Importe Neto]:[Importe Neto]],Imput[[C. Imp.]:[C. Imp.]],$D599,Imput[[PERIODO Imp.]:[PERIODO Imp.]],BO$9)</f>
        <v>0</v>
      </c>
      <c r="BP599" s="693">
        <f>SUMIFS(Imput[[Importe Neto]:[Importe Neto]],Imput[[C. Imp.]:[C. Imp.]],$D599,Imput[[PERIODO Imp.]:[PERIODO Imp.]],BP$9)</f>
        <v>0</v>
      </c>
      <c r="BQ599" s="693">
        <f>SUMIFS(Imput[[Importe Neto]:[Importe Neto]],Imput[[C. Imp.]:[C. Imp.]],$D599,Imput[[PERIODO Imp.]:[PERIODO Imp.]],BQ$9)</f>
        <v>0</v>
      </c>
      <c r="BR599" s="693">
        <f>SUMIFS(Imput[[Importe Neto]:[Importe Neto]],Imput[[C. Imp.]:[C. Imp.]],$D599,Imput[[PERIODO Imp.]:[PERIODO Imp.]],BR$9)</f>
        <v>0</v>
      </c>
      <c r="BS599" s="693">
        <f>SUMIFS(Imput[[Importe Neto]:[Importe Neto]],Imput[[C. Imp.]:[C. Imp.]],$D599,Imput[[PERIODO Imp.]:[PERIODO Imp.]],BS$9)</f>
        <v>0</v>
      </c>
      <c r="BT599" s="693">
        <f>SUMIFS(Imput[[Importe Neto]:[Importe Neto]],Imput[[C. Imp.]:[C. Imp.]],$D599,Imput[[PERIODO Imp.]:[PERIODO Imp.]],BT$9)</f>
        <v>0</v>
      </c>
      <c r="BU599" s="693">
        <f>SUMIFS(Imput[[Importe Neto]:[Importe Neto]],Imput[[C. Imp.]:[C. Imp.]],$D599,Imput[[PERIODO Imp.]:[PERIODO Imp.]],BU$9)</f>
        <v>0</v>
      </c>
      <c r="BV599" s="693">
        <f>SUMIFS(Imput[[Importe Neto]:[Importe Neto]],Imput[[C. Imp.]:[C. Imp.]],$D599,Imput[[PERIODO Imp.]:[PERIODO Imp.]],BV$9)</f>
        <v>0</v>
      </c>
      <c r="BW599" s="693">
        <f>SUMIFS(Imput[[Importe Neto]:[Importe Neto]],Imput[[C. Imp.]:[C. Imp.]],$D599,Imput[[PERIODO Imp.]:[PERIODO Imp.]],BW$9)</f>
        <v>0</v>
      </c>
      <c r="BX599" s="693">
        <f>SUMIFS(Imput[[Importe Neto]:[Importe Neto]],Imput[[C. Imp.]:[C. Imp.]],$D599,Imput[[PERIODO Imp.]:[PERIODO Imp.]],BX$9)</f>
        <v>0</v>
      </c>
      <c r="BY599" s="693">
        <f>SUMIFS(Imput[[Importe Neto]:[Importe Neto]],Imput[[C. Imp.]:[C. Imp.]],$D599,Imput[[PERIODO Imp.]:[PERIODO Imp.]],BY$9)</f>
        <v>0</v>
      </c>
      <c r="BZ599" s="693">
        <f>SUMIFS(Imput[[Importe Neto]:[Importe Neto]],Imput[[C. Imp.]:[C. Imp.]],$D599,Imput[[PERIODO Imp.]:[PERIODO Imp.]],BZ$9)</f>
        <v>0</v>
      </c>
      <c r="CA599" s="693">
        <f>SUMIFS(Imput[[Importe Neto]:[Importe Neto]],Imput[[C. Imp.]:[C. Imp.]],$D599,Imput[[PERIODO Imp.]:[PERIODO Imp.]],CA$9)</f>
        <v>0</v>
      </c>
      <c r="CB599" s="693">
        <f>SUMIFS(Imput[[Importe Neto]:[Importe Neto]],Imput[[C. Imp.]:[C. Imp.]],$D599,Imput[[PERIODO Imp.]:[PERIODO Imp.]],CB$9)</f>
        <v>0</v>
      </c>
      <c r="CC599" s="693">
        <f>SUMIFS(Imput[[Importe Neto]:[Importe Neto]],Imput[[C. Imp.]:[C. Imp.]],$D599,Imput[[PERIODO Imp.]:[PERIODO Imp.]],CC$9)</f>
        <v>0</v>
      </c>
      <c r="CD599" s="693">
        <f>SUMIFS(Imput[[Importe Neto]:[Importe Neto]],Imput[[C. Imp.]:[C. Imp.]],$D599,Imput[[PERIODO Imp.]:[PERIODO Imp.]],CD$9)</f>
        <v>0</v>
      </c>
      <c r="CE599" s="693">
        <f>SUMIFS(Imput[[Importe Neto]:[Importe Neto]],Imput[[C. Imp.]:[C. Imp.]],$D599,Imput[[PERIODO Imp.]:[PERIODO Imp.]],CE$9)</f>
        <v>0</v>
      </c>
      <c r="CF599" s="693">
        <f>SUMIFS(Imput[[Importe Neto]:[Importe Neto]],Imput[[C. Imp.]:[C. Imp.]],$D599,Imput[[PERIODO Imp.]:[PERIODO Imp.]],CF$9)</f>
        <v>0</v>
      </c>
      <c r="CG599" s="693">
        <f>SUMIFS(Imput[[Importe Neto]:[Importe Neto]],Imput[[C. Imp.]:[C. Imp.]],$D599,Imput[[PERIODO Imp.]:[PERIODO Imp.]],CG$9)</f>
        <v>0</v>
      </c>
      <c r="CH599" s="693">
        <f>SUMIFS(Imput[[Importe Neto]:[Importe Neto]],Imput[[C. Imp.]:[C. Imp.]],$D599,Imput[[PERIODO Imp.]:[PERIODO Imp.]],CH$9)</f>
        <v>0</v>
      </c>
      <c r="CI599" s="693">
        <f>SUMIFS(Imput[[Importe Neto]:[Importe Neto]],Imput[[C. Imp.]:[C. Imp.]],$D599,Imput[[PERIODO Imp.]:[PERIODO Imp.]],CI$9)</f>
        <v>0</v>
      </c>
      <c r="CJ599" s="693">
        <f>SUMIFS(Imput[[Importe Neto]:[Importe Neto]],Imput[[C. Imp.]:[C. Imp.]],$D599,Imput[[PERIODO Imp.]:[PERIODO Imp.]],CJ$9)</f>
        <v>0</v>
      </c>
      <c r="CK599" s="693">
        <f>SUMIFS(Imput[[Importe Neto]:[Importe Neto]],Imput[[C. Imp.]:[C. Imp.]],$D599,Imput[[PERIODO Imp.]:[PERIODO Imp.]],CK$9)</f>
        <v>0</v>
      </c>
      <c r="CL599" s="693">
        <f>SUMIFS(Imput[[Importe Neto]:[Importe Neto]],Imput[[C. Imp.]:[C. Imp.]],$D599,Imput[[PERIODO Imp.]:[PERIODO Imp.]],CL$9)</f>
        <v>0</v>
      </c>
      <c r="CM599" s="693">
        <f>SUMIFS(Imput[[Importe Neto]:[Importe Neto]],Imput[[C. Imp.]:[C. Imp.]],$D599,Imput[[PERIODO Imp.]:[PERIODO Imp.]],CM$9)</f>
        <v>0</v>
      </c>
      <c r="CN599" s="693">
        <f>SUMIFS(Imput[[Importe Neto]:[Importe Neto]],Imput[[C. Imp.]:[C. Imp.]],$D599,Imput[[PERIODO Imp.]:[PERIODO Imp.]],CN$9)</f>
        <v>0</v>
      </c>
      <c r="CO599" s="693">
        <f>SUMIFS(Imput[[Importe Neto]:[Importe Neto]],Imput[[C. Imp.]:[C. Imp.]],$D599,Imput[[PERIODO Imp.]:[PERIODO Imp.]],CO$9)</f>
        <v>0</v>
      </c>
      <c r="CP599" s="693">
        <f>SUMIFS(Imput[[Importe Neto]:[Importe Neto]],Imput[[C. Imp.]:[C. Imp.]],$D599,Imput[[PERIODO Imp.]:[PERIODO Imp.]],CP$9)</f>
        <v>0</v>
      </c>
      <c r="CQ599" s="693">
        <f>SUMIFS(Imput[[Importe Neto]:[Importe Neto]],Imput[[C. Imp.]:[C. Imp.]],$D599,Imput[[PERIODO Imp.]:[PERIODO Imp.]],CQ$9)</f>
        <v>0</v>
      </c>
      <c r="CR599" s="693">
        <f>SUMIFS(Imput[[Importe Neto]:[Importe Neto]],Imput[[C. Imp.]:[C. Imp.]],$D599,Imput[[PERIODO Imp.]:[PERIODO Imp.]],CR$9)</f>
        <v>0</v>
      </c>
      <c r="CS599" s="693">
        <f>SUMIFS(Imput[[Importe Neto]:[Importe Neto]],Imput[[C. Imp.]:[C. Imp.]],$D599,Imput[[PERIODO Imp.]:[PERIODO Imp.]],CS$9)</f>
        <v>0</v>
      </c>
      <c r="CT599" s="693">
        <f>SUMIFS(Imput[[Importe Neto]:[Importe Neto]],Imput[[C. Imp.]:[C. Imp.]],$D599,Imput[[PERIODO Imp.]:[PERIODO Imp.]],CT$9)</f>
        <v>0</v>
      </c>
      <c r="CU599" s="693">
        <f>SUMIFS(Imput[[Importe Neto]:[Importe Neto]],Imput[[C. Imp.]:[C. Imp.]],$D599,Imput[[PERIODO Imp.]:[PERIODO Imp.]],CU$9)</f>
        <v>0</v>
      </c>
      <c r="CV599" s="693">
        <f>SUMIFS(Imput[[Importe Neto]:[Importe Neto]],Imput[[C. Imp.]:[C. Imp.]],$D599,Imput[[PERIODO Imp.]:[PERIODO Imp.]],CV$9)</f>
        <v>0</v>
      </c>
      <c r="CW599" s="693">
        <f>SUMIFS(Imput[[Importe Neto]:[Importe Neto]],Imput[[C. Imp.]:[C. Imp.]],$D599,Imput[[PERIODO Imp.]:[PERIODO Imp.]],CW$9)</f>
        <v>0</v>
      </c>
      <c r="CX599" s="693">
        <f>SUMIFS(Imput[[Importe Neto]:[Importe Neto]],Imput[[C. Imp.]:[C. Imp.]],$D599,Imput[[PERIODO Imp.]:[PERIODO Imp.]],CX$9)</f>
        <v>0</v>
      </c>
      <c r="CY599" s="693">
        <f>SUMIFS(Imput[[Importe Neto]:[Importe Neto]],Imput[[C. Imp.]:[C. Imp.]],$D599,Imput[[PERIODO Imp.]:[PERIODO Imp.]],CY$9)</f>
        <v>0</v>
      </c>
      <c r="CZ599" s="693">
        <f>SUMIFS(Imput[[Importe Neto]:[Importe Neto]],Imput[[C. Imp.]:[C. Imp.]],$D599,Imput[[PERIODO Imp.]:[PERIODO Imp.]],CZ$9)</f>
        <v>0</v>
      </c>
      <c r="DA599" s="693">
        <f>SUMIFS(Imput[[Importe Neto]:[Importe Neto]],Imput[[C. Imp.]:[C. Imp.]],$D599,Imput[[PERIODO Imp.]:[PERIODO Imp.]],DA$9)</f>
        <v>0</v>
      </c>
      <c r="DB599" s="693">
        <f>SUMIFS(Imput[[Importe Neto]:[Importe Neto]],Imput[[C. Imp.]:[C. Imp.]],$D599,Imput[[PERIODO Imp.]:[PERIODO Imp.]],DB$9)</f>
        <v>0</v>
      </c>
      <c r="DC599" s="693">
        <f>SUMIFS(Imput[[Importe Neto]:[Importe Neto]],Imput[[C. Imp.]:[C. Imp.]],$D599,Imput[[PERIODO Imp.]:[PERIODO Imp.]],DC$9)</f>
        <v>0</v>
      </c>
      <c r="DD599" s="693">
        <f>SUMIFS(Imput[[Importe Neto]:[Importe Neto]],Imput[[C. Imp.]:[C. Imp.]],$D599,Imput[[PERIODO Imp.]:[PERIODO Imp.]],DD$9)</f>
        <v>0</v>
      </c>
      <c r="DE599" s="693">
        <f>SUMIFS(Imput[[Importe Neto]:[Importe Neto]],Imput[[C. Imp.]:[C. Imp.]],$D599,Imput[[PERIODO Imp.]:[PERIODO Imp.]],DE$9)</f>
        <v>0</v>
      </c>
      <c r="DF599" s="693">
        <f>SUMIFS(Imput[[Importe Neto]:[Importe Neto]],Imput[[C. Imp.]:[C. Imp.]],$D599,Imput[[PERIODO Imp.]:[PERIODO Imp.]],DF$9)</f>
        <v>0</v>
      </c>
      <c r="DG599" s="693">
        <f>SUMIFS(Imput[[Importe Neto]:[Importe Neto]],Imput[[C. Imp.]:[C. Imp.]],$D599,Imput[[PERIODO Imp.]:[PERIODO Imp.]],DG$9)</f>
        <v>0</v>
      </c>
      <c r="DH599" s="694">
        <f>SUMIFS(Imput[[Importe Neto]:[Importe Neto]],Imput[[C. Imp.]:[C. Imp.]],$D599,Imput[[PERIODO Imp.]:[PERIODO Imp.]],DH$9)</f>
        <v>0</v>
      </c>
    </row>
    <row r="600" spans="1:112" s="649" customFormat="1" outlineLevel="1" x14ac:dyDescent="0.3">
      <c r="A600" s="652" t="str">
        <f t="shared" si="222"/>
        <v>Imprimir</v>
      </c>
      <c r="B600" s="652"/>
      <c r="C600" s="685"/>
      <c r="D600" s="686" t="s">
        <v>2618</v>
      </c>
      <c r="E600" s="686" t="s">
        <v>492</v>
      </c>
      <c r="F600" s="720"/>
      <c r="G600" s="688">
        <v>600</v>
      </c>
      <c r="H600" s="531">
        <f>Producción!G56*0.01936</f>
        <v>1.3939199999999998</v>
      </c>
      <c r="I600" s="851">
        <f t="shared" si="223"/>
        <v>1</v>
      </c>
      <c r="J600" s="850">
        <f t="shared" si="224"/>
        <v>836.35199999999986</v>
      </c>
      <c r="K600" s="667"/>
      <c r="L600" s="858">
        <v>1</v>
      </c>
      <c r="M600" s="859"/>
      <c r="N600" s="859"/>
      <c r="O600" s="859"/>
      <c r="P600" s="859"/>
      <c r="Q600" s="859"/>
      <c r="R600" s="859"/>
      <c r="S600" s="859"/>
      <c r="T600" s="859"/>
      <c r="U600" s="859"/>
      <c r="V600" s="859"/>
      <c r="W600" s="859"/>
      <c r="X600" s="859"/>
      <c r="Y600" s="859"/>
      <c r="Z600" s="860"/>
      <c r="AA600" s="860"/>
      <c r="AB600" s="860"/>
      <c r="AC600" s="860"/>
      <c r="AD600" s="860"/>
      <c r="AE600" s="860"/>
      <c r="AF600" s="860"/>
      <c r="AG600" s="860"/>
      <c r="AH600" s="860"/>
      <c r="AI600" s="860"/>
      <c r="AJ600" s="860"/>
      <c r="AK600" s="860"/>
      <c r="AL600" s="860"/>
      <c r="AM600" s="860"/>
      <c r="AN600" s="860"/>
      <c r="AO600" s="860"/>
      <c r="AP600" s="860"/>
      <c r="AQ600" s="860"/>
      <c r="AR600" s="860"/>
      <c r="AS600" s="860"/>
      <c r="AT600" s="860"/>
      <c r="AU600" s="860"/>
      <c r="AV600" s="860"/>
      <c r="AW600" s="860"/>
      <c r="AX600" s="860"/>
      <c r="AY600" s="860"/>
      <c r="AZ600" s="860"/>
      <c r="BA600" s="860"/>
      <c r="BB600" s="860"/>
      <c r="BC600" s="860"/>
      <c r="BD600" s="860"/>
      <c r="BE600" s="860"/>
      <c r="BF600" s="860"/>
      <c r="BG600" s="860"/>
      <c r="BH600" s="668"/>
      <c r="BI600" s="667"/>
      <c r="BJ600" s="690">
        <f t="shared" si="225"/>
        <v>0</v>
      </c>
      <c r="BK600" s="691">
        <f t="shared" si="226"/>
        <v>0</v>
      </c>
      <c r="BL600" s="654"/>
      <c r="BM600" s="692">
        <f>SUMIFS(Imput[[Importe Neto]:[Importe Neto]],Imput[[C. Imp.]:[C. Imp.]],$D600,Imput[[PERIODO Imp.]:[PERIODO Imp.]],BM$9)</f>
        <v>0</v>
      </c>
      <c r="BN600" s="693">
        <f>SUMIFS(Imput[[Importe Neto]:[Importe Neto]],Imput[[C. Imp.]:[C. Imp.]],$D600,Imput[[PERIODO Imp.]:[PERIODO Imp.]],BN$9)</f>
        <v>0</v>
      </c>
      <c r="BO600" s="693">
        <f>SUMIFS(Imput[[Importe Neto]:[Importe Neto]],Imput[[C. Imp.]:[C. Imp.]],$D600,Imput[[PERIODO Imp.]:[PERIODO Imp.]],BO$9)</f>
        <v>0</v>
      </c>
      <c r="BP600" s="693">
        <f>SUMIFS(Imput[[Importe Neto]:[Importe Neto]],Imput[[C. Imp.]:[C. Imp.]],$D600,Imput[[PERIODO Imp.]:[PERIODO Imp.]],BP$9)</f>
        <v>0</v>
      </c>
      <c r="BQ600" s="693">
        <f>SUMIFS(Imput[[Importe Neto]:[Importe Neto]],Imput[[C. Imp.]:[C. Imp.]],$D600,Imput[[PERIODO Imp.]:[PERIODO Imp.]],BQ$9)</f>
        <v>0</v>
      </c>
      <c r="BR600" s="693">
        <f>SUMIFS(Imput[[Importe Neto]:[Importe Neto]],Imput[[C. Imp.]:[C. Imp.]],$D600,Imput[[PERIODO Imp.]:[PERIODO Imp.]],BR$9)</f>
        <v>0</v>
      </c>
      <c r="BS600" s="693">
        <f>SUMIFS(Imput[[Importe Neto]:[Importe Neto]],Imput[[C. Imp.]:[C. Imp.]],$D600,Imput[[PERIODO Imp.]:[PERIODO Imp.]],BS$9)</f>
        <v>0</v>
      </c>
      <c r="BT600" s="693">
        <f>SUMIFS(Imput[[Importe Neto]:[Importe Neto]],Imput[[C. Imp.]:[C. Imp.]],$D600,Imput[[PERIODO Imp.]:[PERIODO Imp.]],BT$9)</f>
        <v>0</v>
      </c>
      <c r="BU600" s="693">
        <f>SUMIFS(Imput[[Importe Neto]:[Importe Neto]],Imput[[C. Imp.]:[C. Imp.]],$D600,Imput[[PERIODO Imp.]:[PERIODO Imp.]],BU$9)</f>
        <v>0</v>
      </c>
      <c r="BV600" s="693">
        <f>SUMIFS(Imput[[Importe Neto]:[Importe Neto]],Imput[[C. Imp.]:[C. Imp.]],$D600,Imput[[PERIODO Imp.]:[PERIODO Imp.]],BV$9)</f>
        <v>0</v>
      </c>
      <c r="BW600" s="693">
        <f>SUMIFS(Imput[[Importe Neto]:[Importe Neto]],Imput[[C. Imp.]:[C. Imp.]],$D600,Imput[[PERIODO Imp.]:[PERIODO Imp.]],BW$9)</f>
        <v>0</v>
      </c>
      <c r="BX600" s="693">
        <f>SUMIFS(Imput[[Importe Neto]:[Importe Neto]],Imput[[C. Imp.]:[C. Imp.]],$D600,Imput[[PERIODO Imp.]:[PERIODO Imp.]],BX$9)</f>
        <v>0</v>
      </c>
      <c r="BY600" s="693">
        <f>SUMIFS(Imput[[Importe Neto]:[Importe Neto]],Imput[[C. Imp.]:[C. Imp.]],$D600,Imput[[PERIODO Imp.]:[PERIODO Imp.]],BY$9)</f>
        <v>0</v>
      </c>
      <c r="BZ600" s="693">
        <f>SUMIFS(Imput[[Importe Neto]:[Importe Neto]],Imput[[C. Imp.]:[C. Imp.]],$D600,Imput[[PERIODO Imp.]:[PERIODO Imp.]],BZ$9)</f>
        <v>0</v>
      </c>
      <c r="CA600" s="693">
        <f>SUMIFS(Imput[[Importe Neto]:[Importe Neto]],Imput[[C. Imp.]:[C. Imp.]],$D600,Imput[[PERIODO Imp.]:[PERIODO Imp.]],CA$9)</f>
        <v>0</v>
      </c>
      <c r="CB600" s="693">
        <f>SUMIFS(Imput[[Importe Neto]:[Importe Neto]],Imput[[C. Imp.]:[C. Imp.]],$D600,Imput[[PERIODO Imp.]:[PERIODO Imp.]],CB$9)</f>
        <v>0</v>
      </c>
      <c r="CC600" s="693">
        <f>SUMIFS(Imput[[Importe Neto]:[Importe Neto]],Imput[[C. Imp.]:[C. Imp.]],$D600,Imput[[PERIODO Imp.]:[PERIODO Imp.]],CC$9)</f>
        <v>0</v>
      </c>
      <c r="CD600" s="693">
        <f>SUMIFS(Imput[[Importe Neto]:[Importe Neto]],Imput[[C. Imp.]:[C. Imp.]],$D600,Imput[[PERIODO Imp.]:[PERIODO Imp.]],CD$9)</f>
        <v>0</v>
      </c>
      <c r="CE600" s="693">
        <f>SUMIFS(Imput[[Importe Neto]:[Importe Neto]],Imput[[C. Imp.]:[C. Imp.]],$D600,Imput[[PERIODO Imp.]:[PERIODO Imp.]],CE$9)</f>
        <v>0</v>
      </c>
      <c r="CF600" s="693">
        <f>SUMIFS(Imput[[Importe Neto]:[Importe Neto]],Imput[[C. Imp.]:[C. Imp.]],$D600,Imput[[PERIODO Imp.]:[PERIODO Imp.]],CF$9)</f>
        <v>0</v>
      </c>
      <c r="CG600" s="693">
        <f>SUMIFS(Imput[[Importe Neto]:[Importe Neto]],Imput[[C. Imp.]:[C. Imp.]],$D600,Imput[[PERIODO Imp.]:[PERIODO Imp.]],CG$9)</f>
        <v>0</v>
      </c>
      <c r="CH600" s="693">
        <f>SUMIFS(Imput[[Importe Neto]:[Importe Neto]],Imput[[C. Imp.]:[C. Imp.]],$D600,Imput[[PERIODO Imp.]:[PERIODO Imp.]],CH$9)</f>
        <v>0</v>
      </c>
      <c r="CI600" s="693">
        <f>SUMIFS(Imput[[Importe Neto]:[Importe Neto]],Imput[[C. Imp.]:[C. Imp.]],$D600,Imput[[PERIODO Imp.]:[PERIODO Imp.]],CI$9)</f>
        <v>0</v>
      </c>
      <c r="CJ600" s="693">
        <f>SUMIFS(Imput[[Importe Neto]:[Importe Neto]],Imput[[C. Imp.]:[C. Imp.]],$D600,Imput[[PERIODO Imp.]:[PERIODO Imp.]],CJ$9)</f>
        <v>0</v>
      </c>
      <c r="CK600" s="693">
        <f>SUMIFS(Imput[[Importe Neto]:[Importe Neto]],Imput[[C. Imp.]:[C. Imp.]],$D600,Imput[[PERIODO Imp.]:[PERIODO Imp.]],CK$9)</f>
        <v>0</v>
      </c>
      <c r="CL600" s="693">
        <f>SUMIFS(Imput[[Importe Neto]:[Importe Neto]],Imput[[C. Imp.]:[C. Imp.]],$D600,Imput[[PERIODO Imp.]:[PERIODO Imp.]],CL$9)</f>
        <v>0</v>
      </c>
      <c r="CM600" s="693">
        <f>SUMIFS(Imput[[Importe Neto]:[Importe Neto]],Imput[[C. Imp.]:[C. Imp.]],$D600,Imput[[PERIODO Imp.]:[PERIODO Imp.]],CM$9)</f>
        <v>0</v>
      </c>
      <c r="CN600" s="693">
        <f>SUMIFS(Imput[[Importe Neto]:[Importe Neto]],Imput[[C. Imp.]:[C. Imp.]],$D600,Imput[[PERIODO Imp.]:[PERIODO Imp.]],CN$9)</f>
        <v>0</v>
      </c>
      <c r="CO600" s="693">
        <f>SUMIFS(Imput[[Importe Neto]:[Importe Neto]],Imput[[C. Imp.]:[C. Imp.]],$D600,Imput[[PERIODO Imp.]:[PERIODO Imp.]],CO$9)</f>
        <v>0</v>
      </c>
      <c r="CP600" s="693">
        <f>SUMIFS(Imput[[Importe Neto]:[Importe Neto]],Imput[[C. Imp.]:[C. Imp.]],$D600,Imput[[PERIODO Imp.]:[PERIODO Imp.]],CP$9)</f>
        <v>0</v>
      </c>
      <c r="CQ600" s="693">
        <f>SUMIFS(Imput[[Importe Neto]:[Importe Neto]],Imput[[C. Imp.]:[C. Imp.]],$D600,Imput[[PERIODO Imp.]:[PERIODO Imp.]],CQ$9)</f>
        <v>0</v>
      </c>
      <c r="CR600" s="693">
        <f>SUMIFS(Imput[[Importe Neto]:[Importe Neto]],Imput[[C. Imp.]:[C. Imp.]],$D600,Imput[[PERIODO Imp.]:[PERIODO Imp.]],CR$9)</f>
        <v>0</v>
      </c>
      <c r="CS600" s="693">
        <f>SUMIFS(Imput[[Importe Neto]:[Importe Neto]],Imput[[C. Imp.]:[C. Imp.]],$D600,Imput[[PERIODO Imp.]:[PERIODO Imp.]],CS$9)</f>
        <v>0</v>
      </c>
      <c r="CT600" s="693">
        <f>SUMIFS(Imput[[Importe Neto]:[Importe Neto]],Imput[[C. Imp.]:[C. Imp.]],$D600,Imput[[PERIODO Imp.]:[PERIODO Imp.]],CT$9)</f>
        <v>0</v>
      </c>
      <c r="CU600" s="693">
        <f>SUMIFS(Imput[[Importe Neto]:[Importe Neto]],Imput[[C. Imp.]:[C. Imp.]],$D600,Imput[[PERIODO Imp.]:[PERIODO Imp.]],CU$9)</f>
        <v>0</v>
      </c>
      <c r="CV600" s="693">
        <f>SUMIFS(Imput[[Importe Neto]:[Importe Neto]],Imput[[C. Imp.]:[C. Imp.]],$D600,Imput[[PERIODO Imp.]:[PERIODO Imp.]],CV$9)</f>
        <v>0</v>
      </c>
      <c r="CW600" s="693">
        <f>SUMIFS(Imput[[Importe Neto]:[Importe Neto]],Imput[[C. Imp.]:[C. Imp.]],$D600,Imput[[PERIODO Imp.]:[PERIODO Imp.]],CW$9)</f>
        <v>0</v>
      </c>
      <c r="CX600" s="693">
        <f>SUMIFS(Imput[[Importe Neto]:[Importe Neto]],Imput[[C. Imp.]:[C. Imp.]],$D600,Imput[[PERIODO Imp.]:[PERIODO Imp.]],CX$9)</f>
        <v>0</v>
      </c>
      <c r="CY600" s="693">
        <f>SUMIFS(Imput[[Importe Neto]:[Importe Neto]],Imput[[C. Imp.]:[C. Imp.]],$D600,Imput[[PERIODO Imp.]:[PERIODO Imp.]],CY$9)</f>
        <v>0</v>
      </c>
      <c r="CZ600" s="693">
        <f>SUMIFS(Imput[[Importe Neto]:[Importe Neto]],Imput[[C. Imp.]:[C. Imp.]],$D600,Imput[[PERIODO Imp.]:[PERIODO Imp.]],CZ$9)</f>
        <v>0</v>
      </c>
      <c r="DA600" s="693">
        <f>SUMIFS(Imput[[Importe Neto]:[Importe Neto]],Imput[[C. Imp.]:[C. Imp.]],$D600,Imput[[PERIODO Imp.]:[PERIODO Imp.]],DA$9)</f>
        <v>0</v>
      </c>
      <c r="DB600" s="693">
        <f>SUMIFS(Imput[[Importe Neto]:[Importe Neto]],Imput[[C. Imp.]:[C. Imp.]],$D600,Imput[[PERIODO Imp.]:[PERIODO Imp.]],DB$9)</f>
        <v>0</v>
      </c>
      <c r="DC600" s="693">
        <f>SUMIFS(Imput[[Importe Neto]:[Importe Neto]],Imput[[C. Imp.]:[C. Imp.]],$D600,Imput[[PERIODO Imp.]:[PERIODO Imp.]],DC$9)</f>
        <v>0</v>
      </c>
      <c r="DD600" s="693">
        <f>SUMIFS(Imput[[Importe Neto]:[Importe Neto]],Imput[[C. Imp.]:[C. Imp.]],$D600,Imput[[PERIODO Imp.]:[PERIODO Imp.]],DD$9)</f>
        <v>0</v>
      </c>
      <c r="DE600" s="693">
        <f>SUMIFS(Imput[[Importe Neto]:[Importe Neto]],Imput[[C. Imp.]:[C. Imp.]],$D600,Imput[[PERIODO Imp.]:[PERIODO Imp.]],DE$9)</f>
        <v>0</v>
      </c>
      <c r="DF600" s="693">
        <f>SUMIFS(Imput[[Importe Neto]:[Importe Neto]],Imput[[C. Imp.]:[C. Imp.]],$D600,Imput[[PERIODO Imp.]:[PERIODO Imp.]],DF$9)</f>
        <v>0</v>
      </c>
      <c r="DG600" s="693">
        <f>SUMIFS(Imput[[Importe Neto]:[Importe Neto]],Imput[[C. Imp.]:[C. Imp.]],$D600,Imput[[PERIODO Imp.]:[PERIODO Imp.]],DG$9)</f>
        <v>0</v>
      </c>
      <c r="DH600" s="694">
        <f>SUMIFS(Imput[[Importe Neto]:[Importe Neto]],Imput[[C. Imp.]:[C. Imp.]],$D600,Imput[[PERIODO Imp.]:[PERIODO Imp.]],DH$9)</f>
        <v>0</v>
      </c>
    </row>
    <row r="601" spans="1:112" s="649" customFormat="1" outlineLevel="1" x14ac:dyDescent="0.3">
      <c r="A601" s="652" t="str">
        <f t="shared" si="222"/>
        <v>Imprimir</v>
      </c>
      <c r="B601" s="652"/>
      <c r="C601" s="685"/>
      <c r="D601" s="686" t="s">
        <v>2619</v>
      </c>
      <c r="E601" s="686" t="s">
        <v>493</v>
      </c>
      <c r="F601" s="720"/>
      <c r="G601" s="688">
        <v>4.74</v>
      </c>
      <c r="H601" s="531">
        <f>Producción!G56*8.228</f>
        <v>592.41599999999994</v>
      </c>
      <c r="I601" s="851">
        <f t="shared" si="223"/>
        <v>1</v>
      </c>
      <c r="J601" s="850">
        <f t="shared" si="224"/>
        <v>2808.0518399999996</v>
      </c>
      <c r="K601" s="667"/>
      <c r="L601" s="858">
        <v>1</v>
      </c>
      <c r="M601" s="859"/>
      <c r="N601" s="859"/>
      <c r="O601" s="859"/>
      <c r="P601" s="859"/>
      <c r="Q601" s="859"/>
      <c r="R601" s="859"/>
      <c r="S601" s="859"/>
      <c r="T601" s="859"/>
      <c r="U601" s="859"/>
      <c r="V601" s="859"/>
      <c r="W601" s="859"/>
      <c r="X601" s="859"/>
      <c r="Y601" s="859"/>
      <c r="Z601" s="860"/>
      <c r="AA601" s="860"/>
      <c r="AB601" s="860"/>
      <c r="AC601" s="860"/>
      <c r="AD601" s="860"/>
      <c r="AE601" s="860"/>
      <c r="AF601" s="860"/>
      <c r="AG601" s="860"/>
      <c r="AH601" s="860"/>
      <c r="AI601" s="860"/>
      <c r="AJ601" s="860"/>
      <c r="AK601" s="860"/>
      <c r="AL601" s="860"/>
      <c r="AM601" s="860"/>
      <c r="AN601" s="860"/>
      <c r="AO601" s="860"/>
      <c r="AP601" s="860"/>
      <c r="AQ601" s="860"/>
      <c r="AR601" s="860"/>
      <c r="AS601" s="860"/>
      <c r="AT601" s="860"/>
      <c r="AU601" s="860"/>
      <c r="AV601" s="860"/>
      <c r="AW601" s="860"/>
      <c r="AX601" s="860"/>
      <c r="AY601" s="860"/>
      <c r="AZ601" s="860"/>
      <c r="BA601" s="860"/>
      <c r="BB601" s="860"/>
      <c r="BC601" s="860"/>
      <c r="BD601" s="860"/>
      <c r="BE601" s="860"/>
      <c r="BF601" s="860"/>
      <c r="BG601" s="860"/>
      <c r="BH601" s="668"/>
      <c r="BI601" s="667"/>
      <c r="BJ601" s="690">
        <f t="shared" si="225"/>
        <v>0</v>
      </c>
      <c r="BK601" s="691">
        <f t="shared" si="226"/>
        <v>0</v>
      </c>
      <c r="BL601" s="654"/>
      <c r="BM601" s="692">
        <f>SUMIFS(Imput[[Importe Neto]:[Importe Neto]],Imput[[C. Imp.]:[C. Imp.]],$D601,Imput[[PERIODO Imp.]:[PERIODO Imp.]],BM$9)</f>
        <v>0</v>
      </c>
      <c r="BN601" s="693">
        <f>SUMIFS(Imput[[Importe Neto]:[Importe Neto]],Imput[[C. Imp.]:[C. Imp.]],$D601,Imput[[PERIODO Imp.]:[PERIODO Imp.]],BN$9)</f>
        <v>0</v>
      </c>
      <c r="BO601" s="693">
        <f>SUMIFS(Imput[[Importe Neto]:[Importe Neto]],Imput[[C. Imp.]:[C. Imp.]],$D601,Imput[[PERIODO Imp.]:[PERIODO Imp.]],BO$9)</f>
        <v>0</v>
      </c>
      <c r="BP601" s="693">
        <f>SUMIFS(Imput[[Importe Neto]:[Importe Neto]],Imput[[C. Imp.]:[C. Imp.]],$D601,Imput[[PERIODO Imp.]:[PERIODO Imp.]],BP$9)</f>
        <v>0</v>
      </c>
      <c r="BQ601" s="693">
        <f>SUMIFS(Imput[[Importe Neto]:[Importe Neto]],Imput[[C. Imp.]:[C. Imp.]],$D601,Imput[[PERIODO Imp.]:[PERIODO Imp.]],BQ$9)</f>
        <v>0</v>
      </c>
      <c r="BR601" s="693">
        <f>SUMIFS(Imput[[Importe Neto]:[Importe Neto]],Imput[[C. Imp.]:[C. Imp.]],$D601,Imput[[PERIODO Imp.]:[PERIODO Imp.]],BR$9)</f>
        <v>0</v>
      </c>
      <c r="BS601" s="693">
        <f>SUMIFS(Imput[[Importe Neto]:[Importe Neto]],Imput[[C. Imp.]:[C. Imp.]],$D601,Imput[[PERIODO Imp.]:[PERIODO Imp.]],BS$9)</f>
        <v>0</v>
      </c>
      <c r="BT601" s="693">
        <f>SUMIFS(Imput[[Importe Neto]:[Importe Neto]],Imput[[C. Imp.]:[C. Imp.]],$D601,Imput[[PERIODO Imp.]:[PERIODO Imp.]],BT$9)</f>
        <v>0</v>
      </c>
      <c r="BU601" s="693">
        <f>SUMIFS(Imput[[Importe Neto]:[Importe Neto]],Imput[[C. Imp.]:[C. Imp.]],$D601,Imput[[PERIODO Imp.]:[PERIODO Imp.]],BU$9)</f>
        <v>0</v>
      </c>
      <c r="BV601" s="693">
        <f>SUMIFS(Imput[[Importe Neto]:[Importe Neto]],Imput[[C. Imp.]:[C. Imp.]],$D601,Imput[[PERIODO Imp.]:[PERIODO Imp.]],BV$9)</f>
        <v>0</v>
      </c>
      <c r="BW601" s="693">
        <f>SUMIFS(Imput[[Importe Neto]:[Importe Neto]],Imput[[C. Imp.]:[C. Imp.]],$D601,Imput[[PERIODO Imp.]:[PERIODO Imp.]],BW$9)</f>
        <v>0</v>
      </c>
      <c r="BX601" s="693">
        <f>SUMIFS(Imput[[Importe Neto]:[Importe Neto]],Imput[[C. Imp.]:[C. Imp.]],$D601,Imput[[PERIODO Imp.]:[PERIODO Imp.]],BX$9)</f>
        <v>0</v>
      </c>
      <c r="BY601" s="693">
        <f>SUMIFS(Imput[[Importe Neto]:[Importe Neto]],Imput[[C. Imp.]:[C. Imp.]],$D601,Imput[[PERIODO Imp.]:[PERIODO Imp.]],BY$9)</f>
        <v>0</v>
      </c>
      <c r="BZ601" s="693">
        <f>SUMIFS(Imput[[Importe Neto]:[Importe Neto]],Imput[[C. Imp.]:[C. Imp.]],$D601,Imput[[PERIODO Imp.]:[PERIODO Imp.]],BZ$9)</f>
        <v>0</v>
      </c>
      <c r="CA601" s="693">
        <f>SUMIFS(Imput[[Importe Neto]:[Importe Neto]],Imput[[C. Imp.]:[C. Imp.]],$D601,Imput[[PERIODO Imp.]:[PERIODO Imp.]],CA$9)</f>
        <v>0</v>
      </c>
      <c r="CB601" s="693">
        <f>SUMIFS(Imput[[Importe Neto]:[Importe Neto]],Imput[[C. Imp.]:[C. Imp.]],$D601,Imput[[PERIODO Imp.]:[PERIODO Imp.]],CB$9)</f>
        <v>0</v>
      </c>
      <c r="CC601" s="693">
        <f>SUMIFS(Imput[[Importe Neto]:[Importe Neto]],Imput[[C. Imp.]:[C. Imp.]],$D601,Imput[[PERIODO Imp.]:[PERIODO Imp.]],CC$9)</f>
        <v>0</v>
      </c>
      <c r="CD601" s="693">
        <f>SUMIFS(Imput[[Importe Neto]:[Importe Neto]],Imput[[C. Imp.]:[C. Imp.]],$D601,Imput[[PERIODO Imp.]:[PERIODO Imp.]],CD$9)</f>
        <v>0</v>
      </c>
      <c r="CE601" s="693">
        <f>SUMIFS(Imput[[Importe Neto]:[Importe Neto]],Imput[[C. Imp.]:[C. Imp.]],$D601,Imput[[PERIODO Imp.]:[PERIODO Imp.]],CE$9)</f>
        <v>0</v>
      </c>
      <c r="CF601" s="693">
        <f>SUMIFS(Imput[[Importe Neto]:[Importe Neto]],Imput[[C. Imp.]:[C. Imp.]],$D601,Imput[[PERIODO Imp.]:[PERIODO Imp.]],CF$9)</f>
        <v>0</v>
      </c>
      <c r="CG601" s="693">
        <f>SUMIFS(Imput[[Importe Neto]:[Importe Neto]],Imput[[C. Imp.]:[C. Imp.]],$D601,Imput[[PERIODO Imp.]:[PERIODO Imp.]],CG$9)</f>
        <v>0</v>
      </c>
      <c r="CH601" s="693">
        <f>SUMIFS(Imput[[Importe Neto]:[Importe Neto]],Imput[[C. Imp.]:[C. Imp.]],$D601,Imput[[PERIODO Imp.]:[PERIODO Imp.]],CH$9)</f>
        <v>0</v>
      </c>
      <c r="CI601" s="693">
        <f>SUMIFS(Imput[[Importe Neto]:[Importe Neto]],Imput[[C. Imp.]:[C. Imp.]],$D601,Imput[[PERIODO Imp.]:[PERIODO Imp.]],CI$9)</f>
        <v>0</v>
      </c>
      <c r="CJ601" s="693">
        <f>SUMIFS(Imput[[Importe Neto]:[Importe Neto]],Imput[[C. Imp.]:[C. Imp.]],$D601,Imput[[PERIODO Imp.]:[PERIODO Imp.]],CJ$9)</f>
        <v>0</v>
      </c>
      <c r="CK601" s="693">
        <f>SUMIFS(Imput[[Importe Neto]:[Importe Neto]],Imput[[C. Imp.]:[C. Imp.]],$D601,Imput[[PERIODO Imp.]:[PERIODO Imp.]],CK$9)</f>
        <v>0</v>
      </c>
      <c r="CL601" s="693">
        <f>SUMIFS(Imput[[Importe Neto]:[Importe Neto]],Imput[[C. Imp.]:[C. Imp.]],$D601,Imput[[PERIODO Imp.]:[PERIODO Imp.]],CL$9)</f>
        <v>0</v>
      </c>
      <c r="CM601" s="693">
        <f>SUMIFS(Imput[[Importe Neto]:[Importe Neto]],Imput[[C. Imp.]:[C. Imp.]],$D601,Imput[[PERIODO Imp.]:[PERIODO Imp.]],CM$9)</f>
        <v>0</v>
      </c>
      <c r="CN601" s="693">
        <f>SUMIFS(Imput[[Importe Neto]:[Importe Neto]],Imput[[C. Imp.]:[C. Imp.]],$D601,Imput[[PERIODO Imp.]:[PERIODO Imp.]],CN$9)</f>
        <v>0</v>
      </c>
      <c r="CO601" s="693">
        <f>SUMIFS(Imput[[Importe Neto]:[Importe Neto]],Imput[[C. Imp.]:[C. Imp.]],$D601,Imput[[PERIODO Imp.]:[PERIODO Imp.]],CO$9)</f>
        <v>0</v>
      </c>
      <c r="CP601" s="693">
        <f>SUMIFS(Imput[[Importe Neto]:[Importe Neto]],Imput[[C. Imp.]:[C. Imp.]],$D601,Imput[[PERIODO Imp.]:[PERIODO Imp.]],CP$9)</f>
        <v>0</v>
      </c>
      <c r="CQ601" s="693">
        <f>SUMIFS(Imput[[Importe Neto]:[Importe Neto]],Imput[[C. Imp.]:[C. Imp.]],$D601,Imput[[PERIODO Imp.]:[PERIODO Imp.]],CQ$9)</f>
        <v>0</v>
      </c>
      <c r="CR601" s="693">
        <f>SUMIFS(Imput[[Importe Neto]:[Importe Neto]],Imput[[C. Imp.]:[C. Imp.]],$D601,Imput[[PERIODO Imp.]:[PERIODO Imp.]],CR$9)</f>
        <v>0</v>
      </c>
      <c r="CS601" s="693">
        <f>SUMIFS(Imput[[Importe Neto]:[Importe Neto]],Imput[[C. Imp.]:[C. Imp.]],$D601,Imput[[PERIODO Imp.]:[PERIODO Imp.]],CS$9)</f>
        <v>0</v>
      </c>
      <c r="CT601" s="693">
        <f>SUMIFS(Imput[[Importe Neto]:[Importe Neto]],Imput[[C. Imp.]:[C. Imp.]],$D601,Imput[[PERIODO Imp.]:[PERIODO Imp.]],CT$9)</f>
        <v>0</v>
      </c>
      <c r="CU601" s="693">
        <f>SUMIFS(Imput[[Importe Neto]:[Importe Neto]],Imput[[C. Imp.]:[C. Imp.]],$D601,Imput[[PERIODO Imp.]:[PERIODO Imp.]],CU$9)</f>
        <v>0</v>
      </c>
      <c r="CV601" s="693">
        <f>SUMIFS(Imput[[Importe Neto]:[Importe Neto]],Imput[[C. Imp.]:[C. Imp.]],$D601,Imput[[PERIODO Imp.]:[PERIODO Imp.]],CV$9)</f>
        <v>0</v>
      </c>
      <c r="CW601" s="693">
        <f>SUMIFS(Imput[[Importe Neto]:[Importe Neto]],Imput[[C. Imp.]:[C. Imp.]],$D601,Imput[[PERIODO Imp.]:[PERIODO Imp.]],CW$9)</f>
        <v>0</v>
      </c>
      <c r="CX601" s="693">
        <f>SUMIFS(Imput[[Importe Neto]:[Importe Neto]],Imput[[C. Imp.]:[C. Imp.]],$D601,Imput[[PERIODO Imp.]:[PERIODO Imp.]],CX$9)</f>
        <v>0</v>
      </c>
      <c r="CY601" s="693">
        <f>SUMIFS(Imput[[Importe Neto]:[Importe Neto]],Imput[[C. Imp.]:[C. Imp.]],$D601,Imput[[PERIODO Imp.]:[PERIODO Imp.]],CY$9)</f>
        <v>0</v>
      </c>
      <c r="CZ601" s="693">
        <f>SUMIFS(Imput[[Importe Neto]:[Importe Neto]],Imput[[C. Imp.]:[C. Imp.]],$D601,Imput[[PERIODO Imp.]:[PERIODO Imp.]],CZ$9)</f>
        <v>0</v>
      </c>
      <c r="DA601" s="693">
        <f>SUMIFS(Imput[[Importe Neto]:[Importe Neto]],Imput[[C. Imp.]:[C. Imp.]],$D601,Imput[[PERIODO Imp.]:[PERIODO Imp.]],DA$9)</f>
        <v>0</v>
      </c>
      <c r="DB601" s="693">
        <f>SUMIFS(Imput[[Importe Neto]:[Importe Neto]],Imput[[C. Imp.]:[C. Imp.]],$D601,Imput[[PERIODO Imp.]:[PERIODO Imp.]],DB$9)</f>
        <v>0</v>
      </c>
      <c r="DC601" s="693">
        <f>SUMIFS(Imput[[Importe Neto]:[Importe Neto]],Imput[[C. Imp.]:[C. Imp.]],$D601,Imput[[PERIODO Imp.]:[PERIODO Imp.]],DC$9)</f>
        <v>0</v>
      </c>
      <c r="DD601" s="693">
        <f>SUMIFS(Imput[[Importe Neto]:[Importe Neto]],Imput[[C. Imp.]:[C. Imp.]],$D601,Imput[[PERIODO Imp.]:[PERIODO Imp.]],DD$9)</f>
        <v>0</v>
      </c>
      <c r="DE601" s="693">
        <f>SUMIFS(Imput[[Importe Neto]:[Importe Neto]],Imput[[C. Imp.]:[C. Imp.]],$D601,Imput[[PERIODO Imp.]:[PERIODO Imp.]],DE$9)</f>
        <v>0</v>
      </c>
      <c r="DF601" s="693">
        <f>SUMIFS(Imput[[Importe Neto]:[Importe Neto]],Imput[[C. Imp.]:[C. Imp.]],$D601,Imput[[PERIODO Imp.]:[PERIODO Imp.]],DF$9)</f>
        <v>0</v>
      </c>
      <c r="DG601" s="693">
        <f>SUMIFS(Imput[[Importe Neto]:[Importe Neto]],Imput[[C. Imp.]:[C. Imp.]],$D601,Imput[[PERIODO Imp.]:[PERIODO Imp.]],DG$9)</f>
        <v>0</v>
      </c>
      <c r="DH601" s="694">
        <f>SUMIFS(Imput[[Importe Neto]:[Importe Neto]],Imput[[C. Imp.]:[C. Imp.]],$D601,Imput[[PERIODO Imp.]:[PERIODO Imp.]],DH$9)</f>
        <v>0</v>
      </c>
    </row>
    <row r="602" spans="1:112" s="649" customFormat="1" outlineLevel="1" x14ac:dyDescent="0.3">
      <c r="A602" s="652" t="str">
        <f t="shared" si="222"/>
        <v>Imprimir</v>
      </c>
      <c r="B602" s="652"/>
      <c r="C602" s="685"/>
      <c r="D602" s="686" t="s">
        <v>2620</v>
      </c>
      <c r="E602" s="686" t="s">
        <v>494</v>
      </c>
      <c r="F602" s="720"/>
      <c r="G602" s="688">
        <v>2803</v>
      </c>
      <c r="H602" s="531">
        <f>Producción!G56*1.155</f>
        <v>83.16</v>
      </c>
      <c r="I602" s="851">
        <f t="shared" si="223"/>
        <v>1</v>
      </c>
      <c r="J602" s="850">
        <f t="shared" si="224"/>
        <v>233097.47999999998</v>
      </c>
      <c r="K602" s="667"/>
      <c r="L602" s="858">
        <v>0.5</v>
      </c>
      <c r="M602" s="859">
        <v>3.5714285714285712E-2</v>
      </c>
      <c r="N602" s="859">
        <v>3.5714285714285712E-2</v>
      </c>
      <c r="O602" s="859">
        <v>3.5714285714285712E-2</v>
      </c>
      <c r="P602" s="859">
        <v>3.5714285714285712E-2</v>
      </c>
      <c r="Q602" s="859">
        <v>3.5714285714285712E-2</v>
      </c>
      <c r="R602" s="859">
        <v>3.5714285714285712E-2</v>
      </c>
      <c r="S602" s="859">
        <v>3.5714285714285712E-2</v>
      </c>
      <c r="T602" s="859">
        <v>3.5714285714285712E-2</v>
      </c>
      <c r="U602" s="859">
        <v>3.5714285714285712E-2</v>
      </c>
      <c r="V602" s="859">
        <v>3.5714285714285712E-2</v>
      </c>
      <c r="W602" s="859">
        <v>3.5714285714285712E-2</v>
      </c>
      <c r="X602" s="859">
        <v>3.5714285714285712E-2</v>
      </c>
      <c r="Y602" s="859">
        <v>3.5714285714285712E-2</v>
      </c>
      <c r="Z602" s="860">
        <v>3.5714285714285712E-2</v>
      </c>
      <c r="AA602" s="860"/>
      <c r="AB602" s="860"/>
      <c r="AC602" s="860"/>
      <c r="AD602" s="860"/>
      <c r="AE602" s="860"/>
      <c r="AF602" s="860"/>
      <c r="AG602" s="860"/>
      <c r="AH602" s="860"/>
      <c r="AI602" s="860"/>
      <c r="AJ602" s="860"/>
      <c r="AK602" s="860"/>
      <c r="AL602" s="860"/>
      <c r="AM602" s="860"/>
      <c r="AN602" s="860"/>
      <c r="AO602" s="860"/>
      <c r="AP602" s="860"/>
      <c r="AQ602" s="860"/>
      <c r="AR602" s="860"/>
      <c r="AS602" s="860"/>
      <c r="AT602" s="860"/>
      <c r="AU602" s="860"/>
      <c r="AV602" s="860"/>
      <c r="AW602" s="860"/>
      <c r="AX602" s="860"/>
      <c r="AY602" s="860"/>
      <c r="AZ602" s="860"/>
      <c r="BA602" s="860"/>
      <c r="BB602" s="860"/>
      <c r="BC602" s="860"/>
      <c r="BD602" s="860"/>
      <c r="BE602" s="860"/>
      <c r="BF602" s="860"/>
      <c r="BG602" s="860"/>
      <c r="BH602" s="668"/>
      <c r="BI602" s="667"/>
      <c r="BJ602" s="690">
        <f t="shared" si="225"/>
        <v>1.3175143506484929E-2</v>
      </c>
      <c r="BK602" s="691">
        <f t="shared" si="226"/>
        <v>3071.0927500000003</v>
      </c>
      <c r="BL602" s="654"/>
      <c r="BM602" s="692">
        <f>SUMIFS(Imput[[Importe Neto]:[Importe Neto]],Imput[[C. Imp.]:[C. Imp.]],$D602,Imput[[PERIODO Imp.]:[PERIODO Imp.]],BM$9)</f>
        <v>0</v>
      </c>
      <c r="BN602" s="693">
        <f>SUMIFS(Imput[[Importe Neto]:[Importe Neto]],Imput[[C. Imp.]:[C. Imp.]],$D602,Imput[[PERIODO Imp.]:[PERIODO Imp.]],BN$9)</f>
        <v>0</v>
      </c>
      <c r="BO602" s="693">
        <f>SUMIFS(Imput[[Importe Neto]:[Importe Neto]],Imput[[C. Imp.]:[C. Imp.]],$D602,Imput[[PERIODO Imp.]:[PERIODO Imp.]],BO$9)</f>
        <v>0</v>
      </c>
      <c r="BP602" s="693">
        <f>SUMIFS(Imput[[Importe Neto]:[Importe Neto]],Imput[[C. Imp.]:[C. Imp.]],$D602,Imput[[PERIODO Imp.]:[PERIODO Imp.]],BP$9)</f>
        <v>3071.0927500000003</v>
      </c>
      <c r="BQ602" s="693">
        <f>SUMIFS(Imput[[Importe Neto]:[Importe Neto]],Imput[[C. Imp.]:[C. Imp.]],$D602,Imput[[PERIODO Imp.]:[PERIODO Imp.]],BQ$9)</f>
        <v>0</v>
      </c>
      <c r="BR602" s="693">
        <f>SUMIFS(Imput[[Importe Neto]:[Importe Neto]],Imput[[C. Imp.]:[C. Imp.]],$D602,Imput[[PERIODO Imp.]:[PERIODO Imp.]],BR$9)</f>
        <v>0</v>
      </c>
      <c r="BS602" s="693">
        <f>SUMIFS(Imput[[Importe Neto]:[Importe Neto]],Imput[[C. Imp.]:[C. Imp.]],$D602,Imput[[PERIODO Imp.]:[PERIODO Imp.]],BS$9)</f>
        <v>0</v>
      </c>
      <c r="BT602" s="693">
        <f>SUMIFS(Imput[[Importe Neto]:[Importe Neto]],Imput[[C. Imp.]:[C. Imp.]],$D602,Imput[[PERIODO Imp.]:[PERIODO Imp.]],BT$9)</f>
        <v>0</v>
      </c>
      <c r="BU602" s="693">
        <f>SUMIFS(Imput[[Importe Neto]:[Importe Neto]],Imput[[C. Imp.]:[C. Imp.]],$D602,Imput[[PERIODO Imp.]:[PERIODO Imp.]],BU$9)</f>
        <v>0</v>
      </c>
      <c r="BV602" s="693">
        <f>SUMIFS(Imput[[Importe Neto]:[Importe Neto]],Imput[[C. Imp.]:[C. Imp.]],$D602,Imput[[PERIODO Imp.]:[PERIODO Imp.]],BV$9)</f>
        <v>0</v>
      </c>
      <c r="BW602" s="693">
        <f>SUMIFS(Imput[[Importe Neto]:[Importe Neto]],Imput[[C. Imp.]:[C. Imp.]],$D602,Imput[[PERIODO Imp.]:[PERIODO Imp.]],BW$9)</f>
        <v>0</v>
      </c>
      <c r="BX602" s="693">
        <f>SUMIFS(Imput[[Importe Neto]:[Importe Neto]],Imput[[C. Imp.]:[C. Imp.]],$D602,Imput[[PERIODO Imp.]:[PERIODO Imp.]],BX$9)</f>
        <v>0</v>
      </c>
      <c r="BY602" s="693">
        <f>SUMIFS(Imput[[Importe Neto]:[Importe Neto]],Imput[[C. Imp.]:[C. Imp.]],$D602,Imput[[PERIODO Imp.]:[PERIODO Imp.]],BY$9)</f>
        <v>0</v>
      </c>
      <c r="BZ602" s="693">
        <f>SUMIFS(Imput[[Importe Neto]:[Importe Neto]],Imput[[C. Imp.]:[C. Imp.]],$D602,Imput[[PERIODO Imp.]:[PERIODO Imp.]],BZ$9)</f>
        <v>0</v>
      </c>
      <c r="CA602" s="693">
        <f>SUMIFS(Imput[[Importe Neto]:[Importe Neto]],Imput[[C. Imp.]:[C. Imp.]],$D602,Imput[[PERIODO Imp.]:[PERIODO Imp.]],CA$9)</f>
        <v>0</v>
      </c>
      <c r="CB602" s="693">
        <f>SUMIFS(Imput[[Importe Neto]:[Importe Neto]],Imput[[C. Imp.]:[C. Imp.]],$D602,Imput[[PERIODO Imp.]:[PERIODO Imp.]],CB$9)</f>
        <v>0</v>
      </c>
      <c r="CC602" s="693">
        <f>SUMIFS(Imput[[Importe Neto]:[Importe Neto]],Imput[[C. Imp.]:[C. Imp.]],$D602,Imput[[PERIODO Imp.]:[PERIODO Imp.]],CC$9)</f>
        <v>0</v>
      </c>
      <c r="CD602" s="693">
        <f>SUMIFS(Imput[[Importe Neto]:[Importe Neto]],Imput[[C. Imp.]:[C. Imp.]],$D602,Imput[[PERIODO Imp.]:[PERIODO Imp.]],CD$9)</f>
        <v>0</v>
      </c>
      <c r="CE602" s="693">
        <f>SUMIFS(Imput[[Importe Neto]:[Importe Neto]],Imput[[C. Imp.]:[C. Imp.]],$D602,Imput[[PERIODO Imp.]:[PERIODO Imp.]],CE$9)</f>
        <v>0</v>
      </c>
      <c r="CF602" s="693">
        <f>SUMIFS(Imput[[Importe Neto]:[Importe Neto]],Imput[[C. Imp.]:[C. Imp.]],$D602,Imput[[PERIODO Imp.]:[PERIODO Imp.]],CF$9)</f>
        <v>0</v>
      </c>
      <c r="CG602" s="693">
        <f>SUMIFS(Imput[[Importe Neto]:[Importe Neto]],Imput[[C. Imp.]:[C. Imp.]],$D602,Imput[[PERIODO Imp.]:[PERIODO Imp.]],CG$9)</f>
        <v>0</v>
      </c>
      <c r="CH602" s="693">
        <f>SUMIFS(Imput[[Importe Neto]:[Importe Neto]],Imput[[C. Imp.]:[C. Imp.]],$D602,Imput[[PERIODO Imp.]:[PERIODO Imp.]],CH$9)</f>
        <v>0</v>
      </c>
      <c r="CI602" s="693">
        <f>SUMIFS(Imput[[Importe Neto]:[Importe Neto]],Imput[[C. Imp.]:[C. Imp.]],$D602,Imput[[PERIODO Imp.]:[PERIODO Imp.]],CI$9)</f>
        <v>0</v>
      </c>
      <c r="CJ602" s="693">
        <f>SUMIFS(Imput[[Importe Neto]:[Importe Neto]],Imput[[C. Imp.]:[C. Imp.]],$D602,Imput[[PERIODO Imp.]:[PERIODO Imp.]],CJ$9)</f>
        <v>0</v>
      </c>
      <c r="CK602" s="693">
        <f>SUMIFS(Imput[[Importe Neto]:[Importe Neto]],Imput[[C. Imp.]:[C. Imp.]],$D602,Imput[[PERIODO Imp.]:[PERIODO Imp.]],CK$9)</f>
        <v>0</v>
      </c>
      <c r="CL602" s="693">
        <f>SUMIFS(Imput[[Importe Neto]:[Importe Neto]],Imput[[C. Imp.]:[C. Imp.]],$D602,Imput[[PERIODO Imp.]:[PERIODO Imp.]],CL$9)</f>
        <v>0</v>
      </c>
      <c r="CM602" s="693">
        <f>SUMIFS(Imput[[Importe Neto]:[Importe Neto]],Imput[[C. Imp.]:[C. Imp.]],$D602,Imput[[PERIODO Imp.]:[PERIODO Imp.]],CM$9)</f>
        <v>0</v>
      </c>
      <c r="CN602" s="693">
        <f>SUMIFS(Imput[[Importe Neto]:[Importe Neto]],Imput[[C. Imp.]:[C. Imp.]],$D602,Imput[[PERIODO Imp.]:[PERIODO Imp.]],CN$9)</f>
        <v>0</v>
      </c>
      <c r="CO602" s="693">
        <f>SUMIFS(Imput[[Importe Neto]:[Importe Neto]],Imput[[C. Imp.]:[C. Imp.]],$D602,Imput[[PERIODO Imp.]:[PERIODO Imp.]],CO$9)</f>
        <v>0</v>
      </c>
      <c r="CP602" s="693">
        <f>SUMIFS(Imput[[Importe Neto]:[Importe Neto]],Imput[[C. Imp.]:[C. Imp.]],$D602,Imput[[PERIODO Imp.]:[PERIODO Imp.]],CP$9)</f>
        <v>0</v>
      </c>
      <c r="CQ602" s="693">
        <f>SUMIFS(Imput[[Importe Neto]:[Importe Neto]],Imput[[C. Imp.]:[C. Imp.]],$D602,Imput[[PERIODO Imp.]:[PERIODO Imp.]],CQ$9)</f>
        <v>0</v>
      </c>
      <c r="CR602" s="693">
        <f>SUMIFS(Imput[[Importe Neto]:[Importe Neto]],Imput[[C. Imp.]:[C. Imp.]],$D602,Imput[[PERIODO Imp.]:[PERIODO Imp.]],CR$9)</f>
        <v>0</v>
      </c>
      <c r="CS602" s="693">
        <f>SUMIFS(Imput[[Importe Neto]:[Importe Neto]],Imput[[C. Imp.]:[C. Imp.]],$D602,Imput[[PERIODO Imp.]:[PERIODO Imp.]],CS$9)</f>
        <v>0</v>
      </c>
      <c r="CT602" s="693">
        <f>SUMIFS(Imput[[Importe Neto]:[Importe Neto]],Imput[[C. Imp.]:[C. Imp.]],$D602,Imput[[PERIODO Imp.]:[PERIODO Imp.]],CT$9)</f>
        <v>0</v>
      </c>
      <c r="CU602" s="693">
        <f>SUMIFS(Imput[[Importe Neto]:[Importe Neto]],Imput[[C. Imp.]:[C. Imp.]],$D602,Imput[[PERIODO Imp.]:[PERIODO Imp.]],CU$9)</f>
        <v>0</v>
      </c>
      <c r="CV602" s="693">
        <f>SUMIFS(Imput[[Importe Neto]:[Importe Neto]],Imput[[C. Imp.]:[C. Imp.]],$D602,Imput[[PERIODO Imp.]:[PERIODO Imp.]],CV$9)</f>
        <v>0</v>
      </c>
      <c r="CW602" s="693">
        <f>SUMIFS(Imput[[Importe Neto]:[Importe Neto]],Imput[[C. Imp.]:[C. Imp.]],$D602,Imput[[PERIODO Imp.]:[PERIODO Imp.]],CW$9)</f>
        <v>0</v>
      </c>
      <c r="CX602" s="693">
        <f>SUMIFS(Imput[[Importe Neto]:[Importe Neto]],Imput[[C. Imp.]:[C. Imp.]],$D602,Imput[[PERIODO Imp.]:[PERIODO Imp.]],CX$9)</f>
        <v>0</v>
      </c>
      <c r="CY602" s="693">
        <f>SUMIFS(Imput[[Importe Neto]:[Importe Neto]],Imput[[C. Imp.]:[C. Imp.]],$D602,Imput[[PERIODO Imp.]:[PERIODO Imp.]],CY$9)</f>
        <v>0</v>
      </c>
      <c r="CZ602" s="693">
        <f>SUMIFS(Imput[[Importe Neto]:[Importe Neto]],Imput[[C. Imp.]:[C. Imp.]],$D602,Imput[[PERIODO Imp.]:[PERIODO Imp.]],CZ$9)</f>
        <v>0</v>
      </c>
      <c r="DA602" s="693">
        <f>SUMIFS(Imput[[Importe Neto]:[Importe Neto]],Imput[[C. Imp.]:[C. Imp.]],$D602,Imput[[PERIODO Imp.]:[PERIODO Imp.]],DA$9)</f>
        <v>0</v>
      </c>
      <c r="DB602" s="693">
        <f>SUMIFS(Imput[[Importe Neto]:[Importe Neto]],Imput[[C. Imp.]:[C. Imp.]],$D602,Imput[[PERIODO Imp.]:[PERIODO Imp.]],DB$9)</f>
        <v>0</v>
      </c>
      <c r="DC602" s="693">
        <f>SUMIFS(Imput[[Importe Neto]:[Importe Neto]],Imput[[C. Imp.]:[C. Imp.]],$D602,Imput[[PERIODO Imp.]:[PERIODO Imp.]],DC$9)</f>
        <v>0</v>
      </c>
      <c r="DD602" s="693">
        <f>SUMIFS(Imput[[Importe Neto]:[Importe Neto]],Imput[[C. Imp.]:[C. Imp.]],$D602,Imput[[PERIODO Imp.]:[PERIODO Imp.]],DD$9)</f>
        <v>0</v>
      </c>
      <c r="DE602" s="693">
        <f>SUMIFS(Imput[[Importe Neto]:[Importe Neto]],Imput[[C. Imp.]:[C. Imp.]],$D602,Imput[[PERIODO Imp.]:[PERIODO Imp.]],DE$9)</f>
        <v>0</v>
      </c>
      <c r="DF602" s="693">
        <f>SUMIFS(Imput[[Importe Neto]:[Importe Neto]],Imput[[C. Imp.]:[C. Imp.]],$D602,Imput[[PERIODO Imp.]:[PERIODO Imp.]],DF$9)</f>
        <v>0</v>
      </c>
      <c r="DG602" s="693">
        <f>SUMIFS(Imput[[Importe Neto]:[Importe Neto]],Imput[[C. Imp.]:[C. Imp.]],$D602,Imput[[PERIODO Imp.]:[PERIODO Imp.]],DG$9)</f>
        <v>0</v>
      </c>
      <c r="DH602" s="694">
        <f>SUMIFS(Imput[[Importe Neto]:[Importe Neto]],Imput[[C. Imp.]:[C. Imp.]],$D602,Imput[[PERIODO Imp.]:[PERIODO Imp.]],DH$9)</f>
        <v>0</v>
      </c>
    </row>
    <row r="603" spans="1:112" s="649" customFormat="1" outlineLevel="1" x14ac:dyDescent="0.3">
      <c r="A603" s="652" t="str">
        <f t="shared" si="222"/>
        <v>Imprimir</v>
      </c>
      <c r="B603" s="652"/>
      <c r="C603" s="685"/>
      <c r="D603" s="686" t="s">
        <v>2621</v>
      </c>
      <c r="E603" s="686" t="s">
        <v>495</v>
      </c>
      <c r="F603" s="720"/>
      <c r="G603" s="688">
        <v>600</v>
      </c>
      <c r="H603" s="531">
        <f>Producción!G56*0.0242</f>
        <v>1.7423999999999999</v>
      </c>
      <c r="I603" s="851">
        <f t="shared" si="223"/>
        <v>1</v>
      </c>
      <c r="J603" s="850">
        <f t="shared" si="224"/>
        <v>1045.44</v>
      </c>
      <c r="K603" s="667"/>
      <c r="L603" s="858">
        <v>1</v>
      </c>
      <c r="M603" s="859"/>
      <c r="N603" s="859"/>
      <c r="O603" s="859"/>
      <c r="P603" s="859"/>
      <c r="Q603" s="859"/>
      <c r="R603" s="859"/>
      <c r="S603" s="859"/>
      <c r="T603" s="859"/>
      <c r="U603" s="859"/>
      <c r="V603" s="859"/>
      <c r="W603" s="859"/>
      <c r="X603" s="859"/>
      <c r="Y603" s="859"/>
      <c r="Z603" s="860"/>
      <c r="AA603" s="860"/>
      <c r="AB603" s="860"/>
      <c r="AC603" s="860"/>
      <c r="AD603" s="860"/>
      <c r="AE603" s="860"/>
      <c r="AF603" s="860"/>
      <c r="AG603" s="860"/>
      <c r="AH603" s="860"/>
      <c r="AI603" s="860"/>
      <c r="AJ603" s="860"/>
      <c r="AK603" s="860"/>
      <c r="AL603" s="860"/>
      <c r="AM603" s="860"/>
      <c r="AN603" s="860"/>
      <c r="AO603" s="860"/>
      <c r="AP603" s="860"/>
      <c r="AQ603" s="860"/>
      <c r="AR603" s="860"/>
      <c r="AS603" s="860"/>
      <c r="AT603" s="860"/>
      <c r="AU603" s="860"/>
      <c r="AV603" s="860"/>
      <c r="AW603" s="860"/>
      <c r="AX603" s="860"/>
      <c r="AY603" s="860"/>
      <c r="AZ603" s="860"/>
      <c r="BA603" s="860"/>
      <c r="BB603" s="860"/>
      <c r="BC603" s="860"/>
      <c r="BD603" s="860"/>
      <c r="BE603" s="860"/>
      <c r="BF603" s="860"/>
      <c r="BG603" s="860"/>
      <c r="BH603" s="668"/>
      <c r="BI603" s="667"/>
      <c r="BJ603" s="690">
        <f t="shared" si="225"/>
        <v>0</v>
      </c>
      <c r="BK603" s="691">
        <f t="shared" si="226"/>
        <v>0</v>
      </c>
      <c r="BL603" s="654"/>
      <c r="BM603" s="692">
        <f>SUMIFS(Imput[[Importe Neto]:[Importe Neto]],Imput[[C. Imp.]:[C. Imp.]],$D603,Imput[[PERIODO Imp.]:[PERIODO Imp.]],BM$9)</f>
        <v>0</v>
      </c>
      <c r="BN603" s="693">
        <f>SUMIFS(Imput[[Importe Neto]:[Importe Neto]],Imput[[C. Imp.]:[C. Imp.]],$D603,Imput[[PERIODO Imp.]:[PERIODO Imp.]],BN$9)</f>
        <v>0</v>
      </c>
      <c r="BO603" s="693">
        <f>SUMIFS(Imput[[Importe Neto]:[Importe Neto]],Imput[[C. Imp.]:[C. Imp.]],$D603,Imput[[PERIODO Imp.]:[PERIODO Imp.]],BO$9)</f>
        <v>0</v>
      </c>
      <c r="BP603" s="693">
        <f>SUMIFS(Imput[[Importe Neto]:[Importe Neto]],Imput[[C. Imp.]:[C. Imp.]],$D603,Imput[[PERIODO Imp.]:[PERIODO Imp.]],BP$9)</f>
        <v>0</v>
      </c>
      <c r="BQ603" s="693">
        <f>SUMIFS(Imput[[Importe Neto]:[Importe Neto]],Imput[[C. Imp.]:[C. Imp.]],$D603,Imput[[PERIODO Imp.]:[PERIODO Imp.]],BQ$9)</f>
        <v>0</v>
      </c>
      <c r="BR603" s="693">
        <f>SUMIFS(Imput[[Importe Neto]:[Importe Neto]],Imput[[C. Imp.]:[C. Imp.]],$D603,Imput[[PERIODO Imp.]:[PERIODO Imp.]],BR$9)</f>
        <v>0</v>
      </c>
      <c r="BS603" s="693">
        <f>SUMIFS(Imput[[Importe Neto]:[Importe Neto]],Imput[[C. Imp.]:[C. Imp.]],$D603,Imput[[PERIODO Imp.]:[PERIODO Imp.]],BS$9)</f>
        <v>0</v>
      </c>
      <c r="BT603" s="693">
        <f>SUMIFS(Imput[[Importe Neto]:[Importe Neto]],Imput[[C. Imp.]:[C. Imp.]],$D603,Imput[[PERIODO Imp.]:[PERIODO Imp.]],BT$9)</f>
        <v>0</v>
      </c>
      <c r="BU603" s="693">
        <f>SUMIFS(Imput[[Importe Neto]:[Importe Neto]],Imput[[C. Imp.]:[C. Imp.]],$D603,Imput[[PERIODO Imp.]:[PERIODO Imp.]],BU$9)</f>
        <v>0</v>
      </c>
      <c r="BV603" s="693">
        <f>SUMIFS(Imput[[Importe Neto]:[Importe Neto]],Imput[[C. Imp.]:[C. Imp.]],$D603,Imput[[PERIODO Imp.]:[PERIODO Imp.]],BV$9)</f>
        <v>0</v>
      </c>
      <c r="BW603" s="693">
        <f>SUMIFS(Imput[[Importe Neto]:[Importe Neto]],Imput[[C. Imp.]:[C. Imp.]],$D603,Imput[[PERIODO Imp.]:[PERIODO Imp.]],BW$9)</f>
        <v>0</v>
      </c>
      <c r="BX603" s="693">
        <f>SUMIFS(Imput[[Importe Neto]:[Importe Neto]],Imput[[C. Imp.]:[C. Imp.]],$D603,Imput[[PERIODO Imp.]:[PERIODO Imp.]],BX$9)</f>
        <v>0</v>
      </c>
      <c r="BY603" s="693">
        <f>SUMIFS(Imput[[Importe Neto]:[Importe Neto]],Imput[[C. Imp.]:[C. Imp.]],$D603,Imput[[PERIODO Imp.]:[PERIODO Imp.]],BY$9)</f>
        <v>0</v>
      </c>
      <c r="BZ603" s="693">
        <f>SUMIFS(Imput[[Importe Neto]:[Importe Neto]],Imput[[C. Imp.]:[C. Imp.]],$D603,Imput[[PERIODO Imp.]:[PERIODO Imp.]],BZ$9)</f>
        <v>0</v>
      </c>
      <c r="CA603" s="693">
        <f>SUMIFS(Imput[[Importe Neto]:[Importe Neto]],Imput[[C. Imp.]:[C. Imp.]],$D603,Imput[[PERIODO Imp.]:[PERIODO Imp.]],CA$9)</f>
        <v>0</v>
      </c>
      <c r="CB603" s="693">
        <f>SUMIFS(Imput[[Importe Neto]:[Importe Neto]],Imput[[C. Imp.]:[C. Imp.]],$D603,Imput[[PERIODO Imp.]:[PERIODO Imp.]],CB$9)</f>
        <v>0</v>
      </c>
      <c r="CC603" s="693">
        <f>SUMIFS(Imput[[Importe Neto]:[Importe Neto]],Imput[[C. Imp.]:[C. Imp.]],$D603,Imput[[PERIODO Imp.]:[PERIODO Imp.]],CC$9)</f>
        <v>0</v>
      </c>
      <c r="CD603" s="693">
        <f>SUMIFS(Imput[[Importe Neto]:[Importe Neto]],Imput[[C. Imp.]:[C. Imp.]],$D603,Imput[[PERIODO Imp.]:[PERIODO Imp.]],CD$9)</f>
        <v>0</v>
      </c>
      <c r="CE603" s="693">
        <f>SUMIFS(Imput[[Importe Neto]:[Importe Neto]],Imput[[C. Imp.]:[C. Imp.]],$D603,Imput[[PERIODO Imp.]:[PERIODO Imp.]],CE$9)</f>
        <v>0</v>
      </c>
      <c r="CF603" s="693">
        <f>SUMIFS(Imput[[Importe Neto]:[Importe Neto]],Imput[[C. Imp.]:[C. Imp.]],$D603,Imput[[PERIODO Imp.]:[PERIODO Imp.]],CF$9)</f>
        <v>0</v>
      </c>
      <c r="CG603" s="693">
        <f>SUMIFS(Imput[[Importe Neto]:[Importe Neto]],Imput[[C. Imp.]:[C. Imp.]],$D603,Imput[[PERIODO Imp.]:[PERIODO Imp.]],CG$9)</f>
        <v>0</v>
      </c>
      <c r="CH603" s="693">
        <f>SUMIFS(Imput[[Importe Neto]:[Importe Neto]],Imput[[C. Imp.]:[C. Imp.]],$D603,Imput[[PERIODO Imp.]:[PERIODO Imp.]],CH$9)</f>
        <v>0</v>
      </c>
      <c r="CI603" s="693">
        <f>SUMIFS(Imput[[Importe Neto]:[Importe Neto]],Imput[[C. Imp.]:[C. Imp.]],$D603,Imput[[PERIODO Imp.]:[PERIODO Imp.]],CI$9)</f>
        <v>0</v>
      </c>
      <c r="CJ603" s="693">
        <f>SUMIFS(Imput[[Importe Neto]:[Importe Neto]],Imput[[C. Imp.]:[C. Imp.]],$D603,Imput[[PERIODO Imp.]:[PERIODO Imp.]],CJ$9)</f>
        <v>0</v>
      </c>
      <c r="CK603" s="693">
        <f>SUMIFS(Imput[[Importe Neto]:[Importe Neto]],Imput[[C. Imp.]:[C. Imp.]],$D603,Imput[[PERIODO Imp.]:[PERIODO Imp.]],CK$9)</f>
        <v>0</v>
      </c>
      <c r="CL603" s="693">
        <f>SUMIFS(Imput[[Importe Neto]:[Importe Neto]],Imput[[C. Imp.]:[C. Imp.]],$D603,Imput[[PERIODO Imp.]:[PERIODO Imp.]],CL$9)</f>
        <v>0</v>
      </c>
      <c r="CM603" s="693">
        <f>SUMIFS(Imput[[Importe Neto]:[Importe Neto]],Imput[[C. Imp.]:[C. Imp.]],$D603,Imput[[PERIODO Imp.]:[PERIODO Imp.]],CM$9)</f>
        <v>0</v>
      </c>
      <c r="CN603" s="693">
        <f>SUMIFS(Imput[[Importe Neto]:[Importe Neto]],Imput[[C. Imp.]:[C. Imp.]],$D603,Imput[[PERIODO Imp.]:[PERIODO Imp.]],CN$9)</f>
        <v>0</v>
      </c>
      <c r="CO603" s="693">
        <f>SUMIFS(Imput[[Importe Neto]:[Importe Neto]],Imput[[C. Imp.]:[C. Imp.]],$D603,Imput[[PERIODO Imp.]:[PERIODO Imp.]],CO$9)</f>
        <v>0</v>
      </c>
      <c r="CP603" s="693">
        <f>SUMIFS(Imput[[Importe Neto]:[Importe Neto]],Imput[[C. Imp.]:[C. Imp.]],$D603,Imput[[PERIODO Imp.]:[PERIODO Imp.]],CP$9)</f>
        <v>0</v>
      </c>
      <c r="CQ603" s="693">
        <f>SUMIFS(Imput[[Importe Neto]:[Importe Neto]],Imput[[C. Imp.]:[C. Imp.]],$D603,Imput[[PERIODO Imp.]:[PERIODO Imp.]],CQ$9)</f>
        <v>0</v>
      </c>
      <c r="CR603" s="693">
        <f>SUMIFS(Imput[[Importe Neto]:[Importe Neto]],Imput[[C. Imp.]:[C. Imp.]],$D603,Imput[[PERIODO Imp.]:[PERIODO Imp.]],CR$9)</f>
        <v>0</v>
      </c>
      <c r="CS603" s="693">
        <f>SUMIFS(Imput[[Importe Neto]:[Importe Neto]],Imput[[C. Imp.]:[C. Imp.]],$D603,Imput[[PERIODO Imp.]:[PERIODO Imp.]],CS$9)</f>
        <v>0</v>
      </c>
      <c r="CT603" s="693">
        <f>SUMIFS(Imput[[Importe Neto]:[Importe Neto]],Imput[[C. Imp.]:[C. Imp.]],$D603,Imput[[PERIODO Imp.]:[PERIODO Imp.]],CT$9)</f>
        <v>0</v>
      </c>
      <c r="CU603" s="693">
        <f>SUMIFS(Imput[[Importe Neto]:[Importe Neto]],Imput[[C. Imp.]:[C. Imp.]],$D603,Imput[[PERIODO Imp.]:[PERIODO Imp.]],CU$9)</f>
        <v>0</v>
      </c>
      <c r="CV603" s="693">
        <f>SUMIFS(Imput[[Importe Neto]:[Importe Neto]],Imput[[C. Imp.]:[C. Imp.]],$D603,Imput[[PERIODO Imp.]:[PERIODO Imp.]],CV$9)</f>
        <v>0</v>
      </c>
      <c r="CW603" s="693">
        <f>SUMIFS(Imput[[Importe Neto]:[Importe Neto]],Imput[[C. Imp.]:[C. Imp.]],$D603,Imput[[PERIODO Imp.]:[PERIODO Imp.]],CW$9)</f>
        <v>0</v>
      </c>
      <c r="CX603" s="693">
        <f>SUMIFS(Imput[[Importe Neto]:[Importe Neto]],Imput[[C. Imp.]:[C. Imp.]],$D603,Imput[[PERIODO Imp.]:[PERIODO Imp.]],CX$9)</f>
        <v>0</v>
      </c>
      <c r="CY603" s="693">
        <f>SUMIFS(Imput[[Importe Neto]:[Importe Neto]],Imput[[C. Imp.]:[C. Imp.]],$D603,Imput[[PERIODO Imp.]:[PERIODO Imp.]],CY$9)</f>
        <v>0</v>
      </c>
      <c r="CZ603" s="693">
        <f>SUMIFS(Imput[[Importe Neto]:[Importe Neto]],Imput[[C. Imp.]:[C. Imp.]],$D603,Imput[[PERIODO Imp.]:[PERIODO Imp.]],CZ$9)</f>
        <v>0</v>
      </c>
      <c r="DA603" s="693">
        <f>SUMIFS(Imput[[Importe Neto]:[Importe Neto]],Imput[[C. Imp.]:[C. Imp.]],$D603,Imput[[PERIODO Imp.]:[PERIODO Imp.]],DA$9)</f>
        <v>0</v>
      </c>
      <c r="DB603" s="693">
        <f>SUMIFS(Imput[[Importe Neto]:[Importe Neto]],Imput[[C. Imp.]:[C. Imp.]],$D603,Imput[[PERIODO Imp.]:[PERIODO Imp.]],DB$9)</f>
        <v>0</v>
      </c>
      <c r="DC603" s="693">
        <f>SUMIFS(Imput[[Importe Neto]:[Importe Neto]],Imput[[C. Imp.]:[C. Imp.]],$D603,Imput[[PERIODO Imp.]:[PERIODO Imp.]],DC$9)</f>
        <v>0</v>
      </c>
      <c r="DD603" s="693">
        <f>SUMIFS(Imput[[Importe Neto]:[Importe Neto]],Imput[[C. Imp.]:[C. Imp.]],$D603,Imput[[PERIODO Imp.]:[PERIODO Imp.]],DD$9)</f>
        <v>0</v>
      </c>
      <c r="DE603" s="693">
        <f>SUMIFS(Imput[[Importe Neto]:[Importe Neto]],Imput[[C. Imp.]:[C. Imp.]],$D603,Imput[[PERIODO Imp.]:[PERIODO Imp.]],DE$9)</f>
        <v>0</v>
      </c>
      <c r="DF603" s="693">
        <f>SUMIFS(Imput[[Importe Neto]:[Importe Neto]],Imput[[C. Imp.]:[C. Imp.]],$D603,Imput[[PERIODO Imp.]:[PERIODO Imp.]],DF$9)</f>
        <v>0</v>
      </c>
      <c r="DG603" s="693">
        <f>SUMIFS(Imput[[Importe Neto]:[Importe Neto]],Imput[[C. Imp.]:[C. Imp.]],$D603,Imput[[PERIODO Imp.]:[PERIODO Imp.]],DG$9)</f>
        <v>0</v>
      </c>
      <c r="DH603" s="694">
        <f>SUMIFS(Imput[[Importe Neto]:[Importe Neto]],Imput[[C. Imp.]:[C. Imp.]],$D603,Imput[[PERIODO Imp.]:[PERIODO Imp.]],DH$9)</f>
        <v>0</v>
      </c>
    </row>
    <row r="604" spans="1:112" s="649" customFormat="1" outlineLevel="1" x14ac:dyDescent="0.3">
      <c r="A604" s="652" t="str">
        <f t="shared" si="222"/>
        <v>Imprimir</v>
      </c>
      <c r="B604" s="652"/>
      <c r="C604" s="685"/>
      <c r="D604" s="686" t="s">
        <v>2622</v>
      </c>
      <c r="E604" s="686" t="s">
        <v>496</v>
      </c>
      <c r="F604" s="720"/>
      <c r="G604" s="688">
        <v>450</v>
      </c>
      <c r="H604" s="531">
        <f>Producción!G56*0.024</f>
        <v>1.728</v>
      </c>
      <c r="I604" s="851">
        <f t="shared" si="223"/>
        <v>1</v>
      </c>
      <c r="J604" s="850">
        <f t="shared" si="224"/>
        <v>777.6</v>
      </c>
      <c r="K604" s="667"/>
      <c r="L604" s="858">
        <v>1</v>
      </c>
      <c r="M604" s="859"/>
      <c r="N604" s="859"/>
      <c r="O604" s="859"/>
      <c r="P604" s="859"/>
      <c r="Q604" s="859"/>
      <c r="R604" s="859"/>
      <c r="S604" s="859"/>
      <c r="T604" s="859"/>
      <c r="U604" s="859"/>
      <c r="V604" s="859"/>
      <c r="W604" s="859"/>
      <c r="X604" s="859"/>
      <c r="Y604" s="859"/>
      <c r="Z604" s="860"/>
      <c r="AA604" s="860"/>
      <c r="AB604" s="860"/>
      <c r="AC604" s="860"/>
      <c r="AD604" s="860"/>
      <c r="AE604" s="860"/>
      <c r="AF604" s="860"/>
      <c r="AG604" s="860"/>
      <c r="AH604" s="860"/>
      <c r="AI604" s="860"/>
      <c r="AJ604" s="860"/>
      <c r="AK604" s="860"/>
      <c r="AL604" s="860"/>
      <c r="AM604" s="860"/>
      <c r="AN604" s="860"/>
      <c r="AO604" s="860"/>
      <c r="AP604" s="860"/>
      <c r="AQ604" s="860"/>
      <c r="AR604" s="860"/>
      <c r="AS604" s="860"/>
      <c r="AT604" s="860"/>
      <c r="AU604" s="860"/>
      <c r="AV604" s="860"/>
      <c r="AW604" s="860"/>
      <c r="AX604" s="860"/>
      <c r="AY604" s="860"/>
      <c r="AZ604" s="860"/>
      <c r="BA604" s="860"/>
      <c r="BB604" s="860"/>
      <c r="BC604" s="860"/>
      <c r="BD604" s="860"/>
      <c r="BE604" s="860"/>
      <c r="BF604" s="860"/>
      <c r="BG604" s="860"/>
      <c r="BH604" s="668"/>
      <c r="BI604" s="667"/>
      <c r="BJ604" s="690">
        <f t="shared" si="225"/>
        <v>0</v>
      </c>
      <c r="BK604" s="691">
        <f t="shared" si="226"/>
        <v>0</v>
      </c>
      <c r="BL604" s="654"/>
      <c r="BM604" s="692">
        <f>SUMIFS(Imput[[Importe Neto]:[Importe Neto]],Imput[[C. Imp.]:[C. Imp.]],$D604,Imput[[PERIODO Imp.]:[PERIODO Imp.]],BM$9)</f>
        <v>0</v>
      </c>
      <c r="BN604" s="693">
        <f>SUMIFS(Imput[[Importe Neto]:[Importe Neto]],Imput[[C. Imp.]:[C. Imp.]],$D604,Imput[[PERIODO Imp.]:[PERIODO Imp.]],BN$9)</f>
        <v>0</v>
      </c>
      <c r="BO604" s="693">
        <f>SUMIFS(Imput[[Importe Neto]:[Importe Neto]],Imput[[C. Imp.]:[C. Imp.]],$D604,Imput[[PERIODO Imp.]:[PERIODO Imp.]],BO$9)</f>
        <v>0</v>
      </c>
      <c r="BP604" s="693">
        <f>SUMIFS(Imput[[Importe Neto]:[Importe Neto]],Imput[[C. Imp.]:[C. Imp.]],$D604,Imput[[PERIODO Imp.]:[PERIODO Imp.]],BP$9)</f>
        <v>0</v>
      </c>
      <c r="BQ604" s="693">
        <f>SUMIFS(Imput[[Importe Neto]:[Importe Neto]],Imput[[C. Imp.]:[C. Imp.]],$D604,Imput[[PERIODO Imp.]:[PERIODO Imp.]],BQ$9)</f>
        <v>0</v>
      </c>
      <c r="BR604" s="693">
        <f>SUMIFS(Imput[[Importe Neto]:[Importe Neto]],Imput[[C. Imp.]:[C. Imp.]],$D604,Imput[[PERIODO Imp.]:[PERIODO Imp.]],BR$9)</f>
        <v>0</v>
      </c>
      <c r="BS604" s="693">
        <f>SUMIFS(Imput[[Importe Neto]:[Importe Neto]],Imput[[C. Imp.]:[C. Imp.]],$D604,Imput[[PERIODO Imp.]:[PERIODO Imp.]],BS$9)</f>
        <v>0</v>
      </c>
      <c r="BT604" s="693">
        <f>SUMIFS(Imput[[Importe Neto]:[Importe Neto]],Imput[[C. Imp.]:[C. Imp.]],$D604,Imput[[PERIODO Imp.]:[PERIODO Imp.]],BT$9)</f>
        <v>0</v>
      </c>
      <c r="BU604" s="693">
        <f>SUMIFS(Imput[[Importe Neto]:[Importe Neto]],Imput[[C. Imp.]:[C. Imp.]],$D604,Imput[[PERIODO Imp.]:[PERIODO Imp.]],BU$9)</f>
        <v>0</v>
      </c>
      <c r="BV604" s="693">
        <f>SUMIFS(Imput[[Importe Neto]:[Importe Neto]],Imput[[C. Imp.]:[C. Imp.]],$D604,Imput[[PERIODO Imp.]:[PERIODO Imp.]],BV$9)</f>
        <v>0</v>
      </c>
      <c r="BW604" s="693">
        <f>SUMIFS(Imput[[Importe Neto]:[Importe Neto]],Imput[[C. Imp.]:[C. Imp.]],$D604,Imput[[PERIODO Imp.]:[PERIODO Imp.]],BW$9)</f>
        <v>0</v>
      </c>
      <c r="BX604" s="693">
        <f>SUMIFS(Imput[[Importe Neto]:[Importe Neto]],Imput[[C. Imp.]:[C. Imp.]],$D604,Imput[[PERIODO Imp.]:[PERIODO Imp.]],BX$9)</f>
        <v>0</v>
      </c>
      <c r="BY604" s="693">
        <f>SUMIFS(Imput[[Importe Neto]:[Importe Neto]],Imput[[C. Imp.]:[C. Imp.]],$D604,Imput[[PERIODO Imp.]:[PERIODO Imp.]],BY$9)</f>
        <v>0</v>
      </c>
      <c r="BZ604" s="693">
        <f>SUMIFS(Imput[[Importe Neto]:[Importe Neto]],Imput[[C. Imp.]:[C. Imp.]],$D604,Imput[[PERIODO Imp.]:[PERIODO Imp.]],BZ$9)</f>
        <v>0</v>
      </c>
      <c r="CA604" s="693">
        <f>SUMIFS(Imput[[Importe Neto]:[Importe Neto]],Imput[[C. Imp.]:[C. Imp.]],$D604,Imput[[PERIODO Imp.]:[PERIODO Imp.]],CA$9)</f>
        <v>0</v>
      </c>
      <c r="CB604" s="693">
        <f>SUMIFS(Imput[[Importe Neto]:[Importe Neto]],Imput[[C. Imp.]:[C. Imp.]],$D604,Imput[[PERIODO Imp.]:[PERIODO Imp.]],CB$9)</f>
        <v>0</v>
      </c>
      <c r="CC604" s="693">
        <f>SUMIFS(Imput[[Importe Neto]:[Importe Neto]],Imput[[C. Imp.]:[C. Imp.]],$D604,Imput[[PERIODO Imp.]:[PERIODO Imp.]],CC$9)</f>
        <v>0</v>
      </c>
      <c r="CD604" s="693">
        <f>SUMIFS(Imput[[Importe Neto]:[Importe Neto]],Imput[[C. Imp.]:[C. Imp.]],$D604,Imput[[PERIODO Imp.]:[PERIODO Imp.]],CD$9)</f>
        <v>0</v>
      </c>
      <c r="CE604" s="693">
        <f>SUMIFS(Imput[[Importe Neto]:[Importe Neto]],Imput[[C. Imp.]:[C. Imp.]],$D604,Imput[[PERIODO Imp.]:[PERIODO Imp.]],CE$9)</f>
        <v>0</v>
      </c>
      <c r="CF604" s="693">
        <f>SUMIFS(Imput[[Importe Neto]:[Importe Neto]],Imput[[C. Imp.]:[C. Imp.]],$D604,Imput[[PERIODO Imp.]:[PERIODO Imp.]],CF$9)</f>
        <v>0</v>
      </c>
      <c r="CG604" s="693">
        <f>SUMIFS(Imput[[Importe Neto]:[Importe Neto]],Imput[[C. Imp.]:[C. Imp.]],$D604,Imput[[PERIODO Imp.]:[PERIODO Imp.]],CG$9)</f>
        <v>0</v>
      </c>
      <c r="CH604" s="693">
        <f>SUMIFS(Imput[[Importe Neto]:[Importe Neto]],Imput[[C. Imp.]:[C. Imp.]],$D604,Imput[[PERIODO Imp.]:[PERIODO Imp.]],CH$9)</f>
        <v>0</v>
      </c>
      <c r="CI604" s="693">
        <f>SUMIFS(Imput[[Importe Neto]:[Importe Neto]],Imput[[C. Imp.]:[C. Imp.]],$D604,Imput[[PERIODO Imp.]:[PERIODO Imp.]],CI$9)</f>
        <v>0</v>
      </c>
      <c r="CJ604" s="693">
        <f>SUMIFS(Imput[[Importe Neto]:[Importe Neto]],Imput[[C. Imp.]:[C. Imp.]],$D604,Imput[[PERIODO Imp.]:[PERIODO Imp.]],CJ$9)</f>
        <v>0</v>
      </c>
      <c r="CK604" s="693">
        <f>SUMIFS(Imput[[Importe Neto]:[Importe Neto]],Imput[[C. Imp.]:[C. Imp.]],$D604,Imput[[PERIODO Imp.]:[PERIODO Imp.]],CK$9)</f>
        <v>0</v>
      </c>
      <c r="CL604" s="693">
        <f>SUMIFS(Imput[[Importe Neto]:[Importe Neto]],Imput[[C. Imp.]:[C. Imp.]],$D604,Imput[[PERIODO Imp.]:[PERIODO Imp.]],CL$9)</f>
        <v>0</v>
      </c>
      <c r="CM604" s="693">
        <f>SUMIFS(Imput[[Importe Neto]:[Importe Neto]],Imput[[C. Imp.]:[C. Imp.]],$D604,Imput[[PERIODO Imp.]:[PERIODO Imp.]],CM$9)</f>
        <v>0</v>
      </c>
      <c r="CN604" s="693">
        <f>SUMIFS(Imput[[Importe Neto]:[Importe Neto]],Imput[[C. Imp.]:[C. Imp.]],$D604,Imput[[PERIODO Imp.]:[PERIODO Imp.]],CN$9)</f>
        <v>0</v>
      </c>
      <c r="CO604" s="693">
        <f>SUMIFS(Imput[[Importe Neto]:[Importe Neto]],Imput[[C. Imp.]:[C. Imp.]],$D604,Imput[[PERIODO Imp.]:[PERIODO Imp.]],CO$9)</f>
        <v>0</v>
      </c>
      <c r="CP604" s="693">
        <f>SUMIFS(Imput[[Importe Neto]:[Importe Neto]],Imput[[C. Imp.]:[C. Imp.]],$D604,Imput[[PERIODO Imp.]:[PERIODO Imp.]],CP$9)</f>
        <v>0</v>
      </c>
      <c r="CQ604" s="693">
        <f>SUMIFS(Imput[[Importe Neto]:[Importe Neto]],Imput[[C. Imp.]:[C. Imp.]],$D604,Imput[[PERIODO Imp.]:[PERIODO Imp.]],CQ$9)</f>
        <v>0</v>
      </c>
      <c r="CR604" s="693">
        <f>SUMIFS(Imput[[Importe Neto]:[Importe Neto]],Imput[[C. Imp.]:[C. Imp.]],$D604,Imput[[PERIODO Imp.]:[PERIODO Imp.]],CR$9)</f>
        <v>0</v>
      </c>
      <c r="CS604" s="693">
        <f>SUMIFS(Imput[[Importe Neto]:[Importe Neto]],Imput[[C. Imp.]:[C. Imp.]],$D604,Imput[[PERIODO Imp.]:[PERIODO Imp.]],CS$9)</f>
        <v>0</v>
      </c>
      <c r="CT604" s="693">
        <f>SUMIFS(Imput[[Importe Neto]:[Importe Neto]],Imput[[C. Imp.]:[C. Imp.]],$D604,Imput[[PERIODO Imp.]:[PERIODO Imp.]],CT$9)</f>
        <v>0</v>
      </c>
      <c r="CU604" s="693">
        <f>SUMIFS(Imput[[Importe Neto]:[Importe Neto]],Imput[[C. Imp.]:[C. Imp.]],$D604,Imput[[PERIODO Imp.]:[PERIODO Imp.]],CU$9)</f>
        <v>0</v>
      </c>
      <c r="CV604" s="693">
        <f>SUMIFS(Imput[[Importe Neto]:[Importe Neto]],Imput[[C. Imp.]:[C. Imp.]],$D604,Imput[[PERIODO Imp.]:[PERIODO Imp.]],CV$9)</f>
        <v>0</v>
      </c>
      <c r="CW604" s="693">
        <f>SUMIFS(Imput[[Importe Neto]:[Importe Neto]],Imput[[C. Imp.]:[C. Imp.]],$D604,Imput[[PERIODO Imp.]:[PERIODO Imp.]],CW$9)</f>
        <v>0</v>
      </c>
      <c r="CX604" s="693">
        <f>SUMIFS(Imput[[Importe Neto]:[Importe Neto]],Imput[[C. Imp.]:[C. Imp.]],$D604,Imput[[PERIODO Imp.]:[PERIODO Imp.]],CX$9)</f>
        <v>0</v>
      </c>
      <c r="CY604" s="693">
        <f>SUMIFS(Imput[[Importe Neto]:[Importe Neto]],Imput[[C. Imp.]:[C. Imp.]],$D604,Imput[[PERIODO Imp.]:[PERIODO Imp.]],CY$9)</f>
        <v>0</v>
      </c>
      <c r="CZ604" s="693">
        <f>SUMIFS(Imput[[Importe Neto]:[Importe Neto]],Imput[[C. Imp.]:[C. Imp.]],$D604,Imput[[PERIODO Imp.]:[PERIODO Imp.]],CZ$9)</f>
        <v>0</v>
      </c>
      <c r="DA604" s="693">
        <f>SUMIFS(Imput[[Importe Neto]:[Importe Neto]],Imput[[C. Imp.]:[C. Imp.]],$D604,Imput[[PERIODO Imp.]:[PERIODO Imp.]],DA$9)</f>
        <v>0</v>
      </c>
      <c r="DB604" s="693">
        <f>SUMIFS(Imput[[Importe Neto]:[Importe Neto]],Imput[[C. Imp.]:[C. Imp.]],$D604,Imput[[PERIODO Imp.]:[PERIODO Imp.]],DB$9)</f>
        <v>0</v>
      </c>
      <c r="DC604" s="693">
        <f>SUMIFS(Imput[[Importe Neto]:[Importe Neto]],Imput[[C. Imp.]:[C. Imp.]],$D604,Imput[[PERIODO Imp.]:[PERIODO Imp.]],DC$9)</f>
        <v>0</v>
      </c>
      <c r="DD604" s="693">
        <f>SUMIFS(Imput[[Importe Neto]:[Importe Neto]],Imput[[C. Imp.]:[C. Imp.]],$D604,Imput[[PERIODO Imp.]:[PERIODO Imp.]],DD$9)</f>
        <v>0</v>
      </c>
      <c r="DE604" s="693">
        <f>SUMIFS(Imput[[Importe Neto]:[Importe Neto]],Imput[[C. Imp.]:[C. Imp.]],$D604,Imput[[PERIODO Imp.]:[PERIODO Imp.]],DE$9)</f>
        <v>0</v>
      </c>
      <c r="DF604" s="693">
        <f>SUMIFS(Imput[[Importe Neto]:[Importe Neto]],Imput[[C. Imp.]:[C. Imp.]],$D604,Imput[[PERIODO Imp.]:[PERIODO Imp.]],DF$9)</f>
        <v>0</v>
      </c>
      <c r="DG604" s="693">
        <f>SUMIFS(Imput[[Importe Neto]:[Importe Neto]],Imput[[C. Imp.]:[C. Imp.]],$D604,Imput[[PERIODO Imp.]:[PERIODO Imp.]],DG$9)</f>
        <v>0</v>
      </c>
      <c r="DH604" s="694">
        <f>SUMIFS(Imput[[Importe Neto]:[Importe Neto]],Imput[[C. Imp.]:[C. Imp.]],$D604,Imput[[PERIODO Imp.]:[PERIODO Imp.]],DH$9)</f>
        <v>0</v>
      </c>
    </row>
    <row r="605" spans="1:112" s="649" customFormat="1" outlineLevel="1" x14ac:dyDescent="0.3">
      <c r="A605" s="652" t="str">
        <f t="shared" si="222"/>
        <v>Imprimir</v>
      </c>
      <c r="B605" s="652"/>
      <c r="C605" s="685"/>
      <c r="D605" s="686" t="s">
        <v>2623</v>
      </c>
      <c r="E605" s="686" t="s">
        <v>497</v>
      </c>
      <c r="F605" s="720"/>
      <c r="G605" s="688">
        <v>9.8333333333333339</v>
      </c>
      <c r="H605" s="531">
        <f>Producción!G56*12</f>
        <v>864</v>
      </c>
      <c r="I605" s="851">
        <f t="shared" si="223"/>
        <v>1</v>
      </c>
      <c r="J605" s="850">
        <f t="shared" si="224"/>
        <v>8496</v>
      </c>
      <c r="K605" s="667"/>
      <c r="L605" s="858">
        <v>0.3</v>
      </c>
      <c r="M605" s="859"/>
      <c r="N605" s="859"/>
      <c r="O605" s="859"/>
      <c r="P605" s="859">
        <v>0.3</v>
      </c>
      <c r="Q605" s="859"/>
      <c r="R605" s="859"/>
      <c r="S605" s="859"/>
      <c r="T605" s="859"/>
      <c r="U605" s="859"/>
      <c r="V605" s="859"/>
      <c r="W605" s="859">
        <v>0.3</v>
      </c>
      <c r="X605" s="859"/>
      <c r="Y605" s="859"/>
      <c r="Z605" s="860"/>
      <c r="AA605" s="860"/>
      <c r="AB605" s="860"/>
      <c r="AC605" s="860"/>
      <c r="AD605" s="860"/>
      <c r="AE605" s="860">
        <v>0.1</v>
      </c>
      <c r="AF605" s="860"/>
      <c r="AG605" s="860"/>
      <c r="AH605" s="860"/>
      <c r="AI605" s="860"/>
      <c r="AJ605" s="860"/>
      <c r="AK605" s="860"/>
      <c r="AL605" s="860"/>
      <c r="AM605" s="860"/>
      <c r="AN605" s="860"/>
      <c r="AO605" s="860"/>
      <c r="AP605" s="860"/>
      <c r="AQ605" s="860"/>
      <c r="AR605" s="860"/>
      <c r="AS605" s="860"/>
      <c r="AT605" s="860"/>
      <c r="AU605" s="860"/>
      <c r="AV605" s="860"/>
      <c r="AW605" s="860"/>
      <c r="AX605" s="860"/>
      <c r="AY605" s="860"/>
      <c r="AZ605" s="860"/>
      <c r="BA605" s="860"/>
      <c r="BB605" s="860"/>
      <c r="BC605" s="860"/>
      <c r="BD605" s="860"/>
      <c r="BE605" s="860"/>
      <c r="BF605" s="860"/>
      <c r="BG605" s="860"/>
      <c r="BH605" s="668"/>
      <c r="BI605" s="667"/>
      <c r="BJ605" s="690">
        <f t="shared" si="225"/>
        <v>0</v>
      </c>
      <c r="BK605" s="691">
        <f t="shared" si="226"/>
        <v>0</v>
      </c>
      <c r="BL605" s="654"/>
      <c r="BM605" s="692">
        <f>SUMIFS(Imput[[Importe Neto]:[Importe Neto]],Imput[[C. Imp.]:[C. Imp.]],$D605,Imput[[PERIODO Imp.]:[PERIODO Imp.]],BM$9)</f>
        <v>0</v>
      </c>
      <c r="BN605" s="693">
        <f>SUMIFS(Imput[[Importe Neto]:[Importe Neto]],Imput[[C. Imp.]:[C. Imp.]],$D605,Imput[[PERIODO Imp.]:[PERIODO Imp.]],BN$9)</f>
        <v>0</v>
      </c>
      <c r="BO605" s="693">
        <f>SUMIFS(Imput[[Importe Neto]:[Importe Neto]],Imput[[C. Imp.]:[C. Imp.]],$D605,Imput[[PERIODO Imp.]:[PERIODO Imp.]],BO$9)</f>
        <v>0</v>
      </c>
      <c r="BP605" s="693">
        <f>SUMIFS(Imput[[Importe Neto]:[Importe Neto]],Imput[[C. Imp.]:[C. Imp.]],$D605,Imput[[PERIODO Imp.]:[PERIODO Imp.]],BP$9)</f>
        <v>0</v>
      </c>
      <c r="BQ605" s="693">
        <f>SUMIFS(Imput[[Importe Neto]:[Importe Neto]],Imput[[C. Imp.]:[C. Imp.]],$D605,Imput[[PERIODO Imp.]:[PERIODO Imp.]],BQ$9)</f>
        <v>0</v>
      </c>
      <c r="BR605" s="693">
        <f>SUMIFS(Imput[[Importe Neto]:[Importe Neto]],Imput[[C. Imp.]:[C. Imp.]],$D605,Imput[[PERIODO Imp.]:[PERIODO Imp.]],BR$9)</f>
        <v>0</v>
      </c>
      <c r="BS605" s="693">
        <f>SUMIFS(Imput[[Importe Neto]:[Importe Neto]],Imput[[C. Imp.]:[C. Imp.]],$D605,Imput[[PERIODO Imp.]:[PERIODO Imp.]],BS$9)</f>
        <v>0</v>
      </c>
      <c r="BT605" s="693">
        <f>SUMIFS(Imput[[Importe Neto]:[Importe Neto]],Imput[[C. Imp.]:[C. Imp.]],$D605,Imput[[PERIODO Imp.]:[PERIODO Imp.]],BT$9)</f>
        <v>0</v>
      </c>
      <c r="BU605" s="693">
        <f>SUMIFS(Imput[[Importe Neto]:[Importe Neto]],Imput[[C. Imp.]:[C. Imp.]],$D605,Imput[[PERIODO Imp.]:[PERIODO Imp.]],BU$9)</f>
        <v>0</v>
      </c>
      <c r="BV605" s="693">
        <f>SUMIFS(Imput[[Importe Neto]:[Importe Neto]],Imput[[C. Imp.]:[C. Imp.]],$D605,Imput[[PERIODO Imp.]:[PERIODO Imp.]],BV$9)</f>
        <v>0</v>
      </c>
      <c r="BW605" s="693">
        <f>SUMIFS(Imput[[Importe Neto]:[Importe Neto]],Imput[[C. Imp.]:[C. Imp.]],$D605,Imput[[PERIODO Imp.]:[PERIODO Imp.]],BW$9)</f>
        <v>0</v>
      </c>
      <c r="BX605" s="693">
        <f>SUMIFS(Imput[[Importe Neto]:[Importe Neto]],Imput[[C. Imp.]:[C. Imp.]],$D605,Imput[[PERIODO Imp.]:[PERIODO Imp.]],BX$9)</f>
        <v>0</v>
      </c>
      <c r="BY605" s="693">
        <f>SUMIFS(Imput[[Importe Neto]:[Importe Neto]],Imput[[C. Imp.]:[C. Imp.]],$D605,Imput[[PERIODO Imp.]:[PERIODO Imp.]],BY$9)</f>
        <v>0</v>
      </c>
      <c r="BZ605" s="693">
        <f>SUMIFS(Imput[[Importe Neto]:[Importe Neto]],Imput[[C. Imp.]:[C. Imp.]],$D605,Imput[[PERIODO Imp.]:[PERIODO Imp.]],BZ$9)</f>
        <v>0</v>
      </c>
      <c r="CA605" s="693">
        <f>SUMIFS(Imput[[Importe Neto]:[Importe Neto]],Imput[[C. Imp.]:[C. Imp.]],$D605,Imput[[PERIODO Imp.]:[PERIODO Imp.]],CA$9)</f>
        <v>0</v>
      </c>
      <c r="CB605" s="693">
        <f>SUMIFS(Imput[[Importe Neto]:[Importe Neto]],Imput[[C. Imp.]:[C. Imp.]],$D605,Imput[[PERIODO Imp.]:[PERIODO Imp.]],CB$9)</f>
        <v>0</v>
      </c>
      <c r="CC605" s="693">
        <f>SUMIFS(Imput[[Importe Neto]:[Importe Neto]],Imput[[C. Imp.]:[C. Imp.]],$D605,Imput[[PERIODO Imp.]:[PERIODO Imp.]],CC$9)</f>
        <v>0</v>
      </c>
      <c r="CD605" s="693">
        <f>SUMIFS(Imput[[Importe Neto]:[Importe Neto]],Imput[[C. Imp.]:[C. Imp.]],$D605,Imput[[PERIODO Imp.]:[PERIODO Imp.]],CD$9)</f>
        <v>0</v>
      </c>
      <c r="CE605" s="693">
        <f>SUMIFS(Imput[[Importe Neto]:[Importe Neto]],Imput[[C. Imp.]:[C. Imp.]],$D605,Imput[[PERIODO Imp.]:[PERIODO Imp.]],CE$9)</f>
        <v>0</v>
      </c>
      <c r="CF605" s="693">
        <f>SUMIFS(Imput[[Importe Neto]:[Importe Neto]],Imput[[C. Imp.]:[C. Imp.]],$D605,Imput[[PERIODO Imp.]:[PERIODO Imp.]],CF$9)</f>
        <v>0</v>
      </c>
      <c r="CG605" s="693">
        <f>SUMIFS(Imput[[Importe Neto]:[Importe Neto]],Imput[[C. Imp.]:[C. Imp.]],$D605,Imput[[PERIODO Imp.]:[PERIODO Imp.]],CG$9)</f>
        <v>0</v>
      </c>
      <c r="CH605" s="693">
        <f>SUMIFS(Imput[[Importe Neto]:[Importe Neto]],Imput[[C. Imp.]:[C. Imp.]],$D605,Imput[[PERIODO Imp.]:[PERIODO Imp.]],CH$9)</f>
        <v>0</v>
      </c>
      <c r="CI605" s="693">
        <f>SUMIFS(Imput[[Importe Neto]:[Importe Neto]],Imput[[C. Imp.]:[C. Imp.]],$D605,Imput[[PERIODO Imp.]:[PERIODO Imp.]],CI$9)</f>
        <v>0</v>
      </c>
      <c r="CJ605" s="693">
        <f>SUMIFS(Imput[[Importe Neto]:[Importe Neto]],Imput[[C. Imp.]:[C. Imp.]],$D605,Imput[[PERIODO Imp.]:[PERIODO Imp.]],CJ$9)</f>
        <v>0</v>
      </c>
      <c r="CK605" s="693">
        <f>SUMIFS(Imput[[Importe Neto]:[Importe Neto]],Imput[[C. Imp.]:[C. Imp.]],$D605,Imput[[PERIODO Imp.]:[PERIODO Imp.]],CK$9)</f>
        <v>0</v>
      </c>
      <c r="CL605" s="693">
        <f>SUMIFS(Imput[[Importe Neto]:[Importe Neto]],Imput[[C. Imp.]:[C. Imp.]],$D605,Imput[[PERIODO Imp.]:[PERIODO Imp.]],CL$9)</f>
        <v>0</v>
      </c>
      <c r="CM605" s="693">
        <f>SUMIFS(Imput[[Importe Neto]:[Importe Neto]],Imput[[C. Imp.]:[C. Imp.]],$D605,Imput[[PERIODO Imp.]:[PERIODO Imp.]],CM$9)</f>
        <v>0</v>
      </c>
      <c r="CN605" s="693">
        <f>SUMIFS(Imput[[Importe Neto]:[Importe Neto]],Imput[[C. Imp.]:[C. Imp.]],$D605,Imput[[PERIODO Imp.]:[PERIODO Imp.]],CN$9)</f>
        <v>0</v>
      </c>
      <c r="CO605" s="693">
        <f>SUMIFS(Imput[[Importe Neto]:[Importe Neto]],Imput[[C. Imp.]:[C. Imp.]],$D605,Imput[[PERIODO Imp.]:[PERIODO Imp.]],CO$9)</f>
        <v>0</v>
      </c>
      <c r="CP605" s="693">
        <f>SUMIFS(Imput[[Importe Neto]:[Importe Neto]],Imput[[C. Imp.]:[C. Imp.]],$D605,Imput[[PERIODO Imp.]:[PERIODO Imp.]],CP$9)</f>
        <v>0</v>
      </c>
      <c r="CQ605" s="693">
        <f>SUMIFS(Imput[[Importe Neto]:[Importe Neto]],Imput[[C. Imp.]:[C. Imp.]],$D605,Imput[[PERIODO Imp.]:[PERIODO Imp.]],CQ$9)</f>
        <v>0</v>
      </c>
      <c r="CR605" s="693">
        <f>SUMIFS(Imput[[Importe Neto]:[Importe Neto]],Imput[[C. Imp.]:[C. Imp.]],$D605,Imput[[PERIODO Imp.]:[PERIODO Imp.]],CR$9)</f>
        <v>0</v>
      </c>
      <c r="CS605" s="693">
        <f>SUMIFS(Imput[[Importe Neto]:[Importe Neto]],Imput[[C. Imp.]:[C. Imp.]],$D605,Imput[[PERIODO Imp.]:[PERIODO Imp.]],CS$9)</f>
        <v>0</v>
      </c>
      <c r="CT605" s="693">
        <f>SUMIFS(Imput[[Importe Neto]:[Importe Neto]],Imput[[C. Imp.]:[C. Imp.]],$D605,Imput[[PERIODO Imp.]:[PERIODO Imp.]],CT$9)</f>
        <v>0</v>
      </c>
      <c r="CU605" s="693">
        <f>SUMIFS(Imput[[Importe Neto]:[Importe Neto]],Imput[[C. Imp.]:[C. Imp.]],$D605,Imput[[PERIODO Imp.]:[PERIODO Imp.]],CU$9)</f>
        <v>0</v>
      </c>
      <c r="CV605" s="693">
        <f>SUMIFS(Imput[[Importe Neto]:[Importe Neto]],Imput[[C. Imp.]:[C. Imp.]],$D605,Imput[[PERIODO Imp.]:[PERIODO Imp.]],CV$9)</f>
        <v>0</v>
      </c>
      <c r="CW605" s="693">
        <f>SUMIFS(Imput[[Importe Neto]:[Importe Neto]],Imput[[C. Imp.]:[C. Imp.]],$D605,Imput[[PERIODO Imp.]:[PERIODO Imp.]],CW$9)</f>
        <v>0</v>
      </c>
      <c r="CX605" s="693">
        <f>SUMIFS(Imput[[Importe Neto]:[Importe Neto]],Imput[[C. Imp.]:[C. Imp.]],$D605,Imput[[PERIODO Imp.]:[PERIODO Imp.]],CX$9)</f>
        <v>0</v>
      </c>
      <c r="CY605" s="693">
        <f>SUMIFS(Imput[[Importe Neto]:[Importe Neto]],Imput[[C. Imp.]:[C. Imp.]],$D605,Imput[[PERIODO Imp.]:[PERIODO Imp.]],CY$9)</f>
        <v>0</v>
      </c>
      <c r="CZ605" s="693">
        <f>SUMIFS(Imput[[Importe Neto]:[Importe Neto]],Imput[[C. Imp.]:[C. Imp.]],$D605,Imput[[PERIODO Imp.]:[PERIODO Imp.]],CZ$9)</f>
        <v>0</v>
      </c>
      <c r="DA605" s="693">
        <f>SUMIFS(Imput[[Importe Neto]:[Importe Neto]],Imput[[C. Imp.]:[C. Imp.]],$D605,Imput[[PERIODO Imp.]:[PERIODO Imp.]],DA$9)</f>
        <v>0</v>
      </c>
      <c r="DB605" s="693">
        <f>SUMIFS(Imput[[Importe Neto]:[Importe Neto]],Imput[[C. Imp.]:[C. Imp.]],$D605,Imput[[PERIODO Imp.]:[PERIODO Imp.]],DB$9)</f>
        <v>0</v>
      </c>
      <c r="DC605" s="693">
        <f>SUMIFS(Imput[[Importe Neto]:[Importe Neto]],Imput[[C. Imp.]:[C. Imp.]],$D605,Imput[[PERIODO Imp.]:[PERIODO Imp.]],DC$9)</f>
        <v>0</v>
      </c>
      <c r="DD605" s="693">
        <f>SUMIFS(Imput[[Importe Neto]:[Importe Neto]],Imput[[C. Imp.]:[C. Imp.]],$D605,Imput[[PERIODO Imp.]:[PERIODO Imp.]],DD$9)</f>
        <v>0</v>
      </c>
      <c r="DE605" s="693">
        <f>SUMIFS(Imput[[Importe Neto]:[Importe Neto]],Imput[[C. Imp.]:[C. Imp.]],$D605,Imput[[PERIODO Imp.]:[PERIODO Imp.]],DE$9)</f>
        <v>0</v>
      </c>
      <c r="DF605" s="693">
        <f>SUMIFS(Imput[[Importe Neto]:[Importe Neto]],Imput[[C. Imp.]:[C. Imp.]],$D605,Imput[[PERIODO Imp.]:[PERIODO Imp.]],DF$9)</f>
        <v>0</v>
      </c>
      <c r="DG605" s="693">
        <f>SUMIFS(Imput[[Importe Neto]:[Importe Neto]],Imput[[C. Imp.]:[C. Imp.]],$D605,Imput[[PERIODO Imp.]:[PERIODO Imp.]],DG$9)</f>
        <v>0</v>
      </c>
      <c r="DH605" s="694">
        <f>SUMIFS(Imput[[Importe Neto]:[Importe Neto]],Imput[[C. Imp.]:[C. Imp.]],$D605,Imput[[PERIODO Imp.]:[PERIODO Imp.]],DH$9)</f>
        <v>0</v>
      </c>
    </row>
    <row r="606" spans="1:112" s="649" customFormat="1" outlineLevel="1" x14ac:dyDescent="0.3">
      <c r="A606" s="652" t="str">
        <f t="shared" si="222"/>
        <v>Imprimir</v>
      </c>
      <c r="B606" s="652"/>
      <c r="C606" s="685"/>
      <c r="D606" s="686" t="s">
        <v>2624</v>
      </c>
      <c r="E606" s="686" t="s">
        <v>498</v>
      </c>
      <c r="F606" s="720"/>
      <c r="G606" s="688">
        <v>19</v>
      </c>
      <c r="H606" s="531">
        <f>Producción!G56*50</f>
        <v>3600</v>
      </c>
      <c r="I606" s="851">
        <f t="shared" si="223"/>
        <v>1</v>
      </c>
      <c r="J606" s="850">
        <f t="shared" si="224"/>
        <v>68400</v>
      </c>
      <c r="K606" s="667"/>
      <c r="L606" s="858">
        <v>0.3</v>
      </c>
      <c r="M606" s="859"/>
      <c r="N606" s="859"/>
      <c r="O606" s="859"/>
      <c r="P606" s="859">
        <v>0.3</v>
      </c>
      <c r="Q606" s="859"/>
      <c r="R606" s="859"/>
      <c r="S606" s="859"/>
      <c r="T606" s="859"/>
      <c r="U606" s="859"/>
      <c r="V606" s="859"/>
      <c r="W606" s="859">
        <v>0.3</v>
      </c>
      <c r="X606" s="859"/>
      <c r="Y606" s="859"/>
      <c r="Z606" s="860"/>
      <c r="AA606" s="860"/>
      <c r="AB606" s="860"/>
      <c r="AC606" s="860"/>
      <c r="AD606" s="860"/>
      <c r="AE606" s="860">
        <v>0.1</v>
      </c>
      <c r="AF606" s="860"/>
      <c r="AG606" s="860"/>
      <c r="AH606" s="860"/>
      <c r="AI606" s="860"/>
      <c r="AJ606" s="860"/>
      <c r="AK606" s="860"/>
      <c r="AL606" s="860"/>
      <c r="AM606" s="860"/>
      <c r="AN606" s="860"/>
      <c r="AO606" s="860"/>
      <c r="AP606" s="860"/>
      <c r="AQ606" s="860"/>
      <c r="AR606" s="860"/>
      <c r="AS606" s="860"/>
      <c r="AT606" s="860"/>
      <c r="AU606" s="860"/>
      <c r="AV606" s="860"/>
      <c r="AW606" s="860"/>
      <c r="AX606" s="860"/>
      <c r="AY606" s="860"/>
      <c r="AZ606" s="860"/>
      <c r="BA606" s="860"/>
      <c r="BB606" s="860"/>
      <c r="BC606" s="860"/>
      <c r="BD606" s="860"/>
      <c r="BE606" s="860"/>
      <c r="BF606" s="860"/>
      <c r="BG606" s="860"/>
      <c r="BH606" s="668"/>
      <c r="BI606" s="667"/>
      <c r="BJ606" s="690">
        <f t="shared" si="225"/>
        <v>0</v>
      </c>
      <c r="BK606" s="691">
        <f t="shared" si="226"/>
        <v>0</v>
      </c>
      <c r="BL606" s="654"/>
      <c r="BM606" s="692">
        <f>SUMIFS(Imput[[Importe Neto]:[Importe Neto]],Imput[[C. Imp.]:[C. Imp.]],$D606,Imput[[PERIODO Imp.]:[PERIODO Imp.]],BM$9)</f>
        <v>0</v>
      </c>
      <c r="BN606" s="693">
        <f>SUMIFS(Imput[[Importe Neto]:[Importe Neto]],Imput[[C. Imp.]:[C. Imp.]],$D606,Imput[[PERIODO Imp.]:[PERIODO Imp.]],BN$9)</f>
        <v>0</v>
      </c>
      <c r="BO606" s="693">
        <f>SUMIFS(Imput[[Importe Neto]:[Importe Neto]],Imput[[C. Imp.]:[C. Imp.]],$D606,Imput[[PERIODO Imp.]:[PERIODO Imp.]],BO$9)</f>
        <v>0</v>
      </c>
      <c r="BP606" s="693">
        <f>SUMIFS(Imput[[Importe Neto]:[Importe Neto]],Imput[[C. Imp.]:[C. Imp.]],$D606,Imput[[PERIODO Imp.]:[PERIODO Imp.]],BP$9)</f>
        <v>0</v>
      </c>
      <c r="BQ606" s="693">
        <f>SUMIFS(Imput[[Importe Neto]:[Importe Neto]],Imput[[C. Imp.]:[C. Imp.]],$D606,Imput[[PERIODO Imp.]:[PERIODO Imp.]],BQ$9)</f>
        <v>0</v>
      </c>
      <c r="BR606" s="693">
        <f>SUMIFS(Imput[[Importe Neto]:[Importe Neto]],Imput[[C. Imp.]:[C. Imp.]],$D606,Imput[[PERIODO Imp.]:[PERIODO Imp.]],BR$9)</f>
        <v>0</v>
      </c>
      <c r="BS606" s="693">
        <f>SUMIFS(Imput[[Importe Neto]:[Importe Neto]],Imput[[C. Imp.]:[C. Imp.]],$D606,Imput[[PERIODO Imp.]:[PERIODO Imp.]],BS$9)</f>
        <v>0</v>
      </c>
      <c r="BT606" s="693">
        <f>SUMIFS(Imput[[Importe Neto]:[Importe Neto]],Imput[[C. Imp.]:[C. Imp.]],$D606,Imput[[PERIODO Imp.]:[PERIODO Imp.]],BT$9)</f>
        <v>0</v>
      </c>
      <c r="BU606" s="693">
        <f>SUMIFS(Imput[[Importe Neto]:[Importe Neto]],Imput[[C. Imp.]:[C. Imp.]],$D606,Imput[[PERIODO Imp.]:[PERIODO Imp.]],BU$9)</f>
        <v>0</v>
      </c>
      <c r="BV606" s="693">
        <f>SUMIFS(Imput[[Importe Neto]:[Importe Neto]],Imput[[C. Imp.]:[C. Imp.]],$D606,Imput[[PERIODO Imp.]:[PERIODO Imp.]],BV$9)</f>
        <v>0</v>
      </c>
      <c r="BW606" s="693">
        <f>SUMIFS(Imput[[Importe Neto]:[Importe Neto]],Imput[[C. Imp.]:[C. Imp.]],$D606,Imput[[PERIODO Imp.]:[PERIODO Imp.]],BW$9)</f>
        <v>0</v>
      </c>
      <c r="BX606" s="693">
        <f>SUMIFS(Imput[[Importe Neto]:[Importe Neto]],Imput[[C. Imp.]:[C. Imp.]],$D606,Imput[[PERIODO Imp.]:[PERIODO Imp.]],BX$9)</f>
        <v>0</v>
      </c>
      <c r="BY606" s="693">
        <f>SUMIFS(Imput[[Importe Neto]:[Importe Neto]],Imput[[C. Imp.]:[C. Imp.]],$D606,Imput[[PERIODO Imp.]:[PERIODO Imp.]],BY$9)</f>
        <v>0</v>
      </c>
      <c r="BZ606" s="693">
        <f>SUMIFS(Imput[[Importe Neto]:[Importe Neto]],Imput[[C. Imp.]:[C. Imp.]],$D606,Imput[[PERIODO Imp.]:[PERIODO Imp.]],BZ$9)</f>
        <v>0</v>
      </c>
      <c r="CA606" s="693">
        <f>SUMIFS(Imput[[Importe Neto]:[Importe Neto]],Imput[[C. Imp.]:[C. Imp.]],$D606,Imput[[PERIODO Imp.]:[PERIODO Imp.]],CA$9)</f>
        <v>0</v>
      </c>
      <c r="CB606" s="693">
        <f>SUMIFS(Imput[[Importe Neto]:[Importe Neto]],Imput[[C. Imp.]:[C. Imp.]],$D606,Imput[[PERIODO Imp.]:[PERIODO Imp.]],CB$9)</f>
        <v>0</v>
      </c>
      <c r="CC606" s="693">
        <f>SUMIFS(Imput[[Importe Neto]:[Importe Neto]],Imput[[C. Imp.]:[C. Imp.]],$D606,Imput[[PERIODO Imp.]:[PERIODO Imp.]],CC$9)</f>
        <v>0</v>
      </c>
      <c r="CD606" s="693">
        <f>SUMIFS(Imput[[Importe Neto]:[Importe Neto]],Imput[[C. Imp.]:[C. Imp.]],$D606,Imput[[PERIODO Imp.]:[PERIODO Imp.]],CD$9)</f>
        <v>0</v>
      </c>
      <c r="CE606" s="693">
        <f>SUMIFS(Imput[[Importe Neto]:[Importe Neto]],Imput[[C. Imp.]:[C. Imp.]],$D606,Imput[[PERIODO Imp.]:[PERIODO Imp.]],CE$9)</f>
        <v>0</v>
      </c>
      <c r="CF606" s="693">
        <f>SUMIFS(Imput[[Importe Neto]:[Importe Neto]],Imput[[C. Imp.]:[C. Imp.]],$D606,Imput[[PERIODO Imp.]:[PERIODO Imp.]],CF$9)</f>
        <v>0</v>
      </c>
      <c r="CG606" s="693">
        <f>SUMIFS(Imput[[Importe Neto]:[Importe Neto]],Imput[[C. Imp.]:[C. Imp.]],$D606,Imput[[PERIODO Imp.]:[PERIODO Imp.]],CG$9)</f>
        <v>0</v>
      </c>
      <c r="CH606" s="693">
        <f>SUMIFS(Imput[[Importe Neto]:[Importe Neto]],Imput[[C. Imp.]:[C. Imp.]],$D606,Imput[[PERIODO Imp.]:[PERIODO Imp.]],CH$9)</f>
        <v>0</v>
      </c>
      <c r="CI606" s="693">
        <f>SUMIFS(Imput[[Importe Neto]:[Importe Neto]],Imput[[C. Imp.]:[C. Imp.]],$D606,Imput[[PERIODO Imp.]:[PERIODO Imp.]],CI$9)</f>
        <v>0</v>
      </c>
      <c r="CJ606" s="693">
        <f>SUMIFS(Imput[[Importe Neto]:[Importe Neto]],Imput[[C. Imp.]:[C. Imp.]],$D606,Imput[[PERIODO Imp.]:[PERIODO Imp.]],CJ$9)</f>
        <v>0</v>
      </c>
      <c r="CK606" s="693">
        <f>SUMIFS(Imput[[Importe Neto]:[Importe Neto]],Imput[[C. Imp.]:[C. Imp.]],$D606,Imput[[PERIODO Imp.]:[PERIODO Imp.]],CK$9)</f>
        <v>0</v>
      </c>
      <c r="CL606" s="693">
        <f>SUMIFS(Imput[[Importe Neto]:[Importe Neto]],Imput[[C. Imp.]:[C. Imp.]],$D606,Imput[[PERIODO Imp.]:[PERIODO Imp.]],CL$9)</f>
        <v>0</v>
      </c>
      <c r="CM606" s="693">
        <f>SUMIFS(Imput[[Importe Neto]:[Importe Neto]],Imput[[C. Imp.]:[C. Imp.]],$D606,Imput[[PERIODO Imp.]:[PERIODO Imp.]],CM$9)</f>
        <v>0</v>
      </c>
      <c r="CN606" s="693">
        <f>SUMIFS(Imput[[Importe Neto]:[Importe Neto]],Imput[[C. Imp.]:[C. Imp.]],$D606,Imput[[PERIODO Imp.]:[PERIODO Imp.]],CN$9)</f>
        <v>0</v>
      </c>
      <c r="CO606" s="693">
        <f>SUMIFS(Imput[[Importe Neto]:[Importe Neto]],Imput[[C. Imp.]:[C. Imp.]],$D606,Imput[[PERIODO Imp.]:[PERIODO Imp.]],CO$9)</f>
        <v>0</v>
      </c>
      <c r="CP606" s="693">
        <f>SUMIFS(Imput[[Importe Neto]:[Importe Neto]],Imput[[C. Imp.]:[C. Imp.]],$D606,Imput[[PERIODO Imp.]:[PERIODO Imp.]],CP$9)</f>
        <v>0</v>
      </c>
      <c r="CQ606" s="693">
        <f>SUMIFS(Imput[[Importe Neto]:[Importe Neto]],Imput[[C. Imp.]:[C. Imp.]],$D606,Imput[[PERIODO Imp.]:[PERIODO Imp.]],CQ$9)</f>
        <v>0</v>
      </c>
      <c r="CR606" s="693">
        <f>SUMIFS(Imput[[Importe Neto]:[Importe Neto]],Imput[[C. Imp.]:[C. Imp.]],$D606,Imput[[PERIODO Imp.]:[PERIODO Imp.]],CR$9)</f>
        <v>0</v>
      </c>
      <c r="CS606" s="693">
        <f>SUMIFS(Imput[[Importe Neto]:[Importe Neto]],Imput[[C. Imp.]:[C. Imp.]],$D606,Imput[[PERIODO Imp.]:[PERIODO Imp.]],CS$9)</f>
        <v>0</v>
      </c>
      <c r="CT606" s="693">
        <f>SUMIFS(Imput[[Importe Neto]:[Importe Neto]],Imput[[C. Imp.]:[C. Imp.]],$D606,Imput[[PERIODO Imp.]:[PERIODO Imp.]],CT$9)</f>
        <v>0</v>
      </c>
      <c r="CU606" s="693">
        <f>SUMIFS(Imput[[Importe Neto]:[Importe Neto]],Imput[[C. Imp.]:[C. Imp.]],$D606,Imput[[PERIODO Imp.]:[PERIODO Imp.]],CU$9)</f>
        <v>0</v>
      </c>
      <c r="CV606" s="693">
        <f>SUMIFS(Imput[[Importe Neto]:[Importe Neto]],Imput[[C. Imp.]:[C. Imp.]],$D606,Imput[[PERIODO Imp.]:[PERIODO Imp.]],CV$9)</f>
        <v>0</v>
      </c>
      <c r="CW606" s="693">
        <f>SUMIFS(Imput[[Importe Neto]:[Importe Neto]],Imput[[C. Imp.]:[C. Imp.]],$D606,Imput[[PERIODO Imp.]:[PERIODO Imp.]],CW$9)</f>
        <v>0</v>
      </c>
      <c r="CX606" s="693">
        <f>SUMIFS(Imput[[Importe Neto]:[Importe Neto]],Imput[[C. Imp.]:[C. Imp.]],$D606,Imput[[PERIODO Imp.]:[PERIODO Imp.]],CX$9)</f>
        <v>0</v>
      </c>
      <c r="CY606" s="693">
        <f>SUMIFS(Imput[[Importe Neto]:[Importe Neto]],Imput[[C. Imp.]:[C. Imp.]],$D606,Imput[[PERIODO Imp.]:[PERIODO Imp.]],CY$9)</f>
        <v>0</v>
      </c>
      <c r="CZ606" s="693">
        <f>SUMIFS(Imput[[Importe Neto]:[Importe Neto]],Imput[[C. Imp.]:[C. Imp.]],$D606,Imput[[PERIODO Imp.]:[PERIODO Imp.]],CZ$9)</f>
        <v>0</v>
      </c>
      <c r="DA606" s="693">
        <f>SUMIFS(Imput[[Importe Neto]:[Importe Neto]],Imput[[C. Imp.]:[C. Imp.]],$D606,Imput[[PERIODO Imp.]:[PERIODO Imp.]],DA$9)</f>
        <v>0</v>
      </c>
      <c r="DB606" s="693">
        <f>SUMIFS(Imput[[Importe Neto]:[Importe Neto]],Imput[[C. Imp.]:[C. Imp.]],$D606,Imput[[PERIODO Imp.]:[PERIODO Imp.]],DB$9)</f>
        <v>0</v>
      </c>
      <c r="DC606" s="693">
        <f>SUMIFS(Imput[[Importe Neto]:[Importe Neto]],Imput[[C. Imp.]:[C. Imp.]],$D606,Imput[[PERIODO Imp.]:[PERIODO Imp.]],DC$9)</f>
        <v>0</v>
      </c>
      <c r="DD606" s="693">
        <f>SUMIFS(Imput[[Importe Neto]:[Importe Neto]],Imput[[C. Imp.]:[C. Imp.]],$D606,Imput[[PERIODO Imp.]:[PERIODO Imp.]],DD$9)</f>
        <v>0</v>
      </c>
      <c r="DE606" s="693">
        <f>SUMIFS(Imput[[Importe Neto]:[Importe Neto]],Imput[[C. Imp.]:[C. Imp.]],$D606,Imput[[PERIODO Imp.]:[PERIODO Imp.]],DE$9)</f>
        <v>0</v>
      </c>
      <c r="DF606" s="693">
        <f>SUMIFS(Imput[[Importe Neto]:[Importe Neto]],Imput[[C. Imp.]:[C. Imp.]],$D606,Imput[[PERIODO Imp.]:[PERIODO Imp.]],DF$9)</f>
        <v>0</v>
      </c>
      <c r="DG606" s="693">
        <f>SUMIFS(Imput[[Importe Neto]:[Importe Neto]],Imput[[C. Imp.]:[C. Imp.]],$D606,Imput[[PERIODO Imp.]:[PERIODO Imp.]],DG$9)</f>
        <v>0</v>
      </c>
      <c r="DH606" s="694">
        <f>SUMIFS(Imput[[Importe Neto]:[Importe Neto]],Imput[[C. Imp.]:[C. Imp.]],$D606,Imput[[PERIODO Imp.]:[PERIODO Imp.]],DH$9)</f>
        <v>0</v>
      </c>
    </row>
    <row r="607" spans="1:112" s="649" customFormat="1" outlineLevel="1" x14ac:dyDescent="0.3">
      <c r="A607" s="652" t="str">
        <f t="shared" si="222"/>
        <v>Imprimir</v>
      </c>
      <c r="B607" s="652"/>
      <c r="C607" s="685"/>
      <c r="D607" s="686" t="s">
        <v>2625</v>
      </c>
      <c r="E607" s="686" t="s">
        <v>499</v>
      </c>
      <c r="F607" s="720"/>
      <c r="G607" s="688">
        <v>735</v>
      </c>
      <c r="H607" s="531">
        <f>Producción!G56*0.24</f>
        <v>17.28</v>
      </c>
      <c r="I607" s="851">
        <f t="shared" si="223"/>
        <v>1</v>
      </c>
      <c r="J607" s="850">
        <f t="shared" si="224"/>
        <v>12700.800000000001</v>
      </c>
      <c r="K607" s="667"/>
      <c r="L607" s="858"/>
      <c r="M607" s="859"/>
      <c r="N607" s="859"/>
      <c r="O607" s="859">
        <v>0.5</v>
      </c>
      <c r="P607" s="859"/>
      <c r="Q607" s="859"/>
      <c r="R607" s="859"/>
      <c r="S607" s="859"/>
      <c r="T607" s="859"/>
      <c r="U607" s="859"/>
      <c r="V607" s="859"/>
      <c r="W607" s="859"/>
      <c r="X607" s="859"/>
      <c r="Y607" s="859"/>
      <c r="Z607" s="860"/>
      <c r="AA607" s="860">
        <v>0.5</v>
      </c>
      <c r="AB607" s="860"/>
      <c r="AC607" s="860"/>
      <c r="AD607" s="860"/>
      <c r="AE607" s="860"/>
      <c r="AF607" s="860"/>
      <c r="AG607" s="860"/>
      <c r="AH607" s="860"/>
      <c r="AI607" s="860"/>
      <c r="AJ607" s="860"/>
      <c r="AK607" s="860"/>
      <c r="AL607" s="860"/>
      <c r="AM607" s="860"/>
      <c r="AN607" s="860"/>
      <c r="AO607" s="860"/>
      <c r="AP607" s="860"/>
      <c r="AQ607" s="860"/>
      <c r="AR607" s="860"/>
      <c r="AS607" s="860"/>
      <c r="AT607" s="860"/>
      <c r="AU607" s="860"/>
      <c r="AV607" s="860"/>
      <c r="AW607" s="860"/>
      <c r="AX607" s="860"/>
      <c r="AY607" s="860"/>
      <c r="AZ607" s="860"/>
      <c r="BA607" s="860"/>
      <c r="BB607" s="860"/>
      <c r="BC607" s="860"/>
      <c r="BD607" s="860"/>
      <c r="BE607" s="860"/>
      <c r="BF607" s="860"/>
      <c r="BG607" s="860"/>
      <c r="BH607" s="668"/>
      <c r="BI607" s="667"/>
      <c r="BJ607" s="690">
        <f t="shared" si="225"/>
        <v>0</v>
      </c>
      <c r="BK607" s="691">
        <f t="shared" si="226"/>
        <v>0</v>
      </c>
      <c r="BL607" s="654"/>
      <c r="BM607" s="692">
        <f>SUMIFS(Imput[[Importe Neto]:[Importe Neto]],Imput[[C. Imp.]:[C. Imp.]],$D607,Imput[[PERIODO Imp.]:[PERIODO Imp.]],BM$9)</f>
        <v>0</v>
      </c>
      <c r="BN607" s="693">
        <f>SUMIFS(Imput[[Importe Neto]:[Importe Neto]],Imput[[C. Imp.]:[C. Imp.]],$D607,Imput[[PERIODO Imp.]:[PERIODO Imp.]],BN$9)</f>
        <v>0</v>
      </c>
      <c r="BO607" s="693">
        <f>SUMIFS(Imput[[Importe Neto]:[Importe Neto]],Imput[[C. Imp.]:[C. Imp.]],$D607,Imput[[PERIODO Imp.]:[PERIODO Imp.]],BO$9)</f>
        <v>0</v>
      </c>
      <c r="BP607" s="693">
        <f>SUMIFS(Imput[[Importe Neto]:[Importe Neto]],Imput[[C. Imp.]:[C. Imp.]],$D607,Imput[[PERIODO Imp.]:[PERIODO Imp.]],BP$9)</f>
        <v>0</v>
      </c>
      <c r="BQ607" s="693">
        <f>SUMIFS(Imput[[Importe Neto]:[Importe Neto]],Imput[[C. Imp.]:[C. Imp.]],$D607,Imput[[PERIODO Imp.]:[PERIODO Imp.]],BQ$9)</f>
        <v>0</v>
      </c>
      <c r="BR607" s="693">
        <f>SUMIFS(Imput[[Importe Neto]:[Importe Neto]],Imput[[C. Imp.]:[C. Imp.]],$D607,Imput[[PERIODO Imp.]:[PERIODO Imp.]],BR$9)</f>
        <v>0</v>
      </c>
      <c r="BS607" s="693">
        <f>SUMIFS(Imput[[Importe Neto]:[Importe Neto]],Imput[[C. Imp.]:[C. Imp.]],$D607,Imput[[PERIODO Imp.]:[PERIODO Imp.]],BS$9)</f>
        <v>0</v>
      </c>
      <c r="BT607" s="693">
        <f>SUMIFS(Imput[[Importe Neto]:[Importe Neto]],Imput[[C. Imp.]:[C. Imp.]],$D607,Imput[[PERIODO Imp.]:[PERIODO Imp.]],BT$9)</f>
        <v>0</v>
      </c>
      <c r="BU607" s="693">
        <f>SUMIFS(Imput[[Importe Neto]:[Importe Neto]],Imput[[C. Imp.]:[C. Imp.]],$D607,Imput[[PERIODO Imp.]:[PERIODO Imp.]],BU$9)</f>
        <v>0</v>
      </c>
      <c r="BV607" s="693">
        <f>SUMIFS(Imput[[Importe Neto]:[Importe Neto]],Imput[[C. Imp.]:[C. Imp.]],$D607,Imput[[PERIODO Imp.]:[PERIODO Imp.]],BV$9)</f>
        <v>0</v>
      </c>
      <c r="BW607" s="693">
        <f>SUMIFS(Imput[[Importe Neto]:[Importe Neto]],Imput[[C. Imp.]:[C. Imp.]],$D607,Imput[[PERIODO Imp.]:[PERIODO Imp.]],BW$9)</f>
        <v>0</v>
      </c>
      <c r="BX607" s="693">
        <f>SUMIFS(Imput[[Importe Neto]:[Importe Neto]],Imput[[C. Imp.]:[C. Imp.]],$D607,Imput[[PERIODO Imp.]:[PERIODO Imp.]],BX$9)</f>
        <v>0</v>
      </c>
      <c r="BY607" s="693">
        <f>SUMIFS(Imput[[Importe Neto]:[Importe Neto]],Imput[[C. Imp.]:[C. Imp.]],$D607,Imput[[PERIODO Imp.]:[PERIODO Imp.]],BY$9)</f>
        <v>0</v>
      </c>
      <c r="BZ607" s="693">
        <f>SUMIFS(Imput[[Importe Neto]:[Importe Neto]],Imput[[C. Imp.]:[C. Imp.]],$D607,Imput[[PERIODO Imp.]:[PERIODO Imp.]],BZ$9)</f>
        <v>0</v>
      </c>
      <c r="CA607" s="693">
        <f>SUMIFS(Imput[[Importe Neto]:[Importe Neto]],Imput[[C. Imp.]:[C. Imp.]],$D607,Imput[[PERIODO Imp.]:[PERIODO Imp.]],CA$9)</f>
        <v>0</v>
      </c>
      <c r="CB607" s="693">
        <f>SUMIFS(Imput[[Importe Neto]:[Importe Neto]],Imput[[C. Imp.]:[C. Imp.]],$D607,Imput[[PERIODO Imp.]:[PERIODO Imp.]],CB$9)</f>
        <v>0</v>
      </c>
      <c r="CC607" s="693">
        <f>SUMIFS(Imput[[Importe Neto]:[Importe Neto]],Imput[[C. Imp.]:[C. Imp.]],$D607,Imput[[PERIODO Imp.]:[PERIODO Imp.]],CC$9)</f>
        <v>0</v>
      </c>
      <c r="CD607" s="693">
        <f>SUMIFS(Imput[[Importe Neto]:[Importe Neto]],Imput[[C. Imp.]:[C. Imp.]],$D607,Imput[[PERIODO Imp.]:[PERIODO Imp.]],CD$9)</f>
        <v>0</v>
      </c>
      <c r="CE607" s="693">
        <f>SUMIFS(Imput[[Importe Neto]:[Importe Neto]],Imput[[C. Imp.]:[C. Imp.]],$D607,Imput[[PERIODO Imp.]:[PERIODO Imp.]],CE$9)</f>
        <v>0</v>
      </c>
      <c r="CF607" s="693">
        <f>SUMIFS(Imput[[Importe Neto]:[Importe Neto]],Imput[[C. Imp.]:[C. Imp.]],$D607,Imput[[PERIODO Imp.]:[PERIODO Imp.]],CF$9)</f>
        <v>0</v>
      </c>
      <c r="CG607" s="693">
        <f>SUMIFS(Imput[[Importe Neto]:[Importe Neto]],Imput[[C. Imp.]:[C. Imp.]],$D607,Imput[[PERIODO Imp.]:[PERIODO Imp.]],CG$9)</f>
        <v>0</v>
      </c>
      <c r="CH607" s="693">
        <f>SUMIFS(Imput[[Importe Neto]:[Importe Neto]],Imput[[C. Imp.]:[C. Imp.]],$D607,Imput[[PERIODO Imp.]:[PERIODO Imp.]],CH$9)</f>
        <v>0</v>
      </c>
      <c r="CI607" s="693">
        <f>SUMIFS(Imput[[Importe Neto]:[Importe Neto]],Imput[[C. Imp.]:[C. Imp.]],$D607,Imput[[PERIODO Imp.]:[PERIODO Imp.]],CI$9)</f>
        <v>0</v>
      </c>
      <c r="CJ607" s="693">
        <f>SUMIFS(Imput[[Importe Neto]:[Importe Neto]],Imput[[C. Imp.]:[C. Imp.]],$D607,Imput[[PERIODO Imp.]:[PERIODO Imp.]],CJ$9)</f>
        <v>0</v>
      </c>
      <c r="CK607" s="693">
        <f>SUMIFS(Imput[[Importe Neto]:[Importe Neto]],Imput[[C. Imp.]:[C. Imp.]],$D607,Imput[[PERIODO Imp.]:[PERIODO Imp.]],CK$9)</f>
        <v>0</v>
      </c>
      <c r="CL607" s="693">
        <f>SUMIFS(Imput[[Importe Neto]:[Importe Neto]],Imput[[C. Imp.]:[C. Imp.]],$D607,Imput[[PERIODO Imp.]:[PERIODO Imp.]],CL$9)</f>
        <v>0</v>
      </c>
      <c r="CM607" s="693">
        <f>SUMIFS(Imput[[Importe Neto]:[Importe Neto]],Imput[[C. Imp.]:[C. Imp.]],$D607,Imput[[PERIODO Imp.]:[PERIODO Imp.]],CM$9)</f>
        <v>0</v>
      </c>
      <c r="CN607" s="693">
        <f>SUMIFS(Imput[[Importe Neto]:[Importe Neto]],Imput[[C. Imp.]:[C. Imp.]],$D607,Imput[[PERIODO Imp.]:[PERIODO Imp.]],CN$9)</f>
        <v>0</v>
      </c>
      <c r="CO607" s="693">
        <f>SUMIFS(Imput[[Importe Neto]:[Importe Neto]],Imput[[C. Imp.]:[C. Imp.]],$D607,Imput[[PERIODO Imp.]:[PERIODO Imp.]],CO$9)</f>
        <v>0</v>
      </c>
      <c r="CP607" s="693">
        <f>SUMIFS(Imput[[Importe Neto]:[Importe Neto]],Imput[[C. Imp.]:[C. Imp.]],$D607,Imput[[PERIODO Imp.]:[PERIODO Imp.]],CP$9)</f>
        <v>0</v>
      </c>
      <c r="CQ607" s="693">
        <f>SUMIFS(Imput[[Importe Neto]:[Importe Neto]],Imput[[C. Imp.]:[C. Imp.]],$D607,Imput[[PERIODO Imp.]:[PERIODO Imp.]],CQ$9)</f>
        <v>0</v>
      </c>
      <c r="CR607" s="693">
        <f>SUMIFS(Imput[[Importe Neto]:[Importe Neto]],Imput[[C. Imp.]:[C. Imp.]],$D607,Imput[[PERIODO Imp.]:[PERIODO Imp.]],CR$9)</f>
        <v>0</v>
      </c>
      <c r="CS607" s="693">
        <f>SUMIFS(Imput[[Importe Neto]:[Importe Neto]],Imput[[C. Imp.]:[C. Imp.]],$D607,Imput[[PERIODO Imp.]:[PERIODO Imp.]],CS$9)</f>
        <v>0</v>
      </c>
      <c r="CT607" s="693">
        <f>SUMIFS(Imput[[Importe Neto]:[Importe Neto]],Imput[[C. Imp.]:[C. Imp.]],$D607,Imput[[PERIODO Imp.]:[PERIODO Imp.]],CT$9)</f>
        <v>0</v>
      </c>
      <c r="CU607" s="693">
        <f>SUMIFS(Imput[[Importe Neto]:[Importe Neto]],Imput[[C. Imp.]:[C. Imp.]],$D607,Imput[[PERIODO Imp.]:[PERIODO Imp.]],CU$9)</f>
        <v>0</v>
      </c>
      <c r="CV607" s="693">
        <f>SUMIFS(Imput[[Importe Neto]:[Importe Neto]],Imput[[C. Imp.]:[C. Imp.]],$D607,Imput[[PERIODO Imp.]:[PERIODO Imp.]],CV$9)</f>
        <v>0</v>
      </c>
      <c r="CW607" s="693">
        <f>SUMIFS(Imput[[Importe Neto]:[Importe Neto]],Imput[[C. Imp.]:[C. Imp.]],$D607,Imput[[PERIODO Imp.]:[PERIODO Imp.]],CW$9)</f>
        <v>0</v>
      </c>
      <c r="CX607" s="693">
        <f>SUMIFS(Imput[[Importe Neto]:[Importe Neto]],Imput[[C. Imp.]:[C. Imp.]],$D607,Imput[[PERIODO Imp.]:[PERIODO Imp.]],CX$9)</f>
        <v>0</v>
      </c>
      <c r="CY607" s="693">
        <f>SUMIFS(Imput[[Importe Neto]:[Importe Neto]],Imput[[C. Imp.]:[C. Imp.]],$D607,Imput[[PERIODO Imp.]:[PERIODO Imp.]],CY$9)</f>
        <v>0</v>
      </c>
      <c r="CZ607" s="693">
        <f>SUMIFS(Imput[[Importe Neto]:[Importe Neto]],Imput[[C. Imp.]:[C. Imp.]],$D607,Imput[[PERIODO Imp.]:[PERIODO Imp.]],CZ$9)</f>
        <v>0</v>
      </c>
      <c r="DA607" s="693">
        <f>SUMIFS(Imput[[Importe Neto]:[Importe Neto]],Imput[[C. Imp.]:[C. Imp.]],$D607,Imput[[PERIODO Imp.]:[PERIODO Imp.]],DA$9)</f>
        <v>0</v>
      </c>
      <c r="DB607" s="693">
        <f>SUMIFS(Imput[[Importe Neto]:[Importe Neto]],Imput[[C. Imp.]:[C. Imp.]],$D607,Imput[[PERIODO Imp.]:[PERIODO Imp.]],DB$9)</f>
        <v>0</v>
      </c>
      <c r="DC607" s="693">
        <f>SUMIFS(Imput[[Importe Neto]:[Importe Neto]],Imput[[C. Imp.]:[C. Imp.]],$D607,Imput[[PERIODO Imp.]:[PERIODO Imp.]],DC$9)</f>
        <v>0</v>
      </c>
      <c r="DD607" s="693">
        <f>SUMIFS(Imput[[Importe Neto]:[Importe Neto]],Imput[[C. Imp.]:[C. Imp.]],$D607,Imput[[PERIODO Imp.]:[PERIODO Imp.]],DD$9)</f>
        <v>0</v>
      </c>
      <c r="DE607" s="693">
        <f>SUMIFS(Imput[[Importe Neto]:[Importe Neto]],Imput[[C. Imp.]:[C. Imp.]],$D607,Imput[[PERIODO Imp.]:[PERIODO Imp.]],DE$9)</f>
        <v>0</v>
      </c>
      <c r="DF607" s="693">
        <f>SUMIFS(Imput[[Importe Neto]:[Importe Neto]],Imput[[C. Imp.]:[C. Imp.]],$D607,Imput[[PERIODO Imp.]:[PERIODO Imp.]],DF$9)</f>
        <v>0</v>
      </c>
      <c r="DG607" s="693">
        <f>SUMIFS(Imput[[Importe Neto]:[Importe Neto]],Imput[[C. Imp.]:[C. Imp.]],$D607,Imput[[PERIODO Imp.]:[PERIODO Imp.]],DG$9)</f>
        <v>0</v>
      </c>
      <c r="DH607" s="694">
        <f>SUMIFS(Imput[[Importe Neto]:[Importe Neto]],Imput[[C. Imp.]:[C. Imp.]],$D607,Imput[[PERIODO Imp.]:[PERIODO Imp.]],DH$9)</f>
        <v>0</v>
      </c>
    </row>
    <row r="608" spans="1:112" s="649" customFormat="1" outlineLevel="1" x14ac:dyDescent="0.3">
      <c r="A608" s="652" t="str">
        <f t="shared" si="222"/>
        <v>Imprimir</v>
      </c>
      <c r="B608" s="652"/>
      <c r="C608" s="685"/>
      <c r="D608" s="686" t="s">
        <v>2626</v>
      </c>
      <c r="E608" s="686" t="s">
        <v>500</v>
      </c>
      <c r="F608" s="720"/>
      <c r="G608" s="688">
        <v>8</v>
      </c>
      <c r="H608" s="531">
        <f>Producción!G56*4</f>
        <v>288</v>
      </c>
      <c r="I608" s="851">
        <f t="shared" si="223"/>
        <v>1</v>
      </c>
      <c r="J608" s="850">
        <f t="shared" si="224"/>
        <v>2304</v>
      </c>
      <c r="K608" s="678"/>
      <c r="L608" s="858">
        <v>0.3</v>
      </c>
      <c r="M608" s="859"/>
      <c r="N608" s="859"/>
      <c r="O608" s="859"/>
      <c r="P608" s="859">
        <v>0.3</v>
      </c>
      <c r="Q608" s="859"/>
      <c r="R608" s="859"/>
      <c r="S608" s="859"/>
      <c r="T608" s="859"/>
      <c r="U608" s="859"/>
      <c r="V608" s="859"/>
      <c r="W608" s="859">
        <v>0.3</v>
      </c>
      <c r="X608" s="859"/>
      <c r="Y608" s="859"/>
      <c r="Z608" s="860"/>
      <c r="AA608" s="860"/>
      <c r="AB608" s="860"/>
      <c r="AC608" s="860"/>
      <c r="AD608" s="860"/>
      <c r="AE608" s="860">
        <v>0.1</v>
      </c>
      <c r="AF608" s="860"/>
      <c r="AG608" s="860"/>
      <c r="AH608" s="860"/>
      <c r="AI608" s="860"/>
      <c r="AJ608" s="860"/>
      <c r="AK608" s="860"/>
      <c r="AL608" s="860"/>
      <c r="AM608" s="860"/>
      <c r="AN608" s="860"/>
      <c r="AO608" s="860"/>
      <c r="AP608" s="860"/>
      <c r="AQ608" s="860"/>
      <c r="AR608" s="860"/>
      <c r="AS608" s="860"/>
      <c r="AT608" s="860"/>
      <c r="AU608" s="860"/>
      <c r="AV608" s="860"/>
      <c r="AW608" s="860"/>
      <c r="AX608" s="860"/>
      <c r="AY608" s="860"/>
      <c r="AZ608" s="860"/>
      <c r="BA608" s="860"/>
      <c r="BB608" s="860"/>
      <c r="BC608" s="860"/>
      <c r="BD608" s="860"/>
      <c r="BE608" s="860"/>
      <c r="BF608" s="860"/>
      <c r="BG608" s="860"/>
      <c r="BH608" s="668"/>
      <c r="BI608" s="654"/>
      <c r="BJ608" s="690">
        <f t="shared" si="225"/>
        <v>0</v>
      </c>
      <c r="BK608" s="691">
        <f t="shared" si="226"/>
        <v>0</v>
      </c>
      <c r="BL608" s="654"/>
      <c r="BM608" s="692">
        <f>SUMIFS(Imput[[Importe Neto]:[Importe Neto]],Imput[[C. Imp.]:[C. Imp.]],$D608,Imput[[PERIODO Imp.]:[PERIODO Imp.]],BM$9)</f>
        <v>0</v>
      </c>
      <c r="BN608" s="693">
        <f>SUMIFS(Imput[[Importe Neto]:[Importe Neto]],Imput[[C. Imp.]:[C. Imp.]],$D608,Imput[[PERIODO Imp.]:[PERIODO Imp.]],BN$9)</f>
        <v>0</v>
      </c>
      <c r="BO608" s="693">
        <f>SUMIFS(Imput[[Importe Neto]:[Importe Neto]],Imput[[C. Imp.]:[C. Imp.]],$D608,Imput[[PERIODO Imp.]:[PERIODO Imp.]],BO$9)</f>
        <v>0</v>
      </c>
      <c r="BP608" s="693">
        <f>SUMIFS(Imput[[Importe Neto]:[Importe Neto]],Imput[[C. Imp.]:[C. Imp.]],$D608,Imput[[PERIODO Imp.]:[PERIODO Imp.]],BP$9)</f>
        <v>0</v>
      </c>
      <c r="BQ608" s="693">
        <f>SUMIFS(Imput[[Importe Neto]:[Importe Neto]],Imput[[C. Imp.]:[C. Imp.]],$D608,Imput[[PERIODO Imp.]:[PERIODO Imp.]],BQ$9)</f>
        <v>0</v>
      </c>
      <c r="BR608" s="693">
        <f>SUMIFS(Imput[[Importe Neto]:[Importe Neto]],Imput[[C. Imp.]:[C. Imp.]],$D608,Imput[[PERIODO Imp.]:[PERIODO Imp.]],BR$9)</f>
        <v>0</v>
      </c>
      <c r="BS608" s="693">
        <f>SUMIFS(Imput[[Importe Neto]:[Importe Neto]],Imput[[C. Imp.]:[C. Imp.]],$D608,Imput[[PERIODO Imp.]:[PERIODO Imp.]],BS$9)</f>
        <v>0</v>
      </c>
      <c r="BT608" s="693">
        <f>SUMIFS(Imput[[Importe Neto]:[Importe Neto]],Imput[[C. Imp.]:[C. Imp.]],$D608,Imput[[PERIODO Imp.]:[PERIODO Imp.]],BT$9)</f>
        <v>0</v>
      </c>
      <c r="BU608" s="693">
        <f>SUMIFS(Imput[[Importe Neto]:[Importe Neto]],Imput[[C. Imp.]:[C. Imp.]],$D608,Imput[[PERIODO Imp.]:[PERIODO Imp.]],BU$9)</f>
        <v>0</v>
      </c>
      <c r="BV608" s="693">
        <f>SUMIFS(Imput[[Importe Neto]:[Importe Neto]],Imput[[C. Imp.]:[C. Imp.]],$D608,Imput[[PERIODO Imp.]:[PERIODO Imp.]],BV$9)</f>
        <v>0</v>
      </c>
      <c r="BW608" s="693">
        <f>SUMIFS(Imput[[Importe Neto]:[Importe Neto]],Imput[[C. Imp.]:[C. Imp.]],$D608,Imput[[PERIODO Imp.]:[PERIODO Imp.]],BW$9)</f>
        <v>0</v>
      </c>
      <c r="BX608" s="693">
        <f>SUMIFS(Imput[[Importe Neto]:[Importe Neto]],Imput[[C. Imp.]:[C. Imp.]],$D608,Imput[[PERIODO Imp.]:[PERIODO Imp.]],BX$9)</f>
        <v>0</v>
      </c>
      <c r="BY608" s="693">
        <f>SUMIFS(Imput[[Importe Neto]:[Importe Neto]],Imput[[C. Imp.]:[C. Imp.]],$D608,Imput[[PERIODO Imp.]:[PERIODO Imp.]],BY$9)</f>
        <v>0</v>
      </c>
      <c r="BZ608" s="693">
        <f>SUMIFS(Imput[[Importe Neto]:[Importe Neto]],Imput[[C. Imp.]:[C. Imp.]],$D608,Imput[[PERIODO Imp.]:[PERIODO Imp.]],BZ$9)</f>
        <v>0</v>
      </c>
      <c r="CA608" s="693">
        <f>SUMIFS(Imput[[Importe Neto]:[Importe Neto]],Imput[[C. Imp.]:[C. Imp.]],$D608,Imput[[PERIODO Imp.]:[PERIODO Imp.]],CA$9)</f>
        <v>0</v>
      </c>
      <c r="CB608" s="693">
        <f>SUMIFS(Imput[[Importe Neto]:[Importe Neto]],Imput[[C. Imp.]:[C. Imp.]],$D608,Imput[[PERIODO Imp.]:[PERIODO Imp.]],CB$9)</f>
        <v>0</v>
      </c>
      <c r="CC608" s="693">
        <f>SUMIFS(Imput[[Importe Neto]:[Importe Neto]],Imput[[C. Imp.]:[C. Imp.]],$D608,Imput[[PERIODO Imp.]:[PERIODO Imp.]],CC$9)</f>
        <v>0</v>
      </c>
      <c r="CD608" s="693">
        <f>SUMIFS(Imput[[Importe Neto]:[Importe Neto]],Imput[[C. Imp.]:[C. Imp.]],$D608,Imput[[PERIODO Imp.]:[PERIODO Imp.]],CD$9)</f>
        <v>0</v>
      </c>
      <c r="CE608" s="693">
        <f>SUMIFS(Imput[[Importe Neto]:[Importe Neto]],Imput[[C. Imp.]:[C. Imp.]],$D608,Imput[[PERIODO Imp.]:[PERIODO Imp.]],CE$9)</f>
        <v>0</v>
      </c>
      <c r="CF608" s="693">
        <f>SUMIFS(Imput[[Importe Neto]:[Importe Neto]],Imput[[C. Imp.]:[C. Imp.]],$D608,Imput[[PERIODO Imp.]:[PERIODO Imp.]],CF$9)</f>
        <v>0</v>
      </c>
      <c r="CG608" s="693">
        <f>SUMIFS(Imput[[Importe Neto]:[Importe Neto]],Imput[[C. Imp.]:[C. Imp.]],$D608,Imput[[PERIODO Imp.]:[PERIODO Imp.]],CG$9)</f>
        <v>0</v>
      </c>
      <c r="CH608" s="693">
        <f>SUMIFS(Imput[[Importe Neto]:[Importe Neto]],Imput[[C. Imp.]:[C. Imp.]],$D608,Imput[[PERIODO Imp.]:[PERIODO Imp.]],CH$9)</f>
        <v>0</v>
      </c>
      <c r="CI608" s="693">
        <f>SUMIFS(Imput[[Importe Neto]:[Importe Neto]],Imput[[C. Imp.]:[C. Imp.]],$D608,Imput[[PERIODO Imp.]:[PERIODO Imp.]],CI$9)</f>
        <v>0</v>
      </c>
      <c r="CJ608" s="693">
        <f>SUMIFS(Imput[[Importe Neto]:[Importe Neto]],Imput[[C. Imp.]:[C. Imp.]],$D608,Imput[[PERIODO Imp.]:[PERIODO Imp.]],CJ$9)</f>
        <v>0</v>
      </c>
      <c r="CK608" s="693">
        <f>SUMIFS(Imput[[Importe Neto]:[Importe Neto]],Imput[[C. Imp.]:[C. Imp.]],$D608,Imput[[PERIODO Imp.]:[PERIODO Imp.]],CK$9)</f>
        <v>0</v>
      </c>
      <c r="CL608" s="693">
        <f>SUMIFS(Imput[[Importe Neto]:[Importe Neto]],Imput[[C. Imp.]:[C. Imp.]],$D608,Imput[[PERIODO Imp.]:[PERIODO Imp.]],CL$9)</f>
        <v>0</v>
      </c>
      <c r="CM608" s="693">
        <f>SUMIFS(Imput[[Importe Neto]:[Importe Neto]],Imput[[C. Imp.]:[C. Imp.]],$D608,Imput[[PERIODO Imp.]:[PERIODO Imp.]],CM$9)</f>
        <v>0</v>
      </c>
      <c r="CN608" s="693">
        <f>SUMIFS(Imput[[Importe Neto]:[Importe Neto]],Imput[[C. Imp.]:[C. Imp.]],$D608,Imput[[PERIODO Imp.]:[PERIODO Imp.]],CN$9)</f>
        <v>0</v>
      </c>
      <c r="CO608" s="693">
        <f>SUMIFS(Imput[[Importe Neto]:[Importe Neto]],Imput[[C. Imp.]:[C. Imp.]],$D608,Imput[[PERIODO Imp.]:[PERIODO Imp.]],CO$9)</f>
        <v>0</v>
      </c>
      <c r="CP608" s="693">
        <f>SUMIFS(Imput[[Importe Neto]:[Importe Neto]],Imput[[C. Imp.]:[C. Imp.]],$D608,Imput[[PERIODO Imp.]:[PERIODO Imp.]],CP$9)</f>
        <v>0</v>
      </c>
      <c r="CQ608" s="693">
        <f>SUMIFS(Imput[[Importe Neto]:[Importe Neto]],Imput[[C. Imp.]:[C. Imp.]],$D608,Imput[[PERIODO Imp.]:[PERIODO Imp.]],CQ$9)</f>
        <v>0</v>
      </c>
      <c r="CR608" s="693">
        <f>SUMIFS(Imput[[Importe Neto]:[Importe Neto]],Imput[[C. Imp.]:[C. Imp.]],$D608,Imput[[PERIODO Imp.]:[PERIODO Imp.]],CR$9)</f>
        <v>0</v>
      </c>
      <c r="CS608" s="693">
        <f>SUMIFS(Imput[[Importe Neto]:[Importe Neto]],Imput[[C. Imp.]:[C. Imp.]],$D608,Imput[[PERIODO Imp.]:[PERIODO Imp.]],CS$9)</f>
        <v>0</v>
      </c>
      <c r="CT608" s="693">
        <f>SUMIFS(Imput[[Importe Neto]:[Importe Neto]],Imput[[C. Imp.]:[C. Imp.]],$D608,Imput[[PERIODO Imp.]:[PERIODO Imp.]],CT$9)</f>
        <v>0</v>
      </c>
      <c r="CU608" s="693">
        <f>SUMIFS(Imput[[Importe Neto]:[Importe Neto]],Imput[[C. Imp.]:[C. Imp.]],$D608,Imput[[PERIODO Imp.]:[PERIODO Imp.]],CU$9)</f>
        <v>0</v>
      </c>
      <c r="CV608" s="693">
        <f>SUMIFS(Imput[[Importe Neto]:[Importe Neto]],Imput[[C. Imp.]:[C. Imp.]],$D608,Imput[[PERIODO Imp.]:[PERIODO Imp.]],CV$9)</f>
        <v>0</v>
      </c>
      <c r="CW608" s="693">
        <f>SUMIFS(Imput[[Importe Neto]:[Importe Neto]],Imput[[C. Imp.]:[C. Imp.]],$D608,Imput[[PERIODO Imp.]:[PERIODO Imp.]],CW$9)</f>
        <v>0</v>
      </c>
      <c r="CX608" s="693">
        <f>SUMIFS(Imput[[Importe Neto]:[Importe Neto]],Imput[[C. Imp.]:[C. Imp.]],$D608,Imput[[PERIODO Imp.]:[PERIODO Imp.]],CX$9)</f>
        <v>0</v>
      </c>
      <c r="CY608" s="693">
        <f>SUMIFS(Imput[[Importe Neto]:[Importe Neto]],Imput[[C. Imp.]:[C. Imp.]],$D608,Imput[[PERIODO Imp.]:[PERIODO Imp.]],CY$9)</f>
        <v>0</v>
      </c>
      <c r="CZ608" s="693">
        <f>SUMIFS(Imput[[Importe Neto]:[Importe Neto]],Imput[[C. Imp.]:[C. Imp.]],$D608,Imput[[PERIODO Imp.]:[PERIODO Imp.]],CZ$9)</f>
        <v>0</v>
      </c>
      <c r="DA608" s="693">
        <f>SUMIFS(Imput[[Importe Neto]:[Importe Neto]],Imput[[C. Imp.]:[C. Imp.]],$D608,Imput[[PERIODO Imp.]:[PERIODO Imp.]],DA$9)</f>
        <v>0</v>
      </c>
      <c r="DB608" s="693">
        <f>SUMIFS(Imput[[Importe Neto]:[Importe Neto]],Imput[[C. Imp.]:[C. Imp.]],$D608,Imput[[PERIODO Imp.]:[PERIODO Imp.]],DB$9)</f>
        <v>0</v>
      </c>
      <c r="DC608" s="693">
        <f>SUMIFS(Imput[[Importe Neto]:[Importe Neto]],Imput[[C. Imp.]:[C. Imp.]],$D608,Imput[[PERIODO Imp.]:[PERIODO Imp.]],DC$9)</f>
        <v>0</v>
      </c>
      <c r="DD608" s="693">
        <f>SUMIFS(Imput[[Importe Neto]:[Importe Neto]],Imput[[C. Imp.]:[C. Imp.]],$D608,Imput[[PERIODO Imp.]:[PERIODO Imp.]],DD$9)</f>
        <v>0</v>
      </c>
      <c r="DE608" s="693">
        <f>SUMIFS(Imput[[Importe Neto]:[Importe Neto]],Imput[[C. Imp.]:[C. Imp.]],$D608,Imput[[PERIODO Imp.]:[PERIODO Imp.]],DE$9)</f>
        <v>0</v>
      </c>
      <c r="DF608" s="693">
        <f>SUMIFS(Imput[[Importe Neto]:[Importe Neto]],Imput[[C. Imp.]:[C. Imp.]],$D608,Imput[[PERIODO Imp.]:[PERIODO Imp.]],DF$9)</f>
        <v>0</v>
      </c>
      <c r="DG608" s="693">
        <f>SUMIFS(Imput[[Importe Neto]:[Importe Neto]],Imput[[C. Imp.]:[C. Imp.]],$D608,Imput[[PERIODO Imp.]:[PERIODO Imp.]],DG$9)</f>
        <v>0</v>
      </c>
      <c r="DH608" s="694">
        <f>SUMIFS(Imput[[Importe Neto]:[Importe Neto]],Imput[[C. Imp.]:[C. Imp.]],$D608,Imput[[PERIODO Imp.]:[PERIODO Imp.]],DH$9)</f>
        <v>0</v>
      </c>
    </row>
    <row r="609" spans="1:112" s="649" customFormat="1" outlineLevel="1" x14ac:dyDescent="0.3">
      <c r="A609" s="652" t="str">
        <f t="shared" si="222"/>
        <v>Imprimir</v>
      </c>
      <c r="B609" s="652"/>
      <c r="C609" s="685"/>
      <c r="D609" s="686" t="s">
        <v>2627</v>
      </c>
      <c r="E609" s="686" t="s">
        <v>501</v>
      </c>
      <c r="F609" s="720"/>
      <c r="G609" s="688">
        <v>6</v>
      </c>
      <c r="H609" s="531">
        <f>Producción!G56*12</f>
        <v>864</v>
      </c>
      <c r="I609" s="851">
        <f t="shared" si="223"/>
        <v>1</v>
      </c>
      <c r="J609" s="850">
        <f t="shared" si="224"/>
        <v>5184</v>
      </c>
      <c r="K609" s="667"/>
      <c r="L609" s="858">
        <v>1</v>
      </c>
      <c r="M609" s="859"/>
      <c r="N609" s="859"/>
      <c r="O609" s="859"/>
      <c r="P609" s="859"/>
      <c r="Q609" s="859"/>
      <c r="R609" s="859"/>
      <c r="S609" s="859"/>
      <c r="T609" s="859"/>
      <c r="U609" s="859"/>
      <c r="V609" s="859"/>
      <c r="W609" s="859"/>
      <c r="X609" s="859"/>
      <c r="Y609" s="859"/>
      <c r="Z609" s="860"/>
      <c r="AA609" s="860"/>
      <c r="AB609" s="860"/>
      <c r="AC609" s="860"/>
      <c r="AD609" s="860"/>
      <c r="AE609" s="860"/>
      <c r="AF609" s="860"/>
      <c r="AG609" s="860"/>
      <c r="AH609" s="860"/>
      <c r="AI609" s="860"/>
      <c r="AJ609" s="860"/>
      <c r="AK609" s="860"/>
      <c r="AL609" s="860"/>
      <c r="AM609" s="860"/>
      <c r="AN609" s="860"/>
      <c r="AO609" s="860"/>
      <c r="AP609" s="860"/>
      <c r="AQ609" s="860"/>
      <c r="AR609" s="860"/>
      <c r="AS609" s="860"/>
      <c r="AT609" s="860"/>
      <c r="AU609" s="860"/>
      <c r="AV609" s="860"/>
      <c r="AW609" s="860"/>
      <c r="AX609" s="860"/>
      <c r="AY609" s="860"/>
      <c r="AZ609" s="860"/>
      <c r="BA609" s="860"/>
      <c r="BB609" s="860"/>
      <c r="BC609" s="860"/>
      <c r="BD609" s="860"/>
      <c r="BE609" s="860"/>
      <c r="BF609" s="860"/>
      <c r="BG609" s="860"/>
      <c r="BH609" s="668"/>
      <c r="BI609" s="667"/>
      <c r="BJ609" s="690">
        <f t="shared" si="225"/>
        <v>0</v>
      </c>
      <c r="BK609" s="691">
        <f t="shared" si="226"/>
        <v>0</v>
      </c>
      <c r="BL609" s="654"/>
      <c r="BM609" s="692">
        <f>SUMIFS(Imput[[Importe Neto]:[Importe Neto]],Imput[[C. Imp.]:[C. Imp.]],$D609,Imput[[PERIODO Imp.]:[PERIODO Imp.]],BM$9)</f>
        <v>0</v>
      </c>
      <c r="BN609" s="693">
        <f>SUMIFS(Imput[[Importe Neto]:[Importe Neto]],Imput[[C. Imp.]:[C. Imp.]],$D609,Imput[[PERIODO Imp.]:[PERIODO Imp.]],BN$9)</f>
        <v>0</v>
      </c>
      <c r="BO609" s="693">
        <f>SUMIFS(Imput[[Importe Neto]:[Importe Neto]],Imput[[C. Imp.]:[C. Imp.]],$D609,Imput[[PERIODO Imp.]:[PERIODO Imp.]],BO$9)</f>
        <v>0</v>
      </c>
      <c r="BP609" s="693">
        <f>SUMIFS(Imput[[Importe Neto]:[Importe Neto]],Imput[[C. Imp.]:[C. Imp.]],$D609,Imput[[PERIODO Imp.]:[PERIODO Imp.]],BP$9)</f>
        <v>0</v>
      </c>
      <c r="BQ609" s="693">
        <f>SUMIFS(Imput[[Importe Neto]:[Importe Neto]],Imput[[C. Imp.]:[C. Imp.]],$D609,Imput[[PERIODO Imp.]:[PERIODO Imp.]],BQ$9)</f>
        <v>0</v>
      </c>
      <c r="BR609" s="693">
        <f>SUMIFS(Imput[[Importe Neto]:[Importe Neto]],Imput[[C. Imp.]:[C. Imp.]],$D609,Imput[[PERIODO Imp.]:[PERIODO Imp.]],BR$9)</f>
        <v>0</v>
      </c>
      <c r="BS609" s="693">
        <f>SUMIFS(Imput[[Importe Neto]:[Importe Neto]],Imput[[C. Imp.]:[C. Imp.]],$D609,Imput[[PERIODO Imp.]:[PERIODO Imp.]],BS$9)</f>
        <v>0</v>
      </c>
      <c r="BT609" s="693">
        <f>SUMIFS(Imput[[Importe Neto]:[Importe Neto]],Imput[[C. Imp.]:[C. Imp.]],$D609,Imput[[PERIODO Imp.]:[PERIODO Imp.]],BT$9)</f>
        <v>0</v>
      </c>
      <c r="BU609" s="693">
        <f>SUMIFS(Imput[[Importe Neto]:[Importe Neto]],Imput[[C. Imp.]:[C. Imp.]],$D609,Imput[[PERIODO Imp.]:[PERIODO Imp.]],BU$9)</f>
        <v>0</v>
      </c>
      <c r="BV609" s="693">
        <f>SUMIFS(Imput[[Importe Neto]:[Importe Neto]],Imput[[C. Imp.]:[C. Imp.]],$D609,Imput[[PERIODO Imp.]:[PERIODO Imp.]],BV$9)</f>
        <v>0</v>
      </c>
      <c r="BW609" s="693">
        <f>SUMIFS(Imput[[Importe Neto]:[Importe Neto]],Imput[[C. Imp.]:[C. Imp.]],$D609,Imput[[PERIODO Imp.]:[PERIODO Imp.]],BW$9)</f>
        <v>0</v>
      </c>
      <c r="BX609" s="693">
        <f>SUMIFS(Imput[[Importe Neto]:[Importe Neto]],Imput[[C. Imp.]:[C. Imp.]],$D609,Imput[[PERIODO Imp.]:[PERIODO Imp.]],BX$9)</f>
        <v>0</v>
      </c>
      <c r="BY609" s="693">
        <f>SUMIFS(Imput[[Importe Neto]:[Importe Neto]],Imput[[C. Imp.]:[C. Imp.]],$D609,Imput[[PERIODO Imp.]:[PERIODO Imp.]],BY$9)</f>
        <v>0</v>
      </c>
      <c r="BZ609" s="693">
        <f>SUMIFS(Imput[[Importe Neto]:[Importe Neto]],Imput[[C. Imp.]:[C. Imp.]],$D609,Imput[[PERIODO Imp.]:[PERIODO Imp.]],BZ$9)</f>
        <v>0</v>
      </c>
      <c r="CA609" s="693">
        <f>SUMIFS(Imput[[Importe Neto]:[Importe Neto]],Imput[[C. Imp.]:[C. Imp.]],$D609,Imput[[PERIODO Imp.]:[PERIODO Imp.]],CA$9)</f>
        <v>0</v>
      </c>
      <c r="CB609" s="693">
        <f>SUMIFS(Imput[[Importe Neto]:[Importe Neto]],Imput[[C. Imp.]:[C. Imp.]],$D609,Imput[[PERIODO Imp.]:[PERIODO Imp.]],CB$9)</f>
        <v>0</v>
      </c>
      <c r="CC609" s="693">
        <f>SUMIFS(Imput[[Importe Neto]:[Importe Neto]],Imput[[C. Imp.]:[C. Imp.]],$D609,Imput[[PERIODO Imp.]:[PERIODO Imp.]],CC$9)</f>
        <v>0</v>
      </c>
      <c r="CD609" s="693">
        <f>SUMIFS(Imput[[Importe Neto]:[Importe Neto]],Imput[[C. Imp.]:[C. Imp.]],$D609,Imput[[PERIODO Imp.]:[PERIODO Imp.]],CD$9)</f>
        <v>0</v>
      </c>
      <c r="CE609" s="693">
        <f>SUMIFS(Imput[[Importe Neto]:[Importe Neto]],Imput[[C. Imp.]:[C. Imp.]],$D609,Imput[[PERIODO Imp.]:[PERIODO Imp.]],CE$9)</f>
        <v>0</v>
      </c>
      <c r="CF609" s="693">
        <f>SUMIFS(Imput[[Importe Neto]:[Importe Neto]],Imput[[C. Imp.]:[C. Imp.]],$D609,Imput[[PERIODO Imp.]:[PERIODO Imp.]],CF$9)</f>
        <v>0</v>
      </c>
      <c r="CG609" s="693">
        <f>SUMIFS(Imput[[Importe Neto]:[Importe Neto]],Imput[[C. Imp.]:[C. Imp.]],$D609,Imput[[PERIODO Imp.]:[PERIODO Imp.]],CG$9)</f>
        <v>0</v>
      </c>
      <c r="CH609" s="693">
        <f>SUMIFS(Imput[[Importe Neto]:[Importe Neto]],Imput[[C. Imp.]:[C. Imp.]],$D609,Imput[[PERIODO Imp.]:[PERIODO Imp.]],CH$9)</f>
        <v>0</v>
      </c>
      <c r="CI609" s="693">
        <f>SUMIFS(Imput[[Importe Neto]:[Importe Neto]],Imput[[C. Imp.]:[C. Imp.]],$D609,Imput[[PERIODO Imp.]:[PERIODO Imp.]],CI$9)</f>
        <v>0</v>
      </c>
      <c r="CJ609" s="693">
        <f>SUMIFS(Imput[[Importe Neto]:[Importe Neto]],Imput[[C. Imp.]:[C. Imp.]],$D609,Imput[[PERIODO Imp.]:[PERIODO Imp.]],CJ$9)</f>
        <v>0</v>
      </c>
      <c r="CK609" s="693">
        <f>SUMIFS(Imput[[Importe Neto]:[Importe Neto]],Imput[[C. Imp.]:[C. Imp.]],$D609,Imput[[PERIODO Imp.]:[PERIODO Imp.]],CK$9)</f>
        <v>0</v>
      </c>
      <c r="CL609" s="693">
        <f>SUMIFS(Imput[[Importe Neto]:[Importe Neto]],Imput[[C. Imp.]:[C. Imp.]],$D609,Imput[[PERIODO Imp.]:[PERIODO Imp.]],CL$9)</f>
        <v>0</v>
      </c>
      <c r="CM609" s="693">
        <f>SUMIFS(Imput[[Importe Neto]:[Importe Neto]],Imput[[C. Imp.]:[C. Imp.]],$D609,Imput[[PERIODO Imp.]:[PERIODO Imp.]],CM$9)</f>
        <v>0</v>
      </c>
      <c r="CN609" s="693">
        <f>SUMIFS(Imput[[Importe Neto]:[Importe Neto]],Imput[[C. Imp.]:[C. Imp.]],$D609,Imput[[PERIODO Imp.]:[PERIODO Imp.]],CN$9)</f>
        <v>0</v>
      </c>
      <c r="CO609" s="693">
        <f>SUMIFS(Imput[[Importe Neto]:[Importe Neto]],Imput[[C. Imp.]:[C. Imp.]],$D609,Imput[[PERIODO Imp.]:[PERIODO Imp.]],CO$9)</f>
        <v>0</v>
      </c>
      <c r="CP609" s="693">
        <f>SUMIFS(Imput[[Importe Neto]:[Importe Neto]],Imput[[C. Imp.]:[C. Imp.]],$D609,Imput[[PERIODO Imp.]:[PERIODO Imp.]],CP$9)</f>
        <v>0</v>
      </c>
      <c r="CQ609" s="693">
        <f>SUMIFS(Imput[[Importe Neto]:[Importe Neto]],Imput[[C. Imp.]:[C. Imp.]],$D609,Imput[[PERIODO Imp.]:[PERIODO Imp.]],CQ$9)</f>
        <v>0</v>
      </c>
      <c r="CR609" s="693">
        <f>SUMIFS(Imput[[Importe Neto]:[Importe Neto]],Imput[[C. Imp.]:[C. Imp.]],$D609,Imput[[PERIODO Imp.]:[PERIODO Imp.]],CR$9)</f>
        <v>0</v>
      </c>
      <c r="CS609" s="693">
        <f>SUMIFS(Imput[[Importe Neto]:[Importe Neto]],Imput[[C. Imp.]:[C. Imp.]],$D609,Imput[[PERIODO Imp.]:[PERIODO Imp.]],CS$9)</f>
        <v>0</v>
      </c>
      <c r="CT609" s="693">
        <f>SUMIFS(Imput[[Importe Neto]:[Importe Neto]],Imput[[C. Imp.]:[C. Imp.]],$D609,Imput[[PERIODO Imp.]:[PERIODO Imp.]],CT$9)</f>
        <v>0</v>
      </c>
      <c r="CU609" s="693">
        <f>SUMIFS(Imput[[Importe Neto]:[Importe Neto]],Imput[[C. Imp.]:[C. Imp.]],$D609,Imput[[PERIODO Imp.]:[PERIODO Imp.]],CU$9)</f>
        <v>0</v>
      </c>
      <c r="CV609" s="693">
        <f>SUMIFS(Imput[[Importe Neto]:[Importe Neto]],Imput[[C. Imp.]:[C. Imp.]],$D609,Imput[[PERIODO Imp.]:[PERIODO Imp.]],CV$9)</f>
        <v>0</v>
      </c>
      <c r="CW609" s="693">
        <f>SUMIFS(Imput[[Importe Neto]:[Importe Neto]],Imput[[C. Imp.]:[C. Imp.]],$D609,Imput[[PERIODO Imp.]:[PERIODO Imp.]],CW$9)</f>
        <v>0</v>
      </c>
      <c r="CX609" s="693">
        <f>SUMIFS(Imput[[Importe Neto]:[Importe Neto]],Imput[[C. Imp.]:[C. Imp.]],$D609,Imput[[PERIODO Imp.]:[PERIODO Imp.]],CX$9)</f>
        <v>0</v>
      </c>
      <c r="CY609" s="693">
        <f>SUMIFS(Imput[[Importe Neto]:[Importe Neto]],Imput[[C. Imp.]:[C. Imp.]],$D609,Imput[[PERIODO Imp.]:[PERIODO Imp.]],CY$9)</f>
        <v>0</v>
      </c>
      <c r="CZ609" s="693">
        <f>SUMIFS(Imput[[Importe Neto]:[Importe Neto]],Imput[[C. Imp.]:[C. Imp.]],$D609,Imput[[PERIODO Imp.]:[PERIODO Imp.]],CZ$9)</f>
        <v>0</v>
      </c>
      <c r="DA609" s="693">
        <f>SUMIFS(Imput[[Importe Neto]:[Importe Neto]],Imput[[C. Imp.]:[C. Imp.]],$D609,Imput[[PERIODO Imp.]:[PERIODO Imp.]],DA$9)</f>
        <v>0</v>
      </c>
      <c r="DB609" s="693">
        <f>SUMIFS(Imput[[Importe Neto]:[Importe Neto]],Imput[[C. Imp.]:[C. Imp.]],$D609,Imput[[PERIODO Imp.]:[PERIODO Imp.]],DB$9)</f>
        <v>0</v>
      </c>
      <c r="DC609" s="693">
        <f>SUMIFS(Imput[[Importe Neto]:[Importe Neto]],Imput[[C. Imp.]:[C. Imp.]],$D609,Imput[[PERIODO Imp.]:[PERIODO Imp.]],DC$9)</f>
        <v>0</v>
      </c>
      <c r="DD609" s="693">
        <f>SUMIFS(Imput[[Importe Neto]:[Importe Neto]],Imput[[C. Imp.]:[C. Imp.]],$D609,Imput[[PERIODO Imp.]:[PERIODO Imp.]],DD$9)</f>
        <v>0</v>
      </c>
      <c r="DE609" s="693">
        <f>SUMIFS(Imput[[Importe Neto]:[Importe Neto]],Imput[[C. Imp.]:[C. Imp.]],$D609,Imput[[PERIODO Imp.]:[PERIODO Imp.]],DE$9)</f>
        <v>0</v>
      </c>
      <c r="DF609" s="693">
        <f>SUMIFS(Imput[[Importe Neto]:[Importe Neto]],Imput[[C. Imp.]:[C. Imp.]],$D609,Imput[[PERIODO Imp.]:[PERIODO Imp.]],DF$9)</f>
        <v>0</v>
      </c>
      <c r="DG609" s="693">
        <f>SUMIFS(Imput[[Importe Neto]:[Importe Neto]],Imput[[C. Imp.]:[C. Imp.]],$D609,Imput[[PERIODO Imp.]:[PERIODO Imp.]],DG$9)</f>
        <v>0</v>
      </c>
      <c r="DH609" s="694">
        <f>SUMIFS(Imput[[Importe Neto]:[Importe Neto]],Imput[[C. Imp.]:[C. Imp.]],$D609,Imput[[PERIODO Imp.]:[PERIODO Imp.]],DH$9)</f>
        <v>0</v>
      </c>
    </row>
    <row r="610" spans="1:112" s="649" customFormat="1" outlineLevel="1" x14ac:dyDescent="0.3">
      <c r="A610" s="652" t="str">
        <f t="shared" si="222"/>
        <v>Imprimir</v>
      </c>
      <c r="B610" s="652"/>
      <c r="C610" s="685"/>
      <c r="D610" s="686" t="s">
        <v>2628</v>
      </c>
      <c r="E610" s="686" t="s">
        <v>502</v>
      </c>
      <c r="F610" s="720"/>
      <c r="G610" s="688">
        <v>30</v>
      </c>
      <c r="H610" s="531">
        <f>Producción!G56*2.9</f>
        <v>208.79999999999998</v>
      </c>
      <c r="I610" s="851">
        <f t="shared" si="223"/>
        <v>1</v>
      </c>
      <c r="J610" s="850">
        <f t="shared" si="224"/>
        <v>6263.9999999999991</v>
      </c>
      <c r="K610" s="667"/>
      <c r="L610" s="858">
        <v>1</v>
      </c>
      <c r="M610" s="859"/>
      <c r="N610" s="859"/>
      <c r="O610" s="859"/>
      <c r="P610" s="859"/>
      <c r="Q610" s="859"/>
      <c r="R610" s="859"/>
      <c r="S610" s="859"/>
      <c r="T610" s="859"/>
      <c r="U610" s="859"/>
      <c r="V610" s="859"/>
      <c r="W610" s="859"/>
      <c r="X610" s="859"/>
      <c r="Y610" s="859"/>
      <c r="Z610" s="860"/>
      <c r="AA610" s="860"/>
      <c r="AB610" s="860"/>
      <c r="AC610" s="860"/>
      <c r="AD610" s="860"/>
      <c r="AE610" s="860"/>
      <c r="AF610" s="860"/>
      <c r="AG610" s="860"/>
      <c r="AH610" s="860"/>
      <c r="AI610" s="860"/>
      <c r="AJ610" s="860"/>
      <c r="AK610" s="860"/>
      <c r="AL610" s="860"/>
      <c r="AM610" s="860"/>
      <c r="AN610" s="860"/>
      <c r="AO610" s="860"/>
      <c r="AP610" s="860"/>
      <c r="AQ610" s="860"/>
      <c r="AR610" s="860"/>
      <c r="AS610" s="860"/>
      <c r="AT610" s="860"/>
      <c r="AU610" s="860"/>
      <c r="AV610" s="860"/>
      <c r="AW610" s="860"/>
      <c r="AX610" s="860"/>
      <c r="AY610" s="860"/>
      <c r="AZ610" s="860"/>
      <c r="BA610" s="860"/>
      <c r="BB610" s="860"/>
      <c r="BC610" s="860"/>
      <c r="BD610" s="860"/>
      <c r="BE610" s="860"/>
      <c r="BF610" s="860"/>
      <c r="BG610" s="860"/>
      <c r="BH610" s="668"/>
      <c r="BI610" s="667"/>
      <c r="BJ610" s="690">
        <f t="shared" si="225"/>
        <v>0</v>
      </c>
      <c r="BK610" s="691">
        <f t="shared" si="226"/>
        <v>0</v>
      </c>
      <c r="BL610" s="654"/>
      <c r="BM610" s="692">
        <f>SUMIFS(Imput[[Importe Neto]:[Importe Neto]],Imput[[C. Imp.]:[C. Imp.]],$D610,Imput[[PERIODO Imp.]:[PERIODO Imp.]],BM$9)</f>
        <v>0</v>
      </c>
      <c r="BN610" s="693">
        <f>SUMIFS(Imput[[Importe Neto]:[Importe Neto]],Imput[[C. Imp.]:[C. Imp.]],$D610,Imput[[PERIODO Imp.]:[PERIODO Imp.]],BN$9)</f>
        <v>0</v>
      </c>
      <c r="BO610" s="693">
        <f>SUMIFS(Imput[[Importe Neto]:[Importe Neto]],Imput[[C. Imp.]:[C. Imp.]],$D610,Imput[[PERIODO Imp.]:[PERIODO Imp.]],BO$9)</f>
        <v>0</v>
      </c>
      <c r="BP610" s="693">
        <f>SUMIFS(Imput[[Importe Neto]:[Importe Neto]],Imput[[C. Imp.]:[C. Imp.]],$D610,Imput[[PERIODO Imp.]:[PERIODO Imp.]],BP$9)</f>
        <v>0</v>
      </c>
      <c r="BQ610" s="693">
        <f>SUMIFS(Imput[[Importe Neto]:[Importe Neto]],Imput[[C. Imp.]:[C. Imp.]],$D610,Imput[[PERIODO Imp.]:[PERIODO Imp.]],BQ$9)</f>
        <v>0</v>
      </c>
      <c r="BR610" s="693">
        <f>SUMIFS(Imput[[Importe Neto]:[Importe Neto]],Imput[[C. Imp.]:[C. Imp.]],$D610,Imput[[PERIODO Imp.]:[PERIODO Imp.]],BR$9)</f>
        <v>0</v>
      </c>
      <c r="BS610" s="693">
        <f>SUMIFS(Imput[[Importe Neto]:[Importe Neto]],Imput[[C. Imp.]:[C. Imp.]],$D610,Imput[[PERIODO Imp.]:[PERIODO Imp.]],BS$9)</f>
        <v>0</v>
      </c>
      <c r="BT610" s="693">
        <f>SUMIFS(Imput[[Importe Neto]:[Importe Neto]],Imput[[C. Imp.]:[C. Imp.]],$D610,Imput[[PERIODO Imp.]:[PERIODO Imp.]],BT$9)</f>
        <v>0</v>
      </c>
      <c r="BU610" s="693">
        <f>SUMIFS(Imput[[Importe Neto]:[Importe Neto]],Imput[[C. Imp.]:[C. Imp.]],$D610,Imput[[PERIODO Imp.]:[PERIODO Imp.]],BU$9)</f>
        <v>0</v>
      </c>
      <c r="BV610" s="693">
        <f>SUMIFS(Imput[[Importe Neto]:[Importe Neto]],Imput[[C. Imp.]:[C. Imp.]],$D610,Imput[[PERIODO Imp.]:[PERIODO Imp.]],BV$9)</f>
        <v>0</v>
      </c>
      <c r="BW610" s="693">
        <f>SUMIFS(Imput[[Importe Neto]:[Importe Neto]],Imput[[C. Imp.]:[C. Imp.]],$D610,Imput[[PERIODO Imp.]:[PERIODO Imp.]],BW$9)</f>
        <v>0</v>
      </c>
      <c r="BX610" s="693">
        <f>SUMIFS(Imput[[Importe Neto]:[Importe Neto]],Imput[[C. Imp.]:[C. Imp.]],$D610,Imput[[PERIODO Imp.]:[PERIODO Imp.]],BX$9)</f>
        <v>0</v>
      </c>
      <c r="BY610" s="693">
        <f>SUMIFS(Imput[[Importe Neto]:[Importe Neto]],Imput[[C. Imp.]:[C. Imp.]],$D610,Imput[[PERIODO Imp.]:[PERIODO Imp.]],BY$9)</f>
        <v>0</v>
      </c>
      <c r="BZ610" s="693">
        <f>SUMIFS(Imput[[Importe Neto]:[Importe Neto]],Imput[[C. Imp.]:[C. Imp.]],$D610,Imput[[PERIODO Imp.]:[PERIODO Imp.]],BZ$9)</f>
        <v>0</v>
      </c>
      <c r="CA610" s="693">
        <f>SUMIFS(Imput[[Importe Neto]:[Importe Neto]],Imput[[C. Imp.]:[C. Imp.]],$D610,Imput[[PERIODO Imp.]:[PERIODO Imp.]],CA$9)</f>
        <v>0</v>
      </c>
      <c r="CB610" s="693">
        <f>SUMIFS(Imput[[Importe Neto]:[Importe Neto]],Imput[[C. Imp.]:[C. Imp.]],$D610,Imput[[PERIODO Imp.]:[PERIODO Imp.]],CB$9)</f>
        <v>0</v>
      </c>
      <c r="CC610" s="693">
        <f>SUMIFS(Imput[[Importe Neto]:[Importe Neto]],Imput[[C. Imp.]:[C. Imp.]],$D610,Imput[[PERIODO Imp.]:[PERIODO Imp.]],CC$9)</f>
        <v>0</v>
      </c>
      <c r="CD610" s="693">
        <f>SUMIFS(Imput[[Importe Neto]:[Importe Neto]],Imput[[C. Imp.]:[C. Imp.]],$D610,Imput[[PERIODO Imp.]:[PERIODO Imp.]],CD$9)</f>
        <v>0</v>
      </c>
      <c r="CE610" s="693">
        <f>SUMIFS(Imput[[Importe Neto]:[Importe Neto]],Imput[[C. Imp.]:[C. Imp.]],$D610,Imput[[PERIODO Imp.]:[PERIODO Imp.]],CE$9)</f>
        <v>0</v>
      </c>
      <c r="CF610" s="693">
        <f>SUMIFS(Imput[[Importe Neto]:[Importe Neto]],Imput[[C. Imp.]:[C. Imp.]],$D610,Imput[[PERIODO Imp.]:[PERIODO Imp.]],CF$9)</f>
        <v>0</v>
      </c>
      <c r="CG610" s="693">
        <f>SUMIFS(Imput[[Importe Neto]:[Importe Neto]],Imput[[C. Imp.]:[C. Imp.]],$D610,Imput[[PERIODO Imp.]:[PERIODO Imp.]],CG$9)</f>
        <v>0</v>
      </c>
      <c r="CH610" s="693">
        <f>SUMIFS(Imput[[Importe Neto]:[Importe Neto]],Imput[[C. Imp.]:[C. Imp.]],$D610,Imput[[PERIODO Imp.]:[PERIODO Imp.]],CH$9)</f>
        <v>0</v>
      </c>
      <c r="CI610" s="693">
        <f>SUMIFS(Imput[[Importe Neto]:[Importe Neto]],Imput[[C. Imp.]:[C. Imp.]],$D610,Imput[[PERIODO Imp.]:[PERIODO Imp.]],CI$9)</f>
        <v>0</v>
      </c>
      <c r="CJ610" s="693">
        <f>SUMIFS(Imput[[Importe Neto]:[Importe Neto]],Imput[[C. Imp.]:[C. Imp.]],$D610,Imput[[PERIODO Imp.]:[PERIODO Imp.]],CJ$9)</f>
        <v>0</v>
      </c>
      <c r="CK610" s="693">
        <f>SUMIFS(Imput[[Importe Neto]:[Importe Neto]],Imput[[C. Imp.]:[C. Imp.]],$D610,Imput[[PERIODO Imp.]:[PERIODO Imp.]],CK$9)</f>
        <v>0</v>
      </c>
      <c r="CL610" s="693">
        <f>SUMIFS(Imput[[Importe Neto]:[Importe Neto]],Imput[[C. Imp.]:[C. Imp.]],$D610,Imput[[PERIODO Imp.]:[PERIODO Imp.]],CL$9)</f>
        <v>0</v>
      </c>
      <c r="CM610" s="693">
        <f>SUMIFS(Imput[[Importe Neto]:[Importe Neto]],Imput[[C. Imp.]:[C. Imp.]],$D610,Imput[[PERIODO Imp.]:[PERIODO Imp.]],CM$9)</f>
        <v>0</v>
      </c>
      <c r="CN610" s="693">
        <f>SUMIFS(Imput[[Importe Neto]:[Importe Neto]],Imput[[C. Imp.]:[C. Imp.]],$D610,Imput[[PERIODO Imp.]:[PERIODO Imp.]],CN$9)</f>
        <v>0</v>
      </c>
      <c r="CO610" s="693">
        <f>SUMIFS(Imput[[Importe Neto]:[Importe Neto]],Imput[[C. Imp.]:[C. Imp.]],$D610,Imput[[PERIODO Imp.]:[PERIODO Imp.]],CO$9)</f>
        <v>0</v>
      </c>
      <c r="CP610" s="693">
        <f>SUMIFS(Imput[[Importe Neto]:[Importe Neto]],Imput[[C. Imp.]:[C. Imp.]],$D610,Imput[[PERIODO Imp.]:[PERIODO Imp.]],CP$9)</f>
        <v>0</v>
      </c>
      <c r="CQ610" s="693">
        <f>SUMIFS(Imput[[Importe Neto]:[Importe Neto]],Imput[[C. Imp.]:[C. Imp.]],$D610,Imput[[PERIODO Imp.]:[PERIODO Imp.]],CQ$9)</f>
        <v>0</v>
      </c>
      <c r="CR610" s="693">
        <f>SUMIFS(Imput[[Importe Neto]:[Importe Neto]],Imput[[C. Imp.]:[C. Imp.]],$D610,Imput[[PERIODO Imp.]:[PERIODO Imp.]],CR$9)</f>
        <v>0</v>
      </c>
      <c r="CS610" s="693">
        <f>SUMIFS(Imput[[Importe Neto]:[Importe Neto]],Imput[[C. Imp.]:[C. Imp.]],$D610,Imput[[PERIODO Imp.]:[PERIODO Imp.]],CS$9)</f>
        <v>0</v>
      </c>
      <c r="CT610" s="693">
        <f>SUMIFS(Imput[[Importe Neto]:[Importe Neto]],Imput[[C. Imp.]:[C. Imp.]],$D610,Imput[[PERIODO Imp.]:[PERIODO Imp.]],CT$9)</f>
        <v>0</v>
      </c>
      <c r="CU610" s="693">
        <f>SUMIFS(Imput[[Importe Neto]:[Importe Neto]],Imput[[C. Imp.]:[C. Imp.]],$D610,Imput[[PERIODO Imp.]:[PERIODO Imp.]],CU$9)</f>
        <v>0</v>
      </c>
      <c r="CV610" s="693">
        <f>SUMIFS(Imput[[Importe Neto]:[Importe Neto]],Imput[[C. Imp.]:[C. Imp.]],$D610,Imput[[PERIODO Imp.]:[PERIODO Imp.]],CV$9)</f>
        <v>0</v>
      </c>
      <c r="CW610" s="693">
        <f>SUMIFS(Imput[[Importe Neto]:[Importe Neto]],Imput[[C. Imp.]:[C. Imp.]],$D610,Imput[[PERIODO Imp.]:[PERIODO Imp.]],CW$9)</f>
        <v>0</v>
      </c>
      <c r="CX610" s="693">
        <f>SUMIFS(Imput[[Importe Neto]:[Importe Neto]],Imput[[C. Imp.]:[C. Imp.]],$D610,Imput[[PERIODO Imp.]:[PERIODO Imp.]],CX$9)</f>
        <v>0</v>
      </c>
      <c r="CY610" s="693">
        <f>SUMIFS(Imput[[Importe Neto]:[Importe Neto]],Imput[[C. Imp.]:[C. Imp.]],$D610,Imput[[PERIODO Imp.]:[PERIODO Imp.]],CY$9)</f>
        <v>0</v>
      </c>
      <c r="CZ610" s="693">
        <f>SUMIFS(Imput[[Importe Neto]:[Importe Neto]],Imput[[C. Imp.]:[C. Imp.]],$D610,Imput[[PERIODO Imp.]:[PERIODO Imp.]],CZ$9)</f>
        <v>0</v>
      </c>
      <c r="DA610" s="693">
        <f>SUMIFS(Imput[[Importe Neto]:[Importe Neto]],Imput[[C. Imp.]:[C. Imp.]],$D610,Imput[[PERIODO Imp.]:[PERIODO Imp.]],DA$9)</f>
        <v>0</v>
      </c>
      <c r="DB610" s="693">
        <f>SUMIFS(Imput[[Importe Neto]:[Importe Neto]],Imput[[C. Imp.]:[C. Imp.]],$D610,Imput[[PERIODO Imp.]:[PERIODO Imp.]],DB$9)</f>
        <v>0</v>
      </c>
      <c r="DC610" s="693">
        <f>SUMIFS(Imput[[Importe Neto]:[Importe Neto]],Imput[[C. Imp.]:[C. Imp.]],$D610,Imput[[PERIODO Imp.]:[PERIODO Imp.]],DC$9)</f>
        <v>0</v>
      </c>
      <c r="DD610" s="693">
        <f>SUMIFS(Imput[[Importe Neto]:[Importe Neto]],Imput[[C. Imp.]:[C. Imp.]],$D610,Imput[[PERIODO Imp.]:[PERIODO Imp.]],DD$9)</f>
        <v>0</v>
      </c>
      <c r="DE610" s="693">
        <f>SUMIFS(Imput[[Importe Neto]:[Importe Neto]],Imput[[C. Imp.]:[C. Imp.]],$D610,Imput[[PERIODO Imp.]:[PERIODO Imp.]],DE$9)</f>
        <v>0</v>
      </c>
      <c r="DF610" s="693">
        <f>SUMIFS(Imput[[Importe Neto]:[Importe Neto]],Imput[[C. Imp.]:[C. Imp.]],$D610,Imput[[PERIODO Imp.]:[PERIODO Imp.]],DF$9)</f>
        <v>0</v>
      </c>
      <c r="DG610" s="693">
        <f>SUMIFS(Imput[[Importe Neto]:[Importe Neto]],Imput[[C. Imp.]:[C. Imp.]],$D610,Imput[[PERIODO Imp.]:[PERIODO Imp.]],DG$9)</f>
        <v>0</v>
      </c>
      <c r="DH610" s="694">
        <f>SUMIFS(Imput[[Importe Neto]:[Importe Neto]],Imput[[C. Imp.]:[C. Imp.]],$D610,Imput[[PERIODO Imp.]:[PERIODO Imp.]],DH$9)</f>
        <v>0</v>
      </c>
    </row>
    <row r="611" spans="1:112" s="649" customFormat="1" outlineLevel="1" x14ac:dyDescent="0.3">
      <c r="A611" s="652" t="str">
        <f t="shared" si="222"/>
        <v>Imprimir</v>
      </c>
      <c r="B611" s="652"/>
      <c r="C611" s="685"/>
      <c r="D611" s="686" t="s">
        <v>2629</v>
      </c>
      <c r="E611" s="686" t="s">
        <v>503</v>
      </c>
      <c r="F611" s="720"/>
      <c r="G611" s="688">
        <v>18</v>
      </c>
      <c r="H611" s="689">
        <f>Producción!G56*21.168</f>
        <v>1524.096</v>
      </c>
      <c r="I611" s="851">
        <f t="shared" si="223"/>
        <v>1</v>
      </c>
      <c r="J611" s="852">
        <f t="shared" si="224"/>
        <v>27433.727999999999</v>
      </c>
      <c r="K611" s="667"/>
      <c r="L611" s="858">
        <v>1</v>
      </c>
      <c r="M611" s="859"/>
      <c r="N611" s="859"/>
      <c r="O611" s="859"/>
      <c r="P611" s="859"/>
      <c r="Q611" s="859"/>
      <c r="R611" s="859"/>
      <c r="S611" s="859"/>
      <c r="T611" s="859"/>
      <c r="U611" s="859"/>
      <c r="V611" s="859"/>
      <c r="W611" s="859"/>
      <c r="X611" s="859"/>
      <c r="Y611" s="859"/>
      <c r="Z611" s="860"/>
      <c r="AA611" s="860"/>
      <c r="AB611" s="860"/>
      <c r="AC611" s="860"/>
      <c r="AD611" s="860"/>
      <c r="AE611" s="860"/>
      <c r="AF611" s="860"/>
      <c r="AG611" s="860"/>
      <c r="AH611" s="860"/>
      <c r="AI611" s="860"/>
      <c r="AJ611" s="860"/>
      <c r="AK611" s="860"/>
      <c r="AL611" s="860"/>
      <c r="AM611" s="860"/>
      <c r="AN611" s="860"/>
      <c r="AO611" s="860"/>
      <c r="AP611" s="860"/>
      <c r="AQ611" s="860"/>
      <c r="AR611" s="860"/>
      <c r="AS611" s="860"/>
      <c r="AT611" s="860"/>
      <c r="AU611" s="860"/>
      <c r="AV611" s="860"/>
      <c r="AW611" s="860"/>
      <c r="AX611" s="860"/>
      <c r="AY611" s="860"/>
      <c r="AZ611" s="860"/>
      <c r="BA611" s="860"/>
      <c r="BB611" s="860"/>
      <c r="BC611" s="860"/>
      <c r="BD611" s="860"/>
      <c r="BE611" s="860"/>
      <c r="BF611" s="860"/>
      <c r="BG611" s="860"/>
      <c r="BH611" s="668"/>
      <c r="BI611" s="667"/>
      <c r="BJ611" s="690">
        <f t="shared" si="225"/>
        <v>0</v>
      </c>
      <c r="BK611" s="691">
        <f t="shared" si="226"/>
        <v>0</v>
      </c>
      <c r="BL611" s="654"/>
      <c r="BM611" s="692">
        <f>SUMIFS(Imput[[Importe Neto]:[Importe Neto]],Imput[[C. Imp.]:[C. Imp.]],$D611,Imput[[PERIODO Imp.]:[PERIODO Imp.]],BM$9)</f>
        <v>0</v>
      </c>
      <c r="BN611" s="693">
        <f>SUMIFS(Imput[[Importe Neto]:[Importe Neto]],Imput[[C. Imp.]:[C. Imp.]],$D611,Imput[[PERIODO Imp.]:[PERIODO Imp.]],BN$9)</f>
        <v>0</v>
      </c>
      <c r="BO611" s="693">
        <f>SUMIFS(Imput[[Importe Neto]:[Importe Neto]],Imput[[C. Imp.]:[C. Imp.]],$D611,Imput[[PERIODO Imp.]:[PERIODO Imp.]],BO$9)</f>
        <v>0</v>
      </c>
      <c r="BP611" s="693">
        <f>SUMIFS(Imput[[Importe Neto]:[Importe Neto]],Imput[[C. Imp.]:[C. Imp.]],$D611,Imput[[PERIODO Imp.]:[PERIODO Imp.]],BP$9)</f>
        <v>0</v>
      </c>
      <c r="BQ611" s="693">
        <f>SUMIFS(Imput[[Importe Neto]:[Importe Neto]],Imput[[C. Imp.]:[C. Imp.]],$D611,Imput[[PERIODO Imp.]:[PERIODO Imp.]],BQ$9)</f>
        <v>0</v>
      </c>
      <c r="BR611" s="693">
        <f>SUMIFS(Imput[[Importe Neto]:[Importe Neto]],Imput[[C. Imp.]:[C. Imp.]],$D611,Imput[[PERIODO Imp.]:[PERIODO Imp.]],BR$9)</f>
        <v>0</v>
      </c>
      <c r="BS611" s="693">
        <f>SUMIFS(Imput[[Importe Neto]:[Importe Neto]],Imput[[C. Imp.]:[C. Imp.]],$D611,Imput[[PERIODO Imp.]:[PERIODO Imp.]],BS$9)</f>
        <v>0</v>
      </c>
      <c r="BT611" s="693">
        <f>SUMIFS(Imput[[Importe Neto]:[Importe Neto]],Imput[[C. Imp.]:[C. Imp.]],$D611,Imput[[PERIODO Imp.]:[PERIODO Imp.]],BT$9)</f>
        <v>0</v>
      </c>
      <c r="BU611" s="693">
        <f>SUMIFS(Imput[[Importe Neto]:[Importe Neto]],Imput[[C. Imp.]:[C. Imp.]],$D611,Imput[[PERIODO Imp.]:[PERIODO Imp.]],BU$9)</f>
        <v>0</v>
      </c>
      <c r="BV611" s="693">
        <f>SUMIFS(Imput[[Importe Neto]:[Importe Neto]],Imput[[C. Imp.]:[C. Imp.]],$D611,Imput[[PERIODO Imp.]:[PERIODO Imp.]],BV$9)</f>
        <v>0</v>
      </c>
      <c r="BW611" s="693">
        <f>SUMIFS(Imput[[Importe Neto]:[Importe Neto]],Imput[[C. Imp.]:[C. Imp.]],$D611,Imput[[PERIODO Imp.]:[PERIODO Imp.]],BW$9)</f>
        <v>0</v>
      </c>
      <c r="BX611" s="693">
        <f>SUMIFS(Imput[[Importe Neto]:[Importe Neto]],Imput[[C. Imp.]:[C. Imp.]],$D611,Imput[[PERIODO Imp.]:[PERIODO Imp.]],BX$9)</f>
        <v>0</v>
      </c>
      <c r="BY611" s="693">
        <f>SUMIFS(Imput[[Importe Neto]:[Importe Neto]],Imput[[C. Imp.]:[C. Imp.]],$D611,Imput[[PERIODO Imp.]:[PERIODO Imp.]],BY$9)</f>
        <v>0</v>
      </c>
      <c r="BZ611" s="693">
        <f>SUMIFS(Imput[[Importe Neto]:[Importe Neto]],Imput[[C. Imp.]:[C. Imp.]],$D611,Imput[[PERIODO Imp.]:[PERIODO Imp.]],BZ$9)</f>
        <v>0</v>
      </c>
      <c r="CA611" s="693">
        <f>SUMIFS(Imput[[Importe Neto]:[Importe Neto]],Imput[[C. Imp.]:[C. Imp.]],$D611,Imput[[PERIODO Imp.]:[PERIODO Imp.]],CA$9)</f>
        <v>0</v>
      </c>
      <c r="CB611" s="693">
        <f>SUMIFS(Imput[[Importe Neto]:[Importe Neto]],Imput[[C. Imp.]:[C. Imp.]],$D611,Imput[[PERIODO Imp.]:[PERIODO Imp.]],CB$9)</f>
        <v>0</v>
      </c>
      <c r="CC611" s="693">
        <f>SUMIFS(Imput[[Importe Neto]:[Importe Neto]],Imput[[C. Imp.]:[C. Imp.]],$D611,Imput[[PERIODO Imp.]:[PERIODO Imp.]],CC$9)</f>
        <v>0</v>
      </c>
      <c r="CD611" s="693">
        <f>SUMIFS(Imput[[Importe Neto]:[Importe Neto]],Imput[[C. Imp.]:[C. Imp.]],$D611,Imput[[PERIODO Imp.]:[PERIODO Imp.]],CD$9)</f>
        <v>0</v>
      </c>
      <c r="CE611" s="693">
        <f>SUMIFS(Imput[[Importe Neto]:[Importe Neto]],Imput[[C. Imp.]:[C. Imp.]],$D611,Imput[[PERIODO Imp.]:[PERIODO Imp.]],CE$9)</f>
        <v>0</v>
      </c>
      <c r="CF611" s="693">
        <f>SUMIFS(Imput[[Importe Neto]:[Importe Neto]],Imput[[C. Imp.]:[C. Imp.]],$D611,Imput[[PERIODO Imp.]:[PERIODO Imp.]],CF$9)</f>
        <v>0</v>
      </c>
      <c r="CG611" s="693">
        <f>SUMIFS(Imput[[Importe Neto]:[Importe Neto]],Imput[[C. Imp.]:[C. Imp.]],$D611,Imput[[PERIODO Imp.]:[PERIODO Imp.]],CG$9)</f>
        <v>0</v>
      </c>
      <c r="CH611" s="693">
        <f>SUMIFS(Imput[[Importe Neto]:[Importe Neto]],Imput[[C. Imp.]:[C. Imp.]],$D611,Imput[[PERIODO Imp.]:[PERIODO Imp.]],CH$9)</f>
        <v>0</v>
      </c>
      <c r="CI611" s="693">
        <f>SUMIFS(Imput[[Importe Neto]:[Importe Neto]],Imput[[C. Imp.]:[C. Imp.]],$D611,Imput[[PERIODO Imp.]:[PERIODO Imp.]],CI$9)</f>
        <v>0</v>
      </c>
      <c r="CJ611" s="693">
        <f>SUMIFS(Imput[[Importe Neto]:[Importe Neto]],Imput[[C. Imp.]:[C. Imp.]],$D611,Imput[[PERIODO Imp.]:[PERIODO Imp.]],CJ$9)</f>
        <v>0</v>
      </c>
      <c r="CK611" s="693">
        <f>SUMIFS(Imput[[Importe Neto]:[Importe Neto]],Imput[[C. Imp.]:[C. Imp.]],$D611,Imput[[PERIODO Imp.]:[PERIODO Imp.]],CK$9)</f>
        <v>0</v>
      </c>
      <c r="CL611" s="693">
        <f>SUMIFS(Imput[[Importe Neto]:[Importe Neto]],Imput[[C. Imp.]:[C. Imp.]],$D611,Imput[[PERIODO Imp.]:[PERIODO Imp.]],CL$9)</f>
        <v>0</v>
      </c>
      <c r="CM611" s="693">
        <f>SUMIFS(Imput[[Importe Neto]:[Importe Neto]],Imput[[C. Imp.]:[C. Imp.]],$D611,Imput[[PERIODO Imp.]:[PERIODO Imp.]],CM$9)</f>
        <v>0</v>
      </c>
      <c r="CN611" s="693">
        <f>SUMIFS(Imput[[Importe Neto]:[Importe Neto]],Imput[[C. Imp.]:[C. Imp.]],$D611,Imput[[PERIODO Imp.]:[PERIODO Imp.]],CN$9)</f>
        <v>0</v>
      </c>
      <c r="CO611" s="693">
        <f>SUMIFS(Imput[[Importe Neto]:[Importe Neto]],Imput[[C. Imp.]:[C. Imp.]],$D611,Imput[[PERIODO Imp.]:[PERIODO Imp.]],CO$9)</f>
        <v>0</v>
      </c>
      <c r="CP611" s="693">
        <f>SUMIFS(Imput[[Importe Neto]:[Importe Neto]],Imput[[C. Imp.]:[C. Imp.]],$D611,Imput[[PERIODO Imp.]:[PERIODO Imp.]],CP$9)</f>
        <v>0</v>
      </c>
      <c r="CQ611" s="693">
        <f>SUMIFS(Imput[[Importe Neto]:[Importe Neto]],Imput[[C. Imp.]:[C. Imp.]],$D611,Imput[[PERIODO Imp.]:[PERIODO Imp.]],CQ$9)</f>
        <v>0</v>
      </c>
      <c r="CR611" s="693">
        <f>SUMIFS(Imput[[Importe Neto]:[Importe Neto]],Imput[[C. Imp.]:[C. Imp.]],$D611,Imput[[PERIODO Imp.]:[PERIODO Imp.]],CR$9)</f>
        <v>0</v>
      </c>
      <c r="CS611" s="693">
        <f>SUMIFS(Imput[[Importe Neto]:[Importe Neto]],Imput[[C. Imp.]:[C. Imp.]],$D611,Imput[[PERIODO Imp.]:[PERIODO Imp.]],CS$9)</f>
        <v>0</v>
      </c>
      <c r="CT611" s="693">
        <f>SUMIFS(Imput[[Importe Neto]:[Importe Neto]],Imput[[C. Imp.]:[C. Imp.]],$D611,Imput[[PERIODO Imp.]:[PERIODO Imp.]],CT$9)</f>
        <v>0</v>
      </c>
      <c r="CU611" s="693">
        <f>SUMIFS(Imput[[Importe Neto]:[Importe Neto]],Imput[[C. Imp.]:[C. Imp.]],$D611,Imput[[PERIODO Imp.]:[PERIODO Imp.]],CU$9)</f>
        <v>0</v>
      </c>
      <c r="CV611" s="693">
        <f>SUMIFS(Imput[[Importe Neto]:[Importe Neto]],Imput[[C. Imp.]:[C. Imp.]],$D611,Imput[[PERIODO Imp.]:[PERIODO Imp.]],CV$9)</f>
        <v>0</v>
      </c>
      <c r="CW611" s="693">
        <f>SUMIFS(Imput[[Importe Neto]:[Importe Neto]],Imput[[C. Imp.]:[C. Imp.]],$D611,Imput[[PERIODO Imp.]:[PERIODO Imp.]],CW$9)</f>
        <v>0</v>
      </c>
      <c r="CX611" s="693">
        <f>SUMIFS(Imput[[Importe Neto]:[Importe Neto]],Imput[[C. Imp.]:[C. Imp.]],$D611,Imput[[PERIODO Imp.]:[PERIODO Imp.]],CX$9)</f>
        <v>0</v>
      </c>
      <c r="CY611" s="693">
        <f>SUMIFS(Imput[[Importe Neto]:[Importe Neto]],Imput[[C. Imp.]:[C. Imp.]],$D611,Imput[[PERIODO Imp.]:[PERIODO Imp.]],CY$9)</f>
        <v>0</v>
      </c>
      <c r="CZ611" s="693">
        <f>SUMIFS(Imput[[Importe Neto]:[Importe Neto]],Imput[[C. Imp.]:[C. Imp.]],$D611,Imput[[PERIODO Imp.]:[PERIODO Imp.]],CZ$9)</f>
        <v>0</v>
      </c>
      <c r="DA611" s="693">
        <f>SUMIFS(Imput[[Importe Neto]:[Importe Neto]],Imput[[C. Imp.]:[C. Imp.]],$D611,Imput[[PERIODO Imp.]:[PERIODO Imp.]],DA$9)</f>
        <v>0</v>
      </c>
      <c r="DB611" s="693">
        <f>SUMIFS(Imput[[Importe Neto]:[Importe Neto]],Imput[[C. Imp.]:[C. Imp.]],$D611,Imput[[PERIODO Imp.]:[PERIODO Imp.]],DB$9)</f>
        <v>0</v>
      </c>
      <c r="DC611" s="693">
        <f>SUMIFS(Imput[[Importe Neto]:[Importe Neto]],Imput[[C. Imp.]:[C. Imp.]],$D611,Imput[[PERIODO Imp.]:[PERIODO Imp.]],DC$9)</f>
        <v>0</v>
      </c>
      <c r="DD611" s="693">
        <f>SUMIFS(Imput[[Importe Neto]:[Importe Neto]],Imput[[C. Imp.]:[C. Imp.]],$D611,Imput[[PERIODO Imp.]:[PERIODO Imp.]],DD$9)</f>
        <v>0</v>
      </c>
      <c r="DE611" s="693">
        <f>SUMIFS(Imput[[Importe Neto]:[Importe Neto]],Imput[[C. Imp.]:[C. Imp.]],$D611,Imput[[PERIODO Imp.]:[PERIODO Imp.]],DE$9)</f>
        <v>0</v>
      </c>
      <c r="DF611" s="693">
        <f>SUMIFS(Imput[[Importe Neto]:[Importe Neto]],Imput[[C. Imp.]:[C. Imp.]],$D611,Imput[[PERIODO Imp.]:[PERIODO Imp.]],DF$9)</f>
        <v>0</v>
      </c>
      <c r="DG611" s="693">
        <f>SUMIFS(Imput[[Importe Neto]:[Importe Neto]],Imput[[C. Imp.]:[C. Imp.]],$D611,Imput[[PERIODO Imp.]:[PERIODO Imp.]],DG$9)</f>
        <v>0</v>
      </c>
      <c r="DH611" s="694">
        <f>SUMIFS(Imput[[Importe Neto]:[Importe Neto]],Imput[[C. Imp.]:[C. Imp.]],$D611,Imput[[PERIODO Imp.]:[PERIODO Imp.]],DH$9)</f>
        <v>0</v>
      </c>
    </row>
    <row r="612" spans="1:112" s="649" customFormat="1" outlineLevel="1" x14ac:dyDescent="0.3">
      <c r="A612" s="652" t="str">
        <f t="shared" si="222"/>
        <v>Imprimir</v>
      </c>
      <c r="B612" s="652"/>
      <c r="C612" s="685"/>
      <c r="D612" s="686" t="s">
        <v>2630</v>
      </c>
      <c r="E612" s="686" t="s">
        <v>504</v>
      </c>
      <c r="F612" s="720"/>
      <c r="G612" s="688">
        <v>18</v>
      </c>
      <c r="H612" s="689">
        <f>Producción!G56*112.896</f>
        <v>8128.5119999999997</v>
      </c>
      <c r="I612" s="851">
        <f t="shared" si="223"/>
        <v>1</v>
      </c>
      <c r="J612" s="852">
        <f t="shared" si="224"/>
        <v>146313.21599999999</v>
      </c>
      <c r="K612" s="667"/>
      <c r="L612" s="858">
        <v>1</v>
      </c>
      <c r="M612" s="859"/>
      <c r="N612" s="859"/>
      <c r="O612" s="859"/>
      <c r="P612" s="859"/>
      <c r="Q612" s="859"/>
      <c r="R612" s="859"/>
      <c r="S612" s="859"/>
      <c r="T612" s="859"/>
      <c r="U612" s="859"/>
      <c r="V612" s="859"/>
      <c r="W612" s="859"/>
      <c r="X612" s="859"/>
      <c r="Y612" s="859"/>
      <c r="Z612" s="860"/>
      <c r="AA612" s="860"/>
      <c r="AB612" s="860"/>
      <c r="AC612" s="860"/>
      <c r="AD612" s="860"/>
      <c r="AE612" s="860"/>
      <c r="AF612" s="860"/>
      <c r="AG612" s="860"/>
      <c r="AH612" s="860"/>
      <c r="AI612" s="860"/>
      <c r="AJ612" s="860"/>
      <c r="AK612" s="860"/>
      <c r="AL612" s="860"/>
      <c r="AM612" s="860"/>
      <c r="AN612" s="860"/>
      <c r="AO612" s="860"/>
      <c r="AP612" s="860"/>
      <c r="AQ612" s="860"/>
      <c r="AR612" s="860"/>
      <c r="AS612" s="860"/>
      <c r="AT612" s="860"/>
      <c r="AU612" s="860"/>
      <c r="AV612" s="860"/>
      <c r="AW612" s="860"/>
      <c r="AX612" s="860"/>
      <c r="AY612" s="860"/>
      <c r="AZ612" s="860"/>
      <c r="BA612" s="860"/>
      <c r="BB612" s="860"/>
      <c r="BC612" s="860"/>
      <c r="BD612" s="860"/>
      <c r="BE612" s="860"/>
      <c r="BF612" s="860"/>
      <c r="BG612" s="860"/>
      <c r="BH612" s="668"/>
      <c r="BI612" s="667"/>
      <c r="BJ612" s="690">
        <f t="shared" si="225"/>
        <v>0</v>
      </c>
      <c r="BK612" s="691">
        <f t="shared" si="226"/>
        <v>0</v>
      </c>
      <c r="BL612" s="654"/>
      <c r="BM612" s="692">
        <f>SUMIFS(Imput[[Importe Neto]:[Importe Neto]],Imput[[C. Imp.]:[C. Imp.]],$D612,Imput[[PERIODO Imp.]:[PERIODO Imp.]],BM$9)</f>
        <v>0</v>
      </c>
      <c r="BN612" s="693">
        <f>SUMIFS(Imput[[Importe Neto]:[Importe Neto]],Imput[[C. Imp.]:[C. Imp.]],$D612,Imput[[PERIODO Imp.]:[PERIODO Imp.]],BN$9)</f>
        <v>0</v>
      </c>
      <c r="BO612" s="693">
        <f>SUMIFS(Imput[[Importe Neto]:[Importe Neto]],Imput[[C. Imp.]:[C. Imp.]],$D612,Imput[[PERIODO Imp.]:[PERIODO Imp.]],BO$9)</f>
        <v>0</v>
      </c>
      <c r="BP612" s="693">
        <f>SUMIFS(Imput[[Importe Neto]:[Importe Neto]],Imput[[C. Imp.]:[C. Imp.]],$D612,Imput[[PERIODO Imp.]:[PERIODO Imp.]],BP$9)</f>
        <v>0</v>
      </c>
      <c r="BQ612" s="693">
        <f>SUMIFS(Imput[[Importe Neto]:[Importe Neto]],Imput[[C. Imp.]:[C. Imp.]],$D612,Imput[[PERIODO Imp.]:[PERIODO Imp.]],BQ$9)</f>
        <v>0</v>
      </c>
      <c r="BR612" s="693">
        <f>SUMIFS(Imput[[Importe Neto]:[Importe Neto]],Imput[[C. Imp.]:[C. Imp.]],$D612,Imput[[PERIODO Imp.]:[PERIODO Imp.]],BR$9)</f>
        <v>0</v>
      </c>
      <c r="BS612" s="693">
        <f>SUMIFS(Imput[[Importe Neto]:[Importe Neto]],Imput[[C. Imp.]:[C. Imp.]],$D612,Imput[[PERIODO Imp.]:[PERIODO Imp.]],BS$9)</f>
        <v>0</v>
      </c>
      <c r="BT612" s="693">
        <f>SUMIFS(Imput[[Importe Neto]:[Importe Neto]],Imput[[C. Imp.]:[C. Imp.]],$D612,Imput[[PERIODO Imp.]:[PERIODO Imp.]],BT$9)</f>
        <v>0</v>
      </c>
      <c r="BU612" s="693">
        <f>SUMIFS(Imput[[Importe Neto]:[Importe Neto]],Imput[[C. Imp.]:[C. Imp.]],$D612,Imput[[PERIODO Imp.]:[PERIODO Imp.]],BU$9)</f>
        <v>0</v>
      </c>
      <c r="BV612" s="693">
        <f>SUMIFS(Imput[[Importe Neto]:[Importe Neto]],Imput[[C. Imp.]:[C. Imp.]],$D612,Imput[[PERIODO Imp.]:[PERIODO Imp.]],BV$9)</f>
        <v>0</v>
      </c>
      <c r="BW612" s="693">
        <f>SUMIFS(Imput[[Importe Neto]:[Importe Neto]],Imput[[C. Imp.]:[C. Imp.]],$D612,Imput[[PERIODO Imp.]:[PERIODO Imp.]],BW$9)</f>
        <v>0</v>
      </c>
      <c r="BX612" s="693">
        <f>SUMIFS(Imput[[Importe Neto]:[Importe Neto]],Imput[[C. Imp.]:[C. Imp.]],$D612,Imput[[PERIODO Imp.]:[PERIODO Imp.]],BX$9)</f>
        <v>0</v>
      </c>
      <c r="BY612" s="693">
        <f>SUMIFS(Imput[[Importe Neto]:[Importe Neto]],Imput[[C. Imp.]:[C. Imp.]],$D612,Imput[[PERIODO Imp.]:[PERIODO Imp.]],BY$9)</f>
        <v>0</v>
      </c>
      <c r="BZ612" s="693">
        <f>SUMIFS(Imput[[Importe Neto]:[Importe Neto]],Imput[[C. Imp.]:[C. Imp.]],$D612,Imput[[PERIODO Imp.]:[PERIODO Imp.]],BZ$9)</f>
        <v>0</v>
      </c>
      <c r="CA612" s="693">
        <f>SUMIFS(Imput[[Importe Neto]:[Importe Neto]],Imput[[C. Imp.]:[C. Imp.]],$D612,Imput[[PERIODO Imp.]:[PERIODO Imp.]],CA$9)</f>
        <v>0</v>
      </c>
      <c r="CB612" s="693">
        <f>SUMIFS(Imput[[Importe Neto]:[Importe Neto]],Imput[[C. Imp.]:[C. Imp.]],$D612,Imput[[PERIODO Imp.]:[PERIODO Imp.]],CB$9)</f>
        <v>0</v>
      </c>
      <c r="CC612" s="693">
        <f>SUMIFS(Imput[[Importe Neto]:[Importe Neto]],Imput[[C. Imp.]:[C. Imp.]],$D612,Imput[[PERIODO Imp.]:[PERIODO Imp.]],CC$9)</f>
        <v>0</v>
      </c>
      <c r="CD612" s="693">
        <f>SUMIFS(Imput[[Importe Neto]:[Importe Neto]],Imput[[C. Imp.]:[C. Imp.]],$D612,Imput[[PERIODO Imp.]:[PERIODO Imp.]],CD$9)</f>
        <v>0</v>
      </c>
      <c r="CE612" s="693">
        <f>SUMIFS(Imput[[Importe Neto]:[Importe Neto]],Imput[[C. Imp.]:[C. Imp.]],$D612,Imput[[PERIODO Imp.]:[PERIODO Imp.]],CE$9)</f>
        <v>0</v>
      </c>
      <c r="CF612" s="693">
        <f>SUMIFS(Imput[[Importe Neto]:[Importe Neto]],Imput[[C. Imp.]:[C. Imp.]],$D612,Imput[[PERIODO Imp.]:[PERIODO Imp.]],CF$9)</f>
        <v>0</v>
      </c>
      <c r="CG612" s="693">
        <f>SUMIFS(Imput[[Importe Neto]:[Importe Neto]],Imput[[C. Imp.]:[C. Imp.]],$D612,Imput[[PERIODO Imp.]:[PERIODO Imp.]],CG$9)</f>
        <v>0</v>
      </c>
      <c r="CH612" s="693">
        <f>SUMIFS(Imput[[Importe Neto]:[Importe Neto]],Imput[[C. Imp.]:[C. Imp.]],$D612,Imput[[PERIODO Imp.]:[PERIODO Imp.]],CH$9)</f>
        <v>0</v>
      </c>
      <c r="CI612" s="693">
        <f>SUMIFS(Imput[[Importe Neto]:[Importe Neto]],Imput[[C. Imp.]:[C. Imp.]],$D612,Imput[[PERIODO Imp.]:[PERIODO Imp.]],CI$9)</f>
        <v>0</v>
      </c>
      <c r="CJ612" s="693">
        <f>SUMIFS(Imput[[Importe Neto]:[Importe Neto]],Imput[[C. Imp.]:[C. Imp.]],$D612,Imput[[PERIODO Imp.]:[PERIODO Imp.]],CJ$9)</f>
        <v>0</v>
      </c>
      <c r="CK612" s="693">
        <f>SUMIFS(Imput[[Importe Neto]:[Importe Neto]],Imput[[C. Imp.]:[C. Imp.]],$D612,Imput[[PERIODO Imp.]:[PERIODO Imp.]],CK$9)</f>
        <v>0</v>
      </c>
      <c r="CL612" s="693">
        <f>SUMIFS(Imput[[Importe Neto]:[Importe Neto]],Imput[[C. Imp.]:[C. Imp.]],$D612,Imput[[PERIODO Imp.]:[PERIODO Imp.]],CL$9)</f>
        <v>0</v>
      </c>
      <c r="CM612" s="693">
        <f>SUMIFS(Imput[[Importe Neto]:[Importe Neto]],Imput[[C. Imp.]:[C. Imp.]],$D612,Imput[[PERIODO Imp.]:[PERIODO Imp.]],CM$9)</f>
        <v>0</v>
      </c>
      <c r="CN612" s="693">
        <f>SUMIFS(Imput[[Importe Neto]:[Importe Neto]],Imput[[C. Imp.]:[C. Imp.]],$D612,Imput[[PERIODO Imp.]:[PERIODO Imp.]],CN$9)</f>
        <v>0</v>
      </c>
      <c r="CO612" s="693">
        <f>SUMIFS(Imput[[Importe Neto]:[Importe Neto]],Imput[[C. Imp.]:[C. Imp.]],$D612,Imput[[PERIODO Imp.]:[PERIODO Imp.]],CO$9)</f>
        <v>0</v>
      </c>
      <c r="CP612" s="693">
        <f>SUMIFS(Imput[[Importe Neto]:[Importe Neto]],Imput[[C. Imp.]:[C. Imp.]],$D612,Imput[[PERIODO Imp.]:[PERIODO Imp.]],CP$9)</f>
        <v>0</v>
      </c>
      <c r="CQ612" s="693">
        <f>SUMIFS(Imput[[Importe Neto]:[Importe Neto]],Imput[[C. Imp.]:[C. Imp.]],$D612,Imput[[PERIODO Imp.]:[PERIODO Imp.]],CQ$9)</f>
        <v>0</v>
      </c>
      <c r="CR612" s="693">
        <f>SUMIFS(Imput[[Importe Neto]:[Importe Neto]],Imput[[C. Imp.]:[C. Imp.]],$D612,Imput[[PERIODO Imp.]:[PERIODO Imp.]],CR$9)</f>
        <v>0</v>
      </c>
      <c r="CS612" s="693">
        <f>SUMIFS(Imput[[Importe Neto]:[Importe Neto]],Imput[[C. Imp.]:[C. Imp.]],$D612,Imput[[PERIODO Imp.]:[PERIODO Imp.]],CS$9)</f>
        <v>0</v>
      </c>
      <c r="CT612" s="693">
        <f>SUMIFS(Imput[[Importe Neto]:[Importe Neto]],Imput[[C. Imp.]:[C. Imp.]],$D612,Imput[[PERIODO Imp.]:[PERIODO Imp.]],CT$9)</f>
        <v>0</v>
      </c>
      <c r="CU612" s="693">
        <f>SUMIFS(Imput[[Importe Neto]:[Importe Neto]],Imput[[C. Imp.]:[C. Imp.]],$D612,Imput[[PERIODO Imp.]:[PERIODO Imp.]],CU$9)</f>
        <v>0</v>
      </c>
      <c r="CV612" s="693">
        <f>SUMIFS(Imput[[Importe Neto]:[Importe Neto]],Imput[[C. Imp.]:[C. Imp.]],$D612,Imput[[PERIODO Imp.]:[PERIODO Imp.]],CV$9)</f>
        <v>0</v>
      </c>
      <c r="CW612" s="693">
        <f>SUMIFS(Imput[[Importe Neto]:[Importe Neto]],Imput[[C. Imp.]:[C. Imp.]],$D612,Imput[[PERIODO Imp.]:[PERIODO Imp.]],CW$9)</f>
        <v>0</v>
      </c>
      <c r="CX612" s="693">
        <f>SUMIFS(Imput[[Importe Neto]:[Importe Neto]],Imput[[C. Imp.]:[C. Imp.]],$D612,Imput[[PERIODO Imp.]:[PERIODO Imp.]],CX$9)</f>
        <v>0</v>
      </c>
      <c r="CY612" s="693">
        <f>SUMIFS(Imput[[Importe Neto]:[Importe Neto]],Imput[[C. Imp.]:[C. Imp.]],$D612,Imput[[PERIODO Imp.]:[PERIODO Imp.]],CY$9)</f>
        <v>0</v>
      </c>
      <c r="CZ612" s="693">
        <f>SUMIFS(Imput[[Importe Neto]:[Importe Neto]],Imput[[C. Imp.]:[C. Imp.]],$D612,Imput[[PERIODO Imp.]:[PERIODO Imp.]],CZ$9)</f>
        <v>0</v>
      </c>
      <c r="DA612" s="693">
        <f>SUMIFS(Imput[[Importe Neto]:[Importe Neto]],Imput[[C. Imp.]:[C. Imp.]],$D612,Imput[[PERIODO Imp.]:[PERIODO Imp.]],DA$9)</f>
        <v>0</v>
      </c>
      <c r="DB612" s="693">
        <f>SUMIFS(Imput[[Importe Neto]:[Importe Neto]],Imput[[C. Imp.]:[C. Imp.]],$D612,Imput[[PERIODO Imp.]:[PERIODO Imp.]],DB$9)</f>
        <v>0</v>
      </c>
      <c r="DC612" s="693">
        <f>SUMIFS(Imput[[Importe Neto]:[Importe Neto]],Imput[[C. Imp.]:[C. Imp.]],$D612,Imput[[PERIODO Imp.]:[PERIODO Imp.]],DC$9)</f>
        <v>0</v>
      </c>
      <c r="DD612" s="693">
        <f>SUMIFS(Imput[[Importe Neto]:[Importe Neto]],Imput[[C. Imp.]:[C. Imp.]],$D612,Imput[[PERIODO Imp.]:[PERIODO Imp.]],DD$9)</f>
        <v>0</v>
      </c>
      <c r="DE612" s="693">
        <f>SUMIFS(Imput[[Importe Neto]:[Importe Neto]],Imput[[C. Imp.]:[C. Imp.]],$D612,Imput[[PERIODO Imp.]:[PERIODO Imp.]],DE$9)</f>
        <v>0</v>
      </c>
      <c r="DF612" s="693">
        <f>SUMIFS(Imput[[Importe Neto]:[Importe Neto]],Imput[[C. Imp.]:[C. Imp.]],$D612,Imput[[PERIODO Imp.]:[PERIODO Imp.]],DF$9)</f>
        <v>0</v>
      </c>
      <c r="DG612" s="693">
        <f>SUMIFS(Imput[[Importe Neto]:[Importe Neto]],Imput[[C. Imp.]:[C. Imp.]],$D612,Imput[[PERIODO Imp.]:[PERIODO Imp.]],DG$9)</f>
        <v>0</v>
      </c>
      <c r="DH612" s="694">
        <f>SUMIFS(Imput[[Importe Neto]:[Importe Neto]],Imput[[C. Imp.]:[C. Imp.]],$D612,Imput[[PERIODO Imp.]:[PERIODO Imp.]],DH$9)</f>
        <v>0</v>
      </c>
    </row>
    <row r="613" spans="1:112" s="649" customFormat="1" outlineLevel="1" x14ac:dyDescent="0.3">
      <c r="A613" s="652" t="str">
        <f t="shared" si="222"/>
        <v>Imprimir</v>
      </c>
      <c r="B613" s="652"/>
      <c r="C613" s="685"/>
      <c r="D613" s="686" t="s">
        <v>2631</v>
      </c>
      <c r="E613" s="528" t="s">
        <v>3299</v>
      </c>
      <c r="F613" s="720"/>
      <c r="G613" s="863">
        <v>1</v>
      </c>
      <c r="H613" s="864">
        <v>1</v>
      </c>
      <c r="I613" s="851">
        <f t="shared" si="223"/>
        <v>1</v>
      </c>
      <c r="J613" s="852">
        <f t="shared" si="224"/>
        <v>1</v>
      </c>
      <c r="K613" s="667"/>
      <c r="L613" s="858">
        <v>1</v>
      </c>
      <c r="M613" s="859"/>
      <c r="N613" s="859"/>
      <c r="O613" s="859"/>
      <c r="P613" s="859"/>
      <c r="Q613" s="859"/>
      <c r="R613" s="859"/>
      <c r="S613" s="859"/>
      <c r="T613" s="859"/>
      <c r="U613" s="859"/>
      <c r="V613" s="859"/>
      <c r="W613" s="859"/>
      <c r="X613" s="859"/>
      <c r="Y613" s="859"/>
      <c r="Z613" s="860"/>
      <c r="AA613" s="860"/>
      <c r="AB613" s="860"/>
      <c r="AC613" s="860"/>
      <c r="AD613" s="860"/>
      <c r="AE613" s="860"/>
      <c r="AF613" s="860"/>
      <c r="AG613" s="860"/>
      <c r="AH613" s="860"/>
      <c r="AI613" s="860"/>
      <c r="AJ613" s="860"/>
      <c r="AK613" s="860"/>
      <c r="AL613" s="860"/>
      <c r="AM613" s="860"/>
      <c r="AN613" s="860"/>
      <c r="AO613" s="860"/>
      <c r="AP613" s="860"/>
      <c r="AQ613" s="860"/>
      <c r="AR613" s="860"/>
      <c r="AS613" s="860"/>
      <c r="AT613" s="860"/>
      <c r="AU613" s="860"/>
      <c r="AV613" s="860"/>
      <c r="AW613" s="860"/>
      <c r="AX613" s="860"/>
      <c r="AY613" s="860"/>
      <c r="AZ613" s="860"/>
      <c r="BA613" s="860"/>
      <c r="BB613" s="860"/>
      <c r="BC613" s="860"/>
      <c r="BD613" s="860"/>
      <c r="BE613" s="860"/>
      <c r="BF613" s="860"/>
      <c r="BG613" s="860"/>
      <c r="BH613" s="668"/>
      <c r="BI613" s="667"/>
      <c r="BJ613" s="690">
        <f t="shared" si="225"/>
        <v>69.699945600000007</v>
      </c>
      <c r="BK613" s="691">
        <f t="shared" si="226"/>
        <v>69.699945600000007</v>
      </c>
      <c r="BL613" s="654"/>
      <c r="BM613" s="692">
        <f>SUMIFS(Imput[[Importe Neto]:[Importe Neto]],Imput[[C. Imp.]:[C. Imp.]],$D613,Imput[[PERIODO Imp.]:[PERIODO Imp.]],BM$9)</f>
        <v>0</v>
      </c>
      <c r="BN613" s="693">
        <f>SUMIFS(Imput[[Importe Neto]:[Importe Neto]],Imput[[C. Imp.]:[C. Imp.]],$D613,Imput[[PERIODO Imp.]:[PERIODO Imp.]],BN$9)</f>
        <v>0</v>
      </c>
      <c r="BO613" s="693">
        <f>SUMIFS(Imput[[Importe Neto]:[Importe Neto]],Imput[[C. Imp.]:[C. Imp.]],$D613,Imput[[PERIODO Imp.]:[PERIODO Imp.]],BO$9)</f>
        <v>0</v>
      </c>
      <c r="BP613" s="693">
        <f>SUMIFS(Imput[[Importe Neto]:[Importe Neto]],Imput[[C. Imp.]:[C. Imp.]],$D613,Imput[[PERIODO Imp.]:[PERIODO Imp.]],BP$9)</f>
        <v>0</v>
      </c>
      <c r="BQ613" s="693">
        <f>SUMIFS(Imput[[Importe Neto]:[Importe Neto]],Imput[[C. Imp.]:[C. Imp.]],$D613,Imput[[PERIODO Imp.]:[PERIODO Imp.]],BQ$9)</f>
        <v>0</v>
      </c>
      <c r="BR613" s="693">
        <f>SUMIFS(Imput[[Importe Neto]:[Importe Neto]],Imput[[C. Imp.]:[C. Imp.]],$D613,Imput[[PERIODO Imp.]:[PERIODO Imp.]],BR$9)</f>
        <v>0</v>
      </c>
      <c r="BS613" s="693">
        <f>SUMIFS(Imput[[Importe Neto]:[Importe Neto]],Imput[[C. Imp.]:[C. Imp.]],$D613,Imput[[PERIODO Imp.]:[PERIODO Imp.]],BS$9)</f>
        <v>69.699945600000007</v>
      </c>
      <c r="BT613" s="693">
        <f>SUMIFS(Imput[[Importe Neto]:[Importe Neto]],Imput[[C. Imp.]:[C. Imp.]],$D613,Imput[[PERIODO Imp.]:[PERIODO Imp.]],BT$9)</f>
        <v>0</v>
      </c>
      <c r="BU613" s="693">
        <f>SUMIFS(Imput[[Importe Neto]:[Importe Neto]],Imput[[C. Imp.]:[C. Imp.]],$D613,Imput[[PERIODO Imp.]:[PERIODO Imp.]],BU$9)</f>
        <v>0</v>
      </c>
      <c r="BV613" s="693">
        <f>SUMIFS(Imput[[Importe Neto]:[Importe Neto]],Imput[[C. Imp.]:[C. Imp.]],$D613,Imput[[PERIODO Imp.]:[PERIODO Imp.]],BV$9)</f>
        <v>0</v>
      </c>
      <c r="BW613" s="693">
        <f>SUMIFS(Imput[[Importe Neto]:[Importe Neto]],Imput[[C. Imp.]:[C. Imp.]],$D613,Imput[[PERIODO Imp.]:[PERIODO Imp.]],BW$9)</f>
        <v>0</v>
      </c>
      <c r="BX613" s="693">
        <f>SUMIFS(Imput[[Importe Neto]:[Importe Neto]],Imput[[C. Imp.]:[C. Imp.]],$D613,Imput[[PERIODO Imp.]:[PERIODO Imp.]],BX$9)</f>
        <v>0</v>
      </c>
      <c r="BY613" s="693">
        <f>SUMIFS(Imput[[Importe Neto]:[Importe Neto]],Imput[[C. Imp.]:[C. Imp.]],$D613,Imput[[PERIODO Imp.]:[PERIODO Imp.]],BY$9)</f>
        <v>0</v>
      </c>
      <c r="BZ613" s="693">
        <f>SUMIFS(Imput[[Importe Neto]:[Importe Neto]],Imput[[C. Imp.]:[C. Imp.]],$D613,Imput[[PERIODO Imp.]:[PERIODO Imp.]],BZ$9)</f>
        <v>0</v>
      </c>
      <c r="CA613" s="693">
        <f>SUMIFS(Imput[[Importe Neto]:[Importe Neto]],Imput[[C. Imp.]:[C. Imp.]],$D613,Imput[[PERIODO Imp.]:[PERIODO Imp.]],CA$9)</f>
        <v>0</v>
      </c>
      <c r="CB613" s="693">
        <f>SUMIFS(Imput[[Importe Neto]:[Importe Neto]],Imput[[C. Imp.]:[C. Imp.]],$D613,Imput[[PERIODO Imp.]:[PERIODO Imp.]],CB$9)</f>
        <v>0</v>
      </c>
      <c r="CC613" s="693">
        <f>SUMIFS(Imput[[Importe Neto]:[Importe Neto]],Imput[[C. Imp.]:[C. Imp.]],$D613,Imput[[PERIODO Imp.]:[PERIODO Imp.]],CC$9)</f>
        <v>0</v>
      </c>
      <c r="CD613" s="693">
        <f>SUMIFS(Imput[[Importe Neto]:[Importe Neto]],Imput[[C. Imp.]:[C. Imp.]],$D613,Imput[[PERIODO Imp.]:[PERIODO Imp.]],CD$9)</f>
        <v>0</v>
      </c>
      <c r="CE613" s="693">
        <f>SUMIFS(Imput[[Importe Neto]:[Importe Neto]],Imput[[C. Imp.]:[C. Imp.]],$D613,Imput[[PERIODO Imp.]:[PERIODO Imp.]],CE$9)</f>
        <v>0</v>
      </c>
      <c r="CF613" s="693">
        <f>SUMIFS(Imput[[Importe Neto]:[Importe Neto]],Imput[[C. Imp.]:[C. Imp.]],$D613,Imput[[PERIODO Imp.]:[PERIODO Imp.]],CF$9)</f>
        <v>0</v>
      </c>
      <c r="CG613" s="693">
        <f>SUMIFS(Imput[[Importe Neto]:[Importe Neto]],Imput[[C. Imp.]:[C. Imp.]],$D613,Imput[[PERIODO Imp.]:[PERIODO Imp.]],CG$9)</f>
        <v>0</v>
      </c>
      <c r="CH613" s="693">
        <f>SUMIFS(Imput[[Importe Neto]:[Importe Neto]],Imput[[C. Imp.]:[C. Imp.]],$D613,Imput[[PERIODO Imp.]:[PERIODO Imp.]],CH$9)</f>
        <v>0</v>
      </c>
      <c r="CI613" s="693">
        <f>SUMIFS(Imput[[Importe Neto]:[Importe Neto]],Imput[[C. Imp.]:[C. Imp.]],$D613,Imput[[PERIODO Imp.]:[PERIODO Imp.]],CI$9)</f>
        <v>0</v>
      </c>
      <c r="CJ613" s="693">
        <f>SUMIFS(Imput[[Importe Neto]:[Importe Neto]],Imput[[C. Imp.]:[C. Imp.]],$D613,Imput[[PERIODO Imp.]:[PERIODO Imp.]],CJ$9)</f>
        <v>0</v>
      </c>
      <c r="CK613" s="693">
        <f>SUMIFS(Imput[[Importe Neto]:[Importe Neto]],Imput[[C. Imp.]:[C. Imp.]],$D613,Imput[[PERIODO Imp.]:[PERIODO Imp.]],CK$9)</f>
        <v>0</v>
      </c>
      <c r="CL613" s="693">
        <f>SUMIFS(Imput[[Importe Neto]:[Importe Neto]],Imput[[C. Imp.]:[C. Imp.]],$D613,Imput[[PERIODO Imp.]:[PERIODO Imp.]],CL$9)</f>
        <v>0</v>
      </c>
      <c r="CM613" s="693">
        <f>SUMIFS(Imput[[Importe Neto]:[Importe Neto]],Imput[[C. Imp.]:[C. Imp.]],$D613,Imput[[PERIODO Imp.]:[PERIODO Imp.]],CM$9)</f>
        <v>0</v>
      </c>
      <c r="CN613" s="693">
        <f>SUMIFS(Imput[[Importe Neto]:[Importe Neto]],Imput[[C. Imp.]:[C. Imp.]],$D613,Imput[[PERIODO Imp.]:[PERIODO Imp.]],CN$9)</f>
        <v>0</v>
      </c>
      <c r="CO613" s="693">
        <f>SUMIFS(Imput[[Importe Neto]:[Importe Neto]],Imput[[C. Imp.]:[C. Imp.]],$D613,Imput[[PERIODO Imp.]:[PERIODO Imp.]],CO$9)</f>
        <v>0</v>
      </c>
      <c r="CP613" s="693">
        <f>SUMIFS(Imput[[Importe Neto]:[Importe Neto]],Imput[[C. Imp.]:[C. Imp.]],$D613,Imput[[PERIODO Imp.]:[PERIODO Imp.]],CP$9)</f>
        <v>0</v>
      </c>
      <c r="CQ613" s="693">
        <f>SUMIFS(Imput[[Importe Neto]:[Importe Neto]],Imput[[C. Imp.]:[C. Imp.]],$D613,Imput[[PERIODO Imp.]:[PERIODO Imp.]],CQ$9)</f>
        <v>0</v>
      </c>
      <c r="CR613" s="693">
        <f>SUMIFS(Imput[[Importe Neto]:[Importe Neto]],Imput[[C. Imp.]:[C. Imp.]],$D613,Imput[[PERIODO Imp.]:[PERIODO Imp.]],CR$9)</f>
        <v>0</v>
      </c>
      <c r="CS613" s="693">
        <f>SUMIFS(Imput[[Importe Neto]:[Importe Neto]],Imput[[C. Imp.]:[C. Imp.]],$D613,Imput[[PERIODO Imp.]:[PERIODO Imp.]],CS$9)</f>
        <v>0</v>
      </c>
      <c r="CT613" s="693">
        <f>SUMIFS(Imput[[Importe Neto]:[Importe Neto]],Imput[[C. Imp.]:[C. Imp.]],$D613,Imput[[PERIODO Imp.]:[PERIODO Imp.]],CT$9)</f>
        <v>0</v>
      </c>
      <c r="CU613" s="693">
        <f>SUMIFS(Imput[[Importe Neto]:[Importe Neto]],Imput[[C. Imp.]:[C. Imp.]],$D613,Imput[[PERIODO Imp.]:[PERIODO Imp.]],CU$9)</f>
        <v>0</v>
      </c>
      <c r="CV613" s="693">
        <f>SUMIFS(Imput[[Importe Neto]:[Importe Neto]],Imput[[C. Imp.]:[C. Imp.]],$D613,Imput[[PERIODO Imp.]:[PERIODO Imp.]],CV$9)</f>
        <v>0</v>
      </c>
      <c r="CW613" s="693">
        <f>SUMIFS(Imput[[Importe Neto]:[Importe Neto]],Imput[[C. Imp.]:[C. Imp.]],$D613,Imput[[PERIODO Imp.]:[PERIODO Imp.]],CW$9)</f>
        <v>0</v>
      </c>
      <c r="CX613" s="693">
        <f>SUMIFS(Imput[[Importe Neto]:[Importe Neto]],Imput[[C. Imp.]:[C. Imp.]],$D613,Imput[[PERIODO Imp.]:[PERIODO Imp.]],CX$9)</f>
        <v>0</v>
      </c>
      <c r="CY613" s="693">
        <f>SUMIFS(Imput[[Importe Neto]:[Importe Neto]],Imput[[C. Imp.]:[C. Imp.]],$D613,Imput[[PERIODO Imp.]:[PERIODO Imp.]],CY$9)</f>
        <v>0</v>
      </c>
      <c r="CZ613" s="693">
        <f>SUMIFS(Imput[[Importe Neto]:[Importe Neto]],Imput[[C. Imp.]:[C. Imp.]],$D613,Imput[[PERIODO Imp.]:[PERIODO Imp.]],CZ$9)</f>
        <v>0</v>
      </c>
      <c r="DA613" s="693">
        <f>SUMIFS(Imput[[Importe Neto]:[Importe Neto]],Imput[[C. Imp.]:[C. Imp.]],$D613,Imput[[PERIODO Imp.]:[PERIODO Imp.]],DA$9)</f>
        <v>0</v>
      </c>
      <c r="DB613" s="693">
        <f>SUMIFS(Imput[[Importe Neto]:[Importe Neto]],Imput[[C. Imp.]:[C. Imp.]],$D613,Imput[[PERIODO Imp.]:[PERIODO Imp.]],DB$9)</f>
        <v>0</v>
      </c>
      <c r="DC613" s="693">
        <f>SUMIFS(Imput[[Importe Neto]:[Importe Neto]],Imput[[C. Imp.]:[C. Imp.]],$D613,Imput[[PERIODO Imp.]:[PERIODO Imp.]],DC$9)</f>
        <v>0</v>
      </c>
      <c r="DD613" s="693">
        <f>SUMIFS(Imput[[Importe Neto]:[Importe Neto]],Imput[[C. Imp.]:[C. Imp.]],$D613,Imput[[PERIODO Imp.]:[PERIODO Imp.]],DD$9)</f>
        <v>0</v>
      </c>
      <c r="DE613" s="693">
        <f>SUMIFS(Imput[[Importe Neto]:[Importe Neto]],Imput[[C. Imp.]:[C. Imp.]],$D613,Imput[[PERIODO Imp.]:[PERIODO Imp.]],DE$9)</f>
        <v>0</v>
      </c>
      <c r="DF613" s="693">
        <f>SUMIFS(Imput[[Importe Neto]:[Importe Neto]],Imput[[C. Imp.]:[C. Imp.]],$D613,Imput[[PERIODO Imp.]:[PERIODO Imp.]],DF$9)</f>
        <v>0</v>
      </c>
      <c r="DG613" s="693">
        <f>SUMIFS(Imput[[Importe Neto]:[Importe Neto]],Imput[[C. Imp.]:[C. Imp.]],$D613,Imput[[PERIODO Imp.]:[PERIODO Imp.]],DG$9)</f>
        <v>0</v>
      </c>
      <c r="DH613" s="694">
        <f>SUMIFS(Imput[[Importe Neto]:[Importe Neto]],Imput[[C. Imp.]:[C. Imp.]],$D613,Imput[[PERIODO Imp.]:[PERIODO Imp.]],DH$9)</f>
        <v>0</v>
      </c>
    </row>
    <row r="614" spans="1:112" s="649" customFormat="1" hidden="1" outlineLevel="1" x14ac:dyDescent="0.3">
      <c r="A614" s="652" t="str">
        <f t="shared" si="222"/>
        <v/>
      </c>
      <c r="B614" s="652"/>
      <c r="C614" s="685"/>
      <c r="D614" s="686" t="s">
        <v>2632</v>
      </c>
      <c r="E614" s="686"/>
      <c r="F614" s="720"/>
      <c r="G614" s="688"/>
      <c r="H614" s="689"/>
      <c r="I614" s="851" t="str">
        <f t="shared" si="223"/>
        <v/>
      </c>
      <c r="J614" s="852" t="str">
        <f t="shared" si="224"/>
        <v/>
      </c>
      <c r="K614" s="667"/>
      <c r="L614" s="858"/>
      <c r="M614" s="859"/>
      <c r="N614" s="859"/>
      <c r="O614" s="859"/>
      <c r="P614" s="859"/>
      <c r="Q614" s="859"/>
      <c r="R614" s="859"/>
      <c r="S614" s="859"/>
      <c r="T614" s="859"/>
      <c r="U614" s="859"/>
      <c r="V614" s="859"/>
      <c r="W614" s="859"/>
      <c r="X614" s="859"/>
      <c r="Y614" s="859"/>
      <c r="Z614" s="860"/>
      <c r="AA614" s="860"/>
      <c r="AB614" s="860"/>
      <c r="AC614" s="860"/>
      <c r="AD614" s="860"/>
      <c r="AE614" s="860"/>
      <c r="AF614" s="860"/>
      <c r="AG614" s="860"/>
      <c r="AH614" s="860"/>
      <c r="AI614" s="860"/>
      <c r="AJ614" s="860"/>
      <c r="AK614" s="860"/>
      <c r="AL614" s="860"/>
      <c r="AM614" s="860"/>
      <c r="AN614" s="860"/>
      <c r="AO614" s="860"/>
      <c r="AP614" s="860"/>
      <c r="AQ614" s="860"/>
      <c r="AR614" s="860"/>
      <c r="AS614" s="860"/>
      <c r="AT614" s="860"/>
      <c r="AU614" s="860"/>
      <c r="AV614" s="860"/>
      <c r="AW614" s="860"/>
      <c r="AX614" s="860"/>
      <c r="AY614" s="860"/>
      <c r="AZ614" s="860"/>
      <c r="BA614" s="860"/>
      <c r="BB614" s="860"/>
      <c r="BC614" s="860"/>
      <c r="BD614" s="860"/>
      <c r="BE614" s="860"/>
      <c r="BF614" s="860"/>
      <c r="BG614" s="860"/>
      <c r="BH614" s="668"/>
      <c r="BI614" s="667"/>
      <c r="BJ614" s="690">
        <f t="shared" si="225"/>
        <v>0</v>
      </c>
      <c r="BK614" s="691">
        <f t="shared" si="226"/>
        <v>0</v>
      </c>
      <c r="BL614" s="654"/>
      <c r="BM614" s="692">
        <f>SUMIFS(Imput[[Importe Neto]:[Importe Neto]],Imput[[C. Imp.]:[C. Imp.]],$D614,Imput[[PERIODO Imp.]:[PERIODO Imp.]],BM$9)</f>
        <v>0</v>
      </c>
      <c r="BN614" s="693">
        <f>SUMIFS(Imput[[Importe Neto]:[Importe Neto]],Imput[[C. Imp.]:[C. Imp.]],$D614,Imput[[PERIODO Imp.]:[PERIODO Imp.]],BN$9)</f>
        <v>0</v>
      </c>
      <c r="BO614" s="693">
        <f>SUMIFS(Imput[[Importe Neto]:[Importe Neto]],Imput[[C. Imp.]:[C. Imp.]],$D614,Imput[[PERIODO Imp.]:[PERIODO Imp.]],BO$9)</f>
        <v>0</v>
      </c>
      <c r="BP614" s="693">
        <f>SUMIFS(Imput[[Importe Neto]:[Importe Neto]],Imput[[C. Imp.]:[C. Imp.]],$D614,Imput[[PERIODO Imp.]:[PERIODO Imp.]],BP$9)</f>
        <v>0</v>
      </c>
      <c r="BQ614" s="693">
        <f>SUMIFS(Imput[[Importe Neto]:[Importe Neto]],Imput[[C. Imp.]:[C. Imp.]],$D614,Imput[[PERIODO Imp.]:[PERIODO Imp.]],BQ$9)</f>
        <v>0</v>
      </c>
      <c r="BR614" s="693">
        <f>SUMIFS(Imput[[Importe Neto]:[Importe Neto]],Imput[[C. Imp.]:[C. Imp.]],$D614,Imput[[PERIODO Imp.]:[PERIODO Imp.]],BR$9)</f>
        <v>0</v>
      </c>
      <c r="BS614" s="693">
        <f>SUMIFS(Imput[[Importe Neto]:[Importe Neto]],Imput[[C. Imp.]:[C. Imp.]],$D614,Imput[[PERIODO Imp.]:[PERIODO Imp.]],BS$9)</f>
        <v>0</v>
      </c>
      <c r="BT614" s="693">
        <f>SUMIFS(Imput[[Importe Neto]:[Importe Neto]],Imput[[C. Imp.]:[C. Imp.]],$D614,Imput[[PERIODO Imp.]:[PERIODO Imp.]],BT$9)</f>
        <v>0</v>
      </c>
      <c r="BU614" s="693">
        <f>SUMIFS(Imput[[Importe Neto]:[Importe Neto]],Imput[[C. Imp.]:[C. Imp.]],$D614,Imput[[PERIODO Imp.]:[PERIODO Imp.]],BU$9)</f>
        <v>0</v>
      </c>
      <c r="BV614" s="693">
        <f>SUMIFS(Imput[[Importe Neto]:[Importe Neto]],Imput[[C. Imp.]:[C. Imp.]],$D614,Imput[[PERIODO Imp.]:[PERIODO Imp.]],BV$9)</f>
        <v>0</v>
      </c>
      <c r="BW614" s="693">
        <f>SUMIFS(Imput[[Importe Neto]:[Importe Neto]],Imput[[C. Imp.]:[C. Imp.]],$D614,Imput[[PERIODO Imp.]:[PERIODO Imp.]],BW$9)</f>
        <v>0</v>
      </c>
      <c r="BX614" s="693">
        <f>SUMIFS(Imput[[Importe Neto]:[Importe Neto]],Imput[[C. Imp.]:[C. Imp.]],$D614,Imput[[PERIODO Imp.]:[PERIODO Imp.]],BX$9)</f>
        <v>0</v>
      </c>
      <c r="BY614" s="693">
        <f>SUMIFS(Imput[[Importe Neto]:[Importe Neto]],Imput[[C. Imp.]:[C. Imp.]],$D614,Imput[[PERIODO Imp.]:[PERIODO Imp.]],BY$9)</f>
        <v>0</v>
      </c>
      <c r="BZ614" s="693">
        <f>SUMIFS(Imput[[Importe Neto]:[Importe Neto]],Imput[[C. Imp.]:[C. Imp.]],$D614,Imput[[PERIODO Imp.]:[PERIODO Imp.]],BZ$9)</f>
        <v>0</v>
      </c>
      <c r="CA614" s="693">
        <f>SUMIFS(Imput[[Importe Neto]:[Importe Neto]],Imput[[C. Imp.]:[C. Imp.]],$D614,Imput[[PERIODO Imp.]:[PERIODO Imp.]],CA$9)</f>
        <v>0</v>
      </c>
      <c r="CB614" s="693">
        <f>SUMIFS(Imput[[Importe Neto]:[Importe Neto]],Imput[[C. Imp.]:[C. Imp.]],$D614,Imput[[PERIODO Imp.]:[PERIODO Imp.]],CB$9)</f>
        <v>0</v>
      </c>
      <c r="CC614" s="693">
        <f>SUMIFS(Imput[[Importe Neto]:[Importe Neto]],Imput[[C. Imp.]:[C. Imp.]],$D614,Imput[[PERIODO Imp.]:[PERIODO Imp.]],CC$9)</f>
        <v>0</v>
      </c>
      <c r="CD614" s="693">
        <f>SUMIFS(Imput[[Importe Neto]:[Importe Neto]],Imput[[C. Imp.]:[C. Imp.]],$D614,Imput[[PERIODO Imp.]:[PERIODO Imp.]],CD$9)</f>
        <v>0</v>
      </c>
      <c r="CE614" s="693">
        <f>SUMIFS(Imput[[Importe Neto]:[Importe Neto]],Imput[[C. Imp.]:[C. Imp.]],$D614,Imput[[PERIODO Imp.]:[PERIODO Imp.]],CE$9)</f>
        <v>0</v>
      </c>
      <c r="CF614" s="693">
        <f>SUMIFS(Imput[[Importe Neto]:[Importe Neto]],Imput[[C. Imp.]:[C. Imp.]],$D614,Imput[[PERIODO Imp.]:[PERIODO Imp.]],CF$9)</f>
        <v>0</v>
      </c>
      <c r="CG614" s="693">
        <f>SUMIFS(Imput[[Importe Neto]:[Importe Neto]],Imput[[C. Imp.]:[C. Imp.]],$D614,Imput[[PERIODO Imp.]:[PERIODO Imp.]],CG$9)</f>
        <v>0</v>
      </c>
      <c r="CH614" s="693">
        <f>SUMIFS(Imput[[Importe Neto]:[Importe Neto]],Imput[[C. Imp.]:[C. Imp.]],$D614,Imput[[PERIODO Imp.]:[PERIODO Imp.]],CH$9)</f>
        <v>0</v>
      </c>
      <c r="CI614" s="693">
        <f>SUMIFS(Imput[[Importe Neto]:[Importe Neto]],Imput[[C. Imp.]:[C. Imp.]],$D614,Imput[[PERIODO Imp.]:[PERIODO Imp.]],CI$9)</f>
        <v>0</v>
      </c>
      <c r="CJ614" s="693">
        <f>SUMIFS(Imput[[Importe Neto]:[Importe Neto]],Imput[[C. Imp.]:[C. Imp.]],$D614,Imput[[PERIODO Imp.]:[PERIODO Imp.]],CJ$9)</f>
        <v>0</v>
      </c>
      <c r="CK614" s="693">
        <f>SUMIFS(Imput[[Importe Neto]:[Importe Neto]],Imput[[C. Imp.]:[C. Imp.]],$D614,Imput[[PERIODO Imp.]:[PERIODO Imp.]],CK$9)</f>
        <v>0</v>
      </c>
      <c r="CL614" s="693">
        <f>SUMIFS(Imput[[Importe Neto]:[Importe Neto]],Imput[[C. Imp.]:[C. Imp.]],$D614,Imput[[PERIODO Imp.]:[PERIODO Imp.]],CL$9)</f>
        <v>0</v>
      </c>
      <c r="CM614" s="693">
        <f>SUMIFS(Imput[[Importe Neto]:[Importe Neto]],Imput[[C. Imp.]:[C. Imp.]],$D614,Imput[[PERIODO Imp.]:[PERIODO Imp.]],CM$9)</f>
        <v>0</v>
      </c>
      <c r="CN614" s="693">
        <f>SUMIFS(Imput[[Importe Neto]:[Importe Neto]],Imput[[C. Imp.]:[C. Imp.]],$D614,Imput[[PERIODO Imp.]:[PERIODO Imp.]],CN$9)</f>
        <v>0</v>
      </c>
      <c r="CO614" s="693">
        <f>SUMIFS(Imput[[Importe Neto]:[Importe Neto]],Imput[[C. Imp.]:[C. Imp.]],$D614,Imput[[PERIODO Imp.]:[PERIODO Imp.]],CO$9)</f>
        <v>0</v>
      </c>
      <c r="CP614" s="693">
        <f>SUMIFS(Imput[[Importe Neto]:[Importe Neto]],Imput[[C. Imp.]:[C. Imp.]],$D614,Imput[[PERIODO Imp.]:[PERIODO Imp.]],CP$9)</f>
        <v>0</v>
      </c>
      <c r="CQ614" s="693">
        <f>SUMIFS(Imput[[Importe Neto]:[Importe Neto]],Imput[[C. Imp.]:[C. Imp.]],$D614,Imput[[PERIODO Imp.]:[PERIODO Imp.]],CQ$9)</f>
        <v>0</v>
      </c>
      <c r="CR614" s="693">
        <f>SUMIFS(Imput[[Importe Neto]:[Importe Neto]],Imput[[C. Imp.]:[C. Imp.]],$D614,Imput[[PERIODO Imp.]:[PERIODO Imp.]],CR$9)</f>
        <v>0</v>
      </c>
      <c r="CS614" s="693">
        <f>SUMIFS(Imput[[Importe Neto]:[Importe Neto]],Imput[[C. Imp.]:[C. Imp.]],$D614,Imput[[PERIODO Imp.]:[PERIODO Imp.]],CS$9)</f>
        <v>0</v>
      </c>
      <c r="CT614" s="693">
        <f>SUMIFS(Imput[[Importe Neto]:[Importe Neto]],Imput[[C. Imp.]:[C. Imp.]],$D614,Imput[[PERIODO Imp.]:[PERIODO Imp.]],CT$9)</f>
        <v>0</v>
      </c>
      <c r="CU614" s="693">
        <f>SUMIFS(Imput[[Importe Neto]:[Importe Neto]],Imput[[C. Imp.]:[C. Imp.]],$D614,Imput[[PERIODO Imp.]:[PERIODO Imp.]],CU$9)</f>
        <v>0</v>
      </c>
      <c r="CV614" s="693">
        <f>SUMIFS(Imput[[Importe Neto]:[Importe Neto]],Imput[[C. Imp.]:[C. Imp.]],$D614,Imput[[PERIODO Imp.]:[PERIODO Imp.]],CV$9)</f>
        <v>0</v>
      </c>
      <c r="CW614" s="693">
        <f>SUMIFS(Imput[[Importe Neto]:[Importe Neto]],Imput[[C. Imp.]:[C. Imp.]],$D614,Imput[[PERIODO Imp.]:[PERIODO Imp.]],CW$9)</f>
        <v>0</v>
      </c>
      <c r="CX614" s="693">
        <f>SUMIFS(Imput[[Importe Neto]:[Importe Neto]],Imput[[C. Imp.]:[C. Imp.]],$D614,Imput[[PERIODO Imp.]:[PERIODO Imp.]],CX$9)</f>
        <v>0</v>
      </c>
      <c r="CY614" s="693">
        <f>SUMIFS(Imput[[Importe Neto]:[Importe Neto]],Imput[[C. Imp.]:[C. Imp.]],$D614,Imput[[PERIODO Imp.]:[PERIODO Imp.]],CY$9)</f>
        <v>0</v>
      </c>
      <c r="CZ614" s="693">
        <f>SUMIFS(Imput[[Importe Neto]:[Importe Neto]],Imput[[C. Imp.]:[C. Imp.]],$D614,Imput[[PERIODO Imp.]:[PERIODO Imp.]],CZ$9)</f>
        <v>0</v>
      </c>
      <c r="DA614" s="693">
        <f>SUMIFS(Imput[[Importe Neto]:[Importe Neto]],Imput[[C. Imp.]:[C. Imp.]],$D614,Imput[[PERIODO Imp.]:[PERIODO Imp.]],DA$9)</f>
        <v>0</v>
      </c>
      <c r="DB614" s="693">
        <f>SUMIFS(Imput[[Importe Neto]:[Importe Neto]],Imput[[C. Imp.]:[C. Imp.]],$D614,Imput[[PERIODO Imp.]:[PERIODO Imp.]],DB$9)</f>
        <v>0</v>
      </c>
      <c r="DC614" s="693">
        <f>SUMIFS(Imput[[Importe Neto]:[Importe Neto]],Imput[[C. Imp.]:[C. Imp.]],$D614,Imput[[PERIODO Imp.]:[PERIODO Imp.]],DC$9)</f>
        <v>0</v>
      </c>
      <c r="DD614" s="693">
        <f>SUMIFS(Imput[[Importe Neto]:[Importe Neto]],Imput[[C. Imp.]:[C. Imp.]],$D614,Imput[[PERIODO Imp.]:[PERIODO Imp.]],DD$9)</f>
        <v>0</v>
      </c>
      <c r="DE614" s="693">
        <f>SUMIFS(Imput[[Importe Neto]:[Importe Neto]],Imput[[C. Imp.]:[C. Imp.]],$D614,Imput[[PERIODO Imp.]:[PERIODO Imp.]],DE$9)</f>
        <v>0</v>
      </c>
      <c r="DF614" s="693">
        <f>SUMIFS(Imput[[Importe Neto]:[Importe Neto]],Imput[[C. Imp.]:[C. Imp.]],$D614,Imput[[PERIODO Imp.]:[PERIODO Imp.]],DF$9)</f>
        <v>0</v>
      </c>
      <c r="DG614" s="693">
        <f>SUMIFS(Imput[[Importe Neto]:[Importe Neto]],Imput[[C. Imp.]:[C. Imp.]],$D614,Imput[[PERIODO Imp.]:[PERIODO Imp.]],DG$9)</f>
        <v>0</v>
      </c>
      <c r="DH614" s="694">
        <f>SUMIFS(Imput[[Importe Neto]:[Importe Neto]],Imput[[C. Imp.]:[C. Imp.]],$D614,Imput[[PERIODO Imp.]:[PERIODO Imp.]],DH$9)</f>
        <v>0</v>
      </c>
    </row>
    <row r="615" spans="1:112" s="649" customFormat="1" hidden="1" outlineLevel="1" x14ac:dyDescent="0.3">
      <c r="A615" s="652" t="str">
        <f t="shared" si="222"/>
        <v/>
      </c>
      <c r="B615" s="652"/>
      <c r="C615" s="685"/>
      <c r="D615" s="686" t="s">
        <v>2633</v>
      </c>
      <c r="E615" s="686"/>
      <c r="F615" s="720"/>
      <c r="G615" s="688"/>
      <c r="H615" s="689"/>
      <c r="I615" s="851" t="str">
        <f t="shared" si="223"/>
        <v/>
      </c>
      <c r="J615" s="850" t="str">
        <f t="shared" si="224"/>
        <v/>
      </c>
      <c r="K615" s="667"/>
      <c r="L615" s="858"/>
      <c r="M615" s="859"/>
      <c r="N615" s="859"/>
      <c r="O615" s="859"/>
      <c r="P615" s="859"/>
      <c r="Q615" s="859"/>
      <c r="R615" s="859"/>
      <c r="S615" s="859"/>
      <c r="T615" s="859"/>
      <c r="U615" s="859"/>
      <c r="V615" s="859"/>
      <c r="W615" s="859"/>
      <c r="X615" s="859"/>
      <c r="Y615" s="859"/>
      <c r="Z615" s="860"/>
      <c r="AA615" s="860"/>
      <c r="AB615" s="860"/>
      <c r="AC615" s="860"/>
      <c r="AD615" s="860"/>
      <c r="AE615" s="860"/>
      <c r="AF615" s="860"/>
      <c r="AG615" s="860"/>
      <c r="AH615" s="860"/>
      <c r="AI615" s="860"/>
      <c r="AJ615" s="860"/>
      <c r="AK615" s="860"/>
      <c r="AL615" s="860"/>
      <c r="AM615" s="860"/>
      <c r="AN615" s="860"/>
      <c r="AO615" s="860"/>
      <c r="AP615" s="860"/>
      <c r="AQ615" s="860"/>
      <c r="AR615" s="860"/>
      <c r="AS615" s="860"/>
      <c r="AT615" s="860"/>
      <c r="AU615" s="860"/>
      <c r="AV615" s="860"/>
      <c r="AW615" s="860"/>
      <c r="AX615" s="860"/>
      <c r="AY615" s="860"/>
      <c r="AZ615" s="860"/>
      <c r="BA615" s="860"/>
      <c r="BB615" s="860"/>
      <c r="BC615" s="860"/>
      <c r="BD615" s="860"/>
      <c r="BE615" s="860"/>
      <c r="BF615" s="860"/>
      <c r="BG615" s="860"/>
      <c r="BH615" s="668"/>
      <c r="BI615" s="667"/>
      <c r="BJ615" s="690">
        <f t="shared" si="225"/>
        <v>0</v>
      </c>
      <c r="BK615" s="691">
        <f t="shared" si="226"/>
        <v>0</v>
      </c>
      <c r="BL615" s="654"/>
      <c r="BM615" s="692">
        <f>SUMIFS(Imput[[Importe Neto]:[Importe Neto]],Imput[[C. Imp.]:[C. Imp.]],$D615,Imput[[PERIODO Imp.]:[PERIODO Imp.]],BM$9)</f>
        <v>0</v>
      </c>
      <c r="BN615" s="693">
        <f>SUMIFS(Imput[[Importe Neto]:[Importe Neto]],Imput[[C. Imp.]:[C. Imp.]],$D615,Imput[[PERIODO Imp.]:[PERIODO Imp.]],BN$9)</f>
        <v>0</v>
      </c>
      <c r="BO615" s="693">
        <f>SUMIFS(Imput[[Importe Neto]:[Importe Neto]],Imput[[C. Imp.]:[C. Imp.]],$D615,Imput[[PERIODO Imp.]:[PERIODO Imp.]],BO$9)</f>
        <v>0</v>
      </c>
      <c r="BP615" s="693">
        <f>SUMIFS(Imput[[Importe Neto]:[Importe Neto]],Imput[[C. Imp.]:[C. Imp.]],$D615,Imput[[PERIODO Imp.]:[PERIODO Imp.]],BP$9)</f>
        <v>0</v>
      </c>
      <c r="BQ615" s="693">
        <f>SUMIFS(Imput[[Importe Neto]:[Importe Neto]],Imput[[C. Imp.]:[C. Imp.]],$D615,Imput[[PERIODO Imp.]:[PERIODO Imp.]],BQ$9)</f>
        <v>0</v>
      </c>
      <c r="BR615" s="693">
        <f>SUMIFS(Imput[[Importe Neto]:[Importe Neto]],Imput[[C. Imp.]:[C. Imp.]],$D615,Imput[[PERIODO Imp.]:[PERIODO Imp.]],BR$9)</f>
        <v>0</v>
      </c>
      <c r="BS615" s="693">
        <f>SUMIFS(Imput[[Importe Neto]:[Importe Neto]],Imput[[C. Imp.]:[C. Imp.]],$D615,Imput[[PERIODO Imp.]:[PERIODO Imp.]],BS$9)</f>
        <v>0</v>
      </c>
      <c r="BT615" s="693">
        <f>SUMIFS(Imput[[Importe Neto]:[Importe Neto]],Imput[[C. Imp.]:[C. Imp.]],$D615,Imput[[PERIODO Imp.]:[PERIODO Imp.]],BT$9)</f>
        <v>0</v>
      </c>
      <c r="BU615" s="693">
        <f>SUMIFS(Imput[[Importe Neto]:[Importe Neto]],Imput[[C. Imp.]:[C. Imp.]],$D615,Imput[[PERIODO Imp.]:[PERIODO Imp.]],BU$9)</f>
        <v>0</v>
      </c>
      <c r="BV615" s="693">
        <f>SUMIFS(Imput[[Importe Neto]:[Importe Neto]],Imput[[C. Imp.]:[C. Imp.]],$D615,Imput[[PERIODO Imp.]:[PERIODO Imp.]],BV$9)</f>
        <v>0</v>
      </c>
      <c r="BW615" s="693">
        <f>SUMIFS(Imput[[Importe Neto]:[Importe Neto]],Imput[[C. Imp.]:[C. Imp.]],$D615,Imput[[PERIODO Imp.]:[PERIODO Imp.]],BW$9)</f>
        <v>0</v>
      </c>
      <c r="BX615" s="693">
        <f>SUMIFS(Imput[[Importe Neto]:[Importe Neto]],Imput[[C. Imp.]:[C. Imp.]],$D615,Imput[[PERIODO Imp.]:[PERIODO Imp.]],BX$9)</f>
        <v>0</v>
      </c>
      <c r="BY615" s="693">
        <f>SUMIFS(Imput[[Importe Neto]:[Importe Neto]],Imput[[C. Imp.]:[C. Imp.]],$D615,Imput[[PERIODO Imp.]:[PERIODO Imp.]],BY$9)</f>
        <v>0</v>
      </c>
      <c r="BZ615" s="693">
        <f>SUMIFS(Imput[[Importe Neto]:[Importe Neto]],Imput[[C. Imp.]:[C. Imp.]],$D615,Imput[[PERIODO Imp.]:[PERIODO Imp.]],BZ$9)</f>
        <v>0</v>
      </c>
      <c r="CA615" s="693">
        <f>SUMIFS(Imput[[Importe Neto]:[Importe Neto]],Imput[[C. Imp.]:[C. Imp.]],$D615,Imput[[PERIODO Imp.]:[PERIODO Imp.]],CA$9)</f>
        <v>0</v>
      </c>
      <c r="CB615" s="693">
        <f>SUMIFS(Imput[[Importe Neto]:[Importe Neto]],Imput[[C. Imp.]:[C. Imp.]],$D615,Imput[[PERIODO Imp.]:[PERIODO Imp.]],CB$9)</f>
        <v>0</v>
      </c>
      <c r="CC615" s="693">
        <f>SUMIFS(Imput[[Importe Neto]:[Importe Neto]],Imput[[C. Imp.]:[C. Imp.]],$D615,Imput[[PERIODO Imp.]:[PERIODO Imp.]],CC$9)</f>
        <v>0</v>
      </c>
      <c r="CD615" s="693">
        <f>SUMIFS(Imput[[Importe Neto]:[Importe Neto]],Imput[[C. Imp.]:[C. Imp.]],$D615,Imput[[PERIODO Imp.]:[PERIODO Imp.]],CD$9)</f>
        <v>0</v>
      </c>
      <c r="CE615" s="693">
        <f>SUMIFS(Imput[[Importe Neto]:[Importe Neto]],Imput[[C. Imp.]:[C. Imp.]],$D615,Imput[[PERIODO Imp.]:[PERIODO Imp.]],CE$9)</f>
        <v>0</v>
      </c>
      <c r="CF615" s="693">
        <f>SUMIFS(Imput[[Importe Neto]:[Importe Neto]],Imput[[C. Imp.]:[C. Imp.]],$D615,Imput[[PERIODO Imp.]:[PERIODO Imp.]],CF$9)</f>
        <v>0</v>
      </c>
      <c r="CG615" s="693">
        <f>SUMIFS(Imput[[Importe Neto]:[Importe Neto]],Imput[[C. Imp.]:[C. Imp.]],$D615,Imput[[PERIODO Imp.]:[PERIODO Imp.]],CG$9)</f>
        <v>0</v>
      </c>
      <c r="CH615" s="693">
        <f>SUMIFS(Imput[[Importe Neto]:[Importe Neto]],Imput[[C. Imp.]:[C. Imp.]],$D615,Imput[[PERIODO Imp.]:[PERIODO Imp.]],CH$9)</f>
        <v>0</v>
      </c>
      <c r="CI615" s="693">
        <f>SUMIFS(Imput[[Importe Neto]:[Importe Neto]],Imput[[C. Imp.]:[C. Imp.]],$D615,Imput[[PERIODO Imp.]:[PERIODO Imp.]],CI$9)</f>
        <v>0</v>
      </c>
      <c r="CJ615" s="693">
        <f>SUMIFS(Imput[[Importe Neto]:[Importe Neto]],Imput[[C. Imp.]:[C. Imp.]],$D615,Imput[[PERIODO Imp.]:[PERIODO Imp.]],CJ$9)</f>
        <v>0</v>
      </c>
      <c r="CK615" s="693">
        <f>SUMIFS(Imput[[Importe Neto]:[Importe Neto]],Imput[[C. Imp.]:[C. Imp.]],$D615,Imput[[PERIODO Imp.]:[PERIODO Imp.]],CK$9)</f>
        <v>0</v>
      </c>
      <c r="CL615" s="693">
        <f>SUMIFS(Imput[[Importe Neto]:[Importe Neto]],Imput[[C. Imp.]:[C. Imp.]],$D615,Imput[[PERIODO Imp.]:[PERIODO Imp.]],CL$9)</f>
        <v>0</v>
      </c>
      <c r="CM615" s="693">
        <f>SUMIFS(Imput[[Importe Neto]:[Importe Neto]],Imput[[C. Imp.]:[C. Imp.]],$D615,Imput[[PERIODO Imp.]:[PERIODO Imp.]],CM$9)</f>
        <v>0</v>
      </c>
      <c r="CN615" s="693">
        <f>SUMIFS(Imput[[Importe Neto]:[Importe Neto]],Imput[[C. Imp.]:[C. Imp.]],$D615,Imput[[PERIODO Imp.]:[PERIODO Imp.]],CN$9)</f>
        <v>0</v>
      </c>
      <c r="CO615" s="693">
        <f>SUMIFS(Imput[[Importe Neto]:[Importe Neto]],Imput[[C. Imp.]:[C. Imp.]],$D615,Imput[[PERIODO Imp.]:[PERIODO Imp.]],CO$9)</f>
        <v>0</v>
      </c>
      <c r="CP615" s="693">
        <f>SUMIFS(Imput[[Importe Neto]:[Importe Neto]],Imput[[C. Imp.]:[C. Imp.]],$D615,Imput[[PERIODO Imp.]:[PERIODO Imp.]],CP$9)</f>
        <v>0</v>
      </c>
      <c r="CQ615" s="693">
        <f>SUMIFS(Imput[[Importe Neto]:[Importe Neto]],Imput[[C. Imp.]:[C. Imp.]],$D615,Imput[[PERIODO Imp.]:[PERIODO Imp.]],CQ$9)</f>
        <v>0</v>
      </c>
      <c r="CR615" s="693">
        <f>SUMIFS(Imput[[Importe Neto]:[Importe Neto]],Imput[[C. Imp.]:[C. Imp.]],$D615,Imput[[PERIODO Imp.]:[PERIODO Imp.]],CR$9)</f>
        <v>0</v>
      </c>
      <c r="CS615" s="693">
        <f>SUMIFS(Imput[[Importe Neto]:[Importe Neto]],Imput[[C. Imp.]:[C. Imp.]],$D615,Imput[[PERIODO Imp.]:[PERIODO Imp.]],CS$9)</f>
        <v>0</v>
      </c>
      <c r="CT615" s="693">
        <f>SUMIFS(Imput[[Importe Neto]:[Importe Neto]],Imput[[C. Imp.]:[C. Imp.]],$D615,Imput[[PERIODO Imp.]:[PERIODO Imp.]],CT$9)</f>
        <v>0</v>
      </c>
      <c r="CU615" s="693">
        <f>SUMIFS(Imput[[Importe Neto]:[Importe Neto]],Imput[[C. Imp.]:[C. Imp.]],$D615,Imput[[PERIODO Imp.]:[PERIODO Imp.]],CU$9)</f>
        <v>0</v>
      </c>
      <c r="CV615" s="693">
        <f>SUMIFS(Imput[[Importe Neto]:[Importe Neto]],Imput[[C. Imp.]:[C. Imp.]],$D615,Imput[[PERIODO Imp.]:[PERIODO Imp.]],CV$9)</f>
        <v>0</v>
      </c>
      <c r="CW615" s="693">
        <f>SUMIFS(Imput[[Importe Neto]:[Importe Neto]],Imput[[C. Imp.]:[C. Imp.]],$D615,Imput[[PERIODO Imp.]:[PERIODO Imp.]],CW$9)</f>
        <v>0</v>
      </c>
      <c r="CX615" s="693">
        <f>SUMIFS(Imput[[Importe Neto]:[Importe Neto]],Imput[[C. Imp.]:[C. Imp.]],$D615,Imput[[PERIODO Imp.]:[PERIODO Imp.]],CX$9)</f>
        <v>0</v>
      </c>
      <c r="CY615" s="693">
        <f>SUMIFS(Imput[[Importe Neto]:[Importe Neto]],Imput[[C. Imp.]:[C. Imp.]],$D615,Imput[[PERIODO Imp.]:[PERIODO Imp.]],CY$9)</f>
        <v>0</v>
      </c>
      <c r="CZ615" s="693">
        <f>SUMIFS(Imput[[Importe Neto]:[Importe Neto]],Imput[[C. Imp.]:[C. Imp.]],$D615,Imput[[PERIODO Imp.]:[PERIODO Imp.]],CZ$9)</f>
        <v>0</v>
      </c>
      <c r="DA615" s="693">
        <f>SUMIFS(Imput[[Importe Neto]:[Importe Neto]],Imput[[C. Imp.]:[C. Imp.]],$D615,Imput[[PERIODO Imp.]:[PERIODO Imp.]],DA$9)</f>
        <v>0</v>
      </c>
      <c r="DB615" s="693">
        <f>SUMIFS(Imput[[Importe Neto]:[Importe Neto]],Imput[[C. Imp.]:[C. Imp.]],$D615,Imput[[PERIODO Imp.]:[PERIODO Imp.]],DB$9)</f>
        <v>0</v>
      </c>
      <c r="DC615" s="693">
        <f>SUMIFS(Imput[[Importe Neto]:[Importe Neto]],Imput[[C. Imp.]:[C. Imp.]],$D615,Imput[[PERIODO Imp.]:[PERIODO Imp.]],DC$9)</f>
        <v>0</v>
      </c>
      <c r="DD615" s="693">
        <f>SUMIFS(Imput[[Importe Neto]:[Importe Neto]],Imput[[C. Imp.]:[C. Imp.]],$D615,Imput[[PERIODO Imp.]:[PERIODO Imp.]],DD$9)</f>
        <v>0</v>
      </c>
      <c r="DE615" s="693">
        <f>SUMIFS(Imput[[Importe Neto]:[Importe Neto]],Imput[[C. Imp.]:[C. Imp.]],$D615,Imput[[PERIODO Imp.]:[PERIODO Imp.]],DE$9)</f>
        <v>0</v>
      </c>
      <c r="DF615" s="693">
        <f>SUMIFS(Imput[[Importe Neto]:[Importe Neto]],Imput[[C. Imp.]:[C. Imp.]],$D615,Imput[[PERIODO Imp.]:[PERIODO Imp.]],DF$9)</f>
        <v>0</v>
      </c>
      <c r="DG615" s="693">
        <f>SUMIFS(Imput[[Importe Neto]:[Importe Neto]],Imput[[C. Imp.]:[C. Imp.]],$D615,Imput[[PERIODO Imp.]:[PERIODO Imp.]],DG$9)</f>
        <v>0</v>
      </c>
      <c r="DH615" s="694">
        <f>SUMIFS(Imput[[Importe Neto]:[Importe Neto]],Imput[[C. Imp.]:[C. Imp.]],$D615,Imput[[PERIODO Imp.]:[PERIODO Imp.]],DH$9)</f>
        <v>0</v>
      </c>
    </row>
    <row r="616" spans="1:112" s="649" customFormat="1" hidden="1" outlineLevel="1" x14ac:dyDescent="0.3">
      <c r="A616" s="652" t="str">
        <f t="shared" si="222"/>
        <v/>
      </c>
      <c r="B616" s="652"/>
      <c r="C616" s="685"/>
      <c r="D616" s="686" t="s">
        <v>2634</v>
      </c>
      <c r="E616" s="686"/>
      <c r="F616" s="720"/>
      <c r="G616" s="688"/>
      <c r="H616" s="689"/>
      <c r="I616" s="851" t="str">
        <f t="shared" si="223"/>
        <v/>
      </c>
      <c r="J616" s="850" t="str">
        <f t="shared" si="224"/>
        <v/>
      </c>
      <c r="K616" s="667"/>
      <c r="L616" s="858"/>
      <c r="M616" s="859"/>
      <c r="N616" s="859"/>
      <c r="O616" s="859"/>
      <c r="P616" s="859"/>
      <c r="Q616" s="859"/>
      <c r="R616" s="859"/>
      <c r="S616" s="859"/>
      <c r="T616" s="859"/>
      <c r="U616" s="859"/>
      <c r="V616" s="859"/>
      <c r="W616" s="859"/>
      <c r="X616" s="859"/>
      <c r="Y616" s="859"/>
      <c r="Z616" s="860"/>
      <c r="AA616" s="860"/>
      <c r="AB616" s="860"/>
      <c r="AC616" s="860"/>
      <c r="AD616" s="860"/>
      <c r="AE616" s="860"/>
      <c r="AF616" s="860"/>
      <c r="AG616" s="860"/>
      <c r="AH616" s="860"/>
      <c r="AI616" s="860"/>
      <c r="AJ616" s="860"/>
      <c r="AK616" s="860"/>
      <c r="AL616" s="860"/>
      <c r="AM616" s="860"/>
      <c r="AN616" s="860"/>
      <c r="AO616" s="860"/>
      <c r="AP616" s="860"/>
      <c r="AQ616" s="860"/>
      <c r="AR616" s="860"/>
      <c r="AS616" s="860"/>
      <c r="AT616" s="860"/>
      <c r="AU616" s="860"/>
      <c r="AV616" s="860"/>
      <c r="AW616" s="860"/>
      <c r="AX616" s="860"/>
      <c r="AY616" s="860"/>
      <c r="AZ616" s="860"/>
      <c r="BA616" s="860"/>
      <c r="BB616" s="860"/>
      <c r="BC616" s="860"/>
      <c r="BD616" s="860"/>
      <c r="BE616" s="860"/>
      <c r="BF616" s="860"/>
      <c r="BG616" s="860"/>
      <c r="BH616" s="668"/>
      <c r="BI616" s="667"/>
      <c r="BJ616" s="690">
        <f t="shared" si="225"/>
        <v>0</v>
      </c>
      <c r="BK616" s="691">
        <f t="shared" si="226"/>
        <v>0</v>
      </c>
      <c r="BL616" s="654"/>
      <c r="BM616" s="692">
        <f>SUMIFS(Imput[[Importe Neto]:[Importe Neto]],Imput[[C. Imp.]:[C. Imp.]],$D616,Imput[[PERIODO Imp.]:[PERIODO Imp.]],BM$9)</f>
        <v>0</v>
      </c>
      <c r="BN616" s="693">
        <f>SUMIFS(Imput[[Importe Neto]:[Importe Neto]],Imput[[C. Imp.]:[C. Imp.]],$D616,Imput[[PERIODO Imp.]:[PERIODO Imp.]],BN$9)</f>
        <v>0</v>
      </c>
      <c r="BO616" s="693">
        <f>SUMIFS(Imput[[Importe Neto]:[Importe Neto]],Imput[[C. Imp.]:[C. Imp.]],$D616,Imput[[PERIODO Imp.]:[PERIODO Imp.]],BO$9)</f>
        <v>0</v>
      </c>
      <c r="BP616" s="693">
        <f>SUMIFS(Imput[[Importe Neto]:[Importe Neto]],Imput[[C. Imp.]:[C. Imp.]],$D616,Imput[[PERIODO Imp.]:[PERIODO Imp.]],BP$9)</f>
        <v>0</v>
      </c>
      <c r="BQ616" s="693">
        <f>SUMIFS(Imput[[Importe Neto]:[Importe Neto]],Imput[[C. Imp.]:[C. Imp.]],$D616,Imput[[PERIODO Imp.]:[PERIODO Imp.]],BQ$9)</f>
        <v>0</v>
      </c>
      <c r="BR616" s="693">
        <f>SUMIFS(Imput[[Importe Neto]:[Importe Neto]],Imput[[C. Imp.]:[C. Imp.]],$D616,Imput[[PERIODO Imp.]:[PERIODO Imp.]],BR$9)</f>
        <v>0</v>
      </c>
      <c r="BS616" s="693">
        <f>SUMIFS(Imput[[Importe Neto]:[Importe Neto]],Imput[[C. Imp.]:[C. Imp.]],$D616,Imput[[PERIODO Imp.]:[PERIODO Imp.]],BS$9)</f>
        <v>0</v>
      </c>
      <c r="BT616" s="693">
        <f>SUMIFS(Imput[[Importe Neto]:[Importe Neto]],Imput[[C. Imp.]:[C. Imp.]],$D616,Imput[[PERIODO Imp.]:[PERIODO Imp.]],BT$9)</f>
        <v>0</v>
      </c>
      <c r="BU616" s="693">
        <f>SUMIFS(Imput[[Importe Neto]:[Importe Neto]],Imput[[C. Imp.]:[C. Imp.]],$D616,Imput[[PERIODO Imp.]:[PERIODO Imp.]],BU$9)</f>
        <v>0</v>
      </c>
      <c r="BV616" s="693">
        <f>SUMIFS(Imput[[Importe Neto]:[Importe Neto]],Imput[[C. Imp.]:[C. Imp.]],$D616,Imput[[PERIODO Imp.]:[PERIODO Imp.]],BV$9)</f>
        <v>0</v>
      </c>
      <c r="BW616" s="693">
        <f>SUMIFS(Imput[[Importe Neto]:[Importe Neto]],Imput[[C. Imp.]:[C. Imp.]],$D616,Imput[[PERIODO Imp.]:[PERIODO Imp.]],BW$9)</f>
        <v>0</v>
      </c>
      <c r="BX616" s="693">
        <f>SUMIFS(Imput[[Importe Neto]:[Importe Neto]],Imput[[C. Imp.]:[C. Imp.]],$D616,Imput[[PERIODO Imp.]:[PERIODO Imp.]],BX$9)</f>
        <v>0</v>
      </c>
      <c r="BY616" s="693">
        <f>SUMIFS(Imput[[Importe Neto]:[Importe Neto]],Imput[[C. Imp.]:[C. Imp.]],$D616,Imput[[PERIODO Imp.]:[PERIODO Imp.]],BY$9)</f>
        <v>0</v>
      </c>
      <c r="BZ616" s="693">
        <f>SUMIFS(Imput[[Importe Neto]:[Importe Neto]],Imput[[C. Imp.]:[C. Imp.]],$D616,Imput[[PERIODO Imp.]:[PERIODO Imp.]],BZ$9)</f>
        <v>0</v>
      </c>
      <c r="CA616" s="693">
        <f>SUMIFS(Imput[[Importe Neto]:[Importe Neto]],Imput[[C. Imp.]:[C. Imp.]],$D616,Imput[[PERIODO Imp.]:[PERIODO Imp.]],CA$9)</f>
        <v>0</v>
      </c>
      <c r="CB616" s="693">
        <f>SUMIFS(Imput[[Importe Neto]:[Importe Neto]],Imput[[C. Imp.]:[C. Imp.]],$D616,Imput[[PERIODO Imp.]:[PERIODO Imp.]],CB$9)</f>
        <v>0</v>
      </c>
      <c r="CC616" s="693">
        <f>SUMIFS(Imput[[Importe Neto]:[Importe Neto]],Imput[[C. Imp.]:[C. Imp.]],$D616,Imput[[PERIODO Imp.]:[PERIODO Imp.]],CC$9)</f>
        <v>0</v>
      </c>
      <c r="CD616" s="693">
        <f>SUMIFS(Imput[[Importe Neto]:[Importe Neto]],Imput[[C. Imp.]:[C. Imp.]],$D616,Imput[[PERIODO Imp.]:[PERIODO Imp.]],CD$9)</f>
        <v>0</v>
      </c>
      <c r="CE616" s="693">
        <f>SUMIFS(Imput[[Importe Neto]:[Importe Neto]],Imput[[C. Imp.]:[C. Imp.]],$D616,Imput[[PERIODO Imp.]:[PERIODO Imp.]],CE$9)</f>
        <v>0</v>
      </c>
      <c r="CF616" s="693">
        <f>SUMIFS(Imput[[Importe Neto]:[Importe Neto]],Imput[[C. Imp.]:[C. Imp.]],$D616,Imput[[PERIODO Imp.]:[PERIODO Imp.]],CF$9)</f>
        <v>0</v>
      </c>
      <c r="CG616" s="693">
        <f>SUMIFS(Imput[[Importe Neto]:[Importe Neto]],Imput[[C. Imp.]:[C. Imp.]],$D616,Imput[[PERIODO Imp.]:[PERIODO Imp.]],CG$9)</f>
        <v>0</v>
      </c>
      <c r="CH616" s="693">
        <f>SUMIFS(Imput[[Importe Neto]:[Importe Neto]],Imput[[C. Imp.]:[C. Imp.]],$D616,Imput[[PERIODO Imp.]:[PERIODO Imp.]],CH$9)</f>
        <v>0</v>
      </c>
      <c r="CI616" s="693">
        <f>SUMIFS(Imput[[Importe Neto]:[Importe Neto]],Imput[[C. Imp.]:[C. Imp.]],$D616,Imput[[PERIODO Imp.]:[PERIODO Imp.]],CI$9)</f>
        <v>0</v>
      </c>
      <c r="CJ616" s="693">
        <f>SUMIFS(Imput[[Importe Neto]:[Importe Neto]],Imput[[C. Imp.]:[C. Imp.]],$D616,Imput[[PERIODO Imp.]:[PERIODO Imp.]],CJ$9)</f>
        <v>0</v>
      </c>
      <c r="CK616" s="693">
        <f>SUMIFS(Imput[[Importe Neto]:[Importe Neto]],Imput[[C. Imp.]:[C. Imp.]],$D616,Imput[[PERIODO Imp.]:[PERIODO Imp.]],CK$9)</f>
        <v>0</v>
      </c>
      <c r="CL616" s="693">
        <f>SUMIFS(Imput[[Importe Neto]:[Importe Neto]],Imput[[C. Imp.]:[C. Imp.]],$D616,Imput[[PERIODO Imp.]:[PERIODO Imp.]],CL$9)</f>
        <v>0</v>
      </c>
      <c r="CM616" s="693">
        <f>SUMIFS(Imput[[Importe Neto]:[Importe Neto]],Imput[[C. Imp.]:[C. Imp.]],$D616,Imput[[PERIODO Imp.]:[PERIODO Imp.]],CM$9)</f>
        <v>0</v>
      </c>
      <c r="CN616" s="693">
        <f>SUMIFS(Imput[[Importe Neto]:[Importe Neto]],Imput[[C. Imp.]:[C. Imp.]],$D616,Imput[[PERIODO Imp.]:[PERIODO Imp.]],CN$9)</f>
        <v>0</v>
      </c>
      <c r="CO616" s="693">
        <f>SUMIFS(Imput[[Importe Neto]:[Importe Neto]],Imput[[C. Imp.]:[C. Imp.]],$D616,Imput[[PERIODO Imp.]:[PERIODO Imp.]],CO$9)</f>
        <v>0</v>
      </c>
      <c r="CP616" s="693">
        <f>SUMIFS(Imput[[Importe Neto]:[Importe Neto]],Imput[[C. Imp.]:[C. Imp.]],$D616,Imput[[PERIODO Imp.]:[PERIODO Imp.]],CP$9)</f>
        <v>0</v>
      </c>
      <c r="CQ616" s="693">
        <f>SUMIFS(Imput[[Importe Neto]:[Importe Neto]],Imput[[C. Imp.]:[C. Imp.]],$D616,Imput[[PERIODO Imp.]:[PERIODO Imp.]],CQ$9)</f>
        <v>0</v>
      </c>
      <c r="CR616" s="693">
        <f>SUMIFS(Imput[[Importe Neto]:[Importe Neto]],Imput[[C. Imp.]:[C. Imp.]],$D616,Imput[[PERIODO Imp.]:[PERIODO Imp.]],CR$9)</f>
        <v>0</v>
      </c>
      <c r="CS616" s="693">
        <f>SUMIFS(Imput[[Importe Neto]:[Importe Neto]],Imput[[C. Imp.]:[C. Imp.]],$D616,Imput[[PERIODO Imp.]:[PERIODO Imp.]],CS$9)</f>
        <v>0</v>
      </c>
      <c r="CT616" s="693">
        <f>SUMIFS(Imput[[Importe Neto]:[Importe Neto]],Imput[[C. Imp.]:[C. Imp.]],$D616,Imput[[PERIODO Imp.]:[PERIODO Imp.]],CT$9)</f>
        <v>0</v>
      </c>
      <c r="CU616" s="693">
        <f>SUMIFS(Imput[[Importe Neto]:[Importe Neto]],Imput[[C. Imp.]:[C. Imp.]],$D616,Imput[[PERIODO Imp.]:[PERIODO Imp.]],CU$9)</f>
        <v>0</v>
      </c>
      <c r="CV616" s="693">
        <f>SUMIFS(Imput[[Importe Neto]:[Importe Neto]],Imput[[C. Imp.]:[C. Imp.]],$D616,Imput[[PERIODO Imp.]:[PERIODO Imp.]],CV$9)</f>
        <v>0</v>
      </c>
      <c r="CW616" s="693">
        <f>SUMIFS(Imput[[Importe Neto]:[Importe Neto]],Imput[[C. Imp.]:[C. Imp.]],$D616,Imput[[PERIODO Imp.]:[PERIODO Imp.]],CW$9)</f>
        <v>0</v>
      </c>
      <c r="CX616" s="693">
        <f>SUMIFS(Imput[[Importe Neto]:[Importe Neto]],Imput[[C. Imp.]:[C. Imp.]],$D616,Imput[[PERIODO Imp.]:[PERIODO Imp.]],CX$9)</f>
        <v>0</v>
      </c>
      <c r="CY616" s="693">
        <f>SUMIFS(Imput[[Importe Neto]:[Importe Neto]],Imput[[C. Imp.]:[C. Imp.]],$D616,Imput[[PERIODO Imp.]:[PERIODO Imp.]],CY$9)</f>
        <v>0</v>
      </c>
      <c r="CZ616" s="693">
        <f>SUMIFS(Imput[[Importe Neto]:[Importe Neto]],Imput[[C. Imp.]:[C. Imp.]],$D616,Imput[[PERIODO Imp.]:[PERIODO Imp.]],CZ$9)</f>
        <v>0</v>
      </c>
      <c r="DA616" s="693">
        <f>SUMIFS(Imput[[Importe Neto]:[Importe Neto]],Imput[[C. Imp.]:[C. Imp.]],$D616,Imput[[PERIODO Imp.]:[PERIODO Imp.]],DA$9)</f>
        <v>0</v>
      </c>
      <c r="DB616" s="693">
        <f>SUMIFS(Imput[[Importe Neto]:[Importe Neto]],Imput[[C. Imp.]:[C. Imp.]],$D616,Imput[[PERIODO Imp.]:[PERIODO Imp.]],DB$9)</f>
        <v>0</v>
      </c>
      <c r="DC616" s="693">
        <f>SUMIFS(Imput[[Importe Neto]:[Importe Neto]],Imput[[C. Imp.]:[C. Imp.]],$D616,Imput[[PERIODO Imp.]:[PERIODO Imp.]],DC$9)</f>
        <v>0</v>
      </c>
      <c r="DD616" s="693">
        <f>SUMIFS(Imput[[Importe Neto]:[Importe Neto]],Imput[[C. Imp.]:[C. Imp.]],$D616,Imput[[PERIODO Imp.]:[PERIODO Imp.]],DD$9)</f>
        <v>0</v>
      </c>
      <c r="DE616" s="693">
        <f>SUMIFS(Imput[[Importe Neto]:[Importe Neto]],Imput[[C. Imp.]:[C. Imp.]],$D616,Imput[[PERIODO Imp.]:[PERIODO Imp.]],DE$9)</f>
        <v>0</v>
      </c>
      <c r="DF616" s="693">
        <f>SUMIFS(Imput[[Importe Neto]:[Importe Neto]],Imput[[C. Imp.]:[C. Imp.]],$D616,Imput[[PERIODO Imp.]:[PERIODO Imp.]],DF$9)</f>
        <v>0</v>
      </c>
      <c r="DG616" s="693">
        <f>SUMIFS(Imput[[Importe Neto]:[Importe Neto]],Imput[[C. Imp.]:[C. Imp.]],$D616,Imput[[PERIODO Imp.]:[PERIODO Imp.]],DG$9)</f>
        <v>0</v>
      </c>
      <c r="DH616" s="694">
        <f>SUMIFS(Imput[[Importe Neto]:[Importe Neto]],Imput[[C. Imp.]:[C. Imp.]],$D616,Imput[[PERIODO Imp.]:[PERIODO Imp.]],DH$9)</f>
        <v>0</v>
      </c>
    </row>
    <row r="617" spans="1:112" s="649" customFormat="1" hidden="1" outlineLevel="1" x14ac:dyDescent="0.3">
      <c r="A617" s="652" t="str">
        <f t="shared" si="222"/>
        <v/>
      </c>
      <c r="B617" s="652"/>
      <c r="C617" s="685"/>
      <c r="D617" s="686" t="s">
        <v>2635</v>
      </c>
      <c r="E617" s="686"/>
      <c r="F617" s="720"/>
      <c r="G617" s="688"/>
      <c r="H617" s="689"/>
      <c r="I617" s="851" t="str">
        <f t="shared" si="223"/>
        <v/>
      </c>
      <c r="J617" s="850" t="str">
        <f t="shared" si="224"/>
        <v/>
      </c>
      <c r="K617" s="667"/>
      <c r="L617" s="858"/>
      <c r="M617" s="859"/>
      <c r="N617" s="859"/>
      <c r="O617" s="859"/>
      <c r="P617" s="859"/>
      <c r="Q617" s="859"/>
      <c r="R617" s="859"/>
      <c r="S617" s="859"/>
      <c r="T617" s="859"/>
      <c r="U617" s="859"/>
      <c r="V617" s="859"/>
      <c r="W617" s="859"/>
      <c r="X617" s="859"/>
      <c r="Y617" s="859"/>
      <c r="Z617" s="860"/>
      <c r="AA617" s="860"/>
      <c r="AB617" s="860"/>
      <c r="AC617" s="860"/>
      <c r="AD617" s="860"/>
      <c r="AE617" s="860"/>
      <c r="AF617" s="860"/>
      <c r="AG617" s="860"/>
      <c r="AH617" s="860"/>
      <c r="AI617" s="860"/>
      <c r="AJ617" s="860"/>
      <c r="AK617" s="860"/>
      <c r="AL617" s="860"/>
      <c r="AM617" s="860"/>
      <c r="AN617" s="860"/>
      <c r="AO617" s="860"/>
      <c r="AP617" s="860"/>
      <c r="AQ617" s="860"/>
      <c r="AR617" s="860"/>
      <c r="AS617" s="860"/>
      <c r="AT617" s="860"/>
      <c r="AU617" s="860"/>
      <c r="AV617" s="860"/>
      <c r="AW617" s="860"/>
      <c r="AX617" s="860"/>
      <c r="AY617" s="860"/>
      <c r="AZ617" s="860"/>
      <c r="BA617" s="860"/>
      <c r="BB617" s="860"/>
      <c r="BC617" s="860"/>
      <c r="BD617" s="860"/>
      <c r="BE617" s="860"/>
      <c r="BF617" s="860"/>
      <c r="BG617" s="860"/>
      <c r="BH617" s="668"/>
      <c r="BI617" s="667"/>
      <c r="BJ617" s="690">
        <f t="shared" si="225"/>
        <v>0</v>
      </c>
      <c r="BK617" s="691">
        <f t="shared" si="226"/>
        <v>0</v>
      </c>
      <c r="BL617" s="654"/>
      <c r="BM617" s="692">
        <f>SUMIFS(Imput[[Importe Neto]:[Importe Neto]],Imput[[C. Imp.]:[C. Imp.]],$D617,Imput[[PERIODO Imp.]:[PERIODO Imp.]],BM$9)</f>
        <v>0</v>
      </c>
      <c r="BN617" s="693">
        <f>SUMIFS(Imput[[Importe Neto]:[Importe Neto]],Imput[[C. Imp.]:[C. Imp.]],$D617,Imput[[PERIODO Imp.]:[PERIODO Imp.]],BN$9)</f>
        <v>0</v>
      </c>
      <c r="BO617" s="693">
        <f>SUMIFS(Imput[[Importe Neto]:[Importe Neto]],Imput[[C. Imp.]:[C. Imp.]],$D617,Imput[[PERIODO Imp.]:[PERIODO Imp.]],BO$9)</f>
        <v>0</v>
      </c>
      <c r="BP617" s="693">
        <f>SUMIFS(Imput[[Importe Neto]:[Importe Neto]],Imput[[C. Imp.]:[C. Imp.]],$D617,Imput[[PERIODO Imp.]:[PERIODO Imp.]],BP$9)</f>
        <v>0</v>
      </c>
      <c r="BQ617" s="693">
        <f>SUMIFS(Imput[[Importe Neto]:[Importe Neto]],Imput[[C. Imp.]:[C. Imp.]],$D617,Imput[[PERIODO Imp.]:[PERIODO Imp.]],BQ$9)</f>
        <v>0</v>
      </c>
      <c r="BR617" s="693">
        <f>SUMIFS(Imput[[Importe Neto]:[Importe Neto]],Imput[[C. Imp.]:[C. Imp.]],$D617,Imput[[PERIODO Imp.]:[PERIODO Imp.]],BR$9)</f>
        <v>0</v>
      </c>
      <c r="BS617" s="693">
        <f>SUMIFS(Imput[[Importe Neto]:[Importe Neto]],Imput[[C. Imp.]:[C. Imp.]],$D617,Imput[[PERIODO Imp.]:[PERIODO Imp.]],BS$9)</f>
        <v>0</v>
      </c>
      <c r="BT617" s="693">
        <f>SUMIFS(Imput[[Importe Neto]:[Importe Neto]],Imput[[C. Imp.]:[C. Imp.]],$D617,Imput[[PERIODO Imp.]:[PERIODO Imp.]],BT$9)</f>
        <v>0</v>
      </c>
      <c r="BU617" s="693">
        <f>SUMIFS(Imput[[Importe Neto]:[Importe Neto]],Imput[[C. Imp.]:[C. Imp.]],$D617,Imput[[PERIODO Imp.]:[PERIODO Imp.]],BU$9)</f>
        <v>0</v>
      </c>
      <c r="BV617" s="693">
        <f>SUMIFS(Imput[[Importe Neto]:[Importe Neto]],Imput[[C. Imp.]:[C. Imp.]],$D617,Imput[[PERIODO Imp.]:[PERIODO Imp.]],BV$9)</f>
        <v>0</v>
      </c>
      <c r="BW617" s="693">
        <f>SUMIFS(Imput[[Importe Neto]:[Importe Neto]],Imput[[C. Imp.]:[C. Imp.]],$D617,Imput[[PERIODO Imp.]:[PERIODO Imp.]],BW$9)</f>
        <v>0</v>
      </c>
      <c r="BX617" s="693">
        <f>SUMIFS(Imput[[Importe Neto]:[Importe Neto]],Imput[[C. Imp.]:[C. Imp.]],$D617,Imput[[PERIODO Imp.]:[PERIODO Imp.]],BX$9)</f>
        <v>0</v>
      </c>
      <c r="BY617" s="693">
        <f>SUMIFS(Imput[[Importe Neto]:[Importe Neto]],Imput[[C. Imp.]:[C. Imp.]],$D617,Imput[[PERIODO Imp.]:[PERIODO Imp.]],BY$9)</f>
        <v>0</v>
      </c>
      <c r="BZ617" s="693">
        <f>SUMIFS(Imput[[Importe Neto]:[Importe Neto]],Imput[[C. Imp.]:[C. Imp.]],$D617,Imput[[PERIODO Imp.]:[PERIODO Imp.]],BZ$9)</f>
        <v>0</v>
      </c>
      <c r="CA617" s="693">
        <f>SUMIFS(Imput[[Importe Neto]:[Importe Neto]],Imput[[C. Imp.]:[C. Imp.]],$D617,Imput[[PERIODO Imp.]:[PERIODO Imp.]],CA$9)</f>
        <v>0</v>
      </c>
      <c r="CB617" s="693">
        <f>SUMIFS(Imput[[Importe Neto]:[Importe Neto]],Imput[[C. Imp.]:[C. Imp.]],$D617,Imput[[PERIODO Imp.]:[PERIODO Imp.]],CB$9)</f>
        <v>0</v>
      </c>
      <c r="CC617" s="693">
        <f>SUMIFS(Imput[[Importe Neto]:[Importe Neto]],Imput[[C. Imp.]:[C. Imp.]],$D617,Imput[[PERIODO Imp.]:[PERIODO Imp.]],CC$9)</f>
        <v>0</v>
      </c>
      <c r="CD617" s="693">
        <f>SUMIFS(Imput[[Importe Neto]:[Importe Neto]],Imput[[C. Imp.]:[C. Imp.]],$D617,Imput[[PERIODO Imp.]:[PERIODO Imp.]],CD$9)</f>
        <v>0</v>
      </c>
      <c r="CE617" s="693">
        <f>SUMIFS(Imput[[Importe Neto]:[Importe Neto]],Imput[[C. Imp.]:[C. Imp.]],$D617,Imput[[PERIODO Imp.]:[PERIODO Imp.]],CE$9)</f>
        <v>0</v>
      </c>
      <c r="CF617" s="693">
        <f>SUMIFS(Imput[[Importe Neto]:[Importe Neto]],Imput[[C. Imp.]:[C. Imp.]],$D617,Imput[[PERIODO Imp.]:[PERIODO Imp.]],CF$9)</f>
        <v>0</v>
      </c>
      <c r="CG617" s="693">
        <f>SUMIFS(Imput[[Importe Neto]:[Importe Neto]],Imput[[C. Imp.]:[C. Imp.]],$D617,Imput[[PERIODO Imp.]:[PERIODO Imp.]],CG$9)</f>
        <v>0</v>
      </c>
      <c r="CH617" s="693">
        <f>SUMIFS(Imput[[Importe Neto]:[Importe Neto]],Imput[[C. Imp.]:[C. Imp.]],$D617,Imput[[PERIODO Imp.]:[PERIODO Imp.]],CH$9)</f>
        <v>0</v>
      </c>
      <c r="CI617" s="693">
        <f>SUMIFS(Imput[[Importe Neto]:[Importe Neto]],Imput[[C. Imp.]:[C. Imp.]],$D617,Imput[[PERIODO Imp.]:[PERIODO Imp.]],CI$9)</f>
        <v>0</v>
      </c>
      <c r="CJ617" s="693">
        <f>SUMIFS(Imput[[Importe Neto]:[Importe Neto]],Imput[[C. Imp.]:[C. Imp.]],$D617,Imput[[PERIODO Imp.]:[PERIODO Imp.]],CJ$9)</f>
        <v>0</v>
      </c>
      <c r="CK617" s="693">
        <f>SUMIFS(Imput[[Importe Neto]:[Importe Neto]],Imput[[C. Imp.]:[C. Imp.]],$D617,Imput[[PERIODO Imp.]:[PERIODO Imp.]],CK$9)</f>
        <v>0</v>
      </c>
      <c r="CL617" s="693">
        <f>SUMIFS(Imput[[Importe Neto]:[Importe Neto]],Imput[[C. Imp.]:[C. Imp.]],$D617,Imput[[PERIODO Imp.]:[PERIODO Imp.]],CL$9)</f>
        <v>0</v>
      </c>
      <c r="CM617" s="693">
        <f>SUMIFS(Imput[[Importe Neto]:[Importe Neto]],Imput[[C. Imp.]:[C. Imp.]],$D617,Imput[[PERIODO Imp.]:[PERIODO Imp.]],CM$9)</f>
        <v>0</v>
      </c>
      <c r="CN617" s="693">
        <f>SUMIFS(Imput[[Importe Neto]:[Importe Neto]],Imput[[C. Imp.]:[C. Imp.]],$D617,Imput[[PERIODO Imp.]:[PERIODO Imp.]],CN$9)</f>
        <v>0</v>
      </c>
      <c r="CO617" s="693">
        <f>SUMIFS(Imput[[Importe Neto]:[Importe Neto]],Imput[[C. Imp.]:[C. Imp.]],$D617,Imput[[PERIODO Imp.]:[PERIODO Imp.]],CO$9)</f>
        <v>0</v>
      </c>
      <c r="CP617" s="693">
        <f>SUMIFS(Imput[[Importe Neto]:[Importe Neto]],Imput[[C. Imp.]:[C. Imp.]],$D617,Imput[[PERIODO Imp.]:[PERIODO Imp.]],CP$9)</f>
        <v>0</v>
      </c>
      <c r="CQ617" s="693">
        <f>SUMIFS(Imput[[Importe Neto]:[Importe Neto]],Imput[[C. Imp.]:[C. Imp.]],$D617,Imput[[PERIODO Imp.]:[PERIODO Imp.]],CQ$9)</f>
        <v>0</v>
      </c>
      <c r="CR617" s="693">
        <f>SUMIFS(Imput[[Importe Neto]:[Importe Neto]],Imput[[C. Imp.]:[C. Imp.]],$D617,Imput[[PERIODO Imp.]:[PERIODO Imp.]],CR$9)</f>
        <v>0</v>
      </c>
      <c r="CS617" s="693">
        <f>SUMIFS(Imput[[Importe Neto]:[Importe Neto]],Imput[[C. Imp.]:[C. Imp.]],$D617,Imput[[PERIODO Imp.]:[PERIODO Imp.]],CS$9)</f>
        <v>0</v>
      </c>
      <c r="CT617" s="693">
        <f>SUMIFS(Imput[[Importe Neto]:[Importe Neto]],Imput[[C. Imp.]:[C. Imp.]],$D617,Imput[[PERIODO Imp.]:[PERIODO Imp.]],CT$9)</f>
        <v>0</v>
      </c>
      <c r="CU617" s="693">
        <f>SUMIFS(Imput[[Importe Neto]:[Importe Neto]],Imput[[C. Imp.]:[C. Imp.]],$D617,Imput[[PERIODO Imp.]:[PERIODO Imp.]],CU$9)</f>
        <v>0</v>
      </c>
      <c r="CV617" s="693">
        <f>SUMIFS(Imput[[Importe Neto]:[Importe Neto]],Imput[[C. Imp.]:[C. Imp.]],$D617,Imput[[PERIODO Imp.]:[PERIODO Imp.]],CV$9)</f>
        <v>0</v>
      </c>
      <c r="CW617" s="693">
        <f>SUMIFS(Imput[[Importe Neto]:[Importe Neto]],Imput[[C. Imp.]:[C. Imp.]],$D617,Imput[[PERIODO Imp.]:[PERIODO Imp.]],CW$9)</f>
        <v>0</v>
      </c>
      <c r="CX617" s="693">
        <f>SUMIFS(Imput[[Importe Neto]:[Importe Neto]],Imput[[C. Imp.]:[C. Imp.]],$D617,Imput[[PERIODO Imp.]:[PERIODO Imp.]],CX$9)</f>
        <v>0</v>
      </c>
      <c r="CY617" s="693">
        <f>SUMIFS(Imput[[Importe Neto]:[Importe Neto]],Imput[[C. Imp.]:[C. Imp.]],$D617,Imput[[PERIODO Imp.]:[PERIODO Imp.]],CY$9)</f>
        <v>0</v>
      </c>
      <c r="CZ617" s="693">
        <f>SUMIFS(Imput[[Importe Neto]:[Importe Neto]],Imput[[C. Imp.]:[C. Imp.]],$D617,Imput[[PERIODO Imp.]:[PERIODO Imp.]],CZ$9)</f>
        <v>0</v>
      </c>
      <c r="DA617" s="693">
        <f>SUMIFS(Imput[[Importe Neto]:[Importe Neto]],Imput[[C. Imp.]:[C. Imp.]],$D617,Imput[[PERIODO Imp.]:[PERIODO Imp.]],DA$9)</f>
        <v>0</v>
      </c>
      <c r="DB617" s="693">
        <f>SUMIFS(Imput[[Importe Neto]:[Importe Neto]],Imput[[C. Imp.]:[C. Imp.]],$D617,Imput[[PERIODO Imp.]:[PERIODO Imp.]],DB$9)</f>
        <v>0</v>
      </c>
      <c r="DC617" s="693">
        <f>SUMIFS(Imput[[Importe Neto]:[Importe Neto]],Imput[[C. Imp.]:[C. Imp.]],$D617,Imput[[PERIODO Imp.]:[PERIODO Imp.]],DC$9)</f>
        <v>0</v>
      </c>
      <c r="DD617" s="693">
        <f>SUMIFS(Imput[[Importe Neto]:[Importe Neto]],Imput[[C. Imp.]:[C. Imp.]],$D617,Imput[[PERIODO Imp.]:[PERIODO Imp.]],DD$9)</f>
        <v>0</v>
      </c>
      <c r="DE617" s="693">
        <f>SUMIFS(Imput[[Importe Neto]:[Importe Neto]],Imput[[C. Imp.]:[C. Imp.]],$D617,Imput[[PERIODO Imp.]:[PERIODO Imp.]],DE$9)</f>
        <v>0</v>
      </c>
      <c r="DF617" s="693">
        <f>SUMIFS(Imput[[Importe Neto]:[Importe Neto]],Imput[[C. Imp.]:[C. Imp.]],$D617,Imput[[PERIODO Imp.]:[PERIODO Imp.]],DF$9)</f>
        <v>0</v>
      </c>
      <c r="DG617" s="693">
        <f>SUMIFS(Imput[[Importe Neto]:[Importe Neto]],Imput[[C. Imp.]:[C. Imp.]],$D617,Imput[[PERIODO Imp.]:[PERIODO Imp.]],DG$9)</f>
        <v>0</v>
      </c>
      <c r="DH617" s="694">
        <f>SUMIFS(Imput[[Importe Neto]:[Importe Neto]],Imput[[C. Imp.]:[C. Imp.]],$D617,Imput[[PERIODO Imp.]:[PERIODO Imp.]],DH$9)</f>
        <v>0</v>
      </c>
    </row>
    <row r="618" spans="1:112" s="649" customFormat="1" hidden="1" outlineLevel="1" x14ac:dyDescent="0.3">
      <c r="A618" s="652" t="str">
        <f t="shared" si="222"/>
        <v/>
      </c>
      <c r="B618" s="652"/>
      <c r="C618" s="685"/>
      <c r="D618" s="686" t="s">
        <v>2636</v>
      </c>
      <c r="E618" s="686"/>
      <c r="F618" s="720"/>
      <c r="G618" s="688"/>
      <c r="H618" s="689"/>
      <c r="I618" s="851" t="str">
        <f t="shared" si="223"/>
        <v/>
      </c>
      <c r="J618" s="850" t="str">
        <f t="shared" si="224"/>
        <v/>
      </c>
      <c r="K618" s="667"/>
      <c r="L618" s="858"/>
      <c r="M618" s="859"/>
      <c r="N618" s="859"/>
      <c r="O618" s="859"/>
      <c r="P618" s="859"/>
      <c r="Q618" s="859"/>
      <c r="R618" s="859"/>
      <c r="S618" s="859"/>
      <c r="T618" s="859"/>
      <c r="U618" s="859"/>
      <c r="V618" s="859"/>
      <c r="W618" s="859"/>
      <c r="X618" s="859"/>
      <c r="Y618" s="859"/>
      <c r="Z618" s="860"/>
      <c r="AA618" s="860"/>
      <c r="AB618" s="860"/>
      <c r="AC618" s="860"/>
      <c r="AD618" s="860"/>
      <c r="AE618" s="860"/>
      <c r="AF618" s="860"/>
      <c r="AG618" s="860"/>
      <c r="AH618" s="860"/>
      <c r="AI618" s="860"/>
      <c r="AJ618" s="860"/>
      <c r="AK618" s="860"/>
      <c r="AL618" s="860"/>
      <c r="AM618" s="860"/>
      <c r="AN618" s="860"/>
      <c r="AO618" s="860"/>
      <c r="AP618" s="860"/>
      <c r="AQ618" s="860"/>
      <c r="AR618" s="860"/>
      <c r="AS618" s="860"/>
      <c r="AT618" s="860"/>
      <c r="AU618" s="860"/>
      <c r="AV618" s="860"/>
      <c r="AW618" s="860"/>
      <c r="AX618" s="860"/>
      <c r="AY618" s="860"/>
      <c r="AZ618" s="860"/>
      <c r="BA618" s="860"/>
      <c r="BB618" s="860"/>
      <c r="BC618" s="860"/>
      <c r="BD618" s="860"/>
      <c r="BE618" s="860"/>
      <c r="BF618" s="860"/>
      <c r="BG618" s="860"/>
      <c r="BH618" s="668"/>
      <c r="BI618" s="667"/>
      <c r="BJ618" s="690">
        <f t="shared" si="225"/>
        <v>0</v>
      </c>
      <c r="BK618" s="691">
        <f t="shared" si="226"/>
        <v>0</v>
      </c>
      <c r="BL618" s="654"/>
      <c r="BM618" s="692">
        <f>SUMIFS(Imput[[Importe Neto]:[Importe Neto]],Imput[[C. Imp.]:[C. Imp.]],$D618,Imput[[PERIODO Imp.]:[PERIODO Imp.]],BM$9)</f>
        <v>0</v>
      </c>
      <c r="BN618" s="693">
        <f>SUMIFS(Imput[[Importe Neto]:[Importe Neto]],Imput[[C. Imp.]:[C. Imp.]],$D618,Imput[[PERIODO Imp.]:[PERIODO Imp.]],BN$9)</f>
        <v>0</v>
      </c>
      <c r="BO618" s="693">
        <f>SUMIFS(Imput[[Importe Neto]:[Importe Neto]],Imput[[C. Imp.]:[C. Imp.]],$D618,Imput[[PERIODO Imp.]:[PERIODO Imp.]],BO$9)</f>
        <v>0</v>
      </c>
      <c r="BP618" s="693">
        <f>SUMIFS(Imput[[Importe Neto]:[Importe Neto]],Imput[[C. Imp.]:[C. Imp.]],$D618,Imput[[PERIODO Imp.]:[PERIODO Imp.]],BP$9)</f>
        <v>0</v>
      </c>
      <c r="BQ618" s="693">
        <f>SUMIFS(Imput[[Importe Neto]:[Importe Neto]],Imput[[C. Imp.]:[C. Imp.]],$D618,Imput[[PERIODO Imp.]:[PERIODO Imp.]],BQ$9)</f>
        <v>0</v>
      </c>
      <c r="BR618" s="693">
        <f>SUMIFS(Imput[[Importe Neto]:[Importe Neto]],Imput[[C. Imp.]:[C. Imp.]],$D618,Imput[[PERIODO Imp.]:[PERIODO Imp.]],BR$9)</f>
        <v>0</v>
      </c>
      <c r="BS618" s="693">
        <f>SUMIFS(Imput[[Importe Neto]:[Importe Neto]],Imput[[C. Imp.]:[C. Imp.]],$D618,Imput[[PERIODO Imp.]:[PERIODO Imp.]],BS$9)</f>
        <v>0</v>
      </c>
      <c r="BT618" s="693">
        <f>SUMIFS(Imput[[Importe Neto]:[Importe Neto]],Imput[[C. Imp.]:[C. Imp.]],$D618,Imput[[PERIODO Imp.]:[PERIODO Imp.]],BT$9)</f>
        <v>0</v>
      </c>
      <c r="BU618" s="693">
        <f>SUMIFS(Imput[[Importe Neto]:[Importe Neto]],Imput[[C. Imp.]:[C. Imp.]],$D618,Imput[[PERIODO Imp.]:[PERIODO Imp.]],BU$9)</f>
        <v>0</v>
      </c>
      <c r="BV618" s="693">
        <f>SUMIFS(Imput[[Importe Neto]:[Importe Neto]],Imput[[C. Imp.]:[C. Imp.]],$D618,Imput[[PERIODO Imp.]:[PERIODO Imp.]],BV$9)</f>
        <v>0</v>
      </c>
      <c r="BW618" s="693">
        <f>SUMIFS(Imput[[Importe Neto]:[Importe Neto]],Imput[[C. Imp.]:[C. Imp.]],$D618,Imput[[PERIODO Imp.]:[PERIODO Imp.]],BW$9)</f>
        <v>0</v>
      </c>
      <c r="BX618" s="693">
        <f>SUMIFS(Imput[[Importe Neto]:[Importe Neto]],Imput[[C. Imp.]:[C. Imp.]],$D618,Imput[[PERIODO Imp.]:[PERIODO Imp.]],BX$9)</f>
        <v>0</v>
      </c>
      <c r="BY618" s="693">
        <f>SUMIFS(Imput[[Importe Neto]:[Importe Neto]],Imput[[C. Imp.]:[C. Imp.]],$D618,Imput[[PERIODO Imp.]:[PERIODO Imp.]],BY$9)</f>
        <v>0</v>
      </c>
      <c r="BZ618" s="693">
        <f>SUMIFS(Imput[[Importe Neto]:[Importe Neto]],Imput[[C. Imp.]:[C. Imp.]],$D618,Imput[[PERIODO Imp.]:[PERIODO Imp.]],BZ$9)</f>
        <v>0</v>
      </c>
      <c r="CA618" s="693">
        <f>SUMIFS(Imput[[Importe Neto]:[Importe Neto]],Imput[[C. Imp.]:[C. Imp.]],$D618,Imput[[PERIODO Imp.]:[PERIODO Imp.]],CA$9)</f>
        <v>0</v>
      </c>
      <c r="CB618" s="693">
        <f>SUMIFS(Imput[[Importe Neto]:[Importe Neto]],Imput[[C. Imp.]:[C. Imp.]],$D618,Imput[[PERIODO Imp.]:[PERIODO Imp.]],CB$9)</f>
        <v>0</v>
      </c>
      <c r="CC618" s="693">
        <f>SUMIFS(Imput[[Importe Neto]:[Importe Neto]],Imput[[C. Imp.]:[C. Imp.]],$D618,Imput[[PERIODO Imp.]:[PERIODO Imp.]],CC$9)</f>
        <v>0</v>
      </c>
      <c r="CD618" s="693">
        <f>SUMIFS(Imput[[Importe Neto]:[Importe Neto]],Imput[[C. Imp.]:[C. Imp.]],$D618,Imput[[PERIODO Imp.]:[PERIODO Imp.]],CD$9)</f>
        <v>0</v>
      </c>
      <c r="CE618" s="693">
        <f>SUMIFS(Imput[[Importe Neto]:[Importe Neto]],Imput[[C. Imp.]:[C. Imp.]],$D618,Imput[[PERIODO Imp.]:[PERIODO Imp.]],CE$9)</f>
        <v>0</v>
      </c>
      <c r="CF618" s="693">
        <f>SUMIFS(Imput[[Importe Neto]:[Importe Neto]],Imput[[C. Imp.]:[C. Imp.]],$D618,Imput[[PERIODO Imp.]:[PERIODO Imp.]],CF$9)</f>
        <v>0</v>
      </c>
      <c r="CG618" s="693">
        <f>SUMIFS(Imput[[Importe Neto]:[Importe Neto]],Imput[[C. Imp.]:[C. Imp.]],$D618,Imput[[PERIODO Imp.]:[PERIODO Imp.]],CG$9)</f>
        <v>0</v>
      </c>
      <c r="CH618" s="693">
        <f>SUMIFS(Imput[[Importe Neto]:[Importe Neto]],Imput[[C. Imp.]:[C. Imp.]],$D618,Imput[[PERIODO Imp.]:[PERIODO Imp.]],CH$9)</f>
        <v>0</v>
      </c>
      <c r="CI618" s="693">
        <f>SUMIFS(Imput[[Importe Neto]:[Importe Neto]],Imput[[C. Imp.]:[C. Imp.]],$D618,Imput[[PERIODO Imp.]:[PERIODO Imp.]],CI$9)</f>
        <v>0</v>
      </c>
      <c r="CJ618" s="693">
        <f>SUMIFS(Imput[[Importe Neto]:[Importe Neto]],Imput[[C. Imp.]:[C. Imp.]],$D618,Imput[[PERIODO Imp.]:[PERIODO Imp.]],CJ$9)</f>
        <v>0</v>
      </c>
      <c r="CK618" s="693">
        <f>SUMIFS(Imput[[Importe Neto]:[Importe Neto]],Imput[[C. Imp.]:[C. Imp.]],$D618,Imput[[PERIODO Imp.]:[PERIODO Imp.]],CK$9)</f>
        <v>0</v>
      </c>
      <c r="CL618" s="693">
        <f>SUMIFS(Imput[[Importe Neto]:[Importe Neto]],Imput[[C. Imp.]:[C. Imp.]],$D618,Imput[[PERIODO Imp.]:[PERIODO Imp.]],CL$9)</f>
        <v>0</v>
      </c>
      <c r="CM618" s="693">
        <f>SUMIFS(Imput[[Importe Neto]:[Importe Neto]],Imput[[C. Imp.]:[C. Imp.]],$D618,Imput[[PERIODO Imp.]:[PERIODO Imp.]],CM$9)</f>
        <v>0</v>
      </c>
      <c r="CN618" s="693">
        <f>SUMIFS(Imput[[Importe Neto]:[Importe Neto]],Imput[[C. Imp.]:[C. Imp.]],$D618,Imput[[PERIODO Imp.]:[PERIODO Imp.]],CN$9)</f>
        <v>0</v>
      </c>
      <c r="CO618" s="693">
        <f>SUMIFS(Imput[[Importe Neto]:[Importe Neto]],Imput[[C. Imp.]:[C. Imp.]],$D618,Imput[[PERIODO Imp.]:[PERIODO Imp.]],CO$9)</f>
        <v>0</v>
      </c>
      <c r="CP618" s="693">
        <f>SUMIFS(Imput[[Importe Neto]:[Importe Neto]],Imput[[C. Imp.]:[C. Imp.]],$D618,Imput[[PERIODO Imp.]:[PERIODO Imp.]],CP$9)</f>
        <v>0</v>
      </c>
      <c r="CQ618" s="693">
        <f>SUMIFS(Imput[[Importe Neto]:[Importe Neto]],Imput[[C. Imp.]:[C. Imp.]],$D618,Imput[[PERIODO Imp.]:[PERIODO Imp.]],CQ$9)</f>
        <v>0</v>
      </c>
      <c r="CR618" s="693">
        <f>SUMIFS(Imput[[Importe Neto]:[Importe Neto]],Imput[[C. Imp.]:[C. Imp.]],$D618,Imput[[PERIODO Imp.]:[PERIODO Imp.]],CR$9)</f>
        <v>0</v>
      </c>
      <c r="CS618" s="693">
        <f>SUMIFS(Imput[[Importe Neto]:[Importe Neto]],Imput[[C. Imp.]:[C. Imp.]],$D618,Imput[[PERIODO Imp.]:[PERIODO Imp.]],CS$9)</f>
        <v>0</v>
      </c>
      <c r="CT618" s="693">
        <f>SUMIFS(Imput[[Importe Neto]:[Importe Neto]],Imput[[C. Imp.]:[C. Imp.]],$D618,Imput[[PERIODO Imp.]:[PERIODO Imp.]],CT$9)</f>
        <v>0</v>
      </c>
      <c r="CU618" s="693">
        <f>SUMIFS(Imput[[Importe Neto]:[Importe Neto]],Imput[[C. Imp.]:[C. Imp.]],$D618,Imput[[PERIODO Imp.]:[PERIODO Imp.]],CU$9)</f>
        <v>0</v>
      </c>
      <c r="CV618" s="693">
        <f>SUMIFS(Imput[[Importe Neto]:[Importe Neto]],Imput[[C. Imp.]:[C. Imp.]],$D618,Imput[[PERIODO Imp.]:[PERIODO Imp.]],CV$9)</f>
        <v>0</v>
      </c>
      <c r="CW618" s="693">
        <f>SUMIFS(Imput[[Importe Neto]:[Importe Neto]],Imput[[C. Imp.]:[C. Imp.]],$D618,Imput[[PERIODO Imp.]:[PERIODO Imp.]],CW$9)</f>
        <v>0</v>
      </c>
      <c r="CX618" s="693">
        <f>SUMIFS(Imput[[Importe Neto]:[Importe Neto]],Imput[[C. Imp.]:[C. Imp.]],$D618,Imput[[PERIODO Imp.]:[PERIODO Imp.]],CX$9)</f>
        <v>0</v>
      </c>
      <c r="CY618" s="693">
        <f>SUMIFS(Imput[[Importe Neto]:[Importe Neto]],Imput[[C. Imp.]:[C. Imp.]],$D618,Imput[[PERIODO Imp.]:[PERIODO Imp.]],CY$9)</f>
        <v>0</v>
      </c>
      <c r="CZ618" s="693">
        <f>SUMIFS(Imput[[Importe Neto]:[Importe Neto]],Imput[[C. Imp.]:[C. Imp.]],$D618,Imput[[PERIODO Imp.]:[PERIODO Imp.]],CZ$9)</f>
        <v>0</v>
      </c>
      <c r="DA618" s="693">
        <f>SUMIFS(Imput[[Importe Neto]:[Importe Neto]],Imput[[C. Imp.]:[C. Imp.]],$D618,Imput[[PERIODO Imp.]:[PERIODO Imp.]],DA$9)</f>
        <v>0</v>
      </c>
      <c r="DB618" s="693">
        <f>SUMIFS(Imput[[Importe Neto]:[Importe Neto]],Imput[[C. Imp.]:[C. Imp.]],$D618,Imput[[PERIODO Imp.]:[PERIODO Imp.]],DB$9)</f>
        <v>0</v>
      </c>
      <c r="DC618" s="693">
        <f>SUMIFS(Imput[[Importe Neto]:[Importe Neto]],Imput[[C. Imp.]:[C. Imp.]],$D618,Imput[[PERIODO Imp.]:[PERIODO Imp.]],DC$9)</f>
        <v>0</v>
      </c>
      <c r="DD618" s="693">
        <f>SUMIFS(Imput[[Importe Neto]:[Importe Neto]],Imput[[C. Imp.]:[C. Imp.]],$D618,Imput[[PERIODO Imp.]:[PERIODO Imp.]],DD$9)</f>
        <v>0</v>
      </c>
      <c r="DE618" s="693">
        <f>SUMIFS(Imput[[Importe Neto]:[Importe Neto]],Imput[[C. Imp.]:[C. Imp.]],$D618,Imput[[PERIODO Imp.]:[PERIODO Imp.]],DE$9)</f>
        <v>0</v>
      </c>
      <c r="DF618" s="693">
        <f>SUMIFS(Imput[[Importe Neto]:[Importe Neto]],Imput[[C. Imp.]:[C. Imp.]],$D618,Imput[[PERIODO Imp.]:[PERIODO Imp.]],DF$9)</f>
        <v>0</v>
      </c>
      <c r="DG618" s="693">
        <f>SUMIFS(Imput[[Importe Neto]:[Importe Neto]],Imput[[C. Imp.]:[C. Imp.]],$D618,Imput[[PERIODO Imp.]:[PERIODO Imp.]],DG$9)</f>
        <v>0</v>
      </c>
      <c r="DH618" s="694">
        <f>SUMIFS(Imput[[Importe Neto]:[Importe Neto]],Imput[[C. Imp.]:[C. Imp.]],$D618,Imput[[PERIODO Imp.]:[PERIODO Imp.]],DH$9)</f>
        <v>0</v>
      </c>
    </row>
    <row r="619" spans="1:112" s="649" customFormat="1" hidden="1" outlineLevel="1" x14ac:dyDescent="0.3">
      <c r="A619" s="652" t="str">
        <f t="shared" si="222"/>
        <v/>
      </c>
      <c r="B619" s="652"/>
      <c r="C619" s="685"/>
      <c r="D619" s="686" t="s">
        <v>2637</v>
      </c>
      <c r="E619" s="686"/>
      <c r="F619" s="720"/>
      <c r="G619" s="688"/>
      <c r="H619" s="689"/>
      <c r="I619" s="851" t="str">
        <f t="shared" si="223"/>
        <v/>
      </c>
      <c r="J619" s="850" t="str">
        <f t="shared" si="224"/>
        <v/>
      </c>
      <c r="K619" s="667"/>
      <c r="L619" s="858"/>
      <c r="M619" s="859"/>
      <c r="N619" s="859"/>
      <c r="O619" s="859"/>
      <c r="P619" s="859"/>
      <c r="Q619" s="859"/>
      <c r="R619" s="859"/>
      <c r="S619" s="859"/>
      <c r="T619" s="859"/>
      <c r="U619" s="859"/>
      <c r="V619" s="859"/>
      <c r="W619" s="859"/>
      <c r="X619" s="859"/>
      <c r="Y619" s="859"/>
      <c r="Z619" s="860"/>
      <c r="AA619" s="860"/>
      <c r="AB619" s="860"/>
      <c r="AC619" s="860"/>
      <c r="AD619" s="860"/>
      <c r="AE619" s="860"/>
      <c r="AF619" s="860"/>
      <c r="AG619" s="860"/>
      <c r="AH619" s="860"/>
      <c r="AI619" s="860"/>
      <c r="AJ619" s="860"/>
      <c r="AK619" s="860"/>
      <c r="AL619" s="860"/>
      <c r="AM619" s="860"/>
      <c r="AN619" s="860"/>
      <c r="AO619" s="860"/>
      <c r="AP619" s="860"/>
      <c r="AQ619" s="860"/>
      <c r="AR619" s="860"/>
      <c r="AS619" s="860"/>
      <c r="AT619" s="860"/>
      <c r="AU619" s="860"/>
      <c r="AV619" s="860"/>
      <c r="AW619" s="860"/>
      <c r="AX619" s="860"/>
      <c r="AY619" s="860"/>
      <c r="AZ619" s="860"/>
      <c r="BA619" s="860"/>
      <c r="BB619" s="860"/>
      <c r="BC619" s="860"/>
      <c r="BD619" s="860"/>
      <c r="BE619" s="860"/>
      <c r="BF619" s="860"/>
      <c r="BG619" s="860"/>
      <c r="BH619" s="668"/>
      <c r="BI619" s="667"/>
      <c r="BJ619" s="690">
        <f t="shared" si="225"/>
        <v>0</v>
      </c>
      <c r="BK619" s="691">
        <f t="shared" si="226"/>
        <v>0</v>
      </c>
      <c r="BL619" s="654"/>
      <c r="BM619" s="692">
        <f>SUMIFS(Imput[[Importe Neto]:[Importe Neto]],Imput[[C. Imp.]:[C. Imp.]],$D619,Imput[[PERIODO Imp.]:[PERIODO Imp.]],BM$9)</f>
        <v>0</v>
      </c>
      <c r="BN619" s="693">
        <f>SUMIFS(Imput[[Importe Neto]:[Importe Neto]],Imput[[C. Imp.]:[C. Imp.]],$D619,Imput[[PERIODO Imp.]:[PERIODO Imp.]],BN$9)</f>
        <v>0</v>
      </c>
      <c r="BO619" s="693">
        <f>SUMIFS(Imput[[Importe Neto]:[Importe Neto]],Imput[[C. Imp.]:[C. Imp.]],$D619,Imput[[PERIODO Imp.]:[PERIODO Imp.]],BO$9)</f>
        <v>0</v>
      </c>
      <c r="BP619" s="693">
        <f>SUMIFS(Imput[[Importe Neto]:[Importe Neto]],Imput[[C. Imp.]:[C. Imp.]],$D619,Imput[[PERIODO Imp.]:[PERIODO Imp.]],BP$9)</f>
        <v>0</v>
      </c>
      <c r="BQ619" s="693">
        <f>SUMIFS(Imput[[Importe Neto]:[Importe Neto]],Imput[[C. Imp.]:[C. Imp.]],$D619,Imput[[PERIODO Imp.]:[PERIODO Imp.]],BQ$9)</f>
        <v>0</v>
      </c>
      <c r="BR619" s="693">
        <f>SUMIFS(Imput[[Importe Neto]:[Importe Neto]],Imput[[C. Imp.]:[C. Imp.]],$D619,Imput[[PERIODO Imp.]:[PERIODO Imp.]],BR$9)</f>
        <v>0</v>
      </c>
      <c r="BS619" s="693">
        <f>SUMIFS(Imput[[Importe Neto]:[Importe Neto]],Imput[[C. Imp.]:[C. Imp.]],$D619,Imput[[PERIODO Imp.]:[PERIODO Imp.]],BS$9)</f>
        <v>0</v>
      </c>
      <c r="BT619" s="693">
        <f>SUMIFS(Imput[[Importe Neto]:[Importe Neto]],Imput[[C. Imp.]:[C. Imp.]],$D619,Imput[[PERIODO Imp.]:[PERIODO Imp.]],BT$9)</f>
        <v>0</v>
      </c>
      <c r="BU619" s="693">
        <f>SUMIFS(Imput[[Importe Neto]:[Importe Neto]],Imput[[C. Imp.]:[C. Imp.]],$D619,Imput[[PERIODO Imp.]:[PERIODO Imp.]],BU$9)</f>
        <v>0</v>
      </c>
      <c r="BV619" s="693">
        <f>SUMIFS(Imput[[Importe Neto]:[Importe Neto]],Imput[[C. Imp.]:[C. Imp.]],$D619,Imput[[PERIODO Imp.]:[PERIODO Imp.]],BV$9)</f>
        <v>0</v>
      </c>
      <c r="BW619" s="693">
        <f>SUMIFS(Imput[[Importe Neto]:[Importe Neto]],Imput[[C. Imp.]:[C. Imp.]],$D619,Imput[[PERIODO Imp.]:[PERIODO Imp.]],BW$9)</f>
        <v>0</v>
      </c>
      <c r="BX619" s="693">
        <f>SUMIFS(Imput[[Importe Neto]:[Importe Neto]],Imput[[C. Imp.]:[C. Imp.]],$D619,Imput[[PERIODO Imp.]:[PERIODO Imp.]],BX$9)</f>
        <v>0</v>
      </c>
      <c r="BY619" s="693">
        <f>SUMIFS(Imput[[Importe Neto]:[Importe Neto]],Imput[[C. Imp.]:[C. Imp.]],$D619,Imput[[PERIODO Imp.]:[PERIODO Imp.]],BY$9)</f>
        <v>0</v>
      </c>
      <c r="BZ619" s="693">
        <f>SUMIFS(Imput[[Importe Neto]:[Importe Neto]],Imput[[C. Imp.]:[C. Imp.]],$D619,Imput[[PERIODO Imp.]:[PERIODO Imp.]],BZ$9)</f>
        <v>0</v>
      </c>
      <c r="CA619" s="693">
        <f>SUMIFS(Imput[[Importe Neto]:[Importe Neto]],Imput[[C. Imp.]:[C. Imp.]],$D619,Imput[[PERIODO Imp.]:[PERIODO Imp.]],CA$9)</f>
        <v>0</v>
      </c>
      <c r="CB619" s="693">
        <f>SUMIFS(Imput[[Importe Neto]:[Importe Neto]],Imput[[C. Imp.]:[C. Imp.]],$D619,Imput[[PERIODO Imp.]:[PERIODO Imp.]],CB$9)</f>
        <v>0</v>
      </c>
      <c r="CC619" s="693">
        <f>SUMIFS(Imput[[Importe Neto]:[Importe Neto]],Imput[[C. Imp.]:[C. Imp.]],$D619,Imput[[PERIODO Imp.]:[PERIODO Imp.]],CC$9)</f>
        <v>0</v>
      </c>
      <c r="CD619" s="693">
        <f>SUMIFS(Imput[[Importe Neto]:[Importe Neto]],Imput[[C. Imp.]:[C. Imp.]],$D619,Imput[[PERIODO Imp.]:[PERIODO Imp.]],CD$9)</f>
        <v>0</v>
      </c>
      <c r="CE619" s="693">
        <f>SUMIFS(Imput[[Importe Neto]:[Importe Neto]],Imput[[C. Imp.]:[C. Imp.]],$D619,Imput[[PERIODO Imp.]:[PERIODO Imp.]],CE$9)</f>
        <v>0</v>
      </c>
      <c r="CF619" s="693">
        <f>SUMIFS(Imput[[Importe Neto]:[Importe Neto]],Imput[[C. Imp.]:[C. Imp.]],$D619,Imput[[PERIODO Imp.]:[PERIODO Imp.]],CF$9)</f>
        <v>0</v>
      </c>
      <c r="CG619" s="693">
        <f>SUMIFS(Imput[[Importe Neto]:[Importe Neto]],Imput[[C. Imp.]:[C. Imp.]],$D619,Imput[[PERIODO Imp.]:[PERIODO Imp.]],CG$9)</f>
        <v>0</v>
      </c>
      <c r="CH619" s="693">
        <f>SUMIFS(Imput[[Importe Neto]:[Importe Neto]],Imput[[C. Imp.]:[C. Imp.]],$D619,Imput[[PERIODO Imp.]:[PERIODO Imp.]],CH$9)</f>
        <v>0</v>
      </c>
      <c r="CI619" s="693">
        <f>SUMIFS(Imput[[Importe Neto]:[Importe Neto]],Imput[[C. Imp.]:[C. Imp.]],$D619,Imput[[PERIODO Imp.]:[PERIODO Imp.]],CI$9)</f>
        <v>0</v>
      </c>
      <c r="CJ619" s="693">
        <f>SUMIFS(Imput[[Importe Neto]:[Importe Neto]],Imput[[C. Imp.]:[C. Imp.]],$D619,Imput[[PERIODO Imp.]:[PERIODO Imp.]],CJ$9)</f>
        <v>0</v>
      </c>
      <c r="CK619" s="693">
        <f>SUMIFS(Imput[[Importe Neto]:[Importe Neto]],Imput[[C. Imp.]:[C. Imp.]],$D619,Imput[[PERIODO Imp.]:[PERIODO Imp.]],CK$9)</f>
        <v>0</v>
      </c>
      <c r="CL619" s="693">
        <f>SUMIFS(Imput[[Importe Neto]:[Importe Neto]],Imput[[C. Imp.]:[C. Imp.]],$D619,Imput[[PERIODO Imp.]:[PERIODO Imp.]],CL$9)</f>
        <v>0</v>
      </c>
      <c r="CM619" s="693">
        <f>SUMIFS(Imput[[Importe Neto]:[Importe Neto]],Imput[[C. Imp.]:[C. Imp.]],$D619,Imput[[PERIODO Imp.]:[PERIODO Imp.]],CM$9)</f>
        <v>0</v>
      </c>
      <c r="CN619" s="693">
        <f>SUMIFS(Imput[[Importe Neto]:[Importe Neto]],Imput[[C. Imp.]:[C. Imp.]],$D619,Imput[[PERIODO Imp.]:[PERIODO Imp.]],CN$9)</f>
        <v>0</v>
      </c>
      <c r="CO619" s="693">
        <f>SUMIFS(Imput[[Importe Neto]:[Importe Neto]],Imput[[C. Imp.]:[C. Imp.]],$D619,Imput[[PERIODO Imp.]:[PERIODO Imp.]],CO$9)</f>
        <v>0</v>
      </c>
      <c r="CP619" s="693">
        <f>SUMIFS(Imput[[Importe Neto]:[Importe Neto]],Imput[[C. Imp.]:[C. Imp.]],$D619,Imput[[PERIODO Imp.]:[PERIODO Imp.]],CP$9)</f>
        <v>0</v>
      </c>
      <c r="CQ619" s="693">
        <f>SUMIFS(Imput[[Importe Neto]:[Importe Neto]],Imput[[C. Imp.]:[C. Imp.]],$D619,Imput[[PERIODO Imp.]:[PERIODO Imp.]],CQ$9)</f>
        <v>0</v>
      </c>
      <c r="CR619" s="693">
        <f>SUMIFS(Imput[[Importe Neto]:[Importe Neto]],Imput[[C. Imp.]:[C. Imp.]],$D619,Imput[[PERIODO Imp.]:[PERIODO Imp.]],CR$9)</f>
        <v>0</v>
      </c>
      <c r="CS619" s="693">
        <f>SUMIFS(Imput[[Importe Neto]:[Importe Neto]],Imput[[C. Imp.]:[C. Imp.]],$D619,Imput[[PERIODO Imp.]:[PERIODO Imp.]],CS$9)</f>
        <v>0</v>
      </c>
      <c r="CT619" s="693">
        <f>SUMIFS(Imput[[Importe Neto]:[Importe Neto]],Imput[[C. Imp.]:[C. Imp.]],$D619,Imput[[PERIODO Imp.]:[PERIODO Imp.]],CT$9)</f>
        <v>0</v>
      </c>
      <c r="CU619" s="693">
        <f>SUMIFS(Imput[[Importe Neto]:[Importe Neto]],Imput[[C. Imp.]:[C. Imp.]],$D619,Imput[[PERIODO Imp.]:[PERIODO Imp.]],CU$9)</f>
        <v>0</v>
      </c>
      <c r="CV619" s="693">
        <f>SUMIFS(Imput[[Importe Neto]:[Importe Neto]],Imput[[C. Imp.]:[C. Imp.]],$D619,Imput[[PERIODO Imp.]:[PERIODO Imp.]],CV$9)</f>
        <v>0</v>
      </c>
      <c r="CW619" s="693">
        <f>SUMIFS(Imput[[Importe Neto]:[Importe Neto]],Imput[[C. Imp.]:[C. Imp.]],$D619,Imput[[PERIODO Imp.]:[PERIODO Imp.]],CW$9)</f>
        <v>0</v>
      </c>
      <c r="CX619" s="693">
        <f>SUMIFS(Imput[[Importe Neto]:[Importe Neto]],Imput[[C. Imp.]:[C. Imp.]],$D619,Imput[[PERIODO Imp.]:[PERIODO Imp.]],CX$9)</f>
        <v>0</v>
      </c>
      <c r="CY619" s="693">
        <f>SUMIFS(Imput[[Importe Neto]:[Importe Neto]],Imput[[C. Imp.]:[C. Imp.]],$D619,Imput[[PERIODO Imp.]:[PERIODO Imp.]],CY$9)</f>
        <v>0</v>
      </c>
      <c r="CZ619" s="693">
        <f>SUMIFS(Imput[[Importe Neto]:[Importe Neto]],Imput[[C. Imp.]:[C. Imp.]],$D619,Imput[[PERIODO Imp.]:[PERIODO Imp.]],CZ$9)</f>
        <v>0</v>
      </c>
      <c r="DA619" s="693">
        <f>SUMIFS(Imput[[Importe Neto]:[Importe Neto]],Imput[[C. Imp.]:[C. Imp.]],$D619,Imput[[PERIODO Imp.]:[PERIODO Imp.]],DA$9)</f>
        <v>0</v>
      </c>
      <c r="DB619" s="693">
        <f>SUMIFS(Imput[[Importe Neto]:[Importe Neto]],Imput[[C. Imp.]:[C. Imp.]],$D619,Imput[[PERIODO Imp.]:[PERIODO Imp.]],DB$9)</f>
        <v>0</v>
      </c>
      <c r="DC619" s="693">
        <f>SUMIFS(Imput[[Importe Neto]:[Importe Neto]],Imput[[C. Imp.]:[C. Imp.]],$D619,Imput[[PERIODO Imp.]:[PERIODO Imp.]],DC$9)</f>
        <v>0</v>
      </c>
      <c r="DD619" s="693">
        <f>SUMIFS(Imput[[Importe Neto]:[Importe Neto]],Imput[[C. Imp.]:[C. Imp.]],$D619,Imput[[PERIODO Imp.]:[PERIODO Imp.]],DD$9)</f>
        <v>0</v>
      </c>
      <c r="DE619" s="693">
        <f>SUMIFS(Imput[[Importe Neto]:[Importe Neto]],Imput[[C. Imp.]:[C. Imp.]],$D619,Imput[[PERIODO Imp.]:[PERIODO Imp.]],DE$9)</f>
        <v>0</v>
      </c>
      <c r="DF619" s="693">
        <f>SUMIFS(Imput[[Importe Neto]:[Importe Neto]],Imput[[C. Imp.]:[C. Imp.]],$D619,Imput[[PERIODO Imp.]:[PERIODO Imp.]],DF$9)</f>
        <v>0</v>
      </c>
      <c r="DG619" s="693">
        <f>SUMIFS(Imput[[Importe Neto]:[Importe Neto]],Imput[[C. Imp.]:[C. Imp.]],$D619,Imput[[PERIODO Imp.]:[PERIODO Imp.]],DG$9)</f>
        <v>0</v>
      </c>
      <c r="DH619" s="694">
        <f>SUMIFS(Imput[[Importe Neto]:[Importe Neto]],Imput[[C. Imp.]:[C. Imp.]],$D619,Imput[[PERIODO Imp.]:[PERIODO Imp.]],DH$9)</f>
        <v>0</v>
      </c>
    </row>
    <row r="620" spans="1:112" s="649" customFormat="1" hidden="1" outlineLevel="1" x14ac:dyDescent="0.3">
      <c r="A620" s="652" t="str">
        <f t="shared" si="222"/>
        <v/>
      </c>
      <c r="B620" s="652"/>
      <c r="C620" s="685"/>
      <c r="D620" s="686" t="s">
        <v>2638</v>
      </c>
      <c r="E620" s="686"/>
      <c r="F620" s="720"/>
      <c r="G620" s="688"/>
      <c r="H620" s="689"/>
      <c r="I620" s="851" t="str">
        <f t="shared" si="223"/>
        <v/>
      </c>
      <c r="J620" s="850" t="str">
        <f t="shared" si="224"/>
        <v/>
      </c>
      <c r="K620" s="667"/>
      <c r="L620" s="858"/>
      <c r="M620" s="859"/>
      <c r="N620" s="859"/>
      <c r="O620" s="859"/>
      <c r="P620" s="859"/>
      <c r="Q620" s="859"/>
      <c r="R620" s="859"/>
      <c r="S620" s="859"/>
      <c r="T620" s="859"/>
      <c r="U620" s="859"/>
      <c r="V620" s="859"/>
      <c r="W620" s="859"/>
      <c r="X620" s="859"/>
      <c r="Y620" s="859"/>
      <c r="Z620" s="860"/>
      <c r="AA620" s="860"/>
      <c r="AB620" s="860"/>
      <c r="AC620" s="860"/>
      <c r="AD620" s="860"/>
      <c r="AE620" s="860"/>
      <c r="AF620" s="860"/>
      <c r="AG620" s="860"/>
      <c r="AH620" s="860"/>
      <c r="AI620" s="860"/>
      <c r="AJ620" s="860"/>
      <c r="AK620" s="860"/>
      <c r="AL620" s="860"/>
      <c r="AM620" s="860"/>
      <c r="AN620" s="860"/>
      <c r="AO620" s="860"/>
      <c r="AP620" s="860"/>
      <c r="AQ620" s="860"/>
      <c r="AR620" s="860"/>
      <c r="AS620" s="860"/>
      <c r="AT620" s="860"/>
      <c r="AU620" s="860"/>
      <c r="AV620" s="860"/>
      <c r="AW620" s="860"/>
      <c r="AX620" s="860"/>
      <c r="AY620" s="860"/>
      <c r="AZ620" s="860"/>
      <c r="BA620" s="860"/>
      <c r="BB620" s="860"/>
      <c r="BC620" s="860"/>
      <c r="BD620" s="860"/>
      <c r="BE620" s="860"/>
      <c r="BF620" s="860"/>
      <c r="BG620" s="860"/>
      <c r="BH620" s="668"/>
      <c r="BI620" s="667"/>
      <c r="BJ620" s="690">
        <f t="shared" si="225"/>
        <v>0</v>
      </c>
      <c r="BK620" s="691">
        <f t="shared" si="226"/>
        <v>0</v>
      </c>
      <c r="BL620" s="654"/>
      <c r="BM620" s="692">
        <f>SUMIFS(Imput[[Importe Neto]:[Importe Neto]],Imput[[C. Imp.]:[C. Imp.]],$D620,Imput[[PERIODO Imp.]:[PERIODO Imp.]],BM$9)</f>
        <v>0</v>
      </c>
      <c r="BN620" s="693">
        <f>SUMIFS(Imput[[Importe Neto]:[Importe Neto]],Imput[[C. Imp.]:[C. Imp.]],$D620,Imput[[PERIODO Imp.]:[PERIODO Imp.]],BN$9)</f>
        <v>0</v>
      </c>
      <c r="BO620" s="693">
        <f>SUMIFS(Imput[[Importe Neto]:[Importe Neto]],Imput[[C. Imp.]:[C. Imp.]],$D620,Imput[[PERIODO Imp.]:[PERIODO Imp.]],BO$9)</f>
        <v>0</v>
      </c>
      <c r="BP620" s="693">
        <f>SUMIFS(Imput[[Importe Neto]:[Importe Neto]],Imput[[C. Imp.]:[C. Imp.]],$D620,Imput[[PERIODO Imp.]:[PERIODO Imp.]],BP$9)</f>
        <v>0</v>
      </c>
      <c r="BQ620" s="693">
        <f>SUMIFS(Imput[[Importe Neto]:[Importe Neto]],Imput[[C. Imp.]:[C. Imp.]],$D620,Imput[[PERIODO Imp.]:[PERIODO Imp.]],BQ$9)</f>
        <v>0</v>
      </c>
      <c r="BR620" s="693">
        <f>SUMIFS(Imput[[Importe Neto]:[Importe Neto]],Imput[[C. Imp.]:[C. Imp.]],$D620,Imput[[PERIODO Imp.]:[PERIODO Imp.]],BR$9)</f>
        <v>0</v>
      </c>
      <c r="BS620" s="693">
        <f>SUMIFS(Imput[[Importe Neto]:[Importe Neto]],Imput[[C. Imp.]:[C. Imp.]],$D620,Imput[[PERIODO Imp.]:[PERIODO Imp.]],BS$9)</f>
        <v>0</v>
      </c>
      <c r="BT620" s="693">
        <f>SUMIFS(Imput[[Importe Neto]:[Importe Neto]],Imput[[C. Imp.]:[C. Imp.]],$D620,Imput[[PERIODO Imp.]:[PERIODO Imp.]],BT$9)</f>
        <v>0</v>
      </c>
      <c r="BU620" s="693">
        <f>SUMIFS(Imput[[Importe Neto]:[Importe Neto]],Imput[[C. Imp.]:[C. Imp.]],$D620,Imput[[PERIODO Imp.]:[PERIODO Imp.]],BU$9)</f>
        <v>0</v>
      </c>
      <c r="BV620" s="693">
        <f>SUMIFS(Imput[[Importe Neto]:[Importe Neto]],Imput[[C. Imp.]:[C. Imp.]],$D620,Imput[[PERIODO Imp.]:[PERIODO Imp.]],BV$9)</f>
        <v>0</v>
      </c>
      <c r="BW620" s="693">
        <f>SUMIFS(Imput[[Importe Neto]:[Importe Neto]],Imput[[C. Imp.]:[C. Imp.]],$D620,Imput[[PERIODO Imp.]:[PERIODO Imp.]],BW$9)</f>
        <v>0</v>
      </c>
      <c r="BX620" s="693">
        <f>SUMIFS(Imput[[Importe Neto]:[Importe Neto]],Imput[[C. Imp.]:[C. Imp.]],$D620,Imput[[PERIODO Imp.]:[PERIODO Imp.]],BX$9)</f>
        <v>0</v>
      </c>
      <c r="BY620" s="693">
        <f>SUMIFS(Imput[[Importe Neto]:[Importe Neto]],Imput[[C. Imp.]:[C. Imp.]],$D620,Imput[[PERIODO Imp.]:[PERIODO Imp.]],BY$9)</f>
        <v>0</v>
      </c>
      <c r="BZ620" s="693">
        <f>SUMIFS(Imput[[Importe Neto]:[Importe Neto]],Imput[[C. Imp.]:[C. Imp.]],$D620,Imput[[PERIODO Imp.]:[PERIODO Imp.]],BZ$9)</f>
        <v>0</v>
      </c>
      <c r="CA620" s="693">
        <f>SUMIFS(Imput[[Importe Neto]:[Importe Neto]],Imput[[C. Imp.]:[C. Imp.]],$D620,Imput[[PERIODO Imp.]:[PERIODO Imp.]],CA$9)</f>
        <v>0</v>
      </c>
      <c r="CB620" s="693">
        <f>SUMIFS(Imput[[Importe Neto]:[Importe Neto]],Imput[[C. Imp.]:[C. Imp.]],$D620,Imput[[PERIODO Imp.]:[PERIODO Imp.]],CB$9)</f>
        <v>0</v>
      </c>
      <c r="CC620" s="693">
        <f>SUMIFS(Imput[[Importe Neto]:[Importe Neto]],Imput[[C. Imp.]:[C. Imp.]],$D620,Imput[[PERIODO Imp.]:[PERIODO Imp.]],CC$9)</f>
        <v>0</v>
      </c>
      <c r="CD620" s="693">
        <f>SUMIFS(Imput[[Importe Neto]:[Importe Neto]],Imput[[C. Imp.]:[C. Imp.]],$D620,Imput[[PERIODO Imp.]:[PERIODO Imp.]],CD$9)</f>
        <v>0</v>
      </c>
      <c r="CE620" s="693">
        <f>SUMIFS(Imput[[Importe Neto]:[Importe Neto]],Imput[[C. Imp.]:[C. Imp.]],$D620,Imput[[PERIODO Imp.]:[PERIODO Imp.]],CE$9)</f>
        <v>0</v>
      </c>
      <c r="CF620" s="693">
        <f>SUMIFS(Imput[[Importe Neto]:[Importe Neto]],Imput[[C. Imp.]:[C. Imp.]],$D620,Imput[[PERIODO Imp.]:[PERIODO Imp.]],CF$9)</f>
        <v>0</v>
      </c>
      <c r="CG620" s="693">
        <f>SUMIFS(Imput[[Importe Neto]:[Importe Neto]],Imput[[C. Imp.]:[C. Imp.]],$D620,Imput[[PERIODO Imp.]:[PERIODO Imp.]],CG$9)</f>
        <v>0</v>
      </c>
      <c r="CH620" s="693">
        <f>SUMIFS(Imput[[Importe Neto]:[Importe Neto]],Imput[[C. Imp.]:[C. Imp.]],$D620,Imput[[PERIODO Imp.]:[PERIODO Imp.]],CH$9)</f>
        <v>0</v>
      </c>
      <c r="CI620" s="693">
        <f>SUMIFS(Imput[[Importe Neto]:[Importe Neto]],Imput[[C. Imp.]:[C. Imp.]],$D620,Imput[[PERIODO Imp.]:[PERIODO Imp.]],CI$9)</f>
        <v>0</v>
      </c>
      <c r="CJ620" s="693">
        <f>SUMIFS(Imput[[Importe Neto]:[Importe Neto]],Imput[[C. Imp.]:[C. Imp.]],$D620,Imput[[PERIODO Imp.]:[PERIODO Imp.]],CJ$9)</f>
        <v>0</v>
      </c>
      <c r="CK620" s="693">
        <f>SUMIFS(Imput[[Importe Neto]:[Importe Neto]],Imput[[C. Imp.]:[C. Imp.]],$D620,Imput[[PERIODO Imp.]:[PERIODO Imp.]],CK$9)</f>
        <v>0</v>
      </c>
      <c r="CL620" s="693">
        <f>SUMIFS(Imput[[Importe Neto]:[Importe Neto]],Imput[[C. Imp.]:[C. Imp.]],$D620,Imput[[PERIODO Imp.]:[PERIODO Imp.]],CL$9)</f>
        <v>0</v>
      </c>
      <c r="CM620" s="693">
        <f>SUMIFS(Imput[[Importe Neto]:[Importe Neto]],Imput[[C. Imp.]:[C. Imp.]],$D620,Imput[[PERIODO Imp.]:[PERIODO Imp.]],CM$9)</f>
        <v>0</v>
      </c>
      <c r="CN620" s="693">
        <f>SUMIFS(Imput[[Importe Neto]:[Importe Neto]],Imput[[C. Imp.]:[C. Imp.]],$D620,Imput[[PERIODO Imp.]:[PERIODO Imp.]],CN$9)</f>
        <v>0</v>
      </c>
      <c r="CO620" s="693">
        <f>SUMIFS(Imput[[Importe Neto]:[Importe Neto]],Imput[[C. Imp.]:[C. Imp.]],$D620,Imput[[PERIODO Imp.]:[PERIODO Imp.]],CO$9)</f>
        <v>0</v>
      </c>
      <c r="CP620" s="693">
        <f>SUMIFS(Imput[[Importe Neto]:[Importe Neto]],Imput[[C. Imp.]:[C. Imp.]],$D620,Imput[[PERIODO Imp.]:[PERIODO Imp.]],CP$9)</f>
        <v>0</v>
      </c>
      <c r="CQ620" s="693">
        <f>SUMIFS(Imput[[Importe Neto]:[Importe Neto]],Imput[[C. Imp.]:[C. Imp.]],$D620,Imput[[PERIODO Imp.]:[PERIODO Imp.]],CQ$9)</f>
        <v>0</v>
      </c>
      <c r="CR620" s="693">
        <f>SUMIFS(Imput[[Importe Neto]:[Importe Neto]],Imput[[C. Imp.]:[C. Imp.]],$D620,Imput[[PERIODO Imp.]:[PERIODO Imp.]],CR$9)</f>
        <v>0</v>
      </c>
      <c r="CS620" s="693">
        <f>SUMIFS(Imput[[Importe Neto]:[Importe Neto]],Imput[[C. Imp.]:[C. Imp.]],$D620,Imput[[PERIODO Imp.]:[PERIODO Imp.]],CS$9)</f>
        <v>0</v>
      </c>
      <c r="CT620" s="693">
        <f>SUMIFS(Imput[[Importe Neto]:[Importe Neto]],Imput[[C. Imp.]:[C. Imp.]],$D620,Imput[[PERIODO Imp.]:[PERIODO Imp.]],CT$9)</f>
        <v>0</v>
      </c>
      <c r="CU620" s="693">
        <f>SUMIFS(Imput[[Importe Neto]:[Importe Neto]],Imput[[C. Imp.]:[C. Imp.]],$D620,Imput[[PERIODO Imp.]:[PERIODO Imp.]],CU$9)</f>
        <v>0</v>
      </c>
      <c r="CV620" s="693">
        <f>SUMIFS(Imput[[Importe Neto]:[Importe Neto]],Imput[[C. Imp.]:[C. Imp.]],$D620,Imput[[PERIODO Imp.]:[PERIODO Imp.]],CV$9)</f>
        <v>0</v>
      </c>
      <c r="CW620" s="693">
        <f>SUMIFS(Imput[[Importe Neto]:[Importe Neto]],Imput[[C. Imp.]:[C. Imp.]],$D620,Imput[[PERIODO Imp.]:[PERIODO Imp.]],CW$9)</f>
        <v>0</v>
      </c>
      <c r="CX620" s="693">
        <f>SUMIFS(Imput[[Importe Neto]:[Importe Neto]],Imput[[C. Imp.]:[C. Imp.]],$D620,Imput[[PERIODO Imp.]:[PERIODO Imp.]],CX$9)</f>
        <v>0</v>
      </c>
      <c r="CY620" s="693">
        <f>SUMIFS(Imput[[Importe Neto]:[Importe Neto]],Imput[[C. Imp.]:[C. Imp.]],$D620,Imput[[PERIODO Imp.]:[PERIODO Imp.]],CY$9)</f>
        <v>0</v>
      </c>
      <c r="CZ620" s="693">
        <f>SUMIFS(Imput[[Importe Neto]:[Importe Neto]],Imput[[C. Imp.]:[C. Imp.]],$D620,Imput[[PERIODO Imp.]:[PERIODO Imp.]],CZ$9)</f>
        <v>0</v>
      </c>
      <c r="DA620" s="693">
        <f>SUMIFS(Imput[[Importe Neto]:[Importe Neto]],Imput[[C. Imp.]:[C. Imp.]],$D620,Imput[[PERIODO Imp.]:[PERIODO Imp.]],DA$9)</f>
        <v>0</v>
      </c>
      <c r="DB620" s="693">
        <f>SUMIFS(Imput[[Importe Neto]:[Importe Neto]],Imput[[C. Imp.]:[C. Imp.]],$D620,Imput[[PERIODO Imp.]:[PERIODO Imp.]],DB$9)</f>
        <v>0</v>
      </c>
      <c r="DC620" s="693">
        <f>SUMIFS(Imput[[Importe Neto]:[Importe Neto]],Imput[[C. Imp.]:[C. Imp.]],$D620,Imput[[PERIODO Imp.]:[PERIODO Imp.]],DC$9)</f>
        <v>0</v>
      </c>
      <c r="DD620" s="693">
        <f>SUMIFS(Imput[[Importe Neto]:[Importe Neto]],Imput[[C. Imp.]:[C. Imp.]],$D620,Imput[[PERIODO Imp.]:[PERIODO Imp.]],DD$9)</f>
        <v>0</v>
      </c>
      <c r="DE620" s="693">
        <f>SUMIFS(Imput[[Importe Neto]:[Importe Neto]],Imput[[C. Imp.]:[C. Imp.]],$D620,Imput[[PERIODO Imp.]:[PERIODO Imp.]],DE$9)</f>
        <v>0</v>
      </c>
      <c r="DF620" s="693">
        <f>SUMIFS(Imput[[Importe Neto]:[Importe Neto]],Imput[[C. Imp.]:[C. Imp.]],$D620,Imput[[PERIODO Imp.]:[PERIODO Imp.]],DF$9)</f>
        <v>0</v>
      </c>
      <c r="DG620" s="693">
        <f>SUMIFS(Imput[[Importe Neto]:[Importe Neto]],Imput[[C. Imp.]:[C. Imp.]],$D620,Imput[[PERIODO Imp.]:[PERIODO Imp.]],DG$9)</f>
        <v>0</v>
      </c>
      <c r="DH620" s="694">
        <f>SUMIFS(Imput[[Importe Neto]:[Importe Neto]],Imput[[C. Imp.]:[C. Imp.]],$D620,Imput[[PERIODO Imp.]:[PERIODO Imp.]],DH$9)</f>
        <v>0</v>
      </c>
    </row>
    <row r="621" spans="1:112" s="649" customFormat="1" hidden="1" outlineLevel="1" x14ac:dyDescent="0.3">
      <c r="A621" s="652" t="str">
        <f t="shared" si="222"/>
        <v/>
      </c>
      <c r="B621" s="652"/>
      <c r="C621" s="685"/>
      <c r="D621" s="686" t="s">
        <v>2639</v>
      </c>
      <c r="E621" s="686"/>
      <c r="F621" s="720"/>
      <c r="G621" s="688"/>
      <c r="H621" s="689"/>
      <c r="I621" s="851" t="str">
        <f t="shared" si="223"/>
        <v/>
      </c>
      <c r="J621" s="850" t="str">
        <f t="shared" si="224"/>
        <v/>
      </c>
      <c r="K621" s="667"/>
      <c r="L621" s="858"/>
      <c r="M621" s="859"/>
      <c r="N621" s="859"/>
      <c r="O621" s="859"/>
      <c r="P621" s="859"/>
      <c r="Q621" s="859"/>
      <c r="R621" s="859"/>
      <c r="S621" s="859"/>
      <c r="T621" s="859"/>
      <c r="U621" s="859"/>
      <c r="V621" s="859"/>
      <c r="W621" s="859"/>
      <c r="X621" s="859"/>
      <c r="Y621" s="859"/>
      <c r="Z621" s="860"/>
      <c r="AA621" s="860"/>
      <c r="AB621" s="860"/>
      <c r="AC621" s="860"/>
      <c r="AD621" s="860"/>
      <c r="AE621" s="860"/>
      <c r="AF621" s="860"/>
      <c r="AG621" s="860"/>
      <c r="AH621" s="860"/>
      <c r="AI621" s="860"/>
      <c r="AJ621" s="860"/>
      <c r="AK621" s="860"/>
      <c r="AL621" s="860"/>
      <c r="AM621" s="860"/>
      <c r="AN621" s="860"/>
      <c r="AO621" s="860"/>
      <c r="AP621" s="860"/>
      <c r="AQ621" s="860"/>
      <c r="AR621" s="860"/>
      <c r="AS621" s="860"/>
      <c r="AT621" s="860"/>
      <c r="AU621" s="860"/>
      <c r="AV621" s="860"/>
      <c r="AW621" s="860"/>
      <c r="AX621" s="860"/>
      <c r="AY621" s="860"/>
      <c r="AZ621" s="860"/>
      <c r="BA621" s="860"/>
      <c r="BB621" s="860"/>
      <c r="BC621" s="860"/>
      <c r="BD621" s="860"/>
      <c r="BE621" s="860"/>
      <c r="BF621" s="860"/>
      <c r="BG621" s="860"/>
      <c r="BH621" s="668"/>
      <c r="BI621" s="667"/>
      <c r="BJ621" s="690">
        <f t="shared" si="225"/>
        <v>0</v>
      </c>
      <c r="BK621" s="691">
        <f t="shared" si="226"/>
        <v>0</v>
      </c>
      <c r="BL621" s="654"/>
      <c r="BM621" s="692">
        <f>SUMIFS(Imput[[Importe Neto]:[Importe Neto]],Imput[[C. Imp.]:[C. Imp.]],$D621,Imput[[PERIODO Imp.]:[PERIODO Imp.]],BM$9)</f>
        <v>0</v>
      </c>
      <c r="BN621" s="693">
        <f>SUMIFS(Imput[[Importe Neto]:[Importe Neto]],Imput[[C. Imp.]:[C. Imp.]],$D621,Imput[[PERIODO Imp.]:[PERIODO Imp.]],BN$9)</f>
        <v>0</v>
      </c>
      <c r="BO621" s="693">
        <f>SUMIFS(Imput[[Importe Neto]:[Importe Neto]],Imput[[C. Imp.]:[C. Imp.]],$D621,Imput[[PERIODO Imp.]:[PERIODO Imp.]],BO$9)</f>
        <v>0</v>
      </c>
      <c r="BP621" s="693">
        <f>SUMIFS(Imput[[Importe Neto]:[Importe Neto]],Imput[[C. Imp.]:[C. Imp.]],$D621,Imput[[PERIODO Imp.]:[PERIODO Imp.]],BP$9)</f>
        <v>0</v>
      </c>
      <c r="BQ621" s="693">
        <f>SUMIFS(Imput[[Importe Neto]:[Importe Neto]],Imput[[C. Imp.]:[C. Imp.]],$D621,Imput[[PERIODO Imp.]:[PERIODO Imp.]],BQ$9)</f>
        <v>0</v>
      </c>
      <c r="BR621" s="693">
        <f>SUMIFS(Imput[[Importe Neto]:[Importe Neto]],Imput[[C. Imp.]:[C. Imp.]],$D621,Imput[[PERIODO Imp.]:[PERIODO Imp.]],BR$9)</f>
        <v>0</v>
      </c>
      <c r="BS621" s="693">
        <f>SUMIFS(Imput[[Importe Neto]:[Importe Neto]],Imput[[C. Imp.]:[C. Imp.]],$D621,Imput[[PERIODO Imp.]:[PERIODO Imp.]],BS$9)</f>
        <v>0</v>
      </c>
      <c r="BT621" s="693">
        <f>SUMIFS(Imput[[Importe Neto]:[Importe Neto]],Imput[[C. Imp.]:[C. Imp.]],$D621,Imput[[PERIODO Imp.]:[PERIODO Imp.]],BT$9)</f>
        <v>0</v>
      </c>
      <c r="BU621" s="693">
        <f>SUMIFS(Imput[[Importe Neto]:[Importe Neto]],Imput[[C. Imp.]:[C. Imp.]],$D621,Imput[[PERIODO Imp.]:[PERIODO Imp.]],BU$9)</f>
        <v>0</v>
      </c>
      <c r="BV621" s="693">
        <f>SUMIFS(Imput[[Importe Neto]:[Importe Neto]],Imput[[C. Imp.]:[C. Imp.]],$D621,Imput[[PERIODO Imp.]:[PERIODO Imp.]],BV$9)</f>
        <v>0</v>
      </c>
      <c r="BW621" s="693">
        <f>SUMIFS(Imput[[Importe Neto]:[Importe Neto]],Imput[[C. Imp.]:[C. Imp.]],$D621,Imput[[PERIODO Imp.]:[PERIODO Imp.]],BW$9)</f>
        <v>0</v>
      </c>
      <c r="BX621" s="693">
        <f>SUMIFS(Imput[[Importe Neto]:[Importe Neto]],Imput[[C. Imp.]:[C. Imp.]],$D621,Imput[[PERIODO Imp.]:[PERIODO Imp.]],BX$9)</f>
        <v>0</v>
      </c>
      <c r="BY621" s="693">
        <f>SUMIFS(Imput[[Importe Neto]:[Importe Neto]],Imput[[C. Imp.]:[C. Imp.]],$D621,Imput[[PERIODO Imp.]:[PERIODO Imp.]],BY$9)</f>
        <v>0</v>
      </c>
      <c r="BZ621" s="693">
        <f>SUMIFS(Imput[[Importe Neto]:[Importe Neto]],Imput[[C. Imp.]:[C. Imp.]],$D621,Imput[[PERIODO Imp.]:[PERIODO Imp.]],BZ$9)</f>
        <v>0</v>
      </c>
      <c r="CA621" s="693">
        <f>SUMIFS(Imput[[Importe Neto]:[Importe Neto]],Imput[[C. Imp.]:[C. Imp.]],$D621,Imput[[PERIODO Imp.]:[PERIODO Imp.]],CA$9)</f>
        <v>0</v>
      </c>
      <c r="CB621" s="693">
        <f>SUMIFS(Imput[[Importe Neto]:[Importe Neto]],Imput[[C. Imp.]:[C. Imp.]],$D621,Imput[[PERIODO Imp.]:[PERIODO Imp.]],CB$9)</f>
        <v>0</v>
      </c>
      <c r="CC621" s="693">
        <f>SUMIFS(Imput[[Importe Neto]:[Importe Neto]],Imput[[C. Imp.]:[C. Imp.]],$D621,Imput[[PERIODO Imp.]:[PERIODO Imp.]],CC$9)</f>
        <v>0</v>
      </c>
      <c r="CD621" s="693">
        <f>SUMIFS(Imput[[Importe Neto]:[Importe Neto]],Imput[[C. Imp.]:[C. Imp.]],$D621,Imput[[PERIODO Imp.]:[PERIODO Imp.]],CD$9)</f>
        <v>0</v>
      </c>
      <c r="CE621" s="693">
        <f>SUMIFS(Imput[[Importe Neto]:[Importe Neto]],Imput[[C. Imp.]:[C. Imp.]],$D621,Imput[[PERIODO Imp.]:[PERIODO Imp.]],CE$9)</f>
        <v>0</v>
      </c>
      <c r="CF621" s="693">
        <f>SUMIFS(Imput[[Importe Neto]:[Importe Neto]],Imput[[C. Imp.]:[C. Imp.]],$D621,Imput[[PERIODO Imp.]:[PERIODO Imp.]],CF$9)</f>
        <v>0</v>
      </c>
      <c r="CG621" s="693">
        <f>SUMIFS(Imput[[Importe Neto]:[Importe Neto]],Imput[[C. Imp.]:[C. Imp.]],$D621,Imput[[PERIODO Imp.]:[PERIODO Imp.]],CG$9)</f>
        <v>0</v>
      </c>
      <c r="CH621" s="693">
        <f>SUMIFS(Imput[[Importe Neto]:[Importe Neto]],Imput[[C. Imp.]:[C. Imp.]],$D621,Imput[[PERIODO Imp.]:[PERIODO Imp.]],CH$9)</f>
        <v>0</v>
      </c>
      <c r="CI621" s="693">
        <f>SUMIFS(Imput[[Importe Neto]:[Importe Neto]],Imput[[C. Imp.]:[C. Imp.]],$D621,Imput[[PERIODO Imp.]:[PERIODO Imp.]],CI$9)</f>
        <v>0</v>
      </c>
      <c r="CJ621" s="693">
        <f>SUMIFS(Imput[[Importe Neto]:[Importe Neto]],Imput[[C. Imp.]:[C. Imp.]],$D621,Imput[[PERIODO Imp.]:[PERIODO Imp.]],CJ$9)</f>
        <v>0</v>
      </c>
      <c r="CK621" s="693">
        <f>SUMIFS(Imput[[Importe Neto]:[Importe Neto]],Imput[[C. Imp.]:[C. Imp.]],$D621,Imput[[PERIODO Imp.]:[PERIODO Imp.]],CK$9)</f>
        <v>0</v>
      </c>
      <c r="CL621" s="693">
        <f>SUMIFS(Imput[[Importe Neto]:[Importe Neto]],Imput[[C. Imp.]:[C. Imp.]],$D621,Imput[[PERIODO Imp.]:[PERIODO Imp.]],CL$9)</f>
        <v>0</v>
      </c>
      <c r="CM621" s="693">
        <f>SUMIFS(Imput[[Importe Neto]:[Importe Neto]],Imput[[C. Imp.]:[C. Imp.]],$D621,Imput[[PERIODO Imp.]:[PERIODO Imp.]],CM$9)</f>
        <v>0</v>
      </c>
      <c r="CN621" s="693">
        <f>SUMIFS(Imput[[Importe Neto]:[Importe Neto]],Imput[[C. Imp.]:[C. Imp.]],$D621,Imput[[PERIODO Imp.]:[PERIODO Imp.]],CN$9)</f>
        <v>0</v>
      </c>
      <c r="CO621" s="693">
        <f>SUMIFS(Imput[[Importe Neto]:[Importe Neto]],Imput[[C. Imp.]:[C. Imp.]],$D621,Imput[[PERIODO Imp.]:[PERIODO Imp.]],CO$9)</f>
        <v>0</v>
      </c>
      <c r="CP621" s="693">
        <f>SUMIFS(Imput[[Importe Neto]:[Importe Neto]],Imput[[C. Imp.]:[C. Imp.]],$D621,Imput[[PERIODO Imp.]:[PERIODO Imp.]],CP$9)</f>
        <v>0</v>
      </c>
      <c r="CQ621" s="693">
        <f>SUMIFS(Imput[[Importe Neto]:[Importe Neto]],Imput[[C. Imp.]:[C. Imp.]],$D621,Imput[[PERIODO Imp.]:[PERIODO Imp.]],CQ$9)</f>
        <v>0</v>
      </c>
      <c r="CR621" s="693">
        <f>SUMIFS(Imput[[Importe Neto]:[Importe Neto]],Imput[[C. Imp.]:[C. Imp.]],$D621,Imput[[PERIODO Imp.]:[PERIODO Imp.]],CR$9)</f>
        <v>0</v>
      </c>
      <c r="CS621" s="693">
        <f>SUMIFS(Imput[[Importe Neto]:[Importe Neto]],Imput[[C. Imp.]:[C. Imp.]],$D621,Imput[[PERIODO Imp.]:[PERIODO Imp.]],CS$9)</f>
        <v>0</v>
      </c>
      <c r="CT621" s="693">
        <f>SUMIFS(Imput[[Importe Neto]:[Importe Neto]],Imput[[C. Imp.]:[C. Imp.]],$D621,Imput[[PERIODO Imp.]:[PERIODO Imp.]],CT$9)</f>
        <v>0</v>
      </c>
      <c r="CU621" s="693">
        <f>SUMIFS(Imput[[Importe Neto]:[Importe Neto]],Imput[[C. Imp.]:[C. Imp.]],$D621,Imput[[PERIODO Imp.]:[PERIODO Imp.]],CU$9)</f>
        <v>0</v>
      </c>
      <c r="CV621" s="693">
        <f>SUMIFS(Imput[[Importe Neto]:[Importe Neto]],Imput[[C. Imp.]:[C. Imp.]],$D621,Imput[[PERIODO Imp.]:[PERIODO Imp.]],CV$9)</f>
        <v>0</v>
      </c>
      <c r="CW621" s="693">
        <f>SUMIFS(Imput[[Importe Neto]:[Importe Neto]],Imput[[C. Imp.]:[C. Imp.]],$D621,Imput[[PERIODO Imp.]:[PERIODO Imp.]],CW$9)</f>
        <v>0</v>
      </c>
      <c r="CX621" s="693">
        <f>SUMIFS(Imput[[Importe Neto]:[Importe Neto]],Imput[[C. Imp.]:[C. Imp.]],$D621,Imput[[PERIODO Imp.]:[PERIODO Imp.]],CX$9)</f>
        <v>0</v>
      </c>
      <c r="CY621" s="693">
        <f>SUMIFS(Imput[[Importe Neto]:[Importe Neto]],Imput[[C. Imp.]:[C. Imp.]],$D621,Imput[[PERIODO Imp.]:[PERIODO Imp.]],CY$9)</f>
        <v>0</v>
      </c>
      <c r="CZ621" s="693">
        <f>SUMIFS(Imput[[Importe Neto]:[Importe Neto]],Imput[[C. Imp.]:[C. Imp.]],$D621,Imput[[PERIODO Imp.]:[PERIODO Imp.]],CZ$9)</f>
        <v>0</v>
      </c>
      <c r="DA621" s="693">
        <f>SUMIFS(Imput[[Importe Neto]:[Importe Neto]],Imput[[C. Imp.]:[C. Imp.]],$D621,Imput[[PERIODO Imp.]:[PERIODO Imp.]],DA$9)</f>
        <v>0</v>
      </c>
      <c r="DB621" s="693">
        <f>SUMIFS(Imput[[Importe Neto]:[Importe Neto]],Imput[[C. Imp.]:[C. Imp.]],$D621,Imput[[PERIODO Imp.]:[PERIODO Imp.]],DB$9)</f>
        <v>0</v>
      </c>
      <c r="DC621" s="693">
        <f>SUMIFS(Imput[[Importe Neto]:[Importe Neto]],Imput[[C. Imp.]:[C. Imp.]],$D621,Imput[[PERIODO Imp.]:[PERIODO Imp.]],DC$9)</f>
        <v>0</v>
      </c>
      <c r="DD621" s="693">
        <f>SUMIFS(Imput[[Importe Neto]:[Importe Neto]],Imput[[C. Imp.]:[C. Imp.]],$D621,Imput[[PERIODO Imp.]:[PERIODO Imp.]],DD$9)</f>
        <v>0</v>
      </c>
      <c r="DE621" s="693">
        <f>SUMIFS(Imput[[Importe Neto]:[Importe Neto]],Imput[[C. Imp.]:[C. Imp.]],$D621,Imput[[PERIODO Imp.]:[PERIODO Imp.]],DE$9)</f>
        <v>0</v>
      </c>
      <c r="DF621" s="693">
        <f>SUMIFS(Imput[[Importe Neto]:[Importe Neto]],Imput[[C. Imp.]:[C. Imp.]],$D621,Imput[[PERIODO Imp.]:[PERIODO Imp.]],DF$9)</f>
        <v>0</v>
      </c>
      <c r="DG621" s="693">
        <f>SUMIFS(Imput[[Importe Neto]:[Importe Neto]],Imput[[C. Imp.]:[C. Imp.]],$D621,Imput[[PERIODO Imp.]:[PERIODO Imp.]],DG$9)</f>
        <v>0</v>
      </c>
      <c r="DH621" s="694">
        <f>SUMIFS(Imput[[Importe Neto]:[Importe Neto]],Imput[[C. Imp.]:[C. Imp.]],$D621,Imput[[PERIODO Imp.]:[PERIODO Imp.]],DH$9)</f>
        <v>0</v>
      </c>
    </row>
    <row r="622" spans="1:112" s="649" customFormat="1" hidden="1" outlineLevel="1" x14ac:dyDescent="0.3">
      <c r="A622" s="652" t="str">
        <f t="shared" si="222"/>
        <v/>
      </c>
      <c r="B622" s="652"/>
      <c r="C622" s="685"/>
      <c r="D622" s="686" t="s">
        <v>2640</v>
      </c>
      <c r="E622" s="686"/>
      <c r="F622" s="720"/>
      <c r="G622" s="688"/>
      <c r="H622" s="689"/>
      <c r="I622" s="851" t="str">
        <f t="shared" si="223"/>
        <v/>
      </c>
      <c r="J622" s="850" t="str">
        <f t="shared" si="224"/>
        <v/>
      </c>
      <c r="K622" s="667"/>
      <c r="L622" s="858"/>
      <c r="M622" s="859"/>
      <c r="N622" s="859"/>
      <c r="O622" s="859"/>
      <c r="P622" s="859"/>
      <c r="Q622" s="859"/>
      <c r="R622" s="859"/>
      <c r="S622" s="859"/>
      <c r="T622" s="859"/>
      <c r="U622" s="859"/>
      <c r="V622" s="859"/>
      <c r="W622" s="859"/>
      <c r="X622" s="859"/>
      <c r="Y622" s="859"/>
      <c r="Z622" s="860"/>
      <c r="AA622" s="860"/>
      <c r="AB622" s="860"/>
      <c r="AC622" s="860"/>
      <c r="AD622" s="860"/>
      <c r="AE622" s="860"/>
      <c r="AF622" s="860"/>
      <c r="AG622" s="860"/>
      <c r="AH622" s="860"/>
      <c r="AI622" s="860"/>
      <c r="AJ622" s="860"/>
      <c r="AK622" s="860"/>
      <c r="AL622" s="860"/>
      <c r="AM622" s="860"/>
      <c r="AN622" s="860"/>
      <c r="AO622" s="860"/>
      <c r="AP622" s="860"/>
      <c r="AQ622" s="860"/>
      <c r="AR622" s="860"/>
      <c r="AS622" s="860"/>
      <c r="AT622" s="860"/>
      <c r="AU622" s="860"/>
      <c r="AV622" s="860"/>
      <c r="AW622" s="860"/>
      <c r="AX622" s="860"/>
      <c r="AY622" s="860"/>
      <c r="AZ622" s="860"/>
      <c r="BA622" s="860"/>
      <c r="BB622" s="860"/>
      <c r="BC622" s="860"/>
      <c r="BD622" s="860"/>
      <c r="BE622" s="860"/>
      <c r="BF622" s="860"/>
      <c r="BG622" s="860"/>
      <c r="BH622" s="668"/>
      <c r="BI622" s="667"/>
      <c r="BJ622" s="690">
        <f t="shared" si="225"/>
        <v>0</v>
      </c>
      <c r="BK622" s="691">
        <f t="shared" si="226"/>
        <v>0</v>
      </c>
      <c r="BL622" s="654"/>
      <c r="BM622" s="692">
        <f>SUMIFS(Imput[[Importe Neto]:[Importe Neto]],Imput[[C. Imp.]:[C. Imp.]],$D622,Imput[[PERIODO Imp.]:[PERIODO Imp.]],BM$9)</f>
        <v>0</v>
      </c>
      <c r="BN622" s="693">
        <f>SUMIFS(Imput[[Importe Neto]:[Importe Neto]],Imput[[C. Imp.]:[C. Imp.]],$D622,Imput[[PERIODO Imp.]:[PERIODO Imp.]],BN$9)</f>
        <v>0</v>
      </c>
      <c r="BO622" s="693">
        <f>SUMIFS(Imput[[Importe Neto]:[Importe Neto]],Imput[[C. Imp.]:[C. Imp.]],$D622,Imput[[PERIODO Imp.]:[PERIODO Imp.]],BO$9)</f>
        <v>0</v>
      </c>
      <c r="BP622" s="693">
        <f>SUMIFS(Imput[[Importe Neto]:[Importe Neto]],Imput[[C. Imp.]:[C. Imp.]],$D622,Imput[[PERIODO Imp.]:[PERIODO Imp.]],BP$9)</f>
        <v>0</v>
      </c>
      <c r="BQ622" s="693">
        <f>SUMIFS(Imput[[Importe Neto]:[Importe Neto]],Imput[[C. Imp.]:[C. Imp.]],$D622,Imput[[PERIODO Imp.]:[PERIODO Imp.]],BQ$9)</f>
        <v>0</v>
      </c>
      <c r="BR622" s="693">
        <f>SUMIFS(Imput[[Importe Neto]:[Importe Neto]],Imput[[C. Imp.]:[C. Imp.]],$D622,Imput[[PERIODO Imp.]:[PERIODO Imp.]],BR$9)</f>
        <v>0</v>
      </c>
      <c r="BS622" s="693">
        <f>SUMIFS(Imput[[Importe Neto]:[Importe Neto]],Imput[[C. Imp.]:[C. Imp.]],$D622,Imput[[PERIODO Imp.]:[PERIODO Imp.]],BS$9)</f>
        <v>0</v>
      </c>
      <c r="BT622" s="693">
        <f>SUMIFS(Imput[[Importe Neto]:[Importe Neto]],Imput[[C. Imp.]:[C. Imp.]],$D622,Imput[[PERIODO Imp.]:[PERIODO Imp.]],BT$9)</f>
        <v>0</v>
      </c>
      <c r="BU622" s="693">
        <f>SUMIFS(Imput[[Importe Neto]:[Importe Neto]],Imput[[C. Imp.]:[C. Imp.]],$D622,Imput[[PERIODO Imp.]:[PERIODO Imp.]],BU$9)</f>
        <v>0</v>
      </c>
      <c r="BV622" s="693">
        <f>SUMIFS(Imput[[Importe Neto]:[Importe Neto]],Imput[[C. Imp.]:[C. Imp.]],$D622,Imput[[PERIODO Imp.]:[PERIODO Imp.]],BV$9)</f>
        <v>0</v>
      </c>
      <c r="BW622" s="693">
        <f>SUMIFS(Imput[[Importe Neto]:[Importe Neto]],Imput[[C. Imp.]:[C. Imp.]],$D622,Imput[[PERIODO Imp.]:[PERIODO Imp.]],BW$9)</f>
        <v>0</v>
      </c>
      <c r="BX622" s="693">
        <f>SUMIFS(Imput[[Importe Neto]:[Importe Neto]],Imput[[C. Imp.]:[C. Imp.]],$D622,Imput[[PERIODO Imp.]:[PERIODO Imp.]],BX$9)</f>
        <v>0</v>
      </c>
      <c r="BY622" s="693">
        <f>SUMIFS(Imput[[Importe Neto]:[Importe Neto]],Imput[[C. Imp.]:[C. Imp.]],$D622,Imput[[PERIODO Imp.]:[PERIODO Imp.]],BY$9)</f>
        <v>0</v>
      </c>
      <c r="BZ622" s="693">
        <f>SUMIFS(Imput[[Importe Neto]:[Importe Neto]],Imput[[C. Imp.]:[C. Imp.]],$D622,Imput[[PERIODO Imp.]:[PERIODO Imp.]],BZ$9)</f>
        <v>0</v>
      </c>
      <c r="CA622" s="693">
        <f>SUMIFS(Imput[[Importe Neto]:[Importe Neto]],Imput[[C. Imp.]:[C. Imp.]],$D622,Imput[[PERIODO Imp.]:[PERIODO Imp.]],CA$9)</f>
        <v>0</v>
      </c>
      <c r="CB622" s="693">
        <f>SUMIFS(Imput[[Importe Neto]:[Importe Neto]],Imput[[C. Imp.]:[C. Imp.]],$D622,Imput[[PERIODO Imp.]:[PERIODO Imp.]],CB$9)</f>
        <v>0</v>
      </c>
      <c r="CC622" s="693">
        <f>SUMIFS(Imput[[Importe Neto]:[Importe Neto]],Imput[[C. Imp.]:[C. Imp.]],$D622,Imput[[PERIODO Imp.]:[PERIODO Imp.]],CC$9)</f>
        <v>0</v>
      </c>
      <c r="CD622" s="693">
        <f>SUMIFS(Imput[[Importe Neto]:[Importe Neto]],Imput[[C. Imp.]:[C. Imp.]],$D622,Imput[[PERIODO Imp.]:[PERIODO Imp.]],CD$9)</f>
        <v>0</v>
      </c>
      <c r="CE622" s="693">
        <f>SUMIFS(Imput[[Importe Neto]:[Importe Neto]],Imput[[C. Imp.]:[C. Imp.]],$D622,Imput[[PERIODO Imp.]:[PERIODO Imp.]],CE$9)</f>
        <v>0</v>
      </c>
      <c r="CF622" s="693">
        <f>SUMIFS(Imput[[Importe Neto]:[Importe Neto]],Imput[[C. Imp.]:[C. Imp.]],$D622,Imput[[PERIODO Imp.]:[PERIODO Imp.]],CF$9)</f>
        <v>0</v>
      </c>
      <c r="CG622" s="693">
        <f>SUMIFS(Imput[[Importe Neto]:[Importe Neto]],Imput[[C. Imp.]:[C. Imp.]],$D622,Imput[[PERIODO Imp.]:[PERIODO Imp.]],CG$9)</f>
        <v>0</v>
      </c>
      <c r="CH622" s="693">
        <f>SUMIFS(Imput[[Importe Neto]:[Importe Neto]],Imput[[C. Imp.]:[C. Imp.]],$D622,Imput[[PERIODO Imp.]:[PERIODO Imp.]],CH$9)</f>
        <v>0</v>
      </c>
      <c r="CI622" s="693">
        <f>SUMIFS(Imput[[Importe Neto]:[Importe Neto]],Imput[[C. Imp.]:[C. Imp.]],$D622,Imput[[PERIODO Imp.]:[PERIODO Imp.]],CI$9)</f>
        <v>0</v>
      </c>
      <c r="CJ622" s="693">
        <f>SUMIFS(Imput[[Importe Neto]:[Importe Neto]],Imput[[C. Imp.]:[C. Imp.]],$D622,Imput[[PERIODO Imp.]:[PERIODO Imp.]],CJ$9)</f>
        <v>0</v>
      </c>
      <c r="CK622" s="693">
        <f>SUMIFS(Imput[[Importe Neto]:[Importe Neto]],Imput[[C. Imp.]:[C. Imp.]],$D622,Imput[[PERIODO Imp.]:[PERIODO Imp.]],CK$9)</f>
        <v>0</v>
      </c>
      <c r="CL622" s="693">
        <f>SUMIFS(Imput[[Importe Neto]:[Importe Neto]],Imput[[C. Imp.]:[C. Imp.]],$D622,Imput[[PERIODO Imp.]:[PERIODO Imp.]],CL$9)</f>
        <v>0</v>
      </c>
      <c r="CM622" s="693">
        <f>SUMIFS(Imput[[Importe Neto]:[Importe Neto]],Imput[[C. Imp.]:[C. Imp.]],$D622,Imput[[PERIODO Imp.]:[PERIODO Imp.]],CM$9)</f>
        <v>0</v>
      </c>
      <c r="CN622" s="693">
        <f>SUMIFS(Imput[[Importe Neto]:[Importe Neto]],Imput[[C. Imp.]:[C. Imp.]],$D622,Imput[[PERIODO Imp.]:[PERIODO Imp.]],CN$9)</f>
        <v>0</v>
      </c>
      <c r="CO622" s="693">
        <f>SUMIFS(Imput[[Importe Neto]:[Importe Neto]],Imput[[C. Imp.]:[C. Imp.]],$D622,Imput[[PERIODO Imp.]:[PERIODO Imp.]],CO$9)</f>
        <v>0</v>
      </c>
      <c r="CP622" s="693">
        <f>SUMIFS(Imput[[Importe Neto]:[Importe Neto]],Imput[[C. Imp.]:[C. Imp.]],$D622,Imput[[PERIODO Imp.]:[PERIODO Imp.]],CP$9)</f>
        <v>0</v>
      </c>
      <c r="CQ622" s="693">
        <f>SUMIFS(Imput[[Importe Neto]:[Importe Neto]],Imput[[C. Imp.]:[C. Imp.]],$D622,Imput[[PERIODO Imp.]:[PERIODO Imp.]],CQ$9)</f>
        <v>0</v>
      </c>
      <c r="CR622" s="693">
        <f>SUMIFS(Imput[[Importe Neto]:[Importe Neto]],Imput[[C. Imp.]:[C. Imp.]],$D622,Imput[[PERIODO Imp.]:[PERIODO Imp.]],CR$9)</f>
        <v>0</v>
      </c>
      <c r="CS622" s="693">
        <f>SUMIFS(Imput[[Importe Neto]:[Importe Neto]],Imput[[C. Imp.]:[C. Imp.]],$D622,Imput[[PERIODO Imp.]:[PERIODO Imp.]],CS$9)</f>
        <v>0</v>
      </c>
      <c r="CT622" s="693">
        <f>SUMIFS(Imput[[Importe Neto]:[Importe Neto]],Imput[[C. Imp.]:[C. Imp.]],$D622,Imput[[PERIODO Imp.]:[PERIODO Imp.]],CT$9)</f>
        <v>0</v>
      </c>
      <c r="CU622" s="693">
        <f>SUMIFS(Imput[[Importe Neto]:[Importe Neto]],Imput[[C. Imp.]:[C. Imp.]],$D622,Imput[[PERIODO Imp.]:[PERIODO Imp.]],CU$9)</f>
        <v>0</v>
      </c>
      <c r="CV622" s="693">
        <f>SUMIFS(Imput[[Importe Neto]:[Importe Neto]],Imput[[C. Imp.]:[C. Imp.]],$D622,Imput[[PERIODO Imp.]:[PERIODO Imp.]],CV$9)</f>
        <v>0</v>
      </c>
      <c r="CW622" s="693">
        <f>SUMIFS(Imput[[Importe Neto]:[Importe Neto]],Imput[[C. Imp.]:[C. Imp.]],$D622,Imput[[PERIODO Imp.]:[PERIODO Imp.]],CW$9)</f>
        <v>0</v>
      </c>
      <c r="CX622" s="693">
        <f>SUMIFS(Imput[[Importe Neto]:[Importe Neto]],Imput[[C. Imp.]:[C. Imp.]],$D622,Imput[[PERIODO Imp.]:[PERIODO Imp.]],CX$9)</f>
        <v>0</v>
      </c>
      <c r="CY622" s="693">
        <f>SUMIFS(Imput[[Importe Neto]:[Importe Neto]],Imput[[C. Imp.]:[C. Imp.]],$D622,Imput[[PERIODO Imp.]:[PERIODO Imp.]],CY$9)</f>
        <v>0</v>
      </c>
      <c r="CZ622" s="693">
        <f>SUMIFS(Imput[[Importe Neto]:[Importe Neto]],Imput[[C. Imp.]:[C. Imp.]],$D622,Imput[[PERIODO Imp.]:[PERIODO Imp.]],CZ$9)</f>
        <v>0</v>
      </c>
      <c r="DA622" s="693">
        <f>SUMIFS(Imput[[Importe Neto]:[Importe Neto]],Imput[[C. Imp.]:[C. Imp.]],$D622,Imput[[PERIODO Imp.]:[PERIODO Imp.]],DA$9)</f>
        <v>0</v>
      </c>
      <c r="DB622" s="693">
        <f>SUMIFS(Imput[[Importe Neto]:[Importe Neto]],Imput[[C. Imp.]:[C. Imp.]],$D622,Imput[[PERIODO Imp.]:[PERIODO Imp.]],DB$9)</f>
        <v>0</v>
      </c>
      <c r="DC622" s="693">
        <f>SUMIFS(Imput[[Importe Neto]:[Importe Neto]],Imput[[C. Imp.]:[C. Imp.]],$D622,Imput[[PERIODO Imp.]:[PERIODO Imp.]],DC$9)</f>
        <v>0</v>
      </c>
      <c r="DD622" s="693">
        <f>SUMIFS(Imput[[Importe Neto]:[Importe Neto]],Imput[[C. Imp.]:[C. Imp.]],$D622,Imput[[PERIODO Imp.]:[PERIODO Imp.]],DD$9)</f>
        <v>0</v>
      </c>
      <c r="DE622" s="693">
        <f>SUMIFS(Imput[[Importe Neto]:[Importe Neto]],Imput[[C. Imp.]:[C. Imp.]],$D622,Imput[[PERIODO Imp.]:[PERIODO Imp.]],DE$9)</f>
        <v>0</v>
      </c>
      <c r="DF622" s="693">
        <f>SUMIFS(Imput[[Importe Neto]:[Importe Neto]],Imput[[C. Imp.]:[C. Imp.]],$D622,Imput[[PERIODO Imp.]:[PERIODO Imp.]],DF$9)</f>
        <v>0</v>
      </c>
      <c r="DG622" s="693">
        <f>SUMIFS(Imput[[Importe Neto]:[Importe Neto]],Imput[[C. Imp.]:[C. Imp.]],$D622,Imput[[PERIODO Imp.]:[PERIODO Imp.]],DG$9)</f>
        <v>0</v>
      </c>
      <c r="DH622" s="694">
        <f>SUMIFS(Imput[[Importe Neto]:[Importe Neto]],Imput[[C. Imp.]:[C. Imp.]],$D622,Imput[[PERIODO Imp.]:[PERIODO Imp.]],DH$9)</f>
        <v>0</v>
      </c>
    </row>
    <row r="623" spans="1:112" s="649" customFormat="1" hidden="1" outlineLevel="1" x14ac:dyDescent="0.3">
      <c r="A623" s="652" t="str">
        <f t="shared" si="222"/>
        <v/>
      </c>
      <c r="B623" s="652"/>
      <c r="C623" s="685"/>
      <c r="D623" s="686" t="s">
        <v>2641</v>
      </c>
      <c r="E623" s="686"/>
      <c r="F623" s="720"/>
      <c r="G623" s="688"/>
      <c r="H623" s="689"/>
      <c r="I623" s="851" t="str">
        <f t="shared" si="223"/>
        <v/>
      </c>
      <c r="J623" s="850" t="str">
        <f t="shared" si="224"/>
        <v/>
      </c>
      <c r="K623" s="667"/>
      <c r="L623" s="858"/>
      <c r="M623" s="859"/>
      <c r="N623" s="859"/>
      <c r="O623" s="859"/>
      <c r="P623" s="859"/>
      <c r="Q623" s="859"/>
      <c r="R623" s="859"/>
      <c r="S623" s="859"/>
      <c r="T623" s="859"/>
      <c r="U623" s="859"/>
      <c r="V623" s="859"/>
      <c r="W623" s="859"/>
      <c r="X623" s="859"/>
      <c r="Y623" s="859"/>
      <c r="Z623" s="860"/>
      <c r="AA623" s="860"/>
      <c r="AB623" s="860"/>
      <c r="AC623" s="860"/>
      <c r="AD623" s="860"/>
      <c r="AE623" s="860"/>
      <c r="AF623" s="860"/>
      <c r="AG623" s="860"/>
      <c r="AH623" s="860"/>
      <c r="AI623" s="860"/>
      <c r="AJ623" s="860"/>
      <c r="AK623" s="860"/>
      <c r="AL623" s="860"/>
      <c r="AM623" s="860"/>
      <c r="AN623" s="860"/>
      <c r="AO623" s="860"/>
      <c r="AP623" s="860"/>
      <c r="AQ623" s="860"/>
      <c r="AR623" s="860"/>
      <c r="AS623" s="860"/>
      <c r="AT623" s="860"/>
      <c r="AU623" s="860"/>
      <c r="AV623" s="860"/>
      <c r="AW623" s="860"/>
      <c r="AX623" s="860"/>
      <c r="AY623" s="860"/>
      <c r="AZ623" s="860"/>
      <c r="BA623" s="860"/>
      <c r="BB623" s="860"/>
      <c r="BC623" s="860"/>
      <c r="BD623" s="860"/>
      <c r="BE623" s="860"/>
      <c r="BF623" s="860"/>
      <c r="BG623" s="860"/>
      <c r="BH623" s="668"/>
      <c r="BI623" s="667"/>
      <c r="BJ623" s="690">
        <f t="shared" si="225"/>
        <v>0</v>
      </c>
      <c r="BK623" s="691">
        <f t="shared" si="226"/>
        <v>0</v>
      </c>
      <c r="BL623" s="654"/>
      <c r="BM623" s="692">
        <f>SUMIFS(Imput[[Importe Neto]:[Importe Neto]],Imput[[C. Imp.]:[C. Imp.]],$D623,Imput[[PERIODO Imp.]:[PERIODO Imp.]],BM$9)</f>
        <v>0</v>
      </c>
      <c r="BN623" s="693">
        <f>SUMIFS(Imput[[Importe Neto]:[Importe Neto]],Imput[[C. Imp.]:[C. Imp.]],$D623,Imput[[PERIODO Imp.]:[PERIODO Imp.]],BN$9)</f>
        <v>0</v>
      </c>
      <c r="BO623" s="693">
        <f>SUMIFS(Imput[[Importe Neto]:[Importe Neto]],Imput[[C. Imp.]:[C. Imp.]],$D623,Imput[[PERIODO Imp.]:[PERIODO Imp.]],BO$9)</f>
        <v>0</v>
      </c>
      <c r="BP623" s="693">
        <f>SUMIFS(Imput[[Importe Neto]:[Importe Neto]],Imput[[C. Imp.]:[C. Imp.]],$D623,Imput[[PERIODO Imp.]:[PERIODO Imp.]],BP$9)</f>
        <v>0</v>
      </c>
      <c r="BQ623" s="693">
        <f>SUMIFS(Imput[[Importe Neto]:[Importe Neto]],Imput[[C. Imp.]:[C. Imp.]],$D623,Imput[[PERIODO Imp.]:[PERIODO Imp.]],BQ$9)</f>
        <v>0</v>
      </c>
      <c r="BR623" s="693">
        <f>SUMIFS(Imput[[Importe Neto]:[Importe Neto]],Imput[[C. Imp.]:[C. Imp.]],$D623,Imput[[PERIODO Imp.]:[PERIODO Imp.]],BR$9)</f>
        <v>0</v>
      </c>
      <c r="BS623" s="693">
        <f>SUMIFS(Imput[[Importe Neto]:[Importe Neto]],Imput[[C. Imp.]:[C. Imp.]],$D623,Imput[[PERIODO Imp.]:[PERIODO Imp.]],BS$9)</f>
        <v>0</v>
      </c>
      <c r="BT623" s="693">
        <f>SUMIFS(Imput[[Importe Neto]:[Importe Neto]],Imput[[C. Imp.]:[C. Imp.]],$D623,Imput[[PERIODO Imp.]:[PERIODO Imp.]],BT$9)</f>
        <v>0</v>
      </c>
      <c r="BU623" s="693">
        <f>SUMIFS(Imput[[Importe Neto]:[Importe Neto]],Imput[[C. Imp.]:[C. Imp.]],$D623,Imput[[PERIODO Imp.]:[PERIODO Imp.]],BU$9)</f>
        <v>0</v>
      </c>
      <c r="BV623" s="693">
        <f>SUMIFS(Imput[[Importe Neto]:[Importe Neto]],Imput[[C. Imp.]:[C. Imp.]],$D623,Imput[[PERIODO Imp.]:[PERIODO Imp.]],BV$9)</f>
        <v>0</v>
      </c>
      <c r="BW623" s="693">
        <f>SUMIFS(Imput[[Importe Neto]:[Importe Neto]],Imput[[C. Imp.]:[C. Imp.]],$D623,Imput[[PERIODO Imp.]:[PERIODO Imp.]],BW$9)</f>
        <v>0</v>
      </c>
      <c r="BX623" s="693">
        <f>SUMIFS(Imput[[Importe Neto]:[Importe Neto]],Imput[[C. Imp.]:[C. Imp.]],$D623,Imput[[PERIODO Imp.]:[PERIODO Imp.]],BX$9)</f>
        <v>0</v>
      </c>
      <c r="BY623" s="693">
        <f>SUMIFS(Imput[[Importe Neto]:[Importe Neto]],Imput[[C. Imp.]:[C. Imp.]],$D623,Imput[[PERIODO Imp.]:[PERIODO Imp.]],BY$9)</f>
        <v>0</v>
      </c>
      <c r="BZ623" s="693">
        <f>SUMIFS(Imput[[Importe Neto]:[Importe Neto]],Imput[[C. Imp.]:[C. Imp.]],$D623,Imput[[PERIODO Imp.]:[PERIODO Imp.]],BZ$9)</f>
        <v>0</v>
      </c>
      <c r="CA623" s="693">
        <f>SUMIFS(Imput[[Importe Neto]:[Importe Neto]],Imput[[C. Imp.]:[C. Imp.]],$D623,Imput[[PERIODO Imp.]:[PERIODO Imp.]],CA$9)</f>
        <v>0</v>
      </c>
      <c r="CB623" s="693">
        <f>SUMIFS(Imput[[Importe Neto]:[Importe Neto]],Imput[[C. Imp.]:[C. Imp.]],$D623,Imput[[PERIODO Imp.]:[PERIODO Imp.]],CB$9)</f>
        <v>0</v>
      </c>
      <c r="CC623" s="693">
        <f>SUMIFS(Imput[[Importe Neto]:[Importe Neto]],Imput[[C. Imp.]:[C. Imp.]],$D623,Imput[[PERIODO Imp.]:[PERIODO Imp.]],CC$9)</f>
        <v>0</v>
      </c>
      <c r="CD623" s="693">
        <f>SUMIFS(Imput[[Importe Neto]:[Importe Neto]],Imput[[C. Imp.]:[C. Imp.]],$D623,Imput[[PERIODO Imp.]:[PERIODO Imp.]],CD$9)</f>
        <v>0</v>
      </c>
      <c r="CE623" s="693">
        <f>SUMIFS(Imput[[Importe Neto]:[Importe Neto]],Imput[[C. Imp.]:[C. Imp.]],$D623,Imput[[PERIODO Imp.]:[PERIODO Imp.]],CE$9)</f>
        <v>0</v>
      </c>
      <c r="CF623" s="693">
        <f>SUMIFS(Imput[[Importe Neto]:[Importe Neto]],Imput[[C. Imp.]:[C. Imp.]],$D623,Imput[[PERIODO Imp.]:[PERIODO Imp.]],CF$9)</f>
        <v>0</v>
      </c>
      <c r="CG623" s="693">
        <f>SUMIFS(Imput[[Importe Neto]:[Importe Neto]],Imput[[C. Imp.]:[C. Imp.]],$D623,Imput[[PERIODO Imp.]:[PERIODO Imp.]],CG$9)</f>
        <v>0</v>
      </c>
      <c r="CH623" s="693">
        <f>SUMIFS(Imput[[Importe Neto]:[Importe Neto]],Imput[[C. Imp.]:[C. Imp.]],$D623,Imput[[PERIODO Imp.]:[PERIODO Imp.]],CH$9)</f>
        <v>0</v>
      </c>
      <c r="CI623" s="693">
        <f>SUMIFS(Imput[[Importe Neto]:[Importe Neto]],Imput[[C. Imp.]:[C. Imp.]],$D623,Imput[[PERIODO Imp.]:[PERIODO Imp.]],CI$9)</f>
        <v>0</v>
      </c>
      <c r="CJ623" s="693">
        <f>SUMIFS(Imput[[Importe Neto]:[Importe Neto]],Imput[[C. Imp.]:[C. Imp.]],$D623,Imput[[PERIODO Imp.]:[PERIODO Imp.]],CJ$9)</f>
        <v>0</v>
      </c>
      <c r="CK623" s="693">
        <f>SUMIFS(Imput[[Importe Neto]:[Importe Neto]],Imput[[C. Imp.]:[C. Imp.]],$D623,Imput[[PERIODO Imp.]:[PERIODO Imp.]],CK$9)</f>
        <v>0</v>
      </c>
      <c r="CL623" s="693">
        <f>SUMIFS(Imput[[Importe Neto]:[Importe Neto]],Imput[[C. Imp.]:[C. Imp.]],$D623,Imput[[PERIODO Imp.]:[PERIODO Imp.]],CL$9)</f>
        <v>0</v>
      </c>
      <c r="CM623" s="693">
        <f>SUMIFS(Imput[[Importe Neto]:[Importe Neto]],Imput[[C. Imp.]:[C. Imp.]],$D623,Imput[[PERIODO Imp.]:[PERIODO Imp.]],CM$9)</f>
        <v>0</v>
      </c>
      <c r="CN623" s="693">
        <f>SUMIFS(Imput[[Importe Neto]:[Importe Neto]],Imput[[C. Imp.]:[C. Imp.]],$D623,Imput[[PERIODO Imp.]:[PERIODO Imp.]],CN$9)</f>
        <v>0</v>
      </c>
      <c r="CO623" s="693">
        <f>SUMIFS(Imput[[Importe Neto]:[Importe Neto]],Imput[[C. Imp.]:[C. Imp.]],$D623,Imput[[PERIODO Imp.]:[PERIODO Imp.]],CO$9)</f>
        <v>0</v>
      </c>
      <c r="CP623" s="693">
        <f>SUMIFS(Imput[[Importe Neto]:[Importe Neto]],Imput[[C. Imp.]:[C. Imp.]],$D623,Imput[[PERIODO Imp.]:[PERIODO Imp.]],CP$9)</f>
        <v>0</v>
      </c>
      <c r="CQ623" s="693">
        <f>SUMIFS(Imput[[Importe Neto]:[Importe Neto]],Imput[[C. Imp.]:[C. Imp.]],$D623,Imput[[PERIODO Imp.]:[PERIODO Imp.]],CQ$9)</f>
        <v>0</v>
      </c>
      <c r="CR623" s="693">
        <f>SUMIFS(Imput[[Importe Neto]:[Importe Neto]],Imput[[C. Imp.]:[C. Imp.]],$D623,Imput[[PERIODO Imp.]:[PERIODO Imp.]],CR$9)</f>
        <v>0</v>
      </c>
      <c r="CS623" s="693">
        <f>SUMIFS(Imput[[Importe Neto]:[Importe Neto]],Imput[[C. Imp.]:[C. Imp.]],$D623,Imput[[PERIODO Imp.]:[PERIODO Imp.]],CS$9)</f>
        <v>0</v>
      </c>
      <c r="CT623" s="693">
        <f>SUMIFS(Imput[[Importe Neto]:[Importe Neto]],Imput[[C. Imp.]:[C. Imp.]],$D623,Imput[[PERIODO Imp.]:[PERIODO Imp.]],CT$9)</f>
        <v>0</v>
      </c>
      <c r="CU623" s="693">
        <f>SUMIFS(Imput[[Importe Neto]:[Importe Neto]],Imput[[C. Imp.]:[C. Imp.]],$D623,Imput[[PERIODO Imp.]:[PERIODO Imp.]],CU$9)</f>
        <v>0</v>
      </c>
      <c r="CV623" s="693">
        <f>SUMIFS(Imput[[Importe Neto]:[Importe Neto]],Imput[[C. Imp.]:[C. Imp.]],$D623,Imput[[PERIODO Imp.]:[PERIODO Imp.]],CV$9)</f>
        <v>0</v>
      </c>
      <c r="CW623" s="693">
        <f>SUMIFS(Imput[[Importe Neto]:[Importe Neto]],Imput[[C. Imp.]:[C. Imp.]],$D623,Imput[[PERIODO Imp.]:[PERIODO Imp.]],CW$9)</f>
        <v>0</v>
      </c>
      <c r="CX623" s="693">
        <f>SUMIFS(Imput[[Importe Neto]:[Importe Neto]],Imput[[C. Imp.]:[C. Imp.]],$D623,Imput[[PERIODO Imp.]:[PERIODO Imp.]],CX$9)</f>
        <v>0</v>
      </c>
      <c r="CY623" s="693">
        <f>SUMIFS(Imput[[Importe Neto]:[Importe Neto]],Imput[[C. Imp.]:[C. Imp.]],$D623,Imput[[PERIODO Imp.]:[PERIODO Imp.]],CY$9)</f>
        <v>0</v>
      </c>
      <c r="CZ623" s="693">
        <f>SUMIFS(Imput[[Importe Neto]:[Importe Neto]],Imput[[C. Imp.]:[C. Imp.]],$D623,Imput[[PERIODO Imp.]:[PERIODO Imp.]],CZ$9)</f>
        <v>0</v>
      </c>
      <c r="DA623" s="693">
        <f>SUMIFS(Imput[[Importe Neto]:[Importe Neto]],Imput[[C. Imp.]:[C. Imp.]],$D623,Imput[[PERIODO Imp.]:[PERIODO Imp.]],DA$9)</f>
        <v>0</v>
      </c>
      <c r="DB623" s="693">
        <f>SUMIFS(Imput[[Importe Neto]:[Importe Neto]],Imput[[C. Imp.]:[C. Imp.]],$D623,Imput[[PERIODO Imp.]:[PERIODO Imp.]],DB$9)</f>
        <v>0</v>
      </c>
      <c r="DC623" s="693">
        <f>SUMIFS(Imput[[Importe Neto]:[Importe Neto]],Imput[[C. Imp.]:[C. Imp.]],$D623,Imput[[PERIODO Imp.]:[PERIODO Imp.]],DC$9)</f>
        <v>0</v>
      </c>
      <c r="DD623" s="693">
        <f>SUMIFS(Imput[[Importe Neto]:[Importe Neto]],Imput[[C. Imp.]:[C. Imp.]],$D623,Imput[[PERIODO Imp.]:[PERIODO Imp.]],DD$9)</f>
        <v>0</v>
      </c>
      <c r="DE623" s="693">
        <f>SUMIFS(Imput[[Importe Neto]:[Importe Neto]],Imput[[C. Imp.]:[C. Imp.]],$D623,Imput[[PERIODO Imp.]:[PERIODO Imp.]],DE$9)</f>
        <v>0</v>
      </c>
      <c r="DF623" s="693">
        <f>SUMIFS(Imput[[Importe Neto]:[Importe Neto]],Imput[[C. Imp.]:[C. Imp.]],$D623,Imput[[PERIODO Imp.]:[PERIODO Imp.]],DF$9)</f>
        <v>0</v>
      </c>
      <c r="DG623" s="693">
        <f>SUMIFS(Imput[[Importe Neto]:[Importe Neto]],Imput[[C. Imp.]:[C. Imp.]],$D623,Imput[[PERIODO Imp.]:[PERIODO Imp.]],DG$9)</f>
        <v>0</v>
      </c>
      <c r="DH623" s="694">
        <f>SUMIFS(Imput[[Importe Neto]:[Importe Neto]],Imput[[C. Imp.]:[C. Imp.]],$D623,Imput[[PERIODO Imp.]:[PERIODO Imp.]],DH$9)</f>
        <v>0</v>
      </c>
    </row>
    <row r="624" spans="1:112" s="649" customFormat="1" hidden="1" outlineLevel="1" x14ac:dyDescent="0.3">
      <c r="A624" s="652" t="str">
        <f t="shared" si="222"/>
        <v/>
      </c>
      <c r="B624" s="652"/>
      <c r="C624" s="685"/>
      <c r="D624" s="686" t="s">
        <v>2642</v>
      </c>
      <c r="E624" s="686"/>
      <c r="F624" s="720"/>
      <c r="G624" s="688"/>
      <c r="H624" s="689"/>
      <c r="I624" s="851" t="str">
        <f t="shared" si="223"/>
        <v/>
      </c>
      <c r="J624" s="850" t="str">
        <f t="shared" si="224"/>
        <v/>
      </c>
      <c r="K624" s="667"/>
      <c r="L624" s="858"/>
      <c r="M624" s="859"/>
      <c r="N624" s="859"/>
      <c r="O624" s="859"/>
      <c r="P624" s="859"/>
      <c r="Q624" s="859"/>
      <c r="R624" s="859"/>
      <c r="S624" s="859"/>
      <c r="T624" s="859"/>
      <c r="U624" s="859"/>
      <c r="V624" s="859"/>
      <c r="W624" s="859"/>
      <c r="X624" s="859"/>
      <c r="Y624" s="859"/>
      <c r="Z624" s="860"/>
      <c r="AA624" s="860"/>
      <c r="AB624" s="860"/>
      <c r="AC624" s="860"/>
      <c r="AD624" s="860"/>
      <c r="AE624" s="860"/>
      <c r="AF624" s="860"/>
      <c r="AG624" s="860"/>
      <c r="AH624" s="860"/>
      <c r="AI624" s="860"/>
      <c r="AJ624" s="860"/>
      <c r="AK624" s="860"/>
      <c r="AL624" s="860"/>
      <c r="AM624" s="860"/>
      <c r="AN624" s="860"/>
      <c r="AO624" s="860"/>
      <c r="AP624" s="860"/>
      <c r="AQ624" s="860"/>
      <c r="AR624" s="860"/>
      <c r="AS624" s="860"/>
      <c r="AT624" s="860"/>
      <c r="AU624" s="860"/>
      <c r="AV624" s="860"/>
      <c r="AW624" s="860"/>
      <c r="AX624" s="860"/>
      <c r="AY624" s="860"/>
      <c r="AZ624" s="860"/>
      <c r="BA624" s="860"/>
      <c r="BB624" s="860"/>
      <c r="BC624" s="860"/>
      <c r="BD624" s="860"/>
      <c r="BE624" s="860"/>
      <c r="BF624" s="860"/>
      <c r="BG624" s="860"/>
      <c r="BH624" s="668"/>
      <c r="BI624" s="667"/>
      <c r="BJ624" s="690">
        <f t="shared" si="225"/>
        <v>0</v>
      </c>
      <c r="BK624" s="691">
        <f t="shared" si="226"/>
        <v>0</v>
      </c>
      <c r="BL624" s="654"/>
      <c r="BM624" s="692">
        <f>SUMIFS(Imput[[Importe Neto]:[Importe Neto]],Imput[[C. Imp.]:[C. Imp.]],$D624,Imput[[PERIODO Imp.]:[PERIODO Imp.]],BM$9)</f>
        <v>0</v>
      </c>
      <c r="BN624" s="693">
        <f>SUMIFS(Imput[[Importe Neto]:[Importe Neto]],Imput[[C. Imp.]:[C. Imp.]],$D624,Imput[[PERIODO Imp.]:[PERIODO Imp.]],BN$9)</f>
        <v>0</v>
      </c>
      <c r="BO624" s="693">
        <f>SUMIFS(Imput[[Importe Neto]:[Importe Neto]],Imput[[C. Imp.]:[C. Imp.]],$D624,Imput[[PERIODO Imp.]:[PERIODO Imp.]],BO$9)</f>
        <v>0</v>
      </c>
      <c r="BP624" s="693">
        <f>SUMIFS(Imput[[Importe Neto]:[Importe Neto]],Imput[[C. Imp.]:[C. Imp.]],$D624,Imput[[PERIODO Imp.]:[PERIODO Imp.]],BP$9)</f>
        <v>0</v>
      </c>
      <c r="BQ624" s="693">
        <f>SUMIFS(Imput[[Importe Neto]:[Importe Neto]],Imput[[C. Imp.]:[C. Imp.]],$D624,Imput[[PERIODO Imp.]:[PERIODO Imp.]],BQ$9)</f>
        <v>0</v>
      </c>
      <c r="BR624" s="693">
        <f>SUMIFS(Imput[[Importe Neto]:[Importe Neto]],Imput[[C. Imp.]:[C. Imp.]],$D624,Imput[[PERIODO Imp.]:[PERIODO Imp.]],BR$9)</f>
        <v>0</v>
      </c>
      <c r="BS624" s="693">
        <f>SUMIFS(Imput[[Importe Neto]:[Importe Neto]],Imput[[C. Imp.]:[C. Imp.]],$D624,Imput[[PERIODO Imp.]:[PERIODO Imp.]],BS$9)</f>
        <v>0</v>
      </c>
      <c r="BT624" s="693">
        <f>SUMIFS(Imput[[Importe Neto]:[Importe Neto]],Imput[[C. Imp.]:[C. Imp.]],$D624,Imput[[PERIODO Imp.]:[PERIODO Imp.]],BT$9)</f>
        <v>0</v>
      </c>
      <c r="BU624" s="693">
        <f>SUMIFS(Imput[[Importe Neto]:[Importe Neto]],Imput[[C. Imp.]:[C. Imp.]],$D624,Imput[[PERIODO Imp.]:[PERIODO Imp.]],BU$9)</f>
        <v>0</v>
      </c>
      <c r="BV624" s="693">
        <f>SUMIFS(Imput[[Importe Neto]:[Importe Neto]],Imput[[C. Imp.]:[C. Imp.]],$D624,Imput[[PERIODO Imp.]:[PERIODO Imp.]],BV$9)</f>
        <v>0</v>
      </c>
      <c r="BW624" s="693">
        <f>SUMIFS(Imput[[Importe Neto]:[Importe Neto]],Imput[[C. Imp.]:[C. Imp.]],$D624,Imput[[PERIODO Imp.]:[PERIODO Imp.]],BW$9)</f>
        <v>0</v>
      </c>
      <c r="BX624" s="693">
        <f>SUMIFS(Imput[[Importe Neto]:[Importe Neto]],Imput[[C. Imp.]:[C. Imp.]],$D624,Imput[[PERIODO Imp.]:[PERIODO Imp.]],BX$9)</f>
        <v>0</v>
      </c>
      <c r="BY624" s="693">
        <f>SUMIFS(Imput[[Importe Neto]:[Importe Neto]],Imput[[C. Imp.]:[C. Imp.]],$D624,Imput[[PERIODO Imp.]:[PERIODO Imp.]],BY$9)</f>
        <v>0</v>
      </c>
      <c r="BZ624" s="693">
        <f>SUMIFS(Imput[[Importe Neto]:[Importe Neto]],Imput[[C. Imp.]:[C. Imp.]],$D624,Imput[[PERIODO Imp.]:[PERIODO Imp.]],BZ$9)</f>
        <v>0</v>
      </c>
      <c r="CA624" s="693">
        <f>SUMIFS(Imput[[Importe Neto]:[Importe Neto]],Imput[[C. Imp.]:[C. Imp.]],$D624,Imput[[PERIODO Imp.]:[PERIODO Imp.]],CA$9)</f>
        <v>0</v>
      </c>
      <c r="CB624" s="693">
        <f>SUMIFS(Imput[[Importe Neto]:[Importe Neto]],Imput[[C. Imp.]:[C. Imp.]],$D624,Imput[[PERIODO Imp.]:[PERIODO Imp.]],CB$9)</f>
        <v>0</v>
      </c>
      <c r="CC624" s="693">
        <f>SUMIFS(Imput[[Importe Neto]:[Importe Neto]],Imput[[C. Imp.]:[C. Imp.]],$D624,Imput[[PERIODO Imp.]:[PERIODO Imp.]],CC$9)</f>
        <v>0</v>
      </c>
      <c r="CD624" s="693">
        <f>SUMIFS(Imput[[Importe Neto]:[Importe Neto]],Imput[[C. Imp.]:[C. Imp.]],$D624,Imput[[PERIODO Imp.]:[PERIODO Imp.]],CD$9)</f>
        <v>0</v>
      </c>
      <c r="CE624" s="693">
        <f>SUMIFS(Imput[[Importe Neto]:[Importe Neto]],Imput[[C. Imp.]:[C. Imp.]],$D624,Imput[[PERIODO Imp.]:[PERIODO Imp.]],CE$9)</f>
        <v>0</v>
      </c>
      <c r="CF624" s="693">
        <f>SUMIFS(Imput[[Importe Neto]:[Importe Neto]],Imput[[C. Imp.]:[C. Imp.]],$D624,Imput[[PERIODO Imp.]:[PERIODO Imp.]],CF$9)</f>
        <v>0</v>
      </c>
      <c r="CG624" s="693">
        <f>SUMIFS(Imput[[Importe Neto]:[Importe Neto]],Imput[[C. Imp.]:[C. Imp.]],$D624,Imput[[PERIODO Imp.]:[PERIODO Imp.]],CG$9)</f>
        <v>0</v>
      </c>
      <c r="CH624" s="693">
        <f>SUMIFS(Imput[[Importe Neto]:[Importe Neto]],Imput[[C. Imp.]:[C. Imp.]],$D624,Imput[[PERIODO Imp.]:[PERIODO Imp.]],CH$9)</f>
        <v>0</v>
      </c>
      <c r="CI624" s="693">
        <f>SUMIFS(Imput[[Importe Neto]:[Importe Neto]],Imput[[C. Imp.]:[C. Imp.]],$D624,Imput[[PERIODO Imp.]:[PERIODO Imp.]],CI$9)</f>
        <v>0</v>
      </c>
      <c r="CJ624" s="693">
        <f>SUMIFS(Imput[[Importe Neto]:[Importe Neto]],Imput[[C. Imp.]:[C. Imp.]],$D624,Imput[[PERIODO Imp.]:[PERIODO Imp.]],CJ$9)</f>
        <v>0</v>
      </c>
      <c r="CK624" s="693">
        <f>SUMIFS(Imput[[Importe Neto]:[Importe Neto]],Imput[[C. Imp.]:[C. Imp.]],$D624,Imput[[PERIODO Imp.]:[PERIODO Imp.]],CK$9)</f>
        <v>0</v>
      </c>
      <c r="CL624" s="693">
        <f>SUMIFS(Imput[[Importe Neto]:[Importe Neto]],Imput[[C. Imp.]:[C. Imp.]],$D624,Imput[[PERIODO Imp.]:[PERIODO Imp.]],CL$9)</f>
        <v>0</v>
      </c>
      <c r="CM624" s="693">
        <f>SUMIFS(Imput[[Importe Neto]:[Importe Neto]],Imput[[C. Imp.]:[C. Imp.]],$D624,Imput[[PERIODO Imp.]:[PERIODO Imp.]],CM$9)</f>
        <v>0</v>
      </c>
      <c r="CN624" s="693">
        <f>SUMIFS(Imput[[Importe Neto]:[Importe Neto]],Imput[[C. Imp.]:[C. Imp.]],$D624,Imput[[PERIODO Imp.]:[PERIODO Imp.]],CN$9)</f>
        <v>0</v>
      </c>
      <c r="CO624" s="693">
        <f>SUMIFS(Imput[[Importe Neto]:[Importe Neto]],Imput[[C. Imp.]:[C. Imp.]],$D624,Imput[[PERIODO Imp.]:[PERIODO Imp.]],CO$9)</f>
        <v>0</v>
      </c>
      <c r="CP624" s="693">
        <f>SUMIFS(Imput[[Importe Neto]:[Importe Neto]],Imput[[C. Imp.]:[C. Imp.]],$D624,Imput[[PERIODO Imp.]:[PERIODO Imp.]],CP$9)</f>
        <v>0</v>
      </c>
      <c r="CQ624" s="693">
        <f>SUMIFS(Imput[[Importe Neto]:[Importe Neto]],Imput[[C. Imp.]:[C. Imp.]],$D624,Imput[[PERIODO Imp.]:[PERIODO Imp.]],CQ$9)</f>
        <v>0</v>
      </c>
      <c r="CR624" s="693">
        <f>SUMIFS(Imput[[Importe Neto]:[Importe Neto]],Imput[[C. Imp.]:[C. Imp.]],$D624,Imput[[PERIODO Imp.]:[PERIODO Imp.]],CR$9)</f>
        <v>0</v>
      </c>
      <c r="CS624" s="693">
        <f>SUMIFS(Imput[[Importe Neto]:[Importe Neto]],Imput[[C. Imp.]:[C. Imp.]],$D624,Imput[[PERIODO Imp.]:[PERIODO Imp.]],CS$9)</f>
        <v>0</v>
      </c>
      <c r="CT624" s="693">
        <f>SUMIFS(Imput[[Importe Neto]:[Importe Neto]],Imput[[C. Imp.]:[C. Imp.]],$D624,Imput[[PERIODO Imp.]:[PERIODO Imp.]],CT$9)</f>
        <v>0</v>
      </c>
      <c r="CU624" s="693">
        <f>SUMIFS(Imput[[Importe Neto]:[Importe Neto]],Imput[[C. Imp.]:[C. Imp.]],$D624,Imput[[PERIODO Imp.]:[PERIODO Imp.]],CU$9)</f>
        <v>0</v>
      </c>
      <c r="CV624" s="693">
        <f>SUMIFS(Imput[[Importe Neto]:[Importe Neto]],Imput[[C. Imp.]:[C. Imp.]],$D624,Imput[[PERIODO Imp.]:[PERIODO Imp.]],CV$9)</f>
        <v>0</v>
      </c>
      <c r="CW624" s="693">
        <f>SUMIFS(Imput[[Importe Neto]:[Importe Neto]],Imput[[C. Imp.]:[C. Imp.]],$D624,Imput[[PERIODO Imp.]:[PERIODO Imp.]],CW$9)</f>
        <v>0</v>
      </c>
      <c r="CX624" s="693">
        <f>SUMIFS(Imput[[Importe Neto]:[Importe Neto]],Imput[[C. Imp.]:[C. Imp.]],$D624,Imput[[PERIODO Imp.]:[PERIODO Imp.]],CX$9)</f>
        <v>0</v>
      </c>
      <c r="CY624" s="693">
        <f>SUMIFS(Imput[[Importe Neto]:[Importe Neto]],Imput[[C. Imp.]:[C. Imp.]],$D624,Imput[[PERIODO Imp.]:[PERIODO Imp.]],CY$9)</f>
        <v>0</v>
      </c>
      <c r="CZ624" s="693">
        <f>SUMIFS(Imput[[Importe Neto]:[Importe Neto]],Imput[[C. Imp.]:[C. Imp.]],$D624,Imput[[PERIODO Imp.]:[PERIODO Imp.]],CZ$9)</f>
        <v>0</v>
      </c>
      <c r="DA624" s="693">
        <f>SUMIFS(Imput[[Importe Neto]:[Importe Neto]],Imput[[C. Imp.]:[C. Imp.]],$D624,Imput[[PERIODO Imp.]:[PERIODO Imp.]],DA$9)</f>
        <v>0</v>
      </c>
      <c r="DB624" s="693">
        <f>SUMIFS(Imput[[Importe Neto]:[Importe Neto]],Imput[[C. Imp.]:[C. Imp.]],$D624,Imput[[PERIODO Imp.]:[PERIODO Imp.]],DB$9)</f>
        <v>0</v>
      </c>
      <c r="DC624" s="693">
        <f>SUMIFS(Imput[[Importe Neto]:[Importe Neto]],Imput[[C. Imp.]:[C. Imp.]],$D624,Imput[[PERIODO Imp.]:[PERIODO Imp.]],DC$9)</f>
        <v>0</v>
      </c>
      <c r="DD624" s="693">
        <f>SUMIFS(Imput[[Importe Neto]:[Importe Neto]],Imput[[C. Imp.]:[C. Imp.]],$D624,Imput[[PERIODO Imp.]:[PERIODO Imp.]],DD$9)</f>
        <v>0</v>
      </c>
      <c r="DE624" s="693">
        <f>SUMIFS(Imput[[Importe Neto]:[Importe Neto]],Imput[[C. Imp.]:[C. Imp.]],$D624,Imput[[PERIODO Imp.]:[PERIODO Imp.]],DE$9)</f>
        <v>0</v>
      </c>
      <c r="DF624" s="693">
        <f>SUMIFS(Imput[[Importe Neto]:[Importe Neto]],Imput[[C. Imp.]:[C. Imp.]],$D624,Imput[[PERIODO Imp.]:[PERIODO Imp.]],DF$9)</f>
        <v>0</v>
      </c>
      <c r="DG624" s="693">
        <f>SUMIFS(Imput[[Importe Neto]:[Importe Neto]],Imput[[C. Imp.]:[C. Imp.]],$D624,Imput[[PERIODO Imp.]:[PERIODO Imp.]],DG$9)</f>
        <v>0</v>
      </c>
      <c r="DH624" s="694">
        <f>SUMIFS(Imput[[Importe Neto]:[Importe Neto]],Imput[[C. Imp.]:[C. Imp.]],$D624,Imput[[PERIODO Imp.]:[PERIODO Imp.]],DH$9)</f>
        <v>0</v>
      </c>
    </row>
    <row r="625" spans="1:112" s="649" customFormat="1" hidden="1" outlineLevel="1" x14ac:dyDescent="0.3">
      <c r="A625" s="652" t="str">
        <f t="shared" si="222"/>
        <v/>
      </c>
      <c r="B625" s="652"/>
      <c r="C625" s="685"/>
      <c r="D625" s="686" t="s">
        <v>2643</v>
      </c>
      <c r="E625" s="686"/>
      <c r="F625" s="720"/>
      <c r="G625" s="688"/>
      <c r="H625" s="689"/>
      <c r="I625" s="851" t="str">
        <f t="shared" si="223"/>
        <v/>
      </c>
      <c r="J625" s="850" t="str">
        <f t="shared" si="224"/>
        <v/>
      </c>
      <c r="K625" s="667"/>
      <c r="L625" s="858"/>
      <c r="M625" s="859"/>
      <c r="N625" s="859"/>
      <c r="O625" s="859"/>
      <c r="P625" s="859"/>
      <c r="Q625" s="859"/>
      <c r="R625" s="859"/>
      <c r="S625" s="859"/>
      <c r="T625" s="859"/>
      <c r="U625" s="859"/>
      <c r="V625" s="859"/>
      <c r="W625" s="859"/>
      <c r="X625" s="859"/>
      <c r="Y625" s="859"/>
      <c r="Z625" s="860"/>
      <c r="AA625" s="860"/>
      <c r="AB625" s="860"/>
      <c r="AC625" s="860"/>
      <c r="AD625" s="860"/>
      <c r="AE625" s="860"/>
      <c r="AF625" s="860"/>
      <c r="AG625" s="860"/>
      <c r="AH625" s="860"/>
      <c r="AI625" s="860"/>
      <c r="AJ625" s="860"/>
      <c r="AK625" s="860"/>
      <c r="AL625" s="860"/>
      <c r="AM625" s="860"/>
      <c r="AN625" s="860"/>
      <c r="AO625" s="860"/>
      <c r="AP625" s="860"/>
      <c r="AQ625" s="860"/>
      <c r="AR625" s="860"/>
      <c r="AS625" s="860"/>
      <c r="AT625" s="860"/>
      <c r="AU625" s="860"/>
      <c r="AV625" s="860"/>
      <c r="AW625" s="860"/>
      <c r="AX625" s="860"/>
      <c r="AY625" s="860"/>
      <c r="AZ625" s="860"/>
      <c r="BA625" s="860"/>
      <c r="BB625" s="860"/>
      <c r="BC625" s="860"/>
      <c r="BD625" s="860"/>
      <c r="BE625" s="860"/>
      <c r="BF625" s="860"/>
      <c r="BG625" s="860"/>
      <c r="BH625" s="668"/>
      <c r="BI625" s="667"/>
      <c r="BJ625" s="690">
        <f t="shared" si="225"/>
        <v>0</v>
      </c>
      <c r="BK625" s="691">
        <f t="shared" si="226"/>
        <v>0</v>
      </c>
      <c r="BL625" s="654"/>
      <c r="BM625" s="692">
        <f>SUMIFS(Imput[[Importe Neto]:[Importe Neto]],Imput[[C. Imp.]:[C. Imp.]],$D625,Imput[[PERIODO Imp.]:[PERIODO Imp.]],BM$9)</f>
        <v>0</v>
      </c>
      <c r="BN625" s="693">
        <f>SUMIFS(Imput[[Importe Neto]:[Importe Neto]],Imput[[C. Imp.]:[C. Imp.]],$D625,Imput[[PERIODO Imp.]:[PERIODO Imp.]],BN$9)</f>
        <v>0</v>
      </c>
      <c r="BO625" s="693">
        <f>SUMIFS(Imput[[Importe Neto]:[Importe Neto]],Imput[[C. Imp.]:[C. Imp.]],$D625,Imput[[PERIODO Imp.]:[PERIODO Imp.]],BO$9)</f>
        <v>0</v>
      </c>
      <c r="BP625" s="693">
        <f>SUMIFS(Imput[[Importe Neto]:[Importe Neto]],Imput[[C. Imp.]:[C. Imp.]],$D625,Imput[[PERIODO Imp.]:[PERIODO Imp.]],BP$9)</f>
        <v>0</v>
      </c>
      <c r="BQ625" s="693">
        <f>SUMIFS(Imput[[Importe Neto]:[Importe Neto]],Imput[[C. Imp.]:[C. Imp.]],$D625,Imput[[PERIODO Imp.]:[PERIODO Imp.]],BQ$9)</f>
        <v>0</v>
      </c>
      <c r="BR625" s="693">
        <f>SUMIFS(Imput[[Importe Neto]:[Importe Neto]],Imput[[C. Imp.]:[C. Imp.]],$D625,Imput[[PERIODO Imp.]:[PERIODO Imp.]],BR$9)</f>
        <v>0</v>
      </c>
      <c r="BS625" s="693">
        <f>SUMIFS(Imput[[Importe Neto]:[Importe Neto]],Imput[[C. Imp.]:[C. Imp.]],$D625,Imput[[PERIODO Imp.]:[PERIODO Imp.]],BS$9)</f>
        <v>0</v>
      </c>
      <c r="BT625" s="693">
        <f>SUMIFS(Imput[[Importe Neto]:[Importe Neto]],Imput[[C. Imp.]:[C. Imp.]],$D625,Imput[[PERIODO Imp.]:[PERIODO Imp.]],BT$9)</f>
        <v>0</v>
      </c>
      <c r="BU625" s="693">
        <f>SUMIFS(Imput[[Importe Neto]:[Importe Neto]],Imput[[C. Imp.]:[C. Imp.]],$D625,Imput[[PERIODO Imp.]:[PERIODO Imp.]],BU$9)</f>
        <v>0</v>
      </c>
      <c r="BV625" s="693">
        <f>SUMIFS(Imput[[Importe Neto]:[Importe Neto]],Imput[[C. Imp.]:[C. Imp.]],$D625,Imput[[PERIODO Imp.]:[PERIODO Imp.]],BV$9)</f>
        <v>0</v>
      </c>
      <c r="BW625" s="693">
        <f>SUMIFS(Imput[[Importe Neto]:[Importe Neto]],Imput[[C. Imp.]:[C. Imp.]],$D625,Imput[[PERIODO Imp.]:[PERIODO Imp.]],BW$9)</f>
        <v>0</v>
      </c>
      <c r="BX625" s="693">
        <f>SUMIFS(Imput[[Importe Neto]:[Importe Neto]],Imput[[C. Imp.]:[C. Imp.]],$D625,Imput[[PERIODO Imp.]:[PERIODO Imp.]],BX$9)</f>
        <v>0</v>
      </c>
      <c r="BY625" s="693">
        <f>SUMIFS(Imput[[Importe Neto]:[Importe Neto]],Imput[[C. Imp.]:[C. Imp.]],$D625,Imput[[PERIODO Imp.]:[PERIODO Imp.]],BY$9)</f>
        <v>0</v>
      </c>
      <c r="BZ625" s="693">
        <f>SUMIFS(Imput[[Importe Neto]:[Importe Neto]],Imput[[C. Imp.]:[C. Imp.]],$D625,Imput[[PERIODO Imp.]:[PERIODO Imp.]],BZ$9)</f>
        <v>0</v>
      </c>
      <c r="CA625" s="693">
        <f>SUMIFS(Imput[[Importe Neto]:[Importe Neto]],Imput[[C. Imp.]:[C. Imp.]],$D625,Imput[[PERIODO Imp.]:[PERIODO Imp.]],CA$9)</f>
        <v>0</v>
      </c>
      <c r="CB625" s="693">
        <f>SUMIFS(Imput[[Importe Neto]:[Importe Neto]],Imput[[C. Imp.]:[C. Imp.]],$D625,Imput[[PERIODO Imp.]:[PERIODO Imp.]],CB$9)</f>
        <v>0</v>
      </c>
      <c r="CC625" s="693">
        <f>SUMIFS(Imput[[Importe Neto]:[Importe Neto]],Imput[[C. Imp.]:[C. Imp.]],$D625,Imput[[PERIODO Imp.]:[PERIODO Imp.]],CC$9)</f>
        <v>0</v>
      </c>
      <c r="CD625" s="693">
        <f>SUMIFS(Imput[[Importe Neto]:[Importe Neto]],Imput[[C. Imp.]:[C. Imp.]],$D625,Imput[[PERIODO Imp.]:[PERIODO Imp.]],CD$9)</f>
        <v>0</v>
      </c>
      <c r="CE625" s="693">
        <f>SUMIFS(Imput[[Importe Neto]:[Importe Neto]],Imput[[C. Imp.]:[C. Imp.]],$D625,Imput[[PERIODO Imp.]:[PERIODO Imp.]],CE$9)</f>
        <v>0</v>
      </c>
      <c r="CF625" s="693">
        <f>SUMIFS(Imput[[Importe Neto]:[Importe Neto]],Imput[[C. Imp.]:[C. Imp.]],$D625,Imput[[PERIODO Imp.]:[PERIODO Imp.]],CF$9)</f>
        <v>0</v>
      </c>
      <c r="CG625" s="693">
        <f>SUMIFS(Imput[[Importe Neto]:[Importe Neto]],Imput[[C. Imp.]:[C. Imp.]],$D625,Imput[[PERIODO Imp.]:[PERIODO Imp.]],CG$9)</f>
        <v>0</v>
      </c>
      <c r="CH625" s="693">
        <f>SUMIFS(Imput[[Importe Neto]:[Importe Neto]],Imput[[C. Imp.]:[C. Imp.]],$D625,Imput[[PERIODO Imp.]:[PERIODO Imp.]],CH$9)</f>
        <v>0</v>
      </c>
      <c r="CI625" s="693">
        <f>SUMIFS(Imput[[Importe Neto]:[Importe Neto]],Imput[[C. Imp.]:[C. Imp.]],$D625,Imput[[PERIODO Imp.]:[PERIODO Imp.]],CI$9)</f>
        <v>0</v>
      </c>
      <c r="CJ625" s="693">
        <f>SUMIFS(Imput[[Importe Neto]:[Importe Neto]],Imput[[C. Imp.]:[C. Imp.]],$D625,Imput[[PERIODO Imp.]:[PERIODO Imp.]],CJ$9)</f>
        <v>0</v>
      </c>
      <c r="CK625" s="693">
        <f>SUMIFS(Imput[[Importe Neto]:[Importe Neto]],Imput[[C. Imp.]:[C. Imp.]],$D625,Imput[[PERIODO Imp.]:[PERIODO Imp.]],CK$9)</f>
        <v>0</v>
      </c>
      <c r="CL625" s="693">
        <f>SUMIFS(Imput[[Importe Neto]:[Importe Neto]],Imput[[C. Imp.]:[C. Imp.]],$D625,Imput[[PERIODO Imp.]:[PERIODO Imp.]],CL$9)</f>
        <v>0</v>
      </c>
      <c r="CM625" s="693">
        <f>SUMIFS(Imput[[Importe Neto]:[Importe Neto]],Imput[[C. Imp.]:[C. Imp.]],$D625,Imput[[PERIODO Imp.]:[PERIODO Imp.]],CM$9)</f>
        <v>0</v>
      </c>
      <c r="CN625" s="693">
        <f>SUMIFS(Imput[[Importe Neto]:[Importe Neto]],Imput[[C. Imp.]:[C. Imp.]],$D625,Imput[[PERIODO Imp.]:[PERIODO Imp.]],CN$9)</f>
        <v>0</v>
      </c>
      <c r="CO625" s="693">
        <f>SUMIFS(Imput[[Importe Neto]:[Importe Neto]],Imput[[C. Imp.]:[C. Imp.]],$D625,Imput[[PERIODO Imp.]:[PERIODO Imp.]],CO$9)</f>
        <v>0</v>
      </c>
      <c r="CP625" s="693">
        <f>SUMIFS(Imput[[Importe Neto]:[Importe Neto]],Imput[[C. Imp.]:[C. Imp.]],$D625,Imput[[PERIODO Imp.]:[PERIODO Imp.]],CP$9)</f>
        <v>0</v>
      </c>
      <c r="CQ625" s="693">
        <f>SUMIFS(Imput[[Importe Neto]:[Importe Neto]],Imput[[C. Imp.]:[C. Imp.]],$D625,Imput[[PERIODO Imp.]:[PERIODO Imp.]],CQ$9)</f>
        <v>0</v>
      </c>
      <c r="CR625" s="693">
        <f>SUMIFS(Imput[[Importe Neto]:[Importe Neto]],Imput[[C. Imp.]:[C. Imp.]],$D625,Imput[[PERIODO Imp.]:[PERIODO Imp.]],CR$9)</f>
        <v>0</v>
      </c>
      <c r="CS625" s="693">
        <f>SUMIFS(Imput[[Importe Neto]:[Importe Neto]],Imput[[C. Imp.]:[C. Imp.]],$D625,Imput[[PERIODO Imp.]:[PERIODO Imp.]],CS$9)</f>
        <v>0</v>
      </c>
      <c r="CT625" s="693">
        <f>SUMIFS(Imput[[Importe Neto]:[Importe Neto]],Imput[[C. Imp.]:[C. Imp.]],$D625,Imput[[PERIODO Imp.]:[PERIODO Imp.]],CT$9)</f>
        <v>0</v>
      </c>
      <c r="CU625" s="693">
        <f>SUMIFS(Imput[[Importe Neto]:[Importe Neto]],Imput[[C. Imp.]:[C. Imp.]],$D625,Imput[[PERIODO Imp.]:[PERIODO Imp.]],CU$9)</f>
        <v>0</v>
      </c>
      <c r="CV625" s="693">
        <f>SUMIFS(Imput[[Importe Neto]:[Importe Neto]],Imput[[C. Imp.]:[C. Imp.]],$D625,Imput[[PERIODO Imp.]:[PERIODO Imp.]],CV$9)</f>
        <v>0</v>
      </c>
      <c r="CW625" s="693">
        <f>SUMIFS(Imput[[Importe Neto]:[Importe Neto]],Imput[[C. Imp.]:[C. Imp.]],$D625,Imput[[PERIODO Imp.]:[PERIODO Imp.]],CW$9)</f>
        <v>0</v>
      </c>
      <c r="CX625" s="693">
        <f>SUMIFS(Imput[[Importe Neto]:[Importe Neto]],Imput[[C. Imp.]:[C. Imp.]],$D625,Imput[[PERIODO Imp.]:[PERIODO Imp.]],CX$9)</f>
        <v>0</v>
      </c>
      <c r="CY625" s="693">
        <f>SUMIFS(Imput[[Importe Neto]:[Importe Neto]],Imput[[C. Imp.]:[C. Imp.]],$D625,Imput[[PERIODO Imp.]:[PERIODO Imp.]],CY$9)</f>
        <v>0</v>
      </c>
      <c r="CZ625" s="693">
        <f>SUMIFS(Imput[[Importe Neto]:[Importe Neto]],Imput[[C. Imp.]:[C. Imp.]],$D625,Imput[[PERIODO Imp.]:[PERIODO Imp.]],CZ$9)</f>
        <v>0</v>
      </c>
      <c r="DA625" s="693">
        <f>SUMIFS(Imput[[Importe Neto]:[Importe Neto]],Imput[[C. Imp.]:[C. Imp.]],$D625,Imput[[PERIODO Imp.]:[PERIODO Imp.]],DA$9)</f>
        <v>0</v>
      </c>
      <c r="DB625" s="693">
        <f>SUMIFS(Imput[[Importe Neto]:[Importe Neto]],Imput[[C. Imp.]:[C. Imp.]],$D625,Imput[[PERIODO Imp.]:[PERIODO Imp.]],DB$9)</f>
        <v>0</v>
      </c>
      <c r="DC625" s="693">
        <f>SUMIFS(Imput[[Importe Neto]:[Importe Neto]],Imput[[C. Imp.]:[C. Imp.]],$D625,Imput[[PERIODO Imp.]:[PERIODO Imp.]],DC$9)</f>
        <v>0</v>
      </c>
      <c r="DD625" s="693">
        <f>SUMIFS(Imput[[Importe Neto]:[Importe Neto]],Imput[[C. Imp.]:[C. Imp.]],$D625,Imput[[PERIODO Imp.]:[PERIODO Imp.]],DD$9)</f>
        <v>0</v>
      </c>
      <c r="DE625" s="693">
        <f>SUMIFS(Imput[[Importe Neto]:[Importe Neto]],Imput[[C. Imp.]:[C. Imp.]],$D625,Imput[[PERIODO Imp.]:[PERIODO Imp.]],DE$9)</f>
        <v>0</v>
      </c>
      <c r="DF625" s="693">
        <f>SUMIFS(Imput[[Importe Neto]:[Importe Neto]],Imput[[C. Imp.]:[C. Imp.]],$D625,Imput[[PERIODO Imp.]:[PERIODO Imp.]],DF$9)</f>
        <v>0</v>
      </c>
      <c r="DG625" s="693">
        <f>SUMIFS(Imput[[Importe Neto]:[Importe Neto]],Imput[[C. Imp.]:[C. Imp.]],$D625,Imput[[PERIODO Imp.]:[PERIODO Imp.]],DG$9)</f>
        <v>0</v>
      </c>
      <c r="DH625" s="694">
        <f>SUMIFS(Imput[[Importe Neto]:[Importe Neto]],Imput[[C. Imp.]:[C. Imp.]],$D625,Imput[[PERIODO Imp.]:[PERIODO Imp.]],DH$9)</f>
        <v>0</v>
      </c>
    </row>
    <row r="626" spans="1:112" s="649" customFormat="1" hidden="1" outlineLevel="1" x14ac:dyDescent="0.3">
      <c r="A626" s="652" t="str">
        <f t="shared" si="222"/>
        <v/>
      </c>
      <c r="B626" s="652"/>
      <c r="C626" s="685"/>
      <c r="D626" s="686" t="s">
        <v>2644</v>
      </c>
      <c r="E626" s="686"/>
      <c r="F626" s="720"/>
      <c r="G626" s="688"/>
      <c r="H626" s="689"/>
      <c r="I626" s="851" t="str">
        <f t="shared" si="223"/>
        <v/>
      </c>
      <c r="J626" s="850" t="str">
        <f t="shared" si="224"/>
        <v/>
      </c>
      <c r="K626" s="667"/>
      <c r="L626" s="858"/>
      <c r="M626" s="859"/>
      <c r="N626" s="859"/>
      <c r="O626" s="859"/>
      <c r="P626" s="859"/>
      <c r="Q626" s="859"/>
      <c r="R626" s="859"/>
      <c r="S626" s="859"/>
      <c r="T626" s="859"/>
      <c r="U626" s="859"/>
      <c r="V626" s="859"/>
      <c r="W626" s="859"/>
      <c r="X626" s="859"/>
      <c r="Y626" s="859"/>
      <c r="Z626" s="860"/>
      <c r="AA626" s="860"/>
      <c r="AB626" s="860"/>
      <c r="AC626" s="860"/>
      <c r="AD626" s="860"/>
      <c r="AE626" s="860"/>
      <c r="AF626" s="860"/>
      <c r="AG626" s="860"/>
      <c r="AH626" s="860"/>
      <c r="AI626" s="860"/>
      <c r="AJ626" s="860"/>
      <c r="AK626" s="860"/>
      <c r="AL626" s="860"/>
      <c r="AM626" s="860"/>
      <c r="AN626" s="860"/>
      <c r="AO626" s="860"/>
      <c r="AP626" s="860"/>
      <c r="AQ626" s="860"/>
      <c r="AR626" s="860"/>
      <c r="AS626" s="860"/>
      <c r="AT626" s="860"/>
      <c r="AU626" s="860"/>
      <c r="AV626" s="860"/>
      <c r="AW626" s="860"/>
      <c r="AX626" s="860"/>
      <c r="AY626" s="860"/>
      <c r="AZ626" s="860"/>
      <c r="BA626" s="860"/>
      <c r="BB626" s="860"/>
      <c r="BC626" s="860"/>
      <c r="BD626" s="860"/>
      <c r="BE626" s="860"/>
      <c r="BF626" s="860"/>
      <c r="BG626" s="860"/>
      <c r="BH626" s="668"/>
      <c r="BI626" s="667"/>
      <c r="BJ626" s="690">
        <f t="shared" si="225"/>
        <v>0</v>
      </c>
      <c r="BK626" s="691">
        <f t="shared" si="226"/>
        <v>0</v>
      </c>
      <c r="BL626" s="654"/>
      <c r="BM626" s="692">
        <f>SUMIFS(Imput[[Importe Neto]:[Importe Neto]],Imput[[C. Imp.]:[C. Imp.]],$D626,Imput[[PERIODO Imp.]:[PERIODO Imp.]],BM$9)</f>
        <v>0</v>
      </c>
      <c r="BN626" s="693">
        <f>SUMIFS(Imput[[Importe Neto]:[Importe Neto]],Imput[[C. Imp.]:[C. Imp.]],$D626,Imput[[PERIODO Imp.]:[PERIODO Imp.]],BN$9)</f>
        <v>0</v>
      </c>
      <c r="BO626" s="693">
        <f>SUMIFS(Imput[[Importe Neto]:[Importe Neto]],Imput[[C. Imp.]:[C. Imp.]],$D626,Imput[[PERIODO Imp.]:[PERIODO Imp.]],BO$9)</f>
        <v>0</v>
      </c>
      <c r="BP626" s="693">
        <f>SUMIFS(Imput[[Importe Neto]:[Importe Neto]],Imput[[C. Imp.]:[C. Imp.]],$D626,Imput[[PERIODO Imp.]:[PERIODO Imp.]],BP$9)</f>
        <v>0</v>
      </c>
      <c r="BQ626" s="693">
        <f>SUMIFS(Imput[[Importe Neto]:[Importe Neto]],Imput[[C. Imp.]:[C. Imp.]],$D626,Imput[[PERIODO Imp.]:[PERIODO Imp.]],BQ$9)</f>
        <v>0</v>
      </c>
      <c r="BR626" s="693">
        <f>SUMIFS(Imput[[Importe Neto]:[Importe Neto]],Imput[[C. Imp.]:[C. Imp.]],$D626,Imput[[PERIODO Imp.]:[PERIODO Imp.]],BR$9)</f>
        <v>0</v>
      </c>
      <c r="BS626" s="693">
        <f>SUMIFS(Imput[[Importe Neto]:[Importe Neto]],Imput[[C. Imp.]:[C. Imp.]],$D626,Imput[[PERIODO Imp.]:[PERIODO Imp.]],BS$9)</f>
        <v>0</v>
      </c>
      <c r="BT626" s="693">
        <f>SUMIFS(Imput[[Importe Neto]:[Importe Neto]],Imput[[C. Imp.]:[C. Imp.]],$D626,Imput[[PERIODO Imp.]:[PERIODO Imp.]],BT$9)</f>
        <v>0</v>
      </c>
      <c r="BU626" s="693">
        <f>SUMIFS(Imput[[Importe Neto]:[Importe Neto]],Imput[[C. Imp.]:[C. Imp.]],$D626,Imput[[PERIODO Imp.]:[PERIODO Imp.]],BU$9)</f>
        <v>0</v>
      </c>
      <c r="BV626" s="693">
        <f>SUMIFS(Imput[[Importe Neto]:[Importe Neto]],Imput[[C. Imp.]:[C. Imp.]],$D626,Imput[[PERIODO Imp.]:[PERIODO Imp.]],BV$9)</f>
        <v>0</v>
      </c>
      <c r="BW626" s="693">
        <f>SUMIFS(Imput[[Importe Neto]:[Importe Neto]],Imput[[C. Imp.]:[C. Imp.]],$D626,Imput[[PERIODO Imp.]:[PERIODO Imp.]],BW$9)</f>
        <v>0</v>
      </c>
      <c r="BX626" s="693">
        <f>SUMIFS(Imput[[Importe Neto]:[Importe Neto]],Imput[[C. Imp.]:[C. Imp.]],$D626,Imput[[PERIODO Imp.]:[PERIODO Imp.]],BX$9)</f>
        <v>0</v>
      </c>
      <c r="BY626" s="693">
        <f>SUMIFS(Imput[[Importe Neto]:[Importe Neto]],Imput[[C. Imp.]:[C. Imp.]],$D626,Imput[[PERIODO Imp.]:[PERIODO Imp.]],BY$9)</f>
        <v>0</v>
      </c>
      <c r="BZ626" s="693">
        <f>SUMIFS(Imput[[Importe Neto]:[Importe Neto]],Imput[[C. Imp.]:[C. Imp.]],$D626,Imput[[PERIODO Imp.]:[PERIODO Imp.]],BZ$9)</f>
        <v>0</v>
      </c>
      <c r="CA626" s="693">
        <f>SUMIFS(Imput[[Importe Neto]:[Importe Neto]],Imput[[C. Imp.]:[C. Imp.]],$D626,Imput[[PERIODO Imp.]:[PERIODO Imp.]],CA$9)</f>
        <v>0</v>
      </c>
      <c r="CB626" s="693">
        <f>SUMIFS(Imput[[Importe Neto]:[Importe Neto]],Imput[[C. Imp.]:[C. Imp.]],$D626,Imput[[PERIODO Imp.]:[PERIODO Imp.]],CB$9)</f>
        <v>0</v>
      </c>
      <c r="CC626" s="693">
        <f>SUMIFS(Imput[[Importe Neto]:[Importe Neto]],Imput[[C. Imp.]:[C. Imp.]],$D626,Imput[[PERIODO Imp.]:[PERIODO Imp.]],CC$9)</f>
        <v>0</v>
      </c>
      <c r="CD626" s="693">
        <f>SUMIFS(Imput[[Importe Neto]:[Importe Neto]],Imput[[C. Imp.]:[C. Imp.]],$D626,Imput[[PERIODO Imp.]:[PERIODO Imp.]],CD$9)</f>
        <v>0</v>
      </c>
      <c r="CE626" s="693">
        <f>SUMIFS(Imput[[Importe Neto]:[Importe Neto]],Imput[[C. Imp.]:[C. Imp.]],$D626,Imput[[PERIODO Imp.]:[PERIODO Imp.]],CE$9)</f>
        <v>0</v>
      </c>
      <c r="CF626" s="693">
        <f>SUMIFS(Imput[[Importe Neto]:[Importe Neto]],Imput[[C. Imp.]:[C. Imp.]],$D626,Imput[[PERIODO Imp.]:[PERIODO Imp.]],CF$9)</f>
        <v>0</v>
      </c>
      <c r="CG626" s="693">
        <f>SUMIFS(Imput[[Importe Neto]:[Importe Neto]],Imput[[C. Imp.]:[C. Imp.]],$D626,Imput[[PERIODO Imp.]:[PERIODO Imp.]],CG$9)</f>
        <v>0</v>
      </c>
      <c r="CH626" s="693">
        <f>SUMIFS(Imput[[Importe Neto]:[Importe Neto]],Imput[[C. Imp.]:[C. Imp.]],$D626,Imput[[PERIODO Imp.]:[PERIODO Imp.]],CH$9)</f>
        <v>0</v>
      </c>
      <c r="CI626" s="693">
        <f>SUMIFS(Imput[[Importe Neto]:[Importe Neto]],Imput[[C. Imp.]:[C. Imp.]],$D626,Imput[[PERIODO Imp.]:[PERIODO Imp.]],CI$9)</f>
        <v>0</v>
      </c>
      <c r="CJ626" s="693">
        <f>SUMIFS(Imput[[Importe Neto]:[Importe Neto]],Imput[[C. Imp.]:[C. Imp.]],$D626,Imput[[PERIODO Imp.]:[PERIODO Imp.]],CJ$9)</f>
        <v>0</v>
      </c>
      <c r="CK626" s="693">
        <f>SUMIFS(Imput[[Importe Neto]:[Importe Neto]],Imput[[C. Imp.]:[C. Imp.]],$D626,Imput[[PERIODO Imp.]:[PERIODO Imp.]],CK$9)</f>
        <v>0</v>
      </c>
      <c r="CL626" s="693">
        <f>SUMIFS(Imput[[Importe Neto]:[Importe Neto]],Imput[[C. Imp.]:[C. Imp.]],$D626,Imput[[PERIODO Imp.]:[PERIODO Imp.]],CL$9)</f>
        <v>0</v>
      </c>
      <c r="CM626" s="693">
        <f>SUMIFS(Imput[[Importe Neto]:[Importe Neto]],Imput[[C. Imp.]:[C. Imp.]],$D626,Imput[[PERIODO Imp.]:[PERIODO Imp.]],CM$9)</f>
        <v>0</v>
      </c>
      <c r="CN626" s="693">
        <f>SUMIFS(Imput[[Importe Neto]:[Importe Neto]],Imput[[C. Imp.]:[C. Imp.]],$D626,Imput[[PERIODO Imp.]:[PERIODO Imp.]],CN$9)</f>
        <v>0</v>
      </c>
      <c r="CO626" s="693">
        <f>SUMIFS(Imput[[Importe Neto]:[Importe Neto]],Imput[[C. Imp.]:[C. Imp.]],$D626,Imput[[PERIODO Imp.]:[PERIODO Imp.]],CO$9)</f>
        <v>0</v>
      </c>
      <c r="CP626" s="693">
        <f>SUMIFS(Imput[[Importe Neto]:[Importe Neto]],Imput[[C. Imp.]:[C. Imp.]],$D626,Imput[[PERIODO Imp.]:[PERIODO Imp.]],CP$9)</f>
        <v>0</v>
      </c>
      <c r="CQ626" s="693">
        <f>SUMIFS(Imput[[Importe Neto]:[Importe Neto]],Imput[[C. Imp.]:[C. Imp.]],$D626,Imput[[PERIODO Imp.]:[PERIODO Imp.]],CQ$9)</f>
        <v>0</v>
      </c>
      <c r="CR626" s="693">
        <f>SUMIFS(Imput[[Importe Neto]:[Importe Neto]],Imput[[C. Imp.]:[C. Imp.]],$D626,Imput[[PERIODO Imp.]:[PERIODO Imp.]],CR$9)</f>
        <v>0</v>
      </c>
      <c r="CS626" s="693">
        <f>SUMIFS(Imput[[Importe Neto]:[Importe Neto]],Imput[[C. Imp.]:[C. Imp.]],$D626,Imput[[PERIODO Imp.]:[PERIODO Imp.]],CS$9)</f>
        <v>0</v>
      </c>
      <c r="CT626" s="693">
        <f>SUMIFS(Imput[[Importe Neto]:[Importe Neto]],Imput[[C. Imp.]:[C. Imp.]],$D626,Imput[[PERIODO Imp.]:[PERIODO Imp.]],CT$9)</f>
        <v>0</v>
      </c>
      <c r="CU626" s="693">
        <f>SUMIFS(Imput[[Importe Neto]:[Importe Neto]],Imput[[C. Imp.]:[C. Imp.]],$D626,Imput[[PERIODO Imp.]:[PERIODO Imp.]],CU$9)</f>
        <v>0</v>
      </c>
      <c r="CV626" s="693">
        <f>SUMIFS(Imput[[Importe Neto]:[Importe Neto]],Imput[[C. Imp.]:[C. Imp.]],$D626,Imput[[PERIODO Imp.]:[PERIODO Imp.]],CV$9)</f>
        <v>0</v>
      </c>
      <c r="CW626" s="693">
        <f>SUMIFS(Imput[[Importe Neto]:[Importe Neto]],Imput[[C. Imp.]:[C. Imp.]],$D626,Imput[[PERIODO Imp.]:[PERIODO Imp.]],CW$9)</f>
        <v>0</v>
      </c>
      <c r="CX626" s="693">
        <f>SUMIFS(Imput[[Importe Neto]:[Importe Neto]],Imput[[C. Imp.]:[C. Imp.]],$D626,Imput[[PERIODO Imp.]:[PERIODO Imp.]],CX$9)</f>
        <v>0</v>
      </c>
      <c r="CY626" s="693">
        <f>SUMIFS(Imput[[Importe Neto]:[Importe Neto]],Imput[[C. Imp.]:[C. Imp.]],$D626,Imput[[PERIODO Imp.]:[PERIODO Imp.]],CY$9)</f>
        <v>0</v>
      </c>
      <c r="CZ626" s="693">
        <f>SUMIFS(Imput[[Importe Neto]:[Importe Neto]],Imput[[C. Imp.]:[C. Imp.]],$D626,Imput[[PERIODO Imp.]:[PERIODO Imp.]],CZ$9)</f>
        <v>0</v>
      </c>
      <c r="DA626" s="693">
        <f>SUMIFS(Imput[[Importe Neto]:[Importe Neto]],Imput[[C. Imp.]:[C. Imp.]],$D626,Imput[[PERIODO Imp.]:[PERIODO Imp.]],DA$9)</f>
        <v>0</v>
      </c>
      <c r="DB626" s="693">
        <f>SUMIFS(Imput[[Importe Neto]:[Importe Neto]],Imput[[C. Imp.]:[C. Imp.]],$D626,Imput[[PERIODO Imp.]:[PERIODO Imp.]],DB$9)</f>
        <v>0</v>
      </c>
      <c r="DC626" s="693">
        <f>SUMIFS(Imput[[Importe Neto]:[Importe Neto]],Imput[[C. Imp.]:[C. Imp.]],$D626,Imput[[PERIODO Imp.]:[PERIODO Imp.]],DC$9)</f>
        <v>0</v>
      </c>
      <c r="DD626" s="693">
        <f>SUMIFS(Imput[[Importe Neto]:[Importe Neto]],Imput[[C. Imp.]:[C. Imp.]],$D626,Imput[[PERIODO Imp.]:[PERIODO Imp.]],DD$9)</f>
        <v>0</v>
      </c>
      <c r="DE626" s="693">
        <f>SUMIFS(Imput[[Importe Neto]:[Importe Neto]],Imput[[C. Imp.]:[C. Imp.]],$D626,Imput[[PERIODO Imp.]:[PERIODO Imp.]],DE$9)</f>
        <v>0</v>
      </c>
      <c r="DF626" s="693">
        <f>SUMIFS(Imput[[Importe Neto]:[Importe Neto]],Imput[[C. Imp.]:[C. Imp.]],$D626,Imput[[PERIODO Imp.]:[PERIODO Imp.]],DF$9)</f>
        <v>0</v>
      </c>
      <c r="DG626" s="693">
        <f>SUMIFS(Imput[[Importe Neto]:[Importe Neto]],Imput[[C. Imp.]:[C. Imp.]],$D626,Imput[[PERIODO Imp.]:[PERIODO Imp.]],DG$9)</f>
        <v>0</v>
      </c>
      <c r="DH626" s="694">
        <f>SUMIFS(Imput[[Importe Neto]:[Importe Neto]],Imput[[C. Imp.]:[C. Imp.]],$D626,Imput[[PERIODO Imp.]:[PERIODO Imp.]],DH$9)</f>
        <v>0</v>
      </c>
    </row>
    <row r="627" spans="1:112" s="649" customFormat="1" hidden="1" outlineLevel="1" x14ac:dyDescent="0.3">
      <c r="A627" s="652" t="str">
        <f t="shared" si="222"/>
        <v/>
      </c>
      <c r="B627" s="652"/>
      <c r="C627" s="685"/>
      <c r="D627" s="686" t="s">
        <v>2645</v>
      </c>
      <c r="E627" s="686"/>
      <c r="F627" s="720"/>
      <c r="G627" s="688"/>
      <c r="H627" s="689"/>
      <c r="I627" s="851" t="str">
        <f t="shared" si="223"/>
        <v/>
      </c>
      <c r="J627" s="850" t="str">
        <f t="shared" si="224"/>
        <v/>
      </c>
      <c r="K627" s="667"/>
      <c r="L627" s="858"/>
      <c r="M627" s="859"/>
      <c r="N627" s="859"/>
      <c r="O627" s="859"/>
      <c r="P627" s="859"/>
      <c r="Q627" s="859"/>
      <c r="R627" s="859"/>
      <c r="S627" s="859"/>
      <c r="T627" s="859"/>
      <c r="U627" s="859"/>
      <c r="V627" s="859"/>
      <c r="W627" s="859"/>
      <c r="X627" s="859"/>
      <c r="Y627" s="859"/>
      <c r="Z627" s="860"/>
      <c r="AA627" s="860"/>
      <c r="AB627" s="860"/>
      <c r="AC627" s="860"/>
      <c r="AD627" s="860"/>
      <c r="AE627" s="860"/>
      <c r="AF627" s="860"/>
      <c r="AG627" s="860"/>
      <c r="AH627" s="860"/>
      <c r="AI627" s="860"/>
      <c r="AJ627" s="860"/>
      <c r="AK627" s="860"/>
      <c r="AL627" s="860"/>
      <c r="AM627" s="860"/>
      <c r="AN627" s="860"/>
      <c r="AO627" s="860"/>
      <c r="AP627" s="860"/>
      <c r="AQ627" s="860"/>
      <c r="AR627" s="860"/>
      <c r="AS627" s="860"/>
      <c r="AT627" s="860"/>
      <c r="AU627" s="860"/>
      <c r="AV627" s="860"/>
      <c r="AW627" s="860"/>
      <c r="AX627" s="860"/>
      <c r="AY627" s="860"/>
      <c r="AZ627" s="860"/>
      <c r="BA627" s="860"/>
      <c r="BB627" s="860"/>
      <c r="BC627" s="860"/>
      <c r="BD627" s="860"/>
      <c r="BE627" s="860"/>
      <c r="BF627" s="860"/>
      <c r="BG627" s="860"/>
      <c r="BH627" s="668"/>
      <c r="BI627" s="667"/>
      <c r="BJ627" s="690">
        <f t="shared" si="225"/>
        <v>0</v>
      </c>
      <c r="BK627" s="691">
        <f t="shared" si="226"/>
        <v>0</v>
      </c>
      <c r="BL627" s="654"/>
      <c r="BM627" s="692">
        <f>SUMIFS(Imput[[Importe Neto]:[Importe Neto]],Imput[[C. Imp.]:[C. Imp.]],$D627,Imput[[PERIODO Imp.]:[PERIODO Imp.]],BM$9)</f>
        <v>0</v>
      </c>
      <c r="BN627" s="693">
        <f>SUMIFS(Imput[[Importe Neto]:[Importe Neto]],Imput[[C. Imp.]:[C. Imp.]],$D627,Imput[[PERIODO Imp.]:[PERIODO Imp.]],BN$9)</f>
        <v>0</v>
      </c>
      <c r="BO627" s="693">
        <f>SUMIFS(Imput[[Importe Neto]:[Importe Neto]],Imput[[C. Imp.]:[C. Imp.]],$D627,Imput[[PERIODO Imp.]:[PERIODO Imp.]],BO$9)</f>
        <v>0</v>
      </c>
      <c r="BP627" s="693">
        <f>SUMIFS(Imput[[Importe Neto]:[Importe Neto]],Imput[[C. Imp.]:[C. Imp.]],$D627,Imput[[PERIODO Imp.]:[PERIODO Imp.]],BP$9)</f>
        <v>0</v>
      </c>
      <c r="BQ627" s="693">
        <f>SUMIFS(Imput[[Importe Neto]:[Importe Neto]],Imput[[C. Imp.]:[C. Imp.]],$D627,Imput[[PERIODO Imp.]:[PERIODO Imp.]],BQ$9)</f>
        <v>0</v>
      </c>
      <c r="BR627" s="693">
        <f>SUMIFS(Imput[[Importe Neto]:[Importe Neto]],Imput[[C. Imp.]:[C. Imp.]],$D627,Imput[[PERIODO Imp.]:[PERIODO Imp.]],BR$9)</f>
        <v>0</v>
      </c>
      <c r="BS627" s="693">
        <f>SUMIFS(Imput[[Importe Neto]:[Importe Neto]],Imput[[C. Imp.]:[C. Imp.]],$D627,Imput[[PERIODO Imp.]:[PERIODO Imp.]],BS$9)</f>
        <v>0</v>
      </c>
      <c r="BT627" s="693">
        <f>SUMIFS(Imput[[Importe Neto]:[Importe Neto]],Imput[[C. Imp.]:[C. Imp.]],$D627,Imput[[PERIODO Imp.]:[PERIODO Imp.]],BT$9)</f>
        <v>0</v>
      </c>
      <c r="BU627" s="693">
        <f>SUMIFS(Imput[[Importe Neto]:[Importe Neto]],Imput[[C. Imp.]:[C. Imp.]],$D627,Imput[[PERIODO Imp.]:[PERIODO Imp.]],BU$9)</f>
        <v>0</v>
      </c>
      <c r="BV627" s="693">
        <f>SUMIFS(Imput[[Importe Neto]:[Importe Neto]],Imput[[C. Imp.]:[C. Imp.]],$D627,Imput[[PERIODO Imp.]:[PERIODO Imp.]],BV$9)</f>
        <v>0</v>
      </c>
      <c r="BW627" s="693">
        <f>SUMIFS(Imput[[Importe Neto]:[Importe Neto]],Imput[[C. Imp.]:[C. Imp.]],$D627,Imput[[PERIODO Imp.]:[PERIODO Imp.]],BW$9)</f>
        <v>0</v>
      </c>
      <c r="BX627" s="693">
        <f>SUMIFS(Imput[[Importe Neto]:[Importe Neto]],Imput[[C. Imp.]:[C. Imp.]],$D627,Imput[[PERIODO Imp.]:[PERIODO Imp.]],BX$9)</f>
        <v>0</v>
      </c>
      <c r="BY627" s="693">
        <f>SUMIFS(Imput[[Importe Neto]:[Importe Neto]],Imput[[C. Imp.]:[C. Imp.]],$D627,Imput[[PERIODO Imp.]:[PERIODO Imp.]],BY$9)</f>
        <v>0</v>
      </c>
      <c r="BZ627" s="693">
        <f>SUMIFS(Imput[[Importe Neto]:[Importe Neto]],Imput[[C. Imp.]:[C. Imp.]],$D627,Imput[[PERIODO Imp.]:[PERIODO Imp.]],BZ$9)</f>
        <v>0</v>
      </c>
      <c r="CA627" s="693">
        <f>SUMIFS(Imput[[Importe Neto]:[Importe Neto]],Imput[[C. Imp.]:[C. Imp.]],$D627,Imput[[PERIODO Imp.]:[PERIODO Imp.]],CA$9)</f>
        <v>0</v>
      </c>
      <c r="CB627" s="693">
        <f>SUMIFS(Imput[[Importe Neto]:[Importe Neto]],Imput[[C. Imp.]:[C. Imp.]],$D627,Imput[[PERIODO Imp.]:[PERIODO Imp.]],CB$9)</f>
        <v>0</v>
      </c>
      <c r="CC627" s="693">
        <f>SUMIFS(Imput[[Importe Neto]:[Importe Neto]],Imput[[C. Imp.]:[C. Imp.]],$D627,Imput[[PERIODO Imp.]:[PERIODO Imp.]],CC$9)</f>
        <v>0</v>
      </c>
      <c r="CD627" s="693">
        <f>SUMIFS(Imput[[Importe Neto]:[Importe Neto]],Imput[[C. Imp.]:[C. Imp.]],$D627,Imput[[PERIODO Imp.]:[PERIODO Imp.]],CD$9)</f>
        <v>0</v>
      </c>
      <c r="CE627" s="693">
        <f>SUMIFS(Imput[[Importe Neto]:[Importe Neto]],Imput[[C. Imp.]:[C. Imp.]],$D627,Imput[[PERIODO Imp.]:[PERIODO Imp.]],CE$9)</f>
        <v>0</v>
      </c>
      <c r="CF627" s="693">
        <f>SUMIFS(Imput[[Importe Neto]:[Importe Neto]],Imput[[C. Imp.]:[C. Imp.]],$D627,Imput[[PERIODO Imp.]:[PERIODO Imp.]],CF$9)</f>
        <v>0</v>
      </c>
      <c r="CG627" s="693">
        <f>SUMIFS(Imput[[Importe Neto]:[Importe Neto]],Imput[[C. Imp.]:[C. Imp.]],$D627,Imput[[PERIODO Imp.]:[PERIODO Imp.]],CG$9)</f>
        <v>0</v>
      </c>
      <c r="CH627" s="693">
        <f>SUMIFS(Imput[[Importe Neto]:[Importe Neto]],Imput[[C. Imp.]:[C. Imp.]],$D627,Imput[[PERIODO Imp.]:[PERIODO Imp.]],CH$9)</f>
        <v>0</v>
      </c>
      <c r="CI627" s="693">
        <f>SUMIFS(Imput[[Importe Neto]:[Importe Neto]],Imput[[C. Imp.]:[C. Imp.]],$D627,Imput[[PERIODO Imp.]:[PERIODO Imp.]],CI$9)</f>
        <v>0</v>
      </c>
      <c r="CJ627" s="693">
        <f>SUMIFS(Imput[[Importe Neto]:[Importe Neto]],Imput[[C. Imp.]:[C. Imp.]],$D627,Imput[[PERIODO Imp.]:[PERIODO Imp.]],CJ$9)</f>
        <v>0</v>
      </c>
      <c r="CK627" s="693">
        <f>SUMIFS(Imput[[Importe Neto]:[Importe Neto]],Imput[[C. Imp.]:[C. Imp.]],$D627,Imput[[PERIODO Imp.]:[PERIODO Imp.]],CK$9)</f>
        <v>0</v>
      </c>
      <c r="CL627" s="693">
        <f>SUMIFS(Imput[[Importe Neto]:[Importe Neto]],Imput[[C. Imp.]:[C. Imp.]],$D627,Imput[[PERIODO Imp.]:[PERIODO Imp.]],CL$9)</f>
        <v>0</v>
      </c>
      <c r="CM627" s="693">
        <f>SUMIFS(Imput[[Importe Neto]:[Importe Neto]],Imput[[C. Imp.]:[C. Imp.]],$D627,Imput[[PERIODO Imp.]:[PERIODO Imp.]],CM$9)</f>
        <v>0</v>
      </c>
      <c r="CN627" s="693">
        <f>SUMIFS(Imput[[Importe Neto]:[Importe Neto]],Imput[[C. Imp.]:[C. Imp.]],$D627,Imput[[PERIODO Imp.]:[PERIODO Imp.]],CN$9)</f>
        <v>0</v>
      </c>
      <c r="CO627" s="693">
        <f>SUMIFS(Imput[[Importe Neto]:[Importe Neto]],Imput[[C. Imp.]:[C. Imp.]],$D627,Imput[[PERIODO Imp.]:[PERIODO Imp.]],CO$9)</f>
        <v>0</v>
      </c>
      <c r="CP627" s="693">
        <f>SUMIFS(Imput[[Importe Neto]:[Importe Neto]],Imput[[C. Imp.]:[C. Imp.]],$D627,Imput[[PERIODO Imp.]:[PERIODO Imp.]],CP$9)</f>
        <v>0</v>
      </c>
      <c r="CQ627" s="693">
        <f>SUMIFS(Imput[[Importe Neto]:[Importe Neto]],Imput[[C. Imp.]:[C. Imp.]],$D627,Imput[[PERIODO Imp.]:[PERIODO Imp.]],CQ$9)</f>
        <v>0</v>
      </c>
      <c r="CR627" s="693">
        <f>SUMIFS(Imput[[Importe Neto]:[Importe Neto]],Imput[[C. Imp.]:[C. Imp.]],$D627,Imput[[PERIODO Imp.]:[PERIODO Imp.]],CR$9)</f>
        <v>0</v>
      </c>
      <c r="CS627" s="693">
        <f>SUMIFS(Imput[[Importe Neto]:[Importe Neto]],Imput[[C. Imp.]:[C. Imp.]],$D627,Imput[[PERIODO Imp.]:[PERIODO Imp.]],CS$9)</f>
        <v>0</v>
      </c>
      <c r="CT627" s="693">
        <f>SUMIFS(Imput[[Importe Neto]:[Importe Neto]],Imput[[C. Imp.]:[C. Imp.]],$D627,Imput[[PERIODO Imp.]:[PERIODO Imp.]],CT$9)</f>
        <v>0</v>
      </c>
      <c r="CU627" s="693">
        <f>SUMIFS(Imput[[Importe Neto]:[Importe Neto]],Imput[[C. Imp.]:[C. Imp.]],$D627,Imput[[PERIODO Imp.]:[PERIODO Imp.]],CU$9)</f>
        <v>0</v>
      </c>
      <c r="CV627" s="693">
        <f>SUMIFS(Imput[[Importe Neto]:[Importe Neto]],Imput[[C. Imp.]:[C. Imp.]],$D627,Imput[[PERIODO Imp.]:[PERIODO Imp.]],CV$9)</f>
        <v>0</v>
      </c>
      <c r="CW627" s="693">
        <f>SUMIFS(Imput[[Importe Neto]:[Importe Neto]],Imput[[C. Imp.]:[C. Imp.]],$D627,Imput[[PERIODO Imp.]:[PERIODO Imp.]],CW$9)</f>
        <v>0</v>
      </c>
      <c r="CX627" s="693">
        <f>SUMIFS(Imput[[Importe Neto]:[Importe Neto]],Imput[[C. Imp.]:[C. Imp.]],$D627,Imput[[PERIODO Imp.]:[PERIODO Imp.]],CX$9)</f>
        <v>0</v>
      </c>
      <c r="CY627" s="693">
        <f>SUMIFS(Imput[[Importe Neto]:[Importe Neto]],Imput[[C. Imp.]:[C. Imp.]],$D627,Imput[[PERIODO Imp.]:[PERIODO Imp.]],CY$9)</f>
        <v>0</v>
      </c>
      <c r="CZ627" s="693">
        <f>SUMIFS(Imput[[Importe Neto]:[Importe Neto]],Imput[[C. Imp.]:[C. Imp.]],$D627,Imput[[PERIODO Imp.]:[PERIODO Imp.]],CZ$9)</f>
        <v>0</v>
      </c>
      <c r="DA627" s="693">
        <f>SUMIFS(Imput[[Importe Neto]:[Importe Neto]],Imput[[C. Imp.]:[C. Imp.]],$D627,Imput[[PERIODO Imp.]:[PERIODO Imp.]],DA$9)</f>
        <v>0</v>
      </c>
      <c r="DB627" s="693">
        <f>SUMIFS(Imput[[Importe Neto]:[Importe Neto]],Imput[[C. Imp.]:[C. Imp.]],$D627,Imput[[PERIODO Imp.]:[PERIODO Imp.]],DB$9)</f>
        <v>0</v>
      </c>
      <c r="DC627" s="693">
        <f>SUMIFS(Imput[[Importe Neto]:[Importe Neto]],Imput[[C. Imp.]:[C. Imp.]],$D627,Imput[[PERIODO Imp.]:[PERIODO Imp.]],DC$9)</f>
        <v>0</v>
      </c>
      <c r="DD627" s="693">
        <f>SUMIFS(Imput[[Importe Neto]:[Importe Neto]],Imput[[C. Imp.]:[C. Imp.]],$D627,Imput[[PERIODO Imp.]:[PERIODO Imp.]],DD$9)</f>
        <v>0</v>
      </c>
      <c r="DE627" s="693">
        <f>SUMIFS(Imput[[Importe Neto]:[Importe Neto]],Imput[[C. Imp.]:[C. Imp.]],$D627,Imput[[PERIODO Imp.]:[PERIODO Imp.]],DE$9)</f>
        <v>0</v>
      </c>
      <c r="DF627" s="693">
        <f>SUMIFS(Imput[[Importe Neto]:[Importe Neto]],Imput[[C. Imp.]:[C. Imp.]],$D627,Imput[[PERIODO Imp.]:[PERIODO Imp.]],DF$9)</f>
        <v>0</v>
      </c>
      <c r="DG627" s="693">
        <f>SUMIFS(Imput[[Importe Neto]:[Importe Neto]],Imput[[C. Imp.]:[C. Imp.]],$D627,Imput[[PERIODO Imp.]:[PERIODO Imp.]],DG$9)</f>
        <v>0</v>
      </c>
      <c r="DH627" s="694">
        <f>SUMIFS(Imput[[Importe Neto]:[Importe Neto]],Imput[[C. Imp.]:[C. Imp.]],$D627,Imput[[PERIODO Imp.]:[PERIODO Imp.]],DH$9)</f>
        <v>0</v>
      </c>
    </row>
    <row r="628" spans="1:112" s="649" customFormat="1" hidden="1" outlineLevel="1" x14ac:dyDescent="0.3">
      <c r="A628" s="652" t="str">
        <f t="shared" si="222"/>
        <v/>
      </c>
      <c r="B628" s="652"/>
      <c r="C628" s="685"/>
      <c r="D628" s="686" t="s">
        <v>2646</v>
      </c>
      <c r="E628" s="686"/>
      <c r="F628" s="720"/>
      <c r="G628" s="688"/>
      <c r="H628" s="689"/>
      <c r="I628" s="851" t="str">
        <f t="shared" ref="I628:I644" si="227">IF(E628&gt;0,$J$5,"")</f>
        <v/>
      </c>
      <c r="J628" s="850" t="str">
        <f t="shared" si="224"/>
        <v/>
      </c>
      <c r="K628" s="667"/>
      <c r="L628" s="858"/>
      <c r="M628" s="859"/>
      <c r="N628" s="859"/>
      <c r="O628" s="859"/>
      <c r="P628" s="859"/>
      <c r="Q628" s="859"/>
      <c r="R628" s="859"/>
      <c r="S628" s="859"/>
      <c r="T628" s="859"/>
      <c r="U628" s="859"/>
      <c r="V628" s="859"/>
      <c r="W628" s="859"/>
      <c r="X628" s="859"/>
      <c r="Y628" s="859"/>
      <c r="Z628" s="860"/>
      <c r="AA628" s="860"/>
      <c r="AB628" s="860"/>
      <c r="AC628" s="860"/>
      <c r="AD628" s="860"/>
      <c r="AE628" s="860"/>
      <c r="AF628" s="860"/>
      <c r="AG628" s="860"/>
      <c r="AH628" s="860"/>
      <c r="AI628" s="860"/>
      <c r="AJ628" s="860"/>
      <c r="AK628" s="860"/>
      <c r="AL628" s="860"/>
      <c r="AM628" s="860"/>
      <c r="AN628" s="860"/>
      <c r="AO628" s="860"/>
      <c r="AP628" s="860"/>
      <c r="AQ628" s="860"/>
      <c r="AR628" s="860"/>
      <c r="AS628" s="860"/>
      <c r="AT628" s="860"/>
      <c r="AU628" s="860"/>
      <c r="AV628" s="860"/>
      <c r="AW628" s="860"/>
      <c r="AX628" s="860"/>
      <c r="AY628" s="860"/>
      <c r="AZ628" s="860"/>
      <c r="BA628" s="860"/>
      <c r="BB628" s="860"/>
      <c r="BC628" s="860"/>
      <c r="BD628" s="860"/>
      <c r="BE628" s="860"/>
      <c r="BF628" s="860"/>
      <c r="BG628" s="860"/>
      <c r="BH628" s="668"/>
      <c r="BI628" s="667"/>
      <c r="BJ628" s="690">
        <f t="shared" ref="BJ628:BJ644" si="228">IFERROR(BK628/J628,0)</f>
        <v>0</v>
      </c>
      <c r="BK628" s="691">
        <f t="shared" ref="BK628:BK644" si="229">SUM(BM628:DH628)</f>
        <v>0</v>
      </c>
      <c r="BL628" s="654"/>
      <c r="BM628" s="692">
        <f>SUMIFS(Imput[[Importe Neto]:[Importe Neto]],Imput[[C. Imp.]:[C. Imp.]],$D628,Imput[[PERIODO Imp.]:[PERIODO Imp.]],BM$9)</f>
        <v>0</v>
      </c>
      <c r="BN628" s="693">
        <f>SUMIFS(Imput[[Importe Neto]:[Importe Neto]],Imput[[C. Imp.]:[C. Imp.]],$D628,Imput[[PERIODO Imp.]:[PERIODO Imp.]],BN$9)</f>
        <v>0</v>
      </c>
      <c r="BO628" s="693">
        <f>SUMIFS(Imput[[Importe Neto]:[Importe Neto]],Imput[[C. Imp.]:[C. Imp.]],$D628,Imput[[PERIODO Imp.]:[PERIODO Imp.]],BO$9)</f>
        <v>0</v>
      </c>
      <c r="BP628" s="693">
        <f>SUMIFS(Imput[[Importe Neto]:[Importe Neto]],Imput[[C. Imp.]:[C. Imp.]],$D628,Imput[[PERIODO Imp.]:[PERIODO Imp.]],BP$9)</f>
        <v>0</v>
      </c>
      <c r="BQ628" s="693">
        <f>SUMIFS(Imput[[Importe Neto]:[Importe Neto]],Imput[[C. Imp.]:[C. Imp.]],$D628,Imput[[PERIODO Imp.]:[PERIODO Imp.]],BQ$9)</f>
        <v>0</v>
      </c>
      <c r="BR628" s="693">
        <f>SUMIFS(Imput[[Importe Neto]:[Importe Neto]],Imput[[C. Imp.]:[C. Imp.]],$D628,Imput[[PERIODO Imp.]:[PERIODO Imp.]],BR$9)</f>
        <v>0</v>
      </c>
      <c r="BS628" s="693">
        <f>SUMIFS(Imput[[Importe Neto]:[Importe Neto]],Imput[[C. Imp.]:[C. Imp.]],$D628,Imput[[PERIODO Imp.]:[PERIODO Imp.]],BS$9)</f>
        <v>0</v>
      </c>
      <c r="BT628" s="693">
        <f>SUMIFS(Imput[[Importe Neto]:[Importe Neto]],Imput[[C. Imp.]:[C. Imp.]],$D628,Imput[[PERIODO Imp.]:[PERIODO Imp.]],BT$9)</f>
        <v>0</v>
      </c>
      <c r="BU628" s="693">
        <f>SUMIFS(Imput[[Importe Neto]:[Importe Neto]],Imput[[C. Imp.]:[C. Imp.]],$D628,Imput[[PERIODO Imp.]:[PERIODO Imp.]],BU$9)</f>
        <v>0</v>
      </c>
      <c r="BV628" s="693">
        <f>SUMIFS(Imput[[Importe Neto]:[Importe Neto]],Imput[[C. Imp.]:[C. Imp.]],$D628,Imput[[PERIODO Imp.]:[PERIODO Imp.]],BV$9)</f>
        <v>0</v>
      </c>
      <c r="BW628" s="693">
        <f>SUMIFS(Imput[[Importe Neto]:[Importe Neto]],Imput[[C. Imp.]:[C. Imp.]],$D628,Imput[[PERIODO Imp.]:[PERIODO Imp.]],BW$9)</f>
        <v>0</v>
      </c>
      <c r="BX628" s="693">
        <f>SUMIFS(Imput[[Importe Neto]:[Importe Neto]],Imput[[C. Imp.]:[C. Imp.]],$D628,Imput[[PERIODO Imp.]:[PERIODO Imp.]],BX$9)</f>
        <v>0</v>
      </c>
      <c r="BY628" s="693">
        <f>SUMIFS(Imput[[Importe Neto]:[Importe Neto]],Imput[[C. Imp.]:[C. Imp.]],$D628,Imput[[PERIODO Imp.]:[PERIODO Imp.]],BY$9)</f>
        <v>0</v>
      </c>
      <c r="BZ628" s="693">
        <f>SUMIFS(Imput[[Importe Neto]:[Importe Neto]],Imput[[C. Imp.]:[C. Imp.]],$D628,Imput[[PERIODO Imp.]:[PERIODO Imp.]],BZ$9)</f>
        <v>0</v>
      </c>
      <c r="CA628" s="693">
        <f>SUMIFS(Imput[[Importe Neto]:[Importe Neto]],Imput[[C. Imp.]:[C. Imp.]],$D628,Imput[[PERIODO Imp.]:[PERIODO Imp.]],CA$9)</f>
        <v>0</v>
      </c>
      <c r="CB628" s="693">
        <f>SUMIFS(Imput[[Importe Neto]:[Importe Neto]],Imput[[C. Imp.]:[C. Imp.]],$D628,Imput[[PERIODO Imp.]:[PERIODO Imp.]],CB$9)</f>
        <v>0</v>
      </c>
      <c r="CC628" s="693">
        <f>SUMIFS(Imput[[Importe Neto]:[Importe Neto]],Imput[[C. Imp.]:[C. Imp.]],$D628,Imput[[PERIODO Imp.]:[PERIODO Imp.]],CC$9)</f>
        <v>0</v>
      </c>
      <c r="CD628" s="693">
        <f>SUMIFS(Imput[[Importe Neto]:[Importe Neto]],Imput[[C. Imp.]:[C. Imp.]],$D628,Imput[[PERIODO Imp.]:[PERIODO Imp.]],CD$9)</f>
        <v>0</v>
      </c>
      <c r="CE628" s="693">
        <f>SUMIFS(Imput[[Importe Neto]:[Importe Neto]],Imput[[C. Imp.]:[C. Imp.]],$D628,Imput[[PERIODO Imp.]:[PERIODO Imp.]],CE$9)</f>
        <v>0</v>
      </c>
      <c r="CF628" s="693">
        <f>SUMIFS(Imput[[Importe Neto]:[Importe Neto]],Imput[[C. Imp.]:[C. Imp.]],$D628,Imput[[PERIODO Imp.]:[PERIODO Imp.]],CF$9)</f>
        <v>0</v>
      </c>
      <c r="CG628" s="693">
        <f>SUMIFS(Imput[[Importe Neto]:[Importe Neto]],Imput[[C. Imp.]:[C. Imp.]],$D628,Imput[[PERIODO Imp.]:[PERIODO Imp.]],CG$9)</f>
        <v>0</v>
      </c>
      <c r="CH628" s="693">
        <f>SUMIFS(Imput[[Importe Neto]:[Importe Neto]],Imput[[C. Imp.]:[C. Imp.]],$D628,Imput[[PERIODO Imp.]:[PERIODO Imp.]],CH$9)</f>
        <v>0</v>
      </c>
      <c r="CI628" s="693">
        <f>SUMIFS(Imput[[Importe Neto]:[Importe Neto]],Imput[[C. Imp.]:[C. Imp.]],$D628,Imput[[PERIODO Imp.]:[PERIODO Imp.]],CI$9)</f>
        <v>0</v>
      </c>
      <c r="CJ628" s="693">
        <f>SUMIFS(Imput[[Importe Neto]:[Importe Neto]],Imput[[C. Imp.]:[C. Imp.]],$D628,Imput[[PERIODO Imp.]:[PERIODO Imp.]],CJ$9)</f>
        <v>0</v>
      </c>
      <c r="CK628" s="693">
        <f>SUMIFS(Imput[[Importe Neto]:[Importe Neto]],Imput[[C. Imp.]:[C. Imp.]],$D628,Imput[[PERIODO Imp.]:[PERIODO Imp.]],CK$9)</f>
        <v>0</v>
      </c>
      <c r="CL628" s="693">
        <f>SUMIFS(Imput[[Importe Neto]:[Importe Neto]],Imput[[C. Imp.]:[C. Imp.]],$D628,Imput[[PERIODO Imp.]:[PERIODO Imp.]],CL$9)</f>
        <v>0</v>
      </c>
      <c r="CM628" s="693">
        <f>SUMIFS(Imput[[Importe Neto]:[Importe Neto]],Imput[[C. Imp.]:[C. Imp.]],$D628,Imput[[PERIODO Imp.]:[PERIODO Imp.]],CM$9)</f>
        <v>0</v>
      </c>
      <c r="CN628" s="693">
        <f>SUMIFS(Imput[[Importe Neto]:[Importe Neto]],Imput[[C. Imp.]:[C. Imp.]],$D628,Imput[[PERIODO Imp.]:[PERIODO Imp.]],CN$9)</f>
        <v>0</v>
      </c>
      <c r="CO628" s="693">
        <f>SUMIFS(Imput[[Importe Neto]:[Importe Neto]],Imput[[C. Imp.]:[C. Imp.]],$D628,Imput[[PERIODO Imp.]:[PERIODO Imp.]],CO$9)</f>
        <v>0</v>
      </c>
      <c r="CP628" s="693">
        <f>SUMIFS(Imput[[Importe Neto]:[Importe Neto]],Imput[[C. Imp.]:[C. Imp.]],$D628,Imput[[PERIODO Imp.]:[PERIODO Imp.]],CP$9)</f>
        <v>0</v>
      </c>
      <c r="CQ628" s="693">
        <f>SUMIFS(Imput[[Importe Neto]:[Importe Neto]],Imput[[C. Imp.]:[C. Imp.]],$D628,Imput[[PERIODO Imp.]:[PERIODO Imp.]],CQ$9)</f>
        <v>0</v>
      </c>
      <c r="CR628" s="693">
        <f>SUMIFS(Imput[[Importe Neto]:[Importe Neto]],Imput[[C. Imp.]:[C. Imp.]],$D628,Imput[[PERIODO Imp.]:[PERIODO Imp.]],CR$9)</f>
        <v>0</v>
      </c>
      <c r="CS628" s="693">
        <f>SUMIFS(Imput[[Importe Neto]:[Importe Neto]],Imput[[C. Imp.]:[C. Imp.]],$D628,Imput[[PERIODO Imp.]:[PERIODO Imp.]],CS$9)</f>
        <v>0</v>
      </c>
      <c r="CT628" s="693">
        <f>SUMIFS(Imput[[Importe Neto]:[Importe Neto]],Imput[[C. Imp.]:[C. Imp.]],$D628,Imput[[PERIODO Imp.]:[PERIODO Imp.]],CT$9)</f>
        <v>0</v>
      </c>
      <c r="CU628" s="693">
        <f>SUMIFS(Imput[[Importe Neto]:[Importe Neto]],Imput[[C. Imp.]:[C. Imp.]],$D628,Imput[[PERIODO Imp.]:[PERIODO Imp.]],CU$9)</f>
        <v>0</v>
      </c>
      <c r="CV628" s="693">
        <f>SUMIFS(Imput[[Importe Neto]:[Importe Neto]],Imput[[C. Imp.]:[C. Imp.]],$D628,Imput[[PERIODO Imp.]:[PERIODO Imp.]],CV$9)</f>
        <v>0</v>
      </c>
      <c r="CW628" s="693">
        <f>SUMIFS(Imput[[Importe Neto]:[Importe Neto]],Imput[[C. Imp.]:[C. Imp.]],$D628,Imput[[PERIODO Imp.]:[PERIODO Imp.]],CW$9)</f>
        <v>0</v>
      </c>
      <c r="CX628" s="693">
        <f>SUMIFS(Imput[[Importe Neto]:[Importe Neto]],Imput[[C. Imp.]:[C. Imp.]],$D628,Imput[[PERIODO Imp.]:[PERIODO Imp.]],CX$9)</f>
        <v>0</v>
      </c>
      <c r="CY628" s="693">
        <f>SUMIFS(Imput[[Importe Neto]:[Importe Neto]],Imput[[C. Imp.]:[C. Imp.]],$D628,Imput[[PERIODO Imp.]:[PERIODO Imp.]],CY$9)</f>
        <v>0</v>
      </c>
      <c r="CZ628" s="693">
        <f>SUMIFS(Imput[[Importe Neto]:[Importe Neto]],Imput[[C. Imp.]:[C. Imp.]],$D628,Imput[[PERIODO Imp.]:[PERIODO Imp.]],CZ$9)</f>
        <v>0</v>
      </c>
      <c r="DA628" s="693">
        <f>SUMIFS(Imput[[Importe Neto]:[Importe Neto]],Imput[[C. Imp.]:[C. Imp.]],$D628,Imput[[PERIODO Imp.]:[PERIODO Imp.]],DA$9)</f>
        <v>0</v>
      </c>
      <c r="DB628" s="693">
        <f>SUMIFS(Imput[[Importe Neto]:[Importe Neto]],Imput[[C. Imp.]:[C. Imp.]],$D628,Imput[[PERIODO Imp.]:[PERIODO Imp.]],DB$9)</f>
        <v>0</v>
      </c>
      <c r="DC628" s="693">
        <f>SUMIFS(Imput[[Importe Neto]:[Importe Neto]],Imput[[C. Imp.]:[C. Imp.]],$D628,Imput[[PERIODO Imp.]:[PERIODO Imp.]],DC$9)</f>
        <v>0</v>
      </c>
      <c r="DD628" s="693">
        <f>SUMIFS(Imput[[Importe Neto]:[Importe Neto]],Imput[[C. Imp.]:[C. Imp.]],$D628,Imput[[PERIODO Imp.]:[PERIODO Imp.]],DD$9)</f>
        <v>0</v>
      </c>
      <c r="DE628" s="693">
        <f>SUMIFS(Imput[[Importe Neto]:[Importe Neto]],Imput[[C. Imp.]:[C. Imp.]],$D628,Imput[[PERIODO Imp.]:[PERIODO Imp.]],DE$9)</f>
        <v>0</v>
      </c>
      <c r="DF628" s="693">
        <f>SUMIFS(Imput[[Importe Neto]:[Importe Neto]],Imput[[C. Imp.]:[C. Imp.]],$D628,Imput[[PERIODO Imp.]:[PERIODO Imp.]],DF$9)</f>
        <v>0</v>
      </c>
      <c r="DG628" s="693">
        <f>SUMIFS(Imput[[Importe Neto]:[Importe Neto]],Imput[[C. Imp.]:[C. Imp.]],$D628,Imput[[PERIODO Imp.]:[PERIODO Imp.]],DG$9)</f>
        <v>0</v>
      </c>
      <c r="DH628" s="694">
        <f>SUMIFS(Imput[[Importe Neto]:[Importe Neto]],Imput[[C. Imp.]:[C. Imp.]],$D628,Imput[[PERIODO Imp.]:[PERIODO Imp.]],DH$9)</f>
        <v>0</v>
      </c>
    </row>
    <row r="629" spans="1:112" s="649" customFormat="1" hidden="1" outlineLevel="1" x14ac:dyDescent="0.3">
      <c r="A629" s="652" t="str">
        <f t="shared" si="222"/>
        <v/>
      </c>
      <c r="B629" s="652"/>
      <c r="C629" s="685"/>
      <c r="D629" s="686" t="s">
        <v>2647</v>
      </c>
      <c r="E629" s="686"/>
      <c r="F629" s="720"/>
      <c r="G629" s="688"/>
      <c r="H629" s="689"/>
      <c r="I629" s="851" t="str">
        <f t="shared" si="227"/>
        <v/>
      </c>
      <c r="J629" s="850" t="str">
        <f t="shared" si="224"/>
        <v/>
      </c>
      <c r="K629" s="667"/>
      <c r="L629" s="858"/>
      <c r="M629" s="859"/>
      <c r="N629" s="859"/>
      <c r="O629" s="859"/>
      <c r="P629" s="859"/>
      <c r="Q629" s="859"/>
      <c r="R629" s="859"/>
      <c r="S629" s="859"/>
      <c r="T629" s="859"/>
      <c r="U629" s="859"/>
      <c r="V629" s="859"/>
      <c r="W629" s="859"/>
      <c r="X629" s="859"/>
      <c r="Y629" s="859"/>
      <c r="Z629" s="860"/>
      <c r="AA629" s="860"/>
      <c r="AB629" s="860"/>
      <c r="AC629" s="860"/>
      <c r="AD629" s="860"/>
      <c r="AE629" s="860"/>
      <c r="AF629" s="860"/>
      <c r="AG629" s="860"/>
      <c r="AH629" s="860"/>
      <c r="AI629" s="860"/>
      <c r="AJ629" s="860"/>
      <c r="AK629" s="860"/>
      <c r="AL629" s="860"/>
      <c r="AM629" s="860"/>
      <c r="AN629" s="860"/>
      <c r="AO629" s="860"/>
      <c r="AP629" s="860"/>
      <c r="AQ629" s="860"/>
      <c r="AR629" s="860"/>
      <c r="AS629" s="860"/>
      <c r="AT629" s="860"/>
      <c r="AU629" s="860"/>
      <c r="AV629" s="860"/>
      <c r="AW629" s="860"/>
      <c r="AX629" s="860"/>
      <c r="AY629" s="860"/>
      <c r="AZ629" s="860"/>
      <c r="BA629" s="860"/>
      <c r="BB629" s="860"/>
      <c r="BC629" s="860"/>
      <c r="BD629" s="860"/>
      <c r="BE629" s="860"/>
      <c r="BF629" s="860"/>
      <c r="BG629" s="860"/>
      <c r="BH629" s="668"/>
      <c r="BI629" s="667"/>
      <c r="BJ629" s="690">
        <f t="shared" si="228"/>
        <v>0</v>
      </c>
      <c r="BK629" s="691">
        <f t="shared" si="229"/>
        <v>0</v>
      </c>
      <c r="BL629" s="654"/>
      <c r="BM629" s="692">
        <f>SUMIFS(Imput[[Importe Neto]:[Importe Neto]],Imput[[C. Imp.]:[C. Imp.]],$D629,Imput[[PERIODO Imp.]:[PERIODO Imp.]],BM$9)</f>
        <v>0</v>
      </c>
      <c r="BN629" s="693">
        <f>SUMIFS(Imput[[Importe Neto]:[Importe Neto]],Imput[[C. Imp.]:[C. Imp.]],$D629,Imput[[PERIODO Imp.]:[PERIODO Imp.]],BN$9)</f>
        <v>0</v>
      </c>
      <c r="BO629" s="693">
        <f>SUMIFS(Imput[[Importe Neto]:[Importe Neto]],Imput[[C. Imp.]:[C. Imp.]],$D629,Imput[[PERIODO Imp.]:[PERIODO Imp.]],BO$9)</f>
        <v>0</v>
      </c>
      <c r="BP629" s="693">
        <f>SUMIFS(Imput[[Importe Neto]:[Importe Neto]],Imput[[C. Imp.]:[C. Imp.]],$D629,Imput[[PERIODO Imp.]:[PERIODO Imp.]],BP$9)</f>
        <v>0</v>
      </c>
      <c r="BQ629" s="693">
        <f>SUMIFS(Imput[[Importe Neto]:[Importe Neto]],Imput[[C. Imp.]:[C. Imp.]],$D629,Imput[[PERIODO Imp.]:[PERIODO Imp.]],BQ$9)</f>
        <v>0</v>
      </c>
      <c r="BR629" s="693">
        <f>SUMIFS(Imput[[Importe Neto]:[Importe Neto]],Imput[[C. Imp.]:[C. Imp.]],$D629,Imput[[PERIODO Imp.]:[PERIODO Imp.]],BR$9)</f>
        <v>0</v>
      </c>
      <c r="BS629" s="693">
        <f>SUMIFS(Imput[[Importe Neto]:[Importe Neto]],Imput[[C. Imp.]:[C. Imp.]],$D629,Imput[[PERIODO Imp.]:[PERIODO Imp.]],BS$9)</f>
        <v>0</v>
      </c>
      <c r="BT629" s="693">
        <f>SUMIFS(Imput[[Importe Neto]:[Importe Neto]],Imput[[C. Imp.]:[C. Imp.]],$D629,Imput[[PERIODO Imp.]:[PERIODO Imp.]],BT$9)</f>
        <v>0</v>
      </c>
      <c r="BU629" s="693">
        <f>SUMIFS(Imput[[Importe Neto]:[Importe Neto]],Imput[[C. Imp.]:[C. Imp.]],$D629,Imput[[PERIODO Imp.]:[PERIODO Imp.]],BU$9)</f>
        <v>0</v>
      </c>
      <c r="BV629" s="693">
        <f>SUMIFS(Imput[[Importe Neto]:[Importe Neto]],Imput[[C. Imp.]:[C. Imp.]],$D629,Imput[[PERIODO Imp.]:[PERIODO Imp.]],BV$9)</f>
        <v>0</v>
      </c>
      <c r="BW629" s="693">
        <f>SUMIFS(Imput[[Importe Neto]:[Importe Neto]],Imput[[C. Imp.]:[C. Imp.]],$D629,Imput[[PERIODO Imp.]:[PERIODO Imp.]],BW$9)</f>
        <v>0</v>
      </c>
      <c r="BX629" s="693">
        <f>SUMIFS(Imput[[Importe Neto]:[Importe Neto]],Imput[[C. Imp.]:[C. Imp.]],$D629,Imput[[PERIODO Imp.]:[PERIODO Imp.]],BX$9)</f>
        <v>0</v>
      </c>
      <c r="BY629" s="693">
        <f>SUMIFS(Imput[[Importe Neto]:[Importe Neto]],Imput[[C. Imp.]:[C. Imp.]],$D629,Imput[[PERIODO Imp.]:[PERIODO Imp.]],BY$9)</f>
        <v>0</v>
      </c>
      <c r="BZ629" s="693">
        <f>SUMIFS(Imput[[Importe Neto]:[Importe Neto]],Imput[[C. Imp.]:[C. Imp.]],$D629,Imput[[PERIODO Imp.]:[PERIODO Imp.]],BZ$9)</f>
        <v>0</v>
      </c>
      <c r="CA629" s="693">
        <f>SUMIFS(Imput[[Importe Neto]:[Importe Neto]],Imput[[C. Imp.]:[C. Imp.]],$D629,Imput[[PERIODO Imp.]:[PERIODO Imp.]],CA$9)</f>
        <v>0</v>
      </c>
      <c r="CB629" s="693">
        <f>SUMIFS(Imput[[Importe Neto]:[Importe Neto]],Imput[[C. Imp.]:[C. Imp.]],$D629,Imput[[PERIODO Imp.]:[PERIODO Imp.]],CB$9)</f>
        <v>0</v>
      </c>
      <c r="CC629" s="693">
        <f>SUMIFS(Imput[[Importe Neto]:[Importe Neto]],Imput[[C. Imp.]:[C. Imp.]],$D629,Imput[[PERIODO Imp.]:[PERIODO Imp.]],CC$9)</f>
        <v>0</v>
      </c>
      <c r="CD629" s="693">
        <f>SUMIFS(Imput[[Importe Neto]:[Importe Neto]],Imput[[C. Imp.]:[C. Imp.]],$D629,Imput[[PERIODO Imp.]:[PERIODO Imp.]],CD$9)</f>
        <v>0</v>
      </c>
      <c r="CE629" s="693">
        <f>SUMIFS(Imput[[Importe Neto]:[Importe Neto]],Imput[[C. Imp.]:[C. Imp.]],$D629,Imput[[PERIODO Imp.]:[PERIODO Imp.]],CE$9)</f>
        <v>0</v>
      </c>
      <c r="CF629" s="693">
        <f>SUMIFS(Imput[[Importe Neto]:[Importe Neto]],Imput[[C. Imp.]:[C. Imp.]],$D629,Imput[[PERIODO Imp.]:[PERIODO Imp.]],CF$9)</f>
        <v>0</v>
      </c>
      <c r="CG629" s="693">
        <f>SUMIFS(Imput[[Importe Neto]:[Importe Neto]],Imput[[C. Imp.]:[C. Imp.]],$D629,Imput[[PERIODO Imp.]:[PERIODO Imp.]],CG$9)</f>
        <v>0</v>
      </c>
      <c r="CH629" s="693">
        <f>SUMIFS(Imput[[Importe Neto]:[Importe Neto]],Imput[[C. Imp.]:[C. Imp.]],$D629,Imput[[PERIODO Imp.]:[PERIODO Imp.]],CH$9)</f>
        <v>0</v>
      </c>
      <c r="CI629" s="693">
        <f>SUMIFS(Imput[[Importe Neto]:[Importe Neto]],Imput[[C. Imp.]:[C. Imp.]],$D629,Imput[[PERIODO Imp.]:[PERIODO Imp.]],CI$9)</f>
        <v>0</v>
      </c>
      <c r="CJ629" s="693">
        <f>SUMIFS(Imput[[Importe Neto]:[Importe Neto]],Imput[[C. Imp.]:[C. Imp.]],$D629,Imput[[PERIODO Imp.]:[PERIODO Imp.]],CJ$9)</f>
        <v>0</v>
      </c>
      <c r="CK629" s="693">
        <f>SUMIFS(Imput[[Importe Neto]:[Importe Neto]],Imput[[C. Imp.]:[C. Imp.]],$D629,Imput[[PERIODO Imp.]:[PERIODO Imp.]],CK$9)</f>
        <v>0</v>
      </c>
      <c r="CL629" s="693">
        <f>SUMIFS(Imput[[Importe Neto]:[Importe Neto]],Imput[[C. Imp.]:[C. Imp.]],$D629,Imput[[PERIODO Imp.]:[PERIODO Imp.]],CL$9)</f>
        <v>0</v>
      </c>
      <c r="CM629" s="693">
        <f>SUMIFS(Imput[[Importe Neto]:[Importe Neto]],Imput[[C. Imp.]:[C. Imp.]],$D629,Imput[[PERIODO Imp.]:[PERIODO Imp.]],CM$9)</f>
        <v>0</v>
      </c>
      <c r="CN629" s="693">
        <f>SUMIFS(Imput[[Importe Neto]:[Importe Neto]],Imput[[C. Imp.]:[C. Imp.]],$D629,Imput[[PERIODO Imp.]:[PERIODO Imp.]],CN$9)</f>
        <v>0</v>
      </c>
      <c r="CO629" s="693">
        <f>SUMIFS(Imput[[Importe Neto]:[Importe Neto]],Imput[[C. Imp.]:[C. Imp.]],$D629,Imput[[PERIODO Imp.]:[PERIODO Imp.]],CO$9)</f>
        <v>0</v>
      </c>
      <c r="CP629" s="693">
        <f>SUMIFS(Imput[[Importe Neto]:[Importe Neto]],Imput[[C. Imp.]:[C. Imp.]],$D629,Imput[[PERIODO Imp.]:[PERIODO Imp.]],CP$9)</f>
        <v>0</v>
      </c>
      <c r="CQ629" s="693">
        <f>SUMIFS(Imput[[Importe Neto]:[Importe Neto]],Imput[[C. Imp.]:[C. Imp.]],$D629,Imput[[PERIODO Imp.]:[PERIODO Imp.]],CQ$9)</f>
        <v>0</v>
      </c>
      <c r="CR629" s="693">
        <f>SUMIFS(Imput[[Importe Neto]:[Importe Neto]],Imput[[C. Imp.]:[C. Imp.]],$D629,Imput[[PERIODO Imp.]:[PERIODO Imp.]],CR$9)</f>
        <v>0</v>
      </c>
      <c r="CS629" s="693">
        <f>SUMIFS(Imput[[Importe Neto]:[Importe Neto]],Imput[[C. Imp.]:[C. Imp.]],$D629,Imput[[PERIODO Imp.]:[PERIODO Imp.]],CS$9)</f>
        <v>0</v>
      </c>
      <c r="CT629" s="693">
        <f>SUMIFS(Imput[[Importe Neto]:[Importe Neto]],Imput[[C. Imp.]:[C. Imp.]],$D629,Imput[[PERIODO Imp.]:[PERIODO Imp.]],CT$9)</f>
        <v>0</v>
      </c>
      <c r="CU629" s="693">
        <f>SUMIFS(Imput[[Importe Neto]:[Importe Neto]],Imput[[C. Imp.]:[C. Imp.]],$D629,Imput[[PERIODO Imp.]:[PERIODO Imp.]],CU$9)</f>
        <v>0</v>
      </c>
      <c r="CV629" s="693">
        <f>SUMIFS(Imput[[Importe Neto]:[Importe Neto]],Imput[[C. Imp.]:[C. Imp.]],$D629,Imput[[PERIODO Imp.]:[PERIODO Imp.]],CV$9)</f>
        <v>0</v>
      </c>
      <c r="CW629" s="693">
        <f>SUMIFS(Imput[[Importe Neto]:[Importe Neto]],Imput[[C. Imp.]:[C. Imp.]],$D629,Imput[[PERIODO Imp.]:[PERIODO Imp.]],CW$9)</f>
        <v>0</v>
      </c>
      <c r="CX629" s="693">
        <f>SUMIFS(Imput[[Importe Neto]:[Importe Neto]],Imput[[C. Imp.]:[C. Imp.]],$D629,Imput[[PERIODO Imp.]:[PERIODO Imp.]],CX$9)</f>
        <v>0</v>
      </c>
      <c r="CY629" s="693">
        <f>SUMIFS(Imput[[Importe Neto]:[Importe Neto]],Imput[[C. Imp.]:[C. Imp.]],$D629,Imput[[PERIODO Imp.]:[PERIODO Imp.]],CY$9)</f>
        <v>0</v>
      </c>
      <c r="CZ629" s="693">
        <f>SUMIFS(Imput[[Importe Neto]:[Importe Neto]],Imput[[C. Imp.]:[C. Imp.]],$D629,Imput[[PERIODO Imp.]:[PERIODO Imp.]],CZ$9)</f>
        <v>0</v>
      </c>
      <c r="DA629" s="693">
        <f>SUMIFS(Imput[[Importe Neto]:[Importe Neto]],Imput[[C. Imp.]:[C. Imp.]],$D629,Imput[[PERIODO Imp.]:[PERIODO Imp.]],DA$9)</f>
        <v>0</v>
      </c>
      <c r="DB629" s="693">
        <f>SUMIFS(Imput[[Importe Neto]:[Importe Neto]],Imput[[C. Imp.]:[C. Imp.]],$D629,Imput[[PERIODO Imp.]:[PERIODO Imp.]],DB$9)</f>
        <v>0</v>
      </c>
      <c r="DC629" s="693">
        <f>SUMIFS(Imput[[Importe Neto]:[Importe Neto]],Imput[[C. Imp.]:[C. Imp.]],$D629,Imput[[PERIODO Imp.]:[PERIODO Imp.]],DC$9)</f>
        <v>0</v>
      </c>
      <c r="DD629" s="693">
        <f>SUMIFS(Imput[[Importe Neto]:[Importe Neto]],Imput[[C. Imp.]:[C. Imp.]],$D629,Imput[[PERIODO Imp.]:[PERIODO Imp.]],DD$9)</f>
        <v>0</v>
      </c>
      <c r="DE629" s="693">
        <f>SUMIFS(Imput[[Importe Neto]:[Importe Neto]],Imput[[C. Imp.]:[C. Imp.]],$D629,Imput[[PERIODO Imp.]:[PERIODO Imp.]],DE$9)</f>
        <v>0</v>
      </c>
      <c r="DF629" s="693">
        <f>SUMIFS(Imput[[Importe Neto]:[Importe Neto]],Imput[[C. Imp.]:[C. Imp.]],$D629,Imput[[PERIODO Imp.]:[PERIODO Imp.]],DF$9)</f>
        <v>0</v>
      </c>
      <c r="DG629" s="693">
        <f>SUMIFS(Imput[[Importe Neto]:[Importe Neto]],Imput[[C. Imp.]:[C. Imp.]],$D629,Imput[[PERIODO Imp.]:[PERIODO Imp.]],DG$9)</f>
        <v>0</v>
      </c>
      <c r="DH629" s="694">
        <f>SUMIFS(Imput[[Importe Neto]:[Importe Neto]],Imput[[C. Imp.]:[C. Imp.]],$D629,Imput[[PERIODO Imp.]:[PERIODO Imp.]],DH$9)</f>
        <v>0</v>
      </c>
    </row>
    <row r="630" spans="1:112" s="649" customFormat="1" hidden="1" outlineLevel="1" x14ac:dyDescent="0.3">
      <c r="A630" s="652" t="str">
        <f t="shared" si="222"/>
        <v/>
      </c>
      <c r="B630" s="652"/>
      <c r="C630" s="685"/>
      <c r="D630" s="686" t="s">
        <v>2648</v>
      </c>
      <c r="E630" s="686"/>
      <c r="F630" s="720"/>
      <c r="G630" s="688"/>
      <c r="H630" s="689"/>
      <c r="I630" s="851" t="str">
        <f t="shared" si="227"/>
        <v/>
      </c>
      <c r="J630" s="850" t="str">
        <f t="shared" si="224"/>
        <v/>
      </c>
      <c r="K630" s="667"/>
      <c r="L630" s="858"/>
      <c r="M630" s="859"/>
      <c r="N630" s="859"/>
      <c r="O630" s="859"/>
      <c r="P630" s="859"/>
      <c r="Q630" s="859"/>
      <c r="R630" s="859"/>
      <c r="S630" s="859"/>
      <c r="T630" s="859"/>
      <c r="U630" s="859"/>
      <c r="V630" s="859"/>
      <c r="W630" s="859"/>
      <c r="X630" s="859"/>
      <c r="Y630" s="859"/>
      <c r="Z630" s="860"/>
      <c r="AA630" s="860"/>
      <c r="AB630" s="860"/>
      <c r="AC630" s="860"/>
      <c r="AD630" s="860"/>
      <c r="AE630" s="860"/>
      <c r="AF630" s="860"/>
      <c r="AG630" s="860"/>
      <c r="AH630" s="860"/>
      <c r="AI630" s="860"/>
      <c r="AJ630" s="860"/>
      <c r="AK630" s="860"/>
      <c r="AL630" s="860"/>
      <c r="AM630" s="860"/>
      <c r="AN630" s="860"/>
      <c r="AO630" s="860"/>
      <c r="AP630" s="860"/>
      <c r="AQ630" s="860"/>
      <c r="AR630" s="860"/>
      <c r="AS630" s="860"/>
      <c r="AT630" s="860"/>
      <c r="AU630" s="860"/>
      <c r="AV630" s="860"/>
      <c r="AW630" s="860"/>
      <c r="AX630" s="860"/>
      <c r="AY630" s="860"/>
      <c r="AZ630" s="860"/>
      <c r="BA630" s="860"/>
      <c r="BB630" s="860"/>
      <c r="BC630" s="860"/>
      <c r="BD630" s="860"/>
      <c r="BE630" s="860"/>
      <c r="BF630" s="860"/>
      <c r="BG630" s="860"/>
      <c r="BH630" s="668"/>
      <c r="BI630" s="654"/>
      <c r="BJ630" s="690">
        <f t="shared" si="228"/>
        <v>0</v>
      </c>
      <c r="BK630" s="691">
        <f t="shared" si="229"/>
        <v>0</v>
      </c>
      <c r="BL630" s="654"/>
      <c r="BM630" s="692">
        <f>SUMIFS(Imput[[Importe Neto]:[Importe Neto]],Imput[[C. Imp.]:[C. Imp.]],$D630,Imput[[PERIODO Imp.]:[PERIODO Imp.]],BM$9)</f>
        <v>0</v>
      </c>
      <c r="BN630" s="693">
        <f>SUMIFS(Imput[[Importe Neto]:[Importe Neto]],Imput[[C. Imp.]:[C. Imp.]],$D630,Imput[[PERIODO Imp.]:[PERIODO Imp.]],BN$9)</f>
        <v>0</v>
      </c>
      <c r="BO630" s="693">
        <f>SUMIFS(Imput[[Importe Neto]:[Importe Neto]],Imput[[C. Imp.]:[C. Imp.]],$D630,Imput[[PERIODO Imp.]:[PERIODO Imp.]],BO$9)</f>
        <v>0</v>
      </c>
      <c r="BP630" s="693">
        <f>SUMIFS(Imput[[Importe Neto]:[Importe Neto]],Imput[[C. Imp.]:[C. Imp.]],$D630,Imput[[PERIODO Imp.]:[PERIODO Imp.]],BP$9)</f>
        <v>0</v>
      </c>
      <c r="BQ630" s="693">
        <f>SUMIFS(Imput[[Importe Neto]:[Importe Neto]],Imput[[C. Imp.]:[C. Imp.]],$D630,Imput[[PERIODO Imp.]:[PERIODO Imp.]],BQ$9)</f>
        <v>0</v>
      </c>
      <c r="BR630" s="693">
        <f>SUMIFS(Imput[[Importe Neto]:[Importe Neto]],Imput[[C. Imp.]:[C. Imp.]],$D630,Imput[[PERIODO Imp.]:[PERIODO Imp.]],BR$9)</f>
        <v>0</v>
      </c>
      <c r="BS630" s="693">
        <f>SUMIFS(Imput[[Importe Neto]:[Importe Neto]],Imput[[C. Imp.]:[C. Imp.]],$D630,Imput[[PERIODO Imp.]:[PERIODO Imp.]],BS$9)</f>
        <v>0</v>
      </c>
      <c r="BT630" s="693">
        <f>SUMIFS(Imput[[Importe Neto]:[Importe Neto]],Imput[[C. Imp.]:[C. Imp.]],$D630,Imput[[PERIODO Imp.]:[PERIODO Imp.]],BT$9)</f>
        <v>0</v>
      </c>
      <c r="BU630" s="693">
        <f>SUMIFS(Imput[[Importe Neto]:[Importe Neto]],Imput[[C. Imp.]:[C. Imp.]],$D630,Imput[[PERIODO Imp.]:[PERIODO Imp.]],BU$9)</f>
        <v>0</v>
      </c>
      <c r="BV630" s="693">
        <f>SUMIFS(Imput[[Importe Neto]:[Importe Neto]],Imput[[C. Imp.]:[C. Imp.]],$D630,Imput[[PERIODO Imp.]:[PERIODO Imp.]],BV$9)</f>
        <v>0</v>
      </c>
      <c r="BW630" s="693">
        <f>SUMIFS(Imput[[Importe Neto]:[Importe Neto]],Imput[[C. Imp.]:[C. Imp.]],$D630,Imput[[PERIODO Imp.]:[PERIODO Imp.]],BW$9)</f>
        <v>0</v>
      </c>
      <c r="BX630" s="693">
        <f>SUMIFS(Imput[[Importe Neto]:[Importe Neto]],Imput[[C. Imp.]:[C. Imp.]],$D630,Imput[[PERIODO Imp.]:[PERIODO Imp.]],BX$9)</f>
        <v>0</v>
      </c>
      <c r="BY630" s="693">
        <f>SUMIFS(Imput[[Importe Neto]:[Importe Neto]],Imput[[C. Imp.]:[C. Imp.]],$D630,Imput[[PERIODO Imp.]:[PERIODO Imp.]],BY$9)</f>
        <v>0</v>
      </c>
      <c r="BZ630" s="693">
        <f>SUMIFS(Imput[[Importe Neto]:[Importe Neto]],Imput[[C. Imp.]:[C. Imp.]],$D630,Imput[[PERIODO Imp.]:[PERIODO Imp.]],BZ$9)</f>
        <v>0</v>
      </c>
      <c r="CA630" s="693">
        <f>SUMIFS(Imput[[Importe Neto]:[Importe Neto]],Imput[[C. Imp.]:[C. Imp.]],$D630,Imput[[PERIODO Imp.]:[PERIODO Imp.]],CA$9)</f>
        <v>0</v>
      </c>
      <c r="CB630" s="693">
        <f>SUMIFS(Imput[[Importe Neto]:[Importe Neto]],Imput[[C. Imp.]:[C. Imp.]],$D630,Imput[[PERIODO Imp.]:[PERIODO Imp.]],CB$9)</f>
        <v>0</v>
      </c>
      <c r="CC630" s="693">
        <f>SUMIFS(Imput[[Importe Neto]:[Importe Neto]],Imput[[C. Imp.]:[C. Imp.]],$D630,Imput[[PERIODO Imp.]:[PERIODO Imp.]],CC$9)</f>
        <v>0</v>
      </c>
      <c r="CD630" s="693">
        <f>SUMIFS(Imput[[Importe Neto]:[Importe Neto]],Imput[[C. Imp.]:[C. Imp.]],$D630,Imput[[PERIODO Imp.]:[PERIODO Imp.]],CD$9)</f>
        <v>0</v>
      </c>
      <c r="CE630" s="693">
        <f>SUMIFS(Imput[[Importe Neto]:[Importe Neto]],Imput[[C. Imp.]:[C. Imp.]],$D630,Imput[[PERIODO Imp.]:[PERIODO Imp.]],CE$9)</f>
        <v>0</v>
      </c>
      <c r="CF630" s="693">
        <f>SUMIFS(Imput[[Importe Neto]:[Importe Neto]],Imput[[C. Imp.]:[C. Imp.]],$D630,Imput[[PERIODO Imp.]:[PERIODO Imp.]],CF$9)</f>
        <v>0</v>
      </c>
      <c r="CG630" s="693">
        <f>SUMIFS(Imput[[Importe Neto]:[Importe Neto]],Imput[[C. Imp.]:[C. Imp.]],$D630,Imput[[PERIODO Imp.]:[PERIODO Imp.]],CG$9)</f>
        <v>0</v>
      </c>
      <c r="CH630" s="693">
        <f>SUMIFS(Imput[[Importe Neto]:[Importe Neto]],Imput[[C. Imp.]:[C. Imp.]],$D630,Imput[[PERIODO Imp.]:[PERIODO Imp.]],CH$9)</f>
        <v>0</v>
      </c>
      <c r="CI630" s="693">
        <f>SUMIFS(Imput[[Importe Neto]:[Importe Neto]],Imput[[C. Imp.]:[C. Imp.]],$D630,Imput[[PERIODO Imp.]:[PERIODO Imp.]],CI$9)</f>
        <v>0</v>
      </c>
      <c r="CJ630" s="693">
        <f>SUMIFS(Imput[[Importe Neto]:[Importe Neto]],Imput[[C. Imp.]:[C. Imp.]],$D630,Imput[[PERIODO Imp.]:[PERIODO Imp.]],CJ$9)</f>
        <v>0</v>
      </c>
      <c r="CK630" s="693">
        <f>SUMIFS(Imput[[Importe Neto]:[Importe Neto]],Imput[[C. Imp.]:[C. Imp.]],$D630,Imput[[PERIODO Imp.]:[PERIODO Imp.]],CK$9)</f>
        <v>0</v>
      </c>
      <c r="CL630" s="693">
        <f>SUMIFS(Imput[[Importe Neto]:[Importe Neto]],Imput[[C. Imp.]:[C. Imp.]],$D630,Imput[[PERIODO Imp.]:[PERIODO Imp.]],CL$9)</f>
        <v>0</v>
      </c>
      <c r="CM630" s="693">
        <f>SUMIFS(Imput[[Importe Neto]:[Importe Neto]],Imput[[C. Imp.]:[C. Imp.]],$D630,Imput[[PERIODO Imp.]:[PERIODO Imp.]],CM$9)</f>
        <v>0</v>
      </c>
      <c r="CN630" s="693">
        <f>SUMIFS(Imput[[Importe Neto]:[Importe Neto]],Imput[[C. Imp.]:[C. Imp.]],$D630,Imput[[PERIODO Imp.]:[PERIODO Imp.]],CN$9)</f>
        <v>0</v>
      </c>
      <c r="CO630" s="693">
        <f>SUMIFS(Imput[[Importe Neto]:[Importe Neto]],Imput[[C. Imp.]:[C. Imp.]],$D630,Imput[[PERIODO Imp.]:[PERIODO Imp.]],CO$9)</f>
        <v>0</v>
      </c>
      <c r="CP630" s="693">
        <f>SUMIFS(Imput[[Importe Neto]:[Importe Neto]],Imput[[C. Imp.]:[C. Imp.]],$D630,Imput[[PERIODO Imp.]:[PERIODO Imp.]],CP$9)</f>
        <v>0</v>
      </c>
      <c r="CQ630" s="693">
        <f>SUMIFS(Imput[[Importe Neto]:[Importe Neto]],Imput[[C. Imp.]:[C. Imp.]],$D630,Imput[[PERIODO Imp.]:[PERIODO Imp.]],CQ$9)</f>
        <v>0</v>
      </c>
      <c r="CR630" s="693">
        <f>SUMIFS(Imput[[Importe Neto]:[Importe Neto]],Imput[[C. Imp.]:[C. Imp.]],$D630,Imput[[PERIODO Imp.]:[PERIODO Imp.]],CR$9)</f>
        <v>0</v>
      </c>
      <c r="CS630" s="693">
        <f>SUMIFS(Imput[[Importe Neto]:[Importe Neto]],Imput[[C. Imp.]:[C. Imp.]],$D630,Imput[[PERIODO Imp.]:[PERIODO Imp.]],CS$9)</f>
        <v>0</v>
      </c>
      <c r="CT630" s="693">
        <f>SUMIFS(Imput[[Importe Neto]:[Importe Neto]],Imput[[C. Imp.]:[C. Imp.]],$D630,Imput[[PERIODO Imp.]:[PERIODO Imp.]],CT$9)</f>
        <v>0</v>
      </c>
      <c r="CU630" s="693">
        <f>SUMIFS(Imput[[Importe Neto]:[Importe Neto]],Imput[[C. Imp.]:[C. Imp.]],$D630,Imput[[PERIODO Imp.]:[PERIODO Imp.]],CU$9)</f>
        <v>0</v>
      </c>
      <c r="CV630" s="693">
        <f>SUMIFS(Imput[[Importe Neto]:[Importe Neto]],Imput[[C. Imp.]:[C. Imp.]],$D630,Imput[[PERIODO Imp.]:[PERIODO Imp.]],CV$9)</f>
        <v>0</v>
      </c>
      <c r="CW630" s="693">
        <f>SUMIFS(Imput[[Importe Neto]:[Importe Neto]],Imput[[C. Imp.]:[C. Imp.]],$D630,Imput[[PERIODO Imp.]:[PERIODO Imp.]],CW$9)</f>
        <v>0</v>
      </c>
      <c r="CX630" s="693">
        <f>SUMIFS(Imput[[Importe Neto]:[Importe Neto]],Imput[[C. Imp.]:[C. Imp.]],$D630,Imput[[PERIODO Imp.]:[PERIODO Imp.]],CX$9)</f>
        <v>0</v>
      </c>
      <c r="CY630" s="693">
        <f>SUMIFS(Imput[[Importe Neto]:[Importe Neto]],Imput[[C. Imp.]:[C. Imp.]],$D630,Imput[[PERIODO Imp.]:[PERIODO Imp.]],CY$9)</f>
        <v>0</v>
      </c>
      <c r="CZ630" s="693">
        <f>SUMIFS(Imput[[Importe Neto]:[Importe Neto]],Imput[[C. Imp.]:[C. Imp.]],$D630,Imput[[PERIODO Imp.]:[PERIODO Imp.]],CZ$9)</f>
        <v>0</v>
      </c>
      <c r="DA630" s="693">
        <f>SUMIFS(Imput[[Importe Neto]:[Importe Neto]],Imput[[C. Imp.]:[C. Imp.]],$D630,Imput[[PERIODO Imp.]:[PERIODO Imp.]],DA$9)</f>
        <v>0</v>
      </c>
      <c r="DB630" s="693">
        <f>SUMIFS(Imput[[Importe Neto]:[Importe Neto]],Imput[[C. Imp.]:[C. Imp.]],$D630,Imput[[PERIODO Imp.]:[PERIODO Imp.]],DB$9)</f>
        <v>0</v>
      </c>
      <c r="DC630" s="693">
        <f>SUMIFS(Imput[[Importe Neto]:[Importe Neto]],Imput[[C. Imp.]:[C. Imp.]],$D630,Imput[[PERIODO Imp.]:[PERIODO Imp.]],DC$9)</f>
        <v>0</v>
      </c>
      <c r="DD630" s="693">
        <f>SUMIFS(Imput[[Importe Neto]:[Importe Neto]],Imput[[C. Imp.]:[C. Imp.]],$D630,Imput[[PERIODO Imp.]:[PERIODO Imp.]],DD$9)</f>
        <v>0</v>
      </c>
      <c r="DE630" s="693">
        <f>SUMIFS(Imput[[Importe Neto]:[Importe Neto]],Imput[[C. Imp.]:[C. Imp.]],$D630,Imput[[PERIODO Imp.]:[PERIODO Imp.]],DE$9)</f>
        <v>0</v>
      </c>
      <c r="DF630" s="693">
        <f>SUMIFS(Imput[[Importe Neto]:[Importe Neto]],Imput[[C. Imp.]:[C. Imp.]],$D630,Imput[[PERIODO Imp.]:[PERIODO Imp.]],DF$9)</f>
        <v>0</v>
      </c>
      <c r="DG630" s="693">
        <f>SUMIFS(Imput[[Importe Neto]:[Importe Neto]],Imput[[C. Imp.]:[C. Imp.]],$D630,Imput[[PERIODO Imp.]:[PERIODO Imp.]],DG$9)</f>
        <v>0</v>
      </c>
      <c r="DH630" s="694">
        <f>SUMIFS(Imput[[Importe Neto]:[Importe Neto]],Imput[[C. Imp.]:[C. Imp.]],$D630,Imput[[PERIODO Imp.]:[PERIODO Imp.]],DH$9)</f>
        <v>0</v>
      </c>
    </row>
    <row r="631" spans="1:112" s="649" customFormat="1" hidden="1" outlineLevel="1" x14ac:dyDescent="0.3">
      <c r="A631" s="652" t="str">
        <f t="shared" si="222"/>
        <v/>
      </c>
      <c r="B631" s="652"/>
      <c r="C631" s="685"/>
      <c r="D631" s="686" t="s">
        <v>2649</v>
      </c>
      <c r="E631" s="686"/>
      <c r="F631" s="720"/>
      <c r="G631" s="688"/>
      <c r="H631" s="689"/>
      <c r="I631" s="851" t="str">
        <f t="shared" si="227"/>
        <v/>
      </c>
      <c r="J631" s="850" t="str">
        <f t="shared" si="224"/>
        <v/>
      </c>
      <c r="K631" s="667"/>
      <c r="L631" s="858"/>
      <c r="M631" s="859"/>
      <c r="N631" s="859"/>
      <c r="O631" s="859"/>
      <c r="P631" s="859"/>
      <c r="Q631" s="859"/>
      <c r="R631" s="859"/>
      <c r="S631" s="859"/>
      <c r="T631" s="859"/>
      <c r="U631" s="859"/>
      <c r="V631" s="859"/>
      <c r="W631" s="859"/>
      <c r="X631" s="859"/>
      <c r="Y631" s="859"/>
      <c r="Z631" s="860"/>
      <c r="AA631" s="860"/>
      <c r="AB631" s="860"/>
      <c r="AC631" s="860"/>
      <c r="AD631" s="860"/>
      <c r="AE631" s="860"/>
      <c r="AF631" s="860"/>
      <c r="AG631" s="860"/>
      <c r="AH631" s="860"/>
      <c r="AI631" s="860"/>
      <c r="AJ631" s="860"/>
      <c r="AK631" s="860"/>
      <c r="AL631" s="860"/>
      <c r="AM631" s="860"/>
      <c r="AN631" s="860"/>
      <c r="AO631" s="860"/>
      <c r="AP631" s="860"/>
      <c r="AQ631" s="860"/>
      <c r="AR631" s="860"/>
      <c r="AS631" s="860"/>
      <c r="AT631" s="860"/>
      <c r="AU631" s="860"/>
      <c r="AV631" s="860"/>
      <c r="AW631" s="860"/>
      <c r="AX631" s="860"/>
      <c r="AY631" s="860"/>
      <c r="AZ631" s="860"/>
      <c r="BA631" s="860"/>
      <c r="BB631" s="860"/>
      <c r="BC631" s="860"/>
      <c r="BD631" s="860"/>
      <c r="BE631" s="860"/>
      <c r="BF631" s="860"/>
      <c r="BG631" s="860"/>
      <c r="BH631" s="668"/>
      <c r="BI631" s="654"/>
      <c r="BJ631" s="690">
        <f t="shared" si="228"/>
        <v>0</v>
      </c>
      <c r="BK631" s="691">
        <f t="shared" si="229"/>
        <v>0</v>
      </c>
      <c r="BL631" s="654"/>
      <c r="BM631" s="692">
        <f>SUMIFS(Imput[[Importe Neto]:[Importe Neto]],Imput[[C. Imp.]:[C. Imp.]],$D631,Imput[[PERIODO Imp.]:[PERIODO Imp.]],BM$9)</f>
        <v>0</v>
      </c>
      <c r="BN631" s="693">
        <f>SUMIFS(Imput[[Importe Neto]:[Importe Neto]],Imput[[C. Imp.]:[C. Imp.]],$D631,Imput[[PERIODO Imp.]:[PERIODO Imp.]],BN$9)</f>
        <v>0</v>
      </c>
      <c r="BO631" s="693">
        <f>SUMIFS(Imput[[Importe Neto]:[Importe Neto]],Imput[[C. Imp.]:[C. Imp.]],$D631,Imput[[PERIODO Imp.]:[PERIODO Imp.]],BO$9)</f>
        <v>0</v>
      </c>
      <c r="BP631" s="693">
        <f>SUMIFS(Imput[[Importe Neto]:[Importe Neto]],Imput[[C. Imp.]:[C. Imp.]],$D631,Imput[[PERIODO Imp.]:[PERIODO Imp.]],BP$9)</f>
        <v>0</v>
      </c>
      <c r="BQ631" s="693">
        <f>SUMIFS(Imput[[Importe Neto]:[Importe Neto]],Imput[[C. Imp.]:[C. Imp.]],$D631,Imput[[PERIODO Imp.]:[PERIODO Imp.]],BQ$9)</f>
        <v>0</v>
      </c>
      <c r="BR631" s="693">
        <f>SUMIFS(Imput[[Importe Neto]:[Importe Neto]],Imput[[C. Imp.]:[C. Imp.]],$D631,Imput[[PERIODO Imp.]:[PERIODO Imp.]],BR$9)</f>
        <v>0</v>
      </c>
      <c r="BS631" s="693">
        <f>SUMIFS(Imput[[Importe Neto]:[Importe Neto]],Imput[[C. Imp.]:[C. Imp.]],$D631,Imput[[PERIODO Imp.]:[PERIODO Imp.]],BS$9)</f>
        <v>0</v>
      </c>
      <c r="BT631" s="693">
        <f>SUMIFS(Imput[[Importe Neto]:[Importe Neto]],Imput[[C. Imp.]:[C. Imp.]],$D631,Imput[[PERIODO Imp.]:[PERIODO Imp.]],BT$9)</f>
        <v>0</v>
      </c>
      <c r="BU631" s="693">
        <f>SUMIFS(Imput[[Importe Neto]:[Importe Neto]],Imput[[C. Imp.]:[C. Imp.]],$D631,Imput[[PERIODO Imp.]:[PERIODO Imp.]],BU$9)</f>
        <v>0</v>
      </c>
      <c r="BV631" s="693">
        <f>SUMIFS(Imput[[Importe Neto]:[Importe Neto]],Imput[[C. Imp.]:[C. Imp.]],$D631,Imput[[PERIODO Imp.]:[PERIODO Imp.]],BV$9)</f>
        <v>0</v>
      </c>
      <c r="BW631" s="693">
        <f>SUMIFS(Imput[[Importe Neto]:[Importe Neto]],Imput[[C. Imp.]:[C. Imp.]],$D631,Imput[[PERIODO Imp.]:[PERIODO Imp.]],BW$9)</f>
        <v>0</v>
      </c>
      <c r="BX631" s="693">
        <f>SUMIFS(Imput[[Importe Neto]:[Importe Neto]],Imput[[C. Imp.]:[C. Imp.]],$D631,Imput[[PERIODO Imp.]:[PERIODO Imp.]],BX$9)</f>
        <v>0</v>
      </c>
      <c r="BY631" s="693">
        <f>SUMIFS(Imput[[Importe Neto]:[Importe Neto]],Imput[[C. Imp.]:[C. Imp.]],$D631,Imput[[PERIODO Imp.]:[PERIODO Imp.]],BY$9)</f>
        <v>0</v>
      </c>
      <c r="BZ631" s="693">
        <f>SUMIFS(Imput[[Importe Neto]:[Importe Neto]],Imput[[C. Imp.]:[C. Imp.]],$D631,Imput[[PERIODO Imp.]:[PERIODO Imp.]],BZ$9)</f>
        <v>0</v>
      </c>
      <c r="CA631" s="693">
        <f>SUMIFS(Imput[[Importe Neto]:[Importe Neto]],Imput[[C. Imp.]:[C. Imp.]],$D631,Imput[[PERIODO Imp.]:[PERIODO Imp.]],CA$9)</f>
        <v>0</v>
      </c>
      <c r="CB631" s="693">
        <f>SUMIFS(Imput[[Importe Neto]:[Importe Neto]],Imput[[C. Imp.]:[C. Imp.]],$D631,Imput[[PERIODO Imp.]:[PERIODO Imp.]],CB$9)</f>
        <v>0</v>
      </c>
      <c r="CC631" s="693">
        <f>SUMIFS(Imput[[Importe Neto]:[Importe Neto]],Imput[[C. Imp.]:[C. Imp.]],$D631,Imput[[PERIODO Imp.]:[PERIODO Imp.]],CC$9)</f>
        <v>0</v>
      </c>
      <c r="CD631" s="693">
        <f>SUMIFS(Imput[[Importe Neto]:[Importe Neto]],Imput[[C. Imp.]:[C. Imp.]],$D631,Imput[[PERIODO Imp.]:[PERIODO Imp.]],CD$9)</f>
        <v>0</v>
      </c>
      <c r="CE631" s="693">
        <f>SUMIFS(Imput[[Importe Neto]:[Importe Neto]],Imput[[C. Imp.]:[C. Imp.]],$D631,Imput[[PERIODO Imp.]:[PERIODO Imp.]],CE$9)</f>
        <v>0</v>
      </c>
      <c r="CF631" s="693">
        <f>SUMIFS(Imput[[Importe Neto]:[Importe Neto]],Imput[[C. Imp.]:[C. Imp.]],$D631,Imput[[PERIODO Imp.]:[PERIODO Imp.]],CF$9)</f>
        <v>0</v>
      </c>
      <c r="CG631" s="693">
        <f>SUMIFS(Imput[[Importe Neto]:[Importe Neto]],Imput[[C. Imp.]:[C. Imp.]],$D631,Imput[[PERIODO Imp.]:[PERIODO Imp.]],CG$9)</f>
        <v>0</v>
      </c>
      <c r="CH631" s="693">
        <f>SUMIFS(Imput[[Importe Neto]:[Importe Neto]],Imput[[C. Imp.]:[C. Imp.]],$D631,Imput[[PERIODO Imp.]:[PERIODO Imp.]],CH$9)</f>
        <v>0</v>
      </c>
      <c r="CI631" s="693">
        <f>SUMIFS(Imput[[Importe Neto]:[Importe Neto]],Imput[[C. Imp.]:[C. Imp.]],$D631,Imput[[PERIODO Imp.]:[PERIODO Imp.]],CI$9)</f>
        <v>0</v>
      </c>
      <c r="CJ631" s="693">
        <f>SUMIFS(Imput[[Importe Neto]:[Importe Neto]],Imput[[C. Imp.]:[C. Imp.]],$D631,Imput[[PERIODO Imp.]:[PERIODO Imp.]],CJ$9)</f>
        <v>0</v>
      </c>
      <c r="CK631" s="693">
        <f>SUMIFS(Imput[[Importe Neto]:[Importe Neto]],Imput[[C. Imp.]:[C. Imp.]],$D631,Imput[[PERIODO Imp.]:[PERIODO Imp.]],CK$9)</f>
        <v>0</v>
      </c>
      <c r="CL631" s="693">
        <f>SUMIFS(Imput[[Importe Neto]:[Importe Neto]],Imput[[C. Imp.]:[C. Imp.]],$D631,Imput[[PERIODO Imp.]:[PERIODO Imp.]],CL$9)</f>
        <v>0</v>
      </c>
      <c r="CM631" s="693">
        <f>SUMIFS(Imput[[Importe Neto]:[Importe Neto]],Imput[[C. Imp.]:[C. Imp.]],$D631,Imput[[PERIODO Imp.]:[PERIODO Imp.]],CM$9)</f>
        <v>0</v>
      </c>
      <c r="CN631" s="693">
        <f>SUMIFS(Imput[[Importe Neto]:[Importe Neto]],Imput[[C. Imp.]:[C. Imp.]],$D631,Imput[[PERIODO Imp.]:[PERIODO Imp.]],CN$9)</f>
        <v>0</v>
      </c>
      <c r="CO631" s="693">
        <f>SUMIFS(Imput[[Importe Neto]:[Importe Neto]],Imput[[C. Imp.]:[C. Imp.]],$D631,Imput[[PERIODO Imp.]:[PERIODO Imp.]],CO$9)</f>
        <v>0</v>
      </c>
      <c r="CP631" s="693">
        <f>SUMIFS(Imput[[Importe Neto]:[Importe Neto]],Imput[[C. Imp.]:[C. Imp.]],$D631,Imput[[PERIODO Imp.]:[PERIODO Imp.]],CP$9)</f>
        <v>0</v>
      </c>
      <c r="CQ631" s="693">
        <f>SUMIFS(Imput[[Importe Neto]:[Importe Neto]],Imput[[C. Imp.]:[C. Imp.]],$D631,Imput[[PERIODO Imp.]:[PERIODO Imp.]],CQ$9)</f>
        <v>0</v>
      </c>
      <c r="CR631" s="693">
        <f>SUMIFS(Imput[[Importe Neto]:[Importe Neto]],Imput[[C. Imp.]:[C. Imp.]],$D631,Imput[[PERIODO Imp.]:[PERIODO Imp.]],CR$9)</f>
        <v>0</v>
      </c>
      <c r="CS631" s="693">
        <f>SUMIFS(Imput[[Importe Neto]:[Importe Neto]],Imput[[C. Imp.]:[C. Imp.]],$D631,Imput[[PERIODO Imp.]:[PERIODO Imp.]],CS$9)</f>
        <v>0</v>
      </c>
      <c r="CT631" s="693">
        <f>SUMIFS(Imput[[Importe Neto]:[Importe Neto]],Imput[[C. Imp.]:[C. Imp.]],$D631,Imput[[PERIODO Imp.]:[PERIODO Imp.]],CT$9)</f>
        <v>0</v>
      </c>
      <c r="CU631" s="693">
        <f>SUMIFS(Imput[[Importe Neto]:[Importe Neto]],Imput[[C. Imp.]:[C. Imp.]],$D631,Imput[[PERIODO Imp.]:[PERIODO Imp.]],CU$9)</f>
        <v>0</v>
      </c>
      <c r="CV631" s="693">
        <f>SUMIFS(Imput[[Importe Neto]:[Importe Neto]],Imput[[C. Imp.]:[C. Imp.]],$D631,Imput[[PERIODO Imp.]:[PERIODO Imp.]],CV$9)</f>
        <v>0</v>
      </c>
      <c r="CW631" s="693">
        <f>SUMIFS(Imput[[Importe Neto]:[Importe Neto]],Imput[[C. Imp.]:[C. Imp.]],$D631,Imput[[PERIODO Imp.]:[PERIODO Imp.]],CW$9)</f>
        <v>0</v>
      </c>
      <c r="CX631" s="693">
        <f>SUMIFS(Imput[[Importe Neto]:[Importe Neto]],Imput[[C. Imp.]:[C. Imp.]],$D631,Imput[[PERIODO Imp.]:[PERIODO Imp.]],CX$9)</f>
        <v>0</v>
      </c>
      <c r="CY631" s="693">
        <f>SUMIFS(Imput[[Importe Neto]:[Importe Neto]],Imput[[C. Imp.]:[C. Imp.]],$D631,Imput[[PERIODO Imp.]:[PERIODO Imp.]],CY$9)</f>
        <v>0</v>
      </c>
      <c r="CZ631" s="693">
        <f>SUMIFS(Imput[[Importe Neto]:[Importe Neto]],Imput[[C. Imp.]:[C. Imp.]],$D631,Imput[[PERIODO Imp.]:[PERIODO Imp.]],CZ$9)</f>
        <v>0</v>
      </c>
      <c r="DA631" s="693">
        <f>SUMIFS(Imput[[Importe Neto]:[Importe Neto]],Imput[[C. Imp.]:[C. Imp.]],$D631,Imput[[PERIODO Imp.]:[PERIODO Imp.]],DA$9)</f>
        <v>0</v>
      </c>
      <c r="DB631" s="693">
        <f>SUMIFS(Imput[[Importe Neto]:[Importe Neto]],Imput[[C. Imp.]:[C. Imp.]],$D631,Imput[[PERIODO Imp.]:[PERIODO Imp.]],DB$9)</f>
        <v>0</v>
      </c>
      <c r="DC631" s="693">
        <f>SUMIFS(Imput[[Importe Neto]:[Importe Neto]],Imput[[C. Imp.]:[C. Imp.]],$D631,Imput[[PERIODO Imp.]:[PERIODO Imp.]],DC$9)</f>
        <v>0</v>
      </c>
      <c r="DD631" s="693">
        <f>SUMIFS(Imput[[Importe Neto]:[Importe Neto]],Imput[[C. Imp.]:[C. Imp.]],$D631,Imput[[PERIODO Imp.]:[PERIODO Imp.]],DD$9)</f>
        <v>0</v>
      </c>
      <c r="DE631" s="693">
        <f>SUMIFS(Imput[[Importe Neto]:[Importe Neto]],Imput[[C. Imp.]:[C. Imp.]],$D631,Imput[[PERIODO Imp.]:[PERIODO Imp.]],DE$9)</f>
        <v>0</v>
      </c>
      <c r="DF631" s="693">
        <f>SUMIFS(Imput[[Importe Neto]:[Importe Neto]],Imput[[C. Imp.]:[C. Imp.]],$D631,Imput[[PERIODO Imp.]:[PERIODO Imp.]],DF$9)</f>
        <v>0</v>
      </c>
      <c r="DG631" s="693">
        <f>SUMIFS(Imput[[Importe Neto]:[Importe Neto]],Imput[[C. Imp.]:[C. Imp.]],$D631,Imput[[PERIODO Imp.]:[PERIODO Imp.]],DG$9)</f>
        <v>0</v>
      </c>
      <c r="DH631" s="694">
        <f>SUMIFS(Imput[[Importe Neto]:[Importe Neto]],Imput[[C. Imp.]:[C. Imp.]],$D631,Imput[[PERIODO Imp.]:[PERIODO Imp.]],DH$9)</f>
        <v>0</v>
      </c>
    </row>
    <row r="632" spans="1:112" s="649" customFormat="1" hidden="1" outlineLevel="1" x14ac:dyDescent="0.3">
      <c r="A632" s="652" t="str">
        <f t="shared" si="222"/>
        <v/>
      </c>
      <c r="B632" s="652"/>
      <c r="C632" s="685"/>
      <c r="D632" s="686" t="s">
        <v>2650</v>
      </c>
      <c r="E632" s="686"/>
      <c r="F632" s="720"/>
      <c r="G632" s="688"/>
      <c r="H632" s="689"/>
      <c r="I632" s="851" t="str">
        <f t="shared" si="227"/>
        <v/>
      </c>
      <c r="J632" s="850" t="str">
        <f t="shared" si="224"/>
        <v/>
      </c>
      <c r="K632" s="667"/>
      <c r="L632" s="858"/>
      <c r="M632" s="859"/>
      <c r="N632" s="859"/>
      <c r="O632" s="859"/>
      <c r="P632" s="859"/>
      <c r="Q632" s="859"/>
      <c r="R632" s="859"/>
      <c r="S632" s="859"/>
      <c r="T632" s="859"/>
      <c r="U632" s="859"/>
      <c r="V632" s="859"/>
      <c r="W632" s="859"/>
      <c r="X632" s="859"/>
      <c r="Y632" s="859"/>
      <c r="Z632" s="860"/>
      <c r="AA632" s="860"/>
      <c r="AB632" s="860"/>
      <c r="AC632" s="860"/>
      <c r="AD632" s="860"/>
      <c r="AE632" s="860"/>
      <c r="AF632" s="860"/>
      <c r="AG632" s="860"/>
      <c r="AH632" s="860"/>
      <c r="AI632" s="860"/>
      <c r="AJ632" s="860"/>
      <c r="AK632" s="860"/>
      <c r="AL632" s="860"/>
      <c r="AM632" s="860"/>
      <c r="AN632" s="860"/>
      <c r="AO632" s="860"/>
      <c r="AP632" s="860"/>
      <c r="AQ632" s="860"/>
      <c r="AR632" s="860"/>
      <c r="AS632" s="860"/>
      <c r="AT632" s="860"/>
      <c r="AU632" s="860"/>
      <c r="AV632" s="860"/>
      <c r="AW632" s="860"/>
      <c r="AX632" s="860"/>
      <c r="AY632" s="860"/>
      <c r="AZ632" s="860"/>
      <c r="BA632" s="860"/>
      <c r="BB632" s="860"/>
      <c r="BC632" s="860"/>
      <c r="BD632" s="860"/>
      <c r="BE632" s="860"/>
      <c r="BF632" s="860"/>
      <c r="BG632" s="860"/>
      <c r="BH632" s="668"/>
      <c r="BI632" s="654"/>
      <c r="BJ632" s="690">
        <f t="shared" si="228"/>
        <v>0</v>
      </c>
      <c r="BK632" s="691">
        <f t="shared" si="229"/>
        <v>0</v>
      </c>
      <c r="BL632" s="654"/>
      <c r="BM632" s="692">
        <f>SUMIFS(Imput[[Importe Neto]:[Importe Neto]],Imput[[C. Imp.]:[C. Imp.]],$D632,Imput[[PERIODO Imp.]:[PERIODO Imp.]],BM$9)</f>
        <v>0</v>
      </c>
      <c r="BN632" s="693">
        <f>SUMIFS(Imput[[Importe Neto]:[Importe Neto]],Imput[[C. Imp.]:[C. Imp.]],$D632,Imput[[PERIODO Imp.]:[PERIODO Imp.]],BN$9)</f>
        <v>0</v>
      </c>
      <c r="BO632" s="693">
        <f>SUMIFS(Imput[[Importe Neto]:[Importe Neto]],Imput[[C. Imp.]:[C. Imp.]],$D632,Imput[[PERIODO Imp.]:[PERIODO Imp.]],BO$9)</f>
        <v>0</v>
      </c>
      <c r="BP632" s="693">
        <f>SUMIFS(Imput[[Importe Neto]:[Importe Neto]],Imput[[C. Imp.]:[C. Imp.]],$D632,Imput[[PERIODO Imp.]:[PERIODO Imp.]],BP$9)</f>
        <v>0</v>
      </c>
      <c r="BQ632" s="693">
        <f>SUMIFS(Imput[[Importe Neto]:[Importe Neto]],Imput[[C. Imp.]:[C. Imp.]],$D632,Imput[[PERIODO Imp.]:[PERIODO Imp.]],BQ$9)</f>
        <v>0</v>
      </c>
      <c r="BR632" s="693">
        <f>SUMIFS(Imput[[Importe Neto]:[Importe Neto]],Imput[[C. Imp.]:[C. Imp.]],$D632,Imput[[PERIODO Imp.]:[PERIODO Imp.]],BR$9)</f>
        <v>0</v>
      </c>
      <c r="BS632" s="693">
        <f>SUMIFS(Imput[[Importe Neto]:[Importe Neto]],Imput[[C. Imp.]:[C. Imp.]],$D632,Imput[[PERIODO Imp.]:[PERIODO Imp.]],BS$9)</f>
        <v>0</v>
      </c>
      <c r="BT632" s="693">
        <f>SUMIFS(Imput[[Importe Neto]:[Importe Neto]],Imput[[C. Imp.]:[C. Imp.]],$D632,Imput[[PERIODO Imp.]:[PERIODO Imp.]],BT$9)</f>
        <v>0</v>
      </c>
      <c r="BU632" s="693">
        <f>SUMIFS(Imput[[Importe Neto]:[Importe Neto]],Imput[[C. Imp.]:[C. Imp.]],$D632,Imput[[PERIODO Imp.]:[PERIODO Imp.]],BU$9)</f>
        <v>0</v>
      </c>
      <c r="BV632" s="693">
        <f>SUMIFS(Imput[[Importe Neto]:[Importe Neto]],Imput[[C. Imp.]:[C. Imp.]],$D632,Imput[[PERIODO Imp.]:[PERIODO Imp.]],BV$9)</f>
        <v>0</v>
      </c>
      <c r="BW632" s="693">
        <f>SUMIFS(Imput[[Importe Neto]:[Importe Neto]],Imput[[C. Imp.]:[C. Imp.]],$D632,Imput[[PERIODO Imp.]:[PERIODO Imp.]],BW$9)</f>
        <v>0</v>
      </c>
      <c r="BX632" s="693">
        <f>SUMIFS(Imput[[Importe Neto]:[Importe Neto]],Imput[[C. Imp.]:[C. Imp.]],$D632,Imput[[PERIODO Imp.]:[PERIODO Imp.]],BX$9)</f>
        <v>0</v>
      </c>
      <c r="BY632" s="693">
        <f>SUMIFS(Imput[[Importe Neto]:[Importe Neto]],Imput[[C. Imp.]:[C. Imp.]],$D632,Imput[[PERIODO Imp.]:[PERIODO Imp.]],BY$9)</f>
        <v>0</v>
      </c>
      <c r="BZ632" s="693">
        <f>SUMIFS(Imput[[Importe Neto]:[Importe Neto]],Imput[[C. Imp.]:[C. Imp.]],$D632,Imput[[PERIODO Imp.]:[PERIODO Imp.]],BZ$9)</f>
        <v>0</v>
      </c>
      <c r="CA632" s="693">
        <f>SUMIFS(Imput[[Importe Neto]:[Importe Neto]],Imput[[C. Imp.]:[C. Imp.]],$D632,Imput[[PERIODO Imp.]:[PERIODO Imp.]],CA$9)</f>
        <v>0</v>
      </c>
      <c r="CB632" s="693">
        <f>SUMIFS(Imput[[Importe Neto]:[Importe Neto]],Imput[[C. Imp.]:[C. Imp.]],$D632,Imput[[PERIODO Imp.]:[PERIODO Imp.]],CB$9)</f>
        <v>0</v>
      </c>
      <c r="CC632" s="693">
        <f>SUMIFS(Imput[[Importe Neto]:[Importe Neto]],Imput[[C. Imp.]:[C. Imp.]],$D632,Imput[[PERIODO Imp.]:[PERIODO Imp.]],CC$9)</f>
        <v>0</v>
      </c>
      <c r="CD632" s="693">
        <f>SUMIFS(Imput[[Importe Neto]:[Importe Neto]],Imput[[C. Imp.]:[C. Imp.]],$D632,Imput[[PERIODO Imp.]:[PERIODO Imp.]],CD$9)</f>
        <v>0</v>
      </c>
      <c r="CE632" s="693">
        <f>SUMIFS(Imput[[Importe Neto]:[Importe Neto]],Imput[[C. Imp.]:[C. Imp.]],$D632,Imput[[PERIODO Imp.]:[PERIODO Imp.]],CE$9)</f>
        <v>0</v>
      </c>
      <c r="CF632" s="693">
        <f>SUMIFS(Imput[[Importe Neto]:[Importe Neto]],Imput[[C. Imp.]:[C. Imp.]],$D632,Imput[[PERIODO Imp.]:[PERIODO Imp.]],CF$9)</f>
        <v>0</v>
      </c>
      <c r="CG632" s="693">
        <f>SUMIFS(Imput[[Importe Neto]:[Importe Neto]],Imput[[C. Imp.]:[C. Imp.]],$D632,Imput[[PERIODO Imp.]:[PERIODO Imp.]],CG$9)</f>
        <v>0</v>
      </c>
      <c r="CH632" s="693">
        <f>SUMIFS(Imput[[Importe Neto]:[Importe Neto]],Imput[[C. Imp.]:[C. Imp.]],$D632,Imput[[PERIODO Imp.]:[PERIODO Imp.]],CH$9)</f>
        <v>0</v>
      </c>
      <c r="CI632" s="693">
        <f>SUMIFS(Imput[[Importe Neto]:[Importe Neto]],Imput[[C. Imp.]:[C. Imp.]],$D632,Imput[[PERIODO Imp.]:[PERIODO Imp.]],CI$9)</f>
        <v>0</v>
      </c>
      <c r="CJ632" s="693">
        <f>SUMIFS(Imput[[Importe Neto]:[Importe Neto]],Imput[[C. Imp.]:[C. Imp.]],$D632,Imput[[PERIODO Imp.]:[PERIODO Imp.]],CJ$9)</f>
        <v>0</v>
      </c>
      <c r="CK632" s="693">
        <f>SUMIFS(Imput[[Importe Neto]:[Importe Neto]],Imput[[C. Imp.]:[C. Imp.]],$D632,Imput[[PERIODO Imp.]:[PERIODO Imp.]],CK$9)</f>
        <v>0</v>
      </c>
      <c r="CL632" s="693">
        <f>SUMIFS(Imput[[Importe Neto]:[Importe Neto]],Imput[[C. Imp.]:[C. Imp.]],$D632,Imput[[PERIODO Imp.]:[PERIODO Imp.]],CL$9)</f>
        <v>0</v>
      </c>
      <c r="CM632" s="693">
        <f>SUMIFS(Imput[[Importe Neto]:[Importe Neto]],Imput[[C. Imp.]:[C. Imp.]],$D632,Imput[[PERIODO Imp.]:[PERIODO Imp.]],CM$9)</f>
        <v>0</v>
      </c>
      <c r="CN632" s="693">
        <f>SUMIFS(Imput[[Importe Neto]:[Importe Neto]],Imput[[C. Imp.]:[C. Imp.]],$D632,Imput[[PERIODO Imp.]:[PERIODO Imp.]],CN$9)</f>
        <v>0</v>
      </c>
      <c r="CO632" s="693">
        <f>SUMIFS(Imput[[Importe Neto]:[Importe Neto]],Imput[[C. Imp.]:[C. Imp.]],$D632,Imput[[PERIODO Imp.]:[PERIODO Imp.]],CO$9)</f>
        <v>0</v>
      </c>
      <c r="CP632" s="693">
        <f>SUMIFS(Imput[[Importe Neto]:[Importe Neto]],Imput[[C. Imp.]:[C. Imp.]],$D632,Imput[[PERIODO Imp.]:[PERIODO Imp.]],CP$9)</f>
        <v>0</v>
      </c>
      <c r="CQ632" s="693">
        <f>SUMIFS(Imput[[Importe Neto]:[Importe Neto]],Imput[[C. Imp.]:[C. Imp.]],$D632,Imput[[PERIODO Imp.]:[PERIODO Imp.]],CQ$9)</f>
        <v>0</v>
      </c>
      <c r="CR632" s="693">
        <f>SUMIFS(Imput[[Importe Neto]:[Importe Neto]],Imput[[C. Imp.]:[C. Imp.]],$D632,Imput[[PERIODO Imp.]:[PERIODO Imp.]],CR$9)</f>
        <v>0</v>
      </c>
      <c r="CS632" s="693">
        <f>SUMIFS(Imput[[Importe Neto]:[Importe Neto]],Imput[[C. Imp.]:[C. Imp.]],$D632,Imput[[PERIODO Imp.]:[PERIODO Imp.]],CS$9)</f>
        <v>0</v>
      </c>
      <c r="CT632" s="693">
        <f>SUMIFS(Imput[[Importe Neto]:[Importe Neto]],Imput[[C. Imp.]:[C. Imp.]],$D632,Imput[[PERIODO Imp.]:[PERIODO Imp.]],CT$9)</f>
        <v>0</v>
      </c>
      <c r="CU632" s="693">
        <f>SUMIFS(Imput[[Importe Neto]:[Importe Neto]],Imput[[C. Imp.]:[C. Imp.]],$D632,Imput[[PERIODO Imp.]:[PERIODO Imp.]],CU$9)</f>
        <v>0</v>
      </c>
      <c r="CV632" s="693">
        <f>SUMIFS(Imput[[Importe Neto]:[Importe Neto]],Imput[[C. Imp.]:[C. Imp.]],$D632,Imput[[PERIODO Imp.]:[PERIODO Imp.]],CV$9)</f>
        <v>0</v>
      </c>
      <c r="CW632" s="693">
        <f>SUMIFS(Imput[[Importe Neto]:[Importe Neto]],Imput[[C. Imp.]:[C. Imp.]],$D632,Imput[[PERIODO Imp.]:[PERIODO Imp.]],CW$9)</f>
        <v>0</v>
      </c>
      <c r="CX632" s="693">
        <f>SUMIFS(Imput[[Importe Neto]:[Importe Neto]],Imput[[C. Imp.]:[C. Imp.]],$D632,Imput[[PERIODO Imp.]:[PERIODO Imp.]],CX$9)</f>
        <v>0</v>
      </c>
      <c r="CY632" s="693">
        <f>SUMIFS(Imput[[Importe Neto]:[Importe Neto]],Imput[[C. Imp.]:[C. Imp.]],$D632,Imput[[PERIODO Imp.]:[PERIODO Imp.]],CY$9)</f>
        <v>0</v>
      </c>
      <c r="CZ632" s="693">
        <f>SUMIFS(Imput[[Importe Neto]:[Importe Neto]],Imput[[C. Imp.]:[C. Imp.]],$D632,Imput[[PERIODO Imp.]:[PERIODO Imp.]],CZ$9)</f>
        <v>0</v>
      </c>
      <c r="DA632" s="693">
        <f>SUMIFS(Imput[[Importe Neto]:[Importe Neto]],Imput[[C. Imp.]:[C. Imp.]],$D632,Imput[[PERIODO Imp.]:[PERIODO Imp.]],DA$9)</f>
        <v>0</v>
      </c>
      <c r="DB632" s="693">
        <f>SUMIFS(Imput[[Importe Neto]:[Importe Neto]],Imput[[C. Imp.]:[C. Imp.]],$D632,Imput[[PERIODO Imp.]:[PERIODO Imp.]],DB$9)</f>
        <v>0</v>
      </c>
      <c r="DC632" s="693">
        <f>SUMIFS(Imput[[Importe Neto]:[Importe Neto]],Imput[[C. Imp.]:[C. Imp.]],$D632,Imput[[PERIODO Imp.]:[PERIODO Imp.]],DC$9)</f>
        <v>0</v>
      </c>
      <c r="DD632" s="693">
        <f>SUMIFS(Imput[[Importe Neto]:[Importe Neto]],Imput[[C. Imp.]:[C. Imp.]],$D632,Imput[[PERIODO Imp.]:[PERIODO Imp.]],DD$9)</f>
        <v>0</v>
      </c>
      <c r="DE632" s="693">
        <f>SUMIFS(Imput[[Importe Neto]:[Importe Neto]],Imput[[C. Imp.]:[C. Imp.]],$D632,Imput[[PERIODO Imp.]:[PERIODO Imp.]],DE$9)</f>
        <v>0</v>
      </c>
      <c r="DF632" s="693">
        <f>SUMIFS(Imput[[Importe Neto]:[Importe Neto]],Imput[[C. Imp.]:[C. Imp.]],$D632,Imput[[PERIODO Imp.]:[PERIODO Imp.]],DF$9)</f>
        <v>0</v>
      </c>
      <c r="DG632" s="693">
        <f>SUMIFS(Imput[[Importe Neto]:[Importe Neto]],Imput[[C. Imp.]:[C. Imp.]],$D632,Imput[[PERIODO Imp.]:[PERIODO Imp.]],DG$9)</f>
        <v>0</v>
      </c>
      <c r="DH632" s="694">
        <f>SUMIFS(Imput[[Importe Neto]:[Importe Neto]],Imput[[C. Imp.]:[C. Imp.]],$D632,Imput[[PERIODO Imp.]:[PERIODO Imp.]],DH$9)</f>
        <v>0</v>
      </c>
    </row>
    <row r="633" spans="1:112" s="649" customFormat="1" hidden="1" outlineLevel="1" x14ac:dyDescent="0.3">
      <c r="A633" s="652" t="str">
        <f t="shared" si="222"/>
        <v/>
      </c>
      <c r="B633" s="652"/>
      <c r="C633" s="685"/>
      <c r="D633" s="686" t="s">
        <v>2651</v>
      </c>
      <c r="E633" s="686"/>
      <c r="F633" s="720"/>
      <c r="G633" s="688"/>
      <c r="H633" s="689"/>
      <c r="I633" s="851" t="str">
        <f t="shared" si="227"/>
        <v/>
      </c>
      <c r="J633" s="850" t="str">
        <f t="shared" si="224"/>
        <v/>
      </c>
      <c r="K633" s="667"/>
      <c r="L633" s="858"/>
      <c r="M633" s="859"/>
      <c r="N633" s="859"/>
      <c r="O633" s="859"/>
      <c r="P633" s="859"/>
      <c r="Q633" s="859"/>
      <c r="R633" s="859"/>
      <c r="S633" s="859"/>
      <c r="T633" s="859"/>
      <c r="U633" s="859"/>
      <c r="V633" s="859"/>
      <c r="W633" s="859"/>
      <c r="X633" s="859"/>
      <c r="Y633" s="859"/>
      <c r="Z633" s="860"/>
      <c r="AA633" s="860"/>
      <c r="AB633" s="860"/>
      <c r="AC633" s="860"/>
      <c r="AD633" s="860"/>
      <c r="AE633" s="860"/>
      <c r="AF633" s="860"/>
      <c r="AG633" s="860"/>
      <c r="AH633" s="860"/>
      <c r="AI633" s="860"/>
      <c r="AJ633" s="860"/>
      <c r="AK633" s="860"/>
      <c r="AL633" s="860"/>
      <c r="AM633" s="860"/>
      <c r="AN633" s="860"/>
      <c r="AO633" s="860"/>
      <c r="AP633" s="860"/>
      <c r="AQ633" s="860"/>
      <c r="AR633" s="860"/>
      <c r="AS633" s="860"/>
      <c r="AT633" s="860"/>
      <c r="AU633" s="860"/>
      <c r="AV633" s="860"/>
      <c r="AW633" s="860"/>
      <c r="AX633" s="860"/>
      <c r="AY633" s="860"/>
      <c r="AZ633" s="860"/>
      <c r="BA633" s="860"/>
      <c r="BB633" s="860"/>
      <c r="BC633" s="860"/>
      <c r="BD633" s="860"/>
      <c r="BE633" s="860"/>
      <c r="BF633" s="860"/>
      <c r="BG633" s="860"/>
      <c r="BH633" s="668"/>
      <c r="BI633" s="654"/>
      <c r="BJ633" s="690">
        <f t="shared" si="228"/>
        <v>0</v>
      </c>
      <c r="BK633" s="691">
        <f t="shared" si="229"/>
        <v>0</v>
      </c>
      <c r="BL633" s="654"/>
      <c r="BM633" s="692">
        <f>SUMIFS(Imput[[Importe Neto]:[Importe Neto]],Imput[[C. Imp.]:[C. Imp.]],$D633,Imput[[PERIODO Imp.]:[PERIODO Imp.]],BM$9)</f>
        <v>0</v>
      </c>
      <c r="BN633" s="693">
        <f>SUMIFS(Imput[[Importe Neto]:[Importe Neto]],Imput[[C. Imp.]:[C. Imp.]],$D633,Imput[[PERIODO Imp.]:[PERIODO Imp.]],BN$9)</f>
        <v>0</v>
      </c>
      <c r="BO633" s="693">
        <f>SUMIFS(Imput[[Importe Neto]:[Importe Neto]],Imput[[C. Imp.]:[C. Imp.]],$D633,Imput[[PERIODO Imp.]:[PERIODO Imp.]],BO$9)</f>
        <v>0</v>
      </c>
      <c r="BP633" s="693">
        <f>SUMIFS(Imput[[Importe Neto]:[Importe Neto]],Imput[[C. Imp.]:[C. Imp.]],$D633,Imput[[PERIODO Imp.]:[PERIODO Imp.]],BP$9)</f>
        <v>0</v>
      </c>
      <c r="BQ633" s="693">
        <f>SUMIFS(Imput[[Importe Neto]:[Importe Neto]],Imput[[C. Imp.]:[C. Imp.]],$D633,Imput[[PERIODO Imp.]:[PERIODO Imp.]],BQ$9)</f>
        <v>0</v>
      </c>
      <c r="BR633" s="693">
        <f>SUMIFS(Imput[[Importe Neto]:[Importe Neto]],Imput[[C. Imp.]:[C. Imp.]],$D633,Imput[[PERIODO Imp.]:[PERIODO Imp.]],BR$9)</f>
        <v>0</v>
      </c>
      <c r="BS633" s="693">
        <f>SUMIFS(Imput[[Importe Neto]:[Importe Neto]],Imput[[C. Imp.]:[C. Imp.]],$D633,Imput[[PERIODO Imp.]:[PERIODO Imp.]],BS$9)</f>
        <v>0</v>
      </c>
      <c r="BT633" s="693">
        <f>SUMIFS(Imput[[Importe Neto]:[Importe Neto]],Imput[[C. Imp.]:[C. Imp.]],$D633,Imput[[PERIODO Imp.]:[PERIODO Imp.]],BT$9)</f>
        <v>0</v>
      </c>
      <c r="BU633" s="693">
        <f>SUMIFS(Imput[[Importe Neto]:[Importe Neto]],Imput[[C. Imp.]:[C. Imp.]],$D633,Imput[[PERIODO Imp.]:[PERIODO Imp.]],BU$9)</f>
        <v>0</v>
      </c>
      <c r="BV633" s="693">
        <f>SUMIFS(Imput[[Importe Neto]:[Importe Neto]],Imput[[C. Imp.]:[C. Imp.]],$D633,Imput[[PERIODO Imp.]:[PERIODO Imp.]],BV$9)</f>
        <v>0</v>
      </c>
      <c r="BW633" s="693">
        <f>SUMIFS(Imput[[Importe Neto]:[Importe Neto]],Imput[[C. Imp.]:[C. Imp.]],$D633,Imput[[PERIODO Imp.]:[PERIODO Imp.]],BW$9)</f>
        <v>0</v>
      </c>
      <c r="BX633" s="693">
        <f>SUMIFS(Imput[[Importe Neto]:[Importe Neto]],Imput[[C. Imp.]:[C. Imp.]],$D633,Imput[[PERIODO Imp.]:[PERIODO Imp.]],BX$9)</f>
        <v>0</v>
      </c>
      <c r="BY633" s="693">
        <f>SUMIFS(Imput[[Importe Neto]:[Importe Neto]],Imput[[C. Imp.]:[C. Imp.]],$D633,Imput[[PERIODO Imp.]:[PERIODO Imp.]],BY$9)</f>
        <v>0</v>
      </c>
      <c r="BZ633" s="693">
        <f>SUMIFS(Imput[[Importe Neto]:[Importe Neto]],Imput[[C. Imp.]:[C. Imp.]],$D633,Imput[[PERIODO Imp.]:[PERIODO Imp.]],BZ$9)</f>
        <v>0</v>
      </c>
      <c r="CA633" s="693">
        <f>SUMIFS(Imput[[Importe Neto]:[Importe Neto]],Imput[[C. Imp.]:[C. Imp.]],$D633,Imput[[PERIODO Imp.]:[PERIODO Imp.]],CA$9)</f>
        <v>0</v>
      </c>
      <c r="CB633" s="693">
        <f>SUMIFS(Imput[[Importe Neto]:[Importe Neto]],Imput[[C. Imp.]:[C. Imp.]],$D633,Imput[[PERIODO Imp.]:[PERIODO Imp.]],CB$9)</f>
        <v>0</v>
      </c>
      <c r="CC633" s="693">
        <f>SUMIFS(Imput[[Importe Neto]:[Importe Neto]],Imput[[C. Imp.]:[C. Imp.]],$D633,Imput[[PERIODO Imp.]:[PERIODO Imp.]],CC$9)</f>
        <v>0</v>
      </c>
      <c r="CD633" s="693">
        <f>SUMIFS(Imput[[Importe Neto]:[Importe Neto]],Imput[[C. Imp.]:[C. Imp.]],$D633,Imput[[PERIODO Imp.]:[PERIODO Imp.]],CD$9)</f>
        <v>0</v>
      </c>
      <c r="CE633" s="693">
        <f>SUMIFS(Imput[[Importe Neto]:[Importe Neto]],Imput[[C. Imp.]:[C. Imp.]],$D633,Imput[[PERIODO Imp.]:[PERIODO Imp.]],CE$9)</f>
        <v>0</v>
      </c>
      <c r="CF633" s="693">
        <f>SUMIFS(Imput[[Importe Neto]:[Importe Neto]],Imput[[C. Imp.]:[C. Imp.]],$D633,Imput[[PERIODO Imp.]:[PERIODO Imp.]],CF$9)</f>
        <v>0</v>
      </c>
      <c r="CG633" s="693">
        <f>SUMIFS(Imput[[Importe Neto]:[Importe Neto]],Imput[[C. Imp.]:[C. Imp.]],$D633,Imput[[PERIODO Imp.]:[PERIODO Imp.]],CG$9)</f>
        <v>0</v>
      </c>
      <c r="CH633" s="693">
        <f>SUMIFS(Imput[[Importe Neto]:[Importe Neto]],Imput[[C. Imp.]:[C. Imp.]],$D633,Imput[[PERIODO Imp.]:[PERIODO Imp.]],CH$9)</f>
        <v>0</v>
      </c>
      <c r="CI633" s="693">
        <f>SUMIFS(Imput[[Importe Neto]:[Importe Neto]],Imput[[C. Imp.]:[C. Imp.]],$D633,Imput[[PERIODO Imp.]:[PERIODO Imp.]],CI$9)</f>
        <v>0</v>
      </c>
      <c r="CJ633" s="693">
        <f>SUMIFS(Imput[[Importe Neto]:[Importe Neto]],Imput[[C. Imp.]:[C. Imp.]],$D633,Imput[[PERIODO Imp.]:[PERIODO Imp.]],CJ$9)</f>
        <v>0</v>
      </c>
      <c r="CK633" s="693">
        <f>SUMIFS(Imput[[Importe Neto]:[Importe Neto]],Imput[[C. Imp.]:[C. Imp.]],$D633,Imput[[PERIODO Imp.]:[PERIODO Imp.]],CK$9)</f>
        <v>0</v>
      </c>
      <c r="CL633" s="693">
        <f>SUMIFS(Imput[[Importe Neto]:[Importe Neto]],Imput[[C. Imp.]:[C. Imp.]],$D633,Imput[[PERIODO Imp.]:[PERIODO Imp.]],CL$9)</f>
        <v>0</v>
      </c>
      <c r="CM633" s="693">
        <f>SUMIFS(Imput[[Importe Neto]:[Importe Neto]],Imput[[C. Imp.]:[C. Imp.]],$D633,Imput[[PERIODO Imp.]:[PERIODO Imp.]],CM$9)</f>
        <v>0</v>
      </c>
      <c r="CN633" s="693">
        <f>SUMIFS(Imput[[Importe Neto]:[Importe Neto]],Imput[[C. Imp.]:[C. Imp.]],$D633,Imput[[PERIODO Imp.]:[PERIODO Imp.]],CN$9)</f>
        <v>0</v>
      </c>
      <c r="CO633" s="693">
        <f>SUMIFS(Imput[[Importe Neto]:[Importe Neto]],Imput[[C. Imp.]:[C. Imp.]],$D633,Imput[[PERIODO Imp.]:[PERIODO Imp.]],CO$9)</f>
        <v>0</v>
      </c>
      <c r="CP633" s="693">
        <f>SUMIFS(Imput[[Importe Neto]:[Importe Neto]],Imput[[C. Imp.]:[C. Imp.]],$D633,Imput[[PERIODO Imp.]:[PERIODO Imp.]],CP$9)</f>
        <v>0</v>
      </c>
      <c r="CQ633" s="693">
        <f>SUMIFS(Imput[[Importe Neto]:[Importe Neto]],Imput[[C. Imp.]:[C. Imp.]],$D633,Imput[[PERIODO Imp.]:[PERIODO Imp.]],CQ$9)</f>
        <v>0</v>
      </c>
      <c r="CR633" s="693">
        <f>SUMIFS(Imput[[Importe Neto]:[Importe Neto]],Imput[[C. Imp.]:[C. Imp.]],$D633,Imput[[PERIODO Imp.]:[PERIODO Imp.]],CR$9)</f>
        <v>0</v>
      </c>
      <c r="CS633" s="693">
        <f>SUMIFS(Imput[[Importe Neto]:[Importe Neto]],Imput[[C. Imp.]:[C. Imp.]],$D633,Imput[[PERIODO Imp.]:[PERIODO Imp.]],CS$9)</f>
        <v>0</v>
      </c>
      <c r="CT633" s="693">
        <f>SUMIFS(Imput[[Importe Neto]:[Importe Neto]],Imput[[C. Imp.]:[C. Imp.]],$D633,Imput[[PERIODO Imp.]:[PERIODO Imp.]],CT$9)</f>
        <v>0</v>
      </c>
      <c r="CU633" s="693">
        <f>SUMIFS(Imput[[Importe Neto]:[Importe Neto]],Imput[[C. Imp.]:[C. Imp.]],$D633,Imput[[PERIODO Imp.]:[PERIODO Imp.]],CU$9)</f>
        <v>0</v>
      </c>
      <c r="CV633" s="693">
        <f>SUMIFS(Imput[[Importe Neto]:[Importe Neto]],Imput[[C. Imp.]:[C. Imp.]],$D633,Imput[[PERIODO Imp.]:[PERIODO Imp.]],CV$9)</f>
        <v>0</v>
      </c>
      <c r="CW633" s="693">
        <f>SUMIFS(Imput[[Importe Neto]:[Importe Neto]],Imput[[C. Imp.]:[C. Imp.]],$D633,Imput[[PERIODO Imp.]:[PERIODO Imp.]],CW$9)</f>
        <v>0</v>
      </c>
      <c r="CX633" s="693">
        <f>SUMIFS(Imput[[Importe Neto]:[Importe Neto]],Imput[[C. Imp.]:[C. Imp.]],$D633,Imput[[PERIODO Imp.]:[PERIODO Imp.]],CX$9)</f>
        <v>0</v>
      </c>
      <c r="CY633" s="693">
        <f>SUMIFS(Imput[[Importe Neto]:[Importe Neto]],Imput[[C. Imp.]:[C. Imp.]],$D633,Imput[[PERIODO Imp.]:[PERIODO Imp.]],CY$9)</f>
        <v>0</v>
      </c>
      <c r="CZ633" s="693">
        <f>SUMIFS(Imput[[Importe Neto]:[Importe Neto]],Imput[[C. Imp.]:[C. Imp.]],$D633,Imput[[PERIODO Imp.]:[PERIODO Imp.]],CZ$9)</f>
        <v>0</v>
      </c>
      <c r="DA633" s="693">
        <f>SUMIFS(Imput[[Importe Neto]:[Importe Neto]],Imput[[C. Imp.]:[C. Imp.]],$D633,Imput[[PERIODO Imp.]:[PERIODO Imp.]],DA$9)</f>
        <v>0</v>
      </c>
      <c r="DB633" s="693">
        <f>SUMIFS(Imput[[Importe Neto]:[Importe Neto]],Imput[[C. Imp.]:[C. Imp.]],$D633,Imput[[PERIODO Imp.]:[PERIODO Imp.]],DB$9)</f>
        <v>0</v>
      </c>
      <c r="DC633" s="693">
        <f>SUMIFS(Imput[[Importe Neto]:[Importe Neto]],Imput[[C. Imp.]:[C. Imp.]],$D633,Imput[[PERIODO Imp.]:[PERIODO Imp.]],DC$9)</f>
        <v>0</v>
      </c>
      <c r="DD633" s="693">
        <f>SUMIFS(Imput[[Importe Neto]:[Importe Neto]],Imput[[C. Imp.]:[C. Imp.]],$D633,Imput[[PERIODO Imp.]:[PERIODO Imp.]],DD$9)</f>
        <v>0</v>
      </c>
      <c r="DE633" s="693">
        <f>SUMIFS(Imput[[Importe Neto]:[Importe Neto]],Imput[[C. Imp.]:[C. Imp.]],$D633,Imput[[PERIODO Imp.]:[PERIODO Imp.]],DE$9)</f>
        <v>0</v>
      </c>
      <c r="DF633" s="693">
        <f>SUMIFS(Imput[[Importe Neto]:[Importe Neto]],Imput[[C. Imp.]:[C. Imp.]],$D633,Imput[[PERIODO Imp.]:[PERIODO Imp.]],DF$9)</f>
        <v>0</v>
      </c>
      <c r="DG633" s="693">
        <f>SUMIFS(Imput[[Importe Neto]:[Importe Neto]],Imput[[C. Imp.]:[C. Imp.]],$D633,Imput[[PERIODO Imp.]:[PERIODO Imp.]],DG$9)</f>
        <v>0</v>
      </c>
      <c r="DH633" s="694">
        <f>SUMIFS(Imput[[Importe Neto]:[Importe Neto]],Imput[[C. Imp.]:[C. Imp.]],$D633,Imput[[PERIODO Imp.]:[PERIODO Imp.]],DH$9)</f>
        <v>0</v>
      </c>
    </row>
    <row r="634" spans="1:112" s="649" customFormat="1" hidden="1" outlineLevel="1" x14ac:dyDescent="0.3">
      <c r="A634" s="652" t="str">
        <f t="shared" si="222"/>
        <v/>
      </c>
      <c r="B634" s="652"/>
      <c r="C634" s="685"/>
      <c r="D634" s="686" t="s">
        <v>2652</v>
      </c>
      <c r="E634" s="686"/>
      <c r="F634" s="720"/>
      <c r="G634" s="688"/>
      <c r="H634" s="689"/>
      <c r="I634" s="851" t="str">
        <f t="shared" si="227"/>
        <v/>
      </c>
      <c r="J634" s="850" t="str">
        <f t="shared" si="224"/>
        <v/>
      </c>
      <c r="K634" s="678"/>
      <c r="L634" s="858"/>
      <c r="M634" s="859"/>
      <c r="N634" s="859"/>
      <c r="O634" s="859"/>
      <c r="P634" s="859"/>
      <c r="Q634" s="859"/>
      <c r="R634" s="859"/>
      <c r="S634" s="859"/>
      <c r="T634" s="859"/>
      <c r="U634" s="859"/>
      <c r="V634" s="859"/>
      <c r="W634" s="859"/>
      <c r="X634" s="859"/>
      <c r="Y634" s="859"/>
      <c r="Z634" s="860"/>
      <c r="AA634" s="860"/>
      <c r="AB634" s="860"/>
      <c r="AC634" s="860"/>
      <c r="AD634" s="860"/>
      <c r="AE634" s="860"/>
      <c r="AF634" s="860"/>
      <c r="AG634" s="860"/>
      <c r="AH634" s="860"/>
      <c r="AI634" s="860"/>
      <c r="AJ634" s="860"/>
      <c r="AK634" s="860"/>
      <c r="AL634" s="860"/>
      <c r="AM634" s="860"/>
      <c r="AN634" s="860"/>
      <c r="AO634" s="860"/>
      <c r="AP634" s="860"/>
      <c r="AQ634" s="860"/>
      <c r="AR634" s="860"/>
      <c r="AS634" s="860"/>
      <c r="AT634" s="860"/>
      <c r="AU634" s="860"/>
      <c r="AV634" s="860"/>
      <c r="AW634" s="860"/>
      <c r="AX634" s="860"/>
      <c r="AY634" s="860"/>
      <c r="AZ634" s="860"/>
      <c r="BA634" s="860"/>
      <c r="BB634" s="860"/>
      <c r="BC634" s="860"/>
      <c r="BD634" s="860"/>
      <c r="BE634" s="860"/>
      <c r="BF634" s="860"/>
      <c r="BG634" s="860"/>
      <c r="BH634" s="668"/>
      <c r="BI634" s="654"/>
      <c r="BJ634" s="690">
        <f t="shared" si="228"/>
        <v>0</v>
      </c>
      <c r="BK634" s="691">
        <f t="shared" si="229"/>
        <v>0</v>
      </c>
      <c r="BL634" s="654"/>
      <c r="BM634" s="692">
        <f>SUMIFS(Imput[[Importe Neto]:[Importe Neto]],Imput[[C. Imp.]:[C. Imp.]],$D634,Imput[[PERIODO Imp.]:[PERIODO Imp.]],BM$9)</f>
        <v>0</v>
      </c>
      <c r="BN634" s="693">
        <f>SUMIFS(Imput[[Importe Neto]:[Importe Neto]],Imput[[C. Imp.]:[C. Imp.]],$D634,Imput[[PERIODO Imp.]:[PERIODO Imp.]],BN$9)</f>
        <v>0</v>
      </c>
      <c r="BO634" s="693">
        <f>SUMIFS(Imput[[Importe Neto]:[Importe Neto]],Imput[[C. Imp.]:[C. Imp.]],$D634,Imput[[PERIODO Imp.]:[PERIODO Imp.]],BO$9)</f>
        <v>0</v>
      </c>
      <c r="BP634" s="693">
        <f>SUMIFS(Imput[[Importe Neto]:[Importe Neto]],Imput[[C. Imp.]:[C. Imp.]],$D634,Imput[[PERIODO Imp.]:[PERIODO Imp.]],BP$9)</f>
        <v>0</v>
      </c>
      <c r="BQ634" s="693">
        <f>SUMIFS(Imput[[Importe Neto]:[Importe Neto]],Imput[[C. Imp.]:[C. Imp.]],$D634,Imput[[PERIODO Imp.]:[PERIODO Imp.]],BQ$9)</f>
        <v>0</v>
      </c>
      <c r="BR634" s="693">
        <f>SUMIFS(Imput[[Importe Neto]:[Importe Neto]],Imput[[C. Imp.]:[C. Imp.]],$D634,Imput[[PERIODO Imp.]:[PERIODO Imp.]],BR$9)</f>
        <v>0</v>
      </c>
      <c r="BS634" s="693">
        <f>SUMIFS(Imput[[Importe Neto]:[Importe Neto]],Imput[[C. Imp.]:[C. Imp.]],$D634,Imput[[PERIODO Imp.]:[PERIODO Imp.]],BS$9)</f>
        <v>0</v>
      </c>
      <c r="BT634" s="693">
        <f>SUMIFS(Imput[[Importe Neto]:[Importe Neto]],Imput[[C. Imp.]:[C. Imp.]],$D634,Imput[[PERIODO Imp.]:[PERIODO Imp.]],BT$9)</f>
        <v>0</v>
      </c>
      <c r="BU634" s="693">
        <f>SUMIFS(Imput[[Importe Neto]:[Importe Neto]],Imput[[C. Imp.]:[C. Imp.]],$D634,Imput[[PERIODO Imp.]:[PERIODO Imp.]],BU$9)</f>
        <v>0</v>
      </c>
      <c r="BV634" s="693">
        <f>SUMIFS(Imput[[Importe Neto]:[Importe Neto]],Imput[[C. Imp.]:[C. Imp.]],$D634,Imput[[PERIODO Imp.]:[PERIODO Imp.]],BV$9)</f>
        <v>0</v>
      </c>
      <c r="BW634" s="693">
        <f>SUMIFS(Imput[[Importe Neto]:[Importe Neto]],Imput[[C. Imp.]:[C. Imp.]],$D634,Imput[[PERIODO Imp.]:[PERIODO Imp.]],BW$9)</f>
        <v>0</v>
      </c>
      <c r="BX634" s="693">
        <f>SUMIFS(Imput[[Importe Neto]:[Importe Neto]],Imput[[C. Imp.]:[C. Imp.]],$D634,Imput[[PERIODO Imp.]:[PERIODO Imp.]],BX$9)</f>
        <v>0</v>
      </c>
      <c r="BY634" s="693">
        <f>SUMIFS(Imput[[Importe Neto]:[Importe Neto]],Imput[[C. Imp.]:[C. Imp.]],$D634,Imput[[PERIODO Imp.]:[PERIODO Imp.]],BY$9)</f>
        <v>0</v>
      </c>
      <c r="BZ634" s="693">
        <f>SUMIFS(Imput[[Importe Neto]:[Importe Neto]],Imput[[C. Imp.]:[C. Imp.]],$D634,Imput[[PERIODO Imp.]:[PERIODO Imp.]],BZ$9)</f>
        <v>0</v>
      </c>
      <c r="CA634" s="693">
        <f>SUMIFS(Imput[[Importe Neto]:[Importe Neto]],Imput[[C. Imp.]:[C. Imp.]],$D634,Imput[[PERIODO Imp.]:[PERIODO Imp.]],CA$9)</f>
        <v>0</v>
      </c>
      <c r="CB634" s="693">
        <f>SUMIFS(Imput[[Importe Neto]:[Importe Neto]],Imput[[C. Imp.]:[C. Imp.]],$D634,Imput[[PERIODO Imp.]:[PERIODO Imp.]],CB$9)</f>
        <v>0</v>
      </c>
      <c r="CC634" s="693">
        <f>SUMIFS(Imput[[Importe Neto]:[Importe Neto]],Imput[[C. Imp.]:[C. Imp.]],$D634,Imput[[PERIODO Imp.]:[PERIODO Imp.]],CC$9)</f>
        <v>0</v>
      </c>
      <c r="CD634" s="693">
        <f>SUMIFS(Imput[[Importe Neto]:[Importe Neto]],Imput[[C. Imp.]:[C. Imp.]],$D634,Imput[[PERIODO Imp.]:[PERIODO Imp.]],CD$9)</f>
        <v>0</v>
      </c>
      <c r="CE634" s="693">
        <f>SUMIFS(Imput[[Importe Neto]:[Importe Neto]],Imput[[C. Imp.]:[C. Imp.]],$D634,Imput[[PERIODO Imp.]:[PERIODO Imp.]],CE$9)</f>
        <v>0</v>
      </c>
      <c r="CF634" s="693">
        <f>SUMIFS(Imput[[Importe Neto]:[Importe Neto]],Imput[[C. Imp.]:[C. Imp.]],$D634,Imput[[PERIODO Imp.]:[PERIODO Imp.]],CF$9)</f>
        <v>0</v>
      </c>
      <c r="CG634" s="693">
        <f>SUMIFS(Imput[[Importe Neto]:[Importe Neto]],Imput[[C. Imp.]:[C. Imp.]],$D634,Imput[[PERIODO Imp.]:[PERIODO Imp.]],CG$9)</f>
        <v>0</v>
      </c>
      <c r="CH634" s="693">
        <f>SUMIFS(Imput[[Importe Neto]:[Importe Neto]],Imput[[C. Imp.]:[C. Imp.]],$D634,Imput[[PERIODO Imp.]:[PERIODO Imp.]],CH$9)</f>
        <v>0</v>
      </c>
      <c r="CI634" s="693">
        <f>SUMIFS(Imput[[Importe Neto]:[Importe Neto]],Imput[[C. Imp.]:[C. Imp.]],$D634,Imput[[PERIODO Imp.]:[PERIODO Imp.]],CI$9)</f>
        <v>0</v>
      </c>
      <c r="CJ634" s="693">
        <f>SUMIFS(Imput[[Importe Neto]:[Importe Neto]],Imput[[C. Imp.]:[C. Imp.]],$D634,Imput[[PERIODO Imp.]:[PERIODO Imp.]],CJ$9)</f>
        <v>0</v>
      </c>
      <c r="CK634" s="693">
        <f>SUMIFS(Imput[[Importe Neto]:[Importe Neto]],Imput[[C. Imp.]:[C. Imp.]],$D634,Imput[[PERIODO Imp.]:[PERIODO Imp.]],CK$9)</f>
        <v>0</v>
      </c>
      <c r="CL634" s="693">
        <f>SUMIFS(Imput[[Importe Neto]:[Importe Neto]],Imput[[C. Imp.]:[C. Imp.]],$D634,Imput[[PERIODO Imp.]:[PERIODO Imp.]],CL$9)</f>
        <v>0</v>
      </c>
      <c r="CM634" s="693">
        <f>SUMIFS(Imput[[Importe Neto]:[Importe Neto]],Imput[[C. Imp.]:[C. Imp.]],$D634,Imput[[PERIODO Imp.]:[PERIODO Imp.]],CM$9)</f>
        <v>0</v>
      </c>
      <c r="CN634" s="693">
        <f>SUMIFS(Imput[[Importe Neto]:[Importe Neto]],Imput[[C. Imp.]:[C. Imp.]],$D634,Imput[[PERIODO Imp.]:[PERIODO Imp.]],CN$9)</f>
        <v>0</v>
      </c>
      <c r="CO634" s="693">
        <f>SUMIFS(Imput[[Importe Neto]:[Importe Neto]],Imput[[C. Imp.]:[C. Imp.]],$D634,Imput[[PERIODO Imp.]:[PERIODO Imp.]],CO$9)</f>
        <v>0</v>
      </c>
      <c r="CP634" s="693">
        <f>SUMIFS(Imput[[Importe Neto]:[Importe Neto]],Imput[[C. Imp.]:[C. Imp.]],$D634,Imput[[PERIODO Imp.]:[PERIODO Imp.]],CP$9)</f>
        <v>0</v>
      </c>
      <c r="CQ634" s="693">
        <f>SUMIFS(Imput[[Importe Neto]:[Importe Neto]],Imput[[C. Imp.]:[C. Imp.]],$D634,Imput[[PERIODO Imp.]:[PERIODO Imp.]],CQ$9)</f>
        <v>0</v>
      </c>
      <c r="CR634" s="693">
        <f>SUMIFS(Imput[[Importe Neto]:[Importe Neto]],Imput[[C. Imp.]:[C. Imp.]],$D634,Imput[[PERIODO Imp.]:[PERIODO Imp.]],CR$9)</f>
        <v>0</v>
      </c>
      <c r="CS634" s="693">
        <f>SUMIFS(Imput[[Importe Neto]:[Importe Neto]],Imput[[C. Imp.]:[C. Imp.]],$D634,Imput[[PERIODO Imp.]:[PERIODO Imp.]],CS$9)</f>
        <v>0</v>
      </c>
      <c r="CT634" s="693">
        <f>SUMIFS(Imput[[Importe Neto]:[Importe Neto]],Imput[[C. Imp.]:[C. Imp.]],$D634,Imput[[PERIODO Imp.]:[PERIODO Imp.]],CT$9)</f>
        <v>0</v>
      </c>
      <c r="CU634" s="693">
        <f>SUMIFS(Imput[[Importe Neto]:[Importe Neto]],Imput[[C. Imp.]:[C. Imp.]],$D634,Imput[[PERIODO Imp.]:[PERIODO Imp.]],CU$9)</f>
        <v>0</v>
      </c>
      <c r="CV634" s="693">
        <f>SUMIFS(Imput[[Importe Neto]:[Importe Neto]],Imput[[C. Imp.]:[C. Imp.]],$D634,Imput[[PERIODO Imp.]:[PERIODO Imp.]],CV$9)</f>
        <v>0</v>
      </c>
      <c r="CW634" s="693">
        <f>SUMIFS(Imput[[Importe Neto]:[Importe Neto]],Imput[[C. Imp.]:[C. Imp.]],$D634,Imput[[PERIODO Imp.]:[PERIODO Imp.]],CW$9)</f>
        <v>0</v>
      </c>
      <c r="CX634" s="693">
        <f>SUMIFS(Imput[[Importe Neto]:[Importe Neto]],Imput[[C. Imp.]:[C. Imp.]],$D634,Imput[[PERIODO Imp.]:[PERIODO Imp.]],CX$9)</f>
        <v>0</v>
      </c>
      <c r="CY634" s="693">
        <f>SUMIFS(Imput[[Importe Neto]:[Importe Neto]],Imput[[C. Imp.]:[C. Imp.]],$D634,Imput[[PERIODO Imp.]:[PERIODO Imp.]],CY$9)</f>
        <v>0</v>
      </c>
      <c r="CZ634" s="693">
        <f>SUMIFS(Imput[[Importe Neto]:[Importe Neto]],Imput[[C. Imp.]:[C. Imp.]],$D634,Imput[[PERIODO Imp.]:[PERIODO Imp.]],CZ$9)</f>
        <v>0</v>
      </c>
      <c r="DA634" s="693">
        <f>SUMIFS(Imput[[Importe Neto]:[Importe Neto]],Imput[[C. Imp.]:[C. Imp.]],$D634,Imput[[PERIODO Imp.]:[PERIODO Imp.]],DA$9)</f>
        <v>0</v>
      </c>
      <c r="DB634" s="693">
        <f>SUMIFS(Imput[[Importe Neto]:[Importe Neto]],Imput[[C. Imp.]:[C. Imp.]],$D634,Imput[[PERIODO Imp.]:[PERIODO Imp.]],DB$9)</f>
        <v>0</v>
      </c>
      <c r="DC634" s="693">
        <f>SUMIFS(Imput[[Importe Neto]:[Importe Neto]],Imput[[C. Imp.]:[C. Imp.]],$D634,Imput[[PERIODO Imp.]:[PERIODO Imp.]],DC$9)</f>
        <v>0</v>
      </c>
      <c r="DD634" s="693">
        <f>SUMIFS(Imput[[Importe Neto]:[Importe Neto]],Imput[[C. Imp.]:[C. Imp.]],$D634,Imput[[PERIODO Imp.]:[PERIODO Imp.]],DD$9)</f>
        <v>0</v>
      </c>
      <c r="DE634" s="693">
        <f>SUMIFS(Imput[[Importe Neto]:[Importe Neto]],Imput[[C. Imp.]:[C. Imp.]],$D634,Imput[[PERIODO Imp.]:[PERIODO Imp.]],DE$9)</f>
        <v>0</v>
      </c>
      <c r="DF634" s="693">
        <f>SUMIFS(Imput[[Importe Neto]:[Importe Neto]],Imput[[C. Imp.]:[C. Imp.]],$D634,Imput[[PERIODO Imp.]:[PERIODO Imp.]],DF$9)</f>
        <v>0</v>
      </c>
      <c r="DG634" s="693">
        <f>SUMIFS(Imput[[Importe Neto]:[Importe Neto]],Imput[[C. Imp.]:[C. Imp.]],$D634,Imput[[PERIODO Imp.]:[PERIODO Imp.]],DG$9)</f>
        <v>0</v>
      </c>
      <c r="DH634" s="694">
        <f>SUMIFS(Imput[[Importe Neto]:[Importe Neto]],Imput[[C. Imp.]:[C. Imp.]],$D634,Imput[[PERIODO Imp.]:[PERIODO Imp.]],DH$9)</f>
        <v>0</v>
      </c>
    </row>
    <row r="635" spans="1:112" s="649" customFormat="1" hidden="1" outlineLevel="1" x14ac:dyDescent="0.3">
      <c r="A635" s="652" t="str">
        <f t="shared" si="222"/>
        <v/>
      </c>
      <c r="B635" s="652"/>
      <c r="C635" s="685"/>
      <c r="D635" s="686" t="s">
        <v>2653</v>
      </c>
      <c r="E635" s="728"/>
      <c r="F635" s="720"/>
      <c r="G635" s="688"/>
      <c r="H635" s="689"/>
      <c r="I635" s="851" t="str">
        <f t="shared" si="227"/>
        <v/>
      </c>
      <c r="J635" s="850" t="str">
        <f t="shared" si="224"/>
        <v/>
      </c>
      <c r="K635" s="667"/>
      <c r="L635" s="858"/>
      <c r="M635" s="859"/>
      <c r="N635" s="859"/>
      <c r="O635" s="859"/>
      <c r="P635" s="859"/>
      <c r="Q635" s="859"/>
      <c r="R635" s="859"/>
      <c r="S635" s="859"/>
      <c r="T635" s="859"/>
      <c r="U635" s="859"/>
      <c r="V635" s="859"/>
      <c r="W635" s="859"/>
      <c r="X635" s="859"/>
      <c r="Y635" s="859"/>
      <c r="Z635" s="860"/>
      <c r="AA635" s="860"/>
      <c r="AB635" s="860"/>
      <c r="AC635" s="860"/>
      <c r="AD635" s="860"/>
      <c r="AE635" s="860"/>
      <c r="AF635" s="860"/>
      <c r="AG635" s="860"/>
      <c r="AH635" s="860"/>
      <c r="AI635" s="860"/>
      <c r="AJ635" s="860"/>
      <c r="AK635" s="860"/>
      <c r="AL635" s="860"/>
      <c r="AM635" s="860"/>
      <c r="AN635" s="860"/>
      <c r="AO635" s="860"/>
      <c r="AP635" s="860"/>
      <c r="AQ635" s="860"/>
      <c r="AR635" s="860"/>
      <c r="AS635" s="860"/>
      <c r="AT635" s="860"/>
      <c r="AU635" s="860"/>
      <c r="AV635" s="860"/>
      <c r="AW635" s="860"/>
      <c r="AX635" s="860"/>
      <c r="AY635" s="860"/>
      <c r="AZ635" s="860"/>
      <c r="BA635" s="860"/>
      <c r="BB635" s="860"/>
      <c r="BC635" s="860"/>
      <c r="BD635" s="860"/>
      <c r="BE635" s="860"/>
      <c r="BF635" s="860"/>
      <c r="BG635" s="860"/>
      <c r="BH635" s="668"/>
      <c r="BI635" s="667"/>
      <c r="BJ635" s="690">
        <f t="shared" si="228"/>
        <v>0</v>
      </c>
      <c r="BK635" s="691">
        <f t="shared" si="229"/>
        <v>0</v>
      </c>
      <c r="BL635" s="654"/>
      <c r="BM635" s="692">
        <f>SUMIFS(Imput[[Importe Neto]:[Importe Neto]],Imput[[C. Imp.]:[C. Imp.]],$D635,Imput[[PERIODO Imp.]:[PERIODO Imp.]],BM$9)</f>
        <v>0</v>
      </c>
      <c r="BN635" s="693">
        <f>SUMIFS(Imput[[Importe Neto]:[Importe Neto]],Imput[[C. Imp.]:[C. Imp.]],$D635,Imput[[PERIODO Imp.]:[PERIODO Imp.]],BN$9)</f>
        <v>0</v>
      </c>
      <c r="BO635" s="693">
        <f>SUMIFS(Imput[[Importe Neto]:[Importe Neto]],Imput[[C. Imp.]:[C. Imp.]],$D635,Imput[[PERIODO Imp.]:[PERIODO Imp.]],BO$9)</f>
        <v>0</v>
      </c>
      <c r="BP635" s="693">
        <f>SUMIFS(Imput[[Importe Neto]:[Importe Neto]],Imput[[C. Imp.]:[C. Imp.]],$D635,Imput[[PERIODO Imp.]:[PERIODO Imp.]],BP$9)</f>
        <v>0</v>
      </c>
      <c r="BQ635" s="693">
        <f>SUMIFS(Imput[[Importe Neto]:[Importe Neto]],Imput[[C. Imp.]:[C. Imp.]],$D635,Imput[[PERIODO Imp.]:[PERIODO Imp.]],BQ$9)</f>
        <v>0</v>
      </c>
      <c r="BR635" s="693">
        <f>SUMIFS(Imput[[Importe Neto]:[Importe Neto]],Imput[[C. Imp.]:[C. Imp.]],$D635,Imput[[PERIODO Imp.]:[PERIODO Imp.]],BR$9)</f>
        <v>0</v>
      </c>
      <c r="BS635" s="693">
        <f>SUMIFS(Imput[[Importe Neto]:[Importe Neto]],Imput[[C. Imp.]:[C. Imp.]],$D635,Imput[[PERIODO Imp.]:[PERIODO Imp.]],BS$9)</f>
        <v>0</v>
      </c>
      <c r="BT635" s="693">
        <f>SUMIFS(Imput[[Importe Neto]:[Importe Neto]],Imput[[C. Imp.]:[C. Imp.]],$D635,Imput[[PERIODO Imp.]:[PERIODO Imp.]],BT$9)</f>
        <v>0</v>
      </c>
      <c r="BU635" s="693">
        <f>SUMIFS(Imput[[Importe Neto]:[Importe Neto]],Imput[[C. Imp.]:[C. Imp.]],$D635,Imput[[PERIODO Imp.]:[PERIODO Imp.]],BU$9)</f>
        <v>0</v>
      </c>
      <c r="BV635" s="693">
        <f>SUMIFS(Imput[[Importe Neto]:[Importe Neto]],Imput[[C. Imp.]:[C. Imp.]],$D635,Imput[[PERIODO Imp.]:[PERIODO Imp.]],BV$9)</f>
        <v>0</v>
      </c>
      <c r="BW635" s="693">
        <f>SUMIFS(Imput[[Importe Neto]:[Importe Neto]],Imput[[C. Imp.]:[C. Imp.]],$D635,Imput[[PERIODO Imp.]:[PERIODO Imp.]],BW$9)</f>
        <v>0</v>
      </c>
      <c r="BX635" s="693">
        <f>SUMIFS(Imput[[Importe Neto]:[Importe Neto]],Imput[[C. Imp.]:[C. Imp.]],$D635,Imput[[PERIODO Imp.]:[PERIODO Imp.]],BX$9)</f>
        <v>0</v>
      </c>
      <c r="BY635" s="693">
        <f>SUMIFS(Imput[[Importe Neto]:[Importe Neto]],Imput[[C. Imp.]:[C. Imp.]],$D635,Imput[[PERIODO Imp.]:[PERIODO Imp.]],BY$9)</f>
        <v>0</v>
      </c>
      <c r="BZ635" s="693">
        <f>SUMIFS(Imput[[Importe Neto]:[Importe Neto]],Imput[[C. Imp.]:[C. Imp.]],$D635,Imput[[PERIODO Imp.]:[PERIODO Imp.]],BZ$9)</f>
        <v>0</v>
      </c>
      <c r="CA635" s="693">
        <f>SUMIFS(Imput[[Importe Neto]:[Importe Neto]],Imput[[C. Imp.]:[C. Imp.]],$D635,Imput[[PERIODO Imp.]:[PERIODO Imp.]],CA$9)</f>
        <v>0</v>
      </c>
      <c r="CB635" s="693">
        <f>SUMIFS(Imput[[Importe Neto]:[Importe Neto]],Imput[[C. Imp.]:[C. Imp.]],$D635,Imput[[PERIODO Imp.]:[PERIODO Imp.]],CB$9)</f>
        <v>0</v>
      </c>
      <c r="CC635" s="693">
        <f>SUMIFS(Imput[[Importe Neto]:[Importe Neto]],Imput[[C. Imp.]:[C. Imp.]],$D635,Imput[[PERIODO Imp.]:[PERIODO Imp.]],CC$9)</f>
        <v>0</v>
      </c>
      <c r="CD635" s="693">
        <f>SUMIFS(Imput[[Importe Neto]:[Importe Neto]],Imput[[C. Imp.]:[C. Imp.]],$D635,Imput[[PERIODO Imp.]:[PERIODO Imp.]],CD$9)</f>
        <v>0</v>
      </c>
      <c r="CE635" s="693">
        <f>SUMIFS(Imput[[Importe Neto]:[Importe Neto]],Imput[[C. Imp.]:[C. Imp.]],$D635,Imput[[PERIODO Imp.]:[PERIODO Imp.]],CE$9)</f>
        <v>0</v>
      </c>
      <c r="CF635" s="693">
        <f>SUMIFS(Imput[[Importe Neto]:[Importe Neto]],Imput[[C. Imp.]:[C. Imp.]],$D635,Imput[[PERIODO Imp.]:[PERIODO Imp.]],CF$9)</f>
        <v>0</v>
      </c>
      <c r="CG635" s="693">
        <f>SUMIFS(Imput[[Importe Neto]:[Importe Neto]],Imput[[C. Imp.]:[C. Imp.]],$D635,Imput[[PERIODO Imp.]:[PERIODO Imp.]],CG$9)</f>
        <v>0</v>
      </c>
      <c r="CH635" s="693">
        <f>SUMIFS(Imput[[Importe Neto]:[Importe Neto]],Imput[[C. Imp.]:[C. Imp.]],$D635,Imput[[PERIODO Imp.]:[PERIODO Imp.]],CH$9)</f>
        <v>0</v>
      </c>
      <c r="CI635" s="693">
        <f>SUMIFS(Imput[[Importe Neto]:[Importe Neto]],Imput[[C. Imp.]:[C. Imp.]],$D635,Imput[[PERIODO Imp.]:[PERIODO Imp.]],CI$9)</f>
        <v>0</v>
      </c>
      <c r="CJ635" s="693">
        <f>SUMIFS(Imput[[Importe Neto]:[Importe Neto]],Imput[[C. Imp.]:[C. Imp.]],$D635,Imput[[PERIODO Imp.]:[PERIODO Imp.]],CJ$9)</f>
        <v>0</v>
      </c>
      <c r="CK635" s="693">
        <f>SUMIFS(Imput[[Importe Neto]:[Importe Neto]],Imput[[C. Imp.]:[C. Imp.]],$D635,Imput[[PERIODO Imp.]:[PERIODO Imp.]],CK$9)</f>
        <v>0</v>
      </c>
      <c r="CL635" s="693">
        <f>SUMIFS(Imput[[Importe Neto]:[Importe Neto]],Imput[[C. Imp.]:[C. Imp.]],$D635,Imput[[PERIODO Imp.]:[PERIODO Imp.]],CL$9)</f>
        <v>0</v>
      </c>
      <c r="CM635" s="693">
        <f>SUMIFS(Imput[[Importe Neto]:[Importe Neto]],Imput[[C. Imp.]:[C. Imp.]],$D635,Imput[[PERIODO Imp.]:[PERIODO Imp.]],CM$9)</f>
        <v>0</v>
      </c>
      <c r="CN635" s="693">
        <f>SUMIFS(Imput[[Importe Neto]:[Importe Neto]],Imput[[C. Imp.]:[C. Imp.]],$D635,Imput[[PERIODO Imp.]:[PERIODO Imp.]],CN$9)</f>
        <v>0</v>
      </c>
      <c r="CO635" s="693">
        <f>SUMIFS(Imput[[Importe Neto]:[Importe Neto]],Imput[[C. Imp.]:[C. Imp.]],$D635,Imput[[PERIODO Imp.]:[PERIODO Imp.]],CO$9)</f>
        <v>0</v>
      </c>
      <c r="CP635" s="693">
        <f>SUMIFS(Imput[[Importe Neto]:[Importe Neto]],Imput[[C. Imp.]:[C. Imp.]],$D635,Imput[[PERIODO Imp.]:[PERIODO Imp.]],CP$9)</f>
        <v>0</v>
      </c>
      <c r="CQ635" s="693">
        <f>SUMIFS(Imput[[Importe Neto]:[Importe Neto]],Imput[[C. Imp.]:[C. Imp.]],$D635,Imput[[PERIODO Imp.]:[PERIODO Imp.]],CQ$9)</f>
        <v>0</v>
      </c>
      <c r="CR635" s="693">
        <f>SUMIFS(Imput[[Importe Neto]:[Importe Neto]],Imput[[C. Imp.]:[C. Imp.]],$D635,Imput[[PERIODO Imp.]:[PERIODO Imp.]],CR$9)</f>
        <v>0</v>
      </c>
      <c r="CS635" s="693">
        <f>SUMIFS(Imput[[Importe Neto]:[Importe Neto]],Imput[[C. Imp.]:[C. Imp.]],$D635,Imput[[PERIODO Imp.]:[PERIODO Imp.]],CS$9)</f>
        <v>0</v>
      </c>
      <c r="CT635" s="693">
        <f>SUMIFS(Imput[[Importe Neto]:[Importe Neto]],Imput[[C. Imp.]:[C. Imp.]],$D635,Imput[[PERIODO Imp.]:[PERIODO Imp.]],CT$9)</f>
        <v>0</v>
      </c>
      <c r="CU635" s="693">
        <f>SUMIFS(Imput[[Importe Neto]:[Importe Neto]],Imput[[C. Imp.]:[C. Imp.]],$D635,Imput[[PERIODO Imp.]:[PERIODO Imp.]],CU$9)</f>
        <v>0</v>
      </c>
      <c r="CV635" s="693">
        <f>SUMIFS(Imput[[Importe Neto]:[Importe Neto]],Imput[[C. Imp.]:[C. Imp.]],$D635,Imput[[PERIODO Imp.]:[PERIODO Imp.]],CV$9)</f>
        <v>0</v>
      </c>
      <c r="CW635" s="693">
        <f>SUMIFS(Imput[[Importe Neto]:[Importe Neto]],Imput[[C. Imp.]:[C. Imp.]],$D635,Imput[[PERIODO Imp.]:[PERIODO Imp.]],CW$9)</f>
        <v>0</v>
      </c>
      <c r="CX635" s="693">
        <f>SUMIFS(Imput[[Importe Neto]:[Importe Neto]],Imput[[C. Imp.]:[C. Imp.]],$D635,Imput[[PERIODO Imp.]:[PERIODO Imp.]],CX$9)</f>
        <v>0</v>
      </c>
      <c r="CY635" s="693">
        <f>SUMIFS(Imput[[Importe Neto]:[Importe Neto]],Imput[[C. Imp.]:[C. Imp.]],$D635,Imput[[PERIODO Imp.]:[PERIODO Imp.]],CY$9)</f>
        <v>0</v>
      </c>
      <c r="CZ635" s="693">
        <f>SUMIFS(Imput[[Importe Neto]:[Importe Neto]],Imput[[C. Imp.]:[C. Imp.]],$D635,Imput[[PERIODO Imp.]:[PERIODO Imp.]],CZ$9)</f>
        <v>0</v>
      </c>
      <c r="DA635" s="693">
        <f>SUMIFS(Imput[[Importe Neto]:[Importe Neto]],Imput[[C. Imp.]:[C. Imp.]],$D635,Imput[[PERIODO Imp.]:[PERIODO Imp.]],DA$9)</f>
        <v>0</v>
      </c>
      <c r="DB635" s="693">
        <f>SUMIFS(Imput[[Importe Neto]:[Importe Neto]],Imput[[C. Imp.]:[C. Imp.]],$D635,Imput[[PERIODO Imp.]:[PERIODO Imp.]],DB$9)</f>
        <v>0</v>
      </c>
      <c r="DC635" s="693">
        <f>SUMIFS(Imput[[Importe Neto]:[Importe Neto]],Imput[[C. Imp.]:[C. Imp.]],$D635,Imput[[PERIODO Imp.]:[PERIODO Imp.]],DC$9)</f>
        <v>0</v>
      </c>
      <c r="DD635" s="693">
        <f>SUMIFS(Imput[[Importe Neto]:[Importe Neto]],Imput[[C. Imp.]:[C. Imp.]],$D635,Imput[[PERIODO Imp.]:[PERIODO Imp.]],DD$9)</f>
        <v>0</v>
      </c>
      <c r="DE635" s="693">
        <f>SUMIFS(Imput[[Importe Neto]:[Importe Neto]],Imput[[C. Imp.]:[C. Imp.]],$D635,Imput[[PERIODO Imp.]:[PERIODO Imp.]],DE$9)</f>
        <v>0</v>
      </c>
      <c r="DF635" s="693">
        <f>SUMIFS(Imput[[Importe Neto]:[Importe Neto]],Imput[[C. Imp.]:[C. Imp.]],$D635,Imput[[PERIODO Imp.]:[PERIODO Imp.]],DF$9)</f>
        <v>0</v>
      </c>
      <c r="DG635" s="693">
        <f>SUMIFS(Imput[[Importe Neto]:[Importe Neto]],Imput[[C. Imp.]:[C. Imp.]],$D635,Imput[[PERIODO Imp.]:[PERIODO Imp.]],DG$9)</f>
        <v>0</v>
      </c>
      <c r="DH635" s="694">
        <f>SUMIFS(Imput[[Importe Neto]:[Importe Neto]],Imput[[C. Imp.]:[C. Imp.]],$D635,Imput[[PERIODO Imp.]:[PERIODO Imp.]],DH$9)</f>
        <v>0</v>
      </c>
    </row>
    <row r="636" spans="1:112" s="649" customFormat="1" hidden="1" outlineLevel="1" x14ac:dyDescent="0.3">
      <c r="A636" s="652" t="str">
        <f t="shared" si="222"/>
        <v/>
      </c>
      <c r="B636" s="652"/>
      <c r="C636" s="685"/>
      <c r="D636" s="686" t="s">
        <v>2654</v>
      </c>
      <c r="E636" s="728"/>
      <c r="F636" s="720"/>
      <c r="G636" s="688"/>
      <c r="H636" s="689"/>
      <c r="I636" s="851" t="str">
        <f t="shared" si="227"/>
        <v/>
      </c>
      <c r="J636" s="850" t="str">
        <f t="shared" si="224"/>
        <v/>
      </c>
      <c r="K636" s="667"/>
      <c r="L636" s="858"/>
      <c r="M636" s="859"/>
      <c r="N636" s="859"/>
      <c r="O636" s="859"/>
      <c r="P636" s="859"/>
      <c r="Q636" s="859"/>
      <c r="R636" s="859"/>
      <c r="S636" s="859"/>
      <c r="T636" s="859"/>
      <c r="U636" s="859"/>
      <c r="V636" s="859"/>
      <c r="W636" s="859"/>
      <c r="X636" s="859"/>
      <c r="Y636" s="859"/>
      <c r="Z636" s="860"/>
      <c r="AA636" s="860"/>
      <c r="AB636" s="860"/>
      <c r="AC636" s="860"/>
      <c r="AD636" s="860"/>
      <c r="AE636" s="860"/>
      <c r="AF636" s="860"/>
      <c r="AG636" s="860"/>
      <c r="AH636" s="860"/>
      <c r="AI636" s="860"/>
      <c r="AJ636" s="860"/>
      <c r="AK636" s="860"/>
      <c r="AL636" s="860"/>
      <c r="AM636" s="860"/>
      <c r="AN636" s="860"/>
      <c r="AO636" s="860"/>
      <c r="AP636" s="860"/>
      <c r="AQ636" s="860"/>
      <c r="AR636" s="860"/>
      <c r="AS636" s="860"/>
      <c r="AT636" s="860"/>
      <c r="AU636" s="860"/>
      <c r="AV636" s="860"/>
      <c r="AW636" s="860"/>
      <c r="AX636" s="860"/>
      <c r="AY636" s="860"/>
      <c r="AZ636" s="860"/>
      <c r="BA636" s="860"/>
      <c r="BB636" s="860"/>
      <c r="BC636" s="860"/>
      <c r="BD636" s="860"/>
      <c r="BE636" s="860"/>
      <c r="BF636" s="860"/>
      <c r="BG636" s="860"/>
      <c r="BH636" s="668"/>
      <c r="BI636" s="667"/>
      <c r="BJ636" s="690">
        <f t="shared" si="228"/>
        <v>0</v>
      </c>
      <c r="BK636" s="691">
        <f t="shared" si="229"/>
        <v>0</v>
      </c>
      <c r="BL636" s="654"/>
      <c r="BM636" s="692">
        <f>SUMIFS(Imput[[Importe Neto]:[Importe Neto]],Imput[[C. Imp.]:[C. Imp.]],$D636,Imput[[PERIODO Imp.]:[PERIODO Imp.]],BM$9)</f>
        <v>0</v>
      </c>
      <c r="BN636" s="693">
        <f>SUMIFS(Imput[[Importe Neto]:[Importe Neto]],Imput[[C. Imp.]:[C. Imp.]],$D636,Imput[[PERIODO Imp.]:[PERIODO Imp.]],BN$9)</f>
        <v>0</v>
      </c>
      <c r="BO636" s="693">
        <f>SUMIFS(Imput[[Importe Neto]:[Importe Neto]],Imput[[C. Imp.]:[C. Imp.]],$D636,Imput[[PERIODO Imp.]:[PERIODO Imp.]],BO$9)</f>
        <v>0</v>
      </c>
      <c r="BP636" s="693">
        <f>SUMIFS(Imput[[Importe Neto]:[Importe Neto]],Imput[[C. Imp.]:[C. Imp.]],$D636,Imput[[PERIODO Imp.]:[PERIODO Imp.]],BP$9)</f>
        <v>0</v>
      </c>
      <c r="BQ636" s="693">
        <f>SUMIFS(Imput[[Importe Neto]:[Importe Neto]],Imput[[C. Imp.]:[C. Imp.]],$D636,Imput[[PERIODO Imp.]:[PERIODO Imp.]],BQ$9)</f>
        <v>0</v>
      </c>
      <c r="BR636" s="693">
        <f>SUMIFS(Imput[[Importe Neto]:[Importe Neto]],Imput[[C. Imp.]:[C. Imp.]],$D636,Imput[[PERIODO Imp.]:[PERIODO Imp.]],BR$9)</f>
        <v>0</v>
      </c>
      <c r="BS636" s="693">
        <f>SUMIFS(Imput[[Importe Neto]:[Importe Neto]],Imput[[C. Imp.]:[C. Imp.]],$D636,Imput[[PERIODO Imp.]:[PERIODO Imp.]],BS$9)</f>
        <v>0</v>
      </c>
      <c r="BT636" s="693">
        <f>SUMIFS(Imput[[Importe Neto]:[Importe Neto]],Imput[[C. Imp.]:[C. Imp.]],$D636,Imput[[PERIODO Imp.]:[PERIODO Imp.]],BT$9)</f>
        <v>0</v>
      </c>
      <c r="BU636" s="693">
        <f>SUMIFS(Imput[[Importe Neto]:[Importe Neto]],Imput[[C. Imp.]:[C. Imp.]],$D636,Imput[[PERIODO Imp.]:[PERIODO Imp.]],BU$9)</f>
        <v>0</v>
      </c>
      <c r="BV636" s="693">
        <f>SUMIFS(Imput[[Importe Neto]:[Importe Neto]],Imput[[C. Imp.]:[C. Imp.]],$D636,Imput[[PERIODO Imp.]:[PERIODO Imp.]],BV$9)</f>
        <v>0</v>
      </c>
      <c r="BW636" s="693">
        <f>SUMIFS(Imput[[Importe Neto]:[Importe Neto]],Imput[[C. Imp.]:[C. Imp.]],$D636,Imput[[PERIODO Imp.]:[PERIODO Imp.]],BW$9)</f>
        <v>0</v>
      </c>
      <c r="BX636" s="693">
        <f>SUMIFS(Imput[[Importe Neto]:[Importe Neto]],Imput[[C. Imp.]:[C. Imp.]],$D636,Imput[[PERIODO Imp.]:[PERIODO Imp.]],BX$9)</f>
        <v>0</v>
      </c>
      <c r="BY636" s="693">
        <f>SUMIFS(Imput[[Importe Neto]:[Importe Neto]],Imput[[C. Imp.]:[C. Imp.]],$D636,Imput[[PERIODO Imp.]:[PERIODO Imp.]],BY$9)</f>
        <v>0</v>
      </c>
      <c r="BZ636" s="693">
        <f>SUMIFS(Imput[[Importe Neto]:[Importe Neto]],Imput[[C. Imp.]:[C. Imp.]],$D636,Imput[[PERIODO Imp.]:[PERIODO Imp.]],BZ$9)</f>
        <v>0</v>
      </c>
      <c r="CA636" s="693">
        <f>SUMIFS(Imput[[Importe Neto]:[Importe Neto]],Imput[[C. Imp.]:[C. Imp.]],$D636,Imput[[PERIODO Imp.]:[PERIODO Imp.]],CA$9)</f>
        <v>0</v>
      </c>
      <c r="CB636" s="693">
        <f>SUMIFS(Imput[[Importe Neto]:[Importe Neto]],Imput[[C. Imp.]:[C. Imp.]],$D636,Imput[[PERIODO Imp.]:[PERIODO Imp.]],CB$9)</f>
        <v>0</v>
      </c>
      <c r="CC636" s="693">
        <f>SUMIFS(Imput[[Importe Neto]:[Importe Neto]],Imput[[C. Imp.]:[C. Imp.]],$D636,Imput[[PERIODO Imp.]:[PERIODO Imp.]],CC$9)</f>
        <v>0</v>
      </c>
      <c r="CD636" s="693">
        <f>SUMIFS(Imput[[Importe Neto]:[Importe Neto]],Imput[[C. Imp.]:[C. Imp.]],$D636,Imput[[PERIODO Imp.]:[PERIODO Imp.]],CD$9)</f>
        <v>0</v>
      </c>
      <c r="CE636" s="693">
        <f>SUMIFS(Imput[[Importe Neto]:[Importe Neto]],Imput[[C. Imp.]:[C. Imp.]],$D636,Imput[[PERIODO Imp.]:[PERIODO Imp.]],CE$9)</f>
        <v>0</v>
      </c>
      <c r="CF636" s="693">
        <f>SUMIFS(Imput[[Importe Neto]:[Importe Neto]],Imput[[C. Imp.]:[C. Imp.]],$D636,Imput[[PERIODO Imp.]:[PERIODO Imp.]],CF$9)</f>
        <v>0</v>
      </c>
      <c r="CG636" s="693">
        <f>SUMIFS(Imput[[Importe Neto]:[Importe Neto]],Imput[[C. Imp.]:[C. Imp.]],$D636,Imput[[PERIODO Imp.]:[PERIODO Imp.]],CG$9)</f>
        <v>0</v>
      </c>
      <c r="CH636" s="693">
        <f>SUMIFS(Imput[[Importe Neto]:[Importe Neto]],Imput[[C. Imp.]:[C. Imp.]],$D636,Imput[[PERIODO Imp.]:[PERIODO Imp.]],CH$9)</f>
        <v>0</v>
      </c>
      <c r="CI636" s="693">
        <f>SUMIFS(Imput[[Importe Neto]:[Importe Neto]],Imput[[C. Imp.]:[C. Imp.]],$D636,Imput[[PERIODO Imp.]:[PERIODO Imp.]],CI$9)</f>
        <v>0</v>
      </c>
      <c r="CJ636" s="693">
        <f>SUMIFS(Imput[[Importe Neto]:[Importe Neto]],Imput[[C. Imp.]:[C. Imp.]],$D636,Imput[[PERIODO Imp.]:[PERIODO Imp.]],CJ$9)</f>
        <v>0</v>
      </c>
      <c r="CK636" s="693">
        <f>SUMIFS(Imput[[Importe Neto]:[Importe Neto]],Imput[[C. Imp.]:[C. Imp.]],$D636,Imput[[PERIODO Imp.]:[PERIODO Imp.]],CK$9)</f>
        <v>0</v>
      </c>
      <c r="CL636" s="693">
        <f>SUMIFS(Imput[[Importe Neto]:[Importe Neto]],Imput[[C. Imp.]:[C. Imp.]],$D636,Imput[[PERIODO Imp.]:[PERIODO Imp.]],CL$9)</f>
        <v>0</v>
      </c>
      <c r="CM636" s="693">
        <f>SUMIFS(Imput[[Importe Neto]:[Importe Neto]],Imput[[C. Imp.]:[C. Imp.]],$D636,Imput[[PERIODO Imp.]:[PERIODO Imp.]],CM$9)</f>
        <v>0</v>
      </c>
      <c r="CN636" s="693">
        <f>SUMIFS(Imput[[Importe Neto]:[Importe Neto]],Imput[[C. Imp.]:[C. Imp.]],$D636,Imput[[PERIODO Imp.]:[PERIODO Imp.]],CN$9)</f>
        <v>0</v>
      </c>
      <c r="CO636" s="693">
        <f>SUMIFS(Imput[[Importe Neto]:[Importe Neto]],Imput[[C. Imp.]:[C. Imp.]],$D636,Imput[[PERIODO Imp.]:[PERIODO Imp.]],CO$9)</f>
        <v>0</v>
      </c>
      <c r="CP636" s="693">
        <f>SUMIFS(Imput[[Importe Neto]:[Importe Neto]],Imput[[C. Imp.]:[C. Imp.]],$D636,Imput[[PERIODO Imp.]:[PERIODO Imp.]],CP$9)</f>
        <v>0</v>
      </c>
      <c r="CQ636" s="693">
        <f>SUMIFS(Imput[[Importe Neto]:[Importe Neto]],Imput[[C. Imp.]:[C. Imp.]],$D636,Imput[[PERIODO Imp.]:[PERIODO Imp.]],CQ$9)</f>
        <v>0</v>
      </c>
      <c r="CR636" s="693">
        <f>SUMIFS(Imput[[Importe Neto]:[Importe Neto]],Imput[[C. Imp.]:[C. Imp.]],$D636,Imput[[PERIODO Imp.]:[PERIODO Imp.]],CR$9)</f>
        <v>0</v>
      </c>
      <c r="CS636" s="693">
        <f>SUMIFS(Imput[[Importe Neto]:[Importe Neto]],Imput[[C. Imp.]:[C. Imp.]],$D636,Imput[[PERIODO Imp.]:[PERIODO Imp.]],CS$9)</f>
        <v>0</v>
      </c>
      <c r="CT636" s="693">
        <f>SUMIFS(Imput[[Importe Neto]:[Importe Neto]],Imput[[C. Imp.]:[C. Imp.]],$D636,Imput[[PERIODO Imp.]:[PERIODO Imp.]],CT$9)</f>
        <v>0</v>
      </c>
      <c r="CU636" s="693">
        <f>SUMIFS(Imput[[Importe Neto]:[Importe Neto]],Imput[[C. Imp.]:[C. Imp.]],$D636,Imput[[PERIODO Imp.]:[PERIODO Imp.]],CU$9)</f>
        <v>0</v>
      </c>
      <c r="CV636" s="693">
        <f>SUMIFS(Imput[[Importe Neto]:[Importe Neto]],Imput[[C. Imp.]:[C. Imp.]],$D636,Imput[[PERIODO Imp.]:[PERIODO Imp.]],CV$9)</f>
        <v>0</v>
      </c>
      <c r="CW636" s="693">
        <f>SUMIFS(Imput[[Importe Neto]:[Importe Neto]],Imput[[C. Imp.]:[C. Imp.]],$D636,Imput[[PERIODO Imp.]:[PERIODO Imp.]],CW$9)</f>
        <v>0</v>
      </c>
      <c r="CX636" s="693">
        <f>SUMIFS(Imput[[Importe Neto]:[Importe Neto]],Imput[[C. Imp.]:[C. Imp.]],$D636,Imput[[PERIODO Imp.]:[PERIODO Imp.]],CX$9)</f>
        <v>0</v>
      </c>
      <c r="CY636" s="693">
        <f>SUMIFS(Imput[[Importe Neto]:[Importe Neto]],Imput[[C. Imp.]:[C. Imp.]],$D636,Imput[[PERIODO Imp.]:[PERIODO Imp.]],CY$9)</f>
        <v>0</v>
      </c>
      <c r="CZ636" s="693">
        <f>SUMIFS(Imput[[Importe Neto]:[Importe Neto]],Imput[[C. Imp.]:[C. Imp.]],$D636,Imput[[PERIODO Imp.]:[PERIODO Imp.]],CZ$9)</f>
        <v>0</v>
      </c>
      <c r="DA636" s="693">
        <f>SUMIFS(Imput[[Importe Neto]:[Importe Neto]],Imput[[C. Imp.]:[C. Imp.]],$D636,Imput[[PERIODO Imp.]:[PERIODO Imp.]],DA$9)</f>
        <v>0</v>
      </c>
      <c r="DB636" s="693">
        <f>SUMIFS(Imput[[Importe Neto]:[Importe Neto]],Imput[[C. Imp.]:[C. Imp.]],$D636,Imput[[PERIODO Imp.]:[PERIODO Imp.]],DB$9)</f>
        <v>0</v>
      </c>
      <c r="DC636" s="693">
        <f>SUMIFS(Imput[[Importe Neto]:[Importe Neto]],Imput[[C. Imp.]:[C. Imp.]],$D636,Imput[[PERIODO Imp.]:[PERIODO Imp.]],DC$9)</f>
        <v>0</v>
      </c>
      <c r="DD636" s="693">
        <f>SUMIFS(Imput[[Importe Neto]:[Importe Neto]],Imput[[C. Imp.]:[C. Imp.]],$D636,Imput[[PERIODO Imp.]:[PERIODO Imp.]],DD$9)</f>
        <v>0</v>
      </c>
      <c r="DE636" s="693">
        <f>SUMIFS(Imput[[Importe Neto]:[Importe Neto]],Imput[[C. Imp.]:[C. Imp.]],$D636,Imput[[PERIODO Imp.]:[PERIODO Imp.]],DE$9)</f>
        <v>0</v>
      </c>
      <c r="DF636" s="693">
        <f>SUMIFS(Imput[[Importe Neto]:[Importe Neto]],Imput[[C. Imp.]:[C. Imp.]],$D636,Imput[[PERIODO Imp.]:[PERIODO Imp.]],DF$9)</f>
        <v>0</v>
      </c>
      <c r="DG636" s="693">
        <f>SUMIFS(Imput[[Importe Neto]:[Importe Neto]],Imput[[C. Imp.]:[C. Imp.]],$D636,Imput[[PERIODO Imp.]:[PERIODO Imp.]],DG$9)</f>
        <v>0</v>
      </c>
      <c r="DH636" s="694">
        <f>SUMIFS(Imput[[Importe Neto]:[Importe Neto]],Imput[[C. Imp.]:[C. Imp.]],$D636,Imput[[PERIODO Imp.]:[PERIODO Imp.]],DH$9)</f>
        <v>0</v>
      </c>
    </row>
    <row r="637" spans="1:112" s="649" customFormat="1" hidden="1" outlineLevel="1" x14ac:dyDescent="0.3">
      <c r="A637" s="652" t="str">
        <f t="shared" si="222"/>
        <v/>
      </c>
      <c r="B637" s="652"/>
      <c r="C637" s="685"/>
      <c r="D637" s="686" t="s">
        <v>2655</v>
      </c>
      <c r="E637" s="728"/>
      <c r="F637" s="720"/>
      <c r="G637" s="688"/>
      <c r="H637" s="689"/>
      <c r="I637" s="851" t="str">
        <f t="shared" si="227"/>
        <v/>
      </c>
      <c r="J637" s="850" t="str">
        <f t="shared" si="224"/>
        <v/>
      </c>
      <c r="K637" s="667"/>
      <c r="L637" s="858"/>
      <c r="M637" s="859"/>
      <c r="N637" s="859"/>
      <c r="O637" s="859"/>
      <c r="P637" s="859"/>
      <c r="Q637" s="859"/>
      <c r="R637" s="859"/>
      <c r="S637" s="859"/>
      <c r="T637" s="859"/>
      <c r="U637" s="859"/>
      <c r="V637" s="859"/>
      <c r="W637" s="859"/>
      <c r="X637" s="859"/>
      <c r="Y637" s="859"/>
      <c r="Z637" s="860"/>
      <c r="AA637" s="860"/>
      <c r="AB637" s="860"/>
      <c r="AC637" s="860"/>
      <c r="AD637" s="860"/>
      <c r="AE637" s="860"/>
      <c r="AF637" s="860"/>
      <c r="AG637" s="860"/>
      <c r="AH637" s="860"/>
      <c r="AI637" s="860"/>
      <c r="AJ637" s="860"/>
      <c r="AK637" s="860"/>
      <c r="AL637" s="860"/>
      <c r="AM637" s="860"/>
      <c r="AN637" s="860"/>
      <c r="AO637" s="860"/>
      <c r="AP637" s="860"/>
      <c r="AQ637" s="860"/>
      <c r="AR637" s="860"/>
      <c r="AS637" s="860"/>
      <c r="AT637" s="860"/>
      <c r="AU637" s="860"/>
      <c r="AV637" s="860"/>
      <c r="AW637" s="860"/>
      <c r="AX637" s="860"/>
      <c r="AY637" s="860"/>
      <c r="AZ637" s="860"/>
      <c r="BA637" s="860"/>
      <c r="BB637" s="860"/>
      <c r="BC637" s="860"/>
      <c r="BD637" s="860"/>
      <c r="BE637" s="860"/>
      <c r="BF637" s="860"/>
      <c r="BG637" s="860"/>
      <c r="BH637" s="668"/>
      <c r="BI637" s="667"/>
      <c r="BJ637" s="690">
        <f t="shared" si="228"/>
        <v>0</v>
      </c>
      <c r="BK637" s="691">
        <f t="shared" si="229"/>
        <v>0</v>
      </c>
      <c r="BL637" s="654"/>
      <c r="BM637" s="692">
        <f>SUMIFS(Imput[[Importe Neto]:[Importe Neto]],Imput[[C. Imp.]:[C. Imp.]],$D637,Imput[[PERIODO Imp.]:[PERIODO Imp.]],BM$9)</f>
        <v>0</v>
      </c>
      <c r="BN637" s="693">
        <f>SUMIFS(Imput[[Importe Neto]:[Importe Neto]],Imput[[C. Imp.]:[C. Imp.]],$D637,Imput[[PERIODO Imp.]:[PERIODO Imp.]],BN$9)</f>
        <v>0</v>
      </c>
      <c r="BO637" s="693">
        <f>SUMIFS(Imput[[Importe Neto]:[Importe Neto]],Imput[[C. Imp.]:[C. Imp.]],$D637,Imput[[PERIODO Imp.]:[PERIODO Imp.]],BO$9)</f>
        <v>0</v>
      </c>
      <c r="BP637" s="693">
        <f>SUMIFS(Imput[[Importe Neto]:[Importe Neto]],Imput[[C. Imp.]:[C. Imp.]],$D637,Imput[[PERIODO Imp.]:[PERIODO Imp.]],BP$9)</f>
        <v>0</v>
      </c>
      <c r="BQ637" s="693">
        <f>SUMIFS(Imput[[Importe Neto]:[Importe Neto]],Imput[[C. Imp.]:[C. Imp.]],$D637,Imput[[PERIODO Imp.]:[PERIODO Imp.]],BQ$9)</f>
        <v>0</v>
      </c>
      <c r="BR637" s="693">
        <f>SUMIFS(Imput[[Importe Neto]:[Importe Neto]],Imput[[C. Imp.]:[C. Imp.]],$D637,Imput[[PERIODO Imp.]:[PERIODO Imp.]],BR$9)</f>
        <v>0</v>
      </c>
      <c r="BS637" s="693">
        <f>SUMIFS(Imput[[Importe Neto]:[Importe Neto]],Imput[[C. Imp.]:[C. Imp.]],$D637,Imput[[PERIODO Imp.]:[PERIODO Imp.]],BS$9)</f>
        <v>0</v>
      </c>
      <c r="BT637" s="693">
        <f>SUMIFS(Imput[[Importe Neto]:[Importe Neto]],Imput[[C. Imp.]:[C. Imp.]],$D637,Imput[[PERIODO Imp.]:[PERIODO Imp.]],BT$9)</f>
        <v>0</v>
      </c>
      <c r="BU637" s="693">
        <f>SUMIFS(Imput[[Importe Neto]:[Importe Neto]],Imput[[C. Imp.]:[C. Imp.]],$D637,Imput[[PERIODO Imp.]:[PERIODO Imp.]],BU$9)</f>
        <v>0</v>
      </c>
      <c r="BV637" s="693">
        <f>SUMIFS(Imput[[Importe Neto]:[Importe Neto]],Imput[[C. Imp.]:[C. Imp.]],$D637,Imput[[PERIODO Imp.]:[PERIODO Imp.]],BV$9)</f>
        <v>0</v>
      </c>
      <c r="BW637" s="693">
        <f>SUMIFS(Imput[[Importe Neto]:[Importe Neto]],Imput[[C. Imp.]:[C. Imp.]],$D637,Imput[[PERIODO Imp.]:[PERIODO Imp.]],BW$9)</f>
        <v>0</v>
      </c>
      <c r="BX637" s="693">
        <f>SUMIFS(Imput[[Importe Neto]:[Importe Neto]],Imput[[C. Imp.]:[C. Imp.]],$D637,Imput[[PERIODO Imp.]:[PERIODO Imp.]],BX$9)</f>
        <v>0</v>
      </c>
      <c r="BY637" s="693">
        <f>SUMIFS(Imput[[Importe Neto]:[Importe Neto]],Imput[[C. Imp.]:[C. Imp.]],$D637,Imput[[PERIODO Imp.]:[PERIODO Imp.]],BY$9)</f>
        <v>0</v>
      </c>
      <c r="BZ637" s="693">
        <f>SUMIFS(Imput[[Importe Neto]:[Importe Neto]],Imput[[C. Imp.]:[C. Imp.]],$D637,Imput[[PERIODO Imp.]:[PERIODO Imp.]],BZ$9)</f>
        <v>0</v>
      </c>
      <c r="CA637" s="693">
        <f>SUMIFS(Imput[[Importe Neto]:[Importe Neto]],Imput[[C. Imp.]:[C. Imp.]],$D637,Imput[[PERIODO Imp.]:[PERIODO Imp.]],CA$9)</f>
        <v>0</v>
      </c>
      <c r="CB637" s="693">
        <f>SUMIFS(Imput[[Importe Neto]:[Importe Neto]],Imput[[C. Imp.]:[C. Imp.]],$D637,Imput[[PERIODO Imp.]:[PERIODO Imp.]],CB$9)</f>
        <v>0</v>
      </c>
      <c r="CC637" s="693">
        <f>SUMIFS(Imput[[Importe Neto]:[Importe Neto]],Imput[[C. Imp.]:[C. Imp.]],$D637,Imput[[PERIODO Imp.]:[PERIODO Imp.]],CC$9)</f>
        <v>0</v>
      </c>
      <c r="CD637" s="693">
        <f>SUMIFS(Imput[[Importe Neto]:[Importe Neto]],Imput[[C. Imp.]:[C. Imp.]],$D637,Imput[[PERIODO Imp.]:[PERIODO Imp.]],CD$9)</f>
        <v>0</v>
      </c>
      <c r="CE637" s="693">
        <f>SUMIFS(Imput[[Importe Neto]:[Importe Neto]],Imput[[C. Imp.]:[C. Imp.]],$D637,Imput[[PERIODO Imp.]:[PERIODO Imp.]],CE$9)</f>
        <v>0</v>
      </c>
      <c r="CF637" s="693">
        <f>SUMIFS(Imput[[Importe Neto]:[Importe Neto]],Imput[[C. Imp.]:[C. Imp.]],$D637,Imput[[PERIODO Imp.]:[PERIODO Imp.]],CF$9)</f>
        <v>0</v>
      </c>
      <c r="CG637" s="693">
        <f>SUMIFS(Imput[[Importe Neto]:[Importe Neto]],Imput[[C. Imp.]:[C. Imp.]],$D637,Imput[[PERIODO Imp.]:[PERIODO Imp.]],CG$9)</f>
        <v>0</v>
      </c>
      <c r="CH637" s="693">
        <f>SUMIFS(Imput[[Importe Neto]:[Importe Neto]],Imput[[C. Imp.]:[C. Imp.]],$D637,Imput[[PERIODO Imp.]:[PERIODO Imp.]],CH$9)</f>
        <v>0</v>
      </c>
      <c r="CI637" s="693">
        <f>SUMIFS(Imput[[Importe Neto]:[Importe Neto]],Imput[[C. Imp.]:[C. Imp.]],$D637,Imput[[PERIODO Imp.]:[PERIODO Imp.]],CI$9)</f>
        <v>0</v>
      </c>
      <c r="CJ637" s="693">
        <f>SUMIFS(Imput[[Importe Neto]:[Importe Neto]],Imput[[C. Imp.]:[C. Imp.]],$D637,Imput[[PERIODO Imp.]:[PERIODO Imp.]],CJ$9)</f>
        <v>0</v>
      </c>
      <c r="CK637" s="693">
        <f>SUMIFS(Imput[[Importe Neto]:[Importe Neto]],Imput[[C. Imp.]:[C. Imp.]],$D637,Imput[[PERIODO Imp.]:[PERIODO Imp.]],CK$9)</f>
        <v>0</v>
      </c>
      <c r="CL637" s="693">
        <f>SUMIFS(Imput[[Importe Neto]:[Importe Neto]],Imput[[C. Imp.]:[C. Imp.]],$D637,Imput[[PERIODO Imp.]:[PERIODO Imp.]],CL$9)</f>
        <v>0</v>
      </c>
      <c r="CM637" s="693">
        <f>SUMIFS(Imput[[Importe Neto]:[Importe Neto]],Imput[[C. Imp.]:[C. Imp.]],$D637,Imput[[PERIODO Imp.]:[PERIODO Imp.]],CM$9)</f>
        <v>0</v>
      </c>
      <c r="CN637" s="693">
        <f>SUMIFS(Imput[[Importe Neto]:[Importe Neto]],Imput[[C. Imp.]:[C. Imp.]],$D637,Imput[[PERIODO Imp.]:[PERIODO Imp.]],CN$9)</f>
        <v>0</v>
      </c>
      <c r="CO637" s="693">
        <f>SUMIFS(Imput[[Importe Neto]:[Importe Neto]],Imput[[C. Imp.]:[C. Imp.]],$D637,Imput[[PERIODO Imp.]:[PERIODO Imp.]],CO$9)</f>
        <v>0</v>
      </c>
      <c r="CP637" s="693">
        <f>SUMIFS(Imput[[Importe Neto]:[Importe Neto]],Imput[[C. Imp.]:[C. Imp.]],$D637,Imput[[PERIODO Imp.]:[PERIODO Imp.]],CP$9)</f>
        <v>0</v>
      </c>
      <c r="CQ637" s="693">
        <f>SUMIFS(Imput[[Importe Neto]:[Importe Neto]],Imput[[C. Imp.]:[C. Imp.]],$D637,Imput[[PERIODO Imp.]:[PERIODO Imp.]],CQ$9)</f>
        <v>0</v>
      </c>
      <c r="CR637" s="693">
        <f>SUMIFS(Imput[[Importe Neto]:[Importe Neto]],Imput[[C. Imp.]:[C. Imp.]],$D637,Imput[[PERIODO Imp.]:[PERIODO Imp.]],CR$9)</f>
        <v>0</v>
      </c>
      <c r="CS637" s="693">
        <f>SUMIFS(Imput[[Importe Neto]:[Importe Neto]],Imput[[C. Imp.]:[C. Imp.]],$D637,Imput[[PERIODO Imp.]:[PERIODO Imp.]],CS$9)</f>
        <v>0</v>
      </c>
      <c r="CT637" s="693">
        <f>SUMIFS(Imput[[Importe Neto]:[Importe Neto]],Imput[[C. Imp.]:[C. Imp.]],$D637,Imput[[PERIODO Imp.]:[PERIODO Imp.]],CT$9)</f>
        <v>0</v>
      </c>
      <c r="CU637" s="693">
        <f>SUMIFS(Imput[[Importe Neto]:[Importe Neto]],Imput[[C. Imp.]:[C. Imp.]],$D637,Imput[[PERIODO Imp.]:[PERIODO Imp.]],CU$9)</f>
        <v>0</v>
      </c>
      <c r="CV637" s="693">
        <f>SUMIFS(Imput[[Importe Neto]:[Importe Neto]],Imput[[C. Imp.]:[C. Imp.]],$D637,Imput[[PERIODO Imp.]:[PERIODO Imp.]],CV$9)</f>
        <v>0</v>
      </c>
      <c r="CW637" s="693">
        <f>SUMIFS(Imput[[Importe Neto]:[Importe Neto]],Imput[[C. Imp.]:[C. Imp.]],$D637,Imput[[PERIODO Imp.]:[PERIODO Imp.]],CW$9)</f>
        <v>0</v>
      </c>
      <c r="CX637" s="693">
        <f>SUMIFS(Imput[[Importe Neto]:[Importe Neto]],Imput[[C. Imp.]:[C. Imp.]],$D637,Imput[[PERIODO Imp.]:[PERIODO Imp.]],CX$9)</f>
        <v>0</v>
      </c>
      <c r="CY637" s="693">
        <f>SUMIFS(Imput[[Importe Neto]:[Importe Neto]],Imput[[C. Imp.]:[C. Imp.]],$D637,Imput[[PERIODO Imp.]:[PERIODO Imp.]],CY$9)</f>
        <v>0</v>
      </c>
      <c r="CZ637" s="693">
        <f>SUMIFS(Imput[[Importe Neto]:[Importe Neto]],Imput[[C. Imp.]:[C. Imp.]],$D637,Imput[[PERIODO Imp.]:[PERIODO Imp.]],CZ$9)</f>
        <v>0</v>
      </c>
      <c r="DA637" s="693">
        <f>SUMIFS(Imput[[Importe Neto]:[Importe Neto]],Imput[[C. Imp.]:[C. Imp.]],$D637,Imput[[PERIODO Imp.]:[PERIODO Imp.]],DA$9)</f>
        <v>0</v>
      </c>
      <c r="DB637" s="693">
        <f>SUMIFS(Imput[[Importe Neto]:[Importe Neto]],Imput[[C. Imp.]:[C. Imp.]],$D637,Imput[[PERIODO Imp.]:[PERIODO Imp.]],DB$9)</f>
        <v>0</v>
      </c>
      <c r="DC637" s="693">
        <f>SUMIFS(Imput[[Importe Neto]:[Importe Neto]],Imput[[C. Imp.]:[C. Imp.]],$D637,Imput[[PERIODO Imp.]:[PERIODO Imp.]],DC$9)</f>
        <v>0</v>
      </c>
      <c r="DD637" s="693">
        <f>SUMIFS(Imput[[Importe Neto]:[Importe Neto]],Imput[[C. Imp.]:[C. Imp.]],$D637,Imput[[PERIODO Imp.]:[PERIODO Imp.]],DD$9)</f>
        <v>0</v>
      </c>
      <c r="DE637" s="693">
        <f>SUMIFS(Imput[[Importe Neto]:[Importe Neto]],Imput[[C. Imp.]:[C. Imp.]],$D637,Imput[[PERIODO Imp.]:[PERIODO Imp.]],DE$9)</f>
        <v>0</v>
      </c>
      <c r="DF637" s="693">
        <f>SUMIFS(Imput[[Importe Neto]:[Importe Neto]],Imput[[C. Imp.]:[C. Imp.]],$D637,Imput[[PERIODO Imp.]:[PERIODO Imp.]],DF$9)</f>
        <v>0</v>
      </c>
      <c r="DG637" s="693">
        <f>SUMIFS(Imput[[Importe Neto]:[Importe Neto]],Imput[[C. Imp.]:[C. Imp.]],$D637,Imput[[PERIODO Imp.]:[PERIODO Imp.]],DG$9)</f>
        <v>0</v>
      </c>
      <c r="DH637" s="694">
        <f>SUMIFS(Imput[[Importe Neto]:[Importe Neto]],Imput[[C. Imp.]:[C. Imp.]],$D637,Imput[[PERIODO Imp.]:[PERIODO Imp.]],DH$9)</f>
        <v>0</v>
      </c>
    </row>
    <row r="638" spans="1:112" s="649" customFormat="1" hidden="1" outlineLevel="1" x14ac:dyDescent="0.3">
      <c r="A638" s="652" t="str">
        <f t="shared" si="222"/>
        <v/>
      </c>
      <c r="B638" s="652"/>
      <c r="C638" s="685"/>
      <c r="D638" s="686" t="s">
        <v>2656</v>
      </c>
      <c r="E638" s="686"/>
      <c r="F638" s="720"/>
      <c r="G638" s="688"/>
      <c r="H638" s="689"/>
      <c r="I638" s="851" t="str">
        <f t="shared" si="227"/>
        <v/>
      </c>
      <c r="J638" s="850" t="str">
        <f t="shared" si="224"/>
        <v/>
      </c>
      <c r="K638" s="667"/>
      <c r="L638" s="858"/>
      <c r="M638" s="859"/>
      <c r="N638" s="859"/>
      <c r="O638" s="859"/>
      <c r="P638" s="859"/>
      <c r="Q638" s="859"/>
      <c r="R638" s="859"/>
      <c r="S638" s="859"/>
      <c r="T638" s="859"/>
      <c r="U638" s="859"/>
      <c r="V638" s="859"/>
      <c r="W638" s="859"/>
      <c r="X638" s="859"/>
      <c r="Y638" s="859"/>
      <c r="Z638" s="860"/>
      <c r="AA638" s="860"/>
      <c r="AB638" s="860"/>
      <c r="AC638" s="860"/>
      <c r="AD638" s="860"/>
      <c r="AE638" s="860"/>
      <c r="AF638" s="860"/>
      <c r="AG638" s="860"/>
      <c r="AH638" s="860"/>
      <c r="AI638" s="860"/>
      <c r="AJ638" s="860"/>
      <c r="AK638" s="860"/>
      <c r="AL638" s="860"/>
      <c r="AM638" s="860"/>
      <c r="AN638" s="860"/>
      <c r="AO638" s="860"/>
      <c r="AP638" s="860"/>
      <c r="AQ638" s="860"/>
      <c r="AR638" s="860"/>
      <c r="AS638" s="860"/>
      <c r="AT638" s="860"/>
      <c r="AU638" s="860"/>
      <c r="AV638" s="860"/>
      <c r="AW638" s="860"/>
      <c r="AX638" s="860"/>
      <c r="AY638" s="860"/>
      <c r="AZ638" s="860"/>
      <c r="BA638" s="860"/>
      <c r="BB638" s="860"/>
      <c r="BC638" s="860"/>
      <c r="BD638" s="860"/>
      <c r="BE638" s="860"/>
      <c r="BF638" s="860"/>
      <c r="BG638" s="860"/>
      <c r="BH638" s="668"/>
      <c r="BI638" s="667"/>
      <c r="BJ638" s="690">
        <f t="shared" si="228"/>
        <v>0</v>
      </c>
      <c r="BK638" s="691">
        <f t="shared" si="229"/>
        <v>0</v>
      </c>
      <c r="BL638" s="654"/>
      <c r="BM638" s="692">
        <f>SUMIFS(Imput[[Importe Neto]:[Importe Neto]],Imput[[C. Imp.]:[C. Imp.]],$D638,Imput[[PERIODO Imp.]:[PERIODO Imp.]],BM$9)</f>
        <v>0</v>
      </c>
      <c r="BN638" s="693">
        <f>SUMIFS(Imput[[Importe Neto]:[Importe Neto]],Imput[[C. Imp.]:[C. Imp.]],$D638,Imput[[PERIODO Imp.]:[PERIODO Imp.]],BN$9)</f>
        <v>0</v>
      </c>
      <c r="BO638" s="693">
        <f>SUMIFS(Imput[[Importe Neto]:[Importe Neto]],Imput[[C. Imp.]:[C. Imp.]],$D638,Imput[[PERIODO Imp.]:[PERIODO Imp.]],BO$9)</f>
        <v>0</v>
      </c>
      <c r="BP638" s="693">
        <f>SUMIFS(Imput[[Importe Neto]:[Importe Neto]],Imput[[C. Imp.]:[C. Imp.]],$D638,Imput[[PERIODO Imp.]:[PERIODO Imp.]],BP$9)</f>
        <v>0</v>
      </c>
      <c r="BQ638" s="693">
        <f>SUMIFS(Imput[[Importe Neto]:[Importe Neto]],Imput[[C. Imp.]:[C. Imp.]],$D638,Imput[[PERIODO Imp.]:[PERIODO Imp.]],BQ$9)</f>
        <v>0</v>
      </c>
      <c r="BR638" s="693">
        <f>SUMIFS(Imput[[Importe Neto]:[Importe Neto]],Imput[[C. Imp.]:[C. Imp.]],$D638,Imput[[PERIODO Imp.]:[PERIODO Imp.]],BR$9)</f>
        <v>0</v>
      </c>
      <c r="BS638" s="693">
        <f>SUMIFS(Imput[[Importe Neto]:[Importe Neto]],Imput[[C. Imp.]:[C. Imp.]],$D638,Imput[[PERIODO Imp.]:[PERIODO Imp.]],BS$9)</f>
        <v>0</v>
      </c>
      <c r="BT638" s="693">
        <f>SUMIFS(Imput[[Importe Neto]:[Importe Neto]],Imput[[C. Imp.]:[C. Imp.]],$D638,Imput[[PERIODO Imp.]:[PERIODO Imp.]],BT$9)</f>
        <v>0</v>
      </c>
      <c r="BU638" s="693">
        <f>SUMIFS(Imput[[Importe Neto]:[Importe Neto]],Imput[[C. Imp.]:[C. Imp.]],$D638,Imput[[PERIODO Imp.]:[PERIODO Imp.]],BU$9)</f>
        <v>0</v>
      </c>
      <c r="BV638" s="693">
        <f>SUMIFS(Imput[[Importe Neto]:[Importe Neto]],Imput[[C. Imp.]:[C. Imp.]],$D638,Imput[[PERIODO Imp.]:[PERIODO Imp.]],BV$9)</f>
        <v>0</v>
      </c>
      <c r="BW638" s="693">
        <f>SUMIFS(Imput[[Importe Neto]:[Importe Neto]],Imput[[C. Imp.]:[C. Imp.]],$D638,Imput[[PERIODO Imp.]:[PERIODO Imp.]],BW$9)</f>
        <v>0</v>
      </c>
      <c r="BX638" s="693">
        <f>SUMIFS(Imput[[Importe Neto]:[Importe Neto]],Imput[[C. Imp.]:[C. Imp.]],$D638,Imput[[PERIODO Imp.]:[PERIODO Imp.]],BX$9)</f>
        <v>0</v>
      </c>
      <c r="BY638" s="693">
        <f>SUMIFS(Imput[[Importe Neto]:[Importe Neto]],Imput[[C. Imp.]:[C. Imp.]],$D638,Imput[[PERIODO Imp.]:[PERIODO Imp.]],BY$9)</f>
        <v>0</v>
      </c>
      <c r="BZ638" s="693">
        <f>SUMIFS(Imput[[Importe Neto]:[Importe Neto]],Imput[[C. Imp.]:[C. Imp.]],$D638,Imput[[PERIODO Imp.]:[PERIODO Imp.]],BZ$9)</f>
        <v>0</v>
      </c>
      <c r="CA638" s="693">
        <f>SUMIFS(Imput[[Importe Neto]:[Importe Neto]],Imput[[C. Imp.]:[C. Imp.]],$D638,Imput[[PERIODO Imp.]:[PERIODO Imp.]],CA$9)</f>
        <v>0</v>
      </c>
      <c r="CB638" s="693">
        <f>SUMIFS(Imput[[Importe Neto]:[Importe Neto]],Imput[[C. Imp.]:[C. Imp.]],$D638,Imput[[PERIODO Imp.]:[PERIODO Imp.]],CB$9)</f>
        <v>0</v>
      </c>
      <c r="CC638" s="693">
        <f>SUMIFS(Imput[[Importe Neto]:[Importe Neto]],Imput[[C. Imp.]:[C. Imp.]],$D638,Imput[[PERIODO Imp.]:[PERIODO Imp.]],CC$9)</f>
        <v>0</v>
      </c>
      <c r="CD638" s="693">
        <f>SUMIFS(Imput[[Importe Neto]:[Importe Neto]],Imput[[C. Imp.]:[C. Imp.]],$D638,Imput[[PERIODO Imp.]:[PERIODO Imp.]],CD$9)</f>
        <v>0</v>
      </c>
      <c r="CE638" s="693">
        <f>SUMIFS(Imput[[Importe Neto]:[Importe Neto]],Imput[[C. Imp.]:[C. Imp.]],$D638,Imput[[PERIODO Imp.]:[PERIODO Imp.]],CE$9)</f>
        <v>0</v>
      </c>
      <c r="CF638" s="693">
        <f>SUMIFS(Imput[[Importe Neto]:[Importe Neto]],Imput[[C. Imp.]:[C. Imp.]],$D638,Imput[[PERIODO Imp.]:[PERIODO Imp.]],CF$9)</f>
        <v>0</v>
      </c>
      <c r="CG638" s="693">
        <f>SUMIFS(Imput[[Importe Neto]:[Importe Neto]],Imput[[C. Imp.]:[C. Imp.]],$D638,Imput[[PERIODO Imp.]:[PERIODO Imp.]],CG$9)</f>
        <v>0</v>
      </c>
      <c r="CH638" s="693">
        <f>SUMIFS(Imput[[Importe Neto]:[Importe Neto]],Imput[[C. Imp.]:[C. Imp.]],$D638,Imput[[PERIODO Imp.]:[PERIODO Imp.]],CH$9)</f>
        <v>0</v>
      </c>
      <c r="CI638" s="693">
        <f>SUMIFS(Imput[[Importe Neto]:[Importe Neto]],Imput[[C. Imp.]:[C. Imp.]],$D638,Imput[[PERIODO Imp.]:[PERIODO Imp.]],CI$9)</f>
        <v>0</v>
      </c>
      <c r="CJ638" s="693">
        <f>SUMIFS(Imput[[Importe Neto]:[Importe Neto]],Imput[[C. Imp.]:[C. Imp.]],$D638,Imput[[PERIODO Imp.]:[PERIODO Imp.]],CJ$9)</f>
        <v>0</v>
      </c>
      <c r="CK638" s="693">
        <f>SUMIFS(Imput[[Importe Neto]:[Importe Neto]],Imput[[C. Imp.]:[C. Imp.]],$D638,Imput[[PERIODO Imp.]:[PERIODO Imp.]],CK$9)</f>
        <v>0</v>
      </c>
      <c r="CL638" s="693">
        <f>SUMIFS(Imput[[Importe Neto]:[Importe Neto]],Imput[[C. Imp.]:[C. Imp.]],$D638,Imput[[PERIODO Imp.]:[PERIODO Imp.]],CL$9)</f>
        <v>0</v>
      </c>
      <c r="CM638" s="693">
        <f>SUMIFS(Imput[[Importe Neto]:[Importe Neto]],Imput[[C. Imp.]:[C. Imp.]],$D638,Imput[[PERIODO Imp.]:[PERIODO Imp.]],CM$9)</f>
        <v>0</v>
      </c>
      <c r="CN638" s="693">
        <f>SUMIFS(Imput[[Importe Neto]:[Importe Neto]],Imput[[C. Imp.]:[C. Imp.]],$D638,Imput[[PERIODO Imp.]:[PERIODO Imp.]],CN$9)</f>
        <v>0</v>
      </c>
      <c r="CO638" s="693">
        <f>SUMIFS(Imput[[Importe Neto]:[Importe Neto]],Imput[[C. Imp.]:[C. Imp.]],$D638,Imput[[PERIODO Imp.]:[PERIODO Imp.]],CO$9)</f>
        <v>0</v>
      </c>
      <c r="CP638" s="693">
        <f>SUMIFS(Imput[[Importe Neto]:[Importe Neto]],Imput[[C. Imp.]:[C. Imp.]],$D638,Imput[[PERIODO Imp.]:[PERIODO Imp.]],CP$9)</f>
        <v>0</v>
      </c>
      <c r="CQ638" s="693">
        <f>SUMIFS(Imput[[Importe Neto]:[Importe Neto]],Imput[[C. Imp.]:[C. Imp.]],$D638,Imput[[PERIODO Imp.]:[PERIODO Imp.]],CQ$9)</f>
        <v>0</v>
      </c>
      <c r="CR638" s="693">
        <f>SUMIFS(Imput[[Importe Neto]:[Importe Neto]],Imput[[C. Imp.]:[C. Imp.]],$D638,Imput[[PERIODO Imp.]:[PERIODO Imp.]],CR$9)</f>
        <v>0</v>
      </c>
      <c r="CS638" s="693">
        <f>SUMIFS(Imput[[Importe Neto]:[Importe Neto]],Imput[[C. Imp.]:[C. Imp.]],$D638,Imput[[PERIODO Imp.]:[PERIODO Imp.]],CS$9)</f>
        <v>0</v>
      </c>
      <c r="CT638" s="693">
        <f>SUMIFS(Imput[[Importe Neto]:[Importe Neto]],Imput[[C. Imp.]:[C. Imp.]],$D638,Imput[[PERIODO Imp.]:[PERIODO Imp.]],CT$9)</f>
        <v>0</v>
      </c>
      <c r="CU638" s="693">
        <f>SUMIFS(Imput[[Importe Neto]:[Importe Neto]],Imput[[C. Imp.]:[C. Imp.]],$D638,Imput[[PERIODO Imp.]:[PERIODO Imp.]],CU$9)</f>
        <v>0</v>
      </c>
      <c r="CV638" s="693">
        <f>SUMIFS(Imput[[Importe Neto]:[Importe Neto]],Imput[[C. Imp.]:[C. Imp.]],$D638,Imput[[PERIODO Imp.]:[PERIODO Imp.]],CV$9)</f>
        <v>0</v>
      </c>
      <c r="CW638" s="693">
        <f>SUMIFS(Imput[[Importe Neto]:[Importe Neto]],Imput[[C. Imp.]:[C. Imp.]],$D638,Imput[[PERIODO Imp.]:[PERIODO Imp.]],CW$9)</f>
        <v>0</v>
      </c>
      <c r="CX638" s="693">
        <f>SUMIFS(Imput[[Importe Neto]:[Importe Neto]],Imput[[C. Imp.]:[C. Imp.]],$D638,Imput[[PERIODO Imp.]:[PERIODO Imp.]],CX$9)</f>
        <v>0</v>
      </c>
      <c r="CY638" s="693">
        <f>SUMIFS(Imput[[Importe Neto]:[Importe Neto]],Imput[[C. Imp.]:[C. Imp.]],$D638,Imput[[PERIODO Imp.]:[PERIODO Imp.]],CY$9)</f>
        <v>0</v>
      </c>
      <c r="CZ638" s="693">
        <f>SUMIFS(Imput[[Importe Neto]:[Importe Neto]],Imput[[C. Imp.]:[C. Imp.]],$D638,Imput[[PERIODO Imp.]:[PERIODO Imp.]],CZ$9)</f>
        <v>0</v>
      </c>
      <c r="DA638" s="693">
        <f>SUMIFS(Imput[[Importe Neto]:[Importe Neto]],Imput[[C. Imp.]:[C. Imp.]],$D638,Imput[[PERIODO Imp.]:[PERIODO Imp.]],DA$9)</f>
        <v>0</v>
      </c>
      <c r="DB638" s="693">
        <f>SUMIFS(Imput[[Importe Neto]:[Importe Neto]],Imput[[C. Imp.]:[C. Imp.]],$D638,Imput[[PERIODO Imp.]:[PERIODO Imp.]],DB$9)</f>
        <v>0</v>
      </c>
      <c r="DC638" s="693">
        <f>SUMIFS(Imput[[Importe Neto]:[Importe Neto]],Imput[[C. Imp.]:[C. Imp.]],$D638,Imput[[PERIODO Imp.]:[PERIODO Imp.]],DC$9)</f>
        <v>0</v>
      </c>
      <c r="DD638" s="693">
        <f>SUMIFS(Imput[[Importe Neto]:[Importe Neto]],Imput[[C. Imp.]:[C. Imp.]],$D638,Imput[[PERIODO Imp.]:[PERIODO Imp.]],DD$9)</f>
        <v>0</v>
      </c>
      <c r="DE638" s="693">
        <f>SUMIFS(Imput[[Importe Neto]:[Importe Neto]],Imput[[C. Imp.]:[C. Imp.]],$D638,Imput[[PERIODO Imp.]:[PERIODO Imp.]],DE$9)</f>
        <v>0</v>
      </c>
      <c r="DF638" s="693">
        <f>SUMIFS(Imput[[Importe Neto]:[Importe Neto]],Imput[[C. Imp.]:[C. Imp.]],$D638,Imput[[PERIODO Imp.]:[PERIODO Imp.]],DF$9)</f>
        <v>0</v>
      </c>
      <c r="DG638" s="693">
        <f>SUMIFS(Imput[[Importe Neto]:[Importe Neto]],Imput[[C. Imp.]:[C. Imp.]],$D638,Imput[[PERIODO Imp.]:[PERIODO Imp.]],DG$9)</f>
        <v>0</v>
      </c>
      <c r="DH638" s="694">
        <f>SUMIFS(Imput[[Importe Neto]:[Importe Neto]],Imput[[C. Imp.]:[C. Imp.]],$D638,Imput[[PERIODO Imp.]:[PERIODO Imp.]],DH$9)</f>
        <v>0</v>
      </c>
    </row>
    <row r="639" spans="1:112" s="649" customFormat="1" hidden="1" outlineLevel="1" x14ac:dyDescent="0.3">
      <c r="A639" s="652" t="str">
        <f t="shared" si="222"/>
        <v/>
      </c>
      <c r="B639" s="652"/>
      <c r="C639" s="685"/>
      <c r="D639" s="686" t="s">
        <v>2657</v>
      </c>
      <c r="E639" s="686"/>
      <c r="F639" s="720"/>
      <c r="G639" s="688"/>
      <c r="H639" s="696"/>
      <c r="I639" s="851" t="str">
        <f t="shared" si="227"/>
        <v/>
      </c>
      <c r="J639" s="850" t="str">
        <f t="shared" si="224"/>
        <v/>
      </c>
      <c r="K639" s="667"/>
      <c r="L639" s="858"/>
      <c r="M639" s="859"/>
      <c r="N639" s="859"/>
      <c r="O639" s="859"/>
      <c r="P639" s="859"/>
      <c r="Q639" s="859"/>
      <c r="R639" s="859"/>
      <c r="S639" s="859"/>
      <c r="T639" s="859"/>
      <c r="U639" s="859"/>
      <c r="V639" s="859"/>
      <c r="W639" s="859"/>
      <c r="X639" s="859"/>
      <c r="Y639" s="859"/>
      <c r="Z639" s="860"/>
      <c r="AA639" s="860"/>
      <c r="AB639" s="860"/>
      <c r="AC639" s="860"/>
      <c r="AD639" s="860"/>
      <c r="AE639" s="860"/>
      <c r="AF639" s="860"/>
      <c r="AG639" s="860"/>
      <c r="AH639" s="860"/>
      <c r="AI639" s="860"/>
      <c r="AJ639" s="860"/>
      <c r="AK639" s="860"/>
      <c r="AL639" s="860"/>
      <c r="AM639" s="860"/>
      <c r="AN639" s="860"/>
      <c r="AO639" s="860"/>
      <c r="AP639" s="860"/>
      <c r="AQ639" s="860"/>
      <c r="AR639" s="860"/>
      <c r="AS639" s="860"/>
      <c r="AT639" s="860"/>
      <c r="AU639" s="860"/>
      <c r="AV639" s="860"/>
      <c r="AW639" s="860"/>
      <c r="AX639" s="860"/>
      <c r="AY639" s="860"/>
      <c r="AZ639" s="860"/>
      <c r="BA639" s="860"/>
      <c r="BB639" s="860"/>
      <c r="BC639" s="860"/>
      <c r="BD639" s="860"/>
      <c r="BE639" s="860"/>
      <c r="BF639" s="860"/>
      <c r="BG639" s="860"/>
      <c r="BH639" s="668"/>
      <c r="BI639" s="667"/>
      <c r="BJ639" s="690">
        <f t="shared" si="228"/>
        <v>0</v>
      </c>
      <c r="BK639" s="691">
        <f t="shared" si="229"/>
        <v>0</v>
      </c>
      <c r="BL639" s="654"/>
      <c r="BM639" s="692">
        <f>SUMIFS(Imput[[Importe Neto]:[Importe Neto]],Imput[[C. Imp.]:[C. Imp.]],$D639,Imput[[PERIODO Imp.]:[PERIODO Imp.]],BM$9)</f>
        <v>0</v>
      </c>
      <c r="BN639" s="693">
        <f>SUMIFS(Imput[[Importe Neto]:[Importe Neto]],Imput[[C. Imp.]:[C. Imp.]],$D639,Imput[[PERIODO Imp.]:[PERIODO Imp.]],BN$9)</f>
        <v>0</v>
      </c>
      <c r="BO639" s="693">
        <f>SUMIFS(Imput[[Importe Neto]:[Importe Neto]],Imput[[C. Imp.]:[C. Imp.]],$D639,Imput[[PERIODO Imp.]:[PERIODO Imp.]],BO$9)</f>
        <v>0</v>
      </c>
      <c r="BP639" s="693">
        <f>SUMIFS(Imput[[Importe Neto]:[Importe Neto]],Imput[[C. Imp.]:[C. Imp.]],$D639,Imput[[PERIODO Imp.]:[PERIODO Imp.]],BP$9)</f>
        <v>0</v>
      </c>
      <c r="BQ639" s="693">
        <f>SUMIFS(Imput[[Importe Neto]:[Importe Neto]],Imput[[C. Imp.]:[C. Imp.]],$D639,Imput[[PERIODO Imp.]:[PERIODO Imp.]],BQ$9)</f>
        <v>0</v>
      </c>
      <c r="BR639" s="693">
        <f>SUMIFS(Imput[[Importe Neto]:[Importe Neto]],Imput[[C. Imp.]:[C. Imp.]],$D639,Imput[[PERIODO Imp.]:[PERIODO Imp.]],BR$9)</f>
        <v>0</v>
      </c>
      <c r="BS639" s="693">
        <f>SUMIFS(Imput[[Importe Neto]:[Importe Neto]],Imput[[C. Imp.]:[C. Imp.]],$D639,Imput[[PERIODO Imp.]:[PERIODO Imp.]],BS$9)</f>
        <v>0</v>
      </c>
      <c r="BT639" s="693">
        <f>SUMIFS(Imput[[Importe Neto]:[Importe Neto]],Imput[[C. Imp.]:[C. Imp.]],$D639,Imput[[PERIODO Imp.]:[PERIODO Imp.]],BT$9)</f>
        <v>0</v>
      </c>
      <c r="BU639" s="693">
        <f>SUMIFS(Imput[[Importe Neto]:[Importe Neto]],Imput[[C. Imp.]:[C. Imp.]],$D639,Imput[[PERIODO Imp.]:[PERIODO Imp.]],BU$9)</f>
        <v>0</v>
      </c>
      <c r="BV639" s="693">
        <f>SUMIFS(Imput[[Importe Neto]:[Importe Neto]],Imput[[C. Imp.]:[C. Imp.]],$D639,Imput[[PERIODO Imp.]:[PERIODO Imp.]],BV$9)</f>
        <v>0</v>
      </c>
      <c r="BW639" s="693">
        <f>SUMIFS(Imput[[Importe Neto]:[Importe Neto]],Imput[[C. Imp.]:[C. Imp.]],$D639,Imput[[PERIODO Imp.]:[PERIODO Imp.]],BW$9)</f>
        <v>0</v>
      </c>
      <c r="BX639" s="693">
        <f>SUMIFS(Imput[[Importe Neto]:[Importe Neto]],Imput[[C. Imp.]:[C. Imp.]],$D639,Imput[[PERIODO Imp.]:[PERIODO Imp.]],BX$9)</f>
        <v>0</v>
      </c>
      <c r="BY639" s="693">
        <f>SUMIFS(Imput[[Importe Neto]:[Importe Neto]],Imput[[C. Imp.]:[C. Imp.]],$D639,Imput[[PERIODO Imp.]:[PERIODO Imp.]],BY$9)</f>
        <v>0</v>
      </c>
      <c r="BZ639" s="693">
        <f>SUMIFS(Imput[[Importe Neto]:[Importe Neto]],Imput[[C. Imp.]:[C. Imp.]],$D639,Imput[[PERIODO Imp.]:[PERIODO Imp.]],BZ$9)</f>
        <v>0</v>
      </c>
      <c r="CA639" s="693">
        <f>SUMIFS(Imput[[Importe Neto]:[Importe Neto]],Imput[[C. Imp.]:[C. Imp.]],$D639,Imput[[PERIODO Imp.]:[PERIODO Imp.]],CA$9)</f>
        <v>0</v>
      </c>
      <c r="CB639" s="693">
        <f>SUMIFS(Imput[[Importe Neto]:[Importe Neto]],Imput[[C. Imp.]:[C. Imp.]],$D639,Imput[[PERIODO Imp.]:[PERIODO Imp.]],CB$9)</f>
        <v>0</v>
      </c>
      <c r="CC639" s="693">
        <f>SUMIFS(Imput[[Importe Neto]:[Importe Neto]],Imput[[C. Imp.]:[C. Imp.]],$D639,Imput[[PERIODO Imp.]:[PERIODO Imp.]],CC$9)</f>
        <v>0</v>
      </c>
      <c r="CD639" s="693">
        <f>SUMIFS(Imput[[Importe Neto]:[Importe Neto]],Imput[[C. Imp.]:[C. Imp.]],$D639,Imput[[PERIODO Imp.]:[PERIODO Imp.]],CD$9)</f>
        <v>0</v>
      </c>
      <c r="CE639" s="693">
        <f>SUMIFS(Imput[[Importe Neto]:[Importe Neto]],Imput[[C. Imp.]:[C. Imp.]],$D639,Imput[[PERIODO Imp.]:[PERIODO Imp.]],CE$9)</f>
        <v>0</v>
      </c>
      <c r="CF639" s="693">
        <f>SUMIFS(Imput[[Importe Neto]:[Importe Neto]],Imput[[C. Imp.]:[C. Imp.]],$D639,Imput[[PERIODO Imp.]:[PERIODO Imp.]],CF$9)</f>
        <v>0</v>
      </c>
      <c r="CG639" s="693">
        <f>SUMIFS(Imput[[Importe Neto]:[Importe Neto]],Imput[[C. Imp.]:[C. Imp.]],$D639,Imput[[PERIODO Imp.]:[PERIODO Imp.]],CG$9)</f>
        <v>0</v>
      </c>
      <c r="CH639" s="693">
        <f>SUMIFS(Imput[[Importe Neto]:[Importe Neto]],Imput[[C. Imp.]:[C. Imp.]],$D639,Imput[[PERIODO Imp.]:[PERIODO Imp.]],CH$9)</f>
        <v>0</v>
      </c>
      <c r="CI639" s="693">
        <f>SUMIFS(Imput[[Importe Neto]:[Importe Neto]],Imput[[C. Imp.]:[C. Imp.]],$D639,Imput[[PERIODO Imp.]:[PERIODO Imp.]],CI$9)</f>
        <v>0</v>
      </c>
      <c r="CJ639" s="693">
        <f>SUMIFS(Imput[[Importe Neto]:[Importe Neto]],Imput[[C. Imp.]:[C. Imp.]],$D639,Imput[[PERIODO Imp.]:[PERIODO Imp.]],CJ$9)</f>
        <v>0</v>
      </c>
      <c r="CK639" s="693">
        <f>SUMIFS(Imput[[Importe Neto]:[Importe Neto]],Imput[[C. Imp.]:[C. Imp.]],$D639,Imput[[PERIODO Imp.]:[PERIODO Imp.]],CK$9)</f>
        <v>0</v>
      </c>
      <c r="CL639" s="693">
        <f>SUMIFS(Imput[[Importe Neto]:[Importe Neto]],Imput[[C. Imp.]:[C. Imp.]],$D639,Imput[[PERIODO Imp.]:[PERIODO Imp.]],CL$9)</f>
        <v>0</v>
      </c>
      <c r="CM639" s="693">
        <f>SUMIFS(Imput[[Importe Neto]:[Importe Neto]],Imput[[C. Imp.]:[C. Imp.]],$D639,Imput[[PERIODO Imp.]:[PERIODO Imp.]],CM$9)</f>
        <v>0</v>
      </c>
      <c r="CN639" s="693">
        <f>SUMIFS(Imput[[Importe Neto]:[Importe Neto]],Imput[[C. Imp.]:[C. Imp.]],$D639,Imput[[PERIODO Imp.]:[PERIODO Imp.]],CN$9)</f>
        <v>0</v>
      </c>
      <c r="CO639" s="693">
        <f>SUMIFS(Imput[[Importe Neto]:[Importe Neto]],Imput[[C. Imp.]:[C. Imp.]],$D639,Imput[[PERIODO Imp.]:[PERIODO Imp.]],CO$9)</f>
        <v>0</v>
      </c>
      <c r="CP639" s="693">
        <f>SUMIFS(Imput[[Importe Neto]:[Importe Neto]],Imput[[C. Imp.]:[C. Imp.]],$D639,Imput[[PERIODO Imp.]:[PERIODO Imp.]],CP$9)</f>
        <v>0</v>
      </c>
      <c r="CQ639" s="693">
        <f>SUMIFS(Imput[[Importe Neto]:[Importe Neto]],Imput[[C. Imp.]:[C. Imp.]],$D639,Imput[[PERIODO Imp.]:[PERIODO Imp.]],CQ$9)</f>
        <v>0</v>
      </c>
      <c r="CR639" s="693">
        <f>SUMIFS(Imput[[Importe Neto]:[Importe Neto]],Imput[[C. Imp.]:[C. Imp.]],$D639,Imput[[PERIODO Imp.]:[PERIODO Imp.]],CR$9)</f>
        <v>0</v>
      </c>
      <c r="CS639" s="693">
        <f>SUMIFS(Imput[[Importe Neto]:[Importe Neto]],Imput[[C. Imp.]:[C. Imp.]],$D639,Imput[[PERIODO Imp.]:[PERIODO Imp.]],CS$9)</f>
        <v>0</v>
      </c>
      <c r="CT639" s="693">
        <f>SUMIFS(Imput[[Importe Neto]:[Importe Neto]],Imput[[C. Imp.]:[C. Imp.]],$D639,Imput[[PERIODO Imp.]:[PERIODO Imp.]],CT$9)</f>
        <v>0</v>
      </c>
      <c r="CU639" s="693">
        <f>SUMIFS(Imput[[Importe Neto]:[Importe Neto]],Imput[[C. Imp.]:[C. Imp.]],$D639,Imput[[PERIODO Imp.]:[PERIODO Imp.]],CU$9)</f>
        <v>0</v>
      </c>
      <c r="CV639" s="693">
        <f>SUMIFS(Imput[[Importe Neto]:[Importe Neto]],Imput[[C. Imp.]:[C. Imp.]],$D639,Imput[[PERIODO Imp.]:[PERIODO Imp.]],CV$9)</f>
        <v>0</v>
      </c>
      <c r="CW639" s="693">
        <f>SUMIFS(Imput[[Importe Neto]:[Importe Neto]],Imput[[C. Imp.]:[C. Imp.]],$D639,Imput[[PERIODO Imp.]:[PERIODO Imp.]],CW$9)</f>
        <v>0</v>
      </c>
      <c r="CX639" s="693">
        <f>SUMIFS(Imput[[Importe Neto]:[Importe Neto]],Imput[[C. Imp.]:[C. Imp.]],$D639,Imput[[PERIODO Imp.]:[PERIODO Imp.]],CX$9)</f>
        <v>0</v>
      </c>
      <c r="CY639" s="693">
        <f>SUMIFS(Imput[[Importe Neto]:[Importe Neto]],Imput[[C. Imp.]:[C. Imp.]],$D639,Imput[[PERIODO Imp.]:[PERIODO Imp.]],CY$9)</f>
        <v>0</v>
      </c>
      <c r="CZ639" s="693">
        <f>SUMIFS(Imput[[Importe Neto]:[Importe Neto]],Imput[[C. Imp.]:[C. Imp.]],$D639,Imput[[PERIODO Imp.]:[PERIODO Imp.]],CZ$9)</f>
        <v>0</v>
      </c>
      <c r="DA639" s="693">
        <f>SUMIFS(Imput[[Importe Neto]:[Importe Neto]],Imput[[C. Imp.]:[C. Imp.]],$D639,Imput[[PERIODO Imp.]:[PERIODO Imp.]],DA$9)</f>
        <v>0</v>
      </c>
      <c r="DB639" s="693">
        <f>SUMIFS(Imput[[Importe Neto]:[Importe Neto]],Imput[[C. Imp.]:[C. Imp.]],$D639,Imput[[PERIODO Imp.]:[PERIODO Imp.]],DB$9)</f>
        <v>0</v>
      </c>
      <c r="DC639" s="693">
        <f>SUMIFS(Imput[[Importe Neto]:[Importe Neto]],Imput[[C. Imp.]:[C. Imp.]],$D639,Imput[[PERIODO Imp.]:[PERIODO Imp.]],DC$9)</f>
        <v>0</v>
      </c>
      <c r="DD639" s="693">
        <f>SUMIFS(Imput[[Importe Neto]:[Importe Neto]],Imput[[C. Imp.]:[C. Imp.]],$D639,Imput[[PERIODO Imp.]:[PERIODO Imp.]],DD$9)</f>
        <v>0</v>
      </c>
      <c r="DE639" s="693">
        <f>SUMIFS(Imput[[Importe Neto]:[Importe Neto]],Imput[[C. Imp.]:[C. Imp.]],$D639,Imput[[PERIODO Imp.]:[PERIODO Imp.]],DE$9)</f>
        <v>0</v>
      </c>
      <c r="DF639" s="693">
        <f>SUMIFS(Imput[[Importe Neto]:[Importe Neto]],Imput[[C. Imp.]:[C. Imp.]],$D639,Imput[[PERIODO Imp.]:[PERIODO Imp.]],DF$9)</f>
        <v>0</v>
      </c>
      <c r="DG639" s="693">
        <f>SUMIFS(Imput[[Importe Neto]:[Importe Neto]],Imput[[C. Imp.]:[C. Imp.]],$D639,Imput[[PERIODO Imp.]:[PERIODO Imp.]],DG$9)</f>
        <v>0</v>
      </c>
      <c r="DH639" s="694">
        <f>SUMIFS(Imput[[Importe Neto]:[Importe Neto]],Imput[[C. Imp.]:[C. Imp.]],$D639,Imput[[PERIODO Imp.]:[PERIODO Imp.]],DH$9)</f>
        <v>0</v>
      </c>
    </row>
    <row r="640" spans="1:112" s="649" customFormat="1" hidden="1" outlineLevel="1" x14ac:dyDescent="0.3">
      <c r="A640" s="652" t="str">
        <f t="shared" si="222"/>
        <v/>
      </c>
      <c r="B640" s="652"/>
      <c r="C640" s="685"/>
      <c r="D640" s="686" t="s">
        <v>2658</v>
      </c>
      <c r="E640" s="686"/>
      <c r="F640" s="720"/>
      <c r="G640" s="688"/>
      <c r="H640" s="696"/>
      <c r="I640" s="851" t="str">
        <f t="shared" si="227"/>
        <v/>
      </c>
      <c r="J640" s="850" t="str">
        <f t="shared" si="224"/>
        <v/>
      </c>
      <c r="K640" s="667"/>
      <c r="L640" s="858"/>
      <c r="M640" s="859"/>
      <c r="N640" s="859"/>
      <c r="O640" s="859"/>
      <c r="P640" s="859"/>
      <c r="Q640" s="859"/>
      <c r="R640" s="859"/>
      <c r="S640" s="859"/>
      <c r="T640" s="859"/>
      <c r="U640" s="859"/>
      <c r="V640" s="859"/>
      <c r="W640" s="859"/>
      <c r="X640" s="859"/>
      <c r="Y640" s="859"/>
      <c r="Z640" s="860"/>
      <c r="AA640" s="860"/>
      <c r="AB640" s="860"/>
      <c r="AC640" s="860"/>
      <c r="AD640" s="860"/>
      <c r="AE640" s="860"/>
      <c r="AF640" s="860"/>
      <c r="AG640" s="860"/>
      <c r="AH640" s="860"/>
      <c r="AI640" s="860"/>
      <c r="AJ640" s="860"/>
      <c r="AK640" s="860"/>
      <c r="AL640" s="860"/>
      <c r="AM640" s="860"/>
      <c r="AN640" s="860"/>
      <c r="AO640" s="860"/>
      <c r="AP640" s="860"/>
      <c r="AQ640" s="860"/>
      <c r="AR640" s="860"/>
      <c r="AS640" s="860"/>
      <c r="AT640" s="860"/>
      <c r="AU640" s="860"/>
      <c r="AV640" s="860"/>
      <c r="AW640" s="860"/>
      <c r="AX640" s="860"/>
      <c r="AY640" s="860"/>
      <c r="AZ640" s="860"/>
      <c r="BA640" s="860"/>
      <c r="BB640" s="860"/>
      <c r="BC640" s="860"/>
      <c r="BD640" s="860"/>
      <c r="BE640" s="860"/>
      <c r="BF640" s="860"/>
      <c r="BG640" s="860"/>
      <c r="BH640" s="668"/>
      <c r="BI640" s="667"/>
      <c r="BJ640" s="690">
        <f t="shared" si="228"/>
        <v>0</v>
      </c>
      <c r="BK640" s="691">
        <f t="shared" si="229"/>
        <v>0</v>
      </c>
      <c r="BL640" s="654"/>
      <c r="BM640" s="692">
        <f>SUMIFS(Imput[[Importe Neto]:[Importe Neto]],Imput[[C. Imp.]:[C. Imp.]],$D640,Imput[[PERIODO Imp.]:[PERIODO Imp.]],BM$9)</f>
        <v>0</v>
      </c>
      <c r="BN640" s="693">
        <f>SUMIFS(Imput[[Importe Neto]:[Importe Neto]],Imput[[C. Imp.]:[C. Imp.]],$D640,Imput[[PERIODO Imp.]:[PERIODO Imp.]],BN$9)</f>
        <v>0</v>
      </c>
      <c r="BO640" s="693">
        <f>SUMIFS(Imput[[Importe Neto]:[Importe Neto]],Imput[[C. Imp.]:[C. Imp.]],$D640,Imput[[PERIODO Imp.]:[PERIODO Imp.]],BO$9)</f>
        <v>0</v>
      </c>
      <c r="BP640" s="693">
        <f>SUMIFS(Imput[[Importe Neto]:[Importe Neto]],Imput[[C. Imp.]:[C. Imp.]],$D640,Imput[[PERIODO Imp.]:[PERIODO Imp.]],BP$9)</f>
        <v>0</v>
      </c>
      <c r="BQ640" s="693">
        <f>SUMIFS(Imput[[Importe Neto]:[Importe Neto]],Imput[[C. Imp.]:[C. Imp.]],$D640,Imput[[PERIODO Imp.]:[PERIODO Imp.]],BQ$9)</f>
        <v>0</v>
      </c>
      <c r="BR640" s="693">
        <f>SUMIFS(Imput[[Importe Neto]:[Importe Neto]],Imput[[C. Imp.]:[C. Imp.]],$D640,Imput[[PERIODO Imp.]:[PERIODO Imp.]],BR$9)</f>
        <v>0</v>
      </c>
      <c r="BS640" s="693">
        <f>SUMIFS(Imput[[Importe Neto]:[Importe Neto]],Imput[[C. Imp.]:[C. Imp.]],$D640,Imput[[PERIODO Imp.]:[PERIODO Imp.]],BS$9)</f>
        <v>0</v>
      </c>
      <c r="BT640" s="693">
        <f>SUMIFS(Imput[[Importe Neto]:[Importe Neto]],Imput[[C. Imp.]:[C. Imp.]],$D640,Imput[[PERIODO Imp.]:[PERIODO Imp.]],BT$9)</f>
        <v>0</v>
      </c>
      <c r="BU640" s="693">
        <f>SUMIFS(Imput[[Importe Neto]:[Importe Neto]],Imput[[C. Imp.]:[C. Imp.]],$D640,Imput[[PERIODO Imp.]:[PERIODO Imp.]],BU$9)</f>
        <v>0</v>
      </c>
      <c r="BV640" s="693">
        <f>SUMIFS(Imput[[Importe Neto]:[Importe Neto]],Imput[[C. Imp.]:[C. Imp.]],$D640,Imput[[PERIODO Imp.]:[PERIODO Imp.]],BV$9)</f>
        <v>0</v>
      </c>
      <c r="BW640" s="693">
        <f>SUMIFS(Imput[[Importe Neto]:[Importe Neto]],Imput[[C. Imp.]:[C. Imp.]],$D640,Imput[[PERIODO Imp.]:[PERIODO Imp.]],BW$9)</f>
        <v>0</v>
      </c>
      <c r="BX640" s="693">
        <f>SUMIFS(Imput[[Importe Neto]:[Importe Neto]],Imput[[C. Imp.]:[C. Imp.]],$D640,Imput[[PERIODO Imp.]:[PERIODO Imp.]],BX$9)</f>
        <v>0</v>
      </c>
      <c r="BY640" s="693">
        <f>SUMIFS(Imput[[Importe Neto]:[Importe Neto]],Imput[[C. Imp.]:[C. Imp.]],$D640,Imput[[PERIODO Imp.]:[PERIODO Imp.]],BY$9)</f>
        <v>0</v>
      </c>
      <c r="BZ640" s="693">
        <f>SUMIFS(Imput[[Importe Neto]:[Importe Neto]],Imput[[C. Imp.]:[C. Imp.]],$D640,Imput[[PERIODO Imp.]:[PERIODO Imp.]],BZ$9)</f>
        <v>0</v>
      </c>
      <c r="CA640" s="693">
        <f>SUMIFS(Imput[[Importe Neto]:[Importe Neto]],Imput[[C. Imp.]:[C. Imp.]],$D640,Imput[[PERIODO Imp.]:[PERIODO Imp.]],CA$9)</f>
        <v>0</v>
      </c>
      <c r="CB640" s="693">
        <f>SUMIFS(Imput[[Importe Neto]:[Importe Neto]],Imput[[C. Imp.]:[C. Imp.]],$D640,Imput[[PERIODO Imp.]:[PERIODO Imp.]],CB$9)</f>
        <v>0</v>
      </c>
      <c r="CC640" s="693">
        <f>SUMIFS(Imput[[Importe Neto]:[Importe Neto]],Imput[[C. Imp.]:[C. Imp.]],$D640,Imput[[PERIODO Imp.]:[PERIODO Imp.]],CC$9)</f>
        <v>0</v>
      </c>
      <c r="CD640" s="693">
        <f>SUMIFS(Imput[[Importe Neto]:[Importe Neto]],Imput[[C. Imp.]:[C. Imp.]],$D640,Imput[[PERIODO Imp.]:[PERIODO Imp.]],CD$9)</f>
        <v>0</v>
      </c>
      <c r="CE640" s="693">
        <f>SUMIFS(Imput[[Importe Neto]:[Importe Neto]],Imput[[C. Imp.]:[C. Imp.]],$D640,Imput[[PERIODO Imp.]:[PERIODO Imp.]],CE$9)</f>
        <v>0</v>
      </c>
      <c r="CF640" s="693">
        <f>SUMIFS(Imput[[Importe Neto]:[Importe Neto]],Imput[[C. Imp.]:[C. Imp.]],$D640,Imput[[PERIODO Imp.]:[PERIODO Imp.]],CF$9)</f>
        <v>0</v>
      </c>
      <c r="CG640" s="693">
        <f>SUMIFS(Imput[[Importe Neto]:[Importe Neto]],Imput[[C. Imp.]:[C. Imp.]],$D640,Imput[[PERIODO Imp.]:[PERIODO Imp.]],CG$9)</f>
        <v>0</v>
      </c>
      <c r="CH640" s="693">
        <f>SUMIFS(Imput[[Importe Neto]:[Importe Neto]],Imput[[C. Imp.]:[C. Imp.]],$D640,Imput[[PERIODO Imp.]:[PERIODO Imp.]],CH$9)</f>
        <v>0</v>
      </c>
      <c r="CI640" s="693">
        <f>SUMIFS(Imput[[Importe Neto]:[Importe Neto]],Imput[[C. Imp.]:[C. Imp.]],$D640,Imput[[PERIODO Imp.]:[PERIODO Imp.]],CI$9)</f>
        <v>0</v>
      </c>
      <c r="CJ640" s="693">
        <f>SUMIFS(Imput[[Importe Neto]:[Importe Neto]],Imput[[C. Imp.]:[C. Imp.]],$D640,Imput[[PERIODO Imp.]:[PERIODO Imp.]],CJ$9)</f>
        <v>0</v>
      </c>
      <c r="CK640" s="693">
        <f>SUMIFS(Imput[[Importe Neto]:[Importe Neto]],Imput[[C. Imp.]:[C. Imp.]],$D640,Imput[[PERIODO Imp.]:[PERIODO Imp.]],CK$9)</f>
        <v>0</v>
      </c>
      <c r="CL640" s="693">
        <f>SUMIFS(Imput[[Importe Neto]:[Importe Neto]],Imput[[C. Imp.]:[C. Imp.]],$D640,Imput[[PERIODO Imp.]:[PERIODO Imp.]],CL$9)</f>
        <v>0</v>
      </c>
      <c r="CM640" s="693">
        <f>SUMIFS(Imput[[Importe Neto]:[Importe Neto]],Imput[[C. Imp.]:[C. Imp.]],$D640,Imput[[PERIODO Imp.]:[PERIODO Imp.]],CM$9)</f>
        <v>0</v>
      </c>
      <c r="CN640" s="693">
        <f>SUMIFS(Imput[[Importe Neto]:[Importe Neto]],Imput[[C. Imp.]:[C. Imp.]],$D640,Imput[[PERIODO Imp.]:[PERIODO Imp.]],CN$9)</f>
        <v>0</v>
      </c>
      <c r="CO640" s="693">
        <f>SUMIFS(Imput[[Importe Neto]:[Importe Neto]],Imput[[C. Imp.]:[C. Imp.]],$D640,Imput[[PERIODO Imp.]:[PERIODO Imp.]],CO$9)</f>
        <v>0</v>
      </c>
      <c r="CP640" s="693">
        <f>SUMIFS(Imput[[Importe Neto]:[Importe Neto]],Imput[[C. Imp.]:[C. Imp.]],$D640,Imput[[PERIODO Imp.]:[PERIODO Imp.]],CP$9)</f>
        <v>0</v>
      </c>
      <c r="CQ640" s="693">
        <f>SUMIFS(Imput[[Importe Neto]:[Importe Neto]],Imput[[C. Imp.]:[C. Imp.]],$D640,Imput[[PERIODO Imp.]:[PERIODO Imp.]],CQ$9)</f>
        <v>0</v>
      </c>
      <c r="CR640" s="693">
        <f>SUMIFS(Imput[[Importe Neto]:[Importe Neto]],Imput[[C. Imp.]:[C. Imp.]],$D640,Imput[[PERIODO Imp.]:[PERIODO Imp.]],CR$9)</f>
        <v>0</v>
      </c>
      <c r="CS640" s="693">
        <f>SUMIFS(Imput[[Importe Neto]:[Importe Neto]],Imput[[C. Imp.]:[C. Imp.]],$D640,Imput[[PERIODO Imp.]:[PERIODO Imp.]],CS$9)</f>
        <v>0</v>
      </c>
      <c r="CT640" s="693">
        <f>SUMIFS(Imput[[Importe Neto]:[Importe Neto]],Imput[[C. Imp.]:[C. Imp.]],$D640,Imput[[PERIODO Imp.]:[PERIODO Imp.]],CT$9)</f>
        <v>0</v>
      </c>
      <c r="CU640" s="693">
        <f>SUMIFS(Imput[[Importe Neto]:[Importe Neto]],Imput[[C. Imp.]:[C. Imp.]],$D640,Imput[[PERIODO Imp.]:[PERIODO Imp.]],CU$9)</f>
        <v>0</v>
      </c>
      <c r="CV640" s="693">
        <f>SUMIFS(Imput[[Importe Neto]:[Importe Neto]],Imput[[C. Imp.]:[C. Imp.]],$D640,Imput[[PERIODO Imp.]:[PERIODO Imp.]],CV$9)</f>
        <v>0</v>
      </c>
      <c r="CW640" s="693">
        <f>SUMIFS(Imput[[Importe Neto]:[Importe Neto]],Imput[[C. Imp.]:[C. Imp.]],$D640,Imput[[PERIODO Imp.]:[PERIODO Imp.]],CW$9)</f>
        <v>0</v>
      </c>
      <c r="CX640" s="693">
        <f>SUMIFS(Imput[[Importe Neto]:[Importe Neto]],Imput[[C. Imp.]:[C. Imp.]],$D640,Imput[[PERIODO Imp.]:[PERIODO Imp.]],CX$9)</f>
        <v>0</v>
      </c>
      <c r="CY640" s="693">
        <f>SUMIFS(Imput[[Importe Neto]:[Importe Neto]],Imput[[C. Imp.]:[C. Imp.]],$D640,Imput[[PERIODO Imp.]:[PERIODO Imp.]],CY$9)</f>
        <v>0</v>
      </c>
      <c r="CZ640" s="693">
        <f>SUMIFS(Imput[[Importe Neto]:[Importe Neto]],Imput[[C. Imp.]:[C. Imp.]],$D640,Imput[[PERIODO Imp.]:[PERIODO Imp.]],CZ$9)</f>
        <v>0</v>
      </c>
      <c r="DA640" s="693">
        <f>SUMIFS(Imput[[Importe Neto]:[Importe Neto]],Imput[[C. Imp.]:[C. Imp.]],$D640,Imput[[PERIODO Imp.]:[PERIODO Imp.]],DA$9)</f>
        <v>0</v>
      </c>
      <c r="DB640" s="693">
        <f>SUMIFS(Imput[[Importe Neto]:[Importe Neto]],Imput[[C. Imp.]:[C. Imp.]],$D640,Imput[[PERIODO Imp.]:[PERIODO Imp.]],DB$9)</f>
        <v>0</v>
      </c>
      <c r="DC640" s="693">
        <f>SUMIFS(Imput[[Importe Neto]:[Importe Neto]],Imput[[C. Imp.]:[C. Imp.]],$D640,Imput[[PERIODO Imp.]:[PERIODO Imp.]],DC$9)</f>
        <v>0</v>
      </c>
      <c r="DD640" s="693">
        <f>SUMIFS(Imput[[Importe Neto]:[Importe Neto]],Imput[[C. Imp.]:[C. Imp.]],$D640,Imput[[PERIODO Imp.]:[PERIODO Imp.]],DD$9)</f>
        <v>0</v>
      </c>
      <c r="DE640" s="693">
        <f>SUMIFS(Imput[[Importe Neto]:[Importe Neto]],Imput[[C. Imp.]:[C. Imp.]],$D640,Imput[[PERIODO Imp.]:[PERIODO Imp.]],DE$9)</f>
        <v>0</v>
      </c>
      <c r="DF640" s="693">
        <f>SUMIFS(Imput[[Importe Neto]:[Importe Neto]],Imput[[C. Imp.]:[C. Imp.]],$D640,Imput[[PERIODO Imp.]:[PERIODO Imp.]],DF$9)</f>
        <v>0</v>
      </c>
      <c r="DG640" s="693">
        <f>SUMIFS(Imput[[Importe Neto]:[Importe Neto]],Imput[[C. Imp.]:[C. Imp.]],$D640,Imput[[PERIODO Imp.]:[PERIODO Imp.]],DG$9)</f>
        <v>0</v>
      </c>
      <c r="DH640" s="694">
        <f>SUMIFS(Imput[[Importe Neto]:[Importe Neto]],Imput[[C. Imp.]:[C. Imp.]],$D640,Imput[[PERIODO Imp.]:[PERIODO Imp.]],DH$9)</f>
        <v>0</v>
      </c>
    </row>
    <row r="641" spans="1:112" s="649" customFormat="1" hidden="1" outlineLevel="1" x14ac:dyDescent="0.3">
      <c r="A641" s="652" t="str">
        <f t="shared" si="222"/>
        <v/>
      </c>
      <c r="B641" s="652"/>
      <c r="C641" s="685"/>
      <c r="D641" s="686" t="s">
        <v>2659</v>
      </c>
      <c r="E641" s="686"/>
      <c r="F641" s="720"/>
      <c r="G641" s="688"/>
      <c r="H641" s="696"/>
      <c r="I641" s="851" t="str">
        <f t="shared" si="227"/>
        <v/>
      </c>
      <c r="J641" s="850" t="str">
        <f t="shared" si="224"/>
        <v/>
      </c>
      <c r="K641" s="678"/>
      <c r="L641" s="858"/>
      <c r="M641" s="859"/>
      <c r="N641" s="859"/>
      <c r="O641" s="859"/>
      <c r="P641" s="859"/>
      <c r="Q641" s="859"/>
      <c r="R641" s="859"/>
      <c r="S641" s="859"/>
      <c r="T641" s="859"/>
      <c r="U641" s="859"/>
      <c r="V641" s="859"/>
      <c r="W641" s="859"/>
      <c r="X641" s="859"/>
      <c r="Y641" s="859"/>
      <c r="Z641" s="860"/>
      <c r="AA641" s="860"/>
      <c r="AB641" s="860"/>
      <c r="AC641" s="860"/>
      <c r="AD641" s="860"/>
      <c r="AE641" s="860"/>
      <c r="AF641" s="860"/>
      <c r="AG641" s="860"/>
      <c r="AH641" s="860"/>
      <c r="AI641" s="860"/>
      <c r="AJ641" s="860"/>
      <c r="AK641" s="860"/>
      <c r="AL641" s="860"/>
      <c r="AM641" s="860"/>
      <c r="AN641" s="860"/>
      <c r="AO641" s="860"/>
      <c r="AP641" s="860"/>
      <c r="AQ641" s="860"/>
      <c r="AR641" s="860"/>
      <c r="AS641" s="860"/>
      <c r="AT641" s="860"/>
      <c r="AU641" s="860"/>
      <c r="AV641" s="860"/>
      <c r="AW641" s="860"/>
      <c r="AX641" s="860"/>
      <c r="AY641" s="860"/>
      <c r="AZ641" s="860"/>
      <c r="BA641" s="860"/>
      <c r="BB641" s="860"/>
      <c r="BC641" s="860"/>
      <c r="BD641" s="860"/>
      <c r="BE641" s="860"/>
      <c r="BF641" s="860"/>
      <c r="BG641" s="860"/>
      <c r="BH641" s="668"/>
      <c r="BI641" s="654"/>
      <c r="BJ641" s="690">
        <f t="shared" si="228"/>
        <v>0</v>
      </c>
      <c r="BK641" s="691">
        <f t="shared" si="229"/>
        <v>0</v>
      </c>
      <c r="BL641" s="654"/>
      <c r="BM641" s="692">
        <f>SUMIFS(Imput[[Importe Neto]:[Importe Neto]],Imput[[C. Imp.]:[C. Imp.]],$D641,Imput[[PERIODO Imp.]:[PERIODO Imp.]],BM$9)</f>
        <v>0</v>
      </c>
      <c r="BN641" s="693">
        <f>SUMIFS(Imput[[Importe Neto]:[Importe Neto]],Imput[[C. Imp.]:[C. Imp.]],$D641,Imput[[PERIODO Imp.]:[PERIODO Imp.]],BN$9)</f>
        <v>0</v>
      </c>
      <c r="BO641" s="693">
        <f>SUMIFS(Imput[[Importe Neto]:[Importe Neto]],Imput[[C. Imp.]:[C. Imp.]],$D641,Imput[[PERIODO Imp.]:[PERIODO Imp.]],BO$9)</f>
        <v>0</v>
      </c>
      <c r="BP641" s="693">
        <f>SUMIFS(Imput[[Importe Neto]:[Importe Neto]],Imput[[C. Imp.]:[C. Imp.]],$D641,Imput[[PERIODO Imp.]:[PERIODO Imp.]],BP$9)</f>
        <v>0</v>
      </c>
      <c r="BQ641" s="693">
        <f>SUMIFS(Imput[[Importe Neto]:[Importe Neto]],Imput[[C. Imp.]:[C. Imp.]],$D641,Imput[[PERIODO Imp.]:[PERIODO Imp.]],BQ$9)</f>
        <v>0</v>
      </c>
      <c r="BR641" s="693">
        <f>SUMIFS(Imput[[Importe Neto]:[Importe Neto]],Imput[[C. Imp.]:[C. Imp.]],$D641,Imput[[PERIODO Imp.]:[PERIODO Imp.]],BR$9)</f>
        <v>0</v>
      </c>
      <c r="BS641" s="693">
        <f>SUMIFS(Imput[[Importe Neto]:[Importe Neto]],Imput[[C. Imp.]:[C. Imp.]],$D641,Imput[[PERIODO Imp.]:[PERIODO Imp.]],BS$9)</f>
        <v>0</v>
      </c>
      <c r="BT641" s="693">
        <f>SUMIFS(Imput[[Importe Neto]:[Importe Neto]],Imput[[C. Imp.]:[C. Imp.]],$D641,Imput[[PERIODO Imp.]:[PERIODO Imp.]],BT$9)</f>
        <v>0</v>
      </c>
      <c r="BU641" s="693">
        <f>SUMIFS(Imput[[Importe Neto]:[Importe Neto]],Imput[[C. Imp.]:[C. Imp.]],$D641,Imput[[PERIODO Imp.]:[PERIODO Imp.]],BU$9)</f>
        <v>0</v>
      </c>
      <c r="BV641" s="693">
        <f>SUMIFS(Imput[[Importe Neto]:[Importe Neto]],Imput[[C. Imp.]:[C. Imp.]],$D641,Imput[[PERIODO Imp.]:[PERIODO Imp.]],BV$9)</f>
        <v>0</v>
      </c>
      <c r="BW641" s="693">
        <f>SUMIFS(Imput[[Importe Neto]:[Importe Neto]],Imput[[C. Imp.]:[C. Imp.]],$D641,Imput[[PERIODO Imp.]:[PERIODO Imp.]],BW$9)</f>
        <v>0</v>
      </c>
      <c r="BX641" s="693">
        <f>SUMIFS(Imput[[Importe Neto]:[Importe Neto]],Imput[[C. Imp.]:[C. Imp.]],$D641,Imput[[PERIODO Imp.]:[PERIODO Imp.]],BX$9)</f>
        <v>0</v>
      </c>
      <c r="BY641" s="693">
        <f>SUMIFS(Imput[[Importe Neto]:[Importe Neto]],Imput[[C. Imp.]:[C. Imp.]],$D641,Imput[[PERIODO Imp.]:[PERIODO Imp.]],BY$9)</f>
        <v>0</v>
      </c>
      <c r="BZ641" s="693">
        <f>SUMIFS(Imput[[Importe Neto]:[Importe Neto]],Imput[[C. Imp.]:[C. Imp.]],$D641,Imput[[PERIODO Imp.]:[PERIODO Imp.]],BZ$9)</f>
        <v>0</v>
      </c>
      <c r="CA641" s="693">
        <f>SUMIFS(Imput[[Importe Neto]:[Importe Neto]],Imput[[C. Imp.]:[C. Imp.]],$D641,Imput[[PERIODO Imp.]:[PERIODO Imp.]],CA$9)</f>
        <v>0</v>
      </c>
      <c r="CB641" s="693">
        <f>SUMIFS(Imput[[Importe Neto]:[Importe Neto]],Imput[[C. Imp.]:[C. Imp.]],$D641,Imput[[PERIODO Imp.]:[PERIODO Imp.]],CB$9)</f>
        <v>0</v>
      </c>
      <c r="CC641" s="693">
        <f>SUMIFS(Imput[[Importe Neto]:[Importe Neto]],Imput[[C. Imp.]:[C. Imp.]],$D641,Imput[[PERIODO Imp.]:[PERIODO Imp.]],CC$9)</f>
        <v>0</v>
      </c>
      <c r="CD641" s="693">
        <f>SUMIFS(Imput[[Importe Neto]:[Importe Neto]],Imput[[C. Imp.]:[C. Imp.]],$D641,Imput[[PERIODO Imp.]:[PERIODO Imp.]],CD$9)</f>
        <v>0</v>
      </c>
      <c r="CE641" s="693">
        <f>SUMIFS(Imput[[Importe Neto]:[Importe Neto]],Imput[[C. Imp.]:[C. Imp.]],$D641,Imput[[PERIODO Imp.]:[PERIODO Imp.]],CE$9)</f>
        <v>0</v>
      </c>
      <c r="CF641" s="693">
        <f>SUMIFS(Imput[[Importe Neto]:[Importe Neto]],Imput[[C. Imp.]:[C. Imp.]],$D641,Imput[[PERIODO Imp.]:[PERIODO Imp.]],CF$9)</f>
        <v>0</v>
      </c>
      <c r="CG641" s="693">
        <f>SUMIFS(Imput[[Importe Neto]:[Importe Neto]],Imput[[C. Imp.]:[C. Imp.]],$D641,Imput[[PERIODO Imp.]:[PERIODO Imp.]],CG$9)</f>
        <v>0</v>
      </c>
      <c r="CH641" s="693">
        <f>SUMIFS(Imput[[Importe Neto]:[Importe Neto]],Imput[[C. Imp.]:[C. Imp.]],$D641,Imput[[PERIODO Imp.]:[PERIODO Imp.]],CH$9)</f>
        <v>0</v>
      </c>
      <c r="CI641" s="693">
        <f>SUMIFS(Imput[[Importe Neto]:[Importe Neto]],Imput[[C. Imp.]:[C. Imp.]],$D641,Imput[[PERIODO Imp.]:[PERIODO Imp.]],CI$9)</f>
        <v>0</v>
      </c>
      <c r="CJ641" s="693">
        <f>SUMIFS(Imput[[Importe Neto]:[Importe Neto]],Imput[[C. Imp.]:[C. Imp.]],$D641,Imput[[PERIODO Imp.]:[PERIODO Imp.]],CJ$9)</f>
        <v>0</v>
      </c>
      <c r="CK641" s="693">
        <f>SUMIFS(Imput[[Importe Neto]:[Importe Neto]],Imput[[C. Imp.]:[C. Imp.]],$D641,Imput[[PERIODO Imp.]:[PERIODO Imp.]],CK$9)</f>
        <v>0</v>
      </c>
      <c r="CL641" s="693">
        <f>SUMIFS(Imput[[Importe Neto]:[Importe Neto]],Imput[[C. Imp.]:[C. Imp.]],$D641,Imput[[PERIODO Imp.]:[PERIODO Imp.]],CL$9)</f>
        <v>0</v>
      </c>
      <c r="CM641" s="693">
        <f>SUMIFS(Imput[[Importe Neto]:[Importe Neto]],Imput[[C. Imp.]:[C. Imp.]],$D641,Imput[[PERIODO Imp.]:[PERIODO Imp.]],CM$9)</f>
        <v>0</v>
      </c>
      <c r="CN641" s="693">
        <f>SUMIFS(Imput[[Importe Neto]:[Importe Neto]],Imput[[C. Imp.]:[C. Imp.]],$D641,Imput[[PERIODO Imp.]:[PERIODO Imp.]],CN$9)</f>
        <v>0</v>
      </c>
      <c r="CO641" s="693">
        <f>SUMIFS(Imput[[Importe Neto]:[Importe Neto]],Imput[[C. Imp.]:[C. Imp.]],$D641,Imput[[PERIODO Imp.]:[PERIODO Imp.]],CO$9)</f>
        <v>0</v>
      </c>
      <c r="CP641" s="693">
        <f>SUMIFS(Imput[[Importe Neto]:[Importe Neto]],Imput[[C. Imp.]:[C. Imp.]],$D641,Imput[[PERIODO Imp.]:[PERIODO Imp.]],CP$9)</f>
        <v>0</v>
      </c>
      <c r="CQ641" s="693">
        <f>SUMIFS(Imput[[Importe Neto]:[Importe Neto]],Imput[[C. Imp.]:[C. Imp.]],$D641,Imput[[PERIODO Imp.]:[PERIODO Imp.]],CQ$9)</f>
        <v>0</v>
      </c>
      <c r="CR641" s="693">
        <f>SUMIFS(Imput[[Importe Neto]:[Importe Neto]],Imput[[C. Imp.]:[C. Imp.]],$D641,Imput[[PERIODO Imp.]:[PERIODO Imp.]],CR$9)</f>
        <v>0</v>
      </c>
      <c r="CS641" s="693">
        <f>SUMIFS(Imput[[Importe Neto]:[Importe Neto]],Imput[[C. Imp.]:[C. Imp.]],$D641,Imput[[PERIODO Imp.]:[PERIODO Imp.]],CS$9)</f>
        <v>0</v>
      </c>
      <c r="CT641" s="693">
        <f>SUMIFS(Imput[[Importe Neto]:[Importe Neto]],Imput[[C. Imp.]:[C. Imp.]],$D641,Imput[[PERIODO Imp.]:[PERIODO Imp.]],CT$9)</f>
        <v>0</v>
      </c>
      <c r="CU641" s="693">
        <f>SUMIFS(Imput[[Importe Neto]:[Importe Neto]],Imput[[C. Imp.]:[C. Imp.]],$D641,Imput[[PERIODO Imp.]:[PERIODO Imp.]],CU$9)</f>
        <v>0</v>
      </c>
      <c r="CV641" s="693">
        <f>SUMIFS(Imput[[Importe Neto]:[Importe Neto]],Imput[[C. Imp.]:[C. Imp.]],$D641,Imput[[PERIODO Imp.]:[PERIODO Imp.]],CV$9)</f>
        <v>0</v>
      </c>
      <c r="CW641" s="693">
        <f>SUMIFS(Imput[[Importe Neto]:[Importe Neto]],Imput[[C. Imp.]:[C. Imp.]],$D641,Imput[[PERIODO Imp.]:[PERIODO Imp.]],CW$9)</f>
        <v>0</v>
      </c>
      <c r="CX641" s="693">
        <f>SUMIFS(Imput[[Importe Neto]:[Importe Neto]],Imput[[C. Imp.]:[C. Imp.]],$D641,Imput[[PERIODO Imp.]:[PERIODO Imp.]],CX$9)</f>
        <v>0</v>
      </c>
      <c r="CY641" s="693">
        <f>SUMIFS(Imput[[Importe Neto]:[Importe Neto]],Imput[[C. Imp.]:[C. Imp.]],$D641,Imput[[PERIODO Imp.]:[PERIODO Imp.]],CY$9)</f>
        <v>0</v>
      </c>
      <c r="CZ641" s="693">
        <f>SUMIFS(Imput[[Importe Neto]:[Importe Neto]],Imput[[C. Imp.]:[C. Imp.]],$D641,Imput[[PERIODO Imp.]:[PERIODO Imp.]],CZ$9)</f>
        <v>0</v>
      </c>
      <c r="DA641" s="693">
        <f>SUMIFS(Imput[[Importe Neto]:[Importe Neto]],Imput[[C. Imp.]:[C. Imp.]],$D641,Imput[[PERIODO Imp.]:[PERIODO Imp.]],DA$9)</f>
        <v>0</v>
      </c>
      <c r="DB641" s="693">
        <f>SUMIFS(Imput[[Importe Neto]:[Importe Neto]],Imput[[C. Imp.]:[C. Imp.]],$D641,Imput[[PERIODO Imp.]:[PERIODO Imp.]],DB$9)</f>
        <v>0</v>
      </c>
      <c r="DC641" s="693">
        <f>SUMIFS(Imput[[Importe Neto]:[Importe Neto]],Imput[[C. Imp.]:[C. Imp.]],$D641,Imput[[PERIODO Imp.]:[PERIODO Imp.]],DC$9)</f>
        <v>0</v>
      </c>
      <c r="DD641" s="693">
        <f>SUMIFS(Imput[[Importe Neto]:[Importe Neto]],Imput[[C. Imp.]:[C. Imp.]],$D641,Imput[[PERIODO Imp.]:[PERIODO Imp.]],DD$9)</f>
        <v>0</v>
      </c>
      <c r="DE641" s="693">
        <f>SUMIFS(Imput[[Importe Neto]:[Importe Neto]],Imput[[C. Imp.]:[C. Imp.]],$D641,Imput[[PERIODO Imp.]:[PERIODO Imp.]],DE$9)</f>
        <v>0</v>
      </c>
      <c r="DF641" s="693">
        <f>SUMIFS(Imput[[Importe Neto]:[Importe Neto]],Imput[[C. Imp.]:[C. Imp.]],$D641,Imput[[PERIODO Imp.]:[PERIODO Imp.]],DF$9)</f>
        <v>0</v>
      </c>
      <c r="DG641" s="693">
        <f>SUMIFS(Imput[[Importe Neto]:[Importe Neto]],Imput[[C. Imp.]:[C. Imp.]],$D641,Imput[[PERIODO Imp.]:[PERIODO Imp.]],DG$9)</f>
        <v>0</v>
      </c>
      <c r="DH641" s="694">
        <f>SUMIFS(Imput[[Importe Neto]:[Importe Neto]],Imput[[C. Imp.]:[C. Imp.]],$D641,Imput[[PERIODO Imp.]:[PERIODO Imp.]],DH$9)</f>
        <v>0</v>
      </c>
    </row>
    <row r="642" spans="1:112" s="649" customFormat="1" hidden="1" outlineLevel="1" x14ac:dyDescent="0.3">
      <c r="A642" s="652" t="str">
        <f t="shared" si="222"/>
        <v/>
      </c>
      <c r="B642" s="652"/>
      <c r="C642" s="685"/>
      <c r="D642" s="686" t="s">
        <v>2660</v>
      </c>
      <c r="E642" s="728"/>
      <c r="F642" s="720"/>
      <c r="G642" s="688"/>
      <c r="H642" s="696"/>
      <c r="I642" s="851" t="str">
        <f t="shared" si="227"/>
        <v/>
      </c>
      <c r="J642" s="850" t="str">
        <f t="shared" si="224"/>
        <v/>
      </c>
      <c r="K642" s="667"/>
      <c r="L642" s="858"/>
      <c r="M642" s="859"/>
      <c r="N642" s="859"/>
      <c r="O642" s="859"/>
      <c r="P642" s="859"/>
      <c r="Q642" s="859"/>
      <c r="R642" s="859"/>
      <c r="S642" s="859"/>
      <c r="T642" s="859"/>
      <c r="U642" s="859"/>
      <c r="V642" s="859"/>
      <c r="W642" s="859"/>
      <c r="X642" s="859"/>
      <c r="Y642" s="859"/>
      <c r="Z642" s="860"/>
      <c r="AA642" s="860"/>
      <c r="AB642" s="860"/>
      <c r="AC642" s="860"/>
      <c r="AD642" s="860"/>
      <c r="AE642" s="860"/>
      <c r="AF642" s="860"/>
      <c r="AG642" s="860"/>
      <c r="AH642" s="860"/>
      <c r="AI642" s="860"/>
      <c r="AJ642" s="860"/>
      <c r="AK642" s="860"/>
      <c r="AL642" s="860"/>
      <c r="AM642" s="860"/>
      <c r="AN642" s="860"/>
      <c r="AO642" s="860"/>
      <c r="AP642" s="860"/>
      <c r="AQ642" s="860"/>
      <c r="AR642" s="860"/>
      <c r="AS642" s="860"/>
      <c r="AT642" s="860"/>
      <c r="AU642" s="860"/>
      <c r="AV642" s="860"/>
      <c r="AW642" s="860"/>
      <c r="AX642" s="860"/>
      <c r="AY642" s="860"/>
      <c r="AZ642" s="860"/>
      <c r="BA642" s="860"/>
      <c r="BB642" s="860"/>
      <c r="BC642" s="860"/>
      <c r="BD642" s="860"/>
      <c r="BE642" s="860"/>
      <c r="BF642" s="860"/>
      <c r="BG642" s="860"/>
      <c r="BH642" s="668"/>
      <c r="BI642" s="667"/>
      <c r="BJ642" s="690">
        <f t="shared" si="228"/>
        <v>0</v>
      </c>
      <c r="BK642" s="691">
        <f t="shared" si="229"/>
        <v>0</v>
      </c>
      <c r="BL642" s="654"/>
      <c r="BM642" s="692">
        <f>SUMIFS(Imput[[Importe Neto]:[Importe Neto]],Imput[[C. Imp.]:[C. Imp.]],$D642,Imput[[PERIODO Imp.]:[PERIODO Imp.]],BM$9)</f>
        <v>0</v>
      </c>
      <c r="BN642" s="693">
        <f>SUMIFS(Imput[[Importe Neto]:[Importe Neto]],Imput[[C. Imp.]:[C. Imp.]],$D642,Imput[[PERIODO Imp.]:[PERIODO Imp.]],BN$9)</f>
        <v>0</v>
      </c>
      <c r="BO642" s="693">
        <f>SUMIFS(Imput[[Importe Neto]:[Importe Neto]],Imput[[C. Imp.]:[C. Imp.]],$D642,Imput[[PERIODO Imp.]:[PERIODO Imp.]],BO$9)</f>
        <v>0</v>
      </c>
      <c r="BP642" s="693">
        <f>SUMIFS(Imput[[Importe Neto]:[Importe Neto]],Imput[[C. Imp.]:[C. Imp.]],$D642,Imput[[PERIODO Imp.]:[PERIODO Imp.]],BP$9)</f>
        <v>0</v>
      </c>
      <c r="BQ642" s="693">
        <f>SUMIFS(Imput[[Importe Neto]:[Importe Neto]],Imput[[C. Imp.]:[C. Imp.]],$D642,Imput[[PERIODO Imp.]:[PERIODO Imp.]],BQ$9)</f>
        <v>0</v>
      </c>
      <c r="BR642" s="693">
        <f>SUMIFS(Imput[[Importe Neto]:[Importe Neto]],Imput[[C. Imp.]:[C. Imp.]],$D642,Imput[[PERIODO Imp.]:[PERIODO Imp.]],BR$9)</f>
        <v>0</v>
      </c>
      <c r="BS642" s="693">
        <f>SUMIFS(Imput[[Importe Neto]:[Importe Neto]],Imput[[C. Imp.]:[C. Imp.]],$D642,Imput[[PERIODO Imp.]:[PERIODO Imp.]],BS$9)</f>
        <v>0</v>
      </c>
      <c r="BT642" s="693">
        <f>SUMIFS(Imput[[Importe Neto]:[Importe Neto]],Imput[[C. Imp.]:[C. Imp.]],$D642,Imput[[PERIODO Imp.]:[PERIODO Imp.]],BT$9)</f>
        <v>0</v>
      </c>
      <c r="BU642" s="693">
        <f>SUMIFS(Imput[[Importe Neto]:[Importe Neto]],Imput[[C. Imp.]:[C. Imp.]],$D642,Imput[[PERIODO Imp.]:[PERIODO Imp.]],BU$9)</f>
        <v>0</v>
      </c>
      <c r="BV642" s="693">
        <f>SUMIFS(Imput[[Importe Neto]:[Importe Neto]],Imput[[C. Imp.]:[C. Imp.]],$D642,Imput[[PERIODO Imp.]:[PERIODO Imp.]],BV$9)</f>
        <v>0</v>
      </c>
      <c r="BW642" s="693">
        <f>SUMIFS(Imput[[Importe Neto]:[Importe Neto]],Imput[[C. Imp.]:[C. Imp.]],$D642,Imput[[PERIODO Imp.]:[PERIODO Imp.]],BW$9)</f>
        <v>0</v>
      </c>
      <c r="BX642" s="693">
        <f>SUMIFS(Imput[[Importe Neto]:[Importe Neto]],Imput[[C. Imp.]:[C. Imp.]],$D642,Imput[[PERIODO Imp.]:[PERIODO Imp.]],BX$9)</f>
        <v>0</v>
      </c>
      <c r="BY642" s="693">
        <f>SUMIFS(Imput[[Importe Neto]:[Importe Neto]],Imput[[C. Imp.]:[C. Imp.]],$D642,Imput[[PERIODO Imp.]:[PERIODO Imp.]],BY$9)</f>
        <v>0</v>
      </c>
      <c r="BZ642" s="693">
        <f>SUMIFS(Imput[[Importe Neto]:[Importe Neto]],Imput[[C. Imp.]:[C. Imp.]],$D642,Imput[[PERIODO Imp.]:[PERIODO Imp.]],BZ$9)</f>
        <v>0</v>
      </c>
      <c r="CA642" s="693">
        <f>SUMIFS(Imput[[Importe Neto]:[Importe Neto]],Imput[[C. Imp.]:[C. Imp.]],$D642,Imput[[PERIODO Imp.]:[PERIODO Imp.]],CA$9)</f>
        <v>0</v>
      </c>
      <c r="CB642" s="693">
        <f>SUMIFS(Imput[[Importe Neto]:[Importe Neto]],Imput[[C. Imp.]:[C. Imp.]],$D642,Imput[[PERIODO Imp.]:[PERIODO Imp.]],CB$9)</f>
        <v>0</v>
      </c>
      <c r="CC642" s="693">
        <f>SUMIFS(Imput[[Importe Neto]:[Importe Neto]],Imput[[C. Imp.]:[C. Imp.]],$D642,Imput[[PERIODO Imp.]:[PERIODO Imp.]],CC$9)</f>
        <v>0</v>
      </c>
      <c r="CD642" s="693">
        <f>SUMIFS(Imput[[Importe Neto]:[Importe Neto]],Imput[[C. Imp.]:[C. Imp.]],$D642,Imput[[PERIODO Imp.]:[PERIODO Imp.]],CD$9)</f>
        <v>0</v>
      </c>
      <c r="CE642" s="693">
        <f>SUMIFS(Imput[[Importe Neto]:[Importe Neto]],Imput[[C. Imp.]:[C. Imp.]],$D642,Imput[[PERIODO Imp.]:[PERIODO Imp.]],CE$9)</f>
        <v>0</v>
      </c>
      <c r="CF642" s="693">
        <f>SUMIFS(Imput[[Importe Neto]:[Importe Neto]],Imput[[C. Imp.]:[C. Imp.]],$D642,Imput[[PERIODO Imp.]:[PERIODO Imp.]],CF$9)</f>
        <v>0</v>
      </c>
      <c r="CG642" s="693">
        <f>SUMIFS(Imput[[Importe Neto]:[Importe Neto]],Imput[[C. Imp.]:[C. Imp.]],$D642,Imput[[PERIODO Imp.]:[PERIODO Imp.]],CG$9)</f>
        <v>0</v>
      </c>
      <c r="CH642" s="693">
        <f>SUMIFS(Imput[[Importe Neto]:[Importe Neto]],Imput[[C. Imp.]:[C. Imp.]],$D642,Imput[[PERIODO Imp.]:[PERIODO Imp.]],CH$9)</f>
        <v>0</v>
      </c>
      <c r="CI642" s="693">
        <f>SUMIFS(Imput[[Importe Neto]:[Importe Neto]],Imput[[C. Imp.]:[C. Imp.]],$D642,Imput[[PERIODO Imp.]:[PERIODO Imp.]],CI$9)</f>
        <v>0</v>
      </c>
      <c r="CJ642" s="693">
        <f>SUMIFS(Imput[[Importe Neto]:[Importe Neto]],Imput[[C. Imp.]:[C. Imp.]],$D642,Imput[[PERIODO Imp.]:[PERIODO Imp.]],CJ$9)</f>
        <v>0</v>
      </c>
      <c r="CK642" s="693">
        <f>SUMIFS(Imput[[Importe Neto]:[Importe Neto]],Imput[[C. Imp.]:[C. Imp.]],$D642,Imput[[PERIODO Imp.]:[PERIODO Imp.]],CK$9)</f>
        <v>0</v>
      </c>
      <c r="CL642" s="693">
        <f>SUMIFS(Imput[[Importe Neto]:[Importe Neto]],Imput[[C. Imp.]:[C. Imp.]],$D642,Imput[[PERIODO Imp.]:[PERIODO Imp.]],CL$9)</f>
        <v>0</v>
      </c>
      <c r="CM642" s="693">
        <f>SUMIFS(Imput[[Importe Neto]:[Importe Neto]],Imput[[C. Imp.]:[C. Imp.]],$D642,Imput[[PERIODO Imp.]:[PERIODO Imp.]],CM$9)</f>
        <v>0</v>
      </c>
      <c r="CN642" s="693">
        <f>SUMIFS(Imput[[Importe Neto]:[Importe Neto]],Imput[[C. Imp.]:[C. Imp.]],$D642,Imput[[PERIODO Imp.]:[PERIODO Imp.]],CN$9)</f>
        <v>0</v>
      </c>
      <c r="CO642" s="693">
        <f>SUMIFS(Imput[[Importe Neto]:[Importe Neto]],Imput[[C. Imp.]:[C. Imp.]],$D642,Imput[[PERIODO Imp.]:[PERIODO Imp.]],CO$9)</f>
        <v>0</v>
      </c>
      <c r="CP642" s="693">
        <f>SUMIFS(Imput[[Importe Neto]:[Importe Neto]],Imput[[C. Imp.]:[C. Imp.]],$D642,Imput[[PERIODO Imp.]:[PERIODO Imp.]],CP$9)</f>
        <v>0</v>
      </c>
      <c r="CQ642" s="693">
        <f>SUMIFS(Imput[[Importe Neto]:[Importe Neto]],Imput[[C. Imp.]:[C. Imp.]],$D642,Imput[[PERIODO Imp.]:[PERIODO Imp.]],CQ$9)</f>
        <v>0</v>
      </c>
      <c r="CR642" s="693">
        <f>SUMIFS(Imput[[Importe Neto]:[Importe Neto]],Imput[[C. Imp.]:[C. Imp.]],$D642,Imput[[PERIODO Imp.]:[PERIODO Imp.]],CR$9)</f>
        <v>0</v>
      </c>
      <c r="CS642" s="693">
        <f>SUMIFS(Imput[[Importe Neto]:[Importe Neto]],Imput[[C. Imp.]:[C. Imp.]],$D642,Imput[[PERIODO Imp.]:[PERIODO Imp.]],CS$9)</f>
        <v>0</v>
      </c>
      <c r="CT642" s="693">
        <f>SUMIFS(Imput[[Importe Neto]:[Importe Neto]],Imput[[C. Imp.]:[C. Imp.]],$D642,Imput[[PERIODO Imp.]:[PERIODO Imp.]],CT$9)</f>
        <v>0</v>
      </c>
      <c r="CU642" s="693">
        <f>SUMIFS(Imput[[Importe Neto]:[Importe Neto]],Imput[[C. Imp.]:[C. Imp.]],$D642,Imput[[PERIODO Imp.]:[PERIODO Imp.]],CU$9)</f>
        <v>0</v>
      </c>
      <c r="CV642" s="693">
        <f>SUMIFS(Imput[[Importe Neto]:[Importe Neto]],Imput[[C. Imp.]:[C. Imp.]],$D642,Imput[[PERIODO Imp.]:[PERIODO Imp.]],CV$9)</f>
        <v>0</v>
      </c>
      <c r="CW642" s="693">
        <f>SUMIFS(Imput[[Importe Neto]:[Importe Neto]],Imput[[C. Imp.]:[C. Imp.]],$D642,Imput[[PERIODO Imp.]:[PERIODO Imp.]],CW$9)</f>
        <v>0</v>
      </c>
      <c r="CX642" s="693">
        <f>SUMIFS(Imput[[Importe Neto]:[Importe Neto]],Imput[[C. Imp.]:[C. Imp.]],$D642,Imput[[PERIODO Imp.]:[PERIODO Imp.]],CX$9)</f>
        <v>0</v>
      </c>
      <c r="CY642" s="693">
        <f>SUMIFS(Imput[[Importe Neto]:[Importe Neto]],Imput[[C. Imp.]:[C. Imp.]],$D642,Imput[[PERIODO Imp.]:[PERIODO Imp.]],CY$9)</f>
        <v>0</v>
      </c>
      <c r="CZ642" s="693">
        <f>SUMIFS(Imput[[Importe Neto]:[Importe Neto]],Imput[[C. Imp.]:[C. Imp.]],$D642,Imput[[PERIODO Imp.]:[PERIODO Imp.]],CZ$9)</f>
        <v>0</v>
      </c>
      <c r="DA642" s="693">
        <f>SUMIFS(Imput[[Importe Neto]:[Importe Neto]],Imput[[C. Imp.]:[C. Imp.]],$D642,Imput[[PERIODO Imp.]:[PERIODO Imp.]],DA$9)</f>
        <v>0</v>
      </c>
      <c r="DB642" s="693">
        <f>SUMIFS(Imput[[Importe Neto]:[Importe Neto]],Imput[[C. Imp.]:[C. Imp.]],$D642,Imput[[PERIODO Imp.]:[PERIODO Imp.]],DB$9)</f>
        <v>0</v>
      </c>
      <c r="DC642" s="693">
        <f>SUMIFS(Imput[[Importe Neto]:[Importe Neto]],Imput[[C. Imp.]:[C. Imp.]],$D642,Imput[[PERIODO Imp.]:[PERIODO Imp.]],DC$9)</f>
        <v>0</v>
      </c>
      <c r="DD642" s="693">
        <f>SUMIFS(Imput[[Importe Neto]:[Importe Neto]],Imput[[C. Imp.]:[C. Imp.]],$D642,Imput[[PERIODO Imp.]:[PERIODO Imp.]],DD$9)</f>
        <v>0</v>
      </c>
      <c r="DE642" s="693">
        <f>SUMIFS(Imput[[Importe Neto]:[Importe Neto]],Imput[[C. Imp.]:[C. Imp.]],$D642,Imput[[PERIODO Imp.]:[PERIODO Imp.]],DE$9)</f>
        <v>0</v>
      </c>
      <c r="DF642" s="693">
        <f>SUMIFS(Imput[[Importe Neto]:[Importe Neto]],Imput[[C. Imp.]:[C. Imp.]],$D642,Imput[[PERIODO Imp.]:[PERIODO Imp.]],DF$9)</f>
        <v>0</v>
      </c>
      <c r="DG642" s="693">
        <f>SUMIFS(Imput[[Importe Neto]:[Importe Neto]],Imput[[C. Imp.]:[C. Imp.]],$D642,Imput[[PERIODO Imp.]:[PERIODO Imp.]],DG$9)</f>
        <v>0</v>
      </c>
      <c r="DH642" s="694">
        <f>SUMIFS(Imput[[Importe Neto]:[Importe Neto]],Imput[[C. Imp.]:[C. Imp.]],$D642,Imput[[PERIODO Imp.]:[PERIODO Imp.]],DH$9)</f>
        <v>0</v>
      </c>
    </row>
    <row r="643" spans="1:112" s="649" customFormat="1" hidden="1" outlineLevel="1" x14ac:dyDescent="0.3">
      <c r="A643" s="652" t="str">
        <f t="shared" si="222"/>
        <v/>
      </c>
      <c r="B643" s="652"/>
      <c r="C643" s="685"/>
      <c r="D643" s="686" t="s">
        <v>2661</v>
      </c>
      <c r="E643" s="728"/>
      <c r="F643" s="720"/>
      <c r="G643" s="688"/>
      <c r="H643" s="696"/>
      <c r="I643" s="851" t="str">
        <f t="shared" si="227"/>
        <v/>
      </c>
      <c r="J643" s="850" t="str">
        <f t="shared" si="224"/>
        <v/>
      </c>
      <c r="K643" s="678"/>
      <c r="L643" s="858"/>
      <c r="M643" s="859"/>
      <c r="N643" s="859"/>
      <c r="O643" s="859"/>
      <c r="P643" s="859"/>
      <c r="Q643" s="859"/>
      <c r="R643" s="859"/>
      <c r="S643" s="859"/>
      <c r="T643" s="859"/>
      <c r="U643" s="859"/>
      <c r="V643" s="859"/>
      <c r="W643" s="859"/>
      <c r="X643" s="859"/>
      <c r="Y643" s="859"/>
      <c r="Z643" s="860"/>
      <c r="AA643" s="860"/>
      <c r="AB643" s="860"/>
      <c r="AC643" s="860"/>
      <c r="AD643" s="860"/>
      <c r="AE643" s="860"/>
      <c r="AF643" s="860"/>
      <c r="AG643" s="860"/>
      <c r="AH643" s="860"/>
      <c r="AI643" s="860"/>
      <c r="AJ643" s="860"/>
      <c r="AK643" s="860"/>
      <c r="AL643" s="860"/>
      <c r="AM643" s="860"/>
      <c r="AN643" s="860"/>
      <c r="AO643" s="860"/>
      <c r="AP643" s="860"/>
      <c r="AQ643" s="860"/>
      <c r="AR643" s="860"/>
      <c r="AS643" s="860"/>
      <c r="AT643" s="860"/>
      <c r="AU643" s="860"/>
      <c r="AV643" s="860"/>
      <c r="AW643" s="860"/>
      <c r="AX643" s="860"/>
      <c r="AY643" s="860"/>
      <c r="AZ643" s="860"/>
      <c r="BA643" s="860"/>
      <c r="BB643" s="860"/>
      <c r="BC643" s="860"/>
      <c r="BD643" s="860"/>
      <c r="BE643" s="860"/>
      <c r="BF643" s="860"/>
      <c r="BG643" s="860"/>
      <c r="BH643" s="668"/>
      <c r="BI643" s="654"/>
      <c r="BJ643" s="690">
        <f t="shared" si="228"/>
        <v>0</v>
      </c>
      <c r="BK643" s="691">
        <f t="shared" si="229"/>
        <v>0</v>
      </c>
      <c r="BL643" s="654"/>
      <c r="BM643" s="692">
        <f>SUMIFS(Imput[[Importe Neto]:[Importe Neto]],Imput[[C. Imp.]:[C. Imp.]],$D643,Imput[[PERIODO Imp.]:[PERIODO Imp.]],BM$9)</f>
        <v>0</v>
      </c>
      <c r="BN643" s="693">
        <f>SUMIFS(Imput[[Importe Neto]:[Importe Neto]],Imput[[C. Imp.]:[C. Imp.]],$D643,Imput[[PERIODO Imp.]:[PERIODO Imp.]],BN$9)</f>
        <v>0</v>
      </c>
      <c r="BO643" s="693">
        <f>SUMIFS(Imput[[Importe Neto]:[Importe Neto]],Imput[[C. Imp.]:[C. Imp.]],$D643,Imput[[PERIODO Imp.]:[PERIODO Imp.]],BO$9)</f>
        <v>0</v>
      </c>
      <c r="BP643" s="693">
        <f>SUMIFS(Imput[[Importe Neto]:[Importe Neto]],Imput[[C. Imp.]:[C. Imp.]],$D643,Imput[[PERIODO Imp.]:[PERIODO Imp.]],BP$9)</f>
        <v>0</v>
      </c>
      <c r="BQ643" s="693">
        <f>SUMIFS(Imput[[Importe Neto]:[Importe Neto]],Imput[[C. Imp.]:[C. Imp.]],$D643,Imput[[PERIODO Imp.]:[PERIODO Imp.]],BQ$9)</f>
        <v>0</v>
      </c>
      <c r="BR643" s="693">
        <f>SUMIFS(Imput[[Importe Neto]:[Importe Neto]],Imput[[C. Imp.]:[C. Imp.]],$D643,Imput[[PERIODO Imp.]:[PERIODO Imp.]],BR$9)</f>
        <v>0</v>
      </c>
      <c r="BS643" s="693">
        <f>SUMIFS(Imput[[Importe Neto]:[Importe Neto]],Imput[[C. Imp.]:[C. Imp.]],$D643,Imput[[PERIODO Imp.]:[PERIODO Imp.]],BS$9)</f>
        <v>0</v>
      </c>
      <c r="BT643" s="693">
        <f>SUMIFS(Imput[[Importe Neto]:[Importe Neto]],Imput[[C. Imp.]:[C. Imp.]],$D643,Imput[[PERIODO Imp.]:[PERIODO Imp.]],BT$9)</f>
        <v>0</v>
      </c>
      <c r="BU643" s="693">
        <f>SUMIFS(Imput[[Importe Neto]:[Importe Neto]],Imput[[C. Imp.]:[C. Imp.]],$D643,Imput[[PERIODO Imp.]:[PERIODO Imp.]],BU$9)</f>
        <v>0</v>
      </c>
      <c r="BV643" s="693">
        <f>SUMIFS(Imput[[Importe Neto]:[Importe Neto]],Imput[[C. Imp.]:[C. Imp.]],$D643,Imput[[PERIODO Imp.]:[PERIODO Imp.]],BV$9)</f>
        <v>0</v>
      </c>
      <c r="BW643" s="693">
        <f>SUMIFS(Imput[[Importe Neto]:[Importe Neto]],Imput[[C. Imp.]:[C. Imp.]],$D643,Imput[[PERIODO Imp.]:[PERIODO Imp.]],BW$9)</f>
        <v>0</v>
      </c>
      <c r="BX643" s="693">
        <f>SUMIFS(Imput[[Importe Neto]:[Importe Neto]],Imput[[C. Imp.]:[C. Imp.]],$D643,Imput[[PERIODO Imp.]:[PERIODO Imp.]],BX$9)</f>
        <v>0</v>
      </c>
      <c r="BY643" s="693">
        <f>SUMIFS(Imput[[Importe Neto]:[Importe Neto]],Imput[[C. Imp.]:[C. Imp.]],$D643,Imput[[PERIODO Imp.]:[PERIODO Imp.]],BY$9)</f>
        <v>0</v>
      </c>
      <c r="BZ643" s="693">
        <f>SUMIFS(Imput[[Importe Neto]:[Importe Neto]],Imput[[C. Imp.]:[C. Imp.]],$D643,Imput[[PERIODO Imp.]:[PERIODO Imp.]],BZ$9)</f>
        <v>0</v>
      </c>
      <c r="CA643" s="693">
        <f>SUMIFS(Imput[[Importe Neto]:[Importe Neto]],Imput[[C. Imp.]:[C. Imp.]],$D643,Imput[[PERIODO Imp.]:[PERIODO Imp.]],CA$9)</f>
        <v>0</v>
      </c>
      <c r="CB643" s="693">
        <f>SUMIFS(Imput[[Importe Neto]:[Importe Neto]],Imput[[C. Imp.]:[C. Imp.]],$D643,Imput[[PERIODO Imp.]:[PERIODO Imp.]],CB$9)</f>
        <v>0</v>
      </c>
      <c r="CC643" s="693">
        <f>SUMIFS(Imput[[Importe Neto]:[Importe Neto]],Imput[[C. Imp.]:[C. Imp.]],$D643,Imput[[PERIODO Imp.]:[PERIODO Imp.]],CC$9)</f>
        <v>0</v>
      </c>
      <c r="CD643" s="693">
        <f>SUMIFS(Imput[[Importe Neto]:[Importe Neto]],Imput[[C. Imp.]:[C. Imp.]],$D643,Imput[[PERIODO Imp.]:[PERIODO Imp.]],CD$9)</f>
        <v>0</v>
      </c>
      <c r="CE643" s="693">
        <f>SUMIFS(Imput[[Importe Neto]:[Importe Neto]],Imput[[C. Imp.]:[C. Imp.]],$D643,Imput[[PERIODO Imp.]:[PERIODO Imp.]],CE$9)</f>
        <v>0</v>
      </c>
      <c r="CF643" s="693">
        <f>SUMIFS(Imput[[Importe Neto]:[Importe Neto]],Imput[[C. Imp.]:[C. Imp.]],$D643,Imput[[PERIODO Imp.]:[PERIODO Imp.]],CF$9)</f>
        <v>0</v>
      </c>
      <c r="CG643" s="693">
        <f>SUMIFS(Imput[[Importe Neto]:[Importe Neto]],Imput[[C. Imp.]:[C. Imp.]],$D643,Imput[[PERIODO Imp.]:[PERIODO Imp.]],CG$9)</f>
        <v>0</v>
      </c>
      <c r="CH643" s="693">
        <f>SUMIFS(Imput[[Importe Neto]:[Importe Neto]],Imput[[C. Imp.]:[C. Imp.]],$D643,Imput[[PERIODO Imp.]:[PERIODO Imp.]],CH$9)</f>
        <v>0</v>
      </c>
      <c r="CI643" s="693">
        <f>SUMIFS(Imput[[Importe Neto]:[Importe Neto]],Imput[[C. Imp.]:[C. Imp.]],$D643,Imput[[PERIODO Imp.]:[PERIODO Imp.]],CI$9)</f>
        <v>0</v>
      </c>
      <c r="CJ643" s="693">
        <f>SUMIFS(Imput[[Importe Neto]:[Importe Neto]],Imput[[C. Imp.]:[C. Imp.]],$D643,Imput[[PERIODO Imp.]:[PERIODO Imp.]],CJ$9)</f>
        <v>0</v>
      </c>
      <c r="CK643" s="693">
        <f>SUMIFS(Imput[[Importe Neto]:[Importe Neto]],Imput[[C. Imp.]:[C. Imp.]],$D643,Imput[[PERIODO Imp.]:[PERIODO Imp.]],CK$9)</f>
        <v>0</v>
      </c>
      <c r="CL643" s="693">
        <f>SUMIFS(Imput[[Importe Neto]:[Importe Neto]],Imput[[C. Imp.]:[C. Imp.]],$D643,Imput[[PERIODO Imp.]:[PERIODO Imp.]],CL$9)</f>
        <v>0</v>
      </c>
      <c r="CM643" s="693">
        <f>SUMIFS(Imput[[Importe Neto]:[Importe Neto]],Imput[[C. Imp.]:[C. Imp.]],$D643,Imput[[PERIODO Imp.]:[PERIODO Imp.]],CM$9)</f>
        <v>0</v>
      </c>
      <c r="CN643" s="693">
        <f>SUMIFS(Imput[[Importe Neto]:[Importe Neto]],Imput[[C. Imp.]:[C. Imp.]],$D643,Imput[[PERIODO Imp.]:[PERIODO Imp.]],CN$9)</f>
        <v>0</v>
      </c>
      <c r="CO643" s="693">
        <f>SUMIFS(Imput[[Importe Neto]:[Importe Neto]],Imput[[C. Imp.]:[C. Imp.]],$D643,Imput[[PERIODO Imp.]:[PERIODO Imp.]],CO$9)</f>
        <v>0</v>
      </c>
      <c r="CP643" s="693">
        <f>SUMIFS(Imput[[Importe Neto]:[Importe Neto]],Imput[[C. Imp.]:[C. Imp.]],$D643,Imput[[PERIODO Imp.]:[PERIODO Imp.]],CP$9)</f>
        <v>0</v>
      </c>
      <c r="CQ643" s="693">
        <f>SUMIFS(Imput[[Importe Neto]:[Importe Neto]],Imput[[C. Imp.]:[C. Imp.]],$D643,Imput[[PERIODO Imp.]:[PERIODO Imp.]],CQ$9)</f>
        <v>0</v>
      </c>
      <c r="CR643" s="693">
        <f>SUMIFS(Imput[[Importe Neto]:[Importe Neto]],Imput[[C. Imp.]:[C. Imp.]],$D643,Imput[[PERIODO Imp.]:[PERIODO Imp.]],CR$9)</f>
        <v>0</v>
      </c>
      <c r="CS643" s="693">
        <f>SUMIFS(Imput[[Importe Neto]:[Importe Neto]],Imput[[C. Imp.]:[C. Imp.]],$D643,Imput[[PERIODO Imp.]:[PERIODO Imp.]],CS$9)</f>
        <v>0</v>
      </c>
      <c r="CT643" s="693">
        <f>SUMIFS(Imput[[Importe Neto]:[Importe Neto]],Imput[[C. Imp.]:[C. Imp.]],$D643,Imput[[PERIODO Imp.]:[PERIODO Imp.]],CT$9)</f>
        <v>0</v>
      </c>
      <c r="CU643" s="693">
        <f>SUMIFS(Imput[[Importe Neto]:[Importe Neto]],Imput[[C. Imp.]:[C. Imp.]],$D643,Imput[[PERIODO Imp.]:[PERIODO Imp.]],CU$9)</f>
        <v>0</v>
      </c>
      <c r="CV643" s="693">
        <f>SUMIFS(Imput[[Importe Neto]:[Importe Neto]],Imput[[C. Imp.]:[C. Imp.]],$D643,Imput[[PERIODO Imp.]:[PERIODO Imp.]],CV$9)</f>
        <v>0</v>
      </c>
      <c r="CW643" s="693">
        <f>SUMIFS(Imput[[Importe Neto]:[Importe Neto]],Imput[[C. Imp.]:[C. Imp.]],$D643,Imput[[PERIODO Imp.]:[PERIODO Imp.]],CW$9)</f>
        <v>0</v>
      </c>
      <c r="CX643" s="693">
        <f>SUMIFS(Imput[[Importe Neto]:[Importe Neto]],Imput[[C. Imp.]:[C. Imp.]],$D643,Imput[[PERIODO Imp.]:[PERIODO Imp.]],CX$9)</f>
        <v>0</v>
      </c>
      <c r="CY643" s="693">
        <f>SUMIFS(Imput[[Importe Neto]:[Importe Neto]],Imput[[C. Imp.]:[C. Imp.]],$D643,Imput[[PERIODO Imp.]:[PERIODO Imp.]],CY$9)</f>
        <v>0</v>
      </c>
      <c r="CZ643" s="693">
        <f>SUMIFS(Imput[[Importe Neto]:[Importe Neto]],Imput[[C. Imp.]:[C. Imp.]],$D643,Imput[[PERIODO Imp.]:[PERIODO Imp.]],CZ$9)</f>
        <v>0</v>
      </c>
      <c r="DA643" s="693">
        <f>SUMIFS(Imput[[Importe Neto]:[Importe Neto]],Imput[[C. Imp.]:[C. Imp.]],$D643,Imput[[PERIODO Imp.]:[PERIODO Imp.]],DA$9)</f>
        <v>0</v>
      </c>
      <c r="DB643" s="693">
        <f>SUMIFS(Imput[[Importe Neto]:[Importe Neto]],Imput[[C. Imp.]:[C. Imp.]],$D643,Imput[[PERIODO Imp.]:[PERIODO Imp.]],DB$9)</f>
        <v>0</v>
      </c>
      <c r="DC643" s="693">
        <f>SUMIFS(Imput[[Importe Neto]:[Importe Neto]],Imput[[C. Imp.]:[C. Imp.]],$D643,Imput[[PERIODO Imp.]:[PERIODO Imp.]],DC$9)</f>
        <v>0</v>
      </c>
      <c r="DD643" s="693">
        <f>SUMIFS(Imput[[Importe Neto]:[Importe Neto]],Imput[[C. Imp.]:[C. Imp.]],$D643,Imput[[PERIODO Imp.]:[PERIODO Imp.]],DD$9)</f>
        <v>0</v>
      </c>
      <c r="DE643" s="693">
        <f>SUMIFS(Imput[[Importe Neto]:[Importe Neto]],Imput[[C. Imp.]:[C. Imp.]],$D643,Imput[[PERIODO Imp.]:[PERIODO Imp.]],DE$9)</f>
        <v>0</v>
      </c>
      <c r="DF643" s="693">
        <f>SUMIFS(Imput[[Importe Neto]:[Importe Neto]],Imput[[C. Imp.]:[C. Imp.]],$D643,Imput[[PERIODO Imp.]:[PERIODO Imp.]],DF$9)</f>
        <v>0</v>
      </c>
      <c r="DG643" s="693">
        <f>SUMIFS(Imput[[Importe Neto]:[Importe Neto]],Imput[[C. Imp.]:[C. Imp.]],$D643,Imput[[PERIODO Imp.]:[PERIODO Imp.]],DG$9)</f>
        <v>0</v>
      </c>
      <c r="DH643" s="694">
        <f>SUMIFS(Imput[[Importe Neto]:[Importe Neto]],Imput[[C. Imp.]:[C. Imp.]],$D643,Imput[[PERIODO Imp.]:[PERIODO Imp.]],DH$9)</f>
        <v>0</v>
      </c>
    </row>
    <row r="644" spans="1:112" s="649" customFormat="1" hidden="1" outlineLevel="1" x14ac:dyDescent="0.3">
      <c r="A644" s="652" t="str">
        <f t="shared" si="222"/>
        <v/>
      </c>
      <c r="B644" s="652"/>
      <c r="C644" s="685"/>
      <c r="D644" s="686" t="s">
        <v>2662</v>
      </c>
      <c r="E644" s="728"/>
      <c r="F644" s="720"/>
      <c r="G644" s="688"/>
      <c r="H644" s="696"/>
      <c r="I644" s="851" t="str">
        <f t="shared" si="227"/>
        <v/>
      </c>
      <c r="J644" s="850" t="str">
        <f t="shared" si="224"/>
        <v/>
      </c>
      <c r="K644" s="667"/>
      <c r="L644" s="858"/>
      <c r="M644" s="859"/>
      <c r="N644" s="859"/>
      <c r="O644" s="859"/>
      <c r="P644" s="859"/>
      <c r="Q644" s="859"/>
      <c r="R644" s="859"/>
      <c r="S644" s="859"/>
      <c r="T644" s="859"/>
      <c r="U644" s="859"/>
      <c r="V644" s="859"/>
      <c r="W644" s="859"/>
      <c r="X644" s="859"/>
      <c r="Y644" s="859"/>
      <c r="Z644" s="860"/>
      <c r="AA644" s="860"/>
      <c r="AB644" s="860"/>
      <c r="AC644" s="860"/>
      <c r="AD644" s="860"/>
      <c r="AE644" s="860"/>
      <c r="AF644" s="860"/>
      <c r="AG644" s="860"/>
      <c r="AH644" s="860"/>
      <c r="AI644" s="860"/>
      <c r="AJ644" s="860"/>
      <c r="AK644" s="860"/>
      <c r="AL644" s="860"/>
      <c r="AM644" s="860"/>
      <c r="AN644" s="860"/>
      <c r="AO644" s="860"/>
      <c r="AP644" s="860"/>
      <c r="AQ644" s="860"/>
      <c r="AR644" s="860"/>
      <c r="AS644" s="860"/>
      <c r="AT644" s="860"/>
      <c r="AU644" s="860"/>
      <c r="AV644" s="860"/>
      <c r="AW644" s="860"/>
      <c r="AX644" s="860"/>
      <c r="AY644" s="860"/>
      <c r="AZ644" s="860"/>
      <c r="BA644" s="860"/>
      <c r="BB644" s="860"/>
      <c r="BC644" s="860"/>
      <c r="BD644" s="860"/>
      <c r="BE644" s="860"/>
      <c r="BF644" s="860"/>
      <c r="BG644" s="860"/>
      <c r="BH644" s="668"/>
      <c r="BI644" s="654"/>
      <c r="BJ644" s="690">
        <f t="shared" si="228"/>
        <v>0</v>
      </c>
      <c r="BK644" s="691">
        <f t="shared" si="229"/>
        <v>0</v>
      </c>
      <c r="BL644" s="654"/>
      <c r="BM644" s="697">
        <f>SUMIFS(Imput[[Importe Neto]:[Importe Neto]],Imput[[C. Imp.]:[C. Imp.]],$D644,Imput[[PERIODO Imp.]:[PERIODO Imp.]],BM$9)</f>
        <v>0</v>
      </c>
      <c r="BN644" s="698">
        <f>SUMIFS(Imput[[Importe Neto]:[Importe Neto]],Imput[[C. Imp.]:[C. Imp.]],$D644,Imput[[PERIODO Imp.]:[PERIODO Imp.]],BN$9)</f>
        <v>0</v>
      </c>
      <c r="BO644" s="698">
        <f>SUMIFS(Imput[[Importe Neto]:[Importe Neto]],Imput[[C. Imp.]:[C. Imp.]],$D644,Imput[[PERIODO Imp.]:[PERIODO Imp.]],BO$9)</f>
        <v>0</v>
      </c>
      <c r="BP644" s="698">
        <f>SUMIFS(Imput[[Importe Neto]:[Importe Neto]],Imput[[C. Imp.]:[C. Imp.]],$D644,Imput[[PERIODO Imp.]:[PERIODO Imp.]],BP$9)</f>
        <v>0</v>
      </c>
      <c r="BQ644" s="698">
        <f>SUMIFS(Imput[[Importe Neto]:[Importe Neto]],Imput[[C. Imp.]:[C. Imp.]],$D644,Imput[[PERIODO Imp.]:[PERIODO Imp.]],BQ$9)</f>
        <v>0</v>
      </c>
      <c r="BR644" s="698">
        <f>SUMIFS(Imput[[Importe Neto]:[Importe Neto]],Imput[[C. Imp.]:[C. Imp.]],$D644,Imput[[PERIODO Imp.]:[PERIODO Imp.]],BR$9)</f>
        <v>0</v>
      </c>
      <c r="BS644" s="698">
        <f>SUMIFS(Imput[[Importe Neto]:[Importe Neto]],Imput[[C. Imp.]:[C. Imp.]],$D644,Imput[[PERIODO Imp.]:[PERIODO Imp.]],BS$9)</f>
        <v>0</v>
      </c>
      <c r="BT644" s="698">
        <f>SUMIFS(Imput[[Importe Neto]:[Importe Neto]],Imput[[C. Imp.]:[C. Imp.]],$D644,Imput[[PERIODO Imp.]:[PERIODO Imp.]],BT$9)</f>
        <v>0</v>
      </c>
      <c r="BU644" s="698">
        <f>SUMIFS(Imput[[Importe Neto]:[Importe Neto]],Imput[[C. Imp.]:[C. Imp.]],$D644,Imput[[PERIODO Imp.]:[PERIODO Imp.]],BU$9)</f>
        <v>0</v>
      </c>
      <c r="BV644" s="698">
        <f>SUMIFS(Imput[[Importe Neto]:[Importe Neto]],Imput[[C. Imp.]:[C. Imp.]],$D644,Imput[[PERIODO Imp.]:[PERIODO Imp.]],BV$9)</f>
        <v>0</v>
      </c>
      <c r="BW644" s="698">
        <f>SUMIFS(Imput[[Importe Neto]:[Importe Neto]],Imput[[C. Imp.]:[C. Imp.]],$D644,Imput[[PERIODO Imp.]:[PERIODO Imp.]],BW$9)</f>
        <v>0</v>
      </c>
      <c r="BX644" s="698">
        <f>SUMIFS(Imput[[Importe Neto]:[Importe Neto]],Imput[[C. Imp.]:[C. Imp.]],$D644,Imput[[PERIODO Imp.]:[PERIODO Imp.]],BX$9)</f>
        <v>0</v>
      </c>
      <c r="BY644" s="698">
        <f>SUMIFS(Imput[[Importe Neto]:[Importe Neto]],Imput[[C. Imp.]:[C. Imp.]],$D644,Imput[[PERIODO Imp.]:[PERIODO Imp.]],BY$9)</f>
        <v>0</v>
      </c>
      <c r="BZ644" s="698">
        <f>SUMIFS(Imput[[Importe Neto]:[Importe Neto]],Imput[[C. Imp.]:[C. Imp.]],$D644,Imput[[PERIODO Imp.]:[PERIODO Imp.]],BZ$9)</f>
        <v>0</v>
      </c>
      <c r="CA644" s="698">
        <f>SUMIFS(Imput[[Importe Neto]:[Importe Neto]],Imput[[C. Imp.]:[C. Imp.]],$D644,Imput[[PERIODO Imp.]:[PERIODO Imp.]],CA$9)</f>
        <v>0</v>
      </c>
      <c r="CB644" s="698">
        <f>SUMIFS(Imput[[Importe Neto]:[Importe Neto]],Imput[[C. Imp.]:[C. Imp.]],$D644,Imput[[PERIODO Imp.]:[PERIODO Imp.]],CB$9)</f>
        <v>0</v>
      </c>
      <c r="CC644" s="698">
        <f>SUMIFS(Imput[[Importe Neto]:[Importe Neto]],Imput[[C. Imp.]:[C. Imp.]],$D644,Imput[[PERIODO Imp.]:[PERIODO Imp.]],CC$9)</f>
        <v>0</v>
      </c>
      <c r="CD644" s="698">
        <f>SUMIFS(Imput[[Importe Neto]:[Importe Neto]],Imput[[C. Imp.]:[C. Imp.]],$D644,Imput[[PERIODO Imp.]:[PERIODO Imp.]],CD$9)</f>
        <v>0</v>
      </c>
      <c r="CE644" s="698">
        <f>SUMIFS(Imput[[Importe Neto]:[Importe Neto]],Imput[[C. Imp.]:[C. Imp.]],$D644,Imput[[PERIODO Imp.]:[PERIODO Imp.]],CE$9)</f>
        <v>0</v>
      </c>
      <c r="CF644" s="698">
        <f>SUMIFS(Imput[[Importe Neto]:[Importe Neto]],Imput[[C. Imp.]:[C. Imp.]],$D644,Imput[[PERIODO Imp.]:[PERIODO Imp.]],CF$9)</f>
        <v>0</v>
      </c>
      <c r="CG644" s="698">
        <f>SUMIFS(Imput[[Importe Neto]:[Importe Neto]],Imput[[C. Imp.]:[C. Imp.]],$D644,Imput[[PERIODO Imp.]:[PERIODO Imp.]],CG$9)</f>
        <v>0</v>
      </c>
      <c r="CH644" s="698">
        <f>SUMIFS(Imput[[Importe Neto]:[Importe Neto]],Imput[[C. Imp.]:[C. Imp.]],$D644,Imput[[PERIODO Imp.]:[PERIODO Imp.]],CH$9)</f>
        <v>0</v>
      </c>
      <c r="CI644" s="698">
        <f>SUMIFS(Imput[[Importe Neto]:[Importe Neto]],Imput[[C. Imp.]:[C. Imp.]],$D644,Imput[[PERIODO Imp.]:[PERIODO Imp.]],CI$9)</f>
        <v>0</v>
      </c>
      <c r="CJ644" s="698">
        <f>SUMIFS(Imput[[Importe Neto]:[Importe Neto]],Imput[[C. Imp.]:[C. Imp.]],$D644,Imput[[PERIODO Imp.]:[PERIODO Imp.]],CJ$9)</f>
        <v>0</v>
      </c>
      <c r="CK644" s="698">
        <f>SUMIFS(Imput[[Importe Neto]:[Importe Neto]],Imput[[C. Imp.]:[C. Imp.]],$D644,Imput[[PERIODO Imp.]:[PERIODO Imp.]],CK$9)</f>
        <v>0</v>
      </c>
      <c r="CL644" s="698">
        <f>SUMIFS(Imput[[Importe Neto]:[Importe Neto]],Imput[[C. Imp.]:[C. Imp.]],$D644,Imput[[PERIODO Imp.]:[PERIODO Imp.]],CL$9)</f>
        <v>0</v>
      </c>
      <c r="CM644" s="698">
        <f>SUMIFS(Imput[[Importe Neto]:[Importe Neto]],Imput[[C. Imp.]:[C. Imp.]],$D644,Imput[[PERIODO Imp.]:[PERIODO Imp.]],CM$9)</f>
        <v>0</v>
      </c>
      <c r="CN644" s="698">
        <f>SUMIFS(Imput[[Importe Neto]:[Importe Neto]],Imput[[C. Imp.]:[C. Imp.]],$D644,Imput[[PERIODO Imp.]:[PERIODO Imp.]],CN$9)</f>
        <v>0</v>
      </c>
      <c r="CO644" s="698">
        <f>SUMIFS(Imput[[Importe Neto]:[Importe Neto]],Imput[[C. Imp.]:[C. Imp.]],$D644,Imput[[PERIODO Imp.]:[PERIODO Imp.]],CO$9)</f>
        <v>0</v>
      </c>
      <c r="CP644" s="698">
        <f>SUMIFS(Imput[[Importe Neto]:[Importe Neto]],Imput[[C. Imp.]:[C. Imp.]],$D644,Imput[[PERIODO Imp.]:[PERIODO Imp.]],CP$9)</f>
        <v>0</v>
      </c>
      <c r="CQ644" s="698">
        <f>SUMIFS(Imput[[Importe Neto]:[Importe Neto]],Imput[[C. Imp.]:[C. Imp.]],$D644,Imput[[PERIODO Imp.]:[PERIODO Imp.]],CQ$9)</f>
        <v>0</v>
      </c>
      <c r="CR644" s="698">
        <f>SUMIFS(Imput[[Importe Neto]:[Importe Neto]],Imput[[C. Imp.]:[C. Imp.]],$D644,Imput[[PERIODO Imp.]:[PERIODO Imp.]],CR$9)</f>
        <v>0</v>
      </c>
      <c r="CS644" s="698">
        <f>SUMIFS(Imput[[Importe Neto]:[Importe Neto]],Imput[[C. Imp.]:[C. Imp.]],$D644,Imput[[PERIODO Imp.]:[PERIODO Imp.]],CS$9)</f>
        <v>0</v>
      </c>
      <c r="CT644" s="698">
        <f>SUMIFS(Imput[[Importe Neto]:[Importe Neto]],Imput[[C. Imp.]:[C. Imp.]],$D644,Imput[[PERIODO Imp.]:[PERIODO Imp.]],CT$9)</f>
        <v>0</v>
      </c>
      <c r="CU644" s="698">
        <f>SUMIFS(Imput[[Importe Neto]:[Importe Neto]],Imput[[C. Imp.]:[C. Imp.]],$D644,Imput[[PERIODO Imp.]:[PERIODO Imp.]],CU$9)</f>
        <v>0</v>
      </c>
      <c r="CV644" s="698">
        <f>SUMIFS(Imput[[Importe Neto]:[Importe Neto]],Imput[[C. Imp.]:[C. Imp.]],$D644,Imput[[PERIODO Imp.]:[PERIODO Imp.]],CV$9)</f>
        <v>0</v>
      </c>
      <c r="CW644" s="698">
        <f>SUMIFS(Imput[[Importe Neto]:[Importe Neto]],Imput[[C. Imp.]:[C. Imp.]],$D644,Imput[[PERIODO Imp.]:[PERIODO Imp.]],CW$9)</f>
        <v>0</v>
      </c>
      <c r="CX644" s="698">
        <f>SUMIFS(Imput[[Importe Neto]:[Importe Neto]],Imput[[C. Imp.]:[C. Imp.]],$D644,Imput[[PERIODO Imp.]:[PERIODO Imp.]],CX$9)</f>
        <v>0</v>
      </c>
      <c r="CY644" s="698">
        <f>SUMIFS(Imput[[Importe Neto]:[Importe Neto]],Imput[[C. Imp.]:[C. Imp.]],$D644,Imput[[PERIODO Imp.]:[PERIODO Imp.]],CY$9)</f>
        <v>0</v>
      </c>
      <c r="CZ644" s="698">
        <f>SUMIFS(Imput[[Importe Neto]:[Importe Neto]],Imput[[C. Imp.]:[C. Imp.]],$D644,Imput[[PERIODO Imp.]:[PERIODO Imp.]],CZ$9)</f>
        <v>0</v>
      </c>
      <c r="DA644" s="698">
        <f>SUMIFS(Imput[[Importe Neto]:[Importe Neto]],Imput[[C. Imp.]:[C. Imp.]],$D644,Imput[[PERIODO Imp.]:[PERIODO Imp.]],DA$9)</f>
        <v>0</v>
      </c>
      <c r="DB644" s="698">
        <f>SUMIFS(Imput[[Importe Neto]:[Importe Neto]],Imput[[C. Imp.]:[C. Imp.]],$D644,Imput[[PERIODO Imp.]:[PERIODO Imp.]],DB$9)</f>
        <v>0</v>
      </c>
      <c r="DC644" s="698">
        <f>SUMIFS(Imput[[Importe Neto]:[Importe Neto]],Imput[[C. Imp.]:[C. Imp.]],$D644,Imput[[PERIODO Imp.]:[PERIODO Imp.]],DC$9)</f>
        <v>0</v>
      </c>
      <c r="DD644" s="698">
        <f>SUMIFS(Imput[[Importe Neto]:[Importe Neto]],Imput[[C. Imp.]:[C. Imp.]],$D644,Imput[[PERIODO Imp.]:[PERIODO Imp.]],DD$9)</f>
        <v>0</v>
      </c>
      <c r="DE644" s="698">
        <f>SUMIFS(Imput[[Importe Neto]:[Importe Neto]],Imput[[C. Imp.]:[C. Imp.]],$D644,Imput[[PERIODO Imp.]:[PERIODO Imp.]],DE$9)</f>
        <v>0</v>
      </c>
      <c r="DF644" s="698">
        <f>SUMIFS(Imput[[Importe Neto]:[Importe Neto]],Imput[[C. Imp.]:[C. Imp.]],$D644,Imput[[PERIODO Imp.]:[PERIODO Imp.]],DF$9)</f>
        <v>0</v>
      </c>
      <c r="DG644" s="698">
        <f>SUMIFS(Imput[[Importe Neto]:[Importe Neto]],Imput[[C. Imp.]:[C. Imp.]],$D644,Imput[[PERIODO Imp.]:[PERIODO Imp.]],DG$9)</f>
        <v>0</v>
      </c>
      <c r="DH644" s="795">
        <f>SUMIFS(Imput[[Importe Neto]:[Importe Neto]],Imput[[C. Imp.]:[C. Imp.]],$D644,Imput[[PERIODO Imp.]:[PERIODO Imp.]],DH$9)</f>
        <v>0</v>
      </c>
    </row>
    <row r="645" spans="1:112" s="649" customFormat="1" ht="14.4" outlineLevel="1" thickBot="1" x14ac:dyDescent="0.35">
      <c r="A645" s="652" t="str">
        <f>IF(J593&gt;0,"Imprimir","")</f>
        <v>Imprimir</v>
      </c>
      <c r="B645" s="652"/>
      <c r="C645" s="699"/>
      <c r="D645" s="700"/>
      <c r="E645" s="700"/>
      <c r="F645" s="701"/>
      <c r="G645" s="702"/>
      <c r="H645" s="703"/>
      <c r="I645" s="704"/>
      <c r="J645" s="705"/>
      <c r="K645" s="667"/>
      <c r="L645" s="706"/>
      <c r="M645" s="707"/>
      <c r="N645" s="777"/>
      <c r="O645" s="777"/>
      <c r="P645" s="778"/>
      <c r="Q645" s="778"/>
      <c r="R645" s="708"/>
      <c r="S645" s="708"/>
      <c r="T645" s="779"/>
      <c r="U645" s="779"/>
      <c r="V645" s="778"/>
      <c r="W645" s="778"/>
      <c r="X645" s="708"/>
      <c r="Y645" s="708"/>
      <c r="Z645" s="708"/>
      <c r="AA645" s="708"/>
      <c r="AB645" s="708"/>
      <c r="AC645" s="708"/>
      <c r="AD645" s="708"/>
      <c r="AE645" s="708"/>
      <c r="AF645" s="708"/>
      <c r="AG645" s="708"/>
      <c r="AH645" s="708"/>
      <c r="AI645" s="708"/>
      <c r="AJ645" s="708"/>
      <c r="AK645" s="708"/>
      <c r="AL645" s="708"/>
      <c r="AM645" s="708"/>
      <c r="AN645" s="708"/>
      <c r="AO645" s="708"/>
      <c r="AP645" s="708"/>
      <c r="AQ645" s="708"/>
      <c r="AR645" s="708"/>
      <c r="AS645" s="708"/>
      <c r="AT645" s="708"/>
      <c r="AU645" s="708"/>
      <c r="AV645" s="708"/>
      <c r="AW645" s="708"/>
      <c r="AX645" s="708"/>
      <c r="AY645" s="708"/>
      <c r="AZ645" s="708"/>
      <c r="BA645" s="708"/>
      <c r="BB645" s="708"/>
      <c r="BC645" s="708"/>
      <c r="BD645" s="708"/>
      <c r="BE645" s="708"/>
      <c r="BF645" s="708"/>
      <c r="BG645" s="708"/>
      <c r="BH645" s="780"/>
      <c r="BI645" s="654"/>
      <c r="BJ645" s="709"/>
      <c r="BK645" s="710"/>
      <c r="BL645" s="654"/>
      <c r="BM645" s="731"/>
      <c r="BN645" s="701"/>
      <c r="BO645" s="701"/>
      <c r="BP645" s="701"/>
      <c r="BQ645" s="701"/>
      <c r="BR645" s="701"/>
      <c r="BS645" s="701"/>
      <c r="BT645" s="701"/>
      <c r="BU645" s="701"/>
      <c r="BV645" s="701"/>
      <c r="BW645" s="701"/>
      <c r="BX645" s="701"/>
      <c r="BY645" s="701"/>
      <c r="BZ645" s="701"/>
      <c r="CA645" s="701"/>
      <c r="CB645" s="701"/>
      <c r="CC645" s="701"/>
      <c r="CD645" s="701"/>
      <c r="CE645" s="701"/>
      <c r="CF645" s="701"/>
      <c r="CG645" s="701"/>
      <c r="CH645" s="701"/>
      <c r="CI645" s="701"/>
      <c r="CJ645" s="701"/>
      <c r="CK645" s="701"/>
      <c r="CL645" s="701"/>
      <c r="CM645" s="701"/>
      <c r="CN645" s="701"/>
      <c r="CO645" s="701"/>
      <c r="CP645" s="701"/>
      <c r="CQ645" s="701"/>
      <c r="CR645" s="701"/>
      <c r="CS645" s="701"/>
      <c r="CT645" s="701"/>
      <c r="CU645" s="701"/>
      <c r="CV645" s="701"/>
      <c r="CW645" s="701"/>
      <c r="CX645" s="701"/>
      <c r="CY645" s="701"/>
      <c r="CZ645" s="701"/>
      <c r="DA645" s="701"/>
      <c r="DB645" s="701"/>
      <c r="DC645" s="701"/>
      <c r="DD645" s="701"/>
      <c r="DE645" s="701"/>
      <c r="DF645" s="701"/>
      <c r="DG645" s="701"/>
      <c r="DH645" s="710"/>
    </row>
    <row r="646" spans="1:112" s="649" customFormat="1" x14ac:dyDescent="0.3">
      <c r="A646" s="652" t="str">
        <f>IF(J646&gt;0,"Imprimir","")</f>
        <v>Imprimir</v>
      </c>
      <c r="B646" s="652"/>
      <c r="C646" s="711"/>
      <c r="D646" s="712" t="s">
        <v>452</v>
      </c>
      <c r="E646" s="712" t="s">
        <v>505</v>
      </c>
      <c r="F646" s="712"/>
      <c r="G646" s="713"/>
      <c r="H646" s="712"/>
      <c r="I646" s="714"/>
      <c r="J646" s="715">
        <f>SUBTOTAL(9,J649:J658)</f>
        <v>55440</v>
      </c>
      <c r="K646" s="658"/>
      <c r="L646" s="770">
        <f t="shared" ref="L646:BG646" si="230">SUMPRODUCT($J649:$J658,L649:L658)</f>
        <v>0</v>
      </c>
      <c r="M646" s="771">
        <f t="shared" si="230"/>
        <v>0</v>
      </c>
      <c r="N646" s="771">
        <f t="shared" si="230"/>
        <v>0</v>
      </c>
      <c r="O646" s="771">
        <f t="shared" si="230"/>
        <v>13860</v>
      </c>
      <c r="P646" s="771">
        <f t="shared" si="230"/>
        <v>0</v>
      </c>
      <c r="Q646" s="771">
        <f t="shared" si="230"/>
        <v>0</v>
      </c>
      <c r="R646" s="771">
        <f t="shared" si="230"/>
        <v>0</v>
      </c>
      <c r="S646" s="771">
        <f t="shared" si="230"/>
        <v>13860</v>
      </c>
      <c r="T646" s="771">
        <f t="shared" si="230"/>
        <v>0</v>
      </c>
      <c r="U646" s="771">
        <f t="shared" si="230"/>
        <v>0</v>
      </c>
      <c r="V646" s="771">
        <f t="shared" si="230"/>
        <v>0</v>
      </c>
      <c r="W646" s="771">
        <f t="shared" si="230"/>
        <v>0</v>
      </c>
      <c r="X646" s="771">
        <f t="shared" si="230"/>
        <v>0</v>
      </c>
      <c r="Y646" s="771">
        <f t="shared" si="230"/>
        <v>0</v>
      </c>
      <c r="Z646" s="771">
        <f t="shared" si="230"/>
        <v>0</v>
      </c>
      <c r="AA646" s="771">
        <f t="shared" si="230"/>
        <v>0</v>
      </c>
      <c r="AB646" s="771">
        <f t="shared" si="230"/>
        <v>0</v>
      </c>
      <c r="AC646" s="771">
        <f t="shared" si="230"/>
        <v>0</v>
      </c>
      <c r="AD646" s="771">
        <f t="shared" si="230"/>
        <v>0</v>
      </c>
      <c r="AE646" s="771">
        <f t="shared" si="230"/>
        <v>13860</v>
      </c>
      <c r="AF646" s="771">
        <f t="shared" si="230"/>
        <v>0</v>
      </c>
      <c r="AG646" s="771">
        <f t="shared" si="230"/>
        <v>0</v>
      </c>
      <c r="AH646" s="771">
        <f t="shared" si="230"/>
        <v>0</v>
      </c>
      <c r="AI646" s="771">
        <f t="shared" si="230"/>
        <v>13860</v>
      </c>
      <c r="AJ646" s="771">
        <f t="shared" si="230"/>
        <v>0</v>
      </c>
      <c r="AK646" s="771">
        <f t="shared" si="230"/>
        <v>0</v>
      </c>
      <c r="AL646" s="771">
        <f t="shared" si="230"/>
        <v>0</v>
      </c>
      <c r="AM646" s="771">
        <f t="shared" si="230"/>
        <v>0</v>
      </c>
      <c r="AN646" s="771">
        <f t="shared" si="230"/>
        <v>0</v>
      </c>
      <c r="AO646" s="771">
        <f t="shared" si="230"/>
        <v>0</v>
      </c>
      <c r="AP646" s="771">
        <f t="shared" si="230"/>
        <v>0</v>
      </c>
      <c r="AQ646" s="771">
        <f t="shared" si="230"/>
        <v>0</v>
      </c>
      <c r="AR646" s="771">
        <f t="shared" si="230"/>
        <v>0</v>
      </c>
      <c r="AS646" s="771">
        <f t="shared" si="230"/>
        <v>0</v>
      </c>
      <c r="AT646" s="771">
        <f t="shared" si="230"/>
        <v>0</v>
      </c>
      <c r="AU646" s="771">
        <f t="shared" si="230"/>
        <v>0</v>
      </c>
      <c r="AV646" s="771">
        <f t="shared" si="230"/>
        <v>0</v>
      </c>
      <c r="AW646" s="771">
        <f t="shared" si="230"/>
        <v>0</v>
      </c>
      <c r="AX646" s="771">
        <f t="shared" si="230"/>
        <v>0</v>
      </c>
      <c r="AY646" s="771">
        <f t="shared" si="230"/>
        <v>0</v>
      </c>
      <c r="AZ646" s="771">
        <f t="shared" si="230"/>
        <v>0</v>
      </c>
      <c r="BA646" s="771">
        <f t="shared" si="230"/>
        <v>0</v>
      </c>
      <c r="BB646" s="771">
        <f t="shared" si="230"/>
        <v>0</v>
      </c>
      <c r="BC646" s="771">
        <f t="shared" si="230"/>
        <v>0</v>
      </c>
      <c r="BD646" s="771">
        <f t="shared" si="230"/>
        <v>0</v>
      </c>
      <c r="BE646" s="771">
        <f t="shared" si="230"/>
        <v>0</v>
      </c>
      <c r="BF646" s="771">
        <f t="shared" si="230"/>
        <v>0</v>
      </c>
      <c r="BG646" s="764">
        <f t="shared" si="230"/>
        <v>0</v>
      </c>
      <c r="BH646" s="776"/>
      <c r="BI646" s="654"/>
      <c r="BJ646" s="659">
        <f>IFERROR(BK646/J646,0)</f>
        <v>0</v>
      </c>
      <c r="BK646" s="660">
        <f>SUBTOTAL(9,BK647:BK658)</f>
        <v>0</v>
      </c>
      <c r="BL646" s="654"/>
      <c r="BM646" s="661">
        <f t="shared" ref="BM646:DH646" si="231">SUBTOTAL(9,BM647:BM658)</f>
        <v>0</v>
      </c>
      <c r="BN646" s="662">
        <f t="shared" si="231"/>
        <v>0</v>
      </c>
      <c r="BO646" s="662">
        <f t="shared" si="231"/>
        <v>0</v>
      </c>
      <c r="BP646" s="662">
        <f t="shared" si="231"/>
        <v>0</v>
      </c>
      <c r="BQ646" s="662">
        <f t="shared" si="231"/>
        <v>0</v>
      </c>
      <c r="BR646" s="662">
        <f t="shared" si="231"/>
        <v>0</v>
      </c>
      <c r="BS646" s="662">
        <f t="shared" si="231"/>
        <v>0</v>
      </c>
      <c r="BT646" s="662">
        <f t="shared" si="231"/>
        <v>0</v>
      </c>
      <c r="BU646" s="662">
        <f t="shared" si="231"/>
        <v>0</v>
      </c>
      <c r="BV646" s="662">
        <f t="shared" si="231"/>
        <v>0</v>
      </c>
      <c r="BW646" s="662">
        <f t="shared" si="231"/>
        <v>0</v>
      </c>
      <c r="BX646" s="662">
        <f t="shared" si="231"/>
        <v>0</v>
      </c>
      <c r="BY646" s="662">
        <f t="shared" si="231"/>
        <v>0</v>
      </c>
      <c r="BZ646" s="662">
        <f t="shared" si="231"/>
        <v>0</v>
      </c>
      <c r="CA646" s="662">
        <f t="shared" si="231"/>
        <v>0</v>
      </c>
      <c r="CB646" s="662">
        <f t="shared" si="231"/>
        <v>0</v>
      </c>
      <c r="CC646" s="662">
        <f t="shared" si="231"/>
        <v>0</v>
      </c>
      <c r="CD646" s="662">
        <f t="shared" si="231"/>
        <v>0</v>
      </c>
      <c r="CE646" s="662">
        <f t="shared" si="231"/>
        <v>0</v>
      </c>
      <c r="CF646" s="662">
        <f t="shared" si="231"/>
        <v>0</v>
      </c>
      <c r="CG646" s="662">
        <f t="shared" si="231"/>
        <v>0</v>
      </c>
      <c r="CH646" s="662">
        <f t="shared" si="231"/>
        <v>0</v>
      </c>
      <c r="CI646" s="662">
        <f t="shared" si="231"/>
        <v>0</v>
      </c>
      <c r="CJ646" s="662">
        <f t="shared" si="231"/>
        <v>0</v>
      </c>
      <c r="CK646" s="662">
        <f t="shared" si="231"/>
        <v>0</v>
      </c>
      <c r="CL646" s="662">
        <f t="shared" si="231"/>
        <v>0</v>
      </c>
      <c r="CM646" s="662">
        <f t="shared" si="231"/>
        <v>0</v>
      </c>
      <c r="CN646" s="662">
        <f t="shared" si="231"/>
        <v>0</v>
      </c>
      <c r="CO646" s="662">
        <f t="shared" si="231"/>
        <v>0</v>
      </c>
      <c r="CP646" s="662">
        <f t="shared" si="231"/>
        <v>0</v>
      </c>
      <c r="CQ646" s="662">
        <f t="shared" si="231"/>
        <v>0</v>
      </c>
      <c r="CR646" s="662">
        <f t="shared" si="231"/>
        <v>0</v>
      </c>
      <c r="CS646" s="662">
        <f t="shared" si="231"/>
        <v>0</v>
      </c>
      <c r="CT646" s="662">
        <f t="shared" si="231"/>
        <v>0</v>
      </c>
      <c r="CU646" s="662">
        <f t="shared" si="231"/>
        <v>0</v>
      </c>
      <c r="CV646" s="662">
        <f t="shared" si="231"/>
        <v>0</v>
      </c>
      <c r="CW646" s="662">
        <f t="shared" si="231"/>
        <v>0</v>
      </c>
      <c r="CX646" s="662">
        <f t="shared" si="231"/>
        <v>0</v>
      </c>
      <c r="CY646" s="662">
        <f t="shared" si="231"/>
        <v>0</v>
      </c>
      <c r="CZ646" s="662">
        <f t="shared" si="231"/>
        <v>0</v>
      </c>
      <c r="DA646" s="662">
        <f t="shared" si="231"/>
        <v>0</v>
      </c>
      <c r="DB646" s="662">
        <f t="shared" si="231"/>
        <v>0</v>
      </c>
      <c r="DC646" s="662">
        <f t="shared" si="231"/>
        <v>0</v>
      </c>
      <c r="DD646" s="662">
        <f t="shared" si="231"/>
        <v>0</v>
      </c>
      <c r="DE646" s="662">
        <f t="shared" si="231"/>
        <v>0</v>
      </c>
      <c r="DF646" s="662">
        <f t="shared" si="231"/>
        <v>0</v>
      </c>
      <c r="DG646" s="662">
        <f t="shared" si="231"/>
        <v>0</v>
      </c>
      <c r="DH646" s="663">
        <f t="shared" si="231"/>
        <v>0</v>
      </c>
    </row>
    <row r="647" spans="1:112" s="649" customFormat="1" outlineLevel="1" x14ac:dyDescent="0.3">
      <c r="A647" s="652" t="str">
        <f>IF(J646&gt;0,"Imprimir","")</f>
        <v>Imprimir</v>
      </c>
      <c r="B647" s="652"/>
      <c r="C647" s="664"/>
      <c r="D647" s="665"/>
      <c r="E647" s="665"/>
      <c r="F647" s="665" t="s">
        <v>472</v>
      </c>
      <c r="G647" s="716" t="s">
        <v>2128</v>
      </c>
      <c r="H647" s="665" t="str">
        <f>H487</f>
        <v>Cantidad</v>
      </c>
      <c r="I647" s="665" t="s">
        <v>474</v>
      </c>
      <c r="J647" s="666" t="s">
        <v>29</v>
      </c>
      <c r="K647" s="667"/>
      <c r="L647" s="745"/>
      <c r="M647" s="741"/>
      <c r="N647" s="741"/>
      <c r="O647" s="741"/>
      <c r="P647" s="741"/>
      <c r="Q647" s="741"/>
      <c r="R647" s="741"/>
      <c r="S647" s="741"/>
      <c r="T647" s="741"/>
      <c r="U647" s="741"/>
      <c r="V647" s="741"/>
      <c r="W647" s="741"/>
      <c r="X647" s="741"/>
      <c r="Y647" s="741"/>
      <c r="Z647" s="741"/>
      <c r="AA647" s="741"/>
      <c r="AB647" s="741"/>
      <c r="AC647" s="741"/>
      <c r="AD647" s="741"/>
      <c r="AE647" s="741"/>
      <c r="AF647" s="741"/>
      <c r="AG647" s="741"/>
      <c r="AH647" s="741"/>
      <c r="AI647" s="741"/>
      <c r="AJ647" s="741"/>
      <c r="AK647" s="741"/>
      <c r="AL647" s="741"/>
      <c r="AM647" s="741"/>
      <c r="AN647" s="741"/>
      <c r="AO647" s="741"/>
      <c r="AP647" s="741"/>
      <c r="AQ647" s="741"/>
      <c r="AR647" s="741"/>
      <c r="AS647" s="741"/>
      <c r="AT647" s="741"/>
      <c r="AU647" s="741"/>
      <c r="AV647" s="741"/>
      <c r="AW647" s="741"/>
      <c r="AX647" s="741"/>
      <c r="AY647" s="741"/>
      <c r="AZ647" s="741"/>
      <c r="BA647" s="741"/>
      <c r="BB647" s="741"/>
      <c r="BC647" s="741"/>
      <c r="BD647" s="741"/>
      <c r="BE647" s="741"/>
      <c r="BF647" s="741"/>
      <c r="BG647" s="741"/>
      <c r="BH647" s="668"/>
      <c r="BI647" s="654"/>
      <c r="BJ647" s="669"/>
      <c r="BK647" s="670"/>
      <c r="BL647" s="654"/>
      <c r="BM647" s="671"/>
      <c r="BN647" s="665"/>
      <c r="BO647" s="665"/>
      <c r="BP647" s="665"/>
      <c r="BQ647" s="665"/>
      <c r="BR647" s="665"/>
      <c r="BS647" s="665"/>
      <c r="BT647" s="665"/>
      <c r="BU647" s="665"/>
      <c r="BV647" s="665"/>
      <c r="BW647" s="665"/>
      <c r="BX647" s="665"/>
      <c r="BY647" s="665"/>
      <c r="BZ647" s="665"/>
      <c r="CA647" s="665"/>
      <c r="CB647" s="665"/>
      <c r="CC647" s="665"/>
      <c r="CD647" s="665"/>
      <c r="CE647" s="665"/>
      <c r="CF647" s="665"/>
      <c r="CG647" s="665"/>
      <c r="CH647" s="665"/>
      <c r="CI647" s="665"/>
      <c r="CJ647" s="665"/>
      <c r="CK647" s="665"/>
      <c r="CL647" s="665"/>
      <c r="CM647" s="665"/>
      <c r="CN647" s="665"/>
      <c r="CO647" s="665"/>
      <c r="CP647" s="665"/>
      <c r="CQ647" s="665"/>
      <c r="CR647" s="665"/>
      <c r="CS647" s="665"/>
      <c r="CT647" s="665"/>
      <c r="CU647" s="665"/>
      <c r="CV647" s="665"/>
      <c r="CW647" s="665"/>
      <c r="CX647" s="665"/>
      <c r="CY647" s="665"/>
      <c r="CZ647" s="665"/>
      <c r="DA647" s="665"/>
      <c r="DB647" s="665"/>
      <c r="DC647" s="665"/>
      <c r="DD647" s="665"/>
      <c r="DE647" s="665"/>
      <c r="DF647" s="665"/>
      <c r="DG647" s="665"/>
      <c r="DH647" s="666"/>
    </row>
    <row r="648" spans="1:112" s="649" customFormat="1" ht="15.6" outlineLevel="1" x14ac:dyDescent="0.3">
      <c r="A648" s="652" t="str">
        <f>IF(J648&gt;0,"Imprimir","")</f>
        <v>Imprimir</v>
      </c>
      <c r="B648" s="652"/>
      <c r="C648" s="672"/>
      <c r="D648" s="673"/>
      <c r="E648" s="674"/>
      <c r="F648" s="675"/>
      <c r="G648" s="726"/>
      <c r="H648" s="676"/>
      <c r="I648" s="677"/>
      <c r="J648" s="219">
        <f>SUBTOTAL(9,J649:J658)</f>
        <v>55440</v>
      </c>
      <c r="K648" s="678"/>
      <c r="L648" s="747"/>
      <c r="M648" s="742"/>
      <c r="N648" s="742"/>
      <c r="O648" s="742"/>
      <c r="P648" s="742"/>
      <c r="Q648" s="742"/>
      <c r="R648" s="742"/>
      <c r="S648" s="742"/>
      <c r="T648" s="742"/>
      <c r="U648" s="742"/>
      <c r="V648" s="742"/>
      <c r="W648" s="742"/>
      <c r="X648" s="742"/>
      <c r="Y648" s="742"/>
      <c r="Z648" s="742"/>
      <c r="AA648" s="742"/>
      <c r="AB648" s="742"/>
      <c r="AC648" s="742"/>
      <c r="AD648" s="742"/>
      <c r="AE648" s="742"/>
      <c r="AF648" s="742"/>
      <c r="AG648" s="742"/>
      <c r="AH648" s="742"/>
      <c r="AI648" s="742"/>
      <c r="AJ648" s="742"/>
      <c r="AK648" s="742"/>
      <c r="AL648" s="742"/>
      <c r="AM648" s="742"/>
      <c r="AN648" s="742"/>
      <c r="AO648" s="742"/>
      <c r="AP648" s="742"/>
      <c r="AQ648" s="742"/>
      <c r="AR648" s="742"/>
      <c r="AS648" s="742"/>
      <c r="AT648" s="742"/>
      <c r="AU648" s="742"/>
      <c r="AV648" s="742"/>
      <c r="AW648" s="742"/>
      <c r="AX648" s="742"/>
      <c r="AY648" s="742"/>
      <c r="AZ648" s="742"/>
      <c r="BA648" s="742"/>
      <c r="BB648" s="742"/>
      <c r="BC648" s="742"/>
      <c r="BD648" s="742"/>
      <c r="BE648" s="742"/>
      <c r="BF648" s="742"/>
      <c r="BG648" s="742"/>
      <c r="BH648" s="668"/>
      <c r="BI648" s="654"/>
      <c r="BJ648" s="680"/>
      <c r="BK648" s="681"/>
      <c r="BL648" s="654"/>
      <c r="BM648" s="682"/>
      <c r="BN648" s="683"/>
      <c r="BO648" s="683"/>
      <c r="BP648" s="683"/>
      <c r="BQ648" s="683"/>
      <c r="BR648" s="683"/>
      <c r="BS648" s="683"/>
      <c r="BT648" s="683"/>
      <c r="BU648" s="683"/>
      <c r="BV648" s="683"/>
      <c r="BW648" s="683"/>
      <c r="BX648" s="683"/>
      <c r="BY648" s="683"/>
      <c r="BZ648" s="683"/>
      <c r="CA648" s="683"/>
      <c r="CB648" s="683"/>
      <c r="CC648" s="683"/>
      <c r="CD648" s="683"/>
      <c r="CE648" s="683"/>
      <c r="CF648" s="683"/>
      <c r="CG648" s="683"/>
      <c r="CH648" s="683"/>
      <c r="CI648" s="683"/>
      <c r="CJ648" s="683"/>
      <c r="CK648" s="683"/>
      <c r="CL648" s="683"/>
      <c r="CM648" s="683"/>
      <c r="CN648" s="683"/>
      <c r="CO648" s="683"/>
      <c r="CP648" s="683"/>
      <c r="CQ648" s="683"/>
      <c r="CR648" s="683"/>
      <c r="CS648" s="683"/>
      <c r="CT648" s="683"/>
      <c r="CU648" s="683"/>
      <c r="CV648" s="683"/>
      <c r="CW648" s="683"/>
      <c r="CX648" s="683"/>
      <c r="CY648" s="683"/>
      <c r="CZ648" s="683"/>
      <c r="DA648" s="683"/>
      <c r="DB648" s="683"/>
      <c r="DC648" s="683"/>
      <c r="DD648" s="683"/>
      <c r="DE648" s="683"/>
      <c r="DF648" s="683"/>
      <c r="DG648" s="683"/>
      <c r="DH648" s="684"/>
    </row>
    <row r="649" spans="1:112" s="649" customFormat="1" outlineLevel="1" x14ac:dyDescent="0.3">
      <c r="A649" s="652" t="str">
        <f t="shared" ref="A649:A657" si="232">IF(J649="","",IF(J649=0,"","Imprimir"))</f>
        <v>Imprimir</v>
      </c>
      <c r="B649" s="652"/>
      <c r="C649" s="685"/>
      <c r="D649" s="686" t="s">
        <v>2663</v>
      </c>
      <c r="E649" s="686" t="s">
        <v>506</v>
      </c>
      <c r="F649" s="720"/>
      <c r="G649" s="688">
        <v>700</v>
      </c>
      <c r="H649" s="689">
        <f>Producción!G56*1.1</f>
        <v>79.2</v>
      </c>
      <c r="I649" s="851">
        <f t="shared" ref="I649:I657" si="233">IF(E649&gt;0,$J$5,"")</f>
        <v>1</v>
      </c>
      <c r="J649" s="852">
        <f t="shared" ref="J649:J657" si="234">IFERROR(G649*H649*I649,"")</f>
        <v>55440</v>
      </c>
      <c r="K649" s="667"/>
      <c r="L649" s="858"/>
      <c r="M649" s="859"/>
      <c r="N649" s="859"/>
      <c r="O649" s="859">
        <v>0.25</v>
      </c>
      <c r="P649" s="859"/>
      <c r="Q649" s="859"/>
      <c r="R649" s="859"/>
      <c r="S649" s="859">
        <v>0.25</v>
      </c>
      <c r="T649" s="859"/>
      <c r="U649" s="859"/>
      <c r="V649" s="859"/>
      <c r="W649" s="859"/>
      <c r="X649" s="859"/>
      <c r="Y649" s="859"/>
      <c r="Z649" s="860"/>
      <c r="AA649" s="860"/>
      <c r="AB649" s="860"/>
      <c r="AC649" s="860"/>
      <c r="AD649" s="860"/>
      <c r="AE649" s="860">
        <v>0.25</v>
      </c>
      <c r="AF649" s="860"/>
      <c r="AG649" s="860"/>
      <c r="AH649" s="860"/>
      <c r="AI649" s="860">
        <v>0.25</v>
      </c>
      <c r="AJ649" s="860"/>
      <c r="AK649" s="860"/>
      <c r="AL649" s="860"/>
      <c r="AM649" s="860"/>
      <c r="AN649" s="860"/>
      <c r="AO649" s="860"/>
      <c r="AP649" s="860"/>
      <c r="AQ649" s="860"/>
      <c r="AR649" s="860"/>
      <c r="AS649" s="860"/>
      <c r="AT649" s="860"/>
      <c r="AU649" s="860"/>
      <c r="AV649" s="860"/>
      <c r="AW649" s="860"/>
      <c r="AX649" s="860"/>
      <c r="AY649" s="860"/>
      <c r="AZ649" s="860"/>
      <c r="BA649" s="860"/>
      <c r="BB649" s="860"/>
      <c r="BC649" s="860"/>
      <c r="BD649" s="860"/>
      <c r="BE649" s="860"/>
      <c r="BF649" s="860"/>
      <c r="BG649" s="860"/>
      <c r="BH649" s="668"/>
      <c r="BI649" s="667"/>
      <c r="BJ649" s="690">
        <f t="shared" ref="BJ649:BJ657" si="235">IFERROR(BK649/J649,0)</f>
        <v>0</v>
      </c>
      <c r="BK649" s="691">
        <f t="shared" ref="BK649:BK657" si="236">SUM(BM649:DH649)</f>
        <v>0</v>
      </c>
      <c r="BL649" s="654"/>
      <c r="BM649" s="692">
        <f>SUMIFS(Imput[[Importe Neto]:[Importe Neto]],Imput[[C. Imp.]:[C. Imp.]],$D649,Imput[[PERIODO Imp.]:[PERIODO Imp.]],BM$9)</f>
        <v>0</v>
      </c>
      <c r="BN649" s="693">
        <f>SUMIFS(Imput[[Importe Neto]:[Importe Neto]],Imput[[C. Imp.]:[C. Imp.]],$D649,Imput[[PERIODO Imp.]:[PERIODO Imp.]],BN$9)</f>
        <v>0</v>
      </c>
      <c r="BO649" s="693">
        <f>SUMIFS(Imput[[Importe Neto]:[Importe Neto]],Imput[[C. Imp.]:[C. Imp.]],$D649,Imput[[PERIODO Imp.]:[PERIODO Imp.]],BO$9)</f>
        <v>0</v>
      </c>
      <c r="BP649" s="693">
        <f>SUMIFS(Imput[[Importe Neto]:[Importe Neto]],Imput[[C. Imp.]:[C. Imp.]],$D649,Imput[[PERIODO Imp.]:[PERIODO Imp.]],BP$9)</f>
        <v>0</v>
      </c>
      <c r="BQ649" s="693">
        <f>SUMIFS(Imput[[Importe Neto]:[Importe Neto]],Imput[[C. Imp.]:[C. Imp.]],$D649,Imput[[PERIODO Imp.]:[PERIODO Imp.]],BQ$9)</f>
        <v>0</v>
      </c>
      <c r="BR649" s="693">
        <f>SUMIFS(Imput[[Importe Neto]:[Importe Neto]],Imput[[C. Imp.]:[C. Imp.]],$D649,Imput[[PERIODO Imp.]:[PERIODO Imp.]],BR$9)</f>
        <v>0</v>
      </c>
      <c r="BS649" s="693">
        <f>SUMIFS(Imput[[Importe Neto]:[Importe Neto]],Imput[[C. Imp.]:[C. Imp.]],$D649,Imput[[PERIODO Imp.]:[PERIODO Imp.]],BS$9)</f>
        <v>0</v>
      </c>
      <c r="BT649" s="693">
        <f>SUMIFS(Imput[[Importe Neto]:[Importe Neto]],Imput[[C. Imp.]:[C. Imp.]],$D649,Imput[[PERIODO Imp.]:[PERIODO Imp.]],BT$9)</f>
        <v>0</v>
      </c>
      <c r="BU649" s="693">
        <f>SUMIFS(Imput[[Importe Neto]:[Importe Neto]],Imput[[C. Imp.]:[C. Imp.]],$D649,Imput[[PERIODO Imp.]:[PERIODO Imp.]],BU$9)</f>
        <v>0</v>
      </c>
      <c r="BV649" s="693">
        <f>SUMIFS(Imput[[Importe Neto]:[Importe Neto]],Imput[[C. Imp.]:[C. Imp.]],$D649,Imput[[PERIODO Imp.]:[PERIODO Imp.]],BV$9)</f>
        <v>0</v>
      </c>
      <c r="BW649" s="693">
        <f>SUMIFS(Imput[[Importe Neto]:[Importe Neto]],Imput[[C. Imp.]:[C. Imp.]],$D649,Imput[[PERIODO Imp.]:[PERIODO Imp.]],BW$9)</f>
        <v>0</v>
      </c>
      <c r="BX649" s="693">
        <f>SUMIFS(Imput[[Importe Neto]:[Importe Neto]],Imput[[C. Imp.]:[C. Imp.]],$D649,Imput[[PERIODO Imp.]:[PERIODO Imp.]],BX$9)</f>
        <v>0</v>
      </c>
      <c r="BY649" s="693">
        <f>SUMIFS(Imput[[Importe Neto]:[Importe Neto]],Imput[[C. Imp.]:[C. Imp.]],$D649,Imput[[PERIODO Imp.]:[PERIODO Imp.]],BY$9)</f>
        <v>0</v>
      </c>
      <c r="BZ649" s="693">
        <f>SUMIFS(Imput[[Importe Neto]:[Importe Neto]],Imput[[C. Imp.]:[C. Imp.]],$D649,Imput[[PERIODO Imp.]:[PERIODO Imp.]],BZ$9)</f>
        <v>0</v>
      </c>
      <c r="CA649" s="693">
        <f>SUMIFS(Imput[[Importe Neto]:[Importe Neto]],Imput[[C. Imp.]:[C. Imp.]],$D649,Imput[[PERIODO Imp.]:[PERIODO Imp.]],CA$9)</f>
        <v>0</v>
      </c>
      <c r="CB649" s="693">
        <f>SUMIFS(Imput[[Importe Neto]:[Importe Neto]],Imput[[C. Imp.]:[C. Imp.]],$D649,Imput[[PERIODO Imp.]:[PERIODO Imp.]],CB$9)</f>
        <v>0</v>
      </c>
      <c r="CC649" s="693">
        <f>SUMIFS(Imput[[Importe Neto]:[Importe Neto]],Imput[[C. Imp.]:[C. Imp.]],$D649,Imput[[PERIODO Imp.]:[PERIODO Imp.]],CC$9)</f>
        <v>0</v>
      </c>
      <c r="CD649" s="693">
        <f>SUMIFS(Imput[[Importe Neto]:[Importe Neto]],Imput[[C. Imp.]:[C. Imp.]],$D649,Imput[[PERIODO Imp.]:[PERIODO Imp.]],CD$9)</f>
        <v>0</v>
      </c>
      <c r="CE649" s="693">
        <f>SUMIFS(Imput[[Importe Neto]:[Importe Neto]],Imput[[C. Imp.]:[C. Imp.]],$D649,Imput[[PERIODO Imp.]:[PERIODO Imp.]],CE$9)</f>
        <v>0</v>
      </c>
      <c r="CF649" s="693">
        <f>SUMIFS(Imput[[Importe Neto]:[Importe Neto]],Imput[[C. Imp.]:[C. Imp.]],$D649,Imput[[PERIODO Imp.]:[PERIODO Imp.]],CF$9)</f>
        <v>0</v>
      </c>
      <c r="CG649" s="693">
        <f>SUMIFS(Imput[[Importe Neto]:[Importe Neto]],Imput[[C. Imp.]:[C. Imp.]],$D649,Imput[[PERIODO Imp.]:[PERIODO Imp.]],CG$9)</f>
        <v>0</v>
      </c>
      <c r="CH649" s="693">
        <f>SUMIFS(Imput[[Importe Neto]:[Importe Neto]],Imput[[C. Imp.]:[C. Imp.]],$D649,Imput[[PERIODO Imp.]:[PERIODO Imp.]],CH$9)</f>
        <v>0</v>
      </c>
      <c r="CI649" s="693">
        <f>SUMIFS(Imput[[Importe Neto]:[Importe Neto]],Imput[[C. Imp.]:[C. Imp.]],$D649,Imput[[PERIODO Imp.]:[PERIODO Imp.]],CI$9)</f>
        <v>0</v>
      </c>
      <c r="CJ649" s="693">
        <f>SUMIFS(Imput[[Importe Neto]:[Importe Neto]],Imput[[C. Imp.]:[C. Imp.]],$D649,Imput[[PERIODO Imp.]:[PERIODO Imp.]],CJ$9)</f>
        <v>0</v>
      </c>
      <c r="CK649" s="693">
        <f>SUMIFS(Imput[[Importe Neto]:[Importe Neto]],Imput[[C. Imp.]:[C. Imp.]],$D649,Imput[[PERIODO Imp.]:[PERIODO Imp.]],CK$9)</f>
        <v>0</v>
      </c>
      <c r="CL649" s="693">
        <f>SUMIFS(Imput[[Importe Neto]:[Importe Neto]],Imput[[C. Imp.]:[C. Imp.]],$D649,Imput[[PERIODO Imp.]:[PERIODO Imp.]],CL$9)</f>
        <v>0</v>
      </c>
      <c r="CM649" s="693">
        <f>SUMIFS(Imput[[Importe Neto]:[Importe Neto]],Imput[[C. Imp.]:[C. Imp.]],$D649,Imput[[PERIODO Imp.]:[PERIODO Imp.]],CM$9)</f>
        <v>0</v>
      </c>
      <c r="CN649" s="693">
        <f>SUMIFS(Imput[[Importe Neto]:[Importe Neto]],Imput[[C. Imp.]:[C. Imp.]],$D649,Imput[[PERIODO Imp.]:[PERIODO Imp.]],CN$9)</f>
        <v>0</v>
      </c>
      <c r="CO649" s="693">
        <f>SUMIFS(Imput[[Importe Neto]:[Importe Neto]],Imput[[C. Imp.]:[C. Imp.]],$D649,Imput[[PERIODO Imp.]:[PERIODO Imp.]],CO$9)</f>
        <v>0</v>
      </c>
      <c r="CP649" s="693">
        <f>SUMIFS(Imput[[Importe Neto]:[Importe Neto]],Imput[[C. Imp.]:[C. Imp.]],$D649,Imput[[PERIODO Imp.]:[PERIODO Imp.]],CP$9)</f>
        <v>0</v>
      </c>
      <c r="CQ649" s="693">
        <f>SUMIFS(Imput[[Importe Neto]:[Importe Neto]],Imput[[C. Imp.]:[C. Imp.]],$D649,Imput[[PERIODO Imp.]:[PERIODO Imp.]],CQ$9)</f>
        <v>0</v>
      </c>
      <c r="CR649" s="693">
        <f>SUMIFS(Imput[[Importe Neto]:[Importe Neto]],Imput[[C. Imp.]:[C. Imp.]],$D649,Imput[[PERIODO Imp.]:[PERIODO Imp.]],CR$9)</f>
        <v>0</v>
      </c>
      <c r="CS649" s="693">
        <f>SUMIFS(Imput[[Importe Neto]:[Importe Neto]],Imput[[C. Imp.]:[C. Imp.]],$D649,Imput[[PERIODO Imp.]:[PERIODO Imp.]],CS$9)</f>
        <v>0</v>
      </c>
      <c r="CT649" s="693">
        <f>SUMIFS(Imput[[Importe Neto]:[Importe Neto]],Imput[[C. Imp.]:[C. Imp.]],$D649,Imput[[PERIODO Imp.]:[PERIODO Imp.]],CT$9)</f>
        <v>0</v>
      </c>
      <c r="CU649" s="693">
        <f>SUMIFS(Imput[[Importe Neto]:[Importe Neto]],Imput[[C. Imp.]:[C. Imp.]],$D649,Imput[[PERIODO Imp.]:[PERIODO Imp.]],CU$9)</f>
        <v>0</v>
      </c>
      <c r="CV649" s="693">
        <f>SUMIFS(Imput[[Importe Neto]:[Importe Neto]],Imput[[C. Imp.]:[C. Imp.]],$D649,Imput[[PERIODO Imp.]:[PERIODO Imp.]],CV$9)</f>
        <v>0</v>
      </c>
      <c r="CW649" s="693">
        <f>SUMIFS(Imput[[Importe Neto]:[Importe Neto]],Imput[[C. Imp.]:[C. Imp.]],$D649,Imput[[PERIODO Imp.]:[PERIODO Imp.]],CW$9)</f>
        <v>0</v>
      </c>
      <c r="CX649" s="693">
        <f>SUMIFS(Imput[[Importe Neto]:[Importe Neto]],Imput[[C. Imp.]:[C. Imp.]],$D649,Imput[[PERIODO Imp.]:[PERIODO Imp.]],CX$9)</f>
        <v>0</v>
      </c>
      <c r="CY649" s="693">
        <f>SUMIFS(Imput[[Importe Neto]:[Importe Neto]],Imput[[C. Imp.]:[C. Imp.]],$D649,Imput[[PERIODO Imp.]:[PERIODO Imp.]],CY$9)</f>
        <v>0</v>
      </c>
      <c r="CZ649" s="693">
        <f>SUMIFS(Imput[[Importe Neto]:[Importe Neto]],Imput[[C. Imp.]:[C. Imp.]],$D649,Imput[[PERIODO Imp.]:[PERIODO Imp.]],CZ$9)</f>
        <v>0</v>
      </c>
      <c r="DA649" s="693">
        <f>SUMIFS(Imput[[Importe Neto]:[Importe Neto]],Imput[[C. Imp.]:[C. Imp.]],$D649,Imput[[PERIODO Imp.]:[PERIODO Imp.]],DA$9)</f>
        <v>0</v>
      </c>
      <c r="DB649" s="693">
        <f>SUMIFS(Imput[[Importe Neto]:[Importe Neto]],Imput[[C. Imp.]:[C. Imp.]],$D649,Imput[[PERIODO Imp.]:[PERIODO Imp.]],DB$9)</f>
        <v>0</v>
      </c>
      <c r="DC649" s="693">
        <f>SUMIFS(Imput[[Importe Neto]:[Importe Neto]],Imput[[C. Imp.]:[C. Imp.]],$D649,Imput[[PERIODO Imp.]:[PERIODO Imp.]],DC$9)</f>
        <v>0</v>
      </c>
      <c r="DD649" s="693">
        <f>SUMIFS(Imput[[Importe Neto]:[Importe Neto]],Imput[[C. Imp.]:[C. Imp.]],$D649,Imput[[PERIODO Imp.]:[PERIODO Imp.]],DD$9)</f>
        <v>0</v>
      </c>
      <c r="DE649" s="693">
        <f>SUMIFS(Imput[[Importe Neto]:[Importe Neto]],Imput[[C. Imp.]:[C. Imp.]],$D649,Imput[[PERIODO Imp.]:[PERIODO Imp.]],DE$9)</f>
        <v>0</v>
      </c>
      <c r="DF649" s="693">
        <f>SUMIFS(Imput[[Importe Neto]:[Importe Neto]],Imput[[C. Imp.]:[C. Imp.]],$D649,Imput[[PERIODO Imp.]:[PERIODO Imp.]],DF$9)</f>
        <v>0</v>
      </c>
      <c r="DG649" s="693">
        <f>SUMIFS(Imput[[Importe Neto]:[Importe Neto]],Imput[[C. Imp.]:[C. Imp.]],$D649,Imput[[PERIODO Imp.]:[PERIODO Imp.]],DG$9)</f>
        <v>0</v>
      </c>
      <c r="DH649" s="694">
        <f>SUMIFS(Imput[[Importe Neto]:[Importe Neto]],Imput[[C. Imp.]:[C. Imp.]],$D649,Imput[[PERIODO Imp.]:[PERIODO Imp.]],DH$9)</f>
        <v>0</v>
      </c>
    </row>
    <row r="650" spans="1:112" s="649" customFormat="1" hidden="1" outlineLevel="1" x14ac:dyDescent="0.3">
      <c r="A650" s="652" t="str">
        <f t="shared" si="232"/>
        <v/>
      </c>
      <c r="B650" s="652"/>
      <c r="C650" s="685"/>
      <c r="D650" s="686" t="s">
        <v>2664</v>
      </c>
      <c r="E650" s="686"/>
      <c r="F650" s="720"/>
      <c r="G650" s="688"/>
      <c r="H650" s="689"/>
      <c r="I650" s="851" t="str">
        <f t="shared" si="233"/>
        <v/>
      </c>
      <c r="J650" s="852" t="str">
        <f t="shared" si="234"/>
        <v/>
      </c>
      <c r="K650" s="667"/>
      <c r="L650" s="858"/>
      <c r="M650" s="859"/>
      <c r="N650" s="859"/>
      <c r="O650" s="859"/>
      <c r="P650" s="859"/>
      <c r="Q650" s="859"/>
      <c r="R650" s="859"/>
      <c r="S650" s="859"/>
      <c r="T650" s="859"/>
      <c r="U650" s="859"/>
      <c r="V650" s="859"/>
      <c r="W650" s="859"/>
      <c r="X650" s="859"/>
      <c r="Y650" s="859"/>
      <c r="Z650" s="860"/>
      <c r="AA650" s="860"/>
      <c r="AB650" s="860"/>
      <c r="AC650" s="860"/>
      <c r="AD650" s="860"/>
      <c r="AE650" s="860"/>
      <c r="AF650" s="860"/>
      <c r="AG650" s="860"/>
      <c r="AH650" s="860"/>
      <c r="AI650" s="860"/>
      <c r="AJ650" s="860"/>
      <c r="AK650" s="860"/>
      <c r="AL650" s="860"/>
      <c r="AM650" s="860"/>
      <c r="AN650" s="860"/>
      <c r="AO650" s="860"/>
      <c r="AP650" s="860"/>
      <c r="AQ650" s="860"/>
      <c r="AR650" s="860"/>
      <c r="AS650" s="860"/>
      <c r="AT650" s="860"/>
      <c r="AU650" s="860"/>
      <c r="AV650" s="860"/>
      <c r="AW650" s="860"/>
      <c r="AX650" s="860"/>
      <c r="AY650" s="860"/>
      <c r="AZ650" s="860"/>
      <c r="BA650" s="860"/>
      <c r="BB650" s="860"/>
      <c r="BC650" s="860"/>
      <c r="BD650" s="860"/>
      <c r="BE650" s="860"/>
      <c r="BF650" s="860"/>
      <c r="BG650" s="860"/>
      <c r="BH650" s="668"/>
      <c r="BI650" s="667"/>
      <c r="BJ650" s="690">
        <f t="shared" si="235"/>
        <v>0</v>
      </c>
      <c r="BK650" s="691">
        <f t="shared" si="236"/>
        <v>0</v>
      </c>
      <c r="BL650" s="654"/>
      <c r="BM650" s="692">
        <f>SUMIFS(Imput[[Importe Neto]:[Importe Neto]],Imput[[C. Imp.]:[C. Imp.]],$D650,Imput[[PERIODO Imp.]:[PERIODO Imp.]],BM$9)</f>
        <v>0</v>
      </c>
      <c r="BN650" s="693">
        <f>SUMIFS(Imput[[Importe Neto]:[Importe Neto]],Imput[[C. Imp.]:[C. Imp.]],$D650,Imput[[PERIODO Imp.]:[PERIODO Imp.]],BN$9)</f>
        <v>0</v>
      </c>
      <c r="BO650" s="693">
        <f>SUMIFS(Imput[[Importe Neto]:[Importe Neto]],Imput[[C. Imp.]:[C. Imp.]],$D650,Imput[[PERIODO Imp.]:[PERIODO Imp.]],BO$9)</f>
        <v>0</v>
      </c>
      <c r="BP650" s="693">
        <f>SUMIFS(Imput[[Importe Neto]:[Importe Neto]],Imput[[C. Imp.]:[C. Imp.]],$D650,Imput[[PERIODO Imp.]:[PERIODO Imp.]],BP$9)</f>
        <v>0</v>
      </c>
      <c r="BQ650" s="693">
        <f>SUMIFS(Imput[[Importe Neto]:[Importe Neto]],Imput[[C. Imp.]:[C. Imp.]],$D650,Imput[[PERIODO Imp.]:[PERIODO Imp.]],BQ$9)</f>
        <v>0</v>
      </c>
      <c r="BR650" s="693">
        <f>SUMIFS(Imput[[Importe Neto]:[Importe Neto]],Imput[[C. Imp.]:[C. Imp.]],$D650,Imput[[PERIODO Imp.]:[PERIODO Imp.]],BR$9)</f>
        <v>0</v>
      </c>
      <c r="BS650" s="693">
        <f>SUMIFS(Imput[[Importe Neto]:[Importe Neto]],Imput[[C. Imp.]:[C. Imp.]],$D650,Imput[[PERIODO Imp.]:[PERIODO Imp.]],BS$9)</f>
        <v>0</v>
      </c>
      <c r="BT650" s="693">
        <f>SUMIFS(Imput[[Importe Neto]:[Importe Neto]],Imput[[C. Imp.]:[C. Imp.]],$D650,Imput[[PERIODO Imp.]:[PERIODO Imp.]],BT$9)</f>
        <v>0</v>
      </c>
      <c r="BU650" s="693">
        <f>SUMIFS(Imput[[Importe Neto]:[Importe Neto]],Imput[[C. Imp.]:[C. Imp.]],$D650,Imput[[PERIODO Imp.]:[PERIODO Imp.]],BU$9)</f>
        <v>0</v>
      </c>
      <c r="BV650" s="693">
        <f>SUMIFS(Imput[[Importe Neto]:[Importe Neto]],Imput[[C. Imp.]:[C. Imp.]],$D650,Imput[[PERIODO Imp.]:[PERIODO Imp.]],BV$9)</f>
        <v>0</v>
      </c>
      <c r="BW650" s="693">
        <f>SUMIFS(Imput[[Importe Neto]:[Importe Neto]],Imput[[C. Imp.]:[C. Imp.]],$D650,Imput[[PERIODO Imp.]:[PERIODO Imp.]],BW$9)</f>
        <v>0</v>
      </c>
      <c r="BX650" s="693">
        <f>SUMIFS(Imput[[Importe Neto]:[Importe Neto]],Imput[[C. Imp.]:[C. Imp.]],$D650,Imput[[PERIODO Imp.]:[PERIODO Imp.]],BX$9)</f>
        <v>0</v>
      </c>
      <c r="BY650" s="693">
        <f>SUMIFS(Imput[[Importe Neto]:[Importe Neto]],Imput[[C. Imp.]:[C. Imp.]],$D650,Imput[[PERIODO Imp.]:[PERIODO Imp.]],BY$9)</f>
        <v>0</v>
      </c>
      <c r="BZ650" s="693">
        <f>SUMIFS(Imput[[Importe Neto]:[Importe Neto]],Imput[[C. Imp.]:[C. Imp.]],$D650,Imput[[PERIODO Imp.]:[PERIODO Imp.]],BZ$9)</f>
        <v>0</v>
      </c>
      <c r="CA650" s="693">
        <f>SUMIFS(Imput[[Importe Neto]:[Importe Neto]],Imput[[C. Imp.]:[C. Imp.]],$D650,Imput[[PERIODO Imp.]:[PERIODO Imp.]],CA$9)</f>
        <v>0</v>
      </c>
      <c r="CB650" s="693">
        <f>SUMIFS(Imput[[Importe Neto]:[Importe Neto]],Imput[[C. Imp.]:[C. Imp.]],$D650,Imput[[PERIODO Imp.]:[PERIODO Imp.]],CB$9)</f>
        <v>0</v>
      </c>
      <c r="CC650" s="693">
        <f>SUMIFS(Imput[[Importe Neto]:[Importe Neto]],Imput[[C. Imp.]:[C. Imp.]],$D650,Imput[[PERIODO Imp.]:[PERIODO Imp.]],CC$9)</f>
        <v>0</v>
      </c>
      <c r="CD650" s="693">
        <f>SUMIFS(Imput[[Importe Neto]:[Importe Neto]],Imput[[C. Imp.]:[C. Imp.]],$D650,Imput[[PERIODO Imp.]:[PERIODO Imp.]],CD$9)</f>
        <v>0</v>
      </c>
      <c r="CE650" s="693">
        <f>SUMIFS(Imput[[Importe Neto]:[Importe Neto]],Imput[[C. Imp.]:[C. Imp.]],$D650,Imput[[PERIODO Imp.]:[PERIODO Imp.]],CE$9)</f>
        <v>0</v>
      </c>
      <c r="CF650" s="693">
        <f>SUMIFS(Imput[[Importe Neto]:[Importe Neto]],Imput[[C. Imp.]:[C. Imp.]],$D650,Imput[[PERIODO Imp.]:[PERIODO Imp.]],CF$9)</f>
        <v>0</v>
      </c>
      <c r="CG650" s="693">
        <f>SUMIFS(Imput[[Importe Neto]:[Importe Neto]],Imput[[C. Imp.]:[C. Imp.]],$D650,Imput[[PERIODO Imp.]:[PERIODO Imp.]],CG$9)</f>
        <v>0</v>
      </c>
      <c r="CH650" s="693">
        <f>SUMIFS(Imput[[Importe Neto]:[Importe Neto]],Imput[[C. Imp.]:[C. Imp.]],$D650,Imput[[PERIODO Imp.]:[PERIODO Imp.]],CH$9)</f>
        <v>0</v>
      </c>
      <c r="CI650" s="693">
        <f>SUMIFS(Imput[[Importe Neto]:[Importe Neto]],Imput[[C. Imp.]:[C. Imp.]],$D650,Imput[[PERIODO Imp.]:[PERIODO Imp.]],CI$9)</f>
        <v>0</v>
      </c>
      <c r="CJ650" s="693">
        <f>SUMIFS(Imput[[Importe Neto]:[Importe Neto]],Imput[[C. Imp.]:[C. Imp.]],$D650,Imput[[PERIODO Imp.]:[PERIODO Imp.]],CJ$9)</f>
        <v>0</v>
      </c>
      <c r="CK650" s="693">
        <f>SUMIFS(Imput[[Importe Neto]:[Importe Neto]],Imput[[C. Imp.]:[C. Imp.]],$D650,Imput[[PERIODO Imp.]:[PERIODO Imp.]],CK$9)</f>
        <v>0</v>
      </c>
      <c r="CL650" s="693">
        <f>SUMIFS(Imput[[Importe Neto]:[Importe Neto]],Imput[[C. Imp.]:[C. Imp.]],$D650,Imput[[PERIODO Imp.]:[PERIODO Imp.]],CL$9)</f>
        <v>0</v>
      </c>
      <c r="CM650" s="693">
        <f>SUMIFS(Imput[[Importe Neto]:[Importe Neto]],Imput[[C. Imp.]:[C. Imp.]],$D650,Imput[[PERIODO Imp.]:[PERIODO Imp.]],CM$9)</f>
        <v>0</v>
      </c>
      <c r="CN650" s="693">
        <f>SUMIFS(Imput[[Importe Neto]:[Importe Neto]],Imput[[C. Imp.]:[C. Imp.]],$D650,Imput[[PERIODO Imp.]:[PERIODO Imp.]],CN$9)</f>
        <v>0</v>
      </c>
      <c r="CO650" s="693">
        <f>SUMIFS(Imput[[Importe Neto]:[Importe Neto]],Imput[[C. Imp.]:[C. Imp.]],$D650,Imput[[PERIODO Imp.]:[PERIODO Imp.]],CO$9)</f>
        <v>0</v>
      </c>
      <c r="CP650" s="693">
        <f>SUMIFS(Imput[[Importe Neto]:[Importe Neto]],Imput[[C. Imp.]:[C. Imp.]],$D650,Imput[[PERIODO Imp.]:[PERIODO Imp.]],CP$9)</f>
        <v>0</v>
      </c>
      <c r="CQ650" s="693">
        <f>SUMIFS(Imput[[Importe Neto]:[Importe Neto]],Imput[[C. Imp.]:[C. Imp.]],$D650,Imput[[PERIODO Imp.]:[PERIODO Imp.]],CQ$9)</f>
        <v>0</v>
      </c>
      <c r="CR650" s="693">
        <f>SUMIFS(Imput[[Importe Neto]:[Importe Neto]],Imput[[C. Imp.]:[C. Imp.]],$D650,Imput[[PERIODO Imp.]:[PERIODO Imp.]],CR$9)</f>
        <v>0</v>
      </c>
      <c r="CS650" s="693">
        <f>SUMIFS(Imput[[Importe Neto]:[Importe Neto]],Imput[[C. Imp.]:[C. Imp.]],$D650,Imput[[PERIODO Imp.]:[PERIODO Imp.]],CS$9)</f>
        <v>0</v>
      </c>
      <c r="CT650" s="693">
        <f>SUMIFS(Imput[[Importe Neto]:[Importe Neto]],Imput[[C. Imp.]:[C. Imp.]],$D650,Imput[[PERIODO Imp.]:[PERIODO Imp.]],CT$9)</f>
        <v>0</v>
      </c>
      <c r="CU650" s="693">
        <f>SUMIFS(Imput[[Importe Neto]:[Importe Neto]],Imput[[C. Imp.]:[C. Imp.]],$D650,Imput[[PERIODO Imp.]:[PERIODO Imp.]],CU$9)</f>
        <v>0</v>
      </c>
      <c r="CV650" s="693">
        <f>SUMIFS(Imput[[Importe Neto]:[Importe Neto]],Imput[[C. Imp.]:[C. Imp.]],$D650,Imput[[PERIODO Imp.]:[PERIODO Imp.]],CV$9)</f>
        <v>0</v>
      </c>
      <c r="CW650" s="693">
        <f>SUMIFS(Imput[[Importe Neto]:[Importe Neto]],Imput[[C. Imp.]:[C. Imp.]],$D650,Imput[[PERIODO Imp.]:[PERIODO Imp.]],CW$9)</f>
        <v>0</v>
      </c>
      <c r="CX650" s="693">
        <f>SUMIFS(Imput[[Importe Neto]:[Importe Neto]],Imput[[C. Imp.]:[C. Imp.]],$D650,Imput[[PERIODO Imp.]:[PERIODO Imp.]],CX$9)</f>
        <v>0</v>
      </c>
      <c r="CY650" s="693">
        <f>SUMIFS(Imput[[Importe Neto]:[Importe Neto]],Imput[[C. Imp.]:[C. Imp.]],$D650,Imput[[PERIODO Imp.]:[PERIODO Imp.]],CY$9)</f>
        <v>0</v>
      </c>
      <c r="CZ650" s="693">
        <f>SUMIFS(Imput[[Importe Neto]:[Importe Neto]],Imput[[C. Imp.]:[C. Imp.]],$D650,Imput[[PERIODO Imp.]:[PERIODO Imp.]],CZ$9)</f>
        <v>0</v>
      </c>
      <c r="DA650" s="693">
        <f>SUMIFS(Imput[[Importe Neto]:[Importe Neto]],Imput[[C. Imp.]:[C. Imp.]],$D650,Imput[[PERIODO Imp.]:[PERIODO Imp.]],DA$9)</f>
        <v>0</v>
      </c>
      <c r="DB650" s="693">
        <f>SUMIFS(Imput[[Importe Neto]:[Importe Neto]],Imput[[C. Imp.]:[C. Imp.]],$D650,Imput[[PERIODO Imp.]:[PERIODO Imp.]],DB$9)</f>
        <v>0</v>
      </c>
      <c r="DC650" s="693">
        <f>SUMIFS(Imput[[Importe Neto]:[Importe Neto]],Imput[[C. Imp.]:[C. Imp.]],$D650,Imput[[PERIODO Imp.]:[PERIODO Imp.]],DC$9)</f>
        <v>0</v>
      </c>
      <c r="DD650" s="693">
        <f>SUMIFS(Imput[[Importe Neto]:[Importe Neto]],Imput[[C. Imp.]:[C. Imp.]],$D650,Imput[[PERIODO Imp.]:[PERIODO Imp.]],DD$9)</f>
        <v>0</v>
      </c>
      <c r="DE650" s="693">
        <f>SUMIFS(Imput[[Importe Neto]:[Importe Neto]],Imput[[C. Imp.]:[C. Imp.]],$D650,Imput[[PERIODO Imp.]:[PERIODO Imp.]],DE$9)</f>
        <v>0</v>
      </c>
      <c r="DF650" s="693">
        <f>SUMIFS(Imput[[Importe Neto]:[Importe Neto]],Imput[[C. Imp.]:[C. Imp.]],$D650,Imput[[PERIODO Imp.]:[PERIODO Imp.]],DF$9)</f>
        <v>0</v>
      </c>
      <c r="DG650" s="693">
        <f>SUMIFS(Imput[[Importe Neto]:[Importe Neto]],Imput[[C. Imp.]:[C. Imp.]],$D650,Imput[[PERIODO Imp.]:[PERIODO Imp.]],DG$9)</f>
        <v>0</v>
      </c>
      <c r="DH650" s="694">
        <f>SUMIFS(Imput[[Importe Neto]:[Importe Neto]],Imput[[C. Imp.]:[C. Imp.]],$D650,Imput[[PERIODO Imp.]:[PERIODO Imp.]],DH$9)</f>
        <v>0</v>
      </c>
    </row>
    <row r="651" spans="1:112" s="649" customFormat="1" hidden="1" outlineLevel="1" x14ac:dyDescent="0.3">
      <c r="A651" s="652" t="str">
        <f t="shared" si="232"/>
        <v/>
      </c>
      <c r="B651" s="652"/>
      <c r="C651" s="685"/>
      <c r="D651" s="686" t="s">
        <v>2665</v>
      </c>
      <c r="E651" s="686"/>
      <c r="F651" s="720"/>
      <c r="G651" s="688"/>
      <c r="H651" s="696"/>
      <c r="I651" s="851" t="str">
        <f t="shared" si="233"/>
        <v/>
      </c>
      <c r="J651" s="852" t="str">
        <f t="shared" si="234"/>
        <v/>
      </c>
      <c r="K651" s="667"/>
      <c r="L651" s="858"/>
      <c r="M651" s="859"/>
      <c r="N651" s="859"/>
      <c r="O651" s="859"/>
      <c r="P651" s="859"/>
      <c r="Q651" s="859"/>
      <c r="R651" s="859"/>
      <c r="S651" s="859"/>
      <c r="T651" s="859"/>
      <c r="U651" s="859"/>
      <c r="V651" s="859"/>
      <c r="W651" s="859"/>
      <c r="X651" s="859"/>
      <c r="Y651" s="859"/>
      <c r="Z651" s="860"/>
      <c r="AA651" s="860"/>
      <c r="AB651" s="860"/>
      <c r="AC651" s="860"/>
      <c r="AD651" s="860"/>
      <c r="AE651" s="860"/>
      <c r="AF651" s="860"/>
      <c r="AG651" s="860"/>
      <c r="AH651" s="860"/>
      <c r="AI651" s="860"/>
      <c r="AJ651" s="860"/>
      <c r="AK651" s="860"/>
      <c r="AL651" s="860"/>
      <c r="AM651" s="860"/>
      <c r="AN651" s="860"/>
      <c r="AO651" s="860"/>
      <c r="AP651" s="860"/>
      <c r="AQ651" s="860"/>
      <c r="AR651" s="860"/>
      <c r="AS651" s="860"/>
      <c r="AT651" s="860"/>
      <c r="AU651" s="860"/>
      <c r="AV651" s="860"/>
      <c r="AW651" s="860"/>
      <c r="AX651" s="860"/>
      <c r="AY651" s="860"/>
      <c r="AZ651" s="860"/>
      <c r="BA651" s="860"/>
      <c r="BB651" s="860"/>
      <c r="BC651" s="860"/>
      <c r="BD651" s="860"/>
      <c r="BE651" s="860"/>
      <c r="BF651" s="860"/>
      <c r="BG651" s="860"/>
      <c r="BH651" s="668"/>
      <c r="BI651" s="654"/>
      <c r="BJ651" s="690">
        <f t="shared" si="235"/>
        <v>0</v>
      </c>
      <c r="BK651" s="691">
        <f t="shared" si="236"/>
        <v>0</v>
      </c>
      <c r="BL651" s="654"/>
      <c r="BM651" s="692">
        <f>SUMIFS(Imput[[Importe Neto]:[Importe Neto]],Imput[[C. Imp.]:[C. Imp.]],$D651,Imput[[PERIODO Imp.]:[PERIODO Imp.]],BM$9)</f>
        <v>0</v>
      </c>
      <c r="BN651" s="693">
        <f>SUMIFS(Imput[[Importe Neto]:[Importe Neto]],Imput[[C. Imp.]:[C. Imp.]],$D651,Imput[[PERIODO Imp.]:[PERIODO Imp.]],BN$9)</f>
        <v>0</v>
      </c>
      <c r="BO651" s="693">
        <f>SUMIFS(Imput[[Importe Neto]:[Importe Neto]],Imput[[C. Imp.]:[C. Imp.]],$D651,Imput[[PERIODO Imp.]:[PERIODO Imp.]],BO$9)</f>
        <v>0</v>
      </c>
      <c r="BP651" s="693">
        <f>SUMIFS(Imput[[Importe Neto]:[Importe Neto]],Imput[[C. Imp.]:[C. Imp.]],$D651,Imput[[PERIODO Imp.]:[PERIODO Imp.]],BP$9)</f>
        <v>0</v>
      </c>
      <c r="BQ651" s="693">
        <f>SUMIFS(Imput[[Importe Neto]:[Importe Neto]],Imput[[C. Imp.]:[C. Imp.]],$D651,Imput[[PERIODO Imp.]:[PERIODO Imp.]],BQ$9)</f>
        <v>0</v>
      </c>
      <c r="BR651" s="693">
        <f>SUMIFS(Imput[[Importe Neto]:[Importe Neto]],Imput[[C. Imp.]:[C. Imp.]],$D651,Imput[[PERIODO Imp.]:[PERIODO Imp.]],BR$9)</f>
        <v>0</v>
      </c>
      <c r="BS651" s="693">
        <f>SUMIFS(Imput[[Importe Neto]:[Importe Neto]],Imput[[C. Imp.]:[C. Imp.]],$D651,Imput[[PERIODO Imp.]:[PERIODO Imp.]],BS$9)</f>
        <v>0</v>
      </c>
      <c r="BT651" s="693">
        <f>SUMIFS(Imput[[Importe Neto]:[Importe Neto]],Imput[[C. Imp.]:[C. Imp.]],$D651,Imput[[PERIODO Imp.]:[PERIODO Imp.]],BT$9)</f>
        <v>0</v>
      </c>
      <c r="BU651" s="693">
        <f>SUMIFS(Imput[[Importe Neto]:[Importe Neto]],Imput[[C. Imp.]:[C. Imp.]],$D651,Imput[[PERIODO Imp.]:[PERIODO Imp.]],BU$9)</f>
        <v>0</v>
      </c>
      <c r="BV651" s="693">
        <f>SUMIFS(Imput[[Importe Neto]:[Importe Neto]],Imput[[C. Imp.]:[C. Imp.]],$D651,Imput[[PERIODO Imp.]:[PERIODO Imp.]],BV$9)</f>
        <v>0</v>
      </c>
      <c r="BW651" s="693">
        <f>SUMIFS(Imput[[Importe Neto]:[Importe Neto]],Imput[[C. Imp.]:[C. Imp.]],$D651,Imput[[PERIODO Imp.]:[PERIODO Imp.]],BW$9)</f>
        <v>0</v>
      </c>
      <c r="BX651" s="693">
        <f>SUMIFS(Imput[[Importe Neto]:[Importe Neto]],Imput[[C. Imp.]:[C. Imp.]],$D651,Imput[[PERIODO Imp.]:[PERIODO Imp.]],BX$9)</f>
        <v>0</v>
      </c>
      <c r="BY651" s="693">
        <f>SUMIFS(Imput[[Importe Neto]:[Importe Neto]],Imput[[C. Imp.]:[C. Imp.]],$D651,Imput[[PERIODO Imp.]:[PERIODO Imp.]],BY$9)</f>
        <v>0</v>
      </c>
      <c r="BZ651" s="693">
        <f>SUMIFS(Imput[[Importe Neto]:[Importe Neto]],Imput[[C. Imp.]:[C. Imp.]],$D651,Imput[[PERIODO Imp.]:[PERIODO Imp.]],BZ$9)</f>
        <v>0</v>
      </c>
      <c r="CA651" s="693">
        <f>SUMIFS(Imput[[Importe Neto]:[Importe Neto]],Imput[[C. Imp.]:[C. Imp.]],$D651,Imput[[PERIODO Imp.]:[PERIODO Imp.]],CA$9)</f>
        <v>0</v>
      </c>
      <c r="CB651" s="693">
        <f>SUMIFS(Imput[[Importe Neto]:[Importe Neto]],Imput[[C. Imp.]:[C. Imp.]],$D651,Imput[[PERIODO Imp.]:[PERIODO Imp.]],CB$9)</f>
        <v>0</v>
      </c>
      <c r="CC651" s="693">
        <f>SUMIFS(Imput[[Importe Neto]:[Importe Neto]],Imput[[C. Imp.]:[C. Imp.]],$D651,Imput[[PERIODO Imp.]:[PERIODO Imp.]],CC$9)</f>
        <v>0</v>
      </c>
      <c r="CD651" s="693">
        <f>SUMIFS(Imput[[Importe Neto]:[Importe Neto]],Imput[[C. Imp.]:[C. Imp.]],$D651,Imput[[PERIODO Imp.]:[PERIODO Imp.]],CD$9)</f>
        <v>0</v>
      </c>
      <c r="CE651" s="693">
        <f>SUMIFS(Imput[[Importe Neto]:[Importe Neto]],Imput[[C. Imp.]:[C. Imp.]],$D651,Imput[[PERIODO Imp.]:[PERIODO Imp.]],CE$9)</f>
        <v>0</v>
      </c>
      <c r="CF651" s="693">
        <f>SUMIFS(Imput[[Importe Neto]:[Importe Neto]],Imput[[C. Imp.]:[C. Imp.]],$D651,Imput[[PERIODO Imp.]:[PERIODO Imp.]],CF$9)</f>
        <v>0</v>
      </c>
      <c r="CG651" s="693">
        <f>SUMIFS(Imput[[Importe Neto]:[Importe Neto]],Imput[[C. Imp.]:[C. Imp.]],$D651,Imput[[PERIODO Imp.]:[PERIODO Imp.]],CG$9)</f>
        <v>0</v>
      </c>
      <c r="CH651" s="693">
        <f>SUMIFS(Imput[[Importe Neto]:[Importe Neto]],Imput[[C. Imp.]:[C. Imp.]],$D651,Imput[[PERIODO Imp.]:[PERIODO Imp.]],CH$9)</f>
        <v>0</v>
      </c>
      <c r="CI651" s="693">
        <f>SUMIFS(Imput[[Importe Neto]:[Importe Neto]],Imput[[C. Imp.]:[C. Imp.]],$D651,Imput[[PERIODO Imp.]:[PERIODO Imp.]],CI$9)</f>
        <v>0</v>
      </c>
      <c r="CJ651" s="693">
        <f>SUMIFS(Imput[[Importe Neto]:[Importe Neto]],Imput[[C. Imp.]:[C. Imp.]],$D651,Imput[[PERIODO Imp.]:[PERIODO Imp.]],CJ$9)</f>
        <v>0</v>
      </c>
      <c r="CK651" s="693">
        <f>SUMIFS(Imput[[Importe Neto]:[Importe Neto]],Imput[[C. Imp.]:[C. Imp.]],$D651,Imput[[PERIODO Imp.]:[PERIODO Imp.]],CK$9)</f>
        <v>0</v>
      </c>
      <c r="CL651" s="693">
        <f>SUMIFS(Imput[[Importe Neto]:[Importe Neto]],Imput[[C. Imp.]:[C. Imp.]],$D651,Imput[[PERIODO Imp.]:[PERIODO Imp.]],CL$9)</f>
        <v>0</v>
      </c>
      <c r="CM651" s="693">
        <f>SUMIFS(Imput[[Importe Neto]:[Importe Neto]],Imput[[C. Imp.]:[C. Imp.]],$D651,Imput[[PERIODO Imp.]:[PERIODO Imp.]],CM$9)</f>
        <v>0</v>
      </c>
      <c r="CN651" s="693">
        <f>SUMIFS(Imput[[Importe Neto]:[Importe Neto]],Imput[[C. Imp.]:[C. Imp.]],$D651,Imput[[PERIODO Imp.]:[PERIODO Imp.]],CN$9)</f>
        <v>0</v>
      </c>
      <c r="CO651" s="693">
        <f>SUMIFS(Imput[[Importe Neto]:[Importe Neto]],Imput[[C. Imp.]:[C. Imp.]],$D651,Imput[[PERIODO Imp.]:[PERIODO Imp.]],CO$9)</f>
        <v>0</v>
      </c>
      <c r="CP651" s="693">
        <f>SUMIFS(Imput[[Importe Neto]:[Importe Neto]],Imput[[C. Imp.]:[C. Imp.]],$D651,Imput[[PERIODO Imp.]:[PERIODO Imp.]],CP$9)</f>
        <v>0</v>
      </c>
      <c r="CQ651" s="693">
        <f>SUMIFS(Imput[[Importe Neto]:[Importe Neto]],Imput[[C. Imp.]:[C. Imp.]],$D651,Imput[[PERIODO Imp.]:[PERIODO Imp.]],CQ$9)</f>
        <v>0</v>
      </c>
      <c r="CR651" s="693">
        <f>SUMIFS(Imput[[Importe Neto]:[Importe Neto]],Imput[[C. Imp.]:[C. Imp.]],$D651,Imput[[PERIODO Imp.]:[PERIODO Imp.]],CR$9)</f>
        <v>0</v>
      </c>
      <c r="CS651" s="693">
        <f>SUMIFS(Imput[[Importe Neto]:[Importe Neto]],Imput[[C. Imp.]:[C. Imp.]],$D651,Imput[[PERIODO Imp.]:[PERIODO Imp.]],CS$9)</f>
        <v>0</v>
      </c>
      <c r="CT651" s="693">
        <f>SUMIFS(Imput[[Importe Neto]:[Importe Neto]],Imput[[C. Imp.]:[C. Imp.]],$D651,Imput[[PERIODO Imp.]:[PERIODO Imp.]],CT$9)</f>
        <v>0</v>
      </c>
      <c r="CU651" s="693">
        <f>SUMIFS(Imput[[Importe Neto]:[Importe Neto]],Imput[[C. Imp.]:[C. Imp.]],$D651,Imput[[PERIODO Imp.]:[PERIODO Imp.]],CU$9)</f>
        <v>0</v>
      </c>
      <c r="CV651" s="693">
        <f>SUMIFS(Imput[[Importe Neto]:[Importe Neto]],Imput[[C. Imp.]:[C. Imp.]],$D651,Imput[[PERIODO Imp.]:[PERIODO Imp.]],CV$9)</f>
        <v>0</v>
      </c>
      <c r="CW651" s="693">
        <f>SUMIFS(Imput[[Importe Neto]:[Importe Neto]],Imput[[C. Imp.]:[C. Imp.]],$D651,Imput[[PERIODO Imp.]:[PERIODO Imp.]],CW$9)</f>
        <v>0</v>
      </c>
      <c r="CX651" s="693">
        <f>SUMIFS(Imput[[Importe Neto]:[Importe Neto]],Imput[[C. Imp.]:[C. Imp.]],$D651,Imput[[PERIODO Imp.]:[PERIODO Imp.]],CX$9)</f>
        <v>0</v>
      </c>
      <c r="CY651" s="693">
        <f>SUMIFS(Imput[[Importe Neto]:[Importe Neto]],Imput[[C. Imp.]:[C. Imp.]],$D651,Imput[[PERIODO Imp.]:[PERIODO Imp.]],CY$9)</f>
        <v>0</v>
      </c>
      <c r="CZ651" s="693">
        <f>SUMIFS(Imput[[Importe Neto]:[Importe Neto]],Imput[[C. Imp.]:[C. Imp.]],$D651,Imput[[PERIODO Imp.]:[PERIODO Imp.]],CZ$9)</f>
        <v>0</v>
      </c>
      <c r="DA651" s="693">
        <f>SUMIFS(Imput[[Importe Neto]:[Importe Neto]],Imput[[C. Imp.]:[C. Imp.]],$D651,Imput[[PERIODO Imp.]:[PERIODO Imp.]],DA$9)</f>
        <v>0</v>
      </c>
      <c r="DB651" s="693">
        <f>SUMIFS(Imput[[Importe Neto]:[Importe Neto]],Imput[[C. Imp.]:[C. Imp.]],$D651,Imput[[PERIODO Imp.]:[PERIODO Imp.]],DB$9)</f>
        <v>0</v>
      </c>
      <c r="DC651" s="693">
        <f>SUMIFS(Imput[[Importe Neto]:[Importe Neto]],Imput[[C. Imp.]:[C. Imp.]],$D651,Imput[[PERIODO Imp.]:[PERIODO Imp.]],DC$9)</f>
        <v>0</v>
      </c>
      <c r="DD651" s="693">
        <f>SUMIFS(Imput[[Importe Neto]:[Importe Neto]],Imput[[C. Imp.]:[C. Imp.]],$D651,Imput[[PERIODO Imp.]:[PERIODO Imp.]],DD$9)</f>
        <v>0</v>
      </c>
      <c r="DE651" s="693">
        <f>SUMIFS(Imput[[Importe Neto]:[Importe Neto]],Imput[[C. Imp.]:[C. Imp.]],$D651,Imput[[PERIODO Imp.]:[PERIODO Imp.]],DE$9)</f>
        <v>0</v>
      </c>
      <c r="DF651" s="693">
        <f>SUMIFS(Imput[[Importe Neto]:[Importe Neto]],Imput[[C. Imp.]:[C. Imp.]],$D651,Imput[[PERIODO Imp.]:[PERIODO Imp.]],DF$9)</f>
        <v>0</v>
      </c>
      <c r="DG651" s="693">
        <f>SUMIFS(Imput[[Importe Neto]:[Importe Neto]],Imput[[C. Imp.]:[C. Imp.]],$D651,Imput[[PERIODO Imp.]:[PERIODO Imp.]],DG$9)</f>
        <v>0</v>
      </c>
      <c r="DH651" s="694">
        <f>SUMIFS(Imput[[Importe Neto]:[Importe Neto]],Imput[[C. Imp.]:[C. Imp.]],$D651,Imput[[PERIODO Imp.]:[PERIODO Imp.]],DH$9)</f>
        <v>0</v>
      </c>
    </row>
    <row r="652" spans="1:112" s="649" customFormat="1" hidden="1" outlineLevel="1" x14ac:dyDescent="0.3">
      <c r="A652" s="652" t="str">
        <f t="shared" si="232"/>
        <v/>
      </c>
      <c r="B652" s="652"/>
      <c r="C652" s="685"/>
      <c r="D652" s="686" t="s">
        <v>2666</v>
      </c>
      <c r="E652" s="686"/>
      <c r="F652" s="720"/>
      <c r="G652" s="688"/>
      <c r="H652" s="696"/>
      <c r="I652" s="851" t="str">
        <f t="shared" si="233"/>
        <v/>
      </c>
      <c r="J652" s="517" t="str">
        <f t="shared" si="234"/>
        <v/>
      </c>
      <c r="K652" s="667"/>
      <c r="L652" s="858"/>
      <c r="M652" s="859"/>
      <c r="N652" s="859"/>
      <c r="O652" s="859"/>
      <c r="P652" s="859"/>
      <c r="Q652" s="859"/>
      <c r="R652" s="859"/>
      <c r="S652" s="859"/>
      <c r="T652" s="859"/>
      <c r="U652" s="859"/>
      <c r="V652" s="859"/>
      <c r="W652" s="859"/>
      <c r="X652" s="859"/>
      <c r="Y652" s="859"/>
      <c r="Z652" s="860"/>
      <c r="AA652" s="860"/>
      <c r="AB652" s="860"/>
      <c r="AC652" s="860"/>
      <c r="AD652" s="860"/>
      <c r="AE652" s="860"/>
      <c r="AF652" s="860"/>
      <c r="AG652" s="860"/>
      <c r="AH652" s="860"/>
      <c r="AI652" s="860"/>
      <c r="AJ652" s="860"/>
      <c r="AK652" s="860"/>
      <c r="AL652" s="860"/>
      <c r="AM652" s="860"/>
      <c r="AN652" s="860"/>
      <c r="AO652" s="860"/>
      <c r="AP652" s="860"/>
      <c r="AQ652" s="860"/>
      <c r="AR652" s="860"/>
      <c r="AS652" s="860"/>
      <c r="AT652" s="860"/>
      <c r="AU652" s="860"/>
      <c r="AV652" s="860"/>
      <c r="AW652" s="860"/>
      <c r="AX652" s="860"/>
      <c r="AY652" s="860"/>
      <c r="AZ652" s="860"/>
      <c r="BA652" s="860"/>
      <c r="BB652" s="860"/>
      <c r="BC652" s="860"/>
      <c r="BD652" s="860"/>
      <c r="BE652" s="860"/>
      <c r="BF652" s="860"/>
      <c r="BG652" s="860"/>
      <c r="BH652" s="668"/>
      <c r="BI652" s="654"/>
      <c r="BJ652" s="690">
        <f t="shared" si="235"/>
        <v>0</v>
      </c>
      <c r="BK652" s="691">
        <f t="shared" si="236"/>
        <v>0</v>
      </c>
      <c r="BL652" s="654"/>
      <c r="BM652" s="692">
        <f>SUMIFS(Imput[[Importe Neto]:[Importe Neto]],Imput[[C. Imp.]:[C. Imp.]],$D652,Imput[[PERIODO Imp.]:[PERIODO Imp.]],BM$9)</f>
        <v>0</v>
      </c>
      <c r="BN652" s="693">
        <f>SUMIFS(Imput[[Importe Neto]:[Importe Neto]],Imput[[C. Imp.]:[C. Imp.]],$D652,Imput[[PERIODO Imp.]:[PERIODO Imp.]],BN$9)</f>
        <v>0</v>
      </c>
      <c r="BO652" s="693">
        <f>SUMIFS(Imput[[Importe Neto]:[Importe Neto]],Imput[[C. Imp.]:[C. Imp.]],$D652,Imput[[PERIODO Imp.]:[PERIODO Imp.]],BO$9)</f>
        <v>0</v>
      </c>
      <c r="BP652" s="693">
        <f>SUMIFS(Imput[[Importe Neto]:[Importe Neto]],Imput[[C. Imp.]:[C. Imp.]],$D652,Imput[[PERIODO Imp.]:[PERIODO Imp.]],BP$9)</f>
        <v>0</v>
      </c>
      <c r="BQ652" s="693">
        <f>SUMIFS(Imput[[Importe Neto]:[Importe Neto]],Imput[[C. Imp.]:[C. Imp.]],$D652,Imput[[PERIODO Imp.]:[PERIODO Imp.]],BQ$9)</f>
        <v>0</v>
      </c>
      <c r="BR652" s="693">
        <f>SUMIFS(Imput[[Importe Neto]:[Importe Neto]],Imput[[C. Imp.]:[C. Imp.]],$D652,Imput[[PERIODO Imp.]:[PERIODO Imp.]],BR$9)</f>
        <v>0</v>
      </c>
      <c r="BS652" s="693">
        <f>SUMIFS(Imput[[Importe Neto]:[Importe Neto]],Imput[[C. Imp.]:[C. Imp.]],$D652,Imput[[PERIODO Imp.]:[PERIODO Imp.]],BS$9)</f>
        <v>0</v>
      </c>
      <c r="BT652" s="693">
        <f>SUMIFS(Imput[[Importe Neto]:[Importe Neto]],Imput[[C. Imp.]:[C. Imp.]],$D652,Imput[[PERIODO Imp.]:[PERIODO Imp.]],BT$9)</f>
        <v>0</v>
      </c>
      <c r="BU652" s="693">
        <f>SUMIFS(Imput[[Importe Neto]:[Importe Neto]],Imput[[C. Imp.]:[C. Imp.]],$D652,Imput[[PERIODO Imp.]:[PERIODO Imp.]],BU$9)</f>
        <v>0</v>
      </c>
      <c r="BV652" s="693">
        <f>SUMIFS(Imput[[Importe Neto]:[Importe Neto]],Imput[[C. Imp.]:[C. Imp.]],$D652,Imput[[PERIODO Imp.]:[PERIODO Imp.]],BV$9)</f>
        <v>0</v>
      </c>
      <c r="BW652" s="693">
        <f>SUMIFS(Imput[[Importe Neto]:[Importe Neto]],Imput[[C. Imp.]:[C. Imp.]],$D652,Imput[[PERIODO Imp.]:[PERIODO Imp.]],BW$9)</f>
        <v>0</v>
      </c>
      <c r="BX652" s="693">
        <f>SUMIFS(Imput[[Importe Neto]:[Importe Neto]],Imput[[C. Imp.]:[C. Imp.]],$D652,Imput[[PERIODO Imp.]:[PERIODO Imp.]],BX$9)</f>
        <v>0</v>
      </c>
      <c r="BY652" s="693">
        <f>SUMIFS(Imput[[Importe Neto]:[Importe Neto]],Imput[[C. Imp.]:[C. Imp.]],$D652,Imput[[PERIODO Imp.]:[PERIODO Imp.]],BY$9)</f>
        <v>0</v>
      </c>
      <c r="BZ652" s="693">
        <f>SUMIFS(Imput[[Importe Neto]:[Importe Neto]],Imput[[C. Imp.]:[C. Imp.]],$D652,Imput[[PERIODO Imp.]:[PERIODO Imp.]],BZ$9)</f>
        <v>0</v>
      </c>
      <c r="CA652" s="693">
        <f>SUMIFS(Imput[[Importe Neto]:[Importe Neto]],Imput[[C. Imp.]:[C. Imp.]],$D652,Imput[[PERIODO Imp.]:[PERIODO Imp.]],CA$9)</f>
        <v>0</v>
      </c>
      <c r="CB652" s="693">
        <f>SUMIFS(Imput[[Importe Neto]:[Importe Neto]],Imput[[C. Imp.]:[C. Imp.]],$D652,Imput[[PERIODO Imp.]:[PERIODO Imp.]],CB$9)</f>
        <v>0</v>
      </c>
      <c r="CC652" s="693">
        <f>SUMIFS(Imput[[Importe Neto]:[Importe Neto]],Imput[[C. Imp.]:[C. Imp.]],$D652,Imput[[PERIODO Imp.]:[PERIODO Imp.]],CC$9)</f>
        <v>0</v>
      </c>
      <c r="CD652" s="693">
        <f>SUMIFS(Imput[[Importe Neto]:[Importe Neto]],Imput[[C. Imp.]:[C. Imp.]],$D652,Imput[[PERIODO Imp.]:[PERIODO Imp.]],CD$9)</f>
        <v>0</v>
      </c>
      <c r="CE652" s="693">
        <f>SUMIFS(Imput[[Importe Neto]:[Importe Neto]],Imput[[C. Imp.]:[C. Imp.]],$D652,Imput[[PERIODO Imp.]:[PERIODO Imp.]],CE$9)</f>
        <v>0</v>
      </c>
      <c r="CF652" s="693">
        <f>SUMIFS(Imput[[Importe Neto]:[Importe Neto]],Imput[[C. Imp.]:[C. Imp.]],$D652,Imput[[PERIODO Imp.]:[PERIODO Imp.]],CF$9)</f>
        <v>0</v>
      </c>
      <c r="CG652" s="693">
        <f>SUMIFS(Imput[[Importe Neto]:[Importe Neto]],Imput[[C. Imp.]:[C. Imp.]],$D652,Imput[[PERIODO Imp.]:[PERIODO Imp.]],CG$9)</f>
        <v>0</v>
      </c>
      <c r="CH652" s="693">
        <f>SUMIFS(Imput[[Importe Neto]:[Importe Neto]],Imput[[C. Imp.]:[C. Imp.]],$D652,Imput[[PERIODO Imp.]:[PERIODO Imp.]],CH$9)</f>
        <v>0</v>
      </c>
      <c r="CI652" s="693">
        <f>SUMIFS(Imput[[Importe Neto]:[Importe Neto]],Imput[[C. Imp.]:[C. Imp.]],$D652,Imput[[PERIODO Imp.]:[PERIODO Imp.]],CI$9)</f>
        <v>0</v>
      </c>
      <c r="CJ652" s="693">
        <f>SUMIFS(Imput[[Importe Neto]:[Importe Neto]],Imput[[C. Imp.]:[C. Imp.]],$D652,Imput[[PERIODO Imp.]:[PERIODO Imp.]],CJ$9)</f>
        <v>0</v>
      </c>
      <c r="CK652" s="693">
        <f>SUMIFS(Imput[[Importe Neto]:[Importe Neto]],Imput[[C. Imp.]:[C. Imp.]],$D652,Imput[[PERIODO Imp.]:[PERIODO Imp.]],CK$9)</f>
        <v>0</v>
      </c>
      <c r="CL652" s="693">
        <f>SUMIFS(Imput[[Importe Neto]:[Importe Neto]],Imput[[C. Imp.]:[C. Imp.]],$D652,Imput[[PERIODO Imp.]:[PERIODO Imp.]],CL$9)</f>
        <v>0</v>
      </c>
      <c r="CM652" s="693">
        <f>SUMIFS(Imput[[Importe Neto]:[Importe Neto]],Imput[[C. Imp.]:[C. Imp.]],$D652,Imput[[PERIODO Imp.]:[PERIODO Imp.]],CM$9)</f>
        <v>0</v>
      </c>
      <c r="CN652" s="693">
        <f>SUMIFS(Imput[[Importe Neto]:[Importe Neto]],Imput[[C. Imp.]:[C. Imp.]],$D652,Imput[[PERIODO Imp.]:[PERIODO Imp.]],CN$9)</f>
        <v>0</v>
      </c>
      <c r="CO652" s="693">
        <f>SUMIFS(Imput[[Importe Neto]:[Importe Neto]],Imput[[C. Imp.]:[C. Imp.]],$D652,Imput[[PERIODO Imp.]:[PERIODO Imp.]],CO$9)</f>
        <v>0</v>
      </c>
      <c r="CP652" s="693">
        <f>SUMIFS(Imput[[Importe Neto]:[Importe Neto]],Imput[[C. Imp.]:[C. Imp.]],$D652,Imput[[PERIODO Imp.]:[PERIODO Imp.]],CP$9)</f>
        <v>0</v>
      </c>
      <c r="CQ652" s="693">
        <f>SUMIFS(Imput[[Importe Neto]:[Importe Neto]],Imput[[C. Imp.]:[C. Imp.]],$D652,Imput[[PERIODO Imp.]:[PERIODO Imp.]],CQ$9)</f>
        <v>0</v>
      </c>
      <c r="CR652" s="693">
        <f>SUMIFS(Imput[[Importe Neto]:[Importe Neto]],Imput[[C. Imp.]:[C. Imp.]],$D652,Imput[[PERIODO Imp.]:[PERIODO Imp.]],CR$9)</f>
        <v>0</v>
      </c>
      <c r="CS652" s="693">
        <f>SUMIFS(Imput[[Importe Neto]:[Importe Neto]],Imput[[C. Imp.]:[C. Imp.]],$D652,Imput[[PERIODO Imp.]:[PERIODO Imp.]],CS$9)</f>
        <v>0</v>
      </c>
      <c r="CT652" s="693">
        <f>SUMIFS(Imput[[Importe Neto]:[Importe Neto]],Imput[[C. Imp.]:[C. Imp.]],$D652,Imput[[PERIODO Imp.]:[PERIODO Imp.]],CT$9)</f>
        <v>0</v>
      </c>
      <c r="CU652" s="693">
        <f>SUMIFS(Imput[[Importe Neto]:[Importe Neto]],Imput[[C. Imp.]:[C. Imp.]],$D652,Imput[[PERIODO Imp.]:[PERIODO Imp.]],CU$9)</f>
        <v>0</v>
      </c>
      <c r="CV652" s="693">
        <f>SUMIFS(Imput[[Importe Neto]:[Importe Neto]],Imput[[C. Imp.]:[C. Imp.]],$D652,Imput[[PERIODO Imp.]:[PERIODO Imp.]],CV$9)</f>
        <v>0</v>
      </c>
      <c r="CW652" s="693">
        <f>SUMIFS(Imput[[Importe Neto]:[Importe Neto]],Imput[[C. Imp.]:[C. Imp.]],$D652,Imput[[PERIODO Imp.]:[PERIODO Imp.]],CW$9)</f>
        <v>0</v>
      </c>
      <c r="CX652" s="693">
        <f>SUMIFS(Imput[[Importe Neto]:[Importe Neto]],Imput[[C. Imp.]:[C. Imp.]],$D652,Imput[[PERIODO Imp.]:[PERIODO Imp.]],CX$9)</f>
        <v>0</v>
      </c>
      <c r="CY652" s="693">
        <f>SUMIFS(Imput[[Importe Neto]:[Importe Neto]],Imput[[C. Imp.]:[C. Imp.]],$D652,Imput[[PERIODO Imp.]:[PERIODO Imp.]],CY$9)</f>
        <v>0</v>
      </c>
      <c r="CZ652" s="693">
        <f>SUMIFS(Imput[[Importe Neto]:[Importe Neto]],Imput[[C. Imp.]:[C. Imp.]],$D652,Imput[[PERIODO Imp.]:[PERIODO Imp.]],CZ$9)</f>
        <v>0</v>
      </c>
      <c r="DA652" s="693">
        <f>SUMIFS(Imput[[Importe Neto]:[Importe Neto]],Imput[[C. Imp.]:[C. Imp.]],$D652,Imput[[PERIODO Imp.]:[PERIODO Imp.]],DA$9)</f>
        <v>0</v>
      </c>
      <c r="DB652" s="693">
        <f>SUMIFS(Imput[[Importe Neto]:[Importe Neto]],Imput[[C. Imp.]:[C. Imp.]],$D652,Imput[[PERIODO Imp.]:[PERIODO Imp.]],DB$9)</f>
        <v>0</v>
      </c>
      <c r="DC652" s="693">
        <f>SUMIFS(Imput[[Importe Neto]:[Importe Neto]],Imput[[C. Imp.]:[C. Imp.]],$D652,Imput[[PERIODO Imp.]:[PERIODO Imp.]],DC$9)</f>
        <v>0</v>
      </c>
      <c r="DD652" s="693">
        <f>SUMIFS(Imput[[Importe Neto]:[Importe Neto]],Imput[[C. Imp.]:[C. Imp.]],$D652,Imput[[PERIODO Imp.]:[PERIODO Imp.]],DD$9)</f>
        <v>0</v>
      </c>
      <c r="DE652" s="693">
        <f>SUMIFS(Imput[[Importe Neto]:[Importe Neto]],Imput[[C. Imp.]:[C. Imp.]],$D652,Imput[[PERIODO Imp.]:[PERIODO Imp.]],DE$9)</f>
        <v>0</v>
      </c>
      <c r="DF652" s="693">
        <f>SUMIFS(Imput[[Importe Neto]:[Importe Neto]],Imput[[C. Imp.]:[C. Imp.]],$D652,Imput[[PERIODO Imp.]:[PERIODO Imp.]],DF$9)</f>
        <v>0</v>
      </c>
      <c r="DG652" s="693">
        <f>SUMIFS(Imput[[Importe Neto]:[Importe Neto]],Imput[[C. Imp.]:[C. Imp.]],$D652,Imput[[PERIODO Imp.]:[PERIODO Imp.]],DG$9)</f>
        <v>0</v>
      </c>
      <c r="DH652" s="694">
        <f>SUMIFS(Imput[[Importe Neto]:[Importe Neto]],Imput[[C. Imp.]:[C. Imp.]],$D652,Imput[[PERIODO Imp.]:[PERIODO Imp.]],DH$9)</f>
        <v>0</v>
      </c>
    </row>
    <row r="653" spans="1:112" s="649" customFormat="1" hidden="1" outlineLevel="1" x14ac:dyDescent="0.3">
      <c r="A653" s="652" t="str">
        <f t="shared" si="232"/>
        <v/>
      </c>
      <c r="B653" s="652"/>
      <c r="C653" s="685"/>
      <c r="D653" s="686" t="s">
        <v>2667</v>
      </c>
      <c r="E653" s="686"/>
      <c r="F653" s="720"/>
      <c r="G653" s="688"/>
      <c r="H653" s="696"/>
      <c r="I653" s="851" t="str">
        <f t="shared" si="233"/>
        <v/>
      </c>
      <c r="J653" s="517" t="str">
        <f t="shared" si="234"/>
        <v/>
      </c>
      <c r="K653" s="667"/>
      <c r="L653" s="858"/>
      <c r="M653" s="859"/>
      <c r="N653" s="859"/>
      <c r="O653" s="859"/>
      <c r="P653" s="859"/>
      <c r="Q653" s="859"/>
      <c r="R653" s="859"/>
      <c r="S653" s="859"/>
      <c r="T653" s="859"/>
      <c r="U653" s="859"/>
      <c r="V653" s="859"/>
      <c r="W653" s="859"/>
      <c r="X653" s="859"/>
      <c r="Y653" s="859"/>
      <c r="Z653" s="860"/>
      <c r="AA653" s="860"/>
      <c r="AB653" s="860"/>
      <c r="AC653" s="860"/>
      <c r="AD653" s="860"/>
      <c r="AE653" s="860"/>
      <c r="AF653" s="860"/>
      <c r="AG653" s="860"/>
      <c r="AH653" s="860"/>
      <c r="AI653" s="860"/>
      <c r="AJ653" s="860"/>
      <c r="AK653" s="860"/>
      <c r="AL653" s="860"/>
      <c r="AM653" s="860"/>
      <c r="AN653" s="860"/>
      <c r="AO653" s="860"/>
      <c r="AP653" s="860"/>
      <c r="AQ653" s="860"/>
      <c r="AR653" s="860"/>
      <c r="AS653" s="860"/>
      <c r="AT653" s="860"/>
      <c r="AU653" s="860"/>
      <c r="AV653" s="860"/>
      <c r="AW653" s="860"/>
      <c r="AX653" s="860"/>
      <c r="AY653" s="860"/>
      <c r="AZ653" s="860"/>
      <c r="BA653" s="860"/>
      <c r="BB653" s="860"/>
      <c r="BC653" s="860"/>
      <c r="BD653" s="860"/>
      <c r="BE653" s="860"/>
      <c r="BF653" s="860"/>
      <c r="BG653" s="860"/>
      <c r="BH653" s="668"/>
      <c r="BI653" s="654"/>
      <c r="BJ653" s="690">
        <f t="shared" si="235"/>
        <v>0</v>
      </c>
      <c r="BK653" s="691">
        <f t="shared" si="236"/>
        <v>0</v>
      </c>
      <c r="BL653" s="654"/>
      <c r="BM653" s="692">
        <f>SUMIFS(Imput[[Importe Neto]:[Importe Neto]],Imput[[C. Imp.]:[C. Imp.]],$D653,Imput[[PERIODO Imp.]:[PERIODO Imp.]],BM$9)</f>
        <v>0</v>
      </c>
      <c r="BN653" s="693">
        <f>SUMIFS(Imput[[Importe Neto]:[Importe Neto]],Imput[[C. Imp.]:[C. Imp.]],$D653,Imput[[PERIODO Imp.]:[PERIODO Imp.]],BN$9)</f>
        <v>0</v>
      </c>
      <c r="BO653" s="693">
        <f>SUMIFS(Imput[[Importe Neto]:[Importe Neto]],Imput[[C. Imp.]:[C. Imp.]],$D653,Imput[[PERIODO Imp.]:[PERIODO Imp.]],BO$9)</f>
        <v>0</v>
      </c>
      <c r="BP653" s="693">
        <f>SUMIFS(Imput[[Importe Neto]:[Importe Neto]],Imput[[C. Imp.]:[C. Imp.]],$D653,Imput[[PERIODO Imp.]:[PERIODO Imp.]],BP$9)</f>
        <v>0</v>
      </c>
      <c r="BQ653" s="693">
        <f>SUMIFS(Imput[[Importe Neto]:[Importe Neto]],Imput[[C. Imp.]:[C. Imp.]],$D653,Imput[[PERIODO Imp.]:[PERIODO Imp.]],BQ$9)</f>
        <v>0</v>
      </c>
      <c r="BR653" s="693">
        <f>SUMIFS(Imput[[Importe Neto]:[Importe Neto]],Imput[[C. Imp.]:[C. Imp.]],$D653,Imput[[PERIODO Imp.]:[PERIODO Imp.]],BR$9)</f>
        <v>0</v>
      </c>
      <c r="BS653" s="693">
        <f>SUMIFS(Imput[[Importe Neto]:[Importe Neto]],Imput[[C. Imp.]:[C. Imp.]],$D653,Imput[[PERIODO Imp.]:[PERIODO Imp.]],BS$9)</f>
        <v>0</v>
      </c>
      <c r="BT653" s="693">
        <f>SUMIFS(Imput[[Importe Neto]:[Importe Neto]],Imput[[C. Imp.]:[C. Imp.]],$D653,Imput[[PERIODO Imp.]:[PERIODO Imp.]],BT$9)</f>
        <v>0</v>
      </c>
      <c r="BU653" s="693">
        <f>SUMIFS(Imput[[Importe Neto]:[Importe Neto]],Imput[[C. Imp.]:[C. Imp.]],$D653,Imput[[PERIODO Imp.]:[PERIODO Imp.]],BU$9)</f>
        <v>0</v>
      </c>
      <c r="BV653" s="693">
        <f>SUMIFS(Imput[[Importe Neto]:[Importe Neto]],Imput[[C. Imp.]:[C. Imp.]],$D653,Imput[[PERIODO Imp.]:[PERIODO Imp.]],BV$9)</f>
        <v>0</v>
      </c>
      <c r="BW653" s="693">
        <f>SUMIFS(Imput[[Importe Neto]:[Importe Neto]],Imput[[C. Imp.]:[C. Imp.]],$D653,Imput[[PERIODO Imp.]:[PERIODO Imp.]],BW$9)</f>
        <v>0</v>
      </c>
      <c r="BX653" s="693">
        <f>SUMIFS(Imput[[Importe Neto]:[Importe Neto]],Imput[[C. Imp.]:[C. Imp.]],$D653,Imput[[PERIODO Imp.]:[PERIODO Imp.]],BX$9)</f>
        <v>0</v>
      </c>
      <c r="BY653" s="693">
        <f>SUMIFS(Imput[[Importe Neto]:[Importe Neto]],Imput[[C. Imp.]:[C. Imp.]],$D653,Imput[[PERIODO Imp.]:[PERIODO Imp.]],BY$9)</f>
        <v>0</v>
      </c>
      <c r="BZ653" s="693">
        <f>SUMIFS(Imput[[Importe Neto]:[Importe Neto]],Imput[[C. Imp.]:[C. Imp.]],$D653,Imput[[PERIODO Imp.]:[PERIODO Imp.]],BZ$9)</f>
        <v>0</v>
      </c>
      <c r="CA653" s="693">
        <f>SUMIFS(Imput[[Importe Neto]:[Importe Neto]],Imput[[C. Imp.]:[C. Imp.]],$D653,Imput[[PERIODO Imp.]:[PERIODO Imp.]],CA$9)</f>
        <v>0</v>
      </c>
      <c r="CB653" s="693">
        <f>SUMIFS(Imput[[Importe Neto]:[Importe Neto]],Imput[[C. Imp.]:[C. Imp.]],$D653,Imput[[PERIODO Imp.]:[PERIODO Imp.]],CB$9)</f>
        <v>0</v>
      </c>
      <c r="CC653" s="693">
        <f>SUMIFS(Imput[[Importe Neto]:[Importe Neto]],Imput[[C. Imp.]:[C. Imp.]],$D653,Imput[[PERIODO Imp.]:[PERIODO Imp.]],CC$9)</f>
        <v>0</v>
      </c>
      <c r="CD653" s="693">
        <f>SUMIFS(Imput[[Importe Neto]:[Importe Neto]],Imput[[C. Imp.]:[C. Imp.]],$D653,Imput[[PERIODO Imp.]:[PERIODO Imp.]],CD$9)</f>
        <v>0</v>
      </c>
      <c r="CE653" s="693">
        <f>SUMIFS(Imput[[Importe Neto]:[Importe Neto]],Imput[[C. Imp.]:[C. Imp.]],$D653,Imput[[PERIODO Imp.]:[PERIODO Imp.]],CE$9)</f>
        <v>0</v>
      </c>
      <c r="CF653" s="693">
        <f>SUMIFS(Imput[[Importe Neto]:[Importe Neto]],Imput[[C. Imp.]:[C. Imp.]],$D653,Imput[[PERIODO Imp.]:[PERIODO Imp.]],CF$9)</f>
        <v>0</v>
      </c>
      <c r="CG653" s="693">
        <f>SUMIFS(Imput[[Importe Neto]:[Importe Neto]],Imput[[C. Imp.]:[C. Imp.]],$D653,Imput[[PERIODO Imp.]:[PERIODO Imp.]],CG$9)</f>
        <v>0</v>
      </c>
      <c r="CH653" s="693">
        <f>SUMIFS(Imput[[Importe Neto]:[Importe Neto]],Imput[[C. Imp.]:[C. Imp.]],$D653,Imput[[PERIODO Imp.]:[PERIODO Imp.]],CH$9)</f>
        <v>0</v>
      </c>
      <c r="CI653" s="693">
        <f>SUMIFS(Imput[[Importe Neto]:[Importe Neto]],Imput[[C. Imp.]:[C. Imp.]],$D653,Imput[[PERIODO Imp.]:[PERIODO Imp.]],CI$9)</f>
        <v>0</v>
      </c>
      <c r="CJ653" s="693">
        <f>SUMIFS(Imput[[Importe Neto]:[Importe Neto]],Imput[[C. Imp.]:[C. Imp.]],$D653,Imput[[PERIODO Imp.]:[PERIODO Imp.]],CJ$9)</f>
        <v>0</v>
      </c>
      <c r="CK653" s="693">
        <f>SUMIFS(Imput[[Importe Neto]:[Importe Neto]],Imput[[C. Imp.]:[C. Imp.]],$D653,Imput[[PERIODO Imp.]:[PERIODO Imp.]],CK$9)</f>
        <v>0</v>
      </c>
      <c r="CL653" s="693">
        <f>SUMIFS(Imput[[Importe Neto]:[Importe Neto]],Imput[[C. Imp.]:[C. Imp.]],$D653,Imput[[PERIODO Imp.]:[PERIODO Imp.]],CL$9)</f>
        <v>0</v>
      </c>
      <c r="CM653" s="693">
        <f>SUMIFS(Imput[[Importe Neto]:[Importe Neto]],Imput[[C. Imp.]:[C. Imp.]],$D653,Imput[[PERIODO Imp.]:[PERIODO Imp.]],CM$9)</f>
        <v>0</v>
      </c>
      <c r="CN653" s="693">
        <f>SUMIFS(Imput[[Importe Neto]:[Importe Neto]],Imput[[C. Imp.]:[C. Imp.]],$D653,Imput[[PERIODO Imp.]:[PERIODO Imp.]],CN$9)</f>
        <v>0</v>
      </c>
      <c r="CO653" s="693">
        <f>SUMIFS(Imput[[Importe Neto]:[Importe Neto]],Imput[[C. Imp.]:[C. Imp.]],$D653,Imput[[PERIODO Imp.]:[PERIODO Imp.]],CO$9)</f>
        <v>0</v>
      </c>
      <c r="CP653" s="693">
        <f>SUMIFS(Imput[[Importe Neto]:[Importe Neto]],Imput[[C. Imp.]:[C. Imp.]],$D653,Imput[[PERIODO Imp.]:[PERIODO Imp.]],CP$9)</f>
        <v>0</v>
      </c>
      <c r="CQ653" s="693">
        <f>SUMIFS(Imput[[Importe Neto]:[Importe Neto]],Imput[[C. Imp.]:[C. Imp.]],$D653,Imput[[PERIODO Imp.]:[PERIODO Imp.]],CQ$9)</f>
        <v>0</v>
      </c>
      <c r="CR653" s="693">
        <f>SUMIFS(Imput[[Importe Neto]:[Importe Neto]],Imput[[C. Imp.]:[C. Imp.]],$D653,Imput[[PERIODO Imp.]:[PERIODO Imp.]],CR$9)</f>
        <v>0</v>
      </c>
      <c r="CS653" s="693">
        <f>SUMIFS(Imput[[Importe Neto]:[Importe Neto]],Imput[[C. Imp.]:[C. Imp.]],$D653,Imput[[PERIODO Imp.]:[PERIODO Imp.]],CS$9)</f>
        <v>0</v>
      </c>
      <c r="CT653" s="693">
        <f>SUMIFS(Imput[[Importe Neto]:[Importe Neto]],Imput[[C. Imp.]:[C. Imp.]],$D653,Imput[[PERIODO Imp.]:[PERIODO Imp.]],CT$9)</f>
        <v>0</v>
      </c>
      <c r="CU653" s="693">
        <f>SUMIFS(Imput[[Importe Neto]:[Importe Neto]],Imput[[C. Imp.]:[C. Imp.]],$D653,Imput[[PERIODO Imp.]:[PERIODO Imp.]],CU$9)</f>
        <v>0</v>
      </c>
      <c r="CV653" s="693">
        <f>SUMIFS(Imput[[Importe Neto]:[Importe Neto]],Imput[[C. Imp.]:[C. Imp.]],$D653,Imput[[PERIODO Imp.]:[PERIODO Imp.]],CV$9)</f>
        <v>0</v>
      </c>
      <c r="CW653" s="693">
        <f>SUMIFS(Imput[[Importe Neto]:[Importe Neto]],Imput[[C. Imp.]:[C. Imp.]],$D653,Imput[[PERIODO Imp.]:[PERIODO Imp.]],CW$9)</f>
        <v>0</v>
      </c>
      <c r="CX653" s="693">
        <f>SUMIFS(Imput[[Importe Neto]:[Importe Neto]],Imput[[C. Imp.]:[C. Imp.]],$D653,Imput[[PERIODO Imp.]:[PERIODO Imp.]],CX$9)</f>
        <v>0</v>
      </c>
      <c r="CY653" s="693">
        <f>SUMIFS(Imput[[Importe Neto]:[Importe Neto]],Imput[[C. Imp.]:[C. Imp.]],$D653,Imput[[PERIODO Imp.]:[PERIODO Imp.]],CY$9)</f>
        <v>0</v>
      </c>
      <c r="CZ653" s="693">
        <f>SUMIFS(Imput[[Importe Neto]:[Importe Neto]],Imput[[C. Imp.]:[C. Imp.]],$D653,Imput[[PERIODO Imp.]:[PERIODO Imp.]],CZ$9)</f>
        <v>0</v>
      </c>
      <c r="DA653" s="693">
        <f>SUMIFS(Imput[[Importe Neto]:[Importe Neto]],Imput[[C. Imp.]:[C. Imp.]],$D653,Imput[[PERIODO Imp.]:[PERIODO Imp.]],DA$9)</f>
        <v>0</v>
      </c>
      <c r="DB653" s="693">
        <f>SUMIFS(Imput[[Importe Neto]:[Importe Neto]],Imput[[C. Imp.]:[C. Imp.]],$D653,Imput[[PERIODO Imp.]:[PERIODO Imp.]],DB$9)</f>
        <v>0</v>
      </c>
      <c r="DC653" s="693">
        <f>SUMIFS(Imput[[Importe Neto]:[Importe Neto]],Imput[[C. Imp.]:[C. Imp.]],$D653,Imput[[PERIODO Imp.]:[PERIODO Imp.]],DC$9)</f>
        <v>0</v>
      </c>
      <c r="DD653" s="693">
        <f>SUMIFS(Imput[[Importe Neto]:[Importe Neto]],Imput[[C. Imp.]:[C. Imp.]],$D653,Imput[[PERIODO Imp.]:[PERIODO Imp.]],DD$9)</f>
        <v>0</v>
      </c>
      <c r="DE653" s="693">
        <f>SUMIFS(Imput[[Importe Neto]:[Importe Neto]],Imput[[C. Imp.]:[C. Imp.]],$D653,Imput[[PERIODO Imp.]:[PERIODO Imp.]],DE$9)</f>
        <v>0</v>
      </c>
      <c r="DF653" s="693">
        <f>SUMIFS(Imput[[Importe Neto]:[Importe Neto]],Imput[[C. Imp.]:[C. Imp.]],$D653,Imput[[PERIODO Imp.]:[PERIODO Imp.]],DF$9)</f>
        <v>0</v>
      </c>
      <c r="DG653" s="693">
        <f>SUMIFS(Imput[[Importe Neto]:[Importe Neto]],Imput[[C. Imp.]:[C. Imp.]],$D653,Imput[[PERIODO Imp.]:[PERIODO Imp.]],DG$9)</f>
        <v>0</v>
      </c>
      <c r="DH653" s="694">
        <f>SUMIFS(Imput[[Importe Neto]:[Importe Neto]],Imput[[C. Imp.]:[C. Imp.]],$D653,Imput[[PERIODO Imp.]:[PERIODO Imp.]],DH$9)</f>
        <v>0</v>
      </c>
    </row>
    <row r="654" spans="1:112" s="649" customFormat="1" hidden="1" outlineLevel="1" x14ac:dyDescent="0.3">
      <c r="A654" s="652" t="str">
        <f t="shared" si="232"/>
        <v/>
      </c>
      <c r="B654" s="652"/>
      <c r="C654" s="685"/>
      <c r="D654" s="686" t="s">
        <v>2668</v>
      </c>
      <c r="E654" s="686"/>
      <c r="F654" s="720"/>
      <c r="G654" s="688"/>
      <c r="H654" s="696"/>
      <c r="I654" s="851" t="str">
        <f t="shared" si="233"/>
        <v/>
      </c>
      <c r="J654" s="517" t="str">
        <f t="shared" si="234"/>
        <v/>
      </c>
      <c r="K654" s="667"/>
      <c r="L654" s="858"/>
      <c r="M654" s="859"/>
      <c r="N654" s="859"/>
      <c r="O654" s="859"/>
      <c r="P654" s="859"/>
      <c r="Q654" s="859"/>
      <c r="R654" s="859"/>
      <c r="S654" s="859"/>
      <c r="T654" s="859"/>
      <c r="U654" s="859"/>
      <c r="V654" s="859"/>
      <c r="W654" s="859"/>
      <c r="X654" s="859"/>
      <c r="Y654" s="859"/>
      <c r="Z654" s="860"/>
      <c r="AA654" s="860"/>
      <c r="AB654" s="860"/>
      <c r="AC654" s="860"/>
      <c r="AD654" s="860"/>
      <c r="AE654" s="860"/>
      <c r="AF654" s="860"/>
      <c r="AG654" s="860"/>
      <c r="AH654" s="860"/>
      <c r="AI654" s="860"/>
      <c r="AJ654" s="860"/>
      <c r="AK654" s="860"/>
      <c r="AL654" s="860"/>
      <c r="AM654" s="860"/>
      <c r="AN654" s="860"/>
      <c r="AO654" s="860"/>
      <c r="AP654" s="860"/>
      <c r="AQ654" s="860"/>
      <c r="AR654" s="860"/>
      <c r="AS654" s="860"/>
      <c r="AT654" s="860"/>
      <c r="AU654" s="860"/>
      <c r="AV654" s="860"/>
      <c r="AW654" s="860"/>
      <c r="AX654" s="860"/>
      <c r="AY654" s="860"/>
      <c r="AZ654" s="860"/>
      <c r="BA654" s="860"/>
      <c r="BB654" s="860"/>
      <c r="BC654" s="860"/>
      <c r="BD654" s="860"/>
      <c r="BE654" s="860"/>
      <c r="BF654" s="860"/>
      <c r="BG654" s="860"/>
      <c r="BH654" s="668"/>
      <c r="BI654" s="654"/>
      <c r="BJ654" s="690">
        <f t="shared" si="235"/>
        <v>0</v>
      </c>
      <c r="BK654" s="691">
        <f t="shared" si="236"/>
        <v>0</v>
      </c>
      <c r="BL654" s="654"/>
      <c r="BM654" s="692">
        <f>SUMIFS(Imput[[Importe Neto]:[Importe Neto]],Imput[[C. Imp.]:[C. Imp.]],$D654,Imput[[PERIODO Imp.]:[PERIODO Imp.]],BM$9)</f>
        <v>0</v>
      </c>
      <c r="BN654" s="693">
        <f>SUMIFS(Imput[[Importe Neto]:[Importe Neto]],Imput[[C. Imp.]:[C. Imp.]],$D654,Imput[[PERIODO Imp.]:[PERIODO Imp.]],BN$9)</f>
        <v>0</v>
      </c>
      <c r="BO654" s="693">
        <f>SUMIFS(Imput[[Importe Neto]:[Importe Neto]],Imput[[C. Imp.]:[C. Imp.]],$D654,Imput[[PERIODO Imp.]:[PERIODO Imp.]],BO$9)</f>
        <v>0</v>
      </c>
      <c r="BP654" s="693">
        <f>SUMIFS(Imput[[Importe Neto]:[Importe Neto]],Imput[[C. Imp.]:[C. Imp.]],$D654,Imput[[PERIODO Imp.]:[PERIODO Imp.]],BP$9)</f>
        <v>0</v>
      </c>
      <c r="BQ654" s="693">
        <f>SUMIFS(Imput[[Importe Neto]:[Importe Neto]],Imput[[C. Imp.]:[C. Imp.]],$D654,Imput[[PERIODO Imp.]:[PERIODO Imp.]],BQ$9)</f>
        <v>0</v>
      </c>
      <c r="BR654" s="693">
        <f>SUMIFS(Imput[[Importe Neto]:[Importe Neto]],Imput[[C. Imp.]:[C. Imp.]],$D654,Imput[[PERIODO Imp.]:[PERIODO Imp.]],BR$9)</f>
        <v>0</v>
      </c>
      <c r="BS654" s="693">
        <f>SUMIFS(Imput[[Importe Neto]:[Importe Neto]],Imput[[C. Imp.]:[C. Imp.]],$D654,Imput[[PERIODO Imp.]:[PERIODO Imp.]],BS$9)</f>
        <v>0</v>
      </c>
      <c r="BT654" s="693">
        <f>SUMIFS(Imput[[Importe Neto]:[Importe Neto]],Imput[[C. Imp.]:[C. Imp.]],$D654,Imput[[PERIODO Imp.]:[PERIODO Imp.]],BT$9)</f>
        <v>0</v>
      </c>
      <c r="BU654" s="693">
        <f>SUMIFS(Imput[[Importe Neto]:[Importe Neto]],Imput[[C. Imp.]:[C. Imp.]],$D654,Imput[[PERIODO Imp.]:[PERIODO Imp.]],BU$9)</f>
        <v>0</v>
      </c>
      <c r="BV654" s="693">
        <f>SUMIFS(Imput[[Importe Neto]:[Importe Neto]],Imput[[C. Imp.]:[C. Imp.]],$D654,Imput[[PERIODO Imp.]:[PERIODO Imp.]],BV$9)</f>
        <v>0</v>
      </c>
      <c r="BW654" s="693">
        <f>SUMIFS(Imput[[Importe Neto]:[Importe Neto]],Imput[[C. Imp.]:[C. Imp.]],$D654,Imput[[PERIODO Imp.]:[PERIODO Imp.]],BW$9)</f>
        <v>0</v>
      </c>
      <c r="BX654" s="693">
        <f>SUMIFS(Imput[[Importe Neto]:[Importe Neto]],Imput[[C. Imp.]:[C. Imp.]],$D654,Imput[[PERIODO Imp.]:[PERIODO Imp.]],BX$9)</f>
        <v>0</v>
      </c>
      <c r="BY654" s="693">
        <f>SUMIFS(Imput[[Importe Neto]:[Importe Neto]],Imput[[C. Imp.]:[C. Imp.]],$D654,Imput[[PERIODO Imp.]:[PERIODO Imp.]],BY$9)</f>
        <v>0</v>
      </c>
      <c r="BZ654" s="693">
        <f>SUMIFS(Imput[[Importe Neto]:[Importe Neto]],Imput[[C. Imp.]:[C. Imp.]],$D654,Imput[[PERIODO Imp.]:[PERIODO Imp.]],BZ$9)</f>
        <v>0</v>
      </c>
      <c r="CA654" s="693">
        <f>SUMIFS(Imput[[Importe Neto]:[Importe Neto]],Imput[[C. Imp.]:[C. Imp.]],$D654,Imput[[PERIODO Imp.]:[PERIODO Imp.]],CA$9)</f>
        <v>0</v>
      </c>
      <c r="CB654" s="693">
        <f>SUMIFS(Imput[[Importe Neto]:[Importe Neto]],Imput[[C. Imp.]:[C. Imp.]],$D654,Imput[[PERIODO Imp.]:[PERIODO Imp.]],CB$9)</f>
        <v>0</v>
      </c>
      <c r="CC654" s="693">
        <f>SUMIFS(Imput[[Importe Neto]:[Importe Neto]],Imput[[C. Imp.]:[C. Imp.]],$D654,Imput[[PERIODO Imp.]:[PERIODO Imp.]],CC$9)</f>
        <v>0</v>
      </c>
      <c r="CD654" s="693">
        <f>SUMIFS(Imput[[Importe Neto]:[Importe Neto]],Imput[[C. Imp.]:[C. Imp.]],$D654,Imput[[PERIODO Imp.]:[PERIODO Imp.]],CD$9)</f>
        <v>0</v>
      </c>
      <c r="CE654" s="693">
        <f>SUMIFS(Imput[[Importe Neto]:[Importe Neto]],Imput[[C. Imp.]:[C. Imp.]],$D654,Imput[[PERIODO Imp.]:[PERIODO Imp.]],CE$9)</f>
        <v>0</v>
      </c>
      <c r="CF654" s="693">
        <f>SUMIFS(Imput[[Importe Neto]:[Importe Neto]],Imput[[C. Imp.]:[C. Imp.]],$D654,Imput[[PERIODO Imp.]:[PERIODO Imp.]],CF$9)</f>
        <v>0</v>
      </c>
      <c r="CG654" s="693">
        <f>SUMIFS(Imput[[Importe Neto]:[Importe Neto]],Imput[[C. Imp.]:[C. Imp.]],$D654,Imput[[PERIODO Imp.]:[PERIODO Imp.]],CG$9)</f>
        <v>0</v>
      </c>
      <c r="CH654" s="693">
        <f>SUMIFS(Imput[[Importe Neto]:[Importe Neto]],Imput[[C. Imp.]:[C. Imp.]],$D654,Imput[[PERIODO Imp.]:[PERIODO Imp.]],CH$9)</f>
        <v>0</v>
      </c>
      <c r="CI654" s="693">
        <f>SUMIFS(Imput[[Importe Neto]:[Importe Neto]],Imput[[C. Imp.]:[C. Imp.]],$D654,Imput[[PERIODO Imp.]:[PERIODO Imp.]],CI$9)</f>
        <v>0</v>
      </c>
      <c r="CJ654" s="693">
        <f>SUMIFS(Imput[[Importe Neto]:[Importe Neto]],Imput[[C. Imp.]:[C. Imp.]],$D654,Imput[[PERIODO Imp.]:[PERIODO Imp.]],CJ$9)</f>
        <v>0</v>
      </c>
      <c r="CK654" s="693">
        <f>SUMIFS(Imput[[Importe Neto]:[Importe Neto]],Imput[[C. Imp.]:[C. Imp.]],$D654,Imput[[PERIODO Imp.]:[PERIODO Imp.]],CK$9)</f>
        <v>0</v>
      </c>
      <c r="CL654" s="693">
        <f>SUMIFS(Imput[[Importe Neto]:[Importe Neto]],Imput[[C. Imp.]:[C. Imp.]],$D654,Imput[[PERIODO Imp.]:[PERIODO Imp.]],CL$9)</f>
        <v>0</v>
      </c>
      <c r="CM654" s="693">
        <f>SUMIFS(Imput[[Importe Neto]:[Importe Neto]],Imput[[C. Imp.]:[C. Imp.]],$D654,Imput[[PERIODO Imp.]:[PERIODO Imp.]],CM$9)</f>
        <v>0</v>
      </c>
      <c r="CN654" s="693">
        <f>SUMIFS(Imput[[Importe Neto]:[Importe Neto]],Imput[[C. Imp.]:[C. Imp.]],$D654,Imput[[PERIODO Imp.]:[PERIODO Imp.]],CN$9)</f>
        <v>0</v>
      </c>
      <c r="CO654" s="693">
        <f>SUMIFS(Imput[[Importe Neto]:[Importe Neto]],Imput[[C. Imp.]:[C. Imp.]],$D654,Imput[[PERIODO Imp.]:[PERIODO Imp.]],CO$9)</f>
        <v>0</v>
      </c>
      <c r="CP654" s="693">
        <f>SUMIFS(Imput[[Importe Neto]:[Importe Neto]],Imput[[C. Imp.]:[C. Imp.]],$D654,Imput[[PERIODO Imp.]:[PERIODO Imp.]],CP$9)</f>
        <v>0</v>
      </c>
      <c r="CQ654" s="693">
        <f>SUMIFS(Imput[[Importe Neto]:[Importe Neto]],Imput[[C. Imp.]:[C. Imp.]],$D654,Imput[[PERIODO Imp.]:[PERIODO Imp.]],CQ$9)</f>
        <v>0</v>
      </c>
      <c r="CR654" s="693">
        <f>SUMIFS(Imput[[Importe Neto]:[Importe Neto]],Imput[[C. Imp.]:[C. Imp.]],$D654,Imput[[PERIODO Imp.]:[PERIODO Imp.]],CR$9)</f>
        <v>0</v>
      </c>
      <c r="CS654" s="693">
        <f>SUMIFS(Imput[[Importe Neto]:[Importe Neto]],Imput[[C. Imp.]:[C. Imp.]],$D654,Imput[[PERIODO Imp.]:[PERIODO Imp.]],CS$9)</f>
        <v>0</v>
      </c>
      <c r="CT654" s="693">
        <f>SUMIFS(Imput[[Importe Neto]:[Importe Neto]],Imput[[C. Imp.]:[C. Imp.]],$D654,Imput[[PERIODO Imp.]:[PERIODO Imp.]],CT$9)</f>
        <v>0</v>
      </c>
      <c r="CU654" s="693">
        <f>SUMIFS(Imput[[Importe Neto]:[Importe Neto]],Imput[[C. Imp.]:[C. Imp.]],$D654,Imput[[PERIODO Imp.]:[PERIODO Imp.]],CU$9)</f>
        <v>0</v>
      </c>
      <c r="CV654" s="693">
        <f>SUMIFS(Imput[[Importe Neto]:[Importe Neto]],Imput[[C. Imp.]:[C. Imp.]],$D654,Imput[[PERIODO Imp.]:[PERIODO Imp.]],CV$9)</f>
        <v>0</v>
      </c>
      <c r="CW654" s="693">
        <f>SUMIFS(Imput[[Importe Neto]:[Importe Neto]],Imput[[C. Imp.]:[C. Imp.]],$D654,Imput[[PERIODO Imp.]:[PERIODO Imp.]],CW$9)</f>
        <v>0</v>
      </c>
      <c r="CX654" s="693">
        <f>SUMIFS(Imput[[Importe Neto]:[Importe Neto]],Imput[[C. Imp.]:[C. Imp.]],$D654,Imput[[PERIODO Imp.]:[PERIODO Imp.]],CX$9)</f>
        <v>0</v>
      </c>
      <c r="CY654" s="693">
        <f>SUMIFS(Imput[[Importe Neto]:[Importe Neto]],Imput[[C. Imp.]:[C. Imp.]],$D654,Imput[[PERIODO Imp.]:[PERIODO Imp.]],CY$9)</f>
        <v>0</v>
      </c>
      <c r="CZ654" s="693">
        <f>SUMIFS(Imput[[Importe Neto]:[Importe Neto]],Imput[[C. Imp.]:[C. Imp.]],$D654,Imput[[PERIODO Imp.]:[PERIODO Imp.]],CZ$9)</f>
        <v>0</v>
      </c>
      <c r="DA654" s="693">
        <f>SUMIFS(Imput[[Importe Neto]:[Importe Neto]],Imput[[C. Imp.]:[C. Imp.]],$D654,Imput[[PERIODO Imp.]:[PERIODO Imp.]],DA$9)</f>
        <v>0</v>
      </c>
      <c r="DB654" s="693">
        <f>SUMIFS(Imput[[Importe Neto]:[Importe Neto]],Imput[[C. Imp.]:[C. Imp.]],$D654,Imput[[PERIODO Imp.]:[PERIODO Imp.]],DB$9)</f>
        <v>0</v>
      </c>
      <c r="DC654" s="693">
        <f>SUMIFS(Imput[[Importe Neto]:[Importe Neto]],Imput[[C. Imp.]:[C. Imp.]],$D654,Imput[[PERIODO Imp.]:[PERIODO Imp.]],DC$9)</f>
        <v>0</v>
      </c>
      <c r="DD654" s="693">
        <f>SUMIFS(Imput[[Importe Neto]:[Importe Neto]],Imput[[C. Imp.]:[C. Imp.]],$D654,Imput[[PERIODO Imp.]:[PERIODO Imp.]],DD$9)</f>
        <v>0</v>
      </c>
      <c r="DE654" s="693">
        <f>SUMIFS(Imput[[Importe Neto]:[Importe Neto]],Imput[[C. Imp.]:[C. Imp.]],$D654,Imput[[PERIODO Imp.]:[PERIODO Imp.]],DE$9)</f>
        <v>0</v>
      </c>
      <c r="DF654" s="693">
        <f>SUMIFS(Imput[[Importe Neto]:[Importe Neto]],Imput[[C. Imp.]:[C. Imp.]],$D654,Imput[[PERIODO Imp.]:[PERIODO Imp.]],DF$9)</f>
        <v>0</v>
      </c>
      <c r="DG654" s="693">
        <f>SUMIFS(Imput[[Importe Neto]:[Importe Neto]],Imput[[C. Imp.]:[C. Imp.]],$D654,Imput[[PERIODO Imp.]:[PERIODO Imp.]],DG$9)</f>
        <v>0</v>
      </c>
      <c r="DH654" s="694">
        <f>SUMIFS(Imput[[Importe Neto]:[Importe Neto]],Imput[[C. Imp.]:[C. Imp.]],$D654,Imput[[PERIODO Imp.]:[PERIODO Imp.]],DH$9)</f>
        <v>0</v>
      </c>
    </row>
    <row r="655" spans="1:112" s="649" customFormat="1" hidden="1" outlineLevel="1" x14ac:dyDescent="0.3">
      <c r="A655" s="652" t="str">
        <f t="shared" si="232"/>
        <v/>
      </c>
      <c r="B655" s="652"/>
      <c r="C655" s="685"/>
      <c r="D655" s="686" t="s">
        <v>2669</v>
      </c>
      <c r="E655" s="686"/>
      <c r="F655" s="720"/>
      <c r="G655" s="688"/>
      <c r="H655" s="696"/>
      <c r="I655" s="851" t="str">
        <f t="shared" si="233"/>
        <v/>
      </c>
      <c r="J655" s="517" t="str">
        <f t="shared" si="234"/>
        <v/>
      </c>
      <c r="K655" s="667"/>
      <c r="L655" s="858"/>
      <c r="M655" s="859"/>
      <c r="N655" s="859"/>
      <c r="O655" s="859"/>
      <c r="P655" s="859"/>
      <c r="Q655" s="859"/>
      <c r="R655" s="859"/>
      <c r="S655" s="859"/>
      <c r="T655" s="859"/>
      <c r="U655" s="859"/>
      <c r="V655" s="859"/>
      <c r="W655" s="859"/>
      <c r="X655" s="859"/>
      <c r="Y655" s="859"/>
      <c r="Z655" s="860"/>
      <c r="AA655" s="860"/>
      <c r="AB655" s="860"/>
      <c r="AC655" s="860"/>
      <c r="AD655" s="860"/>
      <c r="AE655" s="860"/>
      <c r="AF655" s="860"/>
      <c r="AG655" s="860"/>
      <c r="AH655" s="860"/>
      <c r="AI655" s="860"/>
      <c r="AJ655" s="860"/>
      <c r="AK655" s="860"/>
      <c r="AL655" s="860"/>
      <c r="AM655" s="860"/>
      <c r="AN655" s="860"/>
      <c r="AO655" s="860"/>
      <c r="AP655" s="860"/>
      <c r="AQ655" s="860"/>
      <c r="AR655" s="860"/>
      <c r="AS655" s="860"/>
      <c r="AT655" s="860"/>
      <c r="AU655" s="860"/>
      <c r="AV655" s="860"/>
      <c r="AW655" s="860"/>
      <c r="AX655" s="860"/>
      <c r="AY655" s="860"/>
      <c r="AZ655" s="860"/>
      <c r="BA655" s="860"/>
      <c r="BB655" s="860"/>
      <c r="BC655" s="860"/>
      <c r="BD655" s="860"/>
      <c r="BE655" s="860"/>
      <c r="BF655" s="860"/>
      <c r="BG655" s="860"/>
      <c r="BH655" s="668"/>
      <c r="BI655" s="654"/>
      <c r="BJ655" s="690">
        <f t="shared" si="235"/>
        <v>0</v>
      </c>
      <c r="BK655" s="691">
        <f t="shared" si="236"/>
        <v>0</v>
      </c>
      <c r="BL655" s="654"/>
      <c r="BM655" s="692">
        <f>SUMIFS(Imput[[Importe Neto]:[Importe Neto]],Imput[[C. Imp.]:[C. Imp.]],$D655,Imput[[PERIODO Imp.]:[PERIODO Imp.]],BM$9)</f>
        <v>0</v>
      </c>
      <c r="BN655" s="693">
        <f>SUMIFS(Imput[[Importe Neto]:[Importe Neto]],Imput[[C. Imp.]:[C. Imp.]],$D655,Imput[[PERIODO Imp.]:[PERIODO Imp.]],BN$9)</f>
        <v>0</v>
      </c>
      <c r="BO655" s="693">
        <f>SUMIFS(Imput[[Importe Neto]:[Importe Neto]],Imput[[C. Imp.]:[C. Imp.]],$D655,Imput[[PERIODO Imp.]:[PERIODO Imp.]],BO$9)</f>
        <v>0</v>
      </c>
      <c r="BP655" s="693">
        <f>SUMIFS(Imput[[Importe Neto]:[Importe Neto]],Imput[[C. Imp.]:[C. Imp.]],$D655,Imput[[PERIODO Imp.]:[PERIODO Imp.]],BP$9)</f>
        <v>0</v>
      </c>
      <c r="BQ655" s="693">
        <f>SUMIFS(Imput[[Importe Neto]:[Importe Neto]],Imput[[C. Imp.]:[C. Imp.]],$D655,Imput[[PERIODO Imp.]:[PERIODO Imp.]],BQ$9)</f>
        <v>0</v>
      </c>
      <c r="BR655" s="693">
        <f>SUMIFS(Imput[[Importe Neto]:[Importe Neto]],Imput[[C. Imp.]:[C. Imp.]],$D655,Imput[[PERIODO Imp.]:[PERIODO Imp.]],BR$9)</f>
        <v>0</v>
      </c>
      <c r="BS655" s="693">
        <f>SUMIFS(Imput[[Importe Neto]:[Importe Neto]],Imput[[C. Imp.]:[C. Imp.]],$D655,Imput[[PERIODO Imp.]:[PERIODO Imp.]],BS$9)</f>
        <v>0</v>
      </c>
      <c r="BT655" s="693">
        <f>SUMIFS(Imput[[Importe Neto]:[Importe Neto]],Imput[[C. Imp.]:[C. Imp.]],$D655,Imput[[PERIODO Imp.]:[PERIODO Imp.]],BT$9)</f>
        <v>0</v>
      </c>
      <c r="BU655" s="693">
        <f>SUMIFS(Imput[[Importe Neto]:[Importe Neto]],Imput[[C. Imp.]:[C. Imp.]],$D655,Imput[[PERIODO Imp.]:[PERIODO Imp.]],BU$9)</f>
        <v>0</v>
      </c>
      <c r="BV655" s="693">
        <f>SUMIFS(Imput[[Importe Neto]:[Importe Neto]],Imput[[C. Imp.]:[C. Imp.]],$D655,Imput[[PERIODO Imp.]:[PERIODO Imp.]],BV$9)</f>
        <v>0</v>
      </c>
      <c r="BW655" s="693">
        <f>SUMIFS(Imput[[Importe Neto]:[Importe Neto]],Imput[[C. Imp.]:[C. Imp.]],$D655,Imput[[PERIODO Imp.]:[PERIODO Imp.]],BW$9)</f>
        <v>0</v>
      </c>
      <c r="BX655" s="693">
        <f>SUMIFS(Imput[[Importe Neto]:[Importe Neto]],Imput[[C. Imp.]:[C. Imp.]],$D655,Imput[[PERIODO Imp.]:[PERIODO Imp.]],BX$9)</f>
        <v>0</v>
      </c>
      <c r="BY655" s="693">
        <f>SUMIFS(Imput[[Importe Neto]:[Importe Neto]],Imput[[C. Imp.]:[C. Imp.]],$D655,Imput[[PERIODO Imp.]:[PERIODO Imp.]],BY$9)</f>
        <v>0</v>
      </c>
      <c r="BZ655" s="693">
        <f>SUMIFS(Imput[[Importe Neto]:[Importe Neto]],Imput[[C. Imp.]:[C. Imp.]],$D655,Imput[[PERIODO Imp.]:[PERIODO Imp.]],BZ$9)</f>
        <v>0</v>
      </c>
      <c r="CA655" s="693">
        <f>SUMIFS(Imput[[Importe Neto]:[Importe Neto]],Imput[[C. Imp.]:[C. Imp.]],$D655,Imput[[PERIODO Imp.]:[PERIODO Imp.]],CA$9)</f>
        <v>0</v>
      </c>
      <c r="CB655" s="693">
        <f>SUMIFS(Imput[[Importe Neto]:[Importe Neto]],Imput[[C. Imp.]:[C. Imp.]],$D655,Imput[[PERIODO Imp.]:[PERIODO Imp.]],CB$9)</f>
        <v>0</v>
      </c>
      <c r="CC655" s="693">
        <f>SUMIFS(Imput[[Importe Neto]:[Importe Neto]],Imput[[C. Imp.]:[C. Imp.]],$D655,Imput[[PERIODO Imp.]:[PERIODO Imp.]],CC$9)</f>
        <v>0</v>
      </c>
      <c r="CD655" s="693">
        <f>SUMIFS(Imput[[Importe Neto]:[Importe Neto]],Imput[[C. Imp.]:[C. Imp.]],$D655,Imput[[PERIODO Imp.]:[PERIODO Imp.]],CD$9)</f>
        <v>0</v>
      </c>
      <c r="CE655" s="693">
        <f>SUMIFS(Imput[[Importe Neto]:[Importe Neto]],Imput[[C. Imp.]:[C. Imp.]],$D655,Imput[[PERIODO Imp.]:[PERIODO Imp.]],CE$9)</f>
        <v>0</v>
      </c>
      <c r="CF655" s="693">
        <f>SUMIFS(Imput[[Importe Neto]:[Importe Neto]],Imput[[C. Imp.]:[C. Imp.]],$D655,Imput[[PERIODO Imp.]:[PERIODO Imp.]],CF$9)</f>
        <v>0</v>
      </c>
      <c r="CG655" s="693">
        <f>SUMIFS(Imput[[Importe Neto]:[Importe Neto]],Imput[[C. Imp.]:[C. Imp.]],$D655,Imput[[PERIODO Imp.]:[PERIODO Imp.]],CG$9)</f>
        <v>0</v>
      </c>
      <c r="CH655" s="693">
        <f>SUMIFS(Imput[[Importe Neto]:[Importe Neto]],Imput[[C. Imp.]:[C. Imp.]],$D655,Imput[[PERIODO Imp.]:[PERIODO Imp.]],CH$9)</f>
        <v>0</v>
      </c>
      <c r="CI655" s="693">
        <f>SUMIFS(Imput[[Importe Neto]:[Importe Neto]],Imput[[C. Imp.]:[C. Imp.]],$D655,Imput[[PERIODO Imp.]:[PERIODO Imp.]],CI$9)</f>
        <v>0</v>
      </c>
      <c r="CJ655" s="693">
        <f>SUMIFS(Imput[[Importe Neto]:[Importe Neto]],Imput[[C. Imp.]:[C. Imp.]],$D655,Imput[[PERIODO Imp.]:[PERIODO Imp.]],CJ$9)</f>
        <v>0</v>
      </c>
      <c r="CK655" s="693">
        <f>SUMIFS(Imput[[Importe Neto]:[Importe Neto]],Imput[[C. Imp.]:[C. Imp.]],$D655,Imput[[PERIODO Imp.]:[PERIODO Imp.]],CK$9)</f>
        <v>0</v>
      </c>
      <c r="CL655" s="693">
        <f>SUMIFS(Imput[[Importe Neto]:[Importe Neto]],Imput[[C. Imp.]:[C. Imp.]],$D655,Imput[[PERIODO Imp.]:[PERIODO Imp.]],CL$9)</f>
        <v>0</v>
      </c>
      <c r="CM655" s="693">
        <f>SUMIFS(Imput[[Importe Neto]:[Importe Neto]],Imput[[C. Imp.]:[C. Imp.]],$D655,Imput[[PERIODO Imp.]:[PERIODO Imp.]],CM$9)</f>
        <v>0</v>
      </c>
      <c r="CN655" s="693">
        <f>SUMIFS(Imput[[Importe Neto]:[Importe Neto]],Imput[[C. Imp.]:[C. Imp.]],$D655,Imput[[PERIODO Imp.]:[PERIODO Imp.]],CN$9)</f>
        <v>0</v>
      </c>
      <c r="CO655" s="693">
        <f>SUMIFS(Imput[[Importe Neto]:[Importe Neto]],Imput[[C. Imp.]:[C. Imp.]],$D655,Imput[[PERIODO Imp.]:[PERIODO Imp.]],CO$9)</f>
        <v>0</v>
      </c>
      <c r="CP655" s="693">
        <f>SUMIFS(Imput[[Importe Neto]:[Importe Neto]],Imput[[C. Imp.]:[C. Imp.]],$D655,Imput[[PERIODO Imp.]:[PERIODO Imp.]],CP$9)</f>
        <v>0</v>
      </c>
      <c r="CQ655" s="693">
        <f>SUMIFS(Imput[[Importe Neto]:[Importe Neto]],Imput[[C. Imp.]:[C. Imp.]],$D655,Imput[[PERIODO Imp.]:[PERIODO Imp.]],CQ$9)</f>
        <v>0</v>
      </c>
      <c r="CR655" s="693">
        <f>SUMIFS(Imput[[Importe Neto]:[Importe Neto]],Imput[[C. Imp.]:[C. Imp.]],$D655,Imput[[PERIODO Imp.]:[PERIODO Imp.]],CR$9)</f>
        <v>0</v>
      </c>
      <c r="CS655" s="693">
        <f>SUMIFS(Imput[[Importe Neto]:[Importe Neto]],Imput[[C. Imp.]:[C. Imp.]],$D655,Imput[[PERIODO Imp.]:[PERIODO Imp.]],CS$9)</f>
        <v>0</v>
      </c>
      <c r="CT655" s="693">
        <f>SUMIFS(Imput[[Importe Neto]:[Importe Neto]],Imput[[C. Imp.]:[C. Imp.]],$D655,Imput[[PERIODO Imp.]:[PERIODO Imp.]],CT$9)</f>
        <v>0</v>
      </c>
      <c r="CU655" s="693">
        <f>SUMIFS(Imput[[Importe Neto]:[Importe Neto]],Imput[[C. Imp.]:[C. Imp.]],$D655,Imput[[PERIODO Imp.]:[PERIODO Imp.]],CU$9)</f>
        <v>0</v>
      </c>
      <c r="CV655" s="693">
        <f>SUMIFS(Imput[[Importe Neto]:[Importe Neto]],Imput[[C. Imp.]:[C. Imp.]],$D655,Imput[[PERIODO Imp.]:[PERIODO Imp.]],CV$9)</f>
        <v>0</v>
      </c>
      <c r="CW655" s="693">
        <f>SUMIFS(Imput[[Importe Neto]:[Importe Neto]],Imput[[C. Imp.]:[C. Imp.]],$D655,Imput[[PERIODO Imp.]:[PERIODO Imp.]],CW$9)</f>
        <v>0</v>
      </c>
      <c r="CX655" s="693">
        <f>SUMIFS(Imput[[Importe Neto]:[Importe Neto]],Imput[[C. Imp.]:[C. Imp.]],$D655,Imput[[PERIODO Imp.]:[PERIODO Imp.]],CX$9)</f>
        <v>0</v>
      </c>
      <c r="CY655" s="693">
        <f>SUMIFS(Imput[[Importe Neto]:[Importe Neto]],Imput[[C. Imp.]:[C. Imp.]],$D655,Imput[[PERIODO Imp.]:[PERIODO Imp.]],CY$9)</f>
        <v>0</v>
      </c>
      <c r="CZ655" s="693">
        <f>SUMIFS(Imput[[Importe Neto]:[Importe Neto]],Imput[[C. Imp.]:[C. Imp.]],$D655,Imput[[PERIODO Imp.]:[PERIODO Imp.]],CZ$9)</f>
        <v>0</v>
      </c>
      <c r="DA655" s="693">
        <f>SUMIFS(Imput[[Importe Neto]:[Importe Neto]],Imput[[C. Imp.]:[C. Imp.]],$D655,Imput[[PERIODO Imp.]:[PERIODO Imp.]],DA$9)</f>
        <v>0</v>
      </c>
      <c r="DB655" s="693">
        <f>SUMIFS(Imput[[Importe Neto]:[Importe Neto]],Imput[[C. Imp.]:[C. Imp.]],$D655,Imput[[PERIODO Imp.]:[PERIODO Imp.]],DB$9)</f>
        <v>0</v>
      </c>
      <c r="DC655" s="693">
        <f>SUMIFS(Imput[[Importe Neto]:[Importe Neto]],Imput[[C. Imp.]:[C. Imp.]],$D655,Imput[[PERIODO Imp.]:[PERIODO Imp.]],DC$9)</f>
        <v>0</v>
      </c>
      <c r="DD655" s="693">
        <f>SUMIFS(Imput[[Importe Neto]:[Importe Neto]],Imput[[C. Imp.]:[C. Imp.]],$D655,Imput[[PERIODO Imp.]:[PERIODO Imp.]],DD$9)</f>
        <v>0</v>
      </c>
      <c r="DE655" s="693">
        <f>SUMIFS(Imput[[Importe Neto]:[Importe Neto]],Imput[[C. Imp.]:[C. Imp.]],$D655,Imput[[PERIODO Imp.]:[PERIODO Imp.]],DE$9)</f>
        <v>0</v>
      </c>
      <c r="DF655" s="693">
        <f>SUMIFS(Imput[[Importe Neto]:[Importe Neto]],Imput[[C. Imp.]:[C. Imp.]],$D655,Imput[[PERIODO Imp.]:[PERIODO Imp.]],DF$9)</f>
        <v>0</v>
      </c>
      <c r="DG655" s="693">
        <f>SUMIFS(Imput[[Importe Neto]:[Importe Neto]],Imput[[C. Imp.]:[C. Imp.]],$D655,Imput[[PERIODO Imp.]:[PERIODO Imp.]],DG$9)</f>
        <v>0</v>
      </c>
      <c r="DH655" s="694">
        <f>SUMIFS(Imput[[Importe Neto]:[Importe Neto]],Imput[[C. Imp.]:[C. Imp.]],$D655,Imput[[PERIODO Imp.]:[PERIODO Imp.]],DH$9)</f>
        <v>0</v>
      </c>
    </row>
    <row r="656" spans="1:112" s="649" customFormat="1" hidden="1" outlineLevel="1" x14ac:dyDescent="0.3">
      <c r="A656" s="652" t="str">
        <f t="shared" si="232"/>
        <v/>
      </c>
      <c r="B656" s="652"/>
      <c r="C656" s="685"/>
      <c r="D656" s="686" t="s">
        <v>2670</v>
      </c>
      <c r="E656" s="686"/>
      <c r="F656" s="720"/>
      <c r="G656" s="688"/>
      <c r="H656" s="696"/>
      <c r="I656" s="851" t="str">
        <f t="shared" si="233"/>
        <v/>
      </c>
      <c r="J656" s="517" t="str">
        <f t="shared" si="234"/>
        <v/>
      </c>
      <c r="K656" s="667"/>
      <c r="L656" s="858"/>
      <c r="M656" s="859"/>
      <c r="N656" s="859"/>
      <c r="O656" s="859"/>
      <c r="P656" s="859"/>
      <c r="Q656" s="859"/>
      <c r="R656" s="859"/>
      <c r="S656" s="859"/>
      <c r="T656" s="859"/>
      <c r="U656" s="859"/>
      <c r="V656" s="859"/>
      <c r="W656" s="859"/>
      <c r="X656" s="859"/>
      <c r="Y656" s="859"/>
      <c r="Z656" s="860"/>
      <c r="AA656" s="860"/>
      <c r="AB656" s="860"/>
      <c r="AC656" s="860"/>
      <c r="AD656" s="860"/>
      <c r="AE656" s="860"/>
      <c r="AF656" s="860"/>
      <c r="AG656" s="860"/>
      <c r="AH656" s="860"/>
      <c r="AI656" s="860"/>
      <c r="AJ656" s="860"/>
      <c r="AK656" s="860"/>
      <c r="AL656" s="860"/>
      <c r="AM656" s="860"/>
      <c r="AN656" s="860"/>
      <c r="AO656" s="860"/>
      <c r="AP656" s="860"/>
      <c r="AQ656" s="860"/>
      <c r="AR656" s="860"/>
      <c r="AS656" s="860"/>
      <c r="AT656" s="860"/>
      <c r="AU656" s="860"/>
      <c r="AV656" s="860"/>
      <c r="AW656" s="860"/>
      <c r="AX656" s="860"/>
      <c r="AY656" s="860"/>
      <c r="AZ656" s="860"/>
      <c r="BA656" s="860"/>
      <c r="BB656" s="860"/>
      <c r="BC656" s="860"/>
      <c r="BD656" s="860"/>
      <c r="BE656" s="860"/>
      <c r="BF656" s="860"/>
      <c r="BG656" s="860"/>
      <c r="BH656" s="668"/>
      <c r="BI656" s="654"/>
      <c r="BJ656" s="690">
        <f t="shared" si="235"/>
        <v>0</v>
      </c>
      <c r="BK656" s="691">
        <f t="shared" si="236"/>
        <v>0</v>
      </c>
      <c r="BL656" s="654"/>
      <c r="BM656" s="692">
        <f>SUMIFS(Imput[[Importe Neto]:[Importe Neto]],Imput[[C. Imp.]:[C. Imp.]],$D656,Imput[[PERIODO Imp.]:[PERIODO Imp.]],BM$9)</f>
        <v>0</v>
      </c>
      <c r="BN656" s="693">
        <f>SUMIFS(Imput[[Importe Neto]:[Importe Neto]],Imput[[C. Imp.]:[C. Imp.]],$D656,Imput[[PERIODO Imp.]:[PERIODO Imp.]],BN$9)</f>
        <v>0</v>
      </c>
      <c r="BO656" s="693">
        <f>SUMIFS(Imput[[Importe Neto]:[Importe Neto]],Imput[[C. Imp.]:[C. Imp.]],$D656,Imput[[PERIODO Imp.]:[PERIODO Imp.]],BO$9)</f>
        <v>0</v>
      </c>
      <c r="BP656" s="693">
        <f>SUMIFS(Imput[[Importe Neto]:[Importe Neto]],Imput[[C. Imp.]:[C. Imp.]],$D656,Imput[[PERIODO Imp.]:[PERIODO Imp.]],BP$9)</f>
        <v>0</v>
      </c>
      <c r="BQ656" s="693">
        <f>SUMIFS(Imput[[Importe Neto]:[Importe Neto]],Imput[[C. Imp.]:[C. Imp.]],$D656,Imput[[PERIODO Imp.]:[PERIODO Imp.]],BQ$9)</f>
        <v>0</v>
      </c>
      <c r="BR656" s="693">
        <f>SUMIFS(Imput[[Importe Neto]:[Importe Neto]],Imput[[C. Imp.]:[C. Imp.]],$D656,Imput[[PERIODO Imp.]:[PERIODO Imp.]],BR$9)</f>
        <v>0</v>
      </c>
      <c r="BS656" s="693">
        <f>SUMIFS(Imput[[Importe Neto]:[Importe Neto]],Imput[[C. Imp.]:[C. Imp.]],$D656,Imput[[PERIODO Imp.]:[PERIODO Imp.]],BS$9)</f>
        <v>0</v>
      </c>
      <c r="BT656" s="693">
        <f>SUMIFS(Imput[[Importe Neto]:[Importe Neto]],Imput[[C. Imp.]:[C. Imp.]],$D656,Imput[[PERIODO Imp.]:[PERIODO Imp.]],BT$9)</f>
        <v>0</v>
      </c>
      <c r="BU656" s="693">
        <f>SUMIFS(Imput[[Importe Neto]:[Importe Neto]],Imput[[C. Imp.]:[C. Imp.]],$D656,Imput[[PERIODO Imp.]:[PERIODO Imp.]],BU$9)</f>
        <v>0</v>
      </c>
      <c r="BV656" s="693">
        <f>SUMIFS(Imput[[Importe Neto]:[Importe Neto]],Imput[[C. Imp.]:[C. Imp.]],$D656,Imput[[PERIODO Imp.]:[PERIODO Imp.]],BV$9)</f>
        <v>0</v>
      </c>
      <c r="BW656" s="693">
        <f>SUMIFS(Imput[[Importe Neto]:[Importe Neto]],Imput[[C. Imp.]:[C. Imp.]],$D656,Imput[[PERIODO Imp.]:[PERIODO Imp.]],BW$9)</f>
        <v>0</v>
      </c>
      <c r="BX656" s="693">
        <f>SUMIFS(Imput[[Importe Neto]:[Importe Neto]],Imput[[C. Imp.]:[C. Imp.]],$D656,Imput[[PERIODO Imp.]:[PERIODO Imp.]],BX$9)</f>
        <v>0</v>
      </c>
      <c r="BY656" s="693">
        <f>SUMIFS(Imput[[Importe Neto]:[Importe Neto]],Imput[[C. Imp.]:[C. Imp.]],$D656,Imput[[PERIODO Imp.]:[PERIODO Imp.]],BY$9)</f>
        <v>0</v>
      </c>
      <c r="BZ656" s="693">
        <f>SUMIFS(Imput[[Importe Neto]:[Importe Neto]],Imput[[C. Imp.]:[C. Imp.]],$D656,Imput[[PERIODO Imp.]:[PERIODO Imp.]],BZ$9)</f>
        <v>0</v>
      </c>
      <c r="CA656" s="693">
        <f>SUMIFS(Imput[[Importe Neto]:[Importe Neto]],Imput[[C. Imp.]:[C. Imp.]],$D656,Imput[[PERIODO Imp.]:[PERIODO Imp.]],CA$9)</f>
        <v>0</v>
      </c>
      <c r="CB656" s="693">
        <f>SUMIFS(Imput[[Importe Neto]:[Importe Neto]],Imput[[C. Imp.]:[C. Imp.]],$D656,Imput[[PERIODO Imp.]:[PERIODO Imp.]],CB$9)</f>
        <v>0</v>
      </c>
      <c r="CC656" s="693">
        <f>SUMIFS(Imput[[Importe Neto]:[Importe Neto]],Imput[[C. Imp.]:[C. Imp.]],$D656,Imput[[PERIODO Imp.]:[PERIODO Imp.]],CC$9)</f>
        <v>0</v>
      </c>
      <c r="CD656" s="693">
        <f>SUMIFS(Imput[[Importe Neto]:[Importe Neto]],Imput[[C. Imp.]:[C. Imp.]],$D656,Imput[[PERIODO Imp.]:[PERIODO Imp.]],CD$9)</f>
        <v>0</v>
      </c>
      <c r="CE656" s="693">
        <f>SUMIFS(Imput[[Importe Neto]:[Importe Neto]],Imput[[C. Imp.]:[C. Imp.]],$D656,Imput[[PERIODO Imp.]:[PERIODO Imp.]],CE$9)</f>
        <v>0</v>
      </c>
      <c r="CF656" s="693">
        <f>SUMIFS(Imput[[Importe Neto]:[Importe Neto]],Imput[[C. Imp.]:[C. Imp.]],$D656,Imput[[PERIODO Imp.]:[PERIODO Imp.]],CF$9)</f>
        <v>0</v>
      </c>
      <c r="CG656" s="693">
        <f>SUMIFS(Imput[[Importe Neto]:[Importe Neto]],Imput[[C. Imp.]:[C. Imp.]],$D656,Imput[[PERIODO Imp.]:[PERIODO Imp.]],CG$9)</f>
        <v>0</v>
      </c>
      <c r="CH656" s="693">
        <f>SUMIFS(Imput[[Importe Neto]:[Importe Neto]],Imput[[C. Imp.]:[C. Imp.]],$D656,Imput[[PERIODO Imp.]:[PERIODO Imp.]],CH$9)</f>
        <v>0</v>
      </c>
      <c r="CI656" s="693">
        <f>SUMIFS(Imput[[Importe Neto]:[Importe Neto]],Imput[[C. Imp.]:[C. Imp.]],$D656,Imput[[PERIODO Imp.]:[PERIODO Imp.]],CI$9)</f>
        <v>0</v>
      </c>
      <c r="CJ656" s="693">
        <f>SUMIFS(Imput[[Importe Neto]:[Importe Neto]],Imput[[C. Imp.]:[C. Imp.]],$D656,Imput[[PERIODO Imp.]:[PERIODO Imp.]],CJ$9)</f>
        <v>0</v>
      </c>
      <c r="CK656" s="693">
        <f>SUMIFS(Imput[[Importe Neto]:[Importe Neto]],Imput[[C. Imp.]:[C. Imp.]],$D656,Imput[[PERIODO Imp.]:[PERIODO Imp.]],CK$9)</f>
        <v>0</v>
      </c>
      <c r="CL656" s="693">
        <f>SUMIFS(Imput[[Importe Neto]:[Importe Neto]],Imput[[C. Imp.]:[C. Imp.]],$D656,Imput[[PERIODO Imp.]:[PERIODO Imp.]],CL$9)</f>
        <v>0</v>
      </c>
      <c r="CM656" s="693">
        <f>SUMIFS(Imput[[Importe Neto]:[Importe Neto]],Imput[[C. Imp.]:[C. Imp.]],$D656,Imput[[PERIODO Imp.]:[PERIODO Imp.]],CM$9)</f>
        <v>0</v>
      </c>
      <c r="CN656" s="693">
        <f>SUMIFS(Imput[[Importe Neto]:[Importe Neto]],Imput[[C. Imp.]:[C. Imp.]],$D656,Imput[[PERIODO Imp.]:[PERIODO Imp.]],CN$9)</f>
        <v>0</v>
      </c>
      <c r="CO656" s="693">
        <f>SUMIFS(Imput[[Importe Neto]:[Importe Neto]],Imput[[C. Imp.]:[C. Imp.]],$D656,Imput[[PERIODO Imp.]:[PERIODO Imp.]],CO$9)</f>
        <v>0</v>
      </c>
      <c r="CP656" s="693">
        <f>SUMIFS(Imput[[Importe Neto]:[Importe Neto]],Imput[[C. Imp.]:[C. Imp.]],$D656,Imput[[PERIODO Imp.]:[PERIODO Imp.]],CP$9)</f>
        <v>0</v>
      </c>
      <c r="CQ656" s="693">
        <f>SUMIFS(Imput[[Importe Neto]:[Importe Neto]],Imput[[C. Imp.]:[C. Imp.]],$D656,Imput[[PERIODO Imp.]:[PERIODO Imp.]],CQ$9)</f>
        <v>0</v>
      </c>
      <c r="CR656" s="693">
        <f>SUMIFS(Imput[[Importe Neto]:[Importe Neto]],Imput[[C. Imp.]:[C. Imp.]],$D656,Imput[[PERIODO Imp.]:[PERIODO Imp.]],CR$9)</f>
        <v>0</v>
      </c>
      <c r="CS656" s="693">
        <f>SUMIFS(Imput[[Importe Neto]:[Importe Neto]],Imput[[C. Imp.]:[C. Imp.]],$D656,Imput[[PERIODO Imp.]:[PERIODO Imp.]],CS$9)</f>
        <v>0</v>
      </c>
      <c r="CT656" s="693">
        <f>SUMIFS(Imput[[Importe Neto]:[Importe Neto]],Imput[[C. Imp.]:[C. Imp.]],$D656,Imput[[PERIODO Imp.]:[PERIODO Imp.]],CT$9)</f>
        <v>0</v>
      </c>
      <c r="CU656" s="693">
        <f>SUMIFS(Imput[[Importe Neto]:[Importe Neto]],Imput[[C. Imp.]:[C. Imp.]],$D656,Imput[[PERIODO Imp.]:[PERIODO Imp.]],CU$9)</f>
        <v>0</v>
      </c>
      <c r="CV656" s="693">
        <f>SUMIFS(Imput[[Importe Neto]:[Importe Neto]],Imput[[C. Imp.]:[C. Imp.]],$D656,Imput[[PERIODO Imp.]:[PERIODO Imp.]],CV$9)</f>
        <v>0</v>
      </c>
      <c r="CW656" s="693">
        <f>SUMIFS(Imput[[Importe Neto]:[Importe Neto]],Imput[[C. Imp.]:[C. Imp.]],$D656,Imput[[PERIODO Imp.]:[PERIODO Imp.]],CW$9)</f>
        <v>0</v>
      </c>
      <c r="CX656" s="693">
        <f>SUMIFS(Imput[[Importe Neto]:[Importe Neto]],Imput[[C. Imp.]:[C. Imp.]],$D656,Imput[[PERIODO Imp.]:[PERIODO Imp.]],CX$9)</f>
        <v>0</v>
      </c>
      <c r="CY656" s="693">
        <f>SUMIFS(Imput[[Importe Neto]:[Importe Neto]],Imput[[C. Imp.]:[C. Imp.]],$D656,Imput[[PERIODO Imp.]:[PERIODO Imp.]],CY$9)</f>
        <v>0</v>
      </c>
      <c r="CZ656" s="693">
        <f>SUMIFS(Imput[[Importe Neto]:[Importe Neto]],Imput[[C. Imp.]:[C. Imp.]],$D656,Imput[[PERIODO Imp.]:[PERIODO Imp.]],CZ$9)</f>
        <v>0</v>
      </c>
      <c r="DA656" s="693">
        <f>SUMIFS(Imput[[Importe Neto]:[Importe Neto]],Imput[[C. Imp.]:[C. Imp.]],$D656,Imput[[PERIODO Imp.]:[PERIODO Imp.]],DA$9)</f>
        <v>0</v>
      </c>
      <c r="DB656" s="693">
        <f>SUMIFS(Imput[[Importe Neto]:[Importe Neto]],Imput[[C. Imp.]:[C. Imp.]],$D656,Imput[[PERIODO Imp.]:[PERIODO Imp.]],DB$9)</f>
        <v>0</v>
      </c>
      <c r="DC656" s="693">
        <f>SUMIFS(Imput[[Importe Neto]:[Importe Neto]],Imput[[C. Imp.]:[C. Imp.]],$D656,Imput[[PERIODO Imp.]:[PERIODO Imp.]],DC$9)</f>
        <v>0</v>
      </c>
      <c r="DD656" s="693">
        <f>SUMIFS(Imput[[Importe Neto]:[Importe Neto]],Imput[[C. Imp.]:[C. Imp.]],$D656,Imput[[PERIODO Imp.]:[PERIODO Imp.]],DD$9)</f>
        <v>0</v>
      </c>
      <c r="DE656" s="693">
        <f>SUMIFS(Imput[[Importe Neto]:[Importe Neto]],Imput[[C. Imp.]:[C. Imp.]],$D656,Imput[[PERIODO Imp.]:[PERIODO Imp.]],DE$9)</f>
        <v>0</v>
      </c>
      <c r="DF656" s="693">
        <f>SUMIFS(Imput[[Importe Neto]:[Importe Neto]],Imput[[C. Imp.]:[C. Imp.]],$D656,Imput[[PERIODO Imp.]:[PERIODO Imp.]],DF$9)</f>
        <v>0</v>
      </c>
      <c r="DG656" s="693">
        <f>SUMIFS(Imput[[Importe Neto]:[Importe Neto]],Imput[[C. Imp.]:[C. Imp.]],$D656,Imput[[PERIODO Imp.]:[PERIODO Imp.]],DG$9)</f>
        <v>0</v>
      </c>
      <c r="DH656" s="694">
        <f>SUMIFS(Imput[[Importe Neto]:[Importe Neto]],Imput[[C. Imp.]:[C. Imp.]],$D656,Imput[[PERIODO Imp.]:[PERIODO Imp.]],DH$9)</f>
        <v>0</v>
      </c>
    </row>
    <row r="657" spans="1:112" s="649" customFormat="1" hidden="1" outlineLevel="1" x14ac:dyDescent="0.3">
      <c r="A657" s="652" t="str">
        <f t="shared" si="232"/>
        <v/>
      </c>
      <c r="B657" s="652"/>
      <c r="C657" s="685"/>
      <c r="D657" s="686" t="s">
        <v>2671</v>
      </c>
      <c r="E657" s="686"/>
      <c r="F657" s="720"/>
      <c r="G657" s="688"/>
      <c r="H657" s="696"/>
      <c r="I657" s="851" t="str">
        <f t="shared" si="233"/>
        <v/>
      </c>
      <c r="J657" s="517" t="str">
        <f t="shared" si="234"/>
        <v/>
      </c>
      <c r="K657" s="667"/>
      <c r="L657" s="858"/>
      <c r="M657" s="859"/>
      <c r="N657" s="859"/>
      <c r="O657" s="859"/>
      <c r="P657" s="859"/>
      <c r="Q657" s="859"/>
      <c r="R657" s="859"/>
      <c r="S657" s="859"/>
      <c r="T657" s="859"/>
      <c r="U657" s="859"/>
      <c r="V657" s="859"/>
      <c r="W657" s="859"/>
      <c r="X657" s="859"/>
      <c r="Y657" s="859"/>
      <c r="Z657" s="860"/>
      <c r="AA657" s="860"/>
      <c r="AB657" s="860"/>
      <c r="AC657" s="860"/>
      <c r="AD657" s="860"/>
      <c r="AE657" s="860"/>
      <c r="AF657" s="860"/>
      <c r="AG657" s="860"/>
      <c r="AH657" s="860"/>
      <c r="AI657" s="860"/>
      <c r="AJ657" s="860"/>
      <c r="AK657" s="860"/>
      <c r="AL657" s="860"/>
      <c r="AM657" s="860"/>
      <c r="AN657" s="860"/>
      <c r="AO657" s="860"/>
      <c r="AP657" s="860"/>
      <c r="AQ657" s="860"/>
      <c r="AR657" s="860"/>
      <c r="AS657" s="860"/>
      <c r="AT657" s="860"/>
      <c r="AU657" s="860"/>
      <c r="AV657" s="860"/>
      <c r="AW657" s="860"/>
      <c r="AX657" s="860"/>
      <c r="AY657" s="860"/>
      <c r="AZ657" s="860"/>
      <c r="BA657" s="860"/>
      <c r="BB657" s="860"/>
      <c r="BC657" s="860"/>
      <c r="BD657" s="860"/>
      <c r="BE657" s="860"/>
      <c r="BF657" s="860"/>
      <c r="BG657" s="860"/>
      <c r="BH657" s="668"/>
      <c r="BI657" s="654"/>
      <c r="BJ657" s="690">
        <f t="shared" si="235"/>
        <v>0</v>
      </c>
      <c r="BK657" s="691">
        <f t="shared" si="236"/>
        <v>0</v>
      </c>
      <c r="BL657" s="654"/>
      <c r="BM657" s="697">
        <f>SUMIFS(Imput[[Importe Neto]:[Importe Neto]],Imput[[C. Imp.]:[C. Imp.]],$D657,Imput[[PERIODO Imp.]:[PERIODO Imp.]],BM$9)</f>
        <v>0</v>
      </c>
      <c r="BN657" s="698">
        <f>SUMIFS(Imput[[Importe Neto]:[Importe Neto]],Imput[[C. Imp.]:[C. Imp.]],$D657,Imput[[PERIODO Imp.]:[PERIODO Imp.]],BN$9)</f>
        <v>0</v>
      </c>
      <c r="BO657" s="698">
        <f>SUMIFS(Imput[[Importe Neto]:[Importe Neto]],Imput[[C. Imp.]:[C. Imp.]],$D657,Imput[[PERIODO Imp.]:[PERIODO Imp.]],BO$9)</f>
        <v>0</v>
      </c>
      <c r="BP657" s="698">
        <f>SUMIFS(Imput[[Importe Neto]:[Importe Neto]],Imput[[C. Imp.]:[C. Imp.]],$D657,Imput[[PERIODO Imp.]:[PERIODO Imp.]],BP$9)</f>
        <v>0</v>
      </c>
      <c r="BQ657" s="698">
        <f>SUMIFS(Imput[[Importe Neto]:[Importe Neto]],Imput[[C. Imp.]:[C. Imp.]],$D657,Imput[[PERIODO Imp.]:[PERIODO Imp.]],BQ$9)</f>
        <v>0</v>
      </c>
      <c r="BR657" s="698">
        <f>SUMIFS(Imput[[Importe Neto]:[Importe Neto]],Imput[[C. Imp.]:[C. Imp.]],$D657,Imput[[PERIODO Imp.]:[PERIODO Imp.]],BR$9)</f>
        <v>0</v>
      </c>
      <c r="BS657" s="698">
        <f>SUMIFS(Imput[[Importe Neto]:[Importe Neto]],Imput[[C. Imp.]:[C. Imp.]],$D657,Imput[[PERIODO Imp.]:[PERIODO Imp.]],BS$9)</f>
        <v>0</v>
      </c>
      <c r="BT657" s="698">
        <f>SUMIFS(Imput[[Importe Neto]:[Importe Neto]],Imput[[C. Imp.]:[C. Imp.]],$D657,Imput[[PERIODO Imp.]:[PERIODO Imp.]],BT$9)</f>
        <v>0</v>
      </c>
      <c r="BU657" s="698">
        <f>SUMIFS(Imput[[Importe Neto]:[Importe Neto]],Imput[[C. Imp.]:[C. Imp.]],$D657,Imput[[PERIODO Imp.]:[PERIODO Imp.]],BU$9)</f>
        <v>0</v>
      </c>
      <c r="BV657" s="698">
        <f>SUMIFS(Imput[[Importe Neto]:[Importe Neto]],Imput[[C. Imp.]:[C. Imp.]],$D657,Imput[[PERIODO Imp.]:[PERIODO Imp.]],BV$9)</f>
        <v>0</v>
      </c>
      <c r="BW657" s="698">
        <f>SUMIFS(Imput[[Importe Neto]:[Importe Neto]],Imput[[C. Imp.]:[C. Imp.]],$D657,Imput[[PERIODO Imp.]:[PERIODO Imp.]],BW$9)</f>
        <v>0</v>
      </c>
      <c r="BX657" s="698">
        <f>SUMIFS(Imput[[Importe Neto]:[Importe Neto]],Imput[[C. Imp.]:[C. Imp.]],$D657,Imput[[PERIODO Imp.]:[PERIODO Imp.]],BX$9)</f>
        <v>0</v>
      </c>
      <c r="BY657" s="698">
        <f>SUMIFS(Imput[[Importe Neto]:[Importe Neto]],Imput[[C. Imp.]:[C. Imp.]],$D657,Imput[[PERIODO Imp.]:[PERIODO Imp.]],BY$9)</f>
        <v>0</v>
      </c>
      <c r="BZ657" s="698">
        <f>SUMIFS(Imput[[Importe Neto]:[Importe Neto]],Imput[[C. Imp.]:[C. Imp.]],$D657,Imput[[PERIODO Imp.]:[PERIODO Imp.]],BZ$9)</f>
        <v>0</v>
      </c>
      <c r="CA657" s="698">
        <f>SUMIFS(Imput[[Importe Neto]:[Importe Neto]],Imput[[C. Imp.]:[C. Imp.]],$D657,Imput[[PERIODO Imp.]:[PERIODO Imp.]],CA$9)</f>
        <v>0</v>
      </c>
      <c r="CB657" s="698">
        <f>SUMIFS(Imput[[Importe Neto]:[Importe Neto]],Imput[[C. Imp.]:[C. Imp.]],$D657,Imput[[PERIODO Imp.]:[PERIODO Imp.]],CB$9)</f>
        <v>0</v>
      </c>
      <c r="CC657" s="698">
        <f>SUMIFS(Imput[[Importe Neto]:[Importe Neto]],Imput[[C. Imp.]:[C. Imp.]],$D657,Imput[[PERIODO Imp.]:[PERIODO Imp.]],CC$9)</f>
        <v>0</v>
      </c>
      <c r="CD657" s="698">
        <f>SUMIFS(Imput[[Importe Neto]:[Importe Neto]],Imput[[C. Imp.]:[C. Imp.]],$D657,Imput[[PERIODO Imp.]:[PERIODO Imp.]],CD$9)</f>
        <v>0</v>
      </c>
      <c r="CE657" s="698">
        <f>SUMIFS(Imput[[Importe Neto]:[Importe Neto]],Imput[[C. Imp.]:[C. Imp.]],$D657,Imput[[PERIODO Imp.]:[PERIODO Imp.]],CE$9)</f>
        <v>0</v>
      </c>
      <c r="CF657" s="698">
        <f>SUMIFS(Imput[[Importe Neto]:[Importe Neto]],Imput[[C. Imp.]:[C. Imp.]],$D657,Imput[[PERIODO Imp.]:[PERIODO Imp.]],CF$9)</f>
        <v>0</v>
      </c>
      <c r="CG657" s="698">
        <f>SUMIFS(Imput[[Importe Neto]:[Importe Neto]],Imput[[C. Imp.]:[C. Imp.]],$D657,Imput[[PERIODO Imp.]:[PERIODO Imp.]],CG$9)</f>
        <v>0</v>
      </c>
      <c r="CH657" s="698">
        <f>SUMIFS(Imput[[Importe Neto]:[Importe Neto]],Imput[[C. Imp.]:[C. Imp.]],$D657,Imput[[PERIODO Imp.]:[PERIODO Imp.]],CH$9)</f>
        <v>0</v>
      </c>
      <c r="CI657" s="698">
        <f>SUMIFS(Imput[[Importe Neto]:[Importe Neto]],Imput[[C. Imp.]:[C. Imp.]],$D657,Imput[[PERIODO Imp.]:[PERIODO Imp.]],CI$9)</f>
        <v>0</v>
      </c>
      <c r="CJ657" s="698">
        <f>SUMIFS(Imput[[Importe Neto]:[Importe Neto]],Imput[[C. Imp.]:[C. Imp.]],$D657,Imput[[PERIODO Imp.]:[PERIODO Imp.]],CJ$9)</f>
        <v>0</v>
      </c>
      <c r="CK657" s="698">
        <f>SUMIFS(Imput[[Importe Neto]:[Importe Neto]],Imput[[C. Imp.]:[C. Imp.]],$D657,Imput[[PERIODO Imp.]:[PERIODO Imp.]],CK$9)</f>
        <v>0</v>
      </c>
      <c r="CL657" s="698">
        <f>SUMIFS(Imput[[Importe Neto]:[Importe Neto]],Imput[[C. Imp.]:[C. Imp.]],$D657,Imput[[PERIODO Imp.]:[PERIODO Imp.]],CL$9)</f>
        <v>0</v>
      </c>
      <c r="CM657" s="698">
        <f>SUMIFS(Imput[[Importe Neto]:[Importe Neto]],Imput[[C. Imp.]:[C. Imp.]],$D657,Imput[[PERIODO Imp.]:[PERIODO Imp.]],CM$9)</f>
        <v>0</v>
      </c>
      <c r="CN657" s="698">
        <f>SUMIFS(Imput[[Importe Neto]:[Importe Neto]],Imput[[C. Imp.]:[C. Imp.]],$D657,Imput[[PERIODO Imp.]:[PERIODO Imp.]],CN$9)</f>
        <v>0</v>
      </c>
      <c r="CO657" s="698">
        <f>SUMIFS(Imput[[Importe Neto]:[Importe Neto]],Imput[[C. Imp.]:[C. Imp.]],$D657,Imput[[PERIODO Imp.]:[PERIODO Imp.]],CO$9)</f>
        <v>0</v>
      </c>
      <c r="CP657" s="698">
        <f>SUMIFS(Imput[[Importe Neto]:[Importe Neto]],Imput[[C. Imp.]:[C. Imp.]],$D657,Imput[[PERIODO Imp.]:[PERIODO Imp.]],CP$9)</f>
        <v>0</v>
      </c>
      <c r="CQ657" s="698">
        <f>SUMIFS(Imput[[Importe Neto]:[Importe Neto]],Imput[[C. Imp.]:[C. Imp.]],$D657,Imput[[PERIODO Imp.]:[PERIODO Imp.]],CQ$9)</f>
        <v>0</v>
      </c>
      <c r="CR657" s="698">
        <f>SUMIFS(Imput[[Importe Neto]:[Importe Neto]],Imput[[C. Imp.]:[C. Imp.]],$D657,Imput[[PERIODO Imp.]:[PERIODO Imp.]],CR$9)</f>
        <v>0</v>
      </c>
      <c r="CS657" s="698">
        <f>SUMIFS(Imput[[Importe Neto]:[Importe Neto]],Imput[[C. Imp.]:[C. Imp.]],$D657,Imput[[PERIODO Imp.]:[PERIODO Imp.]],CS$9)</f>
        <v>0</v>
      </c>
      <c r="CT657" s="698">
        <f>SUMIFS(Imput[[Importe Neto]:[Importe Neto]],Imput[[C. Imp.]:[C. Imp.]],$D657,Imput[[PERIODO Imp.]:[PERIODO Imp.]],CT$9)</f>
        <v>0</v>
      </c>
      <c r="CU657" s="698">
        <f>SUMIFS(Imput[[Importe Neto]:[Importe Neto]],Imput[[C. Imp.]:[C. Imp.]],$D657,Imput[[PERIODO Imp.]:[PERIODO Imp.]],CU$9)</f>
        <v>0</v>
      </c>
      <c r="CV657" s="698">
        <f>SUMIFS(Imput[[Importe Neto]:[Importe Neto]],Imput[[C. Imp.]:[C. Imp.]],$D657,Imput[[PERIODO Imp.]:[PERIODO Imp.]],CV$9)</f>
        <v>0</v>
      </c>
      <c r="CW657" s="698">
        <f>SUMIFS(Imput[[Importe Neto]:[Importe Neto]],Imput[[C. Imp.]:[C. Imp.]],$D657,Imput[[PERIODO Imp.]:[PERIODO Imp.]],CW$9)</f>
        <v>0</v>
      </c>
      <c r="CX657" s="698">
        <f>SUMIFS(Imput[[Importe Neto]:[Importe Neto]],Imput[[C. Imp.]:[C. Imp.]],$D657,Imput[[PERIODO Imp.]:[PERIODO Imp.]],CX$9)</f>
        <v>0</v>
      </c>
      <c r="CY657" s="698">
        <f>SUMIFS(Imput[[Importe Neto]:[Importe Neto]],Imput[[C. Imp.]:[C. Imp.]],$D657,Imput[[PERIODO Imp.]:[PERIODO Imp.]],CY$9)</f>
        <v>0</v>
      </c>
      <c r="CZ657" s="698">
        <f>SUMIFS(Imput[[Importe Neto]:[Importe Neto]],Imput[[C. Imp.]:[C. Imp.]],$D657,Imput[[PERIODO Imp.]:[PERIODO Imp.]],CZ$9)</f>
        <v>0</v>
      </c>
      <c r="DA657" s="698">
        <f>SUMIFS(Imput[[Importe Neto]:[Importe Neto]],Imput[[C. Imp.]:[C. Imp.]],$D657,Imput[[PERIODO Imp.]:[PERIODO Imp.]],DA$9)</f>
        <v>0</v>
      </c>
      <c r="DB657" s="698">
        <f>SUMIFS(Imput[[Importe Neto]:[Importe Neto]],Imput[[C. Imp.]:[C. Imp.]],$D657,Imput[[PERIODO Imp.]:[PERIODO Imp.]],DB$9)</f>
        <v>0</v>
      </c>
      <c r="DC657" s="698">
        <f>SUMIFS(Imput[[Importe Neto]:[Importe Neto]],Imput[[C. Imp.]:[C. Imp.]],$D657,Imput[[PERIODO Imp.]:[PERIODO Imp.]],DC$9)</f>
        <v>0</v>
      </c>
      <c r="DD657" s="698">
        <f>SUMIFS(Imput[[Importe Neto]:[Importe Neto]],Imput[[C. Imp.]:[C. Imp.]],$D657,Imput[[PERIODO Imp.]:[PERIODO Imp.]],DD$9)</f>
        <v>0</v>
      </c>
      <c r="DE657" s="698">
        <f>SUMIFS(Imput[[Importe Neto]:[Importe Neto]],Imput[[C. Imp.]:[C. Imp.]],$D657,Imput[[PERIODO Imp.]:[PERIODO Imp.]],DE$9)</f>
        <v>0</v>
      </c>
      <c r="DF657" s="698">
        <f>SUMIFS(Imput[[Importe Neto]:[Importe Neto]],Imput[[C. Imp.]:[C. Imp.]],$D657,Imput[[PERIODO Imp.]:[PERIODO Imp.]],DF$9)</f>
        <v>0</v>
      </c>
      <c r="DG657" s="698">
        <f>SUMIFS(Imput[[Importe Neto]:[Importe Neto]],Imput[[C. Imp.]:[C. Imp.]],$D657,Imput[[PERIODO Imp.]:[PERIODO Imp.]],DG$9)</f>
        <v>0</v>
      </c>
      <c r="DH657" s="795">
        <f>SUMIFS(Imput[[Importe Neto]:[Importe Neto]],Imput[[C. Imp.]:[C. Imp.]],$D657,Imput[[PERIODO Imp.]:[PERIODO Imp.]],DH$9)</f>
        <v>0</v>
      </c>
    </row>
    <row r="658" spans="1:112" s="649" customFormat="1" ht="14.4" outlineLevel="1" thickBot="1" x14ac:dyDescent="0.35">
      <c r="A658" s="652" t="str">
        <f>IF(J646&gt;0,"Imprimir","")</f>
        <v>Imprimir</v>
      </c>
      <c r="B658" s="652"/>
      <c r="C658" s="699"/>
      <c r="D658" s="700"/>
      <c r="E658" s="700"/>
      <c r="F658" s="701"/>
      <c r="G658" s="702"/>
      <c r="H658" s="703"/>
      <c r="I658" s="704"/>
      <c r="J658" s="705"/>
      <c r="K658" s="667"/>
      <c r="L658" s="706"/>
      <c r="M658" s="707"/>
      <c r="N658" s="777"/>
      <c r="O658" s="777"/>
      <c r="P658" s="778"/>
      <c r="Q658" s="778"/>
      <c r="R658" s="708"/>
      <c r="S658" s="708"/>
      <c r="T658" s="779"/>
      <c r="U658" s="779"/>
      <c r="V658" s="778"/>
      <c r="W658" s="778"/>
      <c r="X658" s="708"/>
      <c r="Y658" s="708"/>
      <c r="Z658" s="708"/>
      <c r="AA658" s="708"/>
      <c r="AB658" s="708"/>
      <c r="AC658" s="708"/>
      <c r="AD658" s="708"/>
      <c r="AE658" s="708"/>
      <c r="AF658" s="708"/>
      <c r="AG658" s="708"/>
      <c r="AH658" s="708"/>
      <c r="AI658" s="708"/>
      <c r="AJ658" s="708"/>
      <c r="AK658" s="708"/>
      <c r="AL658" s="708"/>
      <c r="AM658" s="708"/>
      <c r="AN658" s="708"/>
      <c r="AO658" s="708"/>
      <c r="AP658" s="708"/>
      <c r="AQ658" s="708"/>
      <c r="AR658" s="708"/>
      <c r="AS658" s="708"/>
      <c r="AT658" s="708"/>
      <c r="AU658" s="708"/>
      <c r="AV658" s="708"/>
      <c r="AW658" s="708"/>
      <c r="AX658" s="708"/>
      <c r="AY658" s="708"/>
      <c r="AZ658" s="708"/>
      <c r="BA658" s="708"/>
      <c r="BB658" s="708"/>
      <c r="BC658" s="708"/>
      <c r="BD658" s="708"/>
      <c r="BE658" s="708"/>
      <c r="BF658" s="708"/>
      <c r="BG658" s="708"/>
      <c r="BH658" s="780"/>
      <c r="BI658" s="654"/>
      <c r="BJ658" s="709"/>
      <c r="BK658" s="710"/>
      <c r="BL658" s="654"/>
      <c r="BM658" s="731"/>
      <c r="BN658" s="701"/>
      <c r="BO658" s="701"/>
      <c r="BP658" s="701"/>
      <c r="BQ658" s="701"/>
      <c r="BR658" s="701"/>
      <c r="BS658" s="701"/>
      <c r="BT658" s="701"/>
      <c r="BU658" s="701"/>
      <c r="BV658" s="701"/>
      <c r="BW658" s="701"/>
      <c r="BX658" s="701"/>
      <c r="BY658" s="701"/>
      <c r="BZ658" s="701"/>
      <c r="CA658" s="701"/>
      <c r="CB658" s="701"/>
      <c r="CC658" s="701"/>
      <c r="CD658" s="701"/>
      <c r="CE658" s="701"/>
      <c r="CF658" s="701"/>
      <c r="CG658" s="701"/>
      <c r="CH658" s="701"/>
      <c r="CI658" s="701"/>
      <c r="CJ658" s="701"/>
      <c r="CK658" s="701"/>
      <c r="CL658" s="701"/>
      <c r="CM658" s="701"/>
      <c r="CN658" s="701"/>
      <c r="CO658" s="701"/>
      <c r="CP658" s="701"/>
      <c r="CQ658" s="701"/>
      <c r="CR658" s="701"/>
      <c r="CS658" s="701"/>
      <c r="CT658" s="701"/>
      <c r="CU658" s="701"/>
      <c r="CV658" s="701"/>
      <c r="CW658" s="701"/>
      <c r="CX658" s="701"/>
      <c r="CY658" s="701"/>
      <c r="CZ658" s="701"/>
      <c r="DA658" s="701"/>
      <c r="DB658" s="701"/>
      <c r="DC658" s="701"/>
      <c r="DD658" s="701"/>
      <c r="DE658" s="701"/>
      <c r="DF658" s="701"/>
      <c r="DG658" s="701"/>
      <c r="DH658" s="710"/>
    </row>
    <row r="659" spans="1:112" s="649" customFormat="1" ht="14.4" hidden="1" thickBot="1" x14ac:dyDescent="0.35">
      <c r="A659" s="652" t="str">
        <f>IF(J659&gt;0,"Imprimir","")</f>
        <v/>
      </c>
      <c r="B659" s="652"/>
      <c r="C659" s="711"/>
      <c r="D659" s="712" t="s">
        <v>453</v>
      </c>
      <c r="E659" s="712" t="s">
        <v>507</v>
      </c>
      <c r="F659" s="712"/>
      <c r="G659" s="713"/>
      <c r="H659" s="712"/>
      <c r="I659" s="714"/>
      <c r="J659" s="715">
        <f>SUBTOTAL(9,J662:J681)</f>
        <v>0</v>
      </c>
      <c r="K659" s="658"/>
      <c r="L659" s="770">
        <f t="shared" ref="L659:BG659" si="237">SUMPRODUCT($J662:$J681,L662:L681)</f>
        <v>0</v>
      </c>
      <c r="M659" s="771">
        <f t="shared" si="237"/>
        <v>0</v>
      </c>
      <c r="N659" s="771">
        <f t="shared" si="237"/>
        <v>0</v>
      </c>
      <c r="O659" s="771">
        <f t="shared" si="237"/>
        <v>0</v>
      </c>
      <c r="P659" s="771">
        <f t="shared" si="237"/>
        <v>0</v>
      </c>
      <c r="Q659" s="771">
        <f t="shared" si="237"/>
        <v>0</v>
      </c>
      <c r="R659" s="771">
        <f t="shared" si="237"/>
        <v>0</v>
      </c>
      <c r="S659" s="771">
        <f t="shared" si="237"/>
        <v>0</v>
      </c>
      <c r="T659" s="771">
        <f t="shared" si="237"/>
        <v>0</v>
      </c>
      <c r="U659" s="771">
        <f t="shared" si="237"/>
        <v>0</v>
      </c>
      <c r="V659" s="771">
        <f t="shared" si="237"/>
        <v>0</v>
      </c>
      <c r="W659" s="771">
        <f t="shared" si="237"/>
        <v>0</v>
      </c>
      <c r="X659" s="771">
        <f t="shared" si="237"/>
        <v>0</v>
      </c>
      <c r="Y659" s="771">
        <f t="shared" si="237"/>
        <v>0</v>
      </c>
      <c r="Z659" s="771">
        <f t="shared" si="237"/>
        <v>0</v>
      </c>
      <c r="AA659" s="771">
        <f t="shared" si="237"/>
        <v>0</v>
      </c>
      <c r="AB659" s="771">
        <f t="shared" si="237"/>
        <v>0</v>
      </c>
      <c r="AC659" s="771">
        <f t="shared" si="237"/>
        <v>0</v>
      </c>
      <c r="AD659" s="771">
        <f t="shared" si="237"/>
        <v>0</v>
      </c>
      <c r="AE659" s="771">
        <f t="shared" si="237"/>
        <v>0</v>
      </c>
      <c r="AF659" s="771">
        <f t="shared" si="237"/>
        <v>0</v>
      </c>
      <c r="AG659" s="771">
        <f t="shared" si="237"/>
        <v>0</v>
      </c>
      <c r="AH659" s="771">
        <f t="shared" si="237"/>
        <v>0</v>
      </c>
      <c r="AI659" s="771">
        <f t="shared" si="237"/>
        <v>0</v>
      </c>
      <c r="AJ659" s="771">
        <f t="shared" si="237"/>
        <v>0</v>
      </c>
      <c r="AK659" s="771">
        <f t="shared" si="237"/>
        <v>0</v>
      </c>
      <c r="AL659" s="771">
        <f t="shared" si="237"/>
        <v>0</v>
      </c>
      <c r="AM659" s="771">
        <f t="shared" si="237"/>
        <v>0</v>
      </c>
      <c r="AN659" s="771">
        <f t="shared" si="237"/>
        <v>0</v>
      </c>
      <c r="AO659" s="771">
        <f t="shared" si="237"/>
        <v>0</v>
      </c>
      <c r="AP659" s="771">
        <f t="shared" si="237"/>
        <v>0</v>
      </c>
      <c r="AQ659" s="771">
        <f t="shared" si="237"/>
        <v>0</v>
      </c>
      <c r="AR659" s="771">
        <f t="shared" si="237"/>
        <v>0</v>
      </c>
      <c r="AS659" s="771">
        <f t="shared" si="237"/>
        <v>0</v>
      </c>
      <c r="AT659" s="771">
        <f t="shared" si="237"/>
        <v>0</v>
      </c>
      <c r="AU659" s="771">
        <f t="shared" si="237"/>
        <v>0</v>
      </c>
      <c r="AV659" s="771">
        <f t="shared" si="237"/>
        <v>0</v>
      </c>
      <c r="AW659" s="771">
        <f t="shared" si="237"/>
        <v>0</v>
      </c>
      <c r="AX659" s="771">
        <f t="shared" si="237"/>
        <v>0</v>
      </c>
      <c r="AY659" s="771">
        <f t="shared" si="237"/>
        <v>0</v>
      </c>
      <c r="AZ659" s="771">
        <f t="shared" si="237"/>
        <v>0</v>
      </c>
      <c r="BA659" s="771">
        <f t="shared" si="237"/>
        <v>0</v>
      </c>
      <c r="BB659" s="771">
        <f t="shared" si="237"/>
        <v>0</v>
      </c>
      <c r="BC659" s="771">
        <f t="shared" si="237"/>
        <v>0</v>
      </c>
      <c r="BD659" s="771">
        <f t="shared" si="237"/>
        <v>0</v>
      </c>
      <c r="BE659" s="771">
        <f t="shared" si="237"/>
        <v>0</v>
      </c>
      <c r="BF659" s="771">
        <f t="shared" si="237"/>
        <v>0</v>
      </c>
      <c r="BG659" s="764">
        <f t="shared" si="237"/>
        <v>0</v>
      </c>
      <c r="BH659" s="776"/>
      <c r="BI659" s="654"/>
      <c r="BJ659" s="659">
        <f>IFERROR(13/J659,0)</f>
        <v>0</v>
      </c>
      <c r="BK659" s="660">
        <f>SUBTOTAL(9,BK660:BK681)</f>
        <v>0</v>
      </c>
      <c r="BL659" s="654"/>
      <c r="BM659" s="661">
        <f t="shared" ref="BM659:DH659" si="238">SUBTOTAL(9,BM660:BM681)</f>
        <v>0</v>
      </c>
      <c r="BN659" s="662">
        <f t="shared" si="238"/>
        <v>0</v>
      </c>
      <c r="BO659" s="662">
        <f t="shared" si="238"/>
        <v>0</v>
      </c>
      <c r="BP659" s="662">
        <f t="shared" si="238"/>
        <v>0</v>
      </c>
      <c r="BQ659" s="662">
        <f t="shared" si="238"/>
        <v>0</v>
      </c>
      <c r="BR659" s="662">
        <f t="shared" si="238"/>
        <v>0</v>
      </c>
      <c r="BS659" s="662">
        <f t="shared" si="238"/>
        <v>0</v>
      </c>
      <c r="BT659" s="662">
        <f t="shared" si="238"/>
        <v>0</v>
      </c>
      <c r="BU659" s="662">
        <f t="shared" si="238"/>
        <v>0</v>
      </c>
      <c r="BV659" s="662">
        <f t="shared" si="238"/>
        <v>0</v>
      </c>
      <c r="BW659" s="662">
        <f t="shared" si="238"/>
        <v>0</v>
      </c>
      <c r="BX659" s="662">
        <f t="shared" si="238"/>
        <v>0</v>
      </c>
      <c r="BY659" s="662">
        <f t="shared" si="238"/>
        <v>0</v>
      </c>
      <c r="BZ659" s="662">
        <f t="shared" si="238"/>
        <v>0</v>
      </c>
      <c r="CA659" s="662">
        <f t="shared" si="238"/>
        <v>0</v>
      </c>
      <c r="CB659" s="662">
        <f t="shared" si="238"/>
        <v>0</v>
      </c>
      <c r="CC659" s="662">
        <f t="shared" si="238"/>
        <v>0</v>
      </c>
      <c r="CD659" s="662">
        <f t="shared" si="238"/>
        <v>0</v>
      </c>
      <c r="CE659" s="662">
        <f t="shared" si="238"/>
        <v>0</v>
      </c>
      <c r="CF659" s="662">
        <f t="shared" si="238"/>
        <v>0</v>
      </c>
      <c r="CG659" s="662">
        <f t="shared" si="238"/>
        <v>0</v>
      </c>
      <c r="CH659" s="662">
        <f t="shared" si="238"/>
        <v>0</v>
      </c>
      <c r="CI659" s="662">
        <f t="shared" si="238"/>
        <v>0</v>
      </c>
      <c r="CJ659" s="662">
        <f t="shared" si="238"/>
        <v>0</v>
      </c>
      <c r="CK659" s="662">
        <f t="shared" si="238"/>
        <v>0</v>
      </c>
      <c r="CL659" s="662">
        <f t="shared" si="238"/>
        <v>0</v>
      </c>
      <c r="CM659" s="662">
        <f t="shared" si="238"/>
        <v>0</v>
      </c>
      <c r="CN659" s="662">
        <f t="shared" si="238"/>
        <v>0</v>
      </c>
      <c r="CO659" s="662">
        <f t="shared" si="238"/>
        <v>0</v>
      </c>
      <c r="CP659" s="662">
        <f t="shared" si="238"/>
        <v>0</v>
      </c>
      <c r="CQ659" s="662">
        <f t="shared" si="238"/>
        <v>0</v>
      </c>
      <c r="CR659" s="662">
        <f t="shared" si="238"/>
        <v>0</v>
      </c>
      <c r="CS659" s="662">
        <f t="shared" si="238"/>
        <v>0</v>
      </c>
      <c r="CT659" s="662">
        <f t="shared" si="238"/>
        <v>0</v>
      </c>
      <c r="CU659" s="662">
        <f t="shared" si="238"/>
        <v>0</v>
      </c>
      <c r="CV659" s="662">
        <f t="shared" si="238"/>
        <v>0</v>
      </c>
      <c r="CW659" s="662">
        <f t="shared" si="238"/>
        <v>0</v>
      </c>
      <c r="CX659" s="662">
        <f t="shared" si="238"/>
        <v>0</v>
      </c>
      <c r="CY659" s="662">
        <f t="shared" si="238"/>
        <v>0</v>
      </c>
      <c r="CZ659" s="662">
        <f t="shared" si="238"/>
        <v>0</v>
      </c>
      <c r="DA659" s="662">
        <f t="shared" si="238"/>
        <v>0</v>
      </c>
      <c r="DB659" s="662">
        <f t="shared" si="238"/>
        <v>0</v>
      </c>
      <c r="DC659" s="662">
        <f t="shared" si="238"/>
        <v>0</v>
      </c>
      <c r="DD659" s="662">
        <f t="shared" si="238"/>
        <v>0</v>
      </c>
      <c r="DE659" s="662">
        <f t="shared" si="238"/>
        <v>0</v>
      </c>
      <c r="DF659" s="662">
        <f t="shared" si="238"/>
        <v>0</v>
      </c>
      <c r="DG659" s="662">
        <f t="shared" si="238"/>
        <v>0</v>
      </c>
      <c r="DH659" s="663">
        <f t="shared" si="238"/>
        <v>0</v>
      </c>
    </row>
    <row r="660" spans="1:112" s="650" customFormat="1" ht="14.4" hidden="1" outlineLevel="1" thickBot="1" x14ac:dyDescent="0.35">
      <c r="A660" s="652" t="str">
        <f>IF(J659&gt;0,"Imprimir","")</f>
        <v/>
      </c>
      <c r="B660" s="722"/>
      <c r="C660" s="664"/>
      <c r="D660" s="665"/>
      <c r="E660" s="665"/>
      <c r="F660" s="665" t="s">
        <v>472</v>
      </c>
      <c r="G660" s="716" t="s">
        <v>508</v>
      </c>
      <c r="H660" s="665" t="str">
        <f>H487</f>
        <v>Cantidad</v>
      </c>
      <c r="I660" s="665" t="s">
        <v>509</v>
      </c>
      <c r="J660" s="104" t="s">
        <v>29</v>
      </c>
      <c r="K660" s="723"/>
      <c r="L660" s="745"/>
      <c r="M660" s="741"/>
      <c r="N660" s="741"/>
      <c r="O660" s="741"/>
      <c r="P660" s="741"/>
      <c r="Q660" s="741"/>
      <c r="R660" s="741"/>
      <c r="S660" s="741"/>
      <c r="T660" s="741"/>
      <c r="U660" s="741"/>
      <c r="V660" s="741"/>
      <c r="W660" s="741"/>
      <c r="X660" s="741"/>
      <c r="Y660" s="741"/>
      <c r="Z660" s="741"/>
      <c r="AA660" s="741"/>
      <c r="AB660" s="741"/>
      <c r="AC660" s="741"/>
      <c r="AD660" s="741"/>
      <c r="AE660" s="741"/>
      <c r="AF660" s="741"/>
      <c r="AG660" s="741"/>
      <c r="AH660" s="741"/>
      <c r="AI660" s="741"/>
      <c r="AJ660" s="741"/>
      <c r="AK660" s="741"/>
      <c r="AL660" s="741"/>
      <c r="AM660" s="741"/>
      <c r="AN660" s="741"/>
      <c r="AO660" s="741"/>
      <c r="AP660" s="741"/>
      <c r="AQ660" s="741"/>
      <c r="AR660" s="741"/>
      <c r="AS660" s="741"/>
      <c r="AT660" s="741"/>
      <c r="AU660" s="741"/>
      <c r="AV660" s="741"/>
      <c r="AW660" s="741"/>
      <c r="AX660" s="741"/>
      <c r="AY660" s="741"/>
      <c r="AZ660" s="741"/>
      <c r="BA660" s="741"/>
      <c r="BB660" s="741"/>
      <c r="BC660" s="741"/>
      <c r="BD660" s="741"/>
      <c r="BE660" s="741"/>
      <c r="BF660" s="741"/>
      <c r="BG660" s="741"/>
      <c r="BH660" s="724"/>
      <c r="BI660" s="725"/>
      <c r="BJ660" s="669"/>
      <c r="BK660" s="670"/>
      <c r="BL660" s="725"/>
      <c r="BM660" s="671"/>
      <c r="BN660" s="665"/>
      <c r="BO660" s="665"/>
      <c r="BP660" s="665"/>
      <c r="BQ660" s="665"/>
      <c r="BR660" s="665"/>
      <c r="BS660" s="665"/>
      <c r="BT660" s="665"/>
      <c r="BU660" s="665"/>
      <c r="BV660" s="665"/>
      <c r="BW660" s="665"/>
      <c r="BX660" s="665"/>
      <c r="BY660" s="665"/>
      <c r="BZ660" s="665"/>
      <c r="CA660" s="665"/>
      <c r="CB660" s="665"/>
      <c r="CC660" s="665"/>
      <c r="CD660" s="665"/>
      <c r="CE660" s="665"/>
      <c r="CF660" s="665"/>
      <c r="CG660" s="665"/>
      <c r="CH660" s="665"/>
      <c r="CI660" s="665"/>
      <c r="CJ660" s="665"/>
      <c r="CK660" s="665"/>
      <c r="CL660" s="665"/>
      <c r="CM660" s="665"/>
      <c r="CN660" s="665"/>
      <c r="CO660" s="665"/>
      <c r="CP660" s="665"/>
      <c r="CQ660" s="665"/>
      <c r="CR660" s="665"/>
      <c r="CS660" s="665"/>
      <c r="CT660" s="665"/>
      <c r="CU660" s="665"/>
      <c r="CV660" s="665"/>
      <c r="CW660" s="665"/>
      <c r="CX660" s="665"/>
      <c r="CY660" s="665"/>
      <c r="CZ660" s="665"/>
      <c r="DA660" s="665"/>
      <c r="DB660" s="665"/>
      <c r="DC660" s="665"/>
      <c r="DD660" s="665"/>
      <c r="DE660" s="665"/>
      <c r="DF660" s="665"/>
      <c r="DG660" s="665"/>
      <c r="DH660" s="666"/>
    </row>
    <row r="661" spans="1:112" s="649" customFormat="1" ht="16.2" hidden="1" outlineLevel="1" thickBot="1" x14ac:dyDescent="0.35">
      <c r="A661" s="652" t="str">
        <f>IF(J661&gt;0,"Imprimir","")</f>
        <v/>
      </c>
      <c r="B661" s="652"/>
      <c r="C661" s="672"/>
      <c r="D661" s="673"/>
      <c r="E661" s="674"/>
      <c r="F661" s="675"/>
      <c r="G661" s="726"/>
      <c r="H661" s="676"/>
      <c r="I661" s="677"/>
      <c r="J661" s="219">
        <f>SUBTOTAL(9,J662:J681)</f>
        <v>0</v>
      </c>
      <c r="K661" s="678"/>
      <c r="L661" s="747"/>
      <c r="M661" s="742"/>
      <c r="N661" s="742"/>
      <c r="O661" s="742"/>
      <c r="P661" s="742"/>
      <c r="Q661" s="742"/>
      <c r="R661" s="742"/>
      <c r="S661" s="742"/>
      <c r="T661" s="742"/>
      <c r="U661" s="742"/>
      <c r="V661" s="742"/>
      <c r="W661" s="742"/>
      <c r="X661" s="742"/>
      <c r="Y661" s="742"/>
      <c r="Z661" s="742"/>
      <c r="AA661" s="742"/>
      <c r="AB661" s="742"/>
      <c r="AC661" s="742"/>
      <c r="AD661" s="742"/>
      <c r="AE661" s="742"/>
      <c r="AF661" s="742"/>
      <c r="AG661" s="742"/>
      <c r="AH661" s="742"/>
      <c r="AI661" s="742"/>
      <c r="AJ661" s="742"/>
      <c r="AK661" s="742"/>
      <c r="AL661" s="742"/>
      <c r="AM661" s="742"/>
      <c r="AN661" s="742"/>
      <c r="AO661" s="742"/>
      <c r="AP661" s="742"/>
      <c r="AQ661" s="742"/>
      <c r="AR661" s="742"/>
      <c r="AS661" s="742"/>
      <c r="AT661" s="742"/>
      <c r="AU661" s="742"/>
      <c r="AV661" s="742"/>
      <c r="AW661" s="742"/>
      <c r="AX661" s="742"/>
      <c r="AY661" s="742"/>
      <c r="AZ661" s="742"/>
      <c r="BA661" s="742"/>
      <c r="BB661" s="742"/>
      <c r="BC661" s="742"/>
      <c r="BD661" s="742"/>
      <c r="BE661" s="742"/>
      <c r="BF661" s="742"/>
      <c r="BG661" s="742"/>
      <c r="BH661" s="668"/>
      <c r="BI661" s="654"/>
      <c r="BJ661" s="729"/>
      <c r="BK661" s="681"/>
      <c r="BL661" s="654"/>
      <c r="BM661" s="682"/>
      <c r="BN661" s="683"/>
      <c r="BO661" s="683"/>
      <c r="BP661" s="683"/>
      <c r="BQ661" s="683"/>
      <c r="BR661" s="683"/>
      <c r="BS661" s="683"/>
      <c r="BT661" s="683"/>
      <c r="BU661" s="683"/>
      <c r="BV661" s="683"/>
      <c r="BW661" s="683"/>
      <c r="BX661" s="683"/>
      <c r="BY661" s="683"/>
      <c r="BZ661" s="683"/>
      <c r="CA661" s="683"/>
      <c r="CB661" s="683"/>
      <c r="CC661" s="683"/>
      <c r="CD661" s="683"/>
      <c r="CE661" s="683"/>
      <c r="CF661" s="683"/>
      <c r="CG661" s="683"/>
      <c r="CH661" s="683"/>
      <c r="CI661" s="683"/>
      <c r="CJ661" s="683"/>
      <c r="CK661" s="683"/>
      <c r="CL661" s="683"/>
      <c r="CM661" s="683"/>
      <c r="CN661" s="683"/>
      <c r="CO661" s="683"/>
      <c r="CP661" s="683"/>
      <c r="CQ661" s="683"/>
      <c r="CR661" s="683"/>
      <c r="CS661" s="683"/>
      <c r="CT661" s="683"/>
      <c r="CU661" s="683"/>
      <c r="CV661" s="683"/>
      <c r="CW661" s="683"/>
      <c r="CX661" s="683"/>
      <c r="CY661" s="683"/>
      <c r="CZ661" s="683"/>
      <c r="DA661" s="683"/>
      <c r="DB661" s="683"/>
      <c r="DC661" s="683"/>
      <c r="DD661" s="683"/>
      <c r="DE661" s="683"/>
      <c r="DF661" s="683"/>
      <c r="DG661" s="683"/>
      <c r="DH661" s="684"/>
    </row>
    <row r="662" spans="1:112" s="649" customFormat="1" ht="14.4" hidden="1" outlineLevel="1" thickBot="1" x14ac:dyDescent="0.35">
      <c r="A662" s="652" t="str">
        <f t="shared" ref="A662:A680" si="239">IF(J662="","",IF(J662=0,"","Imprimir"))</f>
        <v/>
      </c>
      <c r="B662" s="652"/>
      <c r="C662" s="685"/>
      <c r="D662" s="686" t="s">
        <v>2672</v>
      </c>
      <c r="E662" s="686"/>
      <c r="F662" s="720"/>
      <c r="G662" s="688"/>
      <c r="H662" s="689"/>
      <c r="I662" s="851" t="str">
        <f t="shared" ref="I662:I680" si="240">IF(E662&gt;0,$J$5,"")</f>
        <v/>
      </c>
      <c r="J662" s="850" t="str">
        <f t="shared" ref="J662:J680" si="241">IFERROR(G662*H662*I662,"")</f>
        <v/>
      </c>
      <c r="K662" s="667"/>
      <c r="L662" s="858"/>
      <c r="M662" s="859"/>
      <c r="N662" s="859"/>
      <c r="O662" s="859"/>
      <c r="P662" s="859"/>
      <c r="Q662" s="859"/>
      <c r="R662" s="859"/>
      <c r="S662" s="859"/>
      <c r="T662" s="859"/>
      <c r="U662" s="859"/>
      <c r="V662" s="859"/>
      <c r="W662" s="859"/>
      <c r="X662" s="859"/>
      <c r="Y662" s="859"/>
      <c r="Z662" s="860"/>
      <c r="AA662" s="860"/>
      <c r="AB662" s="860"/>
      <c r="AC662" s="860"/>
      <c r="AD662" s="860"/>
      <c r="AE662" s="860"/>
      <c r="AF662" s="860"/>
      <c r="AG662" s="860"/>
      <c r="AH662" s="860"/>
      <c r="AI662" s="860"/>
      <c r="AJ662" s="860"/>
      <c r="AK662" s="860"/>
      <c r="AL662" s="860"/>
      <c r="AM662" s="860"/>
      <c r="AN662" s="860"/>
      <c r="AO662" s="860"/>
      <c r="AP662" s="860"/>
      <c r="AQ662" s="860"/>
      <c r="AR662" s="860"/>
      <c r="AS662" s="860"/>
      <c r="AT662" s="860"/>
      <c r="AU662" s="860"/>
      <c r="AV662" s="860"/>
      <c r="AW662" s="860"/>
      <c r="AX662" s="860"/>
      <c r="AY662" s="860"/>
      <c r="AZ662" s="860"/>
      <c r="BA662" s="860"/>
      <c r="BB662" s="860"/>
      <c r="BC662" s="860"/>
      <c r="BD662" s="860"/>
      <c r="BE662" s="860"/>
      <c r="BF662" s="860"/>
      <c r="BG662" s="860"/>
      <c r="BH662" s="668"/>
      <c r="BI662" s="667"/>
      <c r="BJ662" s="690">
        <f t="shared" ref="BJ662:BJ680" si="242">IFERROR(BK662/J662,0)</f>
        <v>0</v>
      </c>
      <c r="BK662" s="691">
        <f t="shared" ref="BK662:BK680" si="243">SUM(BM662:DH662)</f>
        <v>0</v>
      </c>
      <c r="BL662" s="654"/>
      <c r="BM662" s="692">
        <f>SUMIFS(Imput[[Importe Neto]:[Importe Neto]],Imput[[C. Imp.]:[C. Imp.]],$D662,Imput[[PERIODO Imp.]:[PERIODO Imp.]],BM$9)</f>
        <v>0</v>
      </c>
      <c r="BN662" s="693">
        <f>SUMIFS(Imput[[Importe Neto]:[Importe Neto]],Imput[[C. Imp.]:[C. Imp.]],$D662,Imput[[PERIODO Imp.]:[PERIODO Imp.]],BN$9)</f>
        <v>0</v>
      </c>
      <c r="BO662" s="693">
        <f>SUMIFS(Imput[[Importe Neto]:[Importe Neto]],Imput[[C. Imp.]:[C. Imp.]],$D662,Imput[[PERIODO Imp.]:[PERIODO Imp.]],BO$9)</f>
        <v>0</v>
      </c>
      <c r="BP662" s="693">
        <f>SUMIFS(Imput[[Importe Neto]:[Importe Neto]],Imput[[C. Imp.]:[C. Imp.]],$D662,Imput[[PERIODO Imp.]:[PERIODO Imp.]],BP$9)</f>
        <v>0</v>
      </c>
      <c r="BQ662" s="693">
        <f>SUMIFS(Imput[[Importe Neto]:[Importe Neto]],Imput[[C. Imp.]:[C. Imp.]],$D662,Imput[[PERIODO Imp.]:[PERIODO Imp.]],BQ$9)</f>
        <v>0</v>
      </c>
      <c r="BR662" s="693">
        <f>SUMIFS(Imput[[Importe Neto]:[Importe Neto]],Imput[[C. Imp.]:[C. Imp.]],$D662,Imput[[PERIODO Imp.]:[PERIODO Imp.]],BR$9)</f>
        <v>0</v>
      </c>
      <c r="BS662" s="693">
        <f>SUMIFS(Imput[[Importe Neto]:[Importe Neto]],Imput[[C. Imp.]:[C. Imp.]],$D662,Imput[[PERIODO Imp.]:[PERIODO Imp.]],BS$9)</f>
        <v>0</v>
      </c>
      <c r="BT662" s="693">
        <f>SUMIFS(Imput[[Importe Neto]:[Importe Neto]],Imput[[C. Imp.]:[C. Imp.]],$D662,Imput[[PERIODO Imp.]:[PERIODO Imp.]],BT$9)</f>
        <v>0</v>
      </c>
      <c r="BU662" s="693">
        <f>SUMIFS(Imput[[Importe Neto]:[Importe Neto]],Imput[[C. Imp.]:[C. Imp.]],$D662,Imput[[PERIODO Imp.]:[PERIODO Imp.]],BU$9)</f>
        <v>0</v>
      </c>
      <c r="BV662" s="693">
        <f>SUMIFS(Imput[[Importe Neto]:[Importe Neto]],Imput[[C. Imp.]:[C. Imp.]],$D662,Imput[[PERIODO Imp.]:[PERIODO Imp.]],BV$9)</f>
        <v>0</v>
      </c>
      <c r="BW662" s="693">
        <f>SUMIFS(Imput[[Importe Neto]:[Importe Neto]],Imput[[C. Imp.]:[C. Imp.]],$D662,Imput[[PERIODO Imp.]:[PERIODO Imp.]],BW$9)</f>
        <v>0</v>
      </c>
      <c r="BX662" s="693">
        <f>SUMIFS(Imput[[Importe Neto]:[Importe Neto]],Imput[[C. Imp.]:[C. Imp.]],$D662,Imput[[PERIODO Imp.]:[PERIODO Imp.]],BX$9)</f>
        <v>0</v>
      </c>
      <c r="BY662" s="693">
        <f>SUMIFS(Imput[[Importe Neto]:[Importe Neto]],Imput[[C. Imp.]:[C. Imp.]],$D662,Imput[[PERIODO Imp.]:[PERIODO Imp.]],BY$9)</f>
        <v>0</v>
      </c>
      <c r="BZ662" s="693">
        <f>SUMIFS(Imput[[Importe Neto]:[Importe Neto]],Imput[[C. Imp.]:[C. Imp.]],$D662,Imput[[PERIODO Imp.]:[PERIODO Imp.]],BZ$9)</f>
        <v>0</v>
      </c>
      <c r="CA662" s="693">
        <f>SUMIFS(Imput[[Importe Neto]:[Importe Neto]],Imput[[C. Imp.]:[C. Imp.]],$D662,Imput[[PERIODO Imp.]:[PERIODO Imp.]],CA$9)</f>
        <v>0</v>
      </c>
      <c r="CB662" s="693">
        <f>SUMIFS(Imput[[Importe Neto]:[Importe Neto]],Imput[[C. Imp.]:[C. Imp.]],$D662,Imput[[PERIODO Imp.]:[PERIODO Imp.]],CB$9)</f>
        <v>0</v>
      </c>
      <c r="CC662" s="693">
        <f>SUMIFS(Imput[[Importe Neto]:[Importe Neto]],Imput[[C. Imp.]:[C. Imp.]],$D662,Imput[[PERIODO Imp.]:[PERIODO Imp.]],CC$9)</f>
        <v>0</v>
      </c>
      <c r="CD662" s="693">
        <f>SUMIFS(Imput[[Importe Neto]:[Importe Neto]],Imput[[C. Imp.]:[C. Imp.]],$D662,Imput[[PERIODO Imp.]:[PERIODO Imp.]],CD$9)</f>
        <v>0</v>
      </c>
      <c r="CE662" s="693">
        <f>SUMIFS(Imput[[Importe Neto]:[Importe Neto]],Imput[[C. Imp.]:[C. Imp.]],$D662,Imput[[PERIODO Imp.]:[PERIODO Imp.]],CE$9)</f>
        <v>0</v>
      </c>
      <c r="CF662" s="693">
        <f>SUMIFS(Imput[[Importe Neto]:[Importe Neto]],Imput[[C. Imp.]:[C. Imp.]],$D662,Imput[[PERIODO Imp.]:[PERIODO Imp.]],CF$9)</f>
        <v>0</v>
      </c>
      <c r="CG662" s="693">
        <f>SUMIFS(Imput[[Importe Neto]:[Importe Neto]],Imput[[C. Imp.]:[C. Imp.]],$D662,Imput[[PERIODO Imp.]:[PERIODO Imp.]],CG$9)</f>
        <v>0</v>
      </c>
      <c r="CH662" s="693">
        <f>SUMIFS(Imput[[Importe Neto]:[Importe Neto]],Imput[[C. Imp.]:[C. Imp.]],$D662,Imput[[PERIODO Imp.]:[PERIODO Imp.]],CH$9)</f>
        <v>0</v>
      </c>
      <c r="CI662" s="693">
        <f>SUMIFS(Imput[[Importe Neto]:[Importe Neto]],Imput[[C. Imp.]:[C. Imp.]],$D662,Imput[[PERIODO Imp.]:[PERIODO Imp.]],CI$9)</f>
        <v>0</v>
      </c>
      <c r="CJ662" s="693">
        <f>SUMIFS(Imput[[Importe Neto]:[Importe Neto]],Imput[[C. Imp.]:[C. Imp.]],$D662,Imput[[PERIODO Imp.]:[PERIODO Imp.]],CJ$9)</f>
        <v>0</v>
      </c>
      <c r="CK662" s="693">
        <f>SUMIFS(Imput[[Importe Neto]:[Importe Neto]],Imput[[C. Imp.]:[C. Imp.]],$D662,Imput[[PERIODO Imp.]:[PERIODO Imp.]],CK$9)</f>
        <v>0</v>
      </c>
      <c r="CL662" s="693">
        <f>SUMIFS(Imput[[Importe Neto]:[Importe Neto]],Imput[[C. Imp.]:[C. Imp.]],$D662,Imput[[PERIODO Imp.]:[PERIODO Imp.]],CL$9)</f>
        <v>0</v>
      </c>
      <c r="CM662" s="693">
        <f>SUMIFS(Imput[[Importe Neto]:[Importe Neto]],Imput[[C. Imp.]:[C. Imp.]],$D662,Imput[[PERIODO Imp.]:[PERIODO Imp.]],CM$9)</f>
        <v>0</v>
      </c>
      <c r="CN662" s="693">
        <f>SUMIFS(Imput[[Importe Neto]:[Importe Neto]],Imput[[C. Imp.]:[C. Imp.]],$D662,Imput[[PERIODO Imp.]:[PERIODO Imp.]],CN$9)</f>
        <v>0</v>
      </c>
      <c r="CO662" s="693">
        <f>SUMIFS(Imput[[Importe Neto]:[Importe Neto]],Imput[[C. Imp.]:[C. Imp.]],$D662,Imput[[PERIODO Imp.]:[PERIODO Imp.]],CO$9)</f>
        <v>0</v>
      </c>
      <c r="CP662" s="693">
        <f>SUMIFS(Imput[[Importe Neto]:[Importe Neto]],Imput[[C. Imp.]:[C. Imp.]],$D662,Imput[[PERIODO Imp.]:[PERIODO Imp.]],CP$9)</f>
        <v>0</v>
      </c>
      <c r="CQ662" s="693">
        <f>SUMIFS(Imput[[Importe Neto]:[Importe Neto]],Imput[[C. Imp.]:[C. Imp.]],$D662,Imput[[PERIODO Imp.]:[PERIODO Imp.]],CQ$9)</f>
        <v>0</v>
      </c>
      <c r="CR662" s="693">
        <f>SUMIFS(Imput[[Importe Neto]:[Importe Neto]],Imput[[C. Imp.]:[C. Imp.]],$D662,Imput[[PERIODO Imp.]:[PERIODO Imp.]],CR$9)</f>
        <v>0</v>
      </c>
      <c r="CS662" s="693">
        <f>SUMIFS(Imput[[Importe Neto]:[Importe Neto]],Imput[[C. Imp.]:[C. Imp.]],$D662,Imput[[PERIODO Imp.]:[PERIODO Imp.]],CS$9)</f>
        <v>0</v>
      </c>
      <c r="CT662" s="693">
        <f>SUMIFS(Imput[[Importe Neto]:[Importe Neto]],Imput[[C. Imp.]:[C. Imp.]],$D662,Imput[[PERIODO Imp.]:[PERIODO Imp.]],CT$9)</f>
        <v>0</v>
      </c>
      <c r="CU662" s="693">
        <f>SUMIFS(Imput[[Importe Neto]:[Importe Neto]],Imput[[C. Imp.]:[C. Imp.]],$D662,Imput[[PERIODO Imp.]:[PERIODO Imp.]],CU$9)</f>
        <v>0</v>
      </c>
      <c r="CV662" s="693">
        <f>SUMIFS(Imput[[Importe Neto]:[Importe Neto]],Imput[[C. Imp.]:[C. Imp.]],$D662,Imput[[PERIODO Imp.]:[PERIODO Imp.]],CV$9)</f>
        <v>0</v>
      </c>
      <c r="CW662" s="693">
        <f>SUMIFS(Imput[[Importe Neto]:[Importe Neto]],Imput[[C. Imp.]:[C. Imp.]],$D662,Imput[[PERIODO Imp.]:[PERIODO Imp.]],CW$9)</f>
        <v>0</v>
      </c>
      <c r="CX662" s="693">
        <f>SUMIFS(Imput[[Importe Neto]:[Importe Neto]],Imput[[C. Imp.]:[C. Imp.]],$D662,Imput[[PERIODO Imp.]:[PERIODO Imp.]],CX$9)</f>
        <v>0</v>
      </c>
      <c r="CY662" s="693">
        <f>SUMIFS(Imput[[Importe Neto]:[Importe Neto]],Imput[[C. Imp.]:[C. Imp.]],$D662,Imput[[PERIODO Imp.]:[PERIODO Imp.]],CY$9)</f>
        <v>0</v>
      </c>
      <c r="CZ662" s="693">
        <f>SUMIFS(Imput[[Importe Neto]:[Importe Neto]],Imput[[C. Imp.]:[C. Imp.]],$D662,Imput[[PERIODO Imp.]:[PERIODO Imp.]],CZ$9)</f>
        <v>0</v>
      </c>
      <c r="DA662" s="693">
        <f>SUMIFS(Imput[[Importe Neto]:[Importe Neto]],Imput[[C. Imp.]:[C. Imp.]],$D662,Imput[[PERIODO Imp.]:[PERIODO Imp.]],DA$9)</f>
        <v>0</v>
      </c>
      <c r="DB662" s="693">
        <f>SUMIFS(Imput[[Importe Neto]:[Importe Neto]],Imput[[C. Imp.]:[C. Imp.]],$D662,Imput[[PERIODO Imp.]:[PERIODO Imp.]],DB$9)</f>
        <v>0</v>
      </c>
      <c r="DC662" s="693">
        <f>SUMIFS(Imput[[Importe Neto]:[Importe Neto]],Imput[[C. Imp.]:[C. Imp.]],$D662,Imput[[PERIODO Imp.]:[PERIODO Imp.]],DC$9)</f>
        <v>0</v>
      </c>
      <c r="DD662" s="693">
        <f>SUMIFS(Imput[[Importe Neto]:[Importe Neto]],Imput[[C. Imp.]:[C. Imp.]],$D662,Imput[[PERIODO Imp.]:[PERIODO Imp.]],DD$9)</f>
        <v>0</v>
      </c>
      <c r="DE662" s="693">
        <f>SUMIFS(Imput[[Importe Neto]:[Importe Neto]],Imput[[C. Imp.]:[C. Imp.]],$D662,Imput[[PERIODO Imp.]:[PERIODO Imp.]],DE$9)</f>
        <v>0</v>
      </c>
      <c r="DF662" s="693">
        <f>SUMIFS(Imput[[Importe Neto]:[Importe Neto]],Imput[[C. Imp.]:[C. Imp.]],$D662,Imput[[PERIODO Imp.]:[PERIODO Imp.]],DF$9)</f>
        <v>0</v>
      </c>
      <c r="DG662" s="693">
        <f>SUMIFS(Imput[[Importe Neto]:[Importe Neto]],Imput[[C. Imp.]:[C. Imp.]],$D662,Imput[[PERIODO Imp.]:[PERIODO Imp.]],DG$9)</f>
        <v>0</v>
      </c>
      <c r="DH662" s="694">
        <f>SUMIFS(Imput[[Importe Neto]:[Importe Neto]],Imput[[C. Imp.]:[C. Imp.]],$D662,Imput[[PERIODO Imp.]:[PERIODO Imp.]],DH$9)</f>
        <v>0</v>
      </c>
    </row>
    <row r="663" spans="1:112" s="649" customFormat="1" ht="14.4" hidden="1" outlineLevel="1" thickBot="1" x14ac:dyDescent="0.35">
      <c r="A663" s="652" t="str">
        <f t="shared" si="239"/>
        <v/>
      </c>
      <c r="B663" s="652"/>
      <c r="C663" s="685"/>
      <c r="D663" s="686" t="s">
        <v>2673</v>
      </c>
      <c r="E663" s="686"/>
      <c r="F663" s="720"/>
      <c r="G663" s="688"/>
      <c r="H663" s="689"/>
      <c r="I663" s="851" t="str">
        <f t="shared" si="240"/>
        <v/>
      </c>
      <c r="J663" s="850" t="str">
        <f t="shared" si="241"/>
        <v/>
      </c>
      <c r="K663" s="667"/>
      <c r="L663" s="858"/>
      <c r="M663" s="859"/>
      <c r="N663" s="859"/>
      <c r="O663" s="859"/>
      <c r="P663" s="859"/>
      <c r="Q663" s="859"/>
      <c r="R663" s="859"/>
      <c r="S663" s="859"/>
      <c r="T663" s="859"/>
      <c r="U663" s="859"/>
      <c r="V663" s="859"/>
      <c r="W663" s="859"/>
      <c r="X663" s="859"/>
      <c r="Y663" s="859"/>
      <c r="Z663" s="860"/>
      <c r="AA663" s="860"/>
      <c r="AB663" s="860"/>
      <c r="AC663" s="860"/>
      <c r="AD663" s="860"/>
      <c r="AE663" s="860"/>
      <c r="AF663" s="860"/>
      <c r="AG663" s="860"/>
      <c r="AH663" s="860"/>
      <c r="AI663" s="860"/>
      <c r="AJ663" s="860"/>
      <c r="AK663" s="860"/>
      <c r="AL663" s="860"/>
      <c r="AM663" s="860"/>
      <c r="AN663" s="860"/>
      <c r="AO663" s="860"/>
      <c r="AP663" s="860"/>
      <c r="AQ663" s="860"/>
      <c r="AR663" s="860"/>
      <c r="AS663" s="860"/>
      <c r="AT663" s="860"/>
      <c r="AU663" s="860"/>
      <c r="AV663" s="860"/>
      <c r="AW663" s="860"/>
      <c r="AX663" s="860"/>
      <c r="AY663" s="860"/>
      <c r="AZ663" s="860"/>
      <c r="BA663" s="860"/>
      <c r="BB663" s="860"/>
      <c r="BC663" s="860"/>
      <c r="BD663" s="860"/>
      <c r="BE663" s="860"/>
      <c r="BF663" s="860"/>
      <c r="BG663" s="860"/>
      <c r="BH663" s="668"/>
      <c r="BI663" s="667"/>
      <c r="BJ663" s="690">
        <f t="shared" si="242"/>
        <v>0</v>
      </c>
      <c r="BK663" s="691">
        <f t="shared" si="243"/>
        <v>0</v>
      </c>
      <c r="BL663" s="654"/>
      <c r="BM663" s="692">
        <f>SUMIFS(Imput[[Importe Neto]:[Importe Neto]],Imput[[C. Imp.]:[C. Imp.]],$D663,Imput[[PERIODO Imp.]:[PERIODO Imp.]],BM$9)</f>
        <v>0</v>
      </c>
      <c r="BN663" s="693">
        <f>SUMIFS(Imput[[Importe Neto]:[Importe Neto]],Imput[[C. Imp.]:[C. Imp.]],$D663,Imput[[PERIODO Imp.]:[PERIODO Imp.]],BN$9)</f>
        <v>0</v>
      </c>
      <c r="BO663" s="693">
        <f>SUMIFS(Imput[[Importe Neto]:[Importe Neto]],Imput[[C. Imp.]:[C. Imp.]],$D663,Imput[[PERIODO Imp.]:[PERIODO Imp.]],BO$9)</f>
        <v>0</v>
      </c>
      <c r="BP663" s="693">
        <f>SUMIFS(Imput[[Importe Neto]:[Importe Neto]],Imput[[C. Imp.]:[C. Imp.]],$D663,Imput[[PERIODO Imp.]:[PERIODO Imp.]],BP$9)</f>
        <v>0</v>
      </c>
      <c r="BQ663" s="693">
        <f>SUMIFS(Imput[[Importe Neto]:[Importe Neto]],Imput[[C. Imp.]:[C. Imp.]],$D663,Imput[[PERIODO Imp.]:[PERIODO Imp.]],BQ$9)</f>
        <v>0</v>
      </c>
      <c r="BR663" s="693">
        <f>SUMIFS(Imput[[Importe Neto]:[Importe Neto]],Imput[[C. Imp.]:[C. Imp.]],$D663,Imput[[PERIODO Imp.]:[PERIODO Imp.]],BR$9)</f>
        <v>0</v>
      </c>
      <c r="BS663" s="693">
        <f>SUMIFS(Imput[[Importe Neto]:[Importe Neto]],Imput[[C. Imp.]:[C. Imp.]],$D663,Imput[[PERIODO Imp.]:[PERIODO Imp.]],BS$9)</f>
        <v>0</v>
      </c>
      <c r="BT663" s="693">
        <f>SUMIFS(Imput[[Importe Neto]:[Importe Neto]],Imput[[C. Imp.]:[C. Imp.]],$D663,Imput[[PERIODO Imp.]:[PERIODO Imp.]],BT$9)</f>
        <v>0</v>
      </c>
      <c r="BU663" s="693">
        <f>SUMIFS(Imput[[Importe Neto]:[Importe Neto]],Imput[[C. Imp.]:[C. Imp.]],$D663,Imput[[PERIODO Imp.]:[PERIODO Imp.]],BU$9)</f>
        <v>0</v>
      </c>
      <c r="BV663" s="693">
        <f>SUMIFS(Imput[[Importe Neto]:[Importe Neto]],Imput[[C. Imp.]:[C. Imp.]],$D663,Imput[[PERIODO Imp.]:[PERIODO Imp.]],BV$9)</f>
        <v>0</v>
      </c>
      <c r="BW663" s="693">
        <f>SUMIFS(Imput[[Importe Neto]:[Importe Neto]],Imput[[C. Imp.]:[C. Imp.]],$D663,Imput[[PERIODO Imp.]:[PERIODO Imp.]],BW$9)</f>
        <v>0</v>
      </c>
      <c r="BX663" s="693">
        <f>SUMIFS(Imput[[Importe Neto]:[Importe Neto]],Imput[[C. Imp.]:[C. Imp.]],$D663,Imput[[PERIODO Imp.]:[PERIODO Imp.]],BX$9)</f>
        <v>0</v>
      </c>
      <c r="BY663" s="693">
        <f>SUMIFS(Imput[[Importe Neto]:[Importe Neto]],Imput[[C. Imp.]:[C. Imp.]],$D663,Imput[[PERIODO Imp.]:[PERIODO Imp.]],BY$9)</f>
        <v>0</v>
      </c>
      <c r="BZ663" s="693">
        <f>SUMIFS(Imput[[Importe Neto]:[Importe Neto]],Imput[[C. Imp.]:[C. Imp.]],$D663,Imput[[PERIODO Imp.]:[PERIODO Imp.]],BZ$9)</f>
        <v>0</v>
      </c>
      <c r="CA663" s="693">
        <f>SUMIFS(Imput[[Importe Neto]:[Importe Neto]],Imput[[C. Imp.]:[C. Imp.]],$D663,Imput[[PERIODO Imp.]:[PERIODO Imp.]],CA$9)</f>
        <v>0</v>
      </c>
      <c r="CB663" s="693">
        <f>SUMIFS(Imput[[Importe Neto]:[Importe Neto]],Imput[[C. Imp.]:[C. Imp.]],$D663,Imput[[PERIODO Imp.]:[PERIODO Imp.]],CB$9)</f>
        <v>0</v>
      </c>
      <c r="CC663" s="693">
        <f>SUMIFS(Imput[[Importe Neto]:[Importe Neto]],Imput[[C. Imp.]:[C. Imp.]],$D663,Imput[[PERIODO Imp.]:[PERIODO Imp.]],CC$9)</f>
        <v>0</v>
      </c>
      <c r="CD663" s="693">
        <f>SUMIFS(Imput[[Importe Neto]:[Importe Neto]],Imput[[C. Imp.]:[C. Imp.]],$D663,Imput[[PERIODO Imp.]:[PERIODO Imp.]],CD$9)</f>
        <v>0</v>
      </c>
      <c r="CE663" s="693">
        <f>SUMIFS(Imput[[Importe Neto]:[Importe Neto]],Imput[[C. Imp.]:[C. Imp.]],$D663,Imput[[PERIODO Imp.]:[PERIODO Imp.]],CE$9)</f>
        <v>0</v>
      </c>
      <c r="CF663" s="693">
        <f>SUMIFS(Imput[[Importe Neto]:[Importe Neto]],Imput[[C. Imp.]:[C. Imp.]],$D663,Imput[[PERIODO Imp.]:[PERIODO Imp.]],CF$9)</f>
        <v>0</v>
      </c>
      <c r="CG663" s="693">
        <f>SUMIFS(Imput[[Importe Neto]:[Importe Neto]],Imput[[C. Imp.]:[C. Imp.]],$D663,Imput[[PERIODO Imp.]:[PERIODO Imp.]],CG$9)</f>
        <v>0</v>
      </c>
      <c r="CH663" s="693">
        <f>SUMIFS(Imput[[Importe Neto]:[Importe Neto]],Imput[[C. Imp.]:[C. Imp.]],$D663,Imput[[PERIODO Imp.]:[PERIODO Imp.]],CH$9)</f>
        <v>0</v>
      </c>
      <c r="CI663" s="693">
        <f>SUMIFS(Imput[[Importe Neto]:[Importe Neto]],Imput[[C. Imp.]:[C. Imp.]],$D663,Imput[[PERIODO Imp.]:[PERIODO Imp.]],CI$9)</f>
        <v>0</v>
      </c>
      <c r="CJ663" s="693">
        <f>SUMIFS(Imput[[Importe Neto]:[Importe Neto]],Imput[[C. Imp.]:[C. Imp.]],$D663,Imput[[PERIODO Imp.]:[PERIODO Imp.]],CJ$9)</f>
        <v>0</v>
      </c>
      <c r="CK663" s="693">
        <f>SUMIFS(Imput[[Importe Neto]:[Importe Neto]],Imput[[C. Imp.]:[C. Imp.]],$D663,Imput[[PERIODO Imp.]:[PERIODO Imp.]],CK$9)</f>
        <v>0</v>
      </c>
      <c r="CL663" s="693">
        <f>SUMIFS(Imput[[Importe Neto]:[Importe Neto]],Imput[[C. Imp.]:[C. Imp.]],$D663,Imput[[PERIODO Imp.]:[PERIODO Imp.]],CL$9)</f>
        <v>0</v>
      </c>
      <c r="CM663" s="693">
        <f>SUMIFS(Imput[[Importe Neto]:[Importe Neto]],Imput[[C. Imp.]:[C. Imp.]],$D663,Imput[[PERIODO Imp.]:[PERIODO Imp.]],CM$9)</f>
        <v>0</v>
      </c>
      <c r="CN663" s="693">
        <f>SUMIFS(Imput[[Importe Neto]:[Importe Neto]],Imput[[C. Imp.]:[C. Imp.]],$D663,Imput[[PERIODO Imp.]:[PERIODO Imp.]],CN$9)</f>
        <v>0</v>
      </c>
      <c r="CO663" s="693">
        <f>SUMIFS(Imput[[Importe Neto]:[Importe Neto]],Imput[[C. Imp.]:[C. Imp.]],$D663,Imput[[PERIODO Imp.]:[PERIODO Imp.]],CO$9)</f>
        <v>0</v>
      </c>
      <c r="CP663" s="693">
        <f>SUMIFS(Imput[[Importe Neto]:[Importe Neto]],Imput[[C. Imp.]:[C. Imp.]],$D663,Imput[[PERIODO Imp.]:[PERIODO Imp.]],CP$9)</f>
        <v>0</v>
      </c>
      <c r="CQ663" s="693">
        <f>SUMIFS(Imput[[Importe Neto]:[Importe Neto]],Imput[[C. Imp.]:[C. Imp.]],$D663,Imput[[PERIODO Imp.]:[PERIODO Imp.]],CQ$9)</f>
        <v>0</v>
      </c>
      <c r="CR663" s="693">
        <f>SUMIFS(Imput[[Importe Neto]:[Importe Neto]],Imput[[C. Imp.]:[C. Imp.]],$D663,Imput[[PERIODO Imp.]:[PERIODO Imp.]],CR$9)</f>
        <v>0</v>
      </c>
      <c r="CS663" s="693">
        <f>SUMIFS(Imput[[Importe Neto]:[Importe Neto]],Imput[[C. Imp.]:[C. Imp.]],$D663,Imput[[PERIODO Imp.]:[PERIODO Imp.]],CS$9)</f>
        <v>0</v>
      </c>
      <c r="CT663" s="693">
        <f>SUMIFS(Imput[[Importe Neto]:[Importe Neto]],Imput[[C. Imp.]:[C. Imp.]],$D663,Imput[[PERIODO Imp.]:[PERIODO Imp.]],CT$9)</f>
        <v>0</v>
      </c>
      <c r="CU663" s="693">
        <f>SUMIFS(Imput[[Importe Neto]:[Importe Neto]],Imput[[C. Imp.]:[C. Imp.]],$D663,Imput[[PERIODO Imp.]:[PERIODO Imp.]],CU$9)</f>
        <v>0</v>
      </c>
      <c r="CV663" s="693">
        <f>SUMIFS(Imput[[Importe Neto]:[Importe Neto]],Imput[[C. Imp.]:[C. Imp.]],$D663,Imput[[PERIODO Imp.]:[PERIODO Imp.]],CV$9)</f>
        <v>0</v>
      </c>
      <c r="CW663" s="693">
        <f>SUMIFS(Imput[[Importe Neto]:[Importe Neto]],Imput[[C. Imp.]:[C. Imp.]],$D663,Imput[[PERIODO Imp.]:[PERIODO Imp.]],CW$9)</f>
        <v>0</v>
      </c>
      <c r="CX663" s="693">
        <f>SUMIFS(Imput[[Importe Neto]:[Importe Neto]],Imput[[C. Imp.]:[C. Imp.]],$D663,Imput[[PERIODO Imp.]:[PERIODO Imp.]],CX$9)</f>
        <v>0</v>
      </c>
      <c r="CY663" s="693">
        <f>SUMIFS(Imput[[Importe Neto]:[Importe Neto]],Imput[[C. Imp.]:[C. Imp.]],$D663,Imput[[PERIODO Imp.]:[PERIODO Imp.]],CY$9)</f>
        <v>0</v>
      </c>
      <c r="CZ663" s="693">
        <f>SUMIFS(Imput[[Importe Neto]:[Importe Neto]],Imput[[C. Imp.]:[C. Imp.]],$D663,Imput[[PERIODO Imp.]:[PERIODO Imp.]],CZ$9)</f>
        <v>0</v>
      </c>
      <c r="DA663" s="693">
        <f>SUMIFS(Imput[[Importe Neto]:[Importe Neto]],Imput[[C. Imp.]:[C. Imp.]],$D663,Imput[[PERIODO Imp.]:[PERIODO Imp.]],DA$9)</f>
        <v>0</v>
      </c>
      <c r="DB663" s="693">
        <f>SUMIFS(Imput[[Importe Neto]:[Importe Neto]],Imput[[C. Imp.]:[C. Imp.]],$D663,Imput[[PERIODO Imp.]:[PERIODO Imp.]],DB$9)</f>
        <v>0</v>
      </c>
      <c r="DC663" s="693">
        <f>SUMIFS(Imput[[Importe Neto]:[Importe Neto]],Imput[[C. Imp.]:[C. Imp.]],$D663,Imput[[PERIODO Imp.]:[PERIODO Imp.]],DC$9)</f>
        <v>0</v>
      </c>
      <c r="DD663" s="693">
        <f>SUMIFS(Imput[[Importe Neto]:[Importe Neto]],Imput[[C. Imp.]:[C. Imp.]],$D663,Imput[[PERIODO Imp.]:[PERIODO Imp.]],DD$9)</f>
        <v>0</v>
      </c>
      <c r="DE663" s="693">
        <f>SUMIFS(Imput[[Importe Neto]:[Importe Neto]],Imput[[C. Imp.]:[C. Imp.]],$D663,Imput[[PERIODO Imp.]:[PERIODO Imp.]],DE$9)</f>
        <v>0</v>
      </c>
      <c r="DF663" s="693">
        <f>SUMIFS(Imput[[Importe Neto]:[Importe Neto]],Imput[[C. Imp.]:[C. Imp.]],$D663,Imput[[PERIODO Imp.]:[PERIODO Imp.]],DF$9)</f>
        <v>0</v>
      </c>
      <c r="DG663" s="693">
        <f>SUMIFS(Imput[[Importe Neto]:[Importe Neto]],Imput[[C. Imp.]:[C. Imp.]],$D663,Imput[[PERIODO Imp.]:[PERIODO Imp.]],DG$9)</f>
        <v>0</v>
      </c>
      <c r="DH663" s="694">
        <f>SUMIFS(Imput[[Importe Neto]:[Importe Neto]],Imput[[C. Imp.]:[C. Imp.]],$D663,Imput[[PERIODO Imp.]:[PERIODO Imp.]],DH$9)</f>
        <v>0</v>
      </c>
    </row>
    <row r="664" spans="1:112" s="649" customFormat="1" ht="14.4" hidden="1" outlineLevel="1" thickBot="1" x14ac:dyDescent="0.35">
      <c r="A664" s="652" t="str">
        <f t="shared" si="239"/>
        <v/>
      </c>
      <c r="B664" s="652"/>
      <c r="C664" s="685"/>
      <c r="D664" s="686" t="s">
        <v>2674</v>
      </c>
      <c r="E664" s="686"/>
      <c r="F664" s="720"/>
      <c r="G664" s="688"/>
      <c r="H664" s="689"/>
      <c r="I664" s="851" t="str">
        <f t="shared" si="240"/>
        <v/>
      </c>
      <c r="J664" s="850" t="str">
        <f t="shared" si="241"/>
        <v/>
      </c>
      <c r="K664" s="667"/>
      <c r="L664" s="858"/>
      <c r="M664" s="859"/>
      <c r="N664" s="859"/>
      <c r="O664" s="859"/>
      <c r="P664" s="859"/>
      <c r="Q664" s="859"/>
      <c r="R664" s="859"/>
      <c r="S664" s="859"/>
      <c r="T664" s="859"/>
      <c r="U664" s="859"/>
      <c r="V664" s="859"/>
      <c r="W664" s="859"/>
      <c r="X664" s="859"/>
      <c r="Y664" s="859"/>
      <c r="Z664" s="860"/>
      <c r="AA664" s="860"/>
      <c r="AB664" s="860"/>
      <c r="AC664" s="860"/>
      <c r="AD664" s="860"/>
      <c r="AE664" s="860"/>
      <c r="AF664" s="860"/>
      <c r="AG664" s="860"/>
      <c r="AH664" s="860"/>
      <c r="AI664" s="860"/>
      <c r="AJ664" s="860"/>
      <c r="AK664" s="860"/>
      <c r="AL664" s="860"/>
      <c r="AM664" s="860"/>
      <c r="AN664" s="860"/>
      <c r="AO664" s="860"/>
      <c r="AP664" s="860"/>
      <c r="AQ664" s="860"/>
      <c r="AR664" s="860"/>
      <c r="AS664" s="860"/>
      <c r="AT664" s="860"/>
      <c r="AU664" s="860"/>
      <c r="AV664" s="860"/>
      <c r="AW664" s="860"/>
      <c r="AX664" s="860"/>
      <c r="AY664" s="860"/>
      <c r="AZ664" s="860"/>
      <c r="BA664" s="860"/>
      <c r="BB664" s="860"/>
      <c r="BC664" s="860"/>
      <c r="BD664" s="860"/>
      <c r="BE664" s="860"/>
      <c r="BF664" s="860"/>
      <c r="BG664" s="860"/>
      <c r="BH664" s="668"/>
      <c r="BI664" s="667"/>
      <c r="BJ664" s="690">
        <f t="shared" si="242"/>
        <v>0</v>
      </c>
      <c r="BK664" s="691">
        <f t="shared" si="243"/>
        <v>0</v>
      </c>
      <c r="BL664" s="654"/>
      <c r="BM664" s="692">
        <f>SUMIFS(Imput[[Importe Neto]:[Importe Neto]],Imput[[C. Imp.]:[C. Imp.]],$D664,Imput[[PERIODO Imp.]:[PERIODO Imp.]],BM$9)</f>
        <v>0</v>
      </c>
      <c r="BN664" s="693">
        <f>SUMIFS(Imput[[Importe Neto]:[Importe Neto]],Imput[[C. Imp.]:[C. Imp.]],$D664,Imput[[PERIODO Imp.]:[PERIODO Imp.]],BN$9)</f>
        <v>0</v>
      </c>
      <c r="BO664" s="693">
        <f>SUMIFS(Imput[[Importe Neto]:[Importe Neto]],Imput[[C. Imp.]:[C. Imp.]],$D664,Imput[[PERIODO Imp.]:[PERIODO Imp.]],BO$9)</f>
        <v>0</v>
      </c>
      <c r="BP664" s="693">
        <f>SUMIFS(Imput[[Importe Neto]:[Importe Neto]],Imput[[C. Imp.]:[C. Imp.]],$D664,Imput[[PERIODO Imp.]:[PERIODO Imp.]],BP$9)</f>
        <v>0</v>
      </c>
      <c r="BQ664" s="693">
        <f>SUMIFS(Imput[[Importe Neto]:[Importe Neto]],Imput[[C. Imp.]:[C. Imp.]],$D664,Imput[[PERIODO Imp.]:[PERIODO Imp.]],BQ$9)</f>
        <v>0</v>
      </c>
      <c r="BR664" s="693">
        <f>SUMIFS(Imput[[Importe Neto]:[Importe Neto]],Imput[[C. Imp.]:[C. Imp.]],$D664,Imput[[PERIODO Imp.]:[PERIODO Imp.]],BR$9)</f>
        <v>0</v>
      </c>
      <c r="BS664" s="693">
        <f>SUMIFS(Imput[[Importe Neto]:[Importe Neto]],Imput[[C. Imp.]:[C. Imp.]],$D664,Imput[[PERIODO Imp.]:[PERIODO Imp.]],BS$9)</f>
        <v>0</v>
      </c>
      <c r="BT664" s="693">
        <f>SUMIFS(Imput[[Importe Neto]:[Importe Neto]],Imput[[C. Imp.]:[C. Imp.]],$D664,Imput[[PERIODO Imp.]:[PERIODO Imp.]],BT$9)</f>
        <v>0</v>
      </c>
      <c r="BU664" s="693">
        <f>SUMIFS(Imput[[Importe Neto]:[Importe Neto]],Imput[[C. Imp.]:[C. Imp.]],$D664,Imput[[PERIODO Imp.]:[PERIODO Imp.]],BU$9)</f>
        <v>0</v>
      </c>
      <c r="BV664" s="693">
        <f>SUMIFS(Imput[[Importe Neto]:[Importe Neto]],Imput[[C. Imp.]:[C. Imp.]],$D664,Imput[[PERIODO Imp.]:[PERIODO Imp.]],BV$9)</f>
        <v>0</v>
      </c>
      <c r="BW664" s="693">
        <f>SUMIFS(Imput[[Importe Neto]:[Importe Neto]],Imput[[C. Imp.]:[C. Imp.]],$D664,Imput[[PERIODO Imp.]:[PERIODO Imp.]],BW$9)</f>
        <v>0</v>
      </c>
      <c r="BX664" s="693">
        <f>SUMIFS(Imput[[Importe Neto]:[Importe Neto]],Imput[[C. Imp.]:[C. Imp.]],$D664,Imput[[PERIODO Imp.]:[PERIODO Imp.]],BX$9)</f>
        <v>0</v>
      </c>
      <c r="BY664" s="693">
        <f>SUMIFS(Imput[[Importe Neto]:[Importe Neto]],Imput[[C. Imp.]:[C. Imp.]],$D664,Imput[[PERIODO Imp.]:[PERIODO Imp.]],BY$9)</f>
        <v>0</v>
      </c>
      <c r="BZ664" s="693">
        <f>SUMIFS(Imput[[Importe Neto]:[Importe Neto]],Imput[[C. Imp.]:[C. Imp.]],$D664,Imput[[PERIODO Imp.]:[PERIODO Imp.]],BZ$9)</f>
        <v>0</v>
      </c>
      <c r="CA664" s="693">
        <f>SUMIFS(Imput[[Importe Neto]:[Importe Neto]],Imput[[C. Imp.]:[C. Imp.]],$D664,Imput[[PERIODO Imp.]:[PERIODO Imp.]],CA$9)</f>
        <v>0</v>
      </c>
      <c r="CB664" s="693">
        <f>SUMIFS(Imput[[Importe Neto]:[Importe Neto]],Imput[[C. Imp.]:[C. Imp.]],$D664,Imput[[PERIODO Imp.]:[PERIODO Imp.]],CB$9)</f>
        <v>0</v>
      </c>
      <c r="CC664" s="693">
        <f>SUMIFS(Imput[[Importe Neto]:[Importe Neto]],Imput[[C. Imp.]:[C. Imp.]],$D664,Imput[[PERIODO Imp.]:[PERIODO Imp.]],CC$9)</f>
        <v>0</v>
      </c>
      <c r="CD664" s="693">
        <f>SUMIFS(Imput[[Importe Neto]:[Importe Neto]],Imput[[C. Imp.]:[C. Imp.]],$D664,Imput[[PERIODO Imp.]:[PERIODO Imp.]],CD$9)</f>
        <v>0</v>
      </c>
      <c r="CE664" s="693">
        <f>SUMIFS(Imput[[Importe Neto]:[Importe Neto]],Imput[[C. Imp.]:[C. Imp.]],$D664,Imput[[PERIODO Imp.]:[PERIODO Imp.]],CE$9)</f>
        <v>0</v>
      </c>
      <c r="CF664" s="693">
        <f>SUMIFS(Imput[[Importe Neto]:[Importe Neto]],Imput[[C. Imp.]:[C. Imp.]],$D664,Imput[[PERIODO Imp.]:[PERIODO Imp.]],CF$9)</f>
        <v>0</v>
      </c>
      <c r="CG664" s="693">
        <f>SUMIFS(Imput[[Importe Neto]:[Importe Neto]],Imput[[C. Imp.]:[C. Imp.]],$D664,Imput[[PERIODO Imp.]:[PERIODO Imp.]],CG$9)</f>
        <v>0</v>
      </c>
      <c r="CH664" s="693">
        <f>SUMIFS(Imput[[Importe Neto]:[Importe Neto]],Imput[[C. Imp.]:[C. Imp.]],$D664,Imput[[PERIODO Imp.]:[PERIODO Imp.]],CH$9)</f>
        <v>0</v>
      </c>
      <c r="CI664" s="693">
        <f>SUMIFS(Imput[[Importe Neto]:[Importe Neto]],Imput[[C. Imp.]:[C. Imp.]],$D664,Imput[[PERIODO Imp.]:[PERIODO Imp.]],CI$9)</f>
        <v>0</v>
      </c>
      <c r="CJ664" s="693">
        <f>SUMIFS(Imput[[Importe Neto]:[Importe Neto]],Imput[[C. Imp.]:[C. Imp.]],$D664,Imput[[PERIODO Imp.]:[PERIODO Imp.]],CJ$9)</f>
        <v>0</v>
      </c>
      <c r="CK664" s="693">
        <f>SUMIFS(Imput[[Importe Neto]:[Importe Neto]],Imput[[C. Imp.]:[C. Imp.]],$D664,Imput[[PERIODO Imp.]:[PERIODO Imp.]],CK$9)</f>
        <v>0</v>
      </c>
      <c r="CL664" s="693">
        <f>SUMIFS(Imput[[Importe Neto]:[Importe Neto]],Imput[[C. Imp.]:[C. Imp.]],$D664,Imput[[PERIODO Imp.]:[PERIODO Imp.]],CL$9)</f>
        <v>0</v>
      </c>
      <c r="CM664" s="693">
        <f>SUMIFS(Imput[[Importe Neto]:[Importe Neto]],Imput[[C. Imp.]:[C. Imp.]],$D664,Imput[[PERIODO Imp.]:[PERIODO Imp.]],CM$9)</f>
        <v>0</v>
      </c>
      <c r="CN664" s="693">
        <f>SUMIFS(Imput[[Importe Neto]:[Importe Neto]],Imput[[C. Imp.]:[C. Imp.]],$D664,Imput[[PERIODO Imp.]:[PERIODO Imp.]],CN$9)</f>
        <v>0</v>
      </c>
      <c r="CO664" s="693">
        <f>SUMIFS(Imput[[Importe Neto]:[Importe Neto]],Imput[[C. Imp.]:[C. Imp.]],$D664,Imput[[PERIODO Imp.]:[PERIODO Imp.]],CO$9)</f>
        <v>0</v>
      </c>
      <c r="CP664" s="693">
        <f>SUMIFS(Imput[[Importe Neto]:[Importe Neto]],Imput[[C. Imp.]:[C. Imp.]],$D664,Imput[[PERIODO Imp.]:[PERIODO Imp.]],CP$9)</f>
        <v>0</v>
      </c>
      <c r="CQ664" s="693">
        <f>SUMIFS(Imput[[Importe Neto]:[Importe Neto]],Imput[[C. Imp.]:[C. Imp.]],$D664,Imput[[PERIODO Imp.]:[PERIODO Imp.]],CQ$9)</f>
        <v>0</v>
      </c>
      <c r="CR664" s="693">
        <f>SUMIFS(Imput[[Importe Neto]:[Importe Neto]],Imput[[C. Imp.]:[C. Imp.]],$D664,Imput[[PERIODO Imp.]:[PERIODO Imp.]],CR$9)</f>
        <v>0</v>
      </c>
      <c r="CS664" s="693">
        <f>SUMIFS(Imput[[Importe Neto]:[Importe Neto]],Imput[[C. Imp.]:[C. Imp.]],$D664,Imput[[PERIODO Imp.]:[PERIODO Imp.]],CS$9)</f>
        <v>0</v>
      </c>
      <c r="CT664" s="693">
        <f>SUMIFS(Imput[[Importe Neto]:[Importe Neto]],Imput[[C. Imp.]:[C. Imp.]],$D664,Imput[[PERIODO Imp.]:[PERIODO Imp.]],CT$9)</f>
        <v>0</v>
      </c>
      <c r="CU664" s="693">
        <f>SUMIFS(Imput[[Importe Neto]:[Importe Neto]],Imput[[C. Imp.]:[C. Imp.]],$D664,Imput[[PERIODO Imp.]:[PERIODO Imp.]],CU$9)</f>
        <v>0</v>
      </c>
      <c r="CV664" s="693">
        <f>SUMIFS(Imput[[Importe Neto]:[Importe Neto]],Imput[[C. Imp.]:[C. Imp.]],$D664,Imput[[PERIODO Imp.]:[PERIODO Imp.]],CV$9)</f>
        <v>0</v>
      </c>
      <c r="CW664" s="693">
        <f>SUMIFS(Imput[[Importe Neto]:[Importe Neto]],Imput[[C. Imp.]:[C. Imp.]],$D664,Imput[[PERIODO Imp.]:[PERIODO Imp.]],CW$9)</f>
        <v>0</v>
      </c>
      <c r="CX664" s="693">
        <f>SUMIFS(Imput[[Importe Neto]:[Importe Neto]],Imput[[C. Imp.]:[C. Imp.]],$D664,Imput[[PERIODO Imp.]:[PERIODO Imp.]],CX$9)</f>
        <v>0</v>
      </c>
      <c r="CY664" s="693">
        <f>SUMIFS(Imput[[Importe Neto]:[Importe Neto]],Imput[[C. Imp.]:[C. Imp.]],$D664,Imput[[PERIODO Imp.]:[PERIODO Imp.]],CY$9)</f>
        <v>0</v>
      </c>
      <c r="CZ664" s="693">
        <f>SUMIFS(Imput[[Importe Neto]:[Importe Neto]],Imput[[C. Imp.]:[C. Imp.]],$D664,Imput[[PERIODO Imp.]:[PERIODO Imp.]],CZ$9)</f>
        <v>0</v>
      </c>
      <c r="DA664" s="693">
        <f>SUMIFS(Imput[[Importe Neto]:[Importe Neto]],Imput[[C. Imp.]:[C. Imp.]],$D664,Imput[[PERIODO Imp.]:[PERIODO Imp.]],DA$9)</f>
        <v>0</v>
      </c>
      <c r="DB664" s="693">
        <f>SUMIFS(Imput[[Importe Neto]:[Importe Neto]],Imput[[C. Imp.]:[C. Imp.]],$D664,Imput[[PERIODO Imp.]:[PERIODO Imp.]],DB$9)</f>
        <v>0</v>
      </c>
      <c r="DC664" s="693">
        <f>SUMIFS(Imput[[Importe Neto]:[Importe Neto]],Imput[[C. Imp.]:[C. Imp.]],$D664,Imput[[PERIODO Imp.]:[PERIODO Imp.]],DC$9)</f>
        <v>0</v>
      </c>
      <c r="DD664" s="693">
        <f>SUMIFS(Imput[[Importe Neto]:[Importe Neto]],Imput[[C. Imp.]:[C. Imp.]],$D664,Imput[[PERIODO Imp.]:[PERIODO Imp.]],DD$9)</f>
        <v>0</v>
      </c>
      <c r="DE664" s="693">
        <f>SUMIFS(Imput[[Importe Neto]:[Importe Neto]],Imput[[C. Imp.]:[C. Imp.]],$D664,Imput[[PERIODO Imp.]:[PERIODO Imp.]],DE$9)</f>
        <v>0</v>
      </c>
      <c r="DF664" s="693">
        <f>SUMIFS(Imput[[Importe Neto]:[Importe Neto]],Imput[[C. Imp.]:[C. Imp.]],$D664,Imput[[PERIODO Imp.]:[PERIODO Imp.]],DF$9)</f>
        <v>0</v>
      </c>
      <c r="DG664" s="693">
        <f>SUMIFS(Imput[[Importe Neto]:[Importe Neto]],Imput[[C. Imp.]:[C. Imp.]],$D664,Imput[[PERIODO Imp.]:[PERIODO Imp.]],DG$9)</f>
        <v>0</v>
      </c>
      <c r="DH664" s="694">
        <f>SUMIFS(Imput[[Importe Neto]:[Importe Neto]],Imput[[C. Imp.]:[C. Imp.]],$D664,Imput[[PERIODO Imp.]:[PERIODO Imp.]],DH$9)</f>
        <v>0</v>
      </c>
    </row>
    <row r="665" spans="1:112" s="649" customFormat="1" ht="14.4" hidden="1" outlineLevel="1" thickBot="1" x14ac:dyDescent="0.35">
      <c r="A665" s="652" t="str">
        <f t="shared" si="239"/>
        <v/>
      </c>
      <c r="B665" s="652"/>
      <c r="C665" s="685"/>
      <c r="D665" s="686" t="s">
        <v>2675</v>
      </c>
      <c r="E665" s="686"/>
      <c r="F665" s="720"/>
      <c r="G665" s="688"/>
      <c r="H665" s="689"/>
      <c r="I665" s="851" t="str">
        <f t="shared" si="240"/>
        <v/>
      </c>
      <c r="J665" s="850" t="str">
        <f t="shared" si="241"/>
        <v/>
      </c>
      <c r="K665" s="667"/>
      <c r="L665" s="858"/>
      <c r="M665" s="859"/>
      <c r="N665" s="859"/>
      <c r="O665" s="859"/>
      <c r="P665" s="859"/>
      <c r="Q665" s="859"/>
      <c r="R665" s="859"/>
      <c r="S665" s="859"/>
      <c r="T665" s="859"/>
      <c r="U665" s="859"/>
      <c r="V665" s="859"/>
      <c r="W665" s="859"/>
      <c r="X665" s="859"/>
      <c r="Y665" s="859"/>
      <c r="Z665" s="860"/>
      <c r="AA665" s="860"/>
      <c r="AB665" s="860"/>
      <c r="AC665" s="860"/>
      <c r="AD665" s="860"/>
      <c r="AE665" s="860"/>
      <c r="AF665" s="860"/>
      <c r="AG665" s="860"/>
      <c r="AH665" s="860"/>
      <c r="AI665" s="860"/>
      <c r="AJ665" s="860"/>
      <c r="AK665" s="860"/>
      <c r="AL665" s="860"/>
      <c r="AM665" s="860"/>
      <c r="AN665" s="860"/>
      <c r="AO665" s="860"/>
      <c r="AP665" s="860"/>
      <c r="AQ665" s="860"/>
      <c r="AR665" s="860"/>
      <c r="AS665" s="860"/>
      <c r="AT665" s="860"/>
      <c r="AU665" s="860"/>
      <c r="AV665" s="860"/>
      <c r="AW665" s="860"/>
      <c r="AX665" s="860"/>
      <c r="AY665" s="860"/>
      <c r="AZ665" s="860"/>
      <c r="BA665" s="860"/>
      <c r="BB665" s="860"/>
      <c r="BC665" s="860"/>
      <c r="BD665" s="860"/>
      <c r="BE665" s="860"/>
      <c r="BF665" s="860"/>
      <c r="BG665" s="860"/>
      <c r="BH665" s="668"/>
      <c r="BI665" s="667"/>
      <c r="BJ665" s="690">
        <f t="shared" si="242"/>
        <v>0</v>
      </c>
      <c r="BK665" s="691">
        <f t="shared" si="243"/>
        <v>0</v>
      </c>
      <c r="BL665" s="654"/>
      <c r="BM665" s="692">
        <f>SUMIFS(Imput[[Importe Neto]:[Importe Neto]],Imput[[C. Imp.]:[C. Imp.]],$D665,Imput[[PERIODO Imp.]:[PERIODO Imp.]],BM$9)</f>
        <v>0</v>
      </c>
      <c r="BN665" s="693">
        <f>SUMIFS(Imput[[Importe Neto]:[Importe Neto]],Imput[[C. Imp.]:[C. Imp.]],$D665,Imput[[PERIODO Imp.]:[PERIODO Imp.]],BN$9)</f>
        <v>0</v>
      </c>
      <c r="BO665" s="693">
        <f>SUMIFS(Imput[[Importe Neto]:[Importe Neto]],Imput[[C. Imp.]:[C. Imp.]],$D665,Imput[[PERIODO Imp.]:[PERIODO Imp.]],BO$9)</f>
        <v>0</v>
      </c>
      <c r="BP665" s="693">
        <f>SUMIFS(Imput[[Importe Neto]:[Importe Neto]],Imput[[C. Imp.]:[C. Imp.]],$D665,Imput[[PERIODO Imp.]:[PERIODO Imp.]],BP$9)</f>
        <v>0</v>
      </c>
      <c r="BQ665" s="693">
        <f>SUMIFS(Imput[[Importe Neto]:[Importe Neto]],Imput[[C. Imp.]:[C. Imp.]],$D665,Imput[[PERIODO Imp.]:[PERIODO Imp.]],BQ$9)</f>
        <v>0</v>
      </c>
      <c r="BR665" s="693">
        <f>SUMIFS(Imput[[Importe Neto]:[Importe Neto]],Imput[[C. Imp.]:[C. Imp.]],$D665,Imput[[PERIODO Imp.]:[PERIODO Imp.]],BR$9)</f>
        <v>0</v>
      </c>
      <c r="BS665" s="693">
        <f>SUMIFS(Imput[[Importe Neto]:[Importe Neto]],Imput[[C. Imp.]:[C. Imp.]],$D665,Imput[[PERIODO Imp.]:[PERIODO Imp.]],BS$9)</f>
        <v>0</v>
      </c>
      <c r="BT665" s="693">
        <f>SUMIFS(Imput[[Importe Neto]:[Importe Neto]],Imput[[C. Imp.]:[C. Imp.]],$D665,Imput[[PERIODO Imp.]:[PERIODO Imp.]],BT$9)</f>
        <v>0</v>
      </c>
      <c r="BU665" s="693">
        <f>SUMIFS(Imput[[Importe Neto]:[Importe Neto]],Imput[[C. Imp.]:[C. Imp.]],$D665,Imput[[PERIODO Imp.]:[PERIODO Imp.]],BU$9)</f>
        <v>0</v>
      </c>
      <c r="BV665" s="693">
        <f>SUMIFS(Imput[[Importe Neto]:[Importe Neto]],Imput[[C. Imp.]:[C. Imp.]],$D665,Imput[[PERIODO Imp.]:[PERIODO Imp.]],BV$9)</f>
        <v>0</v>
      </c>
      <c r="BW665" s="693">
        <f>SUMIFS(Imput[[Importe Neto]:[Importe Neto]],Imput[[C. Imp.]:[C. Imp.]],$D665,Imput[[PERIODO Imp.]:[PERIODO Imp.]],BW$9)</f>
        <v>0</v>
      </c>
      <c r="BX665" s="693">
        <f>SUMIFS(Imput[[Importe Neto]:[Importe Neto]],Imput[[C. Imp.]:[C. Imp.]],$D665,Imput[[PERIODO Imp.]:[PERIODO Imp.]],BX$9)</f>
        <v>0</v>
      </c>
      <c r="BY665" s="693">
        <f>SUMIFS(Imput[[Importe Neto]:[Importe Neto]],Imput[[C. Imp.]:[C. Imp.]],$D665,Imput[[PERIODO Imp.]:[PERIODO Imp.]],BY$9)</f>
        <v>0</v>
      </c>
      <c r="BZ665" s="693">
        <f>SUMIFS(Imput[[Importe Neto]:[Importe Neto]],Imput[[C. Imp.]:[C. Imp.]],$D665,Imput[[PERIODO Imp.]:[PERIODO Imp.]],BZ$9)</f>
        <v>0</v>
      </c>
      <c r="CA665" s="693">
        <f>SUMIFS(Imput[[Importe Neto]:[Importe Neto]],Imput[[C. Imp.]:[C. Imp.]],$D665,Imput[[PERIODO Imp.]:[PERIODO Imp.]],CA$9)</f>
        <v>0</v>
      </c>
      <c r="CB665" s="693">
        <f>SUMIFS(Imput[[Importe Neto]:[Importe Neto]],Imput[[C. Imp.]:[C. Imp.]],$D665,Imput[[PERIODO Imp.]:[PERIODO Imp.]],CB$9)</f>
        <v>0</v>
      </c>
      <c r="CC665" s="693">
        <f>SUMIFS(Imput[[Importe Neto]:[Importe Neto]],Imput[[C. Imp.]:[C. Imp.]],$D665,Imput[[PERIODO Imp.]:[PERIODO Imp.]],CC$9)</f>
        <v>0</v>
      </c>
      <c r="CD665" s="693">
        <f>SUMIFS(Imput[[Importe Neto]:[Importe Neto]],Imput[[C. Imp.]:[C. Imp.]],$D665,Imput[[PERIODO Imp.]:[PERIODO Imp.]],CD$9)</f>
        <v>0</v>
      </c>
      <c r="CE665" s="693">
        <f>SUMIFS(Imput[[Importe Neto]:[Importe Neto]],Imput[[C. Imp.]:[C. Imp.]],$D665,Imput[[PERIODO Imp.]:[PERIODO Imp.]],CE$9)</f>
        <v>0</v>
      </c>
      <c r="CF665" s="693">
        <f>SUMIFS(Imput[[Importe Neto]:[Importe Neto]],Imput[[C. Imp.]:[C. Imp.]],$D665,Imput[[PERIODO Imp.]:[PERIODO Imp.]],CF$9)</f>
        <v>0</v>
      </c>
      <c r="CG665" s="693">
        <f>SUMIFS(Imput[[Importe Neto]:[Importe Neto]],Imput[[C. Imp.]:[C. Imp.]],$D665,Imput[[PERIODO Imp.]:[PERIODO Imp.]],CG$9)</f>
        <v>0</v>
      </c>
      <c r="CH665" s="693">
        <f>SUMIFS(Imput[[Importe Neto]:[Importe Neto]],Imput[[C. Imp.]:[C. Imp.]],$D665,Imput[[PERIODO Imp.]:[PERIODO Imp.]],CH$9)</f>
        <v>0</v>
      </c>
      <c r="CI665" s="693">
        <f>SUMIFS(Imput[[Importe Neto]:[Importe Neto]],Imput[[C. Imp.]:[C. Imp.]],$D665,Imput[[PERIODO Imp.]:[PERIODO Imp.]],CI$9)</f>
        <v>0</v>
      </c>
      <c r="CJ665" s="693">
        <f>SUMIFS(Imput[[Importe Neto]:[Importe Neto]],Imput[[C. Imp.]:[C. Imp.]],$D665,Imput[[PERIODO Imp.]:[PERIODO Imp.]],CJ$9)</f>
        <v>0</v>
      </c>
      <c r="CK665" s="693">
        <f>SUMIFS(Imput[[Importe Neto]:[Importe Neto]],Imput[[C. Imp.]:[C. Imp.]],$D665,Imput[[PERIODO Imp.]:[PERIODO Imp.]],CK$9)</f>
        <v>0</v>
      </c>
      <c r="CL665" s="693">
        <f>SUMIFS(Imput[[Importe Neto]:[Importe Neto]],Imput[[C. Imp.]:[C. Imp.]],$D665,Imput[[PERIODO Imp.]:[PERIODO Imp.]],CL$9)</f>
        <v>0</v>
      </c>
      <c r="CM665" s="693">
        <f>SUMIFS(Imput[[Importe Neto]:[Importe Neto]],Imput[[C. Imp.]:[C. Imp.]],$D665,Imput[[PERIODO Imp.]:[PERIODO Imp.]],CM$9)</f>
        <v>0</v>
      </c>
      <c r="CN665" s="693">
        <f>SUMIFS(Imput[[Importe Neto]:[Importe Neto]],Imput[[C. Imp.]:[C. Imp.]],$D665,Imput[[PERIODO Imp.]:[PERIODO Imp.]],CN$9)</f>
        <v>0</v>
      </c>
      <c r="CO665" s="693">
        <f>SUMIFS(Imput[[Importe Neto]:[Importe Neto]],Imput[[C. Imp.]:[C. Imp.]],$D665,Imput[[PERIODO Imp.]:[PERIODO Imp.]],CO$9)</f>
        <v>0</v>
      </c>
      <c r="CP665" s="693">
        <f>SUMIFS(Imput[[Importe Neto]:[Importe Neto]],Imput[[C. Imp.]:[C. Imp.]],$D665,Imput[[PERIODO Imp.]:[PERIODO Imp.]],CP$9)</f>
        <v>0</v>
      </c>
      <c r="CQ665" s="693">
        <f>SUMIFS(Imput[[Importe Neto]:[Importe Neto]],Imput[[C. Imp.]:[C. Imp.]],$D665,Imput[[PERIODO Imp.]:[PERIODO Imp.]],CQ$9)</f>
        <v>0</v>
      </c>
      <c r="CR665" s="693">
        <f>SUMIFS(Imput[[Importe Neto]:[Importe Neto]],Imput[[C. Imp.]:[C. Imp.]],$D665,Imput[[PERIODO Imp.]:[PERIODO Imp.]],CR$9)</f>
        <v>0</v>
      </c>
      <c r="CS665" s="693">
        <f>SUMIFS(Imput[[Importe Neto]:[Importe Neto]],Imput[[C. Imp.]:[C. Imp.]],$D665,Imput[[PERIODO Imp.]:[PERIODO Imp.]],CS$9)</f>
        <v>0</v>
      </c>
      <c r="CT665" s="693">
        <f>SUMIFS(Imput[[Importe Neto]:[Importe Neto]],Imput[[C. Imp.]:[C. Imp.]],$D665,Imput[[PERIODO Imp.]:[PERIODO Imp.]],CT$9)</f>
        <v>0</v>
      </c>
      <c r="CU665" s="693">
        <f>SUMIFS(Imput[[Importe Neto]:[Importe Neto]],Imput[[C. Imp.]:[C. Imp.]],$D665,Imput[[PERIODO Imp.]:[PERIODO Imp.]],CU$9)</f>
        <v>0</v>
      </c>
      <c r="CV665" s="693">
        <f>SUMIFS(Imput[[Importe Neto]:[Importe Neto]],Imput[[C. Imp.]:[C. Imp.]],$D665,Imput[[PERIODO Imp.]:[PERIODO Imp.]],CV$9)</f>
        <v>0</v>
      </c>
      <c r="CW665" s="693">
        <f>SUMIFS(Imput[[Importe Neto]:[Importe Neto]],Imput[[C. Imp.]:[C. Imp.]],$D665,Imput[[PERIODO Imp.]:[PERIODO Imp.]],CW$9)</f>
        <v>0</v>
      </c>
      <c r="CX665" s="693">
        <f>SUMIFS(Imput[[Importe Neto]:[Importe Neto]],Imput[[C. Imp.]:[C. Imp.]],$D665,Imput[[PERIODO Imp.]:[PERIODO Imp.]],CX$9)</f>
        <v>0</v>
      </c>
      <c r="CY665" s="693">
        <f>SUMIFS(Imput[[Importe Neto]:[Importe Neto]],Imput[[C. Imp.]:[C. Imp.]],$D665,Imput[[PERIODO Imp.]:[PERIODO Imp.]],CY$9)</f>
        <v>0</v>
      </c>
      <c r="CZ665" s="693">
        <f>SUMIFS(Imput[[Importe Neto]:[Importe Neto]],Imput[[C. Imp.]:[C. Imp.]],$D665,Imput[[PERIODO Imp.]:[PERIODO Imp.]],CZ$9)</f>
        <v>0</v>
      </c>
      <c r="DA665" s="693">
        <f>SUMIFS(Imput[[Importe Neto]:[Importe Neto]],Imput[[C. Imp.]:[C. Imp.]],$D665,Imput[[PERIODO Imp.]:[PERIODO Imp.]],DA$9)</f>
        <v>0</v>
      </c>
      <c r="DB665" s="693">
        <f>SUMIFS(Imput[[Importe Neto]:[Importe Neto]],Imput[[C. Imp.]:[C. Imp.]],$D665,Imput[[PERIODO Imp.]:[PERIODO Imp.]],DB$9)</f>
        <v>0</v>
      </c>
      <c r="DC665" s="693">
        <f>SUMIFS(Imput[[Importe Neto]:[Importe Neto]],Imput[[C. Imp.]:[C. Imp.]],$D665,Imput[[PERIODO Imp.]:[PERIODO Imp.]],DC$9)</f>
        <v>0</v>
      </c>
      <c r="DD665" s="693">
        <f>SUMIFS(Imput[[Importe Neto]:[Importe Neto]],Imput[[C. Imp.]:[C. Imp.]],$D665,Imput[[PERIODO Imp.]:[PERIODO Imp.]],DD$9)</f>
        <v>0</v>
      </c>
      <c r="DE665" s="693">
        <f>SUMIFS(Imput[[Importe Neto]:[Importe Neto]],Imput[[C. Imp.]:[C. Imp.]],$D665,Imput[[PERIODO Imp.]:[PERIODO Imp.]],DE$9)</f>
        <v>0</v>
      </c>
      <c r="DF665" s="693">
        <f>SUMIFS(Imput[[Importe Neto]:[Importe Neto]],Imput[[C. Imp.]:[C. Imp.]],$D665,Imput[[PERIODO Imp.]:[PERIODO Imp.]],DF$9)</f>
        <v>0</v>
      </c>
      <c r="DG665" s="693">
        <f>SUMIFS(Imput[[Importe Neto]:[Importe Neto]],Imput[[C. Imp.]:[C. Imp.]],$D665,Imput[[PERIODO Imp.]:[PERIODO Imp.]],DG$9)</f>
        <v>0</v>
      </c>
      <c r="DH665" s="694">
        <f>SUMIFS(Imput[[Importe Neto]:[Importe Neto]],Imput[[C. Imp.]:[C. Imp.]],$D665,Imput[[PERIODO Imp.]:[PERIODO Imp.]],DH$9)</f>
        <v>0</v>
      </c>
    </row>
    <row r="666" spans="1:112" s="649" customFormat="1" ht="14.4" hidden="1" outlineLevel="1" thickBot="1" x14ac:dyDescent="0.35">
      <c r="A666" s="652" t="str">
        <f t="shared" si="239"/>
        <v/>
      </c>
      <c r="B666" s="652"/>
      <c r="C666" s="685"/>
      <c r="D666" s="686" t="s">
        <v>2676</v>
      </c>
      <c r="E666" s="686"/>
      <c r="F666" s="720"/>
      <c r="G666" s="688"/>
      <c r="H666" s="689"/>
      <c r="I666" s="851" t="str">
        <f t="shared" si="240"/>
        <v/>
      </c>
      <c r="J666" s="850" t="str">
        <f t="shared" si="241"/>
        <v/>
      </c>
      <c r="K666" s="667"/>
      <c r="L666" s="858"/>
      <c r="M666" s="859"/>
      <c r="N666" s="859"/>
      <c r="O666" s="859"/>
      <c r="P666" s="859"/>
      <c r="Q666" s="859"/>
      <c r="R666" s="859"/>
      <c r="S666" s="859"/>
      <c r="T666" s="859"/>
      <c r="U666" s="859"/>
      <c r="V666" s="859"/>
      <c r="W666" s="859"/>
      <c r="X666" s="859"/>
      <c r="Y666" s="859"/>
      <c r="Z666" s="860"/>
      <c r="AA666" s="860"/>
      <c r="AB666" s="860"/>
      <c r="AC666" s="860"/>
      <c r="AD666" s="860"/>
      <c r="AE666" s="860"/>
      <c r="AF666" s="860"/>
      <c r="AG666" s="860"/>
      <c r="AH666" s="860"/>
      <c r="AI666" s="860"/>
      <c r="AJ666" s="860"/>
      <c r="AK666" s="860"/>
      <c r="AL666" s="860"/>
      <c r="AM666" s="860"/>
      <c r="AN666" s="860"/>
      <c r="AO666" s="860"/>
      <c r="AP666" s="860"/>
      <c r="AQ666" s="860"/>
      <c r="AR666" s="860"/>
      <c r="AS666" s="860"/>
      <c r="AT666" s="860"/>
      <c r="AU666" s="860"/>
      <c r="AV666" s="860"/>
      <c r="AW666" s="860"/>
      <c r="AX666" s="860"/>
      <c r="AY666" s="860"/>
      <c r="AZ666" s="860"/>
      <c r="BA666" s="860"/>
      <c r="BB666" s="860"/>
      <c r="BC666" s="860"/>
      <c r="BD666" s="860"/>
      <c r="BE666" s="860"/>
      <c r="BF666" s="860"/>
      <c r="BG666" s="860"/>
      <c r="BH666" s="668"/>
      <c r="BI666" s="667"/>
      <c r="BJ666" s="690">
        <f t="shared" si="242"/>
        <v>0</v>
      </c>
      <c r="BK666" s="691">
        <f t="shared" si="243"/>
        <v>0</v>
      </c>
      <c r="BL666" s="654"/>
      <c r="BM666" s="692">
        <f>SUMIFS(Imput[[Importe Neto]:[Importe Neto]],Imput[[C. Imp.]:[C. Imp.]],$D666,Imput[[PERIODO Imp.]:[PERIODO Imp.]],BM$9)</f>
        <v>0</v>
      </c>
      <c r="BN666" s="693">
        <f>SUMIFS(Imput[[Importe Neto]:[Importe Neto]],Imput[[C. Imp.]:[C. Imp.]],$D666,Imput[[PERIODO Imp.]:[PERIODO Imp.]],BN$9)</f>
        <v>0</v>
      </c>
      <c r="BO666" s="693">
        <f>SUMIFS(Imput[[Importe Neto]:[Importe Neto]],Imput[[C. Imp.]:[C. Imp.]],$D666,Imput[[PERIODO Imp.]:[PERIODO Imp.]],BO$9)</f>
        <v>0</v>
      </c>
      <c r="BP666" s="693">
        <f>SUMIFS(Imput[[Importe Neto]:[Importe Neto]],Imput[[C. Imp.]:[C. Imp.]],$D666,Imput[[PERIODO Imp.]:[PERIODO Imp.]],BP$9)</f>
        <v>0</v>
      </c>
      <c r="BQ666" s="693">
        <f>SUMIFS(Imput[[Importe Neto]:[Importe Neto]],Imput[[C. Imp.]:[C. Imp.]],$D666,Imput[[PERIODO Imp.]:[PERIODO Imp.]],BQ$9)</f>
        <v>0</v>
      </c>
      <c r="BR666" s="693">
        <f>SUMIFS(Imput[[Importe Neto]:[Importe Neto]],Imput[[C. Imp.]:[C. Imp.]],$D666,Imput[[PERIODO Imp.]:[PERIODO Imp.]],BR$9)</f>
        <v>0</v>
      </c>
      <c r="BS666" s="693">
        <f>SUMIFS(Imput[[Importe Neto]:[Importe Neto]],Imput[[C. Imp.]:[C. Imp.]],$D666,Imput[[PERIODO Imp.]:[PERIODO Imp.]],BS$9)</f>
        <v>0</v>
      </c>
      <c r="BT666" s="693">
        <f>SUMIFS(Imput[[Importe Neto]:[Importe Neto]],Imput[[C. Imp.]:[C. Imp.]],$D666,Imput[[PERIODO Imp.]:[PERIODO Imp.]],BT$9)</f>
        <v>0</v>
      </c>
      <c r="BU666" s="693">
        <f>SUMIFS(Imput[[Importe Neto]:[Importe Neto]],Imput[[C. Imp.]:[C. Imp.]],$D666,Imput[[PERIODO Imp.]:[PERIODO Imp.]],BU$9)</f>
        <v>0</v>
      </c>
      <c r="BV666" s="693">
        <f>SUMIFS(Imput[[Importe Neto]:[Importe Neto]],Imput[[C. Imp.]:[C. Imp.]],$D666,Imput[[PERIODO Imp.]:[PERIODO Imp.]],BV$9)</f>
        <v>0</v>
      </c>
      <c r="BW666" s="693">
        <f>SUMIFS(Imput[[Importe Neto]:[Importe Neto]],Imput[[C. Imp.]:[C. Imp.]],$D666,Imput[[PERIODO Imp.]:[PERIODO Imp.]],BW$9)</f>
        <v>0</v>
      </c>
      <c r="BX666" s="693">
        <f>SUMIFS(Imput[[Importe Neto]:[Importe Neto]],Imput[[C. Imp.]:[C. Imp.]],$D666,Imput[[PERIODO Imp.]:[PERIODO Imp.]],BX$9)</f>
        <v>0</v>
      </c>
      <c r="BY666" s="693">
        <f>SUMIFS(Imput[[Importe Neto]:[Importe Neto]],Imput[[C. Imp.]:[C. Imp.]],$D666,Imput[[PERIODO Imp.]:[PERIODO Imp.]],BY$9)</f>
        <v>0</v>
      </c>
      <c r="BZ666" s="693">
        <f>SUMIFS(Imput[[Importe Neto]:[Importe Neto]],Imput[[C. Imp.]:[C. Imp.]],$D666,Imput[[PERIODO Imp.]:[PERIODO Imp.]],BZ$9)</f>
        <v>0</v>
      </c>
      <c r="CA666" s="693">
        <f>SUMIFS(Imput[[Importe Neto]:[Importe Neto]],Imput[[C. Imp.]:[C. Imp.]],$D666,Imput[[PERIODO Imp.]:[PERIODO Imp.]],CA$9)</f>
        <v>0</v>
      </c>
      <c r="CB666" s="693">
        <f>SUMIFS(Imput[[Importe Neto]:[Importe Neto]],Imput[[C. Imp.]:[C. Imp.]],$D666,Imput[[PERIODO Imp.]:[PERIODO Imp.]],CB$9)</f>
        <v>0</v>
      </c>
      <c r="CC666" s="693">
        <f>SUMIFS(Imput[[Importe Neto]:[Importe Neto]],Imput[[C. Imp.]:[C. Imp.]],$D666,Imput[[PERIODO Imp.]:[PERIODO Imp.]],CC$9)</f>
        <v>0</v>
      </c>
      <c r="CD666" s="693">
        <f>SUMIFS(Imput[[Importe Neto]:[Importe Neto]],Imput[[C. Imp.]:[C. Imp.]],$D666,Imput[[PERIODO Imp.]:[PERIODO Imp.]],CD$9)</f>
        <v>0</v>
      </c>
      <c r="CE666" s="693">
        <f>SUMIFS(Imput[[Importe Neto]:[Importe Neto]],Imput[[C. Imp.]:[C. Imp.]],$D666,Imput[[PERIODO Imp.]:[PERIODO Imp.]],CE$9)</f>
        <v>0</v>
      </c>
      <c r="CF666" s="693">
        <f>SUMIFS(Imput[[Importe Neto]:[Importe Neto]],Imput[[C. Imp.]:[C. Imp.]],$D666,Imput[[PERIODO Imp.]:[PERIODO Imp.]],CF$9)</f>
        <v>0</v>
      </c>
      <c r="CG666" s="693">
        <f>SUMIFS(Imput[[Importe Neto]:[Importe Neto]],Imput[[C. Imp.]:[C. Imp.]],$D666,Imput[[PERIODO Imp.]:[PERIODO Imp.]],CG$9)</f>
        <v>0</v>
      </c>
      <c r="CH666" s="693">
        <f>SUMIFS(Imput[[Importe Neto]:[Importe Neto]],Imput[[C. Imp.]:[C. Imp.]],$D666,Imput[[PERIODO Imp.]:[PERIODO Imp.]],CH$9)</f>
        <v>0</v>
      </c>
      <c r="CI666" s="693">
        <f>SUMIFS(Imput[[Importe Neto]:[Importe Neto]],Imput[[C. Imp.]:[C. Imp.]],$D666,Imput[[PERIODO Imp.]:[PERIODO Imp.]],CI$9)</f>
        <v>0</v>
      </c>
      <c r="CJ666" s="693">
        <f>SUMIFS(Imput[[Importe Neto]:[Importe Neto]],Imput[[C. Imp.]:[C. Imp.]],$D666,Imput[[PERIODO Imp.]:[PERIODO Imp.]],CJ$9)</f>
        <v>0</v>
      </c>
      <c r="CK666" s="693">
        <f>SUMIFS(Imput[[Importe Neto]:[Importe Neto]],Imput[[C. Imp.]:[C. Imp.]],$D666,Imput[[PERIODO Imp.]:[PERIODO Imp.]],CK$9)</f>
        <v>0</v>
      </c>
      <c r="CL666" s="693">
        <f>SUMIFS(Imput[[Importe Neto]:[Importe Neto]],Imput[[C. Imp.]:[C. Imp.]],$D666,Imput[[PERIODO Imp.]:[PERIODO Imp.]],CL$9)</f>
        <v>0</v>
      </c>
      <c r="CM666" s="693">
        <f>SUMIFS(Imput[[Importe Neto]:[Importe Neto]],Imput[[C. Imp.]:[C. Imp.]],$D666,Imput[[PERIODO Imp.]:[PERIODO Imp.]],CM$9)</f>
        <v>0</v>
      </c>
      <c r="CN666" s="693">
        <f>SUMIFS(Imput[[Importe Neto]:[Importe Neto]],Imput[[C. Imp.]:[C. Imp.]],$D666,Imput[[PERIODO Imp.]:[PERIODO Imp.]],CN$9)</f>
        <v>0</v>
      </c>
      <c r="CO666" s="693">
        <f>SUMIFS(Imput[[Importe Neto]:[Importe Neto]],Imput[[C. Imp.]:[C. Imp.]],$D666,Imput[[PERIODO Imp.]:[PERIODO Imp.]],CO$9)</f>
        <v>0</v>
      </c>
      <c r="CP666" s="693">
        <f>SUMIFS(Imput[[Importe Neto]:[Importe Neto]],Imput[[C. Imp.]:[C. Imp.]],$D666,Imput[[PERIODO Imp.]:[PERIODO Imp.]],CP$9)</f>
        <v>0</v>
      </c>
      <c r="CQ666" s="693">
        <f>SUMIFS(Imput[[Importe Neto]:[Importe Neto]],Imput[[C. Imp.]:[C. Imp.]],$D666,Imput[[PERIODO Imp.]:[PERIODO Imp.]],CQ$9)</f>
        <v>0</v>
      </c>
      <c r="CR666" s="693">
        <f>SUMIFS(Imput[[Importe Neto]:[Importe Neto]],Imput[[C. Imp.]:[C. Imp.]],$D666,Imput[[PERIODO Imp.]:[PERIODO Imp.]],CR$9)</f>
        <v>0</v>
      </c>
      <c r="CS666" s="693">
        <f>SUMIFS(Imput[[Importe Neto]:[Importe Neto]],Imput[[C. Imp.]:[C. Imp.]],$D666,Imput[[PERIODO Imp.]:[PERIODO Imp.]],CS$9)</f>
        <v>0</v>
      </c>
      <c r="CT666" s="693">
        <f>SUMIFS(Imput[[Importe Neto]:[Importe Neto]],Imput[[C. Imp.]:[C. Imp.]],$D666,Imput[[PERIODO Imp.]:[PERIODO Imp.]],CT$9)</f>
        <v>0</v>
      </c>
      <c r="CU666" s="693">
        <f>SUMIFS(Imput[[Importe Neto]:[Importe Neto]],Imput[[C. Imp.]:[C. Imp.]],$D666,Imput[[PERIODO Imp.]:[PERIODO Imp.]],CU$9)</f>
        <v>0</v>
      </c>
      <c r="CV666" s="693">
        <f>SUMIFS(Imput[[Importe Neto]:[Importe Neto]],Imput[[C. Imp.]:[C. Imp.]],$D666,Imput[[PERIODO Imp.]:[PERIODO Imp.]],CV$9)</f>
        <v>0</v>
      </c>
      <c r="CW666" s="693">
        <f>SUMIFS(Imput[[Importe Neto]:[Importe Neto]],Imput[[C. Imp.]:[C. Imp.]],$D666,Imput[[PERIODO Imp.]:[PERIODO Imp.]],CW$9)</f>
        <v>0</v>
      </c>
      <c r="CX666" s="693">
        <f>SUMIFS(Imput[[Importe Neto]:[Importe Neto]],Imput[[C. Imp.]:[C. Imp.]],$D666,Imput[[PERIODO Imp.]:[PERIODO Imp.]],CX$9)</f>
        <v>0</v>
      </c>
      <c r="CY666" s="693">
        <f>SUMIFS(Imput[[Importe Neto]:[Importe Neto]],Imput[[C. Imp.]:[C. Imp.]],$D666,Imput[[PERIODO Imp.]:[PERIODO Imp.]],CY$9)</f>
        <v>0</v>
      </c>
      <c r="CZ666" s="693">
        <f>SUMIFS(Imput[[Importe Neto]:[Importe Neto]],Imput[[C. Imp.]:[C. Imp.]],$D666,Imput[[PERIODO Imp.]:[PERIODO Imp.]],CZ$9)</f>
        <v>0</v>
      </c>
      <c r="DA666" s="693">
        <f>SUMIFS(Imput[[Importe Neto]:[Importe Neto]],Imput[[C. Imp.]:[C. Imp.]],$D666,Imput[[PERIODO Imp.]:[PERIODO Imp.]],DA$9)</f>
        <v>0</v>
      </c>
      <c r="DB666" s="693">
        <f>SUMIFS(Imput[[Importe Neto]:[Importe Neto]],Imput[[C. Imp.]:[C. Imp.]],$D666,Imput[[PERIODO Imp.]:[PERIODO Imp.]],DB$9)</f>
        <v>0</v>
      </c>
      <c r="DC666" s="693">
        <f>SUMIFS(Imput[[Importe Neto]:[Importe Neto]],Imput[[C. Imp.]:[C. Imp.]],$D666,Imput[[PERIODO Imp.]:[PERIODO Imp.]],DC$9)</f>
        <v>0</v>
      </c>
      <c r="DD666" s="693">
        <f>SUMIFS(Imput[[Importe Neto]:[Importe Neto]],Imput[[C. Imp.]:[C. Imp.]],$D666,Imput[[PERIODO Imp.]:[PERIODO Imp.]],DD$9)</f>
        <v>0</v>
      </c>
      <c r="DE666" s="693">
        <f>SUMIFS(Imput[[Importe Neto]:[Importe Neto]],Imput[[C. Imp.]:[C. Imp.]],$D666,Imput[[PERIODO Imp.]:[PERIODO Imp.]],DE$9)</f>
        <v>0</v>
      </c>
      <c r="DF666" s="693">
        <f>SUMIFS(Imput[[Importe Neto]:[Importe Neto]],Imput[[C. Imp.]:[C. Imp.]],$D666,Imput[[PERIODO Imp.]:[PERIODO Imp.]],DF$9)</f>
        <v>0</v>
      </c>
      <c r="DG666" s="693">
        <f>SUMIFS(Imput[[Importe Neto]:[Importe Neto]],Imput[[C. Imp.]:[C. Imp.]],$D666,Imput[[PERIODO Imp.]:[PERIODO Imp.]],DG$9)</f>
        <v>0</v>
      </c>
      <c r="DH666" s="694">
        <f>SUMIFS(Imput[[Importe Neto]:[Importe Neto]],Imput[[C. Imp.]:[C. Imp.]],$D666,Imput[[PERIODO Imp.]:[PERIODO Imp.]],DH$9)</f>
        <v>0</v>
      </c>
    </row>
    <row r="667" spans="1:112" s="649" customFormat="1" ht="14.4" hidden="1" outlineLevel="1" thickBot="1" x14ac:dyDescent="0.35">
      <c r="A667" s="652" t="str">
        <f t="shared" si="239"/>
        <v/>
      </c>
      <c r="B667" s="652"/>
      <c r="C667" s="685"/>
      <c r="D667" s="686" t="s">
        <v>2677</v>
      </c>
      <c r="E667" s="686"/>
      <c r="F667" s="720"/>
      <c r="G667" s="688"/>
      <c r="H667" s="689"/>
      <c r="I667" s="851" t="str">
        <f t="shared" si="240"/>
        <v/>
      </c>
      <c r="J667" s="850" t="str">
        <f t="shared" si="241"/>
        <v/>
      </c>
      <c r="K667" s="667"/>
      <c r="L667" s="858"/>
      <c r="M667" s="859"/>
      <c r="N667" s="859"/>
      <c r="O667" s="859"/>
      <c r="P667" s="859"/>
      <c r="Q667" s="859"/>
      <c r="R667" s="859"/>
      <c r="S667" s="859"/>
      <c r="T667" s="859"/>
      <c r="U667" s="859"/>
      <c r="V667" s="859"/>
      <c r="W667" s="859"/>
      <c r="X667" s="859"/>
      <c r="Y667" s="859"/>
      <c r="Z667" s="860"/>
      <c r="AA667" s="860"/>
      <c r="AB667" s="860"/>
      <c r="AC667" s="860"/>
      <c r="AD667" s="860"/>
      <c r="AE667" s="860"/>
      <c r="AF667" s="860"/>
      <c r="AG667" s="860"/>
      <c r="AH667" s="860"/>
      <c r="AI667" s="860"/>
      <c r="AJ667" s="860"/>
      <c r="AK667" s="860"/>
      <c r="AL667" s="860"/>
      <c r="AM667" s="860"/>
      <c r="AN667" s="860"/>
      <c r="AO667" s="860"/>
      <c r="AP667" s="860"/>
      <c r="AQ667" s="860"/>
      <c r="AR667" s="860"/>
      <c r="AS667" s="860"/>
      <c r="AT667" s="860"/>
      <c r="AU667" s="860"/>
      <c r="AV667" s="860"/>
      <c r="AW667" s="860"/>
      <c r="AX667" s="860"/>
      <c r="AY667" s="860"/>
      <c r="AZ667" s="860"/>
      <c r="BA667" s="860"/>
      <c r="BB667" s="860"/>
      <c r="BC667" s="860"/>
      <c r="BD667" s="860"/>
      <c r="BE667" s="860"/>
      <c r="BF667" s="860"/>
      <c r="BG667" s="860"/>
      <c r="BH667" s="668"/>
      <c r="BI667" s="667"/>
      <c r="BJ667" s="690">
        <f t="shared" si="242"/>
        <v>0</v>
      </c>
      <c r="BK667" s="691">
        <f t="shared" si="243"/>
        <v>0</v>
      </c>
      <c r="BL667" s="654"/>
      <c r="BM667" s="692">
        <f>SUMIFS(Imput[[Importe Neto]:[Importe Neto]],Imput[[C. Imp.]:[C. Imp.]],$D667,Imput[[PERIODO Imp.]:[PERIODO Imp.]],BM$9)</f>
        <v>0</v>
      </c>
      <c r="BN667" s="693">
        <f>SUMIFS(Imput[[Importe Neto]:[Importe Neto]],Imput[[C. Imp.]:[C. Imp.]],$D667,Imput[[PERIODO Imp.]:[PERIODO Imp.]],BN$9)</f>
        <v>0</v>
      </c>
      <c r="BO667" s="693">
        <f>SUMIFS(Imput[[Importe Neto]:[Importe Neto]],Imput[[C. Imp.]:[C. Imp.]],$D667,Imput[[PERIODO Imp.]:[PERIODO Imp.]],BO$9)</f>
        <v>0</v>
      </c>
      <c r="BP667" s="693">
        <f>SUMIFS(Imput[[Importe Neto]:[Importe Neto]],Imput[[C. Imp.]:[C. Imp.]],$D667,Imput[[PERIODO Imp.]:[PERIODO Imp.]],BP$9)</f>
        <v>0</v>
      </c>
      <c r="BQ667" s="693">
        <f>SUMIFS(Imput[[Importe Neto]:[Importe Neto]],Imput[[C. Imp.]:[C. Imp.]],$D667,Imput[[PERIODO Imp.]:[PERIODO Imp.]],BQ$9)</f>
        <v>0</v>
      </c>
      <c r="BR667" s="693">
        <f>SUMIFS(Imput[[Importe Neto]:[Importe Neto]],Imput[[C. Imp.]:[C. Imp.]],$D667,Imput[[PERIODO Imp.]:[PERIODO Imp.]],BR$9)</f>
        <v>0</v>
      </c>
      <c r="BS667" s="693">
        <f>SUMIFS(Imput[[Importe Neto]:[Importe Neto]],Imput[[C. Imp.]:[C. Imp.]],$D667,Imput[[PERIODO Imp.]:[PERIODO Imp.]],BS$9)</f>
        <v>0</v>
      </c>
      <c r="BT667" s="693">
        <f>SUMIFS(Imput[[Importe Neto]:[Importe Neto]],Imput[[C. Imp.]:[C. Imp.]],$D667,Imput[[PERIODO Imp.]:[PERIODO Imp.]],BT$9)</f>
        <v>0</v>
      </c>
      <c r="BU667" s="693">
        <f>SUMIFS(Imput[[Importe Neto]:[Importe Neto]],Imput[[C. Imp.]:[C. Imp.]],$D667,Imput[[PERIODO Imp.]:[PERIODO Imp.]],BU$9)</f>
        <v>0</v>
      </c>
      <c r="BV667" s="693">
        <f>SUMIFS(Imput[[Importe Neto]:[Importe Neto]],Imput[[C. Imp.]:[C. Imp.]],$D667,Imput[[PERIODO Imp.]:[PERIODO Imp.]],BV$9)</f>
        <v>0</v>
      </c>
      <c r="BW667" s="693">
        <f>SUMIFS(Imput[[Importe Neto]:[Importe Neto]],Imput[[C. Imp.]:[C. Imp.]],$D667,Imput[[PERIODO Imp.]:[PERIODO Imp.]],BW$9)</f>
        <v>0</v>
      </c>
      <c r="BX667" s="693">
        <f>SUMIFS(Imput[[Importe Neto]:[Importe Neto]],Imput[[C. Imp.]:[C. Imp.]],$D667,Imput[[PERIODO Imp.]:[PERIODO Imp.]],BX$9)</f>
        <v>0</v>
      </c>
      <c r="BY667" s="693">
        <f>SUMIFS(Imput[[Importe Neto]:[Importe Neto]],Imput[[C. Imp.]:[C. Imp.]],$D667,Imput[[PERIODO Imp.]:[PERIODO Imp.]],BY$9)</f>
        <v>0</v>
      </c>
      <c r="BZ667" s="693">
        <f>SUMIFS(Imput[[Importe Neto]:[Importe Neto]],Imput[[C. Imp.]:[C. Imp.]],$D667,Imput[[PERIODO Imp.]:[PERIODO Imp.]],BZ$9)</f>
        <v>0</v>
      </c>
      <c r="CA667" s="693">
        <f>SUMIFS(Imput[[Importe Neto]:[Importe Neto]],Imput[[C. Imp.]:[C. Imp.]],$D667,Imput[[PERIODO Imp.]:[PERIODO Imp.]],CA$9)</f>
        <v>0</v>
      </c>
      <c r="CB667" s="693">
        <f>SUMIFS(Imput[[Importe Neto]:[Importe Neto]],Imput[[C. Imp.]:[C. Imp.]],$D667,Imput[[PERIODO Imp.]:[PERIODO Imp.]],CB$9)</f>
        <v>0</v>
      </c>
      <c r="CC667" s="693">
        <f>SUMIFS(Imput[[Importe Neto]:[Importe Neto]],Imput[[C. Imp.]:[C. Imp.]],$D667,Imput[[PERIODO Imp.]:[PERIODO Imp.]],CC$9)</f>
        <v>0</v>
      </c>
      <c r="CD667" s="693">
        <f>SUMIFS(Imput[[Importe Neto]:[Importe Neto]],Imput[[C. Imp.]:[C. Imp.]],$D667,Imput[[PERIODO Imp.]:[PERIODO Imp.]],CD$9)</f>
        <v>0</v>
      </c>
      <c r="CE667" s="693">
        <f>SUMIFS(Imput[[Importe Neto]:[Importe Neto]],Imput[[C. Imp.]:[C. Imp.]],$D667,Imput[[PERIODO Imp.]:[PERIODO Imp.]],CE$9)</f>
        <v>0</v>
      </c>
      <c r="CF667" s="693">
        <f>SUMIFS(Imput[[Importe Neto]:[Importe Neto]],Imput[[C. Imp.]:[C. Imp.]],$D667,Imput[[PERIODO Imp.]:[PERIODO Imp.]],CF$9)</f>
        <v>0</v>
      </c>
      <c r="CG667" s="693">
        <f>SUMIFS(Imput[[Importe Neto]:[Importe Neto]],Imput[[C. Imp.]:[C. Imp.]],$D667,Imput[[PERIODO Imp.]:[PERIODO Imp.]],CG$9)</f>
        <v>0</v>
      </c>
      <c r="CH667" s="693">
        <f>SUMIFS(Imput[[Importe Neto]:[Importe Neto]],Imput[[C. Imp.]:[C. Imp.]],$D667,Imput[[PERIODO Imp.]:[PERIODO Imp.]],CH$9)</f>
        <v>0</v>
      </c>
      <c r="CI667" s="693">
        <f>SUMIFS(Imput[[Importe Neto]:[Importe Neto]],Imput[[C. Imp.]:[C. Imp.]],$D667,Imput[[PERIODO Imp.]:[PERIODO Imp.]],CI$9)</f>
        <v>0</v>
      </c>
      <c r="CJ667" s="693">
        <f>SUMIFS(Imput[[Importe Neto]:[Importe Neto]],Imput[[C. Imp.]:[C. Imp.]],$D667,Imput[[PERIODO Imp.]:[PERIODO Imp.]],CJ$9)</f>
        <v>0</v>
      </c>
      <c r="CK667" s="693">
        <f>SUMIFS(Imput[[Importe Neto]:[Importe Neto]],Imput[[C. Imp.]:[C. Imp.]],$D667,Imput[[PERIODO Imp.]:[PERIODO Imp.]],CK$9)</f>
        <v>0</v>
      </c>
      <c r="CL667" s="693">
        <f>SUMIFS(Imput[[Importe Neto]:[Importe Neto]],Imput[[C. Imp.]:[C. Imp.]],$D667,Imput[[PERIODO Imp.]:[PERIODO Imp.]],CL$9)</f>
        <v>0</v>
      </c>
      <c r="CM667" s="693">
        <f>SUMIFS(Imput[[Importe Neto]:[Importe Neto]],Imput[[C. Imp.]:[C. Imp.]],$D667,Imput[[PERIODO Imp.]:[PERIODO Imp.]],CM$9)</f>
        <v>0</v>
      </c>
      <c r="CN667" s="693">
        <f>SUMIFS(Imput[[Importe Neto]:[Importe Neto]],Imput[[C. Imp.]:[C. Imp.]],$D667,Imput[[PERIODO Imp.]:[PERIODO Imp.]],CN$9)</f>
        <v>0</v>
      </c>
      <c r="CO667" s="693">
        <f>SUMIFS(Imput[[Importe Neto]:[Importe Neto]],Imput[[C. Imp.]:[C. Imp.]],$D667,Imput[[PERIODO Imp.]:[PERIODO Imp.]],CO$9)</f>
        <v>0</v>
      </c>
      <c r="CP667" s="693">
        <f>SUMIFS(Imput[[Importe Neto]:[Importe Neto]],Imput[[C. Imp.]:[C. Imp.]],$D667,Imput[[PERIODO Imp.]:[PERIODO Imp.]],CP$9)</f>
        <v>0</v>
      </c>
      <c r="CQ667" s="693">
        <f>SUMIFS(Imput[[Importe Neto]:[Importe Neto]],Imput[[C. Imp.]:[C. Imp.]],$D667,Imput[[PERIODO Imp.]:[PERIODO Imp.]],CQ$9)</f>
        <v>0</v>
      </c>
      <c r="CR667" s="693">
        <f>SUMIFS(Imput[[Importe Neto]:[Importe Neto]],Imput[[C. Imp.]:[C. Imp.]],$D667,Imput[[PERIODO Imp.]:[PERIODO Imp.]],CR$9)</f>
        <v>0</v>
      </c>
      <c r="CS667" s="693">
        <f>SUMIFS(Imput[[Importe Neto]:[Importe Neto]],Imput[[C. Imp.]:[C. Imp.]],$D667,Imput[[PERIODO Imp.]:[PERIODO Imp.]],CS$9)</f>
        <v>0</v>
      </c>
      <c r="CT667" s="693">
        <f>SUMIFS(Imput[[Importe Neto]:[Importe Neto]],Imput[[C. Imp.]:[C. Imp.]],$D667,Imput[[PERIODO Imp.]:[PERIODO Imp.]],CT$9)</f>
        <v>0</v>
      </c>
      <c r="CU667" s="693">
        <f>SUMIFS(Imput[[Importe Neto]:[Importe Neto]],Imput[[C. Imp.]:[C. Imp.]],$D667,Imput[[PERIODO Imp.]:[PERIODO Imp.]],CU$9)</f>
        <v>0</v>
      </c>
      <c r="CV667" s="693">
        <f>SUMIFS(Imput[[Importe Neto]:[Importe Neto]],Imput[[C. Imp.]:[C. Imp.]],$D667,Imput[[PERIODO Imp.]:[PERIODO Imp.]],CV$9)</f>
        <v>0</v>
      </c>
      <c r="CW667" s="693">
        <f>SUMIFS(Imput[[Importe Neto]:[Importe Neto]],Imput[[C. Imp.]:[C. Imp.]],$D667,Imput[[PERIODO Imp.]:[PERIODO Imp.]],CW$9)</f>
        <v>0</v>
      </c>
      <c r="CX667" s="693">
        <f>SUMIFS(Imput[[Importe Neto]:[Importe Neto]],Imput[[C. Imp.]:[C. Imp.]],$D667,Imput[[PERIODO Imp.]:[PERIODO Imp.]],CX$9)</f>
        <v>0</v>
      </c>
      <c r="CY667" s="693">
        <f>SUMIFS(Imput[[Importe Neto]:[Importe Neto]],Imput[[C. Imp.]:[C. Imp.]],$D667,Imput[[PERIODO Imp.]:[PERIODO Imp.]],CY$9)</f>
        <v>0</v>
      </c>
      <c r="CZ667" s="693">
        <f>SUMIFS(Imput[[Importe Neto]:[Importe Neto]],Imput[[C. Imp.]:[C. Imp.]],$D667,Imput[[PERIODO Imp.]:[PERIODO Imp.]],CZ$9)</f>
        <v>0</v>
      </c>
      <c r="DA667" s="693">
        <f>SUMIFS(Imput[[Importe Neto]:[Importe Neto]],Imput[[C. Imp.]:[C. Imp.]],$D667,Imput[[PERIODO Imp.]:[PERIODO Imp.]],DA$9)</f>
        <v>0</v>
      </c>
      <c r="DB667" s="693">
        <f>SUMIFS(Imput[[Importe Neto]:[Importe Neto]],Imput[[C. Imp.]:[C. Imp.]],$D667,Imput[[PERIODO Imp.]:[PERIODO Imp.]],DB$9)</f>
        <v>0</v>
      </c>
      <c r="DC667" s="693">
        <f>SUMIFS(Imput[[Importe Neto]:[Importe Neto]],Imput[[C. Imp.]:[C. Imp.]],$D667,Imput[[PERIODO Imp.]:[PERIODO Imp.]],DC$9)</f>
        <v>0</v>
      </c>
      <c r="DD667" s="693">
        <f>SUMIFS(Imput[[Importe Neto]:[Importe Neto]],Imput[[C. Imp.]:[C. Imp.]],$D667,Imput[[PERIODO Imp.]:[PERIODO Imp.]],DD$9)</f>
        <v>0</v>
      </c>
      <c r="DE667" s="693">
        <f>SUMIFS(Imput[[Importe Neto]:[Importe Neto]],Imput[[C. Imp.]:[C. Imp.]],$D667,Imput[[PERIODO Imp.]:[PERIODO Imp.]],DE$9)</f>
        <v>0</v>
      </c>
      <c r="DF667" s="693">
        <f>SUMIFS(Imput[[Importe Neto]:[Importe Neto]],Imput[[C. Imp.]:[C. Imp.]],$D667,Imput[[PERIODO Imp.]:[PERIODO Imp.]],DF$9)</f>
        <v>0</v>
      </c>
      <c r="DG667" s="693">
        <f>SUMIFS(Imput[[Importe Neto]:[Importe Neto]],Imput[[C. Imp.]:[C. Imp.]],$D667,Imput[[PERIODO Imp.]:[PERIODO Imp.]],DG$9)</f>
        <v>0</v>
      </c>
      <c r="DH667" s="694">
        <f>SUMIFS(Imput[[Importe Neto]:[Importe Neto]],Imput[[C. Imp.]:[C. Imp.]],$D667,Imput[[PERIODO Imp.]:[PERIODO Imp.]],DH$9)</f>
        <v>0</v>
      </c>
    </row>
    <row r="668" spans="1:112" s="649" customFormat="1" ht="14.4" hidden="1" outlineLevel="1" thickBot="1" x14ac:dyDescent="0.35">
      <c r="A668" s="652" t="str">
        <f t="shared" si="239"/>
        <v/>
      </c>
      <c r="B668" s="652"/>
      <c r="C668" s="685"/>
      <c r="D668" s="686" t="s">
        <v>2678</v>
      </c>
      <c r="E668" s="686"/>
      <c r="F668" s="720"/>
      <c r="G668" s="688"/>
      <c r="H668" s="689"/>
      <c r="I668" s="851" t="str">
        <f t="shared" si="240"/>
        <v/>
      </c>
      <c r="J668" s="850" t="str">
        <f t="shared" si="241"/>
        <v/>
      </c>
      <c r="K668" s="667"/>
      <c r="L668" s="858"/>
      <c r="M668" s="859"/>
      <c r="N668" s="859"/>
      <c r="O668" s="859"/>
      <c r="P668" s="859"/>
      <c r="Q668" s="859"/>
      <c r="R668" s="859"/>
      <c r="S668" s="859"/>
      <c r="T668" s="859"/>
      <c r="U668" s="859"/>
      <c r="V668" s="859"/>
      <c r="W668" s="859"/>
      <c r="X668" s="859"/>
      <c r="Y668" s="859"/>
      <c r="Z668" s="860"/>
      <c r="AA668" s="860"/>
      <c r="AB668" s="860"/>
      <c r="AC668" s="860"/>
      <c r="AD668" s="860"/>
      <c r="AE668" s="860"/>
      <c r="AF668" s="860"/>
      <c r="AG668" s="860"/>
      <c r="AH668" s="860"/>
      <c r="AI668" s="860"/>
      <c r="AJ668" s="860"/>
      <c r="AK668" s="860"/>
      <c r="AL668" s="860"/>
      <c r="AM668" s="860"/>
      <c r="AN668" s="860"/>
      <c r="AO668" s="860"/>
      <c r="AP668" s="860"/>
      <c r="AQ668" s="860"/>
      <c r="AR668" s="860"/>
      <c r="AS668" s="860"/>
      <c r="AT668" s="860"/>
      <c r="AU668" s="860"/>
      <c r="AV668" s="860"/>
      <c r="AW668" s="860"/>
      <c r="AX668" s="860"/>
      <c r="AY668" s="860"/>
      <c r="AZ668" s="860"/>
      <c r="BA668" s="860"/>
      <c r="BB668" s="860"/>
      <c r="BC668" s="860"/>
      <c r="BD668" s="860"/>
      <c r="BE668" s="860"/>
      <c r="BF668" s="860"/>
      <c r="BG668" s="860"/>
      <c r="BH668" s="668"/>
      <c r="BI668" s="667"/>
      <c r="BJ668" s="690">
        <f t="shared" si="242"/>
        <v>0</v>
      </c>
      <c r="BK668" s="691">
        <f t="shared" si="243"/>
        <v>0</v>
      </c>
      <c r="BL668" s="654"/>
      <c r="BM668" s="692">
        <f>SUMIFS(Imput[[Importe Neto]:[Importe Neto]],Imput[[C. Imp.]:[C. Imp.]],$D668,Imput[[PERIODO Imp.]:[PERIODO Imp.]],BM$9)</f>
        <v>0</v>
      </c>
      <c r="BN668" s="693">
        <f>SUMIFS(Imput[[Importe Neto]:[Importe Neto]],Imput[[C. Imp.]:[C. Imp.]],$D668,Imput[[PERIODO Imp.]:[PERIODO Imp.]],BN$9)</f>
        <v>0</v>
      </c>
      <c r="BO668" s="693">
        <f>SUMIFS(Imput[[Importe Neto]:[Importe Neto]],Imput[[C. Imp.]:[C. Imp.]],$D668,Imput[[PERIODO Imp.]:[PERIODO Imp.]],BO$9)</f>
        <v>0</v>
      </c>
      <c r="BP668" s="693">
        <f>SUMIFS(Imput[[Importe Neto]:[Importe Neto]],Imput[[C. Imp.]:[C. Imp.]],$D668,Imput[[PERIODO Imp.]:[PERIODO Imp.]],BP$9)</f>
        <v>0</v>
      </c>
      <c r="BQ668" s="693">
        <f>SUMIFS(Imput[[Importe Neto]:[Importe Neto]],Imput[[C. Imp.]:[C. Imp.]],$D668,Imput[[PERIODO Imp.]:[PERIODO Imp.]],BQ$9)</f>
        <v>0</v>
      </c>
      <c r="BR668" s="693">
        <f>SUMIFS(Imput[[Importe Neto]:[Importe Neto]],Imput[[C. Imp.]:[C. Imp.]],$D668,Imput[[PERIODO Imp.]:[PERIODO Imp.]],BR$9)</f>
        <v>0</v>
      </c>
      <c r="BS668" s="693">
        <f>SUMIFS(Imput[[Importe Neto]:[Importe Neto]],Imput[[C. Imp.]:[C. Imp.]],$D668,Imput[[PERIODO Imp.]:[PERIODO Imp.]],BS$9)</f>
        <v>0</v>
      </c>
      <c r="BT668" s="693">
        <f>SUMIFS(Imput[[Importe Neto]:[Importe Neto]],Imput[[C. Imp.]:[C. Imp.]],$D668,Imput[[PERIODO Imp.]:[PERIODO Imp.]],BT$9)</f>
        <v>0</v>
      </c>
      <c r="BU668" s="693">
        <f>SUMIFS(Imput[[Importe Neto]:[Importe Neto]],Imput[[C. Imp.]:[C. Imp.]],$D668,Imput[[PERIODO Imp.]:[PERIODO Imp.]],BU$9)</f>
        <v>0</v>
      </c>
      <c r="BV668" s="693">
        <f>SUMIFS(Imput[[Importe Neto]:[Importe Neto]],Imput[[C. Imp.]:[C. Imp.]],$D668,Imput[[PERIODO Imp.]:[PERIODO Imp.]],BV$9)</f>
        <v>0</v>
      </c>
      <c r="BW668" s="693">
        <f>SUMIFS(Imput[[Importe Neto]:[Importe Neto]],Imput[[C. Imp.]:[C. Imp.]],$D668,Imput[[PERIODO Imp.]:[PERIODO Imp.]],BW$9)</f>
        <v>0</v>
      </c>
      <c r="BX668" s="693">
        <f>SUMIFS(Imput[[Importe Neto]:[Importe Neto]],Imput[[C. Imp.]:[C. Imp.]],$D668,Imput[[PERIODO Imp.]:[PERIODO Imp.]],BX$9)</f>
        <v>0</v>
      </c>
      <c r="BY668" s="693">
        <f>SUMIFS(Imput[[Importe Neto]:[Importe Neto]],Imput[[C. Imp.]:[C. Imp.]],$D668,Imput[[PERIODO Imp.]:[PERIODO Imp.]],BY$9)</f>
        <v>0</v>
      </c>
      <c r="BZ668" s="693">
        <f>SUMIFS(Imput[[Importe Neto]:[Importe Neto]],Imput[[C. Imp.]:[C. Imp.]],$D668,Imput[[PERIODO Imp.]:[PERIODO Imp.]],BZ$9)</f>
        <v>0</v>
      </c>
      <c r="CA668" s="693">
        <f>SUMIFS(Imput[[Importe Neto]:[Importe Neto]],Imput[[C. Imp.]:[C. Imp.]],$D668,Imput[[PERIODO Imp.]:[PERIODO Imp.]],CA$9)</f>
        <v>0</v>
      </c>
      <c r="CB668" s="693">
        <f>SUMIFS(Imput[[Importe Neto]:[Importe Neto]],Imput[[C. Imp.]:[C. Imp.]],$D668,Imput[[PERIODO Imp.]:[PERIODO Imp.]],CB$9)</f>
        <v>0</v>
      </c>
      <c r="CC668" s="693">
        <f>SUMIFS(Imput[[Importe Neto]:[Importe Neto]],Imput[[C. Imp.]:[C. Imp.]],$D668,Imput[[PERIODO Imp.]:[PERIODO Imp.]],CC$9)</f>
        <v>0</v>
      </c>
      <c r="CD668" s="693">
        <f>SUMIFS(Imput[[Importe Neto]:[Importe Neto]],Imput[[C. Imp.]:[C. Imp.]],$D668,Imput[[PERIODO Imp.]:[PERIODO Imp.]],CD$9)</f>
        <v>0</v>
      </c>
      <c r="CE668" s="693">
        <f>SUMIFS(Imput[[Importe Neto]:[Importe Neto]],Imput[[C. Imp.]:[C. Imp.]],$D668,Imput[[PERIODO Imp.]:[PERIODO Imp.]],CE$9)</f>
        <v>0</v>
      </c>
      <c r="CF668" s="693">
        <f>SUMIFS(Imput[[Importe Neto]:[Importe Neto]],Imput[[C. Imp.]:[C. Imp.]],$D668,Imput[[PERIODO Imp.]:[PERIODO Imp.]],CF$9)</f>
        <v>0</v>
      </c>
      <c r="CG668" s="693">
        <f>SUMIFS(Imput[[Importe Neto]:[Importe Neto]],Imput[[C. Imp.]:[C. Imp.]],$D668,Imput[[PERIODO Imp.]:[PERIODO Imp.]],CG$9)</f>
        <v>0</v>
      </c>
      <c r="CH668" s="693">
        <f>SUMIFS(Imput[[Importe Neto]:[Importe Neto]],Imput[[C. Imp.]:[C. Imp.]],$D668,Imput[[PERIODO Imp.]:[PERIODO Imp.]],CH$9)</f>
        <v>0</v>
      </c>
      <c r="CI668" s="693">
        <f>SUMIFS(Imput[[Importe Neto]:[Importe Neto]],Imput[[C. Imp.]:[C. Imp.]],$D668,Imput[[PERIODO Imp.]:[PERIODO Imp.]],CI$9)</f>
        <v>0</v>
      </c>
      <c r="CJ668" s="693">
        <f>SUMIFS(Imput[[Importe Neto]:[Importe Neto]],Imput[[C. Imp.]:[C. Imp.]],$D668,Imput[[PERIODO Imp.]:[PERIODO Imp.]],CJ$9)</f>
        <v>0</v>
      </c>
      <c r="CK668" s="693">
        <f>SUMIFS(Imput[[Importe Neto]:[Importe Neto]],Imput[[C. Imp.]:[C. Imp.]],$D668,Imput[[PERIODO Imp.]:[PERIODO Imp.]],CK$9)</f>
        <v>0</v>
      </c>
      <c r="CL668" s="693">
        <f>SUMIFS(Imput[[Importe Neto]:[Importe Neto]],Imput[[C. Imp.]:[C. Imp.]],$D668,Imput[[PERIODO Imp.]:[PERIODO Imp.]],CL$9)</f>
        <v>0</v>
      </c>
      <c r="CM668" s="693">
        <f>SUMIFS(Imput[[Importe Neto]:[Importe Neto]],Imput[[C. Imp.]:[C. Imp.]],$D668,Imput[[PERIODO Imp.]:[PERIODO Imp.]],CM$9)</f>
        <v>0</v>
      </c>
      <c r="CN668" s="693">
        <f>SUMIFS(Imput[[Importe Neto]:[Importe Neto]],Imput[[C. Imp.]:[C. Imp.]],$D668,Imput[[PERIODO Imp.]:[PERIODO Imp.]],CN$9)</f>
        <v>0</v>
      </c>
      <c r="CO668" s="693">
        <f>SUMIFS(Imput[[Importe Neto]:[Importe Neto]],Imput[[C. Imp.]:[C. Imp.]],$D668,Imput[[PERIODO Imp.]:[PERIODO Imp.]],CO$9)</f>
        <v>0</v>
      </c>
      <c r="CP668" s="693">
        <f>SUMIFS(Imput[[Importe Neto]:[Importe Neto]],Imput[[C. Imp.]:[C. Imp.]],$D668,Imput[[PERIODO Imp.]:[PERIODO Imp.]],CP$9)</f>
        <v>0</v>
      </c>
      <c r="CQ668" s="693">
        <f>SUMIFS(Imput[[Importe Neto]:[Importe Neto]],Imput[[C. Imp.]:[C. Imp.]],$D668,Imput[[PERIODO Imp.]:[PERIODO Imp.]],CQ$9)</f>
        <v>0</v>
      </c>
      <c r="CR668" s="693">
        <f>SUMIFS(Imput[[Importe Neto]:[Importe Neto]],Imput[[C. Imp.]:[C. Imp.]],$D668,Imput[[PERIODO Imp.]:[PERIODO Imp.]],CR$9)</f>
        <v>0</v>
      </c>
      <c r="CS668" s="693">
        <f>SUMIFS(Imput[[Importe Neto]:[Importe Neto]],Imput[[C. Imp.]:[C. Imp.]],$D668,Imput[[PERIODO Imp.]:[PERIODO Imp.]],CS$9)</f>
        <v>0</v>
      </c>
      <c r="CT668" s="693">
        <f>SUMIFS(Imput[[Importe Neto]:[Importe Neto]],Imput[[C. Imp.]:[C. Imp.]],$D668,Imput[[PERIODO Imp.]:[PERIODO Imp.]],CT$9)</f>
        <v>0</v>
      </c>
      <c r="CU668" s="693">
        <f>SUMIFS(Imput[[Importe Neto]:[Importe Neto]],Imput[[C. Imp.]:[C. Imp.]],$D668,Imput[[PERIODO Imp.]:[PERIODO Imp.]],CU$9)</f>
        <v>0</v>
      </c>
      <c r="CV668" s="693">
        <f>SUMIFS(Imput[[Importe Neto]:[Importe Neto]],Imput[[C. Imp.]:[C. Imp.]],$D668,Imput[[PERIODO Imp.]:[PERIODO Imp.]],CV$9)</f>
        <v>0</v>
      </c>
      <c r="CW668" s="693">
        <f>SUMIFS(Imput[[Importe Neto]:[Importe Neto]],Imput[[C. Imp.]:[C. Imp.]],$D668,Imput[[PERIODO Imp.]:[PERIODO Imp.]],CW$9)</f>
        <v>0</v>
      </c>
      <c r="CX668" s="693">
        <f>SUMIFS(Imput[[Importe Neto]:[Importe Neto]],Imput[[C. Imp.]:[C. Imp.]],$D668,Imput[[PERIODO Imp.]:[PERIODO Imp.]],CX$9)</f>
        <v>0</v>
      </c>
      <c r="CY668" s="693">
        <f>SUMIFS(Imput[[Importe Neto]:[Importe Neto]],Imput[[C. Imp.]:[C. Imp.]],$D668,Imput[[PERIODO Imp.]:[PERIODO Imp.]],CY$9)</f>
        <v>0</v>
      </c>
      <c r="CZ668" s="693">
        <f>SUMIFS(Imput[[Importe Neto]:[Importe Neto]],Imput[[C. Imp.]:[C. Imp.]],$D668,Imput[[PERIODO Imp.]:[PERIODO Imp.]],CZ$9)</f>
        <v>0</v>
      </c>
      <c r="DA668" s="693">
        <f>SUMIFS(Imput[[Importe Neto]:[Importe Neto]],Imput[[C. Imp.]:[C. Imp.]],$D668,Imput[[PERIODO Imp.]:[PERIODO Imp.]],DA$9)</f>
        <v>0</v>
      </c>
      <c r="DB668" s="693">
        <f>SUMIFS(Imput[[Importe Neto]:[Importe Neto]],Imput[[C. Imp.]:[C. Imp.]],$D668,Imput[[PERIODO Imp.]:[PERIODO Imp.]],DB$9)</f>
        <v>0</v>
      </c>
      <c r="DC668" s="693">
        <f>SUMIFS(Imput[[Importe Neto]:[Importe Neto]],Imput[[C. Imp.]:[C. Imp.]],$D668,Imput[[PERIODO Imp.]:[PERIODO Imp.]],DC$9)</f>
        <v>0</v>
      </c>
      <c r="DD668" s="693">
        <f>SUMIFS(Imput[[Importe Neto]:[Importe Neto]],Imput[[C. Imp.]:[C. Imp.]],$D668,Imput[[PERIODO Imp.]:[PERIODO Imp.]],DD$9)</f>
        <v>0</v>
      </c>
      <c r="DE668" s="693">
        <f>SUMIFS(Imput[[Importe Neto]:[Importe Neto]],Imput[[C. Imp.]:[C. Imp.]],$D668,Imput[[PERIODO Imp.]:[PERIODO Imp.]],DE$9)</f>
        <v>0</v>
      </c>
      <c r="DF668" s="693">
        <f>SUMIFS(Imput[[Importe Neto]:[Importe Neto]],Imput[[C. Imp.]:[C. Imp.]],$D668,Imput[[PERIODO Imp.]:[PERIODO Imp.]],DF$9)</f>
        <v>0</v>
      </c>
      <c r="DG668" s="693">
        <f>SUMIFS(Imput[[Importe Neto]:[Importe Neto]],Imput[[C. Imp.]:[C. Imp.]],$D668,Imput[[PERIODO Imp.]:[PERIODO Imp.]],DG$9)</f>
        <v>0</v>
      </c>
      <c r="DH668" s="694">
        <f>SUMIFS(Imput[[Importe Neto]:[Importe Neto]],Imput[[C. Imp.]:[C. Imp.]],$D668,Imput[[PERIODO Imp.]:[PERIODO Imp.]],DH$9)</f>
        <v>0</v>
      </c>
    </row>
    <row r="669" spans="1:112" s="649" customFormat="1" ht="14.4" hidden="1" outlineLevel="1" thickBot="1" x14ac:dyDescent="0.35">
      <c r="A669" s="652" t="str">
        <f t="shared" si="239"/>
        <v/>
      </c>
      <c r="B669" s="652"/>
      <c r="C669" s="685"/>
      <c r="D669" s="686" t="s">
        <v>2679</v>
      </c>
      <c r="E669" s="686"/>
      <c r="F669" s="720"/>
      <c r="G669" s="688"/>
      <c r="H669" s="689"/>
      <c r="I669" s="851" t="str">
        <f t="shared" si="240"/>
        <v/>
      </c>
      <c r="J669" s="850" t="str">
        <f t="shared" si="241"/>
        <v/>
      </c>
      <c r="K669" s="667"/>
      <c r="L669" s="858"/>
      <c r="M669" s="859"/>
      <c r="N669" s="859"/>
      <c r="O669" s="859"/>
      <c r="P669" s="859"/>
      <c r="Q669" s="859"/>
      <c r="R669" s="859"/>
      <c r="S669" s="859"/>
      <c r="T669" s="859"/>
      <c r="U669" s="859"/>
      <c r="V669" s="859"/>
      <c r="W669" s="859"/>
      <c r="X669" s="859"/>
      <c r="Y669" s="859"/>
      <c r="Z669" s="860"/>
      <c r="AA669" s="860"/>
      <c r="AB669" s="860"/>
      <c r="AC669" s="860"/>
      <c r="AD669" s="860"/>
      <c r="AE669" s="860"/>
      <c r="AF669" s="860"/>
      <c r="AG669" s="860"/>
      <c r="AH669" s="860"/>
      <c r="AI669" s="860"/>
      <c r="AJ669" s="860"/>
      <c r="AK669" s="860"/>
      <c r="AL669" s="860"/>
      <c r="AM669" s="860"/>
      <c r="AN669" s="860"/>
      <c r="AO669" s="860"/>
      <c r="AP669" s="860"/>
      <c r="AQ669" s="860"/>
      <c r="AR669" s="860"/>
      <c r="AS669" s="860"/>
      <c r="AT669" s="860"/>
      <c r="AU669" s="860"/>
      <c r="AV669" s="860"/>
      <c r="AW669" s="860"/>
      <c r="AX669" s="860"/>
      <c r="AY669" s="860"/>
      <c r="AZ669" s="860"/>
      <c r="BA669" s="860"/>
      <c r="BB669" s="860"/>
      <c r="BC669" s="860"/>
      <c r="BD669" s="860"/>
      <c r="BE669" s="860"/>
      <c r="BF669" s="860"/>
      <c r="BG669" s="860"/>
      <c r="BH669" s="668"/>
      <c r="BI669" s="667"/>
      <c r="BJ669" s="690">
        <f t="shared" si="242"/>
        <v>0</v>
      </c>
      <c r="BK669" s="691">
        <f t="shared" si="243"/>
        <v>0</v>
      </c>
      <c r="BL669" s="654"/>
      <c r="BM669" s="692">
        <f>SUMIFS(Imput[[Importe Neto]:[Importe Neto]],Imput[[C. Imp.]:[C. Imp.]],$D669,Imput[[PERIODO Imp.]:[PERIODO Imp.]],BM$9)</f>
        <v>0</v>
      </c>
      <c r="BN669" s="693">
        <f>SUMIFS(Imput[[Importe Neto]:[Importe Neto]],Imput[[C. Imp.]:[C. Imp.]],$D669,Imput[[PERIODO Imp.]:[PERIODO Imp.]],BN$9)</f>
        <v>0</v>
      </c>
      <c r="BO669" s="693">
        <f>SUMIFS(Imput[[Importe Neto]:[Importe Neto]],Imput[[C. Imp.]:[C. Imp.]],$D669,Imput[[PERIODO Imp.]:[PERIODO Imp.]],BO$9)</f>
        <v>0</v>
      </c>
      <c r="BP669" s="693">
        <f>SUMIFS(Imput[[Importe Neto]:[Importe Neto]],Imput[[C. Imp.]:[C. Imp.]],$D669,Imput[[PERIODO Imp.]:[PERIODO Imp.]],BP$9)</f>
        <v>0</v>
      </c>
      <c r="BQ669" s="693">
        <f>SUMIFS(Imput[[Importe Neto]:[Importe Neto]],Imput[[C. Imp.]:[C. Imp.]],$D669,Imput[[PERIODO Imp.]:[PERIODO Imp.]],BQ$9)</f>
        <v>0</v>
      </c>
      <c r="BR669" s="693">
        <f>SUMIFS(Imput[[Importe Neto]:[Importe Neto]],Imput[[C. Imp.]:[C. Imp.]],$D669,Imput[[PERIODO Imp.]:[PERIODO Imp.]],BR$9)</f>
        <v>0</v>
      </c>
      <c r="BS669" s="693">
        <f>SUMIFS(Imput[[Importe Neto]:[Importe Neto]],Imput[[C. Imp.]:[C. Imp.]],$D669,Imput[[PERIODO Imp.]:[PERIODO Imp.]],BS$9)</f>
        <v>0</v>
      </c>
      <c r="BT669" s="693">
        <f>SUMIFS(Imput[[Importe Neto]:[Importe Neto]],Imput[[C. Imp.]:[C. Imp.]],$D669,Imput[[PERIODO Imp.]:[PERIODO Imp.]],BT$9)</f>
        <v>0</v>
      </c>
      <c r="BU669" s="693">
        <f>SUMIFS(Imput[[Importe Neto]:[Importe Neto]],Imput[[C. Imp.]:[C. Imp.]],$D669,Imput[[PERIODO Imp.]:[PERIODO Imp.]],BU$9)</f>
        <v>0</v>
      </c>
      <c r="BV669" s="693">
        <f>SUMIFS(Imput[[Importe Neto]:[Importe Neto]],Imput[[C. Imp.]:[C. Imp.]],$D669,Imput[[PERIODO Imp.]:[PERIODO Imp.]],BV$9)</f>
        <v>0</v>
      </c>
      <c r="BW669" s="693">
        <f>SUMIFS(Imput[[Importe Neto]:[Importe Neto]],Imput[[C. Imp.]:[C. Imp.]],$D669,Imput[[PERIODO Imp.]:[PERIODO Imp.]],BW$9)</f>
        <v>0</v>
      </c>
      <c r="BX669" s="693">
        <f>SUMIFS(Imput[[Importe Neto]:[Importe Neto]],Imput[[C. Imp.]:[C. Imp.]],$D669,Imput[[PERIODO Imp.]:[PERIODO Imp.]],BX$9)</f>
        <v>0</v>
      </c>
      <c r="BY669" s="693">
        <f>SUMIFS(Imput[[Importe Neto]:[Importe Neto]],Imput[[C. Imp.]:[C. Imp.]],$D669,Imput[[PERIODO Imp.]:[PERIODO Imp.]],BY$9)</f>
        <v>0</v>
      </c>
      <c r="BZ669" s="693">
        <f>SUMIFS(Imput[[Importe Neto]:[Importe Neto]],Imput[[C. Imp.]:[C. Imp.]],$D669,Imput[[PERIODO Imp.]:[PERIODO Imp.]],BZ$9)</f>
        <v>0</v>
      </c>
      <c r="CA669" s="693">
        <f>SUMIFS(Imput[[Importe Neto]:[Importe Neto]],Imput[[C. Imp.]:[C. Imp.]],$D669,Imput[[PERIODO Imp.]:[PERIODO Imp.]],CA$9)</f>
        <v>0</v>
      </c>
      <c r="CB669" s="693">
        <f>SUMIFS(Imput[[Importe Neto]:[Importe Neto]],Imput[[C. Imp.]:[C. Imp.]],$D669,Imput[[PERIODO Imp.]:[PERIODO Imp.]],CB$9)</f>
        <v>0</v>
      </c>
      <c r="CC669" s="693">
        <f>SUMIFS(Imput[[Importe Neto]:[Importe Neto]],Imput[[C. Imp.]:[C. Imp.]],$D669,Imput[[PERIODO Imp.]:[PERIODO Imp.]],CC$9)</f>
        <v>0</v>
      </c>
      <c r="CD669" s="693">
        <f>SUMIFS(Imput[[Importe Neto]:[Importe Neto]],Imput[[C. Imp.]:[C. Imp.]],$D669,Imput[[PERIODO Imp.]:[PERIODO Imp.]],CD$9)</f>
        <v>0</v>
      </c>
      <c r="CE669" s="693">
        <f>SUMIFS(Imput[[Importe Neto]:[Importe Neto]],Imput[[C. Imp.]:[C. Imp.]],$D669,Imput[[PERIODO Imp.]:[PERIODO Imp.]],CE$9)</f>
        <v>0</v>
      </c>
      <c r="CF669" s="693">
        <f>SUMIFS(Imput[[Importe Neto]:[Importe Neto]],Imput[[C. Imp.]:[C. Imp.]],$D669,Imput[[PERIODO Imp.]:[PERIODO Imp.]],CF$9)</f>
        <v>0</v>
      </c>
      <c r="CG669" s="693">
        <f>SUMIFS(Imput[[Importe Neto]:[Importe Neto]],Imput[[C. Imp.]:[C. Imp.]],$D669,Imput[[PERIODO Imp.]:[PERIODO Imp.]],CG$9)</f>
        <v>0</v>
      </c>
      <c r="CH669" s="693">
        <f>SUMIFS(Imput[[Importe Neto]:[Importe Neto]],Imput[[C. Imp.]:[C. Imp.]],$D669,Imput[[PERIODO Imp.]:[PERIODO Imp.]],CH$9)</f>
        <v>0</v>
      </c>
      <c r="CI669" s="693">
        <f>SUMIFS(Imput[[Importe Neto]:[Importe Neto]],Imput[[C. Imp.]:[C. Imp.]],$D669,Imput[[PERIODO Imp.]:[PERIODO Imp.]],CI$9)</f>
        <v>0</v>
      </c>
      <c r="CJ669" s="693">
        <f>SUMIFS(Imput[[Importe Neto]:[Importe Neto]],Imput[[C. Imp.]:[C. Imp.]],$D669,Imput[[PERIODO Imp.]:[PERIODO Imp.]],CJ$9)</f>
        <v>0</v>
      </c>
      <c r="CK669" s="693">
        <f>SUMIFS(Imput[[Importe Neto]:[Importe Neto]],Imput[[C. Imp.]:[C. Imp.]],$D669,Imput[[PERIODO Imp.]:[PERIODO Imp.]],CK$9)</f>
        <v>0</v>
      </c>
      <c r="CL669" s="693">
        <f>SUMIFS(Imput[[Importe Neto]:[Importe Neto]],Imput[[C. Imp.]:[C. Imp.]],$D669,Imput[[PERIODO Imp.]:[PERIODO Imp.]],CL$9)</f>
        <v>0</v>
      </c>
      <c r="CM669" s="693">
        <f>SUMIFS(Imput[[Importe Neto]:[Importe Neto]],Imput[[C. Imp.]:[C. Imp.]],$D669,Imput[[PERIODO Imp.]:[PERIODO Imp.]],CM$9)</f>
        <v>0</v>
      </c>
      <c r="CN669" s="693">
        <f>SUMIFS(Imput[[Importe Neto]:[Importe Neto]],Imput[[C. Imp.]:[C. Imp.]],$D669,Imput[[PERIODO Imp.]:[PERIODO Imp.]],CN$9)</f>
        <v>0</v>
      </c>
      <c r="CO669" s="693">
        <f>SUMIFS(Imput[[Importe Neto]:[Importe Neto]],Imput[[C. Imp.]:[C. Imp.]],$D669,Imput[[PERIODO Imp.]:[PERIODO Imp.]],CO$9)</f>
        <v>0</v>
      </c>
      <c r="CP669" s="693">
        <f>SUMIFS(Imput[[Importe Neto]:[Importe Neto]],Imput[[C. Imp.]:[C. Imp.]],$D669,Imput[[PERIODO Imp.]:[PERIODO Imp.]],CP$9)</f>
        <v>0</v>
      </c>
      <c r="CQ669" s="693">
        <f>SUMIFS(Imput[[Importe Neto]:[Importe Neto]],Imput[[C. Imp.]:[C. Imp.]],$D669,Imput[[PERIODO Imp.]:[PERIODO Imp.]],CQ$9)</f>
        <v>0</v>
      </c>
      <c r="CR669" s="693">
        <f>SUMIFS(Imput[[Importe Neto]:[Importe Neto]],Imput[[C. Imp.]:[C. Imp.]],$D669,Imput[[PERIODO Imp.]:[PERIODO Imp.]],CR$9)</f>
        <v>0</v>
      </c>
      <c r="CS669" s="693">
        <f>SUMIFS(Imput[[Importe Neto]:[Importe Neto]],Imput[[C. Imp.]:[C. Imp.]],$D669,Imput[[PERIODO Imp.]:[PERIODO Imp.]],CS$9)</f>
        <v>0</v>
      </c>
      <c r="CT669" s="693">
        <f>SUMIFS(Imput[[Importe Neto]:[Importe Neto]],Imput[[C. Imp.]:[C. Imp.]],$D669,Imput[[PERIODO Imp.]:[PERIODO Imp.]],CT$9)</f>
        <v>0</v>
      </c>
      <c r="CU669" s="693">
        <f>SUMIFS(Imput[[Importe Neto]:[Importe Neto]],Imput[[C. Imp.]:[C. Imp.]],$D669,Imput[[PERIODO Imp.]:[PERIODO Imp.]],CU$9)</f>
        <v>0</v>
      </c>
      <c r="CV669" s="693">
        <f>SUMIFS(Imput[[Importe Neto]:[Importe Neto]],Imput[[C. Imp.]:[C. Imp.]],$D669,Imput[[PERIODO Imp.]:[PERIODO Imp.]],CV$9)</f>
        <v>0</v>
      </c>
      <c r="CW669" s="693">
        <f>SUMIFS(Imput[[Importe Neto]:[Importe Neto]],Imput[[C. Imp.]:[C. Imp.]],$D669,Imput[[PERIODO Imp.]:[PERIODO Imp.]],CW$9)</f>
        <v>0</v>
      </c>
      <c r="CX669" s="693">
        <f>SUMIFS(Imput[[Importe Neto]:[Importe Neto]],Imput[[C. Imp.]:[C. Imp.]],$D669,Imput[[PERIODO Imp.]:[PERIODO Imp.]],CX$9)</f>
        <v>0</v>
      </c>
      <c r="CY669" s="693">
        <f>SUMIFS(Imput[[Importe Neto]:[Importe Neto]],Imput[[C. Imp.]:[C. Imp.]],$D669,Imput[[PERIODO Imp.]:[PERIODO Imp.]],CY$9)</f>
        <v>0</v>
      </c>
      <c r="CZ669" s="693">
        <f>SUMIFS(Imput[[Importe Neto]:[Importe Neto]],Imput[[C. Imp.]:[C. Imp.]],$D669,Imput[[PERIODO Imp.]:[PERIODO Imp.]],CZ$9)</f>
        <v>0</v>
      </c>
      <c r="DA669" s="693">
        <f>SUMIFS(Imput[[Importe Neto]:[Importe Neto]],Imput[[C. Imp.]:[C. Imp.]],$D669,Imput[[PERIODO Imp.]:[PERIODO Imp.]],DA$9)</f>
        <v>0</v>
      </c>
      <c r="DB669" s="693">
        <f>SUMIFS(Imput[[Importe Neto]:[Importe Neto]],Imput[[C. Imp.]:[C. Imp.]],$D669,Imput[[PERIODO Imp.]:[PERIODO Imp.]],DB$9)</f>
        <v>0</v>
      </c>
      <c r="DC669" s="693">
        <f>SUMIFS(Imput[[Importe Neto]:[Importe Neto]],Imput[[C. Imp.]:[C. Imp.]],$D669,Imput[[PERIODO Imp.]:[PERIODO Imp.]],DC$9)</f>
        <v>0</v>
      </c>
      <c r="DD669" s="693">
        <f>SUMIFS(Imput[[Importe Neto]:[Importe Neto]],Imput[[C. Imp.]:[C. Imp.]],$D669,Imput[[PERIODO Imp.]:[PERIODO Imp.]],DD$9)</f>
        <v>0</v>
      </c>
      <c r="DE669" s="693">
        <f>SUMIFS(Imput[[Importe Neto]:[Importe Neto]],Imput[[C. Imp.]:[C. Imp.]],$D669,Imput[[PERIODO Imp.]:[PERIODO Imp.]],DE$9)</f>
        <v>0</v>
      </c>
      <c r="DF669" s="693">
        <f>SUMIFS(Imput[[Importe Neto]:[Importe Neto]],Imput[[C. Imp.]:[C. Imp.]],$D669,Imput[[PERIODO Imp.]:[PERIODO Imp.]],DF$9)</f>
        <v>0</v>
      </c>
      <c r="DG669" s="693">
        <f>SUMIFS(Imput[[Importe Neto]:[Importe Neto]],Imput[[C. Imp.]:[C. Imp.]],$D669,Imput[[PERIODO Imp.]:[PERIODO Imp.]],DG$9)</f>
        <v>0</v>
      </c>
      <c r="DH669" s="694">
        <f>SUMIFS(Imput[[Importe Neto]:[Importe Neto]],Imput[[C. Imp.]:[C. Imp.]],$D669,Imput[[PERIODO Imp.]:[PERIODO Imp.]],DH$9)</f>
        <v>0</v>
      </c>
    </row>
    <row r="670" spans="1:112" s="649" customFormat="1" ht="14.4" hidden="1" outlineLevel="1" thickBot="1" x14ac:dyDescent="0.35">
      <c r="A670" s="652" t="str">
        <f t="shared" si="239"/>
        <v/>
      </c>
      <c r="B670" s="652"/>
      <c r="C670" s="685"/>
      <c r="D670" s="686" t="s">
        <v>2680</v>
      </c>
      <c r="E670" s="686"/>
      <c r="F670" s="720"/>
      <c r="G670" s="688"/>
      <c r="H670" s="689"/>
      <c r="I670" s="851" t="str">
        <f t="shared" si="240"/>
        <v/>
      </c>
      <c r="J670" s="850" t="str">
        <f t="shared" si="241"/>
        <v/>
      </c>
      <c r="K670" s="667"/>
      <c r="L670" s="858"/>
      <c r="M670" s="859"/>
      <c r="N670" s="859"/>
      <c r="O670" s="859"/>
      <c r="P670" s="859"/>
      <c r="Q670" s="859"/>
      <c r="R670" s="859"/>
      <c r="S670" s="859"/>
      <c r="T670" s="859"/>
      <c r="U670" s="859"/>
      <c r="V670" s="859"/>
      <c r="W670" s="859"/>
      <c r="X670" s="859"/>
      <c r="Y670" s="859"/>
      <c r="Z670" s="860"/>
      <c r="AA670" s="860"/>
      <c r="AB670" s="860"/>
      <c r="AC670" s="860"/>
      <c r="AD670" s="860"/>
      <c r="AE670" s="860"/>
      <c r="AF670" s="860"/>
      <c r="AG670" s="860"/>
      <c r="AH670" s="860"/>
      <c r="AI670" s="860"/>
      <c r="AJ670" s="860"/>
      <c r="AK670" s="860"/>
      <c r="AL670" s="860"/>
      <c r="AM670" s="860"/>
      <c r="AN670" s="860"/>
      <c r="AO670" s="860"/>
      <c r="AP670" s="860"/>
      <c r="AQ670" s="860"/>
      <c r="AR670" s="860"/>
      <c r="AS670" s="860"/>
      <c r="AT670" s="860"/>
      <c r="AU670" s="860"/>
      <c r="AV670" s="860"/>
      <c r="AW670" s="860"/>
      <c r="AX670" s="860"/>
      <c r="AY670" s="860"/>
      <c r="AZ670" s="860"/>
      <c r="BA670" s="860"/>
      <c r="BB670" s="860"/>
      <c r="BC670" s="860"/>
      <c r="BD670" s="860"/>
      <c r="BE670" s="860"/>
      <c r="BF670" s="860"/>
      <c r="BG670" s="860"/>
      <c r="BH670" s="668"/>
      <c r="BI670" s="667"/>
      <c r="BJ670" s="690">
        <f t="shared" si="242"/>
        <v>0</v>
      </c>
      <c r="BK670" s="691">
        <f t="shared" si="243"/>
        <v>0</v>
      </c>
      <c r="BL670" s="654"/>
      <c r="BM670" s="692">
        <f>SUMIFS(Imput[[Importe Neto]:[Importe Neto]],Imput[[C. Imp.]:[C. Imp.]],$D670,Imput[[PERIODO Imp.]:[PERIODO Imp.]],BM$9)</f>
        <v>0</v>
      </c>
      <c r="BN670" s="693">
        <f>SUMIFS(Imput[[Importe Neto]:[Importe Neto]],Imput[[C. Imp.]:[C. Imp.]],$D670,Imput[[PERIODO Imp.]:[PERIODO Imp.]],BN$9)</f>
        <v>0</v>
      </c>
      <c r="BO670" s="693">
        <f>SUMIFS(Imput[[Importe Neto]:[Importe Neto]],Imput[[C. Imp.]:[C. Imp.]],$D670,Imput[[PERIODO Imp.]:[PERIODO Imp.]],BO$9)</f>
        <v>0</v>
      </c>
      <c r="BP670" s="693">
        <f>SUMIFS(Imput[[Importe Neto]:[Importe Neto]],Imput[[C. Imp.]:[C. Imp.]],$D670,Imput[[PERIODO Imp.]:[PERIODO Imp.]],BP$9)</f>
        <v>0</v>
      </c>
      <c r="BQ670" s="693">
        <f>SUMIFS(Imput[[Importe Neto]:[Importe Neto]],Imput[[C. Imp.]:[C. Imp.]],$D670,Imput[[PERIODO Imp.]:[PERIODO Imp.]],BQ$9)</f>
        <v>0</v>
      </c>
      <c r="BR670" s="693">
        <f>SUMIFS(Imput[[Importe Neto]:[Importe Neto]],Imput[[C. Imp.]:[C. Imp.]],$D670,Imput[[PERIODO Imp.]:[PERIODO Imp.]],BR$9)</f>
        <v>0</v>
      </c>
      <c r="BS670" s="693">
        <f>SUMIFS(Imput[[Importe Neto]:[Importe Neto]],Imput[[C. Imp.]:[C. Imp.]],$D670,Imput[[PERIODO Imp.]:[PERIODO Imp.]],BS$9)</f>
        <v>0</v>
      </c>
      <c r="BT670" s="693">
        <f>SUMIFS(Imput[[Importe Neto]:[Importe Neto]],Imput[[C. Imp.]:[C. Imp.]],$D670,Imput[[PERIODO Imp.]:[PERIODO Imp.]],BT$9)</f>
        <v>0</v>
      </c>
      <c r="BU670" s="693">
        <f>SUMIFS(Imput[[Importe Neto]:[Importe Neto]],Imput[[C. Imp.]:[C. Imp.]],$D670,Imput[[PERIODO Imp.]:[PERIODO Imp.]],BU$9)</f>
        <v>0</v>
      </c>
      <c r="BV670" s="693">
        <f>SUMIFS(Imput[[Importe Neto]:[Importe Neto]],Imput[[C. Imp.]:[C. Imp.]],$D670,Imput[[PERIODO Imp.]:[PERIODO Imp.]],BV$9)</f>
        <v>0</v>
      </c>
      <c r="BW670" s="693">
        <f>SUMIFS(Imput[[Importe Neto]:[Importe Neto]],Imput[[C. Imp.]:[C. Imp.]],$D670,Imput[[PERIODO Imp.]:[PERIODO Imp.]],BW$9)</f>
        <v>0</v>
      </c>
      <c r="BX670" s="693">
        <f>SUMIFS(Imput[[Importe Neto]:[Importe Neto]],Imput[[C. Imp.]:[C. Imp.]],$D670,Imput[[PERIODO Imp.]:[PERIODO Imp.]],BX$9)</f>
        <v>0</v>
      </c>
      <c r="BY670" s="693">
        <f>SUMIFS(Imput[[Importe Neto]:[Importe Neto]],Imput[[C. Imp.]:[C. Imp.]],$D670,Imput[[PERIODO Imp.]:[PERIODO Imp.]],BY$9)</f>
        <v>0</v>
      </c>
      <c r="BZ670" s="693">
        <f>SUMIFS(Imput[[Importe Neto]:[Importe Neto]],Imput[[C. Imp.]:[C. Imp.]],$D670,Imput[[PERIODO Imp.]:[PERIODO Imp.]],BZ$9)</f>
        <v>0</v>
      </c>
      <c r="CA670" s="693">
        <f>SUMIFS(Imput[[Importe Neto]:[Importe Neto]],Imput[[C. Imp.]:[C. Imp.]],$D670,Imput[[PERIODO Imp.]:[PERIODO Imp.]],CA$9)</f>
        <v>0</v>
      </c>
      <c r="CB670" s="693">
        <f>SUMIFS(Imput[[Importe Neto]:[Importe Neto]],Imput[[C. Imp.]:[C. Imp.]],$D670,Imput[[PERIODO Imp.]:[PERIODO Imp.]],CB$9)</f>
        <v>0</v>
      </c>
      <c r="CC670" s="693">
        <f>SUMIFS(Imput[[Importe Neto]:[Importe Neto]],Imput[[C. Imp.]:[C. Imp.]],$D670,Imput[[PERIODO Imp.]:[PERIODO Imp.]],CC$9)</f>
        <v>0</v>
      </c>
      <c r="CD670" s="693">
        <f>SUMIFS(Imput[[Importe Neto]:[Importe Neto]],Imput[[C. Imp.]:[C. Imp.]],$D670,Imput[[PERIODO Imp.]:[PERIODO Imp.]],CD$9)</f>
        <v>0</v>
      </c>
      <c r="CE670" s="693">
        <f>SUMIFS(Imput[[Importe Neto]:[Importe Neto]],Imput[[C. Imp.]:[C. Imp.]],$D670,Imput[[PERIODO Imp.]:[PERIODO Imp.]],CE$9)</f>
        <v>0</v>
      </c>
      <c r="CF670" s="693">
        <f>SUMIFS(Imput[[Importe Neto]:[Importe Neto]],Imput[[C. Imp.]:[C. Imp.]],$D670,Imput[[PERIODO Imp.]:[PERIODO Imp.]],CF$9)</f>
        <v>0</v>
      </c>
      <c r="CG670" s="693">
        <f>SUMIFS(Imput[[Importe Neto]:[Importe Neto]],Imput[[C. Imp.]:[C. Imp.]],$D670,Imput[[PERIODO Imp.]:[PERIODO Imp.]],CG$9)</f>
        <v>0</v>
      </c>
      <c r="CH670" s="693">
        <f>SUMIFS(Imput[[Importe Neto]:[Importe Neto]],Imput[[C. Imp.]:[C. Imp.]],$D670,Imput[[PERIODO Imp.]:[PERIODO Imp.]],CH$9)</f>
        <v>0</v>
      </c>
      <c r="CI670" s="693">
        <f>SUMIFS(Imput[[Importe Neto]:[Importe Neto]],Imput[[C. Imp.]:[C. Imp.]],$D670,Imput[[PERIODO Imp.]:[PERIODO Imp.]],CI$9)</f>
        <v>0</v>
      </c>
      <c r="CJ670" s="693">
        <f>SUMIFS(Imput[[Importe Neto]:[Importe Neto]],Imput[[C. Imp.]:[C. Imp.]],$D670,Imput[[PERIODO Imp.]:[PERIODO Imp.]],CJ$9)</f>
        <v>0</v>
      </c>
      <c r="CK670" s="693">
        <f>SUMIFS(Imput[[Importe Neto]:[Importe Neto]],Imput[[C. Imp.]:[C. Imp.]],$D670,Imput[[PERIODO Imp.]:[PERIODO Imp.]],CK$9)</f>
        <v>0</v>
      </c>
      <c r="CL670" s="693">
        <f>SUMIFS(Imput[[Importe Neto]:[Importe Neto]],Imput[[C. Imp.]:[C. Imp.]],$D670,Imput[[PERIODO Imp.]:[PERIODO Imp.]],CL$9)</f>
        <v>0</v>
      </c>
      <c r="CM670" s="693">
        <f>SUMIFS(Imput[[Importe Neto]:[Importe Neto]],Imput[[C. Imp.]:[C. Imp.]],$D670,Imput[[PERIODO Imp.]:[PERIODO Imp.]],CM$9)</f>
        <v>0</v>
      </c>
      <c r="CN670" s="693">
        <f>SUMIFS(Imput[[Importe Neto]:[Importe Neto]],Imput[[C. Imp.]:[C. Imp.]],$D670,Imput[[PERIODO Imp.]:[PERIODO Imp.]],CN$9)</f>
        <v>0</v>
      </c>
      <c r="CO670" s="693">
        <f>SUMIFS(Imput[[Importe Neto]:[Importe Neto]],Imput[[C. Imp.]:[C. Imp.]],$D670,Imput[[PERIODO Imp.]:[PERIODO Imp.]],CO$9)</f>
        <v>0</v>
      </c>
      <c r="CP670" s="693">
        <f>SUMIFS(Imput[[Importe Neto]:[Importe Neto]],Imput[[C. Imp.]:[C. Imp.]],$D670,Imput[[PERIODO Imp.]:[PERIODO Imp.]],CP$9)</f>
        <v>0</v>
      </c>
      <c r="CQ670" s="693">
        <f>SUMIFS(Imput[[Importe Neto]:[Importe Neto]],Imput[[C. Imp.]:[C. Imp.]],$D670,Imput[[PERIODO Imp.]:[PERIODO Imp.]],CQ$9)</f>
        <v>0</v>
      </c>
      <c r="CR670" s="693">
        <f>SUMIFS(Imput[[Importe Neto]:[Importe Neto]],Imput[[C. Imp.]:[C. Imp.]],$D670,Imput[[PERIODO Imp.]:[PERIODO Imp.]],CR$9)</f>
        <v>0</v>
      </c>
      <c r="CS670" s="693">
        <f>SUMIFS(Imput[[Importe Neto]:[Importe Neto]],Imput[[C. Imp.]:[C. Imp.]],$D670,Imput[[PERIODO Imp.]:[PERIODO Imp.]],CS$9)</f>
        <v>0</v>
      </c>
      <c r="CT670" s="693">
        <f>SUMIFS(Imput[[Importe Neto]:[Importe Neto]],Imput[[C. Imp.]:[C. Imp.]],$D670,Imput[[PERIODO Imp.]:[PERIODO Imp.]],CT$9)</f>
        <v>0</v>
      </c>
      <c r="CU670" s="693">
        <f>SUMIFS(Imput[[Importe Neto]:[Importe Neto]],Imput[[C. Imp.]:[C. Imp.]],$D670,Imput[[PERIODO Imp.]:[PERIODO Imp.]],CU$9)</f>
        <v>0</v>
      </c>
      <c r="CV670" s="693">
        <f>SUMIFS(Imput[[Importe Neto]:[Importe Neto]],Imput[[C. Imp.]:[C. Imp.]],$D670,Imput[[PERIODO Imp.]:[PERIODO Imp.]],CV$9)</f>
        <v>0</v>
      </c>
      <c r="CW670" s="693">
        <f>SUMIFS(Imput[[Importe Neto]:[Importe Neto]],Imput[[C. Imp.]:[C. Imp.]],$D670,Imput[[PERIODO Imp.]:[PERIODO Imp.]],CW$9)</f>
        <v>0</v>
      </c>
      <c r="CX670" s="693">
        <f>SUMIFS(Imput[[Importe Neto]:[Importe Neto]],Imput[[C. Imp.]:[C. Imp.]],$D670,Imput[[PERIODO Imp.]:[PERIODO Imp.]],CX$9)</f>
        <v>0</v>
      </c>
      <c r="CY670" s="693">
        <f>SUMIFS(Imput[[Importe Neto]:[Importe Neto]],Imput[[C. Imp.]:[C. Imp.]],$D670,Imput[[PERIODO Imp.]:[PERIODO Imp.]],CY$9)</f>
        <v>0</v>
      </c>
      <c r="CZ670" s="693">
        <f>SUMIFS(Imput[[Importe Neto]:[Importe Neto]],Imput[[C. Imp.]:[C. Imp.]],$D670,Imput[[PERIODO Imp.]:[PERIODO Imp.]],CZ$9)</f>
        <v>0</v>
      </c>
      <c r="DA670" s="693">
        <f>SUMIFS(Imput[[Importe Neto]:[Importe Neto]],Imput[[C. Imp.]:[C. Imp.]],$D670,Imput[[PERIODO Imp.]:[PERIODO Imp.]],DA$9)</f>
        <v>0</v>
      </c>
      <c r="DB670" s="693">
        <f>SUMIFS(Imput[[Importe Neto]:[Importe Neto]],Imput[[C. Imp.]:[C. Imp.]],$D670,Imput[[PERIODO Imp.]:[PERIODO Imp.]],DB$9)</f>
        <v>0</v>
      </c>
      <c r="DC670" s="693">
        <f>SUMIFS(Imput[[Importe Neto]:[Importe Neto]],Imput[[C. Imp.]:[C. Imp.]],$D670,Imput[[PERIODO Imp.]:[PERIODO Imp.]],DC$9)</f>
        <v>0</v>
      </c>
      <c r="DD670" s="693">
        <f>SUMIFS(Imput[[Importe Neto]:[Importe Neto]],Imput[[C. Imp.]:[C. Imp.]],$D670,Imput[[PERIODO Imp.]:[PERIODO Imp.]],DD$9)</f>
        <v>0</v>
      </c>
      <c r="DE670" s="693">
        <f>SUMIFS(Imput[[Importe Neto]:[Importe Neto]],Imput[[C. Imp.]:[C. Imp.]],$D670,Imput[[PERIODO Imp.]:[PERIODO Imp.]],DE$9)</f>
        <v>0</v>
      </c>
      <c r="DF670" s="693">
        <f>SUMIFS(Imput[[Importe Neto]:[Importe Neto]],Imput[[C. Imp.]:[C. Imp.]],$D670,Imput[[PERIODO Imp.]:[PERIODO Imp.]],DF$9)</f>
        <v>0</v>
      </c>
      <c r="DG670" s="693">
        <f>SUMIFS(Imput[[Importe Neto]:[Importe Neto]],Imput[[C. Imp.]:[C. Imp.]],$D670,Imput[[PERIODO Imp.]:[PERIODO Imp.]],DG$9)</f>
        <v>0</v>
      </c>
      <c r="DH670" s="694">
        <f>SUMIFS(Imput[[Importe Neto]:[Importe Neto]],Imput[[C. Imp.]:[C. Imp.]],$D670,Imput[[PERIODO Imp.]:[PERIODO Imp.]],DH$9)</f>
        <v>0</v>
      </c>
    </row>
    <row r="671" spans="1:112" s="649" customFormat="1" ht="14.4" hidden="1" outlineLevel="1" thickBot="1" x14ac:dyDescent="0.35">
      <c r="A671" s="652" t="str">
        <f t="shared" si="239"/>
        <v/>
      </c>
      <c r="B671" s="652"/>
      <c r="C671" s="685"/>
      <c r="D671" s="686" t="s">
        <v>2681</v>
      </c>
      <c r="E671" s="686"/>
      <c r="F671" s="720"/>
      <c r="G671" s="688"/>
      <c r="H671" s="689"/>
      <c r="I671" s="851" t="str">
        <f t="shared" si="240"/>
        <v/>
      </c>
      <c r="J671" s="850" t="str">
        <f t="shared" si="241"/>
        <v/>
      </c>
      <c r="K671" s="667"/>
      <c r="L671" s="858"/>
      <c r="M671" s="859"/>
      <c r="N671" s="859"/>
      <c r="O671" s="859"/>
      <c r="P671" s="859"/>
      <c r="Q671" s="859"/>
      <c r="R671" s="859"/>
      <c r="S671" s="859"/>
      <c r="T671" s="859"/>
      <c r="U671" s="859"/>
      <c r="V671" s="859"/>
      <c r="W671" s="859"/>
      <c r="X671" s="859"/>
      <c r="Y671" s="859"/>
      <c r="Z671" s="860"/>
      <c r="AA671" s="860"/>
      <c r="AB671" s="860"/>
      <c r="AC671" s="860"/>
      <c r="AD671" s="860"/>
      <c r="AE671" s="860"/>
      <c r="AF671" s="860"/>
      <c r="AG671" s="860"/>
      <c r="AH671" s="860"/>
      <c r="AI671" s="860"/>
      <c r="AJ671" s="860"/>
      <c r="AK671" s="860"/>
      <c r="AL671" s="860"/>
      <c r="AM671" s="860"/>
      <c r="AN671" s="860"/>
      <c r="AO671" s="860"/>
      <c r="AP671" s="860"/>
      <c r="AQ671" s="860"/>
      <c r="AR671" s="860"/>
      <c r="AS671" s="860"/>
      <c r="AT671" s="860"/>
      <c r="AU671" s="860"/>
      <c r="AV671" s="860"/>
      <c r="AW671" s="860"/>
      <c r="AX671" s="860"/>
      <c r="AY671" s="860"/>
      <c r="AZ671" s="860"/>
      <c r="BA671" s="860"/>
      <c r="BB671" s="860"/>
      <c r="BC671" s="860"/>
      <c r="BD671" s="860"/>
      <c r="BE671" s="860"/>
      <c r="BF671" s="860"/>
      <c r="BG671" s="860"/>
      <c r="BH671" s="668"/>
      <c r="BI671" s="667"/>
      <c r="BJ671" s="690">
        <f t="shared" si="242"/>
        <v>0</v>
      </c>
      <c r="BK671" s="691">
        <f t="shared" si="243"/>
        <v>0</v>
      </c>
      <c r="BL671" s="654"/>
      <c r="BM671" s="692">
        <f>SUMIFS(Imput[[Importe Neto]:[Importe Neto]],Imput[[C. Imp.]:[C. Imp.]],$D671,Imput[[PERIODO Imp.]:[PERIODO Imp.]],BM$9)</f>
        <v>0</v>
      </c>
      <c r="BN671" s="693">
        <f>SUMIFS(Imput[[Importe Neto]:[Importe Neto]],Imput[[C. Imp.]:[C. Imp.]],$D671,Imput[[PERIODO Imp.]:[PERIODO Imp.]],BN$9)</f>
        <v>0</v>
      </c>
      <c r="BO671" s="693">
        <f>SUMIFS(Imput[[Importe Neto]:[Importe Neto]],Imput[[C. Imp.]:[C. Imp.]],$D671,Imput[[PERIODO Imp.]:[PERIODO Imp.]],BO$9)</f>
        <v>0</v>
      </c>
      <c r="BP671" s="693">
        <f>SUMIFS(Imput[[Importe Neto]:[Importe Neto]],Imput[[C. Imp.]:[C. Imp.]],$D671,Imput[[PERIODO Imp.]:[PERIODO Imp.]],BP$9)</f>
        <v>0</v>
      </c>
      <c r="BQ671" s="693">
        <f>SUMIFS(Imput[[Importe Neto]:[Importe Neto]],Imput[[C. Imp.]:[C. Imp.]],$D671,Imput[[PERIODO Imp.]:[PERIODO Imp.]],BQ$9)</f>
        <v>0</v>
      </c>
      <c r="BR671" s="693">
        <f>SUMIFS(Imput[[Importe Neto]:[Importe Neto]],Imput[[C. Imp.]:[C. Imp.]],$D671,Imput[[PERIODO Imp.]:[PERIODO Imp.]],BR$9)</f>
        <v>0</v>
      </c>
      <c r="BS671" s="693">
        <f>SUMIFS(Imput[[Importe Neto]:[Importe Neto]],Imput[[C. Imp.]:[C. Imp.]],$D671,Imput[[PERIODO Imp.]:[PERIODO Imp.]],BS$9)</f>
        <v>0</v>
      </c>
      <c r="BT671" s="693">
        <f>SUMIFS(Imput[[Importe Neto]:[Importe Neto]],Imput[[C. Imp.]:[C. Imp.]],$D671,Imput[[PERIODO Imp.]:[PERIODO Imp.]],BT$9)</f>
        <v>0</v>
      </c>
      <c r="BU671" s="693">
        <f>SUMIFS(Imput[[Importe Neto]:[Importe Neto]],Imput[[C. Imp.]:[C. Imp.]],$D671,Imput[[PERIODO Imp.]:[PERIODO Imp.]],BU$9)</f>
        <v>0</v>
      </c>
      <c r="BV671" s="693">
        <f>SUMIFS(Imput[[Importe Neto]:[Importe Neto]],Imput[[C. Imp.]:[C. Imp.]],$D671,Imput[[PERIODO Imp.]:[PERIODO Imp.]],BV$9)</f>
        <v>0</v>
      </c>
      <c r="BW671" s="693">
        <f>SUMIFS(Imput[[Importe Neto]:[Importe Neto]],Imput[[C. Imp.]:[C. Imp.]],$D671,Imput[[PERIODO Imp.]:[PERIODO Imp.]],BW$9)</f>
        <v>0</v>
      </c>
      <c r="BX671" s="693">
        <f>SUMIFS(Imput[[Importe Neto]:[Importe Neto]],Imput[[C. Imp.]:[C. Imp.]],$D671,Imput[[PERIODO Imp.]:[PERIODO Imp.]],BX$9)</f>
        <v>0</v>
      </c>
      <c r="BY671" s="693">
        <f>SUMIFS(Imput[[Importe Neto]:[Importe Neto]],Imput[[C. Imp.]:[C. Imp.]],$D671,Imput[[PERIODO Imp.]:[PERIODO Imp.]],BY$9)</f>
        <v>0</v>
      </c>
      <c r="BZ671" s="693">
        <f>SUMIFS(Imput[[Importe Neto]:[Importe Neto]],Imput[[C. Imp.]:[C. Imp.]],$D671,Imput[[PERIODO Imp.]:[PERIODO Imp.]],BZ$9)</f>
        <v>0</v>
      </c>
      <c r="CA671" s="693">
        <f>SUMIFS(Imput[[Importe Neto]:[Importe Neto]],Imput[[C. Imp.]:[C. Imp.]],$D671,Imput[[PERIODO Imp.]:[PERIODO Imp.]],CA$9)</f>
        <v>0</v>
      </c>
      <c r="CB671" s="693">
        <f>SUMIFS(Imput[[Importe Neto]:[Importe Neto]],Imput[[C. Imp.]:[C. Imp.]],$D671,Imput[[PERIODO Imp.]:[PERIODO Imp.]],CB$9)</f>
        <v>0</v>
      </c>
      <c r="CC671" s="693">
        <f>SUMIFS(Imput[[Importe Neto]:[Importe Neto]],Imput[[C. Imp.]:[C. Imp.]],$D671,Imput[[PERIODO Imp.]:[PERIODO Imp.]],CC$9)</f>
        <v>0</v>
      </c>
      <c r="CD671" s="693">
        <f>SUMIFS(Imput[[Importe Neto]:[Importe Neto]],Imput[[C. Imp.]:[C. Imp.]],$D671,Imput[[PERIODO Imp.]:[PERIODO Imp.]],CD$9)</f>
        <v>0</v>
      </c>
      <c r="CE671" s="693">
        <f>SUMIFS(Imput[[Importe Neto]:[Importe Neto]],Imput[[C. Imp.]:[C. Imp.]],$D671,Imput[[PERIODO Imp.]:[PERIODO Imp.]],CE$9)</f>
        <v>0</v>
      </c>
      <c r="CF671" s="693">
        <f>SUMIFS(Imput[[Importe Neto]:[Importe Neto]],Imput[[C. Imp.]:[C. Imp.]],$D671,Imput[[PERIODO Imp.]:[PERIODO Imp.]],CF$9)</f>
        <v>0</v>
      </c>
      <c r="CG671" s="693">
        <f>SUMIFS(Imput[[Importe Neto]:[Importe Neto]],Imput[[C. Imp.]:[C. Imp.]],$D671,Imput[[PERIODO Imp.]:[PERIODO Imp.]],CG$9)</f>
        <v>0</v>
      </c>
      <c r="CH671" s="693">
        <f>SUMIFS(Imput[[Importe Neto]:[Importe Neto]],Imput[[C. Imp.]:[C. Imp.]],$D671,Imput[[PERIODO Imp.]:[PERIODO Imp.]],CH$9)</f>
        <v>0</v>
      </c>
      <c r="CI671" s="693">
        <f>SUMIFS(Imput[[Importe Neto]:[Importe Neto]],Imput[[C. Imp.]:[C. Imp.]],$D671,Imput[[PERIODO Imp.]:[PERIODO Imp.]],CI$9)</f>
        <v>0</v>
      </c>
      <c r="CJ671" s="693">
        <f>SUMIFS(Imput[[Importe Neto]:[Importe Neto]],Imput[[C. Imp.]:[C. Imp.]],$D671,Imput[[PERIODO Imp.]:[PERIODO Imp.]],CJ$9)</f>
        <v>0</v>
      </c>
      <c r="CK671" s="693">
        <f>SUMIFS(Imput[[Importe Neto]:[Importe Neto]],Imput[[C. Imp.]:[C. Imp.]],$D671,Imput[[PERIODO Imp.]:[PERIODO Imp.]],CK$9)</f>
        <v>0</v>
      </c>
      <c r="CL671" s="693">
        <f>SUMIFS(Imput[[Importe Neto]:[Importe Neto]],Imput[[C. Imp.]:[C. Imp.]],$D671,Imput[[PERIODO Imp.]:[PERIODO Imp.]],CL$9)</f>
        <v>0</v>
      </c>
      <c r="CM671" s="693">
        <f>SUMIFS(Imput[[Importe Neto]:[Importe Neto]],Imput[[C. Imp.]:[C. Imp.]],$D671,Imput[[PERIODO Imp.]:[PERIODO Imp.]],CM$9)</f>
        <v>0</v>
      </c>
      <c r="CN671" s="693">
        <f>SUMIFS(Imput[[Importe Neto]:[Importe Neto]],Imput[[C. Imp.]:[C. Imp.]],$D671,Imput[[PERIODO Imp.]:[PERIODO Imp.]],CN$9)</f>
        <v>0</v>
      </c>
      <c r="CO671" s="693">
        <f>SUMIFS(Imput[[Importe Neto]:[Importe Neto]],Imput[[C. Imp.]:[C. Imp.]],$D671,Imput[[PERIODO Imp.]:[PERIODO Imp.]],CO$9)</f>
        <v>0</v>
      </c>
      <c r="CP671" s="693">
        <f>SUMIFS(Imput[[Importe Neto]:[Importe Neto]],Imput[[C. Imp.]:[C. Imp.]],$D671,Imput[[PERIODO Imp.]:[PERIODO Imp.]],CP$9)</f>
        <v>0</v>
      </c>
      <c r="CQ671" s="693">
        <f>SUMIFS(Imput[[Importe Neto]:[Importe Neto]],Imput[[C. Imp.]:[C. Imp.]],$D671,Imput[[PERIODO Imp.]:[PERIODO Imp.]],CQ$9)</f>
        <v>0</v>
      </c>
      <c r="CR671" s="693">
        <f>SUMIFS(Imput[[Importe Neto]:[Importe Neto]],Imput[[C. Imp.]:[C. Imp.]],$D671,Imput[[PERIODO Imp.]:[PERIODO Imp.]],CR$9)</f>
        <v>0</v>
      </c>
      <c r="CS671" s="693">
        <f>SUMIFS(Imput[[Importe Neto]:[Importe Neto]],Imput[[C. Imp.]:[C. Imp.]],$D671,Imput[[PERIODO Imp.]:[PERIODO Imp.]],CS$9)</f>
        <v>0</v>
      </c>
      <c r="CT671" s="693">
        <f>SUMIFS(Imput[[Importe Neto]:[Importe Neto]],Imput[[C. Imp.]:[C. Imp.]],$D671,Imput[[PERIODO Imp.]:[PERIODO Imp.]],CT$9)</f>
        <v>0</v>
      </c>
      <c r="CU671" s="693">
        <f>SUMIFS(Imput[[Importe Neto]:[Importe Neto]],Imput[[C. Imp.]:[C. Imp.]],$D671,Imput[[PERIODO Imp.]:[PERIODO Imp.]],CU$9)</f>
        <v>0</v>
      </c>
      <c r="CV671" s="693">
        <f>SUMIFS(Imput[[Importe Neto]:[Importe Neto]],Imput[[C. Imp.]:[C. Imp.]],$D671,Imput[[PERIODO Imp.]:[PERIODO Imp.]],CV$9)</f>
        <v>0</v>
      </c>
      <c r="CW671" s="693">
        <f>SUMIFS(Imput[[Importe Neto]:[Importe Neto]],Imput[[C. Imp.]:[C. Imp.]],$D671,Imput[[PERIODO Imp.]:[PERIODO Imp.]],CW$9)</f>
        <v>0</v>
      </c>
      <c r="CX671" s="693">
        <f>SUMIFS(Imput[[Importe Neto]:[Importe Neto]],Imput[[C. Imp.]:[C. Imp.]],$D671,Imput[[PERIODO Imp.]:[PERIODO Imp.]],CX$9)</f>
        <v>0</v>
      </c>
      <c r="CY671" s="693">
        <f>SUMIFS(Imput[[Importe Neto]:[Importe Neto]],Imput[[C. Imp.]:[C. Imp.]],$D671,Imput[[PERIODO Imp.]:[PERIODO Imp.]],CY$9)</f>
        <v>0</v>
      </c>
      <c r="CZ671" s="693">
        <f>SUMIFS(Imput[[Importe Neto]:[Importe Neto]],Imput[[C. Imp.]:[C. Imp.]],$D671,Imput[[PERIODO Imp.]:[PERIODO Imp.]],CZ$9)</f>
        <v>0</v>
      </c>
      <c r="DA671" s="693">
        <f>SUMIFS(Imput[[Importe Neto]:[Importe Neto]],Imput[[C. Imp.]:[C. Imp.]],$D671,Imput[[PERIODO Imp.]:[PERIODO Imp.]],DA$9)</f>
        <v>0</v>
      </c>
      <c r="DB671" s="693">
        <f>SUMIFS(Imput[[Importe Neto]:[Importe Neto]],Imput[[C. Imp.]:[C. Imp.]],$D671,Imput[[PERIODO Imp.]:[PERIODO Imp.]],DB$9)</f>
        <v>0</v>
      </c>
      <c r="DC671" s="693">
        <f>SUMIFS(Imput[[Importe Neto]:[Importe Neto]],Imput[[C. Imp.]:[C. Imp.]],$D671,Imput[[PERIODO Imp.]:[PERIODO Imp.]],DC$9)</f>
        <v>0</v>
      </c>
      <c r="DD671" s="693">
        <f>SUMIFS(Imput[[Importe Neto]:[Importe Neto]],Imput[[C. Imp.]:[C. Imp.]],$D671,Imput[[PERIODO Imp.]:[PERIODO Imp.]],DD$9)</f>
        <v>0</v>
      </c>
      <c r="DE671" s="693">
        <f>SUMIFS(Imput[[Importe Neto]:[Importe Neto]],Imput[[C. Imp.]:[C. Imp.]],$D671,Imput[[PERIODO Imp.]:[PERIODO Imp.]],DE$9)</f>
        <v>0</v>
      </c>
      <c r="DF671" s="693">
        <f>SUMIFS(Imput[[Importe Neto]:[Importe Neto]],Imput[[C. Imp.]:[C. Imp.]],$D671,Imput[[PERIODO Imp.]:[PERIODO Imp.]],DF$9)</f>
        <v>0</v>
      </c>
      <c r="DG671" s="693">
        <f>SUMIFS(Imput[[Importe Neto]:[Importe Neto]],Imput[[C. Imp.]:[C. Imp.]],$D671,Imput[[PERIODO Imp.]:[PERIODO Imp.]],DG$9)</f>
        <v>0</v>
      </c>
      <c r="DH671" s="694">
        <f>SUMIFS(Imput[[Importe Neto]:[Importe Neto]],Imput[[C. Imp.]:[C. Imp.]],$D671,Imput[[PERIODO Imp.]:[PERIODO Imp.]],DH$9)</f>
        <v>0</v>
      </c>
    </row>
    <row r="672" spans="1:112" s="649" customFormat="1" ht="14.4" hidden="1" outlineLevel="1" thickBot="1" x14ac:dyDescent="0.35">
      <c r="A672" s="652" t="str">
        <f t="shared" si="239"/>
        <v/>
      </c>
      <c r="B672" s="652"/>
      <c r="C672" s="685"/>
      <c r="D672" s="686" t="s">
        <v>2682</v>
      </c>
      <c r="E672" s="686"/>
      <c r="F672" s="720"/>
      <c r="G672" s="688"/>
      <c r="H672" s="689"/>
      <c r="I672" s="851" t="str">
        <f t="shared" si="240"/>
        <v/>
      </c>
      <c r="J672" s="850" t="str">
        <f t="shared" si="241"/>
        <v/>
      </c>
      <c r="K672" s="667"/>
      <c r="L672" s="858"/>
      <c r="M672" s="859"/>
      <c r="N672" s="859"/>
      <c r="O672" s="859"/>
      <c r="P672" s="859"/>
      <c r="Q672" s="859"/>
      <c r="R672" s="859"/>
      <c r="S672" s="859"/>
      <c r="T672" s="859"/>
      <c r="U672" s="859"/>
      <c r="V672" s="859"/>
      <c r="W672" s="859"/>
      <c r="X672" s="859"/>
      <c r="Y672" s="859"/>
      <c r="Z672" s="860"/>
      <c r="AA672" s="860"/>
      <c r="AB672" s="860"/>
      <c r="AC672" s="860"/>
      <c r="AD672" s="860"/>
      <c r="AE672" s="860"/>
      <c r="AF672" s="860"/>
      <c r="AG672" s="860"/>
      <c r="AH672" s="860"/>
      <c r="AI672" s="860"/>
      <c r="AJ672" s="860"/>
      <c r="AK672" s="860"/>
      <c r="AL672" s="860"/>
      <c r="AM672" s="860"/>
      <c r="AN672" s="860"/>
      <c r="AO672" s="860"/>
      <c r="AP672" s="860"/>
      <c r="AQ672" s="860"/>
      <c r="AR672" s="860"/>
      <c r="AS672" s="860"/>
      <c r="AT672" s="860"/>
      <c r="AU672" s="860"/>
      <c r="AV672" s="860"/>
      <c r="AW672" s="860"/>
      <c r="AX672" s="860"/>
      <c r="AY672" s="860"/>
      <c r="AZ672" s="860"/>
      <c r="BA672" s="860"/>
      <c r="BB672" s="860"/>
      <c r="BC672" s="860"/>
      <c r="BD672" s="860"/>
      <c r="BE672" s="860"/>
      <c r="BF672" s="860"/>
      <c r="BG672" s="860"/>
      <c r="BH672" s="668"/>
      <c r="BI672" s="667"/>
      <c r="BJ672" s="690">
        <f t="shared" si="242"/>
        <v>0</v>
      </c>
      <c r="BK672" s="691">
        <f t="shared" si="243"/>
        <v>0</v>
      </c>
      <c r="BL672" s="654"/>
      <c r="BM672" s="692">
        <f>SUMIFS(Imput[[Importe Neto]:[Importe Neto]],Imput[[C. Imp.]:[C. Imp.]],$D672,Imput[[PERIODO Imp.]:[PERIODO Imp.]],BM$9)</f>
        <v>0</v>
      </c>
      <c r="BN672" s="693">
        <f>SUMIFS(Imput[[Importe Neto]:[Importe Neto]],Imput[[C. Imp.]:[C. Imp.]],$D672,Imput[[PERIODO Imp.]:[PERIODO Imp.]],BN$9)</f>
        <v>0</v>
      </c>
      <c r="BO672" s="693">
        <f>SUMIFS(Imput[[Importe Neto]:[Importe Neto]],Imput[[C. Imp.]:[C. Imp.]],$D672,Imput[[PERIODO Imp.]:[PERIODO Imp.]],BO$9)</f>
        <v>0</v>
      </c>
      <c r="BP672" s="693">
        <f>SUMIFS(Imput[[Importe Neto]:[Importe Neto]],Imput[[C. Imp.]:[C. Imp.]],$D672,Imput[[PERIODO Imp.]:[PERIODO Imp.]],BP$9)</f>
        <v>0</v>
      </c>
      <c r="BQ672" s="693">
        <f>SUMIFS(Imput[[Importe Neto]:[Importe Neto]],Imput[[C. Imp.]:[C. Imp.]],$D672,Imput[[PERIODO Imp.]:[PERIODO Imp.]],BQ$9)</f>
        <v>0</v>
      </c>
      <c r="BR672" s="693">
        <f>SUMIFS(Imput[[Importe Neto]:[Importe Neto]],Imput[[C. Imp.]:[C. Imp.]],$D672,Imput[[PERIODO Imp.]:[PERIODO Imp.]],BR$9)</f>
        <v>0</v>
      </c>
      <c r="BS672" s="693">
        <f>SUMIFS(Imput[[Importe Neto]:[Importe Neto]],Imput[[C. Imp.]:[C. Imp.]],$D672,Imput[[PERIODO Imp.]:[PERIODO Imp.]],BS$9)</f>
        <v>0</v>
      </c>
      <c r="BT672" s="693">
        <f>SUMIFS(Imput[[Importe Neto]:[Importe Neto]],Imput[[C. Imp.]:[C. Imp.]],$D672,Imput[[PERIODO Imp.]:[PERIODO Imp.]],BT$9)</f>
        <v>0</v>
      </c>
      <c r="BU672" s="693">
        <f>SUMIFS(Imput[[Importe Neto]:[Importe Neto]],Imput[[C. Imp.]:[C. Imp.]],$D672,Imput[[PERIODO Imp.]:[PERIODO Imp.]],BU$9)</f>
        <v>0</v>
      </c>
      <c r="BV672" s="693">
        <f>SUMIFS(Imput[[Importe Neto]:[Importe Neto]],Imput[[C. Imp.]:[C. Imp.]],$D672,Imput[[PERIODO Imp.]:[PERIODO Imp.]],BV$9)</f>
        <v>0</v>
      </c>
      <c r="BW672" s="693">
        <f>SUMIFS(Imput[[Importe Neto]:[Importe Neto]],Imput[[C. Imp.]:[C. Imp.]],$D672,Imput[[PERIODO Imp.]:[PERIODO Imp.]],BW$9)</f>
        <v>0</v>
      </c>
      <c r="BX672" s="693">
        <f>SUMIFS(Imput[[Importe Neto]:[Importe Neto]],Imput[[C. Imp.]:[C. Imp.]],$D672,Imput[[PERIODO Imp.]:[PERIODO Imp.]],BX$9)</f>
        <v>0</v>
      </c>
      <c r="BY672" s="693">
        <f>SUMIFS(Imput[[Importe Neto]:[Importe Neto]],Imput[[C. Imp.]:[C. Imp.]],$D672,Imput[[PERIODO Imp.]:[PERIODO Imp.]],BY$9)</f>
        <v>0</v>
      </c>
      <c r="BZ672" s="693">
        <f>SUMIFS(Imput[[Importe Neto]:[Importe Neto]],Imput[[C. Imp.]:[C. Imp.]],$D672,Imput[[PERIODO Imp.]:[PERIODO Imp.]],BZ$9)</f>
        <v>0</v>
      </c>
      <c r="CA672" s="693">
        <f>SUMIFS(Imput[[Importe Neto]:[Importe Neto]],Imput[[C. Imp.]:[C. Imp.]],$D672,Imput[[PERIODO Imp.]:[PERIODO Imp.]],CA$9)</f>
        <v>0</v>
      </c>
      <c r="CB672" s="693">
        <f>SUMIFS(Imput[[Importe Neto]:[Importe Neto]],Imput[[C. Imp.]:[C. Imp.]],$D672,Imput[[PERIODO Imp.]:[PERIODO Imp.]],CB$9)</f>
        <v>0</v>
      </c>
      <c r="CC672" s="693">
        <f>SUMIFS(Imput[[Importe Neto]:[Importe Neto]],Imput[[C. Imp.]:[C. Imp.]],$D672,Imput[[PERIODO Imp.]:[PERIODO Imp.]],CC$9)</f>
        <v>0</v>
      </c>
      <c r="CD672" s="693">
        <f>SUMIFS(Imput[[Importe Neto]:[Importe Neto]],Imput[[C. Imp.]:[C. Imp.]],$D672,Imput[[PERIODO Imp.]:[PERIODO Imp.]],CD$9)</f>
        <v>0</v>
      </c>
      <c r="CE672" s="693">
        <f>SUMIFS(Imput[[Importe Neto]:[Importe Neto]],Imput[[C. Imp.]:[C. Imp.]],$D672,Imput[[PERIODO Imp.]:[PERIODO Imp.]],CE$9)</f>
        <v>0</v>
      </c>
      <c r="CF672" s="693">
        <f>SUMIFS(Imput[[Importe Neto]:[Importe Neto]],Imput[[C. Imp.]:[C. Imp.]],$D672,Imput[[PERIODO Imp.]:[PERIODO Imp.]],CF$9)</f>
        <v>0</v>
      </c>
      <c r="CG672" s="693">
        <f>SUMIFS(Imput[[Importe Neto]:[Importe Neto]],Imput[[C. Imp.]:[C. Imp.]],$D672,Imput[[PERIODO Imp.]:[PERIODO Imp.]],CG$9)</f>
        <v>0</v>
      </c>
      <c r="CH672" s="693">
        <f>SUMIFS(Imput[[Importe Neto]:[Importe Neto]],Imput[[C. Imp.]:[C. Imp.]],$D672,Imput[[PERIODO Imp.]:[PERIODO Imp.]],CH$9)</f>
        <v>0</v>
      </c>
      <c r="CI672" s="693">
        <f>SUMIFS(Imput[[Importe Neto]:[Importe Neto]],Imput[[C. Imp.]:[C. Imp.]],$D672,Imput[[PERIODO Imp.]:[PERIODO Imp.]],CI$9)</f>
        <v>0</v>
      </c>
      <c r="CJ672" s="693">
        <f>SUMIFS(Imput[[Importe Neto]:[Importe Neto]],Imput[[C. Imp.]:[C. Imp.]],$D672,Imput[[PERIODO Imp.]:[PERIODO Imp.]],CJ$9)</f>
        <v>0</v>
      </c>
      <c r="CK672" s="693">
        <f>SUMIFS(Imput[[Importe Neto]:[Importe Neto]],Imput[[C. Imp.]:[C. Imp.]],$D672,Imput[[PERIODO Imp.]:[PERIODO Imp.]],CK$9)</f>
        <v>0</v>
      </c>
      <c r="CL672" s="693">
        <f>SUMIFS(Imput[[Importe Neto]:[Importe Neto]],Imput[[C. Imp.]:[C. Imp.]],$D672,Imput[[PERIODO Imp.]:[PERIODO Imp.]],CL$9)</f>
        <v>0</v>
      </c>
      <c r="CM672" s="693">
        <f>SUMIFS(Imput[[Importe Neto]:[Importe Neto]],Imput[[C. Imp.]:[C. Imp.]],$D672,Imput[[PERIODO Imp.]:[PERIODO Imp.]],CM$9)</f>
        <v>0</v>
      </c>
      <c r="CN672" s="693">
        <f>SUMIFS(Imput[[Importe Neto]:[Importe Neto]],Imput[[C. Imp.]:[C. Imp.]],$D672,Imput[[PERIODO Imp.]:[PERIODO Imp.]],CN$9)</f>
        <v>0</v>
      </c>
      <c r="CO672" s="693">
        <f>SUMIFS(Imput[[Importe Neto]:[Importe Neto]],Imput[[C. Imp.]:[C. Imp.]],$D672,Imput[[PERIODO Imp.]:[PERIODO Imp.]],CO$9)</f>
        <v>0</v>
      </c>
      <c r="CP672" s="693">
        <f>SUMIFS(Imput[[Importe Neto]:[Importe Neto]],Imput[[C. Imp.]:[C. Imp.]],$D672,Imput[[PERIODO Imp.]:[PERIODO Imp.]],CP$9)</f>
        <v>0</v>
      </c>
      <c r="CQ672" s="693">
        <f>SUMIFS(Imput[[Importe Neto]:[Importe Neto]],Imput[[C. Imp.]:[C. Imp.]],$D672,Imput[[PERIODO Imp.]:[PERIODO Imp.]],CQ$9)</f>
        <v>0</v>
      </c>
      <c r="CR672" s="693">
        <f>SUMIFS(Imput[[Importe Neto]:[Importe Neto]],Imput[[C. Imp.]:[C. Imp.]],$D672,Imput[[PERIODO Imp.]:[PERIODO Imp.]],CR$9)</f>
        <v>0</v>
      </c>
      <c r="CS672" s="693">
        <f>SUMIFS(Imput[[Importe Neto]:[Importe Neto]],Imput[[C. Imp.]:[C. Imp.]],$D672,Imput[[PERIODO Imp.]:[PERIODO Imp.]],CS$9)</f>
        <v>0</v>
      </c>
      <c r="CT672" s="693">
        <f>SUMIFS(Imput[[Importe Neto]:[Importe Neto]],Imput[[C. Imp.]:[C. Imp.]],$D672,Imput[[PERIODO Imp.]:[PERIODO Imp.]],CT$9)</f>
        <v>0</v>
      </c>
      <c r="CU672" s="693">
        <f>SUMIFS(Imput[[Importe Neto]:[Importe Neto]],Imput[[C. Imp.]:[C. Imp.]],$D672,Imput[[PERIODO Imp.]:[PERIODO Imp.]],CU$9)</f>
        <v>0</v>
      </c>
      <c r="CV672" s="693">
        <f>SUMIFS(Imput[[Importe Neto]:[Importe Neto]],Imput[[C. Imp.]:[C. Imp.]],$D672,Imput[[PERIODO Imp.]:[PERIODO Imp.]],CV$9)</f>
        <v>0</v>
      </c>
      <c r="CW672" s="693">
        <f>SUMIFS(Imput[[Importe Neto]:[Importe Neto]],Imput[[C. Imp.]:[C. Imp.]],$D672,Imput[[PERIODO Imp.]:[PERIODO Imp.]],CW$9)</f>
        <v>0</v>
      </c>
      <c r="CX672" s="693">
        <f>SUMIFS(Imput[[Importe Neto]:[Importe Neto]],Imput[[C. Imp.]:[C. Imp.]],$D672,Imput[[PERIODO Imp.]:[PERIODO Imp.]],CX$9)</f>
        <v>0</v>
      </c>
      <c r="CY672" s="693">
        <f>SUMIFS(Imput[[Importe Neto]:[Importe Neto]],Imput[[C. Imp.]:[C. Imp.]],$D672,Imput[[PERIODO Imp.]:[PERIODO Imp.]],CY$9)</f>
        <v>0</v>
      </c>
      <c r="CZ672" s="693">
        <f>SUMIFS(Imput[[Importe Neto]:[Importe Neto]],Imput[[C. Imp.]:[C. Imp.]],$D672,Imput[[PERIODO Imp.]:[PERIODO Imp.]],CZ$9)</f>
        <v>0</v>
      </c>
      <c r="DA672" s="693">
        <f>SUMIFS(Imput[[Importe Neto]:[Importe Neto]],Imput[[C. Imp.]:[C. Imp.]],$D672,Imput[[PERIODO Imp.]:[PERIODO Imp.]],DA$9)</f>
        <v>0</v>
      </c>
      <c r="DB672" s="693">
        <f>SUMIFS(Imput[[Importe Neto]:[Importe Neto]],Imput[[C. Imp.]:[C. Imp.]],$D672,Imput[[PERIODO Imp.]:[PERIODO Imp.]],DB$9)</f>
        <v>0</v>
      </c>
      <c r="DC672" s="693">
        <f>SUMIFS(Imput[[Importe Neto]:[Importe Neto]],Imput[[C. Imp.]:[C. Imp.]],$D672,Imput[[PERIODO Imp.]:[PERIODO Imp.]],DC$9)</f>
        <v>0</v>
      </c>
      <c r="DD672" s="693">
        <f>SUMIFS(Imput[[Importe Neto]:[Importe Neto]],Imput[[C. Imp.]:[C. Imp.]],$D672,Imput[[PERIODO Imp.]:[PERIODO Imp.]],DD$9)</f>
        <v>0</v>
      </c>
      <c r="DE672" s="693">
        <f>SUMIFS(Imput[[Importe Neto]:[Importe Neto]],Imput[[C. Imp.]:[C. Imp.]],$D672,Imput[[PERIODO Imp.]:[PERIODO Imp.]],DE$9)</f>
        <v>0</v>
      </c>
      <c r="DF672" s="693">
        <f>SUMIFS(Imput[[Importe Neto]:[Importe Neto]],Imput[[C. Imp.]:[C. Imp.]],$D672,Imput[[PERIODO Imp.]:[PERIODO Imp.]],DF$9)</f>
        <v>0</v>
      </c>
      <c r="DG672" s="693">
        <f>SUMIFS(Imput[[Importe Neto]:[Importe Neto]],Imput[[C. Imp.]:[C. Imp.]],$D672,Imput[[PERIODO Imp.]:[PERIODO Imp.]],DG$9)</f>
        <v>0</v>
      </c>
      <c r="DH672" s="694">
        <f>SUMIFS(Imput[[Importe Neto]:[Importe Neto]],Imput[[C. Imp.]:[C. Imp.]],$D672,Imput[[PERIODO Imp.]:[PERIODO Imp.]],DH$9)</f>
        <v>0</v>
      </c>
    </row>
    <row r="673" spans="1:112" s="649" customFormat="1" ht="14.4" hidden="1" outlineLevel="1" thickBot="1" x14ac:dyDescent="0.35">
      <c r="A673" s="652" t="str">
        <f t="shared" si="239"/>
        <v/>
      </c>
      <c r="B673" s="652"/>
      <c r="C673" s="685"/>
      <c r="D673" s="686" t="s">
        <v>2683</v>
      </c>
      <c r="E673" s="686"/>
      <c r="F673" s="720"/>
      <c r="G673" s="688"/>
      <c r="H673" s="689"/>
      <c r="I673" s="851" t="str">
        <f t="shared" si="240"/>
        <v/>
      </c>
      <c r="J673" s="850" t="str">
        <f t="shared" si="241"/>
        <v/>
      </c>
      <c r="K673" s="667"/>
      <c r="L673" s="858"/>
      <c r="M673" s="859"/>
      <c r="N673" s="859"/>
      <c r="O673" s="859"/>
      <c r="P673" s="859"/>
      <c r="Q673" s="859"/>
      <c r="R673" s="859"/>
      <c r="S673" s="859"/>
      <c r="T673" s="859"/>
      <c r="U673" s="859"/>
      <c r="V673" s="859"/>
      <c r="W673" s="859"/>
      <c r="X673" s="859"/>
      <c r="Y673" s="859"/>
      <c r="Z673" s="860"/>
      <c r="AA673" s="860"/>
      <c r="AB673" s="860"/>
      <c r="AC673" s="860"/>
      <c r="AD673" s="860"/>
      <c r="AE673" s="860"/>
      <c r="AF673" s="860"/>
      <c r="AG673" s="860"/>
      <c r="AH673" s="860"/>
      <c r="AI673" s="860"/>
      <c r="AJ673" s="860"/>
      <c r="AK673" s="860"/>
      <c r="AL673" s="860"/>
      <c r="AM673" s="860"/>
      <c r="AN673" s="860"/>
      <c r="AO673" s="860"/>
      <c r="AP673" s="860"/>
      <c r="AQ673" s="860"/>
      <c r="AR673" s="860"/>
      <c r="AS673" s="860"/>
      <c r="AT673" s="860"/>
      <c r="AU673" s="860"/>
      <c r="AV673" s="860"/>
      <c r="AW673" s="860"/>
      <c r="AX673" s="860"/>
      <c r="AY673" s="860"/>
      <c r="AZ673" s="860"/>
      <c r="BA673" s="860"/>
      <c r="BB673" s="860"/>
      <c r="BC673" s="860"/>
      <c r="BD673" s="860"/>
      <c r="BE673" s="860"/>
      <c r="BF673" s="860"/>
      <c r="BG673" s="860"/>
      <c r="BH673" s="668"/>
      <c r="BI673" s="667"/>
      <c r="BJ673" s="690">
        <f t="shared" si="242"/>
        <v>0</v>
      </c>
      <c r="BK673" s="691">
        <f t="shared" si="243"/>
        <v>0</v>
      </c>
      <c r="BL673" s="654"/>
      <c r="BM673" s="692">
        <f>SUMIFS(Imput[[Importe Neto]:[Importe Neto]],Imput[[C. Imp.]:[C. Imp.]],$D673,Imput[[PERIODO Imp.]:[PERIODO Imp.]],BM$9)</f>
        <v>0</v>
      </c>
      <c r="BN673" s="693">
        <f>SUMIFS(Imput[[Importe Neto]:[Importe Neto]],Imput[[C. Imp.]:[C. Imp.]],$D673,Imput[[PERIODO Imp.]:[PERIODO Imp.]],BN$9)</f>
        <v>0</v>
      </c>
      <c r="BO673" s="693">
        <f>SUMIFS(Imput[[Importe Neto]:[Importe Neto]],Imput[[C. Imp.]:[C. Imp.]],$D673,Imput[[PERIODO Imp.]:[PERIODO Imp.]],BO$9)</f>
        <v>0</v>
      </c>
      <c r="BP673" s="693">
        <f>SUMIFS(Imput[[Importe Neto]:[Importe Neto]],Imput[[C. Imp.]:[C. Imp.]],$D673,Imput[[PERIODO Imp.]:[PERIODO Imp.]],BP$9)</f>
        <v>0</v>
      </c>
      <c r="BQ673" s="693">
        <f>SUMIFS(Imput[[Importe Neto]:[Importe Neto]],Imput[[C. Imp.]:[C. Imp.]],$D673,Imput[[PERIODO Imp.]:[PERIODO Imp.]],BQ$9)</f>
        <v>0</v>
      </c>
      <c r="BR673" s="693">
        <f>SUMIFS(Imput[[Importe Neto]:[Importe Neto]],Imput[[C. Imp.]:[C. Imp.]],$D673,Imput[[PERIODO Imp.]:[PERIODO Imp.]],BR$9)</f>
        <v>0</v>
      </c>
      <c r="BS673" s="693">
        <f>SUMIFS(Imput[[Importe Neto]:[Importe Neto]],Imput[[C. Imp.]:[C. Imp.]],$D673,Imput[[PERIODO Imp.]:[PERIODO Imp.]],BS$9)</f>
        <v>0</v>
      </c>
      <c r="BT673" s="693">
        <f>SUMIFS(Imput[[Importe Neto]:[Importe Neto]],Imput[[C. Imp.]:[C. Imp.]],$D673,Imput[[PERIODO Imp.]:[PERIODO Imp.]],BT$9)</f>
        <v>0</v>
      </c>
      <c r="BU673" s="693">
        <f>SUMIFS(Imput[[Importe Neto]:[Importe Neto]],Imput[[C. Imp.]:[C. Imp.]],$D673,Imput[[PERIODO Imp.]:[PERIODO Imp.]],BU$9)</f>
        <v>0</v>
      </c>
      <c r="BV673" s="693">
        <f>SUMIFS(Imput[[Importe Neto]:[Importe Neto]],Imput[[C. Imp.]:[C. Imp.]],$D673,Imput[[PERIODO Imp.]:[PERIODO Imp.]],BV$9)</f>
        <v>0</v>
      </c>
      <c r="BW673" s="693">
        <f>SUMIFS(Imput[[Importe Neto]:[Importe Neto]],Imput[[C. Imp.]:[C. Imp.]],$D673,Imput[[PERIODO Imp.]:[PERIODO Imp.]],BW$9)</f>
        <v>0</v>
      </c>
      <c r="BX673" s="693">
        <f>SUMIFS(Imput[[Importe Neto]:[Importe Neto]],Imput[[C. Imp.]:[C. Imp.]],$D673,Imput[[PERIODO Imp.]:[PERIODO Imp.]],BX$9)</f>
        <v>0</v>
      </c>
      <c r="BY673" s="693">
        <f>SUMIFS(Imput[[Importe Neto]:[Importe Neto]],Imput[[C. Imp.]:[C. Imp.]],$D673,Imput[[PERIODO Imp.]:[PERIODO Imp.]],BY$9)</f>
        <v>0</v>
      </c>
      <c r="BZ673" s="693">
        <f>SUMIFS(Imput[[Importe Neto]:[Importe Neto]],Imput[[C. Imp.]:[C. Imp.]],$D673,Imput[[PERIODO Imp.]:[PERIODO Imp.]],BZ$9)</f>
        <v>0</v>
      </c>
      <c r="CA673" s="693">
        <f>SUMIFS(Imput[[Importe Neto]:[Importe Neto]],Imput[[C. Imp.]:[C. Imp.]],$D673,Imput[[PERIODO Imp.]:[PERIODO Imp.]],CA$9)</f>
        <v>0</v>
      </c>
      <c r="CB673" s="693">
        <f>SUMIFS(Imput[[Importe Neto]:[Importe Neto]],Imput[[C. Imp.]:[C. Imp.]],$D673,Imput[[PERIODO Imp.]:[PERIODO Imp.]],CB$9)</f>
        <v>0</v>
      </c>
      <c r="CC673" s="693">
        <f>SUMIFS(Imput[[Importe Neto]:[Importe Neto]],Imput[[C. Imp.]:[C. Imp.]],$D673,Imput[[PERIODO Imp.]:[PERIODO Imp.]],CC$9)</f>
        <v>0</v>
      </c>
      <c r="CD673" s="693">
        <f>SUMIFS(Imput[[Importe Neto]:[Importe Neto]],Imput[[C. Imp.]:[C. Imp.]],$D673,Imput[[PERIODO Imp.]:[PERIODO Imp.]],CD$9)</f>
        <v>0</v>
      </c>
      <c r="CE673" s="693">
        <f>SUMIFS(Imput[[Importe Neto]:[Importe Neto]],Imput[[C. Imp.]:[C. Imp.]],$D673,Imput[[PERIODO Imp.]:[PERIODO Imp.]],CE$9)</f>
        <v>0</v>
      </c>
      <c r="CF673" s="693">
        <f>SUMIFS(Imput[[Importe Neto]:[Importe Neto]],Imput[[C. Imp.]:[C. Imp.]],$D673,Imput[[PERIODO Imp.]:[PERIODO Imp.]],CF$9)</f>
        <v>0</v>
      </c>
      <c r="CG673" s="693">
        <f>SUMIFS(Imput[[Importe Neto]:[Importe Neto]],Imput[[C. Imp.]:[C. Imp.]],$D673,Imput[[PERIODO Imp.]:[PERIODO Imp.]],CG$9)</f>
        <v>0</v>
      </c>
      <c r="CH673" s="693">
        <f>SUMIFS(Imput[[Importe Neto]:[Importe Neto]],Imput[[C. Imp.]:[C. Imp.]],$D673,Imput[[PERIODO Imp.]:[PERIODO Imp.]],CH$9)</f>
        <v>0</v>
      </c>
      <c r="CI673" s="693">
        <f>SUMIFS(Imput[[Importe Neto]:[Importe Neto]],Imput[[C. Imp.]:[C. Imp.]],$D673,Imput[[PERIODO Imp.]:[PERIODO Imp.]],CI$9)</f>
        <v>0</v>
      </c>
      <c r="CJ673" s="693">
        <f>SUMIFS(Imput[[Importe Neto]:[Importe Neto]],Imput[[C. Imp.]:[C. Imp.]],$D673,Imput[[PERIODO Imp.]:[PERIODO Imp.]],CJ$9)</f>
        <v>0</v>
      </c>
      <c r="CK673" s="693">
        <f>SUMIFS(Imput[[Importe Neto]:[Importe Neto]],Imput[[C. Imp.]:[C. Imp.]],$D673,Imput[[PERIODO Imp.]:[PERIODO Imp.]],CK$9)</f>
        <v>0</v>
      </c>
      <c r="CL673" s="693">
        <f>SUMIFS(Imput[[Importe Neto]:[Importe Neto]],Imput[[C. Imp.]:[C. Imp.]],$D673,Imput[[PERIODO Imp.]:[PERIODO Imp.]],CL$9)</f>
        <v>0</v>
      </c>
      <c r="CM673" s="693">
        <f>SUMIFS(Imput[[Importe Neto]:[Importe Neto]],Imput[[C. Imp.]:[C. Imp.]],$D673,Imput[[PERIODO Imp.]:[PERIODO Imp.]],CM$9)</f>
        <v>0</v>
      </c>
      <c r="CN673" s="693">
        <f>SUMIFS(Imput[[Importe Neto]:[Importe Neto]],Imput[[C. Imp.]:[C. Imp.]],$D673,Imput[[PERIODO Imp.]:[PERIODO Imp.]],CN$9)</f>
        <v>0</v>
      </c>
      <c r="CO673" s="693">
        <f>SUMIFS(Imput[[Importe Neto]:[Importe Neto]],Imput[[C. Imp.]:[C. Imp.]],$D673,Imput[[PERIODO Imp.]:[PERIODO Imp.]],CO$9)</f>
        <v>0</v>
      </c>
      <c r="CP673" s="693">
        <f>SUMIFS(Imput[[Importe Neto]:[Importe Neto]],Imput[[C. Imp.]:[C. Imp.]],$D673,Imput[[PERIODO Imp.]:[PERIODO Imp.]],CP$9)</f>
        <v>0</v>
      </c>
      <c r="CQ673" s="693">
        <f>SUMIFS(Imput[[Importe Neto]:[Importe Neto]],Imput[[C. Imp.]:[C. Imp.]],$D673,Imput[[PERIODO Imp.]:[PERIODO Imp.]],CQ$9)</f>
        <v>0</v>
      </c>
      <c r="CR673" s="693">
        <f>SUMIFS(Imput[[Importe Neto]:[Importe Neto]],Imput[[C. Imp.]:[C. Imp.]],$D673,Imput[[PERIODO Imp.]:[PERIODO Imp.]],CR$9)</f>
        <v>0</v>
      </c>
      <c r="CS673" s="693">
        <f>SUMIFS(Imput[[Importe Neto]:[Importe Neto]],Imput[[C. Imp.]:[C. Imp.]],$D673,Imput[[PERIODO Imp.]:[PERIODO Imp.]],CS$9)</f>
        <v>0</v>
      </c>
      <c r="CT673" s="693">
        <f>SUMIFS(Imput[[Importe Neto]:[Importe Neto]],Imput[[C. Imp.]:[C. Imp.]],$D673,Imput[[PERIODO Imp.]:[PERIODO Imp.]],CT$9)</f>
        <v>0</v>
      </c>
      <c r="CU673" s="693">
        <f>SUMIFS(Imput[[Importe Neto]:[Importe Neto]],Imput[[C. Imp.]:[C. Imp.]],$D673,Imput[[PERIODO Imp.]:[PERIODO Imp.]],CU$9)</f>
        <v>0</v>
      </c>
      <c r="CV673" s="693">
        <f>SUMIFS(Imput[[Importe Neto]:[Importe Neto]],Imput[[C. Imp.]:[C. Imp.]],$D673,Imput[[PERIODO Imp.]:[PERIODO Imp.]],CV$9)</f>
        <v>0</v>
      </c>
      <c r="CW673" s="693">
        <f>SUMIFS(Imput[[Importe Neto]:[Importe Neto]],Imput[[C. Imp.]:[C. Imp.]],$D673,Imput[[PERIODO Imp.]:[PERIODO Imp.]],CW$9)</f>
        <v>0</v>
      </c>
      <c r="CX673" s="693">
        <f>SUMIFS(Imput[[Importe Neto]:[Importe Neto]],Imput[[C. Imp.]:[C. Imp.]],$D673,Imput[[PERIODO Imp.]:[PERIODO Imp.]],CX$9)</f>
        <v>0</v>
      </c>
      <c r="CY673" s="693">
        <f>SUMIFS(Imput[[Importe Neto]:[Importe Neto]],Imput[[C. Imp.]:[C. Imp.]],$D673,Imput[[PERIODO Imp.]:[PERIODO Imp.]],CY$9)</f>
        <v>0</v>
      </c>
      <c r="CZ673" s="693">
        <f>SUMIFS(Imput[[Importe Neto]:[Importe Neto]],Imput[[C. Imp.]:[C. Imp.]],$D673,Imput[[PERIODO Imp.]:[PERIODO Imp.]],CZ$9)</f>
        <v>0</v>
      </c>
      <c r="DA673" s="693">
        <f>SUMIFS(Imput[[Importe Neto]:[Importe Neto]],Imput[[C. Imp.]:[C. Imp.]],$D673,Imput[[PERIODO Imp.]:[PERIODO Imp.]],DA$9)</f>
        <v>0</v>
      </c>
      <c r="DB673" s="693">
        <f>SUMIFS(Imput[[Importe Neto]:[Importe Neto]],Imput[[C. Imp.]:[C. Imp.]],$D673,Imput[[PERIODO Imp.]:[PERIODO Imp.]],DB$9)</f>
        <v>0</v>
      </c>
      <c r="DC673" s="693">
        <f>SUMIFS(Imput[[Importe Neto]:[Importe Neto]],Imput[[C. Imp.]:[C. Imp.]],$D673,Imput[[PERIODO Imp.]:[PERIODO Imp.]],DC$9)</f>
        <v>0</v>
      </c>
      <c r="DD673" s="693">
        <f>SUMIFS(Imput[[Importe Neto]:[Importe Neto]],Imput[[C. Imp.]:[C. Imp.]],$D673,Imput[[PERIODO Imp.]:[PERIODO Imp.]],DD$9)</f>
        <v>0</v>
      </c>
      <c r="DE673" s="693">
        <f>SUMIFS(Imput[[Importe Neto]:[Importe Neto]],Imput[[C. Imp.]:[C. Imp.]],$D673,Imput[[PERIODO Imp.]:[PERIODO Imp.]],DE$9)</f>
        <v>0</v>
      </c>
      <c r="DF673" s="693">
        <f>SUMIFS(Imput[[Importe Neto]:[Importe Neto]],Imput[[C. Imp.]:[C. Imp.]],$D673,Imput[[PERIODO Imp.]:[PERIODO Imp.]],DF$9)</f>
        <v>0</v>
      </c>
      <c r="DG673" s="693">
        <f>SUMIFS(Imput[[Importe Neto]:[Importe Neto]],Imput[[C. Imp.]:[C. Imp.]],$D673,Imput[[PERIODO Imp.]:[PERIODO Imp.]],DG$9)</f>
        <v>0</v>
      </c>
      <c r="DH673" s="694">
        <f>SUMIFS(Imput[[Importe Neto]:[Importe Neto]],Imput[[C. Imp.]:[C. Imp.]],$D673,Imput[[PERIODO Imp.]:[PERIODO Imp.]],DH$9)</f>
        <v>0</v>
      </c>
    </row>
    <row r="674" spans="1:112" s="649" customFormat="1" ht="14.4" hidden="1" outlineLevel="1" thickBot="1" x14ac:dyDescent="0.35">
      <c r="A674" s="652" t="str">
        <f t="shared" si="239"/>
        <v/>
      </c>
      <c r="B674" s="652"/>
      <c r="C674" s="685"/>
      <c r="D674" s="686" t="s">
        <v>2684</v>
      </c>
      <c r="E674" s="686"/>
      <c r="F674" s="720"/>
      <c r="G674" s="688"/>
      <c r="H674" s="689"/>
      <c r="I674" s="851" t="str">
        <f t="shared" si="240"/>
        <v/>
      </c>
      <c r="J674" s="850" t="str">
        <f t="shared" si="241"/>
        <v/>
      </c>
      <c r="K674" s="667"/>
      <c r="L674" s="858"/>
      <c r="M674" s="859"/>
      <c r="N674" s="859"/>
      <c r="O674" s="859"/>
      <c r="P674" s="859"/>
      <c r="Q674" s="859"/>
      <c r="R674" s="859"/>
      <c r="S674" s="859"/>
      <c r="T674" s="859"/>
      <c r="U674" s="859"/>
      <c r="V674" s="859"/>
      <c r="W674" s="859"/>
      <c r="X674" s="859"/>
      <c r="Y674" s="859"/>
      <c r="Z674" s="860"/>
      <c r="AA674" s="860"/>
      <c r="AB674" s="860"/>
      <c r="AC674" s="860"/>
      <c r="AD674" s="860"/>
      <c r="AE674" s="860"/>
      <c r="AF674" s="860"/>
      <c r="AG674" s="860"/>
      <c r="AH674" s="860"/>
      <c r="AI674" s="860"/>
      <c r="AJ674" s="860"/>
      <c r="AK674" s="860"/>
      <c r="AL674" s="860"/>
      <c r="AM674" s="860"/>
      <c r="AN674" s="860"/>
      <c r="AO674" s="860"/>
      <c r="AP674" s="860"/>
      <c r="AQ674" s="860"/>
      <c r="AR674" s="860"/>
      <c r="AS674" s="860"/>
      <c r="AT674" s="860"/>
      <c r="AU674" s="860"/>
      <c r="AV674" s="860"/>
      <c r="AW674" s="860"/>
      <c r="AX674" s="860"/>
      <c r="AY674" s="860"/>
      <c r="AZ674" s="860"/>
      <c r="BA674" s="860"/>
      <c r="BB674" s="860"/>
      <c r="BC674" s="860"/>
      <c r="BD674" s="860"/>
      <c r="BE674" s="860"/>
      <c r="BF674" s="860"/>
      <c r="BG674" s="860"/>
      <c r="BH674" s="668"/>
      <c r="BI674" s="667"/>
      <c r="BJ674" s="690">
        <f t="shared" si="242"/>
        <v>0</v>
      </c>
      <c r="BK674" s="691">
        <f t="shared" si="243"/>
        <v>0</v>
      </c>
      <c r="BL674" s="654"/>
      <c r="BM674" s="692">
        <f>SUMIFS(Imput[[Importe Neto]:[Importe Neto]],Imput[[C. Imp.]:[C. Imp.]],$D674,Imput[[PERIODO Imp.]:[PERIODO Imp.]],BM$9)</f>
        <v>0</v>
      </c>
      <c r="BN674" s="693">
        <f>SUMIFS(Imput[[Importe Neto]:[Importe Neto]],Imput[[C. Imp.]:[C. Imp.]],$D674,Imput[[PERIODO Imp.]:[PERIODO Imp.]],BN$9)</f>
        <v>0</v>
      </c>
      <c r="BO674" s="693">
        <f>SUMIFS(Imput[[Importe Neto]:[Importe Neto]],Imput[[C. Imp.]:[C. Imp.]],$D674,Imput[[PERIODO Imp.]:[PERIODO Imp.]],BO$9)</f>
        <v>0</v>
      </c>
      <c r="BP674" s="693">
        <f>SUMIFS(Imput[[Importe Neto]:[Importe Neto]],Imput[[C. Imp.]:[C. Imp.]],$D674,Imput[[PERIODO Imp.]:[PERIODO Imp.]],BP$9)</f>
        <v>0</v>
      </c>
      <c r="BQ674" s="693">
        <f>SUMIFS(Imput[[Importe Neto]:[Importe Neto]],Imput[[C. Imp.]:[C. Imp.]],$D674,Imput[[PERIODO Imp.]:[PERIODO Imp.]],BQ$9)</f>
        <v>0</v>
      </c>
      <c r="BR674" s="693">
        <f>SUMIFS(Imput[[Importe Neto]:[Importe Neto]],Imput[[C. Imp.]:[C. Imp.]],$D674,Imput[[PERIODO Imp.]:[PERIODO Imp.]],BR$9)</f>
        <v>0</v>
      </c>
      <c r="BS674" s="693">
        <f>SUMIFS(Imput[[Importe Neto]:[Importe Neto]],Imput[[C. Imp.]:[C. Imp.]],$D674,Imput[[PERIODO Imp.]:[PERIODO Imp.]],BS$9)</f>
        <v>0</v>
      </c>
      <c r="BT674" s="693">
        <f>SUMIFS(Imput[[Importe Neto]:[Importe Neto]],Imput[[C. Imp.]:[C. Imp.]],$D674,Imput[[PERIODO Imp.]:[PERIODO Imp.]],BT$9)</f>
        <v>0</v>
      </c>
      <c r="BU674" s="693">
        <f>SUMIFS(Imput[[Importe Neto]:[Importe Neto]],Imput[[C. Imp.]:[C. Imp.]],$D674,Imput[[PERIODO Imp.]:[PERIODO Imp.]],BU$9)</f>
        <v>0</v>
      </c>
      <c r="BV674" s="693">
        <f>SUMIFS(Imput[[Importe Neto]:[Importe Neto]],Imput[[C. Imp.]:[C. Imp.]],$D674,Imput[[PERIODO Imp.]:[PERIODO Imp.]],BV$9)</f>
        <v>0</v>
      </c>
      <c r="BW674" s="693">
        <f>SUMIFS(Imput[[Importe Neto]:[Importe Neto]],Imput[[C. Imp.]:[C. Imp.]],$D674,Imput[[PERIODO Imp.]:[PERIODO Imp.]],BW$9)</f>
        <v>0</v>
      </c>
      <c r="BX674" s="693">
        <f>SUMIFS(Imput[[Importe Neto]:[Importe Neto]],Imput[[C. Imp.]:[C. Imp.]],$D674,Imput[[PERIODO Imp.]:[PERIODO Imp.]],BX$9)</f>
        <v>0</v>
      </c>
      <c r="BY674" s="693">
        <f>SUMIFS(Imput[[Importe Neto]:[Importe Neto]],Imput[[C. Imp.]:[C. Imp.]],$D674,Imput[[PERIODO Imp.]:[PERIODO Imp.]],BY$9)</f>
        <v>0</v>
      </c>
      <c r="BZ674" s="693">
        <f>SUMIFS(Imput[[Importe Neto]:[Importe Neto]],Imput[[C. Imp.]:[C. Imp.]],$D674,Imput[[PERIODO Imp.]:[PERIODO Imp.]],BZ$9)</f>
        <v>0</v>
      </c>
      <c r="CA674" s="693">
        <f>SUMIFS(Imput[[Importe Neto]:[Importe Neto]],Imput[[C. Imp.]:[C. Imp.]],$D674,Imput[[PERIODO Imp.]:[PERIODO Imp.]],CA$9)</f>
        <v>0</v>
      </c>
      <c r="CB674" s="693">
        <f>SUMIFS(Imput[[Importe Neto]:[Importe Neto]],Imput[[C. Imp.]:[C. Imp.]],$D674,Imput[[PERIODO Imp.]:[PERIODO Imp.]],CB$9)</f>
        <v>0</v>
      </c>
      <c r="CC674" s="693">
        <f>SUMIFS(Imput[[Importe Neto]:[Importe Neto]],Imput[[C. Imp.]:[C. Imp.]],$D674,Imput[[PERIODO Imp.]:[PERIODO Imp.]],CC$9)</f>
        <v>0</v>
      </c>
      <c r="CD674" s="693">
        <f>SUMIFS(Imput[[Importe Neto]:[Importe Neto]],Imput[[C. Imp.]:[C. Imp.]],$D674,Imput[[PERIODO Imp.]:[PERIODO Imp.]],CD$9)</f>
        <v>0</v>
      </c>
      <c r="CE674" s="693">
        <f>SUMIFS(Imput[[Importe Neto]:[Importe Neto]],Imput[[C. Imp.]:[C. Imp.]],$D674,Imput[[PERIODO Imp.]:[PERIODO Imp.]],CE$9)</f>
        <v>0</v>
      </c>
      <c r="CF674" s="693">
        <f>SUMIFS(Imput[[Importe Neto]:[Importe Neto]],Imput[[C. Imp.]:[C. Imp.]],$D674,Imput[[PERIODO Imp.]:[PERIODO Imp.]],CF$9)</f>
        <v>0</v>
      </c>
      <c r="CG674" s="693">
        <f>SUMIFS(Imput[[Importe Neto]:[Importe Neto]],Imput[[C. Imp.]:[C. Imp.]],$D674,Imput[[PERIODO Imp.]:[PERIODO Imp.]],CG$9)</f>
        <v>0</v>
      </c>
      <c r="CH674" s="693">
        <f>SUMIFS(Imput[[Importe Neto]:[Importe Neto]],Imput[[C. Imp.]:[C. Imp.]],$D674,Imput[[PERIODO Imp.]:[PERIODO Imp.]],CH$9)</f>
        <v>0</v>
      </c>
      <c r="CI674" s="693">
        <f>SUMIFS(Imput[[Importe Neto]:[Importe Neto]],Imput[[C. Imp.]:[C. Imp.]],$D674,Imput[[PERIODO Imp.]:[PERIODO Imp.]],CI$9)</f>
        <v>0</v>
      </c>
      <c r="CJ674" s="693">
        <f>SUMIFS(Imput[[Importe Neto]:[Importe Neto]],Imput[[C. Imp.]:[C. Imp.]],$D674,Imput[[PERIODO Imp.]:[PERIODO Imp.]],CJ$9)</f>
        <v>0</v>
      </c>
      <c r="CK674" s="693">
        <f>SUMIFS(Imput[[Importe Neto]:[Importe Neto]],Imput[[C. Imp.]:[C. Imp.]],$D674,Imput[[PERIODO Imp.]:[PERIODO Imp.]],CK$9)</f>
        <v>0</v>
      </c>
      <c r="CL674" s="693">
        <f>SUMIFS(Imput[[Importe Neto]:[Importe Neto]],Imput[[C. Imp.]:[C. Imp.]],$D674,Imput[[PERIODO Imp.]:[PERIODO Imp.]],CL$9)</f>
        <v>0</v>
      </c>
      <c r="CM674" s="693">
        <f>SUMIFS(Imput[[Importe Neto]:[Importe Neto]],Imput[[C. Imp.]:[C. Imp.]],$D674,Imput[[PERIODO Imp.]:[PERIODO Imp.]],CM$9)</f>
        <v>0</v>
      </c>
      <c r="CN674" s="693">
        <f>SUMIFS(Imput[[Importe Neto]:[Importe Neto]],Imput[[C. Imp.]:[C. Imp.]],$D674,Imput[[PERIODO Imp.]:[PERIODO Imp.]],CN$9)</f>
        <v>0</v>
      </c>
      <c r="CO674" s="693">
        <f>SUMIFS(Imput[[Importe Neto]:[Importe Neto]],Imput[[C. Imp.]:[C. Imp.]],$D674,Imput[[PERIODO Imp.]:[PERIODO Imp.]],CO$9)</f>
        <v>0</v>
      </c>
      <c r="CP674" s="693">
        <f>SUMIFS(Imput[[Importe Neto]:[Importe Neto]],Imput[[C. Imp.]:[C. Imp.]],$D674,Imput[[PERIODO Imp.]:[PERIODO Imp.]],CP$9)</f>
        <v>0</v>
      </c>
      <c r="CQ674" s="693">
        <f>SUMIFS(Imput[[Importe Neto]:[Importe Neto]],Imput[[C. Imp.]:[C. Imp.]],$D674,Imput[[PERIODO Imp.]:[PERIODO Imp.]],CQ$9)</f>
        <v>0</v>
      </c>
      <c r="CR674" s="693">
        <f>SUMIFS(Imput[[Importe Neto]:[Importe Neto]],Imput[[C. Imp.]:[C. Imp.]],$D674,Imput[[PERIODO Imp.]:[PERIODO Imp.]],CR$9)</f>
        <v>0</v>
      </c>
      <c r="CS674" s="693">
        <f>SUMIFS(Imput[[Importe Neto]:[Importe Neto]],Imput[[C. Imp.]:[C. Imp.]],$D674,Imput[[PERIODO Imp.]:[PERIODO Imp.]],CS$9)</f>
        <v>0</v>
      </c>
      <c r="CT674" s="693">
        <f>SUMIFS(Imput[[Importe Neto]:[Importe Neto]],Imput[[C. Imp.]:[C. Imp.]],$D674,Imput[[PERIODO Imp.]:[PERIODO Imp.]],CT$9)</f>
        <v>0</v>
      </c>
      <c r="CU674" s="693">
        <f>SUMIFS(Imput[[Importe Neto]:[Importe Neto]],Imput[[C. Imp.]:[C. Imp.]],$D674,Imput[[PERIODO Imp.]:[PERIODO Imp.]],CU$9)</f>
        <v>0</v>
      </c>
      <c r="CV674" s="693">
        <f>SUMIFS(Imput[[Importe Neto]:[Importe Neto]],Imput[[C. Imp.]:[C. Imp.]],$D674,Imput[[PERIODO Imp.]:[PERIODO Imp.]],CV$9)</f>
        <v>0</v>
      </c>
      <c r="CW674" s="693">
        <f>SUMIFS(Imput[[Importe Neto]:[Importe Neto]],Imput[[C. Imp.]:[C. Imp.]],$D674,Imput[[PERIODO Imp.]:[PERIODO Imp.]],CW$9)</f>
        <v>0</v>
      </c>
      <c r="CX674" s="693">
        <f>SUMIFS(Imput[[Importe Neto]:[Importe Neto]],Imput[[C. Imp.]:[C. Imp.]],$D674,Imput[[PERIODO Imp.]:[PERIODO Imp.]],CX$9)</f>
        <v>0</v>
      </c>
      <c r="CY674" s="693">
        <f>SUMIFS(Imput[[Importe Neto]:[Importe Neto]],Imput[[C. Imp.]:[C. Imp.]],$D674,Imput[[PERIODO Imp.]:[PERIODO Imp.]],CY$9)</f>
        <v>0</v>
      </c>
      <c r="CZ674" s="693">
        <f>SUMIFS(Imput[[Importe Neto]:[Importe Neto]],Imput[[C. Imp.]:[C. Imp.]],$D674,Imput[[PERIODO Imp.]:[PERIODO Imp.]],CZ$9)</f>
        <v>0</v>
      </c>
      <c r="DA674" s="693">
        <f>SUMIFS(Imput[[Importe Neto]:[Importe Neto]],Imput[[C. Imp.]:[C. Imp.]],$D674,Imput[[PERIODO Imp.]:[PERIODO Imp.]],DA$9)</f>
        <v>0</v>
      </c>
      <c r="DB674" s="693">
        <f>SUMIFS(Imput[[Importe Neto]:[Importe Neto]],Imput[[C. Imp.]:[C. Imp.]],$D674,Imput[[PERIODO Imp.]:[PERIODO Imp.]],DB$9)</f>
        <v>0</v>
      </c>
      <c r="DC674" s="693">
        <f>SUMIFS(Imput[[Importe Neto]:[Importe Neto]],Imput[[C. Imp.]:[C. Imp.]],$D674,Imput[[PERIODO Imp.]:[PERIODO Imp.]],DC$9)</f>
        <v>0</v>
      </c>
      <c r="DD674" s="693">
        <f>SUMIFS(Imput[[Importe Neto]:[Importe Neto]],Imput[[C. Imp.]:[C. Imp.]],$D674,Imput[[PERIODO Imp.]:[PERIODO Imp.]],DD$9)</f>
        <v>0</v>
      </c>
      <c r="DE674" s="693">
        <f>SUMIFS(Imput[[Importe Neto]:[Importe Neto]],Imput[[C. Imp.]:[C. Imp.]],$D674,Imput[[PERIODO Imp.]:[PERIODO Imp.]],DE$9)</f>
        <v>0</v>
      </c>
      <c r="DF674" s="693">
        <f>SUMIFS(Imput[[Importe Neto]:[Importe Neto]],Imput[[C. Imp.]:[C. Imp.]],$D674,Imput[[PERIODO Imp.]:[PERIODO Imp.]],DF$9)</f>
        <v>0</v>
      </c>
      <c r="DG674" s="693">
        <f>SUMIFS(Imput[[Importe Neto]:[Importe Neto]],Imput[[C. Imp.]:[C. Imp.]],$D674,Imput[[PERIODO Imp.]:[PERIODO Imp.]],DG$9)</f>
        <v>0</v>
      </c>
      <c r="DH674" s="694">
        <f>SUMIFS(Imput[[Importe Neto]:[Importe Neto]],Imput[[C. Imp.]:[C. Imp.]],$D674,Imput[[PERIODO Imp.]:[PERIODO Imp.]],DH$9)</f>
        <v>0</v>
      </c>
    </row>
    <row r="675" spans="1:112" s="649" customFormat="1" ht="14.4" hidden="1" outlineLevel="1" thickBot="1" x14ac:dyDescent="0.35">
      <c r="A675" s="652" t="str">
        <f t="shared" si="239"/>
        <v/>
      </c>
      <c r="B675" s="652"/>
      <c r="C675" s="685"/>
      <c r="D675" s="686" t="s">
        <v>2685</v>
      </c>
      <c r="E675" s="686"/>
      <c r="F675" s="720"/>
      <c r="G675" s="688"/>
      <c r="H675" s="689"/>
      <c r="I675" s="851" t="str">
        <f t="shared" si="240"/>
        <v/>
      </c>
      <c r="J675" s="850" t="str">
        <f t="shared" si="241"/>
        <v/>
      </c>
      <c r="K675" s="667"/>
      <c r="L675" s="858"/>
      <c r="M675" s="859"/>
      <c r="N675" s="859"/>
      <c r="O675" s="859"/>
      <c r="P675" s="859"/>
      <c r="Q675" s="859"/>
      <c r="R675" s="859"/>
      <c r="S675" s="859"/>
      <c r="T675" s="859"/>
      <c r="U675" s="859"/>
      <c r="V675" s="859"/>
      <c r="W675" s="859"/>
      <c r="X675" s="859"/>
      <c r="Y675" s="859"/>
      <c r="Z675" s="860"/>
      <c r="AA675" s="860"/>
      <c r="AB675" s="860"/>
      <c r="AC675" s="860"/>
      <c r="AD675" s="860"/>
      <c r="AE675" s="860"/>
      <c r="AF675" s="860"/>
      <c r="AG675" s="860"/>
      <c r="AH675" s="860"/>
      <c r="AI675" s="860"/>
      <c r="AJ675" s="860"/>
      <c r="AK675" s="860"/>
      <c r="AL675" s="860"/>
      <c r="AM675" s="860"/>
      <c r="AN675" s="860"/>
      <c r="AO675" s="860"/>
      <c r="AP675" s="860"/>
      <c r="AQ675" s="860"/>
      <c r="AR675" s="860"/>
      <c r="AS675" s="860"/>
      <c r="AT675" s="860"/>
      <c r="AU675" s="860"/>
      <c r="AV675" s="860"/>
      <c r="AW675" s="860"/>
      <c r="AX675" s="860"/>
      <c r="AY675" s="860"/>
      <c r="AZ675" s="860"/>
      <c r="BA675" s="860"/>
      <c r="BB675" s="860"/>
      <c r="BC675" s="860"/>
      <c r="BD675" s="860"/>
      <c r="BE675" s="860"/>
      <c r="BF675" s="860"/>
      <c r="BG675" s="860"/>
      <c r="BH675" s="668"/>
      <c r="BI675" s="667"/>
      <c r="BJ675" s="690">
        <f t="shared" si="242"/>
        <v>0</v>
      </c>
      <c r="BK675" s="691">
        <f t="shared" si="243"/>
        <v>0</v>
      </c>
      <c r="BL675" s="654"/>
      <c r="BM675" s="692">
        <f>SUMIFS(Imput[[Importe Neto]:[Importe Neto]],Imput[[C. Imp.]:[C. Imp.]],$D675,Imput[[PERIODO Imp.]:[PERIODO Imp.]],BM$9)</f>
        <v>0</v>
      </c>
      <c r="BN675" s="693">
        <f>SUMIFS(Imput[[Importe Neto]:[Importe Neto]],Imput[[C. Imp.]:[C. Imp.]],$D675,Imput[[PERIODO Imp.]:[PERIODO Imp.]],BN$9)</f>
        <v>0</v>
      </c>
      <c r="BO675" s="693">
        <f>SUMIFS(Imput[[Importe Neto]:[Importe Neto]],Imput[[C. Imp.]:[C. Imp.]],$D675,Imput[[PERIODO Imp.]:[PERIODO Imp.]],BO$9)</f>
        <v>0</v>
      </c>
      <c r="BP675" s="693">
        <f>SUMIFS(Imput[[Importe Neto]:[Importe Neto]],Imput[[C. Imp.]:[C. Imp.]],$D675,Imput[[PERIODO Imp.]:[PERIODO Imp.]],BP$9)</f>
        <v>0</v>
      </c>
      <c r="BQ675" s="693">
        <f>SUMIFS(Imput[[Importe Neto]:[Importe Neto]],Imput[[C. Imp.]:[C. Imp.]],$D675,Imput[[PERIODO Imp.]:[PERIODO Imp.]],BQ$9)</f>
        <v>0</v>
      </c>
      <c r="BR675" s="693">
        <f>SUMIFS(Imput[[Importe Neto]:[Importe Neto]],Imput[[C. Imp.]:[C. Imp.]],$D675,Imput[[PERIODO Imp.]:[PERIODO Imp.]],BR$9)</f>
        <v>0</v>
      </c>
      <c r="BS675" s="693">
        <f>SUMIFS(Imput[[Importe Neto]:[Importe Neto]],Imput[[C. Imp.]:[C. Imp.]],$D675,Imput[[PERIODO Imp.]:[PERIODO Imp.]],BS$9)</f>
        <v>0</v>
      </c>
      <c r="BT675" s="693">
        <f>SUMIFS(Imput[[Importe Neto]:[Importe Neto]],Imput[[C. Imp.]:[C. Imp.]],$D675,Imput[[PERIODO Imp.]:[PERIODO Imp.]],BT$9)</f>
        <v>0</v>
      </c>
      <c r="BU675" s="693">
        <f>SUMIFS(Imput[[Importe Neto]:[Importe Neto]],Imput[[C. Imp.]:[C. Imp.]],$D675,Imput[[PERIODO Imp.]:[PERIODO Imp.]],BU$9)</f>
        <v>0</v>
      </c>
      <c r="BV675" s="693">
        <f>SUMIFS(Imput[[Importe Neto]:[Importe Neto]],Imput[[C. Imp.]:[C. Imp.]],$D675,Imput[[PERIODO Imp.]:[PERIODO Imp.]],BV$9)</f>
        <v>0</v>
      </c>
      <c r="BW675" s="693">
        <f>SUMIFS(Imput[[Importe Neto]:[Importe Neto]],Imput[[C. Imp.]:[C. Imp.]],$D675,Imput[[PERIODO Imp.]:[PERIODO Imp.]],BW$9)</f>
        <v>0</v>
      </c>
      <c r="BX675" s="693">
        <f>SUMIFS(Imput[[Importe Neto]:[Importe Neto]],Imput[[C. Imp.]:[C. Imp.]],$D675,Imput[[PERIODO Imp.]:[PERIODO Imp.]],BX$9)</f>
        <v>0</v>
      </c>
      <c r="BY675" s="693">
        <f>SUMIFS(Imput[[Importe Neto]:[Importe Neto]],Imput[[C. Imp.]:[C. Imp.]],$D675,Imput[[PERIODO Imp.]:[PERIODO Imp.]],BY$9)</f>
        <v>0</v>
      </c>
      <c r="BZ675" s="693">
        <f>SUMIFS(Imput[[Importe Neto]:[Importe Neto]],Imput[[C. Imp.]:[C. Imp.]],$D675,Imput[[PERIODO Imp.]:[PERIODO Imp.]],BZ$9)</f>
        <v>0</v>
      </c>
      <c r="CA675" s="693">
        <f>SUMIFS(Imput[[Importe Neto]:[Importe Neto]],Imput[[C. Imp.]:[C. Imp.]],$D675,Imput[[PERIODO Imp.]:[PERIODO Imp.]],CA$9)</f>
        <v>0</v>
      </c>
      <c r="CB675" s="693">
        <f>SUMIFS(Imput[[Importe Neto]:[Importe Neto]],Imput[[C. Imp.]:[C. Imp.]],$D675,Imput[[PERIODO Imp.]:[PERIODO Imp.]],CB$9)</f>
        <v>0</v>
      </c>
      <c r="CC675" s="693">
        <f>SUMIFS(Imput[[Importe Neto]:[Importe Neto]],Imput[[C. Imp.]:[C. Imp.]],$D675,Imput[[PERIODO Imp.]:[PERIODO Imp.]],CC$9)</f>
        <v>0</v>
      </c>
      <c r="CD675" s="693">
        <f>SUMIFS(Imput[[Importe Neto]:[Importe Neto]],Imput[[C. Imp.]:[C. Imp.]],$D675,Imput[[PERIODO Imp.]:[PERIODO Imp.]],CD$9)</f>
        <v>0</v>
      </c>
      <c r="CE675" s="693">
        <f>SUMIFS(Imput[[Importe Neto]:[Importe Neto]],Imput[[C. Imp.]:[C. Imp.]],$D675,Imput[[PERIODO Imp.]:[PERIODO Imp.]],CE$9)</f>
        <v>0</v>
      </c>
      <c r="CF675" s="693">
        <f>SUMIFS(Imput[[Importe Neto]:[Importe Neto]],Imput[[C. Imp.]:[C. Imp.]],$D675,Imput[[PERIODO Imp.]:[PERIODO Imp.]],CF$9)</f>
        <v>0</v>
      </c>
      <c r="CG675" s="693">
        <f>SUMIFS(Imput[[Importe Neto]:[Importe Neto]],Imput[[C. Imp.]:[C. Imp.]],$D675,Imput[[PERIODO Imp.]:[PERIODO Imp.]],CG$9)</f>
        <v>0</v>
      </c>
      <c r="CH675" s="693">
        <f>SUMIFS(Imput[[Importe Neto]:[Importe Neto]],Imput[[C. Imp.]:[C. Imp.]],$D675,Imput[[PERIODO Imp.]:[PERIODO Imp.]],CH$9)</f>
        <v>0</v>
      </c>
      <c r="CI675" s="693">
        <f>SUMIFS(Imput[[Importe Neto]:[Importe Neto]],Imput[[C. Imp.]:[C. Imp.]],$D675,Imput[[PERIODO Imp.]:[PERIODO Imp.]],CI$9)</f>
        <v>0</v>
      </c>
      <c r="CJ675" s="693">
        <f>SUMIFS(Imput[[Importe Neto]:[Importe Neto]],Imput[[C. Imp.]:[C. Imp.]],$D675,Imput[[PERIODO Imp.]:[PERIODO Imp.]],CJ$9)</f>
        <v>0</v>
      </c>
      <c r="CK675" s="693">
        <f>SUMIFS(Imput[[Importe Neto]:[Importe Neto]],Imput[[C. Imp.]:[C. Imp.]],$D675,Imput[[PERIODO Imp.]:[PERIODO Imp.]],CK$9)</f>
        <v>0</v>
      </c>
      <c r="CL675" s="693">
        <f>SUMIFS(Imput[[Importe Neto]:[Importe Neto]],Imput[[C. Imp.]:[C. Imp.]],$D675,Imput[[PERIODO Imp.]:[PERIODO Imp.]],CL$9)</f>
        <v>0</v>
      </c>
      <c r="CM675" s="693">
        <f>SUMIFS(Imput[[Importe Neto]:[Importe Neto]],Imput[[C. Imp.]:[C. Imp.]],$D675,Imput[[PERIODO Imp.]:[PERIODO Imp.]],CM$9)</f>
        <v>0</v>
      </c>
      <c r="CN675" s="693">
        <f>SUMIFS(Imput[[Importe Neto]:[Importe Neto]],Imput[[C. Imp.]:[C. Imp.]],$D675,Imput[[PERIODO Imp.]:[PERIODO Imp.]],CN$9)</f>
        <v>0</v>
      </c>
      <c r="CO675" s="693">
        <f>SUMIFS(Imput[[Importe Neto]:[Importe Neto]],Imput[[C. Imp.]:[C. Imp.]],$D675,Imput[[PERIODO Imp.]:[PERIODO Imp.]],CO$9)</f>
        <v>0</v>
      </c>
      <c r="CP675" s="693">
        <f>SUMIFS(Imput[[Importe Neto]:[Importe Neto]],Imput[[C. Imp.]:[C. Imp.]],$D675,Imput[[PERIODO Imp.]:[PERIODO Imp.]],CP$9)</f>
        <v>0</v>
      </c>
      <c r="CQ675" s="693">
        <f>SUMIFS(Imput[[Importe Neto]:[Importe Neto]],Imput[[C. Imp.]:[C. Imp.]],$D675,Imput[[PERIODO Imp.]:[PERIODO Imp.]],CQ$9)</f>
        <v>0</v>
      </c>
      <c r="CR675" s="693">
        <f>SUMIFS(Imput[[Importe Neto]:[Importe Neto]],Imput[[C. Imp.]:[C. Imp.]],$D675,Imput[[PERIODO Imp.]:[PERIODO Imp.]],CR$9)</f>
        <v>0</v>
      </c>
      <c r="CS675" s="693">
        <f>SUMIFS(Imput[[Importe Neto]:[Importe Neto]],Imput[[C. Imp.]:[C. Imp.]],$D675,Imput[[PERIODO Imp.]:[PERIODO Imp.]],CS$9)</f>
        <v>0</v>
      </c>
      <c r="CT675" s="693">
        <f>SUMIFS(Imput[[Importe Neto]:[Importe Neto]],Imput[[C. Imp.]:[C. Imp.]],$D675,Imput[[PERIODO Imp.]:[PERIODO Imp.]],CT$9)</f>
        <v>0</v>
      </c>
      <c r="CU675" s="693">
        <f>SUMIFS(Imput[[Importe Neto]:[Importe Neto]],Imput[[C. Imp.]:[C. Imp.]],$D675,Imput[[PERIODO Imp.]:[PERIODO Imp.]],CU$9)</f>
        <v>0</v>
      </c>
      <c r="CV675" s="693">
        <f>SUMIFS(Imput[[Importe Neto]:[Importe Neto]],Imput[[C. Imp.]:[C. Imp.]],$D675,Imput[[PERIODO Imp.]:[PERIODO Imp.]],CV$9)</f>
        <v>0</v>
      </c>
      <c r="CW675" s="693">
        <f>SUMIFS(Imput[[Importe Neto]:[Importe Neto]],Imput[[C. Imp.]:[C. Imp.]],$D675,Imput[[PERIODO Imp.]:[PERIODO Imp.]],CW$9)</f>
        <v>0</v>
      </c>
      <c r="CX675" s="693">
        <f>SUMIFS(Imput[[Importe Neto]:[Importe Neto]],Imput[[C. Imp.]:[C. Imp.]],$D675,Imput[[PERIODO Imp.]:[PERIODO Imp.]],CX$9)</f>
        <v>0</v>
      </c>
      <c r="CY675" s="693">
        <f>SUMIFS(Imput[[Importe Neto]:[Importe Neto]],Imput[[C. Imp.]:[C. Imp.]],$D675,Imput[[PERIODO Imp.]:[PERIODO Imp.]],CY$9)</f>
        <v>0</v>
      </c>
      <c r="CZ675" s="693">
        <f>SUMIFS(Imput[[Importe Neto]:[Importe Neto]],Imput[[C. Imp.]:[C. Imp.]],$D675,Imput[[PERIODO Imp.]:[PERIODO Imp.]],CZ$9)</f>
        <v>0</v>
      </c>
      <c r="DA675" s="693">
        <f>SUMIFS(Imput[[Importe Neto]:[Importe Neto]],Imput[[C. Imp.]:[C. Imp.]],$D675,Imput[[PERIODO Imp.]:[PERIODO Imp.]],DA$9)</f>
        <v>0</v>
      </c>
      <c r="DB675" s="693">
        <f>SUMIFS(Imput[[Importe Neto]:[Importe Neto]],Imput[[C. Imp.]:[C. Imp.]],$D675,Imput[[PERIODO Imp.]:[PERIODO Imp.]],DB$9)</f>
        <v>0</v>
      </c>
      <c r="DC675" s="693">
        <f>SUMIFS(Imput[[Importe Neto]:[Importe Neto]],Imput[[C. Imp.]:[C. Imp.]],$D675,Imput[[PERIODO Imp.]:[PERIODO Imp.]],DC$9)</f>
        <v>0</v>
      </c>
      <c r="DD675" s="693">
        <f>SUMIFS(Imput[[Importe Neto]:[Importe Neto]],Imput[[C. Imp.]:[C. Imp.]],$D675,Imput[[PERIODO Imp.]:[PERIODO Imp.]],DD$9)</f>
        <v>0</v>
      </c>
      <c r="DE675" s="693">
        <f>SUMIFS(Imput[[Importe Neto]:[Importe Neto]],Imput[[C. Imp.]:[C. Imp.]],$D675,Imput[[PERIODO Imp.]:[PERIODO Imp.]],DE$9)</f>
        <v>0</v>
      </c>
      <c r="DF675" s="693">
        <f>SUMIFS(Imput[[Importe Neto]:[Importe Neto]],Imput[[C. Imp.]:[C. Imp.]],$D675,Imput[[PERIODO Imp.]:[PERIODO Imp.]],DF$9)</f>
        <v>0</v>
      </c>
      <c r="DG675" s="693">
        <f>SUMIFS(Imput[[Importe Neto]:[Importe Neto]],Imput[[C. Imp.]:[C. Imp.]],$D675,Imput[[PERIODO Imp.]:[PERIODO Imp.]],DG$9)</f>
        <v>0</v>
      </c>
      <c r="DH675" s="694">
        <f>SUMIFS(Imput[[Importe Neto]:[Importe Neto]],Imput[[C. Imp.]:[C. Imp.]],$D675,Imput[[PERIODO Imp.]:[PERIODO Imp.]],DH$9)</f>
        <v>0</v>
      </c>
    </row>
    <row r="676" spans="1:112" s="649" customFormat="1" ht="14.4" hidden="1" outlineLevel="1" thickBot="1" x14ac:dyDescent="0.35">
      <c r="A676" s="652" t="str">
        <f t="shared" si="239"/>
        <v/>
      </c>
      <c r="B676" s="652"/>
      <c r="C676" s="685"/>
      <c r="D676" s="686" t="s">
        <v>2686</v>
      </c>
      <c r="E676" s="686"/>
      <c r="F676" s="720"/>
      <c r="G676" s="688"/>
      <c r="H676" s="689"/>
      <c r="I676" s="851" t="str">
        <f t="shared" si="240"/>
        <v/>
      </c>
      <c r="J676" s="850" t="str">
        <f t="shared" si="241"/>
        <v/>
      </c>
      <c r="K676" s="667"/>
      <c r="L676" s="858"/>
      <c r="M676" s="859"/>
      <c r="N676" s="859"/>
      <c r="O676" s="859"/>
      <c r="P676" s="859"/>
      <c r="Q676" s="859"/>
      <c r="R676" s="859"/>
      <c r="S676" s="859"/>
      <c r="T676" s="859"/>
      <c r="U676" s="859"/>
      <c r="V676" s="859"/>
      <c r="W676" s="859"/>
      <c r="X676" s="859"/>
      <c r="Y676" s="859"/>
      <c r="Z676" s="860"/>
      <c r="AA676" s="860"/>
      <c r="AB676" s="860"/>
      <c r="AC676" s="860"/>
      <c r="AD676" s="860"/>
      <c r="AE676" s="860"/>
      <c r="AF676" s="860"/>
      <c r="AG676" s="860"/>
      <c r="AH676" s="860"/>
      <c r="AI676" s="860"/>
      <c r="AJ676" s="860"/>
      <c r="AK676" s="860"/>
      <c r="AL676" s="860"/>
      <c r="AM676" s="860"/>
      <c r="AN676" s="860"/>
      <c r="AO676" s="860"/>
      <c r="AP676" s="860"/>
      <c r="AQ676" s="860"/>
      <c r="AR676" s="860"/>
      <c r="AS676" s="860"/>
      <c r="AT676" s="860"/>
      <c r="AU676" s="860"/>
      <c r="AV676" s="860"/>
      <c r="AW676" s="860"/>
      <c r="AX676" s="860"/>
      <c r="AY676" s="860"/>
      <c r="AZ676" s="860"/>
      <c r="BA676" s="860"/>
      <c r="BB676" s="860"/>
      <c r="BC676" s="860"/>
      <c r="BD676" s="860"/>
      <c r="BE676" s="860"/>
      <c r="BF676" s="860"/>
      <c r="BG676" s="860"/>
      <c r="BH676" s="668"/>
      <c r="BI676" s="667"/>
      <c r="BJ676" s="690">
        <f t="shared" si="242"/>
        <v>0</v>
      </c>
      <c r="BK676" s="691">
        <f t="shared" si="243"/>
        <v>0</v>
      </c>
      <c r="BL676" s="654"/>
      <c r="BM676" s="692">
        <f>SUMIFS(Imput[[Importe Neto]:[Importe Neto]],Imput[[C. Imp.]:[C. Imp.]],$D676,Imput[[PERIODO Imp.]:[PERIODO Imp.]],BM$9)</f>
        <v>0</v>
      </c>
      <c r="BN676" s="693">
        <f>SUMIFS(Imput[[Importe Neto]:[Importe Neto]],Imput[[C. Imp.]:[C. Imp.]],$D676,Imput[[PERIODO Imp.]:[PERIODO Imp.]],BN$9)</f>
        <v>0</v>
      </c>
      <c r="BO676" s="693">
        <f>SUMIFS(Imput[[Importe Neto]:[Importe Neto]],Imput[[C. Imp.]:[C. Imp.]],$D676,Imput[[PERIODO Imp.]:[PERIODO Imp.]],BO$9)</f>
        <v>0</v>
      </c>
      <c r="BP676" s="693">
        <f>SUMIFS(Imput[[Importe Neto]:[Importe Neto]],Imput[[C. Imp.]:[C. Imp.]],$D676,Imput[[PERIODO Imp.]:[PERIODO Imp.]],BP$9)</f>
        <v>0</v>
      </c>
      <c r="BQ676" s="693">
        <f>SUMIFS(Imput[[Importe Neto]:[Importe Neto]],Imput[[C. Imp.]:[C. Imp.]],$D676,Imput[[PERIODO Imp.]:[PERIODO Imp.]],BQ$9)</f>
        <v>0</v>
      </c>
      <c r="BR676" s="693">
        <f>SUMIFS(Imput[[Importe Neto]:[Importe Neto]],Imput[[C. Imp.]:[C. Imp.]],$D676,Imput[[PERIODO Imp.]:[PERIODO Imp.]],BR$9)</f>
        <v>0</v>
      </c>
      <c r="BS676" s="693">
        <f>SUMIFS(Imput[[Importe Neto]:[Importe Neto]],Imput[[C. Imp.]:[C. Imp.]],$D676,Imput[[PERIODO Imp.]:[PERIODO Imp.]],BS$9)</f>
        <v>0</v>
      </c>
      <c r="BT676" s="693">
        <f>SUMIFS(Imput[[Importe Neto]:[Importe Neto]],Imput[[C. Imp.]:[C. Imp.]],$D676,Imput[[PERIODO Imp.]:[PERIODO Imp.]],BT$9)</f>
        <v>0</v>
      </c>
      <c r="BU676" s="693">
        <f>SUMIFS(Imput[[Importe Neto]:[Importe Neto]],Imput[[C. Imp.]:[C. Imp.]],$D676,Imput[[PERIODO Imp.]:[PERIODO Imp.]],BU$9)</f>
        <v>0</v>
      </c>
      <c r="BV676" s="693">
        <f>SUMIFS(Imput[[Importe Neto]:[Importe Neto]],Imput[[C. Imp.]:[C. Imp.]],$D676,Imput[[PERIODO Imp.]:[PERIODO Imp.]],BV$9)</f>
        <v>0</v>
      </c>
      <c r="BW676" s="693">
        <f>SUMIFS(Imput[[Importe Neto]:[Importe Neto]],Imput[[C. Imp.]:[C. Imp.]],$D676,Imput[[PERIODO Imp.]:[PERIODO Imp.]],BW$9)</f>
        <v>0</v>
      </c>
      <c r="BX676" s="693">
        <f>SUMIFS(Imput[[Importe Neto]:[Importe Neto]],Imput[[C. Imp.]:[C. Imp.]],$D676,Imput[[PERIODO Imp.]:[PERIODO Imp.]],BX$9)</f>
        <v>0</v>
      </c>
      <c r="BY676" s="693">
        <f>SUMIFS(Imput[[Importe Neto]:[Importe Neto]],Imput[[C. Imp.]:[C. Imp.]],$D676,Imput[[PERIODO Imp.]:[PERIODO Imp.]],BY$9)</f>
        <v>0</v>
      </c>
      <c r="BZ676" s="693">
        <f>SUMIFS(Imput[[Importe Neto]:[Importe Neto]],Imput[[C. Imp.]:[C. Imp.]],$D676,Imput[[PERIODO Imp.]:[PERIODO Imp.]],BZ$9)</f>
        <v>0</v>
      </c>
      <c r="CA676" s="693">
        <f>SUMIFS(Imput[[Importe Neto]:[Importe Neto]],Imput[[C. Imp.]:[C. Imp.]],$D676,Imput[[PERIODO Imp.]:[PERIODO Imp.]],CA$9)</f>
        <v>0</v>
      </c>
      <c r="CB676" s="693">
        <f>SUMIFS(Imput[[Importe Neto]:[Importe Neto]],Imput[[C. Imp.]:[C. Imp.]],$D676,Imput[[PERIODO Imp.]:[PERIODO Imp.]],CB$9)</f>
        <v>0</v>
      </c>
      <c r="CC676" s="693">
        <f>SUMIFS(Imput[[Importe Neto]:[Importe Neto]],Imput[[C. Imp.]:[C. Imp.]],$D676,Imput[[PERIODO Imp.]:[PERIODO Imp.]],CC$9)</f>
        <v>0</v>
      </c>
      <c r="CD676" s="693">
        <f>SUMIFS(Imput[[Importe Neto]:[Importe Neto]],Imput[[C. Imp.]:[C. Imp.]],$D676,Imput[[PERIODO Imp.]:[PERIODO Imp.]],CD$9)</f>
        <v>0</v>
      </c>
      <c r="CE676" s="693">
        <f>SUMIFS(Imput[[Importe Neto]:[Importe Neto]],Imput[[C. Imp.]:[C. Imp.]],$D676,Imput[[PERIODO Imp.]:[PERIODO Imp.]],CE$9)</f>
        <v>0</v>
      </c>
      <c r="CF676" s="693">
        <f>SUMIFS(Imput[[Importe Neto]:[Importe Neto]],Imput[[C. Imp.]:[C. Imp.]],$D676,Imput[[PERIODO Imp.]:[PERIODO Imp.]],CF$9)</f>
        <v>0</v>
      </c>
      <c r="CG676" s="693">
        <f>SUMIFS(Imput[[Importe Neto]:[Importe Neto]],Imput[[C. Imp.]:[C. Imp.]],$D676,Imput[[PERIODO Imp.]:[PERIODO Imp.]],CG$9)</f>
        <v>0</v>
      </c>
      <c r="CH676" s="693">
        <f>SUMIFS(Imput[[Importe Neto]:[Importe Neto]],Imput[[C. Imp.]:[C. Imp.]],$D676,Imput[[PERIODO Imp.]:[PERIODO Imp.]],CH$9)</f>
        <v>0</v>
      </c>
      <c r="CI676" s="693">
        <f>SUMIFS(Imput[[Importe Neto]:[Importe Neto]],Imput[[C. Imp.]:[C. Imp.]],$D676,Imput[[PERIODO Imp.]:[PERIODO Imp.]],CI$9)</f>
        <v>0</v>
      </c>
      <c r="CJ676" s="693">
        <f>SUMIFS(Imput[[Importe Neto]:[Importe Neto]],Imput[[C. Imp.]:[C. Imp.]],$D676,Imput[[PERIODO Imp.]:[PERIODO Imp.]],CJ$9)</f>
        <v>0</v>
      </c>
      <c r="CK676" s="693">
        <f>SUMIFS(Imput[[Importe Neto]:[Importe Neto]],Imput[[C. Imp.]:[C. Imp.]],$D676,Imput[[PERIODO Imp.]:[PERIODO Imp.]],CK$9)</f>
        <v>0</v>
      </c>
      <c r="CL676" s="693">
        <f>SUMIFS(Imput[[Importe Neto]:[Importe Neto]],Imput[[C. Imp.]:[C. Imp.]],$D676,Imput[[PERIODO Imp.]:[PERIODO Imp.]],CL$9)</f>
        <v>0</v>
      </c>
      <c r="CM676" s="693">
        <f>SUMIFS(Imput[[Importe Neto]:[Importe Neto]],Imput[[C. Imp.]:[C. Imp.]],$D676,Imput[[PERIODO Imp.]:[PERIODO Imp.]],CM$9)</f>
        <v>0</v>
      </c>
      <c r="CN676" s="693">
        <f>SUMIFS(Imput[[Importe Neto]:[Importe Neto]],Imput[[C. Imp.]:[C. Imp.]],$D676,Imput[[PERIODO Imp.]:[PERIODO Imp.]],CN$9)</f>
        <v>0</v>
      </c>
      <c r="CO676" s="693">
        <f>SUMIFS(Imput[[Importe Neto]:[Importe Neto]],Imput[[C. Imp.]:[C. Imp.]],$D676,Imput[[PERIODO Imp.]:[PERIODO Imp.]],CO$9)</f>
        <v>0</v>
      </c>
      <c r="CP676" s="693">
        <f>SUMIFS(Imput[[Importe Neto]:[Importe Neto]],Imput[[C. Imp.]:[C. Imp.]],$D676,Imput[[PERIODO Imp.]:[PERIODO Imp.]],CP$9)</f>
        <v>0</v>
      </c>
      <c r="CQ676" s="693">
        <f>SUMIFS(Imput[[Importe Neto]:[Importe Neto]],Imput[[C. Imp.]:[C. Imp.]],$D676,Imput[[PERIODO Imp.]:[PERIODO Imp.]],CQ$9)</f>
        <v>0</v>
      </c>
      <c r="CR676" s="693">
        <f>SUMIFS(Imput[[Importe Neto]:[Importe Neto]],Imput[[C. Imp.]:[C. Imp.]],$D676,Imput[[PERIODO Imp.]:[PERIODO Imp.]],CR$9)</f>
        <v>0</v>
      </c>
      <c r="CS676" s="693">
        <f>SUMIFS(Imput[[Importe Neto]:[Importe Neto]],Imput[[C. Imp.]:[C. Imp.]],$D676,Imput[[PERIODO Imp.]:[PERIODO Imp.]],CS$9)</f>
        <v>0</v>
      </c>
      <c r="CT676" s="693">
        <f>SUMIFS(Imput[[Importe Neto]:[Importe Neto]],Imput[[C. Imp.]:[C. Imp.]],$D676,Imput[[PERIODO Imp.]:[PERIODO Imp.]],CT$9)</f>
        <v>0</v>
      </c>
      <c r="CU676" s="693">
        <f>SUMIFS(Imput[[Importe Neto]:[Importe Neto]],Imput[[C. Imp.]:[C. Imp.]],$D676,Imput[[PERIODO Imp.]:[PERIODO Imp.]],CU$9)</f>
        <v>0</v>
      </c>
      <c r="CV676" s="693">
        <f>SUMIFS(Imput[[Importe Neto]:[Importe Neto]],Imput[[C. Imp.]:[C. Imp.]],$D676,Imput[[PERIODO Imp.]:[PERIODO Imp.]],CV$9)</f>
        <v>0</v>
      </c>
      <c r="CW676" s="693">
        <f>SUMIFS(Imput[[Importe Neto]:[Importe Neto]],Imput[[C. Imp.]:[C. Imp.]],$D676,Imput[[PERIODO Imp.]:[PERIODO Imp.]],CW$9)</f>
        <v>0</v>
      </c>
      <c r="CX676" s="693">
        <f>SUMIFS(Imput[[Importe Neto]:[Importe Neto]],Imput[[C. Imp.]:[C. Imp.]],$D676,Imput[[PERIODO Imp.]:[PERIODO Imp.]],CX$9)</f>
        <v>0</v>
      </c>
      <c r="CY676" s="693">
        <f>SUMIFS(Imput[[Importe Neto]:[Importe Neto]],Imput[[C. Imp.]:[C. Imp.]],$D676,Imput[[PERIODO Imp.]:[PERIODO Imp.]],CY$9)</f>
        <v>0</v>
      </c>
      <c r="CZ676" s="693">
        <f>SUMIFS(Imput[[Importe Neto]:[Importe Neto]],Imput[[C. Imp.]:[C. Imp.]],$D676,Imput[[PERIODO Imp.]:[PERIODO Imp.]],CZ$9)</f>
        <v>0</v>
      </c>
      <c r="DA676" s="693">
        <f>SUMIFS(Imput[[Importe Neto]:[Importe Neto]],Imput[[C. Imp.]:[C. Imp.]],$D676,Imput[[PERIODO Imp.]:[PERIODO Imp.]],DA$9)</f>
        <v>0</v>
      </c>
      <c r="DB676" s="693">
        <f>SUMIFS(Imput[[Importe Neto]:[Importe Neto]],Imput[[C. Imp.]:[C. Imp.]],$D676,Imput[[PERIODO Imp.]:[PERIODO Imp.]],DB$9)</f>
        <v>0</v>
      </c>
      <c r="DC676" s="693">
        <f>SUMIFS(Imput[[Importe Neto]:[Importe Neto]],Imput[[C. Imp.]:[C. Imp.]],$D676,Imput[[PERIODO Imp.]:[PERIODO Imp.]],DC$9)</f>
        <v>0</v>
      </c>
      <c r="DD676" s="693">
        <f>SUMIFS(Imput[[Importe Neto]:[Importe Neto]],Imput[[C. Imp.]:[C. Imp.]],$D676,Imput[[PERIODO Imp.]:[PERIODO Imp.]],DD$9)</f>
        <v>0</v>
      </c>
      <c r="DE676" s="693">
        <f>SUMIFS(Imput[[Importe Neto]:[Importe Neto]],Imput[[C. Imp.]:[C. Imp.]],$D676,Imput[[PERIODO Imp.]:[PERIODO Imp.]],DE$9)</f>
        <v>0</v>
      </c>
      <c r="DF676" s="693">
        <f>SUMIFS(Imput[[Importe Neto]:[Importe Neto]],Imput[[C. Imp.]:[C. Imp.]],$D676,Imput[[PERIODO Imp.]:[PERIODO Imp.]],DF$9)</f>
        <v>0</v>
      </c>
      <c r="DG676" s="693">
        <f>SUMIFS(Imput[[Importe Neto]:[Importe Neto]],Imput[[C. Imp.]:[C. Imp.]],$D676,Imput[[PERIODO Imp.]:[PERIODO Imp.]],DG$9)</f>
        <v>0</v>
      </c>
      <c r="DH676" s="694">
        <f>SUMIFS(Imput[[Importe Neto]:[Importe Neto]],Imput[[C. Imp.]:[C. Imp.]],$D676,Imput[[PERIODO Imp.]:[PERIODO Imp.]],DH$9)</f>
        <v>0</v>
      </c>
    </row>
    <row r="677" spans="1:112" s="649" customFormat="1" ht="14.4" hidden="1" outlineLevel="1" thickBot="1" x14ac:dyDescent="0.35">
      <c r="A677" s="652" t="str">
        <f t="shared" si="239"/>
        <v/>
      </c>
      <c r="B677" s="652"/>
      <c r="C677" s="685"/>
      <c r="D677" s="686" t="s">
        <v>2687</v>
      </c>
      <c r="E677" s="686"/>
      <c r="F677" s="720"/>
      <c r="G677" s="688"/>
      <c r="H677" s="689"/>
      <c r="I677" s="851" t="str">
        <f t="shared" si="240"/>
        <v/>
      </c>
      <c r="J677" s="850" t="str">
        <f t="shared" si="241"/>
        <v/>
      </c>
      <c r="K677" s="667"/>
      <c r="L677" s="858"/>
      <c r="M677" s="859"/>
      <c r="N677" s="859"/>
      <c r="O677" s="859"/>
      <c r="P677" s="859"/>
      <c r="Q677" s="859"/>
      <c r="R677" s="859"/>
      <c r="S677" s="859"/>
      <c r="T677" s="859"/>
      <c r="U677" s="859"/>
      <c r="V677" s="859"/>
      <c r="W677" s="859"/>
      <c r="X677" s="859"/>
      <c r="Y677" s="859"/>
      <c r="Z677" s="860"/>
      <c r="AA677" s="860"/>
      <c r="AB677" s="860"/>
      <c r="AC677" s="860"/>
      <c r="AD677" s="860"/>
      <c r="AE677" s="860"/>
      <c r="AF677" s="860"/>
      <c r="AG677" s="860"/>
      <c r="AH677" s="860"/>
      <c r="AI677" s="860"/>
      <c r="AJ677" s="860"/>
      <c r="AK677" s="860"/>
      <c r="AL677" s="860"/>
      <c r="AM677" s="860"/>
      <c r="AN677" s="860"/>
      <c r="AO677" s="860"/>
      <c r="AP677" s="860"/>
      <c r="AQ677" s="860"/>
      <c r="AR677" s="860"/>
      <c r="AS677" s="860"/>
      <c r="AT677" s="860"/>
      <c r="AU677" s="860"/>
      <c r="AV677" s="860"/>
      <c r="AW677" s="860"/>
      <c r="AX677" s="860"/>
      <c r="AY677" s="860"/>
      <c r="AZ677" s="860"/>
      <c r="BA677" s="860"/>
      <c r="BB677" s="860"/>
      <c r="BC677" s="860"/>
      <c r="BD677" s="860"/>
      <c r="BE677" s="860"/>
      <c r="BF677" s="860"/>
      <c r="BG677" s="860"/>
      <c r="BH677" s="668"/>
      <c r="BI677" s="667"/>
      <c r="BJ677" s="690">
        <f t="shared" si="242"/>
        <v>0</v>
      </c>
      <c r="BK677" s="691">
        <f t="shared" si="243"/>
        <v>0</v>
      </c>
      <c r="BL677" s="654"/>
      <c r="BM677" s="692">
        <f>SUMIFS(Imput[[Importe Neto]:[Importe Neto]],Imput[[C. Imp.]:[C. Imp.]],$D677,Imput[[PERIODO Imp.]:[PERIODO Imp.]],BM$9)</f>
        <v>0</v>
      </c>
      <c r="BN677" s="693">
        <f>SUMIFS(Imput[[Importe Neto]:[Importe Neto]],Imput[[C. Imp.]:[C. Imp.]],$D677,Imput[[PERIODO Imp.]:[PERIODO Imp.]],BN$9)</f>
        <v>0</v>
      </c>
      <c r="BO677" s="693">
        <f>SUMIFS(Imput[[Importe Neto]:[Importe Neto]],Imput[[C. Imp.]:[C. Imp.]],$D677,Imput[[PERIODO Imp.]:[PERIODO Imp.]],BO$9)</f>
        <v>0</v>
      </c>
      <c r="BP677" s="693">
        <f>SUMIFS(Imput[[Importe Neto]:[Importe Neto]],Imput[[C. Imp.]:[C. Imp.]],$D677,Imput[[PERIODO Imp.]:[PERIODO Imp.]],BP$9)</f>
        <v>0</v>
      </c>
      <c r="BQ677" s="693">
        <f>SUMIFS(Imput[[Importe Neto]:[Importe Neto]],Imput[[C. Imp.]:[C. Imp.]],$D677,Imput[[PERIODO Imp.]:[PERIODO Imp.]],BQ$9)</f>
        <v>0</v>
      </c>
      <c r="BR677" s="693">
        <f>SUMIFS(Imput[[Importe Neto]:[Importe Neto]],Imput[[C. Imp.]:[C. Imp.]],$D677,Imput[[PERIODO Imp.]:[PERIODO Imp.]],BR$9)</f>
        <v>0</v>
      </c>
      <c r="BS677" s="693">
        <f>SUMIFS(Imput[[Importe Neto]:[Importe Neto]],Imput[[C. Imp.]:[C. Imp.]],$D677,Imput[[PERIODO Imp.]:[PERIODO Imp.]],BS$9)</f>
        <v>0</v>
      </c>
      <c r="BT677" s="693">
        <f>SUMIFS(Imput[[Importe Neto]:[Importe Neto]],Imput[[C. Imp.]:[C. Imp.]],$D677,Imput[[PERIODO Imp.]:[PERIODO Imp.]],BT$9)</f>
        <v>0</v>
      </c>
      <c r="BU677" s="693">
        <f>SUMIFS(Imput[[Importe Neto]:[Importe Neto]],Imput[[C. Imp.]:[C. Imp.]],$D677,Imput[[PERIODO Imp.]:[PERIODO Imp.]],BU$9)</f>
        <v>0</v>
      </c>
      <c r="BV677" s="693">
        <f>SUMIFS(Imput[[Importe Neto]:[Importe Neto]],Imput[[C. Imp.]:[C. Imp.]],$D677,Imput[[PERIODO Imp.]:[PERIODO Imp.]],BV$9)</f>
        <v>0</v>
      </c>
      <c r="BW677" s="693">
        <f>SUMIFS(Imput[[Importe Neto]:[Importe Neto]],Imput[[C. Imp.]:[C. Imp.]],$D677,Imput[[PERIODO Imp.]:[PERIODO Imp.]],BW$9)</f>
        <v>0</v>
      </c>
      <c r="BX677" s="693">
        <f>SUMIFS(Imput[[Importe Neto]:[Importe Neto]],Imput[[C. Imp.]:[C. Imp.]],$D677,Imput[[PERIODO Imp.]:[PERIODO Imp.]],BX$9)</f>
        <v>0</v>
      </c>
      <c r="BY677" s="693">
        <f>SUMIFS(Imput[[Importe Neto]:[Importe Neto]],Imput[[C. Imp.]:[C. Imp.]],$D677,Imput[[PERIODO Imp.]:[PERIODO Imp.]],BY$9)</f>
        <v>0</v>
      </c>
      <c r="BZ677" s="693">
        <f>SUMIFS(Imput[[Importe Neto]:[Importe Neto]],Imput[[C. Imp.]:[C. Imp.]],$D677,Imput[[PERIODO Imp.]:[PERIODO Imp.]],BZ$9)</f>
        <v>0</v>
      </c>
      <c r="CA677" s="693">
        <f>SUMIFS(Imput[[Importe Neto]:[Importe Neto]],Imput[[C. Imp.]:[C. Imp.]],$D677,Imput[[PERIODO Imp.]:[PERIODO Imp.]],CA$9)</f>
        <v>0</v>
      </c>
      <c r="CB677" s="693">
        <f>SUMIFS(Imput[[Importe Neto]:[Importe Neto]],Imput[[C. Imp.]:[C. Imp.]],$D677,Imput[[PERIODO Imp.]:[PERIODO Imp.]],CB$9)</f>
        <v>0</v>
      </c>
      <c r="CC677" s="693">
        <f>SUMIFS(Imput[[Importe Neto]:[Importe Neto]],Imput[[C. Imp.]:[C. Imp.]],$D677,Imput[[PERIODO Imp.]:[PERIODO Imp.]],CC$9)</f>
        <v>0</v>
      </c>
      <c r="CD677" s="693">
        <f>SUMIFS(Imput[[Importe Neto]:[Importe Neto]],Imput[[C. Imp.]:[C. Imp.]],$D677,Imput[[PERIODO Imp.]:[PERIODO Imp.]],CD$9)</f>
        <v>0</v>
      </c>
      <c r="CE677" s="693">
        <f>SUMIFS(Imput[[Importe Neto]:[Importe Neto]],Imput[[C. Imp.]:[C. Imp.]],$D677,Imput[[PERIODO Imp.]:[PERIODO Imp.]],CE$9)</f>
        <v>0</v>
      </c>
      <c r="CF677" s="693">
        <f>SUMIFS(Imput[[Importe Neto]:[Importe Neto]],Imput[[C. Imp.]:[C. Imp.]],$D677,Imput[[PERIODO Imp.]:[PERIODO Imp.]],CF$9)</f>
        <v>0</v>
      </c>
      <c r="CG677" s="693">
        <f>SUMIFS(Imput[[Importe Neto]:[Importe Neto]],Imput[[C. Imp.]:[C. Imp.]],$D677,Imput[[PERIODO Imp.]:[PERIODO Imp.]],CG$9)</f>
        <v>0</v>
      </c>
      <c r="CH677" s="693">
        <f>SUMIFS(Imput[[Importe Neto]:[Importe Neto]],Imput[[C. Imp.]:[C. Imp.]],$D677,Imput[[PERIODO Imp.]:[PERIODO Imp.]],CH$9)</f>
        <v>0</v>
      </c>
      <c r="CI677" s="693">
        <f>SUMIFS(Imput[[Importe Neto]:[Importe Neto]],Imput[[C. Imp.]:[C. Imp.]],$D677,Imput[[PERIODO Imp.]:[PERIODO Imp.]],CI$9)</f>
        <v>0</v>
      </c>
      <c r="CJ677" s="693">
        <f>SUMIFS(Imput[[Importe Neto]:[Importe Neto]],Imput[[C. Imp.]:[C. Imp.]],$D677,Imput[[PERIODO Imp.]:[PERIODO Imp.]],CJ$9)</f>
        <v>0</v>
      </c>
      <c r="CK677" s="693">
        <f>SUMIFS(Imput[[Importe Neto]:[Importe Neto]],Imput[[C. Imp.]:[C. Imp.]],$D677,Imput[[PERIODO Imp.]:[PERIODO Imp.]],CK$9)</f>
        <v>0</v>
      </c>
      <c r="CL677" s="693">
        <f>SUMIFS(Imput[[Importe Neto]:[Importe Neto]],Imput[[C. Imp.]:[C. Imp.]],$D677,Imput[[PERIODO Imp.]:[PERIODO Imp.]],CL$9)</f>
        <v>0</v>
      </c>
      <c r="CM677" s="693">
        <f>SUMIFS(Imput[[Importe Neto]:[Importe Neto]],Imput[[C. Imp.]:[C. Imp.]],$D677,Imput[[PERIODO Imp.]:[PERIODO Imp.]],CM$9)</f>
        <v>0</v>
      </c>
      <c r="CN677" s="693">
        <f>SUMIFS(Imput[[Importe Neto]:[Importe Neto]],Imput[[C. Imp.]:[C. Imp.]],$D677,Imput[[PERIODO Imp.]:[PERIODO Imp.]],CN$9)</f>
        <v>0</v>
      </c>
      <c r="CO677" s="693">
        <f>SUMIFS(Imput[[Importe Neto]:[Importe Neto]],Imput[[C. Imp.]:[C. Imp.]],$D677,Imput[[PERIODO Imp.]:[PERIODO Imp.]],CO$9)</f>
        <v>0</v>
      </c>
      <c r="CP677" s="693">
        <f>SUMIFS(Imput[[Importe Neto]:[Importe Neto]],Imput[[C. Imp.]:[C. Imp.]],$D677,Imput[[PERIODO Imp.]:[PERIODO Imp.]],CP$9)</f>
        <v>0</v>
      </c>
      <c r="CQ677" s="693">
        <f>SUMIFS(Imput[[Importe Neto]:[Importe Neto]],Imput[[C. Imp.]:[C. Imp.]],$D677,Imput[[PERIODO Imp.]:[PERIODO Imp.]],CQ$9)</f>
        <v>0</v>
      </c>
      <c r="CR677" s="693">
        <f>SUMIFS(Imput[[Importe Neto]:[Importe Neto]],Imput[[C. Imp.]:[C. Imp.]],$D677,Imput[[PERIODO Imp.]:[PERIODO Imp.]],CR$9)</f>
        <v>0</v>
      </c>
      <c r="CS677" s="693">
        <f>SUMIFS(Imput[[Importe Neto]:[Importe Neto]],Imput[[C. Imp.]:[C. Imp.]],$D677,Imput[[PERIODO Imp.]:[PERIODO Imp.]],CS$9)</f>
        <v>0</v>
      </c>
      <c r="CT677" s="693">
        <f>SUMIFS(Imput[[Importe Neto]:[Importe Neto]],Imput[[C. Imp.]:[C. Imp.]],$D677,Imput[[PERIODO Imp.]:[PERIODO Imp.]],CT$9)</f>
        <v>0</v>
      </c>
      <c r="CU677" s="693">
        <f>SUMIFS(Imput[[Importe Neto]:[Importe Neto]],Imput[[C. Imp.]:[C. Imp.]],$D677,Imput[[PERIODO Imp.]:[PERIODO Imp.]],CU$9)</f>
        <v>0</v>
      </c>
      <c r="CV677" s="693">
        <f>SUMIFS(Imput[[Importe Neto]:[Importe Neto]],Imput[[C. Imp.]:[C. Imp.]],$D677,Imput[[PERIODO Imp.]:[PERIODO Imp.]],CV$9)</f>
        <v>0</v>
      </c>
      <c r="CW677" s="693">
        <f>SUMIFS(Imput[[Importe Neto]:[Importe Neto]],Imput[[C. Imp.]:[C. Imp.]],$D677,Imput[[PERIODO Imp.]:[PERIODO Imp.]],CW$9)</f>
        <v>0</v>
      </c>
      <c r="CX677" s="693">
        <f>SUMIFS(Imput[[Importe Neto]:[Importe Neto]],Imput[[C. Imp.]:[C. Imp.]],$D677,Imput[[PERIODO Imp.]:[PERIODO Imp.]],CX$9)</f>
        <v>0</v>
      </c>
      <c r="CY677" s="693">
        <f>SUMIFS(Imput[[Importe Neto]:[Importe Neto]],Imput[[C. Imp.]:[C. Imp.]],$D677,Imput[[PERIODO Imp.]:[PERIODO Imp.]],CY$9)</f>
        <v>0</v>
      </c>
      <c r="CZ677" s="693">
        <f>SUMIFS(Imput[[Importe Neto]:[Importe Neto]],Imput[[C. Imp.]:[C. Imp.]],$D677,Imput[[PERIODO Imp.]:[PERIODO Imp.]],CZ$9)</f>
        <v>0</v>
      </c>
      <c r="DA677" s="693">
        <f>SUMIFS(Imput[[Importe Neto]:[Importe Neto]],Imput[[C. Imp.]:[C. Imp.]],$D677,Imput[[PERIODO Imp.]:[PERIODO Imp.]],DA$9)</f>
        <v>0</v>
      </c>
      <c r="DB677" s="693">
        <f>SUMIFS(Imput[[Importe Neto]:[Importe Neto]],Imput[[C. Imp.]:[C. Imp.]],$D677,Imput[[PERIODO Imp.]:[PERIODO Imp.]],DB$9)</f>
        <v>0</v>
      </c>
      <c r="DC677" s="693">
        <f>SUMIFS(Imput[[Importe Neto]:[Importe Neto]],Imput[[C. Imp.]:[C. Imp.]],$D677,Imput[[PERIODO Imp.]:[PERIODO Imp.]],DC$9)</f>
        <v>0</v>
      </c>
      <c r="DD677" s="693">
        <f>SUMIFS(Imput[[Importe Neto]:[Importe Neto]],Imput[[C. Imp.]:[C. Imp.]],$D677,Imput[[PERIODO Imp.]:[PERIODO Imp.]],DD$9)</f>
        <v>0</v>
      </c>
      <c r="DE677" s="693">
        <f>SUMIFS(Imput[[Importe Neto]:[Importe Neto]],Imput[[C. Imp.]:[C. Imp.]],$D677,Imput[[PERIODO Imp.]:[PERIODO Imp.]],DE$9)</f>
        <v>0</v>
      </c>
      <c r="DF677" s="693">
        <f>SUMIFS(Imput[[Importe Neto]:[Importe Neto]],Imput[[C. Imp.]:[C. Imp.]],$D677,Imput[[PERIODO Imp.]:[PERIODO Imp.]],DF$9)</f>
        <v>0</v>
      </c>
      <c r="DG677" s="693">
        <f>SUMIFS(Imput[[Importe Neto]:[Importe Neto]],Imput[[C. Imp.]:[C. Imp.]],$D677,Imput[[PERIODO Imp.]:[PERIODO Imp.]],DG$9)</f>
        <v>0</v>
      </c>
      <c r="DH677" s="694">
        <f>SUMIFS(Imput[[Importe Neto]:[Importe Neto]],Imput[[C. Imp.]:[C. Imp.]],$D677,Imput[[PERIODO Imp.]:[PERIODO Imp.]],DH$9)</f>
        <v>0</v>
      </c>
    </row>
    <row r="678" spans="1:112" s="649" customFormat="1" ht="14.4" hidden="1" outlineLevel="1" thickBot="1" x14ac:dyDescent="0.35">
      <c r="A678" s="652" t="str">
        <f t="shared" si="239"/>
        <v/>
      </c>
      <c r="B678" s="652"/>
      <c r="C678" s="685"/>
      <c r="D678" s="686" t="s">
        <v>2688</v>
      </c>
      <c r="E678" s="686"/>
      <c r="F678" s="720"/>
      <c r="G678" s="688"/>
      <c r="H678" s="689"/>
      <c r="I678" s="851" t="str">
        <f t="shared" si="240"/>
        <v/>
      </c>
      <c r="J678" s="850" t="str">
        <f t="shared" si="241"/>
        <v/>
      </c>
      <c r="K678" s="667"/>
      <c r="L678" s="858"/>
      <c r="M678" s="859"/>
      <c r="N678" s="859"/>
      <c r="O678" s="859"/>
      <c r="P678" s="859"/>
      <c r="Q678" s="859"/>
      <c r="R678" s="859"/>
      <c r="S678" s="859"/>
      <c r="T678" s="859"/>
      <c r="U678" s="859"/>
      <c r="V678" s="859"/>
      <c r="W678" s="859"/>
      <c r="X678" s="859"/>
      <c r="Y678" s="859"/>
      <c r="Z678" s="860"/>
      <c r="AA678" s="860"/>
      <c r="AB678" s="860"/>
      <c r="AC678" s="860"/>
      <c r="AD678" s="860"/>
      <c r="AE678" s="860"/>
      <c r="AF678" s="860"/>
      <c r="AG678" s="860"/>
      <c r="AH678" s="860"/>
      <c r="AI678" s="860"/>
      <c r="AJ678" s="860"/>
      <c r="AK678" s="860"/>
      <c r="AL678" s="860"/>
      <c r="AM678" s="860"/>
      <c r="AN678" s="860"/>
      <c r="AO678" s="860"/>
      <c r="AP678" s="860"/>
      <c r="AQ678" s="860"/>
      <c r="AR678" s="860"/>
      <c r="AS678" s="860"/>
      <c r="AT678" s="860"/>
      <c r="AU678" s="860"/>
      <c r="AV678" s="860"/>
      <c r="AW678" s="860"/>
      <c r="AX678" s="860"/>
      <c r="AY678" s="860"/>
      <c r="AZ678" s="860"/>
      <c r="BA678" s="860"/>
      <c r="BB678" s="860"/>
      <c r="BC678" s="860"/>
      <c r="BD678" s="860"/>
      <c r="BE678" s="860"/>
      <c r="BF678" s="860"/>
      <c r="BG678" s="860"/>
      <c r="BH678" s="668"/>
      <c r="BI678" s="667"/>
      <c r="BJ678" s="690">
        <f t="shared" si="242"/>
        <v>0</v>
      </c>
      <c r="BK678" s="691">
        <f t="shared" si="243"/>
        <v>0</v>
      </c>
      <c r="BL678" s="654"/>
      <c r="BM678" s="692">
        <f>SUMIFS(Imput[[Importe Neto]:[Importe Neto]],Imput[[C. Imp.]:[C. Imp.]],$D678,Imput[[PERIODO Imp.]:[PERIODO Imp.]],BM$9)</f>
        <v>0</v>
      </c>
      <c r="BN678" s="693">
        <f>SUMIFS(Imput[[Importe Neto]:[Importe Neto]],Imput[[C. Imp.]:[C. Imp.]],$D678,Imput[[PERIODO Imp.]:[PERIODO Imp.]],BN$9)</f>
        <v>0</v>
      </c>
      <c r="BO678" s="693">
        <f>SUMIFS(Imput[[Importe Neto]:[Importe Neto]],Imput[[C. Imp.]:[C. Imp.]],$D678,Imput[[PERIODO Imp.]:[PERIODO Imp.]],BO$9)</f>
        <v>0</v>
      </c>
      <c r="BP678" s="693">
        <f>SUMIFS(Imput[[Importe Neto]:[Importe Neto]],Imput[[C. Imp.]:[C. Imp.]],$D678,Imput[[PERIODO Imp.]:[PERIODO Imp.]],BP$9)</f>
        <v>0</v>
      </c>
      <c r="BQ678" s="693">
        <f>SUMIFS(Imput[[Importe Neto]:[Importe Neto]],Imput[[C. Imp.]:[C. Imp.]],$D678,Imput[[PERIODO Imp.]:[PERIODO Imp.]],BQ$9)</f>
        <v>0</v>
      </c>
      <c r="BR678" s="693">
        <f>SUMIFS(Imput[[Importe Neto]:[Importe Neto]],Imput[[C. Imp.]:[C. Imp.]],$D678,Imput[[PERIODO Imp.]:[PERIODO Imp.]],BR$9)</f>
        <v>0</v>
      </c>
      <c r="BS678" s="693">
        <f>SUMIFS(Imput[[Importe Neto]:[Importe Neto]],Imput[[C. Imp.]:[C. Imp.]],$D678,Imput[[PERIODO Imp.]:[PERIODO Imp.]],BS$9)</f>
        <v>0</v>
      </c>
      <c r="BT678" s="693">
        <f>SUMIFS(Imput[[Importe Neto]:[Importe Neto]],Imput[[C. Imp.]:[C. Imp.]],$D678,Imput[[PERIODO Imp.]:[PERIODO Imp.]],BT$9)</f>
        <v>0</v>
      </c>
      <c r="BU678" s="693">
        <f>SUMIFS(Imput[[Importe Neto]:[Importe Neto]],Imput[[C. Imp.]:[C. Imp.]],$D678,Imput[[PERIODO Imp.]:[PERIODO Imp.]],BU$9)</f>
        <v>0</v>
      </c>
      <c r="BV678" s="693">
        <f>SUMIFS(Imput[[Importe Neto]:[Importe Neto]],Imput[[C. Imp.]:[C. Imp.]],$D678,Imput[[PERIODO Imp.]:[PERIODO Imp.]],BV$9)</f>
        <v>0</v>
      </c>
      <c r="BW678" s="693">
        <f>SUMIFS(Imput[[Importe Neto]:[Importe Neto]],Imput[[C. Imp.]:[C. Imp.]],$D678,Imput[[PERIODO Imp.]:[PERIODO Imp.]],BW$9)</f>
        <v>0</v>
      </c>
      <c r="BX678" s="693">
        <f>SUMIFS(Imput[[Importe Neto]:[Importe Neto]],Imput[[C. Imp.]:[C. Imp.]],$D678,Imput[[PERIODO Imp.]:[PERIODO Imp.]],BX$9)</f>
        <v>0</v>
      </c>
      <c r="BY678" s="693">
        <f>SUMIFS(Imput[[Importe Neto]:[Importe Neto]],Imput[[C. Imp.]:[C. Imp.]],$D678,Imput[[PERIODO Imp.]:[PERIODO Imp.]],BY$9)</f>
        <v>0</v>
      </c>
      <c r="BZ678" s="693">
        <f>SUMIFS(Imput[[Importe Neto]:[Importe Neto]],Imput[[C. Imp.]:[C. Imp.]],$D678,Imput[[PERIODO Imp.]:[PERIODO Imp.]],BZ$9)</f>
        <v>0</v>
      </c>
      <c r="CA678" s="693">
        <f>SUMIFS(Imput[[Importe Neto]:[Importe Neto]],Imput[[C. Imp.]:[C. Imp.]],$D678,Imput[[PERIODO Imp.]:[PERIODO Imp.]],CA$9)</f>
        <v>0</v>
      </c>
      <c r="CB678" s="693">
        <f>SUMIFS(Imput[[Importe Neto]:[Importe Neto]],Imput[[C. Imp.]:[C. Imp.]],$D678,Imput[[PERIODO Imp.]:[PERIODO Imp.]],CB$9)</f>
        <v>0</v>
      </c>
      <c r="CC678" s="693">
        <f>SUMIFS(Imput[[Importe Neto]:[Importe Neto]],Imput[[C. Imp.]:[C. Imp.]],$D678,Imput[[PERIODO Imp.]:[PERIODO Imp.]],CC$9)</f>
        <v>0</v>
      </c>
      <c r="CD678" s="693">
        <f>SUMIFS(Imput[[Importe Neto]:[Importe Neto]],Imput[[C. Imp.]:[C. Imp.]],$D678,Imput[[PERIODO Imp.]:[PERIODO Imp.]],CD$9)</f>
        <v>0</v>
      </c>
      <c r="CE678" s="693">
        <f>SUMIFS(Imput[[Importe Neto]:[Importe Neto]],Imput[[C. Imp.]:[C. Imp.]],$D678,Imput[[PERIODO Imp.]:[PERIODO Imp.]],CE$9)</f>
        <v>0</v>
      </c>
      <c r="CF678" s="693">
        <f>SUMIFS(Imput[[Importe Neto]:[Importe Neto]],Imput[[C. Imp.]:[C. Imp.]],$D678,Imput[[PERIODO Imp.]:[PERIODO Imp.]],CF$9)</f>
        <v>0</v>
      </c>
      <c r="CG678" s="693">
        <f>SUMIFS(Imput[[Importe Neto]:[Importe Neto]],Imput[[C. Imp.]:[C. Imp.]],$D678,Imput[[PERIODO Imp.]:[PERIODO Imp.]],CG$9)</f>
        <v>0</v>
      </c>
      <c r="CH678" s="693">
        <f>SUMIFS(Imput[[Importe Neto]:[Importe Neto]],Imput[[C. Imp.]:[C. Imp.]],$D678,Imput[[PERIODO Imp.]:[PERIODO Imp.]],CH$9)</f>
        <v>0</v>
      </c>
      <c r="CI678" s="693">
        <f>SUMIFS(Imput[[Importe Neto]:[Importe Neto]],Imput[[C. Imp.]:[C. Imp.]],$D678,Imput[[PERIODO Imp.]:[PERIODO Imp.]],CI$9)</f>
        <v>0</v>
      </c>
      <c r="CJ678" s="693">
        <f>SUMIFS(Imput[[Importe Neto]:[Importe Neto]],Imput[[C. Imp.]:[C. Imp.]],$D678,Imput[[PERIODO Imp.]:[PERIODO Imp.]],CJ$9)</f>
        <v>0</v>
      </c>
      <c r="CK678" s="693">
        <f>SUMIFS(Imput[[Importe Neto]:[Importe Neto]],Imput[[C. Imp.]:[C. Imp.]],$D678,Imput[[PERIODO Imp.]:[PERIODO Imp.]],CK$9)</f>
        <v>0</v>
      </c>
      <c r="CL678" s="693">
        <f>SUMIFS(Imput[[Importe Neto]:[Importe Neto]],Imput[[C. Imp.]:[C. Imp.]],$D678,Imput[[PERIODO Imp.]:[PERIODO Imp.]],CL$9)</f>
        <v>0</v>
      </c>
      <c r="CM678" s="693">
        <f>SUMIFS(Imput[[Importe Neto]:[Importe Neto]],Imput[[C. Imp.]:[C. Imp.]],$D678,Imput[[PERIODO Imp.]:[PERIODO Imp.]],CM$9)</f>
        <v>0</v>
      </c>
      <c r="CN678" s="693">
        <f>SUMIFS(Imput[[Importe Neto]:[Importe Neto]],Imput[[C. Imp.]:[C. Imp.]],$D678,Imput[[PERIODO Imp.]:[PERIODO Imp.]],CN$9)</f>
        <v>0</v>
      </c>
      <c r="CO678" s="693">
        <f>SUMIFS(Imput[[Importe Neto]:[Importe Neto]],Imput[[C. Imp.]:[C. Imp.]],$D678,Imput[[PERIODO Imp.]:[PERIODO Imp.]],CO$9)</f>
        <v>0</v>
      </c>
      <c r="CP678" s="693">
        <f>SUMIFS(Imput[[Importe Neto]:[Importe Neto]],Imput[[C. Imp.]:[C. Imp.]],$D678,Imput[[PERIODO Imp.]:[PERIODO Imp.]],CP$9)</f>
        <v>0</v>
      </c>
      <c r="CQ678" s="693">
        <f>SUMIFS(Imput[[Importe Neto]:[Importe Neto]],Imput[[C. Imp.]:[C. Imp.]],$D678,Imput[[PERIODO Imp.]:[PERIODO Imp.]],CQ$9)</f>
        <v>0</v>
      </c>
      <c r="CR678" s="693">
        <f>SUMIFS(Imput[[Importe Neto]:[Importe Neto]],Imput[[C. Imp.]:[C. Imp.]],$D678,Imput[[PERIODO Imp.]:[PERIODO Imp.]],CR$9)</f>
        <v>0</v>
      </c>
      <c r="CS678" s="693">
        <f>SUMIFS(Imput[[Importe Neto]:[Importe Neto]],Imput[[C. Imp.]:[C. Imp.]],$D678,Imput[[PERIODO Imp.]:[PERIODO Imp.]],CS$9)</f>
        <v>0</v>
      </c>
      <c r="CT678" s="693">
        <f>SUMIFS(Imput[[Importe Neto]:[Importe Neto]],Imput[[C. Imp.]:[C. Imp.]],$D678,Imput[[PERIODO Imp.]:[PERIODO Imp.]],CT$9)</f>
        <v>0</v>
      </c>
      <c r="CU678" s="693">
        <f>SUMIFS(Imput[[Importe Neto]:[Importe Neto]],Imput[[C. Imp.]:[C. Imp.]],$D678,Imput[[PERIODO Imp.]:[PERIODO Imp.]],CU$9)</f>
        <v>0</v>
      </c>
      <c r="CV678" s="693">
        <f>SUMIFS(Imput[[Importe Neto]:[Importe Neto]],Imput[[C. Imp.]:[C. Imp.]],$D678,Imput[[PERIODO Imp.]:[PERIODO Imp.]],CV$9)</f>
        <v>0</v>
      </c>
      <c r="CW678" s="693">
        <f>SUMIFS(Imput[[Importe Neto]:[Importe Neto]],Imput[[C. Imp.]:[C. Imp.]],$D678,Imput[[PERIODO Imp.]:[PERIODO Imp.]],CW$9)</f>
        <v>0</v>
      </c>
      <c r="CX678" s="693">
        <f>SUMIFS(Imput[[Importe Neto]:[Importe Neto]],Imput[[C. Imp.]:[C. Imp.]],$D678,Imput[[PERIODO Imp.]:[PERIODO Imp.]],CX$9)</f>
        <v>0</v>
      </c>
      <c r="CY678" s="693">
        <f>SUMIFS(Imput[[Importe Neto]:[Importe Neto]],Imput[[C. Imp.]:[C. Imp.]],$D678,Imput[[PERIODO Imp.]:[PERIODO Imp.]],CY$9)</f>
        <v>0</v>
      </c>
      <c r="CZ678" s="693">
        <f>SUMIFS(Imput[[Importe Neto]:[Importe Neto]],Imput[[C. Imp.]:[C. Imp.]],$D678,Imput[[PERIODO Imp.]:[PERIODO Imp.]],CZ$9)</f>
        <v>0</v>
      </c>
      <c r="DA678" s="693">
        <f>SUMIFS(Imput[[Importe Neto]:[Importe Neto]],Imput[[C. Imp.]:[C. Imp.]],$D678,Imput[[PERIODO Imp.]:[PERIODO Imp.]],DA$9)</f>
        <v>0</v>
      </c>
      <c r="DB678" s="693">
        <f>SUMIFS(Imput[[Importe Neto]:[Importe Neto]],Imput[[C. Imp.]:[C. Imp.]],$D678,Imput[[PERIODO Imp.]:[PERIODO Imp.]],DB$9)</f>
        <v>0</v>
      </c>
      <c r="DC678" s="693">
        <f>SUMIFS(Imput[[Importe Neto]:[Importe Neto]],Imput[[C. Imp.]:[C. Imp.]],$D678,Imput[[PERIODO Imp.]:[PERIODO Imp.]],DC$9)</f>
        <v>0</v>
      </c>
      <c r="DD678" s="693">
        <f>SUMIFS(Imput[[Importe Neto]:[Importe Neto]],Imput[[C. Imp.]:[C. Imp.]],$D678,Imput[[PERIODO Imp.]:[PERIODO Imp.]],DD$9)</f>
        <v>0</v>
      </c>
      <c r="DE678" s="693">
        <f>SUMIFS(Imput[[Importe Neto]:[Importe Neto]],Imput[[C. Imp.]:[C. Imp.]],$D678,Imput[[PERIODO Imp.]:[PERIODO Imp.]],DE$9)</f>
        <v>0</v>
      </c>
      <c r="DF678" s="693">
        <f>SUMIFS(Imput[[Importe Neto]:[Importe Neto]],Imput[[C. Imp.]:[C. Imp.]],$D678,Imput[[PERIODO Imp.]:[PERIODO Imp.]],DF$9)</f>
        <v>0</v>
      </c>
      <c r="DG678" s="693">
        <f>SUMIFS(Imput[[Importe Neto]:[Importe Neto]],Imput[[C. Imp.]:[C. Imp.]],$D678,Imput[[PERIODO Imp.]:[PERIODO Imp.]],DG$9)</f>
        <v>0</v>
      </c>
      <c r="DH678" s="694">
        <f>SUMIFS(Imput[[Importe Neto]:[Importe Neto]],Imput[[C. Imp.]:[C. Imp.]],$D678,Imput[[PERIODO Imp.]:[PERIODO Imp.]],DH$9)</f>
        <v>0</v>
      </c>
    </row>
    <row r="679" spans="1:112" s="649" customFormat="1" ht="14.4" hidden="1" outlineLevel="1" thickBot="1" x14ac:dyDescent="0.35">
      <c r="A679" s="652" t="str">
        <f t="shared" si="239"/>
        <v/>
      </c>
      <c r="B679" s="652"/>
      <c r="C679" s="685"/>
      <c r="D679" s="686" t="s">
        <v>2689</v>
      </c>
      <c r="E679" s="686"/>
      <c r="F679" s="720"/>
      <c r="G679" s="688"/>
      <c r="H679" s="689"/>
      <c r="I679" s="851" t="str">
        <f t="shared" si="240"/>
        <v/>
      </c>
      <c r="J679" s="850" t="str">
        <f t="shared" si="241"/>
        <v/>
      </c>
      <c r="K679" s="667"/>
      <c r="L679" s="858"/>
      <c r="M679" s="859"/>
      <c r="N679" s="859"/>
      <c r="O679" s="859"/>
      <c r="P679" s="859"/>
      <c r="Q679" s="859"/>
      <c r="R679" s="859"/>
      <c r="S679" s="859"/>
      <c r="T679" s="859"/>
      <c r="U679" s="859"/>
      <c r="V679" s="859"/>
      <c r="W679" s="859"/>
      <c r="X679" s="859"/>
      <c r="Y679" s="859"/>
      <c r="Z679" s="860"/>
      <c r="AA679" s="860"/>
      <c r="AB679" s="860"/>
      <c r="AC679" s="860"/>
      <c r="AD679" s="860"/>
      <c r="AE679" s="860"/>
      <c r="AF679" s="860"/>
      <c r="AG679" s="860"/>
      <c r="AH679" s="860"/>
      <c r="AI679" s="860"/>
      <c r="AJ679" s="860"/>
      <c r="AK679" s="860"/>
      <c r="AL679" s="860"/>
      <c r="AM679" s="860"/>
      <c r="AN679" s="860"/>
      <c r="AO679" s="860"/>
      <c r="AP679" s="860"/>
      <c r="AQ679" s="860"/>
      <c r="AR679" s="860"/>
      <c r="AS679" s="860"/>
      <c r="AT679" s="860"/>
      <c r="AU679" s="860"/>
      <c r="AV679" s="860"/>
      <c r="AW679" s="860"/>
      <c r="AX679" s="860"/>
      <c r="AY679" s="860"/>
      <c r="AZ679" s="860"/>
      <c r="BA679" s="860"/>
      <c r="BB679" s="860"/>
      <c r="BC679" s="860"/>
      <c r="BD679" s="860"/>
      <c r="BE679" s="860"/>
      <c r="BF679" s="860"/>
      <c r="BG679" s="860"/>
      <c r="BH679" s="668"/>
      <c r="BI679" s="667"/>
      <c r="BJ679" s="690">
        <f t="shared" si="242"/>
        <v>0</v>
      </c>
      <c r="BK679" s="691">
        <f t="shared" si="243"/>
        <v>0</v>
      </c>
      <c r="BL679" s="654"/>
      <c r="BM679" s="692">
        <f>SUMIFS(Imput[[Importe Neto]:[Importe Neto]],Imput[[C. Imp.]:[C. Imp.]],$D679,Imput[[PERIODO Imp.]:[PERIODO Imp.]],BM$9)</f>
        <v>0</v>
      </c>
      <c r="BN679" s="693">
        <f>SUMIFS(Imput[[Importe Neto]:[Importe Neto]],Imput[[C. Imp.]:[C. Imp.]],$D679,Imput[[PERIODO Imp.]:[PERIODO Imp.]],BN$9)</f>
        <v>0</v>
      </c>
      <c r="BO679" s="693">
        <f>SUMIFS(Imput[[Importe Neto]:[Importe Neto]],Imput[[C. Imp.]:[C. Imp.]],$D679,Imput[[PERIODO Imp.]:[PERIODO Imp.]],BO$9)</f>
        <v>0</v>
      </c>
      <c r="BP679" s="693">
        <f>SUMIFS(Imput[[Importe Neto]:[Importe Neto]],Imput[[C. Imp.]:[C. Imp.]],$D679,Imput[[PERIODO Imp.]:[PERIODO Imp.]],BP$9)</f>
        <v>0</v>
      </c>
      <c r="BQ679" s="693">
        <f>SUMIFS(Imput[[Importe Neto]:[Importe Neto]],Imput[[C. Imp.]:[C. Imp.]],$D679,Imput[[PERIODO Imp.]:[PERIODO Imp.]],BQ$9)</f>
        <v>0</v>
      </c>
      <c r="BR679" s="693">
        <f>SUMIFS(Imput[[Importe Neto]:[Importe Neto]],Imput[[C. Imp.]:[C. Imp.]],$D679,Imput[[PERIODO Imp.]:[PERIODO Imp.]],BR$9)</f>
        <v>0</v>
      </c>
      <c r="BS679" s="693">
        <f>SUMIFS(Imput[[Importe Neto]:[Importe Neto]],Imput[[C. Imp.]:[C. Imp.]],$D679,Imput[[PERIODO Imp.]:[PERIODO Imp.]],BS$9)</f>
        <v>0</v>
      </c>
      <c r="BT679" s="693">
        <f>SUMIFS(Imput[[Importe Neto]:[Importe Neto]],Imput[[C. Imp.]:[C. Imp.]],$D679,Imput[[PERIODO Imp.]:[PERIODO Imp.]],BT$9)</f>
        <v>0</v>
      </c>
      <c r="BU679" s="693">
        <f>SUMIFS(Imput[[Importe Neto]:[Importe Neto]],Imput[[C. Imp.]:[C. Imp.]],$D679,Imput[[PERIODO Imp.]:[PERIODO Imp.]],BU$9)</f>
        <v>0</v>
      </c>
      <c r="BV679" s="693">
        <f>SUMIFS(Imput[[Importe Neto]:[Importe Neto]],Imput[[C. Imp.]:[C. Imp.]],$D679,Imput[[PERIODO Imp.]:[PERIODO Imp.]],BV$9)</f>
        <v>0</v>
      </c>
      <c r="BW679" s="693">
        <f>SUMIFS(Imput[[Importe Neto]:[Importe Neto]],Imput[[C. Imp.]:[C. Imp.]],$D679,Imput[[PERIODO Imp.]:[PERIODO Imp.]],BW$9)</f>
        <v>0</v>
      </c>
      <c r="BX679" s="693">
        <f>SUMIFS(Imput[[Importe Neto]:[Importe Neto]],Imput[[C. Imp.]:[C. Imp.]],$D679,Imput[[PERIODO Imp.]:[PERIODO Imp.]],BX$9)</f>
        <v>0</v>
      </c>
      <c r="BY679" s="693">
        <f>SUMIFS(Imput[[Importe Neto]:[Importe Neto]],Imput[[C. Imp.]:[C. Imp.]],$D679,Imput[[PERIODO Imp.]:[PERIODO Imp.]],BY$9)</f>
        <v>0</v>
      </c>
      <c r="BZ679" s="693">
        <f>SUMIFS(Imput[[Importe Neto]:[Importe Neto]],Imput[[C. Imp.]:[C. Imp.]],$D679,Imput[[PERIODO Imp.]:[PERIODO Imp.]],BZ$9)</f>
        <v>0</v>
      </c>
      <c r="CA679" s="693">
        <f>SUMIFS(Imput[[Importe Neto]:[Importe Neto]],Imput[[C. Imp.]:[C. Imp.]],$D679,Imput[[PERIODO Imp.]:[PERIODO Imp.]],CA$9)</f>
        <v>0</v>
      </c>
      <c r="CB679" s="693">
        <f>SUMIFS(Imput[[Importe Neto]:[Importe Neto]],Imput[[C. Imp.]:[C. Imp.]],$D679,Imput[[PERIODO Imp.]:[PERIODO Imp.]],CB$9)</f>
        <v>0</v>
      </c>
      <c r="CC679" s="693">
        <f>SUMIFS(Imput[[Importe Neto]:[Importe Neto]],Imput[[C. Imp.]:[C. Imp.]],$D679,Imput[[PERIODO Imp.]:[PERIODO Imp.]],CC$9)</f>
        <v>0</v>
      </c>
      <c r="CD679" s="693">
        <f>SUMIFS(Imput[[Importe Neto]:[Importe Neto]],Imput[[C. Imp.]:[C. Imp.]],$D679,Imput[[PERIODO Imp.]:[PERIODO Imp.]],CD$9)</f>
        <v>0</v>
      </c>
      <c r="CE679" s="693">
        <f>SUMIFS(Imput[[Importe Neto]:[Importe Neto]],Imput[[C. Imp.]:[C. Imp.]],$D679,Imput[[PERIODO Imp.]:[PERIODO Imp.]],CE$9)</f>
        <v>0</v>
      </c>
      <c r="CF679" s="693">
        <f>SUMIFS(Imput[[Importe Neto]:[Importe Neto]],Imput[[C. Imp.]:[C. Imp.]],$D679,Imput[[PERIODO Imp.]:[PERIODO Imp.]],CF$9)</f>
        <v>0</v>
      </c>
      <c r="CG679" s="693">
        <f>SUMIFS(Imput[[Importe Neto]:[Importe Neto]],Imput[[C. Imp.]:[C. Imp.]],$D679,Imput[[PERIODO Imp.]:[PERIODO Imp.]],CG$9)</f>
        <v>0</v>
      </c>
      <c r="CH679" s="693">
        <f>SUMIFS(Imput[[Importe Neto]:[Importe Neto]],Imput[[C. Imp.]:[C. Imp.]],$D679,Imput[[PERIODO Imp.]:[PERIODO Imp.]],CH$9)</f>
        <v>0</v>
      </c>
      <c r="CI679" s="693">
        <f>SUMIFS(Imput[[Importe Neto]:[Importe Neto]],Imput[[C. Imp.]:[C. Imp.]],$D679,Imput[[PERIODO Imp.]:[PERIODO Imp.]],CI$9)</f>
        <v>0</v>
      </c>
      <c r="CJ679" s="693">
        <f>SUMIFS(Imput[[Importe Neto]:[Importe Neto]],Imput[[C. Imp.]:[C. Imp.]],$D679,Imput[[PERIODO Imp.]:[PERIODO Imp.]],CJ$9)</f>
        <v>0</v>
      </c>
      <c r="CK679" s="693">
        <f>SUMIFS(Imput[[Importe Neto]:[Importe Neto]],Imput[[C. Imp.]:[C. Imp.]],$D679,Imput[[PERIODO Imp.]:[PERIODO Imp.]],CK$9)</f>
        <v>0</v>
      </c>
      <c r="CL679" s="693">
        <f>SUMIFS(Imput[[Importe Neto]:[Importe Neto]],Imput[[C. Imp.]:[C. Imp.]],$D679,Imput[[PERIODO Imp.]:[PERIODO Imp.]],CL$9)</f>
        <v>0</v>
      </c>
      <c r="CM679" s="693">
        <f>SUMIFS(Imput[[Importe Neto]:[Importe Neto]],Imput[[C. Imp.]:[C. Imp.]],$D679,Imput[[PERIODO Imp.]:[PERIODO Imp.]],CM$9)</f>
        <v>0</v>
      </c>
      <c r="CN679" s="693">
        <f>SUMIFS(Imput[[Importe Neto]:[Importe Neto]],Imput[[C. Imp.]:[C. Imp.]],$D679,Imput[[PERIODO Imp.]:[PERIODO Imp.]],CN$9)</f>
        <v>0</v>
      </c>
      <c r="CO679" s="693">
        <f>SUMIFS(Imput[[Importe Neto]:[Importe Neto]],Imput[[C. Imp.]:[C. Imp.]],$D679,Imput[[PERIODO Imp.]:[PERIODO Imp.]],CO$9)</f>
        <v>0</v>
      </c>
      <c r="CP679" s="693">
        <f>SUMIFS(Imput[[Importe Neto]:[Importe Neto]],Imput[[C. Imp.]:[C. Imp.]],$D679,Imput[[PERIODO Imp.]:[PERIODO Imp.]],CP$9)</f>
        <v>0</v>
      </c>
      <c r="CQ679" s="693">
        <f>SUMIFS(Imput[[Importe Neto]:[Importe Neto]],Imput[[C. Imp.]:[C. Imp.]],$D679,Imput[[PERIODO Imp.]:[PERIODO Imp.]],CQ$9)</f>
        <v>0</v>
      </c>
      <c r="CR679" s="693">
        <f>SUMIFS(Imput[[Importe Neto]:[Importe Neto]],Imput[[C. Imp.]:[C. Imp.]],$D679,Imput[[PERIODO Imp.]:[PERIODO Imp.]],CR$9)</f>
        <v>0</v>
      </c>
      <c r="CS679" s="693">
        <f>SUMIFS(Imput[[Importe Neto]:[Importe Neto]],Imput[[C. Imp.]:[C. Imp.]],$D679,Imput[[PERIODO Imp.]:[PERIODO Imp.]],CS$9)</f>
        <v>0</v>
      </c>
      <c r="CT679" s="693">
        <f>SUMIFS(Imput[[Importe Neto]:[Importe Neto]],Imput[[C. Imp.]:[C. Imp.]],$D679,Imput[[PERIODO Imp.]:[PERIODO Imp.]],CT$9)</f>
        <v>0</v>
      </c>
      <c r="CU679" s="693">
        <f>SUMIFS(Imput[[Importe Neto]:[Importe Neto]],Imput[[C. Imp.]:[C. Imp.]],$D679,Imput[[PERIODO Imp.]:[PERIODO Imp.]],CU$9)</f>
        <v>0</v>
      </c>
      <c r="CV679" s="693">
        <f>SUMIFS(Imput[[Importe Neto]:[Importe Neto]],Imput[[C. Imp.]:[C. Imp.]],$D679,Imput[[PERIODO Imp.]:[PERIODO Imp.]],CV$9)</f>
        <v>0</v>
      </c>
      <c r="CW679" s="693">
        <f>SUMIFS(Imput[[Importe Neto]:[Importe Neto]],Imput[[C. Imp.]:[C. Imp.]],$D679,Imput[[PERIODO Imp.]:[PERIODO Imp.]],CW$9)</f>
        <v>0</v>
      </c>
      <c r="CX679" s="693">
        <f>SUMIFS(Imput[[Importe Neto]:[Importe Neto]],Imput[[C. Imp.]:[C. Imp.]],$D679,Imput[[PERIODO Imp.]:[PERIODO Imp.]],CX$9)</f>
        <v>0</v>
      </c>
      <c r="CY679" s="693">
        <f>SUMIFS(Imput[[Importe Neto]:[Importe Neto]],Imput[[C. Imp.]:[C. Imp.]],$D679,Imput[[PERIODO Imp.]:[PERIODO Imp.]],CY$9)</f>
        <v>0</v>
      </c>
      <c r="CZ679" s="693">
        <f>SUMIFS(Imput[[Importe Neto]:[Importe Neto]],Imput[[C. Imp.]:[C. Imp.]],$D679,Imput[[PERIODO Imp.]:[PERIODO Imp.]],CZ$9)</f>
        <v>0</v>
      </c>
      <c r="DA679" s="693">
        <f>SUMIFS(Imput[[Importe Neto]:[Importe Neto]],Imput[[C. Imp.]:[C. Imp.]],$D679,Imput[[PERIODO Imp.]:[PERIODO Imp.]],DA$9)</f>
        <v>0</v>
      </c>
      <c r="DB679" s="693">
        <f>SUMIFS(Imput[[Importe Neto]:[Importe Neto]],Imput[[C. Imp.]:[C. Imp.]],$D679,Imput[[PERIODO Imp.]:[PERIODO Imp.]],DB$9)</f>
        <v>0</v>
      </c>
      <c r="DC679" s="693">
        <f>SUMIFS(Imput[[Importe Neto]:[Importe Neto]],Imput[[C. Imp.]:[C. Imp.]],$D679,Imput[[PERIODO Imp.]:[PERIODO Imp.]],DC$9)</f>
        <v>0</v>
      </c>
      <c r="DD679" s="693">
        <f>SUMIFS(Imput[[Importe Neto]:[Importe Neto]],Imput[[C. Imp.]:[C. Imp.]],$D679,Imput[[PERIODO Imp.]:[PERIODO Imp.]],DD$9)</f>
        <v>0</v>
      </c>
      <c r="DE679" s="693">
        <f>SUMIFS(Imput[[Importe Neto]:[Importe Neto]],Imput[[C. Imp.]:[C. Imp.]],$D679,Imput[[PERIODO Imp.]:[PERIODO Imp.]],DE$9)</f>
        <v>0</v>
      </c>
      <c r="DF679" s="693">
        <f>SUMIFS(Imput[[Importe Neto]:[Importe Neto]],Imput[[C. Imp.]:[C. Imp.]],$D679,Imput[[PERIODO Imp.]:[PERIODO Imp.]],DF$9)</f>
        <v>0</v>
      </c>
      <c r="DG679" s="693">
        <f>SUMIFS(Imput[[Importe Neto]:[Importe Neto]],Imput[[C. Imp.]:[C. Imp.]],$D679,Imput[[PERIODO Imp.]:[PERIODO Imp.]],DG$9)</f>
        <v>0</v>
      </c>
      <c r="DH679" s="694">
        <f>SUMIFS(Imput[[Importe Neto]:[Importe Neto]],Imput[[C. Imp.]:[C. Imp.]],$D679,Imput[[PERIODO Imp.]:[PERIODO Imp.]],DH$9)</f>
        <v>0</v>
      </c>
    </row>
    <row r="680" spans="1:112" s="649" customFormat="1" ht="14.4" hidden="1" outlineLevel="1" thickBot="1" x14ac:dyDescent="0.35">
      <c r="A680" s="652" t="str">
        <f t="shared" si="239"/>
        <v/>
      </c>
      <c r="B680" s="652"/>
      <c r="C680" s="685"/>
      <c r="D680" s="686" t="s">
        <v>2690</v>
      </c>
      <c r="E680" s="686"/>
      <c r="F680" s="720"/>
      <c r="G680" s="688"/>
      <c r="H680" s="689"/>
      <c r="I680" s="851" t="str">
        <f t="shared" si="240"/>
        <v/>
      </c>
      <c r="J680" s="850" t="str">
        <f t="shared" si="241"/>
        <v/>
      </c>
      <c r="K680" s="667"/>
      <c r="L680" s="858"/>
      <c r="M680" s="859"/>
      <c r="N680" s="859"/>
      <c r="O680" s="859"/>
      <c r="P680" s="859"/>
      <c r="Q680" s="859"/>
      <c r="R680" s="859"/>
      <c r="S680" s="859"/>
      <c r="T680" s="859"/>
      <c r="U680" s="859"/>
      <c r="V680" s="859"/>
      <c r="W680" s="859"/>
      <c r="X680" s="859"/>
      <c r="Y680" s="859"/>
      <c r="Z680" s="860"/>
      <c r="AA680" s="860"/>
      <c r="AB680" s="860"/>
      <c r="AC680" s="860"/>
      <c r="AD680" s="860"/>
      <c r="AE680" s="860"/>
      <c r="AF680" s="860"/>
      <c r="AG680" s="860"/>
      <c r="AH680" s="860"/>
      <c r="AI680" s="860"/>
      <c r="AJ680" s="860"/>
      <c r="AK680" s="860"/>
      <c r="AL680" s="860"/>
      <c r="AM680" s="860"/>
      <c r="AN680" s="860"/>
      <c r="AO680" s="860"/>
      <c r="AP680" s="860"/>
      <c r="AQ680" s="860"/>
      <c r="AR680" s="860"/>
      <c r="AS680" s="860"/>
      <c r="AT680" s="860"/>
      <c r="AU680" s="860"/>
      <c r="AV680" s="860"/>
      <c r="AW680" s="860"/>
      <c r="AX680" s="860"/>
      <c r="AY680" s="860"/>
      <c r="AZ680" s="860"/>
      <c r="BA680" s="860"/>
      <c r="BB680" s="860"/>
      <c r="BC680" s="860"/>
      <c r="BD680" s="860"/>
      <c r="BE680" s="860"/>
      <c r="BF680" s="860"/>
      <c r="BG680" s="860"/>
      <c r="BH680" s="668"/>
      <c r="BI680" s="667"/>
      <c r="BJ680" s="690">
        <f t="shared" si="242"/>
        <v>0</v>
      </c>
      <c r="BK680" s="691">
        <f t="shared" si="243"/>
        <v>0</v>
      </c>
      <c r="BL680" s="654"/>
      <c r="BM680" s="692">
        <f>SUMIFS(Imput[[Importe Neto]:[Importe Neto]],Imput[[C. Imp.]:[C. Imp.]],$D680,Imput[[PERIODO Imp.]:[PERIODO Imp.]],BM$9)</f>
        <v>0</v>
      </c>
      <c r="BN680" s="693">
        <f>SUMIFS(Imput[[Importe Neto]:[Importe Neto]],Imput[[C. Imp.]:[C. Imp.]],$D680,Imput[[PERIODO Imp.]:[PERIODO Imp.]],BN$9)</f>
        <v>0</v>
      </c>
      <c r="BO680" s="693">
        <f>SUMIFS(Imput[[Importe Neto]:[Importe Neto]],Imput[[C. Imp.]:[C. Imp.]],$D680,Imput[[PERIODO Imp.]:[PERIODO Imp.]],BO$9)</f>
        <v>0</v>
      </c>
      <c r="BP680" s="693">
        <f>SUMIFS(Imput[[Importe Neto]:[Importe Neto]],Imput[[C. Imp.]:[C. Imp.]],$D680,Imput[[PERIODO Imp.]:[PERIODO Imp.]],BP$9)</f>
        <v>0</v>
      </c>
      <c r="BQ680" s="693">
        <f>SUMIFS(Imput[[Importe Neto]:[Importe Neto]],Imput[[C. Imp.]:[C. Imp.]],$D680,Imput[[PERIODO Imp.]:[PERIODO Imp.]],BQ$9)</f>
        <v>0</v>
      </c>
      <c r="BR680" s="693">
        <f>SUMIFS(Imput[[Importe Neto]:[Importe Neto]],Imput[[C. Imp.]:[C. Imp.]],$D680,Imput[[PERIODO Imp.]:[PERIODO Imp.]],BR$9)</f>
        <v>0</v>
      </c>
      <c r="BS680" s="693">
        <f>SUMIFS(Imput[[Importe Neto]:[Importe Neto]],Imput[[C. Imp.]:[C. Imp.]],$D680,Imput[[PERIODO Imp.]:[PERIODO Imp.]],BS$9)</f>
        <v>0</v>
      </c>
      <c r="BT680" s="693">
        <f>SUMIFS(Imput[[Importe Neto]:[Importe Neto]],Imput[[C. Imp.]:[C. Imp.]],$D680,Imput[[PERIODO Imp.]:[PERIODO Imp.]],BT$9)</f>
        <v>0</v>
      </c>
      <c r="BU680" s="693">
        <f>SUMIFS(Imput[[Importe Neto]:[Importe Neto]],Imput[[C. Imp.]:[C. Imp.]],$D680,Imput[[PERIODO Imp.]:[PERIODO Imp.]],BU$9)</f>
        <v>0</v>
      </c>
      <c r="BV680" s="693">
        <f>SUMIFS(Imput[[Importe Neto]:[Importe Neto]],Imput[[C. Imp.]:[C. Imp.]],$D680,Imput[[PERIODO Imp.]:[PERIODO Imp.]],BV$9)</f>
        <v>0</v>
      </c>
      <c r="BW680" s="693">
        <f>SUMIFS(Imput[[Importe Neto]:[Importe Neto]],Imput[[C. Imp.]:[C. Imp.]],$D680,Imput[[PERIODO Imp.]:[PERIODO Imp.]],BW$9)</f>
        <v>0</v>
      </c>
      <c r="BX680" s="693">
        <f>SUMIFS(Imput[[Importe Neto]:[Importe Neto]],Imput[[C. Imp.]:[C. Imp.]],$D680,Imput[[PERIODO Imp.]:[PERIODO Imp.]],BX$9)</f>
        <v>0</v>
      </c>
      <c r="BY680" s="693">
        <f>SUMIFS(Imput[[Importe Neto]:[Importe Neto]],Imput[[C. Imp.]:[C. Imp.]],$D680,Imput[[PERIODO Imp.]:[PERIODO Imp.]],BY$9)</f>
        <v>0</v>
      </c>
      <c r="BZ680" s="693">
        <f>SUMIFS(Imput[[Importe Neto]:[Importe Neto]],Imput[[C. Imp.]:[C. Imp.]],$D680,Imput[[PERIODO Imp.]:[PERIODO Imp.]],BZ$9)</f>
        <v>0</v>
      </c>
      <c r="CA680" s="693">
        <f>SUMIFS(Imput[[Importe Neto]:[Importe Neto]],Imput[[C. Imp.]:[C. Imp.]],$D680,Imput[[PERIODO Imp.]:[PERIODO Imp.]],CA$9)</f>
        <v>0</v>
      </c>
      <c r="CB680" s="693">
        <f>SUMIFS(Imput[[Importe Neto]:[Importe Neto]],Imput[[C. Imp.]:[C. Imp.]],$D680,Imput[[PERIODO Imp.]:[PERIODO Imp.]],CB$9)</f>
        <v>0</v>
      </c>
      <c r="CC680" s="693">
        <f>SUMIFS(Imput[[Importe Neto]:[Importe Neto]],Imput[[C. Imp.]:[C. Imp.]],$D680,Imput[[PERIODO Imp.]:[PERIODO Imp.]],CC$9)</f>
        <v>0</v>
      </c>
      <c r="CD680" s="693">
        <f>SUMIFS(Imput[[Importe Neto]:[Importe Neto]],Imput[[C. Imp.]:[C. Imp.]],$D680,Imput[[PERIODO Imp.]:[PERIODO Imp.]],CD$9)</f>
        <v>0</v>
      </c>
      <c r="CE680" s="693">
        <f>SUMIFS(Imput[[Importe Neto]:[Importe Neto]],Imput[[C. Imp.]:[C. Imp.]],$D680,Imput[[PERIODO Imp.]:[PERIODO Imp.]],CE$9)</f>
        <v>0</v>
      </c>
      <c r="CF680" s="693">
        <f>SUMIFS(Imput[[Importe Neto]:[Importe Neto]],Imput[[C. Imp.]:[C. Imp.]],$D680,Imput[[PERIODO Imp.]:[PERIODO Imp.]],CF$9)</f>
        <v>0</v>
      </c>
      <c r="CG680" s="693">
        <f>SUMIFS(Imput[[Importe Neto]:[Importe Neto]],Imput[[C. Imp.]:[C. Imp.]],$D680,Imput[[PERIODO Imp.]:[PERIODO Imp.]],CG$9)</f>
        <v>0</v>
      </c>
      <c r="CH680" s="693">
        <f>SUMIFS(Imput[[Importe Neto]:[Importe Neto]],Imput[[C. Imp.]:[C. Imp.]],$D680,Imput[[PERIODO Imp.]:[PERIODO Imp.]],CH$9)</f>
        <v>0</v>
      </c>
      <c r="CI680" s="693">
        <f>SUMIFS(Imput[[Importe Neto]:[Importe Neto]],Imput[[C. Imp.]:[C. Imp.]],$D680,Imput[[PERIODO Imp.]:[PERIODO Imp.]],CI$9)</f>
        <v>0</v>
      </c>
      <c r="CJ680" s="693">
        <f>SUMIFS(Imput[[Importe Neto]:[Importe Neto]],Imput[[C. Imp.]:[C. Imp.]],$D680,Imput[[PERIODO Imp.]:[PERIODO Imp.]],CJ$9)</f>
        <v>0</v>
      </c>
      <c r="CK680" s="693">
        <f>SUMIFS(Imput[[Importe Neto]:[Importe Neto]],Imput[[C. Imp.]:[C. Imp.]],$D680,Imput[[PERIODO Imp.]:[PERIODO Imp.]],CK$9)</f>
        <v>0</v>
      </c>
      <c r="CL680" s="693">
        <f>SUMIFS(Imput[[Importe Neto]:[Importe Neto]],Imput[[C. Imp.]:[C. Imp.]],$D680,Imput[[PERIODO Imp.]:[PERIODO Imp.]],CL$9)</f>
        <v>0</v>
      </c>
      <c r="CM680" s="693">
        <f>SUMIFS(Imput[[Importe Neto]:[Importe Neto]],Imput[[C. Imp.]:[C. Imp.]],$D680,Imput[[PERIODO Imp.]:[PERIODO Imp.]],CM$9)</f>
        <v>0</v>
      </c>
      <c r="CN680" s="693">
        <f>SUMIFS(Imput[[Importe Neto]:[Importe Neto]],Imput[[C. Imp.]:[C. Imp.]],$D680,Imput[[PERIODO Imp.]:[PERIODO Imp.]],CN$9)</f>
        <v>0</v>
      </c>
      <c r="CO680" s="693">
        <f>SUMIFS(Imput[[Importe Neto]:[Importe Neto]],Imput[[C. Imp.]:[C. Imp.]],$D680,Imput[[PERIODO Imp.]:[PERIODO Imp.]],CO$9)</f>
        <v>0</v>
      </c>
      <c r="CP680" s="693">
        <f>SUMIFS(Imput[[Importe Neto]:[Importe Neto]],Imput[[C. Imp.]:[C. Imp.]],$D680,Imput[[PERIODO Imp.]:[PERIODO Imp.]],CP$9)</f>
        <v>0</v>
      </c>
      <c r="CQ680" s="693">
        <f>SUMIFS(Imput[[Importe Neto]:[Importe Neto]],Imput[[C. Imp.]:[C. Imp.]],$D680,Imput[[PERIODO Imp.]:[PERIODO Imp.]],CQ$9)</f>
        <v>0</v>
      </c>
      <c r="CR680" s="693">
        <f>SUMIFS(Imput[[Importe Neto]:[Importe Neto]],Imput[[C. Imp.]:[C. Imp.]],$D680,Imput[[PERIODO Imp.]:[PERIODO Imp.]],CR$9)</f>
        <v>0</v>
      </c>
      <c r="CS680" s="693">
        <f>SUMIFS(Imput[[Importe Neto]:[Importe Neto]],Imput[[C. Imp.]:[C. Imp.]],$D680,Imput[[PERIODO Imp.]:[PERIODO Imp.]],CS$9)</f>
        <v>0</v>
      </c>
      <c r="CT680" s="693">
        <f>SUMIFS(Imput[[Importe Neto]:[Importe Neto]],Imput[[C. Imp.]:[C. Imp.]],$D680,Imput[[PERIODO Imp.]:[PERIODO Imp.]],CT$9)</f>
        <v>0</v>
      </c>
      <c r="CU680" s="693">
        <f>SUMIFS(Imput[[Importe Neto]:[Importe Neto]],Imput[[C. Imp.]:[C. Imp.]],$D680,Imput[[PERIODO Imp.]:[PERIODO Imp.]],CU$9)</f>
        <v>0</v>
      </c>
      <c r="CV680" s="693">
        <f>SUMIFS(Imput[[Importe Neto]:[Importe Neto]],Imput[[C. Imp.]:[C. Imp.]],$D680,Imput[[PERIODO Imp.]:[PERIODO Imp.]],CV$9)</f>
        <v>0</v>
      </c>
      <c r="CW680" s="693">
        <f>SUMIFS(Imput[[Importe Neto]:[Importe Neto]],Imput[[C. Imp.]:[C. Imp.]],$D680,Imput[[PERIODO Imp.]:[PERIODO Imp.]],CW$9)</f>
        <v>0</v>
      </c>
      <c r="CX680" s="693">
        <f>SUMIFS(Imput[[Importe Neto]:[Importe Neto]],Imput[[C. Imp.]:[C. Imp.]],$D680,Imput[[PERIODO Imp.]:[PERIODO Imp.]],CX$9)</f>
        <v>0</v>
      </c>
      <c r="CY680" s="693">
        <f>SUMIFS(Imput[[Importe Neto]:[Importe Neto]],Imput[[C. Imp.]:[C. Imp.]],$D680,Imput[[PERIODO Imp.]:[PERIODO Imp.]],CY$9)</f>
        <v>0</v>
      </c>
      <c r="CZ680" s="693">
        <f>SUMIFS(Imput[[Importe Neto]:[Importe Neto]],Imput[[C. Imp.]:[C. Imp.]],$D680,Imput[[PERIODO Imp.]:[PERIODO Imp.]],CZ$9)</f>
        <v>0</v>
      </c>
      <c r="DA680" s="693">
        <f>SUMIFS(Imput[[Importe Neto]:[Importe Neto]],Imput[[C. Imp.]:[C. Imp.]],$D680,Imput[[PERIODO Imp.]:[PERIODO Imp.]],DA$9)</f>
        <v>0</v>
      </c>
      <c r="DB680" s="693">
        <f>SUMIFS(Imput[[Importe Neto]:[Importe Neto]],Imput[[C. Imp.]:[C. Imp.]],$D680,Imput[[PERIODO Imp.]:[PERIODO Imp.]],DB$9)</f>
        <v>0</v>
      </c>
      <c r="DC680" s="693">
        <f>SUMIFS(Imput[[Importe Neto]:[Importe Neto]],Imput[[C. Imp.]:[C. Imp.]],$D680,Imput[[PERIODO Imp.]:[PERIODO Imp.]],DC$9)</f>
        <v>0</v>
      </c>
      <c r="DD680" s="693">
        <f>SUMIFS(Imput[[Importe Neto]:[Importe Neto]],Imput[[C. Imp.]:[C. Imp.]],$D680,Imput[[PERIODO Imp.]:[PERIODO Imp.]],DD$9)</f>
        <v>0</v>
      </c>
      <c r="DE680" s="693">
        <f>SUMIFS(Imput[[Importe Neto]:[Importe Neto]],Imput[[C. Imp.]:[C. Imp.]],$D680,Imput[[PERIODO Imp.]:[PERIODO Imp.]],DE$9)</f>
        <v>0</v>
      </c>
      <c r="DF680" s="693">
        <f>SUMIFS(Imput[[Importe Neto]:[Importe Neto]],Imput[[C. Imp.]:[C. Imp.]],$D680,Imput[[PERIODO Imp.]:[PERIODO Imp.]],DF$9)</f>
        <v>0</v>
      </c>
      <c r="DG680" s="693">
        <f>SUMIFS(Imput[[Importe Neto]:[Importe Neto]],Imput[[C. Imp.]:[C. Imp.]],$D680,Imput[[PERIODO Imp.]:[PERIODO Imp.]],DG$9)</f>
        <v>0</v>
      </c>
      <c r="DH680" s="694">
        <f>SUMIFS(Imput[[Importe Neto]:[Importe Neto]],Imput[[C. Imp.]:[C. Imp.]],$D680,Imput[[PERIODO Imp.]:[PERIODO Imp.]],DH$9)</f>
        <v>0</v>
      </c>
    </row>
    <row r="681" spans="1:112" s="649" customFormat="1" ht="14.4" hidden="1" outlineLevel="1" thickBot="1" x14ac:dyDescent="0.35">
      <c r="A681" s="652" t="str">
        <f>IF(J659&gt;0,"Imprimir","")</f>
        <v/>
      </c>
      <c r="B681" s="652"/>
      <c r="C681" s="699"/>
      <c r="D681" s="700"/>
      <c r="E681" s="700"/>
      <c r="F681" s="701"/>
      <c r="G681" s="702"/>
      <c r="H681" s="703"/>
      <c r="I681" s="704"/>
      <c r="J681" s="117"/>
      <c r="K681" s="667"/>
      <c r="L681" s="706"/>
      <c r="M681" s="707"/>
      <c r="N681" s="777"/>
      <c r="O681" s="777"/>
      <c r="P681" s="778"/>
      <c r="Q681" s="778"/>
      <c r="R681" s="708"/>
      <c r="S681" s="708"/>
      <c r="T681" s="779"/>
      <c r="U681" s="779"/>
      <c r="V681" s="778"/>
      <c r="W681" s="778"/>
      <c r="X681" s="708"/>
      <c r="Y681" s="708"/>
      <c r="Z681" s="708"/>
      <c r="AA681" s="708"/>
      <c r="AB681" s="708"/>
      <c r="AC681" s="708"/>
      <c r="AD681" s="708"/>
      <c r="AE681" s="708"/>
      <c r="AF681" s="708"/>
      <c r="AG681" s="708"/>
      <c r="AH681" s="708"/>
      <c r="AI681" s="708"/>
      <c r="AJ681" s="708"/>
      <c r="AK681" s="708"/>
      <c r="AL681" s="708"/>
      <c r="AM681" s="708"/>
      <c r="AN681" s="708"/>
      <c r="AO681" s="708"/>
      <c r="AP681" s="708"/>
      <c r="AQ681" s="708"/>
      <c r="AR681" s="708"/>
      <c r="AS681" s="708"/>
      <c r="AT681" s="708"/>
      <c r="AU681" s="708"/>
      <c r="AV681" s="708"/>
      <c r="AW681" s="708"/>
      <c r="AX681" s="708"/>
      <c r="AY681" s="708"/>
      <c r="AZ681" s="708"/>
      <c r="BA681" s="708"/>
      <c r="BB681" s="708"/>
      <c r="BC681" s="708"/>
      <c r="BD681" s="708"/>
      <c r="BE681" s="708"/>
      <c r="BF681" s="708"/>
      <c r="BG681" s="708"/>
      <c r="BH681" s="780"/>
      <c r="BI681" s="654"/>
      <c r="BJ681" s="709"/>
      <c r="BK681" s="710"/>
      <c r="BL681" s="654"/>
      <c r="BM681" s="731"/>
      <c r="BN681" s="701"/>
      <c r="BO681" s="701"/>
      <c r="BP681" s="701"/>
      <c r="BQ681" s="701"/>
      <c r="BR681" s="701"/>
      <c r="BS681" s="701"/>
      <c r="BT681" s="701"/>
      <c r="BU681" s="701"/>
      <c r="BV681" s="701"/>
      <c r="BW681" s="701"/>
      <c r="BX681" s="701"/>
      <c r="BY681" s="701"/>
      <c r="BZ681" s="701"/>
      <c r="CA681" s="701"/>
      <c r="CB681" s="701"/>
      <c r="CC681" s="701"/>
      <c r="CD681" s="701"/>
      <c r="CE681" s="701"/>
      <c r="CF681" s="701"/>
      <c r="CG681" s="701"/>
      <c r="CH681" s="701"/>
      <c r="CI681" s="701"/>
      <c r="CJ681" s="701"/>
      <c r="CK681" s="701"/>
      <c r="CL681" s="701"/>
      <c r="CM681" s="701"/>
      <c r="CN681" s="701"/>
      <c r="CO681" s="701"/>
      <c r="CP681" s="701"/>
      <c r="CQ681" s="701"/>
      <c r="CR681" s="701"/>
      <c r="CS681" s="701"/>
      <c r="CT681" s="701"/>
      <c r="CU681" s="701"/>
      <c r="CV681" s="701"/>
      <c r="CW681" s="701"/>
      <c r="CX681" s="701"/>
      <c r="CY681" s="701"/>
      <c r="CZ681" s="701"/>
      <c r="DA681" s="701"/>
      <c r="DB681" s="701"/>
      <c r="DC681" s="701"/>
      <c r="DD681" s="701"/>
      <c r="DE681" s="701"/>
      <c r="DF681" s="701"/>
      <c r="DG681" s="701"/>
      <c r="DH681" s="710"/>
    </row>
    <row r="682" spans="1:112" s="649" customFormat="1" ht="14.4" hidden="1" collapsed="1" thickBot="1" x14ac:dyDescent="0.35">
      <c r="A682" s="652" t="str">
        <f>IF(J682&gt;0,"Imprimir","")</f>
        <v/>
      </c>
      <c r="B682" s="652"/>
      <c r="C682" s="711"/>
      <c r="D682" s="712" t="s">
        <v>454</v>
      </c>
      <c r="E682" s="712" t="s">
        <v>510</v>
      </c>
      <c r="F682" s="712"/>
      <c r="G682" s="713"/>
      <c r="H682" s="712"/>
      <c r="I682" s="714"/>
      <c r="J682" s="166">
        <f>SUBTOTAL(9,J685:J698)</f>
        <v>0</v>
      </c>
      <c r="K682" s="658"/>
      <c r="L682" s="770">
        <f t="shared" ref="L682:BG682" si="244">SUMPRODUCT($J685:$J698,L685:L698)</f>
        <v>0</v>
      </c>
      <c r="M682" s="771">
        <f t="shared" si="244"/>
        <v>0</v>
      </c>
      <c r="N682" s="771">
        <f t="shared" si="244"/>
        <v>0</v>
      </c>
      <c r="O682" s="771">
        <f t="shared" si="244"/>
        <v>0</v>
      </c>
      <c r="P682" s="771">
        <f t="shared" si="244"/>
        <v>0</v>
      </c>
      <c r="Q682" s="771">
        <f t="shared" si="244"/>
        <v>0</v>
      </c>
      <c r="R682" s="771">
        <f t="shared" si="244"/>
        <v>0</v>
      </c>
      <c r="S682" s="771">
        <f t="shared" si="244"/>
        <v>0</v>
      </c>
      <c r="T682" s="771">
        <f t="shared" si="244"/>
        <v>0</v>
      </c>
      <c r="U682" s="771">
        <f t="shared" si="244"/>
        <v>0</v>
      </c>
      <c r="V682" s="771">
        <f t="shared" si="244"/>
        <v>0</v>
      </c>
      <c r="W682" s="771">
        <f t="shared" si="244"/>
        <v>0</v>
      </c>
      <c r="X682" s="771">
        <f t="shared" si="244"/>
        <v>0</v>
      </c>
      <c r="Y682" s="771">
        <f t="shared" si="244"/>
        <v>0</v>
      </c>
      <c r="Z682" s="771">
        <f t="shared" si="244"/>
        <v>0</v>
      </c>
      <c r="AA682" s="771">
        <f t="shared" si="244"/>
        <v>0</v>
      </c>
      <c r="AB682" s="771">
        <f t="shared" si="244"/>
        <v>0</v>
      </c>
      <c r="AC682" s="771">
        <f t="shared" si="244"/>
        <v>0</v>
      </c>
      <c r="AD682" s="771">
        <f t="shared" si="244"/>
        <v>0</v>
      </c>
      <c r="AE682" s="771">
        <f t="shared" si="244"/>
        <v>0</v>
      </c>
      <c r="AF682" s="771">
        <f t="shared" si="244"/>
        <v>0</v>
      </c>
      <c r="AG682" s="771">
        <f t="shared" si="244"/>
        <v>0</v>
      </c>
      <c r="AH682" s="771">
        <f t="shared" si="244"/>
        <v>0</v>
      </c>
      <c r="AI682" s="771">
        <f t="shared" si="244"/>
        <v>0</v>
      </c>
      <c r="AJ682" s="771">
        <f t="shared" si="244"/>
        <v>0</v>
      </c>
      <c r="AK682" s="771">
        <f t="shared" si="244"/>
        <v>0</v>
      </c>
      <c r="AL682" s="771">
        <f t="shared" si="244"/>
        <v>0</v>
      </c>
      <c r="AM682" s="771">
        <f t="shared" si="244"/>
        <v>0</v>
      </c>
      <c r="AN682" s="771">
        <f t="shared" si="244"/>
        <v>0</v>
      </c>
      <c r="AO682" s="771">
        <f t="shared" si="244"/>
        <v>0</v>
      </c>
      <c r="AP682" s="771">
        <f t="shared" si="244"/>
        <v>0</v>
      </c>
      <c r="AQ682" s="771">
        <f t="shared" si="244"/>
        <v>0</v>
      </c>
      <c r="AR682" s="771">
        <f t="shared" si="244"/>
        <v>0</v>
      </c>
      <c r="AS682" s="771">
        <f t="shared" si="244"/>
        <v>0</v>
      </c>
      <c r="AT682" s="771">
        <f t="shared" si="244"/>
        <v>0</v>
      </c>
      <c r="AU682" s="771">
        <f t="shared" si="244"/>
        <v>0</v>
      </c>
      <c r="AV682" s="771">
        <f t="shared" si="244"/>
        <v>0</v>
      </c>
      <c r="AW682" s="771">
        <f t="shared" si="244"/>
        <v>0</v>
      </c>
      <c r="AX682" s="771">
        <f t="shared" si="244"/>
        <v>0</v>
      </c>
      <c r="AY682" s="771">
        <f t="shared" si="244"/>
        <v>0</v>
      </c>
      <c r="AZ682" s="771">
        <f t="shared" si="244"/>
        <v>0</v>
      </c>
      <c r="BA682" s="771">
        <f t="shared" si="244"/>
        <v>0</v>
      </c>
      <c r="BB682" s="771">
        <f t="shared" si="244"/>
        <v>0</v>
      </c>
      <c r="BC682" s="771">
        <f t="shared" si="244"/>
        <v>0</v>
      </c>
      <c r="BD682" s="771">
        <f t="shared" si="244"/>
        <v>0</v>
      </c>
      <c r="BE682" s="771">
        <f t="shared" si="244"/>
        <v>0</v>
      </c>
      <c r="BF682" s="771">
        <f t="shared" si="244"/>
        <v>0</v>
      </c>
      <c r="BG682" s="764">
        <f t="shared" si="244"/>
        <v>0</v>
      </c>
      <c r="BH682" s="776"/>
      <c r="BI682" s="654"/>
      <c r="BJ682" s="659">
        <f>IFERROR(13/J682,0)</f>
        <v>0</v>
      </c>
      <c r="BK682" s="660">
        <f>SUBTOTAL(9,BK683:BK698)</f>
        <v>0</v>
      </c>
      <c r="BL682" s="654"/>
      <c r="BM682" s="661">
        <f t="shared" ref="BM682:DH682" si="245">SUBTOTAL(9,BM683:BM698)</f>
        <v>0</v>
      </c>
      <c r="BN682" s="662">
        <f t="shared" si="245"/>
        <v>0</v>
      </c>
      <c r="BO682" s="662">
        <f t="shared" si="245"/>
        <v>0</v>
      </c>
      <c r="BP682" s="662">
        <f t="shared" si="245"/>
        <v>0</v>
      </c>
      <c r="BQ682" s="662">
        <f t="shared" si="245"/>
        <v>0</v>
      </c>
      <c r="BR682" s="662">
        <f t="shared" si="245"/>
        <v>0</v>
      </c>
      <c r="BS682" s="662">
        <f t="shared" si="245"/>
        <v>0</v>
      </c>
      <c r="BT682" s="662">
        <f t="shared" si="245"/>
        <v>0</v>
      </c>
      <c r="BU682" s="662">
        <f t="shared" si="245"/>
        <v>0</v>
      </c>
      <c r="BV682" s="662">
        <f t="shared" si="245"/>
        <v>0</v>
      </c>
      <c r="BW682" s="662">
        <f t="shared" si="245"/>
        <v>0</v>
      </c>
      <c r="BX682" s="662">
        <f t="shared" si="245"/>
        <v>0</v>
      </c>
      <c r="BY682" s="662">
        <f t="shared" si="245"/>
        <v>0</v>
      </c>
      <c r="BZ682" s="662">
        <f t="shared" si="245"/>
        <v>0</v>
      </c>
      <c r="CA682" s="662">
        <f t="shared" si="245"/>
        <v>0</v>
      </c>
      <c r="CB682" s="662">
        <f t="shared" si="245"/>
        <v>0</v>
      </c>
      <c r="CC682" s="662">
        <f t="shared" si="245"/>
        <v>0</v>
      </c>
      <c r="CD682" s="662">
        <f t="shared" si="245"/>
        <v>0</v>
      </c>
      <c r="CE682" s="662">
        <f t="shared" si="245"/>
        <v>0</v>
      </c>
      <c r="CF682" s="662">
        <f t="shared" si="245"/>
        <v>0</v>
      </c>
      <c r="CG682" s="662">
        <f t="shared" si="245"/>
        <v>0</v>
      </c>
      <c r="CH682" s="662">
        <f t="shared" si="245"/>
        <v>0</v>
      </c>
      <c r="CI682" s="662">
        <f t="shared" si="245"/>
        <v>0</v>
      </c>
      <c r="CJ682" s="662">
        <f t="shared" si="245"/>
        <v>0</v>
      </c>
      <c r="CK682" s="662">
        <f t="shared" si="245"/>
        <v>0</v>
      </c>
      <c r="CL682" s="662">
        <f t="shared" si="245"/>
        <v>0</v>
      </c>
      <c r="CM682" s="662">
        <f t="shared" si="245"/>
        <v>0</v>
      </c>
      <c r="CN682" s="662">
        <f t="shared" si="245"/>
        <v>0</v>
      </c>
      <c r="CO682" s="662">
        <f t="shared" si="245"/>
        <v>0</v>
      </c>
      <c r="CP682" s="662">
        <f t="shared" si="245"/>
        <v>0</v>
      </c>
      <c r="CQ682" s="662">
        <f t="shared" si="245"/>
        <v>0</v>
      </c>
      <c r="CR682" s="662">
        <f t="shared" si="245"/>
        <v>0</v>
      </c>
      <c r="CS682" s="662">
        <f t="shared" si="245"/>
        <v>0</v>
      </c>
      <c r="CT682" s="662">
        <f t="shared" si="245"/>
        <v>0</v>
      </c>
      <c r="CU682" s="662">
        <f t="shared" si="245"/>
        <v>0</v>
      </c>
      <c r="CV682" s="662">
        <f t="shared" si="245"/>
        <v>0</v>
      </c>
      <c r="CW682" s="662">
        <f t="shared" si="245"/>
        <v>0</v>
      </c>
      <c r="CX682" s="662">
        <f t="shared" si="245"/>
        <v>0</v>
      </c>
      <c r="CY682" s="662">
        <f t="shared" si="245"/>
        <v>0</v>
      </c>
      <c r="CZ682" s="662">
        <f t="shared" si="245"/>
        <v>0</v>
      </c>
      <c r="DA682" s="662">
        <f t="shared" si="245"/>
        <v>0</v>
      </c>
      <c r="DB682" s="662">
        <f t="shared" si="245"/>
        <v>0</v>
      </c>
      <c r="DC682" s="662">
        <f t="shared" si="245"/>
        <v>0</v>
      </c>
      <c r="DD682" s="662">
        <f t="shared" si="245"/>
        <v>0</v>
      </c>
      <c r="DE682" s="662">
        <f t="shared" si="245"/>
        <v>0</v>
      </c>
      <c r="DF682" s="662">
        <f t="shared" si="245"/>
        <v>0</v>
      </c>
      <c r="DG682" s="662">
        <f t="shared" si="245"/>
        <v>0</v>
      </c>
      <c r="DH682" s="663">
        <f t="shared" si="245"/>
        <v>0</v>
      </c>
    </row>
    <row r="683" spans="1:112" s="649" customFormat="1" ht="14.4" hidden="1" outlineLevel="1" thickBot="1" x14ac:dyDescent="0.35">
      <c r="A683" s="652" t="str">
        <f>IF(J682&gt;0,"Imprimir","")</f>
        <v/>
      </c>
      <c r="B683" s="652"/>
      <c r="C683" s="664"/>
      <c r="D683" s="665"/>
      <c r="E683" s="665"/>
      <c r="F683" s="665" t="s">
        <v>472</v>
      </c>
      <c r="G683" s="716" t="s">
        <v>463</v>
      </c>
      <c r="H683" s="665" t="str">
        <f>H487</f>
        <v>Cantidad</v>
      </c>
      <c r="I683" s="665" t="s">
        <v>474</v>
      </c>
      <c r="J683" s="104" t="s">
        <v>29</v>
      </c>
      <c r="K683" s="667"/>
      <c r="L683" s="745"/>
      <c r="M683" s="741"/>
      <c r="N683" s="741"/>
      <c r="O683" s="741"/>
      <c r="P683" s="741"/>
      <c r="Q683" s="741"/>
      <c r="R683" s="741"/>
      <c r="S683" s="741"/>
      <c r="T683" s="741"/>
      <c r="U683" s="741"/>
      <c r="V683" s="741"/>
      <c r="W683" s="741"/>
      <c r="X683" s="741"/>
      <c r="Y683" s="741"/>
      <c r="Z683" s="741"/>
      <c r="AA683" s="741"/>
      <c r="AB683" s="741"/>
      <c r="AC683" s="741"/>
      <c r="AD683" s="741"/>
      <c r="AE683" s="741"/>
      <c r="AF683" s="741"/>
      <c r="AG683" s="741"/>
      <c r="AH683" s="741"/>
      <c r="AI683" s="741"/>
      <c r="AJ683" s="741"/>
      <c r="AK683" s="741"/>
      <c r="AL683" s="741"/>
      <c r="AM683" s="741"/>
      <c r="AN683" s="741"/>
      <c r="AO683" s="741"/>
      <c r="AP683" s="741"/>
      <c r="AQ683" s="741"/>
      <c r="AR683" s="741"/>
      <c r="AS683" s="741"/>
      <c r="AT683" s="741"/>
      <c r="AU683" s="741"/>
      <c r="AV683" s="741"/>
      <c r="AW683" s="741"/>
      <c r="AX683" s="741"/>
      <c r="AY683" s="741"/>
      <c r="AZ683" s="741"/>
      <c r="BA683" s="741"/>
      <c r="BB683" s="741"/>
      <c r="BC683" s="741"/>
      <c r="BD683" s="741"/>
      <c r="BE683" s="741"/>
      <c r="BF683" s="741"/>
      <c r="BG683" s="741"/>
      <c r="BH683" s="668"/>
      <c r="BI683" s="654"/>
      <c r="BJ683" s="669"/>
      <c r="BK683" s="670"/>
      <c r="BL683" s="654"/>
      <c r="BM683" s="671"/>
      <c r="BN683" s="665"/>
      <c r="BO683" s="665"/>
      <c r="BP683" s="665"/>
      <c r="BQ683" s="665"/>
      <c r="BR683" s="665"/>
      <c r="BS683" s="665"/>
      <c r="BT683" s="665"/>
      <c r="BU683" s="665"/>
      <c r="BV683" s="665"/>
      <c r="BW683" s="665"/>
      <c r="BX683" s="665"/>
      <c r="BY683" s="665"/>
      <c r="BZ683" s="665"/>
      <c r="CA683" s="665"/>
      <c r="CB683" s="665"/>
      <c r="CC683" s="665"/>
      <c r="CD683" s="665"/>
      <c r="CE683" s="665"/>
      <c r="CF683" s="665"/>
      <c r="CG683" s="665"/>
      <c r="CH683" s="665"/>
      <c r="CI683" s="665"/>
      <c r="CJ683" s="665"/>
      <c r="CK683" s="665"/>
      <c r="CL683" s="665"/>
      <c r="CM683" s="665"/>
      <c r="CN683" s="665"/>
      <c r="CO683" s="665"/>
      <c r="CP683" s="665"/>
      <c r="CQ683" s="665"/>
      <c r="CR683" s="665"/>
      <c r="CS683" s="665"/>
      <c r="CT683" s="665"/>
      <c r="CU683" s="665"/>
      <c r="CV683" s="665"/>
      <c r="CW683" s="665"/>
      <c r="CX683" s="665"/>
      <c r="CY683" s="665"/>
      <c r="CZ683" s="665"/>
      <c r="DA683" s="665"/>
      <c r="DB683" s="665"/>
      <c r="DC683" s="665"/>
      <c r="DD683" s="665"/>
      <c r="DE683" s="665"/>
      <c r="DF683" s="665"/>
      <c r="DG683" s="665"/>
      <c r="DH683" s="666"/>
    </row>
    <row r="684" spans="1:112" s="649" customFormat="1" ht="16.2" hidden="1" outlineLevel="1" thickBot="1" x14ac:dyDescent="0.35">
      <c r="A684" s="652" t="str">
        <f>IF(J684&gt;0,"Imprimir","")</f>
        <v/>
      </c>
      <c r="B684" s="652"/>
      <c r="C684" s="672"/>
      <c r="D684" s="673"/>
      <c r="E684" s="674"/>
      <c r="F684" s="675"/>
      <c r="G684" s="726"/>
      <c r="H684" s="676"/>
      <c r="I684" s="677"/>
      <c r="J684" s="219">
        <f>SUBTOTAL(9,J685:J698)</f>
        <v>0</v>
      </c>
      <c r="K684" s="678"/>
      <c r="L684" s="747"/>
      <c r="M684" s="742"/>
      <c r="N684" s="742"/>
      <c r="O684" s="742"/>
      <c r="P684" s="742"/>
      <c r="Q684" s="742"/>
      <c r="R684" s="742"/>
      <c r="S684" s="742"/>
      <c r="T684" s="742"/>
      <c r="U684" s="742"/>
      <c r="V684" s="742"/>
      <c r="W684" s="742"/>
      <c r="X684" s="742"/>
      <c r="Y684" s="742"/>
      <c r="Z684" s="742"/>
      <c r="AA684" s="742"/>
      <c r="AB684" s="742"/>
      <c r="AC684" s="742"/>
      <c r="AD684" s="742"/>
      <c r="AE684" s="742"/>
      <c r="AF684" s="742"/>
      <c r="AG684" s="742"/>
      <c r="AH684" s="742"/>
      <c r="AI684" s="742"/>
      <c r="AJ684" s="742"/>
      <c r="AK684" s="742"/>
      <c r="AL684" s="742"/>
      <c r="AM684" s="742"/>
      <c r="AN684" s="742"/>
      <c r="AO684" s="742"/>
      <c r="AP684" s="742"/>
      <c r="AQ684" s="742"/>
      <c r="AR684" s="742"/>
      <c r="AS684" s="742"/>
      <c r="AT684" s="742"/>
      <c r="AU684" s="742"/>
      <c r="AV684" s="742"/>
      <c r="AW684" s="742"/>
      <c r="AX684" s="742"/>
      <c r="AY684" s="742"/>
      <c r="AZ684" s="742"/>
      <c r="BA684" s="742"/>
      <c r="BB684" s="742"/>
      <c r="BC684" s="742"/>
      <c r="BD684" s="742"/>
      <c r="BE684" s="742"/>
      <c r="BF684" s="742"/>
      <c r="BG684" s="742"/>
      <c r="BH684" s="668"/>
      <c r="BI684" s="654"/>
      <c r="BJ684" s="729"/>
      <c r="BK684" s="681"/>
      <c r="BL684" s="654"/>
      <c r="BM684" s="682"/>
      <c r="BN684" s="683"/>
      <c r="BO684" s="683"/>
      <c r="BP684" s="683"/>
      <c r="BQ684" s="683"/>
      <c r="BR684" s="683"/>
      <c r="BS684" s="683"/>
      <c r="BT684" s="683"/>
      <c r="BU684" s="683"/>
      <c r="BV684" s="683"/>
      <c r="BW684" s="683"/>
      <c r="BX684" s="683"/>
      <c r="BY684" s="683"/>
      <c r="BZ684" s="683"/>
      <c r="CA684" s="683"/>
      <c r="CB684" s="683"/>
      <c r="CC684" s="683"/>
      <c r="CD684" s="683"/>
      <c r="CE684" s="683"/>
      <c r="CF684" s="683"/>
      <c r="CG684" s="683"/>
      <c r="CH684" s="683"/>
      <c r="CI684" s="683"/>
      <c r="CJ684" s="683"/>
      <c r="CK684" s="683"/>
      <c r="CL684" s="683"/>
      <c r="CM684" s="683"/>
      <c r="CN684" s="683"/>
      <c r="CO684" s="683"/>
      <c r="CP684" s="683"/>
      <c r="CQ684" s="683"/>
      <c r="CR684" s="683"/>
      <c r="CS684" s="683"/>
      <c r="CT684" s="683"/>
      <c r="CU684" s="683"/>
      <c r="CV684" s="683"/>
      <c r="CW684" s="683"/>
      <c r="CX684" s="683"/>
      <c r="CY684" s="683"/>
      <c r="CZ684" s="683"/>
      <c r="DA684" s="683"/>
      <c r="DB684" s="683"/>
      <c r="DC684" s="683"/>
      <c r="DD684" s="683"/>
      <c r="DE684" s="683"/>
      <c r="DF684" s="683"/>
      <c r="DG684" s="683"/>
      <c r="DH684" s="684"/>
    </row>
    <row r="685" spans="1:112" s="649" customFormat="1" ht="14.4" hidden="1" outlineLevel="1" thickBot="1" x14ac:dyDescent="0.35">
      <c r="A685" s="652" t="str">
        <f t="shared" ref="A685:A697" si="246">IF(J685="","",IF(J685=0,"","Imprimir"))</f>
        <v/>
      </c>
      <c r="B685" s="652"/>
      <c r="C685" s="685"/>
      <c r="D685" s="686" t="s">
        <v>2691</v>
      </c>
      <c r="E685" s="686"/>
      <c r="F685" s="720"/>
      <c r="G685" s="688"/>
      <c r="H685" s="689"/>
      <c r="I685" s="851" t="str">
        <f t="shared" ref="I685:I697" si="247">IF(E685&gt;0,$J$5,"")</f>
        <v/>
      </c>
      <c r="J685" s="517" t="str">
        <f t="shared" ref="J685:J697" si="248">IFERROR(G685*H685*I685,"")</f>
        <v/>
      </c>
      <c r="K685" s="667"/>
      <c r="L685" s="858"/>
      <c r="M685" s="859"/>
      <c r="N685" s="859"/>
      <c r="O685" s="859"/>
      <c r="P685" s="859"/>
      <c r="Q685" s="859"/>
      <c r="R685" s="859"/>
      <c r="S685" s="859"/>
      <c r="T685" s="859"/>
      <c r="U685" s="859"/>
      <c r="V685" s="859"/>
      <c r="W685" s="859"/>
      <c r="X685" s="859"/>
      <c r="Y685" s="859"/>
      <c r="Z685" s="860"/>
      <c r="AA685" s="860"/>
      <c r="AB685" s="860"/>
      <c r="AC685" s="860"/>
      <c r="AD685" s="860"/>
      <c r="AE685" s="860"/>
      <c r="AF685" s="860"/>
      <c r="AG685" s="860"/>
      <c r="AH685" s="860"/>
      <c r="AI685" s="860"/>
      <c r="AJ685" s="860"/>
      <c r="AK685" s="860"/>
      <c r="AL685" s="860"/>
      <c r="AM685" s="860"/>
      <c r="AN685" s="860"/>
      <c r="AO685" s="860"/>
      <c r="AP685" s="860"/>
      <c r="AQ685" s="860"/>
      <c r="AR685" s="860"/>
      <c r="AS685" s="860"/>
      <c r="AT685" s="860"/>
      <c r="AU685" s="860"/>
      <c r="AV685" s="860"/>
      <c r="AW685" s="860"/>
      <c r="AX685" s="860"/>
      <c r="AY685" s="860"/>
      <c r="AZ685" s="860"/>
      <c r="BA685" s="860"/>
      <c r="BB685" s="860"/>
      <c r="BC685" s="860"/>
      <c r="BD685" s="860"/>
      <c r="BE685" s="860"/>
      <c r="BF685" s="860"/>
      <c r="BG685" s="860"/>
      <c r="BH685" s="668"/>
      <c r="BI685" s="654"/>
      <c r="BJ685" s="690">
        <f t="shared" ref="BJ685:BJ697" si="249">IFERROR(BK685/J685,0)</f>
        <v>0</v>
      </c>
      <c r="BK685" s="691">
        <f t="shared" ref="BK685:BK697" si="250">SUM(BM685:DH685)</f>
        <v>0</v>
      </c>
      <c r="BL685" s="654"/>
      <c r="BM685" s="692">
        <f>SUMIFS(Imput[[Importe Neto]:[Importe Neto]],Imput[[C. Imp.]:[C. Imp.]],$D685,Imput[[PERIODO Imp.]:[PERIODO Imp.]],BM$9)</f>
        <v>0</v>
      </c>
      <c r="BN685" s="693">
        <f>SUMIFS(Imput[[Importe Neto]:[Importe Neto]],Imput[[C. Imp.]:[C. Imp.]],$D685,Imput[[PERIODO Imp.]:[PERIODO Imp.]],BN$9)</f>
        <v>0</v>
      </c>
      <c r="BO685" s="693">
        <f>SUMIFS(Imput[[Importe Neto]:[Importe Neto]],Imput[[C. Imp.]:[C. Imp.]],$D685,Imput[[PERIODO Imp.]:[PERIODO Imp.]],BO$9)</f>
        <v>0</v>
      </c>
      <c r="BP685" s="693">
        <f>SUMIFS(Imput[[Importe Neto]:[Importe Neto]],Imput[[C. Imp.]:[C. Imp.]],$D685,Imput[[PERIODO Imp.]:[PERIODO Imp.]],BP$9)</f>
        <v>0</v>
      </c>
      <c r="BQ685" s="693">
        <f>SUMIFS(Imput[[Importe Neto]:[Importe Neto]],Imput[[C. Imp.]:[C. Imp.]],$D685,Imput[[PERIODO Imp.]:[PERIODO Imp.]],BQ$9)</f>
        <v>0</v>
      </c>
      <c r="BR685" s="693">
        <f>SUMIFS(Imput[[Importe Neto]:[Importe Neto]],Imput[[C. Imp.]:[C. Imp.]],$D685,Imput[[PERIODO Imp.]:[PERIODO Imp.]],BR$9)</f>
        <v>0</v>
      </c>
      <c r="BS685" s="693">
        <f>SUMIFS(Imput[[Importe Neto]:[Importe Neto]],Imput[[C. Imp.]:[C. Imp.]],$D685,Imput[[PERIODO Imp.]:[PERIODO Imp.]],BS$9)</f>
        <v>0</v>
      </c>
      <c r="BT685" s="693">
        <f>SUMIFS(Imput[[Importe Neto]:[Importe Neto]],Imput[[C. Imp.]:[C. Imp.]],$D685,Imput[[PERIODO Imp.]:[PERIODO Imp.]],BT$9)</f>
        <v>0</v>
      </c>
      <c r="BU685" s="693">
        <f>SUMIFS(Imput[[Importe Neto]:[Importe Neto]],Imput[[C. Imp.]:[C. Imp.]],$D685,Imput[[PERIODO Imp.]:[PERIODO Imp.]],BU$9)</f>
        <v>0</v>
      </c>
      <c r="BV685" s="693">
        <f>SUMIFS(Imput[[Importe Neto]:[Importe Neto]],Imput[[C. Imp.]:[C. Imp.]],$D685,Imput[[PERIODO Imp.]:[PERIODO Imp.]],BV$9)</f>
        <v>0</v>
      </c>
      <c r="BW685" s="693">
        <f>SUMIFS(Imput[[Importe Neto]:[Importe Neto]],Imput[[C. Imp.]:[C. Imp.]],$D685,Imput[[PERIODO Imp.]:[PERIODO Imp.]],BW$9)</f>
        <v>0</v>
      </c>
      <c r="BX685" s="693">
        <f>SUMIFS(Imput[[Importe Neto]:[Importe Neto]],Imput[[C. Imp.]:[C. Imp.]],$D685,Imput[[PERIODO Imp.]:[PERIODO Imp.]],BX$9)</f>
        <v>0</v>
      </c>
      <c r="BY685" s="693">
        <f>SUMIFS(Imput[[Importe Neto]:[Importe Neto]],Imput[[C. Imp.]:[C. Imp.]],$D685,Imput[[PERIODO Imp.]:[PERIODO Imp.]],BY$9)</f>
        <v>0</v>
      </c>
      <c r="BZ685" s="693">
        <f>SUMIFS(Imput[[Importe Neto]:[Importe Neto]],Imput[[C. Imp.]:[C. Imp.]],$D685,Imput[[PERIODO Imp.]:[PERIODO Imp.]],BZ$9)</f>
        <v>0</v>
      </c>
      <c r="CA685" s="693">
        <f>SUMIFS(Imput[[Importe Neto]:[Importe Neto]],Imput[[C. Imp.]:[C. Imp.]],$D685,Imput[[PERIODO Imp.]:[PERIODO Imp.]],CA$9)</f>
        <v>0</v>
      </c>
      <c r="CB685" s="693">
        <f>SUMIFS(Imput[[Importe Neto]:[Importe Neto]],Imput[[C. Imp.]:[C. Imp.]],$D685,Imput[[PERIODO Imp.]:[PERIODO Imp.]],CB$9)</f>
        <v>0</v>
      </c>
      <c r="CC685" s="693">
        <f>SUMIFS(Imput[[Importe Neto]:[Importe Neto]],Imput[[C. Imp.]:[C. Imp.]],$D685,Imput[[PERIODO Imp.]:[PERIODO Imp.]],CC$9)</f>
        <v>0</v>
      </c>
      <c r="CD685" s="693">
        <f>SUMIFS(Imput[[Importe Neto]:[Importe Neto]],Imput[[C. Imp.]:[C. Imp.]],$D685,Imput[[PERIODO Imp.]:[PERIODO Imp.]],CD$9)</f>
        <v>0</v>
      </c>
      <c r="CE685" s="693">
        <f>SUMIFS(Imput[[Importe Neto]:[Importe Neto]],Imput[[C. Imp.]:[C. Imp.]],$D685,Imput[[PERIODO Imp.]:[PERIODO Imp.]],CE$9)</f>
        <v>0</v>
      </c>
      <c r="CF685" s="693">
        <f>SUMIFS(Imput[[Importe Neto]:[Importe Neto]],Imput[[C. Imp.]:[C. Imp.]],$D685,Imput[[PERIODO Imp.]:[PERIODO Imp.]],CF$9)</f>
        <v>0</v>
      </c>
      <c r="CG685" s="693">
        <f>SUMIFS(Imput[[Importe Neto]:[Importe Neto]],Imput[[C. Imp.]:[C. Imp.]],$D685,Imput[[PERIODO Imp.]:[PERIODO Imp.]],CG$9)</f>
        <v>0</v>
      </c>
      <c r="CH685" s="693">
        <f>SUMIFS(Imput[[Importe Neto]:[Importe Neto]],Imput[[C. Imp.]:[C. Imp.]],$D685,Imput[[PERIODO Imp.]:[PERIODO Imp.]],CH$9)</f>
        <v>0</v>
      </c>
      <c r="CI685" s="693">
        <f>SUMIFS(Imput[[Importe Neto]:[Importe Neto]],Imput[[C. Imp.]:[C. Imp.]],$D685,Imput[[PERIODO Imp.]:[PERIODO Imp.]],CI$9)</f>
        <v>0</v>
      </c>
      <c r="CJ685" s="693">
        <f>SUMIFS(Imput[[Importe Neto]:[Importe Neto]],Imput[[C. Imp.]:[C. Imp.]],$D685,Imput[[PERIODO Imp.]:[PERIODO Imp.]],CJ$9)</f>
        <v>0</v>
      </c>
      <c r="CK685" s="693">
        <f>SUMIFS(Imput[[Importe Neto]:[Importe Neto]],Imput[[C. Imp.]:[C. Imp.]],$D685,Imput[[PERIODO Imp.]:[PERIODO Imp.]],CK$9)</f>
        <v>0</v>
      </c>
      <c r="CL685" s="693">
        <f>SUMIFS(Imput[[Importe Neto]:[Importe Neto]],Imput[[C. Imp.]:[C. Imp.]],$D685,Imput[[PERIODO Imp.]:[PERIODO Imp.]],CL$9)</f>
        <v>0</v>
      </c>
      <c r="CM685" s="693">
        <f>SUMIFS(Imput[[Importe Neto]:[Importe Neto]],Imput[[C. Imp.]:[C. Imp.]],$D685,Imput[[PERIODO Imp.]:[PERIODO Imp.]],CM$9)</f>
        <v>0</v>
      </c>
      <c r="CN685" s="693">
        <f>SUMIFS(Imput[[Importe Neto]:[Importe Neto]],Imput[[C. Imp.]:[C. Imp.]],$D685,Imput[[PERIODO Imp.]:[PERIODO Imp.]],CN$9)</f>
        <v>0</v>
      </c>
      <c r="CO685" s="693">
        <f>SUMIFS(Imput[[Importe Neto]:[Importe Neto]],Imput[[C. Imp.]:[C. Imp.]],$D685,Imput[[PERIODO Imp.]:[PERIODO Imp.]],CO$9)</f>
        <v>0</v>
      </c>
      <c r="CP685" s="693">
        <f>SUMIFS(Imput[[Importe Neto]:[Importe Neto]],Imput[[C. Imp.]:[C. Imp.]],$D685,Imput[[PERIODO Imp.]:[PERIODO Imp.]],CP$9)</f>
        <v>0</v>
      </c>
      <c r="CQ685" s="693">
        <f>SUMIFS(Imput[[Importe Neto]:[Importe Neto]],Imput[[C. Imp.]:[C. Imp.]],$D685,Imput[[PERIODO Imp.]:[PERIODO Imp.]],CQ$9)</f>
        <v>0</v>
      </c>
      <c r="CR685" s="693">
        <f>SUMIFS(Imput[[Importe Neto]:[Importe Neto]],Imput[[C. Imp.]:[C. Imp.]],$D685,Imput[[PERIODO Imp.]:[PERIODO Imp.]],CR$9)</f>
        <v>0</v>
      </c>
      <c r="CS685" s="693">
        <f>SUMIFS(Imput[[Importe Neto]:[Importe Neto]],Imput[[C. Imp.]:[C. Imp.]],$D685,Imput[[PERIODO Imp.]:[PERIODO Imp.]],CS$9)</f>
        <v>0</v>
      </c>
      <c r="CT685" s="693">
        <f>SUMIFS(Imput[[Importe Neto]:[Importe Neto]],Imput[[C. Imp.]:[C. Imp.]],$D685,Imput[[PERIODO Imp.]:[PERIODO Imp.]],CT$9)</f>
        <v>0</v>
      </c>
      <c r="CU685" s="693">
        <f>SUMIFS(Imput[[Importe Neto]:[Importe Neto]],Imput[[C. Imp.]:[C. Imp.]],$D685,Imput[[PERIODO Imp.]:[PERIODO Imp.]],CU$9)</f>
        <v>0</v>
      </c>
      <c r="CV685" s="693">
        <f>SUMIFS(Imput[[Importe Neto]:[Importe Neto]],Imput[[C. Imp.]:[C. Imp.]],$D685,Imput[[PERIODO Imp.]:[PERIODO Imp.]],CV$9)</f>
        <v>0</v>
      </c>
      <c r="CW685" s="693">
        <f>SUMIFS(Imput[[Importe Neto]:[Importe Neto]],Imput[[C. Imp.]:[C. Imp.]],$D685,Imput[[PERIODO Imp.]:[PERIODO Imp.]],CW$9)</f>
        <v>0</v>
      </c>
      <c r="CX685" s="693">
        <f>SUMIFS(Imput[[Importe Neto]:[Importe Neto]],Imput[[C. Imp.]:[C. Imp.]],$D685,Imput[[PERIODO Imp.]:[PERIODO Imp.]],CX$9)</f>
        <v>0</v>
      </c>
      <c r="CY685" s="693">
        <f>SUMIFS(Imput[[Importe Neto]:[Importe Neto]],Imput[[C. Imp.]:[C. Imp.]],$D685,Imput[[PERIODO Imp.]:[PERIODO Imp.]],CY$9)</f>
        <v>0</v>
      </c>
      <c r="CZ685" s="693">
        <f>SUMIFS(Imput[[Importe Neto]:[Importe Neto]],Imput[[C. Imp.]:[C. Imp.]],$D685,Imput[[PERIODO Imp.]:[PERIODO Imp.]],CZ$9)</f>
        <v>0</v>
      </c>
      <c r="DA685" s="693">
        <f>SUMIFS(Imput[[Importe Neto]:[Importe Neto]],Imput[[C. Imp.]:[C. Imp.]],$D685,Imput[[PERIODO Imp.]:[PERIODO Imp.]],DA$9)</f>
        <v>0</v>
      </c>
      <c r="DB685" s="693">
        <f>SUMIFS(Imput[[Importe Neto]:[Importe Neto]],Imput[[C. Imp.]:[C. Imp.]],$D685,Imput[[PERIODO Imp.]:[PERIODO Imp.]],DB$9)</f>
        <v>0</v>
      </c>
      <c r="DC685" s="693">
        <f>SUMIFS(Imput[[Importe Neto]:[Importe Neto]],Imput[[C. Imp.]:[C. Imp.]],$D685,Imput[[PERIODO Imp.]:[PERIODO Imp.]],DC$9)</f>
        <v>0</v>
      </c>
      <c r="DD685" s="693">
        <f>SUMIFS(Imput[[Importe Neto]:[Importe Neto]],Imput[[C. Imp.]:[C. Imp.]],$D685,Imput[[PERIODO Imp.]:[PERIODO Imp.]],DD$9)</f>
        <v>0</v>
      </c>
      <c r="DE685" s="693">
        <f>SUMIFS(Imput[[Importe Neto]:[Importe Neto]],Imput[[C. Imp.]:[C. Imp.]],$D685,Imput[[PERIODO Imp.]:[PERIODO Imp.]],DE$9)</f>
        <v>0</v>
      </c>
      <c r="DF685" s="693">
        <f>SUMIFS(Imput[[Importe Neto]:[Importe Neto]],Imput[[C. Imp.]:[C. Imp.]],$D685,Imput[[PERIODO Imp.]:[PERIODO Imp.]],DF$9)</f>
        <v>0</v>
      </c>
      <c r="DG685" s="693">
        <f>SUMIFS(Imput[[Importe Neto]:[Importe Neto]],Imput[[C. Imp.]:[C. Imp.]],$D685,Imput[[PERIODO Imp.]:[PERIODO Imp.]],DG$9)</f>
        <v>0</v>
      </c>
      <c r="DH685" s="694">
        <f>SUMIFS(Imput[[Importe Neto]:[Importe Neto]],Imput[[C. Imp.]:[C. Imp.]],$D685,Imput[[PERIODO Imp.]:[PERIODO Imp.]],DH$9)</f>
        <v>0</v>
      </c>
    </row>
    <row r="686" spans="1:112" s="649" customFormat="1" ht="14.4" hidden="1" outlineLevel="1" thickBot="1" x14ac:dyDescent="0.35">
      <c r="A686" s="652" t="str">
        <f t="shared" si="246"/>
        <v/>
      </c>
      <c r="B686" s="652"/>
      <c r="C686" s="685"/>
      <c r="D686" s="686" t="s">
        <v>2692</v>
      </c>
      <c r="E686" s="686"/>
      <c r="F686" s="720"/>
      <c r="G686" s="688"/>
      <c r="H686" s="689"/>
      <c r="I686" s="851" t="str">
        <f t="shared" si="247"/>
        <v/>
      </c>
      <c r="J686" s="517" t="str">
        <f t="shared" si="248"/>
        <v/>
      </c>
      <c r="K686" s="667"/>
      <c r="L686" s="858"/>
      <c r="M686" s="859"/>
      <c r="N686" s="859"/>
      <c r="O686" s="859"/>
      <c r="P686" s="859"/>
      <c r="Q686" s="859"/>
      <c r="R686" s="859"/>
      <c r="S686" s="859"/>
      <c r="T686" s="859"/>
      <c r="U686" s="859"/>
      <c r="V686" s="859"/>
      <c r="W686" s="859"/>
      <c r="X686" s="859"/>
      <c r="Y686" s="859"/>
      <c r="Z686" s="860"/>
      <c r="AA686" s="860"/>
      <c r="AB686" s="860"/>
      <c r="AC686" s="860"/>
      <c r="AD686" s="860"/>
      <c r="AE686" s="860"/>
      <c r="AF686" s="860"/>
      <c r="AG686" s="860"/>
      <c r="AH686" s="860"/>
      <c r="AI686" s="860"/>
      <c r="AJ686" s="860"/>
      <c r="AK686" s="860"/>
      <c r="AL686" s="860"/>
      <c r="AM686" s="860"/>
      <c r="AN686" s="860"/>
      <c r="AO686" s="860"/>
      <c r="AP686" s="860"/>
      <c r="AQ686" s="860"/>
      <c r="AR686" s="860"/>
      <c r="AS686" s="860"/>
      <c r="AT686" s="860"/>
      <c r="AU686" s="860"/>
      <c r="AV686" s="860"/>
      <c r="AW686" s="860"/>
      <c r="AX686" s="860"/>
      <c r="AY686" s="860"/>
      <c r="AZ686" s="860"/>
      <c r="BA686" s="860"/>
      <c r="BB686" s="860"/>
      <c r="BC686" s="860"/>
      <c r="BD686" s="860"/>
      <c r="BE686" s="860"/>
      <c r="BF686" s="860"/>
      <c r="BG686" s="860"/>
      <c r="BH686" s="668"/>
      <c r="BI686" s="654"/>
      <c r="BJ686" s="690">
        <f t="shared" si="249"/>
        <v>0</v>
      </c>
      <c r="BK686" s="691">
        <f t="shared" si="250"/>
        <v>0</v>
      </c>
      <c r="BL686" s="654"/>
      <c r="BM686" s="692">
        <f>SUMIFS(Imput[[Importe Neto]:[Importe Neto]],Imput[[C. Imp.]:[C. Imp.]],$D686,Imput[[PERIODO Imp.]:[PERIODO Imp.]],BM$9)</f>
        <v>0</v>
      </c>
      <c r="BN686" s="693">
        <f>SUMIFS(Imput[[Importe Neto]:[Importe Neto]],Imput[[C. Imp.]:[C. Imp.]],$D686,Imput[[PERIODO Imp.]:[PERIODO Imp.]],BN$9)</f>
        <v>0</v>
      </c>
      <c r="BO686" s="693">
        <f>SUMIFS(Imput[[Importe Neto]:[Importe Neto]],Imput[[C. Imp.]:[C. Imp.]],$D686,Imput[[PERIODO Imp.]:[PERIODO Imp.]],BO$9)</f>
        <v>0</v>
      </c>
      <c r="BP686" s="693">
        <f>SUMIFS(Imput[[Importe Neto]:[Importe Neto]],Imput[[C. Imp.]:[C. Imp.]],$D686,Imput[[PERIODO Imp.]:[PERIODO Imp.]],BP$9)</f>
        <v>0</v>
      </c>
      <c r="BQ686" s="693">
        <f>SUMIFS(Imput[[Importe Neto]:[Importe Neto]],Imput[[C. Imp.]:[C. Imp.]],$D686,Imput[[PERIODO Imp.]:[PERIODO Imp.]],BQ$9)</f>
        <v>0</v>
      </c>
      <c r="BR686" s="693">
        <f>SUMIFS(Imput[[Importe Neto]:[Importe Neto]],Imput[[C. Imp.]:[C. Imp.]],$D686,Imput[[PERIODO Imp.]:[PERIODO Imp.]],BR$9)</f>
        <v>0</v>
      </c>
      <c r="BS686" s="693">
        <f>SUMIFS(Imput[[Importe Neto]:[Importe Neto]],Imput[[C. Imp.]:[C. Imp.]],$D686,Imput[[PERIODO Imp.]:[PERIODO Imp.]],BS$9)</f>
        <v>0</v>
      </c>
      <c r="BT686" s="693">
        <f>SUMIFS(Imput[[Importe Neto]:[Importe Neto]],Imput[[C. Imp.]:[C. Imp.]],$D686,Imput[[PERIODO Imp.]:[PERIODO Imp.]],BT$9)</f>
        <v>0</v>
      </c>
      <c r="BU686" s="693">
        <f>SUMIFS(Imput[[Importe Neto]:[Importe Neto]],Imput[[C. Imp.]:[C. Imp.]],$D686,Imput[[PERIODO Imp.]:[PERIODO Imp.]],BU$9)</f>
        <v>0</v>
      </c>
      <c r="BV686" s="693">
        <f>SUMIFS(Imput[[Importe Neto]:[Importe Neto]],Imput[[C. Imp.]:[C. Imp.]],$D686,Imput[[PERIODO Imp.]:[PERIODO Imp.]],BV$9)</f>
        <v>0</v>
      </c>
      <c r="BW686" s="693">
        <f>SUMIFS(Imput[[Importe Neto]:[Importe Neto]],Imput[[C. Imp.]:[C. Imp.]],$D686,Imput[[PERIODO Imp.]:[PERIODO Imp.]],BW$9)</f>
        <v>0</v>
      </c>
      <c r="BX686" s="693">
        <f>SUMIFS(Imput[[Importe Neto]:[Importe Neto]],Imput[[C. Imp.]:[C. Imp.]],$D686,Imput[[PERIODO Imp.]:[PERIODO Imp.]],BX$9)</f>
        <v>0</v>
      </c>
      <c r="BY686" s="693">
        <f>SUMIFS(Imput[[Importe Neto]:[Importe Neto]],Imput[[C. Imp.]:[C. Imp.]],$D686,Imput[[PERIODO Imp.]:[PERIODO Imp.]],BY$9)</f>
        <v>0</v>
      </c>
      <c r="BZ686" s="693">
        <f>SUMIFS(Imput[[Importe Neto]:[Importe Neto]],Imput[[C. Imp.]:[C. Imp.]],$D686,Imput[[PERIODO Imp.]:[PERIODO Imp.]],BZ$9)</f>
        <v>0</v>
      </c>
      <c r="CA686" s="693">
        <f>SUMIFS(Imput[[Importe Neto]:[Importe Neto]],Imput[[C. Imp.]:[C. Imp.]],$D686,Imput[[PERIODO Imp.]:[PERIODO Imp.]],CA$9)</f>
        <v>0</v>
      </c>
      <c r="CB686" s="693">
        <f>SUMIFS(Imput[[Importe Neto]:[Importe Neto]],Imput[[C. Imp.]:[C. Imp.]],$D686,Imput[[PERIODO Imp.]:[PERIODO Imp.]],CB$9)</f>
        <v>0</v>
      </c>
      <c r="CC686" s="693">
        <f>SUMIFS(Imput[[Importe Neto]:[Importe Neto]],Imput[[C. Imp.]:[C. Imp.]],$D686,Imput[[PERIODO Imp.]:[PERIODO Imp.]],CC$9)</f>
        <v>0</v>
      </c>
      <c r="CD686" s="693">
        <f>SUMIFS(Imput[[Importe Neto]:[Importe Neto]],Imput[[C. Imp.]:[C. Imp.]],$D686,Imput[[PERIODO Imp.]:[PERIODO Imp.]],CD$9)</f>
        <v>0</v>
      </c>
      <c r="CE686" s="693">
        <f>SUMIFS(Imput[[Importe Neto]:[Importe Neto]],Imput[[C. Imp.]:[C. Imp.]],$D686,Imput[[PERIODO Imp.]:[PERIODO Imp.]],CE$9)</f>
        <v>0</v>
      </c>
      <c r="CF686" s="693">
        <f>SUMIFS(Imput[[Importe Neto]:[Importe Neto]],Imput[[C. Imp.]:[C. Imp.]],$D686,Imput[[PERIODO Imp.]:[PERIODO Imp.]],CF$9)</f>
        <v>0</v>
      </c>
      <c r="CG686" s="693">
        <f>SUMIFS(Imput[[Importe Neto]:[Importe Neto]],Imput[[C. Imp.]:[C. Imp.]],$D686,Imput[[PERIODO Imp.]:[PERIODO Imp.]],CG$9)</f>
        <v>0</v>
      </c>
      <c r="CH686" s="693">
        <f>SUMIFS(Imput[[Importe Neto]:[Importe Neto]],Imput[[C. Imp.]:[C. Imp.]],$D686,Imput[[PERIODO Imp.]:[PERIODO Imp.]],CH$9)</f>
        <v>0</v>
      </c>
      <c r="CI686" s="693">
        <f>SUMIFS(Imput[[Importe Neto]:[Importe Neto]],Imput[[C. Imp.]:[C. Imp.]],$D686,Imput[[PERIODO Imp.]:[PERIODO Imp.]],CI$9)</f>
        <v>0</v>
      </c>
      <c r="CJ686" s="693">
        <f>SUMIFS(Imput[[Importe Neto]:[Importe Neto]],Imput[[C. Imp.]:[C. Imp.]],$D686,Imput[[PERIODO Imp.]:[PERIODO Imp.]],CJ$9)</f>
        <v>0</v>
      </c>
      <c r="CK686" s="693">
        <f>SUMIFS(Imput[[Importe Neto]:[Importe Neto]],Imput[[C. Imp.]:[C. Imp.]],$D686,Imput[[PERIODO Imp.]:[PERIODO Imp.]],CK$9)</f>
        <v>0</v>
      </c>
      <c r="CL686" s="693">
        <f>SUMIFS(Imput[[Importe Neto]:[Importe Neto]],Imput[[C. Imp.]:[C. Imp.]],$D686,Imput[[PERIODO Imp.]:[PERIODO Imp.]],CL$9)</f>
        <v>0</v>
      </c>
      <c r="CM686" s="693">
        <f>SUMIFS(Imput[[Importe Neto]:[Importe Neto]],Imput[[C. Imp.]:[C. Imp.]],$D686,Imput[[PERIODO Imp.]:[PERIODO Imp.]],CM$9)</f>
        <v>0</v>
      </c>
      <c r="CN686" s="693">
        <f>SUMIFS(Imput[[Importe Neto]:[Importe Neto]],Imput[[C. Imp.]:[C. Imp.]],$D686,Imput[[PERIODO Imp.]:[PERIODO Imp.]],CN$9)</f>
        <v>0</v>
      </c>
      <c r="CO686" s="693">
        <f>SUMIFS(Imput[[Importe Neto]:[Importe Neto]],Imput[[C. Imp.]:[C. Imp.]],$D686,Imput[[PERIODO Imp.]:[PERIODO Imp.]],CO$9)</f>
        <v>0</v>
      </c>
      <c r="CP686" s="693">
        <f>SUMIFS(Imput[[Importe Neto]:[Importe Neto]],Imput[[C. Imp.]:[C. Imp.]],$D686,Imput[[PERIODO Imp.]:[PERIODO Imp.]],CP$9)</f>
        <v>0</v>
      </c>
      <c r="CQ686" s="693">
        <f>SUMIFS(Imput[[Importe Neto]:[Importe Neto]],Imput[[C. Imp.]:[C. Imp.]],$D686,Imput[[PERIODO Imp.]:[PERIODO Imp.]],CQ$9)</f>
        <v>0</v>
      </c>
      <c r="CR686" s="693">
        <f>SUMIFS(Imput[[Importe Neto]:[Importe Neto]],Imput[[C. Imp.]:[C. Imp.]],$D686,Imput[[PERIODO Imp.]:[PERIODO Imp.]],CR$9)</f>
        <v>0</v>
      </c>
      <c r="CS686" s="693">
        <f>SUMIFS(Imput[[Importe Neto]:[Importe Neto]],Imput[[C. Imp.]:[C. Imp.]],$D686,Imput[[PERIODO Imp.]:[PERIODO Imp.]],CS$9)</f>
        <v>0</v>
      </c>
      <c r="CT686" s="693">
        <f>SUMIFS(Imput[[Importe Neto]:[Importe Neto]],Imput[[C. Imp.]:[C. Imp.]],$D686,Imput[[PERIODO Imp.]:[PERIODO Imp.]],CT$9)</f>
        <v>0</v>
      </c>
      <c r="CU686" s="693">
        <f>SUMIFS(Imput[[Importe Neto]:[Importe Neto]],Imput[[C. Imp.]:[C. Imp.]],$D686,Imput[[PERIODO Imp.]:[PERIODO Imp.]],CU$9)</f>
        <v>0</v>
      </c>
      <c r="CV686" s="693">
        <f>SUMIFS(Imput[[Importe Neto]:[Importe Neto]],Imput[[C. Imp.]:[C. Imp.]],$D686,Imput[[PERIODO Imp.]:[PERIODO Imp.]],CV$9)</f>
        <v>0</v>
      </c>
      <c r="CW686" s="693">
        <f>SUMIFS(Imput[[Importe Neto]:[Importe Neto]],Imput[[C. Imp.]:[C. Imp.]],$D686,Imput[[PERIODO Imp.]:[PERIODO Imp.]],CW$9)</f>
        <v>0</v>
      </c>
      <c r="CX686" s="693">
        <f>SUMIFS(Imput[[Importe Neto]:[Importe Neto]],Imput[[C. Imp.]:[C. Imp.]],$D686,Imput[[PERIODO Imp.]:[PERIODO Imp.]],CX$9)</f>
        <v>0</v>
      </c>
      <c r="CY686" s="693">
        <f>SUMIFS(Imput[[Importe Neto]:[Importe Neto]],Imput[[C. Imp.]:[C. Imp.]],$D686,Imput[[PERIODO Imp.]:[PERIODO Imp.]],CY$9)</f>
        <v>0</v>
      </c>
      <c r="CZ686" s="693">
        <f>SUMIFS(Imput[[Importe Neto]:[Importe Neto]],Imput[[C. Imp.]:[C. Imp.]],$D686,Imput[[PERIODO Imp.]:[PERIODO Imp.]],CZ$9)</f>
        <v>0</v>
      </c>
      <c r="DA686" s="693">
        <f>SUMIFS(Imput[[Importe Neto]:[Importe Neto]],Imput[[C. Imp.]:[C. Imp.]],$D686,Imput[[PERIODO Imp.]:[PERIODO Imp.]],DA$9)</f>
        <v>0</v>
      </c>
      <c r="DB686" s="693">
        <f>SUMIFS(Imput[[Importe Neto]:[Importe Neto]],Imput[[C. Imp.]:[C. Imp.]],$D686,Imput[[PERIODO Imp.]:[PERIODO Imp.]],DB$9)</f>
        <v>0</v>
      </c>
      <c r="DC686" s="693">
        <f>SUMIFS(Imput[[Importe Neto]:[Importe Neto]],Imput[[C. Imp.]:[C. Imp.]],$D686,Imput[[PERIODO Imp.]:[PERIODO Imp.]],DC$9)</f>
        <v>0</v>
      </c>
      <c r="DD686" s="693">
        <f>SUMIFS(Imput[[Importe Neto]:[Importe Neto]],Imput[[C. Imp.]:[C. Imp.]],$D686,Imput[[PERIODO Imp.]:[PERIODO Imp.]],DD$9)</f>
        <v>0</v>
      </c>
      <c r="DE686" s="693">
        <f>SUMIFS(Imput[[Importe Neto]:[Importe Neto]],Imput[[C. Imp.]:[C. Imp.]],$D686,Imput[[PERIODO Imp.]:[PERIODO Imp.]],DE$9)</f>
        <v>0</v>
      </c>
      <c r="DF686" s="693">
        <f>SUMIFS(Imput[[Importe Neto]:[Importe Neto]],Imput[[C. Imp.]:[C. Imp.]],$D686,Imput[[PERIODO Imp.]:[PERIODO Imp.]],DF$9)</f>
        <v>0</v>
      </c>
      <c r="DG686" s="693">
        <f>SUMIFS(Imput[[Importe Neto]:[Importe Neto]],Imput[[C. Imp.]:[C. Imp.]],$D686,Imput[[PERIODO Imp.]:[PERIODO Imp.]],DG$9)</f>
        <v>0</v>
      </c>
      <c r="DH686" s="694">
        <f>SUMIFS(Imput[[Importe Neto]:[Importe Neto]],Imput[[C. Imp.]:[C. Imp.]],$D686,Imput[[PERIODO Imp.]:[PERIODO Imp.]],DH$9)</f>
        <v>0</v>
      </c>
    </row>
    <row r="687" spans="1:112" s="649" customFormat="1" ht="14.4" hidden="1" outlineLevel="1" thickBot="1" x14ac:dyDescent="0.35">
      <c r="A687" s="652" t="str">
        <f t="shared" si="246"/>
        <v/>
      </c>
      <c r="B687" s="652"/>
      <c r="C687" s="685"/>
      <c r="D687" s="686" t="s">
        <v>2693</v>
      </c>
      <c r="E687" s="686"/>
      <c r="F687" s="720"/>
      <c r="G687" s="688"/>
      <c r="H687" s="689"/>
      <c r="I687" s="851" t="str">
        <f t="shared" si="247"/>
        <v/>
      </c>
      <c r="J687" s="517" t="str">
        <f t="shared" si="248"/>
        <v/>
      </c>
      <c r="K687" s="667"/>
      <c r="L687" s="858"/>
      <c r="M687" s="859"/>
      <c r="N687" s="859"/>
      <c r="O687" s="859"/>
      <c r="P687" s="859"/>
      <c r="Q687" s="859"/>
      <c r="R687" s="859"/>
      <c r="S687" s="859"/>
      <c r="T687" s="859"/>
      <c r="U687" s="859"/>
      <c r="V687" s="859"/>
      <c r="W687" s="859"/>
      <c r="X687" s="859"/>
      <c r="Y687" s="859"/>
      <c r="Z687" s="860"/>
      <c r="AA687" s="860"/>
      <c r="AB687" s="860"/>
      <c r="AC687" s="860"/>
      <c r="AD687" s="860"/>
      <c r="AE687" s="860"/>
      <c r="AF687" s="860"/>
      <c r="AG687" s="860"/>
      <c r="AH687" s="860"/>
      <c r="AI687" s="860"/>
      <c r="AJ687" s="860"/>
      <c r="AK687" s="860"/>
      <c r="AL687" s="860"/>
      <c r="AM687" s="860"/>
      <c r="AN687" s="860"/>
      <c r="AO687" s="860"/>
      <c r="AP687" s="860"/>
      <c r="AQ687" s="860"/>
      <c r="AR687" s="860"/>
      <c r="AS687" s="860"/>
      <c r="AT687" s="860"/>
      <c r="AU687" s="860"/>
      <c r="AV687" s="860"/>
      <c r="AW687" s="860"/>
      <c r="AX687" s="860"/>
      <c r="AY687" s="860"/>
      <c r="AZ687" s="860"/>
      <c r="BA687" s="860"/>
      <c r="BB687" s="860"/>
      <c r="BC687" s="860"/>
      <c r="BD687" s="860"/>
      <c r="BE687" s="860"/>
      <c r="BF687" s="860"/>
      <c r="BG687" s="860"/>
      <c r="BH687" s="668"/>
      <c r="BI687" s="654"/>
      <c r="BJ687" s="690">
        <f t="shared" si="249"/>
        <v>0</v>
      </c>
      <c r="BK687" s="691">
        <f t="shared" si="250"/>
        <v>0</v>
      </c>
      <c r="BL687" s="654"/>
      <c r="BM687" s="692">
        <f>SUMIFS(Imput[[Importe Neto]:[Importe Neto]],Imput[[C. Imp.]:[C. Imp.]],$D687,Imput[[PERIODO Imp.]:[PERIODO Imp.]],BM$9)</f>
        <v>0</v>
      </c>
      <c r="BN687" s="693">
        <f>SUMIFS(Imput[[Importe Neto]:[Importe Neto]],Imput[[C. Imp.]:[C. Imp.]],$D687,Imput[[PERIODO Imp.]:[PERIODO Imp.]],BN$9)</f>
        <v>0</v>
      </c>
      <c r="BO687" s="693">
        <f>SUMIFS(Imput[[Importe Neto]:[Importe Neto]],Imput[[C. Imp.]:[C. Imp.]],$D687,Imput[[PERIODO Imp.]:[PERIODO Imp.]],BO$9)</f>
        <v>0</v>
      </c>
      <c r="BP687" s="693">
        <f>SUMIFS(Imput[[Importe Neto]:[Importe Neto]],Imput[[C. Imp.]:[C. Imp.]],$D687,Imput[[PERIODO Imp.]:[PERIODO Imp.]],BP$9)</f>
        <v>0</v>
      </c>
      <c r="BQ687" s="693">
        <f>SUMIFS(Imput[[Importe Neto]:[Importe Neto]],Imput[[C. Imp.]:[C. Imp.]],$D687,Imput[[PERIODO Imp.]:[PERIODO Imp.]],BQ$9)</f>
        <v>0</v>
      </c>
      <c r="BR687" s="693">
        <f>SUMIFS(Imput[[Importe Neto]:[Importe Neto]],Imput[[C. Imp.]:[C. Imp.]],$D687,Imput[[PERIODO Imp.]:[PERIODO Imp.]],BR$9)</f>
        <v>0</v>
      </c>
      <c r="BS687" s="693">
        <f>SUMIFS(Imput[[Importe Neto]:[Importe Neto]],Imput[[C. Imp.]:[C. Imp.]],$D687,Imput[[PERIODO Imp.]:[PERIODO Imp.]],BS$9)</f>
        <v>0</v>
      </c>
      <c r="BT687" s="693">
        <f>SUMIFS(Imput[[Importe Neto]:[Importe Neto]],Imput[[C. Imp.]:[C. Imp.]],$D687,Imput[[PERIODO Imp.]:[PERIODO Imp.]],BT$9)</f>
        <v>0</v>
      </c>
      <c r="BU687" s="693">
        <f>SUMIFS(Imput[[Importe Neto]:[Importe Neto]],Imput[[C. Imp.]:[C. Imp.]],$D687,Imput[[PERIODO Imp.]:[PERIODO Imp.]],BU$9)</f>
        <v>0</v>
      </c>
      <c r="BV687" s="693">
        <f>SUMIFS(Imput[[Importe Neto]:[Importe Neto]],Imput[[C. Imp.]:[C. Imp.]],$D687,Imput[[PERIODO Imp.]:[PERIODO Imp.]],BV$9)</f>
        <v>0</v>
      </c>
      <c r="BW687" s="693">
        <f>SUMIFS(Imput[[Importe Neto]:[Importe Neto]],Imput[[C. Imp.]:[C. Imp.]],$D687,Imput[[PERIODO Imp.]:[PERIODO Imp.]],BW$9)</f>
        <v>0</v>
      </c>
      <c r="BX687" s="693">
        <f>SUMIFS(Imput[[Importe Neto]:[Importe Neto]],Imput[[C. Imp.]:[C. Imp.]],$D687,Imput[[PERIODO Imp.]:[PERIODO Imp.]],BX$9)</f>
        <v>0</v>
      </c>
      <c r="BY687" s="693">
        <f>SUMIFS(Imput[[Importe Neto]:[Importe Neto]],Imput[[C. Imp.]:[C. Imp.]],$D687,Imput[[PERIODO Imp.]:[PERIODO Imp.]],BY$9)</f>
        <v>0</v>
      </c>
      <c r="BZ687" s="693">
        <f>SUMIFS(Imput[[Importe Neto]:[Importe Neto]],Imput[[C. Imp.]:[C. Imp.]],$D687,Imput[[PERIODO Imp.]:[PERIODO Imp.]],BZ$9)</f>
        <v>0</v>
      </c>
      <c r="CA687" s="693">
        <f>SUMIFS(Imput[[Importe Neto]:[Importe Neto]],Imput[[C. Imp.]:[C. Imp.]],$D687,Imput[[PERIODO Imp.]:[PERIODO Imp.]],CA$9)</f>
        <v>0</v>
      </c>
      <c r="CB687" s="693">
        <f>SUMIFS(Imput[[Importe Neto]:[Importe Neto]],Imput[[C. Imp.]:[C. Imp.]],$D687,Imput[[PERIODO Imp.]:[PERIODO Imp.]],CB$9)</f>
        <v>0</v>
      </c>
      <c r="CC687" s="693">
        <f>SUMIFS(Imput[[Importe Neto]:[Importe Neto]],Imput[[C. Imp.]:[C. Imp.]],$D687,Imput[[PERIODO Imp.]:[PERIODO Imp.]],CC$9)</f>
        <v>0</v>
      </c>
      <c r="CD687" s="693">
        <f>SUMIFS(Imput[[Importe Neto]:[Importe Neto]],Imput[[C. Imp.]:[C. Imp.]],$D687,Imput[[PERIODO Imp.]:[PERIODO Imp.]],CD$9)</f>
        <v>0</v>
      </c>
      <c r="CE687" s="693">
        <f>SUMIFS(Imput[[Importe Neto]:[Importe Neto]],Imput[[C. Imp.]:[C. Imp.]],$D687,Imput[[PERIODO Imp.]:[PERIODO Imp.]],CE$9)</f>
        <v>0</v>
      </c>
      <c r="CF687" s="693">
        <f>SUMIFS(Imput[[Importe Neto]:[Importe Neto]],Imput[[C. Imp.]:[C. Imp.]],$D687,Imput[[PERIODO Imp.]:[PERIODO Imp.]],CF$9)</f>
        <v>0</v>
      </c>
      <c r="CG687" s="693">
        <f>SUMIFS(Imput[[Importe Neto]:[Importe Neto]],Imput[[C. Imp.]:[C. Imp.]],$D687,Imput[[PERIODO Imp.]:[PERIODO Imp.]],CG$9)</f>
        <v>0</v>
      </c>
      <c r="CH687" s="693">
        <f>SUMIFS(Imput[[Importe Neto]:[Importe Neto]],Imput[[C. Imp.]:[C. Imp.]],$D687,Imput[[PERIODO Imp.]:[PERIODO Imp.]],CH$9)</f>
        <v>0</v>
      </c>
      <c r="CI687" s="693">
        <f>SUMIFS(Imput[[Importe Neto]:[Importe Neto]],Imput[[C. Imp.]:[C. Imp.]],$D687,Imput[[PERIODO Imp.]:[PERIODO Imp.]],CI$9)</f>
        <v>0</v>
      </c>
      <c r="CJ687" s="693">
        <f>SUMIFS(Imput[[Importe Neto]:[Importe Neto]],Imput[[C. Imp.]:[C. Imp.]],$D687,Imput[[PERIODO Imp.]:[PERIODO Imp.]],CJ$9)</f>
        <v>0</v>
      </c>
      <c r="CK687" s="693">
        <f>SUMIFS(Imput[[Importe Neto]:[Importe Neto]],Imput[[C. Imp.]:[C. Imp.]],$D687,Imput[[PERIODO Imp.]:[PERIODO Imp.]],CK$9)</f>
        <v>0</v>
      </c>
      <c r="CL687" s="693">
        <f>SUMIFS(Imput[[Importe Neto]:[Importe Neto]],Imput[[C. Imp.]:[C. Imp.]],$D687,Imput[[PERIODO Imp.]:[PERIODO Imp.]],CL$9)</f>
        <v>0</v>
      </c>
      <c r="CM687" s="693">
        <f>SUMIFS(Imput[[Importe Neto]:[Importe Neto]],Imput[[C. Imp.]:[C. Imp.]],$D687,Imput[[PERIODO Imp.]:[PERIODO Imp.]],CM$9)</f>
        <v>0</v>
      </c>
      <c r="CN687" s="693">
        <f>SUMIFS(Imput[[Importe Neto]:[Importe Neto]],Imput[[C. Imp.]:[C. Imp.]],$D687,Imput[[PERIODO Imp.]:[PERIODO Imp.]],CN$9)</f>
        <v>0</v>
      </c>
      <c r="CO687" s="693">
        <f>SUMIFS(Imput[[Importe Neto]:[Importe Neto]],Imput[[C. Imp.]:[C. Imp.]],$D687,Imput[[PERIODO Imp.]:[PERIODO Imp.]],CO$9)</f>
        <v>0</v>
      </c>
      <c r="CP687" s="693">
        <f>SUMIFS(Imput[[Importe Neto]:[Importe Neto]],Imput[[C. Imp.]:[C. Imp.]],$D687,Imput[[PERIODO Imp.]:[PERIODO Imp.]],CP$9)</f>
        <v>0</v>
      </c>
      <c r="CQ687" s="693">
        <f>SUMIFS(Imput[[Importe Neto]:[Importe Neto]],Imput[[C. Imp.]:[C. Imp.]],$D687,Imput[[PERIODO Imp.]:[PERIODO Imp.]],CQ$9)</f>
        <v>0</v>
      </c>
      <c r="CR687" s="693">
        <f>SUMIFS(Imput[[Importe Neto]:[Importe Neto]],Imput[[C. Imp.]:[C. Imp.]],$D687,Imput[[PERIODO Imp.]:[PERIODO Imp.]],CR$9)</f>
        <v>0</v>
      </c>
      <c r="CS687" s="693">
        <f>SUMIFS(Imput[[Importe Neto]:[Importe Neto]],Imput[[C. Imp.]:[C. Imp.]],$D687,Imput[[PERIODO Imp.]:[PERIODO Imp.]],CS$9)</f>
        <v>0</v>
      </c>
      <c r="CT687" s="693">
        <f>SUMIFS(Imput[[Importe Neto]:[Importe Neto]],Imput[[C. Imp.]:[C. Imp.]],$D687,Imput[[PERIODO Imp.]:[PERIODO Imp.]],CT$9)</f>
        <v>0</v>
      </c>
      <c r="CU687" s="693">
        <f>SUMIFS(Imput[[Importe Neto]:[Importe Neto]],Imput[[C. Imp.]:[C. Imp.]],$D687,Imput[[PERIODO Imp.]:[PERIODO Imp.]],CU$9)</f>
        <v>0</v>
      </c>
      <c r="CV687" s="693">
        <f>SUMIFS(Imput[[Importe Neto]:[Importe Neto]],Imput[[C. Imp.]:[C. Imp.]],$D687,Imput[[PERIODO Imp.]:[PERIODO Imp.]],CV$9)</f>
        <v>0</v>
      </c>
      <c r="CW687" s="693">
        <f>SUMIFS(Imput[[Importe Neto]:[Importe Neto]],Imput[[C. Imp.]:[C. Imp.]],$D687,Imput[[PERIODO Imp.]:[PERIODO Imp.]],CW$9)</f>
        <v>0</v>
      </c>
      <c r="CX687" s="693">
        <f>SUMIFS(Imput[[Importe Neto]:[Importe Neto]],Imput[[C. Imp.]:[C. Imp.]],$D687,Imput[[PERIODO Imp.]:[PERIODO Imp.]],CX$9)</f>
        <v>0</v>
      </c>
      <c r="CY687" s="693">
        <f>SUMIFS(Imput[[Importe Neto]:[Importe Neto]],Imput[[C. Imp.]:[C. Imp.]],$D687,Imput[[PERIODO Imp.]:[PERIODO Imp.]],CY$9)</f>
        <v>0</v>
      </c>
      <c r="CZ687" s="693">
        <f>SUMIFS(Imput[[Importe Neto]:[Importe Neto]],Imput[[C. Imp.]:[C. Imp.]],$D687,Imput[[PERIODO Imp.]:[PERIODO Imp.]],CZ$9)</f>
        <v>0</v>
      </c>
      <c r="DA687" s="693">
        <f>SUMIFS(Imput[[Importe Neto]:[Importe Neto]],Imput[[C. Imp.]:[C. Imp.]],$D687,Imput[[PERIODO Imp.]:[PERIODO Imp.]],DA$9)</f>
        <v>0</v>
      </c>
      <c r="DB687" s="693">
        <f>SUMIFS(Imput[[Importe Neto]:[Importe Neto]],Imput[[C. Imp.]:[C. Imp.]],$D687,Imput[[PERIODO Imp.]:[PERIODO Imp.]],DB$9)</f>
        <v>0</v>
      </c>
      <c r="DC687" s="693">
        <f>SUMIFS(Imput[[Importe Neto]:[Importe Neto]],Imput[[C. Imp.]:[C. Imp.]],$D687,Imput[[PERIODO Imp.]:[PERIODO Imp.]],DC$9)</f>
        <v>0</v>
      </c>
      <c r="DD687" s="693">
        <f>SUMIFS(Imput[[Importe Neto]:[Importe Neto]],Imput[[C. Imp.]:[C. Imp.]],$D687,Imput[[PERIODO Imp.]:[PERIODO Imp.]],DD$9)</f>
        <v>0</v>
      </c>
      <c r="DE687" s="693">
        <f>SUMIFS(Imput[[Importe Neto]:[Importe Neto]],Imput[[C. Imp.]:[C. Imp.]],$D687,Imput[[PERIODO Imp.]:[PERIODO Imp.]],DE$9)</f>
        <v>0</v>
      </c>
      <c r="DF687" s="693">
        <f>SUMIFS(Imput[[Importe Neto]:[Importe Neto]],Imput[[C. Imp.]:[C. Imp.]],$D687,Imput[[PERIODO Imp.]:[PERIODO Imp.]],DF$9)</f>
        <v>0</v>
      </c>
      <c r="DG687" s="693">
        <f>SUMIFS(Imput[[Importe Neto]:[Importe Neto]],Imput[[C. Imp.]:[C. Imp.]],$D687,Imput[[PERIODO Imp.]:[PERIODO Imp.]],DG$9)</f>
        <v>0</v>
      </c>
      <c r="DH687" s="694">
        <f>SUMIFS(Imput[[Importe Neto]:[Importe Neto]],Imput[[C. Imp.]:[C. Imp.]],$D687,Imput[[PERIODO Imp.]:[PERIODO Imp.]],DH$9)</f>
        <v>0</v>
      </c>
    </row>
    <row r="688" spans="1:112" s="649" customFormat="1" ht="14.4" hidden="1" outlineLevel="1" thickBot="1" x14ac:dyDescent="0.35">
      <c r="A688" s="652" t="str">
        <f t="shared" si="246"/>
        <v/>
      </c>
      <c r="B688" s="652"/>
      <c r="C688" s="685"/>
      <c r="D688" s="686" t="s">
        <v>2694</v>
      </c>
      <c r="E688" s="686"/>
      <c r="F688" s="720"/>
      <c r="G688" s="688"/>
      <c r="H688" s="689"/>
      <c r="I688" s="851" t="str">
        <f t="shared" si="247"/>
        <v/>
      </c>
      <c r="J688" s="517" t="str">
        <f t="shared" si="248"/>
        <v/>
      </c>
      <c r="K688" s="667"/>
      <c r="L688" s="858"/>
      <c r="M688" s="859"/>
      <c r="N688" s="859"/>
      <c r="O688" s="859"/>
      <c r="P688" s="859"/>
      <c r="Q688" s="859"/>
      <c r="R688" s="859"/>
      <c r="S688" s="859"/>
      <c r="T688" s="859"/>
      <c r="U688" s="859"/>
      <c r="V688" s="859"/>
      <c r="W688" s="859"/>
      <c r="X688" s="859"/>
      <c r="Y688" s="859"/>
      <c r="Z688" s="860"/>
      <c r="AA688" s="860"/>
      <c r="AB688" s="860"/>
      <c r="AC688" s="860"/>
      <c r="AD688" s="860"/>
      <c r="AE688" s="860"/>
      <c r="AF688" s="860"/>
      <c r="AG688" s="860"/>
      <c r="AH688" s="860"/>
      <c r="AI688" s="860"/>
      <c r="AJ688" s="860"/>
      <c r="AK688" s="860"/>
      <c r="AL688" s="860"/>
      <c r="AM688" s="860"/>
      <c r="AN688" s="860"/>
      <c r="AO688" s="860"/>
      <c r="AP688" s="860"/>
      <c r="AQ688" s="860"/>
      <c r="AR688" s="860"/>
      <c r="AS688" s="860"/>
      <c r="AT688" s="860"/>
      <c r="AU688" s="860"/>
      <c r="AV688" s="860"/>
      <c r="AW688" s="860"/>
      <c r="AX688" s="860"/>
      <c r="AY688" s="860"/>
      <c r="AZ688" s="860"/>
      <c r="BA688" s="860"/>
      <c r="BB688" s="860"/>
      <c r="BC688" s="860"/>
      <c r="BD688" s="860"/>
      <c r="BE688" s="860"/>
      <c r="BF688" s="860"/>
      <c r="BG688" s="860"/>
      <c r="BH688" s="668"/>
      <c r="BI688" s="654"/>
      <c r="BJ688" s="690">
        <f t="shared" si="249"/>
        <v>0</v>
      </c>
      <c r="BK688" s="691">
        <f t="shared" si="250"/>
        <v>0</v>
      </c>
      <c r="BL688" s="654"/>
      <c r="BM688" s="692">
        <f>SUMIFS(Imput[[Importe Neto]:[Importe Neto]],Imput[[C. Imp.]:[C. Imp.]],$D688,Imput[[PERIODO Imp.]:[PERIODO Imp.]],BM$9)</f>
        <v>0</v>
      </c>
      <c r="BN688" s="693">
        <f>SUMIFS(Imput[[Importe Neto]:[Importe Neto]],Imput[[C. Imp.]:[C. Imp.]],$D688,Imput[[PERIODO Imp.]:[PERIODO Imp.]],BN$9)</f>
        <v>0</v>
      </c>
      <c r="BO688" s="693">
        <f>SUMIFS(Imput[[Importe Neto]:[Importe Neto]],Imput[[C. Imp.]:[C. Imp.]],$D688,Imput[[PERIODO Imp.]:[PERIODO Imp.]],BO$9)</f>
        <v>0</v>
      </c>
      <c r="BP688" s="693">
        <f>SUMIFS(Imput[[Importe Neto]:[Importe Neto]],Imput[[C. Imp.]:[C. Imp.]],$D688,Imput[[PERIODO Imp.]:[PERIODO Imp.]],BP$9)</f>
        <v>0</v>
      </c>
      <c r="BQ688" s="693">
        <f>SUMIFS(Imput[[Importe Neto]:[Importe Neto]],Imput[[C. Imp.]:[C. Imp.]],$D688,Imput[[PERIODO Imp.]:[PERIODO Imp.]],BQ$9)</f>
        <v>0</v>
      </c>
      <c r="BR688" s="693">
        <f>SUMIFS(Imput[[Importe Neto]:[Importe Neto]],Imput[[C. Imp.]:[C. Imp.]],$D688,Imput[[PERIODO Imp.]:[PERIODO Imp.]],BR$9)</f>
        <v>0</v>
      </c>
      <c r="BS688" s="693">
        <f>SUMIFS(Imput[[Importe Neto]:[Importe Neto]],Imput[[C. Imp.]:[C. Imp.]],$D688,Imput[[PERIODO Imp.]:[PERIODO Imp.]],BS$9)</f>
        <v>0</v>
      </c>
      <c r="BT688" s="693">
        <f>SUMIFS(Imput[[Importe Neto]:[Importe Neto]],Imput[[C. Imp.]:[C. Imp.]],$D688,Imput[[PERIODO Imp.]:[PERIODO Imp.]],BT$9)</f>
        <v>0</v>
      </c>
      <c r="BU688" s="693">
        <f>SUMIFS(Imput[[Importe Neto]:[Importe Neto]],Imput[[C. Imp.]:[C. Imp.]],$D688,Imput[[PERIODO Imp.]:[PERIODO Imp.]],BU$9)</f>
        <v>0</v>
      </c>
      <c r="BV688" s="693">
        <f>SUMIFS(Imput[[Importe Neto]:[Importe Neto]],Imput[[C. Imp.]:[C. Imp.]],$D688,Imput[[PERIODO Imp.]:[PERIODO Imp.]],BV$9)</f>
        <v>0</v>
      </c>
      <c r="BW688" s="693">
        <f>SUMIFS(Imput[[Importe Neto]:[Importe Neto]],Imput[[C. Imp.]:[C. Imp.]],$D688,Imput[[PERIODO Imp.]:[PERIODO Imp.]],BW$9)</f>
        <v>0</v>
      </c>
      <c r="BX688" s="693">
        <f>SUMIFS(Imput[[Importe Neto]:[Importe Neto]],Imput[[C. Imp.]:[C. Imp.]],$D688,Imput[[PERIODO Imp.]:[PERIODO Imp.]],BX$9)</f>
        <v>0</v>
      </c>
      <c r="BY688" s="693">
        <f>SUMIFS(Imput[[Importe Neto]:[Importe Neto]],Imput[[C. Imp.]:[C. Imp.]],$D688,Imput[[PERIODO Imp.]:[PERIODO Imp.]],BY$9)</f>
        <v>0</v>
      </c>
      <c r="BZ688" s="693">
        <f>SUMIFS(Imput[[Importe Neto]:[Importe Neto]],Imput[[C. Imp.]:[C. Imp.]],$D688,Imput[[PERIODO Imp.]:[PERIODO Imp.]],BZ$9)</f>
        <v>0</v>
      </c>
      <c r="CA688" s="693">
        <f>SUMIFS(Imput[[Importe Neto]:[Importe Neto]],Imput[[C. Imp.]:[C. Imp.]],$D688,Imput[[PERIODO Imp.]:[PERIODO Imp.]],CA$9)</f>
        <v>0</v>
      </c>
      <c r="CB688" s="693">
        <f>SUMIFS(Imput[[Importe Neto]:[Importe Neto]],Imput[[C. Imp.]:[C. Imp.]],$D688,Imput[[PERIODO Imp.]:[PERIODO Imp.]],CB$9)</f>
        <v>0</v>
      </c>
      <c r="CC688" s="693">
        <f>SUMIFS(Imput[[Importe Neto]:[Importe Neto]],Imput[[C. Imp.]:[C. Imp.]],$D688,Imput[[PERIODO Imp.]:[PERIODO Imp.]],CC$9)</f>
        <v>0</v>
      </c>
      <c r="CD688" s="693">
        <f>SUMIFS(Imput[[Importe Neto]:[Importe Neto]],Imput[[C. Imp.]:[C. Imp.]],$D688,Imput[[PERIODO Imp.]:[PERIODO Imp.]],CD$9)</f>
        <v>0</v>
      </c>
      <c r="CE688" s="693">
        <f>SUMIFS(Imput[[Importe Neto]:[Importe Neto]],Imput[[C. Imp.]:[C. Imp.]],$D688,Imput[[PERIODO Imp.]:[PERIODO Imp.]],CE$9)</f>
        <v>0</v>
      </c>
      <c r="CF688" s="693">
        <f>SUMIFS(Imput[[Importe Neto]:[Importe Neto]],Imput[[C. Imp.]:[C. Imp.]],$D688,Imput[[PERIODO Imp.]:[PERIODO Imp.]],CF$9)</f>
        <v>0</v>
      </c>
      <c r="CG688" s="693">
        <f>SUMIFS(Imput[[Importe Neto]:[Importe Neto]],Imput[[C. Imp.]:[C. Imp.]],$D688,Imput[[PERIODO Imp.]:[PERIODO Imp.]],CG$9)</f>
        <v>0</v>
      </c>
      <c r="CH688" s="693">
        <f>SUMIFS(Imput[[Importe Neto]:[Importe Neto]],Imput[[C. Imp.]:[C. Imp.]],$D688,Imput[[PERIODO Imp.]:[PERIODO Imp.]],CH$9)</f>
        <v>0</v>
      </c>
      <c r="CI688" s="693">
        <f>SUMIFS(Imput[[Importe Neto]:[Importe Neto]],Imput[[C. Imp.]:[C. Imp.]],$D688,Imput[[PERIODO Imp.]:[PERIODO Imp.]],CI$9)</f>
        <v>0</v>
      </c>
      <c r="CJ688" s="693">
        <f>SUMIFS(Imput[[Importe Neto]:[Importe Neto]],Imput[[C. Imp.]:[C. Imp.]],$D688,Imput[[PERIODO Imp.]:[PERIODO Imp.]],CJ$9)</f>
        <v>0</v>
      </c>
      <c r="CK688" s="693">
        <f>SUMIFS(Imput[[Importe Neto]:[Importe Neto]],Imput[[C. Imp.]:[C. Imp.]],$D688,Imput[[PERIODO Imp.]:[PERIODO Imp.]],CK$9)</f>
        <v>0</v>
      </c>
      <c r="CL688" s="693">
        <f>SUMIFS(Imput[[Importe Neto]:[Importe Neto]],Imput[[C. Imp.]:[C. Imp.]],$D688,Imput[[PERIODO Imp.]:[PERIODO Imp.]],CL$9)</f>
        <v>0</v>
      </c>
      <c r="CM688" s="693">
        <f>SUMIFS(Imput[[Importe Neto]:[Importe Neto]],Imput[[C. Imp.]:[C. Imp.]],$D688,Imput[[PERIODO Imp.]:[PERIODO Imp.]],CM$9)</f>
        <v>0</v>
      </c>
      <c r="CN688" s="693">
        <f>SUMIFS(Imput[[Importe Neto]:[Importe Neto]],Imput[[C. Imp.]:[C. Imp.]],$D688,Imput[[PERIODO Imp.]:[PERIODO Imp.]],CN$9)</f>
        <v>0</v>
      </c>
      <c r="CO688" s="693">
        <f>SUMIFS(Imput[[Importe Neto]:[Importe Neto]],Imput[[C. Imp.]:[C. Imp.]],$D688,Imput[[PERIODO Imp.]:[PERIODO Imp.]],CO$9)</f>
        <v>0</v>
      </c>
      <c r="CP688" s="693">
        <f>SUMIFS(Imput[[Importe Neto]:[Importe Neto]],Imput[[C. Imp.]:[C. Imp.]],$D688,Imput[[PERIODO Imp.]:[PERIODO Imp.]],CP$9)</f>
        <v>0</v>
      </c>
      <c r="CQ688" s="693">
        <f>SUMIFS(Imput[[Importe Neto]:[Importe Neto]],Imput[[C. Imp.]:[C. Imp.]],$D688,Imput[[PERIODO Imp.]:[PERIODO Imp.]],CQ$9)</f>
        <v>0</v>
      </c>
      <c r="CR688" s="693">
        <f>SUMIFS(Imput[[Importe Neto]:[Importe Neto]],Imput[[C. Imp.]:[C. Imp.]],$D688,Imput[[PERIODO Imp.]:[PERIODO Imp.]],CR$9)</f>
        <v>0</v>
      </c>
      <c r="CS688" s="693">
        <f>SUMIFS(Imput[[Importe Neto]:[Importe Neto]],Imput[[C. Imp.]:[C. Imp.]],$D688,Imput[[PERIODO Imp.]:[PERIODO Imp.]],CS$9)</f>
        <v>0</v>
      </c>
      <c r="CT688" s="693">
        <f>SUMIFS(Imput[[Importe Neto]:[Importe Neto]],Imput[[C. Imp.]:[C. Imp.]],$D688,Imput[[PERIODO Imp.]:[PERIODO Imp.]],CT$9)</f>
        <v>0</v>
      </c>
      <c r="CU688" s="693">
        <f>SUMIFS(Imput[[Importe Neto]:[Importe Neto]],Imput[[C. Imp.]:[C. Imp.]],$D688,Imput[[PERIODO Imp.]:[PERIODO Imp.]],CU$9)</f>
        <v>0</v>
      </c>
      <c r="CV688" s="693">
        <f>SUMIFS(Imput[[Importe Neto]:[Importe Neto]],Imput[[C. Imp.]:[C. Imp.]],$D688,Imput[[PERIODO Imp.]:[PERIODO Imp.]],CV$9)</f>
        <v>0</v>
      </c>
      <c r="CW688" s="693">
        <f>SUMIFS(Imput[[Importe Neto]:[Importe Neto]],Imput[[C. Imp.]:[C. Imp.]],$D688,Imput[[PERIODO Imp.]:[PERIODO Imp.]],CW$9)</f>
        <v>0</v>
      </c>
      <c r="CX688" s="693">
        <f>SUMIFS(Imput[[Importe Neto]:[Importe Neto]],Imput[[C. Imp.]:[C. Imp.]],$D688,Imput[[PERIODO Imp.]:[PERIODO Imp.]],CX$9)</f>
        <v>0</v>
      </c>
      <c r="CY688" s="693">
        <f>SUMIFS(Imput[[Importe Neto]:[Importe Neto]],Imput[[C. Imp.]:[C. Imp.]],$D688,Imput[[PERIODO Imp.]:[PERIODO Imp.]],CY$9)</f>
        <v>0</v>
      </c>
      <c r="CZ688" s="693">
        <f>SUMIFS(Imput[[Importe Neto]:[Importe Neto]],Imput[[C. Imp.]:[C. Imp.]],$D688,Imput[[PERIODO Imp.]:[PERIODO Imp.]],CZ$9)</f>
        <v>0</v>
      </c>
      <c r="DA688" s="693">
        <f>SUMIFS(Imput[[Importe Neto]:[Importe Neto]],Imput[[C. Imp.]:[C. Imp.]],$D688,Imput[[PERIODO Imp.]:[PERIODO Imp.]],DA$9)</f>
        <v>0</v>
      </c>
      <c r="DB688" s="693">
        <f>SUMIFS(Imput[[Importe Neto]:[Importe Neto]],Imput[[C. Imp.]:[C. Imp.]],$D688,Imput[[PERIODO Imp.]:[PERIODO Imp.]],DB$9)</f>
        <v>0</v>
      </c>
      <c r="DC688" s="693">
        <f>SUMIFS(Imput[[Importe Neto]:[Importe Neto]],Imput[[C. Imp.]:[C. Imp.]],$D688,Imput[[PERIODO Imp.]:[PERIODO Imp.]],DC$9)</f>
        <v>0</v>
      </c>
      <c r="DD688" s="693">
        <f>SUMIFS(Imput[[Importe Neto]:[Importe Neto]],Imput[[C. Imp.]:[C. Imp.]],$D688,Imput[[PERIODO Imp.]:[PERIODO Imp.]],DD$9)</f>
        <v>0</v>
      </c>
      <c r="DE688" s="693">
        <f>SUMIFS(Imput[[Importe Neto]:[Importe Neto]],Imput[[C. Imp.]:[C. Imp.]],$D688,Imput[[PERIODO Imp.]:[PERIODO Imp.]],DE$9)</f>
        <v>0</v>
      </c>
      <c r="DF688" s="693">
        <f>SUMIFS(Imput[[Importe Neto]:[Importe Neto]],Imput[[C. Imp.]:[C. Imp.]],$D688,Imput[[PERIODO Imp.]:[PERIODO Imp.]],DF$9)</f>
        <v>0</v>
      </c>
      <c r="DG688" s="693">
        <f>SUMIFS(Imput[[Importe Neto]:[Importe Neto]],Imput[[C. Imp.]:[C. Imp.]],$D688,Imput[[PERIODO Imp.]:[PERIODO Imp.]],DG$9)</f>
        <v>0</v>
      </c>
      <c r="DH688" s="694">
        <f>SUMIFS(Imput[[Importe Neto]:[Importe Neto]],Imput[[C. Imp.]:[C. Imp.]],$D688,Imput[[PERIODO Imp.]:[PERIODO Imp.]],DH$9)</f>
        <v>0</v>
      </c>
    </row>
    <row r="689" spans="1:112" s="649" customFormat="1" ht="14.4" hidden="1" outlineLevel="1" thickBot="1" x14ac:dyDescent="0.35">
      <c r="A689" s="652" t="str">
        <f t="shared" si="246"/>
        <v/>
      </c>
      <c r="B689" s="652"/>
      <c r="C689" s="685"/>
      <c r="D689" s="686" t="s">
        <v>2695</v>
      </c>
      <c r="E689" s="686"/>
      <c r="F689" s="720"/>
      <c r="G689" s="688"/>
      <c r="H689" s="689"/>
      <c r="I689" s="851" t="str">
        <f t="shared" si="247"/>
        <v/>
      </c>
      <c r="J689" s="517" t="str">
        <f t="shared" si="248"/>
        <v/>
      </c>
      <c r="K689" s="667"/>
      <c r="L689" s="858"/>
      <c r="M689" s="859"/>
      <c r="N689" s="859"/>
      <c r="O689" s="859"/>
      <c r="P689" s="859"/>
      <c r="Q689" s="859"/>
      <c r="R689" s="859"/>
      <c r="S689" s="859"/>
      <c r="T689" s="859"/>
      <c r="U689" s="859"/>
      <c r="V689" s="859"/>
      <c r="W689" s="859"/>
      <c r="X689" s="859"/>
      <c r="Y689" s="859"/>
      <c r="Z689" s="860"/>
      <c r="AA689" s="860"/>
      <c r="AB689" s="860"/>
      <c r="AC689" s="860"/>
      <c r="AD689" s="860"/>
      <c r="AE689" s="860"/>
      <c r="AF689" s="860"/>
      <c r="AG689" s="860"/>
      <c r="AH689" s="860"/>
      <c r="AI689" s="860"/>
      <c r="AJ689" s="860"/>
      <c r="AK689" s="860"/>
      <c r="AL689" s="860"/>
      <c r="AM689" s="860"/>
      <c r="AN689" s="860"/>
      <c r="AO689" s="860"/>
      <c r="AP689" s="860"/>
      <c r="AQ689" s="860"/>
      <c r="AR689" s="860"/>
      <c r="AS689" s="860"/>
      <c r="AT689" s="860"/>
      <c r="AU689" s="860"/>
      <c r="AV689" s="860"/>
      <c r="AW689" s="860"/>
      <c r="AX689" s="860"/>
      <c r="AY689" s="860"/>
      <c r="AZ689" s="860"/>
      <c r="BA689" s="860"/>
      <c r="BB689" s="860"/>
      <c r="BC689" s="860"/>
      <c r="BD689" s="860"/>
      <c r="BE689" s="860"/>
      <c r="BF689" s="860"/>
      <c r="BG689" s="860"/>
      <c r="BH689" s="668"/>
      <c r="BI689" s="654"/>
      <c r="BJ689" s="690">
        <f t="shared" si="249"/>
        <v>0</v>
      </c>
      <c r="BK689" s="691">
        <f t="shared" si="250"/>
        <v>0</v>
      </c>
      <c r="BL689" s="654"/>
      <c r="BM689" s="692">
        <f>SUMIFS(Imput[[Importe Neto]:[Importe Neto]],Imput[[C. Imp.]:[C. Imp.]],$D689,Imput[[PERIODO Imp.]:[PERIODO Imp.]],BM$9)</f>
        <v>0</v>
      </c>
      <c r="BN689" s="693">
        <f>SUMIFS(Imput[[Importe Neto]:[Importe Neto]],Imput[[C. Imp.]:[C. Imp.]],$D689,Imput[[PERIODO Imp.]:[PERIODO Imp.]],BN$9)</f>
        <v>0</v>
      </c>
      <c r="BO689" s="693">
        <f>SUMIFS(Imput[[Importe Neto]:[Importe Neto]],Imput[[C. Imp.]:[C. Imp.]],$D689,Imput[[PERIODO Imp.]:[PERIODO Imp.]],BO$9)</f>
        <v>0</v>
      </c>
      <c r="BP689" s="693">
        <f>SUMIFS(Imput[[Importe Neto]:[Importe Neto]],Imput[[C. Imp.]:[C. Imp.]],$D689,Imput[[PERIODO Imp.]:[PERIODO Imp.]],BP$9)</f>
        <v>0</v>
      </c>
      <c r="BQ689" s="693">
        <f>SUMIFS(Imput[[Importe Neto]:[Importe Neto]],Imput[[C. Imp.]:[C. Imp.]],$D689,Imput[[PERIODO Imp.]:[PERIODO Imp.]],BQ$9)</f>
        <v>0</v>
      </c>
      <c r="BR689" s="693">
        <f>SUMIFS(Imput[[Importe Neto]:[Importe Neto]],Imput[[C. Imp.]:[C. Imp.]],$D689,Imput[[PERIODO Imp.]:[PERIODO Imp.]],BR$9)</f>
        <v>0</v>
      </c>
      <c r="BS689" s="693">
        <f>SUMIFS(Imput[[Importe Neto]:[Importe Neto]],Imput[[C. Imp.]:[C. Imp.]],$D689,Imput[[PERIODO Imp.]:[PERIODO Imp.]],BS$9)</f>
        <v>0</v>
      </c>
      <c r="BT689" s="693">
        <f>SUMIFS(Imput[[Importe Neto]:[Importe Neto]],Imput[[C. Imp.]:[C. Imp.]],$D689,Imput[[PERIODO Imp.]:[PERIODO Imp.]],BT$9)</f>
        <v>0</v>
      </c>
      <c r="BU689" s="693">
        <f>SUMIFS(Imput[[Importe Neto]:[Importe Neto]],Imput[[C. Imp.]:[C. Imp.]],$D689,Imput[[PERIODO Imp.]:[PERIODO Imp.]],BU$9)</f>
        <v>0</v>
      </c>
      <c r="BV689" s="693">
        <f>SUMIFS(Imput[[Importe Neto]:[Importe Neto]],Imput[[C. Imp.]:[C. Imp.]],$D689,Imput[[PERIODO Imp.]:[PERIODO Imp.]],BV$9)</f>
        <v>0</v>
      </c>
      <c r="BW689" s="693">
        <f>SUMIFS(Imput[[Importe Neto]:[Importe Neto]],Imput[[C. Imp.]:[C. Imp.]],$D689,Imput[[PERIODO Imp.]:[PERIODO Imp.]],BW$9)</f>
        <v>0</v>
      </c>
      <c r="BX689" s="693">
        <f>SUMIFS(Imput[[Importe Neto]:[Importe Neto]],Imput[[C. Imp.]:[C. Imp.]],$D689,Imput[[PERIODO Imp.]:[PERIODO Imp.]],BX$9)</f>
        <v>0</v>
      </c>
      <c r="BY689" s="693">
        <f>SUMIFS(Imput[[Importe Neto]:[Importe Neto]],Imput[[C. Imp.]:[C. Imp.]],$D689,Imput[[PERIODO Imp.]:[PERIODO Imp.]],BY$9)</f>
        <v>0</v>
      </c>
      <c r="BZ689" s="693">
        <f>SUMIFS(Imput[[Importe Neto]:[Importe Neto]],Imput[[C. Imp.]:[C. Imp.]],$D689,Imput[[PERIODO Imp.]:[PERIODO Imp.]],BZ$9)</f>
        <v>0</v>
      </c>
      <c r="CA689" s="693">
        <f>SUMIFS(Imput[[Importe Neto]:[Importe Neto]],Imput[[C. Imp.]:[C. Imp.]],$D689,Imput[[PERIODO Imp.]:[PERIODO Imp.]],CA$9)</f>
        <v>0</v>
      </c>
      <c r="CB689" s="693">
        <f>SUMIFS(Imput[[Importe Neto]:[Importe Neto]],Imput[[C. Imp.]:[C. Imp.]],$D689,Imput[[PERIODO Imp.]:[PERIODO Imp.]],CB$9)</f>
        <v>0</v>
      </c>
      <c r="CC689" s="693">
        <f>SUMIFS(Imput[[Importe Neto]:[Importe Neto]],Imput[[C. Imp.]:[C. Imp.]],$D689,Imput[[PERIODO Imp.]:[PERIODO Imp.]],CC$9)</f>
        <v>0</v>
      </c>
      <c r="CD689" s="693">
        <f>SUMIFS(Imput[[Importe Neto]:[Importe Neto]],Imput[[C. Imp.]:[C. Imp.]],$D689,Imput[[PERIODO Imp.]:[PERIODO Imp.]],CD$9)</f>
        <v>0</v>
      </c>
      <c r="CE689" s="693">
        <f>SUMIFS(Imput[[Importe Neto]:[Importe Neto]],Imput[[C. Imp.]:[C. Imp.]],$D689,Imput[[PERIODO Imp.]:[PERIODO Imp.]],CE$9)</f>
        <v>0</v>
      </c>
      <c r="CF689" s="693">
        <f>SUMIFS(Imput[[Importe Neto]:[Importe Neto]],Imput[[C. Imp.]:[C. Imp.]],$D689,Imput[[PERIODO Imp.]:[PERIODO Imp.]],CF$9)</f>
        <v>0</v>
      </c>
      <c r="CG689" s="693">
        <f>SUMIFS(Imput[[Importe Neto]:[Importe Neto]],Imput[[C. Imp.]:[C. Imp.]],$D689,Imput[[PERIODO Imp.]:[PERIODO Imp.]],CG$9)</f>
        <v>0</v>
      </c>
      <c r="CH689" s="693">
        <f>SUMIFS(Imput[[Importe Neto]:[Importe Neto]],Imput[[C. Imp.]:[C. Imp.]],$D689,Imput[[PERIODO Imp.]:[PERIODO Imp.]],CH$9)</f>
        <v>0</v>
      </c>
      <c r="CI689" s="693">
        <f>SUMIFS(Imput[[Importe Neto]:[Importe Neto]],Imput[[C. Imp.]:[C. Imp.]],$D689,Imput[[PERIODO Imp.]:[PERIODO Imp.]],CI$9)</f>
        <v>0</v>
      </c>
      <c r="CJ689" s="693">
        <f>SUMIFS(Imput[[Importe Neto]:[Importe Neto]],Imput[[C. Imp.]:[C. Imp.]],$D689,Imput[[PERIODO Imp.]:[PERIODO Imp.]],CJ$9)</f>
        <v>0</v>
      </c>
      <c r="CK689" s="693">
        <f>SUMIFS(Imput[[Importe Neto]:[Importe Neto]],Imput[[C. Imp.]:[C. Imp.]],$D689,Imput[[PERIODO Imp.]:[PERIODO Imp.]],CK$9)</f>
        <v>0</v>
      </c>
      <c r="CL689" s="693">
        <f>SUMIFS(Imput[[Importe Neto]:[Importe Neto]],Imput[[C. Imp.]:[C. Imp.]],$D689,Imput[[PERIODO Imp.]:[PERIODO Imp.]],CL$9)</f>
        <v>0</v>
      </c>
      <c r="CM689" s="693">
        <f>SUMIFS(Imput[[Importe Neto]:[Importe Neto]],Imput[[C. Imp.]:[C. Imp.]],$D689,Imput[[PERIODO Imp.]:[PERIODO Imp.]],CM$9)</f>
        <v>0</v>
      </c>
      <c r="CN689" s="693">
        <f>SUMIFS(Imput[[Importe Neto]:[Importe Neto]],Imput[[C. Imp.]:[C. Imp.]],$D689,Imput[[PERIODO Imp.]:[PERIODO Imp.]],CN$9)</f>
        <v>0</v>
      </c>
      <c r="CO689" s="693">
        <f>SUMIFS(Imput[[Importe Neto]:[Importe Neto]],Imput[[C. Imp.]:[C. Imp.]],$D689,Imput[[PERIODO Imp.]:[PERIODO Imp.]],CO$9)</f>
        <v>0</v>
      </c>
      <c r="CP689" s="693">
        <f>SUMIFS(Imput[[Importe Neto]:[Importe Neto]],Imput[[C. Imp.]:[C. Imp.]],$D689,Imput[[PERIODO Imp.]:[PERIODO Imp.]],CP$9)</f>
        <v>0</v>
      </c>
      <c r="CQ689" s="693">
        <f>SUMIFS(Imput[[Importe Neto]:[Importe Neto]],Imput[[C. Imp.]:[C. Imp.]],$D689,Imput[[PERIODO Imp.]:[PERIODO Imp.]],CQ$9)</f>
        <v>0</v>
      </c>
      <c r="CR689" s="693">
        <f>SUMIFS(Imput[[Importe Neto]:[Importe Neto]],Imput[[C. Imp.]:[C. Imp.]],$D689,Imput[[PERIODO Imp.]:[PERIODO Imp.]],CR$9)</f>
        <v>0</v>
      </c>
      <c r="CS689" s="693">
        <f>SUMIFS(Imput[[Importe Neto]:[Importe Neto]],Imput[[C. Imp.]:[C. Imp.]],$D689,Imput[[PERIODO Imp.]:[PERIODO Imp.]],CS$9)</f>
        <v>0</v>
      </c>
      <c r="CT689" s="693">
        <f>SUMIFS(Imput[[Importe Neto]:[Importe Neto]],Imput[[C. Imp.]:[C. Imp.]],$D689,Imput[[PERIODO Imp.]:[PERIODO Imp.]],CT$9)</f>
        <v>0</v>
      </c>
      <c r="CU689" s="693">
        <f>SUMIFS(Imput[[Importe Neto]:[Importe Neto]],Imput[[C. Imp.]:[C. Imp.]],$D689,Imput[[PERIODO Imp.]:[PERIODO Imp.]],CU$9)</f>
        <v>0</v>
      </c>
      <c r="CV689" s="693">
        <f>SUMIFS(Imput[[Importe Neto]:[Importe Neto]],Imput[[C. Imp.]:[C. Imp.]],$D689,Imput[[PERIODO Imp.]:[PERIODO Imp.]],CV$9)</f>
        <v>0</v>
      </c>
      <c r="CW689" s="693">
        <f>SUMIFS(Imput[[Importe Neto]:[Importe Neto]],Imput[[C. Imp.]:[C. Imp.]],$D689,Imput[[PERIODO Imp.]:[PERIODO Imp.]],CW$9)</f>
        <v>0</v>
      </c>
      <c r="CX689" s="693">
        <f>SUMIFS(Imput[[Importe Neto]:[Importe Neto]],Imput[[C. Imp.]:[C. Imp.]],$D689,Imput[[PERIODO Imp.]:[PERIODO Imp.]],CX$9)</f>
        <v>0</v>
      </c>
      <c r="CY689" s="693">
        <f>SUMIFS(Imput[[Importe Neto]:[Importe Neto]],Imput[[C. Imp.]:[C. Imp.]],$D689,Imput[[PERIODO Imp.]:[PERIODO Imp.]],CY$9)</f>
        <v>0</v>
      </c>
      <c r="CZ689" s="693">
        <f>SUMIFS(Imput[[Importe Neto]:[Importe Neto]],Imput[[C. Imp.]:[C. Imp.]],$D689,Imput[[PERIODO Imp.]:[PERIODO Imp.]],CZ$9)</f>
        <v>0</v>
      </c>
      <c r="DA689" s="693">
        <f>SUMIFS(Imput[[Importe Neto]:[Importe Neto]],Imput[[C. Imp.]:[C. Imp.]],$D689,Imput[[PERIODO Imp.]:[PERIODO Imp.]],DA$9)</f>
        <v>0</v>
      </c>
      <c r="DB689" s="693">
        <f>SUMIFS(Imput[[Importe Neto]:[Importe Neto]],Imput[[C. Imp.]:[C. Imp.]],$D689,Imput[[PERIODO Imp.]:[PERIODO Imp.]],DB$9)</f>
        <v>0</v>
      </c>
      <c r="DC689" s="693">
        <f>SUMIFS(Imput[[Importe Neto]:[Importe Neto]],Imput[[C. Imp.]:[C. Imp.]],$D689,Imput[[PERIODO Imp.]:[PERIODO Imp.]],DC$9)</f>
        <v>0</v>
      </c>
      <c r="DD689" s="693">
        <f>SUMIFS(Imput[[Importe Neto]:[Importe Neto]],Imput[[C. Imp.]:[C. Imp.]],$D689,Imput[[PERIODO Imp.]:[PERIODO Imp.]],DD$9)</f>
        <v>0</v>
      </c>
      <c r="DE689" s="693">
        <f>SUMIFS(Imput[[Importe Neto]:[Importe Neto]],Imput[[C. Imp.]:[C. Imp.]],$D689,Imput[[PERIODO Imp.]:[PERIODO Imp.]],DE$9)</f>
        <v>0</v>
      </c>
      <c r="DF689" s="693">
        <f>SUMIFS(Imput[[Importe Neto]:[Importe Neto]],Imput[[C. Imp.]:[C. Imp.]],$D689,Imput[[PERIODO Imp.]:[PERIODO Imp.]],DF$9)</f>
        <v>0</v>
      </c>
      <c r="DG689" s="693">
        <f>SUMIFS(Imput[[Importe Neto]:[Importe Neto]],Imput[[C. Imp.]:[C. Imp.]],$D689,Imput[[PERIODO Imp.]:[PERIODO Imp.]],DG$9)</f>
        <v>0</v>
      </c>
      <c r="DH689" s="694">
        <f>SUMIFS(Imput[[Importe Neto]:[Importe Neto]],Imput[[C. Imp.]:[C. Imp.]],$D689,Imput[[PERIODO Imp.]:[PERIODO Imp.]],DH$9)</f>
        <v>0</v>
      </c>
    </row>
    <row r="690" spans="1:112" s="649" customFormat="1" ht="14.4" hidden="1" outlineLevel="1" thickBot="1" x14ac:dyDescent="0.35">
      <c r="A690" s="652" t="str">
        <f t="shared" si="246"/>
        <v/>
      </c>
      <c r="B690" s="652"/>
      <c r="C690" s="685"/>
      <c r="D690" s="686" t="s">
        <v>2696</v>
      </c>
      <c r="E690" s="686"/>
      <c r="F690" s="720"/>
      <c r="G690" s="688"/>
      <c r="H690" s="689"/>
      <c r="I690" s="851" t="str">
        <f t="shared" si="247"/>
        <v/>
      </c>
      <c r="J690" s="517" t="str">
        <f t="shared" si="248"/>
        <v/>
      </c>
      <c r="K690" s="667"/>
      <c r="L690" s="858"/>
      <c r="M690" s="859"/>
      <c r="N690" s="859"/>
      <c r="O690" s="859"/>
      <c r="P690" s="859"/>
      <c r="Q690" s="859"/>
      <c r="R690" s="859"/>
      <c r="S690" s="859"/>
      <c r="T690" s="859"/>
      <c r="U690" s="859"/>
      <c r="V690" s="859"/>
      <c r="W690" s="859"/>
      <c r="X690" s="859"/>
      <c r="Y690" s="859"/>
      <c r="Z690" s="860"/>
      <c r="AA690" s="860"/>
      <c r="AB690" s="860"/>
      <c r="AC690" s="860"/>
      <c r="AD690" s="860"/>
      <c r="AE690" s="860"/>
      <c r="AF690" s="860"/>
      <c r="AG690" s="860"/>
      <c r="AH690" s="860"/>
      <c r="AI690" s="860"/>
      <c r="AJ690" s="860"/>
      <c r="AK690" s="860"/>
      <c r="AL690" s="860"/>
      <c r="AM690" s="860"/>
      <c r="AN690" s="860"/>
      <c r="AO690" s="860"/>
      <c r="AP690" s="860"/>
      <c r="AQ690" s="860"/>
      <c r="AR690" s="860"/>
      <c r="AS690" s="860"/>
      <c r="AT690" s="860"/>
      <c r="AU690" s="860"/>
      <c r="AV690" s="860"/>
      <c r="AW690" s="860"/>
      <c r="AX690" s="860"/>
      <c r="AY690" s="860"/>
      <c r="AZ690" s="860"/>
      <c r="BA690" s="860"/>
      <c r="BB690" s="860"/>
      <c r="BC690" s="860"/>
      <c r="BD690" s="860"/>
      <c r="BE690" s="860"/>
      <c r="BF690" s="860"/>
      <c r="BG690" s="860"/>
      <c r="BH690" s="668"/>
      <c r="BI690" s="654"/>
      <c r="BJ690" s="690">
        <f t="shared" si="249"/>
        <v>0</v>
      </c>
      <c r="BK690" s="691">
        <f t="shared" si="250"/>
        <v>0</v>
      </c>
      <c r="BL690" s="654"/>
      <c r="BM690" s="692">
        <f>SUMIFS(Imput[[Importe Neto]:[Importe Neto]],Imput[[C. Imp.]:[C. Imp.]],$D690,Imput[[PERIODO Imp.]:[PERIODO Imp.]],BM$9)</f>
        <v>0</v>
      </c>
      <c r="BN690" s="693">
        <f>SUMIFS(Imput[[Importe Neto]:[Importe Neto]],Imput[[C. Imp.]:[C. Imp.]],$D690,Imput[[PERIODO Imp.]:[PERIODO Imp.]],BN$9)</f>
        <v>0</v>
      </c>
      <c r="BO690" s="693">
        <f>SUMIFS(Imput[[Importe Neto]:[Importe Neto]],Imput[[C. Imp.]:[C. Imp.]],$D690,Imput[[PERIODO Imp.]:[PERIODO Imp.]],BO$9)</f>
        <v>0</v>
      </c>
      <c r="BP690" s="693">
        <f>SUMIFS(Imput[[Importe Neto]:[Importe Neto]],Imput[[C. Imp.]:[C. Imp.]],$D690,Imput[[PERIODO Imp.]:[PERIODO Imp.]],BP$9)</f>
        <v>0</v>
      </c>
      <c r="BQ690" s="693">
        <f>SUMIFS(Imput[[Importe Neto]:[Importe Neto]],Imput[[C. Imp.]:[C. Imp.]],$D690,Imput[[PERIODO Imp.]:[PERIODO Imp.]],BQ$9)</f>
        <v>0</v>
      </c>
      <c r="BR690" s="693">
        <f>SUMIFS(Imput[[Importe Neto]:[Importe Neto]],Imput[[C. Imp.]:[C. Imp.]],$D690,Imput[[PERIODO Imp.]:[PERIODO Imp.]],BR$9)</f>
        <v>0</v>
      </c>
      <c r="BS690" s="693">
        <f>SUMIFS(Imput[[Importe Neto]:[Importe Neto]],Imput[[C. Imp.]:[C. Imp.]],$D690,Imput[[PERIODO Imp.]:[PERIODO Imp.]],BS$9)</f>
        <v>0</v>
      </c>
      <c r="BT690" s="693">
        <f>SUMIFS(Imput[[Importe Neto]:[Importe Neto]],Imput[[C. Imp.]:[C. Imp.]],$D690,Imput[[PERIODO Imp.]:[PERIODO Imp.]],BT$9)</f>
        <v>0</v>
      </c>
      <c r="BU690" s="693">
        <f>SUMIFS(Imput[[Importe Neto]:[Importe Neto]],Imput[[C. Imp.]:[C. Imp.]],$D690,Imput[[PERIODO Imp.]:[PERIODO Imp.]],BU$9)</f>
        <v>0</v>
      </c>
      <c r="BV690" s="693">
        <f>SUMIFS(Imput[[Importe Neto]:[Importe Neto]],Imput[[C. Imp.]:[C. Imp.]],$D690,Imput[[PERIODO Imp.]:[PERIODO Imp.]],BV$9)</f>
        <v>0</v>
      </c>
      <c r="BW690" s="693">
        <f>SUMIFS(Imput[[Importe Neto]:[Importe Neto]],Imput[[C. Imp.]:[C. Imp.]],$D690,Imput[[PERIODO Imp.]:[PERIODO Imp.]],BW$9)</f>
        <v>0</v>
      </c>
      <c r="BX690" s="693">
        <f>SUMIFS(Imput[[Importe Neto]:[Importe Neto]],Imput[[C. Imp.]:[C. Imp.]],$D690,Imput[[PERIODO Imp.]:[PERIODO Imp.]],BX$9)</f>
        <v>0</v>
      </c>
      <c r="BY690" s="693">
        <f>SUMIFS(Imput[[Importe Neto]:[Importe Neto]],Imput[[C. Imp.]:[C. Imp.]],$D690,Imput[[PERIODO Imp.]:[PERIODO Imp.]],BY$9)</f>
        <v>0</v>
      </c>
      <c r="BZ690" s="693">
        <f>SUMIFS(Imput[[Importe Neto]:[Importe Neto]],Imput[[C. Imp.]:[C. Imp.]],$D690,Imput[[PERIODO Imp.]:[PERIODO Imp.]],BZ$9)</f>
        <v>0</v>
      </c>
      <c r="CA690" s="693">
        <f>SUMIFS(Imput[[Importe Neto]:[Importe Neto]],Imput[[C. Imp.]:[C. Imp.]],$D690,Imput[[PERIODO Imp.]:[PERIODO Imp.]],CA$9)</f>
        <v>0</v>
      </c>
      <c r="CB690" s="693">
        <f>SUMIFS(Imput[[Importe Neto]:[Importe Neto]],Imput[[C. Imp.]:[C. Imp.]],$D690,Imput[[PERIODO Imp.]:[PERIODO Imp.]],CB$9)</f>
        <v>0</v>
      </c>
      <c r="CC690" s="693">
        <f>SUMIFS(Imput[[Importe Neto]:[Importe Neto]],Imput[[C. Imp.]:[C. Imp.]],$D690,Imput[[PERIODO Imp.]:[PERIODO Imp.]],CC$9)</f>
        <v>0</v>
      </c>
      <c r="CD690" s="693">
        <f>SUMIFS(Imput[[Importe Neto]:[Importe Neto]],Imput[[C. Imp.]:[C. Imp.]],$D690,Imput[[PERIODO Imp.]:[PERIODO Imp.]],CD$9)</f>
        <v>0</v>
      </c>
      <c r="CE690" s="693">
        <f>SUMIFS(Imput[[Importe Neto]:[Importe Neto]],Imput[[C. Imp.]:[C. Imp.]],$D690,Imput[[PERIODO Imp.]:[PERIODO Imp.]],CE$9)</f>
        <v>0</v>
      </c>
      <c r="CF690" s="693">
        <f>SUMIFS(Imput[[Importe Neto]:[Importe Neto]],Imput[[C. Imp.]:[C. Imp.]],$D690,Imput[[PERIODO Imp.]:[PERIODO Imp.]],CF$9)</f>
        <v>0</v>
      </c>
      <c r="CG690" s="693">
        <f>SUMIFS(Imput[[Importe Neto]:[Importe Neto]],Imput[[C. Imp.]:[C. Imp.]],$D690,Imput[[PERIODO Imp.]:[PERIODO Imp.]],CG$9)</f>
        <v>0</v>
      </c>
      <c r="CH690" s="693">
        <f>SUMIFS(Imput[[Importe Neto]:[Importe Neto]],Imput[[C. Imp.]:[C. Imp.]],$D690,Imput[[PERIODO Imp.]:[PERIODO Imp.]],CH$9)</f>
        <v>0</v>
      </c>
      <c r="CI690" s="693">
        <f>SUMIFS(Imput[[Importe Neto]:[Importe Neto]],Imput[[C. Imp.]:[C. Imp.]],$D690,Imput[[PERIODO Imp.]:[PERIODO Imp.]],CI$9)</f>
        <v>0</v>
      </c>
      <c r="CJ690" s="693">
        <f>SUMIFS(Imput[[Importe Neto]:[Importe Neto]],Imput[[C. Imp.]:[C. Imp.]],$D690,Imput[[PERIODO Imp.]:[PERIODO Imp.]],CJ$9)</f>
        <v>0</v>
      </c>
      <c r="CK690" s="693">
        <f>SUMIFS(Imput[[Importe Neto]:[Importe Neto]],Imput[[C. Imp.]:[C. Imp.]],$D690,Imput[[PERIODO Imp.]:[PERIODO Imp.]],CK$9)</f>
        <v>0</v>
      </c>
      <c r="CL690" s="693">
        <f>SUMIFS(Imput[[Importe Neto]:[Importe Neto]],Imput[[C. Imp.]:[C. Imp.]],$D690,Imput[[PERIODO Imp.]:[PERIODO Imp.]],CL$9)</f>
        <v>0</v>
      </c>
      <c r="CM690" s="693">
        <f>SUMIFS(Imput[[Importe Neto]:[Importe Neto]],Imput[[C. Imp.]:[C. Imp.]],$D690,Imput[[PERIODO Imp.]:[PERIODO Imp.]],CM$9)</f>
        <v>0</v>
      </c>
      <c r="CN690" s="693">
        <f>SUMIFS(Imput[[Importe Neto]:[Importe Neto]],Imput[[C. Imp.]:[C. Imp.]],$D690,Imput[[PERIODO Imp.]:[PERIODO Imp.]],CN$9)</f>
        <v>0</v>
      </c>
      <c r="CO690" s="693">
        <f>SUMIFS(Imput[[Importe Neto]:[Importe Neto]],Imput[[C. Imp.]:[C. Imp.]],$D690,Imput[[PERIODO Imp.]:[PERIODO Imp.]],CO$9)</f>
        <v>0</v>
      </c>
      <c r="CP690" s="693">
        <f>SUMIFS(Imput[[Importe Neto]:[Importe Neto]],Imput[[C. Imp.]:[C. Imp.]],$D690,Imput[[PERIODO Imp.]:[PERIODO Imp.]],CP$9)</f>
        <v>0</v>
      </c>
      <c r="CQ690" s="693">
        <f>SUMIFS(Imput[[Importe Neto]:[Importe Neto]],Imput[[C. Imp.]:[C. Imp.]],$D690,Imput[[PERIODO Imp.]:[PERIODO Imp.]],CQ$9)</f>
        <v>0</v>
      </c>
      <c r="CR690" s="693">
        <f>SUMIFS(Imput[[Importe Neto]:[Importe Neto]],Imput[[C. Imp.]:[C. Imp.]],$D690,Imput[[PERIODO Imp.]:[PERIODO Imp.]],CR$9)</f>
        <v>0</v>
      </c>
      <c r="CS690" s="693">
        <f>SUMIFS(Imput[[Importe Neto]:[Importe Neto]],Imput[[C. Imp.]:[C. Imp.]],$D690,Imput[[PERIODO Imp.]:[PERIODO Imp.]],CS$9)</f>
        <v>0</v>
      </c>
      <c r="CT690" s="693">
        <f>SUMIFS(Imput[[Importe Neto]:[Importe Neto]],Imput[[C. Imp.]:[C. Imp.]],$D690,Imput[[PERIODO Imp.]:[PERIODO Imp.]],CT$9)</f>
        <v>0</v>
      </c>
      <c r="CU690" s="693">
        <f>SUMIFS(Imput[[Importe Neto]:[Importe Neto]],Imput[[C. Imp.]:[C. Imp.]],$D690,Imput[[PERIODO Imp.]:[PERIODO Imp.]],CU$9)</f>
        <v>0</v>
      </c>
      <c r="CV690" s="693">
        <f>SUMIFS(Imput[[Importe Neto]:[Importe Neto]],Imput[[C. Imp.]:[C. Imp.]],$D690,Imput[[PERIODO Imp.]:[PERIODO Imp.]],CV$9)</f>
        <v>0</v>
      </c>
      <c r="CW690" s="693">
        <f>SUMIFS(Imput[[Importe Neto]:[Importe Neto]],Imput[[C. Imp.]:[C. Imp.]],$D690,Imput[[PERIODO Imp.]:[PERIODO Imp.]],CW$9)</f>
        <v>0</v>
      </c>
      <c r="CX690" s="693">
        <f>SUMIFS(Imput[[Importe Neto]:[Importe Neto]],Imput[[C. Imp.]:[C. Imp.]],$D690,Imput[[PERIODO Imp.]:[PERIODO Imp.]],CX$9)</f>
        <v>0</v>
      </c>
      <c r="CY690" s="693">
        <f>SUMIFS(Imput[[Importe Neto]:[Importe Neto]],Imput[[C. Imp.]:[C. Imp.]],$D690,Imput[[PERIODO Imp.]:[PERIODO Imp.]],CY$9)</f>
        <v>0</v>
      </c>
      <c r="CZ690" s="693">
        <f>SUMIFS(Imput[[Importe Neto]:[Importe Neto]],Imput[[C. Imp.]:[C. Imp.]],$D690,Imput[[PERIODO Imp.]:[PERIODO Imp.]],CZ$9)</f>
        <v>0</v>
      </c>
      <c r="DA690" s="693">
        <f>SUMIFS(Imput[[Importe Neto]:[Importe Neto]],Imput[[C. Imp.]:[C. Imp.]],$D690,Imput[[PERIODO Imp.]:[PERIODO Imp.]],DA$9)</f>
        <v>0</v>
      </c>
      <c r="DB690" s="693">
        <f>SUMIFS(Imput[[Importe Neto]:[Importe Neto]],Imput[[C. Imp.]:[C. Imp.]],$D690,Imput[[PERIODO Imp.]:[PERIODO Imp.]],DB$9)</f>
        <v>0</v>
      </c>
      <c r="DC690" s="693">
        <f>SUMIFS(Imput[[Importe Neto]:[Importe Neto]],Imput[[C. Imp.]:[C. Imp.]],$D690,Imput[[PERIODO Imp.]:[PERIODO Imp.]],DC$9)</f>
        <v>0</v>
      </c>
      <c r="DD690" s="693">
        <f>SUMIFS(Imput[[Importe Neto]:[Importe Neto]],Imput[[C. Imp.]:[C. Imp.]],$D690,Imput[[PERIODO Imp.]:[PERIODO Imp.]],DD$9)</f>
        <v>0</v>
      </c>
      <c r="DE690" s="693">
        <f>SUMIFS(Imput[[Importe Neto]:[Importe Neto]],Imput[[C. Imp.]:[C. Imp.]],$D690,Imput[[PERIODO Imp.]:[PERIODO Imp.]],DE$9)</f>
        <v>0</v>
      </c>
      <c r="DF690" s="693">
        <f>SUMIFS(Imput[[Importe Neto]:[Importe Neto]],Imput[[C. Imp.]:[C. Imp.]],$D690,Imput[[PERIODO Imp.]:[PERIODO Imp.]],DF$9)</f>
        <v>0</v>
      </c>
      <c r="DG690" s="693">
        <f>SUMIFS(Imput[[Importe Neto]:[Importe Neto]],Imput[[C. Imp.]:[C. Imp.]],$D690,Imput[[PERIODO Imp.]:[PERIODO Imp.]],DG$9)</f>
        <v>0</v>
      </c>
      <c r="DH690" s="694">
        <f>SUMIFS(Imput[[Importe Neto]:[Importe Neto]],Imput[[C. Imp.]:[C. Imp.]],$D690,Imput[[PERIODO Imp.]:[PERIODO Imp.]],DH$9)</f>
        <v>0</v>
      </c>
    </row>
    <row r="691" spans="1:112" s="649" customFormat="1" ht="14.4" hidden="1" outlineLevel="1" thickBot="1" x14ac:dyDescent="0.35">
      <c r="A691" s="652" t="str">
        <f t="shared" si="246"/>
        <v/>
      </c>
      <c r="B691" s="652"/>
      <c r="C691" s="685"/>
      <c r="D691" s="686" t="s">
        <v>2697</v>
      </c>
      <c r="E691" s="686"/>
      <c r="F691" s="720"/>
      <c r="G691" s="688"/>
      <c r="H691" s="689"/>
      <c r="I691" s="851" t="str">
        <f t="shared" si="247"/>
        <v/>
      </c>
      <c r="J691" s="517" t="str">
        <f t="shared" si="248"/>
        <v/>
      </c>
      <c r="K691" s="667"/>
      <c r="L691" s="858"/>
      <c r="M691" s="859"/>
      <c r="N691" s="859"/>
      <c r="O691" s="859"/>
      <c r="P691" s="859"/>
      <c r="Q691" s="859"/>
      <c r="R691" s="859"/>
      <c r="S691" s="859"/>
      <c r="T691" s="859"/>
      <c r="U691" s="859"/>
      <c r="V691" s="859"/>
      <c r="W691" s="859"/>
      <c r="X691" s="859"/>
      <c r="Y691" s="859"/>
      <c r="Z691" s="860"/>
      <c r="AA691" s="860"/>
      <c r="AB691" s="860"/>
      <c r="AC691" s="860"/>
      <c r="AD691" s="860"/>
      <c r="AE691" s="860"/>
      <c r="AF691" s="860"/>
      <c r="AG691" s="860"/>
      <c r="AH691" s="860"/>
      <c r="AI691" s="860"/>
      <c r="AJ691" s="860"/>
      <c r="AK691" s="860"/>
      <c r="AL691" s="860"/>
      <c r="AM691" s="860"/>
      <c r="AN691" s="860"/>
      <c r="AO691" s="860"/>
      <c r="AP691" s="860"/>
      <c r="AQ691" s="860"/>
      <c r="AR691" s="860"/>
      <c r="AS691" s="860"/>
      <c r="AT691" s="860"/>
      <c r="AU691" s="860"/>
      <c r="AV691" s="860"/>
      <c r="AW691" s="860"/>
      <c r="AX691" s="860"/>
      <c r="AY691" s="860"/>
      <c r="AZ691" s="860"/>
      <c r="BA691" s="860"/>
      <c r="BB691" s="860"/>
      <c r="BC691" s="860"/>
      <c r="BD691" s="860"/>
      <c r="BE691" s="860"/>
      <c r="BF691" s="860"/>
      <c r="BG691" s="860"/>
      <c r="BH691" s="668"/>
      <c r="BI691" s="654"/>
      <c r="BJ691" s="690">
        <f t="shared" si="249"/>
        <v>0</v>
      </c>
      <c r="BK691" s="691">
        <f t="shared" si="250"/>
        <v>0</v>
      </c>
      <c r="BL691" s="654"/>
      <c r="BM691" s="692">
        <f>SUMIFS(Imput[[Importe Neto]:[Importe Neto]],Imput[[C. Imp.]:[C. Imp.]],$D691,Imput[[PERIODO Imp.]:[PERIODO Imp.]],BM$9)</f>
        <v>0</v>
      </c>
      <c r="BN691" s="693">
        <f>SUMIFS(Imput[[Importe Neto]:[Importe Neto]],Imput[[C. Imp.]:[C. Imp.]],$D691,Imput[[PERIODO Imp.]:[PERIODO Imp.]],BN$9)</f>
        <v>0</v>
      </c>
      <c r="BO691" s="693">
        <f>SUMIFS(Imput[[Importe Neto]:[Importe Neto]],Imput[[C. Imp.]:[C. Imp.]],$D691,Imput[[PERIODO Imp.]:[PERIODO Imp.]],BO$9)</f>
        <v>0</v>
      </c>
      <c r="BP691" s="693">
        <f>SUMIFS(Imput[[Importe Neto]:[Importe Neto]],Imput[[C. Imp.]:[C. Imp.]],$D691,Imput[[PERIODO Imp.]:[PERIODO Imp.]],BP$9)</f>
        <v>0</v>
      </c>
      <c r="BQ691" s="693">
        <f>SUMIFS(Imput[[Importe Neto]:[Importe Neto]],Imput[[C. Imp.]:[C. Imp.]],$D691,Imput[[PERIODO Imp.]:[PERIODO Imp.]],BQ$9)</f>
        <v>0</v>
      </c>
      <c r="BR691" s="693">
        <f>SUMIFS(Imput[[Importe Neto]:[Importe Neto]],Imput[[C. Imp.]:[C. Imp.]],$D691,Imput[[PERIODO Imp.]:[PERIODO Imp.]],BR$9)</f>
        <v>0</v>
      </c>
      <c r="BS691" s="693">
        <f>SUMIFS(Imput[[Importe Neto]:[Importe Neto]],Imput[[C. Imp.]:[C. Imp.]],$D691,Imput[[PERIODO Imp.]:[PERIODO Imp.]],BS$9)</f>
        <v>0</v>
      </c>
      <c r="BT691" s="693">
        <f>SUMIFS(Imput[[Importe Neto]:[Importe Neto]],Imput[[C. Imp.]:[C. Imp.]],$D691,Imput[[PERIODO Imp.]:[PERIODO Imp.]],BT$9)</f>
        <v>0</v>
      </c>
      <c r="BU691" s="693">
        <f>SUMIFS(Imput[[Importe Neto]:[Importe Neto]],Imput[[C. Imp.]:[C. Imp.]],$D691,Imput[[PERIODO Imp.]:[PERIODO Imp.]],BU$9)</f>
        <v>0</v>
      </c>
      <c r="BV691" s="693">
        <f>SUMIFS(Imput[[Importe Neto]:[Importe Neto]],Imput[[C. Imp.]:[C. Imp.]],$D691,Imput[[PERIODO Imp.]:[PERIODO Imp.]],BV$9)</f>
        <v>0</v>
      </c>
      <c r="BW691" s="693">
        <f>SUMIFS(Imput[[Importe Neto]:[Importe Neto]],Imput[[C. Imp.]:[C. Imp.]],$D691,Imput[[PERIODO Imp.]:[PERIODO Imp.]],BW$9)</f>
        <v>0</v>
      </c>
      <c r="BX691" s="693">
        <f>SUMIFS(Imput[[Importe Neto]:[Importe Neto]],Imput[[C. Imp.]:[C. Imp.]],$D691,Imput[[PERIODO Imp.]:[PERIODO Imp.]],BX$9)</f>
        <v>0</v>
      </c>
      <c r="BY691" s="693">
        <f>SUMIFS(Imput[[Importe Neto]:[Importe Neto]],Imput[[C. Imp.]:[C. Imp.]],$D691,Imput[[PERIODO Imp.]:[PERIODO Imp.]],BY$9)</f>
        <v>0</v>
      </c>
      <c r="BZ691" s="693">
        <f>SUMIFS(Imput[[Importe Neto]:[Importe Neto]],Imput[[C. Imp.]:[C. Imp.]],$D691,Imput[[PERIODO Imp.]:[PERIODO Imp.]],BZ$9)</f>
        <v>0</v>
      </c>
      <c r="CA691" s="693">
        <f>SUMIFS(Imput[[Importe Neto]:[Importe Neto]],Imput[[C. Imp.]:[C. Imp.]],$D691,Imput[[PERIODO Imp.]:[PERIODO Imp.]],CA$9)</f>
        <v>0</v>
      </c>
      <c r="CB691" s="693">
        <f>SUMIFS(Imput[[Importe Neto]:[Importe Neto]],Imput[[C. Imp.]:[C. Imp.]],$D691,Imput[[PERIODO Imp.]:[PERIODO Imp.]],CB$9)</f>
        <v>0</v>
      </c>
      <c r="CC691" s="693">
        <f>SUMIFS(Imput[[Importe Neto]:[Importe Neto]],Imput[[C. Imp.]:[C. Imp.]],$D691,Imput[[PERIODO Imp.]:[PERIODO Imp.]],CC$9)</f>
        <v>0</v>
      </c>
      <c r="CD691" s="693">
        <f>SUMIFS(Imput[[Importe Neto]:[Importe Neto]],Imput[[C. Imp.]:[C. Imp.]],$D691,Imput[[PERIODO Imp.]:[PERIODO Imp.]],CD$9)</f>
        <v>0</v>
      </c>
      <c r="CE691" s="693">
        <f>SUMIFS(Imput[[Importe Neto]:[Importe Neto]],Imput[[C. Imp.]:[C. Imp.]],$D691,Imput[[PERIODO Imp.]:[PERIODO Imp.]],CE$9)</f>
        <v>0</v>
      </c>
      <c r="CF691" s="693">
        <f>SUMIFS(Imput[[Importe Neto]:[Importe Neto]],Imput[[C. Imp.]:[C. Imp.]],$D691,Imput[[PERIODO Imp.]:[PERIODO Imp.]],CF$9)</f>
        <v>0</v>
      </c>
      <c r="CG691" s="693">
        <f>SUMIFS(Imput[[Importe Neto]:[Importe Neto]],Imput[[C. Imp.]:[C. Imp.]],$D691,Imput[[PERIODO Imp.]:[PERIODO Imp.]],CG$9)</f>
        <v>0</v>
      </c>
      <c r="CH691" s="693">
        <f>SUMIFS(Imput[[Importe Neto]:[Importe Neto]],Imput[[C. Imp.]:[C. Imp.]],$D691,Imput[[PERIODO Imp.]:[PERIODO Imp.]],CH$9)</f>
        <v>0</v>
      </c>
      <c r="CI691" s="693">
        <f>SUMIFS(Imput[[Importe Neto]:[Importe Neto]],Imput[[C. Imp.]:[C. Imp.]],$D691,Imput[[PERIODO Imp.]:[PERIODO Imp.]],CI$9)</f>
        <v>0</v>
      </c>
      <c r="CJ691" s="693">
        <f>SUMIFS(Imput[[Importe Neto]:[Importe Neto]],Imput[[C. Imp.]:[C. Imp.]],$D691,Imput[[PERIODO Imp.]:[PERIODO Imp.]],CJ$9)</f>
        <v>0</v>
      </c>
      <c r="CK691" s="693">
        <f>SUMIFS(Imput[[Importe Neto]:[Importe Neto]],Imput[[C. Imp.]:[C. Imp.]],$D691,Imput[[PERIODO Imp.]:[PERIODO Imp.]],CK$9)</f>
        <v>0</v>
      </c>
      <c r="CL691" s="693">
        <f>SUMIFS(Imput[[Importe Neto]:[Importe Neto]],Imput[[C. Imp.]:[C. Imp.]],$D691,Imput[[PERIODO Imp.]:[PERIODO Imp.]],CL$9)</f>
        <v>0</v>
      </c>
      <c r="CM691" s="693">
        <f>SUMIFS(Imput[[Importe Neto]:[Importe Neto]],Imput[[C. Imp.]:[C. Imp.]],$D691,Imput[[PERIODO Imp.]:[PERIODO Imp.]],CM$9)</f>
        <v>0</v>
      </c>
      <c r="CN691" s="693">
        <f>SUMIFS(Imput[[Importe Neto]:[Importe Neto]],Imput[[C. Imp.]:[C. Imp.]],$D691,Imput[[PERIODO Imp.]:[PERIODO Imp.]],CN$9)</f>
        <v>0</v>
      </c>
      <c r="CO691" s="693">
        <f>SUMIFS(Imput[[Importe Neto]:[Importe Neto]],Imput[[C. Imp.]:[C. Imp.]],$D691,Imput[[PERIODO Imp.]:[PERIODO Imp.]],CO$9)</f>
        <v>0</v>
      </c>
      <c r="CP691" s="693">
        <f>SUMIFS(Imput[[Importe Neto]:[Importe Neto]],Imput[[C. Imp.]:[C. Imp.]],$D691,Imput[[PERIODO Imp.]:[PERIODO Imp.]],CP$9)</f>
        <v>0</v>
      </c>
      <c r="CQ691" s="693">
        <f>SUMIFS(Imput[[Importe Neto]:[Importe Neto]],Imput[[C. Imp.]:[C. Imp.]],$D691,Imput[[PERIODO Imp.]:[PERIODO Imp.]],CQ$9)</f>
        <v>0</v>
      </c>
      <c r="CR691" s="693">
        <f>SUMIFS(Imput[[Importe Neto]:[Importe Neto]],Imput[[C. Imp.]:[C. Imp.]],$D691,Imput[[PERIODO Imp.]:[PERIODO Imp.]],CR$9)</f>
        <v>0</v>
      </c>
      <c r="CS691" s="693">
        <f>SUMIFS(Imput[[Importe Neto]:[Importe Neto]],Imput[[C. Imp.]:[C. Imp.]],$D691,Imput[[PERIODO Imp.]:[PERIODO Imp.]],CS$9)</f>
        <v>0</v>
      </c>
      <c r="CT691" s="693">
        <f>SUMIFS(Imput[[Importe Neto]:[Importe Neto]],Imput[[C. Imp.]:[C. Imp.]],$D691,Imput[[PERIODO Imp.]:[PERIODO Imp.]],CT$9)</f>
        <v>0</v>
      </c>
      <c r="CU691" s="693">
        <f>SUMIFS(Imput[[Importe Neto]:[Importe Neto]],Imput[[C. Imp.]:[C. Imp.]],$D691,Imput[[PERIODO Imp.]:[PERIODO Imp.]],CU$9)</f>
        <v>0</v>
      </c>
      <c r="CV691" s="693">
        <f>SUMIFS(Imput[[Importe Neto]:[Importe Neto]],Imput[[C. Imp.]:[C. Imp.]],$D691,Imput[[PERIODO Imp.]:[PERIODO Imp.]],CV$9)</f>
        <v>0</v>
      </c>
      <c r="CW691" s="693">
        <f>SUMIFS(Imput[[Importe Neto]:[Importe Neto]],Imput[[C. Imp.]:[C. Imp.]],$D691,Imput[[PERIODO Imp.]:[PERIODO Imp.]],CW$9)</f>
        <v>0</v>
      </c>
      <c r="CX691" s="693">
        <f>SUMIFS(Imput[[Importe Neto]:[Importe Neto]],Imput[[C. Imp.]:[C. Imp.]],$D691,Imput[[PERIODO Imp.]:[PERIODO Imp.]],CX$9)</f>
        <v>0</v>
      </c>
      <c r="CY691" s="693">
        <f>SUMIFS(Imput[[Importe Neto]:[Importe Neto]],Imput[[C. Imp.]:[C. Imp.]],$D691,Imput[[PERIODO Imp.]:[PERIODO Imp.]],CY$9)</f>
        <v>0</v>
      </c>
      <c r="CZ691" s="693">
        <f>SUMIFS(Imput[[Importe Neto]:[Importe Neto]],Imput[[C. Imp.]:[C. Imp.]],$D691,Imput[[PERIODO Imp.]:[PERIODO Imp.]],CZ$9)</f>
        <v>0</v>
      </c>
      <c r="DA691" s="693">
        <f>SUMIFS(Imput[[Importe Neto]:[Importe Neto]],Imput[[C. Imp.]:[C. Imp.]],$D691,Imput[[PERIODO Imp.]:[PERIODO Imp.]],DA$9)</f>
        <v>0</v>
      </c>
      <c r="DB691" s="693">
        <f>SUMIFS(Imput[[Importe Neto]:[Importe Neto]],Imput[[C. Imp.]:[C. Imp.]],$D691,Imput[[PERIODO Imp.]:[PERIODO Imp.]],DB$9)</f>
        <v>0</v>
      </c>
      <c r="DC691" s="693">
        <f>SUMIFS(Imput[[Importe Neto]:[Importe Neto]],Imput[[C. Imp.]:[C. Imp.]],$D691,Imput[[PERIODO Imp.]:[PERIODO Imp.]],DC$9)</f>
        <v>0</v>
      </c>
      <c r="DD691" s="693">
        <f>SUMIFS(Imput[[Importe Neto]:[Importe Neto]],Imput[[C. Imp.]:[C. Imp.]],$D691,Imput[[PERIODO Imp.]:[PERIODO Imp.]],DD$9)</f>
        <v>0</v>
      </c>
      <c r="DE691" s="693">
        <f>SUMIFS(Imput[[Importe Neto]:[Importe Neto]],Imput[[C. Imp.]:[C. Imp.]],$D691,Imput[[PERIODO Imp.]:[PERIODO Imp.]],DE$9)</f>
        <v>0</v>
      </c>
      <c r="DF691" s="693">
        <f>SUMIFS(Imput[[Importe Neto]:[Importe Neto]],Imput[[C. Imp.]:[C. Imp.]],$D691,Imput[[PERIODO Imp.]:[PERIODO Imp.]],DF$9)</f>
        <v>0</v>
      </c>
      <c r="DG691" s="693">
        <f>SUMIFS(Imput[[Importe Neto]:[Importe Neto]],Imput[[C. Imp.]:[C. Imp.]],$D691,Imput[[PERIODO Imp.]:[PERIODO Imp.]],DG$9)</f>
        <v>0</v>
      </c>
      <c r="DH691" s="694">
        <f>SUMIFS(Imput[[Importe Neto]:[Importe Neto]],Imput[[C. Imp.]:[C. Imp.]],$D691,Imput[[PERIODO Imp.]:[PERIODO Imp.]],DH$9)</f>
        <v>0</v>
      </c>
    </row>
    <row r="692" spans="1:112" s="649" customFormat="1" ht="14.4" hidden="1" outlineLevel="1" thickBot="1" x14ac:dyDescent="0.35">
      <c r="A692" s="652" t="str">
        <f t="shared" si="246"/>
        <v/>
      </c>
      <c r="B692" s="652"/>
      <c r="C692" s="685"/>
      <c r="D692" s="686" t="s">
        <v>2698</v>
      </c>
      <c r="E692" s="686"/>
      <c r="F692" s="720"/>
      <c r="G692" s="688"/>
      <c r="H692" s="689"/>
      <c r="I692" s="851" t="str">
        <f t="shared" si="247"/>
        <v/>
      </c>
      <c r="J692" s="517" t="str">
        <f t="shared" si="248"/>
        <v/>
      </c>
      <c r="K692" s="667"/>
      <c r="L692" s="858"/>
      <c r="M692" s="859"/>
      <c r="N692" s="859"/>
      <c r="O692" s="859"/>
      <c r="P692" s="859"/>
      <c r="Q692" s="859"/>
      <c r="R692" s="859"/>
      <c r="S692" s="859"/>
      <c r="T692" s="859"/>
      <c r="U692" s="859"/>
      <c r="V692" s="859"/>
      <c r="W692" s="859"/>
      <c r="X692" s="859"/>
      <c r="Y692" s="859"/>
      <c r="Z692" s="860"/>
      <c r="AA692" s="860"/>
      <c r="AB692" s="860"/>
      <c r="AC692" s="860"/>
      <c r="AD692" s="860"/>
      <c r="AE692" s="860"/>
      <c r="AF692" s="860"/>
      <c r="AG692" s="860"/>
      <c r="AH692" s="860"/>
      <c r="AI692" s="860"/>
      <c r="AJ692" s="860"/>
      <c r="AK692" s="860"/>
      <c r="AL692" s="860"/>
      <c r="AM692" s="860"/>
      <c r="AN692" s="860"/>
      <c r="AO692" s="860"/>
      <c r="AP692" s="860"/>
      <c r="AQ692" s="860"/>
      <c r="AR692" s="860"/>
      <c r="AS692" s="860"/>
      <c r="AT692" s="860"/>
      <c r="AU692" s="860"/>
      <c r="AV692" s="860"/>
      <c r="AW692" s="860"/>
      <c r="AX692" s="860"/>
      <c r="AY692" s="860"/>
      <c r="AZ692" s="860"/>
      <c r="BA692" s="860"/>
      <c r="BB692" s="860"/>
      <c r="BC692" s="860"/>
      <c r="BD692" s="860"/>
      <c r="BE692" s="860"/>
      <c r="BF692" s="860"/>
      <c r="BG692" s="860"/>
      <c r="BH692" s="668"/>
      <c r="BI692" s="654"/>
      <c r="BJ692" s="690">
        <f t="shared" si="249"/>
        <v>0</v>
      </c>
      <c r="BK692" s="691">
        <f t="shared" si="250"/>
        <v>0</v>
      </c>
      <c r="BL692" s="654"/>
      <c r="BM692" s="692">
        <f>SUMIFS(Imput[[Importe Neto]:[Importe Neto]],Imput[[C. Imp.]:[C. Imp.]],$D692,Imput[[PERIODO Imp.]:[PERIODO Imp.]],BM$9)</f>
        <v>0</v>
      </c>
      <c r="BN692" s="693">
        <f>SUMIFS(Imput[[Importe Neto]:[Importe Neto]],Imput[[C. Imp.]:[C. Imp.]],$D692,Imput[[PERIODO Imp.]:[PERIODO Imp.]],BN$9)</f>
        <v>0</v>
      </c>
      <c r="BO692" s="693">
        <f>SUMIFS(Imput[[Importe Neto]:[Importe Neto]],Imput[[C. Imp.]:[C. Imp.]],$D692,Imput[[PERIODO Imp.]:[PERIODO Imp.]],BO$9)</f>
        <v>0</v>
      </c>
      <c r="BP692" s="693">
        <f>SUMIFS(Imput[[Importe Neto]:[Importe Neto]],Imput[[C. Imp.]:[C. Imp.]],$D692,Imput[[PERIODO Imp.]:[PERIODO Imp.]],BP$9)</f>
        <v>0</v>
      </c>
      <c r="BQ692" s="693">
        <f>SUMIFS(Imput[[Importe Neto]:[Importe Neto]],Imput[[C. Imp.]:[C. Imp.]],$D692,Imput[[PERIODO Imp.]:[PERIODO Imp.]],BQ$9)</f>
        <v>0</v>
      </c>
      <c r="BR692" s="693">
        <f>SUMIFS(Imput[[Importe Neto]:[Importe Neto]],Imput[[C. Imp.]:[C. Imp.]],$D692,Imput[[PERIODO Imp.]:[PERIODO Imp.]],BR$9)</f>
        <v>0</v>
      </c>
      <c r="BS692" s="693">
        <f>SUMIFS(Imput[[Importe Neto]:[Importe Neto]],Imput[[C. Imp.]:[C. Imp.]],$D692,Imput[[PERIODO Imp.]:[PERIODO Imp.]],BS$9)</f>
        <v>0</v>
      </c>
      <c r="BT692" s="693">
        <f>SUMIFS(Imput[[Importe Neto]:[Importe Neto]],Imput[[C. Imp.]:[C. Imp.]],$D692,Imput[[PERIODO Imp.]:[PERIODO Imp.]],BT$9)</f>
        <v>0</v>
      </c>
      <c r="BU692" s="693">
        <f>SUMIFS(Imput[[Importe Neto]:[Importe Neto]],Imput[[C. Imp.]:[C. Imp.]],$D692,Imput[[PERIODO Imp.]:[PERIODO Imp.]],BU$9)</f>
        <v>0</v>
      </c>
      <c r="BV692" s="693">
        <f>SUMIFS(Imput[[Importe Neto]:[Importe Neto]],Imput[[C. Imp.]:[C. Imp.]],$D692,Imput[[PERIODO Imp.]:[PERIODO Imp.]],BV$9)</f>
        <v>0</v>
      </c>
      <c r="BW692" s="693">
        <f>SUMIFS(Imput[[Importe Neto]:[Importe Neto]],Imput[[C. Imp.]:[C. Imp.]],$D692,Imput[[PERIODO Imp.]:[PERIODO Imp.]],BW$9)</f>
        <v>0</v>
      </c>
      <c r="BX692" s="693">
        <f>SUMIFS(Imput[[Importe Neto]:[Importe Neto]],Imput[[C. Imp.]:[C. Imp.]],$D692,Imput[[PERIODO Imp.]:[PERIODO Imp.]],BX$9)</f>
        <v>0</v>
      </c>
      <c r="BY692" s="693">
        <f>SUMIFS(Imput[[Importe Neto]:[Importe Neto]],Imput[[C. Imp.]:[C. Imp.]],$D692,Imput[[PERIODO Imp.]:[PERIODO Imp.]],BY$9)</f>
        <v>0</v>
      </c>
      <c r="BZ692" s="693">
        <f>SUMIFS(Imput[[Importe Neto]:[Importe Neto]],Imput[[C. Imp.]:[C. Imp.]],$D692,Imput[[PERIODO Imp.]:[PERIODO Imp.]],BZ$9)</f>
        <v>0</v>
      </c>
      <c r="CA692" s="693">
        <f>SUMIFS(Imput[[Importe Neto]:[Importe Neto]],Imput[[C. Imp.]:[C. Imp.]],$D692,Imput[[PERIODO Imp.]:[PERIODO Imp.]],CA$9)</f>
        <v>0</v>
      </c>
      <c r="CB692" s="693">
        <f>SUMIFS(Imput[[Importe Neto]:[Importe Neto]],Imput[[C. Imp.]:[C. Imp.]],$D692,Imput[[PERIODO Imp.]:[PERIODO Imp.]],CB$9)</f>
        <v>0</v>
      </c>
      <c r="CC692" s="693">
        <f>SUMIFS(Imput[[Importe Neto]:[Importe Neto]],Imput[[C. Imp.]:[C. Imp.]],$D692,Imput[[PERIODO Imp.]:[PERIODO Imp.]],CC$9)</f>
        <v>0</v>
      </c>
      <c r="CD692" s="693">
        <f>SUMIFS(Imput[[Importe Neto]:[Importe Neto]],Imput[[C. Imp.]:[C. Imp.]],$D692,Imput[[PERIODO Imp.]:[PERIODO Imp.]],CD$9)</f>
        <v>0</v>
      </c>
      <c r="CE692" s="693">
        <f>SUMIFS(Imput[[Importe Neto]:[Importe Neto]],Imput[[C. Imp.]:[C. Imp.]],$D692,Imput[[PERIODO Imp.]:[PERIODO Imp.]],CE$9)</f>
        <v>0</v>
      </c>
      <c r="CF692" s="693">
        <f>SUMIFS(Imput[[Importe Neto]:[Importe Neto]],Imput[[C. Imp.]:[C. Imp.]],$D692,Imput[[PERIODO Imp.]:[PERIODO Imp.]],CF$9)</f>
        <v>0</v>
      </c>
      <c r="CG692" s="693">
        <f>SUMIFS(Imput[[Importe Neto]:[Importe Neto]],Imput[[C. Imp.]:[C. Imp.]],$D692,Imput[[PERIODO Imp.]:[PERIODO Imp.]],CG$9)</f>
        <v>0</v>
      </c>
      <c r="CH692" s="693">
        <f>SUMIFS(Imput[[Importe Neto]:[Importe Neto]],Imput[[C. Imp.]:[C. Imp.]],$D692,Imput[[PERIODO Imp.]:[PERIODO Imp.]],CH$9)</f>
        <v>0</v>
      </c>
      <c r="CI692" s="693">
        <f>SUMIFS(Imput[[Importe Neto]:[Importe Neto]],Imput[[C. Imp.]:[C. Imp.]],$D692,Imput[[PERIODO Imp.]:[PERIODO Imp.]],CI$9)</f>
        <v>0</v>
      </c>
      <c r="CJ692" s="693">
        <f>SUMIFS(Imput[[Importe Neto]:[Importe Neto]],Imput[[C. Imp.]:[C. Imp.]],$D692,Imput[[PERIODO Imp.]:[PERIODO Imp.]],CJ$9)</f>
        <v>0</v>
      </c>
      <c r="CK692" s="693">
        <f>SUMIFS(Imput[[Importe Neto]:[Importe Neto]],Imput[[C. Imp.]:[C. Imp.]],$D692,Imput[[PERIODO Imp.]:[PERIODO Imp.]],CK$9)</f>
        <v>0</v>
      </c>
      <c r="CL692" s="693">
        <f>SUMIFS(Imput[[Importe Neto]:[Importe Neto]],Imput[[C. Imp.]:[C. Imp.]],$D692,Imput[[PERIODO Imp.]:[PERIODO Imp.]],CL$9)</f>
        <v>0</v>
      </c>
      <c r="CM692" s="693">
        <f>SUMIFS(Imput[[Importe Neto]:[Importe Neto]],Imput[[C. Imp.]:[C. Imp.]],$D692,Imput[[PERIODO Imp.]:[PERIODO Imp.]],CM$9)</f>
        <v>0</v>
      </c>
      <c r="CN692" s="693">
        <f>SUMIFS(Imput[[Importe Neto]:[Importe Neto]],Imput[[C. Imp.]:[C. Imp.]],$D692,Imput[[PERIODO Imp.]:[PERIODO Imp.]],CN$9)</f>
        <v>0</v>
      </c>
      <c r="CO692" s="693">
        <f>SUMIFS(Imput[[Importe Neto]:[Importe Neto]],Imput[[C. Imp.]:[C. Imp.]],$D692,Imput[[PERIODO Imp.]:[PERIODO Imp.]],CO$9)</f>
        <v>0</v>
      </c>
      <c r="CP692" s="693">
        <f>SUMIFS(Imput[[Importe Neto]:[Importe Neto]],Imput[[C. Imp.]:[C. Imp.]],$D692,Imput[[PERIODO Imp.]:[PERIODO Imp.]],CP$9)</f>
        <v>0</v>
      </c>
      <c r="CQ692" s="693">
        <f>SUMIFS(Imput[[Importe Neto]:[Importe Neto]],Imput[[C. Imp.]:[C. Imp.]],$D692,Imput[[PERIODO Imp.]:[PERIODO Imp.]],CQ$9)</f>
        <v>0</v>
      </c>
      <c r="CR692" s="693">
        <f>SUMIFS(Imput[[Importe Neto]:[Importe Neto]],Imput[[C. Imp.]:[C. Imp.]],$D692,Imput[[PERIODO Imp.]:[PERIODO Imp.]],CR$9)</f>
        <v>0</v>
      </c>
      <c r="CS692" s="693">
        <f>SUMIFS(Imput[[Importe Neto]:[Importe Neto]],Imput[[C. Imp.]:[C. Imp.]],$D692,Imput[[PERIODO Imp.]:[PERIODO Imp.]],CS$9)</f>
        <v>0</v>
      </c>
      <c r="CT692" s="693">
        <f>SUMIFS(Imput[[Importe Neto]:[Importe Neto]],Imput[[C. Imp.]:[C. Imp.]],$D692,Imput[[PERIODO Imp.]:[PERIODO Imp.]],CT$9)</f>
        <v>0</v>
      </c>
      <c r="CU692" s="693">
        <f>SUMIFS(Imput[[Importe Neto]:[Importe Neto]],Imput[[C. Imp.]:[C. Imp.]],$D692,Imput[[PERIODO Imp.]:[PERIODO Imp.]],CU$9)</f>
        <v>0</v>
      </c>
      <c r="CV692" s="693">
        <f>SUMIFS(Imput[[Importe Neto]:[Importe Neto]],Imput[[C. Imp.]:[C. Imp.]],$D692,Imput[[PERIODO Imp.]:[PERIODO Imp.]],CV$9)</f>
        <v>0</v>
      </c>
      <c r="CW692" s="693">
        <f>SUMIFS(Imput[[Importe Neto]:[Importe Neto]],Imput[[C. Imp.]:[C. Imp.]],$D692,Imput[[PERIODO Imp.]:[PERIODO Imp.]],CW$9)</f>
        <v>0</v>
      </c>
      <c r="CX692" s="693">
        <f>SUMIFS(Imput[[Importe Neto]:[Importe Neto]],Imput[[C. Imp.]:[C. Imp.]],$D692,Imput[[PERIODO Imp.]:[PERIODO Imp.]],CX$9)</f>
        <v>0</v>
      </c>
      <c r="CY692" s="693">
        <f>SUMIFS(Imput[[Importe Neto]:[Importe Neto]],Imput[[C. Imp.]:[C. Imp.]],$D692,Imput[[PERIODO Imp.]:[PERIODO Imp.]],CY$9)</f>
        <v>0</v>
      </c>
      <c r="CZ692" s="693">
        <f>SUMIFS(Imput[[Importe Neto]:[Importe Neto]],Imput[[C. Imp.]:[C. Imp.]],$D692,Imput[[PERIODO Imp.]:[PERIODO Imp.]],CZ$9)</f>
        <v>0</v>
      </c>
      <c r="DA692" s="693">
        <f>SUMIFS(Imput[[Importe Neto]:[Importe Neto]],Imput[[C. Imp.]:[C. Imp.]],$D692,Imput[[PERIODO Imp.]:[PERIODO Imp.]],DA$9)</f>
        <v>0</v>
      </c>
      <c r="DB692" s="693">
        <f>SUMIFS(Imput[[Importe Neto]:[Importe Neto]],Imput[[C. Imp.]:[C. Imp.]],$D692,Imput[[PERIODO Imp.]:[PERIODO Imp.]],DB$9)</f>
        <v>0</v>
      </c>
      <c r="DC692" s="693">
        <f>SUMIFS(Imput[[Importe Neto]:[Importe Neto]],Imput[[C. Imp.]:[C. Imp.]],$D692,Imput[[PERIODO Imp.]:[PERIODO Imp.]],DC$9)</f>
        <v>0</v>
      </c>
      <c r="DD692" s="693">
        <f>SUMIFS(Imput[[Importe Neto]:[Importe Neto]],Imput[[C. Imp.]:[C. Imp.]],$D692,Imput[[PERIODO Imp.]:[PERIODO Imp.]],DD$9)</f>
        <v>0</v>
      </c>
      <c r="DE692" s="693">
        <f>SUMIFS(Imput[[Importe Neto]:[Importe Neto]],Imput[[C. Imp.]:[C. Imp.]],$D692,Imput[[PERIODO Imp.]:[PERIODO Imp.]],DE$9)</f>
        <v>0</v>
      </c>
      <c r="DF692" s="693">
        <f>SUMIFS(Imput[[Importe Neto]:[Importe Neto]],Imput[[C. Imp.]:[C. Imp.]],$D692,Imput[[PERIODO Imp.]:[PERIODO Imp.]],DF$9)</f>
        <v>0</v>
      </c>
      <c r="DG692" s="693">
        <f>SUMIFS(Imput[[Importe Neto]:[Importe Neto]],Imput[[C. Imp.]:[C. Imp.]],$D692,Imput[[PERIODO Imp.]:[PERIODO Imp.]],DG$9)</f>
        <v>0</v>
      </c>
      <c r="DH692" s="694">
        <f>SUMIFS(Imput[[Importe Neto]:[Importe Neto]],Imput[[C. Imp.]:[C. Imp.]],$D692,Imput[[PERIODO Imp.]:[PERIODO Imp.]],DH$9)</f>
        <v>0</v>
      </c>
    </row>
    <row r="693" spans="1:112" s="649" customFormat="1" ht="14.4" hidden="1" outlineLevel="1" thickBot="1" x14ac:dyDescent="0.35">
      <c r="A693" s="652" t="str">
        <f t="shared" si="246"/>
        <v/>
      </c>
      <c r="B693" s="652"/>
      <c r="C693" s="685"/>
      <c r="D693" s="686" t="s">
        <v>2699</v>
      </c>
      <c r="E693" s="686"/>
      <c r="F693" s="720"/>
      <c r="G693" s="688"/>
      <c r="H693" s="689"/>
      <c r="I693" s="851" t="str">
        <f t="shared" si="247"/>
        <v/>
      </c>
      <c r="J693" s="517" t="str">
        <f t="shared" si="248"/>
        <v/>
      </c>
      <c r="K693" s="667"/>
      <c r="L693" s="858"/>
      <c r="M693" s="859"/>
      <c r="N693" s="859"/>
      <c r="O693" s="859"/>
      <c r="P693" s="859"/>
      <c r="Q693" s="859"/>
      <c r="R693" s="859"/>
      <c r="S693" s="859"/>
      <c r="T693" s="859"/>
      <c r="U693" s="859"/>
      <c r="V693" s="859"/>
      <c r="W693" s="859"/>
      <c r="X693" s="859"/>
      <c r="Y693" s="859"/>
      <c r="Z693" s="860"/>
      <c r="AA693" s="860"/>
      <c r="AB693" s="860"/>
      <c r="AC693" s="860"/>
      <c r="AD693" s="860"/>
      <c r="AE693" s="860"/>
      <c r="AF693" s="860"/>
      <c r="AG693" s="860"/>
      <c r="AH693" s="860"/>
      <c r="AI693" s="860"/>
      <c r="AJ693" s="860"/>
      <c r="AK693" s="860"/>
      <c r="AL693" s="860"/>
      <c r="AM693" s="860"/>
      <c r="AN693" s="860"/>
      <c r="AO693" s="860"/>
      <c r="AP693" s="860"/>
      <c r="AQ693" s="860"/>
      <c r="AR693" s="860"/>
      <c r="AS693" s="860"/>
      <c r="AT693" s="860"/>
      <c r="AU693" s="860"/>
      <c r="AV693" s="860"/>
      <c r="AW693" s="860"/>
      <c r="AX693" s="860"/>
      <c r="AY693" s="860"/>
      <c r="AZ693" s="860"/>
      <c r="BA693" s="860"/>
      <c r="BB693" s="860"/>
      <c r="BC693" s="860"/>
      <c r="BD693" s="860"/>
      <c r="BE693" s="860"/>
      <c r="BF693" s="860"/>
      <c r="BG693" s="860"/>
      <c r="BH693" s="668"/>
      <c r="BI693" s="654"/>
      <c r="BJ693" s="690">
        <f t="shared" si="249"/>
        <v>0</v>
      </c>
      <c r="BK693" s="691">
        <f t="shared" si="250"/>
        <v>0</v>
      </c>
      <c r="BL693" s="654"/>
      <c r="BM693" s="692">
        <f>SUMIFS(Imput[[Importe Neto]:[Importe Neto]],Imput[[C. Imp.]:[C. Imp.]],$D693,Imput[[PERIODO Imp.]:[PERIODO Imp.]],BM$9)</f>
        <v>0</v>
      </c>
      <c r="BN693" s="693">
        <f>SUMIFS(Imput[[Importe Neto]:[Importe Neto]],Imput[[C. Imp.]:[C. Imp.]],$D693,Imput[[PERIODO Imp.]:[PERIODO Imp.]],BN$9)</f>
        <v>0</v>
      </c>
      <c r="BO693" s="693">
        <f>SUMIFS(Imput[[Importe Neto]:[Importe Neto]],Imput[[C. Imp.]:[C. Imp.]],$D693,Imput[[PERIODO Imp.]:[PERIODO Imp.]],BO$9)</f>
        <v>0</v>
      </c>
      <c r="BP693" s="693">
        <f>SUMIFS(Imput[[Importe Neto]:[Importe Neto]],Imput[[C. Imp.]:[C. Imp.]],$D693,Imput[[PERIODO Imp.]:[PERIODO Imp.]],BP$9)</f>
        <v>0</v>
      </c>
      <c r="BQ693" s="693">
        <f>SUMIFS(Imput[[Importe Neto]:[Importe Neto]],Imput[[C. Imp.]:[C. Imp.]],$D693,Imput[[PERIODO Imp.]:[PERIODO Imp.]],BQ$9)</f>
        <v>0</v>
      </c>
      <c r="BR693" s="693">
        <f>SUMIFS(Imput[[Importe Neto]:[Importe Neto]],Imput[[C. Imp.]:[C. Imp.]],$D693,Imput[[PERIODO Imp.]:[PERIODO Imp.]],BR$9)</f>
        <v>0</v>
      </c>
      <c r="BS693" s="693">
        <f>SUMIFS(Imput[[Importe Neto]:[Importe Neto]],Imput[[C. Imp.]:[C. Imp.]],$D693,Imput[[PERIODO Imp.]:[PERIODO Imp.]],BS$9)</f>
        <v>0</v>
      </c>
      <c r="BT693" s="693">
        <f>SUMIFS(Imput[[Importe Neto]:[Importe Neto]],Imput[[C. Imp.]:[C. Imp.]],$D693,Imput[[PERIODO Imp.]:[PERIODO Imp.]],BT$9)</f>
        <v>0</v>
      </c>
      <c r="BU693" s="693">
        <f>SUMIFS(Imput[[Importe Neto]:[Importe Neto]],Imput[[C. Imp.]:[C. Imp.]],$D693,Imput[[PERIODO Imp.]:[PERIODO Imp.]],BU$9)</f>
        <v>0</v>
      </c>
      <c r="BV693" s="693">
        <f>SUMIFS(Imput[[Importe Neto]:[Importe Neto]],Imput[[C. Imp.]:[C. Imp.]],$D693,Imput[[PERIODO Imp.]:[PERIODO Imp.]],BV$9)</f>
        <v>0</v>
      </c>
      <c r="BW693" s="693">
        <f>SUMIFS(Imput[[Importe Neto]:[Importe Neto]],Imput[[C. Imp.]:[C. Imp.]],$D693,Imput[[PERIODO Imp.]:[PERIODO Imp.]],BW$9)</f>
        <v>0</v>
      </c>
      <c r="BX693" s="693">
        <f>SUMIFS(Imput[[Importe Neto]:[Importe Neto]],Imput[[C. Imp.]:[C. Imp.]],$D693,Imput[[PERIODO Imp.]:[PERIODO Imp.]],BX$9)</f>
        <v>0</v>
      </c>
      <c r="BY693" s="693">
        <f>SUMIFS(Imput[[Importe Neto]:[Importe Neto]],Imput[[C. Imp.]:[C. Imp.]],$D693,Imput[[PERIODO Imp.]:[PERIODO Imp.]],BY$9)</f>
        <v>0</v>
      </c>
      <c r="BZ693" s="693">
        <f>SUMIFS(Imput[[Importe Neto]:[Importe Neto]],Imput[[C. Imp.]:[C. Imp.]],$D693,Imput[[PERIODO Imp.]:[PERIODO Imp.]],BZ$9)</f>
        <v>0</v>
      </c>
      <c r="CA693" s="693">
        <f>SUMIFS(Imput[[Importe Neto]:[Importe Neto]],Imput[[C. Imp.]:[C. Imp.]],$D693,Imput[[PERIODO Imp.]:[PERIODO Imp.]],CA$9)</f>
        <v>0</v>
      </c>
      <c r="CB693" s="693">
        <f>SUMIFS(Imput[[Importe Neto]:[Importe Neto]],Imput[[C. Imp.]:[C. Imp.]],$D693,Imput[[PERIODO Imp.]:[PERIODO Imp.]],CB$9)</f>
        <v>0</v>
      </c>
      <c r="CC693" s="693">
        <f>SUMIFS(Imput[[Importe Neto]:[Importe Neto]],Imput[[C. Imp.]:[C. Imp.]],$D693,Imput[[PERIODO Imp.]:[PERIODO Imp.]],CC$9)</f>
        <v>0</v>
      </c>
      <c r="CD693" s="693">
        <f>SUMIFS(Imput[[Importe Neto]:[Importe Neto]],Imput[[C. Imp.]:[C. Imp.]],$D693,Imput[[PERIODO Imp.]:[PERIODO Imp.]],CD$9)</f>
        <v>0</v>
      </c>
      <c r="CE693" s="693">
        <f>SUMIFS(Imput[[Importe Neto]:[Importe Neto]],Imput[[C. Imp.]:[C. Imp.]],$D693,Imput[[PERIODO Imp.]:[PERIODO Imp.]],CE$9)</f>
        <v>0</v>
      </c>
      <c r="CF693" s="693">
        <f>SUMIFS(Imput[[Importe Neto]:[Importe Neto]],Imput[[C. Imp.]:[C. Imp.]],$D693,Imput[[PERIODO Imp.]:[PERIODO Imp.]],CF$9)</f>
        <v>0</v>
      </c>
      <c r="CG693" s="693">
        <f>SUMIFS(Imput[[Importe Neto]:[Importe Neto]],Imput[[C. Imp.]:[C. Imp.]],$D693,Imput[[PERIODO Imp.]:[PERIODO Imp.]],CG$9)</f>
        <v>0</v>
      </c>
      <c r="CH693" s="693">
        <f>SUMIFS(Imput[[Importe Neto]:[Importe Neto]],Imput[[C. Imp.]:[C. Imp.]],$D693,Imput[[PERIODO Imp.]:[PERIODO Imp.]],CH$9)</f>
        <v>0</v>
      </c>
      <c r="CI693" s="693">
        <f>SUMIFS(Imput[[Importe Neto]:[Importe Neto]],Imput[[C. Imp.]:[C. Imp.]],$D693,Imput[[PERIODO Imp.]:[PERIODO Imp.]],CI$9)</f>
        <v>0</v>
      </c>
      <c r="CJ693" s="693">
        <f>SUMIFS(Imput[[Importe Neto]:[Importe Neto]],Imput[[C. Imp.]:[C. Imp.]],$D693,Imput[[PERIODO Imp.]:[PERIODO Imp.]],CJ$9)</f>
        <v>0</v>
      </c>
      <c r="CK693" s="693">
        <f>SUMIFS(Imput[[Importe Neto]:[Importe Neto]],Imput[[C. Imp.]:[C. Imp.]],$D693,Imput[[PERIODO Imp.]:[PERIODO Imp.]],CK$9)</f>
        <v>0</v>
      </c>
      <c r="CL693" s="693">
        <f>SUMIFS(Imput[[Importe Neto]:[Importe Neto]],Imput[[C. Imp.]:[C. Imp.]],$D693,Imput[[PERIODO Imp.]:[PERIODO Imp.]],CL$9)</f>
        <v>0</v>
      </c>
      <c r="CM693" s="693">
        <f>SUMIFS(Imput[[Importe Neto]:[Importe Neto]],Imput[[C. Imp.]:[C. Imp.]],$D693,Imput[[PERIODO Imp.]:[PERIODO Imp.]],CM$9)</f>
        <v>0</v>
      </c>
      <c r="CN693" s="693">
        <f>SUMIFS(Imput[[Importe Neto]:[Importe Neto]],Imput[[C. Imp.]:[C. Imp.]],$D693,Imput[[PERIODO Imp.]:[PERIODO Imp.]],CN$9)</f>
        <v>0</v>
      </c>
      <c r="CO693" s="693">
        <f>SUMIFS(Imput[[Importe Neto]:[Importe Neto]],Imput[[C. Imp.]:[C. Imp.]],$D693,Imput[[PERIODO Imp.]:[PERIODO Imp.]],CO$9)</f>
        <v>0</v>
      </c>
      <c r="CP693" s="693">
        <f>SUMIFS(Imput[[Importe Neto]:[Importe Neto]],Imput[[C. Imp.]:[C. Imp.]],$D693,Imput[[PERIODO Imp.]:[PERIODO Imp.]],CP$9)</f>
        <v>0</v>
      </c>
      <c r="CQ693" s="693">
        <f>SUMIFS(Imput[[Importe Neto]:[Importe Neto]],Imput[[C. Imp.]:[C. Imp.]],$D693,Imput[[PERIODO Imp.]:[PERIODO Imp.]],CQ$9)</f>
        <v>0</v>
      </c>
      <c r="CR693" s="693">
        <f>SUMIFS(Imput[[Importe Neto]:[Importe Neto]],Imput[[C. Imp.]:[C. Imp.]],$D693,Imput[[PERIODO Imp.]:[PERIODO Imp.]],CR$9)</f>
        <v>0</v>
      </c>
      <c r="CS693" s="693">
        <f>SUMIFS(Imput[[Importe Neto]:[Importe Neto]],Imput[[C. Imp.]:[C. Imp.]],$D693,Imput[[PERIODO Imp.]:[PERIODO Imp.]],CS$9)</f>
        <v>0</v>
      </c>
      <c r="CT693" s="693">
        <f>SUMIFS(Imput[[Importe Neto]:[Importe Neto]],Imput[[C. Imp.]:[C. Imp.]],$D693,Imput[[PERIODO Imp.]:[PERIODO Imp.]],CT$9)</f>
        <v>0</v>
      </c>
      <c r="CU693" s="693">
        <f>SUMIFS(Imput[[Importe Neto]:[Importe Neto]],Imput[[C. Imp.]:[C. Imp.]],$D693,Imput[[PERIODO Imp.]:[PERIODO Imp.]],CU$9)</f>
        <v>0</v>
      </c>
      <c r="CV693" s="693">
        <f>SUMIFS(Imput[[Importe Neto]:[Importe Neto]],Imput[[C. Imp.]:[C. Imp.]],$D693,Imput[[PERIODO Imp.]:[PERIODO Imp.]],CV$9)</f>
        <v>0</v>
      </c>
      <c r="CW693" s="693">
        <f>SUMIFS(Imput[[Importe Neto]:[Importe Neto]],Imput[[C. Imp.]:[C. Imp.]],$D693,Imput[[PERIODO Imp.]:[PERIODO Imp.]],CW$9)</f>
        <v>0</v>
      </c>
      <c r="CX693" s="693">
        <f>SUMIFS(Imput[[Importe Neto]:[Importe Neto]],Imput[[C. Imp.]:[C. Imp.]],$D693,Imput[[PERIODO Imp.]:[PERIODO Imp.]],CX$9)</f>
        <v>0</v>
      </c>
      <c r="CY693" s="693">
        <f>SUMIFS(Imput[[Importe Neto]:[Importe Neto]],Imput[[C. Imp.]:[C. Imp.]],$D693,Imput[[PERIODO Imp.]:[PERIODO Imp.]],CY$9)</f>
        <v>0</v>
      </c>
      <c r="CZ693" s="693">
        <f>SUMIFS(Imput[[Importe Neto]:[Importe Neto]],Imput[[C. Imp.]:[C. Imp.]],$D693,Imput[[PERIODO Imp.]:[PERIODO Imp.]],CZ$9)</f>
        <v>0</v>
      </c>
      <c r="DA693" s="693">
        <f>SUMIFS(Imput[[Importe Neto]:[Importe Neto]],Imput[[C. Imp.]:[C. Imp.]],$D693,Imput[[PERIODO Imp.]:[PERIODO Imp.]],DA$9)</f>
        <v>0</v>
      </c>
      <c r="DB693" s="693">
        <f>SUMIFS(Imput[[Importe Neto]:[Importe Neto]],Imput[[C. Imp.]:[C. Imp.]],$D693,Imput[[PERIODO Imp.]:[PERIODO Imp.]],DB$9)</f>
        <v>0</v>
      </c>
      <c r="DC693" s="693">
        <f>SUMIFS(Imput[[Importe Neto]:[Importe Neto]],Imput[[C. Imp.]:[C. Imp.]],$D693,Imput[[PERIODO Imp.]:[PERIODO Imp.]],DC$9)</f>
        <v>0</v>
      </c>
      <c r="DD693" s="693">
        <f>SUMIFS(Imput[[Importe Neto]:[Importe Neto]],Imput[[C. Imp.]:[C. Imp.]],$D693,Imput[[PERIODO Imp.]:[PERIODO Imp.]],DD$9)</f>
        <v>0</v>
      </c>
      <c r="DE693" s="693">
        <f>SUMIFS(Imput[[Importe Neto]:[Importe Neto]],Imput[[C. Imp.]:[C. Imp.]],$D693,Imput[[PERIODO Imp.]:[PERIODO Imp.]],DE$9)</f>
        <v>0</v>
      </c>
      <c r="DF693" s="693">
        <f>SUMIFS(Imput[[Importe Neto]:[Importe Neto]],Imput[[C. Imp.]:[C. Imp.]],$D693,Imput[[PERIODO Imp.]:[PERIODO Imp.]],DF$9)</f>
        <v>0</v>
      </c>
      <c r="DG693" s="693">
        <f>SUMIFS(Imput[[Importe Neto]:[Importe Neto]],Imput[[C. Imp.]:[C. Imp.]],$D693,Imput[[PERIODO Imp.]:[PERIODO Imp.]],DG$9)</f>
        <v>0</v>
      </c>
      <c r="DH693" s="694">
        <f>SUMIFS(Imput[[Importe Neto]:[Importe Neto]],Imput[[C. Imp.]:[C. Imp.]],$D693,Imput[[PERIODO Imp.]:[PERIODO Imp.]],DH$9)</f>
        <v>0</v>
      </c>
    </row>
    <row r="694" spans="1:112" s="649" customFormat="1" ht="14.4" hidden="1" outlineLevel="1" thickBot="1" x14ac:dyDescent="0.35">
      <c r="A694" s="652" t="str">
        <f t="shared" si="246"/>
        <v/>
      </c>
      <c r="B694" s="652"/>
      <c r="C694" s="685"/>
      <c r="D694" s="686" t="s">
        <v>2700</v>
      </c>
      <c r="E694" s="686"/>
      <c r="F694" s="720"/>
      <c r="G694" s="688"/>
      <c r="H694" s="689"/>
      <c r="I694" s="851" t="str">
        <f t="shared" si="247"/>
        <v/>
      </c>
      <c r="J694" s="517" t="str">
        <f t="shared" si="248"/>
        <v/>
      </c>
      <c r="K694" s="667"/>
      <c r="L694" s="858"/>
      <c r="M694" s="859"/>
      <c r="N694" s="859"/>
      <c r="O694" s="859"/>
      <c r="P694" s="859"/>
      <c r="Q694" s="859"/>
      <c r="R694" s="859"/>
      <c r="S694" s="859"/>
      <c r="T694" s="859"/>
      <c r="U694" s="859"/>
      <c r="V694" s="859"/>
      <c r="W694" s="859"/>
      <c r="X694" s="859"/>
      <c r="Y694" s="859"/>
      <c r="Z694" s="860"/>
      <c r="AA694" s="860"/>
      <c r="AB694" s="860"/>
      <c r="AC694" s="860"/>
      <c r="AD694" s="860"/>
      <c r="AE694" s="860"/>
      <c r="AF694" s="860"/>
      <c r="AG694" s="860"/>
      <c r="AH694" s="860"/>
      <c r="AI694" s="860"/>
      <c r="AJ694" s="860"/>
      <c r="AK694" s="860"/>
      <c r="AL694" s="860"/>
      <c r="AM694" s="860"/>
      <c r="AN694" s="860"/>
      <c r="AO694" s="860"/>
      <c r="AP694" s="860"/>
      <c r="AQ694" s="860"/>
      <c r="AR694" s="860"/>
      <c r="AS694" s="860"/>
      <c r="AT694" s="860"/>
      <c r="AU694" s="860"/>
      <c r="AV694" s="860"/>
      <c r="AW694" s="860"/>
      <c r="AX694" s="860"/>
      <c r="AY694" s="860"/>
      <c r="AZ694" s="860"/>
      <c r="BA694" s="860"/>
      <c r="BB694" s="860"/>
      <c r="BC694" s="860"/>
      <c r="BD694" s="860"/>
      <c r="BE694" s="860"/>
      <c r="BF694" s="860"/>
      <c r="BG694" s="860"/>
      <c r="BH694" s="668"/>
      <c r="BI694" s="654"/>
      <c r="BJ694" s="690">
        <f t="shared" si="249"/>
        <v>0</v>
      </c>
      <c r="BK694" s="691">
        <f t="shared" si="250"/>
        <v>0</v>
      </c>
      <c r="BL694" s="654"/>
      <c r="BM694" s="692">
        <f>SUMIFS(Imput[[Importe Neto]:[Importe Neto]],Imput[[C. Imp.]:[C. Imp.]],$D694,Imput[[PERIODO Imp.]:[PERIODO Imp.]],BM$9)</f>
        <v>0</v>
      </c>
      <c r="BN694" s="693">
        <f>SUMIFS(Imput[[Importe Neto]:[Importe Neto]],Imput[[C. Imp.]:[C. Imp.]],$D694,Imput[[PERIODO Imp.]:[PERIODO Imp.]],BN$9)</f>
        <v>0</v>
      </c>
      <c r="BO694" s="693">
        <f>SUMIFS(Imput[[Importe Neto]:[Importe Neto]],Imput[[C. Imp.]:[C. Imp.]],$D694,Imput[[PERIODO Imp.]:[PERIODO Imp.]],BO$9)</f>
        <v>0</v>
      </c>
      <c r="BP694" s="693">
        <f>SUMIFS(Imput[[Importe Neto]:[Importe Neto]],Imput[[C. Imp.]:[C. Imp.]],$D694,Imput[[PERIODO Imp.]:[PERIODO Imp.]],BP$9)</f>
        <v>0</v>
      </c>
      <c r="BQ694" s="693">
        <f>SUMIFS(Imput[[Importe Neto]:[Importe Neto]],Imput[[C. Imp.]:[C. Imp.]],$D694,Imput[[PERIODO Imp.]:[PERIODO Imp.]],BQ$9)</f>
        <v>0</v>
      </c>
      <c r="BR694" s="693">
        <f>SUMIFS(Imput[[Importe Neto]:[Importe Neto]],Imput[[C. Imp.]:[C. Imp.]],$D694,Imput[[PERIODO Imp.]:[PERIODO Imp.]],BR$9)</f>
        <v>0</v>
      </c>
      <c r="BS694" s="693">
        <f>SUMIFS(Imput[[Importe Neto]:[Importe Neto]],Imput[[C. Imp.]:[C. Imp.]],$D694,Imput[[PERIODO Imp.]:[PERIODO Imp.]],BS$9)</f>
        <v>0</v>
      </c>
      <c r="BT694" s="693">
        <f>SUMIFS(Imput[[Importe Neto]:[Importe Neto]],Imput[[C. Imp.]:[C. Imp.]],$D694,Imput[[PERIODO Imp.]:[PERIODO Imp.]],BT$9)</f>
        <v>0</v>
      </c>
      <c r="BU694" s="693">
        <f>SUMIFS(Imput[[Importe Neto]:[Importe Neto]],Imput[[C. Imp.]:[C. Imp.]],$D694,Imput[[PERIODO Imp.]:[PERIODO Imp.]],BU$9)</f>
        <v>0</v>
      </c>
      <c r="BV694" s="693">
        <f>SUMIFS(Imput[[Importe Neto]:[Importe Neto]],Imput[[C. Imp.]:[C. Imp.]],$D694,Imput[[PERIODO Imp.]:[PERIODO Imp.]],BV$9)</f>
        <v>0</v>
      </c>
      <c r="BW694" s="693">
        <f>SUMIFS(Imput[[Importe Neto]:[Importe Neto]],Imput[[C. Imp.]:[C. Imp.]],$D694,Imput[[PERIODO Imp.]:[PERIODO Imp.]],BW$9)</f>
        <v>0</v>
      </c>
      <c r="BX694" s="693">
        <f>SUMIFS(Imput[[Importe Neto]:[Importe Neto]],Imput[[C. Imp.]:[C. Imp.]],$D694,Imput[[PERIODO Imp.]:[PERIODO Imp.]],BX$9)</f>
        <v>0</v>
      </c>
      <c r="BY694" s="693">
        <f>SUMIFS(Imput[[Importe Neto]:[Importe Neto]],Imput[[C. Imp.]:[C. Imp.]],$D694,Imput[[PERIODO Imp.]:[PERIODO Imp.]],BY$9)</f>
        <v>0</v>
      </c>
      <c r="BZ694" s="693">
        <f>SUMIFS(Imput[[Importe Neto]:[Importe Neto]],Imput[[C. Imp.]:[C. Imp.]],$D694,Imput[[PERIODO Imp.]:[PERIODO Imp.]],BZ$9)</f>
        <v>0</v>
      </c>
      <c r="CA694" s="693">
        <f>SUMIFS(Imput[[Importe Neto]:[Importe Neto]],Imput[[C. Imp.]:[C. Imp.]],$D694,Imput[[PERIODO Imp.]:[PERIODO Imp.]],CA$9)</f>
        <v>0</v>
      </c>
      <c r="CB694" s="693">
        <f>SUMIFS(Imput[[Importe Neto]:[Importe Neto]],Imput[[C. Imp.]:[C. Imp.]],$D694,Imput[[PERIODO Imp.]:[PERIODO Imp.]],CB$9)</f>
        <v>0</v>
      </c>
      <c r="CC694" s="693">
        <f>SUMIFS(Imput[[Importe Neto]:[Importe Neto]],Imput[[C. Imp.]:[C. Imp.]],$D694,Imput[[PERIODO Imp.]:[PERIODO Imp.]],CC$9)</f>
        <v>0</v>
      </c>
      <c r="CD694" s="693">
        <f>SUMIFS(Imput[[Importe Neto]:[Importe Neto]],Imput[[C. Imp.]:[C. Imp.]],$D694,Imput[[PERIODO Imp.]:[PERIODO Imp.]],CD$9)</f>
        <v>0</v>
      </c>
      <c r="CE694" s="693">
        <f>SUMIFS(Imput[[Importe Neto]:[Importe Neto]],Imput[[C. Imp.]:[C. Imp.]],$D694,Imput[[PERIODO Imp.]:[PERIODO Imp.]],CE$9)</f>
        <v>0</v>
      </c>
      <c r="CF694" s="693">
        <f>SUMIFS(Imput[[Importe Neto]:[Importe Neto]],Imput[[C. Imp.]:[C. Imp.]],$D694,Imput[[PERIODO Imp.]:[PERIODO Imp.]],CF$9)</f>
        <v>0</v>
      </c>
      <c r="CG694" s="693">
        <f>SUMIFS(Imput[[Importe Neto]:[Importe Neto]],Imput[[C. Imp.]:[C. Imp.]],$D694,Imput[[PERIODO Imp.]:[PERIODO Imp.]],CG$9)</f>
        <v>0</v>
      </c>
      <c r="CH694" s="693">
        <f>SUMIFS(Imput[[Importe Neto]:[Importe Neto]],Imput[[C. Imp.]:[C. Imp.]],$D694,Imput[[PERIODO Imp.]:[PERIODO Imp.]],CH$9)</f>
        <v>0</v>
      </c>
      <c r="CI694" s="693">
        <f>SUMIFS(Imput[[Importe Neto]:[Importe Neto]],Imput[[C. Imp.]:[C. Imp.]],$D694,Imput[[PERIODO Imp.]:[PERIODO Imp.]],CI$9)</f>
        <v>0</v>
      </c>
      <c r="CJ694" s="693">
        <f>SUMIFS(Imput[[Importe Neto]:[Importe Neto]],Imput[[C. Imp.]:[C. Imp.]],$D694,Imput[[PERIODO Imp.]:[PERIODO Imp.]],CJ$9)</f>
        <v>0</v>
      </c>
      <c r="CK694" s="693">
        <f>SUMIFS(Imput[[Importe Neto]:[Importe Neto]],Imput[[C. Imp.]:[C. Imp.]],$D694,Imput[[PERIODO Imp.]:[PERIODO Imp.]],CK$9)</f>
        <v>0</v>
      </c>
      <c r="CL694" s="693">
        <f>SUMIFS(Imput[[Importe Neto]:[Importe Neto]],Imput[[C. Imp.]:[C. Imp.]],$D694,Imput[[PERIODO Imp.]:[PERIODO Imp.]],CL$9)</f>
        <v>0</v>
      </c>
      <c r="CM694" s="693">
        <f>SUMIFS(Imput[[Importe Neto]:[Importe Neto]],Imput[[C. Imp.]:[C. Imp.]],$D694,Imput[[PERIODO Imp.]:[PERIODO Imp.]],CM$9)</f>
        <v>0</v>
      </c>
      <c r="CN694" s="693">
        <f>SUMIFS(Imput[[Importe Neto]:[Importe Neto]],Imput[[C. Imp.]:[C. Imp.]],$D694,Imput[[PERIODO Imp.]:[PERIODO Imp.]],CN$9)</f>
        <v>0</v>
      </c>
      <c r="CO694" s="693">
        <f>SUMIFS(Imput[[Importe Neto]:[Importe Neto]],Imput[[C. Imp.]:[C. Imp.]],$D694,Imput[[PERIODO Imp.]:[PERIODO Imp.]],CO$9)</f>
        <v>0</v>
      </c>
      <c r="CP694" s="693">
        <f>SUMIFS(Imput[[Importe Neto]:[Importe Neto]],Imput[[C. Imp.]:[C. Imp.]],$D694,Imput[[PERIODO Imp.]:[PERIODO Imp.]],CP$9)</f>
        <v>0</v>
      </c>
      <c r="CQ694" s="693">
        <f>SUMIFS(Imput[[Importe Neto]:[Importe Neto]],Imput[[C. Imp.]:[C. Imp.]],$D694,Imput[[PERIODO Imp.]:[PERIODO Imp.]],CQ$9)</f>
        <v>0</v>
      </c>
      <c r="CR694" s="693">
        <f>SUMIFS(Imput[[Importe Neto]:[Importe Neto]],Imput[[C. Imp.]:[C. Imp.]],$D694,Imput[[PERIODO Imp.]:[PERIODO Imp.]],CR$9)</f>
        <v>0</v>
      </c>
      <c r="CS694" s="693">
        <f>SUMIFS(Imput[[Importe Neto]:[Importe Neto]],Imput[[C. Imp.]:[C. Imp.]],$D694,Imput[[PERIODO Imp.]:[PERIODO Imp.]],CS$9)</f>
        <v>0</v>
      </c>
      <c r="CT694" s="693">
        <f>SUMIFS(Imput[[Importe Neto]:[Importe Neto]],Imput[[C. Imp.]:[C. Imp.]],$D694,Imput[[PERIODO Imp.]:[PERIODO Imp.]],CT$9)</f>
        <v>0</v>
      </c>
      <c r="CU694" s="693">
        <f>SUMIFS(Imput[[Importe Neto]:[Importe Neto]],Imput[[C. Imp.]:[C. Imp.]],$D694,Imput[[PERIODO Imp.]:[PERIODO Imp.]],CU$9)</f>
        <v>0</v>
      </c>
      <c r="CV694" s="693">
        <f>SUMIFS(Imput[[Importe Neto]:[Importe Neto]],Imput[[C. Imp.]:[C. Imp.]],$D694,Imput[[PERIODO Imp.]:[PERIODO Imp.]],CV$9)</f>
        <v>0</v>
      </c>
      <c r="CW694" s="693">
        <f>SUMIFS(Imput[[Importe Neto]:[Importe Neto]],Imput[[C. Imp.]:[C. Imp.]],$D694,Imput[[PERIODO Imp.]:[PERIODO Imp.]],CW$9)</f>
        <v>0</v>
      </c>
      <c r="CX694" s="693">
        <f>SUMIFS(Imput[[Importe Neto]:[Importe Neto]],Imput[[C. Imp.]:[C. Imp.]],$D694,Imput[[PERIODO Imp.]:[PERIODO Imp.]],CX$9)</f>
        <v>0</v>
      </c>
      <c r="CY694" s="693">
        <f>SUMIFS(Imput[[Importe Neto]:[Importe Neto]],Imput[[C. Imp.]:[C. Imp.]],$D694,Imput[[PERIODO Imp.]:[PERIODO Imp.]],CY$9)</f>
        <v>0</v>
      </c>
      <c r="CZ694" s="693">
        <f>SUMIFS(Imput[[Importe Neto]:[Importe Neto]],Imput[[C. Imp.]:[C. Imp.]],$D694,Imput[[PERIODO Imp.]:[PERIODO Imp.]],CZ$9)</f>
        <v>0</v>
      </c>
      <c r="DA694" s="693">
        <f>SUMIFS(Imput[[Importe Neto]:[Importe Neto]],Imput[[C. Imp.]:[C. Imp.]],$D694,Imput[[PERIODO Imp.]:[PERIODO Imp.]],DA$9)</f>
        <v>0</v>
      </c>
      <c r="DB694" s="693">
        <f>SUMIFS(Imput[[Importe Neto]:[Importe Neto]],Imput[[C. Imp.]:[C. Imp.]],$D694,Imput[[PERIODO Imp.]:[PERIODO Imp.]],DB$9)</f>
        <v>0</v>
      </c>
      <c r="DC694" s="693">
        <f>SUMIFS(Imput[[Importe Neto]:[Importe Neto]],Imput[[C. Imp.]:[C. Imp.]],$D694,Imput[[PERIODO Imp.]:[PERIODO Imp.]],DC$9)</f>
        <v>0</v>
      </c>
      <c r="DD694" s="693">
        <f>SUMIFS(Imput[[Importe Neto]:[Importe Neto]],Imput[[C. Imp.]:[C. Imp.]],$D694,Imput[[PERIODO Imp.]:[PERIODO Imp.]],DD$9)</f>
        <v>0</v>
      </c>
      <c r="DE694" s="693">
        <f>SUMIFS(Imput[[Importe Neto]:[Importe Neto]],Imput[[C. Imp.]:[C. Imp.]],$D694,Imput[[PERIODO Imp.]:[PERIODO Imp.]],DE$9)</f>
        <v>0</v>
      </c>
      <c r="DF694" s="693">
        <f>SUMIFS(Imput[[Importe Neto]:[Importe Neto]],Imput[[C. Imp.]:[C. Imp.]],$D694,Imput[[PERIODO Imp.]:[PERIODO Imp.]],DF$9)</f>
        <v>0</v>
      </c>
      <c r="DG694" s="693">
        <f>SUMIFS(Imput[[Importe Neto]:[Importe Neto]],Imput[[C. Imp.]:[C. Imp.]],$D694,Imput[[PERIODO Imp.]:[PERIODO Imp.]],DG$9)</f>
        <v>0</v>
      </c>
      <c r="DH694" s="694">
        <f>SUMIFS(Imput[[Importe Neto]:[Importe Neto]],Imput[[C. Imp.]:[C. Imp.]],$D694,Imput[[PERIODO Imp.]:[PERIODO Imp.]],DH$9)</f>
        <v>0</v>
      </c>
    </row>
    <row r="695" spans="1:112" s="651" customFormat="1" ht="14.4" hidden="1" outlineLevel="1" thickBot="1" x14ac:dyDescent="0.35">
      <c r="A695" s="652" t="str">
        <f t="shared" si="246"/>
        <v/>
      </c>
      <c r="B695" s="732"/>
      <c r="C695" s="685"/>
      <c r="D695" s="686" t="s">
        <v>2701</v>
      </c>
      <c r="E695" s="686"/>
      <c r="F695" s="720"/>
      <c r="G695" s="688"/>
      <c r="H695" s="689"/>
      <c r="I695" s="851" t="str">
        <f t="shared" si="247"/>
        <v/>
      </c>
      <c r="J695" s="517" t="str">
        <f t="shared" si="248"/>
        <v/>
      </c>
      <c r="K695" s="678"/>
      <c r="L695" s="858"/>
      <c r="M695" s="859"/>
      <c r="N695" s="859"/>
      <c r="O695" s="859"/>
      <c r="P695" s="859"/>
      <c r="Q695" s="859"/>
      <c r="R695" s="859"/>
      <c r="S695" s="859"/>
      <c r="T695" s="859"/>
      <c r="U695" s="859"/>
      <c r="V695" s="859"/>
      <c r="W695" s="859"/>
      <c r="X695" s="859"/>
      <c r="Y695" s="859"/>
      <c r="Z695" s="860"/>
      <c r="AA695" s="860"/>
      <c r="AB695" s="860"/>
      <c r="AC695" s="860"/>
      <c r="AD695" s="860"/>
      <c r="AE695" s="860"/>
      <c r="AF695" s="860"/>
      <c r="AG695" s="860"/>
      <c r="AH695" s="860"/>
      <c r="AI695" s="860"/>
      <c r="AJ695" s="860"/>
      <c r="AK695" s="860"/>
      <c r="AL695" s="860"/>
      <c r="AM695" s="860"/>
      <c r="AN695" s="860"/>
      <c r="AO695" s="860"/>
      <c r="AP695" s="860"/>
      <c r="AQ695" s="860"/>
      <c r="AR695" s="860"/>
      <c r="AS695" s="860"/>
      <c r="AT695" s="860"/>
      <c r="AU695" s="860"/>
      <c r="AV695" s="860"/>
      <c r="AW695" s="860"/>
      <c r="AX695" s="860"/>
      <c r="AY695" s="860"/>
      <c r="AZ695" s="860"/>
      <c r="BA695" s="860"/>
      <c r="BB695" s="860"/>
      <c r="BC695" s="860"/>
      <c r="BD695" s="860"/>
      <c r="BE695" s="860"/>
      <c r="BF695" s="860"/>
      <c r="BG695" s="860"/>
      <c r="BH695" s="668"/>
      <c r="BI695" s="678"/>
      <c r="BJ695" s="690">
        <f t="shared" si="249"/>
        <v>0</v>
      </c>
      <c r="BK695" s="691">
        <f t="shared" si="250"/>
        <v>0</v>
      </c>
      <c r="BL695" s="654"/>
      <c r="BM695" s="692">
        <f>SUMIFS(Imput[[Importe Neto]:[Importe Neto]],Imput[[C. Imp.]:[C. Imp.]],$D695,Imput[[PERIODO Imp.]:[PERIODO Imp.]],BM$9)</f>
        <v>0</v>
      </c>
      <c r="BN695" s="693">
        <f>SUMIFS(Imput[[Importe Neto]:[Importe Neto]],Imput[[C. Imp.]:[C. Imp.]],$D695,Imput[[PERIODO Imp.]:[PERIODO Imp.]],BN$9)</f>
        <v>0</v>
      </c>
      <c r="BO695" s="693">
        <f>SUMIFS(Imput[[Importe Neto]:[Importe Neto]],Imput[[C. Imp.]:[C. Imp.]],$D695,Imput[[PERIODO Imp.]:[PERIODO Imp.]],BO$9)</f>
        <v>0</v>
      </c>
      <c r="BP695" s="693">
        <f>SUMIFS(Imput[[Importe Neto]:[Importe Neto]],Imput[[C. Imp.]:[C. Imp.]],$D695,Imput[[PERIODO Imp.]:[PERIODO Imp.]],BP$9)</f>
        <v>0</v>
      </c>
      <c r="BQ695" s="693">
        <f>SUMIFS(Imput[[Importe Neto]:[Importe Neto]],Imput[[C. Imp.]:[C. Imp.]],$D695,Imput[[PERIODO Imp.]:[PERIODO Imp.]],BQ$9)</f>
        <v>0</v>
      </c>
      <c r="BR695" s="693">
        <f>SUMIFS(Imput[[Importe Neto]:[Importe Neto]],Imput[[C. Imp.]:[C. Imp.]],$D695,Imput[[PERIODO Imp.]:[PERIODO Imp.]],BR$9)</f>
        <v>0</v>
      </c>
      <c r="BS695" s="693">
        <f>SUMIFS(Imput[[Importe Neto]:[Importe Neto]],Imput[[C. Imp.]:[C. Imp.]],$D695,Imput[[PERIODO Imp.]:[PERIODO Imp.]],BS$9)</f>
        <v>0</v>
      </c>
      <c r="BT695" s="693">
        <f>SUMIFS(Imput[[Importe Neto]:[Importe Neto]],Imput[[C. Imp.]:[C. Imp.]],$D695,Imput[[PERIODO Imp.]:[PERIODO Imp.]],BT$9)</f>
        <v>0</v>
      </c>
      <c r="BU695" s="693">
        <f>SUMIFS(Imput[[Importe Neto]:[Importe Neto]],Imput[[C. Imp.]:[C. Imp.]],$D695,Imput[[PERIODO Imp.]:[PERIODO Imp.]],BU$9)</f>
        <v>0</v>
      </c>
      <c r="BV695" s="693">
        <f>SUMIFS(Imput[[Importe Neto]:[Importe Neto]],Imput[[C. Imp.]:[C. Imp.]],$D695,Imput[[PERIODO Imp.]:[PERIODO Imp.]],BV$9)</f>
        <v>0</v>
      </c>
      <c r="BW695" s="693">
        <f>SUMIFS(Imput[[Importe Neto]:[Importe Neto]],Imput[[C. Imp.]:[C. Imp.]],$D695,Imput[[PERIODO Imp.]:[PERIODO Imp.]],BW$9)</f>
        <v>0</v>
      </c>
      <c r="BX695" s="693">
        <f>SUMIFS(Imput[[Importe Neto]:[Importe Neto]],Imput[[C. Imp.]:[C. Imp.]],$D695,Imput[[PERIODO Imp.]:[PERIODO Imp.]],BX$9)</f>
        <v>0</v>
      </c>
      <c r="BY695" s="693">
        <f>SUMIFS(Imput[[Importe Neto]:[Importe Neto]],Imput[[C. Imp.]:[C. Imp.]],$D695,Imput[[PERIODO Imp.]:[PERIODO Imp.]],BY$9)</f>
        <v>0</v>
      </c>
      <c r="BZ695" s="693">
        <f>SUMIFS(Imput[[Importe Neto]:[Importe Neto]],Imput[[C. Imp.]:[C. Imp.]],$D695,Imput[[PERIODO Imp.]:[PERIODO Imp.]],BZ$9)</f>
        <v>0</v>
      </c>
      <c r="CA695" s="693">
        <f>SUMIFS(Imput[[Importe Neto]:[Importe Neto]],Imput[[C. Imp.]:[C. Imp.]],$D695,Imput[[PERIODO Imp.]:[PERIODO Imp.]],CA$9)</f>
        <v>0</v>
      </c>
      <c r="CB695" s="693">
        <f>SUMIFS(Imput[[Importe Neto]:[Importe Neto]],Imput[[C. Imp.]:[C. Imp.]],$D695,Imput[[PERIODO Imp.]:[PERIODO Imp.]],CB$9)</f>
        <v>0</v>
      </c>
      <c r="CC695" s="693">
        <f>SUMIFS(Imput[[Importe Neto]:[Importe Neto]],Imput[[C. Imp.]:[C. Imp.]],$D695,Imput[[PERIODO Imp.]:[PERIODO Imp.]],CC$9)</f>
        <v>0</v>
      </c>
      <c r="CD695" s="693">
        <f>SUMIFS(Imput[[Importe Neto]:[Importe Neto]],Imput[[C. Imp.]:[C. Imp.]],$D695,Imput[[PERIODO Imp.]:[PERIODO Imp.]],CD$9)</f>
        <v>0</v>
      </c>
      <c r="CE695" s="693">
        <f>SUMIFS(Imput[[Importe Neto]:[Importe Neto]],Imput[[C. Imp.]:[C. Imp.]],$D695,Imput[[PERIODO Imp.]:[PERIODO Imp.]],CE$9)</f>
        <v>0</v>
      </c>
      <c r="CF695" s="693">
        <f>SUMIFS(Imput[[Importe Neto]:[Importe Neto]],Imput[[C. Imp.]:[C. Imp.]],$D695,Imput[[PERIODO Imp.]:[PERIODO Imp.]],CF$9)</f>
        <v>0</v>
      </c>
      <c r="CG695" s="693">
        <f>SUMIFS(Imput[[Importe Neto]:[Importe Neto]],Imput[[C. Imp.]:[C. Imp.]],$D695,Imput[[PERIODO Imp.]:[PERIODO Imp.]],CG$9)</f>
        <v>0</v>
      </c>
      <c r="CH695" s="693">
        <f>SUMIFS(Imput[[Importe Neto]:[Importe Neto]],Imput[[C. Imp.]:[C. Imp.]],$D695,Imput[[PERIODO Imp.]:[PERIODO Imp.]],CH$9)</f>
        <v>0</v>
      </c>
      <c r="CI695" s="693">
        <f>SUMIFS(Imput[[Importe Neto]:[Importe Neto]],Imput[[C. Imp.]:[C. Imp.]],$D695,Imput[[PERIODO Imp.]:[PERIODO Imp.]],CI$9)</f>
        <v>0</v>
      </c>
      <c r="CJ695" s="693">
        <f>SUMIFS(Imput[[Importe Neto]:[Importe Neto]],Imput[[C. Imp.]:[C. Imp.]],$D695,Imput[[PERIODO Imp.]:[PERIODO Imp.]],CJ$9)</f>
        <v>0</v>
      </c>
      <c r="CK695" s="693">
        <f>SUMIFS(Imput[[Importe Neto]:[Importe Neto]],Imput[[C. Imp.]:[C. Imp.]],$D695,Imput[[PERIODO Imp.]:[PERIODO Imp.]],CK$9)</f>
        <v>0</v>
      </c>
      <c r="CL695" s="693">
        <f>SUMIFS(Imput[[Importe Neto]:[Importe Neto]],Imput[[C. Imp.]:[C. Imp.]],$D695,Imput[[PERIODO Imp.]:[PERIODO Imp.]],CL$9)</f>
        <v>0</v>
      </c>
      <c r="CM695" s="693">
        <f>SUMIFS(Imput[[Importe Neto]:[Importe Neto]],Imput[[C. Imp.]:[C. Imp.]],$D695,Imput[[PERIODO Imp.]:[PERIODO Imp.]],CM$9)</f>
        <v>0</v>
      </c>
      <c r="CN695" s="693">
        <f>SUMIFS(Imput[[Importe Neto]:[Importe Neto]],Imput[[C. Imp.]:[C. Imp.]],$D695,Imput[[PERIODO Imp.]:[PERIODO Imp.]],CN$9)</f>
        <v>0</v>
      </c>
      <c r="CO695" s="693">
        <f>SUMIFS(Imput[[Importe Neto]:[Importe Neto]],Imput[[C. Imp.]:[C. Imp.]],$D695,Imput[[PERIODO Imp.]:[PERIODO Imp.]],CO$9)</f>
        <v>0</v>
      </c>
      <c r="CP695" s="693">
        <f>SUMIFS(Imput[[Importe Neto]:[Importe Neto]],Imput[[C. Imp.]:[C. Imp.]],$D695,Imput[[PERIODO Imp.]:[PERIODO Imp.]],CP$9)</f>
        <v>0</v>
      </c>
      <c r="CQ695" s="693">
        <f>SUMIFS(Imput[[Importe Neto]:[Importe Neto]],Imput[[C. Imp.]:[C. Imp.]],$D695,Imput[[PERIODO Imp.]:[PERIODO Imp.]],CQ$9)</f>
        <v>0</v>
      </c>
      <c r="CR695" s="693">
        <f>SUMIFS(Imput[[Importe Neto]:[Importe Neto]],Imput[[C. Imp.]:[C. Imp.]],$D695,Imput[[PERIODO Imp.]:[PERIODO Imp.]],CR$9)</f>
        <v>0</v>
      </c>
      <c r="CS695" s="693">
        <f>SUMIFS(Imput[[Importe Neto]:[Importe Neto]],Imput[[C. Imp.]:[C. Imp.]],$D695,Imput[[PERIODO Imp.]:[PERIODO Imp.]],CS$9)</f>
        <v>0</v>
      </c>
      <c r="CT695" s="693">
        <f>SUMIFS(Imput[[Importe Neto]:[Importe Neto]],Imput[[C. Imp.]:[C. Imp.]],$D695,Imput[[PERIODO Imp.]:[PERIODO Imp.]],CT$9)</f>
        <v>0</v>
      </c>
      <c r="CU695" s="693">
        <f>SUMIFS(Imput[[Importe Neto]:[Importe Neto]],Imput[[C. Imp.]:[C. Imp.]],$D695,Imput[[PERIODO Imp.]:[PERIODO Imp.]],CU$9)</f>
        <v>0</v>
      </c>
      <c r="CV695" s="693">
        <f>SUMIFS(Imput[[Importe Neto]:[Importe Neto]],Imput[[C. Imp.]:[C. Imp.]],$D695,Imput[[PERIODO Imp.]:[PERIODO Imp.]],CV$9)</f>
        <v>0</v>
      </c>
      <c r="CW695" s="693">
        <f>SUMIFS(Imput[[Importe Neto]:[Importe Neto]],Imput[[C. Imp.]:[C. Imp.]],$D695,Imput[[PERIODO Imp.]:[PERIODO Imp.]],CW$9)</f>
        <v>0</v>
      </c>
      <c r="CX695" s="693">
        <f>SUMIFS(Imput[[Importe Neto]:[Importe Neto]],Imput[[C. Imp.]:[C. Imp.]],$D695,Imput[[PERIODO Imp.]:[PERIODO Imp.]],CX$9)</f>
        <v>0</v>
      </c>
      <c r="CY695" s="693">
        <f>SUMIFS(Imput[[Importe Neto]:[Importe Neto]],Imput[[C. Imp.]:[C. Imp.]],$D695,Imput[[PERIODO Imp.]:[PERIODO Imp.]],CY$9)</f>
        <v>0</v>
      </c>
      <c r="CZ695" s="693">
        <f>SUMIFS(Imput[[Importe Neto]:[Importe Neto]],Imput[[C. Imp.]:[C. Imp.]],$D695,Imput[[PERIODO Imp.]:[PERIODO Imp.]],CZ$9)</f>
        <v>0</v>
      </c>
      <c r="DA695" s="693">
        <f>SUMIFS(Imput[[Importe Neto]:[Importe Neto]],Imput[[C. Imp.]:[C. Imp.]],$D695,Imput[[PERIODO Imp.]:[PERIODO Imp.]],DA$9)</f>
        <v>0</v>
      </c>
      <c r="DB695" s="693">
        <f>SUMIFS(Imput[[Importe Neto]:[Importe Neto]],Imput[[C. Imp.]:[C. Imp.]],$D695,Imput[[PERIODO Imp.]:[PERIODO Imp.]],DB$9)</f>
        <v>0</v>
      </c>
      <c r="DC695" s="693">
        <f>SUMIFS(Imput[[Importe Neto]:[Importe Neto]],Imput[[C. Imp.]:[C. Imp.]],$D695,Imput[[PERIODO Imp.]:[PERIODO Imp.]],DC$9)</f>
        <v>0</v>
      </c>
      <c r="DD695" s="693">
        <f>SUMIFS(Imput[[Importe Neto]:[Importe Neto]],Imput[[C. Imp.]:[C. Imp.]],$D695,Imput[[PERIODO Imp.]:[PERIODO Imp.]],DD$9)</f>
        <v>0</v>
      </c>
      <c r="DE695" s="693">
        <f>SUMIFS(Imput[[Importe Neto]:[Importe Neto]],Imput[[C. Imp.]:[C. Imp.]],$D695,Imput[[PERIODO Imp.]:[PERIODO Imp.]],DE$9)</f>
        <v>0</v>
      </c>
      <c r="DF695" s="693">
        <f>SUMIFS(Imput[[Importe Neto]:[Importe Neto]],Imput[[C. Imp.]:[C. Imp.]],$D695,Imput[[PERIODO Imp.]:[PERIODO Imp.]],DF$9)</f>
        <v>0</v>
      </c>
      <c r="DG695" s="693">
        <f>SUMIFS(Imput[[Importe Neto]:[Importe Neto]],Imput[[C. Imp.]:[C. Imp.]],$D695,Imput[[PERIODO Imp.]:[PERIODO Imp.]],DG$9)</f>
        <v>0</v>
      </c>
      <c r="DH695" s="694">
        <f>SUMIFS(Imput[[Importe Neto]:[Importe Neto]],Imput[[C. Imp.]:[C. Imp.]],$D695,Imput[[PERIODO Imp.]:[PERIODO Imp.]],DH$9)</f>
        <v>0</v>
      </c>
    </row>
    <row r="696" spans="1:112" s="651" customFormat="1" ht="14.4" hidden="1" outlineLevel="1" thickBot="1" x14ac:dyDescent="0.35">
      <c r="A696" s="652" t="str">
        <f t="shared" si="246"/>
        <v/>
      </c>
      <c r="B696" s="732"/>
      <c r="C696" s="685"/>
      <c r="D696" s="686" t="s">
        <v>2702</v>
      </c>
      <c r="E696" s="686"/>
      <c r="F696" s="720"/>
      <c r="G696" s="688"/>
      <c r="H696" s="689"/>
      <c r="I696" s="851" t="str">
        <f t="shared" si="247"/>
        <v/>
      </c>
      <c r="J696" s="517" t="str">
        <f t="shared" si="248"/>
        <v/>
      </c>
      <c r="K696" s="678"/>
      <c r="L696" s="858"/>
      <c r="M696" s="859"/>
      <c r="N696" s="859"/>
      <c r="O696" s="859"/>
      <c r="P696" s="859"/>
      <c r="Q696" s="859"/>
      <c r="R696" s="859"/>
      <c r="S696" s="859"/>
      <c r="T696" s="859"/>
      <c r="U696" s="859"/>
      <c r="V696" s="859"/>
      <c r="W696" s="859"/>
      <c r="X696" s="859"/>
      <c r="Y696" s="859"/>
      <c r="Z696" s="860"/>
      <c r="AA696" s="860"/>
      <c r="AB696" s="860"/>
      <c r="AC696" s="860"/>
      <c r="AD696" s="860"/>
      <c r="AE696" s="860"/>
      <c r="AF696" s="860"/>
      <c r="AG696" s="860"/>
      <c r="AH696" s="860"/>
      <c r="AI696" s="860"/>
      <c r="AJ696" s="860"/>
      <c r="AK696" s="860"/>
      <c r="AL696" s="860"/>
      <c r="AM696" s="860"/>
      <c r="AN696" s="860"/>
      <c r="AO696" s="860"/>
      <c r="AP696" s="860"/>
      <c r="AQ696" s="860"/>
      <c r="AR696" s="860"/>
      <c r="AS696" s="860"/>
      <c r="AT696" s="860"/>
      <c r="AU696" s="860"/>
      <c r="AV696" s="860"/>
      <c r="AW696" s="860"/>
      <c r="AX696" s="860"/>
      <c r="AY696" s="860"/>
      <c r="AZ696" s="860"/>
      <c r="BA696" s="860"/>
      <c r="BB696" s="860"/>
      <c r="BC696" s="860"/>
      <c r="BD696" s="860"/>
      <c r="BE696" s="860"/>
      <c r="BF696" s="860"/>
      <c r="BG696" s="860"/>
      <c r="BH696" s="668"/>
      <c r="BI696" s="678"/>
      <c r="BJ696" s="690">
        <f t="shared" si="249"/>
        <v>0</v>
      </c>
      <c r="BK696" s="691">
        <f t="shared" si="250"/>
        <v>0</v>
      </c>
      <c r="BL696" s="654"/>
      <c r="BM696" s="692">
        <f>SUMIFS(Imput[[Importe Neto]:[Importe Neto]],Imput[[C. Imp.]:[C. Imp.]],$D696,Imput[[PERIODO Imp.]:[PERIODO Imp.]],BM$9)</f>
        <v>0</v>
      </c>
      <c r="BN696" s="693">
        <f>SUMIFS(Imput[[Importe Neto]:[Importe Neto]],Imput[[C. Imp.]:[C. Imp.]],$D696,Imput[[PERIODO Imp.]:[PERIODO Imp.]],BN$9)</f>
        <v>0</v>
      </c>
      <c r="BO696" s="693">
        <f>SUMIFS(Imput[[Importe Neto]:[Importe Neto]],Imput[[C. Imp.]:[C. Imp.]],$D696,Imput[[PERIODO Imp.]:[PERIODO Imp.]],BO$9)</f>
        <v>0</v>
      </c>
      <c r="BP696" s="693">
        <f>SUMIFS(Imput[[Importe Neto]:[Importe Neto]],Imput[[C. Imp.]:[C. Imp.]],$D696,Imput[[PERIODO Imp.]:[PERIODO Imp.]],BP$9)</f>
        <v>0</v>
      </c>
      <c r="BQ696" s="693">
        <f>SUMIFS(Imput[[Importe Neto]:[Importe Neto]],Imput[[C. Imp.]:[C. Imp.]],$D696,Imput[[PERIODO Imp.]:[PERIODO Imp.]],BQ$9)</f>
        <v>0</v>
      </c>
      <c r="BR696" s="693">
        <f>SUMIFS(Imput[[Importe Neto]:[Importe Neto]],Imput[[C. Imp.]:[C. Imp.]],$D696,Imput[[PERIODO Imp.]:[PERIODO Imp.]],BR$9)</f>
        <v>0</v>
      </c>
      <c r="BS696" s="693">
        <f>SUMIFS(Imput[[Importe Neto]:[Importe Neto]],Imput[[C. Imp.]:[C. Imp.]],$D696,Imput[[PERIODO Imp.]:[PERIODO Imp.]],BS$9)</f>
        <v>0</v>
      </c>
      <c r="BT696" s="693">
        <f>SUMIFS(Imput[[Importe Neto]:[Importe Neto]],Imput[[C. Imp.]:[C. Imp.]],$D696,Imput[[PERIODO Imp.]:[PERIODO Imp.]],BT$9)</f>
        <v>0</v>
      </c>
      <c r="BU696" s="693">
        <f>SUMIFS(Imput[[Importe Neto]:[Importe Neto]],Imput[[C. Imp.]:[C. Imp.]],$D696,Imput[[PERIODO Imp.]:[PERIODO Imp.]],BU$9)</f>
        <v>0</v>
      </c>
      <c r="BV696" s="693">
        <f>SUMIFS(Imput[[Importe Neto]:[Importe Neto]],Imput[[C. Imp.]:[C. Imp.]],$D696,Imput[[PERIODO Imp.]:[PERIODO Imp.]],BV$9)</f>
        <v>0</v>
      </c>
      <c r="BW696" s="693">
        <f>SUMIFS(Imput[[Importe Neto]:[Importe Neto]],Imput[[C. Imp.]:[C. Imp.]],$D696,Imput[[PERIODO Imp.]:[PERIODO Imp.]],BW$9)</f>
        <v>0</v>
      </c>
      <c r="BX696" s="693">
        <f>SUMIFS(Imput[[Importe Neto]:[Importe Neto]],Imput[[C. Imp.]:[C. Imp.]],$D696,Imput[[PERIODO Imp.]:[PERIODO Imp.]],BX$9)</f>
        <v>0</v>
      </c>
      <c r="BY696" s="693">
        <f>SUMIFS(Imput[[Importe Neto]:[Importe Neto]],Imput[[C. Imp.]:[C. Imp.]],$D696,Imput[[PERIODO Imp.]:[PERIODO Imp.]],BY$9)</f>
        <v>0</v>
      </c>
      <c r="BZ696" s="693">
        <f>SUMIFS(Imput[[Importe Neto]:[Importe Neto]],Imput[[C. Imp.]:[C. Imp.]],$D696,Imput[[PERIODO Imp.]:[PERIODO Imp.]],BZ$9)</f>
        <v>0</v>
      </c>
      <c r="CA696" s="693">
        <f>SUMIFS(Imput[[Importe Neto]:[Importe Neto]],Imput[[C. Imp.]:[C. Imp.]],$D696,Imput[[PERIODO Imp.]:[PERIODO Imp.]],CA$9)</f>
        <v>0</v>
      </c>
      <c r="CB696" s="693">
        <f>SUMIFS(Imput[[Importe Neto]:[Importe Neto]],Imput[[C. Imp.]:[C. Imp.]],$D696,Imput[[PERIODO Imp.]:[PERIODO Imp.]],CB$9)</f>
        <v>0</v>
      </c>
      <c r="CC696" s="693">
        <f>SUMIFS(Imput[[Importe Neto]:[Importe Neto]],Imput[[C. Imp.]:[C. Imp.]],$D696,Imput[[PERIODO Imp.]:[PERIODO Imp.]],CC$9)</f>
        <v>0</v>
      </c>
      <c r="CD696" s="693">
        <f>SUMIFS(Imput[[Importe Neto]:[Importe Neto]],Imput[[C. Imp.]:[C. Imp.]],$D696,Imput[[PERIODO Imp.]:[PERIODO Imp.]],CD$9)</f>
        <v>0</v>
      </c>
      <c r="CE696" s="693">
        <f>SUMIFS(Imput[[Importe Neto]:[Importe Neto]],Imput[[C. Imp.]:[C. Imp.]],$D696,Imput[[PERIODO Imp.]:[PERIODO Imp.]],CE$9)</f>
        <v>0</v>
      </c>
      <c r="CF696" s="693">
        <f>SUMIFS(Imput[[Importe Neto]:[Importe Neto]],Imput[[C. Imp.]:[C. Imp.]],$D696,Imput[[PERIODO Imp.]:[PERIODO Imp.]],CF$9)</f>
        <v>0</v>
      </c>
      <c r="CG696" s="693">
        <f>SUMIFS(Imput[[Importe Neto]:[Importe Neto]],Imput[[C. Imp.]:[C. Imp.]],$D696,Imput[[PERIODO Imp.]:[PERIODO Imp.]],CG$9)</f>
        <v>0</v>
      </c>
      <c r="CH696" s="693">
        <f>SUMIFS(Imput[[Importe Neto]:[Importe Neto]],Imput[[C. Imp.]:[C. Imp.]],$D696,Imput[[PERIODO Imp.]:[PERIODO Imp.]],CH$9)</f>
        <v>0</v>
      </c>
      <c r="CI696" s="693">
        <f>SUMIFS(Imput[[Importe Neto]:[Importe Neto]],Imput[[C. Imp.]:[C. Imp.]],$D696,Imput[[PERIODO Imp.]:[PERIODO Imp.]],CI$9)</f>
        <v>0</v>
      </c>
      <c r="CJ696" s="693">
        <f>SUMIFS(Imput[[Importe Neto]:[Importe Neto]],Imput[[C. Imp.]:[C. Imp.]],$D696,Imput[[PERIODO Imp.]:[PERIODO Imp.]],CJ$9)</f>
        <v>0</v>
      </c>
      <c r="CK696" s="693">
        <f>SUMIFS(Imput[[Importe Neto]:[Importe Neto]],Imput[[C. Imp.]:[C. Imp.]],$D696,Imput[[PERIODO Imp.]:[PERIODO Imp.]],CK$9)</f>
        <v>0</v>
      </c>
      <c r="CL696" s="693">
        <f>SUMIFS(Imput[[Importe Neto]:[Importe Neto]],Imput[[C. Imp.]:[C. Imp.]],$D696,Imput[[PERIODO Imp.]:[PERIODO Imp.]],CL$9)</f>
        <v>0</v>
      </c>
      <c r="CM696" s="693">
        <f>SUMIFS(Imput[[Importe Neto]:[Importe Neto]],Imput[[C. Imp.]:[C. Imp.]],$D696,Imput[[PERIODO Imp.]:[PERIODO Imp.]],CM$9)</f>
        <v>0</v>
      </c>
      <c r="CN696" s="693">
        <f>SUMIFS(Imput[[Importe Neto]:[Importe Neto]],Imput[[C. Imp.]:[C. Imp.]],$D696,Imput[[PERIODO Imp.]:[PERIODO Imp.]],CN$9)</f>
        <v>0</v>
      </c>
      <c r="CO696" s="693">
        <f>SUMIFS(Imput[[Importe Neto]:[Importe Neto]],Imput[[C. Imp.]:[C. Imp.]],$D696,Imput[[PERIODO Imp.]:[PERIODO Imp.]],CO$9)</f>
        <v>0</v>
      </c>
      <c r="CP696" s="693">
        <f>SUMIFS(Imput[[Importe Neto]:[Importe Neto]],Imput[[C. Imp.]:[C. Imp.]],$D696,Imput[[PERIODO Imp.]:[PERIODO Imp.]],CP$9)</f>
        <v>0</v>
      </c>
      <c r="CQ696" s="693">
        <f>SUMIFS(Imput[[Importe Neto]:[Importe Neto]],Imput[[C. Imp.]:[C. Imp.]],$D696,Imput[[PERIODO Imp.]:[PERIODO Imp.]],CQ$9)</f>
        <v>0</v>
      </c>
      <c r="CR696" s="693">
        <f>SUMIFS(Imput[[Importe Neto]:[Importe Neto]],Imput[[C. Imp.]:[C. Imp.]],$D696,Imput[[PERIODO Imp.]:[PERIODO Imp.]],CR$9)</f>
        <v>0</v>
      </c>
      <c r="CS696" s="693">
        <f>SUMIFS(Imput[[Importe Neto]:[Importe Neto]],Imput[[C. Imp.]:[C. Imp.]],$D696,Imput[[PERIODO Imp.]:[PERIODO Imp.]],CS$9)</f>
        <v>0</v>
      </c>
      <c r="CT696" s="693">
        <f>SUMIFS(Imput[[Importe Neto]:[Importe Neto]],Imput[[C. Imp.]:[C. Imp.]],$D696,Imput[[PERIODO Imp.]:[PERIODO Imp.]],CT$9)</f>
        <v>0</v>
      </c>
      <c r="CU696" s="693">
        <f>SUMIFS(Imput[[Importe Neto]:[Importe Neto]],Imput[[C. Imp.]:[C. Imp.]],$D696,Imput[[PERIODO Imp.]:[PERIODO Imp.]],CU$9)</f>
        <v>0</v>
      </c>
      <c r="CV696" s="693">
        <f>SUMIFS(Imput[[Importe Neto]:[Importe Neto]],Imput[[C. Imp.]:[C. Imp.]],$D696,Imput[[PERIODO Imp.]:[PERIODO Imp.]],CV$9)</f>
        <v>0</v>
      </c>
      <c r="CW696" s="693">
        <f>SUMIFS(Imput[[Importe Neto]:[Importe Neto]],Imput[[C. Imp.]:[C. Imp.]],$D696,Imput[[PERIODO Imp.]:[PERIODO Imp.]],CW$9)</f>
        <v>0</v>
      </c>
      <c r="CX696" s="693">
        <f>SUMIFS(Imput[[Importe Neto]:[Importe Neto]],Imput[[C. Imp.]:[C. Imp.]],$D696,Imput[[PERIODO Imp.]:[PERIODO Imp.]],CX$9)</f>
        <v>0</v>
      </c>
      <c r="CY696" s="693">
        <f>SUMIFS(Imput[[Importe Neto]:[Importe Neto]],Imput[[C. Imp.]:[C. Imp.]],$D696,Imput[[PERIODO Imp.]:[PERIODO Imp.]],CY$9)</f>
        <v>0</v>
      </c>
      <c r="CZ696" s="693">
        <f>SUMIFS(Imput[[Importe Neto]:[Importe Neto]],Imput[[C. Imp.]:[C. Imp.]],$D696,Imput[[PERIODO Imp.]:[PERIODO Imp.]],CZ$9)</f>
        <v>0</v>
      </c>
      <c r="DA696" s="693">
        <f>SUMIFS(Imput[[Importe Neto]:[Importe Neto]],Imput[[C. Imp.]:[C. Imp.]],$D696,Imput[[PERIODO Imp.]:[PERIODO Imp.]],DA$9)</f>
        <v>0</v>
      </c>
      <c r="DB696" s="693">
        <f>SUMIFS(Imput[[Importe Neto]:[Importe Neto]],Imput[[C. Imp.]:[C. Imp.]],$D696,Imput[[PERIODO Imp.]:[PERIODO Imp.]],DB$9)</f>
        <v>0</v>
      </c>
      <c r="DC696" s="693">
        <f>SUMIFS(Imput[[Importe Neto]:[Importe Neto]],Imput[[C. Imp.]:[C. Imp.]],$D696,Imput[[PERIODO Imp.]:[PERIODO Imp.]],DC$9)</f>
        <v>0</v>
      </c>
      <c r="DD696" s="693">
        <f>SUMIFS(Imput[[Importe Neto]:[Importe Neto]],Imput[[C. Imp.]:[C. Imp.]],$D696,Imput[[PERIODO Imp.]:[PERIODO Imp.]],DD$9)</f>
        <v>0</v>
      </c>
      <c r="DE696" s="693">
        <f>SUMIFS(Imput[[Importe Neto]:[Importe Neto]],Imput[[C. Imp.]:[C. Imp.]],$D696,Imput[[PERIODO Imp.]:[PERIODO Imp.]],DE$9)</f>
        <v>0</v>
      </c>
      <c r="DF696" s="693">
        <f>SUMIFS(Imput[[Importe Neto]:[Importe Neto]],Imput[[C. Imp.]:[C. Imp.]],$D696,Imput[[PERIODO Imp.]:[PERIODO Imp.]],DF$9)</f>
        <v>0</v>
      </c>
      <c r="DG696" s="693">
        <f>SUMIFS(Imput[[Importe Neto]:[Importe Neto]],Imput[[C. Imp.]:[C. Imp.]],$D696,Imput[[PERIODO Imp.]:[PERIODO Imp.]],DG$9)</f>
        <v>0</v>
      </c>
      <c r="DH696" s="694">
        <f>SUMIFS(Imput[[Importe Neto]:[Importe Neto]],Imput[[C. Imp.]:[C. Imp.]],$D696,Imput[[PERIODO Imp.]:[PERIODO Imp.]],DH$9)</f>
        <v>0</v>
      </c>
    </row>
    <row r="697" spans="1:112" s="651" customFormat="1" ht="14.4" hidden="1" outlineLevel="1" thickBot="1" x14ac:dyDescent="0.35">
      <c r="A697" s="652" t="str">
        <f t="shared" si="246"/>
        <v/>
      </c>
      <c r="B697" s="732"/>
      <c r="C697" s="685"/>
      <c r="D697" s="686" t="s">
        <v>2703</v>
      </c>
      <c r="E697" s="733"/>
      <c r="F697" s="720"/>
      <c r="G697" s="688"/>
      <c r="H697" s="734"/>
      <c r="I697" s="851" t="str">
        <f t="shared" si="247"/>
        <v/>
      </c>
      <c r="J697" s="517" t="str">
        <f t="shared" si="248"/>
        <v/>
      </c>
      <c r="K697" s="678"/>
      <c r="L697" s="858"/>
      <c r="M697" s="859"/>
      <c r="N697" s="859"/>
      <c r="O697" s="859"/>
      <c r="P697" s="859"/>
      <c r="Q697" s="859"/>
      <c r="R697" s="859"/>
      <c r="S697" s="859"/>
      <c r="T697" s="859"/>
      <c r="U697" s="859"/>
      <c r="V697" s="859"/>
      <c r="W697" s="859"/>
      <c r="X697" s="859"/>
      <c r="Y697" s="859"/>
      <c r="Z697" s="860"/>
      <c r="AA697" s="860"/>
      <c r="AB697" s="860"/>
      <c r="AC697" s="860"/>
      <c r="AD697" s="860"/>
      <c r="AE697" s="860"/>
      <c r="AF697" s="860"/>
      <c r="AG697" s="860"/>
      <c r="AH697" s="860"/>
      <c r="AI697" s="860"/>
      <c r="AJ697" s="860"/>
      <c r="AK697" s="860"/>
      <c r="AL697" s="860"/>
      <c r="AM697" s="860"/>
      <c r="AN697" s="860"/>
      <c r="AO697" s="860"/>
      <c r="AP697" s="860"/>
      <c r="AQ697" s="860"/>
      <c r="AR697" s="860"/>
      <c r="AS697" s="860"/>
      <c r="AT697" s="860"/>
      <c r="AU697" s="860"/>
      <c r="AV697" s="860"/>
      <c r="AW697" s="860"/>
      <c r="AX697" s="860"/>
      <c r="AY697" s="860"/>
      <c r="AZ697" s="860"/>
      <c r="BA697" s="860"/>
      <c r="BB697" s="860"/>
      <c r="BC697" s="860"/>
      <c r="BD697" s="860"/>
      <c r="BE697" s="860"/>
      <c r="BF697" s="860"/>
      <c r="BG697" s="860"/>
      <c r="BH697" s="668"/>
      <c r="BI697" s="678"/>
      <c r="BJ697" s="690">
        <f t="shared" si="249"/>
        <v>0</v>
      </c>
      <c r="BK697" s="691">
        <f t="shared" si="250"/>
        <v>0</v>
      </c>
      <c r="BL697" s="654"/>
      <c r="BM697" s="692">
        <f>SUMIFS(Imput[[Importe Neto]:[Importe Neto]],Imput[[C. Imp.]:[C. Imp.]],$D697,Imput[[PERIODO Imp.]:[PERIODO Imp.]],BM$9)</f>
        <v>0</v>
      </c>
      <c r="BN697" s="693">
        <f>SUMIFS(Imput[[Importe Neto]:[Importe Neto]],Imput[[C. Imp.]:[C. Imp.]],$D697,Imput[[PERIODO Imp.]:[PERIODO Imp.]],BN$9)</f>
        <v>0</v>
      </c>
      <c r="BO697" s="693">
        <f>SUMIFS(Imput[[Importe Neto]:[Importe Neto]],Imput[[C. Imp.]:[C. Imp.]],$D697,Imput[[PERIODO Imp.]:[PERIODO Imp.]],BO$9)</f>
        <v>0</v>
      </c>
      <c r="BP697" s="693">
        <f>SUMIFS(Imput[[Importe Neto]:[Importe Neto]],Imput[[C. Imp.]:[C. Imp.]],$D697,Imput[[PERIODO Imp.]:[PERIODO Imp.]],BP$9)</f>
        <v>0</v>
      </c>
      <c r="BQ697" s="693">
        <f>SUMIFS(Imput[[Importe Neto]:[Importe Neto]],Imput[[C. Imp.]:[C. Imp.]],$D697,Imput[[PERIODO Imp.]:[PERIODO Imp.]],BQ$9)</f>
        <v>0</v>
      </c>
      <c r="BR697" s="693">
        <f>SUMIFS(Imput[[Importe Neto]:[Importe Neto]],Imput[[C. Imp.]:[C. Imp.]],$D697,Imput[[PERIODO Imp.]:[PERIODO Imp.]],BR$9)</f>
        <v>0</v>
      </c>
      <c r="BS697" s="693">
        <f>SUMIFS(Imput[[Importe Neto]:[Importe Neto]],Imput[[C. Imp.]:[C. Imp.]],$D697,Imput[[PERIODO Imp.]:[PERIODO Imp.]],BS$9)</f>
        <v>0</v>
      </c>
      <c r="BT697" s="693">
        <f>SUMIFS(Imput[[Importe Neto]:[Importe Neto]],Imput[[C. Imp.]:[C. Imp.]],$D697,Imput[[PERIODO Imp.]:[PERIODO Imp.]],BT$9)</f>
        <v>0</v>
      </c>
      <c r="BU697" s="693">
        <f>SUMIFS(Imput[[Importe Neto]:[Importe Neto]],Imput[[C. Imp.]:[C. Imp.]],$D697,Imput[[PERIODO Imp.]:[PERIODO Imp.]],BU$9)</f>
        <v>0</v>
      </c>
      <c r="BV697" s="693">
        <f>SUMIFS(Imput[[Importe Neto]:[Importe Neto]],Imput[[C. Imp.]:[C. Imp.]],$D697,Imput[[PERIODO Imp.]:[PERIODO Imp.]],BV$9)</f>
        <v>0</v>
      </c>
      <c r="BW697" s="693">
        <f>SUMIFS(Imput[[Importe Neto]:[Importe Neto]],Imput[[C. Imp.]:[C. Imp.]],$D697,Imput[[PERIODO Imp.]:[PERIODO Imp.]],BW$9)</f>
        <v>0</v>
      </c>
      <c r="BX697" s="693">
        <f>SUMIFS(Imput[[Importe Neto]:[Importe Neto]],Imput[[C. Imp.]:[C. Imp.]],$D697,Imput[[PERIODO Imp.]:[PERIODO Imp.]],BX$9)</f>
        <v>0</v>
      </c>
      <c r="BY697" s="693">
        <f>SUMIFS(Imput[[Importe Neto]:[Importe Neto]],Imput[[C. Imp.]:[C. Imp.]],$D697,Imput[[PERIODO Imp.]:[PERIODO Imp.]],BY$9)</f>
        <v>0</v>
      </c>
      <c r="BZ697" s="693">
        <f>SUMIFS(Imput[[Importe Neto]:[Importe Neto]],Imput[[C. Imp.]:[C. Imp.]],$D697,Imput[[PERIODO Imp.]:[PERIODO Imp.]],BZ$9)</f>
        <v>0</v>
      </c>
      <c r="CA697" s="693">
        <f>SUMIFS(Imput[[Importe Neto]:[Importe Neto]],Imput[[C. Imp.]:[C. Imp.]],$D697,Imput[[PERIODO Imp.]:[PERIODO Imp.]],CA$9)</f>
        <v>0</v>
      </c>
      <c r="CB697" s="693">
        <f>SUMIFS(Imput[[Importe Neto]:[Importe Neto]],Imput[[C. Imp.]:[C. Imp.]],$D697,Imput[[PERIODO Imp.]:[PERIODO Imp.]],CB$9)</f>
        <v>0</v>
      </c>
      <c r="CC697" s="693">
        <f>SUMIFS(Imput[[Importe Neto]:[Importe Neto]],Imput[[C. Imp.]:[C. Imp.]],$D697,Imput[[PERIODO Imp.]:[PERIODO Imp.]],CC$9)</f>
        <v>0</v>
      </c>
      <c r="CD697" s="693">
        <f>SUMIFS(Imput[[Importe Neto]:[Importe Neto]],Imput[[C. Imp.]:[C. Imp.]],$D697,Imput[[PERIODO Imp.]:[PERIODO Imp.]],CD$9)</f>
        <v>0</v>
      </c>
      <c r="CE697" s="693">
        <f>SUMIFS(Imput[[Importe Neto]:[Importe Neto]],Imput[[C. Imp.]:[C. Imp.]],$D697,Imput[[PERIODO Imp.]:[PERIODO Imp.]],CE$9)</f>
        <v>0</v>
      </c>
      <c r="CF697" s="693">
        <f>SUMIFS(Imput[[Importe Neto]:[Importe Neto]],Imput[[C. Imp.]:[C. Imp.]],$D697,Imput[[PERIODO Imp.]:[PERIODO Imp.]],CF$9)</f>
        <v>0</v>
      </c>
      <c r="CG697" s="693">
        <f>SUMIFS(Imput[[Importe Neto]:[Importe Neto]],Imput[[C. Imp.]:[C. Imp.]],$D697,Imput[[PERIODO Imp.]:[PERIODO Imp.]],CG$9)</f>
        <v>0</v>
      </c>
      <c r="CH697" s="693">
        <f>SUMIFS(Imput[[Importe Neto]:[Importe Neto]],Imput[[C. Imp.]:[C. Imp.]],$D697,Imput[[PERIODO Imp.]:[PERIODO Imp.]],CH$9)</f>
        <v>0</v>
      </c>
      <c r="CI697" s="693">
        <f>SUMIFS(Imput[[Importe Neto]:[Importe Neto]],Imput[[C. Imp.]:[C. Imp.]],$D697,Imput[[PERIODO Imp.]:[PERIODO Imp.]],CI$9)</f>
        <v>0</v>
      </c>
      <c r="CJ697" s="693">
        <f>SUMIFS(Imput[[Importe Neto]:[Importe Neto]],Imput[[C. Imp.]:[C. Imp.]],$D697,Imput[[PERIODO Imp.]:[PERIODO Imp.]],CJ$9)</f>
        <v>0</v>
      </c>
      <c r="CK697" s="693">
        <f>SUMIFS(Imput[[Importe Neto]:[Importe Neto]],Imput[[C. Imp.]:[C. Imp.]],$D697,Imput[[PERIODO Imp.]:[PERIODO Imp.]],CK$9)</f>
        <v>0</v>
      </c>
      <c r="CL697" s="693">
        <f>SUMIFS(Imput[[Importe Neto]:[Importe Neto]],Imput[[C. Imp.]:[C. Imp.]],$D697,Imput[[PERIODO Imp.]:[PERIODO Imp.]],CL$9)</f>
        <v>0</v>
      </c>
      <c r="CM697" s="693">
        <f>SUMIFS(Imput[[Importe Neto]:[Importe Neto]],Imput[[C. Imp.]:[C. Imp.]],$D697,Imput[[PERIODO Imp.]:[PERIODO Imp.]],CM$9)</f>
        <v>0</v>
      </c>
      <c r="CN697" s="693">
        <f>SUMIFS(Imput[[Importe Neto]:[Importe Neto]],Imput[[C. Imp.]:[C. Imp.]],$D697,Imput[[PERIODO Imp.]:[PERIODO Imp.]],CN$9)</f>
        <v>0</v>
      </c>
      <c r="CO697" s="693">
        <f>SUMIFS(Imput[[Importe Neto]:[Importe Neto]],Imput[[C. Imp.]:[C. Imp.]],$D697,Imput[[PERIODO Imp.]:[PERIODO Imp.]],CO$9)</f>
        <v>0</v>
      </c>
      <c r="CP697" s="693">
        <f>SUMIFS(Imput[[Importe Neto]:[Importe Neto]],Imput[[C. Imp.]:[C. Imp.]],$D697,Imput[[PERIODO Imp.]:[PERIODO Imp.]],CP$9)</f>
        <v>0</v>
      </c>
      <c r="CQ697" s="693">
        <f>SUMIFS(Imput[[Importe Neto]:[Importe Neto]],Imput[[C. Imp.]:[C. Imp.]],$D697,Imput[[PERIODO Imp.]:[PERIODO Imp.]],CQ$9)</f>
        <v>0</v>
      </c>
      <c r="CR697" s="693">
        <f>SUMIFS(Imput[[Importe Neto]:[Importe Neto]],Imput[[C. Imp.]:[C. Imp.]],$D697,Imput[[PERIODO Imp.]:[PERIODO Imp.]],CR$9)</f>
        <v>0</v>
      </c>
      <c r="CS697" s="693">
        <f>SUMIFS(Imput[[Importe Neto]:[Importe Neto]],Imput[[C. Imp.]:[C. Imp.]],$D697,Imput[[PERIODO Imp.]:[PERIODO Imp.]],CS$9)</f>
        <v>0</v>
      </c>
      <c r="CT697" s="693">
        <f>SUMIFS(Imput[[Importe Neto]:[Importe Neto]],Imput[[C. Imp.]:[C. Imp.]],$D697,Imput[[PERIODO Imp.]:[PERIODO Imp.]],CT$9)</f>
        <v>0</v>
      </c>
      <c r="CU697" s="693">
        <f>SUMIFS(Imput[[Importe Neto]:[Importe Neto]],Imput[[C. Imp.]:[C. Imp.]],$D697,Imput[[PERIODO Imp.]:[PERIODO Imp.]],CU$9)</f>
        <v>0</v>
      </c>
      <c r="CV697" s="693">
        <f>SUMIFS(Imput[[Importe Neto]:[Importe Neto]],Imput[[C. Imp.]:[C. Imp.]],$D697,Imput[[PERIODO Imp.]:[PERIODO Imp.]],CV$9)</f>
        <v>0</v>
      </c>
      <c r="CW697" s="693">
        <f>SUMIFS(Imput[[Importe Neto]:[Importe Neto]],Imput[[C. Imp.]:[C. Imp.]],$D697,Imput[[PERIODO Imp.]:[PERIODO Imp.]],CW$9)</f>
        <v>0</v>
      </c>
      <c r="CX697" s="693">
        <f>SUMIFS(Imput[[Importe Neto]:[Importe Neto]],Imput[[C. Imp.]:[C. Imp.]],$D697,Imput[[PERIODO Imp.]:[PERIODO Imp.]],CX$9)</f>
        <v>0</v>
      </c>
      <c r="CY697" s="693">
        <f>SUMIFS(Imput[[Importe Neto]:[Importe Neto]],Imput[[C. Imp.]:[C. Imp.]],$D697,Imput[[PERIODO Imp.]:[PERIODO Imp.]],CY$9)</f>
        <v>0</v>
      </c>
      <c r="CZ697" s="693">
        <f>SUMIFS(Imput[[Importe Neto]:[Importe Neto]],Imput[[C. Imp.]:[C. Imp.]],$D697,Imput[[PERIODO Imp.]:[PERIODO Imp.]],CZ$9)</f>
        <v>0</v>
      </c>
      <c r="DA697" s="693">
        <f>SUMIFS(Imput[[Importe Neto]:[Importe Neto]],Imput[[C. Imp.]:[C. Imp.]],$D697,Imput[[PERIODO Imp.]:[PERIODO Imp.]],DA$9)</f>
        <v>0</v>
      </c>
      <c r="DB697" s="693">
        <f>SUMIFS(Imput[[Importe Neto]:[Importe Neto]],Imput[[C. Imp.]:[C. Imp.]],$D697,Imput[[PERIODO Imp.]:[PERIODO Imp.]],DB$9)</f>
        <v>0</v>
      </c>
      <c r="DC697" s="693">
        <f>SUMIFS(Imput[[Importe Neto]:[Importe Neto]],Imput[[C. Imp.]:[C. Imp.]],$D697,Imput[[PERIODO Imp.]:[PERIODO Imp.]],DC$9)</f>
        <v>0</v>
      </c>
      <c r="DD697" s="693">
        <f>SUMIFS(Imput[[Importe Neto]:[Importe Neto]],Imput[[C. Imp.]:[C. Imp.]],$D697,Imput[[PERIODO Imp.]:[PERIODO Imp.]],DD$9)</f>
        <v>0</v>
      </c>
      <c r="DE697" s="693">
        <f>SUMIFS(Imput[[Importe Neto]:[Importe Neto]],Imput[[C. Imp.]:[C. Imp.]],$D697,Imput[[PERIODO Imp.]:[PERIODO Imp.]],DE$9)</f>
        <v>0</v>
      </c>
      <c r="DF697" s="693">
        <f>SUMIFS(Imput[[Importe Neto]:[Importe Neto]],Imput[[C. Imp.]:[C. Imp.]],$D697,Imput[[PERIODO Imp.]:[PERIODO Imp.]],DF$9)</f>
        <v>0</v>
      </c>
      <c r="DG697" s="693">
        <f>SUMIFS(Imput[[Importe Neto]:[Importe Neto]],Imput[[C. Imp.]:[C. Imp.]],$D697,Imput[[PERIODO Imp.]:[PERIODO Imp.]],DG$9)</f>
        <v>0</v>
      </c>
      <c r="DH697" s="694">
        <f>SUMIFS(Imput[[Importe Neto]:[Importe Neto]],Imput[[C. Imp.]:[C. Imp.]],$D697,Imput[[PERIODO Imp.]:[PERIODO Imp.]],DH$9)</f>
        <v>0</v>
      </c>
    </row>
    <row r="698" spans="1:112" s="649" customFormat="1" ht="14.4" hidden="1" outlineLevel="1" thickBot="1" x14ac:dyDescent="0.35">
      <c r="A698" s="652" t="str">
        <f>IF(J682&gt;0,"Imprimir","")</f>
        <v/>
      </c>
      <c r="B698" s="652"/>
      <c r="C698" s="699"/>
      <c r="D698" s="700"/>
      <c r="E698" s="700"/>
      <c r="F698" s="701"/>
      <c r="G698" s="702"/>
      <c r="H698" s="703"/>
      <c r="I698" s="704"/>
      <c r="J698" s="117"/>
      <c r="K698" s="667"/>
      <c r="L698" s="706"/>
      <c r="M698" s="707"/>
      <c r="N698" s="777"/>
      <c r="O698" s="777"/>
      <c r="P698" s="778"/>
      <c r="Q698" s="778"/>
      <c r="R698" s="708"/>
      <c r="S698" s="708"/>
      <c r="T698" s="779"/>
      <c r="U698" s="779"/>
      <c r="V698" s="778"/>
      <c r="W698" s="778"/>
      <c r="X698" s="708"/>
      <c r="Y698" s="708"/>
      <c r="Z698" s="708"/>
      <c r="AA698" s="708"/>
      <c r="AB698" s="708"/>
      <c r="AC698" s="708"/>
      <c r="AD698" s="708"/>
      <c r="AE698" s="708"/>
      <c r="AF698" s="708"/>
      <c r="AG698" s="708"/>
      <c r="AH698" s="708"/>
      <c r="AI698" s="708"/>
      <c r="AJ698" s="708"/>
      <c r="AK698" s="708"/>
      <c r="AL698" s="708"/>
      <c r="AM698" s="708"/>
      <c r="AN698" s="708"/>
      <c r="AO698" s="708"/>
      <c r="AP698" s="708"/>
      <c r="AQ698" s="708"/>
      <c r="AR698" s="708"/>
      <c r="AS698" s="708"/>
      <c r="AT698" s="708"/>
      <c r="AU698" s="708"/>
      <c r="AV698" s="708"/>
      <c r="AW698" s="708"/>
      <c r="AX698" s="708"/>
      <c r="AY698" s="708"/>
      <c r="AZ698" s="708"/>
      <c r="BA698" s="708"/>
      <c r="BB698" s="708"/>
      <c r="BC698" s="708"/>
      <c r="BD698" s="708"/>
      <c r="BE698" s="708"/>
      <c r="BF698" s="708"/>
      <c r="BG698" s="708"/>
      <c r="BH698" s="780"/>
      <c r="BI698" s="654"/>
      <c r="BJ698" s="709"/>
      <c r="BK698" s="710"/>
      <c r="BL698" s="654"/>
      <c r="BM698" s="731"/>
      <c r="BN698" s="701"/>
      <c r="BO698" s="701"/>
      <c r="BP698" s="701"/>
      <c r="BQ698" s="701"/>
      <c r="BR698" s="701"/>
      <c r="BS698" s="701"/>
      <c r="BT698" s="701"/>
      <c r="BU698" s="701"/>
      <c r="BV698" s="701"/>
      <c r="BW698" s="701"/>
      <c r="BX698" s="701"/>
      <c r="BY698" s="701"/>
      <c r="BZ698" s="701"/>
      <c r="CA698" s="701"/>
      <c r="CB698" s="701"/>
      <c r="CC698" s="701"/>
      <c r="CD698" s="701"/>
      <c r="CE698" s="701"/>
      <c r="CF698" s="701"/>
      <c r="CG698" s="701"/>
      <c r="CH698" s="701"/>
      <c r="CI698" s="701"/>
      <c r="CJ698" s="701"/>
      <c r="CK698" s="701"/>
      <c r="CL698" s="701"/>
      <c r="CM698" s="701"/>
      <c r="CN698" s="701"/>
      <c r="CO698" s="701"/>
      <c r="CP698" s="701"/>
      <c r="CQ698" s="701"/>
      <c r="CR698" s="701"/>
      <c r="CS698" s="701"/>
      <c r="CT698" s="701"/>
      <c r="CU698" s="701"/>
      <c r="CV698" s="701"/>
      <c r="CW698" s="701"/>
      <c r="CX698" s="701"/>
      <c r="CY698" s="701"/>
      <c r="CZ698" s="701"/>
      <c r="DA698" s="701"/>
      <c r="DB698" s="701"/>
      <c r="DC698" s="701"/>
      <c r="DD698" s="701"/>
      <c r="DE698" s="701"/>
      <c r="DF698" s="701"/>
      <c r="DG698" s="701"/>
      <c r="DH698" s="710"/>
    </row>
    <row r="699" spans="1:112" s="649" customFormat="1" ht="14.4" hidden="1" collapsed="1" thickBot="1" x14ac:dyDescent="0.35">
      <c r="A699" s="652" t="str">
        <f>IF(J699&gt;0,"Imprimir","")</f>
        <v/>
      </c>
      <c r="B699" s="652"/>
      <c r="C699" s="711"/>
      <c r="D699" s="712" t="s">
        <v>455</v>
      </c>
      <c r="E699" s="712" t="s">
        <v>511</v>
      </c>
      <c r="F699" s="712"/>
      <c r="G699" s="713"/>
      <c r="H699" s="712"/>
      <c r="I699" s="714"/>
      <c r="J699" s="166">
        <f>SUBTOTAL(9,J702:J706)</f>
        <v>0</v>
      </c>
      <c r="K699" s="658"/>
      <c r="L699" s="770">
        <f t="shared" ref="L699:BG699" si="251">SUMPRODUCT($J702:$J706,L702:L706)</f>
        <v>0</v>
      </c>
      <c r="M699" s="771">
        <f t="shared" si="251"/>
        <v>0</v>
      </c>
      <c r="N699" s="771">
        <f t="shared" si="251"/>
        <v>0</v>
      </c>
      <c r="O699" s="771">
        <f t="shared" si="251"/>
        <v>0</v>
      </c>
      <c r="P699" s="771">
        <f t="shared" si="251"/>
        <v>0</v>
      </c>
      <c r="Q699" s="771">
        <f t="shared" si="251"/>
        <v>0</v>
      </c>
      <c r="R699" s="771">
        <f t="shared" si="251"/>
        <v>0</v>
      </c>
      <c r="S699" s="771">
        <f t="shared" si="251"/>
        <v>0</v>
      </c>
      <c r="T699" s="771">
        <f t="shared" si="251"/>
        <v>0</v>
      </c>
      <c r="U699" s="771">
        <f t="shared" si="251"/>
        <v>0</v>
      </c>
      <c r="V699" s="771">
        <f t="shared" si="251"/>
        <v>0</v>
      </c>
      <c r="W699" s="771">
        <f t="shared" si="251"/>
        <v>0</v>
      </c>
      <c r="X699" s="771">
        <f t="shared" si="251"/>
        <v>0</v>
      </c>
      <c r="Y699" s="771">
        <f t="shared" si="251"/>
        <v>0</v>
      </c>
      <c r="Z699" s="771">
        <f t="shared" si="251"/>
        <v>0</v>
      </c>
      <c r="AA699" s="771">
        <f t="shared" si="251"/>
        <v>0</v>
      </c>
      <c r="AB699" s="771">
        <f t="shared" si="251"/>
        <v>0</v>
      </c>
      <c r="AC699" s="771">
        <f t="shared" si="251"/>
        <v>0</v>
      </c>
      <c r="AD699" s="771">
        <f t="shared" si="251"/>
        <v>0</v>
      </c>
      <c r="AE699" s="771">
        <f t="shared" si="251"/>
        <v>0</v>
      </c>
      <c r="AF699" s="771">
        <f t="shared" si="251"/>
        <v>0</v>
      </c>
      <c r="AG699" s="771">
        <f t="shared" si="251"/>
        <v>0</v>
      </c>
      <c r="AH699" s="771">
        <f t="shared" si="251"/>
        <v>0</v>
      </c>
      <c r="AI699" s="771">
        <f t="shared" si="251"/>
        <v>0</v>
      </c>
      <c r="AJ699" s="771">
        <f t="shared" si="251"/>
        <v>0</v>
      </c>
      <c r="AK699" s="771">
        <f t="shared" si="251"/>
        <v>0</v>
      </c>
      <c r="AL699" s="771">
        <f t="shared" si="251"/>
        <v>0</v>
      </c>
      <c r="AM699" s="771">
        <f t="shared" si="251"/>
        <v>0</v>
      </c>
      <c r="AN699" s="771">
        <f t="shared" si="251"/>
        <v>0</v>
      </c>
      <c r="AO699" s="771">
        <f t="shared" si="251"/>
        <v>0</v>
      </c>
      <c r="AP699" s="771">
        <f t="shared" si="251"/>
        <v>0</v>
      </c>
      <c r="AQ699" s="771">
        <f t="shared" si="251"/>
        <v>0</v>
      </c>
      <c r="AR699" s="771">
        <f t="shared" si="251"/>
        <v>0</v>
      </c>
      <c r="AS699" s="771">
        <f t="shared" si="251"/>
        <v>0</v>
      </c>
      <c r="AT699" s="771">
        <f t="shared" si="251"/>
        <v>0</v>
      </c>
      <c r="AU699" s="771">
        <f t="shared" si="251"/>
        <v>0</v>
      </c>
      <c r="AV699" s="771">
        <f t="shared" si="251"/>
        <v>0</v>
      </c>
      <c r="AW699" s="771">
        <f t="shared" si="251"/>
        <v>0</v>
      </c>
      <c r="AX699" s="771">
        <f t="shared" si="251"/>
        <v>0</v>
      </c>
      <c r="AY699" s="771">
        <f t="shared" si="251"/>
        <v>0</v>
      </c>
      <c r="AZ699" s="771">
        <f t="shared" si="251"/>
        <v>0</v>
      </c>
      <c r="BA699" s="771">
        <f t="shared" si="251"/>
        <v>0</v>
      </c>
      <c r="BB699" s="771">
        <f t="shared" si="251"/>
        <v>0</v>
      </c>
      <c r="BC699" s="771">
        <f t="shared" si="251"/>
        <v>0</v>
      </c>
      <c r="BD699" s="771">
        <f t="shared" si="251"/>
        <v>0</v>
      </c>
      <c r="BE699" s="771">
        <f t="shared" si="251"/>
        <v>0</v>
      </c>
      <c r="BF699" s="771">
        <f t="shared" si="251"/>
        <v>0</v>
      </c>
      <c r="BG699" s="764">
        <f t="shared" si="251"/>
        <v>0</v>
      </c>
      <c r="BH699" s="776"/>
      <c r="BI699" s="654"/>
      <c r="BJ699" s="659">
        <f>IFERROR(13/J699,0)</f>
        <v>0</v>
      </c>
      <c r="BK699" s="660">
        <f>SUBTOTAL(9,BK700:BK706)</f>
        <v>0</v>
      </c>
      <c r="BL699" s="654"/>
      <c r="BM699" s="661">
        <f t="shared" ref="BM699:DH699" si="252">SUBTOTAL(9,BM700:BM706)</f>
        <v>0</v>
      </c>
      <c r="BN699" s="662">
        <f t="shared" si="252"/>
        <v>0</v>
      </c>
      <c r="BO699" s="662">
        <f t="shared" si="252"/>
        <v>0</v>
      </c>
      <c r="BP699" s="662">
        <f t="shared" si="252"/>
        <v>0</v>
      </c>
      <c r="BQ699" s="662">
        <f t="shared" si="252"/>
        <v>0</v>
      </c>
      <c r="BR699" s="662">
        <f t="shared" si="252"/>
        <v>0</v>
      </c>
      <c r="BS699" s="662">
        <f t="shared" si="252"/>
        <v>0</v>
      </c>
      <c r="BT699" s="662">
        <f t="shared" si="252"/>
        <v>0</v>
      </c>
      <c r="BU699" s="662">
        <f t="shared" si="252"/>
        <v>0</v>
      </c>
      <c r="BV699" s="662">
        <f t="shared" si="252"/>
        <v>0</v>
      </c>
      <c r="BW699" s="662">
        <f t="shared" si="252"/>
        <v>0</v>
      </c>
      <c r="BX699" s="662">
        <f t="shared" si="252"/>
        <v>0</v>
      </c>
      <c r="BY699" s="662">
        <f t="shared" si="252"/>
        <v>0</v>
      </c>
      <c r="BZ699" s="662">
        <f t="shared" si="252"/>
        <v>0</v>
      </c>
      <c r="CA699" s="662">
        <f t="shared" si="252"/>
        <v>0</v>
      </c>
      <c r="CB699" s="662">
        <f t="shared" si="252"/>
        <v>0</v>
      </c>
      <c r="CC699" s="662">
        <f t="shared" si="252"/>
        <v>0</v>
      </c>
      <c r="CD699" s="662">
        <f t="shared" si="252"/>
        <v>0</v>
      </c>
      <c r="CE699" s="662">
        <f t="shared" si="252"/>
        <v>0</v>
      </c>
      <c r="CF699" s="662">
        <f t="shared" si="252"/>
        <v>0</v>
      </c>
      <c r="CG699" s="662">
        <f t="shared" si="252"/>
        <v>0</v>
      </c>
      <c r="CH699" s="662">
        <f t="shared" si="252"/>
        <v>0</v>
      </c>
      <c r="CI699" s="662">
        <f t="shared" si="252"/>
        <v>0</v>
      </c>
      <c r="CJ699" s="662">
        <f t="shared" si="252"/>
        <v>0</v>
      </c>
      <c r="CK699" s="662">
        <f t="shared" si="252"/>
        <v>0</v>
      </c>
      <c r="CL699" s="662">
        <f t="shared" si="252"/>
        <v>0</v>
      </c>
      <c r="CM699" s="662">
        <f t="shared" si="252"/>
        <v>0</v>
      </c>
      <c r="CN699" s="662">
        <f t="shared" si="252"/>
        <v>0</v>
      </c>
      <c r="CO699" s="662">
        <f t="shared" si="252"/>
        <v>0</v>
      </c>
      <c r="CP699" s="662">
        <f t="shared" si="252"/>
        <v>0</v>
      </c>
      <c r="CQ699" s="662">
        <f t="shared" si="252"/>
        <v>0</v>
      </c>
      <c r="CR699" s="662">
        <f t="shared" si="252"/>
        <v>0</v>
      </c>
      <c r="CS699" s="662">
        <f t="shared" si="252"/>
        <v>0</v>
      </c>
      <c r="CT699" s="662">
        <f t="shared" si="252"/>
        <v>0</v>
      </c>
      <c r="CU699" s="662">
        <f t="shared" si="252"/>
        <v>0</v>
      </c>
      <c r="CV699" s="662">
        <f t="shared" si="252"/>
        <v>0</v>
      </c>
      <c r="CW699" s="662">
        <f t="shared" si="252"/>
        <v>0</v>
      </c>
      <c r="CX699" s="662">
        <f t="shared" si="252"/>
        <v>0</v>
      </c>
      <c r="CY699" s="662">
        <f t="shared" si="252"/>
        <v>0</v>
      </c>
      <c r="CZ699" s="662">
        <f t="shared" si="252"/>
        <v>0</v>
      </c>
      <c r="DA699" s="662">
        <f t="shared" si="252"/>
        <v>0</v>
      </c>
      <c r="DB699" s="662">
        <f t="shared" si="252"/>
        <v>0</v>
      </c>
      <c r="DC699" s="662">
        <f t="shared" si="252"/>
        <v>0</v>
      </c>
      <c r="DD699" s="662">
        <f t="shared" si="252"/>
        <v>0</v>
      </c>
      <c r="DE699" s="662">
        <f t="shared" si="252"/>
        <v>0</v>
      </c>
      <c r="DF699" s="662">
        <f t="shared" si="252"/>
        <v>0</v>
      </c>
      <c r="DG699" s="662">
        <f t="shared" si="252"/>
        <v>0</v>
      </c>
      <c r="DH699" s="663">
        <f t="shared" si="252"/>
        <v>0</v>
      </c>
    </row>
    <row r="700" spans="1:112" s="649" customFormat="1" ht="14.4" hidden="1" outlineLevel="1" thickBot="1" x14ac:dyDescent="0.35">
      <c r="A700" s="652" t="str">
        <f>IF(J699&gt;0,"Imprimir","")</f>
        <v/>
      </c>
      <c r="B700" s="652"/>
      <c r="C700" s="664"/>
      <c r="D700" s="665"/>
      <c r="E700" s="665"/>
      <c r="F700" s="665" t="s">
        <v>472</v>
      </c>
      <c r="G700" s="716" t="s">
        <v>2128</v>
      </c>
      <c r="H700" s="665" t="str">
        <f>H487</f>
        <v>Cantidad</v>
      </c>
      <c r="I700" s="665" t="s">
        <v>474</v>
      </c>
      <c r="J700" s="104" t="s">
        <v>29</v>
      </c>
      <c r="K700" s="667"/>
      <c r="L700" s="745"/>
      <c r="M700" s="741"/>
      <c r="N700" s="741"/>
      <c r="O700" s="741"/>
      <c r="P700" s="741"/>
      <c r="Q700" s="741"/>
      <c r="R700" s="741"/>
      <c r="S700" s="741"/>
      <c r="T700" s="741"/>
      <c r="U700" s="741"/>
      <c r="V700" s="741"/>
      <c r="W700" s="741"/>
      <c r="X700" s="741"/>
      <c r="Y700" s="741"/>
      <c r="Z700" s="741"/>
      <c r="AA700" s="741"/>
      <c r="AB700" s="741"/>
      <c r="AC700" s="741"/>
      <c r="AD700" s="741"/>
      <c r="AE700" s="741"/>
      <c r="AF700" s="741"/>
      <c r="AG700" s="741"/>
      <c r="AH700" s="741"/>
      <c r="AI700" s="741"/>
      <c r="AJ700" s="741"/>
      <c r="AK700" s="741"/>
      <c r="AL700" s="741"/>
      <c r="AM700" s="741"/>
      <c r="AN700" s="741"/>
      <c r="AO700" s="741"/>
      <c r="AP700" s="741"/>
      <c r="AQ700" s="741"/>
      <c r="AR700" s="741"/>
      <c r="AS700" s="741"/>
      <c r="AT700" s="741"/>
      <c r="AU700" s="741"/>
      <c r="AV700" s="741"/>
      <c r="AW700" s="741"/>
      <c r="AX700" s="741"/>
      <c r="AY700" s="741"/>
      <c r="AZ700" s="741"/>
      <c r="BA700" s="741"/>
      <c r="BB700" s="741"/>
      <c r="BC700" s="741"/>
      <c r="BD700" s="741"/>
      <c r="BE700" s="741"/>
      <c r="BF700" s="741"/>
      <c r="BG700" s="741"/>
      <c r="BH700" s="668"/>
      <c r="BI700" s="654"/>
      <c r="BJ700" s="669"/>
      <c r="BK700" s="670"/>
      <c r="BL700" s="654"/>
      <c r="BM700" s="671"/>
      <c r="BN700" s="665"/>
      <c r="BO700" s="665"/>
      <c r="BP700" s="665"/>
      <c r="BQ700" s="665"/>
      <c r="BR700" s="665"/>
      <c r="BS700" s="665"/>
      <c r="BT700" s="665"/>
      <c r="BU700" s="665"/>
      <c r="BV700" s="665"/>
      <c r="BW700" s="665"/>
      <c r="BX700" s="665"/>
      <c r="BY700" s="665"/>
      <c r="BZ700" s="665"/>
      <c r="CA700" s="665"/>
      <c r="CB700" s="665"/>
      <c r="CC700" s="665"/>
      <c r="CD700" s="665"/>
      <c r="CE700" s="665"/>
      <c r="CF700" s="665"/>
      <c r="CG700" s="665"/>
      <c r="CH700" s="665"/>
      <c r="CI700" s="665"/>
      <c r="CJ700" s="665"/>
      <c r="CK700" s="665"/>
      <c r="CL700" s="665"/>
      <c r="CM700" s="665"/>
      <c r="CN700" s="665"/>
      <c r="CO700" s="665"/>
      <c r="CP700" s="665"/>
      <c r="CQ700" s="665"/>
      <c r="CR700" s="665"/>
      <c r="CS700" s="665"/>
      <c r="CT700" s="665"/>
      <c r="CU700" s="665"/>
      <c r="CV700" s="665"/>
      <c r="CW700" s="665"/>
      <c r="CX700" s="665"/>
      <c r="CY700" s="665"/>
      <c r="CZ700" s="665"/>
      <c r="DA700" s="665"/>
      <c r="DB700" s="665"/>
      <c r="DC700" s="665"/>
      <c r="DD700" s="665"/>
      <c r="DE700" s="665"/>
      <c r="DF700" s="665"/>
      <c r="DG700" s="665"/>
      <c r="DH700" s="666"/>
    </row>
    <row r="701" spans="1:112" s="649" customFormat="1" ht="16.2" hidden="1" outlineLevel="1" thickBot="1" x14ac:dyDescent="0.35">
      <c r="A701" s="652" t="str">
        <f>IF(J701&gt;0,"Imprimir","")</f>
        <v/>
      </c>
      <c r="B701" s="652"/>
      <c r="C701" s="672"/>
      <c r="D701" s="673"/>
      <c r="E701" s="674"/>
      <c r="F701" s="675"/>
      <c r="G701" s="726"/>
      <c r="H701" s="676"/>
      <c r="I701" s="677"/>
      <c r="J701" s="219">
        <f>SUBTOTAL(9,J702:J706)</f>
        <v>0</v>
      </c>
      <c r="K701" s="678"/>
      <c r="L701" s="747"/>
      <c r="M701" s="742"/>
      <c r="N701" s="742"/>
      <c r="O701" s="742"/>
      <c r="P701" s="742"/>
      <c r="Q701" s="742"/>
      <c r="R701" s="742"/>
      <c r="S701" s="742"/>
      <c r="T701" s="742"/>
      <c r="U701" s="742"/>
      <c r="V701" s="742"/>
      <c r="W701" s="742"/>
      <c r="X701" s="742"/>
      <c r="Y701" s="742"/>
      <c r="Z701" s="742"/>
      <c r="AA701" s="742"/>
      <c r="AB701" s="742"/>
      <c r="AC701" s="742"/>
      <c r="AD701" s="742"/>
      <c r="AE701" s="742"/>
      <c r="AF701" s="742"/>
      <c r="AG701" s="742"/>
      <c r="AH701" s="742"/>
      <c r="AI701" s="742"/>
      <c r="AJ701" s="742"/>
      <c r="AK701" s="742"/>
      <c r="AL701" s="742"/>
      <c r="AM701" s="742"/>
      <c r="AN701" s="742"/>
      <c r="AO701" s="742"/>
      <c r="AP701" s="742"/>
      <c r="AQ701" s="742"/>
      <c r="AR701" s="742"/>
      <c r="AS701" s="742"/>
      <c r="AT701" s="742"/>
      <c r="AU701" s="742"/>
      <c r="AV701" s="742"/>
      <c r="AW701" s="742"/>
      <c r="AX701" s="742"/>
      <c r="AY701" s="742"/>
      <c r="AZ701" s="742"/>
      <c r="BA701" s="742"/>
      <c r="BB701" s="742"/>
      <c r="BC701" s="742"/>
      <c r="BD701" s="742"/>
      <c r="BE701" s="742"/>
      <c r="BF701" s="742"/>
      <c r="BG701" s="742"/>
      <c r="BH701" s="668"/>
      <c r="BI701" s="654"/>
      <c r="BJ701" s="729"/>
      <c r="BK701" s="681"/>
      <c r="BL701" s="654"/>
      <c r="BM701" s="682"/>
      <c r="BN701" s="683"/>
      <c r="BO701" s="683"/>
      <c r="BP701" s="683"/>
      <c r="BQ701" s="683"/>
      <c r="BR701" s="683"/>
      <c r="BS701" s="683"/>
      <c r="BT701" s="683"/>
      <c r="BU701" s="683"/>
      <c r="BV701" s="683"/>
      <c r="BW701" s="683"/>
      <c r="BX701" s="683"/>
      <c r="BY701" s="683"/>
      <c r="BZ701" s="683"/>
      <c r="CA701" s="683"/>
      <c r="CB701" s="683"/>
      <c r="CC701" s="683"/>
      <c r="CD701" s="683"/>
      <c r="CE701" s="683"/>
      <c r="CF701" s="683"/>
      <c r="CG701" s="683"/>
      <c r="CH701" s="683"/>
      <c r="CI701" s="683"/>
      <c r="CJ701" s="683"/>
      <c r="CK701" s="683"/>
      <c r="CL701" s="683"/>
      <c r="CM701" s="683"/>
      <c r="CN701" s="683"/>
      <c r="CO701" s="683"/>
      <c r="CP701" s="683"/>
      <c r="CQ701" s="683"/>
      <c r="CR701" s="683"/>
      <c r="CS701" s="683"/>
      <c r="CT701" s="683"/>
      <c r="CU701" s="683"/>
      <c r="CV701" s="683"/>
      <c r="CW701" s="683"/>
      <c r="CX701" s="683"/>
      <c r="CY701" s="683"/>
      <c r="CZ701" s="683"/>
      <c r="DA701" s="683"/>
      <c r="DB701" s="683"/>
      <c r="DC701" s="683"/>
      <c r="DD701" s="683"/>
      <c r="DE701" s="683"/>
      <c r="DF701" s="683"/>
      <c r="DG701" s="683"/>
      <c r="DH701" s="684"/>
    </row>
    <row r="702" spans="1:112" s="649" customFormat="1" ht="14.4" hidden="1" outlineLevel="1" thickBot="1" x14ac:dyDescent="0.35">
      <c r="A702" s="652" t="str">
        <f t="shared" ref="A702:A705" si="253">IF(J702="","",IF(J702=0,"","Imprimir"))</f>
        <v/>
      </c>
      <c r="B702" s="652"/>
      <c r="C702" s="685"/>
      <c r="D702" s="686" t="s">
        <v>2704</v>
      </c>
      <c r="E702" s="686"/>
      <c r="F702" s="720"/>
      <c r="G702" s="688"/>
      <c r="H702" s="689"/>
      <c r="I702" s="851" t="str">
        <f>IF(E702&gt;0,$J$5,"")</f>
        <v/>
      </c>
      <c r="J702" s="517" t="str">
        <f t="shared" ref="J702:J705" si="254">IFERROR(G702*H702*I702,"")</f>
        <v/>
      </c>
      <c r="K702" s="667"/>
      <c r="L702" s="858"/>
      <c r="M702" s="859"/>
      <c r="N702" s="859"/>
      <c r="O702" s="859"/>
      <c r="P702" s="859"/>
      <c r="Q702" s="859"/>
      <c r="R702" s="859"/>
      <c r="S702" s="859"/>
      <c r="T702" s="859"/>
      <c r="U702" s="859"/>
      <c r="V702" s="859"/>
      <c r="W702" s="859"/>
      <c r="X702" s="859"/>
      <c r="Y702" s="859"/>
      <c r="Z702" s="860"/>
      <c r="AA702" s="860"/>
      <c r="AB702" s="860"/>
      <c r="AC702" s="860"/>
      <c r="AD702" s="860"/>
      <c r="AE702" s="860"/>
      <c r="AF702" s="860"/>
      <c r="AG702" s="860"/>
      <c r="AH702" s="860"/>
      <c r="AI702" s="860"/>
      <c r="AJ702" s="860"/>
      <c r="AK702" s="860"/>
      <c r="AL702" s="860"/>
      <c r="AM702" s="860"/>
      <c r="AN702" s="860"/>
      <c r="AO702" s="860"/>
      <c r="AP702" s="860"/>
      <c r="AQ702" s="860"/>
      <c r="AR702" s="860"/>
      <c r="AS702" s="860"/>
      <c r="AT702" s="860"/>
      <c r="AU702" s="860"/>
      <c r="AV702" s="860"/>
      <c r="AW702" s="860"/>
      <c r="AX702" s="860"/>
      <c r="AY702" s="860"/>
      <c r="AZ702" s="860"/>
      <c r="BA702" s="860"/>
      <c r="BB702" s="860"/>
      <c r="BC702" s="860"/>
      <c r="BD702" s="860"/>
      <c r="BE702" s="860"/>
      <c r="BF702" s="860"/>
      <c r="BG702" s="860"/>
      <c r="BH702" s="668"/>
      <c r="BI702" s="654"/>
      <c r="BJ702" s="690">
        <f>IFERROR(BK702/J702,0)</f>
        <v>0</v>
      </c>
      <c r="BK702" s="691">
        <f>SUM(BM702:DH702)</f>
        <v>0</v>
      </c>
      <c r="BL702" s="654"/>
      <c r="BM702" s="692">
        <f>SUMIFS(Imput[[Importe Neto]:[Importe Neto]],Imput[[C. Imp.]:[C. Imp.]],$D702,Imput[[PERIODO Imp.]:[PERIODO Imp.]],BM$9)</f>
        <v>0</v>
      </c>
      <c r="BN702" s="693">
        <f>SUMIFS(Imput[[Importe Neto]:[Importe Neto]],Imput[[C. Imp.]:[C. Imp.]],$D702,Imput[[PERIODO Imp.]:[PERIODO Imp.]],BN$9)</f>
        <v>0</v>
      </c>
      <c r="BO702" s="693">
        <f>SUMIFS(Imput[[Importe Neto]:[Importe Neto]],Imput[[C. Imp.]:[C. Imp.]],$D702,Imput[[PERIODO Imp.]:[PERIODO Imp.]],BO$9)</f>
        <v>0</v>
      </c>
      <c r="BP702" s="693">
        <f>SUMIFS(Imput[[Importe Neto]:[Importe Neto]],Imput[[C. Imp.]:[C. Imp.]],$D702,Imput[[PERIODO Imp.]:[PERIODO Imp.]],BP$9)</f>
        <v>0</v>
      </c>
      <c r="BQ702" s="693">
        <f>SUMIFS(Imput[[Importe Neto]:[Importe Neto]],Imput[[C. Imp.]:[C. Imp.]],$D702,Imput[[PERIODO Imp.]:[PERIODO Imp.]],BQ$9)</f>
        <v>0</v>
      </c>
      <c r="BR702" s="693">
        <f>SUMIFS(Imput[[Importe Neto]:[Importe Neto]],Imput[[C. Imp.]:[C. Imp.]],$D702,Imput[[PERIODO Imp.]:[PERIODO Imp.]],BR$9)</f>
        <v>0</v>
      </c>
      <c r="BS702" s="693">
        <f>SUMIFS(Imput[[Importe Neto]:[Importe Neto]],Imput[[C. Imp.]:[C. Imp.]],$D702,Imput[[PERIODO Imp.]:[PERIODO Imp.]],BS$9)</f>
        <v>0</v>
      </c>
      <c r="BT702" s="693">
        <f>SUMIFS(Imput[[Importe Neto]:[Importe Neto]],Imput[[C. Imp.]:[C. Imp.]],$D702,Imput[[PERIODO Imp.]:[PERIODO Imp.]],BT$9)</f>
        <v>0</v>
      </c>
      <c r="BU702" s="693">
        <f>SUMIFS(Imput[[Importe Neto]:[Importe Neto]],Imput[[C. Imp.]:[C. Imp.]],$D702,Imput[[PERIODO Imp.]:[PERIODO Imp.]],BU$9)</f>
        <v>0</v>
      </c>
      <c r="BV702" s="693">
        <f>SUMIFS(Imput[[Importe Neto]:[Importe Neto]],Imput[[C. Imp.]:[C. Imp.]],$D702,Imput[[PERIODO Imp.]:[PERIODO Imp.]],BV$9)</f>
        <v>0</v>
      </c>
      <c r="BW702" s="693">
        <f>SUMIFS(Imput[[Importe Neto]:[Importe Neto]],Imput[[C. Imp.]:[C. Imp.]],$D702,Imput[[PERIODO Imp.]:[PERIODO Imp.]],BW$9)</f>
        <v>0</v>
      </c>
      <c r="BX702" s="693">
        <f>SUMIFS(Imput[[Importe Neto]:[Importe Neto]],Imput[[C. Imp.]:[C. Imp.]],$D702,Imput[[PERIODO Imp.]:[PERIODO Imp.]],BX$9)</f>
        <v>0</v>
      </c>
      <c r="BY702" s="693">
        <f>SUMIFS(Imput[[Importe Neto]:[Importe Neto]],Imput[[C. Imp.]:[C. Imp.]],$D702,Imput[[PERIODO Imp.]:[PERIODO Imp.]],BY$9)</f>
        <v>0</v>
      </c>
      <c r="BZ702" s="693">
        <f>SUMIFS(Imput[[Importe Neto]:[Importe Neto]],Imput[[C. Imp.]:[C. Imp.]],$D702,Imput[[PERIODO Imp.]:[PERIODO Imp.]],BZ$9)</f>
        <v>0</v>
      </c>
      <c r="CA702" s="693">
        <f>SUMIFS(Imput[[Importe Neto]:[Importe Neto]],Imput[[C. Imp.]:[C. Imp.]],$D702,Imput[[PERIODO Imp.]:[PERIODO Imp.]],CA$9)</f>
        <v>0</v>
      </c>
      <c r="CB702" s="693">
        <f>SUMIFS(Imput[[Importe Neto]:[Importe Neto]],Imput[[C. Imp.]:[C. Imp.]],$D702,Imput[[PERIODO Imp.]:[PERIODO Imp.]],CB$9)</f>
        <v>0</v>
      </c>
      <c r="CC702" s="693">
        <f>SUMIFS(Imput[[Importe Neto]:[Importe Neto]],Imput[[C. Imp.]:[C. Imp.]],$D702,Imput[[PERIODO Imp.]:[PERIODO Imp.]],CC$9)</f>
        <v>0</v>
      </c>
      <c r="CD702" s="693">
        <f>SUMIFS(Imput[[Importe Neto]:[Importe Neto]],Imput[[C. Imp.]:[C. Imp.]],$D702,Imput[[PERIODO Imp.]:[PERIODO Imp.]],CD$9)</f>
        <v>0</v>
      </c>
      <c r="CE702" s="693">
        <f>SUMIFS(Imput[[Importe Neto]:[Importe Neto]],Imput[[C. Imp.]:[C. Imp.]],$D702,Imput[[PERIODO Imp.]:[PERIODO Imp.]],CE$9)</f>
        <v>0</v>
      </c>
      <c r="CF702" s="693">
        <f>SUMIFS(Imput[[Importe Neto]:[Importe Neto]],Imput[[C. Imp.]:[C. Imp.]],$D702,Imput[[PERIODO Imp.]:[PERIODO Imp.]],CF$9)</f>
        <v>0</v>
      </c>
      <c r="CG702" s="693">
        <f>SUMIFS(Imput[[Importe Neto]:[Importe Neto]],Imput[[C. Imp.]:[C. Imp.]],$D702,Imput[[PERIODO Imp.]:[PERIODO Imp.]],CG$9)</f>
        <v>0</v>
      </c>
      <c r="CH702" s="693">
        <f>SUMIFS(Imput[[Importe Neto]:[Importe Neto]],Imput[[C. Imp.]:[C. Imp.]],$D702,Imput[[PERIODO Imp.]:[PERIODO Imp.]],CH$9)</f>
        <v>0</v>
      </c>
      <c r="CI702" s="693">
        <f>SUMIFS(Imput[[Importe Neto]:[Importe Neto]],Imput[[C. Imp.]:[C. Imp.]],$D702,Imput[[PERIODO Imp.]:[PERIODO Imp.]],CI$9)</f>
        <v>0</v>
      </c>
      <c r="CJ702" s="693">
        <f>SUMIFS(Imput[[Importe Neto]:[Importe Neto]],Imput[[C. Imp.]:[C. Imp.]],$D702,Imput[[PERIODO Imp.]:[PERIODO Imp.]],CJ$9)</f>
        <v>0</v>
      </c>
      <c r="CK702" s="693">
        <f>SUMIFS(Imput[[Importe Neto]:[Importe Neto]],Imput[[C. Imp.]:[C. Imp.]],$D702,Imput[[PERIODO Imp.]:[PERIODO Imp.]],CK$9)</f>
        <v>0</v>
      </c>
      <c r="CL702" s="693">
        <f>SUMIFS(Imput[[Importe Neto]:[Importe Neto]],Imput[[C. Imp.]:[C. Imp.]],$D702,Imput[[PERIODO Imp.]:[PERIODO Imp.]],CL$9)</f>
        <v>0</v>
      </c>
      <c r="CM702" s="693">
        <f>SUMIFS(Imput[[Importe Neto]:[Importe Neto]],Imput[[C. Imp.]:[C. Imp.]],$D702,Imput[[PERIODO Imp.]:[PERIODO Imp.]],CM$9)</f>
        <v>0</v>
      </c>
      <c r="CN702" s="693">
        <f>SUMIFS(Imput[[Importe Neto]:[Importe Neto]],Imput[[C. Imp.]:[C. Imp.]],$D702,Imput[[PERIODO Imp.]:[PERIODO Imp.]],CN$9)</f>
        <v>0</v>
      </c>
      <c r="CO702" s="693">
        <f>SUMIFS(Imput[[Importe Neto]:[Importe Neto]],Imput[[C. Imp.]:[C. Imp.]],$D702,Imput[[PERIODO Imp.]:[PERIODO Imp.]],CO$9)</f>
        <v>0</v>
      </c>
      <c r="CP702" s="693">
        <f>SUMIFS(Imput[[Importe Neto]:[Importe Neto]],Imput[[C. Imp.]:[C. Imp.]],$D702,Imput[[PERIODO Imp.]:[PERIODO Imp.]],CP$9)</f>
        <v>0</v>
      </c>
      <c r="CQ702" s="693">
        <f>SUMIFS(Imput[[Importe Neto]:[Importe Neto]],Imput[[C. Imp.]:[C. Imp.]],$D702,Imput[[PERIODO Imp.]:[PERIODO Imp.]],CQ$9)</f>
        <v>0</v>
      </c>
      <c r="CR702" s="693">
        <f>SUMIFS(Imput[[Importe Neto]:[Importe Neto]],Imput[[C. Imp.]:[C. Imp.]],$D702,Imput[[PERIODO Imp.]:[PERIODO Imp.]],CR$9)</f>
        <v>0</v>
      </c>
      <c r="CS702" s="693">
        <f>SUMIFS(Imput[[Importe Neto]:[Importe Neto]],Imput[[C. Imp.]:[C. Imp.]],$D702,Imput[[PERIODO Imp.]:[PERIODO Imp.]],CS$9)</f>
        <v>0</v>
      </c>
      <c r="CT702" s="693">
        <f>SUMIFS(Imput[[Importe Neto]:[Importe Neto]],Imput[[C. Imp.]:[C. Imp.]],$D702,Imput[[PERIODO Imp.]:[PERIODO Imp.]],CT$9)</f>
        <v>0</v>
      </c>
      <c r="CU702" s="693">
        <f>SUMIFS(Imput[[Importe Neto]:[Importe Neto]],Imput[[C. Imp.]:[C. Imp.]],$D702,Imput[[PERIODO Imp.]:[PERIODO Imp.]],CU$9)</f>
        <v>0</v>
      </c>
      <c r="CV702" s="693">
        <f>SUMIFS(Imput[[Importe Neto]:[Importe Neto]],Imput[[C. Imp.]:[C. Imp.]],$D702,Imput[[PERIODO Imp.]:[PERIODO Imp.]],CV$9)</f>
        <v>0</v>
      </c>
      <c r="CW702" s="693">
        <f>SUMIFS(Imput[[Importe Neto]:[Importe Neto]],Imput[[C. Imp.]:[C. Imp.]],$D702,Imput[[PERIODO Imp.]:[PERIODO Imp.]],CW$9)</f>
        <v>0</v>
      </c>
      <c r="CX702" s="693">
        <f>SUMIFS(Imput[[Importe Neto]:[Importe Neto]],Imput[[C. Imp.]:[C. Imp.]],$D702,Imput[[PERIODO Imp.]:[PERIODO Imp.]],CX$9)</f>
        <v>0</v>
      </c>
      <c r="CY702" s="693">
        <f>SUMIFS(Imput[[Importe Neto]:[Importe Neto]],Imput[[C. Imp.]:[C. Imp.]],$D702,Imput[[PERIODO Imp.]:[PERIODO Imp.]],CY$9)</f>
        <v>0</v>
      </c>
      <c r="CZ702" s="693">
        <f>SUMIFS(Imput[[Importe Neto]:[Importe Neto]],Imput[[C. Imp.]:[C. Imp.]],$D702,Imput[[PERIODO Imp.]:[PERIODO Imp.]],CZ$9)</f>
        <v>0</v>
      </c>
      <c r="DA702" s="693">
        <f>SUMIFS(Imput[[Importe Neto]:[Importe Neto]],Imput[[C. Imp.]:[C. Imp.]],$D702,Imput[[PERIODO Imp.]:[PERIODO Imp.]],DA$9)</f>
        <v>0</v>
      </c>
      <c r="DB702" s="693">
        <f>SUMIFS(Imput[[Importe Neto]:[Importe Neto]],Imput[[C. Imp.]:[C. Imp.]],$D702,Imput[[PERIODO Imp.]:[PERIODO Imp.]],DB$9)</f>
        <v>0</v>
      </c>
      <c r="DC702" s="693">
        <f>SUMIFS(Imput[[Importe Neto]:[Importe Neto]],Imput[[C. Imp.]:[C. Imp.]],$D702,Imput[[PERIODO Imp.]:[PERIODO Imp.]],DC$9)</f>
        <v>0</v>
      </c>
      <c r="DD702" s="693">
        <f>SUMIFS(Imput[[Importe Neto]:[Importe Neto]],Imput[[C. Imp.]:[C. Imp.]],$D702,Imput[[PERIODO Imp.]:[PERIODO Imp.]],DD$9)</f>
        <v>0</v>
      </c>
      <c r="DE702" s="693">
        <f>SUMIFS(Imput[[Importe Neto]:[Importe Neto]],Imput[[C. Imp.]:[C. Imp.]],$D702,Imput[[PERIODO Imp.]:[PERIODO Imp.]],DE$9)</f>
        <v>0</v>
      </c>
      <c r="DF702" s="693">
        <f>SUMIFS(Imput[[Importe Neto]:[Importe Neto]],Imput[[C. Imp.]:[C. Imp.]],$D702,Imput[[PERIODO Imp.]:[PERIODO Imp.]],DF$9)</f>
        <v>0</v>
      </c>
      <c r="DG702" s="693">
        <f>SUMIFS(Imput[[Importe Neto]:[Importe Neto]],Imput[[C. Imp.]:[C. Imp.]],$D702,Imput[[PERIODO Imp.]:[PERIODO Imp.]],DG$9)</f>
        <v>0</v>
      </c>
      <c r="DH702" s="694">
        <f>SUMIFS(Imput[[Importe Neto]:[Importe Neto]],Imput[[C. Imp.]:[C. Imp.]],$D702,Imput[[PERIODO Imp.]:[PERIODO Imp.]],DH$9)</f>
        <v>0</v>
      </c>
    </row>
    <row r="703" spans="1:112" s="649" customFormat="1" ht="14.4" hidden="1" outlineLevel="1" thickBot="1" x14ac:dyDescent="0.35">
      <c r="A703" s="652" t="str">
        <f t="shared" si="253"/>
        <v/>
      </c>
      <c r="B703" s="652"/>
      <c r="C703" s="685"/>
      <c r="D703" s="686" t="s">
        <v>2705</v>
      </c>
      <c r="E703" s="686"/>
      <c r="F703" s="720"/>
      <c r="G703" s="688"/>
      <c r="H703" s="689"/>
      <c r="I703" s="851" t="str">
        <f>IF(E703&gt;0,$J$5,"")</f>
        <v/>
      </c>
      <c r="J703" s="517" t="str">
        <f t="shared" si="254"/>
        <v/>
      </c>
      <c r="K703" s="667"/>
      <c r="L703" s="858"/>
      <c r="M703" s="859"/>
      <c r="N703" s="859"/>
      <c r="O703" s="859"/>
      <c r="P703" s="859"/>
      <c r="Q703" s="859"/>
      <c r="R703" s="859"/>
      <c r="S703" s="859"/>
      <c r="T703" s="859"/>
      <c r="U703" s="859"/>
      <c r="V703" s="859"/>
      <c r="W703" s="859"/>
      <c r="X703" s="859"/>
      <c r="Y703" s="859"/>
      <c r="Z703" s="860"/>
      <c r="AA703" s="860"/>
      <c r="AB703" s="860"/>
      <c r="AC703" s="860"/>
      <c r="AD703" s="860"/>
      <c r="AE703" s="860"/>
      <c r="AF703" s="860"/>
      <c r="AG703" s="860"/>
      <c r="AH703" s="860"/>
      <c r="AI703" s="860"/>
      <c r="AJ703" s="860"/>
      <c r="AK703" s="860"/>
      <c r="AL703" s="860"/>
      <c r="AM703" s="860"/>
      <c r="AN703" s="860"/>
      <c r="AO703" s="860"/>
      <c r="AP703" s="860"/>
      <c r="AQ703" s="860"/>
      <c r="AR703" s="860"/>
      <c r="AS703" s="860"/>
      <c r="AT703" s="860"/>
      <c r="AU703" s="860"/>
      <c r="AV703" s="860"/>
      <c r="AW703" s="860"/>
      <c r="AX703" s="860"/>
      <c r="AY703" s="860"/>
      <c r="AZ703" s="860"/>
      <c r="BA703" s="860"/>
      <c r="BB703" s="860"/>
      <c r="BC703" s="860"/>
      <c r="BD703" s="860"/>
      <c r="BE703" s="860"/>
      <c r="BF703" s="860"/>
      <c r="BG703" s="860"/>
      <c r="BH703" s="668"/>
      <c r="BI703" s="654"/>
      <c r="BJ703" s="690">
        <f>IFERROR(BK703/J703,0)</f>
        <v>0</v>
      </c>
      <c r="BK703" s="691">
        <f>SUM(BM703:DH703)</f>
        <v>0</v>
      </c>
      <c r="BL703" s="654"/>
      <c r="BM703" s="692">
        <f>SUMIFS(Imput[[Importe Neto]:[Importe Neto]],Imput[[C. Imp.]:[C. Imp.]],$D703,Imput[[PERIODO Imp.]:[PERIODO Imp.]],BM$9)</f>
        <v>0</v>
      </c>
      <c r="BN703" s="693">
        <f>SUMIFS(Imput[[Importe Neto]:[Importe Neto]],Imput[[C. Imp.]:[C. Imp.]],$D703,Imput[[PERIODO Imp.]:[PERIODO Imp.]],BN$9)</f>
        <v>0</v>
      </c>
      <c r="BO703" s="693">
        <f>SUMIFS(Imput[[Importe Neto]:[Importe Neto]],Imput[[C. Imp.]:[C. Imp.]],$D703,Imput[[PERIODO Imp.]:[PERIODO Imp.]],BO$9)</f>
        <v>0</v>
      </c>
      <c r="BP703" s="693">
        <f>SUMIFS(Imput[[Importe Neto]:[Importe Neto]],Imput[[C. Imp.]:[C. Imp.]],$D703,Imput[[PERIODO Imp.]:[PERIODO Imp.]],BP$9)</f>
        <v>0</v>
      </c>
      <c r="BQ703" s="693">
        <f>SUMIFS(Imput[[Importe Neto]:[Importe Neto]],Imput[[C. Imp.]:[C. Imp.]],$D703,Imput[[PERIODO Imp.]:[PERIODO Imp.]],BQ$9)</f>
        <v>0</v>
      </c>
      <c r="BR703" s="693">
        <f>SUMIFS(Imput[[Importe Neto]:[Importe Neto]],Imput[[C. Imp.]:[C. Imp.]],$D703,Imput[[PERIODO Imp.]:[PERIODO Imp.]],BR$9)</f>
        <v>0</v>
      </c>
      <c r="BS703" s="693">
        <f>SUMIFS(Imput[[Importe Neto]:[Importe Neto]],Imput[[C. Imp.]:[C. Imp.]],$D703,Imput[[PERIODO Imp.]:[PERIODO Imp.]],BS$9)</f>
        <v>0</v>
      </c>
      <c r="BT703" s="693">
        <f>SUMIFS(Imput[[Importe Neto]:[Importe Neto]],Imput[[C. Imp.]:[C. Imp.]],$D703,Imput[[PERIODO Imp.]:[PERIODO Imp.]],BT$9)</f>
        <v>0</v>
      </c>
      <c r="BU703" s="693">
        <f>SUMIFS(Imput[[Importe Neto]:[Importe Neto]],Imput[[C. Imp.]:[C. Imp.]],$D703,Imput[[PERIODO Imp.]:[PERIODO Imp.]],BU$9)</f>
        <v>0</v>
      </c>
      <c r="BV703" s="693">
        <f>SUMIFS(Imput[[Importe Neto]:[Importe Neto]],Imput[[C. Imp.]:[C. Imp.]],$D703,Imput[[PERIODO Imp.]:[PERIODO Imp.]],BV$9)</f>
        <v>0</v>
      </c>
      <c r="BW703" s="693">
        <f>SUMIFS(Imput[[Importe Neto]:[Importe Neto]],Imput[[C. Imp.]:[C. Imp.]],$D703,Imput[[PERIODO Imp.]:[PERIODO Imp.]],BW$9)</f>
        <v>0</v>
      </c>
      <c r="BX703" s="693">
        <f>SUMIFS(Imput[[Importe Neto]:[Importe Neto]],Imput[[C. Imp.]:[C. Imp.]],$D703,Imput[[PERIODO Imp.]:[PERIODO Imp.]],BX$9)</f>
        <v>0</v>
      </c>
      <c r="BY703" s="693">
        <f>SUMIFS(Imput[[Importe Neto]:[Importe Neto]],Imput[[C. Imp.]:[C. Imp.]],$D703,Imput[[PERIODO Imp.]:[PERIODO Imp.]],BY$9)</f>
        <v>0</v>
      </c>
      <c r="BZ703" s="693">
        <f>SUMIFS(Imput[[Importe Neto]:[Importe Neto]],Imput[[C. Imp.]:[C. Imp.]],$D703,Imput[[PERIODO Imp.]:[PERIODO Imp.]],BZ$9)</f>
        <v>0</v>
      </c>
      <c r="CA703" s="693">
        <f>SUMIFS(Imput[[Importe Neto]:[Importe Neto]],Imput[[C. Imp.]:[C. Imp.]],$D703,Imput[[PERIODO Imp.]:[PERIODO Imp.]],CA$9)</f>
        <v>0</v>
      </c>
      <c r="CB703" s="693">
        <f>SUMIFS(Imput[[Importe Neto]:[Importe Neto]],Imput[[C. Imp.]:[C. Imp.]],$D703,Imput[[PERIODO Imp.]:[PERIODO Imp.]],CB$9)</f>
        <v>0</v>
      </c>
      <c r="CC703" s="693">
        <f>SUMIFS(Imput[[Importe Neto]:[Importe Neto]],Imput[[C. Imp.]:[C. Imp.]],$D703,Imput[[PERIODO Imp.]:[PERIODO Imp.]],CC$9)</f>
        <v>0</v>
      </c>
      <c r="CD703" s="693">
        <f>SUMIFS(Imput[[Importe Neto]:[Importe Neto]],Imput[[C. Imp.]:[C. Imp.]],$D703,Imput[[PERIODO Imp.]:[PERIODO Imp.]],CD$9)</f>
        <v>0</v>
      </c>
      <c r="CE703" s="693">
        <f>SUMIFS(Imput[[Importe Neto]:[Importe Neto]],Imput[[C. Imp.]:[C. Imp.]],$D703,Imput[[PERIODO Imp.]:[PERIODO Imp.]],CE$9)</f>
        <v>0</v>
      </c>
      <c r="CF703" s="693">
        <f>SUMIFS(Imput[[Importe Neto]:[Importe Neto]],Imput[[C. Imp.]:[C. Imp.]],$D703,Imput[[PERIODO Imp.]:[PERIODO Imp.]],CF$9)</f>
        <v>0</v>
      </c>
      <c r="CG703" s="693">
        <f>SUMIFS(Imput[[Importe Neto]:[Importe Neto]],Imput[[C. Imp.]:[C. Imp.]],$D703,Imput[[PERIODO Imp.]:[PERIODO Imp.]],CG$9)</f>
        <v>0</v>
      </c>
      <c r="CH703" s="693">
        <f>SUMIFS(Imput[[Importe Neto]:[Importe Neto]],Imput[[C. Imp.]:[C. Imp.]],$D703,Imput[[PERIODO Imp.]:[PERIODO Imp.]],CH$9)</f>
        <v>0</v>
      </c>
      <c r="CI703" s="693">
        <f>SUMIFS(Imput[[Importe Neto]:[Importe Neto]],Imput[[C. Imp.]:[C. Imp.]],$D703,Imput[[PERIODO Imp.]:[PERIODO Imp.]],CI$9)</f>
        <v>0</v>
      </c>
      <c r="CJ703" s="693">
        <f>SUMIFS(Imput[[Importe Neto]:[Importe Neto]],Imput[[C. Imp.]:[C. Imp.]],$D703,Imput[[PERIODO Imp.]:[PERIODO Imp.]],CJ$9)</f>
        <v>0</v>
      </c>
      <c r="CK703" s="693">
        <f>SUMIFS(Imput[[Importe Neto]:[Importe Neto]],Imput[[C. Imp.]:[C. Imp.]],$D703,Imput[[PERIODO Imp.]:[PERIODO Imp.]],CK$9)</f>
        <v>0</v>
      </c>
      <c r="CL703" s="693">
        <f>SUMIFS(Imput[[Importe Neto]:[Importe Neto]],Imput[[C. Imp.]:[C. Imp.]],$D703,Imput[[PERIODO Imp.]:[PERIODO Imp.]],CL$9)</f>
        <v>0</v>
      </c>
      <c r="CM703" s="693">
        <f>SUMIFS(Imput[[Importe Neto]:[Importe Neto]],Imput[[C. Imp.]:[C. Imp.]],$D703,Imput[[PERIODO Imp.]:[PERIODO Imp.]],CM$9)</f>
        <v>0</v>
      </c>
      <c r="CN703" s="693">
        <f>SUMIFS(Imput[[Importe Neto]:[Importe Neto]],Imput[[C. Imp.]:[C. Imp.]],$D703,Imput[[PERIODO Imp.]:[PERIODO Imp.]],CN$9)</f>
        <v>0</v>
      </c>
      <c r="CO703" s="693">
        <f>SUMIFS(Imput[[Importe Neto]:[Importe Neto]],Imput[[C. Imp.]:[C. Imp.]],$D703,Imput[[PERIODO Imp.]:[PERIODO Imp.]],CO$9)</f>
        <v>0</v>
      </c>
      <c r="CP703" s="693">
        <f>SUMIFS(Imput[[Importe Neto]:[Importe Neto]],Imput[[C. Imp.]:[C. Imp.]],$D703,Imput[[PERIODO Imp.]:[PERIODO Imp.]],CP$9)</f>
        <v>0</v>
      </c>
      <c r="CQ703" s="693">
        <f>SUMIFS(Imput[[Importe Neto]:[Importe Neto]],Imput[[C. Imp.]:[C. Imp.]],$D703,Imput[[PERIODO Imp.]:[PERIODO Imp.]],CQ$9)</f>
        <v>0</v>
      </c>
      <c r="CR703" s="693">
        <f>SUMIFS(Imput[[Importe Neto]:[Importe Neto]],Imput[[C. Imp.]:[C. Imp.]],$D703,Imput[[PERIODO Imp.]:[PERIODO Imp.]],CR$9)</f>
        <v>0</v>
      </c>
      <c r="CS703" s="693">
        <f>SUMIFS(Imput[[Importe Neto]:[Importe Neto]],Imput[[C. Imp.]:[C. Imp.]],$D703,Imput[[PERIODO Imp.]:[PERIODO Imp.]],CS$9)</f>
        <v>0</v>
      </c>
      <c r="CT703" s="693">
        <f>SUMIFS(Imput[[Importe Neto]:[Importe Neto]],Imput[[C. Imp.]:[C. Imp.]],$D703,Imput[[PERIODO Imp.]:[PERIODO Imp.]],CT$9)</f>
        <v>0</v>
      </c>
      <c r="CU703" s="693">
        <f>SUMIFS(Imput[[Importe Neto]:[Importe Neto]],Imput[[C. Imp.]:[C. Imp.]],$D703,Imput[[PERIODO Imp.]:[PERIODO Imp.]],CU$9)</f>
        <v>0</v>
      </c>
      <c r="CV703" s="693">
        <f>SUMIFS(Imput[[Importe Neto]:[Importe Neto]],Imput[[C. Imp.]:[C. Imp.]],$D703,Imput[[PERIODO Imp.]:[PERIODO Imp.]],CV$9)</f>
        <v>0</v>
      </c>
      <c r="CW703" s="693">
        <f>SUMIFS(Imput[[Importe Neto]:[Importe Neto]],Imput[[C. Imp.]:[C. Imp.]],$D703,Imput[[PERIODO Imp.]:[PERIODO Imp.]],CW$9)</f>
        <v>0</v>
      </c>
      <c r="CX703" s="693">
        <f>SUMIFS(Imput[[Importe Neto]:[Importe Neto]],Imput[[C. Imp.]:[C. Imp.]],$D703,Imput[[PERIODO Imp.]:[PERIODO Imp.]],CX$9)</f>
        <v>0</v>
      </c>
      <c r="CY703" s="693">
        <f>SUMIFS(Imput[[Importe Neto]:[Importe Neto]],Imput[[C. Imp.]:[C. Imp.]],$D703,Imput[[PERIODO Imp.]:[PERIODO Imp.]],CY$9)</f>
        <v>0</v>
      </c>
      <c r="CZ703" s="693">
        <f>SUMIFS(Imput[[Importe Neto]:[Importe Neto]],Imput[[C. Imp.]:[C. Imp.]],$D703,Imput[[PERIODO Imp.]:[PERIODO Imp.]],CZ$9)</f>
        <v>0</v>
      </c>
      <c r="DA703" s="693">
        <f>SUMIFS(Imput[[Importe Neto]:[Importe Neto]],Imput[[C. Imp.]:[C. Imp.]],$D703,Imput[[PERIODO Imp.]:[PERIODO Imp.]],DA$9)</f>
        <v>0</v>
      </c>
      <c r="DB703" s="693">
        <f>SUMIFS(Imput[[Importe Neto]:[Importe Neto]],Imput[[C. Imp.]:[C. Imp.]],$D703,Imput[[PERIODO Imp.]:[PERIODO Imp.]],DB$9)</f>
        <v>0</v>
      </c>
      <c r="DC703" s="693">
        <f>SUMIFS(Imput[[Importe Neto]:[Importe Neto]],Imput[[C. Imp.]:[C. Imp.]],$D703,Imput[[PERIODO Imp.]:[PERIODO Imp.]],DC$9)</f>
        <v>0</v>
      </c>
      <c r="DD703" s="693">
        <f>SUMIFS(Imput[[Importe Neto]:[Importe Neto]],Imput[[C. Imp.]:[C. Imp.]],$D703,Imput[[PERIODO Imp.]:[PERIODO Imp.]],DD$9)</f>
        <v>0</v>
      </c>
      <c r="DE703" s="693">
        <f>SUMIFS(Imput[[Importe Neto]:[Importe Neto]],Imput[[C. Imp.]:[C. Imp.]],$D703,Imput[[PERIODO Imp.]:[PERIODO Imp.]],DE$9)</f>
        <v>0</v>
      </c>
      <c r="DF703" s="693">
        <f>SUMIFS(Imput[[Importe Neto]:[Importe Neto]],Imput[[C. Imp.]:[C. Imp.]],$D703,Imput[[PERIODO Imp.]:[PERIODO Imp.]],DF$9)</f>
        <v>0</v>
      </c>
      <c r="DG703" s="693">
        <f>SUMIFS(Imput[[Importe Neto]:[Importe Neto]],Imput[[C. Imp.]:[C. Imp.]],$D703,Imput[[PERIODO Imp.]:[PERIODO Imp.]],DG$9)</f>
        <v>0</v>
      </c>
      <c r="DH703" s="694">
        <f>SUMIFS(Imput[[Importe Neto]:[Importe Neto]],Imput[[C. Imp.]:[C. Imp.]],$D703,Imput[[PERIODO Imp.]:[PERIODO Imp.]],DH$9)</f>
        <v>0</v>
      </c>
    </row>
    <row r="704" spans="1:112" s="649" customFormat="1" ht="14.4" hidden="1" outlineLevel="1" thickBot="1" x14ac:dyDescent="0.35">
      <c r="A704" s="652" t="str">
        <f t="shared" si="253"/>
        <v/>
      </c>
      <c r="B704" s="652"/>
      <c r="C704" s="685"/>
      <c r="D704" s="686" t="s">
        <v>2706</v>
      </c>
      <c r="E704" s="686"/>
      <c r="F704" s="720"/>
      <c r="G704" s="688"/>
      <c r="H704" s="689"/>
      <c r="I704" s="851" t="str">
        <f>IF(E704&gt;0,$J$5,"")</f>
        <v/>
      </c>
      <c r="J704" s="517" t="str">
        <f t="shared" si="254"/>
        <v/>
      </c>
      <c r="K704" s="667"/>
      <c r="L704" s="858"/>
      <c r="M704" s="859"/>
      <c r="N704" s="859"/>
      <c r="O704" s="859"/>
      <c r="P704" s="859"/>
      <c r="Q704" s="859"/>
      <c r="R704" s="859"/>
      <c r="S704" s="859"/>
      <c r="T704" s="859"/>
      <c r="U704" s="859"/>
      <c r="V704" s="859"/>
      <c r="W704" s="859"/>
      <c r="X704" s="859"/>
      <c r="Y704" s="859"/>
      <c r="Z704" s="860"/>
      <c r="AA704" s="860"/>
      <c r="AB704" s="860"/>
      <c r="AC704" s="860"/>
      <c r="AD704" s="860"/>
      <c r="AE704" s="860"/>
      <c r="AF704" s="860"/>
      <c r="AG704" s="860"/>
      <c r="AH704" s="860"/>
      <c r="AI704" s="860"/>
      <c r="AJ704" s="860"/>
      <c r="AK704" s="860"/>
      <c r="AL704" s="860"/>
      <c r="AM704" s="860"/>
      <c r="AN704" s="860"/>
      <c r="AO704" s="860"/>
      <c r="AP704" s="860"/>
      <c r="AQ704" s="860"/>
      <c r="AR704" s="860"/>
      <c r="AS704" s="860"/>
      <c r="AT704" s="860"/>
      <c r="AU704" s="860"/>
      <c r="AV704" s="860"/>
      <c r="AW704" s="860"/>
      <c r="AX704" s="860"/>
      <c r="AY704" s="860"/>
      <c r="AZ704" s="860"/>
      <c r="BA704" s="860"/>
      <c r="BB704" s="860"/>
      <c r="BC704" s="860"/>
      <c r="BD704" s="860"/>
      <c r="BE704" s="860"/>
      <c r="BF704" s="860"/>
      <c r="BG704" s="860"/>
      <c r="BH704" s="668"/>
      <c r="BI704" s="654"/>
      <c r="BJ704" s="690">
        <f>IFERROR(BK704/J704,0)</f>
        <v>0</v>
      </c>
      <c r="BK704" s="691">
        <f>SUM(BM704:DH704)</f>
        <v>0</v>
      </c>
      <c r="BL704" s="654"/>
      <c r="BM704" s="692">
        <f>SUMIFS(Imput[[Importe Neto]:[Importe Neto]],Imput[[C. Imp.]:[C. Imp.]],$D704,Imput[[PERIODO Imp.]:[PERIODO Imp.]],BM$9)</f>
        <v>0</v>
      </c>
      <c r="BN704" s="693">
        <f>SUMIFS(Imput[[Importe Neto]:[Importe Neto]],Imput[[C. Imp.]:[C. Imp.]],$D704,Imput[[PERIODO Imp.]:[PERIODO Imp.]],BN$9)</f>
        <v>0</v>
      </c>
      <c r="BO704" s="693">
        <f>SUMIFS(Imput[[Importe Neto]:[Importe Neto]],Imput[[C. Imp.]:[C. Imp.]],$D704,Imput[[PERIODO Imp.]:[PERIODO Imp.]],BO$9)</f>
        <v>0</v>
      </c>
      <c r="BP704" s="693">
        <f>SUMIFS(Imput[[Importe Neto]:[Importe Neto]],Imput[[C. Imp.]:[C. Imp.]],$D704,Imput[[PERIODO Imp.]:[PERIODO Imp.]],BP$9)</f>
        <v>0</v>
      </c>
      <c r="BQ704" s="693">
        <f>SUMIFS(Imput[[Importe Neto]:[Importe Neto]],Imput[[C. Imp.]:[C. Imp.]],$D704,Imput[[PERIODO Imp.]:[PERIODO Imp.]],BQ$9)</f>
        <v>0</v>
      </c>
      <c r="BR704" s="693">
        <f>SUMIFS(Imput[[Importe Neto]:[Importe Neto]],Imput[[C. Imp.]:[C. Imp.]],$D704,Imput[[PERIODO Imp.]:[PERIODO Imp.]],BR$9)</f>
        <v>0</v>
      </c>
      <c r="BS704" s="693">
        <f>SUMIFS(Imput[[Importe Neto]:[Importe Neto]],Imput[[C. Imp.]:[C. Imp.]],$D704,Imput[[PERIODO Imp.]:[PERIODO Imp.]],BS$9)</f>
        <v>0</v>
      </c>
      <c r="BT704" s="693">
        <f>SUMIFS(Imput[[Importe Neto]:[Importe Neto]],Imput[[C. Imp.]:[C. Imp.]],$D704,Imput[[PERIODO Imp.]:[PERIODO Imp.]],BT$9)</f>
        <v>0</v>
      </c>
      <c r="BU704" s="693">
        <f>SUMIFS(Imput[[Importe Neto]:[Importe Neto]],Imput[[C. Imp.]:[C. Imp.]],$D704,Imput[[PERIODO Imp.]:[PERIODO Imp.]],BU$9)</f>
        <v>0</v>
      </c>
      <c r="BV704" s="693">
        <f>SUMIFS(Imput[[Importe Neto]:[Importe Neto]],Imput[[C. Imp.]:[C. Imp.]],$D704,Imput[[PERIODO Imp.]:[PERIODO Imp.]],BV$9)</f>
        <v>0</v>
      </c>
      <c r="BW704" s="693">
        <f>SUMIFS(Imput[[Importe Neto]:[Importe Neto]],Imput[[C. Imp.]:[C. Imp.]],$D704,Imput[[PERIODO Imp.]:[PERIODO Imp.]],BW$9)</f>
        <v>0</v>
      </c>
      <c r="BX704" s="693">
        <f>SUMIFS(Imput[[Importe Neto]:[Importe Neto]],Imput[[C. Imp.]:[C. Imp.]],$D704,Imput[[PERIODO Imp.]:[PERIODO Imp.]],BX$9)</f>
        <v>0</v>
      </c>
      <c r="BY704" s="693">
        <f>SUMIFS(Imput[[Importe Neto]:[Importe Neto]],Imput[[C. Imp.]:[C. Imp.]],$D704,Imput[[PERIODO Imp.]:[PERIODO Imp.]],BY$9)</f>
        <v>0</v>
      </c>
      <c r="BZ704" s="693">
        <f>SUMIFS(Imput[[Importe Neto]:[Importe Neto]],Imput[[C. Imp.]:[C. Imp.]],$D704,Imput[[PERIODO Imp.]:[PERIODO Imp.]],BZ$9)</f>
        <v>0</v>
      </c>
      <c r="CA704" s="693">
        <f>SUMIFS(Imput[[Importe Neto]:[Importe Neto]],Imput[[C. Imp.]:[C. Imp.]],$D704,Imput[[PERIODO Imp.]:[PERIODO Imp.]],CA$9)</f>
        <v>0</v>
      </c>
      <c r="CB704" s="693">
        <f>SUMIFS(Imput[[Importe Neto]:[Importe Neto]],Imput[[C. Imp.]:[C. Imp.]],$D704,Imput[[PERIODO Imp.]:[PERIODO Imp.]],CB$9)</f>
        <v>0</v>
      </c>
      <c r="CC704" s="693">
        <f>SUMIFS(Imput[[Importe Neto]:[Importe Neto]],Imput[[C. Imp.]:[C. Imp.]],$D704,Imput[[PERIODO Imp.]:[PERIODO Imp.]],CC$9)</f>
        <v>0</v>
      </c>
      <c r="CD704" s="693">
        <f>SUMIFS(Imput[[Importe Neto]:[Importe Neto]],Imput[[C. Imp.]:[C. Imp.]],$D704,Imput[[PERIODO Imp.]:[PERIODO Imp.]],CD$9)</f>
        <v>0</v>
      </c>
      <c r="CE704" s="693">
        <f>SUMIFS(Imput[[Importe Neto]:[Importe Neto]],Imput[[C. Imp.]:[C. Imp.]],$D704,Imput[[PERIODO Imp.]:[PERIODO Imp.]],CE$9)</f>
        <v>0</v>
      </c>
      <c r="CF704" s="693">
        <f>SUMIFS(Imput[[Importe Neto]:[Importe Neto]],Imput[[C. Imp.]:[C. Imp.]],$D704,Imput[[PERIODO Imp.]:[PERIODO Imp.]],CF$9)</f>
        <v>0</v>
      </c>
      <c r="CG704" s="693">
        <f>SUMIFS(Imput[[Importe Neto]:[Importe Neto]],Imput[[C. Imp.]:[C. Imp.]],$D704,Imput[[PERIODO Imp.]:[PERIODO Imp.]],CG$9)</f>
        <v>0</v>
      </c>
      <c r="CH704" s="693">
        <f>SUMIFS(Imput[[Importe Neto]:[Importe Neto]],Imput[[C. Imp.]:[C. Imp.]],$D704,Imput[[PERIODO Imp.]:[PERIODO Imp.]],CH$9)</f>
        <v>0</v>
      </c>
      <c r="CI704" s="693">
        <f>SUMIFS(Imput[[Importe Neto]:[Importe Neto]],Imput[[C. Imp.]:[C. Imp.]],$D704,Imput[[PERIODO Imp.]:[PERIODO Imp.]],CI$9)</f>
        <v>0</v>
      </c>
      <c r="CJ704" s="693">
        <f>SUMIFS(Imput[[Importe Neto]:[Importe Neto]],Imput[[C. Imp.]:[C. Imp.]],$D704,Imput[[PERIODO Imp.]:[PERIODO Imp.]],CJ$9)</f>
        <v>0</v>
      </c>
      <c r="CK704" s="693">
        <f>SUMIFS(Imput[[Importe Neto]:[Importe Neto]],Imput[[C. Imp.]:[C. Imp.]],$D704,Imput[[PERIODO Imp.]:[PERIODO Imp.]],CK$9)</f>
        <v>0</v>
      </c>
      <c r="CL704" s="693">
        <f>SUMIFS(Imput[[Importe Neto]:[Importe Neto]],Imput[[C. Imp.]:[C. Imp.]],$D704,Imput[[PERIODO Imp.]:[PERIODO Imp.]],CL$9)</f>
        <v>0</v>
      </c>
      <c r="CM704" s="693">
        <f>SUMIFS(Imput[[Importe Neto]:[Importe Neto]],Imput[[C. Imp.]:[C. Imp.]],$D704,Imput[[PERIODO Imp.]:[PERIODO Imp.]],CM$9)</f>
        <v>0</v>
      </c>
      <c r="CN704" s="693">
        <f>SUMIFS(Imput[[Importe Neto]:[Importe Neto]],Imput[[C. Imp.]:[C. Imp.]],$D704,Imput[[PERIODO Imp.]:[PERIODO Imp.]],CN$9)</f>
        <v>0</v>
      </c>
      <c r="CO704" s="693">
        <f>SUMIFS(Imput[[Importe Neto]:[Importe Neto]],Imput[[C. Imp.]:[C. Imp.]],$D704,Imput[[PERIODO Imp.]:[PERIODO Imp.]],CO$9)</f>
        <v>0</v>
      </c>
      <c r="CP704" s="693">
        <f>SUMIFS(Imput[[Importe Neto]:[Importe Neto]],Imput[[C. Imp.]:[C. Imp.]],$D704,Imput[[PERIODO Imp.]:[PERIODO Imp.]],CP$9)</f>
        <v>0</v>
      </c>
      <c r="CQ704" s="693">
        <f>SUMIFS(Imput[[Importe Neto]:[Importe Neto]],Imput[[C. Imp.]:[C. Imp.]],$D704,Imput[[PERIODO Imp.]:[PERIODO Imp.]],CQ$9)</f>
        <v>0</v>
      </c>
      <c r="CR704" s="693">
        <f>SUMIFS(Imput[[Importe Neto]:[Importe Neto]],Imput[[C. Imp.]:[C. Imp.]],$D704,Imput[[PERIODO Imp.]:[PERIODO Imp.]],CR$9)</f>
        <v>0</v>
      </c>
      <c r="CS704" s="693">
        <f>SUMIFS(Imput[[Importe Neto]:[Importe Neto]],Imput[[C. Imp.]:[C. Imp.]],$D704,Imput[[PERIODO Imp.]:[PERIODO Imp.]],CS$9)</f>
        <v>0</v>
      </c>
      <c r="CT704" s="693">
        <f>SUMIFS(Imput[[Importe Neto]:[Importe Neto]],Imput[[C. Imp.]:[C. Imp.]],$D704,Imput[[PERIODO Imp.]:[PERIODO Imp.]],CT$9)</f>
        <v>0</v>
      </c>
      <c r="CU704" s="693">
        <f>SUMIFS(Imput[[Importe Neto]:[Importe Neto]],Imput[[C. Imp.]:[C. Imp.]],$D704,Imput[[PERIODO Imp.]:[PERIODO Imp.]],CU$9)</f>
        <v>0</v>
      </c>
      <c r="CV704" s="693">
        <f>SUMIFS(Imput[[Importe Neto]:[Importe Neto]],Imput[[C. Imp.]:[C. Imp.]],$D704,Imput[[PERIODO Imp.]:[PERIODO Imp.]],CV$9)</f>
        <v>0</v>
      </c>
      <c r="CW704" s="693">
        <f>SUMIFS(Imput[[Importe Neto]:[Importe Neto]],Imput[[C. Imp.]:[C. Imp.]],$D704,Imput[[PERIODO Imp.]:[PERIODO Imp.]],CW$9)</f>
        <v>0</v>
      </c>
      <c r="CX704" s="693">
        <f>SUMIFS(Imput[[Importe Neto]:[Importe Neto]],Imput[[C. Imp.]:[C. Imp.]],$D704,Imput[[PERIODO Imp.]:[PERIODO Imp.]],CX$9)</f>
        <v>0</v>
      </c>
      <c r="CY704" s="693">
        <f>SUMIFS(Imput[[Importe Neto]:[Importe Neto]],Imput[[C. Imp.]:[C. Imp.]],$D704,Imput[[PERIODO Imp.]:[PERIODO Imp.]],CY$9)</f>
        <v>0</v>
      </c>
      <c r="CZ704" s="693">
        <f>SUMIFS(Imput[[Importe Neto]:[Importe Neto]],Imput[[C. Imp.]:[C. Imp.]],$D704,Imput[[PERIODO Imp.]:[PERIODO Imp.]],CZ$9)</f>
        <v>0</v>
      </c>
      <c r="DA704" s="693">
        <f>SUMIFS(Imput[[Importe Neto]:[Importe Neto]],Imput[[C. Imp.]:[C. Imp.]],$D704,Imput[[PERIODO Imp.]:[PERIODO Imp.]],DA$9)</f>
        <v>0</v>
      </c>
      <c r="DB704" s="693">
        <f>SUMIFS(Imput[[Importe Neto]:[Importe Neto]],Imput[[C. Imp.]:[C. Imp.]],$D704,Imput[[PERIODO Imp.]:[PERIODO Imp.]],DB$9)</f>
        <v>0</v>
      </c>
      <c r="DC704" s="693">
        <f>SUMIFS(Imput[[Importe Neto]:[Importe Neto]],Imput[[C. Imp.]:[C. Imp.]],$D704,Imput[[PERIODO Imp.]:[PERIODO Imp.]],DC$9)</f>
        <v>0</v>
      </c>
      <c r="DD704" s="693">
        <f>SUMIFS(Imput[[Importe Neto]:[Importe Neto]],Imput[[C. Imp.]:[C. Imp.]],$D704,Imput[[PERIODO Imp.]:[PERIODO Imp.]],DD$9)</f>
        <v>0</v>
      </c>
      <c r="DE704" s="693">
        <f>SUMIFS(Imput[[Importe Neto]:[Importe Neto]],Imput[[C. Imp.]:[C. Imp.]],$D704,Imput[[PERIODO Imp.]:[PERIODO Imp.]],DE$9)</f>
        <v>0</v>
      </c>
      <c r="DF704" s="693">
        <f>SUMIFS(Imput[[Importe Neto]:[Importe Neto]],Imput[[C. Imp.]:[C. Imp.]],$D704,Imput[[PERIODO Imp.]:[PERIODO Imp.]],DF$9)</f>
        <v>0</v>
      </c>
      <c r="DG704" s="693">
        <f>SUMIFS(Imput[[Importe Neto]:[Importe Neto]],Imput[[C. Imp.]:[C. Imp.]],$D704,Imput[[PERIODO Imp.]:[PERIODO Imp.]],DG$9)</f>
        <v>0</v>
      </c>
      <c r="DH704" s="694">
        <f>SUMIFS(Imput[[Importe Neto]:[Importe Neto]],Imput[[C. Imp.]:[C. Imp.]],$D704,Imput[[PERIODO Imp.]:[PERIODO Imp.]],DH$9)</f>
        <v>0</v>
      </c>
    </row>
    <row r="705" spans="1:112" s="649" customFormat="1" ht="14.4" hidden="1" outlineLevel="1" thickBot="1" x14ac:dyDescent="0.35">
      <c r="A705" s="652" t="str">
        <f t="shared" si="253"/>
        <v/>
      </c>
      <c r="B705" s="652"/>
      <c r="C705" s="685"/>
      <c r="D705" s="686" t="s">
        <v>2707</v>
      </c>
      <c r="E705" s="686"/>
      <c r="F705" s="720"/>
      <c r="G705" s="688"/>
      <c r="H705" s="696"/>
      <c r="I705" s="851" t="str">
        <f>IF(E705&gt;0,$J$5,"")</f>
        <v/>
      </c>
      <c r="J705" s="517" t="str">
        <f t="shared" si="254"/>
        <v/>
      </c>
      <c r="K705" s="667"/>
      <c r="L705" s="858"/>
      <c r="M705" s="859"/>
      <c r="N705" s="859"/>
      <c r="O705" s="859"/>
      <c r="P705" s="859"/>
      <c r="Q705" s="859"/>
      <c r="R705" s="859"/>
      <c r="S705" s="859"/>
      <c r="T705" s="859"/>
      <c r="U705" s="859"/>
      <c r="V705" s="859"/>
      <c r="W705" s="859"/>
      <c r="X705" s="859"/>
      <c r="Y705" s="859"/>
      <c r="Z705" s="860"/>
      <c r="AA705" s="860"/>
      <c r="AB705" s="860"/>
      <c r="AC705" s="860"/>
      <c r="AD705" s="860"/>
      <c r="AE705" s="860"/>
      <c r="AF705" s="860"/>
      <c r="AG705" s="860"/>
      <c r="AH705" s="860"/>
      <c r="AI705" s="860"/>
      <c r="AJ705" s="860"/>
      <c r="AK705" s="860"/>
      <c r="AL705" s="860"/>
      <c r="AM705" s="860"/>
      <c r="AN705" s="860"/>
      <c r="AO705" s="860"/>
      <c r="AP705" s="860"/>
      <c r="AQ705" s="860"/>
      <c r="AR705" s="860"/>
      <c r="AS705" s="860"/>
      <c r="AT705" s="860"/>
      <c r="AU705" s="860"/>
      <c r="AV705" s="860"/>
      <c r="AW705" s="860"/>
      <c r="AX705" s="860"/>
      <c r="AY705" s="860"/>
      <c r="AZ705" s="860"/>
      <c r="BA705" s="860"/>
      <c r="BB705" s="860"/>
      <c r="BC705" s="860"/>
      <c r="BD705" s="860"/>
      <c r="BE705" s="860"/>
      <c r="BF705" s="860"/>
      <c r="BG705" s="860"/>
      <c r="BH705" s="668"/>
      <c r="BI705" s="654"/>
      <c r="BJ705" s="690">
        <f>IFERROR(BK705/J705,0)</f>
        <v>0</v>
      </c>
      <c r="BK705" s="691">
        <f>SUM(BM705:DH705)</f>
        <v>0</v>
      </c>
      <c r="BL705" s="654"/>
      <c r="BM705" s="692">
        <f>SUMIFS(Imput[[Importe Neto]:[Importe Neto]],Imput[[C. Imp.]:[C. Imp.]],$D705,Imput[[PERIODO Imp.]:[PERIODO Imp.]],BM$9)</f>
        <v>0</v>
      </c>
      <c r="BN705" s="693">
        <f>SUMIFS(Imput[[Importe Neto]:[Importe Neto]],Imput[[C. Imp.]:[C. Imp.]],$D705,Imput[[PERIODO Imp.]:[PERIODO Imp.]],BN$9)</f>
        <v>0</v>
      </c>
      <c r="BO705" s="693">
        <f>SUMIFS(Imput[[Importe Neto]:[Importe Neto]],Imput[[C. Imp.]:[C. Imp.]],$D705,Imput[[PERIODO Imp.]:[PERIODO Imp.]],BO$9)</f>
        <v>0</v>
      </c>
      <c r="BP705" s="693">
        <f>SUMIFS(Imput[[Importe Neto]:[Importe Neto]],Imput[[C. Imp.]:[C. Imp.]],$D705,Imput[[PERIODO Imp.]:[PERIODO Imp.]],BP$9)</f>
        <v>0</v>
      </c>
      <c r="BQ705" s="693">
        <f>SUMIFS(Imput[[Importe Neto]:[Importe Neto]],Imput[[C. Imp.]:[C. Imp.]],$D705,Imput[[PERIODO Imp.]:[PERIODO Imp.]],BQ$9)</f>
        <v>0</v>
      </c>
      <c r="BR705" s="693">
        <f>SUMIFS(Imput[[Importe Neto]:[Importe Neto]],Imput[[C. Imp.]:[C. Imp.]],$D705,Imput[[PERIODO Imp.]:[PERIODO Imp.]],BR$9)</f>
        <v>0</v>
      </c>
      <c r="BS705" s="693">
        <f>SUMIFS(Imput[[Importe Neto]:[Importe Neto]],Imput[[C. Imp.]:[C. Imp.]],$D705,Imput[[PERIODO Imp.]:[PERIODO Imp.]],BS$9)</f>
        <v>0</v>
      </c>
      <c r="BT705" s="693">
        <f>SUMIFS(Imput[[Importe Neto]:[Importe Neto]],Imput[[C. Imp.]:[C. Imp.]],$D705,Imput[[PERIODO Imp.]:[PERIODO Imp.]],BT$9)</f>
        <v>0</v>
      </c>
      <c r="BU705" s="693">
        <f>SUMIFS(Imput[[Importe Neto]:[Importe Neto]],Imput[[C. Imp.]:[C. Imp.]],$D705,Imput[[PERIODO Imp.]:[PERIODO Imp.]],BU$9)</f>
        <v>0</v>
      </c>
      <c r="BV705" s="693">
        <f>SUMIFS(Imput[[Importe Neto]:[Importe Neto]],Imput[[C. Imp.]:[C. Imp.]],$D705,Imput[[PERIODO Imp.]:[PERIODO Imp.]],BV$9)</f>
        <v>0</v>
      </c>
      <c r="BW705" s="693">
        <f>SUMIFS(Imput[[Importe Neto]:[Importe Neto]],Imput[[C. Imp.]:[C. Imp.]],$D705,Imput[[PERIODO Imp.]:[PERIODO Imp.]],BW$9)</f>
        <v>0</v>
      </c>
      <c r="BX705" s="693">
        <f>SUMIFS(Imput[[Importe Neto]:[Importe Neto]],Imput[[C. Imp.]:[C. Imp.]],$D705,Imput[[PERIODO Imp.]:[PERIODO Imp.]],BX$9)</f>
        <v>0</v>
      </c>
      <c r="BY705" s="693">
        <f>SUMIFS(Imput[[Importe Neto]:[Importe Neto]],Imput[[C. Imp.]:[C. Imp.]],$D705,Imput[[PERIODO Imp.]:[PERIODO Imp.]],BY$9)</f>
        <v>0</v>
      </c>
      <c r="BZ705" s="693">
        <f>SUMIFS(Imput[[Importe Neto]:[Importe Neto]],Imput[[C. Imp.]:[C. Imp.]],$D705,Imput[[PERIODO Imp.]:[PERIODO Imp.]],BZ$9)</f>
        <v>0</v>
      </c>
      <c r="CA705" s="693">
        <f>SUMIFS(Imput[[Importe Neto]:[Importe Neto]],Imput[[C. Imp.]:[C. Imp.]],$D705,Imput[[PERIODO Imp.]:[PERIODO Imp.]],CA$9)</f>
        <v>0</v>
      </c>
      <c r="CB705" s="693">
        <f>SUMIFS(Imput[[Importe Neto]:[Importe Neto]],Imput[[C. Imp.]:[C. Imp.]],$D705,Imput[[PERIODO Imp.]:[PERIODO Imp.]],CB$9)</f>
        <v>0</v>
      </c>
      <c r="CC705" s="693">
        <f>SUMIFS(Imput[[Importe Neto]:[Importe Neto]],Imput[[C. Imp.]:[C. Imp.]],$D705,Imput[[PERIODO Imp.]:[PERIODO Imp.]],CC$9)</f>
        <v>0</v>
      </c>
      <c r="CD705" s="693">
        <f>SUMIFS(Imput[[Importe Neto]:[Importe Neto]],Imput[[C. Imp.]:[C. Imp.]],$D705,Imput[[PERIODO Imp.]:[PERIODO Imp.]],CD$9)</f>
        <v>0</v>
      </c>
      <c r="CE705" s="693">
        <f>SUMIFS(Imput[[Importe Neto]:[Importe Neto]],Imput[[C. Imp.]:[C. Imp.]],$D705,Imput[[PERIODO Imp.]:[PERIODO Imp.]],CE$9)</f>
        <v>0</v>
      </c>
      <c r="CF705" s="693">
        <f>SUMIFS(Imput[[Importe Neto]:[Importe Neto]],Imput[[C. Imp.]:[C. Imp.]],$D705,Imput[[PERIODO Imp.]:[PERIODO Imp.]],CF$9)</f>
        <v>0</v>
      </c>
      <c r="CG705" s="693">
        <f>SUMIFS(Imput[[Importe Neto]:[Importe Neto]],Imput[[C. Imp.]:[C. Imp.]],$D705,Imput[[PERIODO Imp.]:[PERIODO Imp.]],CG$9)</f>
        <v>0</v>
      </c>
      <c r="CH705" s="693">
        <f>SUMIFS(Imput[[Importe Neto]:[Importe Neto]],Imput[[C. Imp.]:[C. Imp.]],$D705,Imput[[PERIODO Imp.]:[PERIODO Imp.]],CH$9)</f>
        <v>0</v>
      </c>
      <c r="CI705" s="693">
        <f>SUMIFS(Imput[[Importe Neto]:[Importe Neto]],Imput[[C. Imp.]:[C. Imp.]],$D705,Imput[[PERIODO Imp.]:[PERIODO Imp.]],CI$9)</f>
        <v>0</v>
      </c>
      <c r="CJ705" s="693">
        <f>SUMIFS(Imput[[Importe Neto]:[Importe Neto]],Imput[[C. Imp.]:[C. Imp.]],$D705,Imput[[PERIODO Imp.]:[PERIODO Imp.]],CJ$9)</f>
        <v>0</v>
      </c>
      <c r="CK705" s="693">
        <f>SUMIFS(Imput[[Importe Neto]:[Importe Neto]],Imput[[C. Imp.]:[C. Imp.]],$D705,Imput[[PERIODO Imp.]:[PERIODO Imp.]],CK$9)</f>
        <v>0</v>
      </c>
      <c r="CL705" s="693">
        <f>SUMIFS(Imput[[Importe Neto]:[Importe Neto]],Imput[[C. Imp.]:[C. Imp.]],$D705,Imput[[PERIODO Imp.]:[PERIODO Imp.]],CL$9)</f>
        <v>0</v>
      </c>
      <c r="CM705" s="693">
        <f>SUMIFS(Imput[[Importe Neto]:[Importe Neto]],Imput[[C. Imp.]:[C. Imp.]],$D705,Imput[[PERIODO Imp.]:[PERIODO Imp.]],CM$9)</f>
        <v>0</v>
      </c>
      <c r="CN705" s="693">
        <f>SUMIFS(Imput[[Importe Neto]:[Importe Neto]],Imput[[C. Imp.]:[C. Imp.]],$D705,Imput[[PERIODO Imp.]:[PERIODO Imp.]],CN$9)</f>
        <v>0</v>
      </c>
      <c r="CO705" s="693">
        <f>SUMIFS(Imput[[Importe Neto]:[Importe Neto]],Imput[[C. Imp.]:[C. Imp.]],$D705,Imput[[PERIODO Imp.]:[PERIODO Imp.]],CO$9)</f>
        <v>0</v>
      </c>
      <c r="CP705" s="693">
        <f>SUMIFS(Imput[[Importe Neto]:[Importe Neto]],Imput[[C. Imp.]:[C. Imp.]],$D705,Imput[[PERIODO Imp.]:[PERIODO Imp.]],CP$9)</f>
        <v>0</v>
      </c>
      <c r="CQ705" s="693">
        <f>SUMIFS(Imput[[Importe Neto]:[Importe Neto]],Imput[[C. Imp.]:[C. Imp.]],$D705,Imput[[PERIODO Imp.]:[PERIODO Imp.]],CQ$9)</f>
        <v>0</v>
      </c>
      <c r="CR705" s="693">
        <f>SUMIFS(Imput[[Importe Neto]:[Importe Neto]],Imput[[C. Imp.]:[C. Imp.]],$D705,Imput[[PERIODO Imp.]:[PERIODO Imp.]],CR$9)</f>
        <v>0</v>
      </c>
      <c r="CS705" s="693">
        <f>SUMIFS(Imput[[Importe Neto]:[Importe Neto]],Imput[[C. Imp.]:[C. Imp.]],$D705,Imput[[PERIODO Imp.]:[PERIODO Imp.]],CS$9)</f>
        <v>0</v>
      </c>
      <c r="CT705" s="693">
        <f>SUMIFS(Imput[[Importe Neto]:[Importe Neto]],Imput[[C. Imp.]:[C. Imp.]],$D705,Imput[[PERIODO Imp.]:[PERIODO Imp.]],CT$9)</f>
        <v>0</v>
      </c>
      <c r="CU705" s="693">
        <f>SUMIFS(Imput[[Importe Neto]:[Importe Neto]],Imput[[C. Imp.]:[C. Imp.]],$D705,Imput[[PERIODO Imp.]:[PERIODO Imp.]],CU$9)</f>
        <v>0</v>
      </c>
      <c r="CV705" s="693">
        <f>SUMIFS(Imput[[Importe Neto]:[Importe Neto]],Imput[[C. Imp.]:[C. Imp.]],$D705,Imput[[PERIODO Imp.]:[PERIODO Imp.]],CV$9)</f>
        <v>0</v>
      </c>
      <c r="CW705" s="693">
        <f>SUMIFS(Imput[[Importe Neto]:[Importe Neto]],Imput[[C. Imp.]:[C. Imp.]],$D705,Imput[[PERIODO Imp.]:[PERIODO Imp.]],CW$9)</f>
        <v>0</v>
      </c>
      <c r="CX705" s="693">
        <f>SUMIFS(Imput[[Importe Neto]:[Importe Neto]],Imput[[C. Imp.]:[C. Imp.]],$D705,Imput[[PERIODO Imp.]:[PERIODO Imp.]],CX$9)</f>
        <v>0</v>
      </c>
      <c r="CY705" s="693">
        <f>SUMIFS(Imput[[Importe Neto]:[Importe Neto]],Imput[[C. Imp.]:[C. Imp.]],$D705,Imput[[PERIODO Imp.]:[PERIODO Imp.]],CY$9)</f>
        <v>0</v>
      </c>
      <c r="CZ705" s="693">
        <f>SUMIFS(Imput[[Importe Neto]:[Importe Neto]],Imput[[C. Imp.]:[C. Imp.]],$D705,Imput[[PERIODO Imp.]:[PERIODO Imp.]],CZ$9)</f>
        <v>0</v>
      </c>
      <c r="DA705" s="693">
        <f>SUMIFS(Imput[[Importe Neto]:[Importe Neto]],Imput[[C. Imp.]:[C. Imp.]],$D705,Imput[[PERIODO Imp.]:[PERIODO Imp.]],DA$9)</f>
        <v>0</v>
      </c>
      <c r="DB705" s="693">
        <f>SUMIFS(Imput[[Importe Neto]:[Importe Neto]],Imput[[C. Imp.]:[C. Imp.]],$D705,Imput[[PERIODO Imp.]:[PERIODO Imp.]],DB$9)</f>
        <v>0</v>
      </c>
      <c r="DC705" s="693">
        <f>SUMIFS(Imput[[Importe Neto]:[Importe Neto]],Imput[[C. Imp.]:[C. Imp.]],$D705,Imput[[PERIODO Imp.]:[PERIODO Imp.]],DC$9)</f>
        <v>0</v>
      </c>
      <c r="DD705" s="693">
        <f>SUMIFS(Imput[[Importe Neto]:[Importe Neto]],Imput[[C. Imp.]:[C. Imp.]],$D705,Imput[[PERIODO Imp.]:[PERIODO Imp.]],DD$9)</f>
        <v>0</v>
      </c>
      <c r="DE705" s="693">
        <f>SUMIFS(Imput[[Importe Neto]:[Importe Neto]],Imput[[C. Imp.]:[C. Imp.]],$D705,Imput[[PERIODO Imp.]:[PERIODO Imp.]],DE$9)</f>
        <v>0</v>
      </c>
      <c r="DF705" s="693">
        <f>SUMIFS(Imput[[Importe Neto]:[Importe Neto]],Imput[[C. Imp.]:[C. Imp.]],$D705,Imput[[PERIODO Imp.]:[PERIODO Imp.]],DF$9)</f>
        <v>0</v>
      </c>
      <c r="DG705" s="693">
        <f>SUMIFS(Imput[[Importe Neto]:[Importe Neto]],Imput[[C. Imp.]:[C. Imp.]],$D705,Imput[[PERIODO Imp.]:[PERIODO Imp.]],DG$9)</f>
        <v>0</v>
      </c>
      <c r="DH705" s="694">
        <f>SUMIFS(Imput[[Importe Neto]:[Importe Neto]],Imput[[C. Imp.]:[C. Imp.]],$D705,Imput[[PERIODO Imp.]:[PERIODO Imp.]],DH$9)</f>
        <v>0</v>
      </c>
    </row>
    <row r="706" spans="1:112" s="649" customFormat="1" ht="14.4" hidden="1" outlineLevel="1" thickBot="1" x14ac:dyDescent="0.35">
      <c r="A706" s="652" t="str">
        <f>IF(J699&gt;0,"Imprimir","")</f>
        <v/>
      </c>
      <c r="B706" s="652"/>
      <c r="C706" s="699"/>
      <c r="D706" s="700"/>
      <c r="E706" s="700"/>
      <c r="F706" s="701"/>
      <c r="G706" s="702"/>
      <c r="H706" s="703"/>
      <c r="I706" s="704"/>
      <c r="J706" s="120"/>
      <c r="K706" s="667"/>
      <c r="L706" s="706"/>
      <c r="M706" s="707"/>
      <c r="N706" s="777"/>
      <c r="O706" s="777"/>
      <c r="P706" s="778"/>
      <c r="Q706" s="778"/>
      <c r="R706" s="708"/>
      <c r="S706" s="708"/>
      <c r="T706" s="779"/>
      <c r="U706" s="779"/>
      <c r="V706" s="778"/>
      <c r="W706" s="778"/>
      <c r="X706" s="708"/>
      <c r="Y706" s="708"/>
      <c r="Z706" s="708"/>
      <c r="AA706" s="708"/>
      <c r="AB706" s="708"/>
      <c r="AC706" s="708"/>
      <c r="AD706" s="708"/>
      <c r="AE706" s="708"/>
      <c r="AF706" s="708"/>
      <c r="AG706" s="708"/>
      <c r="AH706" s="708"/>
      <c r="AI706" s="708"/>
      <c r="AJ706" s="708"/>
      <c r="AK706" s="708"/>
      <c r="AL706" s="708"/>
      <c r="AM706" s="708"/>
      <c r="AN706" s="708"/>
      <c r="AO706" s="708"/>
      <c r="AP706" s="708"/>
      <c r="AQ706" s="708"/>
      <c r="AR706" s="708"/>
      <c r="AS706" s="708"/>
      <c r="AT706" s="708"/>
      <c r="AU706" s="708"/>
      <c r="AV706" s="708"/>
      <c r="AW706" s="708"/>
      <c r="AX706" s="708"/>
      <c r="AY706" s="708"/>
      <c r="AZ706" s="708"/>
      <c r="BA706" s="708"/>
      <c r="BB706" s="708"/>
      <c r="BC706" s="708"/>
      <c r="BD706" s="708"/>
      <c r="BE706" s="708"/>
      <c r="BF706" s="708"/>
      <c r="BG706" s="708"/>
      <c r="BH706" s="780"/>
      <c r="BI706" s="654"/>
      <c r="BJ706" s="709"/>
      <c r="BK706" s="710"/>
      <c r="BL706" s="654"/>
      <c r="BM706" s="735"/>
      <c r="BN706" s="796"/>
      <c r="BO706" s="796"/>
      <c r="BP706" s="796"/>
      <c r="BQ706" s="796"/>
      <c r="BR706" s="796"/>
      <c r="BS706" s="796"/>
      <c r="BT706" s="796"/>
      <c r="BU706" s="796"/>
      <c r="BV706" s="796"/>
      <c r="BW706" s="796"/>
      <c r="BX706" s="796"/>
      <c r="BY706" s="796"/>
      <c r="BZ706" s="796"/>
      <c r="CA706" s="796"/>
      <c r="CB706" s="796"/>
      <c r="CC706" s="796"/>
      <c r="CD706" s="796"/>
      <c r="CE706" s="796"/>
      <c r="CF706" s="796"/>
      <c r="CG706" s="796"/>
      <c r="CH706" s="796"/>
      <c r="CI706" s="796"/>
      <c r="CJ706" s="796"/>
      <c r="CK706" s="796"/>
      <c r="CL706" s="796"/>
      <c r="CM706" s="796"/>
      <c r="CN706" s="796"/>
      <c r="CO706" s="796"/>
      <c r="CP706" s="796"/>
      <c r="CQ706" s="796"/>
      <c r="CR706" s="796"/>
      <c r="CS706" s="796"/>
      <c r="CT706" s="796"/>
      <c r="CU706" s="796"/>
      <c r="CV706" s="796"/>
      <c r="CW706" s="796"/>
      <c r="CX706" s="796"/>
      <c r="CY706" s="796"/>
      <c r="CZ706" s="796"/>
      <c r="DA706" s="796"/>
      <c r="DB706" s="796"/>
      <c r="DC706" s="796"/>
      <c r="DD706" s="796"/>
      <c r="DE706" s="796"/>
      <c r="DF706" s="796"/>
      <c r="DG706" s="796"/>
      <c r="DH706" s="736"/>
    </row>
    <row r="707" spans="1:112" s="649" customFormat="1" collapsed="1" x14ac:dyDescent="0.3">
      <c r="A707" s="652" t="str">
        <f>IF(J707&gt;0,"Imprimir","")</f>
        <v>Imprimir</v>
      </c>
      <c r="B707" s="652"/>
      <c r="C707" s="711"/>
      <c r="D707" s="712" t="s">
        <v>456</v>
      </c>
      <c r="E707" s="712" t="s">
        <v>512</v>
      </c>
      <c r="F707" s="712"/>
      <c r="G707" s="713"/>
      <c r="H707" s="712"/>
      <c r="I707" s="714"/>
      <c r="J707" s="715">
        <f>SUBTOTAL(9,J710:J712)</f>
        <v>73262.259283633073</v>
      </c>
      <c r="K707" s="658"/>
      <c r="L707" s="770">
        <f t="shared" ref="L707:BG707" si="255">SUMPRODUCT($J710:$J712,L710:L712)</f>
        <v>51283.58149854315</v>
      </c>
      <c r="M707" s="771">
        <f t="shared" si="255"/>
        <v>0</v>
      </c>
      <c r="N707" s="771">
        <f t="shared" si="255"/>
        <v>0</v>
      </c>
      <c r="O707" s="771">
        <f t="shared" si="255"/>
        <v>0</v>
      </c>
      <c r="P707" s="771">
        <f t="shared" si="255"/>
        <v>0</v>
      </c>
      <c r="Q707" s="771">
        <f t="shared" si="255"/>
        <v>0</v>
      </c>
      <c r="R707" s="771">
        <f t="shared" si="255"/>
        <v>0</v>
      </c>
      <c r="S707" s="771">
        <f t="shared" si="255"/>
        <v>0</v>
      </c>
      <c r="T707" s="771">
        <f t="shared" si="255"/>
        <v>0</v>
      </c>
      <c r="U707" s="771">
        <f t="shared" si="255"/>
        <v>0</v>
      </c>
      <c r="V707" s="771">
        <f t="shared" si="255"/>
        <v>0</v>
      </c>
      <c r="W707" s="771">
        <f t="shared" si="255"/>
        <v>0</v>
      </c>
      <c r="X707" s="771">
        <f t="shared" si="255"/>
        <v>0</v>
      </c>
      <c r="Y707" s="771">
        <f t="shared" si="255"/>
        <v>0</v>
      </c>
      <c r="Z707" s="771">
        <f t="shared" si="255"/>
        <v>21978.67778508992</v>
      </c>
      <c r="AA707" s="771">
        <f t="shared" si="255"/>
        <v>0</v>
      </c>
      <c r="AB707" s="771">
        <f t="shared" si="255"/>
        <v>0</v>
      </c>
      <c r="AC707" s="771">
        <f t="shared" si="255"/>
        <v>0</v>
      </c>
      <c r="AD707" s="771">
        <f t="shared" si="255"/>
        <v>0</v>
      </c>
      <c r="AE707" s="771">
        <f t="shared" si="255"/>
        <v>0</v>
      </c>
      <c r="AF707" s="771">
        <f t="shared" si="255"/>
        <v>0</v>
      </c>
      <c r="AG707" s="771">
        <f t="shared" si="255"/>
        <v>0</v>
      </c>
      <c r="AH707" s="771">
        <f t="shared" si="255"/>
        <v>0</v>
      </c>
      <c r="AI707" s="771">
        <f t="shared" si="255"/>
        <v>0</v>
      </c>
      <c r="AJ707" s="771">
        <f t="shared" si="255"/>
        <v>0</v>
      </c>
      <c r="AK707" s="771">
        <f t="shared" si="255"/>
        <v>0</v>
      </c>
      <c r="AL707" s="771">
        <f t="shared" si="255"/>
        <v>0</v>
      </c>
      <c r="AM707" s="771">
        <f t="shared" si="255"/>
        <v>0</v>
      </c>
      <c r="AN707" s="771">
        <f t="shared" si="255"/>
        <v>0</v>
      </c>
      <c r="AO707" s="771">
        <f t="shared" si="255"/>
        <v>0</v>
      </c>
      <c r="AP707" s="771">
        <f t="shared" si="255"/>
        <v>0</v>
      </c>
      <c r="AQ707" s="771">
        <f t="shared" si="255"/>
        <v>0</v>
      </c>
      <c r="AR707" s="771">
        <f t="shared" si="255"/>
        <v>0</v>
      </c>
      <c r="AS707" s="771">
        <f t="shared" si="255"/>
        <v>0</v>
      </c>
      <c r="AT707" s="771">
        <f t="shared" si="255"/>
        <v>0</v>
      </c>
      <c r="AU707" s="771">
        <f t="shared" si="255"/>
        <v>0</v>
      </c>
      <c r="AV707" s="771">
        <f t="shared" si="255"/>
        <v>0</v>
      </c>
      <c r="AW707" s="771">
        <f t="shared" si="255"/>
        <v>0</v>
      </c>
      <c r="AX707" s="771">
        <f t="shared" si="255"/>
        <v>0</v>
      </c>
      <c r="AY707" s="771">
        <f t="shared" si="255"/>
        <v>0</v>
      </c>
      <c r="AZ707" s="771">
        <f t="shared" si="255"/>
        <v>0</v>
      </c>
      <c r="BA707" s="771">
        <f t="shared" si="255"/>
        <v>0</v>
      </c>
      <c r="BB707" s="771">
        <f t="shared" si="255"/>
        <v>0</v>
      </c>
      <c r="BC707" s="771">
        <f t="shared" si="255"/>
        <v>0</v>
      </c>
      <c r="BD707" s="771">
        <f t="shared" si="255"/>
        <v>0</v>
      </c>
      <c r="BE707" s="771">
        <f t="shared" si="255"/>
        <v>0</v>
      </c>
      <c r="BF707" s="771">
        <f t="shared" si="255"/>
        <v>0</v>
      </c>
      <c r="BG707" s="764">
        <f t="shared" si="255"/>
        <v>0</v>
      </c>
      <c r="BH707" s="776"/>
      <c r="BI707" s="654"/>
      <c r="BJ707" s="659">
        <f>IFERROR(BK707/J707,0)</f>
        <v>0.23486718282989194</v>
      </c>
      <c r="BK707" s="660">
        <f>SUBTOTAL(9,BK708:BK712)</f>
        <v>17206.900445699997</v>
      </c>
      <c r="BL707" s="654"/>
      <c r="BM707" s="661">
        <f t="shared" ref="BM707:DH707" si="256">SUBTOTAL(9,BM708:BM712)</f>
        <v>0</v>
      </c>
      <c r="BN707" s="662">
        <f t="shared" si="256"/>
        <v>0</v>
      </c>
      <c r="BO707" s="662">
        <f t="shared" si="256"/>
        <v>1364.972</v>
      </c>
      <c r="BP707" s="662">
        <f t="shared" si="256"/>
        <v>15841.928445699998</v>
      </c>
      <c r="BQ707" s="662">
        <f t="shared" si="256"/>
        <v>0</v>
      </c>
      <c r="BR707" s="662">
        <f t="shared" si="256"/>
        <v>0</v>
      </c>
      <c r="BS707" s="662">
        <f t="shared" si="256"/>
        <v>0</v>
      </c>
      <c r="BT707" s="662">
        <f t="shared" si="256"/>
        <v>0</v>
      </c>
      <c r="BU707" s="662">
        <f t="shared" si="256"/>
        <v>0</v>
      </c>
      <c r="BV707" s="662">
        <f t="shared" si="256"/>
        <v>0</v>
      </c>
      <c r="BW707" s="662">
        <f t="shared" si="256"/>
        <v>0</v>
      </c>
      <c r="BX707" s="662">
        <f t="shared" si="256"/>
        <v>0</v>
      </c>
      <c r="BY707" s="662">
        <f t="shared" si="256"/>
        <v>0</v>
      </c>
      <c r="BZ707" s="662">
        <f t="shared" si="256"/>
        <v>0</v>
      </c>
      <c r="CA707" s="662">
        <f t="shared" si="256"/>
        <v>0</v>
      </c>
      <c r="CB707" s="662">
        <f t="shared" si="256"/>
        <v>0</v>
      </c>
      <c r="CC707" s="662">
        <f t="shared" si="256"/>
        <v>0</v>
      </c>
      <c r="CD707" s="662">
        <f t="shared" si="256"/>
        <v>0</v>
      </c>
      <c r="CE707" s="662">
        <f t="shared" si="256"/>
        <v>0</v>
      </c>
      <c r="CF707" s="662">
        <f t="shared" si="256"/>
        <v>0</v>
      </c>
      <c r="CG707" s="662">
        <f t="shared" si="256"/>
        <v>0</v>
      </c>
      <c r="CH707" s="662">
        <f t="shared" si="256"/>
        <v>0</v>
      </c>
      <c r="CI707" s="662">
        <f t="shared" si="256"/>
        <v>0</v>
      </c>
      <c r="CJ707" s="662">
        <f t="shared" si="256"/>
        <v>0</v>
      </c>
      <c r="CK707" s="662">
        <f t="shared" si="256"/>
        <v>0</v>
      </c>
      <c r="CL707" s="662">
        <f t="shared" si="256"/>
        <v>0</v>
      </c>
      <c r="CM707" s="662">
        <f t="shared" si="256"/>
        <v>0</v>
      </c>
      <c r="CN707" s="662">
        <f t="shared" si="256"/>
        <v>0</v>
      </c>
      <c r="CO707" s="662">
        <f t="shared" si="256"/>
        <v>0</v>
      </c>
      <c r="CP707" s="662">
        <f t="shared" si="256"/>
        <v>0</v>
      </c>
      <c r="CQ707" s="662">
        <f t="shared" si="256"/>
        <v>0</v>
      </c>
      <c r="CR707" s="662">
        <f t="shared" si="256"/>
        <v>0</v>
      </c>
      <c r="CS707" s="662">
        <f t="shared" si="256"/>
        <v>0</v>
      </c>
      <c r="CT707" s="662">
        <f t="shared" si="256"/>
        <v>0</v>
      </c>
      <c r="CU707" s="662">
        <f t="shared" si="256"/>
        <v>0</v>
      </c>
      <c r="CV707" s="662">
        <f t="shared" si="256"/>
        <v>0</v>
      </c>
      <c r="CW707" s="662">
        <f t="shared" si="256"/>
        <v>0</v>
      </c>
      <c r="CX707" s="662">
        <f t="shared" si="256"/>
        <v>0</v>
      </c>
      <c r="CY707" s="662">
        <f t="shared" si="256"/>
        <v>0</v>
      </c>
      <c r="CZ707" s="662">
        <f t="shared" si="256"/>
        <v>0</v>
      </c>
      <c r="DA707" s="662">
        <f t="shared" si="256"/>
        <v>0</v>
      </c>
      <c r="DB707" s="662">
        <f t="shared" si="256"/>
        <v>0</v>
      </c>
      <c r="DC707" s="662">
        <f t="shared" si="256"/>
        <v>0</v>
      </c>
      <c r="DD707" s="662">
        <f t="shared" si="256"/>
        <v>0</v>
      </c>
      <c r="DE707" s="662">
        <f t="shared" si="256"/>
        <v>0</v>
      </c>
      <c r="DF707" s="662">
        <f t="shared" si="256"/>
        <v>0</v>
      </c>
      <c r="DG707" s="662">
        <f t="shared" si="256"/>
        <v>0</v>
      </c>
      <c r="DH707" s="663">
        <f t="shared" si="256"/>
        <v>0</v>
      </c>
    </row>
    <row r="708" spans="1:112" s="650" customFormat="1" outlineLevel="1" x14ac:dyDescent="0.3">
      <c r="A708" s="652" t="str">
        <f>IF(J707&gt;0,"Imprimir","")</f>
        <v>Imprimir</v>
      </c>
      <c r="B708" s="722"/>
      <c r="C708" s="664"/>
      <c r="D708" s="665"/>
      <c r="E708" s="665"/>
      <c r="F708" s="665" t="s">
        <v>472</v>
      </c>
      <c r="G708" s="716" t="s">
        <v>2128</v>
      </c>
      <c r="H708" s="665" t="str">
        <f>H487</f>
        <v>Cantidad</v>
      </c>
      <c r="I708" s="665" t="s">
        <v>474</v>
      </c>
      <c r="J708" s="666" t="s">
        <v>29</v>
      </c>
      <c r="K708" s="723"/>
      <c r="L708" s="745"/>
      <c r="M708" s="741"/>
      <c r="N708" s="741"/>
      <c r="O708" s="741"/>
      <c r="P708" s="741"/>
      <c r="Q708" s="741"/>
      <c r="R708" s="741"/>
      <c r="S708" s="741"/>
      <c r="T708" s="741"/>
      <c r="U708" s="741"/>
      <c r="V708" s="741"/>
      <c r="W708" s="741"/>
      <c r="X708" s="741"/>
      <c r="Y708" s="741"/>
      <c r="Z708" s="741"/>
      <c r="AA708" s="741"/>
      <c r="AB708" s="741"/>
      <c r="AC708" s="741"/>
      <c r="AD708" s="741"/>
      <c r="AE708" s="741"/>
      <c r="AF708" s="741"/>
      <c r="AG708" s="741"/>
      <c r="AH708" s="741"/>
      <c r="AI708" s="741"/>
      <c r="AJ708" s="741"/>
      <c r="AK708" s="741"/>
      <c r="AL708" s="741"/>
      <c r="AM708" s="741"/>
      <c r="AN708" s="741"/>
      <c r="AO708" s="741"/>
      <c r="AP708" s="741"/>
      <c r="AQ708" s="741"/>
      <c r="AR708" s="741"/>
      <c r="AS708" s="741"/>
      <c r="AT708" s="741"/>
      <c r="AU708" s="741"/>
      <c r="AV708" s="741"/>
      <c r="AW708" s="741"/>
      <c r="AX708" s="741"/>
      <c r="AY708" s="741"/>
      <c r="AZ708" s="741"/>
      <c r="BA708" s="741"/>
      <c r="BB708" s="741"/>
      <c r="BC708" s="741"/>
      <c r="BD708" s="741"/>
      <c r="BE708" s="741"/>
      <c r="BF708" s="741"/>
      <c r="BG708" s="741"/>
      <c r="BH708" s="724"/>
      <c r="BI708" s="725"/>
      <c r="BJ708" s="669"/>
      <c r="BK708" s="670"/>
      <c r="BL708" s="725"/>
      <c r="BM708" s="671"/>
      <c r="BN708" s="665"/>
      <c r="BO708" s="665"/>
      <c r="BP708" s="665"/>
      <c r="BQ708" s="665"/>
      <c r="BR708" s="665"/>
      <c r="BS708" s="665"/>
      <c r="BT708" s="665"/>
      <c r="BU708" s="665"/>
      <c r="BV708" s="665"/>
      <c r="BW708" s="665"/>
      <c r="BX708" s="665"/>
      <c r="BY708" s="665"/>
      <c r="BZ708" s="665"/>
      <c r="CA708" s="665"/>
      <c r="CB708" s="665"/>
      <c r="CC708" s="665"/>
      <c r="CD708" s="665"/>
      <c r="CE708" s="665"/>
      <c r="CF708" s="665"/>
      <c r="CG708" s="665"/>
      <c r="CH708" s="665"/>
      <c r="CI708" s="665"/>
      <c r="CJ708" s="665"/>
      <c r="CK708" s="665"/>
      <c r="CL708" s="665"/>
      <c r="CM708" s="665"/>
      <c r="CN708" s="665"/>
      <c r="CO708" s="665"/>
      <c r="CP708" s="665"/>
      <c r="CQ708" s="665"/>
      <c r="CR708" s="665"/>
      <c r="CS708" s="665"/>
      <c r="CT708" s="665"/>
      <c r="CU708" s="665"/>
      <c r="CV708" s="665"/>
      <c r="CW708" s="665"/>
      <c r="CX708" s="665"/>
      <c r="CY708" s="665"/>
      <c r="CZ708" s="665"/>
      <c r="DA708" s="665"/>
      <c r="DB708" s="665"/>
      <c r="DC708" s="665"/>
      <c r="DD708" s="665"/>
      <c r="DE708" s="665"/>
      <c r="DF708" s="665"/>
      <c r="DG708" s="665"/>
      <c r="DH708" s="666"/>
    </row>
    <row r="709" spans="1:112" s="649" customFormat="1" ht="15.6" outlineLevel="1" x14ac:dyDescent="0.3">
      <c r="A709" s="652" t="str">
        <f>IF(J709&gt;0,"Imprimir","")</f>
        <v>Imprimir</v>
      </c>
      <c r="B709" s="652"/>
      <c r="C709" s="672"/>
      <c r="D709" s="673"/>
      <c r="E709" s="674"/>
      <c r="F709" s="675"/>
      <c r="G709" s="726"/>
      <c r="H709" s="676"/>
      <c r="I709" s="677"/>
      <c r="J709" s="219">
        <f>SUBTOTAL(9,J710:J712)</f>
        <v>73262.259283633073</v>
      </c>
      <c r="K709" s="678"/>
      <c r="L709" s="747"/>
      <c r="M709" s="742"/>
      <c r="N709" s="742"/>
      <c r="O709" s="742"/>
      <c r="P709" s="742"/>
      <c r="Q709" s="742"/>
      <c r="R709" s="742"/>
      <c r="S709" s="742"/>
      <c r="T709" s="742"/>
      <c r="U709" s="742"/>
      <c r="V709" s="742"/>
      <c r="W709" s="742"/>
      <c r="X709" s="742"/>
      <c r="Y709" s="742"/>
      <c r="Z709" s="742"/>
      <c r="AA709" s="742"/>
      <c r="AB709" s="742"/>
      <c r="AC709" s="742"/>
      <c r="AD709" s="742"/>
      <c r="AE709" s="742"/>
      <c r="AF709" s="742"/>
      <c r="AG709" s="742"/>
      <c r="AH709" s="742"/>
      <c r="AI709" s="742"/>
      <c r="AJ709" s="742"/>
      <c r="AK709" s="742"/>
      <c r="AL709" s="742"/>
      <c r="AM709" s="742"/>
      <c r="AN709" s="742"/>
      <c r="AO709" s="742"/>
      <c r="AP709" s="742"/>
      <c r="AQ709" s="742"/>
      <c r="AR709" s="742"/>
      <c r="AS709" s="742"/>
      <c r="AT709" s="742"/>
      <c r="AU709" s="742"/>
      <c r="AV709" s="742"/>
      <c r="AW709" s="742"/>
      <c r="AX709" s="742"/>
      <c r="AY709" s="742"/>
      <c r="AZ709" s="742"/>
      <c r="BA709" s="742"/>
      <c r="BB709" s="742"/>
      <c r="BC709" s="742"/>
      <c r="BD709" s="742"/>
      <c r="BE709" s="742"/>
      <c r="BF709" s="742"/>
      <c r="BG709" s="742"/>
      <c r="BH709" s="668"/>
      <c r="BI709" s="654"/>
      <c r="BJ709" s="729"/>
      <c r="BK709" s="681"/>
      <c r="BL709" s="654"/>
      <c r="BM709" s="682"/>
      <c r="BN709" s="683"/>
      <c r="BO709" s="683"/>
      <c r="BP709" s="683"/>
      <c r="BQ709" s="683"/>
      <c r="BR709" s="683"/>
      <c r="BS709" s="683"/>
      <c r="BT709" s="683"/>
      <c r="BU709" s="683"/>
      <c r="BV709" s="683"/>
      <c r="BW709" s="683"/>
      <c r="BX709" s="683"/>
      <c r="BY709" s="683"/>
      <c r="BZ709" s="683"/>
      <c r="CA709" s="683"/>
      <c r="CB709" s="683"/>
      <c r="CC709" s="683"/>
      <c r="CD709" s="683"/>
      <c r="CE709" s="683"/>
      <c r="CF709" s="683"/>
      <c r="CG709" s="683"/>
      <c r="CH709" s="683"/>
      <c r="CI709" s="683"/>
      <c r="CJ709" s="683"/>
      <c r="CK709" s="683"/>
      <c r="CL709" s="683"/>
      <c r="CM709" s="683"/>
      <c r="CN709" s="683"/>
      <c r="CO709" s="683"/>
      <c r="CP709" s="683"/>
      <c r="CQ709" s="683"/>
      <c r="CR709" s="683"/>
      <c r="CS709" s="683"/>
      <c r="CT709" s="683"/>
      <c r="CU709" s="683"/>
      <c r="CV709" s="683"/>
      <c r="CW709" s="683"/>
      <c r="CX709" s="683"/>
      <c r="CY709" s="683"/>
      <c r="CZ709" s="683"/>
      <c r="DA709" s="683"/>
      <c r="DB709" s="683"/>
      <c r="DC709" s="683"/>
      <c r="DD709" s="683"/>
      <c r="DE709" s="683"/>
      <c r="DF709" s="683"/>
      <c r="DG709" s="683"/>
      <c r="DH709" s="684"/>
    </row>
    <row r="710" spans="1:112" s="649" customFormat="1" outlineLevel="1" x14ac:dyDescent="0.3">
      <c r="A710" s="652" t="str">
        <f t="shared" ref="A710:A711" si="257">IF(J710="","",IF(J710=0,"","Imprimir"))</f>
        <v>Imprimir</v>
      </c>
      <c r="B710" s="652"/>
      <c r="C710" s="685"/>
      <c r="D710" s="686" t="s">
        <v>2708</v>
      </c>
      <c r="E710" s="686" t="s">
        <v>513</v>
      </c>
      <c r="F710" s="720"/>
      <c r="G710" s="688">
        <f>SUM(J486,J498,J540,J593,J646,J659,J682,J699)</f>
        <v>1221037.654727218</v>
      </c>
      <c r="H710" s="846">
        <v>0.03</v>
      </c>
      <c r="I710" s="851">
        <f>IF(E710&gt;0,$J$5,"")</f>
        <v>1</v>
      </c>
      <c r="J710" s="517">
        <f>G710*H710*I710</f>
        <v>36631.129641816537</v>
      </c>
      <c r="K710" s="667"/>
      <c r="L710" s="858">
        <v>0.7</v>
      </c>
      <c r="M710" s="859"/>
      <c r="N710" s="859"/>
      <c r="O710" s="859"/>
      <c r="P710" s="859"/>
      <c r="Q710" s="859"/>
      <c r="R710" s="859"/>
      <c r="S710" s="859"/>
      <c r="T710" s="859"/>
      <c r="U710" s="859"/>
      <c r="V710" s="859"/>
      <c r="W710" s="859"/>
      <c r="X710" s="859"/>
      <c r="Y710" s="859"/>
      <c r="Z710" s="860">
        <v>0.3</v>
      </c>
      <c r="AA710" s="860"/>
      <c r="AB710" s="860"/>
      <c r="AC710" s="860"/>
      <c r="AD710" s="860"/>
      <c r="AE710" s="860"/>
      <c r="AF710" s="860"/>
      <c r="AG710" s="860"/>
      <c r="AH710" s="860"/>
      <c r="AI710" s="860"/>
      <c r="AJ710" s="860"/>
      <c r="AK710" s="860"/>
      <c r="AL710" s="860"/>
      <c r="AM710" s="860"/>
      <c r="AN710" s="860"/>
      <c r="AO710" s="860"/>
      <c r="AP710" s="860"/>
      <c r="AQ710" s="860"/>
      <c r="AR710" s="860"/>
      <c r="AS710" s="860"/>
      <c r="AT710" s="860"/>
      <c r="AU710" s="860"/>
      <c r="AV710" s="860"/>
      <c r="AW710" s="860"/>
      <c r="AX710" s="860"/>
      <c r="AY710" s="860"/>
      <c r="AZ710" s="860"/>
      <c r="BA710" s="860"/>
      <c r="BB710" s="860"/>
      <c r="BC710" s="860"/>
      <c r="BD710" s="860"/>
      <c r="BE710" s="860"/>
      <c r="BF710" s="860"/>
      <c r="BG710" s="860"/>
      <c r="BH710" s="668"/>
      <c r="BI710" s="667"/>
      <c r="BJ710" s="690">
        <f>IFERROR(BK710/J710,0)</f>
        <v>0</v>
      </c>
      <c r="BK710" s="691">
        <f>SUM(BM710:DH710)</f>
        <v>0</v>
      </c>
      <c r="BL710" s="654"/>
      <c r="BM710" s="692">
        <f>SUMIFS(Imput[[Importe Neto]:[Importe Neto]],Imput[[C. Imp.]:[C. Imp.]],$D710,Imput[[PERIODO Imp.]:[PERIODO Imp.]],BM$9)</f>
        <v>0</v>
      </c>
      <c r="BN710" s="693">
        <f>SUMIFS(Imput[[Importe Neto]:[Importe Neto]],Imput[[C. Imp.]:[C. Imp.]],$D710,Imput[[PERIODO Imp.]:[PERIODO Imp.]],BN$9)</f>
        <v>0</v>
      </c>
      <c r="BO710" s="693">
        <f>SUMIFS(Imput[[Importe Neto]:[Importe Neto]],Imput[[C. Imp.]:[C. Imp.]],$D710,Imput[[PERIODO Imp.]:[PERIODO Imp.]],BO$9)</f>
        <v>0</v>
      </c>
      <c r="BP710" s="693">
        <f>SUMIFS(Imput[[Importe Neto]:[Importe Neto]],Imput[[C. Imp.]:[C. Imp.]],$D710,Imput[[PERIODO Imp.]:[PERIODO Imp.]],BP$9)</f>
        <v>0</v>
      </c>
      <c r="BQ710" s="693">
        <f>SUMIFS(Imput[[Importe Neto]:[Importe Neto]],Imput[[C. Imp.]:[C. Imp.]],$D710,Imput[[PERIODO Imp.]:[PERIODO Imp.]],BQ$9)</f>
        <v>0</v>
      </c>
      <c r="BR710" s="693">
        <f>SUMIFS(Imput[[Importe Neto]:[Importe Neto]],Imput[[C. Imp.]:[C. Imp.]],$D710,Imput[[PERIODO Imp.]:[PERIODO Imp.]],BR$9)</f>
        <v>0</v>
      </c>
      <c r="BS710" s="693">
        <f>SUMIFS(Imput[[Importe Neto]:[Importe Neto]],Imput[[C. Imp.]:[C. Imp.]],$D710,Imput[[PERIODO Imp.]:[PERIODO Imp.]],BS$9)</f>
        <v>0</v>
      </c>
      <c r="BT710" s="693">
        <f>SUMIFS(Imput[[Importe Neto]:[Importe Neto]],Imput[[C. Imp.]:[C. Imp.]],$D710,Imput[[PERIODO Imp.]:[PERIODO Imp.]],BT$9)</f>
        <v>0</v>
      </c>
      <c r="BU710" s="693">
        <f>SUMIFS(Imput[[Importe Neto]:[Importe Neto]],Imput[[C. Imp.]:[C. Imp.]],$D710,Imput[[PERIODO Imp.]:[PERIODO Imp.]],BU$9)</f>
        <v>0</v>
      </c>
      <c r="BV710" s="693">
        <f>SUMIFS(Imput[[Importe Neto]:[Importe Neto]],Imput[[C. Imp.]:[C. Imp.]],$D710,Imput[[PERIODO Imp.]:[PERIODO Imp.]],BV$9)</f>
        <v>0</v>
      </c>
      <c r="BW710" s="693">
        <f>SUMIFS(Imput[[Importe Neto]:[Importe Neto]],Imput[[C. Imp.]:[C. Imp.]],$D710,Imput[[PERIODO Imp.]:[PERIODO Imp.]],BW$9)</f>
        <v>0</v>
      </c>
      <c r="BX710" s="693">
        <f>SUMIFS(Imput[[Importe Neto]:[Importe Neto]],Imput[[C. Imp.]:[C. Imp.]],$D710,Imput[[PERIODO Imp.]:[PERIODO Imp.]],BX$9)</f>
        <v>0</v>
      </c>
      <c r="BY710" s="693">
        <f>SUMIFS(Imput[[Importe Neto]:[Importe Neto]],Imput[[C. Imp.]:[C. Imp.]],$D710,Imput[[PERIODO Imp.]:[PERIODO Imp.]],BY$9)</f>
        <v>0</v>
      </c>
      <c r="BZ710" s="693">
        <f>SUMIFS(Imput[[Importe Neto]:[Importe Neto]],Imput[[C. Imp.]:[C. Imp.]],$D710,Imput[[PERIODO Imp.]:[PERIODO Imp.]],BZ$9)</f>
        <v>0</v>
      </c>
      <c r="CA710" s="693">
        <f>SUMIFS(Imput[[Importe Neto]:[Importe Neto]],Imput[[C. Imp.]:[C. Imp.]],$D710,Imput[[PERIODO Imp.]:[PERIODO Imp.]],CA$9)</f>
        <v>0</v>
      </c>
      <c r="CB710" s="693">
        <f>SUMIFS(Imput[[Importe Neto]:[Importe Neto]],Imput[[C. Imp.]:[C. Imp.]],$D710,Imput[[PERIODO Imp.]:[PERIODO Imp.]],CB$9)</f>
        <v>0</v>
      </c>
      <c r="CC710" s="693">
        <f>SUMIFS(Imput[[Importe Neto]:[Importe Neto]],Imput[[C. Imp.]:[C. Imp.]],$D710,Imput[[PERIODO Imp.]:[PERIODO Imp.]],CC$9)</f>
        <v>0</v>
      </c>
      <c r="CD710" s="693">
        <f>SUMIFS(Imput[[Importe Neto]:[Importe Neto]],Imput[[C. Imp.]:[C. Imp.]],$D710,Imput[[PERIODO Imp.]:[PERIODO Imp.]],CD$9)</f>
        <v>0</v>
      </c>
      <c r="CE710" s="693">
        <f>SUMIFS(Imput[[Importe Neto]:[Importe Neto]],Imput[[C. Imp.]:[C. Imp.]],$D710,Imput[[PERIODO Imp.]:[PERIODO Imp.]],CE$9)</f>
        <v>0</v>
      </c>
      <c r="CF710" s="693">
        <f>SUMIFS(Imput[[Importe Neto]:[Importe Neto]],Imput[[C. Imp.]:[C. Imp.]],$D710,Imput[[PERIODO Imp.]:[PERIODO Imp.]],CF$9)</f>
        <v>0</v>
      </c>
      <c r="CG710" s="693">
        <f>SUMIFS(Imput[[Importe Neto]:[Importe Neto]],Imput[[C. Imp.]:[C. Imp.]],$D710,Imput[[PERIODO Imp.]:[PERIODO Imp.]],CG$9)</f>
        <v>0</v>
      </c>
      <c r="CH710" s="693">
        <f>SUMIFS(Imput[[Importe Neto]:[Importe Neto]],Imput[[C. Imp.]:[C. Imp.]],$D710,Imput[[PERIODO Imp.]:[PERIODO Imp.]],CH$9)</f>
        <v>0</v>
      </c>
      <c r="CI710" s="693">
        <f>SUMIFS(Imput[[Importe Neto]:[Importe Neto]],Imput[[C. Imp.]:[C. Imp.]],$D710,Imput[[PERIODO Imp.]:[PERIODO Imp.]],CI$9)</f>
        <v>0</v>
      </c>
      <c r="CJ710" s="693">
        <f>SUMIFS(Imput[[Importe Neto]:[Importe Neto]],Imput[[C. Imp.]:[C. Imp.]],$D710,Imput[[PERIODO Imp.]:[PERIODO Imp.]],CJ$9)</f>
        <v>0</v>
      </c>
      <c r="CK710" s="693">
        <f>SUMIFS(Imput[[Importe Neto]:[Importe Neto]],Imput[[C. Imp.]:[C. Imp.]],$D710,Imput[[PERIODO Imp.]:[PERIODO Imp.]],CK$9)</f>
        <v>0</v>
      </c>
      <c r="CL710" s="693">
        <f>SUMIFS(Imput[[Importe Neto]:[Importe Neto]],Imput[[C. Imp.]:[C. Imp.]],$D710,Imput[[PERIODO Imp.]:[PERIODO Imp.]],CL$9)</f>
        <v>0</v>
      </c>
      <c r="CM710" s="693">
        <f>SUMIFS(Imput[[Importe Neto]:[Importe Neto]],Imput[[C. Imp.]:[C. Imp.]],$D710,Imput[[PERIODO Imp.]:[PERIODO Imp.]],CM$9)</f>
        <v>0</v>
      </c>
      <c r="CN710" s="693">
        <f>SUMIFS(Imput[[Importe Neto]:[Importe Neto]],Imput[[C. Imp.]:[C. Imp.]],$D710,Imput[[PERIODO Imp.]:[PERIODO Imp.]],CN$9)</f>
        <v>0</v>
      </c>
      <c r="CO710" s="693">
        <f>SUMIFS(Imput[[Importe Neto]:[Importe Neto]],Imput[[C. Imp.]:[C. Imp.]],$D710,Imput[[PERIODO Imp.]:[PERIODO Imp.]],CO$9)</f>
        <v>0</v>
      </c>
      <c r="CP710" s="693">
        <f>SUMIFS(Imput[[Importe Neto]:[Importe Neto]],Imput[[C. Imp.]:[C. Imp.]],$D710,Imput[[PERIODO Imp.]:[PERIODO Imp.]],CP$9)</f>
        <v>0</v>
      </c>
      <c r="CQ710" s="693">
        <f>SUMIFS(Imput[[Importe Neto]:[Importe Neto]],Imput[[C. Imp.]:[C. Imp.]],$D710,Imput[[PERIODO Imp.]:[PERIODO Imp.]],CQ$9)</f>
        <v>0</v>
      </c>
      <c r="CR710" s="693">
        <f>SUMIFS(Imput[[Importe Neto]:[Importe Neto]],Imput[[C. Imp.]:[C. Imp.]],$D710,Imput[[PERIODO Imp.]:[PERIODO Imp.]],CR$9)</f>
        <v>0</v>
      </c>
      <c r="CS710" s="693">
        <f>SUMIFS(Imput[[Importe Neto]:[Importe Neto]],Imput[[C. Imp.]:[C. Imp.]],$D710,Imput[[PERIODO Imp.]:[PERIODO Imp.]],CS$9)</f>
        <v>0</v>
      </c>
      <c r="CT710" s="693">
        <f>SUMIFS(Imput[[Importe Neto]:[Importe Neto]],Imput[[C. Imp.]:[C. Imp.]],$D710,Imput[[PERIODO Imp.]:[PERIODO Imp.]],CT$9)</f>
        <v>0</v>
      </c>
      <c r="CU710" s="693">
        <f>SUMIFS(Imput[[Importe Neto]:[Importe Neto]],Imput[[C. Imp.]:[C. Imp.]],$D710,Imput[[PERIODO Imp.]:[PERIODO Imp.]],CU$9)</f>
        <v>0</v>
      </c>
      <c r="CV710" s="693">
        <f>SUMIFS(Imput[[Importe Neto]:[Importe Neto]],Imput[[C. Imp.]:[C. Imp.]],$D710,Imput[[PERIODO Imp.]:[PERIODO Imp.]],CV$9)</f>
        <v>0</v>
      </c>
      <c r="CW710" s="693">
        <f>SUMIFS(Imput[[Importe Neto]:[Importe Neto]],Imput[[C. Imp.]:[C. Imp.]],$D710,Imput[[PERIODO Imp.]:[PERIODO Imp.]],CW$9)</f>
        <v>0</v>
      </c>
      <c r="CX710" s="693">
        <f>SUMIFS(Imput[[Importe Neto]:[Importe Neto]],Imput[[C. Imp.]:[C. Imp.]],$D710,Imput[[PERIODO Imp.]:[PERIODO Imp.]],CX$9)</f>
        <v>0</v>
      </c>
      <c r="CY710" s="693">
        <f>SUMIFS(Imput[[Importe Neto]:[Importe Neto]],Imput[[C. Imp.]:[C. Imp.]],$D710,Imput[[PERIODO Imp.]:[PERIODO Imp.]],CY$9)</f>
        <v>0</v>
      </c>
      <c r="CZ710" s="693">
        <f>SUMIFS(Imput[[Importe Neto]:[Importe Neto]],Imput[[C. Imp.]:[C. Imp.]],$D710,Imput[[PERIODO Imp.]:[PERIODO Imp.]],CZ$9)</f>
        <v>0</v>
      </c>
      <c r="DA710" s="693">
        <f>SUMIFS(Imput[[Importe Neto]:[Importe Neto]],Imput[[C. Imp.]:[C. Imp.]],$D710,Imput[[PERIODO Imp.]:[PERIODO Imp.]],DA$9)</f>
        <v>0</v>
      </c>
      <c r="DB710" s="693">
        <f>SUMIFS(Imput[[Importe Neto]:[Importe Neto]],Imput[[C. Imp.]:[C. Imp.]],$D710,Imput[[PERIODO Imp.]:[PERIODO Imp.]],DB$9)</f>
        <v>0</v>
      </c>
      <c r="DC710" s="693">
        <f>SUMIFS(Imput[[Importe Neto]:[Importe Neto]],Imput[[C. Imp.]:[C. Imp.]],$D710,Imput[[PERIODO Imp.]:[PERIODO Imp.]],DC$9)</f>
        <v>0</v>
      </c>
      <c r="DD710" s="693">
        <f>SUMIFS(Imput[[Importe Neto]:[Importe Neto]],Imput[[C. Imp.]:[C. Imp.]],$D710,Imput[[PERIODO Imp.]:[PERIODO Imp.]],DD$9)</f>
        <v>0</v>
      </c>
      <c r="DE710" s="693">
        <f>SUMIFS(Imput[[Importe Neto]:[Importe Neto]],Imput[[C. Imp.]:[C. Imp.]],$D710,Imput[[PERIODO Imp.]:[PERIODO Imp.]],DE$9)</f>
        <v>0</v>
      </c>
      <c r="DF710" s="693">
        <f>SUMIFS(Imput[[Importe Neto]:[Importe Neto]],Imput[[C. Imp.]:[C. Imp.]],$D710,Imput[[PERIODO Imp.]:[PERIODO Imp.]],DF$9)</f>
        <v>0</v>
      </c>
      <c r="DG710" s="693">
        <f>SUMIFS(Imput[[Importe Neto]:[Importe Neto]],Imput[[C. Imp.]:[C. Imp.]],$D710,Imput[[PERIODO Imp.]:[PERIODO Imp.]],DG$9)</f>
        <v>0</v>
      </c>
      <c r="DH710" s="694">
        <f>SUMIFS(Imput[[Importe Neto]:[Importe Neto]],Imput[[C. Imp.]:[C. Imp.]],$D710,Imput[[PERIODO Imp.]:[PERIODO Imp.]],DH$9)</f>
        <v>0</v>
      </c>
    </row>
    <row r="711" spans="1:112" s="649" customFormat="1" outlineLevel="1" x14ac:dyDescent="0.3">
      <c r="A711" s="652" t="str">
        <f t="shared" si="257"/>
        <v>Imprimir</v>
      </c>
      <c r="B711" s="652"/>
      <c r="C711" s="685"/>
      <c r="D711" s="686" t="s">
        <v>2709</v>
      </c>
      <c r="E711" s="686" t="s">
        <v>514</v>
      </c>
      <c r="F711" s="720"/>
      <c r="G711" s="529">
        <f>SUM(J486,J498,J540,J593,J646,J659,J682,J699)</f>
        <v>1221037.654727218</v>
      </c>
      <c r="H711" s="846">
        <v>0.03</v>
      </c>
      <c r="I711" s="851">
        <f>IF(E711&gt;0,$J$5,"")</f>
        <v>1</v>
      </c>
      <c r="J711" s="517">
        <f>G711*H711*I711</f>
        <v>36631.129641816537</v>
      </c>
      <c r="K711" s="667"/>
      <c r="L711" s="858">
        <v>0.7</v>
      </c>
      <c r="M711" s="859"/>
      <c r="N711" s="859"/>
      <c r="O711" s="859"/>
      <c r="P711" s="859"/>
      <c r="Q711" s="859"/>
      <c r="R711" s="859"/>
      <c r="S711" s="859"/>
      <c r="T711" s="859"/>
      <c r="U711" s="859"/>
      <c r="V711" s="859"/>
      <c r="W711" s="859"/>
      <c r="X711" s="859"/>
      <c r="Y711" s="859"/>
      <c r="Z711" s="860">
        <v>0.3</v>
      </c>
      <c r="AA711" s="860"/>
      <c r="AB711" s="860"/>
      <c r="AC711" s="860"/>
      <c r="AD711" s="860"/>
      <c r="AE711" s="860"/>
      <c r="AF711" s="860"/>
      <c r="AG711" s="860"/>
      <c r="AH711" s="860"/>
      <c r="AI711" s="860"/>
      <c r="AJ711" s="860"/>
      <c r="AK711" s="860"/>
      <c r="AL711" s="860"/>
      <c r="AM711" s="860"/>
      <c r="AN711" s="860"/>
      <c r="AO711" s="860"/>
      <c r="AP711" s="860"/>
      <c r="AQ711" s="860"/>
      <c r="AR711" s="860"/>
      <c r="AS711" s="860"/>
      <c r="AT711" s="860"/>
      <c r="AU711" s="860"/>
      <c r="AV711" s="860"/>
      <c r="AW711" s="860"/>
      <c r="AX711" s="860"/>
      <c r="AY711" s="860"/>
      <c r="AZ711" s="860"/>
      <c r="BA711" s="860"/>
      <c r="BB711" s="860"/>
      <c r="BC711" s="860"/>
      <c r="BD711" s="860"/>
      <c r="BE711" s="860"/>
      <c r="BF711" s="860"/>
      <c r="BG711" s="860"/>
      <c r="BH711" s="668"/>
      <c r="BI711" s="654"/>
      <c r="BJ711" s="690">
        <f>IFERROR(BK711/J711,0)</f>
        <v>0.46973436565978388</v>
      </c>
      <c r="BK711" s="691">
        <f>SUM(BM711:DH711)</f>
        <v>17206.900445699997</v>
      </c>
      <c r="BL711" s="654"/>
      <c r="BM711" s="692">
        <f>SUMIFS(Imput[[Importe Neto]:[Importe Neto]],Imput[[C. Imp.]:[C. Imp.]],$D711,Imput[[PERIODO Imp.]:[PERIODO Imp.]],BM$9)</f>
        <v>0</v>
      </c>
      <c r="BN711" s="693">
        <f>SUMIFS(Imput[[Importe Neto]:[Importe Neto]],Imput[[C. Imp.]:[C. Imp.]],$D711,Imput[[PERIODO Imp.]:[PERIODO Imp.]],BN$9)</f>
        <v>0</v>
      </c>
      <c r="BO711" s="693">
        <f>SUMIFS(Imput[[Importe Neto]:[Importe Neto]],Imput[[C. Imp.]:[C. Imp.]],$D711,Imput[[PERIODO Imp.]:[PERIODO Imp.]],BO$9)</f>
        <v>1364.972</v>
      </c>
      <c r="BP711" s="693">
        <f>SUMIFS(Imput[[Importe Neto]:[Importe Neto]],Imput[[C. Imp.]:[C. Imp.]],$D711,Imput[[PERIODO Imp.]:[PERIODO Imp.]],BP$9)</f>
        <v>15841.928445699998</v>
      </c>
      <c r="BQ711" s="693">
        <f>SUMIFS(Imput[[Importe Neto]:[Importe Neto]],Imput[[C. Imp.]:[C. Imp.]],$D711,Imput[[PERIODO Imp.]:[PERIODO Imp.]],BQ$9)</f>
        <v>0</v>
      </c>
      <c r="BR711" s="693">
        <f>SUMIFS(Imput[[Importe Neto]:[Importe Neto]],Imput[[C. Imp.]:[C. Imp.]],$D711,Imput[[PERIODO Imp.]:[PERIODO Imp.]],BR$9)</f>
        <v>0</v>
      </c>
      <c r="BS711" s="693">
        <f>SUMIFS(Imput[[Importe Neto]:[Importe Neto]],Imput[[C. Imp.]:[C. Imp.]],$D711,Imput[[PERIODO Imp.]:[PERIODO Imp.]],BS$9)</f>
        <v>0</v>
      </c>
      <c r="BT711" s="693">
        <f>SUMIFS(Imput[[Importe Neto]:[Importe Neto]],Imput[[C. Imp.]:[C. Imp.]],$D711,Imput[[PERIODO Imp.]:[PERIODO Imp.]],BT$9)</f>
        <v>0</v>
      </c>
      <c r="BU711" s="693">
        <f>SUMIFS(Imput[[Importe Neto]:[Importe Neto]],Imput[[C. Imp.]:[C. Imp.]],$D711,Imput[[PERIODO Imp.]:[PERIODO Imp.]],BU$9)</f>
        <v>0</v>
      </c>
      <c r="BV711" s="693">
        <f>SUMIFS(Imput[[Importe Neto]:[Importe Neto]],Imput[[C. Imp.]:[C. Imp.]],$D711,Imput[[PERIODO Imp.]:[PERIODO Imp.]],BV$9)</f>
        <v>0</v>
      </c>
      <c r="BW711" s="693">
        <f>SUMIFS(Imput[[Importe Neto]:[Importe Neto]],Imput[[C. Imp.]:[C. Imp.]],$D711,Imput[[PERIODO Imp.]:[PERIODO Imp.]],BW$9)</f>
        <v>0</v>
      </c>
      <c r="BX711" s="693">
        <f>SUMIFS(Imput[[Importe Neto]:[Importe Neto]],Imput[[C. Imp.]:[C. Imp.]],$D711,Imput[[PERIODO Imp.]:[PERIODO Imp.]],BX$9)</f>
        <v>0</v>
      </c>
      <c r="BY711" s="693">
        <f>SUMIFS(Imput[[Importe Neto]:[Importe Neto]],Imput[[C. Imp.]:[C. Imp.]],$D711,Imput[[PERIODO Imp.]:[PERIODO Imp.]],BY$9)</f>
        <v>0</v>
      </c>
      <c r="BZ711" s="693">
        <f>SUMIFS(Imput[[Importe Neto]:[Importe Neto]],Imput[[C. Imp.]:[C. Imp.]],$D711,Imput[[PERIODO Imp.]:[PERIODO Imp.]],BZ$9)</f>
        <v>0</v>
      </c>
      <c r="CA711" s="693">
        <f>SUMIFS(Imput[[Importe Neto]:[Importe Neto]],Imput[[C. Imp.]:[C. Imp.]],$D711,Imput[[PERIODO Imp.]:[PERIODO Imp.]],CA$9)</f>
        <v>0</v>
      </c>
      <c r="CB711" s="693">
        <f>SUMIFS(Imput[[Importe Neto]:[Importe Neto]],Imput[[C. Imp.]:[C. Imp.]],$D711,Imput[[PERIODO Imp.]:[PERIODO Imp.]],CB$9)</f>
        <v>0</v>
      </c>
      <c r="CC711" s="693">
        <f>SUMIFS(Imput[[Importe Neto]:[Importe Neto]],Imput[[C. Imp.]:[C. Imp.]],$D711,Imput[[PERIODO Imp.]:[PERIODO Imp.]],CC$9)</f>
        <v>0</v>
      </c>
      <c r="CD711" s="693">
        <f>SUMIFS(Imput[[Importe Neto]:[Importe Neto]],Imput[[C. Imp.]:[C. Imp.]],$D711,Imput[[PERIODO Imp.]:[PERIODO Imp.]],CD$9)</f>
        <v>0</v>
      </c>
      <c r="CE711" s="693">
        <f>SUMIFS(Imput[[Importe Neto]:[Importe Neto]],Imput[[C. Imp.]:[C. Imp.]],$D711,Imput[[PERIODO Imp.]:[PERIODO Imp.]],CE$9)</f>
        <v>0</v>
      </c>
      <c r="CF711" s="693">
        <f>SUMIFS(Imput[[Importe Neto]:[Importe Neto]],Imput[[C. Imp.]:[C. Imp.]],$D711,Imput[[PERIODO Imp.]:[PERIODO Imp.]],CF$9)</f>
        <v>0</v>
      </c>
      <c r="CG711" s="693">
        <f>SUMIFS(Imput[[Importe Neto]:[Importe Neto]],Imput[[C. Imp.]:[C. Imp.]],$D711,Imput[[PERIODO Imp.]:[PERIODO Imp.]],CG$9)</f>
        <v>0</v>
      </c>
      <c r="CH711" s="693">
        <f>SUMIFS(Imput[[Importe Neto]:[Importe Neto]],Imput[[C. Imp.]:[C. Imp.]],$D711,Imput[[PERIODO Imp.]:[PERIODO Imp.]],CH$9)</f>
        <v>0</v>
      </c>
      <c r="CI711" s="693">
        <f>SUMIFS(Imput[[Importe Neto]:[Importe Neto]],Imput[[C. Imp.]:[C. Imp.]],$D711,Imput[[PERIODO Imp.]:[PERIODO Imp.]],CI$9)</f>
        <v>0</v>
      </c>
      <c r="CJ711" s="693">
        <f>SUMIFS(Imput[[Importe Neto]:[Importe Neto]],Imput[[C. Imp.]:[C. Imp.]],$D711,Imput[[PERIODO Imp.]:[PERIODO Imp.]],CJ$9)</f>
        <v>0</v>
      </c>
      <c r="CK711" s="693">
        <f>SUMIFS(Imput[[Importe Neto]:[Importe Neto]],Imput[[C. Imp.]:[C. Imp.]],$D711,Imput[[PERIODO Imp.]:[PERIODO Imp.]],CK$9)</f>
        <v>0</v>
      </c>
      <c r="CL711" s="693">
        <f>SUMIFS(Imput[[Importe Neto]:[Importe Neto]],Imput[[C. Imp.]:[C. Imp.]],$D711,Imput[[PERIODO Imp.]:[PERIODO Imp.]],CL$9)</f>
        <v>0</v>
      </c>
      <c r="CM711" s="693">
        <f>SUMIFS(Imput[[Importe Neto]:[Importe Neto]],Imput[[C. Imp.]:[C. Imp.]],$D711,Imput[[PERIODO Imp.]:[PERIODO Imp.]],CM$9)</f>
        <v>0</v>
      </c>
      <c r="CN711" s="693">
        <f>SUMIFS(Imput[[Importe Neto]:[Importe Neto]],Imput[[C. Imp.]:[C. Imp.]],$D711,Imput[[PERIODO Imp.]:[PERIODO Imp.]],CN$9)</f>
        <v>0</v>
      </c>
      <c r="CO711" s="693">
        <f>SUMIFS(Imput[[Importe Neto]:[Importe Neto]],Imput[[C. Imp.]:[C. Imp.]],$D711,Imput[[PERIODO Imp.]:[PERIODO Imp.]],CO$9)</f>
        <v>0</v>
      </c>
      <c r="CP711" s="693">
        <f>SUMIFS(Imput[[Importe Neto]:[Importe Neto]],Imput[[C. Imp.]:[C. Imp.]],$D711,Imput[[PERIODO Imp.]:[PERIODO Imp.]],CP$9)</f>
        <v>0</v>
      </c>
      <c r="CQ711" s="693">
        <f>SUMIFS(Imput[[Importe Neto]:[Importe Neto]],Imput[[C. Imp.]:[C. Imp.]],$D711,Imput[[PERIODO Imp.]:[PERIODO Imp.]],CQ$9)</f>
        <v>0</v>
      </c>
      <c r="CR711" s="693">
        <f>SUMIFS(Imput[[Importe Neto]:[Importe Neto]],Imput[[C. Imp.]:[C. Imp.]],$D711,Imput[[PERIODO Imp.]:[PERIODO Imp.]],CR$9)</f>
        <v>0</v>
      </c>
      <c r="CS711" s="693">
        <f>SUMIFS(Imput[[Importe Neto]:[Importe Neto]],Imput[[C. Imp.]:[C. Imp.]],$D711,Imput[[PERIODO Imp.]:[PERIODO Imp.]],CS$9)</f>
        <v>0</v>
      </c>
      <c r="CT711" s="693">
        <f>SUMIFS(Imput[[Importe Neto]:[Importe Neto]],Imput[[C. Imp.]:[C. Imp.]],$D711,Imput[[PERIODO Imp.]:[PERIODO Imp.]],CT$9)</f>
        <v>0</v>
      </c>
      <c r="CU711" s="693">
        <f>SUMIFS(Imput[[Importe Neto]:[Importe Neto]],Imput[[C. Imp.]:[C. Imp.]],$D711,Imput[[PERIODO Imp.]:[PERIODO Imp.]],CU$9)</f>
        <v>0</v>
      </c>
      <c r="CV711" s="693">
        <f>SUMIFS(Imput[[Importe Neto]:[Importe Neto]],Imput[[C. Imp.]:[C. Imp.]],$D711,Imput[[PERIODO Imp.]:[PERIODO Imp.]],CV$9)</f>
        <v>0</v>
      </c>
      <c r="CW711" s="693">
        <f>SUMIFS(Imput[[Importe Neto]:[Importe Neto]],Imput[[C. Imp.]:[C. Imp.]],$D711,Imput[[PERIODO Imp.]:[PERIODO Imp.]],CW$9)</f>
        <v>0</v>
      </c>
      <c r="CX711" s="693">
        <f>SUMIFS(Imput[[Importe Neto]:[Importe Neto]],Imput[[C. Imp.]:[C. Imp.]],$D711,Imput[[PERIODO Imp.]:[PERIODO Imp.]],CX$9)</f>
        <v>0</v>
      </c>
      <c r="CY711" s="693">
        <f>SUMIFS(Imput[[Importe Neto]:[Importe Neto]],Imput[[C. Imp.]:[C. Imp.]],$D711,Imput[[PERIODO Imp.]:[PERIODO Imp.]],CY$9)</f>
        <v>0</v>
      </c>
      <c r="CZ711" s="693">
        <f>SUMIFS(Imput[[Importe Neto]:[Importe Neto]],Imput[[C. Imp.]:[C. Imp.]],$D711,Imput[[PERIODO Imp.]:[PERIODO Imp.]],CZ$9)</f>
        <v>0</v>
      </c>
      <c r="DA711" s="693">
        <f>SUMIFS(Imput[[Importe Neto]:[Importe Neto]],Imput[[C. Imp.]:[C. Imp.]],$D711,Imput[[PERIODO Imp.]:[PERIODO Imp.]],DA$9)</f>
        <v>0</v>
      </c>
      <c r="DB711" s="693">
        <f>SUMIFS(Imput[[Importe Neto]:[Importe Neto]],Imput[[C. Imp.]:[C. Imp.]],$D711,Imput[[PERIODO Imp.]:[PERIODO Imp.]],DB$9)</f>
        <v>0</v>
      </c>
      <c r="DC711" s="693">
        <f>SUMIFS(Imput[[Importe Neto]:[Importe Neto]],Imput[[C. Imp.]:[C. Imp.]],$D711,Imput[[PERIODO Imp.]:[PERIODO Imp.]],DC$9)</f>
        <v>0</v>
      </c>
      <c r="DD711" s="693">
        <f>SUMIFS(Imput[[Importe Neto]:[Importe Neto]],Imput[[C. Imp.]:[C. Imp.]],$D711,Imput[[PERIODO Imp.]:[PERIODO Imp.]],DD$9)</f>
        <v>0</v>
      </c>
      <c r="DE711" s="693">
        <f>SUMIFS(Imput[[Importe Neto]:[Importe Neto]],Imput[[C. Imp.]:[C. Imp.]],$D711,Imput[[PERIODO Imp.]:[PERIODO Imp.]],DE$9)</f>
        <v>0</v>
      </c>
      <c r="DF711" s="693">
        <f>SUMIFS(Imput[[Importe Neto]:[Importe Neto]],Imput[[C. Imp.]:[C. Imp.]],$D711,Imput[[PERIODO Imp.]:[PERIODO Imp.]],DF$9)</f>
        <v>0</v>
      </c>
      <c r="DG711" s="693">
        <f>SUMIFS(Imput[[Importe Neto]:[Importe Neto]],Imput[[C. Imp.]:[C. Imp.]],$D711,Imput[[PERIODO Imp.]:[PERIODO Imp.]],DG$9)</f>
        <v>0</v>
      </c>
      <c r="DH711" s="694">
        <f>SUMIFS(Imput[[Importe Neto]:[Importe Neto]],Imput[[C. Imp.]:[C. Imp.]],$D711,Imput[[PERIODO Imp.]:[PERIODO Imp.]],DH$9)</f>
        <v>0</v>
      </c>
    </row>
    <row r="712" spans="1:112" s="649" customFormat="1" ht="14.4" outlineLevel="1" thickBot="1" x14ac:dyDescent="0.35">
      <c r="A712" s="652" t="str">
        <f>IF(J707&gt;0,"Imprimir","")</f>
        <v>Imprimir</v>
      </c>
      <c r="B712" s="652"/>
      <c r="C712" s="699"/>
      <c r="D712" s="700"/>
      <c r="E712" s="700"/>
      <c r="F712" s="701"/>
      <c r="G712" s="702"/>
      <c r="H712" s="703"/>
      <c r="I712" s="704"/>
      <c r="J712" s="120"/>
      <c r="K712" s="667"/>
      <c r="L712" s="706"/>
      <c r="M712" s="707"/>
      <c r="N712" s="777"/>
      <c r="O712" s="777"/>
      <c r="P712" s="778"/>
      <c r="Q712" s="778"/>
      <c r="R712" s="708"/>
      <c r="S712" s="708"/>
      <c r="T712" s="779"/>
      <c r="U712" s="779"/>
      <c r="V712" s="778"/>
      <c r="W712" s="778"/>
      <c r="X712" s="708"/>
      <c r="Y712" s="708"/>
      <c r="Z712" s="708"/>
      <c r="AA712" s="708"/>
      <c r="AB712" s="708"/>
      <c r="AC712" s="708"/>
      <c r="AD712" s="708"/>
      <c r="AE712" s="708"/>
      <c r="AF712" s="708"/>
      <c r="AG712" s="708"/>
      <c r="AH712" s="708"/>
      <c r="AI712" s="708"/>
      <c r="AJ712" s="708"/>
      <c r="AK712" s="708"/>
      <c r="AL712" s="708"/>
      <c r="AM712" s="708"/>
      <c r="AN712" s="708"/>
      <c r="AO712" s="708"/>
      <c r="AP712" s="708"/>
      <c r="AQ712" s="708"/>
      <c r="AR712" s="708"/>
      <c r="AS712" s="708"/>
      <c r="AT712" s="708"/>
      <c r="AU712" s="708"/>
      <c r="AV712" s="708"/>
      <c r="AW712" s="708"/>
      <c r="AX712" s="708"/>
      <c r="AY712" s="708"/>
      <c r="AZ712" s="708"/>
      <c r="BA712" s="708"/>
      <c r="BB712" s="708"/>
      <c r="BC712" s="708"/>
      <c r="BD712" s="708"/>
      <c r="BE712" s="708"/>
      <c r="BF712" s="708"/>
      <c r="BG712" s="708"/>
      <c r="BH712" s="780"/>
      <c r="BI712" s="654"/>
      <c r="BJ712" s="709"/>
      <c r="BK712" s="710"/>
      <c r="BL712" s="654"/>
      <c r="BM712" s="731"/>
      <c r="BN712" s="701"/>
      <c r="BO712" s="701"/>
      <c r="BP712" s="701"/>
      <c r="BQ712" s="701"/>
      <c r="BR712" s="701"/>
      <c r="BS712" s="701"/>
      <c r="BT712" s="701"/>
      <c r="BU712" s="701"/>
      <c r="BV712" s="701"/>
      <c r="BW712" s="701"/>
      <c r="BX712" s="701"/>
      <c r="BY712" s="701"/>
      <c r="BZ712" s="701"/>
      <c r="CA712" s="701"/>
      <c r="CB712" s="701"/>
      <c r="CC712" s="701"/>
      <c r="CD712" s="701"/>
      <c r="CE712" s="701"/>
      <c r="CF712" s="701"/>
      <c r="CG712" s="701"/>
      <c r="CH712" s="701"/>
      <c r="CI712" s="701"/>
      <c r="CJ712" s="701"/>
      <c r="CK712" s="701"/>
      <c r="CL712" s="701"/>
      <c r="CM712" s="701"/>
      <c r="CN712" s="701"/>
      <c r="CO712" s="701"/>
      <c r="CP712" s="701"/>
      <c r="CQ712" s="701"/>
      <c r="CR712" s="701"/>
      <c r="CS712" s="701"/>
      <c r="CT712" s="701"/>
      <c r="CU712" s="701"/>
      <c r="CV712" s="701"/>
      <c r="CW712" s="701"/>
      <c r="CX712" s="701"/>
      <c r="CY712" s="701"/>
      <c r="CZ712" s="701"/>
      <c r="DA712" s="701"/>
      <c r="DB712" s="701"/>
      <c r="DC712" s="701"/>
      <c r="DD712" s="701"/>
      <c r="DE712" s="701"/>
      <c r="DF712" s="701"/>
      <c r="DG712" s="701"/>
      <c r="DH712" s="710"/>
    </row>
    <row r="713" spans="1:112" s="649" customFormat="1" hidden="1" x14ac:dyDescent="0.3">
      <c r="A713" s="652" t="str">
        <f>IF(J713&gt;0,"Imprimir","")</f>
        <v/>
      </c>
      <c r="B713" s="652"/>
      <c r="C713" s="711"/>
      <c r="D713" s="712" t="s">
        <v>457</v>
      </c>
      <c r="E713" s="712" t="s">
        <v>515</v>
      </c>
      <c r="F713" s="712"/>
      <c r="G713" s="713"/>
      <c r="H713" s="712"/>
      <c r="I713" s="714">
        <v>480000</v>
      </c>
      <c r="J713" s="715">
        <f>SUBTOTAL(9,J716:J719)</f>
        <v>0</v>
      </c>
      <c r="K713" s="658"/>
      <c r="L713" s="770">
        <f t="shared" ref="L713:BG713" si="258">SUMPRODUCT($J716:$J719,L716:L719)</f>
        <v>0</v>
      </c>
      <c r="M713" s="771">
        <f t="shared" si="258"/>
        <v>0</v>
      </c>
      <c r="N713" s="771">
        <f t="shared" si="258"/>
        <v>0</v>
      </c>
      <c r="O713" s="771">
        <f t="shared" si="258"/>
        <v>0</v>
      </c>
      <c r="P713" s="771">
        <f t="shared" si="258"/>
        <v>0</v>
      </c>
      <c r="Q713" s="771">
        <f t="shared" si="258"/>
        <v>0</v>
      </c>
      <c r="R713" s="771">
        <f t="shared" si="258"/>
        <v>0</v>
      </c>
      <c r="S713" s="771">
        <f t="shared" si="258"/>
        <v>0</v>
      </c>
      <c r="T713" s="771">
        <f t="shared" si="258"/>
        <v>0</v>
      </c>
      <c r="U713" s="771">
        <f t="shared" si="258"/>
        <v>0</v>
      </c>
      <c r="V713" s="771">
        <f t="shared" si="258"/>
        <v>0</v>
      </c>
      <c r="W713" s="771">
        <f t="shared" si="258"/>
        <v>0</v>
      </c>
      <c r="X713" s="771">
        <f t="shared" si="258"/>
        <v>0</v>
      </c>
      <c r="Y713" s="771">
        <f t="shared" si="258"/>
        <v>0</v>
      </c>
      <c r="Z713" s="771">
        <f t="shared" si="258"/>
        <v>0</v>
      </c>
      <c r="AA713" s="771">
        <f t="shared" si="258"/>
        <v>0</v>
      </c>
      <c r="AB713" s="771">
        <f t="shared" si="258"/>
        <v>0</v>
      </c>
      <c r="AC713" s="771">
        <f t="shared" si="258"/>
        <v>0</v>
      </c>
      <c r="AD713" s="771">
        <f t="shared" si="258"/>
        <v>0</v>
      </c>
      <c r="AE713" s="771">
        <f t="shared" si="258"/>
        <v>0</v>
      </c>
      <c r="AF713" s="771">
        <f t="shared" si="258"/>
        <v>0</v>
      </c>
      <c r="AG713" s="771">
        <f t="shared" si="258"/>
        <v>0</v>
      </c>
      <c r="AH713" s="771">
        <f t="shared" si="258"/>
        <v>0</v>
      </c>
      <c r="AI713" s="771">
        <f t="shared" si="258"/>
        <v>0</v>
      </c>
      <c r="AJ713" s="771">
        <f t="shared" si="258"/>
        <v>0</v>
      </c>
      <c r="AK713" s="771">
        <f t="shared" si="258"/>
        <v>0</v>
      </c>
      <c r="AL713" s="771">
        <f t="shared" si="258"/>
        <v>0</v>
      </c>
      <c r="AM713" s="771">
        <f t="shared" si="258"/>
        <v>0</v>
      </c>
      <c r="AN713" s="771">
        <f t="shared" si="258"/>
        <v>0</v>
      </c>
      <c r="AO713" s="771">
        <f t="shared" si="258"/>
        <v>0</v>
      </c>
      <c r="AP713" s="771">
        <f t="shared" si="258"/>
        <v>0</v>
      </c>
      <c r="AQ713" s="771">
        <f t="shared" si="258"/>
        <v>0</v>
      </c>
      <c r="AR713" s="771">
        <f t="shared" si="258"/>
        <v>0</v>
      </c>
      <c r="AS713" s="771">
        <f t="shared" si="258"/>
        <v>0</v>
      </c>
      <c r="AT713" s="771">
        <f t="shared" si="258"/>
        <v>0</v>
      </c>
      <c r="AU713" s="771">
        <f t="shared" si="258"/>
        <v>0</v>
      </c>
      <c r="AV713" s="771">
        <f t="shared" si="258"/>
        <v>0</v>
      </c>
      <c r="AW713" s="771">
        <f t="shared" si="258"/>
        <v>0</v>
      </c>
      <c r="AX713" s="771">
        <f t="shared" si="258"/>
        <v>0</v>
      </c>
      <c r="AY713" s="771">
        <f t="shared" si="258"/>
        <v>0</v>
      </c>
      <c r="AZ713" s="771">
        <f t="shared" si="258"/>
        <v>0</v>
      </c>
      <c r="BA713" s="771">
        <f t="shared" si="258"/>
        <v>0</v>
      </c>
      <c r="BB713" s="771">
        <f t="shared" si="258"/>
        <v>0</v>
      </c>
      <c r="BC713" s="771">
        <f t="shared" si="258"/>
        <v>0</v>
      </c>
      <c r="BD713" s="771">
        <f t="shared" si="258"/>
        <v>0</v>
      </c>
      <c r="BE713" s="771">
        <f t="shared" si="258"/>
        <v>0</v>
      </c>
      <c r="BF713" s="771">
        <f t="shared" si="258"/>
        <v>0</v>
      </c>
      <c r="BG713" s="764">
        <f t="shared" si="258"/>
        <v>0</v>
      </c>
      <c r="BH713" s="776"/>
      <c r="BI713" s="654"/>
      <c r="BJ713" s="659">
        <f>IFERROR(13/J713,0)</f>
        <v>0</v>
      </c>
      <c r="BK713" s="660">
        <f>SUBTOTAL(9,BK714:BK719)</f>
        <v>0</v>
      </c>
      <c r="BL713" s="654"/>
      <c r="BM713" s="661">
        <f t="shared" ref="BM713:DH713" si="259">SUBTOTAL(9,BM714:BM719)</f>
        <v>0</v>
      </c>
      <c r="BN713" s="662">
        <f t="shared" si="259"/>
        <v>0</v>
      </c>
      <c r="BO713" s="662">
        <f t="shared" si="259"/>
        <v>0</v>
      </c>
      <c r="BP713" s="662">
        <f t="shared" si="259"/>
        <v>0</v>
      </c>
      <c r="BQ713" s="662">
        <f t="shared" si="259"/>
        <v>0</v>
      </c>
      <c r="BR713" s="662">
        <f t="shared" si="259"/>
        <v>0</v>
      </c>
      <c r="BS713" s="662">
        <f t="shared" si="259"/>
        <v>0</v>
      </c>
      <c r="BT713" s="662">
        <f t="shared" si="259"/>
        <v>0</v>
      </c>
      <c r="BU713" s="662">
        <f t="shared" si="259"/>
        <v>0</v>
      </c>
      <c r="BV713" s="662">
        <f t="shared" si="259"/>
        <v>0</v>
      </c>
      <c r="BW713" s="662">
        <f t="shared" si="259"/>
        <v>0</v>
      </c>
      <c r="BX713" s="662">
        <f t="shared" si="259"/>
        <v>0</v>
      </c>
      <c r="BY713" s="662">
        <f t="shared" si="259"/>
        <v>0</v>
      </c>
      <c r="BZ713" s="662">
        <f t="shared" si="259"/>
        <v>0</v>
      </c>
      <c r="CA713" s="662">
        <f t="shared" si="259"/>
        <v>0</v>
      </c>
      <c r="CB713" s="662">
        <f t="shared" si="259"/>
        <v>0</v>
      </c>
      <c r="CC713" s="662">
        <f t="shared" si="259"/>
        <v>0</v>
      </c>
      <c r="CD713" s="662">
        <f t="shared" si="259"/>
        <v>0</v>
      </c>
      <c r="CE713" s="662">
        <f t="shared" si="259"/>
        <v>0</v>
      </c>
      <c r="CF713" s="662">
        <f t="shared" si="259"/>
        <v>0</v>
      </c>
      <c r="CG713" s="662">
        <f t="shared" si="259"/>
        <v>0</v>
      </c>
      <c r="CH713" s="662">
        <f t="shared" si="259"/>
        <v>0</v>
      </c>
      <c r="CI713" s="662">
        <f t="shared" si="259"/>
        <v>0</v>
      </c>
      <c r="CJ713" s="662">
        <f t="shared" si="259"/>
        <v>0</v>
      </c>
      <c r="CK713" s="662">
        <f t="shared" si="259"/>
        <v>0</v>
      </c>
      <c r="CL713" s="662">
        <f t="shared" si="259"/>
        <v>0</v>
      </c>
      <c r="CM713" s="662">
        <f t="shared" si="259"/>
        <v>0</v>
      </c>
      <c r="CN713" s="662">
        <f t="shared" si="259"/>
        <v>0</v>
      </c>
      <c r="CO713" s="662">
        <f t="shared" si="259"/>
        <v>0</v>
      </c>
      <c r="CP713" s="662">
        <f t="shared" si="259"/>
        <v>0</v>
      </c>
      <c r="CQ713" s="662">
        <f t="shared" si="259"/>
        <v>0</v>
      </c>
      <c r="CR713" s="662">
        <f t="shared" si="259"/>
        <v>0</v>
      </c>
      <c r="CS713" s="662">
        <f t="shared" si="259"/>
        <v>0</v>
      </c>
      <c r="CT713" s="662">
        <f t="shared" si="259"/>
        <v>0</v>
      </c>
      <c r="CU713" s="662">
        <f t="shared" si="259"/>
        <v>0</v>
      </c>
      <c r="CV713" s="662">
        <f t="shared" si="259"/>
        <v>0</v>
      </c>
      <c r="CW713" s="662">
        <f t="shared" si="259"/>
        <v>0</v>
      </c>
      <c r="CX713" s="662">
        <f t="shared" si="259"/>
        <v>0</v>
      </c>
      <c r="CY713" s="662">
        <f t="shared" si="259"/>
        <v>0</v>
      </c>
      <c r="CZ713" s="662">
        <f t="shared" si="259"/>
        <v>0</v>
      </c>
      <c r="DA713" s="662">
        <f t="shared" si="259"/>
        <v>0</v>
      </c>
      <c r="DB713" s="662">
        <f t="shared" si="259"/>
        <v>0</v>
      </c>
      <c r="DC713" s="662">
        <f t="shared" si="259"/>
        <v>0</v>
      </c>
      <c r="DD713" s="662">
        <f t="shared" si="259"/>
        <v>0</v>
      </c>
      <c r="DE713" s="662">
        <f t="shared" si="259"/>
        <v>0</v>
      </c>
      <c r="DF713" s="662">
        <f t="shared" si="259"/>
        <v>0</v>
      </c>
      <c r="DG713" s="662">
        <f t="shared" si="259"/>
        <v>0</v>
      </c>
      <c r="DH713" s="663">
        <f t="shared" si="259"/>
        <v>0</v>
      </c>
    </row>
    <row r="714" spans="1:112" s="649" customFormat="1" hidden="1" outlineLevel="1" x14ac:dyDescent="0.3">
      <c r="A714" s="652" t="str">
        <f>IF(J713&gt;0,"Imprimir","")</f>
        <v/>
      </c>
      <c r="B714" s="652"/>
      <c r="C714" s="664"/>
      <c r="D714" s="665"/>
      <c r="E714" s="665"/>
      <c r="F714" s="665" t="s">
        <v>472</v>
      </c>
      <c r="G714" s="716" t="s">
        <v>2128</v>
      </c>
      <c r="H714" s="665" t="str">
        <f>H487</f>
        <v>Cantidad</v>
      </c>
      <c r="I714" s="665" t="s">
        <v>474</v>
      </c>
      <c r="J714" s="104" t="s">
        <v>29</v>
      </c>
      <c r="K714" s="667"/>
      <c r="L714" s="745"/>
      <c r="M714" s="741"/>
      <c r="N714" s="741"/>
      <c r="O714" s="741"/>
      <c r="P714" s="741"/>
      <c r="Q714" s="741"/>
      <c r="R714" s="741"/>
      <c r="S714" s="741"/>
      <c r="T714" s="741"/>
      <c r="U714" s="741"/>
      <c r="V714" s="741"/>
      <c r="W714" s="741"/>
      <c r="X714" s="741"/>
      <c r="Y714" s="741"/>
      <c r="Z714" s="741"/>
      <c r="AA714" s="741"/>
      <c r="AB714" s="741"/>
      <c r="AC714" s="741"/>
      <c r="AD714" s="741"/>
      <c r="AE714" s="741"/>
      <c r="AF714" s="741"/>
      <c r="AG714" s="741"/>
      <c r="AH714" s="741"/>
      <c r="AI714" s="741"/>
      <c r="AJ714" s="741"/>
      <c r="AK714" s="741"/>
      <c r="AL714" s="741"/>
      <c r="AM714" s="741"/>
      <c r="AN714" s="741"/>
      <c r="AO714" s="741"/>
      <c r="AP714" s="741"/>
      <c r="AQ714" s="741"/>
      <c r="AR714" s="741"/>
      <c r="AS714" s="741"/>
      <c r="AT714" s="741"/>
      <c r="AU714" s="741"/>
      <c r="AV714" s="741"/>
      <c r="AW714" s="741"/>
      <c r="AX714" s="741"/>
      <c r="AY714" s="741"/>
      <c r="AZ714" s="741"/>
      <c r="BA714" s="741"/>
      <c r="BB714" s="741"/>
      <c r="BC714" s="741"/>
      <c r="BD714" s="741"/>
      <c r="BE714" s="741"/>
      <c r="BF714" s="741"/>
      <c r="BG714" s="741"/>
      <c r="BH714" s="668"/>
      <c r="BI714" s="654"/>
      <c r="BJ714" s="669"/>
      <c r="BK714" s="670"/>
      <c r="BL714" s="654"/>
      <c r="BM714" s="671"/>
      <c r="BN714" s="665"/>
      <c r="BO714" s="665"/>
      <c r="BP714" s="665"/>
      <c r="BQ714" s="665"/>
      <c r="BR714" s="665"/>
      <c r="BS714" s="665"/>
      <c r="BT714" s="665"/>
      <c r="BU714" s="665"/>
      <c r="BV714" s="665"/>
      <c r="BW714" s="665"/>
      <c r="BX714" s="665"/>
      <c r="BY714" s="665"/>
      <c r="BZ714" s="665"/>
      <c r="CA714" s="665"/>
      <c r="CB714" s="665"/>
      <c r="CC714" s="665"/>
      <c r="CD714" s="665"/>
      <c r="CE714" s="665"/>
      <c r="CF714" s="665"/>
      <c r="CG714" s="665"/>
      <c r="CH714" s="665"/>
      <c r="CI714" s="665"/>
      <c r="CJ714" s="665"/>
      <c r="CK714" s="665"/>
      <c r="CL714" s="665"/>
      <c r="CM714" s="665"/>
      <c r="CN714" s="665"/>
      <c r="CO714" s="665"/>
      <c r="CP714" s="665"/>
      <c r="CQ714" s="665"/>
      <c r="CR714" s="665"/>
      <c r="CS714" s="665"/>
      <c r="CT714" s="665"/>
      <c r="CU714" s="665"/>
      <c r="CV714" s="665"/>
      <c r="CW714" s="665"/>
      <c r="CX714" s="665"/>
      <c r="CY714" s="665"/>
      <c r="CZ714" s="665"/>
      <c r="DA714" s="665"/>
      <c r="DB714" s="665"/>
      <c r="DC714" s="665"/>
      <c r="DD714" s="665"/>
      <c r="DE714" s="665"/>
      <c r="DF714" s="665"/>
      <c r="DG714" s="665"/>
      <c r="DH714" s="666"/>
    </row>
    <row r="715" spans="1:112" s="649" customFormat="1" ht="15.6" hidden="1" outlineLevel="1" x14ac:dyDescent="0.3">
      <c r="A715" s="652" t="str">
        <f>IF(J715&gt;0,"Imprimir","")</f>
        <v/>
      </c>
      <c r="B715" s="652"/>
      <c r="C715" s="672"/>
      <c r="D715" s="673"/>
      <c r="E715" s="674"/>
      <c r="F715" s="675"/>
      <c r="G715" s="726"/>
      <c r="H715" s="676"/>
      <c r="I715" s="677"/>
      <c r="J715" s="219">
        <f>SUBTOTAL(9,J716:J719)</f>
        <v>0</v>
      </c>
      <c r="K715" s="678"/>
      <c r="L715" s="747"/>
      <c r="M715" s="742"/>
      <c r="N715" s="742"/>
      <c r="O715" s="742"/>
      <c r="P715" s="742"/>
      <c r="Q715" s="742"/>
      <c r="R715" s="742"/>
      <c r="S715" s="742"/>
      <c r="T715" s="742"/>
      <c r="U715" s="742"/>
      <c r="V715" s="742"/>
      <c r="W715" s="742"/>
      <c r="X715" s="742"/>
      <c r="Y715" s="742"/>
      <c r="Z715" s="742"/>
      <c r="AA715" s="742"/>
      <c r="AB715" s="742"/>
      <c r="AC715" s="742"/>
      <c r="AD715" s="742"/>
      <c r="AE715" s="742"/>
      <c r="AF715" s="742"/>
      <c r="AG715" s="742"/>
      <c r="AH715" s="742"/>
      <c r="AI715" s="742"/>
      <c r="AJ715" s="742"/>
      <c r="AK715" s="742"/>
      <c r="AL715" s="742"/>
      <c r="AM715" s="742"/>
      <c r="AN715" s="742"/>
      <c r="AO715" s="742"/>
      <c r="AP715" s="742"/>
      <c r="AQ715" s="742"/>
      <c r="AR715" s="742"/>
      <c r="AS715" s="742"/>
      <c r="AT715" s="742"/>
      <c r="AU715" s="742"/>
      <c r="AV715" s="742"/>
      <c r="AW715" s="742"/>
      <c r="AX715" s="742"/>
      <c r="AY715" s="742"/>
      <c r="AZ715" s="742"/>
      <c r="BA715" s="742"/>
      <c r="BB715" s="742"/>
      <c r="BC715" s="742"/>
      <c r="BD715" s="742"/>
      <c r="BE715" s="742"/>
      <c r="BF715" s="742"/>
      <c r="BG715" s="742"/>
      <c r="BH715" s="668"/>
      <c r="BI715" s="654"/>
      <c r="BJ715" s="729"/>
      <c r="BK715" s="681"/>
      <c r="BL715" s="654"/>
      <c r="BM715" s="682"/>
      <c r="BN715" s="683"/>
      <c r="BO715" s="683"/>
      <c r="BP715" s="683"/>
      <c r="BQ715" s="683"/>
      <c r="BR715" s="683"/>
      <c r="BS715" s="683"/>
      <c r="BT715" s="683"/>
      <c r="BU715" s="683"/>
      <c r="BV715" s="683"/>
      <c r="BW715" s="683"/>
      <c r="BX715" s="683"/>
      <c r="BY715" s="683"/>
      <c r="BZ715" s="683"/>
      <c r="CA715" s="683"/>
      <c r="CB715" s="683"/>
      <c r="CC715" s="683"/>
      <c r="CD715" s="683"/>
      <c r="CE715" s="683"/>
      <c r="CF715" s="683"/>
      <c r="CG715" s="683"/>
      <c r="CH715" s="683"/>
      <c r="CI715" s="683"/>
      <c r="CJ715" s="683"/>
      <c r="CK715" s="683"/>
      <c r="CL715" s="683"/>
      <c r="CM715" s="683"/>
      <c r="CN715" s="683"/>
      <c r="CO715" s="683"/>
      <c r="CP715" s="683"/>
      <c r="CQ715" s="683"/>
      <c r="CR715" s="683"/>
      <c r="CS715" s="683"/>
      <c r="CT715" s="683"/>
      <c r="CU715" s="683"/>
      <c r="CV715" s="683"/>
      <c r="CW715" s="683"/>
      <c r="CX715" s="683"/>
      <c r="CY715" s="683"/>
      <c r="CZ715" s="683"/>
      <c r="DA715" s="683"/>
      <c r="DB715" s="683"/>
      <c r="DC715" s="683"/>
      <c r="DD715" s="683"/>
      <c r="DE715" s="683"/>
      <c r="DF715" s="683"/>
      <c r="DG715" s="683"/>
      <c r="DH715" s="684"/>
    </row>
    <row r="716" spans="1:112" s="649" customFormat="1" hidden="1" outlineLevel="1" x14ac:dyDescent="0.3">
      <c r="A716" s="652" t="str">
        <f t="shared" ref="A716:A718" si="260">IF(J716="","",IF(J716=0,"","Imprimir"))</f>
        <v/>
      </c>
      <c r="B716" s="652"/>
      <c r="C716" s="685"/>
      <c r="D716" s="686" t="s">
        <v>2710</v>
      </c>
      <c r="E716" s="686"/>
      <c r="F716" s="720"/>
      <c r="G716" s="688"/>
      <c r="H716" s="689"/>
      <c r="I716" s="851" t="str">
        <f>IF(E716&gt;0,$J$5,"")</f>
        <v/>
      </c>
      <c r="J716" s="517" t="str">
        <f t="shared" ref="J716:J718" si="261">IFERROR(G716*H716*I716,"")</f>
        <v/>
      </c>
      <c r="K716" s="667"/>
      <c r="L716" s="858"/>
      <c r="M716" s="859"/>
      <c r="N716" s="859"/>
      <c r="O716" s="859"/>
      <c r="P716" s="859"/>
      <c r="Q716" s="859"/>
      <c r="R716" s="859"/>
      <c r="S716" s="859"/>
      <c r="T716" s="859"/>
      <c r="U716" s="859"/>
      <c r="V716" s="859"/>
      <c r="W716" s="859"/>
      <c r="X716" s="859"/>
      <c r="Y716" s="859"/>
      <c r="Z716" s="860"/>
      <c r="AA716" s="860"/>
      <c r="AB716" s="860"/>
      <c r="AC716" s="860"/>
      <c r="AD716" s="860"/>
      <c r="AE716" s="860"/>
      <c r="AF716" s="860"/>
      <c r="AG716" s="860"/>
      <c r="AH716" s="860"/>
      <c r="AI716" s="860"/>
      <c r="AJ716" s="860"/>
      <c r="AK716" s="860"/>
      <c r="AL716" s="860"/>
      <c r="AM716" s="860"/>
      <c r="AN716" s="860"/>
      <c r="AO716" s="860"/>
      <c r="AP716" s="860"/>
      <c r="AQ716" s="860"/>
      <c r="AR716" s="860"/>
      <c r="AS716" s="860"/>
      <c r="AT716" s="860"/>
      <c r="AU716" s="860"/>
      <c r="AV716" s="860"/>
      <c r="AW716" s="860"/>
      <c r="AX716" s="860"/>
      <c r="AY716" s="860"/>
      <c r="AZ716" s="860"/>
      <c r="BA716" s="860"/>
      <c r="BB716" s="860"/>
      <c r="BC716" s="860"/>
      <c r="BD716" s="860"/>
      <c r="BE716" s="860"/>
      <c r="BF716" s="860"/>
      <c r="BG716" s="860"/>
      <c r="BH716" s="668"/>
      <c r="BI716" s="654"/>
      <c r="BJ716" s="690">
        <f>IFERROR(BK716/J716,0)</f>
        <v>0</v>
      </c>
      <c r="BK716" s="691">
        <f>SUM(BM716:DH716)</f>
        <v>0</v>
      </c>
      <c r="BL716" s="654"/>
      <c r="BM716" s="692">
        <f>SUMIFS(Imput[[Importe Neto]:[Importe Neto]],Imput[[C. Imp.]:[C. Imp.]],$D716,Imput[[PERIODO Imp.]:[PERIODO Imp.]],BM$9)</f>
        <v>0</v>
      </c>
      <c r="BN716" s="693">
        <f>SUMIFS(Imput[[Importe Neto]:[Importe Neto]],Imput[[C. Imp.]:[C. Imp.]],$D716,Imput[[PERIODO Imp.]:[PERIODO Imp.]],BN$9)</f>
        <v>0</v>
      </c>
      <c r="BO716" s="693">
        <f>SUMIFS(Imput[[Importe Neto]:[Importe Neto]],Imput[[C. Imp.]:[C. Imp.]],$D716,Imput[[PERIODO Imp.]:[PERIODO Imp.]],BO$9)</f>
        <v>0</v>
      </c>
      <c r="BP716" s="693">
        <f>SUMIFS(Imput[[Importe Neto]:[Importe Neto]],Imput[[C. Imp.]:[C. Imp.]],$D716,Imput[[PERIODO Imp.]:[PERIODO Imp.]],BP$9)</f>
        <v>0</v>
      </c>
      <c r="BQ716" s="693">
        <f>SUMIFS(Imput[[Importe Neto]:[Importe Neto]],Imput[[C. Imp.]:[C. Imp.]],$D716,Imput[[PERIODO Imp.]:[PERIODO Imp.]],BQ$9)</f>
        <v>0</v>
      </c>
      <c r="BR716" s="693">
        <f>SUMIFS(Imput[[Importe Neto]:[Importe Neto]],Imput[[C. Imp.]:[C. Imp.]],$D716,Imput[[PERIODO Imp.]:[PERIODO Imp.]],BR$9)</f>
        <v>0</v>
      </c>
      <c r="BS716" s="693">
        <f>SUMIFS(Imput[[Importe Neto]:[Importe Neto]],Imput[[C. Imp.]:[C. Imp.]],$D716,Imput[[PERIODO Imp.]:[PERIODO Imp.]],BS$9)</f>
        <v>0</v>
      </c>
      <c r="BT716" s="693">
        <f>SUMIFS(Imput[[Importe Neto]:[Importe Neto]],Imput[[C. Imp.]:[C. Imp.]],$D716,Imput[[PERIODO Imp.]:[PERIODO Imp.]],BT$9)</f>
        <v>0</v>
      </c>
      <c r="BU716" s="693">
        <f>SUMIFS(Imput[[Importe Neto]:[Importe Neto]],Imput[[C. Imp.]:[C. Imp.]],$D716,Imput[[PERIODO Imp.]:[PERIODO Imp.]],BU$9)</f>
        <v>0</v>
      </c>
      <c r="BV716" s="693">
        <f>SUMIFS(Imput[[Importe Neto]:[Importe Neto]],Imput[[C. Imp.]:[C. Imp.]],$D716,Imput[[PERIODO Imp.]:[PERIODO Imp.]],BV$9)</f>
        <v>0</v>
      </c>
      <c r="BW716" s="693">
        <f>SUMIFS(Imput[[Importe Neto]:[Importe Neto]],Imput[[C. Imp.]:[C. Imp.]],$D716,Imput[[PERIODO Imp.]:[PERIODO Imp.]],BW$9)</f>
        <v>0</v>
      </c>
      <c r="BX716" s="693">
        <f>SUMIFS(Imput[[Importe Neto]:[Importe Neto]],Imput[[C. Imp.]:[C. Imp.]],$D716,Imput[[PERIODO Imp.]:[PERIODO Imp.]],BX$9)</f>
        <v>0</v>
      </c>
      <c r="BY716" s="693">
        <f>SUMIFS(Imput[[Importe Neto]:[Importe Neto]],Imput[[C. Imp.]:[C. Imp.]],$D716,Imput[[PERIODO Imp.]:[PERIODO Imp.]],BY$9)</f>
        <v>0</v>
      </c>
      <c r="BZ716" s="693">
        <f>SUMIFS(Imput[[Importe Neto]:[Importe Neto]],Imput[[C. Imp.]:[C. Imp.]],$D716,Imput[[PERIODO Imp.]:[PERIODO Imp.]],BZ$9)</f>
        <v>0</v>
      </c>
      <c r="CA716" s="693">
        <f>SUMIFS(Imput[[Importe Neto]:[Importe Neto]],Imput[[C. Imp.]:[C. Imp.]],$D716,Imput[[PERIODO Imp.]:[PERIODO Imp.]],CA$9)</f>
        <v>0</v>
      </c>
      <c r="CB716" s="693">
        <f>SUMIFS(Imput[[Importe Neto]:[Importe Neto]],Imput[[C. Imp.]:[C. Imp.]],$D716,Imput[[PERIODO Imp.]:[PERIODO Imp.]],CB$9)</f>
        <v>0</v>
      </c>
      <c r="CC716" s="693">
        <f>SUMIFS(Imput[[Importe Neto]:[Importe Neto]],Imput[[C. Imp.]:[C. Imp.]],$D716,Imput[[PERIODO Imp.]:[PERIODO Imp.]],CC$9)</f>
        <v>0</v>
      </c>
      <c r="CD716" s="693">
        <f>SUMIFS(Imput[[Importe Neto]:[Importe Neto]],Imput[[C. Imp.]:[C. Imp.]],$D716,Imput[[PERIODO Imp.]:[PERIODO Imp.]],CD$9)</f>
        <v>0</v>
      </c>
      <c r="CE716" s="693">
        <f>SUMIFS(Imput[[Importe Neto]:[Importe Neto]],Imput[[C. Imp.]:[C. Imp.]],$D716,Imput[[PERIODO Imp.]:[PERIODO Imp.]],CE$9)</f>
        <v>0</v>
      </c>
      <c r="CF716" s="693">
        <f>SUMIFS(Imput[[Importe Neto]:[Importe Neto]],Imput[[C. Imp.]:[C. Imp.]],$D716,Imput[[PERIODO Imp.]:[PERIODO Imp.]],CF$9)</f>
        <v>0</v>
      </c>
      <c r="CG716" s="693">
        <f>SUMIFS(Imput[[Importe Neto]:[Importe Neto]],Imput[[C. Imp.]:[C. Imp.]],$D716,Imput[[PERIODO Imp.]:[PERIODO Imp.]],CG$9)</f>
        <v>0</v>
      </c>
      <c r="CH716" s="693">
        <f>SUMIFS(Imput[[Importe Neto]:[Importe Neto]],Imput[[C. Imp.]:[C. Imp.]],$D716,Imput[[PERIODO Imp.]:[PERIODO Imp.]],CH$9)</f>
        <v>0</v>
      </c>
      <c r="CI716" s="693">
        <f>SUMIFS(Imput[[Importe Neto]:[Importe Neto]],Imput[[C. Imp.]:[C. Imp.]],$D716,Imput[[PERIODO Imp.]:[PERIODO Imp.]],CI$9)</f>
        <v>0</v>
      </c>
      <c r="CJ716" s="693">
        <f>SUMIFS(Imput[[Importe Neto]:[Importe Neto]],Imput[[C. Imp.]:[C. Imp.]],$D716,Imput[[PERIODO Imp.]:[PERIODO Imp.]],CJ$9)</f>
        <v>0</v>
      </c>
      <c r="CK716" s="693">
        <f>SUMIFS(Imput[[Importe Neto]:[Importe Neto]],Imput[[C. Imp.]:[C. Imp.]],$D716,Imput[[PERIODO Imp.]:[PERIODO Imp.]],CK$9)</f>
        <v>0</v>
      </c>
      <c r="CL716" s="693">
        <f>SUMIFS(Imput[[Importe Neto]:[Importe Neto]],Imput[[C. Imp.]:[C. Imp.]],$D716,Imput[[PERIODO Imp.]:[PERIODO Imp.]],CL$9)</f>
        <v>0</v>
      </c>
      <c r="CM716" s="693">
        <f>SUMIFS(Imput[[Importe Neto]:[Importe Neto]],Imput[[C. Imp.]:[C. Imp.]],$D716,Imput[[PERIODO Imp.]:[PERIODO Imp.]],CM$9)</f>
        <v>0</v>
      </c>
      <c r="CN716" s="693">
        <f>SUMIFS(Imput[[Importe Neto]:[Importe Neto]],Imput[[C. Imp.]:[C. Imp.]],$D716,Imput[[PERIODO Imp.]:[PERIODO Imp.]],CN$9)</f>
        <v>0</v>
      </c>
      <c r="CO716" s="693">
        <f>SUMIFS(Imput[[Importe Neto]:[Importe Neto]],Imput[[C. Imp.]:[C. Imp.]],$D716,Imput[[PERIODO Imp.]:[PERIODO Imp.]],CO$9)</f>
        <v>0</v>
      </c>
      <c r="CP716" s="693">
        <f>SUMIFS(Imput[[Importe Neto]:[Importe Neto]],Imput[[C. Imp.]:[C. Imp.]],$D716,Imput[[PERIODO Imp.]:[PERIODO Imp.]],CP$9)</f>
        <v>0</v>
      </c>
      <c r="CQ716" s="693">
        <f>SUMIFS(Imput[[Importe Neto]:[Importe Neto]],Imput[[C. Imp.]:[C. Imp.]],$D716,Imput[[PERIODO Imp.]:[PERIODO Imp.]],CQ$9)</f>
        <v>0</v>
      </c>
      <c r="CR716" s="693">
        <f>SUMIFS(Imput[[Importe Neto]:[Importe Neto]],Imput[[C. Imp.]:[C. Imp.]],$D716,Imput[[PERIODO Imp.]:[PERIODO Imp.]],CR$9)</f>
        <v>0</v>
      </c>
      <c r="CS716" s="693">
        <f>SUMIFS(Imput[[Importe Neto]:[Importe Neto]],Imput[[C. Imp.]:[C. Imp.]],$D716,Imput[[PERIODO Imp.]:[PERIODO Imp.]],CS$9)</f>
        <v>0</v>
      </c>
      <c r="CT716" s="693">
        <f>SUMIFS(Imput[[Importe Neto]:[Importe Neto]],Imput[[C. Imp.]:[C. Imp.]],$D716,Imput[[PERIODO Imp.]:[PERIODO Imp.]],CT$9)</f>
        <v>0</v>
      </c>
      <c r="CU716" s="693">
        <f>SUMIFS(Imput[[Importe Neto]:[Importe Neto]],Imput[[C. Imp.]:[C. Imp.]],$D716,Imput[[PERIODO Imp.]:[PERIODO Imp.]],CU$9)</f>
        <v>0</v>
      </c>
      <c r="CV716" s="693">
        <f>SUMIFS(Imput[[Importe Neto]:[Importe Neto]],Imput[[C. Imp.]:[C. Imp.]],$D716,Imput[[PERIODO Imp.]:[PERIODO Imp.]],CV$9)</f>
        <v>0</v>
      </c>
      <c r="CW716" s="693">
        <f>SUMIFS(Imput[[Importe Neto]:[Importe Neto]],Imput[[C. Imp.]:[C. Imp.]],$D716,Imput[[PERIODO Imp.]:[PERIODO Imp.]],CW$9)</f>
        <v>0</v>
      </c>
      <c r="CX716" s="693">
        <f>SUMIFS(Imput[[Importe Neto]:[Importe Neto]],Imput[[C. Imp.]:[C. Imp.]],$D716,Imput[[PERIODO Imp.]:[PERIODO Imp.]],CX$9)</f>
        <v>0</v>
      </c>
      <c r="CY716" s="693">
        <f>SUMIFS(Imput[[Importe Neto]:[Importe Neto]],Imput[[C. Imp.]:[C. Imp.]],$D716,Imput[[PERIODO Imp.]:[PERIODO Imp.]],CY$9)</f>
        <v>0</v>
      </c>
      <c r="CZ716" s="693">
        <f>SUMIFS(Imput[[Importe Neto]:[Importe Neto]],Imput[[C. Imp.]:[C. Imp.]],$D716,Imput[[PERIODO Imp.]:[PERIODO Imp.]],CZ$9)</f>
        <v>0</v>
      </c>
      <c r="DA716" s="693">
        <f>SUMIFS(Imput[[Importe Neto]:[Importe Neto]],Imput[[C. Imp.]:[C. Imp.]],$D716,Imput[[PERIODO Imp.]:[PERIODO Imp.]],DA$9)</f>
        <v>0</v>
      </c>
      <c r="DB716" s="693">
        <f>SUMIFS(Imput[[Importe Neto]:[Importe Neto]],Imput[[C. Imp.]:[C. Imp.]],$D716,Imput[[PERIODO Imp.]:[PERIODO Imp.]],DB$9)</f>
        <v>0</v>
      </c>
      <c r="DC716" s="693">
        <f>SUMIFS(Imput[[Importe Neto]:[Importe Neto]],Imput[[C. Imp.]:[C. Imp.]],$D716,Imput[[PERIODO Imp.]:[PERIODO Imp.]],DC$9)</f>
        <v>0</v>
      </c>
      <c r="DD716" s="693">
        <f>SUMIFS(Imput[[Importe Neto]:[Importe Neto]],Imput[[C. Imp.]:[C. Imp.]],$D716,Imput[[PERIODO Imp.]:[PERIODO Imp.]],DD$9)</f>
        <v>0</v>
      </c>
      <c r="DE716" s="693">
        <f>SUMIFS(Imput[[Importe Neto]:[Importe Neto]],Imput[[C. Imp.]:[C. Imp.]],$D716,Imput[[PERIODO Imp.]:[PERIODO Imp.]],DE$9)</f>
        <v>0</v>
      </c>
      <c r="DF716" s="693">
        <f>SUMIFS(Imput[[Importe Neto]:[Importe Neto]],Imput[[C. Imp.]:[C. Imp.]],$D716,Imput[[PERIODO Imp.]:[PERIODO Imp.]],DF$9)</f>
        <v>0</v>
      </c>
      <c r="DG716" s="693">
        <f>SUMIFS(Imput[[Importe Neto]:[Importe Neto]],Imput[[C. Imp.]:[C. Imp.]],$D716,Imput[[PERIODO Imp.]:[PERIODO Imp.]],DG$9)</f>
        <v>0</v>
      </c>
      <c r="DH716" s="694">
        <f>SUMIFS(Imput[[Importe Neto]:[Importe Neto]],Imput[[C. Imp.]:[C. Imp.]],$D716,Imput[[PERIODO Imp.]:[PERIODO Imp.]],DH$9)</f>
        <v>0</v>
      </c>
    </row>
    <row r="717" spans="1:112" s="649" customFormat="1" hidden="1" outlineLevel="1" x14ac:dyDescent="0.3">
      <c r="A717" s="652" t="str">
        <f t="shared" si="260"/>
        <v/>
      </c>
      <c r="B717" s="652"/>
      <c r="C717" s="685"/>
      <c r="D717" s="686" t="s">
        <v>2711</v>
      </c>
      <c r="E717" s="686"/>
      <c r="F717" s="720"/>
      <c r="G717" s="688"/>
      <c r="H717" s="689"/>
      <c r="I717" s="851" t="str">
        <f>IF(E717&gt;0,$J$5,"")</f>
        <v/>
      </c>
      <c r="J717" s="517" t="str">
        <f t="shared" si="261"/>
        <v/>
      </c>
      <c r="K717" s="667"/>
      <c r="L717" s="858"/>
      <c r="M717" s="859"/>
      <c r="N717" s="859"/>
      <c r="O717" s="859"/>
      <c r="P717" s="859"/>
      <c r="Q717" s="859"/>
      <c r="R717" s="859"/>
      <c r="S717" s="859"/>
      <c r="T717" s="859"/>
      <c r="U717" s="859"/>
      <c r="V717" s="859"/>
      <c r="W717" s="859"/>
      <c r="X717" s="859"/>
      <c r="Y717" s="859"/>
      <c r="Z717" s="860"/>
      <c r="AA717" s="860"/>
      <c r="AB717" s="860"/>
      <c r="AC717" s="860"/>
      <c r="AD717" s="860"/>
      <c r="AE717" s="860"/>
      <c r="AF717" s="860"/>
      <c r="AG717" s="860"/>
      <c r="AH717" s="860"/>
      <c r="AI717" s="860"/>
      <c r="AJ717" s="860"/>
      <c r="AK717" s="860"/>
      <c r="AL717" s="860"/>
      <c r="AM717" s="860"/>
      <c r="AN717" s="860"/>
      <c r="AO717" s="860"/>
      <c r="AP717" s="860"/>
      <c r="AQ717" s="860"/>
      <c r="AR717" s="860"/>
      <c r="AS717" s="860"/>
      <c r="AT717" s="860"/>
      <c r="AU717" s="860"/>
      <c r="AV717" s="860"/>
      <c r="AW717" s="860"/>
      <c r="AX717" s="860"/>
      <c r="AY717" s="860"/>
      <c r="AZ717" s="860"/>
      <c r="BA717" s="860"/>
      <c r="BB717" s="860"/>
      <c r="BC717" s="860"/>
      <c r="BD717" s="860"/>
      <c r="BE717" s="860"/>
      <c r="BF717" s="860"/>
      <c r="BG717" s="860"/>
      <c r="BH717" s="668"/>
      <c r="BI717" s="654"/>
      <c r="BJ717" s="690">
        <f>IFERROR(BK717/J717,0)</f>
        <v>0</v>
      </c>
      <c r="BK717" s="691">
        <f>SUM(BM717:DH717)</f>
        <v>0</v>
      </c>
      <c r="BL717" s="654"/>
      <c r="BM717" s="692">
        <f>SUMIFS(Imput[[Importe Neto]:[Importe Neto]],Imput[[C. Imp.]:[C. Imp.]],$D717,Imput[[PERIODO Imp.]:[PERIODO Imp.]],BM$9)</f>
        <v>0</v>
      </c>
      <c r="BN717" s="693">
        <f>SUMIFS(Imput[[Importe Neto]:[Importe Neto]],Imput[[C. Imp.]:[C. Imp.]],$D717,Imput[[PERIODO Imp.]:[PERIODO Imp.]],BN$9)</f>
        <v>0</v>
      </c>
      <c r="BO717" s="693">
        <f>SUMIFS(Imput[[Importe Neto]:[Importe Neto]],Imput[[C. Imp.]:[C. Imp.]],$D717,Imput[[PERIODO Imp.]:[PERIODO Imp.]],BO$9)</f>
        <v>0</v>
      </c>
      <c r="BP717" s="693">
        <f>SUMIFS(Imput[[Importe Neto]:[Importe Neto]],Imput[[C. Imp.]:[C. Imp.]],$D717,Imput[[PERIODO Imp.]:[PERIODO Imp.]],BP$9)</f>
        <v>0</v>
      </c>
      <c r="BQ717" s="693">
        <f>SUMIFS(Imput[[Importe Neto]:[Importe Neto]],Imput[[C. Imp.]:[C. Imp.]],$D717,Imput[[PERIODO Imp.]:[PERIODO Imp.]],BQ$9)</f>
        <v>0</v>
      </c>
      <c r="BR717" s="693">
        <f>SUMIFS(Imput[[Importe Neto]:[Importe Neto]],Imput[[C. Imp.]:[C. Imp.]],$D717,Imput[[PERIODO Imp.]:[PERIODO Imp.]],BR$9)</f>
        <v>0</v>
      </c>
      <c r="BS717" s="693">
        <f>SUMIFS(Imput[[Importe Neto]:[Importe Neto]],Imput[[C. Imp.]:[C. Imp.]],$D717,Imput[[PERIODO Imp.]:[PERIODO Imp.]],BS$9)</f>
        <v>0</v>
      </c>
      <c r="BT717" s="693">
        <f>SUMIFS(Imput[[Importe Neto]:[Importe Neto]],Imput[[C. Imp.]:[C. Imp.]],$D717,Imput[[PERIODO Imp.]:[PERIODO Imp.]],BT$9)</f>
        <v>0</v>
      </c>
      <c r="BU717" s="693">
        <f>SUMIFS(Imput[[Importe Neto]:[Importe Neto]],Imput[[C. Imp.]:[C. Imp.]],$D717,Imput[[PERIODO Imp.]:[PERIODO Imp.]],BU$9)</f>
        <v>0</v>
      </c>
      <c r="BV717" s="693">
        <f>SUMIFS(Imput[[Importe Neto]:[Importe Neto]],Imput[[C. Imp.]:[C. Imp.]],$D717,Imput[[PERIODO Imp.]:[PERIODO Imp.]],BV$9)</f>
        <v>0</v>
      </c>
      <c r="BW717" s="693">
        <f>SUMIFS(Imput[[Importe Neto]:[Importe Neto]],Imput[[C. Imp.]:[C. Imp.]],$D717,Imput[[PERIODO Imp.]:[PERIODO Imp.]],BW$9)</f>
        <v>0</v>
      </c>
      <c r="BX717" s="693">
        <f>SUMIFS(Imput[[Importe Neto]:[Importe Neto]],Imput[[C. Imp.]:[C. Imp.]],$D717,Imput[[PERIODO Imp.]:[PERIODO Imp.]],BX$9)</f>
        <v>0</v>
      </c>
      <c r="BY717" s="693">
        <f>SUMIFS(Imput[[Importe Neto]:[Importe Neto]],Imput[[C. Imp.]:[C. Imp.]],$D717,Imput[[PERIODO Imp.]:[PERIODO Imp.]],BY$9)</f>
        <v>0</v>
      </c>
      <c r="BZ717" s="693">
        <f>SUMIFS(Imput[[Importe Neto]:[Importe Neto]],Imput[[C. Imp.]:[C. Imp.]],$D717,Imput[[PERIODO Imp.]:[PERIODO Imp.]],BZ$9)</f>
        <v>0</v>
      </c>
      <c r="CA717" s="693">
        <f>SUMIFS(Imput[[Importe Neto]:[Importe Neto]],Imput[[C. Imp.]:[C. Imp.]],$D717,Imput[[PERIODO Imp.]:[PERIODO Imp.]],CA$9)</f>
        <v>0</v>
      </c>
      <c r="CB717" s="693">
        <f>SUMIFS(Imput[[Importe Neto]:[Importe Neto]],Imput[[C. Imp.]:[C. Imp.]],$D717,Imput[[PERIODO Imp.]:[PERIODO Imp.]],CB$9)</f>
        <v>0</v>
      </c>
      <c r="CC717" s="693">
        <f>SUMIFS(Imput[[Importe Neto]:[Importe Neto]],Imput[[C. Imp.]:[C. Imp.]],$D717,Imput[[PERIODO Imp.]:[PERIODO Imp.]],CC$9)</f>
        <v>0</v>
      </c>
      <c r="CD717" s="693">
        <f>SUMIFS(Imput[[Importe Neto]:[Importe Neto]],Imput[[C. Imp.]:[C. Imp.]],$D717,Imput[[PERIODO Imp.]:[PERIODO Imp.]],CD$9)</f>
        <v>0</v>
      </c>
      <c r="CE717" s="693">
        <f>SUMIFS(Imput[[Importe Neto]:[Importe Neto]],Imput[[C. Imp.]:[C. Imp.]],$D717,Imput[[PERIODO Imp.]:[PERIODO Imp.]],CE$9)</f>
        <v>0</v>
      </c>
      <c r="CF717" s="693">
        <f>SUMIFS(Imput[[Importe Neto]:[Importe Neto]],Imput[[C. Imp.]:[C. Imp.]],$D717,Imput[[PERIODO Imp.]:[PERIODO Imp.]],CF$9)</f>
        <v>0</v>
      </c>
      <c r="CG717" s="693">
        <f>SUMIFS(Imput[[Importe Neto]:[Importe Neto]],Imput[[C. Imp.]:[C. Imp.]],$D717,Imput[[PERIODO Imp.]:[PERIODO Imp.]],CG$9)</f>
        <v>0</v>
      </c>
      <c r="CH717" s="693">
        <f>SUMIFS(Imput[[Importe Neto]:[Importe Neto]],Imput[[C. Imp.]:[C. Imp.]],$D717,Imput[[PERIODO Imp.]:[PERIODO Imp.]],CH$9)</f>
        <v>0</v>
      </c>
      <c r="CI717" s="693">
        <f>SUMIFS(Imput[[Importe Neto]:[Importe Neto]],Imput[[C. Imp.]:[C. Imp.]],$D717,Imput[[PERIODO Imp.]:[PERIODO Imp.]],CI$9)</f>
        <v>0</v>
      </c>
      <c r="CJ717" s="693">
        <f>SUMIFS(Imput[[Importe Neto]:[Importe Neto]],Imput[[C. Imp.]:[C. Imp.]],$D717,Imput[[PERIODO Imp.]:[PERIODO Imp.]],CJ$9)</f>
        <v>0</v>
      </c>
      <c r="CK717" s="693">
        <f>SUMIFS(Imput[[Importe Neto]:[Importe Neto]],Imput[[C. Imp.]:[C. Imp.]],$D717,Imput[[PERIODO Imp.]:[PERIODO Imp.]],CK$9)</f>
        <v>0</v>
      </c>
      <c r="CL717" s="693">
        <f>SUMIFS(Imput[[Importe Neto]:[Importe Neto]],Imput[[C. Imp.]:[C. Imp.]],$D717,Imput[[PERIODO Imp.]:[PERIODO Imp.]],CL$9)</f>
        <v>0</v>
      </c>
      <c r="CM717" s="693">
        <f>SUMIFS(Imput[[Importe Neto]:[Importe Neto]],Imput[[C. Imp.]:[C. Imp.]],$D717,Imput[[PERIODO Imp.]:[PERIODO Imp.]],CM$9)</f>
        <v>0</v>
      </c>
      <c r="CN717" s="693">
        <f>SUMIFS(Imput[[Importe Neto]:[Importe Neto]],Imput[[C. Imp.]:[C. Imp.]],$D717,Imput[[PERIODO Imp.]:[PERIODO Imp.]],CN$9)</f>
        <v>0</v>
      </c>
      <c r="CO717" s="693">
        <f>SUMIFS(Imput[[Importe Neto]:[Importe Neto]],Imput[[C. Imp.]:[C. Imp.]],$D717,Imput[[PERIODO Imp.]:[PERIODO Imp.]],CO$9)</f>
        <v>0</v>
      </c>
      <c r="CP717" s="693">
        <f>SUMIFS(Imput[[Importe Neto]:[Importe Neto]],Imput[[C. Imp.]:[C. Imp.]],$D717,Imput[[PERIODO Imp.]:[PERIODO Imp.]],CP$9)</f>
        <v>0</v>
      </c>
      <c r="CQ717" s="693">
        <f>SUMIFS(Imput[[Importe Neto]:[Importe Neto]],Imput[[C. Imp.]:[C. Imp.]],$D717,Imput[[PERIODO Imp.]:[PERIODO Imp.]],CQ$9)</f>
        <v>0</v>
      </c>
      <c r="CR717" s="693">
        <f>SUMIFS(Imput[[Importe Neto]:[Importe Neto]],Imput[[C. Imp.]:[C. Imp.]],$D717,Imput[[PERIODO Imp.]:[PERIODO Imp.]],CR$9)</f>
        <v>0</v>
      </c>
      <c r="CS717" s="693">
        <f>SUMIFS(Imput[[Importe Neto]:[Importe Neto]],Imput[[C. Imp.]:[C. Imp.]],$D717,Imput[[PERIODO Imp.]:[PERIODO Imp.]],CS$9)</f>
        <v>0</v>
      </c>
      <c r="CT717" s="693">
        <f>SUMIFS(Imput[[Importe Neto]:[Importe Neto]],Imput[[C. Imp.]:[C. Imp.]],$D717,Imput[[PERIODO Imp.]:[PERIODO Imp.]],CT$9)</f>
        <v>0</v>
      </c>
      <c r="CU717" s="693">
        <f>SUMIFS(Imput[[Importe Neto]:[Importe Neto]],Imput[[C. Imp.]:[C. Imp.]],$D717,Imput[[PERIODO Imp.]:[PERIODO Imp.]],CU$9)</f>
        <v>0</v>
      </c>
      <c r="CV717" s="693">
        <f>SUMIFS(Imput[[Importe Neto]:[Importe Neto]],Imput[[C. Imp.]:[C. Imp.]],$D717,Imput[[PERIODO Imp.]:[PERIODO Imp.]],CV$9)</f>
        <v>0</v>
      </c>
      <c r="CW717" s="693">
        <f>SUMIFS(Imput[[Importe Neto]:[Importe Neto]],Imput[[C. Imp.]:[C. Imp.]],$D717,Imput[[PERIODO Imp.]:[PERIODO Imp.]],CW$9)</f>
        <v>0</v>
      </c>
      <c r="CX717" s="693">
        <f>SUMIFS(Imput[[Importe Neto]:[Importe Neto]],Imput[[C. Imp.]:[C. Imp.]],$D717,Imput[[PERIODO Imp.]:[PERIODO Imp.]],CX$9)</f>
        <v>0</v>
      </c>
      <c r="CY717" s="693">
        <f>SUMIFS(Imput[[Importe Neto]:[Importe Neto]],Imput[[C. Imp.]:[C. Imp.]],$D717,Imput[[PERIODO Imp.]:[PERIODO Imp.]],CY$9)</f>
        <v>0</v>
      </c>
      <c r="CZ717" s="693">
        <f>SUMIFS(Imput[[Importe Neto]:[Importe Neto]],Imput[[C. Imp.]:[C. Imp.]],$D717,Imput[[PERIODO Imp.]:[PERIODO Imp.]],CZ$9)</f>
        <v>0</v>
      </c>
      <c r="DA717" s="693">
        <f>SUMIFS(Imput[[Importe Neto]:[Importe Neto]],Imput[[C. Imp.]:[C. Imp.]],$D717,Imput[[PERIODO Imp.]:[PERIODO Imp.]],DA$9)</f>
        <v>0</v>
      </c>
      <c r="DB717" s="693">
        <f>SUMIFS(Imput[[Importe Neto]:[Importe Neto]],Imput[[C. Imp.]:[C. Imp.]],$D717,Imput[[PERIODO Imp.]:[PERIODO Imp.]],DB$9)</f>
        <v>0</v>
      </c>
      <c r="DC717" s="693">
        <f>SUMIFS(Imput[[Importe Neto]:[Importe Neto]],Imput[[C. Imp.]:[C. Imp.]],$D717,Imput[[PERIODO Imp.]:[PERIODO Imp.]],DC$9)</f>
        <v>0</v>
      </c>
      <c r="DD717" s="693">
        <f>SUMIFS(Imput[[Importe Neto]:[Importe Neto]],Imput[[C. Imp.]:[C. Imp.]],$D717,Imput[[PERIODO Imp.]:[PERIODO Imp.]],DD$9)</f>
        <v>0</v>
      </c>
      <c r="DE717" s="693">
        <f>SUMIFS(Imput[[Importe Neto]:[Importe Neto]],Imput[[C. Imp.]:[C. Imp.]],$D717,Imput[[PERIODO Imp.]:[PERIODO Imp.]],DE$9)</f>
        <v>0</v>
      </c>
      <c r="DF717" s="693">
        <f>SUMIFS(Imput[[Importe Neto]:[Importe Neto]],Imput[[C. Imp.]:[C. Imp.]],$D717,Imput[[PERIODO Imp.]:[PERIODO Imp.]],DF$9)</f>
        <v>0</v>
      </c>
      <c r="DG717" s="693">
        <f>SUMIFS(Imput[[Importe Neto]:[Importe Neto]],Imput[[C. Imp.]:[C. Imp.]],$D717,Imput[[PERIODO Imp.]:[PERIODO Imp.]],DG$9)</f>
        <v>0</v>
      </c>
      <c r="DH717" s="694">
        <f>SUMIFS(Imput[[Importe Neto]:[Importe Neto]],Imput[[C. Imp.]:[C. Imp.]],$D717,Imput[[PERIODO Imp.]:[PERIODO Imp.]],DH$9)</f>
        <v>0</v>
      </c>
    </row>
    <row r="718" spans="1:112" s="649" customFormat="1" hidden="1" outlineLevel="1" x14ac:dyDescent="0.3">
      <c r="A718" s="652" t="str">
        <f t="shared" si="260"/>
        <v/>
      </c>
      <c r="B718" s="652"/>
      <c r="C718" s="685"/>
      <c r="D718" s="686" t="s">
        <v>2712</v>
      </c>
      <c r="E718" s="686"/>
      <c r="F718" s="737"/>
      <c r="G718" s="688"/>
      <c r="H718" s="696"/>
      <c r="I718" s="851" t="str">
        <f>IF(E718&gt;0,$J$5,"")</f>
        <v/>
      </c>
      <c r="J718" s="517" t="str">
        <f t="shared" si="261"/>
        <v/>
      </c>
      <c r="K718" s="667"/>
      <c r="L718" s="858"/>
      <c r="M718" s="859"/>
      <c r="N718" s="859"/>
      <c r="O718" s="859"/>
      <c r="P718" s="859"/>
      <c r="Q718" s="859"/>
      <c r="R718" s="859"/>
      <c r="S718" s="859"/>
      <c r="T718" s="859"/>
      <c r="U718" s="859"/>
      <c r="V718" s="859"/>
      <c r="W718" s="859"/>
      <c r="X718" s="859"/>
      <c r="Y718" s="859"/>
      <c r="Z718" s="860"/>
      <c r="AA718" s="860"/>
      <c r="AB718" s="860"/>
      <c r="AC718" s="860"/>
      <c r="AD718" s="860"/>
      <c r="AE718" s="860"/>
      <c r="AF718" s="860"/>
      <c r="AG718" s="860"/>
      <c r="AH718" s="860"/>
      <c r="AI718" s="860"/>
      <c r="AJ718" s="860"/>
      <c r="AK718" s="860"/>
      <c r="AL718" s="860"/>
      <c r="AM718" s="860"/>
      <c r="AN718" s="860"/>
      <c r="AO718" s="860"/>
      <c r="AP718" s="860"/>
      <c r="AQ718" s="860"/>
      <c r="AR718" s="860"/>
      <c r="AS718" s="860"/>
      <c r="AT718" s="860"/>
      <c r="AU718" s="860"/>
      <c r="AV718" s="860"/>
      <c r="AW718" s="860"/>
      <c r="AX718" s="860"/>
      <c r="AY718" s="860"/>
      <c r="AZ718" s="860"/>
      <c r="BA718" s="860"/>
      <c r="BB718" s="860"/>
      <c r="BC718" s="860"/>
      <c r="BD718" s="860"/>
      <c r="BE718" s="860"/>
      <c r="BF718" s="860"/>
      <c r="BG718" s="860"/>
      <c r="BH718" s="668"/>
      <c r="BI718" s="654"/>
      <c r="BJ718" s="690">
        <f>IFERROR(BK718/J718,0)</f>
        <v>0</v>
      </c>
      <c r="BK718" s="691">
        <f>SUM(BM718:DH718)</f>
        <v>0</v>
      </c>
      <c r="BL718" s="654"/>
      <c r="BM718" s="692">
        <f>SUMIFS(Imput[[Importe Neto]:[Importe Neto]],Imput[[C. Imp.]:[C. Imp.]],$D718,Imput[[PERIODO Imp.]:[PERIODO Imp.]],BM$9)</f>
        <v>0</v>
      </c>
      <c r="BN718" s="693">
        <f>SUMIFS(Imput[[Importe Neto]:[Importe Neto]],Imput[[C. Imp.]:[C. Imp.]],$D718,Imput[[PERIODO Imp.]:[PERIODO Imp.]],BN$9)</f>
        <v>0</v>
      </c>
      <c r="BO718" s="693">
        <f>SUMIFS(Imput[[Importe Neto]:[Importe Neto]],Imput[[C. Imp.]:[C. Imp.]],$D718,Imput[[PERIODO Imp.]:[PERIODO Imp.]],BO$9)</f>
        <v>0</v>
      </c>
      <c r="BP718" s="693">
        <f>SUMIFS(Imput[[Importe Neto]:[Importe Neto]],Imput[[C. Imp.]:[C. Imp.]],$D718,Imput[[PERIODO Imp.]:[PERIODO Imp.]],BP$9)</f>
        <v>0</v>
      </c>
      <c r="BQ718" s="693">
        <f>SUMIFS(Imput[[Importe Neto]:[Importe Neto]],Imput[[C. Imp.]:[C. Imp.]],$D718,Imput[[PERIODO Imp.]:[PERIODO Imp.]],BQ$9)</f>
        <v>0</v>
      </c>
      <c r="BR718" s="693">
        <f>SUMIFS(Imput[[Importe Neto]:[Importe Neto]],Imput[[C. Imp.]:[C. Imp.]],$D718,Imput[[PERIODO Imp.]:[PERIODO Imp.]],BR$9)</f>
        <v>0</v>
      </c>
      <c r="BS718" s="693">
        <f>SUMIFS(Imput[[Importe Neto]:[Importe Neto]],Imput[[C. Imp.]:[C. Imp.]],$D718,Imput[[PERIODO Imp.]:[PERIODO Imp.]],BS$9)</f>
        <v>0</v>
      </c>
      <c r="BT718" s="693">
        <f>SUMIFS(Imput[[Importe Neto]:[Importe Neto]],Imput[[C. Imp.]:[C. Imp.]],$D718,Imput[[PERIODO Imp.]:[PERIODO Imp.]],BT$9)</f>
        <v>0</v>
      </c>
      <c r="BU718" s="693">
        <f>SUMIFS(Imput[[Importe Neto]:[Importe Neto]],Imput[[C. Imp.]:[C. Imp.]],$D718,Imput[[PERIODO Imp.]:[PERIODO Imp.]],BU$9)</f>
        <v>0</v>
      </c>
      <c r="BV718" s="693">
        <f>SUMIFS(Imput[[Importe Neto]:[Importe Neto]],Imput[[C. Imp.]:[C. Imp.]],$D718,Imput[[PERIODO Imp.]:[PERIODO Imp.]],BV$9)</f>
        <v>0</v>
      </c>
      <c r="BW718" s="693">
        <f>SUMIFS(Imput[[Importe Neto]:[Importe Neto]],Imput[[C. Imp.]:[C. Imp.]],$D718,Imput[[PERIODO Imp.]:[PERIODO Imp.]],BW$9)</f>
        <v>0</v>
      </c>
      <c r="BX718" s="693">
        <f>SUMIFS(Imput[[Importe Neto]:[Importe Neto]],Imput[[C. Imp.]:[C. Imp.]],$D718,Imput[[PERIODO Imp.]:[PERIODO Imp.]],BX$9)</f>
        <v>0</v>
      </c>
      <c r="BY718" s="693">
        <f>SUMIFS(Imput[[Importe Neto]:[Importe Neto]],Imput[[C. Imp.]:[C. Imp.]],$D718,Imput[[PERIODO Imp.]:[PERIODO Imp.]],BY$9)</f>
        <v>0</v>
      </c>
      <c r="BZ718" s="693">
        <f>SUMIFS(Imput[[Importe Neto]:[Importe Neto]],Imput[[C. Imp.]:[C. Imp.]],$D718,Imput[[PERIODO Imp.]:[PERIODO Imp.]],BZ$9)</f>
        <v>0</v>
      </c>
      <c r="CA718" s="693">
        <f>SUMIFS(Imput[[Importe Neto]:[Importe Neto]],Imput[[C. Imp.]:[C. Imp.]],$D718,Imput[[PERIODO Imp.]:[PERIODO Imp.]],CA$9)</f>
        <v>0</v>
      </c>
      <c r="CB718" s="693">
        <f>SUMIFS(Imput[[Importe Neto]:[Importe Neto]],Imput[[C. Imp.]:[C. Imp.]],$D718,Imput[[PERIODO Imp.]:[PERIODO Imp.]],CB$9)</f>
        <v>0</v>
      </c>
      <c r="CC718" s="693">
        <f>SUMIFS(Imput[[Importe Neto]:[Importe Neto]],Imput[[C. Imp.]:[C. Imp.]],$D718,Imput[[PERIODO Imp.]:[PERIODO Imp.]],CC$9)</f>
        <v>0</v>
      </c>
      <c r="CD718" s="693">
        <f>SUMIFS(Imput[[Importe Neto]:[Importe Neto]],Imput[[C. Imp.]:[C. Imp.]],$D718,Imput[[PERIODO Imp.]:[PERIODO Imp.]],CD$9)</f>
        <v>0</v>
      </c>
      <c r="CE718" s="693">
        <f>SUMIFS(Imput[[Importe Neto]:[Importe Neto]],Imput[[C. Imp.]:[C. Imp.]],$D718,Imput[[PERIODO Imp.]:[PERIODO Imp.]],CE$9)</f>
        <v>0</v>
      </c>
      <c r="CF718" s="693">
        <f>SUMIFS(Imput[[Importe Neto]:[Importe Neto]],Imput[[C. Imp.]:[C. Imp.]],$D718,Imput[[PERIODO Imp.]:[PERIODO Imp.]],CF$9)</f>
        <v>0</v>
      </c>
      <c r="CG718" s="693">
        <f>SUMIFS(Imput[[Importe Neto]:[Importe Neto]],Imput[[C. Imp.]:[C. Imp.]],$D718,Imput[[PERIODO Imp.]:[PERIODO Imp.]],CG$9)</f>
        <v>0</v>
      </c>
      <c r="CH718" s="693">
        <f>SUMIFS(Imput[[Importe Neto]:[Importe Neto]],Imput[[C. Imp.]:[C. Imp.]],$D718,Imput[[PERIODO Imp.]:[PERIODO Imp.]],CH$9)</f>
        <v>0</v>
      </c>
      <c r="CI718" s="693">
        <f>SUMIFS(Imput[[Importe Neto]:[Importe Neto]],Imput[[C. Imp.]:[C. Imp.]],$D718,Imput[[PERIODO Imp.]:[PERIODO Imp.]],CI$9)</f>
        <v>0</v>
      </c>
      <c r="CJ718" s="693">
        <f>SUMIFS(Imput[[Importe Neto]:[Importe Neto]],Imput[[C. Imp.]:[C. Imp.]],$D718,Imput[[PERIODO Imp.]:[PERIODO Imp.]],CJ$9)</f>
        <v>0</v>
      </c>
      <c r="CK718" s="693">
        <f>SUMIFS(Imput[[Importe Neto]:[Importe Neto]],Imput[[C. Imp.]:[C. Imp.]],$D718,Imput[[PERIODO Imp.]:[PERIODO Imp.]],CK$9)</f>
        <v>0</v>
      </c>
      <c r="CL718" s="693">
        <f>SUMIFS(Imput[[Importe Neto]:[Importe Neto]],Imput[[C. Imp.]:[C. Imp.]],$D718,Imput[[PERIODO Imp.]:[PERIODO Imp.]],CL$9)</f>
        <v>0</v>
      </c>
      <c r="CM718" s="693">
        <f>SUMIFS(Imput[[Importe Neto]:[Importe Neto]],Imput[[C. Imp.]:[C. Imp.]],$D718,Imput[[PERIODO Imp.]:[PERIODO Imp.]],CM$9)</f>
        <v>0</v>
      </c>
      <c r="CN718" s="693">
        <f>SUMIFS(Imput[[Importe Neto]:[Importe Neto]],Imput[[C. Imp.]:[C. Imp.]],$D718,Imput[[PERIODO Imp.]:[PERIODO Imp.]],CN$9)</f>
        <v>0</v>
      </c>
      <c r="CO718" s="693">
        <f>SUMIFS(Imput[[Importe Neto]:[Importe Neto]],Imput[[C. Imp.]:[C. Imp.]],$D718,Imput[[PERIODO Imp.]:[PERIODO Imp.]],CO$9)</f>
        <v>0</v>
      </c>
      <c r="CP718" s="693">
        <f>SUMIFS(Imput[[Importe Neto]:[Importe Neto]],Imput[[C. Imp.]:[C. Imp.]],$D718,Imput[[PERIODO Imp.]:[PERIODO Imp.]],CP$9)</f>
        <v>0</v>
      </c>
      <c r="CQ718" s="693">
        <f>SUMIFS(Imput[[Importe Neto]:[Importe Neto]],Imput[[C. Imp.]:[C. Imp.]],$D718,Imput[[PERIODO Imp.]:[PERIODO Imp.]],CQ$9)</f>
        <v>0</v>
      </c>
      <c r="CR718" s="693">
        <f>SUMIFS(Imput[[Importe Neto]:[Importe Neto]],Imput[[C. Imp.]:[C. Imp.]],$D718,Imput[[PERIODO Imp.]:[PERIODO Imp.]],CR$9)</f>
        <v>0</v>
      </c>
      <c r="CS718" s="693">
        <f>SUMIFS(Imput[[Importe Neto]:[Importe Neto]],Imput[[C. Imp.]:[C. Imp.]],$D718,Imput[[PERIODO Imp.]:[PERIODO Imp.]],CS$9)</f>
        <v>0</v>
      </c>
      <c r="CT718" s="693">
        <f>SUMIFS(Imput[[Importe Neto]:[Importe Neto]],Imput[[C. Imp.]:[C. Imp.]],$D718,Imput[[PERIODO Imp.]:[PERIODO Imp.]],CT$9)</f>
        <v>0</v>
      </c>
      <c r="CU718" s="693">
        <f>SUMIFS(Imput[[Importe Neto]:[Importe Neto]],Imput[[C. Imp.]:[C. Imp.]],$D718,Imput[[PERIODO Imp.]:[PERIODO Imp.]],CU$9)</f>
        <v>0</v>
      </c>
      <c r="CV718" s="693">
        <f>SUMIFS(Imput[[Importe Neto]:[Importe Neto]],Imput[[C. Imp.]:[C. Imp.]],$D718,Imput[[PERIODO Imp.]:[PERIODO Imp.]],CV$9)</f>
        <v>0</v>
      </c>
      <c r="CW718" s="693">
        <f>SUMIFS(Imput[[Importe Neto]:[Importe Neto]],Imput[[C. Imp.]:[C. Imp.]],$D718,Imput[[PERIODO Imp.]:[PERIODO Imp.]],CW$9)</f>
        <v>0</v>
      </c>
      <c r="CX718" s="693">
        <f>SUMIFS(Imput[[Importe Neto]:[Importe Neto]],Imput[[C. Imp.]:[C. Imp.]],$D718,Imput[[PERIODO Imp.]:[PERIODO Imp.]],CX$9)</f>
        <v>0</v>
      </c>
      <c r="CY718" s="693">
        <f>SUMIFS(Imput[[Importe Neto]:[Importe Neto]],Imput[[C. Imp.]:[C. Imp.]],$D718,Imput[[PERIODO Imp.]:[PERIODO Imp.]],CY$9)</f>
        <v>0</v>
      </c>
      <c r="CZ718" s="693">
        <f>SUMIFS(Imput[[Importe Neto]:[Importe Neto]],Imput[[C. Imp.]:[C. Imp.]],$D718,Imput[[PERIODO Imp.]:[PERIODO Imp.]],CZ$9)</f>
        <v>0</v>
      </c>
      <c r="DA718" s="693">
        <f>SUMIFS(Imput[[Importe Neto]:[Importe Neto]],Imput[[C. Imp.]:[C. Imp.]],$D718,Imput[[PERIODO Imp.]:[PERIODO Imp.]],DA$9)</f>
        <v>0</v>
      </c>
      <c r="DB718" s="693">
        <f>SUMIFS(Imput[[Importe Neto]:[Importe Neto]],Imput[[C. Imp.]:[C. Imp.]],$D718,Imput[[PERIODO Imp.]:[PERIODO Imp.]],DB$9)</f>
        <v>0</v>
      </c>
      <c r="DC718" s="693">
        <f>SUMIFS(Imput[[Importe Neto]:[Importe Neto]],Imput[[C. Imp.]:[C. Imp.]],$D718,Imput[[PERIODO Imp.]:[PERIODO Imp.]],DC$9)</f>
        <v>0</v>
      </c>
      <c r="DD718" s="693">
        <f>SUMIFS(Imput[[Importe Neto]:[Importe Neto]],Imput[[C. Imp.]:[C. Imp.]],$D718,Imput[[PERIODO Imp.]:[PERIODO Imp.]],DD$9)</f>
        <v>0</v>
      </c>
      <c r="DE718" s="693">
        <f>SUMIFS(Imput[[Importe Neto]:[Importe Neto]],Imput[[C. Imp.]:[C. Imp.]],$D718,Imput[[PERIODO Imp.]:[PERIODO Imp.]],DE$9)</f>
        <v>0</v>
      </c>
      <c r="DF718" s="693">
        <f>SUMIFS(Imput[[Importe Neto]:[Importe Neto]],Imput[[C. Imp.]:[C. Imp.]],$D718,Imput[[PERIODO Imp.]:[PERIODO Imp.]],DF$9)</f>
        <v>0</v>
      </c>
      <c r="DG718" s="693">
        <f>SUMIFS(Imput[[Importe Neto]:[Importe Neto]],Imput[[C. Imp.]:[C. Imp.]],$D718,Imput[[PERIODO Imp.]:[PERIODO Imp.]],DG$9)</f>
        <v>0</v>
      </c>
      <c r="DH718" s="694">
        <f>SUMIFS(Imput[[Importe Neto]:[Importe Neto]],Imput[[C. Imp.]:[C. Imp.]],$D718,Imput[[PERIODO Imp.]:[PERIODO Imp.]],DH$9)</f>
        <v>0</v>
      </c>
    </row>
    <row r="719" spans="1:112" s="649" customFormat="1" ht="14.4" hidden="1" outlineLevel="1" thickBot="1" x14ac:dyDescent="0.35">
      <c r="A719" s="652" t="str">
        <f>IF(J713&gt;0,"Imprimir","")</f>
        <v/>
      </c>
      <c r="B719" s="652"/>
      <c r="C719" s="699"/>
      <c r="D719" s="700"/>
      <c r="E719" s="700"/>
      <c r="F719" s="701"/>
      <c r="G719" s="702"/>
      <c r="H719" s="701"/>
      <c r="I719" s="704"/>
      <c r="J719" s="120"/>
      <c r="K719" s="667"/>
      <c r="L719" s="706"/>
      <c r="M719" s="707"/>
      <c r="N719" s="777"/>
      <c r="O719" s="777"/>
      <c r="P719" s="778"/>
      <c r="Q719" s="778"/>
      <c r="R719" s="708"/>
      <c r="S719" s="708"/>
      <c r="T719" s="779"/>
      <c r="U719" s="779"/>
      <c r="V719" s="778"/>
      <c r="W719" s="778"/>
      <c r="X719" s="708"/>
      <c r="Y719" s="708"/>
      <c r="Z719" s="708"/>
      <c r="AA719" s="708"/>
      <c r="AB719" s="708"/>
      <c r="AC719" s="708"/>
      <c r="AD719" s="708"/>
      <c r="AE719" s="708"/>
      <c r="AF719" s="708"/>
      <c r="AG719" s="708"/>
      <c r="AH719" s="708"/>
      <c r="AI719" s="708"/>
      <c r="AJ719" s="708"/>
      <c r="AK719" s="708"/>
      <c r="AL719" s="708"/>
      <c r="AM719" s="708"/>
      <c r="AN719" s="708"/>
      <c r="AO719" s="708"/>
      <c r="AP719" s="708"/>
      <c r="AQ719" s="708"/>
      <c r="AR719" s="708"/>
      <c r="AS719" s="708"/>
      <c r="AT719" s="708"/>
      <c r="AU719" s="708"/>
      <c r="AV719" s="708"/>
      <c r="AW719" s="708"/>
      <c r="AX719" s="708"/>
      <c r="AY719" s="708"/>
      <c r="AZ719" s="708"/>
      <c r="BA719" s="708"/>
      <c r="BB719" s="708"/>
      <c r="BC719" s="708"/>
      <c r="BD719" s="708"/>
      <c r="BE719" s="708"/>
      <c r="BF719" s="708"/>
      <c r="BG719" s="708"/>
      <c r="BH719" s="781"/>
      <c r="BI719" s="654"/>
      <c r="BJ719" s="709"/>
      <c r="BK719" s="710"/>
      <c r="BL719" s="654"/>
      <c r="BM719" s="731"/>
      <c r="BN719" s="701"/>
      <c r="BO719" s="701"/>
      <c r="BP719" s="701"/>
      <c r="BQ719" s="701"/>
      <c r="BR719" s="701"/>
      <c r="BS719" s="701"/>
      <c r="BT719" s="701"/>
      <c r="BU719" s="701"/>
      <c r="BV719" s="701"/>
      <c r="BW719" s="701"/>
      <c r="BX719" s="701"/>
      <c r="BY719" s="701"/>
      <c r="BZ719" s="701"/>
      <c r="CA719" s="701"/>
      <c r="CB719" s="701"/>
      <c r="CC719" s="701"/>
      <c r="CD719" s="701"/>
      <c r="CE719" s="701"/>
      <c r="CF719" s="701"/>
      <c r="CG719" s="701"/>
      <c r="CH719" s="701"/>
      <c r="CI719" s="701"/>
      <c r="CJ719" s="701"/>
      <c r="CK719" s="701"/>
      <c r="CL719" s="701"/>
      <c r="CM719" s="701"/>
      <c r="CN719" s="701"/>
      <c r="CO719" s="701"/>
      <c r="CP719" s="701"/>
      <c r="CQ719" s="701"/>
      <c r="CR719" s="701"/>
      <c r="CS719" s="701"/>
      <c r="CT719" s="701"/>
      <c r="CU719" s="701"/>
      <c r="CV719" s="701"/>
      <c r="CW719" s="701"/>
      <c r="CX719" s="701"/>
      <c r="CY719" s="701"/>
      <c r="CZ719" s="701"/>
      <c r="DA719" s="701"/>
      <c r="DB719" s="701"/>
      <c r="DC719" s="701"/>
      <c r="DD719" s="701"/>
      <c r="DE719" s="701"/>
      <c r="DF719" s="701"/>
      <c r="DG719" s="701"/>
      <c r="DH719" s="710"/>
    </row>
    <row r="720" spans="1:112" s="66" customFormat="1" ht="14.4" collapsed="1" thickBot="1" x14ac:dyDescent="0.35">
      <c r="A720" s="652" t="s">
        <v>516</v>
      </c>
      <c r="B720" s="652"/>
      <c r="C720" s="654"/>
      <c r="D720" s="654"/>
      <c r="E720" s="654"/>
      <c r="F720" s="654"/>
      <c r="G720" s="654"/>
      <c r="H720" s="654"/>
      <c r="I720" s="738"/>
      <c r="J720" s="68"/>
      <c r="K720" s="667"/>
      <c r="L720" s="782"/>
      <c r="M720" s="782"/>
      <c r="N720" s="782"/>
      <c r="O720" s="782"/>
      <c r="P720" s="782"/>
      <c r="Q720" s="782"/>
      <c r="R720" s="782"/>
      <c r="S720" s="782"/>
      <c r="T720" s="782"/>
      <c r="U720" s="782"/>
      <c r="V720" s="782"/>
      <c r="W720" s="782"/>
      <c r="X720" s="782"/>
      <c r="Y720" s="782"/>
      <c r="Z720" s="782"/>
      <c r="AA720" s="782"/>
      <c r="AB720" s="782"/>
      <c r="AC720" s="782"/>
      <c r="AD720" s="782"/>
      <c r="AE720" s="782"/>
      <c r="AF720" s="782"/>
      <c r="AG720" s="782"/>
      <c r="AH720" s="782"/>
      <c r="AI720" s="782"/>
      <c r="AJ720" s="782"/>
      <c r="AK720" s="782"/>
      <c r="AL720" s="782"/>
      <c r="AM720" s="782"/>
      <c r="AN720" s="782"/>
      <c r="AO720" s="782"/>
      <c r="AP720" s="782"/>
      <c r="AQ720" s="782"/>
      <c r="AR720" s="782"/>
      <c r="AS720" s="782"/>
      <c r="AT720" s="782"/>
      <c r="AU720" s="782"/>
      <c r="AV720" s="782"/>
      <c r="AW720" s="782"/>
      <c r="AX720" s="782"/>
      <c r="AY720" s="782"/>
      <c r="AZ720" s="782"/>
      <c r="BA720" s="782"/>
      <c r="BB720" s="782"/>
      <c r="BC720" s="782"/>
      <c r="BD720" s="782"/>
      <c r="BE720" s="782"/>
      <c r="BF720" s="782"/>
      <c r="BG720" s="782"/>
      <c r="BH720" s="667"/>
      <c r="BI720" s="654"/>
      <c r="BJ720" s="652"/>
      <c r="BK720" s="652"/>
      <c r="BL720" s="654"/>
      <c r="BM720" s="652"/>
      <c r="BN720" s="652"/>
      <c r="BO720" s="652"/>
      <c r="BP720" s="652"/>
      <c r="BQ720" s="652"/>
      <c r="BR720" s="652"/>
      <c r="BS720" s="652"/>
      <c r="BT720" s="652"/>
      <c r="BU720" s="652"/>
      <c r="BV720" s="652"/>
      <c r="BW720" s="652"/>
      <c r="BX720" s="652"/>
      <c r="BY720" s="652"/>
      <c r="BZ720" s="652"/>
      <c r="CA720" s="652"/>
      <c r="CB720" s="652"/>
      <c r="CC720" s="652"/>
      <c r="CD720" s="652"/>
      <c r="CE720" s="652"/>
      <c r="CF720" s="652"/>
      <c r="CG720" s="652"/>
      <c r="CH720" s="652"/>
      <c r="CI720" s="652"/>
      <c r="CJ720" s="652"/>
      <c r="CK720" s="652"/>
      <c r="CL720" s="652"/>
      <c r="CM720" s="652"/>
      <c r="CN720" s="652"/>
      <c r="CO720" s="652"/>
      <c r="CP720" s="652"/>
      <c r="CQ720" s="652"/>
      <c r="CR720" s="652"/>
      <c r="CS720" s="652"/>
      <c r="CT720" s="652"/>
      <c r="CU720" s="652"/>
      <c r="CV720" s="652"/>
      <c r="CW720" s="652"/>
      <c r="CX720" s="652"/>
      <c r="CY720" s="652"/>
      <c r="CZ720" s="652"/>
      <c r="DA720" s="652"/>
      <c r="DB720" s="652"/>
      <c r="DC720" s="652"/>
      <c r="DD720" s="652"/>
      <c r="DE720" s="652"/>
      <c r="DF720" s="652"/>
      <c r="DG720" s="652"/>
      <c r="DH720" s="652"/>
    </row>
    <row r="721" spans="1:112" s="66" customFormat="1" ht="25.8" thickBot="1" x14ac:dyDescent="0.35">
      <c r="A721" s="652" t="str">
        <f>IF(J721&gt;0,"Imprimir","")</f>
        <v>Imprimir</v>
      </c>
      <c r="B721" s="652"/>
      <c r="C721" s="841" t="s">
        <v>2099</v>
      </c>
      <c r="D721" s="648"/>
      <c r="E721" s="739"/>
      <c r="F721" s="648"/>
      <c r="G721" s="648"/>
      <c r="H721" s="648"/>
      <c r="I721" s="648"/>
      <c r="J721" s="749">
        <f>SUBTOTAL(9,J722:J955)</f>
        <v>80619.464631404509</v>
      </c>
      <c r="K721" s="653"/>
      <c r="L721" s="790">
        <f t="shared" ref="L721:BG721" si="262">SUBTOTAL(9,L722:L956)</f>
        <v>25294.886611787668</v>
      </c>
      <c r="M721" s="791">
        <f t="shared" si="262"/>
        <v>552.1841071428571</v>
      </c>
      <c r="N721" s="791">
        <f t="shared" si="262"/>
        <v>1147.7541071428568</v>
      </c>
      <c r="O721" s="791">
        <f t="shared" si="262"/>
        <v>1407.314107142857</v>
      </c>
      <c r="P721" s="791">
        <f t="shared" si="262"/>
        <v>2523.7781071428567</v>
      </c>
      <c r="Q721" s="791">
        <f t="shared" si="262"/>
        <v>552.1841071428571</v>
      </c>
      <c r="R721" s="791">
        <f t="shared" si="262"/>
        <v>1560.3041071428565</v>
      </c>
      <c r="S721" s="791">
        <f t="shared" si="262"/>
        <v>1142.2141071428571</v>
      </c>
      <c r="T721" s="791">
        <f t="shared" si="262"/>
        <v>1560.3041071428565</v>
      </c>
      <c r="U721" s="791">
        <f t="shared" si="262"/>
        <v>552.1841071428571</v>
      </c>
      <c r="V721" s="791">
        <f t="shared" si="262"/>
        <v>1560.3041071428565</v>
      </c>
      <c r="W721" s="791">
        <f t="shared" si="262"/>
        <v>1853.3237071428568</v>
      </c>
      <c r="X721" s="791">
        <f t="shared" si="262"/>
        <v>1560.3041071428565</v>
      </c>
      <c r="Y721" s="791">
        <f t="shared" si="262"/>
        <v>564.46410714285707</v>
      </c>
      <c r="Z721" s="791">
        <f t="shared" si="262"/>
        <v>2929.9138839025559</v>
      </c>
      <c r="AA721" s="791">
        <f t="shared" si="262"/>
        <v>482.65714285714279</v>
      </c>
      <c r="AB721" s="791">
        <f t="shared" si="262"/>
        <v>1213.3971428571424</v>
      </c>
      <c r="AC721" s="791">
        <f t="shared" si="262"/>
        <v>217.55714285714279</v>
      </c>
      <c r="AD721" s="791">
        <f t="shared" si="262"/>
        <v>1213.3971428571424</v>
      </c>
      <c r="AE721" s="791">
        <f t="shared" si="262"/>
        <v>1205.5571428571429</v>
      </c>
      <c r="AF721" s="791">
        <f t="shared" si="262"/>
        <v>1213.3971428571424</v>
      </c>
      <c r="AG721" s="791">
        <f t="shared" si="262"/>
        <v>217.55714285714279</v>
      </c>
      <c r="AH721" s="791">
        <f t="shared" si="262"/>
        <v>800.84714285714256</v>
      </c>
      <c r="AI721" s="791">
        <f t="shared" si="262"/>
        <v>795.30714285714282</v>
      </c>
      <c r="AJ721" s="791">
        <f t="shared" si="262"/>
        <v>2817.0871428571431</v>
      </c>
      <c r="AK721" s="791">
        <f t="shared" si="262"/>
        <v>0</v>
      </c>
      <c r="AL721" s="791">
        <f t="shared" si="262"/>
        <v>0</v>
      </c>
      <c r="AM721" s="791">
        <f t="shared" si="262"/>
        <v>0</v>
      </c>
      <c r="AN721" s="791">
        <f t="shared" si="262"/>
        <v>0</v>
      </c>
      <c r="AO721" s="791">
        <f t="shared" si="262"/>
        <v>0</v>
      </c>
      <c r="AP721" s="791">
        <f t="shared" si="262"/>
        <v>0</v>
      </c>
      <c r="AQ721" s="791">
        <f t="shared" si="262"/>
        <v>0</v>
      </c>
      <c r="AR721" s="791">
        <f t="shared" si="262"/>
        <v>0</v>
      </c>
      <c r="AS721" s="791">
        <f t="shared" si="262"/>
        <v>0</v>
      </c>
      <c r="AT721" s="791">
        <f t="shared" si="262"/>
        <v>0</v>
      </c>
      <c r="AU721" s="791">
        <f t="shared" si="262"/>
        <v>0</v>
      </c>
      <c r="AV721" s="791">
        <f t="shared" si="262"/>
        <v>0</v>
      </c>
      <c r="AW721" s="791">
        <f t="shared" si="262"/>
        <v>0</v>
      </c>
      <c r="AX721" s="791">
        <f t="shared" si="262"/>
        <v>0</v>
      </c>
      <c r="AY721" s="791">
        <f t="shared" si="262"/>
        <v>0</v>
      </c>
      <c r="AZ721" s="791">
        <f t="shared" si="262"/>
        <v>0</v>
      </c>
      <c r="BA721" s="791">
        <f t="shared" si="262"/>
        <v>0</v>
      </c>
      <c r="BB721" s="791">
        <f t="shared" si="262"/>
        <v>0</v>
      </c>
      <c r="BC721" s="791">
        <f t="shared" si="262"/>
        <v>0</v>
      </c>
      <c r="BD721" s="791">
        <f t="shared" si="262"/>
        <v>0</v>
      </c>
      <c r="BE721" s="791">
        <f t="shared" si="262"/>
        <v>0</v>
      </c>
      <c r="BF721" s="791">
        <f t="shared" si="262"/>
        <v>0</v>
      </c>
      <c r="BG721" s="791">
        <f t="shared" si="262"/>
        <v>0</v>
      </c>
      <c r="BH721" s="798"/>
      <c r="BI721" s="654"/>
      <c r="BJ721" s="740"/>
      <c r="BK721" s="749">
        <f>SUBTOTAL(9,BK722:BK955)</f>
        <v>44922.812962960001</v>
      </c>
      <c r="BL721" s="654"/>
      <c r="BM721" s="794">
        <f t="shared" ref="BM721:DH721" si="263">SUBTOTAL(9,BM722:BM955)</f>
        <v>0</v>
      </c>
      <c r="BN721" s="793">
        <f t="shared" si="263"/>
        <v>0</v>
      </c>
      <c r="BO721" s="793">
        <f t="shared" si="263"/>
        <v>0</v>
      </c>
      <c r="BP721" s="793">
        <f t="shared" si="263"/>
        <v>0</v>
      </c>
      <c r="BQ721" s="793">
        <f t="shared" si="263"/>
        <v>9406.7827838399971</v>
      </c>
      <c r="BR721" s="793">
        <f t="shared" si="263"/>
        <v>4235.5125791199998</v>
      </c>
      <c r="BS721" s="793">
        <f t="shared" si="263"/>
        <v>8080.517600000001</v>
      </c>
      <c r="BT721" s="793">
        <f t="shared" si="263"/>
        <v>0</v>
      </c>
      <c r="BU721" s="793">
        <f t="shared" si="263"/>
        <v>0</v>
      </c>
      <c r="BV721" s="793">
        <f t="shared" si="263"/>
        <v>0</v>
      </c>
      <c r="BW721" s="793">
        <f t="shared" si="263"/>
        <v>0</v>
      </c>
      <c r="BX721" s="793">
        <f t="shared" si="263"/>
        <v>0</v>
      </c>
      <c r="BY721" s="793">
        <f t="shared" si="263"/>
        <v>0</v>
      </c>
      <c r="BZ721" s="793">
        <f t="shared" si="263"/>
        <v>0</v>
      </c>
      <c r="CA721" s="793">
        <f t="shared" si="263"/>
        <v>0</v>
      </c>
      <c r="CB721" s="793">
        <f t="shared" si="263"/>
        <v>0</v>
      </c>
      <c r="CC721" s="793">
        <f t="shared" si="263"/>
        <v>23200</v>
      </c>
      <c r="CD721" s="793">
        <f t="shared" si="263"/>
        <v>0</v>
      </c>
      <c r="CE721" s="793">
        <f t="shared" si="263"/>
        <v>0</v>
      </c>
      <c r="CF721" s="793">
        <f t="shared" si="263"/>
        <v>0</v>
      </c>
      <c r="CG721" s="793">
        <f t="shared" si="263"/>
        <v>0</v>
      </c>
      <c r="CH721" s="793">
        <f t="shared" si="263"/>
        <v>0</v>
      </c>
      <c r="CI721" s="793">
        <f t="shared" si="263"/>
        <v>0</v>
      </c>
      <c r="CJ721" s="793">
        <f t="shared" si="263"/>
        <v>0</v>
      </c>
      <c r="CK721" s="793">
        <f t="shared" si="263"/>
        <v>0</v>
      </c>
      <c r="CL721" s="793">
        <f t="shared" si="263"/>
        <v>0</v>
      </c>
      <c r="CM721" s="793">
        <f t="shared" si="263"/>
        <v>0</v>
      </c>
      <c r="CN721" s="793">
        <f t="shared" si="263"/>
        <v>0</v>
      </c>
      <c r="CO721" s="793">
        <f t="shared" si="263"/>
        <v>0</v>
      </c>
      <c r="CP721" s="793">
        <f t="shared" si="263"/>
        <v>0</v>
      </c>
      <c r="CQ721" s="793">
        <f t="shared" si="263"/>
        <v>0</v>
      </c>
      <c r="CR721" s="793">
        <f t="shared" si="263"/>
        <v>0</v>
      </c>
      <c r="CS721" s="793">
        <f t="shared" si="263"/>
        <v>0</v>
      </c>
      <c r="CT721" s="793">
        <f t="shared" si="263"/>
        <v>0</v>
      </c>
      <c r="CU721" s="793">
        <f t="shared" si="263"/>
        <v>0</v>
      </c>
      <c r="CV721" s="793">
        <f t="shared" si="263"/>
        <v>0</v>
      </c>
      <c r="CW721" s="793">
        <f t="shared" si="263"/>
        <v>0</v>
      </c>
      <c r="CX721" s="793">
        <f t="shared" si="263"/>
        <v>0</v>
      </c>
      <c r="CY721" s="793">
        <f t="shared" si="263"/>
        <v>0</v>
      </c>
      <c r="CZ721" s="793">
        <f t="shared" si="263"/>
        <v>0</v>
      </c>
      <c r="DA721" s="793">
        <f t="shared" si="263"/>
        <v>0</v>
      </c>
      <c r="DB721" s="793">
        <f t="shared" si="263"/>
        <v>0</v>
      </c>
      <c r="DC721" s="793">
        <f t="shared" si="263"/>
        <v>0</v>
      </c>
      <c r="DD721" s="793">
        <f t="shared" si="263"/>
        <v>0</v>
      </c>
      <c r="DE721" s="793">
        <f t="shared" si="263"/>
        <v>0</v>
      </c>
      <c r="DF721" s="793">
        <f t="shared" si="263"/>
        <v>0</v>
      </c>
      <c r="DG721" s="793">
        <f t="shared" si="263"/>
        <v>0</v>
      </c>
      <c r="DH721" s="749">
        <f t="shared" si="263"/>
        <v>0</v>
      </c>
    </row>
    <row r="722" spans="1:112" s="649" customFormat="1" x14ac:dyDescent="0.3">
      <c r="A722" s="652" t="str">
        <f>IF(J722&gt;0,"Imprimir","")</f>
        <v>Imprimir</v>
      </c>
      <c r="B722" s="652"/>
      <c r="C722" s="655"/>
      <c r="D722" s="656" t="s">
        <v>374</v>
      </c>
      <c r="E722" s="656" t="s">
        <v>471</v>
      </c>
      <c r="F722" s="656"/>
      <c r="G722" s="656"/>
      <c r="H722" s="656"/>
      <c r="I722" s="657"/>
      <c r="J722" s="647">
        <f>SUBTOTAL(9,J725:J733)</f>
        <v>45870.685714285704</v>
      </c>
      <c r="K722" s="658"/>
      <c r="L722" s="770">
        <f t="shared" ref="L722:BG722" si="264">SUMPRODUCT($J725:$J733,L725:L733)</f>
        <v>7696.92</v>
      </c>
      <c r="M722" s="771">
        <f t="shared" si="264"/>
        <v>0</v>
      </c>
      <c r="N722" s="771">
        <f t="shared" si="264"/>
        <v>595.32000000000005</v>
      </c>
      <c r="O722" s="771">
        <f t="shared" si="264"/>
        <v>0</v>
      </c>
      <c r="P722" s="771">
        <f t="shared" si="264"/>
        <v>595.32000000000005</v>
      </c>
      <c r="Q722" s="771">
        <f t="shared" si="264"/>
        <v>0</v>
      </c>
      <c r="R722" s="771">
        <f t="shared" si="264"/>
        <v>1007.82</v>
      </c>
      <c r="S722" s="771">
        <f t="shared" si="264"/>
        <v>0</v>
      </c>
      <c r="T722" s="771">
        <f t="shared" si="264"/>
        <v>1007.82</v>
      </c>
      <c r="U722" s="771">
        <f t="shared" si="264"/>
        <v>0</v>
      </c>
      <c r="V722" s="771">
        <f t="shared" si="264"/>
        <v>1007.82</v>
      </c>
      <c r="W722" s="771">
        <f t="shared" si="264"/>
        <v>0</v>
      </c>
      <c r="X722" s="771">
        <f t="shared" si="264"/>
        <v>1007.82</v>
      </c>
      <c r="Y722" s="771">
        <f t="shared" si="264"/>
        <v>0</v>
      </c>
      <c r="Z722" s="771">
        <f t="shared" si="264"/>
        <v>1007.82</v>
      </c>
      <c r="AA722" s="771">
        <f t="shared" si="264"/>
        <v>0</v>
      </c>
      <c r="AB722" s="771">
        <f t="shared" si="264"/>
        <v>1007.82</v>
      </c>
      <c r="AC722" s="771">
        <f t="shared" si="264"/>
        <v>0</v>
      </c>
      <c r="AD722" s="771">
        <f t="shared" si="264"/>
        <v>1007.82</v>
      </c>
      <c r="AE722" s="771">
        <f t="shared" si="264"/>
        <v>0</v>
      </c>
      <c r="AF722" s="771">
        <f t="shared" si="264"/>
        <v>1007.82</v>
      </c>
      <c r="AG722" s="771">
        <f t="shared" si="264"/>
        <v>0</v>
      </c>
      <c r="AH722" s="771">
        <f t="shared" si="264"/>
        <v>595.32000000000005</v>
      </c>
      <c r="AI722" s="771">
        <f t="shared" si="264"/>
        <v>0</v>
      </c>
      <c r="AJ722" s="771">
        <f t="shared" si="264"/>
        <v>2610.96</v>
      </c>
      <c r="AK722" s="771">
        <f t="shared" si="264"/>
        <v>0</v>
      </c>
      <c r="AL722" s="771">
        <f t="shared" si="264"/>
        <v>0</v>
      </c>
      <c r="AM722" s="771">
        <f t="shared" si="264"/>
        <v>0</v>
      </c>
      <c r="AN722" s="771">
        <f t="shared" si="264"/>
        <v>0</v>
      </c>
      <c r="AO722" s="771">
        <f t="shared" si="264"/>
        <v>0</v>
      </c>
      <c r="AP722" s="771">
        <f t="shared" si="264"/>
        <v>0</v>
      </c>
      <c r="AQ722" s="771">
        <f t="shared" si="264"/>
        <v>0</v>
      </c>
      <c r="AR722" s="771">
        <f t="shared" si="264"/>
        <v>0</v>
      </c>
      <c r="AS722" s="771">
        <f t="shared" si="264"/>
        <v>0</v>
      </c>
      <c r="AT722" s="771">
        <f t="shared" si="264"/>
        <v>0</v>
      </c>
      <c r="AU722" s="771">
        <f t="shared" si="264"/>
        <v>0</v>
      </c>
      <c r="AV722" s="771">
        <f t="shared" si="264"/>
        <v>0</v>
      </c>
      <c r="AW722" s="771">
        <f t="shared" si="264"/>
        <v>0</v>
      </c>
      <c r="AX722" s="771">
        <f t="shared" si="264"/>
        <v>0</v>
      </c>
      <c r="AY722" s="771">
        <f t="shared" si="264"/>
        <v>0</v>
      </c>
      <c r="AZ722" s="771">
        <f t="shared" si="264"/>
        <v>0</v>
      </c>
      <c r="BA722" s="771">
        <f t="shared" si="264"/>
        <v>0</v>
      </c>
      <c r="BB722" s="771">
        <f t="shared" si="264"/>
        <v>0</v>
      </c>
      <c r="BC722" s="771">
        <f t="shared" si="264"/>
        <v>0</v>
      </c>
      <c r="BD722" s="771">
        <f t="shared" si="264"/>
        <v>0</v>
      </c>
      <c r="BE722" s="771">
        <f t="shared" si="264"/>
        <v>0</v>
      </c>
      <c r="BF722" s="771">
        <f t="shared" si="264"/>
        <v>0</v>
      </c>
      <c r="BG722" s="764">
        <f t="shared" si="264"/>
        <v>0</v>
      </c>
      <c r="BH722" s="776"/>
      <c r="BI722" s="654"/>
      <c r="BJ722" s="659">
        <f>IFERROR(BK722/J722,0)</f>
        <v>0</v>
      </c>
      <c r="BK722" s="660">
        <f>SUBTOTAL(9,BK723:BK733)</f>
        <v>0</v>
      </c>
      <c r="BL722" s="654"/>
      <c r="BM722" s="661">
        <f t="shared" ref="BM722:DH722" si="265">SUBTOTAL(9,BM723:BM733)</f>
        <v>0</v>
      </c>
      <c r="BN722" s="662">
        <f t="shared" si="265"/>
        <v>0</v>
      </c>
      <c r="BO722" s="662">
        <f t="shared" si="265"/>
        <v>0</v>
      </c>
      <c r="BP722" s="662">
        <f t="shared" si="265"/>
        <v>0</v>
      </c>
      <c r="BQ722" s="662">
        <f t="shared" si="265"/>
        <v>0</v>
      </c>
      <c r="BR722" s="662">
        <f t="shared" si="265"/>
        <v>0</v>
      </c>
      <c r="BS722" s="662">
        <f t="shared" si="265"/>
        <v>0</v>
      </c>
      <c r="BT722" s="662">
        <f t="shared" si="265"/>
        <v>0</v>
      </c>
      <c r="BU722" s="662">
        <f t="shared" si="265"/>
        <v>0</v>
      </c>
      <c r="BV722" s="662">
        <f t="shared" si="265"/>
        <v>0</v>
      </c>
      <c r="BW722" s="662">
        <f t="shared" si="265"/>
        <v>0</v>
      </c>
      <c r="BX722" s="662">
        <f t="shared" si="265"/>
        <v>0</v>
      </c>
      <c r="BY722" s="662">
        <f t="shared" si="265"/>
        <v>0</v>
      </c>
      <c r="BZ722" s="662">
        <f t="shared" si="265"/>
        <v>0</v>
      </c>
      <c r="CA722" s="662">
        <f t="shared" si="265"/>
        <v>0</v>
      </c>
      <c r="CB722" s="662">
        <f t="shared" si="265"/>
        <v>0</v>
      </c>
      <c r="CC722" s="662">
        <f t="shared" si="265"/>
        <v>0</v>
      </c>
      <c r="CD722" s="662">
        <f t="shared" si="265"/>
        <v>0</v>
      </c>
      <c r="CE722" s="662">
        <f t="shared" si="265"/>
        <v>0</v>
      </c>
      <c r="CF722" s="662">
        <f t="shared" si="265"/>
        <v>0</v>
      </c>
      <c r="CG722" s="662">
        <f t="shared" si="265"/>
        <v>0</v>
      </c>
      <c r="CH722" s="662">
        <f t="shared" si="265"/>
        <v>0</v>
      </c>
      <c r="CI722" s="662">
        <f t="shared" si="265"/>
        <v>0</v>
      </c>
      <c r="CJ722" s="662">
        <f t="shared" si="265"/>
        <v>0</v>
      </c>
      <c r="CK722" s="662">
        <f t="shared" si="265"/>
        <v>0</v>
      </c>
      <c r="CL722" s="662">
        <f t="shared" si="265"/>
        <v>0</v>
      </c>
      <c r="CM722" s="662">
        <f t="shared" si="265"/>
        <v>0</v>
      </c>
      <c r="CN722" s="662">
        <f t="shared" si="265"/>
        <v>0</v>
      </c>
      <c r="CO722" s="662">
        <f t="shared" si="265"/>
        <v>0</v>
      </c>
      <c r="CP722" s="662">
        <f t="shared" si="265"/>
        <v>0</v>
      </c>
      <c r="CQ722" s="662">
        <f t="shared" si="265"/>
        <v>0</v>
      </c>
      <c r="CR722" s="662">
        <f t="shared" si="265"/>
        <v>0</v>
      </c>
      <c r="CS722" s="662">
        <f t="shared" si="265"/>
        <v>0</v>
      </c>
      <c r="CT722" s="662">
        <f t="shared" si="265"/>
        <v>0</v>
      </c>
      <c r="CU722" s="662">
        <f t="shared" si="265"/>
        <v>0</v>
      </c>
      <c r="CV722" s="662">
        <f t="shared" si="265"/>
        <v>0</v>
      </c>
      <c r="CW722" s="662">
        <f t="shared" si="265"/>
        <v>0</v>
      </c>
      <c r="CX722" s="662">
        <f t="shared" si="265"/>
        <v>0</v>
      </c>
      <c r="CY722" s="662">
        <f t="shared" si="265"/>
        <v>0</v>
      </c>
      <c r="CZ722" s="662">
        <f t="shared" si="265"/>
        <v>0</v>
      </c>
      <c r="DA722" s="662">
        <f t="shared" si="265"/>
        <v>0</v>
      </c>
      <c r="DB722" s="662">
        <f t="shared" si="265"/>
        <v>0</v>
      </c>
      <c r="DC722" s="662">
        <f t="shared" si="265"/>
        <v>0</v>
      </c>
      <c r="DD722" s="662">
        <f t="shared" si="265"/>
        <v>0</v>
      </c>
      <c r="DE722" s="662">
        <f t="shared" si="265"/>
        <v>0</v>
      </c>
      <c r="DF722" s="662">
        <f t="shared" si="265"/>
        <v>0</v>
      </c>
      <c r="DG722" s="662">
        <f t="shared" si="265"/>
        <v>0</v>
      </c>
      <c r="DH722" s="663">
        <f t="shared" si="265"/>
        <v>0</v>
      </c>
    </row>
    <row r="723" spans="1:112" s="649" customFormat="1" outlineLevel="1" x14ac:dyDescent="0.3">
      <c r="A723" s="652" t="str">
        <f>IF(J722&gt;0,"Imprimir","")</f>
        <v>Imprimir</v>
      </c>
      <c r="B723" s="652"/>
      <c r="C723" s="664"/>
      <c r="D723" s="665"/>
      <c r="E723" s="665"/>
      <c r="F723" s="665" t="s">
        <v>472</v>
      </c>
      <c r="G723" s="665" t="s">
        <v>2128</v>
      </c>
      <c r="H723" s="665" t="s">
        <v>98</v>
      </c>
      <c r="I723" s="665" t="s">
        <v>474</v>
      </c>
      <c r="J723" s="104" t="s">
        <v>29</v>
      </c>
      <c r="K723" s="667"/>
      <c r="L723" s="745"/>
      <c r="M723" s="741"/>
      <c r="N723" s="741"/>
      <c r="O723" s="741"/>
      <c r="P723" s="741"/>
      <c r="Q723" s="741"/>
      <c r="R723" s="741"/>
      <c r="S723" s="741"/>
      <c r="T723" s="741"/>
      <c r="U723" s="741"/>
      <c r="V723" s="741"/>
      <c r="W723" s="741"/>
      <c r="X723" s="741"/>
      <c r="Y723" s="741"/>
      <c r="Z723" s="741"/>
      <c r="AA723" s="741"/>
      <c r="AB723" s="741"/>
      <c r="AC723" s="741"/>
      <c r="AD723" s="741"/>
      <c r="AE723" s="741"/>
      <c r="AF723" s="741"/>
      <c r="AG723" s="741"/>
      <c r="AH723" s="741"/>
      <c r="AI723" s="741"/>
      <c r="AJ723" s="741"/>
      <c r="AK723" s="741"/>
      <c r="AL723" s="741"/>
      <c r="AM723" s="741"/>
      <c r="AN723" s="741"/>
      <c r="AO723" s="741"/>
      <c r="AP723" s="741"/>
      <c r="AQ723" s="741"/>
      <c r="AR723" s="741"/>
      <c r="AS723" s="741"/>
      <c r="AT723" s="741"/>
      <c r="AU723" s="741"/>
      <c r="AV723" s="741"/>
      <c r="AW723" s="741"/>
      <c r="AX723" s="741"/>
      <c r="AY723" s="741"/>
      <c r="AZ723" s="741"/>
      <c r="BA723" s="741"/>
      <c r="BB723" s="741"/>
      <c r="BC723" s="741"/>
      <c r="BD723" s="741"/>
      <c r="BE723" s="741"/>
      <c r="BF723" s="741"/>
      <c r="BG723" s="741"/>
      <c r="BH723" s="668"/>
      <c r="BI723" s="654"/>
      <c r="BJ723" s="669"/>
      <c r="BK723" s="670"/>
      <c r="BL723" s="654"/>
      <c r="BM723" s="671"/>
      <c r="BN723" s="665"/>
      <c r="BO723" s="665"/>
      <c r="BP723" s="665"/>
      <c r="BQ723" s="665"/>
      <c r="BR723" s="665"/>
      <c r="BS723" s="665"/>
      <c r="BT723" s="665"/>
      <c r="BU723" s="665"/>
      <c r="BV723" s="665"/>
      <c r="BW723" s="665"/>
      <c r="BX723" s="665"/>
      <c r="BY723" s="665"/>
      <c r="BZ723" s="665"/>
      <c r="CA723" s="665"/>
      <c r="CB723" s="665"/>
      <c r="CC723" s="665"/>
      <c r="CD723" s="665"/>
      <c r="CE723" s="665"/>
      <c r="CF723" s="665"/>
      <c r="CG723" s="665"/>
      <c r="CH723" s="665"/>
      <c r="CI723" s="665"/>
      <c r="CJ723" s="665"/>
      <c r="CK723" s="665"/>
      <c r="CL723" s="665"/>
      <c r="CM723" s="665"/>
      <c r="CN723" s="665"/>
      <c r="CO723" s="665"/>
      <c r="CP723" s="665"/>
      <c r="CQ723" s="665"/>
      <c r="CR723" s="665"/>
      <c r="CS723" s="665"/>
      <c r="CT723" s="665"/>
      <c r="CU723" s="665"/>
      <c r="CV723" s="665"/>
      <c r="CW723" s="665"/>
      <c r="CX723" s="665"/>
      <c r="CY723" s="665"/>
      <c r="CZ723" s="665"/>
      <c r="DA723" s="665"/>
      <c r="DB723" s="665"/>
      <c r="DC723" s="665"/>
      <c r="DD723" s="665"/>
      <c r="DE723" s="665"/>
      <c r="DF723" s="665"/>
      <c r="DG723" s="665"/>
      <c r="DH723" s="666"/>
    </row>
    <row r="724" spans="1:112" s="649" customFormat="1" ht="15.6" outlineLevel="1" x14ac:dyDescent="0.3">
      <c r="A724" s="652" t="str">
        <f>IF(J724&gt;0,"Imprimir","")</f>
        <v>Imprimir</v>
      </c>
      <c r="B724" s="652"/>
      <c r="C724" s="672"/>
      <c r="D724" s="673"/>
      <c r="E724" s="674"/>
      <c r="F724" s="675"/>
      <c r="G724" s="675"/>
      <c r="H724" s="676"/>
      <c r="I724" s="677"/>
      <c r="J724" s="219">
        <f>SUBTOTAL(9,J725:J733)</f>
        <v>45870.685714285704</v>
      </c>
      <c r="K724" s="678"/>
      <c r="L724" s="747"/>
      <c r="M724" s="742"/>
      <c r="N724" s="742"/>
      <c r="O724" s="742"/>
      <c r="P724" s="742"/>
      <c r="Q724" s="742"/>
      <c r="R724" s="742"/>
      <c r="S724" s="742"/>
      <c r="T724" s="742"/>
      <c r="U724" s="742"/>
      <c r="V724" s="742"/>
      <c r="W724" s="742"/>
      <c r="X724" s="742"/>
      <c r="Y724" s="742"/>
      <c r="Z724" s="742"/>
      <c r="AA724" s="742"/>
      <c r="AB724" s="742"/>
      <c r="AC724" s="742"/>
      <c r="AD724" s="742"/>
      <c r="AE724" s="742"/>
      <c r="AF724" s="742"/>
      <c r="AG724" s="742"/>
      <c r="AH724" s="742"/>
      <c r="AI724" s="742"/>
      <c r="AJ724" s="742"/>
      <c r="AK724" s="742"/>
      <c r="AL724" s="742"/>
      <c r="AM724" s="742"/>
      <c r="AN724" s="742"/>
      <c r="AO724" s="742"/>
      <c r="AP724" s="742"/>
      <c r="AQ724" s="742"/>
      <c r="AR724" s="742"/>
      <c r="AS724" s="742"/>
      <c r="AT724" s="742"/>
      <c r="AU724" s="742"/>
      <c r="AV724" s="742"/>
      <c r="AW724" s="742"/>
      <c r="AX724" s="742"/>
      <c r="AY724" s="742"/>
      <c r="AZ724" s="742"/>
      <c r="BA724" s="742"/>
      <c r="BB724" s="742"/>
      <c r="BC724" s="742"/>
      <c r="BD724" s="742"/>
      <c r="BE724" s="742"/>
      <c r="BF724" s="742"/>
      <c r="BG724" s="742"/>
      <c r="BH724" s="679"/>
      <c r="BI724" s="654"/>
      <c r="BJ724" s="680"/>
      <c r="BK724" s="681"/>
      <c r="BL724" s="654"/>
      <c r="BM724" s="682"/>
      <c r="BN724" s="683"/>
      <c r="BO724" s="683"/>
      <c r="BP724" s="683"/>
      <c r="BQ724" s="683"/>
      <c r="BR724" s="683"/>
      <c r="BS724" s="683"/>
      <c r="BT724" s="683"/>
      <c r="BU724" s="683"/>
      <c r="BV724" s="683"/>
      <c r="BW724" s="683"/>
      <c r="BX724" s="683"/>
      <c r="BY724" s="683"/>
      <c r="BZ724" s="683"/>
      <c r="CA724" s="683"/>
      <c r="CB724" s="683"/>
      <c r="CC724" s="683"/>
      <c r="CD724" s="683"/>
      <c r="CE724" s="683"/>
      <c r="CF724" s="683"/>
      <c r="CG724" s="683"/>
      <c r="CH724" s="683"/>
      <c r="CI724" s="683"/>
      <c r="CJ724" s="683"/>
      <c r="CK724" s="683"/>
      <c r="CL724" s="683"/>
      <c r="CM724" s="683"/>
      <c r="CN724" s="683"/>
      <c r="CO724" s="683"/>
      <c r="CP724" s="683"/>
      <c r="CQ724" s="683"/>
      <c r="CR724" s="683"/>
      <c r="CS724" s="683"/>
      <c r="CT724" s="683"/>
      <c r="CU724" s="683"/>
      <c r="CV724" s="683"/>
      <c r="CW724" s="683"/>
      <c r="CX724" s="683"/>
      <c r="CY724" s="683"/>
      <c r="CZ724" s="683"/>
      <c r="DA724" s="683"/>
      <c r="DB724" s="683"/>
      <c r="DC724" s="683"/>
      <c r="DD724" s="683"/>
      <c r="DE724" s="683"/>
      <c r="DF724" s="683"/>
      <c r="DG724" s="683"/>
      <c r="DH724" s="684"/>
    </row>
    <row r="725" spans="1:112" s="649" customFormat="1" outlineLevel="1" x14ac:dyDescent="0.3">
      <c r="A725" s="652" t="str">
        <f t="shared" ref="A725:A732" si="266">IF(J725="","",IF(J725=0,"","Imprimir"))</f>
        <v>Imprimir</v>
      </c>
      <c r="B725" s="652"/>
      <c r="C725" s="685"/>
      <c r="D725" s="686" t="s">
        <v>2713</v>
      </c>
      <c r="E725" s="686" t="s">
        <v>2010</v>
      </c>
      <c r="F725" s="687"/>
      <c r="G725" s="688">
        <v>262</v>
      </c>
      <c r="H725" s="531">
        <f>Producción!G78*1</f>
        <v>3</v>
      </c>
      <c r="I725" s="851">
        <f t="shared" ref="I725:I732" si="267">IF(E725&gt;0,$J$5,"")</f>
        <v>1</v>
      </c>
      <c r="J725" s="850">
        <f>IFERROR(G725*H725*I725,"")</f>
        <v>786</v>
      </c>
      <c r="K725" s="667"/>
      <c r="L725" s="862">
        <v>0.3</v>
      </c>
      <c r="M725" s="859"/>
      <c r="N725" s="859">
        <v>0.05</v>
      </c>
      <c r="O725" s="859"/>
      <c r="P725" s="859">
        <v>0.05</v>
      </c>
      <c r="Q725" s="859"/>
      <c r="R725" s="859">
        <v>0.05</v>
      </c>
      <c r="S725" s="859"/>
      <c r="T725" s="859">
        <v>0.05</v>
      </c>
      <c r="U725" s="859"/>
      <c r="V725" s="859">
        <v>0.05</v>
      </c>
      <c r="W725" s="859"/>
      <c r="X725" s="859">
        <v>0.05</v>
      </c>
      <c r="Y725" s="859"/>
      <c r="Z725" s="860">
        <v>0.05</v>
      </c>
      <c r="AA725" s="860"/>
      <c r="AB725" s="860">
        <v>0.05</v>
      </c>
      <c r="AC725" s="860"/>
      <c r="AD725" s="860">
        <v>0.05</v>
      </c>
      <c r="AE725" s="860"/>
      <c r="AF725" s="860">
        <v>0.05</v>
      </c>
      <c r="AG725" s="860"/>
      <c r="AH725" s="860">
        <v>0.05</v>
      </c>
      <c r="AI725" s="860"/>
      <c r="AJ725" s="860">
        <v>0.15</v>
      </c>
      <c r="AK725" s="860"/>
      <c r="AL725" s="860"/>
      <c r="AM725" s="860"/>
      <c r="AN725" s="860"/>
      <c r="AO725" s="860"/>
      <c r="AP725" s="860"/>
      <c r="AQ725" s="860"/>
      <c r="AR725" s="860"/>
      <c r="AS725" s="860"/>
      <c r="AT725" s="860"/>
      <c r="AU725" s="860"/>
      <c r="AV725" s="860"/>
      <c r="AW725" s="860"/>
      <c r="AX725" s="860"/>
      <c r="AY725" s="860"/>
      <c r="AZ725" s="860"/>
      <c r="BA725" s="860"/>
      <c r="BB725" s="860"/>
      <c r="BC725" s="860"/>
      <c r="BD725" s="860"/>
      <c r="BE725" s="860"/>
      <c r="BF725" s="860"/>
      <c r="BG725" s="860"/>
      <c r="BH725" s="668"/>
      <c r="BI725" s="654"/>
      <c r="BJ725" s="690">
        <f t="shared" ref="BJ725:BJ732" si="268">IFERROR(BK725/J725,0)</f>
        <v>0</v>
      </c>
      <c r="BK725" s="691">
        <f t="shared" ref="BK725:BK732" si="269">SUM(BM725:DH725)</f>
        <v>0</v>
      </c>
      <c r="BL725" s="654"/>
      <c r="BM725" s="692">
        <f>SUMIFS(Imput[Importe Neto],Imput[C. Imp.],$D725,Imput[PERIODO Imp.],BM$9)</f>
        <v>0</v>
      </c>
      <c r="BN725" s="693">
        <f>SUMIFS(Imput[Importe Neto],Imput[C. Imp.],$D725,Imput[PERIODO Imp.],BN$9)</f>
        <v>0</v>
      </c>
      <c r="BO725" s="693">
        <f>SUMIFS(Imput[Importe Neto],Imput[C. Imp.],$D725,Imput[PERIODO Imp.],BO$9)</f>
        <v>0</v>
      </c>
      <c r="BP725" s="693">
        <f>SUMIFS(Imput[Importe Neto],Imput[C. Imp.],$D725,Imput[PERIODO Imp.],BP$9)</f>
        <v>0</v>
      </c>
      <c r="BQ725" s="693">
        <f>SUMIFS(Imput[Importe Neto],Imput[C. Imp.],$D725,Imput[PERIODO Imp.],BQ$9)</f>
        <v>0</v>
      </c>
      <c r="BR725" s="693">
        <f>SUMIFS(Imput[Importe Neto],Imput[C. Imp.],$D725,Imput[PERIODO Imp.],BR$9)</f>
        <v>0</v>
      </c>
      <c r="BS725" s="693">
        <f>SUMIFS(Imput[Importe Neto],Imput[C. Imp.],$D725,Imput[PERIODO Imp.],BS$9)</f>
        <v>0</v>
      </c>
      <c r="BT725" s="693">
        <f>SUMIFS(Imput[Importe Neto],Imput[C. Imp.],$D725,Imput[PERIODO Imp.],BT$9)</f>
        <v>0</v>
      </c>
      <c r="BU725" s="693">
        <f>SUMIFS(Imput[Importe Neto],Imput[C. Imp.],$D725,Imput[PERIODO Imp.],BU$9)</f>
        <v>0</v>
      </c>
      <c r="BV725" s="693">
        <f>SUMIFS(Imput[Importe Neto],Imput[C. Imp.],$D725,Imput[PERIODO Imp.],BV$9)</f>
        <v>0</v>
      </c>
      <c r="BW725" s="693">
        <f>SUMIFS(Imput[Importe Neto],Imput[C. Imp.],$D725,Imput[PERIODO Imp.],BW$9)</f>
        <v>0</v>
      </c>
      <c r="BX725" s="693">
        <f>SUMIFS(Imput[Importe Neto],Imput[C. Imp.],$D725,Imput[PERIODO Imp.],BX$9)</f>
        <v>0</v>
      </c>
      <c r="BY725" s="693">
        <f>SUMIFS(Imput[Importe Neto],Imput[C. Imp.],$D725,Imput[PERIODO Imp.],BY$9)</f>
        <v>0</v>
      </c>
      <c r="BZ725" s="693">
        <f>SUMIFS(Imput[Importe Neto],Imput[C. Imp.],$D725,Imput[PERIODO Imp.],BZ$9)</f>
        <v>0</v>
      </c>
      <c r="CA725" s="693">
        <f>SUMIFS(Imput[Importe Neto],Imput[C. Imp.],$D725,Imput[PERIODO Imp.],CA$9)</f>
        <v>0</v>
      </c>
      <c r="CB725" s="693">
        <f>SUMIFS(Imput[Importe Neto],Imput[C. Imp.],$D725,Imput[PERIODO Imp.],CB$9)</f>
        <v>0</v>
      </c>
      <c r="CC725" s="693">
        <f>SUMIFS(Imput[Importe Neto],Imput[C. Imp.],$D725,Imput[PERIODO Imp.],CC$9)</f>
        <v>0</v>
      </c>
      <c r="CD725" s="693">
        <f>SUMIFS(Imput[Importe Neto],Imput[C. Imp.],$D725,Imput[PERIODO Imp.],CD$9)</f>
        <v>0</v>
      </c>
      <c r="CE725" s="693">
        <f>SUMIFS(Imput[Importe Neto],Imput[C. Imp.],$D725,Imput[PERIODO Imp.],CE$9)</f>
        <v>0</v>
      </c>
      <c r="CF725" s="693">
        <f>SUMIFS(Imput[Importe Neto],Imput[C. Imp.],$D725,Imput[PERIODO Imp.],CF$9)</f>
        <v>0</v>
      </c>
      <c r="CG725" s="693">
        <f>SUMIFS(Imput[Importe Neto],Imput[C. Imp.],$D725,Imput[PERIODO Imp.],CG$9)</f>
        <v>0</v>
      </c>
      <c r="CH725" s="693">
        <f>SUMIFS(Imput[Importe Neto],Imput[C. Imp.],$D725,Imput[PERIODO Imp.],CH$9)</f>
        <v>0</v>
      </c>
      <c r="CI725" s="693">
        <f>SUMIFS(Imput[Importe Neto],Imput[C. Imp.],$D725,Imput[PERIODO Imp.],CI$9)</f>
        <v>0</v>
      </c>
      <c r="CJ725" s="693">
        <f>SUMIFS(Imput[Importe Neto],Imput[C. Imp.],$D725,Imput[PERIODO Imp.],CJ$9)</f>
        <v>0</v>
      </c>
      <c r="CK725" s="693">
        <f>SUMIFS(Imput[Importe Neto],Imput[C. Imp.],$D725,Imput[PERIODO Imp.],CK$9)</f>
        <v>0</v>
      </c>
      <c r="CL725" s="693">
        <f>SUMIFS(Imput[Importe Neto],Imput[C. Imp.],$D725,Imput[PERIODO Imp.],CL$9)</f>
        <v>0</v>
      </c>
      <c r="CM725" s="693">
        <f>SUMIFS(Imput[Importe Neto],Imput[C. Imp.],$D725,Imput[PERIODO Imp.],CM$9)</f>
        <v>0</v>
      </c>
      <c r="CN725" s="693">
        <f>SUMIFS(Imput[Importe Neto],Imput[C. Imp.],$D725,Imput[PERIODO Imp.],CN$9)</f>
        <v>0</v>
      </c>
      <c r="CO725" s="693">
        <f>SUMIFS(Imput[Importe Neto],Imput[C. Imp.],$D725,Imput[PERIODO Imp.],CO$9)</f>
        <v>0</v>
      </c>
      <c r="CP725" s="693">
        <f>SUMIFS(Imput[Importe Neto],Imput[C. Imp.],$D725,Imput[PERIODO Imp.],CP$9)</f>
        <v>0</v>
      </c>
      <c r="CQ725" s="693">
        <f>SUMIFS(Imput[Importe Neto],Imput[C. Imp.],$D725,Imput[PERIODO Imp.],CQ$9)</f>
        <v>0</v>
      </c>
      <c r="CR725" s="693">
        <f>SUMIFS(Imput[Importe Neto],Imput[C. Imp.],$D725,Imput[PERIODO Imp.],CR$9)</f>
        <v>0</v>
      </c>
      <c r="CS725" s="693">
        <f>SUMIFS(Imput[Importe Neto],Imput[C. Imp.],$D725,Imput[PERIODO Imp.],CS$9)</f>
        <v>0</v>
      </c>
      <c r="CT725" s="693">
        <f>SUMIFS(Imput[Importe Neto],Imput[C. Imp.],$D725,Imput[PERIODO Imp.],CT$9)</f>
        <v>0</v>
      </c>
      <c r="CU725" s="693">
        <f>SUMIFS(Imput[Importe Neto],Imput[C. Imp.],$D725,Imput[PERIODO Imp.],CU$9)</f>
        <v>0</v>
      </c>
      <c r="CV725" s="693">
        <f>SUMIFS(Imput[Importe Neto],Imput[C. Imp.],$D725,Imput[PERIODO Imp.],CV$9)</f>
        <v>0</v>
      </c>
      <c r="CW725" s="693">
        <f>SUMIFS(Imput[Importe Neto],Imput[C. Imp.],$D725,Imput[PERIODO Imp.],CW$9)</f>
        <v>0</v>
      </c>
      <c r="CX725" s="693">
        <f>SUMIFS(Imput[Importe Neto],Imput[C. Imp.],$D725,Imput[PERIODO Imp.],CX$9)</f>
        <v>0</v>
      </c>
      <c r="CY725" s="693">
        <f>SUMIFS(Imput[Importe Neto],Imput[C. Imp.],$D725,Imput[PERIODO Imp.],CY$9)</f>
        <v>0</v>
      </c>
      <c r="CZ725" s="693">
        <f>SUMIFS(Imput[Importe Neto],Imput[C. Imp.],$D725,Imput[PERIODO Imp.],CZ$9)</f>
        <v>0</v>
      </c>
      <c r="DA725" s="693">
        <f>SUMIFS(Imput[Importe Neto],Imput[C. Imp.],$D725,Imput[PERIODO Imp.],DA$9)</f>
        <v>0</v>
      </c>
      <c r="DB725" s="693">
        <f>SUMIFS(Imput[Importe Neto],Imput[C. Imp.],$D725,Imput[PERIODO Imp.],DB$9)</f>
        <v>0</v>
      </c>
      <c r="DC725" s="693">
        <f>SUMIFS(Imput[Importe Neto],Imput[C. Imp.],$D725,Imput[PERIODO Imp.],DC$9)</f>
        <v>0</v>
      </c>
      <c r="DD725" s="693">
        <f>SUMIFS(Imput[Importe Neto],Imput[C. Imp.],$D725,Imput[PERIODO Imp.],DD$9)</f>
        <v>0</v>
      </c>
      <c r="DE725" s="693">
        <f>SUMIFS(Imput[Importe Neto],Imput[C. Imp.],$D725,Imput[PERIODO Imp.],DE$9)</f>
        <v>0</v>
      </c>
      <c r="DF725" s="693">
        <f>SUMIFS(Imput[Importe Neto],Imput[C. Imp.],$D725,Imput[PERIODO Imp.],DF$9)</f>
        <v>0</v>
      </c>
      <c r="DG725" s="693">
        <f>SUMIFS(Imput[Importe Neto],Imput[C. Imp.],$D725,Imput[PERIODO Imp.],DG$9)</f>
        <v>0</v>
      </c>
      <c r="DH725" s="694">
        <f>SUMIFS(Imput[Importe Neto],Imput[C. Imp.],$D725,Imput[PERIODO Imp.],DH$9)</f>
        <v>0</v>
      </c>
    </row>
    <row r="726" spans="1:112" s="649" customFormat="1" outlineLevel="1" x14ac:dyDescent="0.3">
      <c r="A726" s="652" t="str">
        <f t="shared" si="266"/>
        <v>Imprimir</v>
      </c>
      <c r="B726" s="652"/>
      <c r="C726" s="685"/>
      <c r="D726" s="686" t="s">
        <v>2714</v>
      </c>
      <c r="E726" s="686" t="s">
        <v>2011</v>
      </c>
      <c r="F726" s="687"/>
      <c r="G726" s="688">
        <v>170</v>
      </c>
      <c r="H726" s="531">
        <f>Producción!G78*1</f>
        <v>3</v>
      </c>
      <c r="I726" s="851">
        <f t="shared" si="267"/>
        <v>1</v>
      </c>
      <c r="J726" s="850">
        <f t="shared" ref="J726:J732" si="270">IFERROR(G726*H726*I726,"")</f>
        <v>510</v>
      </c>
      <c r="K726" s="667"/>
      <c r="L726" s="858">
        <v>0.3</v>
      </c>
      <c r="M726" s="859"/>
      <c r="N726" s="859">
        <v>0.05</v>
      </c>
      <c r="O726" s="859"/>
      <c r="P726" s="859">
        <v>0.05</v>
      </c>
      <c r="Q726" s="859"/>
      <c r="R726" s="859">
        <v>0.05</v>
      </c>
      <c r="S726" s="859"/>
      <c r="T726" s="859">
        <v>0.05</v>
      </c>
      <c r="U726" s="859"/>
      <c r="V726" s="859">
        <v>0.05</v>
      </c>
      <c r="W726" s="859"/>
      <c r="X726" s="859">
        <v>0.05</v>
      </c>
      <c r="Y726" s="859"/>
      <c r="Z726" s="860">
        <v>0.05</v>
      </c>
      <c r="AA726" s="860"/>
      <c r="AB726" s="860">
        <v>0.05</v>
      </c>
      <c r="AC726" s="860"/>
      <c r="AD726" s="860">
        <v>0.05</v>
      </c>
      <c r="AE726" s="860"/>
      <c r="AF726" s="860">
        <v>0.05</v>
      </c>
      <c r="AG726" s="860"/>
      <c r="AH726" s="860">
        <v>0.05</v>
      </c>
      <c r="AI726" s="860"/>
      <c r="AJ726" s="860">
        <v>0.15</v>
      </c>
      <c r="AK726" s="860"/>
      <c r="AL726" s="860"/>
      <c r="AM726" s="860"/>
      <c r="AN726" s="860"/>
      <c r="AO726" s="860"/>
      <c r="AP726" s="860"/>
      <c r="AQ726" s="860"/>
      <c r="AR726" s="860"/>
      <c r="AS726" s="860"/>
      <c r="AT726" s="860"/>
      <c r="AU726" s="860"/>
      <c r="AV726" s="860"/>
      <c r="AW726" s="860"/>
      <c r="AX726" s="860"/>
      <c r="AY726" s="860"/>
      <c r="AZ726" s="860"/>
      <c r="BA726" s="860"/>
      <c r="BB726" s="860"/>
      <c r="BC726" s="860"/>
      <c r="BD726" s="860"/>
      <c r="BE726" s="860"/>
      <c r="BF726" s="860"/>
      <c r="BG726" s="860"/>
      <c r="BH726" s="668"/>
      <c r="BI726" s="654"/>
      <c r="BJ726" s="690">
        <f t="shared" si="268"/>
        <v>0</v>
      </c>
      <c r="BK726" s="691">
        <f t="shared" si="269"/>
        <v>0</v>
      </c>
      <c r="BL726" s="654"/>
      <c r="BM726" s="692">
        <f>SUMIFS(Imput[Importe Neto],Imput[C. Imp.],$D726,Imput[PERIODO Imp.],BM$9)</f>
        <v>0</v>
      </c>
      <c r="BN726" s="693">
        <f>SUMIFS(Imput[Importe Neto],Imput[C. Imp.],$D726,Imput[PERIODO Imp.],BN$9)</f>
        <v>0</v>
      </c>
      <c r="BO726" s="693">
        <f>SUMIFS(Imput[Importe Neto],Imput[C. Imp.],$D726,Imput[PERIODO Imp.],BO$9)</f>
        <v>0</v>
      </c>
      <c r="BP726" s="693">
        <f>SUMIFS(Imput[Importe Neto],Imput[C. Imp.],$D726,Imput[PERIODO Imp.],BP$9)</f>
        <v>0</v>
      </c>
      <c r="BQ726" s="693">
        <f>SUMIFS(Imput[Importe Neto],Imput[C. Imp.],$D726,Imput[PERIODO Imp.],BQ$9)</f>
        <v>0</v>
      </c>
      <c r="BR726" s="693">
        <f>SUMIFS(Imput[Importe Neto],Imput[C. Imp.],$D726,Imput[PERIODO Imp.],BR$9)</f>
        <v>0</v>
      </c>
      <c r="BS726" s="693">
        <f>SUMIFS(Imput[Importe Neto],Imput[C. Imp.],$D726,Imput[PERIODO Imp.],BS$9)</f>
        <v>0</v>
      </c>
      <c r="BT726" s="693">
        <f>SUMIFS(Imput[Importe Neto],Imput[C. Imp.],$D726,Imput[PERIODO Imp.],BT$9)</f>
        <v>0</v>
      </c>
      <c r="BU726" s="693">
        <f>SUMIFS(Imput[Importe Neto],Imput[C. Imp.],$D726,Imput[PERIODO Imp.],BU$9)</f>
        <v>0</v>
      </c>
      <c r="BV726" s="693">
        <f>SUMIFS(Imput[Importe Neto],Imput[C. Imp.],$D726,Imput[PERIODO Imp.],BV$9)</f>
        <v>0</v>
      </c>
      <c r="BW726" s="693">
        <f>SUMIFS(Imput[Importe Neto],Imput[C. Imp.],$D726,Imput[PERIODO Imp.],BW$9)</f>
        <v>0</v>
      </c>
      <c r="BX726" s="693">
        <f>SUMIFS(Imput[Importe Neto],Imput[C. Imp.],$D726,Imput[PERIODO Imp.],BX$9)</f>
        <v>0</v>
      </c>
      <c r="BY726" s="693">
        <f>SUMIFS(Imput[Importe Neto],Imput[C. Imp.],$D726,Imput[PERIODO Imp.],BY$9)</f>
        <v>0</v>
      </c>
      <c r="BZ726" s="693">
        <f>SUMIFS(Imput[Importe Neto],Imput[C. Imp.],$D726,Imput[PERIODO Imp.],BZ$9)</f>
        <v>0</v>
      </c>
      <c r="CA726" s="693">
        <f>SUMIFS(Imput[Importe Neto],Imput[C. Imp.],$D726,Imput[PERIODO Imp.],CA$9)</f>
        <v>0</v>
      </c>
      <c r="CB726" s="693">
        <f>SUMIFS(Imput[Importe Neto],Imput[C. Imp.],$D726,Imput[PERIODO Imp.],CB$9)</f>
        <v>0</v>
      </c>
      <c r="CC726" s="693">
        <f>SUMIFS(Imput[Importe Neto],Imput[C. Imp.],$D726,Imput[PERIODO Imp.],CC$9)</f>
        <v>0</v>
      </c>
      <c r="CD726" s="693">
        <f>SUMIFS(Imput[Importe Neto],Imput[C. Imp.],$D726,Imput[PERIODO Imp.],CD$9)</f>
        <v>0</v>
      </c>
      <c r="CE726" s="693">
        <f>SUMIFS(Imput[Importe Neto],Imput[C. Imp.],$D726,Imput[PERIODO Imp.],CE$9)</f>
        <v>0</v>
      </c>
      <c r="CF726" s="693">
        <f>SUMIFS(Imput[Importe Neto],Imput[C. Imp.],$D726,Imput[PERIODO Imp.],CF$9)</f>
        <v>0</v>
      </c>
      <c r="CG726" s="693">
        <f>SUMIFS(Imput[Importe Neto],Imput[C. Imp.],$D726,Imput[PERIODO Imp.],CG$9)</f>
        <v>0</v>
      </c>
      <c r="CH726" s="693">
        <f>SUMIFS(Imput[Importe Neto],Imput[C. Imp.],$D726,Imput[PERIODO Imp.],CH$9)</f>
        <v>0</v>
      </c>
      <c r="CI726" s="693">
        <f>SUMIFS(Imput[Importe Neto],Imput[C. Imp.],$D726,Imput[PERIODO Imp.],CI$9)</f>
        <v>0</v>
      </c>
      <c r="CJ726" s="693">
        <f>SUMIFS(Imput[Importe Neto],Imput[C. Imp.],$D726,Imput[PERIODO Imp.],CJ$9)</f>
        <v>0</v>
      </c>
      <c r="CK726" s="693">
        <f>SUMIFS(Imput[Importe Neto],Imput[C. Imp.],$D726,Imput[PERIODO Imp.],CK$9)</f>
        <v>0</v>
      </c>
      <c r="CL726" s="693">
        <f>SUMIFS(Imput[Importe Neto],Imput[C. Imp.],$D726,Imput[PERIODO Imp.],CL$9)</f>
        <v>0</v>
      </c>
      <c r="CM726" s="693">
        <f>SUMIFS(Imput[Importe Neto],Imput[C. Imp.],$D726,Imput[PERIODO Imp.],CM$9)</f>
        <v>0</v>
      </c>
      <c r="CN726" s="693">
        <f>SUMIFS(Imput[Importe Neto],Imput[C. Imp.],$D726,Imput[PERIODO Imp.],CN$9)</f>
        <v>0</v>
      </c>
      <c r="CO726" s="693">
        <f>SUMIFS(Imput[Importe Neto],Imput[C. Imp.],$D726,Imput[PERIODO Imp.],CO$9)</f>
        <v>0</v>
      </c>
      <c r="CP726" s="693">
        <f>SUMIFS(Imput[Importe Neto],Imput[C. Imp.],$D726,Imput[PERIODO Imp.],CP$9)</f>
        <v>0</v>
      </c>
      <c r="CQ726" s="693">
        <f>SUMIFS(Imput[Importe Neto],Imput[C. Imp.],$D726,Imput[PERIODO Imp.],CQ$9)</f>
        <v>0</v>
      </c>
      <c r="CR726" s="693">
        <f>SUMIFS(Imput[Importe Neto],Imput[C. Imp.],$D726,Imput[PERIODO Imp.],CR$9)</f>
        <v>0</v>
      </c>
      <c r="CS726" s="693">
        <f>SUMIFS(Imput[Importe Neto],Imput[C. Imp.],$D726,Imput[PERIODO Imp.],CS$9)</f>
        <v>0</v>
      </c>
      <c r="CT726" s="693">
        <f>SUMIFS(Imput[Importe Neto],Imput[C. Imp.],$D726,Imput[PERIODO Imp.],CT$9)</f>
        <v>0</v>
      </c>
      <c r="CU726" s="693">
        <f>SUMIFS(Imput[Importe Neto],Imput[C. Imp.],$D726,Imput[PERIODO Imp.],CU$9)</f>
        <v>0</v>
      </c>
      <c r="CV726" s="693">
        <f>SUMIFS(Imput[Importe Neto],Imput[C. Imp.],$D726,Imput[PERIODO Imp.],CV$9)</f>
        <v>0</v>
      </c>
      <c r="CW726" s="693">
        <f>SUMIFS(Imput[Importe Neto],Imput[C. Imp.],$D726,Imput[PERIODO Imp.],CW$9)</f>
        <v>0</v>
      </c>
      <c r="CX726" s="693">
        <f>SUMIFS(Imput[Importe Neto],Imput[C. Imp.],$D726,Imput[PERIODO Imp.],CX$9)</f>
        <v>0</v>
      </c>
      <c r="CY726" s="693">
        <f>SUMIFS(Imput[Importe Neto],Imput[C. Imp.],$D726,Imput[PERIODO Imp.],CY$9)</f>
        <v>0</v>
      </c>
      <c r="CZ726" s="693">
        <f>SUMIFS(Imput[Importe Neto],Imput[C. Imp.],$D726,Imput[PERIODO Imp.],CZ$9)</f>
        <v>0</v>
      </c>
      <c r="DA726" s="693">
        <f>SUMIFS(Imput[Importe Neto],Imput[C. Imp.],$D726,Imput[PERIODO Imp.],DA$9)</f>
        <v>0</v>
      </c>
      <c r="DB726" s="693">
        <f>SUMIFS(Imput[Importe Neto],Imput[C. Imp.],$D726,Imput[PERIODO Imp.],DB$9)</f>
        <v>0</v>
      </c>
      <c r="DC726" s="693">
        <f>SUMIFS(Imput[Importe Neto],Imput[C. Imp.],$D726,Imput[PERIODO Imp.],DC$9)</f>
        <v>0</v>
      </c>
      <c r="DD726" s="693">
        <f>SUMIFS(Imput[Importe Neto],Imput[C. Imp.],$D726,Imput[PERIODO Imp.],DD$9)</f>
        <v>0</v>
      </c>
      <c r="DE726" s="693">
        <f>SUMIFS(Imput[Importe Neto],Imput[C. Imp.],$D726,Imput[PERIODO Imp.],DE$9)</f>
        <v>0</v>
      </c>
      <c r="DF726" s="693">
        <f>SUMIFS(Imput[Importe Neto],Imput[C. Imp.],$D726,Imput[PERIODO Imp.],DF$9)</f>
        <v>0</v>
      </c>
      <c r="DG726" s="693">
        <f>SUMIFS(Imput[Importe Neto],Imput[C. Imp.],$D726,Imput[PERIODO Imp.],DG$9)</f>
        <v>0</v>
      </c>
      <c r="DH726" s="694">
        <f>SUMIFS(Imput[Importe Neto],Imput[C. Imp.],$D726,Imput[PERIODO Imp.],DH$9)</f>
        <v>0</v>
      </c>
    </row>
    <row r="727" spans="1:112" s="649" customFormat="1" outlineLevel="1" x14ac:dyDescent="0.3">
      <c r="A727" s="652" t="str">
        <f t="shared" si="266"/>
        <v>Imprimir</v>
      </c>
      <c r="B727" s="652"/>
      <c r="C727" s="685"/>
      <c r="D727" s="686" t="s">
        <v>2715</v>
      </c>
      <c r="E727" s="686" t="s">
        <v>476</v>
      </c>
      <c r="F727" s="687"/>
      <c r="G727" s="688">
        <v>80000</v>
      </c>
      <c r="H727" s="531">
        <f>Producción!G78*0.022</f>
        <v>6.6000000000000003E-2</v>
      </c>
      <c r="I727" s="851">
        <f t="shared" si="267"/>
        <v>1</v>
      </c>
      <c r="J727" s="850">
        <f t="shared" si="270"/>
        <v>5280</v>
      </c>
      <c r="K727" s="667"/>
      <c r="L727" s="858">
        <v>0.3</v>
      </c>
      <c r="M727" s="859"/>
      <c r="N727" s="859">
        <v>0.05</v>
      </c>
      <c r="O727" s="859"/>
      <c r="P727" s="859">
        <v>0.05</v>
      </c>
      <c r="Q727" s="859"/>
      <c r="R727" s="859">
        <v>0.05</v>
      </c>
      <c r="S727" s="859"/>
      <c r="T727" s="859">
        <v>0.05</v>
      </c>
      <c r="U727" s="859"/>
      <c r="V727" s="859">
        <v>0.05</v>
      </c>
      <c r="W727" s="859"/>
      <c r="X727" s="859">
        <v>0.05</v>
      </c>
      <c r="Y727" s="859"/>
      <c r="Z727" s="860">
        <v>0.05</v>
      </c>
      <c r="AA727" s="860"/>
      <c r="AB727" s="860">
        <v>0.05</v>
      </c>
      <c r="AC727" s="860"/>
      <c r="AD727" s="860">
        <v>0.05</v>
      </c>
      <c r="AE727" s="860"/>
      <c r="AF727" s="860">
        <v>0.05</v>
      </c>
      <c r="AG727" s="860"/>
      <c r="AH727" s="860">
        <v>0.05</v>
      </c>
      <c r="AI727" s="860"/>
      <c r="AJ727" s="860">
        <v>0.15</v>
      </c>
      <c r="AK727" s="860"/>
      <c r="AL727" s="860"/>
      <c r="AM727" s="860"/>
      <c r="AN727" s="860"/>
      <c r="AO727" s="860"/>
      <c r="AP727" s="860"/>
      <c r="AQ727" s="860"/>
      <c r="AR727" s="860"/>
      <c r="AS727" s="860"/>
      <c r="AT727" s="860"/>
      <c r="AU727" s="860"/>
      <c r="AV727" s="860"/>
      <c r="AW727" s="860"/>
      <c r="AX727" s="860"/>
      <c r="AY727" s="860"/>
      <c r="AZ727" s="860"/>
      <c r="BA727" s="860"/>
      <c r="BB727" s="860"/>
      <c r="BC727" s="860"/>
      <c r="BD727" s="860"/>
      <c r="BE727" s="860"/>
      <c r="BF727" s="860"/>
      <c r="BG727" s="860"/>
      <c r="BH727" s="668"/>
      <c r="BI727" s="654"/>
      <c r="BJ727" s="690">
        <f t="shared" si="268"/>
        <v>0</v>
      </c>
      <c r="BK727" s="691">
        <f t="shared" si="269"/>
        <v>0</v>
      </c>
      <c r="BL727" s="654"/>
      <c r="BM727" s="692">
        <f>SUMIFS(Imput[Importe Neto],Imput[C. Imp.],$D727,Imput[PERIODO Imp.],BM$9)</f>
        <v>0</v>
      </c>
      <c r="BN727" s="693">
        <f>SUMIFS(Imput[Importe Neto],Imput[C. Imp.],$D727,Imput[PERIODO Imp.],BN$9)</f>
        <v>0</v>
      </c>
      <c r="BO727" s="693">
        <f>SUMIFS(Imput[Importe Neto],Imput[C. Imp.],$D727,Imput[PERIODO Imp.],BO$9)</f>
        <v>0</v>
      </c>
      <c r="BP727" s="693">
        <f>SUMIFS(Imput[Importe Neto],Imput[C. Imp.],$D727,Imput[PERIODO Imp.],BP$9)</f>
        <v>0</v>
      </c>
      <c r="BQ727" s="693">
        <f>SUMIFS(Imput[Importe Neto],Imput[C. Imp.],$D727,Imput[PERIODO Imp.],BQ$9)</f>
        <v>0</v>
      </c>
      <c r="BR727" s="693">
        <f>SUMIFS(Imput[Importe Neto],Imput[C. Imp.],$D727,Imput[PERIODO Imp.],BR$9)</f>
        <v>0</v>
      </c>
      <c r="BS727" s="693">
        <f>SUMIFS(Imput[Importe Neto],Imput[C. Imp.],$D727,Imput[PERIODO Imp.],BS$9)</f>
        <v>0</v>
      </c>
      <c r="BT727" s="693">
        <f>SUMIFS(Imput[Importe Neto],Imput[C. Imp.],$D727,Imput[PERIODO Imp.],BT$9)</f>
        <v>0</v>
      </c>
      <c r="BU727" s="693">
        <f>SUMIFS(Imput[Importe Neto],Imput[C. Imp.],$D727,Imput[PERIODO Imp.],BU$9)</f>
        <v>0</v>
      </c>
      <c r="BV727" s="693">
        <f>SUMIFS(Imput[Importe Neto],Imput[C. Imp.],$D727,Imput[PERIODO Imp.],BV$9)</f>
        <v>0</v>
      </c>
      <c r="BW727" s="693">
        <f>SUMIFS(Imput[Importe Neto],Imput[C. Imp.],$D727,Imput[PERIODO Imp.],BW$9)</f>
        <v>0</v>
      </c>
      <c r="BX727" s="693">
        <f>SUMIFS(Imput[Importe Neto],Imput[C. Imp.],$D727,Imput[PERIODO Imp.],BX$9)</f>
        <v>0</v>
      </c>
      <c r="BY727" s="693">
        <f>SUMIFS(Imput[Importe Neto],Imput[C. Imp.],$D727,Imput[PERIODO Imp.],BY$9)</f>
        <v>0</v>
      </c>
      <c r="BZ727" s="693">
        <f>SUMIFS(Imput[Importe Neto],Imput[C. Imp.],$D727,Imput[PERIODO Imp.],BZ$9)</f>
        <v>0</v>
      </c>
      <c r="CA727" s="693">
        <f>SUMIFS(Imput[Importe Neto],Imput[C. Imp.],$D727,Imput[PERIODO Imp.],CA$9)</f>
        <v>0</v>
      </c>
      <c r="CB727" s="693">
        <f>SUMIFS(Imput[Importe Neto],Imput[C. Imp.],$D727,Imput[PERIODO Imp.],CB$9)</f>
        <v>0</v>
      </c>
      <c r="CC727" s="693">
        <f>SUMIFS(Imput[Importe Neto],Imput[C. Imp.],$D727,Imput[PERIODO Imp.],CC$9)</f>
        <v>0</v>
      </c>
      <c r="CD727" s="693">
        <f>SUMIFS(Imput[Importe Neto],Imput[C. Imp.],$D727,Imput[PERIODO Imp.],CD$9)</f>
        <v>0</v>
      </c>
      <c r="CE727" s="693">
        <f>SUMIFS(Imput[Importe Neto],Imput[C. Imp.],$D727,Imput[PERIODO Imp.],CE$9)</f>
        <v>0</v>
      </c>
      <c r="CF727" s="693">
        <f>SUMIFS(Imput[Importe Neto],Imput[C. Imp.],$D727,Imput[PERIODO Imp.],CF$9)</f>
        <v>0</v>
      </c>
      <c r="CG727" s="693">
        <f>SUMIFS(Imput[Importe Neto],Imput[C. Imp.],$D727,Imput[PERIODO Imp.],CG$9)</f>
        <v>0</v>
      </c>
      <c r="CH727" s="693">
        <f>SUMIFS(Imput[Importe Neto],Imput[C. Imp.],$D727,Imput[PERIODO Imp.],CH$9)</f>
        <v>0</v>
      </c>
      <c r="CI727" s="693">
        <f>SUMIFS(Imput[Importe Neto],Imput[C. Imp.],$D727,Imput[PERIODO Imp.],CI$9)</f>
        <v>0</v>
      </c>
      <c r="CJ727" s="693">
        <f>SUMIFS(Imput[Importe Neto],Imput[C. Imp.],$D727,Imput[PERIODO Imp.],CJ$9)</f>
        <v>0</v>
      </c>
      <c r="CK727" s="693">
        <f>SUMIFS(Imput[Importe Neto],Imput[C. Imp.],$D727,Imput[PERIODO Imp.],CK$9)</f>
        <v>0</v>
      </c>
      <c r="CL727" s="693">
        <f>SUMIFS(Imput[Importe Neto],Imput[C. Imp.],$D727,Imput[PERIODO Imp.],CL$9)</f>
        <v>0</v>
      </c>
      <c r="CM727" s="693">
        <f>SUMIFS(Imput[Importe Neto],Imput[C. Imp.],$D727,Imput[PERIODO Imp.],CM$9)</f>
        <v>0</v>
      </c>
      <c r="CN727" s="693">
        <f>SUMIFS(Imput[Importe Neto],Imput[C. Imp.],$D727,Imput[PERIODO Imp.],CN$9)</f>
        <v>0</v>
      </c>
      <c r="CO727" s="693">
        <f>SUMIFS(Imput[Importe Neto],Imput[C. Imp.],$D727,Imput[PERIODO Imp.],CO$9)</f>
        <v>0</v>
      </c>
      <c r="CP727" s="693">
        <f>SUMIFS(Imput[Importe Neto],Imput[C. Imp.],$D727,Imput[PERIODO Imp.],CP$9)</f>
        <v>0</v>
      </c>
      <c r="CQ727" s="693">
        <f>SUMIFS(Imput[Importe Neto],Imput[C. Imp.],$D727,Imput[PERIODO Imp.],CQ$9)</f>
        <v>0</v>
      </c>
      <c r="CR727" s="693">
        <f>SUMIFS(Imput[Importe Neto],Imput[C. Imp.],$D727,Imput[PERIODO Imp.],CR$9)</f>
        <v>0</v>
      </c>
      <c r="CS727" s="693">
        <f>SUMIFS(Imput[Importe Neto],Imput[C. Imp.],$D727,Imput[PERIODO Imp.],CS$9)</f>
        <v>0</v>
      </c>
      <c r="CT727" s="693">
        <f>SUMIFS(Imput[Importe Neto],Imput[C. Imp.],$D727,Imput[PERIODO Imp.],CT$9)</f>
        <v>0</v>
      </c>
      <c r="CU727" s="693">
        <f>SUMIFS(Imput[Importe Neto],Imput[C. Imp.],$D727,Imput[PERIODO Imp.],CU$9)</f>
        <v>0</v>
      </c>
      <c r="CV727" s="693">
        <f>SUMIFS(Imput[Importe Neto],Imput[C. Imp.],$D727,Imput[PERIODO Imp.],CV$9)</f>
        <v>0</v>
      </c>
      <c r="CW727" s="693">
        <f>SUMIFS(Imput[Importe Neto],Imput[C. Imp.],$D727,Imput[PERIODO Imp.],CW$9)</f>
        <v>0</v>
      </c>
      <c r="CX727" s="693">
        <f>SUMIFS(Imput[Importe Neto],Imput[C. Imp.],$D727,Imput[PERIODO Imp.],CX$9)</f>
        <v>0</v>
      </c>
      <c r="CY727" s="693">
        <f>SUMIFS(Imput[Importe Neto],Imput[C. Imp.],$D727,Imput[PERIODO Imp.],CY$9)</f>
        <v>0</v>
      </c>
      <c r="CZ727" s="693">
        <f>SUMIFS(Imput[Importe Neto],Imput[C. Imp.],$D727,Imput[PERIODO Imp.],CZ$9)</f>
        <v>0</v>
      </c>
      <c r="DA727" s="693">
        <f>SUMIFS(Imput[Importe Neto],Imput[C. Imp.],$D727,Imput[PERIODO Imp.],DA$9)</f>
        <v>0</v>
      </c>
      <c r="DB727" s="693">
        <f>SUMIFS(Imput[Importe Neto],Imput[C. Imp.],$D727,Imput[PERIODO Imp.],DB$9)</f>
        <v>0</v>
      </c>
      <c r="DC727" s="693">
        <f>SUMIFS(Imput[Importe Neto],Imput[C. Imp.],$D727,Imput[PERIODO Imp.],DC$9)</f>
        <v>0</v>
      </c>
      <c r="DD727" s="693">
        <f>SUMIFS(Imput[Importe Neto],Imput[C. Imp.],$D727,Imput[PERIODO Imp.],DD$9)</f>
        <v>0</v>
      </c>
      <c r="DE727" s="693">
        <f>SUMIFS(Imput[Importe Neto],Imput[C. Imp.],$D727,Imput[PERIODO Imp.],DE$9)</f>
        <v>0</v>
      </c>
      <c r="DF727" s="693">
        <f>SUMIFS(Imput[Importe Neto],Imput[C. Imp.],$D727,Imput[PERIODO Imp.],DF$9)</f>
        <v>0</v>
      </c>
      <c r="DG727" s="693">
        <f>SUMIFS(Imput[Importe Neto],Imput[C. Imp.],$D727,Imput[PERIODO Imp.],DG$9)</f>
        <v>0</v>
      </c>
      <c r="DH727" s="694">
        <f>SUMIFS(Imput[Importe Neto],Imput[C. Imp.],$D727,Imput[PERIODO Imp.],DH$9)</f>
        <v>0</v>
      </c>
    </row>
    <row r="728" spans="1:112" s="649" customFormat="1" outlineLevel="1" x14ac:dyDescent="0.3">
      <c r="A728" s="652" t="str">
        <f t="shared" si="266"/>
        <v>Imprimir</v>
      </c>
      <c r="B728" s="652"/>
      <c r="C728" s="685"/>
      <c r="D728" s="686" t="s">
        <v>2716</v>
      </c>
      <c r="E728" s="686" t="s">
        <v>477</v>
      </c>
      <c r="F728" s="687"/>
      <c r="G728" s="688">
        <v>10</v>
      </c>
      <c r="H728" s="531">
        <f>Producción!G78*127.68</f>
        <v>383.04</v>
      </c>
      <c r="I728" s="851">
        <f t="shared" si="267"/>
        <v>1</v>
      </c>
      <c r="J728" s="850">
        <f t="shared" si="270"/>
        <v>3830.4</v>
      </c>
      <c r="K728" s="667"/>
      <c r="L728" s="858">
        <v>0.3</v>
      </c>
      <c r="M728" s="859"/>
      <c r="N728" s="859">
        <v>0.05</v>
      </c>
      <c r="O728" s="859"/>
      <c r="P728" s="859">
        <v>0.05</v>
      </c>
      <c r="Q728" s="859"/>
      <c r="R728" s="859">
        <v>0.05</v>
      </c>
      <c r="S728" s="859"/>
      <c r="T728" s="859">
        <v>0.05</v>
      </c>
      <c r="U728" s="859"/>
      <c r="V728" s="859">
        <v>0.05</v>
      </c>
      <c r="W728" s="859"/>
      <c r="X728" s="859">
        <v>0.05</v>
      </c>
      <c r="Y728" s="859"/>
      <c r="Z728" s="860">
        <v>0.05</v>
      </c>
      <c r="AA728" s="860"/>
      <c r="AB728" s="860">
        <v>0.05</v>
      </c>
      <c r="AC728" s="860"/>
      <c r="AD728" s="860">
        <v>0.05</v>
      </c>
      <c r="AE728" s="860"/>
      <c r="AF728" s="860">
        <v>0.05</v>
      </c>
      <c r="AG728" s="860"/>
      <c r="AH728" s="860">
        <v>0.05</v>
      </c>
      <c r="AI728" s="860"/>
      <c r="AJ728" s="860">
        <v>0.15</v>
      </c>
      <c r="AK728" s="860"/>
      <c r="AL728" s="860"/>
      <c r="AM728" s="860"/>
      <c r="AN728" s="860"/>
      <c r="AO728" s="860"/>
      <c r="AP728" s="860"/>
      <c r="AQ728" s="860"/>
      <c r="AR728" s="860"/>
      <c r="AS728" s="860"/>
      <c r="AT728" s="860"/>
      <c r="AU728" s="860"/>
      <c r="AV728" s="860"/>
      <c r="AW728" s="860"/>
      <c r="AX728" s="860"/>
      <c r="AY728" s="860"/>
      <c r="AZ728" s="860"/>
      <c r="BA728" s="860"/>
      <c r="BB728" s="860"/>
      <c r="BC728" s="860"/>
      <c r="BD728" s="860"/>
      <c r="BE728" s="860"/>
      <c r="BF728" s="860"/>
      <c r="BG728" s="860"/>
      <c r="BH728" s="668"/>
      <c r="BI728" s="654"/>
      <c r="BJ728" s="690">
        <f t="shared" si="268"/>
        <v>0</v>
      </c>
      <c r="BK728" s="691">
        <f t="shared" si="269"/>
        <v>0</v>
      </c>
      <c r="BL728" s="654"/>
      <c r="BM728" s="692">
        <f>SUMIFS(Imput[Importe Neto],Imput[C. Imp.],$D728,Imput[PERIODO Imp.],BM$9)</f>
        <v>0</v>
      </c>
      <c r="BN728" s="693">
        <f>SUMIFS(Imput[Importe Neto],Imput[C. Imp.],$D728,Imput[PERIODO Imp.],BN$9)</f>
        <v>0</v>
      </c>
      <c r="BO728" s="693">
        <f>SUMIFS(Imput[Importe Neto],Imput[C. Imp.],$D728,Imput[PERIODO Imp.],BO$9)</f>
        <v>0</v>
      </c>
      <c r="BP728" s="693">
        <f>SUMIFS(Imput[Importe Neto],Imput[C. Imp.],$D728,Imput[PERIODO Imp.],BP$9)</f>
        <v>0</v>
      </c>
      <c r="BQ728" s="693">
        <f>SUMIFS(Imput[Importe Neto],Imput[C. Imp.],$D728,Imput[PERIODO Imp.],BQ$9)</f>
        <v>0</v>
      </c>
      <c r="BR728" s="693">
        <f>SUMIFS(Imput[Importe Neto],Imput[C. Imp.],$D728,Imput[PERIODO Imp.],BR$9)</f>
        <v>0</v>
      </c>
      <c r="BS728" s="693">
        <f>SUMIFS(Imput[Importe Neto],Imput[C. Imp.],$D728,Imput[PERIODO Imp.],BS$9)</f>
        <v>0</v>
      </c>
      <c r="BT728" s="693">
        <f>SUMIFS(Imput[Importe Neto],Imput[C. Imp.],$D728,Imput[PERIODO Imp.],BT$9)</f>
        <v>0</v>
      </c>
      <c r="BU728" s="693">
        <f>SUMIFS(Imput[Importe Neto],Imput[C. Imp.],$D728,Imput[PERIODO Imp.],BU$9)</f>
        <v>0</v>
      </c>
      <c r="BV728" s="693">
        <f>SUMIFS(Imput[Importe Neto],Imput[C. Imp.],$D728,Imput[PERIODO Imp.],BV$9)</f>
        <v>0</v>
      </c>
      <c r="BW728" s="693">
        <f>SUMIFS(Imput[Importe Neto],Imput[C. Imp.],$D728,Imput[PERIODO Imp.],BW$9)</f>
        <v>0</v>
      </c>
      <c r="BX728" s="693">
        <f>SUMIFS(Imput[Importe Neto],Imput[C. Imp.],$D728,Imput[PERIODO Imp.],BX$9)</f>
        <v>0</v>
      </c>
      <c r="BY728" s="693">
        <f>SUMIFS(Imput[Importe Neto],Imput[C. Imp.],$D728,Imput[PERIODO Imp.],BY$9)</f>
        <v>0</v>
      </c>
      <c r="BZ728" s="693">
        <f>SUMIFS(Imput[Importe Neto],Imput[C. Imp.],$D728,Imput[PERIODO Imp.],BZ$9)</f>
        <v>0</v>
      </c>
      <c r="CA728" s="693">
        <f>SUMIFS(Imput[Importe Neto],Imput[C. Imp.],$D728,Imput[PERIODO Imp.],CA$9)</f>
        <v>0</v>
      </c>
      <c r="CB728" s="693">
        <f>SUMIFS(Imput[Importe Neto],Imput[C. Imp.],$D728,Imput[PERIODO Imp.],CB$9)</f>
        <v>0</v>
      </c>
      <c r="CC728" s="693">
        <f>SUMIFS(Imput[Importe Neto],Imput[C. Imp.],$D728,Imput[PERIODO Imp.],CC$9)</f>
        <v>0</v>
      </c>
      <c r="CD728" s="693">
        <f>SUMIFS(Imput[Importe Neto],Imput[C. Imp.],$D728,Imput[PERIODO Imp.],CD$9)</f>
        <v>0</v>
      </c>
      <c r="CE728" s="693">
        <f>SUMIFS(Imput[Importe Neto],Imput[C. Imp.],$D728,Imput[PERIODO Imp.],CE$9)</f>
        <v>0</v>
      </c>
      <c r="CF728" s="693">
        <f>SUMIFS(Imput[Importe Neto],Imput[C. Imp.],$D728,Imput[PERIODO Imp.],CF$9)</f>
        <v>0</v>
      </c>
      <c r="CG728" s="693">
        <f>SUMIFS(Imput[Importe Neto],Imput[C. Imp.],$D728,Imput[PERIODO Imp.],CG$9)</f>
        <v>0</v>
      </c>
      <c r="CH728" s="693">
        <f>SUMIFS(Imput[Importe Neto],Imput[C. Imp.],$D728,Imput[PERIODO Imp.],CH$9)</f>
        <v>0</v>
      </c>
      <c r="CI728" s="693">
        <f>SUMIFS(Imput[Importe Neto],Imput[C. Imp.],$D728,Imput[PERIODO Imp.],CI$9)</f>
        <v>0</v>
      </c>
      <c r="CJ728" s="693">
        <f>SUMIFS(Imput[Importe Neto],Imput[C. Imp.],$D728,Imput[PERIODO Imp.],CJ$9)</f>
        <v>0</v>
      </c>
      <c r="CK728" s="693">
        <f>SUMIFS(Imput[Importe Neto],Imput[C. Imp.],$D728,Imput[PERIODO Imp.],CK$9)</f>
        <v>0</v>
      </c>
      <c r="CL728" s="693">
        <f>SUMIFS(Imput[Importe Neto],Imput[C. Imp.],$D728,Imput[PERIODO Imp.],CL$9)</f>
        <v>0</v>
      </c>
      <c r="CM728" s="693">
        <f>SUMIFS(Imput[Importe Neto],Imput[C. Imp.],$D728,Imput[PERIODO Imp.],CM$9)</f>
        <v>0</v>
      </c>
      <c r="CN728" s="693">
        <f>SUMIFS(Imput[Importe Neto],Imput[C. Imp.],$D728,Imput[PERIODO Imp.],CN$9)</f>
        <v>0</v>
      </c>
      <c r="CO728" s="693">
        <f>SUMIFS(Imput[Importe Neto],Imput[C. Imp.],$D728,Imput[PERIODO Imp.],CO$9)</f>
        <v>0</v>
      </c>
      <c r="CP728" s="693">
        <f>SUMIFS(Imput[Importe Neto],Imput[C. Imp.],$D728,Imput[PERIODO Imp.],CP$9)</f>
        <v>0</v>
      </c>
      <c r="CQ728" s="693">
        <f>SUMIFS(Imput[Importe Neto],Imput[C. Imp.],$D728,Imput[PERIODO Imp.],CQ$9)</f>
        <v>0</v>
      </c>
      <c r="CR728" s="693">
        <f>SUMIFS(Imput[Importe Neto],Imput[C. Imp.],$D728,Imput[PERIODO Imp.],CR$9)</f>
        <v>0</v>
      </c>
      <c r="CS728" s="693">
        <f>SUMIFS(Imput[Importe Neto],Imput[C. Imp.],$D728,Imput[PERIODO Imp.],CS$9)</f>
        <v>0</v>
      </c>
      <c r="CT728" s="693">
        <f>SUMIFS(Imput[Importe Neto],Imput[C. Imp.],$D728,Imput[PERIODO Imp.],CT$9)</f>
        <v>0</v>
      </c>
      <c r="CU728" s="693">
        <f>SUMIFS(Imput[Importe Neto],Imput[C. Imp.],$D728,Imput[PERIODO Imp.],CU$9)</f>
        <v>0</v>
      </c>
      <c r="CV728" s="693">
        <f>SUMIFS(Imput[Importe Neto],Imput[C. Imp.],$D728,Imput[PERIODO Imp.],CV$9)</f>
        <v>0</v>
      </c>
      <c r="CW728" s="693">
        <f>SUMIFS(Imput[Importe Neto],Imput[C. Imp.],$D728,Imput[PERIODO Imp.],CW$9)</f>
        <v>0</v>
      </c>
      <c r="CX728" s="693">
        <f>SUMIFS(Imput[Importe Neto],Imput[C. Imp.],$D728,Imput[PERIODO Imp.],CX$9)</f>
        <v>0</v>
      </c>
      <c r="CY728" s="693">
        <f>SUMIFS(Imput[Importe Neto],Imput[C. Imp.],$D728,Imput[PERIODO Imp.],CY$9)</f>
        <v>0</v>
      </c>
      <c r="CZ728" s="693">
        <f>SUMIFS(Imput[Importe Neto],Imput[C. Imp.],$D728,Imput[PERIODO Imp.],CZ$9)</f>
        <v>0</v>
      </c>
      <c r="DA728" s="693">
        <f>SUMIFS(Imput[Importe Neto],Imput[C. Imp.],$D728,Imput[PERIODO Imp.],DA$9)</f>
        <v>0</v>
      </c>
      <c r="DB728" s="693">
        <f>SUMIFS(Imput[Importe Neto],Imput[C. Imp.],$D728,Imput[PERIODO Imp.],DB$9)</f>
        <v>0</v>
      </c>
      <c r="DC728" s="693">
        <f>SUMIFS(Imput[Importe Neto],Imput[C. Imp.],$D728,Imput[PERIODO Imp.],DC$9)</f>
        <v>0</v>
      </c>
      <c r="DD728" s="693">
        <f>SUMIFS(Imput[Importe Neto],Imput[C. Imp.],$D728,Imput[PERIODO Imp.],DD$9)</f>
        <v>0</v>
      </c>
      <c r="DE728" s="693">
        <f>SUMIFS(Imput[Importe Neto],Imput[C. Imp.],$D728,Imput[PERIODO Imp.],DE$9)</f>
        <v>0</v>
      </c>
      <c r="DF728" s="693">
        <f>SUMIFS(Imput[Importe Neto],Imput[C. Imp.],$D728,Imput[PERIODO Imp.],DF$9)</f>
        <v>0</v>
      </c>
      <c r="DG728" s="693">
        <f>SUMIFS(Imput[Importe Neto],Imput[C. Imp.],$D728,Imput[PERIODO Imp.],DG$9)</f>
        <v>0</v>
      </c>
      <c r="DH728" s="694">
        <f>SUMIFS(Imput[Importe Neto],Imput[C. Imp.],$D728,Imput[PERIODO Imp.],DH$9)</f>
        <v>0</v>
      </c>
    </row>
    <row r="729" spans="1:112" s="649" customFormat="1" outlineLevel="1" x14ac:dyDescent="0.3">
      <c r="A729" s="652" t="str">
        <f t="shared" si="266"/>
        <v>Imprimir</v>
      </c>
      <c r="B729" s="652"/>
      <c r="C729" s="685"/>
      <c r="D729" s="686" t="s">
        <v>2717</v>
      </c>
      <c r="E729" s="686" t="s">
        <v>475</v>
      </c>
      <c r="F729" s="687"/>
      <c r="G729" s="688">
        <v>1100</v>
      </c>
      <c r="H729" s="531">
        <f>Producción!G78*2.5</f>
        <v>7.5</v>
      </c>
      <c r="I729" s="851">
        <f t="shared" si="267"/>
        <v>1</v>
      </c>
      <c r="J729" s="850">
        <f t="shared" si="270"/>
        <v>8250</v>
      </c>
      <c r="K729" s="667"/>
      <c r="L729" s="858">
        <v>0.5</v>
      </c>
      <c r="M729" s="859"/>
      <c r="N729" s="859"/>
      <c r="O729" s="859"/>
      <c r="P729" s="859"/>
      <c r="Q729" s="859"/>
      <c r="R729" s="859">
        <v>0.05</v>
      </c>
      <c r="S729" s="859"/>
      <c r="T729" s="859">
        <v>0.05</v>
      </c>
      <c r="U729" s="859"/>
      <c r="V729" s="859">
        <v>0.05</v>
      </c>
      <c r="W729" s="859"/>
      <c r="X729" s="859">
        <v>0.05</v>
      </c>
      <c r="Y729" s="859"/>
      <c r="Z729" s="860">
        <v>0.05</v>
      </c>
      <c r="AA729" s="860"/>
      <c r="AB729" s="860">
        <v>0.05</v>
      </c>
      <c r="AC729" s="860"/>
      <c r="AD729" s="860">
        <v>0.05</v>
      </c>
      <c r="AE729" s="860"/>
      <c r="AF729" s="860">
        <v>0.05</v>
      </c>
      <c r="AG729" s="860"/>
      <c r="AH729" s="860"/>
      <c r="AI729" s="860"/>
      <c r="AJ729" s="860">
        <v>0.1</v>
      </c>
      <c r="AK729" s="860"/>
      <c r="AL729" s="860"/>
      <c r="AM729" s="860"/>
      <c r="AN729" s="860"/>
      <c r="AO729" s="860"/>
      <c r="AP729" s="860"/>
      <c r="AQ729" s="860"/>
      <c r="AR729" s="860"/>
      <c r="AS729" s="860"/>
      <c r="AT729" s="860"/>
      <c r="AU729" s="860"/>
      <c r="AV729" s="860"/>
      <c r="AW729" s="860"/>
      <c r="AX729" s="860"/>
      <c r="AY729" s="860"/>
      <c r="AZ729" s="860"/>
      <c r="BA729" s="860"/>
      <c r="BB729" s="860"/>
      <c r="BC729" s="860"/>
      <c r="BD729" s="860"/>
      <c r="BE729" s="860"/>
      <c r="BF729" s="860"/>
      <c r="BG729" s="860"/>
      <c r="BH729" s="668"/>
      <c r="BI729" s="654"/>
      <c r="BJ729" s="690">
        <f t="shared" si="268"/>
        <v>0</v>
      </c>
      <c r="BK729" s="691">
        <f t="shared" si="269"/>
        <v>0</v>
      </c>
      <c r="BL729" s="654"/>
      <c r="BM729" s="692">
        <f>SUMIFS(Imput[Importe Neto],Imput[C. Imp.],$D729,Imput[PERIODO Imp.],BM$9)</f>
        <v>0</v>
      </c>
      <c r="BN729" s="693">
        <f>SUMIFS(Imput[Importe Neto],Imput[C. Imp.],$D729,Imput[PERIODO Imp.],BN$9)</f>
        <v>0</v>
      </c>
      <c r="BO729" s="693">
        <f>SUMIFS(Imput[Importe Neto],Imput[C. Imp.],$D729,Imput[PERIODO Imp.],BO$9)</f>
        <v>0</v>
      </c>
      <c r="BP729" s="693">
        <f>SUMIFS(Imput[Importe Neto],Imput[C. Imp.],$D729,Imput[PERIODO Imp.],BP$9)</f>
        <v>0</v>
      </c>
      <c r="BQ729" s="693">
        <f>SUMIFS(Imput[Importe Neto],Imput[C. Imp.],$D729,Imput[PERIODO Imp.],BQ$9)</f>
        <v>0</v>
      </c>
      <c r="BR729" s="693">
        <f>SUMIFS(Imput[Importe Neto],Imput[C. Imp.],$D729,Imput[PERIODO Imp.],BR$9)</f>
        <v>0</v>
      </c>
      <c r="BS729" s="693">
        <f>SUMIFS(Imput[Importe Neto],Imput[C. Imp.],$D729,Imput[PERIODO Imp.],BS$9)</f>
        <v>0</v>
      </c>
      <c r="BT729" s="693">
        <f>SUMIFS(Imput[Importe Neto],Imput[C. Imp.],$D729,Imput[PERIODO Imp.],BT$9)</f>
        <v>0</v>
      </c>
      <c r="BU729" s="693">
        <f>SUMIFS(Imput[Importe Neto],Imput[C. Imp.],$D729,Imput[PERIODO Imp.],BU$9)</f>
        <v>0</v>
      </c>
      <c r="BV729" s="693">
        <f>SUMIFS(Imput[Importe Neto],Imput[C. Imp.],$D729,Imput[PERIODO Imp.],BV$9)</f>
        <v>0</v>
      </c>
      <c r="BW729" s="693">
        <f>SUMIFS(Imput[Importe Neto],Imput[C. Imp.],$D729,Imput[PERIODO Imp.],BW$9)</f>
        <v>0</v>
      </c>
      <c r="BX729" s="693">
        <f>SUMIFS(Imput[Importe Neto],Imput[C. Imp.],$D729,Imput[PERIODO Imp.],BX$9)</f>
        <v>0</v>
      </c>
      <c r="BY729" s="693">
        <f>SUMIFS(Imput[Importe Neto],Imput[C. Imp.],$D729,Imput[PERIODO Imp.],BY$9)</f>
        <v>0</v>
      </c>
      <c r="BZ729" s="693">
        <f>SUMIFS(Imput[Importe Neto],Imput[C. Imp.],$D729,Imput[PERIODO Imp.],BZ$9)</f>
        <v>0</v>
      </c>
      <c r="CA729" s="693">
        <f>SUMIFS(Imput[Importe Neto],Imput[C. Imp.],$D729,Imput[PERIODO Imp.],CA$9)</f>
        <v>0</v>
      </c>
      <c r="CB729" s="693">
        <f>SUMIFS(Imput[Importe Neto],Imput[C. Imp.],$D729,Imput[PERIODO Imp.],CB$9)</f>
        <v>0</v>
      </c>
      <c r="CC729" s="693">
        <f>SUMIFS(Imput[Importe Neto],Imput[C. Imp.],$D729,Imput[PERIODO Imp.],CC$9)</f>
        <v>0</v>
      </c>
      <c r="CD729" s="693">
        <f>SUMIFS(Imput[Importe Neto],Imput[C. Imp.],$D729,Imput[PERIODO Imp.],CD$9)</f>
        <v>0</v>
      </c>
      <c r="CE729" s="693">
        <f>SUMIFS(Imput[Importe Neto],Imput[C. Imp.],$D729,Imput[PERIODO Imp.],CE$9)</f>
        <v>0</v>
      </c>
      <c r="CF729" s="693">
        <f>SUMIFS(Imput[Importe Neto],Imput[C. Imp.],$D729,Imput[PERIODO Imp.],CF$9)</f>
        <v>0</v>
      </c>
      <c r="CG729" s="693">
        <f>SUMIFS(Imput[Importe Neto],Imput[C. Imp.],$D729,Imput[PERIODO Imp.],CG$9)</f>
        <v>0</v>
      </c>
      <c r="CH729" s="693">
        <f>SUMIFS(Imput[Importe Neto],Imput[C. Imp.],$D729,Imput[PERIODO Imp.],CH$9)</f>
        <v>0</v>
      </c>
      <c r="CI729" s="693">
        <f>SUMIFS(Imput[Importe Neto],Imput[C. Imp.],$D729,Imput[PERIODO Imp.],CI$9)</f>
        <v>0</v>
      </c>
      <c r="CJ729" s="693">
        <f>SUMIFS(Imput[Importe Neto],Imput[C. Imp.],$D729,Imput[PERIODO Imp.],CJ$9)</f>
        <v>0</v>
      </c>
      <c r="CK729" s="693">
        <f>SUMIFS(Imput[Importe Neto],Imput[C. Imp.],$D729,Imput[PERIODO Imp.],CK$9)</f>
        <v>0</v>
      </c>
      <c r="CL729" s="693">
        <f>SUMIFS(Imput[Importe Neto],Imput[C. Imp.],$D729,Imput[PERIODO Imp.],CL$9)</f>
        <v>0</v>
      </c>
      <c r="CM729" s="693">
        <f>SUMIFS(Imput[Importe Neto],Imput[C. Imp.],$D729,Imput[PERIODO Imp.],CM$9)</f>
        <v>0</v>
      </c>
      <c r="CN729" s="693">
        <f>SUMIFS(Imput[Importe Neto],Imput[C. Imp.],$D729,Imput[PERIODO Imp.],CN$9)</f>
        <v>0</v>
      </c>
      <c r="CO729" s="693">
        <f>SUMIFS(Imput[Importe Neto],Imput[C. Imp.],$D729,Imput[PERIODO Imp.],CO$9)</f>
        <v>0</v>
      </c>
      <c r="CP729" s="693">
        <f>SUMIFS(Imput[Importe Neto],Imput[C. Imp.],$D729,Imput[PERIODO Imp.],CP$9)</f>
        <v>0</v>
      </c>
      <c r="CQ729" s="693">
        <f>SUMIFS(Imput[Importe Neto],Imput[C. Imp.],$D729,Imput[PERIODO Imp.],CQ$9)</f>
        <v>0</v>
      </c>
      <c r="CR729" s="693">
        <f>SUMIFS(Imput[Importe Neto],Imput[C. Imp.],$D729,Imput[PERIODO Imp.],CR$9)</f>
        <v>0</v>
      </c>
      <c r="CS729" s="693">
        <f>SUMIFS(Imput[Importe Neto],Imput[C. Imp.],$D729,Imput[PERIODO Imp.],CS$9)</f>
        <v>0</v>
      </c>
      <c r="CT729" s="693">
        <f>SUMIFS(Imput[Importe Neto],Imput[C. Imp.],$D729,Imput[PERIODO Imp.],CT$9)</f>
        <v>0</v>
      </c>
      <c r="CU729" s="693">
        <f>SUMIFS(Imput[Importe Neto],Imput[C. Imp.],$D729,Imput[PERIODO Imp.],CU$9)</f>
        <v>0</v>
      </c>
      <c r="CV729" s="693">
        <f>SUMIFS(Imput[Importe Neto],Imput[C. Imp.],$D729,Imput[PERIODO Imp.],CV$9)</f>
        <v>0</v>
      </c>
      <c r="CW729" s="693">
        <f>SUMIFS(Imput[Importe Neto],Imput[C. Imp.],$D729,Imput[PERIODO Imp.],CW$9)</f>
        <v>0</v>
      </c>
      <c r="CX729" s="693">
        <f>SUMIFS(Imput[Importe Neto],Imput[C. Imp.],$D729,Imput[PERIODO Imp.],CX$9)</f>
        <v>0</v>
      </c>
      <c r="CY729" s="693">
        <f>SUMIFS(Imput[Importe Neto],Imput[C. Imp.],$D729,Imput[PERIODO Imp.],CY$9)</f>
        <v>0</v>
      </c>
      <c r="CZ729" s="693">
        <f>SUMIFS(Imput[Importe Neto],Imput[C. Imp.],$D729,Imput[PERIODO Imp.],CZ$9)</f>
        <v>0</v>
      </c>
      <c r="DA729" s="693">
        <f>SUMIFS(Imput[Importe Neto],Imput[C. Imp.],$D729,Imput[PERIODO Imp.],DA$9)</f>
        <v>0</v>
      </c>
      <c r="DB729" s="693">
        <f>SUMIFS(Imput[Importe Neto],Imput[C. Imp.],$D729,Imput[PERIODO Imp.],DB$9)</f>
        <v>0</v>
      </c>
      <c r="DC729" s="693">
        <f>SUMIFS(Imput[Importe Neto],Imput[C. Imp.],$D729,Imput[PERIODO Imp.],DC$9)</f>
        <v>0</v>
      </c>
      <c r="DD729" s="693">
        <f>SUMIFS(Imput[Importe Neto],Imput[C. Imp.],$D729,Imput[PERIODO Imp.],DD$9)</f>
        <v>0</v>
      </c>
      <c r="DE729" s="693">
        <f>SUMIFS(Imput[Importe Neto],Imput[C. Imp.],$D729,Imput[PERIODO Imp.],DE$9)</f>
        <v>0</v>
      </c>
      <c r="DF729" s="693">
        <f>SUMIFS(Imput[Importe Neto],Imput[C. Imp.],$D729,Imput[PERIODO Imp.],DF$9)</f>
        <v>0</v>
      </c>
      <c r="DG729" s="693">
        <f>SUMIFS(Imput[Importe Neto],Imput[C. Imp.],$D729,Imput[PERIODO Imp.],DG$9)</f>
        <v>0</v>
      </c>
      <c r="DH729" s="694">
        <f>SUMIFS(Imput[Importe Neto],Imput[C. Imp.],$D729,Imput[PERIODO Imp.],DH$9)</f>
        <v>0</v>
      </c>
    </row>
    <row r="730" spans="1:112" s="649" customFormat="1" outlineLevel="1" x14ac:dyDescent="0.3">
      <c r="A730" s="652" t="str">
        <f t="shared" si="266"/>
        <v>Imprimir</v>
      </c>
      <c r="B730" s="652"/>
      <c r="C730" s="685"/>
      <c r="D730" s="686" t="s">
        <v>2718</v>
      </c>
      <c r="E730" s="686" t="s">
        <v>2129</v>
      </c>
      <c r="F730" s="720"/>
      <c r="G730" s="688">
        <v>5000</v>
      </c>
      <c r="H730" s="689">
        <f>Producción!G78*0.1</f>
        <v>0.30000000000000004</v>
      </c>
      <c r="I730" s="851">
        <f t="shared" si="267"/>
        <v>1</v>
      </c>
      <c r="J730" s="852">
        <f t="shared" si="270"/>
        <v>1500.0000000000002</v>
      </c>
      <c r="K730" s="667"/>
      <c r="L730" s="858">
        <v>0.3</v>
      </c>
      <c r="M730" s="859"/>
      <c r="N730" s="859">
        <v>0.05</v>
      </c>
      <c r="O730" s="859"/>
      <c r="P730" s="859">
        <v>0.05</v>
      </c>
      <c r="Q730" s="859"/>
      <c r="R730" s="859">
        <v>0.05</v>
      </c>
      <c r="S730" s="859"/>
      <c r="T730" s="859">
        <v>0.05</v>
      </c>
      <c r="U730" s="859"/>
      <c r="V730" s="859">
        <v>0.05</v>
      </c>
      <c r="W730" s="859"/>
      <c r="X730" s="859">
        <v>0.05</v>
      </c>
      <c r="Y730" s="859"/>
      <c r="Z730" s="860">
        <v>0.05</v>
      </c>
      <c r="AA730" s="860"/>
      <c r="AB730" s="860">
        <v>0.05</v>
      </c>
      <c r="AC730" s="860"/>
      <c r="AD730" s="860">
        <v>0.05</v>
      </c>
      <c r="AE730" s="860"/>
      <c r="AF730" s="860">
        <v>0.05</v>
      </c>
      <c r="AG730" s="860"/>
      <c r="AH730" s="860">
        <v>0.05</v>
      </c>
      <c r="AI730" s="860"/>
      <c r="AJ730" s="860">
        <v>0.15</v>
      </c>
      <c r="AK730" s="860"/>
      <c r="AL730" s="860"/>
      <c r="AM730" s="860"/>
      <c r="AN730" s="860"/>
      <c r="AO730" s="860"/>
      <c r="AP730" s="860"/>
      <c r="AQ730" s="860"/>
      <c r="AR730" s="860"/>
      <c r="AS730" s="860"/>
      <c r="AT730" s="860"/>
      <c r="AU730" s="860"/>
      <c r="AV730" s="860"/>
      <c r="AW730" s="860"/>
      <c r="AX730" s="860"/>
      <c r="AY730" s="860"/>
      <c r="AZ730" s="860"/>
      <c r="BA730" s="860"/>
      <c r="BB730" s="860"/>
      <c r="BC730" s="860"/>
      <c r="BD730" s="860"/>
      <c r="BE730" s="860"/>
      <c r="BF730" s="860"/>
      <c r="BG730" s="860"/>
      <c r="BH730" s="668"/>
      <c r="BI730" s="667"/>
      <c r="BJ730" s="690">
        <f t="shared" si="268"/>
        <v>0</v>
      </c>
      <c r="BK730" s="691">
        <f t="shared" si="269"/>
        <v>0</v>
      </c>
      <c r="BL730" s="654"/>
      <c r="BM730" s="692">
        <f>SUMIFS(Imput[Importe Neto],Imput[C. Imp.],$D730,Imput[PERIODO Imp.],BM$9)</f>
        <v>0</v>
      </c>
      <c r="BN730" s="693">
        <f>SUMIFS(Imput[Importe Neto],Imput[C. Imp.],$D730,Imput[PERIODO Imp.],BN$9)</f>
        <v>0</v>
      </c>
      <c r="BO730" s="693">
        <f>SUMIFS(Imput[Importe Neto],Imput[C. Imp.],$D730,Imput[PERIODO Imp.],BO$9)</f>
        <v>0</v>
      </c>
      <c r="BP730" s="693">
        <f>SUMIFS(Imput[Importe Neto],Imput[C. Imp.],$D730,Imput[PERIODO Imp.],BP$9)</f>
        <v>0</v>
      </c>
      <c r="BQ730" s="693">
        <f>SUMIFS(Imput[Importe Neto],Imput[C. Imp.],$D730,Imput[PERIODO Imp.],BQ$9)</f>
        <v>0</v>
      </c>
      <c r="BR730" s="693">
        <f>SUMIFS(Imput[Importe Neto],Imput[C. Imp.],$D730,Imput[PERIODO Imp.],BR$9)</f>
        <v>0</v>
      </c>
      <c r="BS730" s="693">
        <f>SUMIFS(Imput[Importe Neto],Imput[C. Imp.],$D730,Imput[PERIODO Imp.],BS$9)</f>
        <v>0</v>
      </c>
      <c r="BT730" s="693">
        <f>SUMIFS(Imput[Importe Neto],Imput[C. Imp.],$D730,Imput[PERIODO Imp.],BT$9)</f>
        <v>0</v>
      </c>
      <c r="BU730" s="693">
        <f>SUMIFS(Imput[Importe Neto],Imput[C. Imp.],$D730,Imput[PERIODO Imp.],BU$9)</f>
        <v>0</v>
      </c>
      <c r="BV730" s="693">
        <f>SUMIFS(Imput[Importe Neto],Imput[C. Imp.],$D730,Imput[PERIODO Imp.],BV$9)</f>
        <v>0</v>
      </c>
      <c r="BW730" s="693">
        <f>SUMIFS(Imput[Importe Neto],Imput[C. Imp.],$D730,Imput[PERIODO Imp.],BW$9)</f>
        <v>0</v>
      </c>
      <c r="BX730" s="693">
        <f>SUMIFS(Imput[Importe Neto],Imput[C. Imp.],$D730,Imput[PERIODO Imp.],BX$9)</f>
        <v>0</v>
      </c>
      <c r="BY730" s="693">
        <f>SUMIFS(Imput[Importe Neto],Imput[C. Imp.],$D730,Imput[PERIODO Imp.],BY$9)</f>
        <v>0</v>
      </c>
      <c r="BZ730" s="693">
        <f>SUMIFS(Imput[Importe Neto],Imput[C. Imp.],$D730,Imput[PERIODO Imp.],BZ$9)</f>
        <v>0</v>
      </c>
      <c r="CA730" s="693">
        <f>SUMIFS(Imput[Importe Neto],Imput[C. Imp.],$D730,Imput[PERIODO Imp.],CA$9)</f>
        <v>0</v>
      </c>
      <c r="CB730" s="693">
        <f>SUMIFS(Imput[Importe Neto],Imput[C. Imp.],$D730,Imput[PERIODO Imp.],CB$9)</f>
        <v>0</v>
      </c>
      <c r="CC730" s="693">
        <f>SUMIFS(Imput[Importe Neto],Imput[C. Imp.],$D730,Imput[PERIODO Imp.],CC$9)</f>
        <v>0</v>
      </c>
      <c r="CD730" s="693">
        <f>SUMIFS(Imput[Importe Neto],Imput[C. Imp.],$D730,Imput[PERIODO Imp.],CD$9)</f>
        <v>0</v>
      </c>
      <c r="CE730" s="693">
        <f>SUMIFS(Imput[Importe Neto],Imput[C. Imp.],$D730,Imput[PERIODO Imp.],CE$9)</f>
        <v>0</v>
      </c>
      <c r="CF730" s="693">
        <f>SUMIFS(Imput[Importe Neto],Imput[C. Imp.],$D730,Imput[PERIODO Imp.],CF$9)</f>
        <v>0</v>
      </c>
      <c r="CG730" s="693">
        <f>SUMIFS(Imput[Importe Neto],Imput[C. Imp.],$D730,Imput[PERIODO Imp.],CG$9)</f>
        <v>0</v>
      </c>
      <c r="CH730" s="693">
        <f>SUMIFS(Imput[Importe Neto],Imput[C. Imp.],$D730,Imput[PERIODO Imp.],CH$9)</f>
        <v>0</v>
      </c>
      <c r="CI730" s="693">
        <f>SUMIFS(Imput[Importe Neto],Imput[C. Imp.],$D730,Imput[PERIODO Imp.],CI$9)</f>
        <v>0</v>
      </c>
      <c r="CJ730" s="693">
        <f>SUMIFS(Imput[Importe Neto],Imput[C. Imp.],$D730,Imput[PERIODO Imp.],CJ$9)</f>
        <v>0</v>
      </c>
      <c r="CK730" s="693">
        <f>SUMIFS(Imput[Importe Neto],Imput[C. Imp.],$D730,Imput[PERIODO Imp.],CK$9)</f>
        <v>0</v>
      </c>
      <c r="CL730" s="693">
        <f>SUMIFS(Imput[Importe Neto],Imput[C. Imp.],$D730,Imput[PERIODO Imp.],CL$9)</f>
        <v>0</v>
      </c>
      <c r="CM730" s="693">
        <f>SUMIFS(Imput[Importe Neto],Imput[C. Imp.],$D730,Imput[PERIODO Imp.],CM$9)</f>
        <v>0</v>
      </c>
      <c r="CN730" s="693">
        <f>SUMIFS(Imput[Importe Neto],Imput[C. Imp.],$D730,Imput[PERIODO Imp.],CN$9)</f>
        <v>0</v>
      </c>
      <c r="CO730" s="693">
        <f>SUMIFS(Imput[Importe Neto],Imput[C. Imp.],$D730,Imput[PERIODO Imp.],CO$9)</f>
        <v>0</v>
      </c>
      <c r="CP730" s="693">
        <f>SUMIFS(Imput[Importe Neto],Imput[C. Imp.],$D730,Imput[PERIODO Imp.],CP$9)</f>
        <v>0</v>
      </c>
      <c r="CQ730" s="693">
        <f>SUMIFS(Imput[Importe Neto],Imput[C. Imp.],$D730,Imput[PERIODO Imp.],CQ$9)</f>
        <v>0</v>
      </c>
      <c r="CR730" s="693">
        <f>SUMIFS(Imput[Importe Neto],Imput[C. Imp.],$D730,Imput[PERIODO Imp.],CR$9)</f>
        <v>0</v>
      </c>
      <c r="CS730" s="693">
        <f>SUMIFS(Imput[Importe Neto],Imput[C. Imp.],$D730,Imput[PERIODO Imp.],CS$9)</f>
        <v>0</v>
      </c>
      <c r="CT730" s="693">
        <f>SUMIFS(Imput[Importe Neto],Imput[C. Imp.],$D730,Imput[PERIODO Imp.],CT$9)</f>
        <v>0</v>
      </c>
      <c r="CU730" s="693">
        <f>SUMIFS(Imput[Importe Neto],Imput[C. Imp.],$D730,Imput[PERIODO Imp.],CU$9)</f>
        <v>0</v>
      </c>
      <c r="CV730" s="693">
        <f>SUMIFS(Imput[Importe Neto],Imput[C. Imp.],$D730,Imput[PERIODO Imp.],CV$9)</f>
        <v>0</v>
      </c>
      <c r="CW730" s="693">
        <f>SUMIFS(Imput[Importe Neto],Imput[C. Imp.],$D730,Imput[PERIODO Imp.],CW$9)</f>
        <v>0</v>
      </c>
      <c r="CX730" s="693">
        <f>SUMIFS(Imput[Importe Neto],Imput[C. Imp.],$D730,Imput[PERIODO Imp.],CX$9)</f>
        <v>0</v>
      </c>
      <c r="CY730" s="693">
        <f>SUMIFS(Imput[Importe Neto],Imput[C. Imp.],$D730,Imput[PERIODO Imp.],CY$9)</f>
        <v>0</v>
      </c>
      <c r="CZ730" s="693">
        <f>SUMIFS(Imput[Importe Neto],Imput[C. Imp.],$D730,Imput[PERIODO Imp.],CZ$9)</f>
        <v>0</v>
      </c>
      <c r="DA730" s="693">
        <f>SUMIFS(Imput[Importe Neto],Imput[C. Imp.],$D730,Imput[PERIODO Imp.],DA$9)</f>
        <v>0</v>
      </c>
      <c r="DB730" s="693">
        <f>SUMIFS(Imput[Importe Neto],Imput[C. Imp.],$D730,Imput[PERIODO Imp.],DB$9)</f>
        <v>0</v>
      </c>
      <c r="DC730" s="693">
        <f>SUMIFS(Imput[Importe Neto],Imput[C. Imp.],$D730,Imput[PERIODO Imp.],DC$9)</f>
        <v>0</v>
      </c>
      <c r="DD730" s="693">
        <f>SUMIFS(Imput[Importe Neto],Imput[C. Imp.],$D730,Imput[PERIODO Imp.],DD$9)</f>
        <v>0</v>
      </c>
      <c r="DE730" s="693">
        <f>SUMIFS(Imput[Importe Neto],Imput[C. Imp.],$D730,Imput[PERIODO Imp.],DE$9)</f>
        <v>0</v>
      </c>
      <c r="DF730" s="693">
        <f>SUMIFS(Imput[Importe Neto],Imput[C. Imp.],$D730,Imput[PERIODO Imp.],DF$9)</f>
        <v>0</v>
      </c>
      <c r="DG730" s="693">
        <f>SUMIFS(Imput[Importe Neto],Imput[C. Imp.],$D730,Imput[PERIODO Imp.],DG$9)</f>
        <v>0</v>
      </c>
      <c r="DH730" s="694">
        <f>SUMIFS(Imput[Importe Neto],Imput[C. Imp.],$D730,Imput[PERIODO Imp.],DH$9)</f>
        <v>0</v>
      </c>
    </row>
    <row r="731" spans="1:112" s="649" customFormat="1" outlineLevel="1" x14ac:dyDescent="0.3">
      <c r="A731" s="652" t="str">
        <f t="shared" si="266"/>
        <v>Imprimir</v>
      </c>
      <c r="B731" s="652"/>
      <c r="C731" s="685"/>
      <c r="D731" s="686" t="s">
        <v>2719</v>
      </c>
      <c r="E731" s="528" t="s">
        <v>3371</v>
      </c>
      <c r="F731" s="720"/>
      <c r="G731" s="688">
        <f>1857.14285714285+11000</f>
        <v>12857.14285714285</v>
      </c>
      <c r="H731" s="689">
        <v>2</v>
      </c>
      <c r="I731" s="851">
        <f t="shared" si="267"/>
        <v>1</v>
      </c>
      <c r="J731" s="852">
        <f t="shared" si="270"/>
        <v>25714.285714285699</v>
      </c>
      <c r="K731" s="667"/>
      <c r="L731" s="858"/>
      <c r="M731" s="859"/>
      <c r="N731" s="859"/>
      <c r="O731" s="859"/>
      <c r="P731" s="859"/>
      <c r="Q731" s="859"/>
      <c r="R731" s="859"/>
      <c r="S731" s="859"/>
      <c r="T731" s="859"/>
      <c r="U731" s="859"/>
      <c r="V731" s="859"/>
      <c r="W731" s="859"/>
      <c r="X731" s="859"/>
      <c r="Y731" s="859"/>
      <c r="Z731" s="860"/>
      <c r="AA731" s="860"/>
      <c r="AB731" s="860"/>
      <c r="AC731" s="860"/>
      <c r="AD731" s="860"/>
      <c r="AE731" s="860"/>
      <c r="AF731" s="860"/>
      <c r="AG731" s="860"/>
      <c r="AH731" s="860"/>
      <c r="AI731" s="860"/>
      <c r="AJ731" s="860"/>
      <c r="AK731" s="860"/>
      <c r="AL731" s="860"/>
      <c r="AM731" s="860"/>
      <c r="AN731" s="860"/>
      <c r="AO731" s="860"/>
      <c r="AP731" s="860"/>
      <c r="AQ731" s="860"/>
      <c r="AR731" s="860"/>
      <c r="AS731" s="860"/>
      <c r="AT731" s="860"/>
      <c r="AU731" s="860"/>
      <c r="AV731" s="860"/>
      <c r="AW731" s="860"/>
      <c r="AX731" s="860"/>
      <c r="AY731" s="860"/>
      <c r="AZ731" s="860"/>
      <c r="BA731" s="860"/>
      <c r="BB731" s="860"/>
      <c r="BC731" s="860"/>
      <c r="BD731" s="860"/>
      <c r="BE731" s="860"/>
      <c r="BF731" s="860"/>
      <c r="BG731" s="860"/>
      <c r="BH731" s="668"/>
      <c r="BI731" s="667"/>
      <c r="BJ731" s="690">
        <f t="shared" si="268"/>
        <v>0</v>
      </c>
      <c r="BK731" s="691">
        <f t="shared" si="269"/>
        <v>0</v>
      </c>
      <c r="BL731" s="654"/>
      <c r="BM731" s="692">
        <f>SUMIFS(Imput[Importe Neto],Imput[C. Imp.],$D731,Imput[PERIODO Imp.],BM$9)</f>
        <v>0</v>
      </c>
      <c r="BN731" s="693">
        <f>SUMIFS(Imput[Importe Neto],Imput[C. Imp.],$D731,Imput[PERIODO Imp.],BN$9)</f>
        <v>0</v>
      </c>
      <c r="BO731" s="693">
        <f>SUMIFS(Imput[Importe Neto],Imput[C. Imp.],$D731,Imput[PERIODO Imp.],BO$9)</f>
        <v>0</v>
      </c>
      <c r="BP731" s="693">
        <f>SUMIFS(Imput[Importe Neto],Imput[C. Imp.],$D731,Imput[PERIODO Imp.],BP$9)</f>
        <v>0</v>
      </c>
      <c r="BQ731" s="693">
        <f>SUMIFS(Imput[Importe Neto],Imput[C. Imp.],$D731,Imput[PERIODO Imp.],BQ$9)</f>
        <v>0</v>
      </c>
      <c r="BR731" s="693">
        <f>SUMIFS(Imput[Importe Neto],Imput[C. Imp.],$D731,Imput[PERIODO Imp.],BR$9)</f>
        <v>0</v>
      </c>
      <c r="BS731" s="693">
        <f>SUMIFS(Imput[Importe Neto],Imput[C. Imp.],$D731,Imput[PERIODO Imp.],BS$9)</f>
        <v>0</v>
      </c>
      <c r="BT731" s="693">
        <f>SUMIFS(Imput[Importe Neto],Imput[C. Imp.],$D731,Imput[PERIODO Imp.],BT$9)</f>
        <v>0</v>
      </c>
      <c r="BU731" s="693">
        <f>SUMIFS(Imput[Importe Neto],Imput[C. Imp.],$D731,Imput[PERIODO Imp.],BU$9)</f>
        <v>0</v>
      </c>
      <c r="BV731" s="693">
        <f>SUMIFS(Imput[Importe Neto],Imput[C. Imp.],$D731,Imput[PERIODO Imp.],BV$9)</f>
        <v>0</v>
      </c>
      <c r="BW731" s="693">
        <f>SUMIFS(Imput[Importe Neto],Imput[C. Imp.],$D731,Imput[PERIODO Imp.],BW$9)</f>
        <v>0</v>
      </c>
      <c r="BX731" s="693">
        <f>SUMIFS(Imput[Importe Neto],Imput[C. Imp.],$D731,Imput[PERIODO Imp.],BX$9)</f>
        <v>0</v>
      </c>
      <c r="BY731" s="693">
        <f>SUMIFS(Imput[Importe Neto],Imput[C. Imp.],$D731,Imput[PERIODO Imp.],BY$9)</f>
        <v>0</v>
      </c>
      <c r="BZ731" s="693">
        <f>SUMIFS(Imput[Importe Neto],Imput[C. Imp.],$D731,Imput[PERIODO Imp.],BZ$9)</f>
        <v>0</v>
      </c>
      <c r="CA731" s="693">
        <f>SUMIFS(Imput[Importe Neto],Imput[C. Imp.],$D731,Imput[PERIODO Imp.],CA$9)</f>
        <v>0</v>
      </c>
      <c r="CB731" s="693">
        <f>SUMIFS(Imput[Importe Neto],Imput[C. Imp.],$D731,Imput[PERIODO Imp.],CB$9)</f>
        <v>0</v>
      </c>
      <c r="CC731" s="693">
        <f>SUMIFS(Imput[Importe Neto],Imput[C. Imp.],$D731,Imput[PERIODO Imp.],CC$9)</f>
        <v>0</v>
      </c>
      <c r="CD731" s="693">
        <f>SUMIFS(Imput[Importe Neto],Imput[C. Imp.],$D731,Imput[PERIODO Imp.],CD$9)</f>
        <v>0</v>
      </c>
      <c r="CE731" s="693">
        <f>SUMIFS(Imput[Importe Neto],Imput[C. Imp.],$D731,Imput[PERIODO Imp.],CE$9)</f>
        <v>0</v>
      </c>
      <c r="CF731" s="693">
        <f>SUMIFS(Imput[Importe Neto],Imput[C. Imp.],$D731,Imput[PERIODO Imp.],CF$9)</f>
        <v>0</v>
      </c>
      <c r="CG731" s="693">
        <f>SUMIFS(Imput[Importe Neto],Imput[C. Imp.],$D731,Imput[PERIODO Imp.],CG$9)</f>
        <v>0</v>
      </c>
      <c r="CH731" s="693">
        <f>SUMIFS(Imput[Importe Neto],Imput[C. Imp.],$D731,Imput[PERIODO Imp.],CH$9)</f>
        <v>0</v>
      </c>
      <c r="CI731" s="693">
        <f>SUMIFS(Imput[Importe Neto],Imput[C. Imp.],$D731,Imput[PERIODO Imp.],CI$9)</f>
        <v>0</v>
      </c>
      <c r="CJ731" s="693">
        <f>SUMIFS(Imput[Importe Neto],Imput[C. Imp.],$D731,Imput[PERIODO Imp.],CJ$9)</f>
        <v>0</v>
      </c>
      <c r="CK731" s="693">
        <f>SUMIFS(Imput[Importe Neto],Imput[C. Imp.],$D731,Imput[PERIODO Imp.],CK$9)</f>
        <v>0</v>
      </c>
      <c r="CL731" s="693">
        <f>SUMIFS(Imput[Importe Neto],Imput[C. Imp.],$D731,Imput[PERIODO Imp.],CL$9)</f>
        <v>0</v>
      </c>
      <c r="CM731" s="693">
        <f>SUMIFS(Imput[Importe Neto],Imput[C. Imp.],$D731,Imput[PERIODO Imp.],CM$9)</f>
        <v>0</v>
      </c>
      <c r="CN731" s="693">
        <f>SUMIFS(Imput[Importe Neto],Imput[C. Imp.],$D731,Imput[PERIODO Imp.],CN$9)</f>
        <v>0</v>
      </c>
      <c r="CO731" s="693">
        <f>SUMIFS(Imput[Importe Neto],Imput[C. Imp.],$D731,Imput[PERIODO Imp.],CO$9)</f>
        <v>0</v>
      </c>
      <c r="CP731" s="693">
        <f>SUMIFS(Imput[Importe Neto],Imput[C. Imp.],$D731,Imput[PERIODO Imp.],CP$9)</f>
        <v>0</v>
      </c>
      <c r="CQ731" s="693">
        <f>SUMIFS(Imput[Importe Neto],Imput[C. Imp.],$D731,Imput[PERIODO Imp.],CQ$9)</f>
        <v>0</v>
      </c>
      <c r="CR731" s="693">
        <f>SUMIFS(Imput[Importe Neto],Imput[C. Imp.],$D731,Imput[PERIODO Imp.],CR$9)</f>
        <v>0</v>
      </c>
      <c r="CS731" s="693">
        <f>SUMIFS(Imput[Importe Neto],Imput[C. Imp.],$D731,Imput[PERIODO Imp.],CS$9)</f>
        <v>0</v>
      </c>
      <c r="CT731" s="693">
        <f>SUMIFS(Imput[Importe Neto],Imput[C. Imp.],$D731,Imput[PERIODO Imp.],CT$9)</f>
        <v>0</v>
      </c>
      <c r="CU731" s="693">
        <f>SUMIFS(Imput[Importe Neto],Imput[C. Imp.],$D731,Imput[PERIODO Imp.],CU$9)</f>
        <v>0</v>
      </c>
      <c r="CV731" s="693">
        <f>SUMIFS(Imput[Importe Neto],Imput[C. Imp.],$D731,Imput[PERIODO Imp.],CV$9)</f>
        <v>0</v>
      </c>
      <c r="CW731" s="693">
        <f>SUMIFS(Imput[Importe Neto],Imput[C. Imp.],$D731,Imput[PERIODO Imp.],CW$9)</f>
        <v>0</v>
      </c>
      <c r="CX731" s="693">
        <f>SUMIFS(Imput[Importe Neto],Imput[C. Imp.],$D731,Imput[PERIODO Imp.],CX$9)</f>
        <v>0</v>
      </c>
      <c r="CY731" s="693">
        <f>SUMIFS(Imput[Importe Neto],Imput[C. Imp.],$D731,Imput[PERIODO Imp.],CY$9)</f>
        <v>0</v>
      </c>
      <c r="CZ731" s="693">
        <f>SUMIFS(Imput[Importe Neto],Imput[C. Imp.],$D731,Imput[PERIODO Imp.],CZ$9)</f>
        <v>0</v>
      </c>
      <c r="DA731" s="693">
        <f>SUMIFS(Imput[Importe Neto],Imput[C. Imp.],$D731,Imput[PERIODO Imp.],DA$9)</f>
        <v>0</v>
      </c>
      <c r="DB731" s="693">
        <f>SUMIFS(Imput[Importe Neto],Imput[C. Imp.],$D731,Imput[PERIODO Imp.],DB$9)</f>
        <v>0</v>
      </c>
      <c r="DC731" s="693">
        <f>SUMIFS(Imput[Importe Neto],Imput[C. Imp.],$D731,Imput[PERIODO Imp.],DC$9)</f>
        <v>0</v>
      </c>
      <c r="DD731" s="693">
        <f>SUMIFS(Imput[Importe Neto],Imput[C. Imp.],$D731,Imput[PERIODO Imp.],DD$9)</f>
        <v>0</v>
      </c>
      <c r="DE731" s="693">
        <f>SUMIFS(Imput[Importe Neto],Imput[C. Imp.],$D731,Imput[PERIODO Imp.],DE$9)</f>
        <v>0</v>
      </c>
      <c r="DF731" s="693">
        <f>SUMIFS(Imput[Importe Neto],Imput[C. Imp.],$D731,Imput[PERIODO Imp.],DF$9)</f>
        <v>0</v>
      </c>
      <c r="DG731" s="693">
        <f>SUMIFS(Imput[Importe Neto],Imput[C. Imp.],$D731,Imput[PERIODO Imp.],DG$9)</f>
        <v>0</v>
      </c>
      <c r="DH731" s="694">
        <f>SUMIFS(Imput[Importe Neto],Imput[C. Imp.],$D731,Imput[PERIODO Imp.],DH$9)</f>
        <v>0</v>
      </c>
    </row>
    <row r="732" spans="1:112" s="649" customFormat="1" hidden="1" outlineLevel="1" x14ac:dyDescent="0.3">
      <c r="A732" s="652" t="str">
        <f t="shared" si="266"/>
        <v/>
      </c>
      <c r="B732" s="652"/>
      <c r="C732" s="685"/>
      <c r="D732" s="686" t="s">
        <v>2720</v>
      </c>
      <c r="E732" s="528" t="s">
        <v>3372</v>
      </c>
      <c r="F732" s="695"/>
      <c r="G732" s="688"/>
      <c r="H732" s="696"/>
      <c r="I732" s="851">
        <f t="shared" si="267"/>
        <v>1</v>
      </c>
      <c r="J732" s="850">
        <f t="shared" si="270"/>
        <v>0</v>
      </c>
      <c r="K732" s="667"/>
      <c r="L732" s="858"/>
      <c r="M732" s="859"/>
      <c r="N732" s="859"/>
      <c r="O732" s="859"/>
      <c r="P732" s="859"/>
      <c r="Q732" s="859"/>
      <c r="R732" s="859"/>
      <c r="S732" s="859"/>
      <c r="T732" s="859"/>
      <c r="U732" s="859"/>
      <c r="V732" s="859"/>
      <c r="W732" s="859"/>
      <c r="X732" s="859"/>
      <c r="Y732" s="859"/>
      <c r="Z732" s="860"/>
      <c r="AA732" s="860"/>
      <c r="AB732" s="860"/>
      <c r="AC732" s="860"/>
      <c r="AD732" s="860"/>
      <c r="AE732" s="860"/>
      <c r="AF732" s="860"/>
      <c r="AG732" s="860"/>
      <c r="AH732" s="860"/>
      <c r="AI732" s="860"/>
      <c r="AJ732" s="860"/>
      <c r="AK732" s="860"/>
      <c r="AL732" s="860"/>
      <c r="AM732" s="860"/>
      <c r="AN732" s="860"/>
      <c r="AO732" s="860"/>
      <c r="AP732" s="860"/>
      <c r="AQ732" s="860"/>
      <c r="AR732" s="860"/>
      <c r="AS732" s="860"/>
      <c r="AT732" s="860"/>
      <c r="AU732" s="860"/>
      <c r="AV732" s="860"/>
      <c r="AW732" s="860"/>
      <c r="AX732" s="860"/>
      <c r="AY732" s="860"/>
      <c r="AZ732" s="860"/>
      <c r="BA732" s="860"/>
      <c r="BB732" s="860"/>
      <c r="BC732" s="860"/>
      <c r="BD732" s="860"/>
      <c r="BE732" s="860"/>
      <c r="BF732" s="860"/>
      <c r="BG732" s="860"/>
      <c r="BH732" s="668"/>
      <c r="BI732" s="654"/>
      <c r="BJ732" s="690">
        <f t="shared" si="268"/>
        <v>0</v>
      </c>
      <c r="BK732" s="691">
        <f t="shared" si="269"/>
        <v>0</v>
      </c>
      <c r="BL732" s="654"/>
      <c r="BM732" s="697">
        <f>SUMIFS(Imput[Importe Neto],Imput[C. Imp.],$D732,Imput[PERIODO Imp.],BM$9)</f>
        <v>0</v>
      </c>
      <c r="BN732" s="698">
        <f>SUMIFS(Imput[Importe Neto],Imput[C. Imp.],$D732,Imput[PERIODO Imp.],BN$9)</f>
        <v>0</v>
      </c>
      <c r="BO732" s="698">
        <f>SUMIFS(Imput[Importe Neto],Imput[C. Imp.],$D732,Imput[PERIODO Imp.],BO$9)</f>
        <v>0</v>
      </c>
      <c r="BP732" s="698">
        <f>SUMIFS(Imput[Importe Neto],Imput[C. Imp.],$D732,Imput[PERIODO Imp.],BP$9)</f>
        <v>0</v>
      </c>
      <c r="BQ732" s="698">
        <f>SUMIFS(Imput[Importe Neto],Imput[C. Imp.],$D732,Imput[PERIODO Imp.],BQ$9)</f>
        <v>0</v>
      </c>
      <c r="BR732" s="698">
        <f>SUMIFS(Imput[Importe Neto],Imput[C. Imp.],$D732,Imput[PERIODO Imp.],BR$9)</f>
        <v>0</v>
      </c>
      <c r="BS732" s="698">
        <f>SUMIFS(Imput[Importe Neto],Imput[C. Imp.],$D732,Imput[PERIODO Imp.],BS$9)</f>
        <v>0</v>
      </c>
      <c r="BT732" s="698">
        <f>SUMIFS(Imput[Importe Neto],Imput[C. Imp.],$D732,Imput[PERIODO Imp.],BT$9)</f>
        <v>0</v>
      </c>
      <c r="BU732" s="698">
        <f>SUMIFS(Imput[Importe Neto],Imput[C. Imp.],$D732,Imput[PERIODO Imp.],BU$9)</f>
        <v>0</v>
      </c>
      <c r="BV732" s="698">
        <f>SUMIFS(Imput[Importe Neto],Imput[C. Imp.],$D732,Imput[PERIODO Imp.],BV$9)</f>
        <v>0</v>
      </c>
      <c r="BW732" s="698">
        <f>SUMIFS(Imput[Importe Neto],Imput[C. Imp.],$D732,Imput[PERIODO Imp.],BW$9)</f>
        <v>0</v>
      </c>
      <c r="BX732" s="698">
        <f>SUMIFS(Imput[Importe Neto],Imput[C. Imp.],$D732,Imput[PERIODO Imp.],BX$9)</f>
        <v>0</v>
      </c>
      <c r="BY732" s="698">
        <f>SUMIFS(Imput[Importe Neto],Imput[C. Imp.],$D732,Imput[PERIODO Imp.],BY$9)</f>
        <v>0</v>
      </c>
      <c r="BZ732" s="698">
        <f>SUMIFS(Imput[Importe Neto],Imput[C. Imp.],$D732,Imput[PERIODO Imp.],BZ$9)</f>
        <v>0</v>
      </c>
      <c r="CA732" s="698">
        <f>SUMIFS(Imput[Importe Neto],Imput[C. Imp.],$D732,Imput[PERIODO Imp.],CA$9)</f>
        <v>0</v>
      </c>
      <c r="CB732" s="698">
        <f>SUMIFS(Imput[Importe Neto],Imput[C. Imp.],$D732,Imput[PERIODO Imp.],CB$9)</f>
        <v>0</v>
      </c>
      <c r="CC732" s="698">
        <f>SUMIFS(Imput[Importe Neto],Imput[C. Imp.],$D732,Imput[PERIODO Imp.],CC$9)</f>
        <v>0</v>
      </c>
      <c r="CD732" s="698">
        <f>SUMIFS(Imput[Importe Neto],Imput[C. Imp.],$D732,Imput[PERIODO Imp.],CD$9)</f>
        <v>0</v>
      </c>
      <c r="CE732" s="698">
        <f>SUMIFS(Imput[Importe Neto],Imput[C. Imp.],$D732,Imput[PERIODO Imp.],CE$9)</f>
        <v>0</v>
      </c>
      <c r="CF732" s="698">
        <f>SUMIFS(Imput[Importe Neto],Imput[C. Imp.],$D732,Imput[PERIODO Imp.],CF$9)</f>
        <v>0</v>
      </c>
      <c r="CG732" s="698">
        <f>SUMIFS(Imput[Importe Neto],Imput[C. Imp.],$D732,Imput[PERIODO Imp.],CG$9)</f>
        <v>0</v>
      </c>
      <c r="CH732" s="698">
        <f>SUMIFS(Imput[Importe Neto],Imput[C. Imp.],$D732,Imput[PERIODO Imp.],CH$9)</f>
        <v>0</v>
      </c>
      <c r="CI732" s="698">
        <f>SUMIFS(Imput[Importe Neto],Imput[C. Imp.],$D732,Imput[PERIODO Imp.],CI$9)</f>
        <v>0</v>
      </c>
      <c r="CJ732" s="698">
        <f>SUMIFS(Imput[Importe Neto],Imput[C. Imp.],$D732,Imput[PERIODO Imp.],CJ$9)</f>
        <v>0</v>
      </c>
      <c r="CK732" s="698">
        <f>SUMIFS(Imput[Importe Neto],Imput[C. Imp.],$D732,Imput[PERIODO Imp.],CK$9)</f>
        <v>0</v>
      </c>
      <c r="CL732" s="698">
        <f>SUMIFS(Imput[Importe Neto],Imput[C. Imp.],$D732,Imput[PERIODO Imp.],CL$9)</f>
        <v>0</v>
      </c>
      <c r="CM732" s="698">
        <f>SUMIFS(Imput[Importe Neto],Imput[C. Imp.],$D732,Imput[PERIODO Imp.],CM$9)</f>
        <v>0</v>
      </c>
      <c r="CN732" s="698">
        <f>SUMIFS(Imput[Importe Neto],Imput[C. Imp.],$D732,Imput[PERIODO Imp.],CN$9)</f>
        <v>0</v>
      </c>
      <c r="CO732" s="698">
        <f>SUMIFS(Imput[Importe Neto],Imput[C. Imp.],$D732,Imput[PERIODO Imp.],CO$9)</f>
        <v>0</v>
      </c>
      <c r="CP732" s="698">
        <f>SUMIFS(Imput[Importe Neto],Imput[C. Imp.],$D732,Imput[PERIODO Imp.],CP$9)</f>
        <v>0</v>
      </c>
      <c r="CQ732" s="698">
        <f>SUMIFS(Imput[Importe Neto],Imput[C. Imp.],$D732,Imput[PERIODO Imp.],CQ$9)</f>
        <v>0</v>
      </c>
      <c r="CR732" s="698">
        <f>SUMIFS(Imput[Importe Neto],Imput[C. Imp.],$D732,Imput[PERIODO Imp.],CR$9)</f>
        <v>0</v>
      </c>
      <c r="CS732" s="698">
        <f>SUMIFS(Imput[Importe Neto],Imput[C. Imp.],$D732,Imput[PERIODO Imp.],CS$9)</f>
        <v>0</v>
      </c>
      <c r="CT732" s="698">
        <f>SUMIFS(Imput[Importe Neto],Imput[C. Imp.],$D732,Imput[PERIODO Imp.],CT$9)</f>
        <v>0</v>
      </c>
      <c r="CU732" s="698">
        <f>SUMIFS(Imput[Importe Neto],Imput[C. Imp.],$D732,Imput[PERIODO Imp.],CU$9)</f>
        <v>0</v>
      </c>
      <c r="CV732" s="698">
        <f>SUMIFS(Imput[Importe Neto],Imput[C. Imp.],$D732,Imput[PERIODO Imp.],CV$9)</f>
        <v>0</v>
      </c>
      <c r="CW732" s="698">
        <f>SUMIFS(Imput[Importe Neto],Imput[C. Imp.],$D732,Imput[PERIODO Imp.],CW$9)</f>
        <v>0</v>
      </c>
      <c r="CX732" s="698">
        <f>SUMIFS(Imput[Importe Neto],Imput[C. Imp.],$D732,Imput[PERIODO Imp.],CX$9)</f>
        <v>0</v>
      </c>
      <c r="CY732" s="698">
        <f>SUMIFS(Imput[Importe Neto],Imput[C. Imp.],$D732,Imput[PERIODO Imp.],CY$9)</f>
        <v>0</v>
      </c>
      <c r="CZ732" s="698">
        <f>SUMIFS(Imput[Importe Neto],Imput[C. Imp.],$D732,Imput[PERIODO Imp.],CZ$9)</f>
        <v>0</v>
      </c>
      <c r="DA732" s="698">
        <f>SUMIFS(Imput[Importe Neto],Imput[C. Imp.],$D732,Imput[PERIODO Imp.],DA$9)</f>
        <v>0</v>
      </c>
      <c r="DB732" s="698">
        <f>SUMIFS(Imput[Importe Neto],Imput[C. Imp.],$D732,Imput[PERIODO Imp.],DB$9)</f>
        <v>0</v>
      </c>
      <c r="DC732" s="698">
        <f>SUMIFS(Imput[Importe Neto],Imput[C. Imp.],$D732,Imput[PERIODO Imp.],DC$9)</f>
        <v>0</v>
      </c>
      <c r="DD732" s="698">
        <f>SUMIFS(Imput[Importe Neto],Imput[C. Imp.],$D732,Imput[PERIODO Imp.],DD$9)</f>
        <v>0</v>
      </c>
      <c r="DE732" s="698">
        <f>SUMIFS(Imput[Importe Neto],Imput[C. Imp.],$D732,Imput[PERIODO Imp.],DE$9)</f>
        <v>0</v>
      </c>
      <c r="DF732" s="698">
        <f>SUMIFS(Imput[Importe Neto],Imput[C. Imp.],$D732,Imput[PERIODO Imp.],DF$9)</f>
        <v>0</v>
      </c>
      <c r="DG732" s="698">
        <f>SUMIFS(Imput[Importe Neto],Imput[C. Imp.],$D732,Imput[PERIODO Imp.],DG$9)</f>
        <v>0</v>
      </c>
      <c r="DH732" s="795">
        <f>SUMIFS(Imput[Importe Neto],Imput[C. Imp.],$D732,Imput[PERIODO Imp.],DH$9)</f>
        <v>0</v>
      </c>
    </row>
    <row r="733" spans="1:112" s="649" customFormat="1" ht="14.4" outlineLevel="1" thickBot="1" x14ac:dyDescent="0.35">
      <c r="A733" s="652" t="str">
        <f>IF(J722&gt;0,"Imprimir","")</f>
        <v>Imprimir</v>
      </c>
      <c r="B733" s="652"/>
      <c r="C733" s="699"/>
      <c r="D733" s="700"/>
      <c r="E733" s="700"/>
      <c r="F733" s="701"/>
      <c r="G733" s="702"/>
      <c r="H733" s="703"/>
      <c r="I733" s="704"/>
      <c r="J733" s="705"/>
      <c r="K733" s="667"/>
      <c r="L733" s="706"/>
      <c r="M733" s="707"/>
      <c r="N733" s="777"/>
      <c r="O733" s="777"/>
      <c r="P733" s="778"/>
      <c r="Q733" s="778"/>
      <c r="R733" s="708"/>
      <c r="S733" s="708"/>
      <c r="T733" s="779"/>
      <c r="U733" s="779"/>
      <c r="V733" s="778"/>
      <c r="W733" s="778"/>
      <c r="X733" s="708"/>
      <c r="Y733" s="708"/>
      <c r="Z733" s="779"/>
      <c r="AA733" s="779"/>
      <c r="AB733" s="778"/>
      <c r="AC733" s="778"/>
      <c r="AD733" s="708"/>
      <c r="AE733" s="708"/>
      <c r="AF733" s="779"/>
      <c r="AG733" s="779"/>
      <c r="AH733" s="778"/>
      <c r="AI733" s="778"/>
      <c r="AJ733" s="778"/>
      <c r="AK733" s="778"/>
      <c r="AL733" s="778"/>
      <c r="AM733" s="778"/>
      <c r="AN733" s="778"/>
      <c r="AO733" s="778"/>
      <c r="AP733" s="778"/>
      <c r="AQ733" s="778"/>
      <c r="AR733" s="778"/>
      <c r="AS733" s="778"/>
      <c r="AT733" s="778"/>
      <c r="AU733" s="778"/>
      <c r="AV733" s="778"/>
      <c r="AW733" s="778"/>
      <c r="AX733" s="778"/>
      <c r="AY733" s="778"/>
      <c r="AZ733" s="778"/>
      <c r="BA733" s="778"/>
      <c r="BB733" s="778"/>
      <c r="BC733" s="778"/>
      <c r="BD733" s="778"/>
      <c r="BE733" s="778"/>
      <c r="BF733" s="778"/>
      <c r="BG733" s="778"/>
      <c r="BH733" s="780"/>
      <c r="BI733" s="654"/>
      <c r="BJ733" s="709"/>
      <c r="BK733" s="710"/>
      <c r="BL733" s="654"/>
      <c r="BM733" s="731"/>
      <c r="BN733" s="701"/>
      <c r="BO733" s="701"/>
      <c r="BP733" s="701"/>
      <c r="BQ733" s="701"/>
      <c r="BR733" s="701"/>
      <c r="BS733" s="701"/>
      <c r="BT733" s="701"/>
      <c r="BU733" s="701"/>
      <c r="BV733" s="701"/>
      <c r="BW733" s="701"/>
      <c r="BX733" s="701"/>
      <c r="BY733" s="701"/>
      <c r="BZ733" s="701"/>
      <c r="CA733" s="701"/>
      <c r="CB733" s="701"/>
      <c r="CC733" s="701"/>
      <c r="CD733" s="701"/>
      <c r="CE733" s="701"/>
      <c r="CF733" s="701"/>
      <c r="CG733" s="701"/>
      <c r="CH733" s="701"/>
      <c r="CI733" s="701"/>
      <c r="CJ733" s="701"/>
      <c r="CK733" s="701"/>
      <c r="CL733" s="701"/>
      <c r="CM733" s="701"/>
      <c r="CN733" s="701"/>
      <c r="CO733" s="701"/>
      <c r="CP733" s="701"/>
      <c r="CQ733" s="701"/>
      <c r="CR733" s="701"/>
      <c r="CS733" s="701"/>
      <c r="CT733" s="701"/>
      <c r="CU733" s="701"/>
      <c r="CV733" s="701"/>
      <c r="CW733" s="701"/>
      <c r="CX733" s="701"/>
      <c r="CY733" s="701"/>
      <c r="CZ733" s="701"/>
      <c r="DA733" s="701"/>
      <c r="DB733" s="701"/>
      <c r="DC733" s="701"/>
      <c r="DD733" s="701"/>
      <c r="DE733" s="701"/>
      <c r="DF733" s="701"/>
      <c r="DG733" s="701"/>
      <c r="DH733" s="710"/>
    </row>
    <row r="734" spans="1:112" s="649" customFormat="1" x14ac:dyDescent="0.3">
      <c r="A734" s="652" t="str">
        <f>IF(J734&gt;0,"Imprimir","")</f>
        <v>Imprimir</v>
      </c>
      <c r="B734" s="652"/>
      <c r="C734" s="711"/>
      <c r="D734" s="712" t="s">
        <v>390</v>
      </c>
      <c r="E734" s="712" t="s">
        <v>478</v>
      </c>
      <c r="F734" s="712"/>
      <c r="G734" s="713"/>
      <c r="H734" s="712"/>
      <c r="I734" s="714"/>
      <c r="J734" s="166">
        <f>SUBTOTAL(9,J737:J775)</f>
        <v>796.5</v>
      </c>
      <c r="K734" s="658"/>
      <c r="L734" s="770">
        <f t="shared" ref="L734:BG734" si="271">SUMPRODUCT($J737:$J775,L737:L775)</f>
        <v>238.95</v>
      </c>
      <c r="M734" s="771">
        <f t="shared" si="271"/>
        <v>0</v>
      </c>
      <c r="N734" s="771">
        <f t="shared" si="271"/>
        <v>0</v>
      </c>
      <c r="O734" s="771">
        <f t="shared" si="271"/>
        <v>0</v>
      </c>
      <c r="P734" s="771">
        <f t="shared" si="271"/>
        <v>238.95</v>
      </c>
      <c r="Q734" s="771">
        <f t="shared" si="271"/>
        <v>0</v>
      </c>
      <c r="R734" s="771">
        <f t="shared" si="271"/>
        <v>0</v>
      </c>
      <c r="S734" s="771">
        <f t="shared" si="271"/>
        <v>0</v>
      </c>
      <c r="T734" s="771">
        <f t="shared" si="271"/>
        <v>0</v>
      </c>
      <c r="U734" s="771">
        <f t="shared" si="271"/>
        <v>0</v>
      </c>
      <c r="V734" s="771">
        <f t="shared" si="271"/>
        <v>0</v>
      </c>
      <c r="W734" s="771">
        <f t="shared" si="271"/>
        <v>238.95</v>
      </c>
      <c r="X734" s="771">
        <f t="shared" si="271"/>
        <v>0</v>
      </c>
      <c r="Y734" s="771">
        <f t="shared" si="271"/>
        <v>0</v>
      </c>
      <c r="Z734" s="771">
        <f t="shared" si="271"/>
        <v>0</v>
      </c>
      <c r="AA734" s="771">
        <f t="shared" si="271"/>
        <v>0</v>
      </c>
      <c r="AB734" s="771">
        <f t="shared" si="271"/>
        <v>0</v>
      </c>
      <c r="AC734" s="771">
        <f t="shared" si="271"/>
        <v>0</v>
      </c>
      <c r="AD734" s="771">
        <f t="shared" si="271"/>
        <v>0</v>
      </c>
      <c r="AE734" s="771">
        <f t="shared" si="271"/>
        <v>79.650000000000006</v>
      </c>
      <c r="AF734" s="771">
        <f t="shared" si="271"/>
        <v>0</v>
      </c>
      <c r="AG734" s="771">
        <f t="shared" si="271"/>
        <v>0</v>
      </c>
      <c r="AH734" s="771">
        <f t="shared" si="271"/>
        <v>0</v>
      </c>
      <c r="AI734" s="771">
        <f t="shared" si="271"/>
        <v>0</v>
      </c>
      <c r="AJ734" s="771">
        <f t="shared" si="271"/>
        <v>0</v>
      </c>
      <c r="AK734" s="771">
        <f t="shared" si="271"/>
        <v>0</v>
      </c>
      <c r="AL734" s="771">
        <f t="shared" si="271"/>
        <v>0</v>
      </c>
      <c r="AM734" s="771">
        <f t="shared" si="271"/>
        <v>0</v>
      </c>
      <c r="AN734" s="771">
        <f t="shared" si="271"/>
        <v>0</v>
      </c>
      <c r="AO734" s="771">
        <f t="shared" si="271"/>
        <v>0</v>
      </c>
      <c r="AP734" s="771">
        <f t="shared" si="271"/>
        <v>0</v>
      </c>
      <c r="AQ734" s="771">
        <f t="shared" si="271"/>
        <v>0</v>
      </c>
      <c r="AR734" s="771">
        <f t="shared" si="271"/>
        <v>0</v>
      </c>
      <c r="AS734" s="771">
        <f t="shared" si="271"/>
        <v>0</v>
      </c>
      <c r="AT734" s="771">
        <f t="shared" si="271"/>
        <v>0</v>
      </c>
      <c r="AU734" s="771">
        <f t="shared" si="271"/>
        <v>0</v>
      </c>
      <c r="AV734" s="771">
        <f t="shared" si="271"/>
        <v>0</v>
      </c>
      <c r="AW734" s="771">
        <f t="shared" si="271"/>
        <v>0</v>
      </c>
      <c r="AX734" s="771">
        <f t="shared" si="271"/>
        <v>0</v>
      </c>
      <c r="AY734" s="771">
        <f t="shared" si="271"/>
        <v>0</v>
      </c>
      <c r="AZ734" s="771">
        <f t="shared" si="271"/>
        <v>0</v>
      </c>
      <c r="BA734" s="771">
        <f t="shared" si="271"/>
        <v>0</v>
      </c>
      <c r="BB734" s="771">
        <f t="shared" si="271"/>
        <v>0</v>
      </c>
      <c r="BC734" s="771">
        <f t="shared" si="271"/>
        <v>0</v>
      </c>
      <c r="BD734" s="771">
        <f t="shared" si="271"/>
        <v>0</v>
      </c>
      <c r="BE734" s="771">
        <f t="shared" si="271"/>
        <v>0</v>
      </c>
      <c r="BF734" s="771">
        <f t="shared" si="271"/>
        <v>0</v>
      </c>
      <c r="BG734" s="764">
        <f t="shared" si="271"/>
        <v>0</v>
      </c>
      <c r="BH734" s="776"/>
      <c r="BI734" s="654"/>
      <c r="BJ734" s="659">
        <f>IFERROR(BK734/J734,0)</f>
        <v>0</v>
      </c>
      <c r="BK734" s="660">
        <f>SUBTOTAL(9,BK735:BK775)</f>
        <v>0</v>
      </c>
      <c r="BL734" s="654"/>
      <c r="BM734" s="661">
        <f t="shared" ref="BM734:DH734" si="272">SUBTOTAL(9,BM735:BM775)</f>
        <v>0</v>
      </c>
      <c r="BN734" s="662">
        <f t="shared" si="272"/>
        <v>0</v>
      </c>
      <c r="BO734" s="662">
        <f t="shared" si="272"/>
        <v>0</v>
      </c>
      <c r="BP734" s="662">
        <f t="shared" si="272"/>
        <v>0</v>
      </c>
      <c r="BQ734" s="662">
        <f t="shared" si="272"/>
        <v>0</v>
      </c>
      <c r="BR734" s="662">
        <f t="shared" si="272"/>
        <v>0</v>
      </c>
      <c r="BS734" s="662">
        <f t="shared" si="272"/>
        <v>0</v>
      </c>
      <c r="BT734" s="662">
        <f t="shared" si="272"/>
        <v>0</v>
      </c>
      <c r="BU734" s="662">
        <f t="shared" si="272"/>
        <v>0</v>
      </c>
      <c r="BV734" s="662">
        <f t="shared" si="272"/>
        <v>0</v>
      </c>
      <c r="BW734" s="662">
        <f t="shared" si="272"/>
        <v>0</v>
      </c>
      <c r="BX734" s="662">
        <f t="shared" si="272"/>
        <v>0</v>
      </c>
      <c r="BY734" s="662">
        <f t="shared" si="272"/>
        <v>0</v>
      </c>
      <c r="BZ734" s="662">
        <f t="shared" si="272"/>
        <v>0</v>
      </c>
      <c r="CA734" s="662">
        <f t="shared" si="272"/>
        <v>0</v>
      </c>
      <c r="CB734" s="662">
        <f t="shared" si="272"/>
        <v>0</v>
      </c>
      <c r="CC734" s="662">
        <f t="shared" si="272"/>
        <v>0</v>
      </c>
      <c r="CD734" s="662">
        <f t="shared" si="272"/>
        <v>0</v>
      </c>
      <c r="CE734" s="662">
        <f t="shared" si="272"/>
        <v>0</v>
      </c>
      <c r="CF734" s="662">
        <f t="shared" si="272"/>
        <v>0</v>
      </c>
      <c r="CG734" s="662">
        <f t="shared" si="272"/>
        <v>0</v>
      </c>
      <c r="CH734" s="662">
        <f t="shared" si="272"/>
        <v>0</v>
      </c>
      <c r="CI734" s="662">
        <f t="shared" si="272"/>
        <v>0</v>
      </c>
      <c r="CJ734" s="662">
        <f t="shared" si="272"/>
        <v>0</v>
      </c>
      <c r="CK734" s="662">
        <f t="shared" si="272"/>
        <v>0</v>
      </c>
      <c r="CL734" s="662">
        <f t="shared" si="272"/>
        <v>0</v>
      </c>
      <c r="CM734" s="662">
        <f t="shared" si="272"/>
        <v>0</v>
      </c>
      <c r="CN734" s="662">
        <f t="shared" si="272"/>
        <v>0</v>
      </c>
      <c r="CO734" s="662">
        <f t="shared" si="272"/>
        <v>0</v>
      </c>
      <c r="CP734" s="662">
        <f t="shared" si="272"/>
        <v>0</v>
      </c>
      <c r="CQ734" s="662">
        <f t="shared" si="272"/>
        <v>0</v>
      </c>
      <c r="CR734" s="662">
        <f t="shared" si="272"/>
        <v>0</v>
      </c>
      <c r="CS734" s="662">
        <f t="shared" si="272"/>
        <v>0</v>
      </c>
      <c r="CT734" s="662">
        <f t="shared" si="272"/>
        <v>0</v>
      </c>
      <c r="CU734" s="662">
        <f t="shared" si="272"/>
        <v>0</v>
      </c>
      <c r="CV734" s="662">
        <f t="shared" si="272"/>
        <v>0</v>
      </c>
      <c r="CW734" s="662">
        <f t="shared" si="272"/>
        <v>0</v>
      </c>
      <c r="CX734" s="662">
        <f t="shared" si="272"/>
        <v>0</v>
      </c>
      <c r="CY734" s="662">
        <f t="shared" si="272"/>
        <v>0</v>
      </c>
      <c r="CZ734" s="662">
        <f t="shared" si="272"/>
        <v>0</v>
      </c>
      <c r="DA734" s="662">
        <f t="shared" si="272"/>
        <v>0</v>
      </c>
      <c r="DB734" s="662">
        <f t="shared" si="272"/>
        <v>0</v>
      </c>
      <c r="DC734" s="662">
        <f t="shared" si="272"/>
        <v>0</v>
      </c>
      <c r="DD734" s="662">
        <f t="shared" si="272"/>
        <v>0</v>
      </c>
      <c r="DE734" s="662">
        <f t="shared" si="272"/>
        <v>0</v>
      </c>
      <c r="DF734" s="662">
        <f t="shared" si="272"/>
        <v>0</v>
      </c>
      <c r="DG734" s="662">
        <f t="shared" si="272"/>
        <v>0</v>
      </c>
      <c r="DH734" s="663">
        <f t="shared" si="272"/>
        <v>0</v>
      </c>
    </row>
    <row r="735" spans="1:112" s="650" customFormat="1" outlineLevel="1" x14ac:dyDescent="0.3">
      <c r="A735" s="652" t="str">
        <f>IF(J734&gt;0,"Imprimir","")</f>
        <v>Imprimir</v>
      </c>
      <c r="B735" s="722"/>
      <c r="C735" s="664"/>
      <c r="D735" s="665"/>
      <c r="E735" s="665"/>
      <c r="F735" s="665" t="s">
        <v>472</v>
      </c>
      <c r="G735" s="716" t="s">
        <v>2128</v>
      </c>
      <c r="H735" s="665" t="s">
        <v>98</v>
      </c>
      <c r="I735" s="665" t="s">
        <v>474</v>
      </c>
      <c r="J735" s="104" t="s">
        <v>29</v>
      </c>
      <c r="K735" s="723"/>
      <c r="L735" s="745"/>
      <c r="M735" s="741"/>
      <c r="N735" s="741"/>
      <c r="O735" s="741"/>
      <c r="P735" s="741"/>
      <c r="Q735" s="741"/>
      <c r="R735" s="741"/>
      <c r="S735" s="741"/>
      <c r="T735" s="741"/>
      <c r="U735" s="741"/>
      <c r="V735" s="741"/>
      <c r="W735" s="741"/>
      <c r="X735" s="741"/>
      <c r="Y735" s="741"/>
      <c r="Z735" s="741"/>
      <c r="AA735" s="741"/>
      <c r="AB735" s="741"/>
      <c r="AC735" s="741"/>
      <c r="AD735" s="741"/>
      <c r="AE735" s="741"/>
      <c r="AF735" s="741"/>
      <c r="AG735" s="741"/>
      <c r="AH735" s="741"/>
      <c r="AI735" s="741"/>
      <c r="AJ735" s="741"/>
      <c r="AK735" s="741"/>
      <c r="AL735" s="741"/>
      <c r="AM735" s="741"/>
      <c r="AN735" s="741"/>
      <c r="AO735" s="741"/>
      <c r="AP735" s="741"/>
      <c r="AQ735" s="741"/>
      <c r="AR735" s="741"/>
      <c r="AS735" s="741"/>
      <c r="AT735" s="741"/>
      <c r="AU735" s="741"/>
      <c r="AV735" s="741"/>
      <c r="AW735" s="741"/>
      <c r="AX735" s="741"/>
      <c r="AY735" s="741"/>
      <c r="AZ735" s="741"/>
      <c r="BA735" s="741"/>
      <c r="BB735" s="741"/>
      <c r="BC735" s="741"/>
      <c r="BD735" s="741"/>
      <c r="BE735" s="741"/>
      <c r="BF735" s="741"/>
      <c r="BG735" s="741"/>
      <c r="BH735" s="724"/>
      <c r="BI735" s="725"/>
      <c r="BJ735" s="669"/>
      <c r="BK735" s="670"/>
      <c r="BL735" s="725"/>
      <c r="BM735" s="671"/>
      <c r="BN735" s="665"/>
      <c r="BO735" s="665"/>
      <c r="BP735" s="665"/>
      <c r="BQ735" s="665"/>
      <c r="BR735" s="665"/>
      <c r="BS735" s="665"/>
      <c r="BT735" s="665"/>
      <c r="BU735" s="665"/>
      <c r="BV735" s="665"/>
      <c r="BW735" s="665"/>
      <c r="BX735" s="665"/>
      <c r="BY735" s="665"/>
      <c r="BZ735" s="665"/>
      <c r="CA735" s="665"/>
      <c r="CB735" s="665"/>
      <c r="CC735" s="665"/>
      <c r="CD735" s="665"/>
      <c r="CE735" s="665"/>
      <c r="CF735" s="665"/>
      <c r="CG735" s="665"/>
      <c r="CH735" s="665"/>
      <c r="CI735" s="665"/>
      <c r="CJ735" s="665"/>
      <c r="CK735" s="665"/>
      <c r="CL735" s="665"/>
      <c r="CM735" s="665"/>
      <c r="CN735" s="665"/>
      <c r="CO735" s="665"/>
      <c r="CP735" s="665"/>
      <c r="CQ735" s="665"/>
      <c r="CR735" s="665"/>
      <c r="CS735" s="665"/>
      <c r="CT735" s="665"/>
      <c r="CU735" s="665"/>
      <c r="CV735" s="665"/>
      <c r="CW735" s="665"/>
      <c r="CX735" s="665"/>
      <c r="CY735" s="665"/>
      <c r="CZ735" s="665"/>
      <c r="DA735" s="665"/>
      <c r="DB735" s="665"/>
      <c r="DC735" s="665"/>
      <c r="DD735" s="665"/>
      <c r="DE735" s="665"/>
      <c r="DF735" s="665"/>
      <c r="DG735" s="665"/>
      <c r="DH735" s="666"/>
    </row>
    <row r="736" spans="1:112" s="649" customFormat="1" ht="15.6" outlineLevel="1" x14ac:dyDescent="0.3">
      <c r="A736" s="652" t="str">
        <f>IF(J736&gt;0,"Imprimir","")</f>
        <v>Imprimir</v>
      </c>
      <c r="B736" s="652"/>
      <c r="C736" s="672"/>
      <c r="D736" s="673"/>
      <c r="E736" s="674"/>
      <c r="F736" s="675"/>
      <c r="G736" s="726"/>
      <c r="H736" s="676"/>
      <c r="I736" s="677"/>
      <c r="J736" s="219">
        <f>SUBTOTAL(9,J737:J775)</f>
        <v>796.5</v>
      </c>
      <c r="K736" s="678"/>
      <c r="L736" s="747"/>
      <c r="M736" s="742"/>
      <c r="N736" s="742"/>
      <c r="O736" s="742"/>
      <c r="P736" s="742"/>
      <c r="Q736" s="742"/>
      <c r="R736" s="742"/>
      <c r="S736" s="742"/>
      <c r="T736" s="742"/>
      <c r="U736" s="742"/>
      <c r="V736" s="742"/>
      <c r="W736" s="742"/>
      <c r="X736" s="742"/>
      <c r="Y736" s="742"/>
      <c r="Z736" s="742"/>
      <c r="AA736" s="742"/>
      <c r="AB736" s="742"/>
      <c r="AC736" s="742"/>
      <c r="AD736" s="742"/>
      <c r="AE736" s="742"/>
      <c r="AF736" s="742"/>
      <c r="AG736" s="742"/>
      <c r="AH736" s="742"/>
      <c r="AI736" s="742"/>
      <c r="AJ736" s="742"/>
      <c r="AK736" s="742"/>
      <c r="AL736" s="742"/>
      <c r="AM736" s="742"/>
      <c r="AN736" s="742"/>
      <c r="AO736" s="742"/>
      <c r="AP736" s="742"/>
      <c r="AQ736" s="742"/>
      <c r="AR736" s="742"/>
      <c r="AS736" s="742"/>
      <c r="AT736" s="742"/>
      <c r="AU736" s="742"/>
      <c r="AV736" s="742"/>
      <c r="AW736" s="742"/>
      <c r="AX736" s="742"/>
      <c r="AY736" s="742"/>
      <c r="AZ736" s="742"/>
      <c r="BA736" s="742"/>
      <c r="BB736" s="742"/>
      <c r="BC736" s="742"/>
      <c r="BD736" s="742"/>
      <c r="BE736" s="742"/>
      <c r="BF736" s="742"/>
      <c r="BG736" s="742"/>
      <c r="BH736" s="668"/>
      <c r="BI736" s="654"/>
      <c r="BJ736" s="680"/>
      <c r="BK736" s="681"/>
      <c r="BL736" s="654"/>
      <c r="BM736" s="682"/>
      <c r="BN736" s="683"/>
      <c r="BO736" s="683"/>
      <c r="BP736" s="683"/>
      <c r="BQ736" s="683"/>
      <c r="BR736" s="683"/>
      <c r="BS736" s="683"/>
      <c r="BT736" s="683"/>
      <c r="BU736" s="683"/>
      <c r="BV736" s="683"/>
      <c r="BW736" s="683"/>
      <c r="BX736" s="683"/>
      <c r="BY736" s="683"/>
      <c r="BZ736" s="683"/>
      <c r="CA736" s="683"/>
      <c r="CB736" s="683"/>
      <c r="CC736" s="683"/>
      <c r="CD736" s="683"/>
      <c r="CE736" s="683"/>
      <c r="CF736" s="683"/>
      <c r="CG736" s="683"/>
      <c r="CH736" s="683"/>
      <c r="CI736" s="683"/>
      <c r="CJ736" s="683"/>
      <c r="CK736" s="683"/>
      <c r="CL736" s="683"/>
      <c r="CM736" s="683"/>
      <c r="CN736" s="683"/>
      <c r="CO736" s="683"/>
      <c r="CP736" s="683"/>
      <c r="CQ736" s="683"/>
      <c r="CR736" s="683"/>
      <c r="CS736" s="683"/>
      <c r="CT736" s="683"/>
      <c r="CU736" s="683"/>
      <c r="CV736" s="683"/>
      <c r="CW736" s="683"/>
      <c r="CX736" s="683"/>
      <c r="CY736" s="683"/>
      <c r="CZ736" s="683"/>
      <c r="DA736" s="683"/>
      <c r="DB736" s="683"/>
      <c r="DC736" s="683"/>
      <c r="DD736" s="683"/>
      <c r="DE736" s="683"/>
      <c r="DF736" s="683"/>
      <c r="DG736" s="683"/>
      <c r="DH736" s="684"/>
    </row>
    <row r="737" spans="1:112" s="649" customFormat="1" outlineLevel="1" x14ac:dyDescent="0.3">
      <c r="A737" s="652" t="str">
        <f t="shared" ref="A737:A774" si="273">IF(J737="","",IF(J737=0,"","Imprimir"))</f>
        <v>Imprimir</v>
      </c>
      <c r="B737" s="652"/>
      <c r="C737" s="685"/>
      <c r="D737" s="686" t="s">
        <v>2721</v>
      </c>
      <c r="E737" s="686" t="s">
        <v>479</v>
      </c>
      <c r="F737" s="720"/>
      <c r="G737" s="688">
        <v>500</v>
      </c>
      <c r="H737" s="531">
        <f>Producción!G78*0.275</f>
        <v>0.82500000000000007</v>
      </c>
      <c r="I737" s="851">
        <f t="shared" ref="I737:I774" si="274">IF(E737&gt;0,$J$5,"")</f>
        <v>1</v>
      </c>
      <c r="J737" s="850">
        <f t="shared" ref="J737:J774" si="275">IFERROR(G737*H737*I737,"")</f>
        <v>412.50000000000006</v>
      </c>
      <c r="K737" s="667"/>
      <c r="L737" s="858">
        <v>0.3</v>
      </c>
      <c r="M737" s="859"/>
      <c r="N737" s="859"/>
      <c r="O737" s="859"/>
      <c r="P737" s="859">
        <v>0.3</v>
      </c>
      <c r="Q737" s="859"/>
      <c r="R737" s="859"/>
      <c r="S737" s="859"/>
      <c r="T737" s="859"/>
      <c r="U737" s="859"/>
      <c r="V737" s="859"/>
      <c r="W737" s="859">
        <v>0.3</v>
      </c>
      <c r="X737" s="859"/>
      <c r="Y737" s="859"/>
      <c r="Z737" s="860"/>
      <c r="AA737" s="860"/>
      <c r="AB737" s="860"/>
      <c r="AC737" s="860"/>
      <c r="AD737" s="860"/>
      <c r="AE737" s="860">
        <v>0.1</v>
      </c>
      <c r="AF737" s="860"/>
      <c r="AG737" s="860"/>
      <c r="AH737" s="860"/>
      <c r="AI737" s="860"/>
      <c r="AJ737" s="860"/>
      <c r="AK737" s="860"/>
      <c r="AL737" s="860"/>
      <c r="AM737" s="860"/>
      <c r="AN737" s="860"/>
      <c r="AO737" s="860"/>
      <c r="AP737" s="860"/>
      <c r="AQ737" s="860"/>
      <c r="AR737" s="860"/>
      <c r="AS737" s="860"/>
      <c r="AT737" s="860"/>
      <c r="AU737" s="860"/>
      <c r="AV737" s="860"/>
      <c r="AW737" s="860"/>
      <c r="AX737" s="860"/>
      <c r="AY737" s="860"/>
      <c r="AZ737" s="860"/>
      <c r="BA737" s="860"/>
      <c r="BB737" s="860"/>
      <c r="BC737" s="860"/>
      <c r="BD737" s="860"/>
      <c r="BE737" s="860"/>
      <c r="BF737" s="860"/>
      <c r="BG737" s="860"/>
      <c r="BH737" s="668"/>
      <c r="BI737" s="667"/>
      <c r="BJ737" s="690">
        <f t="shared" ref="BJ737:BJ774" si="276">IFERROR(BK737/J737,0)</f>
        <v>0</v>
      </c>
      <c r="BK737" s="691">
        <f t="shared" ref="BK737:BK774" si="277">SUM(BM737:DH737)</f>
        <v>0</v>
      </c>
      <c r="BL737" s="654"/>
      <c r="BM737" s="692">
        <f>SUMIFS(Imput[Importe Neto],Imput[C. Imp.],$D737,Imput[PERIODO Imp.],BM$9)</f>
        <v>0</v>
      </c>
      <c r="BN737" s="693">
        <f>SUMIFS(Imput[Importe Neto],Imput[C. Imp.],$D737,Imput[PERIODO Imp.],BN$9)</f>
        <v>0</v>
      </c>
      <c r="BO737" s="693">
        <f>SUMIFS(Imput[Importe Neto],Imput[C. Imp.],$D737,Imput[PERIODO Imp.],BO$9)</f>
        <v>0</v>
      </c>
      <c r="BP737" s="693">
        <f>SUMIFS(Imput[Importe Neto],Imput[C. Imp.],$D737,Imput[PERIODO Imp.],BP$9)</f>
        <v>0</v>
      </c>
      <c r="BQ737" s="693">
        <f>SUMIFS(Imput[Importe Neto],Imput[C. Imp.],$D737,Imput[PERIODO Imp.],BQ$9)</f>
        <v>0</v>
      </c>
      <c r="BR737" s="693">
        <f>SUMIFS(Imput[Importe Neto],Imput[C. Imp.],$D737,Imput[PERIODO Imp.],BR$9)</f>
        <v>0</v>
      </c>
      <c r="BS737" s="693">
        <f>SUMIFS(Imput[Importe Neto],Imput[C. Imp.],$D737,Imput[PERIODO Imp.],BS$9)</f>
        <v>0</v>
      </c>
      <c r="BT737" s="693">
        <f>SUMIFS(Imput[Importe Neto],Imput[C. Imp.],$D737,Imput[PERIODO Imp.],BT$9)</f>
        <v>0</v>
      </c>
      <c r="BU737" s="693">
        <f>SUMIFS(Imput[Importe Neto],Imput[C. Imp.],$D737,Imput[PERIODO Imp.],BU$9)</f>
        <v>0</v>
      </c>
      <c r="BV737" s="693">
        <f>SUMIFS(Imput[Importe Neto],Imput[C. Imp.],$D737,Imput[PERIODO Imp.],BV$9)</f>
        <v>0</v>
      </c>
      <c r="BW737" s="693">
        <f>SUMIFS(Imput[Importe Neto],Imput[C. Imp.],$D737,Imput[PERIODO Imp.],BW$9)</f>
        <v>0</v>
      </c>
      <c r="BX737" s="693">
        <f>SUMIFS(Imput[Importe Neto],Imput[C. Imp.],$D737,Imput[PERIODO Imp.],BX$9)</f>
        <v>0</v>
      </c>
      <c r="BY737" s="693">
        <f>SUMIFS(Imput[Importe Neto],Imput[C. Imp.],$D737,Imput[PERIODO Imp.],BY$9)</f>
        <v>0</v>
      </c>
      <c r="BZ737" s="693">
        <f>SUMIFS(Imput[Importe Neto],Imput[C. Imp.],$D737,Imput[PERIODO Imp.],BZ$9)</f>
        <v>0</v>
      </c>
      <c r="CA737" s="693">
        <f>SUMIFS(Imput[Importe Neto],Imput[C. Imp.],$D737,Imput[PERIODO Imp.],CA$9)</f>
        <v>0</v>
      </c>
      <c r="CB737" s="693">
        <f>SUMIFS(Imput[Importe Neto],Imput[C. Imp.],$D737,Imput[PERIODO Imp.],CB$9)</f>
        <v>0</v>
      </c>
      <c r="CC737" s="693">
        <f>SUMIFS(Imput[Importe Neto],Imput[C. Imp.],$D737,Imput[PERIODO Imp.],CC$9)</f>
        <v>0</v>
      </c>
      <c r="CD737" s="693">
        <f>SUMIFS(Imput[Importe Neto],Imput[C. Imp.],$D737,Imput[PERIODO Imp.],CD$9)</f>
        <v>0</v>
      </c>
      <c r="CE737" s="693">
        <f>SUMIFS(Imput[Importe Neto],Imput[C. Imp.],$D737,Imput[PERIODO Imp.],CE$9)</f>
        <v>0</v>
      </c>
      <c r="CF737" s="693">
        <f>SUMIFS(Imput[Importe Neto],Imput[C. Imp.],$D737,Imput[PERIODO Imp.],CF$9)</f>
        <v>0</v>
      </c>
      <c r="CG737" s="693">
        <f>SUMIFS(Imput[Importe Neto],Imput[C. Imp.],$D737,Imput[PERIODO Imp.],CG$9)</f>
        <v>0</v>
      </c>
      <c r="CH737" s="693">
        <f>SUMIFS(Imput[Importe Neto],Imput[C. Imp.],$D737,Imput[PERIODO Imp.],CH$9)</f>
        <v>0</v>
      </c>
      <c r="CI737" s="693">
        <f>SUMIFS(Imput[Importe Neto],Imput[C. Imp.],$D737,Imput[PERIODO Imp.],CI$9)</f>
        <v>0</v>
      </c>
      <c r="CJ737" s="693">
        <f>SUMIFS(Imput[Importe Neto],Imput[C. Imp.],$D737,Imput[PERIODO Imp.],CJ$9)</f>
        <v>0</v>
      </c>
      <c r="CK737" s="693">
        <f>SUMIFS(Imput[Importe Neto],Imput[C. Imp.],$D737,Imput[PERIODO Imp.],CK$9)</f>
        <v>0</v>
      </c>
      <c r="CL737" s="693">
        <f>SUMIFS(Imput[Importe Neto],Imput[C. Imp.],$D737,Imput[PERIODO Imp.],CL$9)</f>
        <v>0</v>
      </c>
      <c r="CM737" s="693">
        <f>SUMIFS(Imput[Importe Neto],Imput[C. Imp.],$D737,Imput[PERIODO Imp.],CM$9)</f>
        <v>0</v>
      </c>
      <c r="CN737" s="693">
        <f>SUMIFS(Imput[Importe Neto],Imput[C. Imp.],$D737,Imput[PERIODO Imp.],CN$9)</f>
        <v>0</v>
      </c>
      <c r="CO737" s="693">
        <f>SUMIFS(Imput[Importe Neto],Imput[C. Imp.],$D737,Imput[PERIODO Imp.],CO$9)</f>
        <v>0</v>
      </c>
      <c r="CP737" s="693">
        <f>SUMIFS(Imput[Importe Neto],Imput[C. Imp.],$D737,Imput[PERIODO Imp.],CP$9)</f>
        <v>0</v>
      </c>
      <c r="CQ737" s="693">
        <f>SUMIFS(Imput[Importe Neto],Imput[C. Imp.],$D737,Imput[PERIODO Imp.],CQ$9)</f>
        <v>0</v>
      </c>
      <c r="CR737" s="693">
        <f>SUMIFS(Imput[Importe Neto],Imput[C. Imp.],$D737,Imput[PERIODO Imp.],CR$9)</f>
        <v>0</v>
      </c>
      <c r="CS737" s="693">
        <f>SUMIFS(Imput[Importe Neto],Imput[C. Imp.],$D737,Imput[PERIODO Imp.],CS$9)</f>
        <v>0</v>
      </c>
      <c r="CT737" s="693">
        <f>SUMIFS(Imput[Importe Neto],Imput[C. Imp.],$D737,Imput[PERIODO Imp.],CT$9)</f>
        <v>0</v>
      </c>
      <c r="CU737" s="693">
        <f>SUMIFS(Imput[Importe Neto],Imput[C. Imp.],$D737,Imput[PERIODO Imp.],CU$9)</f>
        <v>0</v>
      </c>
      <c r="CV737" s="693">
        <f>SUMIFS(Imput[Importe Neto],Imput[C. Imp.],$D737,Imput[PERIODO Imp.],CV$9)</f>
        <v>0</v>
      </c>
      <c r="CW737" s="693">
        <f>SUMIFS(Imput[Importe Neto],Imput[C. Imp.],$D737,Imput[PERIODO Imp.],CW$9)</f>
        <v>0</v>
      </c>
      <c r="CX737" s="693">
        <f>SUMIFS(Imput[Importe Neto],Imput[C. Imp.],$D737,Imput[PERIODO Imp.],CX$9)</f>
        <v>0</v>
      </c>
      <c r="CY737" s="693">
        <f>SUMIFS(Imput[Importe Neto],Imput[C. Imp.],$D737,Imput[PERIODO Imp.],CY$9)</f>
        <v>0</v>
      </c>
      <c r="CZ737" s="693">
        <f>SUMIFS(Imput[Importe Neto],Imput[C. Imp.],$D737,Imput[PERIODO Imp.],CZ$9)</f>
        <v>0</v>
      </c>
      <c r="DA737" s="693">
        <f>SUMIFS(Imput[Importe Neto],Imput[C. Imp.],$D737,Imput[PERIODO Imp.],DA$9)</f>
        <v>0</v>
      </c>
      <c r="DB737" s="693">
        <f>SUMIFS(Imput[Importe Neto],Imput[C. Imp.],$D737,Imput[PERIODO Imp.],DB$9)</f>
        <v>0</v>
      </c>
      <c r="DC737" s="693">
        <f>SUMIFS(Imput[Importe Neto],Imput[C. Imp.],$D737,Imput[PERIODO Imp.],DC$9)</f>
        <v>0</v>
      </c>
      <c r="DD737" s="693">
        <f>SUMIFS(Imput[Importe Neto],Imput[C. Imp.],$D737,Imput[PERIODO Imp.],DD$9)</f>
        <v>0</v>
      </c>
      <c r="DE737" s="693">
        <f>SUMIFS(Imput[Importe Neto],Imput[C. Imp.],$D737,Imput[PERIODO Imp.],DE$9)</f>
        <v>0</v>
      </c>
      <c r="DF737" s="693">
        <f>SUMIFS(Imput[Importe Neto],Imput[C. Imp.],$D737,Imput[PERIODO Imp.],DF$9)</f>
        <v>0</v>
      </c>
      <c r="DG737" s="693">
        <f>SUMIFS(Imput[Importe Neto],Imput[C. Imp.],$D737,Imput[PERIODO Imp.],DG$9)</f>
        <v>0</v>
      </c>
      <c r="DH737" s="694">
        <f>SUMIFS(Imput[Importe Neto],Imput[C. Imp.],$D737,Imput[PERIODO Imp.],DH$9)</f>
        <v>0</v>
      </c>
    </row>
    <row r="738" spans="1:112" s="649" customFormat="1" outlineLevel="1" x14ac:dyDescent="0.3">
      <c r="A738" s="652" t="str">
        <f t="shared" si="273"/>
        <v>Imprimir</v>
      </c>
      <c r="B738" s="652"/>
      <c r="C738" s="685"/>
      <c r="D738" s="686" t="s">
        <v>2722</v>
      </c>
      <c r="E738" s="686" t="s">
        <v>480</v>
      </c>
      <c r="F738" s="720"/>
      <c r="G738" s="688">
        <v>500</v>
      </c>
      <c r="H738" s="689">
        <f>Producción!G78*0.25</f>
        <v>0.75</v>
      </c>
      <c r="I738" s="851">
        <f t="shared" si="274"/>
        <v>1</v>
      </c>
      <c r="J738" s="852">
        <f t="shared" si="275"/>
        <v>375</v>
      </c>
      <c r="K738" s="667"/>
      <c r="L738" s="858">
        <v>0.3</v>
      </c>
      <c r="M738" s="859"/>
      <c r="N738" s="859"/>
      <c r="O738" s="859"/>
      <c r="P738" s="859">
        <v>0.3</v>
      </c>
      <c r="Q738" s="859"/>
      <c r="R738" s="859"/>
      <c r="S738" s="859"/>
      <c r="T738" s="859"/>
      <c r="U738" s="859"/>
      <c r="V738" s="859"/>
      <c r="W738" s="859">
        <v>0.3</v>
      </c>
      <c r="X738" s="859"/>
      <c r="Y738" s="859"/>
      <c r="Z738" s="860"/>
      <c r="AA738" s="860"/>
      <c r="AB738" s="860"/>
      <c r="AC738" s="860"/>
      <c r="AD738" s="860"/>
      <c r="AE738" s="860">
        <v>0.1</v>
      </c>
      <c r="AF738" s="860"/>
      <c r="AG738" s="860"/>
      <c r="AH738" s="860"/>
      <c r="AI738" s="860"/>
      <c r="AJ738" s="860"/>
      <c r="AK738" s="860"/>
      <c r="AL738" s="860"/>
      <c r="AM738" s="860"/>
      <c r="AN738" s="860"/>
      <c r="AO738" s="860"/>
      <c r="AP738" s="860"/>
      <c r="AQ738" s="860"/>
      <c r="AR738" s="860"/>
      <c r="AS738" s="860"/>
      <c r="AT738" s="860"/>
      <c r="AU738" s="860"/>
      <c r="AV738" s="860"/>
      <c r="AW738" s="860"/>
      <c r="AX738" s="860"/>
      <c r="AY738" s="860"/>
      <c r="AZ738" s="860"/>
      <c r="BA738" s="860"/>
      <c r="BB738" s="860"/>
      <c r="BC738" s="860"/>
      <c r="BD738" s="860"/>
      <c r="BE738" s="860"/>
      <c r="BF738" s="860"/>
      <c r="BG738" s="860"/>
      <c r="BH738" s="668"/>
      <c r="BI738" s="667"/>
      <c r="BJ738" s="690">
        <f t="shared" si="276"/>
        <v>0</v>
      </c>
      <c r="BK738" s="691">
        <f t="shared" si="277"/>
        <v>0</v>
      </c>
      <c r="BL738" s="654"/>
      <c r="BM738" s="692">
        <f>SUMIFS(Imput[Importe Neto],Imput[C. Imp.],$D738,Imput[PERIODO Imp.],BM$9)</f>
        <v>0</v>
      </c>
      <c r="BN738" s="693">
        <f>SUMIFS(Imput[Importe Neto],Imput[C. Imp.],$D738,Imput[PERIODO Imp.],BN$9)</f>
        <v>0</v>
      </c>
      <c r="BO738" s="693">
        <f>SUMIFS(Imput[Importe Neto],Imput[C. Imp.],$D738,Imput[PERIODO Imp.],BO$9)</f>
        <v>0</v>
      </c>
      <c r="BP738" s="693">
        <f>SUMIFS(Imput[Importe Neto],Imput[C. Imp.],$D738,Imput[PERIODO Imp.],BP$9)</f>
        <v>0</v>
      </c>
      <c r="BQ738" s="693">
        <f>SUMIFS(Imput[Importe Neto],Imput[C. Imp.],$D738,Imput[PERIODO Imp.],BQ$9)</f>
        <v>0</v>
      </c>
      <c r="BR738" s="693">
        <f>SUMIFS(Imput[Importe Neto],Imput[C. Imp.],$D738,Imput[PERIODO Imp.],BR$9)</f>
        <v>0</v>
      </c>
      <c r="BS738" s="693">
        <f>SUMIFS(Imput[Importe Neto],Imput[C. Imp.],$D738,Imput[PERIODO Imp.],BS$9)</f>
        <v>0</v>
      </c>
      <c r="BT738" s="693">
        <f>SUMIFS(Imput[Importe Neto],Imput[C. Imp.],$D738,Imput[PERIODO Imp.],BT$9)</f>
        <v>0</v>
      </c>
      <c r="BU738" s="693">
        <f>SUMIFS(Imput[Importe Neto],Imput[C. Imp.],$D738,Imput[PERIODO Imp.],BU$9)</f>
        <v>0</v>
      </c>
      <c r="BV738" s="693">
        <f>SUMIFS(Imput[Importe Neto],Imput[C. Imp.],$D738,Imput[PERIODO Imp.],BV$9)</f>
        <v>0</v>
      </c>
      <c r="BW738" s="693">
        <f>SUMIFS(Imput[Importe Neto],Imput[C. Imp.],$D738,Imput[PERIODO Imp.],BW$9)</f>
        <v>0</v>
      </c>
      <c r="BX738" s="693">
        <f>SUMIFS(Imput[Importe Neto],Imput[C. Imp.],$D738,Imput[PERIODO Imp.],BX$9)</f>
        <v>0</v>
      </c>
      <c r="BY738" s="693">
        <f>SUMIFS(Imput[Importe Neto],Imput[C. Imp.],$D738,Imput[PERIODO Imp.],BY$9)</f>
        <v>0</v>
      </c>
      <c r="BZ738" s="693">
        <f>SUMIFS(Imput[Importe Neto],Imput[C. Imp.],$D738,Imput[PERIODO Imp.],BZ$9)</f>
        <v>0</v>
      </c>
      <c r="CA738" s="693">
        <f>SUMIFS(Imput[Importe Neto],Imput[C. Imp.],$D738,Imput[PERIODO Imp.],CA$9)</f>
        <v>0</v>
      </c>
      <c r="CB738" s="693">
        <f>SUMIFS(Imput[Importe Neto],Imput[C. Imp.],$D738,Imput[PERIODO Imp.],CB$9)</f>
        <v>0</v>
      </c>
      <c r="CC738" s="693">
        <f>SUMIFS(Imput[Importe Neto],Imput[C. Imp.],$D738,Imput[PERIODO Imp.],CC$9)</f>
        <v>0</v>
      </c>
      <c r="CD738" s="693">
        <f>SUMIFS(Imput[Importe Neto],Imput[C. Imp.],$D738,Imput[PERIODO Imp.],CD$9)</f>
        <v>0</v>
      </c>
      <c r="CE738" s="693">
        <f>SUMIFS(Imput[Importe Neto],Imput[C. Imp.],$D738,Imput[PERIODO Imp.],CE$9)</f>
        <v>0</v>
      </c>
      <c r="CF738" s="693">
        <f>SUMIFS(Imput[Importe Neto],Imput[C. Imp.],$D738,Imput[PERIODO Imp.],CF$9)</f>
        <v>0</v>
      </c>
      <c r="CG738" s="693">
        <f>SUMIFS(Imput[Importe Neto],Imput[C. Imp.],$D738,Imput[PERIODO Imp.],CG$9)</f>
        <v>0</v>
      </c>
      <c r="CH738" s="693">
        <f>SUMIFS(Imput[Importe Neto],Imput[C. Imp.],$D738,Imput[PERIODO Imp.],CH$9)</f>
        <v>0</v>
      </c>
      <c r="CI738" s="693">
        <f>SUMIFS(Imput[Importe Neto],Imput[C. Imp.],$D738,Imput[PERIODO Imp.],CI$9)</f>
        <v>0</v>
      </c>
      <c r="CJ738" s="693">
        <f>SUMIFS(Imput[Importe Neto],Imput[C. Imp.],$D738,Imput[PERIODO Imp.],CJ$9)</f>
        <v>0</v>
      </c>
      <c r="CK738" s="693">
        <f>SUMIFS(Imput[Importe Neto],Imput[C. Imp.],$D738,Imput[PERIODO Imp.],CK$9)</f>
        <v>0</v>
      </c>
      <c r="CL738" s="693">
        <f>SUMIFS(Imput[Importe Neto],Imput[C. Imp.],$D738,Imput[PERIODO Imp.],CL$9)</f>
        <v>0</v>
      </c>
      <c r="CM738" s="693">
        <f>SUMIFS(Imput[Importe Neto],Imput[C. Imp.],$D738,Imput[PERIODO Imp.],CM$9)</f>
        <v>0</v>
      </c>
      <c r="CN738" s="693">
        <f>SUMIFS(Imput[Importe Neto],Imput[C. Imp.],$D738,Imput[PERIODO Imp.],CN$9)</f>
        <v>0</v>
      </c>
      <c r="CO738" s="693">
        <f>SUMIFS(Imput[Importe Neto],Imput[C. Imp.],$D738,Imput[PERIODO Imp.],CO$9)</f>
        <v>0</v>
      </c>
      <c r="CP738" s="693">
        <f>SUMIFS(Imput[Importe Neto],Imput[C. Imp.],$D738,Imput[PERIODO Imp.],CP$9)</f>
        <v>0</v>
      </c>
      <c r="CQ738" s="693">
        <f>SUMIFS(Imput[Importe Neto],Imput[C. Imp.],$D738,Imput[PERIODO Imp.],CQ$9)</f>
        <v>0</v>
      </c>
      <c r="CR738" s="693">
        <f>SUMIFS(Imput[Importe Neto],Imput[C. Imp.],$D738,Imput[PERIODO Imp.],CR$9)</f>
        <v>0</v>
      </c>
      <c r="CS738" s="693">
        <f>SUMIFS(Imput[Importe Neto],Imput[C. Imp.],$D738,Imput[PERIODO Imp.],CS$9)</f>
        <v>0</v>
      </c>
      <c r="CT738" s="693">
        <f>SUMIFS(Imput[Importe Neto],Imput[C. Imp.],$D738,Imput[PERIODO Imp.],CT$9)</f>
        <v>0</v>
      </c>
      <c r="CU738" s="693">
        <f>SUMIFS(Imput[Importe Neto],Imput[C. Imp.],$D738,Imput[PERIODO Imp.],CU$9)</f>
        <v>0</v>
      </c>
      <c r="CV738" s="693">
        <f>SUMIFS(Imput[Importe Neto],Imput[C. Imp.],$D738,Imput[PERIODO Imp.],CV$9)</f>
        <v>0</v>
      </c>
      <c r="CW738" s="693">
        <f>SUMIFS(Imput[Importe Neto],Imput[C. Imp.],$D738,Imput[PERIODO Imp.],CW$9)</f>
        <v>0</v>
      </c>
      <c r="CX738" s="693">
        <f>SUMIFS(Imput[Importe Neto],Imput[C. Imp.],$D738,Imput[PERIODO Imp.],CX$9)</f>
        <v>0</v>
      </c>
      <c r="CY738" s="693">
        <f>SUMIFS(Imput[Importe Neto],Imput[C. Imp.],$D738,Imput[PERIODO Imp.],CY$9)</f>
        <v>0</v>
      </c>
      <c r="CZ738" s="693">
        <f>SUMIFS(Imput[Importe Neto],Imput[C. Imp.],$D738,Imput[PERIODO Imp.],CZ$9)</f>
        <v>0</v>
      </c>
      <c r="DA738" s="693">
        <f>SUMIFS(Imput[Importe Neto],Imput[C. Imp.],$D738,Imput[PERIODO Imp.],DA$9)</f>
        <v>0</v>
      </c>
      <c r="DB738" s="693">
        <f>SUMIFS(Imput[Importe Neto],Imput[C. Imp.],$D738,Imput[PERIODO Imp.],DB$9)</f>
        <v>0</v>
      </c>
      <c r="DC738" s="693">
        <f>SUMIFS(Imput[Importe Neto],Imput[C. Imp.],$D738,Imput[PERIODO Imp.],DC$9)</f>
        <v>0</v>
      </c>
      <c r="DD738" s="693">
        <f>SUMIFS(Imput[Importe Neto],Imput[C. Imp.],$D738,Imput[PERIODO Imp.],DD$9)</f>
        <v>0</v>
      </c>
      <c r="DE738" s="693">
        <f>SUMIFS(Imput[Importe Neto],Imput[C. Imp.],$D738,Imput[PERIODO Imp.],DE$9)</f>
        <v>0</v>
      </c>
      <c r="DF738" s="693">
        <f>SUMIFS(Imput[Importe Neto],Imput[C. Imp.],$D738,Imput[PERIODO Imp.],DF$9)</f>
        <v>0</v>
      </c>
      <c r="DG738" s="693">
        <f>SUMIFS(Imput[Importe Neto],Imput[C. Imp.],$D738,Imput[PERIODO Imp.],DG$9)</f>
        <v>0</v>
      </c>
      <c r="DH738" s="694">
        <f>SUMIFS(Imput[Importe Neto],Imput[C. Imp.],$D738,Imput[PERIODO Imp.],DH$9)</f>
        <v>0</v>
      </c>
    </row>
    <row r="739" spans="1:112" s="649" customFormat="1" outlineLevel="1" x14ac:dyDescent="0.3">
      <c r="A739" s="652" t="str">
        <f t="shared" si="273"/>
        <v>Imprimir</v>
      </c>
      <c r="B739" s="652"/>
      <c r="C739" s="685"/>
      <c r="D739" s="686" t="s">
        <v>2723</v>
      </c>
      <c r="E739" s="686" t="s">
        <v>481</v>
      </c>
      <c r="F739" s="720"/>
      <c r="G739" s="688">
        <v>300</v>
      </c>
      <c r="H739" s="689">
        <f>Producción!G78*0.01</f>
        <v>0.03</v>
      </c>
      <c r="I739" s="851">
        <f t="shared" si="274"/>
        <v>1</v>
      </c>
      <c r="J739" s="852">
        <f t="shared" si="275"/>
        <v>9</v>
      </c>
      <c r="K739" s="667"/>
      <c r="L739" s="858">
        <v>0.3</v>
      </c>
      <c r="M739" s="859"/>
      <c r="N739" s="859"/>
      <c r="O739" s="859"/>
      <c r="P739" s="859">
        <v>0.3</v>
      </c>
      <c r="Q739" s="859"/>
      <c r="R739" s="859"/>
      <c r="S739" s="859"/>
      <c r="T739" s="859"/>
      <c r="U739" s="859"/>
      <c r="V739" s="859"/>
      <c r="W739" s="859">
        <v>0.3</v>
      </c>
      <c r="X739" s="859"/>
      <c r="Y739" s="859"/>
      <c r="Z739" s="860"/>
      <c r="AA739" s="860"/>
      <c r="AB739" s="860"/>
      <c r="AC739" s="860"/>
      <c r="AD739" s="860"/>
      <c r="AE739" s="860">
        <v>0.1</v>
      </c>
      <c r="AF739" s="860"/>
      <c r="AG739" s="860"/>
      <c r="AH739" s="860"/>
      <c r="AI739" s="860"/>
      <c r="AJ739" s="860"/>
      <c r="AK739" s="860"/>
      <c r="AL739" s="860"/>
      <c r="AM739" s="860"/>
      <c r="AN739" s="860"/>
      <c r="AO739" s="860"/>
      <c r="AP739" s="860"/>
      <c r="AQ739" s="860"/>
      <c r="AR739" s="860"/>
      <c r="AS739" s="860"/>
      <c r="AT739" s="860"/>
      <c r="AU739" s="860"/>
      <c r="AV739" s="860"/>
      <c r="AW739" s="860"/>
      <c r="AX739" s="860"/>
      <c r="AY739" s="860"/>
      <c r="AZ739" s="860"/>
      <c r="BA739" s="860"/>
      <c r="BB739" s="860"/>
      <c r="BC739" s="860"/>
      <c r="BD739" s="860"/>
      <c r="BE739" s="860"/>
      <c r="BF739" s="860"/>
      <c r="BG739" s="860"/>
      <c r="BH739" s="668"/>
      <c r="BI739" s="667"/>
      <c r="BJ739" s="690">
        <f t="shared" si="276"/>
        <v>0</v>
      </c>
      <c r="BK739" s="691">
        <f t="shared" si="277"/>
        <v>0</v>
      </c>
      <c r="BL739" s="654"/>
      <c r="BM739" s="692">
        <f>SUMIFS(Imput[Importe Neto],Imput[C. Imp.],$D739,Imput[PERIODO Imp.],BM$9)</f>
        <v>0</v>
      </c>
      <c r="BN739" s="693">
        <f>SUMIFS(Imput[Importe Neto],Imput[C. Imp.],$D739,Imput[PERIODO Imp.],BN$9)</f>
        <v>0</v>
      </c>
      <c r="BO739" s="693">
        <f>SUMIFS(Imput[Importe Neto],Imput[C. Imp.],$D739,Imput[PERIODO Imp.],BO$9)</f>
        <v>0</v>
      </c>
      <c r="BP739" s="693">
        <f>SUMIFS(Imput[Importe Neto],Imput[C. Imp.],$D739,Imput[PERIODO Imp.],BP$9)</f>
        <v>0</v>
      </c>
      <c r="BQ739" s="693">
        <f>SUMIFS(Imput[Importe Neto],Imput[C. Imp.],$D739,Imput[PERIODO Imp.],BQ$9)</f>
        <v>0</v>
      </c>
      <c r="BR739" s="693">
        <f>SUMIFS(Imput[Importe Neto],Imput[C. Imp.],$D739,Imput[PERIODO Imp.],BR$9)</f>
        <v>0</v>
      </c>
      <c r="BS739" s="693">
        <f>SUMIFS(Imput[Importe Neto],Imput[C. Imp.],$D739,Imput[PERIODO Imp.],BS$9)</f>
        <v>0</v>
      </c>
      <c r="BT739" s="693">
        <f>SUMIFS(Imput[Importe Neto],Imput[C. Imp.],$D739,Imput[PERIODO Imp.],BT$9)</f>
        <v>0</v>
      </c>
      <c r="BU739" s="693">
        <f>SUMIFS(Imput[Importe Neto],Imput[C. Imp.],$D739,Imput[PERIODO Imp.],BU$9)</f>
        <v>0</v>
      </c>
      <c r="BV739" s="693">
        <f>SUMIFS(Imput[Importe Neto],Imput[C. Imp.],$D739,Imput[PERIODO Imp.],BV$9)</f>
        <v>0</v>
      </c>
      <c r="BW739" s="693">
        <f>SUMIFS(Imput[Importe Neto],Imput[C. Imp.],$D739,Imput[PERIODO Imp.],BW$9)</f>
        <v>0</v>
      </c>
      <c r="BX739" s="693">
        <f>SUMIFS(Imput[Importe Neto],Imput[C. Imp.],$D739,Imput[PERIODO Imp.],BX$9)</f>
        <v>0</v>
      </c>
      <c r="BY739" s="693">
        <f>SUMIFS(Imput[Importe Neto],Imput[C. Imp.],$D739,Imput[PERIODO Imp.],BY$9)</f>
        <v>0</v>
      </c>
      <c r="BZ739" s="693">
        <f>SUMIFS(Imput[Importe Neto],Imput[C. Imp.],$D739,Imput[PERIODO Imp.],BZ$9)</f>
        <v>0</v>
      </c>
      <c r="CA739" s="693">
        <f>SUMIFS(Imput[Importe Neto],Imput[C. Imp.],$D739,Imput[PERIODO Imp.],CA$9)</f>
        <v>0</v>
      </c>
      <c r="CB739" s="693">
        <f>SUMIFS(Imput[Importe Neto],Imput[C. Imp.],$D739,Imput[PERIODO Imp.],CB$9)</f>
        <v>0</v>
      </c>
      <c r="CC739" s="693">
        <f>SUMIFS(Imput[Importe Neto],Imput[C. Imp.],$D739,Imput[PERIODO Imp.],CC$9)</f>
        <v>0</v>
      </c>
      <c r="CD739" s="693">
        <f>SUMIFS(Imput[Importe Neto],Imput[C. Imp.],$D739,Imput[PERIODO Imp.],CD$9)</f>
        <v>0</v>
      </c>
      <c r="CE739" s="693">
        <f>SUMIFS(Imput[Importe Neto],Imput[C. Imp.],$D739,Imput[PERIODO Imp.],CE$9)</f>
        <v>0</v>
      </c>
      <c r="CF739" s="693">
        <f>SUMIFS(Imput[Importe Neto],Imput[C. Imp.],$D739,Imput[PERIODO Imp.],CF$9)</f>
        <v>0</v>
      </c>
      <c r="CG739" s="693">
        <f>SUMIFS(Imput[Importe Neto],Imput[C. Imp.],$D739,Imput[PERIODO Imp.],CG$9)</f>
        <v>0</v>
      </c>
      <c r="CH739" s="693">
        <f>SUMIFS(Imput[Importe Neto],Imput[C. Imp.],$D739,Imput[PERIODO Imp.],CH$9)</f>
        <v>0</v>
      </c>
      <c r="CI739" s="693">
        <f>SUMIFS(Imput[Importe Neto],Imput[C. Imp.],$D739,Imput[PERIODO Imp.],CI$9)</f>
        <v>0</v>
      </c>
      <c r="CJ739" s="693">
        <f>SUMIFS(Imput[Importe Neto],Imput[C. Imp.],$D739,Imput[PERIODO Imp.],CJ$9)</f>
        <v>0</v>
      </c>
      <c r="CK739" s="693">
        <f>SUMIFS(Imput[Importe Neto],Imput[C. Imp.],$D739,Imput[PERIODO Imp.],CK$9)</f>
        <v>0</v>
      </c>
      <c r="CL739" s="693">
        <f>SUMIFS(Imput[Importe Neto],Imput[C. Imp.],$D739,Imput[PERIODO Imp.],CL$9)</f>
        <v>0</v>
      </c>
      <c r="CM739" s="693">
        <f>SUMIFS(Imput[Importe Neto],Imput[C. Imp.],$D739,Imput[PERIODO Imp.],CM$9)</f>
        <v>0</v>
      </c>
      <c r="CN739" s="693">
        <f>SUMIFS(Imput[Importe Neto],Imput[C. Imp.],$D739,Imput[PERIODO Imp.],CN$9)</f>
        <v>0</v>
      </c>
      <c r="CO739" s="693">
        <f>SUMIFS(Imput[Importe Neto],Imput[C. Imp.],$D739,Imput[PERIODO Imp.],CO$9)</f>
        <v>0</v>
      </c>
      <c r="CP739" s="693">
        <f>SUMIFS(Imput[Importe Neto],Imput[C. Imp.],$D739,Imput[PERIODO Imp.],CP$9)</f>
        <v>0</v>
      </c>
      <c r="CQ739" s="693">
        <f>SUMIFS(Imput[Importe Neto],Imput[C. Imp.],$D739,Imput[PERIODO Imp.],CQ$9)</f>
        <v>0</v>
      </c>
      <c r="CR739" s="693">
        <f>SUMIFS(Imput[Importe Neto],Imput[C. Imp.],$D739,Imput[PERIODO Imp.],CR$9)</f>
        <v>0</v>
      </c>
      <c r="CS739" s="693">
        <f>SUMIFS(Imput[Importe Neto],Imput[C. Imp.],$D739,Imput[PERIODO Imp.],CS$9)</f>
        <v>0</v>
      </c>
      <c r="CT739" s="693">
        <f>SUMIFS(Imput[Importe Neto],Imput[C. Imp.],$D739,Imput[PERIODO Imp.],CT$9)</f>
        <v>0</v>
      </c>
      <c r="CU739" s="693">
        <f>SUMIFS(Imput[Importe Neto],Imput[C. Imp.],$D739,Imput[PERIODO Imp.],CU$9)</f>
        <v>0</v>
      </c>
      <c r="CV739" s="693">
        <f>SUMIFS(Imput[Importe Neto],Imput[C. Imp.],$D739,Imput[PERIODO Imp.],CV$9)</f>
        <v>0</v>
      </c>
      <c r="CW739" s="693">
        <f>SUMIFS(Imput[Importe Neto],Imput[C. Imp.],$D739,Imput[PERIODO Imp.],CW$9)</f>
        <v>0</v>
      </c>
      <c r="CX739" s="693">
        <f>SUMIFS(Imput[Importe Neto],Imput[C. Imp.],$D739,Imput[PERIODO Imp.],CX$9)</f>
        <v>0</v>
      </c>
      <c r="CY739" s="693">
        <f>SUMIFS(Imput[Importe Neto],Imput[C. Imp.],$D739,Imput[PERIODO Imp.],CY$9)</f>
        <v>0</v>
      </c>
      <c r="CZ739" s="693">
        <f>SUMIFS(Imput[Importe Neto],Imput[C. Imp.],$D739,Imput[PERIODO Imp.],CZ$9)</f>
        <v>0</v>
      </c>
      <c r="DA739" s="693">
        <f>SUMIFS(Imput[Importe Neto],Imput[C. Imp.],$D739,Imput[PERIODO Imp.],DA$9)</f>
        <v>0</v>
      </c>
      <c r="DB739" s="693">
        <f>SUMIFS(Imput[Importe Neto],Imput[C. Imp.],$D739,Imput[PERIODO Imp.],DB$9)</f>
        <v>0</v>
      </c>
      <c r="DC739" s="693">
        <f>SUMIFS(Imput[Importe Neto],Imput[C. Imp.],$D739,Imput[PERIODO Imp.],DC$9)</f>
        <v>0</v>
      </c>
      <c r="DD739" s="693">
        <f>SUMIFS(Imput[Importe Neto],Imput[C. Imp.],$D739,Imput[PERIODO Imp.],DD$9)</f>
        <v>0</v>
      </c>
      <c r="DE739" s="693">
        <f>SUMIFS(Imput[Importe Neto],Imput[C. Imp.],$D739,Imput[PERIODO Imp.],DE$9)</f>
        <v>0</v>
      </c>
      <c r="DF739" s="693">
        <f>SUMIFS(Imput[Importe Neto],Imput[C. Imp.],$D739,Imput[PERIODO Imp.],DF$9)</f>
        <v>0</v>
      </c>
      <c r="DG739" s="693">
        <f>SUMIFS(Imput[Importe Neto],Imput[C. Imp.],$D739,Imput[PERIODO Imp.],DG$9)</f>
        <v>0</v>
      </c>
      <c r="DH739" s="694">
        <f>SUMIFS(Imput[Importe Neto],Imput[C. Imp.],$D739,Imput[PERIODO Imp.],DH$9)</f>
        <v>0</v>
      </c>
    </row>
    <row r="740" spans="1:112" s="649" customFormat="1" hidden="1" outlineLevel="1" x14ac:dyDescent="0.3">
      <c r="A740" s="652" t="str">
        <f t="shared" si="273"/>
        <v/>
      </c>
      <c r="B740" s="652"/>
      <c r="C740" s="685"/>
      <c r="D740" s="686" t="s">
        <v>2724</v>
      </c>
      <c r="E740" s="686"/>
      <c r="F740" s="720"/>
      <c r="G740" s="688"/>
      <c r="H740" s="689"/>
      <c r="I740" s="851" t="str">
        <f t="shared" si="274"/>
        <v/>
      </c>
      <c r="J740" s="852" t="str">
        <f t="shared" si="275"/>
        <v/>
      </c>
      <c r="K740" s="667"/>
      <c r="L740" s="858"/>
      <c r="M740" s="859"/>
      <c r="N740" s="859"/>
      <c r="O740" s="859"/>
      <c r="P740" s="859"/>
      <c r="Q740" s="859"/>
      <c r="R740" s="859"/>
      <c r="S740" s="859"/>
      <c r="T740" s="859"/>
      <c r="U740" s="859"/>
      <c r="V740" s="859"/>
      <c r="W740" s="859"/>
      <c r="X740" s="859"/>
      <c r="Y740" s="859"/>
      <c r="Z740" s="860"/>
      <c r="AA740" s="860"/>
      <c r="AB740" s="860"/>
      <c r="AC740" s="860"/>
      <c r="AD740" s="860"/>
      <c r="AE740" s="860"/>
      <c r="AF740" s="860"/>
      <c r="AG740" s="860"/>
      <c r="AH740" s="860"/>
      <c r="AI740" s="860"/>
      <c r="AJ740" s="860"/>
      <c r="AK740" s="860"/>
      <c r="AL740" s="860"/>
      <c r="AM740" s="860"/>
      <c r="AN740" s="860"/>
      <c r="AO740" s="860"/>
      <c r="AP740" s="860"/>
      <c r="AQ740" s="860"/>
      <c r="AR740" s="860"/>
      <c r="AS740" s="860"/>
      <c r="AT740" s="860"/>
      <c r="AU740" s="860"/>
      <c r="AV740" s="860"/>
      <c r="AW740" s="860"/>
      <c r="AX740" s="860"/>
      <c r="AY740" s="860"/>
      <c r="AZ740" s="860"/>
      <c r="BA740" s="860"/>
      <c r="BB740" s="860"/>
      <c r="BC740" s="860"/>
      <c r="BD740" s="860"/>
      <c r="BE740" s="860"/>
      <c r="BF740" s="860"/>
      <c r="BG740" s="860"/>
      <c r="BH740" s="668"/>
      <c r="BI740" s="667"/>
      <c r="BJ740" s="690">
        <f t="shared" si="276"/>
        <v>0</v>
      </c>
      <c r="BK740" s="691">
        <f t="shared" si="277"/>
        <v>0</v>
      </c>
      <c r="BL740" s="654"/>
      <c r="BM740" s="692">
        <f>SUMIFS(Imput[Importe Neto],Imput[C. Imp.],$D740,Imput[PERIODO Imp.],BM$9)</f>
        <v>0</v>
      </c>
      <c r="BN740" s="693">
        <f>SUMIFS(Imput[Importe Neto],Imput[C. Imp.],$D740,Imput[PERIODO Imp.],BN$9)</f>
        <v>0</v>
      </c>
      <c r="BO740" s="693">
        <f>SUMIFS(Imput[Importe Neto],Imput[C. Imp.],$D740,Imput[PERIODO Imp.],BO$9)</f>
        <v>0</v>
      </c>
      <c r="BP740" s="693">
        <f>SUMIFS(Imput[Importe Neto],Imput[C. Imp.],$D740,Imput[PERIODO Imp.],BP$9)</f>
        <v>0</v>
      </c>
      <c r="BQ740" s="693">
        <f>SUMIFS(Imput[Importe Neto],Imput[C. Imp.],$D740,Imput[PERIODO Imp.],BQ$9)</f>
        <v>0</v>
      </c>
      <c r="BR740" s="693">
        <f>SUMIFS(Imput[Importe Neto],Imput[C. Imp.],$D740,Imput[PERIODO Imp.],BR$9)</f>
        <v>0</v>
      </c>
      <c r="BS740" s="693">
        <f>SUMIFS(Imput[Importe Neto],Imput[C. Imp.],$D740,Imput[PERIODO Imp.],BS$9)</f>
        <v>0</v>
      </c>
      <c r="BT740" s="693">
        <f>SUMIFS(Imput[Importe Neto],Imput[C. Imp.],$D740,Imput[PERIODO Imp.],BT$9)</f>
        <v>0</v>
      </c>
      <c r="BU740" s="693">
        <f>SUMIFS(Imput[Importe Neto],Imput[C. Imp.],$D740,Imput[PERIODO Imp.],BU$9)</f>
        <v>0</v>
      </c>
      <c r="BV740" s="693">
        <f>SUMIFS(Imput[Importe Neto],Imput[C. Imp.],$D740,Imput[PERIODO Imp.],BV$9)</f>
        <v>0</v>
      </c>
      <c r="BW740" s="693">
        <f>SUMIFS(Imput[Importe Neto],Imput[C. Imp.],$D740,Imput[PERIODO Imp.],BW$9)</f>
        <v>0</v>
      </c>
      <c r="BX740" s="693">
        <f>SUMIFS(Imput[Importe Neto],Imput[C. Imp.],$D740,Imput[PERIODO Imp.],BX$9)</f>
        <v>0</v>
      </c>
      <c r="BY740" s="693">
        <f>SUMIFS(Imput[Importe Neto],Imput[C. Imp.],$D740,Imput[PERIODO Imp.],BY$9)</f>
        <v>0</v>
      </c>
      <c r="BZ740" s="693">
        <f>SUMIFS(Imput[Importe Neto],Imput[C. Imp.],$D740,Imput[PERIODO Imp.],BZ$9)</f>
        <v>0</v>
      </c>
      <c r="CA740" s="693">
        <f>SUMIFS(Imput[Importe Neto],Imput[C. Imp.],$D740,Imput[PERIODO Imp.],CA$9)</f>
        <v>0</v>
      </c>
      <c r="CB740" s="693">
        <f>SUMIFS(Imput[Importe Neto],Imput[C. Imp.],$D740,Imput[PERIODO Imp.],CB$9)</f>
        <v>0</v>
      </c>
      <c r="CC740" s="693">
        <f>SUMIFS(Imput[Importe Neto],Imput[C. Imp.],$D740,Imput[PERIODO Imp.],CC$9)</f>
        <v>0</v>
      </c>
      <c r="CD740" s="693">
        <f>SUMIFS(Imput[Importe Neto],Imput[C. Imp.],$D740,Imput[PERIODO Imp.],CD$9)</f>
        <v>0</v>
      </c>
      <c r="CE740" s="693">
        <f>SUMIFS(Imput[Importe Neto],Imput[C. Imp.],$D740,Imput[PERIODO Imp.],CE$9)</f>
        <v>0</v>
      </c>
      <c r="CF740" s="693">
        <f>SUMIFS(Imput[Importe Neto],Imput[C. Imp.],$D740,Imput[PERIODO Imp.],CF$9)</f>
        <v>0</v>
      </c>
      <c r="CG740" s="693">
        <f>SUMIFS(Imput[Importe Neto],Imput[C. Imp.],$D740,Imput[PERIODO Imp.],CG$9)</f>
        <v>0</v>
      </c>
      <c r="CH740" s="693">
        <f>SUMIFS(Imput[Importe Neto],Imput[C. Imp.],$D740,Imput[PERIODO Imp.],CH$9)</f>
        <v>0</v>
      </c>
      <c r="CI740" s="693">
        <f>SUMIFS(Imput[Importe Neto],Imput[C. Imp.],$D740,Imput[PERIODO Imp.],CI$9)</f>
        <v>0</v>
      </c>
      <c r="CJ740" s="693">
        <f>SUMIFS(Imput[Importe Neto],Imput[C. Imp.],$D740,Imput[PERIODO Imp.],CJ$9)</f>
        <v>0</v>
      </c>
      <c r="CK740" s="693">
        <f>SUMIFS(Imput[Importe Neto],Imput[C. Imp.],$D740,Imput[PERIODO Imp.],CK$9)</f>
        <v>0</v>
      </c>
      <c r="CL740" s="693">
        <f>SUMIFS(Imput[Importe Neto],Imput[C. Imp.],$D740,Imput[PERIODO Imp.],CL$9)</f>
        <v>0</v>
      </c>
      <c r="CM740" s="693">
        <f>SUMIFS(Imput[Importe Neto],Imput[C. Imp.],$D740,Imput[PERIODO Imp.],CM$9)</f>
        <v>0</v>
      </c>
      <c r="CN740" s="693">
        <f>SUMIFS(Imput[Importe Neto],Imput[C. Imp.],$D740,Imput[PERIODO Imp.],CN$9)</f>
        <v>0</v>
      </c>
      <c r="CO740" s="693">
        <f>SUMIFS(Imput[Importe Neto],Imput[C. Imp.],$D740,Imput[PERIODO Imp.],CO$9)</f>
        <v>0</v>
      </c>
      <c r="CP740" s="693">
        <f>SUMIFS(Imput[Importe Neto],Imput[C. Imp.],$D740,Imput[PERIODO Imp.],CP$9)</f>
        <v>0</v>
      </c>
      <c r="CQ740" s="693">
        <f>SUMIFS(Imput[Importe Neto],Imput[C. Imp.],$D740,Imput[PERIODO Imp.],CQ$9)</f>
        <v>0</v>
      </c>
      <c r="CR740" s="693">
        <f>SUMIFS(Imput[Importe Neto],Imput[C. Imp.],$D740,Imput[PERIODO Imp.],CR$9)</f>
        <v>0</v>
      </c>
      <c r="CS740" s="693">
        <f>SUMIFS(Imput[Importe Neto],Imput[C. Imp.],$D740,Imput[PERIODO Imp.],CS$9)</f>
        <v>0</v>
      </c>
      <c r="CT740" s="693">
        <f>SUMIFS(Imput[Importe Neto],Imput[C. Imp.],$D740,Imput[PERIODO Imp.],CT$9)</f>
        <v>0</v>
      </c>
      <c r="CU740" s="693">
        <f>SUMIFS(Imput[Importe Neto],Imput[C. Imp.],$D740,Imput[PERIODO Imp.],CU$9)</f>
        <v>0</v>
      </c>
      <c r="CV740" s="693">
        <f>SUMIFS(Imput[Importe Neto],Imput[C. Imp.],$D740,Imput[PERIODO Imp.],CV$9)</f>
        <v>0</v>
      </c>
      <c r="CW740" s="693">
        <f>SUMIFS(Imput[Importe Neto],Imput[C. Imp.],$D740,Imput[PERIODO Imp.],CW$9)</f>
        <v>0</v>
      </c>
      <c r="CX740" s="693">
        <f>SUMIFS(Imput[Importe Neto],Imput[C. Imp.],$D740,Imput[PERIODO Imp.],CX$9)</f>
        <v>0</v>
      </c>
      <c r="CY740" s="693">
        <f>SUMIFS(Imput[Importe Neto],Imput[C. Imp.],$D740,Imput[PERIODO Imp.],CY$9)</f>
        <v>0</v>
      </c>
      <c r="CZ740" s="693">
        <f>SUMIFS(Imput[Importe Neto],Imput[C. Imp.],$D740,Imput[PERIODO Imp.],CZ$9)</f>
        <v>0</v>
      </c>
      <c r="DA740" s="693">
        <f>SUMIFS(Imput[Importe Neto],Imput[C. Imp.],$D740,Imput[PERIODO Imp.],DA$9)</f>
        <v>0</v>
      </c>
      <c r="DB740" s="693">
        <f>SUMIFS(Imput[Importe Neto],Imput[C. Imp.],$D740,Imput[PERIODO Imp.],DB$9)</f>
        <v>0</v>
      </c>
      <c r="DC740" s="693">
        <f>SUMIFS(Imput[Importe Neto],Imput[C. Imp.],$D740,Imput[PERIODO Imp.],DC$9)</f>
        <v>0</v>
      </c>
      <c r="DD740" s="693">
        <f>SUMIFS(Imput[Importe Neto],Imput[C. Imp.],$D740,Imput[PERIODO Imp.],DD$9)</f>
        <v>0</v>
      </c>
      <c r="DE740" s="693">
        <f>SUMIFS(Imput[Importe Neto],Imput[C. Imp.],$D740,Imput[PERIODO Imp.],DE$9)</f>
        <v>0</v>
      </c>
      <c r="DF740" s="693">
        <f>SUMIFS(Imput[Importe Neto],Imput[C. Imp.],$D740,Imput[PERIODO Imp.],DF$9)</f>
        <v>0</v>
      </c>
      <c r="DG740" s="693">
        <f>SUMIFS(Imput[Importe Neto],Imput[C. Imp.],$D740,Imput[PERIODO Imp.],DG$9)</f>
        <v>0</v>
      </c>
      <c r="DH740" s="694">
        <f>SUMIFS(Imput[Importe Neto],Imput[C. Imp.],$D740,Imput[PERIODO Imp.],DH$9)</f>
        <v>0</v>
      </c>
    </row>
    <row r="741" spans="1:112" s="649" customFormat="1" hidden="1" outlineLevel="1" x14ac:dyDescent="0.3">
      <c r="A741" s="652" t="str">
        <f t="shared" si="273"/>
        <v/>
      </c>
      <c r="B741" s="652"/>
      <c r="C741" s="685"/>
      <c r="D741" s="686" t="s">
        <v>2725</v>
      </c>
      <c r="E741" s="686"/>
      <c r="F741" s="720"/>
      <c r="G741" s="688"/>
      <c r="H741" s="689"/>
      <c r="I741" s="851" t="str">
        <f t="shared" si="274"/>
        <v/>
      </c>
      <c r="J741" s="852" t="str">
        <f t="shared" si="275"/>
        <v/>
      </c>
      <c r="K741" s="667"/>
      <c r="L741" s="858"/>
      <c r="M741" s="859"/>
      <c r="N741" s="859"/>
      <c r="O741" s="859"/>
      <c r="P741" s="859"/>
      <c r="Q741" s="859"/>
      <c r="R741" s="859"/>
      <c r="S741" s="859"/>
      <c r="T741" s="859"/>
      <c r="U741" s="859"/>
      <c r="V741" s="859"/>
      <c r="W741" s="859"/>
      <c r="X741" s="859"/>
      <c r="Y741" s="859"/>
      <c r="Z741" s="860"/>
      <c r="AA741" s="860"/>
      <c r="AB741" s="860"/>
      <c r="AC741" s="860"/>
      <c r="AD741" s="860"/>
      <c r="AE741" s="860"/>
      <c r="AF741" s="860"/>
      <c r="AG741" s="860"/>
      <c r="AH741" s="860"/>
      <c r="AI741" s="860"/>
      <c r="AJ741" s="860"/>
      <c r="AK741" s="860"/>
      <c r="AL741" s="860"/>
      <c r="AM741" s="860"/>
      <c r="AN741" s="860"/>
      <c r="AO741" s="860"/>
      <c r="AP741" s="860"/>
      <c r="AQ741" s="860"/>
      <c r="AR741" s="860"/>
      <c r="AS741" s="860"/>
      <c r="AT741" s="860"/>
      <c r="AU741" s="860"/>
      <c r="AV741" s="860"/>
      <c r="AW741" s="860"/>
      <c r="AX741" s="860"/>
      <c r="AY741" s="860"/>
      <c r="AZ741" s="860"/>
      <c r="BA741" s="860"/>
      <c r="BB741" s="860"/>
      <c r="BC741" s="860"/>
      <c r="BD741" s="860"/>
      <c r="BE741" s="860"/>
      <c r="BF741" s="860"/>
      <c r="BG741" s="860"/>
      <c r="BH741" s="668"/>
      <c r="BI741" s="667"/>
      <c r="BJ741" s="690">
        <f t="shared" si="276"/>
        <v>0</v>
      </c>
      <c r="BK741" s="691">
        <f t="shared" si="277"/>
        <v>0</v>
      </c>
      <c r="BL741" s="654"/>
      <c r="BM741" s="692">
        <f>SUMIFS(Imput[Importe Neto],Imput[C. Imp.],$D741,Imput[PERIODO Imp.],BM$9)</f>
        <v>0</v>
      </c>
      <c r="BN741" s="693">
        <f>SUMIFS(Imput[Importe Neto],Imput[C. Imp.],$D741,Imput[PERIODO Imp.],BN$9)</f>
        <v>0</v>
      </c>
      <c r="BO741" s="693">
        <f>SUMIFS(Imput[Importe Neto],Imput[C. Imp.],$D741,Imput[PERIODO Imp.],BO$9)</f>
        <v>0</v>
      </c>
      <c r="BP741" s="693">
        <f>SUMIFS(Imput[Importe Neto],Imput[C. Imp.],$D741,Imput[PERIODO Imp.],BP$9)</f>
        <v>0</v>
      </c>
      <c r="BQ741" s="693">
        <f>SUMIFS(Imput[Importe Neto],Imput[C. Imp.],$D741,Imput[PERIODO Imp.],BQ$9)</f>
        <v>0</v>
      </c>
      <c r="BR741" s="693">
        <f>SUMIFS(Imput[Importe Neto],Imput[C. Imp.],$D741,Imput[PERIODO Imp.],BR$9)</f>
        <v>0</v>
      </c>
      <c r="BS741" s="693">
        <f>SUMIFS(Imput[Importe Neto],Imput[C. Imp.],$D741,Imput[PERIODO Imp.],BS$9)</f>
        <v>0</v>
      </c>
      <c r="BT741" s="693">
        <f>SUMIFS(Imput[Importe Neto],Imput[C. Imp.],$D741,Imput[PERIODO Imp.],BT$9)</f>
        <v>0</v>
      </c>
      <c r="BU741" s="693">
        <f>SUMIFS(Imput[Importe Neto],Imput[C. Imp.],$D741,Imput[PERIODO Imp.],BU$9)</f>
        <v>0</v>
      </c>
      <c r="BV741" s="693">
        <f>SUMIFS(Imput[Importe Neto],Imput[C. Imp.],$D741,Imput[PERIODO Imp.],BV$9)</f>
        <v>0</v>
      </c>
      <c r="BW741" s="693">
        <f>SUMIFS(Imput[Importe Neto],Imput[C. Imp.],$D741,Imput[PERIODO Imp.],BW$9)</f>
        <v>0</v>
      </c>
      <c r="BX741" s="693">
        <f>SUMIFS(Imput[Importe Neto],Imput[C. Imp.],$D741,Imput[PERIODO Imp.],BX$9)</f>
        <v>0</v>
      </c>
      <c r="BY741" s="693">
        <f>SUMIFS(Imput[Importe Neto],Imput[C. Imp.],$D741,Imput[PERIODO Imp.],BY$9)</f>
        <v>0</v>
      </c>
      <c r="BZ741" s="693">
        <f>SUMIFS(Imput[Importe Neto],Imput[C. Imp.],$D741,Imput[PERIODO Imp.],BZ$9)</f>
        <v>0</v>
      </c>
      <c r="CA741" s="693">
        <f>SUMIFS(Imput[Importe Neto],Imput[C. Imp.],$D741,Imput[PERIODO Imp.],CA$9)</f>
        <v>0</v>
      </c>
      <c r="CB741" s="693">
        <f>SUMIFS(Imput[Importe Neto],Imput[C. Imp.],$D741,Imput[PERIODO Imp.],CB$9)</f>
        <v>0</v>
      </c>
      <c r="CC741" s="693">
        <f>SUMIFS(Imput[Importe Neto],Imput[C. Imp.],$D741,Imput[PERIODO Imp.],CC$9)</f>
        <v>0</v>
      </c>
      <c r="CD741" s="693">
        <f>SUMIFS(Imput[Importe Neto],Imput[C. Imp.],$D741,Imput[PERIODO Imp.],CD$9)</f>
        <v>0</v>
      </c>
      <c r="CE741" s="693">
        <f>SUMIFS(Imput[Importe Neto],Imput[C. Imp.],$D741,Imput[PERIODO Imp.],CE$9)</f>
        <v>0</v>
      </c>
      <c r="CF741" s="693">
        <f>SUMIFS(Imput[Importe Neto],Imput[C. Imp.],$D741,Imput[PERIODO Imp.],CF$9)</f>
        <v>0</v>
      </c>
      <c r="CG741" s="693">
        <f>SUMIFS(Imput[Importe Neto],Imput[C. Imp.],$D741,Imput[PERIODO Imp.],CG$9)</f>
        <v>0</v>
      </c>
      <c r="CH741" s="693">
        <f>SUMIFS(Imput[Importe Neto],Imput[C. Imp.],$D741,Imput[PERIODO Imp.],CH$9)</f>
        <v>0</v>
      </c>
      <c r="CI741" s="693">
        <f>SUMIFS(Imput[Importe Neto],Imput[C. Imp.],$D741,Imput[PERIODO Imp.],CI$9)</f>
        <v>0</v>
      </c>
      <c r="CJ741" s="693">
        <f>SUMIFS(Imput[Importe Neto],Imput[C. Imp.],$D741,Imput[PERIODO Imp.],CJ$9)</f>
        <v>0</v>
      </c>
      <c r="CK741" s="693">
        <f>SUMIFS(Imput[Importe Neto],Imput[C. Imp.],$D741,Imput[PERIODO Imp.],CK$9)</f>
        <v>0</v>
      </c>
      <c r="CL741" s="693">
        <f>SUMIFS(Imput[Importe Neto],Imput[C. Imp.],$D741,Imput[PERIODO Imp.],CL$9)</f>
        <v>0</v>
      </c>
      <c r="CM741" s="693">
        <f>SUMIFS(Imput[Importe Neto],Imput[C. Imp.],$D741,Imput[PERIODO Imp.],CM$9)</f>
        <v>0</v>
      </c>
      <c r="CN741" s="693">
        <f>SUMIFS(Imput[Importe Neto],Imput[C. Imp.],$D741,Imput[PERIODO Imp.],CN$9)</f>
        <v>0</v>
      </c>
      <c r="CO741" s="693">
        <f>SUMIFS(Imput[Importe Neto],Imput[C. Imp.],$D741,Imput[PERIODO Imp.],CO$9)</f>
        <v>0</v>
      </c>
      <c r="CP741" s="693">
        <f>SUMIFS(Imput[Importe Neto],Imput[C. Imp.],$D741,Imput[PERIODO Imp.],CP$9)</f>
        <v>0</v>
      </c>
      <c r="CQ741" s="693">
        <f>SUMIFS(Imput[Importe Neto],Imput[C. Imp.],$D741,Imput[PERIODO Imp.],CQ$9)</f>
        <v>0</v>
      </c>
      <c r="CR741" s="693">
        <f>SUMIFS(Imput[Importe Neto],Imput[C. Imp.],$D741,Imput[PERIODO Imp.],CR$9)</f>
        <v>0</v>
      </c>
      <c r="CS741" s="693">
        <f>SUMIFS(Imput[Importe Neto],Imput[C. Imp.],$D741,Imput[PERIODO Imp.],CS$9)</f>
        <v>0</v>
      </c>
      <c r="CT741" s="693">
        <f>SUMIFS(Imput[Importe Neto],Imput[C. Imp.],$D741,Imput[PERIODO Imp.],CT$9)</f>
        <v>0</v>
      </c>
      <c r="CU741" s="693">
        <f>SUMIFS(Imput[Importe Neto],Imput[C. Imp.],$D741,Imput[PERIODO Imp.],CU$9)</f>
        <v>0</v>
      </c>
      <c r="CV741" s="693">
        <f>SUMIFS(Imput[Importe Neto],Imput[C. Imp.],$D741,Imput[PERIODO Imp.],CV$9)</f>
        <v>0</v>
      </c>
      <c r="CW741" s="693">
        <f>SUMIFS(Imput[Importe Neto],Imput[C. Imp.],$D741,Imput[PERIODO Imp.],CW$9)</f>
        <v>0</v>
      </c>
      <c r="CX741" s="693">
        <f>SUMIFS(Imput[Importe Neto],Imput[C. Imp.],$D741,Imput[PERIODO Imp.],CX$9)</f>
        <v>0</v>
      </c>
      <c r="CY741" s="693">
        <f>SUMIFS(Imput[Importe Neto],Imput[C. Imp.],$D741,Imput[PERIODO Imp.],CY$9)</f>
        <v>0</v>
      </c>
      <c r="CZ741" s="693">
        <f>SUMIFS(Imput[Importe Neto],Imput[C. Imp.],$D741,Imput[PERIODO Imp.],CZ$9)</f>
        <v>0</v>
      </c>
      <c r="DA741" s="693">
        <f>SUMIFS(Imput[Importe Neto],Imput[C. Imp.],$D741,Imput[PERIODO Imp.],DA$9)</f>
        <v>0</v>
      </c>
      <c r="DB741" s="693">
        <f>SUMIFS(Imput[Importe Neto],Imput[C. Imp.],$D741,Imput[PERIODO Imp.],DB$9)</f>
        <v>0</v>
      </c>
      <c r="DC741" s="693">
        <f>SUMIFS(Imput[Importe Neto],Imput[C. Imp.],$D741,Imput[PERIODO Imp.],DC$9)</f>
        <v>0</v>
      </c>
      <c r="DD741" s="693">
        <f>SUMIFS(Imput[Importe Neto],Imput[C. Imp.],$D741,Imput[PERIODO Imp.],DD$9)</f>
        <v>0</v>
      </c>
      <c r="DE741" s="693">
        <f>SUMIFS(Imput[Importe Neto],Imput[C. Imp.],$D741,Imput[PERIODO Imp.],DE$9)</f>
        <v>0</v>
      </c>
      <c r="DF741" s="693">
        <f>SUMIFS(Imput[Importe Neto],Imput[C. Imp.],$D741,Imput[PERIODO Imp.],DF$9)</f>
        <v>0</v>
      </c>
      <c r="DG741" s="693">
        <f>SUMIFS(Imput[Importe Neto],Imput[C. Imp.],$D741,Imput[PERIODO Imp.],DG$9)</f>
        <v>0</v>
      </c>
      <c r="DH741" s="694">
        <f>SUMIFS(Imput[Importe Neto],Imput[C. Imp.],$D741,Imput[PERIODO Imp.],DH$9)</f>
        <v>0</v>
      </c>
    </row>
    <row r="742" spans="1:112" s="649" customFormat="1" hidden="1" outlineLevel="1" x14ac:dyDescent="0.3">
      <c r="A742" s="652" t="str">
        <f t="shared" si="273"/>
        <v/>
      </c>
      <c r="B742" s="652"/>
      <c r="C742" s="685"/>
      <c r="D742" s="686" t="s">
        <v>2726</v>
      </c>
      <c r="E742" s="686"/>
      <c r="F742" s="720"/>
      <c r="G742" s="688"/>
      <c r="H742" s="689"/>
      <c r="I742" s="851" t="str">
        <f t="shared" si="274"/>
        <v/>
      </c>
      <c r="J742" s="850" t="str">
        <f t="shared" si="275"/>
        <v/>
      </c>
      <c r="K742" s="667"/>
      <c r="L742" s="858"/>
      <c r="M742" s="859"/>
      <c r="N742" s="859"/>
      <c r="O742" s="859"/>
      <c r="P742" s="859"/>
      <c r="Q742" s="859"/>
      <c r="R742" s="859"/>
      <c r="S742" s="859"/>
      <c r="T742" s="859"/>
      <c r="U742" s="859"/>
      <c r="V742" s="859"/>
      <c r="W742" s="859"/>
      <c r="X742" s="859"/>
      <c r="Y742" s="859"/>
      <c r="Z742" s="860"/>
      <c r="AA742" s="860"/>
      <c r="AB742" s="860"/>
      <c r="AC742" s="860"/>
      <c r="AD742" s="860"/>
      <c r="AE742" s="860"/>
      <c r="AF742" s="860"/>
      <c r="AG742" s="860"/>
      <c r="AH742" s="860"/>
      <c r="AI742" s="860"/>
      <c r="AJ742" s="860"/>
      <c r="AK742" s="860"/>
      <c r="AL742" s="860"/>
      <c r="AM742" s="860"/>
      <c r="AN742" s="860"/>
      <c r="AO742" s="860"/>
      <c r="AP742" s="860"/>
      <c r="AQ742" s="860"/>
      <c r="AR742" s="860"/>
      <c r="AS742" s="860"/>
      <c r="AT742" s="860"/>
      <c r="AU742" s="860"/>
      <c r="AV742" s="860"/>
      <c r="AW742" s="860"/>
      <c r="AX742" s="860"/>
      <c r="AY742" s="860"/>
      <c r="AZ742" s="860"/>
      <c r="BA742" s="860"/>
      <c r="BB742" s="860"/>
      <c r="BC742" s="860"/>
      <c r="BD742" s="860"/>
      <c r="BE742" s="860"/>
      <c r="BF742" s="860"/>
      <c r="BG742" s="860"/>
      <c r="BH742" s="668"/>
      <c r="BI742" s="667"/>
      <c r="BJ742" s="690">
        <f t="shared" si="276"/>
        <v>0</v>
      </c>
      <c r="BK742" s="691">
        <f t="shared" si="277"/>
        <v>0</v>
      </c>
      <c r="BL742" s="654"/>
      <c r="BM742" s="692">
        <f>SUMIFS(Imput[Importe Neto],Imput[C. Imp.],$D742,Imput[PERIODO Imp.],BM$9)</f>
        <v>0</v>
      </c>
      <c r="BN742" s="693">
        <f>SUMIFS(Imput[Importe Neto],Imput[C. Imp.],$D742,Imput[PERIODO Imp.],BN$9)</f>
        <v>0</v>
      </c>
      <c r="BO742" s="693">
        <f>SUMIFS(Imput[Importe Neto],Imput[C. Imp.],$D742,Imput[PERIODO Imp.],BO$9)</f>
        <v>0</v>
      </c>
      <c r="BP742" s="693">
        <f>SUMIFS(Imput[Importe Neto],Imput[C. Imp.],$D742,Imput[PERIODO Imp.],BP$9)</f>
        <v>0</v>
      </c>
      <c r="BQ742" s="693">
        <f>SUMIFS(Imput[Importe Neto],Imput[C. Imp.],$D742,Imput[PERIODO Imp.],BQ$9)</f>
        <v>0</v>
      </c>
      <c r="BR742" s="693">
        <f>SUMIFS(Imput[Importe Neto],Imput[C. Imp.],$D742,Imput[PERIODO Imp.],BR$9)</f>
        <v>0</v>
      </c>
      <c r="BS742" s="693">
        <f>SUMIFS(Imput[Importe Neto],Imput[C. Imp.],$D742,Imput[PERIODO Imp.],BS$9)</f>
        <v>0</v>
      </c>
      <c r="BT742" s="693">
        <f>SUMIFS(Imput[Importe Neto],Imput[C. Imp.],$D742,Imput[PERIODO Imp.],BT$9)</f>
        <v>0</v>
      </c>
      <c r="BU742" s="693">
        <f>SUMIFS(Imput[Importe Neto],Imput[C. Imp.],$D742,Imput[PERIODO Imp.],BU$9)</f>
        <v>0</v>
      </c>
      <c r="BV742" s="693">
        <f>SUMIFS(Imput[Importe Neto],Imput[C. Imp.],$D742,Imput[PERIODO Imp.],BV$9)</f>
        <v>0</v>
      </c>
      <c r="BW742" s="693">
        <f>SUMIFS(Imput[Importe Neto],Imput[C. Imp.],$D742,Imput[PERIODO Imp.],BW$9)</f>
        <v>0</v>
      </c>
      <c r="BX742" s="693">
        <f>SUMIFS(Imput[Importe Neto],Imput[C. Imp.],$D742,Imput[PERIODO Imp.],BX$9)</f>
        <v>0</v>
      </c>
      <c r="BY742" s="693">
        <f>SUMIFS(Imput[Importe Neto],Imput[C. Imp.],$D742,Imput[PERIODO Imp.],BY$9)</f>
        <v>0</v>
      </c>
      <c r="BZ742" s="693">
        <f>SUMIFS(Imput[Importe Neto],Imput[C. Imp.],$D742,Imput[PERIODO Imp.],BZ$9)</f>
        <v>0</v>
      </c>
      <c r="CA742" s="693">
        <f>SUMIFS(Imput[Importe Neto],Imput[C. Imp.],$D742,Imput[PERIODO Imp.],CA$9)</f>
        <v>0</v>
      </c>
      <c r="CB742" s="693">
        <f>SUMIFS(Imput[Importe Neto],Imput[C. Imp.],$D742,Imput[PERIODO Imp.],CB$9)</f>
        <v>0</v>
      </c>
      <c r="CC742" s="693">
        <f>SUMIFS(Imput[Importe Neto],Imput[C. Imp.],$D742,Imput[PERIODO Imp.],CC$9)</f>
        <v>0</v>
      </c>
      <c r="CD742" s="693">
        <f>SUMIFS(Imput[Importe Neto],Imput[C. Imp.],$D742,Imput[PERIODO Imp.],CD$9)</f>
        <v>0</v>
      </c>
      <c r="CE742" s="693">
        <f>SUMIFS(Imput[Importe Neto],Imput[C. Imp.],$D742,Imput[PERIODO Imp.],CE$9)</f>
        <v>0</v>
      </c>
      <c r="CF742" s="693">
        <f>SUMIFS(Imput[Importe Neto],Imput[C. Imp.],$D742,Imput[PERIODO Imp.],CF$9)</f>
        <v>0</v>
      </c>
      <c r="CG742" s="693">
        <f>SUMIFS(Imput[Importe Neto],Imput[C. Imp.],$D742,Imput[PERIODO Imp.],CG$9)</f>
        <v>0</v>
      </c>
      <c r="CH742" s="693">
        <f>SUMIFS(Imput[Importe Neto],Imput[C. Imp.],$D742,Imput[PERIODO Imp.],CH$9)</f>
        <v>0</v>
      </c>
      <c r="CI742" s="693">
        <f>SUMIFS(Imput[Importe Neto],Imput[C. Imp.],$D742,Imput[PERIODO Imp.],CI$9)</f>
        <v>0</v>
      </c>
      <c r="CJ742" s="693">
        <f>SUMIFS(Imput[Importe Neto],Imput[C. Imp.],$D742,Imput[PERIODO Imp.],CJ$9)</f>
        <v>0</v>
      </c>
      <c r="CK742" s="693">
        <f>SUMIFS(Imput[Importe Neto],Imput[C. Imp.],$D742,Imput[PERIODO Imp.],CK$9)</f>
        <v>0</v>
      </c>
      <c r="CL742" s="693">
        <f>SUMIFS(Imput[Importe Neto],Imput[C. Imp.],$D742,Imput[PERIODO Imp.],CL$9)</f>
        <v>0</v>
      </c>
      <c r="CM742" s="693">
        <f>SUMIFS(Imput[Importe Neto],Imput[C. Imp.],$D742,Imput[PERIODO Imp.],CM$9)</f>
        <v>0</v>
      </c>
      <c r="CN742" s="693">
        <f>SUMIFS(Imput[Importe Neto],Imput[C. Imp.],$D742,Imput[PERIODO Imp.],CN$9)</f>
        <v>0</v>
      </c>
      <c r="CO742" s="693">
        <f>SUMIFS(Imput[Importe Neto],Imput[C. Imp.],$D742,Imput[PERIODO Imp.],CO$9)</f>
        <v>0</v>
      </c>
      <c r="CP742" s="693">
        <f>SUMIFS(Imput[Importe Neto],Imput[C. Imp.],$D742,Imput[PERIODO Imp.],CP$9)</f>
        <v>0</v>
      </c>
      <c r="CQ742" s="693">
        <f>SUMIFS(Imput[Importe Neto],Imput[C. Imp.],$D742,Imput[PERIODO Imp.],CQ$9)</f>
        <v>0</v>
      </c>
      <c r="CR742" s="693">
        <f>SUMIFS(Imput[Importe Neto],Imput[C. Imp.],$D742,Imput[PERIODO Imp.],CR$9)</f>
        <v>0</v>
      </c>
      <c r="CS742" s="693">
        <f>SUMIFS(Imput[Importe Neto],Imput[C. Imp.],$D742,Imput[PERIODO Imp.],CS$9)</f>
        <v>0</v>
      </c>
      <c r="CT742" s="693">
        <f>SUMIFS(Imput[Importe Neto],Imput[C. Imp.],$D742,Imput[PERIODO Imp.],CT$9)</f>
        <v>0</v>
      </c>
      <c r="CU742" s="693">
        <f>SUMIFS(Imput[Importe Neto],Imput[C. Imp.],$D742,Imput[PERIODO Imp.],CU$9)</f>
        <v>0</v>
      </c>
      <c r="CV742" s="693">
        <f>SUMIFS(Imput[Importe Neto],Imput[C. Imp.],$D742,Imput[PERIODO Imp.],CV$9)</f>
        <v>0</v>
      </c>
      <c r="CW742" s="693">
        <f>SUMIFS(Imput[Importe Neto],Imput[C. Imp.],$D742,Imput[PERIODO Imp.],CW$9)</f>
        <v>0</v>
      </c>
      <c r="CX742" s="693">
        <f>SUMIFS(Imput[Importe Neto],Imput[C. Imp.],$D742,Imput[PERIODO Imp.],CX$9)</f>
        <v>0</v>
      </c>
      <c r="CY742" s="693">
        <f>SUMIFS(Imput[Importe Neto],Imput[C. Imp.],$D742,Imput[PERIODO Imp.],CY$9)</f>
        <v>0</v>
      </c>
      <c r="CZ742" s="693">
        <f>SUMIFS(Imput[Importe Neto],Imput[C. Imp.],$D742,Imput[PERIODO Imp.],CZ$9)</f>
        <v>0</v>
      </c>
      <c r="DA742" s="693">
        <f>SUMIFS(Imput[Importe Neto],Imput[C. Imp.],$D742,Imput[PERIODO Imp.],DA$9)</f>
        <v>0</v>
      </c>
      <c r="DB742" s="693">
        <f>SUMIFS(Imput[Importe Neto],Imput[C. Imp.],$D742,Imput[PERIODO Imp.],DB$9)</f>
        <v>0</v>
      </c>
      <c r="DC742" s="693">
        <f>SUMIFS(Imput[Importe Neto],Imput[C. Imp.],$D742,Imput[PERIODO Imp.],DC$9)</f>
        <v>0</v>
      </c>
      <c r="DD742" s="693">
        <f>SUMIFS(Imput[Importe Neto],Imput[C. Imp.],$D742,Imput[PERIODO Imp.],DD$9)</f>
        <v>0</v>
      </c>
      <c r="DE742" s="693">
        <f>SUMIFS(Imput[Importe Neto],Imput[C. Imp.],$D742,Imput[PERIODO Imp.],DE$9)</f>
        <v>0</v>
      </c>
      <c r="DF742" s="693">
        <f>SUMIFS(Imput[Importe Neto],Imput[C. Imp.],$D742,Imput[PERIODO Imp.],DF$9)</f>
        <v>0</v>
      </c>
      <c r="DG742" s="693">
        <f>SUMIFS(Imput[Importe Neto],Imput[C. Imp.],$D742,Imput[PERIODO Imp.],DG$9)</f>
        <v>0</v>
      </c>
      <c r="DH742" s="694">
        <f>SUMIFS(Imput[Importe Neto],Imput[C. Imp.],$D742,Imput[PERIODO Imp.],DH$9)</f>
        <v>0</v>
      </c>
    </row>
    <row r="743" spans="1:112" s="649" customFormat="1" hidden="1" outlineLevel="1" x14ac:dyDescent="0.3">
      <c r="A743" s="652" t="str">
        <f t="shared" si="273"/>
        <v/>
      </c>
      <c r="B743" s="652"/>
      <c r="C743" s="685"/>
      <c r="D743" s="686" t="s">
        <v>2727</v>
      </c>
      <c r="E743" s="686"/>
      <c r="F743" s="720"/>
      <c r="G743" s="688"/>
      <c r="H743" s="689"/>
      <c r="I743" s="851" t="str">
        <f t="shared" si="274"/>
        <v/>
      </c>
      <c r="J743" s="850" t="str">
        <f t="shared" si="275"/>
        <v/>
      </c>
      <c r="K743" s="667"/>
      <c r="L743" s="858"/>
      <c r="M743" s="859"/>
      <c r="N743" s="859"/>
      <c r="O743" s="859"/>
      <c r="P743" s="859"/>
      <c r="Q743" s="859"/>
      <c r="R743" s="859"/>
      <c r="S743" s="859"/>
      <c r="T743" s="859"/>
      <c r="U743" s="859"/>
      <c r="V743" s="859"/>
      <c r="W743" s="859"/>
      <c r="X743" s="859"/>
      <c r="Y743" s="859"/>
      <c r="Z743" s="860"/>
      <c r="AA743" s="860"/>
      <c r="AB743" s="860"/>
      <c r="AC743" s="860"/>
      <c r="AD743" s="860"/>
      <c r="AE743" s="860"/>
      <c r="AF743" s="860"/>
      <c r="AG743" s="860"/>
      <c r="AH743" s="860"/>
      <c r="AI743" s="860"/>
      <c r="AJ743" s="860"/>
      <c r="AK743" s="860"/>
      <c r="AL743" s="860"/>
      <c r="AM743" s="860"/>
      <c r="AN743" s="860"/>
      <c r="AO743" s="860"/>
      <c r="AP743" s="860"/>
      <c r="AQ743" s="860"/>
      <c r="AR743" s="860"/>
      <c r="AS743" s="860"/>
      <c r="AT743" s="860"/>
      <c r="AU743" s="860"/>
      <c r="AV743" s="860"/>
      <c r="AW743" s="860"/>
      <c r="AX743" s="860"/>
      <c r="AY743" s="860"/>
      <c r="AZ743" s="860"/>
      <c r="BA743" s="860"/>
      <c r="BB743" s="860"/>
      <c r="BC743" s="860"/>
      <c r="BD743" s="860"/>
      <c r="BE743" s="860"/>
      <c r="BF743" s="860"/>
      <c r="BG743" s="860"/>
      <c r="BH743" s="668"/>
      <c r="BI743" s="667"/>
      <c r="BJ743" s="690">
        <f t="shared" si="276"/>
        <v>0</v>
      </c>
      <c r="BK743" s="691">
        <f t="shared" si="277"/>
        <v>0</v>
      </c>
      <c r="BL743" s="654"/>
      <c r="BM743" s="692">
        <f>SUMIFS(Imput[Importe Neto],Imput[C. Imp.],$D743,Imput[PERIODO Imp.],BM$9)</f>
        <v>0</v>
      </c>
      <c r="BN743" s="693">
        <f>SUMIFS(Imput[Importe Neto],Imput[C. Imp.],$D743,Imput[PERIODO Imp.],BN$9)</f>
        <v>0</v>
      </c>
      <c r="BO743" s="693">
        <f>SUMIFS(Imput[Importe Neto],Imput[C. Imp.],$D743,Imput[PERIODO Imp.],BO$9)</f>
        <v>0</v>
      </c>
      <c r="BP743" s="693">
        <f>SUMIFS(Imput[Importe Neto],Imput[C. Imp.],$D743,Imput[PERIODO Imp.],BP$9)</f>
        <v>0</v>
      </c>
      <c r="BQ743" s="693">
        <f>SUMIFS(Imput[Importe Neto],Imput[C. Imp.],$D743,Imput[PERIODO Imp.],BQ$9)</f>
        <v>0</v>
      </c>
      <c r="BR743" s="693">
        <f>SUMIFS(Imput[Importe Neto],Imput[C. Imp.],$D743,Imput[PERIODO Imp.],BR$9)</f>
        <v>0</v>
      </c>
      <c r="BS743" s="693">
        <f>SUMIFS(Imput[Importe Neto],Imput[C. Imp.],$D743,Imput[PERIODO Imp.],BS$9)</f>
        <v>0</v>
      </c>
      <c r="BT743" s="693">
        <f>SUMIFS(Imput[Importe Neto],Imput[C. Imp.],$D743,Imput[PERIODO Imp.],BT$9)</f>
        <v>0</v>
      </c>
      <c r="BU743" s="693">
        <f>SUMIFS(Imput[Importe Neto],Imput[C. Imp.],$D743,Imput[PERIODO Imp.],BU$9)</f>
        <v>0</v>
      </c>
      <c r="BV743" s="693">
        <f>SUMIFS(Imput[Importe Neto],Imput[C. Imp.],$D743,Imput[PERIODO Imp.],BV$9)</f>
        <v>0</v>
      </c>
      <c r="BW743" s="693">
        <f>SUMIFS(Imput[Importe Neto],Imput[C. Imp.],$D743,Imput[PERIODO Imp.],BW$9)</f>
        <v>0</v>
      </c>
      <c r="BX743" s="693">
        <f>SUMIFS(Imput[Importe Neto],Imput[C. Imp.],$D743,Imput[PERIODO Imp.],BX$9)</f>
        <v>0</v>
      </c>
      <c r="BY743" s="693">
        <f>SUMIFS(Imput[Importe Neto],Imput[C. Imp.],$D743,Imput[PERIODO Imp.],BY$9)</f>
        <v>0</v>
      </c>
      <c r="BZ743" s="693">
        <f>SUMIFS(Imput[Importe Neto],Imput[C. Imp.],$D743,Imput[PERIODO Imp.],BZ$9)</f>
        <v>0</v>
      </c>
      <c r="CA743" s="693">
        <f>SUMIFS(Imput[Importe Neto],Imput[C. Imp.],$D743,Imput[PERIODO Imp.],CA$9)</f>
        <v>0</v>
      </c>
      <c r="CB743" s="693">
        <f>SUMIFS(Imput[Importe Neto],Imput[C. Imp.],$D743,Imput[PERIODO Imp.],CB$9)</f>
        <v>0</v>
      </c>
      <c r="CC743" s="693">
        <f>SUMIFS(Imput[Importe Neto],Imput[C. Imp.],$D743,Imput[PERIODO Imp.],CC$9)</f>
        <v>0</v>
      </c>
      <c r="CD743" s="693">
        <f>SUMIFS(Imput[Importe Neto],Imput[C. Imp.],$D743,Imput[PERIODO Imp.],CD$9)</f>
        <v>0</v>
      </c>
      <c r="CE743" s="693">
        <f>SUMIFS(Imput[Importe Neto],Imput[C. Imp.],$D743,Imput[PERIODO Imp.],CE$9)</f>
        <v>0</v>
      </c>
      <c r="CF743" s="693">
        <f>SUMIFS(Imput[Importe Neto],Imput[C. Imp.],$D743,Imput[PERIODO Imp.],CF$9)</f>
        <v>0</v>
      </c>
      <c r="CG743" s="693">
        <f>SUMIFS(Imput[Importe Neto],Imput[C. Imp.],$D743,Imput[PERIODO Imp.],CG$9)</f>
        <v>0</v>
      </c>
      <c r="CH743" s="693">
        <f>SUMIFS(Imput[Importe Neto],Imput[C. Imp.],$D743,Imput[PERIODO Imp.],CH$9)</f>
        <v>0</v>
      </c>
      <c r="CI743" s="693">
        <f>SUMIFS(Imput[Importe Neto],Imput[C. Imp.],$D743,Imput[PERIODO Imp.],CI$9)</f>
        <v>0</v>
      </c>
      <c r="CJ743" s="693">
        <f>SUMIFS(Imput[Importe Neto],Imput[C. Imp.],$D743,Imput[PERIODO Imp.],CJ$9)</f>
        <v>0</v>
      </c>
      <c r="CK743" s="693">
        <f>SUMIFS(Imput[Importe Neto],Imput[C. Imp.],$D743,Imput[PERIODO Imp.],CK$9)</f>
        <v>0</v>
      </c>
      <c r="CL743" s="693">
        <f>SUMIFS(Imput[Importe Neto],Imput[C. Imp.],$D743,Imput[PERIODO Imp.],CL$9)</f>
        <v>0</v>
      </c>
      <c r="CM743" s="693">
        <f>SUMIFS(Imput[Importe Neto],Imput[C. Imp.],$D743,Imput[PERIODO Imp.],CM$9)</f>
        <v>0</v>
      </c>
      <c r="CN743" s="693">
        <f>SUMIFS(Imput[Importe Neto],Imput[C. Imp.],$D743,Imput[PERIODO Imp.],CN$9)</f>
        <v>0</v>
      </c>
      <c r="CO743" s="693">
        <f>SUMIFS(Imput[Importe Neto],Imput[C. Imp.],$D743,Imput[PERIODO Imp.],CO$9)</f>
        <v>0</v>
      </c>
      <c r="CP743" s="693">
        <f>SUMIFS(Imput[Importe Neto],Imput[C. Imp.],$D743,Imput[PERIODO Imp.],CP$9)</f>
        <v>0</v>
      </c>
      <c r="CQ743" s="693">
        <f>SUMIFS(Imput[Importe Neto],Imput[C. Imp.],$D743,Imput[PERIODO Imp.],CQ$9)</f>
        <v>0</v>
      </c>
      <c r="CR743" s="693">
        <f>SUMIFS(Imput[Importe Neto],Imput[C. Imp.],$D743,Imput[PERIODO Imp.],CR$9)</f>
        <v>0</v>
      </c>
      <c r="CS743" s="693">
        <f>SUMIFS(Imput[Importe Neto],Imput[C. Imp.],$D743,Imput[PERIODO Imp.],CS$9)</f>
        <v>0</v>
      </c>
      <c r="CT743" s="693">
        <f>SUMIFS(Imput[Importe Neto],Imput[C. Imp.],$D743,Imput[PERIODO Imp.],CT$9)</f>
        <v>0</v>
      </c>
      <c r="CU743" s="693">
        <f>SUMIFS(Imput[Importe Neto],Imput[C. Imp.],$D743,Imput[PERIODO Imp.],CU$9)</f>
        <v>0</v>
      </c>
      <c r="CV743" s="693">
        <f>SUMIFS(Imput[Importe Neto],Imput[C. Imp.],$D743,Imput[PERIODO Imp.],CV$9)</f>
        <v>0</v>
      </c>
      <c r="CW743" s="693">
        <f>SUMIFS(Imput[Importe Neto],Imput[C. Imp.],$D743,Imput[PERIODO Imp.],CW$9)</f>
        <v>0</v>
      </c>
      <c r="CX743" s="693">
        <f>SUMIFS(Imput[Importe Neto],Imput[C. Imp.],$D743,Imput[PERIODO Imp.],CX$9)</f>
        <v>0</v>
      </c>
      <c r="CY743" s="693">
        <f>SUMIFS(Imput[Importe Neto],Imput[C. Imp.],$D743,Imput[PERIODO Imp.],CY$9)</f>
        <v>0</v>
      </c>
      <c r="CZ743" s="693">
        <f>SUMIFS(Imput[Importe Neto],Imput[C. Imp.],$D743,Imput[PERIODO Imp.],CZ$9)</f>
        <v>0</v>
      </c>
      <c r="DA743" s="693">
        <f>SUMIFS(Imput[Importe Neto],Imput[C. Imp.],$D743,Imput[PERIODO Imp.],DA$9)</f>
        <v>0</v>
      </c>
      <c r="DB743" s="693">
        <f>SUMIFS(Imput[Importe Neto],Imput[C. Imp.],$D743,Imput[PERIODO Imp.],DB$9)</f>
        <v>0</v>
      </c>
      <c r="DC743" s="693">
        <f>SUMIFS(Imput[Importe Neto],Imput[C. Imp.],$D743,Imput[PERIODO Imp.],DC$9)</f>
        <v>0</v>
      </c>
      <c r="DD743" s="693">
        <f>SUMIFS(Imput[Importe Neto],Imput[C. Imp.],$D743,Imput[PERIODO Imp.],DD$9)</f>
        <v>0</v>
      </c>
      <c r="DE743" s="693">
        <f>SUMIFS(Imput[Importe Neto],Imput[C. Imp.],$D743,Imput[PERIODO Imp.],DE$9)</f>
        <v>0</v>
      </c>
      <c r="DF743" s="693">
        <f>SUMIFS(Imput[Importe Neto],Imput[C. Imp.],$D743,Imput[PERIODO Imp.],DF$9)</f>
        <v>0</v>
      </c>
      <c r="DG743" s="693">
        <f>SUMIFS(Imput[Importe Neto],Imput[C. Imp.],$D743,Imput[PERIODO Imp.],DG$9)</f>
        <v>0</v>
      </c>
      <c r="DH743" s="694">
        <f>SUMIFS(Imput[Importe Neto],Imput[C. Imp.],$D743,Imput[PERIODO Imp.],DH$9)</f>
        <v>0</v>
      </c>
    </row>
    <row r="744" spans="1:112" s="649" customFormat="1" hidden="1" outlineLevel="1" x14ac:dyDescent="0.3">
      <c r="A744" s="652" t="str">
        <f t="shared" si="273"/>
        <v/>
      </c>
      <c r="B744" s="652"/>
      <c r="C744" s="685"/>
      <c r="D744" s="686" t="s">
        <v>2728</v>
      </c>
      <c r="E744" s="686"/>
      <c r="F744" s="720"/>
      <c r="G744" s="688"/>
      <c r="H744" s="689"/>
      <c r="I744" s="851" t="str">
        <f t="shared" si="274"/>
        <v/>
      </c>
      <c r="J744" s="850" t="str">
        <f t="shared" si="275"/>
        <v/>
      </c>
      <c r="K744" s="667"/>
      <c r="L744" s="858"/>
      <c r="M744" s="859"/>
      <c r="N744" s="859"/>
      <c r="O744" s="859"/>
      <c r="P744" s="859"/>
      <c r="Q744" s="859"/>
      <c r="R744" s="859"/>
      <c r="S744" s="859"/>
      <c r="T744" s="859"/>
      <c r="U744" s="859"/>
      <c r="V744" s="859"/>
      <c r="W744" s="859"/>
      <c r="X744" s="859"/>
      <c r="Y744" s="859"/>
      <c r="Z744" s="860"/>
      <c r="AA744" s="860"/>
      <c r="AB744" s="860"/>
      <c r="AC744" s="860"/>
      <c r="AD744" s="860"/>
      <c r="AE744" s="860"/>
      <c r="AF744" s="860"/>
      <c r="AG744" s="860"/>
      <c r="AH744" s="860"/>
      <c r="AI744" s="860"/>
      <c r="AJ744" s="860"/>
      <c r="AK744" s="860"/>
      <c r="AL744" s="860"/>
      <c r="AM744" s="860"/>
      <c r="AN744" s="860"/>
      <c r="AO744" s="860"/>
      <c r="AP744" s="860"/>
      <c r="AQ744" s="860"/>
      <c r="AR744" s="860"/>
      <c r="AS744" s="860"/>
      <c r="AT744" s="860"/>
      <c r="AU744" s="860"/>
      <c r="AV744" s="860"/>
      <c r="AW744" s="860"/>
      <c r="AX744" s="860"/>
      <c r="AY744" s="860"/>
      <c r="AZ744" s="860"/>
      <c r="BA744" s="860"/>
      <c r="BB744" s="860"/>
      <c r="BC744" s="860"/>
      <c r="BD744" s="860"/>
      <c r="BE744" s="860"/>
      <c r="BF744" s="860"/>
      <c r="BG744" s="860"/>
      <c r="BH744" s="668"/>
      <c r="BI744" s="667"/>
      <c r="BJ744" s="690">
        <f t="shared" si="276"/>
        <v>0</v>
      </c>
      <c r="BK744" s="691">
        <f t="shared" si="277"/>
        <v>0</v>
      </c>
      <c r="BL744" s="654"/>
      <c r="BM744" s="692">
        <f>SUMIFS(Imput[Importe Neto],Imput[C. Imp.],$D744,Imput[PERIODO Imp.],BM$9)</f>
        <v>0</v>
      </c>
      <c r="BN744" s="693">
        <f>SUMIFS(Imput[Importe Neto],Imput[C. Imp.],$D744,Imput[PERIODO Imp.],BN$9)</f>
        <v>0</v>
      </c>
      <c r="BO744" s="693">
        <f>SUMIFS(Imput[Importe Neto],Imput[C. Imp.],$D744,Imput[PERIODO Imp.],BO$9)</f>
        <v>0</v>
      </c>
      <c r="BP744" s="693">
        <f>SUMIFS(Imput[Importe Neto],Imput[C. Imp.],$D744,Imput[PERIODO Imp.],BP$9)</f>
        <v>0</v>
      </c>
      <c r="BQ744" s="693">
        <f>SUMIFS(Imput[Importe Neto],Imput[C. Imp.],$D744,Imput[PERIODO Imp.],BQ$9)</f>
        <v>0</v>
      </c>
      <c r="BR744" s="693">
        <f>SUMIFS(Imput[Importe Neto],Imput[C. Imp.],$D744,Imput[PERIODO Imp.],BR$9)</f>
        <v>0</v>
      </c>
      <c r="BS744" s="693">
        <f>SUMIFS(Imput[Importe Neto],Imput[C. Imp.],$D744,Imput[PERIODO Imp.],BS$9)</f>
        <v>0</v>
      </c>
      <c r="BT744" s="693">
        <f>SUMIFS(Imput[Importe Neto],Imput[C. Imp.],$D744,Imput[PERIODO Imp.],BT$9)</f>
        <v>0</v>
      </c>
      <c r="BU744" s="693">
        <f>SUMIFS(Imput[Importe Neto],Imput[C. Imp.],$D744,Imput[PERIODO Imp.],BU$9)</f>
        <v>0</v>
      </c>
      <c r="BV744" s="693">
        <f>SUMIFS(Imput[Importe Neto],Imput[C. Imp.],$D744,Imput[PERIODO Imp.],BV$9)</f>
        <v>0</v>
      </c>
      <c r="BW744" s="693">
        <f>SUMIFS(Imput[Importe Neto],Imput[C. Imp.],$D744,Imput[PERIODO Imp.],BW$9)</f>
        <v>0</v>
      </c>
      <c r="BX744" s="693">
        <f>SUMIFS(Imput[Importe Neto],Imput[C. Imp.],$D744,Imput[PERIODO Imp.],BX$9)</f>
        <v>0</v>
      </c>
      <c r="BY744" s="693">
        <f>SUMIFS(Imput[Importe Neto],Imput[C. Imp.],$D744,Imput[PERIODO Imp.],BY$9)</f>
        <v>0</v>
      </c>
      <c r="BZ744" s="693">
        <f>SUMIFS(Imput[Importe Neto],Imput[C. Imp.],$D744,Imput[PERIODO Imp.],BZ$9)</f>
        <v>0</v>
      </c>
      <c r="CA744" s="693">
        <f>SUMIFS(Imput[Importe Neto],Imput[C. Imp.],$D744,Imput[PERIODO Imp.],CA$9)</f>
        <v>0</v>
      </c>
      <c r="CB744" s="693">
        <f>SUMIFS(Imput[Importe Neto],Imput[C. Imp.],$D744,Imput[PERIODO Imp.],CB$9)</f>
        <v>0</v>
      </c>
      <c r="CC744" s="693">
        <f>SUMIFS(Imput[Importe Neto],Imput[C. Imp.],$D744,Imput[PERIODO Imp.],CC$9)</f>
        <v>0</v>
      </c>
      <c r="CD744" s="693">
        <f>SUMIFS(Imput[Importe Neto],Imput[C. Imp.],$D744,Imput[PERIODO Imp.],CD$9)</f>
        <v>0</v>
      </c>
      <c r="CE744" s="693">
        <f>SUMIFS(Imput[Importe Neto],Imput[C. Imp.],$D744,Imput[PERIODO Imp.],CE$9)</f>
        <v>0</v>
      </c>
      <c r="CF744" s="693">
        <f>SUMIFS(Imput[Importe Neto],Imput[C. Imp.],$D744,Imput[PERIODO Imp.],CF$9)</f>
        <v>0</v>
      </c>
      <c r="CG744" s="693">
        <f>SUMIFS(Imput[Importe Neto],Imput[C. Imp.],$D744,Imput[PERIODO Imp.],CG$9)</f>
        <v>0</v>
      </c>
      <c r="CH744" s="693">
        <f>SUMIFS(Imput[Importe Neto],Imput[C. Imp.],$D744,Imput[PERIODO Imp.],CH$9)</f>
        <v>0</v>
      </c>
      <c r="CI744" s="693">
        <f>SUMIFS(Imput[Importe Neto],Imput[C. Imp.],$D744,Imput[PERIODO Imp.],CI$9)</f>
        <v>0</v>
      </c>
      <c r="CJ744" s="693">
        <f>SUMIFS(Imput[Importe Neto],Imput[C. Imp.],$D744,Imput[PERIODO Imp.],CJ$9)</f>
        <v>0</v>
      </c>
      <c r="CK744" s="693">
        <f>SUMIFS(Imput[Importe Neto],Imput[C. Imp.],$D744,Imput[PERIODO Imp.],CK$9)</f>
        <v>0</v>
      </c>
      <c r="CL744" s="693">
        <f>SUMIFS(Imput[Importe Neto],Imput[C. Imp.],$D744,Imput[PERIODO Imp.],CL$9)</f>
        <v>0</v>
      </c>
      <c r="CM744" s="693">
        <f>SUMIFS(Imput[Importe Neto],Imput[C. Imp.],$D744,Imput[PERIODO Imp.],CM$9)</f>
        <v>0</v>
      </c>
      <c r="CN744" s="693">
        <f>SUMIFS(Imput[Importe Neto],Imput[C. Imp.],$D744,Imput[PERIODO Imp.],CN$9)</f>
        <v>0</v>
      </c>
      <c r="CO744" s="693">
        <f>SUMIFS(Imput[Importe Neto],Imput[C. Imp.],$D744,Imput[PERIODO Imp.],CO$9)</f>
        <v>0</v>
      </c>
      <c r="CP744" s="693">
        <f>SUMIFS(Imput[Importe Neto],Imput[C. Imp.],$D744,Imput[PERIODO Imp.],CP$9)</f>
        <v>0</v>
      </c>
      <c r="CQ744" s="693">
        <f>SUMIFS(Imput[Importe Neto],Imput[C. Imp.],$D744,Imput[PERIODO Imp.],CQ$9)</f>
        <v>0</v>
      </c>
      <c r="CR744" s="693">
        <f>SUMIFS(Imput[Importe Neto],Imput[C. Imp.],$D744,Imput[PERIODO Imp.],CR$9)</f>
        <v>0</v>
      </c>
      <c r="CS744" s="693">
        <f>SUMIFS(Imput[Importe Neto],Imput[C. Imp.],$D744,Imput[PERIODO Imp.],CS$9)</f>
        <v>0</v>
      </c>
      <c r="CT744" s="693">
        <f>SUMIFS(Imput[Importe Neto],Imput[C. Imp.],$D744,Imput[PERIODO Imp.],CT$9)</f>
        <v>0</v>
      </c>
      <c r="CU744" s="693">
        <f>SUMIFS(Imput[Importe Neto],Imput[C. Imp.],$D744,Imput[PERIODO Imp.],CU$9)</f>
        <v>0</v>
      </c>
      <c r="CV744" s="693">
        <f>SUMIFS(Imput[Importe Neto],Imput[C. Imp.],$D744,Imput[PERIODO Imp.],CV$9)</f>
        <v>0</v>
      </c>
      <c r="CW744" s="693">
        <f>SUMIFS(Imput[Importe Neto],Imput[C. Imp.],$D744,Imput[PERIODO Imp.],CW$9)</f>
        <v>0</v>
      </c>
      <c r="CX744" s="693">
        <f>SUMIFS(Imput[Importe Neto],Imput[C. Imp.],$D744,Imput[PERIODO Imp.],CX$9)</f>
        <v>0</v>
      </c>
      <c r="CY744" s="693">
        <f>SUMIFS(Imput[Importe Neto],Imput[C. Imp.],$D744,Imput[PERIODO Imp.],CY$9)</f>
        <v>0</v>
      </c>
      <c r="CZ744" s="693">
        <f>SUMIFS(Imput[Importe Neto],Imput[C. Imp.],$D744,Imput[PERIODO Imp.],CZ$9)</f>
        <v>0</v>
      </c>
      <c r="DA744" s="693">
        <f>SUMIFS(Imput[Importe Neto],Imput[C. Imp.],$D744,Imput[PERIODO Imp.],DA$9)</f>
        <v>0</v>
      </c>
      <c r="DB744" s="693">
        <f>SUMIFS(Imput[Importe Neto],Imput[C. Imp.],$D744,Imput[PERIODO Imp.],DB$9)</f>
        <v>0</v>
      </c>
      <c r="DC744" s="693">
        <f>SUMIFS(Imput[Importe Neto],Imput[C. Imp.],$D744,Imput[PERIODO Imp.],DC$9)</f>
        <v>0</v>
      </c>
      <c r="DD744" s="693">
        <f>SUMIFS(Imput[Importe Neto],Imput[C. Imp.],$D744,Imput[PERIODO Imp.],DD$9)</f>
        <v>0</v>
      </c>
      <c r="DE744" s="693">
        <f>SUMIFS(Imput[Importe Neto],Imput[C. Imp.],$D744,Imput[PERIODO Imp.],DE$9)</f>
        <v>0</v>
      </c>
      <c r="DF744" s="693">
        <f>SUMIFS(Imput[Importe Neto],Imput[C. Imp.],$D744,Imput[PERIODO Imp.],DF$9)</f>
        <v>0</v>
      </c>
      <c r="DG744" s="693">
        <f>SUMIFS(Imput[Importe Neto],Imput[C. Imp.],$D744,Imput[PERIODO Imp.],DG$9)</f>
        <v>0</v>
      </c>
      <c r="DH744" s="694">
        <f>SUMIFS(Imput[Importe Neto],Imput[C. Imp.],$D744,Imput[PERIODO Imp.],DH$9)</f>
        <v>0</v>
      </c>
    </row>
    <row r="745" spans="1:112" s="649" customFormat="1" hidden="1" outlineLevel="1" x14ac:dyDescent="0.3">
      <c r="A745" s="652" t="str">
        <f t="shared" si="273"/>
        <v/>
      </c>
      <c r="B745" s="652"/>
      <c r="C745" s="685"/>
      <c r="D745" s="686" t="s">
        <v>2729</v>
      </c>
      <c r="E745" s="686"/>
      <c r="F745" s="720"/>
      <c r="G745" s="688"/>
      <c r="H745" s="689"/>
      <c r="I745" s="851" t="str">
        <f t="shared" si="274"/>
        <v/>
      </c>
      <c r="J745" s="850" t="str">
        <f t="shared" si="275"/>
        <v/>
      </c>
      <c r="K745" s="667"/>
      <c r="L745" s="858"/>
      <c r="M745" s="859"/>
      <c r="N745" s="859"/>
      <c r="O745" s="859"/>
      <c r="P745" s="859"/>
      <c r="Q745" s="859"/>
      <c r="R745" s="859"/>
      <c r="S745" s="859"/>
      <c r="T745" s="859"/>
      <c r="U745" s="859"/>
      <c r="V745" s="859"/>
      <c r="W745" s="859"/>
      <c r="X745" s="859"/>
      <c r="Y745" s="859"/>
      <c r="Z745" s="860"/>
      <c r="AA745" s="860"/>
      <c r="AB745" s="860"/>
      <c r="AC745" s="860"/>
      <c r="AD745" s="860"/>
      <c r="AE745" s="860"/>
      <c r="AF745" s="860"/>
      <c r="AG745" s="860"/>
      <c r="AH745" s="860"/>
      <c r="AI745" s="860"/>
      <c r="AJ745" s="860"/>
      <c r="AK745" s="860"/>
      <c r="AL745" s="860"/>
      <c r="AM745" s="860"/>
      <c r="AN745" s="860"/>
      <c r="AO745" s="860"/>
      <c r="AP745" s="860"/>
      <c r="AQ745" s="860"/>
      <c r="AR745" s="860"/>
      <c r="AS745" s="860"/>
      <c r="AT745" s="860"/>
      <c r="AU745" s="860"/>
      <c r="AV745" s="860"/>
      <c r="AW745" s="860"/>
      <c r="AX745" s="860"/>
      <c r="AY745" s="860"/>
      <c r="AZ745" s="860"/>
      <c r="BA745" s="860"/>
      <c r="BB745" s="860"/>
      <c r="BC745" s="860"/>
      <c r="BD745" s="860"/>
      <c r="BE745" s="860"/>
      <c r="BF745" s="860"/>
      <c r="BG745" s="860"/>
      <c r="BH745" s="780"/>
      <c r="BI745" s="654"/>
      <c r="BJ745" s="690">
        <f t="shared" si="276"/>
        <v>0</v>
      </c>
      <c r="BK745" s="691">
        <f t="shared" si="277"/>
        <v>0</v>
      </c>
      <c r="BL745" s="654"/>
      <c r="BM745" s="692">
        <f>SUMIFS(Imput[Importe Neto],Imput[C. Imp.],$D745,Imput[PERIODO Imp.],BM$9)</f>
        <v>0</v>
      </c>
      <c r="BN745" s="693">
        <f>SUMIFS(Imput[Importe Neto],Imput[C. Imp.],$D745,Imput[PERIODO Imp.],BN$9)</f>
        <v>0</v>
      </c>
      <c r="BO745" s="693">
        <f>SUMIFS(Imput[Importe Neto],Imput[C. Imp.],$D745,Imput[PERIODO Imp.],BO$9)</f>
        <v>0</v>
      </c>
      <c r="BP745" s="693">
        <f>SUMIFS(Imput[Importe Neto],Imput[C. Imp.],$D745,Imput[PERIODO Imp.],BP$9)</f>
        <v>0</v>
      </c>
      <c r="BQ745" s="693">
        <f>SUMIFS(Imput[Importe Neto],Imput[C. Imp.],$D745,Imput[PERIODO Imp.],BQ$9)</f>
        <v>0</v>
      </c>
      <c r="BR745" s="693">
        <f>SUMIFS(Imput[Importe Neto],Imput[C. Imp.],$D745,Imput[PERIODO Imp.],BR$9)</f>
        <v>0</v>
      </c>
      <c r="BS745" s="693">
        <f>SUMIFS(Imput[Importe Neto],Imput[C. Imp.],$D745,Imput[PERIODO Imp.],BS$9)</f>
        <v>0</v>
      </c>
      <c r="BT745" s="693">
        <f>SUMIFS(Imput[Importe Neto],Imput[C. Imp.],$D745,Imput[PERIODO Imp.],BT$9)</f>
        <v>0</v>
      </c>
      <c r="BU745" s="693">
        <f>SUMIFS(Imput[Importe Neto],Imput[C. Imp.],$D745,Imput[PERIODO Imp.],BU$9)</f>
        <v>0</v>
      </c>
      <c r="BV745" s="693">
        <f>SUMIFS(Imput[Importe Neto],Imput[C. Imp.],$D745,Imput[PERIODO Imp.],BV$9)</f>
        <v>0</v>
      </c>
      <c r="BW745" s="693">
        <f>SUMIFS(Imput[Importe Neto],Imput[C. Imp.],$D745,Imput[PERIODO Imp.],BW$9)</f>
        <v>0</v>
      </c>
      <c r="BX745" s="693">
        <f>SUMIFS(Imput[Importe Neto],Imput[C. Imp.],$D745,Imput[PERIODO Imp.],BX$9)</f>
        <v>0</v>
      </c>
      <c r="BY745" s="693">
        <f>SUMIFS(Imput[Importe Neto],Imput[C. Imp.],$D745,Imput[PERIODO Imp.],BY$9)</f>
        <v>0</v>
      </c>
      <c r="BZ745" s="693">
        <f>SUMIFS(Imput[Importe Neto],Imput[C. Imp.],$D745,Imput[PERIODO Imp.],BZ$9)</f>
        <v>0</v>
      </c>
      <c r="CA745" s="693">
        <f>SUMIFS(Imput[Importe Neto],Imput[C. Imp.],$D745,Imput[PERIODO Imp.],CA$9)</f>
        <v>0</v>
      </c>
      <c r="CB745" s="693">
        <f>SUMIFS(Imput[Importe Neto],Imput[C. Imp.],$D745,Imput[PERIODO Imp.],CB$9)</f>
        <v>0</v>
      </c>
      <c r="CC745" s="693">
        <f>SUMIFS(Imput[Importe Neto],Imput[C. Imp.],$D745,Imput[PERIODO Imp.],CC$9)</f>
        <v>0</v>
      </c>
      <c r="CD745" s="693">
        <f>SUMIFS(Imput[Importe Neto],Imput[C. Imp.],$D745,Imput[PERIODO Imp.],CD$9)</f>
        <v>0</v>
      </c>
      <c r="CE745" s="693">
        <f>SUMIFS(Imput[Importe Neto],Imput[C. Imp.],$D745,Imput[PERIODO Imp.],CE$9)</f>
        <v>0</v>
      </c>
      <c r="CF745" s="693">
        <f>SUMIFS(Imput[Importe Neto],Imput[C. Imp.],$D745,Imput[PERIODO Imp.],CF$9)</f>
        <v>0</v>
      </c>
      <c r="CG745" s="693">
        <f>SUMIFS(Imput[Importe Neto],Imput[C. Imp.],$D745,Imput[PERIODO Imp.],CG$9)</f>
        <v>0</v>
      </c>
      <c r="CH745" s="693">
        <f>SUMIFS(Imput[Importe Neto],Imput[C. Imp.],$D745,Imput[PERIODO Imp.],CH$9)</f>
        <v>0</v>
      </c>
      <c r="CI745" s="693">
        <f>SUMIFS(Imput[Importe Neto],Imput[C. Imp.],$D745,Imput[PERIODO Imp.],CI$9)</f>
        <v>0</v>
      </c>
      <c r="CJ745" s="693">
        <f>SUMIFS(Imput[Importe Neto],Imput[C. Imp.],$D745,Imput[PERIODO Imp.],CJ$9)</f>
        <v>0</v>
      </c>
      <c r="CK745" s="693">
        <f>SUMIFS(Imput[Importe Neto],Imput[C. Imp.],$D745,Imput[PERIODO Imp.],CK$9)</f>
        <v>0</v>
      </c>
      <c r="CL745" s="693">
        <f>SUMIFS(Imput[Importe Neto],Imput[C. Imp.],$D745,Imput[PERIODO Imp.],CL$9)</f>
        <v>0</v>
      </c>
      <c r="CM745" s="693">
        <f>SUMIFS(Imput[Importe Neto],Imput[C. Imp.],$D745,Imput[PERIODO Imp.],CM$9)</f>
        <v>0</v>
      </c>
      <c r="CN745" s="693">
        <f>SUMIFS(Imput[Importe Neto],Imput[C. Imp.],$D745,Imput[PERIODO Imp.],CN$9)</f>
        <v>0</v>
      </c>
      <c r="CO745" s="693">
        <f>SUMIFS(Imput[Importe Neto],Imput[C. Imp.],$D745,Imput[PERIODO Imp.],CO$9)</f>
        <v>0</v>
      </c>
      <c r="CP745" s="693">
        <f>SUMIFS(Imput[Importe Neto],Imput[C. Imp.],$D745,Imput[PERIODO Imp.],CP$9)</f>
        <v>0</v>
      </c>
      <c r="CQ745" s="693">
        <f>SUMIFS(Imput[Importe Neto],Imput[C. Imp.],$D745,Imput[PERIODO Imp.],CQ$9)</f>
        <v>0</v>
      </c>
      <c r="CR745" s="693">
        <f>SUMIFS(Imput[Importe Neto],Imput[C. Imp.],$D745,Imput[PERIODO Imp.],CR$9)</f>
        <v>0</v>
      </c>
      <c r="CS745" s="693">
        <f>SUMIFS(Imput[Importe Neto],Imput[C. Imp.],$D745,Imput[PERIODO Imp.],CS$9)</f>
        <v>0</v>
      </c>
      <c r="CT745" s="693">
        <f>SUMIFS(Imput[Importe Neto],Imput[C. Imp.],$D745,Imput[PERIODO Imp.],CT$9)</f>
        <v>0</v>
      </c>
      <c r="CU745" s="693">
        <f>SUMIFS(Imput[Importe Neto],Imput[C. Imp.],$D745,Imput[PERIODO Imp.],CU$9)</f>
        <v>0</v>
      </c>
      <c r="CV745" s="693">
        <f>SUMIFS(Imput[Importe Neto],Imput[C. Imp.],$D745,Imput[PERIODO Imp.],CV$9)</f>
        <v>0</v>
      </c>
      <c r="CW745" s="693">
        <f>SUMIFS(Imput[Importe Neto],Imput[C. Imp.],$D745,Imput[PERIODO Imp.],CW$9)</f>
        <v>0</v>
      </c>
      <c r="CX745" s="693">
        <f>SUMIFS(Imput[Importe Neto],Imput[C. Imp.],$D745,Imput[PERIODO Imp.],CX$9)</f>
        <v>0</v>
      </c>
      <c r="CY745" s="693">
        <f>SUMIFS(Imput[Importe Neto],Imput[C. Imp.],$D745,Imput[PERIODO Imp.],CY$9)</f>
        <v>0</v>
      </c>
      <c r="CZ745" s="693">
        <f>SUMIFS(Imput[Importe Neto],Imput[C. Imp.],$D745,Imput[PERIODO Imp.],CZ$9)</f>
        <v>0</v>
      </c>
      <c r="DA745" s="693">
        <f>SUMIFS(Imput[Importe Neto],Imput[C. Imp.],$D745,Imput[PERIODO Imp.],DA$9)</f>
        <v>0</v>
      </c>
      <c r="DB745" s="693">
        <f>SUMIFS(Imput[Importe Neto],Imput[C. Imp.],$D745,Imput[PERIODO Imp.],DB$9)</f>
        <v>0</v>
      </c>
      <c r="DC745" s="693">
        <f>SUMIFS(Imput[Importe Neto],Imput[C. Imp.],$D745,Imput[PERIODO Imp.],DC$9)</f>
        <v>0</v>
      </c>
      <c r="DD745" s="693">
        <f>SUMIFS(Imput[Importe Neto],Imput[C. Imp.],$D745,Imput[PERIODO Imp.],DD$9)</f>
        <v>0</v>
      </c>
      <c r="DE745" s="693">
        <f>SUMIFS(Imput[Importe Neto],Imput[C. Imp.],$D745,Imput[PERIODO Imp.],DE$9)</f>
        <v>0</v>
      </c>
      <c r="DF745" s="693">
        <f>SUMIFS(Imput[Importe Neto],Imput[C. Imp.],$D745,Imput[PERIODO Imp.],DF$9)</f>
        <v>0</v>
      </c>
      <c r="DG745" s="693">
        <f>SUMIFS(Imput[Importe Neto],Imput[C. Imp.],$D745,Imput[PERIODO Imp.],DG$9)</f>
        <v>0</v>
      </c>
      <c r="DH745" s="694">
        <f>SUMIFS(Imput[Importe Neto],Imput[C. Imp.],$D745,Imput[PERIODO Imp.],DH$9)</f>
        <v>0</v>
      </c>
    </row>
    <row r="746" spans="1:112" s="649" customFormat="1" hidden="1" outlineLevel="1" x14ac:dyDescent="0.3">
      <c r="A746" s="652" t="str">
        <f t="shared" si="273"/>
        <v/>
      </c>
      <c r="B746" s="652"/>
      <c r="C746" s="685"/>
      <c r="D746" s="686" t="s">
        <v>2730</v>
      </c>
      <c r="E746" s="686"/>
      <c r="F746" s="720"/>
      <c r="G746" s="688"/>
      <c r="H746" s="689"/>
      <c r="I746" s="851" t="str">
        <f t="shared" si="274"/>
        <v/>
      </c>
      <c r="J746" s="850" t="str">
        <f t="shared" si="275"/>
        <v/>
      </c>
      <c r="K746" s="678"/>
      <c r="L746" s="858"/>
      <c r="M746" s="859"/>
      <c r="N746" s="859"/>
      <c r="O746" s="859"/>
      <c r="P746" s="859"/>
      <c r="Q746" s="859"/>
      <c r="R746" s="859"/>
      <c r="S746" s="859"/>
      <c r="T746" s="859"/>
      <c r="U746" s="859"/>
      <c r="V746" s="859"/>
      <c r="W746" s="859"/>
      <c r="X746" s="859"/>
      <c r="Y746" s="859"/>
      <c r="Z746" s="860"/>
      <c r="AA746" s="860"/>
      <c r="AB746" s="860"/>
      <c r="AC746" s="860"/>
      <c r="AD746" s="860"/>
      <c r="AE746" s="860"/>
      <c r="AF746" s="860"/>
      <c r="AG746" s="860"/>
      <c r="AH746" s="860"/>
      <c r="AI746" s="860"/>
      <c r="AJ746" s="860"/>
      <c r="AK746" s="860"/>
      <c r="AL746" s="860"/>
      <c r="AM746" s="860"/>
      <c r="AN746" s="860"/>
      <c r="AO746" s="860"/>
      <c r="AP746" s="860"/>
      <c r="AQ746" s="860"/>
      <c r="AR746" s="860"/>
      <c r="AS746" s="860"/>
      <c r="AT746" s="860"/>
      <c r="AU746" s="860"/>
      <c r="AV746" s="860"/>
      <c r="AW746" s="860"/>
      <c r="AX746" s="860"/>
      <c r="AY746" s="860"/>
      <c r="AZ746" s="860"/>
      <c r="BA746" s="860"/>
      <c r="BB746" s="860"/>
      <c r="BC746" s="860"/>
      <c r="BD746" s="860"/>
      <c r="BE746" s="860"/>
      <c r="BF746" s="860"/>
      <c r="BG746" s="860"/>
      <c r="BH746" s="668"/>
      <c r="BI746" s="654"/>
      <c r="BJ746" s="690">
        <f t="shared" si="276"/>
        <v>0</v>
      </c>
      <c r="BK746" s="691">
        <f t="shared" si="277"/>
        <v>0</v>
      </c>
      <c r="BL746" s="654"/>
      <c r="BM746" s="692">
        <f>SUMIFS(Imput[Importe Neto],Imput[C. Imp.],$D746,Imput[PERIODO Imp.],BM$9)</f>
        <v>0</v>
      </c>
      <c r="BN746" s="693">
        <f>SUMIFS(Imput[Importe Neto],Imput[C. Imp.],$D746,Imput[PERIODO Imp.],BN$9)</f>
        <v>0</v>
      </c>
      <c r="BO746" s="693">
        <f>SUMIFS(Imput[Importe Neto],Imput[C. Imp.],$D746,Imput[PERIODO Imp.],BO$9)</f>
        <v>0</v>
      </c>
      <c r="BP746" s="693">
        <f>SUMIFS(Imput[Importe Neto],Imput[C. Imp.],$D746,Imput[PERIODO Imp.],BP$9)</f>
        <v>0</v>
      </c>
      <c r="BQ746" s="693">
        <f>SUMIFS(Imput[Importe Neto],Imput[C. Imp.],$D746,Imput[PERIODO Imp.],BQ$9)</f>
        <v>0</v>
      </c>
      <c r="BR746" s="693">
        <f>SUMIFS(Imput[Importe Neto],Imput[C. Imp.],$D746,Imput[PERIODO Imp.],BR$9)</f>
        <v>0</v>
      </c>
      <c r="BS746" s="693">
        <f>SUMIFS(Imput[Importe Neto],Imput[C. Imp.],$D746,Imput[PERIODO Imp.],BS$9)</f>
        <v>0</v>
      </c>
      <c r="BT746" s="693">
        <f>SUMIFS(Imput[Importe Neto],Imput[C. Imp.],$D746,Imput[PERIODO Imp.],BT$9)</f>
        <v>0</v>
      </c>
      <c r="BU746" s="693">
        <f>SUMIFS(Imput[Importe Neto],Imput[C. Imp.],$D746,Imput[PERIODO Imp.],BU$9)</f>
        <v>0</v>
      </c>
      <c r="BV746" s="693">
        <f>SUMIFS(Imput[Importe Neto],Imput[C. Imp.],$D746,Imput[PERIODO Imp.],BV$9)</f>
        <v>0</v>
      </c>
      <c r="BW746" s="693">
        <f>SUMIFS(Imput[Importe Neto],Imput[C. Imp.],$D746,Imput[PERIODO Imp.],BW$9)</f>
        <v>0</v>
      </c>
      <c r="BX746" s="693">
        <f>SUMIFS(Imput[Importe Neto],Imput[C. Imp.],$D746,Imput[PERIODO Imp.],BX$9)</f>
        <v>0</v>
      </c>
      <c r="BY746" s="693">
        <f>SUMIFS(Imput[Importe Neto],Imput[C. Imp.],$D746,Imput[PERIODO Imp.],BY$9)</f>
        <v>0</v>
      </c>
      <c r="BZ746" s="693">
        <f>SUMIFS(Imput[Importe Neto],Imput[C. Imp.],$D746,Imput[PERIODO Imp.],BZ$9)</f>
        <v>0</v>
      </c>
      <c r="CA746" s="693">
        <f>SUMIFS(Imput[Importe Neto],Imput[C. Imp.],$D746,Imput[PERIODO Imp.],CA$9)</f>
        <v>0</v>
      </c>
      <c r="CB746" s="693">
        <f>SUMIFS(Imput[Importe Neto],Imput[C. Imp.],$D746,Imput[PERIODO Imp.],CB$9)</f>
        <v>0</v>
      </c>
      <c r="CC746" s="693">
        <f>SUMIFS(Imput[Importe Neto],Imput[C. Imp.],$D746,Imput[PERIODO Imp.],CC$9)</f>
        <v>0</v>
      </c>
      <c r="CD746" s="693">
        <f>SUMIFS(Imput[Importe Neto],Imput[C. Imp.],$D746,Imput[PERIODO Imp.],CD$9)</f>
        <v>0</v>
      </c>
      <c r="CE746" s="693">
        <f>SUMIFS(Imput[Importe Neto],Imput[C. Imp.],$D746,Imput[PERIODO Imp.],CE$9)</f>
        <v>0</v>
      </c>
      <c r="CF746" s="693">
        <f>SUMIFS(Imput[Importe Neto],Imput[C. Imp.],$D746,Imput[PERIODO Imp.],CF$9)</f>
        <v>0</v>
      </c>
      <c r="CG746" s="693">
        <f>SUMIFS(Imput[Importe Neto],Imput[C. Imp.],$D746,Imput[PERIODO Imp.],CG$9)</f>
        <v>0</v>
      </c>
      <c r="CH746" s="693">
        <f>SUMIFS(Imput[Importe Neto],Imput[C. Imp.],$D746,Imput[PERIODO Imp.],CH$9)</f>
        <v>0</v>
      </c>
      <c r="CI746" s="693">
        <f>SUMIFS(Imput[Importe Neto],Imput[C. Imp.],$D746,Imput[PERIODO Imp.],CI$9)</f>
        <v>0</v>
      </c>
      <c r="CJ746" s="693">
        <f>SUMIFS(Imput[Importe Neto],Imput[C. Imp.],$D746,Imput[PERIODO Imp.],CJ$9)</f>
        <v>0</v>
      </c>
      <c r="CK746" s="693">
        <f>SUMIFS(Imput[Importe Neto],Imput[C. Imp.],$D746,Imput[PERIODO Imp.],CK$9)</f>
        <v>0</v>
      </c>
      <c r="CL746" s="693">
        <f>SUMIFS(Imput[Importe Neto],Imput[C. Imp.],$D746,Imput[PERIODO Imp.],CL$9)</f>
        <v>0</v>
      </c>
      <c r="CM746" s="693">
        <f>SUMIFS(Imput[Importe Neto],Imput[C. Imp.],$D746,Imput[PERIODO Imp.],CM$9)</f>
        <v>0</v>
      </c>
      <c r="CN746" s="693">
        <f>SUMIFS(Imput[Importe Neto],Imput[C. Imp.],$D746,Imput[PERIODO Imp.],CN$9)</f>
        <v>0</v>
      </c>
      <c r="CO746" s="693">
        <f>SUMIFS(Imput[Importe Neto],Imput[C. Imp.],$D746,Imput[PERIODO Imp.],CO$9)</f>
        <v>0</v>
      </c>
      <c r="CP746" s="693">
        <f>SUMIFS(Imput[Importe Neto],Imput[C. Imp.],$D746,Imput[PERIODO Imp.],CP$9)</f>
        <v>0</v>
      </c>
      <c r="CQ746" s="693">
        <f>SUMIFS(Imput[Importe Neto],Imput[C. Imp.],$D746,Imput[PERIODO Imp.],CQ$9)</f>
        <v>0</v>
      </c>
      <c r="CR746" s="693">
        <f>SUMIFS(Imput[Importe Neto],Imput[C. Imp.],$D746,Imput[PERIODO Imp.],CR$9)</f>
        <v>0</v>
      </c>
      <c r="CS746" s="693">
        <f>SUMIFS(Imput[Importe Neto],Imput[C. Imp.],$D746,Imput[PERIODO Imp.],CS$9)</f>
        <v>0</v>
      </c>
      <c r="CT746" s="693">
        <f>SUMIFS(Imput[Importe Neto],Imput[C. Imp.],$D746,Imput[PERIODO Imp.],CT$9)</f>
        <v>0</v>
      </c>
      <c r="CU746" s="693">
        <f>SUMIFS(Imput[Importe Neto],Imput[C. Imp.],$D746,Imput[PERIODO Imp.],CU$9)</f>
        <v>0</v>
      </c>
      <c r="CV746" s="693">
        <f>SUMIFS(Imput[Importe Neto],Imput[C. Imp.],$D746,Imput[PERIODO Imp.],CV$9)</f>
        <v>0</v>
      </c>
      <c r="CW746" s="693">
        <f>SUMIFS(Imput[Importe Neto],Imput[C. Imp.],$D746,Imput[PERIODO Imp.],CW$9)</f>
        <v>0</v>
      </c>
      <c r="CX746" s="693">
        <f>SUMIFS(Imput[Importe Neto],Imput[C. Imp.],$D746,Imput[PERIODO Imp.],CX$9)</f>
        <v>0</v>
      </c>
      <c r="CY746" s="693">
        <f>SUMIFS(Imput[Importe Neto],Imput[C. Imp.],$D746,Imput[PERIODO Imp.],CY$9)</f>
        <v>0</v>
      </c>
      <c r="CZ746" s="693">
        <f>SUMIFS(Imput[Importe Neto],Imput[C. Imp.],$D746,Imput[PERIODO Imp.],CZ$9)</f>
        <v>0</v>
      </c>
      <c r="DA746" s="693">
        <f>SUMIFS(Imput[Importe Neto],Imput[C. Imp.],$D746,Imput[PERIODO Imp.],DA$9)</f>
        <v>0</v>
      </c>
      <c r="DB746" s="693">
        <f>SUMIFS(Imput[Importe Neto],Imput[C. Imp.],$D746,Imput[PERIODO Imp.],DB$9)</f>
        <v>0</v>
      </c>
      <c r="DC746" s="693">
        <f>SUMIFS(Imput[Importe Neto],Imput[C. Imp.],$D746,Imput[PERIODO Imp.],DC$9)</f>
        <v>0</v>
      </c>
      <c r="DD746" s="693">
        <f>SUMIFS(Imput[Importe Neto],Imput[C. Imp.],$D746,Imput[PERIODO Imp.],DD$9)</f>
        <v>0</v>
      </c>
      <c r="DE746" s="693">
        <f>SUMIFS(Imput[Importe Neto],Imput[C. Imp.],$D746,Imput[PERIODO Imp.],DE$9)</f>
        <v>0</v>
      </c>
      <c r="DF746" s="693">
        <f>SUMIFS(Imput[Importe Neto],Imput[C. Imp.],$D746,Imput[PERIODO Imp.],DF$9)</f>
        <v>0</v>
      </c>
      <c r="DG746" s="693">
        <f>SUMIFS(Imput[Importe Neto],Imput[C. Imp.],$D746,Imput[PERIODO Imp.],DG$9)</f>
        <v>0</v>
      </c>
      <c r="DH746" s="694">
        <f>SUMIFS(Imput[Importe Neto],Imput[C. Imp.],$D746,Imput[PERIODO Imp.],DH$9)</f>
        <v>0</v>
      </c>
    </row>
    <row r="747" spans="1:112" s="649" customFormat="1" hidden="1" outlineLevel="1" x14ac:dyDescent="0.3">
      <c r="A747" s="652" t="str">
        <f t="shared" si="273"/>
        <v/>
      </c>
      <c r="B747" s="652"/>
      <c r="C747" s="685"/>
      <c r="D747" s="686" t="s">
        <v>2731</v>
      </c>
      <c r="E747" s="686"/>
      <c r="F747" s="720"/>
      <c r="G747" s="688"/>
      <c r="H747" s="689"/>
      <c r="I747" s="851" t="str">
        <f t="shared" si="274"/>
        <v/>
      </c>
      <c r="J747" s="850" t="str">
        <f t="shared" si="275"/>
        <v/>
      </c>
      <c r="K747" s="667"/>
      <c r="L747" s="858"/>
      <c r="M747" s="859"/>
      <c r="N747" s="859"/>
      <c r="O747" s="859"/>
      <c r="P747" s="859"/>
      <c r="Q747" s="859"/>
      <c r="R747" s="859"/>
      <c r="S747" s="859"/>
      <c r="T747" s="859"/>
      <c r="U747" s="859"/>
      <c r="V747" s="859"/>
      <c r="W747" s="859"/>
      <c r="X747" s="859"/>
      <c r="Y747" s="859"/>
      <c r="Z747" s="860"/>
      <c r="AA747" s="860"/>
      <c r="AB747" s="860"/>
      <c r="AC747" s="860"/>
      <c r="AD747" s="860"/>
      <c r="AE747" s="860"/>
      <c r="AF747" s="860"/>
      <c r="AG747" s="860"/>
      <c r="AH747" s="860"/>
      <c r="AI747" s="860"/>
      <c r="AJ747" s="860"/>
      <c r="AK747" s="860"/>
      <c r="AL747" s="860"/>
      <c r="AM747" s="860"/>
      <c r="AN747" s="860"/>
      <c r="AO747" s="860"/>
      <c r="AP747" s="860"/>
      <c r="AQ747" s="860"/>
      <c r="AR747" s="860"/>
      <c r="AS747" s="860"/>
      <c r="AT747" s="860"/>
      <c r="AU747" s="860"/>
      <c r="AV747" s="860"/>
      <c r="AW747" s="860"/>
      <c r="AX747" s="860"/>
      <c r="AY747" s="860"/>
      <c r="AZ747" s="860"/>
      <c r="BA747" s="860"/>
      <c r="BB747" s="860"/>
      <c r="BC747" s="860"/>
      <c r="BD747" s="860"/>
      <c r="BE747" s="860"/>
      <c r="BF747" s="860"/>
      <c r="BG747" s="860"/>
      <c r="BH747" s="668"/>
      <c r="BI747" s="667"/>
      <c r="BJ747" s="690">
        <f t="shared" si="276"/>
        <v>0</v>
      </c>
      <c r="BK747" s="691">
        <f t="shared" si="277"/>
        <v>0</v>
      </c>
      <c r="BL747" s="654"/>
      <c r="BM747" s="692">
        <f>SUMIFS(Imput[Importe Neto],Imput[C. Imp.],$D747,Imput[PERIODO Imp.],BM$9)</f>
        <v>0</v>
      </c>
      <c r="BN747" s="693">
        <f>SUMIFS(Imput[Importe Neto],Imput[C. Imp.],$D747,Imput[PERIODO Imp.],BN$9)</f>
        <v>0</v>
      </c>
      <c r="BO747" s="693">
        <f>SUMIFS(Imput[Importe Neto],Imput[C. Imp.],$D747,Imput[PERIODO Imp.],BO$9)</f>
        <v>0</v>
      </c>
      <c r="BP747" s="693">
        <f>SUMIFS(Imput[Importe Neto],Imput[C. Imp.],$D747,Imput[PERIODO Imp.],BP$9)</f>
        <v>0</v>
      </c>
      <c r="BQ747" s="693">
        <f>SUMIFS(Imput[Importe Neto],Imput[C. Imp.],$D747,Imput[PERIODO Imp.],BQ$9)</f>
        <v>0</v>
      </c>
      <c r="BR747" s="693">
        <f>SUMIFS(Imput[Importe Neto],Imput[C. Imp.],$D747,Imput[PERIODO Imp.],BR$9)</f>
        <v>0</v>
      </c>
      <c r="BS747" s="693">
        <f>SUMIFS(Imput[Importe Neto],Imput[C. Imp.],$D747,Imput[PERIODO Imp.],BS$9)</f>
        <v>0</v>
      </c>
      <c r="BT747" s="693">
        <f>SUMIFS(Imput[Importe Neto],Imput[C. Imp.],$D747,Imput[PERIODO Imp.],BT$9)</f>
        <v>0</v>
      </c>
      <c r="BU747" s="693">
        <f>SUMIFS(Imput[Importe Neto],Imput[C. Imp.],$D747,Imput[PERIODO Imp.],BU$9)</f>
        <v>0</v>
      </c>
      <c r="BV747" s="693">
        <f>SUMIFS(Imput[Importe Neto],Imput[C. Imp.],$D747,Imput[PERIODO Imp.],BV$9)</f>
        <v>0</v>
      </c>
      <c r="BW747" s="693">
        <f>SUMIFS(Imput[Importe Neto],Imput[C. Imp.],$D747,Imput[PERIODO Imp.],BW$9)</f>
        <v>0</v>
      </c>
      <c r="BX747" s="693">
        <f>SUMIFS(Imput[Importe Neto],Imput[C. Imp.],$D747,Imput[PERIODO Imp.],BX$9)</f>
        <v>0</v>
      </c>
      <c r="BY747" s="693">
        <f>SUMIFS(Imput[Importe Neto],Imput[C. Imp.],$D747,Imput[PERIODO Imp.],BY$9)</f>
        <v>0</v>
      </c>
      <c r="BZ747" s="693">
        <f>SUMIFS(Imput[Importe Neto],Imput[C. Imp.],$D747,Imput[PERIODO Imp.],BZ$9)</f>
        <v>0</v>
      </c>
      <c r="CA747" s="693">
        <f>SUMIFS(Imput[Importe Neto],Imput[C. Imp.],$D747,Imput[PERIODO Imp.],CA$9)</f>
        <v>0</v>
      </c>
      <c r="CB747" s="693">
        <f>SUMIFS(Imput[Importe Neto],Imput[C. Imp.],$D747,Imput[PERIODO Imp.],CB$9)</f>
        <v>0</v>
      </c>
      <c r="CC747" s="693">
        <f>SUMIFS(Imput[Importe Neto],Imput[C. Imp.],$D747,Imput[PERIODO Imp.],CC$9)</f>
        <v>0</v>
      </c>
      <c r="CD747" s="693">
        <f>SUMIFS(Imput[Importe Neto],Imput[C. Imp.],$D747,Imput[PERIODO Imp.],CD$9)</f>
        <v>0</v>
      </c>
      <c r="CE747" s="693">
        <f>SUMIFS(Imput[Importe Neto],Imput[C. Imp.],$D747,Imput[PERIODO Imp.],CE$9)</f>
        <v>0</v>
      </c>
      <c r="CF747" s="693">
        <f>SUMIFS(Imput[Importe Neto],Imput[C. Imp.],$D747,Imput[PERIODO Imp.],CF$9)</f>
        <v>0</v>
      </c>
      <c r="CG747" s="693">
        <f>SUMIFS(Imput[Importe Neto],Imput[C. Imp.],$D747,Imput[PERIODO Imp.],CG$9)</f>
        <v>0</v>
      </c>
      <c r="CH747" s="693">
        <f>SUMIFS(Imput[Importe Neto],Imput[C. Imp.],$D747,Imput[PERIODO Imp.],CH$9)</f>
        <v>0</v>
      </c>
      <c r="CI747" s="693">
        <f>SUMIFS(Imput[Importe Neto],Imput[C. Imp.],$D747,Imput[PERIODO Imp.],CI$9)</f>
        <v>0</v>
      </c>
      <c r="CJ747" s="693">
        <f>SUMIFS(Imput[Importe Neto],Imput[C. Imp.],$D747,Imput[PERIODO Imp.],CJ$9)</f>
        <v>0</v>
      </c>
      <c r="CK747" s="693">
        <f>SUMIFS(Imput[Importe Neto],Imput[C. Imp.],$D747,Imput[PERIODO Imp.],CK$9)</f>
        <v>0</v>
      </c>
      <c r="CL747" s="693">
        <f>SUMIFS(Imput[Importe Neto],Imput[C. Imp.],$D747,Imput[PERIODO Imp.],CL$9)</f>
        <v>0</v>
      </c>
      <c r="CM747" s="693">
        <f>SUMIFS(Imput[Importe Neto],Imput[C. Imp.],$D747,Imput[PERIODO Imp.],CM$9)</f>
        <v>0</v>
      </c>
      <c r="CN747" s="693">
        <f>SUMIFS(Imput[Importe Neto],Imput[C. Imp.],$D747,Imput[PERIODO Imp.],CN$9)</f>
        <v>0</v>
      </c>
      <c r="CO747" s="693">
        <f>SUMIFS(Imput[Importe Neto],Imput[C. Imp.],$D747,Imput[PERIODO Imp.],CO$9)</f>
        <v>0</v>
      </c>
      <c r="CP747" s="693">
        <f>SUMIFS(Imput[Importe Neto],Imput[C. Imp.],$D747,Imput[PERIODO Imp.],CP$9)</f>
        <v>0</v>
      </c>
      <c r="CQ747" s="693">
        <f>SUMIFS(Imput[Importe Neto],Imput[C. Imp.],$D747,Imput[PERIODO Imp.],CQ$9)</f>
        <v>0</v>
      </c>
      <c r="CR747" s="693">
        <f>SUMIFS(Imput[Importe Neto],Imput[C. Imp.],$D747,Imput[PERIODO Imp.],CR$9)</f>
        <v>0</v>
      </c>
      <c r="CS747" s="693">
        <f>SUMIFS(Imput[Importe Neto],Imput[C. Imp.],$D747,Imput[PERIODO Imp.],CS$9)</f>
        <v>0</v>
      </c>
      <c r="CT747" s="693">
        <f>SUMIFS(Imput[Importe Neto],Imput[C. Imp.],$D747,Imput[PERIODO Imp.],CT$9)</f>
        <v>0</v>
      </c>
      <c r="CU747" s="693">
        <f>SUMIFS(Imput[Importe Neto],Imput[C. Imp.],$D747,Imput[PERIODO Imp.],CU$9)</f>
        <v>0</v>
      </c>
      <c r="CV747" s="693">
        <f>SUMIFS(Imput[Importe Neto],Imput[C. Imp.],$D747,Imput[PERIODO Imp.],CV$9)</f>
        <v>0</v>
      </c>
      <c r="CW747" s="693">
        <f>SUMIFS(Imput[Importe Neto],Imput[C. Imp.],$D747,Imput[PERIODO Imp.],CW$9)</f>
        <v>0</v>
      </c>
      <c r="CX747" s="693">
        <f>SUMIFS(Imput[Importe Neto],Imput[C. Imp.],$D747,Imput[PERIODO Imp.],CX$9)</f>
        <v>0</v>
      </c>
      <c r="CY747" s="693">
        <f>SUMIFS(Imput[Importe Neto],Imput[C. Imp.],$D747,Imput[PERIODO Imp.],CY$9)</f>
        <v>0</v>
      </c>
      <c r="CZ747" s="693">
        <f>SUMIFS(Imput[Importe Neto],Imput[C. Imp.],$D747,Imput[PERIODO Imp.],CZ$9)</f>
        <v>0</v>
      </c>
      <c r="DA747" s="693">
        <f>SUMIFS(Imput[Importe Neto],Imput[C. Imp.],$D747,Imput[PERIODO Imp.],DA$9)</f>
        <v>0</v>
      </c>
      <c r="DB747" s="693">
        <f>SUMIFS(Imput[Importe Neto],Imput[C. Imp.],$D747,Imput[PERIODO Imp.],DB$9)</f>
        <v>0</v>
      </c>
      <c r="DC747" s="693">
        <f>SUMIFS(Imput[Importe Neto],Imput[C. Imp.],$D747,Imput[PERIODO Imp.],DC$9)</f>
        <v>0</v>
      </c>
      <c r="DD747" s="693">
        <f>SUMIFS(Imput[Importe Neto],Imput[C. Imp.],$D747,Imput[PERIODO Imp.],DD$9)</f>
        <v>0</v>
      </c>
      <c r="DE747" s="693">
        <f>SUMIFS(Imput[Importe Neto],Imput[C. Imp.],$D747,Imput[PERIODO Imp.],DE$9)</f>
        <v>0</v>
      </c>
      <c r="DF747" s="693">
        <f>SUMIFS(Imput[Importe Neto],Imput[C. Imp.],$D747,Imput[PERIODO Imp.],DF$9)</f>
        <v>0</v>
      </c>
      <c r="DG747" s="693">
        <f>SUMIFS(Imput[Importe Neto],Imput[C. Imp.],$D747,Imput[PERIODO Imp.],DG$9)</f>
        <v>0</v>
      </c>
      <c r="DH747" s="694">
        <f>SUMIFS(Imput[Importe Neto],Imput[C. Imp.],$D747,Imput[PERIODO Imp.],DH$9)</f>
        <v>0</v>
      </c>
    </row>
    <row r="748" spans="1:112" s="649" customFormat="1" hidden="1" outlineLevel="1" x14ac:dyDescent="0.3">
      <c r="A748" s="652" t="str">
        <f t="shared" si="273"/>
        <v/>
      </c>
      <c r="B748" s="652"/>
      <c r="C748" s="685"/>
      <c r="D748" s="686" t="s">
        <v>2732</v>
      </c>
      <c r="E748" s="686"/>
      <c r="F748" s="720"/>
      <c r="G748" s="688"/>
      <c r="H748" s="689"/>
      <c r="I748" s="851" t="str">
        <f t="shared" si="274"/>
        <v/>
      </c>
      <c r="J748" s="850" t="str">
        <f t="shared" si="275"/>
        <v/>
      </c>
      <c r="K748" s="667"/>
      <c r="L748" s="858"/>
      <c r="M748" s="859"/>
      <c r="N748" s="859"/>
      <c r="O748" s="859"/>
      <c r="P748" s="859"/>
      <c r="Q748" s="859"/>
      <c r="R748" s="859"/>
      <c r="S748" s="859"/>
      <c r="T748" s="859"/>
      <c r="U748" s="859"/>
      <c r="V748" s="859"/>
      <c r="W748" s="859"/>
      <c r="X748" s="859"/>
      <c r="Y748" s="859"/>
      <c r="Z748" s="860"/>
      <c r="AA748" s="860"/>
      <c r="AB748" s="860"/>
      <c r="AC748" s="860"/>
      <c r="AD748" s="860"/>
      <c r="AE748" s="860"/>
      <c r="AF748" s="860"/>
      <c r="AG748" s="860"/>
      <c r="AH748" s="860"/>
      <c r="AI748" s="860"/>
      <c r="AJ748" s="860"/>
      <c r="AK748" s="860"/>
      <c r="AL748" s="860"/>
      <c r="AM748" s="860"/>
      <c r="AN748" s="860"/>
      <c r="AO748" s="860"/>
      <c r="AP748" s="860"/>
      <c r="AQ748" s="860"/>
      <c r="AR748" s="860"/>
      <c r="AS748" s="860"/>
      <c r="AT748" s="860"/>
      <c r="AU748" s="860"/>
      <c r="AV748" s="860"/>
      <c r="AW748" s="860"/>
      <c r="AX748" s="860"/>
      <c r="AY748" s="860"/>
      <c r="AZ748" s="860"/>
      <c r="BA748" s="860"/>
      <c r="BB748" s="860"/>
      <c r="BC748" s="860"/>
      <c r="BD748" s="860"/>
      <c r="BE748" s="860"/>
      <c r="BF748" s="860"/>
      <c r="BG748" s="860"/>
      <c r="BH748" s="668"/>
      <c r="BI748" s="667"/>
      <c r="BJ748" s="690">
        <f t="shared" si="276"/>
        <v>0</v>
      </c>
      <c r="BK748" s="691">
        <f t="shared" si="277"/>
        <v>0</v>
      </c>
      <c r="BL748" s="654"/>
      <c r="BM748" s="692">
        <f>SUMIFS(Imput[Importe Neto],Imput[C. Imp.],$D748,Imput[PERIODO Imp.],BM$9)</f>
        <v>0</v>
      </c>
      <c r="BN748" s="693">
        <f>SUMIFS(Imput[Importe Neto],Imput[C. Imp.],$D748,Imput[PERIODO Imp.],BN$9)</f>
        <v>0</v>
      </c>
      <c r="BO748" s="693">
        <f>SUMIFS(Imput[Importe Neto],Imput[C. Imp.],$D748,Imput[PERIODO Imp.],BO$9)</f>
        <v>0</v>
      </c>
      <c r="BP748" s="693">
        <f>SUMIFS(Imput[Importe Neto],Imput[C. Imp.],$D748,Imput[PERIODO Imp.],BP$9)</f>
        <v>0</v>
      </c>
      <c r="BQ748" s="693">
        <f>SUMIFS(Imput[Importe Neto],Imput[C. Imp.],$D748,Imput[PERIODO Imp.],BQ$9)</f>
        <v>0</v>
      </c>
      <c r="BR748" s="693">
        <f>SUMIFS(Imput[Importe Neto],Imput[C. Imp.],$D748,Imput[PERIODO Imp.],BR$9)</f>
        <v>0</v>
      </c>
      <c r="BS748" s="693">
        <f>SUMIFS(Imput[Importe Neto],Imput[C. Imp.],$D748,Imput[PERIODO Imp.],BS$9)</f>
        <v>0</v>
      </c>
      <c r="BT748" s="693">
        <f>SUMIFS(Imput[Importe Neto],Imput[C. Imp.],$D748,Imput[PERIODO Imp.],BT$9)</f>
        <v>0</v>
      </c>
      <c r="BU748" s="693">
        <f>SUMIFS(Imput[Importe Neto],Imput[C. Imp.],$D748,Imput[PERIODO Imp.],BU$9)</f>
        <v>0</v>
      </c>
      <c r="BV748" s="693">
        <f>SUMIFS(Imput[Importe Neto],Imput[C. Imp.],$D748,Imput[PERIODO Imp.],BV$9)</f>
        <v>0</v>
      </c>
      <c r="BW748" s="693">
        <f>SUMIFS(Imput[Importe Neto],Imput[C. Imp.],$D748,Imput[PERIODO Imp.],BW$9)</f>
        <v>0</v>
      </c>
      <c r="BX748" s="693">
        <f>SUMIFS(Imput[Importe Neto],Imput[C. Imp.],$D748,Imput[PERIODO Imp.],BX$9)</f>
        <v>0</v>
      </c>
      <c r="BY748" s="693">
        <f>SUMIFS(Imput[Importe Neto],Imput[C. Imp.],$D748,Imput[PERIODO Imp.],BY$9)</f>
        <v>0</v>
      </c>
      <c r="BZ748" s="693">
        <f>SUMIFS(Imput[Importe Neto],Imput[C. Imp.],$D748,Imput[PERIODO Imp.],BZ$9)</f>
        <v>0</v>
      </c>
      <c r="CA748" s="693">
        <f>SUMIFS(Imput[Importe Neto],Imput[C. Imp.],$D748,Imput[PERIODO Imp.],CA$9)</f>
        <v>0</v>
      </c>
      <c r="CB748" s="693">
        <f>SUMIFS(Imput[Importe Neto],Imput[C. Imp.],$D748,Imput[PERIODO Imp.],CB$9)</f>
        <v>0</v>
      </c>
      <c r="CC748" s="693">
        <f>SUMIFS(Imput[Importe Neto],Imput[C. Imp.],$D748,Imput[PERIODO Imp.],CC$9)</f>
        <v>0</v>
      </c>
      <c r="CD748" s="693">
        <f>SUMIFS(Imput[Importe Neto],Imput[C. Imp.],$D748,Imput[PERIODO Imp.],CD$9)</f>
        <v>0</v>
      </c>
      <c r="CE748" s="693">
        <f>SUMIFS(Imput[Importe Neto],Imput[C. Imp.],$D748,Imput[PERIODO Imp.],CE$9)</f>
        <v>0</v>
      </c>
      <c r="CF748" s="693">
        <f>SUMIFS(Imput[Importe Neto],Imput[C. Imp.],$D748,Imput[PERIODO Imp.],CF$9)</f>
        <v>0</v>
      </c>
      <c r="CG748" s="693">
        <f>SUMIFS(Imput[Importe Neto],Imput[C. Imp.],$D748,Imput[PERIODO Imp.],CG$9)</f>
        <v>0</v>
      </c>
      <c r="CH748" s="693">
        <f>SUMIFS(Imput[Importe Neto],Imput[C. Imp.],$D748,Imput[PERIODO Imp.],CH$9)</f>
        <v>0</v>
      </c>
      <c r="CI748" s="693">
        <f>SUMIFS(Imput[Importe Neto],Imput[C. Imp.],$D748,Imput[PERIODO Imp.],CI$9)</f>
        <v>0</v>
      </c>
      <c r="CJ748" s="693">
        <f>SUMIFS(Imput[Importe Neto],Imput[C. Imp.],$D748,Imput[PERIODO Imp.],CJ$9)</f>
        <v>0</v>
      </c>
      <c r="CK748" s="693">
        <f>SUMIFS(Imput[Importe Neto],Imput[C. Imp.],$D748,Imput[PERIODO Imp.],CK$9)</f>
        <v>0</v>
      </c>
      <c r="CL748" s="693">
        <f>SUMIFS(Imput[Importe Neto],Imput[C. Imp.],$D748,Imput[PERIODO Imp.],CL$9)</f>
        <v>0</v>
      </c>
      <c r="CM748" s="693">
        <f>SUMIFS(Imput[Importe Neto],Imput[C. Imp.],$D748,Imput[PERIODO Imp.],CM$9)</f>
        <v>0</v>
      </c>
      <c r="CN748" s="693">
        <f>SUMIFS(Imput[Importe Neto],Imput[C. Imp.],$D748,Imput[PERIODO Imp.],CN$9)</f>
        <v>0</v>
      </c>
      <c r="CO748" s="693">
        <f>SUMIFS(Imput[Importe Neto],Imput[C. Imp.],$D748,Imput[PERIODO Imp.],CO$9)</f>
        <v>0</v>
      </c>
      <c r="CP748" s="693">
        <f>SUMIFS(Imput[Importe Neto],Imput[C. Imp.],$D748,Imput[PERIODO Imp.],CP$9)</f>
        <v>0</v>
      </c>
      <c r="CQ748" s="693">
        <f>SUMIFS(Imput[Importe Neto],Imput[C. Imp.],$D748,Imput[PERIODO Imp.],CQ$9)</f>
        <v>0</v>
      </c>
      <c r="CR748" s="693">
        <f>SUMIFS(Imput[Importe Neto],Imput[C. Imp.],$D748,Imput[PERIODO Imp.],CR$9)</f>
        <v>0</v>
      </c>
      <c r="CS748" s="693">
        <f>SUMIFS(Imput[Importe Neto],Imput[C. Imp.],$D748,Imput[PERIODO Imp.],CS$9)</f>
        <v>0</v>
      </c>
      <c r="CT748" s="693">
        <f>SUMIFS(Imput[Importe Neto],Imput[C. Imp.],$D748,Imput[PERIODO Imp.],CT$9)</f>
        <v>0</v>
      </c>
      <c r="CU748" s="693">
        <f>SUMIFS(Imput[Importe Neto],Imput[C. Imp.],$D748,Imput[PERIODO Imp.],CU$9)</f>
        <v>0</v>
      </c>
      <c r="CV748" s="693">
        <f>SUMIFS(Imput[Importe Neto],Imput[C. Imp.],$D748,Imput[PERIODO Imp.],CV$9)</f>
        <v>0</v>
      </c>
      <c r="CW748" s="693">
        <f>SUMIFS(Imput[Importe Neto],Imput[C. Imp.],$D748,Imput[PERIODO Imp.],CW$9)</f>
        <v>0</v>
      </c>
      <c r="CX748" s="693">
        <f>SUMIFS(Imput[Importe Neto],Imput[C. Imp.],$D748,Imput[PERIODO Imp.],CX$9)</f>
        <v>0</v>
      </c>
      <c r="CY748" s="693">
        <f>SUMIFS(Imput[Importe Neto],Imput[C. Imp.],$D748,Imput[PERIODO Imp.],CY$9)</f>
        <v>0</v>
      </c>
      <c r="CZ748" s="693">
        <f>SUMIFS(Imput[Importe Neto],Imput[C. Imp.],$D748,Imput[PERIODO Imp.],CZ$9)</f>
        <v>0</v>
      </c>
      <c r="DA748" s="693">
        <f>SUMIFS(Imput[Importe Neto],Imput[C. Imp.],$D748,Imput[PERIODO Imp.],DA$9)</f>
        <v>0</v>
      </c>
      <c r="DB748" s="693">
        <f>SUMIFS(Imput[Importe Neto],Imput[C. Imp.],$D748,Imput[PERIODO Imp.],DB$9)</f>
        <v>0</v>
      </c>
      <c r="DC748" s="693">
        <f>SUMIFS(Imput[Importe Neto],Imput[C. Imp.],$D748,Imput[PERIODO Imp.],DC$9)</f>
        <v>0</v>
      </c>
      <c r="DD748" s="693">
        <f>SUMIFS(Imput[Importe Neto],Imput[C. Imp.],$D748,Imput[PERIODO Imp.],DD$9)</f>
        <v>0</v>
      </c>
      <c r="DE748" s="693">
        <f>SUMIFS(Imput[Importe Neto],Imput[C. Imp.],$D748,Imput[PERIODO Imp.],DE$9)</f>
        <v>0</v>
      </c>
      <c r="DF748" s="693">
        <f>SUMIFS(Imput[Importe Neto],Imput[C. Imp.],$D748,Imput[PERIODO Imp.],DF$9)</f>
        <v>0</v>
      </c>
      <c r="DG748" s="693">
        <f>SUMIFS(Imput[Importe Neto],Imput[C. Imp.],$D748,Imput[PERIODO Imp.],DG$9)</f>
        <v>0</v>
      </c>
      <c r="DH748" s="694">
        <f>SUMIFS(Imput[Importe Neto],Imput[C. Imp.],$D748,Imput[PERIODO Imp.],DH$9)</f>
        <v>0</v>
      </c>
    </row>
    <row r="749" spans="1:112" s="649" customFormat="1" hidden="1" outlineLevel="1" x14ac:dyDescent="0.3">
      <c r="A749" s="652" t="str">
        <f t="shared" si="273"/>
        <v/>
      </c>
      <c r="B749" s="652"/>
      <c r="C749" s="685"/>
      <c r="D749" s="686" t="s">
        <v>2733</v>
      </c>
      <c r="E749" s="686"/>
      <c r="F749" s="720"/>
      <c r="G749" s="688"/>
      <c r="H749" s="689"/>
      <c r="I749" s="851" t="str">
        <f t="shared" si="274"/>
        <v/>
      </c>
      <c r="J749" s="850" t="str">
        <f t="shared" si="275"/>
        <v/>
      </c>
      <c r="K749" s="667"/>
      <c r="L749" s="858"/>
      <c r="M749" s="859"/>
      <c r="N749" s="859"/>
      <c r="O749" s="859"/>
      <c r="P749" s="859"/>
      <c r="Q749" s="859"/>
      <c r="R749" s="859"/>
      <c r="S749" s="859"/>
      <c r="T749" s="859"/>
      <c r="U749" s="859"/>
      <c r="V749" s="859"/>
      <c r="W749" s="859"/>
      <c r="X749" s="859"/>
      <c r="Y749" s="859"/>
      <c r="Z749" s="860"/>
      <c r="AA749" s="860"/>
      <c r="AB749" s="860"/>
      <c r="AC749" s="860"/>
      <c r="AD749" s="860"/>
      <c r="AE749" s="860"/>
      <c r="AF749" s="860"/>
      <c r="AG749" s="860"/>
      <c r="AH749" s="860"/>
      <c r="AI749" s="860"/>
      <c r="AJ749" s="860"/>
      <c r="AK749" s="860"/>
      <c r="AL749" s="860"/>
      <c r="AM749" s="860"/>
      <c r="AN749" s="860"/>
      <c r="AO749" s="860"/>
      <c r="AP749" s="860"/>
      <c r="AQ749" s="860"/>
      <c r="AR749" s="860"/>
      <c r="AS749" s="860"/>
      <c r="AT749" s="860"/>
      <c r="AU749" s="860"/>
      <c r="AV749" s="860"/>
      <c r="AW749" s="860"/>
      <c r="AX749" s="860"/>
      <c r="AY749" s="860"/>
      <c r="AZ749" s="860"/>
      <c r="BA749" s="860"/>
      <c r="BB749" s="860"/>
      <c r="BC749" s="860"/>
      <c r="BD749" s="860"/>
      <c r="BE749" s="860"/>
      <c r="BF749" s="860"/>
      <c r="BG749" s="860"/>
      <c r="BH749" s="668"/>
      <c r="BI749" s="667"/>
      <c r="BJ749" s="690">
        <f t="shared" si="276"/>
        <v>0</v>
      </c>
      <c r="BK749" s="691">
        <f t="shared" si="277"/>
        <v>0</v>
      </c>
      <c r="BL749" s="654"/>
      <c r="BM749" s="692">
        <f>SUMIFS(Imput[Importe Neto],Imput[C. Imp.],$D749,Imput[PERIODO Imp.],BM$9)</f>
        <v>0</v>
      </c>
      <c r="BN749" s="693">
        <f>SUMIFS(Imput[Importe Neto],Imput[C. Imp.],$D749,Imput[PERIODO Imp.],BN$9)</f>
        <v>0</v>
      </c>
      <c r="BO749" s="693">
        <f>SUMIFS(Imput[Importe Neto],Imput[C. Imp.],$D749,Imput[PERIODO Imp.],BO$9)</f>
        <v>0</v>
      </c>
      <c r="BP749" s="693">
        <f>SUMIFS(Imput[Importe Neto],Imput[C. Imp.],$D749,Imput[PERIODO Imp.],BP$9)</f>
        <v>0</v>
      </c>
      <c r="BQ749" s="693">
        <f>SUMIFS(Imput[Importe Neto],Imput[C. Imp.],$D749,Imput[PERIODO Imp.],BQ$9)</f>
        <v>0</v>
      </c>
      <c r="BR749" s="693">
        <f>SUMIFS(Imput[Importe Neto],Imput[C. Imp.],$D749,Imput[PERIODO Imp.],BR$9)</f>
        <v>0</v>
      </c>
      <c r="BS749" s="693">
        <f>SUMIFS(Imput[Importe Neto],Imput[C. Imp.],$D749,Imput[PERIODO Imp.],BS$9)</f>
        <v>0</v>
      </c>
      <c r="BT749" s="693">
        <f>SUMIFS(Imput[Importe Neto],Imput[C. Imp.],$D749,Imput[PERIODO Imp.],BT$9)</f>
        <v>0</v>
      </c>
      <c r="BU749" s="693">
        <f>SUMIFS(Imput[Importe Neto],Imput[C. Imp.],$D749,Imput[PERIODO Imp.],BU$9)</f>
        <v>0</v>
      </c>
      <c r="BV749" s="693">
        <f>SUMIFS(Imput[Importe Neto],Imput[C. Imp.],$D749,Imput[PERIODO Imp.],BV$9)</f>
        <v>0</v>
      </c>
      <c r="BW749" s="693">
        <f>SUMIFS(Imput[Importe Neto],Imput[C. Imp.],$D749,Imput[PERIODO Imp.],BW$9)</f>
        <v>0</v>
      </c>
      <c r="BX749" s="693">
        <f>SUMIFS(Imput[Importe Neto],Imput[C. Imp.],$D749,Imput[PERIODO Imp.],BX$9)</f>
        <v>0</v>
      </c>
      <c r="BY749" s="693">
        <f>SUMIFS(Imput[Importe Neto],Imput[C. Imp.],$D749,Imput[PERIODO Imp.],BY$9)</f>
        <v>0</v>
      </c>
      <c r="BZ749" s="693">
        <f>SUMIFS(Imput[Importe Neto],Imput[C. Imp.],$D749,Imput[PERIODO Imp.],BZ$9)</f>
        <v>0</v>
      </c>
      <c r="CA749" s="693">
        <f>SUMIFS(Imput[Importe Neto],Imput[C. Imp.],$D749,Imput[PERIODO Imp.],CA$9)</f>
        <v>0</v>
      </c>
      <c r="CB749" s="693">
        <f>SUMIFS(Imput[Importe Neto],Imput[C. Imp.],$D749,Imput[PERIODO Imp.],CB$9)</f>
        <v>0</v>
      </c>
      <c r="CC749" s="693">
        <f>SUMIFS(Imput[Importe Neto],Imput[C. Imp.],$D749,Imput[PERIODO Imp.],CC$9)</f>
        <v>0</v>
      </c>
      <c r="CD749" s="693">
        <f>SUMIFS(Imput[Importe Neto],Imput[C. Imp.],$D749,Imput[PERIODO Imp.],CD$9)</f>
        <v>0</v>
      </c>
      <c r="CE749" s="693">
        <f>SUMIFS(Imput[Importe Neto],Imput[C. Imp.],$D749,Imput[PERIODO Imp.],CE$9)</f>
        <v>0</v>
      </c>
      <c r="CF749" s="693">
        <f>SUMIFS(Imput[Importe Neto],Imput[C. Imp.],$D749,Imput[PERIODO Imp.],CF$9)</f>
        <v>0</v>
      </c>
      <c r="CG749" s="693">
        <f>SUMIFS(Imput[Importe Neto],Imput[C. Imp.],$D749,Imput[PERIODO Imp.],CG$9)</f>
        <v>0</v>
      </c>
      <c r="CH749" s="693">
        <f>SUMIFS(Imput[Importe Neto],Imput[C. Imp.],$D749,Imput[PERIODO Imp.],CH$9)</f>
        <v>0</v>
      </c>
      <c r="CI749" s="693">
        <f>SUMIFS(Imput[Importe Neto],Imput[C. Imp.],$D749,Imput[PERIODO Imp.],CI$9)</f>
        <v>0</v>
      </c>
      <c r="CJ749" s="693">
        <f>SUMIFS(Imput[Importe Neto],Imput[C. Imp.],$D749,Imput[PERIODO Imp.],CJ$9)</f>
        <v>0</v>
      </c>
      <c r="CK749" s="693">
        <f>SUMIFS(Imput[Importe Neto],Imput[C. Imp.],$D749,Imput[PERIODO Imp.],CK$9)</f>
        <v>0</v>
      </c>
      <c r="CL749" s="693">
        <f>SUMIFS(Imput[Importe Neto],Imput[C. Imp.],$D749,Imput[PERIODO Imp.],CL$9)</f>
        <v>0</v>
      </c>
      <c r="CM749" s="693">
        <f>SUMIFS(Imput[Importe Neto],Imput[C. Imp.],$D749,Imput[PERIODO Imp.],CM$9)</f>
        <v>0</v>
      </c>
      <c r="CN749" s="693">
        <f>SUMIFS(Imput[Importe Neto],Imput[C. Imp.],$D749,Imput[PERIODO Imp.],CN$9)</f>
        <v>0</v>
      </c>
      <c r="CO749" s="693">
        <f>SUMIFS(Imput[Importe Neto],Imput[C. Imp.],$D749,Imput[PERIODO Imp.],CO$9)</f>
        <v>0</v>
      </c>
      <c r="CP749" s="693">
        <f>SUMIFS(Imput[Importe Neto],Imput[C. Imp.],$D749,Imput[PERIODO Imp.],CP$9)</f>
        <v>0</v>
      </c>
      <c r="CQ749" s="693">
        <f>SUMIFS(Imput[Importe Neto],Imput[C. Imp.],$D749,Imput[PERIODO Imp.],CQ$9)</f>
        <v>0</v>
      </c>
      <c r="CR749" s="693">
        <f>SUMIFS(Imput[Importe Neto],Imput[C. Imp.],$D749,Imput[PERIODO Imp.],CR$9)</f>
        <v>0</v>
      </c>
      <c r="CS749" s="693">
        <f>SUMIFS(Imput[Importe Neto],Imput[C. Imp.],$D749,Imput[PERIODO Imp.],CS$9)</f>
        <v>0</v>
      </c>
      <c r="CT749" s="693">
        <f>SUMIFS(Imput[Importe Neto],Imput[C. Imp.],$D749,Imput[PERIODO Imp.],CT$9)</f>
        <v>0</v>
      </c>
      <c r="CU749" s="693">
        <f>SUMIFS(Imput[Importe Neto],Imput[C. Imp.],$D749,Imput[PERIODO Imp.],CU$9)</f>
        <v>0</v>
      </c>
      <c r="CV749" s="693">
        <f>SUMIFS(Imput[Importe Neto],Imput[C. Imp.],$D749,Imput[PERIODO Imp.],CV$9)</f>
        <v>0</v>
      </c>
      <c r="CW749" s="693">
        <f>SUMIFS(Imput[Importe Neto],Imput[C. Imp.],$D749,Imput[PERIODO Imp.],CW$9)</f>
        <v>0</v>
      </c>
      <c r="CX749" s="693">
        <f>SUMIFS(Imput[Importe Neto],Imput[C. Imp.],$D749,Imput[PERIODO Imp.],CX$9)</f>
        <v>0</v>
      </c>
      <c r="CY749" s="693">
        <f>SUMIFS(Imput[Importe Neto],Imput[C. Imp.],$D749,Imput[PERIODO Imp.],CY$9)</f>
        <v>0</v>
      </c>
      <c r="CZ749" s="693">
        <f>SUMIFS(Imput[Importe Neto],Imput[C. Imp.],$D749,Imput[PERIODO Imp.],CZ$9)</f>
        <v>0</v>
      </c>
      <c r="DA749" s="693">
        <f>SUMIFS(Imput[Importe Neto],Imput[C. Imp.],$D749,Imput[PERIODO Imp.],DA$9)</f>
        <v>0</v>
      </c>
      <c r="DB749" s="693">
        <f>SUMIFS(Imput[Importe Neto],Imput[C. Imp.],$D749,Imput[PERIODO Imp.],DB$9)</f>
        <v>0</v>
      </c>
      <c r="DC749" s="693">
        <f>SUMIFS(Imput[Importe Neto],Imput[C. Imp.],$D749,Imput[PERIODO Imp.],DC$9)</f>
        <v>0</v>
      </c>
      <c r="DD749" s="693">
        <f>SUMIFS(Imput[Importe Neto],Imput[C. Imp.],$D749,Imput[PERIODO Imp.],DD$9)</f>
        <v>0</v>
      </c>
      <c r="DE749" s="693">
        <f>SUMIFS(Imput[Importe Neto],Imput[C. Imp.],$D749,Imput[PERIODO Imp.],DE$9)</f>
        <v>0</v>
      </c>
      <c r="DF749" s="693">
        <f>SUMIFS(Imput[Importe Neto],Imput[C. Imp.],$D749,Imput[PERIODO Imp.],DF$9)</f>
        <v>0</v>
      </c>
      <c r="DG749" s="693">
        <f>SUMIFS(Imput[Importe Neto],Imput[C. Imp.],$D749,Imput[PERIODO Imp.],DG$9)</f>
        <v>0</v>
      </c>
      <c r="DH749" s="694">
        <f>SUMIFS(Imput[Importe Neto],Imput[C. Imp.],$D749,Imput[PERIODO Imp.],DH$9)</f>
        <v>0</v>
      </c>
    </row>
    <row r="750" spans="1:112" s="649" customFormat="1" hidden="1" outlineLevel="1" x14ac:dyDescent="0.3">
      <c r="A750" s="652" t="str">
        <f t="shared" si="273"/>
        <v/>
      </c>
      <c r="B750" s="652"/>
      <c r="C750" s="685"/>
      <c r="D750" s="686" t="s">
        <v>2734</v>
      </c>
      <c r="E750" s="686"/>
      <c r="F750" s="720"/>
      <c r="G750" s="688"/>
      <c r="H750" s="689"/>
      <c r="I750" s="851" t="str">
        <f t="shared" si="274"/>
        <v/>
      </c>
      <c r="J750" s="850" t="str">
        <f t="shared" si="275"/>
        <v/>
      </c>
      <c r="K750" s="667"/>
      <c r="L750" s="858"/>
      <c r="M750" s="859"/>
      <c r="N750" s="859"/>
      <c r="O750" s="859"/>
      <c r="P750" s="859"/>
      <c r="Q750" s="859"/>
      <c r="R750" s="859"/>
      <c r="S750" s="859"/>
      <c r="T750" s="859"/>
      <c r="U750" s="859"/>
      <c r="V750" s="859"/>
      <c r="W750" s="859"/>
      <c r="X750" s="859"/>
      <c r="Y750" s="859"/>
      <c r="Z750" s="860"/>
      <c r="AA750" s="860"/>
      <c r="AB750" s="860"/>
      <c r="AC750" s="860"/>
      <c r="AD750" s="860"/>
      <c r="AE750" s="860"/>
      <c r="AF750" s="860"/>
      <c r="AG750" s="860"/>
      <c r="AH750" s="860"/>
      <c r="AI750" s="860"/>
      <c r="AJ750" s="860"/>
      <c r="AK750" s="860"/>
      <c r="AL750" s="860"/>
      <c r="AM750" s="860"/>
      <c r="AN750" s="860"/>
      <c r="AO750" s="860"/>
      <c r="AP750" s="860"/>
      <c r="AQ750" s="860"/>
      <c r="AR750" s="860"/>
      <c r="AS750" s="860"/>
      <c r="AT750" s="860"/>
      <c r="AU750" s="860"/>
      <c r="AV750" s="860"/>
      <c r="AW750" s="860"/>
      <c r="AX750" s="860"/>
      <c r="AY750" s="860"/>
      <c r="AZ750" s="860"/>
      <c r="BA750" s="860"/>
      <c r="BB750" s="860"/>
      <c r="BC750" s="860"/>
      <c r="BD750" s="860"/>
      <c r="BE750" s="860"/>
      <c r="BF750" s="860"/>
      <c r="BG750" s="860"/>
      <c r="BH750" s="668"/>
      <c r="BI750" s="667"/>
      <c r="BJ750" s="690">
        <f t="shared" si="276"/>
        <v>0</v>
      </c>
      <c r="BK750" s="691">
        <f t="shared" si="277"/>
        <v>0</v>
      </c>
      <c r="BL750" s="654"/>
      <c r="BM750" s="692">
        <f>SUMIFS(Imput[Importe Neto],Imput[C. Imp.],$D750,Imput[PERIODO Imp.],BM$9)</f>
        <v>0</v>
      </c>
      <c r="BN750" s="693">
        <f>SUMIFS(Imput[Importe Neto],Imput[C. Imp.],$D750,Imput[PERIODO Imp.],BN$9)</f>
        <v>0</v>
      </c>
      <c r="BO750" s="693">
        <f>SUMIFS(Imput[Importe Neto],Imput[C. Imp.],$D750,Imput[PERIODO Imp.],BO$9)</f>
        <v>0</v>
      </c>
      <c r="BP750" s="693">
        <f>SUMIFS(Imput[Importe Neto],Imput[C. Imp.],$D750,Imput[PERIODO Imp.],BP$9)</f>
        <v>0</v>
      </c>
      <c r="BQ750" s="693">
        <f>SUMIFS(Imput[Importe Neto],Imput[C. Imp.],$D750,Imput[PERIODO Imp.],BQ$9)</f>
        <v>0</v>
      </c>
      <c r="BR750" s="693">
        <f>SUMIFS(Imput[Importe Neto],Imput[C. Imp.],$D750,Imput[PERIODO Imp.],BR$9)</f>
        <v>0</v>
      </c>
      <c r="BS750" s="693">
        <f>SUMIFS(Imput[Importe Neto],Imput[C. Imp.],$D750,Imput[PERIODO Imp.],BS$9)</f>
        <v>0</v>
      </c>
      <c r="BT750" s="693">
        <f>SUMIFS(Imput[Importe Neto],Imput[C. Imp.],$D750,Imput[PERIODO Imp.],BT$9)</f>
        <v>0</v>
      </c>
      <c r="BU750" s="693">
        <f>SUMIFS(Imput[Importe Neto],Imput[C. Imp.],$D750,Imput[PERIODO Imp.],BU$9)</f>
        <v>0</v>
      </c>
      <c r="BV750" s="693">
        <f>SUMIFS(Imput[Importe Neto],Imput[C. Imp.],$D750,Imput[PERIODO Imp.],BV$9)</f>
        <v>0</v>
      </c>
      <c r="BW750" s="693">
        <f>SUMIFS(Imput[Importe Neto],Imput[C. Imp.],$D750,Imput[PERIODO Imp.],BW$9)</f>
        <v>0</v>
      </c>
      <c r="BX750" s="693">
        <f>SUMIFS(Imput[Importe Neto],Imput[C. Imp.],$D750,Imput[PERIODO Imp.],BX$9)</f>
        <v>0</v>
      </c>
      <c r="BY750" s="693">
        <f>SUMIFS(Imput[Importe Neto],Imput[C. Imp.],$D750,Imput[PERIODO Imp.],BY$9)</f>
        <v>0</v>
      </c>
      <c r="BZ750" s="693">
        <f>SUMIFS(Imput[Importe Neto],Imput[C. Imp.],$D750,Imput[PERIODO Imp.],BZ$9)</f>
        <v>0</v>
      </c>
      <c r="CA750" s="693">
        <f>SUMIFS(Imput[Importe Neto],Imput[C. Imp.],$D750,Imput[PERIODO Imp.],CA$9)</f>
        <v>0</v>
      </c>
      <c r="CB750" s="693">
        <f>SUMIFS(Imput[Importe Neto],Imput[C. Imp.],$D750,Imput[PERIODO Imp.],CB$9)</f>
        <v>0</v>
      </c>
      <c r="CC750" s="693">
        <f>SUMIFS(Imput[Importe Neto],Imput[C. Imp.],$D750,Imput[PERIODO Imp.],CC$9)</f>
        <v>0</v>
      </c>
      <c r="CD750" s="693">
        <f>SUMIFS(Imput[Importe Neto],Imput[C. Imp.],$D750,Imput[PERIODO Imp.],CD$9)</f>
        <v>0</v>
      </c>
      <c r="CE750" s="693">
        <f>SUMIFS(Imput[Importe Neto],Imput[C. Imp.],$D750,Imput[PERIODO Imp.],CE$9)</f>
        <v>0</v>
      </c>
      <c r="CF750" s="693">
        <f>SUMIFS(Imput[Importe Neto],Imput[C. Imp.],$D750,Imput[PERIODO Imp.],CF$9)</f>
        <v>0</v>
      </c>
      <c r="CG750" s="693">
        <f>SUMIFS(Imput[Importe Neto],Imput[C. Imp.],$D750,Imput[PERIODO Imp.],CG$9)</f>
        <v>0</v>
      </c>
      <c r="CH750" s="693">
        <f>SUMIFS(Imput[Importe Neto],Imput[C. Imp.],$D750,Imput[PERIODO Imp.],CH$9)</f>
        <v>0</v>
      </c>
      <c r="CI750" s="693">
        <f>SUMIFS(Imput[Importe Neto],Imput[C. Imp.],$D750,Imput[PERIODO Imp.],CI$9)</f>
        <v>0</v>
      </c>
      <c r="CJ750" s="693">
        <f>SUMIFS(Imput[Importe Neto],Imput[C. Imp.],$D750,Imput[PERIODO Imp.],CJ$9)</f>
        <v>0</v>
      </c>
      <c r="CK750" s="693">
        <f>SUMIFS(Imput[Importe Neto],Imput[C. Imp.],$D750,Imput[PERIODO Imp.],CK$9)</f>
        <v>0</v>
      </c>
      <c r="CL750" s="693">
        <f>SUMIFS(Imput[Importe Neto],Imput[C. Imp.],$D750,Imput[PERIODO Imp.],CL$9)</f>
        <v>0</v>
      </c>
      <c r="CM750" s="693">
        <f>SUMIFS(Imput[Importe Neto],Imput[C. Imp.],$D750,Imput[PERIODO Imp.],CM$9)</f>
        <v>0</v>
      </c>
      <c r="CN750" s="693">
        <f>SUMIFS(Imput[Importe Neto],Imput[C. Imp.],$D750,Imput[PERIODO Imp.],CN$9)</f>
        <v>0</v>
      </c>
      <c r="CO750" s="693">
        <f>SUMIFS(Imput[Importe Neto],Imput[C. Imp.],$D750,Imput[PERIODO Imp.],CO$9)</f>
        <v>0</v>
      </c>
      <c r="CP750" s="693">
        <f>SUMIFS(Imput[Importe Neto],Imput[C. Imp.],$D750,Imput[PERIODO Imp.],CP$9)</f>
        <v>0</v>
      </c>
      <c r="CQ750" s="693">
        <f>SUMIFS(Imput[Importe Neto],Imput[C. Imp.],$D750,Imput[PERIODO Imp.],CQ$9)</f>
        <v>0</v>
      </c>
      <c r="CR750" s="693">
        <f>SUMIFS(Imput[Importe Neto],Imput[C. Imp.],$D750,Imput[PERIODO Imp.],CR$9)</f>
        <v>0</v>
      </c>
      <c r="CS750" s="693">
        <f>SUMIFS(Imput[Importe Neto],Imput[C. Imp.],$D750,Imput[PERIODO Imp.],CS$9)</f>
        <v>0</v>
      </c>
      <c r="CT750" s="693">
        <f>SUMIFS(Imput[Importe Neto],Imput[C. Imp.],$D750,Imput[PERIODO Imp.],CT$9)</f>
        <v>0</v>
      </c>
      <c r="CU750" s="693">
        <f>SUMIFS(Imput[Importe Neto],Imput[C. Imp.],$D750,Imput[PERIODO Imp.],CU$9)</f>
        <v>0</v>
      </c>
      <c r="CV750" s="693">
        <f>SUMIFS(Imput[Importe Neto],Imput[C. Imp.],$D750,Imput[PERIODO Imp.],CV$9)</f>
        <v>0</v>
      </c>
      <c r="CW750" s="693">
        <f>SUMIFS(Imput[Importe Neto],Imput[C. Imp.],$D750,Imput[PERIODO Imp.],CW$9)</f>
        <v>0</v>
      </c>
      <c r="CX750" s="693">
        <f>SUMIFS(Imput[Importe Neto],Imput[C. Imp.],$D750,Imput[PERIODO Imp.],CX$9)</f>
        <v>0</v>
      </c>
      <c r="CY750" s="693">
        <f>SUMIFS(Imput[Importe Neto],Imput[C. Imp.],$D750,Imput[PERIODO Imp.],CY$9)</f>
        <v>0</v>
      </c>
      <c r="CZ750" s="693">
        <f>SUMIFS(Imput[Importe Neto],Imput[C. Imp.],$D750,Imput[PERIODO Imp.],CZ$9)</f>
        <v>0</v>
      </c>
      <c r="DA750" s="693">
        <f>SUMIFS(Imput[Importe Neto],Imput[C. Imp.],$D750,Imput[PERIODO Imp.],DA$9)</f>
        <v>0</v>
      </c>
      <c r="DB750" s="693">
        <f>SUMIFS(Imput[Importe Neto],Imput[C. Imp.],$D750,Imput[PERIODO Imp.],DB$9)</f>
        <v>0</v>
      </c>
      <c r="DC750" s="693">
        <f>SUMIFS(Imput[Importe Neto],Imput[C. Imp.],$D750,Imput[PERIODO Imp.],DC$9)</f>
        <v>0</v>
      </c>
      <c r="DD750" s="693">
        <f>SUMIFS(Imput[Importe Neto],Imput[C. Imp.],$D750,Imput[PERIODO Imp.],DD$9)</f>
        <v>0</v>
      </c>
      <c r="DE750" s="693">
        <f>SUMIFS(Imput[Importe Neto],Imput[C. Imp.],$D750,Imput[PERIODO Imp.],DE$9)</f>
        <v>0</v>
      </c>
      <c r="DF750" s="693">
        <f>SUMIFS(Imput[Importe Neto],Imput[C. Imp.],$D750,Imput[PERIODO Imp.],DF$9)</f>
        <v>0</v>
      </c>
      <c r="DG750" s="693">
        <f>SUMIFS(Imput[Importe Neto],Imput[C. Imp.],$D750,Imput[PERIODO Imp.],DG$9)</f>
        <v>0</v>
      </c>
      <c r="DH750" s="694">
        <f>SUMIFS(Imput[Importe Neto],Imput[C. Imp.],$D750,Imput[PERIODO Imp.],DH$9)</f>
        <v>0</v>
      </c>
    </row>
    <row r="751" spans="1:112" s="649" customFormat="1" hidden="1" outlineLevel="1" x14ac:dyDescent="0.3">
      <c r="A751" s="652" t="str">
        <f t="shared" si="273"/>
        <v/>
      </c>
      <c r="B751" s="652"/>
      <c r="C751" s="685"/>
      <c r="D751" s="686" t="s">
        <v>2735</v>
      </c>
      <c r="E751" s="686"/>
      <c r="F751" s="720"/>
      <c r="G751" s="688"/>
      <c r="H751" s="689"/>
      <c r="I751" s="851" t="str">
        <f t="shared" si="274"/>
        <v/>
      </c>
      <c r="J751" s="850" t="str">
        <f t="shared" si="275"/>
        <v/>
      </c>
      <c r="K751" s="667"/>
      <c r="L751" s="858"/>
      <c r="M751" s="859"/>
      <c r="N751" s="859"/>
      <c r="O751" s="859"/>
      <c r="P751" s="859"/>
      <c r="Q751" s="859"/>
      <c r="R751" s="859"/>
      <c r="S751" s="859"/>
      <c r="T751" s="859"/>
      <c r="U751" s="859"/>
      <c r="V751" s="859"/>
      <c r="W751" s="859"/>
      <c r="X751" s="859"/>
      <c r="Y751" s="859"/>
      <c r="Z751" s="860"/>
      <c r="AA751" s="860"/>
      <c r="AB751" s="860"/>
      <c r="AC751" s="860"/>
      <c r="AD751" s="860"/>
      <c r="AE751" s="860"/>
      <c r="AF751" s="860"/>
      <c r="AG751" s="860"/>
      <c r="AH751" s="860"/>
      <c r="AI751" s="860"/>
      <c r="AJ751" s="860"/>
      <c r="AK751" s="860"/>
      <c r="AL751" s="860"/>
      <c r="AM751" s="860"/>
      <c r="AN751" s="860"/>
      <c r="AO751" s="860"/>
      <c r="AP751" s="860"/>
      <c r="AQ751" s="860"/>
      <c r="AR751" s="860"/>
      <c r="AS751" s="860"/>
      <c r="AT751" s="860"/>
      <c r="AU751" s="860"/>
      <c r="AV751" s="860"/>
      <c r="AW751" s="860"/>
      <c r="AX751" s="860"/>
      <c r="AY751" s="860"/>
      <c r="AZ751" s="860"/>
      <c r="BA751" s="860"/>
      <c r="BB751" s="860"/>
      <c r="BC751" s="860"/>
      <c r="BD751" s="860"/>
      <c r="BE751" s="860"/>
      <c r="BF751" s="860"/>
      <c r="BG751" s="860"/>
      <c r="BH751" s="668"/>
      <c r="BI751" s="667"/>
      <c r="BJ751" s="690">
        <f t="shared" si="276"/>
        <v>0</v>
      </c>
      <c r="BK751" s="691">
        <f t="shared" si="277"/>
        <v>0</v>
      </c>
      <c r="BL751" s="654"/>
      <c r="BM751" s="692">
        <f>SUMIFS(Imput[Importe Neto],Imput[C. Imp.],$D751,Imput[PERIODO Imp.],BM$9)</f>
        <v>0</v>
      </c>
      <c r="BN751" s="693">
        <f>SUMIFS(Imput[Importe Neto],Imput[C. Imp.],$D751,Imput[PERIODO Imp.],BN$9)</f>
        <v>0</v>
      </c>
      <c r="BO751" s="693">
        <f>SUMIFS(Imput[Importe Neto],Imput[C. Imp.],$D751,Imput[PERIODO Imp.],BO$9)</f>
        <v>0</v>
      </c>
      <c r="BP751" s="693">
        <f>SUMIFS(Imput[Importe Neto],Imput[C. Imp.],$D751,Imput[PERIODO Imp.],BP$9)</f>
        <v>0</v>
      </c>
      <c r="BQ751" s="693">
        <f>SUMIFS(Imput[Importe Neto],Imput[C. Imp.],$D751,Imput[PERIODO Imp.],BQ$9)</f>
        <v>0</v>
      </c>
      <c r="BR751" s="693">
        <f>SUMIFS(Imput[Importe Neto],Imput[C. Imp.],$D751,Imput[PERIODO Imp.],BR$9)</f>
        <v>0</v>
      </c>
      <c r="BS751" s="693">
        <f>SUMIFS(Imput[Importe Neto],Imput[C. Imp.],$D751,Imput[PERIODO Imp.],BS$9)</f>
        <v>0</v>
      </c>
      <c r="BT751" s="693">
        <f>SUMIFS(Imput[Importe Neto],Imput[C. Imp.],$D751,Imput[PERIODO Imp.],BT$9)</f>
        <v>0</v>
      </c>
      <c r="BU751" s="693">
        <f>SUMIFS(Imput[Importe Neto],Imput[C. Imp.],$D751,Imput[PERIODO Imp.],BU$9)</f>
        <v>0</v>
      </c>
      <c r="BV751" s="693">
        <f>SUMIFS(Imput[Importe Neto],Imput[C. Imp.],$D751,Imput[PERIODO Imp.],BV$9)</f>
        <v>0</v>
      </c>
      <c r="BW751" s="693">
        <f>SUMIFS(Imput[Importe Neto],Imput[C. Imp.],$D751,Imput[PERIODO Imp.],BW$9)</f>
        <v>0</v>
      </c>
      <c r="BX751" s="693">
        <f>SUMIFS(Imput[Importe Neto],Imput[C. Imp.],$D751,Imput[PERIODO Imp.],BX$9)</f>
        <v>0</v>
      </c>
      <c r="BY751" s="693">
        <f>SUMIFS(Imput[Importe Neto],Imput[C. Imp.],$D751,Imput[PERIODO Imp.],BY$9)</f>
        <v>0</v>
      </c>
      <c r="BZ751" s="693">
        <f>SUMIFS(Imput[Importe Neto],Imput[C. Imp.],$D751,Imput[PERIODO Imp.],BZ$9)</f>
        <v>0</v>
      </c>
      <c r="CA751" s="693">
        <f>SUMIFS(Imput[Importe Neto],Imput[C. Imp.],$D751,Imput[PERIODO Imp.],CA$9)</f>
        <v>0</v>
      </c>
      <c r="CB751" s="693">
        <f>SUMIFS(Imput[Importe Neto],Imput[C. Imp.],$D751,Imput[PERIODO Imp.],CB$9)</f>
        <v>0</v>
      </c>
      <c r="CC751" s="693">
        <f>SUMIFS(Imput[Importe Neto],Imput[C. Imp.],$D751,Imput[PERIODO Imp.],CC$9)</f>
        <v>0</v>
      </c>
      <c r="CD751" s="693">
        <f>SUMIFS(Imput[Importe Neto],Imput[C. Imp.],$D751,Imput[PERIODO Imp.],CD$9)</f>
        <v>0</v>
      </c>
      <c r="CE751" s="693">
        <f>SUMIFS(Imput[Importe Neto],Imput[C. Imp.],$D751,Imput[PERIODO Imp.],CE$9)</f>
        <v>0</v>
      </c>
      <c r="CF751" s="693">
        <f>SUMIFS(Imput[Importe Neto],Imput[C. Imp.],$D751,Imput[PERIODO Imp.],CF$9)</f>
        <v>0</v>
      </c>
      <c r="CG751" s="693">
        <f>SUMIFS(Imput[Importe Neto],Imput[C. Imp.],$D751,Imput[PERIODO Imp.],CG$9)</f>
        <v>0</v>
      </c>
      <c r="CH751" s="693">
        <f>SUMIFS(Imput[Importe Neto],Imput[C. Imp.],$D751,Imput[PERIODO Imp.],CH$9)</f>
        <v>0</v>
      </c>
      <c r="CI751" s="693">
        <f>SUMIFS(Imput[Importe Neto],Imput[C. Imp.],$D751,Imput[PERIODO Imp.],CI$9)</f>
        <v>0</v>
      </c>
      <c r="CJ751" s="693">
        <f>SUMIFS(Imput[Importe Neto],Imput[C. Imp.],$D751,Imput[PERIODO Imp.],CJ$9)</f>
        <v>0</v>
      </c>
      <c r="CK751" s="693">
        <f>SUMIFS(Imput[Importe Neto],Imput[C. Imp.],$D751,Imput[PERIODO Imp.],CK$9)</f>
        <v>0</v>
      </c>
      <c r="CL751" s="693">
        <f>SUMIFS(Imput[Importe Neto],Imput[C. Imp.],$D751,Imput[PERIODO Imp.],CL$9)</f>
        <v>0</v>
      </c>
      <c r="CM751" s="693">
        <f>SUMIFS(Imput[Importe Neto],Imput[C. Imp.],$D751,Imput[PERIODO Imp.],CM$9)</f>
        <v>0</v>
      </c>
      <c r="CN751" s="693">
        <f>SUMIFS(Imput[Importe Neto],Imput[C. Imp.],$D751,Imput[PERIODO Imp.],CN$9)</f>
        <v>0</v>
      </c>
      <c r="CO751" s="693">
        <f>SUMIFS(Imput[Importe Neto],Imput[C. Imp.],$D751,Imput[PERIODO Imp.],CO$9)</f>
        <v>0</v>
      </c>
      <c r="CP751" s="693">
        <f>SUMIFS(Imput[Importe Neto],Imput[C. Imp.],$D751,Imput[PERIODO Imp.],CP$9)</f>
        <v>0</v>
      </c>
      <c r="CQ751" s="693">
        <f>SUMIFS(Imput[Importe Neto],Imput[C. Imp.],$D751,Imput[PERIODO Imp.],CQ$9)</f>
        <v>0</v>
      </c>
      <c r="CR751" s="693">
        <f>SUMIFS(Imput[Importe Neto],Imput[C. Imp.],$D751,Imput[PERIODO Imp.],CR$9)</f>
        <v>0</v>
      </c>
      <c r="CS751" s="693">
        <f>SUMIFS(Imput[Importe Neto],Imput[C. Imp.],$D751,Imput[PERIODO Imp.],CS$9)</f>
        <v>0</v>
      </c>
      <c r="CT751" s="693">
        <f>SUMIFS(Imput[Importe Neto],Imput[C. Imp.],$D751,Imput[PERIODO Imp.],CT$9)</f>
        <v>0</v>
      </c>
      <c r="CU751" s="693">
        <f>SUMIFS(Imput[Importe Neto],Imput[C. Imp.],$D751,Imput[PERIODO Imp.],CU$9)</f>
        <v>0</v>
      </c>
      <c r="CV751" s="693">
        <f>SUMIFS(Imput[Importe Neto],Imput[C. Imp.],$D751,Imput[PERIODO Imp.],CV$9)</f>
        <v>0</v>
      </c>
      <c r="CW751" s="693">
        <f>SUMIFS(Imput[Importe Neto],Imput[C. Imp.],$D751,Imput[PERIODO Imp.],CW$9)</f>
        <v>0</v>
      </c>
      <c r="CX751" s="693">
        <f>SUMIFS(Imput[Importe Neto],Imput[C. Imp.],$D751,Imput[PERIODO Imp.],CX$9)</f>
        <v>0</v>
      </c>
      <c r="CY751" s="693">
        <f>SUMIFS(Imput[Importe Neto],Imput[C. Imp.],$D751,Imput[PERIODO Imp.],CY$9)</f>
        <v>0</v>
      </c>
      <c r="CZ751" s="693">
        <f>SUMIFS(Imput[Importe Neto],Imput[C. Imp.],$D751,Imput[PERIODO Imp.],CZ$9)</f>
        <v>0</v>
      </c>
      <c r="DA751" s="693">
        <f>SUMIFS(Imput[Importe Neto],Imput[C. Imp.],$D751,Imput[PERIODO Imp.],DA$9)</f>
        <v>0</v>
      </c>
      <c r="DB751" s="693">
        <f>SUMIFS(Imput[Importe Neto],Imput[C. Imp.],$D751,Imput[PERIODO Imp.],DB$9)</f>
        <v>0</v>
      </c>
      <c r="DC751" s="693">
        <f>SUMIFS(Imput[Importe Neto],Imput[C. Imp.],$D751,Imput[PERIODO Imp.],DC$9)</f>
        <v>0</v>
      </c>
      <c r="DD751" s="693">
        <f>SUMIFS(Imput[Importe Neto],Imput[C. Imp.],$D751,Imput[PERIODO Imp.],DD$9)</f>
        <v>0</v>
      </c>
      <c r="DE751" s="693">
        <f>SUMIFS(Imput[Importe Neto],Imput[C. Imp.],$D751,Imput[PERIODO Imp.],DE$9)</f>
        <v>0</v>
      </c>
      <c r="DF751" s="693">
        <f>SUMIFS(Imput[Importe Neto],Imput[C. Imp.],$D751,Imput[PERIODO Imp.],DF$9)</f>
        <v>0</v>
      </c>
      <c r="DG751" s="693">
        <f>SUMIFS(Imput[Importe Neto],Imput[C. Imp.],$D751,Imput[PERIODO Imp.],DG$9)</f>
        <v>0</v>
      </c>
      <c r="DH751" s="694">
        <f>SUMIFS(Imput[Importe Neto],Imput[C. Imp.],$D751,Imput[PERIODO Imp.],DH$9)</f>
        <v>0</v>
      </c>
    </row>
    <row r="752" spans="1:112" s="649" customFormat="1" hidden="1" outlineLevel="1" x14ac:dyDescent="0.3">
      <c r="A752" s="652" t="str">
        <f t="shared" si="273"/>
        <v/>
      </c>
      <c r="B752" s="652"/>
      <c r="C752" s="685"/>
      <c r="D752" s="686" t="s">
        <v>2736</v>
      </c>
      <c r="E752" s="686"/>
      <c r="F752" s="720"/>
      <c r="G752" s="688"/>
      <c r="H752" s="689"/>
      <c r="I752" s="851" t="str">
        <f t="shared" si="274"/>
        <v/>
      </c>
      <c r="J752" s="850" t="str">
        <f t="shared" si="275"/>
        <v/>
      </c>
      <c r="K752" s="667"/>
      <c r="L752" s="858"/>
      <c r="M752" s="859"/>
      <c r="N752" s="859"/>
      <c r="O752" s="859"/>
      <c r="P752" s="859"/>
      <c r="Q752" s="859"/>
      <c r="R752" s="859"/>
      <c r="S752" s="859"/>
      <c r="T752" s="859"/>
      <c r="U752" s="859"/>
      <c r="V752" s="859"/>
      <c r="W752" s="859"/>
      <c r="X752" s="859"/>
      <c r="Y752" s="859"/>
      <c r="Z752" s="860"/>
      <c r="AA752" s="860"/>
      <c r="AB752" s="860"/>
      <c r="AC752" s="860"/>
      <c r="AD752" s="860"/>
      <c r="AE752" s="860"/>
      <c r="AF752" s="860"/>
      <c r="AG752" s="860"/>
      <c r="AH752" s="860"/>
      <c r="AI752" s="860"/>
      <c r="AJ752" s="860"/>
      <c r="AK752" s="860"/>
      <c r="AL752" s="860"/>
      <c r="AM752" s="860"/>
      <c r="AN752" s="860"/>
      <c r="AO752" s="860"/>
      <c r="AP752" s="860"/>
      <c r="AQ752" s="860"/>
      <c r="AR752" s="860"/>
      <c r="AS752" s="860"/>
      <c r="AT752" s="860"/>
      <c r="AU752" s="860"/>
      <c r="AV752" s="860"/>
      <c r="AW752" s="860"/>
      <c r="AX752" s="860"/>
      <c r="AY752" s="860"/>
      <c r="AZ752" s="860"/>
      <c r="BA752" s="860"/>
      <c r="BB752" s="860"/>
      <c r="BC752" s="860"/>
      <c r="BD752" s="860"/>
      <c r="BE752" s="860"/>
      <c r="BF752" s="860"/>
      <c r="BG752" s="860"/>
      <c r="BH752" s="668"/>
      <c r="BI752" s="667"/>
      <c r="BJ752" s="690">
        <f t="shared" si="276"/>
        <v>0</v>
      </c>
      <c r="BK752" s="691">
        <f t="shared" si="277"/>
        <v>0</v>
      </c>
      <c r="BL752" s="654"/>
      <c r="BM752" s="692">
        <f>SUMIFS(Imput[Importe Neto],Imput[C. Imp.],$D752,Imput[PERIODO Imp.],BM$9)</f>
        <v>0</v>
      </c>
      <c r="BN752" s="693">
        <f>SUMIFS(Imput[Importe Neto],Imput[C. Imp.],$D752,Imput[PERIODO Imp.],BN$9)</f>
        <v>0</v>
      </c>
      <c r="BO752" s="693">
        <f>SUMIFS(Imput[Importe Neto],Imput[C. Imp.],$D752,Imput[PERIODO Imp.],BO$9)</f>
        <v>0</v>
      </c>
      <c r="BP752" s="693">
        <f>SUMIFS(Imput[Importe Neto],Imput[C. Imp.],$D752,Imput[PERIODO Imp.],BP$9)</f>
        <v>0</v>
      </c>
      <c r="BQ752" s="693">
        <f>SUMIFS(Imput[Importe Neto],Imput[C. Imp.],$D752,Imput[PERIODO Imp.],BQ$9)</f>
        <v>0</v>
      </c>
      <c r="BR752" s="693">
        <f>SUMIFS(Imput[Importe Neto],Imput[C. Imp.],$D752,Imput[PERIODO Imp.],BR$9)</f>
        <v>0</v>
      </c>
      <c r="BS752" s="693">
        <f>SUMIFS(Imput[Importe Neto],Imput[C. Imp.],$D752,Imput[PERIODO Imp.],BS$9)</f>
        <v>0</v>
      </c>
      <c r="BT752" s="693">
        <f>SUMIFS(Imput[Importe Neto],Imput[C. Imp.],$D752,Imput[PERIODO Imp.],BT$9)</f>
        <v>0</v>
      </c>
      <c r="BU752" s="693">
        <f>SUMIFS(Imput[Importe Neto],Imput[C. Imp.],$D752,Imput[PERIODO Imp.],BU$9)</f>
        <v>0</v>
      </c>
      <c r="BV752" s="693">
        <f>SUMIFS(Imput[Importe Neto],Imput[C. Imp.],$D752,Imput[PERIODO Imp.],BV$9)</f>
        <v>0</v>
      </c>
      <c r="BW752" s="693">
        <f>SUMIFS(Imput[Importe Neto],Imput[C. Imp.],$D752,Imput[PERIODO Imp.],BW$9)</f>
        <v>0</v>
      </c>
      <c r="BX752" s="693">
        <f>SUMIFS(Imput[Importe Neto],Imput[C. Imp.],$D752,Imput[PERIODO Imp.],BX$9)</f>
        <v>0</v>
      </c>
      <c r="BY752" s="693">
        <f>SUMIFS(Imput[Importe Neto],Imput[C. Imp.],$D752,Imput[PERIODO Imp.],BY$9)</f>
        <v>0</v>
      </c>
      <c r="BZ752" s="693">
        <f>SUMIFS(Imput[Importe Neto],Imput[C. Imp.],$D752,Imput[PERIODO Imp.],BZ$9)</f>
        <v>0</v>
      </c>
      <c r="CA752" s="693">
        <f>SUMIFS(Imput[Importe Neto],Imput[C. Imp.],$D752,Imput[PERIODO Imp.],CA$9)</f>
        <v>0</v>
      </c>
      <c r="CB752" s="693">
        <f>SUMIFS(Imput[Importe Neto],Imput[C. Imp.],$D752,Imput[PERIODO Imp.],CB$9)</f>
        <v>0</v>
      </c>
      <c r="CC752" s="693">
        <f>SUMIFS(Imput[Importe Neto],Imput[C. Imp.],$D752,Imput[PERIODO Imp.],CC$9)</f>
        <v>0</v>
      </c>
      <c r="CD752" s="693">
        <f>SUMIFS(Imput[Importe Neto],Imput[C. Imp.],$D752,Imput[PERIODO Imp.],CD$9)</f>
        <v>0</v>
      </c>
      <c r="CE752" s="693">
        <f>SUMIFS(Imput[Importe Neto],Imput[C. Imp.],$D752,Imput[PERIODO Imp.],CE$9)</f>
        <v>0</v>
      </c>
      <c r="CF752" s="693">
        <f>SUMIFS(Imput[Importe Neto],Imput[C. Imp.],$D752,Imput[PERIODO Imp.],CF$9)</f>
        <v>0</v>
      </c>
      <c r="CG752" s="693">
        <f>SUMIFS(Imput[Importe Neto],Imput[C. Imp.],$D752,Imput[PERIODO Imp.],CG$9)</f>
        <v>0</v>
      </c>
      <c r="CH752" s="693">
        <f>SUMIFS(Imput[Importe Neto],Imput[C. Imp.],$D752,Imput[PERIODO Imp.],CH$9)</f>
        <v>0</v>
      </c>
      <c r="CI752" s="693">
        <f>SUMIFS(Imput[Importe Neto],Imput[C. Imp.],$D752,Imput[PERIODO Imp.],CI$9)</f>
        <v>0</v>
      </c>
      <c r="CJ752" s="693">
        <f>SUMIFS(Imput[Importe Neto],Imput[C. Imp.],$D752,Imput[PERIODO Imp.],CJ$9)</f>
        <v>0</v>
      </c>
      <c r="CK752" s="693">
        <f>SUMIFS(Imput[Importe Neto],Imput[C. Imp.],$D752,Imput[PERIODO Imp.],CK$9)</f>
        <v>0</v>
      </c>
      <c r="CL752" s="693">
        <f>SUMIFS(Imput[Importe Neto],Imput[C. Imp.],$D752,Imput[PERIODO Imp.],CL$9)</f>
        <v>0</v>
      </c>
      <c r="CM752" s="693">
        <f>SUMIFS(Imput[Importe Neto],Imput[C. Imp.],$D752,Imput[PERIODO Imp.],CM$9)</f>
        <v>0</v>
      </c>
      <c r="CN752" s="693">
        <f>SUMIFS(Imput[Importe Neto],Imput[C. Imp.],$D752,Imput[PERIODO Imp.],CN$9)</f>
        <v>0</v>
      </c>
      <c r="CO752" s="693">
        <f>SUMIFS(Imput[Importe Neto],Imput[C. Imp.],$D752,Imput[PERIODO Imp.],CO$9)</f>
        <v>0</v>
      </c>
      <c r="CP752" s="693">
        <f>SUMIFS(Imput[Importe Neto],Imput[C. Imp.],$D752,Imput[PERIODO Imp.],CP$9)</f>
        <v>0</v>
      </c>
      <c r="CQ752" s="693">
        <f>SUMIFS(Imput[Importe Neto],Imput[C. Imp.],$D752,Imput[PERIODO Imp.],CQ$9)</f>
        <v>0</v>
      </c>
      <c r="CR752" s="693">
        <f>SUMIFS(Imput[Importe Neto],Imput[C. Imp.],$D752,Imput[PERIODO Imp.],CR$9)</f>
        <v>0</v>
      </c>
      <c r="CS752" s="693">
        <f>SUMIFS(Imput[Importe Neto],Imput[C. Imp.],$D752,Imput[PERIODO Imp.],CS$9)</f>
        <v>0</v>
      </c>
      <c r="CT752" s="693">
        <f>SUMIFS(Imput[Importe Neto],Imput[C. Imp.],$D752,Imput[PERIODO Imp.],CT$9)</f>
        <v>0</v>
      </c>
      <c r="CU752" s="693">
        <f>SUMIFS(Imput[Importe Neto],Imput[C. Imp.],$D752,Imput[PERIODO Imp.],CU$9)</f>
        <v>0</v>
      </c>
      <c r="CV752" s="693">
        <f>SUMIFS(Imput[Importe Neto],Imput[C. Imp.],$D752,Imput[PERIODO Imp.],CV$9)</f>
        <v>0</v>
      </c>
      <c r="CW752" s="693">
        <f>SUMIFS(Imput[Importe Neto],Imput[C. Imp.],$D752,Imput[PERIODO Imp.],CW$9)</f>
        <v>0</v>
      </c>
      <c r="CX752" s="693">
        <f>SUMIFS(Imput[Importe Neto],Imput[C. Imp.],$D752,Imput[PERIODO Imp.],CX$9)</f>
        <v>0</v>
      </c>
      <c r="CY752" s="693">
        <f>SUMIFS(Imput[Importe Neto],Imput[C. Imp.],$D752,Imput[PERIODO Imp.],CY$9)</f>
        <v>0</v>
      </c>
      <c r="CZ752" s="693">
        <f>SUMIFS(Imput[Importe Neto],Imput[C. Imp.],$D752,Imput[PERIODO Imp.],CZ$9)</f>
        <v>0</v>
      </c>
      <c r="DA752" s="693">
        <f>SUMIFS(Imput[Importe Neto],Imput[C. Imp.],$D752,Imput[PERIODO Imp.],DA$9)</f>
        <v>0</v>
      </c>
      <c r="DB752" s="693">
        <f>SUMIFS(Imput[Importe Neto],Imput[C. Imp.],$D752,Imput[PERIODO Imp.],DB$9)</f>
        <v>0</v>
      </c>
      <c r="DC752" s="693">
        <f>SUMIFS(Imput[Importe Neto],Imput[C. Imp.],$D752,Imput[PERIODO Imp.],DC$9)</f>
        <v>0</v>
      </c>
      <c r="DD752" s="693">
        <f>SUMIFS(Imput[Importe Neto],Imput[C. Imp.],$D752,Imput[PERIODO Imp.],DD$9)</f>
        <v>0</v>
      </c>
      <c r="DE752" s="693">
        <f>SUMIFS(Imput[Importe Neto],Imput[C. Imp.],$D752,Imput[PERIODO Imp.],DE$9)</f>
        <v>0</v>
      </c>
      <c r="DF752" s="693">
        <f>SUMIFS(Imput[Importe Neto],Imput[C. Imp.],$D752,Imput[PERIODO Imp.],DF$9)</f>
        <v>0</v>
      </c>
      <c r="DG752" s="693">
        <f>SUMIFS(Imput[Importe Neto],Imput[C. Imp.],$D752,Imput[PERIODO Imp.],DG$9)</f>
        <v>0</v>
      </c>
      <c r="DH752" s="694">
        <f>SUMIFS(Imput[Importe Neto],Imput[C. Imp.],$D752,Imput[PERIODO Imp.],DH$9)</f>
        <v>0</v>
      </c>
    </row>
    <row r="753" spans="1:112" s="649" customFormat="1" hidden="1" outlineLevel="1" x14ac:dyDescent="0.3">
      <c r="A753" s="652" t="str">
        <f t="shared" si="273"/>
        <v/>
      </c>
      <c r="B753" s="652"/>
      <c r="C753" s="685"/>
      <c r="D753" s="686" t="s">
        <v>2737</v>
      </c>
      <c r="E753" s="686"/>
      <c r="F753" s="720"/>
      <c r="G753" s="688"/>
      <c r="H753" s="689"/>
      <c r="I753" s="851" t="str">
        <f t="shared" si="274"/>
        <v/>
      </c>
      <c r="J753" s="850" t="str">
        <f t="shared" si="275"/>
        <v/>
      </c>
      <c r="K753" s="667"/>
      <c r="L753" s="858"/>
      <c r="M753" s="859"/>
      <c r="N753" s="859"/>
      <c r="O753" s="859"/>
      <c r="P753" s="859"/>
      <c r="Q753" s="859"/>
      <c r="R753" s="859"/>
      <c r="S753" s="859"/>
      <c r="T753" s="859"/>
      <c r="U753" s="859"/>
      <c r="V753" s="859"/>
      <c r="W753" s="859"/>
      <c r="X753" s="859"/>
      <c r="Y753" s="859"/>
      <c r="Z753" s="860"/>
      <c r="AA753" s="860"/>
      <c r="AB753" s="860"/>
      <c r="AC753" s="860"/>
      <c r="AD753" s="860"/>
      <c r="AE753" s="860"/>
      <c r="AF753" s="860"/>
      <c r="AG753" s="860"/>
      <c r="AH753" s="860"/>
      <c r="AI753" s="860"/>
      <c r="AJ753" s="860"/>
      <c r="AK753" s="860"/>
      <c r="AL753" s="860"/>
      <c r="AM753" s="860"/>
      <c r="AN753" s="860"/>
      <c r="AO753" s="860"/>
      <c r="AP753" s="860"/>
      <c r="AQ753" s="860"/>
      <c r="AR753" s="860"/>
      <c r="AS753" s="860"/>
      <c r="AT753" s="860"/>
      <c r="AU753" s="860"/>
      <c r="AV753" s="860"/>
      <c r="AW753" s="860"/>
      <c r="AX753" s="860"/>
      <c r="AY753" s="860"/>
      <c r="AZ753" s="860"/>
      <c r="BA753" s="860"/>
      <c r="BB753" s="860"/>
      <c r="BC753" s="860"/>
      <c r="BD753" s="860"/>
      <c r="BE753" s="860"/>
      <c r="BF753" s="860"/>
      <c r="BG753" s="860"/>
      <c r="BH753" s="668"/>
      <c r="BI753" s="667"/>
      <c r="BJ753" s="690">
        <f t="shared" si="276"/>
        <v>0</v>
      </c>
      <c r="BK753" s="691">
        <f t="shared" si="277"/>
        <v>0</v>
      </c>
      <c r="BL753" s="654"/>
      <c r="BM753" s="692">
        <f>SUMIFS(Imput[Importe Neto],Imput[C. Imp.],$D753,Imput[PERIODO Imp.],BM$9)</f>
        <v>0</v>
      </c>
      <c r="BN753" s="693">
        <f>SUMIFS(Imput[Importe Neto],Imput[C. Imp.],$D753,Imput[PERIODO Imp.],BN$9)</f>
        <v>0</v>
      </c>
      <c r="BO753" s="693">
        <f>SUMIFS(Imput[Importe Neto],Imput[C. Imp.],$D753,Imput[PERIODO Imp.],BO$9)</f>
        <v>0</v>
      </c>
      <c r="BP753" s="693">
        <f>SUMIFS(Imput[Importe Neto],Imput[C. Imp.],$D753,Imput[PERIODO Imp.],BP$9)</f>
        <v>0</v>
      </c>
      <c r="BQ753" s="693">
        <f>SUMIFS(Imput[Importe Neto],Imput[C. Imp.],$D753,Imput[PERIODO Imp.],BQ$9)</f>
        <v>0</v>
      </c>
      <c r="BR753" s="693">
        <f>SUMIFS(Imput[Importe Neto],Imput[C. Imp.],$D753,Imput[PERIODO Imp.],BR$9)</f>
        <v>0</v>
      </c>
      <c r="BS753" s="693">
        <f>SUMIFS(Imput[Importe Neto],Imput[C. Imp.],$D753,Imput[PERIODO Imp.],BS$9)</f>
        <v>0</v>
      </c>
      <c r="BT753" s="693">
        <f>SUMIFS(Imput[Importe Neto],Imput[C. Imp.],$D753,Imput[PERIODO Imp.],BT$9)</f>
        <v>0</v>
      </c>
      <c r="BU753" s="693">
        <f>SUMIFS(Imput[Importe Neto],Imput[C. Imp.],$D753,Imput[PERIODO Imp.],BU$9)</f>
        <v>0</v>
      </c>
      <c r="BV753" s="693">
        <f>SUMIFS(Imput[Importe Neto],Imput[C. Imp.],$D753,Imput[PERIODO Imp.],BV$9)</f>
        <v>0</v>
      </c>
      <c r="BW753" s="693">
        <f>SUMIFS(Imput[Importe Neto],Imput[C. Imp.],$D753,Imput[PERIODO Imp.],BW$9)</f>
        <v>0</v>
      </c>
      <c r="BX753" s="693">
        <f>SUMIFS(Imput[Importe Neto],Imput[C. Imp.],$D753,Imput[PERIODO Imp.],BX$9)</f>
        <v>0</v>
      </c>
      <c r="BY753" s="693">
        <f>SUMIFS(Imput[Importe Neto],Imput[C. Imp.],$D753,Imput[PERIODO Imp.],BY$9)</f>
        <v>0</v>
      </c>
      <c r="BZ753" s="693">
        <f>SUMIFS(Imput[Importe Neto],Imput[C. Imp.],$D753,Imput[PERIODO Imp.],BZ$9)</f>
        <v>0</v>
      </c>
      <c r="CA753" s="693">
        <f>SUMIFS(Imput[Importe Neto],Imput[C. Imp.],$D753,Imput[PERIODO Imp.],CA$9)</f>
        <v>0</v>
      </c>
      <c r="CB753" s="693">
        <f>SUMIFS(Imput[Importe Neto],Imput[C. Imp.],$D753,Imput[PERIODO Imp.],CB$9)</f>
        <v>0</v>
      </c>
      <c r="CC753" s="693">
        <f>SUMIFS(Imput[Importe Neto],Imput[C. Imp.],$D753,Imput[PERIODO Imp.],CC$9)</f>
        <v>0</v>
      </c>
      <c r="CD753" s="693">
        <f>SUMIFS(Imput[Importe Neto],Imput[C. Imp.],$D753,Imput[PERIODO Imp.],CD$9)</f>
        <v>0</v>
      </c>
      <c r="CE753" s="693">
        <f>SUMIFS(Imput[Importe Neto],Imput[C. Imp.],$D753,Imput[PERIODO Imp.],CE$9)</f>
        <v>0</v>
      </c>
      <c r="CF753" s="693">
        <f>SUMIFS(Imput[Importe Neto],Imput[C. Imp.],$D753,Imput[PERIODO Imp.],CF$9)</f>
        <v>0</v>
      </c>
      <c r="CG753" s="693">
        <f>SUMIFS(Imput[Importe Neto],Imput[C. Imp.],$D753,Imput[PERIODO Imp.],CG$9)</f>
        <v>0</v>
      </c>
      <c r="CH753" s="693">
        <f>SUMIFS(Imput[Importe Neto],Imput[C. Imp.],$D753,Imput[PERIODO Imp.],CH$9)</f>
        <v>0</v>
      </c>
      <c r="CI753" s="693">
        <f>SUMIFS(Imput[Importe Neto],Imput[C. Imp.],$D753,Imput[PERIODO Imp.],CI$9)</f>
        <v>0</v>
      </c>
      <c r="CJ753" s="693">
        <f>SUMIFS(Imput[Importe Neto],Imput[C. Imp.],$D753,Imput[PERIODO Imp.],CJ$9)</f>
        <v>0</v>
      </c>
      <c r="CK753" s="693">
        <f>SUMIFS(Imput[Importe Neto],Imput[C. Imp.],$D753,Imput[PERIODO Imp.],CK$9)</f>
        <v>0</v>
      </c>
      <c r="CL753" s="693">
        <f>SUMIFS(Imput[Importe Neto],Imput[C. Imp.],$D753,Imput[PERIODO Imp.],CL$9)</f>
        <v>0</v>
      </c>
      <c r="CM753" s="693">
        <f>SUMIFS(Imput[Importe Neto],Imput[C. Imp.],$D753,Imput[PERIODO Imp.],CM$9)</f>
        <v>0</v>
      </c>
      <c r="CN753" s="693">
        <f>SUMIFS(Imput[Importe Neto],Imput[C. Imp.],$D753,Imput[PERIODO Imp.],CN$9)</f>
        <v>0</v>
      </c>
      <c r="CO753" s="693">
        <f>SUMIFS(Imput[Importe Neto],Imput[C. Imp.],$D753,Imput[PERIODO Imp.],CO$9)</f>
        <v>0</v>
      </c>
      <c r="CP753" s="693">
        <f>SUMIFS(Imput[Importe Neto],Imput[C. Imp.],$D753,Imput[[PERIODO Imp.]:[PERIODO Imp.]],CP$9)</f>
        <v>0</v>
      </c>
      <c r="CQ753" s="693">
        <f>SUMIFS(Imput[[Importe Neto]:[Importe Neto]],Imput[[C. Imp.]:[C. Imp.]],$D753,Imput[[PERIODO Imp.]:[PERIODO Imp.]],CQ$9)</f>
        <v>0</v>
      </c>
      <c r="CR753" s="693">
        <f>SUMIFS(Imput[[Importe Neto]:[Importe Neto]],Imput[[C. Imp.]:[C. Imp.]],$D753,Imput[[PERIODO Imp.]:[PERIODO Imp.]],CR$9)</f>
        <v>0</v>
      </c>
      <c r="CS753" s="693">
        <f>SUMIFS(Imput[[Importe Neto]:[Importe Neto]],Imput[[C. Imp.]:[C. Imp.]],$D753,Imput[[PERIODO Imp.]:[PERIODO Imp.]],CS$9)</f>
        <v>0</v>
      </c>
      <c r="CT753" s="693">
        <f>SUMIFS(Imput[[Importe Neto]:[Importe Neto]],Imput[[C. Imp.]:[C. Imp.]],$D753,Imput[[PERIODO Imp.]:[PERIODO Imp.]],CT$9)</f>
        <v>0</v>
      </c>
      <c r="CU753" s="693">
        <f>SUMIFS(Imput[[Importe Neto]:[Importe Neto]],Imput[[C. Imp.]:[C. Imp.]],$D753,Imput[[PERIODO Imp.]:[PERIODO Imp.]],CU$9)</f>
        <v>0</v>
      </c>
      <c r="CV753" s="693">
        <f>SUMIFS(Imput[[Importe Neto]:[Importe Neto]],Imput[[C. Imp.]:[C. Imp.]],$D753,Imput[[PERIODO Imp.]:[PERIODO Imp.]],CV$9)</f>
        <v>0</v>
      </c>
      <c r="CW753" s="693">
        <f>SUMIFS(Imput[[Importe Neto]:[Importe Neto]],Imput[[C. Imp.]:[C. Imp.]],$D753,Imput[[PERIODO Imp.]:[PERIODO Imp.]],CW$9)</f>
        <v>0</v>
      </c>
      <c r="CX753" s="693">
        <f>SUMIFS(Imput[[Importe Neto]:[Importe Neto]],Imput[[C. Imp.]:[C. Imp.]],$D753,Imput[[PERIODO Imp.]:[PERIODO Imp.]],CX$9)</f>
        <v>0</v>
      </c>
      <c r="CY753" s="693">
        <f>SUMIFS(Imput[[Importe Neto]:[Importe Neto]],Imput[[C. Imp.]:[C. Imp.]],$D753,Imput[[PERIODO Imp.]:[PERIODO Imp.]],CY$9)</f>
        <v>0</v>
      </c>
      <c r="CZ753" s="693">
        <f>SUMIFS(Imput[[Importe Neto]:[Importe Neto]],Imput[[C. Imp.]:[C. Imp.]],$D753,Imput[[PERIODO Imp.]:[PERIODO Imp.]],CZ$9)</f>
        <v>0</v>
      </c>
      <c r="DA753" s="693">
        <f>SUMIFS(Imput[[Importe Neto]:[Importe Neto]],Imput[[C. Imp.]:[C. Imp.]],$D753,Imput[[PERIODO Imp.]:[PERIODO Imp.]],DA$9)</f>
        <v>0</v>
      </c>
      <c r="DB753" s="693">
        <f>SUMIFS(Imput[[Importe Neto]:[Importe Neto]],Imput[[C. Imp.]:[C. Imp.]],$D753,Imput[[PERIODO Imp.]:[PERIODO Imp.]],DB$9)</f>
        <v>0</v>
      </c>
      <c r="DC753" s="693">
        <f>SUMIFS(Imput[[Importe Neto]:[Importe Neto]],Imput[[C. Imp.]:[C. Imp.]],$D753,Imput[[PERIODO Imp.]:[PERIODO Imp.]],DC$9)</f>
        <v>0</v>
      </c>
      <c r="DD753" s="693">
        <f>SUMIFS(Imput[[Importe Neto]:[Importe Neto]],Imput[[C. Imp.]:[C. Imp.]],$D753,Imput[[PERIODO Imp.]:[PERIODO Imp.]],DD$9)</f>
        <v>0</v>
      </c>
      <c r="DE753" s="693">
        <f>SUMIFS(Imput[[Importe Neto]:[Importe Neto]],Imput[[C. Imp.]:[C. Imp.]],$D753,Imput[[PERIODO Imp.]:[PERIODO Imp.]],DE$9)</f>
        <v>0</v>
      </c>
      <c r="DF753" s="693">
        <f>SUMIFS(Imput[[Importe Neto]:[Importe Neto]],Imput[[C. Imp.]:[C. Imp.]],$D753,Imput[[PERIODO Imp.]:[PERIODO Imp.]],DF$9)</f>
        <v>0</v>
      </c>
      <c r="DG753" s="693">
        <f>SUMIFS(Imput[[Importe Neto]:[Importe Neto]],Imput[[C. Imp.]:[C. Imp.]],$D753,Imput[[PERIODO Imp.]:[PERIODO Imp.]],DG$9)</f>
        <v>0</v>
      </c>
      <c r="DH753" s="694">
        <f>SUMIFS(Imput[[Importe Neto]:[Importe Neto]],Imput[[C. Imp.]:[C. Imp.]],$D753,Imput[[PERIODO Imp.]:[PERIODO Imp.]],DH$9)</f>
        <v>0</v>
      </c>
    </row>
    <row r="754" spans="1:112" s="649" customFormat="1" hidden="1" outlineLevel="1" x14ac:dyDescent="0.3">
      <c r="A754" s="652" t="str">
        <f t="shared" si="273"/>
        <v/>
      </c>
      <c r="B754" s="652"/>
      <c r="C754" s="685"/>
      <c r="D754" s="686" t="s">
        <v>2738</v>
      </c>
      <c r="E754" s="686"/>
      <c r="F754" s="720"/>
      <c r="G754" s="688"/>
      <c r="H754" s="689"/>
      <c r="I754" s="851" t="str">
        <f t="shared" si="274"/>
        <v/>
      </c>
      <c r="J754" s="850" t="str">
        <f t="shared" si="275"/>
        <v/>
      </c>
      <c r="K754" s="667"/>
      <c r="L754" s="858"/>
      <c r="M754" s="859"/>
      <c r="N754" s="859"/>
      <c r="O754" s="859"/>
      <c r="P754" s="859"/>
      <c r="Q754" s="859"/>
      <c r="R754" s="859"/>
      <c r="S754" s="859"/>
      <c r="T754" s="859"/>
      <c r="U754" s="859"/>
      <c r="V754" s="859"/>
      <c r="W754" s="859"/>
      <c r="X754" s="859"/>
      <c r="Y754" s="859"/>
      <c r="Z754" s="860"/>
      <c r="AA754" s="860"/>
      <c r="AB754" s="860"/>
      <c r="AC754" s="860"/>
      <c r="AD754" s="860"/>
      <c r="AE754" s="860"/>
      <c r="AF754" s="860"/>
      <c r="AG754" s="860"/>
      <c r="AH754" s="860"/>
      <c r="AI754" s="860"/>
      <c r="AJ754" s="860"/>
      <c r="AK754" s="860"/>
      <c r="AL754" s="860"/>
      <c r="AM754" s="860"/>
      <c r="AN754" s="860"/>
      <c r="AO754" s="860"/>
      <c r="AP754" s="860"/>
      <c r="AQ754" s="860"/>
      <c r="AR754" s="860"/>
      <c r="AS754" s="860"/>
      <c r="AT754" s="860"/>
      <c r="AU754" s="860"/>
      <c r="AV754" s="860"/>
      <c r="AW754" s="860"/>
      <c r="AX754" s="860"/>
      <c r="AY754" s="860"/>
      <c r="AZ754" s="860"/>
      <c r="BA754" s="860"/>
      <c r="BB754" s="860"/>
      <c r="BC754" s="860"/>
      <c r="BD754" s="860"/>
      <c r="BE754" s="860"/>
      <c r="BF754" s="860"/>
      <c r="BG754" s="860"/>
      <c r="BH754" s="668"/>
      <c r="BI754" s="667"/>
      <c r="BJ754" s="690">
        <f t="shared" si="276"/>
        <v>0</v>
      </c>
      <c r="BK754" s="691">
        <f t="shared" si="277"/>
        <v>0</v>
      </c>
      <c r="BL754" s="654"/>
      <c r="BM754" s="692">
        <f>SUMIFS(Imput[[Importe Neto]:[Importe Neto]],Imput[[C. Imp.]:[C. Imp.]],$D754,Imput[[PERIODO Imp.]:[PERIODO Imp.]],BM$9)</f>
        <v>0</v>
      </c>
      <c r="BN754" s="693">
        <f>SUMIFS(Imput[[Importe Neto]:[Importe Neto]],Imput[[C. Imp.]:[C. Imp.]],$D754,Imput[[PERIODO Imp.]:[PERIODO Imp.]],BN$9)</f>
        <v>0</v>
      </c>
      <c r="BO754" s="693">
        <f>SUMIFS(Imput[[Importe Neto]:[Importe Neto]],Imput[[C. Imp.]:[C. Imp.]],$D754,Imput[[PERIODO Imp.]:[PERIODO Imp.]],BO$9)</f>
        <v>0</v>
      </c>
      <c r="BP754" s="693">
        <f>SUMIFS(Imput[[Importe Neto]:[Importe Neto]],Imput[[C. Imp.]:[C. Imp.]],$D754,Imput[[PERIODO Imp.]:[PERIODO Imp.]],BP$9)</f>
        <v>0</v>
      </c>
      <c r="BQ754" s="693">
        <f>SUMIFS(Imput[[Importe Neto]:[Importe Neto]],Imput[[C. Imp.]:[C. Imp.]],$D754,Imput[[PERIODO Imp.]:[PERIODO Imp.]],BQ$9)</f>
        <v>0</v>
      </c>
      <c r="BR754" s="693">
        <f>SUMIFS(Imput[[Importe Neto]:[Importe Neto]],Imput[[C. Imp.]:[C. Imp.]],$D754,Imput[[PERIODO Imp.]:[PERIODO Imp.]],BR$9)</f>
        <v>0</v>
      </c>
      <c r="BS754" s="693">
        <f>SUMIFS(Imput[[Importe Neto]:[Importe Neto]],Imput[[C. Imp.]:[C. Imp.]],$D754,Imput[[PERIODO Imp.]:[PERIODO Imp.]],BS$9)</f>
        <v>0</v>
      </c>
      <c r="BT754" s="693">
        <f>SUMIFS(Imput[[Importe Neto]:[Importe Neto]],Imput[[C. Imp.]:[C. Imp.]],$D754,Imput[[PERIODO Imp.]:[PERIODO Imp.]],BT$9)</f>
        <v>0</v>
      </c>
      <c r="BU754" s="693">
        <f>SUMIFS(Imput[[Importe Neto]:[Importe Neto]],Imput[[C. Imp.]:[C. Imp.]],$D754,Imput[[PERIODO Imp.]:[PERIODO Imp.]],BU$9)</f>
        <v>0</v>
      </c>
      <c r="BV754" s="693">
        <f>SUMIFS(Imput[[Importe Neto]:[Importe Neto]],Imput[[C. Imp.]:[C. Imp.]],$D754,Imput[[PERIODO Imp.]:[PERIODO Imp.]],BV$9)</f>
        <v>0</v>
      </c>
      <c r="BW754" s="693">
        <f>SUMIFS(Imput[[Importe Neto]:[Importe Neto]],Imput[[C. Imp.]:[C. Imp.]],$D754,Imput[[PERIODO Imp.]:[PERIODO Imp.]],BW$9)</f>
        <v>0</v>
      </c>
      <c r="BX754" s="693">
        <f>SUMIFS(Imput[[Importe Neto]:[Importe Neto]],Imput[[C. Imp.]:[C. Imp.]],$D754,Imput[[PERIODO Imp.]:[PERIODO Imp.]],BX$9)</f>
        <v>0</v>
      </c>
      <c r="BY754" s="693">
        <f>SUMIFS(Imput[[Importe Neto]:[Importe Neto]],Imput[[C. Imp.]:[C. Imp.]],$D754,Imput[[PERIODO Imp.]:[PERIODO Imp.]],BY$9)</f>
        <v>0</v>
      </c>
      <c r="BZ754" s="693">
        <f>SUMIFS(Imput[[Importe Neto]:[Importe Neto]],Imput[[C. Imp.]:[C. Imp.]],$D754,Imput[[PERIODO Imp.]:[PERIODO Imp.]],BZ$9)</f>
        <v>0</v>
      </c>
      <c r="CA754" s="693">
        <f>SUMIFS(Imput[[Importe Neto]:[Importe Neto]],Imput[[C. Imp.]:[C. Imp.]],$D754,Imput[[PERIODO Imp.]:[PERIODO Imp.]],CA$9)</f>
        <v>0</v>
      </c>
      <c r="CB754" s="693">
        <f>SUMIFS(Imput[[Importe Neto]:[Importe Neto]],Imput[[C. Imp.]:[C. Imp.]],$D754,Imput[[PERIODO Imp.]:[PERIODO Imp.]],CB$9)</f>
        <v>0</v>
      </c>
      <c r="CC754" s="693">
        <f>SUMIFS(Imput[[Importe Neto]:[Importe Neto]],Imput[[C. Imp.]:[C. Imp.]],$D754,Imput[[PERIODO Imp.]:[PERIODO Imp.]],CC$9)</f>
        <v>0</v>
      </c>
      <c r="CD754" s="693">
        <f>SUMIFS(Imput[[Importe Neto]:[Importe Neto]],Imput[[C. Imp.]:[C. Imp.]],$D754,Imput[[PERIODO Imp.]:[PERIODO Imp.]],CD$9)</f>
        <v>0</v>
      </c>
      <c r="CE754" s="693">
        <f>SUMIFS(Imput[[Importe Neto]:[Importe Neto]],Imput[[C. Imp.]:[C. Imp.]],$D754,Imput[[PERIODO Imp.]:[PERIODO Imp.]],CE$9)</f>
        <v>0</v>
      </c>
      <c r="CF754" s="693">
        <f>SUMIFS(Imput[[Importe Neto]:[Importe Neto]],Imput[[C. Imp.]:[C. Imp.]],$D754,Imput[[PERIODO Imp.]:[PERIODO Imp.]],CF$9)</f>
        <v>0</v>
      </c>
      <c r="CG754" s="693">
        <f>SUMIFS(Imput[[Importe Neto]:[Importe Neto]],Imput[[C. Imp.]:[C. Imp.]],$D754,Imput[[PERIODO Imp.]:[PERIODO Imp.]],CG$9)</f>
        <v>0</v>
      </c>
      <c r="CH754" s="693">
        <f>SUMIFS(Imput[[Importe Neto]:[Importe Neto]],Imput[[C. Imp.]:[C. Imp.]],$D754,Imput[[PERIODO Imp.]:[PERIODO Imp.]],CH$9)</f>
        <v>0</v>
      </c>
      <c r="CI754" s="693">
        <f>SUMIFS(Imput[[Importe Neto]:[Importe Neto]],Imput[[C. Imp.]:[C. Imp.]],$D754,Imput[[PERIODO Imp.]:[PERIODO Imp.]],CI$9)</f>
        <v>0</v>
      </c>
      <c r="CJ754" s="693">
        <f>SUMIFS(Imput[[Importe Neto]:[Importe Neto]],Imput[[C. Imp.]:[C. Imp.]],$D754,Imput[[PERIODO Imp.]:[PERIODO Imp.]],CJ$9)</f>
        <v>0</v>
      </c>
      <c r="CK754" s="693">
        <f>SUMIFS(Imput[[Importe Neto]:[Importe Neto]],Imput[[C. Imp.]:[C. Imp.]],$D754,Imput[[PERIODO Imp.]:[PERIODO Imp.]],CK$9)</f>
        <v>0</v>
      </c>
      <c r="CL754" s="693">
        <f>SUMIFS(Imput[[Importe Neto]:[Importe Neto]],Imput[[C. Imp.]:[C. Imp.]],$D754,Imput[[PERIODO Imp.]:[PERIODO Imp.]],CL$9)</f>
        <v>0</v>
      </c>
      <c r="CM754" s="693">
        <f>SUMIFS(Imput[[Importe Neto]:[Importe Neto]],Imput[[C. Imp.]:[C. Imp.]],$D754,Imput[[PERIODO Imp.]:[PERIODO Imp.]],CM$9)</f>
        <v>0</v>
      </c>
      <c r="CN754" s="693">
        <f>SUMIFS(Imput[[Importe Neto]:[Importe Neto]],Imput[[C. Imp.]:[C. Imp.]],$D754,Imput[[PERIODO Imp.]:[PERIODO Imp.]],CN$9)</f>
        <v>0</v>
      </c>
      <c r="CO754" s="693">
        <f>SUMIFS(Imput[[Importe Neto]:[Importe Neto]],Imput[[C. Imp.]:[C. Imp.]],$D754,Imput[[PERIODO Imp.]:[PERIODO Imp.]],CO$9)</f>
        <v>0</v>
      </c>
      <c r="CP754" s="693">
        <f>SUMIFS(Imput[[Importe Neto]:[Importe Neto]],Imput[[C. Imp.]:[C. Imp.]],$D754,Imput[[PERIODO Imp.]:[PERIODO Imp.]],CP$9)</f>
        <v>0</v>
      </c>
      <c r="CQ754" s="693">
        <f>SUMIFS(Imput[[Importe Neto]:[Importe Neto]],Imput[[C. Imp.]:[C. Imp.]],$D754,Imput[[PERIODO Imp.]:[PERIODO Imp.]],CQ$9)</f>
        <v>0</v>
      </c>
      <c r="CR754" s="693">
        <f>SUMIFS(Imput[[Importe Neto]:[Importe Neto]],Imput[[C. Imp.]:[C. Imp.]],$D754,Imput[[PERIODO Imp.]:[PERIODO Imp.]],CR$9)</f>
        <v>0</v>
      </c>
      <c r="CS754" s="693">
        <f>SUMIFS(Imput[[Importe Neto]:[Importe Neto]],Imput[[C. Imp.]:[C. Imp.]],$D754,Imput[[PERIODO Imp.]:[PERIODO Imp.]],CS$9)</f>
        <v>0</v>
      </c>
      <c r="CT754" s="693">
        <f>SUMIFS(Imput[[Importe Neto]:[Importe Neto]],Imput[[C. Imp.]:[C. Imp.]],$D754,Imput[[PERIODO Imp.]:[PERIODO Imp.]],CT$9)</f>
        <v>0</v>
      </c>
      <c r="CU754" s="693">
        <f>SUMIFS(Imput[[Importe Neto]:[Importe Neto]],Imput[[C. Imp.]:[C. Imp.]],$D754,Imput[[PERIODO Imp.]:[PERIODO Imp.]],CU$9)</f>
        <v>0</v>
      </c>
      <c r="CV754" s="693">
        <f>SUMIFS(Imput[[Importe Neto]:[Importe Neto]],Imput[[C. Imp.]:[C. Imp.]],$D754,Imput[[PERIODO Imp.]:[PERIODO Imp.]],CV$9)</f>
        <v>0</v>
      </c>
      <c r="CW754" s="693">
        <f>SUMIFS(Imput[[Importe Neto]:[Importe Neto]],Imput[[C. Imp.]:[C. Imp.]],$D754,Imput[[PERIODO Imp.]:[PERIODO Imp.]],CW$9)</f>
        <v>0</v>
      </c>
      <c r="CX754" s="693">
        <f>SUMIFS(Imput[[Importe Neto]:[Importe Neto]],Imput[[C. Imp.]:[C. Imp.]],$D754,Imput[[PERIODO Imp.]:[PERIODO Imp.]],CX$9)</f>
        <v>0</v>
      </c>
      <c r="CY754" s="693">
        <f>SUMIFS(Imput[[Importe Neto]:[Importe Neto]],Imput[[C. Imp.]:[C. Imp.]],$D754,Imput[[PERIODO Imp.]:[PERIODO Imp.]],CY$9)</f>
        <v>0</v>
      </c>
      <c r="CZ754" s="693">
        <f>SUMIFS(Imput[[Importe Neto]:[Importe Neto]],Imput[[C. Imp.]:[C. Imp.]],$D754,Imput[[PERIODO Imp.]:[PERIODO Imp.]],CZ$9)</f>
        <v>0</v>
      </c>
      <c r="DA754" s="693">
        <f>SUMIFS(Imput[[Importe Neto]:[Importe Neto]],Imput[[C. Imp.]:[C. Imp.]],$D754,Imput[[PERIODO Imp.]:[PERIODO Imp.]],DA$9)</f>
        <v>0</v>
      </c>
      <c r="DB754" s="693">
        <f>SUMIFS(Imput[[Importe Neto]:[Importe Neto]],Imput[[C. Imp.]:[C. Imp.]],$D754,Imput[[PERIODO Imp.]:[PERIODO Imp.]],DB$9)</f>
        <v>0</v>
      </c>
      <c r="DC754" s="693">
        <f>SUMIFS(Imput[[Importe Neto]:[Importe Neto]],Imput[[C. Imp.]:[C. Imp.]],$D754,Imput[[PERIODO Imp.]:[PERIODO Imp.]],DC$9)</f>
        <v>0</v>
      </c>
      <c r="DD754" s="693">
        <f>SUMIFS(Imput[[Importe Neto]:[Importe Neto]],Imput[[C. Imp.]:[C. Imp.]],$D754,Imput[[PERIODO Imp.]:[PERIODO Imp.]],DD$9)</f>
        <v>0</v>
      </c>
      <c r="DE754" s="693">
        <f>SUMIFS(Imput[[Importe Neto]:[Importe Neto]],Imput[[C. Imp.]:[C. Imp.]],$D754,Imput[[PERIODO Imp.]:[PERIODO Imp.]],DE$9)</f>
        <v>0</v>
      </c>
      <c r="DF754" s="693">
        <f>SUMIFS(Imput[[Importe Neto]:[Importe Neto]],Imput[[C. Imp.]:[C. Imp.]],$D754,Imput[[PERIODO Imp.]:[PERIODO Imp.]],DF$9)</f>
        <v>0</v>
      </c>
      <c r="DG754" s="693">
        <f>SUMIFS(Imput[[Importe Neto]:[Importe Neto]],Imput[[C. Imp.]:[C. Imp.]],$D754,Imput[[PERIODO Imp.]:[PERIODO Imp.]],DG$9)</f>
        <v>0</v>
      </c>
      <c r="DH754" s="694">
        <f>SUMIFS(Imput[[Importe Neto]:[Importe Neto]],Imput[[C. Imp.]:[C. Imp.]],$D754,Imput[[PERIODO Imp.]:[PERIODO Imp.]],DH$9)</f>
        <v>0</v>
      </c>
    </row>
    <row r="755" spans="1:112" s="649" customFormat="1" hidden="1" outlineLevel="1" x14ac:dyDescent="0.3">
      <c r="A755" s="652" t="str">
        <f t="shared" si="273"/>
        <v/>
      </c>
      <c r="B755" s="652"/>
      <c r="C755" s="685"/>
      <c r="D755" s="686" t="s">
        <v>2739</v>
      </c>
      <c r="E755" s="686"/>
      <c r="F755" s="720"/>
      <c r="G755" s="688"/>
      <c r="H755" s="689"/>
      <c r="I755" s="851" t="str">
        <f t="shared" si="274"/>
        <v/>
      </c>
      <c r="J755" s="850" t="str">
        <f t="shared" si="275"/>
        <v/>
      </c>
      <c r="K755" s="667"/>
      <c r="L755" s="858"/>
      <c r="M755" s="859"/>
      <c r="N755" s="859"/>
      <c r="O755" s="859"/>
      <c r="P755" s="859"/>
      <c r="Q755" s="859"/>
      <c r="R755" s="859"/>
      <c r="S755" s="859"/>
      <c r="T755" s="859"/>
      <c r="U755" s="859"/>
      <c r="V755" s="859"/>
      <c r="W755" s="859"/>
      <c r="X755" s="859"/>
      <c r="Y755" s="859"/>
      <c r="Z755" s="860"/>
      <c r="AA755" s="860"/>
      <c r="AB755" s="860"/>
      <c r="AC755" s="860"/>
      <c r="AD755" s="860"/>
      <c r="AE755" s="860"/>
      <c r="AF755" s="860"/>
      <c r="AG755" s="860"/>
      <c r="AH755" s="860"/>
      <c r="AI755" s="860"/>
      <c r="AJ755" s="860"/>
      <c r="AK755" s="860"/>
      <c r="AL755" s="860"/>
      <c r="AM755" s="860"/>
      <c r="AN755" s="860"/>
      <c r="AO755" s="860"/>
      <c r="AP755" s="860"/>
      <c r="AQ755" s="860"/>
      <c r="AR755" s="860"/>
      <c r="AS755" s="860"/>
      <c r="AT755" s="860"/>
      <c r="AU755" s="860"/>
      <c r="AV755" s="860"/>
      <c r="AW755" s="860"/>
      <c r="AX755" s="860"/>
      <c r="AY755" s="860"/>
      <c r="AZ755" s="860"/>
      <c r="BA755" s="860"/>
      <c r="BB755" s="860"/>
      <c r="BC755" s="860"/>
      <c r="BD755" s="860"/>
      <c r="BE755" s="860"/>
      <c r="BF755" s="860"/>
      <c r="BG755" s="860"/>
      <c r="BH755" s="780"/>
      <c r="BI755" s="654"/>
      <c r="BJ755" s="690">
        <f t="shared" si="276"/>
        <v>0</v>
      </c>
      <c r="BK755" s="691">
        <f t="shared" si="277"/>
        <v>0</v>
      </c>
      <c r="BL755" s="654"/>
      <c r="BM755" s="692">
        <f>SUMIFS(Imput[[Importe Neto]:[Importe Neto]],Imput[[C. Imp.]:[C. Imp.]],$D755,Imput[[PERIODO Imp.]:[PERIODO Imp.]],BM$9)</f>
        <v>0</v>
      </c>
      <c r="BN755" s="693">
        <f>SUMIFS(Imput[[Importe Neto]:[Importe Neto]],Imput[[C. Imp.]:[C. Imp.]],$D755,Imput[[PERIODO Imp.]:[PERIODO Imp.]],BN$9)</f>
        <v>0</v>
      </c>
      <c r="BO755" s="693">
        <f>SUMIFS(Imput[[Importe Neto]:[Importe Neto]],Imput[[C. Imp.]:[C. Imp.]],$D755,Imput[[PERIODO Imp.]:[PERIODO Imp.]],BO$9)</f>
        <v>0</v>
      </c>
      <c r="BP755" s="693">
        <f>SUMIFS(Imput[[Importe Neto]:[Importe Neto]],Imput[[C. Imp.]:[C. Imp.]],$D755,Imput[[PERIODO Imp.]:[PERIODO Imp.]],BP$9)</f>
        <v>0</v>
      </c>
      <c r="BQ755" s="693">
        <f>SUMIFS(Imput[[Importe Neto]:[Importe Neto]],Imput[[C. Imp.]:[C. Imp.]],$D755,Imput[[PERIODO Imp.]:[PERIODO Imp.]],BQ$9)</f>
        <v>0</v>
      </c>
      <c r="BR755" s="693">
        <f>SUMIFS(Imput[[Importe Neto]:[Importe Neto]],Imput[[C. Imp.]:[C. Imp.]],$D755,Imput[[PERIODO Imp.]:[PERIODO Imp.]],BR$9)</f>
        <v>0</v>
      </c>
      <c r="BS755" s="693">
        <f>SUMIFS(Imput[[Importe Neto]:[Importe Neto]],Imput[[C. Imp.]:[C. Imp.]],$D755,Imput[[PERIODO Imp.]:[PERIODO Imp.]],BS$9)</f>
        <v>0</v>
      </c>
      <c r="BT755" s="693">
        <f>SUMIFS(Imput[[Importe Neto]:[Importe Neto]],Imput[[C. Imp.]:[C. Imp.]],$D755,Imput[[PERIODO Imp.]:[PERIODO Imp.]],BT$9)</f>
        <v>0</v>
      </c>
      <c r="BU755" s="693">
        <f>SUMIFS(Imput[[Importe Neto]:[Importe Neto]],Imput[[C. Imp.]:[C. Imp.]],$D755,Imput[[PERIODO Imp.]:[PERIODO Imp.]],BU$9)</f>
        <v>0</v>
      </c>
      <c r="BV755" s="693">
        <f>SUMIFS(Imput[[Importe Neto]:[Importe Neto]],Imput[[C. Imp.]:[C. Imp.]],$D755,Imput[[PERIODO Imp.]:[PERIODO Imp.]],BV$9)</f>
        <v>0</v>
      </c>
      <c r="BW755" s="693">
        <f>SUMIFS(Imput[[Importe Neto]:[Importe Neto]],Imput[[C. Imp.]:[C. Imp.]],$D755,Imput[[PERIODO Imp.]:[PERIODO Imp.]],BW$9)</f>
        <v>0</v>
      </c>
      <c r="BX755" s="693">
        <f>SUMIFS(Imput[[Importe Neto]:[Importe Neto]],Imput[[C. Imp.]:[C. Imp.]],$D755,Imput[[PERIODO Imp.]:[PERIODO Imp.]],BX$9)</f>
        <v>0</v>
      </c>
      <c r="BY755" s="693">
        <f>SUMIFS(Imput[[Importe Neto]:[Importe Neto]],Imput[[C. Imp.]:[C. Imp.]],$D755,Imput[[PERIODO Imp.]:[PERIODO Imp.]],BY$9)</f>
        <v>0</v>
      </c>
      <c r="BZ755" s="693">
        <f>SUMIFS(Imput[[Importe Neto]:[Importe Neto]],Imput[[C. Imp.]:[C. Imp.]],$D755,Imput[[PERIODO Imp.]:[PERIODO Imp.]],BZ$9)</f>
        <v>0</v>
      </c>
      <c r="CA755" s="693">
        <f>SUMIFS(Imput[[Importe Neto]:[Importe Neto]],Imput[[C. Imp.]:[C. Imp.]],$D755,Imput[[PERIODO Imp.]:[PERIODO Imp.]],CA$9)</f>
        <v>0</v>
      </c>
      <c r="CB755" s="693">
        <f>SUMIFS(Imput[[Importe Neto]:[Importe Neto]],Imput[[C. Imp.]:[C. Imp.]],$D755,Imput[[PERIODO Imp.]:[PERIODO Imp.]],CB$9)</f>
        <v>0</v>
      </c>
      <c r="CC755" s="693">
        <f>SUMIFS(Imput[[Importe Neto]:[Importe Neto]],Imput[[C. Imp.]:[C. Imp.]],$D755,Imput[[PERIODO Imp.]:[PERIODO Imp.]],CC$9)</f>
        <v>0</v>
      </c>
      <c r="CD755" s="693">
        <f>SUMIFS(Imput[[Importe Neto]:[Importe Neto]],Imput[[C. Imp.]:[C. Imp.]],$D755,Imput[[PERIODO Imp.]:[PERIODO Imp.]],CD$9)</f>
        <v>0</v>
      </c>
      <c r="CE755" s="693">
        <f>SUMIFS(Imput[[Importe Neto]:[Importe Neto]],Imput[[C. Imp.]:[C. Imp.]],$D755,Imput[[PERIODO Imp.]:[PERIODO Imp.]],CE$9)</f>
        <v>0</v>
      </c>
      <c r="CF755" s="693">
        <f>SUMIFS(Imput[[Importe Neto]:[Importe Neto]],Imput[[C. Imp.]:[C. Imp.]],$D755,Imput[[PERIODO Imp.]:[PERIODO Imp.]],CF$9)</f>
        <v>0</v>
      </c>
      <c r="CG755" s="693">
        <f>SUMIFS(Imput[[Importe Neto]:[Importe Neto]],Imput[[C. Imp.]:[C. Imp.]],$D755,Imput[[PERIODO Imp.]:[PERIODO Imp.]],CG$9)</f>
        <v>0</v>
      </c>
      <c r="CH755" s="693">
        <f>SUMIFS(Imput[[Importe Neto]:[Importe Neto]],Imput[[C. Imp.]:[C. Imp.]],$D755,Imput[[PERIODO Imp.]:[PERIODO Imp.]],CH$9)</f>
        <v>0</v>
      </c>
      <c r="CI755" s="693">
        <f>SUMIFS(Imput[[Importe Neto]:[Importe Neto]],Imput[[C. Imp.]:[C. Imp.]],$D755,Imput[[PERIODO Imp.]:[PERIODO Imp.]],CI$9)</f>
        <v>0</v>
      </c>
      <c r="CJ755" s="693">
        <f>SUMIFS(Imput[[Importe Neto]:[Importe Neto]],Imput[[C. Imp.]:[C. Imp.]],$D755,Imput[[PERIODO Imp.]:[PERIODO Imp.]],CJ$9)</f>
        <v>0</v>
      </c>
      <c r="CK755" s="693">
        <f>SUMIFS(Imput[[Importe Neto]:[Importe Neto]],Imput[[C. Imp.]:[C. Imp.]],$D755,Imput[[PERIODO Imp.]:[PERIODO Imp.]],CK$9)</f>
        <v>0</v>
      </c>
      <c r="CL755" s="693">
        <f>SUMIFS(Imput[[Importe Neto]:[Importe Neto]],Imput[[C. Imp.]:[C. Imp.]],$D755,Imput[[PERIODO Imp.]:[PERIODO Imp.]],CL$9)</f>
        <v>0</v>
      </c>
      <c r="CM755" s="693">
        <f>SUMIFS(Imput[[Importe Neto]:[Importe Neto]],Imput[[C. Imp.]:[C. Imp.]],$D755,Imput[[PERIODO Imp.]:[PERIODO Imp.]],CM$9)</f>
        <v>0</v>
      </c>
      <c r="CN755" s="693">
        <f>SUMIFS(Imput[[Importe Neto]:[Importe Neto]],Imput[[C. Imp.]:[C. Imp.]],$D755,Imput[[PERIODO Imp.]:[PERIODO Imp.]],CN$9)</f>
        <v>0</v>
      </c>
      <c r="CO755" s="693">
        <f>SUMIFS(Imput[[Importe Neto]:[Importe Neto]],Imput[[C. Imp.]:[C. Imp.]],$D755,Imput[[PERIODO Imp.]:[PERIODO Imp.]],CO$9)</f>
        <v>0</v>
      </c>
      <c r="CP755" s="693">
        <f>SUMIFS(Imput[[Importe Neto]:[Importe Neto]],Imput[[C. Imp.]:[C. Imp.]],$D755,Imput[[PERIODO Imp.]:[PERIODO Imp.]],CP$9)</f>
        <v>0</v>
      </c>
      <c r="CQ755" s="693">
        <f>SUMIFS(Imput[[Importe Neto]:[Importe Neto]],Imput[[C. Imp.]:[C. Imp.]],$D755,Imput[[PERIODO Imp.]:[PERIODO Imp.]],CQ$9)</f>
        <v>0</v>
      </c>
      <c r="CR755" s="693">
        <f>SUMIFS(Imput[[Importe Neto]:[Importe Neto]],Imput[[C. Imp.]:[C. Imp.]],$D755,Imput[[PERIODO Imp.]:[PERIODO Imp.]],CR$9)</f>
        <v>0</v>
      </c>
      <c r="CS755" s="693">
        <f>SUMIFS(Imput[[Importe Neto]:[Importe Neto]],Imput[[C. Imp.]:[C. Imp.]],$D755,Imput[[PERIODO Imp.]:[PERIODO Imp.]],CS$9)</f>
        <v>0</v>
      </c>
      <c r="CT755" s="693">
        <f>SUMIFS(Imput[[Importe Neto]:[Importe Neto]],Imput[[C. Imp.]:[C. Imp.]],$D755,Imput[[PERIODO Imp.]:[PERIODO Imp.]],CT$9)</f>
        <v>0</v>
      </c>
      <c r="CU755" s="693">
        <f>SUMIFS(Imput[[Importe Neto]:[Importe Neto]],Imput[[C. Imp.]:[C. Imp.]],$D755,Imput[[PERIODO Imp.]:[PERIODO Imp.]],CU$9)</f>
        <v>0</v>
      </c>
      <c r="CV755" s="693">
        <f>SUMIFS(Imput[[Importe Neto]:[Importe Neto]],Imput[[C. Imp.]:[C. Imp.]],$D755,Imput[[PERIODO Imp.]:[PERIODO Imp.]],CV$9)</f>
        <v>0</v>
      </c>
      <c r="CW755" s="693">
        <f>SUMIFS(Imput[[Importe Neto]:[Importe Neto]],Imput[[C. Imp.]:[C. Imp.]],$D755,Imput[[PERIODO Imp.]:[PERIODO Imp.]],CW$9)</f>
        <v>0</v>
      </c>
      <c r="CX755" s="693">
        <f>SUMIFS(Imput[[Importe Neto]:[Importe Neto]],Imput[[C. Imp.]:[C. Imp.]],$D755,Imput[[PERIODO Imp.]:[PERIODO Imp.]],CX$9)</f>
        <v>0</v>
      </c>
      <c r="CY755" s="693">
        <f>SUMIFS(Imput[[Importe Neto]:[Importe Neto]],Imput[[C. Imp.]:[C. Imp.]],$D755,Imput[[PERIODO Imp.]:[PERIODO Imp.]],CY$9)</f>
        <v>0</v>
      </c>
      <c r="CZ755" s="693">
        <f>SUMIFS(Imput[[Importe Neto]:[Importe Neto]],Imput[[C. Imp.]:[C. Imp.]],$D755,Imput[[PERIODO Imp.]:[PERIODO Imp.]],CZ$9)</f>
        <v>0</v>
      </c>
      <c r="DA755" s="693">
        <f>SUMIFS(Imput[[Importe Neto]:[Importe Neto]],Imput[[C. Imp.]:[C. Imp.]],$D755,Imput[[PERIODO Imp.]:[PERIODO Imp.]],DA$9)</f>
        <v>0</v>
      </c>
      <c r="DB755" s="693">
        <f>SUMIFS(Imput[[Importe Neto]:[Importe Neto]],Imput[[C. Imp.]:[C. Imp.]],$D755,Imput[[PERIODO Imp.]:[PERIODO Imp.]],DB$9)</f>
        <v>0</v>
      </c>
      <c r="DC755" s="693">
        <f>SUMIFS(Imput[[Importe Neto]:[Importe Neto]],Imput[[C. Imp.]:[C. Imp.]],$D755,Imput[[PERIODO Imp.]:[PERIODO Imp.]],DC$9)</f>
        <v>0</v>
      </c>
      <c r="DD755" s="693">
        <f>SUMIFS(Imput[[Importe Neto]:[Importe Neto]],Imput[[C. Imp.]:[C. Imp.]],$D755,Imput[[PERIODO Imp.]:[PERIODO Imp.]],DD$9)</f>
        <v>0</v>
      </c>
      <c r="DE755" s="693">
        <f>SUMIFS(Imput[[Importe Neto]:[Importe Neto]],Imput[[C. Imp.]:[C. Imp.]],$D755,Imput[[PERIODO Imp.]:[PERIODO Imp.]],DE$9)</f>
        <v>0</v>
      </c>
      <c r="DF755" s="693">
        <f>SUMIFS(Imput[[Importe Neto]:[Importe Neto]],Imput[[C. Imp.]:[C. Imp.]],$D755,Imput[[PERIODO Imp.]:[PERIODO Imp.]],DF$9)</f>
        <v>0</v>
      </c>
      <c r="DG755" s="693">
        <f>SUMIFS(Imput[[Importe Neto]:[Importe Neto]],Imput[[C. Imp.]:[C. Imp.]],$D755,Imput[[PERIODO Imp.]:[PERIODO Imp.]],DG$9)</f>
        <v>0</v>
      </c>
      <c r="DH755" s="694">
        <f>SUMIFS(Imput[[Importe Neto]:[Importe Neto]],Imput[[C. Imp.]:[C. Imp.]],$D755,Imput[[PERIODO Imp.]:[PERIODO Imp.]],DH$9)</f>
        <v>0</v>
      </c>
    </row>
    <row r="756" spans="1:112" s="649" customFormat="1" hidden="1" outlineLevel="1" x14ac:dyDescent="0.3">
      <c r="A756" s="652" t="str">
        <f t="shared" si="273"/>
        <v/>
      </c>
      <c r="B756" s="652"/>
      <c r="C756" s="685"/>
      <c r="D756" s="686" t="s">
        <v>2740</v>
      </c>
      <c r="E756" s="686"/>
      <c r="F756" s="720"/>
      <c r="G756" s="688"/>
      <c r="H756" s="689"/>
      <c r="I756" s="851" t="str">
        <f t="shared" si="274"/>
        <v/>
      </c>
      <c r="J756" s="850" t="str">
        <f t="shared" si="275"/>
        <v/>
      </c>
      <c r="K756" s="678"/>
      <c r="L756" s="858"/>
      <c r="M756" s="859"/>
      <c r="N756" s="859"/>
      <c r="O756" s="859"/>
      <c r="P756" s="859"/>
      <c r="Q756" s="859"/>
      <c r="R756" s="859"/>
      <c r="S756" s="859"/>
      <c r="T756" s="859"/>
      <c r="U756" s="859"/>
      <c r="V756" s="859"/>
      <c r="W756" s="859"/>
      <c r="X756" s="859"/>
      <c r="Y756" s="859"/>
      <c r="Z756" s="860"/>
      <c r="AA756" s="860"/>
      <c r="AB756" s="860"/>
      <c r="AC756" s="860"/>
      <c r="AD756" s="860"/>
      <c r="AE756" s="860"/>
      <c r="AF756" s="860"/>
      <c r="AG756" s="860"/>
      <c r="AH756" s="860"/>
      <c r="AI756" s="860"/>
      <c r="AJ756" s="860"/>
      <c r="AK756" s="860"/>
      <c r="AL756" s="860"/>
      <c r="AM756" s="860"/>
      <c r="AN756" s="860"/>
      <c r="AO756" s="860"/>
      <c r="AP756" s="860"/>
      <c r="AQ756" s="860"/>
      <c r="AR756" s="860"/>
      <c r="AS756" s="860"/>
      <c r="AT756" s="860"/>
      <c r="AU756" s="860"/>
      <c r="AV756" s="860"/>
      <c r="AW756" s="860"/>
      <c r="AX756" s="860"/>
      <c r="AY756" s="860"/>
      <c r="AZ756" s="860"/>
      <c r="BA756" s="860"/>
      <c r="BB756" s="860"/>
      <c r="BC756" s="860"/>
      <c r="BD756" s="860"/>
      <c r="BE756" s="860"/>
      <c r="BF756" s="860"/>
      <c r="BG756" s="860"/>
      <c r="BH756" s="668"/>
      <c r="BI756" s="654"/>
      <c r="BJ756" s="690">
        <f t="shared" si="276"/>
        <v>0</v>
      </c>
      <c r="BK756" s="691">
        <f t="shared" si="277"/>
        <v>0</v>
      </c>
      <c r="BL756" s="654"/>
      <c r="BM756" s="692">
        <f>SUMIFS(Imput[[Importe Neto]:[Importe Neto]],Imput[[C. Imp.]:[C. Imp.]],$D756,Imput[[PERIODO Imp.]:[PERIODO Imp.]],BM$9)</f>
        <v>0</v>
      </c>
      <c r="BN756" s="693">
        <f>SUMIFS(Imput[[Importe Neto]:[Importe Neto]],Imput[[C. Imp.]:[C. Imp.]],$D756,Imput[[PERIODO Imp.]:[PERIODO Imp.]],BN$9)</f>
        <v>0</v>
      </c>
      <c r="BO756" s="693">
        <f>SUMIFS(Imput[[Importe Neto]:[Importe Neto]],Imput[[C. Imp.]:[C. Imp.]],$D756,Imput[[PERIODO Imp.]:[PERIODO Imp.]],BO$9)</f>
        <v>0</v>
      </c>
      <c r="BP756" s="693">
        <f>SUMIFS(Imput[[Importe Neto]:[Importe Neto]],Imput[[C. Imp.]:[C. Imp.]],$D756,Imput[[PERIODO Imp.]:[PERIODO Imp.]],BP$9)</f>
        <v>0</v>
      </c>
      <c r="BQ756" s="693">
        <f>SUMIFS(Imput[[Importe Neto]:[Importe Neto]],Imput[[C. Imp.]:[C. Imp.]],$D756,Imput[[PERIODO Imp.]:[PERIODO Imp.]],BQ$9)</f>
        <v>0</v>
      </c>
      <c r="BR756" s="693">
        <f>SUMIFS(Imput[[Importe Neto]:[Importe Neto]],Imput[[C. Imp.]:[C. Imp.]],$D756,Imput[[PERIODO Imp.]:[PERIODO Imp.]],BR$9)</f>
        <v>0</v>
      </c>
      <c r="BS756" s="693">
        <f>SUMIFS(Imput[[Importe Neto]:[Importe Neto]],Imput[[C. Imp.]:[C. Imp.]],$D756,Imput[[PERIODO Imp.]:[PERIODO Imp.]],BS$9)</f>
        <v>0</v>
      </c>
      <c r="BT756" s="693">
        <f>SUMIFS(Imput[[Importe Neto]:[Importe Neto]],Imput[[C. Imp.]:[C. Imp.]],$D756,Imput[[PERIODO Imp.]:[PERIODO Imp.]],BT$9)</f>
        <v>0</v>
      </c>
      <c r="BU756" s="693">
        <f>SUMIFS(Imput[[Importe Neto]:[Importe Neto]],Imput[[C. Imp.]:[C. Imp.]],$D756,Imput[[PERIODO Imp.]:[PERIODO Imp.]],BU$9)</f>
        <v>0</v>
      </c>
      <c r="BV756" s="693">
        <f>SUMIFS(Imput[[Importe Neto]:[Importe Neto]],Imput[[C. Imp.]:[C. Imp.]],$D756,Imput[[PERIODO Imp.]:[PERIODO Imp.]],BV$9)</f>
        <v>0</v>
      </c>
      <c r="BW756" s="693">
        <f>SUMIFS(Imput[[Importe Neto]:[Importe Neto]],Imput[[C. Imp.]:[C. Imp.]],$D756,Imput[[PERIODO Imp.]:[PERIODO Imp.]],BW$9)</f>
        <v>0</v>
      </c>
      <c r="BX756" s="693">
        <f>SUMIFS(Imput[[Importe Neto]:[Importe Neto]],Imput[[C. Imp.]:[C. Imp.]],$D756,Imput[[PERIODO Imp.]:[PERIODO Imp.]],BX$9)</f>
        <v>0</v>
      </c>
      <c r="BY756" s="693">
        <f>SUMIFS(Imput[[Importe Neto]:[Importe Neto]],Imput[[C. Imp.]:[C. Imp.]],$D756,Imput[[PERIODO Imp.]:[PERIODO Imp.]],BY$9)</f>
        <v>0</v>
      </c>
      <c r="BZ756" s="693">
        <f>SUMIFS(Imput[[Importe Neto]:[Importe Neto]],Imput[[C. Imp.]:[C. Imp.]],$D756,Imput[[PERIODO Imp.]:[PERIODO Imp.]],BZ$9)</f>
        <v>0</v>
      </c>
      <c r="CA756" s="693">
        <f>SUMIFS(Imput[[Importe Neto]:[Importe Neto]],Imput[[C. Imp.]:[C. Imp.]],$D756,Imput[[PERIODO Imp.]:[PERIODO Imp.]],CA$9)</f>
        <v>0</v>
      </c>
      <c r="CB756" s="693">
        <f>SUMIFS(Imput[[Importe Neto]:[Importe Neto]],Imput[[C. Imp.]:[C. Imp.]],$D756,Imput[[PERIODO Imp.]:[PERIODO Imp.]],CB$9)</f>
        <v>0</v>
      </c>
      <c r="CC756" s="693">
        <f>SUMIFS(Imput[[Importe Neto]:[Importe Neto]],Imput[[C. Imp.]:[C. Imp.]],$D756,Imput[[PERIODO Imp.]:[PERIODO Imp.]],CC$9)</f>
        <v>0</v>
      </c>
      <c r="CD756" s="693">
        <f>SUMIFS(Imput[[Importe Neto]:[Importe Neto]],Imput[[C. Imp.]:[C. Imp.]],$D756,Imput[[PERIODO Imp.]:[PERIODO Imp.]],CD$9)</f>
        <v>0</v>
      </c>
      <c r="CE756" s="693">
        <f>SUMIFS(Imput[[Importe Neto]:[Importe Neto]],Imput[[C. Imp.]:[C. Imp.]],$D756,Imput[[PERIODO Imp.]:[PERIODO Imp.]],CE$9)</f>
        <v>0</v>
      </c>
      <c r="CF756" s="693">
        <f>SUMIFS(Imput[[Importe Neto]:[Importe Neto]],Imput[[C. Imp.]:[C. Imp.]],$D756,Imput[[PERIODO Imp.]:[PERIODO Imp.]],CF$9)</f>
        <v>0</v>
      </c>
      <c r="CG756" s="693">
        <f>SUMIFS(Imput[[Importe Neto]:[Importe Neto]],Imput[[C. Imp.]:[C. Imp.]],$D756,Imput[[PERIODO Imp.]:[PERIODO Imp.]],CG$9)</f>
        <v>0</v>
      </c>
      <c r="CH756" s="693">
        <f>SUMIFS(Imput[[Importe Neto]:[Importe Neto]],Imput[[C. Imp.]:[C. Imp.]],$D756,Imput[[PERIODO Imp.]:[PERIODO Imp.]],CH$9)</f>
        <v>0</v>
      </c>
      <c r="CI756" s="693">
        <f>SUMIFS(Imput[[Importe Neto]:[Importe Neto]],Imput[[C. Imp.]:[C. Imp.]],$D756,Imput[[PERIODO Imp.]:[PERIODO Imp.]],CI$9)</f>
        <v>0</v>
      </c>
      <c r="CJ756" s="693">
        <f>SUMIFS(Imput[[Importe Neto]:[Importe Neto]],Imput[[C. Imp.]:[C. Imp.]],$D756,Imput[[PERIODO Imp.]:[PERIODO Imp.]],CJ$9)</f>
        <v>0</v>
      </c>
      <c r="CK756" s="693">
        <f>SUMIFS(Imput[[Importe Neto]:[Importe Neto]],Imput[[C. Imp.]:[C. Imp.]],$D756,Imput[[PERIODO Imp.]:[PERIODO Imp.]],CK$9)</f>
        <v>0</v>
      </c>
      <c r="CL756" s="693">
        <f>SUMIFS(Imput[[Importe Neto]:[Importe Neto]],Imput[[C. Imp.]:[C. Imp.]],$D756,Imput[[PERIODO Imp.]:[PERIODO Imp.]],CL$9)</f>
        <v>0</v>
      </c>
      <c r="CM756" s="693">
        <f>SUMIFS(Imput[[Importe Neto]:[Importe Neto]],Imput[[C. Imp.]:[C. Imp.]],$D756,Imput[[PERIODO Imp.]:[PERIODO Imp.]],CM$9)</f>
        <v>0</v>
      </c>
      <c r="CN756" s="693">
        <f>SUMIFS(Imput[[Importe Neto]:[Importe Neto]],Imput[[C. Imp.]:[C. Imp.]],$D756,Imput[[PERIODO Imp.]:[PERIODO Imp.]],CN$9)</f>
        <v>0</v>
      </c>
      <c r="CO756" s="693">
        <f>SUMIFS(Imput[[Importe Neto]:[Importe Neto]],Imput[[C. Imp.]:[C. Imp.]],$D756,Imput[[PERIODO Imp.]:[PERIODO Imp.]],CO$9)</f>
        <v>0</v>
      </c>
      <c r="CP756" s="693">
        <f>SUMIFS(Imput[[Importe Neto]:[Importe Neto]],Imput[[C. Imp.]:[C. Imp.]],$D756,Imput[[PERIODO Imp.]:[PERIODO Imp.]],CP$9)</f>
        <v>0</v>
      </c>
      <c r="CQ756" s="693">
        <f>SUMIFS(Imput[[Importe Neto]:[Importe Neto]],Imput[[C. Imp.]:[C. Imp.]],$D756,Imput[[PERIODO Imp.]:[PERIODO Imp.]],CQ$9)</f>
        <v>0</v>
      </c>
      <c r="CR756" s="693">
        <f>SUMIFS(Imput[[Importe Neto]:[Importe Neto]],Imput[[C. Imp.]:[C. Imp.]],$D756,Imput[[PERIODO Imp.]:[PERIODO Imp.]],CR$9)</f>
        <v>0</v>
      </c>
      <c r="CS756" s="693">
        <f>SUMIFS(Imput[[Importe Neto]:[Importe Neto]],Imput[[C. Imp.]:[C. Imp.]],$D756,Imput[[PERIODO Imp.]:[PERIODO Imp.]],CS$9)</f>
        <v>0</v>
      </c>
      <c r="CT756" s="693">
        <f>SUMIFS(Imput[[Importe Neto]:[Importe Neto]],Imput[[C. Imp.]:[C. Imp.]],$D756,Imput[[PERIODO Imp.]:[PERIODO Imp.]],CT$9)</f>
        <v>0</v>
      </c>
      <c r="CU756" s="693">
        <f>SUMIFS(Imput[[Importe Neto]:[Importe Neto]],Imput[[C. Imp.]:[C. Imp.]],$D756,Imput[[PERIODO Imp.]:[PERIODO Imp.]],CU$9)</f>
        <v>0</v>
      </c>
      <c r="CV756" s="693">
        <f>SUMIFS(Imput[[Importe Neto]:[Importe Neto]],Imput[[C. Imp.]:[C. Imp.]],$D756,Imput[[PERIODO Imp.]:[PERIODO Imp.]],CV$9)</f>
        <v>0</v>
      </c>
      <c r="CW756" s="693">
        <f>SUMIFS(Imput[[Importe Neto]:[Importe Neto]],Imput[[C. Imp.]:[C. Imp.]],$D756,Imput[[PERIODO Imp.]:[PERIODO Imp.]],CW$9)</f>
        <v>0</v>
      </c>
      <c r="CX756" s="693">
        <f>SUMIFS(Imput[[Importe Neto]:[Importe Neto]],Imput[[C. Imp.]:[C. Imp.]],$D756,Imput[[PERIODO Imp.]:[PERIODO Imp.]],CX$9)</f>
        <v>0</v>
      </c>
      <c r="CY756" s="693">
        <f>SUMIFS(Imput[[Importe Neto]:[Importe Neto]],Imput[[C. Imp.]:[C. Imp.]],$D756,Imput[[PERIODO Imp.]:[PERIODO Imp.]],CY$9)</f>
        <v>0</v>
      </c>
      <c r="CZ756" s="693">
        <f>SUMIFS(Imput[[Importe Neto]:[Importe Neto]],Imput[[C. Imp.]:[C. Imp.]],$D756,Imput[[PERIODO Imp.]:[PERIODO Imp.]],CZ$9)</f>
        <v>0</v>
      </c>
      <c r="DA756" s="693">
        <f>SUMIFS(Imput[[Importe Neto]:[Importe Neto]],Imput[[C. Imp.]:[C. Imp.]],$D756,Imput[[PERIODO Imp.]:[PERIODO Imp.]],DA$9)</f>
        <v>0</v>
      </c>
      <c r="DB756" s="693">
        <f>SUMIFS(Imput[[Importe Neto]:[Importe Neto]],Imput[[C. Imp.]:[C. Imp.]],$D756,Imput[[PERIODO Imp.]:[PERIODO Imp.]],DB$9)</f>
        <v>0</v>
      </c>
      <c r="DC756" s="693">
        <f>SUMIFS(Imput[[Importe Neto]:[Importe Neto]],Imput[[C. Imp.]:[C. Imp.]],$D756,Imput[[PERIODO Imp.]:[PERIODO Imp.]],DC$9)</f>
        <v>0</v>
      </c>
      <c r="DD756" s="693">
        <f>SUMIFS(Imput[[Importe Neto]:[Importe Neto]],Imput[[C. Imp.]:[C. Imp.]],$D756,Imput[[PERIODO Imp.]:[PERIODO Imp.]],DD$9)</f>
        <v>0</v>
      </c>
      <c r="DE756" s="693">
        <f>SUMIFS(Imput[[Importe Neto]:[Importe Neto]],Imput[[C. Imp.]:[C. Imp.]],$D756,Imput[[PERIODO Imp.]:[PERIODO Imp.]],DE$9)</f>
        <v>0</v>
      </c>
      <c r="DF756" s="693">
        <f>SUMIFS(Imput[[Importe Neto]:[Importe Neto]],Imput[[C. Imp.]:[C. Imp.]],$D756,Imput[[PERIODO Imp.]:[PERIODO Imp.]],DF$9)</f>
        <v>0</v>
      </c>
      <c r="DG756" s="693">
        <f>SUMIFS(Imput[[Importe Neto]:[Importe Neto]],Imput[[C. Imp.]:[C. Imp.]],$D756,Imput[[PERIODO Imp.]:[PERIODO Imp.]],DG$9)</f>
        <v>0</v>
      </c>
      <c r="DH756" s="694">
        <f>SUMIFS(Imput[[Importe Neto]:[Importe Neto]],Imput[[C. Imp.]:[C. Imp.]],$D756,Imput[[PERIODO Imp.]:[PERIODO Imp.]],DH$9)</f>
        <v>0</v>
      </c>
    </row>
    <row r="757" spans="1:112" s="649" customFormat="1" hidden="1" outlineLevel="1" x14ac:dyDescent="0.3">
      <c r="A757" s="652" t="str">
        <f t="shared" si="273"/>
        <v/>
      </c>
      <c r="B757" s="652"/>
      <c r="C757" s="685"/>
      <c r="D757" s="686" t="s">
        <v>2741</v>
      </c>
      <c r="E757" s="686"/>
      <c r="F757" s="720"/>
      <c r="G757" s="688"/>
      <c r="H757" s="689"/>
      <c r="I757" s="851" t="str">
        <f t="shared" si="274"/>
        <v/>
      </c>
      <c r="J757" s="850" t="str">
        <f t="shared" si="275"/>
        <v/>
      </c>
      <c r="K757" s="667"/>
      <c r="L757" s="858"/>
      <c r="M757" s="859"/>
      <c r="N757" s="859"/>
      <c r="O757" s="859"/>
      <c r="P757" s="859"/>
      <c r="Q757" s="859"/>
      <c r="R757" s="859"/>
      <c r="S757" s="859"/>
      <c r="T757" s="859"/>
      <c r="U757" s="859"/>
      <c r="V757" s="859"/>
      <c r="W757" s="859"/>
      <c r="X757" s="859"/>
      <c r="Y757" s="859"/>
      <c r="Z757" s="860"/>
      <c r="AA757" s="860"/>
      <c r="AB757" s="860"/>
      <c r="AC757" s="860"/>
      <c r="AD757" s="860"/>
      <c r="AE757" s="860"/>
      <c r="AF757" s="860"/>
      <c r="AG757" s="860"/>
      <c r="AH757" s="860"/>
      <c r="AI757" s="860"/>
      <c r="AJ757" s="860"/>
      <c r="AK757" s="860"/>
      <c r="AL757" s="860"/>
      <c r="AM757" s="860"/>
      <c r="AN757" s="860"/>
      <c r="AO757" s="860"/>
      <c r="AP757" s="860"/>
      <c r="AQ757" s="860"/>
      <c r="AR757" s="860"/>
      <c r="AS757" s="860"/>
      <c r="AT757" s="860"/>
      <c r="AU757" s="860"/>
      <c r="AV757" s="860"/>
      <c r="AW757" s="860"/>
      <c r="AX757" s="860"/>
      <c r="AY757" s="860"/>
      <c r="AZ757" s="860"/>
      <c r="BA757" s="860"/>
      <c r="BB757" s="860"/>
      <c r="BC757" s="860"/>
      <c r="BD757" s="860"/>
      <c r="BE757" s="860"/>
      <c r="BF757" s="860"/>
      <c r="BG757" s="860"/>
      <c r="BH757" s="668"/>
      <c r="BI757" s="667"/>
      <c r="BJ757" s="690">
        <f t="shared" si="276"/>
        <v>0</v>
      </c>
      <c r="BK757" s="691">
        <f t="shared" si="277"/>
        <v>0</v>
      </c>
      <c r="BL757" s="654"/>
      <c r="BM757" s="692">
        <f>SUMIFS(Imput[[Importe Neto]:[Importe Neto]],Imput[[C. Imp.]:[C. Imp.]],$D757,Imput[[PERIODO Imp.]:[PERIODO Imp.]],BM$9)</f>
        <v>0</v>
      </c>
      <c r="BN757" s="693">
        <f>SUMIFS(Imput[[Importe Neto]:[Importe Neto]],Imput[[C. Imp.]:[C. Imp.]],$D757,Imput[[PERIODO Imp.]:[PERIODO Imp.]],BN$9)</f>
        <v>0</v>
      </c>
      <c r="BO757" s="693">
        <f>SUMIFS(Imput[[Importe Neto]:[Importe Neto]],Imput[[C. Imp.]:[C. Imp.]],$D757,Imput[[PERIODO Imp.]:[PERIODO Imp.]],BO$9)</f>
        <v>0</v>
      </c>
      <c r="BP757" s="693">
        <f>SUMIFS(Imput[[Importe Neto]:[Importe Neto]],Imput[[C. Imp.]:[C. Imp.]],$D757,Imput[[PERIODO Imp.]:[PERIODO Imp.]],BP$9)</f>
        <v>0</v>
      </c>
      <c r="BQ757" s="693">
        <f>SUMIFS(Imput[[Importe Neto]:[Importe Neto]],Imput[[C. Imp.]:[C. Imp.]],$D757,Imput[[PERIODO Imp.]:[PERIODO Imp.]],BQ$9)</f>
        <v>0</v>
      </c>
      <c r="BR757" s="693">
        <f>SUMIFS(Imput[[Importe Neto]:[Importe Neto]],Imput[[C. Imp.]:[C. Imp.]],$D757,Imput[[PERIODO Imp.]:[PERIODO Imp.]],BR$9)</f>
        <v>0</v>
      </c>
      <c r="BS757" s="693">
        <f>SUMIFS(Imput[[Importe Neto]:[Importe Neto]],Imput[[C. Imp.]:[C. Imp.]],$D757,Imput[[PERIODO Imp.]:[PERIODO Imp.]],BS$9)</f>
        <v>0</v>
      </c>
      <c r="BT757" s="693">
        <f>SUMIFS(Imput[[Importe Neto]:[Importe Neto]],Imput[[C. Imp.]:[C. Imp.]],$D757,Imput[[PERIODO Imp.]:[PERIODO Imp.]],BT$9)</f>
        <v>0</v>
      </c>
      <c r="BU757" s="693">
        <f>SUMIFS(Imput[[Importe Neto]:[Importe Neto]],Imput[[C. Imp.]:[C. Imp.]],$D757,Imput[[PERIODO Imp.]:[PERIODO Imp.]],BU$9)</f>
        <v>0</v>
      </c>
      <c r="BV757" s="693">
        <f>SUMIFS(Imput[[Importe Neto]:[Importe Neto]],Imput[[C. Imp.]:[C. Imp.]],$D757,Imput[[PERIODO Imp.]:[PERIODO Imp.]],BV$9)</f>
        <v>0</v>
      </c>
      <c r="BW757" s="693">
        <f>SUMIFS(Imput[[Importe Neto]:[Importe Neto]],Imput[[C. Imp.]:[C. Imp.]],$D757,Imput[[PERIODO Imp.]:[PERIODO Imp.]],BW$9)</f>
        <v>0</v>
      </c>
      <c r="BX757" s="693">
        <f>SUMIFS(Imput[[Importe Neto]:[Importe Neto]],Imput[[C. Imp.]:[C. Imp.]],$D757,Imput[[PERIODO Imp.]:[PERIODO Imp.]],BX$9)</f>
        <v>0</v>
      </c>
      <c r="BY757" s="693">
        <f>SUMIFS(Imput[[Importe Neto]:[Importe Neto]],Imput[[C. Imp.]:[C. Imp.]],$D757,Imput[[PERIODO Imp.]:[PERIODO Imp.]],BY$9)</f>
        <v>0</v>
      </c>
      <c r="BZ757" s="693">
        <f>SUMIFS(Imput[[Importe Neto]:[Importe Neto]],Imput[[C. Imp.]:[C. Imp.]],$D757,Imput[[PERIODO Imp.]:[PERIODO Imp.]],BZ$9)</f>
        <v>0</v>
      </c>
      <c r="CA757" s="693">
        <f>SUMIFS(Imput[[Importe Neto]:[Importe Neto]],Imput[[C. Imp.]:[C. Imp.]],$D757,Imput[[PERIODO Imp.]:[PERIODO Imp.]],CA$9)</f>
        <v>0</v>
      </c>
      <c r="CB757" s="693">
        <f>SUMIFS(Imput[[Importe Neto]:[Importe Neto]],Imput[[C. Imp.]:[C. Imp.]],$D757,Imput[[PERIODO Imp.]:[PERIODO Imp.]],CB$9)</f>
        <v>0</v>
      </c>
      <c r="CC757" s="693">
        <f>SUMIFS(Imput[[Importe Neto]:[Importe Neto]],Imput[[C. Imp.]:[C. Imp.]],$D757,Imput[[PERIODO Imp.]:[PERIODO Imp.]],CC$9)</f>
        <v>0</v>
      </c>
      <c r="CD757" s="693">
        <f>SUMIFS(Imput[[Importe Neto]:[Importe Neto]],Imput[[C. Imp.]:[C. Imp.]],$D757,Imput[[PERIODO Imp.]:[PERIODO Imp.]],CD$9)</f>
        <v>0</v>
      </c>
      <c r="CE757" s="693">
        <f>SUMIFS(Imput[[Importe Neto]:[Importe Neto]],Imput[[C. Imp.]:[C. Imp.]],$D757,Imput[[PERIODO Imp.]:[PERIODO Imp.]],CE$9)</f>
        <v>0</v>
      </c>
      <c r="CF757" s="693">
        <f>SUMIFS(Imput[[Importe Neto]:[Importe Neto]],Imput[[C. Imp.]:[C. Imp.]],$D757,Imput[[PERIODO Imp.]:[PERIODO Imp.]],CF$9)</f>
        <v>0</v>
      </c>
      <c r="CG757" s="693">
        <f>SUMIFS(Imput[[Importe Neto]:[Importe Neto]],Imput[[C. Imp.]:[C. Imp.]],$D757,Imput[[PERIODO Imp.]:[PERIODO Imp.]],CG$9)</f>
        <v>0</v>
      </c>
      <c r="CH757" s="693">
        <f>SUMIFS(Imput[[Importe Neto]:[Importe Neto]],Imput[[C. Imp.]:[C. Imp.]],$D757,Imput[[PERIODO Imp.]:[PERIODO Imp.]],CH$9)</f>
        <v>0</v>
      </c>
      <c r="CI757" s="693">
        <f>SUMIFS(Imput[[Importe Neto]:[Importe Neto]],Imput[[C. Imp.]:[C. Imp.]],$D757,Imput[[PERIODO Imp.]:[PERIODO Imp.]],CI$9)</f>
        <v>0</v>
      </c>
      <c r="CJ757" s="693">
        <f>SUMIFS(Imput[[Importe Neto]:[Importe Neto]],Imput[[C. Imp.]:[C. Imp.]],$D757,Imput[[PERIODO Imp.]:[PERIODO Imp.]],CJ$9)</f>
        <v>0</v>
      </c>
      <c r="CK757" s="693">
        <f>SUMIFS(Imput[[Importe Neto]:[Importe Neto]],Imput[[C. Imp.]:[C. Imp.]],$D757,Imput[[PERIODO Imp.]:[PERIODO Imp.]],CK$9)</f>
        <v>0</v>
      </c>
      <c r="CL757" s="693">
        <f>SUMIFS(Imput[[Importe Neto]:[Importe Neto]],Imput[[C. Imp.]:[C. Imp.]],$D757,Imput[[PERIODO Imp.]:[PERIODO Imp.]],CL$9)</f>
        <v>0</v>
      </c>
      <c r="CM757" s="693">
        <f>SUMIFS(Imput[[Importe Neto]:[Importe Neto]],Imput[[C. Imp.]:[C. Imp.]],$D757,Imput[[PERIODO Imp.]:[PERIODO Imp.]],CM$9)</f>
        <v>0</v>
      </c>
      <c r="CN757" s="693">
        <f>SUMIFS(Imput[[Importe Neto]:[Importe Neto]],Imput[[C. Imp.]:[C. Imp.]],$D757,Imput[[PERIODO Imp.]:[PERIODO Imp.]],CN$9)</f>
        <v>0</v>
      </c>
      <c r="CO757" s="693">
        <f>SUMIFS(Imput[[Importe Neto]:[Importe Neto]],Imput[[C. Imp.]:[C. Imp.]],$D757,Imput[[PERIODO Imp.]:[PERIODO Imp.]],CO$9)</f>
        <v>0</v>
      </c>
      <c r="CP757" s="693">
        <f>SUMIFS(Imput[[Importe Neto]:[Importe Neto]],Imput[[C. Imp.]:[C. Imp.]],$D757,Imput[[PERIODO Imp.]:[PERIODO Imp.]],CP$9)</f>
        <v>0</v>
      </c>
      <c r="CQ757" s="693">
        <f>SUMIFS(Imput[[Importe Neto]:[Importe Neto]],Imput[[C. Imp.]:[C. Imp.]],$D757,Imput[[PERIODO Imp.]:[PERIODO Imp.]],CQ$9)</f>
        <v>0</v>
      </c>
      <c r="CR757" s="693">
        <f>SUMIFS(Imput[[Importe Neto]:[Importe Neto]],Imput[[C. Imp.]:[C. Imp.]],$D757,Imput[[PERIODO Imp.]:[PERIODO Imp.]],CR$9)</f>
        <v>0</v>
      </c>
      <c r="CS757" s="693">
        <f>SUMIFS(Imput[[Importe Neto]:[Importe Neto]],Imput[[C. Imp.]:[C. Imp.]],$D757,Imput[[PERIODO Imp.]:[PERIODO Imp.]],CS$9)</f>
        <v>0</v>
      </c>
      <c r="CT757" s="693">
        <f>SUMIFS(Imput[[Importe Neto]:[Importe Neto]],Imput[[C. Imp.]:[C. Imp.]],$D757,Imput[[PERIODO Imp.]:[PERIODO Imp.]],CT$9)</f>
        <v>0</v>
      </c>
      <c r="CU757" s="693">
        <f>SUMIFS(Imput[[Importe Neto]:[Importe Neto]],Imput[[C. Imp.]:[C. Imp.]],$D757,Imput[[PERIODO Imp.]:[PERIODO Imp.]],CU$9)</f>
        <v>0</v>
      </c>
      <c r="CV757" s="693">
        <f>SUMIFS(Imput[[Importe Neto]:[Importe Neto]],Imput[[C. Imp.]:[C. Imp.]],$D757,Imput[[PERIODO Imp.]:[PERIODO Imp.]],CV$9)</f>
        <v>0</v>
      </c>
      <c r="CW757" s="693">
        <f>SUMIFS(Imput[[Importe Neto]:[Importe Neto]],Imput[[C. Imp.]:[C. Imp.]],$D757,Imput[[PERIODO Imp.]:[PERIODO Imp.]],CW$9)</f>
        <v>0</v>
      </c>
      <c r="CX757" s="693">
        <f>SUMIFS(Imput[[Importe Neto]:[Importe Neto]],Imput[[C. Imp.]:[C. Imp.]],$D757,Imput[[PERIODO Imp.]:[PERIODO Imp.]],CX$9)</f>
        <v>0</v>
      </c>
      <c r="CY757" s="693">
        <f>SUMIFS(Imput[[Importe Neto]:[Importe Neto]],Imput[[C. Imp.]:[C. Imp.]],$D757,Imput[[PERIODO Imp.]:[PERIODO Imp.]],CY$9)</f>
        <v>0</v>
      </c>
      <c r="CZ757" s="693">
        <f>SUMIFS(Imput[[Importe Neto]:[Importe Neto]],Imput[[C. Imp.]:[C. Imp.]],$D757,Imput[[PERIODO Imp.]:[PERIODO Imp.]],CZ$9)</f>
        <v>0</v>
      </c>
      <c r="DA757" s="693">
        <f>SUMIFS(Imput[[Importe Neto]:[Importe Neto]],Imput[[C. Imp.]:[C. Imp.]],$D757,Imput[[PERIODO Imp.]:[PERIODO Imp.]],DA$9)</f>
        <v>0</v>
      </c>
      <c r="DB757" s="693">
        <f>SUMIFS(Imput[[Importe Neto]:[Importe Neto]],Imput[[C. Imp.]:[C. Imp.]],$D757,Imput[[PERIODO Imp.]:[PERIODO Imp.]],DB$9)</f>
        <v>0</v>
      </c>
      <c r="DC757" s="693">
        <f>SUMIFS(Imput[[Importe Neto]:[Importe Neto]],Imput[[C. Imp.]:[C. Imp.]],$D757,Imput[[PERIODO Imp.]:[PERIODO Imp.]],DC$9)</f>
        <v>0</v>
      </c>
      <c r="DD757" s="693">
        <f>SUMIFS(Imput[[Importe Neto]:[Importe Neto]],Imput[[C. Imp.]:[C. Imp.]],$D757,Imput[[PERIODO Imp.]:[PERIODO Imp.]],DD$9)</f>
        <v>0</v>
      </c>
      <c r="DE757" s="693">
        <f>SUMIFS(Imput[[Importe Neto]:[Importe Neto]],Imput[[C. Imp.]:[C. Imp.]],$D757,Imput[[PERIODO Imp.]:[PERIODO Imp.]],DE$9)</f>
        <v>0</v>
      </c>
      <c r="DF757" s="693">
        <f>SUMIFS(Imput[[Importe Neto]:[Importe Neto]],Imput[[C. Imp.]:[C. Imp.]],$D757,Imput[[PERIODO Imp.]:[PERIODO Imp.]],DF$9)</f>
        <v>0</v>
      </c>
      <c r="DG757" s="693">
        <f>SUMIFS(Imput[[Importe Neto]:[Importe Neto]],Imput[[C. Imp.]:[C. Imp.]],$D757,Imput[[PERIODO Imp.]:[PERIODO Imp.]],DG$9)</f>
        <v>0</v>
      </c>
      <c r="DH757" s="694">
        <f>SUMIFS(Imput[[Importe Neto]:[Importe Neto]],Imput[[C. Imp.]:[C. Imp.]],$D757,Imput[[PERIODO Imp.]:[PERIODO Imp.]],DH$9)</f>
        <v>0</v>
      </c>
    </row>
    <row r="758" spans="1:112" s="649" customFormat="1" hidden="1" outlineLevel="1" x14ac:dyDescent="0.3">
      <c r="A758" s="652" t="str">
        <f t="shared" si="273"/>
        <v/>
      </c>
      <c r="B758" s="652"/>
      <c r="C758" s="685"/>
      <c r="D758" s="686" t="s">
        <v>2742</v>
      </c>
      <c r="E758" s="686"/>
      <c r="F758" s="720"/>
      <c r="G758" s="688"/>
      <c r="H758" s="689"/>
      <c r="I758" s="851" t="str">
        <f t="shared" si="274"/>
        <v/>
      </c>
      <c r="J758" s="850" t="str">
        <f t="shared" si="275"/>
        <v/>
      </c>
      <c r="K758" s="667"/>
      <c r="L758" s="858"/>
      <c r="M758" s="859"/>
      <c r="N758" s="859"/>
      <c r="O758" s="859"/>
      <c r="P758" s="859"/>
      <c r="Q758" s="859"/>
      <c r="R758" s="859"/>
      <c r="S758" s="859"/>
      <c r="T758" s="859"/>
      <c r="U758" s="859"/>
      <c r="V758" s="859"/>
      <c r="W758" s="859"/>
      <c r="X758" s="859"/>
      <c r="Y758" s="859"/>
      <c r="Z758" s="860"/>
      <c r="AA758" s="860"/>
      <c r="AB758" s="860"/>
      <c r="AC758" s="860"/>
      <c r="AD758" s="860"/>
      <c r="AE758" s="860"/>
      <c r="AF758" s="860"/>
      <c r="AG758" s="860"/>
      <c r="AH758" s="860"/>
      <c r="AI758" s="860"/>
      <c r="AJ758" s="860"/>
      <c r="AK758" s="860"/>
      <c r="AL758" s="860"/>
      <c r="AM758" s="860"/>
      <c r="AN758" s="860"/>
      <c r="AO758" s="860"/>
      <c r="AP758" s="860"/>
      <c r="AQ758" s="860"/>
      <c r="AR758" s="860"/>
      <c r="AS758" s="860"/>
      <c r="AT758" s="860"/>
      <c r="AU758" s="860"/>
      <c r="AV758" s="860"/>
      <c r="AW758" s="860"/>
      <c r="AX758" s="860"/>
      <c r="AY758" s="860"/>
      <c r="AZ758" s="860"/>
      <c r="BA758" s="860"/>
      <c r="BB758" s="860"/>
      <c r="BC758" s="860"/>
      <c r="BD758" s="860"/>
      <c r="BE758" s="860"/>
      <c r="BF758" s="860"/>
      <c r="BG758" s="860"/>
      <c r="BH758" s="668"/>
      <c r="BI758" s="667"/>
      <c r="BJ758" s="690">
        <f t="shared" si="276"/>
        <v>0</v>
      </c>
      <c r="BK758" s="691">
        <f t="shared" si="277"/>
        <v>0</v>
      </c>
      <c r="BL758" s="654"/>
      <c r="BM758" s="692">
        <f>SUMIFS(Imput[[Importe Neto]:[Importe Neto]],Imput[[C. Imp.]:[C. Imp.]],$D758,Imput[[PERIODO Imp.]:[PERIODO Imp.]],BM$9)</f>
        <v>0</v>
      </c>
      <c r="BN758" s="693">
        <f>SUMIFS(Imput[[Importe Neto]:[Importe Neto]],Imput[[C. Imp.]:[C. Imp.]],$D758,Imput[[PERIODO Imp.]:[PERIODO Imp.]],BN$9)</f>
        <v>0</v>
      </c>
      <c r="BO758" s="693">
        <f>SUMIFS(Imput[[Importe Neto]:[Importe Neto]],Imput[[C. Imp.]:[C. Imp.]],$D758,Imput[[PERIODO Imp.]:[PERIODO Imp.]],BO$9)</f>
        <v>0</v>
      </c>
      <c r="BP758" s="693">
        <f>SUMIFS(Imput[[Importe Neto]:[Importe Neto]],Imput[[C. Imp.]:[C. Imp.]],$D758,Imput[[PERIODO Imp.]:[PERIODO Imp.]],BP$9)</f>
        <v>0</v>
      </c>
      <c r="BQ758" s="693">
        <f>SUMIFS(Imput[[Importe Neto]:[Importe Neto]],Imput[[C. Imp.]:[C. Imp.]],$D758,Imput[[PERIODO Imp.]:[PERIODO Imp.]],BQ$9)</f>
        <v>0</v>
      </c>
      <c r="BR758" s="693">
        <f>SUMIFS(Imput[[Importe Neto]:[Importe Neto]],Imput[[C. Imp.]:[C. Imp.]],$D758,Imput[[PERIODO Imp.]:[PERIODO Imp.]],BR$9)</f>
        <v>0</v>
      </c>
      <c r="BS758" s="693">
        <f>SUMIFS(Imput[[Importe Neto]:[Importe Neto]],Imput[[C. Imp.]:[C. Imp.]],$D758,Imput[[PERIODO Imp.]:[PERIODO Imp.]],BS$9)</f>
        <v>0</v>
      </c>
      <c r="BT758" s="693">
        <f>SUMIFS(Imput[[Importe Neto]:[Importe Neto]],Imput[[C. Imp.]:[C. Imp.]],$D758,Imput[[PERIODO Imp.]:[PERIODO Imp.]],BT$9)</f>
        <v>0</v>
      </c>
      <c r="BU758" s="693">
        <f>SUMIFS(Imput[[Importe Neto]:[Importe Neto]],Imput[[C. Imp.]:[C. Imp.]],$D758,Imput[[PERIODO Imp.]:[PERIODO Imp.]],BU$9)</f>
        <v>0</v>
      </c>
      <c r="BV758" s="693">
        <f>SUMIFS(Imput[[Importe Neto]:[Importe Neto]],Imput[[C. Imp.]:[C. Imp.]],$D758,Imput[[PERIODO Imp.]:[PERIODO Imp.]],BV$9)</f>
        <v>0</v>
      </c>
      <c r="BW758" s="693">
        <f>SUMIFS(Imput[[Importe Neto]:[Importe Neto]],Imput[[C. Imp.]:[C. Imp.]],$D758,Imput[[PERIODO Imp.]:[PERIODO Imp.]],BW$9)</f>
        <v>0</v>
      </c>
      <c r="BX758" s="693">
        <f>SUMIFS(Imput[[Importe Neto]:[Importe Neto]],Imput[[C. Imp.]:[C. Imp.]],$D758,Imput[[PERIODO Imp.]:[PERIODO Imp.]],BX$9)</f>
        <v>0</v>
      </c>
      <c r="BY758" s="693">
        <f>SUMIFS(Imput[[Importe Neto]:[Importe Neto]],Imput[[C. Imp.]:[C. Imp.]],$D758,Imput[[PERIODO Imp.]:[PERIODO Imp.]],BY$9)</f>
        <v>0</v>
      </c>
      <c r="BZ758" s="693">
        <f>SUMIFS(Imput[[Importe Neto]:[Importe Neto]],Imput[[C. Imp.]:[C. Imp.]],$D758,Imput[[PERIODO Imp.]:[PERIODO Imp.]],BZ$9)</f>
        <v>0</v>
      </c>
      <c r="CA758" s="693">
        <f>SUMIFS(Imput[[Importe Neto]:[Importe Neto]],Imput[[C. Imp.]:[C. Imp.]],$D758,Imput[[PERIODO Imp.]:[PERIODO Imp.]],CA$9)</f>
        <v>0</v>
      </c>
      <c r="CB758" s="693">
        <f>SUMIFS(Imput[[Importe Neto]:[Importe Neto]],Imput[[C. Imp.]:[C. Imp.]],$D758,Imput[[PERIODO Imp.]:[PERIODO Imp.]],CB$9)</f>
        <v>0</v>
      </c>
      <c r="CC758" s="693">
        <f>SUMIFS(Imput[[Importe Neto]:[Importe Neto]],Imput[[C. Imp.]:[C. Imp.]],$D758,Imput[[PERIODO Imp.]:[PERIODO Imp.]],CC$9)</f>
        <v>0</v>
      </c>
      <c r="CD758" s="693">
        <f>SUMIFS(Imput[[Importe Neto]:[Importe Neto]],Imput[[C. Imp.]:[C. Imp.]],$D758,Imput[[PERIODO Imp.]:[PERIODO Imp.]],CD$9)</f>
        <v>0</v>
      </c>
      <c r="CE758" s="693">
        <f>SUMIFS(Imput[[Importe Neto]:[Importe Neto]],Imput[[C. Imp.]:[C. Imp.]],$D758,Imput[[PERIODO Imp.]:[PERIODO Imp.]],CE$9)</f>
        <v>0</v>
      </c>
      <c r="CF758" s="693">
        <f>SUMIFS(Imput[[Importe Neto]:[Importe Neto]],Imput[[C. Imp.]:[C. Imp.]],$D758,Imput[[PERIODO Imp.]:[PERIODO Imp.]],CF$9)</f>
        <v>0</v>
      </c>
      <c r="CG758" s="693">
        <f>SUMIFS(Imput[[Importe Neto]:[Importe Neto]],Imput[[C. Imp.]:[C. Imp.]],$D758,Imput[[PERIODO Imp.]:[PERIODO Imp.]],CG$9)</f>
        <v>0</v>
      </c>
      <c r="CH758" s="693">
        <f>SUMIFS(Imput[[Importe Neto]:[Importe Neto]],Imput[[C. Imp.]:[C. Imp.]],$D758,Imput[[PERIODO Imp.]:[PERIODO Imp.]],CH$9)</f>
        <v>0</v>
      </c>
      <c r="CI758" s="693">
        <f>SUMIFS(Imput[[Importe Neto]:[Importe Neto]],Imput[[C. Imp.]:[C. Imp.]],$D758,Imput[[PERIODO Imp.]:[PERIODO Imp.]],CI$9)</f>
        <v>0</v>
      </c>
      <c r="CJ758" s="693">
        <f>SUMIFS(Imput[[Importe Neto]:[Importe Neto]],Imput[[C. Imp.]:[C. Imp.]],$D758,Imput[[PERIODO Imp.]:[PERIODO Imp.]],CJ$9)</f>
        <v>0</v>
      </c>
      <c r="CK758" s="693">
        <f>SUMIFS(Imput[[Importe Neto]:[Importe Neto]],Imput[[C. Imp.]:[C. Imp.]],$D758,Imput[[PERIODO Imp.]:[PERIODO Imp.]],CK$9)</f>
        <v>0</v>
      </c>
      <c r="CL758" s="693">
        <f>SUMIFS(Imput[[Importe Neto]:[Importe Neto]],Imput[[C. Imp.]:[C. Imp.]],$D758,Imput[[PERIODO Imp.]:[PERIODO Imp.]],CL$9)</f>
        <v>0</v>
      </c>
      <c r="CM758" s="693">
        <f>SUMIFS(Imput[[Importe Neto]:[Importe Neto]],Imput[[C. Imp.]:[C. Imp.]],$D758,Imput[[PERIODO Imp.]:[PERIODO Imp.]],CM$9)</f>
        <v>0</v>
      </c>
      <c r="CN758" s="693">
        <f>SUMIFS(Imput[[Importe Neto]:[Importe Neto]],Imput[[C. Imp.]:[C. Imp.]],$D758,Imput[[PERIODO Imp.]:[PERIODO Imp.]],CN$9)</f>
        <v>0</v>
      </c>
      <c r="CO758" s="693">
        <f>SUMIFS(Imput[[Importe Neto]:[Importe Neto]],Imput[[C. Imp.]:[C. Imp.]],$D758,Imput[[PERIODO Imp.]:[PERIODO Imp.]],CO$9)</f>
        <v>0</v>
      </c>
      <c r="CP758" s="693">
        <f>SUMIFS(Imput[[Importe Neto]:[Importe Neto]],Imput[[C. Imp.]:[C. Imp.]],$D758,Imput[[PERIODO Imp.]:[PERIODO Imp.]],CP$9)</f>
        <v>0</v>
      </c>
      <c r="CQ758" s="693">
        <f>SUMIFS(Imput[[Importe Neto]:[Importe Neto]],Imput[[C. Imp.]:[C. Imp.]],$D758,Imput[[PERIODO Imp.]:[PERIODO Imp.]],CQ$9)</f>
        <v>0</v>
      </c>
      <c r="CR758" s="693">
        <f>SUMIFS(Imput[[Importe Neto]:[Importe Neto]],Imput[[C. Imp.]:[C. Imp.]],$D758,Imput[[PERIODO Imp.]:[PERIODO Imp.]],CR$9)</f>
        <v>0</v>
      </c>
      <c r="CS758" s="693">
        <f>SUMIFS(Imput[[Importe Neto]:[Importe Neto]],Imput[[C. Imp.]:[C. Imp.]],$D758,Imput[[PERIODO Imp.]:[PERIODO Imp.]],CS$9)</f>
        <v>0</v>
      </c>
      <c r="CT758" s="693">
        <f>SUMIFS(Imput[[Importe Neto]:[Importe Neto]],Imput[[C. Imp.]:[C. Imp.]],$D758,Imput[[PERIODO Imp.]:[PERIODO Imp.]],CT$9)</f>
        <v>0</v>
      </c>
      <c r="CU758" s="693">
        <f>SUMIFS(Imput[[Importe Neto]:[Importe Neto]],Imput[[C. Imp.]:[C. Imp.]],$D758,Imput[[PERIODO Imp.]:[PERIODO Imp.]],CU$9)</f>
        <v>0</v>
      </c>
      <c r="CV758" s="693">
        <f>SUMIFS(Imput[[Importe Neto]:[Importe Neto]],Imput[[C. Imp.]:[C. Imp.]],$D758,Imput[[PERIODO Imp.]:[PERIODO Imp.]],CV$9)</f>
        <v>0</v>
      </c>
      <c r="CW758" s="693">
        <f>SUMIFS(Imput[[Importe Neto]:[Importe Neto]],Imput[[C. Imp.]:[C. Imp.]],$D758,Imput[[PERIODO Imp.]:[PERIODO Imp.]],CW$9)</f>
        <v>0</v>
      </c>
      <c r="CX758" s="693">
        <f>SUMIFS(Imput[[Importe Neto]:[Importe Neto]],Imput[[C. Imp.]:[C. Imp.]],$D758,Imput[[PERIODO Imp.]:[PERIODO Imp.]],CX$9)</f>
        <v>0</v>
      </c>
      <c r="CY758" s="693">
        <f>SUMIFS(Imput[[Importe Neto]:[Importe Neto]],Imput[[C. Imp.]:[C. Imp.]],$D758,Imput[[PERIODO Imp.]:[PERIODO Imp.]],CY$9)</f>
        <v>0</v>
      </c>
      <c r="CZ758" s="693">
        <f>SUMIFS(Imput[[Importe Neto]:[Importe Neto]],Imput[[C. Imp.]:[C. Imp.]],$D758,Imput[[PERIODO Imp.]:[PERIODO Imp.]],CZ$9)</f>
        <v>0</v>
      </c>
      <c r="DA758" s="693">
        <f>SUMIFS(Imput[[Importe Neto]:[Importe Neto]],Imput[[C. Imp.]:[C. Imp.]],$D758,Imput[[PERIODO Imp.]:[PERIODO Imp.]],DA$9)</f>
        <v>0</v>
      </c>
      <c r="DB758" s="693">
        <f>SUMIFS(Imput[[Importe Neto]:[Importe Neto]],Imput[[C. Imp.]:[C. Imp.]],$D758,Imput[[PERIODO Imp.]:[PERIODO Imp.]],DB$9)</f>
        <v>0</v>
      </c>
      <c r="DC758" s="693">
        <f>SUMIFS(Imput[[Importe Neto]:[Importe Neto]],Imput[[C. Imp.]:[C. Imp.]],$D758,Imput[[PERIODO Imp.]:[PERIODO Imp.]],DC$9)</f>
        <v>0</v>
      </c>
      <c r="DD758" s="693">
        <f>SUMIFS(Imput[[Importe Neto]:[Importe Neto]],Imput[[C. Imp.]:[C. Imp.]],$D758,Imput[[PERIODO Imp.]:[PERIODO Imp.]],DD$9)</f>
        <v>0</v>
      </c>
      <c r="DE758" s="693">
        <f>SUMIFS(Imput[[Importe Neto]:[Importe Neto]],Imput[[C. Imp.]:[C. Imp.]],$D758,Imput[[PERIODO Imp.]:[PERIODO Imp.]],DE$9)</f>
        <v>0</v>
      </c>
      <c r="DF758" s="693">
        <f>SUMIFS(Imput[[Importe Neto]:[Importe Neto]],Imput[[C. Imp.]:[C. Imp.]],$D758,Imput[[PERIODO Imp.]:[PERIODO Imp.]],DF$9)</f>
        <v>0</v>
      </c>
      <c r="DG758" s="693">
        <f>SUMIFS(Imput[[Importe Neto]:[Importe Neto]],Imput[[C. Imp.]:[C. Imp.]],$D758,Imput[[PERIODO Imp.]:[PERIODO Imp.]],DG$9)</f>
        <v>0</v>
      </c>
      <c r="DH758" s="694">
        <f>SUMIFS(Imput[[Importe Neto]:[Importe Neto]],Imput[[C. Imp.]:[C. Imp.]],$D758,Imput[[PERIODO Imp.]:[PERIODO Imp.]],DH$9)</f>
        <v>0</v>
      </c>
    </row>
    <row r="759" spans="1:112" s="649" customFormat="1" hidden="1" outlineLevel="1" x14ac:dyDescent="0.3">
      <c r="A759" s="652" t="str">
        <f t="shared" si="273"/>
        <v/>
      </c>
      <c r="B759" s="652"/>
      <c r="C759" s="685"/>
      <c r="D759" s="686" t="s">
        <v>2743</v>
      </c>
      <c r="E759" s="686"/>
      <c r="F759" s="720"/>
      <c r="G759" s="688"/>
      <c r="H759" s="689"/>
      <c r="I759" s="851" t="str">
        <f t="shared" si="274"/>
        <v/>
      </c>
      <c r="J759" s="850" t="str">
        <f t="shared" si="275"/>
        <v/>
      </c>
      <c r="K759" s="667"/>
      <c r="L759" s="858"/>
      <c r="M759" s="859"/>
      <c r="N759" s="859"/>
      <c r="O759" s="859"/>
      <c r="P759" s="859"/>
      <c r="Q759" s="859"/>
      <c r="R759" s="859"/>
      <c r="S759" s="859"/>
      <c r="T759" s="859"/>
      <c r="U759" s="859"/>
      <c r="V759" s="859"/>
      <c r="W759" s="859"/>
      <c r="X759" s="859"/>
      <c r="Y759" s="859"/>
      <c r="Z759" s="860"/>
      <c r="AA759" s="860"/>
      <c r="AB759" s="860"/>
      <c r="AC759" s="860"/>
      <c r="AD759" s="860"/>
      <c r="AE759" s="860"/>
      <c r="AF759" s="860"/>
      <c r="AG759" s="860"/>
      <c r="AH759" s="860"/>
      <c r="AI759" s="860"/>
      <c r="AJ759" s="860"/>
      <c r="AK759" s="860"/>
      <c r="AL759" s="860"/>
      <c r="AM759" s="860"/>
      <c r="AN759" s="860"/>
      <c r="AO759" s="860"/>
      <c r="AP759" s="860"/>
      <c r="AQ759" s="860"/>
      <c r="AR759" s="860"/>
      <c r="AS759" s="860"/>
      <c r="AT759" s="860"/>
      <c r="AU759" s="860"/>
      <c r="AV759" s="860"/>
      <c r="AW759" s="860"/>
      <c r="AX759" s="860"/>
      <c r="AY759" s="860"/>
      <c r="AZ759" s="860"/>
      <c r="BA759" s="860"/>
      <c r="BB759" s="860"/>
      <c r="BC759" s="860"/>
      <c r="BD759" s="860"/>
      <c r="BE759" s="860"/>
      <c r="BF759" s="860"/>
      <c r="BG759" s="860"/>
      <c r="BH759" s="668"/>
      <c r="BI759" s="667"/>
      <c r="BJ759" s="690">
        <f t="shared" si="276"/>
        <v>0</v>
      </c>
      <c r="BK759" s="691">
        <f t="shared" si="277"/>
        <v>0</v>
      </c>
      <c r="BL759" s="654"/>
      <c r="BM759" s="692">
        <f>SUMIFS(Imput[[Importe Neto]:[Importe Neto]],Imput[[C. Imp.]:[C. Imp.]],$D759,Imput[[PERIODO Imp.]:[PERIODO Imp.]],BM$9)</f>
        <v>0</v>
      </c>
      <c r="BN759" s="693">
        <f>SUMIFS(Imput[[Importe Neto]:[Importe Neto]],Imput[[C. Imp.]:[C. Imp.]],$D759,Imput[[PERIODO Imp.]:[PERIODO Imp.]],BN$9)</f>
        <v>0</v>
      </c>
      <c r="BO759" s="693">
        <f>SUMIFS(Imput[[Importe Neto]:[Importe Neto]],Imput[[C. Imp.]:[C. Imp.]],$D759,Imput[[PERIODO Imp.]:[PERIODO Imp.]],BO$9)</f>
        <v>0</v>
      </c>
      <c r="BP759" s="693">
        <f>SUMIFS(Imput[[Importe Neto]:[Importe Neto]],Imput[[C. Imp.]:[C. Imp.]],$D759,Imput[[PERIODO Imp.]:[PERIODO Imp.]],BP$9)</f>
        <v>0</v>
      </c>
      <c r="BQ759" s="693">
        <f>SUMIFS(Imput[[Importe Neto]:[Importe Neto]],Imput[[C. Imp.]:[C. Imp.]],$D759,Imput[[PERIODO Imp.]:[PERIODO Imp.]],BQ$9)</f>
        <v>0</v>
      </c>
      <c r="BR759" s="693">
        <f>SUMIFS(Imput[[Importe Neto]:[Importe Neto]],Imput[[C. Imp.]:[C. Imp.]],$D759,Imput[[PERIODO Imp.]:[PERIODO Imp.]],BR$9)</f>
        <v>0</v>
      </c>
      <c r="BS759" s="693">
        <f>SUMIFS(Imput[[Importe Neto]:[Importe Neto]],Imput[[C. Imp.]:[C. Imp.]],$D759,Imput[[PERIODO Imp.]:[PERIODO Imp.]],BS$9)</f>
        <v>0</v>
      </c>
      <c r="BT759" s="693">
        <f>SUMIFS(Imput[[Importe Neto]:[Importe Neto]],Imput[[C. Imp.]:[C. Imp.]],$D759,Imput[[PERIODO Imp.]:[PERIODO Imp.]],BT$9)</f>
        <v>0</v>
      </c>
      <c r="BU759" s="693">
        <f>SUMIFS(Imput[[Importe Neto]:[Importe Neto]],Imput[[C. Imp.]:[C. Imp.]],$D759,Imput[[PERIODO Imp.]:[PERIODO Imp.]],BU$9)</f>
        <v>0</v>
      </c>
      <c r="BV759" s="693">
        <f>SUMIFS(Imput[[Importe Neto]:[Importe Neto]],Imput[[C. Imp.]:[C. Imp.]],$D759,Imput[[PERIODO Imp.]:[PERIODO Imp.]],BV$9)</f>
        <v>0</v>
      </c>
      <c r="BW759" s="693">
        <f>SUMIFS(Imput[[Importe Neto]:[Importe Neto]],Imput[[C. Imp.]:[C. Imp.]],$D759,Imput[[PERIODO Imp.]:[PERIODO Imp.]],BW$9)</f>
        <v>0</v>
      </c>
      <c r="BX759" s="693">
        <f>SUMIFS(Imput[[Importe Neto]:[Importe Neto]],Imput[[C. Imp.]:[C. Imp.]],$D759,Imput[[PERIODO Imp.]:[PERIODO Imp.]],BX$9)</f>
        <v>0</v>
      </c>
      <c r="BY759" s="693">
        <f>SUMIFS(Imput[[Importe Neto]:[Importe Neto]],Imput[[C. Imp.]:[C. Imp.]],$D759,Imput[[PERIODO Imp.]:[PERIODO Imp.]],BY$9)</f>
        <v>0</v>
      </c>
      <c r="BZ759" s="693">
        <f>SUMIFS(Imput[[Importe Neto]:[Importe Neto]],Imput[[C. Imp.]:[C. Imp.]],$D759,Imput[[PERIODO Imp.]:[PERIODO Imp.]],BZ$9)</f>
        <v>0</v>
      </c>
      <c r="CA759" s="693">
        <f>SUMIFS(Imput[[Importe Neto]:[Importe Neto]],Imput[[C. Imp.]:[C. Imp.]],$D759,Imput[[PERIODO Imp.]:[PERIODO Imp.]],CA$9)</f>
        <v>0</v>
      </c>
      <c r="CB759" s="693">
        <f>SUMIFS(Imput[[Importe Neto]:[Importe Neto]],Imput[[C. Imp.]:[C. Imp.]],$D759,Imput[[PERIODO Imp.]:[PERIODO Imp.]],CB$9)</f>
        <v>0</v>
      </c>
      <c r="CC759" s="693">
        <f>SUMIFS(Imput[[Importe Neto]:[Importe Neto]],Imput[[C. Imp.]:[C. Imp.]],$D759,Imput[[PERIODO Imp.]:[PERIODO Imp.]],CC$9)</f>
        <v>0</v>
      </c>
      <c r="CD759" s="693">
        <f>SUMIFS(Imput[[Importe Neto]:[Importe Neto]],Imput[[C. Imp.]:[C. Imp.]],$D759,Imput[[PERIODO Imp.]:[PERIODO Imp.]],CD$9)</f>
        <v>0</v>
      </c>
      <c r="CE759" s="693">
        <f>SUMIFS(Imput[[Importe Neto]:[Importe Neto]],Imput[[C. Imp.]:[C. Imp.]],$D759,Imput[[PERIODO Imp.]:[PERIODO Imp.]],CE$9)</f>
        <v>0</v>
      </c>
      <c r="CF759" s="693">
        <f>SUMIFS(Imput[[Importe Neto]:[Importe Neto]],Imput[[C. Imp.]:[C. Imp.]],$D759,Imput[[PERIODO Imp.]:[PERIODO Imp.]],CF$9)</f>
        <v>0</v>
      </c>
      <c r="CG759" s="693">
        <f>SUMIFS(Imput[[Importe Neto]:[Importe Neto]],Imput[[C. Imp.]:[C. Imp.]],$D759,Imput[[PERIODO Imp.]:[PERIODO Imp.]],CG$9)</f>
        <v>0</v>
      </c>
      <c r="CH759" s="693">
        <f>SUMIFS(Imput[[Importe Neto]:[Importe Neto]],Imput[[C. Imp.]:[C. Imp.]],$D759,Imput[[PERIODO Imp.]:[PERIODO Imp.]],CH$9)</f>
        <v>0</v>
      </c>
      <c r="CI759" s="693">
        <f>SUMIFS(Imput[[Importe Neto]:[Importe Neto]],Imput[[C. Imp.]:[C. Imp.]],$D759,Imput[[PERIODO Imp.]:[PERIODO Imp.]],CI$9)</f>
        <v>0</v>
      </c>
      <c r="CJ759" s="693">
        <f>SUMIFS(Imput[[Importe Neto]:[Importe Neto]],Imput[[C. Imp.]:[C. Imp.]],$D759,Imput[[PERIODO Imp.]:[PERIODO Imp.]],CJ$9)</f>
        <v>0</v>
      </c>
      <c r="CK759" s="693">
        <f>SUMIFS(Imput[[Importe Neto]:[Importe Neto]],Imput[[C. Imp.]:[C. Imp.]],$D759,Imput[[PERIODO Imp.]:[PERIODO Imp.]],CK$9)</f>
        <v>0</v>
      </c>
      <c r="CL759" s="693">
        <f>SUMIFS(Imput[[Importe Neto]:[Importe Neto]],Imput[[C. Imp.]:[C. Imp.]],$D759,Imput[[PERIODO Imp.]:[PERIODO Imp.]],CL$9)</f>
        <v>0</v>
      </c>
      <c r="CM759" s="693">
        <f>SUMIFS(Imput[[Importe Neto]:[Importe Neto]],Imput[[C. Imp.]:[C. Imp.]],$D759,Imput[[PERIODO Imp.]:[PERIODO Imp.]],CM$9)</f>
        <v>0</v>
      </c>
      <c r="CN759" s="693">
        <f>SUMIFS(Imput[[Importe Neto]:[Importe Neto]],Imput[[C. Imp.]:[C. Imp.]],$D759,Imput[[PERIODO Imp.]:[PERIODO Imp.]],CN$9)</f>
        <v>0</v>
      </c>
      <c r="CO759" s="693">
        <f>SUMIFS(Imput[[Importe Neto]:[Importe Neto]],Imput[[C. Imp.]:[C. Imp.]],$D759,Imput[[PERIODO Imp.]:[PERIODO Imp.]],CO$9)</f>
        <v>0</v>
      </c>
      <c r="CP759" s="693">
        <f>SUMIFS(Imput[[Importe Neto]:[Importe Neto]],Imput[[C. Imp.]:[C. Imp.]],$D759,Imput[[PERIODO Imp.]:[PERIODO Imp.]],CP$9)</f>
        <v>0</v>
      </c>
      <c r="CQ759" s="693">
        <f>SUMIFS(Imput[[Importe Neto]:[Importe Neto]],Imput[[C. Imp.]:[C. Imp.]],$D759,Imput[[PERIODO Imp.]:[PERIODO Imp.]],CQ$9)</f>
        <v>0</v>
      </c>
      <c r="CR759" s="693">
        <f>SUMIFS(Imput[[Importe Neto]:[Importe Neto]],Imput[[C. Imp.]:[C. Imp.]],$D759,Imput[[PERIODO Imp.]:[PERIODO Imp.]],CR$9)</f>
        <v>0</v>
      </c>
      <c r="CS759" s="693">
        <f>SUMIFS(Imput[[Importe Neto]:[Importe Neto]],Imput[[C. Imp.]:[C. Imp.]],$D759,Imput[[PERIODO Imp.]:[PERIODO Imp.]],CS$9)</f>
        <v>0</v>
      </c>
      <c r="CT759" s="693">
        <f>SUMIFS(Imput[[Importe Neto]:[Importe Neto]],Imput[[C. Imp.]:[C. Imp.]],$D759,Imput[[PERIODO Imp.]:[PERIODO Imp.]],CT$9)</f>
        <v>0</v>
      </c>
      <c r="CU759" s="693">
        <f>SUMIFS(Imput[[Importe Neto]:[Importe Neto]],Imput[[C. Imp.]:[C. Imp.]],$D759,Imput[[PERIODO Imp.]:[PERIODO Imp.]],CU$9)</f>
        <v>0</v>
      </c>
      <c r="CV759" s="693">
        <f>SUMIFS(Imput[[Importe Neto]:[Importe Neto]],Imput[[C. Imp.]:[C. Imp.]],$D759,Imput[[PERIODO Imp.]:[PERIODO Imp.]],CV$9)</f>
        <v>0</v>
      </c>
      <c r="CW759" s="693">
        <f>SUMIFS(Imput[[Importe Neto]:[Importe Neto]],Imput[[C. Imp.]:[C. Imp.]],$D759,Imput[[PERIODO Imp.]:[PERIODO Imp.]],CW$9)</f>
        <v>0</v>
      </c>
      <c r="CX759" s="693">
        <f>SUMIFS(Imput[[Importe Neto]:[Importe Neto]],Imput[[C. Imp.]:[C. Imp.]],$D759,Imput[[PERIODO Imp.]:[PERIODO Imp.]],CX$9)</f>
        <v>0</v>
      </c>
      <c r="CY759" s="693">
        <f>SUMIFS(Imput[[Importe Neto]:[Importe Neto]],Imput[[C. Imp.]:[C. Imp.]],$D759,Imput[[PERIODO Imp.]:[PERIODO Imp.]],CY$9)</f>
        <v>0</v>
      </c>
      <c r="CZ759" s="693">
        <f>SUMIFS(Imput[[Importe Neto]:[Importe Neto]],Imput[[C. Imp.]:[C. Imp.]],$D759,Imput[[PERIODO Imp.]:[PERIODO Imp.]],CZ$9)</f>
        <v>0</v>
      </c>
      <c r="DA759" s="693">
        <f>SUMIFS(Imput[[Importe Neto]:[Importe Neto]],Imput[[C. Imp.]:[C. Imp.]],$D759,Imput[[PERIODO Imp.]:[PERIODO Imp.]],DA$9)</f>
        <v>0</v>
      </c>
      <c r="DB759" s="693">
        <f>SUMIFS(Imput[[Importe Neto]:[Importe Neto]],Imput[[C. Imp.]:[C. Imp.]],$D759,Imput[[PERIODO Imp.]:[PERIODO Imp.]],DB$9)</f>
        <v>0</v>
      </c>
      <c r="DC759" s="693">
        <f>SUMIFS(Imput[[Importe Neto]:[Importe Neto]],Imput[[C. Imp.]:[C. Imp.]],$D759,Imput[[PERIODO Imp.]:[PERIODO Imp.]],DC$9)</f>
        <v>0</v>
      </c>
      <c r="DD759" s="693">
        <f>SUMIFS(Imput[[Importe Neto]:[Importe Neto]],Imput[[C. Imp.]:[C. Imp.]],$D759,Imput[[PERIODO Imp.]:[PERIODO Imp.]],DD$9)</f>
        <v>0</v>
      </c>
      <c r="DE759" s="693">
        <f>SUMIFS(Imput[[Importe Neto]:[Importe Neto]],Imput[[C. Imp.]:[C. Imp.]],$D759,Imput[[PERIODO Imp.]:[PERIODO Imp.]],DE$9)</f>
        <v>0</v>
      </c>
      <c r="DF759" s="693">
        <f>SUMIFS(Imput[[Importe Neto]:[Importe Neto]],Imput[[C. Imp.]:[C. Imp.]],$D759,Imput[[PERIODO Imp.]:[PERIODO Imp.]],DF$9)</f>
        <v>0</v>
      </c>
      <c r="DG759" s="693">
        <f>SUMIFS(Imput[[Importe Neto]:[Importe Neto]],Imput[[C. Imp.]:[C. Imp.]],$D759,Imput[[PERIODO Imp.]:[PERIODO Imp.]],DG$9)</f>
        <v>0</v>
      </c>
      <c r="DH759" s="694">
        <f>SUMIFS(Imput[[Importe Neto]:[Importe Neto]],Imput[[C. Imp.]:[C. Imp.]],$D759,Imput[[PERIODO Imp.]:[PERIODO Imp.]],DH$9)</f>
        <v>0</v>
      </c>
    </row>
    <row r="760" spans="1:112" s="649" customFormat="1" hidden="1" outlineLevel="1" x14ac:dyDescent="0.3">
      <c r="A760" s="652" t="str">
        <f t="shared" si="273"/>
        <v/>
      </c>
      <c r="B760" s="652"/>
      <c r="C760" s="685"/>
      <c r="D760" s="686" t="s">
        <v>2744</v>
      </c>
      <c r="E760" s="686"/>
      <c r="F760" s="720"/>
      <c r="G760" s="688"/>
      <c r="H760" s="689"/>
      <c r="I760" s="851" t="str">
        <f t="shared" si="274"/>
        <v/>
      </c>
      <c r="J760" s="850" t="str">
        <f t="shared" si="275"/>
        <v/>
      </c>
      <c r="K760" s="667"/>
      <c r="L760" s="858"/>
      <c r="M760" s="859"/>
      <c r="N760" s="859"/>
      <c r="O760" s="859"/>
      <c r="P760" s="859"/>
      <c r="Q760" s="859"/>
      <c r="R760" s="859"/>
      <c r="S760" s="859"/>
      <c r="T760" s="859"/>
      <c r="U760" s="859"/>
      <c r="V760" s="859"/>
      <c r="W760" s="859"/>
      <c r="X760" s="859"/>
      <c r="Y760" s="859"/>
      <c r="Z760" s="860"/>
      <c r="AA760" s="860"/>
      <c r="AB760" s="860"/>
      <c r="AC760" s="860"/>
      <c r="AD760" s="860"/>
      <c r="AE760" s="860"/>
      <c r="AF760" s="860"/>
      <c r="AG760" s="860"/>
      <c r="AH760" s="860"/>
      <c r="AI760" s="860"/>
      <c r="AJ760" s="860"/>
      <c r="AK760" s="860"/>
      <c r="AL760" s="860"/>
      <c r="AM760" s="860"/>
      <c r="AN760" s="860"/>
      <c r="AO760" s="860"/>
      <c r="AP760" s="860"/>
      <c r="AQ760" s="860"/>
      <c r="AR760" s="860"/>
      <c r="AS760" s="860"/>
      <c r="AT760" s="860"/>
      <c r="AU760" s="860"/>
      <c r="AV760" s="860"/>
      <c r="AW760" s="860"/>
      <c r="AX760" s="860"/>
      <c r="AY760" s="860"/>
      <c r="AZ760" s="860"/>
      <c r="BA760" s="860"/>
      <c r="BB760" s="860"/>
      <c r="BC760" s="860"/>
      <c r="BD760" s="860"/>
      <c r="BE760" s="860"/>
      <c r="BF760" s="860"/>
      <c r="BG760" s="860"/>
      <c r="BH760" s="668"/>
      <c r="BI760" s="667"/>
      <c r="BJ760" s="690">
        <f t="shared" si="276"/>
        <v>0</v>
      </c>
      <c r="BK760" s="691">
        <f t="shared" si="277"/>
        <v>0</v>
      </c>
      <c r="BL760" s="654"/>
      <c r="BM760" s="692">
        <f>SUMIFS(Imput[[Importe Neto]:[Importe Neto]],Imput[[C. Imp.]:[C. Imp.]],$D760,Imput[[PERIODO Imp.]:[PERIODO Imp.]],BM$9)</f>
        <v>0</v>
      </c>
      <c r="BN760" s="693">
        <f>SUMIFS(Imput[[Importe Neto]:[Importe Neto]],Imput[[C. Imp.]:[C. Imp.]],$D760,Imput[[PERIODO Imp.]:[PERIODO Imp.]],BN$9)</f>
        <v>0</v>
      </c>
      <c r="BO760" s="693">
        <f>SUMIFS(Imput[[Importe Neto]:[Importe Neto]],Imput[[C. Imp.]:[C. Imp.]],$D760,Imput[[PERIODO Imp.]:[PERIODO Imp.]],BO$9)</f>
        <v>0</v>
      </c>
      <c r="BP760" s="693">
        <f>SUMIFS(Imput[[Importe Neto]:[Importe Neto]],Imput[[C. Imp.]:[C. Imp.]],$D760,Imput[[PERIODO Imp.]:[PERIODO Imp.]],BP$9)</f>
        <v>0</v>
      </c>
      <c r="BQ760" s="693">
        <f>SUMIFS(Imput[[Importe Neto]:[Importe Neto]],Imput[[C. Imp.]:[C. Imp.]],$D760,Imput[[PERIODO Imp.]:[PERIODO Imp.]],BQ$9)</f>
        <v>0</v>
      </c>
      <c r="BR760" s="693">
        <f>SUMIFS(Imput[[Importe Neto]:[Importe Neto]],Imput[[C. Imp.]:[C. Imp.]],$D760,Imput[[PERIODO Imp.]:[PERIODO Imp.]],BR$9)</f>
        <v>0</v>
      </c>
      <c r="BS760" s="693">
        <f>SUMIFS(Imput[[Importe Neto]:[Importe Neto]],Imput[[C. Imp.]:[C. Imp.]],$D760,Imput[[PERIODO Imp.]:[PERIODO Imp.]],BS$9)</f>
        <v>0</v>
      </c>
      <c r="BT760" s="693">
        <f>SUMIFS(Imput[[Importe Neto]:[Importe Neto]],Imput[[C. Imp.]:[C. Imp.]],$D760,Imput[[PERIODO Imp.]:[PERIODO Imp.]],BT$9)</f>
        <v>0</v>
      </c>
      <c r="BU760" s="693">
        <f>SUMIFS(Imput[[Importe Neto]:[Importe Neto]],Imput[[C. Imp.]:[C. Imp.]],$D760,Imput[[PERIODO Imp.]:[PERIODO Imp.]],BU$9)</f>
        <v>0</v>
      </c>
      <c r="BV760" s="693">
        <f>SUMIFS(Imput[[Importe Neto]:[Importe Neto]],Imput[[C. Imp.]:[C. Imp.]],$D760,Imput[[PERIODO Imp.]:[PERIODO Imp.]],BV$9)</f>
        <v>0</v>
      </c>
      <c r="BW760" s="693">
        <f>SUMIFS(Imput[[Importe Neto]:[Importe Neto]],Imput[[C. Imp.]:[C. Imp.]],$D760,Imput[[PERIODO Imp.]:[PERIODO Imp.]],BW$9)</f>
        <v>0</v>
      </c>
      <c r="BX760" s="693">
        <f>SUMIFS(Imput[[Importe Neto]:[Importe Neto]],Imput[[C. Imp.]:[C. Imp.]],$D760,Imput[[PERIODO Imp.]:[PERIODO Imp.]],BX$9)</f>
        <v>0</v>
      </c>
      <c r="BY760" s="693">
        <f>SUMIFS(Imput[[Importe Neto]:[Importe Neto]],Imput[[C. Imp.]:[C. Imp.]],$D760,Imput[[PERIODO Imp.]:[PERIODO Imp.]],BY$9)</f>
        <v>0</v>
      </c>
      <c r="BZ760" s="693">
        <f>SUMIFS(Imput[[Importe Neto]:[Importe Neto]],Imput[[C. Imp.]:[C. Imp.]],$D760,Imput[[PERIODO Imp.]:[PERIODO Imp.]],BZ$9)</f>
        <v>0</v>
      </c>
      <c r="CA760" s="693">
        <f>SUMIFS(Imput[[Importe Neto]:[Importe Neto]],Imput[[C. Imp.]:[C. Imp.]],$D760,Imput[[PERIODO Imp.]:[PERIODO Imp.]],CA$9)</f>
        <v>0</v>
      </c>
      <c r="CB760" s="693">
        <f>SUMIFS(Imput[[Importe Neto]:[Importe Neto]],Imput[[C. Imp.]:[C. Imp.]],$D760,Imput[[PERIODO Imp.]:[PERIODO Imp.]],CB$9)</f>
        <v>0</v>
      </c>
      <c r="CC760" s="693">
        <f>SUMIFS(Imput[[Importe Neto]:[Importe Neto]],Imput[[C. Imp.]:[C. Imp.]],$D760,Imput[[PERIODO Imp.]:[PERIODO Imp.]],CC$9)</f>
        <v>0</v>
      </c>
      <c r="CD760" s="693">
        <f>SUMIFS(Imput[[Importe Neto]:[Importe Neto]],Imput[[C. Imp.]:[C. Imp.]],$D760,Imput[[PERIODO Imp.]:[PERIODO Imp.]],CD$9)</f>
        <v>0</v>
      </c>
      <c r="CE760" s="693">
        <f>SUMIFS(Imput[[Importe Neto]:[Importe Neto]],Imput[[C. Imp.]:[C. Imp.]],$D760,Imput[[PERIODO Imp.]:[PERIODO Imp.]],CE$9)</f>
        <v>0</v>
      </c>
      <c r="CF760" s="693">
        <f>SUMIFS(Imput[[Importe Neto]:[Importe Neto]],Imput[[C. Imp.]:[C. Imp.]],$D760,Imput[[PERIODO Imp.]:[PERIODO Imp.]],CF$9)</f>
        <v>0</v>
      </c>
      <c r="CG760" s="693">
        <f>SUMIFS(Imput[[Importe Neto]:[Importe Neto]],Imput[[C. Imp.]:[C. Imp.]],$D760,Imput[[PERIODO Imp.]:[PERIODO Imp.]],CG$9)</f>
        <v>0</v>
      </c>
      <c r="CH760" s="693">
        <f>SUMIFS(Imput[[Importe Neto]:[Importe Neto]],Imput[[C. Imp.]:[C. Imp.]],$D760,Imput[[PERIODO Imp.]:[PERIODO Imp.]],CH$9)</f>
        <v>0</v>
      </c>
      <c r="CI760" s="693">
        <f>SUMIFS(Imput[[Importe Neto]:[Importe Neto]],Imput[[C. Imp.]:[C. Imp.]],$D760,Imput[[PERIODO Imp.]:[PERIODO Imp.]],CI$9)</f>
        <v>0</v>
      </c>
      <c r="CJ760" s="693">
        <f>SUMIFS(Imput[[Importe Neto]:[Importe Neto]],Imput[[C. Imp.]:[C. Imp.]],$D760,Imput[[PERIODO Imp.]:[PERIODO Imp.]],CJ$9)</f>
        <v>0</v>
      </c>
      <c r="CK760" s="693">
        <f>SUMIFS(Imput[[Importe Neto]:[Importe Neto]],Imput[[C. Imp.]:[C. Imp.]],$D760,Imput[[PERIODO Imp.]:[PERIODO Imp.]],CK$9)</f>
        <v>0</v>
      </c>
      <c r="CL760" s="693">
        <f>SUMIFS(Imput[[Importe Neto]:[Importe Neto]],Imput[[C. Imp.]:[C. Imp.]],$D760,Imput[[PERIODO Imp.]:[PERIODO Imp.]],CL$9)</f>
        <v>0</v>
      </c>
      <c r="CM760" s="693">
        <f>SUMIFS(Imput[[Importe Neto]:[Importe Neto]],Imput[[C. Imp.]:[C. Imp.]],$D760,Imput[[PERIODO Imp.]:[PERIODO Imp.]],CM$9)</f>
        <v>0</v>
      </c>
      <c r="CN760" s="693">
        <f>SUMIFS(Imput[[Importe Neto]:[Importe Neto]],Imput[[C. Imp.]:[C. Imp.]],$D760,Imput[[PERIODO Imp.]:[PERIODO Imp.]],CN$9)</f>
        <v>0</v>
      </c>
      <c r="CO760" s="693">
        <f>SUMIFS(Imput[[Importe Neto]:[Importe Neto]],Imput[[C. Imp.]:[C. Imp.]],$D760,Imput[[PERIODO Imp.]:[PERIODO Imp.]],CO$9)</f>
        <v>0</v>
      </c>
      <c r="CP760" s="693">
        <f>SUMIFS(Imput[[Importe Neto]:[Importe Neto]],Imput[[C. Imp.]:[C. Imp.]],$D760,Imput[[PERIODO Imp.]:[PERIODO Imp.]],CP$9)</f>
        <v>0</v>
      </c>
      <c r="CQ760" s="693">
        <f>SUMIFS(Imput[[Importe Neto]:[Importe Neto]],Imput[[C. Imp.]:[C. Imp.]],$D760,Imput[[PERIODO Imp.]:[PERIODO Imp.]],CQ$9)</f>
        <v>0</v>
      </c>
      <c r="CR760" s="693">
        <f>SUMIFS(Imput[[Importe Neto]:[Importe Neto]],Imput[[C. Imp.]:[C. Imp.]],$D760,Imput[[PERIODO Imp.]:[PERIODO Imp.]],CR$9)</f>
        <v>0</v>
      </c>
      <c r="CS760" s="693">
        <f>SUMIFS(Imput[[Importe Neto]:[Importe Neto]],Imput[[C. Imp.]:[C. Imp.]],$D760,Imput[[PERIODO Imp.]:[PERIODO Imp.]],CS$9)</f>
        <v>0</v>
      </c>
      <c r="CT760" s="693">
        <f>SUMIFS(Imput[[Importe Neto]:[Importe Neto]],Imput[[C. Imp.]:[C. Imp.]],$D760,Imput[[PERIODO Imp.]:[PERIODO Imp.]],CT$9)</f>
        <v>0</v>
      </c>
      <c r="CU760" s="693">
        <f>SUMIFS(Imput[[Importe Neto]:[Importe Neto]],Imput[[C. Imp.]:[C. Imp.]],$D760,Imput[[PERIODO Imp.]:[PERIODO Imp.]],CU$9)</f>
        <v>0</v>
      </c>
      <c r="CV760" s="693">
        <f>SUMIFS(Imput[[Importe Neto]:[Importe Neto]],Imput[[C. Imp.]:[C. Imp.]],$D760,Imput[[PERIODO Imp.]:[PERIODO Imp.]],CV$9)</f>
        <v>0</v>
      </c>
      <c r="CW760" s="693">
        <f>SUMIFS(Imput[[Importe Neto]:[Importe Neto]],Imput[[C. Imp.]:[C. Imp.]],$D760,Imput[[PERIODO Imp.]:[PERIODO Imp.]],CW$9)</f>
        <v>0</v>
      </c>
      <c r="CX760" s="693">
        <f>SUMIFS(Imput[[Importe Neto]:[Importe Neto]],Imput[[C. Imp.]:[C. Imp.]],$D760,Imput[[PERIODO Imp.]:[PERIODO Imp.]],CX$9)</f>
        <v>0</v>
      </c>
      <c r="CY760" s="693">
        <f>SUMIFS(Imput[[Importe Neto]:[Importe Neto]],Imput[[C. Imp.]:[C. Imp.]],$D760,Imput[[PERIODO Imp.]:[PERIODO Imp.]],CY$9)</f>
        <v>0</v>
      </c>
      <c r="CZ760" s="693">
        <f>SUMIFS(Imput[[Importe Neto]:[Importe Neto]],Imput[[C. Imp.]:[C. Imp.]],$D760,Imput[[PERIODO Imp.]:[PERIODO Imp.]],CZ$9)</f>
        <v>0</v>
      </c>
      <c r="DA760" s="693">
        <f>SUMIFS(Imput[[Importe Neto]:[Importe Neto]],Imput[[C. Imp.]:[C. Imp.]],$D760,Imput[[PERIODO Imp.]:[PERIODO Imp.]],DA$9)</f>
        <v>0</v>
      </c>
      <c r="DB760" s="693">
        <f>SUMIFS(Imput[[Importe Neto]:[Importe Neto]],Imput[[C. Imp.]:[C. Imp.]],$D760,Imput[[PERIODO Imp.]:[PERIODO Imp.]],DB$9)</f>
        <v>0</v>
      </c>
      <c r="DC760" s="693">
        <f>SUMIFS(Imput[[Importe Neto]:[Importe Neto]],Imput[[C. Imp.]:[C. Imp.]],$D760,Imput[[PERIODO Imp.]:[PERIODO Imp.]],DC$9)</f>
        <v>0</v>
      </c>
      <c r="DD760" s="693">
        <f>SUMIFS(Imput[[Importe Neto]:[Importe Neto]],Imput[[C. Imp.]:[C. Imp.]],$D760,Imput[[PERIODO Imp.]:[PERIODO Imp.]],DD$9)</f>
        <v>0</v>
      </c>
      <c r="DE760" s="693">
        <f>SUMIFS(Imput[[Importe Neto]:[Importe Neto]],Imput[[C. Imp.]:[C. Imp.]],$D760,Imput[[PERIODO Imp.]:[PERIODO Imp.]],DE$9)</f>
        <v>0</v>
      </c>
      <c r="DF760" s="693">
        <f>SUMIFS(Imput[[Importe Neto]:[Importe Neto]],Imput[[C. Imp.]:[C. Imp.]],$D760,Imput[[PERIODO Imp.]:[PERIODO Imp.]],DF$9)</f>
        <v>0</v>
      </c>
      <c r="DG760" s="693">
        <f>SUMIFS(Imput[[Importe Neto]:[Importe Neto]],Imput[[C. Imp.]:[C. Imp.]],$D760,Imput[[PERIODO Imp.]:[PERIODO Imp.]],DG$9)</f>
        <v>0</v>
      </c>
      <c r="DH760" s="694">
        <f>SUMIFS(Imput[[Importe Neto]:[Importe Neto]],Imput[[C. Imp.]:[C. Imp.]],$D760,Imput[[PERIODO Imp.]:[PERIODO Imp.]],DH$9)</f>
        <v>0</v>
      </c>
    </row>
    <row r="761" spans="1:112" s="649" customFormat="1" hidden="1" outlineLevel="1" x14ac:dyDescent="0.3">
      <c r="A761" s="652" t="str">
        <f t="shared" si="273"/>
        <v/>
      </c>
      <c r="B761" s="652"/>
      <c r="C761" s="685"/>
      <c r="D761" s="686" t="s">
        <v>2745</v>
      </c>
      <c r="E761" s="686"/>
      <c r="F761" s="720"/>
      <c r="G761" s="688"/>
      <c r="H761" s="689"/>
      <c r="I761" s="851" t="str">
        <f t="shared" si="274"/>
        <v/>
      </c>
      <c r="J761" s="850" t="str">
        <f t="shared" si="275"/>
        <v/>
      </c>
      <c r="K761" s="667"/>
      <c r="L761" s="858"/>
      <c r="M761" s="859"/>
      <c r="N761" s="859"/>
      <c r="O761" s="859"/>
      <c r="P761" s="859"/>
      <c r="Q761" s="859"/>
      <c r="R761" s="859"/>
      <c r="S761" s="859"/>
      <c r="T761" s="859"/>
      <c r="U761" s="859"/>
      <c r="V761" s="859"/>
      <c r="W761" s="859"/>
      <c r="X761" s="859"/>
      <c r="Y761" s="859"/>
      <c r="Z761" s="860"/>
      <c r="AA761" s="860"/>
      <c r="AB761" s="860"/>
      <c r="AC761" s="860"/>
      <c r="AD761" s="860"/>
      <c r="AE761" s="860"/>
      <c r="AF761" s="860"/>
      <c r="AG761" s="860"/>
      <c r="AH761" s="860"/>
      <c r="AI761" s="860"/>
      <c r="AJ761" s="860"/>
      <c r="AK761" s="860"/>
      <c r="AL761" s="860"/>
      <c r="AM761" s="860"/>
      <c r="AN761" s="860"/>
      <c r="AO761" s="860"/>
      <c r="AP761" s="860"/>
      <c r="AQ761" s="860"/>
      <c r="AR761" s="860"/>
      <c r="AS761" s="860"/>
      <c r="AT761" s="860"/>
      <c r="AU761" s="860"/>
      <c r="AV761" s="860"/>
      <c r="AW761" s="860"/>
      <c r="AX761" s="860"/>
      <c r="AY761" s="860"/>
      <c r="AZ761" s="860"/>
      <c r="BA761" s="860"/>
      <c r="BB761" s="860"/>
      <c r="BC761" s="860"/>
      <c r="BD761" s="860"/>
      <c r="BE761" s="860"/>
      <c r="BF761" s="860"/>
      <c r="BG761" s="860"/>
      <c r="BH761" s="668"/>
      <c r="BI761" s="667"/>
      <c r="BJ761" s="690">
        <f t="shared" si="276"/>
        <v>0</v>
      </c>
      <c r="BK761" s="691">
        <f t="shared" si="277"/>
        <v>0</v>
      </c>
      <c r="BL761" s="654"/>
      <c r="BM761" s="692">
        <f>SUMIFS(Imput[[Importe Neto]:[Importe Neto]],Imput[[C. Imp.]:[C. Imp.]],$D761,Imput[[PERIODO Imp.]:[PERIODO Imp.]],BM$9)</f>
        <v>0</v>
      </c>
      <c r="BN761" s="693">
        <f>SUMIFS(Imput[[Importe Neto]:[Importe Neto]],Imput[[C. Imp.]:[C. Imp.]],$D761,Imput[[PERIODO Imp.]:[PERIODO Imp.]],BN$9)</f>
        <v>0</v>
      </c>
      <c r="BO761" s="693">
        <f>SUMIFS(Imput[[Importe Neto]:[Importe Neto]],Imput[[C. Imp.]:[C. Imp.]],$D761,Imput[[PERIODO Imp.]:[PERIODO Imp.]],BO$9)</f>
        <v>0</v>
      </c>
      <c r="BP761" s="693">
        <f>SUMIFS(Imput[[Importe Neto]:[Importe Neto]],Imput[[C. Imp.]:[C. Imp.]],$D761,Imput[[PERIODO Imp.]:[PERIODO Imp.]],BP$9)</f>
        <v>0</v>
      </c>
      <c r="BQ761" s="693">
        <f>SUMIFS(Imput[[Importe Neto]:[Importe Neto]],Imput[[C. Imp.]:[C. Imp.]],$D761,Imput[[PERIODO Imp.]:[PERIODO Imp.]],BQ$9)</f>
        <v>0</v>
      </c>
      <c r="BR761" s="693">
        <f>SUMIFS(Imput[[Importe Neto]:[Importe Neto]],Imput[[C. Imp.]:[C. Imp.]],$D761,Imput[[PERIODO Imp.]:[PERIODO Imp.]],BR$9)</f>
        <v>0</v>
      </c>
      <c r="BS761" s="693">
        <f>SUMIFS(Imput[[Importe Neto]:[Importe Neto]],Imput[[C. Imp.]:[C. Imp.]],$D761,Imput[[PERIODO Imp.]:[PERIODO Imp.]],BS$9)</f>
        <v>0</v>
      </c>
      <c r="BT761" s="693">
        <f>SUMIFS(Imput[[Importe Neto]:[Importe Neto]],Imput[[C. Imp.]:[C. Imp.]],$D761,Imput[[PERIODO Imp.]:[PERIODO Imp.]],BT$9)</f>
        <v>0</v>
      </c>
      <c r="BU761" s="693">
        <f>SUMIFS(Imput[[Importe Neto]:[Importe Neto]],Imput[[C. Imp.]:[C. Imp.]],$D761,Imput[[PERIODO Imp.]:[PERIODO Imp.]],BU$9)</f>
        <v>0</v>
      </c>
      <c r="BV761" s="693">
        <f>SUMIFS(Imput[[Importe Neto]:[Importe Neto]],Imput[[C. Imp.]:[C. Imp.]],$D761,Imput[[PERIODO Imp.]:[PERIODO Imp.]],BV$9)</f>
        <v>0</v>
      </c>
      <c r="BW761" s="693">
        <f>SUMIFS(Imput[[Importe Neto]:[Importe Neto]],Imput[[C. Imp.]:[C. Imp.]],$D761,Imput[[PERIODO Imp.]:[PERIODO Imp.]],BW$9)</f>
        <v>0</v>
      </c>
      <c r="BX761" s="693">
        <f>SUMIFS(Imput[[Importe Neto]:[Importe Neto]],Imput[[C. Imp.]:[C. Imp.]],$D761,Imput[[PERIODO Imp.]:[PERIODO Imp.]],BX$9)</f>
        <v>0</v>
      </c>
      <c r="BY761" s="693">
        <f>SUMIFS(Imput[[Importe Neto]:[Importe Neto]],Imput[[C. Imp.]:[C. Imp.]],$D761,Imput[[PERIODO Imp.]:[PERIODO Imp.]],BY$9)</f>
        <v>0</v>
      </c>
      <c r="BZ761" s="693">
        <f>SUMIFS(Imput[[Importe Neto]:[Importe Neto]],Imput[[C. Imp.]:[C. Imp.]],$D761,Imput[[PERIODO Imp.]:[PERIODO Imp.]],BZ$9)</f>
        <v>0</v>
      </c>
      <c r="CA761" s="693">
        <f>SUMIFS(Imput[[Importe Neto]:[Importe Neto]],Imput[[C. Imp.]:[C. Imp.]],$D761,Imput[[PERIODO Imp.]:[PERIODO Imp.]],CA$9)</f>
        <v>0</v>
      </c>
      <c r="CB761" s="693">
        <f>SUMIFS(Imput[[Importe Neto]:[Importe Neto]],Imput[[C. Imp.]:[C. Imp.]],$D761,Imput[[PERIODO Imp.]:[PERIODO Imp.]],CB$9)</f>
        <v>0</v>
      </c>
      <c r="CC761" s="693">
        <f>SUMIFS(Imput[[Importe Neto]:[Importe Neto]],Imput[[C. Imp.]:[C. Imp.]],$D761,Imput[[PERIODO Imp.]:[PERIODO Imp.]],CC$9)</f>
        <v>0</v>
      </c>
      <c r="CD761" s="693">
        <f>SUMIFS(Imput[[Importe Neto]:[Importe Neto]],Imput[[C. Imp.]:[C. Imp.]],$D761,Imput[[PERIODO Imp.]:[PERIODO Imp.]],CD$9)</f>
        <v>0</v>
      </c>
      <c r="CE761" s="693">
        <f>SUMIFS(Imput[[Importe Neto]:[Importe Neto]],Imput[[C. Imp.]:[C. Imp.]],$D761,Imput[[PERIODO Imp.]:[PERIODO Imp.]],CE$9)</f>
        <v>0</v>
      </c>
      <c r="CF761" s="693">
        <f>SUMIFS(Imput[[Importe Neto]:[Importe Neto]],Imput[[C. Imp.]:[C. Imp.]],$D761,Imput[[PERIODO Imp.]:[PERIODO Imp.]],CF$9)</f>
        <v>0</v>
      </c>
      <c r="CG761" s="693">
        <f>SUMIFS(Imput[[Importe Neto]:[Importe Neto]],Imput[[C. Imp.]:[C. Imp.]],$D761,Imput[[PERIODO Imp.]:[PERIODO Imp.]],CG$9)</f>
        <v>0</v>
      </c>
      <c r="CH761" s="693">
        <f>SUMIFS(Imput[[Importe Neto]:[Importe Neto]],Imput[[C. Imp.]:[C. Imp.]],$D761,Imput[[PERIODO Imp.]:[PERIODO Imp.]],CH$9)</f>
        <v>0</v>
      </c>
      <c r="CI761" s="693">
        <f>SUMIFS(Imput[[Importe Neto]:[Importe Neto]],Imput[[C. Imp.]:[C. Imp.]],$D761,Imput[[PERIODO Imp.]:[PERIODO Imp.]],CI$9)</f>
        <v>0</v>
      </c>
      <c r="CJ761" s="693">
        <f>SUMIFS(Imput[[Importe Neto]:[Importe Neto]],Imput[[C. Imp.]:[C. Imp.]],$D761,Imput[[PERIODO Imp.]:[PERIODO Imp.]],CJ$9)</f>
        <v>0</v>
      </c>
      <c r="CK761" s="693">
        <f>SUMIFS(Imput[[Importe Neto]:[Importe Neto]],Imput[[C. Imp.]:[C. Imp.]],$D761,Imput[[PERIODO Imp.]:[PERIODO Imp.]],CK$9)</f>
        <v>0</v>
      </c>
      <c r="CL761" s="693">
        <f>SUMIFS(Imput[[Importe Neto]:[Importe Neto]],Imput[[C. Imp.]:[C. Imp.]],$D761,Imput[[PERIODO Imp.]:[PERIODO Imp.]],CL$9)</f>
        <v>0</v>
      </c>
      <c r="CM761" s="693">
        <f>SUMIFS(Imput[[Importe Neto]:[Importe Neto]],Imput[[C. Imp.]:[C. Imp.]],$D761,Imput[[PERIODO Imp.]:[PERIODO Imp.]],CM$9)</f>
        <v>0</v>
      </c>
      <c r="CN761" s="693">
        <f>SUMIFS(Imput[[Importe Neto]:[Importe Neto]],Imput[[C. Imp.]:[C. Imp.]],$D761,Imput[[PERIODO Imp.]:[PERIODO Imp.]],CN$9)</f>
        <v>0</v>
      </c>
      <c r="CO761" s="693">
        <f>SUMIFS(Imput[[Importe Neto]:[Importe Neto]],Imput[[C. Imp.]:[C. Imp.]],$D761,Imput[[PERIODO Imp.]:[PERIODO Imp.]],CO$9)</f>
        <v>0</v>
      </c>
      <c r="CP761" s="693">
        <f>SUMIFS(Imput[[Importe Neto]:[Importe Neto]],Imput[[C. Imp.]:[C. Imp.]],$D761,Imput[[PERIODO Imp.]:[PERIODO Imp.]],CP$9)</f>
        <v>0</v>
      </c>
      <c r="CQ761" s="693">
        <f>SUMIFS(Imput[[Importe Neto]:[Importe Neto]],Imput[[C. Imp.]:[C. Imp.]],$D761,Imput[[PERIODO Imp.]:[PERIODO Imp.]],CQ$9)</f>
        <v>0</v>
      </c>
      <c r="CR761" s="693">
        <f>SUMIFS(Imput[[Importe Neto]:[Importe Neto]],Imput[[C. Imp.]:[C. Imp.]],$D761,Imput[[PERIODO Imp.]:[PERIODO Imp.]],CR$9)</f>
        <v>0</v>
      </c>
      <c r="CS761" s="693">
        <f>SUMIFS(Imput[[Importe Neto]:[Importe Neto]],Imput[[C. Imp.]:[C. Imp.]],$D761,Imput[[PERIODO Imp.]:[PERIODO Imp.]],CS$9)</f>
        <v>0</v>
      </c>
      <c r="CT761" s="693">
        <f>SUMIFS(Imput[[Importe Neto]:[Importe Neto]],Imput[[C. Imp.]:[C. Imp.]],$D761,Imput[[PERIODO Imp.]:[PERIODO Imp.]],CT$9)</f>
        <v>0</v>
      </c>
      <c r="CU761" s="693">
        <f>SUMIFS(Imput[[Importe Neto]:[Importe Neto]],Imput[[C. Imp.]:[C. Imp.]],$D761,Imput[[PERIODO Imp.]:[PERIODO Imp.]],CU$9)</f>
        <v>0</v>
      </c>
      <c r="CV761" s="693">
        <f>SUMIFS(Imput[[Importe Neto]:[Importe Neto]],Imput[[C. Imp.]:[C. Imp.]],$D761,Imput[[PERIODO Imp.]:[PERIODO Imp.]],CV$9)</f>
        <v>0</v>
      </c>
      <c r="CW761" s="693">
        <f>SUMIFS(Imput[[Importe Neto]:[Importe Neto]],Imput[[C. Imp.]:[C. Imp.]],$D761,Imput[[PERIODO Imp.]:[PERIODO Imp.]],CW$9)</f>
        <v>0</v>
      </c>
      <c r="CX761" s="693">
        <f>SUMIFS(Imput[[Importe Neto]:[Importe Neto]],Imput[[C. Imp.]:[C. Imp.]],$D761,Imput[[PERIODO Imp.]:[PERIODO Imp.]],CX$9)</f>
        <v>0</v>
      </c>
      <c r="CY761" s="693">
        <f>SUMIFS(Imput[[Importe Neto]:[Importe Neto]],Imput[[C. Imp.]:[C. Imp.]],$D761,Imput[[PERIODO Imp.]:[PERIODO Imp.]],CY$9)</f>
        <v>0</v>
      </c>
      <c r="CZ761" s="693">
        <f>SUMIFS(Imput[[Importe Neto]:[Importe Neto]],Imput[[C. Imp.]:[C. Imp.]],$D761,Imput[[PERIODO Imp.]:[PERIODO Imp.]],CZ$9)</f>
        <v>0</v>
      </c>
      <c r="DA761" s="693">
        <f>SUMIFS(Imput[[Importe Neto]:[Importe Neto]],Imput[[C. Imp.]:[C. Imp.]],$D761,Imput[[PERIODO Imp.]:[PERIODO Imp.]],DA$9)</f>
        <v>0</v>
      </c>
      <c r="DB761" s="693">
        <f>SUMIFS(Imput[[Importe Neto]:[Importe Neto]],Imput[[C. Imp.]:[C. Imp.]],$D761,Imput[[PERIODO Imp.]:[PERIODO Imp.]],DB$9)</f>
        <v>0</v>
      </c>
      <c r="DC761" s="693">
        <f>SUMIFS(Imput[[Importe Neto]:[Importe Neto]],Imput[[C. Imp.]:[C. Imp.]],$D761,Imput[[PERIODO Imp.]:[PERIODO Imp.]],DC$9)</f>
        <v>0</v>
      </c>
      <c r="DD761" s="693">
        <f>SUMIFS(Imput[[Importe Neto]:[Importe Neto]],Imput[[C. Imp.]:[C. Imp.]],$D761,Imput[[PERIODO Imp.]:[PERIODO Imp.]],DD$9)</f>
        <v>0</v>
      </c>
      <c r="DE761" s="693">
        <f>SUMIFS(Imput[[Importe Neto]:[Importe Neto]],Imput[[C. Imp.]:[C. Imp.]],$D761,Imput[[PERIODO Imp.]:[PERIODO Imp.]],DE$9)</f>
        <v>0</v>
      </c>
      <c r="DF761" s="693">
        <f>SUMIFS(Imput[[Importe Neto]:[Importe Neto]],Imput[[C. Imp.]:[C. Imp.]],$D761,Imput[[PERIODO Imp.]:[PERIODO Imp.]],DF$9)</f>
        <v>0</v>
      </c>
      <c r="DG761" s="693">
        <f>SUMIFS(Imput[[Importe Neto]:[Importe Neto]],Imput[[C. Imp.]:[C. Imp.]],$D761,Imput[[PERIODO Imp.]:[PERIODO Imp.]],DG$9)</f>
        <v>0</v>
      </c>
      <c r="DH761" s="694">
        <f>SUMIFS(Imput[[Importe Neto]:[Importe Neto]],Imput[[C. Imp.]:[C. Imp.]],$D761,Imput[[PERIODO Imp.]:[PERIODO Imp.]],DH$9)</f>
        <v>0</v>
      </c>
    </row>
    <row r="762" spans="1:112" s="649" customFormat="1" hidden="1" outlineLevel="1" x14ac:dyDescent="0.3">
      <c r="A762" s="652" t="str">
        <f t="shared" si="273"/>
        <v/>
      </c>
      <c r="B762" s="652"/>
      <c r="C762" s="685"/>
      <c r="D762" s="686" t="s">
        <v>2746</v>
      </c>
      <c r="E762" s="686"/>
      <c r="F762" s="720"/>
      <c r="G762" s="688"/>
      <c r="H762" s="689"/>
      <c r="I762" s="851" t="str">
        <f t="shared" si="274"/>
        <v/>
      </c>
      <c r="J762" s="850" t="str">
        <f t="shared" si="275"/>
        <v/>
      </c>
      <c r="K762" s="667"/>
      <c r="L762" s="858"/>
      <c r="M762" s="859"/>
      <c r="N762" s="859"/>
      <c r="O762" s="859"/>
      <c r="P762" s="859"/>
      <c r="Q762" s="859"/>
      <c r="R762" s="859"/>
      <c r="S762" s="859"/>
      <c r="T762" s="859"/>
      <c r="U762" s="859"/>
      <c r="V762" s="859"/>
      <c r="W762" s="859"/>
      <c r="X762" s="859"/>
      <c r="Y762" s="859"/>
      <c r="Z762" s="860"/>
      <c r="AA762" s="860"/>
      <c r="AB762" s="860"/>
      <c r="AC762" s="860"/>
      <c r="AD762" s="860"/>
      <c r="AE762" s="860"/>
      <c r="AF762" s="860"/>
      <c r="AG762" s="860"/>
      <c r="AH762" s="860"/>
      <c r="AI762" s="860"/>
      <c r="AJ762" s="860"/>
      <c r="AK762" s="860"/>
      <c r="AL762" s="860"/>
      <c r="AM762" s="860"/>
      <c r="AN762" s="860"/>
      <c r="AO762" s="860"/>
      <c r="AP762" s="860"/>
      <c r="AQ762" s="860"/>
      <c r="AR762" s="860"/>
      <c r="AS762" s="860"/>
      <c r="AT762" s="860"/>
      <c r="AU762" s="860"/>
      <c r="AV762" s="860"/>
      <c r="AW762" s="860"/>
      <c r="AX762" s="860"/>
      <c r="AY762" s="860"/>
      <c r="AZ762" s="860"/>
      <c r="BA762" s="860"/>
      <c r="BB762" s="860"/>
      <c r="BC762" s="860"/>
      <c r="BD762" s="860"/>
      <c r="BE762" s="860"/>
      <c r="BF762" s="860"/>
      <c r="BG762" s="860"/>
      <c r="BH762" s="668"/>
      <c r="BI762" s="667"/>
      <c r="BJ762" s="690">
        <f t="shared" si="276"/>
        <v>0</v>
      </c>
      <c r="BK762" s="691">
        <f t="shared" si="277"/>
        <v>0</v>
      </c>
      <c r="BL762" s="654"/>
      <c r="BM762" s="692">
        <f>SUMIFS(Imput[[Importe Neto]:[Importe Neto]],Imput[[C. Imp.]:[C. Imp.]],$D762,Imput[[PERIODO Imp.]:[PERIODO Imp.]],BM$9)</f>
        <v>0</v>
      </c>
      <c r="BN762" s="693">
        <f>SUMIFS(Imput[[Importe Neto]:[Importe Neto]],Imput[[C. Imp.]:[C. Imp.]],$D762,Imput[[PERIODO Imp.]:[PERIODO Imp.]],BN$9)</f>
        <v>0</v>
      </c>
      <c r="BO762" s="693">
        <f>SUMIFS(Imput[[Importe Neto]:[Importe Neto]],Imput[[C. Imp.]:[C. Imp.]],$D762,Imput[[PERIODO Imp.]:[PERIODO Imp.]],BO$9)</f>
        <v>0</v>
      </c>
      <c r="BP762" s="693">
        <f>SUMIFS(Imput[[Importe Neto]:[Importe Neto]],Imput[[C. Imp.]:[C. Imp.]],$D762,Imput[[PERIODO Imp.]:[PERIODO Imp.]],BP$9)</f>
        <v>0</v>
      </c>
      <c r="BQ762" s="693">
        <f>SUMIFS(Imput[[Importe Neto]:[Importe Neto]],Imput[[C. Imp.]:[C. Imp.]],$D762,Imput[[PERIODO Imp.]:[PERIODO Imp.]],BQ$9)</f>
        <v>0</v>
      </c>
      <c r="BR762" s="693">
        <f>SUMIFS(Imput[[Importe Neto]:[Importe Neto]],Imput[[C. Imp.]:[C. Imp.]],$D762,Imput[[PERIODO Imp.]:[PERIODO Imp.]],BR$9)</f>
        <v>0</v>
      </c>
      <c r="BS762" s="693">
        <f>SUMIFS(Imput[[Importe Neto]:[Importe Neto]],Imput[[C. Imp.]:[C. Imp.]],$D762,Imput[[PERIODO Imp.]:[PERIODO Imp.]],BS$9)</f>
        <v>0</v>
      </c>
      <c r="BT762" s="693">
        <f>SUMIFS(Imput[[Importe Neto]:[Importe Neto]],Imput[[C. Imp.]:[C. Imp.]],$D762,Imput[[PERIODO Imp.]:[PERIODO Imp.]],BT$9)</f>
        <v>0</v>
      </c>
      <c r="BU762" s="693">
        <f>SUMIFS(Imput[[Importe Neto]:[Importe Neto]],Imput[[C. Imp.]:[C. Imp.]],$D762,Imput[[PERIODO Imp.]:[PERIODO Imp.]],BU$9)</f>
        <v>0</v>
      </c>
      <c r="BV762" s="693">
        <f>SUMIFS(Imput[[Importe Neto]:[Importe Neto]],Imput[[C. Imp.]:[C. Imp.]],$D762,Imput[[PERIODO Imp.]:[PERIODO Imp.]],BV$9)</f>
        <v>0</v>
      </c>
      <c r="BW762" s="693">
        <f>SUMIFS(Imput[[Importe Neto]:[Importe Neto]],Imput[[C. Imp.]:[C. Imp.]],$D762,Imput[[PERIODO Imp.]:[PERIODO Imp.]],BW$9)</f>
        <v>0</v>
      </c>
      <c r="BX762" s="693">
        <f>SUMIFS(Imput[[Importe Neto]:[Importe Neto]],Imput[[C. Imp.]:[C. Imp.]],$D762,Imput[[PERIODO Imp.]:[PERIODO Imp.]],BX$9)</f>
        <v>0</v>
      </c>
      <c r="BY762" s="693">
        <f>SUMIFS(Imput[[Importe Neto]:[Importe Neto]],Imput[[C. Imp.]:[C. Imp.]],$D762,Imput[[PERIODO Imp.]:[PERIODO Imp.]],BY$9)</f>
        <v>0</v>
      </c>
      <c r="BZ762" s="693">
        <f>SUMIFS(Imput[[Importe Neto]:[Importe Neto]],Imput[[C. Imp.]:[C. Imp.]],$D762,Imput[[PERIODO Imp.]:[PERIODO Imp.]],BZ$9)</f>
        <v>0</v>
      </c>
      <c r="CA762" s="693">
        <f>SUMIFS(Imput[[Importe Neto]:[Importe Neto]],Imput[[C. Imp.]:[C. Imp.]],$D762,Imput[[PERIODO Imp.]:[PERIODO Imp.]],CA$9)</f>
        <v>0</v>
      </c>
      <c r="CB762" s="693">
        <f>SUMIFS(Imput[[Importe Neto]:[Importe Neto]],Imput[[C. Imp.]:[C. Imp.]],$D762,Imput[[PERIODO Imp.]:[PERIODO Imp.]],CB$9)</f>
        <v>0</v>
      </c>
      <c r="CC762" s="693">
        <f>SUMIFS(Imput[[Importe Neto]:[Importe Neto]],Imput[[C. Imp.]:[C. Imp.]],$D762,Imput[[PERIODO Imp.]:[PERIODO Imp.]],CC$9)</f>
        <v>0</v>
      </c>
      <c r="CD762" s="693">
        <f>SUMIFS(Imput[[Importe Neto]:[Importe Neto]],Imput[[C. Imp.]:[C. Imp.]],$D762,Imput[[PERIODO Imp.]:[PERIODO Imp.]],CD$9)</f>
        <v>0</v>
      </c>
      <c r="CE762" s="693">
        <f>SUMIFS(Imput[[Importe Neto]:[Importe Neto]],Imput[[C. Imp.]:[C. Imp.]],$D762,Imput[[PERIODO Imp.]:[PERIODO Imp.]],CE$9)</f>
        <v>0</v>
      </c>
      <c r="CF762" s="693">
        <f>SUMIFS(Imput[[Importe Neto]:[Importe Neto]],Imput[[C. Imp.]:[C. Imp.]],$D762,Imput[[PERIODO Imp.]:[PERIODO Imp.]],CF$9)</f>
        <v>0</v>
      </c>
      <c r="CG762" s="693">
        <f>SUMIFS(Imput[[Importe Neto]:[Importe Neto]],Imput[[C. Imp.]:[C. Imp.]],$D762,Imput[[PERIODO Imp.]:[PERIODO Imp.]],CG$9)</f>
        <v>0</v>
      </c>
      <c r="CH762" s="693">
        <f>SUMIFS(Imput[[Importe Neto]:[Importe Neto]],Imput[[C. Imp.]:[C. Imp.]],$D762,Imput[[PERIODO Imp.]:[PERIODO Imp.]],CH$9)</f>
        <v>0</v>
      </c>
      <c r="CI762" s="693">
        <f>SUMIFS(Imput[[Importe Neto]:[Importe Neto]],Imput[[C. Imp.]:[C. Imp.]],$D762,Imput[[PERIODO Imp.]:[PERIODO Imp.]],CI$9)</f>
        <v>0</v>
      </c>
      <c r="CJ762" s="693">
        <f>SUMIFS(Imput[[Importe Neto]:[Importe Neto]],Imput[[C. Imp.]:[C. Imp.]],$D762,Imput[[PERIODO Imp.]:[PERIODO Imp.]],CJ$9)</f>
        <v>0</v>
      </c>
      <c r="CK762" s="693">
        <f>SUMIFS(Imput[[Importe Neto]:[Importe Neto]],Imput[[C. Imp.]:[C. Imp.]],$D762,Imput[[PERIODO Imp.]:[PERIODO Imp.]],CK$9)</f>
        <v>0</v>
      </c>
      <c r="CL762" s="693">
        <f>SUMIFS(Imput[[Importe Neto]:[Importe Neto]],Imput[[C. Imp.]:[C. Imp.]],$D762,Imput[[PERIODO Imp.]:[PERIODO Imp.]],CL$9)</f>
        <v>0</v>
      </c>
      <c r="CM762" s="693">
        <f>SUMIFS(Imput[[Importe Neto]:[Importe Neto]],Imput[[C. Imp.]:[C. Imp.]],$D762,Imput[[PERIODO Imp.]:[PERIODO Imp.]],CM$9)</f>
        <v>0</v>
      </c>
      <c r="CN762" s="693">
        <f>SUMIFS(Imput[[Importe Neto]:[Importe Neto]],Imput[[C. Imp.]:[C. Imp.]],$D762,Imput[[PERIODO Imp.]:[PERIODO Imp.]],CN$9)</f>
        <v>0</v>
      </c>
      <c r="CO762" s="693">
        <f>SUMIFS(Imput[[Importe Neto]:[Importe Neto]],Imput[[C. Imp.]:[C. Imp.]],$D762,Imput[[PERIODO Imp.]:[PERIODO Imp.]],CO$9)</f>
        <v>0</v>
      </c>
      <c r="CP762" s="693">
        <f>SUMIFS(Imput[[Importe Neto]:[Importe Neto]],Imput[[C. Imp.]:[C. Imp.]],$D762,Imput[[PERIODO Imp.]:[PERIODO Imp.]],CP$9)</f>
        <v>0</v>
      </c>
      <c r="CQ762" s="693">
        <f>SUMIFS(Imput[[Importe Neto]:[Importe Neto]],Imput[[C. Imp.]:[C. Imp.]],$D762,Imput[[PERIODO Imp.]:[PERIODO Imp.]],CQ$9)</f>
        <v>0</v>
      </c>
      <c r="CR762" s="693">
        <f>SUMIFS(Imput[[Importe Neto]:[Importe Neto]],Imput[[C. Imp.]:[C. Imp.]],$D762,Imput[[PERIODO Imp.]:[PERIODO Imp.]],CR$9)</f>
        <v>0</v>
      </c>
      <c r="CS762" s="693">
        <f>SUMIFS(Imput[[Importe Neto]:[Importe Neto]],Imput[[C. Imp.]:[C. Imp.]],$D762,Imput[[PERIODO Imp.]:[PERIODO Imp.]],CS$9)</f>
        <v>0</v>
      </c>
      <c r="CT762" s="693">
        <f>SUMIFS(Imput[[Importe Neto]:[Importe Neto]],Imput[[C. Imp.]:[C. Imp.]],$D762,Imput[[PERIODO Imp.]:[PERIODO Imp.]],CT$9)</f>
        <v>0</v>
      </c>
      <c r="CU762" s="693">
        <f>SUMIFS(Imput[[Importe Neto]:[Importe Neto]],Imput[[C. Imp.]:[C. Imp.]],$D762,Imput[[PERIODO Imp.]:[PERIODO Imp.]],CU$9)</f>
        <v>0</v>
      </c>
      <c r="CV762" s="693">
        <f>SUMIFS(Imput[[Importe Neto]:[Importe Neto]],Imput[[C. Imp.]:[C. Imp.]],$D762,Imput[[PERIODO Imp.]:[PERIODO Imp.]],CV$9)</f>
        <v>0</v>
      </c>
      <c r="CW762" s="693">
        <f>SUMIFS(Imput[[Importe Neto]:[Importe Neto]],Imput[[C. Imp.]:[C. Imp.]],$D762,Imput[[PERIODO Imp.]:[PERIODO Imp.]],CW$9)</f>
        <v>0</v>
      </c>
      <c r="CX762" s="693">
        <f>SUMIFS(Imput[[Importe Neto]:[Importe Neto]],Imput[[C. Imp.]:[C. Imp.]],$D762,Imput[[PERIODO Imp.]:[PERIODO Imp.]],CX$9)</f>
        <v>0</v>
      </c>
      <c r="CY762" s="693">
        <f>SUMIFS(Imput[[Importe Neto]:[Importe Neto]],Imput[[C. Imp.]:[C. Imp.]],$D762,Imput[[PERIODO Imp.]:[PERIODO Imp.]],CY$9)</f>
        <v>0</v>
      </c>
      <c r="CZ762" s="693">
        <f>SUMIFS(Imput[[Importe Neto]:[Importe Neto]],Imput[[C. Imp.]:[C. Imp.]],$D762,Imput[[PERIODO Imp.]:[PERIODO Imp.]],CZ$9)</f>
        <v>0</v>
      </c>
      <c r="DA762" s="693">
        <f>SUMIFS(Imput[[Importe Neto]:[Importe Neto]],Imput[[C. Imp.]:[C. Imp.]],$D762,Imput[[PERIODO Imp.]:[PERIODO Imp.]],DA$9)</f>
        <v>0</v>
      </c>
      <c r="DB762" s="693">
        <f>SUMIFS(Imput[[Importe Neto]:[Importe Neto]],Imput[[C. Imp.]:[C. Imp.]],$D762,Imput[[PERIODO Imp.]:[PERIODO Imp.]],DB$9)</f>
        <v>0</v>
      </c>
      <c r="DC762" s="693">
        <f>SUMIFS(Imput[[Importe Neto]:[Importe Neto]],Imput[[C. Imp.]:[C. Imp.]],$D762,Imput[[PERIODO Imp.]:[PERIODO Imp.]],DC$9)</f>
        <v>0</v>
      </c>
      <c r="DD762" s="693">
        <f>SUMIFS(Imput[[Importe Neto]:[Importe Neto]],Imput[[C. Imp.]:[C. Imp.]],$D762,Imput[[PERIODO Imp.]:[PERIODO Imp.]],DD$9)</f>
        <v>0</v>
      </c>
      <c r="DE762" s="693">
        <f>SUMIFS(Imput[[Importe Neto]:[Importe Neto]],Imput[[C. Imp.]:[C. Imp.]],$D762,Imput[[PERIODO Imp.]:[PERIODO Imp.]],DE$9)</f>
        <v>0</v>
      </c>
      <c r="DF762" s="693">
        <f>SUMIFS(Imput[[Importe Neto]:[Importe Neto]],Imput[[C. Imp.]:[C. Imp.]],$D762,Imput[[PERIODO Imp.]:[PERIODO Imp.]],DF$9)</f>
        <v>0</v>
      </c>
      <c r="DG762" s="693">
        <f>SUMIFS(Imput[[Importe Neto]:[Importe Neto]],Imput[[C. Imp.]:[C. Imp.]],$D762,Imput[[PERIODO Imp.]:[PERIODO Imp.]],DG$9)</f>
        <v>0</v>
      </c>
      <c r="DH762" s="694">
        <f>SUMIFS(Imput[[Importe Neto]:[Importe Neto]],Imput[[C. Imp.]:[C. Imp.]],$D762,Imput[[PERIODO Imp.]:[PERIODO Imp.]],DH$9)</f>
        <v>0</v>
      </c>
    </row>
    <row r="763" spans="1:112" s="649" customFormat="1" hidden="1" outlineLevel="1" x14ac:dyDescent="0.3">
      <c r="A763" s="652" t="str">
        <f t="shared" si="273"/>
        <v/>
      </c>
      <c r="B763" s="652"/>
      <c r="C763" s="685"/>
      <c r="D763" s="686" t="s">
        <v>2747</v>
      </c>
      <c r="E763" s="686"/>
      <c r="F763" s="720"/>
      <c r="G763" s="688"/>
      <c r="H763" s="689"/>
      <c r="I763" s="851" t="str">
        <f t="shared" si="274"/>
        <v/>
      </c>
      <c r="J763" s="850" t="str">
        <f t="shared" si="275"/>
        <v/>
      </c>
      <c r="K763" s="667"/>
      <c r="L763" s="858"/>
      <c r="M763" s="859"/>
      <c r="N763" s="859"/>
      <c r="O763" s="859"/>
      <c r="P763" s="859"/>
      <c r="Q763" s="859"/>
      <c r="R763" s="859"/>
      <c r="S763" s="859"/>
      <c r="T763" s="859"/>
      <c r="U763" s="859"/>
      <c r="V763" s="859"/>
      <c r="W763" s="859"/>
      <c r="X763" s="859"/>
      <c r="Y763" s="859"/>
      <c r="Z763" s="860"/>
      <c r="AA763" s="860"/>
      <c r="AB763" s="860"/>
      <c r="AC763" s="860"/>
      <c r="AD763" s="860"/>
      <c r="AE763" s="860"/>
      <c r="AF763" s="860"/>
      <c r="AG763" s="860"/>
      <c r="AH763" s="860"/>
      <c r="AI763" s="860"/>
      <c r="AJ763" s="860"/>
      <c r="AK763" s="860"/>
      <c r="AL763" s="860"/>
      <c r="AM763" s="860"/>
      <c r="AN763" s="860"/>
      <c r="AO763" s="860"/>
      <c r="AP763" s="860"/>
      <c r="AQ763" s="860"/>
      <c r="AR763" s="860"/>
      <c r="AS763" s="860"/>
      <c r="AT763" s="860"/>
      <c r="AU763" s="860"/>
      <c r="AV763" s="860"/>
      <c r="AW763" s="860"/>
      <c r="AX763" s="860"/>
      <c r="AY763" s="860"/>
      <c r="AZ763" s="860"/>
      <c r="BA763" s="860"/>
      <c r="BB763" s="860"/>
      <c r="BC763" s="860"/>
      <c r="BD763" s="860"/>
      <c r="BE763" s="860"/>
      <c r="BF763" s="860"/>
      <c r="BG763" s="860"/>
      <c r="BH763" s="668"/>
      <c r="BI763" s="667"/>
      <c r="BJ763" s="690">
        <f t="shared" si="276"/>
        <v>0</v>
      </c>
      <c r="BK763" s="691">
        <f t="shared" si="277"/>
        <v>0</v>
      </c>
      <c r="BL763" s="654"/>
      <c r="BM763" s="692">
        <f>SUMIFS(Imput[[Importe Neto]:[Importe Neto]],Imput[[C. Imp.]:[C. Imp.]],$D763,Imput[[PERIODO Imp.]:[PERIODO Imp.]],BM$9)</f>
        <v>0</v>
      </c>
      <c r="BN763" s="693">
        <f>SUMIFS(Imput[[Importe Neto]:[Importe Neto]],Imput[[C. Imp.]:[C. Imp.]],$D763,Imput[[PERIODO Imp.]:[PERIODO Imp.]],BN$9)</f>
        <v>0</v>
      </c>
      <c r="BO763" s="693">
        <f>SUMIFS(Imput[[Importe Neto]:[Importe Neto]],Imput[[C. Imp.]:[C. Imp.]],$D763,Imput[[PERIODO Imp.]:[PERIODO Imp.]],BO$9)</f>
        <v>0</v>
      </c>
      <c r="BP763" s="693">
        <f>SUMIFS(Imput[[Importe Neto]:[Importe Neto]],Imput[[C. Imp.]:[C. Imp.]],$D763,Imput[[PERIODO Imp.]:[PERIODO Imp.]],BP$9)</f>
        <v>0</v>
      </c>
      <c r="BQ763" s="693">
        <f>SUMIFS(Imput[[Importe Neto]:[Importe Neto]],Imput[[C. Imp.]:[C. Imp.]],$D763,Imput[[PERIODO Imp.]:[PERIODO Imp.]],BQ$9)</f>
        <v>0</v>
      </c>
      <c r="BR763" s="693">
        <f>SUMIFS(Imput[[Importe Neto]:[Importe Neto]],Imput[[C. Imp.]:[C. Imp.]],$D763,Imput[[PERIODO Imp.]:[PERIODO Imp.]],BR$9)</f>
        <v>0</v>
      </c>
      <c r="BS763" s="693">
        <f>SUMIFS(Imput[[Importe Neto]:[Importe Neto]],Imput[[C. Imp.]:[C. Imp.]],$D763,Imput[[PERIODO Imp.]:[PERIODO Imp.]],BS$9)</f>
        <v>0</v>
      </c>
      <c r="BT763" s="693">
        <f>SUMIFS(Imput[[Importe Neto]:[Importe Neto]],Imput[[C. Imp.]:[C. Imp.]],$D763,Imput[[PERIODO Imp.]:[PERIODO Imp.]],BT$9)</f>
        <v>0</v>
      </c>
      <c r="BU763" s="693">
        <f>SUMIFS(Imput[[Importe Neto]:[Importe Neto]],Imput[[C. Imp.]:[C. Imp.]],$D763,Imput[[PERIODO Imp.]:[PERIODO Imp.]],BU$9)</f>
        <v>0</v>
      </c>
      <c r="BV763" s="693">
        <f>SUMIFS(Imput[[Importe Neto]:[Importe Neto]],Imput[[C. Imp.]:[C. Imp.]],$D763,Imput[[PERIODO Imp.]:[PERIODO Imp.]],BV$9)</f>
        <v>0</v>
      </c>
      <c r="BW763" s="693">
        <f>SUMIFS(Imput[[Importe Neto]:[Importe Neto]],Imput[[C. Imp.]:[C. Imp.]],$D763,Imput[[PERIODO Imp.]:[PERIODO Imp.]],BW$9)</f>
        <v>0</v>
      </c>
      <c r="BX763" s="693">
        <f>SUMIFS(Imput[[Importe Neto]:[Importe Neto]],Imput[[C. Imp.]:[C. Imp.]],$D763,Imput[[PERIODO Imp.]:[PERIODO Imp.]],BX$9)</f>
        <v>0</v>
      </c>
      <c r="BY763" s="693">
        <f>SUMIFS(Imput[[Importe Neto]:[Importe Neto]],Imput[[C. Imp.]:[C. Imp.]],$D763,Imput[[PERIODO Imp.]:[PERIODO Imp.]],BY$9)</f>
        <v>0</v>
      </c>
      <c r="BZ763" s="693">
        <f>SUMIFS(Imput[[Importe Neto]:[Importe Neto]],Imput[[C. Imp.]:[C. Imp.]],$D763,Imput[[PERIODO Imp.]:[PERIODO Imp.]],BZ$9)</f>
        <v>0</v>
      </c>
      <c r="CA763" s="693">
        <f>SUMIFS(Imput[[Importe Neto]:[Importe Neto]],Imput[[C. Imp.]:[C. Imp.]],$D763,Imput[[PERIODO Imp.]:[PERIODO Imp.]],CA$9)</f>
        <v>0</v>
      </c>
      <c r="CB763" s="693">
        <f>SUMIFS(Imput[[Importe Neto]:[Importe Neto]],Imput[[C. Imp.]:[C. Imp.]],$D763,Imput[[PERIODO Imp.]:[PERIODO Imp.]],CB$9)</f>
        <v>0</v>
      </c>
      <c r="CC763" s="693">
        <f>SUMIFS(Imput[[Importe Neto]:[Importe Neto]],Imput[[C. Imp.]:[C. Imp.]],$D763,Imput[[PERIODO Imp.]:[PERIODO Imp.]],CC$9)</f>
        <v>0</v>
      </c>
      <c r="CD763" s="693">
        <f>SUMIFS(Imput[[Importe Neto]:[Importe Neto]],Imput[[C. Imp.]:[C. Imp.]],$D763,Imput[[PERIODO Imp.]:[PERIODO Imp.]],CD$9)</f>
        <v>0</v>
      </c>
      <c r="CE763" s="693">
        <f>SUMIFS(Imput[[Importe Neto]:[Importe Neto]],Imput[[C. Imp.]:[C. Imp.]],$D763,Imput[[PERIODO Imp.]:[PERIODO Imp.]],CE$9)</f>
        <v>0</v>
      </c>
      <c r="CF763" s="693">
        <f>SUMIFS(Imput[[Importe Neto]:[Importe Neto]],Imput[[C. Imp.]:[C. Imp.]],$D763,Imput[[PERIODO Imp.]:[PERIODO Imp.]],CF$9)</f>
        <v>0</v>
      </c>
      <c r="CG763" s="693">
        <f>SUMIFS(Imput[[Importe Neto]:[Importe Neto]],Imput[[C. Imp.]:[C. Imp.]],$D763,Imput[[PERIODO Imp.]:[PERIODO Imp.]],CG$9)</f>
        <v>0</v>
      </c>
      <c r="CH763" s="693">
        <f>SUMIFS(Imput[[Importe Neto]:[Importe Neto]],Imput[[C. Imp.]:[C. Imp.]],$D763,Imput[[PERIODO Imp.]:[PERIODO Imp.]],CH$9)</f>
        <v>0</v>
      </c>
      <c r="CI763" s="693">
        <f>SUMIFS(Imput[[Importe Neto]:[Importe Neto]],Imput[[C. Imp.]:[C. Imp.]],$D763,Imput[[PERIODO Imp.]:[PERIODO Imp.]],CI$9)</f>
        <v>0</v>
      </c>
      <c r="CJ763" s="693">
        <f>SUMIFS(Imput[[Importe Neto]:[Importe Neto]],Imput[[C. Imp.]:[C. Imp.]],$D763,Imput[[PERIODO Imp.]:[PERIODO Imp.]],CJ$9)</f>
        <v>0</v>
      </c>
      <c r="CK763" s="693">
        <f>SUMIFS(Imput[[Importe Neto]:[Importe Neto]],Imput[[C. Imp.]:[C. Imp.]],$D763,Imput[[PERIODO Imp.]:[PERIODO Imp.]],CK$9)</f>
        <v>0</v>
      </c>
      <c r="CL763" s="693">
        <f>SUMIFS(Imput[[Importe Neto]:[Importe Neto]],Imput[[C. Imp.]:[C. Imp.]],$D763,Imput[[PERIODO Imp.]:[PERIODO Imp.]],CL$9)</f>
        <v>0</v>
      </c>
      <c r="CM763" s="693">
        <f>SUMIFS(Imput[[Importe Neto]:[Importe Neto]],Imput[[C. Imp.]:[C. Imp.]],$D763,Imput[[PERIODO Imp.]:[PERIODO Imp.]],CM$9)</f>
        <v>0</v>
      </c>
      <c r="CN763" s="693">
        <f>SUMIFS(Imput[[Importe Neto]:[Importe Neto]],Imput[[C. Imp.]:[C. Imp.]],$D763,Imput[[PERIODO Imp.]:[PERIODO Imp.]],CN$9)</f>
        <v>0</v>
      </c>
      <c r="CO763" s="693">
        <f>SUMIFS(Imput[[Importe Neto]:[Importe Neto]],Imput[[C. Imp.]:[C. Imp.]],$D763,Imput[[PERIODO Imp.]:[PERIODO Imp.]],CO$9)</f>
        <v>0</v>
      </c>
      <c r="CP763" s="693">
        <f>SUMIFS(Imput[[Importe Neto]:[Importe Neto]],Imput[[C. Imp.]:[C. Imp.]],$D763,Imput[[PERIODO Imp.]:[PERIODO Imp.]],CP$9)</f>
        <v>0</v>
      </c>
      <c r="CQ763" s="693">
        <f>SUMIFS(Imput[[Importe Neto]:[Importe Neto]],Imput[[C. Imp.]:[C. Imp.]],$D763,Imput[[PERIODO Imp.]:[PERIODO Imp.]],CQ$9)</f>
        <v>0</v>
      </c>
      <c r="CR763" s="693">
        <f>SUMIFS(Imput[[Importe Neto]:[Importe Neto]],Imput[[C. Imp.]:[C. Imp.]],$D763,Imput[[PERIODO Imp.]:[PERIODO Imp.]],CR$9)</f>
        <v>0</v>
      </c>
      <c r="CS763" s="693">
        <f>SUMIFS(Imput[[Importe Neto]:[Importe Neto]],Imput[[C. Imp.]:[C. Imp.]],$D763,Imput[[PERIODO Imp.]:[PERIODO Imp.]],CS$9)</f>
        <v>0</v>
      </c>
      <c r="CT763" s="693">
        <f>SUMIFS(Imput[[Importe Neto]:[Importe Neto]],Imput[[C. Imp.]:[C. Imp.]],$D763,Imput[[PERIODO Imp.]:[PERIODO Imp.]],CT$9)</f>
        <v>0</v>
      </c>
      <c r="CU763" s="693">
        <f>SUMIFS(Imput[[Importe Neto]:[Importe Neto]],Imput[[C. Imp.]:[C. Imp.]],$D763,Imput[[PERIODO Imp.]:[PERIODO Imp.]],CU$9)</f>
        <v>0</v>
      </c>
      <c r="CV763" s="693">
        <f>SUMIFS(Imput[[Importe Neto]:[Importe Neto]],Imput[[C. Imp.]:[C. Imp.]],$D763,Imput[[PERIODO Imp.]:[PERIODO Imp.]],CV$9)</f>
        <v>0</v>
      </c>
      <c r="CW763" s="693">
        <f>SUMIFS(Imput[[Importe Neto]:[Importe Neto]],Imput[[C. Imp.]:[C. Imp.]],$D763,Imput[[PERIODO Imp.]:[PERIODO Imp.]],CW$9)</f>
        <v>0</v>
      </c>
      <c r="CX763" s="693">
        <f>SUMIFS(Imput[[Importe Neto]:[Importe Neto]],Imput[[C. Imp.]:[C. Imp.]],$D763,Imput[[PERIODO Imp.]:[PERIODO Imp.]],CX$9)</f>
        <v>0</v>
      </c>
      <c r="CY763" s="693">
        <f>SUMIFS(Imput[[Importe Neto]:[Importe Neto]],Imput[[C. Imp.]:[C. Imp.]],$D763,Imput[[PERIODO Imp.]:[PERIODO Imp.]],CY$9)</f>
        <v>0</v>
      </c>
      <c r="CZ763" s="693">
        <f>SUMIFS(Imput[[Importe Neto]:[Importe Neto]],Imput[[C. Imp.]:[C. Imp.]],$D763,Imput[[PERIODO Imp.]:[PERIODO Imp.]],CZ$9)</f>
        <v>0</v>
      </c>
      <c r="DA763" s="693">
        <f>SUMIFS(Imput[[Importe Neto]:[Importe Neto]],Imput[[C. Imp.]:[C. Imp.]],$D763,Imput[[PERIODO Imp.]:[PERIODO Imp.]],DA$9)</f>
        <v>0</v>
      </c>
      <c r="DB763" s="693">
        <f>SUMIFS(Imput[[Importe Neto]:[Importe Neto]],Imput[[C. Imp.]:[C. Imp.]],$D763,Imput[[PERIODO Imp.]:[PERIODO Imp.]],DB$9)</f>
        <v>0</v>
      </c>
      <c r="DC763" s="693">
        <f>SUMIFS(Imput[[Importe Neto]:[Importe Neto]],Imput[[C. Imp.]:[C. Imp.]],$D763,Imput[[PERIODO Imp.]:[PERIODO Imp.]],DC$9)</f>
        <v>0</v>
      </c>
      <c r="DD763" s="693">
        <f>SUMIFS(Imput[[Importe Neto]:[Importe Neto]],Imput[[C. Imp.]:[C. Imp.]],$D763,Imput[[PERIODO Imp.]:[PERIODO Imp.]],DD$9)</f>
        <v>0</v>
      </c>
      <c r="DE763" s="693">
        <f>SUMIFS(Imput[[Importe Neto]:[Importe Neto]],Imput[[C. Imp.]:[C. Imp.]],$D763,Imput[[PERIODO Imp.]:[PERIODO Imp.]],DE$9)</f>
        <v>0</v>
      </c>
      <c r="DF763" s="693">
        <f>SUMIFS(Imput[[Importe Neto]:[Importe Neto]],Imput[[C. Imp.]:[C. Imp.]],$D763,Imput[[PERIODO Imp.]:[PERIODO Imp.]],DF$9)</f>
        <v>0</v>
      </c>
      <c r="DG763" s="693">
        <f>SUMIFS(Imput[[Importe Neto]:[Importe Neto]],Imput[[C. Imp.]:[C. Imp.]],$D763,Imput[[PERIODO Imp.]:[PERIODO Imp.]],DG$9)</f>
        <v>0</v>
      </c>
      <c r="DH763" s="694">
        <f>SUMIFS(Imput[[Importe Neto]:[Importe Neto]],Imput[[C. Imp.]:[C. Imp.]],$D763,Imput[[PERIODO Imp.]:[PERIODO Imp.]],DH$9)</f>
        <v>0</v>
      </c>
    </row>
    <row r="764" spans="1:112" s="649" customFormat="1" hidden="1" outlineLevel="1" x14ac:dyDescent="0.3">
      <c r="A764" s="652" t="str">
        <f t="shared" si="273"/>
        <v/>
      </c>
      <c r="B764" s="652"/>
      <c r="C764" s="685"/>
      <c r="D764" s="686" t="s">
        <v>2748</v>
      </c>
      <c r="E764" s="686"/>
      <c r="F764" s="720"/>
      <c r="G764" s="688"/>
      <c r="H764" s="689"/>
      <c r="I764" s="851" t="str">
        <f t="shared" si="274"/>
        <v/>
      </c>
      <c r="J764" s="850" t="str">
        <f t="shared" si="275"/>
        <v/>
      </c>
      <c r="K764" s="667"/>
      <c r="L764" s="858"/>
      <c r="M764" s="859"/>
      <c r="N764" s="859"/>
      <c r="O764" s="859"/>
      <c r="P764" s="859"/>
      <c r="Q764" s="859"/>
      <c r="R764" s="859"/>
      <c r="S764" s="859"/>
      <c r="T764" s="859"/>
      <c r="U764" s="859"/>
      <c r="V764" s="859"/>
      <c r="W764" s="859"/>
      <c r="X764" s="859"/>
      <c r="Y764" s="859"/>
      <c r="Z764" s="860"/>
      <c r="AA764" s="860"/>
      <c r="AB764" s="860"/>
      <c r="AC764" s="860"/>
      <c r="AD764" s="860"/>
      <c r="AE764" s="860"/>
      <c r="AF764" s="860"/>
      <c r="AG764" s="860"/>
      <c r="AH764" s="860"/>
      <c r="AI764" s="860"/>
      <c r="AJ764" s="860"/>
      <c r="AK764" s="860"/>
      <c r="AL764" s="860"/>
      <c r="AM764" s="860"/>
      <c r="AN764" s="860"/>
      <c r="AO764" s="860"/>
      <c r="AP764" s="860"/>
      <c r="AQ764" s="860"/>
      <c r="AR764" s="860"/>
      <c r="AS764" s="860"/>
      <c r="AT764" s="860"/>
      <c r="AU764" s="860"/>
      <c r="AV764" s="860"/>
      <c r="AW764" s="860"/>
      <c r="AX764" s="860"/>
      <c r="AY764" s="860"/>
      <c r="AZ764" s="860"/>
      <c r="BA764" s="860"/>
      <c r="BB764" s="860"/>
      <c r="BC764" s="860"/>
      <c r="BD764" s="860"/>
      <c r="BE764" s="860"/>
      <c r="BF764" s="860"/>
      <c r="BG764" s="860"/>
      <c r="BH764" s="668"/>
      <c r="BI764" s="667"/>
      <c r="BJ764" s="690">
        <f t="shared" si="276"/>
        <v>0</v>
      </c>
      <c r="BK764" s="691">
        <f t="shared" si="277"/>
        <v>0</v>
      </c>
      <c r="BL764" s="654"/>
      <c r="BM764" s="692">
        <f>SUMIFS(Imput[[Importe Neto]:[Importe Neto]],Imput[[C. Imp.]:[C. Imp.]],$D764,Imput[[PERIODO Imp.]:[PERIODO Imp.]],BM$9)</f>
        <v>0</v>
      </c>
      <c r="BN764" s="693">
        <f>SUMIFS(Imput[[Importe Neto]:[Importe Neto]],Imput[[C. Imp.]:[C. Imp.]],$D764,Imput[[PERIODO Imp.]:[PERIODO Imp.]],BN$9)</f>
        <v>0</v>
      </c>
      <c r="BO764" s="693">
        <f>SUMIFS(Imput[[Importe Neto]:[Importe Neto]],Imput[[C. Imp.]:[C. Imp.]],$D764,Imput[[PERIODO Imp.]:[PERIODO Imp.]],BO$9)</f>
        <v>0</v>
      </c>
      <c r="BP764" s="693">
        <f>SUMIFS(Imput[[Importe Neto]:[Importe Neto]],Imput[[C. Imp.]:[C. Imp.]],$D764,Imput[[PERIODO Imp.]:[PERIODO Imp.]],BP$9)</f>
        <v>0</v>
      </c>
      <c r="BQ764" s="693">
        <f>SUMIFS(Imput[[Importe Neto]:[Importe Neto]],Imput[[C. Imp.]:[C. Imp.]],$D764,Imput[[PERIODO Imp.]:[PERIODO Imp.]],BQ$9)</f>
        <v>0</v>
      </c>
      <c r="BR764" s="693">
        <f>SUMIFS(Imput[[Importe Neto]:[Importe Neto]],Imput[[C. Imp.]:[C. Imp.]],$D764,Imput[[PERIODO Imp.]:[PERIODO Imp.]],BR$9)</f>
        <v>0</v>
      </c>
      <c r="BS764" s="693">
        <f>SUMIFS(Imput[[Importe Neto]:[Importe Neto]],Imput[[C. Imp.]:[C. Imp.]],$D764,Imput[[PERIODO Imp.]:[PERIODO Imp.]],BS$9)</f>
        <v>0</v>
      </c>
      <c r="BT764" s="693">
        <f>SUMIFS(Imput[[Importe Neto]:[Importe Neto]],Imput[[C. Imp.]:[C. Imp.]],$D764,Imput[[PERIODO Imp.]:[PERIODO Imp.]],BT$9)</f>
        <v>0</v>
      </c>
      <c r="BU764" s="693">
        <f>SUMIFS(Imput[[Importe Neto]:[Importe Neto]],Imput[[C. Imp.]:[C. Imp.]],$D764,Imput[[PERIODO Imp.]:[PERIODO Imp.]],BU$9)</f>
        <v>0</v>
      </c>
      <c r="BV764" s="693">
        <f>SUMIFS(Imput[[Importe Neto]:[Importe Neto]],Imput[[C. Imp.]:[C. Imp.]],$D764,Imput[[PERIODO Imp.]:[PERIODO Imp.]],BV$9)</f>
        <v>0</v>
      </c>
      <c r="BW764" s="693">
        <f>SUMIFS(Imput[[Importe Neto]:[Importe Neto]],Imput[[C. Imp.]:[C. Imp.]],$D764,Imput[[PERIODO Imp.]:[PERIODO Imp.]],BW$9)</f>
        <v>0</v>
      </c>
      <c r="BX764" s="693">
        <f>SUMIFS(Imput[[Importe Neto]:[Importe Neto]],Imput[[C. Imp.]:[C. Imp.]],$D764,Imput[[PERIODO Imp.]:[PERIODO Imp.]],BX$9)</f>
        <v>0</v>
      </c>
      <c r="BY764" s="693">
        <f>SUMIFS(Imput[[Importe Neto]:[Importe Neto]],Imput[[C. Imp.]:[C. Imp.]],$D764,Imput[[PERIODO Imp.]:[PERIODO Imp.]],BY$9)</f>
        <v>0</v>
      </c>
      <c r="BZ764" s="693">
        <f>SUMIFS(Imput[[Importe Neto]:[Importe Neto]],Imput[[C. Imp.]:[C. Imp.]],$D764,Imput[[PERIODO Imp.]:[PERIODO Imp.]],BZ$9)</f>
        <v>0</v>
      </c>
      <c r="CA764" s="693">
        <f>SUMIFS(Imput[[Importe Neto]:[Importe Neto]],Imput[[C. Imp.]:[C. Imp.]],$D764,Imput[[PERIODO Imp.]:[PERIODO Imp.]],CA$9)</f>
        <v>0</v>
      </c>
      <c r="CB764" s="693">
        <f>SUMIFS(Imput[[Importe Neto]:[Importe Neto]],Imput[[C. Imp.]:[C. Imp.]],$D764,Imput[[PERIODO Imp.]:[PERIODO Imp.]],CB$9)</f>
        <v>0</v>
      </c>
      <c r="CC764" s="693">
        <f>SUMIFS(Imput[[Importe Neto]:[Importe Neto]],Imput[[C. Imp.]:[C. Imp.]],$D764,Imput[[PERIODO Imp.]:[PERIODO Imp.]],CC$9)</f>
        <v>0</v>
      </c>
      <c r="CD764" s="693">
        <f>SUMIFS(Imput[[Importe Neto]:[Importe Neto]],Imput[[C. Imp.]:[C. Imp.]],$D764,Imput[[PERIODO Imp.]:[PERIODO Imp.]],CD$9)</f>
        <v>0</v>
      </c>
      <c r="CE764" s="693">
        <f>SUMIFS(Imput[[Importe Neto]:[Importe Neto]],Imput[[C. Imp.]:[C. Imp.]],$D764,Imput[[PERIODO Imp.]:[PERIODO Imp.]],CE$9)</f>
        <v>0</v>
      </c>
      <c r="CF764" s="693">
        <f>SUMIFS(Imput[[Importe Neto]:[Importe Neto]],Imput[[C. Imp.]:[C. Imp.]],$D764,Imput[[PERIODO Imp.]:[PERIODO Imp.]],CF$9)</f>
        <v>0</v>
      </c>
      <c r="CG764" s="693">
        <f>SUMIFS(Imput[[Importe Neto]:[Importe Neto]],Imput[[C. Imp.]:[C. Imp.]],$D764,Imput[[PERIODO Imp.]:[PERIODO Imp.]],CG$9)</f>
        <v>0</v>
      </c>
      <c r="CH764" s="693">
        <f>SUMIFS(Imput[[Importe Neto]:[Importe Neto]],Imput[[C. Imp.]:[C. Imp.]],$D764,Imput[[PERIODO Imp.]:[PERIODO Imp.]],CH$9)</f>
        <v>0</v>
      </c>
      <c r="CI764" s="693">
        <f>SUMIFS(Imput[[Importe Neto]:[Importe Neto]],Imput[[C. Imp.]:[C. Imp.]],$D764,Imput[[PERIODO Imp.]:[PERIODO Imp.]],CI$9)</f>
        <v>0</v>
      </c>
      <c r="CJ764" s="693">
        <f>SUMIFS(Imput[[Importe Neto]:[Importe Neto]],Imput[[C. Imp.]:[C. Imp.]],$D764,Imput[[PERIODO Imp.]:[PERIODO Imp.]],CJ$9)</f>
        <v>0</v>
      </c>
      <c r="CK764" s="693">
        <f>SUMIFS(Imput[[Importe Neto]:[Importe Neto]],Imput[[C. Imp.]:[C. Imp.]],$D764,Imput[[PERIODO Imp.]:[PERIODO Imp.]],CK$9)</f>
        <v>0</v>
      </c>
      <c r="CL764" s="693">
        <f>SUMIFS(Imput[[Importe Neto]:[Importe Neto]],Imput[[C. Imp.]:[C. Imp.]],$D764,Imput[[PERIODO Imp.]:[PERIODO Imp.]],CL$9)</f>
        <v>0</v>
      </c>
      <c r="CM764" s="693">
        <f>SUMIFS(Imput[[Importe Neto]:[Importe Neto]],Imput[[C. Imp.]:[C. Imp.]],$D764,Imput[[PERIODO Imp.]:[PERIODO Imp.]],CM$9)</f>
        <v>0</v>
      </c>
      <c r="CN764" s="693">
        <f>SUMIFS(Imput[[Importe Neto]:[Importe Neto]],Imput[[C. Imp.]:[C. Imp.]],$D764,Imput[[PERIODO Imp.]:[PERIODO Imp.]],CN$9)</f>
        <v>0</v>
      </c>
      <c r="CO764" s="693">
        <f>SUMIFS(Imput[[Importe Neto]:[Importe Neto]],Imput[[C. Imp.]:[C. Imp.]],$D764,Imput[[PERIODO Imp.]:[PERIODO Imp.]],CO$9)</f>
        <v>0</v>
      </c>
      <c r="CP764" s="693">
        <f>SUMIFS(Imput[[Importe Neto]:[Importe Neto]],Imput[[C. Imp.]:[C. Imp.]],$D764,Imput[[PERIODO Imp.]:[PERIODO Imp.]],CP$9)</f>
        <v>0</v>
      </c>
      <c r="CQ764" s="693">
        <f>SUMIFS(Imput[[Importe Neto]:[Importe Neto]],Imput[[C. Imp.]:[C. Imp.]],$D764,Imput[[PERIODO Imp.]:[PERIODO Imp.]],CQ$9)</f>
        <v>0</v>
      </c>
      <c r="CR764" s="693">
        <f>SUMIFS(Imput[[Importe Neto]:[Importe Neto]],Imput[[C. Imp.]:[C. Imp.]],$D764,Imput[[PERIODO Imp.]:[PERIODO Imp.]],CR$9)</f>
        <v>0</v>
      </c>
      <c r="CS764" s="693">
        <f>SUMIFS(Imput[[Importe Neto]:[Importe Neto]],Imput[[C. Imp.]:[C. Imp.]],$D764,Imput[[PERIODO Imp.]:[PERIODO Imp.]],CS$9)</f>
        <v>0</v>
      </c>
      <c r="CT764" s="693">
        <f>SUMIFS(Imput[[Importe Neto]:[Importe Neto]],Imput[[C. Imp.]:[C. Imp.]],$D764,Imput[[PERIODO Imp.]:[PERIODO Imp.]],CT$9)</f>
        <v>0</v>
      </c>
      <c r="CU764" s="693">
        <f>SUMIFS(Imput[[Importe Neto]:[Importe Neto]],Imput[[C. Imp.]:[C. Imp.]],$D764,Imput[[PERIODO Imp.]:[PERIODO Imp.]],CU$9)</f>
        <v>0</v>
      </c>
      <c r="CV764" s="693">
        <f>SUMIFS(Imput[[Importe Neto]:[Importe Neto]],Imput[[C. Imp.]:[C. Imp.]],$D764,Imput[[PERIODO Imp.]:[PERIODO Imp.]],CV$9)</f>
        <v>0</v>
      </c>
      <c r="CW764" s="693">
        <f>SUMIFS(Imput[[Importe Neto]:[Importe Neto]],Imput[[C. Imp.]:[C. Imp.]],$D764,Imput[[PERIODO Imp.]:[PERIODO Imp.]],CW$9)</f>
        <v>0</v>
      </c>
      <c r="CX764" s="693">
        <f>SUMIFS(Imput[[Importe Neto]:[Importe Neto]],Imput[[C. Imp.]:[C. Imp.]],$D764,Imput[[PERIODO Imp.]:[PERIODO Imp.]],CX$9)</f>
        <v>0</v>
      </c>
      <c r="CY764" s="693">
        <f>SUMIFS(Imput[[Importe Neto]:[Importe Neto]],Imput[[C. Imp.]:[C. Imp.]],$D764,Imput[[PERIODO Imp.]:[PERIODO Imp.]],CY$9)</f>
        <v>0</v>
      </c>
      <c r="CZ764" s="693">
        <f>SUMIFS(Imput[[Importe Neto]:[Importe Neto]],Imput[[C. Imp.]:[C. Imp.]],$D764,Imput[[PERIODO Imp.]:[PERIODO Imp.]],CZ$9)</f>
        <v>0</v>
      </c>
      <c r="DA764" s="693">
        <f>SUMIFS(Imput[[Importe Neto]:[Importe Neto]],Imput[[C. Imp.]:[C. Imp.]],$D764,Imput[[PERIODO Imp.]:[PERIODO Imp.]],DA$9)</f>
        <v>0</v>
      </c>
      <c r="DB764" s="693">
        <f>SUMIFS(Imput[[Importe Neto]:[Importe Neto]],Imput[[C. Imp.]:[C. Imp.]],$D764,Imput[[PERIODO Imp.]:[PERIODO Imp.]],DB$9)</f>
        <v>0</v>
      </c>
      <c r="DC764" s="693">
        <f>SUMIFS(Imput[[Importe Neto]:[Importe Neto]],Imput[[C. Imp.]:[C. Imp.]],$D764,Imput[[PERIODO Imp.]:[PERIODO Imp.]],DC$9)</f>
        <v>0</v>
      </c>
      <c r="DD764" s="693">
        <f>SUMIFS(Imput[[Importe Neto]:[Importe Neto]],Imput[[C. Imp.]:[C. Imp.]],$D764,Imput[[PERIODO Imp.]:[PERIODO Imp.]],DD$9)</f>
        <v>0</v>
      </c>
      <c r="DE764" s="693">
        <f>SUMIFS(Imput[[Importe Neto]:[Importe Neto]],Imput[[C. Imp.]:[C. Imp.]],$D764,Imput[[PERIODO Imp.]:[PERIODO Imp.]],DE$9)</f>
        <v>0</v>
      </c>
      <c r="DF764" s="693">
        <f>SUMIFS(Imput[[Importe Neto]:[Importe Neto]],Imput[[C. Imp.]:[C. Imp.]],$D764,Imput[[PERIODO Imp.]:[PERIODO Imp.]],DF$9)</f>
        <v>0</v>
      </c>
      <c r="DG764" s="693">
        <f>SUMIFS(Imput[[Importe Neto]:[Importe Neto]],Imput[[C. Imp.]:[C. Imp.]],$D764,Imput[[PERIODO Imp.]:[PERIODO Imp.]],DG$9)</f>
        <v>0</v>
      </c>
      <c r="DH764" s="694">
        <f>SUMIFS(Imput[[Importe Neto]:[Importe Neto]],Imput[[C. Imp.]:[C. Imp.]],$D764,Imput[[PERIODO Imp.]:[PERIODO Imp.]],DH$9)</f>
        <v>0</v>
      </c>
    </row>
    <row r="765" spans="1:112" s="649" customFormat="1" hidden="1" outlineLevel="1" x14ac:dyDescent="0.3">
      <c r="A765" s="652" t="str">
        <f t="shared" si="273"/>
        <v/>
      </c>
      <c r="B765" s="652"/>
      <c r="C765" s="685"/>
      <c r="D765" s="686" t="s">
        <v>2749</v>
      </c>
      <c r="E765" s="686"/>
      <c r="F765" s="720"/>
      <c r="G765" s="688"/>
      <c r="H765" s="689"/>
      <c r="I765" s="851" t="str">
        <f t="shared" si="274"/>
        <v/>
      </c>
      <c r="J765" s="850" t="str">
        <f t="shared" si="275"/>
        <v/>
      </c>
      <c r="K765" s="667"/>
      <c r="L765" s="858"/>
      <c r="M765" s="859"/>
      <c r="N765" s="859"/>
      <c r="O765" s="859"/>
      <c r="P765" s="859"/>
      <c r="Q765" s="859"/>
      <c r="R765" s="859"/>
      <c r="S765" s="859"/>
      <c r="T765" s="859"/>
      <c r="U765" s="859"/>
      <c r="V765" s="859"/>
      <c r="W765" s="859"/>
      <c r="X765" s="859"/>
      <c r="Y765" s="859"/>
      <c r="Z765" s="860"/>
      <c r="AA765" s="860"/>
      <c r="AB765" s="860"/>
      <c r="AC765" s="860"/>
      <c r="AD765" s="860"/>
      <c r="AE765" s="860"/>
      <c r="AF765" s="860"/>
      <c r="AG765" s="860"/>
      <c r="AH765" s="860"/>
      <c r="AI765" s="860"/>
      <c r="AJ765" s="860"/>
      <c r="AK765" s="860"/>
      <c r="AL765" s="860"/>
      <c r="AM765" s="860"/>
      <c r="AN765" s="860"/>
      <c r="AO765" s="860"/>
      <c r="AP765" s="860"/>
      <c r="AQ765" s="860"/>
      <c r="AR765" s="860"/>
      <c r="AS765" s="860"/>
      <c r="AT765" s="860"/>
      <c r="AU765" s="860"/>
      <c r="AV765" s="860"/>
      <c r="AW765" s="860"/>
      <c r="AX765" s="860"/>
      <c r="AY765" s="860"/>
      <c r="AZ765" s="860"/>
      <c r="BA765" s="860"/>
      <c r="BB765" s="860"/>
      <c r="BC765" s="860"/>
      <c r="BD765" s="860"/>
      <c r="BE765" s="860"/>
      <c r="BF765" s="860"/>
      <c r="BG765" s="860"/>
      <c r="BH765" s="668"/>
      <c r="BI765" s="667"/>
      <c r="BJ765" s="690">
        <f t="shared" si="276"/>
        <v>0</v>
      </c>
      <c r="BK765" s="691">
        <f t="shared" si="277"/>
        <v>0</v>
      </c>
      <c r="BL765" s="654"/>
      <c r="BM765" s="692">
        <f>SUMIFS(Imput[[Importe Neto]:[Importe Neto]],Imput[[C. Imp.]:[C. Imp.]],$D765,Imput[[PERIODO Imp.]:[PERIODO Imp.]],BM$9)</f>
        <v>0</v>
      </c>
      <c r="BN765" s="693">
        <f>SUMIFS(Imput[[Importe Neto]:[Importe Neto]],Imput[[C. Imp.]:[C. Imp.]],$D765,Imput[[PERIODO Imp.]:[PERIODO Imp.]],BN$9)</f>
        <v>0</v>
      </c>
      <c r="BO765" s="693">
        <f>SUMIFS(Imput[[Importe Neto]:[Importe Neto]],Imput[[C. Imp.]:[C. Imp.]],$D765,Imput[[PERIODO Imp.]:[PERIODO Imp.]],BO$9)</f>
        <v>0</v>
      </c>
      <c r="BP765" s="693">
        <f>SUMIFS(Imput[[Importe Neto]:[Importe Neto]],Imput[[C. Imp.]:[C. Imp.]],$D765,Imput[[PERIODO Imp.]:[PERIODO Imp.]],BP$9)</f>
        <v>0</v>
      </c>
      <c r="BQ765" s="693">
        <f>SUMIFS(Imput[[Importe Neto]:[Importe Neto]],Imput[[C. Imp.]:[C. Imp.]],$D765,Imput[[PERIODO Imp.]:[PERIODO Imp.]],BQ$9)</f>
        <v>0</v>
      </c>
      <c r="BR765" s="693">
        <f>SUMIFS(Imput[[Importe Neto]:[Importe Neto]],Imput[[C. Imp.]:[C. Imp.]],$D765,Imput[[PERIODO Imp.]:[PERIODO Imp.]],BR$9)</f>
        <v>0</v>
      </c>
      <c r="BS765" s="693">
        <f>SUMIFS(Imput[[Importe Neto]:[Importe Neto]],Imput[[C. Imp.]:[C. Imp.]],$D765,Imput[[PERIODO Imp.]:[PERIODO Imp.]],BS$9)</f>
        <v>0</v>
      </c>
      <c r="BT765" s="693">
        <f>SUMIFS(Imput[[Importe Neto]:[Importe Neto]],Imput[[C. Imp.]:[C. Imp.]],$D765,Imput[[PERIODO Imp.]:[PERIODO Imp.]],BT$9)</f>
        <v>0</v>
      </c>
      <c r="BU765" s="693">
        <f>SUMIFS(Imput[[Importe Neto]:[Importe Neto]],Imput[[C. Imp.]:[C. Imp.]],$D765,Imput[[PERIODO Imp.]:[PERIODO Imp.]],BU$9)</f>
        <v>0</v>
      </c>
      <c r="BV765" s="693">
        <f>SUMIFS(Imput[[Importe Neto]:[Importe Neto]],Imput[[C. Imp.]:[C. Imp.]],$D765,Imput[[PERIODO Imp.]:[PERIODO Imp.]],BV$9)</f>
        <v>0</v>
      </c>
      <c r="BW765" s="693">
        <f>SUMIFS(Imput[[Importe Neto]:[Importe Neto]],Imput[[C. Imp.]:[C. Imp.]],$D765,Imput[[PERIODO Imp.]:[PERIODO Imp.]],BW$9)</f>
        <v>0</v>
      </c>
      <c r="BX765" s="693">
        <f>SUMIFS(Imput[[Importe Neto]:[Importe Neto]],Imput[[C. Imp.]:[C. Imp.]],$D765,Imput[[PERIODO Imp.]:[PERIODO Imp.]],BX$9)</f>
        <v>0</v>
      </c>
      <c r="BY765" s="693">
        <f>SUMIFS(Imput[[Importe Neto]:[Importe Neto]],Imput[[C. Imp.]:[C. Imp.]],$D765,Imput[[PERIODO Imp.]:[PERIODO Imp.]],BY$9)</f>
        <v>0</v>
      </c>
      <c r="BZ765" s="693">
        <f>SUMIFS(Imput[[Importe Neto]:[Importe Neto]],Imput[[C. Imp.]:[C. Imp.]],$D765,Imput[[PERIODO Imp.]:[PERIODO Imp.]],BZ$9)</f>
        <v>0</v>
      </c>
      <c r="CA765" s="693">
        <f>SUMIFS(Imput[[Importe Neto]:[Importe Neto]],Imput[[C. Imp.]:[C. Imp.]],$D765,Imput[[PERIODO Imp.]:[PERIODO Imp.]],CA$9)</f>
        <v>0</v>
      </c>
      <c r="CB765" s="693">
        <f>SUMIFS(Imput[[Importe Neto]:[Importe Neto]],Imput[[C. Imp.]:[C. Imp.]],$D765,Imput[[PERIODO Imp.]:[PERIODO Imp.]],CB$9)</f>
        <v>0</v>
      </c>
      <c r="CC765" s="693">
        <f>SUMIFS(Imput[[Importe Neto]:[Importe Neto]],Imput[[C. Imp.]:[C. Imp.]],$D765,Imput[[PERIODO Imp.]:[PERIODO Imp.]],CC$9)</f>
        <v>0</v>
      </c>
      <c r="CD765" s="693">
        <f>SUMIFS(Imput[[Importe Neto]:[Importe Neto]],Imput[[C. Imp.]:[C. Imp.]],$D765,Imput[[PERIODO Imp.]:[PERIODO Imp.]],CD$9)</f>
        <v>0</v>
      </c>
      <c r="CE765" s="693">
        <f>SUMIFS(Imput[[Importe Neto]:[Importe Neto]],Imput[[C. Imp.]:[C. Imp.]],$D765,Imput[[PERIODO Imp.]:[PERIODO Imp.]],CE$9)</f>
        <v>0</v>
      </c>
      <c r="CF765" s="693">
        <f>SUMIFS(Imput[[Importe Neto]:[Importe Neto]],Imput[[C. Imp.]:[C. Imp.]],$D765,Imput[[PERIODO Imp.]:[PERIODO Imp.]],CF$9)</f>
        <v>0</v>
      </c>
      <c r="CG765" s="693">
        <f>SUMIFS(Imput[[Importe Neto]:[Importe Neto]],Imput[[C. Imp.]:[C. Imp.]],$D765,Imput[[PERIODO Imp.]:[PERIODO Imp.]],CG$9)</f>
        <v>0</v>
      </c>
      <c r="CH765" s="693">
        <f>SUMIFS(Imput[[Importe Neto]:[Importe Neto]],Imput[[C. Imp.]:[C. Imp.]],$D765,Imput[[PERIODO Imp.]:[PERIODO Imp.]],CH$9)</f>
        <v>0</v>
      </c>
      <c r="CI765" s="693">
        <f>SUMIFS(Imput[[Importe Neto]:[Importe Neto]],Imput[[C. Imp.]:[C. Imp.]],$D765,Imput[[PERIODO Imp.]:[PERIODO Imp.]],CI$9)</f>
        <v>0</v>
      </c>
      <c r="CJ765" s="693">
        <f>SUMIFS(Imput[[Importe Neto]:[Importe Neto]],Imput[[C. Imp.]:[C. Imp.]],$D765,Imput[[PERIODO Imp.]:[PERIODO Imp.]],CJ$9)</f>
        <v>0</v>
      </c>
      <c r="CK765" s="693">
        <f>SUMIFS(Imput[[Importe Neto]:[Importe Neto]],Imput[[C. Imp.]:[C. Imp.]],$D765,Imput[[PERIODO Imp.]:[PERIODO Imp.]],CK$9)</f>
        <v>0</v>
      </c>
      <c r="CL765" s="693">
        <f>SUMIFS(Imput[[Importe Neto]:[Importe Neto]],Imput[[C. Imp.]:[C. Imp.]],$D765,Imput[[PERIODO Imp.]:[PERIODO Imp.]],CL$9)</f>
        <v>0</v>
      </c>
      <c r="CM765" s="693">
        <f>SUMIFS(Imput[[Importe Neto]:[Importe Neto]],Imput[[C. Imp.]:[C. Imp.]],$D765,Imput[[PERIODO Imp.]:[PERIODO Imp.]],CM$9)</f>
        <v>0</v>
      </c>
      <c r="CN765" s="693">
        <f>SUMIFS(Imput[[Importe Neto]:[Importe Neto]],Imput[[C. Imp.]:[C. Imp.]],$D765,Imput[[PERIODO Imp.]:[PERIODO Imp.]],CN$9)</f>
        <v>0</v>
      </c>
      <c r="CO765" s="693">
        <f>SUMIFS(Imput[[Importe Neto]:[Importe Neto]],Imput[[C. Imp.]:[C. Imp.]],$D765,Imput[[PERIODO Imp.]:[PERIODO Imp.]],CO$9)</f>
        <v>0</v>
      </c>
      <c r="CP765" s="693">
        <f>SUMIFS(Imput[[Importe Neto]:[Importe Neto]],Imput[[C. Imp.]:[C. Imp.]],$D765,Imput[[PERIODO Imp.]:[PERIODO Imp.]],CP$9)</f>
        <v>0</v>
      </c>
      <c r="CQ765" s="693">
        <f>SUMIFS(Imput[[Importe Neto]:[Importe Neto]],Imput[[C. Imp.]:[C. Imp.]],$D765,Imput[[PERIODO Imp.]:[PERIODO Imp.]],CQ$9)</f>
        <v>0</v>
      </c>
      <c r="CR765" s="693">
        <f>SUMIFS(Imput[[Importe Neto]:[Importe Neto]],Imput[[C. Imp.]:[C. Imp.]],$D765,Imput[[PERIODO Imp.]:[PERIODO Imp.]],CR$9)</f>
        <v>0</v>
      </c>
      <c r="CS765" s="693">
        <f>SUMIFS(Imput[[Importe Neto]:[Importe Neto]],Imput[[C. Imp.]:[C. Imp.]],$D765,Imput[[PERIODO Imp.]:[PERIODO Imp.]],CS$9)</f>
        <v>0</v>
      </c>
      <c r="CT765" s="693">
        <f>SUMIFS(Imput[[Importe Neto]:[Importe Neto]],Imput[[C. Imp.]:[C. Imp.]],$D765,Imput[[PERIODO Imp.]:[PERIODO Imp.]],CT$9)</f>
        <v>0</v>
      </c>
      <c r="CU765" s="693">
        <f>SUMIFS(Imput[[Importe Neto]:[Importe Neto]],Imput[[C. Imp.]:[C. Imp.]],$D765,Imput[[PERIODO Imp.]:[PERIODO Imp.]],CU$9)</f>
        <v>0</v>
      </c>
      <c r="CV765" s="693">
        <f>SUMIFS(Imput[[Importe Neto]:[Importe Neto]],Imput[[C. Imp.]:[C. Imp.]],$D765,Imput[[PERIODO Imp.]:[PERIODO Imp.]],CV$9)</f>
        <v>0</v>
      </c>
      <c r="CW765" s="693">
        <f>SUMIFS(Imput[[Importe Neto]:[Importe Neto]],Imput[[C. Imp.]:[C. Imp.]],$D765,Imput[[PERIODO Imp.]:[PERIODO Imp.]],CW$9)</f>
        <v>0</v>
      </c>
      <c r="CX765" s="693">
        <f>SUMIFS(Imput[[Importe Neto]:[Importe Neto]],Imput[[C. Imp.]:[C. Imp.]],$D765,Imput[[PERIODO Imp.]:[PERIODO Imp.]],CX$9)</f>
        <v>0</v>
      </c>
      <c r="CY765" s="693">
        <f>SUMIFS(Imput[[Importe Neto]:[Importe Neto]],Imput[[C. Imp.]:[C. Imp.]],$D765,Imput[[PERIODO Imp.]:[PERIODO Imp.]],CY$9)</f>
        <v>0</v>
      </c>
      <c r="CZ765" s="693">
        <f>SUMIFS(Imput[[Importe Neto]:[Importe Neto]],Imput[[C. Imp.]:[C. Imp.]],$D765,Imput[[PERIODO Imp.]:[PERIODO Imp.]],CZ$9)</f>
        <v>0</v>
      </c>
      <c r="DA765" s="693">
        <f>SUMIFS(Imput[[Importe Neto]:[Importe Neto]],Imput[[C. Imp.]:[C. Imp.]],$D765,Imput[[PERIODO Imp.]:[PERIODO Imp.]],DA$9)</f>
        <v>0</v>
      </c>
      <c r="DB765" s="693">
        <f>SUMIFS(Imput[[Importe Neto]:[Importe Neto]],Imput[[C. Imp.]:[C. Imp.]],$D765,Imput[[PERIODO Imp.]:[PERIODO Imp.]],DB$9)</f>
        <v>0</v>
      </c>
      <c r="DC765" s="693">
        <f>SUMIFS(Imput[[Importe Neto]:[Importe Neto]],Imput[[C. Imp.]:[C. Imp.]],$D765,Imput[[PERIODO Imp.]:[PERIODO Imp.]],DC$9)</f>
        <v>0</v>
      </c>
      <c r="DD765" s="693">
        <f>SUMIFS(Imput[[Importe Neto]:[Importe Neto]],Imput[[C. Imp.]:[C. Imp.]],$D765,Imput[[PERIODO Imp.]:[PERIODO Imp.]],DD$9)</f>
        <v>0</v>
      </c>
      <c r="DE765" s="693">
        <f>SUMIFS(Imput[[Importe Neto]:[Importe Neto]],Imput[[C. Imp.]:[C. Imp.]],$D765,Imput[[PERIODO Imp.]:[PERIODO Imp.]],DE$9)</f>
        <v>0</v>
      </c>
      <c r="DF765" s="693">
        <f>SUMIFS(Imput[[Importe Neto]:[Importe Neto]],Imput[[C. Imp.]:[C. Imp.]],$D765,Imput[[PERIODO Imp.]:[PERIODO Imp.]],DF$9)</f>
        <v>0</v>
      </c>
      <c r="DG765" s="693">
        <f>SUMIFS(Imput[[Importe Neto]:[Importe Neto]],Imput[[C. Imp.]:[C. Imp.]],$D765,Imput[[PERIODO Imp.]:[PERIODO Imp.]],DG$9)</f>
        <v>0</v>
      </c>
      <c r="DH765" s="694">
        <f>SUMIFS(Imput[[Importe Neto]:[Importe Neto]],Imput[[C. Imp.]:[C. Imp.]],$D765,Imput[[PERIODO Imp.]:[PERIODO Imp.]],DH$9)</f>
        <v>0</v>
      </c>
    </row>
    <row r="766" spans="1:112" s="649" customFormat="1" hidden="1" outlineLevel="1" x14ac:dyDescent="0.3">
      <c r="A766" s="652" t="str">
        <f t="shared" si="273"/>
        <v/>
      </c>
      <c r="B766" s="652"/>
      <c r="C766" s="685"/>
      <c r="D766" s="686" t="s">
        <v>2750</v>
      </c>
      <c r="E766" s="686"/>
      <c r="F766" s="720"/>
      <c r="G766" s="688"/>
      <c r="H766" s="689"/>
      <c r="I766" s="851" t="str">
        <f t="shared" si="274"/>
        <v/>
      </c>
      <c r="J766" s="850" t="str">
        <f t="shared" si="275"/>
        <v/>
      </c>
      <c r="K766" s="667"/>
      <c r="L766" s="858"/>
      <c r="M766" s="859"/>
      <c r="N766" s="859"/>
      <c r="O766" s="859"/>
      <c r="P766" s="859"/>
      <c r="Q766" s="859"/>
      <c r="R766" s="859"/>
      <c r="S766" s="859"/>
      <c r="T766" s="859"/>
      <c r="U766" s="859"/>
      <c r="V766" s="859"/>
      <c r="W766" s="859"/>
      <c r="X766" s="859"/>
      <c r="Y766" s="859"/>
      <c r="Z766" s="860"/>
      <c r="AA766" s="860"/>
      <c r="AB766" s="860"/>
      <c r="AC766" s="860"/>
      <c r="AD766" s="860"/>
      <c r="AE766" s="860"/>
      <c r="AF766" s="860"/>
      <c r="AG766" s="860"/>
      <c r="AH766" s="860"/>
      <c r="AI766" s="860"/>
      <c r="AJ766" s="860"/>
      <c r="AK766" s="860"/>
      <c r="AL766" s="860"/>
      <c r="AM766" s="860"/>
      <c r="AN766" s="860"/>
      <c r="AO766" s="860"/>
      <c r="AP766" s="860"/>
      <c r="AQ766" s="860"/>
      <c r="AR766" s="860"/>
      <c r="AS766" s="860"/>
      <c r="AT766" s="860"/>
      <c r="AU766" s="860"/>
      <c r="AV766" s="860"/>
      <c r="AW766" s="860"/>
      <c r="AX766" s="860"/>
      <c r="AY766" s="860"/>
      <c r="AZ766" s="860"/>
      <c r="BA766" s="860"/>
      <c r="BB766" s="860"/>
      <c r="BC766" s="860"/>
      <c r="BD766" s="860"/>
      <c r="BE766" s="860"/>
      <c r="BF766" s="860"/>
      <c r="BG766" s="860"/>
      <c r="BH766" s="668"/>
      <c r="BI766" s="667"/>
      <c r="BJ766" s="690">
        <f t="shared" si="276"/>
        <v>0</v>
      </c>
      <c r="BK766" s="691">
        <f t="shared" si="277"/>
        <v>0</v>
      </c>
      <c r="BL766" s="654"/>
      <c r="BM766" s="692">
        <f>SUMIFS(Imput[[Importe Neto]:[Importe Neto]],Imput[[C. Imp.]:[C. Imp.]],$D766,Imput[[PERIODO Imp.]:[PERIODO Imp.]],BM$9)</f>
        <v>0</v>
      </c>
      <c r="BN766" s="693">
        <f>SUMIFS(Imput[[Importe Neto]:[Importe Neto]],Imput[[C. Imp.]:[C. Imp.]],$D766,Imput[[PERIODO Imp.]:[PERIODO Imp.]],BN$9)</f>
        <v>0</v>
      </c>
      <c r="BO766" s="693">
        <f>SUMIFS(Imput[[Importe Neto]:[Importe Neto]],Imput[[C. Imp.]:[C. Imp.]],$D766,Imput[[PERIODO Imp.]:[PERIODO Imp.]],BO$9)</f>
        <v>0</v>
      </c>
      <c r="BP766" s="693">
        <f>SUMIFS(Imput[[Importe Neto]:[Importe Neto]],Imput[[C. Imp.]:[C. Imp.]],$D766,Imput[[PERIODO Imp.]:[PERIODO Imp.]],BP$9)</f>
        <v>0</v>
      </c>
      <c r="BQ766" s="693">
        <f>SUMIFS(Imput[[Importe Neto]:[Importe Neto]],Imput[[C. Imp.]:[C. Imp.]],$D766,Imput[[PERIODO Imp.]:[PERIODO Imp.]],BQ$9)</f>
        <v>0</v>
      </c>
      <c r="BR766" s="693">
        <f>SUMIFS(Imput[[Importe Neto]:[Importe Neto]],Imput[[C. Imp.]:[C. Imp.]],$D766,Imput[[PERIODO Imp.]:[PERIODO Imp.]],BR$9)</f>
        <v>0</v>
      </c>
      <c r="BS766" s="693">
        <f>SUMIFS(Imput[[Importe Neto]:[Importe Neto]],Imput[[C. Imp.]:[C. Imp.]],$D766,Imput[[PERIODO Imp.]:[PERIODO Imp.]],BS$9)</f>
        <v>0</v>
      </c>
      <c r="BT766" s="693">
        <f>SUMIFS(Imput[[Importe Neto]:[Importe Neto]],Imput[[C. Imp.]:[C. Imp.]],$D766,Imput[[PERIODO Imp.]:[PERIODO Imp.]],BT$9)</f>
        <v>0</v>
      </c>
      <c r="BU766" s="693">
        <f>SUMIFS(Imput[[Importe Neto]:[Importe Neto]],Imput[[C. Imp.]:[C. Imp.]],$D766,Imput[[PERIODO Imp.]:[PERIODO Imp.]],BU$9)</f>
        <v>0</v>
      </c>
      <c r="BV766" s="693">
        <f>SUMIFS(Imput[[Importe Neto]:[Importe Neto]],Imput[[C. Imp.]:[C. Imp.]],$D766,Imput[[PERIODO Imp.]:[PERIODO Imp.]],BV$9)</f>
        <v>0</v>
      </c>
      <c r="BW766" s="693">
        <f>SUMIFS(Imput[[Importe Neto]:[Importe Neto]],Imput[[C. Imp.]:[C. Imp.]],$D766,Imput[[PERIODO Imp.]:[PERIODO Imp.]],BW$9)</f>
        <v>0</v>
      </c>
      <c r="BX766" s="693">
        <f>SUMIFS(Imput[[Importe Neto]:[Importe Neto]],Imput[[C. Imp.]:[C. Imp.]],$D766,Imput[[PERIODO Imp.]:[PERIODO Imp.]],BX$9)</f>
        <v>0</v>
      </c>
      <c r="BY766" s="693">
        <f>SUMIFS(Imput[[Importe Neto]:[Importe Neto]],Imput[[C. Imp.]:[C. Imp.]],$D766,Imput[[PERIODO Imp.]:[PERIODO Imp.]],BY$9)</f>
        <v>0</v>
      </c>
      <c r="BZ766" s="693">
        <f>SUMIFS(Imput[[Importe Neto]:[Importe Neto]],Imput[[C. Imp.]:[C. Imp.]],$D766,Imput[[PERIODO Imp.]:[PERIODO Imp.]],BZ$9)</f>
        <v>0</v>
      </c>
      <c r="CA766" s="693">
        <f>SUMIFS(Imput[[Importe Neto]:[Importe Neto]],Imput[[C. Imp.]:[C. Imp.]],$D766,Imput[[PERIODO Imp.]:[PERIODO Imp.]],CA$9)</f>
        <v>0</v>
      </c>
      <c r="CB766" s="693">
        <f>SUMIFS(Imput[[Importe Neto]:[Importe Neto]],Imput[[C. Imp.]:[C. Imp.]],$D766,Imput[[PERIODO Imp.]:[PERIODO Imp.]],CB$9)</f>
        <v>0</v>
      </c>
      <c r="CC766" s="693">
        <f>SUMIFS(Imput[[Importe Neto]:[Importe Neto]],Imput[[C. Imp.]:[C. Imp.]],$D766,Imput[[PERIODO Imp.]:[PERIODO Imp.]],CC$9)</f>
        <v>0</v>
      </c>
      <c r="CD766" s="693">
        <f>SUMIFS(Imput[[Importe Neto]:[Importe Neto]],Imput[[C. Imp.]:[C. Imp.]],$D766,Imput[[PERIODO Imp.]:[PERIODO Imp.]],CD$9)</f>
        <v>0</v>
      </c>
      <c r="CE766" s="693">
        <f>SUMIFS(Imput[[Importe Neto]:[Importe Neto]],Imput[[C. Imp.]:[C. Imp.]],$D766,Imput[[PERIODO Imp.]:[PERIODO Imp.]],CE$9)</f>
        <v>0</v>
      </c>
      <c r="CF766" s="693">
        <f>SUMIFS(Imput[[Importe Neto]:[Importe Neto]],Imput[[C. Imp.]:[C. Imp.]],$D766,Imput[[PERIODO Imp.]:[PERIODO Imp.]],CF$9)</f>
        <v>0</v>
      </c>
      <c r="CG766" s="693">
        <f>SUMIFS(Imput[[Importe Neto]:[Importe Neto]],Imput[[C. Imp.]:[C. Imp.]],$D766,Imput[[PERIODO Imp.]:[PERIODO Imp.]],CG$9)</f>
        <v>0</v>
      </c>
      <c r="CH766" s="693">
        <f>SUMIFS(Imput[[Importe Neto]:[Importe Neto]],Imput[[C. Imp.]:[C. Imp.]],$D766,Imput[[PERIODO Imp.]:[PERIODO Imp.]],CH$9)</f>
        <v>0</v>
      </c>
      <c r="CI766" s="693">
        <f>SUMIFS(Imput[[Importe Neto]:[Importe Neto]],Imput[[C. Imp.]:[C. Imp.]],$D766,Imput[[PERIODO Imp.]:[PERIODO Imp.]],CI$9)</f>
        <v>0</v>
      </c>
      <c r="CJ766" s="693">
        <f>SUMIFS(Imput[[Importe Neto]:[Importe Neto]],Imput[[C. Imp.]:[C. Imp.]],$D766,Imput[[PERIODO Imp.]:[PERIODO Imp.]],CJ$9)</f>
        <v>0</v>
      </c>
      <c r="CK766" s="693">
        <f>SUMIFS(Imput[[Importe Neto]:[Importe Neto]],Imput[[C. Imp.]:[C. Imp.]],$D766,Imput[[PERIODO Imp.]:[PERIODO Imp.]],CK$9)</f>
        <v>0</v>
      </c>
      <c r="CL766" s="693">
        <f>SUMIFS(Imput[[Importe Neto]:[Importe Neto]],Imput[[C. Imp.]:[C. Imp.]],$D766,Imput[[PERIODO Imp.]:[PERIODO Imp.]],CL$9)</f>
        <v>0</v>
      </c>
      <c r="CM766" s="693">
        <f>SUMIFS(Imput[[Importe Neto]:[Importe Neto]],Imput[[C. Imp.]:[C. Imp.]],$D766,Imput[[PERIODO Imp.]:[PERIODO Imp.]],CM$9)</f>
        <v>0</v>
      </c>
      <c r="CN766" s="693">
        <f>SUMIFS(Imput[[Importe Neto]:[Importe Neto]],Imput[[C. Imp.]:[C. Imp.]],$D766,Imput[[PERIODO Imp.]:[PERIODO Imp.]],CN$9)</f>
        <v>0</v>
      </c>
      <c r="CO766" s="693">
        <f>SUMIFS(Imput[[Importe Neto]:[Importe Neto]],Imput[[C. Imp.]:[C. Imp.]],$D766,Imput[[PERIODO Imp.]:[PERIODO Imp.]],CO$9)</f>
        <v>0</v>
      </c>
      <c r="CP766" s="693">
        <f>SUMIFS(Imput[[Importe Neto]:[Importe Neto]],Imput[[C. Imp.]:[C. Imp.]],$D766,Imput[[PERIODO Imp.]:[PERIODO Imp.]],CP$9)</f>
        <v>0</v>
      </c>
      <c r="CQ766" s="693">
        <f>SUMIFS(Imput[[Importe Neto]:[Importe Neto]],Imput[[C. Imp.]:[C. Imp.]],$D766,Imput[[PERIODO Imp.]:[PERIODO Imp.]],CQ$9)</f>
        <v>0</v>
      </c>
      <c r="CR766" s="693">
        <f>SUMIFS(Imput[[Importe Neto]:[Importe Neto]],Imput[[C. Imp.]:[C. Imp.]],$D766,Imput[[PERIODO Imp.]:[PERIODO Imp.]],CR$9)</f>
        <v>0</v>
      </c>
      <c r="CS766" s="693">
        <f>SUMIFS(Imput[[Importe Neto]:[Importe Neto]],Imput[[C. Imp.]:[C. Imp.]],$D766,Imput[[PERIODO Imp.]:[PERIODO Imp.]],CS$9)</f>
        <v>0</v>
      </c>
      <c r="CT766" s="693">
        <f>SUMIFS(Imput[[Importe Neto]:[Importe Neto]],Imput[[C. Imp.]:[C. Imp.]],$D766,Imput[[PERIODO Imp.]:[PERIODO Imp.]],CT$9)</f>
        <v>0</v>
      </c>
      <c r="CU766" s="693">
        <f>SUMIFS(Imput[[Importe Neto]:[Importe Neto]],Imput[[C. Imp.]:[C. Imp.]],$D766,Imput[[PERIODO Imp.]:[PERIODO Imp.]],CU$9)</f>
        <v>0</v>
      </c>
      <c r="CV766" s="693">
        <f>SUMIFS(Imput[[Importe Neto]:[Importe Neto]],Imput[[C. Imp.]:[C. Imp.]],$D766,Imput[[PERIODO Imp.]:[PERIODO Imp.]],CV$9)</f>
        <v>0</v>
      </c>
      <c r="CW766" s="693">
        <f>SUMIFS(Imput[[Importe Neto]:[Importe Neto]],Imput[[C. Imp.]:[C. Imp.]],$D766,Imput[[PERIODO Imp.]:[PERIODO Imp.]],CW$9)</f>
        <v>0</v>
      </c>
      <c r="CX766" s="693">
        <f>SUMIFS(Imput[[Importe Neto]:[Importe Neto]],Imput[[C. Imp.]:[C. Imp.]],$D766,Imput[[PERIODO Imp.]:[PERIODO Imp.]],CX$9)</f>
        <v>0</v>
      </c>
      <c r="CY766" s="693">
        <f>SUMIFS(Imput[[Importe Neto]:[Importe Neto]],Imput[[C. Imp.]:[C. Imp.]],$D766,Imput[[PERIODO Imp.]:[PERIODO Imp.]],CY$9)</f>
        <v>0</v>
      </c>
      <c r="CZ766" s="693">
        <f>SUMIFS(Imput[[Importe Neto]:[Importe Neto]],Imput[[C. Imp.]:[C. Imp.]],$D766,Imput[[PERIODO Imp.]:[PERIODO Imp.]],CZ$9)</f>
        <v>0</v>
      </c>
      <c r="DA766" s="693">
        <f>SUMIFS(Imput[[Importe Neto]:[Importe Neto]],Imput[[C. Imp.]:[C. Imp.]],$D766,Imput[[PERIODO Imp.]:[PERIODO Imp.]],DA$9)</f>
        <v>0</v>
      </c>
      <c r="DB766" s="693">
        <f>SUMIFS(Imput[[Importe Neto]:[Importe Neto]],Imput[[C. Imp.]:[C. Imp.]],$D766,Imput[[PERIODO Imp.]:[PERIODO Imp.]],DB$9)</f>
        <v>0</v>
      </c>
      <c r="DC766" s="693">
        <f>SUMIFS(Imput[[Importe Neto]:[Importe Neto]],Imput[[C. Imp.]:[C. Imp.]],$D766,Imput[[PERIODO Imp.]:[PERIODO Imp.]],DC$9)</f>
        <v>0</v>
      </c>
      <c r="DD766" s="693">
        <f>SUMIFS(Imput[[Importe Neto]:[Importe Neto]],Imput[[C. Imp.]:[C. Imp.]],$D766,Imput[[PERIODO Imp.]:[PERIODO Imp.]],DD$9)</f>
        <v>0</v>
      </c>
      <c r="DE766" s="693">
        <f>SUMIFS(Imput[[Importe Neto]:[Importe Neto]],Imput[[C. Imp.]:[C. Imp.]],$D766,Imput[[PERIODO Imp.]:[PERIODO Imp.]],DE$9)</f>
        <v>0</v>
      </c>
      <c r="DF766" s="693">
        <f>SUMIFS(Imput[[Importe Neto]:[Importe Neto]],Imput[[C. Imp.]:[C. Imp.]],$D766,Imput[[PERIODO Imp.]:[PERIODO Imp.]],DF$9)</f>
        <v>0</v>
      </c>
      <c r="DG766" s="693">
        <f>SUMIFS(Imput[[Importe Neto]:[Importe Neto]],Imput[[C. Imp.]:[C. Imp.]],$D766,Imput[[PERIODO Imp.]:[PERIODO Imp.]],DG$9)</f>
        <v>0</v>
      </c>
      <c r="DH766" s="694">
        <f>SUMIFS(Imput[[Importe Neto]:[Importe Neto]],Imput[[C. Imp.]:[C. Imp.]],$D766,Imput[[PERIODO Imp.]:[PERIODO Imp.]],DH$9)</f>
        <v>0</v>
      </c>
    </row>
    <row r="767" spans="1:112" s="649" customFormat="1" hidden="1" outlineLevel="1" x14ac:dyDescent="0.3">
      <c r="A767" s="652" t="str">
        <f t="shared" si="273"/>
        <v/>
      </c>
      <c r="B767" s="652"/>
      <c r="C767" s="685"/>
      <c r="D767" s="686" t="s">
        <v>2751</v>
      </c>
      <c r="E767" s="686"/>
      <c r="F767" s="720"/>
      <c r="G767" s="688"/>
      <c r="H767" s="689"/>
      <c r="I767" s="851" t="str">
        <f t="shared" si="274"/>
        <v/>
      </c>
      <c r="J767" s="850" t="str">
        <f t="shared" si="275"/>
        <v/>
      </c>
      <c r="K767" s="667"/>
      <c r="L767" s="858"/>
      <c r="M767" s="859"/>
      <c r="N767" s="859"/>
      <c r="O767" s="859"/>
      <c r="P767" s="859"/>
      <c r="Q767" s="859"/>
      <c r="R767" s="859"/>
      <c r="S767" s="859"/>
      <c r="T767" s="859"/>
      <c r="U767" s="859"/>
      <c r="V767" s="859"/>
      <c r="W767" s="859"/>
      <c r="X767" s="859"/>
      <c r="Y767" s="859"/>
      <c r="Z767" s="860"/>
      <c r="AA767" s="860"/>
      <c r="AB767" s="860"/>
      <c r="AC767" s="860"/>
      <c r="AD767" s="860"/>
      <c r="AE767" s="860"/>
      <c r="AF767" s="860"/>
      <c r="AG767" s="860"/>
      <c r="AH767" s="860"/>
      <c r="AI767" s="860"/>
      <c r="AJ767" s="860"/>
      <c r="AK767" s="860"/>
      <c r="AL767" s="860"/>
      <c r="AM767" s="860"/>
      <c r="AN767" s="860"/>
      <c r="AO767" s="860"/>
      <c r="AP767" s="860"/>
      <c r="AQ767" s="860"/>
      <c r="AR767" s="860"/>
      <c r="AS767" s="860"/>
      <c r="AT767" s="860"/>
      <c r="AU767" s="860"/>
      <c r="AV767" s="860"/>
      <c r="AW767" s="860"/>
      <c r="AX767" s="860"/>
      <c r="AY767" s="860"/>
      <c r="AZ767" s="860"/>
      <c r="BA767" s="860"/>
      <c r="BB767" s="860"/>
      <c r="BC767" s="860"/>
      <c r="BD767" s="860"/>
      <c r="BE767" s="860"/>
      <c r="BF767" s="860"/>
      <c r="BG767" s="860"/>
      <c r="BH767" s="668"/>
      <c r="BI767" s="667"/>
      <c r="BJ767" s="690">
        <f t="shared" si="276"/>
        <v>0</v>
      </c>
      <c r="BK767" s="691">
        <f t="shared" si="277"/>
        <v>0</v>
      </c>
      <c r="BL767" s="654"/>
      <c r="BM767" s="692">
        <f>SUMIFS(Imput[[Importe Neto]:[Importe Neto]],Imput[[C. Imp.]:[C. Imp.]],$D767,Imput[[PERIODO Imp.]:[PERIODO Imp.]],BM$9)</f>
        <v>0</v>
      </c>
      <c r="BN767" s="693">
        <f>SUMIFS(Imput[[Importe Neto]:[Importe Neto]],Imput[[C. Imp.]:[C. Imp.]],$D767,Imput[[PERIODO Imp.]:[PERIODO Imp.]],BN$9)</f>
        <v>0</v>
      </c>
      <c r="BO767" s="693">
        <f>SUMIFS(Imput[[Importe Neto]:[Importe Neto]],Imput[[C. Imp.]:[C. Imp.]],$D767,Imput[[PERIODO Imp.]:[PERIODO Imp.]],BO$9)</f>
        <v>0</v>
      </c>
      <c r="BP767" s="693">
        <f>SUMIFS(Imput[[Importe Neto]:[Importe Neto]],Imput[[C. Imp.]:[C. Imp.]],$D767,Imput[[PERIODO Imp.]:[PERIODO Imp.]],BP$9)</f>
        <v>0</v>
      </c>
      <c r="BQ767" s="693">
        <f>SUMIFS(Imput[[Importe Neto]:[Importe Neto]],Imput[[C. Imp.]:[C. Imp.]],$D767,Imput[[PERIODO Imp.]:[PERIODO Imp.]],BQ$9)</f>
        <v>0</v>
      </c>
      <c r="BR767" s="693">
        <f>SUMIFS(Imput[[Importe Neto]:[Importe Neto]],Imput[[C. Imp.]:[C. Imp.]],$D767,Imput[[PERIODO Imp.]:[PERIODO Imp.]],BR$9)</f>
        <v>0</v>
      </c>
      <c r="BS767" s="693">
        <f>SUMIFS(Imput[[Importe Neto]:[Importe Neto]],Imput[[C. Imp.]:[C. Imp.]],$D767,Imput[[PERIODO Imp.]:[PERIODO Imp.]],BS$9)</f>
        <v>0</v>
      </c>
      <c r="BT767" s="693">
        <f>SUMIFS(Imput[[Importe Neto]:[Importe Neto]],Imput[[C. Imp.]:[C. Imp.]],$D767,Imput[[PERIODO Imp.]:[PERIODO Imp.]],BT$9)</f>
        <v>0</v>
      </c>
      <c r="BU767" s="693">
        <f>SUMIFS(Imput[[Importe Neto]:[Importe Neto]],Imput[[C. Imp.]:[C. Imp.]],$D767,Imput[[PERIODO Imp.]:[PERIODO Imp.]],BU$9)</f>
        <v>0</v>
      </c>
      <c r="BV767" s="693">
        <f>SUMIFS(Imput[[Importe Neto]:[Importe Neto]],Imput[[C. Imp.]:[C. Imp.]],$D767,Imput[[PERIODO Imp.]:[PERIODO Imp.]],BV$9)</f>
        <v>0</v>
      </c>
      <c r="BW767" s="693">
        <f>SUMIFS(Imput[[Importe Neto]:[Importe Neto]],Imput[[C. Imp.]:[C. Imp.]],$D767,Imput[[PERIODO Imp.]:[PERIODO Imp.]],BW$9)</f>
        <v>0</v>
      </c>
      <c r="BX767" s="693">
        <f>SUMIFS(Imput[[Importe Neto]:[Importe Neto]],Imput[[C. Imp.]:[C. Imp.]],$D767,Imput[[PERIODO Imp.]:[PERIODO Imp.]],BX$9)</f>
        <v>0</v>
      </c>
      <c r="BY767" s="693">
        <f>SUMIFS(Imput[[Importe Neto]:[Importe Neto]],Imput[[C. Imp.]:[C. Imp.]],$D767,Imput[[PERIODO Imp.]:[PERIODO Imp.]],BY$9)</f>
        <v>0</v>
      </c>
      <c r="BZ767" s="693">
        <f>SUMIFS(Imput[[Importe Neto]:[Importe Neto]],Imput[[C. Imp.]:[C. Imp.]],$D767,Imput[[PERIODO Imp.]:[PERIODO Imp.]],BZ$9)</f>
        <v>0</v>
      </c>
      <c r="CA767" s="693">
        <f>SUMIFS(Imput[[Importe Neto]:[Importe Neto]],Imput[[C. Imp.]:[C. Imp.]],$D767,Imput[[PERIODO Imp.]:[PERIODO Imp.]],CA$9)</f>
        <v>0</v>
      </c>
      <c r="CB767" s="693">
        <f>SUMIFS(Imput[[Importe Neto]:[Importe Neto]],Imput[[C. Imp.]:[C. Imp.]],$D767,Imput[[PERIODO Imp.]:[PERIODO Imp.]],CB$9)</f>
        <v>0</v>
      </c>
      <c r="CC767" s="693">
        <f>SUMIFS(Imput[[Importe Neto]:[Importe Neto]],Imput[[C. Imp.]:[C. Imp.]],$D767,Imput[[PERIODO Imp.]:[PERIODO Imp.]],CC$9)</f>
        <v>0</v>
      </c>
      <c r="CD767" s="693">
        <f>SUMIFS(Imput[[Importe Neto]:[Importe Neto]],Imput[[C. Imp.]:[C. Imp.]],$D767,Imput[[PERIODO Imp.]:[PERIODO Imp.]],CD$9)</f>
        <v>0</v>
      </c>
      <c r="CE767" s="693">
        <f>SUMIFS(Imput[[Importe Neto]:[Importe Neto]],Imput[[C. Imp.]:[C. Imp.]],$D767,Imput[[PERIODO Imp.]:[PERIODO Imp.]],CE$9)</f>
        <v>0</v>
      </c>
      <c r="CF767" s="693">
        <f>SUMIFS(Imput[[Importe Neto]:[Importe Neto]],Imput[[C. Imp.]:[C. Imp.]],$D767,Imput[[PERIODO Imp.]:[PERIODO Imp.]],CF$9)</f>
        <v>0</v>
      </c>
      <c r="CG767" s="693">
        <f>SUMIFS(Imput[[Importe Neto]:[Importe Neto]],Imput[[C. Imp.]:[C. Imp.]],$D767,Imput[[PERIODO Imp.]:[PERIODO Imp.]],CG$9)</f>
        <v>0</v>
      </c>
      <c r="CH767" s="693">
        <f>SUMIFS(Imput[[Importe Neto]:[Importe Neto]],Imput[[C. Imp.]:[C. Imp.]],$D767,Imput[[PERIODO Imp.]:[PERIODO Imp.]],CH$9)</f>
        <v>0</v>
      </c>
      <c r="CI767" s="693">
        <f>SUMIFS(Imput[[Importe Neto]:[Importe Neto]],Imput[[C. Imp.]:[C. Imp.]],$D767,Imput[[PERIODO Imp.]:[PERIODO Imp.]],CI$9)</f>
        <v>0</v>
      </c>
      <c r="CJ767" s="693">
        <f>SUMIFS(Imput[[Importe Neto]:[Importe Neto]],Imput[[C. Imp.]:[C. Imp.]],$D767,Imput[[PERIODO Imp.]:[PERIODO Imp.]],CJ$9)</f>
        <v>0</v>
      </c>
      <c r="CK767" s="693">
        <f>SUMIFS(Imput[[Importe Neto]:[Importe Neto]],Imput[[C. Imp.]:[C. Imp.]],$D767,Imput[[PERIODO Imp.]:[PERIODO Imp.]],CK$9)</f>
        <v>0</v>
      </c>
      <c r="CL767" s="693">
        <f>SUMIFS(Imput[[Importe Neto]:[Importe Neto]],Imput[[C. Imp.]:[C. Imp.]],$D767,Imput[[PERIODO Imp.]:[PERIODO Imp.]],CL$9)</f>
        <v>0</v>
      </c>
      <c r="CM767" s="693">
        <f>SUMIFS(Imput[[Importe Neto]:[Importe Neto]],Imput[[C. Imp.]:[C. Imp.]],$D767,Imput[[PERIODO Imp.]:[PERIODO Imp.]],CM$9)</f>
        <v>0</v>
      </c>
      <c r="CN767" s="693">
        <f>SUMIFS(Imput[[Importe Neto]:[Importe Neto]],Imput[[C. Imp.]:[C. Imp.]],$D767,Imput[[PERIODO Imp.]:[PERIODO Imp.]],CN$9)</f>
        <v>0</v>
      </c>
      <c r="CO767" s="693">
        <f>SUMIFS(Imput[[Importe Neto]:[Importe Neto]],Imput[[C. Imp.]:[C. Imp.]],$D767,Imput[[PERIODO Imp.]:[PERIODO Imp.]],CO$9)</f>
        <v>0</v>
      </c>
      <c r="CP767" s="693">
        <f>SUMIFS(Imput[[Importe Neto]:[Importe Neto]],Imput[[C. Imp.]:[C. Imp.]],$D767,Imput[[PERIODO Imp.]:[PERIODO Imp.]],CP$9)</f>
        <v>0</v>
      </c>
      <c r="CQ767" s="693">
        <f>SUMIFS(Imput[[Importe Neto]:[Importe Neto]],Imput[[C. Imp.]:[C. Imp.]],$D767,Imput[[PERIODO Imp.]:[PERIODO Imp.]],CQ$9)</f>
        <v>0</v>
      </c>
      <c r="CR767" s="693">
        <f>SUMIFS(Imput[[Importe Neto]:[Importe Neto]],Imput[[C. Imp.]:[C. Imp.]],$D767,Imput[[PERIODO Imp.]:[PERIODO Imp.]],CR$9)</f>
        <v>0</v>
      </c>
      <c r="CS767" s="693">
        <f>SUMIFS(Imput[[Importe Neto]:[Importe Neto]],Imput[[C. Imp.]:[C. Imp.]],$D767,Imput[[PERIODO Imp.]:[PERIODO Imp.]],CS$9)</f>
        <v>0</v>
      </c>
      <c r="CT767" s="693">
        <f>SUMIFS(Imput[[Importe Neto]:[Importe Neto]],Imput[[C. Imp.]:[C. Imp.]],$D767,Imput[[PERIODO Imp.]:[PERIODO Imp.]],CT$9)</f>
        <v>0</v>
      </c>
      <c r="CU767" s="693">
        <f>SUMIFS(Imput[[Importe Neto]:[Importe Neto]],Imput[[C. Imp.]:[C. Imp.]],$D767,Imput[[PERIODO Imp.]:[PERIODO Imp.]],CU$9)</f>
        <v>0</v>
      </c>
      <c r="CV767" s="693">
        <f>SUMIFS(Imput[[Importe Neto]:[Importe Neto]],Imput[[C. Imp.]:[C. Imp.]],$D767,Imput[[PERIODO Imp.]:[PERIODO Imp.]],CV$9)</f>
        <v>0</v>
      </c>
      <c r="CW767" s="693">
        <f>SUMIFS(Imput[[Importe Neto]:[Importe Neto]],Imput[[C. Imp.]:[C. Imp.]],$D767,Imput[[PERIODO Imp.]:[PERIODO Imp.]],CW$9)</f>
        <v>0</v>
      </c>
      <c r="CX767" s="693">
        <f>SUMIFS(Imput[[Importe Neto]:[Importe Neto]],Imput[[C. Imp.]:[C. Imp.]],$D767,Imput[[PERIODO Imp.]:[PERIODO Imp.]],CX$9)</f>
        <v>0</v>
      </c>
      <c r="CY767" s="693">
        <f>SUMIFS(Imput[[Importe Neto]:[Importe Neto]],Imput[[C. Imp.]:[C. Imp.]],$D767,Imput[[PERIODO Imp.]:[PERIODO Imp.]],CY$9)</f>
        <v>0</v>
      </c>
      <c r="CZ767" s="693">
        <f>SUMIFS(Imput[[Importe Neto]:[Importe Neto]],Imput[[C. Imp.]:[C. Imp.]],$D767,Imput[[PERIODO Imp.]:[PERIODO Imp.]],CZ$9)</f>
        <v>0</v>
      </c>
      <c r="DA767" s="693">
        <f>SUMIFS(Imput[[Importe Neto]:[Importe Neto]],Imput[[C. Imp.]:[C. Imp.]],$D767,Imput[[PERIODO Imp.]:[PERIODO Imp.]],DA$9)</f>
        <v>0</v>
      </c>
      <c r="DB767" s="693">
        <f>SUMIFS(Imput[[Importe Neto]:[Importe Neto]],Imput[[C. Imp.]:[C. Imp.]],$D767,Imput[[PERIODO Imp.]:[PERIODO Imp.]],DB$9)</f>
        <v>0</v>
      </c>
      <c r="DC767" s="693">
        <f>SUMIFS(Imput[[Importe Neto]:[Importe Neto]],Imput[[C. Imp.]:[C. Imp.]],$D767,Imput[[PERIODO Imp.]:[PERIODO Imp.]],DC$9)</f>
        <v>0</v>
      </c>
      <c r="DD767" s="693">
        <f>SUMIFS(Imput[[Importe Neto]:[Importe Neto]],Imput[[C. Imp.]:[C. Imp.]],$D767,Imput[[PERIODO Imp.]:[PERIODO Imp.]],DD$9)</f>
        <v>0</v>
      </c>
      <c r="DE767" s="693">
        <f>SUMIFS(Imput[[Importe Neto]:[Importe Neto]],Imput[[C. Imp.]:[C. Imp.]],$D767,Imput[[PERIODO Imp.]:[PERIODO Imp.]],DE$9)</f>
        <v>0</v>
      </c>
      <c r="DF767" s="693">
        <f>SUMIFS(Imput[[Importe Neto]:[Importe Neto]],Imput[[C. Imp.]:[C. Imp.]],$D767,Imput[[PERIODO Imp.]:[PERIODO Imp.]],DF$9)</f>
        <v>0</v>
      </c>
      <c r="DG767" s="693">
        <f>SUMIFS(Imput[[Importe Neto]:[Importe Neto]],Imput[[C. Imp.]:[C. Imp.]],$D767,Imput[[PERIODO Imp.]:[PERIODO Imp.]],DG$9)</f>
        <v>0</v>
      </c>
      <c r="DH767" s="694">
        <f>SUMIFS(Imput[[Importe Neto]:[Importe Neto]],Imput[[C. Imp.]:[C. Imp.]],$D767,Imput[[PERIODO Imp.]:[PERIODO Imp.]],DH$9)</f>
        <v>0</v>
      </c>
    </row>
    <row r="768" spans="1:112" s="649" customFormat="1" hidden="1" outlineLevel="1" x14ac:dyDescent="0.3">
      <c r="A768" s="652" t="str">
        <f t="shared" si="273"/>
        <v/>
      </c>
      <c r="B768" s="652"/>
      <c r="C768" s="685"/>
      <c r="D768" s="686" t="s">
        <v>2752</v>
      </c>
      <c r="E768" s="686"/>
      <c r="F768" s="720"/>
      <c r="G768" s="688"/>
      <c r="H768" s="689"/>
      <c r="I768" s="851" t="str">
        <f t="shared" si="274"/>
        <v/>
      </c>
      <c r="J768" s="850" t="str">
        <f t="shared" si="275"/>
        <v/>
      </c>
      <c r="K768" s="667"/>
      <c r="L768" s="858"/>
      <c r="M768" s="859"/>
      <c r="N768" s="859"/>
      <c r="O768" s="859"/>
      <c r="P768" s="859"/>
      <c r="Q768" s="859"/>
      <c r="R768" s="859"/>
      <c r="S768" s="859"/>
      <c r="T768" s="859"/>
      <c r="U768" s="859"/>
      <c r="V768" s="859"/>
      <c r="W768" s="859"/>
      <c r="X768" s="859"/>
      <c r="Y768" s="859"/>
      <c r="Z768" s="860"/>
      <c r="AA768" s="860"/>
      <c r="AB768" s="860"/>
      <c r="AC768" s="860"/>
      <c r="AD768" s="860"/>
      <c r="AE768" s="860"/>
      <c r="AF768" s="860"/>
      <c r="AG768" s="860"/>
      <c r="AH768" s="860"/>
      <c r="AI768" s="860"/>
      <c r="AJ768" s="860"/>
      <c r="AK768" s="860"/>
      <c r="AL768" s="860"/>
      <c r="AM768" s="860"/>
      <c r="AN768" s="860"/>
      <c r="AO768" s="860"/>
      <c r="AP768" s="860"/>
      <c r="AQ768" s="860"/>
      <c r="AR768" s="860"/>
      <c r="AS768" s="860"/>
      <c r="AT768" s="860"/>
      <c r="AU768" s="860"/>
      <c r="AV768" s="860"/>
      <c r="AW768" s="860"/>
      <c r="AX768" s="860"/>
      <c r="AY768" s="860"/>
      <c r="AZ768" s="860"/>
      <c r="BA768" s="860"/>
      <c r="BB768" s="860"/>
      <c r="BC768" s="860"/>
      <c r="BD768" s="860"/>
      <c r="BE768" s="860"/>
      <c r="BF768" s="860"/>
      <c r="BG768" s="860"/>
      <c r="BH768" s="780"/>
      <c r="BI768" s="654"/>
      <c r="BJ768" s="690">
        <f t="shared" si="276"/>
        <v>0</v>
      </c>
      <c r="BK768" s="691">
        <f t="shared" si="277"/>
        <v>0</v>
      </c>
      <c r="BL768" s="654"/>
      <c r="BM768" s="692">
        <f>SUMIFS(Imput[[Importe Neto]:[Importe Neto]],Imput[[C. Imp.]:[C. Imp.]],$D768,Imput[[PERIODO Imp.]:[PERIODO Imp.]],BM$9)</f>
        <v>0</v>
      </c>
      <c r="BN768" s="693">
        <f>SUMIFS(Imput[[Importe Neto]:[Importe Neto]],Imput[[C. Imp.]:[C. Imp.]],$D768,Imput[[PERIODO Imp.]:[PERIODO Imp.]],BN$9)</f>
        <v>0</v>
      </c>
      <c r="BO768" s="693">
        <f>SUMIFS(Imput[[Importe Neto]:[Importe Neto]],Imput[[C. Imp.]:[C. Imp.]],$D768,Imput[[PERIODO Imp.]:[PERIODO Imp.]],BO$9)</f>
        <v>0</v>
      </c>
      <c r="BP768" s="693">
        <f>SUMIFS(Imput[[Importe Neto]:[Importe Neto]],Imput[[C. Imp.]:[C. Imp.]],$D768,Imput[[PERIODO Imp.]:[PERIODO Imp.]],BP$9)</f>
        <v>0</v>
      </c>
      <c r="BQ768" s="693">
        <f>SUMIFS(Imput[[Importe Neto]:[Importe Neto]],Imput[[C. Imp.]:[C. Imp.]],$D768,Imput[[PERIODO Imp.]:[PERIODO Imp.]],BQ$9)</f>
        <v>0</v>
      </c>
      <c r="BR768" s="693">
        <f>SUMIFS(Imput[[Importe Neto]:[Importe Neto]],Imput[[C. Imp.]:[C. Imp.]],$D768,Imput[[PERIODO Imp.]:[PERIODO Imp.]],BR$9)</f>
        <v>0</v>
      </c>
      <c r="BS768" s="693">
        <f>SUMIFS(Imput[[Importe Neto]:[Importe Neto]],Imput[[C. Imp.]:[C. Imp.]],$D768,Imput[[PERIODO Imp.]:[PERIODO Imp.]],BS$9)</f>
        <v>0</v>
      </c>
      <c r="BT768" s="693">
        <f>SUMIFS(Imput[[Importe Neto]:[Importe Neto]],Imput[[C. Imp.]:[C. Imp.]],$D768,Imput[[PERIODO Imp.]:[PERIODO Imp.]],BT$9)</f>
        <v>0</v>
      </c>
      <c r="BU768" s="693">
        <f>SUMIFS(Imput[[Importe Neto]:[Importe Neto]],Imput[[C. Imp.]:[C. Imp.]],$D768,Imput[[PERIODO Imp.]:[PERIODO Imp.]],BU$9)</f>
        <v>0</v>
      </c>
      <c r="BV768" s="693">
        <f>SUMIFS(Imput[[Importe Neto]:[Importe Neto]],Imput[[C. Imp.]:[C. Imp.]],$D768,Imput[[PERIODO Imp.]:[PERIODO Imp.]],BV$9)</f>
        <v>0</v>
      </c>
      <c r="BW768" s="693">
        <f>SUMIFS(Imput[[Importe Neto]:[Importe Neto]],Imput[[C. Imp.]:[C. Imp.]],$D768,Imput[[PERIODO Imp.]:[PERIODO Imp.]],BW$9)</f>
        <v>0</v>
      </c>
      <c r="BX768" s="693">
        <f>SUMIFS(Imput[[Importe Neto]:[Importe Neto]],Imput[[C. Imp.]:[C. Imp.]],$D768,Imput[[PERIODO Imp.]:[PERIODO Imp.]],BX$9)</f>
        <v>0</v>
      </c>
      <c r="BY768" s="693">
        <f>SUMIFS(Imput[[Importe Neto]:[Importe Neto]],Imput[[C. Imp.]:[C. Imp.]],$D768,Imput[[PERIODO Imp.]:[PERIODO Imp.]],BY$9)</f>
        <v>0</v>
      </c>
      <c r="BZ768" s="693">
        <f>SUMIFS(Imput[[Importe Neto]:[Importe Neto]],Imput[[C. Imp.]:[C. Imp.]],$D768,Imput[[PERIODO Imp.]:[PERIODO Imp.]],BZ$9)</f>
        <v>0</v>
      </c>
      <c r="CA768" s="693">
        <f>SUMIFS(Imput[[Importe Neto]:[Importe Neto]],Imput[[C. Imp.]:[C. Imp.]],$D768,Imput[[PERIODO Imp.]:[PERIODO Imp.]],CA$9)</f>
        <v>0</v>
      </c>
      <c r="CB768" s="693">
        <f>SUMIFS(Imput[[Importe Neto]:[Importe Neto]],Imput[[C. Imp.]:[C. Imp.]],$D768,Imput[[PERIODO Imp.]:[PERIODO Imp.]],CB$9)</f>
        <v>0</v>
      </c>
      <c r="CC768" s="693">
        <f>SUMIFS(Imput[[Importe Neto]:[Importe Neto]],Imput[[C. Imp.]:[C. Imp.]],$D768,Imput[[PERIODO Imp.]:[PERIODO Imp.]],CC$9)</f>
        <v>0</v>
      </c>
      <c r="CD768" s="693">
        <f>SUMIFS(Imput[[Importe Neto]:[Importe Neto]],Imput[[C. Imp.]:[C. Imp.]],$D768,Imput[[PERIODO Imp.]:[PERIODO Imp.]],CD$9)</f>
        <v>0</v>
      </c>
      <c r="CE768" s="693">
        <f>SUMIFS(Imput[[Importe Neto]:[Importe Neto]],Imput[[C. Imp.]:[C. Imp.]],$D768,Imput[[PERIODO Imp.]:[PERIODO Imp.]],CE$9)</f>
        <v>0</v>
      </c>
      <c r="CF768" s="693">
        <f>SUMIFS(Imput[[Importe Neto]:[Importe Neto]],Imput[[C. Imp.]:[C. Imp.]],$D768,Imput[[PERIODO Imp.]:[PERIODO Imp.]],CF$9)</f>
        <v>0</v>
      </c>
      <c r="CG768" s="693">
        <f>SUMIFS(Imput[[Importe Neto]:[Importe Neto]],Imput[[C. Imp.]:[C. Imp.]],$D768,Imput[[PERIODO Imp.]:[PERIODO Imp.]],CG$9)</f>
        <v>0</v>
      </c>
      <c r="CH768" s="693">
        <f>SUMIFS(Imput[[Importe Neto]:[Importe Neto]],Imput[[C. Imp.]:[C. Imp.]],$D768,Imput[[PERIODO Imp.]:[PERIODO Imp.]],CH$9)</f>
        <v>0</v>
      </c>
      <c r="CI768" s="693">
        <f>SUMIFS(Imput[[Importe Neto]:[Importe Neto]],Imput[[C. Imp.]:[C. Imp.]],$D768,Imput[[PERIODO Imp.]:[PERIODO Imp.]],CI$9)</f>
        <v>0</v>
      </c>
      <c r="CJ768" s="693">
        <f>SUMIFS(Imput[[Importe Neto]:[Importe Neto]],Imput[[C. Imp.]:[C. Imp.]],$D768,Imput[[PERIODO Imp.]:[PERIODO Imp.]],CJ$9)</f>
        <v>0</v>
      </c>
      <c r="CK768" s="693">
        <f>SUMIFS(Imput[[Importe Neto]:[Importe Neto]],Imput[[C. Imp.]:[C. Imp.]],$D768,Imput[[PERIODO Imp.]:[PERIODO Imp.]],CK$9)</f>
        <v>0</v>
      </c>
      <c r="CL768" s="693">
        <f>SUMIFS(Imput[[Importe Neto]:[Importe Neto]],Imput[[C. Imp.]:[C. Imp.]],$D768,Imput[[PERIODO Imp.]:[PERIODO Imp.]],CL$9)</f>
        <v>0</v>
      </c>
      <c r="CM768" s="693">
        <f>SUMIFS(Imput[[Importe Neto]:[Importe Neto]],Imput[[C. Imp.]:[C. Imp.]],$D768,Imput[[PERIODO Imp.]:[PERIODO Imp.]],CM$9)</f>
        <v>0</v>
      </c>
      <c r="CN768" s="693">
        <f>SUMIFS(Imput[[Importe Neto]:[Importe Neto]],Imput[[C. Imp.]:[C. Imp.]],$D768,Imput[[PERIODO Imp.]:[PERIODO Imp.]],CN$9)</f>
        <v>0</v>
      </c>
      <c r="CO768" s="693">
        <f>SUMIFS(Imput[[Importe Neto]:[Importe Neto]],Imput[[C. Imp.]:[C. Imp.]],$D768,Imput[[PERIODO Imp.]:[PERIODO Imp.]],CO$9)</f>
        <v>0</v>
      </c>
      <c r="CP768" s="693">
        <f>SUMIFS(Imput[[Importe Neto]:[Importe Neto]],Imput[[C. Imp.]:[C. Imp.]],$D768,Imput[[PERIODO Imp.]:[PERIODO Imp.]],CP$9)</f>
        <v>0</v>
      </c>
      <c r="CQ768" s="693">
        <f>SUMIFS(Imput[[Importe Neto]:[Importe Neto]],Imput[[C. Imp.]:[C. Imp.]],$D768,Imput[[PERIODO Imp.]:[PERIODO Imp.]],CQ$9)</f>
        <v>0</v>
      </c>
      <c r="CR768" s="693">
        <f>SUMIFS(Imput[[Importe Neto]:[Importe Neto]],Imput[[C. Imp.]:[C. Imp.]],$D768,Imput[[PERIODO Imp.]:[PERIODO Imp.]],CR$9)</f>
        <v>0</v>
      </c>
      <c r="CS768" s="693">
        <f>SUMIFS(Imput[[Importe Neto]:[Importe Neto]],Imput[[C. Imp.]:[C. Imp.]],$D768,Imput[[PERIODO Imp.]:[PERIODO Imp.]],CS$9)</f>
        <v>0</v>
      </c>
      <c r="CT768" s="693">
        <f>SUMIFS(Imput[[Importe Neto]:[Importe Neto]],Imput[[C. Imp.]:[C. Imp.]],$D768,Imput[[PERIODO Imp.]:[PERIODO Imp.]],CT$9)</f>
        <v>0</v>
      </c>
      <c r="CU768" s="693">
        <f>SUMIFS(Imput[[Importe Neto]:[Importe Neto]],Imput[[C. Imp.]:[C. Imp.]],$D768,Imput[[PERIODO Imp.]:[PERIODO Imp.]],CU$9)</f>
        <v>0</v>
      </c>
      <c r="CV768" s="693">
        <f>SUMIFS(Imput[[Importe Neto]:[Importe Neto]],Imput[[C. Imp.]:[C. Imp.]],$D768,Imput[[PERIODO Imp.]:[PERIODO Imp.]],CV$9)</f>
        <v>0</v>
      </c>
      <c r="CW768" s="693">
        <f>SUMIFS(Imput[[Importe Neto]:[Importe Neto]],Imput[[C. Imp.]:[C. Imp.]],$D768,Imput[[PERIODO Imp.]:[PERIODO Imp.]],CW$9)</f>
        <v>0</v>
      </c>
      <c r="CX768" s="693">
        <f>SUMIFS(Imput[[Importe Neto]:[Importe Neto]],Imput[[C. Imp.]:[C. Imp.]],$D768,Imput[[PERIODO Imp.]:[PERIODO Imp.]],CX$9)</f>
        <v>0</v>
      </c>
      <c r="CY768" s="693">
        <f>SUMIFS(Imput[[Importe Neto]:[Importe Neto]],Imput[[C. Imp.]:[C. Imp.]],$D768,Imput[[PERIODO Imp.]:[PERIODO Imp.]],CY$9)</f>
        <v>0</v>
      </c>
      <c r="CZ768" s="693">
        <f>SUMIFS(Imput[[Importe Neto]:[Importe Neto]],Imput[[C. Imp.]:[C. Imp.]],$D768,Imput[[PERIODO Imp.]:[PERIODO Imp.]],CZ$9)</f>
        <v>0</v>
      </c>
      <c r="DA768" s="693">
        <f>SUMIFS(Imput[[Importe Neto]:[Importe Neto]],Imput[[C. Imp.]:[C. Imp.]],$D768,Imput[[PERIODO Imp.]:[PERIODO Imp.]],DA$9)</f>
        <v>0</v>
      </c>
      <c r="DB768" s="693">
        <f>SUMIFS(Imput[[Importe Neto]:[Importe Neto]],Imput[[C. Imp.]:[C. Imp.]],$D768,Imput[[PERIODO Imp.]:[PERIODO Imp.]],DB$9)</f>
        <v>0</v>
      </c>
      <c r="DC768" s="693">
        <f>SUMIFS(Imput[[Importe Neto]:[Importe Neto]],Imput[[C. Imp.]:[C. Imp.]],$D768,Imput[[PERIODO Imp.]:[PERIODO Imp.]],DC$9)</f>
        <v>0</v>
      </c>
      <c r="DD768" s="693">
        <f>SUMIFS(Imput[[Importe Neto]:[Importe Neto]],Imput[[C. Imp.]:[C. Imp.]],$D768,Imput[[PERIODO Imp.]:[PERIODO Imp.]],DD$9)</f>
        <v>0</v>
      </c>
      <c r="DE768" s="693">
        <f>SUMIFS(Imput[[Importe Neto]:[Importe Neto]],Imput[[C. Imp.]:[C. Imp.]],$D768,Imput[[PERIODO Imp.]:[PERIODO Imp.]],DE$9)</f>
        <v>0</v>
      </c>
      <c r="DF768" s="693">
        <f>SUMIFS(Imput[[Importe Neto]:[Importe Neto]],Imput[[C. Imp.]:[C. Imp.]],$D768,Imput[[PERIODO Imp.]:[PERIODO Imp.]],DF$9)</f>
        <v>0</v>
      </c>
      <c r="DG768" s="693">
        <f>SUMIFS(Imput[[Importe Neto]:[Importe Neto]],Imput[[C. Imp.]:[C. Imp.]],$D768,Imput[[PERIODO Imp.]:[PERIODO Imp.]],DG$9)</f>
        <v>0</v>
      </c>
      <c r="DH768" s="694">
        <f>SUMIFS(Imput[[Importe Neto]:[Importe Neto]],Imput[[C. Imp.]:[C. Imp.]],$D768,Imput[[PERIODO Imp.]:[PERIODO Imp.]],DH$9)</f>
        <v>0</v>
      </c>
    </row>
    <row r="769" spans="1:112" s="649" customFormat="1" hidden="1" outlineLevel="1" x14ac:dyDescent="0.3">
      <c r="A769" s="652" t="str">
        <f t="shared" si="273"/>
        <v/>
      </c>
      <c r="B769" s="652"/>
      <c r="C769" s="685"/>
      <c r="D769" s="686" t="s">
        <v>2753</v>
      </c>
      <c r="E769" s="686"/>
      <c r="F769" s="720"/>
      <c r="G769" s="688"/>
      <c r="H769" s="689"/>
      <c r="I769" s="851" t="str">
        <f t="shared" si="274"/>
        <v/>
      </c>
      <c r="J769" s="850" t="str">
        <f t="shared" si="275"/>
        <v/>
      </c>
      <c r="K769" s="678"/>
      <c r="L769" s="858"/>
      <c r="M769" s="859"/>
      <c r="N769" s="859"/>
      <c r="O769" s="859"/>
      <c r="P769" s="859"/>
      <c r="Q769" s="859"/>
      <c r="R769" s="859"/>
      <c r="S769" s="859"/>
      <c r="T769" s="859"/>
      <c r="U769" s="859"/>
      <c r="V769" s="859"/>
      <c r="W769" s="859"/>
      <c r="X769" s="859"/>
      <c r="Y769" s="859"/>
      <c r="Z769" s="860"/>
      <c r="AA769" s="860"/>
      <c r="AB769" s="860"/>
      <c r="AC769" s="860"/>
      <c r="AD769" s="860"/>
      <c r="AE769" s="860"/>
      <c r="AF769" s="860"/>
      <c r="AG769" s="860"/>
      <c r="AH769" s="860"/>
      <c r="AI769" s="860"/>
      <c r="AJ769" s="860"/>
      <c r="AK769" s="860"/>
      <c r="AL769" s="860"/>
      <c r="AM769" s="860"/>
      <c r="AN769" s="860"/>
      <c r="AO769" s="860"/>
      <c r="AP769" s="860"/>
      <c r="AQ769" s="860"/>
      <c r="AR769" s="860"/>
      <c r="AS769" s="860"/>
      <c r="AT769" s="860"/>
      <c r="AU769" s="860"/>
      <c r="AV769" s="860"/>
      <c r="AW769" s="860"/>
      <c r="AX769" s="860"/>
      <c r="AY769" s="860"/>
      <c r="AZ769" s="860"/>
      <c r="BA769" s="860"/>
      <c r="BB769" s="860"/>
      <c r="BC769" s="860"/>
      <c r="BD769" s="860"/>
      <c r="BE769" s="860"/>
      <c r="BF769" s="860"/>
      <c r="BG769" s="860"/>
      <c r="BH769" s="668"/>
      <c r="BI769" s="654"/>
      <c r="BJ769" s="690">
        <f t="shared" si="276"/>
        <v>0</v>
      </c>
      <c r="BK769" s="691">
        <f t="shared" si="277"/>
        <v>0</v>
      </c>
      <c r="BL769" s="654"/>
      <c r="BM769" s="692">
        <f>SUMIFS(Imput[[Importe Neto]:[Importe Neto]],Imput[[C. Imp.]:[C. Imp.]],$D769,Imput[[PERIODO Imp.]:[PERIODO Imp.]],BM$9)</f>
        <v>0</v>
      </c>
      <c r="BN769" s="693">
        <f>SUMIFS(Imput[[Importe Neto]:[Importe Neto]],Imput[[C. Imp.]:[C. Imp.]],$D769,Imput[[PERIODO Imp.]:[PERIODO Imp.]],BN$9)</f>
        <v>0</v>
      </c>
      <c r="BO769" s="693">
        <f>SUMIFS(Imput[[Importe Neto]:[Importe Neto]],Imput[[C. Imp.]:[C. Imp.]],$D769,Imput[[PERIODO Imp.]:[PERIODO Imp.]],BO$9)</f>
        <v>0</v>
      </c>
      <c r="BP769" s="693">
        <f>SUMIFS(Imput[[Importe Neto]:[Importe Neto]],Imput[[C. Imp.]:[C. Imp.]],$D769,Imput[[PERIODO Imp.]:[PERIODO Imp.]],BP$9)</f>
        <v>0</v>
      </c>
      <c r="BQ769" s="693">
        <f>SUMIFS(Imput[[Importe Neto]:[Importe Neto]],Imput[[C. Imp.]:[C. Imp.]],$D769,Imput[[PERIODO Imp.]:[PERIODO Imp.]],BQ$9)</f>
        <v>0</v>
      </c>
      <c r="BR769" s="693">
        <f>SUMIFS(Imput[[Importe Neto]:[Importe Neto]],Imput[[C. Imp.]:[C. Imp.]],$D769,Imput[[PERIODO Imp.]:[PERIODO Imp.]],BR$9)</f>
        <v>0</v>
      </c>
      <c r="BS769" s="693">
        <f>SUMIFS(Imput[[Importe Neto]:[Importe Neto]],Imput[[C. Imp.]:[C. Imp.]],$D769,Imput[[PERIODO Imp.]:[PERIODO Imp.]],BS$9)</f>
        <v>0</v>
      </c>
      <c r="BT769" s="693">
        <f>SUMIFS(Imput[[Importe Neto]:[Importe Neto]],Imput[[C. Imp.]:[C. Imp.]],$D769,Imput[[PERIODO Imp.]:[PERIODO Imp.]],BT$9)</f>
        <v>0</v>
      </c>
      <c r="BU769" s="693">
        <f>SUMIFS(Imput[[Importe Neto]:[Importe Neto]],Imput[[C. Imp.]:[C. Imp.]],$D769,Imput[[PERIODO Imp.]:[PERIODO Imp.]],BU$9)</f>
        <v>0</v>
      </c>
      <c r="BV769" s="693">
        <f>SUMIFS(Imput[[Importe Neto]:[Importe Neto]],Imput[[C. Imp.]:[C. Imp.]],$D769,Imput[[PERIODO Imp.]:[PERIODO Imp.]],BV$9)</f>
        <v>0</v>
      </c>
      <c r="BW769" s="693">
        <f>SUMIFS(Imput[[Importe Neto]:[Importe Neto]],Imput[[C. Imp.]:[C. Imp.]],$D769,Imput[[PERIODO Imp.]:[PERIODO Imp.]],BW$9)</f>
        <v>0</v>
      </c>
      <c r="BX769" s="693">
        <f>SUMIFS(Imput[[Importe Neto]:[Importe Neto]],Imput[[C. Imp.]:[C. Imp.]],$D769,Imput[[PERIODO Imp.]:[PERIODO Imp.]],BX$9)</f>
        <v>0</v>
      </c>
      <c r="BY769" s="693">
        <f>SUMIFS(Imput[[Importe Neto]:[Importe Neto]],Imput[[C. Imp.]:[C. Imp.]],$D769,Imput[[PERIODO Imp.]:[PERIODO Imp.]],BY$9)</f>
        <v>0</v>
      </c>
      <c r="BZ769" s="693">
        <f>SUMIFS(Imput[[Importe Neto]:[Importe Neto]],Imput[[C. Imp.]:[C. Imp.]],$D769,Imput[[PERIODO Imp.]:[PERIODO Imp.]],BZ$9)</f>
        <v>0</v>
      </c>
      <c r="CA769" s="693">
        <f>SUMIFS(Imput[[Importe Neto]:[Importe Neto]],Imput[[C. Imp.]:[C. Imp.]],$D769,Imput[[PERIODO Imp.]:[PERIODO Imp.]],CA$9)</f>
        <v>0</v>
      </c>
      <c r="CB769" s="693">
        <f>SUMIFS(Imput[[Importe Neto]:[Importe Neto]],Imput[[C. Imp.]:[C. Imp.]],$D769,Imput[[PERIODO Imp.]:[PERIODO Imp.]],CB$9)</f>
        <v>0</v>
      </c>
      <c r="CC769" s="693">
        <f>SUMIFS(Imput[[Importe Neto]:[Importe Neto]],Imput[[C. Imp.]:[C. Imp.]],$D769,Imput[[PERIODO Imp.]:[PERIODO Imp.]],CC$9)</f>
        <v>0</v>
      </c>
      <c r="CD769" s="693">
        <f>SUMIFS(Imput[[Importe Neto]:[Importe Neto]],Imput[[C. Imp.]:[C. Imp.]],$D769,Imput[[PERIODO Imp.]:[PERIODO Imp.]],CD$9)</f>
        <v>0</v>
      </c>
      <c r="CE769" s="693">
        <f>SUMIFS(Imput[[Importe Neto]:[Importe Neto]],Imput[[C. Imp.]:[C. Imp.]],$D769,Imput[[PERIODO Imp.]:[PERIODO Imp.]],CE$9)</f>
        <v>0</v>
      </c>
      <c r="CF769" s="693">
        <f>SUMIFS(Imput[[Importe Neto]:[Importe Neto]],Imput[[C. Imp.]:[C. Imp.]],$D769,Imput[[PERIODO Imp.]:[PERIODO Imp.]],CF$9)</f>
        <v>0</v>
      </c>
      <c r="CG769" s="693">
        <f>SUMIFS(Imput[[Importe Neto]:[Importe Neto]],Imput[[C. Imp.]:[C. Imp.]],$D769,Imput[[PERIODO Imp.]:[PERIODO Imp.]],CG$9)</f>
        <v>0</v>
      </c>
      <c r="CH769" s="693">
        <f>SUMIFS(Imput[[Importe Neto]:[Importe Neto]],Imput[[C. Imp.]:[C. Imp.]],$D769,Imput[[PERIODO Imp.]:[PERIODO Imp.]],CH$9)</f>
        <v>0</v>
      </c>
      <c r="CI769" s="693">
        <f>SUMIFS(Imput[[Importe Neto]:[Importe Neto]],Imput[[C. Imp.]:[C. Imp.]],$D769,Imput[[PERIODO Imp.]:[PERIODO Imp.]],CI$9)</f>
        <v>0</v>
      </c>
      <c r="CJ769" s="693">
        <f>SUMIFS(Imput[[Importe Neto]:[Importe Neto]],Imput[[C. Imp.]:[C. Imp.]],$D769,Imput[[PERIODO Imp.]:[PERIODO Imp.]],CJ$9)</f>
        <v>0</v>
      </c>
      <c r="CK769" s="693">
        <f>SUMIFS(Imput[[Importe Neto]:[Importe Neto]],Imput[[C. Imp.]:[C. Imp.]],$D769,Imput[[PERIODO Imp.]:[PERIODO Imp.]],CK$9)</f>
        <v>0</v>
      </c>
      <c r="CL769" s="693">
        <f>SUMIFS(Imput[[Importe Neto]:[Importe Neto]],Imput[[C. Imp.]:[C. Imp.]],$D769,Imput[[PERIODO Imp.]:[PERIODO Imp.]],CL$9)</f>
        <v>0</v>
      </c>
      <c r="CM769" s="693">
        <f>SUMIFS(Imput[[Importe Neto]:[Importe Neto]],Imput[[C. Imp.]:[C. Imp.]],$D769,Imput[[PERIODO Imp.]:[PERIODO Imp.]],CM$9)</f>
        <v>0</v>
      </c>
      <c r="CN769" s="693">
        <f>SUMIFS(Imput[[Importe Neto]:[Importe Neto]],Imput[[C. Imp.]:[C. Imp.]],$D769,Imput[[PERIODO Imp.]:[PERIODO Imp.]],CN$9)</f>
        <v>0</v>
      </c>
      <c r="CO769" s="693">
        <f>SUMIFS(Imput[[Importe Neto]:[Importe Neto]],Imput[[C. Imp.]:[C. Imp.]],$D769,Imput[[PERIODO Imp.]:[PERIODO Imp.]],CO$9)</f>
        <v>0</v>
      </c>
      <c r="CP769" s="693">
        <f>SUMIFS(Imput[[Importe Neto]:[Importe Neto]],Imput[[C. Imp.]:[C. Imp.]],$D769,Imput[[PERIODO Imp.]:[PERIODO Imp.]],CP$9)</f>
        <v>0</v>
      </c>
      <c r="CQ769" s="693">
        <f>SUMIFS(Imput[[Importe Neto]:[Importe Neto]],Imput[[C. Imp.]:[C. Imp.]],$D769,Imput[[PERIODO Imp.]:[PERIODO Imp.]],CQ$9)</f>
        <v>0</v>
      </c>
      <c r="CR769" s="693">
        <f>SUMIFS(Imput[[Importe Neto]:[Importe Neto]],Imput[[C. Imp.]:[C. Imp.]],$D769,Imput[[PERIODO Imp.]:[PERIODO Imp.]],CR$9)</f>
        <v>0</v>
      </c>
      <c r="CS769" s="693">
        <f>SUMIFS(Imput[[Importe Neto]:[Importe Neto]],Imput[[C. Imp.]:[C. Imp.]],$D769,Imput[[PERIODO Imp.]:[PERIODO Imp.]],CS$9)</f>
        <v>0</v>
      </c>
      <c r="CT769" s="693">
        <f>SUMIFS(Imput[[Importe Neto]:[Importe Neto]],Imput[[C. Imp.]:[C. Imp.]],$D769,Imput[[PERIODO Imp.]:[PERIODO Imp.]],CT$9)</f>
        <v>0</v>
      </c>
      <c r="CU769" s="693">
        <f>SUMIFS(Imput[[Importe Neto]:[Importe Neto]],Imput[[C. Imp.]:[C. Imp.]],$D769,Imput[[PERIODO Imp.]:[PERIODO Imp.]],CU$9)</f>
        <v>0</v>
      </c>
      <c r="CV769" s="693">
        <f>SUMIFS(Imput[[Importe Neto]:[Importe Neto]],Imput[[C. Imp.]:[C. Imp.]],$D769,Imput[[PERIODO Imp.]:[PERIODO Imp.]],CV$9)</f>
        <v>0</v>
      </c>
      <c r="CW769" s="693">
        <f>SUMIFS(Imput[[Importe Neto]:[Importe Neto]],Imput[[C. Imp.]:[C. Imp.]],$D769,Imput[[PERIODO Imp.]:[PERIODO Imp.]],CW$9)</f>
        <v>0</v>
      </c>
      <c r="CX769" s="693">
        <f>SUMIFS(Imput[[Importe Neto]:[Importe Neto]],Imput[[C. Imp.]:[C. Imp.]],$D769,Imput[[PERIODO Imp.]:[PERIODO Imp.]],CX$9)</f>
        <v>0</v>
      </c>
      <c r="CY769" s="693">
        <f>SUMIFS(Imput[[Importe Neto]:[Importe Neto]],Imput[[C. Imp.]:[C. Imp.]],$D769,Imput[[PERIODO Imp.]:[PERIODO Imp.]],CY$9)</f>
        <v>0</v>
      </c>
      <c r="CZ769" s="693">
        <f>SUMIFS(Imput[[Importe Neto]:[Importe Neto]],Imput[[C. Imp.]:[C. Imp.]],$D769,Imput[[PERIODO Imp.]:[PERIODO Imp.]],CZ$9)</f>
        <v>0</v>
      </c>
      <c r="DA769" s="693">
        <f>SUMIFS(Imput[[Importe Neto]:[Importe Neto]],Imput[[C. Imp.]:[C. Imp.]],$D769,Imput[[PERIODO Imp.]:[PERIODO Imp.]],DA$9)</f>
        <v>0</v>
      </c>
      <c r="DB769" s="693">
        <f>SUMIFS(Imput[[Importe Neto]:[Importe Neto]],Imput[[C. Imp.]:[C. Imp.]],$D769,Imput[[PERIODO Imp.]:[PERIODO Imp.]],DB$9)</f>
        <v>0</v>
      </c>
      <c r="DC769" s="693">
        <f>SUMIFS(Imput[[Importe Neto]:[Importe Neto]],Imput[[C. Imp.]:[C. Imp.]],$D769,Imput[[PERIODO Imp.]:[PERIODO Imp.]],DC$9)</f>
        <v>0</v>
      </c>
      <c r="DD769" s="693">
        <f>SUMIFS(Imput[[Importe Neto]:[Importe Neto]],Imput[[C. Imp.]:[C. Imp.]],$D769,Imput[[PERIODO Imp.]:[PERIODO Imp.]],DD$9)</f>
        <v>0</v>
      </c>
      <c r="DE769" s="693">
        <f>SUMIFS(Imput[[Importe Neto]:[Importe Neto]],Imput[[C. Imp.]:[C. Imp.]],$D769,Imput[[PERIODO Imp.]:[PERIODO Imp.]],DE$9)</f>
        <v>0</v>
      </c>
      <c r="DF769" s="693">
        <f>SUMIFS(Imput[[Importe Neto]:[Importe Neto]],Imput[[C. Imp.]:[C. Imp.]],$D769,Imput[[PERIODO Imp.]:[PERIODO Imp.]],DF$9)</f>
        <v>0</v>
      </c>
      <c r="DG769" s="693">
        <f>SUMIFS(Imput[[Importe Neto]:[Importe Neto]],Imput[[C. Imp.]:[C. Imp.]],$D769,Imput[[PERIODO Imp.]:[PERIODO Imp.]],DG$9)</f>
        <v>0</v>
      </c>
      <c r="DH769" s="694">
        <f>SUMIFS(Imput[[Importe Neto]:[Importe Neto]],Imput[[C. Imp.]:[C. Imp.]],$D769,Imput[[PERIODO Imp.]:[PERIODO Imp.]],DH$9)</f>
        <v>0</v>
      </c>
    </row>
    <row r="770" spans="1:112" s="649" customFormat="1" hidden="1" outlineLevel="1" x14ac:dyDescent="0.3">
      <c r="A770" s="652" t="str">
        <f t="shared" si="273"/>
        <v/>
      </c>
      <c r="B770" s="652"/>
      <c r="C770" s="685"/>
      <c r="D770" s="686" t="s">
        <v>2754</v>
      </c>
      <c r="E770" s="686"/>
      <c r="F770" s="720"/>
      <c r="G770" s="688"/>
      <c r="H770" s="689"/>
      <c r="I770" s="851" t="str">
        <f t="shared" si="274"/>
        <v/>
      </c>
      <c r="J770" s="850" t="str">
        <f t="shared" si="275"/>
        <v/>
      </c>
      <c r="K770" s="667"/>
      <c r="L770" s="858"/>
      <c r="M770" s="859"/>
      <c r="N770" s="859"/>
      <c r="O770" s="859"/>
      <c r="P770" s="859"/>
      <c r="Q770" s="859"/>
      <c r="R770" s="859"/>
      <c r="S770" s="859"/>
      <c r="T770" s="859"/>
      <c r="U770" s="859"/>
      <c r="V770" s="859"/>
      <c r="W770" s="859"/>
      <c r="X770" s="859"/>
      <c r="Y770" s="859"/>
      <c r="Z770" s="860"/>
      <c r="AA770" s="860"/>
      <c r="AB770" s="860"/>
      <c r="AC770" s="860"/>
      <c r="AD770" s="860"/>
      <c r="AE770" s="860"/>
      <c r="AF770" s="860"/>
      <c r="AG770" s="860"/>
      <c r="AH770" s="860"/>
      <c r="AI770" s="860"/>
      <c r="AJ770" s="860"/>
      <c r="AK770" s="860"/>
      <c r="AL770" s="860"/>
      <c r="AM770" s="860"/>
      <c r="AN770" s="860"/>
      <c r="AO770" s="860"/>
      <c r="AP770" s="860"/>
      <c r="AQ770" s="860"/>
      <c r="AR770" s="860"/>
      <c r="AS770" s="860"/>
      <c r="AT770" s="860"/>
      <c r="AU770" s="860"/>
      <c r="AV770" s="860"/>
      <c r="AW770" s="860"/>
      <c r="AX770" s="860"/>
      <c r="AY770" s="860"/>
      <c r="AZ770" s="860"/>
      <c r="BA770" s="860"/>
      <c r="BB770" s="860"/>
      <c r="BC770" s="860"/>
      <c r="BD770" s="860"/>
      <c r="BE770" s="860"/>
      <c r="BF770" s="860"/>
      <c r="BG770" s="860"/>
      <c r="BH770" s="668"/>
      <c r="BI770" s="667"/>
      <c r="BJ770" s="690">
        <f t="shared" si="276"/>
        <v>0</v>
      </c>
      <c r="BK770" s="691">
        <f t="shared" si="277"/>
        <v>0</v>
      </c>
      <c r="BL770" s="654"/>
      <c r="BM770" s="692">
        <f>SUMIFS(Imput[[Importe Neto]:[Importe Neto]],Imput[[C. Imp.]:[C. Imp.]],$D770,Imput[[PERIODO Imp.]:[PERIODO Imp.]],BM$9)</f>
        <v>0</v>
      </c>
      <c r="BN770" s="693">
        <f>SUMIFS(Imput[[Importe Neto]:[Importe Neto]],Imput[[C. Imp.]:[C. Imp.]],$D770,Imput[[PERIODO Imp.]:[PERIODO Imp.]],BN$9)</f>
        <v>0</v>
      </c>
      <c r="BO770" s="693">
        <f>SUMIFS(Imput[[Importe Neto]:[Importe Neto]],Imput[[C. Imp.]:[C. Imp.]],$D770,Imput[[PERIODO Imp.]:[PERIODO Imp.]],BO$9)</f>
        <v>0</v>
      </c>
      <c r="BP770" s="693">
        <f>SUMIFS(Imput[[Importe Neto]:[Importe Neto]],Imput[[C. Imp.]:[C. Imp.]],$D770,Imput[[PERIODO Imp.]:[PERIODO Imp.]],BP$9)</f>
        <v>0</v>
      </c>
      <c r="BQ770" s="693">
        <f>SUMIFS(Imput[[Importe Neto]:[Importe Neto]],Imput[[C. Imp.]:[C. Imp.]],$D770,Imput[[PERIODO Imp.]:[PERIODO Imp.]],BQ$9)</f>
        <v>0</v>
      </c>
      <c r="BR770" s="693">
        <f>SUMIFS(Imput[[Importe Neto]:[Importe Neto]],Imput[[C. Imp.]:[C. Imp.]],$D770,Imput[[PERIODO Imp.]:[PERIODO Imp.]],BR$9)</f>
        <v>0</v>
      </c>
      <c r="BS770" s="693">
        <f>SUMIFS(Imput[[Importe Neto]:[Importe Neto]],Imput[[C. Imp.]:[C. Imp.]],$D770,Imput[[PERIODO Imp.]:[PERIODO Imp.]],BS$9)</f>
        <v>0</v>
      </c>
      <c r="BT770" s="693">
        <f>SUMIFS(Imput[[Importe Neto]:[Importe Neto]],Imput[[C. Imp.]:[C. Imp.]],$D770,Imput[[PERIODO Imp.]:[PERIODO Imp.]],BT$9)</f>
        <v>0</v>
      </c>
      <c r="BU770" s="693">
        <f>SUMIFS(Imput[[Importe Neto]:[Importe Neto]],Imput[[C. Imp.]:[C. Imp.]],$D770,Imput[[PERIODO Imp.]:[PERIODO Imp.]],BU$9)</f>
        <v>0</v>
      </c>
      <c r="BV770" s="693">
        <f>SUMIFS(Imput[[Importe Neto]:[Importe Neto]],Imput[[C. Imp.]:[C. Imp.]],$D770,Imput[[PERIODO Imp.]:[PERIODO Imp.]],BV$9)</f>
        <v>0</v>
      </c>
      <c r="BW770" s="693">
        <f>SUMIFS(Imput[[Importe Neto]:[Importe Neto]],Imput[[C. Imp.]:[C. Imp.]],$D770,Imput[[PERIODO Imp.]:[PERIODO Imp.]],BW$9)</f>
        <v>0</v>
      </c>
      <c r="BX770" s="693">
        <f>SUMIFS(Imput[[Importe Neto]:[Importe Neto]],Imput[[C. Imp.]:[C. Imp.]],$D770,Imput[[PERIODO Imp.]:[PERIODO Imp.]],BX$9)</f>
        <v>0</v>
      </c>
      <c r="BY770" s="693">
        <f>SUMIFS(Imput[[Importe Neto]:[Importe Neto]],Imput[[C. Imp.]:[C. Imp.]],$D770,Imput[[PERIODO Imp.]:[PERIODO Imp.]],BY$9)</f>
        <v>0</v>
      </c>
      <c r="BZ770" s="693">
        <f>SUMIFS(Imput[[Importe Neto]:[Importe Neto]],Imput[[C. Imp.]:[C. Imp.]],$D770,Imput[[PERIODO Imp.]:[PERIODO Imp.]],BZ$9)</f>
        <v>0</v>
      </c>
      <c r="CA770" s="693">
        <f>SUMIFS(Imput[[Importe Neto]:[Importe Neto]],Imput[[C. Imp.]:[C. Imp.]],$D770,Imput[[PERIODO Imp.]:[PERIODO Imp.]],CA$9)</f>
        <v>0</v>
      </c>
      <c r="CB770" s="693">
        <f>SUMIFS(Imput[[Importe Neto]:[Importe Neto]],Imput[[C. Imp.]:[C. Imp.]],$D770,Imput[[PERIODO Imp.]:[PERIODO Imp.]],CB$9)</f>
        <v>0</v>
      </c>
      <c r="CC770" s="693">
        <f>SUMIFS(Imput[[Importe Neto]:[Importe Neto]],Imput[[C. Imp.]:[C. Imp.]],$D770,Imput[[PERIODO Imp.]:[PERIODO Imp.]],CC$9)</f>
        <v>0</v>
      </c>
      <c r="CD770" s="693">
        <f>SUMIFS(Imput[[Importe Neto]:[Importe Neto]],Imput[[C. Imp.]:[C. Imp.]],$D770,Imput[[PERIODO Imp.]:[PERIODO Imp.]],CD$9)</f>
        <v>0</v>
      </c>
      <c r="CE770" s="693">
        <f>SUMIFS(Imput[[Importe Neto]:[Importe Neto]],Imput[[C. Imp.]:[C. Imp.]],$D770,Imput[[PERIODO Imp.]:[PERIODO Imp.]],CE$9)</f>
        <v>0</v>
      </c>
      <c r="CF770" s="693">
        <f>SUMIFS(Imput[[Importe Neto]:[Importe Neto]],Imput[[C. Imp.]:[C. Imp.]],$D770,Imput[[PERIODO Imp.]:[PERIODO Imp.]],CF$9)</f>
        <v>0</v>
      </c>
      <c r="CG770" s="693">
        <f>SUMIFS(Imput[[Importe Neto]:[Importe Neto]],Imput[[C. Imp.]:[C. Imp.]],$D770,Imput[[PERIODO Imp.]:[PERIODO Imp.]],CG$9)</f>
        <v>0</v>
      </c>
      <c r="CH770" s="693">
        <f>SUMIFS(Imput[[Importe Neto]:[Importe Neto]],Imput[[C. Imp.]:[C. Imp.]],$D770,Imput[[PERIODO Imp.]:[PERIODO Imp.]],CH$9)</f>
        <v>0</v>
      </c>
      <c r="CI770" s="693">
        <f>SUMIFS(Imput[[Importe Neto]:[Importe Neto]],Imput[[C. Imp.]:[C. Imp.]],$D770,Imput[[PERIODO Imp.]:[PERIODO Imp.]],CI$9)</f>
        <v>0</v>
      </c>
      <c r="CJ770" s="693">
        <f>SUMIFS(Imput[[Importe Neto]:[Importe Neto]],Imput[[C. Imp.]:[C. Imp.]],$D770,Imput[[PERIODO Imp.]:[PERIODO Imp.]],CJ$9)</f>
        <v>0</v>
      </c>
      <c r="CK770" s="693">
        <f>SUMIFS(Imput[[Importe Neto]:[Importe Neto]],Imput[[C. Imp.]:[C. Imp.]],$D770,Imput[[PERIODO Imp.]:[PERIODO Imp.]],CK$9)</f>
        <v>0</v>
      </c>
      <c r="CL770" s="693">
        <f>SUMIFS(Imput[[Importe Neto]:[Importe Neto]],Imput[[C. Imp.]:[C. Imp.]],$D770,Imput[[PERIODO Imp.]:[PERIODO Imp.]],CL$9)</f>
        <v>0</v>
      </c>
      <c r="CM770" s="693">
        <f>SUMIFS(Imput[[Importe Neto]:[Importe Neto]],Imput[[C. Imp.]:[C. Imp.]],$D770,Imput[[PERIODO Imp.]:[PERIODO Imp.]],CM$9)</f>
        <v>0</v>
      </c>
      <c r="CN770" s="693">
        <f>SUMIFS(Imput[[Importe Neto]:[Importe Neto]],Imput[[C. Imp.]:[C. Imp.]],$D770,Imput[[PERIODO Imp.]:[PERIODO Imp.]],CN$9)</f>
        <v>0</v>
      </c>
      <c r="CO770" s="693">
        <f>SUMIFS(Imput[[Importe Neto]:[Importe Neto]],Imput[[C. Imp.]:[C. Imp.]],$D770,Imput[[PERIODO Imp.]:[PERIODO Imp.]],CO$9)</f>
        <v>0</v>
      </c>
      <c r="CP770" s="693">
        <f>SUMIFS(Imput[[Importe Neto]:[Importe Neto]],Imput[[C. Imp.]:[C. Imp.]],$D770,Imput[[PERIODO Imp.]:[PERIODO Imp.]],CP$9)</f>
        <v>0</v>
      </c>
      <c r="CQ770" s="693">
        <f>SUMIFS(Imput[[Importe Neto]:[Importe Neto]],Imput[[C. Imp.]:[C. Imp.]],$D770,Imput[[PERIODO Imp.]:[PERIODO Imp.]],CQ$9)</f>
        <v>0</v>
      </c>
      <c r="CR770" s="693">
        <f>SUMIFS(Imput[[Importe Neto]:[Importe Neto]],Imput[[C. Imp.]:[C. Imp.]],$D770,Imput[[PERIODO Imp.]:[PERIODO Imp.]],CR$9)</f>
        <v>0</v>
      </c>
      <c r="CS770" s="693">
        <f>SUMIFS(Imput[[Importe Neto]:[Importe Neto]],Imput[[C. Imp.]:[C. Imp.]],$D770,Imput[[PERIODO Imp.]:[PERIODO Imp.]],CS$9)</f>
        <v>0</v>
      </c>
      <c r="CT770" s="693">
        <f>SUMIFS(Imput[[Importe Neto]:[Importe Neto]],Imput[[C. Imp.]:[C. Imp.]],$D770,Imput[[PERIODO Imp.]:[PERIODO Imp.]],CT$9)</f>
        <v>0</v>
      </c>
      <c r="CU770" s="693">
        <f>SUMIFS(Imput[[Importe Neto]:[Importe Neto]],Imput[[C. Imp.]:[C. Imp.]],$D770,Imput[[PERIODO Imp.]:[PERIODO Imp.]],CU$9)</f>
        <v>0</v>
      </c>
      <c r="CV770" s="693">
        <f>SUMIFS(Imput[[Importe Neto]:[Importe Neto]],Imput[[C. Imp.]:[C. Imp.]],$D770,Imput[[PERIODO Imp.]:[PERIODO Imp.]],CV$9)</f>
        <v>0</v>
      </c>
      <c r="CW770" s="693">
        <f>SUMIFS(Imput[[Importe Neto]:[Importe Neto]],Imput[[C. Imp.]:[C. Imp.]],$D770,Imput[[PERIODO Imp.]:[PERIODO Imp.]],CW$9)</f>
        <v>0</v>
      </c>
      <c r="CX770" s="693">
        <f>SUMIFS(Imput[[Importe Neto]:[Importe Neto]],Imput[[C. Imp.]:[C. Imp.]],$D770,Imput[[PERIODO Imp.]:[PERIODO Imp.]],CX$9)</f>
        <v>0</v>
      </c>
      <c r="CY770" s="693">
        <f>SUMIFS(Imput[[Importe Neto]:[Importe Neto]],Imput[[C. Imp.]:[C. Imp.]],$D770,Imput[[PERIODO Imp.]:[PERIODO Imp.]],CY$9)</f>
        <v>0</v>
      </c>
      <c r="CZ770" s="693">
        <f>SUMIFS(Imput[[Importe Neto]:[Importe Neto]],Imput[[C. Imp.]:[C. Imp.]],$D770,Imput[[PERIODO Imp.]:[PERIODO Imp.]],CZ$9)</f>
        <v>0</v>
      </c>
      <c r="DA770" s="693">
        <f>SUMIFS(Imput[[Importe Neto]:[Importe Neto]],Imput[[C. Imp.]:[C. Imp.]],$D770,Imput[[PERIODO Imp.]:[PERIODO Imp.]],DA$9)</f>
        <v>0</v>
      </c>
      <c r="DB770" s="693">
        <f>SUMIFS(Imput[[Importe Neto]:[Importe Neto]],Imput[[C. Imp.]:[C. Imp.]],$D770,Imput[[PERIODO Imp.]:[PERIODO Imp.]],DB$9)</f>
        <v>0</v>
      </c>
      <c r="DC770" s="693">
        <f>SUMIFS(Imput[[Importe Neto]:[Importe Neto]],Imput[[C. Imp.]:[C. Imp.]],$D770,Imput[[PERIODO Imp.]:[PERIODO Imp.]],DC$9)</f>
        <v>0</v>
      </c>
      <c r="DD770" s="693">
        <f>SUMIFS(Imput[[Importe Neto]:[Importe Neto]],Imput[[C. Imp.]:[C. Imp.]],$D770,Imput[[PERIODO Imp.]:[PERIODO Imp.]],DD$9)</f>
        <v>0</v>
      </c>
      <c r="DE770" s="693">
        <f>SUMIFS(Imput[[Importe Neto]:[Importe Neto]],Imput[[C. Imp.]:[C. Imp.]],$D770,Imput[[PERIODO Imp.]:[PERIODO Imp.]],DE$9)</f>
        <v>0</v>
      </c>
      <c r="DF770" s="693">
        <f>SUMIFS(Imput[[Importe Neto]:[Importe Neto]],Imput[[C. Imp.]:[C. Imp.]],$D770,Imput[[PERIODO Imp.]:[PERIODO Imp.]],DF$9)</f>
        <v>0</v>
      </c>
      <c r="DG770" s="693">
        <f>SUMIFS(Imput[[Importe Neto]:[Importe Neto]],Imput[[C. Imp.]:[C. Imp.]],$D770,Imput[[PERIODO Imp.]:[PERIODO Imp.]],DG$9)</f>
        <v>0</v>
      </c>
      <c r="DH770" s="694">
        <f>SUMIFS(Imput[[Importe Neto]:[Importe Neto]],Imput[[C. Imp.]:[C. Imp.]],$D770,Imput[[PERIODO Imp.]:[PERIODO Imp.]],DH$9)</f>
        <v>0</v>
      </c>
    </row>
    <row r="771" spans="1:112" s="649" customFormat="1" hidden="1" outlineLevel="1" x14ac:dyDescent="0.3">
      <c r="A771" s="652" t="str">
        <f t="shared" si="273"/>
        <v/>
      </c>
      <c r="B771" s="652"/>
      <c r="C771" s="685"/>
      <c r="D771" s="686" t="s">
        <v>2755</v>
      </c>
      <c r="E771" s="686"/>
      <c r="F771" s="720"/>
      <c r="G771" s="688"/>
      <c r="H771" s="689"/>
      <c r="I771" s="851" t="str">
        <f t="shared" si="274"/>
        <v/>
      </c>
      <c r="J771" s="850" t="str">
        <f t="shared" si="275"/>
        <v/>
      </c>
      <c r="K771" s="667"/>
      <c r="L771" s="858"/>
      <c r="M771" s="859"/>
      <c r="N771" s="859"/>
      <c r="O771" s="859"/>
      <c r="P771" s="859"/>
      <c r="Q771" s="859"/>
      <c r="R771" s="859"/>
      <c r="S771" s="859"/>
      <c r="T771" s="859"/>
      <c r="U771" s="859"/>
      <c r="V771" s="859"/>
      <c r="W771" s="859"/>
      <c r="X771" s="859"/>
      <c r="Y771" s="859"/>
      <c r="Z771" s="860"/>
      <c r="AA771" s="860"/>
      <c r="AB771" s="860"/>
      <c r="AC771" s="860"/>
      <c r="AD771" s="860"/>
      <c r="AE771" s="860"/>
      <c r="AF771" s="860"/>
      <c r="AG771" s="860"/>
      <c r="AH771" s="860"/>
      <c r="AI771" s="860"/>
      <c r="AJ771" s="860"/>
      <c r="AK771" s="860"/>
      <c r="AL771" s="860"/>
      <c r="AM771" s="860"/>
      <c r="AN771" s="860"/>
      <c r="AO771" s="860"/>
      <c r="AP771" s="860"/>
      <c r="AQ771" s="860"/>
      <c r="AR771" s="860"/>
      <c r="AS771" s="860"/>
      <c r="AT771" s="860"/>
      <c r="AU771" s="860"/>
      <c r="AV771" s="860"/>
      <c r="AW771" s="860"/>
      <c r="AX771" s="860"/>
      <c r="AY771" s="860"/>
      <c r="AZ771" s="860"/>
      <c r="BA771" s="860"/>
      <c r="BB771" s="860"/>
      <c r="BC771" s="860"/>
      <c r="BD771" s="860"/>
      <c r="BE771" s="860"/>
      <c r="BF771" s="860"/>
      <c r="BG771" s="860"/>
      <c r="BH771" s="668"/>
      <c r="BI771" s="667"/>
      <c r="BJ771" s="690">
        <f t="shared" si="276"/>
        <v>0</v>
      </c>
      <c r="BK771" s="691">
        <f t="shared" si="277"/>
        <v>0</v>
      </c>
      <c r="BL771" s="654"/>
      <c r="BM771" s="692">
        <f>SUMIFS(Imput[[Importe Neto]:[Importe Neto]],Imput[[C. Imp.]:[C. Imp.]],$D771,Imput[[PERIODO Imp.]:[PERIODO Imp.]],BM$9)</f>
        <v>0</v>
      </c>
      <c r="BN771" s="693">
        <f>SUMIFS(Imput[[Importe Neto]:[Importe Neto]],Imput[[C. Imp.]:[C. Imp.]],$D771,Imput[[PERIODO Imp.]:[PERIODO Imp.]],BN$9)</f>
        <v>0</v>
      </c>
      <c r="BO771" s="693">
        <f>SUMIFS(Imput[[Importe Neto]:[Importe Neto]],Imput[[C. Imp.]:[C. Imp.]],$D771,Imput[[PERIODO Imp.]:[PERIODO Imp.]],BO$9)</f>
        <v>0</v>
      </c>
      <c r="BP771" s="693">
        <f>SUMIFS(Imput[[Importe Neto]:[Importe Neto]],Imput[[C. Imp.]:[C. Imp.]],$D771,Imput[[PERIODO Imp.]:[PERIODO Imp.]],BP$9)</f>
        <v>0</v>
      </c>
      <c r="BQ771" s="693">
        <f>SUMIFS(Imput[[Importe Neto]:[Importe Neto]],Imput[[C. Imp.]:[C. Imp.]],$D771,Imput[[PERIODO Imp.]:[PERIODO Imp.]],BQ$9)</f>
        <v>0</v>
      </c>
      <c r="BR771" s="693">
        <f>SUMIFS(Imput[[Importe Neto]:[Importe Neto]],Imput[[C. Imp.]:[C. Imp.]],$D771,Imput[[PERIODO Imp.]:[PERIODO Imp.]],BR$9)</f>
        <v>0</v>
      </c>
      <c r="BS771" s="693">
        <f>SUMIFS(Imput[[Importe Neto]:[Importe Neto]],Imput[[C. Imp.]:[C. Imp.]],$D771,Imput[[PERIODO Imp.]:[PERIODO Imp.]],BS$9)</f>
        <v>0</v>
      </c>
      <c r="BT771" s="693">
        <f>SUMIFS(Imput[[Importe Neto]:[Importe Neto]],Imput[[C. Imp.]:[C. Imp.]],$D771,Imput[[PERIODO Imp.]:[PERIODO Imp.]],BT$9)</f>
        <v>0</v>
      </c>
      <c r="BU771" s="693">
        <f>SUMIFS(Imput[[Importe Neto]:[Importe Neto]],Imput[[C. Imp.]:[C. Imp.]],$D771,Imput[[PERIODO Imp.]:[PERIODO Imp.]],BU$9)</f>
        <v>0</v>
      </c>
      <c r="BV771" s="693">
        <f>SUMIFS(Imput[[Importe Neto]:[Importe Neto]],Imput[[C. Imp.]:[C. Imp.]],$D771,Imput[[PERIODO Imp.]:[PERIODO Imp.]],BV$9)</f>
        <v>0</v>
      </c>
      <c r="BW771" s="693">
        <f>SUMIFS(Imput[[Importe Neto]:[Importe Neto]],Imput[[C. Imp.]:[C. Imp.]],$D771,Imput[[PERIODO Imp.]:[PERIODO Imp.]],BW$9)</f>
        <v>0</v>
      </c>
      <c r="BX771" s="693">
        <f>SUMIFS(Imput[[Importe Neto]:[Importe Neto]],Imput[[C. Imp.]:[C. Imp.]],$D771,Imput[[PERIODO Imp.]:[PERIODO Imp.]],BX$9)</f>
        <v>0</v>
      </c>
      <c r="BY771" s="693">
        <f>SUMIFS(Imput[[Importe Neto]:[Importe Neto]],Imput[[C. Imp.]:[C. Imp.]],$D771,Imput[[PERIODO Imp.]:[PERIODO Imp.]],BY$9)</f>
        <v>0</v>
      </c>
      <c r="BZ771" s="693">
        <f>SUMIFS(Imput[[Importe Neto]:[Importe Neto]],Imput[[C. Imp.]:[C. Imp.]],$D771,Imput[[PERIODO Imp.]:[PERIODO Imp.]],BZ$9)</f>
        <v>0</v>
      </c>
      <c r="CA771" s="693">
        <f>SUMIFS(Imput[[Importe Neto]:[Importe Neto]],Imput[[C. Imp.]:[C. Imp.]],$D771,Imput[[PERIODO Imp.]:[PERIODO Imp.]],CA$9)</f>
        <v>0</v>
      </c>
      <c r="CB771" s="693">
        <f>SUMIFS(Imput[[Importe Neto]:[Importe Neto]],Imput[[C. Imp.]:[C. Imp.]],$D771,Imput[[PERIODO Imp.]:[PERIODO Imp.]],CB$9)</f>
        <v>0</v>
      </c>
      <c r="CC771" s="693">
        <f>SUMIFS(Imput[[Importe Neto]:[Importe Neto]],Imput[[C. Imp.]:[C. Imp.]],$D771,Imput[[PERIODO Imp.]:[PERIODO Imp.]],CC$9)</f>
        <v>0</v>
      </c>
      <c r="CD771" s="693">
        <f>SUMIFS(Imput[[Importe Neto]:[Importe Neto]],Imput[[C. Imp.]:[C. Imp.]],$D771,Imput[[PERIODO Imp.]:[PERIODO Imp.]],CD$9)</f>
        <v>0</v>
      </c>
      <c r="CE771" s="693">
        <f>SUMIFS(Imput[[Importe Neto]:[Importe Neto]],Imput[[C. Imp.]:[C. Imp.]],$D771,Imput[[PERIODO Imp.]:[PERIODO Imp.]],CE$9)</f>
        <v>0</v>
      </c>
      <c r="CF771" s="693">
        <f>SUMIFS(Imput[[Importe Neto]:[Importe Neto]],Imput[[C. Imp.]:[C. Imp.]],$D771,Imput[[PERIODO Imp.]:[PERIODO Imp.]],CF$9)</f>
        <v>0</v>
      </c>
      <c r="CG771" s="693">
        <f>SUMIFS(Imput[[Importe Neto]:[Importe Neto]],Imput[[C. Imp.]:[C. Imp.]],$D771,Imput[[PERIODO Imp.]:[PERIODO Imp.]],CG$9)</f>
        <v>0</v>
      </c>
      <c r="CH771" s="693">
        <f>SUMIFS(Imput[[Importe Neto]:[Importe Neto]],Imput[[C. Imp.]:[C. Imp.]],$D771,Imput[[PERIODO Imp.]:[PERIODO Imp.]],CH$9)</f>
        <v>0</v>
      </c>
      <c r="CI771" s="693">
        <f>SUMIFS(Imput[[Importe Neto]:[Importe Neto]],Imput[[C. Imp.]:[C. Imp.]],$D771,Imput[[PERIODO Imp.]:[PERIODO Imp.]],CI$9)</f>
        <v>0</v>
      </c>
      <c r="CJ771" s="693">
        <f>SUMIFS(Imput[[Importe Neto]:[Importe Neto]],Imput[[C. Imp.]:[C. Imp.]],$D771,Imput[[PERIODO Imp.]:[PERIODO Imp.]],CJ$9)</f>
        <v>0</v>
      </c>
      <c r="CK771" s="693">
        <f>SUMIFS(Imput[[Importe Neto]:[Importe Neto]],Imput[[C. Imp.]:[C. Imp.]],$D771,Imput[[PERIODO Imp.]:[PERIODO Imp.]],CK$9)</f>
        <v>0</v>
      </c>
      <c r="CL771" s="693">
        <f>SUMIFS(Imput[[Importe Neto]:[Importe Neto]],Imput[[C. Imp.]:[C. Imp.]],$D771,Imput[[PERIODO Imp.]:[PERIODO Imp.]],CL$9)</f>
        <v>0</v>
      </c>
      <c r="CM771" s="693">
        <f>SUMIFS(Imput[[Importe Neto]:[Importe Neto]],Imput[[C. Imp.]:[C. Imp.]],$D771,Imput[[PERIODO Imp.]:[PERIODO Imp.]],CM$9)</f>
        <v>0</v>
      </c>
      <c r="CN771" s="693">
        <f>SUMIFS(Imput[[Importe Neto]:[Importe Neto]],Imput[[C. Imp.]:[C. Imp.]],$D771,Imput[[PERIODO Imp.]:[PERIODO Imp.]],CN$9)</f>
        <v>0</v>
      </c>
      <c r="CO771" s="693">
        <f>SUMIFS(Imput[[Importe Neto]:[Importe Neto]],Imput[[C. Imp.]:[C. Imp.]],$D771,Imput[[PERIODO Imp.]:[PERIODO Imp.]],CO$9)</f>
        <v>0</v>
      </c>
      <c r="CP771" s="693">
        <f>SUMIFS(Imput[[Importe Neto]:[Importe Neto]],Imput[[C. Imp.]:[C. Imp.]],$D771,Imput[[PERIODO Imp.]:[PERIODO Imp.]],CP$9)</f>
        <v>0</v>
      </c>
      <c r="CQ771" s="693">
        <f>SUMIFS(Imput[[Importe Neto]:[Importe Neto]],Imput[[C. Imp.]:[C. Imp.]],$D771,Imput[[PERIODO Imp.]:[PERIODO Imp.]],CQ$9)</f>
        <v>0</v>
      </c>
      <c r="CR771" s="693">
        <f>SUMIFS(Imput[[Importe Neto]:[Importe Neto]],Imput[[C. Imp.]:[C. Imp.]],$D771,Imput[[PERIODO Imp.]:[PERIODO Imp.]],CR$9)</f>
        <v>0</v>
      </c>
      <c r="CS771" s="693">
        <f>SUMIFS(Imput[[Importe Neto]:[Importe Neto]],Imput[[C. Imp.]:[C. Imp.]],$D771,Imput[[PERIODO Imp.]:[PERIODO Imp.]],CS$9)</f>
        <v>0</v>
      </c>
      <c r="CT771" s="693">
        <f>SUMIFS(Imput[[Importe Neto]:[Importe Neto]],Imput[[C. Imp.]:[C. Imp.]],$D771,Imput[[PERIODO Imp.]:[PERIODO Imp.]],CT$9)</f>
        <v>0</v>
      </c>
      <c r="CU771" s="693">
        <f>SUMIFS(Imput[[Importe Neto]:[Importe Neto]],Imput[[C. Imp.]:[C. Imp.]],$D771,Imput[[PERIODO Imp.]:[PERIODO Imp.]],CU$9)</f>
        <v>0</v>
      </c>
      <c r="CV771" s="693">
        <f>SUMIFS(Imput[[Importe Neto]:[Importe Neto]],Imput[[C. Imp.]:[C. Imp.]],$D771,Imput[[PERIODO Imp.]:[PERIODO Imp.]],CV$9)</f>
        <v>0</v>
      </c>
      <c r="CW771" s="693">
        <f>SUMIFS(Imput[[Importe Neto]:[Importe Neto]],Imput[[C. Imp.]:[C. Imp.]],$D771,Imput[[PERIODO Imp.]:[PERIODO Imp.]],CW$9)</f>
        <v>0</v>
      </c>
      <c r="CX771" s="693">
        <f>SUMIFS(Imput[[Importe Neto]:[Importe Neto]],Imput[[C. Imp.]:[C. Imp.]],$D771,Imput[[PERIODO Imp.]:[PERIODO Imp.]],CX$9)</f>
        <v>0</v>
      </c>
      <c r="CY771" s="693">
        <f>SUMIFS(Imput[[Importe Neto]:[Importe Neto]],Imput[[C. Imp.]:[C. Imp.]],$D771,Imput[[PERIODO Imp.]:[PERIODO Imp.]],CY$9)</f>
        <v>0</v>
      </c>
      <c r="CZ771" s="693">
        <f>SUMIFS(Imput[[Importe Neto]:[Importe Neto]],Imput[[C. Imp.]:[C. Imp.]],$D771,Imput[[PERIODO Imp.]:[PERIODO Imp.]],CZ$9)</f>
        <v>0</v>
      </c>
      <c r="DA771" s="693">
        <f>SUMIFS(Imput[[Importe Neto]:[Importe Neto]],Imput[[C. Imp.]:[C. Imp.]],$D771,Imput[[PERIODO Imp.]:[PERIODO Imp.]],DA$9)</f>
        <v>0</v>
      </c>
      <c r="DB771" s="693">
        <f>SUMIFS(Imput[[Importe Neto]:[Importe Neto]],Imput[[C. Imp.]:[C. Imp.]],$D771,Imput[[PERIODO Imp.]:[PERIODO Imp.]],DB$9)</f>
        <v>0</v>
      </c>
      <c r="DC771" s="693">
        <f>SUMIFS(Imput[[Importe Neto]:[Importe Neto]],Imput[[C. Imp.]:[C. Imp.]],$D771,Imput[[PERIODO Imp.]:[PERIODO Imp.]],DC$9)</f>
        <v>0</v>
      </c>
      <c r="DD771" s="693">
        <f>SUMIFS(Imput[[Importe Neto]:[Importe Neto]],Imput[[C. Imp.]:[C. Imp.]],$D771,Imput[[PERIODO Imp.]:[PERIODO Imp.]],DD$9)</f>
        <v>0</v>
      </c>
      <c r="DE771" s="693">
        <f>SUMIFS(Imput[[Importe Neto]:[Importe Neto]],Imput[[C. Imp.]:[C. Imp.]],$D771,Imput[[PERIODO Imp.]:[PERIODO Imp.]],DE$9)</f>
        <v>0</v>
      </c>
      <c r="DF771" s="693">
        <f>SUMIFS(Imput[[Importe Neto]:[Importe Neto]],Imput[[C. Imp.]:[C. Imp.]],$D771,Imput[[PERIODO Imp.]:[PERIODO Imp.]],DF$9)</f>
        <v>0</v>
      </c>
      <c r="DG771" s="693">
        <f>SUMIFS(Imput[[Importe Neto]:[Importe Neto]],Imput[[C. Imp.]:[C. Imp.]],$D771,Imput[[PERIODO Imp.]:[PERIODO Imp.]],DG$9)</f>
        <v>0</v>
      </c>
      <c r="DH771" s="694">
        <f>SUMIFS(Imput[[Importe Neto]:[Importe Neto]],Imput[[C. Imp.]:[C. Imp.]],$D771,Imput[[PERIODO Imp.]:[PERIODO Imp.]],DH$9)</f>
        <v>0</v>
      </c>
    </row>
    <row r="772" spans="1:112" s="649" customFormat="1" hidden="1" outlineLevel="1" x14ac:dyDescent="0.3">
      <c r="A772" s="652" t="str">
        <f t="shared" si="273"/>
        <v/>
      </c>
      <c r="B772" s="652"/>
      <c r="C772" s="685"/>
      <c r="D772" s="686" t="s">
        <v>2756</v>
      </c>
      <c r="E772" s="686"/>
      <c r="F772" s="720"/>
      <c r="G772" s="688"/>
      <c r="H772" s="689"/>
      <c r="I772" s="851" t="str">
        <f t="shared" si="274"/>
        <v/>
      </c>
      <c r="J772" s="850" t="str">
        <f t="shared" si="275"/>
        <v/>
      </c>
      <c r="K772" s="667"/>
      <c r="L772" s="858"/>
      <c r="M772" s="859"/>
      <c r="N772" s="859"/>
      <c r="O772" s="859"/>
      <c r="P772" s="859"/>
      <c r="Q772" s="859"/>
      <c r="R772" s="859"/>
      <c r="S772" s="859"/>
      <c r="T772" s="859"/>
      <c r="U772" s="859"/>
      <c r="V772" s="859"/>
      <c r="W772" s="859"/>
      <c r="X772" s="859"/>
      <c r="Y772" s="859"/>
      <c r="Z772" s="860"/>
      <c r="AA772" s="860"/>
      <c r="AB772" s="860"/>
      <c r="AC772" s="860"/>
      <c r="AD772" s="860"/>
      <c r="AE772" s="860"/>
      <c r="AF772" s="860"/>
      <c r="AG772" s="860"/>
      <c r="AH772" s="860"/>
      <c r="AI772" s="860"/>
      <c r="AJ772" s="860"/>
      <c r="AK772" s="860"/>
      <c r="AL772" s="860"/>
      <c r="AM772" s="860"/>
      <c r="AN772" s="860"/>
      <c r="AO772" s="860"/>
      <c r="AP772" s="860"/>
      <c r="AQ772" s="860"/>
      <c r="AR772" s="860"/>
      <c r="AS772" s="860"/>
      <c r="AT772" s="860"/>
      <c r="AU772" s="860"/>
      <c r="AV772" s="860"/>
      <c r="AW772" s="860"/>
      <c r="AX772" s="860"/>
      <c r="AY772" s="860"/>
      <c r="AZ772" s="860"/>
      <c r="BA772" s="860"/>
      <c r="BB772" s="860"/>
      <c r="BC772" s="860"/>
      <c r="BD772" s="860"/>
      <c r="BE772" s="860"/>
      <c r="BF772" s="860"/>
      <c r="BG772" s="860"/>
      <c r="BH772" s="668"/>
      <c r="BI772" s="667"/>
      <c r="BJ772" s="690">
        <f t="shared" si="276"/>
        <v>0</v>
      </c>
      <c r="BK772" s="691">
        <f t="shared" si="277"/>
        <v>0</v>
      </c>
      <c r="BL772" s="654"/>
      <c r="BM772" s="692">
        <f>SUMIFS(Imput[[Importe Neto]:[Importe Neto]],Imput[[C. Imp.]:[C. Imp.]],$D772,Imput[[PERIODO Imp.]:[PERIODO Imp.]],BM$9)</f>
        <v>0</v>
      </c>
      <c r="BN772" s="693">
        <f>SUMIFS(Imput[[Importe Neto]:[Importe Neto]],Imput[[C. Imp.]:[C. Imp.]],$D772,Imput[[PERIODO Imp.]:[PERIODO Imp.]],BN$9)</f>
        <v>0</v>
      </c>
      <c r="BO772" s="693">
        <f>SUMIFS(Imput[[Importe Neto]:[Importe Neto]],Imput[[C. Imp.]:[C. Imp.]],$D772,Imput[[PERIODO Imp.]:[PERIODO Imp.]],BO$9)</f>
        <v>0</v>
      </c>
      <c r="BP772" s="693">
        <f>SUMIFS(Imput[[Importe Neto]:[Importe Neto]],Imput[[C. Imp.]:[C. Imp.]],$D772,Imput[[PERIODO Imp.]:[PERIODO Imp.]],BP$9)</f>
        <v>0</v>
      </c>
      <c r="BQ772" s="693">
        <f>SUMIFS(Imput[[Importe Neto]:[Importe Neto]],Imput[[C. Imp.]:[C. Imp.]],$D772,Imput[[PERIODO Imp.]:[PERIODO Imp.]],BQ$9)</f>
        <v>0</v>
      </c>
      <c r="BR772" s="693">
        <f>SUMIFS(Imput[[Importe Neto]:[Importe Neto]],Imput[[C. Imp.]:[C. Imp.]],$D772,Imput[[PERIODO Imp.]:[PERIODO Imp.]],BR$9)</f>
        <v>0</v>
      </c>
      <c r="BS772" s="693">
        <f>SUMIFS(Imput[[Importe Neto]:[Importe Neto]],Imput[[C. Imp.]:[C. Imp.]],$D772,Imput[[PERIODO Imp.]:[PERIODO Imp.]],BS$9)</f>
        <v>0</v>
      </c>
      <c r="BT772" s="693">
        <f>SUMIFS(Imput[[Importe Neto]:[Importe Neto]],Imput[[C. Imp.]:[C. Imp.]],$D772,Imput[[PERIODO Imp.]:[PERIODO Imp.]],BT$9)</f>
        <v>0</v>
      </c>
      <c r="BU772" s="693">
        <f>SUMIFS(Imput[[Importe Neto]:[Importe Neto]],Imput[[C. Imp.]:[C. Imp.]],$D772,Imput[[PERIODO Imp.]:[PERIODO Imp.]],BU$9)</f>
        <v>0</v>
      </c>
      <c r="BV772" s="693">
        <f>SUMIFS(Imput[[Importe Neto]:[Importe Neto]],Imput[[C. Imp.]:[C. Imp.]],$D772,Imput[[PERIODO Imp.]:[PERIODO Imp.]],BV$9)</f>
        <v>0</v>
      </c>
      <c r="BW772" s="693">
        <f>SUMIFS(Imput[[Importe Neto]:[Importe Neto]],Imput[[C. Imp.]:[C. Imp.]],$D772,Imput[[PERIODO Imp.]:[PERIODO Imp.]],BW$9)</f>
        <v>0</v>
      </c>
      <c r="BX772" s="693">
        <f>SUMIFS(Imput[[Importe Neto]:[Importe Neto]],Imput[[C. Imp.]:[C. Imp.]],$D772,Imput[[PERIODO Imp.]:[PERIODO Imp.]],BX$9)</f>
        <v>0</v>
      </c>
      <c r="BY772" s="693">
        <f>SUMIFS(Imput[[Importe Neto]:[Importe Neto]],Imput[[C. Imp.]:[C. Imp.]],$D772,Imput[[PERIODO Imp.]:[PERIODO Imp.]],BY$9)</f>
        <v>0</v>
      </c>
      <c r="BZ772" s="693">
        <f>SUMIFS(Imput[[Importe Neto]:[Importe Neto]],Imput[[C. Imp.]:[C. Imp.]],$D772,Imput[[PERIODO Imp.]:[PERIODO Imp.]],BZ$9)</f>
        <v>0</v>
      </c>
      <c r="CA772" s="693">
        <f>SUMIFS(Imput[[Importe Neto]:[Importe Neto]],Imput[[C. Imp.]:[C. Imp.]],$D772,Imput[[PERIODO Imp.]:[PERIODO Imp.]],CA$9)</f>
        <v>0</v>
      </c>
      <c r="CB772" s="693">
        <f>SUMIFS(Imput[[Importe Neto]:[Importe Neto]],Imput[[C. Imp.]:[C. Imp.]],$D772,Imput[[PERIODO Imp.]:[PERIODO Imp.]],CB$9)</f>
        <v>0</v>
      </c>
      <c r="CC772" s="693">
        <f>SUMIFS(Imput[[Importe Neto]:[Importe Neto]],Imput[[C. Imp.]:[C. Imp.]],$D772,Imput[[PERIODO Imp.]:[PERIODO Imp.]],CC$9)</f>
        <v>0</v>
      </c>
      <c r="CD772" s="693">
        <f>SUMIFS(Imput[[Importe Neto]:[Importe Neto]],Imput[[C. Imp.]:[C. Imp.]],$D772,Imput[[PERIODO Imp.]:[PERIODO Imp.]],CD$9)</f>
        <v>0</v>
      </c>
      <c r="CE772" s="693">
        <f>SUMIFS(Imput[[Importe Neto]:[Importe Neto]],Imput[[C. Imp.]:[C. Imp.]],$D772,Imput[[PERIODO Imp.]:[PERIODO Imp.]],CE$9)</f>
        <v>0</v>
      </c>
      <c r="CF772" s="693">
        <f>SUMIFS(Imput[[Importe Neto]:[Importe Neto]],Imput[[C. Imp.]:[C. Imp.]],$D772,Imput[[PERIODO Imp.]:[PERIODO Imp.]],CF$9)</f>
        <v>0</v>
      </c>
      <c r="CG772" s="693">
        <f>SUMIFS(Imput[[Importe Neto]:[Importe Neto]],Imput[[C. Imp.]:[C. Imp.]],$D772,Imput[[PERIODO Imp.]:[PERIODO Imp.]],CG$9)</f>
        <v>0</v>
      </c>
      <c r="CH772" s="693">
        <f>SUMIFS(Imput[[Importe Neto]:[Importe Neto]],Imput[[C. Imp.]:[C. Imp.]],$D772,Imput[[PERIODO Imp.]:[PERIODO Imp.]],CH$9)</f>
        <v>0</v>
      </c>
      <c r="CI772" s="693">
        <f>SUMIFS(Imput[[Importe Neto]:[Importe Neto]],Imput[[C. Imp.]:[C. Imp.]],$D772,Imput[[PERIODO Imp.]:[PERIODO Imp.]],CI$9)</f>
        <v>0</v>
      </c>
      <c r="CJ772" s="693">
        <f>SUMIFS(Imput[[Importe Neto]:[Importe Neto]],Imput[[C. Imp.]:[C. Imp.]],$D772,Imput[[PERIODO Imp.]:[PERIODO Imp.]],CJ$9)</f>
        <v>0</v>
      </c>
      <c r="CK772" s="693">
        <f>SUMIFS(Imput[[Importe Neto]:[Importe Neto]],Imput[[C. Imp.]:[C. Imp.]],$D772,Imput[[PERIODO Imp.]:[PERIODO Imp.]],CK$9)</f>
        <v>0</v>
      </c>
      <c r="CL772" s="693">
        <f>SUMIFS(Imput[[Importe Neto]:[Importe Neto]],Imput[[C. Imp.]:[C. Imp.]],$D772,Imput[[PERIODO Imp.]:[PERIODO Imp.]],CL$9)</f>
        <v>0</v>
      </c>
      <c r="CM772" s="693">
        <f>SUMIFS(Imput[[Importe Neto]:[Importe Neto]],Imput[[C. Imp.]:[C. Imp.]],$D772,Imput[[PERIODO Imp.]:[PERIODO Imp.]],CM$9)</f>
        <v>0</v>
      </c>
      <c r="CN772" s="693">
        <f>SUMIFS(Imput[[Importe Neto]:[Importe Neto]],Imput[[C. Imp.]:[C. Imp.]],$D772,Imput[[PERIODO Imp.]:[PERIODO Imp.]],CN$9)</f>
        <v>0</v>
      </c>
      <c r="CO772" s="693">
        <f>SUMIFS(Imput[[Importe Neto]:[Importe Neto]],Imput[[C. Imp.]:[C. Imp.]],$D772,Imput[[PERIODO Imp.]:[PERIODO Imp.]],CO$9)</f>
        <v>0</v>
      </c>
      <c r="CP772" s="693">
        <f>SUMIFS(Imput[[Importe Neto]:[Importe Neto]],Imput[[C. Imp.]:[C. Imp.]],$D772,Imput[[PERIODO Imp.]:[PERIODO Imp.]],CP$9)</f>
        <v>0</v>
      </c>
      <c r="CQ772" s="693">
        <f>SUMIFS(Imput[[Importe Neto]:[Importe Neto]],Imput[[C. Imp.]:[C. Imp.]],$D772,Imput[[PERIODO Imp.]:[PERIODO Imp.]],CQ$9)</f>
        <v>0</v>
      </c>
      <c r="CR772" s="693">
        <f>SUMIFS(Imput[[Importe Neto]:[Importe Neto]],Imput[[C. Imp.]:[C. Imp.]],$D772,Imput[[PERIODO Imp.]:[PERIODO Imp.]],CR$9)</f>
        <v>0</v>
      </c>
      <c r="CS772" s="693">
        <f>SUMIFS(Imput[[Importe Neto]:[Importe Neto]],Imput[[C. Imp.]:[C. Imp.]],$D772,Imput[[PERIODO Imp.]:[PERIODO Imp.]],CS$9)</f>
        <v>0</v>
      </c>
      <c r="CT772" s="693">
        <f>SUMIFS(Imput[[Importe Neto]:[Importe Neto]],Imput[[C. Imp.]:[C. Imp.]],$D772,Imput[[PERIODO Imp.]:[PERIODO Imp.]],CT$9)</f>
        <v>0</v>
      </c>
      <c r="CU772" s="693">
        <f>SUMIFS(Imput[[Importe Neto]:[Importe Neto]],Imput[[C. Imp.]:[C. Imp.]],$D772,Imput[[PERIODO Imp.]:[PERIODO Imp.]],CU$9)</f>
        <v>0</v>
      </c>
      <c r="CV772" s="693">
        <f>SUMIFS(Imput[[Importe Neto]:[Importe Neto]],Imput[[C. Imp.]:[C. Imp.]],$D772,Imput[[PERIODO Imp.]:[PERIODO Imp.]],CV$9)</f>
        <v>0</v>
      </c>
      <c r="CW772" s="693">
        <f>SUMIFS(Imput[[Importe Neto]:[Importe Neto]],Imput[[C. Imp.]:[C. Imp.]],$D772,Imput[[PERIODO Imp.]:[PERIODO Imp.]],CW$9)</f>
        <v>0</v>
      </c>
      <c r="CX772" s="693">
        <f>SUMIFS(Imput[[Importe Neto]:[Importe Neto]],Imput[[C. Imp.]:[C. Imp.]],$D772,Imput[[PERIODO Imp.]:[PERIODO Imp.]],CX$9)</f>
        <v>0</v>
      </c>
      <c r="CY772" s="693">
        <f>SUMIFS(Imput[[Importe Neto]:[Importe Neto]],Imput[[C. Imp.]:[C. Imp.]],$D772,Imput[[PERIODO Imp.]:[PERIODO Imp.]],CY$9)</f>
        <v>0</v>
      </c>
      <c r="CZ772" s="693">
        <f>SUMIFS(Imput[[Importe Neto]:[Importe Neto]],Imput[[C. Imp.]:[C. Imp.]],$D772,Imput[[PERIODO Imp.]:[PERIODO Imp.]],CZ$9)</f>
        <v>0</v>
      </c>
      <c r="DA772" s="693">
        <f>SUMIFS(Imput[[Importe Neto]:[Importe Neto]],Imput[[C. Imp.]:[C. Imp.]],$D772,Imput[[PERIODO Imp.]:[PERIODO Imp.]],DA$9)</f>
        <v>0</v>
      </c>
      <c r="DB772" s="693">
        <f>SUMIFS(Imput[[Importe Neto]:[Importe Neto]],Imput[[C. Imp.]:[C. Imp.]],$D772,Imput[[PERIODO Imp.]:[PERIODO Imp.]],DB$9)</f>
        <v>0</v>
      </c>
      <c r="DC772" s="693">
        <f>SUMIFS(Imput[[Importe Neto]:[Importe Neto]],Imput[[C. Imp.]:[C. Imp.]],$D772,Imput[[PERIODO Imp.]:[PERIODO Imp.]],DC$9)</f>
        <v>0</v>
      </c>
      <c r="DD772" s="693">
        <f>SUMIFS(Imput[[Importe Neto]:[Importe Neto]],Imput[[C. Imp.]:[C. Imp.]],$D772,Imput[[PERIODO Imp.]:[PERIODO Imp.]],DD$9)</f>
        <v>0</v>
      </c>
      <c r="DE772" s="693">
        <f>SUMIFS(Imput[[Importe Neto]:[Importe Neto]],Imput[[C. Imp.]:[C. Imp.]],$D772,Imput[[PERIODO Imp.]:[PERIODO Imp.]],DE$9)</f>
        <v>0</v>
      </c>
      <c r="DF772" s="693">
        <f>SUMIFS(Imput[[Importe Neto]:[Importe Neto]],Imput[[C. Imp.]:[C. Imp.]],$D772,Imput[[PERIODO Imp.]:[PERIODO Imp.]],DF$9)</f>
        <v>0</v>
      </c>
      <c r="DG772" s="693">
        <f>SUMIFS(Imput[[Importe Neto]:[Importe Neto]],Imput[[C. Imp.]:[C. Imp.]],$D772,Imput[[PERIODO Imp.]:[PERIODO Imp.]],DG$9)</f>
        <v>0</v>
      </c>
      <c r="DH772" s="694">
        <f>SUMIFS(Imput[[Importe Neto]:[Importe Neto]],Imput[[C. Imp.]:[C. Imp.]],$D772,Imput[[PERIODO Imp.]:[PERIODO Imp.]],DH$9)</f>
        <v>0</v>
      </c>
    </row>
    <row r="773" spans="1:112" s="649" customFormat="1" hidden="1" outlineLevel="1" x14ac:dyDescent="0.3">
      <c r="A773" s="652" t="str">
        <f t="shared" si="273"/>
        <v/>
      </c>
      <c r="B773" s="652"/>
      <c r="C773" s="685"/>
      <c r="D773" s="686" t="s">
        <v>2757</v>
      </c>
      <c r="E773" s="686"/>
      <c r="F773" s="720"/>
      <c r="G773" s="688"/>
      <c r="H773" s="689"/>
      <c r="I773" s="851" t="str">
        <f t="shared" si="274"/>
        <v/>
      </c>
      <c r="J773" s="850" t="str">
        <f t="shared" si="275"/>
        <v/>
      </c>
      <c r="K773" s="667"/>
      <c r="L773" s="858"/>
      <c r="M773" s="859"/>
      <c r="N773" s="859"/>
      <c r="O773" s="859"/>
      <c r="P773" s="859"/>
      <c r="Q773" s="859"/>
      <c r="R773" s="859"/>
      <c r="S773" s="859"/>
      <c r="T773" s="859"/>
      <c r="U773" s="859"/>
      <c r="V773" s="859"/>
      <c r="W773" s="859"/>
      <c r="X773" s="859"/>
      <c r="Y773" s="859"/>
      <c r="Z773" s="860"/>
      <c r="AA773" s="860"/>
      <c r="AB773" s="860"/>
      <c r="AC773" s="860"/>
      <c r="AD773" s="860"/>
      <c r="AE773" s="860"/>
      <c r="AF773" s="860"/>
      <c r="AG773" s="860"/>
      <c r="AH773" s="860"/>
      <c r="AI773" s="860"/>
      <c r="AJ773" s="860"/>
      <c r="AK773" s="860"/>
      <c r="AL773" s="860"/>
      <c r="AM773" s="860"/>
      <c r="AN773" s="860"/>
      <c r="AO773" s="860"/>
      <c r="AP773" s="860"/>
      <c r="AQ773" s="860"/>
      <c r="AR773" s="860"/>
      <c r="AS773" s="860"/>
      <c r="AT773" s="860"/>
      <c r="AU773" s="860"/>
      <c r="AV773" s="860"/>
      <c r="AW773" s="860"/>
      <c r="AX773" s="860"/>
      <c r="AY773" s="860"/>
      <c r="AZ773" s="860"/>
      <c r="BA773" s="860"/>
      <c r="BB773" s="860"/>
      <c r="BC773" s="860"/>
      <c r="BD773" s="860"/>
      <c r="BE773" s="860"/>
      <c r="BF773" s="860"/>
      <c r="BG773" s="860"/>
      <c r="BH773" s="668"/>
      <c r="BI773" s="667"/>
      <c r="BJ773" s="690">
        <f t="shared" si="276"/>
        <v>0</v>
      </c>
      <c r="BK773" s="691">
        <f t="shared" si="277"/>
        <v>0</v>
      </c>
      <c r="BL773" s="654"/>
      <c r="BM773" s="692">
        <f>SUMIFS(Imput[[Importe Neto]:[Importe Neto]],Imput[[C. Imp.]:[C. Imp.]],$D773,Imput[[PERIODO Imp.]:[PERIODO Imp.]],BM$9)</f>
        <v>0</v>
      </c>
      <c r="BN773" s="693">
        <f>SUMIFS(Imput[[Importe Neto]:[Importe Neto]],Imput[[C. Imp.]:[C. Imp.]],$D773,Imput[[PERIODO Imp.]:[PERIODO Imp.]],BN$9)</f>
        <v>0</v>
      </c>
      <c r="BO773" s="693">
        <f>SUMIFS(Imput[[Importe Neto]:[Importe Neto]],Imput[[C. Imp.]:[C. Imp.]],$D773,Imput[[PERIODO Imp.]:[PERIODO Imp.]],BO$9)</f>
        <v>0</v>
      </c>
      <c r="BP773" s="693">
        <f>SUMIFS(Imput[[Importe Neto]:[Importe Neto]],Imput[[C. Imp.]:[C. Imp.]],$D773,Imput[[PERIODO Imp.]:[PERIODO Imp.]],BP$9)</f>
        <v>0</v>
      </c>
      <c r="BQ773" s="693">
        <f>SUMIFS(Imput[[Importe Neto]:[Importe Neto]],Imput[[C. Imp.]:[C. Imp.]],$D773,Imput[[PERIODO Imp.]:[PERIODO Imp.]],BQ$9)</f>
        <v>0</v>
      </c>
      <c r="BR773" s="693">
        <f>SUMIFS(Imput[[Importe Neto]:[Importe Neto]],Imput[[C. Imp.]:[C. Imp.]],$D773,Imput[[PERIODO Imp.]:[PERIODO Imp.]],BR$9)</f>
        <v>0</v>
      </c>
      <c r="BS773" s="693">
        <f>SUMIFS(Imput[[Importe Neto]:[Importe Neto]],Imput[[C. Imp.]:[C. Imp.]],$D773,Imput[[PERIODO Imp.]:[PERIODO Imp.]],BS$9)</f>
        <v>0</v>
      </c>
      <c r="BT773" s="693">
        <f>SUMIFS(Imput[[Importe Neto]:[Importe Neto]],Imput[[C. Imp.]:[C. Imp.]],$D773,Imput[[PERIODO Imp.]:[PERIODO Imp.]],BT$9)</f>
        <v>0</v>
      </c>
      <c r="BU773" s="693">
        <f>SUMIFS(Imput[[Importe Neto]:[Importe Neto]],Imput[[C. Imp.]:[C. Imp.]],$D773,Imput[[PERIODO Imp.]:[PERIODO Imp.]],BU$9)</f>
        <v>0</v>
      </c>
      <c r="BV773" s="693">
        <f>SUMIFS(Imput[[Importe Neto]:[Importe Neto]],Imput[[C. Imp.]:[C. Imp.]],$D773,Imput[[PERIODO Imp.]:[PERIODO Imp.]],BV$9)</f>
        <v>0</v>
      </c>
      <c r="BW773" s="693">
        <f>SUMIFS(Imput[[Importe Neto]:[Importe Neto]],Imput[[C. Imp.]:[C. Imp.]],$D773,Imput[[PERIODO Imp.]:[PERIODO Imp.]],BW$9)</f>
        <v>0</v>
      </c>
      <c r="BX773" s="693">
        <f>SUMIFS(Imput[[Importe Neto]:[Importe Neto]],Imput[[C. Imp.]:[C. Imp.]],$D773,Imput[[PERIODO Imp.]:[PERIODO Imp.]],BX$9)</f>
        <v>0</v>
      </c>
      <c r="BY773" s="693">
        <f>SUMIFS(Imput[[Importe Neto]:[Importe Neto]],Imput[[C. Imp.]:[C. Imp.]],$D773,Imput[[PERIODO Imp.]:[PERIODO Imp.]],BY$9)</f>
        <v>0</v>
      </c>
      <c r="BZ773" s="693">
        <f>SUMIFS(Imput[[Importe Neto]:[Importe Neto]],Imput[[C. Imp.]:[C. Imp.]],$D773,Imput[[PERIODO Imp.]:[PERIODO Imp.]],BZ$9)</f>
        <v>0</v>
      </c>
      <c r="CA773" s="693">
        <f>SUMIFS(Imput[[Importe Neto]:[Importe Neto]],Imput[[C. Imp.]:[C. Imp.]],$D773,Imput[[PERIODO Imp.]:[PERIODO Imp.]],CA$9)</f>
        <v>0</v>
      </c>
      <c r="CB773" s="693">
        <f>SUMIFS(Imput[[Importe Neto]:[Importe Neto]],Imput[[C. Imp.]:[C. Imp.]],$D773,Imput[[PERIODO Imp.]:[PERIODO Imp.]],CB$9)</f>
        <v>0</v>
      </c>
      <c r="CC773" s="693">
        <f>SUMIFS(Imput[[Importe Neto]:[Importe Neto]],Imput[[C. Imp.]:[C. Imp.]],$D773,Imput[[PERIODO Imp.]:[PERIODO Imp.]],CC$9)</f>
        <v>0</v>
      </c>
      <c r="CD773" s="693">
        <f>SUMIFS(Imput[[Importe Neto]:[Importe Neto]],Imput[[C. Imp.]:[C. Imp.]],$D773,Imput[[PERIODO Imp.]:[PERIODO Imp.]],CD$9)</f>
        <v>0</v>
      </c>
      <c r="CE773" s="693">
        <f>SUMIFS(Imput[[Importe Neto]:[Importe Neto]],Imput[[C. Imp.]:[C. Imp.]],$D773,Imput[[PERIODO Imp.]:[PERIODO Imp.]],CE$9)</f>
        <v>0</v>
      </c>
      <c r="CF773" s="693">
        <f>SUMIFS(Imput[[Importe Neto]:[Importe Neto]],Imput[[C. Imp.]:[C. Imp.]],$D773,Imput[[PERIODO Imp.]:[PERIODO Imp.]],CF$9)</f>
        <v>0</v>
      </c>
      <c r="CG773" s="693">
        <f>SUMIFS(Imput[[Importe Neto]:[Importe Neto]],Imput[[C. Imp.]:[C. Imp.]],$D773,Imput[[PERIODO Imp.]:[PERIODO Imp.]],CG$9)</f>
        <v>0</v>
      </c>
      <c r="CH773" s="693">
        <f>SUMIFS(Imput[[Importe Neto]:[Importe Neto]],Imput[[C. Imp.]:[C. Imp.]],$D773,Imput[[PERIODO Imp.]:[PERIODO Imp.]],CH$9)</f>
        <v>0</v>
      </c>
      <c r="CI773" s="693">
        <f>SUMIFS(Imput[[Importe Neto]:[Importe Neto]],Imput[[C. Imp.]:[C. Imp.]],$D773,Imput[[PERIODO Imp.]:[PERIODO Imp.]],CI$9)</f>
        <v>0</v>
      </c>
      <c r="CJ773" s="693">
        <f>SUMIFS(Imput[[Importe Neto]:[Importe Neto]],Imput[[C. Imp.]:[C. Imp.]],$D773,Imput[[PERIODO Imp.]:[PERIODO Imp.]],CJ$9)</f>
        <v>0</v>
      </c>
      <c r="CK773" s="693">
        <f>SUMIFS(Imput[[Importe Neto]:[Importe Neto]],Imput[[C. Imp.]:[C. Imp.]],$D773,Imput[[PERIODO Imp.]:[PERIODO Imp.]],CK$9)</f>
        <v>0</v>
      </c>
      <c r="CL773" s="693">
        <f>SUMIFS(Imput[[Importe Neto]:[Importe Neto]],Imput[[C. Imp.]:[C. Imp.]],$D773,Imput[[PERIODO Imp.]:[PERIODO Imp.]],CL$9)</f>
        <v>0</v>
      </c>
      <c r="CM773" s="693">
        <f>SUMIFS(Imput[[Importe Neto]:[Importe Neto]],Imput[[C. Imp.]:[C. Imp.]],$D773,Imput[[PERIODO Imp.]:[PERIODO Imp.]],CM$9)</f>
        <v>0</v>
      </c>
      <c r="CN773" s="693">
        <f>SUMIFS(Imput[[Importe Neto]:[Importe Neto]],Imput[[C. Imp.]:[C. Imp.]],$D773,Imput[[PERIODO Imp.]:[PERIODO Imp.]],CN$9)</f>
        <v>0</v>
      </c>
      <c r="CO773" s="693">
        <f>SUMIFS(Imput[[Importe Neto]:[Importe Neto]],Imput[[C. Imp.]:[C. Imp.]],$D773,Imput[[PERIODO Imp.]:[PERIODO Imp.]],CO$9)</f>
        <v>0</v>
      </c>
      <c r="CP773" s="693">
        <f>SUMIFS(Imput[[Importe Neto]:[Importe Neto]],Imput[[C. Imp.]:[C. Imp.]],$D773,Imput[[PERIODO Imp.]:[PERIODO Imp.]],CP$9)</f>
        <v>0</v>
      </c>
      <c r="CQ773" s="693">
        <f>SUMIFS(Imput[[Importe Neto]:[Importe Neto]],Imput[[C. Imp.]:[C. Imp.]],$D773,Imput[[PERIODO Imp.]:[PERIODO Imp.]],CQ$9)</f>
        <v>0</v>
      </c>
      <c r="CR773" s="693">
        <f>SUMIFS(Imput[[Importe Neto]:[Importe Neto]],Imput[[C. Imp.]:[C. Imp.]],$D773,Imput[[PERIODO Imp.]:[PERIODO Imp.]],CR$9)</f>
        <v>0</v>
      </c>
      <c r="CS773" s="693">
        <f>SUMIFS(Imput[[Importe Neto]:[Importe Neto]],Imput[[C. Imp.]:[C. Imp.]],$D773,Imput[[PERIODO Imp.]:[PERIODO Imp.]],CS$9)</f>
        <v>0</v>
      </c>
      <c r="CT773" s="693">
        <f>SUMIFS(Imput[[Importe Neto]:[Importe Neto]],Imput[[C. Imp.]:[C. Imp.]],$D773,Imput[[PERIODO Imp.]:[PERIODO Imp.]],CT$9)</f>
        <v>0</v>
      </c>
      <c r="CU773" s="693">
        <f>SUMIFS(Imput[[Importe Neto]:[Importe Neto]],Imput[[C. Imp.]:[C. Imp.]],$D773,Imput[[PERIODO Imp.]:[PERIODO Imp.]],CU$9)</f>
        <v>0</v>
      </c>
      <c r="CV773" s="693">
        <f>SUMIFS(Imput[[Importe Neto]:[Importe Neto]],Imput[[C. Imp.]:[C. Imp.]],$D773,Imput[[PERIODO Imp.]:[PERIODO Imp.]],CV$9)</f>
        <v>0</v>
      </c>
      <c r="CW773" s="693">
        <f>SUMIFS(Imput[[Importe Neto]:[Importe Neto]],Imput[[C. Imp.]:[C. Imp.]],$D773,Imput[[PERIODO Imp.]:[PERIODO Imp.]],CW$9)</f>
        <v>0</v>
      </c>
      <c r="CX773" s="693">
        <f>SUMIFS(Imput[[Importe Neto]:[Importe Neto]],Imput[[C. Imp.]:[C. Imp.]],$D773,Imput[[PERIODO Imp.]:[PERIODO Imp.]],CX$9)</f>
        <v>0</v>
      </c>
      <c r="CY773" s="693">
        <f>SUMIFS(Imput[[Importe Neto]:[Importe Neto]],Imput[[C. Imp.]:[C. Imp.]],$D773,Imput[[PERIODO Imp.]:[PERIODO Imp.]],CY$9)</f>
        <v>0</v>
      </c>
      <c r="CZ773" s="693">
        <f>SUMIFS(Imput[[Importe Neto]:[Importe Neto]],Imput[[C. Imp.]:[C. Imp.]],$D773,Imput[[PERIODO Imp.]:[PERIODO Imp.]],CZ$9)</f>
        <v>0</v>
      </c>
      <c r="DA773" s="693">
        <f>SUMIFS(Imput[[Importe Neto]:[Importe Neto]],Imput[[C. Imp.]:[C. Imp.]],$D773,Imput[[PERIODO Imp.]:[PERIODO Imp.]],DA$9)</f>
        <v>0</v>
      </c>
      <c r="DB773" s="693">
        <f>SUMIFS(Imput[[Importe Neto]:[Importe Neto]],Imput[[C. Imp.]:[C. Imp.]],$D773,Imput[[PERIODO Imp.]:[PERIODO Imp.]],DB$9)</f>
        <v>0</v>
      </c>
      <c r="DC773" s="693">
        <f>SUMIFS(Imput[[Importe Neto]:[Importe Neto]],Imput[[C. Imp.]:[C. Imp.]],$D773,Imput[[PERIODO Imp.]:[PERIODO Imp.]],DC$9)</f>
        <v>0</v>
      </c>
      <c r="DD773" s="693">
        <f>SUMIFS(Imput[[Importe Neto]:[Importe Neto]],Imput[[C. Imp.]:[C. Imp.]],$D773,Imput[[PERIODO Imp.]:[PERIODO Imp.]],DD$9)</f>
        <v>0</v>
      </c>
      <c r="DE773" s="693">
        <f>SUMIFS(Imput[[Importe Neto]:[Importe Neto]],Imput[[C. Imp.]:[C. Imp.]],$D773,Imput[[PERIODO Imp.]:[PERIODO Imp.]],DE$9)</f>
        <v>0</v>
      </c>
      <c r="DF773" s="693">
        <f>SUMIFS(Imput[[Importe Neto]:[Importe Neto]],Imput[[C. Imp.]:[C. Imp.]],$D773,Imput[[PERIODO Imp.]:[PERIODO Imp.]],DF$9)</f>
        <v>0</v>
      </c>
      <c r="DG773" s="693">
        <f>SUMIFS(Imput[[Importe Neto]:[Importe Neto]],Imput[[C. Imp.]:[C. Imp.]],$D773,Imput[[PERIODO Imp.]:[PERIODO Imp.]],DG$9)</f>
        <v>0</v>
      </c>
      <c r="DH773" s="694">
        <f>SUMIFS(Imput[[Importe Neto]:[Importe Neto]],Imput[[C. Imp.]:[C. Imp.]],$D773,Imput[[PERIODO Imp.]:[PERIODO Imp.]],DH$9)</f>
        <v>0</v>
      </c>
    </row>
    <row r="774" spans="1:112" s="649" customFormat="1" hidden="1" outlineLevel="1" x14ac:dyDescent="0.3">
      <c r="A774" s="652" t="str">
        <f t="shared" si="273"/>
        <v/>
      </c>
      <c r="B774" s="652"/>
      <c r="C774" s="685"/>
      <c r="D774" s="686" t="s">
        <v>2758</v>
      </c>
      <c r="E774" s="686"/>
      <c r="F774" s="720"/>
      <c r="G774" s="688"/>
      <c r="H774" s="689"/>
      <c r="I774" s="851" t="str">
        <f t="shared" si="274"/>
        <v/>
      </c>
      <c r="J774" s="850" t="str">
        <f t="shared" si="275"/>
        <v/>
      </c>
      <c r="K774" s="667"/>
      <c r="L774" s="858"/>
      <c r="M774" s="859"/>
      <c r="N774" s="859"/>
      <c r="O774" s="859"/>
      <c r="P774" s="859"/>
      <c r="Q774" s="859"/>
      <c r="R774" s="859"/>
      <c r="S774" s="859"/>
      <c r="T774" s="859"/>
      <c r="U774" s="859"/>
      <c r="V774" s="859"/>
      <c r="W774" s="859"/>
      <c r="X774" s="859"/>
      <c r="Y774" s="859"/>
      <c r="Z774" s="860"/>
      <c r="AA774" s="860"/>
      <c r="AB774" s="860"/>
      <c r="AC774" s="860"/>
      <c r="AD774" s="860"/>
      <c r="AE774" s="860"/>
      <c r="AF774" s="860"/>
      <c r="AG774" s="860"/>
      <c r="AH774" s="860"/>
      <c r="AI774" s="860"/>
      <c r="AJ774" s="860"/>
      <c r="AK774" s="860"/>
      <c r="AL774" s="860"/>
      <c r="AM774" s="860"/>
      <c r="AN774" s="860"/>
      <c r="AO774" s="860"/>
      <c r="AP774" s="860"/>
      <c r="AQ774" s="860"/>
      <c r="AR774" s="860"/>
      <c r="AS774" s="860"/>
      <c r="AT774" s="860"/>
      <c r="AU774" s="860"/>
      <c r="AV774" s="860"/>
      <c r="AW774" s="860"/>
      <c r="AX774" s="860"/>
      <c r="AY774" s="860"/>
      <c r="AZ774" s="860"/>
      <c r="BA774" s="860"/>
      <c r="BB774" s="860"/>
      <c r="BC774" s="860"/>
      <c r="BD774" s="860"/>
      <c r="BE774" s="860"/>
      <c r="BF774" s="860"/>
      <c r="BG774" s="860"/>
      <c r="BH774" s="668"/>
      <c r="BI774" s="667"/>
      <c r="BJ774" s="690">
        <f t="shared" si="276"/>
        <v>0</v>
      </c>
      <c r="BK774" s="691">
        <f t="shared" si="277"/>
        <v>0</v>
      </c>
      <c r="BL774" s="654"/>
      <c r="BM774" s="697">
        <f>SUMIFS(Imput[[Importe Neto]:[Importe Neto]],Imput[[C. Imp.]:[C. Imp.]],$D774,Imput[[PERIODO Imp.]:[PERIODO Imp.]],BM$9)</f>
        <v>0</v>
      </c>
      <c r="BN774" s="698">
        <f>SUMIFS(Imput[[Importe Neto]:[Importe Neto]],Imput[[C. Imp.]:[C. Imp.]],$D774,Imput[[PERIODO Imp.]:[PERIODO Imp.]],BN$9)</f>
        <v>0</v>
      </c>
      <c r="BO774" s="698">
        <f>SUMIFS(Imput[[Importe Neto]:[Importe Neto]],Imput[[C. Imp.]:[C. Imp.]],$D774,Imput[[PERIODO Imp.]:[PERIODO Imp.]],BO$9)</f>
        <v>0</v>
      </c>
      <c r="BP774" s="698">
        <f>SUMIFS(Imput[[Importe Neto]:[Importe Neto]],Imput[[C. Imp.]:[C. Imp.]],$D774,Imput[[PERIODO Imp.]:[PERIODO Imp.]],BP$9)</f>
        <v>0</v>
      </c>
      <c r="BQ774" s="698">
        <f>SUMIFS(Imput[[Importe Neto]:[Importe Neto]],Imput[[C. Imp.]:[C. Imp.]],$D774,Imput[[PERIODO Imp.]:[PERIODO Imp.]],BQ$9)</f>
        <v>0</v>
      </c>
      <c r="BR774" s="698">
        <f>SUMIFS(Imput[[Importe Neto]:[Importe Neto]],Imput[[C. Imp.]:[C. Imp.]],$D774,Imput[[PERIODO Imp.]:[PERIODO Imp.]],BR$9)</f>
        <v>0</v>
      </c>
      <c r="BS774" s="698">
        <f>SUMIFS(Imput[[Importe Neto]:[Importe Neto]],Imput[[C. Imp.]:[C. Imp.]],$D774,Imput[[PERIODO Imp.]:[PERIODO Imp.]],BS$9)</f>
        <v>0</v>
      </c>
      <c r="BT774" s="698">
        <f>SUMIFS(Imput[[Importe Neto]:[Importe Neto]],Imput[[C. Imp.]:[C. Imp.]],$D774,Imput[[PERIODO Imp.]:[PERIODO Imp.]],BT$9)</f>
        <v>0</v>
      </c>
      <c r="BU774" s="698">
        <f>SUMIFS(Imput[[Importe Neto]:[Importe Neto]],Imput[[C. Imp.]:[C. Imp.]],$D774,Imput[[PERIODO Imp.]:[PERIODO Imp.]],BU$9)</f>
        <v>0</v>
      </c>
      <c r="BV774" s="698">
        <f>SUMIFS(Imput[[Importe Neto]:[Importe Neto]],Imput[[C. Imp.]:[C. Imp.]],$D774,Imput[[PERIODO Imp.]:[PERIODO Imp.]],BV$9)</f>
        <v>0</v>
      </c>
      <c r="BW774" s="698">
        <f>SUMIFS(Imput[[Importe Neto]:[Importe Neto]],Imput[[C. Imp.]:[C. Imp.]],$D774,Imput[[PERIODO Imp.]:[PERIODO Imp.]],BW$9)</f>
        <v>0</v>
      </c>
      <c r="BX774" s="698">
        <f>SUMIFS(Imput[[Importe Neto]:[Importe Neto]],Imput[[C. Imp.]:[C. Imp.]],$D774,Imput[[PERIODO Imp.]:[PERIODO Imp.]],BX$9)</f>
        <v>0</v>
      </c>
      <c r="BY774" s="698">
        <f>SUMIFS(Imput[[Importe Neto]:[Importe Neto]],Imput[[C. Imp.]:[C. Imp.]],$D774,Imput[[PERIODO Imp.]:[PERIODO Imp.]],BY$9)</f>
        <v>0</v>
      </c>
      <c r="BZ774" s="698">
        <f>SUMIFS(Imput[[Importe Neto]:[Importe Neto]],Imput[[C. Imp.]:[C. Imp.]],$D774,Imput[[PERIODO Imp.]:[PERIODO Imp.]],BZ$9)</f>
        <v>0</v>
      </c>
      <c r="CA774" s="698">
        <f>SUMIFS(Imput[[Importe Neto]:[Importe Neto]],Imput[[C. Imp.]:[C. Imp.]],$D774,Imput[[PERIODO Imp.]:[PERIODO Imp.]],CA$9)</f>
        <v>0</v>
      </c>
      <c r="CB774" s="698">
        <f>SUMIFS(Imput[[Importe Neto]:[Importe Neto]],Imput[[C. Imp.]:[C. Imp.]],$D774,Imput[[PERIODO Imp.]:[PERIODO Imp.]],CB$9)</f>
        <v>0</v>
      </c>
      <c r="CC774" s="698">
        <f>SUMIFS(Imput[[Importe Neto]:[Importe Neto]],Imput[[C. Imp.]:[C. Imp.]],$D774,Imput[[PERIODO Imp.]:[PERIODO Imp.]],CC$9)</f>
        <v>0</v>
      </c>
      <c r="CD774" s="698">
        <f>SUMIFS(Imput[[Importe Neto]:[Importe Neto]],Imput[[C. Imp.]:[C. Imp.]],$D774,Imput[[PERIODO Imp.]:[PERIODO Imp.]],CD$9)</f>
        <v>0</v>
      </c>
      <c r="CE774" s="698">
        <f>SUMIFS(Imput[[Importe Neto]:[Importe Neto]],Imput[[C. Imp.]:[C. Imp.]],$D774,Imput[[PERIODO Imp.]:[PERIODO Imp.]],CE$9)</f>
        <v>0</v>
      </c>
      <c r="CF774" s="698">
        <f>SUMIFS(Imput[[Importe Neto]:[Importe Neto]],Imput[[C. Imp.]:[C. Imp.]],$D774,Imput[[PERIODO Imp.]:[PERIODO Imp.]],CF$9)</f>
        <v>0</v>
      </c>
      <c r="CG774" s="698">
        <f>SUMIFS(Imput[[Importe Neto]:[Importe Neto]],Imput[[C. Imp.]:[C. Imp.]],$D774,Imput[[PERIODO Imp.]:[PERIODO Imp.]],CG$9)</f>
        <v>0</v>
      </c>
      <c r="CH774" s="698">
        <f>SUMIFS(Imput[[Importe Neto]:[Importe Neto]],Imput[[C. Imp.]:[C. Imp.]],$D774,Imput[[PERIODO Imp.]:[PERIODO Imp.]],CH$9)</f>
        <v>0</v>
      </c>
      <c r="CI774" s="698">
        <f>SUMIFS(Imput[[Importe Neto]:[Importe Neto]],Imput[[C. Imp.]:[C. Imp.]],$D774,Imput[[PERIODO Imp.]:[PERIODO Imp.]],CI$9)</f>
        <v>0</v>
      </c>
      <c r="CJ774" s="698">
        <f>SUMIFS(Imput[[Importe Neto]:[Importe Neto]],Imput[[C. Imp.]:[C. Imp.]],$D774,Imput[[PERIODO Imp.]:[PERIODO Imp.]],CJ$9)</f>
        <v>0</v>
      </c>
      <c r="CK774" s="698">
        <f>SUMIFS(Imput[[Importe Neto]:[Importe Neto]],Imput[[C. Imp.]:[C. Imp.]],$D774,Imput[[PERIODO Imp.]:[PERIODO Imp.]],CK$9)</f>
        <v>0</v>
      </c>
      <c r="CL774" s="698">
        <f>SUMIFS(Imput[[Importe Neto]:[Importe Neto]],Imput[[C. Imp.]:[C. Imp.]],$D774,Imput[[PERIODO Imp.]:[PERIODO Imp.]],CL$9)</f>
        <v>0</v>
      </c>
      <c r="CM774" s="698">
        <f>SUMIFS(Imput[[Importe Neto]:[Importe Neto]],Imput[[C. Imp.]:[C. Imp.]],$D774,Imput[[PERIODO Imp.]:[PERIODO Imp.]],CM$9)</f>
        <v>0</v>
      </c>
      <c r="CN774" s="698">
        <f>SUMIFS(Imput[[Importe Neto]:[Importe Neto]],Imput[[C. Imp.]:[C. Imp.]],$D774,Imput[[PERIODO Imp.]:[PERIODO Imp.]],CN$9)</f>
        <v>0</v>
      </c>
      <c r="CO774" s="698">
        <f>SUMIFS(Imput[[Importe Neto]:[Importe Neto]],Imput[[C. Imp.]:[C. Imp.]],$D774,Imput[[PERIODO Imp.]:[PERIODO Imp.]],CO$9)</f>
        <v>0</v>
      </c>
      <c r="CP774" s="698">
        <f>SUMIFS(Imput[[Importe Neto]:[Importe Neto]],Imput[[C. Imp.]:[C. Imp.]],$D774,Imput[[PERIODO Imp.]:[PERIODO Imp.]],CP$9)</f>
        <v>0</v>
      </c>
      <c r="CQ774" s="698">
        <f>SUMIFS(Imput[[Importe Neto]:[Importe Neto]],Imput[[C. Imp.]:[C. Imp.]],$D774,Imput[[PERIODO Imp.]:[PERIODO Imp.]],CQ$9)</f>
        <v>0</v>
      </c>
      <c r="CR774" s="698">
        <f>SUMIFS(Imput[[Importe Neto]:[Importe Neto]],Imput[[C. Imp.]:[C. Imp.]],$D774,Imput[[PERIODO Imp.]:[PERIODO Imp.]],CR$9)</f>
        <v>0</v>
      </c>
      <c r="CS774" s="698">
        <f>SUMIFS(Imput[[Importe Neto]:[Importe Neto]],Imput[[C. Imp.]:[C. Imp.]],$D774,Imput[[PERIODO Imp.]:[PERIODO Imp.]],CS$9)</f>
        <v>0</v>
      </c>
      <c r="CT774" s="698">
        <f>SUMIFS(Imput[[Importe Neto]:[Importe Neto]],Imput[[C. Imp.]:[C. Imp.]],$D774,Imput[[PERIODO Imp.]:[PERIODO Imp.]],CT$9)</f>
        <v>0</v>
      </c>
      <c r="CU774" s="698">
        <f>SUMIFS(Imput[[Importe Neto]:[Importe Neto]],Imput[[C. Imp.]:[C. Imp.]],$D774,Imput[[PERIODO Imp.]:[PERIODO Imp.]],CU$9)</f>
        <v>0</v>
      </c>
      <c r="CV774" s="698">
        <f>SUMIFS(Imput[[Importe Neto]:[Importe Neto]],Imput[[C. Imp.]:[C. Imp.]],$D774,Imput[[PERIODO Imp.]:[PERIODO Imp.]],CV$9)</f>
        <v>0</v>
      </c>
      <c r="CW774" s="698">
        <f>SUMIFS(Imput[[Importe Neto]:[Importe Neto]],Imput[[C. Imp.]:[C. Imp.]],$D774,Imput[[PERIODO Imp.]:[PERIODO Imp.]],CW$9)</f>
        <v>0</v>
      </c>
      <c r="CX774" s="698">
        <f>SUMIFS(Imput[[Importe Neto]:[Importe Neto]],Imput[[C. Imp.]:[C. Imp.]],$D774,Imput[[PERIODO Imp.]:[PERIODO Imp.]],CX$9)</f>
        <v>0</v>
      </c>
      <c r="CY774" s="698">
        <f>SUMIFS(Imput[[Importe Neto]:[Importe Neto]],Imput[[C. Imp.]:[C. Imp.]],$D774,Imput[[PERIODO Imp.]:[PERIODO Imp.]],CY$9)</f>
        <v>0</v>
      </c>
      <c r="CZ774" s="698">
        <f>SUMIFS(Imput[[Importe Neto]:[Importe Neto]],Imput[[C. Imp.]:[C. Imp.]],$D774,Imput[[PERIODO Imp.]:[PERIODO Imp.]],CZ$9)</f>
        <v>0</v>
      </c>
      <c r="DA774" s="698">
        <f>SUMIFS(Imput[[Importe Neto]:[Importe Neto]],Imput[[C. Imp.]:[C. Imp.]],$D774,Imput[[PERIODO Imp.]:[PERIODO Imp.]],DA$9)</f>
        <v>0</v>
      </c>
      <c r="DB774" s="698">
        <f>SUMIFS(Imput[[Importe Neto]:[Importe Neto]],Imput[[C. Imp.]:[C. Imp.]],$D774,Imput[[PERIODO Imp.]:[PERIODO Imp.]],DB$9)</f>
        <v>0</v>
      </c>
      <c r="DC774" s="698">
        <f>SUMIFS(Imput[[Importe Neto]:[Importe Neto]],Imput[[C. Imp.]:[C. Imp.]],$D774,Imput[[PERIODO Imp.]:[PERIODO Imp.]],DC$9)</f>
        <v>0</v>
      </c>
      <c r="DD774" s="698">
        <f>SUMIFS(Imput[[Importe Neto]:[Importe Neto]],Imput[[C. Imp.]:[C. Imp.]],$D774,Imput[[PERIODO Imp.]:[PERIODO Imp.]],DD$9)</f>
        <v>0</v>
      </c>
      <c r="DE774" s="698">
        <f>SUMIFS(Imput[[Importe Neto]:[Importe Neto]],Imput[[C. Imp.]:[C. Imp.]],$D774,Imput[[PERIODO Imp.]:[PERIODO Imp.]],DE$9)</f>
        <v>0</v>
      </c>
      <c r="DF774" s="698">
        <f>SUMIFS(Imput[[Importe Neto]:[Importe Neto]],Imput[[C. Imp.]:[C. Imp.]],$D774,Imput[[PERIODO Imp.]:[PERIODO Imp.]],DF$9)</f>
        <v>0</v>
      </c>
      <c r="DG774" s="698">
        <f>SUMIFS(Imput[[Importe Neto]:[Importe Neto]],Imput[[C. Imp.]:[C. Imp.]],$D774,Imput[[PERIODO Imp.]:[PERIODO Imp.]],DG$9)</f>
        <v>0</v>
      </c>
      <c r="DH774" s="795">
        <f>SUMIFS(Imput[[Importe Neto]:[Importe Neto]],Imput[[C. Imp.]:[C. Imp.]],$D774,Imput[[PERIODO Imp.]:[PERIODO Imp.]],DH$9)</f>
        <v>0</v>
      </c>
    </row>
    <row r="775" spans="1:112" s="649" customFormat="1" ht="14.4" outlineLevel="1" thickBot="1" x14ac:dyDescent="0.35">
      <c r="A775" s="652" t="str">
        <f>IF(J734&gt;0,"Imprimir","")</f>
        <v>Imprimir</v>
      </c>
      <c r="B775" s="652"/>
      <c r="C775" s="699"/>
      <c r="D775" s="700"/>
      <c r="E775" s="700"/>
      <c r="F775" s="701"/>
      <c r="G775" s="702"/>
      <c r="H775" s="703"/>
      <c r="I775" s="704"/>
      <c r="J775" s="705"/>
      <c r="K775" s="667"/>
      <c r="L775" s="706"/>
      <c r="M775" s="707"/>
      <c r="N775" s="777"/>
      <c r="O775" s="777"/>
      <c r="P775" s="778"/>
      <c r="Q775" s="778"/>
      <c r="R775" s="708"/>
      <c r="S775" s="708"/>
      <c r="T775" s="779"/>
      <c r="U775" s="779"/>
      <c r="V775" s="778"/>
      <c r="W775" s="778"/>
      <c r="X775" s="708"/>
      <c r="Y775" s="708"/>
      <c r="Z775" s="708"/>
      <c r="AA775" s="708"/>
      <c r="AB775" s="708"/>
      <c r="AC775" s="708"/>
      <c r="AD775" s="708"/>
      <c r="AE775" s="708"/>
      <c r="AF775" s="708"/>
      <c r="AG775" s="708"/>
      <c r="AH775" s="708"/>
      <c r="AI775" s="708"/>
      <c r="AJ775" s="708"/>
      <c r="AK775" s="708"/>
      <c r="AL775" s="708"/>
      <c r="AM775" s="708"/>
      <c r="AN775" s="708"/>
      <c r="AO775" s="708"/>
      <c r="AP775" s="708"/>
      <c r="AQ775" s="708"/>
      <c r="AR775" s="708"/>
      <c r="AS775" s="708"/>
      <c r="AT775" s="708"/>
      <c r="AU775" s="708"/>
      <c r="AV775" s="708"/>
      <c r="AW775" s="708"/>
      <c r="AX775" s="708"/>
      <c r="AY775" s="708"/>
      <c r="AZ775" s="708"/>
      <c r="BA775" s="708"/>
      <c r="BB775" s="708"/>
      <c r="BC775" s="708"/>
      <c r="BD775" s="708"/>
      <c r="BE775" s="708"/>
      <c r="BF775" s="708"/>
      <c r="BG775" s="708"/>
      <c r="BH775" s="780"/>
      <c r="BI775" s="654"/>
      <c r="BJ775" s="709"/>
      <c r="BK775" s="710"/>
      <c r="BL775" s="654"/>
      <c r="BM775" s="731"/>
      <c r="BN775" s="701"/>
      <c r="BO775" s="701"/>
      <c r="BP775" s="701"/>
      <c r="BQ775" s="701"/>
      <c r="BR775" s="701"/>
      <c r="BS775" s="701"/>
      <c r="BT775" s="701"/>
      <c r="BU775" s="701"/>
      <c r="BV775" s="701"/>
      <c r="BW775" s="701"/>
      <c r="BX775" s="701"/>
      <c r="BY775" s="701"/>
      <c r="BZ775" s="701"/>
      <c r="CA775" s="701"/>
      <c r="CB775" s="701"/>
      <c r="CC775" s="701"/>
      <c r="CD775" s="701"/>
      <c r="CE775" s="701"/>
      <c r="CF775" s="701"/>
      <c r="CG775" s="701"/>
      <c r="CH775" s="701"/>
      <c r="CI775" s="701"/>
      <c r="CJ775" s="701"/>
      <c r="CK775" s="701"/>
      <c r="CL775" s="701"/>
      <c r="CM775" s="701"/>
      <c r="CN775" s="701"/>
      <c r="CO775" s="701"/>
      <c r="CP775" s="701"/>
      <c r="CQ775" s="701"/>
      <c r="CR775" s="701"/>
      <c r="CS775" s="701"/>
      <c r="CT775" s="701"/>
      <c r="CU775" s="701"/>
      <c r="CV775" s="701"/>
      <c r="CW775" s="701"/>
      <c r="CX775" s="701"/>
      <c r="CY775" s="701"/>
      <c r="CZ775" s="701"/>
      <c r="DA775" s="701"/>
      <c r="DB775" s="701"/>
      <c r="DC775" s="701"/>
      <c r="DD775" s="701"/>
      <c r="DE775" s="701"/>
      <c r="DF775" s="701"/>
      <c r="DG775" s="701"/>
      <c r="DH775" s="710"/>
    </row>
    <row r="776" spans="1:112" s="649" customFormat="1" x14ac:dyDescent="0.3">
      <c r="A776" s="652" t="str">
        <f>IF(J776&gt;0,"Imprimir","")</f>
        <v>Imprimir</v>
      </c>
      <c r="B776" s="652"/>
      <c r="C776" s="711"/>
      <c r="D776" s="712" t="s">
        <v>450</v>
      </c>
      <c r="E776" s="712" t="s">
        <v>482</v>
      </c>
      <c r="F776" s="712"/>
      <c r="G776" s="713"/>
      <c r="H776" s="712"/>
      <c r="I776" s="714"/>
      <c r="J776" s="715">
        <f>SUBTOTAL(9,J779:J828)</f>
        <v>5128.9285714285706</v>
      </c>
      <c r="K776" s="658"/>
      <c r="L776" s="770">
        <f t="shared" ref="L776:BG776" si="278">SUMPRODUCT($J779:$J828,L779:L828)</f>
        <v>205.15714285714282</v>
      </c>
      <c r="M776" s="771">
        <f t="shared" si="278"/>
        <v>205.15714285714282</v>
      </c>
      <c r="N776" s="771">
        <f t="shared" si="278"/>
        <v>205.15714285714282</v>
      </c>
      <c r="O776" s="771">
        <f t="shared" si="278"/>
        <v>205.15714285714282</v>
      </c>
      <c r="P776" s="771">
        <f t="shared" si="278"/>
        <v>205.15714285714282</v>
      </c>
      <c r="Q776" s="771">
        <f t="shared" si="278"/>
        <v>205.15714285714282</v>
      </c>
      <c r="R776" s="771">
        <f t="shared" si="278"/>
        <v>205.15714285714282</v>
      </c>
      <c r="S776" s="771">
        <f t="shared" si="278"/>
        <v>205.15714285714282</v>
      </c>
      <c r="T776" s="771">
        <f t="shared" si="278"/>
        <v>205.15714285714282</v>
      </c>
      <c r="U776" s="771">
        <f t="shared" si="278"/>
        <v>205.15714285714282</v>
      </c>
      <c r="V776" s="771">
        <f t="shared" si="278"/>
        <v>205.15714285714282</v>
      </c>
      <c r="W776" s="771">
        <f t="shared" si="278"/>
        <v>205.15714285714282</v>
      </c>
      <c r="X776" s="771">
        <f t="shared" si="278"/>
        <v>205.15714285714282</v>
      </c>
      <c r="Y776" s="771">
        <f t="shared" si="278"/>
        <v>205.15714285714282</v>
      </c>
      <c r="Z776" s="771">
        <f t="shared" si="278"/>
        <v>205.15714285714282</v>
      </c>
      <c r="AA776" s="771">
        <f t="shared" si="278"/>
        <v>205.15714285714282</v>
      </c>
      <c r="AB776" s="771">
        <f t="shared" si="278"/>
        <v>205.15714285714282</v>
      </c>
      <c r="AC776" s="771">
        <f t="shared" si="278"/>
        <v>205.15714285714282</v>
      </c>
      <c r="AD776" s="771">
        <f t="shared" si="278"/>
        <v>205.15714285714282</v>
      </c>
      <c r="AE776" s="771">
        <f t="shared" si="278"/>
        <v>205.15714285714282</v>
      </c>
      <c r="AF776" s="771">
        <f t="shared" si="278"/>
        <v>205.15714285714282</v>
      </c>
      <c r="AG776" s="771">
        <f t="shared" si="278"/>
        <v>205.15714285714282</v>
      </c>
      <c r="AH776" s="771">
        <f t="shared" si="278"/>
        <v>205.15714285714282</v>
      </c>
      <c r="AI776" s="771">
        <f t="shared" si="278"/>
        <v>205.15714285714282</v>
      </c>
      <c r="AJ776" s="771">
        <f t="shared" si="278"/>
        <v>205.15714285714282</v>
      </c>
      <c r="AK776" s="771">
        <f t="shared" si="278"/>
        <v>0</v>
      </c>
      <c r="AL776" s="771">
        <f t="shared" si="278"/>
        <v>0</v>
      </c>
      <c r="AM776" s="771">
        <f t="shared" si="278"/>
        <v>0</v>
      </c>
      <c r="AN776" s="771">
        <f t="shared" si="278"/>
        <v>0</v>
      </c>
      <c r="AO776" s="771">
        <f t="shared" si="278"/>
        <v>0</v>
      </c>
      <c r="AP776" s="771">
        <f t="shared" si="278"/>
        <v>0</v>
      </c>
      <c r="AQ776" s="771">
        <f t="shared" si="278"/>
        <v>0</v>
      </c>
      <c r="AR776" s="771">
        <f t="shared" si="278"/>
        <v>0</v>
      </c>
      <c r="AS776" s="771">
        <f t="shared" si="278"/>
        <v>0</v>
      </c>
      <c r="AT776" s="771">
        <f t="shared" si="278"/>
        <v>0</v>
      </c>
      <c r="AU776" s="771">
        <f t="shared" si="278"/>
        <v>0</v>
      </c>
      <c r="AV776" s="771">
        <f t="shared" si="278"/>
        <v>0</v>
      </c>
      <c r="AW776" s="771">
        <f t="shared" si="278"/>
        <v>0</v>
      </c>
      <c r="AX776" s="771">
        <f t="shared" si="278"/>
        <v>0</v>
      </c>
      <c r="AY776" s="771">
        <f t="shared" si="278"/>
        <v>0</v>
      </c>
      <c r="AZ776" s="771">
        <f t="shared" si="278"/>
        <v>0</v>
      </c>
      <c r="BA776" s="771">
        <f t="shared" si="278"/>
        <v>0</v>
      </c>
      <c r="BB776" s="771">
        <f t="shared" si="278"/>
        <v>0</v>
      </c>
      <c r="BC776" s="771">
        <f t="shared" si="278"/>
        <v>0</v>
      </c>
      <c r="BD776" s="771">
        <f t="shared" si="278"/>
        <v>0</v>
      </c>
      <c r="BE776" s="771">
        <f t="shared" si="278"/>
        <v>0</v>
      </c>
      <c r="BF776" s="771">
        <f t="shared" si="278"/>
        <v>0</v>
      </c>
      <c r="BG776" s="764">
        <f t="shared" si="278"/>
        <v>0</v>
      </c>
      <c r="BH776" s="776"/>
      <c r="BI776" s="654"/>
      <c r="BJ776" s="659">
        <f>IFERROR(BK776/J776,0)</f>
        <v>0</v>
      </c>
      <c r="BK776" s="660">
        <f>SUBTOTAL(9,BK777:BK828)</f>
        <v>0</v>
      </c>
      <c r="BL776" s="654"/>
      <c r="BM776" s="661">
        <f t="shared" ref="BM776:DH776" si="279">SUBTOTAL(9,BM777:BM828)</f>
        <v>0</v>
      </c>
      <c r="BN776" s="662">
        <f t="shared" si="279"/>
        <v>0</v>
      </c>
      <c r="BO776" s="662">
        <f t="shared" si="279"/>
        <v>0</v>
      </c>
      <c r="BP776" s="662">
        <f t="shared" si="279"/>
        <v>0</v>
      </c>
      <c r="BQ776" s="662">
        <f t="shared" si="279"/>
        <v>0</v>
      </c>
      <c r="BR776" s="662">
        <f t="shared" si="279"/>
        <v>0</v>
      </c>
      <c r="BS776" s="662">
        <f t="shared" si="279"/>
        <v>0</v>
      </c>
      <c r="BT776" s="662">
        <f t="shared" si="279"/>
        <v>0</v>
      </c>
      <c r="BU776" s="662">
        <f t="shared" si="279"/>
        <v>0</v>
      </c>
      <c r="BV776" s="662">
        <f t="shared" si="279"/>
        <v>0</v>
      </c>
      <c r="BW776" s="662">
        <f t="shared" si="279"/>
        <v>0</v>
      </c>
      <c r="BX776" s="662">
        <f t="shared" si="279"/>
        <v>0</v>
      </c>
      <c r="BY776" s="662">
        <f t="shared" si="279"/>
        <v>0</v>
      </c>
      <c r="BZ776" s="662">
        <f t="shared" si="279"/>
        <v>0</v>
      </c>
      <c r="CA776" s="662">
        <f t="shared" si="279"/>
        <v>0</v>
      </c>
      <c r="CB776" s="662">
        <f t="shared" si="279"/>
        <v>0</v>
      </c>
      <c r="CC776" s="662">
        <f t="shared" si="279"/>
        <v>0</v>
      </c>
      <c r="CD776" s="662">
        <f t="shared" si="279"/>
        <v>0</v>
      </c>
      <c r="CE776" s="662">
        <f t="shared" si="279"/>
        <v>0</v>
      </c>
      <c r="CF776" s="662">
        <f t="shared" si="279"/>
        <v>0</v>
      </c>
      <c r="CG776" s="662">
        <f t="shared" si="279"/>
        <v>0</v>
      </c>
      <c r="CH776" s="662">
        <f t="shared" si="279"/>
        <v>0</v>
      </c>
      <c r="CI776" s="662">
        <f t="shared" si="279"/>
        <v>0</v>
      </c>
      <c r="CJ776" s="662">
        <f t="shared" si="279"/>
        <v>0</v>
      </c>
      <c r="CK776" s="662">
        <f t="shared" si="279"/>
        <v>0</v>
      </c>
      <c r="CL776" s="662">
        <f t="shared" si="279"/>
        <v>0</v>
      </c>
      <c r="CM776" s="662">
        <f t="shared" si="279"/>
        <v>0</v>
      </c>
      <c r="CN776" s="662">
        <f t="shared" si="279"/>
        <v>0</v>
      </c>
      <c r="CO776" s="662">
        <f t="shared" si="279"/>
        <v>0</v>
      </c>
      <c r="CP776" s="662">
        <f t="shared" si="279"/>
        <v>0</v>
      </c>
      <c r="CQ776" s="662">
        <f t="shared" si="279"/>
        <v>0</v>
      </c>
      <c r="CR776" s="662">
        <f t="shared" si="279"/>
        <v>0</v>
      </c>
      <c r="CS776" s="662">
        <f t="shared" si="279"/>
        <v>0</v>
      </c>
      <c r="CT776" s="662">
        <f t="shared" si="279"/>
        <v>0</v>
      </c>
      <c r="CU776" s="662">
        <f t="shared" si="279"/>
        <v>0</v>
      </c>
      <c r="CV776" s="662">
        <f t="shared" si="279"/>
        <v>0</v>
      </c>
      <c r="CW776" s="662">
        <f t="shared" si="279"/>
        <v>0</v>
      </c>
      <c r="CX776" s="662">
        <f t="shared" si="279"/>
        <v>0</v>
      </c>
      <c r="CY776" s="662">
        <f t="shared" si="279"/>
        <v>0</v>
      </c>
      <c r="CZ776" s="662">
        <f t="shared" si="279"/>
        <v>0</v>
      </c>
      <c r="DA776" s="662">
        <f t="shared" si="279"/>
        <v>0</v>
      </c>
      <c r="DB776" s="662">
        <f t="shared" si="279"/>
        <v>0</v>
      </c>
      <c r="DC776" s="662">
        <f t="shared" si="279"/>
        <v>0</v>
      </c>
      <c r="DD776" s="662">
        <f t="shared" si="279"/>
        <v>0</v>
      </c>
      <c r="DE776" s="662">
        <f t="shared" si="279"/>
        <v>0</v>
      </c>
      <c r="DF776" s="662">
        <f t="shared" si="279"/>
        <v>0</v>
      </c>
      <c r="DG776" s="662">
        <f t="shared" si="279"/>
        <v>0</v>
      </c>
      <c r="DH776" s="663">
        <f t="shared" si="279"/>
        <v>0</v>
      </c>
    </row>
    <row r="777" spans="1:112" s="650" customFormat="1" outlineLevel="1" x14ac:dyDescent="0.3">
      <c r="A777" s="652" t="str">
        <f>IF(J776&gt;0,"Imprimir","")</f>
        <v>Imprimir</v>
      </c>
      <c r="B777" s="722"/>
      <c r="C777" s="664"/>
      <c r="D777" s="665"/>
      <c r="E777" s="665"/>
      <c r="F777" s="665" t="s">
        <v>472</v>
      </c>
      <c r="G777" s="716" t="s">
        <v>2128</v>
      </c>
      <c r="H777" s="665" t="s">
        <v>98</v>
      </c>
      <c r="I777" s="665" t="s">
        <v>474</v>
      </c>
      <c r="J777" s="666" t="s">
        <v>29</v>
      </c>
      <c r="K777" s="723"/>
      <c r="L777" s="745"/>
      <c r="M777" s="741"/>
      <c r="N777" s="741"/>
      <c r="O777" s="741"/>
      <c r="P777" s="741"/>
      <c r="Q777" s="741"/>
      <c r="R777" s="741"/>
      <c r="S777" s="741"/>
      <c r="T777" s="741"/>
      <c r="U777" s="741"/>
      <c r="V777" s="741"/>
      <c r="W777" s="741"/>
      <c r="X777" s="741"/>
      <c r="Y777" s="741"/>
      <c r="Z777" s="741"/>
      <c r="AA777" s="741"/>
      <c r="AB777" s="741"/>
      <c r="AC777" s="741"/>
      <c r="AD777" s="741"/>
      <c r="AE777" s="741"/>
      <c r="AF777" s="741"/>
      <c r="AG777" s="741"/>
      <c r="AH777" s="741"/>
      <c r="AI777" s="741"/>
      <c r="AJ777" s="741"/>
      <c r="AK777" s="741"/>
      <c r="AL777" s="741"/>
      <c r="AM777" s="741"/>
      <c r="AN777" s="741"/>
      <c r="AO777" s="741"/>
      <c r="AP777" s="741"/>
      <c r="AQ777" s="741"/>
      <c r="AR777" s="741"/>
      <c r="AS777" s="741"/>
      <c r="AT777" s="741"/>
      <c r="AU777" s="741"/>
      <c r="AV777" s="741"/>
      <c r="AW777" s="741"/>
      <c r="AX777" s="741"/>
      <c r="AY777" s="741"/>
      <c r="AZ777" s="741"/>
      <c r="BA777" s="741"/>
      <c r="BB777" s="741"/>
      <c r="BC777" s="741"/>
      <c r="BD777" s="741"/>
      <c r="BE777" s="741"/>
      <c r="BF777" s="741"/>
      <c r="BG777" s="741"/>
      <c r="BH777" s="724"/>
      <c r="BI777" s="725"/>
      <c r="BJ777" s="669"/>
      <c r="BK777" s="670"/>
      <c r="BL777" s="725"/>
      <c r="BM777" s="671"/>
      <c r="BN777" s="665"/>
      <c r="BO777" s="665"/>
      <c r="BP777" s="665"/>
      <c r="BQ777" s="665"/>
      <c r="BR777" s="665"/>
      <c r="BS777" s="665"/>
      <c r="BT777" s="665"/>
      <c r="BU777" s="665"/>
      <c r="BV777" s="665"/>
      <c r="BW777" s="665"/>
      <c r="BX777" s="665"/>
      <c r="BY777" s="665"/>
      <c r="BZ777" s="665"/>
      <c r="CA777" s="665"/>
      <c r="CB777" s="665"/>
      <c r="CC777" s="665"/>
      <c r="CD777" s="665"/>
      <c r="CE777" s="665"/>
      <c r="CF777" s="665"/>
      <c r="CG777" s="665"/>
      <c r="CH777" s="665"/>
      <c r="CI777" s="665"/>
      <c r="CJ777" s="665"/>
      <c r="CK777" s="665"/>
      <c r="CL777" s="665"/>
      <c r="CM777" s="665"/>
      <c r="CN777" s="665"/>
      <c r="CO777" s="665"/>
      <c r="CP777" s="665"/>
      <c r="CQ777" s="665"/>
      <c r="CR777" s="665"/>
      <c r="CS777" s="665"/>
      <c r="CT777" s="665"/>
      <c r="CU777" s="665"/>
      <c r="CV777" s="665"/>
      <c r="CW777" s="665"/>
      <c r="CX777" s="665"/>
      <c r="CY777" s="665"/>
      <c r="CZ777" s="665"/>
      <c r="DA777" s="665"/>
      <c r="DB777" s="665"/>
      <c r="DC777" s="665"/>
      <c r="DD777" s="665"/>
      <c r="DE777" s="665"/>
      <c r="DF777" s="665"/>
      <c r="DG777" s="665"/>
      <c r="DH777" s="666"/>
    </row>
    <row r="778" spans="1:112" s="649" customFormat="1" ht="15.6" outlineLevel="1" x14ac:dyDescent="0.3">
      <c r="A778" s="652" t="str">
        <f>IF(J778&gt;0,"Imprimir","")</f>
        <v>Imprimir</v>
      </c>
      <c r="B778" s="652"/>
      <c r="C778" s="672"/>
      <c r="D778" s="673"/>
      <c r="E778" s="674" t="s">
        <v>483</v>
      </c>
      <c r="F778" s="675"/>
      <c r="G778" s="726"/>
      <c r="H778" s="676"/>
      <c r="I778" s="677"/>
      <c r="J778" s="219">
        <f>SUBTOTAL(9,J779:J828)</f>
        <v>5128.9285714285706</v>
      </c>
      <c r="K778" s="678"/>
      <c r="L778" s="747"/>
      <c r="M778" s="742"/>
      <c r="N778" s="742"/>
      <c r="O778" s="742"/>
      <c r="P778" s="742"/>
      <c r="Q778" s="742"/>
      <c r="R778" s="742"/>
      <c r="S778" s="742"/>
      <c r="T778" s="742"/>
      <c r="U778" s="742"/>
      <c r="V778" s="742"/>
      <c r="W778" s="742"/>
      <c r="X778" s="742"/>
      <c r="Y778" s="742"/>
      <c r="Z778" s="742"/>
      <c r="AA778" s="742"/>
      <c r="AB778" s="742"/>
      <c r="AC778" s="742"/>
      <c r="AD778" s="742"/>
      <c r="AE778" s="742"/>
      <c r="AF778" s="742"/>
      <c r="AG778" s="742"/>
      <c r="AH778" s="742"/>
      <c r="AI778" s="742"/>
      <c r="AJ778" s="742"/>
      <c r="AK778" s="742"/>
      <c r="AL778" s="742"/>
      <c r="AM778" s="742"/>
      <c r="AN778" s="742"/>
      <c r="AO778" s="742"/>
      <c r="AP778" s="742"/>
      <c r="AQ778" s="742"/>
      <c r="AR778" s="742"/>
      <c r="AS778" s="742"/>
      <c r="AT778" s="742"/>
      <c r="AU778" s="742"/>
      <c r="AV778" s="742"/>
      <c r="AW778" s="742"/>
      <c r="AX778" s="742"/>
      <c r="AY778" s="742"/>
      <c r="AZ778" s="742"/>
      <c r="BA778" s="742"/>
      <c r="BB778" s="742"/>
      <c r="BC778" s="742"/>
      <c r="BD778" s="742"/>
      <c r="BE778" s="742"/>
      <c r="BF778" s="742"/>
      <c r="BG778" s="742"/>
      <c r="BH778" s="668"/>
      <c r="BI778" s="654"/>
      <c r="BJ778" s="680"/>
      <c r="BK778" s="681"/>
      <c r="BL778" s="654"/>
      <c r="BM778" s="682"/>
      <c r="BN778" s="683"/>
      <c r="BO778" s="683"/>
      <c r="BP778" s="683"/>
      <c r="BQ778" s="683"/>
      <c r="BR778" s="683"/>
      <c r="BS778" s="683"/>
      <c r="BT778" s="683"/>
      <c r="BU778" s="683"/>
      <c r="BV778" s="683"/>
      <c r="BW778" s="683"/>
      <c r="BX778" s="683"/>
      <c r="BY778" s="683"/>
      <c r="BZ778" s="683"/>
      <c r="CA778" s="683"/>
      <c r="CB778" s="683"/>
      <c r="CC778" s="683"/>
      <c r="CD778" s="683"/>
      <c r="CE778" s="683"/>
      <c r="CF778" s="683"/>
      <c r="CG778" s="683"/>
      <c r="CH778" s="683"/>
      <c r="CI778" s="683"/>
      <c r="CJ778" s="683"/>
      <c r="CK778" s="683"/>
      <c r="CL778" s="683"/>
      <c r="CM778" s="683"/>
      <c r="CN778" s="683"/>
      <c r="CO778" s="683"/>
      <c r="CP778" s="683"/>
      <c r="CQ778" s="683"/>
      <c r="CR778" s="683"/>
      <c r="CS778" s="683"/>
      <c r="CT778" s="683"/>
      <c r="CU778" s="683"/>
      <c r="CV778" s="683"/>
      <c r="CW778" s="683"/>
      <c r="CX778" s="683"/>
      <c r="CY778" s="683"/>
      <c r="CZ778" s="683"/>
      <c r="DA778" s="683"/>
      <c r="DB778" s="683"/>
      <c r="DC778" s="683"/>
      <c r="DD778" s="683"/>
      <c r="DE778" s="683"/>
      <c r="DF778" s="683"/>
      <c r="DG778" s="683"/>
      <c r="DH778" s="684"/>
    </row>
    <row r="779" spans="1:112" s="649" customFormat="1" outlineLevel="1" x14ac:dyDescent="0.3">
      <c r="A779" s="652" t="str">
        <f t="shared" ref="A779:A827" si="280">IF(J779="","",IF(J779=0,"","Imprimir"))</f>
        <v>Imprimir</v>
      </c>
      <c r="B779" s="652"/>
      <c r="C779" s="685"/>
      <c r="D779" s="686" t="s">
        <v>2759</v>
      </c>
      <c r="E779" s="686" t="s">
        <v>484</v>
      </c>
      <c r="F779" s="720"/>
      <c r="G779" s="688">
        <v>442.85714285714283</v>
      </c>
      <c r="H779" s="689">
        <f>Producción!G78*1.4625</f>
        <v>4.3874999999999993</v>
      </c>
      <c r="I779" s="851">
        <f t="shared" ref="I779:I810" si="281">IF(E779&gt;0,$J$5,"")</f>
        <v>1</v>
      </c>
      <c r="J779" s="852">
        <f t="shared" ref="J779:J827" si="282">IFERROR(G779*H779*I779,"")</f>
        <v>1943.0357142857138</v>
      </c>
      <c r="K779" s="667"/>
      <c r="L779" s="858">
        <v>0.04</v>
      </c>
      <c r="M779" s="859">
        <v>0.04</v>
      </c>
      <c r="N779" s="859">
        <v>0.04</v>
      </c>
      <c r="O779" s="859">
        <v>0.04</v>
      </c>
      <c r="P779" s="859">
        <v>0.04</v>
      </c>
      <c r="Q779" s="859">
        <v>0.04</v>
      </c>
      <c r="R779" s="859">
        <v>0.04</v>
      </c>
      <c r="S779" s="859">
        <v>0.04</v>
      </c>
      <c r="T779" s="859">
        <v>0.04</v>
      </c>
      <c r="U779" s="859">
        <v>0.04</v>
      </c>
      <c r="V779" s="859">
        <v>0.04</v>
      </c>
      <c r="W779" s="859">
        <v>0.04</v>
      </c>
      <c r="X779" s="859">
        <v>0.04</v>
      </c>
      <c r="Y779" s="859">
        <v>0.04</v>
      </c>
      <c r="Z779" s="860">
        <v>0.04</v>
      </c>
      <c r="AA779" s="860">
        <v>0.04</v>
      </c>
      <c r="AB779" s="860">
        <v>0.04</v>
      </c>
      <c r="AC779" s="860">
        <v>0.04</v>
      </c>
      <c r="AD779" s="860">
        <v>0.04</v>
      </c>
      <c r="AE779" s="860">
        <v>0.04</v>
      </c>
      <c r="AF779" s="860">
        <v>0.04</v>
      </c>
      <c r="AG779" s="860">
        <v>0.04</v>
      </c>
      <c r="AH779" s="860">
        <v>0.04</v>
      </c>
      <c r="AI779" s="860">
        <v>0.04</v>
      </c>
      <c r="AJ779" s="860">
        <v>0.04</v>
      </c>
      <c r="AK779" s="860"/>
      <c r="AL779" s="860"/>
      <c r="AM779" s="860"/>
      <c r="AN779" s="860"/>
      <c r="AO779" s="860"/>
      <c r="AP779" s="860"/>
      <c r="AQ779" s="860"/>
      <c r="AR779" s="860"/>
      <c r="AS779" s="860"/>
      <c r="AT779" s="860"/>
      <c r="AU779" s="860"/>
      <c r="AV779" s="860"/>
      <c r="AW779" s="860"/>
      <c r="AX779" s="860"/>
      <c r="AY779" s="860"/>
      <c r="AZ779" s="860"/>
      <c r="BA779" s="860"/>
      <c r="BB779" s="860"/>
      <c r="BC779" s="860"/>
      <c r="BD779" s="860"/>
      <c r="BE779" s="860"/>
      <c r="BF779" s="860"/>
      <c r="BG779" s="860"/>
      <c r="BH779" s="668"/>
      <c r="BI779" s="667"/>
      <c r="BJ779" s="690">
        <f t="shared" ref="BJ779:BJ810" si="283">IFERROR(BK779/J779,0)</f>
        <v>0</v>
      </c>
      <c r="BK779" s="691">
        <f t="shared" ref="BK779:BK810" si="284">SUM(BM779:DH779)</f>
        <v>0</v>
      </c>
      <c r="BL779" s="654"/>
      <c r="BM779" s="692">
        <f>SUMIFS(Imput[[Importe Neto]:[Importe Neto]],Imput[[C. Imp.]:[C. Imp.]],$D779,Imput[[PERIODO Imp.]:[PERIODO Imp.]],BM$9)</f>
        <v>0</v>
      </c>
      <c r="BN779" s="693">
        <f>SUMIFS(Imput[[Importe Neto]:[Importe Neto]],Imput[[C. Imp.]:[C. Imp.]],$D779,Imput[[PERIODO Imp.]:[PERIODO Imp.]],BN$9)</f>
        <v>0</v>
      </c>
      <c r="BO779" s="693">
        <f>SUMIFS(Imput[[Importe Neto]:[Importe Neto]],Imput[[C. Imp.]:[C. Imp.]],$D779,Imput[[PERIODO Imp.]:[PERIODO Imp.]],BO$9)</f>
        <v>0</v>
      </c>
      <c r="BP779" s="693">
        <f>SUMIFS(Imput[[Importe Neto]:[Importe Neto]],Imput[[C. Imp.]:[C. Imp.]],$D779,Imput[[PERIODO Imp.]:[PERIODO Imp.]],BP$9)</f>
        <v>0</v>
      </c>
      <c r="BQ779" s="693">
        <f>SUMIFS(Imput[[Importe Neto]:[Importe Neto]],Imput[[C. Imp.]:[C. Imp.]],$D779,Imput[[PERIODO Imp.]:[PERIODO Imp.]],BQ$9)</f>
        <v>0</v>
      </c>
      <c r="BR779" s="693">
        <f>SUMIFS(Imput[[Importe Neto]:[Importe Neto]],Imput[[C. Imp.]:[C. Imp.]],$D779,Imput[[PERIODO Imp.]:[PERIODO Imp.]],BR$9)</f>
        <v>0</v>
      </c>
      <c r="BS779" s="693">
        <f>SUMIFS(Imput[[Importe Neto]:[Importe Neto]],Imput[[C. Imp.]:[C. Imp.]],$D779,Imput[[PERIODO Imp.]:[PERIODO Imp.]],BS$9)</f>
        <v>0</v>
      </c>
      <c r="BT779" s="693">
        <f>SUMIFS(Imput[[Importe Neto]:[Importe Neto]],Imput[[C. Imp.]:[C. Imp.]],$D779,Imput[[PERIODO Imp.]:[PERIODO Imp.]],BT$9)</f>
        <v>0</v>
      </c>
      <c r="BU779" s="693">
        <f>SUMIFS(Imput[[Importe Neto]:[Importe Neto]],Imput[[C. Imp.]:[C. Imp.]],$D779,Imput[[PERIODO Imp.]:[PERIODO Imp.]],BU$9)</f>
        <v>0</v>
      </c>
      <c r="BV779" s="693">
        <f>SUMIFS(Imput[[Importe Neto]:[Importe Neto]],Imput[[C. Imp.]:[C. Imp.]],$D779,Imput[[PERIODO Imp.]:[PERIODO Imp.]],BV$9)</f>
        <v>0</v>
      </c>
      <c r="BW779" s="693">
        <f>SUMIFS(Imput[[Importe Neto]:[Importe Neto]],Imput[[C. Imp.]:[C. Imp.]],$D779,Imput[[PERIODO Imp.]:[PERIODO Imp.]],BW$9)</f>
        <v>0</v>
      </c>
      <c r="BX779" s="693">
        <f>SUMIFS(Imput[[Importe Neto]:[Importe Neto]],Imput[[C. Imp.]:[C. Imp.]],$D779,Imput[[PERIODO Imp.]:[PERIODO Imp.]],BX$9)</f>
        <v>0</v>
      </c>
      <c r="BY779" s="693">
        <f>SUMIFS(Imput[[Importe Neto]:[Importe Neto]],Imput[[C. Imp.]:[C. Imp.]],$D779,Imput[[PERIODO Imp.]:[PERIODO Imp.]],BY$9)</f>
        <v>0</v>
      </c>
      <c r="BZ779" s="693">
        <f>SUMIFS(Imput[[Importe Neto]:[Importe Neto]],Imput[[C. Imp.]:[C. Imp.]],$D779,Imput[[PERIODO Imp.]:[PERIODO Imp.]],BZ$9)</f>
        <v>0</v>
      </c>
      <c r="CA779" s="693">
        <f>SUMIFS(Imput[[Importe Neto]:[Importe Neto]],Imput[[C. Imp.]:[C. Imp.]],$D779,Imput[[PERIODO Imp.]:[PERIODO Imp.]],CA$9)</f>
        <v>0</v>
      </c>
      <c r="CB779" s="693">
        <f>SUMIFS(Imput[[Importe Neto]:[Importe Neto]],Imput[[C. Imp.]:[C. Imp.]],$D779,Imput[[PERIODO Imp.]:[PERIODO Imp.]],CB$9)</f>
        <v>0</v>
      </c>
      <c r="CC779" s="693">
        <f>SUMIFS(Imput[[Importe Neto]:[Importe Neto]],Imput[[C. Imp.]:[C. Imp.]],$D779,Imput[[PERIODO Imp.]:[PERIODO Imp.]],CC$9)</f>
        <v>0</v>
      </c>
      <c r="CD779" s="693">
        <f>SUMIFS(Imput[[Importe Neto]:[Importe Neto]],Imput[[C. Imp.]:[C. Imp.]],$D779,Imput[[PERIODO Imp.]:[PERIODO Imp.]],CD$9)</f>
        <v>0</v>
      </c>
      <c r="CE779" s="693">
        <f>SUMIFS(Imput[[Importe Neto]:[Importe Neto]],Imput[[C. Imp.]:[C. Imp.]],$D779,Imput[[PERIODO Imp.]:[PERIODO Imp.]],CE$9)</f>
        <v>0</v>
      </c>
      <c r="CF779" s="693">
        <f>SUMIFS(Imput[[Importe Neto]:[Importe Neto]],Imput[[C. Imp.]:[C. Imp.]],$D779,Imput[[PERIODO Imp.]:[PERIODO Imp.]],CF$9)</f>
        <v>0</v>
      </c>
      <c r="CG779" s="693">
        <f>SUMIFS(Imput[[Importe Neto]:[Importe Neto]],Imput[[C. Imp.]:[C. Imp.]],$D779,Imput[[PERIODO Imp.]:[PERIODO Imp.]],CG$9)</f>
        <v>0</v>
      </c>
      <c r="CH779" s="693">
        <f>SUMIFS(Imput[[Importe Neto]:[Importe Neto]],Imput[[C. Imp.]:[C. Imp.]],$D779,Imput[[PERIODO Imp.]:[PERIODO Imp.]],CH$9)</f>
        <v>0</v>
      </c>
      <c r="CI779" s="693">
        <f>SUMIFS(Imput[[Importe Neto]:[Importe Neto]],Imput[[C. Imp.]:[C. Imp.]],$D779,Imput[[PERIODO Imp.]:[PERIODO Imp.]],CI$9)</f>
        <v>0</v>
      </c>
      <c r="CJ779" s="693">
        <f>SUMIFS(Imput[[Importe Neto]:[Importe Neto]],Imput[[C. Imp.]:[C. Imp.]],$D779,Imput[[PERIODO Imp.]:[PERIODO Imp.]],CJ$9)</f>
        <v>0</v>
      </c>
      <c r="CK779" s="693">
        <f>SUMIFS(Imput[[Importe Neto]:[Importe Neto]],Imput[[C. Imp.]:[C. Imp.]],$D779,Imput[[PERIODO Imp.]:[PERIODO Imp.]],CK$9)</f>
        <v>0</v>
      </c>
      <c r="CL779" s="693">
        <f>SUMIFS(Imput[[Importe Neto]:[Importe Neto]],Imput[[C. Imp.]:[C. Imp.]],$D779,Imput[[PERIODO Imp.]:[PERIODO Imp.]],CL$9)</f>
        <v>0</v>
      </c>
      <c r="CM779" s="693">
        <f>SUMIFS(Imput[[Importe Neto]:[Importe Neto]],Imput[[C. Imp.]:[C. Imp.]],$D779,Imput[[PERIODO Imp.]:[PERIODO Imp.]],CM$9)</f>
        <v>0</v>
      </c>
      <c r="CN779" s="693">
        <f>SUMIFS(Imput[[Importe Neto]:[Importe Neto]],Imput[[C. Imp.]:[C. Imp.]],$D779,Imput[[PERIODO Imp.]:[PERIODO Imp.]],CN$9)</f>
        <v>0</v>
      </c>
      <c r="CO779" s="693">
        <f>SUMIFS(Imput[[Importe Neto]:[Importe Neto]],Imput[[C. Imp.]:[C. Imp.]],$D779,Imput[[PERIODO Imp.]:[PERIODO Imp.]],CO$9)</f>
        <v>0</v>
      </c>
      <c r="CP779" s="693">
        <f>SUMIFS(Imput[[Importe Neto]:[Importe Neto]],Imput[[C. Imp.]:[C. Imp.]],$D779,Imput[[PERIODO Imp.]:[PERIODO Imp.]],CP$9)</f>
        <v>0</v>
      </c>
      <c r="CQ779" s="693">
        <f>SUMIFS(Imput[[Importe Neto]:[Importe Neto]],Imput[[C. Imp.]:[C. Imp.]],$D779,Imput[[PERIODO Imp.]:[PERIODO Imp.]],CQ$9)</f>
        <v>0</v>
      </c>
      <c r="CR779" s="693">
        <f>SUMIFS(Imput[[Importe Neto]:[Importe Neto]],Imput[[C. Imp.]:[C. Imp.]],$D779,Imput[[PERIODO Imp.]:[PERIODO Imp.]],CR$9)</f>
        <v>0</v>
      </c>
      <c r="CS779" s="693">
        <f>SUMIFS(Imput[[Importe Neto]:[Importe Neto]],Imput[[C. Imp.]:[C. Imp.]],$D779,Imput[[PERIODO Imp.]:[PERIODO Imp.]],CS$9)</f>
        <v>0</v>
      </c>
      <c r="CT779" s="693">
        <f>SUMIFS(Imput[[Importe Neto]:[Importe Neto]],Imput[[C. Imp.]:[C. Imp.]],$D779,Imput[[PERIODO Imp.]:[PERIODO Imp.]],CT$9)</f>
        <v>0</v>
      </c>
      <c r="CU779" s="693">
        <f>SUMIFS(Imput[[Importe Neto]:[Importe Neto]],Imput[[C. Imp.]:[C. Imp.]],$D779,Imput[[PERIODO Imp.]:[PERIODO Imp.]],CU$9)</f>
        <v>0</v>
      </c>
      <c r="CV779" s="693">
        <f>SUMIFS(Imput[[Importe Neto]:[Importe Neto]],Imput[[C. Imp.]:[C. Imp.]],$D779,Imput[[PERIODO Imp.]:[PERIODO Imp.]],CV$9)</f>
        <v>0</v>
      </c>
      <c r="CW779" s="693">
        <f>SUMIFS(Imput[[Importe Neto]:[Importe Neto]],Imput[[C. Imp.]:[C. Imp.]],$D779,Imput[[PERIODO Imp.]:[PERIODO Imp.]],CW$9)</f>
        <v>0</v>
      </c>
      <c r="CX779" s="693">
        <f>SUMIFS(Imput[[Importe Neto]:[Importe Neto]],Imput[[C. Imp.]:[C. Imp.]],$D779,Imput[[PERIODO Imp.]:[PERIODO Imp.]],CX$9)</f>
        <v>0</v>
      </c>
      <c r="CY779" s="693">
        <f>SUMIFS(Imput[[Importe Neto]:[Importe Neto]],Imput[[C. Imp.]:[C. Imp.]],$D779,Imput[[PERIODO Imp.]:[PERIODO Imp.]],CY$9)</f>
        <v>0</v>
      </c>
      <c r="CZ779" s="693">
        <f>SUMIFS(Imput[[Importe Neto]:[Importe Neto]],Imput[[C. Imp.]:[C. Imp.]],$D779,Imput[[PERIODO Imp.]:[PERIODO Imp.]],CZ$9)</f>
        <v>0</v>
      </c>
      <c r="DA779" s="693">
        <f>SUMIFS(Imput[[Importe Neto]:[Importe Neto]],Imput[[C. Imp.]:[C. Imp.]],$D779,Imput[[PERIODO Imp.]:[PERIODO Imp.]],DA$9)</f>
        <v>0</v>
      </c>
      <c r="DB779" s="693">
        <f>SUMIFS(Imput[[Importe Neto]:[Importe Neto]],Imput[[C. Imp.]:[C. Imp.]],$D779,Imput[[PERIODO Imp.]:[PERIODO Imp.]],DB$9)</f>
        <v>0</v>
      </c>
      <c r="DC779" s="693">
        <f>SUMIFS(Imput[[Importe Neto]:[Importe Neto]],Imput[[C. Imp.]:[C. Imp.]],$D779,Imput[[PERIODO Imp.]:[PERIODO Imp.]],DC$9)</f>
        <v>0</v>
      </c>
      <c r="DD779" s="693">
        <f>SUMIFS(Imput[[Importe Neto]:[Importe Neto]],Imput[[C. Imp.]:[C. Imp.]],$D779,Imput[[PERIODO Imp.]:[PERIODO Imp.]],DD$9)</f>
        <v>0</v>
      </c>
      <c r="DE779" s="693">
        <f>SUMIFS(Imput[[Importe Neto]:[Importe Neto]],Imput[[C. Imp.]:[C. Imp.]],$D779,Imput[[PERIODO Imp.]:[PERIODO Imp.]],DE$9)</f>
        <v>0</v>
      </c>
      <c r="DF779" s="693">
        <f>SUMIFS(Imput[[Importe Neto]:[Importe Neto]],Imput[[C. Imp.]:[C. Imp.]],$D779,Imput[[PERIODO Imp.]:[PERIODO Imp.]],DF$9)</f>
        <v>0</v>
      </c>
      <c r="DG779" s="693">
        <f>SUMIFS(Imput[[Importe Neto]:[Importe Neto]],Imput[[C. Imp.]:[C. Imp.]],$D779,Imput[[PERIODO Imp.]:[PERIODO Imp.]],DG$9)</f>
        <v>0</v>
      </c>
      <c r="DH779" s="694">
        <f>SUMIFS(Imput[[Importe Neto]:[Importe Neto]],Imput[[C. Imp.]:[C. Imp.]],$D779,Imput[[PERIODO Imp.]:[PERIODO Imp.]],DH$9)</f>
        <v>0</v>
      </c>
    </row>
    <row r="780" spans="1:112" s="649" customFormat="1" outlineLevel="1" x14ac:dyDescent="0.3">
      <c r="A780" s="652" t="str">
        <f t="shared" si="280"/>
        <v>Imprimir</v>
      </c>
      <c r="B780" s="652"/>
      <c r="C780" s="685"/>
      <c r="D780" s="686" t="s">
        <v>2760</v>
      </c>
      <c r="E780" s="686" t="s">
        <v>485</v>
      </c>
      <c r="F780" s="720"/>
      <c r="G780" s="688">
        <v>442.85714285714283</v>
      </c>
      <c r="H780" s="689">
        <f>Producción!G78*0.275</f>
        <v>0.82500000000000007</v>
      </c>
      <c r="I780" s="851">
        <f t="shared" si="281"/>
        <v>1</v>
      </c>
      <c r="J780" s="852">
        <f t="shared" si="282"/>
        <v>365.35714285714289</v>
      </c>
      <c r="K780" s="667"/>
      <c r="L780" s="858">
        <v>0.04</v>
      </c>
      <c r="M780" s="859">
        <v>0.04</v>
      </c>
      <c r="N780" s="859">
        <v>0.04</v>
      </c>
      <c r="O780" s="859">
        <v>0.04</v>
      </c>
      <c r="P780" s="859">
        <v>0.04</v>
      </c>
      <c r="Q780" s="859">
        <v>0.04</v>
      </c>
      <c r="R780" s="859">
        <v>0.04</v>
      </c>
      <c r="S780" s="859">
        <v>0.04</v>
      </c>
      <c r="T780" s="859">
        <v>0.04</v>
      </c>
      <c r="U780" s="859">
        <v>0.04</v>
      </c>
      <c r="V780" s="859">
        <v>0.04</v>
      </c>
      <c r="W780" s="859">
        <v>0.04</v>
      </c>
      <c r="X780" s="859">
        <v>0.04</v>
      </c>
      <c r="Y780" s="859">
        <v>0.04</v>
      </c>
      <c r="Z780" s="860">
        <v>0.04</v>
      </c>
      <c r="AA780" s="860">
        <v>0.04</v>
      </c>
      <c r="AB780" s="860">
        <v>0.04</v>
      </c>
      <c r="AC780" s="860">
        <v>0.04</v>
      </c>
      <c r="AD780" s="860">
        <v>0.04</v>
      </c>
      <c r="AE780" s="860">
        <v>0.04</v>
      </c>
      <c r="AF780" s="860">
        <v>0.04</v>
      </c>
      <c r="AG780" s="860">
        <v>0.04</v>
      </c>
      <c r="AH780" s="860">
        <v>0.04</v>
      </c>
      <c r="AI780" s="860">
        <v>0.04</v>
      </c>
      <c r="AJ780" s="860">
        <v>0.04</v>
      </c>
      <c r="AK780" s="860"/>
      <c r="AL780" s="860"/>
      <c r="AM780" s="860"/>
      <c r="AN780" s="860"/>
      <c r="AO780" s="860"/>
      <c r="AP780" s="860"/>
      <c r="AQ780" s="860"/>
      <c r="AR780" s="860"/>
      <c r="AS780" s="860"/>
      <c r="AT780" s="860"/>
      <c r="AU780" s="860"/>
      <c r="AV780" s="860"/>
      <c r="AW780" s="860"/>
      <c r="AX780" s="860"/>
      <c r="AY780" s="860"/>
      <c r="AZ780" s="860"/>
      <c r="BA780" s="860"/>
      <c r="BB780" s="860"/>
      <c r="BC780" s="860"/>
      <c r="BD780" s="860"/>
      <c r="BE780" s="860"/>
      <c r="BF780" s="860"/>
      <c r="BG780" s="860"/>
      <c r="BH780" s="668"/>
      <c r="BI780" s="667"/>
      <c r="BJ780" s="690">
        <f t="shared" si="283"/>
        <v>0</v>
      </c>
      <c r="BK780" s="691">
        <f t="shared" si="284"/>
        <v>0</v>
      </c>
      <c r="BL780" s="654"/>
      <c r="BM780" s="692">
        <f>SUMIFS(Imput[[Importe Neto]:[Importe Neto]],Imput[[C. Imp.]:[C. Imp.]],$D780,Imput[[PERIODO Imp.]:[PERIODO Imp.]],BM$9)</f>
        <v>0</v>
      </c>
      <c r="BN780" s="693">
        <f>SUMIFS(Imput[[Importe Neto]:[Importe Neto]],Imput[[C. Imp.]:[C. Imp.]],$D780,Imput[[PERIODO Imp.]:[PERIODO Imp.]],BN$9)</f>
        <v>0</v>
      </c>
      <c r="BO780" s="693">
        <f>SUMIFS(Imput[[Importe Neto]:[Importe Neto]],Imput[[C. Imp.]:[C. Imp.]],$D780,Imput[[PERIODO Imp.]:[PERIODO Imp.]],BO$9)</f>
        <v>0</v>
      </c>
      <c r="BP780" s="693">
        <f>SUMIFS(Imput[[Importe Neto]:[Importe Neto]],Imput[[C. Imp.]:[C. Imp.]],$D780,Imput[[PERIODO Imp.]:[PERIODO Imp.]],BP$9)</f>
        <v>0</v>
      </c>
      <c r="BQ780" s="693">
        <f>SUMIFS(Imput[[Importe Neto]:[Importe Neto]],Imput[[C. Imp.]:[C. Imp.]],$D780,Imput[[PERIODO Imp.]:[PERIODO Imp.]],BQ$9)</f>
        <v>0</v>
      </c>
      <c r="BR780" s="693">
        <f>SUMIFS(Imput[[Importe Neto]:[Importe Neto]],Imput[[C. Imp.]:[C. Imp.]],$D780,Imput[[PERIODO Imp.]:[PERIODO Imp.]],BR$9)</f>
        <v>0</v>
      </c>
      <c r="BS780" s="693">
        <f>SUMIFS(Imput[[Importe Neto]:[Importe Neto]],Imput[[C. Imp.]:[C. Imp.]],$D780,Imput[[PERIODO Imp.]:[PERIODO Imp.]],BS$9)</f>
        <v>0</v>
      </c>
      <c r="BT780" s="693">
        <f>SUMIFS(Imput[[Importe Neto]:[Importe Neto]],Imput[[C. Imp.]:[C. Imp.]],$D780,Imput[[PERIODO Imp.]:[PERIODO Imp.]],BT$9)</f>
        <v>0</v>
      </c>
      <c r="BU780" s="693">
        <f>SUMIFS(Imput[[Importe Neto]:[Importe Neto]],Imput[[C. Imp.]:[C. Imp.]],$D780,Imput[[PERIODO Imp.]:[PERIODO Imp.]],BU$9)</f>
        <v>0</v>
      </c>
      <c r="BV780" s="693">
        <f>SUMIFS(Imput[[Importe Neto]:[Importe Neto]],Imput[[C. Imp.]:[C. Imp.]],$D780,Imput[[PERIODO Imp.]:[PERIODO Imp.]],BV$9)</f>
        <v>0</v>
      </c>
      <c r="BW780" s="693">
        <f>SUMIFS(Imput[[Importe Neto]:[Importe Neto]],Imput[[C. Imp.]:[C. Imp.]],$D780,Imput[[PERIODO Imp.]:[PERIODO Imp.]],BW$9)</f>
        <v>0</v>
      </c>
      <c r="BX780" s="693">
        <f>SUMIFS(Imput[[Importe Neto]:[Importe Neto]],Imput[[C. Imp.]:[C. Imp.]],$D780,Imput[[PERIODO Imp.]:[PERIODO Imp.]],BX$9)</f>
        <v>0</v>
      </c>
      <c r="BY780" s="693">
        <f>SUMIFS(Imput[[Importe Neto]:[Importe Neto]],Imput[[C. Imp.]:[C. Imp.]],$D780,Imput[[PERIODO Imp.]:[PERIODO Imp.]],BY$9)</f>
        <v>0</v>
      </c>
      <c r="BZ780" s="693">
        <f>SUMIFS(Imput[[Importe Neto]:[Importe Neto]],Imput[[C. Imp.]:[C. Imp.]],$D780,Imput[[PERIODO Imp.]:[PERIODO Imp.]],BZ$9)</f>
        <v>0</v>
      </c>
      <c r="CA780" s="693">
        <f>SUMIFS(Imput[[Importe Neto]:[Importe Neto]],Imput[[C. Imp.]:[C. Imp.]],$D780,Imput[[PERIODO Imp.]:[PERIODO Imp.]],CA$9)</f>
        <v>0</v>
      </c>
      <c r="CB780" s="693">
        <f>SUMIFS(Imput[[Importe Neto]:[Importe Neto]],Imput[[C. Imp.]:[C. Imp.]],$D780,Imput[[PERIODO Imp.]:[PERIODO Imp.]],CB$9)</f>
        <v>0</v>
      </c>
      <c r="CC780" s="693">
        <f>SUMIFS(Imput[[Importe Neto]:[Importe Neto]],Imput[[C. Imp.]:[C. Imp.]],$D780,Imput[[PERIODO Imp.]:[PERIODO Imp.]],CC$9)</f>
        <v>0</v>
      </c>
      <c r="CD780" s="693">
        <f>SUMIFS(Imput[[Importe Neto]:[Importe Neto]],Imput[[C. Imp.]:[C. Imp.]],$D780,Imput[[PERIODO Imp.]:[PERIODO Imp.]],CD$9)</f>
        <v>0</v>
      </c>
      <c r="CE780" s="693">
        <f>SUMIFS(Imput[[Importe Neto]:[Importe Neto]],Imput[[C. Imp.]:[C. Imp.]],$D780,Imput[[PERIODO Imp.]:[PERIODO Imp.]],CE$9)</f>
        <v>0</v>
      </c>
      <c r="CF780" s="693">
        <f>SUMIFS(Imput[[Importe Neto]:[Importe Neto]],Imput[[C. Imp.]:[C. Imp.]],$D780,Imput[[PERIODO Imp.]:[PERIODO Imp.]],CF$9)</f>
        <v>0</v>
      </c>
      <c r="CG780" s="693">
        <f>SUMIFS(Imput[[Importe Neto]:[Importe Neto]],Imput[[C. Imp.]:[C. Imp.]],$D780,Imput[[PERIODO Imp.]:[PERIODO Imp.]],CG$9)</f>
        <v>0</v>
      </c>
      <c r="CH780" s="693">
        <f>SUMIFS(Imput[[Importe Neto]:[Importe Neto]],Imput[[C. Imp.]:[C. Imp.]],$D780,Imput[[PERIODO Imp.]:[PERIODO Imp.]],CH$9)</f>
        <v>0</v>
      </c>
      <c r="CI780" s="693">
        <f>SUMIFS(Imput[[Importe Neto]:[Importe Neto]],Imput[[C. Imp.]:[C. Imp.]],$D780,Imput[[PERIODO Imp.]:[PERIODO Imp.]],CI$9)</f>
        <v>0</v>
      </c>
      <c r="CJ780" s="693">
        <f>SUMIFS(Imput[[Importe Neto]:[Importe Neto]],Imput[[C. Imp.]:[C. Imp.]],$D780,Imput[[PERIODO Imp.]:[PERIODO Imp.]],CJ$9)</f>
        <v>0</v>
      </c>
      <c r="CK780" s="693">
        <f>SUMIFS(Imput[[Importe Neto]:[Importe Neto]],Imput[[C. Imp.]:[C. Imp.]],$D780,Imput[[PERIODO Imp.]:[PERIODO Imp.]],CK$9)</f>
        <v>0</v>
      </c>
      <c r="CL780" s="693">
        <f>SUMIFS(Imput[[Importe Neto]:[Importe Neto]],Imput[[C. Imp.]:[C. Imp.]],$D780,Imput[[PERIODO Imp.]:[PERIODO Imp.]],CL$9)</f>
        <v>0</v>
      </c>
      <c r="CM780" s="693">
        <f>SUMIFS(Imput[[Importe Neto]:[Importe Neto]],Imput[[C. Imp.]:[C. Imp.]],$D780,Imput[[PERIODO Imp.]:[PERIODO Imp.]],CM$9)</f>
        <v>0</v>
      </c>
      <c r="CN780" s="693">
        <f>SUMIFS(Imput[[Importe Neto]:[Importe Neto]],Imput[[C. Imp.]:[C. Imp.]],$D780,Imput[[PERIODO Imp.]:[PERIODO Imp.]],CN$9)</f>
        <v>0</v>
      </c>
      <c r="CO780" s="693">
        <f>SUMIFS(Imput[[Importe Neto]:[Importe Neto]],Imput[[C. Imp.]:[C. Imp.]],$D780,Imput[[PERIODO Imp.]:[PERIODO Imp.]],CO$9)</f>
        <v>0</v>
      </c>
      <c r="CP780" s="693">
        <f>SUMIFS(Imput[[Importe Neto]:[Importe Neto]],Imput[[C. Imp.]:[C. Imp.]],$D780,Imput[[PERIODO Imp.]:[PERIODO Imp.]],CP$9)</f>
        <v>0</v>
      </c>
      <c r="CQ780" s="693">
        <f>SUMIFS(Imput[[Importe Neto]:[Importe Neto]],Imput[[C. Imp.]:[C. Imp.]],$D780,Imput[[PERIODO Imp.]:[PERIODO Imp.]],CQ$9)</f>
        <v>0</v>
      </c>
      <c r="CR780" s="693">
        <f>SUMIFS(Imput[[Importe Neto]:[Importe Neto]],Imput[[C. Imp.]:[C. Imp.]],$D780,Imput[[PERIODO Imp.]:[PERIODO Imp.]],CR$9)</f>
        <v>0</v>
      </c>
      <c r="CS780" s="693">
        <f>SUMIFS(Imput[[Importe Neto]:[Importe Neto]],Imput[[C. Imp.]:[C. Imp.]],$D780,Imput[[PERIODO Imp.]:[PERIODO Imp.]],CS$9)</f>
        <v>0</v>
      </c>
      <c r="CT780" s="693">
        <f>SUMIFS(Imput[[Importe Neto]:[Importe Neto]],Imput[[C. Imp.]:[C. Imp.]],$D780,Imput[[PERIODO Imp.]:[PERIODO Imp.]],CT$9)</f>
        <v>0</v>
      </c>
      <c r="CU780" s="693">
        <f>SUMIFS(Imput[[Importe Neto]:[Importe Neto]],Imput[[C. Imp.]:[C. Imp.]],$D780,Imput[[PERIODO Imp.]:[PERIODO Imp.]],CU$9)</f>
        <v>0</v>
      </c>
      <c r="CV780" s="693">
        <f>SUMIFS(Imput[[Importe Neto]:[Importe Neto]],Imput[[C. Imp.]:[C. Imp.]],$D780,Imput[[PERIODO Imp.]:[PERIODO Imp.]],CV$9)</f>
        <v>0</v>
      </c>
      <c r="CW780" s="693">
        <f>SUMIFS(Imput[[Importe Neto]:[Importe Neto]],Imput[[C. Imp.]:[C. Imp.]],$D780,Imput[[PERIODO Imp.]:[PERIODO Imp.]],CW$9)</f>
        <v>0</v>
      </c>
      <c r="CX780" s="693">
        <f>SUMIFS(Imput[[Importe Neto]:[Importe Neto]],Imput[[C. Imp.]:[C. Imp.]],$D780,Imput[[PERIODO Imp.]:[PERIODO Imp.]],CX$9)</f>
        <v>0</v>
      </c>
      <c r="CY780" s="693">
        <f>SUMIFS(Imput[[Importe Neto]:[Importe Neto]],Imput[[C. Imp.]:[C. Imp.]],$D780,Imput[[PERIODO Imp.]:[PERIODO Imp.]],CY$9)</f>
        <v>0</v>
      </c>
      <c r="CZ780" s="693">
        <f>SUMIFS(Imput[[Importe Neto]:[Importe Neto]],Imput[[C. Imp.]:[C. Imp.]],$D780,Imput[[PERIODO Imp.]:[PERIODO Imp.]],CZ$9)</f>
        <v>0</v>
      </c>
      <c r="DA780" s="693">
        <f>SUMIFS(Imput[[Importe Neto]:[Importe Neto]],Imput[[C. Imp.]:[C. Imp.]],$D780,Imput[[PERIODO Imp.]:[PERIODO Imp.]],DA$9)</f>
        <v>0</v>
      </c>
      <c r="DB780" s="693">
        <f>SUMIFS(Imput[[Importe Neto]:[Importe Neto]],Imput[[C. Imp.]:[C. Imp.]],$D780,Imput[[PERIODO Imp.]:[PERIODO Imp.]],DB$9)</f>
        <v>0</v>
      </c>
      <c r="DC780" s="693">
        <f>SUMIFS(Imput[[Importe Neto]:[Importe Neto]],Imput[[C. Imp.]:[C. Imp.]],$D780,Imput[[PERIODO Imp.]:[PERIODO Imp.]],DC$9)</f>
        <v>0</v>
      </c>
      <c r="DD780" s="693">
        <f>SUMIFS(Imput[[Importe Neto]:[Importe Neto]],Imput[[C. Imp.]:[C. Imp.]],$D780,Imput[[PERIODO Imp.]:[PERIODO Imp.]],DD$9)</f>
        <v>0</v>
      </c>
      <c r="DE780" s="693">
        <f>SUMIFS(Imput[[Importe Neto]:[Importe Neto]],Imput[[C. Imp.]:[C. Imp.]],$D780,Imput[[PERIODO Imp.]:[PERIODO Imp.]],DE$9)</f>
        <v>0</v>
      </c>
      <c r="DF780" s="693">
        <f>SUMIFS(Imput[[Importe Neto]:[Importe Neto]],Imput[[C. Imp.]:[C. Imp.]],$D780,Imput[[PERIODO Imp.]:[PERIODO Imp.]],DF$9)</f>
        <v>0</v>
      </c>
      <c r="DG780" s="693">
        <f>SUMIFS(Imput[[Importe Neto]:[Importe Neto]],Imput[[C. Imp.]:[C. Imp.]],$D780,Imput[[PERIODO Imp.]:[PERIODO Imp.]],DG$9)</f>
        <v>0</v>
      </c>
      <c r="DH780" s="694">
        <f>SUMIFS(Imput[[Importe Neto]:[Importe Neto]],Imput[[C. Imp.]:[C. Imp.]],$D780,Imput[[PERIODO Imp.]:[PERIODO Imp.]],DH$9)</f>
        <v>0</v>
      </c>
    </row>
    <row r="781" spans="1:112" s="649" customFormat="1" outlineLevel="1" x14ac:dyDescent="0.3">
      <c r="A781" s="652" t="str">
        <f t="shared" si="280"/>
        <v>Imprimir</v>
      </c>
      <c r="B781" s="652"/>
      <c r="C781" s="685"/>
      <c r="D781" s="686" t="s">
        <v>2761</v>
      </c>
      <c r="E781" s="686" t="s">
        <v>486</v>
      </c>
      <c r="F781" s="720"/>
      <c r="G781" s="688">
        <v>642.85714285714289</v>
      </c>
      <c r="H781" s="689">
        <f>Producción!G78*1.4625</f>
        <v>4.3874999999999993</v>
      </c>
      <c r="I781" s="851">
        <f t="shared" si="281"/>
        <v>1</v>
      </c>
      <c r="J781" s="852">
        <f t="shared" si="282"/>
        <v>2820.5357142857138</v>
      </c>
      <c r="K781" s="667"/>
      <c r="L781" s="858">
        <v>0.04</v>
      </c>
      <c r="M781" s="859">
        <v>0.04</v>
      </c>
      <c r="N781" s="859">
        <v>0.04</v>
      </c>
      <c r="O781" s="859">
        <v>0.04</v>
      </c>
      <c r="P781" s="859">
        <v>0.04</v>
      </c>
      <c r="Q781" s="859">
        <v>0.04</v>
      </c>
      <c r="R781" s="859">
        <v>0.04</v>
      </c>
      <c r="S781" s="859">
        <v>0.04</v>
      </c>
      <c r="T781" s="859">
        <v>0.04</v>
      </c>
      <c r="U781" s="859">
        <v>0.04</v>
      </c>
      <c r="V781" s="859">
        <v>0.04</v>
      </c>
      <c r="W781" s="859">
        <v>0.04</v>
      </c>
      <c r="X781" s="859">
        <v>0.04</v>
      </c>
      <c r="Y781" s="859">
        <v>0.04</v>
      </c>
      <c r="Z781" s="860">
        <v>0.04</v>
      </c>
      <c r="AA781" s="860">
        <v>0.04</v>
      </c>
      <c r="AB781" s="860">
        <v>0.04</v>
      </c>
      <c r="AC781" s="860">
        <v>0.04</v>
      </c>
      <c r="AD781" s="860">
        <v>0.04</v>
      </c>
      <c r="AE781" s="860">
        <v>0.04</v>
      </c>
      <c r="AF781" s="860">
        <v>0.04</v>
      </c>
      <c r="AG781" s="860">
        <v>0.04</v>
      </c>
      <c r="AH781" s="860">
        <v>0.04</v>
      </c>
      <c r="AI781" s="860">
        <v>0.04</v>
      </c>
      <c r="AJ781" s="860">
        <v>0.04</v>
      </c>
      <c r="AK781" s="860"/>
      <c r="AL781" s="860"/>
      <c r="AM781" s="860"/>
      <c r="AN781" s="860"/>
      <c r="AO781" s="860"/>
      <c r="AP781" s="860"/>
      <c r="AQ781" s="860"/>
      <c r="AR781" s="860"/>
      <c r="AS781" s="860"/>
      <c r="AT781" s="860"/>
      <c r="AU781" s="860"/>
      <c r="AV781" s="860"/>
      <c r="AW781" s="860"/>
      <c r="AX781" s="860"/>
      <c r="AY781" s="860"/>
      <c r="AZ781" s="860"/>
      <c r="BA781" s="860"/>
      <c r="BB781" s="860"/>
      <c r="BC781" s="860"/>
      <c r="BD781" s="860"/>
      <c r="BE781" s="860"/>
      <c r="BF781" s="860"/>
      <c r="BG781" s="860"/>
      <c r="BH781" s="668"/>
      <c r="BI781" s="667"/>
      <c r="BJ781" s="690">
        <f t="shared" si="283"/>
        <v>0</v>
      </c>
      <c r="BK781" s="691">
        <f t="shared" si="284"/>
        <v>0</v>
      </c>
      <c r="BL781" s="654"/>
      <c r="BM781" s="692">
        <f>SUMIFS(Imput[[Importe Neto]:[Importe Neto]],Imput[[C. Imp.]:[C. Imp.]],$D781,Imput[[PERIODO Imp.]:[PERIODO Imp.]],BM$9)</f>
        <v>0</v>
      </c>
      <c r="BN781" s="693">
        <f>SUMIFS(Imput[[Importe Neto]:[Importe Neto]],Imput[[C. Imp.]:[C. Imp.]],$D781,Imput[[PERIODO Imp.]:[PERIODO Imp.]],BN$9)</f>
        <v>0</v>
      </c>
      <c r="BO781" s="693">
        <f>SUMIFS(Imput[[Importe Neto]:[Importe Neto]],Imput[[C. Imp.]:[C. Imp.]],$D781,Imput[[PERIODO Imp.]:[PERIODO Imp.]],BO$9)</f>
        <v>0</v>
      </c>
      <c r="BP781" s="693">
        <f>SUMIFS(Imput[[Importe Neto]:[Importe Neto]],Imput[[C. Imp.]:[C. Imp.]],$D781,Imput[[PERIODO Imp.]:[PERIODO Imp.]],BP$9)</f>
        <v>0</v>
      </c>
      <c r="BQ781" s="693">
        <f>SUMIFS(Imput[[Importe Neto]:[Importe Neto]],Imput[[C. Imp.]:[C. Imp.]],$D781,Imput[[PERIODO Imp.]:[PERIODO Imp.]],BQ$9)</f>
        <v>0</v>
      </c>
      <c r="BR781" s="693">
        <f>SUMIFS(Imput[[Importe Neto]:[Importe Neto]],Imput[[C. Imp.]:[C. Imp.]],$D781,Imput[[PERIODO Imp.]:[PERIODO Imp.]],BR$9)</f>
        <v>0</v>
      </c>
      <c r="BS781" s="693">
        <f>SUMIFS(Imput[[Importe Neto]:[Importe Neto]],Imput[[C. Imp.]:[C. Imp.]],$D781,Imput[[PERIODO Imp.]:[PERIODO Imp.]],BS$9)</f>
        <v>0</v>
      </c>
      <c r="BT781" s="693">
        <f>SUMIFS(Imput[[Importe Neto]:[Importe Neto]],Imput[[C. Imp.]:[C. Imp.]],$D781,Imput[[PERIODO Imp.]:[PERIODO Imp.]],BT$9)</f>
        <v>0</v>
      </c>
      <c r="BU781" s="693">
        <f>SUMIFS(Imput[[Importe Neto]:[Importe Neto]],Imput[[C. Imp.]:[C. Imp.]],$D781,Imput[[PERIODO Imp.]:[PERIODO Imp.]],BU$9)</f>
        <v>0</v>
      </c>
      <c r="BV781" s="693">
        <f>SUMIFS(Imput[[Importe Neto]:[Importe Neto]],Imput[[C. Imp.]:[C. Imp.]],$D781,Imput[[PERIODO Imp.]:[PERIODO Imp.]],BV$9)</f>
        <v>0</v>
      </c>
      <c r="BW781" s="693">
        <f>SUMIFS(Imput[[Importe Neto]:[Importe Neto]],Imput[[C. Imp.]:[C. Imp.]],$D781,Imput[[PERIODO Imp.]:[PERIODO Imp.]],BW$9)</f>
        <v>0</v>
      </c>
      <c r="BX781" s="693">
        <f>SUMIFS(Imput[[Importe Neto]:[Importe Neto]],Imput[[C. Imp.]:[C. Imp.]],$D781,Imput[[PERIODO Imp.]:[PERIODO Imp.]],BX$9)</f>
        <v>0</v>
      </c>
      <c r="BY781" s="693">
        <f>SUMIFS(Imput[[Importe Neto]:[Importe Neto]],Imput[[C. Imp.]:[C. Imp.]],$D781,Imput[[PERIODO Imp.]:[PERIODO Imp.]],BY$9)</f>
        <v>0</v>
      </c>
      <c r="BZ781" s="693">
        <f>SUMIFS(Imput[[Importe Neto]:[Importe Neto]],Imput[[C. Imp.]:[C. Imp.]],$D781,Imput[[PERIODO Imp.]:[PERIODO Imp.]],BZ$9)</f>
        <v>0</v>
      </c>
      <c r="CA781" s="693">
        <f>SUMIFS(Imput[[Importe Neto]:[Importe Neto]],Imput[[C. Imp.]:[C. Imp.]],$D781,Imput[[PERIODO Imp.]:[PERIODO Imp.]],CA$9)</f>
        <v>0</v>
      </c>
      <c r="CB781" s="693">
        <f>SUMIFS(Imput[[Importe Neto]:[Importe Neto]],Imput[[C. Imp.]:[C. Imp.]],$D781,Imput[[PERIODO Imp.]:[PERIODO Imp.]],CB$9)</f>
        <v>0</v>
      </c>
      <c r="CC781" s="693">
        <f>SUMIFS(Imput[[Importe Neto]:[Importe Neto]],Imput[[C. Imp.]:[C. Imp.]],$D781,Imput[[PERIODO Imp.]:[PERIODO Imp.]],CC$9)</f>
        <v>0</v>
      </c>
      <c r="CD781" s="693">
        <f>SUMIFS(Imput[[Importe Neto]:[Importe Neto]],Imput[[C. Imp.]:[C. Imp.]],$D781,Imput[[PERIODO Imp.]:[PERIODO Imp.]],CD$9)</f>
        <v>0</v>
      </c>
      <c r="CE781" s="693">
        <f>SUMIFS(Imput[[Importe Neto]:[Importe Neto]],Imput[[C. Imp.]:[C. Imp.]],$D781,Imput[[PERIODO Imp.]:[PERIODO Imp.]],CE$9)</f>
        <v>0</v>
      </c>
      <c r="CF781" s="693">
        <f>SUMIFS(Imput[[Importe Neto]:[Importe Neto]],Imput[[C. Imp.]:[C. Imp.]],$D781,Imput[[PERIODO Imp.]:[PERIODO Imp.]],CF$9)</f>
        <v>0</v>
      </c>
      <c r="CG781" s="693">
        <f>SUMIFS(Imput[[Importe Neto]:[Importe Neto]],Imput[[C. Imp.]:[C. Imp.]],$D781,Imput[[PERIODO Imp.]:[PERIODO Imp.]],CG$9)</f>
        <v>0</v>
      </c>
      <c r="CH781" s="693">
        <f>SUMIFS(Imput[[Importe Neto]:[Importe Neto]],Imput[[C. Imp.]:[C. Imp.]],$D781,Imput[[PERIODO Imp.]:[PERIODO Imp.]],CH$9)</f>
        <v>0</v>
      </c>
      <c r="CI781" s="693">
        <f>SUMIFS(Imput[[Importe Neto]:[Importe Neto]],Imput[[C. Imp.]:[C. Imp.]],$D781,Imput[[PERIODO Imp.]:[PERIODO Imp.]],CI$9)</f>
        <v>0</v>
      </c>
      <c r="CJ781" s="693">
        <f>SUMIFS(Imput[[Importe Neto]:[Importe Neto]],Imput[[C. Imp.]:[C. Imp.]],$D781,Imput[[PERIODO Imp.]:[PERIODO Imp.]],CJ$9)</f>
        <v>0</v>
      </c>
      <c r="CK781" s="693">
        <f>SUMIFS(Imput[[Importe Neto]:[Importe Neto]],Imput[[C. Imp.]:[C. Imp.]],$D781,Imput[[PERIODO Imp.]:[PERIODO Imp.]],CK$9)</f>
        <v>0</v>
      </c>
      <c r="CL781" s="693">
        <f>SUMIFS(Imput[[Importe Neto]:[Importe Neto]],Imput[[C. Imp.]:[C. Imp.]],$D781,Imput[[PERIODO Imp.]:[PERIODO Imp.]],CL$9)</f>
        <v>0</v>
      </c>
      <c r="CM781" s="693">
        <f>SUMIFS(Imput[[Importe Neto]:[Importe Neto]],Imput[[C. Imp.]:[C. Imp.]],$D781,Imput[[PERIODO Imp.]:[PERIODO Imp.]],CM$9)</f>
        <v>0</v>
      </c>
      <c r="CN781" s="693">
        <f>SUMIFS(Imput[[Importe Neto]:[Importe Neto]],Imput[[C. Imp.]:[C. Imp.]],$D781,Imput[[PERIODO Imp.]:[PERIODO Imp.]],CN$9)</f>
        <v>0</v>
      </c>
      <c r="CO781" s="693">
        <f>SUMIFS(Imput[[Importe Neto]:[Importe Neto]],Imput[[C. Imp.]:[C. Imp.]],$D781,Imput[[PERIODO Imp.]:[PERIODO Imp.]],CO$9)</f>
        <v>0</v>
      </c>
      <c r="CP781" s="693">
        <f>SUMIFS(Imput[[Importe Neto]:[Importe Neto]],Imput[[C. Imp.]:[C. Imp.]],$D781,Imput[[PERIODO Imp.]:[PERIODO Imp.]],CP$9)</f>
        <v>0</v>
      </c>
      <c r="CQ781" s="693">
        <f>SUMIFS(Imput[[Importe Neto]:[Importe Neto]],Imput[[C. Imp.]:[C. Imp.]],$D781,Imput[[PERIODO Imp.]:[PERIODO Imp.]],CQ$9)</f>
        <v>0</v>
      </c>
      <c r="CR781" s="693">
        <f>SUMIFS(Imput[[Importe Neto]:[Importe Neto]],Imput[[C. Imp.]:[C. Imp.]],$D781,Imput[[PERIODO Imp.]:[PERIODO Imp.]],CR$9)</f>
        <v>0</v>
      </c>
      <c r="CS781" s="693">
        <f>SUMIFS(Imput[[Importe Neto]:[Importe Neto]],Imput[[C. Imp.]:[C. Imp.]],$D781,Imput[[PERIODO Imp.]:[PERIODO Imp.]],CS$9)</f>
        <v>0</v>
      </c>
      <c r="CT781" s="693">
        <f>SUMIFS(Imput[[Importe Neto]:[Importe Neto]],Imput[[C. Imp.]:[C. Imp.]],$D781,Imput[[PERIODO Imp.]:[PERIODO Imp.]],CT$9)</f>
        <v>0</v>
      </c>
      <c r="CU781" s="693">
        <f>SUMIFS(Imput[[Importe Neto]:[Importe Neto]],Imput[[C. Imp.]:[C. Imp.]],$D781,Imput[[PERIODO Imp.]:[PERIODO Imp.]],CU$9)</f>
        <v>0</v>
      </c>
      <c r="CV781" s="693">
        <f>SUMIFS(Imput[[Importe Neto]:[Importe Neto]],Imput[[C. Imp.]:[C. Imp.]],$D781,Imput[[PERIODO Imp.]:[PERIODO Imp.]],CV$9)</f>
        <v>0</v>
      </c>
      <c r="CW781" s="693">
        <f>SUMIFS(Imput[[Importe Neto]:[Importe Neto]],Imput[[C. Imp.]:[C. Imp.]],$D781,Imput[[PERIODO Imp.]:[PERIODO Imp.]],CW$9)</f>
        <v>0</v>
      </c>
      <c r="CX781" s="693">
        <f>SUMIFS(Imput[[Importe Neto]:[Importe Neto]],Imput[[C. Imp.]:[C. Imp.]],$D781,Imput[[PERIODO Imp.]:[PERIODO Imp.]],CX$9)</f>
        <v>0</v>
      </c>
      <c r="CY781" s="693">
        <f>SUMIFS(Imput[[Importe Neto]:[Importe Neto]],Imput[[C. Imp.]:[C. Imp.]],$D781,Imput[[PERIODO Imp.]:[PERIODO Imp.]],CY$9)</f>
        <v>0</v>
      </c>
      <c r="CZ781" s="693">
        <f>SUMIFS(Imput[[Importe Neto]:[Importe Neto]],Imput[[C. Imp.]:[C. Imp.]],$D781,Imput[[PERIODO Imp.]:[PERIODO Imp.]],CZ$9)</f>
        <v>0</v>
      </c>
      <c r="DA781" s="693">
        <f>SUMIFS(Imput[[Importe Neto]:[Importe Neto]],Imput[[C. Imp.]:[C. Imp.]],$D781,Imput[[PERIODO Imp.]:[PERIODO Imp.]],DA$9)</f>
        <v>0</v>
      </c>
      <c r="DB781" s="693">
        <f>SUMIFS(Imput[[Importe Neto]:[Importe Neto]],Imput[[C. Imp.]:[C. Imp.]],$D781,Imput[[PERIODO Imp.]:[PERIODO Imp.]],DB$9)</f>
        <v>0</v>
      </c>
      <c r="DC781" s="693">
        <f>SUMIFS(Imput[[Importe Neto]:[Importe Neto]],Imput[[C. Imp.]:[C. Imp.]],$D781,Imput[[PERIODO Imp.]:[PERIODO Imp.]],DC$9)</f>
        <v>0</v>
      </c>
      <c r="DD781" s="693">
        <f>SUMIFS(Imput[[Importe Neto]:[Importe Neto]],Imput[[C. Imp.]:[C. Imp.]],$D781,Imput[[PERIODO Imp.]:[PERIODO Imp.]],DD$9)</f>
        <v>0</v>
      </c>
      <c r="DE781" s="693">
        <f>SUMIFS(Imput[[Importe Neto]:[Importe Neto]],Imput[[C. Imp.]:[C. Imp.]],$D781,Imput[[PERIODO Imp.]:[PERIODO Imp.]],DE$9)</f>
        <v>0</v>
      </c>
      <c r="DF781" s="693">
        <f>SUMIFS(Imput[[Importe Neto]:[Importe Neto]],Imput[[C. Imp.]:[C. Imp.]],$D781,Imput[[PERIODO Imp.]:[PERIODO Imp.]],DF$9)</f>
        <v>0</v>
      </c>
      <c r="DG781" s="693">
        <f>SUMIFS(Imput[[Importe Neto]:[Importe Neto]],Imput[[C. Imp.]:[C. Imp.]],$D781,Imput[[PERIODO Imp.]:[PERIODO Imp.]],DG$9)</f>
        <v>0</v>
      </c>
      <c r="DH781" s="694">
        <f>SUMIFS(Imput[[Importe Neto]:[Importe Neto]],Imput[[C. Imp.]:[C. Imp.]],$D781,Imput[[PERIODO Imp.]:[PERIODO Imp.]],DH$9)</f>
        <v>0</v>
      </c>
    </row>
    <row r="782" spans="1:112" s="649" customFormat="1" hidden="1" outlineLevel="1" x14ac:dyDescent="0.3">
      <c r="A782" s="652" t="str">
        <f t="shared" si="280"/>
        <v/>
      </c>
      <c r="B782" s="652"/>
      <c r="C782" s="685"/>
      <c r="D782" s="686" t="s">
        <v>2762</v>
      </c>
      <c r="E782" s="686"/>
      <c r="F782" s="720"/>
      <c r="G782" s="688"/>
      <c r="H782" s="689"/>
      <c r="I782" s="851" t="str">
        <f t="shared" si="281"/>
        <v/>
      </c>
      <c r="J782" s="852" t="str">
        <f t="shared" si="282"/>
        <v/>
      </c>
      <c r="K782" s="667"/>
      <c r="L782" s="858"/>
      <c r="M782" s="859"/>
      <c r="N782" s="859"/>
      <c r="O782" s="859"/>
      <c r="P782" s="859"/>
      <c r="Q782" s="859"/>
      <c r="R782" s="859"/>
      <c r="S782" s="859"/>
      <c r="T782" s="859"/>
      <c r="U782" s="859"/>
      <c r="V782" s="859"/>
      <c r="W782" s="859"/>
      <c r="X782" s="859"/>
      <c r="Y782" s="859"/>
      <c r="Z782" s="860"/>
      <c r="AA782" s="860"/>
      <c r="AB782" s="860"/>
      <c r="AC782" s="860"/>
      <c r="AD782" s="860"/>
      <c r="AE782" s="860"/>
      <c r="AF782" s="860"/>
      <c r="AG782" s="860"/>
      <c r="AH782" s="860"/>
      <c r="AI782" s="860"/>
      <c r="AJ782" s="860"/>
      <c r="AK782" s="860"/>
      <c r="AL782" s="860"/>
      <c r="AM782" s="860"/>
      <c r="AN782" s="860"/>
      <c r="AO782" s="860"/>
      <c r="AP782" s="860"/>
      <c r="AQ782" s="860"/>
      <c r="AR782" s="860"/>
      <c r="AS782" s="860"/>
      <c r="AT782" s="860"/>
      <c r="AU782" s="860"/>
      <c r="AV782" s="860"/>
      <c r="AW782" s="860"/>
      <c r="AX782" s="860"/>
      <c r="AY782" s="860"/>
      <c r="AZ782" s="860"/>
      <c r="BA782" s="860"/>
      <c r="BB782" s="860"/>
      <c r="BC782" s="860"/>
      <c r="BD782" s="860"/>
      <c r="BE782" s="860"/>
      <c r="BF782" s="860"/>
      <c r="BG782" s="860"/>
      <c r="BH782" s="668"/>
      <c r="BI782" s="667"/>
      <c r="BJ782" s="690">
        <f t="shared" si="283"/>
        <v>0</v>
      </c>
      <c r="BK782" s="691">
        <f t="shared" si="284"/>
        <v>0</v>
      </c>
      <c r="BL782" s="654"/>
      <c r="BM782" s="692">
        <f>SUMIFS(Imput[[Importe Neto]:[Importe Neto]],Imput[[C. Imp.]:[C. Imp.]],$D782,Imput[[PERIODO Imp.]:[PERIODO Imp.]],BM$9)</f>
        <v>0</v>
      </c>
      <c r="BN782" s="693">
        <f>SUMIFS(Imput[[Importe Neto]:[Importe Neto]],Imput[[C. Imp.]:[C. Imp.]],$D782,Imput[[PERIODO Imp.]:[PERIODO Imp.]],BN$9)</f>
        <v>0</v>
      </c>
      <c r="BO782" s="693">
        <f>SUMIFS(Imput[[Importe Neto]:[Importe Neto]],Imput[[C. Imp.]:[C. Imp.]],$D782,Imput[[PERIODO Imp.]:[PERIODO Imp.]],BO$9)</f>
        <v>0</v>
      </c>
      <c r="BP782" s="693">
        <f>SUMIFS(Imput[[Importe Neto]:[Importe Neto]],Imput[[C. Imp.]:[C. Imp.]],$D782,Imput[[PERIODO Imp.]:[PERIODO Imp.]],BP$9)</f>
        <v>0</v>
      </c>
      <c r="BQ782" s="693">
        <f>SUMIFS(Imput[[Importe Neto]:[Importe Neto]],Imput[[C. Imp.]:[C. Imp.]],$D782,Imput[[PERIODO Imp.]:[PERIODO Imp.]],BQ$9)</f>
        <v>0</v>
      </c>
      <c r="BR782" s="693">
        <f>SUMIFS(Imput[[Importe Neto]:[Importe Neto]],Imput[[C. Imp.]:[C. Imp.]],$D782,Imput[[PERIODO Imp.]:[PERIODO Imp.]],BR$9)</f>
        <v>0</v>
      </c>
      <c r="BS782" s="693">
        <f>SUMIFS(Imput[[Importe Neto]:[Importe Neto]],Imput[[C. Imp.]:[C. Imp.]],$D782,Imput[[PERIODO Imp.]:[PERIODO Imp.]],BS$9)</f>
        <v>0</v>
      </c>
      <c r="BT782" s="693">
        <f>SUMIFS(Imput[[Importe Neto]:[Importe Neto]],Imput[[C. Imp.]:[C. Imp.]],$D782,Imput[[PERIODO Imp.]:[PERIODO Imp.]],BT$9)</f>
        <v>0</v>
      </c>
      <c r="BU782" s="693">
        <f>SUMIFS(Imput[[Importe Neto]:[Importe Neto]],Imput[[C. Imp.]:[C. Imp.]],$D782,Imput[[PERIODO Imp.]:[PERIODO Imp.]],BU$9)</f>
        <v>0</v>
      </c>
      <c r="BV782" s="693">
        <f>SUMIFS(Imput[[Importe Neto]:[Importe Neto]],Imput[[C. Imp.]:[C. Imp.]],$D782,Imput[[PERIODO Imp.]:[PERIODO Imp.]],BV$9)</f>
        <v>0</v>
      </c>
      <c r="BW782" s="693">
        <f>SUMIFS(Imput[[Importe Neto]:[Importe Neto]],Imput[[C. Imp.]:[C. Imp.]],$D782,Imput[[PERIODO Imp.]:[PERIODO Imp.]],BW$9)</f>
        <v>0</v>
      </c>
      <c r="BX782" s="693">
        <f>SUMIFS(Imput[[Importe Neto]:[Importe Neto]],Imput[[C. Imp.]:[C. Imp.]],$D782,Imput[[PERIODO Imp.]:[PERIODO Imp.]],BX$9)</f>
        <v>0</v>
      </c>
      <c r="BY782" s="693">
        <f>SUMIFS(Imput[[Importe Neto]:[Importe Neto]],Imput[[C. Imp.]:[C. Imp.]],$D782,Imput[[PERIODO Imp.]:[PERIODO Imp.]],BY$9)</f>
        <v>0</v>
      </c>
      <c r="BZ782" s="693">
        <f>SUMIFS(Imput[[Importe Neto]:[Importe Neto]],Imput[[C. Imp.]:[C. Imp.]],$D782,Imput[[PERIODO Imp.]:[PERIODO Imp.]],BZ$9)</f>
        <v>0</v>
      </c>
      <c r="CA782" s="693">
        <f>SUMIFS(Imput[[Importe Neto]:[Importe Neto]],Imput[[C. Imp.]:[C. Imp.]],$D782,Imput[[PERIODO Imp.]:[PERIODO Imp.]],CA$9)</f>
        <v>0</v>
      </c>
      <c r="CB782" s="693">
        <f>SUMIFS(Imput[[Importe Neto]:[Importe Neto]],Imput[[C. Imp.]:[C. Imp.]],$D782,Imput[[PERIODO Imp.]:[PERIODO Imp.]],CB$9)</f>
        <v>0</v>
      </c>
      <c r="CC782" s="693">
        <f>SUMIFS(Imput[[Importe Neto]:[Importe Neto]],Imput[[C. Imp.]:[C. Imp.]],$D782,Imput[[PERIODO Imp.]:[PERIODO Imp.]],CC$9)</f>
        <v>0</v>
      </c>
      <c r="CD782" s="693">
        <f>SUMIFS(Imput[[Importe Neto]:[Importe Neto]],Imput[[C. Imp.]:[C. Imp.]],$D782,Imput[[PERIODO Imp.]:[PERIODO Imp.]],CD$9)</f>
        <v>0</v>
      </c>
      <c r="CE782" s="693">
        <f>SUMIFS(Imput[[Importe Neto]:[Importe Neto]],Imput[[C. Imp.]:[C. Imp.]],$D782,Imput[[PERIODO Imp.]:[PERIODO Imp.]],CE$9)</f>
        <v>0</v>
      </c>
      <c r="CF782" s="693">
        <f>SUMIFS(Imput[[Importe Neto]:[Importe Neto]],Imput[[C. Imp.]:[C. Imp.]],$D782,Imput[[PERIODO Imp.]:[PERIODO Imp.]],CF$9)</f>
        <v>0</v>
      </c>
      <c r="CG782" s="693">
        <f>SUMIFS(Imput[[Importe Neto]:[Importe Neto]],Imput[[C. Imp.]:[C. Imp.]],$D782,Imput[[PERIODO Imp.]:[PERIODO Imp.]],CG$9)</f>
        <v>0</v>
      </c>
      <c r="CH782" s="693">
        <f>SUMIFS(Imput[[Importe Neto]:[Importe Neto]],Imput[[C. Imp.]:[C. Imp.]],$D782,Imput[[PERIODO Imp.]:[PERIODO Imp.]],CH$9)</f>
        <v>0</v>
      </c>
      <c r="CI782" s="693">
        <f>SUMIFS(Imput[[Importe Neto]:[Importe Neto]],Imput[[C. Imp.]:[C. Imp.]],$D782,Imput[[PERIODO Imp.]:[PERIODO Imp.]],CI$9)</f>
        <v>0</v>
      </c>
      <c r="CJ782" s="693">
        <f>SUMIFS(Imput[[Importe Neto]:[Importe Neto]],Imput[[C. Imp.]:[C. Imp.]],$D782,Imput[[PERIODO Imp.]:[PERIODO Imp.]],CJ$9)</f>
        <v>0</v>
      </c>
      <c r="CK782" s="693">
        <f>SUMIFS(Imput[[Importe Neto]:[Importe Neto]],Imput[[C. Imp.]:[C. Imp.]],$D782,Imput[[PERIODO Imp.]:[PERIODO Imp.]],CK$9)</f>
        <v>0</v>
      </c>
      <c r="CL782" s="693">
        <f>SUMIFS(Imput[[Importe Neto]:[Importe Neto]],Imput[[C. Imp.]:[C. Imp.]],$D782,Imput[[PERIODO Imp.]:[PERIODO Imp.]],CL$9)</f>
        <v>0</v>
      </c>
      <c r="CM782" s="693">
        <f>SUMIFS(Imput[[Importe Neto]:[Importe Neto]],Imput[[C. Imp.]:[C. Imp.]],$D782,Imput[[PERIODO Imp.]:[PERIODO Imp.]],CM$9)</f>
        <v>0</v>
      </c>
      <c r="CN782" s="693">
        <f>SUMIFS(Imput[[Importe Neto]:[Importe Neto]],Imput[[C. Imp.]:[C. Imp.]],$D782,Imput[[PERIODO Imp.]:[PERIODO Imp.]],CN$9)</f>
        <v>0</v>
      </c>
      <c r="CO782" s="693">
        <f>SUMIFS(Imput[[Importe Neto]:[Importe Neto]],Imput[[C. Imp.]:[C. Imp.]],$D782,Imput[[PERIODO Imp.]:[PERIODO Imp.]],CO$9)</f>
        <v>0</v>
      </c>
      <c r="CP782" s="693">
        <f>SUMIFS(Imput[[Importe Neto]:[Importe Neto]],Imput[[C. Imp.]:[C. Imp.]],$D782,Imput[[PERIODO Imp.]:[PERIODO Imp.]],CP$9)</f>
        <v>0</v>
      </c>
      <c r="CQ782" s="693">
        <f>SUMIFS(Imput[[Importe Neto]:[Importe Neto]],Imput[[C. Imp.]:[C. Imp.]],$D782,Imput[[PERIODO Imp.]:[PERIODO Imp.]],CQ$9)</f>
        <v>0</v>
      </c>
      <c r="CR782" s="693">
        <f>SUMIFS(Imput[[Importe Neto]:[Importe Neto]],Imput[[C. Imp.]:[C. Imp.]],$D782,Imput[[PERIODO Imp.]:[PERIODO Imp.]],CR$9)</f>
        <v>0</v>
      </c>
      <c r="CS782" s="693">
        <f>SUMIFS(Imput[[Importe Neto]:[Importe Neto]],Imput[[C. Imp.]:[C. Imp.]],$D782,Imput[[PERIODO Imp.]:[PERIODO Imp.]],CS$9)</f>
        <v>0</v>
      </c>
      <c r="CT782" s="693">
        <f>SUMIFS(Imput[[Importe Neto]:[Importe Neto]],Imput[[C. Imp.]:[C. Imp.]],$D782,Imput[[PERIODO Imp.]:[PERIODO Imp.]],CT$9)</f>
        <v>0</v>
      </c>
      <c r="CU782" s="693">
        <f>SUMIFS(Imput[[Importe Neto]:[Importe Neto]],Imput[[C. Imp.]:[C. Imp.]],$D782,Imput[[PERIODO Imp.]:[PERIODO Imp.]],CU$9)</f>
        <v>0</v>
      </c>
      <c r="CV782" s="693">
        <f>SUMIFS(Imput[[Importe Neto]:[Importe Neto]],Imput[[C. Imp.]:[C. Imp.]],$D782,Imput[[PERIODO Imp.]:[PERIODO Imp.]],CV$9)</f>
        <v>0</v>
      </c>
      <c r="CW782" s="693">
        <f>SUMIFS(Imput[[Importe Neto]:[Importe Neto]],Imput[[C. Imp.]:[C. Imp.]],$D782,Imput[[PERIODO Imp.]:[PERIODO Imp.]],CW$9)</f>
        <v>0</v>
      </c>
      <c r="CX782" s="693">
        <f>SUMIFS(Imput[[Importe Neto]:[Importe Neto]],Imput[[C. Imp.]:[C. Imp.]],$D782,Imput[[PERIODO Imp.]:[PERIODO Imp.]],CX$9)</f>
        <v>0</v>
      </c>
      <c r="CY782" s="693">
        <f>SUMIFS(Imput[[Importe Neto]:[Importe Neto]],Imput[[C. Imp.]:[C. Imp.]],$D782,Imput[[PERIODO Imp.]:[PERIODO Imp.]],CY$9)</f>
        <v>0</v>
      </c>
      <c r="CZ782" s="693">
        <f>SUMIFS(Imput[[Importe Neto]:[Importe Neto]],Imput[[C. Imp.]:[C. Imp.]],$D782,Imput[[PERIODO Imp.]:[PERIODO Imp.]],CZ$9)</f>
        <v>0</v>
      </c>
      <c r="DA782" s="693">
        <f>SUMIFS(Imput[[Importe Neto]:[Importe Neto]],Imput[[C. Imp.]:[C. Imp.]],$D782,Imput[[PERIODO Imp.]:[PERIODO Imp.]],DA$9)</f>
        <v>0</v>
      </c>
      <c r="DB782" s="693">
        <f>SUMIFS(Imput[[Importe Neto]:[Importe Neto]],Imput[[C. Imp.]:[C. Imp.]],$D782,Imput[[PERIODO Imp.]:[PERIODO Imp.]],DB$9)</f>
        <v>0</v>
      </c>
      <c r="DC782" s="693">
        <f>SUMIFS(Imput[[Importe Neto]:[Importe Neto]],Imput[[C. Imp.]:[C. Imp.]],$D782,Imput[[PERIODO Imp.]:[PERIODO Imp.]],DC$9)</f>
        <v>0</v>
      </c>
      <c r="DD782" s="693">
        <f>SUMIFS(Imput[[Importe Neto]:[Importe Neto]],Imput[[C. Imp.]:[C. Imp.]],$D782,Imput[[PERIODO Imp.]:[PERIODO Imp.]],DD$9)</f>
        <v>0</v>
      </c>
      <c r="DE782" s="693">
        <f>SUMIFS(Imput[[Importe Neto]:[Importe Neto]],Imput[[C. Imp.]:[C. Imp.]],$D782,Imput[[PERIODO Imp.]:[PERIODO Imp.]],DE$9)</f>
        <v>0</v>
      </c>
      <c r="DF782" s="693">
        <f>SUMIFS(Imput[[Importe Neto]:[Importe Neto]],Imput[[C. Imp.]:[C. Imp.]],$D782,Imput[[PERIODO Imp.]:[PERIODO Imp.]],DF$9)</f>
        <v>0</v>
      </c>
      <c r="DG782" s="693">
        <f>SUMIFS(Imput[[Importe Neto]:[Importe Neto]],Imput[[C. Imp.]:[C. Imp.]],$D782,Imput[[PERIODO Imp.]:[PERIODO Imp.]],DG$9)</f>
        <v>0</v>
      </c>
      <c r="DH782" s="694">
        <f>SUMIFS(Imput[[Importe Neto]:[Importe Neto]],Imput[[C. Imp.]:[C. Imp.]],$D782,Imput[[PERIODO Imp.]:[PERIODO Imp.]],DH$9)</f>
        <v>0</v>
      </c>
    </row>
    <row r="783" spans="1:112" s="649" customFormat="1" hidden="1" outlineLevel="1" x14ac:dyDescent="0.3">
      <c r="A783" s="652" t="str">
        <f t="shared" si="280"/>
        <v/>
      </c>
      <c r="B783" s="652"/>
      <c r="C783" s="685"/>
      <c r="D783" s="686" t="s">
        <v>2763</v>
      </c>
      <c r="E783" s="686"/>
      <c r="F783" s="720"/>
      <c r="G783" s="688"/>
      <c r="H783" s="689"/>
      <c r="I783" s="851" t="str">
        <f t="shared" si="281"/>
        <v/>
      </c>
      <c r="J783" s="852" t="str">
        <f t="shared" si="282"/>
        <v/>
      </c>
      <c r="K783" s="667"/>
      <c r="L783" s="858"/>
      <c r="M783" s="859"/>
      <c r="N783" s="859"/>
      <c r="O783" s="859"/>
      <c r="P783" s="859"/>
      <c r="Q783" s="859"/>
      <c r="R783" s="859"/>
      <c r="S783" s="859"/>
      <c r="T783" s="859"/>
      <c r="U783" s="859"/>
      <c r="V783" s="859"/>
      <c r="W783" s="859"/>
      <c r="X783" s="859"/>
      <c r="Y783" s="859"/>
      <c r="Z783" s="860"/>
      <c r="AA783" s="860"/>
      <c r="AB783" s="860"/>
      <c r="AC783" s="860"/>
      <c r="AD783" s="860"/>
      <c r="AE783" s="860"/>
      <c r="AF783" s="860"/>
      <c r="AG783" s="860"/>
      <c r="AH783" s="860"/>
      <c r="AI783" s="860"/>
      <c r="AJ783" s="860"/>
      <c r="AK783" s="860"/>
      <c r="AL783" s="860"/>
      <c r="AM783" s="860"/>
      <c r="AN783" s="860"/>
      <c r="AO783" s="860"/>
      <c r="AP783" s="860"/>
      <c r="AQ783" s="860"/>
      <c r="AR783" s="860"/>
      <c r="AS783" s="860"/>
      <c r="AT783" s="860"/>
      <c r="AU783" s="860"/>
      <c r="AV783" s="860"/>
      <c r="AW783" s="860"/>
      <c r="AX783" s="860"/>
      <c r="AY783" s="860"/>
      <c r="AZ783" s="860"/>
      <c r="BA783" s="860"/>
      <c r="BB783" s="860"/>
      <c r="BC783" s="860"/>
      <c r="BD783" s="860"/>
      <c r="BE783" s="860"/>
      <c r="BF783" s="860"/>
      <c r="BG783" s="860"/>
      <c r="BH783" s="668"/>
      <c r="BI783" s="667"/>
      <c r="BJ783" s="690">
        <f t="shared" si="283"/>
        <v>0</v>
      </c>
      <c r="BK783" s="691">
        <f t="shared" si="284"/>
        <v>0</v>
      </c>
      <c r="BL783" s="654"/>
      <c r="BM783" s="692">
        <f>SUMIFS(Imput[[Importe Neto]:[Importe Neto]],Imput[[C. Imp.]:[C. Imp.]],$D783,Imput[[PERIODO Imp.]:[PERIODO Imp.]],BM$9)</f>
        <v>0</v>
      </c>
      <c r="BN783" s="693">
        <f>SUMIFS(Imput[[Importe Neto]:[Importe Neto]],Imput[[C. Imp.]:[C. Imp.]],$D783,Imput[[PERIODO Imp.]:[PERIODO Imp.]],BN$9)</f>
        <v>0</v>
      </c>
      <c r="BO783" s="693">
        <f>SUMIFS(Imput[[Importe Neto]:[Importe Neto]],Imput[[C. Imp.]:[C. Imp.]],$D783,Imput[[PERIODO Imp.]:[PERIODO Imp.]],BO$9)</f>
        <v>0</v>
      </c>
      <c r="BP783" s="693">
        <f>SUMIFS(Imput[[Importe Neto]:[Importe Neto]],Imput[[C. Imp.]:[C. Imp.]],$D783,Imput[[PERIODO Imp.]:[PERIODO Imp.]],BP$9)</f>
        <v>0</v>
      </c>
      <c r="BQ783" s="693">
        <f>SUMIFS(Imput[[Importe Neto]:[Importe Neto]],Imput[[C. Imp.]:[C. Imp.]],$D783,Imput[[PERIODO Imp.]:[PERIODO Imp.]],BQ$9)</f>
        <v>0</v>
      </c>
      <c r="BR783" s="693">
        <f>SUMIFS(Imput[[Importe Neto]:[Importe Neto]],Imput[[C. Imp.]:[C. Imp.]],$D783,Imput[[PERIODO Imp.]:[PERIODO Imp.]],BR$9)</f>
        <v>0</v>
      </c>
      <c r="BS783" s="693">
        <f>SUMIFS(Imput[[Importe Neto]:[Importe Neto]],Imput[[C. Imp.]:[C. Imp.]],$D783,Imput[[PERIODO Imp.]:[PERIODO Imp.]],BS$9)</f>
        <v>0</v>
      </c>
      <c r="BT783" s="693">
        <f>SUMIFS(Imput[[Importe Neto]:[Importe Neto]],Imput[[C. Imp.]:[C. Imp.]],$D783,Imput[[PERIODO Imp.]:[PERIODO Imp.]],BT$9)</f>
        <v>0</v>
      </c>
      <c r="BU783" s="693">
        <f>SUMIFS(Imput[[Importe Neto]:[Importe Neto]],Imput[[C. Imp.]:[C. Imp.]],$D783,Imput[[PERIODO Imp.]:[PERIODO Imp.]],BU$9)</f>
        <v>0</v>
      </c>
      <c r="BV783" s="693">
        <f>SUMIFS(Imput[[Importe Neto]:[Importe Neto]],Imput[[C. Imp.]:[C. Imp.]],$D783,Imput[[PERIODO Imp.]:[PERIODO Imp.]],BV$9)</f>
        <v>0</v>
      </c>
      <c r="BW783" s="693">
        <f>SUMIFS(Imput[[Importe Neto]:[Importe Neto]],Imput[[C. Imp.]:[C. Imp.]],$D783,Imput[[PERIODO Imp.]:[PERIODO Imp.]],BW$9)</f>
        <v>0</v>
      </c>
      <c r="BX783" s="693">
        <f>SUMIFS(Imput[[Importe Neto]:[Importe Neto]],Imput[[C. Imp.]:[C. Imp.]],$D783,Imput[[PERIODO Imp.]:[PERIODO Imp.]],BX$9)</f>
        <v>0</v>
      </c>
      <c r="BY783" s="693">
        <f>SUMIFS(Imput[[Importe Neto]:[Importe Neto]],Imput[[C. Imp.]:[C. Imp.]],$D783,Imput[[PERIODO Imp.]:[PERIODO Imp.]],BY$9)</f>
        <v>0</v>
      </c>
      <c r="BZ783" s="693">
        <f>SUMIFS(Imput[[Importe Neto]:[Importe Neto]],Imput[[C. Imp.]:[C. Imp.]],$D783,Imput[[PERIODO Imp.]:[PERIODO Imp.]],BZ$9)</f>
        <v>0</v>
      </c>
      <c r="CA783" s="693">
        <f>SUMIFS(Imput[[Importe Neto]:[Importe Neto]],Imput[[C. Imp.]:[C. Imp.]],$D783,Imput[[PERIODO Imp.]:[PERIODO Imp.]],CA$9)</f>
        <v>0</v>
      </c>
      <c r="CB783" s="693">
        <f>SUMIFS(Imput[[Importe Neto]:[Importe Neto]],Imput[[C. Imp.]:[C. Imp.]],$D783,Imput[[PERIODO Imp.]:[PERIODO Imp.]],CB$9)</f>
        <v>0</v>
      </c>
      <c r="CC783" s="693">
        <f>SUMIFS(Imput[[Importe Neto]:[Importe Neto]],Imput[[C. Imp.]:[C. Imp.]],$D783,Imput[[PERIODO Imp.]:[PERIODO Imp.]],CC$9)</f>
        <v>0</v>
      </c>
      <c r="CD783" s="693">
        <f>SUMIFS(Imput[[Importe Neto]:[Importe Neto]],Imput[[C. Imp.]:[C. Imp.]],$D783,Imput[[PERIODO Imp.]:[PERIODO Imp.]],CD$9)</f>
        <v>0</v>
      </c>
      <c r="CE783" s="693">
        <f>SUMIFS(Imput[[Importe Neto]:[Importe Neto]],Imput[[C. Imp.]:[C. Imp.]],$D783,Imput[[PERIODO Imp.]:[PERIODO Imp.]],CE$9)</f>
        <v>0</v>
      </c>
      <c r="CF783" s="693">
        <f>SUMIFS(Imput[[Importe Neto]:[Importe Neto]],Imput[[C. Imp.]:[C. Imp.]],$D783,Imput[[PERIODO Imp.]:[PERIODO Imp.]],CF$9)</f>
        <v>0</v>
      </c>
      <c r="CG783" s="693">
        <f>SUMIFS(Imput[[Importe Neto]:[Importe Neto]],Imput[[C. Imp.]:[C. Imp.]],$D783,Imput[[PERIODO Imp.]:[PERIODO Imp.]],CG$9)</f>
        <v>0</v>
      </c>
      <c r="CH783" s="693">
        <f>SUMIFS(Imput[[Importe Neto]:[Importe Neto]],Imput[[C. Imp.]:[C. Imp.]],$D783,Imput[[PERIODO Imp.]:[PERIODO Imp.]],CH$9)</f>
        <v>0</v>
      </c>
      <c r="CI783" s="693">
        <f>SUMIFS(Imput[[Importe Neto]:[Importe Neto]],Imput[[C. Imp.]:[C. Imp.]],$D783,Imput[[PERIODO Imp.]:[PERIODO Imp.]],CI$9)</f>
        <v>0</v>
      </c>
      <c r="CJ783" s="693">
        <f>SUMIFS(Imput[[Importe Neto]:[Importe Neto]],Imput[[C. Imp.]:[C. Imp.]],$D783,Imput[[PERIODO Imp.]:[PERIODO Imp.]],CJ$9)</f>
        <v>0</v>
      </c>
      <c r="CK783" s="693">
        <f>SUMIFS(Imput[[Importe Neto]:[Importe Neto]],Imput[[C. Imp.]:[C. Imp.]],$D783,Imput[[PERIODO Imp.]:[PERIODO Imp.]],CK$9)</f>
        <v>0</v>
      </c>
      <c r="CL783" s="693">
        <f>SUMIFS(Imput[[Importe Neto]:[Importe Neto]],Imput[[C. Imp.]:[C. Imp.]],$D783,Imput[[PERIODO Imp.]:[PERIODO Imp.]],CL$9)</f>
        <v>0</v>
      </c>
      <c r="CM783" s="693">
        <f>SUMIFS(Imput[[Importe Neto]:[Importe Neto]],Imput[[C. Imp.]:[C. Imp.]],$D783,Imput[[PERIODO Imp.]:[PERIODO Imp.]],CM$9)</f>
        <v>0</v>
      </c>
      <c r="CN783" s="693">
        <f>SUMIFS(Imput[[Importe Neto]:[Importe Neto]],Imput[[C. Imp.]:[C. Imp.]],$D783,Imput[[PERIODO Imp.]:[PERIODO Imp.]],CN$9)</f>
        <v>0</v>
      </c>
      <c r="CO783" s="693">
        <f>SUMIFS(Imput[[Importe Neto]:[Importe Neto]],Imput[[C. Imp.]:[C. Imp.]],$D783,Imput[[PERIODO Imp.]:[PERIODO Imp.]],CO$9)</f>
        <v>0</v>
      </c>
      <c r="CP783" s="693">
        <f>SUMIFS(Imput[[Importe Neto]:[Importe Neto]],Imput[[C. Imp.]:[C. Imp.]],$D783,Imput[[PERIODO Imp.]:[PERIODO Imp.]],CP$9)</f>
        <v>0</v>
      </c>
      <c r="CQ783" s="693">
        <f>SUMIFS(Imput[[Importe Neto]:[Importe Neto]],Imput[[C. Imp.]:[C. Imp.]],$D783,Imput[[PERIODO Imp.]:[PERIODO Imp.]],CQ$9)</f>
        <v>0</v>
      </c>
      <c r="CR783" s="693">
        <f>SUMIFS(Imput[[Importe Neto]:[Importe Neto]],Imput[[C. Imp.]:[C. Imp.]],$D783,Imput[[PERIODO Imp.]:[PERIODO Imp.]],CR$9)</f>
        <v>0</v>
      </c>
      <c r="CS783" s="693">
        <f>SUMIFS(Imput[[Importe Neto]:[Importe Neto]],Imput[[C. Imp.]:[C. Imp.]],$D783,Imput[[PERIODO Imp.]:[PERIODO Imp.]],CS$9)</f>
        <v>0</v>
      </c>
      <c r="CT783" s="693">
        <f>SUMIFS(Imput[[Importe Neto]:[Importe Neto]],Imput[[C. Imp.]:[C. Imp.]],$D783,Imput[[PERIODO Imp.]:[PERIODO Imp.]],CT$9)</f>
        <v>0</v>
      </c>
      <c r="CU783" s="693">
        <f>SUMIFS(Imput[[Importe Neto]:[Importe Neto]],Imput[[C. Imp.]:[C. Imp.]],$D783,Imput[[PERIODO Imp.]:[PERIODO Imp.]],CU$9)</f>
        <v>0</v>
      </c>
      <c r="CV783" s="693">
        <f>SUMIFS(Imput[[Importe Neto]:[Importe Neto]],Imput[[C. Imp.]:[C. Imp.]],$D783,Imput[[PERIODO Imp.]:[PERIODO Imp.]],CV$9)</f>
        <v>0</v>
      </c>
      <c r="CW783" s="693">
        <f>SUMIFS(Imput[[Importe Neto]:[Importe Neto]],Imput[[C. Imp.]:[C. Imp.]],$D783,Imput[[PERIODO Imp.]:[PERIODO Imp.]],CW$9)</f>
        <v>0</v>
      </c>
      <c r="CX783" s="693">
        <f>SUMIFS(Imput[[Importe Neto]:[Importe Neto]],Imput[[C. Imp.]:[C. Imp.]],$D783,Imput[[PERIODO Imp.]:[PERIODO Imp.]],CX$9)</f>
        <v>0</v>
      </c>
      <c r="CY783" s="693">
        <f>SUMIFS(Imput[[Importe Neto]:[Importe Neto]],Imput[[C. Imp.]:[C. Imp.]],$D783,Imput[[PERIODO Imp.]:[PERIODO Imp.]],CY$9)</f>
        <v>0</v>
      </c>
      <c r="CZ783" s="693">
        <f>SUMIFS(Imput[[Importe Neto]:[Importe Neto]],Imput[[C. Imp.]:[C. Imp.]],$D783,Imput[[PERIODO Imp.]:[PERIODO Imp.]],CZ$9)</f>
        <v>0</v>
      </c>
      <c r="DA783" s="693">
        <f>SUMIFS(Imput[[Importe Neto]:[Importe Neto]],Imput[[C. Imp.]:[C. Imp.]],$D783,Imput[[PERIODO Imp.]:[PERIODO Imp.]],DA$9)</f>
        <v>0</v>
      </c>
      <c r="DB783" s="693">
        <f>SUMIFS(Imput[[Importe Neto]:[Importe Neto]],Imput[[C. Imp.]:[C. Imp.]],$D783,Imput[[PERIODO Imp.]:[PERIODO Imp.]],DB$9)</f>
        <v>0</v>
      </c>
      <c r="DC783" s="693">
        <f>SUMIFS(Imput[[Importe Neto]:[Importe Neto]],Imput[[C. Imp.]:[C. Imp.]],$D783,Imput[[PERIODO Imp.]:[PERIODO Imp.]],DC$9)</f>
        <v>0</v>
      </c>
      <c r="DD783" s="693">
        <f>SUMIFS(Imput[[Importe Neto]:[Importe Neto]],Imput[[C. Imp.]:[C. Imp.]],$D783,Imput[[PERIODO Imp.]:[PERIODO Imp.]],DD$9)</f>
        <v>0</v>
      </c>
      <c r="DE783" s="693">
        <f>SUMIFS(Imput[[Importe Neto]:[Importe Neto]],Imput[[C. Imp.]:[C. Imp.]],$D783,Imput[[PERIODO Imp.]:[PERIODO Imp.]],DE$9)</f>
        <v>0</v>
      </c>
      <c r="DF783" s="693">
        <f>SUMIFS(Imput[[Importe Neto]:[Importe Neto]],Imput[[C. Imp.]:[C. Imp.]],$D783,Imput[[PERIODO Imp.]:[PERIODO Imp.]],DF$9)</f>
        <v>0</v>
      </c>
      <c r="DG783" s="693">
        <f>SUMIFS(Imput[[Importe Neto]:[Importe Neto]],Imput[[C. Imp.]:[C. Imp.]],$D783,Imput[[PERIODO Imp.]:[PERIODO Imp.]],DG$9)</f>
        <v>0</v>
      </c>
      <c r="DH783" s="694">
        <f>SUMIFS(Imput[[Importe Neto]:[Importe Neto]],Imput[[C. Imp.]:[C. Imp.]],$D783,Imput[[PERIODO Imp.]:[PERIODO Imp.]],DH$9)</f>
        <v>0</v>
      </c>
    </row>
    <row r="784" spans="1:112" s="649" customFormat="1" hidden="1" outlineLevel="1" x14ac:dyDescent="0.3">
      <c r="A784" s="652" t="str">
        <f t="shared" si="280"/>
        <v/>
      </c>
      <c r="B784" s="652"/>
      <c r="C784" s="685"/>
      <c r="D784" s="686" t="s">
        <v>2764</v>
      </c>
      <c r="E784" s="686"/>
      <c r="F784" s="720"/>
      <c r="G784" s="688"/>
      <c r="H784" s="689"/>
      <c r="I784" s="851" t="str">
        <f t="shared" si="281"/>
        <v/>
      </c>
      <c r="J784" s="850" t="str">
        <f t="shared" si="282"/>
        <v/>
      </c>
      <c r="K784" s="667"/>
      <c r="L784" s="858"/>
      <c r="M784" s="859"/>
      <c r="N784" s="859"/>
      <c r="O784" s="859"/>
      <c r="P784" s="859"/>
      <c r="Q784" s="859"/>
      <c r="R784" s="859"/>
      <c r="S784" s="859"/>
      <c r="T784" s="859"/>
      <c r="U784" s="859"/>
      <c r="V784" s="859"/>
      <c r="W784" s="859"/>
      <c r="X784" s="859"/>
      <c r="Y784" s="859"/>
      <c r="Z784" s="860"/>
      <c r="AA784" s="860"/>
      <c r="AB784" s="860"/>
      <c r="AC784" s="860"/>
      <c r="AD784" s="860"/>
      <c r="AE784" s="860"/>
      <c r="AF784" s="860"/>
      <c r="AG784" s="860"/>
      <c r="AH784" s="860"/>
      <c r="AI784" s="860"/>
      <c r="AJ784" s="860"/>
      <c r="AK784" s="860"/>
      <c r="AL784" s="860"/>
      <c r="AM784" s="860"/>
      <c r="AN784" s="860"/>
      <c r="AO784" s="860"/>
      <c r="AP784" s="860"/>
      <c r="AQ784" s="860"/>
      <c r="AR784" s="860"/>
      <c r="AS784" s="860"/>
      <c r="AT784" s="860"/>
      <c r="AU784" s="860"/>
      <c r="AV784" s="860"/>
      <c r="AW784" s="860"/>
      <c r="AX784" s="860"/>
      <c r="AY784" s="860"/>
      <c r="AZ784" s="860"/>
      <c r="BA784" s="860"/>
      <c r="BB784" s="860"/>
      <c r="BC784" s="860"/>
      <c r="BD784" s="860"/>
      <c r="BE784" s="860"/>
      <c r="BF784" s="860"/>
      <c r="BG784" s="860"/>
      <c r="BH784" s="668"/>
      <c r="BI784" s="667"/>
      <c r="BJ784" s="690">
        <f t="shared" si="283"/>
        <v>0</v>
      </c>
      <c r="BK784" s="691">
        <f t="shared" si="284"/>
        <v>0</v>
      </c>
      <c r="BL784" s="654"/>
      <c r="BM784" s="692">
        <f>SUMIFS(Imput[[Importe Neto]:[Importe Neto]],Imput[[C. Imp.]:[C. Imp.]],$D784,Imput[[PERIODO Imp.]:[PERIODO Imp.]],BM$9)</f>
        <v>0</v>
      </c>
      <c r="BN784" s="693">
        <f>SUMIFS(Imput[[Importe Neto]:[Importe Neto]],Imput[[C. Imp.]:[C. Imp.]],$D784,Imput[[PERIODO Imp.]:[PERIODO Imp.]],BN$9)</f>
        <v>0</v>
      </c>
      <c r="BO784" s="693">
        <f>SUMIFS(Imput[[Importe Neto]:[Importe Neto]],Imput[[C. Imp.]:[C. Imp.]],$D784,Imput[[PERIODO Imp.]:[PERIODO Imp.]],BO$9)</f>
        <v>0</v>
      </c>
      <c r="BP784" s="693">
        <f>SUMIFS(Imput[[Importe Neto]:[Importe Neto]],Imput[[C. Imp.]:[C. Imp.]],$D784,Imput[[PERIODO Imp.]:[PERIODO Imp.]],BP$9)</f>
        <v>0</v>
      </c>
      <c r="BQ784" s="693">
        <f>SUMIFS(Imput[[Importe Neto]:[Importe Neto]],Imput[[C. Imp.]:[C. Imp.]],$D784,Imput[[PERIODO Imp.]:[PERIODO Imp.]],BQ$9)</f>
        <v>0</v>
      </c>
      <c r="BR784" s="693">
        <f>SUMIFS(Imput[[Importe Neto]:[Importe Neto]],Imput[[C. Imp.]:[C. Imp.]],$D784,Imput[[PERIODO Imp.]:[PERIODO Imp.]],BR$9)</f>
        <v>0</v>
      </c>
      <c r="BS784" s="693">
        <f>SUMIFS(Imput[[Importe Neto]:[Importe Neto]],Imput[[C. Imp.]:[C. Imp.]],$D784,Imput[[PERIODO Imp.]:[PERIODO Imp.]],BS$9)</f>
        <v>0</v>
      </c>
      <c r="BT784" s="693">
        <f>SUMIFS(Imput[[Importe Neto]:[Importe Neto]],Imput[[C. Imp.]:[C. Imp.]],$D784,Imput[[PERIODO Imp.]:[PERIODO Imp.]],BT$9)</f>
        <v>0</v>
      </c>
      <c r="BU784" s="693">
        <f>SUMIFS(Imput[[Importe Neto]:[Importe Neto]],Imput[[C. Imp.]:[C. Imp.]],$D784,Imput[[PERIODO Imp.]:[PERIODO Imp.]],BU$9)</f>
        <v>0</v>
      </c>
      <c r="BV784" s="693">
        <f>SUMIFS(Imput[[Importe Neto]:[Importe Neto]],Imput[[C. Imp.]:[C. Imp.]],$D784,Imput[[PERIODO Imp.]:[PERIODO Imp.]],BV$9)</f>
        <v>0</v>
      </c>
      <c r="BW784" s="693">
        <f>SUMIFS(Imput[[Importe Neto]:[Importe Neto]],Imput[[C. Imp.]:[C. Imp.]],$D784,Imput[[PERIODO Imp.]:[PERIODO Imp.]],BW$9)</f>
        <v>0</v>
      </c>
      <c r="BX784" s="693">
        <f>SUMIFS(Imput[[Importe Neto]:[Importe Neto]],Imput[[C. Imp.]:[C. Imp.]],$D784,Imput[[PERIODO Imp.]:[PERIODO Imp.]],BX$9)</f>
        <v>0</v>
      </c>
      <c r="BY784" s="693">
        <f>SUMIFS(Imput[[Importe Neto]:[Importe Neto]],Imput[[C. Imp.]:[C. Imp.]],$D784,Imput[[PERIODO Imp.]:[PERIODO Imp.]],BY$9)</f>
        <v>0</v>
      </c>
      <c r="BZ784" s="693">
        <f>SUMIFS(Imput[[Importe Neto]:[Importe Neto]],Imput[[C. Imp.]:[C. Imp.]],$D784,Imput[[PERIODO Imp.]:[PERIODO Imp.]],BZ$9)</f>
        <v>0</v>
      </c>
      <c r="CA784" s="693">
        <f>SUMIFS(Imput[[Importe Neto]:[Importe Neto]],Imput[[C. Imp.]:[C. Imp.]],$D784,Imput[[PERIODO Imp.]:[PERIODO Imp.]],CA$9)</f>
        <v>0</v>
      </c>
      <c r="CB784" s="693">
        <f>SUMIFS(Imput[[Importe Neto]:[Importe Neto]],Imput[[C. Imp.]:[C. Imp.]],$D784,Imput[[PERIODO Imp.]:[PERIODO Imp.]],CB$9)</f>
        <v>0</v>
      </c>
      <c r="CC784" s="693">
        <f>SUMIFS(Imput[[Importe Neto]:[Importe Neto]],Imput[[C. Imp.]:[C. Imp.]],$D784,Imput[[PERIODO Imp.]:[PERIODO Imp.]],CC$9)</f>
        <v>0</v>
      </c>
      <c r="CD784" s="693">
        <f>SUMIFS(Imput[[Importe Neto]:[Importe Neto]],Imput[[C. Imp.]:[C. Imp.]],$D784,Imput[[PERIODO Imp.]:[PERIODO Imp.]],CD$9)</f>
        <v>0</v>
      </c>
      <c r="CE784" s="693">
        <f>SUMIFS(Imput[[Importe Neto]:[Importe Neto]],Imput[[C. Imp.]:[C. Imp.]],$D784,Imput[[PERIODO Imp.]:[PERIODO Imp.]],CE$9)</f>
        <v>0</v>
      </c>
      <c r="CF784" s="693">
        <f>SUMIFS(Imput[[Importe Neto]:[Importe Neto]],Imput[[C. Imp.]:[C. Imp.]],$D784,Imput[[PERIODO Imp.]:[PERIODO Imp.]],CF$9)</f>
        <v>0</v>
      </c>
      <c r="CG784" s="693">
        <f>SUMIFS(Imput[[Importe Neto]:[Importe Neto]],Imput[[C. Imp.]:[C. Imp.]],$D784,Imput[[PERIODO Imp.]:[PERIODO Imp.]],CG$9)</f>
        <v>0</v>
      </c>
      <c r="CH784" s="693">
        <f>SUMIFS(Imput[[Importe Neto]:[Importe Neto]],Imput[[C. Imp.]:[C. Imp.]],$D784,Imput[[PERIODO Imp.]:[PERIODO Imp.]],CH$9)</f>
        <v>0</v>
      </c>
      <c r="CI784" s="693">
        <f>SUMIFS(Imput[[Importe Neto]:[Importe Neto]],Imput[[C. Imp.]:[C. Imp.]],$D784,Imput[[PERIODO Imp.]:[PERIODO Imp.]],CI$9)</f>
        <v>0</v>
      </c>
      <c r="CJ784" s="693">
        <f>SUMIFS(Imput[[Importe Neto]:[Importe Neto]],Imput[[C. Imp.]:[C. Imp.]],$D784,Imput[[PERIODO Imp.]:[PERIODO Imp.]],CJ$9)</f>
        <v>0</v>
      </c>
      <c r="CK784" s="693">
        <f>SUMIFS(Imput[[Importe Neto]:[Importe Neto]],Imput[[C. Imp.]:[C. Imp.]],$D784,Imput[[PERIODO Imp.]:[PERIODO Imp.]],CK$9)</f>
        <v>0</v>
      </c>
      <c r="CL784" s="693">
        <f>SUMIFS(Imput[[Importe Neto]:[Importe Neto]],Imput[[C. Imp.]:[C. Imp.]],$D784,Imput[[PERIODO Imp.]:[PERIODO Imp.]],CL$9)</f>
        <v>0</v>
      </c>
      <c r="CM784" s="693">
        <f>SUMIFS(Imput[[Importe Neto]:[Importe Neto]],Imput[[C. Imp.]:[C. Imp.]],$D784,Imput[[PERIODO Imp.]:[PERIODO Imp.]],CM$9)</f>
        <v>0</v>
      </c>
      <c r="CN784" s="693">
        <f>SUMIFS(Imput[[Importe Neto]:[Importe Neto]],Imput[[C. Imp.]:[C. Imp.]],$D784,Imput[[PERIODO Imp.]:[PERIODO Imp.]],CN$9)</f>
        <v>0</v>
      </c>
      <c r="CO784" s="693">
        <f>SUMIFS(Imput[[Importe Neto]:[Importe Neto]],Imput[[C. Imp.]:[C. Imp.]],$D784,Imput[[PERIODO Imp.]:[PERIODO Imp.]],CO$9)</f>
        <v>0</v>
      </c>
      <c r="CP784" s="693">
        <f>SUMIFS(Imput[[Importe Neto]:[Importe Neto]],Imput[[C. Imp.]:[C. Imp.]],$D784,Imput[[PERIODO Imp.]:[PERIODO Imp.]],CP$9)</f>
        <v>0</v>
      </c>
      <c r="CQ784" s="693">
        <f>SUMIFS(Imput[[Importe Neto]:[Importe Neto]],Imput[[C. Imp.]:[C. Imp.]],$D784,Imput[[PERIODO Imp.]:[PERIODO Imp.]],CQ$9)</f>
        <v>0</v>
      </c>
      <c r="CR784" s="693">
        <f>SUMIFS(Imput[[Importe Neto]:[Importe Neto]],Imput[[C. Imp.]:[C. Imp.]],$D784,Imput[[PERIODO Imp.]:[PERIODO Imp.]],CR$9)</f>
        <v>0</v>
      </c>
      <c r="CS784" s="693">
        <f>SUMIFS(Imput[[Importe Neto]:[Importe Neto]],Imput[[C. Imp.]:[C. Imp.]],$D784,Imput[[PERIODO Imp.]:[PERIODO Imp.]],CS$9)</f>
        <v>0</v>
      </c>
      <c r="CT784" s="693">
        <f>SUMIFS(Imput[[Importe Neto]:[Importe Neto]],Imput[[C. Imp.]:[C. Imp.]],$D784,Imput[[PERIODO Imp.]:[PERIODO Imp.]],CT$9)</f>
        <v>0</v>
      </c>
      <c r="CU784" s="693">
        <f>SUMIFS(Imput[[Importe Neto]:[Importe Neto]],Imput[[C. Imp.]:[C. Imp.]],$D784,Imput[[PERIODO Imp.]:[PERIODO Imp.]],CU$9)</f>
        <v>0</v>
      </c>
      <c r="CV784" s="693">
        <f>SUMIFS(Imput[[Importe Neto]:[Importe Neto]],Imput[[C. Imp.]:[C. Imp.]],$D784,Imput[[PERIODO Imp.]:[PERIODO Imp.]],CV$9)</f>
        <v>0</v>
      </c>
      <c r="CW784" s="693">
        <f>SUMIFS(Imput[[Importe Neto]:[Importe Neto]],Imput[[C. Imp.]:[C. Imp.]],$D784,Imput[[PERIODO Imp.]:[PERIODO Imp.]],CW$9)</f>
        <v>0</v>
      </c>
      <c r="CX784" s="693">
        <f>SUMIFS(Imput[[Importe Neto]:[Importe Neto]],Imput[[C. Imp.]:[C. Imp.]],$D784,Imput[[PERIODO Imp.]:[PERIODO Imp.]],CX$9)</f>
        <v>0</v>
      </c>
      <c r="CY784" s="693">
        <f>SUMIFS(Imput[[Importe Neto]:[Importe Neto]],Imput[[C. Imp.]:[C. Imp.]],$D784,Imput[[PERIODO Imp.]:[PERIODO Imp.]],CY$9)</f>
        <v>0</v>
      </c>
      <c r="CZ784" s="693">
        <f>SUMIFS(Imput[[Importe Neto]:[Importe Neto]],Imput[[C. Imp.]:[C. Imp.]],$D784,Imput[[PERIODO Imp.]:[PERIODO Imp.]],CZ$9)</f>
        <v>0</v>
      </c>
      <c r="DA784" s="693">
        <f>SUMIFS(Imput[[Importe Neto]:[Importe Neto]],Imput[[C. Imp.]:[C. Imp.]],$D784,Imput[[PERIODO Imp.]:[PERIODO Imp.]],DA$9)</f>
        <v>0</v>
      </c>
      <c r="DB784" s="693">
        <f>SUMIFS(Imput[[Importe Neto]:[Importe Neto]],Imput[[C. Imp.]:[C. Imp.]],$D784,Imput[[PERIODO Imp.]:[PERIODO Imp.]],DB$9)</f>
        <v>0</v>
      </c>
      <c r="DC784" s="693">
        <f>SUMIFS(Imput[[Importe Neto]:[Importe Neto]],Imput[[C. Imp.]:[C. Imp.]],$D784,Imput[[PERIODO Imp.]:[PERIODO Imp.]],DC$9)</f>
        <v>0</v>
      </c>
      <c r="DD784" s="693">
        <f>SUMIFS(Imput[[Importe Neto]:[Importe Neto]],Imput[[C. Imp.]:[C. Imp.]],$D784,Imput[[PERIODO Imp.]:[PERIODO Imp.]],DD$9)</f>
        <v>0</v>
      </c>
      <c r="DE784" s="693">
        <f>SUMIFS(Imput[[Importe Neto]:[Importe Neto]],Imput[[C. Imp.]:[C. Imp.]],$D784,Imput[[PERIODO Imp.]:[PERIODO Imp.]],DE$9)</f>
        <v>0</v>
      </c>
      <c r="DF784" s="693">
        <f>SUMIFS(Imput[[Importe Neto]:[Importe Neto]],Imput[[C. Imp.]:[C. Imp.]],$D784,Imput[[PERIODO Imp.]:[PERIODO Imp.]],DF$9)</f>
        <v>0</v>
      </c>
      <c r="DG784" s="693">
        <f>SUMIFS(Imput[[Importe Neto]:[Importe Neto]],Imput[[C. Imp.]:[C. Imp.]],$D784,Imput[[PERIODO Imp.]:[PERIODO Imp.]],DG$9)</f>
        <v>0</v>
      </c>
      <c r="DH784" s="694">
        <f>SUMIFS(Imput[[Importe Neto]:[Importe Neto]],Imput[[C. Imp.]:[C. Imp.]],$D784,Imput[[PERIODO Imp.]:[PERIODO Imp.]],DH$9)</f>
        <v>0</v>
      </c>
    </row>
    <row r="785" spans="1:112" s="649" customFormat="1" hidden="1" outlineLevel="1" x14ac:dyDescent="0.3">
      <c r="A785" s="652" t="str">
        <f t="shared" si="280"/>
        <v/>
      </c>
      <c r="B785" s="652"/>
      <c r="C785" s="685"/>
      <c r="D785" s="686" t="s">
        <v>2765</v>
      </c>
      <c r="E785" s="686"/>
      <c r="F785" s="720"/>
      <c r="G785" s="688"/>
      <c r="H785" s="689"/>
      <c r="I785" s="851" t="str">
        <f t="shared" si="281"/>
        <v/>
      </c>
      <c r="J785" s="850" t="str">
        <f t="shared" si="282"/>
        <v/>
      </c>
      <c r="K785" s="667"/>
      <c r="L785" s="858"/>
      <c r="M785" s="859"/>
      <c r="N785" s="859"/>
      <c r="O785" s="859"/>
      <c r="P785" s="859"/>
      <c r="Q785" s="859"/>
      <c r="R785" s="859"/>
      <c r="S785" s="859"/>
      <c r="T785" s="859"/>
      <c r="U785" s="859"/>
      <c r="V785" s="859"/>
      <c r="W785" s="859"/>
      <c r="X785" s="859"/>
      <c r="Y785" s="859"/>
      <c r="Z785" s="860"/>
      <c r="AA785" s="860"/>
      <c r="AB785" s="860"/>
      <c r="AC785" s="860"/>
      <c r="AD785" s="860"/>
      <c r="AE785" s="860"/>
      <c r="AF785" s="860"/>
      <c r="AG785" s="860"/>
      <c r="AH785" s="860"/>
      <c r="AI785" s="860"/>
      <c r="AJ785" s="860"/>
      <c r="AK785" s="860"/>
      <c r="AL785" s="860"/>
      <c r="AM785" s="860"/>
      <c r="AN785" s="860"/>
      <c r="AO785" s="860"/>
      <c r="AP785" s="860"/>
      <c r="AQ785" s="860"/>
      <c r="AR785" s="860"/>
      <c r="AS785" s="860"/>
      <c r="AT785" s="860"/>
      <c r="AU785" s="860"/>
      <c r="AV785" s="860"/>
      <c r="AW785" s="860"/>
      <c r="AX785" s="860"/>
      <c r="AY785" s="860"/>
      <c r="AZ785" s="860"/>
      <c r="BA785" s="860"/>
      <c r="BB785" s="860"/>
      <c r="BC785" s="860"/>
      <c r="BD785" s="860"/>
      <c r="BE785" s="860"/>
      <c r="BF785" s="860"/>
      <c r="BG785" s="860"/>
      <c r="BH785" s="668"/>
      <c r="BI785" s="667"/>
      <c r="BJ785" s="690">
        <f t="shared" si="283"/>
        <v>0</v>
      </c>
      <c r="BK785" s="691">
        <f t="shared" si="284"/>
        <v>0</v>
      </c>
      <c r="BL785" s="654"/>
      <c r="BM785" s="692">
        <f>SUMIFS(Imput[[Importe Neto]:[Importe Neto]],Imput[[C. Imp.]:[C. Imp.]],$D785,Imput[[PERIODO Imp.]:[PERIODO Imp.]],BM$9)</f>
        <v>0</v>
      </c>
      <c r="BN785" s="693">
        <f>SUMIFS(Imput[[Importe Neto]:[Importe Neto]],Imput[[C. Imp.]:[C. Imp.]],$D785,Imput[[PERIODO Imp.]:[PERIODO Imp.]],BN$9)</f>
        <v>0</v>
      </c>
      <c r="BO785" s="693">
        <f>SUMIFS(Imput[[Importe Neto]:[Importe Neto]],Imput[[C. Imp.]:[C. Imp.]],$D785,Imput[[PERIODO Imp.]:[PERIODO Imp.]],BO$9)</f>
        <v>0</v>
      </c>
      <c r="BP785" s="693">
        <f>SUMIFS(Imput[[Importe Neto]:[Importe Neto]],Imput[[C. Imp.]:[C. Imp.]],$D785,Imput[[PERIODO Imp.]:[PERIODO Imp.]],BP$9)</f>
        <v>0</v>
      </c>
      <c r="BQ785" s="693">
        <f>SUMIFS(Imput[[Importe Neto]:[Importe Neto]],Imput[[C. Imp.]:[C. Imp.]],$D785,Imput[[PERIODO Imp.]:[PERIODO Imp.]],BQ$9)</f>
        <v>0</v>
      </c>
      <c r="BR785" s="693">
        <f>SUMIFS(Imput[[Importe Neto]:[Importe Neto]],Imput[[C. Imp.]:[C. Imp.]],$D785,Imput[[PERIODO Imp.]:[PERIODO Imp.]],BR$9)</f>
        <v>0</v>
      </c>
      <c r="BS785" s="693">
        <f>SUMIFS(Imput[[Importe Neto]:[Importe Neto]],Imput[[C. Imp.]:[C. Imp.]],$D785,Imput[[PERIODO Imp.]:[PERIODO Imp.]],BS$9)</f>
        <v>0</v>
      </c>
      <c r="BT785" s="693">
        <f>SUMIFS(Imput[[Importe Neto]:[Importe Neto]],Imput[[C. Imp.]:[C. Imp.]],$D785,Imput[[PERIODO Imp.]:[PERIODO Imp.]],BT$9)</f>
        <v>0</v>
      </c>
      <c r="BU785" s="693">
        <f>SUMIFS(Imput[[Importe Neto]:[Importe Neto]],Imput[[C. Imp.]:[C. Imp.]],$D785,Imput[[PERIODO Imp.]:[PERIODO Imp.]],BU$9)</f>
        <v>0</v>
      </c>
      <c r="BV785" s="693">
        <f>SUMIFS(Imput[[Importe Neto]:[Importe Neto]],Imput[[C. Imp.]:[C. Imp.]],$D785,Imput[[PERIODO Imp.]:[PERIODO Imp.]],BV$9)</f>
        <v>0</v>
      </c>
      <c r="BW785" s="693">
        <f>SUMIFS(Imput[[Importe Neto]:[Importe Neto]],Imput[[C. Imp.]:[C. Imp.]],$D785,Imput[[PERIODO Imp.]:[PERIODO Imp.]],BW$9)</f>
        <v>0</v>
      </c>
      <c r="BX785" s="693">
        <f>SUMIFS(Imput[[Importe Neto]:[Importe Neto]],Imput[[C. Imp.]:[C. Imp.]],$D785,Imput[[PERIODO Imp.]:[PERIODO Imp.]],BX$9)</f>
        <v>0</v>
      </c>
      <c r="BY785" s="693">
        <f>SUMIFS(Imput[[Importe Neto]:[Importe Neto]],Imput[[C. Imp.]:[C. Imp.]],$D785,Imput[[PERIODO Imp.]:[PERIODO Imp.]],BY$9)</f>
        <v>0</v>
      </c>
      <c r="BZ785" s="693">
        <f>SUMIFS(Imput[[Importe Neto]:[Importe Neto]],Imput[[C. Imp.]:[C. Imp.]],$D785,Imput[[PERIODO Imp.]:[PERIODO Imp.]],BZ$9)</f>
        <v>0</v>
      </c>
      <c r="CA785" s="693">
        <f>SUMIFS(Imput[[Importe Neto]:[Importe Neto]],Imput[[C. Imp.]:[C. Imp.]],$D785,Imput[[PERIODO Imp.]:[PERIODO Imp.]],CA$9)</f>
        <v>0</v>
      </c>
      <c r="CB785" s="693">
        <f>SUMIFS(Imput[[Importe Neto]:[Importe Neto]],Imput[[C. Imp.]:[C. Imp.]],$D785,Imput[[PERIODO Imp.]:[PERIODO Imp.]],CB$9)</f>
        <v>0</v>
      </c>
      <c r="CC785" s="693">
        <f>SUMIFS(Imput[[Importe Neto]:[Importe Neto]],Imput[[C. Imp.]:[C. Imp.]],$D785,Imput[[PERIODO Imp.]:[PERIODO Imp.]],CC$9)</f>
        <v>0</v>
      </c>
      <c r="CD785" s="693">
        <f>SUMIFS(Imput[[Importe Neto]:[Importe Neto]],Imput[[C. Imp.]:[C. Imp.]],$D785,Imput[[PERIODO Imp.]:[PERIODO Imp.]],CD$9)</f>
        <v>0</v>
      </c>
      <c r="CE785" s="693">
        <f>SUMIFS(Imput[[Importe Neto]:[Importe Neto]],Imput[[C. Imp.]:[C. Imp.]],$D785,Imput[[PERIODO Imp.]:[PERIODO Imp.]],CE$9)</f>
        <v>0</v>
      </c>
      <c r="CF785" s="693">
        <f>SUMIFS(Imput[[Importe Neto]:[Importe Neto]],Imput[[C. Imp.]:[C. Imp.]],$D785,Imput[[PERIODO Imp.]:[PERIODO Imp.]],CF$9)</f>
        <v>0</v>
      </c>
      <c r="CG785" s="693">
        <f>SUMIFS(Imput[[Importe Neto]:[Importe Neto]],Imput[[C. Imp.]:[C. Imp.]],$D785,Imput[[PERIODO Imp.]:[PERIODO Imp.]],CG$9)</f>
        <v>0</v>
      </c>
      <c r="CH785" s="693">
        <f>SUMIFS(Imput[[Importe Neto]:[Importe Neto]],Imput[[C. Imp.]:[C. Imp.]],$D785,Imput[[PERIODO Imp.]:[PERIODO Imp.]],CH$9)</f>
        <v>0</v>
      </c>
      <c r="CI785" s="693">
        <f>SUMIFS(Imput[[Importe Neto]:[Importe Neto]],Imput[[C. Imp.]:[C. Imp.]],$D785,Imput[[PERIODO Imp.]:[PERIODO Imp.]],CI$9)</f>
        <v>0</v>
      </c>
      <c r="CJ785" s="693">
        <f>SUMIFS(Imput[[Importe Neto]:[Importe Neto]],Imput[[C. Imp.]:[C. Imp.]],$D785,Imput[[PERIODO Imp.]:[PERIODO Imp.]],CJ$9)</f>
        <v>0</v>
      </c>
      <c r="CK785" s="693">
        <f>SUMIFS(Imput[[Importe Neto]:[Importe Neto]],Imput[[C. Imp.]:[C. Imp.]],$D785,Imput[[PERIODO Imp.]:[PERIODO Imp.]],CK$9)</f>
        <v>0</v>
      </c>
      <c r="CL785" s="693">
        <f>SUMIFS(Imput[[Importe Neto]:[Importe Neto]],Imput[[C. Imp.]:[C. Imp.]],$D785,Imput[[PERIODO Imp.]:[PERIODO Imp.]],CL$9)</f>
        <v>0</v>
      </c>
      <c r="CM785" s="693">
        <f>SUMIFS(Imput[[Importe Neto]:[Importe Neto]],Imput[[C. Imp.]:[C. Imp.]],$D785,Imput[[PERIODO Imp.]:[PERIODO Imp.]],CM$9)</f>
        <v>0</v>
      </c>
      <c r="CN785" s="693">
        <f>SUMIFS(Imput[[Importe Neto]:[Importe Neto]],Imput[[C. Imp.]:[C. Imp.]],$D785,Imput[[PERIODO Imp.]:[PERIODO Imp.]],CN$9)</f>
        <v>0</v>
      </c>
      <c r="CO785" s="693">
        <f>SUMIFS(Imput[[Importe Neto]:[Importe Neto]],Imput[[C. Imp.]:[C. Imp.]],$D785,Imput[[PERIODO Imp.]:[PERIODO Imp.]],CO$9)</f>
        <v>0</v>
      </c>
      <c r="CP785" s="693">
        <f>SUMIFS(Imput[[Importe Neto]:[Importe Neto]],Imput[[C. Imp.]:[C. Imp.]],$D785,Imput[[PERIODO Imp.]:[PERIODO Imp.]],CP$9)</f>
        <v>0</v>
      </c>
      <c r="CQ785" s="693">
        <f>SUMIFS(Imput[[Importe Neto]:[Importe Neto]],Imput[[C. Imp.]:[C. Imp.]],$D785,Imput[[PERIODO Imp.]:[PERIODO Imp.]],CQ$9)</f>
        <v>0</v>
      </c>
      <c r="CR785" s="693">
        <f>SUMIFS(Imput[[Importe Neto]:[Importe Neto]],Imput[[C. Imp.]:[C. Imp.]],$D785,Imput[[PERIODO Imp.]:[PERIODO Imp.]],CR$9)</f>
        <v>0</v>
      </c>
      <c r="CS785" s="693">
        <f>SUMIFS(Imput[[Importe Neto]:[Importe Neto]],Imput[[C. Imp.]:[C. Imp.]],$D785,Imput[[PERIODO Imp.]:[PERIODO Imp.]],CS$9)</f>
        <v>0</v>
      </c>
      <c r="CT785" s="693">
        <f>SUMIFS(Imput[[Importe Neto]:[Importe Neto]],Imput[[C. Imp.]:[C. Imp.]],$D785,Imput[[PERIODO Imp.]:[PERIODO Imp.]],CT$9)</f>
        <v>0</v>
      </c>
      <c r="CU785" s="693">
        <f>SUMIFS(Imput[[Importe Neto]:[Importe Neto]],Imput[[C. Imp.]:[C. Imp.]],$D785,Imput[[PERIODO Imp.]:[PERIODO Imp.]],CU$9)</f>
        <v>0</v>
      </c>
      <c r="CV785" s="693">
        <f>SUMIFS(Imput[[Importe Neto]:[Importe Neto]],Imput[[C. Imp.]:[C. Imp.]],$D785,Imput[[PERIODO Imp.]:[PERIODO Imp.]],CV$9)</f>
        <v>0</v>
      </c>
      <c r="CW785" s="693">
        <f>SUMIFS(Imput[[Importe Neto]:[Importe Neto]],Imput[[C. Imp.]:[C. Imp.]],$D785,Imput[[PERIODO Imp.]:[PERIODO Imp.]],CW$9)</f>
        <v>0</v>
      </c>
      <c r="CX785" s="693">
        <f>SUMIFS(Imput[[Importe Neto]:[Importe Neto]],Imput[[C. Imp.]:[C. Imp.]],$D785,Imput[[PERIODO Imp.]:[PERIODO Imp.]],CX$9)</f>
        <v>0</v>
      </c>
      <c r="CY785" s="693">
        <f>SUMIFS(Imput[[Importe Neto]:[Importe Neto]],Imput[[C. Imp.]:[C. Imp.]],$D785,Imput[[PERIODO Imp.]:[PERIODO Imp.]],CY$9)</f>
        <v>0</v>
      </c>
      <c r="CZ785" s="693">
        <f>SUMIFS(Imput[[Importe Neto]:[Importe Neto]],Imput[[C. Imp.]:[C. Imp.]],$D785,Imput[[PERIODO Imp.]:[PERIODO Imp.]],CZ$9)</f>
        <v>0</v>
      </c>
      <c r="DA785" s="693">
        <f>SUMIFS(Imput[[Importe Neto]:[Importe Neto]],Imput[[C. Imp.]:[C. Imp.]],$D785,Imput[[PERIODO Imp.]:[PERIODO Imp.]],DA$9)</f>
        <v>0</v>
      </c>
      <c r="DB785" s="693">
        <f>SUMIFS(Imput[[Importe Neto]:[Importe Neto]],Imput[[C. Imp.]:[C. Imp.]],$D785,Imput[[PERIODO Imp.]:[PERIODO Imp.]],DB$9)</f>
        <v>0</v>
      </c>
      <c r="DC785" s="693">
        <f>SUMIFS(Imput[[Importe Neto]:[Importe Neto]],Imput[[C. Imp.]:[C. Imp.]],$D785,Imput[[PERIODO Imp.]:[PERIODO Imp.]],DC$9)</f>
        <v>0</v>
      </c>
      <c r="DD785" s="693">
        <f>SUMIFS(Imput[[Importe Neto]:[Importe Neto]],Imput[[C. Imp.]:[C. Imp.]],$D785,Imput[[PERIODO Imp.]:[PERIODO Imp.]],DD$9)</f>
        <v>0</v>
      </c>
      <c r="DE785" s="693">
        <f>SUMIFS(Imput[[Importe Neto]:[Importe Neto]],Imput[[C. Imp.]:[C. Imp.]],$D785,Imput[[PERIODO Imp.]:[PERIODO Imp.]],DE$9)</f>
        <v>0</v>
      </c>
      <c r="DF785" s="693">
        <f>SUMIFS(Imput[[Importe Neto]:[Importe Neto]],Imput[[C. Imp.]:[C. Imp.]],$D785,Imput[[PERIODO Imp.]:[PERIODO Imp.]],DF$9)</f>
        <v>0</v>
      </c>
      <c r="DG785" s="693">
        <f>SUMIFS(Imput[[Importe Neto]:[Importe Neto]],Imput[[C. Imp.]:[C. Imp.]],$D785,Imput[[PERIODO Imp.]:[PERIODO Imp.]],DG$9)</f>
        <v>0</v>
      </c>
      <c r="DH785" s="694">
        <f>SUMIFS(Imput[[Importe Neto]:[Importe Neto]],Imput[[C. Imp.]:[C. Imp.]],$D785,Imput[[PERIODO Imp.]:[PERIODO Imp.]],DH$9)</f>
        <v>0</v>
      </c>
    </row>
    <row r="786" spans="1:112" s="649" customFormat="1" hidden="1" outlineLevel="1" x14ac:dyDescent="0.3">
      <c r="A786" s="652" t="str">
        <f t="shared" si="280"/>
        <v/>
      </c>
      <c r="B786" s="652"/>
      <c r="C786" s="685"/>
      <c r="D786" s="686" t="s">
        <v>2766</v>
      </c>
      <c r="E786" s="686"/>
      <c r="F786" s="720"/>
      <c r="G786" s="688"/>
      <c r="H786" s="689"/>
      <c r="I786" s="851" t="str">
        <f t="shared" si="281"/>
        <v/>
      </c>
      <c r="J786" s="850" t="str">
        <f t="shared" si="282"/>
        <v/>
      </c>
      <c r="K786" s="667"/>
      <c r="L786" s="858"/>
      <c r="M786" s="859"/>
      <c r="N786" s="859"/>
      <c r="O786" s="859"/>
      <c r="P786" s="859"/>
      <c r="Q786" s="859"/>
      <c r="R786" s="859"/>
      <c r="S786" s="859"/>
      <c r="T786" s="859"/>
      <c r="U786" s="859"/>
      <c r="V786" s="859"/>
      <c r="W786" s="859"/>
      <c r="X786" s="859"/>
      <c r="Y786" s="859"/>
      <c r="Z786" s="860"/>
      <c r="AA786" s="860"/>
      <c r="AB786" s="860"/>
      <c r="AC786" s="860"/>
      <c r="AD786" s="860"/>
      <c r="AE786" s="860"/>
      <c r="AF786" s="860"/>
      <c r="AG786" s="860"/>
      <c r="AH786" s="860"/>
      <c r="AI786" s="860"/>
      <c r="AJ786" s="860"/>
      <c r="AK786" s="860"/>
      <c r="AL786" s="860"/>
      <c r="AM786" s="860"/>
      <c r="AN786" s="860"/>
      <c r="AO786" s="860"/>
      <c r="AP786" s="860"/>
      <c r="AQ786" s="860"/>
      <c r="AR786" s="860"/>
      <c r="AS786" s="860"/>
      <c r="AT786" s="860"/>
      <c r="AU786" s="860"/>
      <c r="AV786" s="860"/>
      <c r="AW786" s="860"/>
      <c r="AX786" s="860"/>
      <c r="AY786" s="860"/>
      <c r="AZ786" s="860"/>
      <c r="BA786" s="860"/>
      <c r="BB786" s="860"/>
      <c r="BC786" s="860"/>
      <c r="BD786" s="860"/>
      <c r="BE786" s="860"/>
      <c r="BF786" s="860"/>
      <c r="BG786" s="860"/>
      <c r="BH786" s="668"/>
      <c r="BI786" s="667"/>
      <c r="BJ786" s="690">
        <f t="shared" si="283"/>
        <v>0</v>
      </c>
      <c r="BK786" s="691">
        <f t="shared" si="284"/>
        <v>0</v>
      </c>
      <c r="BL786" s="654"/>
      <c r="BM786" s="692">
        <f>SUMIFS(Imput[[Importe Neto]:[Importe Neto]],Imput[[C. Imp.]:[C. Imp.]],$D786,Imput[[PERIODO Imp.]:[PERIODO Imp.]],BM$9)</f>
        <v>0</v>
      </c>
      <c r="BN786" s="693">
        <f>SUMIFS(Imput[[Importe Neto]:[Importe Neto]],Imput[[C. Imp.]:[C. Imp.]],$D786,Imput[[PERIODO Imp.]:[PERIODO Imp.]],BN$9)</f>
        <v>0</v>
      </c>
      <c r="BO786" s="693">
        <f>SUMIFS(Imput[[Importe Neto]:[Importe Neto]],Imput[[C. Imp.]:[C. Imp.]],$D786,Imput[[PERIODO Imp.]:[PERIODO Imp.]],BO$9)</f>
        <v>0</v>
      </c>
      <c r="BP786" s="693">
        <f>SUMIFS(Imput[[Importe Neto]:[Importe Neto]],Imput[[C. Imp.]:[C. Imp.]],$D786,Imput[[PERIODO Imp.]:[PERIODO Imp.]],BP$9)</f>
        <v>0</v>
      </c>
      <c r="BQ786" s="693">
        <f>SUMIFS(Imput[[Importe Neto]:[Importe Neto]],Imput[[C. Imp.]:[C. Imp.]],$D786,Imput[[PERIODO Imp.]:[PERIODO Imp.]],BQ$9)</f>
        <v>0</v>
      </c>
      <c r="BR786" s="693">
        <f>SUMIFS(Imput[[Importe Neto]:[Importe Neto]],Imput[[C. Imp.]:[C. Imp.]],$D786,Imput[[PERIODO Imp.]:[PERIODO Imp.]],BR$9)</f>
        <v>0</v>
      </c>
      <c r="BS786" s="693">
        <f>SUMIFS(Imput[[Importe Neto]:[Importe Neto]],Imput[[C. Imp.]:[C. Imp.]],$D786,Imput[[PERIODO Imp.]:[PERIODO Imp.]],BS$9)</f>
        <v>0</v>
      </c>
      <c r="BT786" s="693">
        <f>SUMIFS(Imput[[Importe Neto]:[Importe Neto]],Imput[[C. Imp.]:[C. Imp.]],$D786,Imput[[PERIODO Imp.]:[PERIODO Imp.]],BT$9)</f>
        <v>0</v>
      </c>
      <c r="BU786" s="693">
        <f>SUMIFS(Imput[[Importe Neto]:[Importe Neto]],Imput[[C. Imp.]:[C. Imp.]],$D786,Imput[[PERIODO Imp.]:[PERIODO Imp.]],BU$9)</f>
        <v>0</v>
      </c>
      <c r="BV786" s="693">
        <f>SUMIFS(Imput[[Importe Neto]:[Importe Neto]],Imput[[C. Imp.]:[C. Imp.]],$D786,Imput[[PERIODO Imp.]:[PERIODO Imp.]],BV$9)</f>
        <v>0</v>
      </c>
      <c r="BW786" s="693">
        <f>SUMIFS(Imput[[Importe Neto]:[Importe Neto]],Imput[[C. Imp.]:[C. Imp.]],$D786,Imput[[PERIODO Imp.]:[PERIODO Imp.]],BW$9)</f>
        <v>0</v>
      </c>
      <c r="BX786" s="693">
        <f>SUMIFS(Imput[[Importe Neto]:[Importe Neto]],Imput[[C. Imp.]:[C. Imp.]],$D786,Imput[[PERIODO Imp.]:[PERIODO Imp.]],BX$9)</f>
        <v>0</v>
      </c>
      <c r="BY786" s="693">
        <f>SUMIFS(Imput[[Importe Neto]:[Importe Neto]],Imput[[C. Imp.]:[C. Imp.]],$D786,Imput[[PERIODO Imp.]:[PERIODO Imp.]],BY$9)</f>
        <v>0</v>
      </c>
      <c r="BZ786" s="693">
        <f>SUMIFS(Imput[[Importe Neto]:[Importe Neto]],Imput[[C. Imp.]:[C. Imp.]],$D786,Imput[[PERIODO Imp.]:[PERIODO Imp.]],BZ$9)</f>
        <v>0</v>
      </c>
      <c r="CA786" s="693">
        <f>SUMIFS(Imput[[Importe Neto]:[Importe Neto]],Imput[[C. Imp.]:[C. Imp.]],$D786,Imput[[PERIODO Imp.]:[PERIODO Imp.]],CA$9)</f>
        <v>0</v>
      </c>
      <c r="CB786" s="693">
        <f>SUMIFS(Imput[[Importe Neto]:[Importe Neto]],Imput[[C. Imp.]:[C. Imp.]],$D786,Imput[[PERIODO Imp.]:[PERIODO Imp.]],CB$9)</f>
        <v>0</v>
      </c>
      <c r="CC786" s="693">
        <f>SUMIFS(Imput[[Importe Neto]:[Importe Neto]],Imput[[C. Imp.]:[C. Imp.]],$D786,Imput[[PERIODO Imp.]:[PERIODO Imp.]],CC$9)</f>
        <v>0</v>
      </c>
      <c r="CD786" s="693">
        <f>SUMIFS(Imput[[Importe Neto]:[Importe Neto]],Imput[[C. Imp.]:[C. Imp.]],$D786,Imput[[PERIODO Imp.]:[PERIODO Imp.]],CD$9)</f>
        <v>0</v>
      </c>
      <c r="CE786" s="693">
        <f>SUMIFS(Imput[[Importe Neto]:[Importe Neto]],Imput[[C. Imp.]:[C. Imp.]],$D786,Imput[[PERIODO Imp.]:[PERIODO Imp.]],CE$9)</f>
        <v>0</v>
      </c>
      <c r="CF786" s="693">
        <f>SUMIFS(Imput[[Importe Neto]:[Importe Neto]],Imput[[C. Imp.]:[C. Imp.]],$D786,Imput[[PERIODO Imp.]:[PERIODO Imp.]],CF$9)</f>
        <v>0</v>
      </c>
      <c r="CG786" s="693">
        <f>SUMIFS(Imput[[Importe Neto]:[Importe Neto]],Imput[[C. Imp.]:[C. Imp.]],$D786,Imput[[PERIODO Imp.]:[PERIODO Imp.]],CG$9)</f>
        <v>0</v>
      </c>
      <c r="CH786" s="693">
        <f>SUMIFS(Imput[[Importe Neto]:[Importe Neto]],Imput[[C. Imp.]:[C. Imp.]],$D786,Imput[[PERIODO Imp.]:[PERIODO Imp.]],CH$9)</f>
        <v>0</v>
      </c>
      <c r="CI786" s="693">
        <f>SUMIFS(Imput[[Importe Neto]:[Importe Neto]],Imput[[C. Imp.]:[C. Imp.]],$D786,Imput[[PERIODO Imp.]:[PERIODO Imp.]],CI$9)</f>
        <v>0</v>
      </c>
      <c r="CJ786" s="693">
        <f>SUMIFS(Imput[[Importe Neto]:[Importe Neto]],Imput[[C. Imp.]:[C. Imp.]],$D786,Imput[[PERIODO Imp.]:[PERIODO Imp.]],CJ$9)</f>
        <v>0</v>
      </c>
      <c r="CK786" s="693">
        <f>SUMIFS(Imput[[Importe Neto]:[Importe Neto]],Imput[[C. Imp.]:[C. Imp.]],$D786,Imput[[PERIODO Imp.]:[PERIODO Imp.]],CK$9)</f>
        <v>0</v>
      </c>
      <c r="CL786" s="693">
        <f>SUMIFS(Imput[[Importe Neto]:[Importe Neto]],Imput[[C. Imp.]:[C. Imp.]],$D786,Imput[[PERIODO Imp.]:[PERIODO Imp.]],CL$9)</f>
        <v>0</v>
      </c>
      <c r="CM786" s="693">
        <f>SUMIFS(Imput[[Importe Neto]:[Importe Neto]],Imput[[C. Imp.]:[C. Imp.]],$D786,Imput[[PERIODO Imp.]:[PERIODO Imp.]],CM$9)</f>
        <v>0</v>
      </c>
      <c r="CN786" s="693">
        <f>SUMIFS(Imput[[Importe Neto]:[Importe Neto]],Imput[[C. Imp.]:[C. Imp.]],$D786,Imput[[PERIODO Imp.]:[PERIODO Imp.]],CN$9)</f>
        <v>0</v>
      </c>
      <c r="CO786" s="693">
        <f>SUMIFS(Imput[[Importe Neto]:[Importe Neto]],Imput[[C. Imp.]:[C. Imp.]],$D786,Imput[[PERIODO Imp.]:[PERIODO Imp.]],CO$9)</f>
        <v>0</v>
      </c>
      <c r="CP786" s="693">
        <f>SUMIFS(Imput[[Importe Neto]:[Importe Neto]],Imput[[C. Imp.]:[C. Imp.]],$D786,Imput[[PERIODO Imp.]:[PERIODO Imp.]],CP$9)</f>
        <v>0</v>
      </c>
      <c r="CQ786" s="693">
        <f>SUMIFS(Imput[[Importe Neto]:[Importe Neto]],Imput[[C. Imp.]:[C. Imp.]],$D786,Imput[[PERIODO Imp.]:[PERIODO Imp.]],CQ$9)</f>
        <v>0</v>
      </c>
      <c r="CR786" s="693">
        <f>SUMIFS(Imput[[Importe Neto]:[Importe Neto]],Imput[[C. Imp.]:[C. Imp.]],$D786,Imput[[PERIODO Imp.]:[PERIODO Imp.]],CR$9)</f>
        <v>0</v>
      </c>
      <c r="CS786" s="693">
        <f>SUMIFS(Imput[[Importe Neto]:[Importe Neto]],Imput[[C. Imp.]:[C. Imp.]],$D786,Imput[[PERIODO Imp.]:[PERIODO Imp.]],CS$9)</f>
        <v>0</v>
      </c>
      <c r="CT786" s="693">
        <f>SUMIFS(Imput[[Importe Neto]:[Importe Neto]],Imput[[C. Imp.]:[C. Imp.]],$D786,Imput[[PERIODO Imp.]:[PERIODO Imp.]],CT$9)</f>
        <v>0</v>
      </c>
      <c r="CU786" s="693">
        <f>SUMIFS(Imput[[Importe Neto]:[Importe Neto]],Imput[[C. Imp.]:[C. Imp.]],$D786,Imput[[PERIODO Imp.]:[PERIODO Imp.]],CU$9)</f>
        <v>0</v>
      </c>
      <c r="CV786" s="693">
        <f>SUMIFS(Imput[[Importe Neto]:[Importe Neto]],Imput[[C. Imp.]:[C. Imp.]],$D786,Imput[[PERIODO Imp.]:[PERIODO Imp.]],CV$9)</f>
        <v>0</v>
      </c>
      <c r="CW786" s="693">
        <f>SUMIFS(Imput[[Importe Neto]:[Importe Neto]],Imput[[C. Imp.]:[C. Imp.]],$D786,Imput[[PERIODO Imp.]:[PERIODO Imp.]],CW$9)</f>
        <v>0</v>
      </c>
      <c r="CX786" s="693">
        <f>SUMIFS(Imput[[Importe Neto]:[Importe Neto]],Imput[[C. Imp.]:[C. Imp.]],$D786,Imput[[PERIODO Imp.]:[PERIODO Imp.]],CX$9)</f>
        <v>0</v>
      </c>
      <c r="CY786" s="693">
        <f>SUMIFS(Imput[[Importe Neto]:[Importe Neto]],Imput[[C. Imp.]:[C. Imp.]],$D786,Imput[[PERIODO Imp.]:[PERIODO Imp.]],CY$9)</f>
        <v>0</v>
      </c>
      <c r="CZ786" s="693">
        <f>SUMIFS(Imput[[Importe Neto]:[Importe Neto]],Imput[[C. Imp.]:[C. Imp.]],$D786,Imput[[PERIODO Imp.]:[PERIODO Imp.]],CZ$9)</f>
        <v>0</v>
      </c>
      <c r="DA786" s="693">
        <f>SUMIFS(Imput[[Importe Neto]:[Importe Neto]],Imput[[C. Imp.]:[C. Imp.]],$D786,Imput[[PERIODO Imp.]:[PERIODO Imp.]],DA$9)</f>
        <v>0</v>
      </c>
      <c r="DB786" s="693">
        <f>SUMIFS(Imput[[Importe Neto]:[Importe Neto]],Imput[[C. Imp.]:[C. Imp.]],$D786,Imput[[PERIODO Imp.]:[PERIODO Imp.]],DB$9)</f>
        <v>0</v>
      </c>
      <c r="DC786" s="693">
        <f>SUMIFS(Imput[[Importe Neto]:[Importe Neto]],Imput[[C. Imp.]:[C. Imp.]],$D786,Imput[[PERIODO Imp.]:[PERIODO Imp.]],DC$9)</f>
        <v>0</v>
      </c>
      <c r="DD786" s="693">
        <f>SUMIFS(Imput[[Importe Neto]:[Importe Neto]],Imput[[C. Imp.]:[C. Imp.]],$D786,Imput[[PERIODO Imp.]:[PERIODO Imp.]],DD$9)</f>
        <v>0</v>
      </c>
      <c r="DE786" s="693">
        <f>SUMIFS(Imput[[Importe Neto]:[Importe Neto]],Imput[[C. Imp.]:[C. Imp.]],$D786,Imput[[PERIODO Imp.]:[PERIODO Imp.]],DE$9)</f>
        <v>0</v>
      </c>
      <c r="DF786" s="693">
        <f>SUMIFS(Imput[[Importe Neto]:[Importe Neto]],Imput[[C. Imp.]:[C. Imp.]],$D786,Imput[[PERIODO Imp.]:[PERIODO Imp.]],DF$9)</f>
        <v>0</v>
      </c>
      <c r="DG786" s="693">
        <f>SUMIFS(Imput[[Importe Neto]:[Importe Neto]],Imput[[C. Imp.]:[C. Imp.]],$D786,Imput[[PERIODO Imp.]:[PERIODO Imp.]],DG$9)</f>
        <v>0</v>
      </c>
      <c r="DH786" s="694">
        <f>SUMIFS(Imput[[Importe Neto]:[Importe Neto]],Imput[[C. Imp.]:[C. Imp.]],$D786,Imput[[PERIODO Imp.]:[PERIODO Imp.]],DH$9)</f>
        <v>0</v>
      </c>
    </row>
    <row r="787" spans="1:112" s="649" customFormat="1" hidden="1" outlineLevel="1" x14ac:dyDescent="0.3">
      <c r="A787" s="652" t="str">
        <f t="shared" si="280"/>
        <v/>
      </c>
      <c r="B787" s="652"/>
      <c r="C787" s="685"/>
      <c r="D787" s="686" t="s">
        <v>2767</v>
      </c>
      <c r="E787" s="686"/>
      <c r="F787" s="720"/>
      <c r="G787" s="688"/>
      <c r="H787" s="689"/>
      <c r="I787" s="851" t="str">
        <f t="shared" si="281"/>
        <v/>
      </c>
      <c r="J787" s="850" t="str">
        <f t="shared" si="282"/>
        <v/>
      </c>
      <c r="K787" s="667"/>
      <c r="L787" s="858"/>
      <c r="M787" s="859"/>
      <c r="N787" s="859"/>
      <c r="O787" s="859"/>
      <c r="P787" s="859"/>
      <c r="Q787" s="859"/>
      <c r="R787" s="859"/>
      <c r="S787" s="859"/>
      <c r="T787" s="859"/>
      <c r="U787" s="859"/>
      <c r="V787" s="859"/>
      <c r="W787" s="859"/>
      <c r="X787" s="859"/>
      <c r="Y787" s="859"/>
      <c r="Z787" s="860"/>
      <c r="AA787" s="860"/>
      <c r="AB787" s="860"/>
      <c r="AC787" s="860"/>
      <c r="AD787" s="860"/>
      <c r="AE787" s="860"/>
      <c r="AF787" s="860"/>
      <c r="AG787" s="860"/>
      <c r="AH787" s="860"/>
      <c r="AI787" s="860"/>
      <c r="AJ787" s="860"/>
      <c r="AK787" s="860"/>
      <c r="AL787" s="860"/>
      <c r="AM787" s="860"/>
      <c r="AN787" s="860"/>
      <c r="AO787" s="860"/>
      <c r="AP787" s="860"/>
      <c r="AQ787" s="860"/>
      <c r="AR787" s="860"/>
      <c r="AS787" s="860"/>
      <c r="AT787" s="860"/>
      <c r="AU787" s="860"/>
      <c r="AV787" s="860"/>
      <c r="AW787" s="860"/>
      <c r="AX787" s="860"/>
      <c r="AY787" s="860"/>
      <c r="AZ787" s="860"/>
      <c r="BA787" s="860"/>
      <c r="BB787" s="860"/>
      <c r="BC787" s="860"/>
      <c r="BD787" s="860"/>
      <c r="BE787" s="860"/>
      <c r="BF787" s="860"/>
      <c r="BG787" s="860"/>
      <c r="BH787" s="668"/>
      <c r="BI787" s="667"/>
      <c r="BJ787" s="690">
        <f t="shared" si="283"/>
        <v>0</v>
      </c>
      <c r="BK787" s="691">
        <f t="shared" si="284"/>
        <v>0</v>
      </c>
      <c r="BL787" s="654"/>
      <c r="BM787" s="692">
        <f>SUMIFS(Imput[[Importe Neto]:[Importe Neto]],Imput[[C. Imp.]:[C. Imp.]],$D787,Imput[[PERIODO Imp.]:[PERIODO Imp.]],BM$9)</f>
        <v>0</v>
      </c>
      <c r="BN787" s="693">
        <f>SUMIFS(Imput[[Importe Neto]:[Importe Neto]],Imput[[C. Imp.]:[C. Imp.]],$D787,Imput[[PERIODO Imp.]:[PERIODO Imp.]],BN$9)</f>
        <v>0</v>
      </c>
      <c r="BO787" s="693">
        <f>SUMIFS(Imput[[Importe Neto]:[Importe Neto]],Imput[[C. Imp.]:[C. Imp.]],$D787,Imput[[PERIODO Imp.]:[PERIODO Imp.]],BO$9)</f>
        <v>0</v>
      </c>
      <c r="BP787" s="693">
        <f>SUMIFS(Imput[[Importe Neto]:[Importe Neto]],Imput[[C. Imp.]:[C. Imp.]],$D787,Imput[[PERIODO Imp.]:[PERIODO Imp.]],BP$9)</f>
        <v>0</v>
      </c>
      <c r="BQ787" s="693">
        <f>SUMIFS(Imput[[Importe Neto]:[Importe Neto]],Imput[[C. Imp.]:[C. Imp.]],$D787,Imput[[PERIODO Imp.]:[PERIODO Imp.]],BQ$9)</f>
        <v>0</v>
      </c>
      <c r="BR787" s="693">
        <f>SUMIFS(Imput[[Importe Neto]:[Importe Neto]],Imput[[C. Imp.]:[C. Imp.]],$D787,Imput[[PERIODO Imp.]:[PERIODO Imp.]],BR$9)</f>
        <v>0</v>
      </c>
      <c r="BS787" s="693">
        <f>SUMIFS(Imput[[Importe Neto]:[Importe Neto]],Imput[[C. Imp.]:[C. Imp.]],$D787,Imput[[PERIODO Imp.]:[PERIODO Imp.]],BS$9)</f>
        <v>0</v>
      </c>
      <c r="BT787" s="693">
        <f>SUMIFS(Imput[[Importe Neto]:[Importe Neto]],Imput[[C. Imp.]:[C. Imp.]],$D787,Imput[[PERIODO Imp.]:[PERIODO Imp.]],BT$9)</f>
        <v>0</v>
      </c>
      <c r="BU787" s="693">
        <f>SUMIFS(Imput[[Importe Neto]:[Importe Neto]],Imput[[C. Imp.]:[C. Imp.]],$D787,Imput[[PERIODO Imp.]:[PERIODO Imp.]],BU$9)</f>
        <v>0</v>
      </c>
      <c r="BV787" s="693">
        <f>SUMIFS(Imput[[Importe Neto]:[Importe Neto]],Imput[[C. Imp.]:[C. Imp.]],$D787,Imput[[PERIODO Imp.]:[PERIODO Imp.]],BV$9)</f>
        <v>0</v>
      </c>
      <c r="BW787" s="693">
        <f>SUMIFS(Imput[[Importe Neto]:[Importe Neto]],Imput[[C. Imp.]:[C. Imp.]],$D787,Imput[[PERIODO Imp.]:[PERIODO Imp.]],BW$9)</f>
        <v>0</v>
      </c>
      <c r="BX787" s="693">
        <f>SUMIFS(Imput[[Importe Neto]:[Importe Neto]],Imput[[C. Imp.]:[C. Imp.]],$D787,Imput[[PERIODO Imp.]:[PERIODO Imp.]],BX$9)</f>
        <v>0</v>
      </c>
      <c r="BY787" s="693">
        <f>SUMIFS(Imput[[Importe Neto]:[Importe Neto]],Imput[[C. Imp.]:[C. Imp.]],$D787,Imput[[PERIODO Imp.]:[PERIODO Imp.]],BY$9)</f>
        <v>0</v>
      </c>
      <c r="BZ787" s="693">
        <f>SUMIFS(Imput[[Importe Neto]:[Importe Neto]],Imput[[C. Imp.]:[C. Imp.]],$D787,Imput[[PERIODO Imp.]:[PERIODO Imp.]],BZ$9)</f>
        <v>0</v>
      </c>
      <c r="CA787" s="693">
        <f>SUMIFS(Imput[[Importe Neto]:[Importe Neto]],Imput[[C. Imp.]:[C. Imp.]],$D787,Imput[[PERIODO Imp.]:[PERIODO Imp.]],CA$9)</f>
        <v>0</v>
      </c>
      <c r="CB787" s="693">
        <f>SUMIFS(Imput[[Importe Neto]:[Importe Neto]],Imput[[C. Imp.]:[C. Imp.]],$D787,Imput[[PERIODO Imp.]:[PERIODO Imp.]],CB$9)</f>
        <v>0</v>
      </c>
      <c r="CC787" s="693">
        <f>SUMIFS(Imput[[Importe Neto]:[Importe Neto]],Imput[[C. Imp.]:[C. Imp.]],$D787,Imput[[PERIODO Imp.]:[PERIODO Imp.]],CC$9)</f>
        <v>0</v>
      </c>
      <c r="CD787" s="693">
        <f>SUMIFS(Imput[[Importe Neto]:[Importe Neto]],Imput[[C. Imp.]:[C. Imp.]],$D787,Imput[[PERIODO Imp.]:[PERIODO Imp.]],CD$9)</f>
        <v>0</v>
      </c>
      <c r="CE787" s="693">
        <f>SUMIFS(Imput[[Importe Neto]:[Importe Neto]],Imput[[C. Imp.]:[C. Imp.]],$D787,Imput[[PERIODO Imp.]:[PERIODO Imp.]],CE$9)</f>
        <v>0</v>
      </c>
      <c r="CF787" s="693">
        <f>SUMIFS(Imput[[Importe Neto]:[Importe Neto]],Imput[[C. Imp.]:[C. Imp.]],$D787,Imput[[PERIODO Imp.]:[PERIODO Imp.]],CF$9)</f>
        <v>0</v>
      </c>
      <c r="CG787" s="693">
        <f>SUMIFS(Imput[[Importe Neto]:[Importe Neto]],Imput[[C. Imp.]:[C. Imp.]],$D787,Imput[[PERIODO Imp.]:[PERIODO Imp.]],CG$9)</f>
        <v>0</v>
      </c>
      <c r="CH787" s="693">
        <f>SUMIFS(Imput[[Importe Neto]:[Importe Neto]],Imput[[C. Imp.]:[C. Imp.]],$D787,Imput[[PERIODO Imp.]:[PERIODO Imp.]],CH$9)</f>
        <v>0</v>
      </c>
      <c r="CI787" s="693">
        <f>SUMIFS(Imput[[Importe Neto]:[Importe Neto]],Imput[[C. Imp.]:[C. Imp.]],$D787,Imput[[PERIODO Imp.]:[PERIODO Imp.]],CI$9)</f>
        <v>0</v>
      </c>
      <c r="CJ787" s="693">
        <f>SUMIFS(Imput[[Importe Neto]:[Importe Neto]],Imput[[C. Imp.]:[C. Imp.]],$D787,Imput[[PERIODO Imp.]:[PERIODO Imp.]],CJ$9)</f>
        <v>0</v>
      </c>
      <c r="CK787" s="693">
        <f>SUMIFS(Imput[[Importe Neto]:[Importe Neto]],Imput[[C. Imp.]:[C. Imp.]],$D787,Imput[[PERIODO Imp.]:[PERIODO Imp.]],CK$9)</f>
        <v>0</v>
      </c>
      <c r="CL787" s="693">
        <f>SUMIFS(Imput[[Importe Neto]:[Importe Neto]],Imput[[C. Imp.]:[C. Imp.]],$D787,Imput[[PERIODO Imp.]:[PERIODO Imp.]],CL$9)</f>
        <v>0</v>
      </c>
      <c r="CM787" s="693">
        <f>SUMIFS(Imput[[Importe Neto]:[Importe Neto]],Imput[[C. Imp.]:[C. Imp.]],$D787,Imput[[PERIODO Imp.]:[PERIODO Imp.]],CM$9)</f>
        <v>0</v>
      </c>
      <c r="CN787" s="693">
        <f>SUMIFS(Imput[[Importe Neto]:[Importe Neto]],Imput[[C. Imp.]:[C. Imp.]],$D787,Imput[[PERIODO Imp.]:[PERIODO Imp.]],CN$9)</f>
        <v>0</v>
      </c>
      <c r="CO787" s="693">
        <f>SUMIFS(Imput[[Importe Neto]:[Importe Neto]],Imput[[C. Imp.]:[C. Imp.]],$D787,Imput[[PERIODO Imp.]:[PERIODO Imp.]],CO$9)</f>
        <v>0</v>
      </c>
      <c r="CP787" s="693">
        <f>SUMIFS(Imput[[Importe Neto]:[Importe Neto]],Imput[[C. Imp.]:[C. Imp.]],$D787,Imput[[PERIODO Imp.]:[PERIODO Imp.]],CP$9)</f>
        <v>0</v>
      </c>
      <c r="CQ787" s="693">
        <f>SUMIFS(Imput[[Importe Neto]:[Importe Neto]],Imput[[C. Imp.]:[C. Imp.]],$D787,Imput[[PERIODO Imp.]:[PERIODO Imp.]],CQ$9)</f>
        <v>0</v>
      </c>
      <c r="CR787" s="693">
        <f>SUMIFS(Imput[[Importe Neto]:[Importe Neto]],Imput[[C. Imp.]:[C. Imp.]],$D787,Imput[[PERIODO Imp.]:[PERIODO Imp.]],CR$9)</f>
        <v>0</v>
      </c>
      <c r="CS787" s="693">
        <f>SUMIFS(Imput[[Importe Neto]:[Importe Neto]],Imput[[C. Imp.]:[C. Imp.]],$D787,Imput[[PERIODO Imp.]:[PERIODO Imp.]],CS$9)</f>
        <v>0</v>
      </c>
      <c r="CT787" s="693">
        <f>SUMIFS(Imput[[Importe Neto]:[Importe Neto]],Imput[[C. Imp.]:[C. Imp.]],$D787,Imput[[PERIODO Imp.]:[PERIODO Imp.]],CT$9)</f>
        <v>0</v>
      </c>
      <c r="CU787" s="693">
        <f>SUMIFS(Imput[[Importe Neto]:[Importe Neto]],Imput[[C. Imp.]:[C. Imp.]],$D787,Imput[[PERIODO Imp.]:[PERIODO Imp.]],CU$9)</f>
        <v>0</v>
      </c>
      <c r="CV787" s="693">
        <f>SUMIFS(Imput[[Importe Neto]:[Importe Neto]],Imput[[C. Imp.]:[C. Imp.]],$D787,Imput[[PERIODO Imp.]:[PERIODO Imp.]],CV$9)</f>
        <v>0</v>
      </c>
      <c r="CW787" s="693">
        <f>SUMIFS(Imput[[Importe Neto]:[Importe Neto]],Imput[[C. Imp.]:[C. Imp.]],$D787,Imput[[PERIODO Imp.]:[PERIODO Imp.]],CW$9)</f>
        <v>0</v>
      </c>
      <c r="CX787" s="693">
        <f>SUMIFS(Imput[[Importe Neto]:[Importe Neto]],Imput[[C. Imp.]:[C. Imp.]],$D787,Imput[[PERIODO Imp.]:[PERIODO Imp.]],CX$9)</f>
        <v>0</v>
      </c>
      <c r="CY787" s="693">
        <f>SUMIFS(Imput[[Importe Neto]:[Importe Neto]],Imput[[C. Imp.]:[C. Imp.]],$D787,Imput[[PERIODO Imp.]:[PERIODO Imp.]],CY$9)</f>
        <v>0</v>
      </c>
      <c r="CZ787" s="693">
        <f>SUMIFS(Imput[[Importe Neto]:[Importe Neto]],Imput[[C. Imp.]:[C. Imp.]],$D787,Imput[[PERIODO Imp.]:[PERIODO Imp.]],CZ$9)</f>
        <v>0</v>
      </c>
      <c r="DA787" s="693">
        <f>SUMIFS(Imput[[Importe Neto]:[Importe Neto]],Imput[[C. Imp.]:[C. Imp.]],$D787,Imput[[PERIODO Imp.]:[PERIODO Imp.]],DA$9)</f>
        <v>0</v>
      </c>
      <c r="DB787" s="693">
        <f>SUMIFS(Imput[[Importe Neto]:[Importe Neto]],Imput[[C. Imp.]:[C. Imp.]],$D787,Imput[[PERIODO Imp.]:[PERIODO Imp.]],DB$9)</f>
        <v>0</v>
      </c>
      <c r="DC787" s="693">
        <f>SUMIFS(Imput[[Importe Neto]:[Importe Neto]],Imput[[C. Imp.]:[C. Imp.]],$D787,Imput[[PERIODO Imp.]:[PERIODO Imp.]],DC$9)</f>
        <v>0</v>
      </c>
      <c r="DD787" s="693">
        <f>SUMIFS(Imput[[Importe Neto]:[Importe Neto]],Imput[[C. Imp.]:[C. Imp.]],$D787,Imput[[PERIODO Imp.]:[PERIODO Imp.]],DD$9)</f>
        <v>0</v>
      </c>
      <c r="DE787" s="693">
        <f>SUMIFS(Imput[[Importe Neto]:[Importe Neto]],Imput[[C. Imp.]:[C. Imp.]],$D787,Imput[[PERIODO Imp.]:[PERIODO Imp.]],DE$9)</f>
        <v>0</v>
      </c>
      <c r="DF787" s="693">
        <f>SUMIFS(Imput[[Importe Neto]:[Importe Neto]],Imput[[C. Imp.]:[C. Imp.]],$D787,Imput[[PERIODO Imp.]:[PERIODO Imp.]],DF$9)</f>
        <v>0</v>
      </c>
      <c r="DG787" s="693">
        <f>SUMIFS(Imput[[Importe Neto]:[Importe Neto]],Imput[[C. Imp.]:[C. Imp.]],$D787,Imput[[PERIODO Imp.]:[PERIODO Imp.]],DG$9)</f>
        <v>0</v>
      </c>
      <c r="DH787" s="694">
        <f>SUMIFS(Imput[[Importe Neto]:[Importe Neto]],Imput[[C. Imp.]:[C. Imp.]],$D787,Imput[[PERIODO Imp.]:[PERIODO Imp.]],DH$9)</f>
        <v>0</v>
      </c>
    </row>
    <row r="788" spans="1:112" s="649" customFormat="1" hidden="1" outlineLevel="1" x14ac:dyDescent="0.3">
      <c r="A788" s="652" t="str">
        <f t="shared" si="280"/>
        <v/>
      </c>
      <c r="B788" s="652"/>
      <c r="C788" s="685"/>
      <c r="D788" s="686" t="s">
        <v>2768</v>
      </c>
      <c r="E788" s="686"/>
      <c r="F788" s="720"/>
      <c r="G788" s="688"/>
      <c r="H788" s="689"/>
      <c r="I788" s="851" t="str">
        <f t="shared" si="281"/>
        <v/>
      </c>
      <c r="J788" s="850" t="str">
        <f t="shared" si="282"/>
        <v/>
      </c>
      <c r="K788" s="667"/>
      <c r="L788" s="858"/>
      <c r="M788" s="859"/>
      <c r="N788" s="859"/>
      <c r="O788" s="859"/>
      <c r="P788" s="859"/>
      <c r="Q788" s="859"/>
      <c r="R788" s="859"/>
      <c r="S788" s="859"/>
      <c r="T788" s="859"/>
      <c r="U788" s="859"/>
      <c r="V788" s="859"/>
      <c r="W788" s="859"/>
      <c r="X788" s="859"/>
      <c r="Y788" s="859"/>
      <c r="Z788" s="860"/>
      <c r="AA788" s="860"/>
      <c r="AB788" s="860"/>
      <c r="AC788" s="860"/>
      <c r="AD788" s="860"/>
      <c r="AE788" s="860"/>
      <c r="AF788" s="860"/>
      <c r="AG788" s="860"/>
      <c r="AH788" s="860"/>
      <c r="AI788" s="860"/>
      <c r="AJ788" s="860"/>
      <c r="AK788" s="860"/>
      <c r="AL788" s="860"/>
      <c r="AM788" s="860"/>
      <c r="AN788" s="860"/>
      <c r="AO788" s="860"/>
      <c r="AP788" s="860"/>
      <c r="AQ788" s="860"/>
      <c r="AR788" s="860"/>
      <c r="AS788" s="860"/>
      <c r="AT788" s="860"/>
      <c r="AU788" s="860"/>
      <c r="AV788" s="860"/>
      <c r="AW788" s="860"/>
      <c r="AX788" s="860"/>
      <c r="AY788" s="860"/>
      <c r="AZ788" s="860"/>
      <c r="BA788" s="860"/>
      <c r="BB788" s="860"/>
      <c r="BC788" s="860"/>
      <c r="BD788" s="860"/>
      <c r="BE788" s="860"/>
      <c r="BF788" s="860"/>
      <c r="BG788" s="860"/>
      <c r="BH788" s="668"/>
      <c r="BI788" s="667"/>
      <c r="BJ788" s="690">
        <f t="shared" si="283"/>
        <v>0</v>
      </c>
      <c r="BK788" s="691">
        <f t="shared" si="284"/>
        <v>0</v>
      </c>
      <c r="BL788" s="654"/>
      <c r="BM788" s="692">
        <f>SUMIFS(Imput[[Importe Neto]:[Importe Neto]],Imput[[C. Imp.]:[C. Imp.]],$D788,Imput[[PERIODO Imp.]:[PERIODO Imp.]],BM$9)</f>
        <v>0</v>
      </c>
      <c r="BN788" s="693">
        <f>SUMIFS(Imput[[Importe Neto]:[Importe Neto]],Imput[[C. Imp.]:[C. Imp.]],$D788,Imput[[PERIODO Imp.]:[PERIODO Imp.]],BN$9)</f>
        <v>0</v>
      </c>
      <c r="BO788" s="693">
        <f>SUMIFS(Imput[[Importe Neto]:[Importe Neto]],Imput[[C. Imp.]:[C. Imp.]],$D788,Imput[[PERIODO Imp.]:[PERIODO Imp.]],BO$9)</f>
        <v>0</v>
      </c>
      <c r="BP788" s="693">
        <f>SUMIFS(Imput[[Importe Neto]:[Importe Neto]],Imput[[C. Imp.]:[C. Imp.]],$D788,Imput[[PERIODO Imp.]:[PERIODO Imp.]],BP$9)</f>
        <v>0</v>
      </c>
      <c r="BQ788" s="693">
        <f>SUMIFS(Imput[[Importe Neto]:[Importe Neto]],Imput[[C. Imp.]:[C. Imp.]],$D788,Imput[[PERIODO Imp.]:[PERIODO Imp.]],BQ$9)</f>
        <v>0</v>
      </c>
      <c r="BR788" s="693">
        <f>SUMIFS(Imput[[Importe Neto]:[Importe Neto]],Imput[[C. Imp.]:[C. Imp.]],$D788,Imput[[PERIODO Imp.]:[PERIODO Imp.]],BR$9)</f>
        <v>0</v>
      </c>
      <c r="BS788" s="693">
        <f>SUMIFS(Imput[[Importe Neto]:[Importe Neto]],Imput[[C. Imp.]:[C. Imp.]],$D788,Imput[[PERIODO Imp.]:[PERIODO Imp.]],BS$9)</f>
        <v>0</v>
      </c>
      <c r="BT788" s="693">
        <f>SUMIFS(Imput[[Importe Neto]:[Importe Neto]],Imput[[C. Imp.]:[C. Imp.]],$D788,Imput[[PERIODO Imp.]:[PERIODO Imp.]],BT$9)</f>
        <v>0</v>
      </c>
      <c r="BU788" s="693">
        <f>SUMIFS(Imput[[Importe Neto]:[Importe Neto]],Imput[[C. Imp.]:[C. Imp.]],$D788,Imput[[PERIODO Imp.]:[PERIODO Imp.]],BU$9)</f>
        <v>0</v>
      </c>
      <c r="BV788" s="693">
        <f>SUMIFS(Imput[[Importe Neto]:[Importe Neto]],Imput[[C. Imp.]:[C. Imp.]],$D788,Imput[[PERIODO Imp.]:[PERIODO Imp.]],BV$9)</f>
        <v>0</v>
      </c>
      <c r="BW788" s="693">
        <f>SUMIFS(Imput[[Importe Neto]:[Importe Neto]],Imput[[C. Imp.]:[C. Imp.]],$D788,Imput[[PERIODO Imp.]:[PERIODO Imp.]],BW$9)</f>
        <v>0</v>
      </c>
      <c r="BX788" s="693">
        <f>SUMIFS(Imput[[Importe Neto]:[Importe Neto]],Imput[[C. Imp.]:[C. Imp.]],$D788,Imput[[PERIODO Imp.]:[PERIODO Imp.]],BX$9)</f>
        <v>0</v>
      </c>
      <c r="BY788" s="693">
        <f>SUMIFS(Imput[[Importe Neto]:[Importe Neto]],Imput[[C. Imp.]:[C. Imp.]],$D788,Imput[[PERIODO Imp.]:[PERIODO Imp.]],BY$9)</f>
        <v>0</v>
      </c>
      <c r="BZ788" s="693">
        <f>SUMIFS(Imput[[Importe Neto]:[Importe Neto]],Imput[[C. Imp.]:[C. Imp.]],$D788,Imput[[PERIODO Imp.]:[PERIODO Imp.]],BZ$9)</f>
        <v>0</v>
      </c>
      <c r="CA788" s="693">
        <f>SUMIFS(Imput[[Importe Neto]:[Importe Neto]],Imput[[C. Imp.]:[C. Imp.]],$D788,Imput[[PERIODO Imp.]:[PERIODO Imp.]],CA$9)</f>
        <v>0</v>
      </c>
      <c r="CB788" s="693">
        <f>SUMIFS(Imput[[Importe Neto]:[Importe Neto]],Imput[[C. Imp.]:[C. Imp.]],$D788,Imput[[PERIODO Imp.]:[PERIODO Imp.]],CB$9)</f>
        <v>0</v>
      </c>
      <c r="CC788" s="693">
        <f>SUMIFS(Imput[[Importe Neto]:[Importe Neto]],Imput[[C. Imp.]:[C. Imp.]],$D788,Imput[[PERIODO Imp.]:[PERIODO Imp.]],CC$9)</f>
        <v>0</v>
      </c>
      <c r="CD788" s="693">
        <f>SUMIFS(Imput[[Importe Neto]:[Importe Neto]],Imput[[C. Imp.]:[C. Imp.]],$D788,Imput[[PERIODO Imp.]:[PERIODO Imp.]],CD$9)</f>
        <v>0</v>
      </c>
      <c r="CE788" s="693">
        <f>SUMIFS(Imput[[Importe Neto]:[Importe Neto]],Imput[[C. Imp.]:[C. Imp.]],$D788,Imput[[PERIODO Imp.]:[PERIODO Imp.]],CE$9)</f>
        <v>0</v>
      </c>
      <c r="CF788" s="693">
        <f>SUMIFS(Imput[[Importe Neto]:[Importe Neto]],Imput[[C. Imp.]:[C. Imp.]],$D788,Imput[[PERIODO Imp.]:[PERIODO Imp.]],CF$9)</f>
        <v>0</v>
      </c>
      <c r="CG788" s="693">
        <f>SUMIFS(Imput[[Importe Neto]:[Importe Neto]],Imput[[C. Imp.]:[C. Imp.]],$D788,Imput[[PERIODO Imp.]:[PERIODO Imp.]],CG$9)</f>
        <v>0</v>
      </c>
      <c r="CH788" s="693">
        <f>SUMIFS(Imput[[Importe Neto]:[Importe Neto]],Imput[[C. Imp.]:[C. Imp.]],$D788,Imput[[PERIODO Imp.]:[PERIODO Imp.]],CH$9)</f>
        <v>0</v>
      </c>
      <c r="CI788" s="693">
        <f>SUMIFS(Imput[[Importe Neto]:[Importe Neto]],Imput[[C. Imp.]:[C. Imp.]],$D788,Imput[[PERIODO Imp.]:[PERIODO Imp.]],CI$9)</f>
        <v>0</v>
      </c>
      <c r="CJ788" s="693">
        <f>SUMIFS(Imput[[Importe Neto]:[Importe Neto]],Imput[[C. Imp.]:[C. Imp.]],$D788,Imput[[PERIODO Imp.]:[PERIODO Imp.]],CJ$9)</f>
        <v>0</v>
      </c>
      <c r="CK788" s="693">
        <f>SUMIFS(Imput[[Importe Neto]:[Importe Neto]],Imput[[C. Imp.]:[C. Imp.]],$D788,Imput[[PERIODO Imp.]:[PERIODO Imp.]],CK$9)</f>
        <v>0</v>
      </c>
      <c r="CL788" s="693">
        <f>SUMIFS(Imput[[Importe Neto]:[Importe Neto]],Imput[[C. Imp.]:[C. Imp.]],$D788,Imput[[PERIODO Imp.]:[PERIODO Imp.]],CL$9)</f>
        <v>0</v>
      </c>
      <c r="CM788" s="693">
        <f>SUMIFS(Imput[[Importe Neto]:[Importe Neto]],Imput[[C. Imp.]:[C. Imp.]],$D788,Imput[[PERIODO Imp.]:[PERIODO Imp.]],CM$9)</f>
        <v>0</v>
      </c>
      <c r="CN788" s="693">
        <f>SUMIFS(Imput[[Importe Neto]:[Importe Neto]],Imput[[C. Imp.]:[C. Imp.]],$D788,Imput[[PERIODO Imp.]:[PERIODO Imp.]],CN$9)</f>
        <v>0</v>
      </c>
      <c r="CO788" s="693">
        <f>SUMIFS(Imput[[Importe Neto]:[Importe Neto]],Imput[[C. Imp.]:[C. Imp.]],$D788,Imput[[PERIODO Imp.]:[PERIODO Imp.]],CO$9)</f>
        <v>0</v>
      </c>
      <c r="CP788" s="693">
        <f>SUMIFS(Imput[[Importe Neto]:[Importe Neto]],Imput[[C. Imp.]:[C. Imp.]],$D788,Imput[[PERIODO Imp.]:[PERIODO Imp.]],CP$9)</f>
        <v>0</v>
      </c>
      <c r="CQ788" s="693">
        <f>SUMIFS(Imput[[Importe Neto]:[Importe Neto]],Imput[[C. Imp.]:[C. Imp.]],$D788,Imput[[PERIODO Imp.]:[PERIODO Imp.]],CQ$9)</f>
        <v>0</v>
      </c>
      <c r="CR788" s="693">
        <f>SUMIFS(Imput[[Importe Neto]:[Importe Neto]],Imput[[C. Imp.]:[C. Imp.]],$D788,Imput[[PERIODO Imp.]:[PERIODO Imp.]],CR$9)</f>
        <v>0</v>
      </c>
      <c r="CS788" s="693">
        <f>SUMIFS(Imput[[Importe Neto]:[Importe Neto]],Imput[[C. Imp.]:[C. Imp.]],$D788,Imput[[PERIODO Imp.]:[PERIODO Imp.]],CS$9)</f>
        <v>0</v>
      </c>
      <c r="CT788" s="693">
        <f>SUMIFS(Imput[[Importe Neto]:[Importe Neto]],Imput[[C. Imp.]:[C. Imp.]],$D788,Imput[[PERIODO Imp.]:[PERIODO Imp.]],CT$9)</f>
        <v>0</v>
      </c>
      <c r="CU788" s="693">
        <f>SUMIFS(Imput[[Importe Neto]:[Importe Neto]],Imput[[C. Imp.]:[C. Imp.]],$D788,Imput[[PERIODO Imp.]:[PERIODO Imp.]],CU$9)</f>
        <v>0</v>
      </c>
      <c r="CV788" s="693">
        <f>SUMIFS(Imput[[Importe Neto]:[Importe Neto]],Imput[[C. Imp.]:[C. Imp.]],$D788,Imput[[PERIODO Imp.]:[PERIODO Imp.]],CV$9)</f>
        <v>0</v>
      </c>
      <c r="CW788" s="693">
        <f>SUMIFS(Imput[[Importe Neto]:[Importe Neto]],Imput[[C. Imp.]:[C. Imp.]],$D788,Imput[[PERIODO Imp.]:[PERIODO Imp.]],CW$9)</f>
        <v>0</v>
      </c>
      <c r="CX788" s="693">
        <f>SUMIFS(Imput[[Importe Neto]:[Importe Neto]],Imput[[C. Imp.]:[C. Imp.]],$D788,Imput[[PERIODO Imp.]:[PERIODO Imp.]],CX$9)</f>
        <v>0</v>
      </c>
      <c r="CY788" s="693">
        <f>SUMIFS(Imput[[Importe Neto]:[Importe Neto]],Imput[[C. Imp.]:[C. Imp.]],$D788,Imput[[PERIODO Imp.]:[PERIODO Imp.]],CY$9)</f>
        <v>0</v>
      </c>
      <c r="CZ788" s="693">
        <f>SUMIFS(Imput[[Importe Neto]:[Importe Neto]],Imput[[C. Imp.]:[C. Imp.]],$D788,Imput[[PERIODO Imp.]:[PERIODO Imp.]],CZ$9)</f>
        <v>0</v>
      </c>
      <c r="DA788" s="693">
        <f>SUMIFS(Imput[[Importe Neto]:[Importe Neto]],Imput[[C. Imp.]:[C. Imp.]],$D788,Imput[[PERIODO Imp.]:[PERIODO Imp.]],DA$9)</f>
        <v>0</v>
      </c>
      <c r="DB788" s="693">
        <f>SUMIFS(Imput[[Importe Neto]:[Importe Neto]],Imput[[C. Imp.]:[C. Imp.]],$D788,Imput[[PERIODO Imp.]:[PERIODO Imp.]],DB$9)</f>
        <v>0</v>
      </c>
      <c r="DC788" s="693">
        <f>SUMIFS(Imput[[Importe Neto]:[Importe Neto]],Imput[[C. Imp.]:[C. Imp.]],$D788,Imput[[PERIODO Imp.]:[PERIODO Imp.]],DC$9)</f>
        <v>0</v>
      </c>
      <c r="DD788" s="693">
        <f>SUMIFS(Imput[[Importe Neto]:[Importe Neto]],Imput[[C. Imp.]:[C. Imp.]],$D788,Imput[[PERIODO Imp.]:[PERIODO Imp.]],DD$9)</f>
        <v>0</v>
      </c>
      <c r="DE788" s="693">
        <f>SUMIFS(Imput[[Importe Neto]:[Importe Neto]],Imput[[C. Imp.]:[C. Imp.]],$D788,Imput[[PERIODO Imp.]:[PERIODO Imp.]],DE$9)</f>
        <v>0</v>
      </c>
      <c r="DF788" s="693">
        <f>SUMIFS(Imput[[Importe Neto]:[Importe Neto]],Imput[[C. Imp.]:[C. Imp.]],$D788,Imput[[PERIODO Imp.]:[PERIODO Imp.]],DF$9)</f>
        <v>0</v>
      </c>
      <c r="DG788" s="693">
        <f>SUMIFS(Imput[[Importe Neto]:[Importe Neto]],Imput[[C. Imp.]:[C. Imp.]],$D788,Imput[[PERIODO Imp.]:[PERIODO Imp.]],DG$9)</f>
        <v>0</v>
      </c>
      <c r="DH788" s="694">
        <f>SUMIFS(Imput[[Importe Neto]:[Importe Neto]],Imput[[C. Imp.]:[C. Imp.]],$D788,Imput[[PERIODO Imp.]:[PERIODO Imp.]],DH$9)</f>
        <v>0</v>
      </c>
    </row>
    <row r="789" spans="1:112" s="649" customFormat="1" hidden="1" outlineLevel="1" x14ac:dyDescent="0.3">
      <c r="A789" s="652" t="str">
        <f t="shared" si="280"/>
        <v/>
      </c>
      <c r="B789" s="652"/>
      <c r="C789" s="685"/>
      <c r="D789" s="686" t="s">
        <v>2769</v>
      </c>
      <c r="E789" s="686"/>
      <c r="F789" s="720"/>
      <c r="G789" s="688"/>
      <c r="H789" s="689"/>
      <c r="I789" s="851" t="str">
        <f t="shared" si="281"/>
        <v/>
      </c>
      <c r="J789" s="850" t="str">
        <f t="shared" si="282"/>
        <v/>
      </c>
      <c r="K789" s="667"/>
      <c r="L789" s="858"/>
      <c r="M789" s="859"/>
      <c r="N789" s="859"/>
      <c r="O789" s="859"/>
      <c r="P789" s="859"/>
      <c r="Q789" s="859"/>
      <c r="R789" s="859"/>
      <c r="S789" s="859"/>
      <c r="T789" s="859"/>
      <c r="U789" s="859"/>
      <c r="V789" s="859"/>
      <c r="W789" s="859"/>
      <c r="X789" s="859"/>
      <c r="Y789" s="859"/>
      <c r="Z789" s="860"/>
      <c r="AA789" s="860"/>
      <c r="AB789" s="860"/>
      <c r="AC789" s="860"/>
      <c r="AD789" s="860"/>
      <c r="AE789" s="860"/>
      <c r="AF789" s="860"/>
      <c r="AG789" s="860"/>
      <c r="AH789" s="860"/>
      <c r="AI789" s="860"/>
      <c r="AJ789" s="860"/>
      <c r="AK789" s="860"/>
      <c r="AL789" s="860"/>
      <c r="AM789" s="860"/>
      <c r="AN789" s="860"/>
      <c r="AO789" s="860"/>
      <c r="AP789" s="860"/>
      <c r="AQ789" s="860"/>
      <c r="AR789" s="860"/>
      <c r="AS789" s="860"/>
      <c r="AT789" s="860"/>
      <c r="AU789" s="860"/>
      <c r="AV789" s="860"/>
      <c r="AW789" s="860"/>
      <c r="AX789" s="860"/>
      <c r="AY789" s="860"/>
      <c r="AZ789" s="860"/>
      <c r="BA789" s="860"/>
      <c r="BB789" s="860"/>
      <c r="BC789" s="860"/>
      <c r="BD789" s="860"/>
      <c r="BE789" s="860"/>
      <c r="BF789" s="860"/>
      <c r="BG789" s="860"/>
      <c r="BH789" s="668"/>
      <c r="BI789" s="667"/>
      <c r="BJ789" s="690">
        <f t="shared" si="283"/>
        <v>0</v>
      </c>
      <c r="BK789" s="691">
        <f t="shared" si="284"/>
        <v>0</v>
      </c>
      <c r="BL789" s="654"/>
      <c r="BM789" s="692">
        <f>SUMIFS(Imput[[Importe Neto]:[Importe Neto]],Imput[[C. Imp.]:[C. Imp.]],$D789,Imput[[PERIODO Imp.]:[PERIODO Imp.]],BM$9)</f>
        <v>0</v>
      </c>
      <c r="BN789" s="693">
        <f>SUMIFS(Imput[[Importe Neto]:[Importe Neto]],Imput[[C. Imp.]:[C. Imp.]],$D789,Imput[[PERIODO Imp.]:[PERIODO Imp.]],BN$9)</f>
        <v>0</v>
      </c>
      <c r="BO789" s="693">
        <f>SUMIFS(Imput[[Importe Neto]:[Importe Neto]],Imput[[C. Imp.]:[C. Imp.]],$D789,Imput[[PERIODO Imp.]:[PERIODO Imp.]],BO$9)</f>
        <v>0</v>
      </c>
      <c r="BP789" s="693">
        <f>SUMIFS(Imput[[Importe Neto]:[Importe Neto]],Imput[[C. Imp.]:[C. Imp.]],$D789,Imput[[PERIODO Imp.]:[PERIODO Imp.]],BP$9)</f>
        <v>0</v>
      </c>
      <c r="BQ789" s="693">
        <f>SUMIFS(Imput[[Importe Neto]:[Importe Neto]],Imput[[C. Imp.]:[C. Imp.]],$D789,Imput[[PERIODO Imp.]:[PERIODO Imp.]],BQ$9)</f>
        <v>0</v>
      </c>
      <c r="BR789" s="693">
        <f>SUMIFS(Imput[[Importe Neto]:[Importe Neto]],Imput[[C. Imp.]:[C. Imp.]],$D789,Imput[[PERIODO Imp.]:[PERIODO Imp.]],BR$9)</f>
        <v>0</v>
      </c>
      <c r="BS789" s="693">
        <f>SUMIFS(Imput[[Importe Neto]:[Importe Neto]],Imput[[C. Imp.]:[C. Imp.]],$D789,Imput[[PERIODO Imp.]:[PERIODO Imp.]],BS$9)</f>
        <v>0</v>
      </c>
      <c r="BT789" s="693">
        <f>SUMIFS(Imput[[Importe Neto]:[Importe Neto]],Imput[[C. Imp.]:[C. Imp.]],$D789,Imput[[PERIODO Imp.]:[PERIODO Imp.]],BT$9)</f>
        <v>0</v>
      </c>
      <c r="BU789" s="693">
        <f>SUMIFS(Imput[[Importe Neto]:[Importe Neto]],Imput[[C. Imp.]:[C. Imp.]],$D789,Imput[[PERIODO Imp.]:[PERIODO Imp.]],BU$9)</f>
        <v>0</v>
      </c>
      <c r="BV789" s="693">
        <f>SUMIFS(Imput[[Importe Neto]:[Importe Neto]],Imput[[C. Imp.]:[C. Imp.]],$D789,Imput[[PERIODO Imp.]:[PERIODO Imp.]],BV$9)</f>
        <v>0</v>
      </c>
      <c r="BW789" s="693">
        <f>SUMIFS(Imput[[Importe Neto]:[Importe Neto]],Imput[[C. Imp.]:[C. Imp.]],$D789,Imput[[PERIODO Imp.]:[PERIODO Imp.]],BW$9)</f>
        <v>0</v>
      </c>
      <c r="BX789" s="693">
        <f>SUMIFS(Imput[[Importe Neto]:[Importe Neto]],Imput[[C. Imp.]:[C. Imp.]],$D789,Imput[[PERIODO Imp.]:[PERIODO Imp.]],BX$9)</f>
        <v>0</v>
      </c>
      <c r="BY789" s="693">
        <f>SUMIFS(Imput[[Importe Neto]:[Importe Neto]],Imput[[C. Imp.]:[C. Imp.]],$D789,Imput[[PERIODO Imp.]:[PERIODO Imp.]],BY$9)</f>
        <v>0</v>
      </c>
      <c r="BZ789" s="693">
        <f>SUMIFS(Imput[[Importe Neto]:[Importe Neto]],Imput[[C. Imp.]:[C. Imp.]],$D789,Imput[[PERIODO Imp.]:[PERIODO Imp.]],BZ$9)</f>
        <v>0</v>
      </c>
      <c r="CA789" s="693">
        <f>SUMIFS(Imput[[Importe Neto]:[Importe Neto]],Imput[[C. Imp.]:[C. Imp.]],$D789,Imput[[PERIODO Imp.]:[PERIODO Imp.]],CA$9)</f>
        <v>0</v>
      </c>
      <c r="CB789" s="693">
        <f>SUMIFS(Imput[[Importe Neto]:[Importe Neto]],Imput[[C. Imp.]:[C. Imp.]],$D789,Imput[[PERIODO Imp.]:[PERIODO Imp.]],CB$9)</f>
        <v>0</v>
      </c>
      <c r="CC789" s="693">
        <f>SUMIFS(Imput[[Importe Neto]:[Importe Neto]],Imput[[C. Imp.]:[C. Imp.]],$D789,Imput[[PERIODO Imp.]:[PERIODO Imp.]],CC$9)</f>
        <v>0</v>
      </c>
      <c r="CD789" s="693">
        <f>SUMIFS(Imput[[Importe Neto]:[Importe Neto]],Imput[[C. Imp.]:[C. Imp.]],$D789,Imput[[PERIODO Imp.]:[PERIODO Imp.]],CD$9)</f>
        <v>0</v>
      </c>
      <c r="CE789" s="693">
        <f>SUMIFS(Imput[[Importe Neto]:[Importe Neto]],Imput[[C. Imp.]:[C. Imp.]],$D789,Imput[[PERIODO Imp.]:[PERIODO Imp.]],CE$9)</f>
        <v>0</v>
      </c>
      <c r="CF789" s="693">
        <f>SUMIFS(Imput[[Importe Neto]:[Importe Neto]],Imput[[C. Imp.]:[C. Imp.]],$D789,Imput[[PERIODO Imp.]:[PERIODO Imp.]],CF$9)</f>
        <v>0</v>
      </c>
      <c r="CG789" s="693">
        <f>SUMIFS(Imput[[Importe Neto]:[Importe Neto]],Imput[[C. Imp.]:[C. Imp.]],$D789,Imput[[PERIODO Imp.]:[PERIODO Imp.]],CG$9)</f>
        <v>0</v>
      </c>
      <c r="CH789" s="693">
        <f>SUMIFS(Imput[[Importe Neto]:[Importe Neto]],Imput[[C. Imp.]:[C. Imp.]],$D789,Imput[[PERIODO Imp.]:[PERIODO Imp.]],CH$9)</f>
        <v>0</v>
      </c>
      <c r="CI789" s="693">
        <f>SUMIFS(Imput[[Importe Neto]:[Importe Neto]],Imput[[C. Imp.]:[C. Imp.]],$D789,Imput[[PERIODO Imp.]:[PERIODO Imp.]],CI$9)</f>
        <v>0</v>
      </c>
      <c r="CJ789" s="693">
        <f>SUMIFS(Imput[[Importe Neto]:[Importe Neto]],Imput[[C. Imp.]:[C. Imp.]],$D789,Imput[[PERIODO Imp.]:[PERIODO Imp.]],CJ$9)</f>
        <v>0</v>
      </c>
      <c r="CK789" s="693">
        <f>SUMIFS(Imput[[Importe Neto]:[Importe Neto]],Imput[[C. Imp.]:[C. Imp.]],$D789,Imput[[PERIODO Imp.]:[PERIODO Imp.]],CK$9)</f>
        <v>0</v>
      </c>
      <c r="CL789" s="693">
        <f>SUMIFS(Imput[[Importe Neto]:[Importe Neto]],Imput[[C. Imp.]:[C. Imp.]],$D789,Imput[[PERIODO Imp.]:[PERIODO Imp.]],CL$9)</f>
        <v>0</v>
      </c>
      <c r="CM789" s="693">
        <f>SUMIFS(Imput[[Importe Neto]:[Importe Neto]],Imput[[C. Imp.]:[C. Imp.]],$D789,Imput[[PERIODO Imp.]:[PERIODO Imp.]],CM$9)</f>
        <v>0</v>
      </c>
      <c r="CN789" s="693">
        <f>SUMIFS(Imput[[Importe Neto]:[Importe Neto]],Imput[[C. Imp.]:[C. Imp.]],$D789,Imput[[PERIODO Imp.]:[PERIODO Imp.]],CN$9)</f>
        <v>0</v>
      </c>
      <c r="CO789" s="693">
        <f>SUMIFS(Imput[[Importe Neto]:[Importe Neto]],Imput[[C. Imp.]:[C. Imp.]],$D789,Imput[[PERIODO Imp.]:[PERIODO Imp.]],CO$9)</f>
        <v>0</v>
      </c>
      <c r="CP789" s="693">
        <f>SUMIFS(Imput[[Importe Neto]:[Importe Neto]],Imput[[C. Imp.]:[C. Imp.]],$D789,Imput[[PERIODO Imp.]:[PERIODO Imp.]],CP$9)</f>
        <v>0</v>
      </c>
      <c r="CQ789" s="693">
        <f>SUMIFS(Imput[[Importe Neto]:[Importe Neto]],Imput[[C. Imp.]:[C. Imp.]],$D789,Imput[[PERIODO Imp.]:[PERIODO Imp.]],CQ$9)</f>
        <v>0</v>
      </c>
      <c r="CR789" s="693">
        <f>SUMIFS(Imput[[Importe Neto]:[Importe Neto]],Imput[[C. Imp.]:[C. Imp.]],$D789,Imput[[PERIODO Imp.]:[PERIODO Imp.]],CR$9)</f>
        <v>0</v>
      </c>
      <c r="CS789" s="693">
        <f>SUMIFS(Imput[[Importe Neto]:[Importe Neto]],Imput[[C. Imp.]:[C. Imp.]],$D789,Imput[[PERIODO Imp.]:[PERIODO Imp.]],CS$9)</f>
        <v>0</v>
      </c>
      <c r="CT789" s="693">
        <f>SUMIFS(Imput[[Importe Neto]:[Importe Neto]],Imput[[C. Imp.]:[C. Imp.]],$D789,Imput[[PERIODO Imp.]:[PERIODO Imp.]],CT$9)</f>
        <v>0</v>
      </c>
      <c r="CU789" s="693">
        <f>SUMIFS(Imput[[Importe Neto]:[Importe Neto]],Imput[[C. Imp.]:[C. Imp.]],$D789,Imput[[PERIODO Imp.]:[PERIODO Imp.]],CU$9)</f>
        <v>0</v>
      </c>
      <c r="CV789" s="693">
        <f>SUMIFS(Imput[[Importe Neto]:[Importe Neto]],Imput[[C. Imp.]:[C. Imp.]],$D789,Imput[[PERIODO Imp.]:[PERIODO Imp.]],CV$9)</f>
        <v>0</v>
      </c>
      <c r="CW789" s="693">
        <f>SUMIFS(Imput[[Importe Neto]:[Importe Neto]],Imput[[C. Imp.]:[C. Imp.]],$D789,Imput[[PERIODO Imp.]:[PERIODO Imp.]],CW$9)</f>
        <v>0</v>
      </c>
      <c r="CX789" s="693">
        <f>SUMIFS(Imput[[Importe Neto]:[Importe Neto]],Imput[[C. Imp.]:[C. Imp.]],$D789,Imput[[PERIODO Imp.]:[PERIODO Imp.]],CX$9)</f>
        <v>0</v>
      </c>
      <c r="CY789" s="693">
        <f>SUMIFS(Imput[[Importe Neto]:[Importe Neto]],Imput[[C. Imp.]:[C. Imp.]],$D789,Imput[[PERIODO Imp.]:[PERIODO Imp.]],CY$9)</f>
        <v>0</v>
      </c>
      <c r="CZ789" s="693">
        <f>SUMIFS(Imput[[Importe Neto]:[Importe Neto]],Imput[[C. Imp.]:[C. Imp.]],$D789,Imput[[PERIODO Imp.]:[PERIODO Imp.]],CZ$9)</f>
        <v>0</v>
      </c>
      <c r="DA789" s="693">
        <f>SUMIFS(Imput[[Importe Neto]:[Importe Neto]],Imput[[C. Imp.]:[C. Imp.]],$D789,Imput[[PERIODO Imp.]:[PERIODO Imp.]],DA$9)</f>
        <v>0</v>
      </c>
      <c r="DB789" s="693">
        <f>SUMIFS(Imput[[Importe Neto]:[Importe Neto]],Imput[[C. Imp.]:[C. Imp.]],$D789,Imput[[PERIODO Imp.]:[PERIODO Imp.]],DB$9)</f>
        <v>0</v>
      </c>
      <c r="DC789" s="693">
        <f>SUMIFS(Imput[[Importe Neto]:[Importe Neto]],Imput[[C. Imp.]:[C. Imp.]],$D789,Imput[[PERIODO Imp.]:[PERIODO Imp.]],DC$9)</f>
        <v>0</v>
      </c>
      <c r="DD789" s="693">
        <f>SUMIFS(Imput[[Importe Neto]:[Importe Neto]],Imput[[C. Imp.]:[C. Imp.]],$D789,Imput[[PERIODO Imp.]:[PERIODO Imp.]],DD$9)</f>
        <v>0</v>
      </c>
      <c r="DE789" s="693">
        <f>SUMIFS(Imput[[Importe Neto]:[Importe Neto]],Imput[[C. Imp.]:[C. Imp.]],$D789,Imput[[PERIODO Imp.]:[PERIODO Imp.]],DE$9)</f>
        <v>0</v>
      </c>
      <c r="DF789" s="693">
        <f>SUMIFS(Imput[[Importe Neto]:[Importe Neto]],Imput[[C. Imp.]:[C. Imp.]],$D789,Imput[[PERIODO Imp.]:[PERIODO Imp.]],DF$9)</f>
        <v>0</v>
      </c>
      <c r="DG789" s="693">
        <f>SUMIFS(Imput[[Importe Neto]:[Importe Neto]],Imput[[C. Imp.]:[C. Imp.]],$D789,Imput[[PERIODO Imp.]:[PERIODO Imp.]],DG$9)</f>
        <v>0</v>
      </c>
      <c r="DH789" s="694">
        <f>SUMIFS(Imput[[Importe Neto]:[Importe Neto]],Imput[[C. Imp.]:[C. Imp.]],$D789,Imput[[PERIODO Imp.]:[PERIODO Imp.]],DH$9)</f>
        <v>0</v>
      </c>
    </row>
    <row r="790" spans="1:112" s="649" customFormat="1" hidden="1" outlineLevel="1" x14ac:dyDescent="0.3">
      <c r="A790" s="652" t="str">
        <f t="shared" si="280"/>
        <v/>
      </c>
      <c r="B790" s="652"/>
      <c r="C790" s="685"/>
      <c r="D790" s="686" t="s">
        <v>2770</v>
      </c>
      <c r="E790" s="686"/>
      <c r="F790" s="720"/>
      <c r="G790" s="688"/>
      <c r="H790" s="689"/>
      <c r="I790" s="851" t="str">
        <f t="shared" si="281"/>
        <v/>
      </c>
      <c r="J790" s="850" t="str">
        <f t="shared" si="282"/>
        <v/>
      </c>
      <c r="K790" s="667"/>
      <c r="L790" s="858"/>
      <c r="M790" s="859"/>
      <c r="N790" s="859"/>
      <c r="O790" s="859"/>
      <c r="P790" s="859"/>
      <c r="Q790" s="859"/>
      <c r="R790" s="859"/>
      <c r="S790" s="859"/>
      <c r="T790" s="859"/>
      <c r="U790" s="859"/>
      <c r="V790" s="859"/>
      <c r="W790" s="859"/>
      <c r="X790" s="859"/>
      <c r="Y790" s="859"/>
      <c r="Z790" s="860"/>
      <c r="AA790" s="860"/>
      <c r="AB790" s="860"/>
      <c r="AC790" s="860"/>
      <c r="AD790" s="860"/>
      <c r="AE790" s="860"/>
      <c r="AF790" s="860"/>
      <c r="AG790" s="860"/>
      <c r="AH790" s="860"/>
      <c r="AI790" s="860"/>
      <c r="AJ790" s="860"/>
      <c r="AK790" s="860"/>
      <c r="AL790" s="860"/>
      <c r="AM790" s="860"/>
      <c r="AN790" s="860"/>
      <c r="AO790" s="860"/>
      <c r="AP790" s="860"/>
      <c r="AQ790" s="860"/>
      <c r="AR790" s="860"/>
      <c r="AS790" s="860"/>
      <c r="AT790" s="860"/>
      <c r="AU790" s="860"/>
      <c r="AV790" s="860"/>
      <c r="AW790" s="860"/>
      <c r="AX790" s="860"/>
      <c r="AY790" s="860"/>
      <c r="AZ790" s="860"/>
      <c r="BA790" s="860"/>
      <c r="BB790" s="860"/>
      <c r="BC790" s="860"/>
      <c r="BD790" s="860"/>
      <c r="BE790" s="860"/>
      <c r="BF790" s="860"/>
      <c r="BG790" s="860"/>
      <c r="BH790" s="668"/>
      <c r="BI790" s="667"/>
      <c r="BJ790" s="690">
        <f t="shared" si="283"/>
        <v>0</v>
      </c>
      <c r="BK790" s="691">
        <f t="shared" si="284"/>
        <v>0</v>
      </c>
      <c r="BL790" s="654"/>
      <c r="BM790" s="692">
        <f>SUMIFS(Imput[[Importe Neto]:[Importe Neto]],Imput[[C. Imp.]:[C. Imp.]],$D790,Imput[[PERIODO Imp.]:[PERIODO Imp.]],BM$9)</f>
        <v>0</v>
      </c>
      <c r="BN790" s="693">
        <f>SUMIFS(Imput[[Importe Neto]:[Importe Neto]],Imput[[C. Imp.]:[C. Imp.]],$D790,Imput[[PERIODO Imp.]:[PERIODO Imp.]],BN$9)</f>
        <v>0</v>
      </c>
      <c r="BO790" s="693">
        <f>SUMIFS(Imput[[Importe Neto]:[Importe Neto]],Imput[[C. Imp.]:[C. Imp.]],$D790,Imput[[PERIODO Imp.]:[PERIODO Imp.]],BO$9)</f>
        <v>0</v>
      </c>
      <c r="BP790" s="693">
        <f>SUMIFS(Imput[[Importe Neto]:[Importe Neto]],Imput[[C. Imp.]:[C. Imp.]],$D790,Imput[[PERIODO Imp.]:[PERIODO Imp.]],BP$9)</f>
        <v>0</v>
      </c>
      <c r="BQ790" s="693">
        <f>SUMIFS(Imput[[Importe Neto]:[Importe Neto]],Imput[[C. Imp.]:[C. Imp.]],$D790,Imput[[PERIODO Imp.]:[PERIODO Imp.]],BQ$9)</f>
        <v>0</v>
      </c>
      <c r="BR790" s="693">
        <f>SUMIFS(Imput[[Importe Neto]:[Importe Neto]],Imput[[C. Imp.]:[C. Imp.]],$D790,Imput[[PERIODO Imp.]:[PERIODO Imp.]],BR$9)</f>
        <v>0</v>
      </c>
      <c r="BS790" s="693">
        <f>SUMIFS(Imput[[Importe Neto]:[Importe Neto]],Imput[[C. Imp.]:[C. Imp.]],$D790,Imput[[PERIODO Imp.]:[PERIODO Imp.]],BS$9)</f>
        <v>0</v>
      </c>
      <c r="BT790" s="693">
        <f>SUMIFS(Imput[[Importe Neto]:[Importe Neto]],Imput[[C. Imp.]:[C. Imp.]],$D790,Imput[[PERIODO Imp.]:[PERIODO Imp.]],BT$9)</f>
        <v>0</v>
      </c>
      <c r="BU790" s="693">
        <f>SUMIFS(Imput[[Importe Neto]:[Importe Neto]],Imput[[C. Imp.]:[C. Imp.]],$D790,Imput[[PERIODO Imp.]:[PERIODO Imp.]],BU$9)</f>
        <v>0</v>
      </c>
      <c r="BV790" s="693">
        <f>SUMIFS(Imput[[Importe Neto]:[Importe Neto]],Imput[[C. Imp.]:[C. Imp.]],$D790,Imput[[PERIODO Imp.]:[PERIODO Imp.]],BV$9)</f>
        <v>0</v>
      </c>
      <c r="BW790" s="693">
        <f>SUMIFS(Imput[[Importe Neto]:[Importe Neto]],Imput[[C. Imp.]:[C. Imp.]],$D790,Imput[[PERIODO Imp.]:[PERIODO Imp.]],BW$9)</f>
        <v>0</v>
      </c>
      <c r="BX790" s="693">
        <f>SUMIFS(Imput[[Importe Neto]:[Importe Neto]],Imput[[C. Imp.]:[C. Imp.]],$D790,Imput[[PERIODO Imp.]:[PERIODO Imp.]],BX$9)</f>
        <v>0</v>
      </c>
      <c r="BY790" s="693">
        <f>SUMIFS(Imput[[Importe Neto]:[Importe Neto]],Imput[[C. Imp.]:[C. Imp.]],$D790,Imput[[PERIODO Imp.]:[PERIODO Imp.]],BY$9)</f>
        <v>0</v>
      </c>
      <c r="BZ790" s="693">
        <f>SUMIFS(Imput[[Importe Neto]:[Importe Neto]],Imput[[C. Imp.]:[C. Imp.]],$D790,Imput[[PERIODO Imp.]:[PERIODO Imp.]],BZ$9)</f>
        <v>0</v>
      </c>
      <c r="CA790" s="693">
        <f>SUMIFS(Imput[[Importe Neto]:[Importe Neto]],Imput[[C. Imp.]:[C. Imp.]],$D790,Imput[[PERIODO Imp.]:[PERIODO Imp.]],CA$9)</f>
        <v>0</v>
      </c>
      <c r="CB790" s="693">
        <f>SUMIFS(Imput[[Importe Neto]:[Importe Neto]],Imput[[C. Imp.]:[C. Imp.]],$D790,Imput[[PERIODO Imp.]:[PERIODO Imp.]],CB$9)</f>
        <v>0</v>
      </c>
      <c r="CC790" s="693">
        <f>SUMIFS(Imput[[Importe Neto]:[Importe Neto]],Imput[[C. Imp.]:[C. Imp.]],$D790,Imput[[PERIODO Imp.]:[PERIODO Imp.]],CC$9)</f>
        <v>0</v>
      </c>
      <c r="CD790" s="693">
        <f>SUMIFS(Imput[[Importe Neto]:[Importe Neto]],Imput[[C. Imp.]:[C. Imp.]],$D790,Imput[[PERIODO Imp.]:[PERIODO Imp.]],CD$9)</f>
        <v>0</v>
      </c>
      <c r="CE790" s="693">
        <f>SUMIFS(Imput[[Importe Neto]:[Importe Neto]],Imput[[C. Imp.]:[C. Imp.]],$D790,Imput[[PERIODO Imp.]:[PERIODO Imp.]],CE$9)</f>
        <v>0</v>
      </c>
      <c r="CF790" s="693">
        <f>SUMIFS(Imput[[Importe Neto]:[Importe Neto]],Imput[[C. Imp.]:[C. Imp.]],$D790,Imput[[PERIODO Imp.]:[PERIODO Imp.]],CF$9)</f>
        <v>0</v>
      </c>
      <c r="CG790" s="693">
        <f>SUMIFS(Imput[[Importe Neto]:[Importe Neto]],Imput[[C. Imp.]:[C. Imp.]],$D790,Imput[[PERIODO Imp.]:[PERIODO Imp.]],CG$9)</f>
        <v>0</v>
      </c>
      <c r="CH790" s="693">
        <f>SUMIFS(Imput[[Importe Neto]:[Importe Neto]],Imput[[C. Imp.]:[C. Imp.]],$D790,Imput[[PERIODO Imp.]:[PERIODO Imp.]],CH$9)</f>
        <v>0</v>
      </c>
      <c r="CI790" s="693">
        <f>SUMIFS(Imput[[Importe Neto]:[Importe Neto]],Imput[[C. Imp.]:[C. Imp.]],$D790,Imput[[PERIODO Imp.]:[PERIODO Imp.]],CI$9)</f>
        <v>0</v>
      </c>
      <c r="CJ790" s="693">
        <f>SUMIFS(Imput[[Importe Neto]:[Importe Neto]],Imput[[C. Imp.]:[C. Imp.]],$D790,Imput[[PERIODO Imp.]:[PERIODO Imp.]],CJ$9)</f>
        <v>0</v>
      </c>
      <c r="CK790" s="693">
        <f>SUMIFS(Imput[[Importe Neto]:[Importe Neto]],Imput[[C. Imp.]:[C. Imp.]],$D790,Imput[[PERIODO Imp.]:[PERIODO Imp.]],CK$9)</f>
        <v>0</v>
      </c>
      <c r="CL790" s="693">
        <f>SUMIFS(Imput[[Importe Neto]:[Importe Neto]],Imput[[C. Imp.]:[C. Imp.]],$D790,Imput[[PERIODO Imp.]:[PERIODO Imp.]],CL$9)</f>
        <v>0</v>
      </c>
      <c r="CM790" s="693">
        <f>SUMIFS(Imput[[Importe Neto]:[Importe Neto]],Imput[[C. Imp.]:[C. Imp.]],$D790,Imput[[PERIODO Imp.]:[PERIODO Imp.]],CM$9)</f>
        <v>0</v>
      </c>
      <c r="CN790" s="693">
        <f>SUMIFS(Imput[[Importe Neto]:[Importe Neto]],Imput[[C. Imp.]:[C. Imp.]],$D790,Imput[[PERIODO Imp.]:[PERIODO Imp.]],CN$9)</f>
        <v>0</v>
      </c>
      <c r="CO790" s="693">
        <f>SUMIFS(Imput[[Importe Neto]:[Importe Neto]],Imput[[C. Imp.]:[C. Imp.]],$D790,Imput[[PERIODO Imp.]:[PERIODO Imp.]],CO$9)</f>
        <v>0</v>
      </c>
      <c r="CP790" s="693">
        <f>SUMIFS(Imput[[Importe Neto]:[Importe Neto]],Imput[[C. Imp.]:[C. Imp.]],$D790,Imput[[PERIODO Imp.]:[PERIODO Imp.]],CP$9)</f>
        <v>0</v>
      </c>
      <c r="CQ790" s="693">
        <f>SUMIFS(Imput[[Importe Neto]:[Importe Neto]],Imput[[C. Imp.]:[C. Imp.]],$D790,Imput[[PERIODO Imp.]:[PERIODO Imp.]],CQ$9)</f>
        <v>0</v>
      </c>
      <c r="CR790" s="693">
        <f>SUMIFS(Imput[[Importe Neto]:[Importe Neto]],Imput[[C. Imp.]:[C. Imp.]],$D790,Imput[[PERIODO Imp.]:[PERIODO Imp.]],CR$9)</f>
        <v>0</v>
      </c>
      <c r="CS790" s="693">
        <f>SUMIFS(Imput[[Importe Neto]:[Importe Neto]],Imput[[C. Imp.]:[C. Imp.]],$D790,Imput[[PERIODO Imp.]:[PERIODO Imp.]],CS$9)</f>
        <v>0</v>
      </c>
      <c r="CT790" s="693">
        <f>SUMIFS(Imput[[Importe Neto]:[Importe Neto]],Imput[[C. Imp.]:[C. Imp.]],$D790,Imput[[PERIODO Imp.]:[PERIODO Imp.]],CT$9)</f>
        <v>0</v>
      </c>
      <c r="CU790" s="693">
        <f>SUMIFS(Imput[[Importe Neto]:[Importe Neto]],Imput[[C. Imp.]:[C. Imp.]],$D790,Imput[[PERIODO Imp.]:[PERIODO Imp.]],CU$9)</f>
        <v>0</v>
      </c>
      <c r="CV790" s="693">
        <f>SUMIFS(Imput[[Importe Neto]:[Importe Neto]],Imput[[C. Imp.]:[C. Imp.]],$D790,Imput[[PERIODO Imp.]:[PERIODO Imp.]],CV$9)</f>
        <v>0</v>
      </c>
      <c r="CW790" s="693">
        <f>SUMIFS(Imput[[Importe Neto]:[Importe Neto]],Imput[[C. Imp.]:[C. Imp.]],$D790,Imput[[PERIODO Imp.]:[PERIODO Imp.]],CW$9)</f>
        <v>0</v>
      </c>
      <c r="CX790" s="693">
        <f>SUMIFS(Imput[[Importe Neto]:[Importe Neto]],Imput[[C. Imp.]:[C. Imp.]],$D790,Imput[[PERIODO Imp.]:[PERIODO Imp.]],CX$9)</f>
        <v>0</v>
      </c>
      <c r="CY790" s="693">
        <f>SUMIFS(Imput[[Importe Neto]:[Importe Neto]],Imput[[C. Imp.]:[C. Imp.]],$D790,Imput[[PERIODO Imp.]:[PERIODO Imp.]],CY$9)</f>
        <v>0</v>
      </c>
      <c r="CZ790" s="693">
        <f>SUMIFS(Imput[[Importe Neto]:[Importe Neto]],Imput[[C. Imp.]:[C. Imp.]],$D790,Imput[[PERIODO Imp.]:[PERIODO Imp.]],CZ$9)</f>
        <v>0</v>
      </c>
      <c r="DA790" s="693">
        <f>SUMIFS(Imput[[Importe Neto]:[Importe Neto]],Imput[[C. Imp.]:[C. Imp.]],$D790,Imput[[PERIODO Imp.]:[PERIODO Imp.]],DA$9)</f>
        <v>0</v>
      </c>
      <c r="DB790" s="693">
        <f>SUMIFS(Imput[[Importe Neto]:[Importe Neto]],Imput[[C. Imp.]:[C. Imp.]],$D790,Imput[[PERIODO Imp.]:[PERIODO Imp.]],DB$9)</f>
        <v>0</v>
      </c>
      <c r="DC790" s="693">
        <f>SUMIFS(Imput[[Importe Neto]:[Importe Neto]],Imput[[C. Imp.]:[C. Imp.]],$D790,Imput[[PERIODO Imp.]:[PERIODO Imp.]],DC$9)</f>
        <v>0</v>
      </c>
      <c r="DD790" s="693">
        <f>SUMIFS(Imput[[Importe Neto]:[Importe Neto]],Imput[[C. Imp.]:[C. Imp.]],$D790,Imput[[PERIODO Imp.]:[PERIODO Imp.]],DD$9)</f>
        <v>0</v>
      </c>
      <c r="DE790" s="693">
        <f>SUMIFS(Imput[[Importe Neto]:[Importe Neto]],Imput[[C. Imp.]:[C. Imp.]],$D790,Imput[[PERIODO Imp.]:[PERIODO Imp.]],DE$9)</f>
        <v>0</v>
      </c>
      <c r="DF790" s="693">
        <f>SUMIFS(Imput[[Importe Neto]:[Importe Neto]],Imput[[C. Imp.]:[C. Imp.]],$D790,Imput[[PERIODO Imp.]:[PERIODO Imp.]],DF$9)</f>
        <v>0</v>
      </c>
      <c r="DG790" s="693">
        <f>SUMIFS(Imput[[Importe Neto]:[Importe Neto]],Imput[[C. Imp.]:[C. Imp.]],$D790,Imput[[PERIODO Imp.]:[PERIODO Imp.]],DG$9)</f>
        <v>0</v>
      </c>
      <c r="DH790" s="694">
        <f>SUMIFS(Imput[[Importe Neto]:[Importe Neto]],Imput[[C. Imp.]:[C. Imp.]],$D790,Imput[[PERIODO Imp.]:[PERIODO Imp.]],DH$9)</f>
        <v>0</v>
      </c>
    </row>
    <row r="791" spans="1:112" s="649" customFormat="1" hidden="1" outlineLevel="1" x14ac:dyDescent="0.3">
      <c r="A791" s="652" t="str">
        <f t="shared" si="280"/>
        <v/>
      </c>
      <c r="B791" s="652"/>
      <c r="C791" s="685"/>
      <c r="D791" s="686" t="s">
        <v>2771</v>
      </c>
      <c r="E791" s="686"/>
      <c r="F791" s="720"/>
      <c r="G791" s="688"/>
      <c r="H791" s="689"/>
      <c r="I791" s="851" t="str">
        <f t="shared" si="281"/>
        <v/>
      </c>
      <c r="J791" s="850" t="str">
        <f t="shared" si="282"/>
        <v/>
      </c>
      <c r="K791" s="678"/>
      <c r="L791" s="858"/>
      <c r="M791" s="859"/>
      <c r="N791" s="859"/>
      <c r="O791" s="859"/>
      <c r="P791" s="859"/>
      <c r="Q791" s="859"/>
      <c r="R791" s="859"/>
      <c r="S791" s="859"/>
      <c r="T791" s="859"/>
      <c r="U791" s="859"/>
      <c r="V791" s="859"/>
      <c r="W791" s="859"/>
      <c r="X791" s="859"/>
      <c r="Y791" s="859"/>
      <c r="Z791" s="860"/>
      <c r="AA791" s="860"/>
      <c r="AB791" s="860"/>
      <c r="AC791" s="860"/>
      <c r="AD791" s="860"/>
      <c r="AE791" s="860"/>
      <c r="AF791" s="860"/>
      <c r="AG791" s="860"/>
      <c r="AH791" s="860"/>
      <c r="AI791" s="860"/>
      <c r="AJ791" s="860"/>
      <c r="AK791" s="860"/>
      <c r="AL791" s="860"/>
      <c r="AM791" s="860"/>
      <c r="AN791" s="860"/>
      <c r="AO791" s="860"/>
      <c r="AP791" s="860"/>
      <c r="AQ791" s="860"/>
      <c r="AR791" s="860"/>
      <c r="AS791" s="860"/>
      <c r="AT791" s="860"/>
      <c r="AU791" s="860"/>
      <c r="AV791" s="860"/>
      <c r="AW791" s="860"/>
      <c r="AX791" s="860"/>
      <c r="AY791" s="860"/>
      <c r="AZ791" s="860"/>
      <c r="BA791" s="860"/>
      <c r="BB791" s="860"/>
      <c r="BC791" s="860"/>
      <c r="BD791" s="860"/>
      <c r="BE791" s="860"/>
      <c r="BF791" s="860"/>
      <c r="BG791" s="860"/>
      <c r="BH791" s="668"/>
      <c r="BI791" s="654"/>
      <c r="BJ791" s="690">
        <f t="shared" si="283"/>
        <v>0</v>
      </c>
      <c r="BK791" s="691">
        <f t="shared" si="284"/>
        <v>0</v>
      </c>
      <c r="BL791" s="654"/>
      <c r="BM791" s="692">
        <f>SUMIFS(Imput[[Importe Neto]:[Importe Neto]],Imput[[C. Imp.]:[C. Imp.]],$D791,Imput[[PERIODO Imp.]:[PERIODO Imp.]],BM$9)</f>
        <v>0</v>
      </c>
      <c r="BN791" s="693">
        <f>SUMIFS(Imput[[Importe Neto]:[Importe Neto]],Imput[[C. Imp.]:[C. Imp.]],$D791,Imput[[PERIODO Imp.]:[PERIODO Imp.]],BN$9)</f>
        <v>0</v>
      </c>
      <c r="BO791" s="693">
        <f>SUMIFS(Imput[[Importe Neto]:[Importe Neto]],Imput[[C. Imp.]:[C. Imp.]],$D791,Imput[[PERIODO Imp.]:[PERIODO Imp.]],BO$9)</f>
        <v>0</v>
      </c>
      <c r="BP791" s="693">
        <f>SUMIFS(Imput[[Importe Neto]:[Importe Neto]],Imput[[C. Imp.]:[C. Imp.]],$D791,Imput[[PERIODO Imp.]:[PERIODO Imp.]],BP$9)</f>
        <v>0</v>
      </c>
      <c r="BQ791" s="693">
        <f>SUMIFS(Imput[[Importe Neto]:[Importe Neto]],Imput[[C. Imp.]:[C. Imp.]],$D791,Imput[[PERIODO Imp.]:[PERIODO Imp.]],BQ$9)</f>
        <v>0</v>
      </c>
      <c r="BR791" s="693">
        <f>SUMIFS(Imput[[Importe Neto]:[Importe Neto]],Imput[[C. Imp.]:[C. Imp.]],$D791,Imput[[PERIODO Imp.]:[PERIODO Imp.]],BR$9)</f>
        <v>0</v>
      </c>
      <c r="BS791" s="693">
        <f>SUMIFS(Imput[[Importe Neto]:[Importe Neto]],Imput[[C. Imp.]:[C. Imp.]],$D791,Imput[[PERIODO Imp.]:[PERIODO Imp.]],BS$9)</f>
        <v>0</v>
      </c>
      <c r="BT791" s="693">
        <f>SUMIFS(Imput[[Importe Neto]:[Importe Neto]],Imput[[C. Imp.]:[C. Imp.]],$D791,Imput[[PERIODO Imp.]:[PERIODO Imp.]],BT$9)</f>
        <v>0</v>
      </c>
      <c r="BU791" s="693">
        <f>SUMIFS(Imput[[Importe Neto]:[Importe Neto]],Imput[[C. Imp.]:[C. Imp.]],$D791,Imput[[PERIODO Imp.]:[PERIODO Imp.]],BU$9)</f>
        <v>0</v>
      </c>
      <c r="BV791" s="693">
        <f>SUMIFS(Imput[[Importe Neto]:[Importe Neto]],Imput[[C. Imp.]:[C. Imp.]],$D791,Imput[[PERIODO Imp.]:[PERIODO Imp.]],BV$9)</f>
        <v>0</v>
      </c>
      <c r="BW791" s="693">
        <f>SUMIFS(Imput[[Importe Neto]:[Importe Neto]],Imput[[C. Imp.]:[C. Imp.]],$D791,Imput[[PERIODO Imp.]:[PERIODO Imp.]],BW$9)</f>
        <v>0</v>
      </c>
      <c r="BX791" s="693">
        <f>SUMIFS(Imput[[Importe Neto]:[Importe Neto]],Imput[[C. Imp.]:[C. Imp.]],$D791,Imput[[PERIODO Imp.]:[PERIODO Imp.]],BX$9)</f>
        <v>0</v>
      </c>
      <c r="BY791" s="693">
        <f>SUMIFS(Imput[[Importe Neto]:[Importe Neto]],Imput[[C. Imp.]:[C. Imp.]],$D791,Imput[[PERIODO Imp.]:[PERIODO Imp.]],BY$9)</f>
        <v>0</v>
      </c>
      <c r="BZ791" s="693">
        <f>SUMIFS(Imput[[Importe Neto]:[Importe Neto]],Imput[[C. Imp.]:[C. Imp.]],$D791,Imput[[PERIODO Imp.]:[PERIODO Imp.]],BZ$9)</f>
        <v>0</v>
      </c>
      <c r="CA791" s="693">
        <f>SUMIFS(Imput[[Importe Neto]:[Importe Neto]],Imput[[C. Imp.]:[C. Imp.]],$D791,Imput[[PERIODO Imp.]:[PERIODO Imp.]],CA$9)</f>
        <v>0</v>
      </c>
      <c r="CB791" s="693">
        <f>SUMIFS(Imput[[Importe Neto]:[Importe Neto]],Imput[[C. Imp.]:[C. Imp.]],$D791,Imput[[PERIODO Imp.]:[PERIODO Imp.]],CB$9)</f>
        <v>0</v>
      </c>
      <c r="CC791" s="693">
        <f>SUMIFS(Imput[[Importe Neto]:[Importe Neto]],Imput[[C. Imp.]:[C. Imp.]],$D791,Imput[[PERIODO Imp.]:[PERIODO Imp.]],CC$9)</f>
        <v>0</v>
      </c>
      <c r="CD791" s="693">
        <f>SUMIFS(Imput[[Importe Neto]:[Importe Neto]],Imput[[C. Imp.]:[C. Imp.]],$D791,Imput[[PERIODO Imp.]:[PERIODO Imp.]],CD$9)</f>
        <v>0</v>
      </c>
      <c r="CE791" s="693">
        <f>SUMIFS(Imput[[Importe Neto]:[Importe Neto]],Imput[[C. Imp.]:[C. Imp.]],$D791,Imput[[PERIODO Imp.]:[PERIODO Imp.]],CE$9)</f>
        <v>0</v>
      </c>
      <c r="CF791" s="693">
        <f>SUMIFS(Imput[[Importe Neto]:[Importe Neto]],Imput[[C. Imp.]:[C. Imp.]],$D791,Imput[[PERIODO Imp.]:[PERIODO Imp.]],CF$9)</f>
        <v>0</v>
      </c>
      <c r="CG791" s="693">
        <f>SUMIFS(Imput[[Importe Neto]:[Importe Neto]],Imput[[C. Imp.]:[C. Imp.]],$D791,Imput[[PERIODO Imp.]:[PERIODO Imp.]],CG$9)</f>
        <v>0</v>
      </c>
      <c r="CH791" s="693">
        <f>SUMIFS(Imput[[Importe Neto]:[Importe Neto]],Imput[[C. Imp.]:[C. Imp.]],$D791,Imput[[PERIODO Imp.]:[PERIODO Imp.]],CH$9)</f>
        <v>0</v>
      </c>
      <c r="CI791" s="693">
        <f>SUMIFS(Imput[[Importe Neto]:[Importe Neto]],Imput[[C. Imp.]:[C. Imp.]],$D791,Imput[[PERIODO Imp.]:[PERIODO Imp.]],CI$9)</f>
        <v>0</v>
      </c>
      <c r="CJ791" s="693">
        <f>SUMIFS(Imput[[Importe Neto]:[Importe Neto]],Imput[[C. Imp.]:[C. Imp.]],$D791,Imput[[PERIODO Imp.]:[PERIODO Imp.]],CJ$9)</f>
        <v>0</v>
      </c>
      <c r="CK791" s="693">
        <f>SUMIFS(Imput[[Importe Neto]:[Importe Neto]],Imput[[C. Imp.]:[C. Imp.]],$D791,Imput[[PERIODO Imp.]:[PERIODO Imp.]],CK$9)</f>
        <v>0</v>
      </c>
      <c r="CL791" s="693">
        <f>SUMIFS(Imput[[Importe Neto]:[Importe Neto]],Imput[[C. Imp.]:[C. Imp.]],$D791,Imput[[PERIODO Imp.]:[PERIODO Imp.]],CL$9)</f>
        <v>0</v>
      </c>
      <c r="CM791" s="693">
        <f>SUMIFS(Imput[[Importe Neto]:[Importe Neto]],Imput[[C. Imp.]:[C. Imp.]],$D791,Imput[[PERIODO Imp.]:[PERIODO Imp.]],CM$9)</f>
        <v>0</v>
      </c>
      <c r="CN791" s="693">
        <f>SUMIFS(Imput[[Importe Neto]:[Importe Neto]],Imput[[C. Imp.]:[C. Imp.]],$D791,Imput[[PERIODO Imp.]:[PERIODO Imp.]],CN$9)</f>
        <v>0</v>
      </c>
      <c r="CO791" s="693">
        <f>SUMIFS(Imput[[Importe Neto]:[Importe Neto]],Imput[[C. Imp.]:[C. Imp.]],$D791,Imput[[PERIODO Imp.]:[PERIODO Imp.]],CO$9)</f>
        <v>0</v>
      </c>
      <c r="CP791" s="693">
        <f>SUMIFS(Imput[[Importe Neto]:[Importe Neto]],Imput[[C. Imp.]:[C. Imp.]],$D791,Imput[[PERIODO Imp.]:[PERIODO Imp.]],CP$9)</f>
        <v>0</v>
      </c>
      <c r="CQ791" s="693">
        <f>SUMIFS(Imput[[Importe Neto]:[Importe Neto]],Imput[[C. Imp.]:[C. Imp.]],$D791,Imput[[PERIODO Imp.]:[PERIODO Imp.]],CQ$9)</f>
        <v>0</v>
      </c>
      <c r="CR791" s="693">
        <f>SUMIFS(Imput[[Importe Neto]:[Importe Neto]],Imput[[C. Imp.]:[C. Imp.]],$D791,Imput[[PERIODO Imp.]:[PERIODO Imp.]],CR$9)</f>
        <v>0</v>
      </c>
      <c r="CS791" s="693">
        <f>SUMIFS(Imput[[Importe Neto]:[Importe Neto]],Imput[[C. Imp.]:[C. Imp.]],$D791,Imput[[PERIODO Imp.]:[PERIODO Imp.]],CS$9)</f>
        <v>0</v>
      </c>
      <c r="CT791" s="693">
        <f>SUMIFS(Imput[[Importe Neto]:[Importe Neto]],Imput[[C. Imp.]:[C. Imp.]],$D791,Imput[[PERIODO Imp.]:[PERIODO Imp.]],CT$9)</f>
        <v>0</v>
      </c>
      <c r="CU791" s="693">
        <f>SUMIFS(Imput[[Importe Neto]:[Importe Neto]],Imput[[C. Imp.]:[C. Imp.]],$D791,Imput[[PERIODO Imp.]:[PERIODO Imp.]],CU$9)</f>
        <v>0</v>
      </c>
      <c r="CV791" s="693">
        <f>SUMIFS(Imput[[Importe Neto]:[Importe Neto]],Imput[[C. Imp.]:[C. Imp.]],$D791,Imput[[PERIODO Imp.]:[PERIODO Imp.]],CV$9)</f>
        <v>0</v>
      </c>
      <c r="CW791" s="693">
        <f>SUMIFS(Imput[[Importe Neto]:[Importe Neto]],Imput[[C. Imp.]:[C. Imp.]],$D791,Imput[[PERIODO Imp.]:[PERIODO Imp.]],CW$9)</f>
        <v>0</v>
      </c>
      <c r="CX791" s="693">
        <f>SUMIFS(Imput[[Importe Neto]:[Importe Neto]],Imput[[C. Imp.]:[C. Imp.]],$D791,Imput[[PERIODO Imp.]:[PERIODO Imp.]],CX$9)</f>
        <v>0</v>
      </c>
      <c r="CY791" s="693">
        <f>SUMIFS(Imput[[Importe Neto]:[Importe Neto]],Imput[[C. Imp.]:[C. Imp.]],$D791,Imput[[PERIODO Imp.]:[PERIODO Imp.]],CY$9)</f>
        <v>0</v>
      </c>
      <c r="CZ791" s="693">
        <f>SUMIFS(Imput[[Importe Neto]:[Importe Neto]],Imput[[C. Imp.]:[C. Imp.]],$D791,Imput[[PERIODO Imp.]:[PERIODO Imp.]],CZ$9)</f>
        <v>0</v>
      </c>
      <c r="DA791" s="693">
        <f>SUMIFS(Imput[[Importe Neto]:[Importe Neto]],Imput[[C. Imp.]:[C. Imp.]],$D791,Imput[[PERIODO Imp.]:[PERIODO Imp.]],DA$9)</f>
        <v>0</v>
      </c>
      <c r="DB791" s="693">
        <f>SUMIFS(Imput[[Importe Neto]:[Importe Neto]],Imput[[C. Imp.]:[C. Imp.]],$D791,Imput[[PERIODO Imp.]:[PERIODO Imp.]],DB$9)</f>
        <v>0</v>
      </c>
      <c r="DC791" s="693">
        <f>SUMIFS(Imput[[Importe Neto]:[Importe Neto]],Imput[[C. Imp.]:[C. Imp.]],$D791,Imput[[PERIODO Imp.]:[PERIODO Imp.]],DC$9)</f>
        <v>0</v>
      </c>
      <c r="DD791" s="693">
        <f>SUMIFS(Imput[[Importe Neto]:[Importe Neto]],Imput[[C. Imp.]:[C. Imp.]],$D791,Imput[[PERIODO Imp.]:[PERIODO Imp.]],DD$9)</f>
        <v>0</v>
      </c>
      <c r="DE791" s="693">
        <f>SUMIFS(Imput[[Importe Neto]:[Importe Neto]],Imput[[C. Imp.]:[C. Imp.]],$D791,Imput[[PERIODO Imp.]:[PERIODO Imp.]],DE$9)</f>
        <v>0</v>
      </c>
      <c r="DF791" s="693">
        <f>SUMIFS(Imput[[Importe Neto]:[Importe Neto]],Imput[[C. Imp.]:[C. Imp.]],$D791,Imput[[PERIODO Imp.]:[PERIODO Imp.]],DF$9)</f>
        <v>0</v>
      </c>
      <c r="DG791" s="693">
        <f>SUMIFS(Imput[[Importe Neto]:[Importe Neto]],Imput[[C. Imp.]:[C. Imp.]],$D791,Imput[[PERIODO Imp.]:[PERIODO Imp.]],DG$9)</f>
        <v>0</v>
      </c>
      <c r="DH791" s="694">
        <f>SUMIFS(Imput[[Importe Neto]:[Importe Neto]],Imput[[C. Imp.]:[C. Imp.]],$D791,Imput[[PERIODO Imp.]:[PERIODO Imp.]],DH$9)</f>
        <v>0</v>
      </c>
    </row>
    <row r="792" spans="1:112" s="649" customFormat="1" hidden="1" outlineLevel="1" x14ac:dyDescent="0.3">
      <c r="A792" s="652" t="str">
        <f t="shared" si="280"/>
        <v/>
      </c>
      <c r="B792" s="652"/>
      <c r="C792" s="685"/>
      <c r="D792" s="686" t="s">
        <v>2772</v>
      </c>
      <c r="E792" s="686"/>
      <c r="F792" s="720"/>
      <c r="G792" s="688"/>
      <c r="H792" s="689"/>
      <c r="I792" s="851" t="str">
        <f t="shared" si="281"/>
        <v/>
      </c>
      <c r="J792" s="850" t="str">
        <f t="shared" si="282"/>
        <v/>
      </c>
      <c r="K792" s="667"/>
      <c r="L792" s="858"/>
      <c r="M792" s="859"/>
      <c r="N792" s="859"/>
      <c r="O792" s="859"/>
      <c r="P792" s="859"/>
      <c r="Q792" s="859"/>
      <c r="R792" s="859"/>
      <c r="S792" s="859"/>
      <c r="T792" s="859"/>
      <c r="U792" s="859"/>
      <c r="V792" s="859"/>
      <c r="W792" s="859"/>
      <c r="X792" s="859"/>
      <c r="Y792" s="859"/>
      <c r="Z792" s="860"/>
      <c r="AA792" s="860"/>
      <c r="AB792" s="860"/>
      <c r="AC792" s="860"/>
      <c r="AD792" s="860"/>
      <c r="AE792" s="860"/>
      <c r="AF792" s="860"/>
      <c r="AG792" s="860"/>
      <c r="AH792" s="860"/>
      <c r="AI792" s="860"/>
      <c r="AJ792" s="860"/>
      <c r="AK792" s="860"/>
      <c r="AL792" s="860"/>
      <c r="AM792" s="860"/>
      <c r="AN792" s="860"/>
      <c r="AO792" s="860"/>
      <c r="AP792" s="860"/>
      <c r="AQ792" s="860"/>
      <c r="AR792" s="860"/>
      <c r="AS792" s="860"/>
      <c r="AT792" s="860"/>
      <c r="AU792" s="860"/>
      <c r="AV792" s="860"/>
      <c r="AW792" s="860"/>
      <c r="AX792" s="860"/>
      <c r="AY792" s="860"/>
      <c r="AZ792" s="860"/>
      <c r="BA792" s="860"/>
      <c r="BB792" s="860"/>
      <c r="BC792" s="860"/>
      <c r="BD792" s="860"/>
      <c r="BE792" s="860"/>
      <c r="BF792" s="860"/>
      <c r="BG792" s="860"/>
      <c r="BH792" s="668"/>
      <c r="BI792" s="667"/>
      <c r="BJ792" s="690">
        <f t="shared" si="283"/>
        <v>0</v>
      </c>
      <c r="BK792" s="691">
        <f t="shared" si="284"/>
        <v>0</v>
      </c>
      <c r="BL792" s="654"/>
      <c r="BM792" s="692">
        <f>SUMIFS(Imput[[Importe Neto]:[Importe Neto]],Imput[[C. Imp.]:[C. Imp.]],$D792,Imput[[PERIODO Imp.]:[PERIODO Imp.]],BM$9)</f>
        <v>0</v>
      </c>
      <c r="BN792" s="693">
        <f>SUMIFS(Imput[[Importe Neto]:[Importe Neto]],Imput[[C. Imp.]:[C. Imp.]],$D792,Imput[[PERIODO Imp.]:[PERIODO Imp.]],BN$9)</f>
        <v>0</v>
      </c>
      <c r="BO792" s="693">
        <f>SUMIFS(Imput[[Importe Neto]:[Importe Neto]],Imput[[C. Imp.]:[C. Imp.]],$D792,Imput[[PERIODO Imp.]:[PERIODO Imp.]],BO$9)</f>
        <v>0</v>
      </c>
      <c r="BP792" s="693">
        <f>SUMIFS(Imput[[Importe Neto]:[Importe Neto]],Imput[[C. Imp.]:[C. Imp.]],$D792,Imput[[PERIODO Imp.]:[PERIODO Imp.]],BP$9)</f>
        <v>0</v>
      </c>
      <c r="BQ792" s="693">
        <f>SUMIFS(Imput[[Importe Neto]:[Importe Neto]],Imput[[C. Imp.]:[C. Imp.]],$D792,Imput[[PERIODO Imp.]:[PERIODO Imp.]],BQ$9)</f>
        <v>0</v>
      </c>
      <c r="BR792" s="693">
        <f>SUMIFS(Imput[[Importe Neto]:[Importe Neto]],Imput[[C. Imp.]:[C. Imp.]],$D792,Imput[[PERIODO Imp.]:[PERIODO Imp.]],BR$9)</f>
        <v>0</v>
      </c>
      <c r="BS792" s="693">
        <f>SUMIFS(Imput[[Importe Neto]:[Importe Neto]],Imput[[C. Imp.]:[C. Imp.]],$D792,Imput[[PERIODO Imp.]:[PERIODO Imp.]],BS$9)</f>
        <v>0</v>
      </c>
      <c r="BT792" s="693">
        <f>SUMIFS(Imput[[Importe Neto]:[Importe Neto]],Imput[[C. Imp.]:[C. Imp.]],$D792,Imput[[PERIODO Imp.]:[PERIODO Imp.]],BT$9)</f>
        <v>0</v>
      </c>
      <c r="BU792" s="693">
        <f>SUMIFS(Imput[[Importe Neto]:[Importe Neto]],Imput[[C. Imp.]:[C. Imp.]],$D792,Imput[[PERIODO Imp.]:[PERIODO Imp.]],BU$9)</f>
        <v>0</v>
      </c>
      <c r="BV792" s="693">
        <f>SUMIFS(Imput[[Importe Neto]:[Importe Neto]],Imput[[C. Imp.]:[C. Imp.]],$D792,Imput[[PERIODO Imp.]:[PERIODO Imp.]],BV$9)</f>
        <v>0</v>
      </c>
      <c r="BW792" s="693">
        <f>SUMIFS(Imput[[Importe Neto]:[Importe Neto]],Imput[[C. Imp.]:[C. Imp.]],$D792,Imput[[PERIODO Imp.]:[PERIODO Imp.]],BW$9)</f>
        <v>0</v>
      </c>
      <c r="BX792" s="693">
        <f>SUMIFS(Imput[[Importe Neto]:[Importe Neto]],Imput[[C. Imp.]:[C. Imp.]],$D792,Imput[[PERIODO Imp.]:[PERIODO Imp.]],BX$9)</f>
        <v>0</v>
      </c>
      <c r="BY792" s="693">
        <f>SUMIFS(Imput[[Importe Neto]:[Importe Neto]],Imput[[C. Imp.]:[C. Imp.]],$D792,Imput[[PERIODO Imp.]:[PERIODO Imp.]],BY$9)</f>
        <v>0</v>
      </c>
      <c r="BZ792" s="693">
        <f>SUMIFS(Imput[[Importe Neto]:[Importe Neto]],Imput[[C. Imp.]:[C. Imp.]],$D792,Imput[[PERIODO Imp.]:[PERIODO Imp.]],BZ$9)</f>
        <v>0</v>
      </c>
      <c r="CA792" s="693">
        <f>SUMIFS(Imput[[Importe Neto]:[Importe Neto]],Imput[[C. Imp.]:[C. Imp.]],$D792,Imput[[PERIODO Imp.]:[PERIODO Imp.]],CA$9)</f>
        <v>0</v>
      </c>
      <c r="CB792" s="693">
        <f>SUMIFS(Imput[[Importe Neto]:[Importe Neto]],Imput[[C. Imp.]:[C. Imp.]],$D792,Imput[[PERIODO Imp.]:[PERIODO Imp.]],CB$9)</f>
        <v>0</v>
      </c>
      <c r="CC792" s="693">
        <f>SUMIFS(Imput[[Importe Neto]:[Importe Neto]],Imput[[C. Imp.]:[C. Imp.]],$D792,Imput[[PERIODO Imp.]:[PERIODO Imp.]],CC$9)</f>
        <v>0</v>
      </c>
      <c r="CD792" s="693">
        <f>SUMIFS(Imput[[Importe Neto]:[Importe Neto]],Imput[[C. Imp.]:[C. Imp.]],$D792,Imput[[PERIODO Imp.]:[PERIODO Imp.]],CD$9)</f>
        <v>0</v>
      </c>
      <c r="CE792" s="693">
        <f>SUMIFS(Imput[[Importe Neto]:[Importe Neto]],Imput[[C. Imp.]:[C. Imp.]],$D792,Imput[[PERIODO Imp.]:[PERIODO Imp.]],CE$9)</f>
        <v>0</v>
      </c>
      <c r="CF792" s="693">
        <f>SUMIFS(Imput[[Importe Neto]:[Importe Neto]],Imput[[C. Imp.]:[C. Imp.]],$D792,Imput[[PERIODO Imp.]:[PERIODO Imp.]],CF$9)</f>
        <v>0</v>
      </c>
      <c r="CG792" s="693">
        <f>SUMIFS(Imput[[Importe Neto]:[Importe Neto]],Imput[[C. Imp.]:[C. Imp.]],$D792,Imput[[PERIODO Imp.]:[PERIODO Imp.]],CG$9)</f>
        <v>0</v>
      </c>
      <c r="CH792" s="693">
        <f>SUMIFS(Imput[[Importe Neto]:[Importe Neto]],Imput[[C. Imp.]:[C. Imp.]],$D792,Imput[[PERIODO Imp.]:[PERIODO Imp.]],CH$9)</f>
        <v>0</v>
      </c>
      <c r="CI792" s="693">
        <f>SUMIFS(Imput[[Importe Neto]:[Importe Neto]],Imput[[C. Imp.]:[C. Imp.]],$D792,Imput[[PERIODO Imp.]:[PERIODO Imp.]],CI$9)</f>
        <v>0</v>
      </c>
      <c r="CJ792" s="693">
        <f>SUMIFS(Imput[[Importe Neto]:[Importe Neto]],Imput[[C. Imp.]:[C. Imp.]],$D792,Imput[[PERIODO Imp.]:[PERIODO Imp.]],CJ$9)</f>
        <v>0</v>
      </c>
      <c r="CK792" s="693">
        <f>SUMIFS(Imput[[Importe Neto]:[Importe Neto]],Imput[[C. Imp.]:[C. Imp.]],$D792,Imput[[PERIODO Imp.]:[PERIODO Imp.]],CK$9)</f>
        <v>0</v>
      </c>
      <c r="CL792" s="693">
        <f>SUMIFS(Imput[[Importe Neto]:[Importe Neto]],Imput[[C. Imp.]:[C. Imp.]],$D792,Imput[[PERIODO Imp.]:[PERIODO Imp.]],CL$9)</f>
        <v>0</v>
      </c>
      <c r="CM792" s="693">
        <f>SUMIFS(Imput[[Importe Neto]:[Importe Neto]],Imput[[C. Imp.]:[C. Imp.]],$D792,Imput[[PERIODO Imp.]:[PERIODO Imp.]],CM$9)</f>
        <v>0</v>
      </c>
      <c r="CN792" s="693">
        <f>SUMIFS(Imput[[Importe Neto]:[Importe Neto]],Imput[[C. Imp.]:[C. Imp.]],$D792,Imput[[PERIODO Imp.]:[PERIODO Imp.]],CN$9)</f>
        <v>0</v>
      </c>
      <c r="CO792" s="693">
        <f>SUMIFS(Imput[[Importe Neto]:[Importe Neto]],Imput[[C. Imp.]:[C. Imp.]],$D792,Imput[[PERIODO Imp.]:[PERIODO Imp.]],CO$9)</f>
        <v>0</v>
      </c>
      <c r="CP792" s="693">
        <f>SUMIFS(Imput[[Importe Neto]:[Importe Neto]],Imput[[C. Imp.]:[C. Imp.]],$D792,Imput[[PERIODO Imp.]:[PERIODO Imp.]],CP$9)</f>
        <v>0</v>
      </c>
      <c r="CQ792" s="693">
        <f>SUMIFS(Imput[[Importe Neto]:[Importe Neto]],Imput[[C. Imp.]:[C. Imp.]],$D792,Imput[[PERIODO Imp.]:[PERIODO Imp.]],CQ$9)</f>
        <v>0</v>
      </c>
      <c r="CR792" s="693">
        <f>SUMIFS(Imput[[Importe Neto]:[Importe Neto]],Imput[[C. Imp.]:[C. Imp.]],$D792,Imput[[PERIODO Imp.]:[PERIODO Imp.]],CR$9)</f>
        <v>0</v>
      </c>
      <c r="CS792" s="693">
        <f>SUMIFS(Imput[[Importe Neto]:[Importe Neto]],Imput[[C. Imp.]:[C. Imp.]],$D792,Imput[[PERIODO Imp.]:[PERIODO Imp.]],CS$9)</f>
        <v>0</v>
      </c>
      <c r="CT792" s="693">
        <f>SUMIFS(Imput[[Importe Neto]:[Importe Neto]],Imput[[C. Imp.]:[C. Imp.]],$D792,Imput[[PERIODO Imp.]:[PERIODO Imp.]],CT$9)</f>
        <v>0</v>
      </c>
      <c r="CU792" s="693">
        <f>SUMIFS(Imput[[Importe Neto]:[Importe Neto]],Imput[[C. Imp.]:[C. Imp.]],$D792,Imput[[PERIODO Imp.]:[PERIODO Imp.]],CU$9)</f>
        <v>0</v>
      </c>
      <c r="CV792" s="693">
        <f>SUMIFS(Imput[[Importe Neto]:[Importe Neto]],Imput[[C. Imp.]:[C. Imp.]],$D792,Imput[[PERIODO Imp.]:[PERIODO Imp.]],CV$9)</f>
        <v>0</v>
      </c>
      <c r="CW792" s="693">
        <f>SUMIFS(Imput[[Importe Neto]:[Importe Neto]],Imput[[C. Imp.]:[C. Imp.]],$D792,Imput[[PERIODO Imp.]:[PERIODO Imp.]],CW$9)</f>
        <v>0</v>
      </c>
      <c r="CX792" s="693">
        <f>SUMIFS(Imput[[Importe Neto]:[Importe Neto]],Imput[[C. Imp.]:[C. Imp.]],$D792,Imput[[PERIODO Imp.]:[PERIODO Imp.]],CX$9)</f>
        <v>0</v>
      </c>
      <c r="CY792" s="693">
        <f>SUMIFS(Imput[[Importe Neto]:[Importe Neto]],Imput[[C. Imp.]:[C. Imp.]],$D792,Imput[[PERIODO Imp.]:[PERIODO Imp.]],CY$9)</f>
        <v>0</v>
      </c>
      <c r="CZ792" s="693">
        <f>SUMIFS(Imput[[Importe Neto]:[Importe Neto]],Imput[[C. Imp.]:[C. Imp.]],$D792,Imput[[PERIODO Imp.]:[PERIODO Imp.]],CZ$9)</f>
        <v>0</v>
      </c>
      <c r="DA792" s="693">
        <f>SUMIFS(Imput[[Importe Neto]:[Importe Neto]],Imput[[C. Imp.]:[C. Imp.]],$D792,Imput[[PERIODO Imp.]:[PERIODO Imp.]],DA$9)</f>
        <v>0</v>
      </c>
      <c r="DB792" s="693">
        <f>SUMIFS(Imput[[Importe Neto]:[Importe Neto]],Imput[[C. Imp.]:[C. Imp.]],$D792,Imput[[PERIODO Imp.]:[PERIODO Imp.]],DB$9)</f>
        <v>0</v>
      </c>
      <c r="DC792" s="693">
        <f>SUMIFS(Imput[[Importe Neto]:[Importe Neto]],Imput[[C. Imp.]:[C. Imp.]],$D792,Imput[[PERIODO Imp.]:[PERIODO Imp.]],DC$9)</f>
        <v>0</v>
      </c>
      <c r="DD792" s="693">
        <f>SUMIFS(Imput[[Importe Neto]:[Importe Neto]],Imput[[C. Imp.]:[C. Imp.]],$D792,Imput[[PERIODO Imp.]:[PERIODO Imp.]],DD$9)</f>
        <v>0</v>
      </c>
      <c r="DE792" s="693">
        <f>SUMIFS(Imput[[Importe Neto]:[Importe Neto]],Imput[[C. Imp.]:[C. Imp.]],$D792,Imput[[PERIODO Imp.]:[PERIODO Imp.]],DE$9)</f>
        <v>0</v>
      </c>
      <c r="DF792" s="693">
        <f>SUMIFS(Imput[[Importe Neto]:[Importe Neto]],Imput[[C. Imp.]:[C. Imp.]],$D792,Imput[[PERIODO Imp.]:[PERIODO Imp.]],DF$9)</f>
        <v>0</v>
      </c>
      <c r="DG792" s="693">
        <f>SUMIFS(Imput[[Importe Neto]:[Importe Neto]],Imput[[C. Imp.]:[C. Imp.]],$D792,Imput[[PERIODO Imp.]:[PERIODO Imp.]],DG$9)</f>
        <v>0</v>
      </c>
      <c r="DH792" s="694">
        <f>SUMIFS(Imput[[Importe Neto]:[Importe Neto]],Imput[[C. Imp.]:[C. Imp.]],$D792,Imput[[PERIODO Imp.]:[PERIODO Imp.]],DH$9)</f>
        <v>0</v>
      </c>
    </row>
    <row r="793" spans="1:112" s="649" customFormat="1" hidden="1" outlineLevel="1" x14ac:dyDescent="0.3">
      <c r="A793" s="652" t="str">
        <f t="shared" si="280"/>
        <v/>
      </c>
      <c r="B793" s="652"/>
      <c r="C793" s="685"/>
      <c r="D793" s="686" t="s">
        <v>2773</v>
      </c>
      <c r="E793" s="686"/>
      <c r="F793" s="720"/>
      <c r="G793" s="688"/>
      <c r="H793" s="689"/>
      <c r="I793" s="851" t="str">
        <f t="shared" si="281"/>
        <v/>
      </c>
      <c r="J793" s="850" t="str">
        <f t="shared" si="282"/>
        <v/>
      </c>
      <c r="K793" s="667"/>
      <c r="L793" s="858"/>
      <c r="M793" s="859"/>
      <c r="N793" s="859"/>
      <c r="O793" s="859"/>
      <c r="P793" s="859"/>
      <c r="Q793" s="859"/>
      <c r="R793" s="859"/>
      <c r="S793" s="859"/>
      <c r="T793" s="859"/>
      <c r="U793" s="859"/>
      <c r="V793" s="859"/>
      <c r="W793" s="859"/>
      <c r="X793" s="859"/>
      <c r="Y793" s="859"/>
      <c r="Z793" s="860"/>
      <c r="AA793" s="860"/>
      <c r="AB793" s="860"/>
      <c r="AC793" s="860"/>
      <c r="AD793" s="860"/>
      <c r="AE793" s="860"/>
      <c r="AF793" s="860"/>
      <c r="AG793" s="860"/>
      <c r="AH793" s="860"/>
      <c r="AI793" s="860"/>
      <c r="AJ793" s="860"/>
      <c r="AK793" s="860"/>
      <c r="AL793" s="860"/>
      <c r="AM793" s="860"/>
      <c r="AN793" s="860"/>
      <c r="AO793" s="860"/>
      <c r="AP793" s="860"/>
      <c r="AQ793" s="860"/>
      <c r="AR793" s="860"/>
      <c r="AS793" s="860"/>
      <c r="AT793" s="860"/>
      <c r="AU793" s="860"/>
      <c r="AV793" s="860"/>
      <c r="AW793" s="860"/>
      <c r="AX793" s="860"/>
      <c r="AY793" s="860"/>
      <c r="AZ793" s="860"/>
      <c r="BA793" s="860"/>
      <c r="BB793" s="860"/>
      <c r="BC793" s="860"/>
      <c r="BD793" s="860"/>
      <c r="BE793" s="860"/>
      <c r="BF793" s="860"/>
      <c r="BG793" s="860"/>
      <c r="BH793" s="668"/>
      <c r="BI793" s="667"/>
      <c r="BJ793" s="690">
        <f t="shared" si="283"/>
        <v>0</v>
      </c>
      <c r="BK793" s="691">
        <f t="shared" si="284"/>
        <v>0</v>
      </c>
      <c r="BL793" s="654"/>
      <c r="BM793" s="692">
        <f>SUMIFS(Imput[[Importe Neto]:[Importe Neto]],Imput[[C. Imp.]:[C. Imp.]],$D793,Imput[[PERIODO Imp.]:[PERIODO Imp.]],BM$9)</f>
        <v>0</v>
      </c>
      <c r="BN793" s="693">
        <f>SUMIFS(Imput[[Importe Neto]:[Importe Neto]],Imput[[C. Imp.]:[C. Imp.]],$D793,Imput[[PERIODO Imp.]:[PERIODO Imp.]],BN$9)</f>
        <v>0</v>
      </c>
      <c r="BO793" s="693">
        <f>SUMIFS(Imput[[Importe Neto]:[Importe Neto]],Imput[[C. Imp.]:[C. Imp.]],$D793,Imput[[PERIODO Imp.]:[PERIODO Imp.]],BO$9)</f>
        <v>0</v>
      </c>
      <c r="BP793" s="693">
        <f>SUMIFS(Imput[[Importe Neto]:[Importe Neto]],Imput[[C. Imp.]:[C. Imp.]],$D793,Imput[[PERIODO Imp.]:[PERIODO Imp.]],BP$9)</f>
        <v>0</v>
      </c>
      <c r="BQ793" s="693">
        <f>SUMIFS(Imput[[Importe Neto]:[Importe Neto]],Imput[[C. Imp.]:[C. Imp.]],$D793,Imput[[PERIODO Imp.]:[PERIODO Imp.]],BQ$9)</f>
        <v>0</v>
      </c>
      <c r="BR793" s="693">
        <f>SUMIFS(Imput[[Importe Neto]:[Importe Neto]],Imput[[C. Imp.]:[C. Imp.]],$D793,Imput[[PERIODO Imp.]:[PERIODO Imp.]],BR$9)</f>
        <v>0</v>
      </c>
      <c r="BS793" s="693">
        <f>SUMIFS(Imput[[Importe Neto]:[Importe Neto]],Imput[[C. Imp.]:[C. Imp.]],$D793,Imput[[PERIODO Imp.]:[PERIODO Imp.]],BS$9)</f>
        <v>0</v>
      </c>
      <c r="BT793" s="693">
        <f>SUMIFS(Imput[[Importe Neto]:[Importe Neto]],Imput[[C. Imp.]:[C. Imp.]],$D793,Imput[[PERIODO Imp.]:[PERIODO Imp.]],BT$9)</f>
        <v>0</v>
      </c>
      <c r="BU793" s="693">
        <f>SUMIFS(Imput[[Importe Neto]:[Importe Neto]],Imput[[C. Imp.]:[C. Imp.]],$D793,Imput[[PERIODO Imp.]:[PERIODO Imp.]],BU$9)</f>
        <v>0</v>
      </c>
      <c r="BV793" s="693">
        <f>SUMIFS(Imput[[Importe Neto]:[Importe Neto]],Imput[[C. Imp.]:[C. Imp.]],$D793,Imput[[PERIODO Imp.]:[PERIODO Imp.]],BV$9)</f>
        <v>0</v>
      </c>
      <c r="BW793" s="693">
        <f>SUMIFS(Imput[[Importe Neto]:[Importe Neto]],Imput[[C. Imp.]:[C. Imp.]],$D793,Imput[[PERIODO Imp.]:[PERIODO Imp.]],BW$9)</f>
        <v>0</v>
      </c>
      <c r="BX793" s="693">
        <f>SUMIFS(Imput[[Importe Neto]:[Importe Neto]],Imput[[C. Imp.]:[C. Imp.]],$D793,Imput[[PERIODO Imp.]:[PERIODO Imp.]],BX$9)</f>
        <v>0</v>
      </c>
      <c r="BY793" s="693">
        <f>SUMIFS(Imput[[Importe Neto]:[Importe Neto]],Imput[[C. Imp.]:[C. Imp.]],$D793,Imput[[PERIODO Imp.]:[PERIODO Imp.]],BY$9)</f>
        <v>0</v>
      </c>
      <c r="BZ793" s="693">
        <f>SUMIFS(Imput[[Importe Neto]:[Importe Neto]],Imput[[C. Imp.]:[C. Imp.]],$D793,Imput[[PERIODO Imp.]:[PERIODO Imp.]],BZ$9)</f>
        <v>0</v>
      </c>
      <c r="CA793" s="693">
        <f>SUMIFS(Imput[[Importe Neto]:[Importe Neto]],Imput[[C. Imp.]:[C. Imp.]],$D793,Imput[[PERIODO Imp.]:[PERIODO Imp.]],CA$9)</f>
        <v>0</v>
      </c>
      <c r="CB793" s="693">
        <f>SUMIFS(Imput[[Importe Neto]:[Importe Neto]],Imput[[C. Imp.]:[C. Imp.]],$D793,Imput[[PERIODO Imp.]:[PERIODO Imp.]],CB$9)</f>
        <v>0</v>
      </c>
      <c r="CC793" s="693">
        <f>SUMIFS(Imput[[Importe Neto]:[Importe Neto]],Imput[[C. Imp.]:[C. Imp.]],$D793,Imput[[PERIODO Imp.]:[PERIODO Imp.]],CC$9)</f>
        <v>0</v>
      </c>
      <c r="CD793" s="693">
        <f>SUMIFS(Imput[[Importe Neto]:[Importe Neto]],Imput[[C. Imp.]:[C. Imp.]],$D793,Imput[[PERIODO Imp.]:[PERIODO Imp.]],CD$9)</f>
        <v>0</v>
      </c>
      <c r="CE793" s="693">
        <f>SUMIFS(Imput[[Importe Neto]:[Importe Neto]],Imput[[C. Imp.]:[C. Imp.]],$D793,Imput[[PERIODO Imp.]:[PERIODO Imp.]],CE$9)</f>
        <v>0</v>
      </c>
      <c r="CF793" s="693">
        <f>SUMIFS(Imput[[Importe Neto]:[Importe Neto]],Imput[[C. Imp.]:[C. Imp.]],$D793,Imput[[PERIODO Imp.]:[PERIODO Imp.]],CF$9)</f>
        <v>0</v>
      </c>
      <c r="CG793" s="693">
        <f>SUMIFS(Imput[[Importe Neto]:[Importe Neto]],Imput[[C. Imp.]:[C. Imp.]],$D793,Imput[[PERIODO Imp.]:[PERIODO Imp.]],CG$9)</f>
        <v>0</v>
      </c>
      <c r="CH793" s="693">
        <f>SUMIFS(Imput[[Importe Neto]:[Importe Neto]],Imput[[C. Imp.]:[C. Imp.]],$D793,Imput[[PERIODO Imp.]:[PERIODO Imp.]],CH$9)</f>
        <v>0</v>
      </c>
      <c r="CI793" s="693">
        <f>SUMIFS(Imput[[Importe Neto]:[Importe Neto]],Imput[[C. Imp.]:[C. Imp.]],$D793,Imput[[PERIODO Imp.]:[PERIODO Imp.]],CI$9)</f>
        <v>0</v>
      </c>
      <c r="CJ793" s="693">
        <f>SUMIFS(Imput[[Importe Neto]:[Importe Neto]],Imput[[C. Imp.]:[C. Imp.]],$D793,Imput[[PERIODO Imp.]:[PERIODO Imp.]],CJ$9)</f>
        <v>0</v>
      </c>
      <c r="CK793" s="693">
        <f>SUMIFS(Imput[[Importe Neto]:[Importe Neto]],Imput[[C. Imp.]:[C. Imp.]],$D793,Imput[[PERIODO Imp.]:[PERIODO Imp.]],CK$9)</f>
        <v>0</v>
      </c>
      <c r="CL793" s="693">
        <f>SUMIFS(Imput[[Importe Neto]:[Importe Neto]],Imput[[C. Imp.]:[C. Imp.]],$D793,Imput[[PERIODO Imp.]:[PERIODO Imp.]],CL$9)</f>
        <v>0</v>
      </c>
      <c r="CM793" s="693">
        <f>SUMIFS(Imput[[Importe Neto]:[Importe Neto]],Imput[[C. Imp.]:[C. Imp.]],$D793,Imput[[PERIODO Imp.]:[PERIODO Imp.]],CM$9)</f>
        <v>0</v>
      </c>
      <c r="CN793" s="693">
        <f>SUMIFS(Imput[[Importe Neto]:[Importe Neto]],Imput[[C. Imp.]:[C. Imp.]],$D793,Imput[[PERIODO Imp.]:[PERIODO Imp.]],CN$9)</f>
        <v>0</v>
      </c>
      <c r="CO793" s="693">
        <f>SUMIFS(Imput[[Importe Neto]:[Importe Neto]],Imput[[C. Imp.]:[C. Imp.]],$D793,Imput[[PERIODO Imp.]:[PERIODO Imp.]],CO$9)</f>
        <v>0</v>
      </c>
      <c r="CP793" s="693">
        <f>SUMIFS(Imput[[Importe Neto]:[Importe Neto]],Imput[[C. Imp.]:[C. Imp.]],$D793,Imput[[PERIODO Imp.]:[PERIODO Imp.]],CP$9)</f>
        <v>0</v>
      </c>
      <c r="CQ793" s="693">
        <f>SUMIFS(Imput[[Importe Neto]:[Importe Neto]],Imput[[C. Imp.]:[C. Imp.]],$D793,Imput[[PERIODO Imp.]:[PERIODO Imp.]],CQ$9)</f>
        <v>0</v>
      </c>
      <c r="CR793" s="693">
        <f>SUMIFS(Imput[[Importe Neto]:[Importe Neto]],Imput[[C. Imp.]:[C. Imp.]],$D793,Imput[[PERIODO Imp.]:[PERIODO Imp.]],CR$9)</f>
        <v>0</v>
      </c>
      <c r="CS793" s="693">
        <f>SUMIFS(Imput[[Importe Neto]:[Importe Neto]],Imput[[C. Imp.]:[C. Imp.]],$D793,Imput[[PERIODO Imp.]:[PERIODO Imp.]],CS$9)</f>
        <v>0</v>
      </c>
      <c r="CT793" s="693">
        <f>SUMIFS(Imput[[Importe Neto]:[Importe Neto]],Imput[[C. Imp.]:[C. Imp.]],$D793,Imput[[PERIODO Imp.]:[PERIODO Imp.]],CT$9)</f>
        <v>0</v>
      </c>
      <c r="CU793" s="693">
        <f>SUMIFS(Imput[[Importe Neto]:[Importe Neto]],Imput[[C. Imp.]:[C. Imp.]],$D793,Imput[[PERIODO Imp.]:[PERIODO Imp.]],CU$9)</f>
        <v>0</v>
      </c>
      <c r="CV793" s="693">
        <f>SUMIFS(Imput[[Importe Neto]:[Importe Neto]],Imput[[C. Imp.]:[C. Imp.]],$D793,Imput[[PERIODO Imp.]:[PERIODO Imp.]],CV$9)</f>
        <v>0</v>
      </c>
      <c r="CW793" s="693">
        <f>SUMIFS(Imput[[Importe Neto]:[Importe Neto]],Imput[[C. Imp.]:[C. Imp.]],$D793,Imput[[PERIODO Imp.]:[PERIODO Imp.]],CW$9)</f>
        <v>0</v>
      </c>
      <c r="CX793" s="693">
        <f>SUMIFS(Imput[[Importe Neto]:[Importe Neto]],Imput[[C. Imp.]:[C. Imp.]],$D793,Imput[[PERIODO Imp.]:[PERIODO Imp.]],CX$9)</f>
        <v>0</v>
      </c>
      <c r="CY793" s="693">
        <f>SUMIFS(Imput[[Importe Neto]:[Importe Neto]],Imput[[C. Imp.]:[C. Imp.]],$D793,Imput[[PERIODO Imp.]:[PERIODO Imp.]],CY$9)</f>
        <v>0</v>
      </c>
      <c r="CZ793" s="693">
        <f>SUMIFS(Imput[[Importe Neto]:[Importe Neto]],Imput[[C. Imp.]:[C. Imp.]],$D793,Imput[[PERIODO Imp.]:[PERIODO Imp.]],CZ$9)</f>
        <v>0</v>
      </c>
      <c r="DA793" s="693">
        <f>SUMIFS(Imput[[Importe Neto]:[Importe Neto]],Imput[[C. Imp.]:[C. Imp.]],$D793,Imput[[PERIODO Imp.]:[PERIODO Imp.]],DA$9)</f>
        <v>0</v>
      </c>
      <c r="DB793" s="693">
        <f>SUMIFS(Imput[[Importe Neto]:[Importe Neto]],Imput[[C. Imp.]:[C. Imp.]],$D793,Imput[[PERIODO Imp.]:[PERIODO Imp.]],DB$9)</f>
        <v>0</v>
      </c>
      <c r="DC793" s="693">
        <f>SUMIFS(Imput[[Importe Neto]:[Importe Neto]],Imput[[C. Imp.]:[C. Imp.]],$D793,Imput[[PERIODO Imp.]:[PERIODO Imp.]],DC$9)</f>
        <v>0</v>
      </c>
      <c r="DD793" s="693">
        <f>SUMIFS(Imput[[Importe Neto]:[Importe Neto]],Imput[[C. Imp.]:[C. Imp.]],$D793,Imput[[PERIODO Imp.]:[PERIODO Imp.]],DD$9)</f>
        <v>0</v>
      </c>
      <c r="DE793" s="693">
        <f>SUMIFS(Imput[[Importe Neto]:[Importe Neto]],Imput[[C. Imp.]:[C. Imp.]],$D793,Imput[[PERIODO Imp.]:[PERIODO Imp.]],DE$9)</f>
        <v>0</v>
      </c>
      <c r="DF793" s="693">
        <f>SUMIFS(Imput[[Importe Neto]:[Importe Neto]],Imput[[C. Imp.]:[C. Imp.]],$D793,Imput[[PERIODO Imp.]:[PERIODO Imp.]],DF$9)</f>
        <v>0</v>
      </c>
      <c r="DG793" s="693">
        <f>SUMIFS(Imput[[Importe Neto]:[Importe Neto]],Imput[[C. Imp.]:[C. Imp.]],$D793,Imput[[PERIODO Imp.]:[PERIODO Imp.]],DG$9)</f>
        <v>0</v>
      </c>
      <c r="DH793" s="694">
        <f>SUMIFS(Imput[[Importe Neto]:[Importe Neto]],Imput[[C. Imp.]:[C. Imp.]],$D793,Imput[[PERIODO Imp.]:[PERIODO Imp.]],DH$9)</f>
        <v>0</v>
      </c>
    </row>
    <row r="794" spans="1:112" s="649" customFormat="1" hidden="1" outlineLevel="1" x14ac:dyDescent="0.3">
      <c r="A794" s="652" t="str">
        <f t="shared" si="280"/>
        <v/>
      </c>
      <c r="B794" s="652"/>
      <c r="C794" s="685"/>
      <c r="D794" s="686" t="s">
        <v>2774</v>
      </c>
      <c r="E794" s="686"/>
      <c r="F794" s="720"/>
      <c r="G794" s="688"/>
      <c r="H794" s="689"/>
      <c r="I794" s="851" t="str">
        <f t="shared" si="281"/>
        <v/>
      </c>
      <c r="J794" s="850" t="str">
        <f t="shared" si="282"/>
        <v/>
      </c>
      <c r="K794" s="667"/>
      <c r="L794" s="858"/>
      <c r="M794" s="859"/>
      <c r="N794" s="859"/>
      <c r="O794" s="859"/>
      <c r="P794" s="859"/>
      <c r="Q794" s="859"/>
      <c r="R794" s="859"/>
      <c r="S794" s="859"/>
      <c r="T794" s="859"/>
      <c r="U794" s="859"/>
      <c r="V794" s="859"/>
      <c r="W794" s="859"/>
      <c r="X794" s="859"/>
      <c r="Y794" s="859"/>
      <c r="Z794" s="860"/>
      <c r="AA794" s="860"/>
      <c r="AB794" s="860"/>
      <c r="AC794" s="860"/>
      <c r="AD794" s="860"/>
      <c r="AE794" s="860"/>
      <c r="AF794" s="860"/>
      <c r="AG794" s="860"/>
      <c r="AH794" s="860"/>
      <c r="AI794" s="860"/>
      <c r="AJ794" s="860"/>
      <c r="AK794" s="860"/>
      <c r="AL794" s="860"/>
      <c r="AM794" s="860"/>
      <c r="AN794" s="860"/>
      <c r="AO794" s="860"/>
      <c r="AP794" s="860"/>
      <c r="AQ794" s="860"/>
      <c r="AR794" s="860"/>
      <c r="AS794" s="860"/>
      <c r="AT794" s="860"/>
      <c r="AU794" s="860"/>
      <c r="AV794" s="860"/>
      <c r="AW794" s="860"/>
      <c r="AX794" s="860"/>
      <c r="AY794" s="860"/>
      <c r="AZ794" s="860"/>
      <c r="BA794" s="860"/>
      <c r="BB794" s="860"/>
      <c r="BC794" s="860"/>
      <c r="BD794" s="860"/>
      <c r="BE794" s="860"/>
      <c r="BF794" s="860"/>
      <c r="BG794" s="860"/>
      <c r="BH794" s="668"/>
      <c r="BI794" s="667"/>
      <c r="BJ794" s="690">
        <f t="shared" si="283"/>
        <v>0</v>
      </c>
      <c r="BK794" s="691">
        <f t="shared" si="284"/>
        <v>0</v>
      </c>
      <c r="BL794" s="654"/>
      <c r="BM794" s="692">
        <f>SUMIFS(Imput[[Importe Neto]:[Importe Neto]],Imput[[C. Imp.]:[C. Imp.]],$D794,Imput[[PERIODO Imp.]:[PERIODO Imp.]],BM$9)</f>
        <v>0</v>
      </c>
      <c r="BN794" s="693">
        <f>SUMIFS(Imput[[Importe Neto]:[Importe Neto]],Imput[[C. Imp.]:[C. Imp.]],$D794,Imput[[PERIODO Imp.]:[PERIODO Imp.]],BN$9)</f>
        <v>0</v>
      </c>
      <c r="BO794" s="693">
        <f>SUMIFS(Imput[[Importe Neto]:[Importe Neto]],Imput[[C. Imp.]:[C. Imp.]],$D794,Imput[[PERIODO Imp.]:[PERIODO Imp.]],BO$9)</f>
        <v>0</v>
      </c>
      <c r="BP794" s="693">
        <f>SUMIFS(Imput[[Importe Neto]:[Importe Neto]],Imput[[C. Imp.]:[C. Imp.]],$D794,Imput[[PERIODO Imp.]:[PERIODO Imp.]],BP$9)</f>
        <v>0</v>
      </c>
      <c r="BQ794" s="693">
        <f>SUMIFS(Imput[[Importe Neto]:[Importe Neto]],Imput[[C. Imp.]:[C. Imp.]],$D794,Imput[[PERIODO Imp.]:[PERIODO Imp.]],BQ$9)</f>
        <v>0</v>
      </c>
      <c r="BR794" s="693">
        <f>SUMIFS(Imput[[Importe Neto]:[Importe Neto]],Imput[[C. Imp.]:[C. Imp.]],$D794,Imput[[PERIODO Imp.]:[PERIODO Imp.]],BR$9)</f>
        <v>0</v>
      </c>
      <c r="BS794" s="693">
        <f>SUMIFS(Imput[[Importe Neto]:[Importe Neto]],Imput[[C. Imp.]:[C. Imp.]],$D794,Imput[[PERIODO Imp.]:[PERIODO Imp.]],BS$9)</f>
        <v>0</v>
      </c>
      <c r="BT794" s="693">
        <f>SUMIFS(Imput[[Importe Neto]:[Importe Neto]],Imput[[C. Imp.]:[C. Imp.]],$D794,Imput[[PERIODO Imp.]:[PERIODO Imp.]],BT$9)</f>
        <v>0</v>
      </c>
      <c r="BU794" s="693">
        <f>SUMIFS(Imput[[Importe Neto]:[Importe Neto]],Imput[[C. Imp.]:[C. Imp.]],$D794,Imput[[PERIODO Imp.]:[PERIODO Imp.]],BU$9)</f>
        <v>0</v>
      </c>
      <c r="BV794" s="693">
        <f>SUMIFS(Imput[[Importe Neto]:[Importe Neto]],Imput[[C. Imp.]:[C. Imp.]],$D794,Imput[[PERIODO Imp.]:[PERIODO Imp.]],BV$9)</f>
        <v>0</v>
      </c>
      <c r="BW794" s="693">
        <f>SUMIFS(Imput[[Importe Neto]:[Importe Neto]],Imput[[C. Imp.]:[C. Imp.]],$D794,Imput[[PERIODO Imp.]:[PERIODO Imp.]],BW$9)</f>
        <v>0</v>
      </c>
      <c r="BX794" s="693">
        <f>SUMIFS(Imput[[Importe Neto]:[Importe Neto]],Imput[[C. Imp.]:[C. Imp.]],$D794,Imput[[PERIODO Imp.]:[PERIODO Imp.]],BX$9)</f>
        <v>0</v>
      </c>
      <c r="BY794" s="693">
        <f>SUMIFS(Imput[[Importe Neto]:[Importe Neto]],Imput[[C. Imp.]:[C. Imp.]],$D794,Imput[[PERIODO Imp.]:[PERIODO Imp.]],BY$9)</f>
        <v>0</v>
      </c>
      <c r="BZ794" s="693">
        <f>SUMIFS(Imput[[Importe Neto]:[Importe Neto]],Imput[[C. Imp.]:[C. Imp.]],$D794,Imput[[PERIODO Imp.]:[PERIODO Imp.]],BZ$9)</f>
        <v>0</v>
      </c>
      <c r="CA794" s="693">
        <f>SUMIFS(Imput[[Importe Neto]:[Importe Neto]],Imput[[C. Imp.]:[C. Imp.]],$D794,Imput[[PERIODO Imp.]:[PERIODO Imp.]],CA$9)</f>
        <v>0</v>
      </c>
      <c r="CB794" s="693">
        <f>SUMIFS(Imput[[Importe Neto]:[Importe Neto]],Imput[[C. Imp.]:[C. Imp.]],$D794,Imput[[PERIODO Imp.]:[PERIODO Imp.]],CB$9)</f>
        <v>0</v>
      </c>
      <c r="CC794" s="693">
        <f>SUMIFS(Imput[[Importe Neto]:[Importe Neto]],Imput[[C. Imp.]:[C. Imp.]],$D794,Imput[[PERIODO Imp.]:[PERIODO Imp.]],CC$9)</f>
        <v>0</v>
      </c>
      <c r="CD794" s="693">
        <f>SUMIFS(Imput[[Importe Neto]:[Importe Neto]],Imput[[C. Imp.]:[C. Imp.]],$D794,Imput[[PERIODO Imp.]:[PERIODO Imp.]],CD$9)</f>
        <v>0</v>
      </c>
      <c r="CE794" s="693">
        <f>SUMIFS(Imput[[Importe Neto]:[Importe Neto]],Imput[[C. Imp.]:[C. Imp.]],$D794,Imput[[PERIODO Imp.]:[PERIODO Imp.]],CE$9)</f>
        <v>0</v>
      </c>
      <c r="CF794" s="693">
        <f>SUMIFS(Imput[[Importe Neto]:[Importe Neto]],Imput[[C. Imp.]:[C. Imp.]],$D794,Imput[[PERIODO Imp.]:[PERIODO Imp.]],CF$9)</f>
        <v>0</v>
      </c>
      <c r="CG794" s="693">
        <f>SUMIFS(Imput[[Importe Neto]:[Importe Neto]],Imput[[C. Imp.]:[C. Imp.]],$D794,Imput[[PERIODO Imp.]:[PERIODO Imp.]],CG$9)</f>
        <v>0</v>
      </c>
      <c r="CH794" s="693">
        <f>SUMIFS(Imput[[Importe Neto]:[Importe Neto]],Imput[[C. Imp.]:[C. Imp.]],$D794,Imput[[PERIODO Imp.]:[PERIODO Imp.]],CH$9)</f>
        <v>0</v>
      </c>
      <c r="CI794" s="693">
        <f>SUMIFS(Imput[[Importe Neto]:[Importe Neto]],Imput[[C. Imp.]:[C. Imp.]],$D794,Imput[[PERIODO Imp.]:[PERIODO Imp.]],CI$9)</f>
        <v>0</v>
      </c>
      <c r="CJ794" s="693">
        <f>SUMIFS(Imput[[Importe Neto]:[Importe Neto]],Imput[[C. Imp.]:[C. Imp.]],$D794,Imput[[PERIODO Imp.]:[PERIODO Imp.]],CJ$9)</f>
        <v>0</v>
      </c>
      <c r="CK794" s="693">
        <f>SUMIFS(Imput[[Importe Neto]:[Importe Neto]],Imput[[C. Imp.]:[C. Imp.]],$D794,Imput[[PERIODO Imp.]:[PERIODO Imp.]],CK$9)</f>
        <v>0</v>
      </c>
      <c r="CL794" s="693">
        <f>SUMIFS(Imput[[Importe Neto]:[Importe Neto]],Imput[[C. Imp.]:[C. Imp.]],$D794,Imput[[PERIODO Imp.]:[PERIODO Imp.]],CL$9)</f>
        <v>0</v>
      </c>
      <c r="CM794" s="693">
        <f>SUMIFS(Imput[[Importe Neto]:[Importe Neto]],Imput[[C. Imp.]:[C. Imp.]],$D794,Imput[[PERIODO Imp.]:[PERIODO Imp.]],CM$9)</f>
        <v>0</v>
      </c>
      <c r="CN794" s="693">
        <f>SUMIFS(Imput[[Importe Neto]:[Importe Neto]],Imput[[C. Imp.]:[C. Imp.]],$D794,Imput[[PERIODO Imp.]:[PERIODO Imp.]],CN$9)</f>
        <v>0</v>
      </c>
      <c r="CO794" s="693">
        <f>SUMIFS(Imput[[Importe Neto]:[Importe Neto]],Imput[[C. Imp.]:[C. Imp.]],$D794,Imput[[PERIODO Imp.]:[PERIODO Imp.]],CO$9)</f>
        <v>0</v>
      </c>
      <c r="CP794" s="693">
        <f>SUMIFS(Imput[[Importe Neto]:[Importe Neto]],Imput[[C. Imp.]:[C. Imp.]],$D794,Imput[[PERIODO Imp.]:[PERIODO Imp.]],CP$9)</f>
        <v>0</v>
      </c>
      <c r="CQ794" s="693">
        <f>SUMIFS(Imput[[Importe Neto]:[Importe Neto]],Imput[[C. Imp.]:[C. Imp.]],$D794,Imput[[PERIODO Imp.]:[PERIODO Imp.]],CQ$9)</f>
        <v>0</v>
      </c>
      <c r="CR794" s="693">
        <f>SUMIFS(Imput[[Importe Neto]:[Importe Neto]],Imput[[C. Imp.]:[C. Imp.]],$D794,Imput[[PERIODO Imp.]:[PERIODO Imp.]],CR$9)</f>
        <v>0</v>
      </c>
      <c r="CS794" s="693">
        <f>SUMIFS(Imput[[Importe Neto]:[Importe Neto]],Imput[[C. Imp.]:[C. Imp.]],$D794,Imput[[PERIODO Imp.]:[PERIODO Imp.]],CS$9)</f>
        <v>0</v>
      </c>
      <c r="CT794" s="693">
        <f>SUMIFS(Imput[[Importe Neto]:[Importe Neto]],Imput[[C. Imp.]:[C. Imp.]],$D794,Imput[[PERIODO Imp.]:[PERIODO Imp.]],CT$9)</f>
        <v>0</v>
      </c>
      <c r="CU794" s="693">
        <f>SUMIFS(Imput[[Importe Neto]:[Importe Neto]],Imput[[C. Imp.]:[C. Imp.]],$D794,Imput[[PERIODO Imp.]:[PERIODO Imp.]],CU$9)</f>
        <v>0</v>
      </c>
      <c r="CV794" s="693">
        <f>SUMIFS(Imput[[Importe Neto]:[Importe Neto]],Imput[[C. Imp.]:[C. Imp.]],$D794,Imput[[PERIODO Imp.]:[PERIODO Imp.]],CV$9)</f>
        <v>0</v>
      </c>
      <c r="CW794" s="693">
        <f>SUMIFS(Imput[[Importe Neto]:[Importe Neto]],Imput[[C. Imp.]:[C. Imp.]],$D794,Imput[[PERIODO Imp.]:[PERIODO Imp.]],CW$9)</f>
        <v>0</v>
      </c>
      <c r="CX794" s="693">
        <f>SUMIFS(Imput[[Importe Neto]:[Importe Neto]],Imput[[C. Imp.]:[C. Imp.]],$D794,Imput[[PERIODO Imp.]:[PERIODO Imp.]],CX$9)</f>
        <v>0</v>
      </c>
      <c r="CY794" s="693">
        <f>SUMIFS(Imput[[Importe Neto]:[Importe Neto]],Imput[[C. Imp.]:[C. Imp.]],$D794,Imput[[PERIODO Imp.]:[PERIODO Imp.]],CY$9)</f>
        <v>0</v>
      </c>
      <c r="CZ794" s="693">
        <f>SUMIFS(Imput[[Importe Neto]:[Importe Neto]],Imput[[C. Imp.]:[C. Imp.]],$D794,Imput[[PERIODO Imp.]:[PERIODO Imp.]],CZ$9)</f>
        <v>0</v>
      </c>
      <c r="DA794" s="693">
        <f>SUMIFS(Imput[[Importe Neto]:[Importe Neto]],Imput[[C. Imp.]:[C. Imp.]],$D794,Imput[[PERIODO Imp.]:[PERIODO Imp.]],DA$9)</f>
        <v>0</v>
      </c>
      <c r="DB794" s="693">
        <f>SUMIFS(Imput[[Importe Neto]:[Importe Neto]],Imput[[C. Imp.]:[C. Imp.]],$D794,Imput[[PERIODO Imp.]:[PERIODO Imp.]],DB$9)</f>
        <v>0</v>
      </c>
      <c r="DC794" s="693">
        <f>SUMIFS(Imput[[Importe Neto]:[Importe Neto]],Imput[[C. Imp.]:[C. Imp.]],$D794,Imput[[PERIODO Imp.]:[PERIODO Imp.]],DC$9)</f>
        <v>0</v>
      </c>
      <c r="DD794" s="693">
        <f>SUMIFS(Imput[[Importe Neto]:[Importe Neto]],Imput[[C. Imp.]:[C. Imp.]],$D794,Imput[[PERIODO Imp.]:[PERIODO Imp.]],DD$9)</f>
        <v>0</v>
      </c>
      <c r="DE794" s="693">
        <f>SUMIFS(Imput[[Importe Neto]:[Importe Neto]],Imput[[C. Imp.]:[C. Imp.]],$D794,Imput[[PERIODO Imp.]:[PERIODO Imp.]],DE$9)</f>
        <v>0</v>
      </c>
      <c r="DF794" s="693">
        <f>SUMIFS(Imput[[Importe Neto]:[Importe Neto]],Imput[[C. Imp.]:[C. Imp.]],$D794,Imput[[PERIODO Imp.]:[PERIODO Imp.]],DF$9)</f>
        <v>0</v>
      </c>
      <c r="DG794" s="693">
        <f>SUMIFS(Imput[[Importe Neto]:[Importe Neto]],Imput[[C. Imp.]:[C. Imp.]],$D794,Imput[[PERIODO Imp.]:[PERIODO Imp.]],DG$9)</f>
        <v>0</v>
      </c>
      <c r="DH794" s="694">
        <f>SUMIFS(Imput[[Importe Neto]:[Importe Neto]],Imput[[C. Imp.]:[C. Imp.]],$D794,Imput[[PERIODO Imp.]:[PERIODO Imp.]],DH$9)</f>
        <v>0</v>
      </c>
    </row>
    <row r="795" spans="1:112" s="649" customFormat="1" hidden="1" outlineLevel="1" x14ac:dyDescent="0.3">
      <c r="A795" s="652" t="str">
        <f t="shared" si="280"/>
        <v/>
      </c>
      <c r="B795" s="652"/>
      <c r="C795" s="685"/>
      <c r="D795" s="686" t="s">
        <v>2775</v>
      </c>
      <c r="E795" s="686"/>
      <c r="F795" s="720"/>
      <c r="G795" s="688"/>
      <c r="H795" s="689"/>
      <c r="I795" s="851" t="str">
        <f t="shared" si="281"/>
        <v/>
      </c>
      <c r="J795" s="850" t="str">
        <f t="shared" si="282"/>
        <v/>
      </c>
      <c r="K795" s="667"/>
      <c r="L795" s="858"/>
      <c r="M795" s="859"/>
      <c r="N795" s="859"/>
      <c r="O795" s="859"/>
      <c r="P795" s="859"/>
      <c r="Q795" s="859"/>
      <c r="R795" s="859"/>
      <c r="S795" s="859"/>
      <c r="T795" s="859"/>
      <c r="U795" s="859"/>
      <c r="V795" s="859"/>
      <c r="W795" s="859"/>
      <c r="X795" s="859"/>
      <c r="Y795" s="859"/>
      <c r="Z795" s="860"/>
      <c r="AA795" s="860"/>
      <c r="AB795" s="860"/>
      <c r="AC795" s="860"/>
      <c r="AD795" s="860"/>
      <c r="AE795" s="860"/>
      <c r="AF795" s="860"/>
      <c r="AG795" s="860"/>
      <c r="AH795" s="860"/>
      <c r="AI795" s="860"/>
      <c r="AJ795" s="860"/>
      <c r="AK795" s="860"/>
      <c r="AL795" s="860"/>
      <c r="AM795" s="860"/>
      <c r="AN795" s="860"/>
      <c r="AO795" s="860"/>
      <c r="AP795" s="860"/>
      <c r="AQ795" s="860"/>
      <c r="AR795" s="860"/>
      <c r="AS795" s="860"/>
      <c r="AT795" s="860"/>
      <c r="AU795" s="860"/>
      <c r="AV795" s="860"/>
      <c r="AW795" s="860"/>
      <c r="AX795" s="860"/>
      <c r="AY795" s="860"/>
      <c r="AZ795" s="860"/>
      <c r="BA795" s="860"/>
      <c r="BB795" s="860"/>
      <c r="BC795" s="860"/>
      <c r="BD795" s="860"/>
      <c r="BE795" s="860"/>
      <c r="BF795" s="860"/>
      <c r="BG795" s="860"/>
      <c r="BH795" s="668"/>
      <c r="BI795" s="667"/>
      <c r="BJ795" s="690">
        <f t="shared" si="283"/>
        <v>0</v>
      </c>
      <c r="BK795" s="691">
        <f t="shared" si="284"/>
        <v>0</v>
      </c>
      <c r="BL795" s="654"/>
      <c r="BM795" s="692">
        <f>SUMIFS(Imput[[Importe Neto]:[Importe Neto]],Imput[[C. Imp.]:[C. Imp.]],$D795,Imput[[PERIODO Imp.]:[PERIODO Imp.]],BM$9)</f>
        <v>0</v>
      </c>
      <c r="BN795" s="693">
        <f>SUMIFS(Imput[[Importe Neto]:[Importe Neto]],Imput[[C. Imp.]:[C. Imp.]],$D795,Imput[[PERIODO Imp.]:[PERIODO Imp.]],BN$9)</f>
        <v>0</v>
      </c>
      <c r="BO795" s="693">
        <f>SUMIFS(Imput[[Importe Neto]:[Importe Neto]],Imput[[C. Imp.]:[C. Imp.]],$D795,Imput[[PERIODO Imp.]:[PERIODO Imp.]],BO$9)</f>
        <v>0</v>
      </c>
      <c r="BP795" s="693">
        <f>SUMIFS(Imput[[Importe Neto]:[Importe Neto]],Imput[[C. Imp.]:[C. Imp.]],$D795,Imput[[PERIODO Imp.]:[PERIODO Imp.]],BP$9)</f>
        <v>0</v>
      </c>
      <c r="BQ795" s="693">
        <f>SUMIFS(Imput[[Importe Neto]:[Importe Neto]],Imput[[C. Imp.]:[C. Imp.]],$D795,Imput[[PERIODO Imp.]:[PERIODO Imp.]],BQ$9)</f>
        <v>0</v>
      </c>
      <c r="BR795" s="693">
        <f>SUMIFS(Imput[[Importe Neto]:[Importe Neto]],Imput[[C. Imp.]:[C. Imp.]],$D795,Imput[[PERIODO Imp.]:[PERIODO Imp.]],BR$9)</f>
        <v>0</v>
      </c>
      <c r="BS795" s="693">
        <f>SUMIFS(Imput[[Importe Neto]:[Importe Neto]],Imput[[C. Imp.]:[C. Imp.]],$D795,Imput[[PERIODO Imp.]:[PERIODO Imp.]],BS$9)</f>
        <v>0</v>
      </c>
      <c r="BT795" s="693">
        <f>SUMIFS(Imput[[Importe Neto]:[Importe Neto]],Imput[[C. Imp.]:[C. Imp.]],$D795,Imput[[PERIODO Imp.]:[PERIODO Imp.]],BT$9)</f>
        <v>0</v>
      </c>
      <c r="BU795" s="693">
        <f>SUMIFS(Imput[[Importe Neto]:[Importe Neto]],Imput[[C. Imp.]:[C. Imp.]],$D795,Imput[[PERIODO Imp.]:[PERIODO Imp.]],BU$9)</f>
        <v>0</v>
      </c>
      <c r="BV795" s="693">
        <f>SUMIFS(Imput[[Importe Neto]:[Importe Neto]],Imput[[C. Imp.]:[C. Imp.]],$D795,Imput[[PERIODO Imp.]:[PERIODO Imp.]],BV$9)</f>
        <v>0</v>
      </c>
      <c r="BW795" s="693">
        <f>SUMIFS(Imput[[Importe Neto]:[Importe Neto]],Imput[[C. Imp.]:[C. Imp.]],$D795,Imput[[PERIODO Imp.]:[PERIODO Imp.]],BW$9)</f>
        <v>0</v>
      </c>
      <c r="BX795" s="693">
        <f>SUMIFS(Imput[[Importe Neto]:[Importe Neto]],Imput[[C. Imp.]:[C. Imp.]],$D795,Imput[[PERIODO Imp.]:[PERIODO Imp.]],BX$9)</f>
        <v>0</v>
      </c>
      <c r="BY795" s="693">
        <f>SUMIFS(Imput[[Importe Neto]:[Importe Neto]],Imput[[C. Imp.]:[C. Imp.]],$D795,Imput[[PERIODO Imp.]:[PERIODO Imp.]],BY$9)</f>
        <v>0</v>
      </c>
      <c r="BZ795" s="693">
        <f>SUMIFS(Imput[[Importe Neto]:[Importe Neto]],Imput[[C. Imp.]:[C. Imp.]],$D795,Imput[[PERIODO Imp.]:[PERIODO Imp.]],BZ$9)</f>
        <v>0</v>
      </c>
      <c r="CA795" s="693">
        <f>SUMIFS(Imput[[Importe Neto]:[Importe Neto]],Imput[[C. Imp.]:[C. Imp.]],$D795,Imput[[PERIODO Imp.]:[PERIODO Imp.]],CA$9)</f>
        <v>0</v>
      </c>
      <c r="CB795" s="693">
        <f>SUMIFS(Imput[[Importe Neto]:[Importe Neto]],Imput[[C. Imp.]:[C. Imp.]],$D795,Imput[[PERIODO Imp.]:[PERIODO Imp.]],CB$9)</f>
        <v>0</v>
      </c>
      <c r="CC795" s="693">
        <f>SUMIFS(Imput[[Importe Neto]:[Importe Neto]],Imput[[C. Imp.]:[C. Imp.]],$D795,Imput[[PERIODO Imp.]:[PERIODO Imp.]],CC$9)</f>
        <v>0</v>
      </c>
      <c r="CD795" s="693">
        <f>SUMIFS(Imput[[Importe Neto]:[Importe Neto]],Imput[[C. Imp.]:[C. Imp.]],$D795,Imput[[PERIODO Imp.]:[PERIODO Imp.]],CD$9)</f>
        <v>0</v>
      </c>
      <c r="CE795" s="693">
        <f>SUMIFS(Imput[[Importe Neto]:[Importe Neto]],Imput[[C. Imp.]:[C. Imp.]],$D795,Imput[[PERIODO Imp.]:[PERIODO Imp.]],CE$9)</f>
        <v>0</v>
      </c>
      <c r="CF795" s="693">
        <f>SUMIFS(Imput[[Importe Neto]:[Importe Neto]],Imput[[C. Imp.]:[C. Imp.]],$D795,Imput[[PERIODO Imp.]:[PERIODO Imp.]],CF$9)</f>
        <v>0</v>
      </c>
      <c r="CG795" s="693">
        <f>SUMIFS(Imput[[Importe Neto]:[Importe Neto]],Imput[[C. Imp.]:[C. Imp.]],$D795,Imput[[PERIODO Imp.]:[PERIODO Imp.]],CG$9)</f>
        <v>0</v>
      </c>
      <c r="CH795" s="693">
        <f>SUMIFS(Imput[[Importe Neto]:[Importe Neto]],Imput[[C. Imp.]:[C. Imp.]],$D795,Imput[[PERIODO Imp.]:[PERIODO Imp.]],CH$9)</f>
        <v>0</v>
      </c>
      <c r="CI795" s="693">
        <f>SUMIFS(Imput[[Importe Neto]:[Importe Neto]],Imput[[C. Imp.]:[C. Imp.]],$D795,Imput[[PERIODO Imp.]:[PERIODO Imp.]],CI$9)</f>
        <v>0</v>
      </c>
      <c r="CJ795" s="693">
        <f>SUMIFS(Imput[[Importe Neto]:[Importe Neto]],Imput[[C. Imp.]:[C. Imp.]],$D795,Imput[[PERIODO Imp.]:[PERIODO Imp.]],CJ$9)</f>
        <v>0</v>
      </c>
      <c r="CK795" s="693">
        <f>SUMIFS(Imput[[Importe Neto]:[Importe Neto]],Imput[[C. Imp.]:[C. Imp.]],$D795,Imput[[PERIODO Imp.]:[PERIODO Imp.]],CK$9)</f>
        <v>0</v>
      </c>
      <c r="CL795" s="693">
        <f>SUMIFS(Imput[[Importe Neto]:[Importe Neto]],Imput[[C. Imp.]:[C. Imp.]],$D795,Imput[[PERIODO Imp.]:[PERIODO Imp.]],CL$9)</f>
        <v>0</v>
      </c>
      <c r="CM795" s="693">
        <f>SUMIFS(Imput[[Importe Neto]:[Importe Neto]],Imput[[C. Imp.]:[C. Imp.]],$D795,Imput[[PERIODO Imp.]:[PERIODO Imp.]],CM$9)</f>
        <v>0</v>
      </c>
      <c r="CN795" s="693">
        <f>SUMIFS(Imput[[Importe Neto]:[Importe Neto]],Imput[[C. Imp.]:[C. Imp.]],$D795,Imput[[PERIODO Imp.]:[PERIODO Imp.]],CN$9)</f>
        <v>0</v>
      </c>
      <c r="CO795" s="693">
        <f>SUMIFS(Imput[[Importe Neto]:[Importe Neto]],Imput[[C. Imp.]:[C. Imp.]],$D795,Imput[[PERIODO Imp.]:[PERIODO Imp.]],CO$9)</f>
        <v>0</v>
      </c>
      <c r="CP795" s="693">
        <f>SUMIFS(Imput[[Importe Neto]:[Importe Neto]],Imput[[C. Imp.]:[C. Imp.]],$D795,Imput[[PERIODO Imp.]:[PERIODO Imp.]],CP$9)</f>
        <v>0</v>
      </c>
      <c r="CQ795" s="693">
        <f>SUMIFS(Imput[[Importe Neto]:[Importe Neto]],Imput[[C. Imp.]:[C. Imp.]],$D795,Imput[[PERIODO Imp.]:[PERIODO Imp.]],CQ$9)</f>
        <v>0</v>
      </c>
      <c r="CR795" s="693">
        <f>SUMIFS(Imput[[Importe Neto]:[Importe Neto]],Imput[[C. Imp.]:[C. Imp.]],$D795,Imput[[PERIODO Imp.]:[PERIODO Imp.]],CR$9)</f>
        <v>0</v>
      </c>
      <c r="CS795" s="693">
        <f>SUMIFS(Imput[[Importe Neto]:[Importe Neto]],Imput[[C. Imp.]:[C. Imp.]],$D795,Imput[[PERIODO Imp.]:[PERIODO Imp.]],CS$9)</f>
        <v>0</v>
      </c>
      <c r="CT795" s="693">
        <f>SUMIFS(Imput[[Importe Neto]:[Importe Neto]],Imput[[C. Imp.]:[C. Imp.]],$D795,Imput[[PERIODO Imp.]:[PERIODO Imp.]],CT$9)</f>
        <v>0</v>
      </c>
      <c r="CU795" s="693">
        <f>SUMIFS(Imput[[Importe Neto]:[Importe Neto]],Imput[[C. Imp.]:[C. Imp.]],$D795,Imput[[PERIODO Imp.]:[PERIODO Imp.]],CU$9)</f>
        <v>0</v>
      </c>
      <c r="CV795" s="693">
        <f>SUMIFS(Imput[[Importe Neto]:[Importe Neto]],Imput[[C. Imp.]:[C. Imp.]],$D795,Imput[[PERIODO Imp.]:[PERIODO Imp.]],CV$9)</f>
        <v>0</v>
      </c>
      <c r="CW795" s="693">
        <f>SUMIFS(Imput[[Importe Neto]:[Importe Neto]],Imput[[C. Imp.]:[C. Imp.]],$D795,Imput[[PERIODO Imp.]:[PERIODO Imp.]],CW$9)</f>
        <v>0</v>
      </c>
      <c r="CX795" s="693">
        <f>SUMIFS(Imput[[Importe Neto]:[Importe Neto]],Imput[[C. Imp.]:[C. Imp.]],$D795,Imput[[PERIODO Imp.]:[PERIODO Imp.]],CX$9)</f>
        <v>0</v>
      </c>
      <c r="CY795" s="693">
        <f>SUMIFS(Imput[[Importe Neto]:[Importe Neto]],Imput[[C. Imp.]:[C. Imp.]],$D795,Imput[[PERIODO Imp.]:[PERIODO Imp.]],CY$9)</f>
        <v>0</v>
      </c>
      <c r="CZ795" s="693">
        <f>SUMIFS(Imput[[Importe Neto]:[Importe Neto]],Imput[[C. Imp.]:[C. Imp.]],$D795,Imput[[PERIODO Imp.]:[PERIODO Imp.]],CZ$9)</f>
        <v>0</v>
      </c>
      <c r="DA795" s="693">
        <f>SUMIFS(Imput[[Importe Neto]:[Importe Neto]],Imput[[C. Imp.]:[C. Imp.]],$D795,Imput[[PERIODO Imp.]:[PERIODO Imp.]],DA$9)</f>
        <v>0</v>
      </c>
      <c r="DB795" s="693">
        <f>SUMIFS(Imput[[Importe Neto]:[Importe Neto]],Imput[[C. Imp.]:[C. Imp.]],$D795,Imput[[PERIODO Imp.]:[PERIODO Imp.]],DB$9)</f>
        <v>0</v>
      </c>
      <c r="DC795" s="693">
        <f>SUMIFS(Imput[[Importe Neto]:[Importe Neto]],Imput[[C. Imp.]:[C. Imp.]],$D795,Imput[[PERIODO Imp.]:[PERIODO Imp.]],DC$9)</f>
        <v>0</v>
      </c>
      <c r="DD795" s="693">
        <f>SUMIFS(Imput[[Importe Neto]:[Importe Neto]],Imput[[C. Imp.]:[C. Imp.]],$D795,Imput[[PERIODO Imp.]:[PERIODO Imp.]],DD$9)</f>
        <v>0</v>
      </c>
      <c r="DE795" s="693">
        <f>SUMIFS(Imput[[Importe Neto]:[Importe Neto]],Imput[[C. Imp.]:[C. Imp.]],$D795,Imput[[PERIODO Imp.]:[PERIODO Imp.]],DE$9)</f>
        <v>0</v>
      </c>
      <c r="DF795" s="693">
        <f>SUMIFS(Imput[[Importe Neto]:[Importe Neto]],Imput[[C. Imp.]:[C. Imp.]],$D795,Imput[[PERIODO Imp.]:[PERIODO Imp.]],DF$9)</f>
        <v>0</v>
      </c>
      <c r="DG795" s="693">
        <f>SUMIFS(Imput[[Importe Neto]:[Importe Neto]],Imput[[C. Imp.]:[C. Imp.]],$D795,Imput[[PERIODO Imp.]:[PERIODO Imp.]],DG$9)</f>
        <v>0</v>
      </c>
      <c r="DH795" s="694">
        <f>SUMIFS(Imput[[Importe Neto]:[Importe Neto]],Imput[[C. Imp.]:[C. Imp.]],$D795,Imput[[PERIODO Imp.]:[PERIODO Imp.]],DH$9)</f>
        <v>0</v>
      </c>
    </row>
    <row r="796" spans="1:112" s="649" customFormat="1" hidden="1" outlineLevel="1" x14ac:dyDescent="0.3">
      <c r="A796" s="652" t="str">
        <f t="shared" si="280"/>
        <v/>
      </c>
      <c r="B796" s="652"/>
      <c r="C796" s="685"/>
      <c r="D796" s="686" t="s">
        <v>2776</v>
      </c>
      <c r="E796" s="686"/>
      <c r="F796" s="720"/>
      <c r="G796" s="688"/>
      <c r="H796" s="689"/>
      <c r="I796" s="851" t="str">
        <f t="shared" si="281"/>
        <v/>
      </c>
      <c r="J796" s="850" t="str">
        <f t="shared" si="282"/>
        <v/>
      </c>
      <c r="K796" s="667"/>
      <c r="L796" s="858"/>
      <c r="M796" s="859"/>
      <c r="N796" s="859"/>
      <c r="O796" s="859"/>
      <c r="P796" s="859"/>
      <c r="Q796" s="859"/>
      <c r="R796" s="859"/>
      <c r="S796" s="859"/>
      <c r="T796" s="859"/>
      <c r="U796" s="859"/>
      <c r="V796" s="859"/>
      <c r="W796" s="859"/>
      <c r="X796" s="859"/>
      <c r="Y796" s="859"/>
      <c r="Z796" s="860"/>
      <c r="AA796" s="860"/>
      <c r="AB796" s="860"/>
      <c r="AC796" s="860"/>
      <c r="AD796" s="860"/>
      <c r="AE796" s="860"/>
      <c r="AF796" s="860"/>
      <c r="AG796" s="860"/>
      <c r="AH796" s="860"/>
      <c r="AI796" s="860"/>
      <c r="AJ796" s="860"/>
      <c r="AK796" s="860"/>
      <c r="AL796" s="860"/>
      <c r="AM796" s="860"/>
      <c r="AN796" s="860"/>
      <c r="AO796" s="860"/>
      <c r="AP796" s="860"/>
      <c r="AQ796" s="860"/>
      <c r="AR796" s="860"/>
      <c r="AS796" s="860"/>
      <c r="AT796" s="860"/>
      <c r="AU796" s="860"/>
      <c r="AV796" s="860"/>
      <c r="AW796" s="860"/>
      <c r="AX796" s="860"/>
      <c r="AY796" s="860"/>
      <c r="AZ796" s="860"/>
      <c r="BA796" s="860"/>
      <c r="BB796" s="860"/>
      <c r="BC796" s="860"/>
      <c r="BD796" s="860"/>
      <c r="BE796" s="860"/>
      <c r="BF796" s="860"/>
      <c r="BG796" s="860"/>
      <c r="BH796" s="668"/>
      <c r="BI796" s="667"/>
      <c r="BJ796" s="690">
        <f t="shared" si="283"/>
        <v>0</v>
      </c>
      <c r="BK796" s="691">
        <f t="shared" si="284"/>
        <v>0</v>
      </c>
      <c r="BL796" s="654"/>
      <c r="BM796" s="692">
        <f>SUMIFS(Imput[[Importe Neto]:[Importe Neto]],Imput[[C. Imp.]:[C. Imp.]],$D796,Imput[[PERIODO Imp.]:[PERIODO Imp.]],BM$9)</f>
        <v>0</v>
      </c>
      <c r="BN796" s="693">
        <f>SUMIFS(Imput[[Importe Neto]:[Importe Neto]],Imput[[C. Imp.]:[C. Imp.]],$D796,Imput[[PERIODO Imp.]:[PERIODO Imp.]],BN$9)</f>
        <v>0</v>
      </c>
      <c r="BO796" s="693">
        <f>SUMIFS(Imput[[Importe Neto]:[Importe Neto]],Imput[[C. Imp.]:[C. Imp.]],$D796,Imput[[PERIODO Imp.]:[PERIODO Imp.]],BO$9)</f>
        <v>0</v>
      </c>
      <c r="BP796" s="693">
        <f>SUMIFS(Imput[[Importe Neto]:[Importe Neto]],Imput[[C. Imp.]:[C. Imp.]],$D796,Imput[[PERIODO Imp.]:[PERIODO Imp.]],BP$9)</f>
        <v>0</v>
      </c>
      <c r="BQ796" s="693">
        <f>SUMIFS(Imput[[Importe Neto]:[Importe Neto]],Imput[[C. Imp.]:[C. Imp.]],$D796,Imput[[PERIODO Imp.]:[PERIODO Imp.]],BQ$9)</f>
        <v>0</v>
      </c>
      <c r="BR796" s="693">
        <f>SUMIFS(Imput[[Importe Neto]:[Importe Neto]],Imput[[C. Imp.]:[C. Imp.]],$D796,Imput[[PERIODO Imp.]:[PERIODO Imp.]],BR$9)</f>
        <v>0</v>
      </c>
      <c r="BS796" s="693">
        <f>SUMIFS(Imput[[Importe Neto]:[Importe Neto]],Imput[[C. Imp.]:[C. Imp.]],$D796,Imput[[PERIODO Imp.]:[PERIODO Imp.]],BS$9)</f>
        <v>0</v>
      </c>
      <c r="BT796" s="693">
        <f>SUMIFS(Imput[[Importe Neto]:[Importe Neto]],Imput[[C. Imp.]:[C. Imp.]],$D796,Imput[[PERIODO Imp.]:[PERIODO Imp.]],BT$9)</f>
        <v>0</v>
      </c>
      <c r="BU796" s="693">
        <f>SUMIFS(Imput[[Importe Neto]:[Importe Neto]],Imput[[C. Imp.]:[C. Imp.]],$D796,Imput[[PERIODO Imp.]:[PERIODO Imp.]],BU$9)</f>
        <v>0</v>
      </c>
      <c r="BV796" s="693">
        <f>SUMIFS(Imput[[Importe Neto]:[Importe Neto]],Imput[[C. Imp.]:[C. Imp.]],$D796,Imput[[PERIODO Imp.]:[PERIODO Imp.]],BV$9)</f>
        <v>0</v>
      </c>
      <c r="BW796" s="693">
        <f>SUMIFS(Imput[[Importe Neto]:[Importe Neto]],Imput[[C. Imp.]:[C. Imp.]],$D796,Imput[[PERIODO Imp.]:[PERIODO Imp.]],BW$9)</f>
        <v>0</v>
      </c>
      <c r="BX796" s="693">
        <f>SUMIFS(Imput[[Importe Neto]:[Importe Neto]],Imput[[C. Imp.]:[C. Imp.]],$D796,Imput[[PERIODO Imp.]:[PERIODO Imp.]],BX$9)</f>
        <v>0</v>
      </c>
      <c r="BY796" s="693">
        <f>SUMIFS(Imput[[Importe Neto]:[Importe Neto]],Imput[[C. Imp.]:[C. Imp.]],$D796,Imput[[PERIODO Imp.]:[PERIODO Imp.]],BY$9)</f>
        <v>0</v>
      </c>
      <c r="BZ796" s="693">
        <f>SUMIFS(Imput[[Importe Neto]:[Importe Neto]],Imput[[C. Imp.]:[C. Imp.]],$D796,Imput[[PERIODO Imp.]:[PERIODO Imp.]],BZ$9)</f>
        <v>0</v>
      </c>
      <c r="CA796" s="693">
        <f>SUMIFS(Imput[[Importe Neto]:[Importe Neto]],Imput[[C. Imp.]:[C. Imp.]],$D796,Imput[[PERIODO Imp.]:[PERIODO Imp.]],CA$9)</f>
        <v>0</v>
      </c>
      <c r="CB796" s="693">
        <f>SUMIFS(Imput[[Importe Neto]:[Importe Neto]],Imput[[C. Imp.]:[C. Imp.]],$D796,Imput[[PERIODO Imp.]:[PERIODO Imp.]],CB$9)</f>
        <v>0</v>
      </c>
      <c r="CC796" s="693">
        <f>SUMIFS(Imput[[Importe Neto]:[Importe Neto]],Imput[[C. Imp.]:[C. Imp.]],$D796,Imput[[PERIODO Imp.]:[PERIODO Imp.]],CC$9)</f>
        <v>0</v>
      </c>
      <c r="CD796" s="693">
        <f>SUMIFS(Imput[[Importe Neto]:[Importe Neto]],Imput[[C. Imp.]:[C. Imp.]],$D796,Imput[[PERIODO Imp.]:[PERIODO Imp.]],CD$9)</f>
        <v>0</v>
      </c>
      <c r="CE796" s="693">
        <f>SUMIFS(Imput[[Importe Neto]:[Importe Neto]],Imput[[C. Imp.]:[C. Imp.]],$D796,Imput[[PERIODO Imp.]:[PERIODO Imp.]],CE$9)</f>
        <v>0</v>
      </c>
      <c r="CF796" s="693">
        <f>SUMIFS(Imput[[Importe Neto]:[Importe Neto]],Imput[[C. Imp.]:[C. Imp.]],$D796,Imput[[PERIODO Imp.]:[PERIODO Imp.]],CF$9)</f>
        <v>0</v>
      </c>
      <c r="CG796" s="693">
        <f>SUMIFS(Imput[[Importe Neto]:[Importe Neto]],Imput[[C. Imp.]:[C. Imp.]],$D796,Imput[[PERIODO Imp.]:[PERIODO Imp.]],CG$9)</f>
        <v>0</v>
      </c>
      <c r="CH796" s="693">
        <f>SUMIFS(Imput[[Importe Neto]:[Importe Neto]],Imput[[C. Imp.]:[C. Imp.]],$D796,Imput[[PERIODO Imp.]:[PERIODO Imp.]],CH$9)</f>
        <v>0</v>
      </c>
      <c r="CI796" s="693">
        <f>SUMIFS(Imput[[Importe Neto]:[Importe Neto]],Imput[[C. Imp.]:[C. Imp.]],$D796,Imput[[PERIODO Imp.]:[PERIODO Imp.]],CI$9)</f>
        <v>0</v>
      </c>
      <c r="CJ796" s="693">
        <f>SUMIFS(Imput[[Importe Neto]:[Importe Neto]],Imput[[C. Imp.]:[C. Imp.]],$D796,Imput[[PERIODO Imp.]:[PERIODO Imp.]],CJ$9)</f>
        <v>0</v>
      </c>
      <c r="CK796" s="693">
        <f>SUMIFS(Imput[[Importe Neto]:[Importe Neto]],Imput[[C. Imp.]:[C. Imp.]],$D796,Imput[[PERIODO Imp.]:[PERIODO Imp.]],CK$9)</f>
        <v>0</v>
      </c>
      <c r="CL796" s="693">
        <f>SUMIFS(Imput[[Importe Neto]:[Importe Neto]],Imput[[C. Imp.]:[C. Imp.]],$D796,Imput[[PERIODO Imp.]:[PERIODO Imp.]],CL$9)</f>
        <v>0</v>
      </c>
      <c r="CM796" s="693">
        <f>SUMIFS(Imput[[Importe Neto]:[Importe Neto]],Imput[[C. Imp.]:[C. Imp.]],$D796,Imput[[PERIODO Imp.]:[PERIODO Imp.]],CM$9)</f>
        <v>0</v>
      </c>
      <c r="CN796" s="693">
        <f>SUMIFS(Imput[[Importe Neto]:[Importe Neto]],Imput[[C. Imp.]:[C. Imp.]],$D796,Imput[[PERIODO Imp.]:[PERIODO Imp.]],CN$9)</f>
        <v>0</v>
      </c>
      <c r="CO796" s="693">
        <f>SUMIFS(Imput[[Importe Neto]:[Importe Neto]],Imput[[C. Imp.]:[C. Imp.]],$D796,Imput[[PERIODO Imp.]:[PERIODO Imp.]],CO$9)</f>
        <v>0</v>
      </c>
      <c r="CP796" s="693">
        <f>SUMIFS(Imput[[Importe Neto]:[Importe Neto]],Imput[[C. Imp.]:[C. Imp.]],$D796,Imput[[PERIODO Imp.]:[PERIODO Imp.]],CP$9)</f>
        <v>0</v>
      </c>
      <c r="CQ796" s="693">
        <f>SUMIFS(Imput[[Importe Neto]:[Importe Neto]],Imput[[C. Imp.]:[C. Imp.]],$D796,Imput[[PERIODO Imp.]:[PERIODO Imp.]],CQ$9)</f>
        <v>0</v>
      </c>
      <c r="CR796" s="693">
        <f>SUMIFS(Imput[[Importe Neto]:[Importe Neto]],Imput[[C. Imp.]:[C. Imp.]],$D796,Imput[[PERIODO Imp.]:[PERIODO Imp.]],CR$9)</f>
        <v>0</v>
      </c>
      <c r="CS796" s="693">
        <f>SUMIFS(Imput[[Importe Neto]:[Importe Neto]],Imput[[C. Imp.]:[C. Imp.]],$D796,Imput[[PERIODO Imp.]:[PERIODO Imp.]],CS$9)</f>
        <v>0</v>
      </c>
      <c r="CT796" s="693">
        <f>SUMIFS(Imput[[Importe Neto]:[Importe Neto]],Imput[[C. Imp.]:[C. Imp.]],$D796,Imput[[PERIODO Imp.]:[PERIODO Imp.]],CT$9)</f>
        <v>0</v>
      </c>
      <c r="CU796" s="693">
        <f>SUMIFS(Imput[[Importe Neto]:[Importe Neto]],Imput[[C. Imp.]:[C. Imp.]],$D796,Imput[[PERIODO Imp.]:[PERIODO Imp.]],CU$9)</f>
        <v>0</v>
      </c>
      <c r="CV796" s="693">
        <f>SUMIFS(Imput[[Importe Neto]:[Importe Neto]],Imput[[C. Imp.]:[C. Imp.]],$D796,Imput[[PERIODO Imp.]:[PERIODO Imp.]],CV$9)</f>
        <v>0</v>
      </c>
      <c r="CW796" s="693">
        <f>SUMIFS(Imput[[Importe Neto]:[Importe Neto]],Imput[[C. Imp.]:[C. Imp.]],$D796,Imput[[PERIODO Imp.]:[PERIODO Imp.]],CW$9)</f>
        <v>0</v>
      </c>
      <c r="CX796" s="693">
        <f>SUMIFS(Imput[[Importe Neto]:[Importe Neto]],Imput[[C. Imp.]:[C. Imp.]],$D796,Imput[[PERIODO Imp.]:[PERIODO Imp.]],CX$9)</f>
        <v>0</v>
      </c>
      <c r="CY796" s="693">
        <f>SUMIFS(Imput[[Importe Neto]:[Importe Neto]],Imput[[C. Imp.]:[C. Imp.]],$D796,Imput[[PERIODO Imp.]:[PERIODO Imp.]],CY$9)</f>
        <v>0</v>
      </c>
      <c r="CZ796" s="693">
        <f>SUMIFS(Imput[[Importe Neto]:[Importe Neto]],Imput[[C. Imp.]:[C. Imp.]],$D796,Imput[[PERIODO Imp.]:[PERIODO Imp.]],CZ$9)</f>
        <v>0</v>
      </c>
      <c r="DA796" s="693">
        <f>SUMIFS(Imput[[Importe Neto]:[Importe Neto]],Imput[[C. Imp.]:[C. Imp.]],$D796,Imput[[PERIODO Imp.]:[PERIODO Imp.]],DA$9)</f>
        <v>0</v>
      </c>
      <c r="DB796" s="693">
        <f>SUMIFS(Imput[[Importe Neto]:[Importe Neto]],Imput[[C. Imp.]:[C. Imp.]],$D796,Imput[[PERIODO Imp.]:[PERIODO Imp.]],DB$9)</f>
        <v>0</v>
      </c>
      <c r="DC796" s="693">
        <f>SUMIFS(Imput[[Importe Neto]:[Importe Neto]],Imput[[C. Imp.]:[C. Imp.]],$D796,Imput[[PERIODO Imp.]:[PERIODO Imp.]],DC$9)</f>
        <v>0</v>
      </c>
      <c r="DD796" s="693">
        <f>SUMIFS(Imput[[Importe Neto]:[Importe Neto]],Imput[[C. Imp.]:[C. Imp.]],$D796,Imput[[PERIODO Imp.]:[PERIODO Imp.]],DD$9)</f>
        <v>0</v>
      </c>
      <c r="DE796" s="693">
        <f>SUMIFS(Imput[[Importe Neto]:[Importe Neto]],Imput[[C. Imp.]:[C. Imp.]],$D796,Imput[[PERIODO Imp.]:[PERIODO Imp.]],DE$9)</f>
        <v>0</v>
      </c>
      <c r="DF796" s="693">
        <f>SUMIFS(Imput[[Importe Neto]:[Importe Neto]],Imput[[C. Imp.]:[C. Imp.]],$D796,Imput[[PERIODO Imp.]:[PERIODO Imp.]],DF$9)</f>
        <v>0</v>
      </c>
      <c r="DG796" s="693">
        <f>SUMIFS(Imput[[Importe Neto]:[Importe Neto]],Imput[[C. Imp.]:[C. Imp.]],$D796,Imput[[PERIODO Imp.]:[PERIODO Imp.]],DG$9)</f>
        <v>0</v>
      </c>
      <c r="DH796" s="694">
        <f>SUMIFS(Imput[[Importe Neto]:[Importe Neto]],Imput[[C. Imp.]:[C. Imp.]],$D796,Imput[[PERIODO Imp.]:[PERIODO Imp.]],DH$9)</f>
        <v>0</v>
      </c>
    </row>
    <row r="797" spans="1:112" s="649" customFormat="1" hidden="1" outlineLevel="1" x14ac:dyDescent="0.3">
      <c r="A797" s="652" t="str">
        <f t="shared" si="280"/>
        <v/>
      </c>
      <c r="B797" s="652"/>
      <c r="C797" s="685"/>
      <c r="D797" s="686" t="s">
        <v>2777</v>
      </c>
      <c r="E797" s="686"/>
      <c r="F797" s="720"/>
      <c r="G797" s="688"/>
      <c r="H797" s="689"/>
      <c r="I797" s="851" t="str">
        <f t="shared" si="281"/>
        <v/>
      </c>
      <c r="J797" s="850" t="str">
        <f t="shared" si="282"/>
        <v/>
      </c>
      <c r="K797" s="667"/>
      <c r="L797" s="858"/>
      <c r="M797" s="859"/>
      <c r="N797" s="859"/>
      <c r="O797" s="859"/>
      <c r="P797" s="859"/>
      <c r="Q797" s="859"/>
      <c r="R797" s="859"/>
      <c r="S797" s="859"/>
      <c r="T797" s="859"/>
      <c r="U797" s="859"/>
      <c r="V797" s="859"/>
      <c r="W797" s="859"/>
      <c r="X797" s="859"/>
      <c r="Y797" s="859"/>
      <c r="Z797" s="860"/>
      <c r="AA797" s="860"/>
      <c r="AB797" s="860"/>
      <c r="AC797" s="860"/>
      <c r="AD797" s="860"/>
      <c r="AE797" s="860"/>
      <c r="AF797" s="860"/>
      <c r="AG797" s="860"/>
      <c r="AH797" s="860"/>
      <c r="AI797" s="860"/>
      <c r="AJ797" s="860"/>
      <c r="AK797" s="860"/>
      <c r="AL797" s="860"/>
      <c r="AM797" s="860"/>
      <c r="AN797" s="860"/>
      <c r="AO797" s="860"/>
      <c r="AP797" s="860"/>
      <c r="AQ797" s="860"/>
      <c r="AR797" s="860"/>
      <c r="AS797" s="860"/>
      <c r="AT797" s="860"/>
      <c r="AU797" s="860"/>
      <c r="AV797" s="860"/>
      <c r="AW797" s="860"/>
      <c r="AX797" s="860"/>
      <c r="AY797" s="860"/>
      <c r="AZ797" s="860"/>
      <c r="BA797" s="860"/>
      <c r="BB797" s="860"/>
      <c r="BC797" s="860"/>
      <c r="BD797" s="860"/>
      <c r="BE797" s="860"/>
      <c r="BF797" s="860"/>
      <c r="BG797" s="860"/>
      <c r="BH797" s="668"/>
      <c r="BI797" s="667"/>
      <c r="BJ797" s="690">
        <f t="shared" si="283"/>
        <v>0</v>
      </c>
      <c r="BK797" s="691">
        <f t="shared" si="284"/>
        <v>0</v>
      </c>
      <c r="BL797" s="654"/>
      <c r="BM797" s="692">
        <f>SUMIFS(Imput[[Importe Neto]:[Importe Neto]],Imput[[C. Imp.]:[C. Imp.]],$D797,Imput[[PERIODO Imp.]:[PERIODO Imp.]],BM$9)</f>
        <v>0</v>
      </c>
      <c r="BN797" s="693">
        <f>SUMIFS(Imput[[Importe Neto]:[Importe Neto]],Imput[[C. Imp.]:[C. Imp.]],$D797,Imput[[PERIODO Imp.]:[PERIODO Imp.]],BN$9)</f>
        <v>0</v>
      </c>
      <c r="BO797" s="693">
        <f>SUMIFS(Imput[[Importe Neto]:[Importe Neto]],Imput[[C. Imp.]:[C. Imp.]],$D797,Imput[[PERIODO Imp.]:[PERIODO Imp.]],BO$9)</f>
        <v>0</v>
      </c>
      <c r="BP797" s="693">
        <f>SUMIFS(Imput[[Importe Neto]:[Importe Neto]],Imput[[C. Imp.]:[C. Imp.]],$D797,Imput[[PERIODO Imp.]:[PERIODO Imp.]],BP$9)</f>
        <v>0</v>
      </c>
      <c r="BQ797" s="693">
        <f>SUMIFS(Imput[[Importe Neto]:[Importe Neto]],Imput[[C. Imp.]:[C. Imp.]],$D797,Imput[[PERIODO Imp.]:[PERIODO Imp.]],BQ$9)</f>
        <v>0</v>
      </c>
      <c r="BR797" s="693">
        <f>SUMIFS(Imput[[Importe Neto]:[Importe Neto]],Imput[[C. Imp.]:[C. Imp.]],$D797,Imput[[PERIODO Imp.]:[PERIODO Imp.]],BR$9)</f>
        <v>0</v>
      </c>
      <c r="BS797" s="693">
        <f>SUMIFS(Imput[[Importe Neto]:[Importe Neto]],Imput[[C. Imp.]:[C. Imp.]],$D797,Imput[[PERIODO Imp.]:[PERIODO Imp.]],BS$9)</f>
        <v>0</v>
      </c>
      <c r="BT797" s="693">
        <f>SUMIFS(Imput[[Importe Neto]:[Importe Neto]],Imput[[C. Imp.]:[C. Imp.]],$D797,Imput[[PERIODO Imp.]:[PERIODO Imp.]],BT$9)</f>
        <v>0</v>
      </c>
      <c r="BU797" s="693">
        <f>SUMIFS(Imput[[Importe Neto]:[Importe Neto]],Imput[[C. Imp.]:[C. Imp.]],$D797,Imput[[PERIODO Imp.]:[PERIODO Imp.]],BU$9)</f>
        <v>0</v>
      </c>
      <c r="BV797" s="693">
        <f>SUMIFS(Imput[[Importe Neto]:[Importe Neto]],Imput[[C. Imp.]:[C. Imp.]],$D797,Imput[[PERIODO Imp.]:[PERIODO Imp.]],BV$9)</f>
        <v>0</v>
      </c>
      <c r="BW797" s="693">
        <f>SUMIFS(Imput[[Importe Neto]:[Importe Neto]],Imput[[C. Imp.]:[C. Imp.]],$D797,Imput[[PERIODO Imp.]:[PERIODO Imp.]],BW$9)</f>
        <v>0</v>
      </c>
      <c r="BX797" s="693">
        <f>SUMIFS(Imput[[Importe Neto]:[Importe Neto]],Imput[[C. Imp.]:[C. Imp.]],$D797,Imput[[PERIODO Imp.]:[PERIODO Imp.]],BX$9)</f>
        <v>0</v>
      </c>
      <c r="BY797" s="693">
        <f>SUMIFS(Imput[[Importe Neto]:[Importe Neto]],Imput[[C. Imp.]:[C. Imp.]],$D797,Imput[[PERIODO Imp.]:[PERIODO Imp.]],BY$9)</f>
        <v>0</v>
      </c>
      <c r="BZ797" s="693">
        <f>SUMIFS(Imput[[Importe Neto]:[Importe Neto]],Imput[[C. Imp.]:[C. Imp.]],$D797,Imput[[PERIODO Imp.]:[PERIODO Imp.]],BZ$9)</f>
        <v>0</v>
      </c>
      <c r="CA797" s="693">
        <f>SUMIFS(Imput[[Importe Neto]:[Importe Neto]],Imput[[C. Imp.]:[C. Imp.]],$D797,Imput[[PERIODO Imp.]:[PERIODO Imp.]],CA$9)</f>
        <v>0</v>
      </c>
      <c r="CB797" s="693">
        <f>SUMIFS(Imput[[Importe Neto]:[Importe Neto]],Imput[[C. Imp.]:[C. Imp.]],$D797,Imput[[PERIODO Imp.]:[PERIODO Imp.]],CB$9)</f>
        <v>0</v>
      </c>
      <c r="CC797" s="693">
        <f>SUMIFS(Imput[[Importe Neto]:[Importe Neto]],Imput[[C. Imp.]:[C. Imp.]],$D797,Imput[[PERIODO Imp.]:[PERIODO Imp.]],CC$9)</f>
        <v>0</v>
      </c>
      <c r="CD797" s="693">
        <f>SUMIFS(Imput[[Importe Neto]:[Importe Neto]],Imput[[C. Imp.]:[C. Imp.]],$D797,Imput[[PERIODO Imp.]:[PERIODO Imp.]],CD$9)</f>
        <v>0</v>
      </c>
      <c r="CE797" s="693">
        <f>SUMIFS(Imput[[Importe Neto]:[Importe Neto]],Imput[[C. Imp.]:[C. Imp.]],$D797,Imput[[PERIODO Imp.]:[PERIODO Imp.]],CE$9)</f>
        <v>0</v>
      </c>
      <c r="CF797" s="693">
        <f>SUMIFS(Imput[[Importe Neto]:[Importe Neto]],Imput[[C. Imp.]:[C. Imp.]],$D797,Imput[[PERIODO Imp.]:[PERIODO Imp.]],CF$9)</f>
        <v>0</v>
      </c>
      <c r="CG797" s="693">
        <f>SUMIFS(Imput[[Importe Neto]:[Importe Neto]],Imput[[C. Imp.]:[C. Imp.]],$D797,Imput[[PERIODO Imp.]:[PERIODO Imp.]],CG$9)</f>
        <v>0</v>
      </c>
      <c r="CH797" s="693">
        <f>SUMIFS(Imput[[Importe Neto]:[Importe Neto]],Imput[[C. Imp.]:[C. Imp.]],$D797,Imput[[PERIODO Imp.]:[PERIODO Imp.]],CH$9)</f>
        <v>0</v>
      </c>
      <c r="CI797" s="693">
        <f>SUMIFS(Imput[[Importe Neto]:[Importe Neto]],Imput[[C. Imp.]:[C. Imp.]],$D797,Imput[[PERIODO Imp.]:[PERIODO Imp.]],CI$9)</f>
        <v>0</v>
      </c>
      <c r="CJ797" s="693">
        <f>SUMIFS(Imput[[Importe Neto]:[Importe Neto]],Imput[[C. Imp.]:[C. Imp.]],$D797,Imput[[PERIODO Imp.]:[PERIODO Imp.]],CJ$9)</f>
        <v>0</v>
      </c>
      <c r="CK797" s="693">
        <f>SUMIFS(Imput[[Importe Neto]:[Importe Neto]],Imput[[C. Imp.]:[C. Imp.]],$D797,Imput[[PERIODO Imp.]:[PERIODO Imp.]],CK$9)</f>
        <v>0</v>
      </c>
      <c r="CL797" s="693">
        <f>SUMIFS(Imput[[Importe Neto]:[Importe Neto]],Imput[[C. Imp.]:[C. Imp.]],$D797,Imput[[PERIODO Imp.]:[PERIODO Imp.]],CL$9)</f>
        <v>0</v>
      </c>
      <c r="CM797" s="693">
        <f>SUMIFS(Imput[[Importe Neto]:[Importe Neto]],Imput[[C. Imp.]:[C. Imp.]],$D797,Imput[[PERIODO Imp.]:[PERIODO Imp.]],CM$9)</f>
        <v>0</v>
      </c>
      <c r="CN797" s="693">
        <f>SUMIFS(Imput[[Importe Neto]:[Importe Neto]],Imput[[C. Imp.]:[C. Imp.]],$D797,Imput[[PERIODO Imp.]:[PERIODO Imp.]],CN$9)</f>
        <v>0</v>
      </c>
      <c r="CO797" s="693">
        <f>SUMIFS(Imput[[Importe Neto]:[Importe Neto]],Imput[[C. Imp.]:[C. Imp.]],$D797,Imput[[PERIODO Imp.]:[PERIODO Imp.]],CO$9)</f>
        <v>0</v>
      </c>
      <c r="CP797" s="693">
        <f>SUMIFS(Imput[[Importe Neto]:[Importe Neto]],Imput[[C. Imp.]:[C. Imp.]],$D797,Imput[[PERIODO Imp.]:[PERIODO Imp.]],CP$9)</f>
        <v>0</v>
      </c>
      <c r="CQ797" s="693">
        <f>SUMIFS(Imput[[Importe Neto]:[Importe Neto]],Imput[[C. Imp.]:[C. Imp.]],$D797,Imput[[PERIODO Imp.]:[PERIODO Imp.]],CQ$9)</f>
        <v>0</v>
      </c>
      <c r="CR797" s="693">
        <f>SUMIFS(Imput[[Importe Neto]:[Importe Neto]],Imput[[C. Imp.]:[C. Imp.]],$D797,Imput[[PERIODO Imp.]:[PERIODO Imp.]],CR$9)</f>
        <v>0</v>
      </c>
      <c r="CS797" s="693">
        <f>SUMIFS(Imput[[Importe Neto]:[Importe Neto]],Imput[[C. Imp.]:[C. Imp.]],$D797,Imput[[PERIODO Imp.]:[PERIODO Imp.]],CS$9)</f>
        <v>0</v>
      </c>
      <c r="CT797" s="693">
        <f>SUMIFS(Imput[[Importe Neto]:[Importe Neto]],Imput[[C. Imp.]:[C. Imp.]],$D797,Imput[[PERIODO Imp.]:[PERIODO Imp.]],CT$9)</f>
        <v>0</v>
      </c>
      <c r="CU797" s="693">
        <f>SUMIFS(Imput[[Importe Neto]:[Importe Neto]],Imput[[C. Imp.]:[C. Imp.]],$D797,Imput[[PERIODO Imp.]:[PERIODO Imp.]],CU$9)</f>
        <v>0</v>
      </c>
      <c r="CV797" s="693">
        <f>SUMIFS(Imput[[Importe Neto]:[Importe Neto]],Imput[[C. Imp.]:[C. Imp.]],$D797,Imput[[PERIODO Imp.]:[PERIODO Imp.]],CV$9)</f>
        <v>0</v>
      </c>
      <c r="CW797" s="693">
        <f>SUMIFS(Imput[[Importe Neto]:[Importe Neto]],Imput[[C. Imp.]:[C. Imp.]],$D797,Imput[[PERIODO Imp.]:[PERIODO Imp.]],CW$9)</f>
        <v>0</v>
      </c>
      <c r="CX797" s="693">
        <f>SUMIFS(Imput[[Importe Neto]:[Importe Neto]],Imput[[C. Imp.]:[C. Imp.]],$D797,Imput[[PERIODO Imp.]:[PERIODO Imp.]],CX$9)</f>
        <v>0</v>
      </c>
      <c r="CY797" s="693">
        <f>SUMIFS(Imput[[Importe Neto]:[Importe Neto]],Imput[[C. Imp.]:[C. Imp.]],$D797,Imput[[PERIODO Imp.]:[PERIODO Imp.]],CY$9)</f>
        <v>0</v>
      </c>
      <c r="CZ797" s="693">
        <f>SUMIFS(Imput[[Importe Neto]:[Importe Neto]],Imput[[C. Imp.]:[C. Imp.]],$D797,Imput[[PERIODO Imp.]:[PERIODO Imp.]],CZ$9)</f>
        <v>0</v>
      </c>
      <c r="DA797" s="693">
        <f>SUMIFS(Imput[[Importe Neto]:[Importe Neto]],Imput[[C. Imp.]:[C. Imp.]],$D797,Imput[[PERIODO Imp.]:[PERIODO Imp.]],DA$9)</f>
        <v>0</v>
      </c>
      <c r="DB797" s="693">
        <f>SUMIFS(Imput[[Importe Neto]:[Importe Neto]],Imput[[C. Imp.]:[C. Imp.]],$D797,Imput[[PERIODO Imp.]:[PERIODO Imp.]],DB$9)</f>
        <v>0</v>
      </c>
      <c r="DC797" s="693">
        <f>SUMIFS(Imput[[Importe Neto]:[Importe Neto]],Imput[[C. Imp.]:[C. Imp.]],$D797,Imput[[PERIODO Imp.]:[PERIODO Imp.]],DC$9)</f>
        <v>0</v>
      </c>
      <c r="DD797" s="693">
        <f>SUMIFS(Imput[[Importe Neto]:[Importe Neto]],Imput[[C. Imp.]:[C. Imp.]],$D797,Imput[[PERIODO Imp.]:[PERIODO Imp.]],DD$9)</f>
        <v>0</v>
      </c>
      <c r="DE797" s="693">
        <f>SUMIFS(Imput[[Importe Neto]:[Importe Neto]],Imput[[C. Imp.]:[C. Imp.]],$D797,Imput[[PERIODO Imp.]:[PERIODO Imp.]],DE$9)</f>
        <v>0</v>
      </c>
      <c r="DF797" s="693">
        <f>SUMIFS(Imput[[Importe Neto]:[Importe Neto]],Imput[[C. Imp.]:[C. Imp.]],$D797,Imput[[PERIODO Imp.]:[PERIODO Imp.]],DF$9)</f>
        <v>0</v>
      </c>
      <c r="DG797" s="693">
        <f>SUMIFS(Imput[[Importe Neto]:[Importe Neto]],Imput[[C. Imp.]:[C. Imp.]],$D797,Imput[[PERIODO Imp.]:[PERIODO Imp.]],DG$9)</f>
        <v>0</v>
      </c>
      <c r="DH797" s="694">
        <f>SUMIFS(Imput[[Importe Neto]:[Importe Neto]],Imput[[C. Imp.]:[C. Imp.]],$D797,Imput[[PERIODO Imp.]:[PERIODO Imp.]],DH$9)</f>
        <v>0</v>
      </c>
    </row>
    <row r="798" spans="1:112" s="649" customFormat="1" hidden="1" outlineLevel="1" x14ac:dyDescent="0.3">
      <c r="A798" s="652" t="str">
        <f t="shared" si="280"/>
        <v/>
      </c>
      <c r="B798" s="652"/>
      <c r="C798" s="685"/>
      <c r="D798" s="686" t="s">
        <v>2778</v>
      </c>
      <c r="E798" s="686"/>
      <c r="F798" s="720"/>
      <c r="G798" s="688"/>
      <c r="H798" s="689"/>
      <c r="I798" s="851" t="str">
        <f t="shared" si="281"/>
        <v/>
      </c>
      <c r="J798" s="850" t="str">
        <f t="shared" si="282"/>
        <v/>
      </c>
      <c r="K798" s="667"/>
      <c r="L798" s="858"/>
      <c r="M798" s="859"/>
      <c r="N798" s="859"/>
      <c r="O798" s="859"/>
      <c r="P798" s="859"/>
      <c r="Q798" s="859"/>
      <c r="R798" s="859"/>
      <c r="S798" s="859"/>
      <c r="T798" s="859"/>
      <c r="U798" s="859"/>
      <c r="V798" s="859"/>
      <c r="W798" s="859"/>
      <c r="X798" s="859"/>
      <c r="Y798" s="859"/>
      <c r="Z798" s="860"/>
      <c r="AA798" s="860"/>
      <c r="AB798" s="860"/>
      <c r="AC798" s="860"/>
      <c r="AD798" s="860"/>
      <c r="AE798" s="860"/>
      <c r="AF798" s="860"/>
      <c r="AG798" s="860"/>
      <c r="AH798" s="860"/>
      <c r="AI798" s="860"/>
      <c r="AJ798" s="860"/>
      <c r="AK798" s="860"/>
      <c r="AL798" s="860"/>
      <c r="AM798" s="860"/>
      <c r="AN798" s="860"/>
      <c r="AO798" s="860"/>
      <c r="AP798" s="860"/>
      <c r="AQ798" s="860"/>
      <c r="AR798" s="860"/>
      <c r="AS798" s="860"/>
      <c r="AT798" s="860"/>
      <c r="AU798" s="860"/>
      <c r="AV798" s="860"/>
      <c r="AW798" s="860"/>
      <c r="AX798" s="860"/>
      <c r="AY798" s="860"/>
      <c r="AZ798" s="860"/>
      <c r="BA798" s="860"/>
      <c r="BB798" s="860"/>
      <c r="BC798" s="860"/>
      <c r="BD798" s="860"/>
      <c r="BE798" s="860"/>
      <c r="BF798" s="860"/>
      <c r="BG798" s="860"/>
      <c r="BH798" s="668"/>
      <c r="BI798" s="667"/>
      <c r="BJ798" s="690">
        <f t="shared" si="283"/>
        <v>0</v>
      </c>
      <c r="BK798" s="691">
        <f t="shared" si="284"/>
        <v>0</v>
      </c>
      <c r="BL798" s="654"/>
      <c r="BM798" s="692">
        <f>SUMIFS(Imput[[Importe Neto]:[Importe Neto]],Imput[[C. Imp.]:[C. Imp.]],$D798,Imput[[PERIODO Imp.]:[PERIODO Imp.]],BM$9)</f>
        <v>0</v>
      </c>
      <c r="BN798" s="693">
        <f>SUMIFS(Imput[[Importe Neto]:[Importe Neto]],Imput[[C. Imp.]:[C. Imp.]],$D798,Imput[[PERIODO Imp.]:[PERIODO Imp.]],BN$9)</f>
        <v>0</v>
      </c>
      <c r="BO798" s="693">
        <f>SUMIFS(Imput[[Importe Neto]:[Importe Neto]],Imput[[C. Imp.]:[C. Imp.]],$D798,Imput[[PERIODO Imp.]:[PERIODO Imp.]],BO$9)</f>
        <v>0</v>
      </c>
      <c r="BP798" s="693">
        <f>SUMIFS(Imput[[Importe Neto]:[Importe Neto]],Imput[[C. Imp.]:[C. Imp.]],$D798,Imput[[PERIODO Imp.]:[PERIODO Imp.]],BP$9)</f>
        <v>0</v>
      </c>
      <c r="BQ798" s="693">
        <f>SUMIFS(Imput[[Importe Neto]:[Importe Neto]],Imput[[C. Imp.]:[C. Imp.]],$D798,Imput[[PERIODO Imp.]:[PERIODO Imp.]],BQ$9)</f>
        <v>0</v>
      </c>
      <c r="BR798" s="693">
        <f>SUMIFS(Imput[[Importe Neto]:[Importe Neto]],Imput[[C. Imp.]:[C. Imp.]],$D798,Imput[[PERIODO Imp.]:[PERIODO Imp.]],BR$9)</f>
        <v>0</v>
      </c>
      <c r="BS798" s="693">
        <f>SUMIFS(Imput[[Importe Neto]:[Importe Neto]],Imput[[C. Imp.]:[C. Imp.]],$D798,Imput[[PERIODO Imp.]:[PERIODO Imp.]],BS$9)</f>
        <v>0</v>
      </c>
      <c r="BT798" s="693">
        <f>SUMIFS(Imput[[Importe Neto]:[Importe Neto]],Imput[[C. Imp.]:[C. Imp.]],$D798,Imput[[PERIODO Imp.]:[PERIODO Imp.]],BT$9)</f>
        <v>0</v>
      </c>
      <c r="BU798" s="693">
        <f>SUMIFS(Imput[[Importe Neto]:[Importe Neto]],Imput[[C. Imp.]:[C. Imp.]],$D798,Imput[[PERIODO Imp.]:[PERIODO Imp.]],BU$9)</f>
        <v>0</v>
      </c>
      <c r="BV798" s="693">
        <f>SUMIFS(Imput[[Importe Neto]:[Importe Neto]],Imput[[C. Imp.]:[C. Imp.]],$D798,Imput[[PERIODO Imp.]:[PERIODO Imp.]],BV$9)</f>
        <v>0</v>
      </c>
      <c r="BW798" s="693">
        <f>SUMIFS(Imput[[Importe Neto]:[Importe Neto]],Imput[[C. Imp.]:[C. Imp.]],$D798,Imput[[PERIODO Imp.]:[PERIODO Imp.]],BW$9)</f>
        <v>0</v>
      </c>
      <c r="BX798" s="693">
        <f>SUMIFS(Imput[[Importe Neto]:[Importe Neto]],Imput[[C. Imp.]:[C. Imp.]],$D798,Imput[[PERIODO Imp.]:[PERIODO Imp.]],BX$9)</f>
        <v>0</v>
      </c>
      <c r="BY798" s="693">
        <f>SUMIFS(Imput[[Importe Neto]:[Importe Neto]],Imput[[C. Imp.]:[C. Imp.]],$D798,Imput[[PERIODO Imp.]:[PERIODO Imp.]],BY$9)</f>
        <v>0</v>
      </c>
      <c r="BZ798" s="693">
        <f>SUMIFS(Imput[[Importe Neto]:[Importe Neto]],Imput[[C. Imp.]:[C. Imp.]],$D798,Imput[[PERIODO Imp.]:[PERIODO Imp.]],BZ$9)</f>
        <v>0</v>
      </c>
      <c r="CA798" s="693">
        <f>SUMIFS(Imput[[Importe Neto]:[Importe Neto]],Imput[[C. Imp.]:[C. Imp.]],$D798,Imput[[PERIODO Imp.]:[PERIODO Imp.]],CA$9)</f>
        <v>0</v>
      </c>
      <c r="CB798" s="693">
        <f>SUMIFS(Imput[[Importe Neto]:[Importe Neto]],Imput[[C. Imp.]:[C. Imp.]],$D798,Imput[[PERIODO Imp.]:[PERIODO Imp.]],CB$9)</f>
        <v>0</v>
      </c>
      <c r="CC798" s="693">
        <f>SUMIFS(Imput[[Importe Neto]:[Importe Neto]],Imput[[C. Imp.]:[C. Imp.]],$D798,Imput[[PERIODO Imp.]:[PERIODO Imp.]],CC$9)</f>
        <v>0</v>
      </c>
      <c r="CD798" s="693">
        <f>SUMIFS(Imput[[Importe Neto]:[Importe Neto]],Imput[[C. Imp.]:[C. Imp.]],$D798,Imput[[PERIODO Imp.]:[PERIODO Imp.]],CD$9)</f>
        <v>0</v>
      </c>
      <c r="CE798" s="693">
        <f>SUMIFS(Imput[[Importe Neto]:[Importe Neto]],Imput[[C. Imp.]:[C. Imp.]],$D798,Imput[[PERIODO Imp.]:[PERIODO Imp.]],CE$9)</f>
        <v>0</v>
      </c>
      <c r="CF798" s="693">
        <f>SUMIFS(Imput[[Importe Neto]:[Importe Neto]],Imput[[C. Imp.]:[C. Imp.]],$D798,Imput[[PERIODO Imp.]:[PERIODO Imp.]],CF$9)</f>
        <v>0</v>
      </c>
      <c r="CG798" s="693">
        <f>SUMIFS(Imput[[Importe Neto]:[Importe Neto]],Imput[[C. Imp.]:[C. Imp.]],$D798,Imput[[PERIODO Imp.]:[PERIODO Imp.]],CG$9)</f>
        <v>0</v>
      </c>
      <c r="CH798" s="693">
        <f>SUMIFS(Imput[[Importe Neto]:[Importe Neto]],Imput[[C. Imp.]:[C. Imp.]],$D798,Imput[[PERIODO Imp.]:[PERIODO Imp.]],CH$9)</f>
        <v>0</v>
      </c>
      <c r="CI798" s="693">
        <f>SUMIFS(Imput[[Importe Neto]:[Importe Neto]],Imput[[C. Imp.]:[C. Imp.]],$D798,Imput[[PERIODO Imp.]:[PERIODO Imp.]],CI$9)</f>
        <v>0</v>
      </c>
      <c r="CJ798" s="693">
        <f>SUMIFS(Imput[[Importe Neto]:[Importe Neto]],Imput[[C. Imp.]:[C. Imp.]],$D798,Imput[[PERIODO Imp.]:[PERIODO Imp.]],CJ$9)</f>
        <v>0</v>
      </c>
      <c r="CK798" s="693">
        <f>SUMIFS(Imput[[Importe Neto]:[Importe Neto]],Imput[[C. Imp.]:[C. Imp.]],$D798,Imput[[PERIODO Imp.]:[PERIODO Imp.]],CK$9)</f>
        <v>0</v>
      </c>
      <c r="CL798" s="693">
        <f>SUMIFS(Imput[[Importe Neto]:[Importe Neto]],Imput[[C. Imp.]:[C. Imp.]],$D798,Imput[[PERIODO Imp.]:[PERIODO Imp.]],CL$9)</f>
        <v>0</v>
      </c>
      <c r="CM798" s="693">
        <f>SUMIFS(Imput[[Importe Neto]:[Importe Neto]],Imput[[C. Imp.]:[C. Imp.]],$D798,Imput[[PERIODO Imp.]:[PERIODO Imp.]],CM$9)</f>
        <v>0</v>
      </c>
      <c r="CN798" s="693">
        <f>SUMIFS(Imput[[Importe Neto]:[Importe Neto]],Imput[[C. Imp.]:[C. Imp.]],$D798,Imput[[PERIODO Imp.]:[PERIODO Imp.]],CN$9)</f>
        <v>0</v>
      </c>
      <c r="CO798" s="693">
        <f>SUMIFS(Imput[[Importe Neto]:[Importe Neto]],Imput[[C. Imp.]:[C. Imp.]],$D798,Imput[[PERIODO Imp.]:[PERIODO Imp.]],CO$9)</f>
        <v>0</v>
      </c>
      <c r="CP798" s="693">
        <f>SUMIFS(Imput[[Importe Neto]:[Importe Neto]],Imput[[C. Imp.]:[C. Imp.]],$D798,Imput[[PERIODO Imp.]:[PERIODO Imp.]],CP$9)</f>
        <v>0</v>
      </c>
      <c r="CQ798" s="693">
        <f>SUMIFS(Imput[[Importe Neto]:[Importe Neto]],Imput[[C. Imp.]:[C. Imp.]],$D798,Imput[[PERIODO Imp.]:[PERIODO Imp.]],CQ$9)</f>
        <v>0</v>
      </c>
      <c r="CR798" s="693">
        <f>SUMIFS(Imput[[Importe Neto]:[Importe Neto]],Imput[[C. Imp.]:[C. Imp.]],$D798,Imput[[PERIODO Imp.]:[PERIODO Imp.]],CR$9)</f>
        <v>0</v>
      </c>
      <c r="CS798" s="693">
        <f>SUMIFS(Imput[[Importe Neto]:[Importe Neto]],Imput[[C. Imp.]:[C. Imp.]],$D798,Imput[[PERIODO Imp.]:[PERIODO Imp.]],CS$9)</f>
        <v>0</v>
      </c>
      <c r="CT798" s="693">
        <f>SUMIFS(Imput[[Importe Neto]:[Importe Neto]],Imput[[C. Imp.]:[C. Imp.]],$D798,Imput[[PERIODO Imp.]:[PERIODO Imp.]],CT$9)</f>
        <v>0</v>
      </c>
      <c r="CU798" s="693">
        <f>SUMIFS(Imput[[Importe Neto]:[Importe Neto]],Imput[[C. Imp.]:[C. Imp.]],$D798,Imput[[PERIODO Imp.]:[PERIODO Imp.]],CU$9)</f>
        <v>0</v>
      </c>
      <c r="CV798" s="693">
        <f>SUMIFS(Imput[[Importe Neto]:[Importe Neto]],Imput[[C. Imp.]:[C. Imp.]],$D798,Imput[[PERIODO Imp.]:[PERIODO Imp.]],CV$9)</f>
        <v>0</v>
      </c>
      <c r="CW798" s="693">
        <f>SUMIFS(Imput[[Importe Neto]:[Importe Neto]],Imput[[C. Imp.]:[C. Imp.]],$D798,Imput[[PERIODO Imp.]:[PERIODO Imp.]],CW$9)</f>
        <v>0</v>
      </c>
      <c r="CX798" s="693">
        <f>SUMIFS(Imput[[Importe Neto]:[Importe Neto]],Imput[[C. Imp.]:[C. Imp.]],$D798,Imput[[PERIODO Imp.]:[PERIODO Imp.]],CX$9)</f>
        <v>0</v>
      </c>
      <c r="CY798" s="693">
        <f>SUMIFS(Imput[[Importe Neto]:[Importe Neto]],Imput[[C. Imp.]:[C. Imp.]],$D798,Imput[[PERIODO Imp.]:[PERIODO Imp.]],CY$9)</f>
        <v>0</v>
      </c>
      <c r="CZ798" s="693">
        <f>SUMIFS(Imput[[Importe Neto]:[Importe Neto]],Imput[[C. Imp.]:[C. Imp.]],$D798,Imput[[PERIODO Imp.]:[PERIODO Imp.]],CZ$9)</f>
        <v>0</v>
      </c>
      <c r="DA798" s="693">
        <f>SUMIFS(Imput[[Importe Neto]:[Importe Neto]],Imput[[C. Imp.]:[C. Imp.]],$D798,Imput[[PERIODO Imp.]:[PERIODO Imp.]],DA$9)</f>
        <v>0</v>
      </c>
      <c r="DB798" s="693">
        <f>SUMIFS(Imput[[Importe Neto]:[Importe Neto]],Imput[[C. Imp.]:[C. Imp.]],$D798,Imput[[PERIODO Imp.]:[PERIODO Imp.]],DB$9)</f>
        <v>0</v>
      </c>
      <c r="DC798" s="693">
        <f>SUMIFS(Imput[[Importe Neto]:[Importe Neto]],Imput[[C. Imp.]:[C. Imp.]],$D798,Imput[[PERIODO Imp.]:[PERIODO Imp.]],DC$9)</f>
        <v>0</v>
      </c>
      <c r="DD798" s="693">
        <f>SUMIFS(Imput[[Importe Neto]:[Importe Neto]],Imput[[C. Imp.]:[C. Imp.]],$D798,Imput[[PERIODO Imp.]:[PERIODO Imp.]],DD$9)</f>
        <v>0</v>
      </c>
      <c r="DE798" s="693">
        <f>SUMIFS(Imput[[Importe Neto]:[Importe Neto]],Imput[[C. Imp.]:[C. Imp.]],$D798,Imput[[PERIODO Imp.]:[PERIODO Imp.]],DE$9)</f>
        <v>0</v>
      </c>
      <c r="DF798" s="693">
        <f>SUMIFS(Imput[[Importe Neto]:[Importe Neto]],Imput[[C. Imp.]:[C. Imp.]],$D798,Imput[[PERIODO Imp.]:[PERIODO Imp.]],DF$9)</f>
        <v>0</v>
      </c>
      <c r="DG798" s="693">
        <f>SUMIFS(Imput[[Importe Neto]:[Importe Neto]],Imput[[C. Imp.]:[C. Imp.]],$D798,Imput[[PERIODO Imp.]:[PERIODO Imp.]],DG$9)</f>
        <v>0</v>
      </c>
      <c r="DH798" s="694">
        <f>SUMIFS(Imput[[Importe Neto]:[Importe Neto]],Imput[[C. Imp.]:[C. Imp.]],$D798,Imput[[PERIODO Imp.]:[PERIODO Imp.]],DH$9)</f>
        <v>0</v>
      </c>
    </row>
    <row r="799" spans="1:112" s="649" customFormat="1" hidden="1" outlineLevel="1" x14ac:dyDescent="0.3">
      <c r="A799" s="652" t="str">
        <f t="shared" si="280"/>
        <v/>
      </c>
      <c r="B799" s="652"/>
      <c r="C799" s="685"/>
      <c r="D799" s="686" t="s">
        <v>2779</v>
      </c>
      <c r="E799" s="686"/>
      <c r="F799" s="720"/>
      <c r="G799" s="688"/>
      <c r="H799" s="689"/>
      <c r="I799" s="851" t="str">
        <f t="shared" si="281"/>
        <v/>
      </c>
      <c r="J799" s="850" t="str">
        <f t="shared" si="282"/>
        <v/>
      </c>
      <c r="K799" s="667"/>
      <c r="L799" s="858"/>
      <c r="M799" s="859"/>
      <c r="N799" s="859"/>
      <c r="O799" s="859"/>
      <c r="P799" s="859"/>
      <c r="Q799" s="859"/>
      <c r="R799" s="859"/>
      <c r="S799" s="859"/>
      <c r="T799" s="859"/>
      <c r="U799" s="859"/>
      <c r="V799" s="859"/>
      <c r="W799" s="859"/>
      <c r="X799" s="859"/>
      <c r="Y799" s="859"/>
      <c r="Z799" s="860"/>
      <c r="AA799" s="860"/>
      <c r="AB799" s="860"/>
      <c r="AC799" s="860"/>
      <c r="AD799" s="860"/>
      <c r="AE799" s="860"/>
      <c r="AF799" s="860"/>
      <c r="AG799" s="860"/>
      <c r="AH799" s="860"/>
      <c r="AI799" s="860"/>
      <c r="AJ799" s="860"/>
      <c r="AK799" s="860"/>
      <c r="AL799" s="860"/>
      <c r="AM799" s="860"/>
      <c r="AN799" s="860"/>
      <c r="AO799" s="860"/>
      <c r="AP799" s="860"/>
      <c r="AQ799" s="860"/>
      <c r="AR799" s="860"/>
      <c r="AS799" s="860"/>
      <c r="AT799" s="860"/>
      <c r="AU799" s="860"/>
      <c r="AV799" s="860"/>
      <c r="AW799" s="860"/>
      <c r="AX799" s="860"/>
      <c r="AY799" s="860"/>
      <c r="AZ799" s="860"/>
      <c r="BA799" s="860"/>
      <c r="BB799" s="860"/>
      <c r="BC799" s="860"/>
      <c r="BD799" s="860"/>
      <c r="BE799" s="860"/>
      <c r="BF799" s="860"/>
      <c r="BG799" s="860"/>
      <c r="BH799" s="668"/>
      <c r="BI799" s="667"/>
      <c r="BJ799" s="690">
        <f t="shared" si="283"/>
        <v>0</v>
      </c>
      <c r="BK799" s="691">
        <f t="shared" si="284"/>
        <v>0</v>
      </c>
      <c r="BL799" s="654"/>
      <c r="BM799" s="692">
        <f>SUMIFS(Imput[[Importe Neto]:[Importe Neto]],Imput[[C. Imp.]:[C. Imp.]],$D799,Imput[[PERIODO Imp.]:[PERIODO Imp.]],BM$9)</f>
        <v>0</v>
      </c>
      <c r="BN799" s="693">
        <f>SUMIFS(Imput[[Importe Neto]:[Importe Neto]],Imput[[C. Imp.]:[C. Imp.]],$D799,Imput[[PERIODO Imp.]:[PERIODO Imp.]],BN$9)</f>
        <v>0</v>
      </c>
      <c r="BO799" s="693">
        <f>SUMIFS(Imput[[Importe Neto]:[Importe Neto]],Imput[[C. Imp.]:[C. Imp.]],$D799,Imput[[PERIODO Imp.]:[PERIODO Imp.]],BO$9)</f>
        <v>0</v>
      </c>
      <c r="BP799" s="693">
        <f>SUMIFS(Imput[[Importe Neto]:[Importe Neto]],Imput[[C. Imp.]:[C. Imp.]],$D799,Imput[[PERIODO Imp.]:[PERIODO Imp.]],BP$9)</f>
        <v>0</v>
      </c>
      <c r="BQ799" s="693">
        <f>SUMIFS(Imput[[Importe Neto]:[Importe Neto]],Imput[[C. Imp.]:[C. Imp.]],$D799,Imput[[PERIODO Imp.]:[PERIODO Imp.]],BQ$9)</f>
        <v>0</v>
      </c>
      <c r="BR799" s="693">
        <f>SUMIFS(Imput[[Importe Neto]:[Importe Neto]],Imput[[C. Imp.]:[C. Imp.]],$D799,Imput[[PERIODO Imp.]:[PERIODO Imp.]],BR$9)</f>
        <v>0</v>
      </c>
      <c r="BS799" s="693">
        <f>SUMIFS(Imput[[Importe Neto]:[Importe Neto]],Imput[[C. Imp.]:[C. Imp.]],$D799,Imput[[PERIODO Imp.]:[PERIODO Imp.]],BS$9)</f>
        <v>0</v>
      </c>
      <c r="BT799" s="693">
        <f>SUMIFS(Imput[[Importe Neto]:[Importe Neto]],Imput[[C. Imp.]:[C. Imp.]],$D799,Imput[[PERIODO Imp.]:[PERIODO Imp.]],BT$9)</f>
        <v>0</v>
      </c>
      <c r="BU799" s="693">
        <f>SUMIFS(Imput[[Importe Neto]:[Importe Neto]],Imput[[C. Imp.]:[C. Imp.]],$D799,Imput[[PERIODO Imp.]:[PERIODO Imp.]],BU$9)</f>
        <v>0</v>
      </c>
      <c r="BV799" s="693">
        <f>SUMIFS(Imput[[Importe Neto]:[Importe Neto]],Imput[[C. Imp.]:[C. Imp.]],$D799,Imput[[PERIODO Imp.]:[PERIODO Imp.]],BV$9)</f>
        <v>0</v>
      </c>
      <c r="BW799" s="693">
        <f>SUMIFS(Imput[[Importe Neto]:[Importe Neto]],Imput[[C. Imp.]:[C. Imp.]],$D799,Imput[[PERIODO Imp.]:[PERIODO Imp.]],BW$9)</f>
        <v>0</v>
      </c>
      <c r="BX799" s="693">
        <f>SUMIFS(Imput[[Importe Neto]:[Importe Neto]],Imput[[C. Imp.]:[C. Imp.]],$D799,Imput[[PERIODO Imp.]:[PERIODO Imp.]],BX$9)</f>
        <v>0</v>
      </c>
      <c r="BY799" s="693">
        <f>SUMIFS(Imput[[Importe Neto]:[Importe Neto]],Imput[[C. Imp.]:[C. Imp.]],$D799,Imput[[PERIODO Imp.]:[PERIODO Imp.]],BY$9)</f>
        <v>0</v>
      </c>
      <c r="BZ799" s="693">
        <f>SUMIFS(Imput[[Importe Neto]:[Importe Neto]],Imput[[C. Imp.]:[C. Imp.]],$D799,Imput[[PERIODO Imp.]:[PERIODO Imp.]],BZ$9)</f>
        <v>0</v>
      </c>
      <c r="CA799" s="693">
        <f>SUMIFS(Imput[[Importe Neto]:[Importe Neto]],Imput[[C. Imp.]:[C. Imp.]],$D799,Imput[[PERIODO Imp.]:[PERIODO Imp.]],CA$9)</f>
        <v>0</v>
      </c>
      <c r="CB799" s="693">
        <f>SUMIFS(Imput[[Importe Neto]:[Importe Neto]],Imput[[C. Imp.]:[C. Imp.]],$D799,Imput[[PERIODO Imp.]:[PERIODO Imp.]],CB$9)</f>
        <v>0</v>
      </c>
      <c r="CC799" s="693">
        <f>SUMIFS(Imput[[Importe Neto]:[Importe Neto]],Imput[[C. Imp.]:[C. Imp.]],$D799,Imput[[PERIODO Imp.]:[PERIODO Imp.]],CC$9)</f>
        <v>0</v>
      </c>
      <c r="CD799" s="693">
        <f>SUMIFS(Imput[[Importe Neto]:[Importe Neto]],Imput[[C. Imp.]:[C. Imp.]],$D799,Imput[[PERIODO Imp.]:[PERIODO Imp.]],CD$9)</f>
        <v>0</v>
      </c>
      <c r="CE799" s="693">
        <f>SUMIFS(Imput[[Importe Neto]:[Importe Neto]],Imput[[C. Imp.]:[C. Imp.]],$D799,Imput[[PERIODO Imp.]:[PERIODO Imp.]],CE$9)</f>
        <v>0</v>
      </c>
      <c r="CF799" s="693">
        <f>SUMIFS(Imput[[Importe Neto]:[Importe Neto]],Imput[[C. Imp.]:[C. Imp.]],$D799,Imput[[PERIODO Imp.]:[PERIODO Imp.]],CF$9)</f>
        <v>0</v>
      </c>
      <c r="CG799" s="693">
        <f>SUMIFS(Imput[[Importe Neto]:[Importe Neto]],Imput[[C. Imp.]:[C. Imp.]],$D799,Imput[[PERIODO Imp.]:[PERIODO Imp.]],CG$9)</f>
        <v>0</v>
      </c>
      <c r="CH799" s="693">
        <f>SUMIFS(Imput[[Importe Neto]:[Importe Neto]],Imput[[C. Imp.]:[C. Imp.]],$D799,Imput[[PERIODO Imp.]:[PERIODO Imp.]],CH$9)</f>
        <v>0</v>
      </c>
      <c r="CI799" s="693">
        <f>SUMIFS(Imput[[Importe Neto]:[Importe Neto]],Imput[[C. Imp.]:[C. Imp.]],$D799,Imput[[PERIODO Imp.]:[PERIODO Imp.]],CI$9)</f>
        <v>0</v>
      </c>
      <c r="CJ799" s="693">
        <f>SUMIFS(Imput[[Importe Neto]:[Importe Neto]],Imput[[C. Imp.]:[C. Imp.]],$D799,Imput[[PERIODO Imp.]:[PERIODO Imp.]],CJ$9)</f>
        <v>0</v>
      </c>
      <c r="CK799" s="693">
        <f>SUMIFS(Imput[[Importe Neto]:[Importe Neto]],Imput[[C. Imp.]:[C. Imp.]],$D799,Imput[[PERIODO Imp.]:[PERIODO Imp.]],CK$9)</f>
        <v>0</v>
      </c>
      <c r="CL799" s="693">
        <f>SUMIFS(Imput[[Importe Neto]:[Importe Neto]],Imput[[C. Imp.]:[C. Imp.]],$D799,Imput[[PERIODO Imp.]:[PERIODO Imp.]],CL$9)</f>
        <v>0</v>
      </c>
      <c r="CM799" s="693">
        <f>SUMIFS(Imput[[Importe Neto]:[Importe Neto]],Imput[[C. Imp.]:[C. Imp.]],$D799,Imput[[PERIODO Imp.]:[PERIODO Imp.]],CM$9)</f>
        <v>0</v>
      </c>
      <c r="CN799" s="693">
        <f>SUMIFS(Imput[[Importe Neto]:[Importe Neto]],Imput[[C. Imp.]:[C. Imp.]],$D799,Imput[[PERIODO Imp.]:[PERIODO Imp.]],CN$9)</f>
        <v>0</v>
      </c>
      <c r="CO799" s="693">
        <f>SUMIFS(Imput[[Importe Neto]:[Importe Neto]],Imput[[C. Imp.]:[C. Imp.]],$D799,Imput[[PERIODO Imp.]:[PERIODO Imp.]],CO$9)</f>
        <v>0</v>
      </c>
      <c r="CP799" s="693">
        <f>SUMIFS(Imput[[Importe Neto]:[Importe Neto]],Imput[[C. Imp.]:[C. Imp.]],$D799,Imput[[PERIODO Imp.]:[PERIODO Imp.]],CP$9)</f>
        <v>0</v>
      </c>
      <c r="CQ799" s="693">
        <f>SUMIFS(Imput[[Importe Neto]:[Importe Neto]],Imput[[C. Imp.]:[C. Imp.]],$D799,Imput[[PERIODO Imp.]:[PERIODO Imp.]],CQ$9)</f>
        <v>0</v>
      </c>
      <c r="CR799" s="693">
        <f>SUMIFS(Imput[[Importe Neto]:[Importe Neto]],Imput[[C. Imp.]:[C. Imp.]],$D799,Imput[[PERIODO Imp.]:[PERIODO Imp.]],CR$9)</f>
        <v>0</v>
      </c>
      <c r="CS799" s="693">
        <f>SUMIFS(Imput[[Importe Neto]:[Importe Neto]],Imput[[C. Imp.]:[C. Imp.]],$D799,Imput[[PERIODO Imp.]:[PERIODO Imp.]],CS$9)</f>
        <v>0</v>
      </c>
      <c r="CT799" s="693">
        <f>SUMIFS(Imput[[Importe Neto]:[Importe Neto]],Imput[[C. Imp.]:[C. Imp.]],$D799,Imput[[PERIODO Imp.]:[PERIODO Imp.]],CT$9)</f>
        <v>0</v>
      </c>
      <c r="CU799" s="693">
        <f>SUMIFS(Imput[[Importe Neto]:[Importe Neto]],Imput[[C. Imp.]:[C. Imp.]],$D799,Imput[[PERIODO Imp.]:[PERIODO Imp.]],CU$9)</f>
        <v>0</v>
      </c>
      <c r="CV799" s="693">
        <f>SUMIFS(Imput[[Importe Neto]:[Importe Neto]],Imput[[C. Imp.]:[C. Imp.]],$D799,Imput[[PERIODO Imp.]:[PERIODO Imp.]],CV$9)</f>
        <v>0</v>
      </c>
      <c r="CW799" s="693">
        <f>SUMIFS(Imput[[Importe Neto]:[Importe Neto]],Imput[[C. Imp.]:[C. Imp.]],$D799,Imput[[PERIODO Imp.]:[PERIODO Imp.]],CW$9)</f>
        <v>0</v>
      </c>
      <c r="CX799" s="693">
        <f>SUMIFS(Imput[[Importe Neto]:[Importe Neto]],Imput[[C. Imp.]:[C. Imp.]],$D799,Imput[[PERIODO Imp.]:[PERIODO Imp.]],CX$9)</f>
        <v>0</v>
      </c>
      <c r="CY799" s="693">
        <f>SUMIFS(Imput[[Importe Neto]:[Importe Neto]],Imput[[C. Imp.]:[C. Imp.]],$D799,Imput[[PERIODO Imp.]:[PERIODO Imp.]],CY$9)</f>
        <v>0</v>
      </c>
      <c r="CZ799" s="693">
        <f>SUMIFS(Imput[[Importe Neto]:[Importe Neto]],Imput[[C. Imp.]:[C. Imp.]],$D799,Imput[[PERIODO Imp.]:[PERIODO Imp.]],CZ$9)</f>
        <v>0</v>
      </c>
      <c r="DA799" s="693">
        <f>SUMIFS(Imput[[Importe Neto]:[Importe Neto]],Imput[[C. Imp.]:[C. Imp.]],$D799,Imput[[PERIODO Imp.]:[PERIODO Imp.]],DA$9)</f>
        <v>0</v>
      </c>
      <c r="DB799" s="693">
        <f>SUMIFS(Imput[[Importe Neto]:[Importe Neto]],Imput[[C. Imp.]:[C. Imp.]],$D799,Imput[[PERIODO Imp.]:[PERIODO Imp.]],DB$9)</f>
        <v>0</v>
      </c>
      <c r="DC799" s="693">
        <f>SUMIFS(Imput[[Importe Neto]:[Importe Neto]],Imput[[C. Imp.]:[C. Imp.]],$D799,Imput[[PERIODO Imp.]:[PERIODO Imp.]],DC$9)</f>
        <v>0</v>
      </c>
      <c r="DD799" s="693">
        <f>SUMIFS(Imput[[Importe Neto]:[Importe Neto]],Imput[[C. Imp.]:[C. Imp.]],$D799,Imput[[PERIODO Imp.]:[PERIODO Imp.]],DD$9)</f>
        <v>0</v>
      </c>
      <c r="DE799" s="693">
        <f>SUMIFS(Imput[[Importe Neto]:[Importe Neto]],Imput[[C. Imp.]:[C. Imp.]],$D799,Imput[[PERIODO Imp.]:[PERIODO Imp.]],DE$9)</f>
        <v>0</v>
      </c>
      <c r="DF799" s="693">
        <f>SUMIFS(Imput[[Importe Neto]:[Importe Neto]],Imput[[C. Imp.]:[C. Imp.]],$D799,Imput[[PERIODO Imp.]:[PERIODO Imp.]],DF$9)</f>
        <v>0</v>
      </c>
      <c r="DG799" s="693">
        <f>SUMIFS(Imput[[Importe Neto]:[Importe Neto]],Imput[[C. Imp.]:[C. Imp.]],$D799,Imput[[PERIODO Imp.]:[PERIODO Imp.]],DG$9)</f>
        <v>0</v>
      </c>
      <c r="DH799" s="694">
        <f>SUMIFS(Imput[[Importe Neto]:[Importe Neto]],Imput[[C. Imp.]:[C. Imp.]],$D799,Imput[[PERIODO Imp.]:[PERIODO Imp.]],DH$9)</f>
        <v>0</v>
      </c>
    </row>
    <row r="800" spans="1:112" s="649" customFormat="1" hidden="1" outlineLevel="1" x14ac:dyDescent="0.3">
      <c r="A800" s="652" t="str">
        <f t="shared" si="280"/>
        <v/>
      </c>
      <c r="B800" s="652"/>
      <c r="C800" s="685"/>
      <c r="D800" s="686" t="s">
        <v>2780</v>
      </c>
      <c r="E800" s="686"/>
      <c r="F800" s="720"/>
      <c r="G800" s="688"/>
      <c r="H800" s="689"/>
      <c r="I800" s="851" t="str">
        <f t="shared" si="281"/>
        <v/>
      </c>
      <c r="J800" s="850" t="str">
        <f t="shared" si="282"/>
        <v/>
      </c>
      <c r="K800" s="667"/>
      <c r="L800" s="858"/>
      <c r="M800" s="859"/>
      <c r="N800" s="859"/>
      <c r="O800" s="859"/>
      <c r="P800" s="859"/>
      <c r="Q800" s="859"/>
      <c r="R800" s="859"/>
      <c r="S800" s="859"/>
      <c r="T800" s="859"/>
      <c r="U800" s="859"/>
      <c r="V800" s="859"/>
      <c r="W800" s="859"/>
      <c r="X800" s="859"/>
      <c r="Y800" s="859"/>
      <c r="Z800" s="860"/>
      <c r="AA800" s="860"/>
      <c r="AB800" s="860"/>
      <c r="AC800" s="860"/>
      <c r="AD800" s="860"/>
      <c r="AE800" s="860"/>
      <c r="AF800" s="860"/>
      <c r="AG800" s="860"/>
      <c r="AH800" s="860"/>
      <c r="AI800" s="860"/>
      <c r="AJ800" s="860"/>
      <c r="AK800" s="860"/>
      <c r="AL800" s="860"/>
      <c r="AM800" s="860"/>
      <c r="AN800" s="860"/>
      <c r="AO800" s="860"/>
      <c r="AP800" s="860"/>
      <c r="AQ800" s="860"/>
      <c r="AR800" s="860"/>
      <c r="AS800" s="860"/>
      <c r="AT800" s="860"/>
      <c r="AU800" s="860"/>
      <c r="AV800" s="860"/>
      <c r="AW800" s="860"/>
      <c r="AX800" s="860"/>
      <c r="AY800" s="860"/>
      <c r="AZ800" s="860"/>
      <c r="BA800" s="860"/>
      <c r="BB800" s="860"/>
      <c r="BC800" s="860"/>
      <c r="BD800" s="860"/>
      <c r="BE800" s="860"/>
      <c r="BF800" s="860"/>
      <c r="BG800" s="860"/>
      <c r="BH800" s="668"/>
      <c r="BI800" s="667"/>
      <c r="BJ800" s="690">
        <f t="shared" si="283"/>
        <v>0</v>
      </c>
      <c r="BK800" s="691">
        <f t="shared" si="284"/>
        <v>0</v>
      </c>
      <c r="BL800" s="654"/>
      <c r="BM800" s="692">
        <f>SUMIFS(Imput[[Importe Neto]:[Importe Neto]],Imput[[C. Imp.]:[C. Imp.]],$D800,Imput[[PERIODO Imp.]:[PERIODO Imp.]],BM$9)</f>
        <v>0</v>
      </c>
      <c r="BN800" s="693">
        <f>SUMIFS(Imput[[Importe Neto]:[Importe Neto]],Imput[[C. Imp.]:[C. Imp.]],$D800,Imput[[PERIODO Imp.]:[PERIODO Imp.]],BN$9)</f>
        <v>0</v>
      </c>
      <c r="BO800" s="693">
        <f>SUMIFS(Imput[[Importe Neto]:[Importe Neto]],Imput[[C. Imp.]:[C. Imp.]],$D800,Imput[[PERIODO Imp.]:[PERIODO Imp.]],BO$9)</f>
        <v>0</v>
      </c>
      <c r="BP800" s="693">
        <f>SUMIFS(Imput[[Importe Neto]:[Importe Neto]],Imput[[C. Imp.]:[C. Imp.]],$D800,Imput[[PERIODO Imp.]:[PERIODO Imp.]],BP$9)</f>
        <v>0</v>
      </c>
      <c r="BQ800" s="693">
        <f>SUMIFS(Imput[[Importe Neto]:[Importe Neto]],Imput[[C. Imp.]:[C. Imp.]],$D800,Imput[[PERIODO Imp.]:[PERIODO Imp.]],BQ$9)</f>
        <v>0</v>
      </c>
      <c r="BR800" s="693">
        <f>SUMIFS(Imput[[Importe Neto]:[Importe Neto]],Imput[[C. Imp.]:[C. Imp.]],$D800,Imput[[PERIODO Imp.]:[PERIODO Imp.]],BR$9)</f>
        <v>0</v>
      </c>
      <c r="BS800" s="693">
        <f>SUMIFS(Imput[[Importe Neto]:[Importe Neto]],Imput[[C. Imp.]:[C. Imp.]],$D800,Imput[[PERIODO Imp.]:[PERIODO Imp.]],BS$9)</f>
        <v>0</v>
      </c>
      <c r="BT800" s="693">
        <f>SUMIFS(Imput[[Importe Neto]:[Importe Neto]],Imput[[C. Imp.]:[C. Imp.]],$D800,Imput[[PERIODO Imp.]:[PERIODO Imp.]],BT$9)</f>
        <v>0</v>
      </c>
      <c r="BU800" s="693">
        <f>SUMIFS(Imput[[Importe Neto]:[Importe Neto]],Imput[[C. Imp.]:[C. Imp.]],$D800,Imput[[PERIODO Imp.]:[PERIODO Imp.]],BU$9)</f>
        <v>0</v>
      </c>
      <c r="BV800" s="693">
        <f>SUMIFS(Imput[[Importe Neto]:[Importe Neto]],Imput[[C. Imp.]:[C. Imp.]],$D800,Imput[[PERIODO Imp.]:[PERIODO Imp.]],BV$9)</f>
        <v>0</v>
      </c>
      <c r="BW800" s="693">
        <f>SUMIFS(Imput[[Importe Neto]:[Importe Neto]],Imput[[C. Imp.]:[C. Imp.]],$D800,Imput[[PERIODO Imp.]:[PERIODO Imp.]],BW$9)</f>
        <v>0</v>
      </c>
      <c r="BX800" s="693">
        <f>SUMIFS(Imput[[Importe Neto]:[Importe Neto]],Imput[[C. Imp.]:[C. Imp.]],$D800,Imput[[PERIODO Imp.]:[PERIODO Imp.]],BX$9)</f>
        <v>0</v>
      </c>
      <c r="BY800" s="693">
        <f>SUMIFS(Imput[[Importe Neto]:[Importe Neto]],Imput[[C. Imp.]:[C. Imp.]],$D800,Imput[[PERIODO Imp.]:[PERIODO Imp.]],BY$9)</f>
        <v>0</v>
      </c>
      <c r="BZ800" s="693">
        <f>SUMIFS(Imput[[Importe Neto]:[Importe Neto]],Imput[[C. Imp.]:[C. Imp.]],$D800,Imput[[PERIODO Imp.]:[PERIODO Imp.]],BZ$9)</f>
        <v>0</v>
      </c>
      <c r="CA800" s="693">
        <f>SUMIFS(Imput[[Importe Neto]:[Importe Neto]],Imput[[C. Imp.]:[C. Imp.]],$D800,Imput[[PERIODO Imp.]:[PERIODO Imp.]],CA$9)</f>
        <v>0</v>
      </c>
      <c r="CB800" s="693">
        <f>SUMIFS(Imput[[Importe Neto]:[Importe Neto]],Imput[[C. Imp.]:[C. Imp.]],$D800,Imput[[PERIODO Imp.]:[PERIODO Imp.]],CB$9)</f>
        <v>0</v>
      </c>
      <c r="CC800" s="693">
        <f>SUMIFS(Imput[[Importe Neto]:[Importe Neto]],Imput[[C. Imp.]:[C. Imp.]],$D800,Imput[[PERIODO Imp.]:[PERIODO Imp.]],CC$9)</f>
        <v>0</v>
      </c>
      <c r="CD800" s="693">
        <f>SUMIFS(Imput[[Importe Neto]:[Importe Neto]],Imput[[C. Imp.]:[C. Imp.]],$D800,Imput[[PERIODO Imp.]:[PERIODO Imp.]],CD$9)</f>
        <v>0</v>
      </c>
      <c r="CE800" s="693">
        <f>SUMIFS(Imput[[Importe Neto]:[Importe Neto]],Imput[[C. Imp.]:[C. Imp.]],$D800,Imput[[PERIODO Imp.]:[PERIODO Imp.]],CE$9)</f>
        <v>0</v>
      </c>
      <c r="CF800" s="693">
        <f>SUMIFS(Imput[[Importe Neto]:[Importe Neto]],Imput[[C. Imp.]:[C. Imp.]],$D800,Imput[[PERIODO Imp.]:[PERIODO Imp.]],CF$9)</f>
        <v>0</v>
      </c>
      <c r="CG800" s="693">
        <f>SUMIFS(Imput[[Importe Neto]:[Importe Neto]],Imput[[C. Imp.]:[C. Imp.]],$D800,Imput[[PERIODO Imp.]:[PERIODO Imp.]],CG$9)</f>
        <v>0</v>
      </c>
      <c r="CH800" s="693">
        <f>SUMIFS(Imput[[Importe Neto]:[Importe Neto]],Imput[[C. Imp.]:[C. Imp.]],$D800,Imput[[PERIODO Imp.]:[PERIODO Imp.]],CH$9)</f>
        <v>0</v>
      </c>
      <c r="CI800" s="693">
        <f>SUMIFS(Imput[[Importe Neto]:[Importe Neto]],Imput[[C. Imp.]:[C. Imp.]],$D800,Imput[[PERIODO Imp.]:[PERIODO Imp.]],CI$9)</f>
        <v>0</v>
      </c>
      <c r="CJ800" s="693">
        <f>SUMIFS(Imput[[Importe Neto]:[Importe Neto]],Imput[[C. Imp.]:[C. Imp.]],$D800,Imput[[PERIODO Imp.]:[PERIODO Imp.]],CJ$9)</f>
        <v>0</v>
      </c>
      <c r="CK800" s="693">
        <f>SUMIFS(Imput[[Importe Neto]:[Importe Neto]],Imput[[C. Imp.]:[C. Imp.]],$D800,Imput[[PERIODO Imp.]:[PERIODO Imp.]],CK$9)</f>
        <v>0</v>
      </c>
      <c r="CL800" s="693">
        <f>SUMIFS(Imput[[Importe Neto]:[Importe Neto]],Imput[[C. Imp.]:[C. Imp.]],$D800,Imput[[PERIODO Imp.]:[PERIODO Imp.]],CL$9)</f>
        <v>0</v>
      </c>
      <c r="CM800" s="693">
        <f>SUMIFS(Imput[[Importe Neto]:[Importe Neto]],Imput[[C. Imp.]:[C. Imp.]],$D800,Imput[[PERIODO Imp.]:[PERIODO Imp.]],CM$9)</f>
        <v>0</v>
      </c>
      <c r="CN800" s="693">
        <f>SUMIFS(Imput[[Importe Neto]:[Importe Neto]],Imput[[C. Imp.]:[C. Imp.]],$D800,Imput[[PERIODO Imp.]:[PERIODO Imp.]],CN$9)</f>
        <v>0</v>
      </c>
      <c r="CO800" s="693">
        <f>SUMIFS(Imput[[Importe Neto]:[Importe Neto]],Imput[[C. Imp.]:[C. Imp.]],$D800,Imput[[PERIODO Imp.]:[PERIODO Imp.]],CO$9)</f>
        <v>0</v>
      </c>
      <c r="CP800" s="693">
        <f>SUMIFS(Imput[[Importe Neto]:[Importe Neto]],Imput[[C. Imp.]:[C. Imp.]],$D800,Imput[[PERIODO Imp.]:[PERIODO Imp.]],CP$9)</f>
        <v>0</v>
      </c>
      <c r="CQ800" s="693">
        <f>SUMIFS(Imput[[Importe Neto]:[Importe Neto]],Imput[[C. Imp.]:[C. Imp.]],$D800,Imput[[PERIODO Imp.]:[PERIODO Imp.]],CQ$9)</f>
        <v>0</v>
      </c>
      <c r="CR800" s="693">
        <f>SUMIFS(Imput[[Importe Neto]:[Importe Neto]],Imput[[C. Imp.]:[C. Imp.]],$D800,Imput[[PERIODO Imp.]:[PERIODO Imp.]],CR$9)</f>
        <v>0</v>
      </c>
      <c r="CS800" s="693">
        <f>SUMIFS(Imput[[Importe Neto]:[Importe Neto]],Imput[[C. Imp.]:[C. Imp.]],$D800,Imput[[PERIODO Imp.]:[PERIODO Imp.]],CS$9)</f>
        <v>0</v>
      </c>
      <c r="CT800" s="693">
        <f>SUMIFS(Imput[[Importe Neto]:[Importe Neto]],Imput[[C. Imp.]:[C. Imp.]],$D800,Imput[[PERIODO Imp.]:[PERIODO Imp.]],CT$9)</f>
        <v>0</v>
      </c>
      <c r="CU800" s="693">
        <f>SUMIFS(Imput[[Importe Neto]:[Importe Neto]],Imput[[C. Imp.]:[C. Imp.]],$D800,Imput[[PERIODO Imp.]:[PERIODO Imp.]],CU$9)</f>
        <v>0</v>
      </c>
      <c r="CV800" s="693">
        <f>SUMIFS(Imput[[Importe Neto]:[Importe Neto]],Imput[[C. Imp.]:[C. Imp.]],$D800,Imput[[PERIODO Imp.]:[PERIODO Imp.]],CV$9)</f>
        <v>0</v>
      </c>
      <c r="CW800" s="693">
        <f>SUMIFS(Imput[[Importe Neto]:[Importe Neto]],Imput[[C. Imp.]:[C. Imp.]],$D800,Imput[[PERIODO Imp.]:[PERIODO Imp.]],CW$9)</f>
        <v>0</v>
      </c>
      <c r="CX800" s="693">
        <f>SUMIFS(Imput[[Importe Neto]:[Importe Neto]],Imput[[C. Imp.]:[C. Imp.]],$D800,Imput[[PERIODO Imp.]:[PERIODO Imp.]],CX$9)</f>
        <v>0</v>
      </c>
      <c r="CY800" s="693">
        <f>SUMIFS(Imput[[Importe Neto]:[Importe Neto]],Imput[[C. Imp.]:[C. Imp.]],$D800,Imput[[PERIODO Imp.]:[PERIODO Imp.]],CY$9)</f>
        <v>0</v>
      </c>
      <c r="CZ800" s="693">
        <f>SUMIFS(Imput[[Importe Neto]:[Importe Neto]],Imput[[C. Imp.]:[C. Imp.]],$D800,Imput[[PERIODO Imp.]:[PERIODO Imp.]],CZ$9)</f>
        <v>0</v>
      </c>
      <c r="DA800" s="693">
        <f>SUMIFS(Imput[[Importe Neto]:[Importe Neto]],Imput[[C. Imp.]:[C. Imp.]],$D800,Imput[[PERIODO Imp.]:[PERIODO Imp.]],DA$9)</f>
        <v>0</v>
      </c>
      <c r="DB800" s="693">
        <f>SUMIFS(Imput[[Importe Neto]:[Importe Neto]],Imput[[C. Imp.]:[C. Imp.]],$D800,Imput[[PERIODO Imp.]:[PERIODO Imp.]],DB$9)</f>
        <v>0</v>
      </c>
      <c r="DC800" s="693">
        <f>SUMIFS(Imput[[Importe Neto]:[Importe Neto]],Imput[[C. Imp.]:[C. Imp.]],$D800,Imput[[PERIODO Imp.]:[PERIODO Imp.]],DC$9)</f>
        <v>0</v>
      </c>
      <c r="DD800" s="693">
        <f>SUMIFS(Imput[[Importe Neto]:[Importe Neto]],Imput[[C. Imp.]:[C. Imp.]],$D800,Imput[[PERIODO Imp.]:[PERIODO Imp.]],DD$9)</f>
        <v>0</v>
      </c>
      <c r="DE800" s="693">
        <f>SUMIFS(Imput[[Importe Neto]:[Importe Neto]],Imput[[C. Imp.]:[C. Imp.]],$D800,Imput[[PERIODO Imp.]:[PERIODO Imp.]],DE$9)</f>
        <v>0</v>
      </c>
      <c r="DF800" s="693">
        <f>SUMIFS(Imput[[Importe Neto]:[Importe Neto]],Imput[[C. Imp.]:[C. Imp.]],$D800,Imput[[PERIODO Imp.]:[PERIODO Imp.]],DF$9)</f>
        <v>0</v>
      </c>
      <c r="DG800" s="693">
        <f>SUMIFS(Imput[[Importe Neto]:[Importe Neto]],Imput[[C. Imp.]:[C. Imp.]],$D800,Imput[[PERIODO Imp.]:[PERIODO Imp.]],DG$9)</f>
        <v>0</v>
      </c>
      <c r="DH800" s="694">
        <f>SUMIFS(Imput[[Importe Neto]:[Importe Neto]],Imput[[C. Imp.]:[C. Imp.]],$D800,Imput[[PERIODO Imp.]:[PERIODO Imp.]],DH$9)</f>
        <v>0</v>
      </c>
    </row>
    <row r="801" spans="1:112" s="649" customFormat="1" hidden="1" outlineLevel="1" x14ac:dyDescent="0.3">
      <c r="A801" s="652" t="str">
        <f t="shared" si="280"/>
        <v/>
      </c>
      <c r="B801" s="652"/>
      <c r="C801" s="685"/>
      <c r="D801" s="686" t="s">
        <v>2781</v>
      </c>
      <c r="E801" s="686"/>
      <c r="F801" s="720"/>
      <c r="G801" s="688"/>
      <c r="H801" s="689"/>
      <c r="I801" s="851" t="str">
        <f t="shared" si="281"/>
        <v/>
      </c>
      <c r="J801" s="850" t="str">
        <f t="shared" si="282"/>
        <v/>
      </c>
      <c r="K801" s="667"/>
      <c r="L801" s="858"/>
      <c r="M801" s="859"/>
      <c r="N801" s="859"/>
      <c r="O801" s="859"/>
      <c r="P801" s="859"/>
      <c r="Q801" s="859"/>
      <c r="R801" s="859"/>
      <c r="S801" s="859"/>
      <c r="T801" s="859"/>
      <c r="U801" s="859"/>
      <c r="V801" s="859"/>
      <c r="W801" s="859"/>
      <c r="X801" s="859"/>
      <c r="Y801" s="859"/>
      <c r="Z801" s="860"/>
      <c r="AA801" s="860"/>
      <c r="AB801" s="860"/>
      <c r="AC801" s="860"/>
      <c r="AD801" s="860"/>
      <c r="AE801" s="860"/>
      <c r="AF801" s="860"/>
      <c r="AG801" s="860"/>
      <c r="AH801" s="860"/>
      <c r="AI801" s="860"/>
      <c r="AJ801" s="860"/>
      <c r="AK801" s="860"/>
      <c r="AL801" s="860"/>
      <c r="AM801" s="860"/>
      <c r="AN801" s="860"/>
      <c r="AO801" s="860"/>
      <c r="AP801" s="860"/>
      <c r="AQ801" s="860"/>
      <c r="AR801" s="860"/>
      <c r="AS801" s="860"/>
      <c r="AT801" s="860"/>
      <c r="AU801" s="860"/>
      <c r="AV801" s="860"/>
      <c r="AW801" s="860"/>
      <c r="AX801" s="860"/>
      <c r="AY801" s="860"/>
      <c r="AZ801" s="860"/>
      <c r="BA801" s="860"/>
      <c r="BB801" s="860"/>
      <c r="BC801" s="860"/>
      <c r="BD801" s="860"/>
      <c r="BE801" s="860"/>
      <c r="BF801" s="860"/>
      <c r="BG801" s="860"/>
      <c r="BH801" s="668"/>
      <c r="BI801" s="667"/>
      <c r="BJ801" s="690">
        <f t="shared" si="283"/>
        <v>0</v>
      </c>
      <c r="BK801" s="691">
        <f t="shared" si="284"/>
        <v>0</v>
      </c>
      <c r="BL801" s="654"/>
      <c r="BM801" s="692">
        <f>SUMIFS(Imput[[Importe Neto]:[Importe Neto]],Imput[[C. Imp.]:[C. Imp.]],$D801,Imput[[PERIODO Imp.]:[PERIODO Imp.]],BM$9)</f>
        <v>0</v>
      </c>
      <c r="BN801" s="693">
        <f>SUMIFS(Imput[[Importe Neto]:[Importe Neto]],Imput[[C. Imp.]:[C. Imp.]],$D801,Imput[[PERIODO Imp.]:[PERIODO Imp.]],BN$9)</f>
        <v>0</v>
      </c>
      <c r="BO801" s="693">
        <f>SUMIFS(Imput[[Importe Neto]:[Importe Neto]],Imput[[C. Imp.]:[C. Imp.]],$D801,Imput[[PERIODO Imp.]:[PERIODO Imp.]],BO$9)</f>
        <v>0</v>
      </c>
      <c r="BP801" s="693">
        <f>SUMIFS(Imput[[Importe Neto]:[Importe Neto]],Imput[[C. Imp.]:[C. Imp.]],$D801,Imput[[PERIODO Imp.]:[PERIODO Imp.]],BP$9)</f>
        <v>0</v>
      </c>
      <c r="BQ801" s="693">
        <f>SUMIFS(Imput[[Importe Neto]:[Importe Neto]],Imput[[C. Imp.]:[C. Imp.]],$D801,Imput[[PERIODO Imp.]:[PERIODO Imp.]],BQ$9)</f>
        <v>0</v>
      </c>
      <c r="BR801" s="693">
        <f>SUMIFS(Imput[[Importe Neto]:[Importe Neto]],Imput[[C. Imp.]:[C. Imp.]],$D801,Imput[[PERIODO Imp.]:[PERIODO Imp.]],BR$9)</f>
        <v>0</v>
      </c>
      <c r="BS801" s="693">
        <f>SUMIFS(Imput[[Importe Neto]:[Importe Neto]],Imput[[C. Imp.]:[C. Imp.]],$D801,Imput[[PERIODO Imp.]:[PERIODO Imp.]],BS$9)</f>
        <v>0</v>
      </c>
      <c r="BT801" s="693">
        <f>SUMIFS(Imput[[Importe Neto]:[Importe Neto]],Imput[[C. Imp.]:[C. Imp.]],$D801,Imput[[PERIODO Imp.]:[PERIODO Imp.]],BT$9)</f>
        <v>0</v>
      </c>
      <c r="BU801" s="693">
        <f>SUMIFS(Imput[[Importe Neto]:[Importe Neto]],Imput[[C. Imp.]:[C. Imp.]],$D801,Imput[[PERIODO Imp.]:[PERIODO Imp.]],BU$9)</f>
        <v>0</v>
      </c>
      <c r="BV801" s="693">
        <f>SUMIFS(Imput[[Importe Neto]:[Importe Neto]],Imput[[C. Imp.]:[C. Imp.]],$D801,Imput[[PERIODO Imp.]:[PERIODO Imp.]],BV$9)</f>
        <v>0</v>
      </c>
      <c r="BW801" s="693">
        <f>SUMIFS(Imput[[Importe Neto]:[Importe Neto]],Imput[[C. Imp.]:[C. Imp.]],$D801,Imput[[PERIODO Imp.]:[PERIODO Imp.]],BW$9)</f>
        <v>0</v>
      </c>
      <c r="BX801" s="693">
        <f>SUMIFS(Imput[[Importe Neto]:[Importe Neto]],Imput[[C. Imp.]:[C. Imp.]],$D801,Imput[[PERIODO Imp.]:[PERIODO Imp.]],BX$9)</f>
        <v>0</v>
      </c>
      <c r="BY801" s="693">
        <f>SUMIFS(Imput[[Importe Neto]:[Importe Neto]],Imput[[C. Imp.]:[C. Imp.]],$D801,Imput[[PERIODO Imp.]:[PERIODO Imp.]],BY$9)</f>
        <v>0</v>
      </c>
      <c r="BZ801" s="693">
        <f>SUMIFS(Imput[[Importe Neto]:[Importe Neto]],Imput[[C. Imp.]:[C. Imp.]],$D801,Imput[[PERIODO Imp.]:[PERIODO Imp.]],BZ$9)</f>
        <v>0</v>
      </c>
      <c r="CA801" s="693">
        <f>SUMIFS(Imput[[Importe Neto]:[Importe Neto]],Imput[[C. Imp.]:[C. Imp.]],$D801,Imput[[PERIODO Imp.]:[PERIODO Imp.]],CA$9)</f>
        <v>0</v>
      </c>
      <c r="CB801" s="693">
        <f>SUMIFS(Imput[[Importe Neto]:[Importe Neto]],Imput[[C. Imp.]:[C. Imp.]],$D801,Imput[[PERIODO Imp.]:[PERIODO Imp.]],CB$9)</f>
        <v>0</v>
      </c>
      <c r="CC801" s="693">
        <f>SUMIFS(Imput[[Importe Neto]:[Importe Neto]],Imput[[C. Imp.]:[C. Imp.]],$D801,Imput[[PERIODO Imp.]:[PERIODO Imp.]],CC$9)</f>
        <v>0</v>
      </c>
      <c r="CD801" s="693">
        <f>SUMIFS(Imput[[Importe Neto]:[Importe Neto]],Imput[[C. Imp.]:[C. Imp.]],$D801,Imput[[PERIODO Imp.]:[PERIODO Imp.]],CD$9)</f>
        <v>0</v>
      </c>
      <c r="CE801" s="693">
        <f>SUMIFS(Imput[[Importe Neto]:[Importe Neto]],Imput[[C. Imp.]:[C. Imp.]],$D801,Imput[[PERIODO Imp.]:[PERIODO Imp.]],CE$9)</f>
        <v>0</v>
      </c>
      <c r="CF801" s="693">
        <f>SUMIFS(Imput[[Importe Neto]:[Importe Neto]],Imput[[C. Imp.]:[C. Imp.]],$D801,Imput[[PERIODO Imp.]:[PERIODO Imp.]],CF$9)</f>
        <v>0</v>
      </c>
      <c r="CG801" s="693">
        <f>SUMIFS(Imput[[Importe Neto]:[Importe Neto]],Imput[[C. Imp.]:[C. Imp.]],$D801,Imput[[PERIODO Imp.]:[PERIODO Imp.]],CG$9)</f>
        <v>0</v>
      </c>
      <c r="CH801" s="693">
        <f>SUMIFS(Imput[[Importe Neto]:[Importe Neto]],Imput[[C. Imp.]:[C. Imp.]],$D801,Imput[[PERIODO Imp.]:[PERIODO Imp.]],CH$9)</f>
        <v>0</v>
      </c>
      <c r="CI801" s="693">
        <f>SUMIFS(Imput[[Importe Neto]:[Importe Neto]],Imput[[C. Imp.]:[C. Imp.]],$D801,Imput[[PERIODO Imp.]:[PERIODO Imp.]],CI$9)</f>
        <v>0</v>
      </c>
      <c r="CJ801" s="693">
        <f>SUMIFS(Imput[[Importe Neto]:[Importe Neto]],Imput[[C. Imp.]:[C. Imp.]],$D801,Imput[[PERIODO Imp.]:[PERIODO Imp.]],CJ$9)</f>
        <v>0</v>
      </c>
      <c r="CK801" s="693">
        <f>SUMIFS(Imput[[Importe Neto]:[Importe Neto]],Imput[[C. Imp.]:[C. Imp.]],$D801,Imput[[PERIODO Imp.]:[PERIODO Imp.]],CK$9)</f>
        <v>0</v>
      </c>
      <c r="CL801" s="693">
        <f>SUMIFS(Imput[[Importe Neto]:[Importe Neto]],Imput[[C. Imp.]:[C. Imp.]],$D801,Imput[[PERIODO Imp.]:[PERIODO Imp.]],CL$9)</f>
        <v>0</v>
      </c>
      <c r="CM801" s="693">
        <f>SUMIFS(Imput[[Importe Neto]:[Importe Neto]],Imput[[C. Imp.]:[C. Imp.]],$D801,Imput[[PERIODO Imp.]:[PERIODO Imp.]],CM$9)</f>
        <v>0</v>
      </c>
      <c r="CN801" s="693">
        <f>SUMIFS(Imput[[Importe Neto]:[Importe Neto]],Imput[[C. Imp.]:[C. Imp.]],$D801,Imput[[PERIODO Imp.]:[PERIODO Imp.]],CN$9)</f>
        <v>0</v>
      </c>
      <c r="CO801" s="693">
        <f>SUMIFS(Imput[[Importe Neto]:[Importe Neto]],Imput[[C. Imp.]:[C. Imp.]],$D801,Imput[[PERIODO Imp.]:[PERIODO Imp.]],CO$9)</f>
        <v>0</v>
      </c>
      <c r="CP801" s="693">
        <f>SUMIFS(Imput[[Importe Neto]:[Importe Neto]],Imput[[C. Imp.]:[C. Imp.]],$D801,Imput[[PERIODO Imp.]:[PERIODO Imp.]],CP$9)</f>
        <v>0</v>
      </c>
      <c r="CQ801" s="693">
        <f>SUMIFS(Imput[[Importe Neto]:[Importe Neto]],Imput[[C. Imp.]:[C. Imp.]],$D801,Imput[[PERIODO Imp.]:[PERIODO Imp.]],CQ$9)</f>
        <v>0</v>
      </c>
      <c r="CR801" s="693">
        <f>SUMIFS(Imput[[Importe Neto]:[Importe Neto]],Imput[[C. Imp.]:[C. Imp.]],$D801,Imput[[PERIODO Imp.]:[PERIODO Imp.]],CR$9)</f>
        <v>0</v>
      </c>
      <c r="CS801" s="693">
        <f>SUMIFS(Imput[[Importe Neto]:[Importe Neto]],Imput[[C. Imp.]:[C. Imp.]],$D801,Imput[[PERIODO Imp.]:[PERIODO Imp.]],CS$9)</f>
        <v>0</v>
      </c>
      <c r="CT801" s="693">
        <f>SUMIFS(Imput[[Importe Neto]:[Importe Neto]],Imput[[C. Imp.]:[C. Imp.]],$D801,Imput[[PERIODO Imp.]:[PERIODO Imp.]],CT$9)</f>
        <v>0</v>
      </c>
      <c r="CU801" s="693">
        <f>SUMIFS(Imput[[Importe Neto]:[Importe Neto]],Imput[[C. Imp.]:[C. Imp.]],$D801,Imput[[PERIODO Imp.]:[PERIODO Imp.]],CU$9)</f>
        <v>0</v>
      </c>
      <c r="CV801" s="693">
        <f>SUMIFS(Imput[[Importe Neto]:[Importe Neto]],Imput[[C. Imp.]:[C. Imp.]],$D801,Imput[[PERIODO Imp.]:[PERIODO Imp.]],CV$9)</f>
        <v>0</v>
      </c>
      <c r="CW801" s="693">
        <f>SUMIFS(Imput[[Importe Neto]:[Importe Neto]],Imput[[C. Imp.]:[C. Imp.]],$D801,Imput[[PERIODO Imp.]:[PERIODO Imp.]],CW$9)</f>
        <v>0</v>
      </c>
      <c r="CX801" s="693">
        <f>SUMIFS(Imput[[Importe Neto]:[Importe Neto]],Imput[[C. Imp.]:[C. Imp.]],$D801,Imput[[PERIODO Imp.]:[PERIODO Imp.]],CX$9)</f>
        <v>0</v>
      </c>
      <c r="CY801" s="693">
        <f>SUMIFS(Imput[[Importe Neto]:[Importe Neto]],Imput[[C. Imp.]:[C. Imp.]],$D801,Imput[[PERIODO Imp.]:[PERIODO Imp.]],CY$9)</f>
        <v>0</v>
      </c>
      <c r="CZ801" s="693">
        <f>SUMIFS(Imput[[Importe Neto]:[Importe Neto]],Imput[[C. Imp.]:[C. Imp.]],$D801,Imput[[PERIODO Imp.]:[PERIODO Imp.]],CZ$9)</f>
        <v>0</v>
      </c>
      <c r="DA801" s="693">
        <f>SUMIFS(Imput[[Importe Neto]:[Importe Neto]],Imput[[C. Imp.]:[C. Imp.]],$D801,Imput[[PERIODO Imp.]:[PERIODO Imp.]],DA$9)</f>
        <v>0</v>
      </c>
      <c r="DB801" s="693">
        <f>SUMIFS(Imput[[Importe Neto]:[Importe Neto]],Imput[[C. Imp.]:[C. Imp.]],$D801,Imput[[PERIODO Imp.]:[PERIODO Imp.]],DB$9)</f>
        <v>0</v>
      </c>
      <c r="DC801" s="693">
        <f>SUMIFS(Imput[[Importe Neto]:[Importe Neto]],Imput[[C. Imp.]:[C. Imp.]],$D801,Imput[[PERIODO Imp.]:[PERIODO Imp.]],DC$9)</f>
        <v>0</v>
      </c>
      <c r="DD801" s="693">
        <f>SUMIFS(Imput[[Importe Neto]:[Importe Neto]],Imput[[C. Imp.]:[C. Imp.]],$D801,Imput[[PERIODO Imp.]:[PERIODO Imp.]],DD$9)</f>
        <v>0</v>
      </c>
      <c r="DE801" s="693">
        <f>SUMIFS(Imput[[Importe Neto]:[Importe Neto]],Imput[[C. Imp.]:[C. Imp.]],$D801,Imput[[PERIODO Imp.]:[PERIODO Imp.]],DE$9)</f>
        <v>0</v>
      </c>
      <c r="DF801" s="693">
        <f>SUMIFS(Imput[[Importe Neto]:[Importe Neto]],Imput[[C. Imp.]:[C. Imp.]],$D801,Imput[[PERIODO Imp.]:[PERIODO Imp.]],DF$9)</f>
        <v>0</v>
      </c>
      <c r="DG801" s="693">
        <f>SUMIFS(Imput[[Importe Neto]:[Importe Neto]],Imput[[C. Imp.]:[C. Imp.]],$D801,Imput[[PERIODO Imp.]:[PERIODO Imp.]],DG$9)</f>
        <v>0</v>
      </c>
      <c r="DH801" s="694">
        <f>SUMIFS(Imput[[Importe Neto]:[Importe Neto]],Imput[[C. Imp.]:[C. Imp.]],$D801,Imput[[PERIODO Imp.]:[PERIODO Imp.]],DH$9)</f>
        <v>0</v>
      </c>
    </row>
    <row r="802" spans="1:112" s="649" customFormat="1" hidden="1" outlineLevel="1" x14ac:dyDescent="0.3">
      <c r="A802" s="652" t="str">
        <f t="shared" si="280"/>
        <v/>
      </c>
      <c r="B802" s="652"/>
      <c r="C802" s="685"/>
      <c r="D802" s="686" t="s">
        <v>2782</v>
      </c>
      <c r="E802" s="686"/>
      <c r="F802" s="720"/>
      <c r="G802" s="688"/>
      <c r="H802" s="689"/>
      <c r="I802" s="851" t="str">
        <f t="shared" si="281"/>
        <v/>
      </c>
      <c r="J802" s="850" t="str">
        <f t="shared" si="282"/>
        <v/>
      </c>
      <c r="K802" s="667"/>
      <c r="L802" s="858"/>
      <c r="M802" s="859"/>
      <c r="N802" s="859"/>
      <c r="O802" s="859"/>
      <c r="P802" s="859"/>
      <c r="Q802" s="859"/>
      <c r="R802" s="859"/>
      <c r="S802" s="859"/>
      <c r="T802" s="859"/>
      <c r="U802" s="859"/>
      <c r="V802" s="859"/>
      <c r="W802" s="859"/>
      <c r="X802" s="859"/>
      <c r="Y802" s="859"/>
      <c r="Z802" s="860"/>
      <c r="AA802" s="860"/>
      <c r="AB802" s="860"/>
      <c r="AC802" s="860"/>
      <c r="AD802" s="860"/>
      <c r="AE802" s="860"/>
      <c r="AF802" s="860"/>
      <c r="AG802" s="860"/>
      <c r="AH802" s="860"/>
      <c r="AI802" s="860"/>
      <c r="AJ802" s="860"/>
      <c r="AK802" s="860"/>
      <c r="AL802" s="860"/>
      <c r="AM802" s="860"/>
      <c r="AN802" s="860"/>
      <c r="AO802" s="860"/>
      <c r="AP802" s="860"/>
      <c r="AQ802" s="860"/>
      <c r="AR802" s="860"/>
      <c r="AS802" s="860"/>
      <c r="AT802" s="860"/>
      <c r="AU802" s="860"/>
      <c r="AV802" s="860"/>
      <c r="AW802" s="860"/>
      <c r="AX802" s="860"/>
      <c r="AY802" s="860"/>
      <c r="AZ802" s="860"/>
      <c r="BA802" s="860"/>
      <c r="BB802" s="860"/>
      <c r="BC802" s="860"/>
      <c r="BD802" s="860"/>
      <c r="BE802" s="860"/>
      <c r="BF802" s="860"/>
      <c r="BG802" s="860"/>
      <c r="BH802" s="668"/>
      <c r="BI802" s="667"/>
      <c r="BJ802" s="690">
        <f t="shared" si="283"/>
        <v>0</v>
      </c>
      <c r="BK802" s="691">
        <f t="shared" si="284"/>
        <v>0</v>
      </c>
      <c r="BL802" s="654"/>
      <c r="BM802" s="692">
        <f>SUMIFS(Imput[[Importe Neto]:[Importe Neto]],Imput[[C. Imp.]:[C. Imp.]],$D802,Imput[[PERIODO Imp.]:[PERIODO Imp.]],BM$9)</f>
        <v>0</v>
      </c>
      <c r="BN802" s="693">
        <f>SUMIFS(Imput[[Importe Neto]:[Importe Neto]],Imput[[C. Imp.]:[C. Imp.]],$D802,Imput[[PERIODO Imp.]:[PERIODO Imp.]],BN$9)</f>
        <v>0</v>
      </c>
      <c r="BO802" s="693">
        <f>SUMIFS(Imput[[Importe Neto]:[Importe Neto]],Imput[[C. Imp.]:[C. Imp.]],$D802,Imput[[PERIODO Imp.]:[PERIODO Imp.]],BO$9)</f>
        <v>0</v>
      </c>
      <c r="BP802" s="693">
        <f>SUMIFS(Imput[[Importe Neto]:[Importe Neto]],Imput[[C. Imp.]:[C. Imp.]],$D802,Imput[[PERIODO Imp.]:[PERIODO Imp.]],BP$9)</f>
        <v>0</v>
      </c>
      <c r="BQ802" s="693">
        <f>SUMIFS(Imput[[Importe Neto]:[Importe Neto]],Imput[[C. Imp.]:[C. Imp.]],$D802,Imput[[PERIODO Imp.]:[PERIODO Imp.]],BQ$9)</f>
        <v>0</v>
      </c>
      <c r="BR802" s="693">
        <f>SUMIFS(Imput[[Importe Neto]:[Importe Neto]],Imput[[C. Imp.]:[C. Imp.]],$D802,Imput[[PERIODO Imp.]:[PERIODO Imp.]],BR$9)</f>
        <v>0</v>
      </c>
      <c r="BS802" s="693">
        <f>SUMIFS(Imput[[Importe Neto]:[Importe Neto]],Imput[[C. Imp.]:[C. Imp.]],$D802,Imput[[PERIODO Imp.]:[PERIODO Imp.]],BS$9)</f>
        <v>0</v>
      </c>
      <c r="BT802" s="693">
        <f>SUMIFS(Imput[[Importe Neto]:[Importe Neto]],Imput[[C. Imp.]:[C. Imp.]],$D802,Imput[[PERIODO Imp.]:[PERIODO Imp.]],BT$9)</f>
        <v>0</v>
      </c>
      <c r="BU802" s="693">
        <f>SUMIFS(Imput[[Importe Neto]:[Importe Neto]],Imput[[C. Imp.]:[C. Imp.]],$D802,Imput[[PERIODO Imp.]:[PERIODO Imp.]],BU$9)</f>
        <v>0</v>
      </c>
      <c r="BV802" s="693">
        <f>SUMIFS(Imput[[Importe Neto]:[Importe Neto]],Imput[[C. Imp.]:[C. Imp.]],$D802,Imput[[PERIODO Imp.]:[PERIODO Imp.]],BV$9)</f>
        <v>0</v>
      </c>
      <c r="BW802" s="693">
        <f>SUMIFS(Imput[[Importe Neto]:[Importe Neto]],Imput[[C. Imp.]:[C. Imp.]],$D802,Imput[[PERIODO Imp.]:[PERIODO Imp.]],BW$9)</f>
        <v>0</v>
      </c>
      <c r="BX802" s="693">
        <f>SUMIFS(Imput[[Importe Neto]:[Importe Neto]],Imput[[C. Imp.]:[C. Imp.]],$D802,Imput[[PERIODO Imp.]:[PERIODO Imp.]],BX$9)</f>
        <v>0</v>
      </c>
      <c r="BY802" s="693">
        <f>SUMIFS(Imput[[Importe Neto]:[Importe Neto]],Imput[[C. Imp.]:[C. Imp.]],$D802,Imput[[PERIODO Imp.]:[PERIODO Imp.]],BY$9)</f>
        <v>0</v>
      </c>
      <c r="BZ802" s="693">
        <f>SUMIFS(Imput[[Importe Neto]:[Importe Neto]],Imput[[C. Imp.]:[C. Imp.]],$D802,Imput[[PERIODO Imp.]:[PERIODO Imp.]],BZ$9)</f>
        <v>0</v>
      </c>
      <c r="CA802" s="693">
        <f>SUMIFS(Imput[[Importe Neto]:[Importe Neto]],Imput[[C. Imp.]:[C. Imp.]],$D802,Imput[[PERIODO Imp.]:[PERIODO Imp.]],CA$9)</f>
        <v>0</v>
      </c>
      <c r="CB802" s="693">
        <f>SUMIFS(Imput[[Importe Neto]:[Importe Neto]],Imput[[C. Imp.]:[C. Imp.]],$D802,Imput[[PERIODO Imp.]:[PERIODO Imp.]],CB$9)</f>
        <v>0</v>
      </c>
      <c r="CC802" s="693">
        <f>SUMIFS(Imput[[Importe Neto]:[Importe Neto]],Imput[[C. Imp.]:[C. Imp.]],$D802,Imput[[PERIODO Imp.]:[PERIODO Imp.]],CC$9)</f>
        <v>0</v>
      </c>
      <c r="CD802" s="693">
        <f>SUMIFS(Imput[[Importe Neto]:[Importe Neto]],Imput[[C. Imp.]:[C. Imp.]],$D802,Imput[[PERIODO Imp.]:[PERIODO Imp.]],CD$9)</f>
        <v>0</v>
      </c>
      <c r="CE802" s="693">
        <f>SUMIFS(Imput[[Importe Neto]:[Importe Neto]],Imput[[C. Imp.]:[C. Imp.]],$D802,Imput[[PERIODO Imp.]:[PERIODO Imp.]],CE$9)</f>
        <v>0</v>
      </c>
      <c r="CF802" s="693">
        <f>SUMIFS(Imput[[Importe Neto]:[Importe Neto]],Imput[[C. Imp.]:[C. Imp.]],$D802,Imput[[PERIODO Imp.]:[PERIODO Imp.]],CF$9)</f>
        <v>0</v>
      </c>
      <c r="CG802" s="693">
        <f>SUMIFS(Imput[[Importe Neto]:[Importe Neto]],Imput[[C. Imp.]:[C. Imp.]],$D802,Imput[[PERIODO Imp.]:[PERIODO Imp.]],CG$9)</f>
        <v>0</v>
      </c>
      <c r="CH802" s="693">
        <f>SUMIFS(Imput[[Importe Neto]:[Importe Neto]],Imput[[C. Imp.]:[C. Imp.]],$D802,Imput[[PERIODO Imp.]:[PERIODO Imp.]],CH$9)</f>
        <v>0</v>
      </c>
      <c r="CI802" s="693">
        <f>SUMIFS(Imput[[Importe Neto]:[Importe Neto]],Imput[[C. Imp.]:[C. Imp.]],$D802,Imput[[PERIODO Imp.]:[PERIODO Imp.]],CI$9)</f>
        <v>0</v>
      </c>
      <c r="CJ802" s="693">
        <f>SUMIFS(Imput[[Importe Neto]:[Importe Neto]],Imput[[C. Imp.]:[C. Imp.]],$D802,Imput[[PERIODO Imp.]:[PERIODO Imp.]],CJ$9)</f>
        <v>0</v>
      </c>
      <c r="CK802" s="693">
        <f>SUMIFS(Imput[[Importe Neto]:[Importe Neto]],Imput[[C. Imp.]:[C. Imp.]],$D802,Imput[[PERIODO Imp.]:[PERIODO Imp.]],CK$9)</f>
        <v>0</v>
      </c>
      <c r="CL802" s="693">
        <f>SUMIFS(Imput[[Importe Neto]:[Importe Neto]],Imput[[C. Imp.]:[C. Imp.]],$D802,Imput[[PERIODO Imp.]:[PERIODO Imp.]],CL$9)</f>
        <v>0</v>
      </c>
      <c r="CM802" s="693">
        <f>SUMIFS(Imput[[Importe Neto]:[Importe Neto]],Imput[[C. Imp.]:[C. Imp.]],$D802,Imput[[PERIODO Imp.]:[PERIODO Imp.]],CM$9)</f>
        <v>0</v>
      </c>
      <c r="CN802" s="693">
        <f>SUMIFS(Imput[[Importe Neto]:[Importe Neto]],Imput[[C. Imp.]:[C. Imp.]],$D802,Imput[[PERIODO Imp.]:[PERIODO Imp.]],CN$9)</f>
        <v>0</v>
      </c>
      <c r="CO802" s="693">
        <f>SUMIFS(Imput[[Importe Neto]:[Importe Neto]],Imput[[C. Imp.]:[C. Imp.]],$D802,Imput[[PERIODO Imp.]:[PERIODO Imp.]],CO$9)</f>
        <v>0</v>
      </c>
      <c r="CP802" s="693">
        <f>SUMIFS(Imput[[Importe Neto]:[Importe Neto]],Imput[[C. Imp.]:[C. Imp.]],$D802,Imput[[PERIODO Imp.]:[PERIODO Imp.]],CP$9)</f>
        <v>0</v>
      </c>
      <c r="CQ802" s="693">
        <f>SUMIFS(Imput[[Importe Neto]:[Importe Neto]],Imput[[C. Imp.]:[C. Imp.]],$D802,Imput[[PERIODO Imp.]:[PERIODO Imp.]],CQ$9)</f>
        <v>0</v>
      </c>
      <c r="CR802" s="693">
        <f>SUMIFS(Imput[[Importe Neto]:[Importe Neto]],Imput[[C. Imp.]:[C. Imp.]],$D802,Imput[[PERIODO Imp.]:[PERIODO Imp.]],CR$9)</f>
        <v>0</v>
      </c>
      <c r="CS802" s="693">
        <f>SUMIFS(Imput[[Importe Neto]:[Importe Neto]],Imput[[C. Imp.]:[C. Imp.]],$D802,Imput[[PERIODO Imp.]:[PERIODO Imp.]],CS$9)</f>
        <v>0</v>
      </c>
      <c r="CT802" s="693">
        <f>SUMIFS(Imput[[Importe Neto]:[Importe Neto]],Imput[[C. Imp.]:[C. Imp.]],$D802,Imput[[PERIODO Imp.]:[PERIODO Imp.]],CT$9)</f>
        <v>0</v>
      </c>
      <c r="CU802" s="693">
        <f>SUMIFS(Imput[[Importe Neto]:[Importe Neto]],Imput[[C. Imp.]:[C. Imp.]],$D802,Imput[[PERIODO Imp.]:[PERIODO Imp.]],CU$9)</f>
        <v>0</v>
      </c>
      <c r="CV802" s="693">
        <f>SUMIFS(Imput[[Importe Neto]:[Importe Neto]],Imput[[C. Imp.]:[C. Imp.]],$D802,Imput[[PERIODO Imp.]:[PERIODO Imp.]],CV$9)</f>
        <v>0</v>
      </c>
      <c r="CW802" s="693">
        <f>SUMIFS(Imput[[Importe Neto]:[Importe Neto]],Imput[[C. Imp.]:[C. Imp.]],$D802,Imput[[PERIODO Imp.]:[PERIODO Imp.]],CW$9)</f>
        <v>0</v>
      </c>
      <c r="CX802" s="693">
        <f>SUMIFS(Imput[[Importe Neto]:[Importe Neto]],Imput[[C. Imp.]:[C. Imp.]],$D802,Imput[[PERIODO Imp.]:[PERIODO Imp.]],CX$9)</f>
        <v>0</v>
      </c>
      <c r="CY802" s="693">
        <f>SUMIFS(Imput[[Importe Neto]:[Importe Neto]],Imput[[C. Imp.]:[C. Imp.]],$D802,Imput[[PERIODO Imp.]:[PERIODO Imp.]],CY$9)</f>
        <v>0</v>
      </c>
      <c r="CZ802" s="693">
        <f>SUMIFS(Imput[[Importe Neto]:[Importe Neto]],Imput[[C. Imp.]:[C. Imp.]],$D802,Imput[[PERIODO Imp.]:[PERIODO Imp.]],CZ$9)</f>
        <v>0</v>
      </c>
      <c r="DA802" s="693">
        <f>SUMIFS(Imput[[Importe Neto]:[Importe Neto]],Imput[[C. Imp.]:[C. Imp.]],$D802,Imput[[PERIODO Imp.]:[PERIODO Imp.]],DA$9)</f>
        <v>0</v>
      </c>
      <c r="DB802" s="693">
        <f>SUMIFS(Imput[[Importe Neto]:[Importe Neto]],Imput[[C. Imp.]:[C. Imp.]],$D802,Imput[[PERIODO Imp.]:[PERIODO Imp.]],DB$9)</f>
        <v>0</v>
      </c>
      <c r="DC802" s="693">
        <f>SUMIFS(Imput[[Importe Neto]:[Importe Neto]],Imput[[C. Imp.]:[C. Imp.]],$D802,Imput[[PERIODO Imp.]:[PERIODO Imp.]],DC$9)</f>
        <v>0</v>
      </c>
      <c r="DD802" s="693">
        <f>SUMIFS(Imput[[Importe Neto]:[Importe Neto]],Imput[[C. Imp.]:[C. Imp.]],$D802,Imput[[PERIODO Imp.]:[PERIODO Imp.]],DD$9)</f>
        <v>0</v>
      </c>
      <c r="DE802" s="693">
        <f>SUMIFS(Imput[[Importe Neto]:[Importe Neto]],Imput[[C. Imp.]:[C. Imp.]],$D802,Imput[[PERIODO Imp.]:[PERIODO Imp.]],DE$9)</f>
        <v>0</v>
      </c>
      <c r="DF802" s="693">
        <f>SUMIFS(Imput[[Importe Neto]:[Importe Neto]],Imput[[C. Imp.]:[C. Imp.]],$D802,Imput[[PERIODO Imp.]:[PERIODO Imp.]],DF$9)</f>
        <v>0</v>
      </c>
      <c r="DG802" s="693">
        <f>SUMIFS(Imput[[Importe Neto]:[Importe Neto]],Imput[[C. Imp.]:[C. Imp.]],$D802,Imput[[PERIODO Imp.]:[PERIODO Imp.]],DG$9)</f>
        <v>0</v>
      </c>
      <c r="DH802" s="694">
        <f>SUMIFS(Imput[[Importe Neto]:[Importe Neto]],Imput[[C. Imp.]:[C. Imp.]],$D802,Imput[[PERIODO Imp.]:[PERIODO Imp.]],DH$9)</f>
        <v>0</v>
      </c>
    </row>
    <row r="803" spans="1:112" s="649" customFormat="1" hidden="1" outlineLevel="1" x14ac:dyDescent="0.3">
      <c r="A803" s="652" t="str">
        <f t="shared" si="280"/>
        <v/>
      </c>
      <c r="B803" s="652"/>
      <c r="C803" s="685"/>
      <c r="D803" s="686" t="s">
        <v>2783</v>
      </c>
      <c r="E803" s="686"/>
      <c r="F803" s="720"/>
      <c r="G803" s="688"/>
      <c r="H803" s="689"/>
      <c r="I803" s="851" t="str">
        <f t="shared" si="281"/>
        <v/>
      </c>
      <c r="J803" s="850" t="str">
        <f t="shared" si="282"/>
        <v/>
      </c>
      <c r="K803" s="667"/>
      <c r="L803" s="858"/>
      <c r="M803" s="859"/>
      <c r="N803" s="859"/>
      <c r="O803" s="859"/>
      <c r="P803" s="859"/>
      <c r="Q803" s="859"/>
      <c r="R803" s="859"/>
      <c r="S803" s="859"/>
      <c r="T803" s="859"/>
      <c r="U803" s="859"/>
      <c r="V803" s="859"/>
      <c r="W803" s="859"/>
      <c r="X803" s="859"/>
      <c r="Y803" s="859"/>
      <c r="Z803" s="860"/>
      <c r="AA803" s="860"/>
      <c r="AB803" s="860"/>
      <c r="AC803" s="860"/>
      <c r="AD803" s="860"/>
      <c r="AE803" s="860"/>
      <c r="AF803" s="860"/>
      <c r="AG803" s="860"/>
      <c r="AH803" s="860"/>
      <c r="AI803" s="860"/>
      <c r="AJ803" s="860"/>
      <c r="AK803" s="860"/>
      <c r="AL803" s="860"/>
      <c r="AM803" s="860"/>
      <c r="AN803" s="860"/>
      <c r="AO803" s="860"/>
      <c r="AP803" s="860"/>
      <c r="AQ803" s="860"/>
      <c r="AR803" s="860"/>
      <c r="AS803" s="860"/>
      <c r="AT803" s="860"/>
      <c r="AU803" s="860"/>
      <c r="AV803" s="860"/>
      <c r="AW803" s="860"/>
      <c r="AX803" s="860"/>
      <c r="AY803" s="860"/>
      <c r="AZ803" s="860"/>
      <c r="BA803" s="860"/>
      <c r="BB803" s="860"/>
      <c r="BC803" s="860"/>
      <c r="BD803" s="860"/>
      <c r="BE803" s="860"/>
      <c r="BF803" s="860"/>
      <c r="BG803" s="860"/>
      <c r="BH803" s="668"/>
      <c r="BI803" s="667"/>
      <c r="BJ803" s="690">
        <f t="shared" si="283"/>
        <v>0</v>
      </c>
      <c r="BK803" s="691">
        <f t="shared" si="284"/>
        <v>0</v>
      </c>
      <c r="BL803" s="654"/>
      <c r="BM803" s="692">
        <f>SUMIFS(Imput[[Importe Neto]:[Importe Neto]],Imput[[C. Imp.]:[C. Imp.]],$D803,Imput[[PERIODO Imp.]:[PERIODO Imp.]],BM$9)</f>
        <v>0</v>
      </c>
      <c r="BN803" s="693">
        <f>SUMIFS(Imput[[Importe Neto]:[Importe Neto]],Imput[[C. Imp.]:[C. Imp.]],$D803,Imput[[PERIODO Imp.]:[PERIODO Imp.]],BN$9)</f>
        <v>0</v>
      </c>
      <c r="BO803" s="693">
        <f>SUMIFS(Imput[[Importe Neto]:[Importe Neto]],Imput[[C. Imp.]:[C. Imp.]],$D803,Imput[[PERIODO Imp.]:[PERIODO Imp.]],BO$9)</f>
        <v>0</v>
      </c>
      <c r="BP803" s="693">
        <f>SUMIFS(Imput[[Importe Neto]:[Importe Neto]],Imput[[C. Imp.]:[C. Imp.]],$D803,Imput[[PERIODO Imp.]:[PERIODO Imp.]],BP$9)</f>
        <v>0</v>
      </c>
      <c r="BQ803" s="693">
        <f>SUMIFS(Imput[[Importe Neto]:[Importe Neto]],Imput[[C. Imp.]:[C. Imp.]],$D803,Imput[[PERIODO Imp.]:[PERIODO Imp.]],BQ$9)</f>
        <v>0</v>
      </c>
      <c r="BR803" s="693">
        <f>SUMIFS(Imput[[Importe Neto]:[Importe Neto]],Imput[[C. Imp.]:[C. Imp.]],$D803,Imput[[PERIODO Imp.]:[PERIODO Imp.]],BR$9)</f>
        <v>0</v>
      </c>
      <c r="BS803" s="693">
        <f>SUMIFS(Imput[[Importe Neto]:[Importe Neto]],Imput[[C. Imp.]:[C. Imp.]],$D803,Imput[[PERIODO Imp.]:[PERIODO Imp.]],BS$9)</f>
        <v>0</v>
      </c>
      <c r="BT803" s="693">
        <f>SUMIFS(Imput[[Importe Neto]:[Importe Neto]],Imput[[C. Imp.]:[C. Imp.]],$D803,Imput[[PERIODO Imp.]:[PERIODO Imp.]],BT$9)</f>
        <v>0</v>
      </c>
      <c r="BU803" s="693">
        <f>SUMIFS(Imput[[Importe Neto]:[Importe Neto]],Imput[[C. Imp.]:[C. Imp.]],$D803,Imput[[PERIODO Imp.]:[PERIODO Imp.]],BU$9)</f>
        <v>0</v>
      </c>
      <c r="BV803" s="693">
        <f>SUMIFS(Imput[[Importe Neto]:[Importe Neto]],Imput[[C. Imp.]:[C. Imp.]],$D803,Imput[[PERIODO Imp.]:[PERIODO Imp.]],BV$9)</f>
        <v>0</v>
      </c>
      <c r="BW803" s="693">
        <f>SUMIFS(Imput[[Importe Neto]:[Importe Neto]],Imput[[C. Imp.]:[C. Imp.]],$D803,Imput[[PERIODO Imp.]:[PERIODO Imp.]],BW$9)</f>
        <v>0</v>
      </c>
      <c r="BX803" s="693">
        <f>SUMIFS(Imput[[Importe Neto]:[Importe Neto]],Imput[[C. Imp.]:[C. Imp.]],$D803,Imput[[PERIODO Imp.]:[PERIODO Imp.]],BX$9)</f>
        <v>0</v>
      </c>
      <c r="BY803" s="693">
        <f>SUMIFS(Imput[[Importe Neto]:[Importe Neto]],Imput[[C. Imp.]:[C. Imp.]],$D803,Imput[[PERIODO Imp.]:[PERIODO Imp.]],BY$9)</f>
        <v>0</v>
      </c>
      <c r="BZ803" s="693">
        <f>SUMIFS(Imput[[Importe Neto]:[Importe Neto]],Imput[[C. Imp.]:[C. Imp.]],$D803,Imput[[PERIODO Imp.]:[PERIODO Imp.]],BZ$9)</f>
        <v>0</v>
      </c>
      <c r="CA803" s="693">
        <f>SUMIFS(Imput[[Importe Neto]:[Importe Neto]],Imput[[C. Imp.]:[C. Imp.]],$D803,Imput[[PERIODO Imp.]:[PERIODO Imp.]],CA$9)</f>
        <v>0</v>
      </c>
      <c r="CB803" s="693">
        <f>SUMIFS(Imput[[Importe Neto]:[Importe Neto]],Imput[[C. Imp.]:[C. Imp.]],$D803,Imput[[PERIODO Imp.]:[PERIODO Imp.]],CB$9)</f>
        <v>0</v>
      </c>
      <c r="CC803" s="693">
        <f>SUMIFS(Imput[[Importe Neto]:[Importe Neto]],Imput[[C. Imp.]:[C. Imp.]],$D803,Imput[[PERIODO Imp.]:[PERIODO Imp.]],CC$9)</f>
        <v>0</v>
      </c>
      <c r="CD803" s="693">
        <f>SUMIFS(Imput[[Importe Neto]:[Importe Neto]],Imput[[C. Imp.]:[C. Imp.]],$D803,Imput[[PERIODO Imp.]:[PERIODO Imp.]],CD$9)</f>
        <v>0</v>
      </c>
      <c r="CE803" s="693">
        <f>SUMIFS(Imput[[Importe Neto]:[Importe Neto]],Imput[[C. Imp.]:[C. Imp.]],$D803,Imput[[PERIODO Imp.]:[PERIODO Imp.]],CE$9)</f>
        <v>0</v>
      </c>
      <c r="CF803" s="693">
        <f>SUMIFS(Imput[[Importe Neto]:[Importe Neto]],Imput[[C. Imp.]:[C. Imp.]],$D803,Imput[[PERIODO Imp.]:[PERIODO Imp.]],CF$9)</f>
        <v>0</v>
      </c>
      <c r="CG803" s="693">
        <f>SUMIFS(Imput[[Importe Neto]:[Importe Neto]],Imput[[C. Imp.]:[C. Imp.]],$D803,Imput[[PERIODO Imp.]:[PERIODO Imp.]],CG$9)</f>
        <v>0</v>
      </c>
      <c r="CH803" s="693">
        <f>SUMIFS(Imput[[Importe Neto]:[Importe Neto]],Imput[[C. Imp.]:[C. Imp.]],$D803,Imput[[PERIODO Imp.]:[PERIODO Imp.]],CH$9)</f>
        <v>0</v>
      </c>
      <c r="CI803" s="693">
        <f>SUMIFS(Imput[[Importe Neto]:[Importe Neto]],Imput[[C. Imp.]:[C. Imp.]],$D803,Imput[[PERIODO Imp.]:[PERIODO Imp.]],CI$9)</f>
        <v>0</v>
      </c>
      <c r="CJ803" s="693">
        <f>SUMIFS(Imput[[Importe Neto]:[Importe Neto]],Imput[[C. Imp.]:[C. Imp.]],$D803,Imput[[PERIODO Imp.]:[PERIODO Imp.]],CJ$9)</f>
        <v>0</v>
      </c>
      <c r="CK803" s="693">
        <f>SUMIFS(Imput[[Importe Neto]:[Importe Neto]],Imput[[C. Imp.]:[C. Imp.]],$D803,Imput[[PERIODO Imp.]:[PERIODO Imp.]],CK$9)</f>
        <v>0</v>
      </c>
      <c r="CL803" s="693">
        <f>SUMIFS(Imput[[Importe Neto]:[Importe Neto]],Imput[[C. Imp.]:[C. Imp.]],$D803,Imput[[PERIODO Imp.]:[PERIODO Imp.]],CL$9)</f>
        <v>0</v>
      </c>
      <c r="CM803" s="693">
        <f>SUMIFS(Imput[[Importe Neto]:[Importe Neto]],Imput[[C. Imp.]:[C. Imp.]],$D803,Imput[[PERIODO Imp.]:[PERIODO Imp.]],CM$9)</f>
        <v>0</v>
      </c>
      <c r="CN803" s="693">
        <f>SUMIFS(Imput[[Importe Neto]:[Importe Neto]],Imput[[C. Imp.]:[C. Imp.]],$D803,Imput[[PERIODO Imp.]:[PERIODO Imp.]],CN$9)</f>
        <v>0</v>
      </c>
      <c r="CO803" s="693">
        <f>SUMIFS(Imput[[Importe Neto]:[Importe Neto]],Imput[[C. Imp.]:[C. Imp.]],$D803,Imput[[PERIODO Imp.]:[PERIODO Imp.]],CO$9)</f>
        <v>0</v>
      </c>
      <c r="CP803" s="693">
        <f>SUMIFS(Imput[[Importe Neto]:[Importe Neto]],Imput[[C. Imp.]:[C. Imp.]],$D803,Imput[[PERIODO Imp.]:[PERIODO Imp.]],CP$9)</f>
        <v>0</v>
      </c>
      <c r="CQ803" s="693">
        <f>SUMIFS(Imput[[Importe Neto]:[Importe Neto]],Imput[[C. Imp.]:[C. Imp.]],$D803,Imput[[PERIODO Imp.]:[PERIODO Imp.]],CQ$9)</f>
        <v>0</v>
      </c>
      <c r="CR803" s="693">
        <f>SUMIFS(Imput[[Importe Neto]:[Importe Neto]],Imput[[C. Imp.]:[C. Imp.]],$D803,Imput[[PERIODO Imp.]:[PERIODO Imp.]],CR$9)</f>
        <v>0</v>
      </c>
      <c r="CS803" s="693">
        <f>SUMIFS(Imput[[Importe Neto]:[Importe Neto]],Imput[[C. Imp.]:[C. Imp.]],$D803,Imput[[PERIODO Imp.]:[PERIODO Imp.]],CS$9)</f>
        <v>0</v>
      </c>
      <c r="CT803" s="693">
        <f>SUMIFS(Imput[[Importe Neto]:[Importe Neto]],Imput[[C. Imp.]:[C. Imp.]],$D803,Imput[[PERIODO Imp.]:[PERIODO Imp.]],CT$9)</f>
        <v>0</v>
      </c>
      <c r="CU803" s="693">
        <f>SUMIFS(Imput[[Importe Neto]:[Importe Neto]],Imput[[C. Imp.]:[C. Imp.]],$D803,Imput[[PERIODO Imp.]:[PERIODO Imp.]],CU$9)</f>
        <v>0</v>
      </c>
      <c r="CV803" s="693">
        <f>SUMIFS(Imput[[Importe Neto]:[Importe Neto]],Imput[[C. Imp.]:[C. Imp.]],$D803,Imput[[PERIODO Imp.]:[PERIODO Imp.]],CV$9)</f>
        <v>0</v>
      </c>
      <c r="CW803" s="693">
        <f>SUMIFS(Imput[[Importe Neto]:[Importe Neto]],Imput[[C. Imp.]:[C. Imp.]],$D803,Imput[[PERIODO Imp.]:[PERIODO Imp.]],CW$9)</f>
        <v>0</v>
      </c>
      <c r="CX803" s="693">
        <f>SUMIFS(Imput[[Importe Neto]:[Importe Neto]],Imput[[C. Imp.]:[C. Imp.]],$D803,Imput[[PERIODO Imp.]:[PERIODO Imp.]],CX$9)</f>
        <v>0</v>
      </c>
      <c r="CY803" s="693">
        <f>SUMIFS(Imput[[Importe Neto]:[Importe Neto]],Imput[[C. Imp.]:[C. Imp.]],$D803,Imput[[PERIODO Imp.]:[PERIODO Imp.]],CY$9)</f>
        <v>0</v>
      </c>
      <c r="CZ803" s="693">
        <f>SUMIFS(Imput[[Importe Neto]:[Importe Neto]],Imput[[C. Imp.]:[C. Imp.]],$D803,Imput[[PERIODO Imp.]:[PERIODO Imp.]],CZ$9)</f>
        <v>0</v>
      </c>
      <c r="DA803" s="693">
        <f>SUMIFS(Imput[[Importe Neto]:[Importe Neto]],Imput[[C. Imp.]:[C. Imp.]],$D803,Imput[[PERIODO Imp.]:[PERIODO Imp.]],DA$9)</f>
        <v>0</v>
      </c>
      <c r="DB803" s="693">
        <f>SUMIFS(Imput[[Importe Neto]:[Importe Neto]],Imput[[C. Imp.]:[C. Imp.]],$D803,Imput[[PERIODO Imp.]:[PERIODO Imp.]],DB$9)</f>
        <v>0</v>
      </c>
      <c r="DC803" s="693">
        <f>SUMIFS(Imput[[Importe Neto]:[Importe Neto]],Imput[[C. Imp.]:[C. Imp.]],$D803,Imput[[PERIODO Imp.]:[PERIODO Imp.]],DC$9)</f>
        <v>0</v>
      </c>
      <c r="DD803" s="693">
        <f>SUMIFS(Imput[[Importe Neto]:[Importe Neto]],Imput[[C. Imp.]:[C. Imp.]],$D803,Imput[[PERIODO Imp.]:[PERIODO Imp.]],DD$9)</f>
        <v>0</v>
      </c>
      <c r="DE803" s="693">
        <f>SUMIFS(Imput[[Importe Neto]:[Importe Neto]],Imput[[C. Imp.]:[C. Imp.]],$D803,Imput[[PERIODO Imp.]:[PERIODO Imp.]],DE$9)</f>
        <v>0</v>
      </c>
      <c r="DF803" s="693">
        <f>SUMIFS(Imput[[Importe Neto]:[Importe Neto]],Imput[[C. Imp.]:[C. Imp.]],$D803,Imput[[PERIODO Imp.]:[PERIODO Imp.]],DF$9)</f>
        <v>0</v>
      </c>
      <c r="DG803" s="693">
        <f>SUMIFS(Imput[[Importe Neto]:[Importe Neto]],Imput[[C. Imp.]:[C. Imp.]],$D803,Imput[[PERIODO Imp.]:[PERIODO Imp.]],DG$9)</f>
        <v>0</v>
      </c>
      <c r="DH803" s="694">
        <f>SUMIFS(Imput[[Importe Neto]:[Importe Neto]],Imput[[C. Imp.]:[C. Imp.]],$D803,Imput[[PERIODO Imp.]:[PERIODO Imp.]],DH$9)</f>
        <v>0</v>
      </c>
    </row>
    <row r="804" spans="1:112" s="649" customFormat="1" hidden="1" outlineLevel="1" x14ac:dyDescent="0.3">
      <c r="A804" s="652" t="str">
        <f t="shared" si="280"/>
        <v/>
      </c>
      <c r="B804" s="652"/>
      <c r="C804" s="685"/>
      <c r="D804" s="686" t="s">
        <v>2784</v>
      </c>
      <c r="E804" s="686"/>
      <c r="F804" s="720"/>
      <c r="G804" s="688"/>
      <c r="H804" s="689"/>
      <c r="I804" s="851" t="str">
        <f t="shared" si="281"/>
        <v/>
      </c>
      <c r="J804" s="850" t="str">
        <f t="shared" si="282"/>
        <v/>
      </c>
      <c r="K804" s="667"/>
      <c r="L804" s="858"/>
      <c r="M804" s="859"/>
      <c r="N804" s="859"/>
      <c r="O804" s="859"/>
      <c r="P804" s="859"/>
      <c r="Q804" s="859"/>
      <c r="R804" s="859"/>
      <c r="S804" s="859"/>
      <c r="T804" s="859"/>
      <c r="U804" s="859"/>
      <c r="V804" s="859"/>
      <c r="W804" s="859"/>
      <c r="X804" s="859"/>
      <c r="Y804" s="859"/>
      <c r="Z804" s="860"/>
      <c r="AA804" s="860"/>
      <c r="AB804" s="860"/>
      <c r="AC804" s="860"/>
      <c r="AD804" s="860"/>
      <c r="AE804" s="860"/>
      <c r="AF804" s="860"/>
      <c r="AG804" s="860"/>
      <c r="AH804" s="860"/>
      <c r="AI804" s="860"/>
      <c r="AJ804" s="860"/>
      <c r="AK804" s="860"/>
      <c r="AL804" s="860"/>
      <c r="AM804" s="860"/>
      <c r="AN804" s="860"/>
      <c r="AO804" s="860"/>
      <c r="AP804" s="860"/>
      <c r="AQ804" s="860"/>
      <c r="AR804" s="860"/>
      <c r="AS804" s="860"/>
      <c r="AT804" s="860"/>
      <c r="AU804" s="860"/>
      <c r="AV804" s="860"/>
      <c r="AW804" s="860"/>
      <c r="AX804" s="860"/>
      <c r="AY804" s="860"/>
      <c r="AZ804" s="860"/>
      <c r="BA804" s="860"/>
      <c r="BB804" s="860"/>
      <c r="BC804" s="860"/>
      <c r="BD804" s="860"/>
      <c r="BE804" s="860"/>
      <c r="BF804" s="860"/>
      <c r="BG804" s="860"/>
      <c r="BH804" s="668"/>
      <c r="BI804" s="667"/>
      <c r="BJ804" s="690">
        <f t="shared" si="283"/>
        <v>0</v>
      </c>
      <c r="BK804" s="691">
        <f t="shared" si="284"/>
        <v>0</v>
      </c>
      <c r="BL804" s="654"/>
      <c r="BM804" s="692">
        <f>SUMIFS(Imput[[Importe Neto]:[Importe Neto]],Imput[[C. Imp.]:[C. Imp.]],$D804,Imput[[PERIODO Imp.]:[PERIODO Imp.]],BM$9)</f>
        <v>0</v>
      </c>
      <c r="BN804" s="693">
        <f>SUMIFS(Imput[[Importe Neto]:[Importe Neto]],Imput[[C. Imp.]:[C. Imp.]],$D804,Imput[[PERIODO Imp.]:[PERIODO Imp.]],BN$9)</f>
        <v>0</v>
      </c>
      <c r="BO804" s="693">
        <f>SUMIFS(Imput[[Importe Neto]:[Importe Neto]],Imput[[C. Imp.]:[C. Imp.]],$D804,Imput[[PERIODO Imp.]:[PERIODO Imp.]],BO$9)</f>
        <v>0</v>
      </c>
      <c r="BP804" s="693">
        <f>SUMIFS(Imput[[Importe Neto]:[Importe Neto]],Imput[[C. Imp.]:[C. Imp.]],$D804,Imput[[PERIODO Imp.]:[PERIODO Imp.]],BP$9)</f>
        <v>0</v>
      </c>
      <c r="BQ804" s="693">
        <f>SUMIFS(Imput[[Importe Neto]:[Importe Neto]],Imput[[C. Imp.]:[C. Imp.]],$D804,Imput[[PERIODO Imp.]:[PERIODO Imp.]],BQ$9)</f>
        <v>0</v>
      </c>
      <c r="BR804" s="693">
        <f>SUMIFS(Imput[[Importe Neto]:[Importe Neto]],Imput[[C. Imp.]:[C. Imp.]],$D804,Imput[[PERIODO Imp.]:[PERIODO Imp.]],BR$9)</f>
        <v>0</v>
      </c>
      <c r="BS804" s="693">
        <f>SUMIFS(Imput[[Importe Neto]:[Importe Neto]],Imput[[C. Imp.]:[C. Imp.]],$D804,Imput[[PERIODO Imp.]:[PERIODO Imp.]],BS$9)</f>
        <v>0</v>
      </c>
      <c r="BT804" s="693">
        <f>SUMIFS(Imput[[Importe Neto]:[Importe Neto]],Imput[[C. Imp.]:[C. Imp.]],$D804,Imput[[PERIODO Imp.]:[PERIODO Imp.]],BT$9)</f>
        <v>0</v>
      </c>
      <c r="BU804" s="693">
        <f>SUMIFS(Imput[[Importe Neto]:[Importe Neto]],Imput[[C. Imp.]:[C. Imp.]],$D804,Imput[[PERIODO Imp.]:[PERIODO Imp.]],BU$9)</f>
        <v>0</v>
      </c>
      <c r="BV804" s="693">
        <f>SUMIFS(Imput[[Importe Neto]:[Importe Neto]],Imput[[C. Imp.]:[C. Imp.]],$D804,Imput[[PERIODO Imp.]:[PERIODO Imp.]],BV$9)</f>
        <v>0</v>
      </c>
      <c r="BW804" s="693">
        <f>SUMIFS(Imput[[Importe Neto]:[Importe Neto]],Imput[[C. Imp.]:[C. Imp.]],$D804,Imput[[PERIODO Imp.]:[PERIODO Imp.]],BW$9)</f>
        <v>0</v>
      </c>
      <c r="BX804" s="693">
        <f>SUMIFS(Imput[[Importe Neto]:[Importe Neto]],Imput[[C. Imp.]:[C. Imp.]],$D804,Imput[[PERIODO Imp.]:[PERIODO Imp.]],BX$9)</f>
        <v>0</v>
      </c>
      <c r="BY804" s="693">
        <f>SUMIFS(Imput[[Importe Neto]:[Importe Neto]],Imput[[C. Imp.]:[C. Imp.]],$D804,Imput[[PERIODO Imp.]:[PERIODO Imp.]],BY$9)</f>
        <v>0</v>
      </c>
      <c r="BZ804" s="693">
        <f>SUMIFS(Imput[[Importe Neto]:[Importe Neto]],Imput[[C. Imp.]:[C. Imp.]],$D804,Imput[[PERIODO Imp.]:[PERIODO Imp.]],BZ$9)</f>
        <v>0</v>
      </c>
      <c r="CA804" s="693">
        <f>SUMIFS(Imput[[Importe Neto]:[Importe Neto]],Imput[[C. Imp.]:[C. Imp.]],$D804,Imput[[PERIODO Imp.]:[PERIODO Imp.]],CA$9)</f>
        <v>0</v>
      </c>
      <c r="CB804" s="693">
        <f>SUMIFS(Imput[[Importe Neto]:[Importe Neto]],Imput[[C. Imp.]:[C. Imp.]],$D804,Imput[[PERIODO Imp.]:[PERIODO Imp.]],CB$9)</f>
        <v>0</v>
      </c>
      <c r="CC804" s="693">
        <f>SUMIFS(Imput[[Importe Neto]:[Importe Neto]],Imput[[C. Imp.]:[C. Imp.]],$D804,Imput[[PERIODO Imp.]:[PERIODO Imp.]],CC$9)</f>
        <v>0</v>
      </c>
      <c r="CD804" s="693">
        <f>SUMIFS(Imput[[Importe Neto]:[Importe Neto]],Imput[[C. Imp.]:[C. Imp.]],$D804,Imput[[PERIODO Imp.]:[PERIODO Imp.]],CD$9)</f>
        <v>0</v>
      </c>
      <c r="CE804" s="693">
        <f>SUMIFS(Imput[[Importe Neto]:[Importe Neto]],Imput[[C. Imp.]:[C. Imp.]],$D804,Imput[[PERIODO Imp.]:[PERIODO Imp.]],CE$9)</f>
        <v>0</v>
      </c>
      <c r="CF804" s="693">
        <f>SUMIFS(Imput[[Importe Neto]:[Importe Neto]],Imput[[C. Imp.]:[C. Imp.]],$D804,Imput[[PERIODO Imp.]:[PERIODO Imp.]],CF$9)</f>
        <v>0</v>
      </c>
      <c r="CG804" s="693">
        <f>SUMIFS(Imput[[Importe Neto]:[Importe Neto]],Imput[[C. Imp.]:[C. Imp.]],$D804,Imput[[PERIODO Imp.]:[PERIODO Imp.]],CG$9)</f>
        <v>0</v>
      </c>
      <c r="CH804" s="693">
        <f>SUMIFS(Imput[[Importe Neto]:[Importe Neto]],Imput[[C. Imp.]:[C. Imp.]],$D804,Imput[[PERIODO Imp.]:[PERIODO Imp.]],CH$9)</f>
        <v>0</v>
      </c>
      <c r="CI804" s="693">
        <f>SUMIFS(Imput[[Importe Neto]:[Importe Neto]],Imput[[C. Imp.]:[C. Imp.]],$D804,Imput[[PERIODO Imp.]:[PERIODO Imp.]],CI$9)</f>
        <v>0</v>
      </c>
      <c r="CJ804" s="693">
        <f>SUMIFS(Imput[[Importe Neto]:[Importe Neto]],Imput[[C. Imp.]:[C. Imp.]],$D804,Imput[[PERIODO Imp.]:[PERIODO Imp.]],CJ$9)</f>
        <v>0</v>
      </c>
      <c r="CK804" s="693">
        <f>SUMIFS(Imput[[Importe Neto]:[Importe Neto]],Imput[[C. Imp.]:[C. Imp.]],$D804,Imput[[PERIODO Imp.]:[PERIODO Imp.]],CK$9)</f>
        <v>0</v>
      </c>
      <c r="CL804" s="693">
        <f>SUMIFS(Imput[[Importe Neto]:[Importe Neto]],Imput[[C. Imp.]:[C. Imp.]],$D804,Imput[[PERIODO Imp.]:[PERIODO Imp.]],CL$9)</f>
        <v>0</v>
      </c>
      <c r="CM804" s="693">
        <f>SUMIFS(Imput[[Importe Neto]:[Importe Neto]],Imput[[C. Imp.]:[C. Imp.]],$D804,Imput[[PERIODO Imp.]:[PERIODO Imp.]],CM$9)</f>
        <v>0</v>
      </c>
      <c r="CN804" s="693">
        <f>SUMIFS(Imput[[Importe Neto]:[Importe Neto]],Imput[[C. Imp.]:[C. Imp.]],$D804,Imput[[PERIODO Imp.]:[PERIODO Imp.]],CN$9)</f>
        <v>0</v>
      </c>
      <c r="CO804" s="693">
        <f>SUMIFS(Imput[[Importe Neto]:[Importe Neto]],Imput[[C. Imp.]:[C. Imp.]],$D804,Imput[[PERIODO Imp.]:[PERIODO Imp.]],CO$9)</f>
        <v>0</v>
      </c>
      <c r="CP804" s="693">
        <f>SUMIFS(Imput[[Importe Neto]:[Importe Neto]],Imput[[C. Imp.]:[C. Imp.]],$D804,Imput[[PERIODO Imp.]:[PERIODO Imp.]],CP$9)</f>
        <v>0</v>
      </c>
      <c r="CQ804" s="693">
        <f>SUMIFS(Imput[[Importe Neto]:[Importe Neto]],Imput[[C. Imp.]:[C. Imp.]],$D804,Imput[[PERIODO Imp.]:[PERIODO Imp.]],CQ$9)</f>
        <v>0</v>
      </c>
      <c r="CR804" s="693">
        <f>SUMIFS(Imput[[Importe Neto]:[Importe Neto]],Imput[[C. Imp.]:[C. Imp.]],$D804,Imput[[PERIODO Imp.]:[PERIODO Imp.]],CR$9)</f>
        <v>0</v>
      </c>
      <c r="CS804" s="693">
        <f>SUMIFS(Imput[[Importe Neto]:[Importe Neto]],Imput[[C. Imp.]:[C. Imp.]],$D804,Imput[[PERIODO Imp.]:[PERIODO Imp.]],CS$9)</f>
        <v>0</v>
      </c>
      <c r="CT804" s="693">
        <f>SUMIFS(Imput[[Importe Neto]:[Importe Neto]],Imput[[C. Imp.]:[C. Imp.]],$D804,Imput[[PERIODO Imp.]:[PERIODO Imp.]],CT$9)</f>
        <v>0</v>
      </c>
      <c r="CU804" s="693">
        <f>SUMIFS(Imput[[Importe Neto]:[Importe Neto]],Imput[[C. Imp.]:[C. Imp.]],$D804,Imput[[PERIODO Imp.]:[PERIODO Imp.]],CU$9)</f>
        <v>0</v>
      </c>
      <c r="CV804" s="693">
        <f>SUMIFS(Imput[[Importe Neto]:[Importe Neto]],Imput[[C. Imp.]:[C. Imp.]],$D804,Imput[[PERIODO Imp.]:[PERIODO Imp.]],CV$9)</f>
        <v>0</v>
      </c>
      <c r="CW804" s="693">
        <f>SUMIFS(Imput[[Importe Neto]:[Importe Neto]],Imput[[C. Imp.]:[C. Imp.]],$D804,Imput[[PERIODO Imp.]:[PERIODO Imp.]],CW$9)</f>
        <v>0</v>
      </c>
      <c r="CX804" s="693">
        <f>SUMIFS(Imput[[Importe Neto]:[Importe Neto]],Imput[[C. Imp.]:[C. Imp.]],$D804,Imput[[PERIODO Imp.]:[PERIODO Imp.]],CX$9)</f>
        <v>0</v>
      </c>
      <c r="CY804" s="693">
        <f>SUMIFS(Imput[[Importe Neto]:[Importe Neto]],Imput[[C. Imp.]:[C. Imp.]],$D804,Imput[[PERIODO Imp.]:[PERIODO Imp.]],CY$9)</f>
        <v>0</v>
      </c>
      <c r="CZ804" s="693">
        <f>SUMIFS(Imput[[Importe Neto]:[Importe Neto]],Imput[[C. Imp.]:[C. Imp.]],$D804,Imput[[PERIODO Imp.]:[PERIODO Imp.]],CZ$9)</f>
        <v>0</v>
      </c>
      <c r="DA804" s="693">
        <f>SUMIFS(Imput[[Importe Neto]:[Importe Neto]],Imput[[C. Imp.]:[C. Imp.]],$D804,Imput[[PERIODO Imp.]:[PERIODO Imp.]],DA$9)</f>
        <v>0</v>
      </c>
      <c r="DB804" s="693">
        <f>SUMIFS(Imput[[Importe Neto]:[Importe Neto]],Imput[[C. Imp.]:[C. Imp.]],$D804,Imput[[PERIODO Imp.]:[PERIODO Imp.]],DB$9)</f>
        <v>0</v>
      </c>
      <c r="DC804" s="693">
        <f>SUMIFS(Imput[[Importe Neto]:[Importe Neto]],Imput[[C. Imp.]:[C. Imp.]],$D804,Imput[[PERIODO Imp.]:[PERIODO Imp.]],DC$9)</f>
        <v>0</v>
      </c>
      <c r="DD804" s="693">
        <f>SUMIFS(Imput[[Importe Neto]:[Importe Neto]],Imput[[C. Imp.]:[C. Imp.]],$D804,Imput[[PERIODO Imp.]:[PERIODO Imp.]],DD$9)</f>
        <v>0</v>
      </c>
      <c r="DE804" s="693">
        <f>SUMIFS(Imput[[Importe Neto]:[Importe Neto]],Imput[[C. Imp.]:[C. Imp.]],$D804,Imput[[PERIODO Imp.]:[PERIODO Imp.]],DE$9)</f>
        <v>0</v>
      </c>
      <c r="DF804" s="693">
        <f>SUMIFS(Imput[[Importe Neto]:[Importe Neto]],Imput[[C. Imp.]:[C. Imp.]],$D804,Imput[[PERIODO Imp.]:[PERIODO Imp.]],DF$9)</f>
        <v>0</v>
      </c>
      <c r="DG804" s="693">
        <f>SUMIFS(Imput[[Importe Neto]:[Importe Neto]],Imput[[C. Imp.]:[C. Imp.]],$D804,Imput[[PERIODO Imp.]:[PERIODO Imp.]],DG$9)</f>
        <v>0</v>
      </c>
      <c r="DH804" s="694">
        <f>SUMIFS(Imput[[Importe Neto]:[Importe Neto]],Imput[[C. Imp.]:[C. Imp.]],$D804,Imput[[PERIODO Imp.]:[PERIODO Imp.]],DH$9)</f>
        <v>0</v>
      </c>
    </row>
    <row r="805" spans="1:112" s="649" customFormat="1" hidden="1" outlineLevel="1" x14ac:dyDescent="0.3">
      <c r="A805" s="652" t="str">
        <f t="shared" si="280"/>
        <v/>
      </c>
      <c r="B805" s="652"/>
      <c r="C805" s="685"/>
      <c r="D805" s="686" t="s">
        <v>2785</v>
      </c>
      <c r="E805" s="686"/>
      <c r="F805" s="720"/>
      <c r="G805" s="688"/>
      <c r="H805" s="689"/>
      <c r="I805" s="851" t="str">
        <f t="shared" si="281"/>
        <v/>
      </c>
      <c r="J805" s="850" t="str">
        <f t="shared" si="282"/>
        <v/>
      </c>
      <c r="K805" s="667"/>
      <c r="L805" s="858"/>
      <c r="M805" s="859"/>
      <c r="N805" s="859"/>
      <c r="O805" s="859"/>
      <c r="P805" s="859"/>
      <c r="Q805" s="859"/>
      <c r="R805" s="859"/>
      <c r="S805" s="859"/>
      <c r="T805" s="859"/>
      <c r="U805" s="859"/>
      <c r="V805" s="859"/>
      <c r="W805" s="859"/>
      <c r="X805" s="859"/>
      <c r="Y805" s="859"/>
      <c r="Z805" s="860"/>
      <c r="AA805" s="860"/>
      <c r="AB805" s="860"/>
      <c r="AC805" s="860"/>
      <c r="AD805" s="860"/>
      <c r="AE805" s="860"/>
      <c r="AF805" s="860"/>
      <c r="AG805" s="860"/>
      <c r="AH805" s="860"/>
      <c r="AI805" s="860"/>
      <c r="AJ805" s="860"/>
      <c r="AK805" s="860"/>
      <c r="AL805" s="860"/>
      <c r="AM805" s="860"/>
      <c r="AN805" s="860"/>
      <c r="AO805" s="860"/>
      <c r="AP805" s="860"/>
      <c r="AQ805" s="860"/>
      <c r="AR805" s="860"/>
      <c r="AS805" s="860"/>
      <c r="AT805" s="860"/>
      <c r="AU805" s="860"/>
      <c r="AV805" s="860"/>
      <c r="AW805" s="860"/>
      <c r="AX805" s="860"/>
      <c r="AY805" s="860"/>
      <c r="AZ805" s="860"/>
      <c r="BA805" s="860"/>
      <c r="BB805" s="860"/>
      <c r="BC805" s="860"/>
      <c r="BD805" s="860"/>
      <c r="BE805" s="860"/>
      <c r="BF805" s="860"/>
      <c r="BG805" s="860"/>
      <c r="BH805" s="668"/>
      <c r="BI805" s="667"/>
      <c r="BJ805" s="690">
        <f t="shared" si="283"/>
        <v>0</v>
      </c>
      <c r="BK805" s="691">
        <f t="shared" si="284"/>
        <v>0</v>
      </c>
      <c r="BL805" s="654"/>
      <c r="BM805" s="692">
        <f>SUMIFS(Imput[[Importe Neto]:[Importe Neto]],Imput[[C. Imp.]:[C. Imp.]],$D805,Imput[[PERIODO Imp.]:[PERIODO Imp.]],BM$9)</f>
        <v>0</v>
      </c>
      <c r="BN805" s="693">
        <f>SUMIFS(Imput[[Importe Neto]:[Importe Neto]],Imput[[C. Imp.]:[C. Imp.]],$D805,Imput[[PERIODO Imp.]:[PERIODO Imp.]],BN$9)</f>
        <v>0</v>
      </c>
      <c r="BO805" s="693">
        <f>SUMIFS(Imput[[Importe Neto]:[Importe Neto]],Imput[[C. Imp.]:[C. Imp.]],$D805,Imput[[PERIODO Imp.]:[PERIODO Imp.]],BO$9)</f>
        <v>0</v>
      </c>
      <c r="BP805" s="693">
        <f>SUMIFS(Imput[[Importe Neto]:[Importe Neto]],Imput[[C. Imp.]:[C. Imp.]],$D805,Imput[[PERIODO Imp.]:[PERIODO Imp.]],BP$9)</f>
        <v>0</v>
      </c>
      <c r="BQ805" s="693">
        <f>SUMIFS(Imput[[Importe Neto]:[Importe Neto]],Imput[[C. Imp.]:[C. Imp.]],$D805,Imput[[PERIODO Imp.]:[PERIODO Imp.]],BQ$9)</f>
        <v>0</v>
      </c>
      <c r="BR805" s="693">
        <f>SUMIFS(Imput[[Importe Neto]:[Importe Neto]],Imput[[C. Imp.]:[C. Imp.]],$D805,Imput[[PERIODO Imp.]:[PERIODO Imp.]],BR$9)</f>
        <v>0</v>
      </c>
      <c r="BS805" s="693">
        <f>SUMIFS(Imput[[Importe Neto]:[Importe Neto]],Imput[[C. Imp.]:[C. Imp.]],$D805,Imput[[PERIODO Imp.]:[PERIODO Imp.]],BS$9)</f>
        <v>0</v>
      </c>
      <c r="BT805" s="693">
        <f>SUMIFS(Imput[[Importe Neto]:[Importe Neto]],Imput[[C. Imp.]:[C. Imp.]],$D805,Imput[[PERIODO Imp.]:[PERIODO Imp.]],BT$9)</f>
        <v>0</v>
      </c>
      <c r="BU805" s="693">
        <f>SUMIFS(Imput[[Importe Neto]:[Importe Neto]],Imput[[C. Imp.]:[C. Imp.]],$D805,Imput[[PERIODO Imp.]:[PERIODO Imp.]],BU$9)</f>
        <v>0</v>
      </c>
      <c r="BV805" s="693">
        <f>SUMIFS(Imput[[Importe Neto]:[Importe Neto]],Imput[[C. Imp.]:[C. Imp.]],$D805,Imput[[PERIODO Imp.]:[PERIODO Imp.]],BV$9)</f>
        <v>0</v>
      </c>
      <c r="BW805" s="693">
        <f>SUMIFS(Imput[[Importe Neto]:[Importe Neto]],Imput[[C. Imp.]:[C. Imp.]],$D805,Imput[[PERIODO Imp.]:[PERIODO Imp.]],BW$9)</f>
        <v>0</v>
      </c>
      <c r="BX805" s="693">
        <f>SUMIFS(Imput[[Importe Neto]:[Importe Neto]],Imput[[C. Imp.]:[C. Imp.]],$D805,Imput[[PERIODO Imp.]:[PERIODO Imp.]],BX$9)</f>
        <v>0</v>
      </c>
      <c r="BY805" s="693">
        <f>SUMIFS(Imput[[Importe Neto]:[Importe Neto]],Imput[[C. Imp.]:[C. Imp.]],$D805,Imput[[PERIODO Imp.]:[PERIODO Imp.]],BY$9)</f>
        <v>0</v>
      </c>
      <c r="BZ805" s="693">
        <f>SUMIFS(Imput[[Importe Neto]:[Importe Neto]],Imput[[C. Imp.]:[C. Imp.]],$D805,Imput[[PERIODO Imp.]:[PERIODO Imp.]],BZ$9)</f>
        <v>0</v>
      </c>
      <c r="CA805" s="693">
        <f>SUMIFS(Imput[[Importe Neto]:[Importe Neto]],Imput[[C. Imp.]:[C. Imp.]],$D805,Imput[[PERIODO Imp.]:[PERIODO Imp.]],CA$9)</f>
        <v>0</v>
      </c>
      <c r="CB805" s="693">
        <f>SUMIFS(Imput[[Importe Neto]:[Importe Neto]],Imput[[C. Imp.]:[C. Imp.]],$D805,Imput[[PERIODO Imp.]:[PERIODO Imp.]],CB$9)</f>
        <v>0</v>
      </c>
      <c r="CC805" s="693">
        <f>SUMIFS(Imput[[Importe Neto]:[Importe Neto]],Imput[[C. Imp.]:[C. Imp.]],$D805,Imput[[PERIODO Imp.]:[PERIODO Imp.]],CC$9)</f>
        <v>0</v>
      </c>
      <c r="CD805" s="693">
        <f>SUMIFS(Imput[[Importe Neto]:[Importe Neto]],Imput[[C. Imp.]:[C. Imp.]],$D805,Imput[[PERIODO Imp.]:[PERIODO Imp.]],CD$9)</f>
        <v>0</v>
      </c>
      <c r="CE805" s="693">
        <f>SUMIFS(Imput[[Importe Neto]:[Importe Neto]],Imput[[C. Imp.]:[C. Imp.]],$D805,Imput[[PERIODO Imp.]:[PERIODO Imp.]],CE$9)</f>
        <v>0</v>
      </c>
      <c r="CF805" s="693">
        <f>SUMIFS(Imput[[Importe Neto]:[Importe Neto]],Imput[[C. Imp.]:[C. Imp.]],$D805,Imput[[PERIODO Imp.]:[PERIODO Imp.]],CF$9)</f>
        <v>0</v>
      </c>
      <c r="CG805" s="693">
        <f>SUMIFS(Imput[[Importe Neto]:[Importe Neto]],Imput[[C. Imp.]:[C. Imp.]],$D805,Imput[[PERIODO Imp.]:[PERIODO Imp.]],CG$9)</f>
        <v>0</v>
      </c>
      <c r="CH805" s="693">
        <f>SUMIFS(Imput[[Importe Neto]:[Importe Neto]],Imput[[C. Imp.]:[C. Imp.]],$D805,Imput[[PERIODO Imp.]:[PERIODO Imp.]],CH$9)</f>
        <v>0</v>
      </c>
      <c r="CI805" s="693">
        <f>SUMIFS(Imput[[Importe Neto]:[Importe Neto]],Imput[[C. Imp.]:[C. Imp.]],$D805,Imput[[PERIODO Imp.]:[PERIODO Imp.]],CI$9)</f>
        <v>0</v>
      </c>
      <c r="CJ805" s="693">
        <f>SUMIFS(Imput[[Importe Neto]:[Importe Neto]],Imput[[C. Imp.]:[C. Imp.]],$D805,Imput[[PERIODO Imp.]:[PERIODO Imp.]],CJ$9)</f>
        <v>0</v>
      </c>
      <c r="CK805" s="693">
        <f>SUMIFS(Imput[[Importe Neto]:[Importe Neto]],Imput[[C. Imp.]:[C. Imp.]],$D805,Imput[[PERIODO Imp.]:[PERIODO Imp.]],CK$9)</f>
        <v>0</v>
      </c>
      <c r="CL805" s="693">
        <f>SUMIFS(Imput[[Importe Neto]:[Importe Neto]],Imput[[C. Imp.]:[C. Imp.]],$D805,Imput[[PERIODO Imp.]:[PERIODO Imp.]],CL$9)</f>
        <v>0</v>
      </c>
      <c r="CM805" s="693">
        <f>SUMIFS(Imput[[Importe Neto]:[Importe Neto]],Imput[[C. Imp.]:[C. Imp.]],$D805,Imput[[PERIODO Imp.]:[PERIODO Imp.]],CM$9)</f>
        <v>0</v>
      </c>
      <c r="CN805" s="693">
        <f>SUMIFS(Imput[[Importe Neto]:[Importe Neto]],Imput[[C. Imp.]:[C. Imp.]],$D805,Imput[[PERIODO Imp.]:[PERIODO Imp.]],CN$9)</f>
        <v>0</v>
      </c>
      <c r="CO805" s="693">
        <f>SUMIFS(Imput[[Importe Neto]:[Importe Neto]],Imput[[C. Imp.]:[C. Imp.]],$D805,Imput[[PERIODO Imp.]:[PERIODO Imp.]],CO$9)</f>
        <v>0</v>
      </c>
      <c r="CP805" s="693">
        <f>SUMIFS(Imput[[Importe Neto]:[Importe Neto]],Imput[[C. Imp.]:[C. Imp.]],$D805,Imput[[PERIODO Imp.]:[PERIODO Imp.]],CP$9)</f>
        <v>0</v>
      </c>
      <c r="CQ805" s="693">
        <f>SUMIFS(Imput[[Importe Neto]:[Importe Neto]],Imput[[C. Imp.]:[C. Imp.]],$D805,Imput[[PERIODO Imp.]:[PERIODO Imp.]],CQ$9)</f>
        <v>0</v>
      </c>
      <c r="CR805" s="693">
        <f>SUMIFS(Imput[[Importe Neto]:[Importe Neto]],Imput[[C. Imp.]:[C. Imp.]],$D805,Imput[[PERIODO Imp.]:[PERIODO Imp.]],CR$9)</f>
        <v>0</v>
      </c>
      <c r="CS805" s="693">
        <f>SUMIFS(Imput[[Importe Neto]:[Importe Neto]],Imput[[C. Imp.]:[C. Imp.]],$D805,Imput[[PERIODO Imp.]:[PERIODO Imp.]],CS$9)</f>
        <v>0</v>
      </c>
      <c r="CT805" s="693">
        <f>SUMIFS(Imput[[Importe Neto]:[Importe Neto]],Imput[[C. Imp.]:[C. Imp.]],$D805,Imput[[PERIODO Imp.]:[PERIODO Imp.]],CT$9)</f>
        <v>0</v>
      </c>
      <c r="CU805" s="693">
        <f>SUMIFS(Imput[[Importe Neto]:[Importe Neto]],Imput[[C. Imp.]:[C. Imp.]],$D805,Imput[[PERIODO Imp.]:[PERIODO Imp.]],CU$9)</f>
        <v>0</v>
      </c>
      <c r="CV805" s="693">
        <f>SUMIFS(Imput[[Importe Neto]:[Importe Neto]],Imput[[C. Imp.]:[C. Imp.]],$D805,Imput[[PERIODO Imp.]:[PERIODO Imp.]],CV$9)</f>
        <v>0</v>
      </c>
      <c r="CW805" s="693">
        <f>SUMIFS(Imput[[Importe Neto]:[Importe Neto]],Imput[[C. Imp.]:[C. Imp.]],$D805,Imput[[PERIODO Imp.]:[PERIODO Imp.]],CW$9)</f>
        <v>0</v>
      </c>
      <c r="CX805" s="693">
        <f>SUMIFS(Imput[[Importe Neto]:[Importe Neto]],Imput[[C. Imp.]:[C. Imp.]],$D805,Imput[[PERIODO Imp.]:[PERIODO Imp.]],CX$9)</f>
        <v>0</v>
      </c>
      <c r="CY805" s="693">
        <f>SUMIFS(Imput[[Importe Neto]:[Importe Neto]],Imput[[C. Imp.]:[C. Imp.]],$D805,Imput[[PERIODO Imp.]:[PERIODO Imp.]],CY$9)</f>
        <v>0</v>
      </c>
      <c r="CZ805" s="693">
        <f>SUMIFS(Imput[[Importe Neto]:[Importe Neto]],Imput[[C. Imp.]:[C. Imp.]],$D805,Imput[[PERIODO Imp.]:[PERIODO Imp.]],CZ$9)</f>
        <v>0</v>
      </c>
      <c r="DA805" s="693">
        <f>SUMIFS(Imput[[Importe Neto]:[Importe Neto]],Imput[[C. Imp.]:[C. Imp.]],$D805,Imput[[PERIODO Imp.]:[PERIODO Imp.]],DA$9)</f>
        <v>0</v>
      </c>
      <c r="DB805" s="693">
        <f>SUMIFS(Imput[[Importe Neto]:[Importe Neto]],Imput[[C. Imp.]:[C. Imp.]],$D805,Imput[[PERIODO Imp.]:[PERIODO Imp.]],DB$9)</f>
        <v>0</v>
      </c>
      <c r="DC805" s="693">
        <f>SUMIFS(Imput[[Importe Neto]:[Importe Neto]],Imput[[C. Imp.]:[C. Imp.]],$D805,Imput[[PERIODO Imp.]:[PERIODO Imp.]],DC$9)</f>
        <v>0</v>
      </c>
      <c r="DD805" s="693">
        <f>SUMIFS(Imput[[Importe Neto]:[Importe Neto]],Imput[[C. Imp.]:[C. Imp.]],$D805,Imput[[PERIODO Imp.]:[PERIODO Imp.]],DD$9)</f>
        <v>0</v>
      </c>
      <c r="DE805" s="693">
        <f>SUMIFS(Imput[[Importe Neto]:[Importe Neto]],Imput[[C. Imp.]:[C. Imp.]],$D805,Imput[[PERIODO Imp.]:[PERIODO Imp.]],DE$9)</f>
        <v>0</v>
      </c>
      <c r="DF805" s="693">
        <f>SUMIFS(Imput[[Importe Neto]:[Importe Neto]],Imput[[C. Imp.]:[C. Imp.]],$D805,Imput[[PERIODO Imp.]:[PERIODO Imp.]],DF$9)</f>
        <v>0</v>
      </c>
      <c r="DG805" s="693">
        <f>SUMIFS(Imput[[Importe Neto]:[Importe Neto]],Imput[[C. Imp.]:[C. Imp.]],$D805,Imput[[PERIODO Imp.]:[PERIODO Imp.]],DG$9)</f>
        <v>0</v>
      </c>
      <c r="DH805" s="694">
        <f>SUMIFS(Imput[[Importe Neto]:[Importe Neto]],Imput[[C. Imp.]:[C. Imp.]],$D805,Imput[[PERIODO Imp.]:[PERIODO Imp.]],DH$9)</f>
        <v>0</v>
      </c>
    </row>
    <row r="806" spans="1:112" s="649" customFormat="1" hidden="1" outlineLevel="1" x14ac:dyDescent="0.3">
      <c r="A806" s="652" t="str">
        <f t="shared" si="280"/>
        <v/>
      </c>
      <c r="B806" s="652"/>
      <c r="C806" s="685"/>
      <c r="D806" s="686" t="s">
        <v>2786</v>
      </c>
      <c r="E806" s="686"/>
      <c r="F806" s="720"/>
      <c r="G806" s="688"/>
      <c r="H806" s="689"/>
      <c r="I806" s="851" t="str">
        <f t="shared" si="281"/>
        <v/>
      </c>
      <c r="J806" s="850" t="str">
        <f t="shared" si="282"/>
        <v/>
      </c>
      <c r="K806" s="667"/>
      <c r="L806" s="858"/>
      <c r="M806" s="859"/>
      <c r="N806" s="859"/>
      <c r="O806" s="859"/>
      <c r="P806" s="859"/>
      <c r="Q806" s="859"/>
      <c r="R806" s="859"/>
      <c r="S806" s="859"/>
      <c r="T806" s="859"/>
      <c r="U806" s="859"/>
      <c r="V806" s="859"/>
      <c r="W806" s="859"/>
      <c r="X806" s="859"/>
      <c r="Y806" s="859"/>
      <c r="Z806" s="860"/>
      <c r="AA806" s="860"/>
      <c r="AB806" s="860"/>
      <c r="AC806" s="860"/>
      <c r="AD806" s="860"/>
      <c r="AE806" s="860"/>
      <c r="AF806" s="860"/>
      <c r="AG806" s="860"/>
      <c r="AH806" s="860"/>
      <c r="AI806" s="860"/>
      <c r="AJ806" s="860"/>
      <c r="AK806" s="860"/>
      <c r="AL806" s="860"/>
      <c r="AM806" s="860"/>
      <c r="AN806" s="860"/>
      <c r="AO806" s="860"/>
      <c r="AP806" s="860"/>
      <c r="AQ806" s="860"/>
      <c r="AR806" s="860"/>
      <c r="AS806" s="860"/>
      <c r="AT806" s="860"/>
      <c r="AU806" s="860"/>
      <c r="AV806" s="860"/>
      <c r="AW806" s="860"/>
      <c r="AX806" s="860"/>
      <c r="AY806" s="860"/>
      <c r="AZ806" s="860"/>
      <c r="BA806" s="860"/>
      <c r="BB806" s="860"/>
      <c r="BC806" s="860"/>
      <c r="BD806" s="860"/>
      <c r="BE806" s="860"/>
      <c r="BF806" s="860"/>
      <c r="BG806" s="860"/>
      <c r="BH806" s="668"/>
      <c r="BI806" s="667"/>
      <c r="BJ806" s="690">
        <f t="shared" si="283"/>
        <v>0</v>
      </c>
      <c r="BK806" s="691">
        <f t="shared" si="284"/>
        <v>0</v>
      </c>
      <c r="BL806" s="654"/>
      <c r="BM806" s="692">
        <f>SUMIFS(Imput[[Importe Neto]:[Importe Neto]],Imput[[C. Imp.]:[C. Imp.]],$D806,Imput[[PERIODO Imp.]:[PERIODO Imp.]],BM$9)</f>
        <v>0</v>
      </c>
      <c r="BN806" s="693">
        <f>SUMIFS(Imput[[Importe Neto]:[Importe Neto]],Imput[[C. Imp.]:[C. Imp.]],$D806,Imput[[PERIODO Imp.]:[PERIODO Imp.]],BN$9)</f>
        <v>0</v>
      </c>
      <c r="BO806" s="693">
        <f>SUMIFS(Imput[[Importe Neto]:[Importe Neto]],Imput[[C. Imp.]:[C. Imp.]],$D806,Imput[[PERIODO Imp.]:[PERIODO Imp.]],BO$9)</f>
        <v>0</v>
      </c>
      <c r="BP806" s="693">
        <f>SUMIFS(Imput[[Importe Neto]:[Importe Neto]],Imput[[C. Imp.]:[C. Imp.]],$D806,Imput[[PERIODO Imp.]:[PERIODO Imp.]],BP$9)</f>
        <v>0</v>
      </c>
      <c r="BQ806" s="693">
        <f>SUMIFS(Imput[[Importe Neto]:[Importe Neto]],Imput[[C. Imp.]:[C. Imp.]],$D806,Imput[[PERIODO Imp.]:[PERIODO Imp.]],BQ$9)</f>
        <v>0</v>
      </c>
      <c r="BR806" s="693">
        <f>SUMIFS(Imput[[Importe Neto]:[Importe Neto]],Imput[[C. Imp.]:[C. Imp.]],$D806,Imput[[PERIODO Imp.]:[PERIODO Imp.]],BR$9)</f>
        <v>0</v>
      </c>
      <c r="BS806" s="693">
        <f>SUMIFS(Imput[[Importe Neto]:[Importe Neto]],Imput[[C. Imp.]:[C. Imp.]],$D806,Imput[[PERIODO Imp.]:[PERIODO Imp.]],BS$9)</f>
        <v>0</v>
      </c>
      <c r="BT806" s="693">
        <f>SUMIFS(Imput[[Importe Neto]:[Importe Neto]],Imput[[C. Imp.]:[C. Imp.]],$D806,Imput[[PERIODO Imp.]:[PERIODO Imp.]],BT$9)</f>
        <v>0</v>
      </c>
      <c r="BU806" s="693">
        <f>SUMIFS(Imput[[Importe Neto]:[Importe Neto]],Imput[[C. Imp.]:[C. Imp.]],$D806,Imput[[PERIODO Imp.]:[PERIODO Imp.]],BU$9)</f>
        <v>0</v>
      </c>
      <c r="BV806" s="693">
        <f>SUMIFS(Imput[[Importe Neto]:[Importe Neto]],Imput[[C. Imp.]:[C. Imp.]],$D806,Imput[[PERIODO Imp.]:[PERIODO Imp.]],BV$9)</f>
        <v>0</v>
      </c>
      <c r="BW806" s="693">
        <f>SUMIFS(Imput[[Importe Neto]:[Importe Neto]],Imput[[C. Imp.]:[C. Imp.]],$D806,Imput[[PERIODO Imp.]:[PERIODO Imp.]],BW$9)</f>
        <v>0</v>
      </c>
      <c r="BX806" s="693">
        <f>SUMIFS(Imput[[Importe Neto]:[Importe Neto]],Imput[[C. Imp.]:[C. Imp.]],$D806,Imput[[PERIODO Imp.]:[PERIODO Imp.]],BX$9)</f>
        <v>0</v>
      </c>
      <c r="BY806" s="693">
        <f>SUMIFS(Imput[[Importe Neto]:[Importe Neto]],Imput[[C. Imp.]:[C. Imp.]],$D806,Imput[[PERIODO Imp.]:[PERIODO Imp.]],BY$9)</f>
        <v>0</v>
      </c>
      <c r="BZ806" s="693">
        <f>SUMIFS(Imput[[Importe Neto]:[Importe Neto]],Imput[[C. Imp.]:[C. Imp.]],$D806,Imput[[PERIODO Imp.]:[PERIODO Imp.]],BZ$9)</f>
        <v>0</v>
      </c>
      <c r="CA806" s="693">
        <f>SUMIFS(Imput[[Importe Neto]:[Importe Neto]],Imput[[C. Imp.]:[C. Imp.]],$D806,Imput[[PERIODO Imp.]:[PERIODO Imp.]],CA$9)</f>
        <v>0</v>
      </c>
      <c r="CB806" s="693">
        <f>SUMIFS(Imput[[Importe Neto]:[Importe Neto]],Imput[[C. Imp.]:[C. Imp.]],$D806,Imput[[PERIODO Imp.]:[PERIODO Imp.]],CB$9)</f>
        <v>0</v>
      </c>
      <c r="CC806" s="693">
        <f>SUMIFS(Imput[[Importe Neto]:[Importe Neto]],Imput[[C. Imp.]:[C. Imp.]],$D806,Imput[[PERIODO Imp.]:[PERIODO Imp.]],CC$9)</f>
        <v>0</v>
      </c>
      <c r="CD806" s="693">
        <f>SUMIFS(Imput[[Importe Neto]:[Importe Neto]],Imput[[C. Imp.]:[C. Imp.]],$D806,Imput[[PERIODO Imp.]:[PERIODO Imp.]],CD$9)</f>
        <v>0</v>
      </c>
      <c r="CE806" s="693">
        <f>SUMIFS(Imput[[Importe Neto]:[Importe Neto]],Imput[[C. Imp.]:[C. Imp.]],$D806,Imput[[PERIODO Imp.]:[PERIODO Imp.]],CE$9)</f>
        <v>0</v>
      </c>
      <c r="CF806" s="693">
        <f>SUMIFS(Imput[[Importe Neto]:[Importe Neto]],Imput[[C. Imp.]:[C. Imp.]],$D806,Imput[[PERIODO Imp.]:[PERIODO Imp.]],CF$9)</f>
        <v>0</v>
      </c>
      <c r="CG806" s="693">
        <f>SUMIFS(Imput[[Importe Neto]:[Importe Neto]],Imput[[C. Imp.]:[C. Imp.]],$D806,Imput[[PERIODO Imp.]:[PERIODO Imp.]],CG$9)</f>
        <v>0</v>
      </c>
      <c r="CH806" s="693">
        <f>SUMIFS(Imput[[Importe Neto]:[Importe Neto]],Imput[[C. Imp.]:[C. Imp.]],$D806,Imput[[PERIODO Imp.]:[PERIODO Imp.]],CH$9)</f>
        <v>0</v>
      </c>
      <c r="CI806" s="693">
        <f>SUMIFS(Imput[[Importe Neto]:[Importe Neto]],Imput[[C. Imp.]:[C. Imp.]],$D806,Imput[[PERIODO Imp.]:[PERIODO Imp.]],CI$9)</f>
        <v>0</v>
      </c>
      <c r="CJ806" s="693">
        <f>SUMIFS(Imput[[Importe Neto]:[Importe Neto]],Imput[[C. Imp.]:[C. Imp.]],$D806,Imput[[PERIODO Imp.]:[PERIODO Imp.]],CJ$9)</f>
        <v>0</v>
      </c>
      <c r="CK806" s="693">
        <f>SUMIFS(Imput[[Importe Neto]:[Importe Neto]],Imput[[C. Imp.]:[C. Imp.]],$D806,Imput[[PERIODO Imp.]:[PERIODO Imp.]],CK$9)</f>
        <v>0</v>
      </c>
      <c r="CL806" s="693">
        <f>SUMIFS(Imput[[Importe Neto]:[Importe Neto]],Imput[[C. Imp.]:[C. Imp.]],$D806,Imput[[PERIODO Imp.]:[PERIODO Imp.]],CL$9)</f>
        <v>0</v>
      </c>
      <c r="CM806" s="693">
        <f>SUMIFS(Imput[[Importe Neto]:[Importe Neto]],Imput[[C. Imp.]:[C. Imp.]],$D806,Imput[[PERIODO Imp.]:[PERIODO Imp.]],CM$9)</f>
        <v>0</v>
      </c>
      <c r="CN806" s="693">
        <f>SUMIFS(Imput[[Importe Neto]:[Importe Neto]],Imput[[C. Imp.]:[C. Imp.]],$D806,Imput[[PERIODO Imp.]:[PERIODO Imp.]],CN$9)</f>
        <v>0</v>
      </c>
      <c r="CO806" s="693">
        <f>SUMIFS(Imput[[Importe Neto]:[Importe Neto]],Imput[[C. Imp.]:[C. Imp.]],$D806,Imput[[PERIODO Imp.]:[PERIODO Imp.]],CO$9)</f>
        <v>0</v>
      </c>
      <c r="CP806" s="693">
        <f>SUMIFS(Imput[[Importe Neto]:[Importe Neto]],Imput[[C. Imp.]:[C. Imp.]],$D806,Imput[[PERIODO Imp.]:[PERIODO Imp.]],CP$9)</f>
        <v>0</v>
      </c>
      <c r="CQ806" s="693">
        <f>SUMIFS(Imput[[Importe Neto]:[Importe Neto]],Imput[[C. Imp.]:[C. Imp.]],$D806,Imput[[PERIODO Imp.]:[PERIODO Imp.]],CQ$9)</f>
        <v>0</v>
      </c>
      <c r="CR806" s="693">
        <f>SUMIFS(Imput[[Importe Neto]:[Importe Neto]],Imput[[C. Imp.]:[C. Imp.]],$D806,Imput[[PERIODO Imp.]:[PERIODO Imp.]],CR$9)</f>
        <v>0</v>
      </c>
      <c r="CS806" s="693">
        <f>SUMIFS(Imput[[Importe Neto]:[Importe Neto]],Imput[[C. Imp.]:[C. Imp.]],$D806,Imput[[PERIODO Imp.]:[PERIODO Imp.]],CS$9)</f>
        <v>0</v>
      </c>
      <c r="CT806" s="693">
        <f>SUMIFS(Imput[[Importe Neto]:[Importe Neto]],Imput[[C. Imp.]:[C. Imp.]],$D806,Imput[[PERIODO Imp.]:[PERIODO Imp.]],CT$9)</f>
        <v>0</v>
      </c>
      <c r="CU806" s="693">
        <f>SUMIFS(Imput[[Importe Neto]:[Importe Neto]],Imput[[C. Imp.]:[C. Imp.]],$D806,Imput[[PERIODO Imp.]:[PERIODO Imp.]],CU$9)</f>
        <v>0</v>
      </c>
      <c r="CV806" s="693">
        <f>SUMIFS(Imput[[Importe Neto]:[Importe Neto]],Imput[[C. Imp.]:[C. Imp.]],$D806,Imput[[PERIODO Imp.]:[PERIODO Imp.]],CV$9)</f>
        <v>0</v>
      </c>
      <c r="CW806" s="693">
        <f>SUMIFS(Imput[[Importe Neto]:[Importe Neto]],Imput[[C. Imp.]:[C. Imp.]],$D806,Imput[[PERIODO Imp.]:[PERIODO Imp.]],CW$9)</f>
        <v>0</v>
      </c>
      <c r="CX806" s="693">
        <f>SUMIFS(Imput[[Importe Neto]:[Importe Neto]],Imput[[C. Imp.]:[C. Imp.]],$D806,Imput[[PERIODO Imp.]:[PERIODO Imp.]],CX$9)</f>
        <v>0</v>
      </c>
      <c r="CY806" s="693">
        <f>SUMIFS(Imput[[Importe Neto]:[Importe Neto]],Imput[[C. Imp.]:[C. Imp.]],$D806,Imput[[PERIODO Imp.]:[PERIODO Imp.]],CY$9)</f>
        <v>0</v>
      </c>
      <c r="CZ806" s="693">
        <f>SUMIFS(Imput[[Importe Neto]:[Importe Neto]],Imput[[C. Imp.]:[C. Imp.]],$D806,Imput[[PERIODO Imp.]:[PERIODO Imp.]],CZ$9)</f>
        <v>0</v>
      </c>
      <c r="DA806" s="693">
        <f>SUMIFS(Imput[[Importe Neto]:[Importe Neto]],Imput[[C. Imp.]:[C. Imp.]],$D806,Imput[[PERIODO Imp.]:[PERIODO Imp.]],DA$9)</f>
        <v>0</v>
      </c>
      <c r="DB806" s="693">
        <f>SUMIFS(Imput[[Importe Neto]:[Importe Neto]],Imput[[C. Imp.]:[C. Imp.]],$D806,Imput[[PERIODO Imp.]:[PERIODO Imp.]],DB$9)</f>
        <v>0</v>
      </c>
      <c r="DC806" s="693">
        <f>SUMIFS(Imput[[Importe Neto]:[Importe Neto]],Imput[[C. Imp.]:[C. Imp.]],$D806,Imput[[PERIODO Imp.]:[PERIODO Imp.]],DC$9)</f>
        <v>0</v>
      </c>
      <c r="DD806" s="693">
        <f>SUMIFS(Imput[[Importe Neto]:[Importe Neto]],Imput[[C. Imp.]:[C. Imp.]],$D806,Imput[[PERIODO Imp.]:[PERIODO Imp.]],DD$9)</f>
        <v>0</v>
      </c>
      <c r="DE806" s="693">
        <f>SUMIFS(Imput[[Importe Neto]:[Importe Neto]],Imput[[C. Imp.]:[C. Imp.]],$D806,Imput[[PERIODO Imp.]:[PERIODO Imp.]],DE$9)</f>
        <v>0</v>
      </c>
      <c r="DF806" s="693">
        <f>SUMIFS(Imput[[Importe Neto]:[Importe Neto]],Imput[[C. Imp.]:[C. Imp.]],$D806,Imput[[PERIODO Imp.]:[PERIODO Imp.]],DF$9)</f>
        <v>0</v>
      </c>
      <c r="DG806" s="693">
        <f>SUMIFS(Imput[[Importe Neto]:[Importe Neto]],Imput[[C. Imp.]:[C. Imp.]],$D806,Imput[[PERIODO Imp.]:[PERIODO Imp.]],DG$9)</f>
        <v>0</v>
      </c>
      <c r="DH806" s="694">
        <f>SUMIFS(Imput[[Importe Neto]:[Importe Neto]],Imput[[C. Imp.]:[C. Imp.]],$D806,Imput[[PERIODO Imp.]:[PERIODO Imp.]],DH$9)</f>
        <v>0</v>
      </c>
    </row>
    <row r="807" spans="1:112" s="649" customFormat="1" hidden="1" outlineLevel="1" x14ac:dyDescent="0.3">
      <c r="A807" s="652" t="str">
        <f t="shared" si="280"/>
        <v/>
      </c>
      <c r="B807" s="652"/>
      <c r="C807" s="685"/>
      <c r="D807" s="686" t="s">
        <v>2787</v>
      </c>
      <c r="E807" s="686"/>
      <c r="F807" s="720"/>
      <c r="G807" s="688"/>
      <c r="H807" s="689"/>
      <c r="I807" s="851" t="str">
        <f t="shared" si="281"/>
        <v/>
      </c>
      <c r="J807" s="850" t="str">
        <f t="shared" si="282"/>
        <v/>
      </c>
      <c r="K807" s="667"/>
      <c r="L807" s="858"/>
      <c r="M807" s="859"/>
      <c r="N807" s="859"/>
      <c r="O807" s="859"/>
      <c r="P807" s="859"/>
      <c r="Q807" s="859"/>
      <c r="R807" s="859"/>
      <c r="S807" s="859"/>
      <c r="T807" s="859"/>
      <c r="U807" s="859"/>
      <c r="V807" s="859"/>
      <c r="W807" s="859"/>
      <c r="X807" s="859"/>
      <c r="Y807" s="859"/>
      <c r="Z807" s="860"/>
      <c r="AA807" s="860"/>
      <c r="AB807" s="860"/>
      <c r="AC807" s="860"/>
      <c r="AD807" s="860"/>
      <c r="AE807" s="860"/>
      <c r="AF807" s="860"/>
      <c r="AG807" s="860"/>
      <c r="AH807" s="860"/>
      <c r="AI807" s="860"/>
      <c r="AJ807" s="860"/>
      <c r="AK807" s="860"/>
      <c r="AL807" s="860"/>
      <c r="AM807" s="860"/>
      <c r="AN807" s="860"/>
      <c r="AO807" s="860"/>
      <c r="AP807" s="860"/>
      <c r="AQ807" s="860"/>
      <c r="AR807" s="860"/>
      <c r="AS807" s="860"/>
      <c r="AT807" s="860"/>
      <c r="AU807" s="860"/>
      <c r="AV807" s="860"/>
      <c r="AW807" s="860"/>
      <c r="AX807" s="860"/>
      <c r="AY807" s="860"/>
      <c r="AZ807" s="860"/>
      <c r="BA807" s="860"/>
      <c r="BB807" s="860"/>
      <c r="BC807" s="860"/>
      <c r="BD807" s="860"/>
      <c r="BE807" s="860"/>
      <c r="BF807" s="860"/>
      <c r="BG807" s="860"/>
      <c r="BH807" s="668"/>
      <c r="BI807" s="667"/>
      <c r="BJ807" s="690">
        <f t="shared" si="283"/>
        <v>0</v>
      </c>
      <c r="BK807" s="691">
        <f t="shared" si="284"/>
        <v>0</v>
      </c>
      <c r="BL807" s="654"/>
      <c r="BM807" s="692">
        <f>SUMIFS(Imput[[Importe Neto]:[Importe Neto]],Imput[[C. Imp.]:[C. Imp.]],$D807,Imput[[PERIODO Imp.]:[PERIODO Imp.]],BM$9)</f>
        <v>0</v>
      </c>
      <c r="BN807" s="693">
        <f>SUMIFS(Imput[[Importe Neto]:[Importe Neto]],Imput[[C. Imp.]:[C. Imp.]],$D807,Imput[[PERIODO Imp.]:[PERIODO Imp.]],BN$9)</f>
        <v>0</v>
      </c>
      <c r="BO807" s="693">
        <f>SUMIFS(Imput[[Importe Neto]:[Importe Neto]],Imput[[C. Imp.]:[C. Imp.]],$D807,Imput[[PERIODO Imp.]:[PERIODO Imp.]],BO$9)</f>
        <v>0</v>
      </c>
      <c r="BP807" s="693">
        <f>SUMIFS(Imput[[Importe Neto]:[Importe Neto]],Imput[[C. Imp.]:[C. Imp.]],$D807,Imput[[PERIODO Imp.]:[PERIODO Imp.]],BP$9)</f>
        <v>0</v>
      </c>
      <c r="BQ807" s="693">
        <f>SUMIFS(Imput[[Importe Neto]:[Importe Neto]],Imput[[C. Imp.]:[C. Imp.]],$D807,Imput[[PERIODO Imp.]:[PERIODO Imp.]],BQ$9)</f>
        <v>0</v>
      </c>
      <c r="BR807" s="693">
        <f>SUMIFS(Imput[[Importe Neto]:[Importe Neto]],Imput[[C. Imp.]:[C. Imp.]],$D807,Imput[[PERIODO Imp.]:[PERIODO Imp.]],BR$9)</f>
        <v>0</v>
      </c>
      <c r="BS807" s="693">
        <f>SUMIFS(Imput[[Importe Neto]:[Importe Neto]],Imput[[C. Imp.]:[C. Imp.]],$D807,Imput[[PERIODO Imp.]:[PERIODO Imp.]],BS$9)</f>
        <v>0</v>
      </c>
      <c r="BT807" s="693">
        <f>SUMIFS(Imput[[Importe Neto]:[Importe Neto]],Imput[[C. Imp.]:[C. Imp.]],$D807,Imput[[PERIODO Imp.]:[PERIODO Imp.]],BT$9)</f>
        <v>0</v>
      </c>
      <c r="BU807" s="693">
        <f>SUMIFS(Imput[[Importe Neto]:[Importe Neto]],Imput[[C. Imp.]:[C. Imp.]],$D807,Imput[[PERIODO Imp.]:[PERIODO Imp.]],BU$9)</f>
        <v>0</v>
      </c>
      <c r="BV807" s="693">
        <f>SUMIFS(Imput[[Importe Neto]:[Importe Neto]],Imput[[C. Imp.]:[C. Imp.]],$D807,Imput[[PERIODO Imp.]:[PERIODO Imp.]],BV$9)</f>
        <v>0</v>
      </c>
      <c r="BW807" s="693">
        <f>SUMIFS(Imput[[Importe Neto]:[Importe Neto]],Imput[[C. Imp.]:[C. Imp.]],$D807,Imput[[PERIODO Imp.]:[PERIODO Imp.]],BW$9)</f>
        <v>0</v>
      </c>
      <c r="BX807" s="693">
        <f>SUMIFS(Imput[[Importe Neto]:[Importe Neto]],Imput[[C. Imp.]:[C. Imp.]],$D807,Imput[[PERIODO Imp.]:[PERIODO Imp.]],BX$9)</f>
        <v>0</v>
      </c>
      <c r="BY807" s="693">
        <f>SUMIFS(Imput[[Importe Neto]:[Importe Neto]],Imput[[C. Imp.]:[C. Imp.]],$D807,Imput[[PERIODO Imp.]:[PERIODO Imp.]],BY$9)</f>
        <v>0</v>
      </c>
      <c r="BZ807" s="693">
        <f>SUMIFS(Imput[[Importe Neto]:[Importe Neto]],Imput[[C. Imp.]:[C. Imp.]],$D807,Imput[[PERIODO Imp.]:[PERIODO Imp.]],BZ$9)</f>
        <v>0</v>
      </c>
      <c r="CA807" s="693">
        <f>SUMIFS(Imput[[Importe Neto]:[Importe Neto]],Imput[[C. Imp.]:[C. Imp.]],$D807,Imput[[PERIODO Imp.]:[PERIODO Imp.]],CA$9)</f>
        <v>0</v>
      </c>
      <c r="CB807" s="693">
        <f>SUMIFS(Imput[[Importe Neto]:[Importe Neto]],Imput[[C. Imp.]:[C. Imp.]],$D807,Imput[[PERIODO Imp.]:[PERIODO Imp.]],CB$9)</f>
        <v>0</v>
      </c>
      <c r="CC807" s="693">
        <f>SUMIFS(Imput[[Importe Neto]:[Importe Neto]],Imput[[C. Imp.]:[C. Imp.]],$D807,Imput[[PERIODO Imp.]:[PERIODO Imp.]],CC$9)</f>
        <v>0</v>
      </c>
      <c r="CD807" s="693">
        <f>SUMIFS(Imput[[Importe Neto]:[Importe Neto]],Imput[[C. Imp.]:[C. Imp.]],$D807,Imput[[PERIODO Imp.]:[PERIODO Imp.]],CD$9)</f>
        <v>0</v>
      </c>
      <c r="CE807" s="693">
        <f>SUMIFS(Imput[[Importe Neto]:[Importe Neto]],Imput[[C. Imp.]:[C. Imp.]],$D807,Imput[[PERIODO Imp.]:[PERIODO Imp.]],CE$9)</f>
        <v>0</v>
      </c>
      <c r="CF807" s="693">
        <f>SUMIFS(Imput[[Importe Neto]:[Importe Neto]],Imput[[C. Imp.]:[C. Imp.]],$D807,Imput[[PERIODO Imp.]:[PERIODO Imp.]],CF$9)</f>
        <v>0</v>
      </c>
      <c r="CG807" s="693">
        <f>SUMIFS(Imput[[Importe Neto]:[Importe Neto]],Imput[[C. Imp.]:[C. Imp.]],$D807,Imput[[PERIODO Imp.]:[PERIODO Imp.]],CG$9)</f>
        <v>0</v>
      </c>
      <c r="CH807" s="693">
        <f>SUMIFS(Imput[[Importe Neto]:[Importe Neto]],Imput[[C. Imp.]:[C. Imp.]],$D807,Imput[[PERIODO Imp.]:[PERIODO Imp.]],CH$9)</f>
        <v>0</v>
      </c>
      <c r="CI807" s="693">
        <f>SUMIFS(Imput[[Importe Neto]:[Importe Neto]],Imput[[C. Imp.]:[C. Imp.]],$D807,Imput[[PERIODO Imp.]:[PERIODO Imp.]],CI$9)</f>
        <v>0</v>
      </c>
      <c r="CJ807" s="693">
        <f>SUMIFS(Imput[[Importe Neto]:[Importe Neto]],Imput[[C. Imp.]:[C. Imp.]],$D807,Imput[[PERIODO Imp.]:[PERIODO Imp.]],CJ$9)</f>
        <v>0</v>
      </c>
      <c r="CK807" s="693">
        <f>SUMIFS(Imput[[Importe Neto]:[Importe Neto]],Imput[[C. Imp.]:[C. Imp.]],$D807,Imput[[PERIODO Imp.]:[PERIODO Imp.]],CK$9)</f>
        <v>0</v>
      </c>
      <c r="CL807" s="693">
        <f>SUMIFS(Imput[[Importe Neto]:[Importe Neto]],Imput[[C. Imp.]:[C. Imp.]],$D807,Imput[[PERIODO Imp.]:[PERIODO Imp.]],CL$9)</f>
        <v>0</v>
      </c>
      <c r="CM807" s="693">
        <f>SUMIFS(Imput[[Importe Neto]:[Importe Neto]],Imput[[C. Imp.]:[C. Imp.]],$D807,Imput[[PERIODO Imp.]:[PERIODO Imp.]],CM$9)</f>
        <v>0</v>
      </c>
      <c r="CN807" s="693">
        <f>SUMIFS(Imput[[Importe Neto]:[Importe Neto]],Imput[[C. Imp.]:[C. Imp.]],$D807,Imput[[PERIODO Imp.]:[PERIODO Imp.]],CN$9)</f>
        <v>0</v>
      </c>
      <c r="CO807" s="693">
        <f>SUMIFS(Imput[[Importe Neto]:[Importe Neto]],Imput[[C. Imp.]:[C. Imp.]],$D807,Imput[[PERIODO Imp.]:[PERIODO Imp.]],CO$9)</f>
        <v>0</v>
      </c>
      <c r="CP807" s="693">
        <f>SUMIFS(Imput[[Importe Neto]:[Importe Neto]],Imput[[C. Imp.]:[C. Imp.]],$D807,Imput[[PERIODO Imp.]:[PERIODO Imp.]],CP$9)</f>
        <v>0</v>
      </c>
      <c r="CQ807" s="693">
        <f>SUMIFS(Imput[[Importe Neto]:[Importe Neto]],Imput[[C. Imp.]:[C. Imp.]],$D807,Imput[[PERIODO Imp.]:[PERIODO Imp.]],CQ$9)</f>
        <v>0</v>
      </c>
      <c r="CR807" s="693">
        <f>SUMIFS(Imput[[Importe Neto]:[Importe Neto]],Imput[[C. Imp.]:[C. Imp.]],$D807,Imput[[PERIODO Imp.]:[PERIODO Imp.]],CR$9)</f>
        <v>0</v>
      </c>
      <c r="CS807" s="693">
        <f>SUMIFS(Imput[[Importe Neto]:[Importe Neto]],Imput[[C. Imp.]:[C. Imp.]],$D807,Imput[[PERIODO Imp.]:[PERIODO Imp.]],CS$9)</f>
        <v>0</v>
      </c>
      <c r="CT807" s="693">
        <f>SUMIFS(Imput[[Importe Neto]:[Importe Neto]],Imput[[C. Imp.]:[C. Imp.]],$D807,Imput[[PERIODO Imp.]:[PERIODO Imp.]],CT$9)</f>
        <v>0</v>
      </c>
      <c r="CU807" s="693">
        <f>SUMIFS(Imput[[Importe Neto]:[Importe Neto]],Imput[[C. Imp.]:[C. Imp.]],$D807,Imput[[PERIODO Imp.]:[PERIODO Imp.]],CU$9)</f>
        <v>0</v>
      </c>
      <c r="CV807" s="693">
        <f>SUMIFS(Imput[[Importe Neto]:[Importe Neto]],Imput[[C. Imp.]:[C. Imp.]],$D807,Imput[[PERIODO Imp.]:[PERIODO Imp.]],CV$9)</f>
        <v>0</v>
      </c>
      <c r="CW807" s="693">
        <f>SUMIFS(Imput[[Importe Neto]:[Importe Neto]],Imput[[C. Imp.]:[C. Imp.]],$D807,Imput[[PERIODO Imp.]:[PERIODO Imp.]],CW$9)</f>
        <v>0</v>
      </c>
      <c r="CX807" s="693">
        <f>SUMIFS(Imput[[Importe Neto]:[Importe Neto]],Imput[[C. Imp.]:[C. Imp.]],$D807,Imput[[PERIODO Imp.]:[PERIODO Imp.]],CX$9)</f>
        <v>0</v>
      </c>
      <c r="CY807" s="693">
        <f>SUMIFS(Imput[[Importe Neto]:[Importe Neto]],Imput[[C. Imp.]:[C. Imp.]],$D807,Imput[[PERIODO Imp.]:[PERIODO Imp.]],CY$9)</f>
        <v>0</v>
      </c>
      <c r="CZ807" s="693">
        <f>SUMIFS(Imput[[Importe Neto]:[Importe Neto]],Imput[[C. Imp.]:[C. Imp.]],$D807,Imput[[PERIODO Imp.]:[PERIODO Imp.]],CZ$9)</f>
        <v>0</v>
      </c>
      <c r="DA807" s="693">
        <f>SUMIFS(Imput[[Importe Neto]:[Importe Neto]],Imput[[C. Imp.]:[C. Imp.]],$D807,Imput[[PERIODO Imp.]:[PERIODO Imp.]],DA$9)</f>
        <v>0</v>
      </c>
      <c r="DB807" s="693">
        <f>SUMIFS(Imput[[Importe Neto]:[Importe Neto]],Imput[[C. Imp.]:[C. Imp.]],$D807,Imput[[PERIODO Imp.]:[PERIODO Imp.]],DB$9)</f>
        <v>0</v>
      </c>
      <c r="DC807" s="693">
        <f>SUMIFS(Imput[[Importe Neto]:[Importe Neto]],Imput[[C. Imp.]:[C. Imp.]],$D807,Imput[[PERIODO Imp.]:[PERIODO Imp.]],DC$9)</f>
        <v>0</v>
      </c>
      <c r="DD807" s="693">
        <f>SUMIFS(Imput[[Importe Neto]:[Importe Neto]],Imput[[C. Imp.]:[C. Imp.]],$D807,Imput[[PERIODO Imp.]:[PERIODO Imp.]],DD$9)</f>
        <v>0</v>
      </c>
      <c r="DE807" s="693">
        <f>SUMIFS(Imput[[Importe Neto]:[Importe Neto]],Imput[[C. Imp.]:[C. Imp.]],$D807,Imput[[PERIODO Imp.]:[PERIODO Imp.]],DE$9)</f>
        <v>0</v>
      </c>
      <c r="DF807" s="693">
        <f>SUMIFS(Imput[[Importe Neto]:[Importe Neto]],Imput[[C. Imp.]:[C. Imp.]],$D807,Imput[[PERIODO Imp.]:[PERIODO Imp.]],DF$9)</f>
        <v>0</v>
      </c>
      <c r="DG807" s="693">
        <f>SUMIFS(Imput[[Importe Neto]:[Importe Neto]],Imput[[C. Imp.]:[C. Imp.]],$D807,Imput[[PERIODO Imp.]:[PERIODO Imp.]],DG$9)</f>
        <v>0</v>
      </c>
      <c r="DH807" s="694">
        <f>SUMIFS(Imput[[Importe Neto]:[Importe Neto]],Imput[[C. Imp.]:[C. Imp.]],$D807,Imput[[PERIODO Imp.]:[PERIODO Imp.]],DH$9)</f>
        <v>0</v>
      </c>
    </row>
    <row r="808" spans="1:112" s="649" customFormat="1" hidden="1" outlineLevel="1" x14ac:dyDescent="0.3">
      <c r="A808" s="652" t="str">
        <f t="shared" si="280"/>
        <v/>
      </c>
      <c r="B808" s="652"/>
      <c r="C808" s="685"/>
      <c r="D808" s="686" t="s">
        <v>2788</v>
      </c>
      <c r="E808" s="686"/>
      <c r="F808" s="720"/>
      <c r="G808" s="688"/>
      <c r="H808" s="689"/>
      <c r="I808" s="851" t="str">
        <f t="shared" si="281"/>
        <v/>
      </c>
      <c r="J808" s="850" t="str">
        <f t="shared" si="282"/>
        <v/>
      </c>
      <c r="K808" s="667"/>
      <c r="L808" s="858"/>
      <c r="M808" s="859"/>
      <c r="N808" s="859"/>
      <c r="O808" s="859"/>
      <c r="P808" s="859"/>
      <c r="Q808" s="859"/>
      <c r="R808" s="859"/>
      <c r="S808" s="859"/>
      <c r="T808" s="859"/>
      <c r="U808" s="859"/>
      <c r="V808" s="859"/>
      <c r="W808" s="859"/>
      <c r="X808" s="859"/>
      <c r="Y808" s="859"/>
      <c r="Z808" s="860"/>
      <c r="AA808" s="860"/>
      <c r="AB808" s="860"/>
      <c r="AC808" s="860"/>
      <c r="AD808" s="860"/>
      <c r="AE808" s="860"/>
      <c r="AF808" s="860"/>
      <c r="AG808" s="860"/>
      <c r="AH808" s="860"/>
      <c r="AI808" s="860"/>
      <c r="AJ808" s="860"/>
      <c r="AK808" s="860"/>
      <c r="AL808" s="860"/>
      <c r="AM808" s="860"/>
      <c r="AN808" s="860"/>
      <c r="AO808" s="860"/>
      <c r="AP808" s="860"/>
      <c r="AQ808" s="860"/>
      <c r="AR808" s="860"/>
      <c r="AS808" s="860"/>
      <c r="AT808" s="860"/>
      <c r="AU808" s="860"/>
      <c r="AV808" s="860"/>
      <c r="AW808" s="860"/>
      <c r="AX808" s="860"/>
      <c r="AY808" s="860"/>
      <c r="AZ808" s="860"/>
      <c r="BA808" s="860"/>
      <c r="BB808" s="860"/>
      <c r="BC808" s="860"/>
      <c r="BD808" s="860"/>
      <c r="BE808" s="860"/>
      <c r="BF808" s="860"/>
      <c r="BG808" s="860"/>
      <c r="BH808" s="668"/>
      <c r="BI808" s="667"/>
      <c r="BJ808" s="690">
        <f t="shared" si="283"/>
        <v>0</v>
      </c>
      <c r="BK808" s="691">
        <f t="shared" si="284"/>
        <v>0</v>
      </c>
      <c r="BL808" s="654"/>
      <c r="BM808" s="692">
        <f>SUMIFS(Imput[[Importe Neto]:[Importe Neto]],Imput[[C. Imp.]:[C. Imp.]],$D808,Imput[[PERIODO Imp.]:[PERIODO Imp.]],BM$9)</f>
        <v>0</v>
      </c>
      <c r="BN808" s="693">
        <f>SUMIFS(Imput[[Importe Neto]:[Importe Neto]],Imput[[C. Imp.]:[C. Imp.]],$D808,Imput[[PERIODO Imp.]:[PERIODO Imp.]],BN$9)</f>
        <v>0</v>
      </c>
      <c r="BO808" s="693">
        <f>SUMIFS(Imput[[Importe Neto]:[Importe Neto]],Imput[[C. Imp.]:[C. Imp.]],$D808,Imput[[PERIODO Imp.]:[PERIODO Imp.]],BO$9)</f>
        <v>0</v>
      </c>
      <c r="BP808" s="693">
        <f>SUMIFS(Imput[[Importe Neto]:[Importe Neto]],Imput[[C. Imp.]:[C. Imp.]],$D808,Imput[[PERIODO Imp.]:[PERIODO Imp.]],BP$9)</f>
        <v>0</v>
      </c>
      <c r="BQ808" s="693">
        <f>SUMIFS(Imput[[Importe Neto]:[Importe Neto]],Imput[[C. Imp.]:[C. Imp.]],$D808,Imput[[PERIODO Imp.]:[PERIODO Imp.]],BQ$9)</f>
        <v>0</v>
      </c>
      <c r="BR808" s="693">
        <f>SUMIFS(Imput[[Importe Neto]:[Importe Neto]],Imput[[C. Imp.]:[C. Imp.]],$D808,Imput[[PERIODO Imp.]:[PERIODO Imp.]],BR$9)</f>
        <v>0</v>
      </c>
      <c r="BS808" s="693">
        <f>SUMIFS(Imput[[Importe Neto]:[Importe Neto]],Imput[[C. Imp.]:[C. Imp.]],$D808,Imput[[PERIODO Imp.]:[PERIODO Imp.]],BS$9)</f>
        <v>0</v>
      </c>
      <c r="BT808" s="693">
        <f>SUMIFS(Imput[[Importe Neto]:[Importe Neto]],Imput[[C. Imp.]:[C. Imp.]],$D808,Imput[[PERIODO Imp.]:[PERIODO Imp.]],BT$9)</f>
        <v>0</v>
      </c>
      <c r="BU808" s="693">
        <f>SUMIFS(Imput[[Importe Neto]:[Importe Neto]],Imput[[C. Imp.]:[C. Imp.]],$D808,Imput[[PERIODO Imp.]:[PERIODO Imp.]],BU$9)</f>
        <v>0</v>
      </c>
      <c r="BV808" s="693">
        <f>SUMIFS(Imput[[Importe Neto]:[Importe Neto]],Imput[[C. Imp.]:[C. Imp.]],$D808,Imput[[PERIODO Imp.]:[PERIODO Imp.]],BV$9)</f>
        <v>0</v>
      </c>
      <c r="BW808" s="693">
        <f>SUMIFS(Imput[[Importe Neto]:[Importe Neto]],Imput[[C. Imp.]:[C. Imp.]],$D808,Imput[[PERIODO Imp.]:[PERIODO Imp.]],BW$9)</f>
        <v>0</v>
      </c>
      <c r="BX808" s="693">
        <f>SUMIFS(Imput[[Importe Neto]:[Importe Neto]],Imput[[C. Imp.]:[C. Imp.]],$D808,Imput[[PERIODO Imp.]:[PERIODO Imp.]],BX$9)</f>
        <v>0</v>
      </c>
      <c r="BY808" s="693">
        <f>SUMIFS(Imput[[Importe Neto]:[Importe Neto]],Imput[[C. Imp.]:[C. Imp.]],$D808,Imput[[PERIODO Imp.]:[PERIODO Imp.]],BY$9)</f>
        <v>0</v>
      </c>
      <c r="BZ808" s="693">
        <f>SUMIFS(Imput[[Importe Neto]:[Importe Neto]],Imput[[C. Imp.]:[C. Imp.]],$D808,Imput[[PERIODO Imp.]:[PERIODO Imp.]],BZ$9)</f>
        <v>0</v>
      </c>
      <c r="CA808" s="693">
        <f>SUMIFS(Imput[[Importe Neto]:[Importe Neto]],Imput[[C. Imp.]:[C. Imp.]],$D808,Imput[[PERIODO Imp.]:[PERIODO Imp.]],CA$9)</f>
        <v>0</v>
      </c>
      <c r="CB808" s="693">
        <f>SUMIFS(Imput[[Importe Neto]:[Importe Neto]],Imput[[C. Imp.]:[C. Imp.]],$D808,Imput[[PERIODO Imp.]:[PERIODO Imp.]],CB$9)</f>
        <v>0</v>
      </c>
      <c r="CC808" s="693">
        <f>SUMIFS(Imput[[Importe Neto]:[Importe Neto]],Imput[[C. Imp.]:[C. Imp.]],$D808,Imput[[PERIODO Imp.]:[PERIODO Imp.]],CC$9)</f>
        <v>0</v>
      </c>
      <c r="CD808" s="693">
        <f>SUMIFS(Imput[[Importe Neto]:[Importe Neto]],Imput[[C. Imp.]:[C. Imp.]],$D808,Imput[[PERIODO Imp.]:[PERIODO Imp.]],CD$9)</f>
        <v>0</v>
      </c>
      <c r="CE808" s="693">
        <f>SUMIFS(Imput[[Importe Neto]:[Importe Neto]],Imput[[C. Imp.]:[C. Imp.]],$D808,Imput[[PERIODO Imp.]:[PERIODO Imp.]],CE$9)</f>
        <v>0</v>
      </c>
      <c r="CF808" s="693">
        <f>SUMIFS(Imput[[Importe Neto]:[Importe Neto]],Imput[[C. Imp.]:[C. Imp.]],$D808,Imput[[PERIODO Imp.]:[PERIODO Imp.]],CF$9)</f>
        <v>0</v>
      </c>
      <c r="CG808" s="693">
        <f>SUMIFS(Imput[[Importe Neto]:[Importe Neto]],Imput[[C. Imp.]:[C. Imp.]],$D808,Imput[[PERIODO Imp.]:[PERIODO Imp.]],CG$9)</f>
        <v>0</v>
      </c>
      <c r="CH808" s="693">
        <f>SUMIFS(Imput[[Importe Neto]:[Importe Neto]],Imput[[C. Imp.]:[C. Imp.]],$D808,Imput[[PERIODO Imp.]:[PERIODO Imp.]],CH$9)</f>
        <v>0</v>
      </c>
      <c r="CI808" s="693">
        <f>SUMIFS(Imput[[Importe Neto]:[Importe Neto]],Imput[[C. Imp.]:[C. Imp.]],$D808,Imput[[PERIODO Imp.]:[PERIODO Imp.]],CI$9)</f>
        <v>0</v>
      </c>
      <c r="CJ808" s="693">
        <f>SUMIFS(Imput[[Importe Neto]:[Importe Neto]],Imput[[C. Imp.]:[C. Imp.]],$D808,Imput[[PERIODO Imp.]:[PERIODO Imp.]],CJ$9)</f>
        <v>0</v>
      </c>
      <c r="CK808" s="693">
        <f>SUMIFS(Imput[[Importe Neto]:[Importe Neto]],Imput[[C. Imp.]:[C. Imp.]],$D808,Imput[[PERIODO Imp.]:[PERIODO Imp.]],CK$9)</f>
        <v>0</v>
      </c>
      <c r="CL808" s="693">
        <f>SUMIFS(Imput[[Importe Neto]:[Importe Neto]],Imput[[C. Imp.]:[C. Imp.]],$D808,Imput[[PERIODO Imp.]:[PERIODO Imp.]],CL$9)</f>
        <v>0</v>
      </c>
      <c r="CM808" s="693">
        <f>SUMIFS(Imput[[Importe Neto]:[Importe Neto]],Imput[[C. Imp.]:[C. Imp.]],$D808,Imput[[PERIODO Imp.]:[PERIODO Imp.]],CM$9)</f>
        <v>0</v>
      </c>
      <c r="CN808" s="693">
        <f>SUMIFS(Imput[[Importe Neto]:[Importe Neto]],Imput[[C. Imp.]:[C. Imp.]],$D808,Imput[[PERIODO Imp.]:[PERIODO Imp.]],CN$9)</f>
        <v>0</v>
      </c>
      <c r="CO808" s="693">
        <f>SUMIFS(Imput[[Importe Neto]:[Importe Neto]],Imput[[C. Imp.]:[C. Imp.]],$D808,Imput[[PERIODO Imp.]:[PERIODO Imp.]],CO$9)</f>
        <v>0</v>
      </c>
      <c r="CP808" s="693">
        <f>SUMIFS(Imput[[Importe Neto]:[Importe Neto]],Imput[[C. Imp.]:[C. Imp.]],$D808,Imput[[PERIODO Imp.]:[PERIODO Imp.]],CP$9)</f>
        <v>0</v>
      </c>
      <c r="CQ808" s="693">
        <f>SUMIFS(Imput[[Importe Neto]:[Importe Neto]],Imput[[C. Imp.]:[C. Imp.]],$D808,Imput[[PERIODO Imp.]:[PERIODO Imp.]],CQ$9)</f>
        <v>0</v>
      </c>
      <c r="CR808" s="693">
        <f>SUMIFS(Imput[[Importe Neto]:[Importe Neto]],Imput[[C. Imp.]:[C. Imp.]],$D808,Imput[[PERIODO Imp.]:[PERIODO Imp.]],CR$9)</f>
        <v>0</v>
      </c>
      <c r="CS808" s="693">
        <f>SUMIFS(Imput[[Importe Neto]:[Importe Neto]],Imput[[C. Imp.]:[C. Imp.]],$D808,Imput[[PERIODO Imp.]:[PERIODO Imp.]],CS$9)</f>
        <v>0</v>
      </c>
      <c r="CT808" s="693">
        <f>SUMIFS(Imput[[Importe Neto]:[Importe Neto]],Imput[[C. Imp.]:[C. Imp.]],$D808,Imput[[PERIODO Imp.]:[PERIODO Imp.]],CT$9)</f>
        <v>0</v>
      </c>
      <c r="CU808" s="693">
        <f>SUMIFS(Imput[[Importe Neto]:[Importe Neto]],Imput[[C. Imp.]:[C. Imp.]],$D808,Imput[[PERIODO Imp.]:[PERIODO Imp.]],CU$9)</f>
        <v>0</v>
      </c>
      <c r="CV808" s="693">
        <f>SUMIFS(Imput[[Importe Neto]:[Importe Neto]],Imput[[C. Imp.]:[C. Imp.]],$D808,Imput[[PERIODO Imp.]:[PERIODO Imp.]],CV$9)</f>
        <v>0</v>
      </c>
      <c r="CW808" s="693">
        <f>SUMIFS(Imput[[Importe Neto]:[Importe Neto]],Imput[[C. Imp.]:[C. Imp.]],$D808,Imput[[PERIODO Imp.]:[PERIODO Imp.]],CW$9)</f>
        <v>0</v>
      </c>
      <c r="CX808" s="693">
        <f>SUMIFS(Imput[[Importe Neto]:[Importe Neto]],Imput[[C. Imp.]:[C. Imp.]],$D808,Imput[[PERIODO Imp.]:[PERIODO Imp.]],CX$9)</f>
        <v>0</v>
      </c>
      <c r="CY808" s="693">
        <f>SUMIFS(Imput[[Importe Neto]:[Importe Neto]],Imput[[C. Imp.]:[C. Imp.]],$D808,Imput[[PERIODO Imp.]:[PERIODO Imp.]],CY$9)</f>
        <v>0</v>
      </c>
      <c r="CZ808" s="693">
        <f>SUMIFS(Imput[[Importe Neto]:[Importe Neto]],Imput[[C. Imp.]:[C. Imp.]],$D808,Imput[[PERIODO Imp.]:[PERIODO Imp.]],CZ$9)</f>
        <v>0</v>
      </c>
      <c r="DA808" s="693">
        <f>SUMIFS(Imput[[Importe Neto]:[Importe Neto]],Imput[[C. Imp.]:[C. Imp.]],$D808,Imput[[PERIODO Imp.]:[PERIODO Imp.]],DA$9)</f>
        <v>0</v>
      </c>
      <c r="DB808" s="693">
        <f>SUMIFS(Imput[[Importe Neto]:[Importe Neto]],Imput[[C. Imp.]:[C. Imp.]],$D808,Imput[[PERIODO Imp.]:[PERIODO Imp.]],DB$9)</f>
        <v>0</v>
      </c>
      <c r="DC808" s="693">
        <f>SUMIFS(Imput[[Importe Neto]:[Importe Neto]],Imput[[C. Imp.]:[C. Imp.]],$D808,Imput[[PERIODO Imp.]:[PERIODO Imp.]],DC$9)</f>
        <v>0</v>
      </c>
      <c r="DD808" s="693">
        <f>SUMIFS(Imput[[Importe Neto]:[Importe Neto]],Imput[[C. Imp.]:[C. Imp.]],$D808,Imput[[PERIODO Imp.]:[PERIODO Imp.]],DD$9)</f>
        <v>0</v>
      </c>
      <c r="DE808" s="693">
        <f>SUMIFS(Imput[[Importe Neto]:[Importe Neto]],Imput[[C. Imp.]:[C. Imp.]],$D808,Imput[[PERIODO Imp.]:[PERIODO Imp.]],DE$9)</f>
        <v>0</v>
      </c>
      <c r="DF808" s="693">
        <f>SUMIFS(Imput[[Importe Neto]:[Importe Neto]],Imput[[C. Imp.]:[C. Imp.]],$D808,Imput[[PERIODO Imp.]:[PERIODO Imp.]],DF$9)</f>
        <v>0</v>
      </c>
      <c r="DG808" s="693">
        <f>SUMIFS(Imput[[Importe Neto]:[Importe Neto]],Imput[[C. Imp.]:[C. Imp.]],$D808,Imput[[PERIODO Imp.]:[PERIODO Imp.]],DG$9)</f>
        <v>0</v>
      </c>
      <c r="DH808" s="694">
        <f>SUMIFS(Imput[[Importe Neto]:[Importe Neto]],Imput[[C. Imp.]:[C. Imp.]],$D808,Imput[[PERIODO Imp.]:[PERIODO Imp.]],DH$9)</f>
        <v>0</v>
      </c>
    </row>
    <row r="809" spans="1:112" s="649" customFormat="1" hidden="1" outlineLevel="1" x14ac:dyDescent="0.3">
      <c r="A809" s="652" t="str">
        <f t="shared" si="280"/>
        <v/>
      </c>
      <c r="B809" s="652"/>
      <c r="C809" s="685"/>
      <c r="D809" s="686" t="s">
        <v>2789</v>
      </c>
      <c r="E809" s="686"/>
      <c r="F809" s="720"/>
      <c r="G809" s="688"/>
      <c r="H809" s="689"/>
      <c r="I809" s="851" t="str">
        <f t="shared" si="281"/>
        <v/>
      </c>
      <c r="J809" s="850" t="str">
        <f t="shared" si="282"/>
        <v/>
      </c>
      <c r="K809" s="667"/>
      <c r="L809" s="858"/>
      <c r="M809" s="859"/>
      <c r="N809" s="859"/>
      <c r="O809" s="859"/>
      <c r="P809" s="859"/>
      <c r="Q809" s="859"/>
      <c r="R809" s="859"/>
      <c r="S809" s="859"/>
      <c r="T809" s="859"/>
      <c r="U809" s="859"/>
      <c r="V809" s="859"/>
      <c r="W809" s="859"/>
      <c r="X809" s="859"/>
      <c r="Y809" s="859"/>
      <c r="Z809" s="860"/>
      <c r="AA809" s="860"/>
      <c r="AB809" s="860"/>
      <c r="AC809" s="860"/>
      <c r="AD809" s="860"/>
      <c r="AE809" s="860"/>
      <c r="AF809" s="860"/>
      <c r="AG809" s="860"/>
      <c r="AH809" s="860"/>
      <c r="AI809" s="860"/>
      <c r="AJ809" s="860"/>
      <c r="AK809" s="860"/>
      <c r="AL809" s="860"/>
      <c r="AM809" s="860"/>
      <c r="AN809" s="860"/>
      <c r="AO809" s="860"/>
      <c r="AP809" s="860"/>
      <c r="AQ809" s="860"/>
      <c r="AR809" s="860"/>
      <c r="AS809" s="860"/>
      <c r="AT809" s="860"/>
      <c r="AU809" s="860"/>
      <c r="AV809" s="860"/>
      <c r="AW809" s="860"/>
      <c r="AX809" s="860"/>
      <c r="AY809" s="860"/>
      <c r="AZ809" s="860"/>
      <c r="BA809" s="860"/>
      <c r="BB809" s="860"/>
      <c r="BC809" s="860"/>
      <c r="BD809" s="860"/>
      <c r="BE809" s="860"/>
      <c r="BF809" s="860"/>
      <c r="BG809" s="860"/>
      <c r="BH809" s="668"/>
      <c r="BI809" s="667"/>
      <c r="BJ809" s="690">
        <f t="shared" si="283"/>
        <v>0</v>
      </c>
      <c r="BK809" s="691">
        <f t="shared" si="284"/>
        <v>0</v>
      </c>
      <c r="BL809" s="654"/>
      <c r="BM809" s="692">
        <f>SUMIFS(Imput[[Importe Neto]:[Importe Neto]],Imput[[C. Imp.]:[C. Imp.]],$D809,Imput[[PERIODO Imp.]:[PERIODO Imp.]],BM$9)</f>
        <v>0</v>
      </c>
      <c r="BN809" s="693">
        <f>SUMIFS(Imput[[Importe Neto]:[Importe Neto]],Imput[[C. Imp.]:[C. Imp.]],$D809,Imput[[PERIODO Imp.]:[PERIODO Imp.]],BN$9)</f>
        <v>0</v>
      </c>
      <c r="BO809" s="693">
        <f>SUMIFS(Imput[[Importe Neto]:[Importe Neto]],Imput[[C. Imp.]:[C. Imp.]],$D809,Imput[[PERIODO Imp.]:[PERIODO Imp.]],BO$9)</f>
        <v>0</v>
      </c>
      <c r="BP809" s="693">
        <f>SUMIFS(Imput[[Importe Neto]:[Importe Neto]],Imput[[C. Imp.]:[C. Imp.]],$D809,Imput[[PERIODO Imp.]:[PERIODO Imp.]],BP$9)</f>
        <v>0</v>
      </c>
      <c r="BQ809" s="693">
        <f>SUMIFS(Imput[[Importe Neto]:[Importe Neto]],Imput[[C. Imp.]:[C. Imp.]],$D809,Imput[[PERIODO Imp.]:[PERIODO Imp.]],BQ$9)</f>
        <v>0</v>
      </c>
      <c r="BR809" s="693">
        <f>SUMIFS(Imput[[Importe Neto]:[Importe Neto]],Imput[[C. Imp.]:[C. Imp.]],$D809,Imput[[PERIODO Imp.]:[PERIODO Imp.]],BR$9)</f>
        <v>0</v>
      </c>
      <c r="BS809" s="693">
        <f>SUMIFS(Imput[[Importe Neto]:[Importe Neto]],Imput[[C. Imp.]:[C. Imp.]],$D809,Imput[[PERIODO Imp.]:[PERIODO Imp.]],BS$9)</f>
        <v>0</v>
      </c>
      <c r="BT809" s="693">
        <f>SUMIFS(Imput[[Importe Neto]:[Importe Neto]],Imput[[C. Imp.]:[C. Imp.]],$D809,Imput[[PERIODO Imp.]:[PERIODO Imp.]],BT$9)</f>
        <v>0</v>
      </c>
      <c r="BU809" s="693">
        <f>SUMIFS(Imput[[Importe Neto]:[Importe Neto]],Imput[[C. Imp.]:[C. Imp.]],$D809,Imput[[PERIODO Imp.]:[PERIODO Imp.]],BU$9)</f>
        <v>0</v>
      </c>
      <c r="BV809" s="693">
        <f>SUMIFS(Imput[[Importe Neto]:[Importe Neto]],Imput[[C. Imp.]:[C. Imp.]],$D809,Imput[[PERIODO Imp.]:[PERIODO Imp.]],BV$9)</f>
        <v>0</v>
      </c>
      <c r="BW809" s="693">
        <f>SUMIFS(Imput[[Importe Neto]:[Importe Neto]],Imput[[C. Imp.]:[C. Imp.]],$D809,Imput[[PERIODO Imp.]:[PERIODO Imp.]],BW$9)</f>
        <v>0</v>
      </c>
      <c r="BX809" s="693">
        <f>SUMIFS(Imput[[Importe Neto]:[Importe Neto]],Imput[[C. Imp.]:[C. Imp.]],$D809,Imput[[PERIODO Imp.]:[PERIODO Imp.]],BX$9)</f>
        <v>0</v>
      </c>
      <c r="BY809" s="693">
        <f>SUMIFS(Imput[[Importe Neto]:[Importe Neto]],Imput[[C. Imp.]:[C. Imp.]],$D809,Imput[[PERIODO Imp.]:[PERIODO Imp.]],BY$9)</f>
        <v>0</v>
      </c>
      <c r="BZ809" s="693">
        <f>SUMIFS(Imput[[Importe Neto]:[Importe Neto]],Imput[[C. Imp.]:[C. Imp.]],$D809,Imput[[PERIODO Imp.]:[PERIODO Imp.]],BZ$9)</f>
        <v>0</v>
      </c>
      <c r="CA809" s="693">
        <f>SUMIFS(Imput[[Importe Neto]:[Importe Neto]],Imput[[C. Imp.]:[C. Imp.]],$D809,Imput[[PERIODO Imp.]:[PERIODO Imp.]],CA$9)</f>
        <v>0</v>
      </c>
      <c r="CB809" s="693">
        <f>SUMIFS(Imput[[Importe Neto]:[Importe Neto]],Imput[[C. Imp.]:[C. Imp.]],$D809,Imput[[PERIODO Imp.]:[PERIODO Imp.]],CB$9)</f>
        <v>0</v>
      </c>
      <c r="CC809" s="693">
        <f>SUMIFS(Imput[[Importe Neto]:[Importe Neto]],Imput[[C. Imp.]:[C. Imp.]],$D809,Imput[[PERIODO Imp.]:[PERIODO Imp.]],CC$9)</f>
        <v>0</v>
      </c>
      <c r="CD809" s="693">
        <f>SUMIFS(Imput[[Importe Neto]:[Importe Neto]],Imput[[C. Imp.]:[C. Imp.]],$D809,Imput[[PERIODO Imp.]:[PERIODO Imp.]],CD$9)</f>
        <v>0</v>
      </c>
      <c r="CE809" s="693">
        <f>SUMIFS(Imput[[Importe Neto]:[Importe Neto]],Imput[[C. Imp.]:[C. Imp.]],$D809,Imput[[PERIODO Imp.]:[PERIODO Imp.]],CE$9)</f>
        <v>0</v>
      </c>
      <c r="CF809" s="693">
        <f>SUMIFS(Imput[[Importe Neto]:[Importe Neto]],Imput[[C. Imp.]:[C. Imp.]],$D809,Imput[[PERIODO Imp.]:[PERIODO Imp.]],CF$9)</f>
        <v>0</v>
      </c>
      <c r="CG809" s="693">
        <f>SUMIFS(Imput[[Importe Neto]:[Importe Neto]],Imput[[C. Imp.]:[C. Imp.]],$D809,Imput[[PERIODO Imp.]:[PERIODO Imp.]],CG$9)</f>
        <v>0</v>
      </c>
      <c r="CH809" s="693">
        <f>SUMIFS(Imput[[Importe Neto]:[Importe Neto]],Imput[[C. Imp.]:[C. Imp.]],$D809,Imput[[PERIODO Imp.]:[PERIODO Imp.]],CH$9)</f>
        <v>0</v>
      </c>
      <c r="CI809" s="693">
        <f>SUMIFS(Imput[[Importe Neto]:[Importe Neto]],Imput[[C. Imp.]:[C. Imp.]],$D809,Imput[[PERIODO Imp.]:[PERIODO Imp.]],CI$9)</f>
        <v>0</v>
      </c>
      <c r="CJ809" s="693">
        <f>SUMIFS(Imput[[Importe Neto]:[Importe Neto]],Imput[[C. Imp.]:[C. Imp.]],$D809,Imput[[PERIODO Imp.]:[PERIODO Imp.]],CJ$9)</f>
        <v>0</v>
      </c>
      <c r="CK809" s="693">
        <f>SUMIFS(Imput[[Importe Neto]:[Importe Neto]],Imput[[C. Imp.]:[C. Imp.]],$D809,Imput[[PERIODO Imp.]:[PERIODO Imp.]],CK$9)</f>
        <v>0</v>
      </c>
      <c r="CL809" s="693">
        <f>SUMIFS(Imput[[Importe Neto]:[Importe Neto]],Imput[[C. Imp.]:[C. Imp.]],$D809,Imput[[PERIODO Imp.]:[PERIODO Imp.]],CL$9)</f>
        <v>0</v>
      </c>
      <c r="CM809" s="693">
        <f>SUMIFS(Imput[[Importe Neto]:[Importe Neto]],Imput[[C. Imp.]:[C. Imp.]],$D809,Imput[[PERIODO Imp.]:[PERIODO Imp.]],CM$9)</f>
        <v>0</v>
      </c>
      <c r="CN809" s="693">
        <f>SUMIFS(Imput[[Importe Neto]:[Importe Neto]],Imput[[C. Imp.]:[C. Imp.]],$D809,Imput[[PERIODO Imp.]:[PERIODO Imp.]],CN$9)</f>
        <v>0</v>
      </c>
      <c r="CO809" s="693">
        <f>SUMIFS(Imput[[Importe Neto]:[Importe Neto]],Imput[[C. Imp.]:[C. Imp.]],$D809,Imput[[PERIODO Imp.]:[PERIODO Imp.]],CO$9)</f>
        <v>0</v>
      </c>
      <c r="CP809" s="693">
        <f>SUMIFS(Imput[[Importe Neto]:[Importe Neto]],Imput[[C. Imp.]:[C. Imp.]],$D809,Imput[[PERIODO Imp.]:[PERIODO Imp.]],CP$9)</f>
        <v>0</v>
      </c>
      <c r="CQ809" s="693">
        <f>SUMIFS(Imput[[Importe Neto]:[Importe Neto]],Imput[[C. Imp.]:[C. Imp.]],$D809,Imput[[PERIODO Imp.]:[PERIODO Imp.]],CQ$9)</f>
        <v>0</v>
      </c>
      <c r="CR809" s="693">
        <f>SUMIFS(Imput[[Importe Neto]:[Importe Neto]],Imput[[C. Imp.]:[C. Imp.]],$D809,Imput[[PERIODO Imp.]:[PERIODO Imp.]],CR$9)</f>
        <v>0</v>
      </c>
      <c r="CS809" s="693">
        <f>SUMIFS(Imput[[Importe Neto]:[Importe Neto]],Imput[[C. Imp.]:[C. Imp.]],$D809,Imput[[PERIODO Imp.]:[PERIODO Imp.]],CS$9)</f>
        <v>0</v>
      </c>
      <c r="CT809" s="693">
        <f>SUMIFS(Imput[[Importe Neto]:[Importe Neto]],Imput[[C. Imp.]:[C. Imp.]],$D809,Imput[[PERIODO Imp.]:[PERIODO Imp.]],CT$9)</f>
        <v>0</v>
      </c>
      <c r="CU809" s="693">
        <f>SUMIFS(Imput[[Importe Neto]:[Importe Neto]],Imput[[C. Imp.]:[C. Imp.]],$D809,Imput[[PERIODO Imp.]:[PERIODO Imp.]],CU$9)</f>
        <v>0</v>
      </c>
      <c r="CV809" s="693">
        <f>SUMIFS(Imput[[Importe Neto]:[Importe Neto]],Imput[[C. Imp.]:[C. Imp.]],$D809,Imput[[PERIODO Imp.]:[PERIODO Imp.]],CV$9)</f>
        <v>0</v>
      </c>
      <c r="CW809" s="693">
        <f>SUMIFS(Imput[[Importe Neto]:[Importe Neto]],Imput[[C. Imp.]:[C. Imp.]],$D809,Imput[[PERIODO Imp.]:[PERIODO Imp.]],CW$9)</f>
        <v>0</v>
      </c>
      <c r="CX809" s="693">
        <f>SUMIFS(Imput[[Importe Neto]:[Importe Neto]],Imput[[C. Imp.]:[C. Imp.]],$D809,Imput[[PERIODO Imp.]:[PERIODO Imp.]],CX$9)</f>
        <v>0</v>
      </c>
      <c r="CY809" s="693">
        <f>SUMIFS(Imput[[Importe Neto]:[Importe Neto]],Imput[[C. Imp.]:[C. Imp.]],$D809,Imput[[PERIODO Imp.]:[PERIODO Imp.]],CY$9)</f>
        <v>0</v>
      </c>
      <c r="CZ809" s="693">
        <f>SUMIFS(Imput[[Importe Neto]:[Importe Neto]],Imput[[C. Imp.]:[C. Imp.]],$D809,Imput[[PERIODO Imp.]:[PERIODO Imp.]],CZ$9)</f>
        <v>0</v>
      </c>
      <c r="DA809" s="693">
        <f>SUMIFS(Imput[[Importe Neto]:[Importe Neto]],Imput[[C. Imp.]:[C. Imp.]],$D809,Imput[[PERIODO Imp.]:[PERIODO Imp.]],DA$9)</f>
        <v>0</v>
      </c>
      <c r="DB809" s="693">
        <f>SUMIFS(Imput[[Importe Neto]:[Importe Neto]],Imput[[C. Imp.]:[C. Imp.]],$D809,Imput[[PERIODO Imp.]:[PERIODO Imp.]],DB$9)</f>
        <v>0</v>
      </c>
      <c r="DC809" s="693">
        <f>SUMIFS(Imput[[Importe Neto]:[Importe Neto]],Imput[[C. Imp.]:[C. Imp.]],$D809,Imput[[PERIODO Imp.]:[PERIODO Imp.]],DC$9)</f>
        <v>0</v>
      </c>
      <c r="DD809" s="693">
        <f>SUMIFS(Imput[[Importe Neto]:[Importe Neto]],Imput[[C. Imp.]:[C. Imp.]],$D809,Imput[[PERIODO Imp.]:[PERIODO Imp.]],DD$9)</f>
        <v>0</v>
      </c>
      <c r="DE809" s="693">
        <f>SUMIFS(Imput[[Importe Neto]:[Importe Neto]],Imput[[C. Imp.]:[C. Imp.]],$D809,Imput[[PERIODO Imp.]:[PERIODO Imp.]],DE$9)</f>
        <v>0</v>
      </c>
      <c r="DF809" s="693">
        <f>SUMIFS(Imput[[Importe Neto]:[Importe Neto]],Imput[[C. Imp.]:[C. Imp.]],$D809,Imput[[PERIODO Imp.]:[PERIODO Imp.]],DF$9)</f>
        <v>0</v>
      </c>
      <c r="DG809" s="693">
        <f>SUMIFS(Imput[[Importe Neto]:[Importe Neto]],Imput[[C. Imp.]:[C. Imp.]],$D809,Imput[[PERIODO Imp.]:[PERIODO Imp.]],DG$9)</f>
        <v>0</v>
      </c>
      <c r="DH809" s="694">
        <f>SUMIFS(Imput[[Importe Neto]:[Importe Neto]],Imput[[C. Imp.]:[C. Imp.]],$D809,Imput[[PERIODO Imp.]:[PERIODO Imp.]],DH$9)</f>
        <v>0</v>
      </c>
    </row>
    <row r="810" spans="1:112" s="649" customFormat="1" hidden="1" outlineLevel="1" x14ac:dyDescent="0.3">
      <c r="A810" s="652" t="str">
        <f t="shared" si="280"/>
        <v/>
      </c>
      <c r="B810" s="652"/>
      <c r="C810" s="685"/>
      <c r="D810" s="686" t="s">
        <v>2790</v>
      </c>
      <c r="E810" s="686"/>
      <c r="F810" s="720"/>
      <c r="G810" s="688"/>
      <c r="H810" s="689"/>
      <c r="I810" s="851" t="str">
        <f t="shared" si="281"/>
        <v/>
      </c>
      <c r="J810" s="850" t="str">
        <f t="shared" si="282"/>
        <v/>
      </c>
      <c r="K810" s="667"/>
      <c r="L810" s="858"/>
      <c r="M810" s="859"/>
      <c r="N810" s="859"/>
      <c r="O810" s="859"/>
      <c r="P810" s="859"/>
      <c r="Q810" s="859"/>
      <c r="R810" s="859"/>
      <c r="S810" s="859"/>
      <c r="T810" s="859"/>
      <c r="U810" s="859"/>
      <c r="V810" s="859"/>
      <c r="W810" s="859"/>
      <c r="X810" s="859"/>
      <c r="Y810" s="859"/>
      <c r="Z810" s="860"/>
      <c r="AA810" s="860"/>
      <c r="AB810" s="860"/>
      <c r="AC810" s="860"/>
      <c r="AD810" s="860"/>
      <c r="AE810" s="860"/>
      <c r="AF810" s="860"/>
      <c r="AG810" s="860"/>
      <c r="AH810" s="860"/>
      <c r="AI810" s="860"/>
      <c r="AJ810" s="860"/>
      <c r="AK810" s="860"/>
      <c r="AL810" s="860"/>
      <c r="AM810" s="860"/>
      <c r="AN810" s="860"/>
      <c r="AO810" s="860"/>
      <c r="AP810" s="860"/>
      <c r="AQ810" s="860"/>
      <c r="AR810" s="860"/>
      <c r="AS810" s="860"/>
      <c r="AT810" s="860"/>
      <c r="AU810" s="860"/>
      <c r="AV810" s="860"/>
      <c r="AW810" s="860"/>
      <c r="AX810" s="860"/>
      <c r="AY810" s="860"/>
      <c r="AZ810" s="860"/>
      <c r="BA810" s="860"/>
      <c r="BB810" s="860"/>
      <c r="BC810" s="860"/>
      <c r="BD810" s="860"/>
      <c r="BE810" s="860"/>
      <c r="BF810" s="860"/>
      <c r="BG810" s="860"/>
      <c r="BH810" s="668"/>
      <c r="BI810" s="667"/>
      <c r="BJ810" s="690">
        <f t="shared" si="283"/>
        <v>0</v>
      </c>
      <c r="BK810" s="691">
        <f t="shared" si="284"/>
        <v>0</v>
      </c>
      <c r="BL810" s="654"/>
      <c r="BM810" s="692">
        <f>SUMIFS(Imput[[Importe Neto]:[Importe Neto]],Imput[[C. Imp.]:[C. Imp.]],$D810,Imput[[PERIODO Imp.]:[PERIODO Imp.]],BM$9)</f>
        <v>0</v>
      </c>
      <c r="BN810" s="693">
        <f>SUMIFS(Imput[[Importe Neto]:[Importe Neto]],Imput[[C. Imp.]:[C. Imp.]],$D810,Imput[[PERIODO Imp.]:[PERIODO Imp.]],BN$9)</f>
        <v>0</v>
      </c>
      <c r="BO810" s="693">
        <f>SUMIFS(Imput[[Importe Neto]:[Importe Neto]],Imput[[C. Imp.]:[C. Imp.]],$D810,Imput[[PERIODO Imp.]:[PERIODO Imp.]],BO$9)</f>
        <v>0</v>
      </c>
      <c r="BP810" s="693">
        <f>SUMIFS(Imput[[Importe Neto]:[Importe Neto]],Imput[[C. Imp.]:[C. Imp.]],$D810,Imput[[PERIODO Imp.]:[PERIODO Imp.]],BP$9)</f>
        <v>0</v>
      </c>
      <c r="BQ810" s="693">
        <f>SUMIFS(Imput[[Importe Neto]:[Importe Neto]],Imput[[C. Imp.]:[C. Imp.]],$D810,Imput[[PERIODO Imp.]:[PERIODO Imp.]],BQ$9)</f>
        <v>0</v>
      </c>
      <c r="BR810" s="693">
        <f>SUMIFS(Imput[[Importe Neto]:[Importe Neto]],Imput[[C. Imp.]:[C. Imp.]],$D810,Imput[[PERIODO Imp.]:[PERIODO Imp.]],BR$9)</f>
        <v>0</v>
      </c>
      <c r="BS810" s="693">
        <f>SUMIFS(Imput[[Importe Neto]:[Importe Neto]],Imput[[C. Imp.]:[C. Imp.]],$D810,Imput[[PERIODO Imp.]:[PERIODO Imp.]],BS$9)</f>
        <v>0</v>
      </c>
      <c r="BT810" s="693">
        <f>SUMIFS(Imput[[Importe Neto]:[Importe Neto]],Imput[[C. Imp.]:[C. Imp.]],$D810,Imput[[PERIODO Imp.]:[PERIODO Imp.]],BT$9)</f>
        <v>0</v>
      </c>
      <c r="BU810" s="693">
        <f>SUMIFS(Imput[[Importe Neto]:[Importe Neto]],Imput[[C. Imp.]:[C. Imp.]],$D810,Imput[[PERIODO Imp.]:[PERIODO Imp.]],BU$9)</f>
        <v>0</v>
      </c>
      <c r="BV810" s="693">
        <f>SUMIFS(Imput[[Importe Neto]:[Importe Neto]],Imput[[C. Imp.]:[C. Imp.]],$D810,Imput[[PERIODO Imp.]:[PERIODO Imp.]],BV$9)</f>
        <v>0</v>
      </c>
      <c r="BW810" s="693">
        <f>SUMIFS(Imput[[Importe Neto]:[Importe Neto]],Imput[[C. Imp.]:[C. Imp.]],$D810,Imput[[PERIODO Imp.]:[PERIODO Imp.]],BW$9)</f>
        <v>0</v>
      </c>
      <c r="BX810" s="693">
        <f>SUMIFS(Imput[[Importe Neto]:[Importe Neto]],Imput[[C. Imp.]:[C. Imp.]],$D810,Imput[[PERIODO Imp.]:[PERIODO Imp.]],BX$9)</f>
        <v>0</v>
      </c>
      <c r="BY810" s="693">
        <f>SUMIFS(Imput[[Importe Neto]:[Importe Neto]],Imput[[C. Imp.]:[C. Imp.]],$D810,Imput[[PERIODO Imp.]:[PERIODO Imp.]],BY$9)</f>
        <v>0</v>
      </c>
      <c r="BZ810" s="693">
        <f>SUMIFS(Imput[[Importe Neto]:[Importe Neto]],Imput[[C. Imp.]:[C. Imp.]],$D810,Imput[[PERIODO Imp.]:[PERIODO Imp.]],BZ$9)</f>
        <v>0</v>
      </c>
      <c r="CA810" s="693">
        <f>SUMIFS(Imput[[Importe Neto]:[Importe Neto]],Imput[[C. Imp.]:[C. Imp.]],$D810,Imput[[PERIODO Imp.]:[PERIODO Imp.]],CA$9)</f>
        <v>0</v>
      </c>
      <c r="CB810" s="693">
        <f>SUMIFS(Imput[[Importe Neto]:[Importe Neto]],Imput[[C. Imp.]:[C. Imp.]],$D810,Imput[[PERIODO Imp.]:[PERIODO Imp.]],CB$9)</f>
        <v>0</v>
      </c>
      <c r="CC810" s="693">
        <f>SUMIFS(Imput[[Importe Neto]:[Importe Neto]],Imput[[C. Imp.]:[C. Imp.]],$D810,Imput[[PERIODO Imp.]:[PERIODO Imp.]],CC$9)</f>
        <v>0</v>
      </c>
      <c r="CD810" s="693">
        <f>SUMIFS(Imput[[Importe Neto]:[Importe Neto]],Imput[[C. Imp.]:[C. Imp.]],$D810,Imput[[PERIODO Imp.]:[PERIODO Imp.]],CD$9)</f>
        <v>0</v>
      </c>
      <c r="CE810" s="693">
        <f>SUMIFS(Imput[[Importe Neto]:[Importe Neto]],Imput[[C. Imp.]:[C. Imp.]],$D810,Imput[[PERIODO Imp.]:[PERIODO Imp.]],CE$9)</f>
        <v>0</v>
      </c>
      <c r="CF810" s="693">
        <f>SUMIFS(Imput[[Importe Neto]:[Importe Neto]],Imput[[C. Imp.]:[C. Imp.]],$D810,Imput[[PERIODO Imp.]:[PERIODO Imp.]],CF$9)</f>
        <v>0</v>
      </c>
      <c r="CG810" s="693">
        <f>SUMIFS(Imput[[Importe Neto]:[Importe Neto]],Imput[[C. Imp.]:[C. Imp.]],$D810,Imput[[PERIODO Imp.]:[PERIODO Imp.]],CG$9)</f>
        <v>0</v>
      </c>
      <c r="CH810" s="693">
        <f>SUMIFS(Imput[[Importe Neto]:[Importe Neto]],Imput[[C. Imp.]:[C. Imp.]],$D810,Imput[[PERIODO Imp.]:[PERIODO Imp.]],CH$9)</f>
        <v>0</v>
      </c>
      <c r="CI810" s="693">
        <f>SUMIFS(Imput[[Importe Neto]:[Importe Neto]],Imput[[C. Imp.]:[C. Imp.]],$D810,Imput[[PERIODO Imp.]:[PERIODO Imp.]],CI$9)</f>
        <v>0</v>
      </c>
      <c r="CJ810" s="693">
        <f>SUMIFS(Imput[[Importe Neto]:[Importe Neto]],Imput[[C. Imp.]:[C. Imp.]],$D810,Imput[[PERIODO Imp.]:[PERIODO Imp.]],CJ$9)</f>
        <v>0</v>
      </c>
      <c r="CK810" s="693">
        <f>SUMIFS(Imput[[Importe Neto]:[Importe Neto]],Imput[[C. Imp.]:[C. Imp.]],$D810,Imput[[PERIODO Imp.]:[PERIODO Imp.]],CK$9)</f>
        <v>0</v>
      </c>
      <c r="CL810" s="693">
        <f>SUMIFS(Imput[[Importe Neto]:[Importe Neto]],Imput[[C. Imp.]:[C. Imp.]],$D810,Imput[[PERIODO Imp.]:[PERIODO Imp.]],CL$9)</f>
        <v>0</v>
      </c>
      <c r="CM810" s="693">
        <f>SUMIFS(Imput[[Importe Neto]:[Importe Neto]],Imput[[C. Imp.]:[C. Imp.]],$D810,Imput[[PERIODO Imp.]:[PERIODO Imp.]],CM$9)</f>
        <v>0</v>
      </c>
      <c r="CN810" s="693">
        <f>SUMIFS(Imput[[Importe Neto]:[Importe Neto]],Imput[[C. Imp.]:[C. Imp.]],$D810,Imput[[PERIODO Imp.]:[PERIODO Imp.]],CN$9)</f>
        <v>0</v>
      </c>
      <c r="CO810" s="693">
        <f>SUMIFS(Imput[[Importe Neto]:[Importe Neto]],Imput[[C. Imp.]:[C. Imp.]],$D810,Imput[[PERIODO Imp.]:[PERIODO Imp.]],CO$9)</f>
        <v>0</v>
      </c>
      <c r="CP810" s="693">
        <f>SUMIFS(Imput[[Importe Neto]:[Importe Neto]],Imput[[C. Imp.]:[C. Imp.]],$D810,Imput[[PERIODO Imp.]:[PERIODO Imp.]],CP$9)</f>
        <v>0</v>
      </c>
      <c r="CQ810" s="693">
        <f>SUMIFS(Imput[[Importe Neto]:[Importe Neto]],Imput[[C. Imp.]:[C. Imp.]],$D810,Imput[[PERIODO Imp.]:[PERIODO Imp.]],CQ$9)</f>
        <v>0</v>
      </c>
      <c r="CR810" s="693">
        <f>SUMIFS(Imput[[Importe Neto]:[Importe Neto]],Imput[[C. Imp.]:[C. Imp.]],$D810,Imput[[PERIODO Imp.]:[PERIODO Imp.]],CR$9)</f>
        <v>0</v>
      </c>
      <c r="CS810" s="693">
        <f>SUMIFS(Imput[[Importe Neto]:[Importe Neto]],Imput[[C. Imp.]:[C. Imp.]],$D810,Imput[[PERIODO Imp.]:[PERIODO Imp.]],CS$9)</f>
        <v>0</v>
      </c>
      <c r="CT810" s="693">
        <f>SUMIFS(Imput[[Importe Neto]:[Importe Neto]],Imput[[C. Imp.]:[C. Imp.]],$D810,Imput[[PERIODO Imp.]:[PERIODO Imp.]],CT$9)</f>
        <v>0</v>
      </c>
      <c r="CU810" s="693">
        <f>SUMIFS(Imput[[Importe Neto]:[Importe Neto]],Imput[[C. Imp.]:[C. Imp.]],$D810,Imput[[PERIODO Imp.]:[PERIODO Imp.]],CU$9)</f>
        <v>0</v>
      </c>
      <c r="CV810" s="693">
        <f>SUMIFS(Imput[[Importe Neto]:[Importe Neto]],Imput[[C. Imp.]:[C. Imp.]],$D810,Imput[[PERIODO Imp.]:[PERIODO Imp.]],CV$9)</f>
        <v>0</v>
      </c>
      <c r="CW810" s="693">
        <f>SUMIFS(Imput[[Importe Neto]:[Importe Neto]],Imput[[C. Imp.]:[C. Imp.]],$D810,Imput[[PERIODO Imp.]:[PERIODO Imp.]],CW$9)</f>
        <v>0</v>
      </c>
      <c r="CX810" s="693">
        <f>SUMIFS(Imput[[Importe Neto]:[Importe Neto]],Imput[[C. Imp.]:[C. Imp.]],$D810,Imput[[PERIODO Imp.]:[PERIODO Imp.]],CX$9)</f>
        <v>0</v>
      </c>
      <c r="CY810" s="693">
        <f>SUMIFS(Imput[[Importe Neto]:[Importe Neto]],Imput[[C. Imp.]:[C. Imp.]],$D810,Imput[[PERIODO Imp.]:[PERIODO Imp.]],CY$9)</f>
        <v>0</v>
      </c>
      <c r="CZ810" s="693">
        <f>SUMIFS(Imput[[Importe Neto]:[Importe Neto]],Imput[[C. Imp.]:[C. Imp.]],$D810,Imput[[PERIODO Imp.]:[PERIODO Imp.]],CZ$9)</f>
        <v>0</v>
      </c>
      <c r="DA810" s="693">
        <f>SUMIFS(Imput[[Importe Neto]:[Importe Neto]],Imput[[C. Imp.]:[C. Imp.]],$D810,Imput[[PERIODO Imp.]:[PERIODO Imp.]],DA$9)</f>
        <v>0</v>
      </c>
      <c r="DB810" s="693">
        <f>SUMIFS(Imput[[Importe Neto]:[Importe Neto]],Imput[[C. Imp.]:[C. Imp.]],$D810,Imput[[PERIODO Imp.]:[PERIODO Imp.]],DB$9)</f>
        <v>0</v>
      </c>
      <c r="DC810" s="693">
        <f>SUMIFS(Imput[[Importe Neto]:[Importe Neto]],Imput[[C. Imp.]:[C. Imp.]],$D810,Imput[[PERIODO Imp.]:[PERIODO Imp.]],DC$9)</f>
        <v>0</v>
      </c>
      <c r="DD810" s="693">
        <f>SUMIFS(Imput[[Importe Neto]:[Importe Neto]],Imput[[C. Imp.]:[C. Imp.]],$D810,Imput[[PERIODO Imp.]:[PERIODO Imp.]],DD$9)</f>
        <v>0</v>
      </c>
      <c r="DE810" s="693">
        <f>SUMIFS(Imput[[Importe Neto]:[Importe Neto]],Imput[[C. Imp.]:[C. Imp.]],$D810,Imput[[PERIODO Imp.]:[PERIODO Imp.]],DE$9)</f>
        <v>0</v>
      </c>
      <c r="DF810" s="693">
        <f>SUMIFS(Imput[[Importe Neto]:[Importe Neto]],Imput[[C. Imp.]:[C. Imp.]],$D810,Imput[[PERIODO Imp.]:[PERIODO Imp.]],DF$9)</f>
        <v>0</v>
      </c>
      <c r="DG810" s="693">
        <f>SUMIFS(Imput[[Importe Neto]:[Importe Neto]],Imput[[C. Imp.]:[C. Imp.]],$D810,Imput[[PERIODO Imp.]:[PERIODO Imp.]],DG$9)</f>
        <v>0</v>
      </c>
      <c r="DH810" s="694">
        <f>SUMIFS(Imput[[Importe Neto]:[Importe Neto]],Imput[[C. Imp.]:[C. Imp.]],$D810,Imput[[PERIODO Imp.]:[PERIODO Imp.]],DH$9)</f>
        <v>0</v>
      </c>
    </row>
    <row r="811" spans="1:112" s="649" customFormat="1" hidden="1" outlineLevel="1" x14ac:dyDescent="0.3">
      <c r="A811" s="652" t="str">
        <f t="shared" si="280"/>
        <v/>
      </c>
      <c r="B811" s="652"/>
      <c r="C811" s="685"/>
      <c r="D811" s="686" t="s">
        <v>2791</v>
      </c>
      <c r="E811" s="686"/>
      <c r="F811" s="720"/>
      <c r="G811" s="688"/>
      <c r="H811" s="689"/>
      <c r="I811" s="851" t="str">
        <f t="shared" ref="I811:I827" si="285">IF(E811&gt;0,$J$5,"")</f>
        <v/>
      </c>
      <c r="J811" s="850" t="str">
        <f t="shared" si="282"/>
        <v/>
      </c>
      <c r="K811" s="667"/>
      <c r="L811" s="858"/>
      <c r="M811" s="859"/>
      <c r="N811" s="859"/>
      <c r="O811" s="859"/>
      <c r="P811" s="859"/>
      <c r="Q811" s="859"/>
      <c r="R811" s="859"/>
      <c r="S811" s="859"/>
      <c r="T811" s="859"/>
      <c r="U811" s="859"/>
      <c r="V811" s="859"/>
      <c r="W811" s="859"/>
      <c r="X811" s="859"/>
      <c r="Y811" s="859"/>
      <c r="Z811" s="860"/>
      <c r="AA811" s="860"/>
      <c r="AB811" s="860"/>
      <c r="AC811" s="860"/>
      <c r="AD811" s="860"/>
      <c r="AE811" s="860"/>
      <c r="AF811" s="860"/>
      <c r="AG811" s="860"/>
      <c r="AH811" s="860"/>
      <c r="AI811" s="860"/>
      <c r="AJ811" s="860"/>
      <c r="AK811" s="860"/>
      <c r="AL811" s="860"/>
      <c r="AM811" s="860"/>
      <c r="AN811" s="860"/>
      <c r="AO811" s="860"/>
      <c r="AP811" s="860"/>
      <c r="AQ811" s="860"/>
      <c r="AR811" s="860"/>
      <c r="AS811" s="860"/>
      <c r="AT811" s="860"/>
      <c r="AU811" s="860"/>
      <c r="AV811" s="860"/>
      <c r="AW811" s="860"/>
      <c r="AX811" s="860"/>
      <c r="AY811" s="860"/>
      <c r="AZ811" s="860"/>
      <c r="BA811" s="860"/>
      <c r="BB811" s="860"/>
      <c r="BC811" s="860"/>
      <c r="BD811" s="860"/>
      <c r="BE811" s="860"/>
      <c r="BF811" s="860"/>
      <c r="BG811" s="860"/>
      <c r="BH811" s="668"/>
      <c r="BI811" s="667"/>
      <c r="BJ811" s="690">
        <f t="shared" ref="BJ811:BJ827" si="286">IFERROR(BK811/J811,0)</f>
        <v>0</v>
      </c>
      <c r="BK811" s="691">
        <f t="shared" ref="BK811:BK827" si="287">SUM(BM811:DH811)</f>
        <v>0</v>
      </c>
      <c r="BL811" s="654"/>
      <c r="BM811" s="692">
        <f>SUMIFS(Imput[[Importe Neto]:[Importe Neto]],Imput[[C. Imp.]:[C. Imp.]],$D811,Imput[[PERIODO Imp.]:[PERIODO Imp.]],BM$9)</f>
        <v>0</v>
      </c>
      <c r="BN811" s="693">
        <f>SUMIFS(Imput[[Importe Neto]:[Importe Neto]],Imput[[C. Imp.]:[C. Imp.]],$D811,Imput[[PERIODO Imp.]:[PERIODO Imp.]],BN$9)</f>
        <v>0</v>
      </c>
      <c r="BO811" s="693">
        <f>SUMIFS(Imput[[Importe Neto]:[Importe Neto]],Imput[[C. Imp.]:[C. Imp.]],$D811,Imput[[PERIODO Imp.]:[PERIODO Imp.]],BO$9)</f>
        <v>0</v>
      </c>
      <c r="BP811" s="693">
        <f>SUMIFS(Imput[[Importe Neto]:[Importe Neto]],Imput[[C. Imp.]:[C. Imp.]],$D811,Imput[[PERIODO Imp.]:[PERIODO Imp.]],BP$9)</f>
        <v>0</v>
      </c>
      <c r="BQ811" s="693">
        <f>SUMIFS(Imput[[Importe Neto]:[Importe Neto]],Imput[[C. Imp.]:[C. Imp.]],$D811,Imput[[PERIODO Imp.]:[PERIODO Imp.]],BQ$9)</f>
        <v>0</v>
      </c>
      <c r="BR811" s="693">
        <f>SUMIFS(Imput[[Importe Neto]:[Importe Neto]],Imput[[C. Imp.]:[C. Imp.]],$D811,Imput[[PERIODO Imp.]:[PERIODO Imp.]],BR$9)</f>
        <v>0</v>
      </c>
      <c r="BS811" s="693">
        <f>SUMIFS(Imput[[Importe Neto]:[Importe Neto]],Imput[[C. Imp.]:[C. Imp.]],$D811,Imput[[PERIODO Imp.]:[PERIODO Imp.]],BS$9)</f>
        <v>0</v>
      </c>
      <c r="BT811" s="693">
        <f>SUMIFS(Imput[[Importe Neto]:[Importe Neto]],Imput[[C. Imp.]:[C. Imp.]],$D811,Imput[[PERIODO Imp.]:[PERIODO Imp.]],BT$9)</f>
        <v>0</v>
      </c>
      <c r="BU811" s="693">
        <f>SUMIFS(Imput[[Importe Neto]:[Importe Neto]],Imput[[C. Imp.]:[C. Imp.]],$D811,Imput[[PERIODO Imp.]:[PERIODO Imp.]],BU$9)</f>
        <v>0</v>
      </c>
      <c r="BV811" s="693">
        <f>SUMIFS(Imput[[Importe Neto]:[Importe Neto]],Imput[[C. Imp.]:[C. Imp.]],$D811,Imput[[PERIODO Imp.]:[PERIODO Imp.]],BV$9)</f>
        <v>0</v>
      </c>
      <c r="BW811" s="693">
        <f>SUMIFS(Imput[[Importe Neto]:[Importe Neto]],Imput[[C. Imp.]:[C. Imp.]],$D811,Imput[[PERIODO Imp.]:[PERIODO Imp.]],BW$9)</f>
        <v>0</v>
      </c>
      <c r="BX811" s="693">
        <f>SUMIFS(Imput[[Importe Neto]:[Importe Neto]],Imput[[C. Imp.]:[C. Imp.]],$D811,Imput[[PERIODO Imp.]:[PERIODO Imp.]],BX$9)</f>
        <v>0</v>
      </c>
      <c r="BY811" s="693">
        <f>SUMIFS(Imput[[Importe Neto]:[Importe Neto]],Imput[[C. Imp.]:[C. Imp.]],$D811,Imput[[PERIODO Imp.]:[PERIODO Imp.]],BY$9)</f>
        <v>0</v>
      </c>
      <c r="BZ811" s="693">
        <f>SUMIFS(Imput[[Importe Neto]:[Importe Neto]],Imput[[C. Imp.]:[C. Imp.]],$D811,Imput[[PERIODO Imp.]:[PERIODO Imp.]],BZ$9)</f>
        <v>0</v>
      </c>
      <c r="CA811" s="693">
        <f>SUMIFS(Imput[[Importe Neto]:[Importe Neto]],Imput[[C. Imp.]:[C. Imp.]],$D811,Imput[[PERIODO Imp.]:[PERIODO Imp.]],CA$9)</f>
        <v>0</v>
      </c>
      <c r="CB811" s="693">
        <f>SUMIFS(Imput[[Importe Neto]:[Importe Neto]],Imput[[C. Imp.]:[C. Imp.]],$D811,Imput[[PERIODO Imp.]:[PERIODO Imp.]],CB$9)</f>
        <v>0</v>
      </c>
      <c r="CC811" s="693">
        <f>SUMIFS(Imput[[Importe Neto]:[Importe Neto]],Imput[[C. Imp.]:[C. Imp.]],$D811,Imput[[PERIODO Imp.]:[PERIODO Imp.]],CC$9)</f>
        <v>0</v>
      </c>
      <c r="CD811" s="693">
        <f>SUMIFS(Imput[[Importe Neto]:[Importe Neto]],Imput[[C. Imp.]:[C. Imp.]],$D811,Imput[[PERIODO Imp.]:[PERIODO Imp.]],CD$9)</f>
        <v>0</v>
      </c>
      <c r="CE811" s="693">
        <f>SUMIFS(Imput[[Importe Neto]:[Importe Neto]],Imput[[C. Imp.]:[C. Imp.]],$D811,Imput[[PERIODO Imp.]:[PERIODO Imp.]],CE$9)</f>
        <v>0</v>
      </c>
      <c r="CF811" s="693">
        <f>SUMIFS(Imput[[Importe Neto]:[Importe Neto]],Imput[[C. Imp.]:[C. Imp.]],$D811,Imput[[PERIODO Imp.]:[PERIODO Imp.]],CF$9)</f>
        <v>0</v>
      </c>
      <c r="CG811" s="693">
        <f>SUMIFS(Imput[[Importe Neto]:[Importe Neto]],Imput[[C. Imp.]:[C. Imp.]],$D811,Imput[[PERIODO Imp.]:[PERIODO Imp.]],CG$9)</f>
        <v>0</v>
      </c>
      <c r="CH811" s="693">
        <f>SUMIFS(Imput[[Importe Neto]:[Importe Neto]],Imput[[C. Imp.]:[C. Imp.]],$D811,Imput[[PERIODO Imp.]:[PERIODO Imp.]],CH$9)</f>
        <v>0</v>
      </c>
      <c r="CI811" s="693">
        <f>SUMIFS(Imput[[Importe Neto]:[Importe Neto]],Imput[[C. Imp.]:[C. Imp.]],$D811,Imput[[PERIODO Imp.]:[PERIODO Imp.]],CI$9)</f>
        <v>0</v>
      </c>
      <c r="CJ811" s="693">
        <f>SUMIFS(Imput[[Importe Neto]:[Importe Neto]],Imput[[C. Imp.]:[C. Imp.]],$D811,Imput[[PERIODO Imp.]:[PERIODO Imp.]],CJ$9)</f>
        <v>0</v>
      </c>
      <c r="CK811" s="693">
        <f>SUMIFS(Imput[[Importe Neto]:[Importe Neto]],Imput[[C. Imp.]:[C. Imp.]],$D811,Imput[[PERIODO Imp.]:[PERIODO Imp.]],CK$9)</f>
        <v>0</v>
      </c>
      <c r="CL811" s="693">
        <f>SUMIFS(Imput[[Importe Neto]:[Importe Neto]],Imput[[C. Imp.]:[C. Imp.]],$D811,Imput[[PERIODO Imp.]:[PERIODO Imp.]],CL$9)</f>
        <v>0</v>
      </c>
      <c r="CM811" s="693">
        <f>SUMIFS(Imput[[Importe Neto]:[Importe Neto]],Imput[[C. Imp.]:[C. Imp.]],$D811,Imput[[PERIODO Imp.]:[PERIODO Imp.]],CM$9)</f>
        <v>0</v>
      </c>
      <c r="CN811" s="693">
        <f>SUMIFS(Imput[[Importe Neto]:[Importe Neto]],Imput[[C. Imp.]:[C. Imp.]],$D811,Imput[[PERIODO Imp.]:[PERIODO Imp.]],CN$9)</f>
        <v>0</v>
      </c>
      <c r="CO811" s="693">
        <f>SUMIFS(Imput[[Importe Neto]:[Importe Neto]],Imput[[C. Imp.]:[C. Imp.]],$D811,Imput[[PERIODO Imp.]:[PERIODO Imp.]],CO$9)</f>
        <v>0</v>
      </c>
      <c r="CP811" s="693">
        <f>SUMIFS(Imput[[Importe Neto]:[Importe Neto]],Imput[[C. Imp.]:[C. Imp.]],$D811,Imput[[PERIODO Imp.]:[PERIODO Imp.]],CP$9)</f>
        <v>0</v>
      </c>
      <c r="CQ811" s="693">
        <f>SUMIFS(Imput[[Importe Neto]:[Importe Neto]],Imput[[C. Imp.]:[C. Imp.]],$D811,Imput[[PERIODO Imp.]:[PERIODO Imp.]],CQ$9)</f>
        <v>0</v>
      </c>
      <c r="CR811" s="693">
        <f>SUMIFS(Imput[[Importe Neto]:[Importe Neto]],Imput[[C. Imp.]:[C. Imp.]],$D811,Imput[[PERIODO Imp.]:[PERIODO Imp.]],CR$9)</f>
        <v>0</v>
      </c>
      <c r="CS811" s="693">
        <f>SUMIFS(Imput[[Importe Neto]:[Importe Neto]],Imput[[C. Imp.]:[C. Imp.]],$D811,Imput[[PERIODO Imp.]:[PERIODO Imp.]],CS$9)</f>
        <v>0</v>
      </c>
      <c r="CT811" s="693">
        <f>SUMIFS(Imput[[Importe Neto]:[Importe Neto]],Imput[[C. Imp.]:[C. Imp.]],$D811,Imput[[PERIODO Imp.]:[PERIODO Imp.]],CT$9)</f>
        <v>0</v>
      </c>
      <c r="CU811" s="693">
        <f>SUMIFS(Imput[[Importe Neto]:[Importe Neto]],Imput[[C. Imp.]:[C. Imp.]],$D811,Imput[[PERIODO Imp.]:[PERIODO Imp.]],CU$9)</f>
        <v>0</v>
      </c>
      <c r="CV811" s="693">
        <f>SUMIFS(Imput[[Importe Neto]:[Importe Neto]],Imput[[C. Imp.]:[C. Imp.]],$D811,Imput[[PERIODO Imp.]:[PERIODO Imp.]],CV$9)</f>
        <v>0</v>
      </c>
      <c r="CW811" s="693">
        <f>SUMIFS(Imput[[Importe Neto]:[Importe Neto]],Imput[[C. Imp.]:[C. Imp.]],$D811,Imput[[PERIODO Imp.]:[PERIODO Imp.]],CW$9)</f>
        <v>0</v>
      </c>
      <c r="CX811" s="693">
        <f>SUMIFS(Imput[[Importe Neto]:[Importe Neto]],Imput[[C. Imp.]:[C. Imp.]],$D811,Imput[[PERIODO Imp.]:[PERIODO Imp.]],CX$9)</f>
        <v>0</v>
      </c>
      <c r="CY811" s="693">
        <f>SUMIFS(Imput[[Importe Neto]:[Importe Neto]],Imput[[C. Imp.]:[C. Imp.]],$D811,Imput[[PERIODO Imp.]:[PERIODO Imp.]],CY$9)</f>
        <v>0</v>
      </c>
      <c r="CZ811" s="693">
        <f>SUMIFS(Imput[[Importe Neto]:[Importe Neto]],Imput[[C. Imp.]:[C. Imp.]],$D811,Imput[[PERIODO Imp.]:[PERIODO Imp.]],CZ$9)</f>
        <v>0</v>
      </c>
      <c r="DA811" s="693">
        <f>SUMIFS(Imput[[Importe Neto]:[Importe Neto]],Imput[[C. Imp.]:[C. Imp.]],$D811,Imput[[PERIODO Imp.]:[PERIODO Imp.]],DA$9)</f>
        <v>0</v>
      </c>
      <c r="DB811" s="693">
        <f>SUMIFS(Imput[[Importe Neto]:[Importe Neto]],Imput[[C. Imp.]:[C. Imp.]],$D811,Imput[[PERIODO Imp.]:[PERIODO Imp.]],DB$9)</f>
        <v>0</v>
      </c>
      <c r="DC811" s="693">
        <f>SUMIFS(Imput[[Importe Neto]:[Importe Neto]],Imput[[C. Imp.]:[C. Imp.]],$D811,Imput[[PERIODO Imp.]:[PERIODO Imp.]],DC$9)</f>
        <v>0</v>
      </c>
      <c r="DD811" s="693">
        <f>SUMIFS(Imput[[Importe Neto]:[Importe Neto]],Imput[[C. Imp.]:[C. Imp.]],$D811,Imput[[PERIODO Imp.]:[PERIODO Imp.]],DD$9)</f>
        <v>0</v>
      </c>
      <c r="DE811" s="693">
        <f>SUMIFS(Imput[[Importe Neto]:[Importe Neto]],Imput[[C. Imp.]:[C. Imp.]],$D811,Imput[[PERIODO Imp.]:[PERIODO Imp.]],DE$9)</f>
        <v>0</v>
      </c>
      <c r="DF811" s="693">
        <f>SUMIFS(Imput[[Importe Neto]:[Importe Neto]],Imput[[C. Imp.]:[C. Imp.]],$D811,Imput[[PERIODO Imp.]:[PERIODO Imp.]],DF$9)</f>
        <v>0</v>
      </c>
      <c r="DG811" s="693">
        <f>SUMIFS(Imput[[Importe Neto]:[Importe Neto]],Imput[[C. Imp.]:[C. Imp.]],$D811,Imput[[PERIODO Imp.]:[PERIODO Imp.]],DG$9)</f>
        <v>0</v>
      </c>
      <c r="DH811" s="694">
        <f>SUMIFS(Imput[[Importe Neto]:[Importe Neto]],Imput[[C. Imp.]:[C. Imp.]],$D811,Imput[[PERIODO Imp.]:[PERIODO Imp.]],DH$9)</f>
        <v>0</v>
      </c>
    </row>
    <row r="812" spans="1:112" s="649" customFormat="1" hidden="1" outlineLevel="1" x14ac:dyDescent="0.3">
      <c r="A812" s="652" t="str">
        <f t="shared" si="280"/>
        <v/>
      </c>
      <c r="B812" s="652"/>
      <c r="C812" s="685"/>
      <c r="D812" s="686" t="s">
        <v>2792</v>
      </c>
      <c r="E812" s="686"/>
      <c r="F812" s="720"/>
      <c r="G812" s="688"/>
      <c r="H812" s="689"/>
      <c r="I812" s="851" t="str">
        <f t="shared" si="285"/>
        <v/>
      </c>
      <c r="J812" s="850" t="str">
        <f t="shared" si="282"/>
        <v/>
      </c>
      <c r="K812" s="667"/>
      <c r="L812" s="858"/>
      <c r="M812" s="859"/>
      <c r="N812" s="859"/>
      <c r="O812" s="859"/>
      <c r="P812" s="859"/>
      <c r="Q812" s="859"/>
      <c r="R812" s="859"/>
      <c r="S812" s="859"/>
      <c r="T812" s="859"/>
      <c r="U812" s="859"/>
      <c r="V812" s="859"/>
      <c r="W812" s="859"/>
      <c r="X812" s="859"/>
      <c r="Y812" s="859"/>
      <c r="Z812" s="860"/>
      <c r="AA812" s="860"/>
      <c r="AB812" s="860"/>
      <c r="AC812" s="860"/>
      <c r="AD812" s="860"/>
      <c r="AE812" s="860"/>
      <c r="AF812" s="860"/>
      <c r="AG812" s="860"/>
      <c r="AH812" s="860"/>
      <c r="AI812" s="860"/>
      <c r="AJ812" s="860"/>
      <c r="AK812" s="860"/>
      <c r="AL812" s="860"/>
      <c r="AM812" s="860"/>
      <c r="AN812" s="860"/>
      <c r="AO812" s="860"/>
      <c r="AP812" s="860"/>
      <c r="AQ812" s="860"/>
      <c r="AR812" s="860"/>
      <c r="AS812" s="860"/>
      <c r="AT812" s="860"/>
      <c r="AU812" s="860"/>
      <c r="AV812" s="860"/>
      <c r="AW812" s="860"/>
      <c r="AX812" s="860"/>
      <c r="AY812" s="860"/>
      <c r="AZ812" s="860"/>
      <c r="BA812" s="860"/>
      <c r="BB812" s="860"/>
      <c r="BC812" s="860"/>
      <c r="BD812" s="860"/>
      <c r="BE812" s="860"/>
      <c r="BF812" s="860"/>
      <c r="BG812" s="860"/>
      <c r="BH812" s="668"/>
      <c r="BI812" s="667"/>
      <c r="BJ812" s="690">
        <f t="shared" si="286"/>
        <v>0</v>
      </c>
      <c r="BK812" s="691">
        <f t="shared" si="287"/>
        <v>0</v>
      </c>
      <c r="BL812" s="654"/>
      <c r="BM812" s="692">
        <f>SUMIFS(Imput[[Importe Neto]:[Importe Neto]],Imput[[C. Imp.]:[C. Imp.]],$D812,Imput[[PERIODO Imp.]:[PERIODO Imp.]],BM$9)</f>
        <v>0</v>
      </c>
      <c r="BN812" s="693">
        <f>SUMIFS(Imput[[Importe Neto]:[Importe Neto]],Imput[[C. Imp.]:[C. Imp.]],$D812,Imput[[PERIODO Imp.]:[PERIODO Imp.]],BN$9)</f>
        <v>0</v>
      </c>
      <c r="BO812" s="693">
        <f>SUMIFS(Imput[[Importe Neto]:[Importe Neto]],Imput[[C. Imp.]:[C. Imp.]],$D812,Imput[[PERIODO Imp.]:[PERIODO Imp.]],BO$9)</f>
        <v>0</v>
      </c>
      <c r="BP812" s="693">
        <f>SUMIFS(Imput[[Importe Neto]:[Importe Neto]],Imput[[C. Imp.]:[C. Imp.]],$D812,Imput[[PERIODO Imp.]:[PERIODO Imp.]],BP$9)</f>
        <v>0</v>
      </c>
      <c r="BQ812" s="693">
        <f>SUMIFS(Imput[[Importe Neto]:[Importe Neto]],Imput[[C. Imp.]:[C. Imp.]],$D812,Imput[[PERIODO Imp.]:[PERIODO Imp.]],BQ$9)</f>
        <v>0</v>
      </c>
      <c r="BR812" s="693">
        <f>SUMIFS(Imput[[Importe Neto]:[Importe Neto]],Imput[[C. Imp.]:[C. Imp.]],$D812,Imput[[PERIODO Imp.]:[PERIODO Imp.]],BR$9)</f>
        <v>0</v>
      </c>
      <c r="BS812" s="693">
        <f>SUMIFS(Imput[[Importe Neto]:[Importe Neto]],Imput[[C. Imp.]:[C. Imp.]],$D812,Imput[[PERIODO Imp.]:[PERIODO Imp.]],BS$9)</f>
        <v>0</v>
      </c>
      <c r="BT812" s="693">
        <f>SUMIFS(Imput[[Importe Neto]:[Importe Neto]],Imput[[C. Imp.]:[C. Imp.]],$D812,Imput[[PERIODO Imp.]:[PERIODO Imp.]],BT$9)</f>
        <v>0</v>
      </c>
      <c r="BU812" s="693">
        <f>SUMIFS(Imput[[Importe Neto]:[Importe Neto]],Imput[[C. Imp.]:[C. Imp.]],$D812,Imput[[PERIODO Imp.]:[PERIODO Imp.]],BU$9)</f>
        <v>0</v>
      </c>
      <c r="BV812" s="693">
        <f>SUMIFS(Imput[[Importe Neto]:[Importe Neto]],Imput[[C. Imp.]:[C. Imp.]],$D812,Imput[[PERIODO Imp.]:[PERIODO Imp.]],BV$9)</f>
        <v>0</v>
      </c>
      <c r="BW812" s="693">
        <f>SUMIFS(Imput[[Importe Neto]:[Importe Neto]],Imput[[C. Imp.]:[C. Imp.]],$D812,Imput[[PERIODO Imp.]:[PERIODO Imp.]],BW$9)</f>
        <v>0</v>
      </c>
      <c r="BX812" s="693">
        <f>SUMIFS(Imput[[Importe Neto]:[Importe Neto]],Imput[[C. Imp.]:[C. Imp.]],$D812,Imput[[PERIODO Imp.]:[PERIODO Imp.]],BX$9)</f>
        <v>0</v>
      </c>
      <c r="BY812" s="693">
        <f>SUMIFS(Imput[[Importe Neto]:[Importe Neto]],Imput[[C. Imp.]:[C. Imp.]],$D812,Imput[[PERIODO Imp.]:[PERIODO Imp.]],BY$9)</f>
        <v>0</v>
      </c>
      <c r="BZ812" s="693">
        <f>SUMIFS(Imput[[Importe Neto]:[Importe Neto]],Imput[[C. Imp.]:[C. Imp.]],$D812,Imput[[PERIODO Imp.]:[PERIODO Imp.]],BZ$9)</f>
        <v>0</v>
      </c>
      <c r="CA812" s="693">
        <f>SUMIFS(Imput[[Importe Neto]:[Importe Neto]],Imput[[C. Imp.]:[C. Imp.]],$D812,Imput[[PERIODO Imp.]:[PERIODO Imp.]],CA$9)</f>
        <v>0</v>
      </c>
      <c r="CB812" s="693">
        <f>SUMIFS(Imput[[Importe Neto]:[Importe Neto]],Imput[[C. Imp.]:[C. Imp.]],$D812,Imput[[PERIODO Imp.]:[PERIODO Imp.]],CB$9)</f>
        <v>0</v>
      </c>
      <c r="CC812" s="693">
        <f>SUMIFS(Imput[[Importe Neto]:[Importe Neto]],Imput[[C. Imp.]:[C. Imp.]],$D812,Imput[[PERIODO Imp.]:[PERIODO Imp.]],CC$9)</f>
        <v>0</v>
      </c>
      <c r="CD812" s="693">
        <f>SUMIFS(Imput[[Importe Neto]:[Importe Neto]],Imput[[C. Imp.]:[C. Imp.]],$D812,Imput[[PERIODO Imp.]:[PERIODO Imp.]],CD$9)</f>
        <v>0</v>
      </c>
      <c r="CE812" s="693">
        <f>SUMIFS(Imput[[Importe Neto]:[Importe Neto]],Imput[[C. Imp.]:[C. Imp.]],$D812,Imput[[PERIODO Imp.]:[PERIODO Imp.]],CE$9)</f>
        <v>0</v>
      </c>
      <c r="CF812" s="693">
        <f>SUMIFS(Imput[[Importe Neto]:[Importe Neto]],Imput[[C. Imp.]:[C. Imp.]],$D812,Imput[[PERIODO Imp.]:[PERIODO Imp.]],CF$9)</f>
        <v>0</v>
      </c>
      <c r="CG812" s="693">
        <f>SUMIFS(Imput[[Importe Neto]:[Importe Neto]],Imput[[C. Imp.]:[C. Imp.]],$D812,Imput[[PERIODO Imp.]:[PERIODO Imp.]],CG$9)</f>
        <v>0</v>
      </c>
      <c r="CH812" s="693">
        <f>SUMIFS(Imput[[Importe Neto]:[Importe Neto]],Imput[[C. Imp.]:[C. Imp.]],$D812,Imput[[PERIODO Imp.]:[PERIODO Imp.]],CH$9)</f>
        <v>0</v>
      </c>
      <c r="CI812" s="693">
        <f>SUMIFS(Imput[[Importe Neto]:[Importe Neto]],Imput[[C. Imp.]:[C. Imp.]],$D812,Imput[[PERIODO Imp.]:[PERIODO Imp.]],CI$9)</f>
        <v>0</v>
      </c>
      <c r="CJ812" s="693">
        <f>SUMIFS(Imput[[Importe Neto]:[Importe Neto]],Imput[[C. Imp.]:[C. Imp.]],$D812,Imput[[PERIODO Imp.]:[PERIODO Imp.]],CJ$9)</f>
        <v>0</v>
      </c>
      <c r="CK812" s="693">
        <f>SUMIFS(Imput[[Importe Neto]:[Importe Neto]],Imput[[C. Imp.]:[C. Imp.]],$D812,Imput[[PERIODO Imp.]:[PERIODO Imp.]],CK$9)</f>
        <v>0</v>
      </c>
      <c r="CL812" s="693">
        <f>SUMIFS(Imput[[Importe Neto]:[Importe Neto]],Imput[[C. Imp.]:[C. Imp.]],$D812,Imput[[PERIODO Imp.]:[PERIODO Imp.]],CL$9)</f>
        <v>0</v>
      </c>
      <c r="CM812" s="693">
        <f>SUMIFS(Imput[[Importe Neto]:[Importe Neto]],Imput[[C. Imp.]:[C. Imp.]],$D812,Imput[[PERIODO Imp.]:[PERIODO Imp.]],CM$9)</f>
        <v>0</v>
      </c>
      <c r="CN812" s="693">
        <f>SUMIFS(Imput[[Importe Neto]:[Importe Neto]],Imput[[C. Imp.]:[C. Imp.]],$D812,Imput[[PERIODO Imp.]:[PERIODO Imp.]],CN$9)</f>
        <v>0</v>
      </c>
      <c r="CO812" s="693">
        <f>SUMIFS(Imput[[Importe Neto]:[Importe Neto]],Imput[[C. Imp.]:[C. Imp.]],$D812,Imput[[PERIODO Imp.]:[PERIODO Imp.]],CO$9)</f>
        <v>0</v>
      </c>
      <c r="CP812" s="693">
        <f>SUMIFS(Imput[[Importe Neto]:[Importe Neto]],Imput[[C. Imp.]:[C. Imp.]],$D812,Imput[[PERIODO Imp.]:[PERIODO Imp.]],CP$9)</f>
        <v>0</v>
      </c>
      <c r="CQ812" s="693">
        <f>SUMIFS(Imput[[Importe Neto]:[Importe Neto]],Imput[[C. Imp.]:[C. Imp.]],$D812,Imput[[PERIODO Imp.]:[PERIODO Imp.]],CQ$9)</f>
        <v>0</v>
      </c>
      <c r="CR812" s="693">
        <f>SUMIFS(Imput[[Importe Neto]:[Importe Neto]],Imput[[C. Imp.]:[C. Imp.]],$D812,Imput[[PERIODO Imp.]:[PERIODO Imp.]],CR$9)</f>
        <v>0</v>
      </c>
      <c r="CS812" s="693">
        <f>SUMIFS(Imput[[Importe Neto]:[Importe Neto]],Imput[[C. Imp.]:[C. Imp.]],$D812,Imput[[PERIODO Imp.]:[PERIODO Imp.]],CS$9)</f>
        <v>0</v>
      </c>
      <c r="CT812" s="693">
        <f>SUMIFS(Imput[[Importe Neto]:[Importe Neto]],Imput[[C. Imp.]:[C. Imp.]],$D812,Imput[[PERIODO Imp.]:[PERIODO Imp.]],CT$9)</f>
        <v>0</v>
      </c>
      <c r="CU812" s="693">
        <f>SUMIFS(Imput[[Importe Neto]:[Importe Neto]],Imput[[C. Imp.]:[C. Imp.]],$D812,Imput[[PERIODO Imp.]:[PERIODO Imp.]],CU$9)</f>
        <v>0</v>
      </c>
      <c r="CV812" s="693">
        <f>SUMIFS(Imput[[Importe Neto]:[Importe Neto]],Imput[[C. Imp.]:[C. Imp.]],$D812,Imput[[PERIODO Imp.]:[PERIODO Imp.]],CV$9)</f>
        <v>0</v>
      </c>
      <c r="CW812" s="693">
        <f>SUMIFS(Imput[[Importe Neto]:[Importe Neto]],Imput[[C. Imp.]:[C. Imp.]],$D812,Imput[[PERIODO Imp.]:[PERIODO Imp.]],CW$9)</f>
        <v>0</v>
      </c>
      <c r="CX812" s="693">
        <f>SUMIFS(Imput[[Importe Neto]:[Importe Neto]],Imput[[C. Imp.]:[C. Imp.]],$D812,Imput[[PERIODO Imp.]:[PERIODO Imp.]],CX$9)</f>
        <v>0</v>
      </c>
      <c r="CY812" s="693">
        <f>SUMIFS(Imput[[Importe Neto]:[Importe Neto]],Imput[[C. Imp.]:[C. Imp.]],$D812,Imput[[PERIODO Imp.]:[PERIODO Imp.]],CY$9)</f>
        <v>0</v>
      </c>
      <c r="CZ812" s="693">
        <f>SUMIFS(Imput[[Importe Neto]:[Importe Neto]],Imput[[C. Imp.]:[C. Imp.]],$D812,Imput[[PERIODO Imp.]:[PERIODO Imp.]],CZ$9)</f>
        <v>0</v>
      </c>
      <c r="DA812" s="693">
        <f>SUMIFS(Imput[[Importe Neto]:[Importe Neto]],Imput[[C. Imp.]:[C. Imp.]],$D812,Imput[[PERIODO Imp.]:[PERIODO Imp.]],DA$9)</f>
        <v>0</v>
      </c>
      <c r="DB812" s="693">
        <f>SUMIFS(Imput[[Importe Neto]:[Importe Neto]],Imput[[C. Imp.]:[C. Imp.]],$D812,Imput[[PERIODO Imp.]:[PERIODO Imp.]],DB$9)</f>
        <v>0</v>
      </c>
      <c r="DC812" s="693">
        <f>SUMIFS(Imput[[Importe Neto]:[Importe Neto]],Imput[[C. Imp.]:[C. Imp.]],$D812,Imput[[PERIODO Imp.]:[PERIODO Imp.]],DC$9)</f>
        <v>0</v>
      </c>
      <c r="DD812" s="693">
        <f>SUMIFS(Imput[[Importe Neto]:[Importe Neto]],Imput[[C. Imp.]:[C. Imp.]],$D812,Imput[[PERIODO Imp.]:[PERIODO Imp.]],DD$9)</f>
        <v>0</v>
      </c>
      <c r="DE812" s="693">
        <f>SUMIFS(Imput[[Importe Neto]:[Importe Neto]],Imput[[C. Imp.]:[C. Imp.]],$D812,Imput[[PERIODO Imp.]:[PERIODO Imp.]],DE$9)</f>
        <v>0</v>
      </c>
      <c r="DF812" s="693">
        <f>SUMIFS(Imput[[Importe Neto]:[Importe Neto]],Imput[[C. Imp.]:[C. Imp.]],$D812,Imput[[PERIODO Imp.]:[PERIODO Imp.]],DF$9)</f>
        <v>0</v>
      </c>
      <c r="DG812" s="693">
        <f>SUMIFS(Imput[[Importe Neto]:[Importe Neto]],Imput[[C. Imp.]:[C. Imp.]],$D812,Imput[[PERIODO Imp.]:[PERIODO Imp.]],DG$9)</f>
        <v>0</v>
      </c>
      <c r="DH812" s="694">
        <f>SUMIFS(Imput[[Importe Neto]:[Importe Neto]],Imput[[C. Imp.]:[C. Imp.]],$D812,Imput[[PERIODO Imp.]:[PERIODO Imp.]],DH$9)</f>
        <v>0</v>
      </c>
    </row>
    <row r="813" spans="1:112" s="649" customFormat="1" hidden="1" outlineLevel="1" x14ac:dyDescent="0.3">
      <c r="A813" s="652" t="str">
        <f t="shared" si="280"/>
        <v/>
      </c>
      <c r="B813" s="652"/>
      <c r="C813" s="685"/>
      <c r="D813" s="686" t="s">
        <v>2793</v>
      </c>
      <c r="E813" s="686"/>
      <c r="F813" s="720"/>
      <c r="G813" s="688"/>
      <c r="H813" s="689"/>
      <c r="I813" s="851" t="str">
        <f t="shared" si="285"/>
        <v/>
      </c>
      <c r="J813" s="850" t="str">
        <f t="shared" si="282"/>
        <v/>
      </c>
      <c r="K813" s="667"/>
      <c r="L813" s="858"/>
      <c r="M813" s="859"/>
      <c r="N813" s="859"/>
      <c r="O813" s="859"/>
      <c r="P813" s="859"/>
      <c r="Q813" s="859"/>
      <c r="R813" s="859"/>
      <c r="S813" s="859"/>
      <c r="T813" s="859"/>
      <c r="U813" s="859"/>
      <c r="V813" s="859"/>
      <c r="W813" s="859"/>
      <c r="X813" s="859"/>
      <c r="Y813" s="859"/>
      <c r="Z813" s="860"/>
      <c r="AA813" s="860"/>
      <c r="AB813" s="860"/>
      <c r="AC813" s="860"/>
      <c r="AD813" s="860"/>
      <c r="AE813" s="860"/>
      <c r="AF813" s="860"/>
      <c r="AG813" s="860"/>
      <c r="AH813" s="860"/>
      <c r="AI813" s="860"/>
      <c r="AJ813" s="860"/>
      <c r="AK813" s="860"/>
      <c r="AL813" s="860"/>
      <c r="AM813" s="860"/>
      <c r="AN813" s="860"/>
      <c r="AO813" s="860"/>
      <c r="AP813" s="860"/>
      <c r="AQ813" s="860"/>
      <c r="AR813" s="860"/>
      <c r="AS813" s="860"/>
      <c r="AT813" s="860"/>
      <c r="AU813" s="860"/>
      <c r="AV813" s="860"/>
      <c r="AW813" s="860"/>
      <c r="AX813" s="860"/>
      <c r="AY813" s="860"/>
      <c r="AZ813" s="860"/>
      <c r="BA813" s="860"/>
      <c r="BB813" s="860"/>
      <c r="BC813" s="860"/>
      <c r="BD813" s="860"/>
      <c r="BE813" s="860"/>
      <c r="BF813" s="860"/>
      <c r="BG813" s="860"/>
      <c r="BH813" s="668"/>
      <c r="BI813" s="654"/>
      <c r="BJ813" s="690">
        <f t="shared" si="286"/>
        <v>0</v>
      </c>
      <c r="BK813" s="691">
        <f t="shared" si="287"/>
        <v>0</v>
      </c>
      <c r="BL813" s="654"/>
      <c r="BM813" s="692">
        <f>SUMIFS(Imput[[Importe Neto]:[Importe Neto]],Imput[[C. Imp.]:[C. Imp.]],$D813,Imput[[PERIODO Imp.]:[PERIODO Imp.]],BM$9)</f>
        <v>0</v>
      </c>
      <c r="BN813" s="693">
        <f>SUMIFS(Imput[[Importe Neto]:[Importe Neto]],Imput[[C. Imp.]:[C. Imp.]],$D813,Imput[[PERIODO Imp.]:[PERIODO Imp.]],BN$9)</f>
        <v>0</v>
      </c>
      <c r="BO813" s="693">
        <f>SUMIFS(Imput[[Importe Neto]:[Importe Neto]],Imput[[C. Imp.]:[C. Imp.]],$D813,Imput[[PERIODO Imp.]:[PERIODO Imp.]],BO$9)</f>
        <v>0</v>
      </c>
      <c r="BP813" s="693">
        <f>SUMIFS(Imput[[Importe Neto]:[Importe Neto]],Imput[[C. Imp.]:[C. Imp.]],$D813,Imput[[PERIODO Imp.]:[PERIODO Imp.]],BP$9)</f>
        <v>0</v>
      </c>
      <c r="BQ813" s="693">
        <f>SUMIFS(Imput[[Importe Neto]:[Importe Neto]],Imput[[C. Imp.]:[C. Imp.]],$D813,Imput[[PERIODO Imp.]:[PERIODO Imp.]],BQ$9)</f>
        <v>0</v>
      </c>
      <c r="BR813" s="693">
        <f>SUMIFS(Imput[[Importe Neto]:[Importe Neto]],Imput[[C. Imp.]:[C. Imp.]],$D813,Imput[[PERIODO Imp.]:[PERIODO Imp.]],BR$9)</f>
        <v>0</v>
      </c>
      <c r="BS813" s="693">
        <f>SUMIFS(Imput[[Importe Neto]:[Importe Neto]],Imput[[C. Imp.]:[C. Imp.]],$D813,Imput[[PERIODO Imp.]:[PERIODO Imp.]],BS$9)</f>
        <v>0</v>
      </c>
      <c r="BT813" s="693">
        <f>SUMIFS(Imput[[Importe Neto]:[Importe Neto]],Imput[[C. Imp.]:[C. Imp.]],$D813,Imput[[PERIODO Imp.]:[PERIODO Imp.]],BT$9)</f>
        <v>0</v>
      </c>
      <c r="BU813" s="693">
        <f>SUMIFS(Imput[[Importe Neto]:[Importe Neto]],Imput[[C. Imp.]:[C. Imp.]],$D813,Imput[[PERIODO Imp.]:[PERIODO Imp.]],BU$9)</f>
        <v>0</v>
      </c>
      <c r="BV813" s="693">
        <f>SUMIFS(Imput[[Importe Neto]:[Importe Neto]],Imput[[C. Imp.]:[C. Imp.]],$D813,Imput[[PERIODO Imp.]:[PERIODO Imp.]],BV$9)</f>
        <v>0</v>
      </c>
      <c r="BW813" s="693">
        <f>SUMIFS(Imput[[Importe Neto]:[Importe Neto]],Imput[[C. Imp.]:[C. Imp.]],$D813,Imput[[PERIODO Imp.]:[PERIODO Imp.]],BW$9)</f>
        <v>0</v>
      </c>
      <c r="BX813" s="693">
        <f>SUMIFS(Imput[[Importe Neto]:[Importe Neto]],Imput[[C. Imp.]:[C. Imp.]],$D813,Imput[[PERIODO Imp.]:[PERIODO Imp.]],BX$9)</f>
        <v>0</v>
      </c>
      <c r="BY813" s="693">
        <f>SUMIFS(Imput[[Importe Neto]:[Importe Neto]],Imput[[C. Imp.]:[C. Imp.]],$D813,Imput[[PERIODO Imp.]:[PERIODO Imp.]],BY$9)</f>
        <v>0</v>
      </c>
      <c r="BZ813" s="693">
        <f>SUMIFS(Imput[[Importe Neto]:[Importe Neto]],Imput[[C. Imp.]:[C. Imp.]],$D813,Imput[[PERIODO Imp.]:[PERIODO Imp.]],BZ$9)</f>
        <v>0</v>
      </c>
      <c r="CA813" s="693">
        <f>SUMIFS(Imput[[Importe Neto]:[Importe Neto]],Imput[[C. Imp.]:[C. Imp.]],$D813,Imput[[PERIODO Imp.]:[PERIODO Imp.]],CA$9)</f>
        <v>0</v>
      </c>
      <c r="CB813" s="693">
        <f>SUMIFS(Imput[[Importe Neto]:[Importe Neto]],Imput[[C. Imp.]:[C. Imp.]],$D813,Imput[[PERIODO Imp.]:[PERIODO Imp.]],CB$9)</f>
        <v>0</v>
      </c>
      <c r="CC813" s="693">
        <f>SUMIFS(Imput[[Importe Neto]:[Importe Neto]],Imput[[C. Imp.]:[C. Imp.]],$D813,Imput[[PERIODO Imp.]:[PERIODO Imp.]],CC$9)</f>
        <v>0</v>
      </c>
      <c r="CD813" s="693">
        <f>SUMIFS(Imput[[Importe Neto]:[Importe Neto]],Imput[[C. Imp.]:[C. Imp.]],$D813,Imput[[PERIODO Imp.]:[PERIODO Imp.]],CD$9)</f>
        <v>0</v>
      </c>
      <c r="CE813" s="693">
        <f>SUMIFS(Imput[[Importe Neto]:[Importe Neto]],Imput[[C. Imp.]:[C. Imp.]],$D813,Imput[[PERIODO Imp.]:[PERIODO Imp.]],CE$9)</f>
        <v>0</v>
      </c>
      <c r="CF813" s="693">
        <f>SUMIFS(Imput[[Importe Neto]:[Importe Neto]],Imput[[C. Imp.]:[C. Imp.]],$D813,Imput[[PERIODO Imp.]:[PERIODO Imp.]],CF$9)</f>
        <v>0</v>
      </c>
      <c r="CG813" s="693">
        <f>SUMIFS(Imput[[Importe Neto]:[Importe Neto]],Imput[[C. Imp.]:[C. Imp.]],$D813,Imput[[PERIODO Imp.]:[PERIODO Imp.]],CG$9)</f>
        <v>0</v>
      </c>
      <c r="CH813" s="693">
        <f>SUMIFS(Imput[[Importe Neto]:[Importe Neto]],Imput[[C. Imp.]:[C. Imp.]],$D813,Imput[[PERIODO Imp.]:[PERIODO Imp.]],CH$9)</f>
        <v>0</v>
      </c>
      <c r="CI813" s="693">
        <f>SUMIFS(Imput[[Importe Neto]:[Importe Neto]],Imput[[C. Imp.]:[C. Imp.]],$D813,Imput[[PERIODO Imp.]:[PERIODO Imp.]],CI$9)</f>
        <v>0</v>
      </c>
      <c r="CJ813" s="693">
        <f>SUMIFS(Imput[[Importe Neto]:[Importe Neto]],Imput[[C. Imp.]:[C. Imp.]],$D813,Imput[[PERIODO Imp.]:[PERIODO Imp.]],CJ$9)</f>
        <v>0</v>
      </c>
      <c r="CK813" s="693">
        <f>SUMIFS(Imput[[Importe Neto]:[Importe Neto]],Imput[[C. Imp.]:[C. Imp.]],$D813,Imput[[PERIODO Imp.]:[PERIODO Imp.]],CK$9)</f>
        <v>0</v>
      </c>
      <c r="CL813" s="693">
        <f>SUMIFS(Imput[[Importe Neto]:[Importe Neto]],Imput[[C. Imp.]:[C. Imp.]],$D813,Imput[[PERIODO Imp.]:[PERIODO Imp.]],CL$9)</f>
        <v>0</v>
      </c>
      <c r="CM813" s="693">
        <f>SUMIFS(Imput[[Importe Neto]:[Importe Neto]],Imput[[C. Imp.]:[C. Imp.]],$D813,Imput[[PERIODO Imp.]:[PERIODO Imp.]],CM$9)</f>
        <v>0</v>
      </c>
      <c r="CN813" s="693">
        <f>SUMIFS(Imput[[Importe Neto]:[Importe Neto]],Imput[[C. Imp.]:[C. Imp.]],$D813,Imput[[PERIODO Imp.]:[PERIODO Imp.]],CN$9)</f>
        <v>0</v>
      </c>
      <c r="CO813" s="693">
        <f>SUMIFS(Imput[[Importe Neto]:[Importe Neto]],Imput[[C. Imp.]:[C. Imp.]],$D813,Imput[[PERIODO Imp.]:[PERIODO Imp.]],CO$9)</f>
        <v>0</v>
      </c>
      <c r="CP813" s="693">
        <f>SUMIFS(Imput[[Importe Neto]:[Importe Neto]],Imput[[C. Imp.]:[C. Imp.]],$D813,Imput[[PERIODO Imp.]:[PERIODO Imp.]],CP$9)</f>
        <v>0</v>
      </c>
      <c r="CQ813" s="693">
        <f>SUMIFS(Imput[[Importe Neto]:[Importe Neto]],Imput[[C. Imp.]:[C. Imp.]],$D813,Imput[[PERIODO Imp.]:[PERIODO Imp.]],CQ$9)</f>
        <v>0</v>
      </c>
      <c r="CR813" s="693">
        <f>SUMIFS(Imput[[Importe Neto]:[Importe Neto]],Imput[[C. Imp.]:[C. Imp.]],$D813,Imput[[PERIODO Imp.]:[PERIODO Imp.]],CR$9)</f>
        <v>0</v>
      </c>
      <c r="CS813" s="693">
        <f>SUMIFS(Imput[[Importe Neto]:[Importe Neto]],Imput[[C. Imp.]:[C. Imp.]],$D813,Imput[[PERIODO Imp.]:[PERIODO Imp.]],CS$9)</f>
        <v>0</v>
      </c>
      <c r="CT813" s="693">
        <f>SUMIFS(Imput[[Importe Neto]:[Importe Neto]],Imput[[C. Imp.]:[C. Imp.]],$D813,Imput[[PERIODO Imp.]:[PERIODO Imp.]],CT$9)</f>
        <v>0</v>
      </c>
      <c r="CU813" s="693">
        <f>SUMIFS(Imput[[Importe Neto]:[Importe Neto]],Imput[[C. Imp.]:[C. Imp.]],$D813,Imput[[PERIODO Imp.]:[PERIODO Imp.]],CU$9)</f>
        <v>0</v>
      </c>
      <c r="CV813" s="693">
        <f>SUMIFS(Imput[[Importe Neto]:[Importe Neto]],Imput[[C. Imp.]:[C. Imp.]],$D813,Imput[[PERIODO Imp.]:[PERIODO Imp.]],CV$9)</f>
        <v>0</v>
      </c>
      <c r="CW813" s="693">
        <f>SUMIFS(Imput[[Importe Neto]:[Importe Neto]],Imput[[C. Imp.]:[C. Imp.]],$D813,Imput[[PERIODO Imp.]:[PERIODO Imp.]],CW$9)</f>
        <v>0</v>
      </c>
      <c r="CX813" s="693">
        <f>SUMIFS(Imput[[Importe Neto]:[Importe Neto]],Imput[[C. Imp.]:[C. Imp.]],$D813,Imput[[PERIODO Imp.]:[PERIODO Imp.]],CX$9)</f>
        <v>0</v>
      </c>
      <c r="CY813" s="693">
        <f>SUMIFS(Imput[[Importe Neto]:[Importe Neto]],Imput[[C. Imp.]:[C. Imp.]],$D813,Imput[[PERIODO Imp.]:[PERIODO Imp.]],CY$9)</f>
        <v>0</v>
      </c>
      <c r="CZ813" s="693">
        <f>SUMIFS(Imput[[Importe Neto]:[Importe Neto]],Imput[[C. Imp.]:[C. Imp.]],$D813,Imput[[PERIODO Imp.]:[PERIODO Imp.]],CZ$9)</f>
        <v>0</v>
      </c>
      <c r="DA813" s="693">
        <f>SUMIFS(Imput[[Importe Neto]:[Importe Neto]],Imput[[C. Imp.]:[C. Imp.]],$D813,Imput[[PERIODO Imp.]:[PERIODO Imp.]],DA$9)</f>
        <v>0</v>
      </c>
      <c r="DB813" s="693">
        <f>SUMIFS(Imput[[Importe Neto]:[Importe Neto]],Imput[[C. Imp.]:[C. Imp.]],$D813,Imput[[PERIODO Imp.]:[PERIODO Imp.]],DB$9)</f>
        <v>0</v>
      </c>
      <c r="DC813" s="693">
        <f>SUMIFS(Imput[[Importe Neto]:[Importe Neto]],Imput[[C. Imp.]:[C. Imp.]],$D813,Imput[[PERIODO Imp.]:[PERIODO Imp.]],DC$9)</f>
        <v>0</v>
      </c>
      <c r="DD813" s="693">
        <f>SUMIFS(Imput[[Importe Neto]:[Importe Neto]],Imput[[C. Imp.]:[C. Imp.]],$D813,Imput[[PERIODO Imp.]:[PERIODO Imp.]],DD$9)</f>
        <v>0</v>
      </c>
      <c r="DE813" s="693">
        <f>SUMIFS(Imput[[Importe Neto]:[Importe Neto]],Imput[[C. Imp.]:[C. Imp.]],$D813,Imput[[PERIODO Imp.]:[PERIODO Imp.]],DE$9)</f>
        <v>0</v>
      </c>
      <c r="DF813" s="693">
        <f>SUMIFS(Imput[[Importe Neto]:[Importe Neto]],Imput[[C. Imp.]:[C. Imp.]],$D813,Imput[[PERIODO Imp.]:[PERIODO Imp.]],DF$9)</f>
        <v>0</v>
      </c>
      <c r="DG813" s="693">
        <f>SUMIFS(Imput[[Importe Neto]:[Importe Neto]],Imput[[C. Imp.]:[C. Imp.]],$D813,Imput[[PERIODO Imp.]:[PERIODO Imp.]],DG$9)</f>
        <v>0</v>
      </c>
      <c r="DH813" s="694">
        <f>SUMIFS(Imput[[Importe Neto]:[Importe Neto]],Imput[[C. Imp.]:[C. Imp.]],$D813,Imput[[PERIODO Imp.]:[PERIODO Imp.]],DH$9)</f>
        <v>0</v>
      </c>
    </row>
    <row r="814" spans="1:112" s="649" customFormat="1" hidden="1" outlineLevel="1" x14ac:dyDescent="0.3">
      <c r="A814" s="652" t="str">
        <f t="shared" si="280"/>
        <v/>
      </c>
      <c r="B814" s="652"/>
      <c r="C814" s="685"/>
      <c r="D814" s="686" t="s">
        <v>2794</v>
      </c>
      <c r="E814" s="686"/>
      <c r="F814" s="720"/>
      <c r="G814" s="688"/>
      <c r="H814" s="689"/>
      <c r="I814" s="851" t="str">
        <f t="shared" si="285"/>
        <v/>
      </c>
      <c r="J814" s="850" t="str">
        <f t="shared" si="282"/>
        <v/>
      </c>
      <c r="K814" s="667"/>
      <c r="L814" s="858"/>
      <c r="M814" s="859"/>
      <c r="N814" s="859"/>
      <c r="O814" s="859"/>
      <c r="P814" s="859"/>
      <c r="Q814" s="859"/>
      <c r="R814" s="859"/>
      <c r="S814" s="859"/>
      <c r="T814" s="859"/>
      <c r="U814" s="859"/>
      <c r="V814" s="859"/>
      <c r="W814" s="859"/>
      <c r="X814" s="859"/>
      <c r="Y814" s="859"/>
      <c r="Z814" s="860"/>
      <c r="AA814" s="860"/>
      <c r="AB814" s="860"/>
      <c r="AC814" s="860"/>
      <c r="AD814" s="860"/>
      <c r="AE814" s="860"/>
      <c r="AF814" s="860"/>
      <c r="AG814" s="860"/>
      <c r="AH814" s="860"/>
      <c r="AI814" s="860"/>
      <c r="AJ814" s="860"/>
      <c r="AK814" s="860"/>
      <c r="AL814" s="860"/>
      <c r="AM814" s="860"/>
      <c r="AN814" s="860"/>
      <c r="AO814" s="860"/>
      <c r="AP814" s="860"/>
      <c r="AQ814" s="860"/>
      <c r="AR814" s="860"/>
      <c r="AS814" s="860"/>
      <c r="AT814" s="860"/>
      <c r="AU814" s="860"/>
      <c r="AV814" s="860"/>
      <c r="AW814" s="860"/>
      <c r="AX814" s="860"/>
      <c r="AY814" s="860"/>
      <c r="AZ814" s="860"/>
      <c r="BA814" s="860"/>
      <c r="BB814" s="860"/>
      <c r="BC814" s="860"/>
      <c r="BD814" s="860"/>
      <c r="BE814" s="860"/>
      <c r="BF814" s="860"/>
      <c r="BG814" s="860"/>
      <c r="BH814" s="668"/>
      <c r="BI814" s="654"/>
      <c r="BJ814" s="690">
        <f t="shared" si="286"/>
        <v>0</v>
      </c>
      <c r="BK814" s="691">
        <f t="shared" si="287"/>
        <v>0</v>
      </c>
      <c r="BL814" s="654"/>
      <c r="BM814" s="692">
        <f>SUMIFS(Imput[[Importe Neto]:[Importe Neto]],Imput[[C. Imp.]:[C. Imp.]],$D814,Imput[[PERIODO Imp.]:[PERIODO Imp.]],BM$9)</f>
        <v>0</v>
      </c>
      <c r="BN814" s="693">
        <f>SUMIFS(Imput[[Importe Neto]:[Importe Neto]],Imput[[C. Imp.]:[C. Imp.]],$D814,Imput[[PERIODO Imp.]:[PERIODO Imp.]],BN$9)</f>
        <v>0</v>
      </c>
      <c r="BO814" s="693">
        <f>SUMIFS(Imput[[Importe Neto]:[Importe Neto]],Imput[[C. Imp.]:[C. Imp.]],$D814,Imput[[PERIODO Imp.]:[PERIODO Imp.]],BO$9)</f>
        <v>0</v>
      </c>
      <c r="BP814" s="693">
        <f>SUMIFS(Imput[[Importe Neto]:[Importe Neto]],Imput[[C. Imp.]:[C. Imp.]],$D814,Imput[[PERIODO Imp.]:[PERIODO Imp.]],BP$9)</f>
        <v>0</v>
      </c>
      <c r="BQ814" s="693">
        <f>SUMIFS(Imput[[Importe Neto]:[Importe Neto]],Imput[[C. Imp.]:[C. Imp.]],$D814,Imput[[PERIODO Imp.]:[PERIODO Imp.]],BQ$9)</f>
        <v>0</v>
      </c>
      <c r="BR814" s="693">
        <f>SUMIFS(Imput[[Importe Neto]:[Importe Neto]],Imput[[C. Imp.]:[C. Imp.]],$D814,Imput[[PERIODO Imp.]:[PERIODO Imp.]],BR$9)</f>
        <v>0</v>
      </c>
      <c r="BS814" s="693">
        <f>SUMIFS(Imput[[Importe Neto]:[Importe Neto]],Imput[[C. Imp.]:[C. Imp.]],$D814,Imput[[PERIODO Imp.]:[PERIODO Imp.]],BS$9)</f>
        <v>0</v>
      </c>
      <c r="BT814" s="693">
        <f>SUMIFS(Imput[[Importe Neto]:[Importe Neto]],Imput[[C. Imp.]:[C. Imp.]],$D814,Imput[[PERIODO Imp.]:[PERIODO Imp.]],BT$9)</f>
        <v>0</v>
      </c>
      <c r="BU814" s="693">
        <f>SUMIFS(Imput[[Importe Neto]:[Importe Neto]],Imput[[C. Imp.]:[C. Imp.]],$D814,Imput[[PERIODO Imp.]:[PERIODO Imp.]],BU$9)</f>
        <v>0</v>
      </c>
      <c r="BV814" s="693">
        <f>SUMIFS(Imput[[Importe Neto]:[Importe Neto]],Imput[[C. Imp.]:[C. Imp.]],$D814,Imput[[PERIODO Imp.]:[PERIODO Imp.]],BV$9)</f>
        <v>0</v>
      </c>
      <c r="BW814" s="693">
        <f>SUMIFS(Imput[[Importe Neto]:[Importe Neto]],Imput[[C. Imp.]:[C. Imp.]],$D814,Imput[[PERIODO Imp.]:[PERIODO Imp.]],BW$9)</f>
        <v>0</v>
      </c>
      <c r="BX814" s="693">
        <f>SUMIFS(Imput[[Importe Neto]:[Importe Neto]],Imput[[C. Imp.]:[C. Imp.]],$D814,Imput[[PERIODO Imp.]:[PERIODO Imp.]],BX$9)</f>
        <v>0</v>
      </c>
      <c r="BY814" s="693">
        <f>SUMIFS(Imput[[Importe Neto]:[Importe Neto]],Imput[[C. Imp.]:[C. Imp.]],$D814,Imput[[PERIODO Imp.]:[PERIODO Imp.]],BY$9)</f>
        <v>0</v>
      </c>
      <c r="BZ814" s="693">
        <f>SUMIFS(Imput[[Importe Neto]:[Importe Neto]],Imput[[C. Imp.]:[C. Imp.]],$D814,Imput[[PERIODO Imp.]:[PERIODO Imp.]],BZ$9)</f>
        <v>0</v>
      </c>
      <c r="CA814" s="693">
        <f>SUMIFS(Imput[[Importe Neto]:[Importe Neto]],Imput[[C. Imp.]:[C. Imp.]],$D814,Imput[[PERIODO Imp.]:[PERIODO Imp.]],CA$9)</f>
        <v>0</v>
      </c>
      <c r="CB814" s="693">
        <f>SUMIFS(Imput[[Importe Neto]:[Importe Neto]],Imput[[C. Imp.]:[C. Imp.]],$D814,Imput[[PERIODO Imp.]:[PERIODO Imp.]],CB$9)</f>
        <v>0</v>
      </c>
      <c r="CC814" s="693">
        <f>SUMIFS(Imput[[Importe Neto]:[Importe Neto]],Imput[[C. Imp.]:[C. Imp.]],$D814,Imput[[PERIODO Imp.]:[PERIODO Imp.]],CC$9)</f>
        <v>0</v>
      </c>
      <c r="CD814" s="693">
        <f>SUMIFS(Imput[[Importe Neto]:[Importe Neto]],Imput[[C. Imp.]:[C. Imp.]],$D814,Imput[[PERIODO Imp.]:[PERIODO Imp.]],CD$9)</f>
        <v>0</v>
      </c>
      <c r="CE814" s="693">
        <f>SUMIFS(Imput[[Importe Neto]:[Importe Neto]],Imput[[C. Imp.]:[C. Imp.]],$D814,Imput[[PERIODO Imp.]:[PERIODO Imp.]],CE$9)</f>
        <v>0</v>
      </c>
      <c r="CF814" s="693">
        <f>SUMIFS(Imput[[Importe Neto]:[Importe Neto]],Imput[[C. Imp.]:[C. Imp.]],$D814,Imput[[PERIODO Imp.]:[PERIODO Imp.]],CF$9)</f>
        <v>0</v>
      </c>
      <c r="CG814" s="693">
        <f>SUMIFS(Imput[[Importe Neto]:[Importe Neto]],Imput[[C. Imp.]:[C. Imp.]],$D814,Imput[[PERIODO Imp.]:[PERIODO Imp.]],CG$9)</f>
        <v>0</v>
      </c>
      <c r="CH814" s="693">
        <f>SUMIFS(Imput[[Importe Neto]:[Importe Neto]],Imput[[C. Imp.]:[C. Imp.]],$D814,Imput[[PERIODO Imp.]:[PERIODO Imp.]],CH$9)</f>
        <v>0</v>
      </c>
      <c r="CI814" s="693">
        <f>SUMIFS(Imput[[Importe Neto]:[Importe Neto]],Imput[[C. Imp.]:[C. Imp.]],$D814,Imput[[PERIODO Imp.]:[PERIODO Imp.]],CI$9)</f>
        <v>0</v>
      </c>
      <c r="CJ814" s="693">
        <f>SUMIFS(Imput[[Importe Neto]:[Importe Neto]],Imput[[C. Imp.]:[C. Imp.]],$D814,Imput[[PERIODO Imp.]:[PERIODO Imp.]],CJ$9)</f>
        <v>0</v>
      </c>
      <c r="CK814" s="693">
        <f>SUMIFS(Imput[[Importe Neto]:[Importe Neto]],Imput[[C. Imp.]:[C. Imp.]],$D814,Imput[[PERIODO Imp.]:[PERIODO Imp.]],CK$9)</f>
        <v>0</v>
      </c>
      <c r="CL814" s="693">
        <f>SUMIFS(Imput[[Importe Neto]:[Importe Neto]],Imput[[C. Imp.]:[C. Imp.]],$D814,Imput[[PERIODO Imp.]:[PERIODO Imp.]],CL$9)</f>
        <v>0</v>
      </c>
      <c r="CM814" s="693">
        <f>SUMIFS(Imput[[Importe Neto]:[Importe Neto]],Imput[[C. Imp.]:[C. Imp.]],$D814,Imput[[PERIODO Imp.]:[PERIODO Imp.]],CM$9)</f>
        <v>0</v>
      </c>
      <c r="CN814" s="693">
        <f>SUMIFS(Imput[[Importe Neto]:[Importe Neto]],Imput[[C. Imp.]:[C. Imp.]],$D814,Imput[[PERIODO Imp.]:[PERIODO Imp.]],CN$9)</f>
        <v>0</v>
      </c>
      <c r="CO814" s="693">
        <f>SUMIFS(Imput[[Importe Neto]:[Importe Neto]],Imput[[C. Imp.]:[C. Imp.]],$D814,Imput[[PERIODO Imp.]:[PERIODO Imp.]],CO$9)</f>
        <v>0</v>
      </c>
      <c r="CP814" s="693">
        <f>SUMIFS(Imput[[Importe Neto]:[Importe Neto]],Imput[[C. Imp.]:[C. Imp.]],$D814,Imput[[PERIODO Imp.]:[PERIODO Imp.]],CP$9)</f>
        <v>0</v>
      </c>
      <c r="CQ814" s="693">
        <f>SUMIFS(Imput[[Importe Neto]:[Importe Neto]],Imput[[C. Imp.]:[C. Imp.]],$D814,Imput[[PERIODO Imp.]:[PERIODO Imp.]],CQ$9)</f>
        <v>0</v>
      </c>
      <c r="CR814" s="693">
        <f>SUMIFS(Imput[[Importe Neto]:[Importe Neto]],Imput[[C. Imp.]:[C. Imp.]],$D814,Imput[[PERIODO Imp.]:[PERIODO Imp.]],CR$9)</f>
        <v>0</v>
      </c>
      <c r="CS814" s="693">
        <f>SUMIFS(Imput[[Importe Neto]:[Importe Neto]],Imput[[C. Imp.]:[C. Imp.]],$D814,Imput[[PERIODO Imp.]:[PERIODO Imp.]],CS$9)</f>
        <v>0</v>
      </c>
      <c r="CT814" s="693">
        <f>SUMIFS(Imput[[Importe Neto]:[Importe Neto]],Imput[[C. Imp.]:[C. Imp.]],$D814,Imput[[PERIODO Imp.]:[PERIODO Imp.]],CT$9)</f>
        <v>0</v>
      </c>
      <c r="CU814" s="693">
        <f>SUMIFS(Imput[[Importe Neto]:[Importe Neto]],Imput[[C. Imp.]:[C. Imp.]],$D814,Imput[[PERIODO Imp.]:[PERIODO Imp.]],CU$9)</f>
        <v>0</v>
      </c>
      <c r="CV814" s="693">
        <f>SUMIFS(Imput[[Importe Neto]:[Importe Neto]],Imput[[C. Imp.]:[C. Imp.]],$D814,Imput[[PERIODO Imp.]:[PERIODO Imp.]],CV$9)</f>
        <v>0</v>
      </c>
      <c r="CW814" s="693">
        <f>SUMIFS(Imput[[Importe Neto]:[Importe Neto]],Imput[[C. Imp.]:[C. Imp.]],$D814,Imput[[PERIODO Imp.]:[PERIODO Imp.]],CW$9)</f>
        <v>0</v>
      </c>
      <c r="CX814" s="693">
        <f>SUMIFS(Imput[[Importe Neto]:[Importe Neto]],Imput[[C. Imp.]:[C. Imp.]],$D814,Imput[[PERIODO Imp.]:[PERIODO Imp.]],CX$9)</f>
        <v>0</v>
      </c>
      <c r="CY814" s="693">
        <f>SUMIFS(Imput[[Importe Neto]:[Importe Neto]],Imput[[C. Imp.]:[C. Imp.]],$D814,Imput[[PERIODO Imp.]:[PERIODO Imp.]],CY$9)</f>
        <v>0</v>
      </c>
      <c r="CZ814" s="693">
        <f>SUMIFS(Imput[[Importe Neto]:[Importe Neto]],Imput[[C. Imp.]:[C. Imp.]],$D814,Imput[[PERIODO Imp.]:[PERIODO Imp.]],CZ$9)</f>
        <v>0</v>
      </c>
      <c r="DA814" s="693">
        <f>SUMIFS(Imput[[Importe Neto]:[Importe Neto]],Imput[[C. Imp.]:[C. Imp.]],$D814,Imput[[PERIODO Imp.]:[PERIODO Imp.]],DA$9)</f>
        <v>0</v>
      </c>
      <c r="DB814" s="693">
        <f>SUMIFS(Imput[[Importe Neto]:[Importe Neto]],Imput[[C. Imp.]:[C. Imp.]],$D814,Imput[[PERIODO Imp.]:[PERIODO Imp.]],DB$9)</f>
        <v>0</v>
      </c>
      <c r="DC814" s="693">
        <f>SUMIFS(Imput[[Importe Neto]:[Importe Neto]],Imput[[C. Imp.]:[C. Imp.]],$D814,Imput[[PERIODO Imp.]:[PERIODO Imp.]],DC$9)</f>
        <v>0</v>
      </c>
      <c r="DD814" s="693">
        <f>SUMIFS(Imput[[Importe Neto]:[Importe Neto]],Imput[[C. Imp.]:[C. Imp.]],$D814,Imput[[PERIODO Imp.]:[PERIODO Imp.]],DD$9)</f>
        <v>0</v>
      </c>
      <c r="DE814" s="693">
        <f>SUMIFS(Imput[[Importe Neto]:[Importe Neto]],Imput[[C. Imp.]:[C. Imp.]],$D814,Imput[[PERIODO Imp.]:[PERIODO Imp.]],DE$9)</f>
        <v>0</v>
      </c>
      <c r="DF814" s="693">
        <f>SUMIFS(Imput[[Importe Neto]:[Importe Neto]],Imput[[C. Imp.]:[C. Imp.]],$D814,Imput[[PERIODO Imp.]:[PERIODO Imp.]],DF$9)</f>
        <v>0</v>
      </c>
      <c r="DG814" s="693">
        <f>SUMIFS(Imput[[Importe Neto]:[Importe Neto]],Imput[[C. Imp.]:[C. Imp.]],$D814,Imput[[PERIODO Imp.]:[PERIODO Imp.]],DG$9)</f>
        <v>0</v>
      </c>
      <c r="DH814" s="694">
        <f>SUMIFS(Imput[[Importe Neto]:[Importe Neto]],Imput[[C. Imp.]:[C. Imp.]],$D814,Imput[[PERIODO Imp.]:[PERIODO Imp.]],DH$9)</f>
        <v>0</v>
      </c>
    </row>
    <row r="815" spans="1:112" s="649" customFormat="1" hidden="1" outlineLevel="1" x14ac:dyDescent="0.3">
      <c r="A815" s="652" t="str">
        <f t="shared" si="280"/>
        <v/>
      </c>
      <c r="B815" s="652"/>
      <c r="C815" s="685"/>
      <c r="D815" s="686" t="s">
        <v>2795</v>
      </c>
      <c r="E815" s="686"/>
      <c r="F815" s="720"/>
      <c r="G815" s="688"/>
      <c r="H815" s="689"/>
      <c r="I815" s="851" t="str">
        <f t="shared" si="285"/>
        <v/>
      </c>
      <c r="J815" s="850" t="str">
        <f t="shared" si="282"/>
        <v/>
      </c>
      <c r="K815" s="667"/>
      <c r="L815" s="858"/>
      <c r="M815" s="859"/>
      <c r="N815" s="859"/>
      <c r="O815" s="859"/>
      <c r="P815" s="859"/>
      <c r="Q815" s="859"/>
      <c r="R815" s="859"/>
      <c r="S815" s="859"/>
      <c r="T815" s="859"/>
      <c r="U815" s="859"/>
      <c r="V815" s="859"/>
      <c r="W815" s="859"/>
      <c r="X815" s="859"/>
      <c r="Y815" s="859"/>
      <c r="Z815" s="860"/>
      <c r="AA815" s="860"/>
      <c r="AB815" s="860"/>
      <c r="AC815" s="860"/>
      <c r="AD815" s="860"/>
      <c r="AE815" s="860"/>
      <c r="AF815" s="860"/>
      <c r="AG815" s="860"/>
      <c r="AH815" s="860"/>
      <c r="AI815" s="860"/>
      <c r="AJ815" s="860"/>
      <c r="AK815" s="860"/>
      <c r="AL815" s="860"/>
      <c r="AM815" s="860"/>
      <c r="AN815" s="860"/>
      <c r="AO815" s="860"/>
      <c r="AP815" s="860"/>
      <c r="AQ815" s="860"/>
      <c r="AR815" s="860"/>
      <c r="AS815" s="860"/>
      <c r="AT815" s="860"/>
      <c r="AU815" s="860"/>
      <c r="AV815" s="860"/>
      <c r="AW815" s="860"/>
      <c r="AX815" s="860"/>
      <c r="AY815" s="860"/>
      <c r="AZ815" s="860"/>
      <c r="BA815" s="860"/>
      <c r="BB815" s="860"/>
      <c r="BC815" s="860"/>
      <c r="BD815" s="860"/>
      <c r="BE815" s="860"/>
      <c r="BF815" s="860"/>
      <c r="BG815" s="860"/>
      <c r="BH815" s="668"/>
      <c r="BI815" s="654"/>
      <c r="BJ815" s="690">
        <f t="shared" si="286"/>
        <v>0</v>
      </c>
      <c r="BK815" s="691">
        <f t="shared" si="287"/>
        <v>0</v>
      </c>
      <c r="BL815" s="654"/>
      <c r="BM815" s="692">
        <f>SUMIFS(Imput[[Importe Neto]:[Importe Neto]],Imput[[C. Imp.]:[C. Imp.]],$D815,Imput[[PERIODO Imp.]:[PERIODO Imp.]],BM$9)</f>
        <v>0</v>
      </c>
      <c r="BN815" s="693">
        <f>SUMIFS(Imput[[Importe Neto]:[Importe Neto]],Imput[[C. Imp.]:[C. Imp.]],$D815,Imput[[PERIODO Imp.]:[PERIODO Imp.]],BN$9)</f>
        <v>0</v>
      </c>
      <c r="BO815" s="693">
        <f>SUMIFS(Imput[[Importe Neto]:[Importe Neto]],Imput[[C. Imp.]:[C. Imp.]],$D815,Imput[[PERIODO Imp.]:[PERIODO Imp.]],BO$9)</f>
        <v>0</v>
      </c>
      <c r="BP815" s="693">
        <f>SUMIFS(Imput[[Importe Neto]:[Importe Neto]],Imput[[C. Imp.]:[C. Imp.]],$D815,Imput[[PERIODO Imp.]:[PERIODO Imp.]],BP$9)</f>
        <v>0</v>
      </c>
      <c r="BQ815" s="693">
        <f>SUMIFS(Imput[[Importe Neto]:[Importe Neto]],Imput[[C. Imp.]:[C. Imp.]],$D815,Imput[[PERIODO Imp.]:[PERIODO Imp.]],BQ$9)</f>
        <v>0</v>
      </c>
      <c r="BR815" s="693">
        <f>SUMIFS(Imput[[Importe Neto]:[Importe Neto]],Imput[[C. Imp.]:[C. Imp.]],$D815,Imput[[PERIODO Imp.]:[PERIODO Imp.]],BR$9)</f>
        <v>0</v>
      </c>
      <c r="BS815" s="693">
        <f>SUMIFS(Imput[[Importe Neto]:[Importe Neto]],Imput[[C. Imp.]:[C. Imp.]],$D815,Imput[[PERIODO Imp.]:[PERIODO Imp.]],BS$9)</f>
        <v>0</v>
      </c>
      <c r="BT815" s="693">
        <f>SUMIFS(Imput[[Importe Neto]:[Importe Neto]],Imput[[C. Imp.]:[C. Imp.]],$D815,Imput[[PERIODO Imp.]:[PERIODO Imp.]],BT$9)</f>
        <v>0</v>
      </c>
      <c r="BU815" s="693">
        <f>SUMIFS(Imput[[Importe Neto]:[Importe Neto]],Imput[[C. Imp.]:[C. Imp.]],$D815,Imput[[PERIODO Imp.]:[PERIODO Imp.]],BU$9)</f>
        <v>0</v>
      </c>
      <c r="BV815" s="693">
        <f>SUMIFS(Imput[[Importe Neto]:[Importe Neto]],Imput[[C. Imp.]:[C. Imp.]],$D815,Imput[[PERIODO Imp.]:[PERIODO Imp.]],BV$9)</f>
        <v>0</v>
      </c>
      <c r="BW815" s="693">
        <f>SUMIFS(Imput[[Importe Neto]:[Importe Neto]],Imput[[C. Imp.]:[C. Imp.]],$D815,Imput[[PERIODO Imp.]:[PERIODO Imp.]],BW$9)</f>
        <v>0</v>
      </c>
      <c r="BX815" s="693">
        <f>SUMIFS(Imput[[Importe Neto]:[Importe Neto]],Imput[[C. Imp.]:[C. Imp.]],$D815,Imput[[PERIODO Imp.]:[PERIODO Imp.]],BX$9)</f>
        <v>0</v>
      </c>
      <c r="BY815" s="693">
        <f>SUMIFS(Imput[[Importe Neto]:[Importe Neto]],Imput[[C. Imp.]:[C. Imp.]],$D815,Imput[[PERIODO Imp.]:[PERIODO Imp.]],BY$9)</f>
        <v>0</v>
      </c>
      <c r="BZ815" s="693">
        <f>SUMIFS(Imput[[Importe Neto]:[Importe Neto]],Imput[[C. Imp.]:[C. Imp.]],$D815,Imput[[PERIODO Imp.]:[PERIODO Imp.]],BZ$9)</f>
        <v>0</v>
      </c>
      <c r="CA815" s="693">
        <f>SUMIFS(Imput[[Importe Neto]:[Importe Neto]],Imput[[C. Imp.]:[C. Imp.]],$D815,Imput[[PERIODO Imp.]:[PERIODO Imp.]],CA$9)</f>
        <v>0</v>
      </c>
      <c r="CB815" s="693">
        <f>SUMIFS(Imput[[Importe Neto]:[Importe Neto]],Imput[[C. Imp.]:[C. Imp.]],$D815,Imput[[PERIODO Imp.]:[PERIODO Imp.]],CB$9)</f>
        <v>0</v>
      </c>
      <c r="CC815" s="693">
        <f>SUMIFS(Imput[[Importe Neto]:[Importe Neto]],Imput[[C. Imp.]:[C. Imp.]],$D815,Imput[[PERIODO Imp.]:[PERIODO Imp.]],CC$9)</f>
        <v>0</v>
      </c>
      <c r="CD815" s="693">
        <f>SUMIFS(Imput[[Importe Neto]:[Importe Neto]],Imput[[C. Imp.]:[C. Imp.]],$D815,Imput[[PERIODO Imp.]:[PERIODO Imp.]],CD$9)</f>
        <v>0</v>
      </c>
      <c r="CE815" s="693">
        <f>SUMIFS(Imput[[Importe Neto]:[Importe Neto]],Imput[[C. Imp.]:[C. Imp.]],$D815,Imput[[PERIODO Imp.]:[PERIODO Imp.]],CE$9)</f>
        <v>0</v>
      </c>
      <c r="CF815" s="693">
        <f>SUMIFS(Imput[[Importe Neto]:[Importe Neto]],Imput[[C. Imp.]:[C. Imp.]],$D815,Imput[[PERIODO Imp.]:[PERIODO Imp.]],CF$9)</f>
        <v>0</v>
      </c>
      <c r="CG815" s="693">
        <f>SUMIFS(Imput[[Importe Neto]:[Importe Neto]],Imput[[C. Imp.]:[C. Imp.]],$D815,Imput[[PERIODO Imp.]:[PERIODO Imp.]],CG$9)</f>
        <v>0</v>
      </c>
      <c r="CH815" s="693">
        <f>SUMIFS(Imput[[Importe Neto]:[Importe Neto]],Imput[[C. Imp.]:[C. Imp.]],$D815,Imput[[PERIODO Imp.]:[PERIODO Imp.]],CH$9)</f>
        <v>0</v>
      </c>
      <c r="CI815" s="693">
        <f>SUMIFS(Imput[[Importe Neto]:[Importe Neto]],Imput[[C. Imp.]:[C. Imp.]],$D815,Imput[[PERIODO Imp.]:[PERIODO Imp.]],CI$9)</f>
        <v>0</v>
      </c>
      <c r="CJ815" s="693">
        <f>SUMIFS(Imput[[Importe Neto]:[Importe Neto]],Imput[[C. Imp.]:[C. Imp.]],$D815,Imput[[PERIODO Imp.]:[PERIODO Imp.]],CJ$9)</f>
        <v>0</v>
      </c>
      <c r="CK815" s="693">
        <f>SUMIFS(Imput[[Importe Neto]:[Importe Neto]],Imput[[C. Imp.]:[C. Imp.]],$D815,Imput[[PERIODO Imp.]:[PERIODO Imp.]],CK$9)</f>
        <v>0</v>
      </c>
      <c r="CL815" s="693">
        <f>SUMIFS(Imput[[Importe Neto]:[Importe Neto]],Imput[[C. Imp.]:[C. Imp.]],$D815,Imput[[PERIODO Imp.]:[PERIODO Imp.]],CL$9)</f>
        <v>0</v>
      </c>
      <c r="CM815" s="693">
        <f>SUMIFS(Imput[[Importe Neto]:[Importe Neto]],Imput[[C. Imp.]:[C. Imp.]],$D815,Imput[[PERIODO Imp.]:[PERIODO Imp.]],CM$9)</f>
        <v>0</v>
      </c>
      <c r="CN815" s="693">
        <f>SUMIFS(Imput[[Importe Neto]:[Importe Neto]],Imput[[C. Imp.]:[C. Imp.]],$D815,Imput[[PERIODO Imp.]:[PERIODO Imp.]],CN$9)</f>
        <v>0</v>
      </c>
      <c r="CO815" s="693">
        <f>SUMIFS(Imput[[Importe Neto]:[Importe Neto]],Imput[[C. Imp.]:[C. Imp.]],$D815,Imput[[PERIODO Imp.]:[PERIODO Imp.]],CO$9)</f>
        <v>0</v>
      </c>
      <c r="CP815" s="693">
        <f>SUMIFS(Imput[[Importe Neto]:[Importe Neto]],Imput[[C. Imp.]:[C. Imp.]],$D815,Imput[[PERIODO Imp.]:[PERIODO Imp.]],CP$9)</f>
        <v>0</v>
      </c>
      <c r="CQ815" s="693">
        <f>SUMIFS(Imput[[Importe Neto]:[Importe Neto]],Imput[[C. Imp.]:[C. Imp.]],$D815,Imput[[PERIODO Imp.]:[PERIODO Imp.]],CQ$9)</f>
        <v>0</v>
      </c>
      <c r="CR815" s="693">
        <f>SUMIFS(Imput[[Importe Neto]:[Importe Neto]],Imput[[C. Imp.]:[C. Imp.]],$D815,Imput[[PERIODO Imp.]:[PERIODO Imp.]],CR$9)</f>
        <v>0</v>
      </c>
      <c r="CS815" s="693">
        <f>SUMIFS(Imput[[Importe Neto]:[Importe Neto]],Imput[[C. Imp.]:[C. Imp.]],$D815,Imput[[PERIODO Imp.]:[PERIODO Imp.]],CS$9)</f>
        <v>0</v>
      </c>
      <c r="CT815" s="693">
        <f>SUMIFS(Imput[[Importe Neto]:[Importe Neto]],Imput[[C. Imp.]:[C. Imp.]],$D815,Imput[[PERIODO Imp.]:[PERIODO Imp.]],CT$9)</f>
        <v>0</v>
      </c>
      <c r="CU815" s="693">
        <f>SUMIFS(Imput[[Importe Neto]:[Importe Neto]],Imput[[C. Imp.]:[C. Imp.]],$D815,Imput[[PERIODO Imp.]:[PERIODO Imp.]],CU$9)</f>
        <v>0</v>
      </c>
      <c r="CV815" s="693">
        <f>SUMIFS(Imput[[Importe Neto]:[Importe Neto]],Imput[[C. Imp.]:[C. Imp.]],$D815,Imput[[PERIODO Imp.]:[PERIODO Imp.]],CV$9)</f>
        <v>0</v>
      </c>
      <c r="CW815" s="693">
        <f>SUMIFS(Imput[[Importe Neto]:[Importe Neto]],Imput[[C. Imp.]:[C. Imp.]],$D815,Imput[[PERIODO Imp.]:[PERIODO Imp.]],CW$9)</f>
        <v>0</v>
      </c>
      <c r="CX815" s="693">
        <f>SUMIFS(Imput[[Importe Neto]:[Importe Neto]],Imput[[C. Imp.]:[C. Imp.]],$D815,Imput[[PERIODO Imp.]:[PERIODO Imp.]],CX$9)</f>
        <v>0</v>
      </c>
      <c r="CY815" s="693">
        <f>SUMIFS(Imput[[Importe Neto]:[Importe Neto]],Imput[[C. Imp.]:[C. Imp.]],$D815,Imput[[PERIODO Imp.]:[PERIODO Imp.]],CY$9)</f>
        <v>0</v>
      </c>
      <c r="CZ815" s="693">
        <f>SUMIFS(Imput[[Importe Neto]:[Importe Neto]],Imput[[C. Imp.]:[C. Imp.]],$D815,Imput[[PERIODO Imp.]:[PERIODO Imp.]],CZ$9)</f>
        <v>0</v>
      </c>
      <c r="DA815" s="693">
        <f>SUMIFS(Imput[[Importe Neto]:[Importe Neto]],Imput[[C. Imp.]:[C. Imp.]],$D815,Imput[[PERIODO Imp.]:[PERIODO Imp.]],DA$9)</f>
        <v>0</v>
      </c>
      <c r="DB815" s="693">
        <f>SUMIFS(Imput[[Importe Neto]:[Importe Neto]],Imput[[C. Imp.]:[C. Imp.]],$D815,Imput[[PERIODO Imp.]:[PERIODO Imp.]],DB$9)</f>
        <v>0</v>
      </c>
      <c r="DC815" s="693">
        <f>SUMIFS(Imput[[Importe Neto]:[Importe Neto]],Imput[[C. Imp.]:[C. Imp.]],$D815,Imput[[PERIODO Imp.]:[PERIODO Imp.]],DC$9)</f>
        <v>0</v>
      </c>
      <c r="DD815" s="693">
        <f>SUMIFS(Imput[[Importe Neto]:[Importe Neto]],Imput[[C. Imp.]:[C. Imp.]],$D815,Imput[[PERIODO Imp.]:[PERIODO Imp.]],DD$9)</f>
        <v>0</v>
      </c>
      <c r="DE815" s="693">
        <f>SUMIFS(Imput[[Importe Neto]:[Importe Neto]],Imput[[C. Imp.]:[C. Imp.]],$D815,Imput[[PERIODO Imp.]:[PERIODO Imp.]],DE$9)</f>
        <v>0</v>
      </c>
      <c r="DF815" s="693">
        <f>SUMIFS(Imput[[Importe Neto]:[Importe Neto]],Imput[[C. Imp.]:[C. Imp.]],$D815,Imput[[PERIODO Imp.]:[PERIODO Imp.]],DF$9)</f>
        <v>0</v>
      </c>
      <c r="DG815" s="693">
        <f>SUMIFS(Imput[[Importe Neto]:[Importe Neto]],Imput[[C. Imp.]:[C. Imp.]],$D815,Imput[[PERIODO Imp.]:[PERIODO Imp.]],DG$9)</f>
        <v>0</v>
      </c>
      <c r="DH815" s="694">
        <f>SUMIFS(Imput[[Importe Neto]:[Importe Neto]],Imput[[C. Imp.]:[C. Imp.]],$D815,Imput[[PERIODO Imp.]:[PERIODO Imp.]],DH$9)</f>
        <v>0</v>
      </c>
    </row>
    <row r="816" spans="1:112" s="649" customFormat="1" hidden="1" outlineLevel="1" x14ac:dyDescent="0.3">
      <c r="A816" s="652" t="str">
        <f t="shared" si="280"/>
        <v/>
      </c>
      <c r="B816" s="652"/>
      <c r="C816" s="685"/>
      <c r="D816" s="686" t="s">
        <v>2796</v>
      </c>
      <c r="E816" s="686"/>
      <c r="F816" s="720"/>
      <c r="G816" s="688"/>
      <c r="H816" s="689"/>
      <c r="I816" s="851" t="str">
        <f t="shared" si="285"/>
        <v/>
      </c>
      <c r="J816" s="850" t="str">
        <f t="shared" si="282"/>
        <v/>
      </c>
      <c r="K816" s="667"/>
      <c r="L816" s="858"/>
      <c r="M816" s="859"/>
      <c r="N816" s="859"/>
      <c r="O816" s="859"/>
      <c r="P816" s="859"/>
      <c r="Q816" s="859"/>
      <c r="R816" s="859"/>
      <c r="S816" s="859"/>
      <c r="T816" s="859"/>
      <c r="U816" s="859"/>
      <c r="V816" s="859"/>
      <c r="W816" s="859"/>
      <c r="X816" s="859"/>
      <c r="Y816" s="859"/>
      <c r="Z816" s="860"/>
      <c r="AA816" s="860"/>
      <c r="AB816" s="860"/>
      <c r="AC816" s="860"/>
      <c r="AD816" s="860"/>
      <c r="AE816" s="860"/>
      <c r="AF816" s="860"/>
      <c r="AG816" s="860"/>
      <c r="AH816" s="860"/>
      <c r="AI816" s="860"/>
      <c r="AJ816" s="860"/>
      <c r="AK816" s="860"/>
      <c r="AL816" s="860"/>
      <c r="AM816" s="860"/>
      <c r="AN816" s="860"/>
      <c r="AO816" s="860"/>
      <c r="AP816" s="860"/>
      <c r="AQ816" s="860"/>
      <c r="AR816" s="860"/>
      <c r="AS816" s="860"/>
      <c r="AT816" s="860"/>
      <c r="AU816" s="860"/>
      <c r="AV816" s="860"/>
      <c r="AW816" s="860"/>
      <c r="AX816" s="860"/>
      <c r="AY816" s="860"/>
      <c r="AZ816" s="860"/>
      <c r="BA816" s="860"/>
      <c r="BB816" s="860"/>
      <c r="BC816" s="860"/>
      <c r="BD816" s="860"/>
      <c r="BE816" s="860"/>
      <c r="BF816" s="860"/>
      <c r="BG816" s="860"/>
      <c r="BH816" s="668"/>
      <c r="BI816" s="654"/>
      <c r="BJ816" s="690">
        <f t="shared" si="286"/>
        <v>0</v>
      </c>
      <c r="BK816" s="691">
        <f t="shared" si="287"/>
        <v>0</v>
      </c>
      <c r="BL816" s="654"/>
      <c r="BM816" s="692">
        <f>SUMIFS(Imput[[Importe Neto]:[Importe Neto]],Imput[[C. Imp.]:[C. Imp.]],$D816,Imput[[PERIODO Imp.]:[PERIODO Imp.]],BM$9)</f>
        <v>0</v>
      </c>
      <c r="BN816" s="693">
        <f>SUMIFS(Imput[[Importe Neto]:[Importe Neto]],Imput[[C. Imp.]:[C. Imp.]],$D816,Imput[[PERIODO Imp.]:[PERIODO Imp.]],BN$9)</f>
        <v>0</v>
      </c>
      <c r="BO816" s="693">
        <f>SUMIFS(Imput[[Importe Neto]:[Importe Neto]],Imput[[C. Imp.]:[C. Imp.]],$D816,Imput[[PERIODO Imp.]:[PERIODO Imp.]],BO$9)</f>
        <v>0</v>
      </c>
      <c r="BP816" s="693">
        <f>SUMIFS(Imput[[Importe Neto]:[Importe Neto]],Imput[[C. Imp.]:[C. Imp.]],$D816,Imput[[PERIODO Imp.]:[PERIODO Imp.]],BP$9)</f>
        <v>0</v>
      </c>
      <c r="BQ816" s="693">
        <f>SUMIFS(Imput[[Importe Neto]:[Importe Neto]],Imput[[C. Imp.]:[C. Imp.]],$D816,Imput[[PERIODO Imp.]:[PERIODO Imp.]],BQ$9)</f>
        <v>0</v>
      </c>
      <c r="BR816" s="693">
        <f>SUMIFS(Imput[[Importe Neto]:[Importe Neto]],Imput[[C. Imp.]:[C. Imp.]],$D816,Imput[[PERIODO Imp.]:[PERIODO Imp.]],BR$9)</f>
        <v>0</v>
      </c>
      <c r="BS816" s="693">
        <f>SUMIFS(Imput[[Importe Neto]:[Importe Neto]],Imput[[C. Imp.]:[C. Imp.]],$D816,Imput[[PERIODO Imp.]:[PERIODO Imp.]],BS$9)</f>
        <v>0</v>
      </c>
      <c r="BT816" s="693">
        <f>SUMIFS(Imput[[Importe Neto]:[Importe Neto]],Imput[[C. Imp.]:[C. Imp.]],$D816,Imput[[PERIODO Imp.]:[PERIODO Imp.]],BT$9)</f>
        <v>0</v>
      </c>
      <c r="BU816" s="693">
        <f>SUMIFS(Imput[[Importe Neto]:[Importe Neto]],Imput[[C. Imp.]:[C. Imp.]],$D816,Imput[[PERIODO Imp.]:[PERIODO Imp.]],BU$9)</f>
        <v>0</v>
      </c>
      <c r="BV816" s="693">
        <f>SUMIFS(Imput[[Importe Neto]:[Importe Neto]],Imput[[C. Imp.]:[C. Imp.]],$D816,Imput[[PERIODO Imp.]:[PERIODO Imp.]],BV$9)</f>
        <v>0</v>
      </c>
      <c r="BW816" s="693">
        <f>SUMIFS(Imput[[Importe Neto]:[Importe Neto]],Imput[[C. Imp.]:[C. Imp.]],$D816,Imput[[PERIODO Imp.]:[PERIODO Imp.]],BW$9)</f>
        <v>0</v>
      </c>
      <c r="BX816" s="693">
        <f>SUMIFS(Imput[[Importe Neto]:[Importe Neto]],Imput[[C. Imp.]:[C. Imp.]],$D816,Imput[[PERIODO Imp.]:[PERIODO Imp.]],BX$9)</f>
        <v>0</v>
      </c>
      <c r="BY816" s="693">
        <f>SUMIFS(Imput[[Importe Neto]:[Importe Neto]],Imput[[C. Imp.]:[C. Imp.]],$D816,Imput[[PERIODO Imp.]:[PERIODO Imp.]],BY$9)</f>
        <v>0</v>
      </c>
      <c r="BZ816" s="693">
        <f>SUMIFS(Imput[[Importe Neto]:[Importe Neto]],Imput[[C. Imp.]:[C. Imp.]],$D816,Imput[[PERIODO Imp.]:[PERIODO Imp.]],BZ$9)</f>
        <v>0</v>
      </c>
      <c r="CA816" s="693">
        <f>SUMIFS(Imput[[Importe Neto]:[Importe Neto]],Imput[[C. Imp.]:[C. Imp.]],$D816,Imput[[PERIODO Imp.]:[PERIODO Imp.]],CA$9)</f>
        <v>0</v>
      </c>
      <c r="CB816" s="693">
        <f>SUMIFS(Imput[[Importe Neto]:[Importe Neto]],Imput[[C. Imp.]:[C. Imp.]],$D816,Imput[[PERIODO Imp.]:[PERIODO Imp.]],CB$9)</f>
        <v>0</v>
      </c>
      <c r="CC816" s="693">
        <f>SUMIFS(Imput[[Importe Neto]:[Importe Neto]],Imput[[C. Imp.]:[C. Imp.]],$D816,Imput[[PERIODO Imp.]:[PERIODO Imp.]],CC$9)</f>
        <v>0</v>
      </c>
      <c r="CD816" s="693">
        <f>SUMIFS(Imput[[Importe Neto]:[Importe Neto]],Imput[[C. Imp.]:[C. Imp.]],$D816,Imput[[PERIODO Imp.]:[PERIODO Imp.]],CD$9)</f>
        <v>0</v>
      </c>
      <c r="CE816" s="693">
        <f>SUMIFS(Imput[[Importe Neto]:[Importe Neto]],Imput[[C. Imp.]:[C. Imp.]],$D816,Imput[[PERIODO Imp.]:[PERIODO Imp.]],CE$9)</f>
        <v>0</v>
      </c>
      <c r="CF816" s="693">
        <f>SUMIFS(Imput[[Importe Neto]:[Importe Neto]],Imput[[C. Imp.]:[C. Imp.]],$D816,Imput[[PERIODO Imp.]:[PERIODO Imp.]],CF$9)</f>
        <v>0</v>
      </c>
      <c r="CG816" s="693">
        <f>SUMIFS(Imput[[Importe Neto]:[Importe Neto]],Imput[[C. Imp.]:[C. Imp.]],$D816,Imput[[PERIODO Imp.]:[PERIODO Imp.]],CG$9)</f>
        <v>0</v>
      </c>
      <c r="CH816" s="693">
        <f>SUMIFS(Imput[[Importe Neto]:[Importe Neto]],Imput[[C. Imp.]:[C. Imp.]],$D816,Imput[[PERIODO Imp.]:[PERIODO Imp.]],CH$9)</f>
        <v>0</v>
      </c>
      <c r="CI816" s="693">
        <f>SUMIFS(Imput[[Importe Neto]:[Importe Neto]],Imput[[C. Imp.]:[C. Imp.]],$D816,Imput[[PERIODO Imp.]:[PERIODO Imp.]],CI$9)</f>
        <v>0</v>
      </c>
      <c r="CJ816" s="693">
        <f>SUMIFS(Imput[[Importe Neto]:[Importe Neto]],Imput[[C. Imp.]:[C. Imp.]],$D816,Imput[[PERIODO Imp.]:[PERIODO Imp.]],CJ$9)</f>
        <v>0</v>
      </c>
      <c r="CK816" s="693">
        <f>SUMIFS(Imput[[Importe Neto]:[Importe Neto]],Imput[[C. Imp.]:[C. Imp.]],$D816,Imput[[PERIODO Imp.]:[PERIODO Imp.]],CK$9)</f>
        <v>0</v>
      </c>
      <c r="CL816" s="693">
        <f>SUMIFS(Imput[[Importe Neto]:[Importe Neto]],Imput[[C. Imp.]:[C. Imp.]],$D816,Imput[[PERIODO Imp.]:[PERIODO Imp.]],CL$9)</f>
        <v>0</v>
      </c>
      <c r="CM816" s="693">
        <f>SUMIFS(Imput[[Importe Neto]:[Importe Neto]],Imput[[C. Imp.]:[C. Imp.]],$D816,Imput[[PERIODO Imp.]:[PERIODO Imp.]],CM$9)</f>
        <v>0</v>
      </c>
      <c r="CN816" s="693">
        <f>SUMIFS(Imput[[Importe Neto]:[Importe Neto]],Imput[[C. Imp.]:[C. Imp.]],$D816,Imput[[PERIODO Imp.]:[PERIODO Imp.]],CN$9)</f>
        <v>0</v>
      </c>
      <c r="CO816" s="693">
        <f>SUMIFS(Imput[[Importe Neto]:[Importe Neto]],Imput[[C. Imp.]:[C. Imp.]],$D816,Imput[[PERIODO Imp.]:[PERIODO Imp.]],CO$9)</f>
        <v>0</v>
      </c>
      <c r="CP816" s="693">
        <f>SUMIFS(Imput[[Importe Neto]:[Importe Neto]],Imput[[C. Imp.]:[C. Imp.]],$D816,Imput[[PERIODO Imp.]:[PERIODO Imp.]],CP$9)</f>
        <v>0</v>
      </c>
      <c r="CQ816" s="693">
        <f>SUMIFS(Imput[[Importe Neto]:[Importe Neto]],Imput[[C. Imp.]:[C. Imp.]],$D816,Imput[[PERIODO Imp.]:[PERIODO Imp.]],CQ$9)</f>
        <v>0</v>
      </c>
      <c r="CR816" s="693">
        <f>SUMIFS(Imput[[Importe Neto]:[Importe Neto]],Imput[[C. Imp.]:[C. Imp.]],$D816,Imput[[PERIODO Imp.]:[PERIODO Imp.]],CR$9)</f>
        <v>0</v>
      </c>
      <c r="CS816" s="693">
        <f>SUMIFS(Imput[[Importe Neto]:[Importe Neto]],Imput[[C. Imp.]:[C. Imp.]],$D816,Imput[[PERIODO Imp.]:[PERIODO Imp.]],CS$9)</f>
        <v>0</v>
      </c>
      <c r="CT816" s="693">
        <f>SUMIFS(Imput[[Importe Neto]:[Importe Neto]],Imput[[C. Imp.]:[C. Imp.]],$D816,Imput[[PERIODO Imp.]:[PERIODO Imp.]],CT$9)</f>
        <v>0</v>
      </c>
      <c r="CU816" s="693">
        <f>SUMIFS(Imput[[Importe Neto]:[Importe Neto]],Imput[[C. Imp.]:[C. Imp.]],$D816,Imput[[PERIODO Imp.]:[PERIODO Imp.]],CU$9)</f>
        <v>0</v>
      </c>
      <c r="CV816" s="693">
        <f>SUMIFS(Imput[[Importe Neto]:[Importe Neto]],Imput[[C. Imp.]:[C. Imp.]],$D816,Imput[[PERIODO Imp.]:[PERIODO Imp.]],CV$9)</f>
        <v>0</v>
      </c>
      <c r="CW816" s="693">
        <f>SUMIFS(Imput[[Importe Neto]:[Importe Neto]],Imput[[C. Imp.]:[C. Imp.]],$D816,Imput[[PERIODO Imp.]:[PERIODO Imp.]],CW$9)</f>
        <v>0</v>
      </c>
      <c r="CX816" s="693">
        <f>SUMIFS(Imput[[Importe Neto]:[Importe Neto]],Imput[[C. Imp.]:[C. Imp.]],$D816,Imput[[PERIODO Imp.]:[PERIODO Imp.]],CX$9)</f>
        <v>0</v>
      </c>
      <c r="CY816" s="693">
        <f>SUMIFS(Imput[[Importe Neto]:[Importe Neto]],Imput[[C. Imp.]:[C. Imp.]],$D816,Imput[[PERIODO Imp.]:[PERIODO Imp.]],CY$9)</f>
        <v>0</v>
      </c>
      <c r="CZ816" s="693">
        <f>SUMIFS(Imput[[Importe Neto]:[Importe Neto]],Imput[[C. Imp.]:[C. Imp.]],$D816,Imput[[PERIODO Imp.]:[PERIODO Imp.]],CZ$9)</f>
        <v>0</v>
      </c>
      <c r="DA816" s="693">
        <f>SUMIFS(Imput[[Importe Neto]:[Importe Neto]],Imput[[C. Imp.]:[C. Imp.]],$D816,Imput[[PERIODO Imp.]:[PERIODO Imp.]],DA$9)</f>
        <v>0</v>
      </c>
      <c r="DB816" s="693">
        <f>SUMIFS(Imput[[Importe Neto]:[Importe Neto]],Imput[[C. Imp.]:[C. Imp.]],$D816,Imput[[PERIODO Imp.]:[PERIODO Imp.]],DB$9)</f>
        <v>0</v>
      </c>
      <c r="DC816" s="693">
        <f>SUMIFS(Imput[[Importe Neto]:[Importe Neto]],Imput[[C. Imp.]:[C. Imp.]],$D816,Imput[[PERIODO Imp.]:[PERIODO Imp.]],DC$9)</f>
        <v>0</v>
      </c>
      <c r="DD816" s="693">
        <f>SUMIFS(Imput[[Importe Neto]:[Importe Neto]],Imput[[C. Imp.]:[C. Imp.]],$D816,Imput[[PERIODO Imp.]:[PERIODO Imp.]],DD$9)</f>
        <v>0</v>
      </c>
      <c r="DE816" s="693">
        <f>SUMIFS(Imput[[Importe Neto]:[Importe Neto]],Imput[[C. Imp.]:[C. Imp.]],$D816,Imput[[PERIODO Imp.]:[PERIODO Imp.]],DE$9)</f>
        <v>0</v>
      </c>
      <c r="DF816" s="693">
        <f>SUMIFS(Imput[[Importe Neto]:[Importe Neto]],Imput[[C. Imp.]:[C. Imp.]],$D816,Imput[[PERIODO Imp.]:[PERIODO Imp.]],DF$9)</f>
        <v>0</v>
      </c>
      <c r="DG816" s="693">
        <f>SUMIFS(Imput[[Importe Neto]:[Importe Neto]],Imput[[C. Imp.]:[C. Imp.]],$D816,Imput[[PERIODO Imp.]:[PERIODO Imp.]],DG$9)</f>
        <v>0</v>
      </c>
      <c r="DH816" s="694">
        <f>SUMIFS(Imput[[Importe Neto]:[Importe Neto]],Imput[[C. Imp.]:[C. Imp.]],$D816,Imput[[PERIODO Imp.]:[PERIODO Imp.]],DH$9)</f>
        <v>0</v>
      </c>
    </row>
    <row r="817" spans="1:112" s="649" customFormat="1" hidden="1" outlineLevel="1" x14ac:dyDescent="0.3">
      <c r="A817" s="652" t="str">
        <f t="shared" si="280"/>
        <v/>
      </c>
      <c r="B817" s="652"/>
      <c r="C817" s="685"/>
      <c r="D817" s="686" t="s">
        <v>2797</v>
      </c>
      <c r="E817" s="686"/>
      <c r="F817" s="720"/>
      <c r="G817" s="688"/>
      <c r="H817" s="689"/>
      <c r="I817" s="851" t="str">
        <f t="shared" si="285"/>
        <v/>
      </c>
      <c r="J817" s="850" t="str">
        <f t="shared" si="282"/>
        <v/>
      </c>
      <c r="K817" s="678"/>
      <c r="L817" s="858"/>
      <c r="M817" s="859"/>
      <c r="N817" s="859"/>
      <c r="O817" s="859"/>
      <c r="P817" s="859"/>
      <c r="Q817" s="859"/>
      <c r="R817" s="859"/>
      <c r="S817" s="859"/>
      <c r="T817" s="859"/>
      <c r="U817" s="859"/>
      <c r="V817" s="859"/>
      <c r="W817" s="859"/>
      <c r="X817" s="859"/>
      <c r="Y817" s="859"/>
      <c r="Z817" s="860"/>
      <c r="AA817" s="860"/>
      <c r="AB817" s="860"/>
      <c r="AC817" s="860"/>
      <c r="AD817" s="860"/>
      <c r="AE817" s="860"/>
      <c r="AF817" s="860"/>
      <c r="AG817" s="860"/>
      <c r="AH817" s="860"/>
      <c r="AI817" s="860"/>
      <c r="AJ817" s="860"/>
      <c r="AK817" s="860"/>
      <c r="AL817" s="860"/>
      <c r="AM817" s="860"/>
      <c r="AN817" s="860"/>
      <c r="AO817" s="860"/>
      <c r="AP817" s="860"/>
      <c r="AQ817" s="860"/>
      <c r="AR817" s="860"/>
      <c r="AS817" s="860"/>
      <c r="AT817" s="860"/>
      <c r="AU817" s="860"/>
      <c r="AV817" s="860"/>
      <c r="AW817" s="860"/>
      <c r="AX817" s="860"/>
      <c r="AY817" s="860"/>
      <c r="AZ817" s="860"/>
      <c r="BA817" s="860"/>
      <c r="BB817" s="860"/>
      <c r="BC817" s="860"/>
      <c r="BD817" s="860"/>
      <c r="BE817" s="860"/>
      <c r="BF817" s="860"/>
      <c r="BG817" s="860"/>
      <c r="BH817" s="668"/>
      <c r="BI817" s="654"/>
      <c r="BJ817" s="690">
        <f t="shared" si="286"/>
        <v>0</v>
      </c>
      <c r="BK817" s="691">
        <f t="shared" si="287"/>
        <v>0</v>
      </c>
      <c r="BL817" s="654"/>
      <c r="BM817" s="692">
        <f>SUMIFS(Imput[[Importe Neto]:[Importe Neto]],Imput[[C. Imp.]:[C. Imp.]],$D817,Imput[[PERIODO Imp.]:[PERIODO Imp.]],BM$9)</f>
        <v>0</v>
      </c>
      <c r="BN817" s="693">
        <f>SUMIFS(Imput[[Importe Neto]:[Importe Neto]],Imput[[C. Imp.]:[C. Imp.]],$D817,Imput[[PERIODO Imp.]:[PERIODO Imp.]],BN$9)</f>
        <v>0</v>
      </c>
      <c r="BO817" s="693">
        <f>SUMIFS(Imput[[Importe Neto]:[Importe Neto]],Imput[[C. Imp.]:[C. Imp.]],$D817,Imput[[PERIODO Imp.]:[PERIODO Imp.]],BO$9)</f>
        <v>0</v>
      </c>
      <c r="BP817" s="693">
        <f>SUMIFS(Imput[[Importe Neto]:[Importe Neto]],Imput[[C. Imp.]:[C. Imp.]],$D817,Imput[[PERIODO Imp.]:[PERIODO Imp.]],BP$9)</f>
        <v>0</v>
      </c>
      <c r="BQ817" s="693">
        <f>SUMIFS(Imput[[Importe Neto]:[Importe Neto]],Imput[[C. Imp.]:[C. Imp.]],$D817,Imput[[PERIODO Imp.]:[PERIODO Imp.]],BQ$9)</f>
        <v>0</v>
      </c>
      <c r="BR817" s="693">
        <f>SUMIFS(Imput[[Importe Neto]:[Importe Neto]],Imput[[C. Imp.]:[C. Imp.]],$D817,Imput[[PERIODO Imp.]:[PERIODO Imp.]],BR$9)</f>
        <v>0</v>
      </c>
      <c r="BS817" s="693">
        <f>SUMIFS(Imput[[Importe Neto]:[Importe Neto]],Imput[[C. Imp.]:[C. Imp.]],$D817,Imput[[PERIODO Imp.]:[PERIODO Imp.]],BS$9)</f>
        <v>0</v>
      </c>
      <c r="BT817" s="693">
        <f>SUMIFS(Imput[[Importe Neto]:[Importe Neto]],Imput[[C. Imp.]:[C. Imp.]],$D817,Imput[[PERIODO Imp.]:[PERIODO Imp.]],BT$9)</f>
        <v>0</v>
      </c>
      <c r="BU817" s="693">
        <f>SUMIFS(Imput[[Importe Neto]:[Importe Neto]],Imput[[C. Imp.]:[C. Imp.]],$D817,Imput[[PERIODO Imp.]:[PERIODO Imp.]],BU$9)</f>
        <v>0</v>
      </c>
      <c r="BV817" s="693">
        <f>SUMIFS(Imput[[Importe Neto]:[Importe Neto]],Imput[[C. Imp.]:[C. Imp.]],$D817,Imput[[PERIODO Imp.]:[PERIODO Imp.]],BV$9)</f>
        <v>0</v>
      </c>
      <c r="BW817" s="693">
        <f>SUMIFS(Imput[[Importe Neto]:[Importe Neto]],Imput[[C. Imp.]:[C. Imp.]],$D817,Imput[[PERIODO Imp.]:[PERIODO Imp.]],BW$9)</f>
        <v>0</v>
      </c>
      <c r="BX817" s="693">
        <f>SUMIFS(Imput[[Importe Neto]:[Importe Neto]],Imput[[C. Imp.]:[C. Imp.]],$D817,Imput[[PERIODO Imp.]:[PERIODO Imp.]],BX$9)</f>
        <v>0</v>
      </c>
      <c r="BY817" s="693">
        <f>SUMIFS(Imput[[Importe Neto]:[Importe Neto]],Imput[[C. Imp.]:[C. Imp.]],$D817,Imput[[PERIODO Imp.]:[PERIODO Imp.]],BY$9)</f>
        <v>0</v>
      </c>
      <c r="BZ817" s="693">
        <f>SUMIFS(Imput[[Importe Neto]:[Importe Neto]],Imput[[C. Imp.]:[C. Imp.]],$D817,Imput[[PERIODO Imp.]:[PERIODO Imp.]],BZ$9)</f>
        <v>0</v>
      </c>
      <c r="CA817" s="693">
        <f>SUMIFS(Imput[[Importe Neto]:[Importe Neto]],Imput[[C. Imp.]:[C. Imp.]],$D817,Imput[[PERIODO Imp.]:[PERIODO Imp.]],CA$9)</f>
        <v>0</v>
      </c>
      <c r="CB817" s="693">
        <f>SUMIFS(Imput[[Importe Neto]:[Importe Neto]],Imput[[C. Imp.]:[C. Imp.]],$D817,Imput[[PERIODO Imp.]:[PERIODO Imp.]],CB$9)</f>
        <v>0</v>
      </c>
      <c r="CC817" s="693">
        <f>SUMIFS(Imput[[Importe Neto]:[Importe Neto]],Imput[[C. Imp.]:[C. Imp.]],$D817,Imput[[PERIODO Imp.]:[PERIODO Imp.]],CC$9)</f>
        <v>0</v>
      </c>
      <c r="CD817" s="693">
        <f>SUMIFS(Imput[[Importe Neto]:[Importe Neto]],Imput[[C. Imp.]:[C. Imp.]],$D817,Imput[[PERIODO Imp.]:[PERIODO Imp.]],CD$9)</f>
        <v>0</v>
      </c>
      <c r="CE817" s="693">
        <f>SUMIFS(Imput[[Importe Neto]:[Importe Neto]],Imput[[C. Imp.]:[C. Imp.]],$D817,Imput[[PERIODO Imp.]:[PERIODO Imp.]],CE$9)</f>
        <v>0</v>
      </c>
      <c r="CF817" s="693">
        <f>SUMIFS(Imput[[Importe Neto]:[Importe Neto]],Imput[[C. Imp.]:[C. Imp.]],$D817,Imput[[PERIODO Imp.]:[PERIODO Imp.]],CF$9)</f>
        <v>0</v>
      </c>
      <c r="CG817" s="693">
        <f>SUMIFS(Imput[[Importe Neto]:[Importe Neto]],Imput[[C. Imp.]:[C. Imp.]],$D817,Imput[[PERIODO Imp.]:[PERIODO Imp.]],CG$9)</f>
        <v>0</v>
      </c>
      <c r="CH817" s="693">
        <f>SUMIFS(Imput[[Importe Neto]:[Importe Neto]],Imput[[C. Imp.]:[C. Imp.]],$D817,Imput[[PERIODO Imp.]:[PERIODO Imp.]],CH$9)</f>
        <v>0</v>
      </c>
      <c r="CI817" s="693">
        <f>SUMIFS(Imput[[Importe Neto]:[Importe Neto]],Imput[[C. Imp.]:[C. Imp.]],$D817,Imput[[PERIODO Imp.]:[PERIODO Imp.]],CI$9)</f>
        <v>0</v>
      </c>
      <c r="CJ817" s="693">
        <f>SUMIFS(Imput[[Importe Neto]:[Importe Neto]],Imput[[C. Imp.]:[C. Imp.]],$D817,Imput[[PERIODO Imp.]:[PERIODO Imp.]],CJ$9)</f>
        <v>0</v>
      </c>
      <c r="CK817" s="693">
        <f>SUMIFS(Imput[[Importe Neto]:[Importe Neto]],Imput[[C. Imp.]:[C. Imp.]],$D817,Imput[[PERIODO Imp.]:[PERIODO Imp.]],CK$9)</f>
        <v>0</v>
      </c>
      <c r="CL817" s="693">
        <f>SUMIFS(Imput[[Importe Neto]:[Importe Neto]],Imput[[C. Imp.]:[C. Imp.]],$D817,Imput[[PERIODO Imp.]:[PERIODO Imp.]],CL$9)</f>
        <v>0</v>
      </c>
      <c r="CM817" s="693">
        <f>SUMIFS(Imput[[Importe Neto]:[Importe Neto]],Imput[[C. Imp.]:[C. Imp.]],$D817,Imput[[PERIODO Imp.]:[PERIODO Imp.]],CM$9)</f>
        <v>0</v>
      </c>
      <c r="CN817" s="693">
        <f>SUMIFS(Imput[[Importe Neto]:[Importe Neto]],Imput[[C. Imp.]:[C. Imp.]],$D817,Imput[[PERIODO Imp.]:[PERIODO Imp.]],CN$9)</f>
        <v>0</v>
      </c>
      <c r="CO817" s="693">
        <f>SUMIFS(Imput[[Importe Neto]:[Importe Neto]],Imput[[C. Imp.]:[C. Imp.]],$D817,Imput[[PERIODO Imp.]:[PERIODO Imp.]],CO$9)</f>
        <v>0</v>
      </c>
      <c r="CP817" s="693">
        <f>SUMIFS(Imput[[Importe Neto]:[Importe Neto]],Imput[[C. Imp.]:[C. Imp.]],$D817,Imput[[PERIODO Imp.]:[PERIODO Imp.]],CP$9)</f>
        <v>0</v>
      </c>
      <c r="CQ817" s="693">
        <f>SUMIFS(Imput[[Importe Neto]:[Importe Neto]],Imput[[C. Imp.]:[C. Imp.]],$D817,Imput[[PERIODO Imp.]:[PERIODO Imp.]],CQ$9)</f>
        <v>0</v>
      </c>
      <c r="CR817" s="693">
        <f>SUMIFS(Imput[[Importe Neto]:[Importe Neto]],Imput[[C. Imp.]:[C. Imp.]],$D817,Imput[[PERIODO Imp.]:[PERIODO Imp.]],CR$9)</f>
        <v>0</v>
      </c>
      <c r="CS817" s="693">
        <f>SUMIFS(Imput[[Importe Neto]:[Importe Neto]],Imput[[C. Imp.]:[C. Imp.]],$D817,Imput[[PERIODO Imp.]:[PERIODO Imp.]],CS$9)</f>
        <v>0</v>
      </c>
      <c r="CT817" s="693">
        <f>SUMIFS(Imput[[Importe Neto]:[Importe Neto]],Imput[[C. Imp.]:[C. Imp.]],$D817,Imput[[PERIODO Imp.]:[PERIODO Imp.]],CT$9)</f>
        <v>0</v>
      </c>
      <c r="CU817" s="693">
        <f>SUMIFS(Imput[[Importe Neto]:[Importe Neto]],Imput[[C. Imp.]:[C. Imp.]],$D817,Imput[[PERIODO Imp.]:[PERIODO Imp.]],CU$9)</f>
        <v>0</v>
      </c>
      <c r="CV817" s="693">
        <f>SUMIFS(Imput[[Importe Neto]:[Importe Neto]],Imput[[C. Imp.]:[C. Imp.]],$D817,Imput[[PERIODO Imp.]:[PERIODO Imp.]],CV$9)</f>
        <v>0</v>
      </c>
      <c r="CW817" s="693">
        <f>SUMIFS(Imput[[Importe Neto]:[Importe Neto]],Imput[[C. Imp.]:[C. Imp.]],$D817,Imput[[PERIODO Imp.]:[PERIODO Imp.]],CW$9)</f>
        <v>0</v>
      </c>
      <c r="CX817" s="693">
        <f>SUMIFS(Imput[[Importe Neto]:[Importe Neto]],Imput[[C. Imp.]:[C. Imp.]],$D817,Imput[[PERIODO Imp.]:[PERIODO Imp.]],CX$9)</f>
        <v>0</v>
      </c>
      <c r="CY817" s="693">
        <f>SUMIFS(Imput[[Importe Neto]:[Importe Neto]],Imput[[C. Imp.]:[C. Imp.]],$D817,Imput[[PERIODO Imp.]:[PERIODO Imp.]],CY$9)</f>
        <v>0</v>
      </c>
      <c r="CZ817" s="693">
        <f>SUMIFS(Imput[[Importe Neto]:[Importe Neto]],Imput[[C. Imp.]:[C. Imp.]],$D817,Imput[[PERIODO Imp.]:[PERIODO Imp.]],CZ$9)</f>
        <v>0</v>
      </c>
      <c r="DA817" s="693">
        <f>SUMIFS(Imput[[Importe Neto]:[Importe Neto]],Imput[[C. Imp.]:[C. Imp.]],$D817,Imput[[PERIODO Imp.]:[PERIODO Imp.]],DA$9)</f>
        <v>0</v>
      </c>
      <c r="DB817" s="693">
        <f>SUMIFS(Imput[[Importe Neto]:[Importe Neto]],Imput[[C. Imp.]:[C. Imp.]],$D817,Imput[[PERIODO Imp.]:[PERIODO Imp.]],DB$9)</f>
        <v>0</v>
      </c>
      <c r="DC817" s="693">
        <f>SUMIFS(Imput[[Importe Neto]:[Importe Neto]],Imput[[C. Imp.]:[C. Imp.]],$D817,Imput[[PERIODO Imp.]:[PERIODO Imp.]],DC$9)</f>
        <v>0</v>
      </c>
      <c r="DD817" s="693">
        <f>SUMIFS(Imput[[Importe Neto]:[Importe Neto]],Imput[[C. Imp.]:[C. Imp.]],$D817,Imput[[PERIODO Imp.]:[PERIODO Imp.]],DD$9)</f>
        <v>0</v>
      </c>
      <c r="DE817" s="693">
        <f>SUMIFS(Imput[[Importe Neto]:[Importe Neto]],Imput[[C. Imp.]:[C. Imp.]],$D817,Imput[[PERIODO Imp.]:[PERIODO Imp.]],DE$9)</f>
        <v>0</v>
      </c>
      <c r="DF817" s="693">
        <f>SUMIFS(Imput[[Importe Neto]:[Importe Neto]],Imput[[C. Imp.]:[C. Imp.]],$D817,Imput[[PERIODO Imp.]:[PERIODO Imp.]],DF$9)</f>
        <v>0</v>
      </c>
      <c r="DG817" s="693">
        <f>SUMIFS(Imput[[Importe Neto]:[Importe Neto]],Imput[[C. Imp.]:[C. Imp.]],$D817,Imput[[PERIODO Imp.]:[PERIODO Imp.]],DG$9)</f>
        <v>0</v>
      </c>
      <c r="DH817" s="694">
        <f>SUMIFS(Imput[[Importe Neto]:[Importe Neto]],Imput[[C. Imp.]:[C. Imp.]],$D817,Imput[[PERIODO Imp.]:[PERIODO Imp.]],DH$9)</f>
        <v>0</v>
      </c>
    </row>
    <row r="818" spans="1:112" s="649" customFormat="1" hidden="1" outlineLevel="1" x14ac:dyDescent="0.3">
      <c r="A818" s="652" t="str">
        <f t="shared" si="280"/>
        <v/>
      </c>
      <c r="B818" s="652"/>
      <c r="C818" s="685"/>
      <c r="D818" s="686" t="s">
        <v>2798</v>
      </c>
      <c r="E818" s="728"/>
      <c r="F818" s="720"/>
      <c r="G818" s="688"/>
      <c r="H818" s="689"/>
      <c r="I818" s="851" t="str">
        <f t="shared" si="285"/>
        <v/>
      </c>
      <c r="J818" s="850" t="str">
        <f t="shared" si="282"/>
        <v/>
      </c>
      <c r="K818" s="667"/>
      <c r="L818" s="858"/>
      <c r="M818" s="859"/>
      <c r="N818" s="859"/>
      <c r="O818" s="859"/>
      <c r="P818" s="859"/>
      <c r="Q818" s="859"/>
      <c r="R818" s="859"/>
      <c r="S818" s="859"/>
      <c r="T818" s="859"/>
      <c r="U818" s="859"/>
      <c r="V818" s="859"/>
      <c r="W818" s="859"/>
      <c r="X818" s="859"/>
      <c r="Y818" s="859"/>
      <c r="Z818" s="860"/>
      <c r="AA818" s="860"/>
      <c r="AB818" s="860"/>
      <c r="AC818" s="860"/>
      <c r="AD818" s="860"/>
      <c r="AE818" s="860"/>
      <c r="AF818" s="860"/>
      <c r="AG818" s="860"/>
      <c r="AH818" s="860"/>
      <c r="AI818" s="860"/>
      <c r="AJ818" s="860"/>
      <c r="AK818" s="860"/>
      <c r="AL818" s="860"/>
      <c r="AM818" s="860"/>
      <c r="AN818" s="860"/>
      <c r="AO818" s="860"/>
      <c r="AP818" s="860"/>
      <c r="AQ818" s="860"/>
      <c r="AR818" s="860"/>
      <c r="AS818" s="860"/>
      <c r="AT818" s="860"/>
      <c r="AU818" s="860"/>
      <c r="AV818" s="860"/>
      <c r="AW818" s="860"/>
      <c r="AX818" s="860"/>
      <c r="AY818" s="860"/>
      <c r="AZ818" s="860"/>
      <c r="BA818" s="860"/>
      <c r="BB818" s="860"/>
      <c r="BC818" s="860"/>
      <c r="BD818" s="860"/>
      <c r="BE818" s="860"/>
      <c r="BF818" s="860"/>
      <c r="BG818" s="860"/>
      <c r="BH818" s="668"/>
      <c r="BI818" s="667"/>
      <c r="BJ818" s="690">
        <f t="shared" si="286"/>
        <v>0</v>
      </c>
      <c r="BK818" s="691">
        <f t="shared" si="287"/>
        <v>0</v>
      </c>
      <c r="BL818" s="654"/>
      <c r="BM818" s="692">
        <f>SUMIFS(Imput[[Importe Neto]:[Importe Neto]],Imput[[C. Imp.]:[C. Imp.]],$D818,Imput[[PERIODO Imp.]:[PERIODO Imp.]],BM$9)</f>
        <v>0</v>
      </c>
      <c r="BN818" s="693">
        <f>SUMIFS(Imput[[Importe Neto]:[Importe Neto]],Imput[[C. Imp.]:[C. Imp.]],$D818,Imput[[PERIODO Imp.]:[PERIODO Imp.]],BN$9)</f>
        <v>0</v>
      </c>
      <c r="BO818" s="693">
        <f>SUMIFS(Imput[[Importe Neto]:[Importe Neto]],Imput[[C. Imp.]:[C. Imp.]],$D818,Imput[[PERIODO Imp.]:[PERIODO Imp.]],BO$9)</f>
        <v>0</v>
      </c>
      <c r="BP818" s="693">
        <f>SUMIFS(Imput[[Importe Neto]:[Importe Neto]],Imput[[C. Imp.]:[C. Imp.]],$D818,Imput[[PERIODO Imp.]:[PERIODO Imp.]],BP$9)</f>
        <v>0</v>
      </c>
      <c r="BQ818" s="693">
        <f>SUMIFS(Imput[[Importe Neto]:[Importe Neto]],Imput[[C. Imp.]:[C. Imp.]],$D818,Imput[[PERIODO Imp.]:[PERIODO Imp.]],BQ$9)</f>
        <v>0</v>
      </c>
      <c r="BR818" s="693">
        <f>SUMIFS(Imput[[Importe Neto]:[Importe Neto]],Imput[[C. Imp.]:[C. Imp.]],$D818,Imput[[PERIODO Imp.]:[PERIODO Imp.]],BR$9)</f>
        <v>0</v>
      </c>
      <c r="BS818" s="693">
        <f>SUMIFS(Imput[[Importe Neto]:[Importe Neto]],Imput[[C. Imp.]:[C. Imp.]],$D818,Imput[[PERIODO Imp.]:[PERIODO Imp.]],BS$9)</f>
        <v>0</v>
      </c>
      <c r="BT818" s="693">
        <f>SUMIFS(Imput[[Importe Neto]:[Importe Neto]],Imput[[C. Imp.]:[C. Imp.]],$D818,Imput[[PERIODO Imp.]:[PERIODO Imp.]],BT$9)</f>
        <v>0</v>
      </c>
      <c r="BU818" s="693">
        <f>SUMIFS(Imput[[Importe Neto]:[Importe Neto]],Imput[[C. Imp.]:[C. Imp.]],$D818,Imput[[PERIODO Imp.]:[PERIODO Imp.]],BU$9)</f>
        <v>0</v>
      </c>
      <c r="BV818" s="693">
        <f>SUMIFS(Imput[[Importe Neto]:[Importe Neto]],Imput[[C. Imp.]:[C. Imp.]],$D818,Imput[[PERIODO Imp.]:[PERIODO Imp.]],BV$9)</f>
        <v>0</v>
      </c>
      <c r="BW818" s="693">
        <f>SUMIFS(Imput[[Importe Neto]:[Importe Neto]],Imput[[C. Imp.]:[C. Imp.]],$D818,Imput[[PERIODO Imp.]:[PERIODO Imp.]],BW$9)</f>
        <v>0</v>
      </c>
      <c r="BX818" s="693">
        <f>SUMIFS(Imput[[Importe Neto]:[Importe Neto]],Imput[[C. Imp.]:[C. Imp.]],$D818,Imput[[PERIODO Imp.]:[PERIODO Imp.]],BX$9)</f>
        <v>0</v>
      </c>
      <c r="BY818" s="693">
        <f>SUMIFS(Imput[[Importe Neto]:[Importe Neto]],Imput[[C. Imp.]:[C. Imp.]],$D818,Imput[[PERIODO Imp.]:[PERIODO Imp.]],BY$9)</f>
        <v>0</v>
      </c>
      <c r="BZ818" s="693">
        <f>SUMIFS(Imput[[Importe Neto]:[Importe Neto]],Imput[[C. Imp.]:[C. Imp.]],$D818,Imput[[PERIODO Imp.]:[PERIODO Imp.]],BZ$9)</f>
        <v>0</v>
      </c>
      <c r="CA818" s="693">
        <f>SUMIFS(Imput[[Importe Neto]:[Importe Neto]],Imput[[C. Imp.]:[C. Imp.]],$D818,Imput[[PERIODO Imp.]:[PERIODO Imp.]],CA$9)</f>
        <v>0</v>
      </c>
      <c r="CB818" s="693">
        <f>SUMIFS(Imput[[Importe Neto]:[Importe Neto]],Imput[[C. Imp.]:[C. Imp.]],$D818,Imput[[PERIODO Imp.]:[PERIODO Imp.]],CB$9)</f>
        <v>0</v>
      </c>
      <c r="CC818" s="693">
        <f>SUMIFS(Imput[[Importe Neto]:[Importe Neto]],Imput[[C. Imp.]:[C. Imp.]],$D818,Imput[[PERIODO Imp.]:[PERIODO Imp.]],CC$9)</f>
        <v>0</v>
      </c>
      <c r="CD818" s="693">
        <f>SUMIFS(Imput[[Importe Neto]:[Importe Neto]],Imput[[C. Imp.]:[C. Imp.]],$D818,Imput[[PERIODO Imp.]:[PERIODO Imp.]],CD$9)</f>
        <v>0</v>
      </c>
      <c r="CE818" s="693">
        <f>SUMIFS(Imput[[Importe Neto]:[Importe Neto]],Imput[[C. Imp.]:[C. Imp.]],$D818,Imput[[PERIODO Imp.]:[PERIODO Imp.]],CE$9)</f>
        <v>0</v>
      </c>
      <c r="CF818" s="693">
        <f>SUMIFS(Imput[[Importe Neto]:[Importe Neto]],Imput[[C. Imp.]:[C. Imp.]],$D818,Imput[[PERIODO Imp.]:[PERIODO Imp.]],CF$9)</f>
        <v>0</v>
      </c>
      <c r="CG818" s="693">
        <f>SUMIFS(Imput[[Importe Neto]:[Importe Neto]],Imput[[C. Imp.]:[C. Imp.]],$D818,Imput[[PERIODO Imp.]:[PERIODO Imp.]],CG$9)</f>
        <v>0</v>
      </c>
      <c r="CH818" s="693">
        <f>SUMIFS(Imput[[Importe Neto]:[Importe Neto]],Imput[[C. Imp.]:[C. Imp.]],$D818,Imput[[PERIODO Imp.]:[PERIODO Imp.]],CH$9)</f>
        <v>0</v>
      </c>
      <c r="CI818" s="693">
        <f>SUMIFS(Imput[[Importe Neto]:[Importe Neto]],Imput[[C. Imp.]:[C. Imp.]],$D818,Imput[[PERIODO Imp.]:[PERIODO Imp.]],CI$9)</f>
        <v>0</v>
      </c>
      <c r="CJ818" s="693">
        <f>SUMIFS(Imput[[Importe Neto]:[Importe Neto]],Imput[[C. Imp.]:[C. Imp.]],$D818,Imput[[PERIODO Imp.]:[PERIODO Imp.]],CJ$9)</f>
        <v>0</v>
      </c>
      <c r="CK818" s="693">
        <f>SUMIFS(Imput[[Importe Neto]:[Importe Neto]],Imput[[C. Imp.]:[C. Imp.]],$D818,Imput[[PERIODO Imp.]:[PERIODO Imp.]],CK$9)</f>
        <v>0</v>
      </c>
      <c r="CL818" s="693">
        <f>SUMIFS(Imput[[Importe Neto]:[Importe Neto]],Imput[[C. Imp.]:[C. Imp.]],$D818,Imput[[PERIODO Imp.]:[PERIODO Imp.]],CL$9)</f>
        <v>0</v>
      </c>
      <c r="CM818" s="693">
        <f>SUMIFS(Imput[[Importe Neto]:[Importe Neto]],Imput[[C. Imp.]:[C. Imp.]],$D818,Imput[[PERIODO Imp.]:[PERIODO Imp.]],CM$9)</f>
        <v>0</v>
      </c>
      <c r="CN818" s="693">
        <f>SUMIFS(Imput[[Importe Neto]:[Importe Neto]],Imput[[C. Imp.]:[C. Imp.]],$D818,Imput[[PERIODO Imp.]:[PERIODO Imp.]],CN$9)</f>
        <v>0</v>
      </c>
      <c r="CO818" s="693">
        <f>SUMIFS(Imput[[Importe Neto]:[Importe Neto]],Imput[[C. Imp.]:[C. Imp.]],$D818,Imput[[PERIODO Imp.]:[PERIODO Imp.]],CO$9)</f>
        <v>0</v>
      </c>
      <c r="CP818" s="693">
        <f>SUMIFS(Imput[[Importe Neto]:[Importe Neto]],Imput[[C. Imp.]:[C. Imp.]],$D818,Imput[[PERIODO Imp.]:[PERIODO Imp.]],CP$9)</f>
        <v>0</v>
      </c>
      <c r="CQ818" s="693">
        <f>SUMIFS(Imput[[Importe Neto]:[Importe Neto]],Imput[[C. Imp.]:[C. Imp.]],$D818,Imput[[PERIODO Imp.]:[PERIODO Imp.]],CQ$9)</f>
        <v>0</v>
      </c>
      <c r="CR818" s="693">
        <f>SUMIFS(Imput[[Importe Neto]:[Importe Neto]],Imput[[C. Imp.]:[C. Imp.]],$D818,Imput[[PERIODO Imp.]:[PERIODO Imp.]],CR$9)</f>
        <v>0</v>
      </c>
      <c r="CS818" s="693">
        <f>SUMIFS(Imput[[Importe Neto]:[Importe Neto]],Imput[[C. Imp.]:[C. Imp.]],$D818,Imput[[PERIODO Imp.]:[PERIODO Imp.]],CS$9)</f>
        <v>0</v>
      </c>
      <c r="CT818" s="693">
        <f>SUMIFS(Imput[[Importe Neto]:[Importe Neto]],Imput[[C. Imp.]:[C. Imp.]],$D818,Imput[[PERIODO Imp.]:[PERIODO Imp.]],CT$9)</f>
        <v>0</v>
      </c>
      <c r="CU818" s="693">
        <f>SUMIFS(Imput[[Importe Neto]:[Importe Neto]],Imput[[C. Imp.]:[C. Imp.]],$D818,Imput[[PERIODO Imp.]:[PERIODO Imp.]],CU$9)</f>
        <v>0</v>
      </c>
      <c r="CV818" s="693">
        <f>SUMIFS(Imput[[Importe Neto]:[Importe Neto]],Imput[[C. Imp.]:[C. Imp.]],$D818,Imput[[PERIODO Imp.]:[PERIODO Imp.]],CV$9)</f>
        <v>0</v>
      </c>
      <c r="CW818" s="693">
        <f>SUMIFS(Imput[[Importe Neto]:[Importe Neto]],Imput[[C. Imp.]:[C. Imp.]],$D818,Imput[[PERIODO Imp.]:[PERIODO Imp.]],CW$9)</f>
        <v>0</v>
      </c>
      <c r="CX818" s="693">
        <f>SUMIFS(Imput[[Importe Neto]:[Importe Neto]],Imput[[C. Imp.]:[C. Imp.]],$D818,Imput[[PERIODO Imp.]:[PERIODO Imp.]],CX$9)</f>
        <v>0</v>
      </c>
      <c r="CY818" s="693">
        <f>SUMIFS(Imput[[Importe Neto]:[Importe Neto]],Imput[[C. Imp.]:[C. Imp.]],$D818,Imput[[PERIODO Imp.]:[PERIODO Imp.]],CY$9)</f>
        <v>0</v>
      </c>
      <c r="CZ818" s="693">
        <f>SUMIFS(Imput[[Importe Neto]:[Importe Neto]],Imput[[C. Imp.]:[C. Imp.]],$D818,Imput[[PERIODO Imp.]:[PERIODO Imp.]],CZ$9)</f>
        <v>0</v>
      </c>
      <c r="DA818" s="693">
        <f>SUMIFS(Imput[[Importe Neto]:[Importe Neto]],Imput[[C. Imp.]:[C. Imp.]],$D818,Imput[[PERIODO Imp.]:[PERIODO Imp.]],DA$9)</f>
        <v>0</v>
      </c>
      <c r="DB818" s="693">
        <f>SUMIFS(Imput[[Importe Neto]:[Importe Neto]],Imput[[C. Imp.]:[C. Imp.]],$D818,Imput[[PERIODO Imp.]:[PERIODO Imp.]],DB$9)</f>
        <v>0</v>
      </c>
      <c r="DC818" s="693">
        <f>SUMIFS(Imput[[Importe Neto]:[Importe Neto]],Imput[[C. Imp.]:[C. Imp.]],$D818,Imput[[PERIODO Imp.]:[PERIODO Imp.]],DC$9)</f>
        <v>0</v>
      </c>
      <c r="DD818" s="693">
        <f>SUMIFS(Imput[[Importe Neto]:[Importe Neto]],Imput[[C. Imp.]:[C. Imp.]],$D818,Imput[[PERIODO Imp.]:[PERIODO Imp.]],DD$9)</f>
        <v>0</v>
      </c>
      <c r="DE818" s="693">
        <f>SUMIFS(Imput[[Importe Neto]:[Importe Neto]],Imput[[C. Imp.]:[C. Imp.]],$D818,Imput[[PERIODO Imp.]:[PERIODO Imp.]],DE$9)</f>
        <v>0</v>
      </c>
      <c r="DF818" s="693">
        <f>SUMIFS(Imput[[Importe Neto]:[Importe Neto]],Imput[[C. Imp.]:[C. Imp.]],$D818,Imput[[PERIODO Imp.]:[PERIODO Imp.]],DF$9)</f>
        <v>0</v>
      </c>
      <c r="DG818" s="693">
        <f>SUMIFS(Imput[[Importe Neto]:[Importe Neto]],Imput[[C. Imp.]:[C. Imp.]],$D818,Imput[[PERIODO Imp.]:[PERIODO Imp.]],DG$9)</f>
        <v>0</v>
      </c>
      <c r="DH818" s="694">
        <f>SUMIFS(Imput[[Importe Neto]:[Importe Neto]],Imput[[C. Imp.]:[C. Imp.]],$D818,Imput[[PERIODO Imp.]:[PERIODO Imp.]],DH$9)</f>
        <v>0</v>
      </c>
    </row>
    <row r="819" spans="1:112" s="649" customFormat="1" hidden="1" outlineLevel="1" x14ac:dyDescent="0.3">
      <c r="A819" s="652" t="str">
        <f t="shared" si="280"/>
        <v/>
      </c>
      <c r="B819" s="652"/>
      <c r="C819" s="685"/>
      <c r="D819" s="686" t="s">
        <v>2799</v>
      </c>
      <c r="E819" s="728"/>
      <c r="F819" s="720"/>
      <c r="G819" s="688"/>
      <c r="H819" s="689"/>
      <c r="I819" s="851" t="str">
        <f t="shared" si="285"/>
        <v/>
      </c>
      <c r="J819" s="850" t="str">
        <f t="shared" si="282"/>
        <v/>
      </c>
      <c r="K819" s="667"/>
      <c r="L819" s="858"/>
      <c r="M819" s="859"/>
      <c r="N819" s="859"/>
      <c r="O819" s="859"/>
      <c r="P819" s="859"/>
      <c r="Q819" s="859"/>
      <c r="R819" s="859"/>
      <c r="S819" s="859"/>
      <c r="T819" s="859"/>
      <c r="U819" s="859"/>
      <c r="V819" s="859"/>
      <c r="W819" s="859"/>
      <c r="X819" s="859"/>
      <c r="Y819" s="859"/>
      <c r="Z819" s="860"/>
      <c r="AA819" s="860"/>
      <c r="AB819" s="860"/>
      <c r="AC819" s="860"/>
      <c r="AD819" s="860"/>
      <c r="AE819" s="860"/>
      <c r="AF819" s="860"/>
      <c r="AG819" s="860"/>
      <c r="AH819" s="860"/>
      <c r="AI819" s="860"/>
      <c r="AJ819" s="860"/>
      <c r="AK819" s="860"/>
      <c r="AL819" s="860"/>
      <c r="AM819" s="860"/>
      <c r="AN819" s="860"/>
      <c r="AO819" s="860"/>
      <c r="AP819" s="860"/>
      <c r="AQ819" s="860"/>
      <c r="AR819" s="860"/>
      <c r="AS819" s="860"/>
      <c r="AT819" s="860"/>
      <c r="AU819" s="860"/>
      <c r="AV819" s="860"/>
      <c r="AW819" s="860"/>
      <c r="AX819" s="860"/>
      <c r="AY819" s="860"/>
      <c r="AZ819" s="860"/>
      <c r="BA819" s="860"/>
      <c r="BB819" s="860"/>
      <c r="BC819" s="860"/>
      <c r="BD819" s="860"/>
      <c r="BE819" s="860"/>
      <c r="BF819" s="860"/>
      <c r="BG819" s="860"/>
      <c r="BH819" s="668"/>
      <c r="BI819" s="667"/>
      <c r="BJ819" s="690">
        <f t="shared" si="286"/>
        <v>0</v>
      </c>
      <c r="BK819" s="691">
        <f t="shared" si="287"/>
        <v>0</v>
      </c>
      <c r="BL819" s="654"/>
      <c r="BM819" s="692">
        <f>SUMIFS(Imput[[Importe Neto]:[Importe Neto]],Imput[[C. Imp.]:[C. Imp.]],$D819,Imput[[PERIODO Imp.]:[PERIODO Imp.]],BM$9)</f>
        <v>0</v>
      </c>
      <c r="BN819" s="693">
        <f>SUMIFS(Imput[[Importe Neto]:[Importe Neto]],Imput[[C. Imp.]:[C. Imp.]],$D819,Imput[[PERIODO Imp.]:[PERIODO Imp.]],BN$9)</f>
        <v>0</v>
      </c>
      <c r="BO819" s="693">
        <f>SUMIFS(Imput[[Importe Neto]:[Importe Neto]],Imput[[C. Imp.]:[C. Imp.]],$D819,Imput[[PERIODO Imp.]:[PERIODO Imp.]],BO$9)</f>
        <v>0</v>
      </c>
      <c r="BP819" s="693">
        <f>SUMIFS(Imput[[Importe Neto]:[Importe Neto]],Imput[[C. Imp.]:[C. Imp.]],$D819,Imput[[PERIODO Imp.]:[PERIODO Imp.]],BP$9)</f>
        <v>0</v>
      </c>
      <c r="BQ819" s="693">
        <f>SUMIFS(Imput[[Importe Neto]:[Importe Neto]],Imput[[C. Imp.]:[C. Imp.]],$D819,Imput[[PERIODO Imp.]:[PERIODO Imp.]],BQ$9)</f>
        <v>0</v>
      </c>
      <c r="BR819" s="693">
        <f>SUMIFS(Imput[[Importe Neto]:[Importe Neto]],Imput[[C. Imp.]:[C. Imp.]],$D819,Imput[[PERIODO Imp.]:[PERIODO Imp.]],BR$9)</f>
        <v>0</v>
      </c>
      <c r="BS819" s="693">
        <f>SUMIFS(Imput[[Importe Neto]:[Importe Neto]],Imput[[C. Imp.]:[C. Imp.]],$D819,Imput[[PERIODO Imp.]:[PERIODO Imp.]],BS$9)</f>
        <v>0</v>
      </c>
      <c r="BT819" s="693">
        <f>SUMIFS(Imput[[Importe Neto]:[Importe Neto]],Imput[[C. Imp.]:[C. Imp.]],$D819,Imput[[PERIODO Imp.]:[PERIODO Imp.]],BT$9)</f>
        <v>0</v>
      </c>
      <c r="BU819" s="693">
        <f>SUMIFS(Imput[[Importe Neto]:[Importe Neto]],Imput[[C. Imp.]:[C. Imp.]],$D819,Imput[[PERIODO Imp.]:[PERIODO Imp.]],BU$9)</f>
        <v>0</v>
      </c>
      <c r="BV819" s="693">
        <f>SUMIFS(Imput[[Importe Neto]:[Importe Neto]],Imput[[C. Imp.]:[C. Imp.]],$D819,Imput[[PERIODO Imp.]:[PERIODO Imp.]],BV$9)</f>
        <v>0</v>
      </c>
      <c r="BW819" s="693">
        <f>SUMIFS(Imput[[Importe Neto]:[Importe Neto]],Imput[[C. Imp.]:[C. Imp.]],$D819,Imput[[PERIODO Imp.]:[PERIODO Imp.]],BW$9)</f>
        <v>0</v>
      </c>
      <c r="BX819" s="693">
        <f>SUMIFS(Imput[[Importe Neto]:[Importe Neto]],Imput[[C. Imp.]:[C. Imp.]],$D819,Imput[[PERIODO Imp.]:[PERIODO Imp.]],BX$9)</f>
        <v>0</v>
      </c>
      <c r="BY819" s="693">
        <f>SUMIFS(Imput[[Importe Neto]:[Importe Neto]],Imput[[C. Imp.]:[C. Imp.]],$D819,Imput[[PERIODO Imp.]:[PERIODO Imp.]],BY$9)</f>
        <v>0</v>
      </c>
      <c r="BZ819" s="693">
        <f>SUMIFS(Imput[[Importe Neto]:[Importe Neto]],Imput[[C. Imp.]:[C. Imp.]],$D819,Imput[[PERIODO Imp.]:[PERIODO Imp.]],BZ$9)</f>
        <v>0</v>
      </c>
      <c r="CA819" s="693">
        <f>SUMIFS(Imput[[Importe Neto]:[Importe Neto]],Imput[[C. Imp.]:[C. Imp.]],$D819,Imput[[PERIODO Imp.]:[PERIODO Imp.]],CA$9)</f>
        <v>0</v>
      </c>
      <c r="CB819" s="693">
        <f>SUMIFS(Imput[[Importe Neto]:[Importe Neto]],Imput[[C. Imp.]:[C. Imp.]],$D819,Imput[[PERIODO Imp.]:[PERIODO Imp.]],CB$9)</f>
        <v>0</v>
      </c>
      <c r="CC819" s="693">
        <f>SUMIFS(Imput[[Importe Neto]:[Importe Neto]],Imput[[C. Imp.]:[C. Imp.]],$D819,Imput[[PERIODO Imp.]:[PERIODO Imp.]],CC$9)</f>
        <v>0</v>
      </c>
      <c r="CD819" s="693">
        <f>SUMIFS(Imput[[Importe Neto]:[Importe Neto]],Imput[[C. Imp.]:[C. Imp.]],$D819,Imput[[PERIODO Imp.]:[PERIODO Imp.]],CD$9)</f>
        <v>0</v>
      </c>
      <c r="CE819" s="693">
        <f>SUMIFS(Imput[[Importe Neto]:[Importe Neto]],Imput[[C. Imp.]:[C. Imp.]],$D819,Imput[[PERIODO Imp.]:[PERIODO Imp.]],CE$9)</f>
        <v>0</v>
      </c>
      <c r="CF819" s="693">
        <f>SUMIFS(Imput[[Importe Neto]:[Importe Neto]],Imput[[C. Imp.]:[C. Imp.]],$D819,Imput[[PERIODO Imp.]:[PERIODO Imp.]],CF$9)</f>
        <v>0</v>
      </c>
      <c r="CG819" s="693">
        <f>SUMIFS(Imput[[Importe Neto]:[Importe Neto]],Imput[[C. Imp.]:[C. Imp.]],$D819,Imput[[PERIODO Imp.]:[PERIODO Imp.]],CG$9)</f>
        <v>0</v>
      </c>
      <c r="CH819" s="693">
        <f>SUMIFS(Imput[[Importe Neto]:[Importe Neto]],Imput[[C. Imp.]:[C. Imp.]],$D819,Imput[[PERIODO Imp.]:[PERIODO Imp.]],CH$9)</f>
        <v>0</v>
      </c>
      <c r="CI819" s="693">
        <f>SUMIFS(Imput[[Importe Neto]:[Importe Neto]],Imput[[C. Imp.]:[C. Imp.]],$D819,Imput[[PERIODO Imp.]:[PERIODO Imp.]],CI$9)</f>
        <v>0</v>
      </c>
      <c r="CJ819" s="693">
        <f>SUMIFS(Imput[[Importe Neto]:[Importe Neto]],Imput[[C. Imp.]:[C. Imp.]],$D819,Imput[[PERIODO Imp.]:[PERIODO Imp.]],CJ$9)</f>
        <v>0</v>
      </c>
      <c r="CK819" s="693">
        <f>SUMIFS(Imput[[Importe Neto]:[Importe Neto]],Imput[[C. Imp.]:[C. Imp.]],$D819,Imput[[PERIODO Imp.]:[PERIODO Imp.]],CK$9)</f>
        <v>0</v>
      </c>
      <c r="CL819" s="693">
        <f>SUMIFS(Imput[[Importe Neto]:[Importe Neto]],Imput[[C. Imp.]:[C. Imp.]],$D819,Imput[[PERIODO Imp.]:[PERIODO Imp.]],CL$9)</f>
        <v>0</v>
      </c>
      <c r="CM819" s="693">
        <f>SUMIFS(Imput[[Importe Neto]:[Importe Neto]],Imput[[C. Imp.]:[C. Imp.]],$D819,Imput[[PERIODO Imp.]:[PERIODO Imp.]],CM$9)</f>
        <v>0</v>
      </c>
      <c r="CN819" s="693">
        <f>SUMIFS(Imput[[Importe Neto]:[Importe Neto]],Imput[[C. Imp.]:[C. Imp.]],$D819,Imput[[PERIODO Imp.]:[PERIODO Imp.]],CN$9)</f>
        <v>0</v>
      </c>
      <c r="CO819" s="693">
        <f>SUMIFS(Imput[[Importe Neto]:[Importe Neto]],Imput[[C. Imp.]:[C. Imp.]],$D819,Imput[[PERIODO Imp.]:[PERIODO Imp.]],CO$9)</f>
        <v>0</v>
      </c>
      <c r="CP819" s="693">
        <f>SUMIFS(Imput[[Importe Neto]:[Importe Neto]],Imput[[C. Imp.]:[C. Imp.]],$D819,Imput[[PERIODO Imp.]:[PERIODO Imp.]],CP$9)</f>
        <v>0</v>
      </c>
      <c r="CQ819" s="693">
        <f>SUMIFS(Imput[[Importe Neto]:[Importe Neto]],Imput[[C. Imp.]:[C. Imp.]],$D819,Imput[[PERIODO Imp.]:[PERIODO Imp.]],CQ$9)</f>
        <v>0</v>
      </c>
      <c r="CR819" s="693">
        <f>SUMIFS(Imput[[Importe Neto]:[Importe Neto]],Imput[[C. Imp.]:[C. Imp.]],$D819,Imput[[PERIODO Imp.]:[PERIODO Imp.]],CR$9)</f>
        <v>0</v>
      </c>
      <c r="CS819" s="693">
        <f>SUMIFS(Imput[[Importe Neto]:[Importe Neto]],Imput[[C. Imp.]:[C. Imp.]],$D819,Imput[[PERIODO Imp.]:[PERIODO Imp.]],CS$9)</f>
        <v>0</v>
      </c>
      <c r="CT819" s="693">
        <f>SUMIFS(Imput[[Importe Neto]:[Importe Neto]],Imput[[C. Imp.]:[C. Imp.]],$D819,Imput[[PERIODO Imp.]:[PERIODO Imp.]],CT$9)</f>
        <v>0</v>
      </c>
      <c r="CU819" s="693">
        <f>SUMIFS(Imput[[Importe Neto]:[Importe Neto]],Imput[[C. Imp.]:[C. Imp.]],$D819,Imput[[PERIODO Imp.]:[PERIODO Imp.]],CU$9)</f>
        <v>0</v>
      </c>
      <c r="CV819" s="693">
        <f>SUMIFS(Imput[[Importe Neto]:[Importe Neto]],Imput[[C. Imp.]:[C. Imp.]],$D819,Imput[[PERIODO Imp.]:[PERIODO Imp.]],CV$9)</f>
        <v>0</v>
      </c>
      <c r="CW819" s="693">
        <f>SUMIFS(Imput[[Importe Neto]:[Importe Neto]],Imput[[C. Imp.]:[C. Imp.]],$D819,Imput[[PERIODO Imp.]:[PERIODO Imp.]],CW$9)</f>
        <v>0</v>
      </c>
      <c r="CX819" s="693">
        <f>SUMIFS(Imput[[Importe Neto]:[Importe Neto]],Imput[[C. Imp.]:[C. Imp.]],$D819,Imput[[PERIODO Imp.]:[PERIODO Imp.]],CX$9)</f>
        <v>0</v>
      </c>
      <c r="CY819" s="693">
        <f>SUMIFS(Imput[[Importe Neto]:[Importe Neto]],Imput[[C. Imp.]:[C. Imp.]],$D819,Imput[[PERIODO Imp.]:[PERIODO Imp.]],CY$9)</f>
        <v>0</v>
      </c>
      <c r="CZ819" s="693">
        <f>SUMIFS(Imput[[Importe Neto]:[Importe Neto]],Imput[[C. Imp.]:[C. Imp.]],$D819,Imput[[PERIODO Imp.]:[PERIODO Imp.]],CZ$9)</f>
        <v>0</v>
      </c>
      <c r="DA819" s="693">
        <f>SUMIFS(Imput[[Importe Neto]:[Importe Neto]],Imput[[C. Imp.]:[C. Imp.]],$D819,Imput[[PERIODO Imp.]:[PERIODO Imp.]],DA$9)</f>
        <v>0</v>
      </c>
      <c r="DB819" s="693">
        <f>SUMIFS(Imput[[Importe Neto]:[Importe Neto]],Imput[[C. Imp.]:[C. Imp.]],$D819,Imput[[PERIODO Imp.]:[PERIODO Imp.]],DB$9)</f>
        <v>0</v>
      </c>
      <c r="DC819" s="693">
        <f>SUMIFS(Imput[[Importe Neto]:[Importe Neto]],Imput[[C. Imp.]:[C. Imp.]],$D819,Imput[[PERIODO Imp.]:[PERIODO Imp.]],DC$9)</f>
        <v>0</v>
      </c>
      <c r="DD819" s="693">
        <f>SUMIFS(Imput[[Importe Neto]:[Importe Neto]],Imput[[C. Imp.]:[C. Imp.]],$D819,Imput[[PERIODO Imp.]:[PERIODO Imp.]],DD$9)</f>
        <v>0</v>
      </c>
      <c r="DE819" s="693">
        <f>SUMIFS(Imput[[Importe Neto]:[Importe Neto]],Imput[[C. Imp.]:[C. Imp.]],$D819,Imput[[PERIODO Imp.]:[PERIODO Imp.]],DE$9)</f>
        <v>0</v>
      </c>
      <c r="DF819" s="693">
        <f>SUMIFS(Imput[[Importe Neto]:[Importe Neto]],Imput[[C. Imp.]:[C. Imp.]],$D819,Imput[[PERIODO Imp.]:[PERIODO Imp.]],DF$9)</f>
        <v>0</v>
      </c>
      <c r="DG819" s="693">
        <f>SUMIFS(Imput[[Importe Neto]:[Importe Neto]],Imput[[C. Imp.]:[C. Imp.]],$D819,Imput[[PERIODO Imp.]:[PERIODO Imp.]],DG$9)</f>
        <v>0</v>
      </c>
      <c r="DH819" s="694">
        <f>SUMIFS(Imput[[Importe Neto]:[Importe Neto]],Imput[[C. Imp.]:[C. Imp.]],$D819,Imput[[PERIODO Imp.]:[PERIODO Imp.]],DH$9)</f>
        <v>0</v>
      </c>
    </row>
    <row r="820" spans="1:112" s="649" customFormat="1" hidden="1" outlineLevel="1" x14ac:dyDescent="0.3">
      <c r="A820" s="652" t="str">
        <f t="shared" si="280"/>
        <v/>
      </c>
      <c r="B820" s="652"/>
      <c r="C820" s="685"/>
      <c r="D820" s="686" t="s">
        <v>2800</v>
      </c>
      <c r="E820" s="728"/>
      <c r="F820" s="720"/>
      <c r="G820" s="688"/>
      <c r="H820" s="689"/>
      <c r="I820" s="851" t="str">
        <f t="shared" si="285"/>
        <v/>
      </c>
      <c r="J820" s="850" t="str">
        <f t="shared" si="282"/>
        <v/>
      </c>
      <c r="K820" s="667"/>
      <c r="L820" s="858"/>
      <c r="M820" s="859"/>
      <c r="N820" s="859"/>
      <c r="O820" s="859"/>
      <c r="P820" s="859"/>
      <c r="Q820" s="859"/>
      <c r="R820" s="859"/>
      <c r="S820" s="859"/>
      <c r="T820" s="859"/>
      <c r="U820" s="859"/>
      <c r="V820" s="859"/>
      <c r="W820" s="859"/>
      <c r="X820" s="859"/>
      <c r="Y820" s="859"/>
      <c r="Z820" s="860"/>
      <c r="AA820" s="860"/>
      <c r="AB820" s="860"/>
      <c r="AC820" s="860"/>
      <c r="AD820" s="860"/>
      <c r="AE820" s="860"/>
      <c r="AF820" s="860"/>
      <c r="AG820" s="860"/>
      <c r="AH820" s="860"/>
      <c r="AI820" s="860"/>
      <c r="AJ820" s="860"/>
      <c r="AK820" s="860"/>
      <c r="AL820" s="860"/>
      <c r="AM820" s="860"/>
      <c r="AN820" s="860"/>
      <c r="AO820" s="860"/>
      <c r="AP820" s="860"/>
      <c r="AQ820" s="860"/>
      <c r="AR820" s="860"/>
      <c r="AS820" s="860"/>
      <c r="AT820" s="860"/>
      <c r="AU820" s="860"/>
      <c r="AV820" s="860"/>
      <c r="AW820" s="860"/>
      <c r="AX820" s="860"/>
      <c r="AY820" s="860"/>
      <c r="AZ820" s="860"/>
      <c r="BA820" s="860"/>
      <c r="BB820" s="860"/>
      <c r="BC820" s="860"/>
      <c r="BD820" s="860"/>
      <c r="BE820" s="860"/>
      <c r="BF820" s="860"/>
      <c r="BG820" s="860"/>
      <c r="BH820" s="668"/>
      <c r="BI820" s="667"/>
      <c r="BJ820" s="690">
        <f t="shared" si="286"/>
        <v>0</v>
      </c>
      <c r="BK820" s="691">
        <f t="shared" si="287"/>
        <v>0</v>
      </c>
      <c r="BL820" s="654"/>
      <c r="BM820" s="692">
        <f>SUMIFS(Imput[[Importe Neto]:[Importe Neto]],Imput[[C. Imp.]:[C. Imp.]],$D820,Imput[[PERIODO Imp.]:[PERIODO Imp.]],BM$9)</f>
        <v>0</v>
      </c>
      <c r="BN820" s="693">
        <f>SUMIFS(Imput[[Importe Neto]:[Importe Neto]],Imput[[C. Imp.]:[C. Imp.]],$D820,Imput[[PERIODO Imp.]:[PERIODO Imp.]],BN$9)</f>
        <v>0</v>
      </c>
      <c r="BO820" s="693">
        <f>SUMIFS(Imput[[Importe Neto]:[Importe Neto]],Imput[[C. Imp.]:[C. Imp.]],$D820,Imput[[PERIODO Imp.]:[PERIODO Imp.]],BO$9)</f>
        <v>0</v>
      </c>
      <c r="BP820" s="693">
        <f>SUMIFS(Imput[[Importe Neto]:[Importe Neto]],Imput[[C. Imp.]:[C. Imp.]],$D820,Imput[[PERIODO Imp.]:[PERIODO Imp.]],BP$9)</f>
        <v>0</v>
      </c>
      <c r="BQ820" s="693">
        <f>SUMIFS(Imput[[Importe Neto]:[Importe Neto]],Imput[[C. Imp.]:[C. Imp.]],$D820,Imput[[PERIODO Imp.]:[PERIODO Imp.]],BQ$9)</f>
        <v>0</v>
      </c>
      <c r="BR820" s="693">
        <f>SUMIFS(Imput[[Importe Neto]:[Importe Neto]],Imput[[C. Imp.]:[C. Imp.]],$D820,Imput[[PERIODO Imp.]:[PERIODO Imp.]],BR$9)</f>
        <v>0</v>
      </c>
      <c r="BS820" s="693">
        <f>SUMIFS(Imput[[Importe Neto]:[Importe Neto]],Imput[[C. Imp.]:[C. Imp.]],$D820,Imput[[PERIODO Imp.]:[PERIODO Imp.]],BS$9)</f>
        <v>0</v>
      </c>
      <c r="BT820" s="693">
        <f>SUMIFS(Imput[[Importe Neto]:[Importe Neto]],Imput[[C. Imp.]:[C. Imp.]],$D820,Imput[[PERIODO Imp.]:[PERIODO Imp.]],BT$9)</f>
        <v>0</v>
      </c>
      <c r="BU820" s="693">
        <f>SUMIFS(Imput[[Importe Neto]:[Importe Neto]],Imput[[C. Imp.]:[C. Imp.]],$D820,Imput[[PERIODO Imp.]:[PERIODO Imp.]],BU$9)</f>
        <v>0</v>
      </c>
      <c r="BV820" s="693">
        <f>SUMIFS(Imput[[Importe Neto]:[Importe Neto]],Imput[[C. Imp.]:[C. Imp.]],$D820,Imput[[PERIODO Imp.]:[PERIODO Imp.]],BV$9)</f>
        <v>0</v>
      </c>
      <c r="BW820" s="693">
        <f>SUMIFS(Imput[[Importe Neto]:[Importe Neto]],Imput[[C. Imp.]:[C. Imp.]],$D820,Imput[[PERIODO Imp.]:[PERIODO Imp.]],BW$9)</f>
        <v>0</v>
      </c>
      <c r="BX820" s="693">
        <f>SUMIFS(Imput[[Importe Neto]:[Importe Neto]],Imput[[C. Imp.]:[C. Imp.]],$D820,Imput[[PERIODO Imp.]:[PERIODO Imp.]],BX$9)</f>
        <v>0</v>
      </c>
      <c r="BY820" s="693">
        <f>SUMIFS(Imput[[Importe Neto]:[Importe Neto]],Imput[[C. Imp.]:[C. Imp.]],$D820,Imput[[PERIODO Imp.]:[PERIODO Imp.]],BY$9)</f>
        <v>0</v>
      </c>
      <c r="BZ820" s="693">
        <f>SUMIFS(Imput[[Importe Neto]:[Importe Neto]],Imput[[C. Imp.]:[C. Imp.]],$D820,Imput[[PERIODO Imp.]:[PERIODO Imp.]],BZ$9)</f>
        <v>0</v>
      </c>
      <c r="CA820" s="693">
        <f>SUMIFS(Imput[[Importe Neto]:[Importe Neto]],Imput[[C. Imp.]:[C. Imp.]],$D820,Imput[[PERIODO Imp.]:[PERIODO Imp.]],CA$9)</f>
        <v>0</v>
      </c>
      <c r="CB820" s="693">
        <f>SUMIFS(Imput[[Importe Neto]:[Importe Neto]],Imput[[C. Imp.]:[C. Imp.]],$D820,Imput[[PERIODO Imp.]:[PERIODO Imp.]],CB$9)</f>
        <v>0</v>
      </c>
      <c r="CC820" s="693">
        <f>SUMIFS(Imput[[Importe Neto]:[Importe Neto]],Imput[[C. Imp.]:[C. Imp.]],$D820,Imput[[PERIODO Imp.]:[PERIODO Imp.]],CC$9)</f>
        <v>0</v>
      </c>
      <c r="CD820" s="693">
        <f>SUMIFS(Imput[[Importe Neto]:[Importe Neto]],Imput[[C. Imp.]:[C. Imp.]],$D820,Imput[[PERIODO Imp.]:[PERIODO Imp.]],CD$9)</f>
        <v>0</v>
      </c>
      <c r="CE820" s="693">
        <f>SUMIFS(Imput[[Importe Neto]:[Importe Neto]],Imput[[C. Imp.]:[C. Imp.]],$D820,Imput[[PERIODO Imp.]:[PERIODO Imp.]],CE$9)</f>
        <v>0</v>
      </c>
      <c r="CF820" s="693">
        <f>SUMIFS(Imput[[Importe Neto]:[Importe Neto]],Imput[[C. Imp.]:[C. Imp.]],$D820,Imput[[PERIODO Imp.]:[PERIODO Imp.]],CF$9)</f>
        <v>0</v>
      </c>
      <c r="CG820" s="693">
        <f>SUMIFS(Imput[[Importe Neto]:[Importe Neto]],Imput[[C. Imp.]:[C. Imp.]],$D820,Imput[[PERIODO Imp.]:[PERIODO Imp.]],CG$9)</f>
        <v>0</v>
      </c>
      <c r="CH820" s="693">
        <f>SUMIFS(Imput[[Importe Neto]:[Importe Neto]],Imput[[C. Imp.]:[C. Imp.]],$D820,Imput[[PERIODO Imp.]:[PERIODO Imp.]],CH$9)</f>
        <v>0</v>
      </c>
      <c r="CI820" s="693">
        <f>SUMIFS(Imput[[Importe Neto]:[Importe Neto]],Imput[[C. Imp.]:[C. Imp.]],$D820,Imput[[PERIODO Imp.]:[PERIODO Imp.]],CI$9)</f>
        <v>0</v>
      </c>
      <c r="CJ820" s="693">
        <f>SUMIFS(Imput[[Importe Neto]:[Importe Neto]],Imput[[C. Imp.]:[C. Imp.]],$D820,Imput[[PERIODO Imp.]:[PERIODO Imp.]],CJ$9)</f>
        <v>0</v>
      </c>
      <c r="CK820" s="693">
        <f>SUMIFS(Imput[[Importe Neto]:[Importe Neto]],Imput[[C. Imp.]:[C. Imp.]],$D820,Imput[[PERIODO Imp.]:[PERIODO Imp.]],CK$9)</f>
        <v>0</v>
      </c>
      <c r="CL820" s="693">
        <f>SUMIFS(Imput[[Importe Neto]:[Importe Neto]],Imput[[C. Imp.]:[C. Imp.]],$D820,Imput[[PERIODO Imp.]:[PERIODO Imp.]],CL$9)</f>
        <v>0</v>
      </c>
      <c r="CM820" s="693">
        <f>SUMIFS(Imput[[Importe Neto]:[Importe Neto]],Imput[[C. Imp.]:[C. Imp.]],$D820,Imput[[PERIODO Imp.]:[PERIODO Imp.]],CM$9)</f>
        <v>0</v>
      </c>
      <c r="CN820" s="693">
        <f>SUMIFS(Imput[[Importe Neto]:[Importe Neto]],Imput[[C. Imp.]:[C. Imp.]],$D820,Imput[[PERIODO Imp.]:[PERIODO Imp.]],CN$9)</f>
        <v>0</v>
      </c>
      <c r="CO820" s="693">
        <f>SUMIFS(Imput[[Importe Neto]:[Importe Neto]],Imput[[C. Imp.]:[C. Imp.]],$D820,Imput[[PERIODO Imp.]:[PERIODO Imp.]],CO$9)</f>
        <v>0</v>
      </c>
      <c r="CP820" s="693">
        <f>SUMIFS(Imput[[Importe Neto]:[Importe Neto]],Imput[[C. Imp.]:[C. Imp.]],$D820,Imput[[PERIODO Imp.]:[PERIODO Imp.]],CP$9)</f>
        <v>0</v>
      </c>
      <c r="CQ820" s="693">
        <f>SUMIFS(Imput[[Importe Neto]:[Importe Neto]],Imput[[C. Imp.]:[C. Imp.]],$D820,Imput[[PERIODO Imp.]:[PERIODO Imp.]],CQ$9)</f>
        <v>0</v>
      </c>
      <c r="CR820" s="693">
        <f>SUMIFS(Imput[[Importe Neto]:[Importe Neto]],Imput[[C. Imp.]:[C. Imp.]],$D820,Imput[[PERIODO Imp.]:[PERIODO Imp.]],CR$9)</f>
        <v>0</v>
      </c>
      <c r="CS820" s="693">
        <f>SUMIFS(Imput[[Importe Neto]:[Importe Neto]],Imput[[C. Imp.]:[C. Imp.]],$D820,Imput[[PERIODO Imp.]:[PERIODO Imp.]],CS$9)</f>
        <v>0</v>
      </c>
      <c r="CT820" s="693">
        <f>SUMIFS(Imput[[Importe Neto]:[Importe Neto]],Imput[[C. Imp.]:[C. Imp.]],$D820,Imput[[PERIODO Imp.]:[PERIODO Imp.]],CT$9)</f>
        <v>0</v>
      </c>
      <c r="CU820" s="693">
        <f>SUMIFS(Imput[[Importe Neto]:[Importe Neto]],Imput[[C. Imp.]:[C. Imp.]],$D820,Imput[[PERIODO Imp.]:[PERIODO Imp.]],CU$9)</f>
        <v>0</v>
      </c>
      <c r="CV820" s="693">
        <f>SUMIFS(Imput[[Importe Neto]:[Importe Neto]],Imput[[C. Imp.]:[C. Imp.]],$D820,Imput[[PERIODO Imp.]:[PERIODO Imp.]],CV$9)</f>
        <v>0</v>
      </c>
      <c r="CW820" s="693">
        <f>SUMIFS(Imput[[Importe Neto]:[Importe Neto]],Imput[[C. Imp.]:[C. Imp.]],$D820,Imput[[PERIODO Imp.]:[PERIODO Imp.]],CW$9)</f>
        <v>0</v>
      </c>
      <c r="CX820" s="693">
        <f>SUMIFS(Imput[[Importe Neto]:[Importe Neto]],Imput[[C. Imp.]:[C. Imp.]],$D820,Imput[[PERIODO Imp.]:[PERIODO Imp.]],CX$9)</f>
        <v>0</v>
      </c>
      <c r="CY820" s="693">
        <f>SUMIFS(Imput[[Importe Neto]:[Importe Neto]],Imput[[C. Imp.]:[C. Imp.]],$D820,Imput[[PERIODO Imp.]:[PERIODO Imp.]],CY$9)</f>
        <v>0</v>
      </c>
      <c r="CZ820" s="693">
        <f>SUMIFS(Imput[[Importe Neto]:[Importe Neto]],Imput[[C. Imp.]:[C. Imp.]],$D820,Imput[[PERIODO Imp.]:[PERIODO Imp.]],CZ$9)</f>
        <v>0</v>
      </c>
      <c r="DA820" s="693">
        <f>SUMIFS(Imput[[Importe Neto]:[Importe Neto]],Imput[[C. Imp.]:[C. Imp.]],$D820,Imput[[PERIODO Imp.]:[PERIODO Imp.]],DA$9)</f>
        <v>0</v>
      </c>
      <c r="DB820" s="693">
        <f>SUMIFS(Imput[[Importe Neto]:[Importe Neto]],Imput[[C. Imp.]:[C. Imp.]],$D820,Imput[[PERIODO Imp.]:[PERIODO Imp.]],DB$9)</f>
        <v>0</v>
      </c>
      <c r="DC820" s="693">
        <f>SUMIFS(Imput[[Importe Neto]:[Importe Neto]],Imput[[C. Imp.]:[C. Imp.]],$D820,Imput[[PERIODO Imp.]:[PERIODO Imp.]],DC$9)</f>
        <v>0</v>
      </c>
      <c r="DD820" s="693">
        <f>SUMIFS(Imput[[Importe Neto]:[Importe Neto]],Imput[[C. Imp.]:[C. Imp.]],$D820,Imput[[PERIODO Imp.]:[PERIODO Imp.]],DD$9)</f>
        <v>0</v>
      </c>
      <c r="DE820" s="693">
        <f>SUMIFS(Imput[[Importe Neto]:[Importe Neto]],Imput[[C. Imp.]:[C. Imp.]],$D820,Imput[[PERIODO Imp.]:[PERIODO Imp.]],DE$9)</f>
        <v>0</v>
      </c>
      <c r="DF820" s="693">
        <f>SUMIFS(Imput[[Importe Neto]:[Importe Neto]],Imput[[C. Imp.]:[C. Imp.]],$D820,Imput[[PERIODO Imp.]:[PERIODO Imp.]],DF$9)</f>
        <v>0</v>
      </c>
      <c r="DG820" s="693">
        <f>SUMIFS(Imput[[Importe Neto]:[Importe Neto]],Imput[[C. Imp.]:[C. Imp.]],$D820,Imput[[PERIODO Imp.]:[PERIODO Imp.]],DG$9)</f>
        <v>0</v>
      </c>
      <c r="DH820" s="694">
        <f>SUMIFS(Imput[[Importe Neto]:[Importe Neto]],Imput[[C. Imp.]:[C. Imp.]],$D820,Imput[[PERIODO Imp.]:[PERIODO Imp.]],DH$9)</f>
        <v>0</v>
      </c>
    </row>
    <row r="821" spans="1:112" s="649" customFormat="1" hidden="1" outlineLevel="1" x14ac:dyDescent="0.3">
      <c r="A821" s="652" t="str">
        <f t="shared" si="280"/>
        <v/>
      </c>
      <c r="B821" s="652"/>
      <c r="C821" s="685"/>
      <c r="D821" s="686" t="s">
        <v>2801</v>
      </c>
      <c r="E821" s="686"/>
      <c r="F821" s="720"/>
      <c r="G821" s="688"/>
      <c r="H821" s="689"/>
      <c r="I821" s="851" t="str">
        <f t="shared" si="285"/>
        <v/>
      </c>
      <c r="J821" s="850" t="str">
        <f t="shared" si="282"/>
        <v/>
      </c>
      <c r="K821" s="667"/>
      <c r="L821" s="858"/>
      <c r="M821" s="859"/>
      <c r="N821" s="859"/>
      <c r="O821" s="859"/>
      <c r="P821" s="859"/>
      <c r="Q821" s="859"/>
      <c r="R821" s="859"/>
      <c r="S821" s="859"/>
      <c r="T821" s="859"/>
      <c r="U821" s="859"/>
      <c r="V821" s="859"/>
      <c r="W821" s="859"/>
      <c r="X821" s="859"/>
      <c r="Y821" s="859"/>
      <c r="Z821" s="860"/>
      <c r="AA821" s="860"/>
      <c r="AB821" s="860"/>
      <c r="AC821" s="860"/>
      <c r="AD821" s="860"/>
      <c r="AE821" s="860"/>
      <c r="AF821" s="860"/>
      <c r="AG821" s="860"/>
      <c r="AH821" s="860"/>
      <c r="AI821" s="860"/>
      <c r="AJ821" s="860"/>
      <c r="AK821" s="860"/>
      <c r="AL821" s="860"/>
      <c r="AM821" s="860"/>
      <c r="AN821" s="860"/>
      <c r="AO821" s="860"/>
      <c r="AP821" s="860"/>
      <c r="AQ821" s="860"/>
      <c r="AR821" s="860"/>
      <c r="AS821" s="860"/>
      <c r="AT821" s="860"/>
      <c r="AU821" s="860"/>
      <c r="AV821" s="860"/>
      <c r="AW821" s="860"/>
      <c r="AX821" s="860"/>
      <c r="AY821" s="860"/>
      <c r="AZ821" s="860"/>
      <c r="BA821" s="860"/>
      <c r="BB821" s="860"/>
      <c r="BC821" s="860"/>
      <c r="BD821" s="860"/>
      <c r="BE821" s="860"/>
      <c r="BF821" s="860"/>
      <c r="BG821" s="860"/>
      <c r="BH821" s="668"/>
      <c r="BI821" s="667"/>
      <c r="BJ821" s="690">
        <f t="shared" si="286"/>
        <v>0</v>
      </c>
      <c r="BK821" s="691">
        <f t="shared" si="287"/>
        <v>0</v>
      </c>
      <c r="BL821" s="654"/>
      <c r="BM821" s="692">
        <f>SUMIFS(Imput[[Importe Neto]:[Importe Neto]],Imput[[C. Imp.]:[C. Imp.]],$D821,Imput[[PERIODO Imp.]:[PERIODO Imp.]],BM$9)</f>
        <v>0</v>
      </c>
      <c r="BN821" s="693">
        <f>SUMIFS(Imput[[Importe Neto]:[Importe Neto]],Imput[[C. Imp.]:[C. Imp.]],$D821,Imput[[PERIODO Imp.]:[PERIODO Imp.]],BN$9)</f>
        <v>0</v>
      </c>
      <c r="BO821" s="693">
        <f>SUMIFS(Imput[[Importe Neto]:[Importe Neto]],Imput[[C. Imp.]:[C. Imp.]],$D821,Imput[[PERIODO Imp.]:[PERIODO Imp.]],BO$9)</f>
        <v>0</v>
      </c>
      <c r="BP821" s="693">
        <f>SUMIFS(Imput[[Importe Neto]:[Importe Neto]],Imput[[C. Imp.]:[C. Imp.]],$D821,Imput[[PERIODO Imp.]:[PERIODO Imp.]],BP$9)</f>
        <v>0</v>
      </c>
      <c r="BQ821" s="693">
        <f>SUMIFS(Imput[[Importe Neto]:[Importe Neto]],Imput[[C. Imp.]:[C. Imp.]],$D821,Imput[[PERIODO Imp.]:[PERIODO Imp.]],BQ$9)</f>
        <v>0</v>
      </c>
      <c r="BR821" s="693">
        <f>SUMIFS(Imput[[Importe Neto]:[Importe Neto]],Imput[[C. Imp.]:[C. Imp.]],$D821,Imput[[PERIODO Imp.]:[PERIODO Imp.]],BR$9)</f>
        <v>0</v>
      </c>
      <c r="BS821" s="693">
        <f>SUMIFS(Imput[[Importe Neto]:[Importe Neto]],Imput[[C. Imp.]:[C. Imp.]],$D821,Imput[[PERIODO Imp.]:[PERIODO Imp.]],BS$9)</f>
        <v>0</v>
      </c>
      <c r="BT821" s="693">
        <f>SUMIFS(Imput[[Importe Neto]:[Importe Neto]],Imput[[C. Imp.]:[C. Imp.]],$D821,Imput[[PERIODO Imp.]:[PERIODO Imp.]],BT$9)</f>
        <v>0</v>
      </c>
      <c r="BU821" s="693">
        <f>SUMIFS(Imput[[Importe Neto]:[Importe Neto]],Imput[[C. Imp.]:[C. Imp.]],$D821,Imput[[PERIODO Imp.]:[PERIODO Imp.]],BU$9)</f>
        <v>0</v>
      </c>
      <c r="BV821" s="693">
        <f>SUMIFS(Imput[[Importe Neto]:[Importe Neto]],Imput[[C. Imp.]:[C. Imp.]],$D821,Imput[[PERIODO Imp.]:[PERIODO Imp.]],BV$9)</f>
        <v>0</v>
      </c>
      <c r="BW821" s="693">
        <f>SUMIFS(Imput[[Importe Neto]:[Importe Neto]],Imput[[C. Imp.]:[C. Imp.]],$D821,Imput[[PERIODO Imp.]:[PERIODO Imp.]],BW$9)</f>
        <v>0</v>
      </c>
      <c r="BX821" s="693">
        <f>SUMIFS(Imput[[Importe Neto]:[Importe Neto]],Imput[[C. Imp.]:[C. Imp.]],$D821,Imput[[PERIODO Imp.]:[PERIODO Imp.]],BX$9)</f>
        <v>0</v>
      </c>
      <c r="BY821" s="693">
        <f>SUMIFS(Imput[[Importe Neto]:[Importe Neto]],Imput[[C. Imp.]:[C. Imp.]],$D821,Imput[[PERIODO Imp.]:[PERIODO Imp.]],BY$9)</f>
        <v>0</v>
      </c>
      <c r="BZ821" s="693">
        <f>SUMIFS(Imput[[Importe Neto]:[Importe Neto]],Imput[[C. Imp.]:[C. Imp.]],$D821,Imput[[PERIODO Imp.]:[PERIODO Imp.]],BZ$9)</f>
        <v>0</v>
      </c>
      <c r="CA821" s="693">
        <f>SUMIFS(Imput[[Importe Neto]:[Importe Neto]],Imput[[C. Imp.]:[C. Imp.]],$D821,Imput[[PERIODO Imp.]:[PERIODO Imp.]],CA$9)</f>
        <v>0</v>
      </c>
      <c r="CB821" s="693">
        <f>SUMIFS(Imput[[Importe Neto]:[Importe Neto]],Imput[[C. Imp.]:[C. Imp.]],$D821,Imput[[PERIODO Imp.]:[PERIODO Imp.]],CB$9)</f>
        <v>0</v>
      </c>
      <c r="CC821" s="693">
        <f>SUMIFS(Imput[[Importe Neto]:[Importe Neto]],Imput[[C. Imp.]:[C. Imp.]],$D821,Imput[[PERIODO Imp.]:[PERIODO Imp.]],CC$9)</f>
        <v>0</v>
      </c>
      <c r="CD821" s="693">
        <f>SUMIFS(Imput[[Importe Neto]:[Importe Neto]],Imput[[C. Imp.]:[C. Imp.]],$D821,Imput[[PERIODO Imp.]:[PERIODO Imp.]],CD$9)</f>
        <v>0</v>
      </c>
      <c r="CE821" s="693">
        <f>SUMIFS(Imput[[Importe Neto]:[Importe Neto]],Imput[[C. Imp.]:[C. Imp.]],$D821,Imput[[PERIODO Imp.]:[PERIODO Imp.]],CE$9)</f>
        <v>0</v>
      </c>
      <c r="CF821" s="693">
        <f>SUMIFS(Imput[[Importe Neto]:[Importe Neto]],Imput[[C. Imp.]:[C. Imp.]],$D821,Imput[[PERIODO Imp.]:[PERIODO Imp.]],CF$9)</f>
        <v>0</v>
      </c>
      <c r="CG821" s="693">
        <f>SUMIFS(Imput[[Importe Neto]:[Importe Neto]],Imput[[C. Imp.]:[C. Imp.]],$D821,Imput[[PERIODO Imp.]:[PERIODO Imp.]],CG$9)</f>
        <v>0</v>
      </c>
      <c r="CH821" s="693">
        <f>SUMIFS(Imput[[Importe Neto]:[Importe Neto]],Imput[[C. Imp.]:[C. Imp.]],$D821,Imput[[PERIODO Imp.]:[PERIODO Imp.]],CH$9)</f>
        <v>0</v>
      </c>
      <c r="CI821" s="693">
        <f>SUMIFS(Imput[[Importe Neto]:[Importe Neto]],Imput[[C. Imp.]:[C. Imp.]],$D821,Imput[[PERIODO Imp.]:[PERIODO Imp.]],CI$9)</f>
        <v>0</v>
      </c>
      <c r="CJ821" s="693">
        <f>SUMIFS(Imput[[Importe Neto]:[Importe Neto]],Imput[[C. Imp.]:[C. Imp.]],$D821,Imput[[PERIODO Imp.]:[PERIODO Imp.]],CJ$9)</f>
        <v>0</v>
      </c>
      <c r="CK821" s="693">
        <f>SUMIFS(Imput[[Importe Neto]:[Importe Neto]],Imput[[C. Imp.]:[C. Imp.]],$D821,Imput[[PERIODO Imp.]:[PERIODO Imp.]],CK$9)</f>
        <v>0</v>
      </c>
      <c r="CL821" s="693">
        <f>SUMIFS(Imput[[Importe Neto]:[Importe Neto]],Imput[[C. Imp.]:[C. Imp.]],$D821,Imput[[PERIODO Imp.]:[PERIODO Imp.]],CL$9)</f>
        <v>0</v>
      </c>
      <c r="CM821" s="693">
        <f>SUMIFS(Imput[[Importe Neto]:[Importe Neto]],Imput[[C. Imp.]:[C. Imp.]],$D821,Imput[[PERIODO Imp.]:[PERIODO Imp.]],CM$9)</f>
        <v>0</v>
      </c>
      <c r="CN821" s="693">
        <f>SUMIFS(Imput[[Importe Neto]:[Importe Neto]],Imput[[C. Imp.]:[C. Imp.]],$D821,Imput[[PERIODO Imp.]:[PERIODO Imp.]],CN$9)</f>
        <v>0</v>
      </c>
      <c r="CO821" s="693">
        <f>SUMIFS(Imput[[Importe Neto]:[Importe Neto]],Imput[[C. Imp.]:[C. Imp.]],$D821,Imput[[PERIODO Imp.]:[PERIODO Imp.]],CO$9)</f>
        <v>0</v>
      </c>
      <c r="CP821" s="693">
        <f>SUMIFS(Imput[[Importe Neto]:[Importe Neto]],Imput[[C. Imp.]:[C. Imp.]],$D821,Imput[[PERIODO Imp.]:[PERIODO Imp.]],CP$9)</f>
        <v>0</v>
      </c>
      <c r="CQ821" s="693">
        <f>SUMIFS(Imput[[Importe Neto]:[Importe Neto]],Imput[[C. Imp.]:[C. Imp.]],$D821,Imput[[PERIODO Imp.]:[PERIODO Imp.]],CQ$9)</f>
        <v>0</v>
      </c>
      <c r="CR821" s="693">
        <f>SUMIFS(Imput[[Importe Neto]:[Importe Neto]],Imput[[C. Imp.]:[C. Imp.]],$D821,Imput[[PERIODO Imp.]:[PERIODO Imp.]],CR$9)</f>
        <v>0</v>
      </c>
      <c r="CS821" s="693">
        <f>SUMIFS(Imput[[Importe Neto]:[Importe Neto]],Imput[[C. Imp.]:[C. Imp.]],$D821,Imput[[PERIODO Imp.]:[PERIODO Imp.]],CS$9)</f>
        <v>0</v>
      </c>
      <c r="CT821" s="693">
        <f>SUMIFS(Imput[[Importe Neto]:[Importe Neto]],Imput[[C. Imp.]:[C. Imp.]],$D821,Imput[[PERIODO Imp.]:[PERIODO Imp.]],CT$9)</f>
        <v>0</v>
      </c>
      <c r="CU821" s="693">
        <f>SUMIFS(Imput[[Importe Neto]:[Importe Neto]],Imput[[C. Imp.]:[C. Imp.]],$D821,Imput[[PERIODO Imp.]:[PERIODO Imp.]],CU$9)</f>
        <v>0</v>
      </c>
      <c r="CV821" s="693">
        <f>SUMIFS(Imput[[Importe Neto]:[Importe Neto]],Imput[[C. Imp.]:[C. Imp.]],$D821,Imput[[PERIODO Imp.]:[PERIODO Imp.]],CV$9)</f>
        <v>0</v>
      </c>
      <c r="CW821" s="693">
        <f>SUMIFS(Imput[[Importe Neto]:[Importe Neto]],Imput[[C. Imp.]:[C. Imp.]],$D821,Imput[[PERIODO Imp.]:[PERIODO Imp.]],CW$9)</f>
        <v>0</v>
      </c>
      <c r="CX821" s="693">
        <f>SUMIFS(Imput[[Importe Neto]:[Importe Neto]],Imput[[C. Imp.]:[C. Imp.]],$D821,Imput[[PERIODO Imp.]:[PERIODO Imp.]],CX$9)</f>
        <v>0</v>
      </c>
      <c r="CY821" s="693">
        <f>SUMIFS(Imput[[Importe Neto]:[Importe Neto]],Imput[[C. Imp.]:[C. Imp.]],$D821,Imput[[PERIODO Imp.]:[PERIODO Imp.]],CY$9)</f>
        <v>0</v>
      </c>
      <c r="CZ821" s="693">
        <f>SUMIFS(Imput[[Importe Neto]:[Importe Neto]],Imput[[C. Imp.]:[C. Imp.]],$D821,Imput[[PERIODO Imp.]:[PERIODO Imp.]],CZ$9)</f>
        <v>0</v>
      </c>
      <c r="DA821" s="693">
        <f>SUMIFS(Imput[[Importe Neto]:[Importe Neto]],Imput[[C. Imp.]:[C. Imp.]],$D821,Imput[[PERIODO Imp.]:[PERIODO Imp.]],DA$9)</f>
        <v>0</v>
      </c>
      <c r="DB821" s="693">
        <f>SUMIFS(Imput[[Importe Neto]:[Importe Neto]],Imput[[C. Imp.]:[C. Imp.]],$D821,Imput[[PERIODO Imp.]:[PERIODO Imp.]],DB$9)</f>
        <v>0</v>
      </c>
      <c r="DC821" s="693">
        <f>SUMIFS(Imput[[Importe Neto]:[Importe Neto]],Imput[[C. Imp.]:[C. Imp.]],$D821,Imput[[PERIODO Imp.]:[PERIODO Imp.]],DC$9)</f>
        <v>0</v>
      </c>
      <c r="DD821" s="693">
        <f>SUMIFS(Imput[[Importe Neto]:[Importe Neto]],Imput[[C. Imp.]:[C. Imp.]],$D821,Imput[[PERIODO Imp.]:[PERIODO Imp.]],DD$9)</f>
        <v>0</v>
      </c>
      <c r="DE821" s="693">
        <f>SUMIFS(Imput[[Importe Neto]:[Importe Neto]],Imput[[C. Imp.]:[C. Imp.]],$D821,Imput[[PERIODO Imp.]:[PERIODO Imp.]],DE$9)</f>
        <v>0</v>
      </c>
      <c r="DF821" s="693">
        <f>SUMIFS(Imput[[Importe Neto]:[Importe Neto]],Imput[[C. Imp.]:[C. Imp.]],$D821,Imput[[PERIODO Imp.]:[PERIODO Imp.]],DF$9)</f>
        <v>0</v>
      </c>
      <c r="DG821" s="693">
        <f>SUMIFS(Imput[[Importe Neto]:[Importe Neto]],Imput[[C. Imp.]:[C. Imp.]],$D821,Imput[[PERIODO Imp.]:[PERIODO Imp.]],DG$9)</f>
        <v>0</v>
      </c>
      <c r="DH821" s="694">
        <f>SUMIFS(Imput[[Importe Neto]:[Importe Neto]],Imput[[C. Imp.]:[C. Imp.]],$D821,Imput[[PERIODO Imp.]:[PERIODO Imp.]],DH$9)</f>
        <v>0</v>
      </c>
    </row>
    <row r="822" spans="1:112" s="649" customFormat="1" hidden="1" outlineLevel="1" x14ac:dyDescent="0.3">
      <c r="A822" s="652" t="str">
        <f t="shared" si="280"/>
        <v/>
      </c>
      <c r="B822" s="652"/>
      <c r="C822" s="685"/>
      <c r="D822" s="686" t="s">
        <v>2802</v>
      </c>
      <c r="E822" s="686"/>
      <c r="F822" s="720"/>
      <c r="G822" s="688"/>
      <c r="H822" s="696"/>
      <c r="I822" s="851" t="str">
        <f t="shared" si="285"/>
        <v/>
      </c>
      <c r="J822" s="850" t="str">
        <f t="shared" si="282"/>
        <v/>
      </c>
      <c r="K822" s="667"/>
      <c r="L822" s="858"/>
      <c r="M822" s="859"/>
      <c r="N822" s="859"/>
      <c r="O822" s="859"/>
      <c r="P822" s="859"/>
      <c r="Q822" s="859"/>
      <c r="R822" s="859"/>
      <c r="S822" s="859"/>
      <c r="T822" s="859"/>
      <c r="U822" s="859"/>
      <c r="V822" s="859"/>
      <c r="W822" s="859"/>
      <c r="X822" s="859"/>
      <c r="Y822" s="859"/>
      <c r="Z822" s="860"/>
      <c r="AA822" s="860"/>
      <c r="AB822" s="860"/>
      <c r="AC822" s="860"/>
      <c r="AD822" s="860"/>
      <c r="AE822" s="860"/>
      <c r="AF822" s="860"/>
      <c r="AG822" s="860"/>
      <c r="AH822" s="860"/>
      <c r="AI822" s="860"/>
      <c r="AJ822" s="860"/>
      <c r="AK822" s="860"/>
      <c r="AL822" s="860"/>
      <c r="AM822" s="860"/>
      <c r="AN822" s="860"/>
      <c r="AO822" s="860"/>
      <c r="AP822" s="860"/>
      <c r="AQ822" s="860"/>
      <c r="AR822" s="860"/>
      <c r="AS822" s="860"/>
      <c r="AT822" s="860"/>
      <c r="AU822" s="860"/>
      <c r="AV822" s="860"/>
      <c r="AW822" s="860"/>
      <c r="AX822" s="860"/>
      <c r="AY822" s="860"/>
      <c r="AZ822" s="860"/>
      <c r="BA822" s="860"/>
      <c r="BB822" s="860"/>
      <c r="BC822" s="860"/>
      <c r="BD822" s="860"/>
      <c r="BE822" s="860"/>
      <c r="BF822" s="860"/>
      <c r="BG822" s="860"/>
      <c r="BH822" s="668"/>
      <c r="BI822" s="667"/>
      <c r="BJ822" s="690">
        <f t="shared" si="286"/>
        <v>0</v>
      </c>
      <c r="BK822" s="691">
        <f t="shared" si="287"/>
        <v>0</v>
      </c>
      <c r="BL822" s="654"/>
      <c r="BM822" s="692">
        <f>SUMIFS(Imput[[Importe Neto]:[Importe Neto]],Imput[[C. Imp.]:[C. Imp.]],$D822,Imput[[PERIODO Imp.]:[PERIODO Imp.]],BM$9)</f>
        <v>0</v>
      </c>
      <c r="BN822" s="693">
        <f>SUMIFS(Imput[[Importe Neto]:[Importe Neto]],Imput[[C. Imp.]:[C. Imp.]],$D822,Imput[[PERIODO Imp.]:[PERIODO Imp.]],BN$9)</f>
        <v>0</v>
      </c>
      <c r="BO822" s="693">
        <f>SUMIFS(Imput[[Importe Neto]:[Importe Neto]],Imput[[C. Imp.]:[C. Imp.]],$D822,Imput[[PERIODO Imp.]:[PERIODO Imp.]],BO$9)</f>
        <v>0</v>
      </c>
      <c r="BP822" s="693">
        <f>SUMIFS(Imput[[Importe Neto]:[Importe Neto]],Imput[[C. Imp.]:[C. Imp.]],$D822,Imput[[PERIODO Imp.]:[PERIODO Imp.]],BP$9)</f>
        <v>0</v>
      </c>
      <c r="BQ822" s="693">
        <f>SUMIFS(Imput[[Importe Neto]:[Importe Neto]],Imput[[C. Imp.]:[C. Imp.]],$D822,Imput[[PERIODO Imp.]:[PERIODO Imp.]],BQ$9)</f>
        <v>0</v>
      </c>
      <c r="BR822" s="693">
        <f>SUMIFS(Imput[[Importe Neto]:[Importe Neto]],Imput[[C. Imp.]:[C. Imp.]],$D822,Imput[[PERIODO Imp.]:[PERIODO Imp.]],BR$9)</f>
        <v>0</v>
      </c>
      <c r="BS822" s="693">
        <f>SUMIFS(Imput[[Importe Neto]:[Importe Neto]],Imput[[C. Imp.]:[C. Imp.]],$D822,Imput[[PERIODO Imp.]:[PERIODO Imp.]],BS$9)</f>
        <v>0</v>
      </c>
      <c r="BT822" s="693">
        <f>SUMIFS(Imput[[Importe Neto]:[Importe Neto]],Imput[[C. Imp.]:[C. Imp.]],$D822,Imput[[PERIODO Imp.]:[PERIODO Imp.]],BT$9)</f>
        <v>0</v>
      </c>
      <c r="BU822" s="693">
        <f>SUMIFS(Imput[[Importe Neto]:[Importe Neto]],Imput[[C. Imp.]:[C. Imp.]],$D822,Imput[[PERIODO Imp.]:[PERIODO Imp.]],BU$9)</f>
        <v>0</v>
      </c>
      <c r="BV822" s="693">
        <f>SUMIFS(Imput[[Importe Neto]:[Importe Neto]],Imput[[C. Imp.]:[C. Imp.]],$D822,Imput[[PERIODO Imp.]:[PERIODO Imp.]],BV$9)</f>
        <v>0</v>
      </c>
      <c r="BW822" s="693">
        <f>SUMIFS(Imput[[Importe Neto]:[Importe Neto]],Imput[[C. Imp.]:[C. Imp.]],$D822,Imput[[PERIODO Imp.]:[PERIODO Imp.]],BW$9)</f>
        <v>0</v>
      </c>
      <c r="BX822" s="693">
        <f>SUMIFS(Imput[[Importe Neto]:[Importe Neto]],Imput[[C. Imp.]:[C. Imp.]],$D822,Imput[[PERIODO Imp.]:[PERIODO Imp.]],BX$9)</f>
        <v>0</v>
      </c>
      <c r="BY822" s="693">
        <f>SUMIFS(Imput[[Importe Neto]:[Importe Neto]],Imput[[C. Imp.]:[C. Imp.]],$D822,Imput[[PERIODO Imp.]:[PERIODO Imp.]],BY$9)</f>
        <v>0</v>
      </c>
      <c r="BZ822" s="693">
        <f>SUMIFS(Imput[[Importe Neto]:[Importe Neto]],Imput[[C. Imp.]:[C. Imp.]],$D822,Imput[[PERIODO Imp.]:[PERIODO Imp.]],BZ$9)</f>
        <v>0</v>
      </c>
      <c r="CA822" s="693">
        <f>SUMIFS(Imput[[Importe Neto]:[Importe Neto]],Imput[[C. Imp.]:[C. Imp.]],$D822,Imput[[PERIODO Imp.]:[PERIODO Imp.]],CA$9)</f>
        <v>0</v>
      </c>
      <c r="CB822" s="693">
        <f>SUMIFS(Imput[[Importe Neto]:[Importe Neto]],Imput[[C. Imp.]:[C. Imp.]],$D822,Imput[[PERIODO Imp.]:[PERIODO Imp.]],CB$9)</f>
        <v>0</v>
      </c>
      <c r="CC822" s="693">
        <f>SUMIFS(Imput[[Importe Neto]:[Importe Neto]],Imput[[C. Imp.]:[C. Imp.]],$D822,Imput[[PERIODO Imp.]:[PERIODO Imp.]],CC$9)</f>
        <v>0</v>
      </c>
      <c r="CD822" s="693">
        <f>SUMIFS(Imput[[Importe Neto]:[Importe Neto]],Imput[[C. Imp.]:[C. Imp.]],$D822,Imput[[PERIODO Imp.]:[PERIODO Imp.]],CD$9)</f>
        <v>0</v>
      </c>
      <c r="CE822" s="693">
        <f>SUMIFS(Imput[[Importe Neto]:[Importe Neto]],Imput[[C. Imp.]:[C. Imp.]],$D822,Imput[[PERIODO Imp.]:[PERIODO Imp.]],CE$9)</f>
        <v>0</v>
      </c>
      <c r="CF822" s="693">
        <f>SUMIFS(Imput[[Importe Neto]:[Importe Neto]],Imput[[C. Imp.]:[C. Imp.]],$D822,Imput[[PERIODO Imp.]:[PERIODO Imp.]],CF$9)</f>
        <v>0</v>
      </c>
      <c r="CG822" s="693">
        <f>SUMIFS(Imput[[Importe Neto]:[Importe Neto]],Imput[[C. Imp.]:[C. Imp.]],$D822,Imput[[PERIODO Imp.]:[PERIODO Imp.]],CG$9)</f>
        <v>0</v>
      </c>
      <c r="CH822" s="693">
        <f>SUMIFS(Imput[[Importe Neto]:[Importe Neto]],Imput[[C. Imp.]:[C. Imp.]],$D822,Imput[[PERIODO Imp.]:[PERIODO Imp.]],CH$9)</f>
        <v>0</v>
      </c>
      <c r="CI822" s="693">
        <f>SUMIFS(Imput[[Importe Neto]:[Importe Neto]],Imput[[C. Imp.]:[C. Imp.]],$D822,Imput[[PERIODO Imp.]:[PERIODO Imp.]],CI$9)</f>
        <v>0</v>
      </c>
      <c r="CJ822" s="693">
        <f>SUMIFS(Imput[[Importe Neto]:[Importe Neto]],Imput[[C. Imp.]:[C. Imp.]],$D822,Imput[[PERIODO Imp.]:[PERIODO Imp.]],CJ$9)</f>
        <v>0</v>
      </c>
      <c r="CK822" s="693">
        <f>SUMIFS(Imput[[Importe Neto]:[Importe Neto]],Imput[[C. Imp.]:[C. Imp.]],$D822,Imput[[PERIODO Imp.]:[PERIODO Imp.]],CK$9)</f>
        <v>0</v>
      </c>
      <c r="CL822" s="693">
        <f>SUMIFS(Imput[[Importe Neto]:[Importe Neto]],Imput[[C. Imp.]:[C. Imp.]],$D822,Imput[[PERIODO Imp.]:[PERIODO Imp.]],CL$9)</f>
        <v>0</v>
      </c>
      <c r="CM822" s="693">
        <f>SUMIFS(Imput[[Importe Neto]:[Importe Neto]],Imput[[C. Imp.]:[C. Imp.]],$D822,Imput[[PERIODO Imp.]:[PERIODO Imp.]],CM$9)</f>
        <v>0</v>
      </c>
      <c r="CN822" s="693">
        <f>SUMIFS(Imput[[Importe Neto]:[Importe Neto]],Imput[[C. Imp.]:[C. Imp.]],$D822,Imput[[PERIODO Imp.]:[PERIODO Imp.]],CN$9)</f>
        <v>0</v>
      </c>
      <c r="CO822" s="693">
        <f>SUMIFS(Imput[[Importe Neto]:[Importe Neto]],Imput[[C. Imp.]:[C. Imp.]],$D822,Imput[[PERIODO Imp.]:[PERIODO Imp.]],CO$9)</f>
        <v>0</v>
      </c>
      <c r="CP822" s="693">
        <f>SUMIFS(Imput[[Importe Neto]:[Importe Neto]],Imput[[C. Imp.]:[C. Imp.]],$D822,Imput[[PERIODO Imp.]:[PERIODO Imp.]],CP$9)</f>
        <v>0</v>
      </c>
      <c r="CQ822" s="693">
        <f>SUMIFS(Imput[[Importe Neto]:[Importe Neto]],Imput[[C. Imp.]:[C. Imp.]],$D822,Imput[[PERIODO Imp.]:[PERIODO Imp.]],CQ$9)</f>
        <v>0</v>
      </c>
      <c r="CR822" s="693">
        <f>SUMIFS(Imput[[Importe Neto]:[Importe Neto]],Imput[[C. Imp.]:[C. Imp.]],$D822,Imput[[PERIODO Imp.]:[PERIODO Imp.]],CR$9)</f>
        <v>0</v>
      </c>
      <c r="CS822" s="693">
        <f>SUMIFS(Imput[[Importe Neto]:[Importe Neto]],Imput[[C. Imp.]:[C. Imp.]],$D822,Imput[[PERIODO Imp.]:[PERIODO Imp.]],CS$9)</f>
        <v>0</v>
      </c>
      <c r="CT822" s="693">
        <f>SUMIFS(Imput[[Importe Neto]:[Importe Neto]],Imput[[C. Imp.]:[C. Imp.]],$D822,Imput[[PERIODO Imp.]:[PERIODO Imp.]],CT$9)</f>
        <v>0</v>
      </c>
      <c r="CU822" s="693">
        <f>SUMIFS(Imput[[Importe Neto]:[Importe Neto]],Imput[[C. Imp.]:[C. Imp.]],$D822,Imput[[PERIODO Imp.]:[PERIODO Imp.]],CU$9)</f>
        <v>0</v>
      </c>
      <c r="CV822" s="693">
        <f>SUMIFS(Imput[[Importe Neto]:[Importe Neto]],Imput[[C. Imp.]:[C. Imp.]],$D822,Imput[[PERIODO Imp.]:[PERIODO Imp.]],CV$9)</f>
        <v>0</v>
      </c>
      <c r="CW822" s="693">
        <f>SUMIFS(Imput[[Importe Neto]:[Importe Neto]],Imput[[C. Imp.]:[C. Imp.]],$D822,Imput[[PERIODO Imp.]:[PERIODO Imp.]],CW$9)</f>
        <v>0</v>
      </c>
      <c r="CX822" s="693">
        <f>SUMIFS(Imput[[Importe Neto]:[Importe Neto]],Imput[[C. Imp.]:[C. Imp.]],$D822,Imput[[PERIODO Imp.]:[PERIODO Imp.]],CX$9)</f>
        <v>0</v>
      </c>
      <c r="CY822" s="693">
        <f>SUMIFS(Imput[[Importe Neto]:[Importe Neto]],Imput[[C. Imp.]:[C. Imp.]],$D822,Imput[[PERIODO Imp.]:[PERIODO Imp.]],CY$9)</f>
        <v>0</v>
      </c>
      <c r="CZ822" s="693">
        <f>SUMIFS(Imput[[Importe Neto]:[Importe Neto]],Imput[[C. Imp.]:[C. Imp.]],$D822,Imput[[PERIODO Imp.]:[PERIODO Imp.]],CZ$9)</f>
        <v>0</v>
      </c>
      <c r="DA822" s="693">
        <f>SUMIFS(Imput[[Importe Neto]:[Importe Neto]],Imput[[C. Imp.]:[C. Imp.]],$D822,Imput[[PERIODO Imp.]:[PERIODO Imp.]],DA$9)</f>
        <v>0</v>
      </c>
      <c r="DB822" s="693">
        <f>SUMIFS(Imput[[Importe Neto]:[Importe Neto]],Imput[[C. Imp.]:[C. Imp.]],$D822,Imput[[PERIODO Imp.]:[PERIODO Imp.]],DB$9)</f>
        <v>0</v>
      </c>
      <c r="DC822" s="693">
        <f>SUMIFS(Imput[[Importe Neto]:[Importe Neto]],Imput[[C. Imp.]:[C. Imp.]],$D822,Imput[[PERIODO Imp.]:[PERIODO Imp.]],DC$9)</f>
        <v>0</v>
      </c>
      <c r="DD822" s="693">
        <f>SUMIFS(Imput[[Importe Neto]:[Importe Neto]],Imput[[C. Imp.]:[C. Imp.]],$D822,Imput[[PERIODO Imp.]:[PERIODO Imp.]],DD$9)</f>
        <v>0</v>
      </c>
      <c r="DE822" s="693">
        <f>SUMIFS(Imput[[Importe Neto]:[Importe Neto]],Imput[[C. Imp.]:[C. Imp.]],$D822,Imput[[PERIODO Imp.]:[PERIODO Imp.]],DE$9)</f>
        <v>0</v>
      </c>
      <c r="DF822" s="693">
        <f>SUMIFS(Imput[[Importe Neto]:[Importe Neto]],Imput[[C. Imp.]:[C. Imp.]],$D822,Imput[[PERIODO Imp.]:[PERIODO Imp.]],DF$9)</f>
        <v>0</v>
      </c>
      <c r="DG822" s="693">
        <f>SUMIFS(Imput[[Importe Neto]:[Importe Neto]],Imput[[C. Imp.]:[C. Imp.]],$D822,Imput[[PERIODO Imp.]:[PERIODO Imp.]],DG$9)</f>
        <v>0</v>
      </c>
      <c r="DH822" s="694">
        <f>SUMIFS(Imput[[Importe Neto]:[Importe Neto]],Imput[[C. Imp.]:[C. Imp.]],$D822,Imput[[PERIODO Imp.]:[PERIODO Imp.]],DH$9)</f>
        <v>0</v>
      </c>
    </row>
    <row r="823" spans="1:112" s="649" customFormat="1" hidden="1" outlineLevel="1" x14ac:dyDescent="0.3">
      <c r="A823" s="652" t="str">
        <f t="shared" si="280"/>
        <v/>
      </c>
      <c r="B823" s="652"/>
      <c r="C823" s="685"/>
      <c r="D823" s="686" t="s">
        <v>2803</v>
      </c>
      <c r="E823" s="686"/>
      <c r="F823" s="720"/>
      <c r="G823" s="688"/>
      <c r="H823" s="696"/>
      <c r="I823" s="851" t="str">
        <f t="shared" si="285"/>
        <v/>
      </c>
      <c r="J823" s="850" t="str">
        <f t="shared" si="282"/>
        <v/>
      </c>
      <c r="K823" s="667"/>
      <c r="L823" s="858"/>
      <c r="M823" s="859"/>
      <c r="N823" s="859"/>
      <c r="O823" s="859"/>
      <c r="P823" s="859"/>
      <c r="Q823" s="859"/>
      <c r="R823" s="859"/>
      <c r="S823" s="859"/>
      <c r="T823" s="859"/>
      <c r="U823" s="859"/>
      <c r="V823" s="859"/>
      <c r="W823" s="859"/>
      <c r="X823" s="859"/>
      <c r="Y823" s="859"/>
      <c r="Z823" s="860"/>
      <c r="AA823" s="860"/>
      <c r="AB823" s="860"/>
      <c r="AC823" s="860"/>
      <c r="AD823" s="860"/>
      <c r="AE823" s="860"/>
      <c r="AF823" s="860"/>
      <c r="AG823" s="860"/>
      <c r="AH823" s="860"/>
      <c r="AI823" s="860"/>
      <c r="AJ823" s="860"/>
      <c r="AK823" s="860"/>
      <c r="AL823" s="860"/>
      <c r="AM823" s="860"/>
      <c r="AN823" s="860"/>
      <c r="AO823" s="860"/>
      <c r="AP823" s="860"/>
      <c r="AQ823" s="860"/>
      <c r="AR823" s="860"/>
      <c r="AS823" s="860"/>
      <c r="AT823" s="860"/>
      <c r="AU823" s="860"/>
      <c r="AV823" s="860"/>
      <c r="AW823" s="860"/>
      <c r="AX823" s="860"/>
      <c r="AY823" s="860"/>
      <c r="AZ823" s="860"/>
      <c r="BA823" s="860"/>
      <c r="BB823" s="860"/>
      <c r="BC823" s="860"/>
      <c r="BD823" s="860"/>
      <c r="BE823" s="860"/>
      <c r="BF823" s="860"/>
      <c r="BG823" s="860"/>
      <c r="BH823" s="668"/>
      <c r="BI823" s="667"/>
      <c r="BJ823" s="690">
        <f t="shared" si="286"/>
        <v>0</v>
      </c>
      <c r="BK823" s="691">
        <f t="shared" si="287"/>
        <v>0</v>
      </c>
      <c r="BL823" s="654"/>
      <c r="BM823" s="692">
        <f>SUMIFS(Imput[[Importe Neto]:[Importe Neto]],Imput[[C. Imp.]:[C. Imp.]],$D823,Imput[[PERIODO Imp.]:[PERIODO Imp.]],BM$9)</f>
        <v>0</v>
      </c>
      <c r="BN823" s="693">
        <f>SUMIFS(Imput[[Importe Neto]:[Importe Neto]],Imput[[C. Imp.]:[C. Imp.]],$D823,Imput[[PERIODO Imp.]:[PERIODO Imp.]],BN$9)</f>
        <v>0</v>
      </c>
      <c r="BO823" s="693">
        <f>SUMIFS(Imput[[Importe Neto]:[Importe Neto]],Imput[[C. Imp.]:[C. Imp.]],$D823,Imput[[PERIODO Imp.]:[PERIODO Imp.]],BO$9)</f>
        <v>0</v>
      </c>
      <c r="BP823" s="693">
        <f>SUMIFS(Imput[[Importe Neto]:[Importe Neto]],Imput[[C. Imp.]:[C. Imp.]],$D823,Imput[[PERIODO Imp.]:[PERIODO Imp.]],BP$9)</f>
        <v>0</v>
      </c>
      <c r="BQ823" s="693">
        <f>SUMIFS(Imput[[Importe Neto]:[Importe Neto]],Imput[[C. Imp.]:[C. Imp.]],$D823,Imput[[PERIODO Imp.]:[PERIODO Imp.]],BQ$9)</f>
        <v>0</v>
      </c>
      <c r="BR823" s="693">
        <f>SUMIFS(Imput[[Importe Neto]:[Importe Neto]],Imput[[C. Imp.]:[C. Imp.]],$D823,Imput[[PERIODO Imp.]:[PERIODO Imp.]],BR$9)</f>
        <v>0</v>
      </c>
      <c r="BS823" s="693">
        <f>SUMIFS(Imput[[Importe Neto]:[Importe Neto]],Imput[[C. Imp.]:[C. Imp.]],$D823,Imput[[PERIODO Imp.]:[PERIODO Imp.]],BS$9)</f>
        <v>0</v>
      </c>
      <c r="BT823" s="693">
        <f>SUMIFS(Imput[[Importe Neto]:[Importe Neto]],Imput[[C. Imp.]:[C. Imp.]],$D823,Imput[[PERIODO Imp.]:[PERIODO Imp.]],BT$9)</f>
        <v>0</v>
      </c>
      <c r="BU823" s="693">
        <f>SUMIFS(Imput[[Importe Neto]:[Importe Neto]],Imput[[C. Imp.]:[C. Imp.]],$D823,Imput[[PERIODO Imp.]:[PERIODO Imp.]],BU$9)</f>
        <v>0</v>
      </c>
      <c r="BV823" s="693">
        <f>SUMIFS(Imput[[Importe Neto]:[Importe Neto]],Imput[[C. Imp.]:[C. Imp.]],$D823,Imput[[PERIODO Imp.]:[PERIODO Imp.]],BV$9)</f>
        <v>0</v>
      </c>
      <c r="BW823" s="693">
        <f>SUMIFS(Imput[[Importe Neto]:[Importe Neto]],Imput[[C. Imp.]:[C. Imp.]],$D823,Imput[[PERIODO Imp.]:[PERIODO Imp.]],BW$9)</f>
        <v>0</v>
      </c>
      <c r="BX823" s="693">
        <f>SUMIFS(Imput[[Importe Neto]:[Importe Neto]],Imput[[C. Imp.]:[C. Imp.]],$D823,Imput[[PERIODO Imp.]:[PERIODO Imp.]],BX$9)</f>
        <v>0</v>
      </c>
      <c r="BY823" s="693">
        <f>SUMIFS(Imput[[Importe Neto]:[Importe Neto]],Imput[[C. Imp.]:[C. Imp.]],$D823,Imput[[PERIODO Imp.]:[PERIODO Imp.]],BY$9)</f>
        <v>0</v>
      </c>
      <c r="BZ823" s="693">
        <f>SUMIFS(Imput[[Importe Neto]:[Importe Neto]],Imput[[C. Imp.]:[C. Imp.]],$D823,Imput[[PERIODO Imp.]:[PERIODO Imp.]],BZ$9)</f>
        <v>0</v>
      </c>
      <c r="CA823" s="693">
        <f>SUMIFS(Imput[[Importe Neto]:[Importe Neto]],Imput[[C. Imp.]:[C. Imp.]],$D823,Imput[[PERIODO Imp.]:[PERIODO Imp.]],CA$9)</f>
        <v>0</v>
      </c>
      <c r="CB823" s="693">
        <f>SUMIFS(Imput[[Importe Neto]:[Importe Neto]],Imput[[C. Imp.]:[C. Imp.]],$D823,Imput[[PERIODO Imp.]:[PERIODO Imp.]],CB$9)</f>
        <v>0</v>
      </c>
      <c r="CC823" s="693">
        <f>SUMIFS(Imput[[Importe Neto]:[Importe Neto]],Imput[[C. Imp.]:[C. Imp.]],$D823,Imput[[PERIODO Imp.]:[PERIODO Imp.]],CC$9)</f>
        <v>0</v>
      </c>
      <c r="CD823" s="693">
        <f>SUMIFS(Imput[[Importe Neto]:[Importe Neto]],Imput[[C. Imp.]:[C. Imp.]],$D823,Imput[[PERIODO Imp.]:[PERIODO Imp.]],CD$9)</f>
        <v>0</v>
      </c>
      <c r="CE823" s="693">
        <f>SUMIFS(Imput[[Importe Neto]:[Importe Neto]],Imput[[C. Imp.]:[C. Imp.]],$D823,Imput[[PERIODO Imp.]:[PERIODO Imp.]],CE$9)</f>
        <v>0</v>
      </c>
      <c r="CF823" s="693">
        <f>SUMIFS(Imput[[Importe Neto]:[Importe Neto]],Imput[[C. Imp.]:[C. Imp.]],$D823,Imput[[PERIODO Imp.]:[PERIODO Imp.]],CF$9)</f>
        <v>0</v>
      </c>
      <c r="CG823" s="693">
        <f>SUMIFS(Imput[[Importe Neto]:[Importe Neto]],Imput[[C. Imp.]:[C. Imp.]],$D823,Imput[[PERIODO Imp.]:[PERIODO Imp.]],CG$9)</f>
        <v>0</v>
      </c>
      <c r="CH823" s="693">
        <f>SUMIFS(Imput[[Importe Neto]:[Importe Neto]],Imput[[C. Imp.]:[C. Imp.]],$D823,Imput[[PERIODO Imp.]:[PERIODO Imp.]],CH$9)</f>
        <v>0</v>
      </c>
      <c r="CI823" s="693">
        <f>SUMIFS(Imput[[Importe Neto]:[Importe Neto]],Imput[[C. Imp.]:[C. Imp.]],$D823,Imput[[PERIODO Imp.]:[PERIODO Imp.]],CI$9)</f>
        <v>0</v>
      </c>
      <c r="CJ823" s="693">
        <f>SUMIFS(Imput[[Importe Neto]:[Importe Neto]],Imput[[C. Imp.]:[C. Imp.]],$D823,Imput[[PERIODO Imp.]:[PERIODO Imp.]],CJ$9)</f>
        <v>0</v>
      </c>
      <c r="CK823" s="693">
        <f>SUMIFS(Imput[[Importe Neto]:[Importe Neto]],Imput[[C. Imp.]:[C. Imp.]],$D823,Imput[[PERIODO Imp.]:[PERIODO Imp.]],CK$9)</f>
        <v>0</v>
      </c>
      <c r="CL823" s="693">
        <f>SUMIFS(Imput[[Importe Neto]:[Importe Neto]],Imput[[C. Imp.]:[C. Imp.]],$D823,Imput[[PERIODO Imp.]:[PERIODO Imp.]],CL$9)</f>
        <v>0</v>
      </c>
      <c r="CM823" s="693">
        <f>SUMIFS(Imput[[Importe Neto]:[Importe Neto]],Imput[[C. Imp.]:[C. Imp.]],$D823,Imput[[PERIODO Imp.]:[PERIODO Imp.]],CM$9)</f>
        <v>0</v>
      </c>
      <c r="CN823" s="693">
        <f>SUMIFS(Imput[[Importe Neto]:[Importe Neto]],Imput[[C. Imp.]:[C. Imp.]],$D823,Imput[[PERIODO Imp.]:[PERIODO Imp.]],CN$9)</f>
        <v>0</v>
      </c>
      <c r="CO823" s="693">
        <f>SUMIFS(Imput[[Importe Neto]:[Importe Neto]],Imput[[C. Imp.]:[C. Imp.]],$D823,Imput[[PERIODO Imp.]:[PERIODO Imp.]],CO$9)</f>
        <v>0</v>
      </c>
      <c r="CP823" s="693">
        <f>SUMIFS(Imput[[Importe Neto]:[Importe Neto]],Imput[[C. Imp.]:[C. Imp.]],$D823,Imput[[PERIODO Imp.]:[PERIODO Imp.]],CP$9)</f>
        <v>0</v>
      </c>
      <c r="CQ823" s="693">
        <f>SUMIFS(Imput[[Importe Neto]:[Importe Neto]],Imput[[C. Imp.]:[C. Imp.]],$D823,Imput[[PERIODO Imp.]:[PERIODO Imp.]],CQ$9)</f>
        <v>0</v>
      </c>
      <c r="CR823" s="693">
        <f>SUMIFS(Imput[[Importe Neto]:[Importe Neto]],Imput[[C. Imp.]:[C. Imp.]],$D823,Imput[[PERIODO Imp.]:[PERIODO Imp.]],CR$9)</f>
        <v>0</v>
      </c>
      <c r="CS823" s="693">
        <f>SUMIFS(Imput[[Importe Neto]:[Importe Neto]],Imput[[C. Imp.]:[C. Imp.]],$D823,Imput[[PERIODO Imp.]:[PERIODO Imp.]],CS$9)</f>
        <v>0</v>
      </c>
      <c r="CT823" s="693">
        <f>SUMIFS(Imput[[Importe Neto]:[Importe Neto]],Imput[[C. Imp.]:[C. Imp.]],$D823,Imput[[PERIODO Imp.]:[PERIODO Imp.]],CT$9)</f>
        <v>0</v>
      </c>
      <c r="CU823" s="693">
        <f>SUMIFS(Imput[[Importe Neto]:[Importe Neto]],Imput[[C. Imp.]:[C. Imp.]],$D823,Imput[[PERIODO Imp.]:[PERIODO Imp.]],CU$9)</f>
        <v>0</v>
      </c>
      <c r="CV823" s="693">
        <f>SUMIFS(Imput[[Importe Neto]:[Importe Neto]],Imput[[C. Imp.]:[C. Imp.]],$D823,Imput[[PERIODO Imp.]:[PERIODO Imp.]],CV$9)</f>
        <v>0</v>
      </c>
      <c r="CW823" s="693">
        <f>SUMIFS(Imput[[Importe Neto]:[Importe Neto]],Imput[[C. Imp.]:[C. Imp.]],$D823,Imput[[PERIODO Imp.]:[PERIODO Imp.]],CW$9)</f>
        <v>0</v>
      </c>
      <c r="CX823" s="693">
        <f>SUMIFS(Imput[[Importe Neto]:[Importe Neto]],Imput[[C. Imp.]:[C. Imp.]],$D823,Imput[[PERIODO Imp.]:[PERIODO Imp.]],CX$9)</f>
        <v>0</v>
      </c>
      <c r="CY823" s="693">
        <f>SUMIFS(Imput[[Importe Neto]:[Importe Neto]],Imput[[C. Imp.]:[C. Imp.]],$D823,Imput[[PERIODO Imp.]:[PERIODO Imp.]],CY$9)</f>
        <v>0</v>
      </c>
      <c r="CZ823" s="693">
        <f>SUMIFS(Imput[[Importe Neto]:[Importe Neto]],Imput[[C. Imp.]:[C. Imp.]],$D823,Imput[[PERIODO Imp.]:[PERIODO Imp.]],CZ$9)</f>
        <v>0</v>
      </c>
      <c r="DA823" s="693">
        <f>SUMIFS(Imput[[Importe Neto]:[Importe Neto]],Imput[[C. Imp.]:[C. Imp.]],$D823,Imput[[PERIODO Imp.]:[PERIODO Imp.]],DA$9)</f>
        <v>0</v>
      </c>
      <c r="DB823" s="693">
        <f>SUMIFS(Imput[[Importe Neto]:[Importe Neto]],Imput[[C. Imp.]:[C. Imp.]],$D823,Imput[[PERIODO Imp.]:[PERIODO Imp.]],DB$9)</f>
        <v>0</v>
      </c>
      <c r="DC823" s="693">
        <f>SUMIFS(Imput[[Importe Neto]:[Importe Neto]],Imput[[C. Imp.]:[C. Imp.]],$D823,Imput[[PERIODO Imp.]:[PERIODO Imp.]],DC$9)</f>
        <v>0</v>
      </c>
      <c r="DD823" s="693">
        <f>SUMIFS(Imput[[Importe Neto]:[Importe Neto]],Imput[[C. Imp.]:[C. Imp.]],$D823,Imput[[PERIODO Imp.]:[PERIODO Imp.]],DD$9)</f>
        <v>0</v>
      </c>
      <c r="DE823" s="693">
        <f>SUMIFS(Imput[[Importe Neto]:[Importe Neto]],Imput[[C. Imp.]:[C. Imp.]],$D823,Imput[[PERIODO Imp.]:[PERIODO Imp.]],DE$9)</f>
        <v>0</v>
      </c>
      <c r="DF823" s="693">
        <f>SUMIFS(Imput[[Importe Neto]:[Importe Neto]],Imput[[C. Imp.]:[C. Imp.]],$D823,Imput[[PERIODO Imp.]:[PERIODO Imp.]],DF$9)</f>
        <v>0</v>
      </c>
      <c r="DG823" s="693">
        <f>SUMIFS(Imput[[Importe Neto]:[Importe Neto]],Imput[[C. Imp.]:[C. Imp.]],$D823,Imput[[PERIODO Imp.]:[PERIODO Imp.]],DG$9)</f>
        <v>0</v>
      </c>
      <c r="DH823" s="694">
        <f>SUMIFS(Imput[[Importe Neto]:[Importe Neto]],Imput[[C. Imp.]:[C. Imp.]],$D823,Imput[[PERIODO Imp.]:[PERIODO Imp.]],DH$9)</f>
        <v>0</v>
      </c>
    </row>
    <row r="824" spans="1:112" s="649" customFormat="1" hidden="1" outlineLevel="1" x14ac:dyDescent="0.3">
      <c r="A824" s="652" t="str">
        <f t="shared" si="280"/>
        <v/>
      </c>
      <c r="B824" s="652"/>
      <c r="C824" s="685"/>
      <c r="D824" s="686" t="s">
        <v>2804</v>
      </c>
      <c r="E824" s="686"/>
      <c r="F824" s="720"/>
      <c r="G824" s="688"/>
      <c r="H824" s="696"/>
      <c r="I824" s="851" t="str">
        <f t="shared" si="285"/>
        <v/>
      </c>
      <c r="J824" s="850" t="str">
        <f t="shared" si="282"/>
        <v/>
      </c>
      <c r="K824" s="678"/>
      <c r="L824" s="858"/>
      <c r="M824" s="859"/>
      <c r="N824" s="859"/>
      <c r="O824" s="859"/>
      <c r="P824" s="859"/>
      <c r="Q824" s="859"/>
      <c r="R824" s="859"/>
      <c r="S824" s="859"/>
      <c r="T824" s="859"/>
      <c r="U824" s="859"/>
      <c r="V824" s="859"/>
      <c r="W824" s="859"/>
      <c r="X824" s="859"/>
      <c r="Y824" s="859"/>
      <c r="Z824" s="860"/>
      <c r="AA824" s="860"/>
      <c r="AB824" s="860"/>
      <c r="AC824" s="860"/>
      <c r="AD824" s="860"/>
      <c r="AE824" s="860"/>
      <c r="AF824" s="860"/>
      <c r="AG824" s="860"/>
      <c r="AH824" s="860"/>
      <c r="AI824" s="860"/>
      <c r="AJ824" s="860"/>
      <c r="AK824" s="860"/>
      <c r="AL824" s="860"/>
      <c r="AM824" s="860"/>
      <c r="AN824" s="860"/>
      <c r="AO824" s="860"/>
      <c r="AP824" s="860"/>
      <c r="AQ824" s="860"/>
      <c r="AR824" s="860"/>
      <c r="AS824" s="860"/>
      <c r="AT824" s="860"/>
      <c r="AU824" s="860"/>
      <c r="AV824" s="860"/>
      <c r="AW824" s="860"/>
      <c r="AX824" s="860"/>
      <c r="AY824" s="860"/>
      <c r="AZ824" s="860"/>
      <c r="BA824" s="860"/>
      <c r="BB824" s="860"/>
      <c r="BC824" s="860"/>
      <c r="BD824" s="860"/>
      <c r="BE824" s="860"/>
      <c r="BF824" s="860"/>
      <c r="BG824" s="860"/>
      <c r="BH824" s="668"/>
      <c r="BI824" s="654"/>
      <c r="BJ824" s="690">
        <f t="shared" si="286"/>
        <v>0</v>
      </c>
      <c r="BK824" s="691">
        <f t="shared" si="287"/>
        <v>0</v>
      </c>
      <c r="BL824" s="654"/>
      <c r="BM824" s="692">
        <f>SUMIFS(Imput[[Importe Neto]:[Importe Neto]],Imput[[C. Imp.]:[C. Imp.]],$D824,Imput[[PERIODO Imp.]:[PERIODO Imp.]],BM$9)</f>
        <v>0</v>
      </c>
      <c r="BN824" s="693">
        <f>SUMIFS(Imput[[Importe Neto]:[Importe Neto]],Imput[[C. Imp.]:[C. Imp.]],$D824,Imput[[PERIODO Imp.]:[PERIODO Imp.]],BN$9)</f>
        <v>0</v>
      </c>
      <c r="BO824" s="693">
        <f>SUMIFS(Imput[[Importe Neto]:[Importe Neto]],Imput[[C. Imp.]:[C. Imp.]],$D824,Imput[[PERIODO Imp.]:[PERIODO Imp.]],BO$9)</f>
        <v>0</v>
      </c>
      <c r="BP824" s="693">
        <f>SUMIFS(Imput[[Importe Neto]:[Importe Neto]],Imput[[C. Imp.]:[C. Imp.]],$D824,Imput[[PERIODO Imp.]:[PERIODO Imp.]],BP$9)</f>
        <v>0</v>
      </c>
      <c r="BQ824" s="693">
        <f>SUMIFS(Imput[[Importe Neto]:[Importe Neto]],Imput[[C. Imp.]:[C. Imp.]],$D824,Imput[[PERIODO Imp.]:[PERIODO Imp.]],BQ$9)</f>
        <v>0</v>
      </c>
      <c r="BR824" s="693">
        <f>SUMIFS(Imput[[Importe Neto]:[Importe Neto]],Imput[[C. Imp.]:[C. Imp.]],$D824,Imput[[PERIODO Imp.]:[PERIODO Imp.]],BR$9)</f>
        <v>0</v>
      </c>
      <c r="BS824" s="693">
        <f>SUMIFS(Imput[[Importe Neto]:[Importe Neto]],Imput[[C. Imp.]:[C. Imp.]],$D824,Imput[[PERIODO Imp.]:[PERIODO Imp.]],BS$9)</f>
        <v>0</v>
      </c>
      <c r="BT824" s="693">
        <f>SUMIFS(Imput[[Importe Neto]:[Importe Neto]],Imput[[C. Imp.]:[C. Imp.]],$D824,Imput[[PERIODO Imp.]:[PERIODO Imp.]],BT$9)</f>
        <v>0</v>
      </c>
      <c r="BU824" s="693">
        <f>SUMIFS(Imput[[Importe Neto]:[Importe Neto]],Imput[[C. Imp.]:[C. Imp.]],$D824,Imput[[PERIODO Imp.]:[PERIODO Imp.]],BU$9)</f>
        <v>0</v>
      </c>
      <c r="BV824" s="693">
        <f>SUMIFS(Imput[[Importe Neto]:[Importe Neto]],Imput[[C. Imp.]:[C. Imp.]],$D824,Imput[[PERIODO Imp.]:[PERIODO Imp.]],BV$9)</f>
        <v>0</v>
      </c>
      <c r="BW824" s="693">
        <f>SUMIFS(Imput[[Importe Neto]:[Importe Neto]],Imput[[C. Imp.]:[C. Imp.]],$D824,Imput[[PERIODO Imp.]:[PERIODO Imp.]],BW$9)</f>
        <v>0</v>
      </c>
      <c r="BX824" s="693">
        <f>SUMIFS(Imput[[Importe Neto]:[Importe Neto]],Imput[[C. Imp.]:[C. Imp.]],$D824,Imput[[PERIODO Imp.]:[PERIODO Imp.]],BX$9)</f>
        <v>0</v>
      </c>
      <c r="BY824" s="693">
        <f>SUMIFS(Imput[[Importe Neto]:[Importe Neto]],Imput[[C. Imp.]:[C. Imp.]],$D824,Imput[[PERIODO Imp.]:[PERIODO Imp.]],BY$9)</f>
        <v>0</v>
      </c>
      <c r="BZ824" s="693">
        <f>SUMIFS(Imput[[Importe Neto]:[Importe Neto]],Imput[[C. Imp.]:[C. Imp.]],$D824,Imput[[PERIODO Imp.]:[PERIODO Imp.]],BZ$9)</f>
        <v>0</v>
      </c>
      <c r="CA824" s="693">
        <f>SUMIFS(Imput[[Importe Neto]:[Importe Neto]],Imput[[C. Imp.]:[C. Imp.]],$D824,Imput[[PERIODO Imp.]:[PERIODO Imp.]],CA$9)</f>
        <v>0</v>
      </c>
      <c r="CB824" s="693">
        <f>SUMIFS(Imput[[Importe Neto]:[Importe Neto]],Imput[[C. Imp.]:[C. Imp.]],$D824,Imput[[PERIODO Imp.]:[PERIODO Imp.]],CB$9)</f>
        <v>0</v>
      </c>
      <c r="CC824" s="693">
        <f>SUMIFS(Imput[[Importe Neto]:[Importe Neto]],Imput[[C. Imp.]:[C. Imp.]],$D824,Imput[[PERIODO Imp.]:[PERIODO Imp.]],CC$9)</f>
        <v>0</v>
      </c>
      <c r="CD824" s="693">
        <f>SUMIFS(Imput[[Importe Neto]:[Importe Neto]],Imput[[C. Imp.]:[C. Imp.]],$D824,Imput[[PERIODO Imp.]:[PERIODO Imp.]],CD$9)</f>
        <v>0</v>
      </c>
      <c r="CE824" s="693">
        <f>SUMIFS(Imput[[Importe Neto]:[Importe Neto]],Imput[[C. Imp.]:[C. Imp.]],$D824,Imput[[PERIODO Imp.]:[PERIODO Imp.]],CE$9)</f>
        <v>0</v>
      </c>
      <c r="CF824" s="693">
        <f>SUMIFS(Imput[[Importe Neto]:[Importe Neto]],Imput[[C. Imp.]:[C. Imp.]],$D824,Imput[[PERIODO Imp.]:[PERIODO Imp.]],CF$9)</f>
        <v>0</v>
      </c>
      <c r="CG824" s="693">
        <f>SUMIFS(Imput[[Importe Neto]:[Importe Neto]],Imput[[C. Imp.]:[C. Imp.]],$D824,Imput[[PERIODO Imp.]:[PERIODO Imp.]],CG$9)</f>
        <v>0</v>
      </c>
      <c r="CH824" s="693">
        <f>SUMIFS(Imput[[Importe Neto]:[Importe Neto]],Imput[[C. Imp.]:[C. Imp.]],$D824,Imput[[PERIODO Imp.]:[PERIODO Imp.]],CH$9)</f>
        <v>0</v>
      </c>
      <c r="CI824" s="693">
        <f>SUMIFS(Imput[[Importe Neto]:[Importe Neto]],Imput[[C. Imp.]:[C. Imp.]],$D824,Imput[[PERIODO Imp.]:[PERIODO Imp.]],CI$9)</f>
        <v>0</v>
      </c>
      <c r="CJ824" s="693">
        <f>SUMIFS(Imput[[Importe Neto]:[Importe Neto]],Imput[[C. Imp.]:[C. Imp.]],$D824,Imput[[PERIODO Imp.]:[PERIODO Imp.]],CJ$9)</f>
        <v>0</v>
      </c>
      <c r="CK824" s="693">
        <f>SUMIFS(Imput[[Importe Neto]:[Importe Neto]],Imput[[C. Imp.]:[C. Imp.]],$D824,Imput[[PERIODO Imp.]:[PERIODO Imp.]],CK$9)</f>
        <v>0</v>
      </c>
      <c r="CL824" s="693">
        <f>SUMIFS(Imput[[Importe Neto]:[Importe Neto]],Imput[[C. Imp.]:[C. Imp.]],$D824,Imput[[PERIODO Imp.]:[PERIODO Imp.]],CL$9)</f>
        <v>0</v>
      </c>
      <c r="CM824" s="693">
        <f>SUMIFS(Imput[[Importe Neto]:[Importe Neto]],Imput[[C. Imp.]:[C. Imp.]],$D824,Imput[[PERIODO Imp.]:[PERIODO Imp.]],CM$9)</f>
        <v>0</v>
      </c>
      <c r="CN824" s="693">
        <f>SUMIFS(Imput[[Importe Neto]:[Importe Neto]],Imput[[C. Imp.]:[C. Imp.]],$D824,Imput[[PERIODO Imp.]:[PERIODO Imp.]],CN$9)</f>
        <v>0</v>
      </c>
      <c r="CO824" s="693">
        <f>SUMIFS(Imput[[Importe Neto]:[Importe Neto]],Imput[[C. Imp.]:[C. Imp.]],$D824,Imput[[PERIODO Imp.]:[PERIODO Imp.]],CO$9)</f>
        <v>0</v>
      </c>
      <c r="CP824" s="693">
        <f>SUMIFS(Imput[[Importe Neto]:[Importe Neto]],Imput[[C. Imp.]:[C. Imp.]],$D824,Imput[[PERIODO Imp.]:[PERIODO Imp.]],CP$9)</f>
        <v>0</v>
      </c>
      <c r="CQ824" s="693">
        <f>SUMIFS(Imput[[Importe Neto]:[Importe Neto]],Imput[[C. Imp.]:[C. Imp.]],$D824,Imput[[PERIODO Imp.]:[PERIODO Imp.]],CQ$9)</f>
        <v>0</v>
      </c>
      <c r="CR824" s="693">
        <f>SUMIFS(Imput[[Importe Neto]:[Importe Neto]],Imput[[C. Imp.]:[C. Imp.]],$D824,Imput[[PERIODO Imp.]:[PERIODO Imp.]],CR$9)</f>
        <v>0</v>
      </c>
      <c r="CS824" s="693">
        <f>SUMIFS(Imput[[Importe Neto]:[Importe Neto]],Imput[[C. Imp.]:[C. Imp.]],$D824,Imput[[PERIODO Imp.]:[PERIODO Imp.]],CS$9)</f>
        <v>0</v>
      </c>
      <c r="CT824" s="693">
        <f>SUMIFS(Imput[[Importe Neto]:[Importe Neto]],Imput[[C. Imp.]:[C. Imp.]],$D824,Imput[[PERIODO Imp.]:[PERIODO Imp.]],CT$9)</f>
        <v>0</v>
      </c>
      <c r="CU824" s="693">
        <f>SUMIFS(Imput[[Importe Neto]:[Importe Neto]],Imput[[C. Imp.]:[C. Imp.]],$D824,Imput[[PERIODO Imp.]:[PERIODO Imp.]],CU$9)</f>
        <v>0</v>
      </c>
      <c r="CV824" s="693">
        <f>SUMIFS(Imput[[Importe Neto]:[Importe Neto]],Imput[[C. Imp.]:[C. Imp.]],$D824,Imput[[PERIODO Imp.]:[PERIODO Imp.]],CV$9)</f>
        <v>0</v>
      </c>
      <c r="CW824" s="693">
        <f>SUMIFS(Imput[[Importe Neto]:[Importe Neto]],Imput[[C. Imp.]:[C. Imp.]],$D824,Imput[[PERIODO Imp.]:[PERIODO Imp.]],CW$9)</f>
        <v>0</v>
      </c>
      <c r="CX824" s="693">
        <f>SUMIFS(Imput[[Importe Neto]:[Importe Neto]],Imput[[C. Imp.]:[C. Imp.]],$D824,Imput[[PERIODO Imp.]:[PERIODO Imp.]],CX$9)</f>
        <v>0</v>
      </c>
      <c r="CY824" s="693">
        <f>SUMIFS(Imput[[Importe Neto]:[Importe Neto]],Imput[[C. Imp.]:[C. Imp.]],$D824,Imput[[PERIODO Imp.]:[PERIODO Imp.]],CY$9)</f>
        <v>0</v>
      </c>
      <c r="CZ824" s="693">
        <f>SUMIFS(Imput[[Importe Neto]:[Importe Neto]],Imput[[C. Imp.]:[C. Imp.]],$D824,Imput[[PERIODO Imp.]:[PERIODO Imp.]],CZ$9)</f>
        <v>0</v>
      </c>
      <c r="DA824" s="693">
        <f>SUMIFS(Imput[[Importe Neto]:[Importe Neto]],Imput[[C. Imp.]:[C. Imp.]],$D824,Imput[[PERIODO Imp.]:[PERIODO Imp.]],DA$9)</f>
        <v>0</v>
      </c>
      <c r="DB824" s="693">
        <f>SUMIFS(Imput[[Importe Neto]:[Importe Neto]],Imput[[C. Imp.]:[C. Imp.]],$D824,Imput[[PERIODO Imp.]:[PERIODO Imp.]],DB$9)</f>
        <v>0</v>
      </c>
      <c r="DC824" s="693">
        <f>SUMIFS(Imput[[Importe Neto]:[Importe Neto]],Imput[[C. Imp.]:[C. Imp.]],$D824,Imput[[PERIODO Imp.]:[PERIODO Imp.]],DC$9)</f>
        <v>0</v>
      </c>
      <c r="DD824" s="693">
        <f>SUMIFS(Imput[[Importe Neto]:[Importe Neto]],Imput[[C. Imp.]:[C. Imp.]],$D824,Imput[[PERIODO Imp.]:[PERIODO Imp.]],DD$9)</f>
        <v>0</v>
      </c>
      <c r="DE824" s="693">
        <f>SUMIFS(Imput[[Importe Neto]:[Importe Neto]],Imput[[C. Imp.]:[C. Imp.]],$D824,Imput[[PERIODO Imp.]:[PERIODO Imp.]],DE$9)</f>
        <v>0</v>
      </c>
      <c r="DF824" s="693">
        <f>SUMIFS(Imput[[Importe Neto]:[Importe Neto]],Imput[[C. Imp.]:[C. Imp.]],$D824,Imput[[PERIODO Imp.]:[PERIODO Imp.]],DF$9)</f>
        <v>0</v>
      </c>
      <c r="DG824" s="693">
        <f>SUMIFS(Imput[[Importe Neto]:[Importe Neto]],Imput[[C. Imp.]:[C. Imp.]],$D824,Imput[[PERIODO Imp.]:[PERIODO Imp.]],DG$9)</f>
        <v>0</v>
      </c>
      <c r="DH824" s="694">
        <f>SUMIFS(Imput[[Importe Neto]:[Importe Neto]],Imput[[C. Imp.]:[C. Imp.]],$D824,Imput[[PERIODO Imp.]:[PERIODO Imp.]],DH$9)</f>
        <v>0</v>
      </c>
    </row>
    <row r="825" spans="1:112" s="649" customFormat="1" hidden="1" outlineLevel="1" x14ac:dyDescent="0.3">
      <c r="A825" s="652" t="str">
        <f t="shared" si="280"/>
        <v/>
      </c>
      <c r="B825" s="652"/>
      <c r="C825" s="685"/>
      <c r="D825" s="686" t="s">
        <v>2805</v>
      </c>
      <c r="E825" s="728"/>
      <c r="F825" s="720"/>
      <c r="G825" s="688"/>
      <c r="H825" s="696"/>
      <c r="I825" s="851" t="str">
        <f t="shared" si="285"/>
        <v/>
      </c>
      <c r="J825" s="850" t="str">
        <f t="shared" si="282"/>
        <v/>
      </c>
      <c r="K825" s="667"/>
      <c r="L825" s="858"/>
      <c r="M825" s="859"/>
      <c r="N825" s="859"/>
      <c r="O825" s="859"/>
      <c r="P825" s="859"/>
      <c r="Q825" s="859"/>
      <c r="R825" s="859"/>
      <c r="S825" s="859"/>
      <c r="T825" s="859"/>
      <c r="U825" s="859"/>
      <c r="V825" s="859"/>
      <c r="W825" s="859"/>
      <c r="X825" s="859"/>
      <c r="Y825" s="859"/>
      <c r="Z825" s="860"/>
      <c r="AA825" s="860"/>
      <c r="AB825" s="860"/>
      <c r="AC825" s="860"/>
      <c r="AD825" s="860"/>
      <c r="AE825" s="860"/>
      <c r="AF825" s="860"/>
      <c r="AG825" s="860"/>
      <c r="AH825" s="860"/>
      <c r="AI825" s="860"/>
      <c r="AJ825" s="860"/>
      <c r="AK825" s="860"/>
      <c r="AL825" s="860"/>
      <c r="AM825" s="860"/>
      <c r="AN825" s="860"/>
      <c r="AO825" s="860"/>
      <c r="AP825" s="860"/>
      <c r="AQ825" s="860"/>
      <c r="AR825" s="860"/>
      <c r="AS825" s="860"/>
      <c r="AT825" s="860"/>
      <c r="AU825" s="860"/>
      <c r="AV825" s="860"/>
      <c r="AW825" s="860"/>
      <c r="AX825" s="860"/>
      <c r="AY825" s="860"/>
      <c r="AZ825" s="860"/>
      <c r="BA825" s="860"/>
      <c r="BB825" s="860"/>
      <c r="BC825" s="860"/>
      <c r="BD825" s="860"/>
      <c r="BE825" s="860"/>
      <c r="BF825" s="860"/>
      <c r="BG825" s="860"/>
      <c r="BH825" s="668"/>
      <c r="BI825" s="667"/>
      <c r="BJ825" s="690">
        <f t="shared" si="286"/>
        <v>0</v>
      </c>
      <c r="BK825" s="691">
        <f t="shared" si="287"/>
        <v>0</v>
      </c>
      <c r="BL825" s="654"/>
      <c r="BM825" s="692">
        <f>SUMIFS(Imput[[Importe Neto]:[Importe Neto]],Imput[[C. Imp.]:[C. Imp.]],$D825,Imput[[PERIODO Imp.]:[PERIODO Imp.]],BM$9)</f>
        <v>0</v>
      </c>
      <c r="BN825" s="693">
        <f>SUMIFS(Imput[[Importe Neto]:[Importe Neto]],Imput[[C. Imp.]:[C. Imp.]],$D825,Imput[[PERIODO Imp.]:[PERIODO Imp.]],BN$9)</f>
        <v>0</v>
      </c>
      <c r="BO825" s="693">
        <f>SUMIFS(Imput[[Importe Neto]:[Importe Neto]],Imput[[C. Imp.]:[C. Imp.]],$D825,Imput[[PERIODO Imp.]:[PERIODO Imp.]],BO$9)</f>
        <v>0</v>
      </c>
      <c r="BP825" s="693">
        <f>SUMIFS(Imput[[Importe Neto]:[Importe Neto]],Imput[[C. Imp.]:[C. Imp.]],$D825,Imput[[PERIODO Imp.]:[PERIODO Imp.]],BP$9)</f>
        <v>0</v>
      </c>
      <c r="BQ825" s="693">
        <f>SUMIFS(Imput[[Importe Neto]:[Importe Neto]],Imput[[C. Imp.]:[C. Imp.]],$D825,Imput[[PERIODO Imp.]:[PERIODO Imp.]],BQ$9)</f>
        <v>0</v>
      </c>
      <c r="BR825" s="693">
        <f>SUMIFS(Imput[[Importe Neto]:[Importe Neto]],Imput[[C. Imp.]:[C. Imp.]],$D825,Imput[[PERIODO Imp.]:[PERIODO Imp.]],BR$9)</f>
        <v>0</v>
      </c>
      <c r="BS825" s="693">
        <f>SUMIFS(Imput[[Importe Neto]:[Importe Neto]],Imput[[C. Imp.]:[C. Imp.]],$D825,Imput[[PERIODO Imp.]:[PERIODO Imp.]],BS$9)</f>
        <v>0</v>
      </c>
      <c r="BT825" s="693">
        <f>SUMIFS(Imput[[Importe Neto]:[Importe Neto]],Imput[[C. Imp.]:[C. Imp.]],$D825,Imput[[PERIODO Imp.]:[PERIODO Imp.]],BT$9)</f>
        <v>0</v>
      </c>
      <c r="BU825" s="693">
        <f>SUMIFS(Imput[[Importe Neto]:[Importe Neto]],Imput[[C. Imp.]:[C. Imp.]],$D825,Imput[[PERIODO Imp.]:[PERIODO Imp.]],BU$9)</f>
        <v>0</v>
      </c>
      <c r="BV825" s="693">
        <f>SUMIFS(Imput[[Importe Neto]:[Importe Neto]],Imput[[C. Imp.]:[C. Imp.]],$D825,Imput[[PERIODO Imp.]:[PERIODO Imp.]],BV$9)</f>
        <v>0</v>
      </c>
      <c r="BW825" s="693">
        <f>SUMIFS(Imput[[Importe Neto]:[Importe Neto]],Imput[[C. Imp.]:[C. Imp.]],$D825,Imput[[PERIODO Imp.]:[PERIODO Imp.]],BW$9)</f>
        <v>0</v>
      </c>
      <c r="BX825" s="693">
        <f>SUMIFS(Imput[[Importe Neto]:[Importe Neto]],Imput[[C. Imp.]:[C. Imp.]],$D825,Imput[[PERIODO Imp.]:[PERIODO Imp.]],BX$9)</f>
        <v>0</v>
      </c>
      <c r="BY825" s="693">
        <f>SUMIFS(Imput[[Importe Neto]:[Importe Neto]],Imput[[C. Imp.]:[C. Imp.]],$D825,Imput[[PERIODO Imp.]:[PERIODO Imp.]],BY$9)</f>
        <v>0</v>
      </c>
      <c r="BZ825" s="693">
        <f>SUMIFS(Imput[[Importe Neto]:[Importe Neto]],Imput[[C. Imp.]:[C. Imp.]],$D825,Imput[[PERIODO Imp.]:[PERIODO Imp.]],BZ$9)</f>
        <v>0</v>
      </c>
      <c r="CA825" s="693">
        <f>SUMIFS(Imput[[Importe Neto]:[Importe Neto]],Imput[[C. Imp.]:[C. Imp.]],$D825,Imput[[PERIODO Imp.]:[PERIODO Imp.]],CA$9)</f>
        <v>0</v>
      </c>
      <c r="CB825" s="693">
        <f>SUMIFS(Imput[[Importe Neto]:[Importe Neto]],Imput[[C. Imp.]:[C. Imp.]],$D825,Imput[[PERIODO Imp.]:[PERIODO Imp.]],CB$9)</f>
        <v>0</v>
      </c>
      <c r="CC825" s="693">
        <f>SUMIFS(Imput[[Importe Neto]:[Importe Neto]],Imput[[C. Imp.]:[C. Imp.]],$D825,Imput[[PERIODO Imp.]:[PERIODO Imp.]],CC$9)</f>
        <v>0</v>
      </c>
      <c r="CD825" s="693">
        <f>SUMIFS(Imput[[Importe Neto]:[Importe Neto]],Imput[[C. Imp.]:[C. Imp.]],$D825,Imput[[PERIODO Imp.]:[PERIODO Imp.]],CD$9)</f>
        <v>0</v>
      </c>
      <c r="CE825" s="693">
        <f>SUMIFS(Imput[[Importe Neto]:[Importe Neto]],Imput[[C. Imp.]:[C. Imp.]],$D825,Imput[[PERIODO Imp.]:[PERIODO Imp.]],CE$9)</f>
        <v>0</v>
      </c>
      <c r="CF825" s="693">
        <f>SUMIFS(Imput[[Importe Neto]:[Importe Neto]],Imput[[C. Imp.]:[C. Imp.]],$D825,Imput[[PERIODO Imp.]:[PERIODO Imp.]],CF$9)</f>
        <v>0</v>
      </c>
      <c r="CG825" s="693">
        <f>SUMIFS(Imput[[Importe Neto]:[Importe Neto]],Imput[[C. Imp.]:[C. Imp.]],$D825,Imput[[PERIODO Imp.]:[PERIODO Imp.]],CG$9)</f>
        <v>0</v>
      </c>
      <c r="CH825" s="693">
        <f>SUMIFS(Imput[[Importe Neto]:[Importe Neto]],Imput[[C. Imp.]:[C. Imp.]],$D825,Imput[[PERIODO Imp.]:[PERIODO Imp.]],CH$9)</f>
        <v>0</v>
      </c>
      <c r="CI825" s="693">
        <f>SUMIFS(Imput[[Importe Neto]:[Importe Neto]],Imput[[C. Imp.]:[C. Imp.]],$D825,Imput[[PERIODO Imp.]:[PERIODO Imp.]],CI$9)</f>
        <v>0</v>
      </c>
      <c r="CJ825" s="693">
        <f>SUMIFS(Imput[[Importe Neto]:[Importe Neto]],Imput[[C. Imp.]:[C. Imp.]],$D825,Imput[[PERIODO Imp.]:[PERIODO Imp.]],CJ$9)</f>
        <v>0</v>
      </c>
      <c r="CK825" s="693">
        <f>SUMIFS(Imput[[Importe Neto]:[Importe Neto]],Imput[[C. Imp.]:[C. Imp.]],$D825,Imput[[PERIODO Imp.]:[PERIODO Imp.]],CK$9)</f>
        <v>0</v>
      </c>
      <c r="CL825" s="693">
        <f>SUMIFS(Imput[[Importe Neto]:[Importe Neto]],Imput[[C. Imp.]:[C. Imp.]],$D825,Imput[[PERIODO Imp.]:[PERIODO Imp.]],CL$9)</f>
        <v>0</v>
      </c>
      <c r="CM825" s="693">
        <f>SUMIFS(Imput[[Importe Neto]:[Importe Neto]],Imput[[C. Imp.]:[C. Imp.]],$D825,Imput[[PERIODO Imp.]:[PERIODO Imp.]],CM$9)</f>
        <v>0</v>
      </c>
      <c r="CN825" s="693">
        <f>SUMIFS(Imput[[Importe Neto]:[Importe Neto]],Imput[[C. Imp.]:[C. Imp.]],$D825,Imput[[PERIODO Imp.]:[PERIODO Imp.]],CN$9)</f>
        <v>0</v>
      </c>
      <c r="CO825" s="693">
        <f>SUMIFS(Imput[[Importe Neto]:[Importe Neto]],Imput[[C. Imp.]:[C. Imp.]],$D825,Imput[[PERIODO Imp.]:[PERIODO Imp.]],CO$9)</f>
        <v>0</v>
      </c>
      <c r="CP825" s="693">
        <f>SUMIFS(Imput[[Importe Neto]:[Importe Neto]],Imput[[C. Imp.]:[C. Imp.]],$D825,Imput[[PERIODO Imp.]:[PERIODO Imp.]],CP$9)</f>
        <v>0</v>
      </c>
      <c r="CQ825" s="693">
        <f>SUMIFS(Imput[[Importe Neto]:[Importe Neto]],Imput[[C. Imp.]:[C. Imp.]],$D825,Imput[[PERIODO Imp.]:[PERIODO Imp.]],CQ$9)</f>
        <v>0</v>
      </c>
      <c r="CR825" s="693">
        <f>SUMIFS(Imput[[Importe Neto]:[Importe Neto]],Imput[[C. Imp.]:[C. Imp.]],$D825,Imput[[PERIODO Imp.]:[PERIODO Imp.]],CR$9)</f>
        <v>0</v>
      </c>
      <c r="CS825" s="693">
        <f>SUMIFS(Imput[[Importe Neto]:[Importe Neto]],Imput[[C. Imp.]:[C. Imp.]],$D825,Imput[[PERIODO Imp.]:[PERIODO Imp.]],CS$9)</f>
        <v>0</v>
      </c>
      <c r="CT825" s="693">
        <f>SUMIFS(Imput[[Importe Neto]:[Importe Neto]],Imput[[C. Imp.]:[C. Imp.]],$D825,Imput[[PERIODO Imp.]:[PERIODO Imp.]],CT$9)</f>
        <v>0</v>
      </c>
      <c r="CU825" s="693">
        <f>SUMIFS(Imput[[Importe Neto]:[Importe Neto]],Imput[[C. Imp.]:[C. Imp.]],$D825,Imput[[PERIODO Imp.]:[PERIODO Imp.]],CU$9)</f>
        <v>0</v>
      </c>
      <c r="CV825" s="693">
        <f>SUMIFS(Imput[[Importe Neto]:[Importe Neto]],Imput[[C. Imp.]:[C. Imp.]],$D825,Imput[[PERIODO Imp.]:[PERIODO Imp.]],CV$9)</f>
        <v>0</v>
      </c>
      <c r="CW825" s="693">
        <f>SUMIFS(Imput[[Importe Neto]:[Importe Neto]],Imput[[C. Imp.]:[C. Imp.]],$D825,Imput[[PERIODO Imp.]:[PERIODO Imp.]],CW$9)</f>
        <v>0</v>
      </c>
      <c r="CX825" s="693">
        <f>SUMIFS(Imput[[Importe Neto]:[Importe Neto]],Imput[[C. Imp.]:[C. Imp.]],$D825,Imput[[PERIODO Imp.]:[PERIODO Imp.]],CX$9)</f>
        <v>0</v>
      </c>
      <c r="CY825" s="693">
        <f>SUMIFS(Imput[[Importe Neto]:[Importe Neto]],Imput[[C. Imp.]:[C. Imp.]],$D825,Imput[[PERIODO Imp.]:[PERIODO Imp.]],CY$9)</f>
        <v>0</v>
      </c>
      <c r="CZ825" s="693">
        <f>SUMIFS(Imput[[Importe Neto]:[Importe Neto]],Imput[[C. Imp.]:[C. Imp.]],$D825,Imput[[PERIODO Imp.]:[PERIODO Imp.]],CZ$9)</f>
        <v>0</v>
      </c>
      <c r="DA825" s="693">
        <f>SUMIFS(Imput[[Importe Neto]:[Importe Neto]],Imput[[C. Imp.]:[C. Imp.]],$D825,Imput[[PERIODO Imp.]:[PERIODO Imp.]],DA$9)</f>
        <v>0</v>
      </c>
      <c r="DB825" s="693">
        <f>SUMIFS(Imput[[Importe Neto]:[Importe Neto]],Imput[[C. Imp.]:[C. Imp.]],$D825,Imput[[PERIODO Imp.]:[PERIODO Imp.]],DB$9)</f>
        <v>0</v>
      </c>
      <c r="DC825" s="693">
        <f>SUMIFS(Imput[[Importe Neto]:[Importe Neto]],Imput[[C. Imp.]:[C. Imp.]],$D825,Imput[[PERIODO Imp.]:[PERIODO Imp.]],DC$9)</f>
        <v>0</v>
      </c>
      <c r="DD825" s="693">
        <f>SUMIFS(Imput[[Importe Neto]:[Importe Neto]],Imput[[C. Imp.]:[C. Imp.]],$D825,Imput[[PERIODO Imp.]:[PERIODO Imp.]],DD$9)</f>
        <v>0</v>
      </c>
      <c r="DE825" s="693">
        <f>SUMIFS(Imput[[Importe Neto]:[Importe Neto]],Imput[[C. Imp.]:[C. Imp.]],$D825,Imput[[PERIODO Imp.]:[PERIODO Imp.]],DE$9)</f>
        <v>0</v>
      </c>
      <c r="DF825" s="693">
        <f>SUMIFS(Imput[[Importe Neto]:[Importe Neto]],Imput[[C. Imp.]:[C. Imp.]],$D825,Imput[[PERIODO Imp.]:[PERIODO Imp.]],DF$9)</f>
        <v>0</v>
      </c>
      <c r="DG825" s="693">
        <f>SUMIFS(Imput[[Importe Neto]:[Importe Neto]],Imput[[C. Imp.]:[C. Imp.]],$D825,Imput[[PERIODO Imp.]:[PERIODO Imp.]],DG$9)</f>
        <v>0</v>
      </c>
      <c r="DH825" s="694">
        <f>SUMIFS(Imput[[Importe Neto]:[Importe Neto]],Imput[[C. Imp.]:[C. Imp.]],$D825,Imput[[PERIODO Imp.]:[PERIODO Imp.]],DH$9)</f>
        <v>0</v>
      </c>
    </row>
    <row r="826" spans="1:112" s="649" customFormat="1" hidden="1" outlineLevel="1" x14ac:dyDescent="0.3">
      <c r="A826" s="652" t="str">
        <f t="shared" si="280"/>
        <v/>
      </c>
      <c r="B826" s="652"/>
      <c r="C826" s="685"/>
      <c r="D826" s="686" t="s">
        <v>2806</v>
      </c>
      <c r="E826" s="728"/>
      <c r="F826" s="720"/>
      <c r="G826" s="688"/>
      <c r="H826" s="696"/>
      <c r="I826" s="851" t="str">
        <f t="shared" si="285"/>
        <v/>
      </c>
      <c r="J826" s="850" t="str">
        <f t="shared" si="282"/>
        <v/>
      </c>
      <c r="K826" s="678"/>
      <c r="L826" s="858"/>
      <c r="M826" s="859"/>
      <c r="N826" s="859"/>
      <c r="O826" s="859"/>
      <c r="P826" s="859"/>
      <c r="Q826" s="859"/>
      <c r="R826" s="859"/>
      <c r="S826" s="859"/>
      <c r="T826" s="859"/>
      <c r="U826" s="859"/>
      <c r="V826" s="859"/>
      <c r="W826" s="859"/>
      <c r="X826" s="859"/>
      <c r="Y826" s="859"/>
      <c r="Z826" s="860"/>
      <c r="AA826" s="860"/>
      <c r="AB826" s="860"/>
      <c r="AC826" s="860"/>
      <c r="AD826" s="860"/>
      <c r="AE826" s="860"/>
      <c r="AF826" s="860"/>
      <c r="AG826" s="860"/>
      <c r="AH826" s="860"/>
      <c r="AI826" s="860"/>
      <c r="AJ826" s="860"/>
      <c r="AK826" s="860"/>
      <c r="AL826" s="860"/>
      <c r="AM826" s="860"/>
      <c r="AN826" s="860"/>
      <c r="AO826" s="860"/>
      <c r="AP826" s="860"/>
      <c r="AQ826" s="860"/>
      <c r="AR826" s="860"/>
      <c r="AS826" s="860"/>
      <c r="AT826" s="860"/>
      <c r="AU826" s="860"/>
      <c r="AV826" s="860"/>
      <c r="AW826" s="860"/>
      <c r="AX826" s="860"/>
      <c r="AY826" s="860"/>
      <c r="AZ826" s="860"/>
      <c r="BA826" s="860"/>
      <c r="BB826" s="860"/>
      <c r="BC826" s="860"/>
      <c r="BD826" s="860"/>
      <c r="BE826" s="860"/>
      <c r="BF826" s="860"/>
      <c r="BG826" s="860"/>
      <c r="BH826" s="668"/>
      <c r="BI826" s="654"/>
      <c r="BJ826" s="690">
        <f t="shared" si="286"/>
        <v>0</v>
      </c>
      <c r="BK826" s="691">
        <f t="shared" si="287"/>
        <v>0</v>
      </c>
      <c r="BL826" s="654"/>
      <c r="BM826" s="692">
        <f>SUMIFS(Imput[[Importe Neto]:[Importe Neto]],Imput[[C. Imp.]:[C. Imp.]],$D826,Imput[[PERIODO Imp.]:[PERIODO Imp.]],BM$9)</f>
        <v>0</v>
      </c>
      <c r="BN826" s="693">
        <f>SUMIFS(Imput[[Importe Neto]:[Importe Neto]],Imput[[C. Imp.]:[C. Imp.]],$D826,Imput[[PERIODO Imp.]:[PERIODO Imp.]],BN$9)</f>
        <v>0</v>
      </c>
      <c r="BO826" s="693">
        <f>SUMIFS(Imput[[Importe Neto]:[Importe Neto]],Imput[[C. Imp.]:[C. Imp.]],$D826,Imput[[PERIODO Imp.]:[PERIODO Imp.]],BO$9)</f>
        <v>0</v>
      </c>
      <c r="BP826" s="693">
        <f>SUMIFS(Imput[[Importe Neto]:[Importe Neto]],Imput[[C. Imp.]:[C. Imp.]],$D826,Imput[[PERIODO Imp.]:[PERIODO Imp.]],BP$9)</f>
        <v>0</v>
      </c>
      <c r="BQ826" s="693">
        <f>SUMIFS(Imput[[Importe Neto]:[Importe Neto]],Imput[[C. Imp.]:[C. Imp.]],$D826,Imput[[PERIODO Imp.]:[PERIODO Imp.]],BQ$9)</f>
        <v>0</v>
      </c>
      <c r="BR826" s="693">
        <f>SUMIFS(Imput[[Importe Neto]:[Importe Neto]],Imput[[C. Imp.]:[C. Imp.]],$D826,Imput[[PERIODO Imp.]:[PERIODO Imp.]],BR$9)</f>
        <v>0</v>
      </c>
      <c r="BS826" s="693">
        <f>SUMIFS(Imput[[Importe Neto]:[Importe Neto]],Imput[[C. Imp.]:[C. Imp.]],$D826,Imput[[PERIODO Imp.]:[PERIODO Imp.]],BS$9)</f>
        <v>0</v>
      </c>
      <c r="BT826" s="693">
        <f>SUMIFS(Imput[[Importe Neto]:[Importe Neto]],Imput[[C. Imp.]:[C. Imp.]],$D826,Imput[[PERIODO Imp.]:[PERIODO Imp.]],BT$9)</f>
        <v>0</v>
      </c>
      <c r="BU826" s="693">
        <f>SUMIFS(Imput[[Importe Neto]:[Importe Neto]],Imput[[C. Imp.]:[C. Imp.]],$D826,Imput[[PERIODO Imp.]:[PERIODO Imp.]],BU$9)</f>
        <v>0</v>
      </c>
      <c r="BV826" s="693">
        <f>SUMIFS(Imput[[Importe Neto]:[Importe Neto]],Imput[[C. Imp.]:[C. Imp.]],$D826,Imput[[PERIODO Imp.]:[PERIODO Imp.]],BV$9)</f>
        <v>0</v>
      </c>
      <c r="BW826" s="693">
        <f>SUMIFS(Imput[[Importe Neto]:[Importe Neto]],Imput[[C. Imp.]:[C. Imp.]],$D826,Imput[[PERIODO Imp.]:[PERIODO Imp.]],BW$9)</f>
        <v>0</v>
      </c>
      <c r="BX826" s="693">
        <f>SUMIFS(Imput[[Importe Neto]:[Importe Neto]],Imput[[C. Imp.]:[C. Imp.]],$D826,Imput[[PERIODO Imp.]:[PERIODO Imp.]],BX$9)</f>
        <v>0</v>
      </c>
      <c r="BY826" s="693">
        <f>SUMIFS(Imput[[Importe Neto]:[Importe Neto]],Imput[[C. Imp.]:[C. Imp.]],$D826,Imput[[PERIODO Imp.]:[PERIODO Imp.]],BY$9)</f>
        <v>0</v>
      </c>
      <c r="BZ826" s="693">
        <f>SUMIFS(Imput[[Importe Neto]:[Importe Neto]],Imput[[C. Imp.]:[C. Imp.]],$D826,Imput[[PERIODO Imp.]:[PERIODO Imp.]],BZ$9)</f>
        <v>0</v>
      </c>
      <c r="CA826" s="693">
        <f>SUMIFS(Imput[[Importe Neto]:[Importe Neto]],Imput[[C. Imp.]:[C. Imp.]],$D826,Imput[[PERIODO Imp.]:[PERIODO Imp.]],CA$9)</f>
        <v>0</v>
      </c>
      <c r="CB826" s="693">
        <f>SUMIFS(Imput[[Importe Neto]:[Importe Neto]],Imput[[C. Imp.]:[C. Imp.]],$D826,Imput[[PERIODO Imp.]:[PERIODO Imp.]],CB$9)</f>
        <v>0</v>
      </c>
      <c r="CC826" s="693">
        <f>SUMIFS(Imput[[Importe Neto]:[Importe Neto]],Imput[[C. Imp.]:[C. Imp.]],$D826,Imput[[PERIODO Imp.]:[PERIODO Imp.]],CC$9)</f>
        <v>0</v>
      </c>
      <c r="CD826" s="693">
        <f>SUMIFS(Imput[[Importe Neto]:[Importe Neto]],Imput[[C. Imp.]:[C. Imp.]],$D826,Imput[[PERIODO Imp.]:[PERIODO Imp.]],CD$9)</f>
        <v>0</v>
      </c>
      <c r="CE826" s="693">
        <f>SUMIFS(Imput[[Importe Neto]:[Importe Neto]],Imput[[C. Imp.]:[C. Imp.]],$D826,Imput[[PERIODO Imp.]:[PERIODO Imp.]],CE$9)</f>
        <v>0</v>
      </c>
      <c r="CF826" s="693">
        <f>SUMIFS(Imput[[Importe Neto]:[Importe Neto]],Imput[[C. Imp.]:[C. Imp.]],$D826,Imput[[PERIODO Imp.]:[PERIODO Imp.]],CF$9)</f>
        <v>0</v>
      </c>
      <c r="CG826" s="693">
        <f>SUMIFS(Imput[[Importe Neto]:[Importe Neto]],Imput[[C. Imp.]:[C. Imp.]],$D826,Imput[[PERIODO Imp.]:[PERIODO Imp.]],CG$9)</f>
        <v>0</v>
      </c>
      <c r="CH826" s="693">
        <f>SUMIFS(Imput[[Importe Neto]:[Importe Neto]],Imput[[C. Imp.]:[C. Imp.]],$D826,Imput[[PERIODO Imp.]:[PERIODO Imp.]],CH$9)</f>
        <v>0</v>
      </c>
      <c r="CI826" s="693">
        <f>SUMIFS(Imput[[Importe Neto]:[Importe Neto]],Imput[[C. Imp.]:[C. Imp.]],$D826,Imput[[PERIODO Imp.]:[PERIODO Imp.]],CI$9)</f>
        <v>0</v>
      </c>
      <c r="CJ826" s="693">
        <f>SUMIFS(Imput[[Importe Neto]:[Importe Neto]],Imput[[C. Imp.]:[C. Imp.]],$D826,Imput[[PERIODO Imp.]:[PERIODO Imp.]],CJ$9)</f>
        <v>0</v>
      </c>
      <c r="CK826" s="693">
        <f>SUMIFS(Imput[[Importe Neto]:[Importe Neto]],Imput[[C. Imp.]:[C. Imp.]],$D826,Imput[[PERIODO Imp.]:[PERIODO Imp.]],CK$9)</f>
        <v>0</v>
      </c>
      <c r="CL826" s="693">
        <f>SUMIFS(Imput[[Importe Neto]:[Importe Neto]],Imput[[C. Imp.]:[C. Imp.]],$D826,Imput[[PERIODO Imp.]:[PERIODO Imp.]],CL$9)</f>
        <v>0</v>
      </c>
      <c r="CM826" s="693">
        <f>SUMIFS(Imput[[Importe Neto]:[Importe Neto]],Imput[[C. Imp.]:[C. Imp.]],$D826,Imput[[PERIODO Imp.]:[PERIODO Imp.]],CM$9)</f>
        <v>0</v>
      </c>
      <c r="CN826" s="693">
        <f>SUMIFS(Imput[[Importe Neto]:[Importe Neto]],Imput[[C. Imp.]:[C. Imp.]],$D826,Imput[[PERIODO Imp.]:[PERIODO Imp.]],CN$9)</f>
        <v>0</v>
      </c>
      <c r="CO826" s="693">
        <f>SUMIFS(Imput[[Importe Neto]:[Importe Neto]],Imput[[C. Imp.]:[C. Imp.]],$D826,Imput[[PERIODO Imp.]:[PERIODO Imp.]],CO$9)</f>
        <v>0</v>
      </c>
      <c r="CP826" s="693">
        <f>SUMIFS(Imput[[Importe Neto]:[Importe Neto]],Imput[[C. Imp.]:[C. Imp.]],$D826,Imput[[PERIODO Imp.]:[PERIODO Imp.]],CP$9)</f>
        <v>0</v>
      </c>
      <c r="CQ826" s="693">
        <f>SUMIFS(Imput[[Importe Neto]:[Importe Neto]],Imput[[C. Imp.]:[C. Imp.]],$D826,Imput[[PERIODO Imp.]:[PERIODO Imp.]],CQ$9)</f>
        <v>0</v>
      </c>
      <c r="CR826" s="693">
        <f>SUMIFS(Imput[[Importe Neto]:[Importe Neto]],Imput[[C. Imp.]:[C. Imp.]],$D826,Imput[[PERIODO Imp.]:[PERIODO Imp.]],CR$9)</f>
        <v>0</v>
      </c>
      <c r="CS826" s="693">
        <f>SUMIFS(Imput[[Importe Neto]:[Importe Neto]],Imput[[C. Imp.]:[C. Imp.]],$D826,Imput[[PERIODO Imp.]:[PERIODO Imp.]],CS$9)</f>
        <v>0</v>
      </c>
      <c r="CT826" s="693">
        <f>SUMIFS(Imput[[Importe Neto]:[Importe Neto]],Imput[[C. Imp.]:[C. Imp.]],$D826,Imput[[PERIODO Imp.]:[PERIODO Imp.]],CT$9)</f>
        <v>0</v>
      </c>
      <c r="CU826" s="693">
        <f>SUMIFS(Imput[[Importe Neto]:[Importe Neto]],Imput[[C. Imp.]:[C. Imp.]],$D826,Imput[[PERIODO Imp.]:[PERIODO Imp.]],CU$9)</f>
        <v>0</v>
      </c>
      <c r="CV826" s="693">
        <f>SUMIFS(Imput[[Importe Neto]:[Importe Neto]],Imput[[C. Imp.]:[C. Imp.]],$D826,Imput[[PERIODO Imp.]:[PERIODO Imp.]],CV$9)</f>
        <v>0</v>
      </c>
      <c r="CW826" s="693">
        <f>SUMIFS(Imput[[Importe Neto]:[Importe Neto]],Imput[[C. Imp.]:[C. Imp.]],$D826,Imput[[PERIODO Imp.]:[PERIODO Imp.]],CW$9)</f>
        <v>0</v>
      </c>
      <c r="CX826" s="693">
        <f>SUMIFS(Imput[[Importe Neto]:[Importe Neto]],Imput[[C. Imp.]:[C. Imp.]],$D826,Imput[[PERIODO Imp.]:[PERIODO Imp.]],CX$9)</f>
        <v>0</v>
      </c>
      <c r="CY826" s="693">
        <f>SUMIFS(Imput[[Importe Neto]:[Importe Neto]],Imput[[C. Imp.]:[C. Imp.]],$D826,Imput[[PERIODO Imp.]:[PERIODO Imp.]],CY$9)</f>
        <v>0</v>
      </c>
      <c r="CZ826" s="693">
        <f>SUMIFS(Imput[[Importe Neto]:[Importe Neto]],Imput[[C. Imp.]:[C. Imp.]],$D826,Imput[[PERIODO Imp.]:[PERIODO Imp.]],CZ$9)</f>
        <v>0</v>
      </c>
      <c r="DA826" s="693">
        <f>SUMIFS(Imput[[Importe Neto]:[Importe Neto]],Imput[[C. Imp.]:[C. Imp.]],$D826,Imput[[PERIODO Imp.]:[PERIODO Imp.]],DA$9)</f>
        <v>0</v>
      </c>
      <c r="DB826" s="693">
        <f>SUMIFS(Imput[[Importe Neto]:[Importe Neto]],Imput[[C. Imp.]:[C. Imp.]],$D826,Imput[[PERIODO Imp.]:[PERIODO Imp.]],DB$9)</f>
        <v>0</v>
      </c>
      <c r="DC826" s="693">
        <f>SUMIFS(Imput[[Importe Neto]:[Importe Neto]],Imput[[C. Imp.]:[C. Imp.]],$D826,Imput[[PERIODO Imp.]:[PERIODO Imp.]],DC$9)</f>
        <v>0</v>
      </c>
      <c r="DD826" s="693">
        <f>SUMIFS(Imput[[Importe Neto]:[Importe Neto]],Imput[[C. Imp.]:[C. Imp.]],$D826,Imput[[PERIODO Imp.]:[PERIODO Imp.]],DD$9)</f>
        <v>0</v>
      </c>
      <c r="DE826" s="693">
        <f>SUMIFS(Imput[[Importe Neto]:[Importe Neto]],Imput[[C. Imp.]:[C. Imp.]],$D826,Imput[[PERIODO Imp.]:[PERIODO Imp.]],DE$9)</f>
        <v>0</v>
      </c>
      <c r="DF826" s="693">
        <f>SUMIFS(Imput[[Importe Neto]:[Importe Neto]],Imput[[C. Imp.]:[C. Imp.]],$D826,Imput[[PERIODO Imp.]:[PERIODO Imp.]],DF$9)</f>
        <v>0</v>
      </c>
      <c r="DG826" s="693">
        <f>SUMIFS(Imput[[Importe Neto]:[Importe Neto]],Imput[[C. Imp.]:[C. Imp.]],$D826,Imput[[PERIODO Imp.]:[PERIODO Imp.]],DG$9)</f>
        <v>0</v>
      </c>
      <c r="DH826" s="694">
        <f>SUMIFS(Imput[[Importe Neto]:[Importe Neto]],Imput[[C. Imp.]:[C. Imp.]],$D826,Imput[[PERIODO Imp.]:[PERIODO Imp.]],DH$9)</f>
        <v>0</v>
      </c>
    </row>
    <row r="827" spans="1:112" s="649" customFormat="1" hidden="1" outlineLevel="1" x14ac:dyDescent="0.3">
      <c r="A827" s="652" t="str">
        <f t="shared" si="280"/>
        <v/>
      </c>
      <c r="B827" s="652"/>
      <c r="C827" s="685"/>
      <c r="D827" s="686" t="s">
        <v>2807</v>
      </c>
      <c r="E827" s="728"/>
      <c r="F827" s="720"/>
      <c r="G827" s="688"/>
      <c r="H827" s="696"/>
      <c r="I827" s="851" t="str">
        <f t="shared" si="285"/>
        <v/>
      </c>
      <c r="J827" s="850" t="str">
        <f t="shared" si="282"/>
        <v/>
      </c>
      <c r="K827" s="667"/>
      <c r="L827" s="858"/>
      <c r="M827" s="859"/>
      <c r="N827" s="859"/>
      <c r="O827" s="859"/>
      <c r="P827" s="859"/>
      <c r="Q827" s="859"/>
      <c r="R827" s="859"/>
      <c r="S827" s="859"/>
      <c r="T827" s="859"/>
      <c r="U827" s="859"/>
      <c r="V827" s="859"/>
      <c r="W827" s="859"/>
      <c r="X827" s="859"/>
      <c r="Y827" s="859"/>
      <c r="Z827" s="860"/>
      <c r="AA827" s="860"/>
      <c r="AB827" s="860"/>
      <c r="AC827" s="860"/>
      <c r="AD827" s="860"/>
      <c r="AE827" s="860"/>
      <c r="AF827" s="860"/>
      <c r="AG827" s="860"/>
      <c r="AH827" s="860"/>
      <c r="AI827" s="860"/>
      <c r="AJ827" s="860"/>
      <c r="AK827" s="860"/>
      <c r="AL827" s="860"/>
      <c r="AM827" s="860"/>
      <c r="AN827" s="860"/>
      <c r="AO827" s="860"/>
      <c r="AP827" s="860"/>
      <c r="AQ827" s="860"/>
      <c r="AR827" s="860"/>
      <c r="AS827" s="860"/>
      <c r="AT827" s="860"/>
      <c r="AU827" s="860"/>
      <c r="AV827" s="860"/>
      <c r="AW827" s="860"/>
      <c r="AX827" s="860"/>
      <c r="AY827" s="860"/>
      <c r="AZ827" s="860"/>
      <c r="BA827" s="860"/>
      <c r="BB827" s="860"/>
      <c r="BC827" s="860"/>
      <c r="BD827" s="860"/>
      <c r="BE827" s="860"/>
      <c r="BF827" s="860"/>
      <c r="BG827" s="860"/>
      <c r="BH827" s="668"/>
      <c r="BI827" s="654"/>
      <c r="BJ827" s="690">
        <f t="shared" si="286"/>
        <v>0</v>
      </c>
      <c r="BK827" s="691">
        <f t="shared" si="287"/>
        <v>0</v>
      </c>
      <c r="BL827" s="654"/>
      <c r="BM827" s="697">
        <f>SUMIFS(Imput[[Importe Neto]:[Importe Neto]],Imput[[C. Imp.]:[C. Imp.]],$D827,Imput[[PERIODO Imp.]:[PERIODO Imp.]],BM$9)</f>
        <v>0</v>
      </c>
      <c r="BN827" s="698">
        <f>SUMIFS(Imput[[Importe Neto]:[Importe Neto]],Imput[[C. Imp.]:[C. Imp.]],$D827,Imput[[PERIODO Imp.]:[PERIODO Imp.]],BN$9)</f>
        <v>0</v>
      </c>
      <c r="BO827" s="698">
        <f>SUMIFS(Imput[[Importe Neto]:[Importe Neto]],Imput[[C. Imp.]:[C. Imp.]],$D827,Imput[[PERIODO Imp.]:[PERIODO Imp.]],BO$9)</f>
        <v>0</v>
      </c>
      <c r="BP827" s="698">
        <f>SUMIFS(Imput[[Importe Neto]:[Importe Neto]],Imput[[C. Imp.]:[C. Imp.]],$D827,Imput[[PERIODO Imp.]:[PERIODO Imp.]],BP$9)</f>
        <v>0</v>
      </c>
      <c r="BQ827" s="698">
        <f>SUMIFS(Imput[[Importe Neto]:[Importe Neto]],Imput[[C. Imp.]:[C. Imp.]],$D827,Imput[[PERIODO Imp.]:[PERIODO Imp.]],BQ$9)</f>
        <v>0</v>
      </c>
      <c r="BR827" s="698">
        <f>SUMIFS(Imput[[Importe Neto]:[Importe Neto]],Imput[[C. Imp.]:[C. Imp.]],$D827,Imput[[PERIODO Imp.]:[PERIODO Imp.]],BR$9)</f>
        <v>0</v>
      </c>
      <c r="BS827" s="698">
        <f>SUMIFS(Imput[[Importe Neto]:[Importe Neto]],Imput[[C. Imp.]:[C. Imp.]],$D827,Imput[[PERIODO Imp.]:[PERIODO Imp.]],BS$9)</f>
        <v>0</v>
      </c>
      <c r="BT827" s="698">
        <f>SUMIFS(Imput[[Importe Neto]:[Importe Neto]],Imput[[C. Imp.]:[C. Imp.]],$D827,Imput[[PERIODO Imp.]:[PERIODO Imp.]],BT$9)</f>
        <v>0</v>
      </c>
      <c r="BU827" s="698">
        <f>SUMIFS(Imput[[Importe Neto]:[Importe Neto]],Imput[[C. Imp.]:[C. Imp.]],$D827,Imput[[PERIODO Imp.]:[PERIODO Imp.]],BU$9)</f>
        <v>0</v>
      </c>
      <c r="BV827" s="698">
        <f>SUMIFS(Imput[[Importe Neto]:[Importe Neto]],Imput[[C. Imp.]:[C. Imp.]],$D827,Imput[[PERIODO Imp.]:[PERIODO Imp.]],BV$9)</f>
        <v>0</v>
      </c>
      <c r="BW827" s="698">
        <f>SUMIFS(Imput[[Importe Neto]:[Importe Neto]],Imput[[C. Imp.]:[C. Imp.]],$D827,Imput[[PERIODO Imp.]:[PERIODO Imp.]],BW$9)</f>
        <v>0</v>
      </c>
      <c r="BX827" s="698">
        <f>SUMIFS(Imput[[Importe Neto]:[Importe Neto]],Imput[[C. Imp.]:[C. Imp.]],$D827,Imput[[PERIODO Imp.]:[PERIODO Imp.]],BX$9)</f>
        <v>0</v>
      </c>
      <c r="BY827" s="698">
        <f>SUMIFS(Imput[[Importe Neto]:[Importe Neto]],Imput[[C. Imp.]:[C. Imp.]],$D827,Imput[[PERIODO Imp.]:[PERIODO Imp.]],BY$9)</f>
        <v>0</v>
      </c>
      <c r="BZ827" s="698">
        <f>SUMIFS(Imput[[Importe Neto]:[Importe Neto]],Imput[[C. Imp.]:[C. Imp.]],$D827,Imput[[PERIODO Imp.]:[PERIODO Imp.]],BZ$9)</f>
        <v>0</v>
      </c>
      <c r="CA827" s="698">
        <f>SUMIFS(Imput[[Importe Neto]:[Importe Neto]],Imput[[C. Imp.]:[C. Imp.]],$D827,Imput[[PERIODO Imp.]:[PERIODO Imp.]],CA$9)</f>
        <v>0</v>
      </c>
      <c r="CB827" s="698">
        <f>SUMIFS(Imput[[Importe Neto]:[Importe Neto]],Imput[[C. Imp.]:[C. Imp.]],$D827,Imput[[PERIODO Imp.]:[PERIODO Imp.]],CB$9)</f>
        <v>0</v>
      </c>
      <c r="CC827" s="698">
        <f>SUMIFS(Imput[[Importe Neto]:[Importe Neto]],Imput[[C. Imp.]:[C. Imp.]],$D827,Imput[[PERIODO Imp.]:[PERIODO Imp.]],CC$9)</f>
        <v>0</v>
      </c>
      <c r="CD827" s="698">
        <f>SUMIFS(Imput[[Importe Neto]:[Importe Neto]],Imput[[C. Imp.]:[C. Imp.]],$D827,Imput[[PERIODO Imp.]:[PERIODO Imp.]],CD$9)</f>
        <v>0</v>
      </c>
      <c r="CE827" s="698">
        <f>SUMIFS(Imput[[Importe Neto]:[Importe Neto]],Imput[[C. Imp.]:[C. Imp.]],$D827,Imput[[PERIODO Imp.]:[PERIODO Imp.]],CE$9)</f>
        <v>0</v>
      </c>
      <c r="CF827" s="698">
        <f>SUMIFS(Imput[[Importe Neto]:[Importe Neto]],Imput[[C. Imp.]:[C. Imp.]],$D827,Imput[[PERIODO Imp.]:[PERIODO Imp.]],CF$9)</f>
        <v>0</v>
      </c>
      <c r="CG827" s="698">
        <f>SUMIFS(Imput[[Importe Neto]:[Importe Neto]],Imput[[C. Imp.]:[C. Imp.]],$D827,Imput[[PERIODO Imp.]:[PERIODO Imp.]],CG$9)</f>
        <v>0</v>
      </c>
      <c r="CH827" s="698">
        <f>SUMIFS(Imput[[Importe Neto]:[Importe Neto]],Imput[[C. Imp.]:[C. Imp.]],$D827,Imput[[PERIODO Imp.]:[PERIODO Imp.]],CH$9)</f>
        <v>0</v>
      </c>
      <c r="CI827" s="698">
        <f>SUMIFS(Imput[[Importe Neto]:[Importe Neto]],Imput[[C. Imp.]:[C. Imp.]],$D827,Imput[[PERIODO Imp.]:[PERIODO Imp.]],CI$9)</f>
        <v>0</v>
      </c>
      <c r="CJ827" s="698">
        <f>SUMIFS(Imput[[Importe Neto]:[Importe Neto]],Imput[[C. Imp.]:[C. Imp.]],$D827,Imput[[PERIODO Imp.]:[PERIODO Imp.]],CJ$9)</f>
        <v>0</v>
      </c>
      <c r="CK827" s="698">
        <f>SUMIFS(Imput[[Importe Neto]:[Importe Neto]],Imput[[C. Imp.]:[C. Imp.]],$D827,Imput[[PERIODO Imp.]:[PERIODO Imp.]],CK$9)</f>
        <v>0</v>
      </c>
      <c r="CL827" s="698">
        <f>SUMIFS(Imput[[Importe Neto]:[Importe Neto]],Imput[[C. Imp.]:[C. Imp.]],$D827,Imput[[PERIODO Imp.]:[PERIODO Imp.]],CL$9)</f>
        <v>0</v>
      </c>
      <c r="CM827" s="698">
        <f>SUMIFS(Imput[[Importe Neto]:[Importe Neto]],Imput[[C. Imp.]:[C. Imp.]],$D827,Imput[[PERIODO Imp.]:[PERIODO Imp.]],CM$9)</f>
        <v>0</v>
      </c>
      <c r="CN827" s="698">
        <f>SUMIFS(Imput[[Importe Neto]:[Importe Neto]],Imput[[C. Imp.]:[C. Imp.]],$D827,Imput[[PERIODO Imp.]:[PERIODO Imp.]],CN$9)</f>
        <v>0</v>
      </c>
      <c r="CO827" s="698">
        <f>SUMIFS(Imput[[Importe Neto]:[Importe Neto]],Imput[[C. Imp.]:[C. Imp.]],$D827,Imput[[PERIODO Imp.]:[PERIODO Imp.]],CO$9)</f>
        <v>0</v>
      </c>
      <c r="CP827" s="698">
        <f>SUMIFS(Imput[[Importe Neto]:[Importe Neto]],Imput[[C. Imp.]:[C. Imp.]],$D827,Imput[[PERIODO Imp.]:[PERIODO Imp.]],CP$9)</f>
        <v>0</v>
      </c>
      <c r="CQ827" s="698">
        <f>SUMIFS(Imput[[Importe Neto]:[Importe Neto]],Imput[[C. Imp.]:[C. Imp.]],$D827,Imput[[PERIODO Imp.]:[PERIODO Imp.]],CQ$9)</f>
        <v>0</v>
      </c>
      <c r="CR827" s="698">
        <f>SUMIFS(Imput[[Importe Neto]:[Importe Neto]],Imput[[C. Imp.]:[C. Imp.]],$D827,Imput[[PERIODO Imp.]:[PERIODO Imp.]],CR$9)</f>
        <v>0</v>
      </c>
      <c r="CS827" s="698">
        <f>SUMIFS(Imput[[Importe Neto]:[Importe Neto]],Imput[[C. Imp.]:[C. Imp.]],$D827,Imput[[PERIODO Imp.]:[PERIODO Imp.]],CS$9)</f>
        <v>0</v>
      </c>
      <c r="CT827" s="698">
        <f>SUMIFS(Imput[[Importe Neto]:[Importe Neto]],Imput[[C. Imp.]:[C. Imp.]],$D827,Imput[[PERIODO Imp.]:[PERIODO Imp.]],CT$9)</f>
        <v>0</v>
      </c>
      <c r="CU827" s="698">
        <f>SUMIFS(Imput[[Importe Neto]:[Importe Neto]],Imput[[C. Imp.]:[C. Imp.]],$D827,Imput[[PERIODO Imp.]:[PERIODO Imp.]],CU$9)</f>
        <v>0</v>
      </c>
      <c r="CV827" s="698">
        <f>SUMIFS(Imput[[Importe Neto]:[Importe Neto]],Imput[[C. Imp.]:[C. Imp.]],$D827,Imput[[PERIODO Imp.]:[PERIODO Imp.]],CV$9)</f>
        <v>0</v>
      </c>
      <c r="CW827" s="698">
        <f>SUMIFS(Imput[[Importe Neto]:[Importe Neto]],Imput[[C. Imp.]:[C. Imp.]],$D827,Imput[[PERIODO Imp.]:[PERIODO Imp.]],CW$9)</f>
        <v>0</v>
      </c>
      <c r="CX827" s="698">
        <f>SUMIFS(Imput[[Importe Neto]:[Importe Neto]],Imput[[C. Imp.]:[C. Imp.]],$D827,Imput[[PERIODO Imp.]:[PERIODO Imp.]],CX$9)</f>
        <v>0</v>
      </c>
      <c r="CY827" s="698">
        <f>SUMIFS(Imput[[Importe Neto]:[Importe Neto]],Imput[[C. Imp.]:[C. Imp.]],$D827,Imput[[PERIODO Imp.]:[PERIODO Imp.]],CY$9)</f>
        <v>0</v>
      </c>
      <c r="CZ827" s="698">
        <f>SUMIFS(Imput[[Importe Neto]:[Importe Neto]],Imput[[C. Imp.]:[C. Imp.]],$D827,Imput[[PERIODO Imp.]:[PERIODO Imp.]],CZ$9)</f>
        <v>0</v>
      </c>
      <c r="DA827" s="698">
        <f>SUMIFS(Imput[[Importe Neto]:[Importe Neto]],Imput[[C. Imp.]:[C. Imp.]],$D827,Imput[[PERIODO Imp.]:[PERIODO Imp.]],DA$9)</f>
        <v>0</v>
      </c>
      <c r="DB827" s="698">
        <f>SUMIFS(Imput[[Importe Neto]:[Importe Neto]],Imput[[C. Imp.]:[C. Imp.]],$D827,Imput[[PERIODO Imp.]:[PERIODO Imp.]],DB$9)</f>
        <v>0</v>
      </c>
      <c r="DC827" s="698">
        <f>SUMIFS(Imput[[Importe Neto]:[Importe Neto]],Imput[[C. Imp.]:[C. Imp.]],$D827,Imput[[PERIODO Imp.]:[PERIODO Imp.]],DC$9)</f>
        <v>0</v>
      </c>
      <c r="DD827" s="698">
        <f>SUMIFS(Imput[[Importe Neto]:[Importe Neto]],Imput[[C. Imp.]:[C. Imp.]],$D827,Imput[[PERIODO Imp.]:[PERIODO Imp.]],DD$9)</f>
        <v>0</v>
      </c>
      <c r="DE827" s="698">
        <f>SUMIFS(Imput[[Importe Neto]:[Importe Neto]],Imput[[C. Imp.]:[C. Imp.]],$D827,Imput[[PERIODO Imp.]:[PERIODO Imp.]],DE$9)</f>
        <v>0</v>
      </c>
      <c r="DF827" s="698">
        <f>SUMIFS(Imput[[Importe Neto]:[Importe Neto]],Imput[[C. Imp.]:[C. Imp.]],$D827,Imput[[PERIODO Imp.]:[PERIODO Imp.]],DF$9)</f>
        <v>0</v>
      </c>
      <c r="DG827" s="698">
        <f>SUMIFS(Imput[[Importe Neto]:[Importe Neto]],Imput[[C. Imp.]:[C. Imp.]],$D827,Imput[[PERIODO Imp.]:[PERIODO Imp.]],DG$9)</f>
        <v>0</v>
      </c>
      <c r="DH827" s="795">
        <f>SUMIFS(Imput[[Importe Neto]:[Importe Neto]],Imput[[C. Imp.]:[C. Imp.]],$D827,Imput[[PERIODO Imp.]:[PERIODO Imp.]],DH$9)</f>
        <v>0</v>
      </c>
    </row>
    <row r="828" spans="1:112" s="649" customFormat="1" ht="14.4" outlineLevel="1" thickBot="1" x14ac:dyDescent="0.35">
      <c r="A828" s="652" t="str">
        <f>IF(J776&gt;0,"Imprimir","")</f>
        <v>Imprimir</v>
      </c>
      <c r="B828" s="652"/>
      <c r="C828" s="699"/>
      <c r="D828" s="700"/>
      <c r="E828" s="700"/>
      <c r="F828" s="701"/>
      <c r="G828" s="702"/>
      <c r="H828" s="703"/>
      <c r="I828" s="704"/>
      <c r="J828" s="705"/>
      <c r="K828" s="667"/>
      <c r="L828" s="706"/>
      <c r="M828" s="707"/>
      <c r="N828" s="777"/>
      <c r="O828" s="777"/>
      <c r="P828" s="778"/>
      <c r="Q828" s="778"/>
      <c r="R828" s="708"/>
      <c r="S828" s="708"/>
      <c r="T828" s="779"/>
      <c r="U828" s="779"/>
      <c r="V828" s="778"/>
      <c r="W828" s="778"/>
      <c r="X828" s="708"/>
      <c r="Y828" s="708"/>
      <c r="Z828" s="708"/>
      <c r="AA828" s="708"/>
      <c r="AB828" s="708"/>
      <c r="AC828" s="708"/>
      <c r="AD828" s="708"/>
      <c r="AE828" s="708"/>
      <c r="AF828" s="708"/>
      <c r="AG828" s="708"/>
      <c r="AH828" s="708"/>
      <c r="AI828" s="708"/>
      <c r="AJ828" s="708"/>
      <c r="AK828" s="708"/>
      <c r="AL828" s="708"/>
      <c r="AM828" s="708"/>
      <c r="AN828" s="708"/>
      <c r="AO828" s="708"/>
      <c r="AP828" s="708"/>
      <c r="AQ828" s="708"/>
      <c r="AR828" s="708"/>
      <c r="AS828" s="708"/>
      <c r="AT828" s="708"/>
      <c r="AU828" s="708"/>
      <c r="AV828" s="708"/>
      <c r="AW828" s="708"/>
      <c r="AX828" s="708"/>
      <c r="AY828" s="708"/>
      <c r="AZ828" s="708"/>
      <c r="BA828" s="708"/>
      <c r="BB828" s="708"/>
      <c r="BC828" s="708"/>
      <c r="BD828" s="708"/>
      <c r="BE828" s="708"/>
      <c r="BF828" s="708"/>
      <c r="BG828" s="708"/>
      <c r="BH828" s="780"/>
      <c r="BI828" s="654"/>
      <c r="BJ828" s="709"/>
      <c r="BK828" s="710"/>
      <c r="BL828" s="654"/>
      <c r="BM828" s="731"/>
      <c r="BN828" s="701"/>
      <c r="BO828" s="701"/>
      <c r="BP828" s="701"/>
      <c r="BQ828" s="701"/>
      <c r="BR828" s="701"/>
      <c r="BS828" s="701"/>
      <c r="BT828" s="701"/>
      <c r="BU828" s="701"/>
      <c r="BV828" s="701"/>
      <c r="BW828" s="701"/>
      <c r="BX828" s="701"/>
      <c r="BY828" s="701"/>
      <c r="BZ828" s="701"/>
      <c r="CA828" s="701"/>
      <c r="CB828" s="701"/>
      <c r="CC828" s="701"/>
      <c r="CD828" s="701"/>
      <c r="CE828" s="701"/>
      <c r="CF828" s="701"/>
      <c r="CG828" s="701"/>
      <c r="CH828" s="701"/>
      <c r="CI828" s="701"/>
      <c r="CJ828" s="701"/>
      <c r="CK828" s="701"/>
      <c r="CL828" s="701"/>
      <c r="CM828" s="701"/>
      <c r="CN828" s="701"/>
      <c r="CO828" s="701"/>
      <c r="CP828" s="701"/>
      <c r="CQ828" s="701"/>
      <c r="CR828" s="701"/>
      <c r="CS828" s="701"/>
      <c r="CT828" s="701"/>
      <c r="CU828" s="701"/>
      <c r="CV828" s="701"/>
      <c r="CW828" s="701"/>
      <c r="CX828" s="701"/>
      <c r="CY828" s="701"/>
      <c r="CZ828" s="701"/>
      <c r="DA828" s="701"/>
      <c r="DB828" s="701"/>
      <c r="DC828" s="701"/>
      <c r="DD828" s="701"/>
      <c r="DE828" s="701"/>
      <c r="DF828" s="701"/>
      <c r="DG828" s="701"/>
      <c r="DH828" s="710"/>
    </row>
    <row r="829" spans="1:112" s="649" customFormat="1" x14ac:dyDescent="0.3">
      <c r="A829" s="652" t="str">
        <f>IF(J829&gt;0,"Imprimir","")</f>
        <v>Imprimir</v>
      </c>
      <c r="B829" s="652"/>
      <c r="C829" s="711"/>
      <c r="D829" s="712" t="s">
        <v>451</v>
      </c>
      <c r="E829" s="712" t="s">
        <v>487</v>
      </c>
      <c r="F829" s="712"/>
      <c r="G829" s="713"/>
      <c r="H829" s="712"/>
      <c r="I829" s="714"/>
      <c r="J829" s="715">
        <f>SUBTOTAL(9,J832:J881)</f>
        <v>21949.984423157897</v>
      </c>
      <c r="K829" s="658"/>
      <c r="L829" s="770">
        <f t="shared" ref="L829:BG829" si="288">SUMPRODUCT($J832:$J881,L832:L881)</f>
        <v>13942.283323157895</v>
      </c>
      <c r="M829" s="771">
        <f t="shared" si="288"/>
        <v>346.87124999999997</v>
      </c>
      <c r="N829" s="771">
        <f t="shared" si="288"/>
        <v>346.87124999999997</v>
      </c>
      <c r="O829" s="771">
        <f t="shared" si="288"/>
        <v>623.65124999999989</v>
      </c>
      <c r="P829" s="771">
        <f t="shared" si="288"/>
        <v>1481.6452499999998</v>
      </c>
      <c r="Q829" s="771">
        <f t="shared" si="288"/>
        <v>346.87124999999997</v>
      </c>
      <c r="R829" s="771">
        <f t="shared" si="288"/>
        <v>346.87124999999997</v>
      </c>
      <c r="S829" s="771">
        <f t="shared" si="288"/>
        <v>359.05124999999998</v>
      </c>
      <c r="T829" s="771">
        <f t="shared" si="288"/>
        <v>346.87124999999997</v>
      </c>
      <c r="U829" s="771">
        <f t="shared" si="288"/>
        <v>346.87124999999997</v>
      </c>
      <c r="V829" s="771">
        <f t="shared" si="288"/>
        <v>346.87124999999997</v>
      </c>
      <c r="W829" s="771">
        <f t="shared" si="288"/>
        <v>1406.9608499999999</v>
      </c>
      <c r="X829" s="771">
        <f t="shared" si="288"/>
        <v>346.87124999999997</v>
      </c>
      <c r="Y829" s="771">
        <f t="shared" si="288"/>
        <v>359.05124999999998</v>
      </c>
      <c r="Z829" s="771">
        <f t="shared" si="288"/>
        <v>346.87124999999997</v>
      </c>
      <c r="AA829" s="771">
        <f t="shared" si="288"/>
        <v>276.77999999999997</v>
      </c>
      <c r="AB829" s="771">
        <f t="shared" si="288"/>
        <v>0</v>
      </c>
      <c r="AC829" s="771">
        <f t="shared" si="288"/>
        <v>12.18</v>
      </c>
      <c r="AD829" s="771">
        <f t="shared" si="288"/>
        <v>0</v>
      </c>
      <c r="AE829" s="771">
        <f t="shared" si="288"/>
        <v>342.18</v>
      </c>
      <c r="AF829" s="771">
        <f t="shared" si="288"/>
        <v>0</v>
      </c>
      <c r="AG829" s="771">
        <f t="shared" si="288"/>
        <v>12.18</v>
      </c>
      <c r="AH829" s="771">
        <f t="shared" si="288"/>
        <v>0</v>
      </c>
      <c r="AI829" s="771">
        <f t="shared" si="288"/>
        <v>12.18</v>
      </c>
      <c r="AJ829" s="771">
        <f t="shared" si="288"/>
        <v>0</v>
      </c>
      <c r="AK829" s="771">
        <f t="shared" si="288"/>
        <v>0</v>
      </c>
      <c r="AL829" s="771">
        <f t="shared" si="288"/>
        <v>0</v>
      </c>
      <c r="AM829" s="771">
        <f t="shared" si="288"/>
        <v>0</v>
      </c>
      <c r="AN829" s="771">
        <f t="shared" si="288"/>
        <v>0</v>
      </c>
      <c r="AO829" s="771">
        <f t="shared" si="288"/>
        <v>0</v>
      </c>
      <c r="AP829" s="771">
        <f t="shared" si="288"/>
        <v>0</v>
      </c>
      <c r="AQ829" s="771">
        <f t="shared" si="288"/>
        <v>0</v>
      </c>
      <c r="AR829" s="771">
        <f t="shared" si="288"/>
        <v>0</v>
      </c>
      <c r="AS829" s="771">
        <f t="shared" si="288"/>
        <v>0</v>
      </c>
      <c r="AT829" s="771">
        <f t="shared" si="288"/>
        <v>0</v>
      </c>
      <c r="AU829" s="771">
        <f t="shared" si="288"/>
        <v>0</v>
      </c>
      <c r="AV829" s="771">
        <f t="shared" si="288"/>
        <v>0</v>
      </c>
      <c r="AW829" s="771">
        <f t="shared" si="288"/>
        <v>0</v>
      </c>
      <c r="AX829" s="771">
        <f t="shared" si="288"/>
        <v>0</v>
      </c>
      <c r="AY829" s="771">
        <f t="shared" si="288"/>
        <v>0</v>
      </c>
      <c r="AZ829" s="771">
        <f t="shared" si="288"/>
        <v>0</v>
      </c>
      <c r="BA829" s="771">
        <f t="shared" si="288"/>
        <v>0</v>
      </c>
      <c r="BB829" s="771">
        <f t="shared" si="288"/>
        <v>0</v>
      </c>
      <c r="BC829" s="771">
        <f t="shared" si="288"/>
        <v>0</v>
      </c>
      <c r="BD829" s="771">
        <f t="shared" si="288"/>
        <v>0</v>
      </c>
      <c r="BE829" s="771">
        <f t="shared" si="288"/>
        <v>0</v>
      </c>
      <c r="BF829" s="771">
        <f t="shared" si="288"/>
        <v>0</v>
      </c>
      <c r="BG829" s="764">
        <f t="shared" si="288"/>
        <v>0</v>
      </c>
      <c r="BH829" s="776"/>
      <c r="BI829" s="654"/>
      <c r="BJ829" s="659">
        <f>IFERROR(BK829/J829,0)</f>
        <v>0</v>
      </c>
      <c r="BK829" s="660">
        <f>SUBTOTAL(9,BK830:BK881)</f>
        <v>0</v>
      </c>
      <c r="BL829" s="654"/>
      <c r="BM829" s="661">
        <f t="shared" ref="BM829:DH829" si="289">SUBTOTAL(9,BM830:BM881)</f>
        <v>0</v>
      </c>
      <c r="BN829" s="662">
        <f t="shared" si="289"/>
        <v>0</v>
      </c>
      <c r="BO829" s="662">
        <f t="shared" si="289"/>
        <v>0</v>
      </c>
      <c r="BP829" s="662">
        <f t="shared" si="289"/>
        <v>0</v>
      </c>
      <c r="BQ829" s="662">
        <f t="shared" si="289"/>
        <v>0</v>
      </c>
      <c r="BR829" s="662">
        <f t="shared" si="289"/>
        <v>0</v>
      </c>
      <c r="BS829" s="662">
        <f t="shared" si="289"/>
        <v>0</v>
      </c>
      <c r="BT829" s="662">
        <f t="shared" si="289"/>
        <v>0</v>
      </c>
      <c r="BU829" s="662">
        <f t="shared" si="289"/>
        <v>0</v>
      </c>
      <c r="BV829" s="662">
        <f t="shared" si="289"/>
        <v>0</v>
      </c>
      <c r="BW829" s="662">
        <f t="shared" si="289"/>
        <v>0</v>
      </c>
      <c r="BX829" s="662">
        <f t="shared" si="289"/>
        <v>0</v>
      </c>
      <c r="BY829" s="662">
        <f t="shared" si="289"/>
        <v>0</v>
      </c>
      <c r="BZ829" s="662">
        <f t="shared" si="289"/>
        <v>0</v>
      </c>
      <c r="CA829" s="662">
        <f t="shared" si="289"/>
        <v>0</v>
      </c>
      <c r="CB829" s="662">
        <f t="shared" si="289"/>
        <v>0</v>
      </c>
      <c r="CC829" s="662">
        <f t="shared" si="289"/>
        <v>0</v>
      </c>
      <c r="CD829" s="662">
        <f t="shared" si="289"/>
        <v>0</v>
      </c>
      <c r="CE829" s="662">
        <f t="shared" si="289"/>
        <v>0</v>
      </c>
      <c r="CF829" s="662">
        <f t="shared" si="289"/>
        <v>0</v>
      </c>
      <c r="CG829" s="662">
        <f t="shared" si="289"/>
        <v>0</v>
      </c>
      <c r="CH829" s="662">
        <f t="shared" si="289"/>
        <v>0</v>
      </c>
      <c r="CI829" s="662">
        <f t="shared" si="289"/>
        <v>0</v>
      </c>
      <c r="CJ829" s="662">
        <f t="shared" si="289"/>
        <v>0</v>
      </c>
      <c r="CK829" s="662">
        <f t="shared" si="289"/>
        <v>0</v>
      </c>
      <c r="CL829" s="662">
        <f t="shared" si="289"/>
        <v>0</v>
      </c>
      <c r="CM829" s="662">
        <f t="shared" si="289"/>
        <v>0</v>
      </c>
      <c r="CN829" s="662">
        <f t="shared" si="289"/>
        <v>0</v>
      </c>
      <c r="CO829" s="662">
        <f t="shared" si="289"/>
        <v>0</v>
      </c>
      <c r="CP829" s="662">
        <f t="shared" si="289"/>
        <v>0</v>
      </c>
      <c r="CQ829" s="662">
        <f t="shared" si="289"/>
        <v>0</v>
      </c>
      <c r="CR829" s="662">
        <f t="shared" si="289"/>
        <v>0</v>
      </c>
      <c r="CS829" s="662">
        <f t="shared" si="289"/>
        <v>0</v>
      </c>
      <c r="CT829" s="662">
        <f t="shared" si="289"/>
        <v>0</v>
      </c>
      <c r="CU829" s="662">
        <f t="shared" si="289"/>
        <v>0</v>
      </c>
      <c r="CV829" s="662">
        <f t="shared" si="289"/>
        <v>0</v>
      </c>
      <c r="CW829" s="662">
        <f t="shared" si="289"/>
        <v>0</v>
      </c>
      <c r="CX829" s="662">
        <f t="shared" si="289"/>
        <v>0</v>
      </c>
      <c r="CY829" s="662">
        <f t="shared" si="289"/>
        <v>0</v>
      </c>
      <c r="CZ829" s="662">
        <f t="shared" si="289"/>
        <v>0</v>
      </c>
      <c r="DA829" s="662">
        <f t="shared" si="289"/>
        <v>0</v>
      </c>
      <c r="DB829" s="662">
        <f t="shared" si="289"/>
        <v>0</v>
      </c>
      <c r="DC829" s="662">
        <f t="shared" si="289"/>
        <v>0</v>
      </c>
      <c r="DD829" s="662">
        <f t="shared" si="289"/>
        <v>0</v>
      </c>
      <c r="DE829" s="662">
        <f t="shared" si="289"/>
        <v>0</v>
      </c>
      <c r="DF829" s="662">
        <f t="shared" si="289"/>
        <v>0</v>
      </c>
      <c r="DG829" s="662">
        <f t="shared" si="289"/>
        <v>0</v>
      </c>
      <c r="DH829" s="663">
        <f t="shared" si="289"/>
        <v>0</v>
      </c>
    </row>
    <row r="830" spans="1:112" s="650" customFormat="1" outlineLevel="1" x14ac:dyDescent="0.3">
      <c r="A830" s="652" t="str">
        <f>IF(J829&gt;0,"Imprimir","")</f>
        <v>Imprimir</v>
      </c>
      <c r="B830" s="722"/>
      <c r="C830" s="664"/>
      <c r="D830" s="665"/>
      <c r="E830" s="665"/>
      <c r="F830" s="665" t="s">
        <v>472</v>
      </c>
      <c r="G830" s="716" t="s">
        <v>2128</v>
      </c>
      <c r="H830" s="665" t="s">
        <v>98</v>
      </c>
      <c r="I830" s="665" t="s">
        <v>474</v>
      </c>
      <c r="J830" s="666" t="s">
        <v>29</v>
      </c>
      <c r="K830" s="723"/>
      <c r="L830" s="745"/>
      <c r="M830" s="741"/>
      <c r="N830" s="741"/>
      <c r="O830" s="741"/>
      <c r="P830" s="741"/>
      <c r="Q830" s="741"/>
      <c r="R830" s="741"/>
      <c r="S830" s="741"/>
      <c r="T830" s="741"/>
      <c r="U830" s="741"/>
      <c r="V830" s="741"/>
      <c r="W830" s="741"/>
      <c r="X830" s="741"/>
      <c r="Y830" s="741"/>
      <c r="Z830" s="741"/>
      <c r="AA830" s="741"/>
      <c r="AB830" s="741"/>
      <c r="AC830" s="741"/>
      <c r="AD830" s="741"/>
      <c r="AE830" s="741"/>
      <c r="AF830" s="741"/>
      <c r="AG830" s="741"/>
      <c r="AH830" s="741"/>
      <c r="AI830" s="741"/>
      <c r="AJ830" s="741"/>
      <c r="AK830" s="741"/>
      <c r="AL830" s="741"/>
      <c r="AM830" s="741"/>
      <c r="AN830" s="741"/>
      <c r="AO830" s="741"/>
      <c r="AP830" s="741"/>
      <c r="AQ830" s="741"/>
      <c r="AR830" s="741"/>
      <c r="AS830" s="741"/>
      <c r="AT830" s="741"/>
      <c r="AU830" s="741"/>
      <c r="AV830" s="741"/>
      <c r="AW830" s="741"/>
      <c r="AX830" s="741"/>
      <c r="AY830" s="741"/>
      <c r="AZ830" s="741"/>
      <c r="BA830" s="741"/>
      <c r="BB830" s="741"/>
      <c r="BC830" s="741"/>
      <c r="BD830" s="741"/>
      <c r="BE830" s="741"/>
      <c r="BF830" s="741"/>
      <c r="BG830" s="741"/>
      <c r="BH830" s="724"/>
      <c r="BI830" s="725"/>
      <c r="BJ830" s="669"/>
      <c r="BK830" s="670"/>
      <c r="BL830" s="725"/>
      <c r="BM830" s="671"/>
      <c r="BN830" s="665"/>
      <c r="BO830" s="665"/>
      <c r="BP830" s="665"/>
      <c r="BQ830" s="665"/>
      <c r="BR830" s="665"/>
      <c r="BS830" s="665"/>
      <c r="BT830" s="665"/>
      <c r="BU830" s="665"/>
      <c r="BV830" s="665"/>
      <c r="BW830" s="665"/>
      <c r="BX830" s="665"/>
      <c r="BY830" s="665"/>
      <c r="BZ830" s="665"/>
      <c r="CA830" s="665"/>
      <c r="CB830" s="665"/>
      <c r="CC830" s="665"/>
      <c r="CD830" s="665"/>
      <c r="CE830" s="665"/>
      <c r="CF830" s="665"/>
      <c r="CG830" s="665"/>
      <c r="CH830" s="665"/>
      <c r="CI830" s="665"/>
      <c r="CJ830" s="665"/>
      <c r="CK830" s="665"/>
      <c r="CL830" s="665"/>
      <c r="CM830" s="665"/>
      <c r="CN830" s="665"/>
      <c r="CO830" s="665"/>
      <c r="CP830" s="665"/>
      <c r="CQ830" s="665"/>
      <c r="CR830" s="665"/>
      <c r="CS830" s="665"/>
      <c r="CT830" s="665"/>
      <c r="CU830" s="665"/>
      <c r="CV830" s="665"/>
      <c r="CW830" s="665"/>
      <c r="CX830" s="665"/>
      <c r="CY830" s="665"/>
      <c r="CZ830" s="665"/>
      <c r="DA830" s="665"/>
      <c r="DB830" s="665"/>
      <c r="DC830" s="665"/>
      <c r="DD830" s="665"/>
      <c r="DE830" s="665"/>
      <c r="DF830" s="665"/>
      <c r="DG830" s="665"/>
      <c r="DH830" s="666"/>
    </row>
    <row r="831" spans="1:112" s="649" customFormat="1" ht="15.6" outlineLevel="1" x14ac:dyDescent="0.3">
      <c r="A831" s="652" t="str">
        <f>IF(J831&gt;0,"Imprimir","")</f>
        <v>Imprimir</v>
      </c>
      <c r="B831" s="652"/>
      <c r="C831" s="672"/>
      <c r="D831" s="673"/>
      <c r="E831" s="674"/>
      <c r="F831" s="675"/>
      <c r="G831" s="726"/>
      <c r="H831" s="676"/>
      <c r="I831" s="677"/>
      <c r="J831" s="219">
        <f>SUBTOTAL(9,J832:J881)</f>
        <v>21949.984423157897</v>
      </c>
      <c r="K831" s="678"/>
      <c r="L831" s="747"/>
      <c r="M831" s="742"/>
      <c r="N831" s="742"/>
      <c r="O831" s="742"/>
      <c r="P831" s="742"/>
      <c r="Q831" s="742"/>
      <c r="R831" s="742"/>
      <c r="S831" s="742"/>
      <c r="T831" s="742"/>
      <c r="U831" s="742"/>
      <c r="V831" s="742"/>
      <c r="W831" s="742"/>
      <c r="X831" s="742"/>
      <c r="Y831" s="742"/>
      <c r="Z831" s="742"/>
      <c r="AA831" s="742"/>
      <c r="AB831" s="742"/>
      <c r="AC831" s="742"/>
      <c r="AD831" s="742"/>
      <c r="AE831" s="742"/>
      <c r="AF831" s="742"/>
      <c r="AG831" s="742"/>
      <c r="AH831" s="742"/>
      <c r="AI831" s="742"/>
      <c r="AJ831" s="742"/>
      <c r="AK831" s="742"/>
      <c r="AL831" s="742"/>
      <c r="AM831" s="742"/>
      <c r="AN831" s="742"/>
      <c r="AO831" s="742"/>
      <c r="AP831" s="742"/>
      <c r="AQ831" s="742"/>
      <c r="AR831" s="742"/>
      <c r="AS831" s="742"/>
      <c r="AT831" s="742"/>
      <c r="AU831" s="742"/>
      <c r="AV831" s="742"/>
      <c r="AW831" s="742"/>
      <c r="AX831" s="742"/>
      <c r="AY831" s="742"/>
      <c r="AZ831" s="742"/>
      <c r="BA831" s="742"/>
      <c r="BB831" s="742"/>
      <c r="BC831" s="742"/>
      <c r="BD831" s="742"/>
      <c r="BE831" s="742"/>
      <c r="BF831" s="742"/>
      <c r="BG831" s="742"/>
      <c r="BH831" s="668"/>
      <c r="BI831" s="654"/>
      <c r="BJ831" s="680"/>
      <c r="BK831" s="681"/>
      <c r="BL831" s="654"/>
      <c r="BM831" s="682"/>
      <c r="BN831" s="683"/>
      <c r="BO831" s="683"/>
      <c r="BP831" s="683"/>
      <c r="BQ831" s="683"/>
      <c r="BR831" s="683"/>
      <c r="BS831" s="683"/>
      <c r="BT831" s="683"/>
      <c r="BU831" s="683"/>
      <c r="BV831" s="683"/>
      <c r="BW831" s="683"/>
      <c r="BX831" s="683"/>
      <c r="BY831" s="683"/>
      <c r="BZ831" s="683"/>
      <c r="CA831" s="683"/>
      <c r="CB831" s="683"/>
      <c r="CC831" s="683"/>
      <c r="CD831" s="683"/>
      <c r="CE831" s="683"/>
      <c r="CF831" s="683"/>
      <c r="CG831" s="683"/>
      <c r="CH831" s="683"/>
      <c r="CI831" s="683"/>
      <c r="CJ831" s="683"/>
      <c r="CK831" s="683"/>
      <c r="CL831" s="683"/>
      <c r="CM831" s="683"/>
      <c r="CN831" s="683"/>
      <c r="CO831" s="683"/>
      <c r="CP831" s="683"/>
      <c r="CQ831" s="683"/>
      <c r="CR831" s="683"/>
      <c r="CS831" s="683"/>
      <c r="CT831" s="683"/>
      <c r="CU831" s="683"/>
      <c r="CV831" s="683"/>
      <c r="CW831" s="683"/>
      <c r="CX831" s="683"/>
      <c r="CY831" s="683"/>
      <c r="CZ831" s="683"/>
      <c r="DA831" s="683"/>
      <c r="DB831" s="683"/>
      <c r="DC831" s="683"/>
      <c r="DD831" s="683"/>
      <c r="DE831" s="683"/>
      <c r="DF831" s="683"/>
      <c r="DG831" s="683"/>
      <c r="DH831" s="684"/>
    </row>
    <row r="832" spans="1:112" s="649" customFormat="1" outlineLevel="1" x14ac:dyDescent="0.3">
      <c r="A832" s="652" t="str">
        <f t="shared" ref="A832:A880" si="290">IF(J832="","",IF(J832=0,"","Imprimir"))</f>
        <v>Imprimir</v>
      </c>
      <c r="B832" s="652"/>
      <c r="C832" s="685"/>
      <c r="D832" s="686" t="s">
        <v>2808</v>
      </c>
      <c r="E832" s="686" t="s">
        <v>488</v>
      </c>
      <c r="F832" s="720"/>
      <c r="G832" s="688">
        <v>68.421052631578945</v>
      </c>
      <c r="H832" s="689">
        <f>Producción!G78*0.1</f>
        <v>0.30000000000000004</v>
      </c>
      <c r="I832" s="851">
        <f t="shared" ref="I832:I863" si="291">IF(E832&gt;0,$J$5,"")</f>
        <v>1</v>
      </c>
      <c r="J832" s="852">
        <f t="shared" ref="J832:J880" si="292">IFERROR(G832*H832*I832,"")</f>
        <v>20.526315789473685</v>
      </c>
      <c r="K832" s="667"/>
      <c r="L832" s="858">
        <v>1</v>
      </c>
      <c r="M832" s="859"/>
      <c r="N832" s="859"/>
      <c r="O832" s="859"/>
      <c r="P832" s="859"/>
      <c r="Q832" s="859"/>
      <c r="R832" s="859"/>
      <c r="S832" s="859"/>
      <c r="T832" s="859"/>
      <c r="U832" s="859"/>
      <c r="V832" s="859"/>
      <c r="W832" s="859"/>
      <c r="X832" s="859"/>
      <c r="Y832" s="859"/>
      <c r="Z832" s="860"/>
      <c r="AA832" s="860"/>
      <c r="AB832" s="860"/>
      <c r="AC832" s="860"/>
      <c r="AD832" s="860"/>
      <c r="AE832" s="860"/>
      <c r="AF832" s="860"/>
      <c r="AG832" s="860"/>
      <c r="AH832" s="860"/>
      <c r="AI832" s="860"/>
      <c r="AJ832" s="860"/>
      <c r="AK832" s="860"/>
      <c r="AL832" s="860"/>
      <c r="AM832" s="860"/>
      <c r="AN832" s="860"/>
      <c r="AO832" s="860"/>
      <c r="AP832" s="860"/>
      <c r="AQ832" s="860"/>
      <c r="AR832" s="860"/>
      <c r="AS832" s="860"/>
      <c r="AT832" s="860"/>
      <c r="AU832" s="860"/>
      <c r="AV832" s="860"/>
      <c r="AW832" s="860"/>
      <c r="AX832" s="860"/>
      <c r="AY832" s="860"/>
      <c r="AZ832" s="860"/>
      <c r="BA832" s="860"/>
      <c r="BB832" s="860"/>
      <c r="BC832" s="860"/>
      <c r="BD832" s="860"/>
      <c r="BE832" s="860"/>
      <c r="BF832" s="860"/>
      <c r="BG832" s="860"/>
      <c r="BH832" s="668"/>
      <c r="BI832" s="667"/>
      <c r="BJ832" s="690">
        <f t="shared" ref="BJ832:BJ863" si="293">IFERROR(BK832/J832,0)</f>
        <v>0</v>
      </c>
      <c r="BK832" s="691">
        <f t="shared" ref="BK832:BK863" si="294">SUM(BM832:DH832)</f>
        <v>0</v>
      </c>
      <c r="BL832" s="654"/>
      <c r="BM832" s="692">
        <f>SUMIFS(Imput[[Importe Neto]:[Importe Neto]],Imput[[C. Imp.]:[C. Imp.]],$D832,Imput[[PERIODO Imp.]:[PERIODO Imp.]],BM$9)</f>
        <v>0</v>
      </c>
      <c r="BN832" s="693">
        <f>SUMIFS(Imput[[Importe Neto]:[Importe Neto]],Imput[[C. Imp.]:[C. Imp.]],$D832,Imput[[PERIODO Imp.]:[PERIODO Imp.]],BN$9)</f>
        <v>0</v>
      </c>
      <c r="BO832" s="693">
        <f>SUMIFS(Imput[[Importe Neto]:[Importe Neto]],Imput[[C. Imp.]:[C. Imp.]],$D832,Imput[[PERIODO Imp.]:[PERIODO Imp.]],BO$9)</f>
        <v>0</v>
      </c>
      <c r="BP832" s="693">
        <f>SUMIFS(Imput[[Importe Neto]:[Importe Neto]],Imput[[C. Imp.]:[C. Imp.]],$D832,Imput[[PERIODO Imp.]:[PERIODO Imp.]],BP$9)</f>
        <v>0</v>
      </c>
      <c r="BQ832" s="693">
        <f>SUMIFS(Imput[[Importe Neto]:[Importe Neto]],Imput[[C. Imp.]:[C. Imp.]],$D832,Imput[[PERIODO Imp.]:[PERIODO Imp.]],BQ$9)</f>
        <v>0</v>
      </c>
      <c r="BR832" s="693">
        <f>SUMIFS(Imput[[Importe Neto]:[Importe Neto]],Imput[[C. Imp.]:[C. Imp.]],$D832,Imput[[PERIODO Imp.]:[PERIODO Imp.]],BR$9)</f>
        <v>0</v>
      </c>
      <c r="BS832" s="693">
        <f>SUMIFS(Imput[[Importe Neto]:[Importe Neto]],Imput[[C. Imp.]:[C. Imp.]],$D832,Imput[[PERIODO Imp.]:[PERIODO Imp.]],BS$9)</f>
        <v>0</v>
      </c>
      <c r="BT832" s="693">
        <f>SUMIFS(Imput[[Importe Neto]:[Importe Neto]],Imput[[C. Imp.]:[C. Imp.]],$D832,Imput[[PERIODO Imp.]:[PERIODO Imp.]],BT$9)</f>
        <v>0</v>
      </c>
      <c r="BU832" s="693">
        <f>SUMIFS(Imput[[Importe Neto]:[Importe Neto]],Imput[[C. Imp.]:[C. Imp.]],$D832,Imput[[PERIODO Imp.]:[PERIODO Imp.]],BU$9)</f>
        <v>0</v>
      </c>
      <c r="BV832" s="693">
        <f>SUMIFS(Imput[[Importe Neto]:[Importe Neto]],Imput[[C. Imp.]:[C. Imp.]],$D832,Imput[[PERIODO Imp.]:[PERIODO Imp.]],BV$9)</f>
        <v>0</v>
      </c>
      <c r="BW832" s="693">
        <f>SUMIFS(Imput[[Importe Neto]:[Importe Neto]],Imput[[C. Imp.]:[C. Imp.]],$D832,Imput[[PERIODO Imp.]:[PERIODO Imp.]],BW$9)</f>
        <v>0</v>
      </c>
      <c r="BX832" s="693">
        <f>SUMIFS(Imput[[Importe Neto]:[Importe Neto]],Imput[[C. Imp.]:[C. Imp.]],$D832,Imput[[PERIODO Imp.]:[PERIODO Imp.]],BX$9)</f>
        <v>0</v>
      </c>
      <c r="BY832" s="693">
        <f>SUMIFS(Imput[[Importe Neto]:[Importe Neto]],Imput[[C. Imp.]:[C. Imp.]],$D832,Imput[[PERIODO Imp.]:[PERIODO Imp.]],BY$9)</f>
        <v>0</v>
      </c>
      <c r="BZ832" s="693">
        <f>SUMIFS(Imput[[Importe Neto]:[Importe Neto]],Imput[[C. Imp.]:[C. Imp.]],$D832,Imput[[PERIODO Imp.]:[PERIODO Imp.]],BZ$9)</f>
        <v>0</v>
      </c>
      <c r="CA832" s="693">
        <f>SUMIFS(Imput[[Importe Neto]:[Importe Neto]],Imput[[C. Imp.]:[C. Imp.]],$D832,Imput[[PERIODO Imp.]:[PERIODO Imp.]],CA$9)</f>
        <v>0</v>
      </c>
      <c r="CB832" s="693">
        <f>SUMIFS(Imput[[Importe Neto]:[Importe Neto]],Imput[[C. Imp.]:[C. Imp.]],$D832,Imput[[PERIODO Imp.]:[PERIODO Imp.]],CB$9)</f>
        <v>0</v>
      </c>
      <c r="CC832" s="693">
        <f>SUMIFS(Imput[[Importe Neto]:[Importe Neto]],Imput[[C. Imp.]:[C. Imp.]],$D832,Imput[[PERIODO Imp.]:[PERIODO Imp.]],CC$9)</f>
        <v>0</v>
      </c>
      <c r="CD832" s="693">
        <f>SUMIFS(Imput[[Importe Neto]:[Importe Neto]],Imput[[C. Imp.]:[C. Imp.]],$D832,Imput[[PERIODO Imp.]:[PERIODO Imp.]],CD$9)</f>
        <v>0</v>
      </c>
      <c r="CE832" s="693">
        <f>SUMIFS(Imput[[Importe Neto]:[Importe Neto]],Imput[[C. Imp.]:[C. Imp.]],$D832,Imput[[PERIODO Imp.]:[PERIODO Imp.]],CE$9)</f>
        <v>0</v>
      </c>
      <c r="CF832" s="693">
        <f>SUMIFS(Imput[[Importe Neto]:[Importe Neto]],Imput[[C. Imp.]:[C. Imp.]],$D832,Imput[[PERIODO Imp.]:[PERIODO Imp.]],CF$9)</f>
        <v>0</v>
      </c>
      <c r="CG832" s="693">
        <f>SUMIFS(Imput[[Importe Neto]:[Importe Neto]],Imput[[C. Imp.]:[C. Imp.]],$D832,Imput[[PERIODO Imp.]:[PERIODO Imp.]],CG$9)</f>
        <v>0</v>
      </c>
      <c r="CH832" s="693">
        <f>SUMIFS(Imput[[Importe Neto]:[Importe Neto]],Imput[[C. Imp.]:[C. Imp.]],$D832,Imput[[PERIODO Imp.]:[PERIODO Imp.]],CH$9)</f>
        <v>0</v>
      </c>
      <c r="CI832" s="693">
        <f>SUMIFS(Imput[[Importe Neto]:[Importe Neto]],Imput[[C. Imp.]:[C. Imp.]],$D832,Imput[[PERIODO Imp.]:[PERIODO Imp.]],CI$9)</f>
        <v>0</v>
      </c>
      <c r="CJ832" s="693">
        <f>SUMIFS(Imput[[Importe Neto]:[Importe Neto]],Imput[[C. Imp.]:[C. Imp.]],$D832,Imput[[PERIODO Imp.]:[PERIODO Imp.]],CJ$9)</f>
        <v>0</v>
      </c>
      <c r="CK832" s="693">
        <f>SUMIFS(Imput[[Importe Neto]:[Importe Neto]],Imput[[C. Imp.]:[C. Imp.]],$D832,Imput[[PERIODO Imp.]:[PERIODO Imp.]],CK$9)</f>
        <v>0</v>
      </c>
      <c r="CL832" s="693">
        <f>SUMIFS(Imput[[Importe Neto]:[Importe Neto]],Imput[[C. Imp.]:[C. Imp.]],$D832,Imput[[PERIODO Imp.]:[PERIODO Imp.]],CL$9)</f>
        <v>0</v>
      </c>
      <c r="CM832" s="693">
        <f>SUMIFS(Imput[[Importe Neto]:[Importe Neto]],Imput[[C. Imp.]:[C. Imp.]],$D832,Imput[[PERIODO Imp.]:[PERIODO Imp.]],CM$9)</f>
        <v>0</v>
      </c>
      <c r="CN832" s="693">
        <f>SUMIFS(Imput[[Importe Neto]:[Importe Neto]],Imput[[C. Imp.]:[C. Imp.]],$D832,Imput[[PERIODO Imp.]:[PERIODO Imp.]],CN$9)</f>
        <v>0</v>
      </c>
      <c r="CO832" s="693">
        <f>SUMIFS(Imput[[Importe Neto]:[Importe Neto]],Imput[[C. Imp.]:[C. Imp.]],$D832,Imput[[PERIODO Imp.]:[PERIODO Imp.]],CO$9)</f>
        <v>0</v>
      </c>
      <c r="CP832" s="693">
        <f>SUMIFS(Imput[[Importe Neto]:[Importe Neto]],Imput[[C. Imp.]:[C. Imp.]],$D832,Imput[[PERIODO Imp.]:[PERIODO Imp.]],CP$9)</f>
        <v>0</v>
      </c>
      <c r="CQ832" s="693">
        <f>SUMIFS(Imput[[Importe Neto]:[Importe Neto]],Imput[[C. Imp.]:[C. Imp.]],$D832,Imput[[PERIODO Imp.]:[PERIODO Imp.]],CQ$9)</f>
        <v>0</v>
      </c>
      <c r="CR832" s="693">
        <f>SUMIFS(Imput[[Importe Neto]:[Importe Neto]],Imput[[C. Imp.]:[C. Imp.]],$D832,Imput[[PERIODO Imp.]:[PERIODO Imp.]],CR$9)</f>
        <v>0</v>
      </c>
      <c r="CS832" s="693">
        <f>SUMIFS(Imput[[Importe Neto]:[Importe Neto]],Imput[[C. Imp.]:[C. Imp.]],$D832,Imput[[PERIODO Imp.]:[PERIODO Imp.]],CS$9)</f>
        <v>0</v>
      </c>
      <c r="CT832" s="693">
        <f>SUMIFS(Imput[[Importe Neto]:[Importe Neto]],Imput[[C. Imp.]:[C. Imp.]],$D832,Imput[[PERIODO Imp.]:[PERIODO Imp.]],CT$9)</f>
        <v>0</v>
      </c>
      <c r="CU832" s="693">
        <f>SUMIFS(Imput[[Importe Neto]:[Importe Neto]],Imput[[C. Imp.]:[C. Imp.]],$D832,Imput[[PERIODO Imp.]:[PERIODO Imp.]],CU$9)</f>
        <v>0</v>
      </c>
      <c r="CV832" s="693">
        <f>SUMIFS(Imput[[Importe Neto]:[Importe Neto]],Imput[[C. Imp.]:[C. Imp.]],$D832,Imput[[PERIODO Imp.]:[PERIODO Imp.]],CV$9)</f>
        <v>0</v>
      </c>
      <c r="CW832" s="693">
        <f>SUMIFS(Imput[[Importe Neto]:[Importe Neto]],Imput[[C. Imp.]:[C. Imp.]],$D832,Imput[[PERIODO Imp.]:[PERIODO Imp.]],CW$9)</f>
        <v>0</v>
      </c>
      <c r="CX832" s="693">
        <f>SUMIFS(Imput[[Importe Neto]:[Importe Neto]],Imput[[C. Imp.]:[C. Imp.]],$D832,Imput[[PERIODO Imp.]:[PERIODO Imp.]],CX$9)</f>
        <v>0</v>
      </c>
      <c r="CY832" s="693">
        <f>SUMIFS(Imput[[Importe Neto]:[Importe Neto]],Imput[[C. Imp.]:[C. Imp.]],$D832,Imput[[PERIODO Imp.]:[PERIODO Imp.]],CY$9)</f>
        <v>0</v>
      </c>
      <c r="CZ832" s="693">
        <f>SUMIFS(Imput[[Importe Neto]:[Importe Neto]],Imput[[C. Imp.]:[C. Imp.]],$D832,Imput[[PERIODO Imp.]:[PERIODO Imp.]],CZ$9)</f>
        <v>0</v>
      </c>
      <c r="DA832" s="693">
        <f>SUMIFS(Imput[[Importe Neto]:[Importe Neto]],Imput[[C. Imp.]:[C. Imp.]],$D832,Imput[[PERIODO Imp.]:[PERIODO Imp.]],DA$9)</f>
        <v>0</v>
      </c>
      <c r="DB832" s="693">
        <f>SUMIFS(Imput[[Importe Neto]:[Importe Neto]],Imput[[C. Imp.]:[C. Imp.]],$D832,Imput[[PERIODO Imp.]:[PERIODO Imp.]],DB$9)</f>
        <v>0</v>
      </c>
      <c r="DC832" s="693">
        <f>SUMIFS(Imput[[Importe Neto]:[Importe Neto]],Imput[[C. Imp.]:[C. Imp.]],$D832,Imput[[PERIODO Imp.]:[PERIODO Imp.]],DC$9)</f>
        <v>0</v>
      </c>
      <c r="DD832" s="693">
        <f>SUMIFS(Imput[[Importe Neto]:[Importe Neto]],Imput[[C. Imp.]:[C. Imp.]],$D832,Imput[[PERIODO Imp.]:[PERIODO Imp.]],DD$9)</f>
        <v>0</v>
      </c>
      <c r="DE832" s="693">
        <f>SUMIFS(Imput[[Importe Neto]:[Importe Neto]],Imput[[C. Imp.]:[C. Imp.]],$D832,Imput[[PERIODO Imp.]:[PERIODO Imp.]],DE$9)</f>
        <v>0</v>
      </c>
      <c r="DF832" s="693">
        <f>SUMIFS(Imput[[Importe Neto]:[Importe Neto]],Imput[[C. Imp.]:[C. Imp.]],$D832,Imput[[PERIODO Imp.]:[PERIODO Imp.]],DF$9)</f>
        <v>0</v>
      </c>
      <c r="DG832" s="693">
        <f>SUMIFS(Imput[[Importe Neto]:[Importe Neto]],Imput[[C. Imp.]:[C. Imp.]],$D832,Imput[[PERIODO Imp.]:[PERIODO Imp.]],DG$9)</f>
        <v>0</v>
      </c>
      <c r="DH832" s="694">
        <f>SUMIFS(Imput[[Importe Neto]:[Importe Neto]],Imput[[C. Imp.]:[C. Imp.]],$D832,Imput[[PERIODO Imp.]:[PERIODO Imp.]],DH$9)</f>
        <v>0</v>
      </c>
    </row>
    <row r="833" spans="1:112" s="649" customFormat="1" outlineLevel="1" x14ac:dyDescent="0.3">
      <c r="A833" s="652" t="str">
        <f t="shared" si="290"/>
        <v>Imprimir</v>
      </c>
      <c r="B833" s="652"/>
      <c r="C833" s="685"/>
      <c r="D833" s="686" t="s">
        <v>2809</v>
      </c>
      <c r="E833" s="686" t="s">
        <v>489</v>
      </c>
      <c r="F833" s="720"/>
      <c r="G833" s="688">
        <v>115.73684210526316</v>
      </c>
      <c r="H833" s="531">
        <f>Producción!G78*0.09</f>
        <v>0.27</v>
      </c>
      <c r="I833" s="851">
        <f t="shared" si="291"/>
        <v>1</v>
      </c>
      <c r="J833" s="850">
        <f t="shared" si="292"/>
        <v>31.248947368421057</v>
      </c>
      <c r="K833" s="667"/>
      <c r="L833" s="858">
        <v>1</v>
      </c>
      <c r="M833" s="859"/>
      <c r="N833" s="859"/>
      <c r="O833" s="859"/>
      <c r="P833" s="859"/>
      <c r="Q833" s="859"/>
      <c r="R833" s="859"/>
      <c r="S833" s="859"/>
      <c r="T833" s="859"/>
      <c r="U833" s="859"/>
      <c r="V833" s="859"/>
      <c r="W833" s="859"/>
      <c r="X833" s="859"/>
      <c r="Y833" s="859"/>
      <c r="Z833" s="860"/>
      <c r="AA833" s="860"/>
      <c r="AB833" s="860"/>
      <c r="AC833" s="860"/>
      <c r="AD833" s="860"/>
      <c r="AE833" s="860"/>
      <c r="AF833" s="860"/>
      <c r="AG833" s="860"/>
      <c r="AH833" s="860"/>
      <c r="AI833" s="860"/>
      <c r="AJ833" s="860"/>
      <c r="AK833" s="860"/>
      <c r="AL833" s="860"/>
      <c r="AM833" s="860"/>
      <c r="AN833" s="860"/>
      <c r="AO833" s="860"/>
      <c r="AP833" s="860"/>
      <c r="AQ833" s="860"/>
      <c r="AR833" s="860"/>
      <c r="AS833" s="860"/>
      <c r="AT833" s="860"/>
      <c r="AU833" s="860"/>
      <c r="AV833" s="860"/>
      <c r="AW833" s="860"/>
      <c r="AX833" s="860"/>
      <c r="AY833" s="860"/>
      <c r="AZ833" s="860"/>
      <c r="BA833" s="860"/>
      <c r="BB833" s="860"/>
      <c r="BC833" s="860"/>
      <c r="BD833" s="860"/>
      <c r="BE833" s="860"/>
      <c r="BF833" s="860"/>
      <c r="BG833" s="860"/>
      <c r="BH833" s="668"/>
      <c r="BI833" s="667"/>
      <c r="BJ833" s="690">
        <f t="shared" si="293"/>
        <v>0</v>
      </c>
      <c r="BK833" s="691">
        <f t="shared" si="294"/>
        <v>0</v>
      </c>
      <c r="BL833" s="654"/>
      <c r="BM833" s="692">
        <f>SUMIFS(Imput[[Importe Neto]:[Importe Neto]],Imput[[C. Imp.]:[C. Imp.]],$D833,Imput[[PERIODO Imp.]:[PERIODO Imp.]],BM$9)</f>
        <v>0</v>
      </c>
      <c r="BN833" s="693">
        <f>SUMIFS(Imput[[Importe Neto]:[Importe Neto]],Imput[[C. Imp.]:[C. Imp.]],$D833,Imput[[PERIODO Imp.]:[PERIODO Imp.]],BN$9)</f>
        <v>0</v>
      </c>
      <c r="BO833" s="693">
        <f>SUMIFS(Imput[[Importe Neto]:[Importe Neto]],Imput[[C. Imp.]:[C. Imp.]],$D833,Imput[[PERIODO Imp.]:[PERIODO Imp.]],BO$9)</f>
        <v>0</v>
      </c>
      <c r="BP833" s="693">
        <f>SUMIFS(Imput[[Importe Neto]:[Importe Neto]],Imput[[C. Imp.]:[C. Imp.]],$D833,Imput[[PERIODO Imp.]:[PERIODO Imp.]],BP$9)</f>
        <v>0</v>
      </c>
      <c r="BQ833" s="693">
        <f>SUMIFS(Imput[[Importe Neto]:[Importe Neto]],Imput[[C. Imp.]:[C. Imp.]],$D833,Imput[[PERIODO Imp.]:[PERIODO Imp.]],BQ$9)</f>
        <v>0</v>
      </c>
      <c r="BR833" s="693">
        <f>SUMIFS(Imput[[Importe Neto]:[Importe Neto]],Imput[[C. Imp.]:[C. Imp.]],$D833,Imput[[PERIODO Imp.]:[PERIODO Imp.]],BR$9)</f>
        <v>0</v>
      </c>
      <c r="BS833" s="693">
        <f>SUMIFS(Imput[[Importe Neto]:[Importe Neto]],Imput[[C. Imp.]:[C. Imp.]],$D833,Imput[[PERIODO Imp.]:[PERIODO Imp.]],BS$9)</f>
        <v>0</v>
      </c>
      <c r="BT833" s="693">
        <f>SUMIFS(Imput[[Importe Neto]:[Importe Neto]],Imput[[C. Imp.]:[C. Imp.]],$D833,Imput[[PERIODO Imp.]:[PERIODO Imp.]],BT$9)</f>
        <v>0</v>
      </c>
      <c r="BU833" s="693">
        <f>SUMIFS(Imput[[Importe Neto]:[Importe Neto]],Imput[[C. Imp.]:[C. Imp.]],$D833,Imput[[PERIODO Imp.]:[PERIODO Imp.]],BU$9)</f>
        <v>0</v>
      </c>
      <c r="BV833" s="693">
        <f>SUMIFS(Imput[[Importe Neto]:[Importe Neto]],Imput[[C. Imp.]:[C. Imp.]],$D833,Imput[[PERIODO Imp.]:[PERIODO Imp.]],BV$9)</f>
        <v>0</v>
      </c>
      <c r="BW833" s="693">
        <f>SUMIFS(Imput[[Importe Neto]:[Importe Neto]],Imput[[C. Imp.]:[C. Imp.]],$D833,Imput[[PERIODO Imp.]:[PERIODO Imp.]],BW$9)</f>
        <v>0</v>
      </c>
      <c r="BX833" s="693">
        <f>SUMIFS(Imput[[Importe Neto]:[Importe Neto]],Imput[[C. Imp.]:[C. Imp.]],$D833,Imput[[PERIODO Imp.]:[PERIODO Imp.]],BX$9)</f>
        <v>0</v>
      </c>
      <c r="BY833" s="693">
        <f>SUMIFS(Imput[[Importe Neto]:[Importe Neto]],Imput[[C. Imp.]:[C. Imp.]],$D833,Imput[[PERIODO Imp.]:[PERIODO Imp.]],BY$9)</f>
        <v>0</v>
      </c>
      <c r="BZ833" s="693">
        <f>SUMIFS(Imput[[Importe Neto]:[Importe Neto]],Imput[[C. Imp.]:[C. Imp.]],$D833,Imput[[PERIODO Imp.]:[PERIODO Imp.]],BZ$9)</f>
        <v>0</v>
      </c>
      <c r="CA833" s="693">
        <f>SUMIFS(Imput[[Importe Neto]:[Importe Neto]],Imput[[C. Imp.]:[C. Imp.]],$D833,Imput[[PERIODO Imp.]:[PERIODO Imp.]],CA$9)</f>
        <v>0</v>
      </c>
      <c r="CB833" s="693">
        <f>SUMIFS(Imput[[Importe Neto]:[Importe Neto]],Imput[[C. Imp.]:[C. Imp.]],$D833,Imput[[PERIODO Imp.]:[PERIODO Imp.]],CB$9)</f>
        <v>0</v>
      </c>
      <c r="CC833" s="693">
        <f>SUMIFS(Imput[[Importe Neto]:[Importe Neto]],Imput[[C. Imp.]:[C. Imp.]],$D833,Imput[[PERIODO Imp.]:[PERIODO Imp.]],CC$9)</f>
        <v>0</v>
      </c>
      <c r="CD833" s="693">
        <f>SUMIFS(Imput[[Importe Neto]:[Importe Neto]],Imput[[C. Imp.]:[C. Imp.]],$D833,Imput[[PERIODO Imp.]:[PERIODO Imp.]],CD$9)</f>
        <v>0</v>
      </c>
      <c r="CE833" s="693">
        <f>SUMIFS(Imput[[Importe Neto]:[Importe Neto]],Imput[[C. Imp.]:[C. Imp.]],$D833,Imput[[PERIODO Imp.]:[PERIODO Imp.]],CE$9)</f>
        <v>0</v>
      </c>
      <c r="CF833" s="693">
        <f>SUMIFS(Imput[[Importe Neto]:[Importe Neto]],Imput[[C. Imp.]:[C. Imp.]],$D833,Imput[[PERIODO Imp.]:[PERIODO Imp.]],CF$9)</f>
        <v>0</v>
      </c>
      <c r="CG833" s="693">
        <f>SUMIFS(Imput[[Importe Neto]:[Importe Neto]],Imput[[C. Imp.]:[C. Imp.]],$D833,Imput[[PERIODO Imp.]:[PERIODO Imp.]],CG$9)</f>
        <v>0</v>
      </c>
      <c r="CH833" s="693">
        <f>SUMIFS(Imput[[Importe Neto]:[Importe Neto]],Imput[[C. Imp.]:[C. Imp.]],$D833,Imput[[PERIODO Imp.]:[PERIODO Imp.]],CH$9)</f>
        <v>0</v>
      </c>
      <c r="CI833" s="693">
        <f>SUMIFS(Imput[[Importe Neto]:[Importe Neto]],Imput[[C. Imp.]:[C. Imp.]],$D833,Imput[[PERIODO Imp.]:[PERIODO Imp.]],CI$9)</f>
        <v>0</v>
      </c>
      <c r="CJ833" s="693">
        <f>SUMIFS(Imput[[Importe Neto]:[Importe Neto]],Imput[[C. Imp.]:[C. Imp.]],$D833,Imput[[PERIODO Imp.]:[PERIODO Imp.]],CJ$9)</f>
        <v>0</v>
      </c>
      <c r="CK833" s="693">
        <f>SUMIFS(Imput[[Importe Neto]:[Importe Neto]],Imput[[C. Imp.]:[C. Imp.]],$D833,Imput[[PERIODO Imp.]:[PERIODO Imp.]],CK$9)</f>
        <v>0</v>
      </c>
      <c r="CL833" s="693">
        <f>SUMIFS(Imput[[Importe Neto]:[Importe Neto]],Imput[[C. Imp.]:[C. Imp.]],$D833,Imput[[PERIODO Imp.]:[PERIODO Imp.]],CL$9)</f>
        <v>0</v>
      </c>
      <c r="CM833" s="693">
        <f>SUMIFS(Imput[[Importe Neto]:[Importe Neto]],Imput[[C. Imp.]:[C. Imp.]],$D833,Imput[[PERIODO Imp.]:[PERIODO Imp.]],CM$9)</f>
        <v>0</v>
      </c>
      <c r="CN833" s="693">
        <f>SUMIFS(Imput[[Importe Neto]:[Importe Neto]],Imput[[C. Imp.]:[C. Imp.]],$D833,Imput[[PERIODO Imp.]:[PERIODO Imp.]],CN$9)</f>
        <v>0</v>
      </c>
      <c r="CO833" s="693">
        <f>SUMIFS(Imput[[Importe Neto]:[Importe Neto]],Imput[[C. Imp.]:[C. Imp.]],$D833,Imput[[PERIODO Imp.]:[PERIODO Imp.]],CO$9)</f>
        <v>0</v>
      </c>
      <c r="CP833" s="693">
        <f>SUMIFS(Imput[[Importe Neto]:[Importe Neto]],Imput[[C. Imp.]:[C. Imp.]],$D833,Imput[[PERIODO Imp.]:[PERIODO Imp.]],CP$9)</f>
        <v>0</v>
      </c>
      <c r="CQ833" s="693">
        <f>SUMIFS(Imput[[Importe Neto]:[Importe Neto]],Imput[[C. Imp.]:[C. Imp.]],$D833,Imput[[PERIODO Imp.]:[PERIODO Imp.]],CQ$9)</f>
        <v>0</v>
      </c>
      <c r="CR833" s="693">
        <f>SUMIFS(Imput[[Importe Neto]:[Importe Neto]],Imput[[C. Imp.]:[C. Imp.]],$D833,Imput[[PERIODO Imp.]:[PERIODO Imp.]],CR$9)</f>
        <v>0</v>
      </c>
      <c r="CS833" s="693">
        <f>SUMIFS(Imput[[Importe Neto]:[Importe Neto]],Imput[[C. Imp.]:[C. Imp.]],$D833,Imput[[PERIODO Imp.]:[PERIODO Imp.]],CS$9)</f>
        <v>0</v>
      </c>
      <c r="CT833" s="693">
        <f>SUMIFS(Imput[[Importe Neto]:[Importe Neto]],Imput[[C. Imp.]:[C. Imp.]],$D833,Imput[[PERIODO Imp.]:[PERIODO Imp.]],CT$9)</f>
        <v>0</v>
      </c>
      <c r="CU833" s="693">
        <f>SUMIFS(Imput[[Importe Neto]:[Importe Neto]],Imput[[C. Imp.]:[C. Imp.]],$D833,Imput[[PERIODO Imp.]:[PERIODO Imp.]],CU$9)</f>
        <v>0</v>
      </c>
      <c r="CV833" s="693">
        <f>SUMIFS(Imput[[Importe Neto]:[Importe Neto]],Imput[[C. Imp.]:[C. Imp.]],$D833,Imput[[PERIODO Imp.]:[PERIODO Imp.]],CV$9)</f>
        <v>0</v>
      </c>
      <c r="CW833" s="693">
        <f>SUMIFS(Imput[[Importe Neto]:[Importe Neto]],Imput[[C. Imp.]:[C. Imp.]],$D833,Imput[[PERIODO Imp.]:[PERIODO Imp.]],CW$9)</f>
        <v>0</v>
      </c>
      <c r="CX833" s="693">
        <f>SUMIFS(Imput[[Importe Neto]:[Importe Neto]],Imput[[C. Imp.]:[C. Imp.]],$D833,Imput[[PERIODO Imp.]:[PERIODO Imp.]],CX$9)</f>
        <v>0</v>
      </c>
      <c r="CY833" s="693">
        <f>SUMIFS(Imput[[Importe Neto]:[Importe Neto]],Imput[[C. Imp.]:[C. Imp.]],$D833,Imput[[PERIODO Imp.]:[PERIODO Imp.]],CY$9)</f>
        <v>0</v>
      </c>
      <c r="CZ833" s="693">
        <f>SUMIFS(Imput[[Importe Neto]:[Importe Neto]],Imput[[C. Imp.]:[C. Imp.]],$D833,Imput[[PERIODO Imp.]:[PERIODO Imp.]],CZ$9)</f>
        <v>0</v>
      </c>
      <c r="DA833" s="693">
        <f>SUMIFS(Imput[[Importe Neto]:[Importe Neto]],Imput[[C. Imp.]:[C. Imp.]],$D833,Imput[[PERIODO Imp.]:[PERIODO Imp.]],DA$9)</f>
        <v>0</v>
      </c>
      <c r="DB833" s="693">
        <f>SUMIFS(Imput[[Importe Neto]:[Importe Neto]],Imput[[C. Imp.]:[C. Imp.]],$D833,Imput[[PERIODO Imp.]:[PERIODO Imp.]],DB$9)</f>
        <v>0</v>
      </c>
      <c r="DC833" s="693">
        <f>SUMIFS(Imput[[Importe Neto]:[Importe Neto]],Imput[[C. Imp.]:[C. Imp.]],$D833,Imput[[PERIODO Imp.]:[PERIODO Imp.]],DC$9)</f>
        <v>0</v>
      </c>
      <c r="DD833" s="693">
        <f>SUMIFS(Imput[[Importe Neto]:[Importe Neto]],Imput[[C. Imp.]:[C. Imp.]],$D833,Imput[[PERIODO Imp.]:[PERIODO Imp.]],DD$9)</f>
        <v>0</v>
      </c>
      <c r="DE833" s="693">
        <f>SUMIFS(Imput[[Importe Neto]:[Importe Neto]],Imput[[C. Imp.]:[C. Imp.]],$D833,Imput[[PERIODO Imp.]:[PERIODO Imp.]],DE$9)</f>
        <v>0</v>
      </c>
      <c r="DF833" s="693">
        <f>SUMIFS(Imput[[Importe Neto]:[Importe Neto]],Imput[[C. Imp.]:[C. Imp.]],$D833,Imput[[PERIODO Imp.]:[PERIODO Imp.]],DF$9)</f>
        <v>0</v>
      </c>
      <c r="DG833" s="693">
        <f>SUMIFS(Imput[[Importe Neto]:[Importe Neto]],Imput[[C. Imp.]:[C. Imp.]],$D833,Imput[[PERIODO Imp.]:[PERIODO Imp.]],DG$9)</f>
        <v>0</v>
      </c>
      <c r="DH833" s="694">
        <f>SUMIFS(Imput[[Importe Neto]:[Importe Neto]],Imput[[C. Imp.]:[C. Imp.]],$D833,Imput[[PERIODO Imp.]:[PERIODO Imp.]],DH$9)</f>
        <v>0</v>
      </c>
    </row>
    <row r="834" spans="1:112" s="649" customFormat="1" outlineLevel="1" x14ac:dyDescent="0.3">
      <c r="A834" s="652" t="str">
        <f t="shared" si="290"/>
        <v>Imprimir</v>
      </c>
      <c r="B834" s="652"/>
      <c r="C834" s="685"/>
      <c r="D834" s="686" t="s">
        <v>2810</v>
      </c>
      <c r="E834" s="686" t="s">
        <v>490</v>
      </c>
      <c r="F834" s="720"/>
      <c r="G834" s="688">
        <v>50</v>
      </c>
      <c r="H834" s="531">
        <f>Producción!G78*0.812</f>
        <v>2.4359999999999999</v>
      </c>
      <c r="I834" s="851">
        <f t="shared" si="291"/>
        <v>1</v>
      </c>
      <c r="J834" s="850">
        <f t="shared" si="292"/>
        <v>121.8</v>
      </c>
      <c r="K834" s="667"/>
      <c r="L834" s="858">
        <v>0.1</v>
      </c>
      <c r="M834" s="859"/>
      <c r="N834" s="859"/>
      <c r="O834" s="859">
        <v>0.1</v>
      </c>
      <c r="P834" s="859"/>
      <c r="Q834" s="859"/>
      <c r="R834" s="859"/>
      <c r="S834" s="859">
        <v>0.1</v>
      </c>
      <c r="T834" s="859"/>
      <c r="U834" s="859"/>
      <c r="V834" s="859"/>
      <c r="W834" s="859">
        <v>0.1</v>
      </c>
      <c r="X834" s="859"/>
      <c r="Y834" s="859">
        <v>0.1</v>
      </c>
      <c r="Z834" s="860"/>
      <c r="AA834" s="860">
        <v>0.1</v>
      </c>
      <c r="AB834" s="860"/>
      <c r="AC834" s="860">
        <v>0.1</v>
      </c>
      <c r="AD834" s="860"/>
      <c r="AE834" s="860">
        <v>0.1</v>
      </c>
      <c r="AF834" s="860"/>
      <c r="AG834" s="860">
        <v>0.1</v>
      </c>
      <c r="AH834" s="860"/>
      <c r="AI834" s="860">
        <v>0.1</v>
      </c>
      <c r="AJ834" s="860"/>
      <c r="AK834" s="860"/>
      <c r="AL834" s="860"/>
      <c r="AM834" s="860"/>
      <c r="AN834" s="860"/>
      <c r="AO834" s="860"/>
      <c r="AP834" s="860"/>
      <c r="AQ834" s="860"/>
      <c r="AR834" s="860"/>
      <c r="AS834" s="860"/>
      <c r="AT834" s="860"/>
      <c r="AU834" s="860"/>
      <c r="AV834" s="860"/>
      <c r="AW834" s="860"/>
      <c r="AX834" s="860"/>
      <c r="AY834" s="860"/>
      <c r="AZ834" s="860"/>
      <c r="BA834" s="860"/>
      <c r="BB834" s="860"/>
      <c r="BC834" s="860"/>
      <c r="BD834" s="860"/>
      <c r="BE834" s="860"/>
      <c r="BF834" s="860"/>
      <c r="BG834" s="860"/>
      <c r="BH834" s="668"/>
      <c r="BI834" s="667"/>
      <c r="BJ834" s="690">
        <f t="shared" si="293"/>
        <v>0</v>
      </c>
      <c r="BK834" s="691">
        <f t="shared" si="294"/>
        <v>0</v>
      </c>
      <c r="BL834" s="654"/>
      <c r="BM834" s="692">
        <f>SUMIFS(Imput[[Importe Neto]:[Importe Neto]],Imput[[C. Imp.]:[C. Imp.]],$D834,Imput[[PERIODO Imp.]:[PERIODO Imp.]],BM$9)</f>
        <v>0</v>
      </c>
      <c r="BN834" s="693">
        <f>SUMIFS(Imput[[Importe Neto]:[Importe Neto]],Imput[[C. Imp.]:[C. Imp.]],$D834,Imput[[PERIODO Imp.]:[PERIODO Imp.]],BN$9)</f>
        <v>0</v>
      </c>
      <c r="BO834" s="693">
        <f>SUMIFS(Imput[[Importe Neto]:[Importe Neto]],Imput[[C. Imp.]:[C. Imp.]],$D834,Imput[[PERIODO Imp.]:[PERIODO Imp.]],BO$9)</f>
        <v>0</v>
      </c>
      <c r="BP834" s="693">
        <f>SUMIFS(Imput[[Importe Neto]:[Importe Neto]],Imput[[C. Imp.]:[C. Imp.]],$D834,Imput[[PERIODO Imp.]:[PERIODO Imp.]],BP$9)</f>
        <v>0</v>
      </c>
      <c r="BQ834" s="693">
        <f>SUMIFS(Imput[[Importe Neto]:[Importe Neto]],Imput[[C. Imp.]:[C. Imp.]],$D834,Imput[[PERIODO Imp.]:[PERIODO Imp.]],BQ$9)</f>
        <v>0</v>
      </c>
      <c r="BR834" s="693">
        <f>SUMIFS(Imput[[Importe Neto]:[Importe Neto]],Imput[[C. Imp.]:[C. Imp.]],$D834,Imput[[PERIODO Imp.]:[PERIODO Imp.]],BR$9)</f>
        <v>0</v>
      </c>
      <c r="BS834" s="693">
        <f>SUMIFS(Imput[[Importe Neto]:[Importe Neto]],Imput[[C. Imp.]:[C. Imp.]],$D834,Imput[[PERIODO Imp.]:[PERIODO Imp.]],BS$9)</f>
        <v>0</v>
      </c>
      <c r="BT834" s="693">
        <f>SUMIFS(Imput[[Importe Neto]:[Importe Neto]],Imput[[C. Imp.]:[C. Imp.]],$D834,Imput[[PERIODO Imp.]:[PERIODO Imp.]],BT$9)</f>
        <v>0</v>
      </c>
      <c r="BU834" s="693">
        <f>SUMIFS(Imput[[Importe Neto]:[Importe Neto]],Imput[[C. Imp.]:[C. Imp.]],$D834,Imput[[PERIODO Imp.]:[PERIODO Imp.]],BU$9)</f>
        <v>0</v>
      </c>
      <c r="BV834" s="693">
        <f>SUMIFS(Imput[[Importe Neto]:[Importe Neto]],Imput[[C. Imp.]:[C. Imp.]],$D834,Imput[[PERIODO Imp.]:[PERIODO Imp.]],BV$9)</f>
        <v>0</v>
      </c>
      <c r="BW834" s="693">
        <f>SUMIFS(Imput[[Importe Neto]:[Importe Neto]],Imput[[C. Imp.]:[C. Imp.]],$D834,Imput[[PERIODO Imp.]:[PERIODO Imp.]],BW$9)</f>
        <v>0</v>
      </c>
      <c r="BX834" s="693">
        <f>SUMIFS(Imput[[Importe Neto]:[Importe Neto]],Imput[[C. Imp.]:[C. Imp.]],$D834,Imput[[PERIODO Imp.]:[PERIODO Imp.]],BX$9)</f>
        <v>0</v>
      </c>
      <c r="BY834" s="693">
        <f>SUMIFS(Imput[[Importe Neto]:[Importe Neto]],Imput[[C. Imp.]:[C. Imp.]],$D834,Imput[[PERIODO Imp.]:[PERIODO Imp.]],BY$9)</f>
        <v>0</v>
      </c>
      <c r="BZ834" s="693">
        <f>SUMIFS(Imput[[Importe Neto]:[Importe Neto]],Imput[[C. Imp.]:[C. Imp.]],$D834,Imput[[PERIODO Imp.]:[PERIODO Imp.]],BZ$9)</f>
        <v>0</v>
      </c>
      <c r="CA834" s="693">
        <f>SUMIFS(Imput[[Importe Neto]:[Importe Neto]],Imput[[C. Imp.]:[C. Imp.]],$D834,Imput[[PERIODO Imp.]:[PERIODO Imp.]],CA$9)</f>
        <v>0</v>
      </c>
      <c r="CB834" s="693">
        <f>SUMIFS(Imput[[Importe Neto]:[Importe Neto]],Imput[[C. Imp.]:[C. Imp.]],$D834,Imput[[PERIODO Imp.]:[PERIODO Imp.]],CB$9)</f>
        <v>0</v>
      </c>
      <c r="CC834" s="693">
        <f>SUMIFS(Imput[[Importe Neto]:[Importe Neto]],Imput[[C. Imp.]:[C. Imp.]],$D834,Imput[[PERIODO Imp.]:[PERIODO Imp.]],CC$9)</f>
        <v>0</v>
      </c>
      <c r="CD834" s="693">
        <f>SUMIFS(Imput[[Importe Neto]:[Importe Neto]],Imput[[C. Imp.]:[C. Imp.]],$D834,Imput[[PERIODO Imp.]:[PERIODO Imp.]],CD$9)</f>
        <v>0</v>
      </c>
      <c r="CE834" s="693">
        <f>SUMIFS(Imput[[Importe Neto]:[Importe Neto]],Imput[[C. Imp.]:[C. Imp.]],$D834,Imput[[PERIODO Imp.]:[PERIODO Imp.]],CE$9)</f>
        <v>0</v>
      </c>
      <c r="CF834" s="693">
        <f>SUMIFS(Imput[[Importe Neto]:[Importe Neto]],Imput[[C. Imp.]:[C. Imp.]],$D834,Imput[[PERIODO Imp.]:[PERIODO Imp.]],CF$9)</f>
        <v>0</v>
      </c>
      <c r="CG834" s="693">
        <f>SUMIFS(Imput[[Importe Neto]:[Importe Neto]],Imput[[C. Imp.]:[C. Imp.]],$D834,Imput[[PERIODO Imp.]:[PERIODO Imp.]],CG$9)</f>
        <v>0</v>
      </c>
      <c r="CH834" s="693">
        <f>SUMIFS(Imput[[Importe Neto]:[Importe Neto]],Imput[[C. Imp.]:[C. Imp.]],$D834,Imput[[PERIODO Imp.]:[PERIODO Imp.]],CH$9)</f>
        <v>0</v>
      </c>
      <c r="CI834" s="693">
        <f>SUMIFS(Imput[[Importe Neto]:[Importe Neto]],Imput[[C. Imp.]:[C. Imp.]],$D834,Imput[[PERIODO Imp.]:[PERIODO Imp.]],CI$9)</f>
        <v>0</v>
      </c>
      <c r="CJ834" s="693">
        <f>SUMIFS(Imput[[Importe Neto]:[Importe Neto]],Imput[[C. Imp.]:[C. Imp.]],$D834,Imput[[PERIODO Imp.]:[PERIODO Imp.]],CJ$9)</f>
        <v>0</v>
      </c>
      <c r="CK834" s="693">
        <f>SUMIFS(Imput[[Importe Neto]:[Importe Neto]],Imput[[C. Imp.]:[C. Imp.]],$D834,Imput[[PERIODO Imp.]:[PERIODO Imp.]],CK$9)</f>
        <v>0</v>
      </c>
      <c r="CL834" s="693">
        <f>SUMIFS(Imput[[Importe Neto]:[Importe Neto]],Imput[[C. Imp.]:[C. Imp.]],$D834,Imput[[PERIODO Imp.]:[PERIODO Imp.]],CL$9)</f>
        <v>0</v>
      </c>
      <c r="CM834" s="693">
        <f>SUMIFS(Imput[[Importe Neto]:[Importe Neto]],Imput[[C. Imp.]:[C. Imp.]],$D834,Imput[[PERIODO Imp.]:[PERIODO Imp.]],CM$9)</f>
        <v>0</v>
      </c>
      <c r="CN834" s="693">
        <f>SUMIFS(Imput[[Importe Neto]:[Importe Neto]],Imput[[C. Imp.]:[C. Imp.]],$D834,Imput[[PERIODO Imp.]:[PERIODO Imp.]],CN$9)</f>
        <v>0</v>
      </c>
      <c r="CO834" s="693">
        <f>SUMIFS(Imput[[Importe Neto]:[Importe Neto]],Imput[[C. Imp.]:[C. Imp.]],$D834,Imput[[PERIODO Imp.]:[PERIODO Imp.]],CO$9)</f>
        <v>0</v>
      </c>
      <c r="CP834" s="693">
        <f>SUMIFS(Imput[[Importe Neto]:[Importe Neto]],Imput[[C. Imp.]:[C. Imp.]],$D834,Imput[[PERIODO Imp.]:[PERIODO Imp.]],CP$9)</f>
        <v>0</v>
      </c>
      <c r="CQ834" s="693">
        <f>SUMIFS(Imput[[Importe Neto]:[Importe Neto]],Imput[[C. Imp.]:[C. Imp.]],$D834,Imput[[PERIODO Imp.]:[PERIODO Imp.]],CQ$9)</f>
        <v>0</v>
      </c>
      <c r="CR834" s="693">
        <f>SUMIFS(Imput[[Importe Neto]:[Importe Neto]],Imput[[C. Imp.]:[C. Imp.]],$D834,Imput[[PERIODO Imp.]:[PERIODO Imp.]],CR$9)</f>
        <v>0</v>
      </c>
      <c r="CS834" s="693">
        <f>SUMIFS(Imput[[Importe Neto]:[Importe Neto]],Imput[[C. Imp.]:[C. Imp.]],$D834,Imput[[PERIODO Imp.]:[PERIODO Imp.]],CS$9)</f>
        <v>0</v>
      </c>
      <c r="CT834" s="693">
        <f>SUMIFS(Imput[[Importe Neto]:[Importe Neto]],Imput[[C. Imp.]:[C. Imp.]],$D834,Imput[[PERIODO Imp.]:[PERIODO Imp.]],CT$9)</f>
        <v>0</v>
      </c>
      <c r="CU834" s="693">
        <f>SUMIFS(Imput[[Importe Neto]:[Importe Neto]],Imput[[C. Imp.]:[C. Imp.]],$D834,Imput[[PERIODO Imp.]:[PERIODO Imp.]],CU$9)</f>
        <v>0</v>
      </c>
      <c r="CV834" s="693">
        <f>SUMIFS(Imput[[Importe Neto]:[Importe Neto]],Imput[[C. Imp.]:[C. Imp.]],$D834,Imput[[PERIODO Imp.]:[PERIODO Imp.]],CV$9)</f>
        <v>0</v>
      </c>
      <c r="CW834" s="693">
        <f>SUMIFS(Imput[[Importe Neto]:[Importe Neto]],Imput[[C. Imp.]:[C. Imp.]],$D834,Imput[[PERIODO Imp.]:[PERIODO Imp.]],CW$9)</f>
        <v>0</v>
      </c>
      <c r="CX834" s="693">
        <f>SUMIFS(Imput[[Importe Neto]:[Importe Neto]],Imput[[C. Imp.]:[C. Imp.]],$D834,Imput[[PERIODO Imp.]:[PERIODO Imp.]],CX$9)</f>
        <v>0</v>
      </c>
      <c r="CY834" s="693">
        <f>SUMIFS(Imput[[Importe Neto]:[Importe Neto]],Imput[[C. Imp.]:[C. Imp.]],$D834,Imput[[PERIODO Imp.]:[PERIODO Imp.]],CY$9)</f>
        <v>0</v>
      </c>
      <c r="CZ834" s="693">
        <f>SUMIFS(Imput[[Importe Neto]:[Importe Neto]],Imput[[C. Imp.]:[C. Imp.]],$D834,Imput[[PERIODO Imp.]:[PERIODO Imp.]],CZ$9)</f>
        <v>0</v>
      </c>
      <c r="DA834" s="693">
        <f>SUMIFS(Imput[[Importe Neto]:[Importe Neto]],Imput[[C. Imp.]:[C. Imp.]],$D834,Imput[[PERIODO Imp.]:[PERIODO Imp.]],DA$9)</f>
        <v>0</v>
      </c>
      <c r="DB834" s="693">
        <f>SUMIFS(Imput[[Importe Neto]:[Importe Neto]],Imput[[C. Imp.]:[C. Imp.]],$D834,Imput[[PERIODO Imp.]:[PERIODO Imp.]],DB$9)</f>
        <v>0</v>
      </c>
      <c r="DC834" s="693">
        <f>SUMIFS(Imput[[Importe Neto]:[Importe Neto]],Imput[[C. Imp.]:[C. Imp.]],$D834,Imput[[PERIODO Imp.]:[PERIODO Imp.]],DC$9)</f>
        <v>0</v>
      </c>
      <c r="DD834" s="693">
        <f>SUMIFS(Imput[[Importe Neto]:[Importe Neto]],Imput[[C. Imp.]:[C. Imp.]],$D834,Imput[[PERIODO Imp.]:[PERIODO Imp.]],DD$9)</f>
        <v>0</v>
      </c>
      <c r="DE834" s="693">
        <f>SUMIFS(Imput[[Importe Neto]:[Importe Neto]],Imput[[C. Imp.]:[C. Imp.]],$D834,Imput[[PERIODO Imp.]:[PERIODO Imp.]],DE$9)</f>
        <v>0</v>
      </c>
      <c r="DF834" s="693">
        <f>SUMIFS(Imput[[Importe Neto]:[Importe Neto]],Imput[[C. Imp.]:[C. Imp.]],$D834,Imput[[PERIODO Imp.]:[PERIODO Imp.]],DF$9)</f>
        <v>0</v>
      </c>
      <c r="DG834" s="693">
        <f>SUMIFS(Imput[[Importe Neto]:[Importe Neto]],Imput[[C. Imp.]:[C. Imp.]],$D834,Imput[[PERIODO Imp.]:[PERIODO Imp.]],DG$9)</f>
        <v>0</v>
      </c>
      <c r="DH834" s="694">
        <f>SUMIFS(Imput[[Importe Neto]:[Importe Neto]],Imput[[C. Imp.]:[C. Imp.]],$D834,Imput[[PERIODO Imp.]:[PERIODO Imp.]],DH$9)</f>
        <v>0</v>
      </c>
    </row>
    <row r="835" spans="1:112" s="649" customFormat="1" outlineLevel="1" x14ac:dyDescent="0.3">
      <c r="A835" s="652" t="str">
        <f t="shared" si="290"/>
        <v>Imprimir</v>
      </c>
      <c r="B835" s="652"/>
      <c r="C835" s="685"/>
      <c r="D835" s="686" t="s">
        <v>2811</v>
      </c>
      <c r="E835" s="686" t="s">
        <v>491</v>
      </c>
      <c r="F835" s="720"/>
      <c r="G835" s="688">
        <v>24</v>
      </c>
      <c r="H835" s="531">
        <f>Producción!G78*4.0215</f>
        <v>12.064499999999999</v>
      </c>
      <c r="I835" s="851">
        <f t="shared" si="291"/>
        <v>1</v>
      </c>
      <c r="J835" s="850">
        <f t="shared" si="292"/>
        <v>289.548</v>
      </c>
      <c r="K835" s="667"/>
      <c r="L835" s="858">
        <v>0.3</v>
      </c>
      <c r="M835" s="859"/>
      <c r="N835" s="859"/>
      <c r="O835" s="859"/>
      <c r="P835" s="859">
        <v>0.5</v>
      </c>
      <c r="Q835" s="859"/>
      <c r="R835" s="859"/>
      <c r="S835" s="859"/>
      <c r="T835" s="859"/>
      <c r="U835" s="859"/>
      <c r="V835" s="859"/>
      <c r="W835" s="859">
        <v>0.2</v>
      </c>
      <c r="X835" s="859"/>
      <c r="Y835" s="859"/>
      <c r="Z835" s="860"/>
      <c r="AA835" s="860"/>
      <c r="AB835" s="860"/>
      <c r="AC835" s="860"/>
      <c r="AD835" s="860"/>
      <c r="AE835" s="860"/>
      <c r="AF835" s="860"/>
      <c r="AG835" s="860"/>
      <c r="AH835" s="860"/>
      <c r="AI835" s="860"/>
      <c r="AJ835" s="860"/>
      <c r="AK835" s="860"/>
      <c r="AL835" s="860"/>
      <c r="AM835" s="860"/>
      <c r="AN835" s="860"/>
      <c r="AO835" s="860"/>
      <c r="AP835" s="860"/>
      <c r="AQ835" s="860"/>
      <c r="AR835" s="860"/>
      <c r="AS835" s="860"/>
      <c r="AT835" s="860"/>
      <c r="AU835" s="860"/>
      <c r="AV835" s="860"/>
      <c r="AW835" s="860"/>
      <c r="AX835" s="860"/>
      <c r="AY835" s="860"/>
      <c r="AZ835" s="860"/>
      <c r="BA835" s="860"/>
      <c r="BB835" s="860"/>
      <c r="BC835" s="860"/>
      <c r="BD835" s="860"/>
      <c r="BE835" s="860"/>
      <c r="BF835" s="860"/>
      <c r="BG835" s="860"/>
      <c r="BH835" s="668"/>
      <c r="BI835" s="667"/>
      <c r="BJ835" s="690">
        <f t="shared" si="293"/>
        <v>0</v>
      </c>
      <c r="BK835" s="691">
        <f t="shared" si="294"/>
        <v>0</v>
      </c>
      <c r="BL835" s="654"/>
      <c r="BM835" s="692">
        <f>SUMIFS(Imput[[Importe Neto]:[Importe Neto]],Imput[[C. Imp.]:[C. Imp.]],$D835,Imput[[PERIODO Imp.]:[PERIODO Imp.]],BM$9)</f>
        <v>0</v>
      </c>
      <c r="BN835" s="693">
        <f>SUMIFS(Imput[[Importe Neto]:[Importe Neto]],Imput[[C. Imp.]:[C. Imp.]],$D835,Imput[[PERIODO Imp.]:[PERIODO Imp.]],BN$9)</f>
        <v>0</v>
      </c>
      <c r="BO835" s="693">
        <f>SUMIFS(Imput[[Importe Neto]:[Importe Neto]],Imput[[C. Imp.]:[C. Imp.]],$D835,Imput[[PERIODO Imp.]:[PERIODO Imp.]],BO$9)</f>
        <v>0</v>
      </c>
      <c r="BP835" s="693">
        <f>SUMIFS(Imput[[Importe Neto]:[Importe Neto]],Imput[[C. Imp.]:[C. Imp.]],$D835,Imput[[PERIODO Imp.]:[PERIODO Imp.]],BP$9)</f>
        <v>0</v>
      </c>
      <c r="BQ835" s="693">
        <f>SUMIFS(Imput[[Importe Neto]:[Importe Neto]],Imput[[C. Imp.]:[C. Imp.]],$D835,Imput[[PERIODO Imp.]:[PERIODO Imp.]],BQ$9)</f>
        <v>0</v>
      </c>
      <c r="BR835" s="693">
        <f>SUMIFS(Imput[[Importe Neto]:[Importe Neto]],Imput[[C. Imp.]:[C. Imp.]],$D835,Imput[[PERIODO Imp.]:[PERIODO Imp.]],BR$9)</f>
        <v>0</v>
      </c>
      <c r="BS835" s="693">
        <f>SUMIFS(Imput[[Importe Neto]:[Importe Neto]],Imput[[C. Imp.]:[C. Imp.]],$D835,Imput[[PERIODO Imp.]:[PERIODO Imp.]],BS$9)</f>
        <v>0</v>
      </c>
      <c r="BT835" s="693">
        <f>SUMIFS(Imput[[Importe Neto]:[Importe Neto]],Imput[[C. Imp.]:[C. Imp.]],$D835,Imput[[PERIODO Imp.]:[PERIODO Imp.]],BT$9)</f>
        <v>0</v>
      </c>
      <c r="BU835" s="693">
        <f>SUMIFS(Imput[[Importe Neto]:[Importe Neto]],Imput[[C. Imp.]:[C. Imp.]],$D835,Imput[[PERIODO Imp.]:[PERIODO Imp.]],BU$9)</f>
        <v>0</v>
      </c>
      <c r="BV835" s="693">
        <f>SUMIFS(Imput[[Importe Neto]:[Importe Neto]],Imput[[C. Imp.]:[C. Imp.]],$D835,Imput[[PERIODO Imp.]:[PERIODO Imp.]],BV$9)</f>
        <v>0</v>
      </c>
      <c r="BW835" s="693">
        <f>SUMIFS(Imput[[Importe Neto]:[Importe Neto]],Imput[[C. Imp.]:[C. Imp.]],$D835,Imput[[PERIODO Imp.]:[PERIODO Imp.]],BW$9)</f>
        <v>0</v>
      </c>
      <c r="BX835" s="693">
        <f>SUMIFS(Imput[[Importe Neto]:[Importe Neto]],Imput[[C. Imp.]:[C. Imp.]],$D835,Imput[[PERIODO Imp.]:[PERIODO Imp.]],BX$9)</f>
        <v>0</v>
      </c>
      <c r="BY835" s="693">
        <f>SUMIFS(Imput[[Importe Neto]:[Importe Neto]],Imput[[C. Imp.]:[C. Imp.]],$D835,Imput[[PERIODO Imp.]:[PERIODO Imp.]],BY$9)</f>
        <v>0</v>
      </c>
      <c r="BZ835" s="693">
        <f>SUMIFS(Imput[[Importe Neto]:[Importe Neto]],Imput[[C. Imp.]:[C. Imp.]],$D835,Imput[[PERIODO Imp.]:[PERIODO Imp.]],BZ$9)</f>
        <v>0</v>
      </c>
      <c r="CA835" s="693">
        <f>SUMIFS(Imput[[Importe Neto]:[Importe Neto]],Imput[[C. Imp.]:[C. Imp.]],$D835,Imput[[PERIODO Imp.]:[PERIODO Imp.]],CA$9)</f>
        <v>0</v>
      </c>
      <c r="CB835" s="693">
        <f>SUMIFS(Imput[[Importe Neto]:[Importe Neto]],Imput[[C. Imp.]:[C. Imp.]],$D835,Imput[[PERIODO Imp.]:[PERIODO Imp.]],CB$9)</f>
        <v>0</v>
      </c>
      <c r="CC835" s="693">
        <f>SUMIFS(Imput[[Importe Neto]:[Importe Neto]],Imput[[C. Imp.]:[C. Imp.]],$D835,Imput[[PERIODO Imp.]:[PERIODO Imp.]],CC$9)</f>
        <v>0</v>
      </c>
      <c r="CD835" s="693">
        <f>SUMIFS(Imput[[Importe Neto]:[Importe Neto]],Imput[[C. Imp.]:[C. Imp.]],$D835,Imput[[PERIODO Imp.]:[PERIODO Imp.]],CD$9)</f>
        <v>0</v>
      </c>
      <c r="CE835" s="693">
        <f>SUMIFS(Imput[[Importe Neto]:[Importe Neto]],Imput[[C. Imp.]:[C. Imp.]],$D835,Imput[[PERIODO Imp.]:[PERIODO Imp.]],CE$9)</f>
        <v>0</v>
      </c>
      <c r="CF835" s="693">
        <f>SUMIFS(Imput[[Importe Neto]:[Importe Neto]],Imput[[C. Imp.]:[C. Imp.]],$D835,Imput[[PERIODO Imp.]:[PERIODO Imp.]],CF$9)</f>
        <v>0</v>
      </c>
      <c r="CG835" s="693">
        <f>SUMIFS(Imput[[Importe Neto]:[Importe Neto]],Imput[[C. Imp.]:[C. Imp.]],$D835,Imput[[PERIODO Imp.]:[PERIODO Imp.]],CG$9)</f>
        <v>0</v>
      </c>
      <c r="CH835" s="693">
        <f>SUMIFS(Imput[[Importe Neto]:[Importe Neto]],Imput[[C. Imp.]:[C. Imp.]],$D835,Imput[[PERIODO Imp.]:[PERIODO Imp.]],CH$9)</f>
        <v>0</v>
      </c>
      <c r="CI835" s="693">
        <f>SUMIFS(Imput[[Importe Neto]:[Importe Neto]],Imput[[C. Imp.]:[C. Imp.]],$D835,Imput[[PERIODO Imp.]:[PERIODO Imp.]],CI$9)</f>
        <v>0</v>
      </c>
      <c r="CJ835" s="693">
        <f>SUMIFS(Imput[[Importe Neto]:[Importe Neto]],Imput[[C. Imp.]:[C. Imp.]],$D835,Imput[[PERIODO Imp.]:[PERIODO Imp.]],CJ$9)</f>
        <v>0</v>
      </c>
      <c r="CK835" s="693">
        <f>SUMIFS(Imput[[Importe Neto]:[Importe Neto]],Imput[[C. Imp.]:[C. Imp.]],$D835,Imput[[PERIODO Imp.]:[PERIODO Imp.]],CK$9)</f>
        <v>0</v>
      </c>
      <c r="CL835" s="693">
        <f>SUMIFS(Imput[[Importe Neto]:[Importe Neto]],Imput[[C. Imp.]:[C. Imp.]],$D835,Imput[[PERIODO Imp.]:[PERIODO Imp.]],CL$9)</f>
        <v>0</v>
      </c>
      <c r="CM835" s="693">
        <f>SUMIFS(Imput[[Importe Neto]:[Importe Neto]],Imput[[C. Imp.]:[C. Imp.]],$D835,Imput[[PERIODO Imp.]:[PERIODO Imp.]],CM$9)</f>
        <v>0</v>
      </c>
      <c r="CN835" s="693">
        <f>SUMIFS(Imput[[Importe Neto]:[Importe Neto]],Imput[[C. Imp.]:[C. Imp.]],$D835,Imput[[PERIODO Imp.]:[PERIODO Imp.]],CN$9)</f>
        <v>0</v>
      </c>
      <c r="CO835" s="693">
        <f>SUMIFS(Imput[[Importe Neto]:[Importe Neto]],Imput[[C. Imp.]:[C. Imp.]],$D835,Imput[[PERIODO Imp.]:[PERIODO Imp.]],CO$9)</f>
        <v>0</v>
      </c>
      <c r="CP835" s="693">
        <f>SUMIFS(Imput[[Importe Neto]:[Importe Neto]],Imput[[C. Imp.]:[C. Imp.]],$D835,Imput[[PERIODO Imp.]:[PERIODO Imp.]],CP$9)</f>
        <v>0</v>
      </c>
      <c r="CQ835" s="693">
        <f>SUMIFS(Imput[[Importe Neto]:[Importe Neto]],Imput[[C. Imp.]:[C. Imp.]],$D835,Imput[[PERIODO Imp.]:[PERIODO Imp.]],CQ$9)</f>
        <v>0</v>
      </c>
      <c r="CR835" s="693">
        <f>SUMIFS(Imput[[Importe Neto]:[Importe Neto]],Imput[[C. Imp.]:[C. Imp.]],$D835,Imput[[PERIODO Imp.]:[PERIODO Imp.]],CR$9)</f>
        <v>0</v>
      </c>
      <c r="CS835" s="693">
        <f>SUMIFS(Imput[[Importe Neto]:[Importe Neto]],Imput[[C. Imp.]:[C. Imp.]],$D835,Imput[[PERIODO Imp.]:[PERIODO Imp.]],CS$9)</f>
        <v>0</v>
      </c>
      <c r="CT835" s="693">
        <f>SUMIFS(Imput[[Importe Neto]:[Importe Neto]],Imput[[C. Imp.]:[C. Imp.]],$D835,Imput[[PERIODO Imp.]:[PERIODO Imp.]],CT$9)</f>
        <v>0</v>
      </c>
      <c r="CU835" s="693">
        <f>SUMIFS(Imput[[Importe Neto]:[Importe Neto]],Imput[[C. Imp.]:[C. Imp.]],$D835,Imput[[PERIODO Imp.]:[PERIODO Imp.]],CU$9)</f>
        <v>0</v>
      </c>
      <c r="CV835" s="693">
        <f>SUMIFS(Imput[[Importe Neto]:[Importe Neto]],Imput[[C. Imp.]:[C. Imp.]],$D835,Imput[[PERIODO Imp.]:[PERIODO Imp.]],CV$9)</f>
        <v>0</v>
      </c>
      <c r="CW835" s="693">
        <f>SUMIFS(Imput[[Importe Neto]:[Importe Neto]],Imput[[C. Imp.]:[C. Imp.]],$D835,Imput[[PERIODO Imp.]:[PERIODO Imp.]],CW$9)</f>
        <v>0</v>
      </c>
      <c r="CX835" s="693">
        <f>SUMIFS(Imput[[Importe Neto]:[Importe Neto]],Imput[[C. Imp.]:[C. Imp.]],$D835,Imput[[PERIODO Imp.]:[PERIODO Imp.]],CX$9)</f>
        <v>0</v>
      </c>
      <c r="CY835" s="693">
        <f>SUMIFS(Imput[[Importe Neto]:[Importe Neto]],Imput[[C. Imp.]:[C. Imp.]],$D835,Imput[[PERIODO Imp.]:[PERIODO Imp.]],CY$9)</f>
        <v>0</v>
      </c>
      <c r="CZ835" s="693">
        <f>SUMIFS(Imput[[Importe Neto]:[Importe Neto]],Imput[[C. Imp.]:[C. Imp.]],$D835,Imput[[PERIODO Imp.]:[PERIODO Imp.]],CZ$9)</f>
        <v>0</v>
      </c>
      <c r="DA835" s="693">
        <f>SUMIFS(Imput[[Importe Neto]:[Importe Neto]],Imput[[C. Imp.]:[C. Imp.]],$D835,Imput[[PERIODO Imp.]:[PERIODO Imp.]],DA$9)</f>
        <v>0</v>
      </c>
      <c r="DB835" s="693">
        <f>SUMIFS(Imput[[Importe Neto]:[Importe Neto]],Imput[[C. Imp.]:[C. Imp.]],$D835,Imput[[PERIODO Imp.]:[PERIODO Imp.]],DB$9)</f>
        <v>0</v>
      </c>
      <c r="DC835" s="693">
        <f>SUMIFS(Imput[[Importe Neto]:[Importe Neto]],Imput[[C. Imp.]:[C. Imp.]],$D835,Imput[[PERIODO Imp.]:[PERIODO Imp.]],DC$9)</f>
        <v>0</v>
      </c>
      <c r="DD835" s="693">
        <f>SUMIFS(Imput[[Importe Neto]:[Importe Neto]],Imput[[C. Imp.]:[C. Imp.]],$D835,Imput[[PERIODO Imp.]:[PERIODO Imp.]],DD$9)</f>
        <v>0</v>
      </c>
      <c r="DE835" s="693">
        <f>SUMIFS(Imput[[Importe Neto]:[Importe Neto]],Imput[[C. Imp.]:[C. Imp.]],$D835,Imput[[PERIODO Imp.]:[PERIODO Imp.]],DE$9)</f>
        <v>0</v>
      </c>
      <c r="DF835" s="693">
        <f>SUMIFS(Imput[[Importe Neto]:[Importe Neto]],Imput[[C. Imp.]:[C. Imp.]],$D835,Imput[[PERIODO Imp.]:[PERIODO Imp.]],DF$9)</f>
        <v>0</v>
      </c>
      <c r="DG835" s="693">
        <f>SUMIFS(Imput[[Importe Neto]:[Importe Neto]],Imput[[C. Imp.]:[C. Imp.]],$D835,Imput[[PERIODO Imp.]:[PERIODO Imp.]],DG$9)</f>
        <v>0</v>
      </c>
      <c r="DH835" s="694">
        <f>SUMIFS(Imput[[Importe Neto]:[Importe Neto]],Imput[[C. Imp.]:[C. Imp.]],$D835,Imput[[PERIODO Imp.]:[PERIODO Imp.]],DH$9)</f>
        <v>0</v>
      </c>
    </row>
    <row r="836" spans="1:112" s="649" customFormat="1" outlineLevel="1" x14ac:dyDescent="0.3">
      <c r="A836" s="652" t="str">
        <f t="shared" si="290"/>
        <v>Imprimir</v>
      </c>
      <c r="B836" s="652"/>
      <c r="C836" s="685"/>
      <c r="D836" s="686" t="s">
        <v>2812</v>
      </c>
      <c r="E836" s="686" t="s">
        <v>492</v>
      </c>
      <c r="F836" s="720"/>
      <c r="G836" s="688">
        <v>600</v>
      </c>
      <c r="H836" s="531">
        <f>Producción!G78*0.01936</f>
        <v>5.8079999999999993E-2</v>
      </c>
      <c r="I836" s="851">
        <f t="shared" si="291"/>
        <v>1</v>
      </c>
      <c r="J836" s="850">
        <f t="shared" si="292"/>
        <v>34.847999999999999</v>
      </c>
      <c r="K836" s="667"/>
      <c r="L836" s="858">
        <v>1</v>
      </c>
      <c r="M836" s="859"/>
      <c r="N836" s="859"/>
      <c r="O836" s="859"/>
      <c r="P836" s="859"/>
      <c r="Q836" s="859"/>
      <c r="R836" s="859"/>
      <c r="S836" s="859"/>
      <c r="T836" s="859"/>
      <c r="U836" s="859"/>
      <c r="V836" s="859"/>
      <c r="W836" s="859"/>
      <c r="X836" s="859"/>
      <c r="Y836" s="859"/>
      <c r="Z836" s="860"/>
      <c r="AA836" s="860"/>
      <c r="AB836" s="860"/>
      <c r="AC836" s="860"/>
      <c r="AD836" s="860"/>
      <c r="AE836" s="860"/>
      <c r="AF836" s="860"/>
      <c r="AG836" s="860"/>
      <c r="AH836" s="860"/>
      <c r="AI836" s="860"/>
      <c r="AJ836" s="860"/>
      <c r="AK836" s="860"/>
      <c r="AL836" s="860"/>
      <c r="AM836" s="860"/>
      <c r="AN836" s="860"/>
      <c r="AO836" s="860"/>
      <c r="AP836" s="860"/>
      <c r="AQ836" s="860"/>
      <c r="AR836" s="860"/>
      <c r="AS836" s="860"/>
      <c r="AT836" s="860"/>
      <c r="AU836" s="860"/>
      <c r="AV836" s="860"/>
      <c r="AW836" s="860"/>
      <c r="AX836" s="860"/>
      <c r="AY836" s="860"/>
      <c r="AZ836" s="860"/>
      <c r="BA836" s="860"/>
      <c r="BB836" s="860"/>
      <c r="BC836" s="860"/>
      <c r="BD836" s="860"/>
      <c r="BE836" s="860"/>
      <c r="BF836" s="860"/>
      <c r="BG836" s="860"/>
      <c r="BH836" s="668"/>
      <c r="BI836" s="667"/>
      <c r="BJ836" s="690">
        <f t="shared" si="293"/>
        <v>0</v>
      </c>
      <c r="BK836" s="691">
        <f t="shared" si="294"/>
        <v>0</v>
      </c>
      <c r="BL836" s="654"/>
      <c r="BM836" s="692">
        <f>SUMIFS(Imput[[Importe Neto]:[Importe Neto]],Imput[[C. Imp.]:[C. Imp.]],$D836,Imput[[PERIODO Imp.]:[PERIODO Imp.]],BM$9)</f>
        <v>0</v>
      </c>
      <c r="BN836" s="693">
        <f>SUMIFS(Imput[[Importe Neto]:[Importe Neto]],Imput[[C. Imp.]:[C. Imp.]],$D836,Imput[[PERIODO Imp.]:[PERIODO Imp.]],BN$9)</f>
        <v>0</v>
      </c>
      <c r="BO836" s="693">
        <f>SUMIFS(Imput[[Importe Neto]:[Importe Neto]],Imput[[C. Imp.]:[C. Imp.]],$D836,Imput[[PERIODO Imp.]:[PERIODO Imp.]],BO$9)</f>
        <v>0</v>
      </c>
      <c r="BP836" s="693">
        <f>SUMIFS(Imput[[Importe Neto]:[Importe Neto]],Imput[[C. Imp.]:[C. Imp.]],$D836,Imput[[PERIODO Imp.]:[PERIODO Imp.]],BP$9)</f>
        <v>0</v>
      </c>
      <c r="BQ836" s="693">
        <f>SUMIFS(Imput[[Importe Neto]:[Importe Neto]],Imput[[C. Imp.]:[C. Imp.]],$D836,Imput[[PERIODO Imp.]:[PERIODO Imp.]],BQ$9)</f>
        <v>0</v>
      </c>
      <c r="BR836" s="693">
        <f>SUMIFS(Imput[[Importe Neto]:[Importe Neto]],Imput[[C. Imp.]:[C. Imp.]],$D836,Imput[[PERIODO Imp.]:[PERIODO Imp.]],BR$9)</f>
        <v>0</v>
      </c>
      <c r="BS836" s="693">
        <f>SUMIFS(Imput[[Importe Neto]:[Importe Neto]],Imput[[C. Imp.]:[C. Imp.]],$D836,Imput[[PERIODO Imp.]:[PERIODO Imp.]],BS$9)</f>
        <v>0</v>
      </c>
      <c r="BT836" s="693">
        <f>SUMIFS(Imput[[Importe Neto]:[Importe Neto]],Imput[[C. Imp.]:[C. Imp.]],$D836,Imput[[PERIODO Imp.]:[PERIODO Imp.]],BT$9)</f>
        <v>0</v>
      </c>
      <c r="BU836" s="693">
        <f>SUMIFS(Imput[[Importe Neto]:[Importe Neto]],Imput[[C. Imp.]:[C. Imp.]],$D836,Imput[[PERIODO Imp.]:[PERIODO Imp.]],BU$9)</f>
        <v>0</v>
      </c>
      <c r="BV836" s="693">
        <f>SUMIFS(Imput[[Importe Neto]:[Importe Neto]],Imput[[C. Imp.]:[C. Imp.]],$D836,Imput[[PERIODO Imp.]:[PERIODO Imp.]],BV$9)</f>
        <v>0</v>
      </c>
      <c r="BW836" s="693">
        <f>SUMIFS(Imput[[Importe Neto]:[Importe Neto]],Imput[[C. Imp.]:[C. Imp.]],$D836,Imput[[PERIODO Imp.]:[PERIODO Imp.]],BW$9)</f>
        <v>0</v>
      </c>
      <c r="BX836" s="693">
        <f>SUMIFS(Imput[[Importe Neto]:[Importe Neto]],Imput[[C. Imp.]:[C. Imp.]],$D836,Imput[[PERIODO Imp.]:[PERIODO Imp.]],BX$9)</f>
        <v>0</v>
      </c>
      <c r="BY836" s="693">
        <f>SUMIFS(Imput[[Importe Neto]:[Importe Neto]],Imput[[C. Imp.]:[C. Imp.]],$D836,Imput[[PERIODO Imp.]:[PERIODO Imp.]],BY$9)</f>
        <v>0</v>
      </c>
      <c r="BZ836" s="693">
        <f>SUMIFS(Imput[[Importe Neto]:[Importe Neto]],Imput[[C. Imp.]:[C. Imp.]],$D836,Imput[[PERIODO Imp.]:[PERIODO Imp.]],BZ$9)</f>
        <v>0</v>
      </c>
      <c r="CA836" s="693">
        <f>SUMIFS(Imput[[Importe Neto]:[Importe Neto]],Imput[[C. Imp.]:[C. Imp.]],$D836,Imput[[PERIODO Imp.]:[PERIODO Imp.]],CA$9)</f>
        <v>0</v>
      </c>
      <c r="CB836" s="693">
        <f>SUMIFS(Imput[[Importe Neto]:[Importe Neto]],Imput[[C. Imp.]:[C. Imp.]],$D836,Imput[[PERIODO Imp.]:[PERIODO Imp.]],CB$9)</f>
        <v>0</v>
      </c>
      <c r="CC836" s="693">
        <f>SUMIFS(Imput[[Importe Neto]:[Importe Neto]],Imput[[C. Imp.]:[C. Imp.]],$D836,Imput[[PERIODO Imp.]:[PERIODO Imp.]],CC$9)</f>
        <v>0</v>
      </c>
      <c r="CD836" s="693">
        <f>SUMIFS(Imput[[Importe Neto]:[Importe Neto]],Imput[[C. Imp.]:[C. Imp.]],$D836,Imput[[PERIODO Imp.]:[PERIODO Imp.]],CD$9)</f>
        <v>0</v>
      </c>
      <c r="CE836" s="693">
        <f>SUMIFS(Imput[[Importe Neto]:[Importe Neto]],Imput[[C. Imp.]:[C. Imp.]],$D836,Imput[[PERIODO Imp.]:[PERIODO Imp.]],CE$9)</f>
        <v>0</v>
      </c>
      <c r="CF836" s="693">
        <f>SUMIFS(Imput[[Importe Neto]:[Importe Neto]],Imput[[C. Imp.]:[C. Imp.]],$D836,Imput[[PERIODO Imp.]:[PERIODO Imp.]],CF$9)</f>
        <v>0</v>
      </c>
      <c r="CG836" s="693">
        <f>SUMIFS(Imput[[Importe Neto]:[Importe Neto]],Imput[[C. Imp.]:[C. Imp.]],$D836,Imput[[PERIODO Imp.]:[PERIODO Imp.]],CG$9)</f>
        <v>0</v>
      </c>
      <c r="CH836" s="693">
        <f>SUMIFS(Imput[[Importe Neto]:[Importe Neto]],Imput[[C. Imp.]:[C. Imp.]],$D836,Imput[[PERIODO Imp.]:[PERIODO Imp.]],CH$9)</f>
        <v>0</v>
      </c>
      <c r="CI836" s="693">
        <f>SUMIFS(Imput[[Importe Neto]:[Importe Neto]],Imput[[C. Imp.]:[C. Imp.]],$D836,Imput[[PERIODO Imp.]:[PERIODO Imp.]],CI$9)</f>
        <v>0</v>
      </c>
      <c r="CJ836" s="693">
        <f>SUMIFS(Imput[[Importe Neto]:[Importe Neto]],Imput[[C. Imp.]:[C. Imp.]],$D836,Imput[[PERIODO Imp.]:[PERIODO Imp.]],CJ$9)</f>
        <v>0</v>
      </c>
      <c r="CK836" s="693">
        <f>SUMIFS(Imput[[Importe Neto]:[Importe Neto]],Imput[[C. Imp.]:[C. Imp.]],$D836,Imput[[PERIODO Imp.]:[PERIODO Imp.]],CK$9)</f>
        <v>0</v>
      </c>
      <c r="CL836" s="693">
        <f>SUMIFS(Imput[[Importe Neto]:[Importe Neto]],Imput[[C. Imp.]:[C. Imp.]],$D836,Imput[[PERIODO Imp.]:[PERIODO Imp.]],CL$9)</f>
        <v>0</v>
      </c>
      <c r="CM836" s="693">
        <f>SUMIFS(Imput[[Importe Neto]:[Importe Neto]],Imput[[C. Imp.]:[C. Imp.]],$D836,Imput[[PERIODO Imp.]:[PERIODO Imp.]],CM$9)</f>
        <v>0</v>
      </c>
      <c r="CN836" s="693">
        <f>SUMIFS(Imput[[Importe Neto]:[Importe Neto]],Imput[[C. Imp.]:[C. Imp.]],$D836,Imput[[PERIODO Imp.]:[PERIODO Imp.]],CN$9)</f>
        <v>0</v>
      </c>
      <c r="CO836" s="693">
        <f>SUMIFS(Imput[[Importe Neto]:[Importe Neto]],Imput[[C. Imp.]:[C. Imp.]],$D836,Imput[[PERIODO Imp.]:[PERIODO Imp.]],CO$9)</f>
        <v>0</v>
      </c>
      <c r="CP836" s="693">
        <f>SUMIFS(Imput[[Importe Neto]:[Importe Neto]],Imput[[C. Imp.]:[C. Imp.]],$D836,Imput[[PERIODO Imp.]:[PERIODO Imp.]],CP$9)</f>
        <v>0</v>
      </c>
      <c r="CQ836" s="693">
        <f>SUMIFS(Imput[[Importe Neto]:[Importe Neto]],Imput[[C. Imp.]:[C. Imp.]],$D836,Imput[[PERIODO Imp.]:[PERIODO Imp.]],CQ$9)</f>
        <v>0</v>
      </c>
      <c r="CR836" s="693">
        <f>SUMIFS(Imput[[Importe Neto]:[Importe Neto]],Imput[[C. Imp.]:[C. Imp.]],$D836,Imput[[PERIODO Imp.]:[PERIODO Imp.]],CR$9)</f>
        <v>0</v>
      </c>
      <c r="CS836" s="693">
        <f>SUMIFS(Imput[[Importe Neto]:[Importe Neto]],Imput[[C. Imp.]:[C. Imp.]],$D836,Imput[[PERIODO Imp.]:[PERIODO Imp.]],CS$9)</f>
        <v>0</v>
      </c>
      <c r="CT836" s="693">
        <f>SUMIFS(Imput[[Importe Neto]:[Importe Neto]],Imput[[C. Imp.]:[C. Imp.]],$D836,Imput[[PERIODO Imp.]:[PERIODO Imp.]],CT$9)</f>
        <v>0</v>
      </c>
      <c r="CU836" s="693">
        <f>SUMIFS(Imput[[Importe Neto]:[Importe Neto]],Imput[[C. Imp.]:[C. Imp.]],$D836,Imput[[PERIODO Imp.]:[PERIODO Imp.]],CU$9)</f>
        <v>0</v>
      </c>
      <c r="CV836" s="693">
        <f>SUMIFS(Imput[[Importe Neto]:[Importe Neto]],Imput[[C. Imp.]:[C. Imp.]],$D836,Imput[[PERIODO Imp.]:[PERIODO Imp.]],CV$9)</f>
        <v>0</v>
      </c>
      <c r="CW836" s="693">
        <f>SUMIFS(Imput[[Importe Neto]:[Importe Neto]],Imput[[C. Imp.]:[C. Imp.]],$D836,Imput[[PERIODO Imp.]:[PERIODO Imp.]],CW$9)</f>
        <v>0</v>
      </c>
      <c r="CX836" s="693">
        <f>SUMIFS(Imput[[Importe Neto]:[Importe Neto]],Imput[[C. Imp.]:[C. Imp.]],$D836,Imput[[PERIODO Imp.]:[PERIODO Imp.]],CX$9)</f>
        <v>0</v>
      </c>
      <c r="CY836" s="693">
        <f>SUMIFS(Imput[[Importe Neto]:[Importe Neto]],Imput[[C. Imp.]:[C. Imp.]],$D836,Imput[[PERIODO Imp.]:[PERIODO Imp.]],CY$9)</f>
        <v>0</v>
      </c>
      <c r="CZ836" s="693">
        <f>SUMIFS(Imput[[Importe Neto]:[Importe Neto]],Imput[[C. Imp.]:[C. Imp.]],$D836,Imput[[PERIODO Imp.]:[PERIODO Imp.]],CZ$9)</f>
        <v>0</v>
      </c>
      <c r="DA836" s="693">
        <f>SUMIFS(Imput[[Importe Neto]:[Importe Neto]],Imput[[C. Imp.]:[C. Imp.]],$D836,Imput[[PERIODO Imp.]:[PERIODO Imp.]],DA$9)</f>
        <v>0</v>
      </c>
      <c r="DB836" s="693">
        <f>SUMIFS(Imput[[Importe Neto]:[Importe Neto]],Imput[[C. Imp.]:[C. Imp.]],$D836,Imput[[PERIODO Imp.]:[PERIODO Imp.]],DB$9)</f>
        <v>0</v>
      </c>
      <c r="DC836" s="693">
        <f>SUMIFS(Imput[[Importe Neto]:[Importe Neto]],Imput[[C. Imp.]:[C. Imp.]],$D836,Imput[[PERIODO Imp.]:[PERIODO Imp.]],DC$9)</f>
        <v>0</v>
      </c>
      <c r="DD836" s="693">
        <f>SUMIFS(Imput[[Importe Neto]:[Importe Neto]],Imput[[C. Imp.]:[C. Imp.]],$D836,Imput[[PERIODO Imp.]:[PERIODO Imp.]],DD$9)</f>
        <v>0</v>
      </c>
      <c r="DE836" s="693">
        <f>SUMIFS(Imput[[Importe Neto]:[Importe Neto]],Imput[[C. Imp.]:[C. Imp.]],$D836,Imput[[PERIODO Imp.]:[PERIODO Imp.]],DE$9)</f>
        <v>0</v>
      </c>
      <c r="DF836" s="693">
        <f>SUMIFS(Imput[[Importe Neto]:[Importe Neto]],Imput[[C. Imp.]:[C. Imp.]],$D836,Imput[[PERIODO Imp.]:[PERIODO Imp.]],DF$9)</f>
        <v>0</v>
      </c>
      <c r="DG836" s="693">
        <f>SUMIFS(Imput[[Importe Neto]:[Importe Neto]],Imput[[C. Imp.]:[C. Imp.]],$D836,Imput[[PERIODO Imp.]:[PERIODO Imp.]],DG$9)</f>
        <v>0</v>
      </c>
      <c r="DH836" s="694">
        <f>SUMIFS(Imput[[Importe Neto]:[Importe Neto]],Imput[[C. Imp.]:[C. Imp.]],$D836,Imput[[PERIODO Imp.]:[PERIODO Imp.]],DH$9)</f>
        <v>0</v>
      </c>
    </row>
    <row r="837" spans="1:112" s="649" customFormat="1" outlineLevel="1" x14ac:dyDescent="0.3">
      <c r="A837" s="652" t="str">
        <f t="shared" si="290"/>
        <v>Imprimir</v>
      </c>
      <c r="B837" s="652"/>
      <c r="C837" s="685"/>
      <c r="D837" s="686" t="s">
        <v>2813</v>
      </c>
      <c r="E837" s="686" t="s">
        <v>493</v>
      </c>
      <c r="F837" s="720"/>
      <c r="G837" s="688">
        <v>4.74</v>
      </c>
      <c r="H837" s="531">
        <f>Producción!G78*8.228</f>
        <v>24.683999999999997</v>
      </c>
      <c r="I837" s="851">
        <f t="shared" si="291"/>
        <v>1</v>
      </c>
      <c r="J837" s="850">
        <f t="shared" si="292"/>
        <v>117.00215999999999</v>
      </c>
      <c r="K837" s="667"/>
      <c r="L837" s="858">
        <v>1</v>
      </c>
      <c r="M837" s="859"/>
      <c r="N837" s="859"/>
      <c r="O837" s="859"/>
      <c r="P837" s="859"/>
      <c r="Q837" s="859"/>
      <c r="R837" s="859"/>
      <c r="S837" s="859"/>
      <c r="T837" s="859"/>
      <c r="U837" s="859"/>
      <c r="V837" s="859"/>
      <c r="W837" s="859"/>
      <c r="X837" s="859"/>
      <c r="Y837" s="859"/>
      <c r="Z837" s="860"/>
      <c r="AA837" s="860"/>
      <c r="AB837" s="860"/>
      <c r="AC837" s="860"/>
      <c r="AD837" s="860"/>
      <c r="AE837" s="860"/>
      <c r="AF837" s="860"/>
      <c r="AG837" s="860"/>
      <c r="AH837" s="860"/>
      <c r="AI837" s="860"/>
      <c r="AJ837" s="860"/>
      <c r="AK837" s="860"/>
      <c r="AL837" s="860"/>
      <c r="AM837" s="860"/>
      <c r="AN837" s="860"/>
      <c r="AO837" s="860"/>
      <c r="AP837" s="860"/>
      <c r="AQ837" s="860"/>
      <c r="AR837" s="860"/>
      <c r="AS837" s="860"/>
      <c r="AT837" s="860"/>
      <c r="AU837" s="860"/>
      <c r="AV837" s="860"/>
      <c r="AW837" s="860"/>
      <c r="AX837" s="860"/>
      <c r="AY837" s="860"/>
      <c r="AZ837" s="860"/>
      <c r="BA837" s="860"/>
      <c r="BB837" s="860"/>
      <c r="BC837" s="860"/>
      <c r="BD837" s="860"/>
      <c r="BE837" s="860"/>
      <c r="BF837" s="860"/>
      <c r="BG837" s="860"/>
      <c r="BH837" s="668"/>
      <c r="BI837" s="667"/>
      <c r="BJ837" s="690">
        <f t="shared" si="293"/>
        <v>0</v>
      </c>
      <c r="BK837" s="691">
        <f t="shared" si="294"/>
        <v>0</v>
      </c>
      <c r="BL837" s="654"/>
      <c r="BM837" s="692">
        <f>SUMIFS(Imput[[Importe Neto]:[Importe Neto]],Imput[[C. Imp.]:[C. Imp.]],$D837,Imput[[PERIODO Imp.]:[PERIODO Imp.]],BM$9)</f>
        <v>0</v>
      </c>
      <c r="BN837" s="693">
        <f>SUMIFS(Imput[[Importe Neto]:[Importe Neto]],Imput[[C. Imp.]:[C. Imp.]],$D837,Imput[[PERIODO Imp.]:[PERIODO Imp.]],BN$9)</f>
        <v>0</v>
      </c>
      <c r="BO837" s="693">
        <f>SUMIFS(Imput[[Importe Neto]:[Importe Neto]],Imput[[C. Imp.]:[C. Imp.]],$D837,Imput[[PERIODO Imp.]:[PERIODO Imp.]],BO$9)</f>
        <v>0</v>
      </c>
      <c r="BP837" s="693">
        <f>SUMIFS(Imput[[Importe Neto]:[Importe Neto]],Imput[[C. Imp.]:[C. Imp.]],$D837,Imput[[PERIODO Imp.]:[PERIODO Imp.]],BP$9)</f>
        <v>0</v>
      </c>
      <c r="BQ837" s="693">
        <f>SUMIFS(Imput[[Importe Neto]:[Importe Neto]],Imput[[C. Imp.]:[C. Imp.]],$D837,Imput[[PERIODO Imp.]:[PERIODO Imp.]],BQ$9)</f>
        <v>0</v>
      </c>
      <c r="BR837" s="693">
        <f>SUMIFS(Imput[[Importe Neto]:[Importe Neto]],Imput[[C. Imp.]:[C. Imp.]],$D837,Imput[[PERIODO Imp.]:[PERIODO Imp.]],BR$9)</f>
        <v>0</v>
      </c>
      <c r="BS837" s="693">
        <f>SUMIFS(Imput[[Importe Neto]:[Importe Neto]],Imput[[C. Imp.]:[C. Imp.]],$D837,Imput[[PERIODO Imp.]:[PERIODO Imp.]],BS$9)</f>
        <v>0</v>
      </c>
      <c r="BT837" s="693">
        <f>SUMIFS(Imput[[Importe Neto]:[Importe Neto]],Imput[[C. Imp.]:[C. Imp.]],$D837,Imput[[PERIODO Imp.]:[PERIODO Imp.]],BT$9)</f>
        <v>0</v>
      </c>
      <c r="BU837" s="693">
        <f>SUMIFS(Imput[[Importe Neto]:[Importe Neto]],Imput[[C. Imp.]:[C. Imp.]],$D837,Imput[[PERIODO Imp.]:[PERIODO Imp.]],BU$9)</f>
        <v>0</v>
      </c>
      <c r="BV837" s="693">
        <f>SUMIFS(Imput[[Importe Neto]:[Importe Neto]],Imput[[C. Imp.]:[C. Imp.]],$D837,Imput[[PERIODO Imp.]:[PERIODO Imp.]],BV$9)</f>
        <v>0</v>
      </c>
      <c r="BW837" s="693">
        <f>SUMIFS(Imput[[Importe Neto]:[Importe Neto]],Imput[[C. Imp.]:[C. Imp.]],$D837,Imput[[PERIODO Imp.]:[PERIODO Imp.]],BW$9)</f>
        <v>0</v>
      </c>
      <c r="BX837" s="693">
        <f>SUMIFS(Imput[[Importe Neto]:[Importe Neto]],Imput[[C. Imp.]:[C. Imp.]],$D837,Imput[[PERIODO Imp.]:[PERIODO Imp.]],BX$9)</f>
        <v>0</v>
      </c>
      <c r="BY837" s="693">
        <f>SUMIFS(Imput[[Importe Neto]:[Importe Neto]],Imput[[C. Imp.]:[C. Imp.]],$D837,Imput[[PERIODO Imp.]:[PERIODO Imp.]],BY$9)</f>
        <v>0</v>
      </c>
      <c r="BZ837" s="693">
        <f>SUMIFS(Imput[[Importe Neto]:[Importe Neto]],Imput[[C. Imp.]:[C. Imp.]],$D837,Imput[[PERIODO Imp.]:[PERIODO Imp.]],BZ$9)</f>
        <v>0</v>
      </c>
      <c r="CA837" s="693">
        <f>SUMIFS(Imput[[Importe Neto]:[Importe Neto]],Imput[[C. Imp.]:[C. Imp.]],$D837,Imput[[PERIODO Imp.]:[PERIODO Imp.]],CA$9)</f>
        <v>0</v>
      </c>
      <c r="CB837" s="693">
        <f>SUMIFS(Imput[[Importe Neto]:[Importe Neto]],Imput[[C. Imp.]:[C. Imp.]],$D837,Imput[[PERIODO Imp.]:[PERIODO Imp.]],CB$9)</f>
        <v>0</v>
      </c>
      <c r="CC837" s="693">
        <f>SUMIFS(Imput[[Importe Neto]:[Importe Neto]],Imput[[C. Imp.]:[C. Imp.]],$D837,Imput[[PERIODO Imp.]:[PERIODO Imp.]],CC$9)</f>
        <v>0</v>
      </c>
      <c r="CD837" s="693">
        <f>SUMIFS(Imput[[Importe Neto]:[Importe Neto]],Imput[[C. Imp.]:[C. Imp.]],$D837,Imput[[PERIODO Imp.]:[PERIODO Imp.]],CD$9)</f>
        <v>0</v>
      </c>
      <c r="CE837" s="693">
        <f>SUMIFS(Imput[[Importe Neto]:[Importe Neto]],Imput[[C. Imp.]:[C. Imp.]],$D837,Imput[[PERIODO Imp.]:[PERIODO Imp.]],CE$9)</f>
        <v>0</v>
      </c>
      <c r="CF837" s="693">
        <f>SUMIFS(Imput[[Importe Neto]:[Importe Neto]],Imput[[C. Imp.]:[C. Imp.]],$D837,Imput[[PERIODO Imp.]:[PERIODO Imp.]],CF$9)</f>
        <v>0</v>
      </c>
      <c r="CG837" s="693">
        <f>SUMIFS(Imput[[Importe Neto]:[Importe Neto]],Imput[[C. Imp.]:[C. Imp.]],$D837,Imput[[PERIODO Imp.]:[PERIODO Imp.]],CG$9)</f>
        <v>0</v>
      </c>
      <c r="CH837" s="693">
        <f>SUMIFS(Imput[[Importe Neto]:[Importe Neto]],Imput[[C. Imp.]:[C. Imp.]],$D837,Imput[[PERIODO Imp.]:[PERIODO Imp.]],CH$9)</f>
        <v>0</v>
      </c>
      <c r="CI837" s="693">
        <f>SUMIFS(Imput[[Importe Neto]:[Importe Neto]],Imput[[C. Imp.]:[C. Imp.]],$D837,Imput[[PERIODO Imp.]:[PERIODO Imp.]],CI$9)</f>
        <v>0</v>
      </c>
      <c r="CJ837" s="693">
        <f>SUMIFS(Imput[[Importe Neto]:[Importe Neto]],Imput[[C. Imp.]:[C. Imp.]],$D837,Imput[[PERIODO Imp.]:[PERIODO Imp.]],CJ$9)</f>
        <v>0</v>
      </c>
      <c r="CK837" s="693">
        <f>SUMIFS(Imput[[Importe Neto]:[Importe Neto]],Imput[[C. Imp.]:[C. Imp.]],$D837,Imput[[PERIODO Imp.]:[PERIODO Imp.]],CK$9)</f>
        <v>0</v>
      </c>
      <c r="CL837" s="693">
        <f>SUMIFS(Imput[[Importe Neto]:[Importe Neto]],Imput[[C. Imp.]:[C. Imp.]],$D837,Imput[[PERIODO Imp.]:[PERIODO Imp.]],CL$9)</f>
        <v>0</v>
      </c>
      <c r="CM837" s="693">
        <f>SUMIFS(Imput[[Importe Neto]:[Importe Neto]],Imput[[C. Imp.]:[C. Imp.]],$D837,Imput[[PERIODO Imp.]:[PERIODO Imp.]],CM$9)</f>
        <v>0</v>
      </c>
      <c r="CN837" s="693">
        <f>SUMIFS(Imput[[Importe Neto]:[Importe Neto]],Imput[[C. Imp.]:[C. Imp.]],$D837,Imput[[PERIODO Imp.]:[PERIODO Imp.]],CN$9)</f>
        <v>0</v>
      </c>
      <c r="CO837" s="693">
        <f>SUMIFS(Imput[[Importe Neto]:[Importe Neto]],Imput[[C. Imp.]:[C. Imp.]],$D837,Imput[[PERIODO Imp.]:[PERIODO Imp.]],CO$9)</f>
        <v>0</v>
      </c>
      <c r="CP837" s="693">
        <f>SUMIFS(Imput[[Importe Neto]:[Importe Neto]],Imput[[C. Imp.]:[C. Imp.]],$D837,Imput[[PERIODO Imp.]:[PERIODO Imp.]],CP$9)</f>
        <v>0</v>
      </c>
      <c r="CQ837" s="693">
        <f>SUMIFS(Imput[[Importe Neto]:[Importe Neto]],Imput[[C. Imp.]:[C. Imp.]],$D837,Imput[[PERIODO Imp.]:[PERIODO Imp.]],CQ$9)</f>
        <v>0</v>
      </c>
      <c r="CR837" s="693">
        <f>SUMIFS(Imput[[Importe Neto]:[Importe Neto]],Imput[[C. Imp.]:[C. Imp.]],$D837,Imput[[PERIODO Imp.]:[PERIODO Imp.]],CR$9)</f>
        <v>0</v>
      </c>
      <c r="CS837" s="693">
        <f>SUMIFS(Imput[[Importe Neto]:[Importe Neto]],Imput[[C. Imp.]:[C. Imp.]],$D837,Imput[[PERIODO Imp.]:[PERIODO Imp.]],CS$9)</f>
        <v>0</v>
      </c>
      <c r="CT837" s="693">
        <f>SUMIFS(Imput[[Importe Neto]:[Importe Neto]],Imput[[C. Imp.]:[C. Imp.]],$D837,Imput[[PERIODO Imp.]:[PERIODO Imp.]],CT$9)</f>
        <v>0</v>
      </c>
      <c r="CU837" s="693">
        <f>SUMIFS(Imput[[Importe Neto]:[Importe Neto]],Imput[[C. Imp.]:[C. Imp.]],$D837,Imput[[PERIODO Imp.]:[PERIODO Imp.]],CU$9)</f>
        <v>0</v>
      </c>
      <c r="CV837" s="693">
        <f>SUMIFS(Imput[[Importe Neto]:[Importe Neto]],Imput[[C. Imp.]:[C. Imp.]],$D837,Imput[[PERIODO Imp.]:[PERIODO Imp.]],CV$9)</f>
        <v>0</v>
      </c>
      <c r="CW837" s="693">
        <f>SUMIFS(Imput[[Importe Neto]:[Importe Neto]],Imput[[C. Imp.]:[C. Imp.]],$D837,Imput[[PERIODO Imp.]:[PERIODO Imp.]],CW$9)</f>
        <v>0</v>
      </c>
      <c r="CX837" s="693">
        <f>SUMIFS(Imput[[Importe Neto]:[Importe Neto]],Imput[[C. Imp.]:[C. Imp.]],$D837,Imput[[PERIODO Imp.]:[PERIODO Imp.]],CX$9)</f>
        <v>0</v>
      </c>
      <c r="CY837" s="693">
        <f>SUMIFS(Imput[[Importe Neto]:[Importe Neto]],Imput[[C. Imp.]:[C. Imp.]],$D837,Imput[[PERIODO Imp.]:[PERIODO Imp.]],CY$9)</f>
        <v>0</v>
      </c>
      <c r="CZ837" s="693">
        <f>SUMIFS(Imput[[Importe Neto]:[Importe Neto]],Imput[[C. Imp.]:[C. Imp.]],$D837,Imput[[PERIODO Imp.]:[PERIODO Imp.]],CZ$9)</f>
        <v>0</v>
      </c>
      <c r="DA837" s="693">
        <f>SUMIFS(Imput[[Importe Neto]:[Importe Neto]],Imput[[C. Imp.]:[C. Imp.]],$D837,Imput[[PERIODO Imp.]:[PERIODO Imp.]],DA$9)</f>
        <v>0</v>
      </c>
      <c r="DB837" s="693">
        <f>SUMIFS(Imput[[Importe Neto]:[Importe Neto]],Imput[[C. Imp.]:[C. Imp.]],$D837,Imput[[PERIODO Imp.]:[PERIODO Imp.]],DB$9)</f>
        <v>0</v>
      </c>
      <c r="DC837" s="693">
        <f>SUMIFS(Imput[[Importe Neto]:[Importe Neto]],Imput[[C. Imp.]:[C. Imp.]],$D837,Imput[[PERIODO Imp.]:[PERIODO Imp.]],DC$9)</f>
        <v>0</v>
      </c>
      <c r="DD837" s="693">
        <f>SUMIFS(Imput[[Importe Neto]:[Importe Neto]],Imput[[C. Imp.]:[C. Imp.]],$D837,Imput[[PERIODO Imp.]:[PERIODO Imp.]],DD$9)</f>
        <v>0</v>
      </c>
      <c r="DE837" s="693">
        <f>SUMIFS(Imput[[Importe Neto]:[Importe Neto]],Imput[[C. Imp.]:[C. Imp.]],$D837,Imput[[PERIODO Imp.]:[PERIODO Imp.]],DE$9)</f>
        <v>0</v>
      </c>
      <c r="DF837" s="693">
        <f>SUMIFS(Imput[[Importe Neto]:[Importe Neto]],Imput[[C. Imp.]:[C. Imp.]],$D837,Imput[[PERIODO Imp.]:[PERIODO Imp.]],DF$9)</f>
        <v>0</v>
      </c>
      <c r="DG837" s="693">
        <f>SUMIFS(Imput[[Importe Neto]:[Importe Neto]],Imput[[C. Imp.]:[C. Imp.]],$D837,Imput[[PERIODO Imp.]:[PERIODO Imp.]],DG$9)</f>
        <v>0</v>
      </c>
      <c r="DH837" s="694">
        <f>SUMIFS(Imput[[Importe Neto]:[Importe Neto]],Imput[[C. Imp.]:[C. Imp.]],$D837,Imput[[PERIODO Imp.]:[PERIODO Imp.]],DH$9)</f>
        <v>0</v>
      </c>
    </row>
    <row r="838" spans="1:112" s="649" customFormat="1" outlineLevel="1" x14ac:dyDescent="0.3">
      <c r="A838" s="652" t="str">
        <f t="shared" si="290"/>
        <v>Imprimir</v>
      </c>
      <c r="B838" s="652"/>
      <c r="C838" s="685"/>
      <c r="D838" s="686" t="s">
        <v>2814</v>
      </c>
      <c r="E838" s="686" t="s">
        <v>494</v>
      </c>
      <c r="F838" s="720"/>
      <c r="G838" s="688">
        <v>2803</v>
      </c>
      <c r="H838" s="531">
        <f>Producción!G78*1.155</f>
        <v>3.4649999999999999</v>
      </c>
      <c r="I838" s="851">
        <f t="shared" si="291"/>
        <v>1</v>
      </c>
      <c r="J838" s="850">
        <f t="shared" si="292"/>
        <v>9712.3950000000004</v>
      </c>
      <c r="K838" s="667"/>
      <c r="L838" s="858">
        <v>0.5</v>
      </c>
      <c r="M838" s="859">
        <v>3.5714285714285712E-2</v>
      </c>
      <c r="N838" s="859">
        <v>3.5714285714285712E-2</v>
      </c>
      <c r="O838" s="859">
        <v>3.5714285714285712E-2</v>
      </c>
      <c r="P838" s="859">
        <v>3.5714285714285712E-2</v>
      </c>
      <c r="Q838" s="859">
        <v>3.5714285714285712E-2</v>
      </c>
      <c r="R838" s="859">
        <v>3.5714285714285712E-2</v>
      </c>
      <c r="S838" s="859">
        <v>3.5714285714285712E-2</v>
      </c>
      <c r="T838" s="859">
        <v>3.5714285714285712E-2</v>
      </c>
      <c r="U838" s="859">
        <v>3.5714285714285712E-2</v>
      </c>
      <c r="V838" s="859">
        <v>3.5714285714285712E-2</v>
      </c>
      <c r="W838" s="859">
        <v>3.5714285714285712E-2</v>
      </c>
      <c r="X838" s="859">
        <v>3.5714285714285712E-2</v>
      </c>
      <c r="Y838" s="859">
        <v>3.5714285714285712E-2</v>
      </c>
      <c r="Z838" s="860">
        <v>3.5714285714285712E-2</v>
      </c>
      <c r="AA838" s="860"/>
      <c r="AB838" s="860"/>
      <c r="AC838" s="860"/>
      <c r="AD838" s="860"/>
      <c r="AE838" s="860"/>
      <c r="AF838" s="860"/>
      <c r="AG838" s="860"/>
      <c r="AH838" s="860"/>
      <c r="AI838" s="860"/>
      <c r="AJ838" s="860"/>
      <c r="AK838" s="860"/>
      <c r="AL838" s="860"/>
      <c r="AM838" s="860"/>
      <c r="AN838" s="860"/>
      <c r="AO838" s="860"/>
      <c r="AP838" s="860"/>
      <c r="AQ838" s="860"/>
      <c r="AR838" s="860"/>
      <c r="AS838" s="860"/>
      <c r="AT838" s="860"/>
      <c r="AU838" s="860"/>
      <c r="AV838" s="860"/>
      <c r="AW838" s="860"/>
      <c r="AX838" s="860"/>
      <c r="AY838" s="860"/>
      <c r="AZ838" s="860"/>
      <c r="BA838" s="860"/>
      <c r="BB838" s="860"/>
      <c r="BC838" s="860"/>
      <c r="BD838" s="860"/>
      <c r="BE838" s="860"/>
      <c r="BF838" s="860"/>
      <c r="BG838" s="860"/>
      <c r="BH838" s="668"/>
      <c r="BI838" s="667"/>
      <c r="BJ838" s="690">
        <f t="shared" si="293"/>
        <v>0</v>
      </c>
      <c r="BK838" s="691">
        <f t="shared" si="294"/>
        <v>0</v>
      </c>
      <c r="BL838" s="654"/>
      <c r="BM838" s="692">
        <f>SUMIFS(Imput[[Importe Neto]:[Importe Neto]],Imput[[C. Imp.]:[C. Imp.]],$D838,Imput[[PERIODO Imp.]:[PERIODO Imp.]],BM$9)</f>
        <v>0</v>
      </c>
      <c r="BN838" s="693">
        <f>SUMIFS(Imput[[Importe Neto]:[Importe Neto]],Imput[[C. Imp.]:[C. Imp.]],$D838,Imput[[PERIODO Imp.]:[PERIODO Imp.]],BN$9)</f>
        <v>0</v>
      </c>
      <c r="BO838" s="693">
        <f>SUMIFS(Imput[[Importe Neto]:[Importe Neto]],Imput[[C. Imp.]:[C. Imp.]],$D838,Imput[[PERIODO Imp.]:[PERIODO Imp.]],BO$9)</f>
        <v>0</v>
      </c>
      <c r="BP838" s="693">
        <f>SUMIFS(Imput[[Importe Neto]:[Importe Neto]],Imput[[C. Imp.]:[C. Imp.]],$D838,Imput[[PERIODO Imp.]:[PERIODO Imp.]],BP$9)</f>
        <v>0</v>
      </c>
      <c r="BQ838" s="693">
        <f>SUMIFS(Imput[[Importe Neto]:[Importe Neto]],Imput[[C. Imp.]:[C. Imp.]],$D838,Imput[[PERIODO Imp.]:[PERIODO Imp.]],BQ$9)</f>
        <v>0</v>
      </c>
      <c r="BR838" s="693">
        <f>SUMIFS(Imput[[Importe Neto]:[Importe Neto]],Imput[[C. Imp.]:[C. Imp.]],$D838,Imput[[PERIODO Imp.]:[PERIODO Imp.]],BR$9)</f>
        <v>0</v>
      </c>
      <c r="BS838" s="693">
        <f>SUMIFS(Imput[[Importe Neto]:[Importe Neto]],Imput[[C. Imp.]:[C. Imp.]],$D838,Imput[[PERIODO Imp.]:[PERIODO Imp.]],BS$9)</f>
        <v>0</v>
      </c>
      <c r="BT838" s="693">
        <f>SUMIFS(Imput[[Importe Neto]:[Importe Neto]],Imput[[C. Imp.]:[C. Imp.]],$D838,Imput[[PERIODO Imp.]:[PERIODO Imp.]],BT$9)</f>
        <v>0</v>
      </c>
      <c r="BU838" s="693">
        <f>SUMIFS(Imput[[Importe Neto]:[Importe Neto]],Imput[[C. Imp.]:[C. Imp.]],$D838,Imput[[PERIODO Imp.]:[PERIODO Imp.]],BU$9)</f>
        <v>0</v>
      </c>
      <c r="BV838" s="693">
        <f>SUMIFS(Imput[[Importe Neto]:[Importe Neto]],Imput[[C. Imp.]:[C. Imp.]],$D838,Imput[[PERIODO Imp.]:[PERIODO Imp.]],BV$9)</f>
        <v>0</v>
      </c>
      <c r="BW838" s="693">
        <f>SUMIFS(Imput[[Importe Neto]:[Importe Neto]],Imput[[C. Imp.]:[C. Imp.]],$D838,Imput[[PERIODO Imp.]:[PERIODO Imp.]],BW$9)</f>
        <v>0</v>
      </c>
      <c r="BX838" s="693">
        <f>SUMIFS(Imput[[Importe Neto]:[Importe Neto]],Imput[[C. Imp.]:[C. Imp.]],$D838,Imput[[PERIODO Imp.]:[PERIODO Imp.]],BX$9)</f>
        <v>0</v>
      </c>
      <c r="BY838" s="693">
        <f>SUMIFS(Imput[[Importe Neto]:[Importe Neto]],Imput[[C. Imp.]:[C. Imp.]],$D838,Imput[[PERIODO Imp.]:[PERIODO Imp.]],BY$9)</f>
        <v>0</v>
      </c>
      <c r="BZ838" s="693">
        <f>SUMIFS(Imput[[Importe Neto]:[Importe Neto]],Imput[[C. Imp.]:[C. Imp.]],$D838,Imput[[PERIODO Imp.]:[PERIODO Imp.]],BZ$9)</f>
        <v>0</v>
      </c>
      <c r="CA838" s="693">
        <f>SUMIFS(Imput[[Importe Neto]:[Importe Neto]],Imput[[C. Imp.]:[C. Imp.]],$D838,Imput[[PERIODO Imp.]:[PERIODO Imp.]],CA$9)</f>
        <v>0</v>
      </c>
      <c r="CB838" s="693">
        <f>SUMIFS(Imput[[Importe Neto]:[Importe Neto]],Imput[[C. Imp.]:[C. Imp.]],$D838,Imput[[PERIODO Imp.]:[PERIODO Imp.]],CB$9)</f>
        <v>0</v>
      </c>
      <c r="CC838" s="693">
        <f>SUMIFS(Imput[[Importe Neto]:[Importe Neto]],Imput[[C. Imp.]:[C. Imp.]],$D838,Imput[[PERIODO Imp.]:[PERIODO Imp.]],CC$9)</f>
        <v>0</v>
      </c>
      <c r="CD838" s="693">
        <f>SUMIFS(Imput[[Importe Neto]:[Importe Neto]],Imput[[C. Imp.]:[C. Imp.]],$D838,Imput[[PERIODO Imp.]:[PERIODO Imp.]],CD$9)</f>
        <v>0</v>
      </c>
      <c r="CE838" s="693">
        <f>SUMIFS(Imput[[Importe Neto]:[Importe Neto]],Imput[[C. Imp.]:[C. Imp.]],$D838,Imput[[PERIODO Imp.]:[PERIODO Imp.]],CE$9)</f>
        <v>0</v>
      </c>
      <c r="CF838" s="693">
        <f>SUMIFS(Imput[[Importe Neto]:[Importe Neto]],Imput[[C. Imp.]:[C. Imp.]],$D838,Imput[[PERIODO Imp.]:[PERIODO Imp.]],CF$9)</f>
        <v>0</v>
      </c>
      <c r="CG838" s="693">
        <f>SUMIFS(Imput[[Importe Neto]:[Importe Neto]],Imput[[C. Imp.]:[C. Imp.]],$D838,Imput[[PERIODO Imp.]:[PERIODO Imp.]],CG$9)</f>
        <v>0</v>
      </c>
      <c r="CH838" s="693">
        <f>SUMIFS(Imput[[Importe Neto]:[Importe Neto]],Imput[[C. Imp.]:[C. Imp.]],$D838,Imput[[PERIODO Imp.]:[PERIODO Imp.]],CH$9)</f>
        <v>0</v>
      </c>
      <c r="CI838" s="693">
        <f>SUMIFS(Imput[[Importe Neto]:[Importe Neto]],Imput[[C. Imp.]:[C. Imp.]],$D838,Imput[[PERIODO Imp.]:[PERIODO Imp.]],CI$9)</f>
        <v>0</v>
      </c>
      <c r="CJ838" s="693">
        <f>SUMIFS(Imput[[Importe Neto]:[Importe Neto]],Imput[[C. Imp.]:[C. Imp.]],$D838,Imput[[PERIODO Imp.]:[PERIODO Imp.]],CJ$9)</f>
        <v>0</v>
      </c>
      <c r="CK838" s="693">
        <f>SUMIFS(Imput[[Importe Neto]:[Importe Neto]],Imput[[C. Imp.]:[C. Imp.]],$D838,Imput[[PERIODO Imp.]:[PERIODO Imp.]],CK$9)</f>
        <v>0</v>
      </c>
      <c r="CL838" s="693">
        <f>SUMIFS(Imput[[Importe Neto]:[Importe Neto]],Imput[[C. Imp.]:[C. Imp.]],$D838,Imput[[PERIODO Imp.]:[PERIODO Imp.]],CL$9)</f>
        <v>0</v>
      </c>
      <c r="CM838" s="693">
        <f>SUMIFS(Imput[[Importe Neto]:[Importe Neto]],Imput[[C. Imp.]:[C. Imp.]],$D838,Imput[[PERIODO Imp.]:[PERIODO Imp.]],CM$9)</f>
        <v>0</v>
      </c>
      <c r="CN838" s="693">
        <f>SUMIFS(Imput[[Importe Neto]:[Importe Neto]],Imput[[C. Imp.]:[C. Imp.]],$D838,Imput[[PERIODO Imp.]:[PERIODO Imp.]],CN$9)</f>
        <v>0</v>
      </c>
      <c r="CO838" s="693">
        <f>SUMIFS(Imput[[Importe Neto]:[Importe Neto]],Imput[[C. Imp.]:[C. Imp.]],$D838,Imput[[PERIODO Imp.]:[PERIODO Imp.]],CO$9)</f>
        <v>0</v>
      </c>
      <c r="CP838" s="693">
        <f>SUMIFS(Imput[[Importe Neto]:[Importe Neto]],Imput[[C. Imp.]:[C. Imp.]],$D838,Imput[[PERIODO Imp.]:[PERIODO Imp.]],CP$9)</f>
        <v>0</v>
      </c>
      <c r="CQ838" s="693">
        <f>SUMIFS(Imput[[Importe Neto]:[Importe Neto]],Imput[[C. Imp.]:[C. Imp.]],$D838,Imput[[PERIODO Imp.]:[PERIODO Imp.]],CQ$9)</f>
        <v>0</v>
      </c>
      <c r="CR838" s="693">
        <f>SUMIFS(Imput[[Importe Neto]:[Importe Neto]],Imput[[C. Imp.]:[C. Imp.]],$D838,Imput[[PERIODO Imp.]:[PERIODO Imp.]],CR$9)</f>
        <v>0</v>
      </c>
      <c r="CS838" s="693">
        <f>SUMIFS(Imput[[Importe Neto]:[Importe Neto]],Imput[[C. Imp.]:[C. Imp.]],$D838,Imput[[PERIODO Imp.]:[PERIODO Imp.]],CS$9)</f>
        <v>0</v>
      </c>
      <c r="CT838" s="693">
        <f>SUMIFS(Imput[[Importe Neto]:[Importe Neto]],Imput[[C. Imp.]:[C. Imp.]],$D838,Imput[[PERIODO Imp.]:[PERIODO Imp.]],CT$9)</f>
        <v>0</v>
      </c>
      <c r="CU838" s="693">
        <f>SUMIFS(Imput[[Importe Neto]:[Importe Neto]],Imput[[C. Imp.]:[C. Imp.]],$D838,Imput[[PERIODO Imp.]:[PERIODO Imp.]],CU$9)</f>
        <v>0</v>
      </c>
      <c r="CV838" s="693">
        <f>SUMIFS(Imput[[Importe Neto]:[Importe Neto]],Imput[[C. Imp.]:[C. Imp.]],$D838,Imput[[PERIODO Imp.]:[PERIODO Imp.]],CV$9)</f>
        <v>0</v>
      </c>
      <c r="CW838" s="693">
        <f>SUMIFS(Imput[[Importe Neto]:[Importe Neto]],Imput[[C. Imp.]:[C. Imp.]],$D838,Imput[[PERIODO Imp.]:[PERIODO Imp.]],CW$9)</f>
        <v>0</v>
      </c>
      <c r="CX838" s="693">
        <f>SUMIFS(Imput[[Importe Neto]:[Importe Neto]],Imput[[C. Imp.]:[C. Imp.]],$D838,Imput[[PERIODO Imp.]:[PERIODO Imp.]],CX$9)</f>
        <v>0</v>
      </c>
      <c r="CY838" s="693">
        <f>SUMIFS(Imput[[Importe Neto]:[Importe Neto]],Imput[[C. Imp.]:[C. Imp.]],$D838,Imput[[PERIODO Imp.]:[PERIODO Imp.]],CY$9)</f>
        <v>0</v>
      </c>
      <c r="CZ838" s="693">
        <f>SUMIFS(Imput[[Importe Neto]:[Importe Neto]],Imput[[C. Imp.]:[C. Imp.]],$D838,Imput[[PERIODO Imp.]:[PERIODO Imp.]],CZ$9)</f>
        <v>0</v>
      </c>
      <c r="DA838" s="693">
        <f>SUMIFS(Imput[[Importe Neto]:[Importe Neto]],Imput[[C. Imp.]:[C. Imp.]],$D838,Imput[[PERIODO Imp.]:[PERIODO Imp.]],DA$9)</f>
        <v>0</v>
      </c>
      <c r="DB838" s="693">
        <f>SUMIFS(Imput[[Importe Neto]:[Importe Neto]],Imput[[C. Imp.]:[C. Imp.]],$D838,Imput[[PERIODO Imp.]:[PERIODO Imp.]],DB$9)</f>
        <v>0</v>
      </c>
      <c r="DC838" s="693">
        <f>SUMIFS(Imput[[Importe Neto]:[Importe Neto]],Imput[[C. Imp.]:[C. Imp.]],$D838,Imput[[PERIODO Imp.]:[PERIODO Imp.]],DC$9)</f>
        <v>0</v>
      </c>
      <c r="DD838" s="693">
        <f>SUMIFS(Imput[[Importe Neto]:[Importe Neto]],Imput[[C. Imp.]:[C. Imp.]],$D838,Imput[[PERIODO Imp.]:[PERIODO Imp.]],DD$9)</f>
        <v>0</v>
      </c>
      <c r="DE838" s="693">
        <f>SUMIFS(Imput[[Importe Neto]:[Importe Neto]],Imput[[C. Imp.]:[C. Imp.]],$D838,Imput[[PERIODO Imp.]:[PERIODO Imp.]],DE$9)</f>
        <v>0</v>
      </c>
      <c r="DF838" s="693">
        <f>SUMIFS(Imput[[Importe Neto]:[Importe Neto]],Imput[[C. Imp.]:[C. Imp.]],$D838,Imput[[PERIODO Imp.]:[PERIODO Imp.]],DF$9)</f>
        <v>0</v>
      </c>
      <c r="DG838" s="693">
        <f>SUMIFS(Imput[[Importe Neto]:[Importe Neto]],Imput[[C. Imp.]:[C. Imp.]],$D838,Imput[[PERIODO Imp.]:[PERIODO Imp.]],DG$9)</f>
        <v>0</v>
      </c>
      <c r="DH838" s="694">
        <f>SUMIFS(Imput[[Importe Neto]:[Importe Neto]],Imput[[C. Imp.]:[C. Imp.]],$D838,Imput[[PERIODO Imp.]:[PERIODO Imp.]],DH$9)</f>
        <v>0</v>
      </c>
    </row>
    <row r="839" spans="1:112" s="649" customFormat="1" outlineLevel="1" x14ac:dyDescent="0.3">
      <c r="A839" s="652" t="str">
        <f t="shared" si="290"/>
        <v>Imprimir</v>
      </c>
      <c r="B839" s="652"/>
      <c r="C839" s="685"/>
      <c r="D839" s="686" t="s">
        <v>2815</v>
      </c>
      <c r="E839" s="686" t="s">
        <v>495</v>
      </c>
      <c r="F839" s="720"/>
      <c r="G839" s="688">
        <v>600</v>
      </c>
      <c r="H839" s="531">
        <f>Producción!G78*0.0242</f>
        <v>7.2599999999999998E-2</v>
      </c>
      <c r="I839" s="851">
        <f t="shared" si="291"/>
        <v>1</v>
      </c>
      <c r="J839" s="850">
        <f t="shared" si="292"/>
        <v>43.56</v>
      </c>
      <c r="K839" s="667"/>
      <c r="L839" s="858">
        <v>1</v>
      </c>
      <c r="M839" s="859"/>
      <c r="N839" s="859"/>
      <c r="O839" s="859"/>
      <c r="P839" s="859"/>
      <c r="Q839" s="859"/>
      <c r="R839" s="859"/>
      <c r="S839" s="859"/>
      <c r="T839" s="859"/>
      <c r="U839" s="859"/>
      <c r="V839" s="859"/>
      <c r="W839" s="859"/>
      <c r="X839" s="859"/>
      <c r="Y839" s="859"/>
      <c r="Z839" s="860"/>
      <c r="AA839" s="860"/>
      <c r="AB839" s="860"/>
      <c r="AC839" s="860"/>
      <c r="AD839" s="860"/>
      <c r="AE839" s="860"/>
      <c r="AF839" s="860"/>
      <c r="AG839" s="860"/>
      <c r="AH839" s="860"/>
      <c r="AI839" s="860"/>
      <c r="AJ839" s="860"/>
      <c r="AK839" s="860"/>
      <c r="AL839" s="860"/>
      <c r="AM839" s="860"/>
      <c r="AN839" s="860"/>
      <c r="AO839" s="860"/>
      <c r="AP839" s="860"/>
      <c r="AQ839" s="860"/>
      <c r="AR839" s="860"/>
      <c r="AS839" s="860"/>
      <c r="AT839" s="860"/>
      <c r="AU839" s="860"/>
      <c r="AV839" s="860"/>
      <c r="AW839" s="860"/>
      <c r="AX839" s="860"/>
      <c r="AY839" s="860"/>
      <c r="AZ839" s="860"/>
      <c r="BA839" s="860"/>
      <c r="BB839" s="860"/>
      <c r="BC839" s="860"/>
      <c r="BD839" s="860"/>
      <c r="BE839" s="860"/>
      <c r="BF839" s="860"/>
      <c r="BG839" s="860"/>
      <c r="BH839" s="668"/>
      <c r="BI839" s="667"/>
      <c r="BJ839" s="690">
        <f t="shared" si="293"/>
        <v>0</v>
      </c>
      <c r="BK839" s="691">
        <f t="shared" si="294"/>
        <v>0</v>
      </c>
      <c r="BL839" s="654"/>
      <c r="BM839" s="692">
        <f>SUMIFS(Imput[[Importe Neto]:[Importe Neto]],Imput[[C. Imp.]:[C. Imp.]],$D839,Imput[[PERIODO Imp.]:[PERIODO Imp.]],BM$9)</f>
        <v>0</v>
      </c>
      <c r="BN839" s="693">
        <f>SUMIFS(Imput[[Importe Neto]:[Importe Neto]],Imput[[C. Imp.]:[C. Imp.]],$D839,Imput[[PERIODO Imp.]:[PERIODO Imp.]],BN$9)</f>
        <v>0</v>
      </c>
      <c r="BO839" s="693">
        <f>SUMIFS(Imput[[Importe Neto]:[Importe Neto]],Imput[[C. Imp.]:[C. Imp.]],$D839,Imput[[PERIODO Imp.]:[PERIODO Imp.]],BO$9)</f>
        <v>0</v>
      </c>
      <c r="BP839" s="693">
        <f>SUMIFS(Imput[[Importe Neto]:[Importe Neto]],Imput[[C. Imp.]:[C. Imp.]],$D839,Imput[[PERIODO Imp.]:[PERIODO Imp.]],BP$9)</f>
        <v>0</v>
      </c>
      <c r="BQ839" s="693">
        <f>SUMIFS(Imput[[Importe Neto]:[Importe Neto]],Imput[[C. Imp.]:[C. Imp.]],$D839,Imput[[PERIODO Imp.]:[PERIODO Imp.]],BQ$9)</f>
        <v>0</v>
      </c>
      <c r="BR839" s="693">
        <f>SUMIFS(Imput[[Importe Neto]:[Importe Neto]],Imput[[C. Imp.]:[C. Imp.]],$D839,Imput[[PERIODO Imp.]:[PERIODO Imp.]],BR$9)</f>
        <v>0</v>
      </c>
      <c r="BS839" s="693">
        <f>SUMIFS(Imput[[Importe Neto]:[Importe Neto]],Imput[[C. Imp.]:[C. Imp.]],$D839,Imput[[PERIODO Imp.]:[PERIODO Imp.]],BS$9)</f>
        <v>0</v>
      </c>
      <c r="BT839" s="693">
        <f>SUMIFS(Imput[[Importe Neto]:[Importe Neto]],Imput[[C. Imp.]:[C. Imp.]],$D839,Imput[[PERIODO Imp.]:[PERIODO Imp.]],BT$9)</f>
        <v>0</v>
      </c>
      <c r="BU839" s="693">
        <f>SUMIFS(Imput[[Importe Neto]:[Importe Neto]],Imput[[C. Imp.]:[C. Imp.]],$D839,Imput[[PERIODO Imp.]:[PERIODO Imp.]],BU$9)</f>
        <v>0</v>
      </c>
      <c r="BV839" s="693">
        <f>SUMIFS(Imput[[Importe Neto]:[Importe Neto]],Imput[[C. Imp.]:[C. Imp.]],$D839,Imput[[PERIODO Imp.]:[PERIODO Imp.]],BV$9)</f>
        <v>0</v>
      </c>
      <c r="BW839" s="693">
        <f>SUMIFS(Imput[[Importe Neto]:[Importe Neto]],Imput[[C. Imp.]:[C. Imp.]],$D839,Imput[[PERIODO Imp.]:[PERIODO Imp.]],BW$9)</f>
        <v>0</v>
      </c>
      <c r="BX839" s="693">
        <f>SUMIFS(Imput[[Importe Neto]:[Importe Neto]],Imput[[C. Imp.]:[C. Imp.]],$D839,Imput[[PERIODO Imp.]:[PERIODO Imp.]],BX$9)</f>
        <v>0</v>
      </c>
      <c r="BY839" s="693">
        <f>SUMIFS(Imput[[Importe Neto]:[Importe Neto]],Imput[[C. Imp.]:[C. Imp.]],$D839,Imput[[PERIODO Imp.]:[PERIODO Imp.]],BY$9)</f>
        <v>0</v>
      </c>
      <c r="BZ839" s="693">
        <f>SUMIFS(Imput[[Importe Neto]:[Importe Neto]],Imput[[C. Imp.]:[C. Imp.]],$D839,Imput[[PERIODO Imp.]:[PERIODO Imp.]],BZ$9)</f>
        <v>0</v>
      </c>
      <c r="CA839" s="693">
        <f>SUMIFS(Imput[[Importe Neto]:[Importe Neto]],Imput[[C. Imp.]:[C. Imp.]],$D839,Imput[[PERIODO Imp.]:[PERIODO Imp.]],CA$9)</f>
        <v>0</v>
      </c>
      <c r="CB839" s="693">
        <f>SUMIFS(Imput[[Importe Neto]:[Importe Neto]],Imput[[C. Imp.]:[C. Imp.]],$D839,Imput[[PERIODO Imp.]:[PERIODO Imp.]],CB$9)</f>
        <v>0</v>
      </c>
      <c r="CC839" s="693">
        <f>SUMIFS(Imput[[Importe Neto]:[Importe Neto]],Imput[[C. Imp.]:[C. Imp.]],$D839,Imput[[PERIODO Imp.]:[PERIODO Imp.]],CC$9)</f>
        <v>0</v>
      </c>
      <c r="CD839" s="693">
        <f>SUMIFS(Imput[[Importe Neto]:[Importe Neto]],Imput[[C. Imp.]:[C. Imp.]],$D839,Imput[[PERIODO Imp.]:[PERIODO Imp.]],CD$9)</f>
        <v>0</v>
      </c>
      <c r="CE839" s="693">
        <f>SUMIFS(Imput[[Importe Neto]:[Importe Neto]],Imput[[C. Imp.]:[C. Imp.]],$D839,Imput[[PERIODO Imp.]:[PERIODO Imp.]],CE$9)</f>
        <v>0</v>
      </c>
      <c r="CF839" s="693">
        <f>SUMIFS(Imput[[Importe Neto]:[Importe Neto]],Imput[[C. Imp.]:[C. Imp.]],$D839,Imput[[PERIODO Imp.]:[PERIODO Imp.]],CF$9)</f>
        <v>0</v>
      </c>
      <c r="CG839" s="693">
        <f>SUMIFS(Imput[[Importe Neto]:[Importe Neto]],Imput[[C. Imp.]:[C. Imp.]],$D839,Imput[[PERIODO Imp.]:[PERIODO Imp.]],CG$9)</f>
        <v>0</v>
      </c>
      <c r="CH839" s="693">
        <f>SUMIFS(Imput[[Importe Neto]:[Importe Neto]],Imput[[C. Imp.]:[C. Imp.]],$D839,Imput[[PERIODO Imp.]:[PERIODO Imp.]],CH$9)</f>
        <v>0</v>
      </c>
      <c r="CI839" s="693">
        <f>SUMIFS(Imput[[Importe Neto]:[Importe Neto]],Imput[[C. Imp.]:[C. Imp.]],$D839,Imput[[PERIODO Imp.]:[PERIODO Imp.]],CI$9)</f>
        <v>0</v>
      </c>
      <c r="CJ839" s="693">
        <f>SUMIFS(Imput[[Importe Neto]:[Importe Neto]],Imput[[C. Imp.]:[C. Imp.]],$D839,Imput[[PERIODO Imp.]:[PERIODO Imp.]],CJ$9)</f>
        <v>0</v>
      </c>
      <c r="CK839" s="693">
        <f>SUMIFS(Imput[[Importe Neto]:[Importe Neto]],Imput[[C. Imp.]:[C. Imp.]],$D839,Imput[[PERIODO Imp.]:[PERIODO Imp.]],CK$9)</f>
        <v>0</v>
      </c>
      <c r="CL839" s="693">
        <f>SUMIFS(Imput[[Importe Neto]:[Importe Neto]],Imput[[C. Imp.]:[C. Imp.]],$D839,Imput[[PERIODO Imp.]:[PERIODO Imp.]],CL$9)</f>
        <v>0</v>
      </c>
      <c r="CM839" s="693">
        <f>SUMIFS(Imput[[Importe Neto]:[Importe Neto]],Imput[[C. Imp.]:[C. Imp.]],$D839,Imput[[PERIODO Imp.]:[PERIODO Imp.]],CM$9)</f>
        <v>0</v>
      </c>
      <c r="CN839" s="693">
        <f>SUMIFS(Imput[[Importe Neto]:[Importe Neto]],Imput[[C. Imp.]:[C. Imp.]],$D839,Imput[[PERIODO Imp.]:[PERIODO Imp.]],CN$9)</f>
        <v>0</v>
      </c>
      <c r="CO839" s="693">
        <f>SUMIFS(Imput[[Importe Neto]:[Importe Neto]],Imput[[C. Imp.]:[C. Imp.]],$D839,Imput[[PERIODO Imp.]:[PERIODO Imp.]],CO$9)</f>
        <v>0</v>
      </c>
      <c r="CP839" s="693">
        <f>SUMIFS(Imput[[Importe Neto]:[Importe Neto]],Imput[[C. Imp.]:[C. Imp.]],$D839,Imput[[PERIODO Imp.]:[PERIODO Imp.]],CP$9)</f>
        <v>0</v>
      </c>
      <c r="CQ839" s="693">
        <f>SUMIFS(Imput[[Importe Neto]:[Importe Neto]],Imput[[C. Imp.]:[C. Imp.]],$D839,Imput[[PERIODO Imp.]:[PERIODO Imp.]],CQ$9)</f>
        <v>0</v>
      </c>
      <c r="CR839" s="693">
        <f>SUMIFS(Imput[[Importe Neto]:[Importe Neto]],Imput[[C. Imp.]:[C. Imp.]],$D839,Imput[[PERIODO Imp.]:[PERIODO Imp.]],CR$9)</f>
        <v>0</v>
      </c>
      <c r="CS839" s="693">
        <f>SUMIFS(Imput[[Importe Neto]:[Importe Neto]],Imput[[C. Imp.]:[C. Imp.]],$D839,Imput[[PERIODO Imp.]:[PERIODO Imp.]],CS$9)</f>
        <v>0</v>
      </c>
      <c r="CT839" s="693">
        <f>SUMIFS(Imput[[Importe Neto]:[Importe Neto]],Imput[[C. Imp.]:[C. Imp.]],$D839,Imput[[PERIODO Imp.]:[PERIODO Imp.]],CT$9)</f>
        <v>0</v>
      </c>
      <c r="CU839" s="693">
        <f>SUMIFS(Imput[[Importe Neto]:[Importe Neto]],Imput[[C. Imp.]:[C. Imp.]],$D839,Imput[[PERIODO Imp.]:[PERIODO Imp.]],CU$9)</f>
        <v>0</v>
      </c>
      <c r="CV839" s="693">
        <f>SUMIFS(Imput[[Importe Neto]:[Importe Neto]],Imput[[C. Imp.]:[C. Imp.]],$D839,Imput[[PERIODO Imp.]:[PERIODO Imp.]],CV$9)</f>
        <v>0</v>
      </c>
      <c r="CW839" s="693">
        <f>SUMIFS(Imput[[Importe Neto]:[Importe Neto]],Imput[[C. Imp.]:[C. Imp.]],$D839,Imput[[PERIODO Imp.]:[PERIODO Imp.]],CW$9)</f>
        <v>0</v>
      </c>
      <c r="CX839" s="693">
        <f>SUMIFS(Imput[[Importe Neto]:[Importe Neto]],Imput[[C. Imp.]:[C. Imp.]],$D839,Imput[[PERIODO Imp.]:[PERIODO Imp.]],CX$9)</f>
        <v>0</v>
      </c>
      <c r="CY839" s="693">
        <f>SUMIFS(Imput[[Importe Neto]:[Importe Neto]],Imput[[C. Imp.]:[C. Imp.]],$D839,Imput[[PERIODO Imp.]:[PERIODO Imp.]],CY$9)</f>
        <v>0</v>
      </c>
      <c r="CZ839" s="693">
        <f>SUMIFS(Imput[[Importe Neto]:[Importe Neto]],Imput[[C. Imp.]:[C. Imp.]],$D839,Imput[[PERIODO Imp.]:[PERIODO Imp.]],CZ$9)</f>
        <v>0</v>
      </c>
      <c r="DA839" s="693">
        <f>SUMIFS(Imput[[Importe Neto]:[Importe Neto]],Imput[[C. Imp.]:[C. Imp.]],$D839,Imput[[PERIODO Imp.]:[PERIODO Imp.]],DA$9)</f>
        <v>0</v>
      </c>
      <c r="DB839" s="693">
        <f>SUMIFS(Imput[[Importe Neto]:[Importe Neto]],Imput[[C. Imp.]:[C. Imp.]],$D839,Imput[[PERIODO Imp.]:[PERIODO Imp.]],DB$9)</f>
        <v>0</v>
      </c>
      <c r="DC839" s="693">
        <f>SUMIFS(Imput[[Importe Neto]:[Importe Neto]],Imput[[C. Imp.]:[C. Imp.]],$D839,Imput[[PERIODO Imp.]:[PERIODO Imp.]],DC$9)</f>
        <v>0</v>
      </c>
      <c r="DD839" s="693">
        <f>SUMIFS(Imput[[Importe Neto]:[Importe Neto]],Imput[[C. Imp.]:[C. Imp.]],$D839,Imput[[PERIODO Imp.]:[PERIODO Imp.]],DD$9)</f>
        <v>0</v>
      </c>
      <c r="DE839" s="693">
        <f>SUMIFS(Imput[[Importe Neto]:[Importe Neto]],Imput[[C. Imp.]:[C. Imp.]],$D839,Imput[[PERIODO Imp.]:[PERIODO Imp.]],DE$9)</f>
        <v>0</v>
      </c>
      <c r="DF839" s="693">
        <f>SUMIFS(Imput[[Importe Neto]:[Importe Neto]],Imput[[C. Imp.]:[C. Imp.]],$D839,Imput[[PERIODO Imp.]:[PERIODO Imp.]],DF$9)</f>
        <v>0</v>
      </c>
      <c r="DG839" s="693">
        <f>SUMIFS(Imput[[Importe Neto]:[Importe Neto]],Imput[[C. Imp.]:[C. Imp.]],$D839,Imput[[PERIODO Imp.]:[PERIODO Imp.]],DG$9)</f>
        <v>0</v>
      </c>
      <c r="DH839" s="694">
        <f>SUMIFS(Imput[[Importe Neto]:[Importe Neto]],Imput[[C. Imp.]:[C. Imp.]],$D839,Imput[[PERIODO Imp.]:[PERIODO Imp.]],DH$9)</f>
        <v>0</v>
      </c>
    </row>
    <row r="840" spans="1:112" s="649" customFormat="1" outlineLevel="1" x14ac:dyDescent="0.3">
      <c r="A840" s="652" t="str">
        <f t="shared" si="290"/>
        <v>Imprimir</v>
      </c>
      <c r="B840" s="652"/>
      <c r="C840" s="685"/>
      <c r="D840" s="686" t="s">
        <v>2816</v>
      </c>
      <c r="E840" s="686" t="s">
        <v>496</v>
      </c>
      <c r="F840" s="720"/>
      <c r="G840" s="688">
        <v>450</v>
      </c>
      <c r="H840" s="531">
        <f>Producción!G78*0.024</f>
        <v>7.2000000000000008E-2</v>
      </c>
      <c r="I840" s="851">
        <f t="shared" si="291"/>
        <v>1</v>
      </c>
      <c r="J840" s="850">
        <f t="shared" si="292"/>
        <v>32.400000000000006</v>
      </c>
      <c r="K840" s="667"/>
      <c r="L840" s="858">
        <v>1</v>
      </c>
      <c r="M840" s="859"/>
      <c r="N840" s="859"/>
      <c r="O840" s="859"/>
      <c r="P840" s="859"/>
      <c r="Q840" s="859"/>
      <c r="R840" s="859"/>
      <c r="S840" s="859"/>
      <c r="T840" s="859"/>
      <c r="U840" s="859"/>
      <c r="V840" s="859"/>
      <c r="W840" s="859"/>
      <c r="X840" s="859"/>
      <c r="Y840" s="859"/>
      <c r="Z840" s="860"/>
      <c r="AA840" s="860"/>
      <c r="AB840" s="860"/>
      <c r="AC840" s="860"/>
      <c r="AD840" s="860"/>
      <c r="AE840" s="860"/>
      <c r="AF840" s="860"/>
      <c r="AG840" s="860"/>
      <c r="AH840" s="860"/>
      <c r="AI840" s="860"/>
      <c r="AJ840" s="860"/>
      <c r="AK840" s="860"/>
      <c r="AL840" s="860"/>
      <c r="AM840" s="860"/>
      <c r="AN840" s="860"/>
      <c r="AO840" s="860"/>
      <c r="AP840" s="860"/>
      <c r="AQ840" s="860"/>
      <c r="AR840" s="860"/>
      <c r="AS840" s="860"/>
      <c r="AT840" s="860"/>
      <c r="AU840" s="860"/>
      <c r="AV840" s="860"/>
      <c r="AW840" s="860"/>
      <c r="AX840" s="860"/>
      <c r="AY840" s="860"/>
      <c r="AZ840" s="860"/>
      <c r="BA840" s="860"/>
      <c r="BB840" s="860"/>
      <c r="BC840" s="860"/>
      <c r="BD840" s="860"/>
      <c r="BE840" s="860"/>
      <c r="BF840" s="860"/>
      <c r="BG840" s="860"/>
      <c r="BH840" s="668"/>
      <c r="BI840" s="667"/>
      <c r="BJ840" s="690">
        <f t="shared" si="293"/>
        <v>0</v>
      </c>
      <c r="BK840" s="691">
        <f t="shared" si="294"/>
        <v>0</v>
      </c>
      <c r="BL840" s="654"/>
      <c r="BM840" s="692">
        <f>SUMIFS(Imput[[Importe Neto]:[Importe Neto]],Imput[[C. Imp.]:[C. Imp.]],$D840,Imput[[PERIODO Imp.]:[PERIODO Imp.]],BM$9)</f>
        <v>0</v>
      </c>
      <c r="BN840" s="693">
        <f>SUMIFS(Imput[[Importe Neto]:[Importe Neto]],Imput[[C. Imp.]:[C. Imp.]],$D840,Imput[[PERIODO Imp.]:[PERIODO Imp.]],BN$9)</f>
        <v>0</v>
      </c>
      <c r="BO840" s="693">
        <f>SUMIFS(Imput[[Importe Neto]:[Importe Neto]],Imput[[C. Imp.]:[C. Imp.]],$D840,Imput[[PERIODO Imp.]:[PERIODO Imp.]],BO$9)</f>
        <v>0</v>
      </c>
      <c r="BP840" s="693">
        <f>SUMIFS(Imput[[Importe Neto]:[Importe Neto]],Imput[[C. Imp.]:[C. Imp.]],$D840,Imput[[PERIODO Imp.]:[PERIODO Imp.]],BP$9)</f>
        <v>0</v>
      </c>
      <c r="BQ840" s="693">
        <f>SUMIFS(Imput[[Importe Neto]:[Importe Neto]],Imput[[C. Imp.]:[C. Imp.]],$D840,Imput[[PERIODO Imp.]:[PERIODO Imp.]],BQ$9)</f>
        <v>0</v>
      </c>
      <c r="BR840" s="693">
        <f>SUMIFS(Imput[[Importe Neto]:[Importe Neto]],Imput[[C. Imp.]:[C. Imp.]],$D840,Imput[[PERIODO Imp.]:[PERIODO Imp.]],BR$9)</f>
        <v>0</v>
      </c>
      <c r="BS840" s="693">
        <f>SUMIFS(Imput[[Importe Neto]:[Importe Neto]],Imput[[C. Imp.]:[C. Imp.]],$D840,Imput[[PERIODO Imp.]:[PERIODO Imp.]],BS$9)</f>
        <v>0</v>
      </c>
      <c r="BT840" s="693">
        <f>SUMIFS(Imput[[Importe Neto]:[Importe Neto]],Imput[[C. Imp.]:[C. Imp.]],$D840,Imput[[PERIODO Imp.]:[PERIODO Imp.]],BT$9)</f>
        <v>0</v>
      </c>
      <c r="BU840" s="693">
        <f>SUMIFS(Imput[[Importe Neto]:[Importe Neto]],Imput[[C. Imp.]:[C. Imp.]],$D840,Imput[[PERIODO Imp.]:[PERIODO Imp.]],BU$9)</f>
        <v>0</v>
      </c>
      <c r="BV840" s="693">
        <f>SUMIFS(Imput[[Importe Neto]:[Importe Neto]],Imput[[C. Imp.]:[C. Imp.]],$D840,Imput[[PERIODO Imp.]:[PERIODO Imp.]],BV$9)</f>
        <v>0</v>
      </c>
      <c r="BW840" s="693">
        <f>SUMIFS(Imput[[Importe Neto]:[Importe Neto]],Imput[[C. Imp.]:[C. Imp.]],$D840,Imput[[PERIODO Imp.]:[PERIODO Imp.]],BW$9)</f>
        <v>0</v>
      </c>
      <c r="BX840" s="693">
        <f>SUMIFS(Imput[[Importe Neto]:[Importe Neto]],Imput[[C. Imp.]:[C. Imp.]],$D840,Imput[[PERIODO Imp.]:[PERIODO Imp.]],BX$9)</f>
        <v>0</v>
      </c>
      <c r="BY840" s="693">
        <f>SUMIFS(Imput[[Importe Neto]:[Importe Neto]],Imput[[C. Imp.]:[C. Imp.]],$D840,Imput[[PERIODO Imp.]:[PERIODO Imp.]],BY$9)</f>
        <v>0</v>
      </c>
      <c r="BZ840" s="693">
        <f>SUMIFS(Imput[[Importe Neto]:[Importe Neto]],Imput[[C. Imp.]:[C. Imp.]],$D840,Imput[[PERIODO Imp.]:[PERIODO Imp.]],BZ$9)</f>
        <v>0</v>
      </c>
      <c r="CA840" s="693">
        <f>SUMIFS(Imput[[Importe Neto]:[Importe Neto]],Imput[[C. Imp.]:[C. Imp.]],$D840,Imput[[PERIODO Imp.]:[PERIODO Imp.]],CA$9)</f>
        <v>0</v>
      </c>
      <c r="CB840" s="693">
        <f>SUMIFS(Imput[[Importe Neto]:[Importe Neto]],Imput[[C. Imp.]:[C. Imp.]],$D840,Imput[[PERIODO Imp.]:[PERIODO Imp.]],CB$9)</f>
        <v>0</v>
      </c>
      <c r="CC840" s="693">
        <f>SUMIFS(Imput[[Importe Neto]:[Importe Neto]],Imput[[C. Imp.]:[C. Imp.]],$D840,Imput[[PERIODO Imp.]:[PERIODO Imp.]],CC$9)</f>
        <v>0</v>
      </c>
      <c r="CD840" s="693">
        <f>SUMIFS(Imput[[Importe Neto]:[Importe Neto]],Imput[[C. Imp.]:[C. Imp.]],$D840,Imput[[PERIODO Imp.]:[PERIODO Imp.]],CD$9)</f>
        <v>0</v>
      </c>
      <c r="CE840" s="693">
        <f>SUMIFS(Imput[[Importe Neto]:[Importe Neto]],Imput[[C. Imp.]:[C. Imp.]],$D840,Imput[[PERIODO Imp.]:[PERIODO Imp.]],CE$9)</f>
        <v>0</v>
      </c>
      <c r="CF840" s="693">
        <f>SUMIFS(Imput[[Importe Neto]:[Importe Neto]],Imput[[C. Imp.]:[C. Imp.]],$D840,Imput[[PERIODO Imp.]:[PERIODO Imp.]],CF$9)</f>
        <v>0</v>
      </c>
      <c r="CG840" s="693">
        <f>SUMIFS(Imput[[Importe Neto]:[Importe Neto]],Imput[[C. Imp.]:[C. Imp.]],$D840,Imput[[PERIODO Imp.]:[PERIODO Imp.]],CG$9)</f>
        <v>0</v>
      </c>
      <c r="CH840" s="693">
        <f>SUMIFS(Imput[[Importe Neto]:[Importe Neto]],Imput[[C. Imp.]:[C. Imp.]],$D840,Imput[[PERIODO Imp.]:[PERIODO Imp.]],CH$9)</f>
        <v>0</v>
      </c>
      <c r="CI840" s="693">
        <f>SUMIFS(Imput[[Importe Neto]:[Importe Neto]],Imput[[C. Imp.]:[C. Imp.]],$D840,Imput[[PERIODO Imp.]:[PERIODO Imp.]],CI$9)</f>
        <v>0</v>
      </c>
      <c r="CJ840" s="693">
        <f>SUMIFS(Imput[[Importe Neto]:[Importe Neto]],Imput[[C. Imp.]:[C. Imp.]],$D840,Imput[[PERIODO Imp.]:[PERIODO Imp.]],CJ$9)</f>
        <v>0</v>
      </c>
      <c r="CK840" s="693">
        <f>SUMIFS(Imput[[Importe Neto]:[Importe Neto]],Imput[[C. Imp.]:[C. Imp.]],$D840,Imput[[PERIODO Imp.]:[PERIODO Imp.]],CK$9)</f>
        <v>0</v>
      </c>
      <c r="CL840" s="693">
        <f>SUMIFS(Imput[[Importe Neto]:[Importe Neto]],Imput[[C. Imp.]:[C. Imp.]],$D840,Imput[[PERIODO Imp.]:[PERIODO Imp.]],CL$9)</f>
        <v>0</v>
      </c>
      <c r="CM840" s="693">
        <f>SUMIFS(Imput[[Importe Neto]:[Importe Neto]],Imput[[C. Imp.]:[C. Imp.]],$D840,Imput[[PERIODO Imp.]:[PERIODO Imp.]],CM$9)</f>
        <v>0</v>
      </c>
      <c r="CN840" s="693">
        <f>SUMIFS(Imput[[Importe Neto]:[Importe Neto]],Imput[[C. Imp.]:[C. Imp.]],$D840,Imput[[PERIODO Imp.]:[PERIODO Imp.]],CN$9)</f>
        <v>0</v>
      </c>
      <c r="CO840" s="693">
        <f>SUMIFS(Imput[[Importe Neto]:[Importe Neto]],Imput[[C. Imp.]:[C. Imp.]],$D840,Imput[[PERIODO Imp.]:[PERIODO Imp.]],CO$9)</f>
        <v>0</v>
      </c>
      <c r="CP840" s="693">
        <f>SUMIFS(Imput[[Importe Neto]:[Importe Neto]],Imput[[C. Imp.]:[C. Imp.]],$D840,Imput[[PERIODO Imp.]:[PERIODO Imp.]],CP$9)</f>
        <v>0</v>
      </c>
      <c r="CQ840" s="693">
        <f>SUMIFS(Imput[[Importe Neto]:[Importe Neto]],Imput[[C. Imp.]:[C. Imp.]],$D840,Imput[[PERIODO Imp.]:[PERIODO Imp.]],CQ$9)</f>
        <v>0</v>
      </c>
      <c r="CR840" s="693">
        <f>SUMIFS(Imput[[Importe Neto]:[Importe Neto]],Imput[[C. Imp.]:[C. Imp.]],$D840,Imput[[PERIODO Imp.]:[PERIODO Imp.]],CR$9)</f>
        <v>0</v>
      </c>
      <c r="CS840" s="693">
        <f>SUMIFS(Imput[[Importe Neto]:[Importe Neto]],Imput[[C. Imp.]:[C. Imp.]],$D840,Imput[[PERIODO Imp.]:[PERIODO Imp.]],CS$9)</f>
        <v>0</v>
      </c>
      <c r="CT840" s="693">
        <f>SUMIFS(Imput[[Importe Neto]:[Importe Neto]],Imput[[C. Imp.]:[C. Imp.]],$D840,Imput[[PERIODO Imp.]:[PERIODO Imp.]],CT$9)</f>
        <v>0</v>
      </c>
      <c r="CU840" s="693">
        <f>SUMIFS(Imput[[Importe Neto]:[Importe Neto]],Imput[[C. Imp.]:[C. Imp.]],$D840,Imput[[PERIODO Imp.]:[PERIODO Imp.]],CU$9)</f>
        <v>0</v>
      </c>
      <c r="CV840" s="693">
        <f>SUMIFS(Imput[[Importe Neto]:[Importe Neto]],Imput[[C. Imp.]:[C. Imp.]],$D840,Imput[[PERIODO Imp.]:[PERIODO Imp.]],CV$9)</f>
        <v>0</v>
      </c>
      <c r="CW840" s="693">
        <f>SUMIFS(Imput[[Importe Neto]:[Importe Neto]],Imput[[C. Imp.]:[C. Imp.]],$D840,Imput[[PERIODO Imp.]:[PERIODO Imp.]],CW$9)</f>
        <v>0</v>
      </c>
      <c r="CX840" s="693">
        <f>SUMIFS(Imput[[Importe Neto]:[Importe Neto]],Imput[[C. Imp.]:[C. Imp.]],$D840,Imput[[PERIODO Imp.]:[PERIODO Imp.]],CX$9)</f>
        <v>0</v>
      </c>
      <c r="CY840" s="693">
        <f>SUMIFS(Imput[[Importe Neto]:[Importe Neto]],Imput[[C. Imp.]:[C. Imp.]],$D840,Imput[[PERIODO Imp.]:[PERIODO Imp.]],CY$9)</f>
        <v>0</v>
      </c>
      <c r="CZ840" s="693">
        <f>SUMIFS(Imput[[Importe Neto]:[Importe Neto]],Imput[[C. Imp.]:[C. Imp.]],$D840,Imput[[PERIODO Imp.]:[PERIODO Imp.]],CZ$9)</f>
        <v>0</v>
      </c>
      <c r="DA840" s="693">
        <f>SUMIFS(Imput[[Importe Neto]:[Importe Neto]],Imput[[C. Imp.]:[C. Imp.]],$D840,Imput[[PERIODO Imp.]:[PERIODO Imp.]],DA$9)</f>
        <v>0</v>
      </c>
      <c r="DB840" s="693">
        <f>SUMIFS(Imput[[Importe Neto]:[Importe Neto]],Imput[[C. Imp.]:[C. Imp.]],$D840,Imput[[PERIODO Imp.]:[PERIODO Imp.]],DB$9)</f>
        <v>0</v>
      </c>
      <c r="DC840" s="693">
        <f>SUMIFS(Imput[[Importe Neto]:[Importe Neto]],Imput[[C. Imp.]:[C. Imp.]],$D840,Imput[[PERIODO Imp.]:[PERIODO Imp.]],DC$9)</f>
        <v>0</v>
      </c>
      <c r="DD840" s="693">
        <f>SUMIFS(Imput[[Importe Neto]:[Importe Neto]],Imput[[C. Imp.]:[C. Imp.]],$D840,Imput[[PERIODO Imp.]:[PERIODO Imp.]],DD$9)</f>
        <v>0</v>
      </c>
      <c r="DE840" s="693">
        <f>SUMIFS(Imput[[Importe Neto]:[Importe Neto]],Imput[[C. Imp.]:[C. Imp.]],$D840,Imput[[PERIODO Imp.]:[PERIODO Imp.]],DE$9)</f>
        <v>0</v>
      </c>
      <c r="DF840" s="693">
        <f>SUMIFS(Imput[[Importe Neto]:[Importe Neto]],Imput[[C. Imp.]:[C. Imp.]],$D840,Imput[[PERIODO Imp.]:[PERIODO Imp.]],DF$9)</f>
        <v>0</v>
      </c>
      <c r="DG840" s="693">
        <f>SUMIFS(Imput[[Importe Neto]:[Importe Neto]],Imput[[C. Imp.]:[C. Imp.]],$D840,Imput[[PERIODO Imp.]:[PERIODO Imp.]],DG$9)</f>
        <v>0</v>
      </c>
      <c r="DH840" s="694">
        <f>SUMIFS(Imput[[Importe Neto]:[Importe Neto]],Imput[[C. Imp.]:[C. Imp.]],$D840,Imput[[PERIODO Imp.]:[PERIODO Imp.]],DH$9)</f>
        <v>0</v>
      </c>
    </row>
    <row r="841" spans="1:112" s="649" customFormat="1" outlineLevel="1" x14ac:dyDescent="0.3">
      <c r="A841" s="652" t="str">
        <f t="shared" si="290"/>
        <v>Imprimir</v>
      </c>
      <c r="B841" s="652"/>
      <c r="C841" s="685"/>
      <c r="D841" s="686" t="s">
        <v>2817</v>
      </c>
      <c r="E841" s="686" t="s">
        <v>497</v>
      </c>
      <c r="F841" s="720"/>
      <c r="G841" s="688">
        <v>9.8333333333333339</v>
      </c>
      <c r="H841" s="531">
        <f>Producción!G78*12</f>
        <v>36</v>
      </c>
      <c r="I841" s="851">
        <f t="shared" si="291"/>
        <v>1</v>
      </c>
      <c r="J841" s="850">
        <f t="shared" si="292"/>
        <v>354</v>
      </c>
      <c r="K841" s="667"/>
      <c r="L841" s="858">
        <v>0.3</v>
      </c>
      <c r="M841" s="859"/>
      <c r="N841" s="859"/>
      <c r="O841" s="859"/>
      <c r="P841" s="859">
        <v>0.3</v>
      </c>
      <c r="Q841" s="859"/>
      <c r="R841" s="859"/>
      <c r="S841" s="859"/>
      <c r="T841" s="859"/>
      <c r="U841" s="859"/>
      <c r="V841" s="859"/>
      <c r="W841" s="859">
        <v>0.3</v>
      </c>
      <c r="X841" s="859"/>
      <c r="Y841" s="859"/>
      <c r="Z841" s="860"/>
      <c r="AA841" s="860"/>
      <c r="AB841" s="860"/>
      <c r="AC841" s="860"/>
      <c r="AD841" s="860"/>
      <c r="AE841" s="860">
        <v>0.1</v>
      </c>
      <c r="AF841" s="860"/>
      <c r="AG841" s="860"/>
      <c r="AH841" s="860"/>
      <c r="AI841" s="860"/>
      <c r="AJ841" s="860"/>
      <c r="AK841" s="860"/>
      <c r="AL841" s="860"/>
      <c r="AM841" s="860"/>
      <c r="AN841" s="860"/>
      <c r="AO841" s="860"/>
      <c r="AP841" s="860"/>
      <c r="AQ841" s="860"/>
      <c r="AR841" s="860"/>
      <c r="AS841" s="860"/>
      <c r="AT841" s="860"/>
      <c r="AU841" s="860"/>
      <c r="AV841" s="860"/>
      <c r="AW841" s="860"/>
      <c r="AX841" s="860"/>
      <c r="AY841" s="860"/>
      <c r="AZ841" s="860"/>
      <c r="BA841" s="860"/>
      <c r="BB841" s="860"/>
      <c r="BC841" s="860"/>
      <c r="BD841" s="860"/>
      <c r="BE841" s="860"/>
      <c r="BF841" s="860"/>
      <c r="BG841" s="860"/>
      <c r="BH841" s="668"/>
      <c r="BI841" s="667"/>
      <c r="BJ841" s="690">
        <f t="shared" si="293"/>
        <v>0</v>
      </c>
      <c r="BK841" s="691">
        <f t="shared" si="294"/>
        <v>0</v>
      </c>
      <c r="BL841" s="654"/>
      <c r="BM841" s="692">
        <f>SUMIFS(Imput[[Importe Neto]:[Importe Neto]],Imput[[C. Imp.]:[C. Imp.]],$D841,Imput[[PERIODO Imp.]:[PERIODO Imp.]],BM$9)</f>
        <v>0</v>
      </c>
      <c r="BN841" s="693">
        <f>SUMIFS(Imput[[Importe Neto]:[Importe Neto]],Imput[[C. Imp.]:[C. Imp.]],$D841,Imput[[PERIODO Imp.]:[PERIODO Imp.]],BN$9)</f>
        <v>0</v>
      </c>
      <c r="BO841" s="693">
        <f>SUMIFS(Imput[[Importe Neto]:[Importe Neto]],Imput[[C. Imp.]:[C. Imp.]],$D841,Imput[[PERIODO Imp.]:[PERIODO Imp.]],BO$9)</f>
        <v>0</v>
      </c>
      <c r="BP841" s="693">
        <f>SUMIFS(Imput[[Importe Neto]:[Importe Neto]],Imput[[C. Imp.]:[C. Imp.]],$D841,Imput[[PERIODO Imp.]:[PERIODO Imp.]],BP$9)</f>
        <v>0</v>
      </c>
      <c r="BQ841" s="693">
        <f>SUMIFS(Imput[[Importe Neto]:[Importe Neto]],Imput[[C. Imp.]:[C. Imp.]],$D841,Imput[[PERIODO Imp.]:[PERIODO Imp.]],BQ$9)</f>
        <v>0</v>
      </c>
      <c r="BR841" s="693">
        <f>SUMIFS(Imput[[Importe Neto]:[Importe Neto]],Imput[[C. Imp.]:[C. Imp.]],$D841,Imput[[PERIODO Imp.]:[PERIODO Imp.]],BR$9)</f>
        <v>0</v>
      </c>
      <c r="BS841" s="693">
        <f>SUMIFS(Imput[[Importe Neto]:[Importe Neto]],Imput[[C. Imp.]:[C. Imp.]],$D841,Imput[[PERIODO Imp.]:[PERIODO Imp.]],BS$9)</f>
        <v>0</v>
      </c>
      <c r="BT841" s="693">
        <f>SUMIFS(Imput[[Importe Neto]:[Importe Neto]],Imput[[C. Imp.]:[C. Imp.]],$D841,Imput[[PERIODO Imp.]:[PERIODO Imp.]],BT$9)</f>
        <v>0</v>
      </c>
      <c r="BU841" s="693">
        <f>SUMIFS(Imput[[Importe Neto]:[Importe Neto]],Imput[[C. Imp.]:[C. Imp.]],$D841,Imput[[PERIODO Imp.]:[PERIODO Imp.]],BU$9)</f>
        <v>0</v>
      </c>
      <c r="BV841" s="693">
        <f>SUMIFS(Imput[[Importe Neto]:[Importe Neto]],Imput[[C. Imp.]:[C. Imp.]],$D841,Imput[[PERIODO Imp.]:[PERIODO Imp.]],BV$9)</f>
        <v>0</v>
      </c>
      <c r="BW841" s="693">
        <f>SUMIFS(Imput[[Importe Neto]:[Importe Neto]],Imput[[C. Imp.]:[C. Imp.]],$D841,Imput[[PERIODO Imp.]:[PERIODO Imp.]],BW$9)</f>
        <v>0</v>
      </c>
      <c r="BX841" s="693">
        <f>SUMIFS(Imput[[Importe Neto]:[Importe Neto]],Imput[[C. Imp.]:[C. Imp.]],$D841,Imput[[PERIODO Imp.]:[PERIODO Imp.]],BX$9)</f>
        <v>0</v>
      </c>
      <c r="BY841" s="693">
        <f>SUMIFS(Imput[[Importe Neto]:[Importe Neto]],Imput[[C. Imp.]:[C. Imp.]],$D841,Imput[[PERIODO Imp.]:[PERIODO Imp.]],BY$9)</f>
        <v>0</v>
      </c>
      <c r="BZ841" s="693">
        <f>SUMIFS(Imput[[Importe Neto]:[Importe Neto]],Imput[[C. Imp.]:[C. Imp.]],$D841,Imput[[PERIODO Imp.]:[PERIODO Imp.]],BZ$9)</f>
        <v>0</v>
      </c>
      <c r="CA841" s="693">
        <f>SUMIFS(Imput[[Importe Neto]:[Importe Neto]],Imput[[C. Imp.]:[C. Imp.]],$D841,Imput[[PERIODO Imp.]:[PERIODO Imp.]],CA$9)</f>
        <v>0</v>
      </c>
      <c r="CB841" s="693">
        <f>SUMIFS(Imput[[Importe Neto]:[Importe Neto]],Imput[[C. Imp.]:[C. Imp.]],$D841,Imput[[PERIODO Imp.]:[PERIODO Imp.]],CB$9)</f>
        <v>0</v>
      </c>
      <c r="CC841" s="693">
        <f>SUMIFS(Imput[[Importe Neto]:[Importe Neto]],Imput[[C. Imp.]:[C. Imp.]],$D841,Imput[[PERIODO Imp.]:[PERIODO Imp.]],CC$9)</f>
        <v>0</v>
      </c>
      <c r="CD841" s="693">
        <f>SUMIFS(Imput[[Importe Neto]:[Importe Neto]],Imput[[C. Imp.]:[C. Imp.]],$D841,Imput[[PERIODO Imp.]:[PERIODO Imp.]],CD$9)</f>
        <v>0</v>
      </c>
      <c r="CE841" s="693">
        <f>SUMIFS(Imput[[Importe Neto]:[Importe Neto]],Imput[[C. Imp.]:[C. Imp.]],$D841,Imput[[PERIODO Imp.]:[PERIODO Imp.]],CE$9)</f>
        <v>0</v>
      </c>
      <c r="CF841" s="693">
        <f>SUMIFS(Imput[[Importe Neto]:[Importe Neto]],Imput[[C. Imp.]:[C. Imp.]],$D841,Imput[[PERIODO Imp.]:[PERIODO Imp.]],CF$9)</f>
        <v>0</v>
      </c>
      <c r="CG841" s="693">
        <f>SUMIFS(Imput[[Importe Neto]:[Importe Neto]],Imput[[C. Imp.]:[C. Imp.]],$D841,Imput[[PERIODO Imp.]:[PERIODO Imp.]],CG$9)</f>
        <v>0</v>
      </c>
      <c r="CH841" s="693">
        <f>SUMIFS(Imput[[Importe Neto]:[Importe Neto]],Imput[[C. Imp.]:[C. Imp.]],$D841,Imput[[PERIODO Imp.]:[PERIODO Imp.]],CH$9)</f>
        <v>0</v>
      </c>
      <c r="CI841" s="693">
        <f>SUMIFS(Imput[[Importe Neto]:[Importe Neto]],Imput[[C. Imp.]:[C. Imp.]],$D841,Imput[[PERIODO Imp.]:[PERIODO Imp.]],CI$9)</f>
        <v>0</v>
      </c>
      <c r="CJ841" s="693">
        <f>SUMIFS(Imput[[Importe Neto]:[Importe Neto]],Imput[[C. Imp.]:[C. Imp.]],$D841,Imput[[PERIODO Imp.]:[PERIODO Imp.]],CJ$9)</f>
        <v>0</v>
      </c>
      <c r="CK841" s="693">
        <f>SUMIFS(Imput[[Importe Neto]:[Importe Neto]],Imput[[C. Imp.]:[C. Imp.]],$D841,Imput[[PERIODO Imp.]:[PERIODO Imp.]],CK$9)</f>
        <v>0</v>
      </c>
      <c r="CL841" s="693">
        <f>SUMIFS(Imput[[Importe Neto]:[Importe Neto]],Imput[[C. Imp.]:[C. Imp.]],$D841,Imput[[PERIODO Imp.]:[PERIODO Imp.]],CL$9)</f>
        <v>0</v>
      </c>
      <c r="CM841" s="693">
        <f>SUMIFS(Imput[[Importe Neto]:[Importe Neto]],Imput[[C. Imp.]:[C. Imp.]],$D841,Imput[[PERIODO Imp.]:[PERIODO Imp.]],CM$9)</f>
        <v>0</v>
      </c>
      <c r="CN841" s="693">
        <f>SUMIFS(Imput[[Importe Neto]:[Importe Neto]],Imput[[C. Imp.]:[C. Imp.]],$D841,Imput[[PERIODO Imp.]:[PERIODO Imp.]],CN$9)</f>
        <v>0</v>
      </c>
      <c r="CO841" s="693">
        <f>SUMIFS(Imput[[Importe Neto]:[Importe Neto]],Imput[[C. Imp.]:[C. Imp.]],$D841,Imput[[PERIODO Imp.]:[PERIODO Imp.]],CO$9)</f>
        <v>0</v>
      </c>
      <c r="CP841" s="693">
        <f>SUMIFS(Imput[[Importe Neto]:[Importe Neto]],Imput[[C. Imp.]:[C. Imp.]],$D841,Imput[[PERIODO Imp.]:[PERIODO Imp.]],CP$9)</f>
        <v>0</v>
      </c>
      <c r="CQ841" s="693">
        <f>SUMIFS(Imput[[Importe Neto]:[Importe Neto]],Imput[[C. Imp.]:[C. Imp.]],$D841,Imput[[PERIODO Imp.]:[PERIODO Imp.]],CQ$9)</f>
        <v>0</v>
      </c>
      <c r="CR841" s="693">
        <f>SUMIFS(Imput[[Importe Neto]:[Importe Neto]],Imput[[C. Imp.]:[C. Imp.]],$D841,Imput[[PERIODO Imp.]:[PERIODO Imp.]],CR$9)</f>
        <v>0</v>
      </c>
      <c r="CS841" s="693">
        <f>SUMIFS(Imput[[Importe Neto]:[Importe Neto]],Imput[[C. Imp.]:[C. Imp.]],$D841,Imput[[PERIODO Imp.]:[PERIODO Imp.]],CS$9)</f>
        <v>0</v>
      </c>
      <c r="CT841" s="693">
        <f>SUMIFS(Imput[[Importe Neto]:[Importe Neto]],Imput[[C. Imp.]:[C. Imp.]],$D841,Imput[[PERIODO Imp.]:[PERIODO Imp.]],CT$9)</f>
        <v>0</v>
      </c>
      <c r="CU841" s="693">
        <f>SUMIFS(Imput[[Importe Neto]:[Importe Neto]],Imput[[C. Imp.]:[C. Imp.]],$D841,Imput[[PERIODO Imp.]:[PERIODO Imp.]],CU$9)</f>
        <v>0</v>
      </c>
      <c r="CV841" s="693">
        <f>SUMIFS(Imput[[Importe Neto]:[Importe Neto]],Imput[[C. Imp.]:[C. Imp.]],$D841,Imput[[PERIODO Imp.]:[PERIODO Imp.]],CV$9)</f>
        <v>0</v>
      </c>
      <c r="CW841" s="693">
        <f>SUMIFS(Imput[[Importe Neto]:[Importe Neto]],Imput[[C. Imp.]:[C. Imp.]],$D841,Imput[[PERIODO Imp.]:[PERIODO Imp.]],CW$9)</f>
        <v>0</v>
      </c>
      <c r="CX841" s="693">
        <f>SUMIFS(Imput[[Importe Neto]:[Importe Neto]],Imput[[C. Imp.]:[C. Imp.]],$D841,Imput[[PERIODO Imp.]:[PERIODO Imp.]],CX$9)</f>
        <v>0</v>
      </c>
      <c r="CY841" s="693">
        <f>SUMIFS(Imput[[Importe Neto]:[Importe Neto]],Imput[[C. Imp.]:[C. Imp.]],$D841,Imput[[PERIODO Imp.]:[PERIODO Imp.]],CY$9)</f>
        <v>0</v>
      </c>
      <c r="CZ841" s="693">
        <f>SUMIFS(Imput[[Importe Neto]:[Importe Neto]],Imput[[C. Imp.]:[C. Imp.]],$D841,Imput[[PERIODO Imp.]:[PERIODO Imp.]],CZ$9)</f>
        <v>0</v>
      </c>
      <c r="DA841" s="693">
        <f>SUMIFS(Imput[[Importe Neto]:[Importe Neto]],Imput[[C. Imp.]:[C. Imp.]],$D841,Imput[[PERIODO Imp.]:[PERIODO Imp.]],DA$9)</f>
        <v>0</v>
      </c>
      <c r="DB841" s="693">
        <f>SUMIFS(Imput[[Importe Neto]:[Importe Neto]],Imput[[C. Imp.]:[C. Imp.]],$D841,Imput[[PERIODO Imp.]:[PERIODO Imp.]],DB$9)</f>
        <v>0</v>
      </c>
      <c r="DC841" s="693">
        <f>SUMIFS(Imput[[Importe Neto]:[Importe Neto]],Imput[[C. Imp.]:[C. Imp.]],$D841,Imput[[PERIODO Imp.]:[PERIODO Imp.]],DC$9)</f>
        <v>0</v>
      </c>
      <c r="DD841" s="693">
        <f>SUMIFS(Imput[[Importe Neto]:[Importe Neto]],Imput[[C. Imp.]:[C. Imp.]],$D841,Imput[[PERIODO Imp.]:[PERIODO Imp.]],DD$9)</f>
        <v>0</v>
      </c>
      <c r="DE841" s="693">
        <f>SUMIFS(Imput[[Importe Neto]:[Importe Neto]],Imput[[C. Imp.]:[C. Imp.]],$D841,Imput[[PERIODO Imp.]:[PERIODO Imp.]],DE$9)</f>
        <v>0</v>
      </c>
      <c r="DF841" s="693">
        <f>SUMIFS(Imput[[Importe Neto]:[Importe Neto]],Imput[[C. Imp.]:[C. Imp.]],$D841,Imput[[PERIODO Imp.]:[PERIODO Imp.]],DF$9)</f>
        <v>0</v>
      </c>
      <c r="DG841" s="693">
        <f>SUMIFS(Imput[[Importe Neto]:[Importe Neto]],Imput[[C. Imp.]:[C. Imp.]],$D841,Imput[[PERIODO Imp.]:[PERIODO Imp.]],DG$9)</f>
        <v>0</v>
      </c>
      <c r="DH841" s="694">
        <f>SUMIFS(Imput[[Importe Neto]:[Importe Neto]],Imput[[C. Imp.]:[C. Imp.]],$D841,Imput[[PERIODO Imp.]:[PERIODO Imp.]],DH$9)</f>
        <v>0</v>
      </c>
    </row>
    <row r="842" spans="1:112" s="649" customFormat="1" outlineLevel="1" x14ac:dyDescent="0.3">
      <c r="A842" s="652" t="str">
        <f t="shared" si="290"/>
        <v>Imprimir</v>
      </c>
      <c r="B842" s="652"/>
      <c r="C842" s="685"/>
      <c r="D842" s="686" t="s">
        <v>2818</v>
      </c>
      <c r="E842" s="686" t="s">
        <v>498</v>
      </c>
      <c r="F842" s="720"/>
      <c r="G842" s="688">
        <v>19</v>
      </c>
      <c r="H842" s="531">
        <f>Producción!G78*50</f>
        <v>150</v>
      </c>
      <c r="I842" s="851">
        <f t="shared" si="291"/>
        <v>1</v>
      </c>
      <c r="J842" s="850">
        <f t="shared" si="292"/>
        <v>2850</v>
      </c>
      <c r="K842" s="667"/>
      <c r="L842" s="858">
        <v>0.3</v>
      </c>
      <c r="M842" s="859"/>
      <c r="N842" s="859"/>
      <c r="O842" s="859"/>
      <c r="P842" s="859">
        <v>0.3</v>
      </c>
      <c r="Q842" s="859"/>
      <c r="R842" s="859"/>
      <c r="S842" s="859"/>
      <c r="T842" s="859"/>
      <c r="U842" s="859"/>
      <c r="V842" s="859"/>
      <c r="W842" s="859">
        <v>0.3</v>
      </c>
      <c r="X842" s="859"/>
      <c r="Y842" s="859"/>
      <c r="Z842" s="860"/>
      <c r="AA842" s="860"/>
      <c r="AB842" s="860"/>
      <c r="AC842" s="860"/>
      <c r="AD842" s="860"/>
      <c r="AE842" s="860">
        <v>0.1</v>
      </c>
      <c r="AF842" s="860"/>
      <c r="AG842" s="860"/>
      <c r="AH842" s="860"/>
      <c r="AI842" s="860"/>
      <c r="AJ842" s="860"/>
      <c r="AK842" s="860"/>
      <c r="AL842" s="860"/>
      <c r="AM842" s="860"/>
      <c r="AN842" s="860"/>
      <c r="AO842" s="860"/>
      <c r="AP842" s="860"/>
      <c r="AQ842" s="860"/>
      <c r="AR842" s="860"/>
      <c r="AS842" s="860"/>
      <c r="AT842" s="860"/>
      <c r="AU842" s="860"/>
      <c r="AV842" s="860"/>
      <c r="AW842" s="860"/>
      <c r="AX842" s="860"/>
      <c r="AY842" s="860"/>
      <c r="AZ842" s="860"/>
      <c r="BA842" s="860"/>
      <c r="BB842" s="860"/>
      <c r="BC842" s="860"/>
      <c r="BD842" s="860"/>
      <c r="BE842" s="860"/>
      <c r="BF842" s="860"/>
      <c r="BG842" s="860"/>
      <c r="BH842" s="668"/>
      <c r="BI842" s="667"/>
      <c r="BJ842" s="690">
        <f t="shared" si="293"/>
        <v>0</v>
      </c>
      <c r="BK842" s="691">
        <f t="shared" si="294"/>
        <v>0</v>
      </c>
      <c r="BL842" s="654"/>
      <c r="BM842" s="692">
        <f>SUMIFS(Imput[[Importe Neto]:[Importe Neto]],Imput[[C. Imp.]:[C. Imp.]],$D842,Imput[[PERIODO Imp.]:[PERIODO Imp.]],BM$9)</f>
        <v>0</v>
      </c>
      <c r="BN842" s="693">
        <f>SUMIFS(Imput[[Importe Neto]:[Importe Neto]],Imput[[C. Imp.]:[C. Imp.]],$D842,Imput[[PERIODO Imp.]:[PERIODO Imp.]],BN$9)</f>
        <v>0</v>
      </c>
      <c r="BO842" s="693">
        <f>SUMIFS(Imput[[Importe Neto]:[Importe Neto]],Imput[[C. Imp.]:[C. Imp.]],$D842,Imput[[PERIODO Imp.]:[PERIODO Imp.]],BO$9)</f>
        <v>0</v>
      </c>
      <c r="BP842" s="693">
        <f>SUMIFS(Imput[[Importe Neto]:[Importe Neto]],Imput[[C. Imp.]:[C. Imp.]],$D842,Imput[[PERIODO Imp.]:[PERIODO Imp.]],BP$9)</f>
        <v>0</v>
      </c>
      <c r="BQ842" s="693">
        <f>SUMIFS(Imput[[Importe Neto]:[Importe Neto]],Imput[[C. Imp.]:[C. Imp.]],$D842,Imput[[PERIODO Imp.]:[PERIODO Imp.]],BQ$9)</f>
        <v>0</v>
      </c>
      <c r="BR842" s="693">
        <f>SUMIFS(Imput[[Importe Neto]:[Importe Neto]],Imput[[C. Imp.]:[C. Imp.]],$D842,Imput[[PERIODO Imp.]:[PERIODO Imp.]],BR$9)</f>
        <v>0</v>
      </c>
      <c r="BS842" s="693">
        <f>SUMIFS(Imput[[Importe Neto]:[Importe Neto]],Imput[[C. Imp.]:[C. Imp.]],$D842,Imput[[PERIODO Imp.]:[PERIODO Imp.]],BS$9)</f>
        <v>0</v>
      </c>
      <c r="BT842" s="693">
        <f>SUMIFS(Imput[[Importe Neto]:[Importe Neto]],Imput[[C. Imp.]:[C. Imp.]],$D842,Imput[[PERIODO Imp.]:[PERIODO Imp.]],BT$9)</f>
        <v>0</v>
      </c>
      <c r="BU842" s="693">
        <f>SUMIFS(Imput[[Importe Neto]:[Importe Neto]],Imput[[C. Imp.]:[C. Imp.]],$D842,Imput[[PERIODO Imp.]:[PERIODO Imp.]],BU$9)</f>
        <v>0</v>
      </c>
      <c r="BV842" s="693">
        <f>SUMIFS(Imput[[Importe Neto]:[Importe Neto]],Imput[[C. Imp.]:[C. Imp.]],$D842,Imput[[PERIODO Imp.]:[PERIODO Imp.]],BV$9)</f>
        <v>0</v>
      </c>
      <c r="BW842" s="693">
        <f>SUMIFS(Imput[[Importe Neto]:[Importe Neto]],Imput[[C. Imp.]:[C. Imp.]],$D842,Imput[[PERIODO Imp.]:[PERIODO Imp.]],BW$9)</f>
        <v>0</v>
      </c>
      <c r="BX842" s="693">
        <f>SUMIFS(Imput[[Importe Neto]:[Importe Neto]],Imput[[C. Imp.]:[C. Imp.]],$D842,Imput[[PERIODO Imp.]:[PERIODO Imp.]],BX$9)</f>
        <v>0</v>
      </c>
      <c r="BY842" s="693">
        <f>SUMIFS(Imput[[Importe Neto]:[Importe Neto]],Imput[[C. Imp.]:[C. Imp.]],$D842,Imput[[PERIODO Imp.]:[PERIODO Imp.]],BY$9)</f>
        <v>0</v>
      </c>
      <c r="BZ842" s="693">
        <f>SUMIFS(Imput[[Importe Neto]:[Importe Neto]],Imput[[C. Imp.]:[C. Imp.]],$D842,Imput[[PERIODO Imp.]:[PERIODO Imp.]],BZ$9)</f>
        <v>0</v>
      </c>
      <c r="CA842" s="693">
        <f>SUMIFS(Imput[[Importe Neto]:[Importe Neto]],Imput[[C. Imp.]:[C. Imp.]],$D842,Imput[[PERIODO Imp.]:[PERIODO Imp.]],CA$9)</f>
        <v>0</v>
      </c>
      <c r="CB842" s="693">
        <f>SUMIFS(Imput[[Importe Neto]:[Importe Neto]],Imput[[C. Imp.]:[C. Imp.]],$D842,Imput[[PERIODO Imp.]:[PERIODO Imp.]],CB$9)</f>
        <v>0</v>
      </c>
      <c r="CC842" s="693">
        <f>SUMIFS(Imput[[Importe Neto]:[Importe Neto]],Imput[[C. Imp.]:[C. Imp.]],$D842,Imput[[PERIODO Imp.]:[PERIODO Imp.]],CC$9)</f>
        <v>0</v>
      </c>
      <c r="CD842" s="693">
        <f>SUMIFS(Imput[[Importe Neto]:[Importe Neto]],Imput[[C. Imp.]:[C. Imp.]],$D842,Imput[[PERIODO Imp.]:[PERIODO Imp.]],CD$9)</f>
        <v>0</v>
      </c>
      <c r="CE842" s="693">
        <f>SUMIFS(Imput[[Importe Neto]:[Importe Neto]],Imput[[C. Imp.]:[C. Imp.]],$D842,Imput[[PERIODO Imp.]:[PERIODO Imp.]],CE$9)</f>
        <v>0</v>
      </c>
      <c r="CF842" s="693">
        <f>SUMIFS(Imput[[Importe Neto]:[Importe Neto]],Imput[[C. Imp.]:[C. Imp.]],$D842,Imput[[PERIODO Imp.]:[PERIODO Imp.]],CF$9)</f>
        <v>0</v>
      </c>
      <c r="CG842" s="693">
        <f>SUMIFS(Imput[[Importe Neto]:[Importe Neto]],Imput[[C. Imp.]:[C. Imp.]],$D842,Imput[[PERIODO Imp.]:[PERIODO Imp.]],CG$9)</f>
        <v>0</v>
      </c>
      <c r="CH842" s="693">
        <f>SUMIFS(Imput[[Importe Neto]:[Importe Neto]],Imput[[C. Imp.]:[C. Imp.]],$D842,Imput[[PERIODO Imp.]:[PERIODO Imp.]],CH$9)</f>
        <v>0</v>
      </c>
      <c r="CI842" s="693">
        <f>SUMIFS(Imput[[Importe Neto]:[Importe Neto]],Imput[[C. Imp.]:[C. Imp.]],$D842,Imput[[PERIODO Imp.]:[PERIODO Imp.]],CI$9)</f>
        <v>0</v>
      </c>
      <c r="CJ842" s="693">
        <f>SUMIFS(Imput[[Importe Neto]:[Importe Neto]],Imput[[C. Imp.]:[C. Imp.]],$D842,Imput[[PERIODO Imp.]:[PERIODO Imp.]],CJ$9)</f>
        <v>0</v>
      </c>
      <c r="CK842" s="693">
        <f>SUMIFS(Imput[[Importe Neto]:[Importe Neto]],Imput[[C. Imp.]:[C. Imp.]],$D842,Imput[[PERIODO Imp.]:[PERIODO Imp.]],CK$9)</f>
        <v>0</v>
      </c>
      <c r="CL842" s="693">
        <f>SUMIFS(Imput[[Importe Neto]:[Importe Neto]],Imput[[C. Imp.]:[C. Imp.]],$D842,Imput[[PERIODO Imp.]:[PERIODO Imp.]],CL$9)</f>
        <v>0</v>
      </c>
      <c r="CM842" s="693">
        <f>SUMIFS(Imput[[Importe Neto]:[Importe Neto]],Imput[[C. Imp.]:[C. Imp.]],$D842,Imput[[PERIODO Imp.]:[PERIODO Imp.]],CM$9)</f>
        <v>0</v>
      </c>
      <c r="CN842" s="693">
        <f>SUMIFS(Imput[[Importe Neto]:[Importe Neto]],Imput[[C. Imp.]:[C. Imp.]],$D842,Imput[[PERIODO Imp.]:[PERIODO Imp.]],CN$9)</f>
        <v>0</v>
      </c>
      <c r="CO842" s="693">
        <f>SUMIFS(Imput[[Importe Neto]:[Importe Neto]],Imput[[C. Imp.]:[C. Imp.]],$D842,Imput[[PERIODO Imp.]:[PERIODO Imp.]],CO$9)</f>
        <v>0</v>
      </c>
      <c r="CP842" s="693">
        <f>SUMIFS(Imput[[Importe Neto]:[Importe Neto]],Imput[[C. Imp.]:[C. Imp.]],$D842,Imput[[PERIODO Imp.]:[PERIODO Imp.]],CP$9)</f>
        <v>0</v>
      </c>
      <c r="CQ842" s="693">
        <f>SUMIFS(Imput[[Importe Neto]:[Importe Neto]],Imput[[C. Imp.]:[C. Imp.]],$D842,Imput[[PERIODO Imp.]:[PERIODO Imp.]],CQ$9)</f>
        <v>0</v>
      </c>
      <c r="CR842" s="693">
        <f>SUMIFS(Imput[[Importe Neto]:[Importe Neto]],Imput[[C. Imp.]:[C. Imp.]],$D842,Imput[[PERIODO Imp.]:[PERIODO Imp.]],CR$9)</f>
        <v>0</v>
      </c>
      <c r="CS842" s="693">
        <f>SUMIFS(Imput[[Importe Neto]:[Importe Neto]],Imput[[C. Imp.]:[C. Imp.]],$D842,Imput[[PERIODO Imp.]:[PERIODO Imp.]],CS$9)</f>
        <v>0</v>
      </c>
      <c r="CT842" s="693">
        <f>SUMIFS(Imput[[Importe Neto]:[Importe Neto]],Imput[[C. Imp.]:[C. Imp.]],$D842,Imput[[PERIODO Imp.]:[PERIODO Imp.]],CT$9)</f>
        <v>0</v>
      </c>
      <c r="CU842" s="693">
        <f>SUMIFS(Imput[[Importe Neto]:[Importe Neto]],Imput[[C. Imp.]:[C. Imp.]],$D842,Imput[[PERIODO Imp.]:[PERIODO Imp.]],CU$9)</f>
        <v>0</v>
      </c>
      <c r="CV842" s="693">
        <f>SUMIFS(Imput[[Importe Neto]:[Importe Neto]],Imput[[C. Imp.]:[C. Imp.]],$D842,Imput[[PERIODO Imp.]:[PERIODO Imp.]],CV$9)</f>
        <v>0</v>
      </c>
      <c r="CW842" s="693">
        <f>SUMIFS(Imput[[Importe Neto]:[Importe Neto]],Imput[[C. Imp.]:[C. Imp.]],$D842,Imput[[PERIODO Imp.]:[PERIODO Imp.]],CW$9)</f>
        <v>0</v>
      </c>
      <c r="CX842" s="693">
        <f>SUMIFS(Imput[[Importe Neto]:[Importe Neto]],Imput[[C. Imp.]:[C. Imp.]],$D842,Imput[[PERIODO Imp.]:[PERIODO Imp.]],CX$9)</f>
        <v>0</v>
      </c>
      <c r="CY842" s="693">
        <f>SUMIFS(Imput[[Importe Neto]:[Importe Neto]],Imput[[C. Imp.]:[C. Imp.]],$D842,Imput[[PERIODO Imp.]:[PERIODO Imp.]],CY$9)</f>
        <v>0</v>
      </c>
      <c r="CZ842" s="693">
        <f>SUMIFS(Imput[[Importe Neto]:[Importe Neto]],Imput[[C. Imp.]:[C. Imp.]],$D842,Imput[[PERIODO Imp.]:[PERIODO Imp.]],CZ$9)</f>
        <v>0</v>
      </c>
      <c r="DA842" s="693">
        <f>SUMIFS(Imput[[Importe Neto]:[Importe Neto]],Imput[[C. Imp.]:[C. Imp.]],$D842,Imput[[PERIODO Imp.]:[PERIODO Imp.]],DA$9)</f>
        <v>0</v>
      </c>
      <c r="DB842" s="693">
        <f>SUMIFS(Imput[[Importe Neto]:[Importe Neto]],Imput[[C. Imp.]:[C. Imp.]],$D842,Imput[[PERIODO Imp.]:[PERIODO Imp.]],DB$9)</f>
        <v>0</v>
      </c>
      <c r="DC842" s="693">
        <f>SUMIFS(Imput[[Importe Neto]:[Importe Neto]],Imput[[C. Imp.]:[C. Imp.]],$D842,Imput[[PERIODO Imp.]:[PERIODO Imp.]],DC$9)</f>
        <v>0</v>
      </c>
      <c r="DD842" s="693">
        <f>SUMIFS(Imput[[Importe Neto]:[Importe Neto]],Imput[[C. Imp.]:[C. Imp.]],$D842,Imput[[PERIODO Imp.]:[PERIODO Imp.]],DD$9)</f>
        <v>0</v>
      </c>
      <c r="DE842" s="693">
        <f>SUMIFS(Imput[[Importe Neto]:[Importe Neto]],Imput[[C. Imp.]:[C. Imp.]],$D842,Imput[[PERIODO Imp.]:[PERIODO Imp.]],DE$9)</f>
        <v>0</v>
      </c>
      <c r="DF842" s="693">
        <f>SUMIFS(Imput[[Importe Neto]:[Importe Neto]],Imput[[C. Imp.]:[C. Imp.]],$D842,Imput[[PERIODO Imp.]:[PERIODO Imp.]],DF$9)</f>
        <v>0</v>
      </c>
      <c r="DG842" s="693">
        <f>SUMIFS(Imput[[Importe Neto]:[Importe Neto]],Imput[[C. Imp.]:[C. Imp.]],$D842,Imput[[PERIODO Imp.]:[PERIODO Imp.]],DG$9)</f>
        <v>0</v>
      </c>
      <c r="DH842" s="694">
        <f>SUMIFS(Imput[[Importe Neto]:[Importe Neto]],Imput[[C. Imp.]:[C. Imp.]],$D842,Imput[[PERIODO Imp.]:[PERIODO Imp.]],DH$9)</f>
        <v>0</v>
      </c>
    </row>
    <row r="843" spans="1:112" s="649" customFormat="1" outlineLevel="1" x14ac:dyDescent="0.3">
      <c r="A843" s="652" t="str">
        <f t="shared" si="290"/>
        <v>Imprimir</v>
      </c>
      <c r="B843" s="652"/>
      <c r="C843" s="685"/>
      <c r="D843" s="686" t="s">
        <v>2819</v>
      </c>
      <c r="E843" s="686" t="s">
        <v>499</v>
      </c>
      <c r="F843" s="720"/>
      <c r="G843" s="688">
        <v>735</v>
      </c>
      <c r="H843" s="531">
        <f>Producción!G78*0.24</f>
        <v>0.72</v>
      </c>
      <c r="I843" s="851">
        <f t="shared" si="291"/>
        <v>1</v>
      </c>
      <c r="J843" s="850">
        <f t="shared" si="292"/>
        <v>529.19999999999993</v>
      </c>
      <c r="K843" s="667"/>
      <c r="L843" s="858"/>
      <c r="M843" s="859"/>
      <c r="N843" s="859"/>
      <c r="O843" s="859">
        <v>0.5</v>
      </c>
      <c r="P843" s="859"/>
      <c r="Q843" s="859"/>
      <c r="R843" s="859"/>
      <c r="S843" s="859"/>
      <c r="T843" s="859"/>
      <c r="U843" s="859"/>
      <c r="V843" s="859"/>
      <c r="W843" s="859"/>
      <c r="X843" s="859"/>
      <c r="Y843" s="859"/>
      <c r="Z843" s="860"/>
      <c r="AA843" s="860">
        <v>0.5</v>
      </c>
      <c r="AB843" s="860"/>
      <c r="AC843" s="860"/>
      <c r="AD843" s="860"/>
      <c r="AE843" s="860"/>
      <c r="AF843" s="860"/>
      <c r="AG843" s="860"/>
      <c r="AH843" s="860"/>
      <c r="AI843" s="860"/>
      <c r="AJ843" s="860"/>
      <c r="AK843" s="860"/>
      <c r="AL843" s="860"/>
      <c r="AM843" s="860"/>
      <c r="AN843" s="860"/>
      <c r="AO843" s="860"/>
      <c r="AP843" s="860"/>
      <c r="AQ843" s="860"/>
      <c r="AR843" s="860"/>
      <c r="AS843" s="860"/>
      <c r="AT843" s="860"/>
      <c r="AU843" s="860"/>
      <c r="AV843" s="860"/>
      <c r="AW843" s="860"/>
      <c r="AX843" s="860"/>
      <c r="AY843" s="860"/>
      <c r="AZ843" s="860"/>
      <c r="BA843" s="860"/>
      <c r="BB843" s="860"/>
      <c r="BC843" s="860"/>
      <c r="BD843" s="860"/>
      <c r="BE843" s="860"/>
      <c r="BF843" s="860"/>
      <c r="BG843" s="860"/>
      <c r="BH843" s="668"/>
      <c r="BI843" s="667"/>
      <c r="BJ843" s="690">
        <f t="shared" si="293"/>
        <v>0</v>
      </c>
      <c r="BK843" s="691">
        <f t="shared" si="294"/>
        <v>0</v>
      </c>
      <c r="BL843" s="654"/>
      <c r="BM843" s="692">
        <f>SUMIFS(Imput[[Importe Neto]:[Importe Neto]],Imput[[C. Imp.]:[C. Imp.]],$D843,Imput[[PERIODO Imp.]:[PERIODO Imp.]],BM$9)</f>
        <v>0</v>
      </c>
      <c r="BN843" s="693">
        <f>SUMIFS(Imput[[Importe Neto]:[Importe Neto]],Imput[[C. Imp.]:[C. Imp.]],$D843,Imput[[PERIODO Imp.]:[PERIODO Imp.]],BN$9)</f>
        <v>0</v>
      </c>
      <c r="BO843" s="693">
        <f>SUMIFS(Imput[[Importe Neto]:[Importe Neto]],Imput[[C. Imp.]:[C. Imp.]],$D843,Imput[[PERIODO Imp.]:[PERIODO Imp.]],BO$9)</f>
        <v>0</v>
      </c>
      <c r="BP843" s="693">
        <f>SUMIFS(Imput[[Importe Neto]:[Importe Neto]],Imput[[C. Imp.]:[C. Imp.]],$D843,Imput[[PERIODO Imp.]:[PERIODO Imp.]],BP$9)</f>
        <v>0</v>
      </c>
      <c r="BQ843" s="693">
        <f>SUMIFS(Imput[[Importe Neto]:[Importe Neto]],Imput[[C. Imp.]:[C. Imp.]],$D843,Imput[[PERIODO Imp.]:[PERIODO Imp.]],BQ$9)</f>
        <v>0</v>
      </c>
      <c r="BR843" s="693">
        <f>SUMIFS(Imput[[Importe Neto]:[Importe Neto]],Imput[[C. Imp.]:[C. Imp.]],$D843,Imput[[PERIODO Imp.]:[PERIODO Imp.]],BR$9)</f>
        <v>0</v>
      </c>
      <c r="BS843" s="693">
        <f>SUMIFS(Imput[[Importe Neto]:[Importe Neto]],Imput[[C. Imp.]:[C. Imp.]],$D843,Imput[[PERIODO Imp.]:[PERIODO Imp.]],BS$9)</f>
        <v>0</v>
      </c>
      <c r="BT843" s="693">
        <f>SUMIFS(Imput[[Importe Neto]:[Importe Neto]],Imput[[C. Imp.]:[C. Imp.]],$D843,Imput[[PERIODO Imp.]:[PERIODO Imp.]],BT$9)</f>
        <v>0</v>
      </c>
      <c r="BU843" s="693">
        <f>SUMIFS(Imput[[Importe Neto]:[Importe Neto]],Imput[[C. Imp.]:[C. Imp.]],$D843,Imput[[PERIODO Imp.]:[PERIODO Imp.]],BU$9)</f>
        <v>0</v>
      </c>
      <c r="BV843" s="693">
        <f>SUMIFS(Imput[[Importe Neto]:[Importe Neto]],Imput[[C. Imp.]:[C. Imp.]],$D843,Imput[[PERIODO Imp.]:[PERIODO Imp.]],BV$9)</f>
        <v>0</v>
      </c>
      <c r="BW843" s="693">
        <f>SUMIFS(Imput[[Importe Neto]:[Importe Neto]],Imput[[C. Imp.]:[C. Imp.]],$D843,Imput[[PERIODO Imp.]:[PERIODO Imp.]],BW$9)</f>
        <v>0</v>
      </c>
      <c r="BX843" s="693">
        <f>SUMIFS(Imput[[Importe Neto]:[Importe Neto]],Imput[[C. Imp.]:[C. Imp.]],$D843,Imput[[PERIODO Imp.]:[PERIODO Imp.]],BX$9)</f>
        <v>0</v>
      </c>
      <c r="BY843" s="693">
        <f>SUMIFS(Imput[[Importe Neto]:[Importe Neto]],Imput[[C. Imp.]:[C. Imp.]],$D843,Imput[[PERIODO Imp.]:[PERIODO Imp.]],BY$9)</f>
        <v>0</v>
      </c>
      <c r="BZ843" s="693">
        <f>SUMIFS(Imput[[Importe Neto]:[Importe Neto]],Imput[[C. Imp.]:[C. Imp.]],$D843,Imput[[PERIODO Imp.]:[PERIODO Imp.]],BZ$9)</f>
        <v>0</v>
      </c>
      <c r="CA843" s="693">
        <f>SUMIFS(Imput[[Importe Neto]:[Importe Neto]],Imput[[C. Imp.]:[C. Imp.]],$D843,Imput[[PERIODO Imp.]:[PERIODO Imp.]],CA$9)</f>
        <v>0</v>
      </c>
      <c r="CB843" s="693">
        <f>SUMIFS(Imput[[Importe Neto]:[Importe Neto]],Imput[[C. Imp.]:[C. Imp.]],$D843,Imput[[PERIODO Imp.]:[PERIODO Imp.]],CB$9)</f>
        <v>0</v>
      </c>
      <c r="CC843" s="693">
        <f>SUMIFS(Imput[[Importe Neto]:[Importe Neto]],Imput[[C. Imp.]:[C. Imp.]],$D843,Imput[[PERIODO Imp.]:[PERIODO Imp.]],CC$9)</f>
        <v>0</v>
      </c>
      <c r="CD843" s="693">
        <f>SUMIFS(Imput[[Importe Neto]:[Importe Neto]],Imput[[C. Imp.]:[C. Imp.]],$D843,Imput[[PERIODO Imp.]:[PERIODO Imp.]],CD$9)</f>
        <v>0</v>
      </c>
      <c r="CE843" s="693">
        <f>SUMIFS(Imput[[Importe Neto]:[Importe Neto]],Imput[[C. Imp.]:[C. Imp.]],$D843,Imput[[PERIODO Imp.]:[PERIODO Imp.]],CE$9)</f>
        <v>0</v>
      </c>
      <c r="CF843" s="693">
        <f>SUMIFS(Imput[[Importe Neto]:[Importe Neto]],Imput[[C. Imp.]:[C. Imp.]],$D843,Imput[[PERIODO Imp.]:[PERIODO Imp.]],CF$9)</f>
        <v>0</v>
      </c>
      <c r="CG843" s="693">
        <f>SUMIFS(Imput[[Importe Neto]:[Importe Neto]],Imput[[C. Imp.]:[C. Imp.]],$D843,Imput[[PERIODO Imp.]:[PERIODO Imp.]],CG$9)</f>
        <v>0</v>
      </c>
      <c r="CH843" s="693">
        <f>SUMIFS(Imput[[Importe Neto]:[Importe Neto]],Imput[[C. Imp.]:[C. Imp.]],$D843,Imput[[PERIODO Imp.]:[PERIODO Imp.]],CH$9)</f>
        <v>0</v>
      </c>
      <c r="CI843" s="693">
        <f>SUMIFS(Imput[[Importe Neto]:[Importe Neto]],Imput[[C. Imp.]:[C. Imp.]],$D843,Imput[[PERIODO Imp.]:[PERIODO Imp.]],CI$9)</f>
        <v>0</v>
      </c>
      <c r="CJ843" s="693">
        <f>SUMIFS(Imput[[Importe Neto]:[Importe Neto]],Imput[[C. Imp.]:[C. Imp.]],$D843,Imput[[PERIODO Imp.]:[PERIODO Imp.]],CJ$9)</f>
        <v>0</v>
      </c>
      <c r="CK843" s="693">
        <f>SUMIFS(Imput[[Importe Neto]:[Importe Neto]],Imput[[C. Imp.]:[C. Imp.]],$D843,Imput[[PERIODO Imp.]:[PERIODO Imp.]],CK$9)</f>
        <v>0</v>
      </c>
      <c r="CL843" s="693">
        <f>SUMIFS(Imput[[Importe Neto]:[Importe Neto]],Imput[[C. Imp.]:[C. Imp.]],$D843,Imput[[PERIODO Imp.]:[PERIODO Imp.]],CL$9)</f>
        <v>0</v>
      </c>
      <c r="CM843" s="693">
        <f>SUMIFS(Imput[[Importe Neto]:[Importe Neto]],Imput[[C. Imp.]:[C. Imp.]],$D843,Imput[[PERIODO Imp.]:[PERIODO Imp.]],CM$9)</f>
        <v>0</v>
      </c>
      <c r="CN843" s="693">
        <f>SUMIFS(Imput[[Importe Neto]:[Importe Neto]],Imput[[C. Imp.]:[C. Imp.]],$D843,Imput[[PERIODO Imp.]:[PERIODO Imp.]],CN$9)</f>
        <v>0</v>
      </c>
      <c r="CO843" s="693">
        <f>SUMIFS(Imput[[Importe Neto]:[Importe Neto]],Imput[[C. Imp.]:[C. Imp.]],$D843,Imput[[PERIODO Imp.]:[PERIODO Imp.]],CO$9)</f>
        <v>0</v>
      </c>
      <c r="CP843" s="693">
        <f>SUMIFS(Imput[[Importe Neto]:[Importe Neto]],Imput[[C. Imp.]:[C. Imp.]],$D843,Imput[[PERIODO Imp.]:[PERIODO Imp.]],CP$9)</f>
        <v>0</v>
      </c>
      <c r="CQ843" s="693">
        <f>SUMIFS(Imput[[Importe Neto]:[Importe Neto]],Imput[[C. Imp.]:[C. Imp.]],$D843,Imput[[PERIODO Imp.]:[PERIODO Imp.]],CQ$9)</f>
        <v>0</v>
      </c>
      <c r="CR843" s="693">
        <f>SUMIFS(Imput[[Importe Neto]:[Importe Neto]],Imput[[C. Imp.]:[C. Imp.]],$D843,Imput[[PERIODO Imp.]:[PERIODO Imp.]],CR$9)</f>
        <v>0</v>
      </c>
      <c r="CS843" s="693">
        <f>SUMIFS(Imput[[Importe Neto]:[Importe Neto]],Imput[[C. Imp.]:[C. Imp.]],$D843,Imput[[PERIODO Imp.]:[PERIODO Imp.]],CS$9)</f>
        <v>0</v>
      </c>
      <c r="CT843" s="693">
        <f>SUMIFS(Imput[[Importe Neto]:[Importe Neto]],Imput[[C. Imp.]:[C. Imp.]],$D843,Imput[[PERIODO Imp.]:[PERIODO Imp.]],CT$9)</f>
        <v>0</v>
      </c>
      <c r="CU843" s="693">
        <f>SUMIFS(Imput[[Importe Neto]:[Importe Neto]],Imput[[C. Imp.]:[C. Imp.]],$D843,Imput[[PERIODO Imp.]:[PERIODO Imp.]],CU$9)</f>
        <v>0</v>
      </c>
      <c r="CV843" s="693">
        <f>SUMIFS(Imput[[Importe Neto]:[Importe Neto]],Imput[[C. Imp.]:[C. Imp.]],$D843,Imput[[PERIODO Imp.]:[PERIODO Imp.]],CV$9)</f>
        <v>0</v>
      </c>
      <c r="CW843" s="693">
        <f>SUMIFS(Imput[[Importe Neto]:[Importe Neto]],Imput[[C. Imp.]:[C. Imp.]],$D843,Imput[[PERIODO Imp.]:[PERIODO Imp.]],CW$9)</f>
        <v>0</v>
      </c>
      <c r="CX843" s="693">
        <f>SUMIFS(Imput[[Importe Neto]:[Importe Neto]],Imput[[C. Imp.]:[C. Imp.]],$D843,Imput[[PERIODO Imp.]:[PERIODO Imp.]],CX$9)</f>
        <v>0</v>
      </c>
      <c r="CY843" s="693">
        <f>SUMIFS(Imput[[Importe Neto]:[Importe Neto]],Imput[[C. Imp.]:[C. Imp.]],$D843,Imput[[PERIODO Imp.]:[PERIODO Imp.]],CY$9)</f>
        <v>0</v>
      </c>
      <c r="CZ843" s="693">
        <f>SUMIFS(Imput[[Importe Neto]:[Importe Neto]],Imput[[C. Imp.]:[C. Imp.]],$D843,Imput[[PERIODO Imp.]:[PERIODO Imp.]],CZ$9)</f>
        <v>0</v>
      </c>
      <c r="DA843" s="693">
        <f>SUMIFS(Imput[[Importe Neto]:[Importe Neto]],Imput[[C. Imp.]:[C. Imp.]],$D843,Imput[[PERIODO Imp.]:[PERIODO Imp.]],DA$9)</f>
        <v>0</v>
      </c>
      <c r="DB843" s="693">
        <f>SUMIFS(Imput[[Importe Neto]:[Importe Neto]],Imput[[C. Imp.]:[C. Imp.]],$D843,Imput[[PERIODO Imp.]:[PERIODO Imp.]],DB$9)</f>
        <v>0</v>
      </c>
      <c r="DC843" s="693">
        <f>SUMIFS(Imput[[Importe Neto]:[Importe Neto]],Imput[[C. Imp.]:[C. Imp.]],$D843,Imput[[PERIODO Imp.]:[PERIODO Imp.]],DC$9)</f>
        <v>0</v>
      </c>
      <c r="DD843" s="693">
        <f>SUMIFS(Imput[[Importe Neto]:[Importe Neto]],Imput[[C. Imp.]:[C. Imp.]],$D843,Imput[[PERIODO Imp.]:[PERIODO Imp.]],DD$9)</f>
        <v>0</v>
      </c>
      <c r="DE843" s="693">
        <f>SUMIFS(Imput[[Importe Neto]:[Importe Neto]],Imput[[C. Imp.]:[C. Imp.]],$D843,Imput[[PERIODO Imp.]:[PERIODO Imp.]],DE$9)</f>
        <v>0</v>
      </c>
      <c r="DF843" s="693">
        <f>SUMIFS(Imput[[Importe Neto]:[Importe Neto]],Imput[[C. Imp.]:[C. Imp.]],$D843,Imput[[PERIODO Imp.]:[PERIODO Imp.]],DF$9)</f>
        <v>0</v>
      </c>
      <c r="DG843" s="693">
        <f>SUMIFS(Imput[[Importe Neto]:[Importe Neto]],Imput[[C. Imp.]:[C. Imp.]],$D843,Imput[[PERIODO Imp.]:[PERIODO Imp.]],DG$9)</f>
        <v>0</v>
      </c>
      <c r="DH843" s="694">
        <f>SUMIFS(Imput[[Importe Neto]:[Importe Neto]],Imput[[C. Imp.]:[C. Imp.]],$D843,Imput[[PERIODO Imp.]:[PERIODO Imp.]],DH$9)</f>
        <v>0</v>
      </c>
    </row>
    <row r="844" spans="1:112" s="649" customFormat="1" outlineLevel="1" x14ac:dyDescent="0.3">
      <c r="A844" s="652" t="str">
        <f t="shared" si="290"/>
        <v>Imprimir</v>
      </c>
      <c r="B844" s="652"/>
      <c r="C844" s="685"/>
      <c r="D844" s="686" t="s">
        <v>2820</v>
      </c>
      <c r="E844" s="686" t="s">
        <v>500</v>
      </c>
      <c r="F844" s="720"/>
      <c r="G844" s="688">
        <v>8</v>
      </c>
      <c r="H844" s="531">
        <f>Producción!G78*4</f>
        <v>12</v>
      </c>
      <c r="I844" s="851">
        <f t="shared" si="291"/>
        <v>1</v>
      </c>
      <c r="J844" s="850">
        <f t="shared" si="292"/>
        <v>96</v>
      </c>
      <c r="K844" s="678"/>
      <c r="L844" s="858">
        <v>0.3</v>
      </c>
      <c r="M844" s="859"/>
      <c r="N844" s="859"/>
      <c r="O844" s="859"/>
      <c r="P844" s="859">
        <v>0.3</v>
      </c>
      <c r="Q844" s="859"/>
      <c r="R844" s="859"/>
      <c r="S844" s="859"/>
      <c r="T844" s="859"/>
      <c r="U844" s="859"/>
      <c r="V844" s="859"/>
      <c r="W844" s="859">
        <v>0.3</v>
      </c>
      <c r="X844" s="859"/>
      <c r="Y844" s="859"/>
      <c r="Z844" s="860"/>
      <c r="AA844" s="860"/>
      <c r="AB844" s="860"/>
      <c r="AC844" s="860"/>
      <c r="AD844" s="860"/>
      <c r="AE844" s="860">
        <v>0.1</v>
      </c>
      <c r="AF844" s="860"/>
      <c r="AG844" s="860"/>
      <c r="AH844" s="860"/>
      <c r="AI844" s="860"/>
      <c r="AJ844" s="860"/>
      <c r="AK844" s="860"/>
      <c r="AL844" s="860"/>
      <c r="AM844" s="860"/>
      <c r="AN844" s="860"/>
      <c r="AO844" s="860"/>
      <c r="AP844" s="860"/>
      <c r="AQ844" s="860"/>
      <c r="AR844" s="860"/>
      <c r="AS844" s="860"/>
      <c r="AT844" s="860"/>
      <c r="AU844" s="860"/>
      <c r="AV844" s="860"/>
      <c r="AW844" s="860"/>
      <c r="AX844" s="860"/>
      <c r="AY844" s="860"/>
      <c r="AZ844" s="860"/>
      <c r="BA844" s="860"/>
      <c r="BB844" s="860"/>
      <c r="BC844" s="860"/>
      <c r="BD844" s="860"/>
      <c r="BE844" s="860"/>
      <c r="BF844" s="860"/>
      <c r="BG844" s="860"/>
      <c r="BH844" s="668"/>
      <c r="BI844" s="654"/>
      <c r="BJ844" s="690">
        <f t="shared" si="293"/>
        <v>0</v>
      </c>
      <c r="BK844" s="691">
        <f t="shared" si="294"/>
        <v>0</v>
      </c>
      <c r="BL844" s="654"/>
      <c r="BM844" s="692">
        <f>SUMIFS(Imput[[Importe Neto]:[Importe Neto]],Imput[[C. Imp.]:[C. Imp.]],$D844,Imput[[PERIODO Imp.]:[PERIODO Imp.]],BM$9)</f>
        <v>0</v>
      </c>
      <c r="BN844" s="693">
        <f>SUMIFS(Imput[[Importe Neto]:[Importe Neto]],Imput[[C. Imp.]:[C. Imp.]],$D844,Imput[[PERIODO Imp.]:[PERIODO Imp.]],BN$9)</f>
        <v>0</v>
      </c>
      <c r="BO844" s="693">
        <f>SUMIFS(Imput[[Importe Neto]:[Importe Neto]],Imput[[C. Imp.]:[C. Imp.]],$D844,Imput[[PERIODO Imp.]:[PERIODO Imp.]],BO$9)</f>
        <v>0</v>
      </c>
      <c r="BP844" s="693">
        <f>SUMIFS(Imput[[Importe Neto]:[Importe Neto]],Imput[[C. Imp.]:[C. Imp.]],$D844,Imput[[PERIODO Imp.]:[PERIODO Imp.]],BP$9)</f>
        <v>0</v>
      </c>
      <c r="BQ844" s="693">
        <f>SUMIFS(Imput[[Importe Neto]:[Importe Neto]],Imput[[C. Imp.]:[C. Imp.]],$D844,Imput[[PERIODO Imp.]:[PERIODO Imp.]],BQ$9)</f>
        <v>0</v>
      </c>
      <c r="BR844" s="693">
        <f>SUMIFS(Imput[[Importe Neto]:[Importe Neto]],Imput[[C. Imp.]:[C. Imp.]],$D844,Imput[[PERIODO Imp.]:[PERIODO Imp.]],BR$9)</f>
        <v>0</v>
      </c>
      <c r="BS844" s="693">
        <f>SUMIFS(Imput[[Importe Neto]:[Importe Neto]],Imput[[C. Imp.]:[C. Imp.]],$D844,Imput[[PERIODO Imp.]:[PERIODO Imp.]],BS$9)</f>
        <v>0</v>
      </c>
      <c r="BT844" s="693">
        <f>SUMIFS(Imput[[Importe Neto]:[Importe Neto]],Imput[[C. Imp.]:[C. Imp.]],$D844,Imput[[PERIODO Imp.]:[PERIODO Imp.]],BT$9)</f>
        <v>0</v>
      </c>
      <c r="BU844" s="693">
        <f>SUMIFS(Imput[[Importe Neto]:[Importe Neto]],Imput[[C. Imp.]:[C. Imp.]],$D844,Imput[[PERIODO Imp.]:[PERIODO Imp.]],BU$9)</f>
        <v>0</v>
      </c>
      <c r="BV844" s="693">
        <f>SUMIFS(Imput[[Importe Neto]:[Importe Neto]],Imput[[C. Imp.]:[C. Imp.]],$D844,Imput[[PERIODO Imp.]:[PERIODO Imp.]],BV$9)</f>
        <v>0</v>
      </c>
      <c r="BW844" s="693">
        <f>SUMIFS(Imput[[Importe Neto]:[Importe Neto]],Imput[[C. Imp.]:[C. Imp.]],$D844,Imput[[PERIODO Imp.]:[PERIODO Imp.]],BW$9)</f>
        <v>0</v>
      </c>
      <c r="BX844" s="693">
        <f>SUMIFS(Imput[[Importe Neto]:[Importe Neto]],Imput[[C. Imp.]:[C. Imp.]],$D844,Imput[[PERIODO Imp.]:[PERIODO Imp.]],BX$9)</f>
        <v>0</v>
      </c>
      <c r="BY844" s="693">
        <f>SUMIFS(Imput[[Importe Neto]:[Importe Neto]],Imput[[C. Imp.]:[C. Imp.]],$D844,Imput[[PERIODO Imp.]:[PERIODO Imp.]],BY$9)</f>
        <v>0</v>
      </c>
      <c r="BZ844" s="693">
        <f>SUMIFS(Imput[[Importe Neto]:[Importe Neto]],Imput[[C. Imp.]:[C. Imp.]],$D844,Imput[[PERIODO Imp.]:[PERIODO Imp.]],BZ$9)</f>
        <v>0</v>
      </c>
      <c r="CA844" s="693">
        <f>SUMIFS(Imput[[Importe Neto]:[Importe Neto]],Imput[[C. Imp.]:[C. Imp.]],$D844,Imput[[PERIODO Imp.]:[PERIODO Imp.]],CA$9)</f>
        <v>0</v>
      </c>
      <c r="CB844" s="693">
        <f>SUMIFS(Imput[[Importe Neto]:[Importe Neto]],Imput[[C. Imp.]:[C. Imp.]],$D844,Imput[[PERIODO Imp.]:[PERIODO Imp.]],CB$9)</f>
        <v>0</v>
      </c>
      <c r="CC844" s="693">
        <f>SUMIFS(Imput[[Importe Neto]:[Importe Neto]],Imput[[C. Imp.]:[C. Imp.]],$D844,Imput[[PERIODO Imp.]:[PERIODO Imp.]],CC$9)</f>
        <v>0</v>
      </c>
      <c r="CD844" s="693">
        <f>SUMIFS(Imput[[Importe Neto]:[Importe Neto]],Imput[[C. Imp.]:[C. Imp.]],$D844,Imput[[PERIODO Imp.]:[PERIODO Imp.]],CD$9)</f>
        <v>0</v>
      </c>
      <c r="CE844" s="693">
        <f>SUMIFS(Imput[[Importe Neto]:[Importe Neto]],Imput[[C. Imp.]:[C. Imp.]],$D844,Imput[[PERIODO Imp.]:[PERIODO Imp.]],CE$9)</f>
        <v>0</v>
      </c>
      <c r="CF844" s="693">
        <f>SUMIFS(Imput[[Importe Neto]:[Importe Neto]],Imput[[C. Imp.]:[C. Imp.]],$D844,Imput[[PERIODO Imp.]:[PERIODO Imp.]],CF$9)</f>
        <v>0</v>
      </c>
      <c r="CG844" s="693">
        <f>SUMIFS(Imput[[Importe Neto]:[Importe Neto]],Imput[[C. Imp.]:[C. Imp.]],$D844,Imput[[PERIODO Imp.]:[PERIODO Imp.]],CG$9)</f>
        <v>0</v>
      </c>
      <c r="CH844" s="693">
        <f>SUMIFS(Imput[[Importe Neto]:[Importe Neto]],Imput[[C. Imp.]:[C. Imp.]],$D844,Imput[[PERIODO Imp.]:[PERIODO Imp.]],CH$9)</f>
        <v>0</v>
      </c>
      <c r="CI844" s="693">
        <f>SUMIFS(Imput[[Importe Neto]:[Importe Neto]],Imput[[C. Imp.]:[C. Imp.]],$D844,Imput[[PERIODO Imp.]:[PERIODO Imp.]],CI$9)</f>
        <v>0</v>
      </c>
      <c r="CJ844" s="693">
        <f>SUMIFS(Imput[[Importe Neto]:[Importe Neto]],Imput[[C. Imp.]:[C. Imp.]],$D844,Imput[[PERIODO Imp.]:[PERIODO Imp.]],CJ$9)</f>
        <v>0</v>
      </c>
      <c r="CK844" s="693">
        <f>SUMIFS(Imput[[Importe Neto]:[Importe Neto]],Imput[[C. Imp.]:[C. Imp.]],$D844,Imput[[PERIODO Imp.]:[PERIODO Imp.]],CK$9)</f>
        <v>0</v>
      </c>
      <c r="CL844" s="693">
        <f>SUMIFS(Imput[[Importe Neto]:[Importe Neto]],Imput[[C. Imp.]:[C. Imp.]],$D844,Imput[[PERIODO Imp.]:[PERIODO Imp.]],CL$9)</f>
        <v>0</v>
      </c>
      <c r="CM844" s="693">
        <f>SUMIFS(Imput[[Importe Neto]:[Importe Neto]],Imput[[C. Imp.]:[C. Imp.]],$D844,Imput[[PERIODO Imp.]:[PERIODO Imp.]],CM$9)</f>
        <v>0</v>
      </c>
      <c r="CN844" s="693">
        <f>SUMIFS(Imput[[Importe Neto]:[Importe Neto]],Imput[[C. Imp.]:[C. Imp.]],$D844,Imput[[PERIODO Imp.]:[PERIODO Imp.]],CN$9)</f>
        <v>0</v>
      </c>
      <c r="CO844" s="693">
        <f>SUMIFS(Imput[[Importe Neto]:[Importe Neto]],Imput[[C. Imp.]:[C. Imp.]],$D844,Imput[[PERIODO Imp.]:[PERIODO Imp.]],CO$9)</f>
        <v>0</v>
      </c>
      <c r="CP844" s="693">
        <f>SUMIFS(Imput[[Importe Neto]:[Importe Neto]],Imput[[C. Imp.]:[C. Imp.]],$D844,Imput[[PERIODO Imp.]:[PERIODO Imp.]],CP$9)</f>
        <v>0</v>
      </c>
      <c r="CQ844" s="693">
        <f>SUMIFS(Imput[[Importe Neto]:[Importe Neto]],Imput[[C. Imp.]:[C. Imp.]],$D844,Imput[[PERIODO Imp.]:[PERIODO Imp.]],CQ$9)</f>
        <v>0</v>
      </c>
      <c r="CR844" s="693">
        <f>SUMIFS(Imput[[Importe Neto]:[Importe Neto]],Imput[[C. Imp.]:[C. Imp.]],$D844,Imput[[PERIODO Imp.]:[PERIODO Imp.]],CR$9)</f>
        <v>0</v>
      </c>
      <c r="CS844" s="693">
        <f>SUMIFS(Imput[[Importe Neto]:[Importe Neto]],Imput[[C. Imp.]:[C. Imp.]],$D844,Imput[[PERIODO Imp.]:[PERIODO Imp.]],CS$9)</f>
        <v>0</v>
      </c>
      <c r="CT844" s="693">
        <f>SUMIFS(Imput[[Importe Neto]:[Importe Neto]],Imput[[C. Imp.]:[C. Imp.]],$D844,Imput[[PERIODO Imp.]:[PERIODO Imp.]],CT$9)</f>
        <v>0</v>
      </c>
      <c r="CU844" s="693">
        <f>SUMIFS(Imput[[Importe Neto]:[Importe Neto]],Imput[[C. Imp.]:[C. Imp.]],$D844,Imput[[PERIODO Imp.]:[PERIODO Imp.]],CU$9)</f>
        <v>0</v>
      </c>
      <c r="CV844" s="693">
        <f>SUMIFS(Imput[[Importe Neto]:[Importe Neto]],Imput[[C. Imp.]:[C. Imp.]],$D844,Imput[[PERIODO Imp.]:[PERIODO Imp.]],CV$9)</f>
        <v>0</v>
      </c>
      <c r="CW844" s="693">
        <f>SUMIFS(Imput[[Importe Neto]:[Importe Neto]],Imput[[C. Imp.]:[C. Imp.]],$D844,Imput[[PERIODO Imp.]:[PERIODO Imp.]],CW$9)</f>
        <v>0</v>
      </c>
      <c r="CX844" s="693">
        <f>SUMIFS(Imput[[Importe Neto]:[Importe Neto]],Imput[[C. Imp.]:[C. Imp.]],$D844,Imput[[PERIODO Imp.]:[PERIODO Imp.]],CX$9)</f>
        <v>0</v>
      </c>
      <c r="CY844" s="693">
        <f>SUMIFS(Imput[[Importe Neto]:[Importe Neto]],Imput[[C. Imp.]:[C. Imp.]],$D844,Imput[[PERIODO Imp.]:[PERIODO Imp.]],CY$9)</f>
        <v>0</v>
      </c>
      <c r="CZ844" s="693">
        <f>SUMIFS(Imput[[Importe Neto]:[Importe Neto]],Imput[[C. Imp.]:[C. Imp.]],$D844,Imput[[PERIODO Imp.]:[PERIODO Imp.]],CZ$9)</f>
        <v>0</v>
      </c>
      <c r="DA844" s="693">
        <f>SUMIFS(Imput[[Importe Neto]:[Importe Neto]],Imput[[C. Imp.]:[C. Imp.]],$D844,Imput[[PERIODO Imp.]:[PERIODO Imp.]],DA$9)</f>
        <v>0</v>
      </c>
      <c r="DB844" s="693">
        <f>SUMIFS(Imput[[Importe Neto]:[Importe Neto]],Imput[[C. Imp.]:[C. Imp.]],$D844,Imput[[PERIODO Imp.]:[PERIODO Imp.]],DB$9)</f>
        <v>0</v>
      </c>
      <c r="DC844" s="693">
        <f>SUMIFS(Imput[[Importe Neto]:[Importe Neto]],Imput[[C. Imp.]:[C. Imp.]],$D844,Imput[[PERIODO Imp.]:[PERIODO Imp.]],DC$9)</f>
        <v>0</v>
      </c>
      <c r="DD844" s="693">
        <f>SUMIFS(Imput[[Importe Neto]:[Importe Neto]],Imput[[C. Imp.]:[C. Imp.]],$D844,Imput[[PERIODO Imp.]:[PERIODO Imp.]],DD$9)</f>
        <v>0</v>
      </c>
      <c r="DE844" s="693">
        <f>SUMIFS(Imput[[Importe Neto]:[Importe Neto]],Imput[[C. Imp.]:[C. Imp.]],$D844,Imput[[PERIODO Imp.]:[PERIODO Imp.]],DE$9)</f>
        <v>0</v>
      </c>
      <c r="DF844" s="693">
        <f>SUMIFS(Imput[[Importe Neto]:[Importe Neto]],Imput[[C. Imp.]:[C. Imp.]],$D844,Imput[[PERIODO Imp.]:[PERIODO Imp.]],DF$9)</f>
        <v>0</v>
      </c>
      <c r="DG844" s="693">
        <f>SUMIFS(Imput[[Importe Neto]:[Importe Neto]],Imput[[C. Imp.]:[C. Imp.]],$D844,Imput[[PERIODO Imp.]:[PERIODO Imp.]],DG$9)</f>
        <v>0</v>
      </c>
      <c r="DH844" s="694">
        <f>SUMIFS(Imput[[Importe Neto]:[Importe Neto]],Imput[[C. Imp.]:[C. Imp.]],$D844,Imput[[PERIODO Imp.]:[PERIODO Imp.]],DH$9)</f>
        <v>0</v>
      </c>
    </row>
    <row r="845" spans="1:112" s="649" customFormat="1" outlineLevel="1" x14ac:dyDescent="0.3">
      <c r="A845" s="652" t="str">
        <f t="shared" si="290"/>
        <v>Imprimir</v>
      </c>
      <c r="B845" s="652"/>
      <c r="C845" s="685"/>
      <c r="D845" s="686" t="s">
        <v>2821</v>
      </c>
      <c r="E845" s="686" t="s">
        <v>501</v>
      </c>
      <c r="F845" s="720"/>
      <c r="G845" s="688">
        <v>6</v>
      </c>
      <c r="H845" s="531">
        <f>Producción!G78*12</f>
        <v>36</v>
      </c>
      <c r="I845" s="851">
        <f t="shared" si="291"/>
        <v>1</v>
      </c>
      <c r="J845" s="850">
        <f t="shared" si="292"/>
        <v>216</v>
      </c>
      <c r="K845" s="667"/>
      <c r="L845" s="858">
        <v>1</v>
      </c>
      <c r="M845" s="859"/>
      <c r="N845" s="859"/>
      <c r="O845" s="859"/>
      <c r="P845" s="859"/>
      <c r="Q845" s="859"/>
      <c r="R845" s="859"/>
      <c r="S845" s="859"/>
      <c r="T845" s="859"/>
      <c r="U845" s="859"/>
      <c r="V845" s="859"/>
      <c r="W845" s="859"/>
      <c r="X845" s="859"/>
      <c r="Y845" s="859"/>
      <c r="Z845" s="860"/>
      <c r="AA845" s="860"/>
      <c r="AB845" s="860"/>
      <c r="AC845" s="860"/>
      <c r="AD845" s="860"/>
      <c r="AE845" s="860"/>
      <c r="AF845" s="860"/>
      <c r="AG845" s="860"/>
      <c r="AH845" s="860"/>
      <c r="AI845" s="860"/>
      <c r="AJ845" s="860"/>
      <c r="AK845" s="860"/>
      <c r="AL845" s="860"/>
      <c r="AM845" s="860"/>
      <c r="AN845" s="860"/>
      <c r="AO845" s="860"/>
      <c r="AP845" s="860"/>
      <c r="AQ845" s="860"/>
      <c r="AR845" s="860"/>
      <c r="AS845" s="860"/>
      <c r="AT845" s="860"/>
      <c r="AU845" s="860"/>
      <c r="AV845" s="860"/>
      <c r="AW845" s="860"/>
      <c r="AX845" s="860"/>
      <c r="AY845" s="860"/>
      <c r="AZ845" s="860"/>
      <c r="BA845" s="860"/>
      <c r="BB845" s="860"/>
      <c r="BC845" s="860"/>
      <c r="BD845" s="860"/>
      <c r="BE845" s="860"/>
      <c r="BF845" s="860"/>
      <c r="BG845" s="860"/>
      <c r="BH845" s="668"/>
      <c r="BI845" s="667"/>
      <c r="BJ845" s="690">
        <f t="shared" si="293"/>
        <v>0</v>
      </c>
      <c r="BK845" s="691">
        <f t="shared" si="294"/>
        <v>0</v>
      </c>
      <c r="BL845" s="654"/>
      <c r="BM845" s="692">
        <f>SUMIFS(Imput[[Importe Neto]:[Importe Neto]],Imput[[C. Imp.]:[C. Imp.]],$D845,Imput[[PERIODO Imp.]:[PERIODO Imp.]],BM$9)</f>
        <v>0</v>
      </c>
      <c r="BN845" s="693">
        <f>SUMIFS(Imput[[Importe Neto]:[Importe Neto]],Imput[[C. Imp.]:[C. Imp.]],$D845,Imput[[PERIODO Imp.]:[PERIODO Imp.]],BN$9)</f>
        <v>0</v>
      </c>
      <c r="BO845" s="693">
        <f>SUMIFS(Imput[[Importe Neto]:[Importe Neto]],Imput[[C. Imp.]:[C. Imp.]],$D845,Imput[[PERIODO Imp.]:[PERIODO Imp.]],BO$9)</f>
        <v>0</v>
      </c>
      <c r="BP845" s="693">
        <f>SUMIFS(Imput[[Importe Neto]:[Importe Neto]],Imput[[C. Imp.]:[C. Imp.]],$D845,Imput[[PERIODO Imp.]:[PERIODO Imp.]],BP$9)</f>
        <v>0</v>
      </c>
      <c r="BQ845" s="693">
        <f>SUMIFS(Imput[[Importe Neto]:[Importe Neto]],Imput[[C. Imp.]:[C. Imp.]],$D845,Imput[[PERIODO Imp.]:[PERIODO Imp.]],BQ$9)</f>
        <v>0</v>
      </c>
      <c r="BR845" s="693">
        <f>SUMIFS(Imput[[Importe Neto]:[Importe Neto]],Imput[[C. Imp.]:[C. Imp.]],$D845,Imput[[PERIODO Imp.]:[PERIODO Imp.]],BR$9)</f>
        <v>0</v>
      </c>
      <c r="BS845" s="693">
        <f>SUMIFS(Imput[[Importe Neto]:[Importe Neto]],Imput[[C. Imp.]:[C. Imp.]],$D845,Imput[[PERIODO Imp.]:[PERIODO Imp.]],BS$9)</f>
        <v>0</v>
      </c>
      <c r="BT845" s="693">
        <f>SUMIFS(Imput[[Importe Neto]:[Importe Neto]],Imput[[C. Imp.]:[C. Imp.]],$D845,Imput[[PERIODO Imp.]:[PERIODO Imp.]],BT$9)</f>
        <v>0</v>
      </c>
      <c r="BU845" s="693">
        <f>SUMIFS(Imput[[Importe Neto]:[Importe Neto]],Imput[[C. Imp.]:[C. Imp.]],$D845,Imput[[PERIODO Imp.]:[PERIODO Imp.]],BU$9)</f>
        <v>0</v>
      </c>
      <c r="BV845" s="693">
        <f>SUMIFS(Imput[[Importe Neto]:[Importe Neto]],Imput[[C. Imp.]:[C. Imp.]],$D845,Imput[[PERIODO Imp.]:[PERIODO Imp.]],BV$9)</f>
        <v>0</v>
      </c>
      <c r="BW845" s="693">
        <f>SUMIFS(Imput[[Importe Neto]:[Importe Neto]],Imput[[C. Imp.]:[C. Imp.]],$D845,Imput[[PERIODO Imp.]:[PERIODO Imp.]],BW$9)</f>
        <v>0</v>
      </c>
      <c r="BX845" s="693">
        <f>SUMIFS(Imput[[Importe Neto]:[Importe Neto]],Imput[[C. Imp.]:[C. Imp.]],$D845,Imput[[PERIODO Imp.]:[PERIODO Imp.]],BX$9)</f>
        <v>0</v>
      </c>
      <c r="BY845" s="693">
        <f>SUMIFS(Imput[[Importe Neto]:[Importe Neto]],Imput[[C. Imp.]:[C. Imp.]],$D845,Imput[[PERIODO Imp.]:[PERIODO Imp.]],BY$9)</f>
        <v>0</v>
      </c>
      <c r="BZ845" s="693">
        <f>SUMIFS(Imput[[Importe Neto]:[Importe Neto]],Imput[[C. Imp.]:[C. Imp.]],$D845,Imput[[PERIODO Imp.]:[PERIODO Imp.]],BZ$9)</f>
        <v>0</v>
      </c>
      <c r="CA845" s="693">
        <f>SUMIFS(Imput[[Importe Neto]:[Importe Neto]],Imput[[C. Imp.]:[C. Imp.]],$D845,Imput[[PERIODO Imp.]:[PERIODO Imp.]],CA$9)</f>
        <v>0</v>
      </c>
      <c r="CB845" s="693">
        <f>SUMIFS(Imput[[Importe Neto]:[Importe Neto]],Imput[[C. Imp.]:[C. Imp.]],$D845,Imput[[PERIODO Imp.]:[PERIODO Imp.]],CB$9)</f>
        <v>0</v>
      </c>
      <c r="CC845" s="693">
        <f>SUMIFS(Imput[[Importe Neto]:[Importe Neto]],Imput[[C. Imp.]:[C. Imp.]],$D845,Imput[[PERIODO Imp.]:[PERIODO Imp.]],CC$9)</f>
        <v>0</v>
      </c>
      <c r="CD845" s="693">
        <f>SUMIFS(Imput[[Importe Neto]:[Importe Neto]],Imput[[C. Imp.]:[C. Imp.]],$D845,Imput[[PERIODO Imp.]:[PERIODO Imp.]],CD$9)</f>
        <v>0</v>
      </c>
      <c r="CE845" s="693">
        <f>SUMIFS(Imput[[Importe Neto]:[Importe Neto]],Imput[[C. Imp.]:[C. Imp.]],$D845,Imput[[PERIODO Imp.]:[PERIODO Imp.]],CE$9)</f>
        <v>0</v>
      </c>
      <c r="CF845" s="693">
        <f>SUMIFS(Imput[[Importe Neto]:[Importe Neto]],Imput[[C. Imp.]:[C. Imp.]],$D845,Imput[[PERIODO Imp.]:[PERIODO Imp.]],CF$9)</f>
        <v>0</v>
      </c>
      <c r="CG845" s="693">
        <f>SUMIFS(Imput[[Importe Neto]:[Importe Neto]],Imput[[C. Imp.]:[C. Imp.]],$D845,Imput[[PERIODO Imp.]:[PERIODO Imp.]],CG$9)</f>
        <v>0</v>
      </c>
      <c r="CH845" s="693">
        <f>SUMIFS(Imput[[Importe Neto]:[Importe Neto]],Imput[[C. Imp.]:[C. Imp.]],$D845,Imput[[PERIODO Imp.]:[PERIODO Imp.]],CH$9)</f>
        <v>0</v>
      </c>
      <c r="CI845" s="693">
        <f>SUMIFS(Imput[[Importe Neto]:[Importe Neto]],Imput[[C. Imp.]:[C. Imp.]],$D845,Imput[[PERIODO Imp.]:[PERIODO Imp.]],CI$9)</f>
        <v>0</v>
      </c>
      <c r="CJ845" s="693">
        <f>SUMIFS(Imput[[Importe Neto]:[Importe Neto]],Imput[[C. Imp.]:[C. Imp.]],$D845,Imput[[PERIODO Imp.]:[PERIODO Imp.]],CJ$9)</f>
        <v>0</v>
      </c>
      <c r="CK845" s="693">
        <f>SUMIFS(Imput[[Importe Neto]:[Importe Neto]],Imput[[C. Imp.]:[C. Imp.]],$D845,Imput[[PERIODO Imp.]:[PERIODO Imp.]],CK$9)</f>
        <v>0</v>
      </c>
      <c r="CL845" s="693">
        <f>SUMIFS(Imput[[Importe Neto]:[Importe Neto]],Imput[[C. Imp.]:[C. Imp.]],$D845,Imput[[PERIODO Imp.]:[PERIODO Imp.]],CL$9)</f>
        <v>0</v>
      </c>
      <c r="CM845" s="693">
        <f>SUMIFS(Imput[[Importe Neto]:[Importe Neto]],Imput[[C. Imp.]:[C. Imp.]],$D845,Imput[[PERIODO Imp.]:[PERIODO Imp.]],CM$9)</f>
        <v>0</v>
      </c>
      <c r="CN845" s="693">
        <f>SUMIFS(Imput[[Importe Neto]:[Importe Neto]],Imput[[C. Imp.]:[C. Imp.]],$D845,Imput[[PERIODO Imp.]:[PERIODO Imp.]],CN$9)</f>
        <v>0</v>
      </c>
      <c r="CO845" s="693">
        <f>SUMIFS(Imput[[Importe Neto]:[Importe Neto]],Imput[[C. Imp.]:[C. Imp.]],$D845,Imput[[PERIODO Imp.]:[PERIODO Imp.]],CO$9)</f>
        <v>0</v>
      </c>
      <c r="CP845" s="693">
        <f>SUMIFS(Imput[[Importe Neto]:[Importe Neto]],Imput[[C. Imp.]:[C. Imp.]],$D845,Imput[[PERIODO Imp.]:[PERIODO Imp.]],CP$9)</f>
        <v>0</v>
      </c>
      <c r="CQ845" s="693">
        <f>SUMIFS(Imput[[Importe Neto]:[Importe Neto]],Imput[[C. Imp.]:[C. Imp.]],$D845,Imput[[PERIODO Imp.]:[PERIODO Imp.]],CQ$9)</f>
        <v>0</v>
      </c>
      <c r="CR845" s="693">
        <f>SUMIFS(Imput[[Importe Neto]:[Importe Neto]],Imput[[C. Imp.]:[C. Imp.]],$D845,Imput[[PERIODO Imp.]:[PERIODO Imp.]],CR$9)</f>
        <v>0</v>
      </c>
      <c r="CS845" s="693">
        <f>SUMIFS(Imput[[Importe Neto]:[Importe Neto]],Imput[[C. Imp.]:[C. Imp.]],$D845,Imput[[PERIODO Imp.]:[PERIODO Imp.]],CS$9)</f>
        <v>0</v>
      </c>
      <c r="CT845" s="693">
        <f>SUMIFS(Imput[[Importe Neto]:[Importe Neto]],Imput[[C. Imp.]:[C. Imp.]],$D845,Imput[[PERIODO Imp.]:[PERIODO Imp.]],CT$9)</f>
        <v>0</v>
      </c>
      <c r="CU845" s="693">
        <f>SUMIFS(Imput[[Importe Neto]:[Importe Neto]],Imput[[C. Imp.]:[C. Imp.]],$D845,Imput[[PERIODO Imp.]:[PERIODO Imp.]],CU$9)</f>
        <v>0</v>
      </c>
      <c r="CV845" s="693">
        <f>SUMIFS(Imput[[Importe Neto]:[Importe Neto]],Imput[[C. Imp.]:[C. Imp.]],$D845,Imput[[PERIODO Imp.]:[PERIODO Imp.]],CV$9)</f>
        <v>0</v>
      </c>
      <c r="CW845" s="693">
        <f>SUMIFS(Imput[[Importe Neto]:[Importe Neto]],Imput[[C. Imp.]:[C. Imp.]],$D845,Imput[[PERIODO Imp.]:[PERIODO Imp.]],CW$9)</f>
        <v>0</v>
      </c>
      <c r="CX845" s="693">
        <f>SUMIFS(Imput[[Importe Neto]:[Importe Neto]],Imput[[C. Imp.]:[C. Imp.]],$D845,Imput[[PERIODO Imp.]:[PERIODO Imp.]],CX$9)</f>
        <v>0</v>
      </c>
      <c r="CY845" s="693">
        <f>SUMIFS(Imput[[Importe Neto]:[Importe Neto]],Imput[[C. Imp.]:[C. Imp.]],$D845,Imput[[PERIODO Imp.]:[PERIODO Imp.]],CY$9)</f>
        <v>0</v>
      </c>
      <c r="CZ845" s="693">
        <f>SUMIFS(Imput[[Importe Neto]:[Importe Neto]],Imput[[C. Imp.]:[C. Imp.]],$D845,Imput[[PERIODO Imp.]:[PERIODO Imp.]],CZ$9)</f>
        <v>0</v>
      </c>
      <c r="DA845" s="693">
        <f>SUMIFS(Imput[[Importe Neto]:[Importe Neto]],Imput[[C. Imp.]:[C. Imp.]],$D845,Imput[[PERIODO Imp.]:[PERIODO Imp.]],DA$9)</f>
        <v>0</v>
      </c>
      <c r="DB845" s="693">
        <f>SUMIFS(Imput[[Importe Neto]:[Importe Neto]],Imput[[C. Imp.]:[C. Imp.]],$D845,Imput[[PERIODO Imp.]:[PERIODO Imp.]],DB$9)</f>
        <v>0</v>
      </c>
      <c r="DC845" s="693">
        <f>SUMIFS(Imput[[Importe Neto]:[Importe Neto]],Imput[[C. Imp.]:[C. Imp.]],$D845,Imput[[PERIODO Imp.]:[PERIODO Imp.]],DC$9)</f>
        <v>0</v>
      </c>
      <c r="DD845" s="693">
        <f>SUMIFS(Imput[[Importe Neto]:[Importe Neto]],Imput[[C. Imp.]:[C. Imp.]],$D845,Imput[[PERIODO Imp.]:[PERIODO Imp.]],DD$9)</f>
        <v>0</v>
      </c>
      <c r="DE845" s="693">
        <f>SUMIFS(Imput[[Importe Neto]:[Importe Neto]],Imput[[C. Imp.]:[C. Imp.]],$D845,Imput[[PERIODO Imp.]:[PERIODO Imp.]],DE$9)</f>
        <v>0</v>
      </c>
      <c r="DF845" s="693">
        <f>SUMIFS(Imput[[Importe Neto]:[Importe Neto]],Imput[[C. Imp.]:[C. Imp.]],$D845,Imput[[PERIODO Imp.]:[PERIODO Imp.]],DF$9)</f>
        <v>0</v>
      </c>
      <c r="DG845" s="693">
        <f>SUMIFS(Imput[[Importe Neto]:[Importe Neto]],Imput[[C. Imp.]:[C. Imp.]],$D845,Imput[[PERIODO Imp.]:[PERIODO Imp.]],DG$9)</f>
        <v>0</v>
      </c>
      <c r="DH845" s="694">
        <f>SUMIFS(Imput[[Importe Neto]:[Importe Neto]],Imput[[C. Imp.]:[C. Imp.]],$D845,Imput[[PERIODO Imp.]:[PERIODO Imp.]],DH$9)</f>
        <v>0</v>
      </c>
    </row>
    <row r="846" spans="1:112" s="649" customFormat="1" outlineLevel="1" x14ac:dyDescent="0.3">
      <c r="A846" s="652" t="str">
        <f t="shared" si="290"/>
        <v>Imprimir</v>
      </c>
      <c r="B846" s="652"/>
      <c r="C846" s="685"/>
      <c r="D846" s="686" t="s">
        <v>2822</v>
      </c>
      <c r="E846" s="686" t="s">
        <v>502</v>
      </c>
      <c r="F846" s="720"/>
      <c r="G846" s="688">
        <v>30</v>
      </c>
      <c r="H846" s="531">
        <f>Producción!G78*2.9</f>
        <v>8.6999999999999993</v>
      </c>
      <c r="I846" s="851">
        <f t="shared" si="291"/>
        <v>1</v>
      </c>
      <c r="J846" s="850">
        <f t="shared" si="292"/>
        <v>261</v>
      </c>
      <c r="K846" s="667"/>
      <c r="L846" s="858">
        <v>1</v>
      </c>
      <c r="M846" s="859"/>
      <c r="N846" s="859"/>
      <c r="O846" s="859"/>
      <c r="P846" s="859"/>
      <c r="Q846" s="859"/>
      <c r="R846" s="859"/>
      <c r="S846" s="859"/>
      <c r="T846" s="859"/>
      <c r="U846" s="859"/>
      <c r="V846" s="859"/>
      <c r="W846" s="859"/>
      <c r="X846" s="859"/>
      <c r="Y846" s="859"/>
      <c r="Z846" s="860"/>
      <c r="AA846" s="860"/>
      <c r="AB846" s="860"/>
      <c r="AC846" s="860"/>
      <c r="AD846" s="860"/>
      <c r="AE846" s="860"/>
      <c r="AF846" s="860"/>
      <c r="AG846" s="860"/>
      <c r="AH846" s="860"/>
      <c r="AI846" s="860"/>
      <c r="AJ846" s="860"/>
      <c r="AK846" s="860"/>
      <c r="AL846" s="860"/>
      <c r="AM846" s="860"/>
      <c r="AN846" s="860"/>
      <c r="AO846" s="860"/>
      <c r="AP846" s="860"/>
      <c r="AQ846" s="860"/>
      <c r="AR846" s="860"/>
      <c r="AS846" s="860"/>
      <c r="AT846" s="860"/>
      <c r="AU846" s="860"/>
      <c r="AV846" s="860"/>
      <c r="AW846" s="860"/>
      <c r="AX846" s="860"/>
      <c r="AY846" s="860"/>
      <c r="AZ846" s="860"/>
      <c r="BA846" s="860"/>
      <c r="BB846" s="860"/>
      <c r="BC846" s="860"/>
      <c r="BD846" s="860"/>
      <c r="BE846" s="860"/>
      <c r="BF846" s="860"/>
      <c r="BG846" s="860"/>
      <c r="BH846" s="668"/>
      <c r="BI846" s="667"/>
      <c r="BJ846" s="690">
        <f t="shared" si="293"/>
        <v>0</v>
      </c>
      <c r="BK846" s="691">
        <f t="shared" si="294"/>
        <v>0</v>
      </c>
      <c r="BL846" s="654"/>
      <c r="BM846" s="692">
        <f>SUMIFS(Imput[[Importe Neto]:[Importe Neto]],Imput[[C. Imp.]:[C. Imp.]],$D846,Imput[[PERIODO Imp.]:[PERIODO Imp.]],BM$9)</f>
        <v>0</v>
      </c>
      <c r="BN846" s="693">
        <f>SUMIFS(Imput[[Importe Neto]:[Importe Neto]],Imput[[C. Imp.]:[C. Imp.]],$D846,Imput[[PERIODO Imp.]:[PERIODO Imp.]],BN$9)</f>
        <v>0</v>
      </c>
      <c r="BO846" s="693">
        <f>SUMIFS(Imput[[Importe Neto]:[Importe Neto]],Imput[[C. Imp.]:[C. Imp.]],$D846,Imput[[PERIODO Imp.]:[PERIODO Imp.]],BO$9)</f>
        <v>0</v>
      </c>
      <c r="BP846" s="693">
        <f>SUMIFS(Imput[[Importe Neto]:[Importe Neto]],Imput[[C. Imp.]:[C. Imp.]],$D846,Imput[[PERIODO Imp.]:[PERIODO Imp.]],BP$9)</f>
        <v>0</v>
      </c>
      <c r="BQ846" s="693">
        <f>SUMIFS(Imput[[Importe Neto]:[Importe Neto]],Imput[[C. Imp.]:[C. Imp.]],$D846,Imput[[PERIODO Imp.]:[PERIODO Imp.]],BQ$9)</f>
        <v>0</v>
      </c>
      <c r="BR846" s="693">
        <f>SUMIFS(Imput[[Importe Neto]:[Importe Neto]],Imput[[C. Imp.]:[C. Imp.]],$D846,Imput[[PERIODO Imp.]:[PERIODO Imp.]],BR$9)</f>
        <v>0</v>
      </c>
      <c r="BS846" s="693">
        <f>SUMIFS(Imput[[Importe Neto]:[Importe Neto]],Imput[[C. Imp.]:[C. Imp.]],$D846,Imput[[PERIODO Imp.]:[PERIODO Imp.]],BS$9)</f>
        <v>0</v>
      </c>
      <c r="BT846" s="693">
        <f>SUMIFS(Imput[[Importe Neto]:[Importe Neto]],Imput[[C. Imp.]:[C. Imp.]],$D846,Imput[[PERIODO Imp.]:[PERIODO Imp.]],BT$9)</f>
        <v>0</v>
      </c>
      <c r="BU846" s="693">
        <f>SUMIFS(Imput[[Importe Neto]:[Importe Neto]],Imput[[C. Imp.]:[C. Imp.]],$D846,Imput[[PERIODO Imp.]:[PERIODO Imp.]],BU$9)</f>
        <v>0</v>
      </c>
      <c r="BV846" s="693">
        <f>SUMIFS(Imput[[Importe Neto]:[Importe Neto]],Imput[[C. Imp.]:[C. Imp.]],$D846,Imput[[PERIODO Imp.]:[PERIODO Imp.]],BV$9)</f>
        <v>0</v>
      </c>
      <c r="BW846" s="693">
        <f>SUMIFS(Imput[[Importe Neto]:[Importe Neto]],Imput[[C. Imp.]:[C. Imp.]],$D846,Imput[[PERIODO Imp.]:[PERIODO Imp.]],BW$9)</f>
        <v>0</v>
      </c>
      <c r="BX846" s="693">
        <f>SUMIFS(Imput[[Importe Neto]:[Importe Neto]],Imput[[C. Imp.]:[C. Imp.]],$D846,Imput[[PERIODO Imp.]:[PERIODO Imp.]],BX$9)</f>
        <v>0</v>
      </c>
      <c r="BY846" s="693">
        <f>SUMIFS(Imput[[Importe Neto]:[Importe Neto]],Imput[[C. Imp.]:[C. Imp.]],$D846,Imput[[PERIODO Imp.]:[PERIODO Imp.]],BY$9)</f>
        <v>0</v>
      </c>
      <c r="BZ846" s="693">
        <f>SUMIFS(Imput[[Importe Neto]:[Importe Neto]],Imput[[C. Imp.]:[C. Imp.]],$D846,Imput[[PERIODO Imp.]:[PERIODO Imp.]],BZ$9)</f>
        <v>0</v>
      </c>
      <c r="CA846" s="693">
        <f>SUMIFS(Imput[[Importe Neto]:[Importe Neto]],Imput[[C. Imp.]:[C. Imp.]],$D846,Imput[[PERIODO Imp.]:[PERIODO Imp.]],CA$9)</f>
        <v>0</v>
      </c>
      <c r="CB846" s="693">
        <f>SUMIFS(Imput[[Importe Neto]:[Importe Neto]],Imput[[C. Imp.]:[C. Imp.]],$D846,Imput[[PERIODO Imp.]:[PERIODO Imp.]],CB$9)</f>
        <v>0</v>
      </c>
      <c r="CC846" s="693">
        <f>SUMIFS(Imput[[Importe Neto]:[Importe Neto]],Imput[[C. Imp.]:[C. Imp.]],$D846,Imput[[PERIODO Imp.]:[PERIODO Imp.]],CC$9)</f>
        <v>0</v>
      </c>
      <c r="CD846" s="693">
        <f>SUMIFS(Imput[[Importe Neto]:[Importe Neto]],Imput[[C. Imp.]:[C. Imp.]],$D846,Imput[[PERIODO Imp.]:[PERIODO Imp.]],CD$9)</f>
        <v>0</v>
      </c>
      <c r="CE846" s="693">
        <f>SUMIFS(Imput[[Importe Neto]:[Importe Neto]],Imput[[C. Imp.]:[C. Imp.]],$D846,Imput[[PERIODO Imp.]:[PERIODO Imp.]],CE$9)</f>
        <v>0</v>
      </c>
      <c r="CF846" s="693">
        <f>SUMIFS(Imput[[Importe Neto]:[Importe Neto]],Imput[[C. Imp.]:[C. Imp.]],$D846,Imput[[PERIODO Imp.]:[PERIODO Imp.]],CF$9)</f>
        <v>0</v>
      </c>
      <c r="CG846" s="693">
        <f>SUMIFS(Imput[[Importe Neto]:[Importe Neto]],Imput[[C. Imp.]:[C. Imp.]],$D846,Imput[[PERIODO Imp.]:[PERIODO Imp.]],CG$9)</f>
        <v>0</v>
      </c>
      <c r="CH846" s="693">
        <f>SUMIFS(Imput[[Importe Neto]:[Importe Neto]],Imput[[C. Imp.]:[C. Imp.]],$D846,Imput[[PERIODO Imp.]:[PERIODO Imp.]],CH$9)</f>
        <v>0</v>
      </c>
      <c r="CI846" s="693">
        <f>SUMIFS(Imput[[Importe Neto]:[Importe Neto]],Imput[[C. Imp.]:[C. Imp.]],$D846,Imput[[PERIODO Imp.]:[PERIODO Imp.]],CI$9)</f>
        <v>0</v>
      </c>
      <c r="CJ846" s="693">
        <f>SUMIFS(Imput[[Importe Neto]:[Importe Neto]],Imput[[C. Imp.]:[C. Imp.]],$D846,Imput[[PERIODO Imp.]:[PERIODO Imp.]],CJ$9)</f>
        <v>0</v>
      </c>
      <c r="CK846" s="693">
        <f>SUMIFS(Imput[[Importe Neto]:[Importe Neto]],Imput[[C. Imp.]:[C. Imp.]],$D846,Imput[[PERIODO Imp.]:[PERIODO Imp.]],CK$9)</f>
        <v>0</v>
      </c>
      <c r="CL846" s="693">
        <f>SUMIFS(Imput[[Importe Neto]:[Importe Neto]],Imput[[C. Imp.]:[C. Imp.]],$D846,Imput[[PERIODO Imp.]:[PERIODO Imp.]],CL$9)</f>
        <v>0</v>
      </c>
      <c r="CM846" s="693">
        <f>SUMIFS(Imput[[Importe Neto]:[Importe Neto]],Imput[[C. Imp.]:[C. Imp.]],$D846,Imput[[PERIODO Imp.]:[PERIODO Imp.]],CM$9)</f>
        <v>0</v>
      </c>
      <c r="CN846" s="693">
        <f>SUMIFS(Imput[[Importe Neto]:[Importe Neto]],Imput[[C. Imp.]:[C. Imp.]],$D846,Imput[[PERIODO Imp.]:[PERIODO Imp.]],CN$9)</f>
        <v>0</v>
      </c>
      <c r="CO846" s="693">
        <f>SUMIFS(Imput[[Importe Neto]:[Importe Neto]],Imput[[C. Imp.]:[C. Imp.]],$D846,Imput[[PERIODO Imp.]:[PERIODO Imp.]],CO$9)</f>
        <v>0</v>
      </c>
      <c r="CP846" s="693">
        <f>SUMIFS(Imput[[Importe Neto]:[Importe Neto]],Imput[[C. Imp.]:[C. Imp.]],$D846,Imput[[PERIODO Imp.]:[PERIODO Imp.]],CP$9)</f>
        <v>0</v>
      </c>
      <c r="CQ846" s="693">
        <f>SUMIFS(Imput[[Importe Neto]:[Importe Neto]],Imput[[C. Imp.]:[C. Imp.]],$D846,Imput[[PERIODO Imp.]:[PERIODO Imp.]],CQ$9)</f>
        <v>0</v>
      </c>
      <c r="CR846" s="693">
        <f>SUMIFS(Imput[[Importe Neto]:[Importe Neto]],Imput[[C. Imp.]:[C. Imp.]],$D846,Imput[[PERIODO Imp.]:[PERIODO Imp.]],CR$9)</f>
        <v>0</v>
      </c>
      <c r="CS846" s="693">
        <f>SUMIFS(Imput[[Importe Neto]:[Importe Neto]],Imput[[C. Imp.]:[C. Imp.]],$D846,Imput[[PERIODO Imp.]:[PERIODO Imp.]],CS$9)</f>
        <v>0</v>
      </c>
      <c r="CT846" s="693">
        <f>SUMIFS(Imput[[Importe Neto]:[Importe Neto]],Imput[[C. Imp.]:[C. Imp.]],$D846,Imput[[PERIODO Imp.]:[PERIODO Imp.]],CT$9)</f>
        <v>0</v>
      </c>
      <c r="CU846" s="693">
        <f>SUMIFS(Imput[[Importe Neto]:[Importe Neto]],Imput[[C. Imp.]:[C. Imp.]],$D846,Imput[[PERIODO Imp.]:[PERIODO Imp.]],CU$9)</f>
        <v>0</v>
      </c>
      <c r="CV846" s="693">
        <f>SUMIFS(Imput[[Importe Neto]:[Importe Neto]],Imput[[C. Imp.]:[C. Imp.]],$D846,Imput[[PERIODO Imp.]:[PERIODO Imp.]],CV$9)</f>
        <v>0</v>
      </c>
      <c r="CW846" s="693">
        <f>SUMIFS(Imput[[Importe Neto]:[Importe Neto]],Imput[[C. Imp.]:[C. Imp.]],$D846,Imput[[PERIODO Imp.]:[PERIODO Imp.]],CW$9)</f>
        <v>0</v>
      </c>
      <c r="CX846" s="693">
        <f>SUMIFS(Imput[[Importe Neto]:[Importe Neto]],Imput[[C. Imp.]:[C. Imp.]],$D846,Imput[[PERIODO Imp.]:[PERIODO Imp.]],CX$9)</f>
        <v>0</v>
      </c>
      <c r="CY846" s="693">
        <f>SUMIFS(Imput[[Importe Neto]:[Importe Neto]],Imput[[C. Imp.]:[C. Imp.]],$D846,Imput[[PERIODO Imp.]:[PERIODO Imp.]],CY$9)</f>
        <v>0</v>
      </c>
      <c r="CZ846" s="693">
        <f>SUMIFS(Imput[[Importe Neto]:[Importe Neto]],Imput[[C. Imp.]:[C. Imp.]],$D846,Imput[[PERIODO Imp.]:[PERIODO Imp.]],CZ$9)</f>
        <v>0</v>
      </c>
      <c r="DA846" s="693">
        <f>SUMIFS(Imput[[Importe Neto]:[Importe Neto]],Imput[[C. Imp.]:[C. Imp.]],$D846,Imput[[PERIODO Imp.]:[PERIODO Imp.]],DA$9)</f>
        <v>0</v>
      </c>
      <c r="DB846" s="693">
        <f>SUMIFS(Imput[[Importe Neto]:[Importe Neto]],Imput[[C. Imp.]:[C. Imp.]],$D846,Imput[[PERIODO Imp.]:[PERIODO Imp.]],DB$9)</f>
        <v>0</v>
      </c>
      <c r="DC846" s="693">
        <f>SUMIFS(Imput[[Importe Neto]:[Importe Neto]],Imput[[C. Imp.]:[C. Imp.]],$D846,Imput[[PERIODO Imp.]:[PERIODO Imp.]],DC$9)</f>
        <v>0</v>
      </c>
      <c r="DD846" s="693">
        <f>SUMIFS(Imput[[Importe Neto]:[Importe Neto]],Imput[[C. Imp.]:[C. Imp.]],$D846,Imput[[PERIODO Imp.]:[PERIODO Imp.]],DD$9)</f>
        <v>0</v>
      </c>
      <c r="DE846" s="693">
        <f>SUMIFS(Imput[[Importe Neto]:[Importe Neto]],Imput[[C. Imp.]:[C. Imp.]],$D846,Imput[[PERIODO Imp.]:[PERIODO Imp.]],DE$9)</f>
        <v>0</v>
      </c>
      <c r="DF846" s="693">
        <f>SUMIFS(Imput[[Importe Neto]:[Importe Neto]],Imput[[C. Imp.]:[C. Imp.]],$D846,Imput[[PERIODO Imp.]:[PERIODO Imp.]],DF$9)</f>
        <v>0</v>
      </c>
      <c r="DG846" s="693">
        <f>SUMIFS(Imput[[Importe Neto]:[Importe Neto]],Imput[[C. Imp.]:[C. Imp.]],$D846,Imput[[PERIODO Imp.]:[PERIODO Imp.]],DG$9)</f>
        <v>0</v>
      </c>
      <c r="DH846" s="694">
        <f>SUMIFS(Imput[[Importe Neto]:[Importe Neto]],Imput[[C. Imp.]:[C. Imp.]],$D846,Imput[[PERIODO Imp.]:[PERIODO Imp.]],DH$9)</f>
        <v>0</v>
      </c>
    </row>
    <row r="847" spans="1:112" s="649" customFormat="1" outlineLevel="1" x14ac:dyDescent="0.3">
      <c r="A847" s="652" t="str">
        <f t="shared" si="290"/>
        <v>Imprimir</v>
      </c>
      <c r="B847" s="652"/>
      <c r="C847" s="685"/>
      <c r="D847" s="686" t="s">
        <v>2823</v>
      </c>
      <c r="E847" s="686" t="s">
        <v>503</v>
      </c>
      <c r="F847" s="720"/>
      <c r="G847" s="688">
        <v>18</v>
      </c>
      <c r="H847" s="689">
        <f>Producción!G78*21.168</f>
        <v>63.503999999999998</v>
      </c>
      <c r="I847" s="851">
        <f t="shared" si="291"/>
        <v>1</v>
      </c>
      <c r="J847" s="852">
        <f t="shared" si="292"/>
        <v>1143.0719999999999</v>
      </c>
      <c r="K847" s="667"/>
      <c r="L847" s="858">
        <v>1</v>
      </c>
      <c r="M847" s="859"/>
      <c r="N847" s="859"/>
      <c r="O847" s="859"/>
      <c r="P847" s="859"/>
      <c r="Q847" s="859"/>
      <c r="R847" s="859"/>
      <c r="S847" s="859"/>
      <c r="T847" s="859"/>
      <c r="U847" s="859"/>
      <c r="V847" s="859"/>
      <c r="W847" s="859"/>
      <c r="X847" s="859"/>
      <c r="Y847" s="859"/>
      <c r="Z847" s="860"/>
      <c r="AA847" s="860"/>
      <c r="AB847" s="860"/>
      <c r="AC847" s="860"/>
      <c r="AD847" s="860"/>
      <c r="AE847" s="860"/>
      <c r="AF847" s="860"/>
      <c r="AG847" s="860"/>
      <c r="AH847" s="860"/>
      <c r="AI847" s="860"/>
      <c r="AJ847" s="860"/>
      <c r="AK847" s="860"/>
      <c r="AL847" s="860"/>
      <c r="AM847" s="860"/>
      <c r="AN847" s="860"/>
      <c r="AO847" s="860"/>
      <c r="AP847" s="860"/>
      <c r="AQ847" s="860"/>
      <c r="AR847" s="860"/>
      <c r="AS847" s="860"/>
      <c r="AT847" s="860"/>
      <c r="AU847" s="860"/>
      <c r="AV847" s="860"/>
      <c r="AW847" s="860"/>
      <c r="AX847" s="860"/>
      <c r="AY847" s="860"/>
      <c r="AZ847" s="860"/>
      <c r="BA847" s="860"/>
      <c r="BB847" s="860"/>
      <c r="BC847" s="860"/>
      <c r="BD847" s="860"/>
      <c r="BE847" s="860"/>
      <c r="BF847" s="860"/>
      <c r="BG847" s="860"/>
      <c r="BH847" s="668"/>
      <c r="BI847" s="667"/>
      <c r="BJ847" s="690">
        <f t="shared" si="293"/>
        <v>0</v>
      </c>
      <c r="BK847" s="691">
        <f t="shared" si="294"/>
        <v>0</v>
      </c>
      <c r="BL847" s="654"/>
      <c r="BM847" s="692">
        <f>SUMIFS(Imput[[Importe Neto]:[Importe Neto]],Imput[[C. Imp.]:[C. Imp.]],$D847,Imput[[PERIODO Imp.]:[PERIODO Imp.]],BM$9)</f>
        <v>0</v>
      </c>
      <c r="BN847" s="693">
        <f>SUMIFS(Imput[[Importe Neto]:[Importe Neto]],Imput[[C. Imp.]:[C. Imp.]],$D847,Imput[[PERIODO Imp.]:[PERIODO Imp.]],BN$9)</f>
        <v>0</v>
      </c>
      <c r="BO847" s="693">
        <f>SUMIFS(Imput[[Importe Neto]:[Importe Neto]],Imput[[C. Imp.]:[C. Imp.]],$D847,Imput[[PERIODO Imp.]:[PERIODO Imp.]],BO$9)</f>
        <v>0</v>
      </c>
      <c r="BP847" s="693">
        <f>SUMIFS(Imput[[Importe Neto]:[Importe Neto]],Imput[[C. Imp.]:[C. Imp.]],$D847,Imput[[PERIODO Imp.]:[PERIODO Imp.]],BP$9)</f>
        <v>0</v>
      </c>
      <c r="BQ847" s="693">
        <f>SUMIFS(Imput[[Importe Neto]:[Importe Neto]],Imput[[C. Imp.]:[C. Imp.]],$D847,Imput[[PERIODO Imp.]:[PERIODO Imp.]],BQ$9)</f>
        <v>0</v>
      </c>
      <c r="BR847" s="693">
        <f>SUMIFS(Imput[[Importe Neto]:[Importe Neto]],Imput[[C. Imp.]:[C. Imp.]],$D847,Imput[[PERIODO Imp.]:[PERIODO Imp.]],BR$9)</f>
        <v>0</v>
      </c>
      <c r="BS847" s="693">
        <f>SUMIFS(Imput[[Importe Neto]:[Importe Neto]],Imput[[C. Imp.]:[C. Imp.]],$D847,Imput[[PERIODO Imp.]:[PERIODO Imp.]],BS$9)</f>
        <v>0</v>
      </c>
      <c r="BT847" s="693">
        <f>SUMIFS(Imput[[Importe Neto]:[Importe Neto]],Imput[[C. Imp.]:[C. Imp.]],$D847,Imput[[PERIODO Imp.]:[PERIODO Imp.]],BT$9)</f>
        <v>0</v>
      </c>
      <c r="BU847" s="693">
        <f>SUMIFS(Imput[[Importe Neto]:[Importe Neto]],Imput[[C. Imp.]:[C. Imp.]],$D847,Imput[[PERIODO Imp.]:[PERIODO Imp.]],BU$9)</f>
        <v>0</v>
      </c>
      <c r="BV847" s="693">
        <f>SUMIFS(Imput[[Importe Neto]:[Importe Neto]],Imput[[C. Imp.]:[C. Imp.]],$D847,Imput[[PERIODO Imp.]:[PERIODO Imp.]],BV$9)</f>
        <v>0</v>
      </c>
      <c r="BW847" s="693">
        <f>SUMIFS(Imput[[Importe Neto]:[Importe Neto]],Imput[[C. Imp.]:[C. Imp.]],$D847,Imput[[PERIODO Imp.]:[PERIODO Imp.]],BW$9)</f>
        <v>0</v>
      </c>
      <c r="BX847" s="693">
        <f>SUMIFS(Imput[[Importe Neto]:[Importe Neto]],Imput[[C. Imp.]:[C. Imp.]],$D847,Imput[[PERIODO Imp.]:[PERIODO Imp.]],BX$9)</f>
        <v>0</v>
      </c>
      <c r="BY847" s="693">
        <f>SUMIFS(Imput[[Importe Neto]:[Importe Neto]],Imput[[C. Imp.]:[C. Imp.]],$D847,Imput[[PERIODO Imp.]:[PERIODO Imp.]],BY$9)</f>
        <v>0</v>
      </c>
      <c r="BZ847" s="693">
        <f>SUMIFS(Imput[[Importe Neto]:[Importe Neto]],Imput[[C. Imp.]:[C. Imp.]],$D847,Imput[[PERIODO Imp.]:[PERIODO Imp.]],BZ$9)</f>
        <v>0</v>
      </c>
      <c r="CA847" s="693">
        <f>SUMIFS(Imput[[Importe Neto]:[Importe Neto]],Imput[[C. Imp.]:[C. Imp.]],$D847,Imput[[PERIODO Imp.]:[PERIODO Imp.]],CA$9)</f>
        <v>0</v>
      </c>
      <c r="CB847" s="693">
        <f>SUMIFS(Imput[[Importe Neto]:[Importe Neto]],Imput[[C. Imp.]:[C. Imp.]],$D847,Imput[[PERIODO Imp.]:[PERIODO Imp.]],CB$9)</f>
        <v>0</v>
      </c>
      <c r="CC847" s="693">
        <f>SUMIFS(Imput[[Importe Neto]:[Importe Neto]],Imput[[C. Imp.]:[C. Imp.]],$D847,Imput[[PERIODO Imp.]:[PERIODO Imp.]],CC$9)</f>
        <v>0</v>
      </c>
      <c r="CD847" s="693">
        <f>SUMIFS(Imput[[Importe Neto]:[Importe Neto]],Imput[[C. Imp.]:[C. Imp.]],$D847,Imput[[PERIODO Imp.]:[PERIODO Imp.]],CD$9)</f>
        <v>0</v>
      </c>
      <c r="CE847" s="693">
        <f>SUMIFS(Imput[[Importe Neto]:[Importe Neto]],Imput[[C. Imp.]:[C. Imp.]],$D847,Imput[[PERIODO Imp.]:[PERIODO Imp.]],CE$9)</f>
        <v>0</v>
      </c>
      <c r="CF847" s="693">
        <f>SUMIFS(Imput[[Importe Neto]:[Importe Neto]],Imput[[C. Imp.]:[C. Imp.]],$D847,Imput[[PERIODO Imp.]:[PERIODO Imp.]],CF$9)</f>
        <v>0</v>
      </c>
      <c r="CG847" s="693">
        <f>SUMIFS(Imput[[Importe Neto]:[Importe Neto]],Imput[[C. Imp.]:[C. Imp.]],$D847,Imput[[PERIODO Imp.]:[PERIODO Imp.]],CG$9)</f>
        <v>0</v>
      </c>
      <c r="CH847" s="693">
        <f>SUMIFS(Imput[[Importe Neto]:[Importe Neto]],Imput[[C. Imp.]:[C. Imp.]],$D847,Imput[[PERIODO Imp.]:[PERIODO Imp.]],CH$9)</f>
        <v>0</v>
      </c>
      <c r="CI847" s="693">
        <f>SUMIFS(Imput[[Importe Neto]:[Importe Neto]],Imput[[C. Imp.]:[C. Imp.]],$D847,Imput[[PERIODO Imp.]:[PERIODO Imp.]],CI$9)</f>
        <v>0</v>
      </c>
      <c r="CJ847" s="693">
        <f>SUMIFS(Imput[[Importe Neto]:[Importe Neto]],Imput[[C. Imp.]:[C. Imp.]],$D847,Imput[[PERIODO Imp.]:[PERIODO Imp.]],CJ$9)</f>
        <v>0</v>
      </c>
      <c r="CK847" s="693">
        <f>SUMIFS(Imput[[Importe Neto]:[Importe Neto]],Imput[[C. Imp.]:[C. Imp.]],$D847,Imput[[PERIODO Imp.]:[PERIODO Imp.]],CK$9)</f>
        <v>0</v>
      </c>
      <c r="CL847" s="693">
        <f>SUMIFS(Imput[[Importe Neto]:[Importe Neto]],Imput[[C. Imp.]:[C. Imp.]],$D847,Imput[[PERIODO Imp.]:[PERIODO Imp.]],CL$9)</f>
        <v>0</v>
      </c>
      <c r="CM847" s="693">
        <f>SUMIFS(Imput[[Importe Neto]:[Importe Neto]],Imput[[C. Imp.]:[C. Imp.]],$D847,Imput[[PERIODO Imp.]:[PERIODO Imp.]],CM$9)</f>
        <v>0</v>
      </c>
      <c r="CN847" s="693">
        <f>SUMIFS(Imput[[Importe Neto]:[Importe Neto]],Imput[[C. Imp.]:[C. Imp.]],$D847,Imput[[PERIODO Imp.]:[PERIODO Imp.]],CN$9)</f>
        <v>0</v>
      </c>
      <c r="CO847" s="693">
        <f>SUMIFS(Imput[[Importe Neto]:[Importe Neto]],Imput[[C. Imp.]:[C. Imp.]],$D847,Imput[[PERIODO Imp.]:[PERIODO Imp.]],CO$9)</f>
        <v>0</v>
      </c>
      <c r="CP847" s="693">
        <f>SUMIFS(Imput[[Importe Neto]:[Importe Neto]],Imput[[C. Imp.]:[C. Imp.]],$D847,Imput[[PERIODO Imp.]:[PERIODO Imp.]],CP$9)</f>
        <v>0</v>
      </c>
      <c r="CQ847" s="693">
        <f>SUMIFS(Imput[[Importe Neto]:[Importe Neto]],Imput[[C. Imp.]:[C. Imp.]],$D847,Imput[[PERIODO Imp.]:[PERIODO Imp.]],CQ$9)</f>
        <v>0</v>
      </c>
      <c r="CR847" s="693">
        <f>SUMIFS(Imput[[Importe Neto]:[Importe Neto]],Imput[[C. Imp.]:[C. Imp.]],$D847,Imput[[PERIODO Imp.]:[PERIODO Imp.]],CR$9)</f>
        <v>0</v>
      </c>
      <c r="CS847" s="693">
        <f>SUMIFS(Imput[[Importe Neto]:[Importe Neto]],Imput[[C. Imp.]:[C. Imp.]],$D847,Imput[[PERIODO Imp.]:[PERIODO Imp.]],CS$9)</f>
        <v>0</v>
      </c>
      <c r="CT847" s="693">
        <f>SUMIFS(Imput[[Importe Neto]:[Importe Neto]],Imput[[C. Imp.]:[C. Imp.]],$D847,Imput[[PERIODO Imp.]:[PERIODO Imp.]],CT$9)</f>
        <v>0</v>
      </c>
      <c r="CU847" s="693">
        <f>SUMIFS(Imput[[Importe Neto]:[Importe Neto]],Imput[[C. Imp.]:[C. Imp.]],$D847,Imput[[PERIODO Imp.]:[PERIODO Imp.]],CU$9)</f>
        <v>0</v>
      </c>
      <c r="CV847" s="693">
        <f>SUMIFS(Imput[[Importe Neto]:[Importe Neto]],Imput[[C. Imp.]:[C. Imp.]],$D847,Imput[[PERIODO Imp.]:[PERIODO Imp.]],CV$9)</f>
        <v>0</v>
      </c>
      <c r="CW847" s="693">
        <f>SUMIFS(Imput[[Importe Neto]:[Importe Neto]],Imput[[C. Imp.]:[C. Imp.]],$D847,Imput[[PERIODO Imp.]:[PERIODO Imp.]],CW$9)</f>
        <v>0</v>
      </c>
      <c r="CX847" s="693">
        <f>SUMIFS(Imput[[Importe Neto]:[Importe Neto]],Imput[[C. Imp.]:[C. Imp.]],$D847,Imput[[PERIODO Imp.]:[PERIODO Imp.]],CX$9)</f>
        <v>0</v>
      </c>
      <c r="CY847" s="693">
        <f>SUMIFS(Imput[[Importe Neto]:[Importe Neto]],Imput[[C. Imp.]:[C. Imp.]],$D847,Imput[[PERIODO Imp.]:[PERIODO Imp.]],CY$9)</f>
        <v>0</v>
      </c>
      <c r="CZ847" s="693">
        <f>SUMIFS(Imput[[Importe Neto]:[Importe Neto]],Imput[[C. Imp.]:[C. Imp.]],$D847,Imput[[PERIODO Imp.]:[PERIODO Imp.]],CZ$9)</f>
        <v>0</v>
      </c>
      <c r="DA847" s="693">
        <f>SUMIFS(Imput[[Importe Neto]:[Importe Neto]],Imput[[C. Imp.]:[C. Imp.]],$D847,Imput[[PERIODO Imp.]:[PERIODO Imp.]],DA$9)</f>
        <v>0</v>
      </c>
      <c r="DB847" s="693">
        <f>SUMIFS(Imput[[Importe Neto]:[Importe Neto]],Imput[[C. Imp.]:[C. Imp.]],$D847,Imput[[PERIODO Imp.]:[PERIODO Imp.]],DB$9)</f>
        <v>0</v>
      </c>
      <c r="DC847" s="693">
        <f>SUMIFS(Imput[[Importe Neto]:[Importe Neto]],Imput[[C. Imp.]:[C. Imp.]],$D847,Imput[[PERIODO Imp.]:[PERIODO Imp.]],DC$9)</f>
        <v>0</v>
      </c>
      <c r="DD847" s="693">
        <f>SUMIFS(Imput[[Importe Neto]:[Importe Neto]],Imput[[C. Imp.]:[C. Imp.]],$D847,Imput[[PERIODO Imp.]:[PERIODO Imp.]],DD$9)</f>
        <v>0</v>
      </c>
      <c r="DE847" s="693">
        <f>SUMIFS(Imput[[Importe Neto]:[Importe Neto]],Imput[[C. Imp.]:[C. Imp.]],$D847,Imput[[PERIODO Imp.]:[PERIODO Imp.]],DE$9)</f>
        <v>0</v>
      </c>
      <c r="DF847" s="693">
        <f>SUMIFS(Imput[[Importe Neto]:[Importe Neto]],Imput[[C. Imp.]:[C. Imp.]],$D847,Imput[[PERIODO Imp.]:[PERIODO Imp.]],DF$9)</f>
        <v>0</v>
      </c>
      <c r="DG847" s="693">
        <f>SUMIFS(Imput[[Importe Neto]:[Importe Neto]],Imput[[C. Imp.]:[C. Imp.]],$D847,Imput[[PERIODO Imp.]:[PERIODO Imp.]],DG$9)</f>
        <v>0</v>
      </c>
      <c r="DH847" s="694">
        <f>SUMIFS(Imput[[Importe Neto]:[Importe Neto]],Imput[[C. Imp.]:[C. Imp.]],$D847,Imput[[PERIODO Imp.]:[PERIODO Imp.]],DH$9)</f>
        <v>0</v>
      </c>
    </row>
    <row r="848" spans="1:112" s="649" customFormat="1" outlineLevel="1" x14ac:dyDescent="0.3">
      <c r="A848" s="652" t="str">
        <f t="shared" si="290"/>
        <v>Imprimir</v>
      </c>
      <c r="B848" s="652"/>
      <c r="C848" s="685"/>
      <c r="D848" s="686" t="s">
        <v>2824</v>
      </c>
      <c r="E848" s="686" t="s">
        <v>504</v>
      </c>
      <c r="F848" s="720"/>
      <c r="G848" s="688">
        <v>18</v>
      </c>
      <c r="H848" s="689">
        <f>Producción!G78*112.896</f>
        <v>338.68799999999999</v>
      </c>
      <c r="I848" s="851">
        <f t="shared" si="291"/>
        <v>1</v>
      </c>
      <c r="J848" s="852">
        <f t="shared" si="292"/>
        <v>6096.384</v>
      </c>
      <c r="K848" s="667"/>
      <c r="L848" s="858">
        <v>1</v>
      </c>
      <c r="M848" s="859"/>
      <c r="N848" s="859"/>
      <c r="O848" s="859"/>
      <c r="P848" s="859"/>
      <c r="Q848" s="859"/>
      <c r="R848" s="859"/>
      <c r="S848" s="859"/>
      <c r="T848" s="859"/>
      <c r="U848" s="859"/>
      <c r="V848" s="859"/>
      <c r="W848" s="859"/>
      <c r="X848" s="859"/>
      <c r="Y848" s="859"/>
      <c r="Z848" s="860"/>
      <c r="AA848" s="860"/>
      <c r="AB848" s="860"/>
      <c r="AC848" s="860"/>
      <c r="AD848" s="860"/>
      <c r="AE848" s="860"/>
      <c r="AF848" s="860"/>
      <c r="AG848" s="860"/>
      <c r="AH848" s="860"/>
      <c r="AI848" s="860"/>
      <c r="AJ848" s="860"/>
      <c r="AK848" s="860"/>
      <c r="AL848" s="860"/>
      <c r="AM848" s="860"/>
      <c r="AN848" s="860"/>
      <c r="AO848" s="860"/>
      <c r="AP848" s="860"/>
      <c r="AQ848" s="860"/>
      <c r="AR848" s="860"/>
      <c r="AS848" s="860"/>
      <c r="AT848" s="860"/>
      <c r="AU848" s="860"/>
      <c r="AV848" s="860"/>
      <c r="AW848" s="860"/>
      <c r="AX848" s="860"/>
      <c r="AY848" s="860"/>
      <c r="AZ848" s="860"/>
      <c r="BA848" s="860"/>
      <c r="BB848" s="860"/>
      <c r="BC848" s="860"/>
      <c r="BD848" s="860"/>
      <c r="BE848" s="860"/>
      <c r="BF848" s="860"/>
      <c r="BG848" s="860"/>
      <c r="BH848" s="668"/>
      <c r="BI848" s="667"/>
      <c r="BJ848" s="690">
        <f t="shared" si="293"/>
        <v>0</v>
      </c>
      <c r="BK848" s="691">
        <f t="shared" si="294"/>
        <v>0</v>
      </c>
      <c r="BL848" s="654"/>
      <c r="BM848" s="692">
        <f>SUMIFS(Imput[[Importe Neto]:[Importe Neto]],Imput[[C. Imp.]:[C. Imp.]],$D848,Imput[[PERIODO Imp.]:[PERIODO Imp.]],BM$9)</f>
        <v>0</v>
      </c>
      <c r="BN848" s="693">
        <f>SUMIFS(Imput[[Importe Neto]:[Importe Neto]],Imput[[C. Imp.]:[C. Imp.]],$D848,Imput[[PERIODO Imp.]:[PERIODO Imp.]],BN$9)</f>
        <v>0</v>
      </c>
      <c r="BO848" s="693">
        <f>SUMIFS(Imput[[Importe Neto]:[Importe Neto]],Imput[[C. Imp.]:[C. Imp.]],$D848,Imput[[PERIODO Imp.]:[PERIODO Imp.]],BO$9)</f>
        <v>0</v>
      </c>
      <c r="BP848" s="693">
        <f>SUMIFS(Imput[[Importe Neto]:[Importe Neto]],Imput[[C. Imp.]:[C. Imp.]],$D848,Imput[[PERIODO Imp.]:[PERIODO Imp.]],BP$9)</f>
        <v>0</v>
      </c>
      <c r="BQ848" s="693">
        <f>SUMIFS(Imput[[Importe Neto]:[Importe Neto]],Imput[[C. Imp.]:[C. Imp.]],$D848,Imput[[PERIODO Imp.]:[PERIODO Imp.]],BQ$9)</f>
        <v>0</v>
      </c>
      <c r="BR848" s="693">
        <f>SUMIFS(Imput[[Importe Neto]:[Importe Neto]],Imput[[C. Imp.]:[C. Imp.]],$D848,Imput[[PERIODO Imp.]:[PERIODO Imp.]],BR$9)</f>
        <v>0</v>
      </c>
      <c r="BS848" s="693">
        <f>SUMIFS(Imput[[Importe Neto]:[Importe Neto]],Imput[[C. Imp.]:[C. Imp.]],$D848,Imput[[PERIODO Imp.]:[PERIODO Imp.]],BS$9)</f>
        <v>0</v>
      </c>
      <c r="BT848" s="693">
        <f>SUMIFS(Imput[[Importe Neto]:[Importe Neto]],Imput[[C. Imp.]:[C. Imp.]],$D848,Imput[[PERIODO Imp.]:[PERIODO Imp.]],BT$9)</f>
        <v>0</v>
      </c>
      <c r="BU848" s="693">
        <f>SUMIFS(Imput[[Importe Neto]:[Importe Neto]],Imput[[C. Imp.]:[C. Imp.]],$D848,Imput[[PERIODO Imp.]:[PERIODO Imp.]],BU$9)</f>
        <v>0</v>
      </c>
      <c r="BV848" s="693">
        <f>SUMIFS(Imput[[Importe Neto]:[Importe Neto]],Imput[[C. Imp.]:[C. Imp.]],$D848,Imput[[PERIODO Imp.]:[PERIODO Imp.]],BV$9)</f>
        <v>0</v>
      </c>
      <c r="BW848" s="693">
        <f>SUMIFS(Imput[[Importe Neto]:[Importe Neto]],Imput[[C. Imp.]:[C. Imp.]],$D848,Imput[[PERIODO Imp.]:[PERIODO Imp.]],BW$9)</f>
        <v>0</v>
      </c>
      <c r="BX848" s="693">
        <f>SUMIFS(Imput[[Importe Neto]:[Importe Neto]],Imput[[C. Imp.]:[C. Imp.]],$D848,Imput[[PERIODO Imp.]:[PERIODO Imp.]],BX$9)</f>
        <v>0</v>
      </c>
      <c r="BY848" s="693">
        <f>SUMIFS(Imput[[Importe Neto]:[Importe Neto]],Imput[[C. Imp.]:[C. Imp.]],$D848,Imput[[PERIODO Imp.]:[PERIODO Imp.]],BY$9)</f>
        <v>0</v>
      </c>
      <c r="BZ848" s="693">
        <f>SUMIFS(Imput[[Importe Neto]:[Importe Neto]],Imput[[C. Imp.]:[C. Imp.]],$D848,Imput[[PERIODO Imp.]:[PERIODO Imp.]],BZ$9)</f>
        <v>0</v>
      </c>
      <c r="CA848" s="693">
        <f>SUMIFS(Imput[[Importe Neto]:[Importe Neto]],Imput[[C. Imp.]:[C. Imp.]],$D848,Imput[[PERIODO Imp.]:[PERIODO Imp.]],CA$9)</f>
        <v>0</v>
      </c>
      <c r="CB848" s="693">
        <f>SUMIFS(Imput[[Importe Neto]:[Importe Neto]],Imput[[C. Imp.]:[C. Imp.]],$D848,Imput[[PERIODO Imp.]:[PERIODO Imp.]],CB$9)</f>
        <v>0</v>
      </c>
      <c r="CC848" s="693">
        <f>SUMIFS(Imput[[Importe Neto]:[Importe Neto]],Imput[[C. Imp.]:[C. Imp.]],$D848,Imput[[PERIODO Imp.]:[PERIODO Imp.]],CC$9)</f>
        <v>0</v>
      </c>
      <c r="CD848" s="693">
        <f>SUMIFS(Imput[[Importe Neto]:[Importe Neto]],Imput[[C. Imp.]:[C. Imp.]],$D848,Imput[[PERIODO Imp.]:[PERIODO Imp.]],CD$9)</f>
        <v>0</v>
      </c>
      <c r="CE848" s="693">
        <f>SUMIFS(Imput[[Importe Neto]:[Importe Neto]],Imput[[C. Imp.]:[C. Imp.]],$D848,Imput[[PERIODO Imp.]:[PERIODO Imp.]],CE$9)</f>
        <v>0</v>
      </c>
      <c r="CF848" s="693">
        <f>SUMIFS(Imput[[Importe Neto]:[Importe Neto]],Imput[[C. Imp.]:[C. Imp.]],$D848,Imput[[PERIODO Imp.]:[PERIODO Imp.]],CF$9)</f>
        <v>0</v>
      </c>
      <c r="CG848" s="693">
        <f>SUMIFS(Imput[[Importe Neto]:[Importe Neto]],Imput[[C. Imp.]:[C. Imp.]],$D848,Imput[[PERIODO Imp.]:[PERIODO Imp.]],CG$9)</f>
        <v>0</v>
      </c>
      <c r="CH848" s="693">
        <f>SUMIFS(Imput[[Importe Neto]:[Importe Neto]],Imput[[C. Imp.]:[C. Imp.]],$D848,Imput[[PERIODO Imp.]:[PERIODO Imp.]],CH$9)</f>
        <v>0</v>
      </c>
      <c r="CI848" s="693">
        <f>SUMIFS(Imput[[Importe Neto]:[Importe Neto]],Imput[[C. Imp.]:[C. Imp.]],$D848,Imput[[PERIODO Imp.]:[PERIODO Imp.]],CI$9)</f>
        <v>0</v>
      </c>
      <c r="CJ848" s="693">
        <f>SUMIFS(Imput[[Importe Neto]:[Importe Neto]],Imput[[C. Imp.]:[C. Imp.]],$D848,Imput[[PERIODO Imp.]:[PERIODO Imp.]],CJ$9)</f>
        <v>0</v>
      </c>
      <c r="CK848" s="693">
        <f>SUMIFS(Imput[[Importe Neto]:[Importe Neto]],Imput[[C. Imp.]:[C. Imp.]],$D848,Imput[[PERIODO Imp.]:[PERIODO Imp.]],CK$9)</f>
        <v>0</v>
      </c>
      <c r="CL848" s="693">
        <f>SUMIFS(Imput[[Importe Neto]:[Importe Neto]],Imput[[C. Imp.]:[C. Imp.]],$D848,Imput[[PERIODO Imp.]:[PERIODO Imp.]],CL$9)</f>
        <v>0</v>
      </c>
      <c r="CM848" s="693">
        <f>SUMIFS(Imput[[Importe Neto]:[Importe Neto]],Imput[[C. Imp.]:[C. Imp.]],$D848,Imput[[PERIODO Imp.]:[PERIODO Imp.]],CM$9)</f>
        <v>0</v>
      </c>
      <c r="CN848" s="693">
        <f>SUMIFS(Imput[[Importe Neto]:[Importe Neto]],Imput[[C. Imp.]:[C. Imp.]],$D848,Imput[[PERIODO Imp.]:[PERIODO Imp.]],CN$9)</f>
        <v>0</v>
      </c>
      <c r="CO848" s="693">
        <f>SUMIFS(Imput[[Importe Neto]:[Importe Neto]],Imput[[C. Imp.]:[C. Imp.]],$D848,Imput[[PERIODO Imp.]:[PERIODO Imp.]],CO$9)</f>
        <v>0</v>
      </c>
      <c r="CP848" s="693">
        <f>SUMIFS(Imput[[Importe Neto]:[Importe Neto]],Imput[[C. Imp.]:[C. Imp.]],$D848,Imput[[PERIODO Imp.]:[PERIODO Imp.]],CP$9)</f>
        <v>0</v>
      </c>
      <c r="CQ848" s="693">
        <f>SUMIFS(Imput[[Importe Neto]:[Importe Neto]],Imput[[C. Imp.]:[C. Imp.]],$D848,Imput[[PERIODO Imp.]:[PERIODO Imp.]],CQ$9)</f>
        <v>0</v>
      </c>
      <c r="CR848" s="693">
        <f>SUMIFS(Imput[[Importe Neto]:[Importe Neto]],Imput[[C. Imp.]:[C. Imp.]],$D848,Imput[[PERIODO Imp.]:[PERIODO Imp.]],CR$9)</f>
        <v>0</v>
      </c>
      <c r="CS848" s="693">
        <f>SUMIFS(Imput[[Importe Neto]:[Importe Neto]],Imput[[C. Imp.]:[C. Imp.]],$D848,Imput[[PERIODO Imp.]:[PERIODO Imp.]],CS$9)</f>
        <v>0</v>
      </c>
      <c r="CT848" s="693">
        <f>SUMIFS(Imput[[Importe Neto]:[Importe Neto]],Imput[[C. Imp.]:[C. Imp.]],$D848,Imput[[PERIODO Imp.]:[PERIODO Imp.]],CT$9)</f>
        <v>0</v>
      </c>
      <c r="CU848" s="693">
        <f>SUMIFS(Imput[[Importe Neto]:[Importe Neto]],Imput[[C. Imp.]:[C. Imp.]],$D848,Imput[[PERIODO Imp.]:[PERIODO Imp.]],CU$9)</f>
        <v>0</v>
      </c>
      <c r="CV848" s="693">
        <f>SUMIFS(Imput[[Importe Neto]:[Importe Neto]],Imput[[C. Imp.]:[C. Imp.]],$D848,Imput[[PERIODO Imp.]:[PERIODO Imp.]],CV$9)</f>
        <v>0</v>
      </c>
      <c r="CW848" s="693">
        <f>SUMIFS(Imput[[Importe Neto]:[Importe Neto]],Imput[[C. Imp.]:[C. Imp.]],$D848,Imput[[PERIODO Imp.]:[PERIODO Imp.]],CW$9)</f>
        <v>0</v>
      </c>
      <c r="CX848" s="693">
        <f>SUMIFS(Imput[[Importe Neto]:[Importe Neto]],Imput[[C. Imp.]:[C. Imp.]],$D848,Imput[[PERIODO Imp.]:[PERIODO Imp.]],CX$9)</f>
        <v>0</v>
      </c>
      <c r="CY848" s="693">
        <f>SUMIFS(Imput[[Importe Neto]:[Importe Neto]],Imput[[C. Imp.]:[C. Imp.]],$D848,Imput[[PERIODO Imp.]:[PERIODO Imp.]],CY$9)</f>
        <v>0</v>
      </c>
      <c r="CZ848" s="693">
        <f>SUMIFS(Imput[[Importe Neto]:[Importe Neto]],Imput[[C. Imp.]:[C. Imp.]],$D848,Imput[[PERIODO Imp.]:[PERIODO Imp.]],CZ$9)</f>
        <v>0</v>
      </c>
      <c r="DA848" s="693">
        <f>SUMIFS(Imput[[Importe Neto]:[Importe Neto]],Imput[[C. Imp.]:[C. Imp.]],$D848,Imput[[PERIODO Imp.]:[PERIODO Imp.]],DA$9)</f>
        <v>0</v>
      </c>
      <c r="DB848" s="693">
        <f>SUMIFS(Imput[[Importe Neto]:[Importe Neto]],Imput[[C. Imp.]:[C. Imp.]],$D848,Imput[[PERIODO Imp.]:[PERIODO Imp.]],DB$9)</f>
        <v>0</v>
      </c>
      <c r="DC848" s="693">
        <f>SUMIFS(Imput[[Importe Neto]:[Importe Neto]],Imput[[C. Imp.]:[C. Imp.]],$D848,Imput[[PERIODO Imp.]:[PERIODO Imp.]],DC$9)</f>
        <v>0</v>
      </c>
      <c r="DD848" s="693">
        <f>SUMIFS(Imput[[Importe Neto]:[Importe Neto]],Imput[[C. Imp.]:[C. Imp.]],$D848,Imput[[PERIODO Imp.]:[PERIODO Imp.]],DD$9)</f>
        <v>0</v>
      </c>
      <c r="DE848" s="693">
        <f>SUMIFS(Imput[[Importe Neto]:[Importe Neto]],Imput[[C. Imp.]:[C. Imp.]],$D848,Imput[[PERIODO Imp.]:[PERIODO Imp.]],DE$9)</f>
        <v>0</v>
      </c>
      <c r="DF848" s="693">
        <f>SUMIFS(Imput[[Importe Neto]:[Importe Neto]],Imput[[C. Imp.]:[C. Imp.]],$D848,Imput[[PERIODO Imp.]:[PERIODO Imp.]],DF$9)</f>
        <v>0</v>
      </c>
      <c r="DG848" s="693">
        <f>SUMIFS(Imput[[Importe Neto]:[Importe Neto]],Imput[[C. Imp.]:[C. Imp.]],$D848,Imput[[PERIODO Imp.]:[PERIODO Imp.]],DG$9)</f>
        <v>0</v>
      </c>
      <c r="DH848" s="694">
        <f>SUMIFS(Imput[[Importe Neto]:[Importe Neto]],Imput[[C. Imp.]:[C. Imp.]],$D848,Imput[[PERIODO Imp.]:[PERIODO Imp.]],DH$9)</f>
        <v>0</v>
      </c>
    </row>
    <row r="849" spans="1:112" s="649" customFormat="1" outlineLevel="1" x14ac:dyDescent="0.3">
      <c r="A849" s="652" t="str">
        <f t="shared" si="290"/>
        <v>Imprimir</v>
      </c>
      <c r="B849" s="652"/>
      <c r="C849" s="685"/>
      <c r="D849" s="686" t="s">
        <v>2825</v>
      </c>
      <c r="E849" s="528" t="s">
        <v>3299</v>
      </c>
      <c r="F849" s="720"/>
      <c r="G849" s="863">
        <v>1</v>
      </c>
      <c r="H849" s="864">
        <v>1</v>
      </c>
      <c r="I849" s="851">
        <f t="shared" si="291"/>
        <v>1</v>
      </c>
      <c r="J849" s="852">
        <f t="shared" si="292"/>
        <v>1</v>
      </c>
      <c r="K849" s="667"/>
      <c r="L849" s="858">
        <v>1</v>
      </c>
      <c r="M849" s="859"/>
      <c r="N849" s="859"/>
      <c r="O849" s="859"/>
      <c r="P849" s="859"/>
      <c r="Q849" s="859"/>
      <c r="R849" s="859"/>
      <c r="S849" s="859"/>
      <c r="T849" s="859"/>
      <c r="U849" s="859"/>
      <c r="V849" s="859"/>
      <c r="W849" s="859"/>
      <c r="X849" s="859"/>
      <c r="Y849" s="859"/>
      <c r="Z849" s="860"/>
      <c r="AA849" s="860"/>
      <c r="AB849" s="860"/>
      <c r="AC849" s="860"/>
      <c r="AD849" s="860"/>
      <c r="AE849" s="860"/>
      <c r="AF849" s="860"/>
      <c r="AG849" s="860"/>
      <c r="AH849" s="860"/>
      <c r="AI849" s="860"/>
      <c r="AJ849" s="860"/>
      <c r="AK849" s="860"/>
      <c r="AL849" s="860"/>
      <c r="AM849" s="860"/>
      <c r="AN849" s="860"/>
      <c r="AO849" s="860"/>
      <c r="AP849" s="860"/>
      <c r="AQ849" s="860"/>
      <c r="AR849" s="860"/>
      <c r="AS849" s="860"/>
      <c r="AT849" s="860"/>
      <c r="AU849" s="860"/>
      <c r="AV849" s="860"/>
      <c r="AW849" s="860"/>
      <c r="AX849" s="860"/>
      <c r="AY849" s="860"/>
      <c r="AZ849" s="860"/>
      <c r="BA849" s="860"/>
      <c r="BB849" s="860"/>
      <c r="BC849" s="860"/>
      <c r="BD849" s="860"/>
      <c r="BE849" s="860"/>
      <c r="BF849" s="860"/>
      <c r="BG849" s="860"/>
      <c r="BH849" s="668"/>
      <c r="BI849" s="667"/>
      <c r="BJ849" s="690">
        <f t="shared" si="293"/>
        <v>0</v>
      </c>
      <c r="BK849" s="691">
        <f t="shared" si="294"/>
        <v>0</v>
      </c>
      <c r="BL849" s="654"/>
      <c r="BM849" s="692">
        <f>SUMIFS(Imput[[Importe Neto]:[Importe Neto]],Imput[[C. Imp.]:[C. Imp.]],$D849,Imput[[PERIODO Imp.]:[PERIODO Imp.]],BM$9)</f>
        <v>0</v>
      </c>
      <c r="BN849" s="693">
        <f>SUMIFS(Imput[[Importe Neto]:[Importe Neto]],Imput[[C. Imp.]:[C. Imp.]],$D849,Imput[[PERIODO Imp.]:[PERIODO Imp.]],BN$9)</f>
        <v>0</v>
      </c>
      <c r="BO849" s="693">
        <f>SUMIFS(Imput[[Importe Neto]:[Importe Neto]],Imput[[C. Imp.]:[C. Imp.]],$D849,Imput[[PERIODO Imp.]:[PERIODO Imp.]],BO$9)</f>
        <v>0</v>
      </c>
      <c r="BP849" s="693">
        <f>SUMIFS(Imput[[Importe Neto]:[Importe Neto]],Imput[[C. Imp.]:[C. Imp.]],$D849,Imput[[PERIODO Imp.]:[PERIODO Imp.]],BP$9)</f>
        <v>0</v>
      </c>
      <c r="BQ849" s="693">
        <f>SUMIFS(Imput[[Importe Neto]:[Importe Neto]],Imput[[C. Imp.]:[C. Imp.]],$D849,Imput[[PERIODO Imp.]:[PERIODO Imp.]],BQ$9)</f>
        <v>0</v>
      </c>
      <c r="BR849" s="693">
        <f>SUMIFS(Imput[[Importe Neto]:[Importe Neto]],Imput[[C. Imp.]:[C. Imp.]],$D849,Imput[[PERIODO Imp.]:[PERIODO Imp.]],BR$9)</f>
        <v>0</v>
      </c>
      <c r="BS849" s="693">
        <f>SUMIFS(Imput[[Importe Neto]:[Importe Neto]],Imput[[C. Imp.]:[C. Imp.]],$D849,Imput[[PERIODO Imp.]:[PERIODO Imp.]],BS$9)</f>
        <v>0</v>
      </c>
      <c r="BT849" s="693">
        <f>SUMIFS(Imput[[Importe Neto]:[Importe Neto]],Imput[[C. Imp.]:[C. Imp.]],$D849,Imput[[PERIODO Imp.]:[PERIODO Imp.]],BT$9)</f>
        <v>0</v>
      </c>
      <c r="BU849" s="693">
        <f>SUMIFS(Imput[[Importe Neto]:[Importe Neto]],Imput[[C. Imp.]:[C. Imp.]],$D849,Imput[[PERIODO Imp.]:[PERIODO Imp.]],BU$9)</f>
        <v>0</v>
      </c>
      <c r="BV849" s="693">
        <f>SUMIFS(Imput[[Importe Neto]:[Importe Neto]],Imput[[C. Imp.]:[C. Imp.]],$D849,Imput[[PERIODO Imp.]:[PERIODO Imp.]],BV$9)</f>
        <v>0</v>
      </c>
      <c r="BW849" s="693">
        <f>SUMIFS(Imput[[Importe Neto]:[Importe Neto]],Imput[[C. Imp.]:[C. Imp.]],$D849,Imput[[PERIODO Imp.]:[PERIODO Imp.]],BW$9)</f>
        <v>0</v>
      </c>
      <c r="BX849" s="693">
        <f>SUMIFS(Imput[[Importe Neto]:[Importe Neto]],Imput[[C. Imp.]:[C. Imp.]],$D849,Imput[[PERIODO Imp.]:[PERIODO Imp.]],BX$9)</f>
        <v>0</v>
      </c>
      <c r="BY849" s="693">
        <f>SUMIFS(Imput[[Importe Neto]:[Importe Neto]],Imput[[C. Imp.]:[C. Imp.]],$D849,Imput[[PERIODO Imp.]:[PERIODO Imp.]],BY$9)</f>
        <v>0</v>
      </c>
      <c r="BZ849" s="693">
        <f>SUMIFS(Imput[[Importe Neto]:[Importe Neto]],Imput[[C. Imp.]:[C. Imp.]],$D849,Imput[[PERIODO Imp.]:[PERIODO Imp.]],BZ$9)</f>
        <v>0</v>
      </c>
      <c r="CA849" s="693">
        <f>SUMIFS(Imput[[Importe Neto]:[Importe Neto]],Imput[[C. Imp.]:[C. Imp.]],$D849,Imput[[PERIODO Imp.]:[PERIODO Imp.]],CA$9)</f>
        <v>0</v>
      </c>
      <c r="CB849" s="693">
        <f>SUMIFS(Imput[[Importe Neto]:[Importe Neto]],Imput[[C. Imp.]:[C. Imp.]],$D849,Imput[[PERIODO Imp.]:[PERIODO Imp.]],CB$9)</f>
        <v>0</v>
      </c>
      <c r="CC849" s="693">
        <f>SUMIFS(Imput[[Importe Neto]:[Importe Neto]],Imput[[C. Imp.]:[C. Imp.]],$D849,Imput[[PERIODO Imp.]:[PERIODO Imp.]],CC$9)</f>
        <v>0</v>
      </c>
      <c r="CD849" s="693">
        <f>SUMIFS(Imput[[Importe Neto]:[Importe Neto]],Imput[[C. Imp.]:[C. Imp.]],$D849,Imput[[PERIODO Imp.]:[PERIODO Imp.]],CD$9)</f>
        <v>0</v>
      </c>
      <c r="CE849" s="693">
        <f>SUMIFS(Imput[[Importe Neto]:[Importe Neto]],Imput[[C. Imp.]:[C. Imp.]],$D849,Imput[[PERIODO Imp.]:[PERIODO Imp.]],CE$9)</f>
        <v>0</v>
      </c>
      <c r="CF849" s="693">
        <f>SUMIFS(Imput[[Importe Neto]:[Importe Neto]],Imput[[C. Imp.]:[C. Imp.]],$D849,Imput[[PERIODO Imp.]:[PERIODO Imp.]],CF$9)</f>
        <v>0</v>
      </c>
      <c r="CG849" s="693">
        <f>SUMIFS(Imput[[Importe Neto]:[Importe Neto]],Imput[[C. Imp.]:[C. Imp.]],$D849,Imput[[PERIODO Imp.]:[PERIODO Imp.]],CG$9)</f>
        <v>0</v>
      </c>
      <c r="CH849" s="693">
        <f>SUMIFS(Imput[[Importe Neto]:[Importe Neto]],Imput[[C. Imp.]:[C. Imp.]],$D849,Imput[[PERIODO Imp.]:[PERIODO Imp.]],CH$9)</f>
        <v>0</v>
      </c>
      <c r="CI849" s="693">
        <f>SUMIFS(Imput[[Importe Neto]:[Importe Neto]],Imput[[C. Imp.]:[C. Imp.]],$D849,Imput[[PERIODO Imp.]:[PERIODO Imp.]],CI$9)</f>
        <v>0</v>
      </c>
      <c r="CJ849" s="693">
        <f>SUMIFS(Imput[[Importe Neto]:[Importe Neto]],Imput[[C. Imp.]:[C. Imp.]],$D849,Imput[[PERIODO Imp.]:[PERIODO Imp.]],CJ$9)</f>
        <v>0</v>
      </c>
      <c r="CK849" s="693">
        <f>SUMIFS(Imput[[Importe Neto]:[Importe Neto]],Imput[[C. Imp.]:[C. Imp.]],$D849,Imput[[PERIODO Imp.]:[PERIODO Imp.]],CK$9)</f>
        <v>0</v>
      </c>
      <c r="CL849" s="693">
        <f>SUMIFS(Imput[[Importe Neto]:[Importe Neto]],Imput[[C. Imp.]:[C. Imp.]],$D849,Imput[[PERIODO Imp.]:[PERIODO Imp.]],CL$9)</f>
        <v>0</v>
      </c>
      <c r="CM849" s="693">
        <f>SUMIFS(Imput[[Importe Neto]:[Importe Neto]],Imput[[C. Imp.]:[C. Imp.]],$D849,Imput[[PERIODO Imp.]:[PERIODO Imp.]],CM$9)</f>
        <v>0</v>
      </c>
      <c r="CN849" s="693">
        <f>SUMIFS(Imput[[Importe Neto]:[Importe Neto]],Imput[[C. Imp.]:[C. Imp.]],$D849,Imput[[PERIODO Imp.]:[PERIODO Imp.]],CN$9)</f>
        <v>0</v>
      </c>
      <c r="CO849" s="693">
        <f>SUMIFS(Imput[[Importe Neto]:[Importe Neto]],Imput[[C. Imp.]:[C. Imp.]],$D849,Imput[[PERIODO Imp.]:[PERIODO Imp.]],CO$9)</f>
        <v>0</v>
      </c>
      <c r="CP849" s="693">
        <f>SUMIFS(Imput[[Importe Neto]:[Importe Neto]],Imput[[C. Imp.]:[C. Imp.]],$D849,Imput[[PERIODO Imp.]:[PERIODO Imp.]],CP$9)</f>
        <v>0</v>
      </c>
      <c r="CQ849" s="693">
        <f>SUMIFS(Imput[[Importe Neto]:[Importe Neto]],Imput[[C. Imp.]:[C. Imp.]],$D849,Imput[[PERIODO Imp.]:[PERIODO Imp.]],CQ$9)</f>
        <v>0</v>
      </c>
      <c r="CR849" s="693">
        <f>SUMIFS(Imput[[Importe Neto]:[Importe Neto]],Imput[[C. Imp.]:[C. Imp.]],$D849,Imput[[PERIODO Imp.]:[PERIODO Imp.]],CR$9)</f>
        <v>0</v>
      </c>
      <c r="CS849" s="693">
        <f>SUMIFS(Imput[[Importe Neto]:[Importe Neto]],Imput[[C. Imp.]:[C. Imp.]],$D849,Imput[[PERIODO Imp.]:[PERIODO Imp.]],CS$9)</f>
        <v>0</v>
      </c>
      <c r="CT849" s="693">
        <f>SUMIFS(Imput[[Importe Neto]:[Importe Neto]],Imput[[C. Imp.]:[C. Imp.]],$D849,Imput[[PERIODO Imp.]:[PERIODO Imp.]],CT$9)</f>
        <v>0</v>
      </c>
      <c r="CU849" s="693">
        <f>SUMIFS(Imput[[Importe Neto]:[Importe Neto]],Imput[[C. Imp.]:[C. Imp.]],$D849,Imput[[PERIODO Imp.]:[PERIODO Imp.]],CU$9)</f>
        <v>0</v>
      </c>
      <c r="CV849" s="693">
        <f>SUMIFS(Imput[[Importe Neto]:[Importe Neto]],Imput[[C. Imp.]:[C. Imp.]],$D849,Imput[[PERIODO Imp.]:[PERIODO Imp.]],CV$9)</f>
        <v>0</v>
      </c>
      <c r="CW849" s="693">
        <f>SUMIFS(Imput[[Importe Neto]:[Importe Neto]],Imput[[C. Imp.]:[C. Imp.]],$D849,Imput[[PERIODO Imp.]:[PERIODO Imp.]],CW$9)</f>
        <v>0</v>
      </c>
      <c r="CX849" s="693">
        <f>SUMIFS(Imput[[Importe Neto]:[Importe Neto]],Imput[[C. Imp.]:[C. Imp.]],$D849,Imput[[PERIODO Imp.]:[PERIODO Imp.]],CX$9)</f>
        <v>0</v>
      </c>
      <c r="CY849" s="693">
        <f>SUMIFS(Imput[[Importe Neto]:[Importe Neto]],Imput[[C. Imp.]:[C. Imp.]],$D849,Imput[[PERIODO Imp.]:[PERIODO Imp.]],CY$9)</f>
        <v>0</v>
      </c>
      <c r="CZ849" s="693">
        <f>SUMIFS(Imput[[Importe Neto]:[Importe Neto]],Imput[[C. Imp.]:[C. Imp.]],$D849,Imput[[PERIODO Imp.]:[PERIODO Imp.]],CZ$9)</f>
        <v>0</v>
      </c>
      <c r="DA849" s="693">
        <f>SUMIFS(Imput[[Importe Neto]:[Importe Neto]],Imput[[C. Imp.]:[C. Imp.]],$D849,Imput[[PERIODO Imp.]:[PERIODO Imp.]],DA$9)</f>
        <v>0</v>
      </c>
      <c r="DB849" s="693">
        <f>SUMIFS(Imput[[Importe Neto]:[Importe Neto]],Imput[[C. Imp.]:[C. Imp.]],$D849,Imput[[PERIODO Imp.]:[PERIODO Imp.]],DB$9)</f>
        <v>0</v>
      </c>
      <c r="DC849" s="693">
        <f>SUMIFS(Imput[[Importe Neto]:[Importe Neto]],Imput[[C. Imp.]:[C. Imp.]],$D849,Imput[[PERIODO Imp.]:[PERIODO Imp.]],DC$9)</f>
        <v>0</v>
      </c>
      <c r="DD849" s="693">
        <f>SUMIFS(Imput[[Importe Neto]:[Importe Neto]],Imput[[C. Imp.]:[C. Imp.]],$D849,Imput[[PERIODO Imp.]:[PERIODO Imp.]],DD$9)</f>
        <v>0</v>
      </c>
      <c r="DE849" s="693">
        <f>SUMIFS(Imput[[Importe Neto]:[Importe Neto]],Imput[[C. Imp.]:[C. Imp.]],$D849,Imput[[PERIODO Imp.]:[PERIODO Imp.]],DE$9)</f>
        <v>0</v>
      </c>
      <c r="DF849" s="693">
        <f>SUMIFS(Imput[[Importe Neto]:[Importe Neto]],Imput[[C. Imp.]:[C. Imp.]],$D849,Imput[[PERIODO Imp.]:[PERIODO Imp.]],DF$9)</f>
        <v>0</v>
      </c>
      <c r="DG849" s="693">
        <f>SUMIFS(Imput[[Importe Neto]:[Importe Neto]],Imput[[C. Imp.]:[C. Imp.]],$D849,Imput[[PERIODO Imp.]:[PERIODO Imp.]],DG$9)</f>
        <v>0</v>
      </c>
      <c r="DH849" s="694">
        <f>SUMIFS(Imput[[Importe Neto]:[Importe Neto]],Imput[[C. Imp.]:[C. Imp.]],$D849,Imput[[PERIODO Imp.]:[PERIODO Imp.]],DH$9)</f>
        <v>0</v>
      </c>
    </row>
    <row r="850" spans="1:112" s="649" customFormat="1" hidden="1" outlineLevel="1" x14ac:dyDescent="0.3">
      <c r="A850" s="652" t="str">
        <f t="shared" si="290"/>
        <v/>
      </c>
      <c r="B850" s="652"/>
      <c r="C850" s="685"/>
      <c r="D850" s="686" t="s">
        <v>2826</v>
      </c>
      <c r="E850" s="686"/>
      <c r="F850" s="720"/>
      <c r="G850" s="688"/>
      <c r="H850" s="689"/>
      <c r="I850" s="851" t="str">
        <f t="shared" si="291"/>
        <v/>
      </c>
      <c r="J850" s="852" t="str">
        <f t="shared" si="292"/>
        <v/>
      </c>
      <c r="K850" s="667"/>
      <c r="L850" s="858"/>
      <c r="M850" s="859"/>
      <c r="N850" s="859"/>
      <c r="O850" s="859"/>
      <c r="P850" s="859"/>
      <c r="Q850" s="859"/>
      <c r="R850" s="859"/>
      <c r="S850" s="859"/>
      <c r="T850" s="859"/>
      <c r="U850" s="859"/>
      <c r="V850" s="859"/>
      <c r="W850" s="859"/>
      <c r="X850" s="859"/>
      <c r="Y850" s="859"/>
      <c r="Z850" s="860"/>
      <c r="AA850" s="860"/>
      <c r="AB850" s="860"/>
      <c r="AC850" s="860"/>
      <c r="AD850" s="860"/>
      <c r="AE850" s="860"/>
      <c r="AF850" s="860"/>
      <c r="AG850" s="860"/>
      <c r="AH850" s="860"/>
      <c r="AI850" s="860"/>
      <c r="AJ850" s="860"/>
      <c r="AK850" s="860"/>
      <c r="AL850" s="860"/>
      <c r="AM850" s="860"/>
      <c r="AN850" s="860"/>
      <c r="AO850" s="860"/>
      <c r="AP850" s="860"/>
      <c r="AQ850" s="860"/>
      <c r="AR850" s="860"/>
      <c r="AS850" s="860"/>
      <c r="AT850" s="860"/>
      <c r="AU850" s="860"/>
      <c r="AV850" s="860"/>
      <c r="AW850" s="860"/>
      <c r="AX850" s="860"/>
      <c r="AY850" s="860"/>
      <c r="AZ850" s="860"/>
      <c r="BA850" s="860"/>
      <c r="BB850" s="860"/>
      <c r="BC850" s="860"/>
      <c r="BD850" s="860"/>
      <c r="BE850" s="860"/>
      <c r="BF850" s="860"/>
      <c r="BG850" s="860"/>
      <c r="BH850" s="668"/>
      <c r="BI850" s="667"/>
      <c r="BJ850" s="690">
        <f t="shared" si="293"/>
        <v>0</v>
      </c>
      <c r="BK850" s="691">
        <f t="shared" si="294"/>
        <v>0</v>
      </c>
      <c r="BL850" s="654"/>
      <c r="BM850" s="692">
        <f>SUMIFS(Imput[[Importe Neto]:[Importe Neto]],Imput[[C. Imp.]:[C. Imp.]],$D850,Imput[[PERIODO Imp.]:[PERIODO Imp.]],BM$9)</f>
        <v>0</v>
      </c>
      <c r="BN850" s="693">
        <f>SUMIFS(Imput[[Importe Neto]:[Importe Neto]],Imput[[C. Imp.]:[C. Imp.]],$D850,Imput[[PERIODO Imp.]:[PERIODO Imp.]],BN$9)</f>
        <v>0</v>
      </c>
      <c r="BO850" s="693">
        <f>SUMIFS(Imput[[Importe Neto]:[Importe Neto]],Imput[[C. Imp.]:[C. Imp.]],$D850,Imput[[PERIODO Imp.]:[PERIODO Imp.]],BO$9)</f>
        <v>0</v>
      </c>
      <c r="BP850" s="693">
        <f>SUMIFS(Imput[[Importe Neto]:[Importe Neto]],Imput[[C. Imp.]:[C. Imp.]],$D850,Imput[[PERIODO Imp.]:[PERIODO Imp.]],BP$9)</f>
        <v>0</v>
      </c>
      <c r="BQ850" s="693">
        <f>SUMIFS(Imput[[Importe Neto]:[Importe Neto]],Imput[[C. Imp.]:[C. Imp.]],$D850,Imput[[PERIODO Imp.]:[PERIODO Imp.]],BQ$9)</f>
        <v>0</v>
      </c>
      <c r="BR850" s="693">
        <f>SUMIFS(Imput[[Importe Neto]:[Importe Neto]],Imput[[C. Imp.]:[C. Imp.]],$D850,Imput[[PERIODO Imp.]:[PERIODO Imp.]],BR$9)</f>
        <v>0</v>
      </c>
      <c r="BS850" s="693">
        <f>SUMIFS(Imput[[Importe Neto]:[Importe Neto]],Imput[[C. Imp.]:[C. Imp.]],$D850,Imput[[PERIODO Imp.]:[PERIODO Imp.]],BS$9)</f>
        <v>0</v>
      </c>
      <c r="BT850" s="693">
        <f>SUMIFS(Imput[[Importe Neto]:[Importe Neto]],Imput[[C. Imp.]:[C. Imp.]],$D850,Imput[[PERIODO Imp.]:[PERIODO Imp.]],BT$9)</f>
        <v>0</v>
      </c>
      <c r="BU850" s="693">
        <f>SUMIFS(Imput[[Importe Neto]:[Importe Neto]],Imput[[C. Imp.]:[C. Imp.]],$D850,Imput[[PERIODO Imp.]:[PERIODO Imp.]],BU$9)</f>
        <v>0</v>
      </c>
      <c r="BV850" s="693">
        <f>SUMIFS(Imput[[Importe Neto]:[Importe Neto]],Imput[[C. Imp.]:[C. Imp.]],$D850,Imput[[PERIODO Imp.]:[PERIODO Imp.]],BV$9)</f>
        <v>0</v>
      </c>
      <c r="BW850" s="693">
        <f>SUMIFS(Imput[[Importe Neto]:[Importe Neto]],Imput[[C. Imp.]:[C. Imp.]],$D850,Imput[[PERIODO Imp.]:[PERIODO Imp.]],BW$9)</f>
        <v>0</v>
      </c>
      <c r="BX850" s="693">
        <f>SUMIFS(Imput[[Importe Neto]:[Importe Neto]],Imput[[C. Imp.]:[C. Imp.]],$D850,Imput[[PERIODO Imp.]:[PERIODO Imp.]],BX$9)</f>
        <v>0</v>
      </c>
      <c r="BY850" s="693">
        <f>SUMIFS(Imput[[Importe Neto]:[Importe Neto]],Imput[[C. Imp.]:[C. Imp.]],$D850,Imput[[PERIODO Imp.]:[PERIODO Imp.]],BY$9)</f>
        <v>0</v>
      </c>
      <c r="BZ850" s="693">
        <f>SUMIFS(Imput[[Importe Neto]:[Importe Neto]],Imput[[C. Imp.]:[C. Imp.]],$D850,Imput[[PERIODO Imp.]:[PERIODO Imp.]],BZ$9)</f>
        <v>0</v>
      </c>
      <c r="CA850" s="693">
        <f>SUMIFS(Imput[[Importe Neto]:[Importe Neto]],Imput[[C. Imp.]:[C. Imp.]],$D850,Imput[[PERIODO Imp.]:[PERIODO Imp.]],CA$9)</f>
        <v>0</v>
      </c>
      <c r="CB850" s="693">
        <f>SUMIFS(Imput[[Importe Neto]:[Importe Neto]],Imput[[C. Imp.]:[C. Imp.]],$D850,Imput[[PERIODO Imp.]:[PERIODO Imp.]],CB$9)</f>
        <v>0</v>
      </c>
      <c r="CC850" s="693">
        <f>SUMIFS(Imput[[Importe Neto]:[Importe Neto]],Imput[[C. Imp.]:[C. Imp.]],$D850,Imput[[PERIODO Imp.]:[PERIODO Imp.]],CC$9)</f>
        <v>0</v>
      </c>
      <c r="CD850" s="693">
        <f>SUMIFS(Imput[[Importe Neto]:[Importe Neto]],Imput[[C. Imp.]:[C. Imp.]],$D850,Imput[[PERIODO Imp.]:[PERIODO Imp.]],CD$9)</f>
        <v>0</v>
      </c>
      <c r="CE850" s="693">
        <f>SUMIFS(Imput[[Importe Neto]:[Importe Neto]],Imput[[C. Imp.]:[C. Imp.]],$D850,Imput[[PERIODO Imp.]:[PERIODO Imp.]],CE$9)</f>
        <v>0</v>
      </c>
      <c r="CF850" s="693">
        <f>SUMIFS(Imput[[Importe Neto]:[Importe Neto]],Imput[[C. Imp.]:[C. Imp.]],$D850,Imput[[PERIODO Imp.]:[PERIODO Imp.]],CF$9)</f>
        <v>0</v>
      </c>
      <c r="CG850" s="693">
        <f>SUMIFS(Imput[[Importe Neto]:[Importe Neto]],Imput[[C. Imp.]:[C. Imp.]],$D850,Imput[[PERIODO Imp.]:[PERIODO Imp.]],CG$9)</f>
        <v>0</v>
      </c>
      <c r="CH850" s="693">
        <f>SUMIFS(Imput[[Importe Neto]:[Importe Neto]],Imput[[C. Imp.]:[C. Imp.]],$D850,Imput[[PERIODO Imp.]:[PERIODO Imp.]],CH$9)</f>
        <v>0</v>
      </c>
      <c r="CI850" s="693">
        <f>SUMIFS(Imput[[Importe Neto]:[Importe Neto]],Imput[[C. Imp.]:[C. Imp.]],$D850,Imput[[PERIODO Imp.]:[PERIODO Imp.]],CI$9)</f>
        <v>0</v>
      </c>
      <c r="CJ850" s="693">
        <f>SUMIFS(Imput[[Importe Neto]:[Importe Neto]],Imput[[C. Imp.]:[C. Imp.]],$D850,Imput[[PERIODO Imp.]:[PERIODO Imp.]],CJ$9)</f>
        <v>0</v>
      </c>
      <c r="CK850" s="693">
        <f>SUMIFS(Imput[[Importe Neto]:[Importe Neto]],Imput[[C. Imp.]:[C. Imp.]],$D850,Imput[[PERIODO Imp.]:[PERIODO Imp.]],CK$9)</f>
        <v>0</v>
      </c>
      <c r="CL850" s="693">
        <f>SUMIFS(Imput[[Importe Neto]:[Importe Neto]],Imput[[C. Imp.]:[C. Imp.]],$D850,Imput[[PERIODO Imp.]:[PERIODO Imp.]],CL$9)</f>
        <v>0</v>
      </c>
      <c r="CM850" s="693">
        <f>SUMIFS(Imput[[Importe Neto]:[Importe Neto]],Imput[[C. Imp.]:[C. Imp.]],$D850,Imput[[PERIODO Imp.]:[PERIODO Imp.]],CM$9)</f>
        <v>0</v>
      </c>
      <c r="CN850" s="693">
        <f>SUMIFS(Imput[[Importe Neto]:[Importe Neto]],Imput[[C. Imp.]:[C. Imp.]],$D850,Imput[[PERIODO Imp.]:[PERIODO Imp.]],CN$9)</f>
        <v>0</v>
      </c>
      <c r="CO850" s="693">
        <f>SUMIFS(Imput[[Importe Neto]:[Importe Neto]],Imput[[C. Imp.]:[C. Imp.]],$D850,Imput[[PERIODO Imp.]:[PERIODO Imp.]],CO$9)</f>
        <v>0</v>
      </c>
      <c r="CP850" s="693">
        <f>SUMIFS(Imput[[Importe Neto]:[Importe Neto]],Imput[[C. Imp.]:[C. Imp.]],$D850,Imput[[PERIODO Imp.]:[PERIODO Imp.]],CP$9)</f>
        <v>0</v>
      </c>
      <c r="CQ850" s="693">
        <f>SUMIFS(Imput[[Importe Neto]:[Importe Neto]],Imput[[C. Imp.]:[C. Imp.]],$D850,Imput[[PERIODO Imp.]:[PERIODO Imp.]],CQ$9)</f>
        <v>0</v>
      </c>
      <c r="CR850" s="693">
        <f>SUMIFS(Imput[[Importe Neto]:[Importe Neto]],Imput[[C. Imp.]:[C. Imp.]],$D850,Imput[[PERIODO Imp.]:[PERIODO Imp.]],CR$9)</f>
        <v>0</v>
      </c>
      <c r="CS850" s="693">
        <f>SUMIFS(Imput[[Importe Neto]:[Importe Neto]],Imput[[C. Imp.]:[C. Imp.]],$D850,Imput[[PERIODO Imp.]:[PERIODO Imp.]],CS$9)</f>
        <v>0</v>
      </c>
      <c r="CT850" s="693">
        <f>SUMIFS(Imput[[Importe Neto]:[Importe Neto]],Imput[[C. Imp.]:[C. Imp.]],$D850,Imput[[PERIODO Imp.]:[PERIODO Imp.]],CT$9)</f>
        <v>0</v>
      </c>
      <c r="CU850" s="693">
        <f>SUMIFS(Imput[[Importe Neto]:[Importe Neto]],Imput[[C. Imp.]:[C. Imp.]],$D850,Imput[[PERIODO Imp.]:[PERIODO Imp.]],CU$9)</f>
        <v>0</v>
      </c>
      <c r="CV850" s="693">
        <f>SUMIFS(Imput[[Importe Neto]:[Importe Neto]],Imput[[C. Imp.]:[C. Imp.]],$D850,Imput[[PERIODO Imp.]:[PERIODO Imp.]],CV$9)</f>
        <v>0</v>
      </c>
      <c r="CW850" s="693">
        <f>SUMIFS(Imput[[Importe Neto]:[Importe Neto]],Imput[[C. Imp.]:[C. Imp.]],$D850,Imput[[PERIODO Imp.]:[PERIODO Imp.]],CW$9)</f>
        <v>0</v>
      </c>
      <c r="CX850" s="693">
        <f>SUMIFS(Imput[[Importe Neto]:[Importe Neto]],Imput[[C. Imp.]:[C. Imp.]],$D850,Imput[[PERIODO Imp.]:[PERIODO Imp.]],CX$9)</f>
        <v>0</v>
      </c>
      <c r="CY850" s="693">
        <f>SUMIFS(Imput[[Importe Neto]:[Importe Neto]],Imput[[C. Imp.]:[C. Imp.]],$D850,Imput[[PERIODO Imp.]:[PERIODO Imp.]],CY$9)</f>
        <v>0</v>
      </c>
      <c r="CZ850" s="693">
        <f>SUMIFS(Imput[[Importe Neto]:[Importe Neto]],Imput[[C. Imp.]:[C. Imp.]],$D850,Imput[[PERIODO Imp.]:[PERIODO Imp.]],CZ$9)</f>
        <v>0</v>
      </c>
      <c r="DA850" s="693">
        <f>SUMIFS(Imput[[Importe Neto]:[Importe Neto]],Imput[[C. Imp.]:[C. Imp.]],$D850,Imput[[PERIODO Imp.]:[PERIODO Imp.]],DA$9)</f>
        <v>0</v>
      </c>
      <c r="DB850" s="693">
        <f>SUMIFS(Imput[[Importe Neto]:[Importe Neto]],Imput[[C. Imp.]:[C. Imp.]],$D850,Imput[[PERIODO Imp.]:[PERIODO Imp.]],DB$9)</f>
        <v>0</v>
      </c>
      <c r="DC850" s="693">
        <f>SUMIFS(Imput[[Importe Neto]:[Importe Neto]],Imput[[C. Imp.]:[C. Imp.]],$D850,Imput[[PERIODO Imp.]:[PERIODO Imp.]],DC$9)</f>
        <v>0</v>
      </c>
      <c r="DD850" s="693">
        <f>SUMIFS(Imput[[Importe Neto]:[Importe Neto]],Imput[[C. Imp.]:[C. Imp.]],$D850,Imput[[PERIODO Imp.]:[PERIODO Imp.]],DD$9)</f>
        <v>0</v>
      </c>
      <c r="DE850" s="693">
        <f>SUMIFS(Imput[[Importe Neto]:[Importe Neto]],Imput[[C. Imp.]:[C. Imp.]],$D850,Imput[[PERIODO Imp.]:[PERIODO Imp.]],DE$9)</f>
        <v>0</v>
      </c>
      <c r="DF850" s="693">
        <f>SUMIFS(Imput[[Importe Neto]:[Importe Neto]],Imput[[C. Imp.]:[C. Imp.]],$D850,Imput[[PERIODO Imp.]:[PERIODO Imp.]],DF$9)</f>
        <v>0</v>
      </c>
      <c r="DG850" s="693">
        <f>SUMIFS(Imput[[Importe Neto]:[Importe Neto]],Imput[[C. Imp.]:[C. Imp.]],$D850,Imput[[PERIODO Imp.]:[PERIODO Imp.]],DG$9)</f>
        <v>0</v>
      </c>
      <c r="DH850" s="694">
        <f>SUMIFS(Imput[[Importe Neto]:[Importe Neto]],Imput[[C. Imp.]:[C. Imp.]],$D850,Imput[[PERIODO Imp.]:[PERIODO Imp.]],DH$9)</f>
        <v>0</v>
      </c>
    </row>
    <row r="851" spans="1:112" s="649" customFormat="1" hidden="1" outlineLevel="1" x14ac:dyDescent="0.3">
      <c r="A851" s="652" t="str">
        <f t="shared" si="290"/>
        <v/>
      </c>
      <c r="B851" s="652"/>
      <c r="C851" s="685"/>
      <c r="D851" s="686" t="s">
        <v>2827</v>
      </c>
      <c r="E851" s="686"/>
      <c r="F851" s="720"/>
      <c r="G851" s="688"/>
      <c r="H851" s="689"/>
      <c r="I851" s="851" t="str">
        <f t="shared" si="291"/>
        <v/>
      </c>
      <c r="J851" s="850" t="str">
        <f t="shared" si="292"/>
        <v/>
      </c>
      <c r="K851" s="667"/>
      <c r="L851" s="858"/>
      <c r="M851" s="859"/>
      <c r="N851" s="859"/>
      <c r="O851" s="859"/>
      <c r="P851" s="859"/>
      <c r="Q851" s="859"/>
      <c r="R851" s="859"/>
      <c r="S851" s="859"/>
      <c r="T851" s="859"/>
      <c r="U851" s="859"/>
      <c r="V851" s="859"/>
      <c r="W851" s="859"/>
      <c r="X851" s="859"/>
      <c r="Y851" s="859"/>
      <c r="Z851" s="860"/>
      <c r="AA851" s="860"/>
      <c r="AB851" s="860"/>
      <c r="AC851" s="860"/>
      <c r="AD851" s="860"/>
      <c r="AE851" s="860"/>
      <c r="AF851" s="860"/>
      <c r="AG851" s="860"/>
      <c r="AH851" s="860"/>
      <c r="AI851" s="860"/>
      <c r="AJ851" s="860"/>
      <c r="AK851" s="860"/>
      <c r="AL851" s="860"/>
      <c r="AM851" s="860"/>
      <c r="AN851" s="860"/>
      <c r="AO851" s="860"/>
      <c r="AP851" s="860"/>
      <c r="AQ851" s="860"/>
      <c r="AR851" s="860"/>
      <c r="AS851" s="860"/>
      <c r="AT851" s="860"/>
      <c r="AU851" s="860"/>
      <c r="AV851" s="860"/>
      <c r="AW851" s="860"/>
      <c r="AX851" s="860"/>
      <c r="AY851" s="860"/>
      <c r="AZ851" s="860"/>
      <c r="BA851" s="860"/>
      <c r="BB851" s="860"/>
      <c r="BC851" s="860"/>
      <c r="BD851" s="860"/>
      <c r="BE851" s="860"/>
      <c r="BF851" s="860"/>
      <c r="BG851" s="860"/>
      <c r="BH851" s="668"/>
      <c r="BI851" s="667"/>
      <c r="BJ851" s="690">
        <f t="shared" si="293"/>
        <v>0</v>
      </c>
      <c r="BK851" s="691">
        <f t="shared" si="294"/>
        <v>0</v>
      </c>
      <c r="BL851" s="654"/>
      <c r="BM851" s="692">
        <f>SUMIFS(Imput[[Importe Neto]:[Importe Neto]],Imput[[C. Imp.]:[C. Imp.]],$D851,Imput[[PERIODO Imp.]:[PERIODO Imp.]],BM$9)</f>
        <v>0</v>
      </c>
      <c r="BN851" s="693">
        <f>SUMIFS(Imput[[Importe Neto]:[Importe Neto]],Imput[[C. Imp.]:[C. Imp.]],$D851,Imput[[PERIODO Imp.]:[PERIODO Imp.]],BN$9)</f>
        <v>0</v>
      </c>
      <c r="BO851" s="693">
        <f>SUMIFS(Imput[[Importe Neto]:[Importe Neto]],Imput[[C. Imp.]:[C. Imp.]],$D851,Imput[[PERIODO Imp.]:[PERIODO Imp.]],BO$9)</f>
        <v>0</v>
      </c>
      <c r="BP851" s="693">
        <f>SUMIFS(Imput[[Importe Neto]:[Importe Neto]],Imput[[C. Imp.]:[C. Imp.]],$D851,Imput[[PERIODO Imp.]:[PERIODO Imp.]],BP$9)</f>
        <v>0</v>
      </c>
      <c r="BQ851" s="693">
        <f>SUMIFS(Imput[[Importe Neto]:[Importe Neto]],Imput[[C. Imp.]:[C. Imp.]],$D851,Imput[[PERIODO Imp.]:[PERIODO Imp.]],BQ$9)</f>
        <v>0</v>
      </c>
      <c r="BR851" s="693">
        <f>SUMIFS(Imput[[Importe Neto]:[Importe Neto]],Imput[[C. Imp.]:[C. Imp.]],$D851,Imput[[PERIODO Imp.]:[PERIODO Imp.]],BR$9)</f>
        <v>0</v>
      </c>
      <c r="BS851" s="693">
        <f>SUMIFS(Imput[[Importe Neto]:[Importe Neto]],Imput[[C. Imp.]:[C. Imp.]],$D851,Imput[[PERIODO Imp.]:[PERIODO Imp.]],BS$9)</f>
        <v>0</v>
      </c>
      <c r="BT851" s="693">
        <f>SUMIFS(Imput[[Importe Neto]:[Importe Neto]],Imput[[C. Imp.]:[C. Imp.]],$D851,Imput[[PERIODO Imp.]:[PERIODO Imp.]],BT$9)</f>
        <v>0</v>
      </c>
      <c r="BU851" s="693">
        <f>SUMIFS(Imput[[Importe Neto]:[Importe Neto]],Imput[[C. Imp.]:[C. Imp.]],$D851,Imput[[PERIODO Imp.]:[PERIODO Imp.]],BU$9)</f>
        <v>0</v>
      </c>
      <c r="BV851" s="693">
        <f>SUMIFS(Imput[[Importe Neto]:[Importe Neto]],Imput[[C. Imp.]:[C. Imp.]],$D851,Imput[[PERIODO Imp.]:[PERIODO Imp.]],BV$9)</f>
        <v>0</v>
      </c>
      <c r="BW851" s="693">
        <f>SUMIFS(Imput[[Importe Neto]:[Importe Neto]],Imput[[C. Imp.]:[C. Imp.]],$D851,Imput[[PERIODO Imp.]:[PERIODO Imp.]],BW$9)</f>
        <v>0</v>
      </c>
      <c r="BX851" s="693">
        <f>SUMIFS(Imput[[Importe Neto]:[Importe Neto]],Imput[[C. Imp.]:[C. Imp.]],$D851,Imput[[PERIODO Imp.]:[PERIODO Imp.]],BX$9)</f>
        <v>0</v>
      </c>
      <c r="BY851" s="693">
        <f>SUMIFS(Imput[[Importe Neto]:[Importe Neto]],Imput[[C. Imp.]:[C. Imp.]],$D851,Imput[[PERIODO Imp.]:[PERIODO Imp.]],BY$9)</f>
        <v>0</v>
      </c>
      <c r="BZ851" s="693">
        <f>SUMIFS(Imput[[Importe Neto]:[Importe Neto]],Imput[[C. Imp.]:[C. Imp.]],$D851,Imput[[PERIODO Imp.]:[PERIODO Imp.]],BZ$9)</f>
        <v>0</v>
      </c>
      <c r="CA851" s="693">
        <f>SUMIFS(Imput[[Importe Neto]:[Importe Neto]],Imput[[C. Imp.]:[C. Imp.]],$D851,Imput[[PERIODO Imp.]:[PERIODO Imp.]],CA$9)</f>
        <v>0</v>
      </c>
      <c r="CB851" s="693">
        <f>SUMIFS(Imput[[Importe Neto]:[Importe Neto]],Imput[[C. Imp.]:[C. Imp.]],$D851,Imput[[PERIODO Imp.]:[PERIODO Imp.]],CB$9)</f>
        <v>0</v>
      </c>
      <c r="CC851" s="693">
        <f>SUMIFS(Imput[[Importe Neto]:[Importe Neto]],Imput[[C. Imp.]:[C. Imp.]],$D851,Imput[[PERIODO Imp.]:[PERIODO Imp.]],CC$9)</f>
        <v>0</v>
      </c>
      <c r="CD851" s="693">
        <f>SUMIFS(Imput[[Importe Neto]:[Importe Neto]],Imput[[C. Imp.]:[C. Imp.]],$D851,Imput[[PERIODO Imp.]:[PERIODO Imp.]],CD$9)</f>
        <v>0</v>
      </c>
      <c r="CE851" s="693">
        <f>SUMIFS(Imput[[Importe Neto]:[Importe Neto]],Imput[[C. Imp.]:[C. Imp.]],$D851,Imput[[PERIODO Imp.]:[PERIODO Imp.]],CE$9)</f>
        <v>0</v>
      </c>
      <c r="CF851" s="693">
        <f>SUMIFS(Imput[[Importe Neto]:[Importe Neto]],Imput[[C. Imp.]:[C. Imp.]],$D851,Imput[[PERIODO Imp.]:[PERIODO Imp.]],CF$9)</f>
        <v>0</v>
      </c>
      <c r="CG851" s="693">
        <f>SUMIFS(Imput[[Importe Neto]:[Importe Neto]],Imput[[C. Imp.]:[C. Imp.]],$D851,Imput[[PERIODO Imp.]:[PERIODO Imp.]],CG$9)</f>
        <v>0</v>
      </c>
      <c r="CH851" s="693">
        <f>SUMIFS(Imput[[Importe Neto]:[Importe Neto]],Imput[[C. Imp.]:[C. Imp.]],$D851,Imput[[PERIODO Imp.]:[PERIODO Imp.]],CH$9)</f>
        <v>0</v>
      </c>
      <c r="CI851" s="693">
        <f>SUMIFS(Imput[[Importe Neto]:[Importe Neto]],Imput[[C. Imp.]:[C. Imp.]],$D851,Imput[[PERIODO Imp.]:[PERIODO Imp.]],CI$9)</f>
        <v>0</v>
      </c>
      <c r="CJ851" s="693">
        <f>SUMIFS(Imput[[Importe Neto]:[Importe Neto]],Imput[[C. Imp.]:[C. Imp.]],$D851,Imput[[PERIODO Imp.]:[PERIODO Imp.]],CJ$9)</f>
        <v>0</v>
      </c>
      <c r="CK851" s="693">
        <f>SUMIFS(Imput[[Importe Neto]:[Importe Neto]],Imput[[C. Imp.]:[C. Imp.]],$D851,Imput[[PERIODO Imp.]:[PERIODO Imp.]],CK$9)</f>
        <v>0</v>
      </c>
      <c r="CL851" s="693">
        <f>SUMIFS(Imput[[Importe Neto]:[Importe Neto]],Imput[[C. Imp.]:[C. Imp.]],$D851,Imput[[PERIODO Imp.]:[PERIODO Imp.]],CL$9)</f>
        <v>0</v>
      </c>
      <c r="CM851" s="693">
        <f>SUMIFS(Imput[[Importe Neto]:[Importe Neto]],Imput[[C. Imp.]:[C. Imp.]],$D851,Imput[[PERIODO Imp.]:[PERIODO Imp.]],CM$9)</f>
        <v>0</v>
      </c>
      <c r="CN851" s="693">
        <f>SUMIFS(Imput[[Importe Neto]:[Importe Neto]],Imput[[C. Imp.]:[C. Imp.]],$D851,Imput[[PERIODO Imp.]:[PERIODO Imp.]],CN$9)</f>
        <v>0</v>
      </c>
      <c r="CO851" s="693">
        <f>SUMIFS(Imput[[Importe Neto]:[Importe Neto]],Imput[[C. Imp.]:[C. Imp.]],$D851,Imput[[PERIODO Imp.]:[PERIODO Imp.]],CO$9)</f>
        <v>0</v>
      </c>
      <c r="CP851" s="693">
        <f>SUMIFS(Imput[[Importe Neto]:[Importe Neto]],Imput[[C. Imp.]:[C. Imp.]],$D851,Imput[[PERIODO Imp.]:[PERIODO Imp.]],CP$9)</f>
        <v>0</v>
      </c>
      <c r="CQ851" s="693">
        <f>SUMIFS(Imput[[Importe Neto]:[Importe Neto]],Imput[[C. Imp.]:[C. Imp.]],$D851,Imput[[PERIODO Imp.]:[PERIODO Imp.]],CQ$9)</f>
        <v>0</v>
      </c>
      <c r="CR851" s="693">
        <f>SUMIFS(Imput[[Importe Neto]:[Importe Neto]],Imput[[C. Imp.]:[C. Imp.]],$D851,Imput[[PERIODO Imp.]:[PERIODO Imp.]],CR$9)</f>
        <v>0</v>
      </c>
      <c r="CS851" s="693">
        <f>SUMIFS(Imput[[Importe Neto]:[Importe Neto]],Imput[[C. Imp.]:[C. Imp.]],$D851,Imput[[PERIODO Imp.]:[PERIODO Imp.]],CS$9)</f>
        <v>0</v>
      </c>
      <c r="CT851" s="693">
        <f>SUMIFS(Imput[[Importe Neto]:[Importe Neto]],Imput[[C. Imp.]:[C. Imp.]],$D851,Imput[[PERIODO Imp.]:[PERIODO Imp.]],CT$9)</f>
        <v>0</v>
      </c>
      <c r="CU851" s="693">
        <f>SUMIFS(Imput[[Importe Neto]:[Importe Neto]],Imput[[C. Imp.]:[C. Imp.]],$D851,Imput[[PERIODO Imp.]:[PERIODO Imp.]],CU$9)</f>
        <v>0</v>
      </c>
      <c r="CV851" s="693">
        <f>SUMIFS(Imput[[Importe Neto]:[Importe Neto]],Imput[[C. Imp.]:[C. Imp.]],$D851,Imput[[PERIODO Imp.]:[PERIODO Imp.]],CV$9)</f>
        <v>0</v>
      </c>
      <c r="CW851" s="693">
        <f>SUMIFS(Imput[[Importe Neto]:[Importe Neto]],Imput[[C. Imp.]:[C. Imp.]],$D851,Imput[[PERIODO Imp.]:[PERIODO Imp.]],CW$9)</f>
        <v>0</v>
      </c>
      <c r="CX851" s="693">
        <f>SUMIFS(Imput[[Importe Neto]:[Importe Neto]],Imput[[C. Imp.]:[C. Imp.]],$D851,Imput[[PERIODO Imp.]:[PERIODO Imp.]],CX$9)</f>
        <v>0</v>
      </c>
      <c r="CY851" s="693">
        <f>SUMIFS(Imput[[Importe Neto]:[Importe Neto]],Imput[[C. Imp.]:[C. Imp.]],$D851,Imput[[PERIODO Imp.]:[PERIODO Imp.]],CY$9)</f>
        <v>0</v>
      </c>
      <c r="CZ851" s="693">
        <f>SUMIFS(Imput[[Importe Neto]:[Importe Neto]],Imput[[C. Imp.]:[C. Imp.]],$D851,Imput[[PERIODO Imp.]:[PERIODO Imp.]],CZ$9)</f>
        <v>0</v>
      </c>
      <c r="DA851" s="693">
        <f>SUMIFS(Imput[[Importe Neto]:[Importe Neto]],Imput[[C. Imp.]:[C. Imp.]],$D851,Imput[[PERIODO Imp.]:[PERIODO Imp.]],DA$9)</f>
        <v>0</v>
      </c>
      <c r="DB851" s="693">
        <f>SUMIFS(Imput[[Importe Neto]:[Importe Neto]],Imput[[C. Imp.]:[C. Imp.]],$D851,Imput[[PERIODO Imp.]:[PERIODO Imp.]],DB$9)</f>
        <v>0</v>
      </c>
      <c r="DC851" s="693">
        <f>SUMIFS(Imput[[Importe Neto]:[Importe Neto]],Imput[[C. Imp.]:[C. Imp.]],$D851,Imput[[PERIODO Imp.]:[PERIODO Imp.]],DC$9)</f>
        <v>0</v>
      </c>
      <c r="DD851" s="693">
        <f>SUMIFS(Imput[[Importe Neto]:[Importe Neto]],Imput[[C. Imp.]:[C. Imp.]],$D851,Imput[[PERIODO Imp.]:[PERIODO Imp.]],DD$9)</f>
        <v>0</v>
      </c>
      <c r="DE851" s="693">
        <f>SUMIFS(Imput[[Importe Neto]:[Importe Neto]],Imput[[C. Imp.]:[C. Imp.]],$D851,Imput[[PERIODO Imp.]:[PERIODO Imp.]],DE$9)</f>
        <v>0</v>
      </c>
      <c r="DF851" s="693">
        <f>SUMIFS(Imput[[Importe Neto]:[Importe Neto]],Imput[[C. Imp.]:[C. Imp.]],$D851,Imput[[PERIODO Imp.]:[PERIODO Imp.]],DF$9)</f>
        <v>0</v>
      </c>
      <c r="DG851" s="693">
        <f>SUMIFS(Imput[[Importe Neto]:[Importe Neto]],Imput[[C. Imp.]:[C. Imp.]],$D851,Imput[[PERIODO Imp.]:[PERIODO Imp.]],DG$9)</f>
        <v>0</v>
      </c>
      <c r="DH851" s="694">
        <f>SUMIFS(Imput[[Importe Neto]:[Importe Neto]],Imput[[C. Imp.]:[C. Imp.]],$D851,Imput[[PERIODO Imp.]:[PERIODO Imp.]],DH$9)</f>
        <v>0</v>
      </c>
    </row>
    <row r="852" spans="1:112" s="649" customFormat="1" hidden="1" outlineLevel="1" x14ac:dyDescent="0.3">
      <c r="A852" s="652" t="str">
        <f t="shared" si="290"/>
        <v/>
      </c>
      <c r="B852" s="652"/>
      <c r="C852" s="685"/>
      <c r="D852" s="686" t="s">
        <v>2828</v>
      </c>
      <c r="E852" s="686"/>
      <c r="F852" s="720"/>
      <c r="G852" s="688"/>
      <c r="H852" s="689"/>
      <c r="I852" s="851" t="str">
        <f t="shared" si="291"/>
        <v/>
      </c>
      <c r="J852" s="850" t="str">
        <f t="shared" si="292"/>
        <v/>
      </c>
      <c r="K852" s="667"/>
      <c r="L852" s="858"/>
      <c r="M852" s="859"/>
      <c r="N852" s="859"/>
      <c r="O852" s="859"/>
      <c r="P852" s="859"/>
      <c r="Q852" s="859"/>
      <c r="R852" s="859"/>
      <c r="S852" s="859"/>
      <c r="T852" s="859"/>
      <c r="U852" s="859"/>
      <c r="V852" s="859"/>
      <c r="W852" s="859"/>
      <c r="X852" s="859"/>
      <c r="Y852" s="859"/>
      <c r="Z852" s="860"/>
      <c r="AA852" s="860"/>
      <c r="AB852" s="860"/>
      <c r="AC852" s="860"/>
      <c r="AD852" s="860"/>
      <c r="AE852" s="860"/>
      <c r="AF852" s="860"/>
      <c r="AG852" s="860"/>
      <c r="AH852" s="860"/>
      <c r="AI852" s="860"/>
      <c r="AJ852" s="860"/>
      <c r="AK852" s="860"/>
      <c r="AL852" s="860"/>
      <c r="AM852" s="860"/>
      <c r="AN852" s="860"/>
      <c r="AO852" s="860"/>
      <c r="AP852" s="860"/>
      <c r="AQ852" s="860"/>
      <c r="AR852" s="860"/>
      <c r="AS852" s="860"/>
      <c r="AT852" s="860"/>
      <c r="AU852" s="860"/>
      <c r="AV852" s="860"/>
      <c r="AW852" s="860"/>
      <c r="AX852" s="860"/>
      <c r="AY852" s="860"/>
      <c r="AZ852" s="860"/>
      <c r="BA852" s="860"/>
      <c r="BB852" s="860"/>
      <c r="BC852" s="860"/>
      <c r="BD852" s="860"/>
      <c r="BE852" s="860"/>
      <c r="BF852" s="860"/>
      <c r="BG852" s="860"/>
      <c r="BH852" s="668"/>
      <c r="BI852" s="667"/>
      <c r="BJ852" s="690">
        <f t="shared" si="293"/>
        <v>0</v>
      </c>
      <c r="BK852" s="691">
        <f t="shared" si="294"/>
        <v>0</v>
      </c>
      <c r="BL852" s="654"/>
      <c r="BM852" s="692">
        <f>SUMIFS(Imput[[Importe Neto]:[Importe Neto]],Imput[[C. Imp.]:[C. Imp.]],$D852,Imput[[PERIODO Imp.]:[PERIODO Imp.]],BM$9)</f>
        <v>0</v>
      </c>
      <c r="BN852" s="693">
        <f>SUMIFS(Imput[[Importe Neto]:[Importe Neto]],Imput[[C. Imp.]:[C. Imp.]],$D852,Imput[[PERIODO Imp.]:[PERIODO Imp.]],BN$9)</f>
        <v>0</v>
      </c>
      <c r="BO852" s="693">
        <f>SUMIFS(Imput[[Importe Neto]:[Importe Neto]],Imput[[C. Imp.]:[C. Imp.]],$D852,Imput[[PERIODO Imp.]:[PERIODO Imp.]],BO$9)</f>
        <v>0</v>
      </c>
      <c r="BP852" s="693">
        <f>SUMIFS(Imput[[Importe Neto]:[Importe Neto]],Imput[[C. Imp.]:[C. Imp.]],$D852,Imput[[PERIODO Imp.]:[PERIODO Imp.]],BP$9)</f>
        <v>0</v>
      </c>
      <c r="BQ852" s="693">
        <f>SUMIFS(Imput[[Importe Neto]:[Importe Neto]],Imput[[C. Imp.]:[C. Imp.]],$D852,Imput[[PERIODO Imp.]:[PERIODO Imp.]],BQ$9)</f>
        <v>0</v>
      </c>
      <c r="BR852" s="693">
        <f>SUMIFS(Imput[[Importe Neto]:[Importe Neto]],Imput[[C. Imp.]:[C. Imp.]],$D852,Imput[[PERIODO Imp.]:[PERIODO Imp.]],BR$9)</f>
        <v>0</v>
      </c>
      <c r="BS852" s="693">
        <f>SUMIFS(Imput[[Importe Neto]:[Importe Neto]],Imput[[C. Imp.]:[C. Imp.]],$D852,Imput[[PERIODO Imp.]:[PERIODO Imp.]],BS$9)</f>
        <v>0</v>
      </c>
      <c r="BT852" s="693">
        <f>SUMIFS(Imput[[Importe Neto]:[Importe Neto]],Imput[[C. Imp.]:[C. Imp.]],$D852,Imput[[PERIODO Imp.]:[PERIODO Imp.]],BT$9)</f>
        <v>0</v>
      </c>
      <c r="BU852" s="693">
        <f>SUMIFS(Imput[[Importe Neto]:[Importe Neto]],Imput[[C. Imp.]:[C. Imp.]],$D852,Imput[[PERIODO Imp.]:[PERIODO Imp.]],BU$9)</f>
        <v>0</v>
      </c>
      <c r="BV852" s="693">
        <f>SUMIFS(Imput[[Importe Neto]:[Importe Neto]],Imput[[C. Imp.]:[C. Imp.]],$D852,Imput[[PERIODO Imp.]:[PERIODO Imp.]],BV$9)</f>
        <v>0</v>
      </c>
      <c r="BW852" s="693">
        <f>SUMIFS(Imput[[Importe Neto]:[Importe Neto]],Imput[[C. Imp.]:[C. Imp.]],$D852,Imput[[PERIODO Imp.]:[PERIODO Imp.]],BW$9)</f>
        <v>0</v>
      </c>
      <c r="BX852" s="693">
        <f>SUMIFS(Imput[[Importe Neto]:[Importe Neto]],Imput[[C. Imp.]:[C. Imp.]],$D852,Imput[[PERIODO Imp.]:[PERIODO Imp.]],BX$9)</f>
        <v>0</v>
      </c>
      <c r="BY852" s="693">
        <f>SUMIFS(Imput[[Importe Neto]:[Importe Neto]],Imput[[C. Imp.]:[C. Imp.]],$D852,Imput[[PERIODO Imp.]:[PERIODO Imp.]],BY$9)</f>
        <v>0</v>
      </c>
      <c r="BZ852" s="693">
        <f>SUMIFS(Imput[[Importe Neto]:[Importe Neto]],Imput[[C. Imp.]:[C. Imp.]],$D852,Imput[[PERIODO Imp.]:[PERIODO Imp.]],BZ$9)</f>
        <v>0</v>
      </c>
      <c r="CA852" s="693">
        <f>SUMIFS(Imput[[Importe Neto]:[Importe Neto]],Imput[[C. Imp.]:[C. Imp.]],$D852,Imput[[PERIODO Imp.]:[PERIODO Imp.]],CA$9)</f>
        <v>0</v>
      </c>
      <c r="CB852" s="693">
        <f>SUMIFS(Imput[[Importe Neto]:[Importe Neto]],Imput[[C. Imp.]:[C. Imp.]],$D852,Imput[[PERIODO Imp.]:[PERIODO Imp.]],CB$9)</f>
        <v>0</v>
      </c>
      <c r="CC852" s="693">
        <f>SUMIFS(Imput[[Importe Neto]:[Importe Neto]],Imput[[C. Imp.]:[C. Imp.]],$D852,Imput[[PERIODO Imp.]:[PERIODO Imp.]],CC$9)</f>
        <v>0</v>
      </c>
      <c r="CD852" s="693">
        <f>SUMIFS(Imput[[Importe Neto]:[Importe Neto]],Imput[[C. Imp.]:[C. Imp.]],$D852,Imput[[PERIODO Imp.]:[PERIODO Imp.]],CD$9)</f>
        <v>0</v>
      </c>
      <c r="CE852" s="693">
        <f>SUMIFS(Imput[[Importe Neto]:[Importe Neto]],Imput[[C. Imp.]:[C. Imp.]],$D852,Imput[[PERIODO Imp.]:[PERIODO Imp.]],CE$9)</f>
        <v>0</v>
      </c>
      <c r="CF852" s="693">
        <f>SUMIFS(Imput[[Importe Neto]:[Importe Neto]],Imput[[C. Imp.]:[C. Imp.]],$D852,Imput[[PERIODO Imp.]:[PERIODO Imp.]],CF$9)</f>
        <v>0</v>
      </c>
      <c r="CG852" s="693">
        <f>SUMIFS(Imput[[Importe Neto]:[Importe Neto]],Imput[[C. Imp.]:[C. Imp.]],$D852,Imput[[PERIODO Imp.]:[PERIODO Imp.]],CG$9)</f>
        <v>0</v>
      </c>
      <c r="CH852" s="693">
        <f>SUMIFS(Imput[[Importe Neto]:[Importe Neto]],Imput[[C. Imp.]:[C. Imp.]],$D852,Imput[[PERIODO Imp.]:[PERIODO Imp.]],CH$9)</f>
        <v>0</v>
      </c>
      <c r="CI852" s="693">
        <f>SUMIFS(Imput[[Importe Neto]:[Importe Neto]],Imput[[C. Imp.]:[C. Imp.]],$D852,Imput[[PERIODO Imp.]:[PERIODO Imp.]],CI$9)</f>
        <v>0</v>
      </c>
      <c r="CJ852" s="693">
        <f>SUMIFS(Imput[[Importe Neto]:[Importe Neto]],Imput[[C. Imp.]:[C. Imp.]],$D852,Imput[[PERIODO Imp.]:[PERIODO Imp.]],CJ$9)</f>
        <v>0</v>
      </c>
      <c r="CK852" s="693">
        <f>SUMIFS(Imput[[Importe Neto]:[Importe Neto]],Imput[[C. Imp.]:[C. Imp.]],$D852,Imput[[PERIODO Imp.]:[PERIODO Imp.]],CK$9)</f>
        <v>0</v>
      </c>
      <c r="CL852" s="693">
        <f>SUMIFS(Imput[[Importe Neto]:[Importe Neto]],Imput[[C. Imp.]:[C. Imp.]],$D852,Imput[[PERIODO Imp.]:[PERIODO Imp.]],CL$9)</f>
        <v>0</v>
      </c>
      <c r="CM852" s="693">
        <f>SUMIFS(Imput[[Importe Neto]:[Importe Neto]],Imput[[C. Imp.]:[C. Imp.]],$D852,Imput[[PERIODO Imp.]:[PERIODO Imp.]],CM$9)</f>
        <v>0</v>
      </c>
      <c r="CN852" s="693">
        <f>SUMIFS(Imput[[Importe Neto]:[Importe Neto]],Imput[[C. Imp.]:[C. Imp.]],$D852,Imput[[PERIODO Imp.]:[PERIODO Imp.]],CN$9)</f>
        <v>0</v>
      </c>
      <c r="CO852" s="693">
        <f>SUMIFS(Imput[[Importe Neto]:[Importe Neto]],Imput[[C. Imp.]:[C. Imp.]],$D852,Imput[[PERIODO Imp.]:[PERIODO Imp.]],CO$9)</f>
        <v>0</v>
      </c>
      <c r="CP852" s="693">
        <f>SUMIFS(Imput[[Importe Neto]:[Importe Neto]],Imput[[C. Imp.]:[C. Imp.]],$D852,Imput[[PERIODO Imp.]:[PERIODO Imp.]],CP$9)</f>
        <v>0</v>
      </c>
      <c r="CQ852" s="693">
        <f>SUMIFS(Imput[[Importe Neto]:[Importe Neto]],Imput[[C. Imp.]:[C. Imp.]],$D852,Imput[[PERIODO Imp.]:[PERIODO Imp.]],CQ$9)</f>
        <v>0</v>
      </c>
      <c r="CR852" s="693">
        <f>SUMIFS(Imput[[Importe Neto]:[Importe Neto]],Imput[[C. Imp.]:[C. Imp.]],$D852,Imput[[PERIODO Imp.]:[PERIODO Imp.]],CR$9)</f>
        <v>0</v>
      </c>
      <c r="CS852" s="693">
        <f>SUMIFS(Imput[[Importe Neto]:[Importe Neto]],Imput[[C. Imp.]:[C. Imp.]],$D852,Imput[[PERIODO Imp.]:[PERIODO Imp.]],CS$9)</f>
        <v>0</v>
      </c>
      <c r="CT852" s="693">
        <f>SUMIFS(Imput[[Importe Neto]:[Importe Neto]],Imput[[C. Imp.]:[C. Imp.]],$D852,Imput[[PERIODO Imp.]:[PERIODO Imp.]],CT$9)</f>
        <v>0</v>
      </c>
      <c r="CU852" s="693">
        <f>SUMIFS(Imput[[Importe Neto]:[Importe Neto]],Imput[[C. Imp.]:[C. Imp.]],$D852,Imput[[PERIODO Imp.]:[PERIODO Imp.]],CU$9)</f>
        <v>0</v>
      </c>
      <c r="CV852" s="693">
        <f>SUMIFS(Imput[[Importe Neto]:[Importe Neto]],Imput[[C. Imp.]:[C. Imp.]],$D852,Imput[[PERIODO Imp.]:[PERIODO Imp.]],CV$9)</f>
        <v>0</v>
      </c>
      <c r="CW852" s="693">
        <f>SUMIFS(Imput[[Importe Neto]:[Importe Neto]],Imput[[C. Imp.]:[C. Imp.]],$D852,Imput[[PERIODO Imp.]:[PERIODO Imp.]],CW$9)</f>
        <v>0</v>
      </c>
      <c r="CX852" s="693">
        <f>SUMIFS(Imput[[Importe Neto]:[Importe Neto]],Imput[[C. Imp.]:[C. Imp.]],$D852,Imput[[PERIODO Imp.]:[PERIODO Imp.]],CX$9)</f>
        <v>0</v>
      </c>
      <c r="CY852" s="693">
        <f>SUMIFS(Imput[[Importe Neto]:[Importe Neto]],Imput[[C. Imp.]:[C. Imp.]],$D852,Imput[[PERIODO Imp.]:[PERIODO Imp.]],CY$9)</f>
        <v>0</v>
      </c>
      <c r="CZ852" s="693">
        <f>SUMIFS(Imput[[Importe Neto]:[Importe Neto]],Imput[[C. Imp.]:[C. Imp.]],$D852,Imput[[PERIODO Imp.]:[PERIODO Imp.]],CZ$9)</f>
        <v>0</v>
      </c>
      <c r="DA852" s="693">
        <f>SUMIFS(Imput[[Importe Neto]:[Importe Neto]],Imput[[C. Imp.]:[C. Imp.]],$D852,Imput[[PERIODO Imp.]:[PERIODO Imp.]],DA$9)</f>
        <v>0</v>
      </c>
      <c r="DB852" s="693">
        <f>SUMIFS(Imput[[Importe Neto]:[Importe Neto]],Imput[[C. Imp.]:[C. Imp.]],$D852,Imput[[PERIODO Imp.]:[PERIODO Imp.]],DB$9)</f>
        <v>0</v>
      </c>
      <c r="DC852" s="693">
        <f>SUMIFS(Imput[[Importe Neto]:[Importe Neto]],Imput[[C. Imp.]:[C. Imp.]],$D852,Imput[[PERIODO Imp.]:[PERIODO Imp.]],DC$9)</f>
        <v>0</v>
      </c>
      <c r="DD852" s="693">
        <f>SUMIFS(Imput[[Importe Neto]:[Importe Neto]],Imput[[C. Imp.]:[C. Imp.]],$D852,Imput[[PERIODO Imp.]:[PERIODO Imp.]],DD$9)</f>
        <v>0</v>
      </c>
      <c r="DE852" s="693">
        <f>SUMIFS(Imput[[Importe Neto]:[Importe Neto]],Imput[[C. Imp.]:[C. Imp.]],$D852,Imput[[PERIODO Imp.]:[PERIODO Imp.]],DE$9)</f>
        <v>0</v>
      </c>
      <c r="DF852" s="693">
        <f>SUMIFS(Imput[[Importe Neto]:[Importe Neto]],Imput[[C. Imp.]:[C. Imp.]],$D852,Imput[[PERIODO Imp.]:[PERIODO Imp.]],DF$9)</f>
        <v>0</v>
      </c>
      <c r="DG852" s="693">
        <f>SUMIFS(Imput[[Importe Neto]:[Importe Neto]],Imput[[C. Imp.]:[C. Imp.]],$D852,Imput[[PERIODO Imp.]:[PERIODO Imp.]],DG$9)</f>
        <v>0</v>
      </c>
      <c r="DH852" s="694">
        <f>SUMIFS(Imput[[Importe Neto]:[Importe Neto]],Imput[[C. Imp.]:[C. Imp.]],$D852,Imput[[PERIODO Imp.]:[PERIODO Imp.]],DH$9)</f>
        <v>0</v>
      </c>
    </row>
    <row r="853" spans="1:112" s="649" customFormat="1" hidden="1" outlineLevel="1" x14ac:dyDescent="0.3">
      <c r="A853" s="652" t="str">
        <f t="shared" si="290"/>
        <v/>
      </c>
      <c r="B853" s="652"/>
      <c r="C853" s="685"/>
      <c r="D853" s="686" t="s">
        <v>2829</v>
      </c>
      <c r="E853" s="686"/>
      <c r="F853" s="720"/>
      <c r="G853" s="688"/>
      <c r="H853" s="689"/>
      <c r="I853" s="851" t="str">
        <f t="shared" si="291"/>
        <v/>
      </c>
      <c r="J853" s="850" t="str">
        <f t="shared" si="292"/>
        <v/>
      </c>
      <c r="K853" s="667"/>
      <c r="L853" s="858"/>
      <c r="M853" s="859"/>
      <c r="N853" s="859"/>
      <c r="O853" s="859"/>
      <c r="P853" s="859"/>
      <c r="Q853" s="859"/>
      <c r="R853" s="859"/>
      <c r="S853" s="859"/>
      <c r="T853" s="859"/>
      <c r="U853" s="859"/>
      <c r="V853" s="859"/>
      <c r="W853" s="859"/>
      <c r="X853" s="859"/>
      <c r="Y853" s="859"/>
      <c r="Z853" s="860"/>
      <c r="AA853" s="860"/>
      <c r="AB853" s="860"/>
      <c r="AC853" s="860"/>
      <c r="AD853" s="860"/>
      <c r="AE853" s="860"/>
      <c r="AF853" s="860"/>
      <c r="AG853" s="860"/>
      <c r="AH853" s="860"/>
      <c r="AI853" s="860"/>
      <c r="AJ853" s="860"/>
      <c r="AK853" s="860"/>
      <c r="AL853" s="860"/>
      <c r="AM853" s="860"/>
      <c r="AN853" s="860"/>
      <c r="AO853" s="860"/>
      <c r="AP853" s="860"/>
      <c r="AQ853" s="860"/>
      <c r="AR853" s="860"/>
      <c r="AS853" s="860"/>
      <c r="AT853" s="860"/>
      <c r="AU853" s="860"/>
      <c r="AV853" s="860"/>
      <c r="AW853" s="860"/>
      <c r="AX853" s="860"/>
      <c r="AY853" s="860"/>
      <c r="AZ853" s="860"/>
      <c r="BA853" s="860"/>
      <c r="BB853" s="860"/>
      <c r="BC853" s="860"/>
      <c r="BD853" s="860"/>
      <c r="BE853" s="860"/>
      <c r="BF853" s="860"/>
      <c r="BG853" s="860"/>
      <c r="BH853" s="668"/>
      <c r="BI853" s="667"/>
      <c r="BJ853" s="690">
        <f t="shared" si="293"/>
        <v>0</v>
      </c>
      <c r="BK853" s="691">
        <f t="shared" si="294"/>
        <v>0</v>
      </c>
      <c r="BL853" s="654"/>
      <c r="BM853" s="692">
        <f>SUMIFS(Imput[[Importe Neto]:[Importe Neto]],Imput[[C. Imp.]:[C. Imp.]],$D853,Imput[[PERIODO Imp.]:[PERIODO Imp.]],BM$9)</f>
        <v>0</v>
      </c>
      <c r="BN853" s="693">
        <f>SUMIFS(Imput[[Importe Neto]:[Importe Neto]],Imput[[C. Imp.]:[C. Imp.]],$D853,Imput[[PERIODO Imp.]:[PERIODO Imp.]],BN$9)</f>
        <v>0</v>
      </c>
      <c r="BO853" s="693">
        <f>SUMIFS(Imput[[Importe Neto]:[Importe Neto]],Imput[[C. Imp.]:[C. Imp.]],$D853,Imput[[PERIODO Imp.]:[PERIODO Imp.]],BO$9)</f>
        <v>0</v>
      </c>
      <c r="BP853" s="693">
        <f>SUMIFS(Imput[[Importe Neto]:[Importe Neto]],Imput[[C. Imp.]:[C. Imp.]],$D853,Imput[[PERIODO Imp.]:[PERIODO Imp.]],BP$9)</f>
        <v>0</v>
      </c>
      <c r="BQ853" s="693">
        <f>SUMIFS(Imput[[Importe Neto]:[Importe Neto]],Imput[[C. Imp.]:[C. Imp.]],$D853,Imput[[PERIODO Imp.]:[PERIODO Imp.]],BQ$9)</f>
        <v>0</v>
      </c>
      <c r="BR853" s="693">
        <f>SUMIFS(Imput[[Importe Neto]:[Importe Neto]],Imput[[C. Imp.]:[C. Imp.]],$D853,Imput[[PERIODO Imp.]:[PERIODO Imp.]],BR$9)</f>
        <v>0</v>
      </c>
      <c r="BS853" s="693">
        <f>SUMIFS(Imput[[Importe Neto]:[Importe Neto]],Imput[[C. Imp.]:[C. Imp.]],$D853,Imput[[PERIODO Imp.]:[PERIODO Imp.]],BS$9)</f>
        <v>0</v>
      </c>
      <c r="BT853" s="693">
        <f>SUMIFS(Imput[[Importe Neto]:[Importe Neto]],Imput[[C. Imp.]:[C. Imp.]],$D853,Imput[[PERIODO Imp.]:[PERIODO Imp.]],BT$9)</f>
        <v>0</v>
      </c>
      <c r="BU853" s="693">
        <f>SUMIFS(Imput[[Importe Neto]:[Importe Neto]],Imput[[C. Imp.]:[C. Imp.]],$D853,Imput[[PERIODO Imp.]:[PERIODO Imp.]],BU$9)</f>
        <v>0</v>
      </c>
      <c r="BV853" s="693">
        <f>SUMIFS(Imput[[Importe Neto]:[Importe Neto]],Imput[[C. Imp.]:[C. Imp.]],$D853,Imput[[PERIODO Imp.]:[PERIODO Imp.]],BV$9)</f>
        <v>0</v>
      </c>
      <c r="BW853" s="693">
        <f>SUMIFS(Imput[[Importe Neto]:[Importe Neto]],Imput[[C. Imp.]:[C. Imp.]],$D853,Imput[[PERIODO Imp.]:[PERIODO Imp.]],BW$9)</f>
        <v>0</v>
      </c>
      <c r="BX853" s="693">
        <f>SUMIFS(Imput[[Importe Neto]:[Importe Neto]],Imput[[C. Imp.]:[C. Imp.]],$D853,Imput[[PERIODO Imp.]:[PERIODO Imp.]],BX$9)</f>
        <v>0</v>
      </c>
      <c r="BY853" s="693">
        <f>SUMIFS(Imput[[Importe Neto]:[Importe Neto]],Imput[[C. Imp.]:[C. Imp.]],$D853,Imput[[PERIODO Imp.]:[PERIODO Imp.]],BY$9)</f>
        <v>0</v>
      </c>
      <c r="BZ853" s="693">
        <f>SUMIFS(Imput[[Importe Neto]:[Importe Neto]],Imput[[C. Imp.]:[C. Imp.]],$D853,Imput[[PERIODO Imp.]:[PERIODO Imp.]],BZ$9)</f>
        <v>0</v>
      </c>
      <c r="CA853" s="693">
        <f>SUMIFS(Imput[[Importe Neto]:[Importe Neto]],Imput[[C. Imp.]:[C. Imp.]],$D853,Imput[[PERIODO Imp.]:[PERIODO Imp.]],CA$9)</f>
        <v>0</v>
      </c>
      <c r="CB853" s="693">
        <f>SUMIFS(Imput[[Importe Neto]:[Importe Neto]],Imput[[C. Imp.]:[C. Imp.]],$D853,Imput[[PERIODO Imp.]:[PERIODO Imp.]],CB$9)</f>
        <v>0</v>
      </c>
      <c r="CC853" s="693">
        <f>SUMIFS(Imput[[Importe Neto]:[Importe Neto]],Imput[[C. Imp.]:[C. Imp.]],$D853,Imput[[PERIODO Imp.]:[PERIODO Imp.]],CC$9)</f>
        <v>0</v>
      </c>
      <c r="CD853" s="693">
        <f>SUMIFS(Imput[[Importe Neto]:[Importe Neto]],Imput[[C. Imp.]:[C. Imp.]],$D853,Imput[[PERIODO Imp.]:[PERIODO Imp.]],CD$9)</f>
        <v>0</v>
      </c>
      <c r="CE853" s="693">
        <f>SUMIFS(Imput[[Importe Neto]:[Importe Neto]],Imput[[C. Imp.]:[C. Imp.]],$D853,Imput[[PERIODO Imp.]:[PERIODO Imp.]],CE$9)</f>
        <v>0</v>
      </c>
      <c r="CF853" s="693">
        <f>SUMIFS(Imput[[Importe Neto]:[Importe Neto]],Imput[[C. Imp.]:[C. Imp.]],$D853,Imput[[PERIODO Imp.]:[PERIODO Imp.]],CF$9)</f>
        <v>0</v>
      </c>
      <c r="CG853" s="693">
        <f>SUMIFS(Imput[[Importe Neto]:[Importe Neto]],Imput[[C. Imp.]:[C. Imp.]],$D853,Imput[[PERIODO Imp.]:[PERIODO Imp.]],CG$9)</f>
        <v>0</v>
      </c>
      <c r="CH853" s="693">
        <f>SUMIFS(Imput[[Importe Neto]:[Importe Neto]],Imput[[C. Imp.]:[C. Imp.]],$D853,Imput[[PERIODO Imp.]:[PERIODO Imp.]],CH$9)</f>
        <v>0</v>
      </c>
      <c r="CI853" s="693">
        <f>SUMIFS(Imput[[Importe Neto]:[Importe Neto]],Imput[[C. Imp.]:[C. Imp.]],$D853,Imput[[PERIODO Imp.]:[PERIODO Imp.]],CI$9)</f>
        <v>0</v>
      </c>
      <c r="CJ853" s="693">
        <f>SUMIFS(Imput[[Importe Neto]:[Importe Neto]],Imput[[C. Imp.]:[C. Imp.]],$D853,Imput[[PERIODO Imp.]:[PERIODO Imp.]],CJ$9)</f>
        <v>0</v>
      </c>
      <c r="CK853" s="693">
        <f>SUMIFS(Imput[[Importe Neto]:[Importe Neto]],Imput[[C. Imp.]:[C. Imp.]],$D853,Imput[[PERIODO Imp.]:[PERIODO Imp.]],CK$9)</f>
        <v>0</v>
      </c>
      <c r="CL853" s="693">
        <f>SUMIFS(Imput[[Importe Neto]:[Importe Neto]],Imput[[C. Imp.]:[C. Imp.]],$D853,Imput[[PERIODO Imp.]:[PERIODO Imp.]],CL$9)</f>
        <v>0</v>
      </c>
      <c r="CM853" s="693">
        <f>SUMIFS(Imput[[Importe Neto]:[Importe Neto]],Imput[[C. Imp.]:[C. Imp.]],$D853,Imput[[PERIODO Imp.]:[PERIODO Imp.]],CM$9)</f>
        <v>0</v>
      </c>
      <c r="CN853" s="693">
        <f>SUMIFS(Imput[[Importe Neto]:[Importe Neto]],Imput[[C. Imp.]:[C. Imp.]],$D853,Imput[[PERIODO Imp.]:[PERIODO Imp.]],CN$9)</f>
        <v>0</v>
      </c>
      <c r="CO853" s="693">
        <f>SUMIFS(Imput[[Importe Neto]:[Importe Neto]],Imput[[C. Imp.]:[C. Imp.]],$D853,Imput[[PERIODO Imp.]:[PERIODO Imp.]],CO$9)</f>
        <v>0</v>
      </c>
      <c r="CP853" s="693">
        <f>SUMIFS(Imput[[Importe Neto]:[Importe Neto]],Imput[[C. Imp.]:[C. Imp.]],$D853,Imput[[PERIODO Imp.]:[PERIODO Imp.]],CP$9)</f>
        <v>0</v>
      </c>
      <c r="CQ853" s="693">
        <f>SUMIFS(Imput[[Importe Neto]:[Importe Neto]],Imput[[C. Imp.]:[C. Imp.]],$D853,Imput[[PERIODO Imp.]:[PERIODO Imp.]],CQ$9)</f>
        <v>0</v>
      </c>
      <c r="CR853" s="693">
        <f>SUMIFS(Imput[[Importe Neto]:[Importe Neto]],Imput[[C. Imp.]:[C. Imp.]],$D853,Imput[[PERIODO Imp.]:[PERIODO Imp.]],CR$9)</f>
        <v>0</v>
      </c>
      <c r="CS853" s="693">
        <f>SUMIFS(Imput[[Importe Neto]:[Importe Neto]],Imput[[C. Imp.]:[C. Imp.]],$D853,Imput[[PERIODO Imp.]:[PERIODO Imp.]],CS$9)</f>
        <v>0</v>
      </c>
      <c r="CT853" s="693">
        <f>SUMIFS(Imput[[Importe Neto]:[Importe Neto]],Imput[[C. Imp.]:[C. Imp.]],$D853,Imput[[PERIODO Imp.]:[PERIODO Imp.]],CT$9)</f>
        <v>0</v>
      </c>
      <c r="CU853" s="693">
        <f>SUMIFS(Imput[[Importe Neto]:[Importe Neto]],Imput[[C. Imp.]:[C. Imp.]],$D853,Imput[[PERIODO Imp.]:[PERIODO Imp.]],CU$9)</f>
        <v>0</v>
      </c>
      <c r="CV853" s="693">
        <f>SUMIFS(Imput[[Importe Neto]:[Importe Neto]],Imput[[C. Imp.]:[C. Imp.]],$D853,Imput[[PERIODO Imp.]:[PERIODO Imp.]],CV$9)</f>
        <v>0</v>
      </c>
      <c r="CW853" s="693">
        <f>SUMIFS(Imput[[Importe Neto]:[Importe Neto]],Imput[[C. Imp.]:[C. Imp.]],$D853,Imput[[PERIODO Imp.]:[PERIODO Imp.]],CW$9)</f>
        <v>0</v>
      </c>
      <c r="CX853" s="693">
        <f>SUMIFS(Imput[[Importe Neto]:[Importe Neto]],Imput[[C. Imp.]:[C. Imp.]],$D853,Imput[[PERIODO Imp.]:[PERIODO Imp.]],CX$9)</f>
        <v>0</v>
      </c>
      <c r="CY853" s="693">
        <f>SUMIFS(Imput[[Importe Neto]:[Importe Neto]],Imput[[C. Imp.]:[C. Imp.]],$D853,Imput[[PERIODO Imp.]:[PERIODO Imp.]],CY$9)</f>
        <v>0</v>
      </c>
      <c r="CZ853" s="693">
        <f>SUMIFS(Imput[[Importe Neto]:[Importe Neto]],Imput[[C. Imp.]:[C. Imp.]],$D853,Imput[[PERIODO Imp.]:[PERIODO Imp.]],CZ$9)</f>
        <v>0</v>
      </c>
      <c r="DA853" s="693">
        <f>SUMIFS(Imput[[Importe Neto]:[Importe Neto]],Imput[[C. Imp.]:[C. Imp.]],$D853,Imput[[PERIODO Imp.]:[PERIODO Imp.]],DA$9)</f>
        <v>0</v>
      </c>
      <c r="DB853" s="693">
        <f>SUMIFS(Imput[[Importe Neto]:[Importe Neto]],Imput[[C. Imp.]:[C. Imp.]],$D853,Imput[[PERIODO Imp.]:[PERIODO Imp.]],DB$9)</f>
        <v>0</v>
      </c>
      <c r="DC853" s="693">
        <f>SUMIFS(Imput[[Importe Neto]:[Importe Neto]],Imput[[C. Imp.]:[C. Imp.]],$D853,Imput[[PERIODO Imp.]:[PERIODO Imp.]],DC$9)</f>
        <v>0</v>
      </c>
      <c r="DD853" s="693">
        <f>SUMIFS(Imput[[Importe Neto]:[Importe Neto]],Imput[[C. Imp.]:[C. Imp.]],$D853,Imput[[PERIODO Imp.]:[PERIODO Imp.]],DD$9)</f>
        <v>0</v>
      </c>
      <c r="DE853" s="693">
        <f>SUMIFS(Imput[[Importe Neto]:[Importe Neto]],Imput[[C. Imp.]:[C. Imp.]],$D853,Imput[[PERIODO Imp.]:[PERIODO Imp.]],DE$9)</f>
        <v>0</v>
      </c>
      <c r="DF853" s="693">
        <f>SUMIFS(Imput[[Importe Neto]:[Importe Neto]],Imput[[C. Imp.]:[C. Imp.]],$D853,Imput[[PERIODO Imp.]:[PERIODO Imp.]],DF$9)</f>
        <v>0</v>
      </c>
      <c r="DG853" s="693">
        <f>SUMIFS(Imput[[Importe Neto]:[Importe Neto]],Imput[[C. Imp.]:[C. Imp.]],$D853,Imput[[PERIODO Imp.]:[PERIODO Imp.]],DG$9)</f>
        <v>0</v>
      </c>
      <c r="DH853" s="694">
        <f>SUMIFS(Imput[[Importe Neto]:[Importe Neto]],Imput[[C. Imp.]:[C. Imp.]],$D853,Imput[[PERIODO Imp.]:[PERIODO Imp.]],DH$9)</f>
        <v>0</v>
      </c>
    </row>
    <row r="854" spans="1:112" s="649" customFormat="1" hidden="1" outlineLevel="1" x14ac:dyDescent="0.3">
      <c r="A854" s="652" t="str">
        <f t="shared" si="290"/>
        <v/>
      </c>
      <c r="B854" s="652"/>
      <c r="C854" s="685"/>
      <c r="D854" s="686" t="s">
        <v>2830</v>
      </c>
      <c r="E854" s="686"/>
      <c r="F854" s="720"/>
      <c r="G854" s="688"/>
      <c r="H854" s="689"/>
      <c r="I854" s="851" t="str">
        <f t="shared" si="291"/>
        <v/>
      </c>
      <c r="J854" s="850" t="str">
        <f t="shared" si="292"/>
        <v/>
      </c>
      <c r="K854" s="667"/>
      <c r="L854" s="858"/>
      <c r="M854" s="859"/>
      <c r="N854" s="859"/>
      <c r="O854" s="859"/>
      <c r="P854" s="859"/>
      <c r="Q854" s="859"/>
      <c r="R854" s="859"/>
      <c r="S854" s="859"/>
      <c r="T854" s="859"/>
      <c r="U854" s="859"/>
      <c r="V854" s="859"/>
      <c r="W854" s="859"/>
      <c r="X854" s="859"/>
      <c r="Y854" s="859"/>
      <c r="Z854" s="860"/>
      <c r="AA854" s="860"/>
      <c r="AB854" s="860"/>
      <c r="AC854" s="860"/>
      <c r="AD854" s="860"/>
      <c r="AE854" s="860"/>
      <c r="AF854" s="860"/>
      <c r="AG854" s="860"/>
      <c r="AH854" s="860"/>
      <c r="AI854" s="860"/>
      <c r="AJ854" s="860"/>
      <c r="AK854" s="860"/>
      <c r="AL854" s="860"/>
      <c r="AM854" s="860"/>
      <c r="AN854" s="860"/>
      <c r="AO854" s="860"/>
      <c r="AP854" s="860"/>
      <c r="AQ854" s="860"/>
      <c r="AR854" s="860"/>
      <c r="AS854" s="860"/>
      <c r="AT854" s="860"/>
      <c r="AU854" s="860"/>
      <c r="AV854" s="860"/>
      <c r="AW854" s="860"/>
      <c r="AX854" s="860"/>
      <c r="AY854" s="860"/>
      <c r="AZ854" s="860"/>
      <c r="BA854" s="860"/>
      <c r="BB854" s="860"/>
      <c r="BC854" s="860"/>
      <c r="BD854" s="860"/>
      <c r="BE854" s="860"/>
      <c r="BF854" s="860"/>
      <c r="BG854" s="860"/>
      <c r="BH854" s="668"/>
      <c r="BI854" s="667"/>
      <c r="BJ854" s="690">
        <f t="shared" si="293"/>
        <v>0</v>
      </c>
      <c r="BK854" s="691">
        <f t="shared" si="294"/>
        <v>0</v>
      </c>
      <c r="BL854" s="654"/>
      <c r="BM854" s="692">
        <f>SUMIFS(Imput[[Importe Neto]:[Importe Neto]],Imput[[C. Imp.]:[C. Imp.]],$D854,Imput[[PERIODO Imp.]:[PERIODO Imp.]],BM$9)</f>
        <v>0</v>
      </c>
      <c r="BN854" s="693">
        <f>SUMIFS(Imput[[Importe Neto]:[Importe Neto]],Imput[[C. Imp.]:[C. Imp.]],$D854,Imput[[PERIODO Imp.]:[PERIODO Imp.]],BN$9)</f>
        <v>0</v>
      </c>
      <c r="BO854" s="693">
        <f>SUMIFS(Imput[[Importe Neto]:[Importe Neto]],Imput[[C. Imp.]:[C. Imp.]],$D854,Imput[[PERIODO Imp.]:[PERIODO Imp.]],BO$9)</f>
        <v>0</v>
      </c>
      <c r="BP854" s="693">
        <f>SUMIFS(Imput[[Importe Neto]:[Importe Neto]],Imput[[C. Imp.]:[C. Imp.]],$D854,Imput[[PERIODO Imp.]:[PERIODO Imp.]],BP$9)</f>
        <v>0</v>
      </c>
      <c r="BQ854" s="693">
        <f>SUMIFS(Imput[[Importe Neto]:[Importe Neto]],Imput[[C. Imp.]:[C. Imp.]],$D854,Imput[[PERIODO Imp.]:[PERIODO Imp.]],BQ$9)</f>
        <v>0</v>
      </c>
      <c r="BR854" s="693">
        <f>SUMIFS(Imput[[Importe Neto]:[Importe Neto]],Imput[[C. Imp.]:[C. Imp.]],$D854,Imput[[PERIODO Imp.]:[PERIODO Imp.]],BR$9)</f>
        <v>0</v>
      </c>
      <c r="BS854" s="693">
        <f>SUMIFS(Imput[[Importe Neto]:[Importe Neto]],Imput[[C. Imp.]:[C. Imp.]],$D854,Imput[[PERIODO Imp.]:[PERIODO Imp.]],BS$9)</f>
        <v>0</v>
      </c>
      <c r="BT854" s="693">
        <f>SUMIFS(Imput[[Importe Neto]:[Importe Neto]],Imput[[C. Imp.]:[C. Imp.]],$D854,Imput[[PERIODO Imp.]:[PERIODO Imp.]],BT$9)</f>
        <v>0</v>
      </c>
      <c r="BU854" s="693">
        <f>SUMIFS(Imput[[Importe Neto]:[Importe Neto]],Imput[[C. Imp.]:[C. Imp.]],$D854,Imput[[PERIODO Imp.]:[PERIODO Imp.]],BU$9)</f>
        <v>0</v>
      </c>
      <c r="BV854" s="693">
        <f>SUMIFS(Imput[[Importe Neto]:[Importe Neto]],Imput[[C. Imp.]:[C. Imp.]],$D854,Imput[[PERIODO Imp.]:[PERIODO Imp.]],BV$9)</f>
        <v>0</v>
      </c>
      <c r="BW854" s="693">
        <f>SUMIFS(Imput[[Importe Neto]:[Importe Neto]],Imput[[C. Imp.]:[C. Imp.]],$D854,Imput[[PERIODO Imp.]:[PERIODO Imp.]],BW$9)</f>
        <v>0</v>
      </c>
      <c r="BX854" s="693">
        <f>SUMIFS(Imput[[Importe Neto]:[Importe Neto]],Imput[[C. Imp.]:[C. Imp.]],$D854,Imput[[PERIODO Imp.]:[PERIODO Imp.]],BX$9)</f>
        <v>0</v>
      </c>
      <c r="BY854" s="693">
        <f>SUMIFS(Imput[[Importe Neto]:[Importe Neto]],Imput[[C. Imp.]:[C. Imp.]],$D854,Imput[[PERIODO Imp.]:[PERIODO Imp.]],BY$9)</f>
        <v>0</v>
      </c>
      <c r="BZ854" s="693">
        <f>SUMIFS(Imput[[Importe Neto]:[Importe Neto]],Imput[[C. Imp.]:[C. Imp.]],$D854,Imput[[PERIODO Imp.]:[PERIODO Imp.]],BZ$9)</f>
        <v>0</v>
      </c>
      <c r="CA854" s="693">
        <f>SUMIFS(Imput[[Importe Neto]:[Importe Neto]],Imput[[C. Imp.]:[C. Imp.]],$D854,Imput[[PERIODO Imp.]:[PERIODO Imp.]],CA$9)</f>
        <v>0</v>
      </c>
      <c r="CB854" s="693">
        <f>SUMIFS(Imput[[Importe Neto]:[Importe Neto]],Imput[[C. Imp.]:[C. Imp.]],$D854,Imput[[PERIODO Imp.]:[PERIODO Imp.]],CB$9)</f>
        <v>0</v>
      </c>
      <c r="CC854" s="693">
        <f>SUMIFS(Imput[[Importe Neto]:[Importe Neto]],Imput[[C. Imp.]:[C. Imp.]],$D854,Imput[[PERIODO Imp.]:[PERIODO Imp.]],CC$9)</f>
        <v>0</v>
      </c>
      <c r="CD854" s="693">
        <f>SUMIFS(Imput[[Importe Neto]:[Importe Neto]],Imput[[C. Imp.]:[C. Imp.]],$D854,Imput[[PERIODO Imp.]:[PERIODO Imp.]],CD$9)</f>
        <v>0</v>
      </c>
      <c r="CE854" s="693">
        <f>SUMIFS(Imput[[Importe Neto]:[Importe Neto]],Imput[[C. Imp.]:[C. Imp.]],$D854,Imput[[PERIODO Imp.]:[PERIODO Imp.]],CE$9)</f>
        <v>0</v>
      </c>
      <c r="CF854" s="693">
        <f>SUMIFS(Imput[[Importe Neto]:[Importe Neto]],Imput[[C. Imp.]:[C. Imp.]],$D854,Imput[[PERIODO Imp.]:[PERIODO Imp.]],CF$9)</f>
        <v>0</v>
      </c>
      <c r="CG854" s="693">
        <f>SUMIFS(Imput[[Importe Neto]:[Importe Neto]],Imput[[C. Imp.]:[C. Imp.]],$D854,Imput[[PERIODO Imp.]:[PERIODO Imp.]],CG$9)</f>
        <v>0</v>
      </c>
      <c r="CH854" s="693">
        <f>SUMIFS(Imput[[Importe Neto]:[Importe Neto]],Imput[[C. Imp.]:[C. Imp.]],$D854,Imput[[PERIODO Imp.]:[PERIODO Imp.]],CH$9)</f>
        <v>0</v>
      </c>
      <c r="CI854" s="693">
        <f>SUMIFS(Imput[[Importe Neto]:[Importe Neto]],Imput[[C. Imp.]:[C. Imp.]],$D854,Imput[[PERIODO Imp.]:[PERIODO Imp.]],CI$9)</f>
        <v>0</v>
      </c>
      <c r="CJ854" s="693">
        <f>SUMIFS(Imput[[Importe Neto]:[Importe Neto]],Imput[[C. Imp.]:[C. Imp.]],$D854,Imput[[PERIODO Imp.]:[PERIODO Imp.]],CJ$9)</f>
        <v>0</v>
      </c>
      <c r="CK854" s="693">
        <f>SUMIFS(Imput[[Importe Neto]:[Importe Neto]],Imput[[C. Imp.]:[C. Imp.]],$D854,Imput[[PERIODO Imp.]:[PERIODO Imp.]],CK$9)</f>
        <v>0</v>
      </c>
      <c r="CL854" s="693">
        <f>SUMIFS(Imput[[Importe Neto]:[Importe Neto]],Imput[[C. Imp.]:[C. Imp.]],$D854,Imput[[PERIODO Imp.]:[PERIODO Imp.]],CL$9)</f>
        <v>0</v>
      </c>
      <c r="CM854" s="693">
        <f>SUMIFS(Imput[[Importe Neto]:[Importe Neto]],Imput[[C. Imp.]:[C. Imp.]],$D854,Imput[[PERIODO Imp.]:[PERIODO Imp.]],CM$9)</f>
        <v>0</v>
      </c>
      <c r="CN854" s="693">
        <f>SUMIFS(Imput[[Importe Neto]:[Importe Neto]],Imput[[C. Imp.]:[C. Imp.]],$D854,Imput[[PERIODO Imp.]:[PERIODO Imp.]],CN$9)</f>
        <v>0</v>
      </c>
      <c r="CO854" s="693">
        <f>SUMIFS(Imput[[Importe Neto]:[Importe Neto]],Imput[[C. Imp.]:[C. Imp.]],$D854,Imput[[PERIODO Imp.]:[PERIODO Imp.]],CO$9)</f>
        <v>0</v>
      </c>
      <c r="CP854" s="693">
        <f>SUMIFS(Imput[[Importe Neto]:[Importe Neto]],Imput[[C. Imp.]:[C. Imp.]],$D854,Imput[[PERIODO Imp.]:[PERIODO Imp.]],CP$9)</f>
        <v>0</v>
      </c>
      <c r="CQ854" s="693">
        <f>SUMIFS(Imput[[Importe Neto]:[Importe Neto]],Imput[[C. Imp.]:[C. Imp.]],$D854,Imput[[PERIODO Imp.]:[PERIODO Imp.]],CQ$9)</f>
        <v>0</v>
      </c>
      <c r="CR854" s="693">
        <f>SUMIFS(Imput[[Importe Neto]:[Importe Neto]],Imput[[C. Imp.]:[C. Imp.]],$D854,Imput[[PERIODO Imp.]:[PERIODO Imp.]],CR$9)</f>
        <v>0</v>
      </c>
      <c r="CS854" s="693">
        <f>SUMIFS(Imput[[Importe Neto]:[Importe Neto]],Imput[[C. Imp.]:[C. Imp.]],$D854,Imput[[PERIODO Imp.]:[PERIODO Imp.]],CS$9)</f>
        <v>0</v>
      </c>
      <c r="CT854" s="693">
        <f>SUMIFS(Imput[[Importe Neto]:[Importe Neto]],Imput[[C. Imp.]:[C. Imp.]],$D854,Imput[[PERIODO Imp.]:[PERIODO Imp.]],CT$9)</f>
        <v>0</v>
      </c>
      <c r="CU854" s="693">
        <f>SUMIFS(Imput[[Importe Neto]:[Importe Neto]],Imput[[C. Imp.]:[C. Imp.]],$D854,Imput[[PERIODO Imp.]:[PERIODO Imp.]],CU$9)</f>
        <v>0</v>
      </c>
      <c r="CV854" s="693">
        <f>SUMIFS(Imput[[Importe Neto]:[Importe Neto]],Imput[[C. Imp.]:[C. Imp.]],$D854,Imput[[PERIODO Imp.]:[PERIODO Imp.]],CV$9)</f>
        <v>0</v>
      </c>
      <c r="CW854" s="693">
        <f>SUMIFS(Imput[[Importe Neto]:[Importe Neto]],Imput[[C. Imp.]:[C. Imp.]],$D854,Imput[[PERIODO Imp.]:[PERIODO Imp.]],CW$9)</f>
        <v>0</v>
      </c>
      <c r="CX854" s="693">
        <f>SUMIFS(Imput[[Importe Neto]:[Importe Neto]],Imput[[C. Imp.]:[C. Imp.]],$D854,Imput[[PERIODO Imp.]:[PERIODO Imp.]],CX$9)</f>
        <v>0</v>
      </c>
      <c r="CY854" s="693">
        <f>SUMIFS(Imput[[Importe Neto]:[Importe Neto]],Imput[[C. Imp.]:[C. Imp.]],$D854,Imput[[PERIODO Imp.]:[PERIODO Imp.]],CY$9)</f>
        <v>0</v>
      </c>
      <c r="CZ854" s="693">
        <f>SUMIFS(Imput[[Importe Neto]:[Importe Neto]],Imput[[C. Imp.]:[C. Imp.]],$D854,Imput[[PERIODO Imp.]:[PERIODO Imp.]],CZ$9)</f>
        <v>0</v>
      </c>
      <c r="DA854" s="693">
        <f>SUMIFS(Imput[[Importe Neto]:[Importe Neto]],Imput[[C. Imp.]:[C. Imp.]],$D854,Imput[[PERIODO Imp.]:[PERIODO Imp.]],DA$9)</f>
        <v>0</v>
      </c>
      <c r="DB854" s="693">
        <f>SUMIFS(Imput[[Importe Neto]:[Importe Neto]],Imput[[C. Imp.]:[C. Imp.]],$D854,Imput[[PERIODO Imp.]:[PERIODO Imp.]],DB$9)</f>
        <v>0</v>
      </c>
      <c r="DC854" s="693">
        <f>SUMIFS(Imput[[Importe Neto]:[Importe Neto]],Imput[[C. Imp.]:[C. Imp.]],$D854,Imput[[PERIODO Imp.]:[PERIODO Imp.]],DC$9)</f>
        <v>0</v>
      </c>
      <c r="DD854" s="693">
        <f>SUMIFS(Imput[[Importe Neto]:[Importe Neto]],Imput[[C. Imp.]:[C. Imp.]],$D854,Imput[[PERIODO Imp.]:[PERIODO Imp.]],DD$9)</f>
        <v>0</v>
      </c>
      <c r="DE854" s="693">
        <f>SUMIFS(Imput[[Importe Neto]:[Importe Neto]],Imput[[C. Imp.]:[C. Imp.]],$D854,Imput[[PERIODO Imp.]:[PERIODO Imp.]],DE$9)</f>
        <v>0</v>
      </c>
      <c r="DF854" s="693">
        <f>SUMIFS(Imput[[Importe Neto]:[Importe Neto]],Imput[[C. Imp.]:[C. Imp.]],$D854,Imput[[PERIODO Imp.]:[PERIODO Imp.]],DF$9)</f>
        <v>0</v>
      </c>
      <c r="DG854" s="693">
        <f>SUMIFS(Imput[[Importe Neto]:[Importe Neto]],Imput[[C. Imp.]:[C. Imp.]],$D854,Imput[[PERIODO Imp.]:[PERIODO Imp.]],DG$9)</f>
        <v>0</v>
      </c>
      <c r="DH854" s="694">
        <f>SUMIFS(Imput[[Importe Neto]:[Importe Neto]],Imput[[C. Imp.]:[C. Imp.]],$D854,Imput[[PERIODO Imp.]:[PERIODO Imp.]],DH$9)</f>
        <v>0</v>
      </c>
    </row>
    <row r="855" spans="1:112" s="649" customFormat="1" hidden="1" outlineLevel="1" x14ac:dyDescent="0.3">
      <c r="A855" s="652" t="str">
        <f t="shared" si="290"/>
        <v/>
      </c>
      <c r="B855" s="652"/>
      <c r="C855" s="685"/>
      <c r="D855" s="686" t="s">
        <v>2831</v>
      </c>
      <c r="E855" s="686"/>
      <c r="F855" s="720"/>
      <c r="G855" s="688"/>
      <c r="H855" s="689"/>
      <c r="I855" s="851" t="str">
        <f t="shared" si="291"/>
        <v/>
      </c>
      <c r="J855" s="850" t="str">
        <f t="shared" si="292"/>
        <v/>
      </c>
      <c r="K855" s="667"/>
      <c r="L855" s="858"/>
      <c r="M855" s="859"/>
      <c r="N855" s="859"/>
      <c r="O855" s="859"/>
      <c r="P855" s="859"/>
      <c r="Q855" s="859"/>
      <c r="R855" s="859"/>
      <c r="S855" s="859"/>
      <c r="T855" s="859"/>
      <c r="U855" s="859"/>
      <c r="V855" s="859"/>
      <c r="W855" s="859"/>
      <c r="X855" s="859"/>
      <c r="Y855" s="859"/>
      <c r="Z855" s="860"/>
      <c r="AA855" s="860"/>
      <c r="AB855" s="860"/>
      <c r="AC855" s="860"/>
      <c r="AD855" s="860"/>
      <c r="AE855" s="860"/>
      <c r="AF855" s="860"/>
      <c r="AG855" s="860"/>
      <c r="AH855" s="860"/>
      <c r="AI855" s="860"/>
      <c r="AJ855" s="860"/>
      <c r="AK855" s="860"/>
      <c r="AL855" s="860"/>
      <c r="AM855" s="860"/>
      <c r="AN855" s="860"/>
      <c r="AO855" s="860"/>
      <c r="AP855" s="860"/>
      <c r="AQ855" s="860"/>
      <c r="AR855" s="860"/>
      <c r="AS855" s="860"/>
      <c r="AT855" s="860"/>
      <c r="AU855" s="860"/>
      <c r="AV855" s="860"/>
      <c r="AW855" s="860"/>
      <c r="AX855" s="860"/>
      <c r="AY855" s="860"/>
      <c r="AZ855" s="860"/>
      <c r="BA855" s="860"/>
      <c r="BB855" s="860"/>
      <c r="BC855" s="860"/>
      <c r="BD855" s="860"/>
      <c r="BE855" s="860"/>
      <c r="BF855" s="860"/>
      <c r="BG855" s="860"/>
      <c r="BH855" s="668"/>
      <c r="BI855" s="667"/>
      <c r="BJ855" s="690">
        <f t="shared" si="293"/>
        <v>0</v>
      </c>
      <c r="BK855" s="691">
        <f t="shared" si="294"/>
        <v>0</v>
      </c>
      <c r="BL855" s="654"/>
      <c r="BM855" s="692">
        <f>SUMIFS(Imput[[Importe Neto]:[Importe Neto]],Imput[[C. Imp.]:[C. Imp.]],$D855,Imput[[PERIODO Imp.]:[PERIODO Imp.]],BM$9)</f>
        <v>0</v>
      </c>
      <c r="BN855" s="693">
        <f>SUMIFS(Imput[[Importe Neto]:[Importe Neto]],Imput[[C. Imp.]:[C. Imp.]],$D855,Imput[[PERIODO Imp.]:[PERIODO Imp.]],BN$9)</f>
        <v>0</v>
      </c>
      <c r="BO855" s="693">
        <f>SUMIFS(Imput[[Importe Neto]:[Importe Neto]],Imput[[C. Imp.]:[C. Imp.]],$D855,Imput[[PERIODO Imp.]:[PERIODO Imp.]],BO$9)</f>
        <v>0</v>
      </c>
      <c r="BP855" s="693">
        <f>SUMIFS(Imput[[Importe Neto]:[Importe Neto]],Imput[[C. Imp.]:[C. Imp.]],$D855,Imput[[PERIODO Imp.]:[PERIODO Imp.]],BP$9)</f>
        <v>0</v>
      </c>
      <c r="BQ855" s="693">
        <f>SUMIFS(Imput[[Importe Neto]:[Importe Neto]],Imput[[C. Imp.]:[C. Imp.]],$D855,Imput[[PERIODO Imp.]:[PERIODO Imp.]],BQ$9)</f>
        <v>0</v>
      </c>
      <c r="BR855" s="693">
        <f>SUMIFS(Imput[[Importe Neto]:[Importe Neto]],Imput[[C. Imp.]:[C. Imp.]],$D855,Imput[[PERIODO Imp.]:[PERIODO Imp.]],BR$9)</f>
        <v>0</v>
      </c>
      <c r="BS855" s="693">
        <f>SUMIFS(Imput[[Importe Neto]:[Importe Neto]],Imput[[C. Imp.]:[C. Imp.]],$D855,Imput[[PERIODO Imp.]:[PERIODO Imp.]],BS$9)</f>
        <v>0</v>
      </c>
      <c r="BT855" s="693">
        <f>SUMIFS(Imput[[Importe Neto]:[Importe Neto]],Imput[[C. Imp.]:[C. Imp.]],$D855,Imput[[PERIODO Imp.]:[PERIODO Imp.]],BT$9)</f>
        <v>0</v>
      </c>
      <c r="BU855" s="693">
        <f>SUMIFS(Imput[[Importe Neto]:[Importe Neto]],Imput[[C. Imp.]:[C. Imp.]],$D855,Imput[[PERIODO Imp.]:[PERIODO Imp.]],BU$9)</f>
        <v>0</v>
      </c>
      <c r="BV855" s="693">
        <f>SUMIFS(Imput[[Importe Neto]:[Importe Neto]],Imput[[C. Imp.]:[C. Imp.]],$D855,Imput[[PERIODO Imp.]:[PERIODO Imp.]],BV$9)</f>
        <v>0</v>
      </c>
      <c r="BW855" s="693">
        <f>SUMIFS(Imput[[Importe Neto]:[Importe Neto]],Imput[[C. Imp.]:[C. Imp.]],$D855,Imput[[PERIODO Imp.]:[PERIODO Imp.]],BW$9)</f>
        <v>0</v>
      </c>
      <c r="BX855" s="693">
        <f>SUMIFS(Imput[[Importe Neto]:[Importe Neto]],Imput[[C. Imp.]:[C. Imp.]],$D855,Imput[[PERIODO Imp.]:[PERIODO Imp.]],BX$9)</f>
        <v>0</v>
      </c>
      <c r="BY855" s="693">
        <f>SUMIFS(Imput[[Importe Neto]:[Importe Neto]],Imput[[C. Imp.]:[C. Imp.]],$D855,Imput[[PERIODO Imp.]:[PERIODO Imp.]],BY$9)</f>
        <v>0</v>
      </c>
      <c r="BZ855" s="693">
        <f>SUMIFS(Imput[[Importe Neto]:[Importe Neto]],Imput[[C. Imp.]:[C. Imp.]],$D855,Imput[[PERIODO Imp.]:[PERIODO Imp.]],BZ$9)</f>
        <v>0</v>
      </c>
      <c r="CA855" s="693">
        <f>SUMIFS(Imput[[Importe Neto]:[Importe Neto]],Imput[[C. Imp.]:[C. Imp.]],$D855,Imput[[PERIODO Imp.]:[PERIODO Imp.]],CA$9)</f>
        <v>0</v>
      </c>
      <c r="CB855" s="693">
        <f>SUMIFS(Imput[[Importe Neto]:[Importe Neto]],Imput[[C. Imp.]:[C. Imp.]],$D855,Imput[[PERIODO Imp.]:[PERIODO Imp.]],CB$9)</f>
        <v>0</v>
      </c>
      <c r="CC855" s="693">
        <f>SUMIFS(Imput[[Importe Neto]:[Importe Neto]],Imput[[C. Imp.]:[C. Imp.]],$D855,Imput[[PERIODO Imp.]:[PERIODO Imp.]],CC$9)</f>
        <v>0</v>
      </c>
      <c r="CD855" s="693">
        <f>SUMIFS(Imput[[Importe Neto]:[Importe Neto]],Imput[[C. Imp.]:[C. Imp.]],$D855,Imput[[PERIODO Imp.]:[PERIODO Imp.]],CD$9)</f>
        <v>0</v>
      </c>
      <c r="CE855" s="693">
        <f>SUMIFS(Imput[[Importe Neto]:[Importe Neto]],Imput[[C. Imp.]:[C. Imp.]],$D855,Imput[[PERIODO Imp.]:[PERIODO Imp.]],CE$9)</f>
        <v>0</v>
      </c>
      <c r="CF855" s="693">
        <f>SUMIFS(Imput[[Importe Neto]:[Importe Neto]],Imput[[C. Imp.]:[C. Imp.]],$D855,Imput[[PERIODO Imp.]:[PERIODO Imp.]],CF$9)</f>
        <v>0</v>
      </c>
      <c r="CG855" s="693">
        <f>SUMIFS(Imput[[Importe Neto]:[Importe Neto]],Imput[[C. Imp.]:[C. Imp.]],$D855,Imput[[PERIODO Imp.]:[PERIODO Imp.]],CG$9)</f>
        <v>0</v>
      </c>
      <c r="CH855" s="693">
        <f>SUMIFS(Imput[[Importe Neto]:[Importe Neto]],Imput[[C. Imp.]:[C. Imp.]],$D855,Imput[[PERIODO Imp.]:[PERIODO Imp.]],CH$9)</f>
        <v>0</v>
      </c>
      <c r="CI855" s="693">
        <f>SUMIFS(Imput[[Importe Neto]:[Importe Neto]],Imput[[C. Imp.]:[C. Imp.]],$D855,Imput[[PERIODO Imp.]:[PERIODO Imp.]],CI$9)</f>
        <v>0</v>
      </c>
      <c r="CJ855" s="693">
        <f>SUMIFS(Imput[[Importe Neto]:[Importe Neto]],Imput[[C. Imp.]:[C. Imp.]],$D855,Imput[[PERIODO Imp.]:[PERIODO Imp.]],CJ$9)</f>
        <v>0</v>
      </c>
      <c r="CK855" s="693">
        <f>SUMIFS(Imput[[Importe Neto]:[Importe Neto]],Imput[[C. Imp.]:[C. Imp.]],$D855,Imput[[PERIODO Imp.]:[PERIODO Imp.]],CK$9)</f>
        <v>0</v>
      </c>
      <c r="CL855" s="693">
        <f>SUMIFS(Imput[[Importe Neto]:[Importe Neto]],Imput[[C. Imp.]:[C. Imp.]],$D855,Imput[[PERIODO Imp.]:[PERIODO Imp.]],CL$9)</f>
        <v>0</v>
      </c>
      <c r="CM855" s="693">
        <f>SUMIFS(Imput[[Importe Neto]:[Importe Neto]],Imput[[C. Imp.]:[C. Imp.]],$D855,Imput[[PERIODO Imp.]:[PERIODO Imp.]],CM$9)</f>
        <v>0</v>
      </c>
      <c r="CN855" s="693">
        <f>SUMIFS(Imput[[Importe Neto]:[Importe Neto]],Imput[[C. Imp.]:[C. Imp.]],$D855,Imput[[PERIODO Imp.]:[PERIODO Imp.]],CN$9)</f>
        <v>0</v>
      </c>
      <c r="CO855" s="693">
        <f>SUMIFS(Imput[[Importe Neto]:[Importe Neto]],Imput[[C. Imp.]:[C. Imp.]],$D855,Imput[[PERIODO Imp.]:[PERIODO Imp.]],CO$9)</f>
        <v>0</v>
      </c>
      <c r="CP855" s="693">
        <f>SUMIFS(Imput[[Importe Neto]:[Importe Neto]],Imput[[C. Imp.]:[C. Imp.]],$D855,Imput[[PERIODO Imp.]:[PERIODO Imp.]],CP$9)</f>
        <v>0</v>
      </c>
      <c r="CQ855" s="693">
        <f>SUMIFS(Imput[[Importe Neto]:[Importe Neto]],Imput[[C. Imp.]:[C. Imp.]],$D855,Imput[[PERIODO Imp.]:[PERIODO Imp.]],CQ$9)</f>
        <v>0</v>
      </c>
      <c r="CR855" s="693">
        <f>SUMIFS(Imput[[Importe Neto]:[Importe Neto]],Imput[[C. Imp.]:[C. Imp.]],$D855,Imput[[PERIODO Imp.]:[PERIODO Imp.]],CR$9)</f>
        <v>0</v>
      </c>
      <c r="CS855" s="693">
        <f>SUMIFS(Imput[[Importe Neto]:[Importe Neto]],Imput[[C. Imp.]:[C. Imp.]],$D855,Imput[[PERIODO Imp.]:[PERIODO Imp.]],CS$9)</f>
        <v>0</v>
      </c>
      <c r="CT855" s="693">
        <f>SUMIFS(Imput[[Importe Neto]:[Importe Neto]],Imput[[C. Imp.]:[C. Imp.]],$D855,Imput[[PERIODO Imp.]:[PERIODO Imp.]],CT$9)</f>
        <v>0</v>
      </c>
      <c r="CU855" s="693">
        <f>SUMIFS(Imput[[Importe Neto]:[Importe Neto]],Imput[[C. Imp.]:[C. Imp.]],$D855,Imput[[PERIODO Imp.]:[PERIODO Imp.]],CU$9)</f>
        <v>0</v>
      </c>
      <c r="CV855" s="693">
        <f>SUMIFS(Imput[[Importe Neto]:[Importe Neto]],Imput[[C. Imp.]:[C. Imp.]],$D855,Imput[[PERIODO Imp.]:[PERIODO Imp.]],CV$9)</f>
        <v>0</v>
      </c>
      <c r="CW855" s="693">
        <f>SUMIFS(Imput[[Importe Neto]:[Importe Neto]],Imput[[C. Imp.]:[C. Imp.]],$D855,Imput[[PERIODO Imp.]:[PERIODO Imp.]],CW$9)</f>
        <v>0</v>
      </c>
      <c r="CX855" s="693">
        <f>SUMIFS(Imput[[Importe Neto]:[Importe Neto]],Imput[[C. Imp.]:[C. Imp.]],$D855,Imput[[PERIODO Imp.]:[PERIODO Imp.]],CX$9)</f>
        <v>0</v>
      </c>
      <c r="CY855" s="693">
        <f>SUMIFS(Imput[[Importe Neto]:[Importe Neto]],Imput[[C. Imp.]:[C. Imp.]],$D855,Imput[[PERIODO Imp.]:[PERIODO Imp.]],CY$9)</f>
        <v>0</v>
      </c>
      <c r="CZ855" s="693">
        <f>SUMIFS(Imput[[Importe Neto]:[Importe Neto]],Imput[[C. Imp.]:[C. Imp.]],$D855,Imput[[PERIODO Imp.]:[PERIODO Imp.]],CZ$9)</f>
        <v>0</v>
      </c>
      <c r="DA855" s="693">
        <f>SUMIFS(Imput[[Importe Neto]:[Importe Neto]],Imput[[C. Imp.]:[C. Imp.]],$D855,Imput[[PERIODO Imp.]:[PERIODO Imp.]],DA$9)</f>
        <v>0</v>
      </c>
      <c r="DB855" s="693">
        <f>SUMIFS(Imput[[Importe Neto]:[Importe Neto]],Imput[[C. Imp.]:[C. Imp.]],$D855,Imput[[PERIODO Imp.]:[PERIODO Imp.]],DB$9)</f>
        <v>0</v>
      </c>
      <c r="DC855" s="693">
        <f>SUMIFS(Imput[[Importe Neto]:[Importe Neto]],Imput[[C. Imp.]:[C. Imp.]],$D855,Imput[[PERIODO Imp.]:[PERIODO Imp.]],DC$9)</f>
        <v>0</v>
      </c>
      <c r="DD855" s="693">
        <f>SUMIFS(Imput[[Importe Neto]:[Importe Neto]],Imput[[C. Imp.]:[C. Imp.]],$D855,Imput[[PERIODO Imp.]:[PERIODO Imp.]],DD$9)</f>
        <v>0</v>
      </c>
      <c r="DE855" s="693">
        <f>SUMIFS(Imput[[Importe Neto]:[Importe Neto]],Imput[[C. Imp.]:[C. Imp.]],$D855,Imput[[PERIODO Imp.]:[PERIODO Imp.]],DE$9)</f>
        <v>0</v>
      </c>
      <c r="DF855" s="693">
        <f>SUMIFS(Imput[[Importe Neto]:[Importe Neto]],Imput[[C. Imp.]:[C. Imp.]],$D855,Imput[[PERIODO Imp.]:[PERIODO Imp.]],DF$9)</f>
        <v>0</v>
      </c>
      <c r="DG855" s="693">
        <f>SUMIFS(Imput[[Importe Neto]:[Importe Neto]],Imput[[C. Imp.]:[C. Imp.]],$D855,Imput[[PERIODO Imp.]:[PERIODO Imp.]],DG$9)</f>
        <v>0</v>
      </c>
      <c r="DH855" s="694">
        <f>SUMIFS(Imput[[Importe Neto]:[Importe Neto]],Imput[[C. Imp.]:[C. Imp.]],$D855,Imput[[PERIODO Imp.]:[PERIODO Imp.]],DH$9)</f>
        <v>0</v>
      </c>
    </row>
    <row r="856" spans="1:112" s="649" customFormat="1" hidden="1" outlineLevel="1" x14ac:dyDescent="0.3">
      <c r="A856" s="652" t="str">
        <f t="shared" si="290"/>
        <v/>
      </c>
      <c r="B856" s="652"/>
      <c r="C856" s="685"/>
      <c r="D856" s="686" t="s">
        <v>2832</v>
      </c>
      <c r="E856" s="686"/>
      <c r="F856" s="720"/>
      <c r="G856" s="688"/>
      <c r="H856" s="689"/>
      <c r="I856" s="851" t="str">
        <f t="shared" si="291"/>
        <v/>
      </c>
      <c r="J856" s="850" t="str">
        <f t="shared" si="292"/>
        <v/>
      </c>
      <c r="K856" s="667"/>
      <c r="L856" s="858"/>
      <c r="M856" s="859"/>
      <c r="N856" s="859"/>
      <c r="O856" s="859"/>
      <c r="P856" s="859"/>
      <c r="Q856" s="859"/>
      <c r="R856" s="859"/>
      <c r="S856" s="859"/>
      <c r="T856" s="859"/>
      <c r="U856" s="859"/>
      <c r="V856" s="859"/>
      <c r="W856" s="859"/>
      <c r="X856" s="859"/>
      <c r="Y856" s="859"/>
      <c r="Z856" s="860"/>
      <c r="AA856" s="860"/>
      <c r="AB856" s="860"/>
      <c r="AC856" s="860"/>
      <c r="AD856" s="860"/>
      <c r="AE856" s="860"/>
      <c r="AF856" s="860"/>
      <c r="AG856" s="860"/>
      <c r="AH856" s="860"/>
      <c r="AI856" s="860"/>
      <c r="AJ856" s="860"/>
      <c r="AK856" s="860"/>
      <c r="AL856" s="860"/>
      <c r="AM856" s="860"/>
      <c r="AN856" s="860"/>
      <c r="AO856" s="860"/>
      <c r="AP856" s="860"/>
      <c r="AQ856" s="860"/>
      <c r="AR856" s="860"/>
      <c r="AS856" s="860"/>
      <c r="AT856" s="860"/>
      <c r="AU856" s="860"/>
      <c r="AV856" s="860"/>
      <c r="AW856" s="860"/>
      <c r="AX856" s="860"/>
      <c r="AY856" s="860"/>
      <c r="AZ856" s="860"/>
      <c r="BA856" s="860"/>
      <c r="BB856" s="860"/>
      <c r="BC856" s="860"/>
      <c r="BD856" s="860"/>
      <c r="BE856" s="860"/>
      <c r="BF856" s="860"/>
      <c r="BG856" s="860"/>
      <c r="BH856" s="668"/>
      <c r="BI856" s="667"/>
      <c r="BJ856" s="690">
        <f t="shared" si="293"/>
        <v>0</v>
      </c>
      <c r="BK856" s="691">
        <f t="shared" si="294"/>
        <v>0</v>
      </c>
      <c r="BL856" s="654"/>
      <c r="BM856" s="692">
        <f>SUMIFS(Imput[[Importe Neto]:[Importe Neto]],Imput[[C. Imp.]:[C. Imp.]],$D856,Imput[[PERIODO Imp.]:[PERIODO Imp.]],BM$9)</f>
        <v>0</v>
      </c>
      <c r="BN856" s="693">
        <f>SUMIFS(Imput[[Importe Neto]:[Importe Neto]],Imput[[C. Imp.]:[C. Imp.]],$D856,Imput[[PERIODO Imp.]:[PERIODO Imp.]],BN$9)</f>
        <v>0</v>
      </c>
      <c r="BO856" s="693">
        <f>SUMIFS(Imput[[Importe Neto]:[Importe Neto]],Imput[[C. Imp.]:[C. Imp.]],$D856,Imput[[PERIODO Imp.]:[PERIODO Imp.]],BO$9)</f>
        <v>0</v>
      </c>
      <c r="BP856" s="693">
        <f>SUMIFS(Imput[[Importe Neto]:[Importe Neto]],Imput[[C. Imp.]:[C. Imp.]],$D856,Imput[[PERIODO Imp.]:[PERIODO Imp.]],BP$9)</f>
        <v>0</v>
      </c>
      <c r="BQ856" s="693">
        <f>SUMIFS(Imput[[Importe Neto]:[Importe Neto]],Imput[[C. Imp.]:[C. Imp.]],$D856,Imput[[PERIODO Imp.]:[PERIODO Imp.]],BQ$9)</f>
        <v>0</v>
      </c>
      <c r="BR856" s="693">
        <f>SUMIFS(Imput[[Importe Neto]:[Importe Neto]],Imput[[C. Imp.]:[C. Imp.]],$D856,Imput[[PERIODO Imp.]:[PERIODO Imp.]],BR$9)</f>
        <v>0</v>
      </c>
      <c r="BS856" s="693">
        <f>SUMIFS(Imput[[Importe Neto]:[Importe Neto]],Imput[[C. Imp.]:[C. Imp.]],$D856,Imput[[PERIODO Imp.]:[PERIODO Imp.]],BS$9)</f>
        <v>0</v>
      </c>
      <c r="BT856" s="693">
        <f>SUMIFS(Imput[[Importe Neto]:[Importe Neto]],Imput[[C. Imp.]:[C. Imp.]],$D856,Imput[[PERIODO Imp.]:[PERIODO Imp.]],BT$9)</f>
        <v>0</v>
      </c>
      <c r="BU856" s="693">
        <f>SUMIFS(Imput[[Importe Neto]:[Importe Neto]],Imput[[C. Imp.]:[C. Imp.]],$D856,Imput[[PERIODO Imp.]:[PERIODO Imp.]],BU$9)</f>
        <v>0</v>
      </c>
      <c r="BV856" s="693">
        <f>SUMIFS(Imput[[Importe Neto]:[Importe Neto]],Imput[[C. Imp.]:[C. Imp.]],$D856,Imput[[PERIODO Imp.]:[PERIODO Imp.]],BV$9)</f>
        <v>0</v>
      </c>
      <c r="BW856" s="693">
        <f>SUMIFS(Imput[[Importe Neto]:[Importe Neto]],Imput[[C. Imp.]:[C. Imp.]],$D856,Imput[[PERIODO Imp.]:[PERIODO Imp.]],BW$9)</f>
        <v>0</v>
      </c>
      <c r="BX856" s="693">
        <f>SUMIFS(Imput[[Importe Neto]:[Importe Neto]],Imput[[C. Imp.]:[C. Imp.]],$D856,Imput[[PERIODO Imp.]:[PERIODO Imp.]],BX$9)</f>
        <v>0</v>
      </c>
      <c r="BY856" s="693">
        <f>SUMIFS(Imput[[Importe Neto]:[Importe Neto]],Imput[[C. Imp.]:[C. Imp.]],$D856,Imput[[PERIODO Imp.]:[PERIODO Imp.]],BY$9)</f>
        <v>0</v>
      </c>
      <c r="BZ856" s="693">
        <f>SUMIFS(Imput[[Importe Neto]:[Importe Neto]],Imput[[C. Imp.]:[C. Imp.]],$D856,Imput[[PERIODO Imp.]:[PERIODO Imp.]],BZ$9)</f>
        <v>0</v>
      </c>
      <c r="CA856" s="693">
        <f>SUMIFS(Imput[[Importe Neto]:[Importe Neto]],Imput[[C. Imp.]:[C. Imp.]],$D856,Imput[[PERIODO Imp.]:[PERIODO Imp.]],CA$9)</f>
        <v>0</v>
      </c>
      <c r="CB856" s="693">
        <f>SUMIFS(Imput[[Importe Neto]:[Importe Neto]],Imput[[C. Imp.]:[C. Imp.]],$D856,Imput[[PERIODO Imp.]:[PERIODO Imp.]],CB$9)</f>
        <v>0</v>
      </c>
      <c r="CC856" s="693">
        <f>SUMIFS(Imput[[Importe Neto]:[Importe Neto]],Imput[[C. Imp.]:[C. Imp.]],$D856,Imput[[PERIODO Imp.]:[PERIODO Imp.]],CC$9)</f>
        <v>0</v>
      </c>
      <c r="CD856" s="693">
        <f>SUMIFS(Imput[[Importe Neto]:[Importe Neto]],Imput[[C. Imp.]:[C. Imp.]],$D856,Imput[[PERIODO Imp.]:[PERIODO Imp.]],CD$9)</f>
        <v>0</v>
      </c>
      <c r="CE856" s="693">
        <f>SUMIFS(Imput[[Importe Neto]:[Importe Neto]],Imput[[C. Imp.]:[C. Imp.]],$D856,Imput[[PERIODO Imp.]:[PERIODO Imp.]],CE$9)</f>
        <v>0</v>
      </c>
      <c r="CF856" s="693">
        <f>SUMIFS(Imput[[Importe Neto]:[Importe Neto]],Imput[[C. Imp.]:[C. Imp.]],$D856,Imput[[PERIODO Imp.]:[PERIODO Imp.]],CF$9)</f>
        <v>0</v>
      </c>
      <c r="CG856" s="693">
        <f>SUMIFS(Imput[[Importe Neto]:[Importe Neto]],Imput[[C. Imp.]:[C. Imp.]],$D856,Imput[[PERIODO Imp.]:[PERIODO Imp.]],CG$9)</f>
        <v>0</v>
      </c>
      <c r="CH856" s="693">
        <f>SUMIFS(Imput[[Importe Neto]:[Importe Neto]],Imput[[C. Imp.]:[C. Imp.]],$D856,Imput[[PERIODO Imp.]:[PERIODO Imp.]],CH$9)</f>
        <v>0</v>
      </c>
      <c r="CI856" s="693">
        <f>SUMIFS(Imput[[Importe Neto]:[Importe Neto]],Imput[[C. Imp.]:[C. Imp.]],$D856,Imput[[PERIODO Imp.]:[PERIODO Imp.]],CI$9)</f>
        <v>0</v>
      </c>
      <c r="CJ856" s="693">
        <f>SUMIFS(Imput[[Importe Neto]:[Importe Neto]],Imput[[C. Imp.]:[C. Imp.]],$D856,Imput[[PERIODO Imp.]:[PERIODO Imp.]],CJ$9)</f>
        <v>0</v>
      </c>
      <c r="CK856" s="693">
        <f>SUMIFS(Imput[[Importe Neto]:[Importe Neto]],Imput[[C. Imp.]:[C. Imp.]],$D856,Imput[[PERIODO Imp.]:[PERIODO Imp.]],CK$9)</f>
        <v>0</v>
      </c>
      <c r="CL856" s="693">
        <f>SUMIFS(Imput[[Importe Neto]:[Importe Neto]],Imput[[C. Imp.]:[C. Imp.]],$D856,Imput[[PERIODO Imp.]:[PERIODO Imp.]],CL$9)</f>
        <v>0</v>
      </c>
      <c r="CM856" s="693">
        <f>SUMIFS(Imput[[Importe Neto]:[Importe Neto]],Imput[[C. Imp.]:[C. Imp.]],$D856,Imput[[PERIODO Imp.]:[PERIODO Imp.]],CM$9)</f>
        <v>0</v>
      </c>
      <c r="CN856" s="693">
        <f>SUMIFS(Imput[[Importe Neto]:[Importe Neto]],Imput[[C. Imp.]:[C. Imp.]],$D856,Imput[[PERIODO Imp.]:[PERIODO Imp.]],CN$9)</f>
        <v>0</v>
      </c>
      <c r="CO856" s="693">
        <f>SUMIFS(Imput[[Importe Neto]:[Importe Neto]],Imput[[C. Imp.]:[C. Imp.]],$D856,Imput[[PERIODO Imp.]:[PERIODO Imp.]],CO$9)</f>
        <v>0</v>
      </c>
      <c r="CP856" s="693">
        <f>SUMIFS(Imput[[Importe Neto]:[Importe Neto]],Imput[[C. Imp.]:[C. Imp.]],$D856,Imput[[PERIODO Imp.]:[PERIODO Imp.]],CP$9)</f>
        <v>0</v>
      </c>
      <c r="CQ856" s="693">
        <f>SUMIFS(Imput[[Importe Neto]:[Importe Neto]],Imput[[C. Imp.]:[C. Imp.]],$D856,Imput[[PERIODO Imp.]:[PERIODO Imp.]],CQ$9)</f>
        <v>0</v>
      </c>
      <c r="CR856" s="693">
        <f>SUMIFS(Imput[[Importe Neto]:[Importe Neto]],Imput[[C. Imp.]:[C. Imp.]],$D856,Imput[[PERIODO Imp.]:[PERIODO Imp.]],CR$9)</f>
        <v>0</v>
      </c>
      <c r="CS856" s="693">
        <f>SUMIFS(Imput[[Importe Neto]:[Importe Neto]],Imput[[C. Imp.]:[C. Imp.]],$D856,Imput[[PERIODO Imp.]:[PERIODO Imp.]],CS$9)</f>
        <v>0</v>
      </c>
      <c r="CT856" s="693">
        <f>SUMIFS(Imput[[Importe Neto]:[Importe Neto]],Imput[[C. Imp.]:[C. Imp.]],$D856,Imput[[PERIODO Imp.]:[PERIODO Imp.]],CT$9)</f>
        <v>0</v>
      </c>
      <c r="CU856" s="693">
        <f>SUMIFS(Imput[[Importe Neto]:[Importe Neto]],Imput[[C. Imp.]:[C. Imp.]],$D856,Imput[[PERIODO Imp.]:[PERIODO Imp.]],CU$9)</f>
        <v>0</v>
      </c>
      <c r="CV856" s="693">
        <f>SUMIFS(Imput[[Importe Neto]:[Importe Neto]],Imput[[C. Imp.]:[C. Imp.]],$D856,Imput[[PERIODO Imp.]:[PERIODO Imp.]],CV$9)</f>
        <v>0</v>
      </c>
      <c r="CW856" s="693">
        <f>SUMIFS(Imput[[Importe Neto]:[Importe Neto]],Imput[[C. Imp.]:[C. Imp.]],$D856,Imput[[PERIODO Imp.]:[PERIODO Imp.]],CW$9)</f>
        <v>0</v>
      </c>
      <c r="CX856" s="693">
        <f>SUMIFS(Imput[[Importe Neto]:[Importe Neto]],Imput[[C. Imp.]:[C. Imp.]],$D856,Imput[[PERIODO Imp.]:[PERIODO Imp.]],CX$9)</f>
        <v>0</v>
      </c>
      <c r="CY856" s="693">
        <f>SUMIFS(Imput[[Importe Neto]:[Importe Neto]],Imput[[C. Imp.]:[C. Imp.]],$D856,Imput[[PERIODO Imp.]:[PERIODO Imp.]],CY$9)</f>
        <v>0</v>
      </c>
      <c r="CZ856" s="693">
        <f>SUMIFS(Imput[[Importe Neto]:[Importe Neto]],Imput[[C. Imp.]:[C. Imp.]],$D856,Imput[[PERIODO Imp.]:[PERIODO Imp.]],CZ$9)</f>
        <v>0</v>
      </c>
      <c r="DA856" s="693">
        <f>SUMIFS(Imput[[Importe Neto]:[Importe Neto]],Imput[[C. Imp.]:[C. Imp.]],$D856,Imput[[PERIODO Imp.]:[PERIODO Imp.]],DA$9)</f>
        <v>0</v>
      </c>
      <c r="DB856" s="693">
        <f>SUMIFS(Imput[[Importe Neto]:[Importe Neto]],Imput[[C. Imp.]:[C. Imp.]],$D856,Imput[[PERIODO Imp.]:[PERIODO Imp.]],DB$9)</f>
        <v>0</v>
      </c>
      <c r="DC856" s="693">
        <f>SUMIFS(Imput[[Importe Neto]:[Importe Neto]],Imput[[C. Imp.]:[C. Imp.]],$D856,Imput[[PERIODO Imp.]:[PERIODO Imp.]],DC$9)</f>
        <v>0</v>
      </c>
      <c r="DD856" s="693">
        <f>SUMIFS(Imput[[Importe Neto]:[Importe Neto]],Imput[[C. Imp.]:[C. Imp.]],$D856,Imput[[PERIODO Imp.]:[PERIODO Imp.]],DD$9)</f>
        <v>0</v>
      </c>
      <c r="DE856" s="693">
        <f>SUMIFS(Imput[[Importe Neto]:[Importe Neto]],Imput[[C. Imp.]:[C. Imp.]],$D856,Imput[[PERIODO Imp.]:[PERIODO Imp.]],DE$9)</f>
        <v>0</v>
      </c>
      <c r="DF856" s="693">
        <f>SUMIFS(Imput[[Importe Neto]:[Importe Neto]],Imput[[C. Imp.]:[C. Imp.]],$D856,Imput[[PERIODO Imp.]:[PERIODO Imp.]],DF$9)</f>
        <v>0</v>
      </c>
      <c r="DG856" s="693">
        <f>SUMIFS(Imput[[Importe Neto]:[Importe Neto]],Imput[[C. Imp.]:[C. Imp.]],$D856,Imput[[PERIODO Imp.]:[PERIODO Imp.]],DG$9)</f>
        <v>0</v>
      </c>
      <c r="DH856" s="694">
        <f>SUMIFS(Imput[[Importe Neto]:[Importe Neto]],Imput[[C. Imp.]:[C. Imp.]],$D856,Imput[[PERIODO Imp.]:[PERIODO Imp.]],DH$9)</f>
        <v>0</v>
      </c>
    </row>
    <row r="857" spans="1:112" s="649" customFormat="1" hidden="1" outlineLevel="1" x14ac:dyDescent="0.3">
      <c r="A857" s="652" t="str">
        <f t="shared" si="290"/>
        <v/>
      </c>
      <c r="B857" s="652"/>
      <c r="C857" s="685"/>
      <c r="D857" s="686" t="s">
        <v>2833</v>
      </c>
      <c r="E857" s="686"/>
      <c r="F857" s="720"/>
      <c r="G857" s="688"/>
      <c r="H857" s="689"/>
      <c r="I857" s="851" t="str">
        <f t="shared" si="291"/>
        <v/>
      </c>
      <c r="J857" s="850" t="str">
        <f t="shared" si="292"/>
        <v/>
      </c>
      <c r="K857" s="667"/>
      <c r="L857" s="858"/>
      <c r="M857" s="859"/>
      <c r="N857" s="859"/>
      <c r="O857" s="859"/>
      <c r="P857" s="859"/>
      <c r="Q857" s="859"/>
      <c r="R857" s="859"/>
      <c r="S857" s="859"/>
      <c r="T857" s="859"/>
      <c r="U857" s="859"/>
      <c r="V857" s="859"/>
      <c r="W857" s="859"/>
      <c r="X857" s="859"/>
      <c r="Y857" s="859"/>
      <c r="Z857" s="860"/>
      <c r="AA857" s="860"/>
      <c r="AB857" s="860"/>
      <c r="AC857" s="860"/>
      <c r="AD857" s="860"/>
      <c r="AE857" s="860"/>
      <c r="AF857" s="860"/>
      <c r="AG857" s="860"/>
      <c r="AH857" s="860"/>
      <c r="AI857" s="860"/>
      <c r="AJ857" s="860"/>
      <c r="AK857" s="860"/>
      <c r="AL857" s="860"/>
      <c r="AM857" s="860"/>
      <c r="AN857" s="860"/>
      <c r="AO857" s="860"/>
      <c r="AP857" s="860"/>
      <c r="AQ857" s="860"/>
      <c r="AR857" s="860"/>
      <c r="AS857" s="860"/>
      <c r="AT857" s="860"/>
      <c r="AU857" s="860"/>
      <c r="AV857" s="860"/>
      <c r="AW857" s="860"/>
      <c r="AX857" s="860"/>
      <c r="AY857" s="860"/>
      <c r="AZ857" s="860"/>
      <c r="BA857" s="860"/>
      <c r="BB857" s="860"/>
      <c r="BC857" s="860"/>
      <c r="BD857" s="860"/>
      <c r="BE857" s="860"/>
      <c r="BF857" s="860"/>
      <c r="BG857" s="860"/>
      <c r="BH857" s="668"/>
      <c r="BI857" s="667"/>
      <c r="BJ857" s="690">
        <f t="shared" si="293"/>
        <v>0</v>
      </c>
      <c r="BK857" s="691">
        <f t="shared" si="294"/>
        <v>0</v>
      </c>
      <c r="BL857" s="654"/>
      <c r="BM857" s="692">
        <f>SUMIFS(Imput[[Importe Neto]:[Importe Neto]],Imput[[C. Imp.]:[C. Imp.]],$D857,Imput[[PERIODO Imp.]:[PERIODO Imp.]],BM$9)</f>
        <v>0</v>
      </c>
      <c r="BN857" s="693">
        <f>SUMIFS(Imput[[Importe Neto]:[Importe Neto]],Imput[[C. Imp.]:[C. Imp.]],$D857,Imput[[PERIODO Imp.]:[PERIODO Imp.]],BN$9)</f>
        <v>0</v>
      </c>
      <c r="BO857" s="693">
        <f>SUMIFS(Imput[[Importe Neto]:[Importe Neto]],Imput[[C. Imp.]:[C. Imp.]],$D857,Imput[[PERIODO Imp.]:[PERIODO Imp.]],BO$9)</f>
        <v>0</v>
      </c>
      <c r="BP857" s="693">
        <f>SUMIFS(Imput[[Importe Neto]:[Importe Neto]],Imput[[C. Imp.]:[C. Imp.]],$D857,Imput[[PERIODO Imp.]:[PERIODO Imp.]],BP$9)</f>
        <v>0</v>
      </c>
      <c r="BQ857" s="693">
        <f>SUMIFS(Imput[[Importe Neto]:[Importe Neto]],Imput[[C. Imp.]:[C. Imp.]],$D857,Imput[[PERIODO Imp.]:[PERIODO Imp.]],BQ$9)</f>
        <v>0</v>
      </c>
      <c r="BR857" s="693">
        <f>SUMIFS(Imput[[Importe Neto]:[Importe Neto]],Imput[[C. Imp.]:[C. Imp.]],$D857,Imput[[PERIODO Imp.]:[PERIODO Imp.]],BR$9)</f>
        <v>0</v>
      </c>
      <c r="BS857" s="693">
        <f>SUMIFS(Imput[[Importe Neto]:[Importe Neto]],Imput[[C. Imp.]:[C. Imp.]],$D857,Imput[[PERIODO Imp.]:[PERIODO Imp.]],BS$9)</f>
        <v>0</v>
      </c>
      <c r="BT857" s="693">
        <f>SUMIFS(Imput[[Importe Neto]:[Importe Neto]],Imput[[C. Imp.]:[C. Imp.]],$D857,Imput[[PERIODO Imp.]:[PERIODO Imp.]],BT$9)</f>
        <v>0</v>
      </c>
      <c r="BU857" s="693">
        <f>SUMIFS(Imput[[Importe Neto]:[Importe Neto]],Imput[[C. Imp.]:[C. Imp.]],$D857,Imput[[PERIODO Imp.]:[PERIODO Imp.]],BU$9)</f>
        <v>0</v>
      </c>
      <c r="BV857" s="693">
        <f>SUMIFS(Imput[[Importe Neto]:[Importe Neto]],Imput[[C. Imp.]:[C. Imp.]],$D857,Imput[[PERIODO Imp.]:[PERIODO Imp.]],BV$9)</f>
        <v>0</v>
      </c>
      <c r="BW857" s="693">
        <f>SUMIFS(Imput[[Importe Neto]:[Importe Neto]],Imput[[C. Imp.]:[C. Imp.]],$D857,Imput[[PERIODO Imp.]:[PERIODO Imp.]],BW$9)</f>
        <v>0</v>
      </c>
      <c r="BX857" s="693">
        <f>SUMIFS(Imput[[Importe Neto]:[Importe Neto]],Imput[[C. Imp.]:[C. Imp.]],$D857,Imput[[PERIODO Imp.]:[PERIODO Imp.]],BX$9)</f>
        <v>0</v>
      </c>
      <c r="BY857" s="693">
        <f>SUMIFS(Imput[[Importe Neto]:[Importe Neto]],Imput[[C. Imp.]:[C. Imp.]],$D857,Imput[[PERIODO Imp.]:[PERIODO Imp.]],BY$9)</f>
        <v>0</v>
      </c>
      <c r="BZ857" s="693">
        <f>SUMIFS(Imput[[Importe Neto]:[Importe Neto]],Imput[[C. Imp.]:[C. Imp.]],$D857,Imput[[PERIODO Imp.]:[PERIODO Imp.]],BZ$9)</f>
        <v>0</v>
      </c>
      <c r="CA857" s="693">
        <f>SUMIFS(Imput[[Importe Neto]:[Importe Neto]],Imput[[C. Imp.]:[C. Imp.]],$D857,Imput[[PERIODO Imp.]:[PERIODO Imp.]],CA$9)</f>
        <v>0</v>
      </c>
      <c r="CB857" s="693">
        <f>SUMIFS(Imput[[Importe Neto]:[Importe Neto]],Imput[[C. Imp.]:[C. Imp.]],$D857,Imput[[PERIODO Imp.]:[PERIODO Imp.]],CB$9)</f>
        <v>0</v>
      </c>
      <c r="CC857" s="693">
        <f>SUMIFS(Imput[[Importe Neto]:[Importe Neto]],Imput[[C. Imp.]:[C. Imp.]],$D857,Imput[[PERIODO Imp.]:[PERIODO Imp.]],CC$9)</f>
        <v>0</v>
      </c>
      <c r="CD857" s="693">
        <f>SUMIFS(Imput[[Importe Neto]:[Importe Neto]],Imput[[C. Imp.]:[C. Imp.]],$D857,Imput[[PERIODO Imp.]:[PERIODO Imp.]],CD$9)</f>
        <v>0</v>
      </c>
      <c r="CE857" s="693">
        <f>SUMIFS(Imput[[Importe Neto]:[Importe Neto]],Imput[[C. Imp.]:[C. Imp.]],$D857,Imput[[PERIODO Imp.]:[PERIODO Imp.]],CE$9)</f>
        <v>0</v>
      </c>
      <c r="CF857" s="693">
        <f>SUMIFS(Imput[[Importe Neto]:[Importe Neto]],Imput[[C. Imp.]:[C. Imp.]],$D857,Imput[[PERIODO Imp.]:[PERIODO Imp.]],CF$9)</f>
        <v>0</v>
      </c>
      <c r="CG857" s="693">
        <f>SUMIFS(Imput[[Importe Neto]:[Importe Neto]],Imput[[C. Imp.]:[C. Imp.]],$D857,Imput[[PERIODO Imp.]:[PERIODO Imp.]],CG$9)</f>
        <v>0</v>
      </c>
      <c r="CH857" s="693">
        <f>SUMIFS(Imput[[Importe Neto]:[Importe Neto]],Imput[[C. Imp.]:[C. Imp.]],$D857,Imput[[PERIODO Imp.]:[PERIODO Imp.]],CH$9)</f>
        <v>0</v>
      </c>
      <c r="CI857" s="693">
        <f>SUMIFS(Imput[[Importe Neto]:[Importe Neto]],Imput[[C. Imp.]:[C. Imp.]],$D857,Imput[[PERIODO Imp.]:[PERIODO Imp.]],CI$9)</f>
        <v>0</v>
      </c>
      <c r="CJ857" s="693">
        <f>SUMIFS(Imput[[Importe Neto]:[Importe Neto]],Imput[[C. Imp.]:[C. Imp.]],$D857,Imput[[PERIODO Imp.]:[PERIODO Imp.]],CJ$9)</f>
        <v>0</v>
      </c>
      <c r="CK857" s="693">
        <f>SUMIFS(Imput[[Importe Neto]:[Importe Neto]],Imput[[C. Imp.]:[C. Imp.]],$D857,Imput[[PERIODO Imp.]:[PERIODO Imp.]],CK$9)</f>
        <v>0</v>
      </c>
      <c r="CL857" s="693">
        <f>SUMIFS(Imput[[Importe Neto]:[Importe Neto]],Imput[[C. Imp.]:[C. Imp.]],$D857,Imput[[PERIODO Imp.]:[PERIODO Imp.]],CL$9)</f>
        <v>0</v>
      </c>
      <c r="CM857" s="693">
        <f>SUMIFS(Imput[[Importe Neto]:[Importe Neto]],Imput[[C. Imp.]:[C. Imp.]],$D857,Imput[[PERIODO Imp.]:[PERIODO Imp.]],CM$9)</f>
        <v>0</v>
      </c>
      <c r="CN857" s="693">
        <f>SUMIFS(Imput[[Importe Neto]:[Importe Neto]],Imput[[C. Imp.]:[C. Imp.]],$D857,Imput[[PERIODO Imp.]:[PERIODO Imp.]],CN$9)</f>
        <v>0</v>
      </c>
      <c r="CO857" s="693">
        <f>SUMIFS(Imput[[Importe Neto]:[Importe Neto]],Imput[[C. Imp.]:[C. Imp.]],$D857,Imput[[PERIODO Imp.]:[PERIODO Imp.]],CO$9)</f>
        <v>0</v>
      </c>
      <c r="CP857" s="693">
        <f>SUMIFS(Imput[[Importe Neto]:[Importe Neto]],Imput[[C. Imp.]:[C. Imp.]],$D857,Imput[[PERIODO Imp.]:[PERIODO Imp.]],CP$9)</f>
        <v>0</v>
      </c>
      <c r="CQ857" s="693">
        <f>SUMIFS(Imput[[Importe Neto]:[Importe Neto]],Imput[[C. Imp.]:[C. Imp.]],$D857,Imput[[PERIODO Imp.]:[PERIODO Imp.]],CQ$9)</f>
        <v>0</v>
      </c>
      <c r="CR857" s="693">
        <f>SUMIFS(Imput[[Importe Neto]:[Importe Neto]],Imput[[C. Imp.]:[C. Imp.]],$D857,Imput[[PERIODO Imp.]:[PERIODO Imp.]],CR$9)</f>
        <v>0</v>
      </c>
      <c r="CS857" s="693">
        <f>SUMIFS(Imput[[Importe Neto]:[Importe Neto]],Imput[[C. Imp.]:[C. Imp.]],$D857,Imput[[PERIODO Imp.]:[PERIODO Imp.]],CS$9)</f>
        <v>0</v>
      </c>
      <c r="CT857" s="693">
        <f>SUMIFS(Imput[[Importe Neto]:[Importe Neto]],Imput[[C. Imp.]:[C. Imp.]],$D857,Imput[[PERIODO Imp.]:[PERIODO Imp.]],CT$9)</f>
        <v>0</v>
      </c>
      <c r="CU857" s="693">
        <f>SUMIFS(Imput[[Importe Neto]:[Importe Neto]],Imput[[C. Imp.]:[C. Imp.]],$D857,Imput[[PERIODO Imp.]:[PERIODO Imp.]],CU$9)</f>
        <v>0</v>
      </c>
      <c r="CV857" s="693">
        <f>SUMIFS(Imput[[Importe Neto]:[Importe Neto]],Imput[[C. Imp.]:[C. Imp.]],$D857,Imput[[PERIODO Imp.]:[PERIODO Imp.]],CV$9)</f>
        <v>0</v>
      </c>
      <c r="CW857" s="693">
        <f>SUMIFS(Imput[[Importe Neto]:[Importe Neto]],Imput[[C. Imp.]:[C. Imp.]],$D857,Imput[[PERIODO Imp.]:[PERIODO Imp.]],CW$9)</f>
        <v>0</v>
      </c>
      <c r="CX857" s="693">
        <f>SUMIFS(Imput[[Importe Neto]:[Importe Neto]],Imput[[C. Imp.]:[C. Imp.]],$D857,Imput[[PERIODO Imp.]:[PERIODO Imp.]],CX$9)</f>
        <v>0</v>
      </c>
      <c r="CY857" s="693">
        <f>SUMIFS(Imput[[Importe Neto]:[Importe Neto]],Imput[[C. Imp.]:[C. Imp.]],$D857,Imput[[PERIODO Imp.]:[PERIODO Imp.]],CY$9)</f>
        <v>0</v>
      </c>
      <c r="CZ857" s="693">
        <f>SUMIFS(Imput[[Importe Neto]:[Importe Neto]],Imput[[C. Imp.]:[C. Imp.]],$D857,Imput[[PERIODO Imp.]:[PERIODO Imp.]],CZ$9)</f>
        <v>0</v>
      </c>
      <c r="DA857" s="693">
        <f>SUMIFS(Imput[[Importe Neto]:[Importe Neto]],Imput[[C. Imp.]:[C. Imp.]],$D857,Imput[[PERIODO Imp.]:[PERIODO Imp.]],DA$9)</f>
        <v>0</v>
      </c>
      <c r="DB857" s="693">
        <f>SUMIFS(Imput[[Importe Neto]:[Importe Neto]],Imput[[C. Imp.]:[C. Imp.]],$D857,Imput[[PERIODO Imp.]:[PERIODO Imp.]],DB$9)</f>
        <v>0</v>
      </c>
      <c r="DC857" s="693">
        <f>SUMIFS(Imput[[Importe Neto]:[Importe Neto]],Imput[[C. Imp.]:[C. Imp.]],$D857,Imput[[PERIODO Imp.]:[PERIODO Imp.]],DC$9)</f>
        <v>0</v>
      </c>
      <c r="DD857" s="693">
        <f>SUMIFS(Imput[[Importe Neto]:[Importe Neto]],Imput[[C. Imp.]:[C. Imp.]],$D857,Imput[[PERIODO Imp.]:[PERIODO Imp.]],DD$9)</f>
        <v>0</v>
      </c>
      <c r="DE857" s="693">
        <f>SUMIFS(Imput[[Importe Neto]:[Importe Neto]],Imput[[C. Imp.]:[C. Imp.]],$D857,Imput[[PERIODO Imp.]:[PERIODO Imp.]],DE$9)</f>
        <v>0</v>
      </c>
      <c r="DF857" s="693">
        <f>SUMIFS(Imput[[Importe Neto]:[Importe Neto]],Imput[[C. Imp.]:[C. Imp.]],$D857,Imput[[PERIODO Imp.]:[PERIODO Imp.]],DF$9)</f>
        <v>0</v>
      </c>
      <c r="DG857" s="693">
        <f>SUMIFS(Imput[[Importe Neto]:[Importe Neto]],Imput[[C. Imp.]:[C. Imp.]],$D857,Imput[[PERIODO Imp.]:[PERIODO Imp.]],DG$9)</f>
        <v>0</v>
      </c>
      <c r="DH857" s="694">
        <f>SUMIFS(Imput[[Importe Neto]:[Importe Neto]],Imput[[C. Imp.]:[C. Imp.]],$D857,Imput[[PERIODO Imp.]:[PERIODO Imp.]],DH$9)</f>
        <v>0</v>
      </c>
    </row>
    <row r="858" spans="1:112" s="649" customFormat="1" hidden="1" outlineLevel="1" x14ac:dyDescent="0.3">
      <c r="A858" s="652" t="str">
        <f t="shared" si="290"/>
        <v/>
      </c>
      <c r="B858" s="652"/>
      <c r="C858" s="685"/>
      <c r="D858" s="686" t="s">
        <v>2834</v>
      </c>
      <c r="E858" s="686"/>
      <c r="F858" s="720"/>
      <c r="G858" s="688"/>
      <c r="H858" s="689"/>
      <c r="I858" s="851" t="str">
        <f t="shared" si="291"/>
        <v/>
      </c>
      <c r="J858" s="850" t="str">
        <f t="shared" si="292"/>
        <v/>
      </c>
      <c r="K858" s="667"/>
      <c r="L858" s="858"/>
      <c r="M858" s="859"/>
      <c r="N858" s="859"/>
      <c r="O858" s="859"/>
      <c r="P858" s="859"/>
      <c r="Q858" s="859"/>
      <c r="R858" s="859"/>
      <c r="S858" s="859"/>
      <c r="T858" s="859"/>
      <c r="U858" s="859"/>
      <c r="V858" s="859"/>
      <c r="W858" s="859"/>
      <c r="X858" s="859"/>
      <c r="Y858" s="859"/>
      <c r="Z858" s="860"/>
      <c r="AA858" s="860"/>
      <c r="AB858" s="860"/>
      <c r="AC858" s="860"/>
      <c r="AD858" s="860"/>
      <c r="AE858" s="860"/>
      <c r="AF858" s="860"/>
      <c r="AG858" s="860"/>
      <c r="AH858" s="860"/>
      <c r="AI858" s="860"/>
      <c r="AJ858" s="860"/>
      <c r="AK858" s="860"/>
      <c r="AL858" s="860"/>
      <c r="AM858" s="860"/>
      <c r="AN858" s="860"/>
      <c r="AO858" s="860"/>
      <c r="AP858" s="860"/>
      <c r="AQ858" s="860"/>
      <c r="AR858" s="860"/>
      <c r="AS858" s="860"/>
      <c r="AT858" s="860"/>
      <c r="AU858" s="860"/>
      <c r="AV858" s="860"/>
      <c r="AW858" s="860"/>
      <c r="AX858" s="860"/>
      <c r="AY858" s="860"/>
      <c r="AZ858" s="860"/>
      <c r="BA858" s="860"/>
      <c r="BB858" s="860"/>
      <c r="BC858" s="860"/>
      <c r="BD858" s="860"/>
      <c r="BE858" s="860"/>
      <c r="BF858" s="860"/>
      <c r="BG858" s="860"/>
      <c r="BH858" s="668"/>
      <c r="BI858" s="667"/>
      <c r="BJ858" s="690">
        <f t="shared" si="293"/>
        <v>0</v>
      </c>
      <c r="BK858" s="691">
        <f t="shared" si="294"/>
        <v>0</v>
      </c>
      <c r="BL858" s="654"/>
      <c r="BM858" s="692">
        <f>SUMIFS(Imput[[Importe Neto]:[Importe Neto]],Imput[[C. Imp.]:[C. Imp.]],$D858,Imput[[PERIODO Imp.]:[PERIODO Imp.]],BM$9)</f>
        <v>0</v>
      </c>
      <c r="BN858" s="693">
        <f>SUMIFS(Imput[[Importe Neto]:[Importe Neto]],Imput[[C. Imp.]:[C. Imp.]],$D858,Imput[[PERIODO Imp.]:[PERIODO Imp.]],BN$9)</f>
        <v>0</v>
      </c>
      <c r="BO858" s="693">
        <f>SUMIFS(Imput[[Importe Neto]:[Importe Neto]],Imput[[C. Imp.]:[C. Imp.]],$D858,Imput[[PERIODO Imp.]:[PERIODO Imp.]],BO$9)</f>
        <v>0</v>
      </c>
      <c r="BP858" s="693">
        <f>SUMIFS(Imput[[Importe Neto]:[Importe Neto]],Imput[[C. Imp.]:[C. Imp.]],$D858,Imput[[PERIODO Imp.]:[PERIODO Imp.]],BP$9)</f>
        <v>0</v>
      </c>
      <c r="BQ858" s="693">
        <f>SUMIFS(Imput[[Importe Neto]:[Importe Neto]],Imput[[C. Imp.]:[C. Imp.]],$D858,Imput[[PERIODO Imp.]:[PERIODO Imp.]],BQ$9)</f>
        <v>0</v>
      </c>
      <c r="BR858" s="693">
        <f>SUMIFS(Imput[[Importe Neto]:[Importe Neto]],Imput[[C. Imp.]:[C. Imp.]],$D858,Imput[[PERIODO Imp.]:[PERIODO Imp.]],BR$9)</f>
        <v>0</v>
      </c>
      <c r="BS858" s="693">
        <f>SUMIFS(Imput[[Importe Neto]:[Importe Neto]],Imput[[C. Imp.]:[C. Imp.]],$D858,Imput[[PERIODO Imp.]:[PERIODO Imp.]],BS$9)</f>
        <v>0</v>
      </c>
      <c r="BT858" s="693">
        <f>SUMIFS(Imput[[Importe Neto]:[Importe Neto]],Imput[[C. Imp.]:[C. Imp.]],$D858,Imput[[PERIODO Imp.]:[PERIODO Imp.]],BT$9)</f>
        <v>0</v>
      </c>
      <c r="BU858" s="693">
        <f>SUMIFS(Imput[[Importe Neto]:[Importe Neto]],Imput[[C. Imp.]:[C. Imp.]],$D858,Imput[[PERIODO Imp.]:[PERIODO Imp.]],BU$9)</f>
        <v>0</v>
      </c>
      <c r="BV858" s="693">
        <f>SUMIFS(Imput[[Importe Neto]:[Importe Neto]],Imput[[C. Imp.]:[C. Imp.]],$D858,Imput[[PERIODO Imp.]:[PERIODO Imp.]],BV$9)</f>
        <v>0</v>
      </c>
      <c r="BW858" s="693">
        <f>SUMIFS(Imput[[Importe Neto]:[Importe Neto]],Imput[[C. Imp.]:[C. Imp.]],$D858,Imput[[PERIODO Imp.]:[PERIODO Imp.]],BW$9)</f>
        <v>0</v>
      </c>
      <c r="BX858" s="693">
        <f>SUMIFS(Imput[[Importe Neto]:[Importe Neto]],Imput[[C. Imp.]:[C. Imp.]],$D858,Imput[[PERIODO Imp.]:[PERIODO Imp.]],BX$9)</f>
        <v>0</v>
      </c>
      <c r="BY858" s="693">
        <f>SUMIFS(Imput[[Importe Neto]:[Importe Neto]],Imput[[C. Imp.]:[C. Imp.]],$D858,Imput[[PERIODO Imp.]:[PERIODO Imp.]],BY$9)</f>
        <v>0</v>
      </c>
      <c r="BZ858" s="693">
        <f>SUMIFS(Imput[[Importe Neto]:[Importe Neto]],Imput[[C. Imp.]:[C. Imp.]],$D858,Imput[[PERIODO Imp.]:[PERIODO Imp.]],BZ$9)</f>
        <v>0</v>
      </c>
      <c r="CA858" s="693">
        <f>SUMIFS(Imput[[Importe Neto]:[Importe Neto]],Imput[[C. Imp.]:[C. Imp.]],$D858,Imput[[PERIODO Imp.]:[PERIODO Imp.]],CA$9)</f>
        <v>0</v>
      </c>
      <c r="CB858" s="693">
        <f>SUMIFS(Imput[[Importe Neto]:[Importe Neto]],Imput[[C. Imp.]:[C. Imp.]],$D858,Imput[[PERIODO Imp.]:[PERIODO Imp.]],CB$9)</f>
        <v>0</v>
      </c>
      <c r="CC858" s="693">
        <f>SUMIFS(Imput[[Importe Neto]:[Importe Neto]],Imput[[C. Imp.]:[C. Imp.]],$D858,Imput[[PERIODO Imp.]:[PERIODO Imp.]],CC$9)</f>
        <v>0</v>
      </c>
      <c r="CD858" s="693">
        <f>SUMIFS(Imput[[Importe Neto]:[Importe Neto]],Imput[[C. Imp.]:[C. Imp.]],$D858,Imput[[PERIODO Imp.]:[PERIODO Imp.]],CD$9)</f>
        <v>0</v>
      </c>
      <c r="CE858" s="693">
        <f>SUMIFS(Imput[[Importe Neto]:[Importe Neto]],Imput[[C. Imp.]:[C. Imp.]],$D858,Imput[[PERIODO Imp.]:[PERIODO Imp.]],CE$9)</f>
        <v>0</v>
      </c>
      <c r="CF858" s="693">
        <f>SUMIFS(Imput[[Importe Neto]:[Importe Neto]],Imput[[C. Imp.]:[C. Imp.]],$D858,Imput[[PERIODO Imp.]:[PERIODO Imp.]],CF$9)</f>
        <v>0</v>
      </c>
      <c r="CG858" s="693">
        <f>SUMIFS(Imput[[Importe Neto]:[Importe Neto]],Imput[[C. Imp.]:[C. Imp.]],$D858,Imput[[PERIODO Imp.]:[PERIODO Imp.]],CG$9)</f>
        <v>0</v>
      </c>
      <c r="CH858" s="693">
        <f>SUMIFS(Imput[[Importe Neto]:[Importe Neto]],Imput[[C. Imp.]:[C. Imp.]],$D858,Imput[[PERIODO Imp.]:[PERIODO Imp.]],CH$9)</f>
        <v>0</v>
      </c>
      <c r="CI858" s="693">
        <f>SUMIFS(Imput[[Importe Neto]:[Importe Neto]],Imput[[C. Imp.]:[C. Imp.]],$D858,Imput[[PERIODO Imp.]:[PERIODO Imp.]],CI$9)</f>
        <v>0</v>
      </c>
      <c r="CJ858" s="693">
        <f>SUMIFS(Imput[[Importe Neto]:[Importe Neto]],Imput[[C. Imp.]:[C. Imp.]],$D858,Imput[[PERIODO Imp.]:[PERIODO Imp.]],CJ$9)</f>
        <v>0</v>
      </c>
      <c r="CK858" s="693">
        <f>SUMIFS(Imput[[Importe Neto]:[Importe Neto]],Imput[[C. Imp.]:[C. Imp.]],$D858,Imput[[PERIODO Imp.]:[PERIODO Imp.]],CK$9)</f>
        <v>0</v>
      </c>
      <c r="CL858" s="693">
        <f>SUMIFS(Imput[[Importe Neto]:[Importe Neto]],Imput[[C. Imp.]:[C. Imp.]],$D858,Imput[[PERIODO Imp.]:[PERIODO Imp.]],CL$9)</f>
        <v>0</v>
      </c>
      <c r="CM858" s="693">
        <f>SUMIFS(Imput[[Importe Neto]:[Importe Neto]],Imput[[C. Imp.]:[C. Imp.]],$D858,Imput[[PERIODO Imp.]:[PERIODO Imp.]],CM$9)</f>
        <v>0</v>
      </c>
      <c r="CN858" s="693">
        <f>SUMIFS(Imput[[Importe Neto]:[Importe Neto]],Imput[[C. Imp.]:[C. Imp.]],$D858,Imput[[PERIODO Imp.]:[PERIODO Imp.]],CN$9)</f>
        <v>0</v>
      </c>
      <c r="CO858" s="693">
        <f>SUMIFS(Imput[[Importe Neto]:[Importe Neto]],Imput[[C. Imp.]:[C. Imp.]],$D858,Imput[[PERIODO Imp.]:[PERIODO Imp.]],CO$9)</f>
        <v>0</v>
      </c>
      <c r="CP858" s="693">
        <f>SUMIFS(Imput[[Importe Neto]:[Importe Neto]],Imput[[C. Imp.]:[C. Imp.]],$D858,Imput[[PERIODO Imp.]:[PERIODO Imp.]],CP$9)</f>
        <v>0</v>
      </c>
      <c r="CQ858" s="693">
        <f>SUMIFS(Imput[[Importe Neto]:[Importe Neto]],Imput[[C. Imp.]:[C. Imp.]],$D858,Imput[[PERIODO Imp.]:[PERIODO Imp.]],CQ$9)</f>
        <v>0</v>
      </c>
      <c r="CR858" s="693">
        <f>SUMIFS(Imput[[Importe Neto]:[Importe Neto]],Imput[[C. Imp.]:[C. Imp.]],$D858,Imput[[PERIODO Imp.]:[PERIODO Imp.]],CR$9)</f>
        <v>0</v>
      </c>
      <c r="CS858" s="693">
        <f>SUMIFS(Imput[[Importe Neto]:[Importe Neto]],Imput[[C. Imp.]:[C. Imp.]],$D858,Imput[[PERIODO Imp.]:[PERIODO Imp.]],CS$9)</f>
        <v>0</v>
      </c>
      <c r="CT858" s="693">
        <f>SUMIFS(Imput[[Importe Neto]:[Importe Neto]],Imput[[C. Imp.]:[C. Imp.]],$D858,Imput[[PERIODO Imp.]:[PERIODO Imp.]],CT$9)</f>
        <v>0</v>
      </c>
      <c r="CU858" s="693">
        <f>SUMIFS(Imput[[Importe Neto]:[Importe Neto]],Imput[[C. Imp.]:[C. Imp.]],$D858,Imput[[PERIODO Imp.]:[PERIODO Imp.]],CU$9)</f>
        <v>0</v>
      </c>
      <c r="CV858" s="693">
        <f>SUMIFS(Imput[[Importe Neto]:[Importe Neto]],Imput[[C. Imp.]:[C. Imp.]],$D858,Imput[[PERIODO Imp.]:[PERIODO Imp.]],CV$9)</f>
        <v>0</v>
      </c>
      <c r="CW858" s="693">
        <f>SUMIFS(Imput[[Importe Neto]:[Importe Neto]],Imput[[C. Imp.]:[C. Imp.]],$D858,Imput[[PERIODO Imp.]:[PERIODO Imp.]],CW$9)</f>
        <v>0</v>
      </c>
      <c r="CX858" s="693">
        <f>SUMIFS(Imput[[Importe Neto]:[Importe Neto]],Imput[[C. Imp.]:[C. Imp.]],$D858,Imput[[PERIODO Imp.]:[PERIODO Imp.]],CX$9)</f>
        <v>0</v>
      </c>
      <c r="CY858" s="693">
        <f>SUMIFS(Imput[[Importe Neto]:[Importe Neto]],Imput[[C. Imp.]:[C. Imp.]],$D858,Imput[[PERIODO Imp.]:[PERIODO Imp.]],CY$9)</f>
        <v>0</v>
      </c>
      <c r="CZ858" s="693">
        <f>SUMIFS(Imput[[Importe Neto]:[Importe Neto]],Imput[[C. Imp.]:[C. Imp.]],$D858,Imput[[PERIODO Imp.]:[PERIODO Imp.]],CZ$9)</f>
        <v>0</v>
      </c>
      <c r="DA858" s="693">
        <f>SUMIFS(Imput[[Importe Neto]:[Importe Neto]],Imput[[C. Imp.]:[C. Imp.]],$D858,Imput[[PERIODO Imp.]:[PERIODO Imp.]],DA$9)</f>
        <v>0</v>
      </c>
      <c r="DB858" s="693">
        <f>SUMIFS(Imput[[Importe Neto]:[Importe Neto]],Imput[[C. Imp.]:[C. Imp.]],$D858,Imput[[PERIODO Imp.]:[PERIODO Imp.]],DB$9)</f>
        <v>0</v>
      </c>
      <c r="DC858" s="693">
        <f>SUMIFS(Imput[[Importe Neto]:[Importe Neto]],Imput[[C. Imp.]:[C. Imp.]],$D858,Imput[[PERIODO Imp.]:[PERIODO Imp.]],DC$9)</f>
        <v>0</v>
      </c>
      <c r="DD858" s="693">
        <f>SUMIFS(Imput[[Importe Neto]:[Importe Neto]],Imput[[C. Imp.]:[C. Imp.]],$D858,Imput[[PERIODO Imp.]:[PERIODO Imp.]],DD$9)</f>
        <v>0</v>
      </c>
      <c r="DE858" s="693">
        <f>SUMIFS(Imput[[Importe Neto]:[Importe Neto]],Imput[[C. Imp.]:[C. Imp.]],$D858,Imput[[PERIODO Imp.]:[PERIODO Imp.]],DE$9)</f>
        <v>0</v>
      </c>
      <c r="DF858" s="693">
        <f>SUMIFS(Imput[[Importe Neto]:[Importe Neto]],Imput[[C. Imp.]:[C. Imp.]],$D858,Imput[[PERIODO Imp.]:[PERIODO Imp.]],DF$9)</f>
        <v>0</v>
      </c>
      <c r="DG858" s="693">
        <f>SUMIFS(Imput[[Importe Neto]:[Importe Neto]],Imput[[C. Imp.]:[C. Imp.]],$D858,Imput[[PERIODO Imp.]:[PERIODO Imp.]],DG$9)</f>
        <v>0</v>
      </c>
      <c r="DH858" s="694">
        <f>SUMIFS(Imput[[Importe Neto]:[Importe Neto]],Imput[[C. Imp.]:[C. Imp.]],$D858,Imput[[PERIODO Imp.]:[PERIODO Imp.]],DH$9)</f>
        <v>0</v>
      </c>
    </row>
    <row r="859" spans="1:112" s="649" customFormat="1" hidden="1" outlineLevel="1" x14ac:dyDescent="0.3">
      <c r="A859" s="652" t="str">
        <f t="shared" si="290"/>
        <v/>
      </c>
      <c r="B859" s="652"/>
      <c r="C859" s="685"/>
      <c r="D859" s="686" t="s">
        <v>2835</v>
      </c>
      <c r="E859" s="686"/>
      <c r="F859" s="720"/>
      <c r="G859" s="688"/>
      <c r="H859" s="689"/>
      <c r="I859" s="851" t="str">
        <f t="shared" si="291"/>
        <v/>
      </c>
      <c r="J859" s="850" t="str">
        <f t="shared" si="292"/>
        <v/>
      </c>
      <c r="K859" s="667"/>
      <c r="L859" s="858"/>
      <c r="M859" s="859"/>
      <c r="N859" s="859"/>
      <c r="O859" s="859"/>
      <c r="P859" s="859"/>
      <c r="Q859" s="859"/>
      <c r="R859" s="859"/>
      <c r="S859" s="859"/>
      <c r="T859" s="859"/>
      <c r="U859" s="859"/>
      <c r="V859" s="859"/>
      <c r="W859" s="859"/>
      <c r="X859" s="859"/>
      <c r="Y859" s="859"/>
      <c r="Z859" s="860"/>
      <c r="AA859" s="860"/>
      <c r="AB859" s="860"/>
      <c r="AC859" s="860"/>
      <c r="AD859" s="860"/>
      <c r="AE859" s="860"/>
      <c r="AF859" s="860"/>
      <c r="AG859" s="860"/>
      <c r="AH859" s="860"/>
      <c r="AI859" s="860"/>
      <c r="AJ859" s="860"/>
      <c r="AK859" s="860"/>
      <c r="AL859" s="860"/>
      <c r="AM859" s="860"/>
      <c r="AN859" s="860"/>
      <c r="AO859" s="860"/>
      <c r="AP859" s="860"/>
      <c r="AQ859" s="860"/>
      <c r="AR859" s="860"/>
      <c r="AS859" s="860"/>
      <c r="AT859" s="860"/>
      <c r="AU859" s="860"/>
      <c r="AV859" s="860"/>
      <c r="AW859" s="860"/>
      <c r="AX859" s="860"/>
      <c r="AY859" s="860"/>
      <c r="AZ859" s="860"/>
      <c r="BA859" s="860"/>
      <c r="BB859" s="860"/>
      <c r="BC859" s="860"/>
      <c r="BD859" s="860"/>
      <c r="BE859" s="860"/>
      <c r="BF859" s="860"/>
      <c r="BG859" s="860"/>
      <c r="BH859" s="668"/>
      <c r="BI859" s="667"/>
      <c r="BJ859" s="690">
        <f t="shared" si="293"/>
        <v>0</v>
      </c>
      <c r="BK859" s="691">
        <f t="shared" si="294"/>
        <v>0</v>
      </c>
      <c r="BL859" s="654"/>
      <c r="BM859" s="692">
        <f>SUMIFS(Imput[[Importe Neto]:[Importe Neto]],Imput[[C. Imp.]:[C. Imp.]],$D859,Imput[[PERIODO Imp.]:[PERIODO Imp.]],BM$9)</f>
        <v>0</v>
      </c>
      <c r="BN859" s="693">
        <f>SUMIFS(Imput[[Importe Neto]:[Importe Neto]],Imput[[C. Imp.]:[C. Imp.]],$D859,Imput[[PERIODO Imp.]:[PERIODO Imp.]],BN$9)</f>
        <v>0</v>
      </c>
      <c r="BO859" s="693">
        <f>SUMIFS(Imput[[Importe Neto]:[Importe Neto]],Imput[[C. Imp.]:[C. Imp.]],$D859,Imput[[PERIODO Imp.]:[PERIODO Imp.]],BO$9)</f>
        <v>0</v>
      </c>
      <c r="BP859" s="693">
        <f>SUMIFS(Imput[[Importe Neto]:[Importe Neto]],Imput[[C. Imp.]:[C. Imp.]],$D859,Imput[[PERIODO Imp.]:[PERIODO Imp.]],BP$9)</f>
        <v>0</v>
      </c>
      <c r="BQ859" s="693">
        <f>SUMIFS(Imput[[Importe Neto]:[Importe Neto]],Imput[[C. Imp.]:[C. Imp.]],$D859,Imput[[PERIODO Imp.]:[PERIODO Imp.]],BQ$9)</f>
        <v>0</v>
      </c>
      <c r="BR859" s="693">
        <f>SUMIFS(Imput[[Importe Neto]:[Importe Neto]],Imput[[C. Imp.]:[C. Imp.]],$D859,Imput[[PERIODO Imp.]:[PERIODO Imp.]],BR$9)</f>
        <v>0</v>
      </c>
      <c r="BS859" s="693">
        <f>SUMIFS(Imput[[Importe Neto]:[Importe Neto]],Imput[[C. Imp.]:[C. Imp.]],$D859,Imput[[PERIODO Imp.]:[PERIODO Imp.]],BS$9)</f>
        <v>0</v>
      </c>
      <c r="BT859" s="693">
        <f>SUMIFS(Imput[[Importe Neto]:[Importe Neto]],Imput[[C. Imp.]:[C. Imp.]],$D859,Imput[[PERIODO Imp.]:[PERIODO Imp.]],BT$9)</f>
        <v>0</v>
      </c>
      <c r="BU859" s="693">
        <f>SUMIFS(Imput[[Importe Neto]:[Importe Neto]],Imput[[C. Imp.]:[C. Imp.]],$D859,Imput[[PERIODO Imp.]:[PERIODO Imp.]],BU$9)</f>
        <v>0</v>
      </c>
      <c r="BV859" s="693">
        <f>SUMIFS(Imput[[Importe Neto]:[Importe Neto]],Imput[[C. Imp.]:[C. Imp.]],$D859,Imput[[PERIODO Imp.]:[PERIODO Imp.]],BV$9)</f>
        <v>0</v>
      </c>
      <c r="BW859" s="693">
        <f>SUMIFS(Imput[[Importe Neto]:[Importe Neto]],Imput[[C. Imp.]:[C. Imp.]],$D859,Imput[[PERIODO Imp.]:[PERIODO Imp.]],BW$9)</f>
        <v>0</v>
      </c>
      <c r="BX859" s="693">
        <f>SUMIFS(Imput[[Importe Neto]:[Importe Neto]],Imput[[C. Imp.]:[C. Imp.]],$D859,Imput[[PERIODO Imp.]:[PERIODO Imp.]],BX$9)</f>
        <v>0</v>
      </c>
      <c r="BY859" s="693">
        <f>SUMIFS(Imput[[Importe Neto]:[Importe Neto]],Imput[[C. Imp.]:[C. Imp.]],$D859,Imput[[PERIODO Imp.]:[PERIODO Imp.]],BY$9)</f>
        <v>0</v>
      </c>
      <c r="BZ859" s="693">
        <f>SUMIFS(Imput[[Importe Neto]:[Importe Neto]],Imput[[C. Imp.]:[C. Imp.]],$D859,Imput[[PERIODO Imp.]:[PERIODO Imp.]],BZ$9)</f>
        <v>0</v>
      </c>
      <c r="CA859" s="693">
        <f>SUMIFS(Imput[[Importe Neto]:[Importe Neto]],Imput[[C. Imp.]:[C. Imp.]],$D859,Imput[[PERIODO Imp.]:[PERIODO Imp.]],CA$9)</f>
        <v>0</v>
      </c>
      <c r="CB859" s="693">
        <f>SUMIFS(Imput[[Importe Neto]:[Importe Neto]],Imput[[C. Imp.]:[C. Imp.]],$D859,Imput[[PERIODO Imp.]:[PERIODO Imp.]],CB$9)</f>
        <v>0</v>
      </c>
      <c r="CC859" s="693">
        <f>SUMIFS(Imput[[Importe Neto]:[Importe Neto]],Imput[[C. Imp.]:[C. Imp.]],$D859,Imput[[PERIODO Imp.]:[PERIODO Imp.]],CC$9)</f>
        <v>0</v>
      </c>
      <c r="CD859" s="693">
        <f>SUMIFS(Imput[[Importe Neto]:[Importe Neto]],Imput[[C. Imp.]:[C. Imp.]],$D859,Imput[[PERIODO Imp.]:[PERIODO Imp.]],CD$9)</f>
        <v>0</v>
      </c>
      <c r="CE859" s="693">
        <f>SUMIFS(Imput[[Importe Neto]:[Importe Neto]],Imput[[C. Imp.]:[C. Imp.]],$D859,Imput[[PERIODO Imp.]:[PERIODO Imp.]],CE$9)</f>
        <v>0</v>
      </c>
      <c r="CF859" s="693">
        <f>SUMIFS(Imput[[Importe Neto]:[Importe Neto]],Imput[[C. Imp.]:[C. Imp.]],$D859,Imput[[PERIODO Imp.]:[PERIODO Imp.]],CF$9)</f>
        <v>0</v>
      </c>
      <c r="CG859" s="693">
        <f>SUMIFS(Imput[[Importe Neto]:[Importe Neto]],Imput[[C. Imp.]:[C. Imp.]],$D859,Imput[[PERIODO Imp.]:[PERIODO Imp.]],CG$9)</f>
        <v>0</v>
      </c>
      <c r="CH859" s="693">
        <f>SUMIFS(Imput[[Importe Neto]:[Importe Neto]],Imput[[C. Imp.]:[C. Imp.]],$D859,Imput[[PERIODO Imp.]:[PERIODO Imp.]],CH$9)</f>
        <v>0</v>
      </c>
      <c r="CI859" s="693">
        <f>SUMIFS(Imput[[Importe Neto]:[Importe Neto]],Imput[[C. Imp.]:[C. Imp.]],$D859,Imput[[PERIODO Imp.]:[PERIODO Imp.]],CI$9)</f>
        <v>0</v>
      </c>
      <c r="CJ859" s="693">
        <f>SUMIFS(Imput[[Importe Neto]:[Importe Neto]],Imput[[C. Imp.]:[C. Imp.]],$D859,Imput[[PERIODO Imp.]:[PERIODO Imp.]],CJ$9)</f>
        <v>0</v>
      </c>
      <c r="CK859" s="693">
        <f>SUMIFS(Imput[[Importe Neto]:[Importe Neto]],Imput[[C. Imp.]:[C. Imp.]],$D859,Imput[[PERIODO Imp.]:[PERIODO Imp.]],CK$9)</f>
        <v>0</v>
      </c>
      <c r="CL859" s="693">
        <f>SUMIFS(Imput[[Importe Neto]:[Importe Neto]],Imput[[C. Imp.]:[C. Imp.]],$D859,Imput[[PERIODO Imp.]:[PERIODO Imp.]],CL$9)</f>
        <v>0</v>
      </c>
      <c r="CM859" s="693">
        <f>SUMIFS(Imput[[Importe Neto]:[Importe Neto]],Imput[[C. Imp.]:[C. Imp.]],$D859,Imput[[PERIODO Imp.]:[PERIODO Imp.]],CM$9)</f>
        <v>0</v>
      </c>
      <c r="CN859" s="693">
        <f>SUMIFS(Imput[[Importe Neto]:[Importe Neto]],Imput[[C. Imp.]:[C. Imp.]],$D859,Imput[[PERIODO Imp.]:[PERIODO Imp.]],CN$9)</f>
        <v>0</v>
      </c>
      <c r="CO859" s="693">
        <f>SUMIFS(Imput[[Importe Neto]:[Importe Neto]],Imput[[C. Imp.]:[C. Imp.]],$D859,Imput[[PERIODO Imp.]:[PERIODO Imp.]],CO$9)</f>
        <v>0</v>
      </c>
      <c r="CP859" s="693">
        <f>SUMIFS(Imput[[Importe Neto]:[Importe Neto]],Imput[[C. Imp.]:[C. Imp.]],$D859,Imput[[PERIODO Imp.]:[PERIODO Imp.]],CP$9)</f>
        <v>0</v>
      </c>
      <c r="CQ859" s="693">
        <f>SUMIFS(Imput[[Importe Neto]:[Importe Neto]],Imput[[C. Imp.]:[C. Imp.]],$D859,Imput[[PERIODO Imp.]:[PERIODO Imp.]],CQ$9)</f>
        <v>0</v>
      </c>
      <c r="CR859" s="693">
        <f>SUMIFS(Imput[[Importe Neto]:[Importe Neto]],Imput[[C. Imp.]:[C. Imp.]],$D859,Imput[[PERIODO Imp.]:[PERIODO Imp.]],CR$9)</f>
        <v>0</v>
      </c>
      <c r="CS859" s="693">
        <f>SUMIFS(Imput[[Importe Neto]:[Importe Neto]],Imput[[C. Imp.]:[C. Imp.]],$D859,Imput[[PERIODO Imp.]:[PERIODO Imp.]],CS$9)</f>
        <v>0</v>
      </c>
      <c r="CT859" s="693">
        <f>SUMIFS(Imput[[Importe Neto]:[Importe Neto]],Imput[[C. Imp.]:[C. Imp.]],$D859,Imput[[PERIODO Imp.]:[PERIODO Imp.]],CT$9)</f>
        <v>0</v>
      </c>
      <c r="CU859" s="693">
        <f>SUMIFS(Imput[[Importe Neto]:[Importe Neto]],Imput[[C. Imp.]:[C. Imp.]],$D859,Imput[[PERIODO Imp.]:[PERIODO Imp.]],CU$9)</f>
        <v>0</v>
      </c>
      <c r="CV859" s="693">
        <f>SUMIFS(Imput[[Importe Neto]:[Importe Neto]],Imput[[C. Imp.]:[C. Imp.]],$D859,Imput[[PERIODO Imp.]:[PERIODO Imp.]],CV$9)</f>
        <v>0</v>
      </c>
      <c r="CW859" s="693">
        <f>SUMIFS(Imput[[Importe Neto]:[Importe Neto]],Imput[[C. Imp.]:[C. Imp.]],$D859,Imput[[PERIODO Imp.]:[PERIODO Imp.]],CW$9)</f>
        <v>0</v>
      </c>
      <c r="CX859" s="693">
        <f>SUMIFS(Imput[[Importe Neto]:[Importe Neto]],Imput[[C. Imp.]:[C. Imp.]],$D859,Imput[[PERIODO Imp.]:[PERIODO Imp.]],CX$9)</f>
        <v>0</v>
      </c>
      <c r="CY859" s="693">
        <f>SUMIFS(Imput[[Importe Neto]:[Importe Neto]],Imput[[C. Imp.]:[C. Imp.]],$D859,Imput[[PERIODO Imp.]:[PERIODO Imp.]],CY$9)</f>
        <v>0</v>
      </c>
      <c r="CZ859" s="693">
        <f>SUMIFS(Imput[[Importe Neto]:[Importe Neto]],Imput[[C. Imp.]:[C. Imp.]],$D859,Imput[[PERIODO Imp.]:[PERIODO Imp.]],CZ$9)</f>
        <v>0</v>
      </c>
      <c r="DA859" s="693">
        <f>SUMIFS(Imput[[Importe Neto]:[Importe Neto]],Imput[[C. Imp.]:[C. Imp.]],$D859,Imput[[PERIODO Imp.]:[PERIODO Imp.]],DA$9)</f>
        <v>0</v>
      </c>
      <c r="DB859" s="693">
        <f>SUMIFS(Imput[[Importe Neto]:[Importe Neto]],Imput[[C. Imp.]:[C. Imp.]],$D859,Imput[[PERIODO Imp.]:[PERIODO Imp.]],DB$9)</f>
        <v>0</v>
      </c>
      <c r="DC859" s="693">
        <f>SUMIFS(Imput[[Importe Neto]:[Importe Neto]],Imput[[C. Imp.]:[C. Imp.]],$D859,Imput[[PERIODO Imp.]:[PERIODO Imp.]],DC$9)</f>
        <v>0</v>
      </c>
      <c r="DD859" s="693">
        <f>SUMIFS(Imput[[Importe Neto]:[Importe Neto]],Imput[[C. Imp.]:[C. Imp.]],$D859,Imput[[PERIODO Imp.]:[PERIODO Imp.]],DD$9)</f>
        <v>0</v>
      </c>
      <c r="DE859" s="693">
        <f>SUMIFS(Imput[[Importe Neto]:[Importe Neto]],Imput[[C. Imp.]:[C. Imp.]],$D859,Imput[[PERIODO Imp.]:[PERIODO Imp.]],DE$9)</f>
        <v>0</v>
      </c>
      <c r="DF859" s="693">
        <f>SUMIFS(Imput[[Importe Neto]:[Importe Neto]],Imput[[C. Imp.]:[C. Imp.]],$D859,Imput[[PERIODO Imp.]:[PERIODO Imp.]],DF$9)</f>
        <v>0</v>
      </c>
      <c r="DG859" s="693">
        <f>SUMIFS(Imput[[Importe Neto]:[Importe Neto]],Imput[[C. Imp.]:[C. Imp.]],$D859,Imput[[PERIODO Imp.]:[PERIODO Imp.]],DG$9)</f>
        <v>0</v>
      </c>
      <c r="DH859" s="694">
        <f>SUMIFS(Imput[[Importe Neto]:[Importe Neto]],Imput[[C. Imp.]:[C. Imp.]],$D859,Imput[[PERIODO Imp.]:[PERIODO Imp.]],DH$9)</f>
        <v>0</v>
      </c>
    </row>
    <row r="860" spans="1:112" s="649" customFormat="1" hidden="1" outlineLevel="1" x14ac:dyDescent="0.3">
      <c r="A860" s="652" t="str">
        <f t="shared" si="290"/>
        <v/>
      </c>
      <c r="B860" s="652"/>
      <c r="C860" s="685"/>
      <c r="D860" s="686" t="s">
        <v>2836</v>
      </c>
      <c r="E860" s="686"/>
      <c r="F860" s="720"/>
      <c r="G860" s="688"/>
      <c r="H860" s="689"/>
      <c r="I860" s="851" t="str">
        <f t="shared" si="291"/>
        <v/>
      </c>
      <c r="J860" s="850" t="str">
        <f t="shared" si="292"/>
        <v/>
      </c>
      <c r="K860" s="667"/>
      <c r="L860" s="858"/>
      <c r="M860" s="859"/>
      <c r="N860" s="859"/>
      <c r="O860" s="859"/>
      <c r="P860" s="859"/>
      <c r="Q860" s="859"/>
      <c r="R860" s="859"/>
      <c r="S860" s="859"/>
      <c r="T860" s="859"/>
      <c r="U860" s="859"/>
      <c r="V860" s="859"/>
      <c r="W860" s="859"/>
      <c r="X860" s="859"/>
      <c r="Y860" s="859"/>
      <c r="Z860" s="860"/>
      <c r="AA860" s="860"/>
      <c r="AB860" s="860"/>
      <c r="AC860" s="860"/>
      <c r="AD860" s="860"/>
      <c r="AE860" s="860"/>
      <c r="AF860" s="860"/>
      <c r="AG860" s="860"/>
      <c r="AH860" s="860"/>
      <c r="AI860" s="860"/>
      <c r="AJ860" s="860"/>
      <c r="AK860" s="860"/>
      <c r="AL860" s="860"/>
      <c r="AM860" s="860"/>
      <c r="AN860" s="860"/>
      <c r="AO860" s="860"/>
      <c r="AP860" s="860"/>
      <c r="AQ860" s="860"/>
      <c r="AR860" s="860"/>
      <c r="AS860" s="860"/>
      <c r="AT860" s="860"/>
      <c r="AU860" s="860"/>
      <c r="AV860" s="860"/>
      <c r="AW860" s="860"/>
      <c r="AX860" s="860"/>
      <c r="AY860" s="860"/>
      <c r="AZ860" s="860"/>
      <c r="BA860" s="860"/>
      <c r="BB860" s="860"/>
      <c r="BC860" s="860"/>
      <c r="BD860" s="860"/>
      <c r="BE860" s="860"/>
      <c r="BF860" s="860"/>
      <c r="BG860" s="860"/>
      <c r="BH860" s="668"/>
      <c r="BI860" s="667"/>
      <c r="BJ860" s="690">
        <f t="shared" si="293"/>
        <v>0</v>
      </c>
      <c r="BK860" s="691">
        <f t="shared" si="294"/>
        <v>0</v>
      </c>
      <c r="BL860" s="654"/>
      <c r="BM860" s="692">
        <f>SUMIFS(Imput[[Importe Neto]:[Importe Neto]],Imput[[C. Imp.]:[C. Imp.]],$D860,Imput[[PERIODO Imp.]:[PERIODO Imp.]],BM$9)</f>
        <v>0</v>
      </c>
      <c r="BN860" s="693">
        <f>SUMIFS(Imput[[Importe Neto]:[Importe Neto]],Imput[[C. Imp.]:[C. Imp.]],$D860,Imput[[PERIODO Imp.]:[PERIODO Imp.]],BN$9)</f>
        <v>0</v>
      </c>
      <c r="BO860" s="693">
        <f>SUMIFS(Imput[[Importe Neto]:[Importe Neto]],Imput[[C. Imp.]:[C. Imp.]],$D860,Imput[[PERIODO Imp.]:[PERIODO Imp.]],BO$9)</f>
        <v>0</v>
      </c>
      <c r="BP860" s="693">
        <f>SUMIFS(Imput[[Importe Neto]:[Importe Neto]],Imput[[C. Imp.]:[C. Imp.]],$D860,Imput[[PERIODO Imp.]:[PERIODO Imp.]],BP$9)</f>
        <v>0</v>
      </c>
      <c r="BQ860" s="693">
        <f>SUMIFS(Imput[[Importe Neto]:[Importe Neto]],Imput[[C. Imp.]:[C. Imp.]],$D860,Imput[[PERIODO Imp.]:[PERIODO Imp.]],BQ$9)</f>
        <v>0</v>
      </c>
      <c r="BR860" s="693">
        <f>SUMIFS(Imput[[Importe Neto]:[Importe Neto]],Imput[[C. Imp.]:[C. Imp.]],$D860,Imput[[PERIODO Imp.]:[PERIODO Imp.]],BR$9)</f>
        <v>0</v>
      </c>
      <c r="BS860" s="693">
        <f>SUMIFS(Imput[[Importe Neto]:[Importe Neto]],Imput[[C. Imp.]:[C. Imp.]],$D860,Imput[[PERIODO Imp.]:[PERIODO Imp.]],BS$9)</f>
        <v>0</v>
      </c>
      <c r="BT860" s="693">
        <f>SUMIFS(Imput[[Importe Neto]:[Importe Neto]],Imput[[C. Imp.]:[C. Imp.]],$D860,Imput[[PERIODO Imp.]:[PERIODO Imp.]],BT$9)</f>
        <v>0</v>
      </c>
      <c r="BU860" s="693">
        <f>SUMIFS(Imput[[Importe Neto]:[Importe Neto]],Imput[[C. Imp.]:[C. Imp.]],$D860,Imput[[PERIODO Imp.]:[PERIODO Imp.]],BU$9)</f>
        <v>0</v>
      </c>
      <c r="BV860" s="693">
        <f>SUMIFS(Imput[[Importe Neto]:[Importe Neto]],Imput[[C. Imp.]:[C. Imp.]],$D860,Imput[[PERIODO Imp.]:[PERIODO Imp.]],BV$9)</f>
        <v>0</v>
      </c>
      <c r="BW860" s="693">
        <f>SUMIFS(Imput[[Importe Neto]:[Importe Neto]],Imput[[C. Imp.]:[C. Imp.]],$D860,Imput[[PERIODO Imp.]:[PERIODO Imp.]],BW$9)</f>
        <v>0</v>
      </c>
      <c r="BX860" s="693">
        <f>SUMIFS(Imput[[Importe Neto]:[Importe Neto]],Imput[[C. Imp.]:[C. Imp.]],$D860,Imput[[PERIODO Imp.]:[PERIODO Imp.]],BX$9)</f>
        <v>0</v>
      </c>
      <c r="BY860" s="693">
        <f>SUMIFS(Imput[[Importe Neto]:[Importe Neto]],Imput[[C. Imp.]:[C. Imp.]],$D860,Imput[[PERIODO Imp.]:[PERIODO Imp.]],BY$9)</f>
        <v>0</v>
      </c>
      <c r="BZ860" s="693">
        <f>SUMIFS(Imput[[Importe Neto]:[Importe Neto]],Imput[[C. Imp.]:[C. Imp.]],$D860,Imput[[PERIODO Imp.]:[PERIODO Imp.]],BZ$9)</f>
        <v>0</v>
      </c>
      <c r="CA860" s="693">
        <f>SUMIFS(Imput[[Importe Neto]:[Importe Neto]],Imput[[C. Imp.]:[C. Imp.]],$D860,Imput[[PERIODO Imp.]:[PERIODO Imp.]],CA$9)</f>
        <v>0</v>
      </c>
      <c r="CB860" s="693">
        <f>SUMIFS(Imput[[Importe Neto]:[Importe Neto]],Imput[[C. Imp.]:[C. Imp.]],$D860,Imput[[PERIODO Imp.]:[PERIODO Imp.]],CB$9)</f>
        <v>0</v>
      </c>
      <c r="CC860" s="693">
        <f>SUMIFS(Imput[[Importe Neto]:[Importe Neto]],Imput[[C. Imp.]:[C. Imp.]],$D860,Imput[[PERIODO Imp.]:[PERIODO Imp.]],CC$9)</f>
        <v>0</v>
      </c>
      <c r="CD860" s="693">
        <f>SUMIFS(Imput[[Importe Neto]:[Importe Neto]],Imput[[C. Imp.]:[C. Imp.]],$D860,Imput[[PERIODO Imp.]:[PERIODO Imp.]],CD$9)</f>
        <v>0</v>
      </c>
      <c r="CE860" s="693">
        <f>SUMIFS(Imput[[Importe Neto]:[Importe Neto]],Imput[[C. Imp.]:[C. Imp.]],$D860,Imput[[PERIODO Imp.]:[PERIODO Imp.]],CE$9)</f>
        <v>0</v>
      </c>
      <c r="CF860" s="693">
        <f>SUMIFS(Imput[[Importe Neto]:[Importe Neto]],Imput[[C. Imp.]:[C. Imp.]],$D860,Imput[[PERIODO Imp.]:[PERIODO Imp.]],CF$9)</f>
        <v>0</v>
      </c>
      <c r="CG860" s="693">
        <f>SUMIFS(Imput[[Importe Neto]:[Importe Neto]],Imput[[C. Imp.]:[C. Imp.]],$D860,Imput[[PERIODO Imp.]:[PERIODO Imp.]],CG$9)</f>
        <v>0</v>
      </c>
      <c r="CH860" s="693">
        <f>SUMIFS(Imput[[Importe Neto]:[Importe Neto]],Imput[[C. Imp.]:[C. Imp.]],$D860,Imput[[PERIODO Imp.]:[PERIODO Imp.]],CH$9)</f>
        <v>0</v>
      </c>
      <c r="CI860" s="693">
        <f>SUMIFS(Imput[[Importe Neto]:[Importe Neto]],Imput[[C. Imp.]:[C. Imp.]],$D860,Imput[[PERIODO Imp.]:[PERIODO Imp.]],CI$9)</f>
        <v>0</v>
      </c>
      <c r="CJ860" s="693">
        <f>SUMIFS(Imput[[Importe Neto]:[Importe Neto]],Imput[[C. Imp.]:[C. Imp.]],$D860,Imput[[PERIODO Imp.]:[PERIODO Imp.]],CJ$9)</f>
        <v>0</v>
      </c>
      <c r="CK860" s="693">
        <f>SUMIFS(Imput[[Importe Neto]:[Importe Neto]],Imput[[C. Imp.]:[C. Imp.]],$D860,Imput[[PERIODO Imp.]:[PERIODO Imp.]],CK$9)</f>
        <v>0</v>
      </c>
      <c r="CL860" s="693">
        <f>SUMIFS(Imput[[Importe Neto]:[Importe Neto]],Imput[[C. Imp.]:[C. Imp.]],$D860,Imput[[PERIODO Imp.]:[PERIODO Imp.]],CL$9)</f>
        <v>0</v>
      </c>
      <c r="CM860" s="693">
        <f>SUMIFS(Imput[[Importe Neto]:[Importe Neto]],Imput[[C. Imp.]:[C. Imp.]],$D860,Imput[[PERIODO Imp.]:[PERIODO Imp.]],CM$9)</f>
        <v>0</v>
      </c>
      <c r="CN860" s="693">
        <f>SUMIFS(Imput[[Importe Neto]:[Importe Neto]],Imput[[C. Imp.]:[C. Imp.]],$D860,Imput[[PERIODO Imp.]:[PERIODO Imp.]],CN$9)</f>
        <v>0</v>
      </c>
      <c r="CO860" s="693">
        <f>SUMIFS(Imput[[Importe Neto]:[Importe Neto]],Imput[[C. Imp.]:[C. Imp.]],$D860,Imput[[PERIODO Imp.]:[PERIODO Imp.]],CO$9)</f>
        <v>0</v>
      </c>
      <c r="CP860" s="693">
        <f>SUMIFS(Imput[[Importe Neto]:[Importe Neto]],Imput[[C. Imp.]:[C. Imp.]],$D860,Imput[[PERIODO Imp.]:[PERIODO Imp.]],CP$9)</f>
        <v>0</v>
      </c>
      <c r="CQ860" s="693">
        <f>SUMIFS(Imput[[Importe Neto]:[Importe Neto]],Imput[[C. Imp.]:[C. Imp.]],$D860,Imput[[PERIODO Imp.]:[PERIODO Imp.]],CQ$9)</f>
        <v>0</v>
      </c>
      <c r="CR860" s="693">
        <f>SUMIFS(Imput[[Importe Neto]:[Importe Neto]],Imput[[C. Imp.]:[C. Imp.]],$D860,Imput[[PERIODO Imp.]:[PERIODO Imp.]],CR$9)</f>
        <v>0</v>
      </c>
      <c r="CS860" s="693">
        <f>SUMIFS(Imput[[Importe Neto]:[Importe Neto]],Imput[[C. Imp.]:[C. Imp.]],$D860,Imput[[PERIODO Imp.]:[PERIODO Imp.]],CS$9)</f>
        <v>0</v>
      </c>
      <c r="CT860" s="693">
        <f>SUMIFS(Imput[[Importe Neto]:[Importe Neto]],Imput[[C. Imp.]:[C. Imp.]],$D860,Imput[[PERIODO Imp.]:[PERIODO Imp.]],CT$9)</f>
        <v>0</v>
      </c>
      <c r="CU860" s="693">
        <f>SUMIFS(Imput[[Importe Neto]:[Importe Neto]],Imput[[C. Imp.]:[C. Imp.]],$D860,Imput[[PERIODO Imp.]:[PERIODO Imp.]],CU$9)</f>
        <v>0</v>
      </c>
      <c r="CV860" s="693">
        <f>SUMIFS(Imput[[Importe Neto]:[Importe Neto]],Imput[[C. Imp.]:[C. Imp.]],$D860,Imput[[PERIODO Imp.]:[PERIODO Imp.]],CV$9)</f>
        <v>0</v>
      </c>
      <c r="CW860" s="693">
        <f>SUMIFS(Imput[[Importe Neto]:[Importe Neto]],Imput[[C. Imp.]:[C. Imp.]],$D860,Imput[[PERIODO Imp.]:[PERIODO Imp.]],CW$9)</f>
        <v>0</v>
      </c>
      <c r="CX860" s="693">
        <f>SUMIFS(Imput[[Importe Neto]:[Importe Neto]],Imput[[C. Imp.]:[C. Imp.]],$D860,Imput[[PERIODO Imp.]:[PERIODO Imp.]],CX$9)</f>
        <v>0</v>
      </c>
      <c r="CY860" s="693">
        <f>SUMIFS(Imput[[Importe Neto]:[Importe Neto]],Imput[[C. Imp.]:[C. Imp.]],$D860,Imput[[PERIODO Imp.]:[PERIODO Imp.]],CY$9)</f>
        <v>0</v>
      </c>
      <c r="CZ860" s="693">
        <f>SUMIFS(Imput[[Importe Neto]:[Importe Neto]],Imput[[C. Imp.]:[C. Imp.]],$D860,Imput[[PERIODO Imp.]:[PERIODO Imp.]],CZ$9)</f>
        <v>0</v>
      </c>
      <c r="DA860" s="693">
        <f>SUMIFS(Imput[[Importe Neto]:[Importe Neto]],Imput[[C. Imp.]:[C. Imp.]],$D860,Imput[[PERIODO Imp.]:[PERIODO Imp.]],DA$9)</f>
        <v>0</v>
      </c>
      <c r="DB860" s="693">
        <f>SUMIFS(Imput[[Importe Neto]:[Importe Neto]],Imput[[C. Imp.]:[C. Imp.]],$D860,Imput[[PERIODO Imp.]:[PERIODO Imp.]],DB$9)</f>
        <v>0</v>
      </c>
      <c r="DC860" s="693">
        <f>SUMIFS(Imput[[Importe Neto]:[Importe Neto]],Imput[[C. Imp.]:[C. Imp.]],$D860,Imput[[PERIODO Imp.]:[PERIODO Imp.]],DC$9)</f>
        <v>0</v>
      </c>
      <c r="DD860" s="693">
        <f>SUMIFS(Imput[[Importe Neto]:[Importe Neto]],Imput[[C. Imp.]:[C. Imp.]],$D860,Imput[[PERIODO Imp.]:[PERIODO Imp.]],DD$9)</f>
        <v>0</v>
      </c>
      <c r="DE860" s="693">
        <f>SUMIFS(Imput[[Importe Neto]:[Importe Neto]],Imput[[C. Imp.]:[C. Imp.]],$D860,Imput[[PERIODO Imp.]:[PERIODO Imp.]],DE$9)</f>
        <v>0</v>
      </c>
      <c r="DF860" s="693">
        <f>SUMIFS(Imput[[Importe Neto]:[Importe Neto]],Imput[[C. Imp.]:[C. Imp.]],$D860,Imput[[PERIODO Imp.]:[PERIODO Imp.]],DF$9)</f>
        <v>0</v>
      </c>
      <c r="DG860" s="693">
        <f>SUMIFS(Imput[[Importe Neto]:[Importe Neto]],Imput[[C. Imp.]:[C. Imp.]],$D860,Imput[[PERIODO Imp.]:[PERIODO Imp.]],DG$9)</f>
        <v>0</v>
      </c>
      <c r="DH860" s="694">
        <f>SUMIFS(Imput[[Importe Neto]:[Importe Neto]],Imput[[C. Imp.]:[C. Imp.]],$D860,Imput[[PERIODO Imp.]:[PERIODO Imp.]],DH$9)</f>
        <v>0</v>
      </c>
    </row>
    <row r="861" spans="1:112" s="649" customFormat="1" hidden="1" outlineLevel="1" x14ac:dyDescent="0.3">
      <c r="A861" s="652" t="str">
        <f t="shared" si="290"/>
        <v/>
      </c>
      <c r="B861" s="652"/>
      <c r="C861" s="685"/>
      <c r="D861" s="686" t="s">
        <v>2837</v>
      </c>
      <c r="E861" s="686"/>
      <c r="F861" s="720"/>
      <c r="G861" s="688"/>
      <c r="H861" s="689"/>
      <c r="I861" s="851" t="str">
        <f t="shared" si="291"/>
        <v/>
      </c>
      <c r="J861" s="850" t="str">
        <f t="shared" si="292"/>
        <v/>
      </c>
      <c r="K861" s="667"/>
      <c r="L861" s="858"/>
      <c r="M861" s="859"/>
      <c r="N861" s="859"/>
      <c r="O861" s="859"/>
      <c r="P861" s="859"/>
      <c r="Q861" s="859"/>
      <c r="R861" s="859"/>
      <c r="S861" s="859"/>
      <c r="T861" s="859"/>
      <c r="U861" s="859"/>
      <c r="V861" s="859"/>
      <c r="W861" s="859"/>
      <c r="X861" s="859"/>
      <c r="Y861" s="859"/>
      <c r="Z861" s="860"/>
      <c r="AA861" s="860"/>
      <c r="AB861" s="860"/>
      <c r="AC861" s="860"/>
      <c r="AD861" s="860"/>
      <c r="AE861" s="860"/>
      <c r="AF861" s="860"/>
      <c r="AG861" s="860"/>
      <c r="AH861" s="860"/>
      <c r="AI861" s="860"/>
      <c r="AJ861" s="860"/>
      <c r="AK861" s="860"/>
      <c r="AL861" s="860"/>
      <c r="AM861" s="860"/>
      <c r="AN861" s="860"/>
      <c r="AO861" s="860"/>
      <c r="AP861" s="860"/>
      <c r="AQ861" s="860"/>
      <c r="AR861" s="860"/>
      <c r="AS861" s="860"/>
      <c r="AT861" s="860"/>
      <c r="AU861" s="860"/>
      <c r="AV861" s="860"/>
      <c r="AW861" s="860"/>
      <c r="AX861" s="860"/>
      <c r="AY861" s="860"/>
      <c r="AZ861" s="860"/>
      <c r="BA861" s="860"/>
      <c r="BB861" s="860"/>
      <c r="BC861" s="860"/>
      <c r="BD861" s="860"/>
      <c r="BE861" s="860"/>
      <c r="BF861" s="860"/>
      <c r="BG861" s="860"/>
      <c r="BH861" s="668"/>
      <c r="BI861" s="667"/>
      <c r="BJ861" s="690">
        <f t="shared" si="293"/>
        <v>0</v>
      </c>
      <c r="BK861" s="691">
        <f t="shared" si="294"/>
        <v>0</v>
      </c>
      <c r="BL861" s="654"/>
      <c r="BM861" s="692">
        <f>SUMIFS(Imput[[Importe Neto]:[Importe Neto]],Imput[[C. Imp.]:[C. Imp.]],$D861,Imput[[PERIODO Imp.]:[PERIODO Imp.]],BM$9)</f>
        <v>0</v>
      </c>
      <c r="BN861" s="693">
        <f>SUMIFS(Imput[[Importe Neto]:[Importe Neto]],Imput[[C. Imp.]:[C. Imp.]],$D861,Imput[[PERIODO Imp.]:[PERIODO Imp.]],BN$9)</f>
        <v>0</v>
      </c>
      <c r="BO861" s="693">
        <f>SUMIFS(Imput[[Importe Neto]:[Importe Neto]],Imput[[C. Imp.]:[C. Imp.]],$D861,Imput[[PERIODO Imp.]:[PERIODO Imp.]],BO$9)</f>
        <v>0</v>
      </c>
      <c r="BP861" s="693">
        <f>SUMIFS(Imput[[Importe Neto]:[Importe Neto]],Imput[[C. Imp.]:[C. Imp.]],$D861,Imput[[PERIODO Imp.]:[PERIODO Imp.]],BP$9)</f>
        <v>0</v>
      </c>
      <c r="BQ861" s="693">
        <f>SUMIFS(Imput[[Importe Neto]:[Importe Neto]],Imput[[C. Imp.]:[C. Imp.]],$D861,Imput[[PERIODO Imp.]:[PERIODO Imp.]],BQ$9)</f>
        <v>0</v>
      </c>
      <c r="BR861" s="693">
        <f>SUMIFS(Imput[[Importe Neto]:[Importe Neto]],Imput[[C. Imp.]:[C. Imp.]],$D861,Imput[[PERIODO Imp.]:[PERIODO Imp.]],BR$9)</f>
        <v>0</v>
      </c>
      <c r="BS861" s="693">
        <f>SUMIFS(Imput[[Importe Neto]:[Importe Neto]],Imput[[C. Imp.]:[C. Imp.]],$D861,Imput[[PERIODO Imp.]:[PERIODO Imp.]],BS$9)</f>
        <v>0</v>
      </c>
      <c r="BT861" s="693">
        <f>SUMIFS(Imput[[Importe Neto]:[Importe Neto]],Imput[[C. Imp.]:[C. Imp.]],$D861,Imput[[PERIODO Imp.]:[PERIODO Imp.]],BT$9)</f>
        <v>0</v>
      </c>
      <c r="BU861" s="693">
        <f>SUMIFS(Imput[[Importe Neto]:[Importe Neto]],Imput[[C. Imp.]:[C. Imp.]],$D861,Imput[[PERIODO Imp.]:[PERIODO Imp.]],BU$9)</f>
        <v>0</v>
      </c>
      <c r="BV861" s="693">
        <f>SUMIFS(Imput[[Importe Neto]:[Importe Neto]],Imput[[C. Imp.]:[C. Imp.]],$D861,Imput[[PERIODO Imp.]:[PERIODO Imp.]],BV$9)</f>
        <v>0</v>
      </c>
      <c r="BW861" s="693">
        <f>SUMIFS(Imput[[Importe Neto]:[Importe Neto]],Imput[[C. Imp.]:[C. Imp.]],$D861,Imput[[PERIODO Imp.]:[PERIODO Imp.]],BW$9)</f>
        <v>0</v>
      </c>
      <c r="BX861" s="693">
        <f>SUMIFS(Imput[[Importe Neto]:[Importe Neto]],Imput[[C. Imp.]:[C. Imp.]],$D861,Imput[[PERIODO Imp.]:[PERIODO Imp.]],BX$9)</f>
        <v>0</v>
      </c>
      <c r="BY861" s="693">
        <f>SUMIFS(Imput[[Importe Neto]:[Importe Neto]],Imput[[C. Imp.]:[C. Imp.]],$D861,Imput[[PERIODO Imp.]:[PERIODO Imp.]],BY$9)</f>
        <v>0</v>
      </c>
      <c r="BZ861" s="693">
        <f>SUMIFS(Imput[[Importe Neto]:[Importe Neto]],Imput[[C. Imp.]:[C. Imp.]],$D861,Imput[[PERIODO Imp.]:[PERIODO Imp.]],BZ$9)</f>
        <v>0</v>
      </c>
      <c r="CA861" s="693">
        <f>SUMIFS(Imput[[Importe Neto]:[Importe Neto]],Imput[[C. Imp.]:[C. Imp.]],$D861,Imput[[PERIODO Imp.]:[PERIODO Imp.]],CA$9)</f>
        <v>0</v>
      </c>
      <c r="CB861" s="693">
        <f>SUMIFS(Imput[[Importe Neto]:[Importe Neto]],Imput[[C. Imp.]:[C. Imp.]],$D861,Imput[[PERIODO Imp.]:[PERIODO Imp.]],CB$9)</f>
        <v>0</v>
      </c>
      <c r="CC861" s="693">
        <f>SUMIFS(Imput[[Importe Neto]:[Importe Neto]],Imput[[C. Imp.]:[C. Imp.]],$D861,Imput[[PERIODO Imp.]:[PERIODO Imp.]],CC$9)</f>
        <v>0</v>
      </c>
      <c r="CD861" s="693">
        <f>SUMIFS(Imput[[Importe Neto]:[Importe Neto]],Imput[[C. Imp.]:[C. Imp.]],$D861,Imput[[PERIODO Imp.]:[PERIODO Imp.]],CD$9)</f>
        <v>0</v>
      </c>
      <c r="CE861" s="693">
        <f>SUMIFS(Imput[[Importe Neto]:[Importe Neto]],Imput[[C. Imp.]:[C. Imp.]],$D861,Imput[[PERIODO Imp.]:[PERIODO Imp.]],CE$9)</f>
        <v>0</v>
      </c>
      <c r="CF861" s="693">
        <f>SUMIFS(Imput[[Importe Neto]:[Importe Neto]],Imput[[C. Imp.]:[C. Imp.]],$D861,Imput[[PERIODO Imp.]:[PERIODO Imp.]],CF$9)</f>
        <v>0</v>
      </c>
      <c r="CG861" s="693">
        <f>SUMIFS(Imput[[Importe Neto]:[Importe Neto]],Imput[[C. Imp.]:[C. Imp.]],$D861,Imput[[PERIODO Imp.]:[PERIODO Imp.]],CG$9)</f>
        <v>0</v>
      </c>
      <c r="CH861" s="693">
        <f>SUMIFS(Imput[[Importe Neto]:[Importe Neto]],Imput[[C. Imp.]:[C. Imp.]],$D861,Imput[[PERIODO Imp.]:[PERIODO Imp.]],CH$9)</f>
        <v>0</v>
      </c>
      <c r="CI861" s="693">
        <f>SUMIFS(Imput[[Importe Neto]:[Importe Neto]],Imput[[C. Imp.]:[C. Imp.]],$D861,Imput[[PERIODO Imp.]:[PERIODO Imp.]],CI$9)</f>
        <v>0</v>
      </c>
      <c r="CJ861" s="693">
        <f>SUMIFS(Imput[[Importe Neto]:[Importe Neto]],Imput[[C. Imp.]:[C. Imp.]],$D861,Imput[[PERIODO Imp.]:[PERIODO Imp.]],CJ$9)</f>
        <v>0</v>
      </c>
      <c r="CK861" s="693">
        <f>SUMIFS(Imput[[Importe Neto]:[Importe Neto]],Imput[[C. Imp.]:[C. Imp.]],$D861,Imput[[PERIODO Imp.]:[PERIODO Imp.]],CK$9)</f>
        <v>0</v>
      </c>
      <c r="CL861" s="693">
        <f>SUMIFS(Imput[[Importe Neto]:[Importe Neto]],Imput[[C. Imp.]:[C. Imp.]],$D861,Imput[[PERIODO Imp.]:[PERIODO Imp.]],CL$9)</f>
        <v>0</v>
      </c>
      <c r="CM861" s="693">
        <f>SUMIFS(Imput[[Importe Neto]:[Importe Neto]],Imput[[C. Imp.]:[C. Imp.]],$D861,Imput[[PERIODO Imp.]:[PERIODO Imp.]],CM$9)</f>
        <v>0</v>
      </c>
      <c r="CN861" s="693">
        <f>SUMIFS(Imput[[Importe Neto]:[Importe Neto]],Imput[[C. Imp.]:[C. Imp.]],$D861,Imput[[PERIODO Imp.]:[PERIODO Imp.]],CN$9)</f>
        <v>0</v>
      </c>
      <c r="CO861" s="693">
        <f>SUMIFS(Imput[[Importe Neto]:[Importe Neto]],Imput[[C. Imp.]:[C. Imp.]],$D861,Imput[[PERIODO Imp.]:[PERIODO Imp.]],CO$9)</f>
        <v>0</v>
      </c>
      <c r="CP861" s="693">
        <f>SUMIFS(Imput[[Importe Neto]:[Importe Neto]],Imput[[C. Imp.]:[C. Imp.]],$D861,Imput[[PERIODO Imp.]:[PERIODO Imp.]],CP$9)</f>
        <v>0</v>
      </c>
      <c r="CQ861" s="693">
        <f>SUMIFS(Imput[[Importe Neto]:[Importe Neto]],Imput[[C. Imp.]:[C. Imp.]],$D861,Imput[[PERIODO Imp.]:[PERIODO Imp.]],CQ$9)</f>
        <v>0</v>
      </c>
      <c r="CR861" s="693">
        <f>SUMIFS(Imput[[Importe Neto]:[Importe Neto]],Imput[[C. Imp.]:[C. Imp.]],$D861,Imput[[PERIODO Imp.]:[PERIODO Imp.]],CR$9)</f>
        <v>0</v>
      </c>
      <c r="CS861" s="693">
        <f>SUMIFS(Imput[[Importe Neto]:[Importe Neto]],Imput[[C. Imp.]:[C. Imp.]],$D861,Imput[[PERIODO Imp.]:[PERIODO Imp.]],CS$9)</f>
        <v>0</v>
      </c>
      <c r="CT861" s="693">
        <f>SUMIFS(Imput[[Importe Neto]:[Importe Neto]],Imput[[C. Imp.]:[C. Imp.]],$D861,Imput[[PERIODO Imp.]:[PERIODO Imp.]],CT$9)</f>
        <v>0</v>
      </c>
      <c r="CU861" s="693">
        <f>SUMIFS(Imput[[Importe Neto]:[Importe Neto]],Imput[[C. Imp.]:[C. Imp.]],$D861,Imput[[PERIODO Imp.]:[PERIODO Imp.]],CU$9)</f>
        <v>0</v>
      </c>
      <c r="CV861" s="693">
        <f>SUMIFS(Imput[[Importe Neto]:[Importe Neto]],Imput[[C. Imp.]:[C. Imp.]],$D861,Imput[[PERIODO Imp.]:[PERIODO Imp.]],CV$9)</f>
        <v>0</v>
      </c>
      <c r="CW861" s="693">
        <f>SUMIFS(Imput[[Importe Neto]:[Importe Neto]],Imput[[C. Imp.]:[C. Imp.]],$D861,Imput[[PERIODO Imp.]:[PERIODO Imp.]],CW$9)</f>
        <v>0</v>
      </c>
      <c r="CX861" s="693">
        <f>SUMIFS(Imput[[Importe Neto]:[Importe Neto]],Imput[[C. Imp.]:[C. Imp.]],$D861,Imput[[PERIODO Imp.]:[PERIODO Imp.]],CX$9)</f>
        <v>0</v>
      </c>
      <c r="CY861" s="693">
        <f>SUMIFS(Imput[[Importe Neto]:[Importe Neto]],Imput[[C. Imp.]:[C. Imp.]],$D861,Imput[[PERIODO Imp.]:[PERIODO Imp.]],CY$9)</f>
        <v>0</v>
      </c>
      <c r="CZ861" s="693">
        <f>SUMIFS(Imput[[Importe Neto]:[Importe Neto]],Imput[[C. Imp.]:[C. Imp.]],$D861,Imput[[PERIODO Imp.]:[PERIODO Imp.]],CZ$9)</f>
        <v>0</v>
      </c>
      <c r="DA861" s="693">
        <f>SUMIFS(Imput[[Importe Neto]:[Importe Neto]],Imput[[C. Imp.]:[C. Imp.]],$D861,Imput[[PERIODO Imp.]:[PERIODO Imp.]],DA$9)</f>
        <v>0</v>
      </c>
      <c r="DB861" s="693">
        <f>SUMIFS(Imput[[Importe Neto]:[Importe Neto]],Imput[[C. Imp.]:[C. Imp.]],$D861,Imput[[PERIODO Imp.]:[PERIODO Imp.]],DB$9)</f>
        <v>0</v>
      </c>
      <c r="DC861" s="693">
        <f>SUMIFS(Imput[[Importe Neto]:[Importe Neto]],Imput[[C. Imp.]:[C. Imp.]],$D861,Imput[[PERIODO Imp.]:[PERIODO Imp.]],DC$9)</f>
        <v>0</v>
      </c>
      <c r="DD861" s="693">
        <f>SUMIFS(Imput[[Importe Neto]:[Importe Neto]],Imput[[C. Imp.]:[C. Imp.]],$D861,Imput[[PERIODO Imp.]:[PERIODO Imp.]],DD$9)</f>
        <v>0</v>
      </c>
      <c r="DE861" s="693">
        <f>SUMIFS(Imput[[Importe Neto]:[Importe Neto]],Imput[[C. Imp.]:[C. Imp.]],$D861,Imput[[PERIODO Imp.]:[PERIODO Imp.]],DE$9)</f>
        <v>0</v>
      </c>
      <c r="DF861" s="693">
        <f>SUMIFS(Imput[[Importe Neto]:[Importe Neto]],Imput[[C. Imp.]:[C. Imp.]],$D861,Imput[[PERIODO Imp.]:[PERIODO Imp.]],DF$9)</f>
        <v>0</v>
      </c>
      <c r="DG861" s="693">
        <f>SUMIFS(Imput[[Importe Neto]:[Importe Neto]],Imput[[C. Imp.]:[C. Imp.]],$D861,Imput[[PERIODO Imp.]:[PERIODO Imp.]],DG$9)</f>
        <v>0</v>
      </c>
      <c r="DH861" s="694">
        <f>SUMIFS(Imput[[Importe Neto]:[Importe Neto]],Imput[[C. Imp.]:[C. Imp.]],$D861,Imput[[PERIODO Imp.]:[PERIODO Imp.]],DH$9)</f>
        <v>0</v>
      </c>
    </row>
    <row r="862" spans="1:112" s="649" customFormat="1" hidden="1" outlineLevel="1" x14ac:dyDescent="0.3">
      <c r="A862" s="652" t="str">
        <f t="shared" si="290"/>
        <v/>
      </c>
      <c r="B862" s="652"/>
      <c r="C862" s="685"/>
      <c r="D862" s="686" t="s">
        <v>2838</v>
      </c>
      <c r="E862" s="686"/>
      <c r="F862" s="720"/>
      <c r="G862" s="688"/>
      <c r="H862" s="689"/>
      <c r="I862" s="851" t="str">
        <f t="shared" si="291"/>
        <v/>
      </c>
      <c r="J862" s="850" t="str">
        <f t="shared" si="292"/>
        <v/>
      </c>
      <c r="K862" s="667"/>
      <c r="L862" s="858"/>
      <c r="M862" s="859"/>
      <c r="N862" s="859"/>
      <c r="O862" s="859"/>
      <c r="P862" s="859"/>
      <c r="Q862" s="859"/>
      <c r="R862" s="859"/>
      <c r="S862" s="859"/>
      <c r="T862" s="859"/>
      <c r="U862" s="859"/>
      <c r="V862" s="859"/>
      <c r="W862" s="859"/>
      <c r="X862" s="859"/>
      <c r="Y862" s="859"/>
      <c r="Z862" s="860"/>
      <c r="AA862" s="860"/>
      <c r="AB862" s="860"/>
      <c r="AC862" s="860"/>
      <c r="AD862" s="860"/>
      <c r="AE862" s="860"/>
      <c r="AF862" s="860"/>
      <c r="AG862" s="860"/>
      <c r="AH862" s="860"/>
      <c r="AI862" s="860"/>
      <c r="AJ862" s="860"/>
      <c r="AK862" s="860"/>
      <c r="AL862" s="860"/>
      <c r="AM862" s="860"/>
      <c r="AN862" s="860"/>
      <c r="AO862" s="860"/>
      <c r="AP862" s="860"/>
      <c r="AQ862" s="860"/>
      <c r="AR862" s="860"/>
      <c r="AS862" s="860"/>
      <c r="AT862" s="860"/>
      <c r="AU862" s="860"/>
      <c r="AV862" s="860"/>
      <c r="AW862" s="860"/>
      <c r="AX862" s="860"/>
      <c r="AY862" s="860"/>
      <c r="AZ862" s="860"/>
      <c r="BA862" s="860"/>
      <c r="BB862" s="860"/>
      <c r="BC862" s="860"/>
      <c r="BD862" s="860"/>
      <c r="BE862" s="860"/>
      <c r="BF862" s="860"/>
      <c r="BG862" s="860"/>
      <c r="BH862" s="668"/>
      <c r="BI862" s="667"/>
      <c r="BJ862" s="690">
        <f t="shared" si="293"/>
        <v>0</v>
      </c>
      <c r="BK862" s="691">
        <f t="shared" si="294"/>
        <v>0</v>
      </c>
      <c r="BL862" s="654"/>
      <c r="BM862" s="692">
        <f>SUMIFS(Imput[[Importe Neto]:[Importe Neto]],Imput[[C. Imp.]:[C. Imp.]],$D862,Imput[[PERIODO Imp.]:[PERIODO Imp.]],BM$9)</f>
        <v>0</v>
      </c>
      <c r="BN862" s="693">
        <f>SUMIFS(Imput[[Importe Neto]:[Importe Neto]],Imput[[C. Imp.]:[C. Imp.]],$D862,Imput[[PERIODO Imp.]:[PERIODO Imp.]],BN$9)</f>
        <v>0</v>
      </c>
      <c r="BO862" s="693">
        <f>SUMIFS(Imput[[Importe Neto]:[Importe Neto]],Imput[[C. Imp.]:[C. Imp.]],$D862,Imput[[PERIODO Imp.]:[PERIODO Imp.]],BO$9)</f>
        <v>0</v>
      </c>
      <c r="BP862" s="693">
        <f>SUMIFS(Imput[[Importe Neto]:[Importe Neto]],Imput[[C. Imp.]:[C. Imp.]],$D862,Imput[[PERIODO Imp.]:[PERIODO Imp.]],BP$9)</f>
        <v>0</v>
      </c>
      <c r="BQ862" s="693">
        <f>SUMIFS(Imput[[Importe Neto]:[Importe Neto]],Imput[[C. Imp.]:[C. Imp.]],$D862,Imput[[PERIODO Imp.]:[PERIODO Imp.]],BQ$9)</f>
        <v>0</v>
      </c>
      <c r="BR862" s="693">
        <f>SUMIFS(Imput[[Importe Neto]:[Importe Neto]],Imput[[C. Imp.]:[C. Imp.]],$D862,Imput[[PERIODO Imp.]:[PERIODO Imp.]],BR$9)</f>
        <v>0</v>
      </c>
      <c r="BS862" s="693">
        <f>SUMIFS(Imput[[Importe Neto]:[Importe Neto]],Imput[[C. Imp.]:[C. Imp.]],$D862,Imput[[PERIODO Imp.]:[PERIODO Imp.]],BS$9)</f>
        <v>0</v>
      </c>
      <c r="BT862" s="693">
        <f>SUMIFS(Imput[[Importe Neto]:[Importe Neto]],Imput[[C. Imp.]:[C. Imp.]],$D862,Imput[[PERIODO Imp.]:[PERIODO Imp.]],BT$9)</f>
        <v>0</v>
      </c>
      <c r="BU862" s="693">
        <f>SUMIFS(Imput[[Importe Neto]:[Importe Neto]],Imput[[C. Imp.]:[C. Imp.]],$D862,Imput[[PERIODO Imp.]:[PERIODO Imp.]],BU$9)</f>
        <v>0</v>
      </c>
      <c r="BV862" s="693">
        <f>SUMIFS(Imput[[Importe Neto]:[Importe Neto]],Imput[[C. Imp.]:[C. Imp.]],$D862,Imput[[PERIODO Imp.]:[PERIODO Imp.]],BV$9)</f>
        <v>0</v>
      </c>
      <c r="BW862" s="693">
        <f>SUMIFS(Imput[[Importe Neto]:[Importe Neto]],Imput[[C. Imp.]:[C. Imp.]],$D862,Imput[[PERIODO Imp.]:[PERIODO Imp.]],BW$9)</f>
        <v>0</v>
      </c>
      <c r="BX862" s="693">
        <f>SUMIFS(Imput[[Importe Neto]:[Importe Neto]],Imput[[C. Imp.]:[C. Imp.]],$D862,Imput[[PERIODO Imp.]:[PERIODO Imp.]],BX$9)</f>
        <v>0</v>
      </c>
      <c r="BY862" s="693">
        <f>SUMIFS(Imput[[Importe Neto]:[Importe Neto]],Imput[[C. Imp.]:[C. Imp.]],$D862,Imput[[PERIODO Imp.]:[PERIODO Imp.]],BY$9)</f>
        <v>0</v>
      </c>
      <c r="BZ862" s="693">
        <f>SUMIFS(Imput[[Importe Neto]:[Importe Neto]],Imput[[C. Imp.]:[C. Imp.]],$D862,Imput[[PERIODO Imp.]:[PERIODO Imp.]],BZ$9)</f>
        <v>0</v>
      </c>
      <c r="CA862" s="693">
        <f>SUMIFS(Imput[[Importe Neto]:[Importe Neto]],Imput[[C. Imp.]:[C. Imp.]],$D862,Imput[[PERIODO Imp.]:[PERIODO Imp.]],CA$9)</f>
        <v>0</v>
      </c>
      <c r="CB862" s="693">
        <f>SUMIFS(Imput[[Importe Neto]:[Importe Neto]],Imput[[C. Imp.]:[C. Imp.]],$D862,Imput[[PERIODO Imp.]:[PERIODO Imp.]],CB$9)</f>
        <v>0</v>
      </c>
      <c r="CC862" s="693">
        <f>SUMIFS(Imput[[Importe Neto]:[Importe Neto]],Imput[[C. Imp.]:[C. Imp.]],$D862,Imput[[PERIODO Imp.]:[PERIODO Imp.]],CC$9)</f>
        <v>0</v>
      </c>
      <c r="CD862" s="693">
        <f>SUMIFS(Imput[[Importe Neto]:[Importe Neto]],Imput[[C. Imp.]:[C. Imp.]],$D862,Imput[[PERIODO Imp.]:[PERIODO Imp.]],CD$9)</f>
        <v>0</v>
      </c>
      <c r="CE862" s="693">
        <f>SUMIFS(Imput[[Importe Neto]:[Importe Neto]],Imput[[C. Imp.]:[C. Imp.]],$D862,Imput[[PERIODO Imp.]:[PERIODO Imp.]],CE$9)</f>
        <v>0</v>
      </c>
      <c r="CF862" s="693">
        <f>SUMIFS(Imput[[Importe Neto]:[Importe Neto]],Imput[[C. Imp.]:[C. Imp.]],$D862,Imput[[PERIODO Imp.]:[PERIODO Imp.]],CF$9)</f>
        <v>0</v>
      </c>
      <c r="CG862" s="693">
        <f>SUMIFS(Imput[[Importe Neto]:[Importe Neto]],Imput[[C. Imp.]:[C. Imp.]],$D862,Imput[[PERIODO Imp.]:[PERIODO Imp.]],CG$9)</f>
        <v>0</v>
      </c>
      <c r="CH862" s="693">
        <f>SUMIFS(Imput[[Importe Neto]:[Importe Neto]],Imput[[C. Imp.]:[C. Imp.]],$D862,Imput[[PERIODO Imp.]:[PERIODO Imp.]],CH$9)</f>
        <v>0</v>
      </c>
      <c r="CI862" s="693">
        <f>SUMIFS(Imput[[Importe Neto]:[Importe Neto]],Imput[[C. Imp.]:[C. Imp.]],$D862,Imput[[PERIODO Imp.]:[PERIODO Imp.]],CI$9)</f>
        <v>0</v>
      </c>
      <c r="CJ862" s="693">
        <f>SUMIFS(Imput[[Importe Neto]:[Importe Neto]],Imput[[C. Imp.]:[C. Imp.]],$D862,Imput[[PERIODO Imp.]:[PERIODO Imp.]],CJ$9)</f>
        <v>0</v>
      </c>
      <c r="CK862" s="693">
        <f>SUMIFS(Imput[[Importe Neto]:[Importe Neto]],Imput[[C. Imp.]:[C. Imp.]],$D862,Imput[[PERIODO Imp.]:[PERIODO Imp.]],CK$9)</f>
        <v>0</v>
      </c>
      <c r="CL862" s="693">
        <f>SUMIFS(Imput[[Importe Neto]:[Importe Neto]],Imput[[C. Imp.]:[C. Imp.]],$D862,Imput[[PERIODO Imp.]:[PERIODO Imp.]],CL$9)</f>
        <v>0</v>
      </c>
      <c r="CM862" s="693">
        <f>SUMIFS(Imput[[Importe Neto]:[Importe Neto]],Imput[[C. Imp.]:[C. Imp.]],$D862,Imput[[PERIODO Imp.]:[PERIODO Imp.]],CM$9)</f>
        <v>0</v>
      </c>
      <c r="CN862" s="693">
        <f>SUMIFS(Imput[[Importe Neto]:[Importe Neto]],Imput[[C. Imp.]:[C. Imp.]],$D862,Imput[[PERIODO Imp.]:[PERIODO Imp.]],CN$9)</f>
        <v>0</v>
      </c>
      <c r="CO862" s="693">
        <f>SUMIFS(Imput[[Importe Neto]:[Importe Neto]],Imput[[C. Imp.]:[C. Imp.]],$D862,Imput[[PERIODO Imp.]:[PERIODO Imp.]],CO$9)</f>
        <v>0</v>
      </c>
      <c r="CP862" s="693">
        <f>SUMIFS(Imput[[Importe Neto]:[Importe Neto]],Imput[[C. Imp.]:[C. Imp.]],$D862,Imput[[PERIODO Imp.]:[PERIODO Imp.]],CP$9)</f>
        <v>0</v>
      </c>
      <c r="CQ862" s="693">
        <f>SUMIFS(Imput[[Importe Neto]:[Importe Neto]],Imput[[C. Imp.]:[C. Imp.]],$D862,Imput[[PERIODO Imp.]:[PERIODO Imp.]],CQ$9)</f>
        <v>0</v>
      </c>
      <c r="CR862" s="693">
        <f>SUMIFS(Imput[[Importe Neto]:[Importe Neto]],Imput[[C. Imp.]:[C. Imp.]],$D862,Imput[[PERIODO Imp.]:[PERIODO Imp.]],CR$9)</f>
        <v>0</v>
      </c>
      <c r="CS862" s="693">
        <f>SUMIFS(Imput[[Importe Neto]:[Importe Neto]],Imput[[C. Imp.]:[C. Imp.]],$D862,Imput[[PERIODO Imp.]:[PERIODO Imp.]],CS$9)</f>
        <v>0</v>
      </c>
      <c r="CT862" s="693">
        <f>SUMIFS(Imput[[Importe Neto]:[Importe Neto]],Imput[[C. Imp.]:[C. Imp.]],$D862,Imput[[PERIODO Imp.]:[PERIODO Imp.]],CT$9)</f>
        <v>0</v>
      </c>
      <c r="CU862" s="693">
        <f>SUMIFS(Imput[[Importe Neto]:[Importe Neto]],Imput[[C. Imp.]:[C. Imp.]],$D862,Imput[[PERIODO Imp.]:[PERIODO Imp.]],CU$9)</f>
        <v>0</v>
      </c>
      <c r="CV862" s="693">
        <f>SUMIFS(Imput[[Importe Neto]:[Importe Neto]],Imput[[C. Imp.]:[C. Imp.]],$D862,Imput[[PERIODO Imp.]:[PERIODO Imp.]],CV$9)</f>
        <v>0</v>
      </c>
      <c r="CW862" s="693">
        <f>SUMIFS(Imput[[Importe Neto]:[Importe Neto]],Imput[[C. Imp.]:[C. Imp.]],$D862,Imput[[PERIODO Imp.]:[PERIODO Imp.]],CW$9)</f>
        <v>0</v>
      </c>
      <c r="CX862" s="693">
        <f>SUMIFS(Imput[[Importe Neto]:[Importe Neto]],Imput[[C. Imp.]:[C. Imp.]],$D862,Imput[[PERIODO Imp.]:[PERIODO Imp.]],CX$9)</f>
        <v>0</v>
      </c>
      <c r="CY862" s="693">
        <f>SUMIFS(Imput[[Importe Neto]:[Importe Neto]],Imput[[C. Imp.]:[C. Imp.]],$D862,Imput[[PERIODO Imp.]:[PERIODO Imp.]],CY$9)</f>
        <v>0</v>
      </c>
      <c r="CZ862" s="693">
        <f>SUMIFS(Imput[[Importe Neto]:[Importe Neto]],Imput[[C. Imp.]:[C. Imp.]],$D862,Imput[[PERIODO Imp.]:[PERIODO Imp.]],CZ$9)</f>
        <v>0</v>
      </c>
      <c r="DA862" s="693">
        <f>SUMIFS(Imput[[Importe Neto]:[Importe Neto]],Imput[[C. Imp.]:[C. Imp.]],$D862,Imput[[PERIODO Imp.]:[PERIODO Imp.]],DA$9)</f>
        <v>0</v>
      </c>
      <c r="DB862" s="693">
        <f>SUMIFS(Imput[[Importe Neto]:[Importe Neto]],Imput[[C. Imp.]:[C. Imp.]],$D862,Imput[[PERIODO Imp.]:[PERIODO Imp.]],DB$9)</f>
        <v>0</v>
      </c>
      <c r="DC862" s="693">
        <f>SUMIFS(Imput[[Importe Neto]:[Importe Neto]],Imput[[C. Imp.]:[C. Imp.]],$D862,Imput[[PERIODO Imp.]:[PERIODO Imp.]],DC$9)</f>
        <v>0</v>
      </c>
      <c r="DD862" s="693">
        <f>SUMIFS(Imput[[Importe Neto]:[Importe Neto]],Imput[[C. Imp.]:[C. Imp.]],$D862,Imput[[PERIODO Imp.]:[PERIODO Imp.]],DD$9)</f>
        <v>0</v>
      </c>
      <c r="DE862" s="693">
        <f>SUMIFS(Imput[[Importe Neto]:[Importe Neto]],Imput[[C. Imp.]:[C. Imp.]],$D862,Imput[[PERIODO Imp.]:[PERIODO Imp.]],DE$9)</f>
        <v>0</v>
      </c>
      <c r="DF862" s="693">
        <f>SUMIFS(Imput[[Importe Neto]:[Importe Neto]],Imput[[C. Imp.]:[C. Imp.]],$D862,Imput[[PERIODO Imp.]:[PERIODO Imp.]],DF$9)</f>
        <v>0</v>
      </c>
      <c r="DG862" s="693">
        <f>SUMIFS(Imput[[Importe Neto]:[Importe Neto]],Imput[[C. Imp.]:[C. Imp.]],$D862,Imput[[PERIODO Imp.]:[PERIODO Imp.]],DG$9)</f>
        <v>0</v>
      </c>
      <c r="DH862" s="694">
        <f>SUMIFS(Imput[[Importe Neto]:[Importe Neto]],Imput[[C. Imp.]:[C. Imp.]],$D862,Imput[[PERIODO Imp.]:[PERIODO Imp.]],DH$9)</f>
        <v>0</v>
      </c>
    </row>
    <row r="863" spans="1:112" s="649" customFormat="1" hidden="1" outlineLevel="1" x14ac:dyDescent="0.3">
      <c r="A863" s="652" t="str">
        <f t="shared" si="290"/>
        <v/>
      </c>
      <c r="B863" s="652"/>
      <c r="C863" s="685"/>
      <c r="D863" s="686" t="s">
        <v>2839</v>
      </c>
      <c r="E863" s="686"/>
      <c r="F863" s="720"/>
      <c r="G863" s="688"/>
      <c r="H863" s="689"/>
      <c r="I863" s="851" t="str">
        <f t="shared" si="291"/>
        <v/>
      </c>
      <c r="J863" s="850" t="str">
        <f t="shared" si="292"/>
        <v/>
      </c>
      <c r="K863" s="667"/>
      <c r="L863" s="858"/>
      <c r="M863" s="859"/>
      <c r="N863" s="859"/>
      <c r="O863" s="859"/>
      <c r="P863" s="859"/>
      <c r="Q863" s="859"/>
      <c r="R863" s="859"/>
      <c r="S863" s="859"/>
      <c r="T863" s="859"/>
      <c r="U863" s="859"/>
      <c r="V863" s="859"/>
      <c r="W863" s="859"/>
      <c r="X863" s="859"/>
      <c r="Y863" s="859"/>
      <c r="Z863" s="860"/>
      <c r="AA863" s="860"/>
      <c r="AB863" s="860"/>
      <c r="AC863" s="860"/>
      <c r="AD863" s="860"/>
      <c r="AE863" s="860"/>
      <c r="AF863" s="860"/>
      <c r="AG863" s="860"/>
      <c r="AH863" s="860"/>
      <c r="AI863" s="860"/>
      <c r="AJ863" s="860"/>
      <c r="AK863" s="860"/>
      <c r="AL863" s="860"/>
      <c r="AM863" s="860"/>
      <c r="AN863" s="860"/>
      <c r="AO863" s="860"/>
      <c r="AP863" s="860"/>
      <c r="AQ863" s="860"/>
      <c r="AR863" s="860"/>
      <c r="AS863" s="860"/>
      <c r="AT863" s="860"/>
      <c r="AU863" s="860"/>
      <c r="AV863" s="860"/>
      <c r="AW863" s="860"/>
      <c r="AX863" s="860"/>
      <c r="AY863" s="860"/>
      <c r="AZ863" s="860"/>
      <c r="BA863" s="860"/>
      <c r="BB863" s="860"/>
      <c r="BC863" s="860"/>
      <c r="BD863" s="860"/>
      <c r="BE863" s="860"/>
      <c r="BF863" s="860"/>
      <c r="BG863" s="860"/>
      <c r="BH863" s="668"/>
      <c r="BI863" s="667"/>
      <c r="BJ863" s="690">
        <f t="shared" si="293"/>
        <v>0</v>
      </c>
      <c r="BK863" s="691">
        <f t="shared" si="294"/>
        <v>0</v>
      </c>
      <c r="BL863" s="654"/>
      <c r="BM863" s="692">
        <f>SUMIFS(Imput[[Importe Neto]:[Importe Neto]],Imput[[C. Imp.]:[C. Imp.]],$D863,Imput[[PERIODO Imp.]:[PERIODO Imp.]],BM$9)</f>
        <v>0</v>
      </c>
      <c r="BN863" s="693">
        <f>SUMIFS(Imput[[Importe Neto]:[Importe Neto]],Imput[[C. Imp.]:[C. Imp.]],$D863,Imput[[PERIODO Imp.]:[PERIODO Imp.]],BN$9)</f>
        <v>0</v>
      </c>
      <c r="BO863" s="693">
        <f>SUMIFS(Imput[[Importe Neto]:[Importe Neto]],Imput[[C. Imp.]:[C. Imp.]],$D863,Imput[[PERIODO Imp.]:[PERIODO Imp.]],BO$9)</f>
        <v>0</v>
      </c>
      <c r="BP863" s="693">
        <f>SUMIFS(Imput[[Importe Neto]:[Importe Neto]],Imput[[C. Imp.]:[C. Imp.]],$D863,Imput[[PERIODO Imp.]:[PERIODO Imp.]],BP$9)</f>
        <v>0</v>
      </c>
      <c r="BQ863" s="693">
        <f>SUMIFS(Imput[[Importe Neto]:[Importe Neto]],Imput[[C. Imp.]:[C. Imp.]],$D863,Imput[[PERIODO Imp.]:[PERIODO Imp.]],BQ$9)</f>
        <v>0</v>
      </c>
      <c r="BR863" s="693">
        <f>SUMIFS(Imput[[Importe Neto]:[Importe Neto]],Imput[[C. Imp.]:[C. Imp.]],$D863,Imput[[PERIODO Imp.]:[PERIODO Imp.]],BR$9)</f>
        <v>0</v>
      </c>
      <c r="BS863" s="693">
        <f>SUMIFS(Imput[[Importe Neto]:[Importe Neto]],Imput[[C. Imp.]:[C. Imp.]],$D863,Imput[[PERIODO Imp.]:[PERIODO Imp.]],BS$9)</f>
        <v>0</v>
      </c>
      <c r="BT863" s="693">
        <f>SUMIFS(Imput[[Importe Neto]:[Importe Neto]],Imput[[C. Imp.]:[C. Imp.]],$D863,Imput[[PERIODO Imp.]:[PERIODO Imp.]],BT$9)</f>
        <v>0</v>
      </c>
      <c r="BU863" s="693">
        <f>SUMIFS(Imput[[Importe Neto]:[Importe Neto]],Imput[[C. Imp.]:[C. Imp.]],$D863,Imput[[PERIODO Imp.]:[PERIODO Imp.]],BU$9)</f>
        <v>0</v>
      </c>
      <c r="BV863" s="693">
        <f>SUMIFS(Imput[[Importe Neto]:[Importe Neto]],Imput[[C. Imp.]:[C. Imp.]],$D863,Imput[[PERIODO Imp.]:[PERIODO Imp.]],BV$9)</f>
        <v>0</v>
      </c>
      <c r="BW863" s="693">
        <f>SUMIFS(Imput[[Importe Neto]:[Importe Neto]],Imput[[C. Imp.]:[C. Imp.]],$D863,Imput[[PERIODO Imp.]:[PERIODO Imp.]],BW$9)</f>
        <v>0</v>
      </c>
      <c r="BX863" s="693">
        <f>SUMIFS(Imput[[Importe Neto]:[Importe Neto]],Imput[[C. Imp.]:[C. Imp.]],$D863,Imput[[PERIODO Imp.]:[PERIODO Imp.]],BX$9)</f>
        <v>0</v>
      </c>
      <c r="BY863" s="693">
        <f>SUMIFS(Imput[[Importe Neto]:[Importe Neto]],Imput[[C. Imp.]:[C. Imp.]],$D863,Imput[[PERIODO Imp.]:[PERIODO Imp.]],BY$9)</f>
        <v>0</v>
      </c>
      <c r="BZ863" s="693">
        <f>SUMIFS(Imput[[Importe Neto]:[Importe Neto]],Imput[[C. Imp.]:[C. Imp.]],$D863,Imput[[PERIODO Imp.]:[PERIODO Imp.]],BZ$9)</f>
        <v>0</v>
      </c>
      <c r="CA863" s="693">
        <f>SUMIFS(Imput[[Importe Neto]:[Importe Neto]],Imput[[C. Imp.]:[C. Imp.]],$D863,Imput[[PERIODO Imp.]:[PERIODO Imp.]],CA$9)</f>
        <v>0</v>
      </c>
      <c r="CB863" s="693">
        <f>SUMIFS(Imput[[Importe Neto]:[Importe Neto]],Imput[[C. Imp.]:[C. Imp.]],$D863,Imput[[PERIODO Imp.]:[PERIODO Imp.]],CB$9)</f>
        <v>0</v>
      </c>
      <c r="CC863" s="693">
        <f>SUMIFS(Imput[[Importe Neto]:[Importe Neto]],Imput[[C. Imp.]:[C. Imp.]],$D863,Imput[[PERIODO Imp.]:[PERIODO Imp.]],CC$9)</f>
        <v>0</v>
      </c>
      <c r="CD863" s="693">
        <f>SUMIFS(Imput[[Importe Neto]:[Importe Neto]],Imput[[C. Imp.]:[C. Imp.]],$D863,Imput[[PERIODO Imp.]:[PERIODO Imp.]],CD$9)</f>
        <v>0</v>
      </c>
      <c r="CE863" s="693">
        <f>SUMIFS(Imput[[Importe Neto]:[Importe Neto]],Imput[[C. Imp.]:[C. Imp.]],$D863,Imput[[PERIODO Imp.]:[PERIODO Imp.]],CE$9)</f>
        <v>0</v>
      </c>
      <c r="CF863" s="693">
        <f>SUMIFS(Imput[[Importe Neto]:[Importe Neto]],Imput[[C. Imp.]:[C. Imp.]],$D863,Imput[[PERIODO Imp.]:[PERIODO Imp.]],CF$9)</f>
        <v>0</v>
      </c>
      <c r="CG863" s="693">
        <f>SUMIFS(Imput[[Importe Neto]:[Importe Neto]],Imput[[C. Imp.]:[C. Imp.]],$D863,Imput[[PERIODO Imp.]:[PERIODO Imp.]],CG$9)</f>
        <v>0</v>
      </c>
      <c r="CH863" s="693">
        <f>SUMIFS(Imput[[Importe Neto]:[Importe Neto]],Imput[[C. Imp.]:[C. Imp.]],$D863,Imput[[PERIODO Imp.]:[PERIODO Imp.]],CH$9)</f>
        <v>0</v>
      </c>
      <c r="CI863" s="693">
        <f>SUMIFS(Imput[[Importe Neto]:[Importe Neto]],Imput[[C. Imp.]:[C. Imp.]],$D863,Imput[[PERIODO Imp.]:[PERIODO Imp.]],CI$9)</f>
        <v>0</v>
      </c>
      <c r="CJ863" s="693">
        <f>SUMIFS(Imput[[Importe Neto]:[Importe Neto]],Imput[[C. Imp.]:[C. Imp.]],$D863,Imput[[PERIODO Imp.]:[PERIODO Imp.]],CJ$9)</f>
        <v>0</v>
      </c>
      <c r="CK863" s="693">
        <f>SUMIFS(Imput[[Importe Neto]:[Importe Neto]],Imput[[C. Imp.]:[C. Imp.]],$D863,Imput[[PERIODO Imp.]:[PERIODO Imp.]],CK$9)</f>
        <v>0</v>
      </c>
      <c r="CL863" s="693">
        <f>SUMIFS(Imput[[Importe Neto]:[Importe Neto]],Imput[[C. Imp.]:[C. Imp.]],$D863,Imput[[PERIODO Imp.]:[PERIODO Imp.]],CL$9)</f>
        <v>0</v>
      </c>
      <c r="CM863" s="693">
        <f>SUMIFS(Imput[[Importe Neto]:[Importe Neto]],Imput[[C. Imp.]:[C. Imp.]],$D863,Imput[[PERIODO Imp.]:[PERIODO Imp.]],CM$9)</f>
        <v>0</v>
      </c>
      <c r="CN863" s="693">
        <f>SUMIFS(Imput[[Importe Neto]:[Importe Neto]],Imput[[C. Imp.]:[C. Imp.]],$D863,Imput[[PERIODO Imp.]:[PERIODO Imp.]],CN$9)</f>
        <v>0</v>
      </c>
      <c r="CO863" s="693">
        <f>SUMIFS(Imput[[Importe Neto]:[Importe Neto]],Imput[[C. Imp.]:[C. Imp.]],$D863,Imput[[PERIODO Imp.]:[PERIODO Imp.]],CO$9)</f>
        <v>0</v>
      </c>
      <c r="CP863" s="693">
        <f>SUMIFS(Imput[[Importe Neto]:[Importe Neto]],Imput[[C. Imp.]:[C. Imp.]],$D863,Imput[[PERIODO Imp.]:[PERIODO Imp.]],CP$9)</f>
        <v>0</v>
      </c>
      <c r="CQ863" s="693">
        <f>SUMIFS(Imput[[Importe Neto]:[Importe Neto]],Imput[[C. Imp.]:[C. Imp.]],$D863,Imput[[PERIODO Imp.]:[PERIODO Imp.]],CQ$9)</f>
        <v>0</v>
      </c>
      <c r="CR863" s="693">
        <f>SUMIFS(Imput[[Importe Neto]:[Importe Neto]],Imput[[C. Imp.]:[C. Imp.]],$D863,Imput[[PERIODO Imp.]:[PERIODO Imp.]],CR$9)</f>
        <v>0</v>
      </c>
      <c r="CS863" s="693">
        <f>SUMIFS(Imput[[Importe Neto]:[Importe Neto]],Imput[[C. Imp.]:[C. Imp.]],$D863,Imput[[PERIODO Imp.]:[PERIODO Imp.]],CS$9)</f>
        <v>0</v>
      </c>
      <c r="CT863" s="693">
        <f>SUMIFS(Imput[[Importe Neto]:[Importe Neto]],Imput[[C. Imp.]:[C. Imp.]],$D863,Imput[[PERIODO Imp.]:[PERIODO Imp.]],CT$9)</f>
        <v>0</v>
      </c>
      <c r="CU863" s="693">
        <f>SUMIFS(Imput[[Importe Neto]:[Importe Neto]],Imput[[C. Imp.]:[C. Imp.]],$D863,Imput[[PERIODO Imp.]:[PERIODO Imp.]],CU$9)</f>
        <v>0</v>
      </c>
      <c r="CV863" s="693">
        <f>SUMIFS(Imput[[Importe Neto]:[Importe Neto]],Imput[[C. Imp.]:[C. Imp.]],$D863,Imput[[PERIODO Imp.]:[PERIODO Imp.]],CV$9)</f>
        <v>0</v>
      </c>
      <c r="CW863" s="693">
        <f>SUMIFS(Imput[[Importe Neto]:[Importe Neto]],Imput[[C. Imp.]:[C. Imp.]],$D863,Imput[[PERIODO Imp.]:[PERIODO Imp.]],CW$9)</f>
        <v>0</v>
      </c>
      <c r="CX863" s="693">
        <f>SUMIFS(Imput[[Importe Neto]:[Importe Neto]],Imput[[C. Imp.]:[C. Imp.]],$D863,Imput[[PERIODO Imp.]:[PERIODO Imp.]],CX$9)</f>
        <v>0</v>
      </c>
      <c r="CY863" s="693">
        <f>SUMIFS(Imput[[Importe Neto]:[Importe Neto]],Imput[[C. Imp.]:[C. Imp.]],$D863,Imput[[PERIODO Imp.]:[PERIODO Imp.]],CY$9)</f>
        <v>0</v>
      </c>
      <c r="CZ863" s="693">
        <f>SUMIFS(Imput[[Importe Neto]:[Importe Neto]],Imput[[C. Imp.]:[C. Imp.]],$D863,Imput[[PERIODO Imp.]:[PERIODO Imp.]],CZ$9)</f>
        <v>0</v>
      </c>
      <c r="DA863" s="693">
        <f>SUMIFS(Imput[[Importe Neto]:[Importe Neto]],Imput[[C. Imp.]:[C. Imp.]],$D863,Imput[[PERIODO Imp.]:[PERIODO Imp.]],DA$9)</f>
        <v>0</v>
      </c>
      <c r="DB863" s="693">
        <f>SUMIFS(Imput[[Importe Neto]:[Importe Neto]],Imput[[C. Imp.]:[C. Imp.]],$D863,Imput[[PERIODO Imp.]:[PERIODO Imp.]],DB$9)</f>
        <v>0</v>
      </c>
      <c r="DC863" s="693">
        <f>SUMIFS(Imput[[Importe Neto]:[Importe Neto]],Imput[[C. Imp.]:[C. Imp.]],$D863,Imput[[PERIODO Imp.]:[PERIODO Imp.]],DC$9)</f>
        <v>0</v>
      </c>
      <c r="DD863" s="693">
        <f>SUMIFS(Imput[[Importe Neto]:[Importe Neto]],Imput[[C. Imp.]:[C. Imp.]],$D863,Imput[[PERIODO Imp.]:[PERIODO Imp.]],DD$9)</f>
        <v>0</v>
      </c>
      <c r="DE863" s="693">
        <f>SUMIFS(Imput[[Importe Neto]:[Importe Neto]],Imput[[C. Imp.]:[C. Imp.]],$D863,Imput[[PERIODO Imp.]:[PERIODO Imp.]],DE$9)</f>
        <v>0</v>
      </c>
      <c r="DF863" s="693">
        <f>SUMIFS(Imput[[Importe Neto]:[Importe Neto]],Imput[[C. Imp.]:[C. Imp.]],$D863,Imput[[PERIODO Imp.]:[PERIODO Imp.]],DF$9)</f>
        <v>0</v>
      </c>
      <c r="DG863" s="693">
        <f>SUMIFS(Imput[[Importe Neto]:[Importe Neto]],Imput[[C. Imp.]:[C. Imp.]],$D863,Imput[[PERIODO Imp.]:[PERIODO Imp.]],DG$9)</f>
        <v>0</v>
      </c>
      <c r="DH863" s="694">
        <f>SUMIFS(Imput[[Importe Neto]:[Importe Neto]],Imput[[C. Imp.]:[C. Imp.]],$D863,Imput[[PERIODO Imp.]:[PERIODO Imp.]],DH$9)</f>
        <v>0</v>
      </c>
    </row>
    <row r="864" spans="1:112" s="649" customFormat="1" hidden="1" outlineLevel="1" x14ac:dyDescent="0.3">
      <c r="A864" s="652" t="str">
        <f t="shared" si="290"/>
        <v/>
      </c>
      <c r="B864" s="652"/>
      <c r="C864" s="685"/>
      <c r="D864" s="686" t="s">
        <v>2840</v>
      </c>
      <c r="E864" s="686"/>
      <c r="F864" s="720"/>
      <c r="G864" s="688"/>
      <c r="H864" s="689"/>
      <c r="I864" s="851" t="str">
        <f t="shared" ref="I864:I880" si="295">IF(E864&gt;0,$J$5,"")</f>
        <v/>
      </c>
      <c r="J864" s="850" t="str">
        <f t="shared" si="292"/>
        <v/>
      </c>
      <c r="K864" s="667"/>
      <c r="L864" s="858"/>
      <c r="M864" s="859"/>
      <c r="N864" s="859"/>
      <c r="O864" s="859"/>
      <c r="P864" s="859"/>
      <c r="Q864" s="859"/>
      <c r="R864" s="859"/>
      <c r="S864" s="859"/>
      <c r="T864" s="859"/>
      <c r="U864" s="859"/>
      <c r="V864" s="859"/>
      <c r="W864" s="859"/>
      <c r="X864" s="859"/>
      <c r="Y864" s="859"/>
      <c r="Z864" s="860"/>
      <c r="AA864" s="860"/>
      <c r="AB864" s="860"/>
      <c r="AC864" s="860"/>
      <c r="AD864" s="860"/>
      <c r="AE864" s="860"/>
      <c r="AF864" s="860"/>
      <c r="AG864" s="860"/>
      <c r="AH864" s="860"/>
      <c r="AI864" s="860"/>
      <c r="AJ864" s="860"/>
      <c r="AK864" s="860"/>
      <c r="AL864" s="860"/>
      <c r="AM864" s="860"/>
      <c r="AN864" s="860"/>
      <c r="AO864" s="860"/>
      <c r="AP864" s="860"/>
      <c r="AQ864" s="860"/>
      <c r="AR864" s="860"/>
      <c r="AS864" s="860"/>
      <c r="AT864" s="860"/>
      <c r="AU864" s="860"/>
      <c r="AV864" s="860"/>
      <c r="AW864" s="860"/>
      <c r="AX864" s="860"/>
      <c r="AY864" s="860"/>
      <c r="AZ864" s="860"/>
      <c r="BA864" s="860"/>
      <c r="BB864" s="860"/>
      <c r="BC864" s="860"/>
      <c r="BD864" s="860"/>
      <c r="BE864" s="860"/>
      <c r="BF864" s="860"/>
      <c r="BG864" s="860"/>
      <c r="BH864" s="668"/>
      <c r="BI864" s="667"/>
      <c r="BJ864" s="690">
        <f t="shared" ref="BJ864:BJ880" si="296">IFERROR(BK864/J864,0)</f>
        <v>0</v>
      </c>
      <c r="BK864" s="691">
        <f t="shared" ref="BK864:BK880" si="297">SUM(BM864:DH864)</f>
        <v>0</v>
      </c>
      <c r="BL864" s="654"/>
      <c r="BM864" s="692">
        <f>SUMIFS(Imput[[Importe Neto]:[Importe Neto]],Imput[[C. Imp.]:[C. Imp.]],$D864,Imput[[PERIODO Imp.]:[PERIODO Imp.]],BM$9)</f>
        <v>0</v>
      </c>
      <c r="BN864" s="693">
        <f>SUMIFS(Imput[[Importe Neto]:[Importe Neto]],Imput[[C. Imp.]:[C. Imp.]],$D864,Imput[[PERIODO Imp.]:[PERIODO Imp.]],BN$9)</f>
        <v>0</v>
      </c>
      <c r="BO864" s="693">
        <f>SUMIFS(Imput[[Importe Neto]:[Importe Neto]],Imput[[C. Imp.]:[C. Imp.]],$D864,Imput[[PERIODO Imp.]:[PERIODO Imp.]],BO$9)</f>
        <v>0</v>
      </c>
      <c r="BP864" s="693">
        <f>SUMIFS(Imput[[Importe Neto]:[Importe Neto]],Imput[[C. Imp.]:[C. Imp.]],$D864,Imput[[PERIODO Imp.]:[PERIODO Imp.]],BP$9)</f>
        <v>0</v>
      </c>
      <c r="BQ864" s="693">
        <f>SUMIFS(Imput[[Importe Neto]:[Importe Neto]],Imput[[C. Imp.]:[C. Imp.]],$D864,Imput[[PERIODO Imp.]:[PERIODO Imp.]],BQ$9)</f>
        <v>0</v>
      </c>
      <c r="BR864" s="693">
        <f>SUMIFS(Imput[[Importe Neto]:[Importe Neto]],Imput[[C. Imp.]:[C. Imp.]],$D864,Imput[[PERIODO Imp.]:[PERIODO Imp.]],BR$9)</f>
        <v>0</v>
      </c>
      <c r="BS864" s="693">
        <f>SUMIFS(Imput[[Importe Neto]:[Importe Neto]],Imput[[C. Imp.]:[C. Imp.]],$D864,Imput[[PERIODO Imp.]:[PERIODO Imp.]],BS$9)</f>
        <v>0</v>
      </c>
      <c r="BT864" s="693">
        <f>SUMIFS(Imput[[Importe Neto]:[Importe Neto]],Imput[[C. Imp.]:[C. Imp.]],$D864,Imput[[PERIODO Imp.]:[PERIODO Imp.]],BT$9)</f>
        <v>0</v>
      </c>
      <c r="BU864" s="693">
        <f>SUMIFS(Imput[[Importe Neto]:[Importe Neto]],Imput[[C. Imp.]:[C. Imp.]],$D864,Imput[[PERIODO Imp.]:[PERIODO Imp.]],BU$9)</f>
        <v>0</v>
      </c>
      <c r="BV864" s="693">
        <f>SUMIFS(Imput[[Importe Neto]:[Importe Neto]],Imput[[C. Imp.]:[C. Imp.]],$D864,Imput[[PERIODO Imp.]:[PERIODO Imp.]],BV$9)</f>
        <v>0</v>
      </c>
      <c r="BW864" s="693">
        <f>SUMIFS(Imput[[Importe Neto]:[Importe Neto]],Imput[[C. Imp.]:[C. Imp.]],$D864,Imput[[PERIODO Imp.]:[PERIODO Imp.]],BW$9)</f>
        <v>0</v>
      </c>
      <c r="BX864" s="693">
        <f>SUMIFS(Imput[[Importe Neto]:[Importe Neto]],Imput[[C. Imp.]:[C. Imp.]],$D864,Imput[[PERIODO Imp.]:[PERIODO Imp.]],BX$9)</f>
        <v>0</v>
      </c>
      <c r="BY864" s="693">
        <f>SUMIFS(Imput[[Importe Neto]:[Importe Neto]],Imput[[C. Imp.]:[C. Imp.]],$D864,Imput[[PERIODO Imp.]:[PERIODO Imp.]],BY$9)</f>
        <v>0</v>
      </c>
      <c r="BZ864" s="693">
        <f>SUMIFS(Imput[[Importe Neto]:[Importe Neto]],Imput[[C. Imp.]:[C. Imp.]],$D864,Imput[[PERIODO Imp.]:[PERIODO Imp.]],BZ$9)</f>
        <v>0</v>
      </c>
      <c r="CA864" s="693">
        <f>SUMIFS(Imput[[Importe Neto]:[Importe Neto]],Imput[[C. Imp.]:[C. Imp.]],$D864,Imput[[PERIODO Imp.]:[PERIODO Imp.]],CA$9)</f>
        <v>0</v>
      </c>
      <c r="CB864" s="693">
        <f>SUMIFS(Imput[[Importe Neto]:[Importe Neto]],Imput[[C. Imp.]:[C. Imp.]],$D864,Imput[[PERIODO Imp.]:[PERIODO Imp.]],CB$9)</f>
        <v>0</v>
      </c>
      <c r="CC864" s="693">
        <f>SUMIFS(Imput[[Importe Neto]:[Importe Neto]],Imput[[C. Imp.]:[C. Imp.]],$D864,Imput[[PERIODO Imp.]:[PERIODO Imp.]],CC$9)</f>
        <v>0</v>
      </c>
      <c r="CD864" s="693">
        <f>SUMIFS(Imput[[Importe Neto]:[Importe Neto]],Imput[[C. Imp.]:[C. Imp.]],$D864,Imput[[PERIODO Imp.]:[PERIODO Imp.]],CD$9)</f>
        <v>0</v>
      </c>
      <c r="CE864" s="693">
        <f>SUMIFS(Imput[[Importe Neto]:[Importe Neto]],Imput[[C. Imp.]:[C. Imp.]],$D864,Imput[[PERIODO Imp.]:[PERIODO Imp.]],CE$9)</f>
        <v>0</v>
      </c>
      <c r="CF864" s="693">
        <f>SUMIFS(Imput[[Importe Neto]:[Importe Neto]],Imput[[C. Imp.]:[C. Imp.]],$D864,Imput[[PERIODO Imp.]:[PERIODO Imp.]],CF$9)</f>
        <v>0</v>
      </c>
      <c r="CG864" s="693">
        <f>SUMIFS(Imput[[Importe Neto]:[Importe Neto]],Imput[[C. Imp.]:[C. Imp.]],$D864,Imput[[PERIODO Imp.]:[PERIODO Imp.]],CG$9)</f>
        <v>0</v>
      </c>
      <c r="CH864" s="693">
        <f>SUMIFS(Imput[[Importe Neto]:[Importe Neto]],Imput[[C. Imp.]:[C. Imp.]],$D864,Imput[[PERIODO Imp.]:[PERIODO Imp.]],CH$9)</f>
        <v>0</v>
      </c>
      <c r="CI864" s="693">
        <f>SUMIFS(Imput[[Importe Neto]:[Importe Neto]],Imput[[C. Imp.]:[C. Imp.]],$D864,Imput[[PERIODO Imp.]:[PERIODO Imp.]],CI$9)</f>
        <v>0</v>
      </c>
      <c r="CJ864" s="693">
        <f>SUMIFS(Imput[[Importe Neto]:[Importe Neto]],Imput[[C. Imp.]:[C. Imp.]],$D864,Imput[[PERIODO Imp.]:[PERIODO Imp.]],CJ$9)</f>
        <v>0</v>
      </c>
      <c r="CK864" s="693">
        <f>SUMIFS(Imput[[Importe Neto]:[Importe Neto]],Imput[[C. Imp.]:[C. Imp.]],$D864,Imput[[PERIODO Imp.]:[PERIODO Imp.]],CK$9)</f>
        <v>0</v>
      </c>
      <c r="CL864" s="693">
        <f>SUMIFS(Imput[[Importe Neto]:[Importe Neto]],Imput[[C. Imp.]:[C. Imp.]],$D864,Imput[[PERIODO Imp.]:[PERIODO Imp.]],CL$9)</f>
        <v>0</v>
      </c>
      <c r="CM864" s="693">
        <f>SUMIFS(Imput[[Importe Neto]:[Importe Neto]],Imput[[C. Imp.]:[C. Imp.]],$D864,Imput[[PERIODO Imp.]:[PERIODO Imp.]],CM$9)</f>
        <v>0</v>
      </c>
      <c r="CN864" s="693">
        <f>SUMIFS(Imput[[Importe Neto]:[Importe Neto]],Imput[[C. Imp.]:[C. Imp.]],$D864,Imput[[PERIODO Imp.]:[PERIODO Imp.]],CN$9)</f>
        <v>0</v>
      </c>
      <c r="CO864" s="693">
        <f>SUMIFS(Imput[[Importe Neto]:[Importe Neto]],Imput[[C. Imp.]:[C. Imp.]],$D864,Imput[[PERIODO Imp.]:[PERIODO Imp.]],CO$9)</f>
        <v>0</v>
      </c>
      <c r="CP864" s="693">
        <f>SUMIFS(Imput[[Importe Neto]:[Importe Neto]],Imput[[C. Imp.]:[C. Imp.]],$D864,Imput[[PERIODO Imp.]:[PERIODO Imp.]],CP$9)</f>
        <v>0</v>
      </c>
      <c r="CQ864" s="693">
        <f>SUMIFS(Imput[[Importe Neto]:[Importe Neto]],Imput[[C. Imp.]:[C. Imp.]],$D864,Imput[[PERIODO Imp.]:[PERIODO Imp.]],CQ$9)</f>
        <v>0</v>
      </c>
      <c r="CR864" s="693">
        <f>SUMIFS(Imput[[Importe Neto]:[Importe Neto]],Imput[[C. Imp.]:[C. Imp.]],$D864,Imput[[PERIODO Imp.]:[PERIODO Imp.]],CR$9)</f>
        <v>0</v>
      </c>
      <c r="CS864" s="693">
        <f>SUMIFS(Imput[[Importe Neto]:[Importe Neto]],Imput[[C. Imp.]:[C. Imp.]],$D864,Imput[[PERIODO Imp.]:[PERIODO Imp.]],CS$9)</f>
        <v>0</v>
      </c>
      <c r="CT864" s="693">
        <f>SUMIFS(Imput[[Importe Neto]:[Importe Neto]],Imput[[C. Imp.]:[C. Imp.]],$D864,Imput[[PERIODO Imp.]:[PERIODO Imp.]],CT$9)</f>
        <v>0</v>
      </c>
      <c r="CU864" s="693">
        <f>SUMIFS(Imput[[Importe Neto]:[Importe Neto]],Imput[[C. Imp.]:[C. Imp.]],$D864,Imput[[PERIODO Imp.]:[PERIODO Imp.]],CU$9)</f>
        <v>0</v>
      </c>
      <c r="CV864" s="693">
        <f>SUMIFS(Imput[[Importe Neto]:[Importe Neto]],Imput[[C. Imp.]:[C. Imp.]],$D864,Imput[[PERIODO Imp.]:[PERIODO Imp.]],CV$9)</f>
        <v>0</v>
      </c>
      <c r="CW864" s="693">
        <f>SUMIFS(Imput[[Importe Neto]:[Importe Neto]],Imput[[C. Imp.]:[C. Imp.]],$D864,Imput[[PERIODO Imp.]:[PERIODO Imp.]],CW$9)</f>
        <v>0</v>
      </c>
      <c r="CX864" s="693">
        <f>SUMIFS(Imput[[Importe Neto]:[Importe Neto]],Imput[[C. Imp.]:[C. Imp.]],$D864,Imput[[PERIODO Imp.]:[PERIODO Imp.]],CX$9)</f>
        <v>0</v>
      </c>
      <c r="CY864" s="693">
        <f>SUMIFS(Imput[[Importe Neto]:[Importe Neto]],Imput[[C. Imp.]:[C. Imp.]],$D864,Imput[[PERIODO Imp.]:[PERIODO Imp.]],CY$9)</f>
        <v>0</v>
      </c>
      <c r="CZ864" s="693">
        <f>SUMIFS(Imput[[Importe Neto]:[Importe Neto]],Imput[[C. Imp.]:[C. Imp.]],$D864,Imput[[PERIODO Imp.]:[PERIODO Imp.]],CZ$9)</f>
        <v>0</v>
      </c>
      <c r="DA864" s="693">
        <f>SUMIFS(Imput[[Importe Neto]:[Importe Neto]],Imput[[C. Imp.]:[C. Imp.]],$D864,Imput[[PERIODO Imp.]:[PERIODO Imp.]],DA$9)</f>
        <v>0</v>
      </c>
      <c r="DB864" s="693">
        <f>SUMIFS(Imput[[Importe Neto]:[Importe Neto]],Imput[[C. Imp.]:[C. Imp.]],$D864,Imput[[PERIODO Imp.]:[PERIODO Imp.]],DB$9)</f>
        <v>0</v>
      </c>
      <c r="DC864" s="693">
        <f>SUMIFS(Imput[[Importe Neto]:[Importe Neto]],Imput[[C. Imp.]:[C. Imp.]],$D864,Imput[[PERIODO Imp.]:[PERIODO Imp.]],DC$9)</f>
        <v>0</v>
      </c>
      <c r="DD864" s="693">
        <f>SUMIFS(Imput[[Importe Neto]:[Importe Neto]],Imput[[C. Imp.]:[C. Imp.]],$D864,Imput[[PERIODO Imp.]:[PERIODO Imp.]],DD$9)</f>
        <v>0</v>
      </c>
      <c r="DE864" s="693">
        <f>SUMIFS(Imput[[Importe Neto]:[Importe Neto]],Imput[[C. Imp.]:[C. Imp.]],$D864,Imput[[PERIODO Imp.]:[PERIODO Imp.]],DE$9)</f>
        <v>0</v>
      </c>
      <c r="DF864" s="693">
        <f>SUMIFS(Imput[[Importe Neto]:[Importe Neto]],Imput[[C. Imp.]:[C. Imp.]],$D864,Imput[[PERIODO Imp.]:[PERIODO Imp.]],DF$9)</f>
        <v>0</v>
      </c>
      <c r="DG864" s="693">
        <f>SUMIFS(Imput[[Importe Neto]:[Importe Neto]],Imput[[C. Imp.]:[C. Imp.]],$D864,Imput[[PERIODO Imp.]:[PERIODO Imp.]],DG$9)</f>
        <v>0</v>
      </c>
      <c r="DH864" s="694">
        <f>SUMIFS(Imput[[Importe Neto]:[Importe Neto]],Imput[[C. Imp.]:[C. Imp.]],$D864,Imput[[PERIODO Imp.]:[PERIODO Imp.]],DH$9)</f>
        <v>0</v>
      </c>
    </row>
    <row r="865" spans="1:112" s="649" customFormat="1" hidden="1" outlineLevel="1" x14ac:dyDescent="0.3">
      <c r="A865" s="652" t="str">
        <f t="shared" si="290"/>
        <v/>
      </c>
      <c r="B865" s="652"/>
      <c r="C865" s="685"/>
      <c r="D865" s="686" t="s">
        <v>2841</v>
      </c>
      <c r="E865" s="686"/>
      <c r="F865" s="720"/>
      <c r="G865" s="688"/>
      <c r="H865" s="689"/>
      <c r="I865" s="851" t="str">
        <f t="shared" si="295"/>
        <v/>
      </c>
      <c r="J865" s="850" t="str">
        <f t="shared" si="292"/>
        <v/>
      </c>
      <c r="K865" s="667"/>
      <c r="L865" s="858"/>
      <c r="M865" s="859"/>
      <c r="N865" s="859"/>
      <c r="O865" s="859"/>
      <c r="P865" s="859"/>
      <c r="Q865" s="859"/>
      <c r="R865" s="859"/>
      <c r="S865" s="859"/>
      <c r="T865" s="859"/>
      <c r="U865" s="859"/>
      <c r="V865" s="859"/>
      <c r="W865" s="859"/>
      <c r="X865" s="859"/>
      <c r="Y865" s="859"/>
      <c r="Z865" s="860"/>
      <c r="AA865" s="860"/>
      <c r="AB865" s="860"/>
      <c r="AC865" s="860"/>
      <c r="AD865" s="860"/>
      <c r="AE865" s="860"/>
      <c r="AF865" s="860"/>
      <c r="AG865" s="860"/>
      <c r="AH865" s="860"/>
      <c r="AI865" s="860"/>
      <c r="AJ865" s="860"/>
      <c r="AK865" s="860"/>
      <c r="AL865" s="860"/>
      <c r="AM865" s="860"/>
      <c r="AN865" s="860"/>
      <c r="AO865" s="860"/>
      <c r="AP865" s="860"/>
      <c r="AQ865" s="860"/>
      <c r="AR865" s="860"/>
      <c r="AS865" s="860"/>
      <c r="AT865" s="860"/>
      <c r="AU865" s="860"/>
      <c r="AV865" s="860"/>
      <c r="AW865" s="860"/>
      <c r="AX865" s="860"/>
      <c r="AY865" s="860"/>
      <c r="AZ865" s="860"/>
      <c r="BA865" s="860"/>
      <c r="BB865" s="860"/>
      <c r="BC865" s="860"/>
      <c r="BD865" s="860"/>
      <c r="BE865" s="860"/>
      <c r="BF865" s="860"/>
      <c r="BG865" s="860"/>
      <c r="BH865" s="668"/>
      <c r="BI865" s="667"/>
      <c r="BJ865" s="690">
        <f t="shared" si="296"/>
        <v>0</v>
      </c>
      <c r="BK865" s="691">
        <f t="shared" si="297"/>
        <v>0</v>
      </c>
      <c r="BL865" s="654"/>
      <c r="BM865" s="692">
        <f>SUMIFS(Imput[[Importe Neto]:[Importe Neto]],Imput[[C. Imp.]:[C. Imp.]],$D865,Imput[[PERIODO Imp.]:[PERIODO Imp.]],BM$9)</f>
        <v>0</v>
      </c>
      <c r="BN865" s="693">
        <f>SUMIFS(Imput[[Importe Neto]:[Importe Neto]],Imput[[C. Imp.]:[C. Imp.]],$D865,Imput[[PERIODO Imp.]:[PERIODO Imp.]],BN$9)</f>
        <v>0</v>
      </c>
      <c r="BO865" s="693">
        <f>SUMIFS(Imput[[Importe Neto]:[Importe Neto]],Imput[[C. Imp.]:[C. Imp.]],$D865,Imput[[PERIODO Imp.]:[PERIODO Imp.]],BO$9)</f>
        <v>0</v>
      </c>
      <c r="BP865" s="693">
        <f>SUMIFS(Imput[[Importe Neto]:[Importe Neto]],Imput[[C. Imp.]:[C. Imp.]],$D865,Imput[[PERIODO Imp.]:[PERIODO Imp.]],BP$9)</f>
        <v>0</v>
      </c>
      <c r="BQ865" s="693">
        <f>SUMIFS(Imput[[Importe Neto]:[Importe Neto]],Imput[[C. Imp.]:[C. Imp.]],$D865,Imput[[PERIODO Imp.]:[PERIODO Imp.]],BQ$9)</f>
        <v>0</v>
      </c>
      <c r="BR865" s="693">
        <f>SUMIFS(Imput[[Importe Neto]:[Importe Neto]],Imput[[C. Imp.]:[C. Imp.]],$D865,Imput[[PERIODO Imp.]:[PERIODO Imp.]],BR$9)</f>
        <v>0</v>
      </c>
      <c r="BS865" s="693">
        <f>SUMIFS(Imput[[Importe Neto]:[Importe Neto]],Imput[[C. Imp.]:[C. Imp.]],$D865,Imput[[PERIODO Imp.]:[PERIODO Imp.]],BS$9)</f>
        <v>0</v>
      </c>
      <c r="BT865" s="693">
        <f>SUMIFS(Imput[[Importe Neto]:[Importe Neto]],Imput[[C. Imp.]:[C. Imp.]],$D865,Imput[[PERIODO Imp.]:[PERIODO Imp.]],BT$9)</f>
        <v>0</v>
      </c>
      <c r="BU865" s="693">
        <f>SUMIFS(Imput[[Importe Neto]:[Importe Neto]],Imput[[C. Imp.]:[C. Imp.]],$D865,Imput[[PERIODO Imp.]:[PERIODO Imp.]],BU$9)</f>
        <v>0</v>
      </c>
      <c r="BV865" s="693">
        <f>SUMIFS(Imput[[Importe Neto]:[Importe Neto]],Imput[[C. Imp.]:[C. Imp.]],$D865,Imput[[PERIODO Imp.]:[PERIODO Imp.]],BV$9)</f>
        <v>0</v>
      </c>
      <c r="BW865" s="693">
        <f>SUMIFS(Imput[[Importe Neto]:[Importe Neto]],Imput[[C. Imp.]:[C. Imp.]],$D865,Imput[[PERIODO Imp.]:[PERIODO Imp.]],BW$9)</f>
        <v>0</v>
      </c>
      <c r="BX865" s="693">
        <f>SUMIFS(Imput[[Importe Neto]:[Importe Neto]],Imput[[C. Imp.]:[C. Imp.]],$D865,Imput[[PERIODO Imp.]:[PERIODO Imp.]],BX$9)</f>
        <v>0</v>
      </c>
      <c r="BY865" s="693">
        <f>SUMIFS(Imput[[Importe Neto]:[Importe Neto]],Imput[[C. Imp.]:[C. Imp.]],$D865,Imput[[PERIODO Imp.]:[PERIODO Imp.]],BY$9)</f>
        <v>0</v>
      </c>
      <c r="BZ865" s="693">
        <f>SUMIFS(Imput[[Importe Neto]:[Importe Neto]],Imput[[C. Imp.]:[C. Imp.]],$D865,Imput[[PERIODO Imp.]:[PERIODO Imp.]],BZ$9)</f>
        <v>0</v>
      </c>
      <c r="CA865" s="693">
        <f>SUMIFS(Imput[[Importe Neto]:[Importe Neto]],Imput[[C. Imp.]:[C. Imp.]],$D865,Imput[[PERIODO Imp.]:[PERIODO Imp.]],CA$9)</f>
        <v>0</v>
      </c>
      <c r="CB865" s="693">
        <f>SUMIFS(Imput[[Importe Neto]:[Importe Neto]],Imput[[C. Imp.]:[C. Imp.]],$D865,Imput[[PERIODO Imp.]:[PERIODO Imp.]],CB$9)</f>
        <v>0</v>
      </c>
      <c r="CC865" s="693">
        <f>SUMIFS(Imput[[Importe Neto]:[Importe Neto]],Imput[[C. Imp.]:[C. Imp.]],$D865,Imput[[PERIODO Imp.]:[PERIODO Imp.]],CC$9)</f>
        <v>0</v>
      </c>
      <c r="CD865" s="693">
        <f>SUMIFS(Imput[[Importe Neto]:[Importe Neto]],Imput[[C. Imp.]:[C. Imp.]],$D865,Imput[[PERIODO Imp.]:[PERIODO Imp.]],CD$9)</f>
        <v>0</v>
      </c>
      <c r="CE865" s="693">
        <f>SUMIFS(Imput[[Importe Neto]:[Importe Neto]],Imput[[C. Imp.]:[C. Imp.]],$D865,Imput[[PERIODO Imp.]:[PERIODO Imp.]],CE$9)</f>
        <v>0</v>
      </c>
      <c r="CF865" s="693">
        <f>SUMIFS(Imput[[Importe Neto]:[Importe Neto]],Imput[[C. Imp.]:[C. Imp.]],$D865,Imput[[PERIODO Imp.]:[PERIODO Imp.]],CF$9)</f>
        <v>0</v>
      </c>
      <c r="CG865" s="693">
        <f>SUMIFS(Imput[[Importe Neto]:[Importe Neto]],Imput[[C. Imp.]:[C. Imp.]],$D865,Imput[[PERIODO Imp.]:[PERIODO Imp.]],CG$9)</f>
        <v>0</v>
      </c>
      <c r="CH865" s="693">
        <f>SUMIFS(Imput[[Importe Neto]:[Importe Neto]],Imput[[C. Imp.]:[C. Imp.]],$D865,Imput[[PERIODO Imp.]:[PERIODO Imp.]],CH$9)</f>
        <v>0</v>
      </c>
      <c r="CI865" s="693">
        <f>SUMIFS(Imput[[Importe Neto]:[Importe Neto]],Imput[[C. Imp.]:[C. Imp.]],$D865,Imput[[PERIODO Imp.]:[PERIODO Imp.]],CI$9)</f>
        <v>0</v>
      </c>
      <c r="CJ865" s="693">
        <f>SUMIFS(Imput[[Importe Neto]:[Importe Neto]],Imput[[C. Imp.]:[C. Imp.]],$D865,Imput[[PERIODO Imp.]:[PERIODO Imp.]],CJ$9)</f>
        <v>0</v>
      </c>
      <c r="CK865" s="693">
        <f>SUMIFS(Imput[[Importe Neto]:[Importe Neto]],Imput[[C. Imp.]:[C. Imp.]],$D865,Imput[[PERIODO Imp.]:[PERIODO Imp.]],CK$9)</f>
        <v>0</v>
      </c>
      <c r="CL865" s="693">
        <f>SUMIFS(Imput[[Importe Neto]:[Importe Neto]],Imput[[C. Imp.]:[C. Imp.]],$D865,Imput[[PERIODO Imp.]:[PERIODO Imp.]],CL$9)</f>
        <v>0</v>
      </c>
      <c r="CM865" s="693">
        <f>SUMIFS(Imput[[Importe Neto]:[Importe Neto]],Imput[[C. Imp.]:[C. Imp.]],$D865,Imput[[PERIODO Imp.]:[PERIODO Imp.]],CM$9)</f>
        <v>0</v>
      </c>
      <c r="CN865" s="693">
        <f>SUMIFS(Imput[[Importe Neto]:[Importe Neto]],Imput[[C. Imp.]:[C. Imp.]],$D865,Imput[[PERIODO Imp.]:[PERIODO Imp.]],CN$9)</f>
        <v>0</v>
      </c>
      <c r="CO865" s="693">
        <f>SUMIFS(Imput[[Importe Neto]:[Importe Neto]],Imput[[C. Imp.]:[C. Imp.]],$D865,Imput[[PERIODO Imp.]:[PERIODO Imp.]],CO$9)</f>
        <v>0</v>
      </c>
      <c r="CP865" s="693">
        <f>SUMIFS(Imput[[Importe Neto]:[Importe Neto]],Imput[[C. Imp.]:[C. Imp.]],$D865,Imput[[PERIODO Imp.]:[PERIODO Imp.]],CP$9)</f>
        <v>0</v>
      </c>
      <c r="CQ865" s="693">
        <f>SUMIFS(Imput[[Importe Neto]:[Importe Neto]],Imput[[C. Imp.]:[C. Imp.]],$D865,Imput[[PERIODO Imp.]:[PERIODO Imp.]],CQ$9)</f>
        <v>0</v>
      </c>
      <c r="CR865" s="693">
        <f>SUMIFS(Imput[[Importe Neto]:[Importe Neto]],Imput[[C. Imp.]:[C. Imp.]],$D865,Imput[[PERIODO Imp.]:[PERIODO Imp.]],CR$9)</f>
        <v>0</v>
      </c>
      <c r="CS865" s="693">
        <f>SUMIFS(Imput[[Importe Neto]:[Importe Neto]],Imput[[C. Imp.]:[C. Imp.]],$D865,Imput[[PERIODO Imp.]:[PERIODO Imp.]],CS$9)</f>
        <v>0</v>
      </c>
      <c r="CT865" s="693">
        <f>SUMIFS(Imput[[Importe Neto]:[Importe Neto]],Imput[[C. Imp.]:[C. Imp.]],$D865,Imput[[PERIODO Imp.]:[PERIODO Imp.]],CT$9)</f>
        <v>0</v>
      </c>
      <c r="CU865" s="693">
        <f>SUMIFS(Imput[[Importe Neto]:[Importe Neto]],Imput[[C. Imp.]:[C. Imp.]],$D865,Imput[[PERIODO Imp.]:[PERIODO Imp.]],CU$9)</f>
        <v>0</v>
      </c>
      <c r="CV865" s="693">
        <f>SUMIFS(Imput[[Importe Neto]:[Importe Neto]],Imput[[C. Imp.]:[C. Imp.]],$D865,Imput[[PERIODO Imp.]:[PERIODO Imp.]],CV$9)</f>
        <v>0</v>
      </c>
      <c r="CW865" s="693">
        <f>SUMIFS(Imput[[Importe Neto]:[Importe Neto]],Imput[[C. Imp.]:[C. Imp.]],$D865,Imput[[PERIODO Imp.]:[PERIODO Imp.]],CW$9)</f>
        <v>0</v>
      </c>
      <c r="CX865" s="693">
        <f>SUMIFS(Imput[[Importe Neto]:[Importe Neto]],Imput[[C. Imp.]:[C. Imp.]],$D865,Imput[[PERIODO Imp.]:[PERIODO Imp.]],CX$9)</f>
        <v>0</v>
      </c>
      <c r="CY865" s="693">
        <f>SUMIFS(Imput[[Importe Neto]:[Importe Neto]],Imput[[C. Imp.]:[C. Imp.]],$D865,Imput[[PERIODO Imp.]:[PERIODO Imp.]],CY$9)</f>
        <v>0</v>
      </c>
      <c r="CZ865" s="693">
        <f>SUMIFS(Imput[[Importe Neto]:[Importe Neto]],Imput[[C. Imp.]:[C. Imp.]],$D865,Imput[[PERIODO Imp.]:[PERIODO Imp.]],CZ$9)</f>
        <v>0</v>
      </c>
      <c r="DA865" s="693">
        <f>SUMIFS(Imput[[Importe Neto]:[Importe Neto]],Imput[[C. Imp.]:[C. Imp.]],$D865,Imput[[PERIODO Imp.]:[PERIODO Imp.]],DA$9)</f>
        <v>0</v>
      </c>
      <c r="DB865" s="693">
        <f>SUMIFS(Imput[[Importe Neto]:[Importe Neto]],Imput[[C. Imp.]:[C. Imp.]],$D865,Imput[[PERIODO Imp.]:[PERIODO Imp.]],DB$9)</f>
        <v>0</v>
      </c>
      <c r="DC865" s="693">
        <f>SUMIFS(Imput[[Importe Neto]:[Importe Neto]],Imput[[C. Imp.]:[C. Imp.]],$D865,Imput[[PERIODO Imp.]:[PERIODO Imp.]],DC$9)</f>
        <v>0</v>
      </c>
      <c r="DD865" s="693">
        <f>SUMIFS(Imput[[Importe Neto]:[Importe Neto]],Imput[[C. Imp.]:[C. Imp.]],$D865,Imput[[PERIODO Imp.]:[PERIODO Imp.]],DD$9)</f>
        <v>0</v>
      </c>
      <c r="DE865" s="693">
        <f>SUMIFS(Imput[[Importe Neto]:[Importe Neto]],Imput[[C. Imp.]:[C. Imp.]],$D865,Imput[[PERIODO Imp.]:[PERIODO Imp.]],DE$9)</f>
        <v>0</v>
      </c>
      <c r="DF865" s="693">
        <f>SUMIFS(Imput[[Importe Neto]:[Importe Neto]],Imput[[C. Imp.]:[C. Imp.]],$D865,Imput[[PERIODO Imp.]:[PERIODO Imp.]],DF$9)</f>
        <v>0</v>
      </c>
      <c r="DG865" s="693">
        <f>SUMIFS(Imput[[Importe Neto]:[Importe Neto]],Imput[[C. Imp.]:[C. Imp.]],$D865,Imput[[PERIODO Imp.]:[PERIODO Imp.]],DG$9)</f>
        <v>0</v>
      </c>
      <c r="DH865" s="694">
        <f>SUMIFS(Imput[[Importe Neto]:[Importe Neto]],Imput[[C. Imp.]:[C. Imp.]],$D865,Imput[[PERIODO Imp.]:[PERIODO Imp.]],DH$9)</f>
        <v>0</v>
      </c>
    </row>
    <row r="866" spans="1:112" s="649" customFormat="1" hidden="1" outlineLevel="1" x14ac:dyDescent="0.3">
      <c r="A866" s="652" t="str">
        <f t="shared" si="290"/>
        <v/>
      </c>
      <c r="B866" s="652"/>
      <c r="C866" s="685"/>
      <c r="D866" s="686" t="s">
        <v>2842</v>
      </c>
      <c r="E866" s="686"/>
      <c r="F866" s="720"/>
      <c r="G866" s="688"/>
      <c r="H866" s="689"/>
      <c r="I866" s="851" t="str">
        <f t="shared" si="295"/>
        <v/>
      </c>
      <c r="J866" s="850" t="str">
        <f t="shared" si="292"/>
        <v/>
      </c>
      <c r="K866" s="667"/>
      <c r="L866" s="858"/>
      <c r="M866" s="859"/>
      <c r="N866" s="859"/>
      <c r="O866" s="859"/>
      <c r="P866" s="859"/>
      <c r="Q866" s="859"/>
      <c r="R866" s="859"/>
      <c r="S866" s="859"/>
      <c r="T866" s="859"/>
      <c r="U866" s="859"/>
      <c r="V866" s="859"/>
      <c r="W866" s="859"/>
      <c r="X866" s="859"/>
      <c r="Y866" s="859"/>
      <c r="Z866" s="860"/>
      <c r="AA866" s="860"/>
      <c r="AB866" s="860"/>
      <c r="AC866" s="860"/>
      <c r="AD866" s="860"/>
      <c r="AE866" s="860"/>
      <c r="AF866" s="860"/>
      <c r="AG866" s="860"/>
      <c r="AH866" s="860"/>
      <c r="AI866" s="860"/>
      <c r="AJ866" s="860"/>
      <c r="AK866" s="860"/>
      <c r="AL866" s="860"/>
      <c r="AM866" s="860"/>
      <c r="AN866" s="860"/>
      <c r="AO866" s="860"/>
      <c r="AP866" s="860"/>
      <c r="AQ866" s="860"/>
      <c r="AR866" s="860"/>
      <c r="AS866" s="860"/>
      <c r="AT866" s="860"/>
      <c r="AU866" s="860"/>
      <c r="AV866" s="860"/>
      <c r="AW866" s="860"/>
      <c r="AX866" s="860"/>
      <c r="AY866" s="860"/>
      <c r="AZ866" s="860"/>
      <c r="BA866" s="860"/>
      <c r="BB866" s="860"/>
      <c r="BC866" s="860"/>
      <c r="BD866" s="860"/>
      <c r="BE866" s="860"/>
      <c r="BF866" s="860"/>
      <c r="BG866" s="860"/>
      <c r="BH866" s="668"/>
      <c r="BI866" s="654"/>
      <c r="BJ866" s="690">
        <f t="shared" si="296"/>
        <v>0</v>
      </c>
      <c r="BK866" s="691">
        <f t="shared" si="297"/>
        <v>0</v>
      </c>
      <c r="BL866" s="654"/>
      <c r="BM866" s="692">
        <f>SUMIFS(Imput[[Importe Neto]:[Importe Neto]],Imput[[C. Imp.]:[C. Imp.]],$D866,Imput[[PERIODO Imp.]:[PERIODO Imp.]],BM$9)</f>
        <v>0</v>
      </c>
      <c r="BN866" s="693">
        <f>SUMIFS(Imput[[Importe Neto]:[Importe Neto]],Imput[[C. Imp.]:[C. Imp.]],$D866,Imput[[PERIODO Imp.]:[PERIODO Imp.]],BN$9)</f>
        <v>0</v>
      </c>
      <c r="BO866" s="693">
        <f>SUMIFS(Imput[[Importe Neto]:[Importe Neto]],Imput[[C. Imp.]:[C. Imp.]],$D866,Imput[[PERIODO Imp.]:[PERIODO Imp.]],BO$9)</f>
        <v>0</v>
      </c>
      <c r="BP866" s="693">
        <f>SUMIFS(Imput[[Importe Neto]:[Importe Neto]],Imput[[C. Imp.]:[C. Imp.]],$D866,Imput[[PERIODO Imp.]:[PERIODO Imp.]],BP$9)</f>
        <v>0</v>
      </c>
      <c r="BQ866" s="693">
        <f>SUMIFS(Imput[[Importe Neto]:[Importe Neto]],Imput[[C. Imp.]:[C. Imp.]],$D866,Imput[[PERIODO Imp.]:[PERIODO Imp.]],BQ$9)</f>
        <v>0</v>
      </c>
      <c r="BR866" s="693">
        <f>SUMIFS(Imput[[Importe Neto]:[Importe Neto]],Imput[[C. Imp.]:[C. Imp.]],$D866,Imput[[PERIODO Imp.]:[PERIODO Imp.]],BR$9)</f>
        <v>0</v>
      </c>
      <c r="BS866" s="693">
        <f>SUMIFS(Imput[[Importe Neto]:[Importe Neto]],Imput[[C. Imp.]:[C. Imp.]],$D866,Imput[[PERIODO Imp.]:[PERIODO Imp.]],BS$9)</f>
        <v>0</v>
      </c>
      <c r="BT866" s="693">
        <f>SUMIFS(Imput[[Importe Neto]:[Importe Neto]],Imput[[C. Imp.]:[C. Imp.]],$D866,Imput[[PERIODO Imp.]:[PERIODO Imp.]],BT$9)</f>
        <v>0</v>
      </c>
      <c r="BU866" s="693">
        <f>SUMIFS(Imput[[Importe Neto]:[Importe Neto]],Imput[[C. Imp.]:[C. Imp.]],$D866,Imput[[PERIODO Imp.]:[PERIODO Imp.]],BU$9)</f>
        <v>0</v>
      </c>
      <c r="BV866" s="693">
        <f>SUMIFS(Imput[[Importe Neto]:[Importe Neto]],Imput[[C. Imp.]:[C. Imp.]],$D866,Imput[[PERIODO Imp.]:[PERIODO Imp.]],BV$9)</f>
        <v>0</v>
      </c>
      <c r="BW866" s="693">
        <f>SUMIFS(Imput[[Importe Neto]:[Importe Neto]],Imput[[C. Imp.]:[C. Imp.]],$D866,Imput[[PERIODO Imp.]:[PERIODO Imp.]],BW$9)</f>
        <v>0</v>
      </c>
      <c r="BX866" s="693">
        <f>SUMIFS(Imput[[Importe Neto]:[Importe Neto]],Imput[[C. Imp.]:[C. Imp.]],$D866,Imput[[PERIODO Imp.]:[PERIODO Imp.]],BX$9)</f>
        <v>0</v>
      </c>
      <c r="BY866" s="693">
        <f>SUMIFS(Imput[[Importe Neto]:[Importe Neto]],Imput[[C. Imp.]:[C. Imp.]],$D866,Imput[[PERIODO Imp.]:[PERIODO Imp.]],BY$9)</f>
        <v>0</v>
      </c>
      <c r="BZ866" s="693">
        <f>SUMIFS(Imput[[Importe Neto]:[Importe Neto]],Imput[[C. Imp.]:[C. Imp.]],$D866,Imput[[PERIODO Imp.]:[PERIODO Imp.]],BZ$9)</f>
        <v>0</v>
      </c>
      <c r="CA866" s="693">
        <f>SUMIFS(Imput[[Importe Neto]:[Importe Neto]],Imput[[C. Imp.]:[C. Imp.]],$D866,Imput[[PERIODO Imp.]:[PERIODO Imp.]],CA$9)</f>
        <v>0</v>
      </c>
      <c r="CB866" s="693">
        <f>SUMIFS(Imput[[Importe Neto]:[Importe Neto]],Imput[[C. Imp.]:[C. Imp.]],$D866,Imput[[PERIODO Imp.]:[PERIODO Imp.]],CB$9)</f>
        <v>0</v>
      </c>
      <c r="CC866" s="693">
        <f>SUMIFS(Imput[[Importe Neto]:[Importe Neto]],Imput[[C. Imp.]:[C. Imp.]],$D866,Imput[[PERIODO Imp.]:[PERIODO Imp.]],CC$9)</f>
        <v>0</v>
      </c>
      <c r="CD866" s="693">
        <f>SUMIFS(Imput[[Importe Neto]:[Importe Neto]],Imput[[C. Imp.]:[C. Imp.]],$D866,Imput[[PERIODO Imp.]:[PERIODO Imp.]],CD$9)</f>
        <v>0</v>
      </c>
      <c r="CE866" s="693">
        <f>SUMIFS(Imput[[Importe Neto]:[Importe Neto]],Imput[[C. Imp.]:[C. Imp.]],$D866,Imput[[PERIODO Imp.]:[PERIODO Imp.]],CE$9)</f>
        <v>0</v>
      </c>
      <c r="CF866" s="693">
        <f>SUMIFS(Imput[[Importe Neto]:[Importe Neto]],Imput[[C. Imp.]:[C. Imp.]],$D866,Imput[[PERIODO Imp.]:[PERIODO Imp.]],CF$9)</f>
        <v>0</v>
      </c>
      <c r="CG866" s="693">
        <f>SUMIFS(Imput[[Importe Neto]:[Importe Neto]],Imput[[C. Imp.]:[C. Imp.]],$D866,Imput[[PERIODO Imp.]:[PERIODO Imp.]],CG$9)</f>
        <v>0</v>
      </c>
      <c r="CH866" s="693">
        <f>SUMIFS(Imput[[Importe Neto]:[Importe Neto]],Imput[[C. Imp.]:[C. Imp.]],$D866,Imput[[PERIODO Imp.]:[PERIODO Imp.]],CH$9)</f>
        <v>0</v>
      </c>
      <c r="CI866" s="693">
        <f>SUMIFS(Imput[[Importe Neto]:[Importe Neto]],Imput[[C. Imp.]:[C. Imp.]],$D866,Imput[[PERIODO Imp.]:[PERIODO Imp.]],CI$9)</f>
        <v>0</v>
      </c>
      <c r="CJ866" s="693">
        <f>SUMIFS(Imput[[Importe Neto]:[Importe Neto]],Imput[[C. Imp.]:[C. Imp.]],$D866,Imput[[PERIODO Imp.]:[PERIODO Imp.]],CJ$9)</f>
        <v>0</v>
      </c>
      <c r="CK866" s="693">
        <f>SUMIFS(Imput[[Importe Neto]:[Importe Neto]],Imput[[C. Imp.]:[C. Imp.]],$D866,Imput[[PERIODO Imp.]:[PERIODO Imp.]],CK$9)</f>
        <v>0</v>
      </c>
      <c r="CL866" s="693">
        <f>SUMIFS(Imput[[Importe Neto]:[Importe Neto]],Imput[[C. Imp.]:[C. Imp.]],$D866,Imput[[PERIODO Imp.]:[PERIODO Imp.]],CL$9)</f>
        <v>0</v>
      </c>
      <c r="CM866" s="693">
        <f>SUMIFS(Imput[[Importe Neto]:[Importe Neto]],Imput[[C. Imp.]:[C. Imp.]],$D866,Imput[[PERIODO Imp.]:[PERIODO Imp.]],CM$9)</f>
        <v>0</v>
      </c>
      <c r="CN866" s="693">
        <f>SUMIFS(Imput[[Importe Neto]:[Importe Neto]],Imput[[C. Imp.]:[C. Imp.]],$D866,Imput[[PERIODO Imp.]:[PERIODO Imp.]],CN$9)</f>
        <v>0</v>
      </c>
      <c r="CO866" s="693">
        <f>SUMIFS(Imput[[Importe Neto]:[Importe Neto]],Imput[[C. Imp.]:[C. Imp.]],$D866,Imput[[PERIODO Imp.]:[PERIODO Imp.]],CO$9)</f>
        <v>0</v>
      </c>
      <c r="CP866" s="693">
        <f>SUMIFS(Imput[[Importe Neto]:[Importe Neto]],Imput[[C. Imp.]:[C. Imp.]],$D866,Imput[[PERIODO Imp.]:[PERIODO Imp.]],CP$9)</f>
        <v>0</v>
      </c>
      <c r="CQ866" s="693">
        <f>SUMIFS(Imput[[Importe Neto]:[Importe Neto]],Imput[[C. Imp.]:[C. Imp.]],$D866,Imput[[PERIODO Imp.]:[PERIODO Imp.]],CQ$9)</f>
        <v>0</v>
      </c>
      <c r="CR866" s="693">
        <f>SUMIFS(Imput[[Importe Neto]:[Importe Neto]],Imput[[C. Imp.]:[C. Imp.]],$D866,Imput[[PERIODO Imp.]:[PERIODO Imp.]],CR$9)</f>
        <v>0</v>
      </c>
      <c r="CS866" s="693">
        <f>SUMIFS(Imput[[Importe Neto]:[Importe Neto]],Imput[[C. Imp.]:[C. Imp.]],$D866,Imput[[PERIODO Imp.]:[PERIODO Imp.]],CS$9)</f>
        <v>0</v>
      </c>
      <c r="CT866" s="693">
        <f>SUMIFS(Imput[[Importe Neto]:[Importe Neto]],Imput[[C. Imp.]:[C. Imp.]],$D866,Imput[[PERIODO Imp.]:[PERIODO Imp.]],CT$9)</f>
        <v>0</v>
      </c>
      <c r="CU866" s="693">
        <f>SUMIFS(Imput[[Importe Neto]:[Importe Neto]],Imput[[C. Imp.]:[C. Imp.]],$D866,Imput[[PERIODO Imp.]:[PERIODO Imp.]],CU$9)</f>
        <v>0</v>
      </c>
      <c r="CV866" s="693">
        <f>SUMIFS(Imput[[Importe Neto]:[Importe Neto]],Imput[[C. Imp.]:[C. Imp.]],$D866,Imput[[PERIODO Imp.]:[PERIODO Imp.]],CV$9)</f>
        <v>0</v>
      </c>
      <c r="CW866" s="693">
        <f>SUMIFS(Imput[[Importe Neto]:[Importe Neto]],Imput[[C. Imp.]:[C. Imp.]],$D866,Imput[[PERIODO Imp.]:[PERIODO Imp.]],CW$9)</f>
        <v>0</v>
      </c>
      <c r="CX866" s="693">
        <f>SUMIFS(Imput[[Importe Neto]:[Importe Neto]],Imput[[C. Imp.]:[C. Imp.]],$D866,Imput[[PERIODO Imp.]:[PERIODO Imp.]],CX$9)</f>
        <v>0</v>
      </c>
      <c r="CY866" s="693">
        <f>SUMIFS(Imput[[Importe Neto]:[Importe Neto]],Imput[[C. Imp.]:[C. Imp.]],$D866,Imput[[PERIODO Imp.]:[PERIODO Imp.]],CY$9)</f>
        <v>0</v>
      </c>
      <c r="CZ866" s="693">
        <f>SUMIFS(Imput[[Importe Neto]:[Importe Neto]],Imput[[C. Imp.]:[C. Imp.]],$D866,Imput[[PERIODO Imp.]:[PERIODO Imp.]],CZ$9)</f>
        <v>0</v>
      </c>
      <c r="DA866" s="693">
        <f>SUMIFS(Imput[[Importe Neto]:[Importe Neto]],Imput[[C. Imp.]:[C. Imp.]],$D866,Imput[[PERIODO Imp.]:[PERIODO Imp.]],DA$9)</f>
        <v>0</v>
      </c>
      <c r="DB866" s="693">
        <f>SUMIFS(Imput[[Importe Neto]:[Importe Neto]],Imput[[C. Imp.]:[C. Imp.]],$D866,Imput[[PERIODO Imp.]:[PERIODO Imp.]],DB$9)</f>
        <v>0</v>
      </c>
      <c r="DC866" s="693">
        <f>SUMIFS(Imput[[Importe Neto]:[Importe Neto]],Imput[[C. Imp.]:[C. Imp.]],$D866,Imput[[PERIODO Imp.]:[PERIODO Imp.]],DC$9)</f>
        <v>0</v>
      </c>
      <c r="DD866" s="693">
        <f>SUMIFS(Imput[[Importe Neto]:[Importe Neto]],Imput[[C. Imp.]:[C. Imp.]],$D866,Imput[[PERIODO Imp.]:[PERIODO Imp.]],DD$9)</f>
        <v>0</v>
      </c>
      <c r="DE866" s="693">
        <f>SUMIFS(Imput[[Importe Neto]:[Importe Neto]],Imput[[C. Imp.]:[C. Imp.]],$D866,Imput[[PERIODO Imp.]:[PERIODO Imp.]],DE$9)</f>
        <v>0</v>
      </c>
      <c r="DF866" s="693">
        <f>SUMIFS(Imput[[Importe Neto]:[Importe Neto]],Imput[[C. Imp.]:[C. Imp.]],$D866,Imput[[PERIODO Imp.]:[PERIODO Imp.]],DF$9)</f>
        <v>0</v>
      </c>
      <c r="DG866" s="693">
        <f>SUMIFS(Imput[[Importe Neto]:[Importe Neto]],Imput[[C. Imp.]:[C. Imp.]],$D866,Imput[[PERIODO Imp.]:[PERIODO Imp.]],DG$9)</f>
        <v>0</v>
      </c>
      <c r="DH866" s="694">
        <f>SUMIFS(Imput[[Importe Neto]:[Importe Neto]],Imput[[C. Imp.]:[C. Imp.]],$D866,Imput[[PERIODO Imp.]:[PERIODO Imp.]],DH$9)</f>
        <v>0</v>
      </c>
    </row>
    <row r="867" spans="1:112" s="649" customFormat="1" hidden="1" outlineLevel="1" x14ac:dyDescent="0.3">
      <c r="A867" s="652" t="str">
        <f t="shared" si="290"/>
        <v/>
      </c>
      <c r="B867" s="652"/>
      <c r="C867" s="685"/>
      <c r="D867" s="686" t="s">
        <v>2843</v>
      </c>
      <c r="E867" s="686"/>
      <c r="F867" s="720"/>
      <c r="G867" s="688"/>
      <c r="H867" s="689"/>
      <c r="I867" s="851" t="str">
        <f t="shared" si="295"/>
        <v/>
      </c>
      <c r="J867" s="850" t="str">
        <f t="shared" si="292"/>
        <v/>
      </c>
      <c r="K867" s="667"/>
      <c r="L867" s="858"/>
      <c r="M867" s="859"/>
      <c r="N867" s="859"/>
      <c r="O867" s="859"/>
      <c r="P867" s="859"/>
      <c r="Q867" s="859"/>
      <c r="R867" s="859"/>
      <c r="S867" s="859"/>
      <c r="T867" s="859"/>
      <c r="U867" s="859"/>
      <c r="V867" s="859"/>
      <c r="W867" s="859"/>
      <c r="X867" s="859"/>
      <c r="Y867" s="859"/>
      <c r="Z867" s="860"/>
      <c r="AA867" s="860"/>
      <c r="AB867" s="860"/>
      <c r="AC867" s="860"/>
      <c r="AD867" s="860"/>
      <c r="AE867" s="860"/>
      <c r="AF867" s="860"/>
      <c r="AG867" s="860"/>
      <c r="AH867" s="860"/>
      <c r="AI867" s="860"/>
      <c r="AJ867" s="860"/>
      <c r="AK867" s="860"/>
      <c r="AL867" s="860"/>
      <c r="AM867" s="860"/>
      <c r="AN867" s="860"/>
      <c r="AO867" s="860"/>
      <c r="AP867" s="860"/>
      <c r="AQ867" s="860"/>
      <c r="AR867" s="860"/>
      <c r="AS867" s="860"/>
      <c r="AT867" s="860"/>
      <c r="AU867" s="860"/>
      <c r="AV867" s="860"/>
      <c r="AW867" s="860"/>
      <c r="AX867" s="860"/>
      <c r="AY867" s="860"/>
      <c r="AZ867" s="860"/>
      <c r="BA867" s="860"/>
      <c r="BB867" s="860"/>
      <c r="BC867" s="860"/>
      <c r="BD867" s="860"/>
      <c r="BE867" s="860"/>
      <c r="BF867" s="860"/>
      <c r="BG867" s="860"/>
      <c r="BH867" s="668"/>
      <c r="BI867" s="654"/>
      <c r="BJ867" s="690">
        <f t="shared" si="296"/>
        <v>0</v>
      </c>
      <c r="BK867" s="691">
        <f t="shared" si="297"/>
        <v>0</v>
      </c>
      <c r="BL867" s="654"/>
      <c r="BM867" s="692">
        <f>SUMIFS(Imput[[Importe Neto]:[Importe Neto]],Imput[[C. Imp.]:[C. Imp.]],$D867,Imput[[PERIODO Imp.]:[PERIODO Imp.]],BM$9)</f>
        <v>0</v>
      </c>
      <c r="BN867" s="693">
        <f>SUMIFS(Imput[[Importe Neto]:[Importe Neto]],Imput[[C. Imp.]:[C. Imp.]],$D867,Imput[[PERIODO Imp.]:[PERIODO Imp.]],BN$9)</f>
        <v>0</v>
      </c>
      <c r="BO867" s="693">
        <f>SUMIFS(Imput[[Importe Neto]:[Importe Neto]],Imput[[C. Imp.]:[C. Imp.]],$D867,Imput[[PERIODO Imp.]:[PERIODO Imp.]],BO$9)</f>
        <v>0</v>
      </c>
      <c r="BP867" s="693">
        <f>SUMIFS(Imput[[Importe Neto]:[Importe Neto]],Imput[[C. Imp.]:[C. Imp.]],$D867,Imput[[PERIODO Imp.]:[PERIODO Imp.]],BP$9)</f>
        <v>0</v>
      </c>
      <c r="BQ867" s="693">
        <f>SUMIFS(Imput[[Importe Neto]:[Importe Neto]],Imput[[C. Imp.]:[C. Imp.]],$D867,Imput[[PERIODO Imp.]:[PERIODO Imp.]],BQ$9)</f>
        <v>0</v>
      </c>
      <c r="BR867" s="693">
        <f>SUMIFS(Imput[[Importe Neto]:[Importe Neto]],Imput[[C. Imp.]:[C. Imp.]],$D867,Imput[[PERIODO Imp.]:[PERIODO Imp.]],BR$9)</f>
        <v>0</v>
      </c>
      <c r="BS867" s="693">
        <f>SUMIFS(Imput[[Importe Neto]:[Importe Neto]],Imput[[C. Imp.]:[C. Imp.]],$D867,Imput[[PERIODO Imp.]:[PERIODO Imp.]],BS$9)</f>
        <v>0</v>
      </c>
      <c r="BT867" s="693">
        <f>SUMIFS(Imput[[Importe Neto]:[Importe Neto]],Imput[[C. Imp.]:[C. Imp.]],$D867,Imput[[PERIODO Imp.]:[PERIODO Imp.]],BT$9)</f>
        <v>0</v>
      </c>
      <c r="BU867" s="693">
        <f>SUMIFS(Imput[[Importe Neto]:[Importe Neto]],Imput[[C. Imp.]:[C. Imp.]],$D867,Imput[[PERIODO Imp.]:[PERIODO Imp.]],BU$9)</f>
        <v>0</v>
      </c>
      <c r="BV867" s="693">
        <f>SUMIFS(Imput[[Importe Neto]:[Importe Neto]],Imput[[C. Imp.]:[C. Imp.]],$D867,Imput[[PERIODO Imp.]:[PERIODO Imp.]],BV$9)</f>
        <v>0</v>
      </c>
      <c r="BW867" s="693">
        <f>SUMIFS(Imput[[Importe Neto]:[Importe Neto]],Imput[[C. Imp.]:[C. Imp.]],$D867,Imput[[PERIODO Imp.]:[PERIODO Imp.]],BW$9)</f>
        <v>0</v>
      </c>
      <c r="BX867" s="693">
        <f>SUMIFS(Imput[[Importe Neto]:[Importe Neto]],Imput[[C. Imp.]:[C. Imp.]],$D867,Imput[[PERIODO Imp.]:[PERIODO Imp.]],BX$9)</f>
        <v>0</v>
      </c>
      <c r="BY867" s="693">
        <f>SUMIFS(Imput[[Importe Neto]:[Importe Neto]],Imput[[C. Imp.]:[C. Imp.]],$D867,Imput[[PERIODO Imp.]:[PERIODO Imp.]],BY$9)</f>
        <v>0</v>
      </c>
      <c r="BZ867" s="693">
        <f>SUMIFS(Imput[[Importe Neto]:[Importe Neto]],Imput[[C. Imp.]:[C. Imp.]],$D867,Imput[[PERIODO Imp.]:[PERIODO Imp.]],BZ$9)</f>
        <v>0</v>
      </c>
      <c r="CA867" s="693">
        <f>SUMIFS(Imput[[Importe Neto]:[Importe Neto]],Imput[[C. Imp.]:[C. Imp.]],$D867,Imput[[PERIODO Imp.]:[PERIODO Imp.]],CA$9)</f>
        <v>0</v>
      </c>
      <c r="CB867" s="693">
        <f>SUMIFS(Imput[[Importe Neto]:[Importe Neto]],Imput[[C. Imp.]:[C. Imp.]],$D867,Imput[[PERIODO Imp.]:[PERIODO Imp.]],CB$9)</f>
        <v>0</v>
      </c>
      <c r="CC867" s="693">
        <f>SUMIFS(Imput[[Importe Neto]:[Importe Neto]],Imput[[C. Imp.]:[C. Imp.]],$D867,Imput[[PERIODO Imp.]:[PERIODO Imp.]],CC$9)</f>
        <v>0</v>
      </c>
      <c r="CD867" s="693">
        <f>SUMIFS(Imput[[Importe Neto]:[Importe Neto]],Imput[[C. Imp.]:[C. Imp.]],$D867,Imput[[PERIODO Imp.]:[PERIODO Imp.]],CD$9)</f>
        <v>0</v>
      </c>
      <c r="CE867" s="693">
        <f>SUMIFS(Imput[[Importe Neto]:[Importe Neto]],Imput[[C. Imp.]:[C. Imp.]],$D867,Imput[[PERIODO Imp.]:[PERIODO Imp.]],CE$9)</f>
        <v>0</v>
      </c>
      <c r="CF867" s="693">
        <f>SUMIFS(Imput[[Importe Neto]:[Importe Neto]],Imput[[C. Imp.]:[C. Imp.]],$D867,Imput[[PERIODO Imp.]:[PERIODO Imp.]],CF$9)</f>
        <v>0</v>
      </c>
      <c r="CG867" s="693">
        <f>SUMIFS(Imput[[Importe Neto]:[Importe Neto]],Imput[[C. Imp.]:[C. Imp.]],$D867,Imput[[PERIODO Imp.]:[PERIODO Imp.]],CG$9)</f>
        <v>0</v>
      </c>
      <c r="CH867" s="693">
        <f>SUMIFS(Imput[[Importe Neto]:[Importe Neto]],Imput[[C. Imp.]:[C. Imp.]],$D867,Imput[[PERIODO Imp.]:[PERIODO Imp.]],CH$9)</f>
        <v>0</v>
      </c>
      <c r="CI867" s="693">
        <f>SUMIFS(Imput[[Importe Neto]:[Importe Neto]],Imput[[C. Imp.]:[C. Imp.]],$D867,Imput[[PERIODO Imp.]:[PERIODO Imp.]],CI$9)</f>
        <v>0</v>
      </c>
      <c r="CJ867" s="693">
        <f>SUMIFS(Imput[[Importe Neto]:[Importe Neto]],Imput[[C. Imp.]:[C. Imp.]],$D867,Imput[[PERIODO Imp.]:[PERIODO Imp.]],CJ$9)</f>
        <v>0</v>
      </c>
      <c r="CK867" s="693">
        <f>SUMIFS(Imput[[Importe Neto]:[Importe Neto]],Imput[[C. Imp.]:[C. Imp.]],$D867,Imput[[PERIODO Imp.]:[PERIODO Imp.]],CK$9)</f>
        <v>0</v>
      </c>
      <c r="CL867" s="693">
        <f>SUMIFS(Imput[[Importe Neto]:[Importe Neto]],Imput[[C. Imp.]:[C. Imp.]],$D867,Imput[[PERIODO Imp.]:[PERIODO Imp.]],CL$9)</f>
        <v>0</v>
      </c>
      <c r="CM867" s="693">
        <f>SUMIFS(Imput[[Importe Neto]:[Importe Neto]],Imput[[C. Imp.]:[C. Imp.]],$D867,Imput[[PERIODO Imp.]:[PERIODO Imp.]],CM$9)</f>
        <v>0</v>
      </c>
      <c r="CN867" s="693">
        <f>SUMIFS(Imput[[Importe Neto]:[Importe Neto]],Imput[[C. Imp.]:[C. Imp.]],$D867,Imput[[PERIODO Imp.]:[PERIODO Imp.]],CN$9)</f>
        <v>0</v>
      </c>
      <c r="CO867" s="693">
        <f>SUMIFS(Imput[[Importe Neto]:[Importe Neto]],Imput[[C. Imp.]:[C. Imp.]],$D867,Imput[[PERIODO Imp.]:[PERIODO Imp.]],CO$9)</f>
        <v>0</v>
      </c>
      <c r="CP867" s="693">
        <f>SUMIFS(Imput[[Importe Neto]:[Importe Neto]],Imput[[C. Imp.]:[C. Imp.]],$D867,Imput[[PERIODO Imp.]:[PERIODO Imp.]],CP$9)</f>
        <v>0</v>
      </c>
      <c r="CQ867" s="693">
        <f>SUMIFS(Imput[[Importe Neto]:[Importe Neto]],Imput[[C. Imp.]:[C. Imp.]],$D867,Imput[[PERIODO Imp.]:[PERIODO Imp.]],CQ$9)</f>
        <v>0</v>
      </c>
      <c r="CR867" s="693">
        <f>SUMIFS(Imput[[Importe Neto]:[Importe Neto]],Imput[[C. Imp.]:[C. Imp.]],$D867,Imput[[PERIODO Imp.]:[PERIODO Imp.]],CR$9)</f>
        <v>0</v>
      </c>
      <c r="CS867" s="693">
        <f>SUMIFS(Imput[[Importe Neto]:[Importe Neto]],Imput[[C. Imp.]:[C. Imp.]],$D867,Imput[[PERIODO Imp.]:[PERIODO Imp.]],CS$9)</f>
        <v>0</v>
      </c>
      <c r="CT867" s="693">
        <f>SUMIFS(Imput[[Importe Neto]:[Importe Neto]],Imput[[C. Imp.]:[C. Imp.]],$D867,Imput[[PERIODO Imp.]:[PERIODO Imp.]],CT$9)</f>
        <v>0</v>
      </c>
      <c r="CU867" s="693">
        <f>SUMIFS(Imput[[Importe Neto]:[Importe Neto]],Imput[[C. Imp.]:[C. Imp.]],$D867,Imput[[PERIODO Imp.]:[PERIODO Imp.]],CU$9)</f>
        <v>0</v>
      </c>
      <c r="CV867" s="693">
        <f>SUMIFS(Imput[[Importe Neto]:[Importe Neto]],Imput[[C. Imp.]:[C. Imp.]],$D867,Imput[[PERIODO Imp.]:[PERIODO Imp.]],CV$9)</f>
        <v>0</v>
      </c>
      <c r="CW867" s="693">
        <f>SUMIFS(Imput[[Importe Neto]:[Importe Neto]],Imput[[C. Imp.]:[C. Imp.]],$D867,Imput[[PERIODO Imp.]:[PERIODO Imp.]],CW$9)</f>
        <v>0</v>
      </c>
      <c r="CX867" s="693">
        <f>SUMIFS(Imput[[Importe Neto]:[Importe Neto]],Imput[[C. Imp.]:[C. Imp.]],$D867,Imput[[PERIODO Imp.]:[PERIODO Imp.]],CX$9)</f>
        <v>0</v>
      </c>
      <c r="CY867" s="693">
        <f>SUMIFS(Imput[[Importe Neto]:[Importe Neto]],Imput[[C. Imp.]:[C. Imp.]],$D867,Imput[[PERIODO Imp.]:[PERIODO Imp.]],CY$9)</f>
        <v>0</v>
      </c>
      <c r="CZ867" s="693">
        <f>SUMIFS(Imput[[Importe Neto]:[Importe Neto]],Imput[[C. Imp.]:[C. Imp.]],$D867,Imput[[PERIODO Imp.]:[PERIODO Imp.]],CZ$9)</f>
        <v>0</v>
      </c>
      <c r="DA867" s="693">
        <f>SUMIFS(Imput[[Importe Neto]:[Importe Neto]],Imput[[C. Imp.]:[C. Imp.]],$D867,Imput[[PERIODO Imp.]:[PERIODO Imp.]],DA$9)</f>
        <v>0</v>
      </c>
      <c r="DB867" s="693">
        <f>SUMIFS(Imput[[Importe Neto]:[Importe Neto]],Imput[[C. Imp.]:[C. Imp.]],$D867,Imput[[PERIODO Imp.]:[PERIODO Imp.]],DB$9)</f>
        <v>0</v>
      </c>
      <c r="DC867" s="693">
        <f>SUMIFS(Imput[[Importe Neto]:[Importe Neto]],Imput[[C. Imp.]:[C. Imp.]],$D867,Imput[[PERIODO Imp.]:[PERIODO Imp.]],DC$9)</f>
        <v>0</v>
      </c>
      <c r="DD867" s="693">
        <f>SUMIFS(Imput[[Importe Neto]:[Importe Neto]],Imput[[C. Imp.]:[C. Imp.]],$D867,Imput[[PERIODO Imp.]:[PERIODO Imp.]],DD$9)</f>
        <v>0</v>
      </c>
      <c r="DE867" s="693">
        <f>SUMIFS(Imput[[Importe Neto]:[Importe Neto]],Imput[[C. Imp.]:[C. Imp.]],$D867,Imput[[PERIODO Imp.]:[PERIODO Imp.]],DE$9)</f>
        <v>0</v>
      </c>
      <c r="DF867" s="693">
        <f>SUMIFS(Imput[[Importe Neto]:[Importe Neto]],Imput[[C. Imp.]:[C. Imp.]],$D867,Imput[[PERIODO Imp.]:[PERIODO Imp.]],DF$9)</f>
        <v>0</v>
      </c>
      <c r="DG867" s="693">
        <f>SUMIFS(Imput[[Importe Neto]:[Importe Neto]],Imput[[C. Imp.]:[C. Imp.]],$D867,Imput[[PERIODO Imp.]:[PERIODO Imp.]],DG$9)</f>
        <v>0</v>
      </c>
      <c r="DH867" s="694">
        <f>SUMIFS(Imput[[Importe Neto]:[Importe Neto]],Imput[[C. Imp.]:[C. Imp.]],$D867,Imput[[PERIODO Imp.]:[PERIODO Imp.]],DH$9)</f>
        <v>0</v>
      </c>
    </row>
    <row r="868" spans="1:112" s="649" customFormat="1" hidden="1" outlineLevel="1" x14ac:dyDescent="0.3">
      <c r="A868" s="652" t="str">
        <f t="shared" si="290"/>
        <v/>
      </c>
      <c r="B868" s="652"/>
      <c r="C868" s="685"/>
      <c r="D868" s="686" t="s">
        <v>2844</v>
      </c>
      <c r="E868" s="686"/>
      <c r="F868" s="720"/>
      <c r="G868" s="688"/>
      <c r="H868" s="689"/>
      <c r="I868" s="851" t="str">
        <f t="shared" si="295"/>
        <v/>
      </c>
      <c r="J868" s="850" t="str">
        <f t="shared" si="292"/>
        <v/>
      </c>
      <c r="K868" s="667"/>
      <c r="L868" s="858"/>
      <c r="M868" s="859"/>
      <c r="N868" s="859"/>
      <c r="O868" s="859"/>
      <c r="P868" s="859"/>
      <c r="Q868" s="859"/>
      <c r="R868" s="859"/>
      <c r="S868" s="859"/>
      <c r="T868" s="859"/>
      <c r="U868" s="859"/>
      <c r="V868" s="859"/>
      <c r="W868" s="859"/>
      <c r="X868" s="859"/>
      <c r="Y868" s="859"/>
      <c r="Z868" s="860"/>
      <c r="AA868" s="860"/>
      <c r="AB868" s="860"/>
      <c r="AC868" s="860"/>
      <c r="AD868" s="860"/>
      <c r="AE868" s="860"/>
      <c r="AF868" s="860"/>
      <c r="AG868" s="860"/>
      <c r="AH868" s="860"/>
      <c r="AI868" s="860"/>
      <c r="AJ868" s="860"/>
      <c r="AK868" s="860"/>
      <c r="AL868" s="860"/>
      <c r="AM868" s="860"/>
      <c r="AN868" s="860"/>
      <c r="AO868" s="860"/>
      <c r="AP868" s="860"/>
      <c r="AQ868" s="860"/>
      <c r="AR868" s="860"/>
      <c r="AS868" s="860"/>
      <c r="AT868" s="860"/>
      <c r="AU868" s="860"/>
      <c r="AV868" s="860"/>
      <c r="AW868" s="860"/>
      <c r="AX868" s="860"/>
      <c r="AY868" s="860"/>
      <c r="AZ868" s="860"/>
      <c r="BA868" s="860"/>
      <c r="BB868" s="860"/>
      <c r="BC868" s="860"/>
      <c r="BD868" s="860"/>
      <c r="BE868" s="860"/>
      <c r="BF868" s="860"/>
      <c r="BG868" s="860"/>
      <c r="BH868" s="668"/>
      <c r="BI868" s="654"/>
      <c r="BJ868" s="690">
        <f t="shared" si="296"/>
        <v>0</v>
      </c>
      <c r="BK868" s="691">
        <f t="shared" si="297"/>
        <v>0</v>
      </c>
      <c r="BL868" s="654"/>
      <c r="BM868" s="692">
        <f>SUMIFS(Imput[[Importe Neto]:[Importe Neto]],Imput[[C. Imp.]:[C. Imp.]],$D868,Imput[[PERIODO Imp.]:[PERIODO Imp.]],BM$9)</f>
        <v>0</v>
      </c>
      <c r="BN868" s="693">
        <f>SUMIFS(Imput[[Importe Neto]:[Importe Neto]],Imput[[C. Imp.]:[C. Imp.]],$D868,Imput[[PERIODO Imp.]:[PERIODO Imp.]],BN$9)</f>
        <v>0</v>
      </c>
      <c r="BO868" s="693">
        <f>SUMIFS(Imput[[Importe Neto]:[Importe Neto]],Imput[[C. Imp.]:[C. Imp.]],$D868,Imput[[PERIODO Imp.]:[PERIODO Imp.]],BO$9)</f>
        <v>0</v>
      </c>
      <c r="BP868" s="693">
        <f>SUMIFS(Imput[[Importe Neto]:[Importe Neto]],Imput[[C. Imp.]:[C. Imp.]],$D868,Imput[[PERIODO Imp.]:[PERIODO Imp.]],BP$9)</f>
        <v>0</v>
      </c>
      <c r="BQ868" s="693">
        <f>SUMIFS(Imput[[Importe Neto]:[Importe Neto]],Imput[[C. Imp.]:[C. Imp.]],$D868,Imput[[PERIODO Imp.]:[PERIODO Imp.]],BQ$9)</f>
        <v>0</v>
      </c>
      <c r="BR868" s="693">
        <f>SUMIFS(Imput[[Importe Neto]:[Importe Neto]],Imput[[C. Imp.]:[C. Imp.]],$D868,Imput[[PERIODO Imp.]:[PERIODO Imp.]],BR$9)</f>
        <v>0</v>
      </c>
      <c r="BS868" s="693">
        <f>SUMIFS(Imput[[Importe Neto]:[Importe Neto]],Imput[[C. Imp.]:[C. Imp.]],$D868,Imput[[PERIODO Imp.]:[PERIODO Imp.]],BS$9)</f>
        <v>0</v>
      </c>
      <c r="BT868" s="693">
        <f>SUMIFS(Imput[[Importe Neto]:[Importe Neto]],Imput[[C. Imp.]:[C. Imp.]],$D868,Imput[[PERIODO Imp.]:[PERIODO Imp.]],BT$9)</f>
        <v>0</v>
      </c>
      <c r="BU868" s="693">
        <f>SUMIFS(Imput[[Importe Neto]:[Importe Neto]],Imput[[C. Imp.]:[C. Imp.]],$D868,Imput[[PERIODO Imp.]:[PERIODO Imp.]],BU$9)</f>
        <v>0</v>
      </c>
      <c r="BV868" s="693">
        <f>SUMIFS(Imput[[Importe Neto]:[Importe Neto]],Imput[[C. Imp.]:[C. Imp.]],$D868,Imput[[PERIODO Imp.]:[PERIODO Imp.]],BV$9)</f>
        <v>0</v>
      </c>
      <c r="BW868" s="693">
        <f>SUMIFS(Imput[[Importe Neto]:[Importe Neto]],Imput[[C. Imp.]:[C. Imp.]],$D868,Imput[[PERIODO Imp.]:[PERIODO Imp.]],BW$9)</f>
        <v>0</v>
      </c>
      <c r="BX868" s="693">
        <f>SUMIFS(Imput[[Importe Neto]:[Importe Neto]],Imput[[C. Imp.]:[C. Imp.]],$D868,Imput[[PERIODO Imp.]:[PERIODO Imp.]],BX$9)</f>
        <v>0</v>
      </c>
      <c r="BY868" s="693">
        <f>SUMIFS(Imput[[Importe Neto]:[Importe Neto]],Imput[[C. Imp.]:[C. Imp.]],$D868,Imput[[PERIODO Imp.]:[PERIODO Imp.]],BY$9)</f>
        <v>0</v>
      </c>
      <c r="BZ868" s="693">
        <f>SUMIFS(Imput[[Importe Neto]:[Importe Neto]],Imput[[C. Imp.]:[C. Imp.]],$D868,Imput[[PERIODO Imp.]:[PERIODO Imp.]],BZ$9)</f>
        <v>0</v>
      </c>
      <c r="CA868" s="693">
        <f>SUMIFS(Imput[[Importe Neto]:[Importe Neto]],Imput[[C. Imp.]:[C. Imp.]],$D868,Imput[[PERIODO Imp.]:[PERIODO Imp.]],CA$9)</f>
        <v>0</v>
      </c>
      <c r="CB868" s="693">
        <f>SUMIFS(Imput[[Importe Neto]:[Importe Neto]],Imput[[C. Imp.]:[C. Imp.]],$D868,Imput[[PERIODO Imp.]:[PERIODO Imp.]],CB$9)</f>
        <v>0</v>
      </c>
      <c r="CC868" s="693">
        <f>SUMIFS(Imput[[Importe Neto]:[Importe Neto]],Imput[[C. Imp.]:[C. Imp.]],$D868,Imput[[PERIODO Imp.]:[PERIODO Imp.]],CC$9)</f>
        <v>0</v>
      </c>
      <c r="CD868" s="693">
        <f>SUMIFS(Imput[[Importe Neto]:[Importe Neto]],Imput[[C. Imp.]:[C. Imp.]],$D868,Imput[[PERIODO Imp.]:[PERIODO Imp.]],CD$9)</f>
        <v>0</v>
      </c>
      <c r="CE868" s="693">
        <f>SUMIFS(Imput[[Importe Neto]:[Importe Neto]],Imput[[C. Imp.]:[C. Imp.]],$D868,Imput[[PERIODO Imp.]:[PERIODO Imp.]],CE$9)</f>
        <v>0</v>
      </c>
      <c r="CF868" s="693">
        <f>SUMIFS(Imput[[Importe Neto]:[Importe Neto]],Imput[[C. Imp.]:[C. Imp.]],$D868,Imput[[PERIODO Imp.]:[PERIODO Imp.]],CF$9)</f>
        <v>0</v>
      </c>
      <c r="CG868" s="693">
        <f>SUMIFS(Imput[[Importe Neto]:[Importe Neto]],Imput[[C. Imp.]:[C. Imp.]],$D868,Imput[[PERIODO Imp.]:[PERIODO Imp.]],CG$9)</f>
        <v>0</v>
      </c>
      <c r="CH868" s="693">
        <f>SUMIFS(Imput[[Importe Neto]:[Importe Neto]],Imput[[C. Imp.]:[C. Imp.]],$D868,Imput[[PERIODO Imp.]:[PERIODO Imp.]],CH$9)</f>
        <v>0</v>
      </c>
      <c r="CI868" s="693">
        <f>SUMIFS(Imput[[Importe Neto]:[Importe Neto]],Imput[[C. Imp.]:[C. Imp.]],$D868,Imput[[PERIODO Imp.]:[PERIODO Imp.]],CI$9)</f>
        <v>0</v>
      </c>
      <c r="CJ868" s="693">
        <f>SUMIFS(Imput[[Importe Neto]:[Importe Neto]],Imput[[C. Imp.]:[C. Imp.]],$D868,Imput[[PERIODO Imp.]:[PERIODO Imp.]],CJ$9)</f>
        <v>0</v>
      </c>
      <c r="CK868" s="693">
        <f>SUMIFS(Imput[[Importe Neto]:[Importe Neto]],Imput[[C. Imp.]:[C. Imp.]],$D868,Imput[[PERIODO Imp.]:[PERIODO Imp.]],CK$9)</f>
        <v>0</v>
      </c>
      <c r="CL868" s="693">
        <f>SUMIFS(Imput[[Importe Neto]:[Importe Neto]],Imput[[C. Imp.]:[C. Imp.]],$D868,Imput[[PERIODO Imp.]:[PERIODO Imp.]],CL$9)</f>
        <v>0</v>
      </c>
      <c r="CM868" s="693">
        <f>SUMIFS(Imput[[Importe Neto]:[Importe Neto]],Imput[[C. Imp.]:[C. Imp.]],$D868,Imput[[PERIODO Imp.]:[PERIODO Imp.]],CM$9)</f>
        <v>0</v>
      </c>
      <c r="CN868" s="693">
        <f>SUMIFS(Imput[[Importe Neto]:[Importe Neto]],Imput[[C. Imp.]:[C. Imp.]],$D868,Imput[[PERIODO Imp.]:[PERIODO Imp.]],CN$9)</f>
        <v>0</v>
      </c>
      <c r="CO868" s="693">
        <f>SUMIFS(Imput[[Importe Neto]:[Importe Neto]],Imput[[C. Imp.]:[C. Imp.]],$D868,Imput[[PERIODO Imp.]:[PERIODO Imp.]],CO$9)</f>
        <v>0</v>
      </c>
      <c r="CP868" s="693">
        <f>SUMIFS(Imput[[Importe Neto]:[Importe Neto]],Imput[[C. Imp.]:[C. Imp.]],$D868,Imput[[PERIODO Imp.]:[PERIODO Imp.]],CP$9)</f>
        <v>0</v>
      </c>
      <c r="CQ868" s="693">
        <f>SUMIFS(Imput[[Importe Neto]:[Importe Neto]],Imput[[C. Imp.]:[C. Imp.]],$D868,Imput[[PERIODO Imp.]:[PERIODO Imp.]],CQ$9)</f>
        <v>0</v>
      </c>
      <c r="CR868" s="693">
        <f>SUMIFS(Imput[[Importe Neto]:[Importe Neto]],Imput[[C. Imp.]:[C. Imp.]],$D868,Imput[[PERIODO Imp.]:[PERIODO Imp.]],CR$9)</f>
        <v>0</v>
      </c>
      <c r="CS868" s="693">
        <f>SUMIFS(Imput[[Importe Neto]:[Importe Neto]],Imput[[C. Imp.]:[C. Imp.]],$D868,Imput[[PERIODO Imp.]:[PERIODO Imp.]],CS$9)</f>
        <v>0</v>
      </c>
      <c r="CT868" s="693">
        <f>SUMIFS(Imput[[Importe Neto]:[Importe Neto]],Imput[[C. Imp.]:[C. Imp.]],$D868,Imput[[PERIODO Imp.]:[PERIODO Imp.]],CT$9)</f>
        <v>0</v>
      </c>
      <c r="CU868" s="693">
        <f>SUMIFS(Imput[[Importe Neto]:[Importe Neto]],Imput[[C. Imp.]:[C. Imp.]],$D868,Imput[[PERIODO Imp.]:[PERIODO Imp.]],CU$9)</f>
        <v>0</v>
      </c>
      <c r="CV868" s="693">
        <f>SUMIFS(Imput[[Importe Neto]:[Importe Neto]],Imput[[C. Imp.]:[C. Imp.]],$D868,Imput[[PERIODO Imp.]:[PERIODO Imp.]],CV$9)</f>
        <v>0</v>
      </c>
      <c r="CW868" s="693">
        <f>SUMIFS(Imput[[Importe Neto]:[Importe Neto]],Imput[[C. Imp.]:[C. Imp.]],$D868,Imput[[PERIODO Imp.]:[PERIODO Imp.]],CW$9)</f>
        <v>0</v>
      </c>
      <c r="CX868" s="693">
        <f>SUMIFS(Imput[[Importe Neto]:[Importe Neto]],Imput[[C. Imp.]:[C. Imp.]],$D868,Imput[[PERIODO Imp.]:[PERIODO Imp.]],CX$9)</f>
        <v>0</v>
      </c>
      <c r="CY868" s="693">
        <f>SUMIFS(Imput[[Importe Neto]:[Importe Neto]],Imput[[C. Imp.]:[C. Imp.]],$D868,Imput[[PERIODO Imp.]:[PERIODO Imp.]],CY$9)</f>
        <v>0</v>
      </c>
      <c r="CZ868" s="693">
        <f>SUMIFS(Imput[[Importe Neto]:[Importe Neto]],Imput[[C. Imp.]:[C. Imp.]],$D868,Imput[[PERIODO Imp.]:[PERIODO Imp.]],CZ$9)</f>
        <v>0</v>
      </c>
      <c r="DA868" s="693">
        <f>SUMIFS(Imput[[Importe Neto]:[Importe Neto]],Imput[[C. Imp.]:[C. Imp.]],$D868,Imput[[PERIODO Imp.]:[PERIODO Imp.]],DA$9)</f>
        <v>0</v>
      </c>
      <c r="DB868" s="693">
        <f>SUMIFS(Imput[[Importe Neto]:[Importe Neto]],Imput[[C. Imp.]:[C. Imp.]],$D868,Imput[[PERIODO Imp.]:[PERIODO Imp.]],DB$9)</f>
        <v>0</v>
      </c>
      <c r="DC868" s="693">
        <f>SUMIFS(Imput[[Importe Neto]:[Importe Neto]],Imput[[C. Imp.]:[C. Imp.]],$D868,Imput[[PERIODO Imp.]:[PERIODO Imp.]],DC$9)</f>
        <v>0</v>
      </c>
      <c r="DD868" s="693">
        <f>SUMIFS(Imput[[Importe Neto]:[Importe Neto]],Imput[[C. Imp.]:[C. Imp.]],$D868,Imput[[PERIODO Imp.]:[PERIODO Imp.]],DD$9)</f>
        <v>0</v>
      </c>
      <c r="DE868" s="693">
        <f>SUMIFS(Imput[[Importe Neto]:[Importe Neto]],Imput[[C. Imp.]:[C. Imp.]],$D868,Imput[[PERIODO Imp.]:[PERIODO Imp.]],DE$9)</f>
        <v>0</v>
      </c>
      <c r="DF868" s="693">
        <f>SUMIFS(Imput[[Importe Neto]:[Importe Neto]],Imput[[C. Imp.]:[C. Imp.]],$D868,Imput[[PERIODO Imp.]:[PERIODO Imp.]],DF$9)</f>
        <v>0</v>
      </c>
      <c r="DG868" s="693">
        <f>SUMIFS(Imput[[Importe Neto]:[Importe Neto]],Imput[[C. Imp.]:[C. Imp.]],$D868,Imput[[PERIODO Imp.]:[PERIODO Imp.]],DG$9)</f>
        <v>0</v>
      </c>
      <c r="DH868" s="694">
        <f>SUMIFS(Imput[[Importe Neto]:[Importe Neto]],Imput[[C. Imp.]:[C. Imp.]],$D868,Imput[[PERIODO Imp.]:[PERIODO Imp.]],DH$9)</f>
        <v>0</v>
      </c>
    </row>
    <row r="869" spans="1:112" s="649" customFormat="1" hidden="1" outlineLevel="1" x14ac:dyDescent="0.3">
      <c r="A869" s="652" t="str">
        <f t="shared" si="290"/>
        <v/>
      </c>
      <c r="B869" s="652"/>
      <c r="C869" s="685"/>
      <c r="D869" s="686" t="s">
        <v>2845</v>
      </c>
      <c r="E869" s="686"/>
      <c r="F869" s="720"/>
      <c r="G869" s="688"/>
      <c r="H869" s="689"/>
      <c r="I869" s="851" t="str">
        <f t="shared" si="295"/>
        <v/>
      </c>
      <c r="J869" s="850" t="str">
        <f t="shared" si="292"/>
        <v/>
      </c>
      <c r="K869" s="667"/>
      <c r="L869" s="858"/>
      <c r="M869" s="859"/>
      <c r="N869" s="859"/>
      <c r="O869" s="859"/>
      <c r="P869" s="859"/>
      <c r="Q869" s="859"/>
      <c r="R869" s="859"/>
      <c r="S869" s="859"/>
      <c r="T869" s="859"/>
      <c r="U869" s="859"/>
      <c r="V869" s="859"/>
      <c r="W869" s="859"/>
      <c r="X869" s="859"/>
      <c r="Y869" s="859"/>
      <c r="Z869" s="860"/>
      <c r="AA869" s="860"/>
      <c r="AB869" s="860"/>
      <c r="AC869" s="860"/>
      <c r="AD869" s="860"/>
      <c r="AE869" s="860"/>
      <c r="AF869" s="860"/>
      <c r="AG869" s="860"/>
      <c r="AH869" s="860"/>
      <c r="AI869" s="860"/>
      <c r="AJ869" s="860"/>
      <c r="AK869" s="860"/>
      <c r="AL869" s="860"/>
      <c r="AM869" s="860"/>
      <c r="AN869" s="860"/>
      <c r="AO869" s="860"/>
      <c r="AP869" s="860"/>
      <c r="AQ869" s="860"/>
      <c r="AR869" s="860"/>
      <c r="AS869" s="860"/>
      <c r="AT869" s="860"/>
      <c r="AU869" s="860"/>
      <c r="AV869" s="860"/>
      <c r="AW869" s="860"/>
      <c r="AX869" s="860"/>
      <c r="AY869" s="860"/>
      <c r="AZ869" s="860"/>
      <c r="BA869" s="860"/>
      <c r="BB869" s="860"/>
      <c r="BC869" s="860"/>
      <c r="BD869" s="860"/>
      <c r="BE869" s="860"/>
      <c r="BF869" s="860"/>
      <c r="BG869" s="860"/>
      <c r="BH869" s="668"/>
      <c r="BI869" s="654"/>
      <c r="BJ869" s="690">
        <f t="shared" si="296"/>
        <v>0</v>
      </c>
      <c r="BK869" s="691">
        <f t="shared" si="297"/>
        <v>0</v>
      </c>
      <c r="BL869" s="654"/>
      <c r="BM869" s="692">
        <f>SUMIFS(Imput[[Importe Neto]:[Importe Neto]],Imput[[C. Imp.]:[C. Imp.]],$D869,Imput[[PERIODO Imp.]:[PERIODO Imp.]],BM$9)</f>
        <v>0</v>
      </c>
      <c r="BN869" s="693">
        <f>SUMIFS(Imput[[Importe Neto]:[Importe Neto]],Imput[[C. Imp.]:[C. Imp.]],$D869,Imput[[PERIODO Imp.]:[PERIODO Imp.]],BN$9)</f>
        <v>0</v>
      </c>
      <c r="BO869" s="693">
        <f>SUMIFS(Imput[[Importe Neto]:[Importe Neto]],Imput[[C. Imp.]:[C. Imp.]],$D869,Imput[[PERIODO Imp.]:[PERIODO Imp.]],BO$9)</f>
        <v>0</v>
      </c>
      <c r="BP869" s="693">
        <f>SUMIFS(Imput[[Importe Neto]:[Importe Neto]],Imput[[C. Imp.]:[C. Imp.]],$D869,Imput[[PERIODO Imp.]:[PERIODO Imp.]],BP$9)</f>
        <v>0</v>
      </c>
      <c r="BQ869" s="693">
        <f>SUMIFS(Imput[[Importe Neto]:[Importe Neto]],Imput[[C. Imp.]:[C. Imp.]],$D869,Imput[[PERIODO Imp.]:[PERIODO Imp.]],BQ$9)</f>
        <v>0</v>
      </c>
      <c r="BR869" s="693">
        <f>SUMIFS(Imput[[Importe Neto]:[Importe Neto]],Imput[[C. Imp.]:[C. Imp.]],$D869,Imput[[PERIODO Imp.]:[PERIODO Imp.]],BR$9)</f>
        <v>0</v>
      </c>
      <c r="BS869" s="693">
        <f>SUMIFS(Imput[[Importe Neto]:[Importe Neto]],Imput[[C. Imp.]:[C. Imp.]],$D869,Imput[[PERIODO Imp.]:[PERIODO Imp.]],BS$9)</f>
        <v>0</v>
      </c>
      <c r="BT869" s="693">
        <f>SUMIFS(Imput[[Importe Neto]:[Importe Neto]],Imput[[C. Imp.]:[C. Imp.]],$D869,Imput[[PERIODO Imp.]:[PERIODO Imp.]],BT$9)</f>
        <v>0</v>
      </c>
      <c r="BU869" s="693">
        <f>SUMIFS(Imput[[Importe Neto]:[Importe Neto]],Imput[[C. Imp.]:[C. Imp.]],$D869,Imput[[PERIODO Imp.]:[PERIODO Imp.]],BU$9)</f>
        <v>0</v>
      </c>
      <c r="BV869" s="693">
        <f>SUMIFS(Imput[[Importe Neto]:[Importe Neto]],Imput[[C. Imp.]:[C. Imp.]],$D869,Imput[[PERIODO Imp.]:[PERIODO Imp.]],BV$9)</f>
        <v>0</v>
      </c>
      <c r="BW869" s="693">
        <f>SUMIFS(Imput[[Importe Neto]:[Importe Neto]],Imput[[C. Imp.]:[C. Imp.]],$D869,Imput[[PERIODO Imp.]:[PERIODO Imp.]],BW$9)</f>
        <v>0</v>
      </c>
      <c r="BX869" s="693">
        <f>SUMIFS(Imput[[Importe Neto]:[Importe Neto]],Imput[[C. Imp.]:[C. Imp.]],$D869,Imput[[PERIODO Imp.]:[PERIODO Imp.]],BX$9)</f>
        <v>0</v>
      </c>
      <c r="BY869" s="693">
        <f>SUMIFS(Imput[[Importe Neto]:[Importe Neto]],Imput[[C. Imp.]:[C. Imp.]],$D869,Imput[[PERIODO Imp.]:[PERIODO Imp.]],BY$9)</f>
        <v>0</v>
      </c>
      <c r="BZ869" s="693">
        <f>SUMIFS(Imput[[Importe Neto]:[Importe Neto]],Imput[[C. Imp.]:[C. Imp.]],$D869,Imput[[PERIODO Imp.]:[PERIODO Imp.]],BZ$9)</f>
        <v>0</v>
      </c>
      <c r="CA869" s="693">
        <f>SUMIFS(Imput[[Importe Neto]:[Importe Neto]],Imput[[C. Imp.]:[C. Imp.]],$D869,Imput[[PERIODO Imp.]:[PERIODO Imp.]],CA$9)</f>
        <v>0</v>
      </c>
      <c r="CB869" s="693">
        <f>SUMIFS(Imput[[Importe Neto]:[Importe Neto]],Imput[[C. Imp.]:[C. Imp.]],$D869,Imput[[PERIODO Imp.]:[PERIODO Imp.]],CB$9)</f>
        <v>0</v>
      </c>
      <c r="CC869" s="693">
        <f>SUMIFS(Imput[[Importe Neto]:[Importe Neto]],Imput[[C. Imp.]:[C. Imp.]],$D869,Imput[[PERIODO Imp.]:[PERIODO Imp.]],CC$9)</f>
        <v>0</v>
      </c>
      <c r="CD869" s="693">
        <f>SUMIFS(Imput[[Importe Neto]:[Importe Neto]],Imput[[C. Imp.]:[C. Imp.]],$D869,Imput[[PERIODO Imp.]:[PERIODO Imp.]],CD$9)</f>
        <v>0</v>
      </c>
      <c r="CE869" s="693">
        <f>SUMIFS(Imput[[Importe Neto]:[Importe Neto]],Imput[[C. Imp.]:[C. Imp.]],$D869,Imput[[PERIODO Imp.]:[PERIODO Imp.]],CE$9)</f>
        <v>0</v>
      </c>
      <c r="CF869" s="693">
        <f>SUMIFS(Imput[[Importe Neto]:[Importe Neto]],Imput[[C. Imp.]:[C. Imp.]],$D869,Imput[[PERIODO Imp.]:[PERIODO Imp.]],CF$9)</f>
        <v>0</v>
      </c>
      <c r="CG869" s="693">
        <f>SUMIFS(Imput[[Importe Neto]:[Importe Neto]],Imput[[C. Imp.]:[C. Imp.]],$D869,Imput[[PERIODO Imp.]:[PERIODO Imp.]],CG$9)</f>
        <v>0</v>
      </c>
      <c r="CH869" s="693">
        <f>SUMIFS(Imput[[Importe Neto]:[Importe Neto]],Imput[[C. Imp.]:[C. Imp.]],$D869,Imput[[PERIODO Imp.]:[PERIODO Imp.]],CH$9)</f>
        <v>0</v>
      </c>
      <c r="CI869" s="693">
        <f>SUMIFS(Imput[[Importe Neto]:[Importe Neto]],Imput[[C. Imp.]:[C. Imp.]],$D869,Imput[[PERIODO Imp.]:[PERIODO Imp.]],CI$9)</f>
        <v>0</v>
      </c>
      <c r="CJ869" s="693">
        <f>SUMIFS(Imput[[Importe Neto]:[Importe Neto]],Imput[[C. Imp.]:[C. Imp.]],$D869,Imput[[PERIODO Imp.]:[PERIODO Imp.]],CJ$9)</f>
        <v>0</v>
      </c>
      <c r="CK869" s="693">
        <f>SUMIFS(Imput[[Importe Neto]:[Importe Neto]],Imput[[C. Imp.]:[C. Imp.]],$D869,Imput[[PERIODO Imp.]:[PERIODO Imp.]],CK$9)</f>
        <v>0</v>
      </c>
      <c r="CL869" s="693">
        <f>SUMIFS(Imput[[Importe Neto]:[Importe Neto]],Imput[[C. Imp.]:[C. Imp.]],$D869,Imput[[PERIODO Imp.]:[PERIODO Imp.]],CL$9)</f>
        <v>0</v>
      </c>
      <c r="CM869" s="693">
        <f>SUMIFS(Imput[[Importe Neto]:[Importe Neto]],Imput[[C. Imp.]:[C. Imp.]],$D869,Imput[[PERIODO Imp.]:[PERIODO Imp.]],CM$9)</f>
        <v>0</v>
      </c>
      <c r="CN869" s="693">
        <f>SUMIFS(Imput[[Importe Neto]:[Importe Neto]],Imput[[C. Imp.]:[C. Imp.]],$D869,Imput[[PERIODO Imp.]:[PERIODO Imp.]],CN$9)</f>
        <v>0</v>
      </c>
      <c r="CO869" s="693">
        <f>SUMIFS(Imput[[Importe Neto]:[Importe Neto]],Imput[[C. Imp.]:[C. Imp.]],$D869,Imput[[PERIODO Imp.]:[PERIODO Imp.]],CO$9)</f>
        <v>0</v>
      </c>
      <c r="CP869" s="693">
        <f>SUMIFS(Imput[[Importe Neto]:[Importe Neto]],Imput[[C. Imp.]:[C. Imp.]],$D869,Imput[[PERIODO Imp.]:[PERIODO Imp.]],CP$9)</f>
        <v>0</v>
      </c>
      <c r="CQ869" s="693">
        <f>SUMIFS(Imput[[Importe Neto]:[Importe Neto]],Imput[[C. Imp.]:[C. Imp.]],$D869,Imput[[PERIODO Imp.]:[PERIODO Imp.]],CQ$9)</f>
        <v>0</v>
      </c>
      <c r="CR869" s="693">
        <f>SUMIFS(Imput[[Importe Neto]:[Importe Neto]],Imput[[C. Imp.]:[C. Imp.]],$D869,Imput[[PERIODO Imp.]:[PERIODO Imp.]],CR$9)</f>
        <v>0</v>
      </c>
      <c r="CS869" s="693">
        <f>SUMIFS(Imput[[Importe Neto]:[Importe Neto]],Imput[[C. Imp.]:[C. Imp.]],$D869,Imput[[PERIODO Imp.]:[PERIODO Imp.]],CS$9)</f>
        <v>0</v>
      </c>
      <c r="CT869" s="693">
        <f>SUMIFS(Imput[[Importe Neto]:[Importe Neto]],Imput[[C. Imp.]:[C. Imp.]],$D869,Imput[[PERIODO Imp.]:[PERIODO Imp.]],CT$9)</f>
        <v>0</v>
      </c>
      <c r="CU869" s="693">
        <f>SUMIFS(Imput[[Importe Neto]:[Importe Neto]],Imput[[C. Imp.]:[C. Imp.]],$D869,Imput[[PERIODO Imp.]:[PERIODO Imp.]],CU$9)</f>
        <v>0</v>
      </c>
      <c r="CV869" s="693">
        <f>SUMIFS(Imput[[Importe Neto]:[Importe Neto]],Imput[[C. Imp.]:[C. Imp.]],$D869,Imput[[PERIODO Imp.]:[PERIODO Imp.]],CV$9)</f>
        <v>0</v>
      </c>
      <c r="CW869" s="693">
        <f>SUMIFS(Imput[[Importe Neto]:[Importe Neto]],Imput[[C. Imp.]:[C. Imp.]],$D869,Imput[[PERIODO Imp.]:[PERIODO Imp.]],CW$9)</f>
        <v>0</v>
      </c>
      <c r="CX869" s="693">
        <f>SUMIFS(Imput[[Importe Neto]:[Importe Neto]],Imput[[C. Imp.]:[C. Imp.]],$D869,Imput[[PERIODO Imp.]:[PERIODO Imp.]],CX$9)</f>
        <v>0</v>
      </c>
      <c r="CY869" s="693">
        <f>SUMIFS(Imput[[Importe Neto]:[Importe Neto]],Imput[[C. Imp.]:[C. Imp.]],$D869,Imput[[PERIODO Imp.]:[PERIODO Imp.]],CY$9)</f>
        <v>0</v>
      </c>
      <c r="CZ869" s="693">
        <f>SUMIFS(Imput[[Importe Neto]:[Importe Neto]],Imput[[C. Imp.]:[C. Imp.]],$D869,Imput[[PERIODO Imp.]:[PERIODO Imp.]],CZ$9)</f>
        <v>0</v>
      </c>
      <c r="DA869" s="693">
        <f>SUMIFS(Imput[[Importe Neto]:[Importe Neto]],Imput[[C. Imp.]:[C. Imp.]],$D869,Imput[[PERIODO Imp.]:[PERIODO Imp.]],DA$9)</f>
        <v>0</v>
      </c>
      <c r="DB869" s="693">
        <f>SUMIFS(Imput[[Importe Neto]:[Importe Neto]],Imput[[C. Imp.]:[C. Imp.]],$D869,Imput[[PERIODO Imp.]:[PERIODO Imp.]],DB$9)</f>
        <v>0</v>
      </c>
      <c r="DC869" s="693">
        <f>SUMIFS(Imput[[Importe Neto]:[Importe Neto]],Imput[[C. Imp.]:[C. Imp.]],$D869,Imput[[PERIODO Imp.]:[PERIODO Imp.]],DC$9)</f>
        <v>0</v>
      </c>
      <c r="DD869" s="693">
        <f>SUMIFS(Imput[[Importe Neto]:[Importe Neto]],Imput[[C. Imp.]:[C. Imp.]],$D869,Imput[[PERIODO Imp.]:[PERIODO Imp.]],DD$9)</f>
        <v>0</v>
      </c>
      <c r="DE869" s="693">
        <f>SUMIFS(Imput[[Importe Neto]:[Importe Neto]],Imput[[C. Imp.]:[C. Imp.]],$D869,Imput[[PERIODO Imp.]:[PERIODO Imp.]],DE$9)</f>
        <v>0</v>
      </c>
      <c r="DF869" s="693">
        <f>SUMIFS(Imput[[Importe Neto]:[Importe Neto]],Imput[[C. Imp.]:[C. Imp.]],$D869,Imput[[PERIODO Imp.]:[PERIODO Imp.]],DF$9)</f>
        <v>0</v>
      </c>
      <c r="DG869" s="693">
        <f>SUMIFS(Imput[[Importe Neto]:[Importe Neto]],Imput[[C. Imp.]:[C. Imp.]],$D869,Imput[[PERIODO Imp.]:[PERIODO Imp.]],DG$9)</f>
        <v>0</v>
      </c>
      <c r="DH869" s="694">
        <f>SUMIFS(Imput[[Importe Neto]:[Importe Neto]],Imput[[C. Imp.]:[C. Imp.]],$D869,Imput[[PERIODO Imp.]:[PERIODO Imp.]],DH$9)</f>
        <v>0</v>
      </c>
    </row>
    <row r="870" spans="1:112" s="649" customFormat="1" hidden="1" outlineLevel="1" x14ac:dyDescent="0.3">
      <c r="A870" s="652" t="str">
        <f t="shared" si="290"/>
        <v/>
      </c>
      <c r="B870" s="652"/>
      <c r="C870" s="685"/>
      <c r="D870" s="686" t="s">
        <v>2846</v>
      </c>
      <c r="E870" s="686"/>
      <c r="F870" s="720"/>
      <c r="G870" s="688"/>
      <c r="H870" s="689"/>
      <c r="I870" s="851" t="str">
        <f t="shared" si="295"/>
        <v/>
      </c>
      <c r="J870" s="850" t="str">
        <f t="shared" si="292"/>
        <v/>
      </c>
      <c r="K870" s="678"/>
      <c r="L870" s="858"/>
      <c r="M870" s="859"/>
      <c r="N870" s="859"/>
      <c r="O870" s="859"/>
      <c r="P870" s="859"/>
      <c r="Q870" s="859"/>
      <c r="R870" s="859"/>
      <c r="S870" s="859"/>
      <c r="T870" s="859"/>
      <c r="U870" s="859"/>
      <c r="V870" s="859"/>
      <c r="W870" s="859"/>
      <c r="X870" s="859"/>
      <c r="Y870" s="859"/>
      <c r="Z870" s="860"/>
      <c r="AA870" s="860"/>
      <c r="AB870" s="860"/>
      <c r="AC870" s="860"/>
      <c r="AD870" s="860"/>
      <c r="AE870" s="860"/>
      <c r="AF870" s="860"/>
      <c r="AG870" s="860"/>
      <c r="AH870" s="860"/>
      <c r="AI870" s="860"/>
      <c r="AJ870" s="860"/>
      <c r="AK870" s="860"/>
      <c r="AL870" s="860"/>
      <c r="AM870" s="860"/>
      <c r="AN870" s="860"/>
      <c r="AO870" s="860"/>
      <c r="AP870" s="860"/>
      <c r="AQ870" s="860"/>
      <c r="AR870" s="860"/>
      <c r="AS870" s="860"/>
      <c r="AT870" s="860"/>
      <c r="AU870" s="860"/>
      <c r="AV870" s="860"/>
      <c r="AW870" s="860"/>
      <c r="AX870" s="860"/>
      <c r="AY870" s="860"/>
      <c r="AZ870" s="860"/>
      <c r="BA870" s="860"/>
      <c r="BB870" s="860"/>
      <c r="BC870" s="860"/>
      <c r="BD870" s="860"/>
      <c r="BE870" s="860"/>
      <c r="BF870" s="860"/>
      <c r="BG870" s="860"/>
      <c r="BH870" s="668"/>
      <c r="BI870" s="654"/>
      <c r="BJ870" s="690">
        <f t="shared" si="296"/>
        <v>0</v>
      </c>
      <c r="BK870" s="691">
        <f t="shared" si="297"/>
        <v>0</v>
      </c>
      <c r="BL870" s="654"/>
      <c r="BM870" s="692">
        <f>SUMIFS(Imput[[Importe Neto]:[Importe Neto]],Imput[[C. Imp.]:[C. Imp.]],$D870,Imput[[PERIODO Imp.]:[PERIODO Imp.]],BM$9)</f>
        <v>0</v>
      </c>
      <c r="BN870" s="693">
        <f>SUMIFS(Imput[[Importe Neto]:[Importe Neto]],Imput[[C. Imp.]:[C. Imp.]],$D870,Imput[[PERIODO Imp.]:[PERIODO Imp.]],BN$9)</f>
        <v>0</v>
      </c>
      <c r="BO870" s="693">
        <f>SUMIFS(Imput[[Importe Neto]:[Importe Neto]],Imput[[C. Imp.]:[C. Imp.]],$D870,Imput[[PERIODO Imp.]:[PERIODO Imp.]],BO$9)</f>
        <v>0</v>
      </c>
      <c r="BP870" s="693">
        <f>SUMIFS(Imput[[Importe Neto]:[Importe Neto]],Imput[[C. Imp.]:[C. Imp.]],$D870,Imput[[PERIODO Imp.]:[PERIODO Imp.]],BP$9)</f>
        <v>0</v>
      </c>
      <c r="BQ870" s="693">
        <f>SUMIFS(Imput[[Importe Neto]:[Importe Neto]],Imput[[C. Imp.]:[C. Imp.]],$D870,Imput[[PERIODO Imp.]:[PERIODO Imp.]],BQ$9)</f>
        <v>0</v>
      </c>
      <c r="BR870" s="693">
        <f>SUMIFS(Imput[[Importe Neto]:[Importe Neto]],Imput[[C. Imp.]:[C. Imp.]],$D870,Imput[[PERIODO Imp.]:[PERIODO Imp.]],BR$9)</f>
        <v>0</v>
      </c>
      <c r="BS870" s="693">
        <f>SUMIFS(Imput[[Importe Neto]:[Importe Neto]],Imput[[C. Imp.]:[C. Imp.]],$D870,Imput[[PERIODO Imp.]:[PERIODO Imp.]],BS$9)</f>
        <v>0</v>
      </c>
      <c r="BT870" s="693">
        <f>SUMIFS(Imput[[Importe Neto]:[Importe Neto]],Imput[[C. Imp.]:[C. Imp.]],$D870,Imput[[PERIODO Imp.]:[PERIODO Imp.]],BT$9)</f>
        <v>0</v>
      </c>
      <c r="BU870" s="693">
        <f>SUMIFS(Imput[[Importe Neto]:[Importe Neto]],Imput[[C. Imp.]:[C. Imp.]],$D870,Imput[[PERIODO Imp.]:[PERIODO Imp.]],BU$9)</f>
        <v>0</v>
      </c>
      <c r="BV870" s="693">
        <f>SUMIFS(Imput[[Importe Neto]:[Importe Neto]],Imput[[C. Imp.]:[C. Imp.]],$D870,Imput[[PERIODO Imp.]:[PERIODO Imp.]],BV$9)</f>
        <v>0</v>
      </c>
      <c r="BW870" s="693">
        <f>SUMIFS(Imput[[Importe Neto]:[Importe Neto]],Imput[[C. Imp.]:[C. Imp.]],$D870,Imput[[PERIODO Imp.]:[PERIODO Imp.]],BW$9)</f>
        <v>0</v>
      </c>
      <c r="BX870" s="693">
        <f>SUMIFS(Imput[[Importe Neto]:[Importe Neto]],Imput[[C. Imp.]:[C. Imp.]],$D870,Imput[[PERIODO Imp.]:[PERIODO Imp.]],BX$9)</f>
        <v>0</v>
      </c>
      <c r="BY870" s="693">
        <f>SUMIFS(Imput[[Importe Neto]:[Importe Neto]],Imput[[C. Imp.]:[C. Imp.]],$D870,Imput[[PERIODO Imp.]:[PERIODO Imp.]],BY$9)</f>
        <v>0</v>
      </c>
      <c r="BZ870" s="693">
        <f>SUMIFS(Imput[[Importe Neto]:[Importe Neto]],Imput[[C. Imp.]:[C. Imp.]],$D870,Imput[[PERIODO Imp.]:[PERIODO Imp.]],BZ$9)</f>
        <v>0</v>
      </c>
      <c r="CA870" s="693">
        <f>SUMIFS(Imput[[Importe Neto]:[Importe Neto]],Imput[[C. Imp.]:[C. Imp.]],$D870,Imput[[PERIODO Imp.]:[PERIODO Imp.]],CA$9)</f>
        <v>0</v>
      </c>
      <c r="CB870" s="693">
        <f>SUMIFS(Imput[[Importe Neto]:[Importe Neto]],Imput[[C. Imp.]:[C. Imp.]],$D870,Imput[[PERIODO Imp.]:[PERIODO Imp.]],CB$9)</f>
        <v>0</v>
      </c>
      <c r="CC870" s="693">
        <f>SUMIFS(Imput[[Importe Neto]:[Importe Neto]],Imput[[C. Imp.]:[C. Imp.]],$D870,Imput[[PERIODO Imp.]:[PERIODO Imp.]],CC$9)</f>
        <v>0</v>
      </c>
      <c r="CD870" s="693">
        <f>SUMIFS(Imput[[Importe Neto]:[Importe Neto]],Imput[[C. Imp.]:[C. Imp.]],$D870,Imput[[PERIODO Imp.]:[PERIODO Imp.]],CD$9)</f>
        <v>0</v>
      </c>
      <c r="CE870" s="693">
        <f>SUMIFS(Imput[[Importe Neto]:[Importe Neto]],Imput[[C. Imp.]:[C. Imp.]],$D870,Imput[[PERIODO Imp.]:[PERIODO Imp.]],CE$9)</f>
        <v>0</v>
      </c>
      <c r="CF870" s="693">
        <f>SUMIFS(Imput[[Importe Neto]:[Importe Neto]],Imput[[C. Imp.]:[C. Imp.]],$D870,Imput[[PERIODO Imp.]:[PERIODO Imp.]],CF$9)</f>
        <v>0</v>
      </c>
      <c r="CG870" s="693">
        <f>SUMIFS(Imput[[Importe Neto]:[Importe Neto]],Imput[[C. Imp.]:[C. Imp.]],$D870,Imput[[PERIODO Imp.]:[PERIODO Imp.]],CG$9)</f>
        <v>0</v>
      </c>
      <c r="CH870" s="693">
        <f>SUMIFS(Imput[[Importe Neto]:[Importe Neto]],Imput[[C. Imp.]:[C. Imp.]],$D870,Imput[[PERIODO Imp.]:[PERIODO Imp.]],CH$9)</f>
        <v>0</v>
      </c>
      <c r="CI870" s="693">
        <f>SUMIFS(Imput[[Importe Neto]:[Importe Neto]],Imput[[C. Imp.]:[C. Imp.]],$D870,Imput[[PERIODO Imp.]:[PERIODO Imp.]],CI$9)</f>
        <v>0</v>
      </c>
      <c r="CJ870" s="693">
        <f>SUMIFS(Imput[[Importe Neto]:[Importe Neto]],Imput[[C. Imp.]:[C. Imp.]],$D870,Imput[[PERIODO Imp.]:[PERIODO Imp.]],CJ$9)</f>
        <v>0</v>
      </c>
      <c r="CK870" s="693">
        <f>SUMIFS(Imput[[Importe Neto]:[Importe Neto]],Imput[[C. Imp.]:[C. Imp.]],$D870,Imput[[PERIODO Imp.]:[PERIODO Imp.]],CK$9)</f>
        <v>0</v>
      </c>
      <c r="CL870" s="693">
        <f>SUMIFS(Imput[[Importe Neto]:[Importe Neto]],Imput[[C. Imp.]:[C. Imp.]],$D870,Imput[[PERIODO Imp.]:[PERIODO Imp.]],CL$9)</f>
        <v>0</v>
      </c>
      <c r="CM870" s="693">
        <f>SUMIFS(Imput[[Importe Neto]:[Importe Neto]],Imput[[C. Imp.]:[C. Imp.]],$D870,Imput[[PERIODO Imp.]:[PERIODO Imp.]],CM$9)</f>
        <v>0</v>
      </c>
      <c r="CN870" s="693">
        <f>SUMIFS(Imput[[Importe Neto]:[Importe Neto]],Imput[[C. Imp.]:[C. Imp.]],$D870,Imput[[PERIODO Imp.]:[PERIODO Imp.]],CN$9)</f>
        <v>0</v>
      </c>
      <c r="CO870" s="693">
        <f>SUMIFS(Imput[[Importe Neto]:[Importe Neto]],Imput[[C. Imp.]:[C. Imp.]],$D870,Imput[[PERIODO Imp.]:[PERIODO Imp.]],CO$9)</f>
        <v>0</v>
      </c>
      <c r="CP870" s="693">
        <f>SUMIFS(Imput[[Importe Neto]:[Importe Neto]],Imput[[C. Imp.]:[C. Imp.]],$D870,Imput[[PERIODO Imp.]:[PERIODO Imp.]],CP$9)</f>
        <v>0</v>
      </c>
      <c r="CQ870" s="693">
        <f>SUMIFS(Imput[[Importe Neto]:[Importe Neto]],Imput[[C. Imp.]:[C. Imp.]],$D870,Imput[[PERIODO Imp.]:[PERIODO Imp.]],CQ$9)</f>
        <v>0</v>
      </c>
      <c r="CR870" s="693">
        <f>SUMIFS(Imput[[Importe Neto]:[Importe Neto]],Imput[[C. Imp.]:[C. Imp.]],$D870,Imput[[PERIODO Imp.]:[PERIODO Imp.]],CR$9)</f>
        <v>0</v>
      </c>
      <c r="CS870" s="693">
        <f>SUMIFS(Imput[[Importe Neto]:[Importe Neto]],Imput[[C. Imp.]:[C. Imp.]],$D870,Imput[[PERIODO Imp.]:[PERIODO Imp.]],CS$9)</f>
        <v>0</v>
      </c>
      <c r="CT870" s="693">
        <f>SUMIFS(Imput[[Importe Neto]:[Importe Neto]],Imput[[C. Imp.]:[C. Imp.]],$D870,Imput[[PERIODO Imp.]:[PERIODO Imp.]],CT$9)</f>
        <v>0</v>
      </c>
      <c r="CU870" s="693">
        <f>SUMIFS(Imput[[Importe Neto]:[Importe Neto]],Imput[[C. Imp.]:[C. Imp.]],$D870,Imput[[PERIODO Imp.]:[PERIODO Imp.]],CU$9)</f>
        <v>0</v>
      </c>
      <c r="CV870" s="693">
        <f>SUMIFS(Imput[[Importe Neto]:[Importe Neto]],Imput[[C. Imp.]:[C. Imp.]],$D870,Imput[[PERIODO Imp.]:[PERIODO Imp.]],CV$9)</f>
        <v>0</v>
      </c>
      <c r="CW870" s="693">
        <f>SUMIFS(Imput[[Importe Neto]:[Importe Neto]],Imput[[C. Imp.]:[C. Imp.]],$D870,Imput[[PERIODO Imp.]:[PERIODO Imp.]],CW$9)</f>
        <v>0</v>
      </c>
      <c r="CX870" s="693">
        <f>SUMIFS(Imput[[Importe Neto]:[Importe Neto]],Imput[[C. Imp.]:[C. Imp.]],$D870,Imput[[PERIODO Imp.]:[PERIODO Imp.]],CX$9)</f>
        <v>0</v>
      </c>
      <c r="CY870" s="693">
        <f>SUMIFS(Imput[[Importe Neto]:[Importe Neto]],Imput[[C. Imp.]:[C. Imp.]],$D870,Imput[[PERIODO Imp.]:[PERIODO Imp.]],CY$9)</f>
        <v>0</v>
      </c>
      <c r="CZ870" s="693">
        <f>SUMIFS(Imput[[Importe Neto]:[Importe Neto]],Imput[[C. Imp.]:[C. Imp.]],$D870,Imput[[PERIODO Imp.]:[PERIODO Imp.]],CZ$9)</f>
        <v>0</v>
      </c>
      <c r="DA870" s="693">
        <f>SUMIFS(Imput[[Importe Neto]:[Importe Neto]],Imput[[C. Imp.]:[C. Imp.]],$D870,Imput[[PERIODO Imp.]:[PERIODO Imp.]],DA$9)</f>
        <v>0</v>
      </c>
      <c r="DB870" s="693">
        <f>SUMIFS(Imput[[Importe Neto]:[Importe Neto]],Imput[[C. Imp.]:[C. Imp.]],$D870,Imput[[PERIODO Imp.]:[PERIODO Imp.]],DB$9)</f>
        <v>0</v>
      </c>
      <c r="DC870" s="693">
        <f>SUMIFS(Imput[[Importe Neto]:[Importe Neto]],Imput[[C. Imp.]:[C. Imp.]],$D870,Imput[[PERIODO Imp.]:[PERIODO Imp.]],DC$9)</f>
        <v>0</v>
      </c>
      <c r="DD870" s="693">
        <f>SUMIFS(Imput[[Importe Neto]:[Importe Neto]],Imput[[C. Imp.]:[C. Imp.]],$D870,Imput[[PERIODO Imp.]:[PERIODO Imp.]],DD$9)</f>
        <v>0</v>
      </c>
      <c r="DE870" s="693">
        <f>SUMIFS(Imput[[Importe Neto]:[Importe Neto]],Imput[[C. Imp.]:[C. Imp.]],$D870,Imput[[PERIODO Imp.]:[PERIODO Imp.]],DE$9)</f>
        <v>0</v>
      </c>
      <c r="DF870" s="693">
        <f>SUMIFS(Imput[[Importe Neto]:[Importe Neto]],Imput[[C. Imp.]:[C. Imp.]],$D870,Imput[[PERIODO Imp.]:[PERIODO Imp.]],DF$9)</f>
        <v>0</v>
      </c>
      <c r="DG870" s="693">
        <f>SUMIFS(Imput[[Importe Neto]:[Importe Neto]],Imput[[C. Imp.]:[C. Imp.]],$D870,Imput[[PERIODO Imp.]:[PERIODO Imp.]],DG$9)</f>
        <v>0</v>
      </c>
      <c r="DH870" s="694">
        <f>SUMIFS(Imput[[Importe Neto]:[Importe Neto]],Imput[[C. Imp.]:[C. Imp.]],$D870,Imput[[PERIODO Imp.]:[PERIODO Imp.]],DH$9)</f>
        <v>0</v>
      </c>
    </row>
    <row r="871" spans="1:112" s="649" customFormat="1" hidden="1" outlineLevel="1" x14ac:dyDescent="0.3">
      <c r="A871" s="652" t="str">
        <f t="shared" si="290"/>
        <v/>
      </c>
      <c r="B871" s="652"/>
      <c r="C871" s="685"/>
      <c r="D871" s="686" t="s">
        <v>2847</v>
      </c>
      <c r="E871" s="728"/>
      <c r="F871" s="720"/>
      <c r="G871" s="688"/>
      <c r="H871" s="689"/>
      <c r="I871" s="851" t="str">
        <f t="shared" si="295"/>
        <v/>
      </c>
      <c r="J871" s="850" t="str">
        <f t="shared" si="292"/>
        <v/>
      </c>
      <c r="K871" s="667"/>
      <c r="L871" s="858"/>
      <c r="M871" s="859"/>
      <c r="N871" s="859"/>
      <c r="O871" s="859"/>
      <c r="P871" s="859"/>
      <c r="Q871" s="859"/>
      <c r="R871" s="859"/>
      <c r="S871" s="859"/>
      <c r="T871" s="859"/>
      <c r="U871" s="859"/>
      <c r="V871" s="859"/>
      <c r="W871" s="859"/>
      <c r="X871" s="859"/>
      <c r="Y871" s="859"/>
      <c r="Z871" s="860"/>
      <c r="AA871" s="860"/>
      <c r="AB871" s="860"/>
      <c r="AC871" s="860"/>
      <c r="AD871" s="860"/>
      <c r="AE871" s="860"/>
      <c r="AF871" s="860"/>
      <c r="AG871" s="860"/>
      <c r="AH871" s="860"/>
      <c r="AI871" s="860"/>
      <c r="AJ871" s="860"/>
      <c r="AK871" s="860"/>
      <c r="AL871" s="860"/>
      <c r="AM871" s="860"/>
      <c r="AN871" s="860"/>
      <c r="AO871" s="860"/>
      <c r="AP871" s="860"/>
      <c r="AQ871" s="860"/>
      <c r="AR871" s="860"/>
      <c r="AS871" s="860"/>
      <c r="AT871" s="860"/>
      <c r="AU871" s="860"/>
      <c r="AV871" s="860"/>
      <c r="AW871" s="860"/>
      <c r="AX871" s="860"/>
      <c r="AY871" s="860"/>
      <c r="AZ871" s="860"/>
      <c r="BA871" s="860"/>
      <c r="BB871" s="860"/>
      <c r="BC871" s="860"/>
      <c r="BD871" s="860"/>
      <c r="BE871" s="860"/>
      <c r="BF871" s="860"/>
      <c r="BG871" s="860"/>
      <c r="BH871" s="668"/>
      <c r="BI871" s="667"/>
      <c r="BJ871" s="690">
        <f t="shared" si="296"/>
        <v>0</v>
      </c>
      <c r="BK871" s="691">
        <f t="shared" si="297"/>
        <v>0</v>
      </c>
      <c r="BL871" s="654"/>
      <c r="BM871" s="692">
        <f>SUMIFS(Imput[[Importe Neto]:[Importe Neto]],Imput[[C. Imp.]:[C. Imp.]],$D871,Imput[[PERIODO Imp.]:[PERIODO Imp.]],BM$9)</f>
        <v>0</v>
      </c>
      <c r="BN871" s="693">
        <f>SUMIFS(Imput[[Importe Neto]:[Importe Neto]],Imput[[C. Imp.]:[C. Imp.]],$D871,Imput[[PERIODO Imp.]:[PERIODO Imp.]],BN$9)</f>
        <v>0</v>
      </c>
      <c r="BO871" s="693">
        <f>SUMIFS(Imput[[Importe Neto]:[Importe Neto]],Imput[[C. Imp.]:[C. Imp.]],$D871,Imput[[PERIODO Imp.]:[PERIODO Imp.]],BO$9)</f>
        <v>0</v>
      </c>
      <c r="BP871" s="693">
        <f>SUMIFS(Imput[[Importe Neto]:[Importe Neto]],Imput[[C. Imp.]:[C. Imp.]],$D871,Imput[[PERIODO Imp.]:[PERIODO Imp.]],BP$9)</f>
        <v>0</v>
      </c>
      <c r="BQ871" s="693">
        <f>SUMIFS(Imput[[Importe Neto]:[Importe Neto]],Imput[[C. Imp.]:[C. Imp.]],$D871,Imput[[PERIODO Imp.]:[PERIODO Imp.]],BQ$9)</f>
        <v>0</v>
      </c>
      <c r="BR871" s="693">
        <f>SUMIFS(Imput[[Importe Neto]:[Importe Neto]],Imput[[C. Imp.]:[C. Imp.]],$D871,Imput[[PERIODO Imp.]:[PERIODO Imp.]],BR$9)</f>
        <v>0</v>
      </c>
      <c r="BS871" s="693">
        <f>SUMIFS(Imput[[Importe Neto]:[Importe Neto]],Imput[[C. Imp.]:[C. Imp.]],$D871,Imput[[PERIODO Imp.]:[PERIODO Imp.]],BS$9)</f>
        <v>0</v>
      </c>
      <c r="BT871" s="693">
        <f>SUMIFS(Imput[[Importe Neto]:[Importe Neto]],Imput[[C. Imp.]:[C. Imp.]],$D871,Imput[[PERIODO Imp.]:[PERIODO Imp.]],BT$9)</f>
        <v>0</v>
      </c>
      <c r="BU871" s="693">
        <f>SUMIFS(Imput[[Importe Neto]:[Importe Neto]],Imput[[C. Imp.]:[C. Imp.]],$D871,Imput[[PERIODO Imp.]:[PERIODO Imp.]],BU$9)</f>
        <v>0</v>
      </c>
      <c r="BV871" s="693">
        <f>SUMIFS(Imput[[Importe Neto]:[Importe Neto]],Imput[[C. Imp.]:[C. Imp.]],$D871,Imput[[PERIODO Imp.]:[PERIODO Imp.]],BV$9)</f>
        <v>0</v>
      </c>
      <c r="BW871" s="693">
        <f>SUMIFS(Imput[[Importe Neto]:[Importe Neto]],Imput[[C. Imp.]:[C. Imp.]],$D871,Imput[[PERIODO Imp.]:[PERIODO Imp.]],BW$9)</f>
        <v>0</v>
      </c>
      <c r="BX871" s="693">
        <f>SUMIFS(Imput[[Importe Neto]:[Importe Neto]],Imput[[C. Imp.]:[C. Imp.]],$D871,Imput[[PERIODO Imp.]:[PERIODO Imp.]],BX$9)</f>
        <v>0</v>
      </c>
      <c r="BY871" s="693">
        <f>SUMIFS(Imput[[Importe Neto]:[Importe Neto]],Imput[[C. Imp.]:[C. Imp.]],$D871,Imput[[PERIODO Imp.]:[PERIODO Imp.]],BY$9)</f>
        <v>0</v>
      </c>
      <c r="BZ871" s="693">
        <f>SUMIFS(Imput[[Importe Neto]:[Importe Neto]],Imput[[C. Imp.]:[C. Imp.]],$D871,Imput[[PERIODO Imp.]:[PERIODO Imp.]],BZ$9)</f>
        <v>0</v>
      </c>
      <c r="CA871" s="693">
        <f>SUMIFS(Imput[[Importe Neto]:[Importe Neto]],Imput[[C. Imp.]:[C. Imp.]],$D871,Imput[[PERIODO Imp.]:[PERIODO Imp.]],CA$9)</f>
        <v>0</v>
      </c>
      <c r="CB871" s="693">
        <f>SUMIFS(Imput[[Importe Neto]:[Importe Neto]],Imput[[C. Imp.]:[C. Imp.]],$D871,Imput[[PERIODO Imp.]:[PERIODO Imp.]],CB$9)</f>
        <v>0</v>
      </c>
      <c r="CC871" s="693">
        <f>SUMIFS(Imput[[Importe Neto]:[Importe Neto]],Imput[[C. Imp.]:[C. Imp.]],$D871,Imput[[PERIODO Imp.]:[PERIODO Imp.]],CC$9)</f>
        <v>0</v>
      </c>
      <c r="CD871" s="693">
        <f>SUMIFS(Imput[[Importe Neto]:[Importe Neto]],Imput[[C. Imp.]:[C. Imp.]],$D871,Imput[[PERIODO Imp.]:[PERIODO Imp.]],CD$9)</f>
        <v>0</v>
      </c>
      <c r="CE871" s="693">
        <f>SUMIFS(Imput[[Importe Neto]:[Importe Neto]],Imput[[C. Imp.]:[C. Imp.]],$D871,Imput[[PERIODO Imp.]:[PERIODO Imp.]],CE$9)</f>
        <v>0</v>
      </c>
      <c r="CF871" s="693">
        <f>SUMIFS(Imput[[Importe Neto]:[Importe Neto]],Imput[[C. Imp.]:[C. Imp.]],$D871,Imput[[PERIODO Imp.]:[PERIODO Imp.]],CF$9)</f>
        <v>0</v>
      </c>
      <c r="CG871" s="693">
        <f>SUMIFS(Imput[[Importe Neto]:[Importe Neto]],Imput[[C. Imp.]:[C. Imp.]],$D871,Imput[[PERIODO Imp.]:[PERIODO Imp.]],CG$9)</f>
        <v>0</v>
      </c>
      <c r="CH871" s="693">
        <f>SUMIFS(Imput[[Importe Neto]:[Importe Neto]],Imput[[C. Imp.]:[C. Imp.]],$D871,Imput[[PERIODO Imp.]:[PERIODO Imp.]],CH$9)</f>
        <v>0</v>
      </c>
      <c r="CI871" s="693">
        <f>SUMIFS(Imput[[Importe Neto]:[Importe Neto]],Imput[[C. Imp.]:[C. Imp.]],$D871,Imput[[PERIODO Imp.]:[PERIODO Imp.]],CI$9)</f>
        <v>0</v>
      </c>
      <c r="CJ871" s="693">
        <f>SUMIFS(Imput[[Importe Neto]:[Importe Neto]],Imput[[C. Imp.]:[C. Imp.]],$D871,Imput[[PERIODO Imp.]:[PERIODO Imp.]],CJ$9)</f>
        <v>0</v>
      </c>
      <c r="CK871" s="693">
        <f>SUMIFS(Imput[[Importe Neto]:[Importe Neto]],Imput[[C. Imp.]:[C. Imp.]],$D871,Imput[[PERIODO Imp.]:[PERIODO Imp.]],CK$9)</f>
        <v>0</v>
      </c>
      <c r="CL871" s="693">
        <f>SUMIFS(Imput[[Importe Neto]:[Importe Neto]],Imput[[C. Imp.]:[C. Imp.]],$D871,Imput[[PERIODO Imp.]:[PERIODO Imp.]],CL$9)</f>
        <v>0</v>
      </c>
      <c r="CM871" s="693">
        <f>SUMIFS(Imput[[Importe Neto]:[Importe Neto]],Imput[[C. Imp.]:[C. Imp.]],$D871,Imput[[PERIODO Imp.]:[PERIODO Imp.]],CM$9)</f>
        <v>0</v>
      </c>
      <c r="CN871" s="693">
        <f>SUMIFS(Imput[[Importe Neto]:[Importe Neto]],Imput[[C. Imp.]:[C. Imp.]],$D871,Imput[[PERIODO Imp.]:[PERIODO Imp.]],CN$9)</f>
        <v>0</v>
      </c>
      <c r="CO871" s="693">
        <f>SUMIFS(Imput[[Importe Neto]:[Importe Neto]],Imput[[C. Imp.]:[C. Imp.]],$D871,Imput[[PERIODO Imp.]:[PERIODO Imp.]],CO$9)</f>
        <v>0</v>
      </c>
      <c r="CP871" s="693">
        <f>SUMIFS(Imput[[Importe Neto]:[Importe Neto]],Imput[[C. Imp.]:[C. Imp.]],$D871,Imput[[PERIODO Imp.]:[PERIODO Imp.]],CP$9)</f>
        <v>0</v>
      </c>
      <c r="CQ871" s="693">
        <f>SUMIFS(Imput[[Importe Neto]:[Importe Neto]],Imput[[C. Imp.]:[C. Imp.]],$D871,Imput[[PERIODO Imp.]:[PERIODO Imp.]],CQ$9)</f>
        <v>0</v>
      </c>
      <c r="CR871" s="693">
        <f>SUMIFS(Imput[[Importe Neto]:[Importe Neto]],Imput[[C. Imp.]:[C. Imp.]],$D871,Imput[[PERIODO Imp.]:[PERIODO Imp.]],CR$9)</f>
        <v>0</v>
      </c>
      <c r="CS871" s="693">
        <f>SUMIFS(Imput[[Importe Neto]:[Importe Neto]],Imput[[C. Imp.]:[C. Imp.]],$D871,Imput[[PERIODO Imp.]:[PERIODO Imp.]],CS$9)</f>
        <v>0</v>
      </c>
      <c r="CT871" s="693">
        <f>SUMIFS(Imput[[Importe Neto]:[Importe Neto]],Imput[[C. Imp.]:[C. Imp.]],$D871,Imput[[PERIODO Imp.]:[PERIODO Imp.]],CT$9)</f>
        <v>0</v>
      </c>
      <c r="CU871" s="693">
        <f>SUMIFS(Imput[[Importe Neto]:[Importe Neto]],Imput[[C. Imp.]:[C. Imp.]],$D871,Imput[[PERIODO Imp.]:[PERIODO Imp.]],CU$9)</f>
        <v>0</v>
      </c>
      <c r="CV871" s="693">
        <f>SUMIFS(Imput[[Importe Neto]:[Importe Neto]],Imput[[C. Imp.]:[C. Imp.]],$D871,Imput[[PERIODO Imp.]:[PERIODO Imp.]],CV$9)</f>
        <v>0</v>
      </c>
      <c r="CW871" s="693">
        <f>SUMIFS(Imput[[Importe Neto]:[Importe Neto]],Imput[[C. Imp.]:[C. Imp.]],$D871,Imput[[PERIODO Imp.]:[PERIODO Imp.]],CW$9)</f>
        <v>0</v>
      </c>
      <c r="CX871" s="693">
        <f>SUMIFS(Imput[[Importe Neto]:[Importe Neto]],Imput[[C. Imp.]:[C. Imp.]],$D871,Imput[[PERIODO Imp.]:[PERIODO Imp.]],CX$9)</f>
        <v>0</v>
      </c>
      <c r="CY871" s="693">
        <f>SUMIFS(Imput[[Importe Neto]:[Importe Neto]],Imput[[C. Imp.]:[C. Imp.]],$D871,Imput[[PERIODO Imp.]:[PERIODO Imp.]],CY$9)</f>
        <v>0</v>
      </c>
      <c r="CZ871" s="693">
        <f>SUMIFS(Imput[[Importe Neto]:[Importe Neto]],Imput[[C. Imp.]:[C. Imp.]],$D871,Imput[[PERIODO Imp.]:[PERIODO Imp.]],CZ$9)</f>
        <v>0</v>
      </c>
      <c r="DA871" s="693">
        <f>SUMIFS(Imput[[Importe Neto]:[Importe Neto]],Imput[[C. Imp.]:[C. Imp.]],$D871,Imput[[PERIODO Imp.]:[PERIODO Imp.]],DA$9)</f>
        <v>0</v>
      </c>
      <c r="DB871" s="693">
        <f>SUMIFS(Imput[[Importe Neto]:[Importe Neto]],Imput[[C. Imp.]:[C. Imp.]],$D871,Imput[[PERIODO Imp.]:[PERIODO Imp.]],DB$9)</f>
        <v>0</v>
      </c>
      <c r="DC871" s="693">
        <f>SUMIFS(Imput[[Importe Neto]:[Importe Neto]],Imput[[C. Imp.]:[C. Imp.]],$D871,Imput[[PERIODO Imp.]:[PERIODO Imp.]],DC$9)</f>
        <v>0</v>
      </c>
      <c r="DD871" s="693">
        <f>SUMIFS(Imput[[Importe Neto]:[Importe Neto]],Imput[[C. Imp.]:[C. Imp.]],$D871,Imput[[PERIODO Imp.]:[PERIODO Imp.]],DD$9)</f>
        <v>0</v>
      </c>
      <c r="DE871" s="693">
        <f>SUMIFS(Imput[[Importe Neto]:[Importe Neto]],Imput[[C. Imp.]:[C. Imp.]],$D871,Imput[[PERIODO Imp.]:[PERIODO Imp.]],DE$9)</f>
        <v>0</v>
      </c>
      <c r="DF871" s="693">
        <f>SUMIFS(Imput[[Importe Neto]:[Importe Neto]],Imput[[C. Imp.]:[C. Imp.]],$D871,Imput[[PERIODO Imp.]:[PERIODO Imp.]],DF$9)</f>
        <v>0</v>
      </c>
      <c r="DG871" s="693">
        <f>SUMIFS(Imput[[Importe Neto]:[Importe Neto]],Imput[[C. Imp.]:[C. Imp.]],$D871,Imput[[PERIODO Imp.]:[PERIODO Imp.]],DG$9)</f>
        <v>0</v>
      </c>
      <c r="DH871" s="694">
        <f>SUMIFS(Imput[[Importe Neto]:[Importe Neto]],Imput[[C. Imp.]:[C. Imp.]],$D871,Imput[[PERIODO Imp.]:[PERIODO Imp.]],DH$9)</f>
        <v>0</v>
      </c>
    </row>
    <row r="872" spans="1:112" s="649" customFormat="1" hidden="1" outlineLevel="1" x14ac:dyDescent="0.3">
      <c r="A872" s="652" t="str">
        <f t="shared" si="290"/>
        <v/>
      </c>
      <c r="B872" s="652"/>
      <c r="C872" s="685"/>
      <c r="D872" s="686" t="s">
        <v>2848</v>
      </c>
      <c r="E872" s="728"/>
      <c r="F872" s="720"/>
      <c r="G872" s="688"/>
      <c r="H872" s="689"/>
      <c r="I872" s="851" t="str">
        <f t="shared" si="295"/>
        <v/>
      </c>
      <c r="J872" s="850" t="str">
        <f t="shared" si="292"/>
        <v/>
      </c>
      <c r="K872" s="667"/>
      <c r="L872" s="858"/>
      <c r="M872" s="859"/>
      <c r="N872" s="859"/>
      <c r="O872" s="859"/>
      <c r="P872" s="859"/>
      <c r="Q872" s="859"/>
      <c r="R872" s="859"/>
      <c r="S872" s="859"/>
      <c r="T872" s="859"/>
      <c r="U872" s="859"/>
      <c r="V872" s="859"/>
      <c r="W872" s="859"/>
      <c r="X872" s="859"/>
      <c r="Y872" s="859"/>
      <c r="Z872" s="860"/>
      <c r="AA872" s="860"/>
      <c r="AB872" s="860"/>
      <c r="AC872" s="860"/>
      <c r="AD872" s="860"/>
      <c r="AE872" s="860"/>
      <c r="AF872" s="860"/>
      <c r="AG872" s="860"/>
      <c r="AH872" s="860"/>
      <c r="AI872" s="860"/>
      <c r="AJ872" s="860"/>
      <c r="AK872" s="860"/>
      <c r="AL872" s="860"/>
      <c r="AM872" s="860"/>
      <c r="AN872" s="860"/>
      <c r="AO872" s="860"/>
      <c r="AP872" s="860"/>
      <c r="AQ872" s="860"/>
      <c r="AR872" s="860"/>
      <c r="AS872" s="860"/>
      <c r="AT872" s="860"/>
      <c r="AU872" s="860"/>
      <c r="AV872" s="860"/>
      <c r="AW872" s="860"/>
      <c r="AX872" s="860"/>
      <c r="AY872" s="860"/>
      <c r="AZ872" s="860"/>
      <c r="BA872" s="860"/>
      <c r="BB872" s="860"/>
      <c r="BC872" s="860"/>
      <c r="BD872" s="860"/>
      <c r="BE872" s="860"/>
      <c r="BF872" s="860"/>
      <c r="BG872" s="860"/>
      <c r="BH872" s="668"/>
      <c r="BI872" s="667"/>
      <c r="BJ872" s="690">
        <f t="shared" si="296"/>
        <v>0</v>
      </c>
      <c r="BK872" s="691">
        <f t="shared" si="297"/>
        <v>0</v>
      </c>
      <c r="BL872" s="654"/>
      <c r="BM872" s="692">
        <f>SUMIFS(Imput[[Importe Neto]:[Importe Neto]],Imput[[C. Imp.]:[C. Imp.]],$D872,Imput[[PERIODO Imp.]:[PERIODO Imp.]],BM$9)</f>
        <v>0</v>
      </c>
      <c r="BN872" s="693">
        <f>SUMIFS(Imput[[Importe Neto]:[Importe Neto]],Imput[[C. Imp.]:[C. Imp.]],$D872,Imput[[PERIODO Imp.]:[PERIODO Imp.]],BN$9)</f>
        <v>0</v>
      </c>
      <c r="BO872" s="693">
        <f>SUMIFS(Imput[[Importe Neto]:[Importe Neto]],Imput[[C. Imp.]:[C. Imp.]],$D872,Imput[[PERIODO Imp.]:[PERIODO Imp.]],BO$9)</f>
        <v>0</v>
      </c>
      <c r="BP872" s="693">
        <f>SUMIFS(Imput[[Importe Neto]:[Importe Neto]],Imput[[C. Imp.]:[C. Imp.]],$D872,Imput[[PERIODO Imp.]:[PERIODO Imp.]],BP$9)</f>
        <v>0</v>
      </c>
      <c r="BQ872" s="693">
        <f>SUMIFS(Imput[[Importe Neto]:[Importe Neto]],Imput[[C. Imp.]:[C. Imp.]],$D872,Imput[[PERIODO Imp.]:[PERIODO Imp.]],BQ$9)</f>
        <v>0</v>
      </c>
      <c r="BR872" s="693">
        <f>SUMIFS(Imput[[Importe Neto]:[Importe Neto]],Imput[[C. Imp.]:[C. Imp.]],$D872,Imput[[PERIODO Imp.]:[PERIODO Imp.]],BR$9)</f>
        <v>0</v>
      </c>
      <c r="BS872" s="693">
        <f>SUMIFS(Imput[[Importe Neto]:[Importe Neto]],Imput[[C. Imp.]:[C. Imp.]],$D872,Imput[[PERIODO Imp.]:[PERIODO Imp.]],BS$9)</f>
        <v>0</v>
      </c>
      <c r="BT872" s="693">
        <f>SUMIFS(Imput[[Importe Neto]:[Importe Neto]],Imput[[C. Imp.]:[C. Imp.]],$D872,Imput[[PERIODO Imp.]:[PERIODO Imp.]],BT$9)</f>
        <v>0</v>
      </c>
      <c r="BU872" s="693">
        <f>SUMIFS(Imput[[Importe Neto]:[Importe Neto]],Imput[[C. Imp.]:[C. Imp.]],$D872,Imput[[PERIODO Imp.]:[PERIODO Imp.]],BU$9)</f>
        <v>0</v>
      </c>
      <c r="BV872" s="693">
        <f>SUMIFS(Imput[[Importe Neto]:[Importe Neto]],Imput[[C. Imp.]:[C. Imp.]],$D872,Imput[[PERIODO Imp.]:[PERIODO Imp.]],BV$9)</f>
        <v>0</v>
      </c>
      <c r="BW872" s="693">
        <f>SUMIFS(Imput[[Importe Neto]:[Importe Neto]],Imput[[C. Imp.]:[C. Imp.]],$D872,Imput[[PERIODO Imp.]:[PERIODO Imp.]],BW$9)</f>
        <v>0</v>
      </c>
      <c r="BX872" s="693">
        <f>SUMIFS(Imput[[Importe Neto]:[Importe Neto]],Imput[[C. Imp.]:[C. Imp.]],$D872,Imput[[PERIODO Imp.]:[PERIODO Imp.]],BX$9)</f>
        <v>0</v>
      </c>
      <c r="BY872" s="693">
        <f>SUMIFS(Imput[[Importe Neto]:[Importe Neto]],Imput[[C. Imp.]:[C. Imp.]],$D872,Imput[[PERIODO Imp.]:[PERIODO Imp.]],BY$9)</f>
        <v>0</v>
      </c>
      <c r="BZ872" s="693">
        <f>SUMIFS(Imput[[Importe Neto]:[Importe Neto]],Imput[[C. Imp.]:[C. Imp.]],$D872,Imput[[PERIODO Imp.]:[PERIODO Imp.]],BZ$9)</f>
        <v>0</v>
      </c>
      <c r="CA872" s="693">
        <f>SUMIFS(Imput[[Importe Neto]:[Importe Neto]],Imput[[C. Imp.]:[C. Imp.]],$D872,Imput[[PERIODO Imp.]:[PERIODO Imp.]],CA$9)</f>
        <v>0</v>
      </c>
      <c r="CB872" s="693">
        <f>SUMIFS(Imput[[Importe Neto]:[Importe Neto]],Imput[[C. Imp.]:[C. Imp.]],$D872,Imput[[PERIODO Imp.]:[PERIODO Imp.]],CB$9)</f>
        <v>0</v>
      </c>
      <c r="CC872" s="693">
        <f>SUMIFS(Imput[[Importe Neto]:[Importe Neto]],Imput[[C. Imp.]:[C. Imp.]],$D872,Imput[[PERIODO Imp.]:[PERIODO Imp.]],CC$9)</f>
        <v>0</v>
      </c>
      <c r="CD872" s="693">
        <f>SUMIFS(Imput[[Importe Neto]:[Importe Neto]],Imput[[C. Imp.]:[C. Imp.]],$D872,Imput[[PERIODO Imp.]:[PERIODO Imp.]],CD$9)</f>
        <v>0</v>
      </c>
      <c r="CE872" s="693">
        <f>SUMIFS(Imput[[Importe Neto]:[Importe Neto]],Imput[[C. Imp.]:[C. Imp.]],$D872,Imput[[PERIODO Imp.]:[PERIODO Imp.]],CE$9)</f>
        <v>0</v>
      </c>
      <c r="CF872" s="693">
        <f>SUMIFS(Imput[[Importe Neto]:[Importe Neto]],Imput[[C. Imp.]:[C. Imp.]],$D872,Imput[[PERIODO Imp.]:[PERIODO Imp.]],CF$9)</f>
        <v>0</v>
      </c>
      <c r="CG872" s="693">
        <f>SUMIFS(Imput[[Importe Neto]:[Importe Neto]],Imput[[C. Imp.]:[C. Imp.]],$D872,Imput[[PERIODO Imp.]:[PERIODO Imp.]],CG$9)</f>
        <v>0</v>
      </c>
      <c r="CH872" s="693">
        <f>SUMIFS(Imput[[Importe Neto]:[Importe Neto]],Imput[[C. Imp.]:[C. Imp.]],$D872,Imput[[PERIODO Imp.]:[PERIODO Imp.]],CH$9)</f>
        <v>0</v>
      </c>
      <c r="CI872" s="693">
        <f>SUMIFS(Imput[[Importe Neto]:[Importe Neto]],Imput[[C. Imp.]:[C. Imp.]],$D872,Imput[[PERIODO Imp.]:[PERIODO Imp.]],CI$9)</f>
        <v>0</v>
      </c>
      <c r="CJ872" s="693">
        <f>SUMIFS(Imput[[Importe Neto]:[Importe Neto]],Imput[[C. Imp.]:[C. Imp.]],$D872,Imput[[PERIODO Imp.]:[PERIODO Imp.]],CJ$9)</f>
        <v>0</v>
      </c>
      <c r="CK872" s="693">
        <f>SUMIFS(Imput[[Importe Neto]:[Importe Neto]],Imput[[C. Imp.]:[C. Imp.]],$D872,Imput[[PERIODO Imp.]:[PERIODO Imp.]],CK$9)</f>
        <v>0</v>
      </c>
      <c r="CL872" s="693">
        <f>SUMIFS(Imput[[Importe Neto]:[Importe Neto]],Imput[[C. Imp.]:[C. Imp.]],$D872,Imput[[PERIODO Imp.]:[PERIODO Imp.]],CL$9)</f>
        <v>0</v>
      </c>
      <c r="CM872" s="693">
        <f>SUMIFS(Imput[[Importe Neto]:[Importe Neto]],Imput[[C. Imp.]:[C. Imp.]],$D872,Imput[[PERIODO Imp.]:[PERIODO Imp.]],CM$9)</f>
        <v>0</v>
      </c>
      <c r="CN872" s="693">
        <f>SUMIFS(Imput[[Importe Neto]:[Importe Neto]],Imput[[C. Imp.]:[C. Imp.]],$D872,Imput[[PERIODO Imp.]:[PERIODO Imp.]],CN$9)</f>
        <v>0</v>
      </c>
      <c r="CO872" s="693">
        <f>SUMIFS(Imput[[Importe Neto]:[Importe Neto]],Imput[[C. Imp.]:[C. Imp.]],$D872,Imput[[PERIODO Imp.]:[PERIODO Imp.]],CO$9)</f>
        <v>0</v>
      </c>
      <c r="CP872" s="693">
        <f>SUMIFS(Imput[[Importe Neto]:[Importe Neto]],Imput[[C. Imp.]:[C. Imp.]],$D872,Imput[[PERIODO Imp.]:[PERIODO Imp.]],CP$9)</f>
        <v>0</v>
      </c>
      <c r="CQ872" s="693">
        <f>SUMIFS(Imput[[Importe Neto]:[Importe Neto]],Imput[[C. Imp.]:[C. Imp.]],$D872,Imput[[PERIODO Imp.]:[PERIODO Imp.]],CQ$9)</f>
        <v>0</v>
      </c>
      <c r="CR872" s="693">
        <f>SUMIFS(Imput[[Importe Neto]:[Importe Neto]],Imput[[C. Imp.]:[C. Imp.]],$D872,Imput[[PERIODO Imp.]:[PERIODO Imp.]],CR$9)</f>
        <v>0</v>
      </c>
      <c r="CS872" s="693">
        <f>SUMIFS(Imput[[Importe Neto]:[Importe Neto]],Imput[[C. Imp.]:[C. Imp.]],$D872,Imput[[PERIODO Imp.]:[PERIODO Imp.]],CS$9)</f>
        <v>0</v>
      </c>
      <c r="CT872" s="693">
        <f>SUMIFS(Imput[[Importe Neto]:[Importe Neto]],Imput[[C. Imp.]:[C. Imp.]],$D872,Imput[[PERIODO Imp.]:[PERIODO Imp.]],CT$9)</f>
        <v>0</v>
      </c>
      <c r="CU872" s="693">
        <f>SUMIFS(Imput[[Importe Neto]:[Importe Neto]],Imput[[C. Imp.]:[C. Imp.]],$D872,Imput[[PERIODO Imp.]:[PERIODO Imp.]],CU$9)</f>
        <v>0</v>
      </c>
      <c r="CV872" s="693">
        <f>SUMIFS(Imput[[Importe Neto]:[Importe Neto]],Imput[[C. Imp.]:[C. Imp.]],$D872,Imput[[PERIODO Imp.]:[PERIODO Imp.]],CV$9)</f>
        <v>0</v>
      </c>
      <c r="CW872" s="693">
        <f>SUMIFS(Imput[[Importe Neto]:[Importe Neto]],Imput[[C. Imp.]:[C. Imp.]],$D872,Imput[[PERIODO Imp.]:[PERIODO Imp.]],CW$9)</f>
        <v>0</v>
      </c>
      <c r="CX872" s="693">
        <f>SUMIFS(Imput[[Importe Neto]:[Importe Neto]],Imput[[C. Imp.]:[C. Imp.]],$D872,Imput[[PERIODO Imp.]:[PERIODO Imp.]],CX$9)</f>
        <v>0</v>
      </c>
      <c r="CY872" s="693">
        <f>SUMIFS(Imput[[Importe Neto]:[Importe Neto]],Imput[[C. Imp.]:[C. Imp.]],$D872,Imput[[PERIODO Imp.]:[PERIODO Imp.]],CY$9)</f>
        <v>0</v>
      </c>
      <c r="CZ872" s="693">
        <f>SUMIFS(Imput[[Importe Neto]:[Importe Neto]],Imput[[C. Imp.]:[C. Imp.]],$D872,Imput[[PERIODO Imp.]:[PERIODO Imp.]],CZ$9)</f>
        <v>0</v>
      </c>
      <c r="DA872" s="693">
        <f>SUMIFS(Imput[[Importe Neto]:[Importe Neto]],Imput[[C. Imp.]:[C. Imp.]],$D872,Imput[[PERIODO Imp.]:[PERIODO Imp.]],DA$9)</f>
        <v>0</v>
      </c>
      <c r="DB872" s="693">
        <f>SUMIFS(Imput[[Importe Neto]:[Importe Neto]],Imput[[C. Imp.]:[C. Imp.]],$D872,Imput[[PERIODO Imp.]:[PERIODO Imp.]],DB$9)</f>
        <v>0</v>
      </c>
      <c r="DC872" s="693">
        <f>SUMIFS(Imput[[Importe Neto]:[Importe Neto]],Imput[[C. Imp.]:[C. Imp.]],$D872,Imput[[PERIODO Imp.]:[PERIODO Imp.]],DC$9)</f>
        <v>0</v>
      </c>
      <c r="DD872" s="693">
        <f>SUMIFS(Imput[[Importe Neto]:[Importe Neto]],Imput[[C. Imp.]:[C. Imp.]],$D872,Imput[[PERIODO Imp.]:[PERIODO Imp.]],DD$9)</f>
        <v>0</v>
      </c>
      <c r="DE872" s="693">
        <f>SUMIFS(Imput[[Importe Neto]:[Importe Neto]],Imput[[C. Imp.]:[C. Imp.]],$D872,Imput[[PERIODO Imp.]:[PERIODO Imp.]],DE$9)</f>
        <v>0</v>
      </c>
      <c r="DF872" s="693">
        <f>SUMIFS(Imput[[Importe Neto]:[Importe Neto]],Imput[[C. Imp.]:[C. Imp.]],$D872,Imput[[PERIODO Imp.]:[PERIODO Imp.]],DF$9)</f>
        <v>0</v>
      </c>
      <c r="DG872" s="693">
        <f>SUMIFS(Imput[[Importe Neto]:[Importe Neto]],Imput[[C. Imp.]:[C. Imp.]],$D872,Imput[[PERIODO Imp.]:[PERIODO Imp.]],DG$9)</f>
        <v>0</v>
      </c>
      <c r="DH872" s="694">
        <f>SUMIFS(Imput[[Importe Neto]:[Importe Neto]],Imput[[C. Imp.]:[C. Imp.]],$D872,Imput[[PERIODO Imp.]:[PERIODO Imp.]],DH$9)</f>
        <v>0</v>
      </c>
    </row>
    <row r="873" spans="1:112" s="649" customFormat="1" hidden="1" outlineLevel="1" x14ac:dyDescent="0.3">
      <c r="A873" s="652" t="str">
        <f t="shared" si="290"/>
        <v/>
      </c>
      <c r="B873" s="652"/>
      <c r="C873" s="685"/>
      <c r="D873" s="686" t="s">
        <v>2849</v>
      </c>
      <c r="E873" s="728"/>
      <c r="F873" s="720"/>
      <c r="G873" s="688"/>
      <c r="H873" s="689"/>
      <c r="I873" s="851" t="str">
        <f t="shared" si="295"/>
        <v/>
      </c>
      <c r="J873" s="850" t="str">
        <f t="shared" si="292"/>
        <v/>
      </c>
      <c r="K873" s="667"/>
      <c r="L873" s="858"/>
      <c r="M873" s="859"/>
      <c r="N873" s="859"/>
      <c r="O873" s="859"/>
      <c r="P873" s="859"/>
      <c r="Q873" s="859"/>
      <c r="R873" s="859"/>
      <c r="S873" s="859"/>
      <c r="T873" s="859"/>
      <c r="U873" s="859"/>
      <c r="V873" s="859"/>
      <c r="W873" s="859"/>
      <c r="X873" s="859"/>
      <c r="Y873" s="859"/>
      <c r="Z873" s="860"/>
      <c r="AA873" s="860"/>
      <c r="AB873" s="860"/>
      <c r="AC873" s="860"/>
      <c r="AD873" s="860"/>
      <c r="AE873" s="860"/>
      <c r="AF873" s="860"/>
      <c r="AG873" s="860"/>
      <c r="AH873" s="860"/>
      <c r="AI873" s="860"/>
      <c r="AJ873" s="860"/>
      <c r="AK873" s="860"/>
      <c r="AL873" s="860"/>
      <c r="AM873" s="860"/>
      <c r="AN873" s="860"/>
      <c r="AO873" s="860"/>
      <c r="AP873" s="860"/>
      <c r="AQ873" s="860"/>
      <c r="AR873" s="860"/>
      <c r="AS873" s="860"/>
      <c r="AT873" s="860"/>
      <c r="AU873" s="860"/>
      <c r="AV873" s="860"/>
      <c r="AW873" s="860"/>
      <c r="AX873" s="860"/>
      <c r="AY873" s="860"/>
      <c r="AZ873" s="860"/>
      <c r="BA873" s="860"/>
      <c r="BB873" s="860"/>
      <c r="BC873" s="860"/>
      <c r="BD873" s="860"/>
      <c r="BE873" s="860"/>
      <c r="BF873" s="860"/>
      <c r="BG873" s="860"/>
      <c r="BH873" s="668"/>
      <c r="BI873" s="667"/>
      <c r="BJ873" s="690">
        <f t="shared" si="296"/>
        <v>0</v>
      </c>
      <c r="BK873" s="691">
        <f t="shared" si="297"/>
        <v>0</v>
      </c>
      <c r="BL873" s="654"/>
      <c r="BM873" s="692">
        <f>SUMIFS(Imput[[Importe Neto]:[Importe Neto]],Imput[[C. Imp.]:[C. Imp.]],$D873,Imput[[PERIODO Imp.]:[PERIODO Imp.]],BM$9)</f>
        <v>0</v>
      </c>
      <c r="BN873" s="693">
        <f>SUMIFS(Imput[[Importe Neto]:[Importe Neto]],Imput[[C. Imp.]:[C. Imp.]],$D873,Imput[[PERIODO Imp.]:[PERIODO Imp.]],BN$9)</f>
        <v>0</v>
      </c>
      <c r="BO873" s="693">
        <f>SUMIFS(Imput[[Importe Neto]:[Importe Neto]],Imput[[C. Imp.]:[C. Imp.]],$D873,Imput[[PERIODO Imp.]:[PERIODO Imp.]],BO$9)</f>
        <v>0</v>
      </c>
      <c r="BP873" s="693">
        <f>SUMIFS(Imput[[Importe Neto]:[Importe Neto]],Imput[[C. Imp.]:[C. Imp.]],$D873,Imput[[PERIODO Imp.]:[PERIODO Imp.]],BP$9)</f>
        <v>0</v>
      </c>
      <c r="BQ873" s="693">
        <f>SUMIFS(Imput[[Importe Neto]:[Importe Neto]],Imput[[C. Imp.]:[C. Imp.]],$D873,Imput[[PERIODO Imp.]:[PERIODO Imp.]],BQ$9)</f>
        <v>0</v>
      </c>
      <c r="BR873" s="693">
        <f>SUMIFS(Imput[[Importe Neto]:[Importe Neto]],Imput[[C. Imp.]:[C. Imp.]],$D873,Imput[[PERIODO Imp.]:[PERIODO Imp.]],BR$9)</f>
        <v>0</v>
      </c>
      <c r="BS873" s="693">
        <f>SUMIFS(Imput[[Importe Neto]:[Importe Neto]],Imput[[C. Imp.]:[C. Imp.]],$D873,Imput[[PERIODO Imp.]:[PERIODO Imp.]],BS$9)</f>
        <v>0</v>
      </c>
      <c r="BT873" s="693">
        <f>SUMIFS(Imput[[Importe Neto]:[Importe Neto]],Imput[[C. Imp.]:[C. Imp.]],$D873,Imput[[PERIODO Imp.]:[PERIODO Imp.]],BT$9)</f>
        <v>0</v>
      </c>
      <c r="BU873" s="693">
        <f>SUMIFS(Imput[[Importe Neto]:[Importe Neto]],Imput[[C. Imp.]:[C. Imp.]],$D873,Imput[[PERIODO Imp.]:[PERIODO Imp.]],BU$9)</f>
        <v>0</v>
      </c>
      <c r="BV873" s="693">
        <f>SUMIFS(Imput[[Importe Neto]:[Importe Neto]],Imput[[C. Imp.]:[C. Imp.]],$D873,Imput[[PERIODO Imp.]:[PERIODO Imp.]],BV$9)</f>
        <v>0</v>
      </c>
      <c r="BW873" s="693">
        <f>SUMIFS(Imput[[Importe Neto]:[Importe Neto]],Imput[[C. Imp.]:[C. Imp.]],$D873,Imput[[PERIODO Imp.]:[PERIODO Imp.]],BW$9)</f>
        <v>0</v>
      </c>
      <c r="BX873" s="693">
        <f>SUMIFS(Imput[[Importe Neto]:[Importe Neto]],Imput[[C. Imp.]:[C. Imp.]],$D873,Imput[[PERIODO Imp.]:[PERIODO Imp.]],BX$9)</f>
        <v>0</v>
      </c>
      <c r="BY873" s="693">
        <f>SUMIFS(Imput[[Importe Neto]:[Importe Neto]],Imput[[C. Imp.]:[C. Imp.]],$D873,Imput[[PERIODO Imp.]:[PERIODO Imp.]],BY$9)</f>
        <v>0</v>
      </c>
      <c r="BZ873" s="693">
        <f>SUMIFS(Imput[[Importe Neto]:[Importe Neto]],Imput[[C. Imp.]:[C. Imp.]],$D873,Imput[[PERIODO Imp.]:[PERIODO Imp.]],BZ$9)</f>
        <v>0</v>
      </c>
      <c r="CA873" s="693">
        <f>SUMIFS(Imput[[Importe Neto]:[Importe Neto]],Imput[[C. Imp.]:[C. Imp.]],$D873,Imput[[PERIODO Imp.]:[PERIODO Imp.]],CA$9)</f>
        <v>0</v>
      </c>
      <c r="CB873" s="693">
        <f>SUMIFS(Imput[[Importe Neto]:[Importe Neto]],Imput[[C. Imp.]:[C. Imp.]],$D873,Imput[[PERIODO Imp.]:[PERIODO Imp.]],CB$9)</f>
        <v>0</v>
      </c>
      <c r="CC873" s="693">
        <f>SUMIFS(Imput[[Importe Neto]:[Importe Neto]],Imput[[C. Imp.]:[C. Imp.]],$D873,Imput[[PERIODO Imp.]:[PERIODO Imp.]],CC$9)</f>
        <v>0</v>
      </c>
      <c r="CD873" s="693">
        <f>SUMIFS(Imput[[Importe Neto]:[Importe Neto]],Imput[[C. Imp.]:[C. Imp.]],$D873,Imput[[PERIODO Imp.]:[PERIODO Imp.]],CD$9)</f>
        <v>0</v>
      </c>
      <c r="CE873" s="693">
        <f>SUMIFS(Imput[[Importe Neto]:[Importe Neto]],Imput[[C. Imp.]:[C. Imp.]],$D873,Imput[[PERIODO Imp.]:[PERIODO Imp.]],CE$9)</f>
        <v>0</v>
      </c>
      <c r="CF873" s="693">
        <f>SUMIFS(Imput[[Importe Neto]:[Importe Neto]],Imput[[C. Imp.]:[C. Imp.]],$D873,Imput[[PERIODO Imp.]:[PERIODO Imp.]],CF$9)</f>
        <v>0</v>
      </c>
      <c r="CG873" s="693">
        <f>SUMIFS(Imput[[Importe Neto]:[Importe Neto]],Imput[[C. Imp.]:[C. Imp.]],$D873,Imput[[PERIODO Imp.]:[PERIODO Imp.]],CG$9)</f>
        <v>0</v>
      </c>
      <c r="CH873" s="693">
        <f>SUMIFS(Imput[[Importe Neto]:[Importe Neto]],Imput[[C. Imp.]:[C. Imp.]],$D873,Imput[[PERIODO Imp.]:[PERIODO Imp.]],CH$9)</f>
        <v>0</v>
      </c>
      <c r="CI873" s="693">
        <f>SUMIFS(Imput[[Importe Neto]:[Importe Neto]],Imput[[C. Imp.]:[C. Imp.]],$D873,Imput[[PERIODO Imp.]:[PERIODO Imp.]],CI$9)</f>
        <v>0</v>
      </c>
      <c r="CJ873" s="693">
        <f>SUMIFS(Imput[[Importe Neto]:[Importe Neto]],Imput[[C. Imp.]:[C. Imp.]],$D873,Imput[[PERIODO Imp.]:[PERIODO Imp.]],CJ$9)</f>
        <v>0</v>
      </c>
      <c r="CK873" s="693">
        <f>SUMIFS(Imput[[Importe Neto]:[Importe Neto]],Imput[[C. Imp.]:[C. Imp.]],$D873,Imput[[PERIODO Imp.]:[PERIODO Imp.]],CK$9)</f>
        <v>0</v>
      </c>
      <c r="CL873" s="693">
        <f>SUMIFS(Imput[[Importe Neto]:[Importe Neto]],Imput[[C. Imp.]:[C. Imp.]],$D873,Imput[[PERIODO Imp.]:[PERIODO Imp.]],CL$9)</f>
        <v>0</v>
      </c>
      <c r="CM873" s="693">
        <f>SUMIFS(Imput[[Importe Neto]:[Importe Neto]],Imput[[C. Imp.]:[C. Imp.]],$D873,Imput[[PERIODO Imp.]:[PERIODO Imp.]],CM$9)</f>
        <v>0</v>
      </c>
      <c r="CN873" s="693">
        <f>SUMIFS(Imput[[Importe Neto]:[Importe Neto]],Imput[[C. Imp.]:[C. Imp.]],$D873,Imput[[PERIODO Imp.]:[PERIODO Imp.]],CN$9)</f>
        <v>0</v>
      </c>
      <c r="CO873" s="693">
        <f>SUMIFS(Imput[[Importe Neto]:[Importe Neto]],Imput[[C. Imp.]:[C. Imp.]],$D873,Imput[[PERIODO Imp.]:[PERIODO Imp.]],CO$9)</f>
        <v>0</v>
      </c>
      <c r="CP873" s="693">
        <f>SUMIFS(Imput[[Importe Neto]:[Importe Neto]],Imput[[C. Imp.]:[C. Imp.]],$D873,Imput[[PERIODO Imp.]:[PERIODO Imp.]],CP$9)</f>
        <v>0</v>
      </c>
      <c r="CQ873" s="693">
        <f>SUMIFS(Imput[[Importe Neto]:[Importe Neto]],Imput[[C. Imp.]:[C. Imp.]],$D873,Imput[[PERIODO Imp.]:[PERIODO Imp.]],CQ$9)</f>
        <v>0</v>
      </c>
      <c r="CR873" s="693">
        <f>SUMIFS(Imput[[Importe Neto]:[Importe Neto]],Imput[[C. Imp.]:[C. Imp.]],$D873,Imput[[PERIODO Imp.]:[PERIODO Imp.]],CR$9)</f>
        <v>0</v>
      </c>
      <c r="CS873" s="693">
        <f>SUMIFS(Imput[[Importe Neto]:[Importe Neto]],Imput[[C. Imp.]:[C. Imp.]],$D873,Imput[[PERIODO Imp.]:[PERIODO Imp.]],CS$9)</f>
        <v>0</v>
      </c>
      <c r="CT873" s="693">
        <f>SUMIFS(Imput[[Importe Neto]:[Importe Neto]],Imput[[C. Imp.]:[C. Imp.]],$D873,Imput[[PERIODO Imp.]:[PERIODO Imp.]],CT$9)</f>
        <v>0</v>
      </c>
      <c r="CU873" s="693">
        <f>SUMIFS(Imput[[Importe Neto]:[Importe Neto]],Imput[[C. Imp.]:[C. Imp.]],$D873,Imput[[PERIODO Imp.]:[PERIODO Imp.]],CU$9)</f>
        <v>0</v>
      </c>
      <c r="CV873" s="693">
        <f>SUMIFS(Imput[[Importe Neto]:[Importe Neto]],Imput[[C. Imp.]:[C. Imp.]],$D873,Imput[[PERIODO Imp.]:[PERIODO Imp.]],CV$9)</f>
        <v>0</v>
      </c>
      <c r="CW873" s="693">
        <f>SUMIFS(Imput[[Importe Neto]:[Importe Neto]],Imput[[C. Imp.]:[C. Imp.]],$D873,Imput[[PERIODO Imp.]:[PERIODO Imp.]],CW$9)</f>
        <v>0</v>
      </c>
      <c r="CX873" s="693">
        <f>SUMIFS(Imput[[Importe Neto]:[Importe Neto]],Imput[[C. Imp.]:[C. Imp.]],$D873,Imput[[PERIODO Imp.]:[PERIODO Imp.]],CX$9)</f>
        <v>0</v>
      </c>
      <c r="CY873" s="693">
        <f>SUMIFS(Imput[[Importe Neto]:[Importe Neto]],Imput[[C. Imp.]:[C. Imp.]],$D873,Imput[[PERIODO Imp.]:[PERIODO Imp.]],CY$9)</f>
        <v>0</v>
      </c>
      <c r="CZ873" s="693">
        <f>SUMIFS(Imput[[Importe Neto]:[Importe Neto]],Imput[[C. Imp.]:[C. Imp.]],$D873,Imput[[PERIODO Imp.]:[PERIODO Imp.]],CZ$9)</f>
        <v>0</v>
      </c>
      <c r="DA873" s="693">
        <f>SUMIFS(Imput[[Importe Neto]:[Importe Neto]],Imput[[C. Imp.]:[C. Imp.]],$D873,Imput[[PERIODO Imp.]:[PERIODO Imp.]],DA$9)</f>
        <v>0</v>
      </c>
      <c r="DB873" s="693">
        <f>SUMIFS(Imput[[Importe Neto]:[Importe Neto]],Imput[[C. Imp.]:[C. Imp.]],$D873,Imput[[PERIODO Imp.]:[PERIODO Imp.]],DB$9)</f>
        <v>0</v>
      </c>
      <c r="DC873" s="693">
        <f>SUMIFS(Imput[[Importe Neto]:[Importe Neto]],Imput[[C. Imp.]:[C. Imp.]],$D873,Imput[[PERIODO Imp.]:[PERIODO Imp.]],DC$9)</f>
        <v>0</v>
      </c>
      <c r="DD873" s="693">
        <f>SUMIFS(Imput[[Importe Neto]:[Importe Neto]],Imput[[C. Imp.]:[C. Imp.]],$D873,Imput[[PERIODO Imp.]:[PERIODO Imp.]],DD$9)</f>
        <v>0</v>
      </c>
      <c r="DE873" s="693">
        <f>SUMIFS(Imput[[Importe Neto]:[Importe Neto]],Imput[[C. Imp.]:[C. Imp.]],$D873,Imput[[PERIODO Imp.]:[PERIODO Imp.]],DE$9)</f>
        <v>0</v>
      </c>
      <c r="DF873" s="693">
        <f>SUMIFS(Imput[[Importe Neto]:[Importe Neto]],Imput[[C. Imp.]:[C. Imp.]],$D873,Imput[[PERIODO Imp.]:[PERIODO Imp.]],DF$9)</f>
        <v>0</v>
      </c>
      <c r="DG873" s="693">
        <f>SUMIFS(Imput[[Importe Neto]:[Importe Neto]],Imput[[C. Imp.]:[C. Imp.]],$D873,Imput[[PERIODO Imp.]:[PERIODO Imp.]],DG$9)</f>
        <v>0</v>
      </c>
      <c r="DH873" s="694">
        <f>SUMIFS(Imput[[Importe Neto]:[Importe Neto]],Imput[[C. Imp.]:[C. Imp.]],$D873,Imput[[PERIODO Imp.]:[PERIODO Imp.]],DH$9)</f>
        <v>0</v>
      </c>
    </row>
    <row r="874" spans="1:112" s="649" customFormat="1" hidden="1" outlineLevel="1" x14ac:dyDescent="0.3">
      <c r="A874" s="652" t="str">
        <f t="shared" si="290"/>
        <v/>
      </c>
      <c r="B874" s="652"/>
      <c r="C874" s="685"/>
      <c r="D874" s="686" t="s">
        <v>2850</v>
      </c>
      <c r="E874" s="686"/>
      <c r="F874" s="720"/>
      <c r="G874" s="688"/>
      <c r="H874" s="689"/>
      <c r="I874" s="851" t="str">
        <f t="shared" si="295"/>
        <v/>
      </c>
      <c r="J874" s="850" t="str">
        <f t="shared" si="292"/>
        <v/>
      </c>
      <c r="K874" s="667"/>
      <c r="L874" s="858"/>
      <c r="M874" s="859"/>
      <c r="N874" s="859"/>
      <c r="O874" s="859"/>
      <c r="P874" s="859"/>
      <c r="Q874" s="859"/>
      <c r="R874" s="859"/>
      <c r="S874" s="859"/>
      <c r="T874" s="859"/>
      <c r="U874" s="859"/>
      <c r="V874" s="859"/>
      <c r="W874" s="859"/>
      <c r="X874" s="859"/>
      <c r="Y874" s="859"/>
      <c r="Z874" s="860"/>
      <c r="AA874" s="860"/>
      <c r="AB874" s="860"/>
      <c r="AC874" s="860"/>
      <c r="AD874" s="860"/>
      <c r="AE874" s="860"/>
      <c r="AF874" s="860"/>
      <c r="AG874" s="860"/>
      <c r="AH874" s="860"/>
      <c r="AI874" s="860"/>
      <c r="AJ874" s="860"/>
      <c r="AK874" s="860"/>
      <c r="AL874" s="860"/>
      <c r="AM874" s="860"/>
      <c r="AN874" s="860"/>
      <c r="AO874" s="860"/>
      <c r="AP874" s="860"/>
      <c r="AQ874" s="860"/>
      <c r="AR874" s="860"/>
      <c r="AS874" s="860"/>
      <c r="AT874" s="860"/>
      <c r="AU874" s="860"/>
      <c r="AV874" s="860"/>
      <c r="AW874" s="860"/>
      <c r="AX874" s="860"/>
      <c r="AY874" s="860"/>
      <c r="AZ874" s="860"/>
      <c r="BA874" s="860"/>
      <c r="BB874" s="860"/>
      <c r="BC874" s="860"/>
      <c r="BD874" s="860"/>
      <c r="BE874" s="860"/>
      <c r="BF874" s="860"/>
      <c r="BG874" s="860"/>
      <c r="BH874" s="668"/>
      <c r="BI874" s="667"/>
      <c r="BJ874" s="690">
        <f t="shared" si="296"/>
        <v>0</v>
      </c>
      <c r="BK874" s="691">
        <f t="shared" si="297"/>
        <v>0</v>
      </c>
      <c r="BL874" s="654"/>
      <c r="BM874" s="692">
        <f>SUMIFS(Imput[[Importe Neto]:[Importe Neto]],Imput[[C. Imp.]:[C. Imp.]],$D874,Imput[[PERIODO Imp.]:[PERIODO Imp.]],BM$9)</f>
        <v>0</v>
      </c>
      <c r="BN874" s="693">
        <f>SUMIFS(Imput[[Importe Neto]:[Importe Neto]],Imput[[C. Imp.]:[C. Imp.]],$D874,Imput[[PERIODO Imp.]:[PERIODO Imp.]],BN$9)</f>
        <v>0</v>
      </c>
      <c r="BO874" s="693">
        <f>SUMIFS(Imput[[Importe Neto]:[Importe Neto]],Imput[[C. Imp.]:[C. Imp.]],$D874,Imput[[PERIODO Imp.]:[PERIODO Imp.]],BO$9)</f>
        <v>0</v>
      </c>
      <c r="BP874" s="693">
        <f>SUMIFS(Imput[[Importe Neto]:[Importe Neto]],Imput[[C. Imp.]:[C. Imp.]],$D874,Imput[[PERIODO Imp.]:[PERIODO Imp.]],BP$9)</f>
        <v>0</v>
      </c>
      <c r="BQ874" s="693">
        <f>SUMIFS(Imput[[Importe Neto]:[Importe Neto]],Imput[[C. Imp.]:[C. Imp.]],$D874,Imput[[PERIODO Imp.]:[PERIODO Imp.]],BQ$9)</f>
        <v>0</v>
      </c>
      <c r="BR874" s="693">
        <f>SUMIFS(Imput[[Importe Neto]:[Importe Neto]],Imput[[C. Imp.]:[C. Imp.]],$D874,Imput[[PERIODO Imp.]:[PERIODO Imp.]],BR$9)</f>
        <v>0</v>
      </c>
      <c r="BS874" s="693">
        <f>SUMIFS(Imput[[Importe Neto]:[Importe Neto]],Imput[[C. Imp.]:[C. Imp.]],$D874,Imput[[PERIODO Imp.]:[PERIODO Imp.]],BS$9)</f>
        <v>0</v>
      </c>
      <c r="BT874" s="693">
        <f>SUMIFS(Imput[[Importe Neto]:[Importe Neto]],Imput[[C. Imp.]:[C. Imp.]],$D874,Imput[[PERIODO Imp.]:[PERIODO Imp.]],BT$9)</f>
        <v>0</v>
      </c>
      <c r="BU874" s="693">
        <f>SUMIFS(Imput[[Importe Neto]:[Importe Neto]],Imput[[C. Imp.]:[C. Imp.]],$D874,Imput[[PERIODO Imp.]:[PERIODO Imp.]],BU$9)</f>
        <v>0</v>
      </c>
      <c r="BV874" s="693">
        <f>SUMIFS(Imput[[Importe Neto]:[Importe Neto]],Imput[[C. Imp.]:[C. Imp.]],$D874,Imput[[PERIODO Imp.]:[PERIODO Imp.]],BV$9)</f>
        <v>0</v>
      </c>
      <c r="BW874" s="693">
        <f>SUMIFS(Imput[[Importe Neto]:[Importe Neto]],Imput[[C. Imp.]:[C. Imp.]],$D874,Imput[[PERIODO Imp.]:[PERIODO Imp.]],BW$9)</f>
        <v>0</v>
      </c>
      <c r="BX874" s="693">
        <f>SUMIFS(Imput[[Importe Neto]:[Importe Neto]],Imput[[C. Imp.]:[C. Imp.]],$D874,Imput[[PERIODO Imp.]:[PERIODO Imp.]],BX$9)</f>
        <v>0</v>
      </c>
      <c r="BY874" s="693">
        <f>SUMIFS(Imput[[Importe Neto]:[Importe Neto]],Imput[[C. Imp.]:[C. Imp.]],$D874,Imput[[PERIODO Imp.]:[PERIODO Imp.]],BY$9)</f>
        <v>0</v>
      </c>
      <c r="BZ874" s="693">
        <f>SUMIFS(Imput[[Importe Neto]:[Importe Neto]],Imput[[C. Imp.]:[C. Imp.]],$D874,Imput[[PERIODO Imp.]:[PERIODO Imp.]],BZ$9)</f>
        <v>0</v>
      </c>
      <c r="CA874" s="693">
        <f>SUMIFS(Imput[[Importe Neto]:[Importe Neto]],Imput[[C. Imp.]:[C. Imp.]],$D874,Imput[[PERIODO Imp.]:[PERIODO Imp.]],CA$9)</f>
        <v>0</v>
      </c>
      <c r="CB874" s="693">
        <f>SUMIFS(Imput[[Importe Neto]:[Importe Neto]],Imput[[C. Imp.]:[C. Imp.]],$D874,Imput[[PERIODO Imp.]:[PERIODO Imp.]],CB$9)</f>
        <v>0</v>
      </c>
      <c r="CC874" s="693">
        <f>SUMIFS(Imput[[Importe Neto]:[Importe Neto]],Imput[[C. Imp.]:[C. Imp.]],$D874,Imput[[PERIODO Imp.]:[PERIODO Imp.]],CC$9)</f>
        <v>0</v>
      </c>
      <c r="CD874" s="693">
        <f>SUMIFS(Imput[[Importe Neto]:[Importe Neto]],Imput[[C. Imp.]:[C. Imp.]],$D874,Imput[[PERIODO Imp.]:[PERIODO Imp.]],CD$9)</f>
        <v>0</v>
      </c>
      <c r="CE874" s="693">
        <f>SUMIFS(Imput[[Importe Neto]:[Importe Neto]],Imput[[C. Imp.]:[C. Imp.]],$D874,Imput[[PERIODO Imp.]:[PERIODO Imp.]],CE$9)</f>
        <v>0</v>
      </c>
      <c r="CF874" s="693">
        <f>SUMIFS(Imput[[Importe Neto]:[Importe Neto]],Imput[[C. Imp.]:[C. Imp.]],$D874,Imput[[PERIODO Imp.]:[PERIODO Imp.]],CF$9)</f>
        <v>0</v>
      </c>
      <c r="CG874" s="693">
        <f>SUMIFS(Imput[[Importe Neto]:[Importe Neto]],Imput[[C. Imp.]:[C. Imp.]],$D874,Imput[[PERIODO Imp.]:[PERIODO Imp.]],CG$9)</f>
        <v>0</v>
      </c>
      <c r="CH874" s="693">
        <f>SUMIFS(Imput[[Importe Neto]:[Importe Neto]],Imput[[C. Imp.]:[C. Imp.]],$D874,Imput[[PERIODO Imp.]:[PERIODO Imp.]],CH$9)</f>
        <v>0</v>
      </c>
      <c r="CI874" s="693">
        <f>SUMIFS(Imput[[Importe Neto]:[Importe Neto]],Imput[[C. Imp.]:[C. Imp.]],$D874,Imput[[PERIODO Imp.]:[PERIODO Imp.]],CI$9)</f>
        <v>0</v>
      </c>
      <c r="CJ874" s="693">
        <f>SUMIFS(Imput[[Importe Neto]:[Importe Neto]],Imput[[C. Imp.]:[C. Imp.]],$D874,Imput[[PERIODO Imp.]:[PERIODO Imp.]],CJ$9)</f>
        <v>0</v>
      </c>
      <c r="CK874" s="693">
        <f>SUMIFS(Imput[[Importe Neto]:[Importe Neto]],Imput[[C. Imp.]:[C. Imp.]],$D874,Imput[[PERIODO Imp.]:[PERIODO Imp.]],CK$9)</f>
        <v>0</v>
      </c>
      <c r="CL874" s="693">
        <f>SUMIFS(Imput[[Importe Neto]:[Importe Neto]],Imput[[C. Imp.]:[C. Imp.]],$D874,Imput[[PERIODO Imp.]:[PERIODO Imp.]],CL$9)</f>
        <v>0</v>
      </c>
      <c r="CM874" s="693">
        <f>SUMIFS(Imput[[Importe Neto]:[Importe Neto]],Imput[[C. Imp.]:[C. Imp.]],$D874,Imput[[PERIODO Imp.]:[PERIODO Imp.]],CM$9)</f>
        <v>0</v>
      </c>
      <c r="CN874" s="693">
        <f>SUMIFS(Imput[[Importe Neto]:[Importe Neto]],Imput[[C. Imp.]:[C. Imp.]],$D874,Imput[[PERIODO Imp.]:[PERIODO Imp.]],CN$9)</f>
        <v>0</v>
      </c>
      <c r="CO874" s="693">
        <f>SUMIFS(Imput[[Importe Neto]:[Importe Neto]],Imput[[C. Imp.]:[C. Imp.]],$D874,Imput[[PERIODO Imp.]:[PERIODO Imp.]],CO$9)</f>
        <v>0</v>
      </c>
      <c r="CP874" s="693">
        <f>SUMIFS(Imput[[Importe Neto]:[Importe Neto]],Imput[[C. Imp.]:[C. Imp.]],$D874,Imput[[PERIODO Imp.]:[PERIODO Imp.]],CP$9)</f>
        <v>0</v>
      </c>
      <c r="CQ874" s="693">
        <f>SUMIFS(Imput[[Importe Neto]:[Importe Neto]],Imput[[C. Imp.]:[C. Imp.]],$D874,Imput[[PERIODO Imp.]:[PERIODO Imp.]],CQ$9)</f>
        <v>0</v>
      </c>
      <c r="CR874" s="693">
        <f>SUMIFS(Imput[[Importe Neto]:[Importe Neto]],Imput[[C. Imp.]:[C. Imp.]],$D874,Imput[[PERIODO Imp.]:[PERIODO Imp.]],CR$9)</f>
        <v>0</v>
      </c>
      <c r="CS874" s="693">
        <f>SUMIFS(Imput[[Importe Neto]:[Importe Neto]],Imput[[C. Imp.]:[C. Imp.]],$D874,Imput[[PERIODO Imp.]:[PERIODO Imp.]],CS$9)</f>
        <v>0</v>
      </c>
      <c r="CT874" s="693">
        <f>SUMIFS(Imput[[Importe Neto]:[Importe Neto]],Imput[[C. Imp.]:[C. Imp.]],$D874,Imput[[PERIODO Imp.]:[PERIODO Imp.]],CT$9)</f>
        <v>0</v>
      </c>
      <c r="CU874" s="693">
        <f>SUMIFS(Imput[[Importe Neto]:[Importe Neto]],Imput[[C. Imp.]:[C. Imp.]],$D874,Imput[[PERIODO Imp.]:[PERIODO Imp.]],CU$9)</f>
        <v>0</v>
      </c>
      <c r="CV874" s="693">
        <f>SUMIFS(Imput[[Importe Neto]:[Importe Neto]],Imput[[C. Imp.]:[C. Imp.]],$D874,Imput[[PERIODO Imp.]:[PERIODO Imp.]],CV$9)</f>
        <v>0</v>
      </c>
      <c r="CW874" s="693">
        <f>SUMIFS(Imput[[Importe Neto]:[Importe Neto]],Imput[[C. Imp.]:[C. Imp.]],$D874,Imput[[PERIODO Imp.]:[PERIODO Imp.]],CW$9)</f>
        <v>0</v>
      </c>
      <c r="CX874" s="693">
        <f>SUMIFS(Imput[[Importe Neto]:[Importe Neto]],Imput[[C. Imp.]:[C. Imp.]],$D874,Imput[[PERIODO Imp.]:[PERIODO Imp.]],CX$9)</f>
        <v>0</v>
      </c>
      <c r="CY874" s="693">
        <f>SUMIFS(Imput[[Importe Neto]:[Importe Neto]],Imput[[C. Imp.]:[C. Imp.]],$D874,Imput[[PERIODO Imp.]:[PERIODO Imp.]],CY$9)</f>
        <v>0</v>
      </c>
      <c r="CZ874" s="693">
        <f>SUMIFS(Imput[[Importe Neto]:[Importe Neto]],Imput[[C. Imp.]:[C. Imp.]],$D874,Imput[[PERIODO Imp.]:[PERIODO Imp.]],CZ$9)</f>
        <v>0</v>
      </c>
      <c r="DA874" s="693">
        <f>SUMIFS(Imput[[Importe Neto]:[Importe Neto]],Imput[[C. Imp.]:[C. Imp.]],$D874,Imput[[PERIODO Imp.]:[PERIODO Imp.]],DA$9)</f>
        <v>0</v>
      </c>
      <c r="DB874" s="693">
        <f>SUMIFS(Imput[[Importe Neto]:[Importe Neto]],Imput[[C. Imp.]:[C. Imp.]],$D874,Imput[[PERIODO Imp.]:[PERIODO Imp.]],DB$9)</f>
        <v>0</v>
      </c>
      <c r="DC874" s="693">
        <f>SUMIFS(Imput[[Importe Neto]:[Importe Neto]],Imput[[C. Imp.]:[C. Imp.]],$D874,Imput[[PERIODO Imp.]:[PERIODO Imp.]],DC$9)</f>
        <v>0</v>
      </c>
      <c r="DD874" s="693">
        <f>SUMIFS(Imput[[Importe Neto]:[Importe Neto]],Imput[[C. Imp.]:[C. Imp.]],$D874,Imput[[PERIODO Imp.]:[PERIODO Imp.]],DD$9)</f>
        <v>0</v>
      </c>
      <c r="DE874" s="693">
        <f>SUMIFS(Imput[[Importe Neto]:[Importe Neto]],Imput[[C. Imp.]:[C. Imp.]],$D874,Imput[[PERIODO Imp.]:[PERIODO Imp.]],DE$9)</f>
        <v>0</v>
      </c>
      <c r="DF874" s="693">
        <f>SUMIFS(Imput[[Importe Neto]:[Importe Neto]],Imput[[C. Imp.]:[C. Imp.]],$D874,Imput[[PERIODO Imp.]:[PERIODO Imp.]],DF$9)</f>
        <v>0</v>
      </c>
      <c r="DG874" s="693">
        <f>SUMIFS(Imput[[Importe Neto]:[Importe Neto]],Imput[[C. Imp.]:[C. Imp.]],$D874,Imput[[PERIODO Imp.]:[PERIODO Imp.]],DG$9)</f>
        <v>0</v>
      </c>
      <c r="DH874" s="694">
        <f>SUMIFS(Imput[[Importe Neto]:[Importe Neto]],Imput[[C. Imp.]:[C. Imp.]],$D874,Imput[[PERIODO Imp.]:[PERIODO Imp.]],DH$9)</f>
        <v>0</v>
      </c>
    </row>
    <row r="875" spans="1:112" s="649" customFormat="1" hidden="1" outlineLevel="1" x14ac:dyDescent="0.3">
      <c r="A875" s="652" t="str">
        <f t="shared" si="290"/>
        <v/>
      </c>
      <c r="B875" s="652"/>
      <c r="C875" s="685"/>
      <c r="D875" s="686" t="s">
        <v>2851</v>
      </c>
      <c r="E875" s="686"/>
      <c r="F875" s="720"/>
      <c r="G875" s="688"/>
      <c r="H875" s="696"/>
      <c r="I875" s="851" t="str">
        <f t="shared" si="295"/>
        <v/>
      </c>
      <c r="J875" s="850" t="str">
        <f t="shared" si="292"/>
        <v/>
      </c>
      <c r="K875" s="667"/>
      <c r="L875" s="858"/>
      <c r="M875" s="859"/>
      <c r="N875" s="859"/>
      <c r="O875" s="859"/>
      <c r="P875" s="859"/>
      <c r="Q875" s="859"/>
      <c r="R875" s="859"/>
      <c r="S875" s="859"/>
      <c r="T875" s="859"/>
      <c r="U875" s="859"/>
      <c r="V875" s="859"/>
      <c r="W875" s="859"/>
      <c r="X875" s="859"/>
      <c r="Y875" s="859"/>
      <c r="Z875" s="860"/>
      <c r="AA875" s="860"/>
      <c r="AB875" s="860"/>
      <c r="AC875" s="860"/>
      <c r="AD875" s="860"/>
      <c r="AE875" s="860"/>
      <c r="AF875" s="860"/>
      <c r="AG875" s="860"/>
      <c r="AH875" s="860"/>
      <c r="AI875" s="860"/>
      <c r="AJ875" s="860"/>
      <c r="AK875" s="860"/>
      <c r="AL875" s="860"/>
      <c r="AM875" s="860"/>
      <c r="AN875" s="860"/>
      <c r="AO875" s="860"/>
      <c r="AP875" s="860"/>
      <c r="AQ875" s="860"/>
      <c r="AR875" s="860"/>
      <c r="AS875" s="860"/>
      <c r="AT875" s="860"/>
      <c r="AU875" s="860"/>
      <c r="AV875" s="860"/>
      <c r="AW875" s="860"/>
      <c r="AX875" s="860"/>
      <c r="AY875" s="860"/>
      <c r="AZ875" s="860"/>
      <c r="BA875" s="860"/>
      <c r="BB875" s="860"/>
      <c r="BC875" s="860"/>
      <c r="BD875" s="860"/>
      <c r="BE875" s="860"/>
      <c r="BF875" s="860"/>
      <c r="BG875" s="860"/>
      <c r="BH875" s="668"/>
      <c r="BI875" s="667"/>
      <c r="BJ875" s="690">
        <f t="shared" si="296"/>
        <v>0</v>
      </c>
      <c r="BK875" s="691">
        <f t="shared" si="297"/>
        <v>0</v>
      </c>
      <c r="BL875" s="654"/>
      <c r="BM875" s="692">
        <f>SUMIFS(Imput[[Importe Neto]:[Importe Neto]],Imput[[C. Imp.]:[C. Imp.]],$D875,Imput[[PERIODO Imp.]:[PERIODO Imp.]],BM$9)</f>
        <v>0</v>
      </c>
      <c r="BN875" s="693">
        <f>SUMIFS(Imput[[Importe Neto]:[Importe Neto]],Imput[[C. Imp.]:[C. Imp.]],$D875,Imput[[PERIODO Imp.]:[PERIODO Imp.]],BN$9)</f>
        <v>0</v>
      </c>
      <c r="BO875" s="693">
        <f>SUMIFS(Imput[[Importe Neto]:[Importe Neto]],Imput[[C. Imp.]:[C. Imp.]],$D875,Imput[[PERIODO Imp.]:[PERIODO Imp.]],BO$9)</f>
        <v>0</v>
      </c>
      <c r="BP875" s="693">
        <f>SUMIFS(Imput[[Importe Neto]:[Importe Neto]],Imput[[C. Imp.]:[C. Imp.]],$D875,Imput[[PERIODO Imp.]:[PERIODO Imp.]],BP$9)</f>
        <v>0</v>
      </c>
      <c r="BQ875" s="693">
        <f>SUMIFS(Imput[[Importe Neto]:[Importe Neto]],Imput[[C. Imp.]:[C. Imp.]],$D875,Imput[[PERIODO Imp.]:[PERIODO Imp.]],BQ$9)</f>
        <v>0</v>
      </c>
      <c r="BR875" s="693">
        <f>SUMIFS(Imput[[Importe Neto]:[Importe Neto]],Imput[[C. Imp.]:[C. Imp.]],$D875,Imput[[PERIODO Imp.]:[PERIODO Imp.]],BR$9)</f>
        <v>0</v>
      </c>
      <c r="BS875" s="693">
        <f>SUMIFS(Imput[[Importe Neto]:[Importe Neto]],Imput[[C. Imp.]:[C. Imp.]],$D875,Imput[[PERIODO Imp.]:[PERIODO Imp.]],BS$9)</f>
        <v>0</v>
      </c>
      <c r="BT875" s="693">
        <f>SUMIFS(Imput[[Importe Neto]:[Importe Neto]],Imput[[C. Imp.]:[C. Imp.]],$D875,Imput[[PERIODO Imp.]:[PERIODO Imp.]],BT$9)</f>
        <v>0</v>
      </c>
      <c r="BU875" s="693">
        <f>SUMIFS(Imput[[Importe Neto]:[Importe Neto]],Imput[[C. Imp.]:[C. Imp.]],$D875,Imput[[PERIODO Imp.]:[PERIODO Imp.]],BU$9)</f>
        <v>0</v>
      </c>
      <c r="BV875" s="693">
        <f>SUMIFS(Imput[[Importe Neto]:[Importe Neto]],Imput[[C. Imp.]:[C. Imp.]],$D875,Imput[[PERIODO Imp.]:[PERIODO Imp.]],BV$9)</f>
        <v>0</v>
      </c>
      <c r="BW875" s="693">
        <f>SUMIFS(Imput[[Importe Neto]:[Importe Neto]],Imput[[C. Imp.]:[C. Imp.]],$D875,Imput[[PERIODO Imp.]:[PERIODO Imp.]],BW$9)</f>
        <v>0</v>
      </c>
      <c r="BX875" s="693">
        <f>SUMIFS(Imput[[Importe Neto]:[Importe Neto]],Imput[[C. Imp.]:[C. Imp.]],$D875,Imput[[PERIODO Imp.]:[PERIODO Imp.]],BX$9)</f>
        <v>0</v>
      </c>
      <c r="BY875" s="693">
        <f>SUMIFS(Imput[[Importe Neto]:[Importe Neto]],Imput[[C. Imp.]:[C. Imp.]],$D875,Imput[[PERIODO Imp.]:[PERIODO Imp.]],BY$9)</f>
        <v>0</v>
      </c>
      <c r="BZ875" s="693">
        <f>SUMIFS(Imput[[Importe Neto]:[Importe Neto]],Imput[[C. Imp.]:[C. Imp.]],$D875,Imput[[PERIODO Imp.]:[PERIODO Imp.]],BZ$9)</f>
        <v>0</v>
      </c>
      <c r="CA875" s="693">
        <f>SUMIFS(Imput[[Importe Neto]:[Importe Neto]],Imput[[C. Imp.]:[C. Imp.]],$D875,Imput[[PERIODO Imp.]:[PERIODO Imp.]],CA$9)</f>
        <v>0</v>
      </c>
      <c r="CB875" s="693">
        <f>SUMIFS(Imput[[Importe Neto]:[Importe Neto]],Imput[[C. Imp.]:[C. Imp.]],$D875,Imput[[PERIODO Imp.]:[PERIODO Imp.]],CB$9)</f>
        <v>0</v>
      </c>
      <c r="CC875" s="693">
        <f>SUMIFS(Imput[[Importe Neto]:[Importe Neto]],Imput[[C. Imp.]:[C. Imp.]],$D875,Imput[[PERIODO Imp.]:[PERIODO Imp.]],CC$9)</f>
        <v>0</v>
      </c>
      <c r="CD875" s="693">
        <f>SUMIFS(Imput[[Importe Neto]:[Importe Neto]],Imput[[C. Imp.]:[C. Imp.]],$D875,Imput[[PERIODO Imp.]:[PERIODO Imp.]],CD$9)</f>
        <v>0</v>
      </c>
      <c r="CE875" s="693">
        <f>SUMIFS(Imput[[Importe Neto]:[Importe Neto]],Imput[[C. Imp.]:[C. Imp.]],$D875,Imput[[PERIODO Imp.]:[PERIODO Imp.]],CE$9)</f>
        <v>0</v>
      </c>
      <c r="CF875" s="693">
        <f>SUMIFS(Imput[[Importe Neto]:[Importe Neto]],Imput[[C. Imp.]:[C. Imp.]],$D875,Imput[[PERIODO Imp.]:[PERIODO Imp.]],CF$9)</f>
        <v>0</v>
      </c>
      <c r="CG875" s="693">
        <f>SUMIFS(Imput[[Importe Neto]:[Importe Neto]],Imput[[C. Imp.]:[C. Imp.]],$D875,Imput[[PERIODO Imp.]:[PERIODO Imp.]],CG$9)</f>
        <v>0</v>
      </c>
      <c r="CH875" s="693">
        <f>SUMIFS(Imput[[Importe Neto]:[Importe Neto]],Imput[[C. Imp.]:[C. Imp.]],$D875,Imput[[PERIODO Imp.]:[PERIODO Imp.]],CH$9)</f>
        <v>0</v>
      </c>
      <c r="CI875" s="693">
        <f>SUMIFS(Imput[[Importe Neto]:[Importe Neto]],Imput[[C. Imp.]:[C. Imp.]],$D875,Imput[[PERIODO Imp.]:[PERIODO Imp.]],CI$9)</f>
        <v>0</v>
      </c>
      <c r="CJ875" s="693">
        <f>SUMIFS(Imput[[Importe Neto]:[Importe Neto]],Imput[[C. Imp.]:[C. Imp.]],$D875,Imput[[PERIODO Imp.]:[PERIODO Imp.]],CJ$9)</f>
        <v>0</v>
      </c>
      <c r="CK875" s="693">
        <f>SUMIFS(Imput[[Importe Neto]:[Importe Neto]],Imput[[C. Imp.]:[C. Imp.]],$D875,Imput[[PERIODO Imp.]:[PERIODO Imp.]],CK$9)</f>
        <v>0</v>
      </c>
      <c r="CL875" s="693">
        <f>SUMIFS(Imput[[Importe Neto]:[Importe Neto]],Imput[[C. Imp.]:[C. Imp.]],$D875,Imput[[PERIODO Imp.]:[PERIODO Imp.]],CL$9)</f>
        <v>0</v>
      </c>
      <c r="CM875" s="693">
        <f>SUMIFS(Imput[[Importe Neto]:[Importe Neto]],Imput[[C. Imp.]:[C. Imp.]],$D875,Imput[[PERIODO Imp.]:[PERIODO Imp.]],CM$9)</f>
        <v>0</v>
      </c>
      <c r="CN875" s="693">
        <f>SUMIFS(Imput[[Importe Neto]:[Importe Neto]],Imput[[C. Imp.]:[C. Imp.]],$D875,Imput[[PERIODO Imp.]:[PERIODO Imp.]],CN$9)</f>
        <v>0</v>
      </c>
      <c r="CO875" s="693">
        <f>SUMIFS(Imput[[Importe Neto]:[Importe Neto]],Imput[[C. Imp.]:[C. Imp.]],$D875,Imput[[PERIODO Imp.]:[PERIODO Imp.]],CO$9)</f>
        <v>0</v>
      </c>
      <c r="CP875" s="693">
        <f>SUMIFS(Imput[[Importe Neto]:[Importe Neto]],Imput[[C. Imp.]:[C. Imp.]],$D875,Imput[[PERIODO Imp.]:[PERIODO Imp.]],CP$9)</f>
        <v>0</v>
      </c>
      <c r="CQ875" s="693">
        <f>SUMIFS(Imput[[Importe Neto]:[Importe Neto]],Imput[[C. Imp.]:[C. Imp.]],$D875,Imput[[PERIODO Imp.]:[PERIODO Imp.]],CQ$9)</f>
        <v>0</v>
      </c>
      <c r="CR875" s="693">
        <f>SUMIFS(Imput[[Importe Neto]:[Importe Neto]],Imput[[C. Imp.]:[C. Imp.]],$D875,Imput[[PERIODO Imp.]:[PERIODO Imp.]],CR$9)</f>
        <v>0</v>
      </c>
      <c r="CS875" s="693">
        <f>SUMIFS(Imput[[Importe Neto]:[Importe Neto]],Imput[[C. Imp.]:[C. Imp.]],$D875,Imput[[PERIODO Imp.]:[PERIODO Imp.]],CS$9)</f>
        <v>0</v>
      </c>
      <c r="CT875" s="693">
        <f>SUMIFS(Imput[[Importe Neto]:[Importe Neto]],Imput[[C. Imp.]:[C. Imp.]],$D875,Imput[[PERIODO Imp.]:[PERIODO Imp.]],CT$9)</f>
        <v>0</v>
      </c>
      <c r="CU875" s="693">
        <f>SUMIFS(Imput[[Importe Neto]:[Importe Neto]],Imput[[C. Imp.]:[C. Imp.]],$D875,Imput[[PERIODO Imp.]:[PERIODO Imp.]],CU$9)</f>
        <v>0</v>
      </c>
      <c r="CV875" s="693">
        <f>SUMIFS(Imput[[Importe Neto]:[Importe Neto]],Imput[[C. Imp.]:[C. Imp.]],$D875,Imput[[PERIODO Imp.]:[PERIODO Imp.]],CV$9)</f>
        <v>0</v>
      </c>
      <c r="CW875" s="693">
        <f>SUMIFS(Imput[[Importe Neto]:[Importe Neto]],Imput[[C. Imp.]:[C. Imp.]],$D875,Imput[[PERIODO Imp.]:[PERIODO Imp.]],CW$9)</f>
        <v>0</v>
      </c>
      <c r="CX875" s="693">
        <f>SUMIFS(Imput[[Importe Neto]:[Importe Neto]],Imput[[C. Imp.]:[C. Imp.]],$D875,Imput[[PERIODO Imp.]:[PERIODO Imp.]],CX$9)</f>
        <v>0</v>
      </c>
      <c r="CY875" s="693">
        <f>SUMIFS(Imput[[Importe Neto]:[Importe Neto]],Imput[[C. Imp.]:[C. Imp.]],$D875,Imput[[PERIODO Imp.]:[PERIODO Imp.]],CY$9)</f>
        <v>0</v>
      </c>
      <c r="CZ875" s="693">
        <f>SUMIFS(Imput[[Importe Neto]:[Importe Neto]],Imput[[C. Imp.]:[C. Imp.]],$D875,Imput[[PERIODO Imp.]:[PERIODO Imp.]],CZ$9)</f>
        <v>0</v>
      </c>
      <c r="DA875" s="693">
        <f>SUMIFS(Imput[[Importe Neto]:[Importe Neto]],Imput[[C. Imp.]:[C. Imp.]],$D875,Imput[[PERIODO Imp.]:[PERIODO Imp.]],DA$9)</f>
        <v>0</v>
      </c>
      <c r="DB875" s="693">
        <f>SUMIFS(Imput[[Importe Neto]:[Importe Neto]],Imput[[C. Imp.]:[C. Imp.]],$D875,Imput[[PERIODO Imp.]:[PERIODO Imp.]],DB$9)</f>
        <v>0</v>
      </c>
      <c r="DC875" s="693">
        <f>SUMIFS(Imput[[Importe Neto]:[Importe Neto]],Imput[[C. Imp.]:[C. Imp.]],$D875,Imput[[PERIODO Imp.]:[PERIODO Imp.]],DC$9)</f>
        <v>0</v>
      </c>
      <c r="DD875" s="693">
        <f>SUMIFS(Imput[[Importe Neto]:[Importe Neto]],Imput[[C. Imp.]:[C. Imp.]],$D875,Imput[[PERIODO Imp.]:[PERIODO Imp.]],DD$9)</f>
        <v>0</v>
      </c>
      <c r="DE875" s="693">
        <f>SUMIFS(Imput[[Importe Neto]:[Importe Neto]],Imput[[C. Imp.]:[C. Imp.]],$D875,Imput[[PERIODO Imp.]:[PERIODO Imp.]],DE$9)</f>
        <v>0</v>
      </c>
      <c r="DF875" s="693">
        <f>SUMIFS(Imput[[Importe Neto]:[Importe Neto]],Imput[[C. Imp.]:[C. Imp.]],$D875,Imput[[PERIODO Imp.]:[PERIODO Imp.]],DF$9)</f>
        <v>0</v>
      </c>
      <c r="DG875" s="693">
        <f>SUMIFS(Imput[[Importe Neto]:[Importe Neto]],Imput[[C. Imp.]:[C. Imp.]],$D875,Imput[[PERIODO Imp.]:[PERIODO Imp.]],DG$9)</f>
        <v>0</v>
      </c>
      <c r="DH875" s="694">
        <f>SUMIFS(Imput[[Importe Neto]:[Importe Neto]],Imput[[C. Imp.]:[C. Imp.]],$D875,Imput[[PERIODO Imp.]:[PERIODO Imp.]],DH$9)</f>
        <v>0</v>
      </c>
    </row>
    <row r="876" spans="1:112" s="649" customFormat="1" hidden="1" outlineLevel="1" x14ac:dyDescent="0.3">
      <c r="A876" s="652" t="str">
        <f t="shared" si="290"/>
        <v/>
      </c>
      <c r="B876" s="652"/>
      <c r="C876" s="685"/>
      <c r="D876" s="686" t="s">
        <v>2852</v>
      </c>
      <c r="E876" s="686"/>
      <c r="F876" s="720"/>
      <c r="G876" s="688"/>
      <c r="H876" s="696"/>
      <c r="I876" s="851" t="str">
        <f t="shared" si="295"/>
        <v/>
      </c>
      <c r="J876" s="850" t="str">
        <f t="shared" si="292"/>
        <v/>
      </c>
      <c r="K876" s="667"/>
      <c r="L876" s="858"/>
      <c r="M876" s="859"/>
      <c r="N876" s="859"/>
      <c r="O876" s="859"/>
      <c r="P876" s="859"/>
      <c r="Q876" s="859"/>
      <c r="R876" s="859"/>
      <c r="S876" s="859"/>
      <c r="T876" s="859"/>
      <c r="U876" s="859"/>
      <c r="V876" s="859"/>
      <c r="W876" s="859"/>
      <c r="X876" s="859"/>
      <c r="Y876" s="859"/>
      <c r="Z876" s="860"/>
      <c r="AA876" s="860"/>
      <c r="AB876" s="860"/>
      <c r="AC876" s="860"/>
      <c r="AD876" s="860"/>
      <c r="AE876" s="860"/>
      <c r="AF876" s="860"/>
      <c r="AG876" s="860"/>
      <c r="AH876" s="860"/>
      <c r="AI876" s="860"/>
      <c r="AJ876" s="860"/>
      <c r="AK876" s="860"/>
      <c r="AL876" s="860"/>
      <c r="AM876" s="860"/>
      <c r="AN876" s="860"/>
      <c r="AO876" s="860"/>
      <c r="AP876" s="860"/>
      <c r="AQ876" s="860"/>
      <c r="AR876" s="860"/>
      <c r="AS876" s="860"/>
      <c r="AT876" s="860"/>
      <c r="AU876" s="860"/>
      <c r="AV876" s="860"/>
      <c r="AW876" s="860"/>
      <c r="AX876" s="860"/>
      <c r="AY876" s="860"/>
      <c r="AZ876" s="860"/>
      <c r="BA876" s="860"/>
      <c r="BB876" s="860"/>
      <c r="BC876" s="860"/>
      <c r="BD876" s="860"/>
      <c r="BE876" s="860"/>
      <c r="BF876" s="860"/>
      <c r="BG876" s="860"/>
      <c r="BH876" s="668"/>
      <c r="BI876" s="667"/>
      <c r="BJ876" s="690">
        <f t="shared" si="296"/>
        <v>0</v>
      </c>
      <c r="BK876" s="691">
        <f t="shared" si="297"/>
        <v>0</v>
      </c>
      <c r="BL876" s="654"/>
      <c r="BM876" s="692">
        <f>SUMIFS(Imput[[Importe Neto]:[Importe Neto]],Imput[[C. Imp.]:[C. Imp.]],$D876,Imput[[PERIODO Imp.]:[PERIODO Imp.]],BM$9)</f>
        <v>0</v>
      </c>
      <c r="BN876" s="693">
        <f>SUMIFS(Imput[[Importe Neto]:[Importe Neto]],Imput[[C. Imp.]:[C. Imp.]],$D876,Imput[[PERIODO Imp.]:[PERIODO Imp.]],BN$9)</f>
        <v>0</v>
      </c>
      <c r="BO876" s="693">
        <f>SUMIFS(Imput[[Importe Neto]:[Importe Neto]],Imput[[C. Imp.]:[C. Imp.]],$D876,Imput[[PERIODO Imp.]:[PERIODO Imp.]],BO$9)</f>
        <v>0</v>
      </c>
      <c r="BP876" s="693">
        <f>SUMIFS(Imput[[Importe Neto]:[Importe Neto]],Imput[[C. Imp.]:[C. Imp.]],$D876,Imput[[PERIODO Imp.]:[PERIODO Imp.]],BP$9)</f>
        <v>0</v>
      </c>
      <c r="BQ876" s="693">
        <f>SUMIFS(Imput[[Importe Neto]:[Importe Neto]],Imput[[C. Imp.]:[C. Imp.]],$D876,Imput[[PERIODO Imp.]:[PERIODO Imp.]],BQ$9)</f>
        <v>0</v>
      </c>
      <c r="BR876" s="693">
        <f>SUMIFS(Imput[[Importe Neto]:[Importe Neto]],Imput[[C. Imp.]:[C. Imp.]],$D876,Imput[[PERIODO Imp.]:[PERIODO Imp.]],BR$9)</f>
        <v>0</v>
      </c>
      <c r="BS876" s="693">
        <f>SUMIFS(Imput[[Importe Neto]:[Importe Neto]],Imput[[C. Imp.]:[C. Imp.]],$D876,Imput[[PERIODO Imp.]:[PERIODO Imp.]],BS$9)</f>
        <v>0</v>
      </c>
      <c r="BT876" s="693">
        <f>SUMIFS(Imput[[Importe Neto]:[Importe Neto]],Imput[[C. Imp.]:[C. Imp.]],$D876,Imput[[PERIODO Imp.]:[PERIODO Imp.]],BT$9)</f>
        <v>0</v>
      </c>
      <c r="BU876" s="693">
        <f>SUMIFS(Imput[[Importe Neto]:[Importe Neto]],Imput[[C. Imp.]:[C. Imp.]],$D876,Imput[[PERIODO Imp.]:[PERIODO Imp.]],BU$9)</f>
        <v>0</v>
      </c>
      <c r="BV876" s="693">
        <f>SUMIFS(Imput[[Importe Neto]:[Importe Neto]],Imput[[C. Imp.]:[C. Imp.]],$D876,Imput[[PERIODO Imp.]:[PERIODO Imp.]],BV$9)</f>
        <v>0</v>
      </c>
      <c r="BW876" s="693">
        <f>SUMIFS(Imput[[Importe Neto]:[Importe Neto]],Imput[[C. Imp.]:[C. Imp.]],$D876,Imput[[PERIODO Imp.]:[PERIODO Imp.]],BW$9)</f>
        <v>0</v>
      </c>
      <c r="BX876" s="693">
        <f>SUMIFS(Imput[[Importe Neto]:[Importe Neto]],Imput[[C. Imp.]:[C. Imp.]],$D876,Imput[[PERIODO Imp.]:[PERIODO Imp.]],BX$9)</f>
        <v>0</v>
      </c>
      <c r="BY876" s="693">
        <f>SUMIFS(Imput[[Importe Neto]:[Importe Neto]],Imput[[C. Imp.]:[C. Imp.]],$D876,Imput[[PERIODO Imp.]:[PERIODO Imp.]],BY$9)</f>
        <v>0</v>
      </c>
      <c r="BZ876" s="693">
        <f>SUMIFS(Imput[[Importe Neto]:[Importe Neto]],Imput[[C. Imp.]:[C. Imp.]],$D876,Imput[[PERIODO Imp.]:[PERIODO Imp.]],BZ$9)</f>
        <v>0</v>
      </c>
      <c r="CA876" s="693">
        <f>SUMIFS(Imput[[Importe Neto]:[Importe Neto]],Imput[[C. Imp.]:[C. Imp.]],$D876,Imput[[PERIODO Imp.]:[PERIODO Imp.]],CA$9)</f>
        <v>0</v>
      </c>
      <c r="CB876" s="693">
        <f>SUMIFS(Imput[[Importe Neto]:[Importe Neto]],Imput[[C. Imp.]:[C. Imp.]],$D876,Imput[[PERIODO Imp.]:[PERIODO Imp.]],CB$9)</f>
        <v>0</v>
      </c>
      <c r="CC876" s="693">
        <f>SUMIFS(Imput[[Importe Neto]:[Importe Neto]],Imput[[C. Imp.]:[C. Imp.]],$D876,Imput[[PERIODO Imp.]:[PERIODO Imp.]],CC$9)</f>
        <v>0</v>
      </c>
      <c r="CD876" s="693">
        <f>SUMIFS(Imput[[Importe Neto]:[Importe Neto]],Imput[[C. Imp.]:[C. Imp.]],$D876,Imput[[PERIODO Imp.]:[PERIODO Imp.]],CD$9)</f>
        <v>0</v>
      </c>
      <c r="CE876" s="693">
        <f>SUMIFS(Imput[[Importe Neto]:[Importe Neto]],Imput[[C. Imp.]:[C. Imp.]],$D876,Imput[[PERIODO Imp.]:[PERIODO Imp.]],CE$9)</f>
        <v>0</v>
      </c>
      <c r="CF876" s="693">
        <f>SUMIFS(Imput[[Importe Neto]:[Importe Neto]],Imput[[C. Imp.]:[C. Imp.]],$D876,Imput[[PERIODO Imp.]:[PERIODO Imp.]],CF$9)</f>
        <v>0</v>
      </c>
      <c r="CG876" s="693">
        <f>SUMIFS(Imput[[Importe Neto]:[Importe Neto]],Imput[[C. Imp.]:[C. Imp.]],$D876,Imput[[PERIODO Imp.]:[PERIODO Imp.]],CG$9)</f>
        <v>0</v>
      </c>
      <c r="CH876" s="693">
        <f>SUMIFS(Imput[[Importe Neto]:[Importe Neto]],Imput[[C. Imp.]:[C. Imp.]],$D876,Imput[[PERIODO Imp.]:[PERIODO Imp.]],CH$9)</f>
        <v>0</v>
      </c>
      <c r="CI876" s="693">
        <f>SUMIFS(Imput[[Importe Neto]:[Importe Neto]],Imput[[C. Imp.]:[C. Imp.]],$D876,Imput[[PERIODO Imp.]:[PERIODO Imp.]],CI$9)</f>
        <v>0</v>
      </c>
      <c r="CJ876" s="693">
        <f>SUMIFS(Imput[[Importe Neto]:[Importe Neto]],Imput[[C. Imp.]:[C. Imp.]],$D876,Imput[[PERIODO Imp.]:[PERIODO Imp.]],CJ$9)</f>
        <v>0</v>
      </c>
      <c r="CK876" s="693">
        <f>SUMIFS(Imput[[Importe Neto]:[Importe Neto]],Imput[[C. Imp.]:[C. Imp.]],$D876,Imput[[PERIODO Imp.]:[PERIODO Imp.]],CK$9)</f>
        <v>0</v>
      </c>
      <c r="CL876" s="693">
        <f>SUMIFS(Imput[[Importe Neto]:[Importe Neto]],Imput[[C. Imp.]:[C. Imp.]],$D876,Imput[[PERIODO Imp.]:[PERIODO Imp.]],CL$9)</f>
        <v>0</v>
      </c>
      <c r="CM876" s="693">
        <f>SUMIFS(Imput[[Importe Neto]:[Importe Neto]],Imput[[C. Imp.]:[C. Imp.]],$D876,Imput[[PERIODO Imp.]:[PERIODO Imp.]],CM$9)</f>
        <v>0</v>
      </c>
      <c r="CN876" s="693">
        <f>SUMIFS(Imput[[Importe Neto]:[Importe Neto]],Imput[[C. Imp.]:[C. Imp.]],$D876,Imput[[PERIODO Imp.]:[PERIODO Imp.]],CN$9)</f>
        <v>0</v>
      </c>
      <c r="CO876" s="693">
        <f>SUMIFS(Imput[[Importe Neto]:[Importe Neto]],Imput[[C. Imp.]:[C. Imp.]],$D876,Imput[[PERIODO Imp.]:[PERIODO Imp.]],CO$9)</f>
        <v>0</v>
      </c>
      <c r="CP876" s="693">
        <f>SUMIFS(Imput[[Importe Neto]:[Importe Neto]],Imput[[C. Imp.]:[C. Imp.]],$D876,Imput[[PERIODO Imp.]:[PERIODO Imp.]],CP$9)</f>
        <v>0</v>
      </c>
      <c r="CQ876" s="693">
        <f>SUMIFS(Imput[[Importe Neto]:[Importe Neto]],Imput[[C. Imp.]:[C. Imp.]],$D876,Imput[[PERIODO Imp.]:[PERIODO Imp.]],CQ$9)</f>
        <v>0</v>
      </c>
      <c r="CR876" s="693">
        <f>SUMIFS(Imput[[Importe Neto]:[Importe Neto]],Imput[[C. Imp.]:[C. Imp.]],$D876,Imput[[PERIODO Imp.]:[PERIODO Imp.]],CR$9)</f>
        <v>0</v>
      </c>
      <c r="CS876" s="693">
        <f>SUMIFS(Imput[[Importe Neto]:[Importe Neto]],Imput[[C. Imp.]:[C. Imp.]],$D876,Imput[[PERIODO Imp.]:[PERIODO Imp.]],CS$9)</f>
        <v>0</v>
      </c>
      <c r="CT876" s="693">
        <f>SUMIFS(Imput[[Importe Neto]:[Importe Neto]],Imput[[C. Imp.]:[C. Imp.]],$D876,Imput[[PERIODO Imp.]:[PERIODO Imp.]],CT$9)</f>
        <v>0</v>
      </c>
      <c r="CU876" s="693">
        <f>SUMIFS(Imput[[Importe Neto]:[Importe Neto]],Imput[[C. Imp.]:[C. Imp.]],$D876,Imput[[PERIODO Imp.]:[PERIODO Imp.]],CU$9)</f>
        <v>0</v>
      </c>
      <c r="CV876" s="693">
        <f>SUMIFS(Imput[[Importe Neto]:[Importe Neto]],Imput[[C. Imp.]:[C. Imp.]],$D876,Imput[[PERIODO Imp.]:[PERIODO Imp.]],CV$9)</f>
        <v>0</v>
      </c>
      <c r="CW876" s="693">
        <f>SUMIFS(Imput[[Importe Neto]:[Importe Neto]],Imput[[C. Imp.]:[C. Imp.]],$D876,Imput[[PERIODO Imp.]:[PERIODO Imp.]],CW$9)</f>
        <v>0</v>
      </c>
      <c r="CX876" s="693">
        <f>SUMIFS(Imput[[Importe Neto]:[Importe Neto]],Imput[[C. Imp.]:[C. Imp.]],$D876,Imput[[PERIODO Imp.]:[PERIODO Imp.]],CX$9)</f>
        <v>0</v>
      </c>
      <c r="CY876" s="693">
        <f>SUMIFS(Imput[[Importe Neto]:[Importe Neto]],Imput[[C. Imp.]:[C. Imp.]],$D876,Imput[[PERIODO Imp.]:[PERIODO Imp.]],CY$9)</f>
        <v>0</v>
      </c>
      <c r="CZ876" s="693">
        <f>SUMIFS(Imput[[Importe Neto]:[Importe Neto]],Imput[[C. Imp.]:[C. Imp.]],$D876,Imput[[PERIODO Imp.]:[PERIODO Imp.]],CZ$9)</f>
        <v>0</v>
      </c>
      <c r="DA876" s="693">
        <f>SUMIFS(Imput[[Importe Neto]:[Importe Neto]],Imput[[C. Imp.]:[C. Imp.]],$D876,Imput[[PERIODO Imp.]:[PERIODO Imp.]],DA$9)</f>
        <v>0</v>
      </c>
      <c r="DB876" s="693">
        <f>SUMIFS(Imput[[Importe Neto]:[Importe Neto]],Imput[[C. Imp.]:[C. Imp.]],$D876,Imput[[PERIODO Imp.]:[PERIODO Imp.]],DB$9)</f>
        <v>0</v>
      </c>
      <c r="DC876" s="693">
        <f>SUMIFS(Imput[[Importe Neto]:[Importe Neto]],Imput[[C. Imp.]:[C. Imp.]],$D876,Imput[[PERIODO Imp.]:[PERIODO Imp.]],DC$9)</f>
        <v>0</v>
      </c>
      <c r="DD876" s="693">
        <f>SUMIFS(Imput[[Importe Neto]:[Importe Neto]],Imput[[C. Imp.]:[C. Imp.]],$D876,Imput[[PERIODO Imp.]:[PERIODO Imp.]],DD$9)</f>
        <v>0</v>
      </c>
      <c r="DE876" s="693">
        <f>SUMIFS(Imput[[Importe Neto]:[Importe Neto]],Imput[[C. Imp.]:[C. Imp.]],$D876,Imput[[PERIODO Imp.]:[PERIODO Imp.]],DE$9)</f>
        <v>0</v>
      </c>
      <c r="DF876" s="693">
        <f>SUMIFS(Imput[[Importe Neto]:[Importe Neto]],Imput[[C. Imp.]:[C. Imp.]],$D876,Imput[[PERIODO Imp.]:[PERIODO Imp.]],DF$9)</f>
        <v>0</v>
      </c>
      <c r="DG876" s="693">
        <f>SUMIFS(Imput[[Importe Neto]:[Importe Neto]],Imput[[C. Imp.]:[C. Imp.]],$D876,Imput[[PERIODO Imp.]:[PERIODO Imp.]],DG$9)</f>
        <v>0</v>
      </c>
      <c r="DH876" s="694">
        <f>SUMIFS(Imput[[Importe Neto]:[Importe Neto]],Imput[[C. Imp.]:[C. Imp.]],$D876,Imput[[PERIODO Imp.]:[PERIODO Imp.]],DH$9)</f>
        <v>0</v>
      </c>
    </row>
    <row r="877" spans="1:112" s="649" customFormat="1" hidden="1" outlineLevel="1" x14ac:dyDescent="0.3">
      <c r="A877" s="652" t="str">
        <f t="shared" si="290"/>
        <v/>
      </c>
      <c r="B877" s="652"/>
      <c r="C877" s="685"/>
      <c r="D877" s="686" t="s">
        <v>2853</v>
      </c>
      <c r="E877" s="686"/>
      <c r="F877" s="720"/>
      <c r="G877" s="688"/>
      <c r="H877" s="696"/>
      <c r="I877" s="851" t="str">
        <f t="shared" si="295"/>
        <v/>
      </c>
      <c r="J877" s="850" t="str">
        <f t="shared" si="292"/>
        <v/>
      </c>
      <c r="K877" s="678"/>
      <c r="L877" s="858"/>
      <c r="M877" s="859"/>
      <c r="N877" s="859"/>
      <c r="O877" s="859"/>
      <c r="P877" s="859"/>
      <c r="Q877" s="859"/>
      <c r="R877" s="859"/>
      <c r="S877" s="859"/>
      <c r="T877" s="859"/>
      <c r="U877" s="859"/>
      <c r="V877" s="859"/>
      <c r="W877" s="859"/>
      <c r="X877" s="859"/>
      <c r="Y877" s="859"/>
      <c r="Z877" s="860"/>
      <c r="AA877" s="860"/>
      <c r="AB877" s="860"/>
      <c r="AC877" s="860"/>
      <c r="AD877" s="860"/>
      <c r="AE877" s="860"/>
      <c r="AF877" s="860"/>
      <c r="AG877" s="860"/>
      <c r="AH877" s="860"/>
      <c r="AI877" s="860"/>
      <c r="AJ877" s="860"/>
      <c r="AK877" s="860"/>
      <c r="AL877" s="860"/>
      <c r="AM877" s="860"/>
      <c r="AN877" s="860"/>
      <c r="AO877" s="860"/>
      <c r="AP877" s="860"/>
      <c r="AQ877" s="860"/>
      <c r="AR877" s="860"/>
      <c r="AS877" s="860"/>
      <c r="AT877" s="860"/>
      <c r="AU877" s="860"/>
      <c r="AV877" s="860"/>
      <c r="AW877" s="860"/>
      <c r="AX877" s="860"/>
      <c r="AY877" s="860"/>
      <c r="AZ877" s="860"/>
      <c r="BA877" s="860"/>
      <c r="BB877" s="860"/>
      <c r="BC877" s="860"/>
      <c r="BD877" s="860"/>
      <c r="BE877" s="860"/>
      <c r="BF877" s="860"/>
      <c r="BG877" s="860"/>
      <c r="BH877" s="668"/>
      <c r="BI877" s="654"/>
      <c r="BJ877" s="690">
        <f t="shared" si="296"/>
        <v>0</v>
      </c>
      <c r="BK877" s="691">
        <f t="shared" si="297"/>
        <v>0</v>
      </c>
      <c r="BL877" s="654"/>
      <c r="BM877" s="692">
        <f>SUMIFS(Imput[[Importe Neto]:[Importe Neto]],Imput[[C. Imp.]:[C. Imp.]],$D877,Imput[[PERIODO Imp.]:[PERIODO Imp.]],BM$9)</f>
        <v>0</v>
      </c>
      <c r="BN877" s="693">
        <f>SUMIFS(Imput[[Importe Neto]:[Importe Neto]],Imput[[C. Imp.]:[C. Imp.]],$D877,Imput[[PERIODO Imp.]:[PERIODO Imp.]],BN$9)</f>
        <v>0</v>
      </c>
      <c r="BO877" s="693">
        <f>SUMIFS(Imput[[Importe Neto]:[Importe Neto]],Imput[[C. Imp.]:[C. Imp.]],$D877,Imput[[PERIODO Imp.]:[PERIODO Imp.]],BO$9)</f>
        <v>0</v>
      </c>
      <c r="BP877" s="693">
        <f>SUMIFS(Imput[[Importe Neto]:[Importe Neto]],Imput[[C. Imp.]:[C. Imp.]],$D877,Imput[[PERIODO Imp.]:[PERIODO Imp.]],BP$9)</f>
        <v>0</v>
      </c>
      <c r="BQ877" s="693">
        <f>SUMIFS(Imput[[Importe Neto]:[Importe Neto]],Imput[[C. Imp.]:[C. Imp.]],$D877,Imput[[PERIODO Imp.]:[PERIODO Imp.]],BQ$9)</f>
        <v>0</v>
      </c>
      <c r="BR877" s="693">
        <f>SUMIFS(Imput[[Importe Neto]:[Importe Neto]],Imput[[C. Imp.]:[C. Imp.]],$D877,Imput[[PERIODO Imp.]:[PERIODO Imp.]],BR$9)</f>
        <v>0</v>
      </c>
      <c r="BS877" s="693">
        <f>SUMIFS(Imput[[Importe Neto]:[Importe Neto]],Imput[[C. Imp.]:[C. Imp.]],$D877,Imput[[PERIODO Imp.]:[PERIODO Imp.]],BS$9)</f>
        <v>0</v>
      </c>
      <c r="BT877" s="693">
        <f>SUMIFS(Imput[[Importe Neto]:[Importe Neto]],Imput[[C. Imp.]:[C. Imp.]],$D877,Imput[[PERIODO Imp.]:[PERIODO Imp.]],BT$9)</f>
        <v>0</v>
      </c>
      <c r="BU877" s="693">
        <f>SUMIFS(Imput[[Importe Neto]:[Importe Neto]],Imput[[C. Imp.]:[C. Imp.]],$D877,Imput[[PERIODO Imp.]:[PERIODO Imp.]],BU$9)</f>
        <v>0</v>
      </c>
      <c r="BV877" s="693">
        <f>SUMIFS(Imput[[Importe Neto]:[Importe Neto]],Imput[[C. Imp.]:[C. Imp.]],$D877,Imput[[PERIODO Imp.]:[PERIODO Imp.]],BV$9)</f>
        <v>0</v>
      </c>
      <c r="BW877" s="693">
        <f>SUMIFS(Imput[[Importe Neto]:[Importe Neto]],Imput[[C. Imp.]:[C. Imp.]],$D877,Imput[[PERIODO Imp.]:[PERIODO Imp.]],BW$9)</f>
        <v>0</v>
      </c>
      <c r="BX877" s="693">
        <f>SUMIFS(Imput[[Importe Neto]:[Importe Neto]],Imput[[C. Imp.]:[C. Imp.]],$D877,Imput[[PERIODO Imp.]:[PERIODO Imp.]],BX$9)</f>
        <v>0</v>
      </c>
      <c r="BY877" s="693">
        <f>SUMIFS(Imput[[Importe Neto]:[Importe Neto]],Imput[[C. Imp.]:[C. Imp.]],$D877,Imput[[PERIODO Imp.]:[PERIODO Imp.]],BY$9)</f>
        <v>0</v>
      </c>
      <c r="BZ877" s="693">
        <f>SUMIFS(Imput[[Importe Neto]:[Importe Neto]],Imput[[C. Imp.]:[C. Imp.]],$D877,Imput[[PERIODO Imp.]:[PERIODO Imp.]],BZ$9)</f>
        <v>0</v>
      </c>
      <c r="CA877" s="693">
        <f>SUMIFS(Imput[[Importe Neto]:[Importe Neto]],Imput[[C. Imp.]:[C. Imp.]],$D877,Imput[[PERIODO Imp.]:[PERIODO Imp.]],CA$9)</f>
        <v>0</v>
      </c>
      <c r="CB877" s="693">
        <f>SUMIFS(Imput[[Importe Neto]:[Importe Neto]],Imput[[C. Imp.]:[C. Imp.]],$D877,Imput[[PERIODO Imp.]:[PERIODO Imp.]],CB$9)</f>
        <v>0</v>
      </c>
      <c r="CC877" s="693">
        <f>SUMIFS(Imput[[Importe Neto]:[Importe Neto]],Imput[[C. Imp.]:[C. Imp.]],$D877,Imput[[PERIODO Imp.]:[PERIODO Imp.]],CC$9)</f>
        <v>0</v>
      </c>
      <c r="CD877" s="693">
        <f>SUMIFS(Imput[[Importe Neto]:[Importe Neto]],Imput[[C. Imp.]:[C. Imp.]],$D877,Imput[[PERIODO Imp.]:[PERIODO Imp.]],CD$9)</f>
        <v>0</v>
      </c>
      <c r="CE877" s="693">
        <f>SUMIFS(Imput[[Importe Neto]:[Importe Neto]],Imput[[C. Imp.]:[C. Imp.]],$D877,Imput[[PERIODO Imp.]:[PERIODO Imp.]],CE$9)</f>
        <v>0</v>
      </c>
      <c r="CF877" s="693">
        <f>SUMIFS(Imput[[Importe Neto]:[Importe Neto]],Imput[[C. Imp.]:[C. Imp.]],$D877,Imput[[PERIODO Imp.]:[PERIODO Imp.]],CF$9)</f>
        <v>0</v>
      </c>
      <c r="CG877" s="693">
        <f>SUMIFS(Imput[[Importe Neto]:[Importe Neto]],Imput[[C. Imp.]:[C. Imp.]],$D877,Imput[[PERIODO Imp.]:[PERIODO Imp.]],CG$9)</f>
        <v>0</v>
      </c>
      <c r="CH877" s="693">
        <f>SUMIFS(Imput[[Importe Neto]:[Importe Neto]],Imput[[C. Imp.]:[C. Imp.]],$D877,Imput[[PERIODO Imp.]:[PERIODO Imp.]],CH$9)</f>
        <v>0</v>
      </c>
      <c r="CI877" s="693">
        <f>SUMIFS(Imput[[Importe Neto]:[Importe Neto]],Imput[[C. Imp.]:[C. Imp.]],$D877,Imput[[PERIODO Imp.]:[PERIODO Imp.]],CI$9)</f>
        <v>0</v>
      </c>
      <c r="CJ877" s="693">
        <f>SUMIFS(Imput[[Importe Neto]:[Importe Neto]],Imput[[C. Imp.]:[C. Imp.]],$D877,Imput[[PERIODO Imp.]:[PERIODO Imp.]],CJ$9)</f>
        <v>0</v>
      </c>
      <c r="CK877" s="693">
        <f>SUMIFS(Imput[[Importe Neto]:[Importe Neto]],Imput[[C. Imp.]:[C. Imp.]],$D877,Imput[[PERIODO Imp.]:[PERIODO Imp.]],CK$9)</f>
        <v>0</v>
      </c>
      <c r="CL877" s="693">
        <f>SUMIFS(Imput[[Importe Neto]:[Importe Neto]],Imput[[C. Imp.]:[C. Imp.]],$D877,Imput[[PERIODO Imp.]:[PERIODO Imp.]],CL$9)</f>
        <v>0</v>
      </c>
      <c r="CM877" s="693">
        <f>SUMIFS(Imput[[Importe Neto]:[Importe Neto]],Imput[[C. Imp.]:[C. Imp.]],$D877,Imput[[PERIODO Imp.]:[PERIODO Imp.]],CM$9)</f>
        <v>0</v>
      </c>
      <c r="CN877" s="693">
        <f>SUMIFS(Imput[[Importe Neto]:[Importe Neto]],Imput[[C. Imp.]:[C. Imp.]],$D877,Imput[[PERIODO Imp.]:[PERIODO Imp.]],CN$9)</f>
        <v>0</v>
      </c>
      <c r="CO877" s="693">
        <f>SUMIFS(Imput[[Importe Neto]:[Importe Neto]],Imput[[C. Imp.]:[C. Imp.]],$D877,Imput[[PERIODO Imp.]:[PERIODO Imp.]],CO$9)</f>
        <v>0</v>
      </c>
      <c r="CP877" s="693">
        <f>SUMIFS(Imput[[Importe Neto]:[Importe Neto]],Imput[[C. Imp.]:[C. Imp.]],$D877,Imput[[PERIODO Imp.]:[PERIODO Imp.]],CP$9)</f>
        <v>0</v>
      </c>
      <c r="CQ877" s="693">
        <f>SUMIFS(Imput[[Importe Neto]:[Importe Neto]],Imput[[C. Imp.]:[C. Imp.]],$D877,Imput[[PERIODO Imp.]:[PERIODO Imp.]],CQ$9)</f>
        <v>0</v>
      </c>
      <c r="CR877" s="693">
        <f>SUMIFS(Imput[[Importe Neto]:[Importe Neto]],Imput[[C. Imp.]:[C. Imp.]],$D877,Imput[[PERIODO Imp.]:[PERIODO Imp.]],CR$9)</f>
        <v>0</v>
      </c>
      <c r="CS877" s="693">
        <f>SUMIFS(Imput[[Importe Neto]:[Importe Neto]],Imput[[C. Imp.]:[C. Imp.]],$D877,Imput[[PERIODO Imp.]:[PERIODO Imp.]],CS$9)</f>
        <v>0</v>
      </c>
      <c r="CT877" s="693">
        <f>SUMIFS(Imput[[Importe Neto]:[Importe Neto]],Imput[[C. Imp.]:[C. Imp.]],$D877,Imput[[PERIODO Imp.]:[PERIODO Imp.]],CT$9)</f>
        <v>0</v>
      </c>
      <c r="CU877" s="693">
        <f>SUMIFS(Imput[[Importe Neto]:[Importe Neto]],Imput[[C. Imp.]:[C. Imp.]],$D877,Imput[[PERIODO Imp.]:[PERIODO Imp.]],CU$9)</f>
        <v>0</v>
      </c>
      <c r="CV877" s="693">
        <f>SUMIFS(Imput[[Importe Neto]:[Importe Neto]],Imput[[C. Imp.]:[C. Imp.]],$D877,Imput[[PERIODO Imp.]:[PERIODO Imp.]],CV$9)</f>
        <v>0</v>
      </c>
      <c r="CW877" s="693">
        <f>SUMIFS(Imput[[Importe Neto]:[Importe Neto]],Imput[[C. Imp.]:[C. Imp.]],$D877,Imput[[PERIODO Imp.]:[PERIODO Imp.]],CW$9)</f>
        <v>0</v>
      </c>
      <c r="CX877" s="693">
        <f>SUMIFS(Imput[[Importe Neto]:[Importe Neto]],Imput[[C. Imp.]:[C. Imp.]],$D877,Imput[[PERIODO Imp.]:[PERIODO Imp.]],CX$9)</f>
        <v>0</v>
      </c>
      <c r="CY877" s="693">
        <f>SUMIFS(Imput[[Importe Neto]:[Importe Neto]],Imput[[C. Imp.]:[C. Imp.]],$D877,Imput[[PERIODO Imp.]:[PERIODO Imp.]],CY$9)</f>
        <v>0</v>
      </c>
      <c r="CZ877" s="693">
        <f>SUMIFS(Imput[[Importe Neto]:[Importe Neto]],Imput[[C. Imp.]:[C. Imp.]],$D877,Imput[[PERIODO Imp.]:[PERIODO Imp.]],CZ$9)</f>
        <v>0</v>
      </c>
      <c r="DA877" s="693">
        <f>SUMIFS(Imput[[Importe Neto]:[Importe Neto]],Imput[[C. Imp.]:[C. Imp.]],$D877,Imput[[PERIODO Imp.]:[PERIODO Imp.]],DA$9)</f>
        <v>0</v>
      </c>
      <c r="DB877" s="693">
        <f>SUMIFS(Imput[[Importe Neto]:[Importe Neto]],Imput[[C. Imp.]:[C. Imp.]],$D877,Imput[[PERIODO Imp.]:[PERIODO Imp.]],DB$9)</f>
        <v>0</v>
      </c>
      <c r="DC877" s="693">
        <f>SUMIFS(Imput[[Importe Neto]:[Importe Neto]],Imput[[C. Imp.]:[C. Imp.]],$D877,Imput[[PERIODO Imp.]:[PERIODO Imp.]],DC$9)</f>
        <v>0</v>
      </c>
      <c r="DD877" s="693">
        <f>SUMIFS(Imput[[Importe Neto]:[Importe Neto]],Imput[[C. Imp.]:[C. Imp.]],$D877,Imput[[PERIODO Imp.]:[PERIODO Imp.]],DD$9)</f>
        <v>0</v>
      </c>
      <c r="DE877" s="693">
        <f>SUMIFS(Imput[[Importe Neto]:[Importe Neto]],Imput[[C. Imp.]:[C. Imp.]],$D877,Imput[[PERIODO Imp.]:[PERIODO Imp.]],DE$9)</f>
        <v>0</v>
      </c>
      <c r="DF877" s="693">
        <f>SUMIFS(Imput[[Importe Neto]:[Importe Neto]],Imput[[C. Imp.]:[C. Imp.]],$D877,Imput[[PERIODO Imp.]:[PERIODO Imp.]],DF$9)</f>
        <v>0</v>
      </c>
      <c r="DG877" s="693">
        <f>SUMIFS(Imput[[Importe Neto]:[Importe Neto]],Imput[[C. Imp.]:[C. Imp.]],$D877,Imput[[PERIODO Imp.]:[PERIODO Imp.]],DG$9)</f>
        <v>0</v>
      </c>
      <c r="DH877" s="694">
        <f>SUMIFS(Imput[[Importe Neto]:[Importe Neto]],Imput[[C. Imp.]:[C. Imp.]],$D877,Imput[[PERIODO Imp.]:[PERIODO Imp.]],DH$9)</f>
        <v>0</v>
      </c>
    </row>
    <row r="878" spans="1:112" s="649" customFormat="1" hidden="1" outlineLevel="1" x14ac:dyDescent="0.3">
      <c r="A878" s="652" t="str">
        <f t="shared" si="290"/>
        <v/>
      </c>
      <c r="B878" s="652"/>
      <c r="C878" s="685"/>
      <c r="D878" s="686" t="s">
        <v>2854</v>
      </c>
      <c r="E878" s="728"/>
      <c r="F878" s="720"/>
      <c r="G878" s="688"/>
      <c r="H878" s="696"/>
      <c r="I878" s="851" t="str">
        <f t="shared" si="295"/>
        <v/>
      </c>
      <c r="J878" s="850" t="str">
        <f t="shared" si="292"/>
        <v/>
      </c>
      <c r="K878" s="667"/>
      <c r="L878" s="858"/>
      <c r="M878" s="859"/>
      <c r="N878" s="859"/>
      <c r="O878" s="859"/>
      <c r="P878" s="859"/>
      <c r="Q878" s="859"/>
      <c r="R878" s="859"/>
      <c r="S878" s="859"/>
      <c r="T878" s="859"/>
      <c r="U878" s="859"/>
      <c r="V878" s="859"/>
      <c r="W878" s="859"/>
      <c r="X878" s="859"/>
      <c r="Y878" s="859"/>
      <c r="Z878" s="860"/>
      <c r="AA878" s="860"/>
      <c r="AB878" s="860"/>
      <c r="AC878" s="860"/>
      <c r="AD878" s="860"/>
      <c r="AE878" s="860"/>
      <c r="AF878" s="860"/>
      <c r="AG878" s="860"/>
      <c r="AH878" s="860"/>
      <c r="AI878" s="860"/>
      <c r="AJ878" s="860"/>
      <c r="AK878" s="860"/>
      <c r="AL878" s="860"/>
      <c r="AM878" s="860"/>
      <c r="AN878" s="860"/>
      <c r="AO878" s="860"/>
      <c r="AP878" s="860"/>
      <c r="AQ878" s="860"/>
      <c r="AR878" s="860"/>
      <c r="AS878" s="860"/>
      <c r="AT878" s="860"/>
      <c r="AU878" s="860"/>
      <c r="AV878" s="860"/>
      <c r="AW878" s="860"/>
      <c r="AX878" s="860"/>
      <c r="AY878" s="860"/>
      <c r="AZ878" s="860"/>
      <c r="BA878" s="860"/>
      <c r="BB878" s="860"/>
      <c r="BC878" s="860"/>
      <c r="BD878" s="860"/>
      <c r="BE878" s="860"/>
      <c r="BF878" s="860"/>
      <c r="BG878" s="860"/>
      <c r="BH878" s="668"/>
      <c r="BI878" s="667"/>
      <c r="BJ878" s="690">
        <f t="shared" si="296"/>
        <v>0</v>
      </c>
      <c r="BK878" s="691">
        <f t="shared" si="297"/>
        <v>0</v>
      </c>
      <c r="BL878" s="654"/>
      <c r="BM878" s="692">
        <f>SUMIFS(Imput[[Importe Neto]:[Importe Neto]],Imput[[C. Imp.]:[C. Imp.]],$D878,Imput[[PERIODO Imp.]:[PERIODO Imp.]],BM$9)</f>
        <v>0</v>
      </c>
      <c r="BN878" s="693">
        <f>SUMIFS(Imput[[Importe Neto]:[Importe Neto]],Imput[[C. Imp.]:[C. Imp.]],$D878,Imput[[PERIODO Imp.]:[PERIODO Imp.]],BN$9)</f>
        <v>0</v>
      </c>
      <c r="BO878" s="693">
        <f>SUMIFS(Imput[[Importe Neto]:[Importe Neto]],Imput[[C. Imp.]:[C. Imp.]],$D878,Imput[[PERIODO Imp.]:[PERIODO Imp.]],BO$9)</f>
        <v>0</v>
      </c>
      <c r="BP878" s="693">
        <f>SUMIFS(Imput[[Importe Neto]:[Importe Neto]],Imput[[C. Imp.]:[C. Imp.]],$D878,Imput[[PERIODO Imp.]:[PERIODO Imp.]],BP$9)</f>
        <v>0</v>
      </c>
      <c r="BQ878" s="693">
        <f>SUMIFS(Imput[[Importe Neto]:[Importe Neto]],Imput[[C. Imp.]:[C. Imp.]],$D878,Imput[[PERIODO Imp.]:[PERIODO Imp.]],BQ$9)</f>
        <v>0</v>
      </c>
      <c r="BR878" s="693">
        <f>SUMIFS(Imput[[Importe Neto]:[Importe Neto]],Imput[[C. Imp.]:[C. Imp.]],$D878,Imput[[PERIODO Imp.]:[PERIODO Imp.]],BR$9)</f>
        <v>0</v>
      </c>
      <c r="BS878" s="693">
        <f>SUMIFS(Imput[[Importe Neto]:[Importe Neto]],Imput[[C. Imp.]:[C. Imp.]],$D878,Imput[[PERIODO Imp.]:[PERIODO Imp.]],BS$9)</f>
        <v>0</v>
      </c>
      <c r="BT878" s="693">
        <f>SUMIFS(Imput[[Importe Neto]:[Importe Neto]],Imput[[C. Imp.]:[C. Imp.]],$D878,Imput[[PERIODO Imp.]:[PERIODO Imp.]],BT$9)</f>
        <v>0</v>
      </c>
      <c r="BU878" s="693">
        <f>SUMIFS(Imput[[Importe Neto]:[Importe Neto]],Imput[[C. Imp.]:[C. Imp.]],$D878,Imput[[PERIODO Imp.]:[PERIODO Imp.]],BU$9)</f>
        <v>0</v>
      </c>
      <c r="BV878" s="693">
        <f>SUMIFS(Imput[[Importe Neto]:[Importe Neto]],Imput[[C. Imp.]:[C. Imp.]],$D878,Imput[[PERIODO Imp.]:[PERIODO Imp.]],BV$9)</f>
        <v>0</v>
      </c>
      <c r="BW878" s="693">
        <f>SUMIFS(Imput[[Importe Neto]:[Importe Neto]],Imput[[C. Imp.]:[C. Imp.]],$D878,Imput[[PERIODO Imp.]:[PERIODO Imp.]],BW$9)</f>
        <v>0</v>
      </c>
      <c r="BX878" s="693">
        <f>SUMIFS(Imput[[Importe Neto]:[Importe Neto]],Imput[[C. Imp.]:[C. Imp.]],$D878,Imput[[PERIODO Imp.]:[PERIODO Imp.]],BX$9)</f>
        <v>0</v>
      </c>
      <c r="BY878" s="693">
        <f>SUMIFS(Imput[[Importe Neto]:[Importe Neto]],Imput[[C. Imp.]:[C. Imp.]],$D878,Imput[[PERIODO Imp.]:[PERIODO Imp.]],BY$9)</f>
        <v>0</v>
      </c>
      <c r="BZ878" s="693">
        <f>SUMIFS(Imput[[Importe Neto]:[Importe Neto]],Imput[[C. Imp.]:[C. Imp.]],$D878,Imput[[PERIODO Imp.]:[PERIODO Imp.]],BZ$9)</f>
        <v>0</v>
      </c>
      <c r="CA878" s="693">
        <f>SUMIFS(Imput[[Importe Neto]:[Importe Neto]],Imput[[C. Imp.]:[C. Imp.]],$D878,Imput[[PERIODO Imp.]:[PERIODO Imp.]],CA$9)</f>
        <v>0</v>
      </c>
      <c r="CB878" s="693">
        <f>SUMIFS(Imput[[Importe Neto]:[Importe Neto]],Imput[[C. Imp.]:[C. Imp.]],$D878,Imput[[PERIODO Imp.]:[PERIODO Imp.]],CB$9)</f>
        <v>0</v>
      </c>
      <c r="CC878" s="693">
        <f>SUMIFS(Imput[[Importe Neto]:[Importe Neto]],Imput[[C. Imp.]:[C. Imp.]],$D878,Imput[[PERIODO Imp.]:[PERIODO Imp.]],CC$9)</f>
        <v>0</v>
      </c>
      <c r="CD878" s="693">
        <f>SUMIFS(Imput[[Importe Neto]:[Importe Neto]],Imput[[C. Imp.]:[C. Imp.]],$D878,Imput[[PERIODO Imp.]:[PERIODO Imp.]],CD$9)</f>
        <v>0</v>
      </c>
      <c r="CE878" s="693">
        <f>SUMIFS(Imput[[Importe Neto]:[Importe Neto]],Imput[[C. Imp.]:[C. Imp.]],$D878,Imput[[PERIODO Imp.]:[PERIODO Imp.]],CE$9)</f>
        <v>0</v>
      </c>
      <c r="CF878" s="693">
        <f>SUMIFS(Imput[[Importe Neto]:[Importe Neto]],Imput[[C. Imp.]:[C. Imp.]],$D878,Imput[[PERIODO Imp.]:[PERIODO Imp.]],CF$9)</f>
        <v>0</v>
      </c>
      <c r="CG878" s="693">
        <f>SUMIFS(Imput[[Importe Neto]:[Importe Neto]],Imput[[C. Imp.]:[C. Imp.]],$D878,Imput[[PERIODO Imp.]:[PERIODO Imp.]],CG$9)</f>
        <v>0</v>
      </c>
      <c r="CH878" s="693">
        <f>SUMIFS(Imput[[Importe Neto]:[Importe Neto]],Imput[[C. Imp.]:[C. Imp.]],$D878,Imput[[PERIODO Imp.]:[PERIODO Imp.]],CH$9)</f>
        <v>0</v>
      </c>
      <c r="CI878" s="693">
        <f>SUMIFS(Imput[[Importe Neto]:[Importe Neto]],Imput[[C. Imp.]:[C. Imp.]],$D878,Imput[[PERIODO Imp.]:[PERIODO Imp.]],CI$9)</f>
        <v>0</v>
      </c>
      <c r="CJ878" s="693">
        <f>SUMIFS(Imput[[Importe Neto]:[Importe Neto]],Imput[[C. Imp.]:[C. Imp.]],$D878,Imput[[PERIODO Imp.]:[PERIODO Imp.]],CJ$9)</f>
        <v>0</v>
      </c>
      <c r="CK878" s="693">
        <f>SUMIFS(Imput[[Importe Neto]:[Importe Neto]],Imput[[C. Imp.]:[C. Imp.]],$D878,Imput[[PERIODO Imp.]:[PERIODO Imp.]],CK$9)</f>
        <v>0</v>
      </c>
      <c r="CL878" s="693">
        <f>SUMIFS(Imput[[Importe Neto]:[Importe Neto]],Imput[[C. Imp.]:[C. Imp.]],$D878,Imput[[PERIODO Imp.]:[PERIODO Imp.]],CL$9)</f>
        <v>0</v>
      </c>
      <c r="CM878" s="693">
        <f>SUMIFS(Imput[[Importe Neto]:[Importe Neto]],Imput[[C. Imp.]:[C. Imp.]],$D878,Imput[[PERIODO Imp.]:[PERIODO Imp.]],CM$9)</f>
        <v>0</v>
      </c>
      <c r="CN878" s="693">
        <f>SUMIFS(Imput[[Importe Neto]:[Importe Neto]],Imput[[C. Imp.]:[C. Imp.]],$D878,Imput[[PERIODO Imp.]:[PERIODO Imp.]],CN$9)</f>
        <v>0</v>
      </c>
      <c r="CO878" s="693">
        <f>SUMIFS(Imput[[Importe Neto]:[Importe Neto]],Imput[[C. Imp.]:[C. Imp.]],$D878,Imput[[PERIODO Imp.]:[PERIODO Imp.]],CO$9)</f>
        <v>0</v>
      </c>
      <c r="CP878" s="693">
        <f>SUMIFS(Imput[[Importe Neto]:[Importe Neto]],Imput[[C. Imp.]:[C. Imp.]],$D878,Imput[[PERIODO Imp.]:[PERIODO Imp.]],CP$9)</f>
        <v>0</v>
      </c>
      <c r="CQ878" s="693">
        <f>SUMIFS(Imput[[Importe Neto]:[Importe Neto]],Imput[[C. Imp.]:[C. Imp.]],$D878,Imput[[PERIODO Imp.]:[PERIODO Imp.]],CQ$9)</f>
        <v>0</v>
      </c>
      <c r="CR878" s="693">
        <f>SUMIFS(Imput[[Importe Neto]:[Importe Neto]],Imput[[C. Imp.]:[C. Imp.]],$D878,Imput[[PERIODO Imp.]:[PERIODO Imp.]],CR$9)</f>
        <v>0</v>
      </c>
      <c r="CS878" s="693">
        <f>SUMIFS(Imput[[Importe Neto]:[Importe Neto]],Imput[[C. Imp.]:[C. Imp.]],$D878,Imput[[PERIODO Imp.]:[PERIODO Imp.]],CS$9)</f>
        <v>0</v>
      </c>
      <c r="CT878" s="693">
        <f>SUMIFS(Imput[[Importe Neto]:[Importe Neto]],Imput[[C. Imp.]:[C. Imp.]],$D878,Imput[[PERIODO Imp.]:[PERIODO Imp.]],CT$9)</f>
        <v>0</v>
      </c>
      <c r="CU878" s="693">
        <f>SUMIFS(Imput[[Importe Neto]:[Importe Neto]],Imput[[C. Imp.]:[C. Imp.]],$D878,Imput[[PERIODO Imp.]:[PERIODO Imp.]],CU$9)</f>
        <v>0</v>
      </c>
      <c r="CV878" s="693">
        <f>SUMIFS(Imput[[Importe Neto]:[Importe Neto]],Imput[[C. Imp.]:[C. Imp.]],$D878,Imput[[PERIODO Imp.]:[PERIODO Imp.]],CV$9)</f>
        <v>0</v>
      </c>
      <c r="CW878" s="693">
        <f>SUMIFS(Imput[[Importe Neto]:[Importe Neto]],Imput[[C. Imp.]:[C. Imp.]],$D878,Imput[[PERIODO Imp.]:[PERIODO Imp.]],CW$9)</f>
        <v>0</v>
      </c>
      <c r="CX878" s="693">
        <f>SUMIFS(Imput[[Importe Neto]:[Importe Neto]],Imput[[C. Imp.]:[C. Imp.]],$D878,Imput[[PERIODO Imp.]:[PERIODO Imp.]],CX$9)</f>
        <v>0</v>
      </c>
      <c r="CY878" s="693">
        <f>SUMIFS(Imput[[Importe Neto]:[Importe Neto]],Imput[[C. Imp.]:[C. Imp.]],$D878,Imput[[PERIODO Imp.]:[PERIODO Imp.]],CY$9)</f>
        <v>0</v>
      </c>
      <c r="CZ878" s="693">
        <f>SUMIFS(Imput[[Importe Neto]:[Importe Neto]],Imput[[C. Imp.]:[C. Imp.]],$D878,Imput[[PERIODO Imp.]:[PERIODO Imp.]],CZ$9)</f>
        <v>0</v>
      </c>
      <c r="DA878" s="693">
        <f>SUMIFS(Imput[[Importe Neto]:[Importe Neto]],Imput[[C. Imp.]:[C. Imp.]],$D878,Imput[[PERIODO Imp.]:[PERIODO Imp.]],DA$9)</f>
        <v>0</v>
      </c>
      <c r="DB878" s="693">
        <f>SUMIFS(Imput[[Importe Neto]:[Importe Neto]],Imput[[C. Imp.]:[C. Imp.]],$D878,Imput[[PERIODO Imp.]:[PERIODO Imp.]],DB$9)</f>
        <v>0</v>
      </c>
      <c r="DC878" s="693">
        <f>SUMIFS(Imput[[Importe Neto]:[Importe Neto]],Imput[[C. Imp.]:[C. Imp.]],$D878,Imput[[PERIODO Imp.]:[PERIODO Imp.]],DC$9)</f>
        <v>0</v>
      </c>
      <c r="DD878" s="693">
        <f>SUMIFS(Imput[[Importe Neto]:[Importe Neto]],Imput[[C. Imp.]:[C. Imp.]],$D878,Imput[[PERIODO Imp.]:[PERIODO Imp.]],DD$9)</f>
        <v>0</v>
      </c>
      <c r="DE878" s="693">
        <f>SUMIFS(Imput[[Importe Neto]:[Importe Neto]],Imput[[C. Imp.]:[C. Imp.]],$D878,Imput[[PERIODO Imp.]:[PERIODO Imp.]],DE$9)</f>
        <v>0</v>
      </c>
      <c r="DF878" s="693">
        <f>SUMIFS(Imput[[Importe Neto]:[Importe Neto]],Imput[[C. Imp.]:[C. Imp.]],$D878,Imput[[PERIODO Imp.]:[PERIODO Imp.]],DF$9)</f>
        <v>0</v>
      </c>
      <c r="DG878" s="693">
        <f>SUMIFS(Imput[[Importe Neto]:[Importe Neto]],Imput[[C. Imp.]:[C. Imp.]],$D878,Imput[[PERIODO Imp.]:[PERIODO Imp.]],DG$9)</f>
        <v>0</v>
      </c>
      <c r="DH878" s="694">
        <f>SUMIFS(Imput[[Importe Neto]:[Importe Neto]],Imput[[C. Imp.]:[C. Imp.]],$D878,Imput[[PERIODO Imp.]:[PERIODO Imp.]],DH$9)</f>
        <v>0</v>
      </c>
    </row>
    <row r="879" spans="1:112" s="649" customFormat="1" hidden="1" outlineLevel="1" x14ac:dyDescent="0.3">
      <c r="A879" s="652" t="str">
        <f t="shared" si="290"/>
        <v/>
      </c>
      <c r="B879" s="652"/>
      <c r="C879" s="685"/>
      <c r="D879" s="686" t="s">
        <v>2855</v>
      </c>
      <c r="E879" s="728"/>
      <c r="F879" s="720"/>
      <c r="G879" s="688"/>
      <c r="H879" s="696"/>
      <c r="I879" s="851" t="str">
        <f t="shared" si="295"/>
        <v/>
      </c>
      <c r="J879" s="850" t="str">
        <f t="shared" si="292"/>
        <v/>
      </c>
      <c r="K879" s="678"/>
      <c r="L879" s="858"/>
      <c r="M879" s="859"/>
      <c r="N879" s="859"/>
      <c r="O879" s="859"/>
      <c r="P879" s="859"/>
      <c r="Q879" s="859"/>
      <c r="R879" s="859"/>
      <c r="S879" s="859"/>
      <c r="T879" s="859"/>
      <c r="U879" s="859"/>
      <c r="V879" s="859"/>
      <c r="W879" s="859"/>
      <c r="X879" s="859"/>
      <c r="Y879" s="859"/>
      <c r="Z879" s="860"/>
      <c r="AA879" s="860"/>
      <c r="AB879" s="860"/>
      <c r="AC879" s="860"/>
      <c r="AD879" s="860"/>
      <c r="AE879" s="860"/>
      <c r="AF879" s="860"/>
      <c r="AG879" s="860"/>
      <c r="AH879" s="860"/>
      <c r="AI879" s="860"/>
      <c r="AJ879" s="860"/>
      <c r="AK879" s="860"/>
      <c r="AL879" s="860"/>
      <c r="AM879" s="860"/>
      <c r="AN879" s="860"/>
      <c r="AO879" s="860"/>
      <c r="AP879" s="860"/>
      <c r="AQ879" s="860"/>
      <c r="AR879" s="860"/>
      <c r="AS879" s="860"/>
      <c r="AT879" s="860"/>
      <c r="AU879" s="860"/>
      <c r="AV879" s="860"/>
      <c r="AW879" s="860"/>
      <c r="AX879" s="860"/>
      <c r="AY879" s="860"/>
      <c r="AZ879" s="860"/>
      <c r="BA879" s="860"/>
      <c r="BB879" s="860"/>
      <c r="BC879" s="860"/>
      <c r="BD879" s="860"/>
      <c r="BE879" s="860"/>
      <c r="BF879" s="860"/>
      <c r="BG879" s="860"/>
      <c r="BH879" s="668"/>
      <c r="BI879" s="654"/>
      <c r="BJ879" s="690">
        <f t="shared" si="296"/>
        <v>0</v>
      </c>
      <c r="BK879" s="691">
        <f t="shared" si="297"/>
        <v>0</v>
      </c>
      <c r="BL879" s="654"/>
      <c r="BM879" s="692">
        <f>SUMIFS(Imput[[Importe Neto]:[Importe Neto]],Imput[[C. Imp.]:[C. Imp.]],$D879,Imput[[PERIODO Imp.]:[PERIODO Imp.]],BM$9)</f>
        <v>0</v>
      </c>
      <c r="BN879" s="693">
        <f>SUMIFS(Imput[[Importe Neto]:[Importe Neto]],Imput[[C. Imp.]:[C. Imp.]],$D879,Imput[[PERIODO Imp.]:[PERIODO Imp.]],BN$9)</f>
        <v>0</v>
      </c>
      <c r="BO879" s="693">
        <f>SUMIFS(Imput[[Importe Neto]:[Importe Neto]],Imput[[C. Imp.]:[C. Imp.]],$D879,Imput[[PERIODO Imp.]:[PERIODO Imp.]],BO$9)</f>
        <v>0</v>
      </c>
      <c r="BP879" s="693">
        <f>SUMIFS(Imput[[Importe Neto]:[Importe Neto]],Imput[[C. Imp.]:[C. Imp.]],$D879,Imput[[PERIODO Imp.]:[PERIODO Imp.]],BP$9)</f>
        <v>0</v>
      </c>
      <c r="BQ879" s="693">
        <f>SUMIFS(Imput[[Importe Neto]:[Importe Neto]],Imput[[C. Imp.]:[C. Imp.]],$D879,Imput[[PERIODO Imp.]:[PERIODO Imp.]],BQ$9)</f>
        <v>0</v>
      </c>
      <c r="BR879" s="693">
        <f>SUMIFS(Imput[[Importe Neto]:[Importe Neto]],Imput[[C. Imp.]:[C. Imp.]],$D879,Imput[[PERIODO Imp.]:[PERIODO Imp.]],BR$9)</f>
        <v>0</v>
      </c>
      <c r="BS879" s="693">
        <f>SUMIFS(Imput[[Importe Neto]:[Importe Neto]],Imput[[C. Imp.]:[C. Imp.]],$D879,Imput[[PERIODO Imp.]:[PERIODO Imp.]],BS$9)</f>
        <v>0</v>
      </c>
      <c r="BT879" s="693">
        <f>SUMIFS(Imput[[Importe Neto]:[Importe Neto]],Imput[[C. Imp.]:[C. Imp.]],$D879,Imput[[PERIODO Imp.]:[PERIODO Imp.]],BT$9)</f>
        <v>0</v>
      </c>
      <c r="BU879" s="693">
        <f>SUMIFS(Imput[[Importe Neto]:[Importe Neto]],Imput[[C. Imp.]:[C. Imp.]],$D879,Imput[[PERIODO Imp.]:[PERIODO Imp.]],BU$9)</f>
        <v>0</v>
      </c>
      <c r="BV879" s="693">
        <f>SUMIFS(Imput[[Importe Neto]:[Importe Neto]],Imput[[C. Imp.]:[C. Imp.]],$D879,Imput[[PERIODO Imp.]:[PERIODO Imp.]],BV$9)</f>
        <v>0</v>
      </c>
      <c r="BW879" s="693">
        <f>SUMIFS(Imput[[Importe Neto]:[Importe Neto]],Imput[[C. Imp.]:[C. Imp.]],$D879,Imput[[PERIODO Imp.]:[PERIODO Imp.]],BW$9)</f>
        <v>0</v>
      </c>
      <c r="BX879" s="693">
        <f>SUMIFS(Imput[[Importe Neto]:[Importe Neto]],Imput[[C. Imp.]:[C. Imp.]],$D879,Imput[[PERIODO Imp.]:[PERIODO Imp.]],BX$9)</f>
        <v>0</v>
      </c>
      <c r="BY879" s="693">
        <f>SUMIFS(Imput[[Importe Neto]:[Importe Neto]],Imput[[C. Imp.]:[C. Imp.]],$D879,Imput[[PERIODO Imp.]:[PERIODO Imp.]],BY$9)</f>
        <v>0</v>
      </c>
      <c r="BZ879" s="693">
        <f>SUMIFS(Imput[[Importe Neto]:[Importe Neto]],Imput[[C. Imp.]:[C. Imp.]],$D879,Imput[[PERIODO Imp.]:[PERIODO Imp.]],BZ$9)</f>
        <v>0</v>
      </c>
      <c r="CA879" s="693">
        <f>SUMIFS(Imput[[Importe Neto]:[Importe Neto]],Imput[[C. Imp.]:[C. Imp.]],$D879,Imput[[PERIODO Imp.]:[PERIODO Imp.]],CA$9)</f>
        <v>0</v>
      </c>
      <c r="CB879" s="693">
        <f>SUMIFS(Imput[[Importe Neto]:[Importe Neto]],Imput[[C. Imp.]:[C. Imp.]],$D879,Imput[[PERIODO Imp.]:[PERIODO Imp.]],CB$9)</f>
        <v>0</v>
      </c>
      <c r="CC879" s="693">
        <f>SUMIFS(Imput[[Importe Neto]:[Importe Neto]],Imput[[C. Imp.]:[C. Imp.]],$D879,Imput[[PERIODO Imp.]:[PERIODO Imp.]],CC$9)</f>
        <v>0</v>
      </c>
      <c r="CD879" s="693">
        <f>SUMIFS(Imput[[Importe Neto]:[Importe Neto]],Imput[[C. Imp.]:[C. Imp.]],$D879,Imput[[PERIODO Imp.]:[PERIODO Imp.]],CD$9)</f>
        <v>0</v>
      </c>
      <c r="CE879" s="693">
        <f>SUMIFS(Imput[[Importe Neto]:[Importe Neto]],Imput[[C. Imp.]:[C. Imp.]],$D879,Imput[[PERIODO Imp.]:[PERIODO Imp.]],CE$9)</f>
        <v>0</v>
      </c>
      <c r="CF879" s="693">
        <f>SUMIFS(Imput[[Importe Neto]:[Importe Neto]],Imput[[C. Imp.]:[C. Imp.]],$D879,Imput[[PERIODO Imp.]:[PERIODO Imp.]],CF$9)</f>
        <v>0</v>
      </c>
      <c r="CG879" s="693">
        <f>SUMIFS(Imput[[Importe Neto]:[Importe Neto]],Imput[[C. Imp.]:[C. Imp.]],$D879,Imput[[PERIODO Imp.]:[PERIODO Imp.]],CG$9)</f>
        <v>0</v>
      </c>
      <c r="CH879" s="693">
        <f>SUMIFS(Imput[[Importe Neto]:[Importe Neto]],Imput[[C. Imp.]:[C. Imp.]],$D879,Imput[[PERIODO Imp.]:[PERIODO Imp.]],CH$9)</f>
        <v>0</v>
      </c>
      <c r="CI879" s="693">
        <f>SUMIFS(Imput[[Importe Neto]:[Importe Neto]],Imput[[C. Imp.]:[C. Imp.]],$D879,Imput[[PERIODO Imp.]:[PERIODO Imp.]],CI$9)</f>
        <v>0</v>
      </c>
      <c r="CJ879" s="693">
        <f>SUMIFS(Imput[[Importe Neto]:[Importe Neto]],Imput[[C. Imp.]:[C. Imp.]],$D879,Imput[[PERIODO Imp.]:[PERIODO Imp.]],CJ$9)</f>
        <v>0</v>
      </c>
      <c r="CK879" s="693">
        <f>SUMIFS(Imput[[Importe Neto]:[Importe Neto]],Imput[[C. Imp.]:[C. Imp.]],$D879,Imput[[PERIODO Imp.]:[PERIODO Imp.]],CK$9)</f>
        <v>0</v>
      </c>
      <c r="CL879" s="693">
        <f>SUMIFS(Imput[[Importe Neto]:[Importe Neto]],Imput[[C. Imp.]:[C. Imp.]],$D879,Imput[[PERIODO Imp.]:[PERIODO Imp.]],CL$9)</f>
        <v>0</v>
      </c>
      <c r="CM879" s="693">
        <f>SUMIFS(Imput[[Importe Neto]:[Importe Neto]],Imput[[C. Imp.]:[C. Imp.]],$D879,Imput[[PERIODO Imp.]:[PERIODO Imp.]],CM$9)</f>
        <v>0</v>
      </c>
      <c r="CN879" s="693">
        <f>SUMIFS(Imput[[Importe Neto]:[Importe Neto]],Imput[[C. Imp.]:[C. Imp.]],$D879,Imput[[PERIODO Imp.]:[PERIODO Imp.]],CN$9)</f>
        <v>0</v>
      </c>
      <c r="CO879" s="693">
        <f>SUMIFS(Imput[[Importe Neto]:[Importe Neto]],Imput[[C. Imp.]:[C. Imp.]],$D879,Imput[[PERIODO Imp.]:[PERIODO Imp.]],CO$9)</f>
        <v>0</v>
      </c>
      <c r="CP879" s="693">
        <f>SUMIFS(Imput[[Importe Neto]:[Importe Neto]],Imput[[C. Imp.]:[C. Imp.]],$D879,Imput[[PERIODO Imp.]:[PERIODO Imp.]],CP$9)</f>
        <v>0</v>
      </c>
      <c r="CQ879" s="693">
        <f>SUMIFS(Imput[[Importe Neto]:[Importe Neto]],Imput[[C. Imp.]:[C. Imp.]],$D879,Imput[[PERIODO Imp.]:[PERIODO Imp.]],CQ$9)</f>
        <v>0</v>
      </c>
      <c r="CR879" s="693">
        <f>SUMIFS(Imput[[Importe Neto]:[Importe Neto]],Imput[[C. Imp.]:[C. Imp.]],$D879,Imput[[PERIODO Imp.]:[PERIODO Imp.]],CR$9)</f>
        <v>0</v>
      </c>
      <c r="CS879" s="693">
        <f>SUMIFS(Imput[[Importe Neto]:[Importe Neto]],Imput[[C. Imp.]:[C. Imp.]],$D879,Imput[[PERIODO Imp.]:[PERIODO Imp.]],CS$9)</f>
        <v>0</v>
      </c>
      <c r="CT879" s="693">
        <f>SUMIFS(Imput[[Importe Neto]:[Importe Neto]],Imput[[C. Imp.]:[C. Imp.]],$D879,Imput[[PERIODO Imp.]:[PERIODO Imp.]],CT$9)</f>
        <v>0</v>
      </c>
      <c r="CU879" s="693">
        <f>SUMIFS(Imput[[Importe Neto]:[Importe Neto]],Imput[[C. Imp.]:[C. Imp.]],$D879,Imput[[PERIODO Imp.]:[PERIODO Imp.]],CU$9)</f>
        <v>0</v>
      </c>
      <c r="CV879" s="693">
        <f>SUMIFS(Imput[[Importe Neto]:[Importe Neto]],Imput[[C. Imp.]:[C. Imp.]],$D879,Imput[[PERIODO Imp.]:[PERIODO Imp.]],CV$9)</f>
        <v>0</v>
      </c>
      <c r="CW879" s="693">
        <f>SUMIFS(Imput[[Importe Neto]:[Importe Neto]],Imput[[C. Imp.]:[C. Imp.]],$D879,Imput[[PERIODO Imp.]:[PERIODO Imp.]],CW$9)</f>
        <v>0</v>
      </c>
      <c r="CX879" s="693">
        <f>SUMIFS(Imput[[Importe Neto]:[Importe Neto]],Imput[[C. Imp.]:[C. Imp.]],$D879,Imput[[PERIODO Imp.]:[PERIODO Imp.]],CX$9)</f>
        <v>0</v>
      </c>
      <c r="CY879" s="693">
        <f>SUMIFS(Imput[[Importe Neto]:[Importe Neto]],Imput[[C. Imp.]:[C. Imp.]],$D879,Imput[[PERIODO Imp.]:[PERIODO Imp.]],CY$9)</f>
        <v>0</v>
      </c>
      <c r="CZ879" s="693">
        <f>SUMIFS(Imput[[Importe Neto]:[Importe Neto]],Imput[[C. Imp.]:[C. Imp.]],$D879,Imput[[PERIODO Imp.]:[PERIODO Imp.]],CZ$9)</f>
        <v>0</v>
      </c>
      <c r="DA879" s="693">
        <f>SUMIFS(Imput[[Importe Neto]:[Importe Neto]],Imput[[C. Imp.]:[C. Imp.]],$D879,Imput[[PERIODO Imp.]:[PERIODO Imp.]],DA$9)</f>
        <v>0</v>
      </c>
      <c r="DB879" s="693">
        <f>SUMIFS(Imput[[Importe Neto]:[Importe Neto]],Imput[[C. Imp.]:[C. Imp.]],$D879,Imput[[PERIODO Imp.]:[PERIODO Imp.]],DB$9)</f>
        <v>0</v>
      </c>
      <c r="DC879" s="693">
        <f>SUMIFS(Imput[[Importe Neto]:[Importe Neto]],Imput[[C. Imp.]:[C. Imp.]],$D879,Imput[[PERIODO Imp.]:[PERIODO Imp.]],DC$9)</f>
        <v>0</v>
      </c>
      <c r="DD879" s="693">
        <f>SUMIFS(Imput[[Importe Neto]:[Importe Neto]],Imput[[C. Imp.]:[C. Imp.]],$D879,Imput[[PERIODO Imp.]:[PERIODO Imp.]],DD$9)</f>
        <v>0</v>
      </c>
      <c r="DE879" s="693">
        <f>SUMIFS(Imput[[Importe Neto]:[Importe Neto]],Imput[[C. Imp.]:[C. Imp.]],$D879,Imput[[PERIODO Imp.]:[PERIODO Imp.]],DE$9)</f>
        <v>0</v>
      </c>
      <c r="DF879" s="693">
        <f>SUMIFS(Imput[[Importe Neto]:[Importe Neto]],Imput[[C. Imp.]:[C. Imp.]],$D879,Imput[[PERIODO Imp.]:[PERIODO Imp.]],DF$9)</f>
        <v>0</v>
      </c>
      <c r="DG879" s="693">
        <f>SUMIFS(Imput[[Importe Neto]:[Importe Neto]],Imput[[C. Imp.]:[C. Imp.]],$D879,Imput[[PERIODO Imp.]:[PERIODO Imp.]],DG$9)</f>
        <v>0</v>
      </c>
      <c r="DH879" s="694">
        <f>SUMIFS(Imput[[Importe Neto]:[Importe Neto]],Imput[[C. Imp.]:[C. Imp.]],$D879,Imput[[PERIODO Imp.]:[PERIODO Imp.]],DH$9)</f>
        <v>0</v>
      </c>
    </row>
    <row r="880" spans="1:112" s="649" customFormat="1" hidden="1" outlineLevel="1" x14ac:dyDescent="0.3">
      <c r="A880" s="652" t="str">
        <f t="shared" si="290"/>
        <v/>
      </c>
      <c r="B880" s="652"/>
      <c r="C880" s="685"/>
      <c r="D880" s="686" t="s">
        <v>2856</v>
      </c>
      <c r="E880" s="728"/>
      <c r="F880" s="720"/>
      <c r="G880" s="688"/>
      <c r="H880" s="696"/>
      <c r="I880" s="851" t="str">
        <f t="shared" si="295"/>
        <v/>
      </c>
      <c r="J880" s="850" t="str">
        <f t="shared" si="292"/>
        <v/>
      </c>
      <c r="K880" s="667"/>
      <c r="L880" s="858"/>
      <c r="M880" s="859"/>
      <c r="N880" s="859"/>
      <c r="O880" s="859"/>
      <c r="P880" s="859"/>
      <c r="Q880" s="859"/>
      <c r="R880" s="859"/>
      <c r="S880" s="859"/>
      <c r="T880" s="859"/>
      <c r="U880" s="859"/>
      <c r="V880" s="859"/>
      <c r="W880" s="859"/>
      <c r="X880" s="859"/>
      <c r="Y880" s="859"/>
      <c r="Z880" s="860"/>
      <c r="AA880" s="860"/>
      <c r="AB880" s="860"/>
      <c r="AC880" s="860"/>
      <c r="AD880" s="860"/>
      <c r="AE880" s="860"/>
      <c r="AF880" s="860"/>
      <c r="AG880" s="860"/>
      <c r="AH880" s="860"/>
      <c r="AI880" s="860"/>
      <c r="AJ880" s="860"/>
      <c r="AK880" s="860"/>
      <c r="AL880" s="860"/>
      <c r="AM880" s="860"/>
      <c r="AN880" s="860"/>
      <c r="AO880" s="860"/>
      <c r="AP880" s="860"/>
      <c r="AQ880" s="860"/>
      <c r="AR880" s="860"/>
      <c r="AS880" s="860"/>
      <c r="AT880" s="860"/>
      <c r="AU880" s="860"/>
      <c r="AV880" s="860"/>
      <c r="AW880" s="860"/>
      <c r="AX880" s="860"/>
      <c r="AY880" s="860"/>
      <c r="AZ880" s="860"/>
      <c r="BA880" s="860"/>
      <c r="BB880" s="860"/>
      <c r="BC880" s="860"/>
      <c r="BD880" s="860"/>
      <c r="BE880" s="860"/>
      <c r="BF880" s="860"/>
      <c r="BG880" s="860"/>
      <c r="BH880" s="668"/>
      <c r="BI880" s="654"/>
      <c r="BJ880" s="690">
        <f t="shared" si="296"/>
        <v>0</v>
      </c>
      <c r="BK880" s="691">
        <f t="shared" si="297"/>
        <v>0</v>
      </c>
      <c r="BL880" s="654"/>
      <c r="BM880" s="697">
        <f>SUMIFS(Imput[[Importe Neto]:[Importe Neto]],Imput[[C. Imp.]:[C. Imp.]],$D880,Imput[[PERIODO Imp.]:[PERIODO Imp.]],BM$9)</f>
        <v>0</v>
      </c>
      <c r="BN880" s="698">
        <f>SUMIFS(Imput[[Importe Neto]:[Importe Neto]],Imput[[C. Imp.]:[C. Imp.]],$D880,Imput[[PERIODO Imp.]:[PERIODO Imp.]],BN$9)</f>
        <v>0</v>
      </c>
      <c r="BO880" s="698">
        <f>SUMIFS(Imput[[Importe Neto]:[Importe Neto]],Imput[[C. Imp.]:[C. Imp.]],$D880,Imput[[PERIODO Imp.]:[PERIODO Imp.]],BO$9)</f>
        <v>0</v>
      </c>
      <c r="BP880" s="698">
        <f>SUMIFS(Imput[[Importe Neto]:[Importe Neto]],Imput[[C. Imp.]:[C. Imp.]],$D880,Imput[[PERIODO Imp.]:[PERIODO Imp.]],BP$9)</f>
        <v>0</v>
      </c>
      <c r="BQ880" s="698">
        <f>SUMIFS(Imput[[Importe Neto]:[Importe Neto]],Imput[[C. Imp.]:[C. Imp.]],$D880,Imput[[PERIODO Imp.]:[PERIODO Imp.]],BQ$9)</f>
        <v>0</v>
      </c>
      <c r="BR880" s="698">
        <f>SUMIFS(Imput[[Importe Neto]:[Importe Neto]],Imput[[C. Imp.]:[C. Imp.]],$D880,Imput[[PERIODO Imp.]:[PERIODO Imp.]],BR$9)</f>
        <v>0</v>
      </c>
      <c r="BS880" s="698">
        <f>SUMIFS(Imput[[Importe Neto]:[Importe Neto]],Imput[[C. Imp.]:[C. Imp.]],$D880,Imput[[PERIODO Imp.]:[PERIODO Imp.]],BS$9)</f>
        <v>0</v>
      </c>
      <c r="BT880" s="698">
        <f>SUMIFS(Imput[[Importe Neto]:[Importe Neto]],Imput[[C. Imp.]:[C. Imp.]],$D880,Imput[[PERIODO Imp.]:[PERIODO Imp.]],BT$9)</f>
        <v>0</v>
      </c>
      <c r="BU880" s="698">
        <f>SUMIFS(Imput[[Importe Neto]:[Importe Neto]],Imput[[C. Imp.]:[C. Imp.]],$D880,Imput[[PERIODO Imp.]:[PERIODO Imp.]],BU$9)</f>
        <v>0</v>
      </c>
      <c r="BV880" s="698">
        <f>SUMIFS(Imput[[Importe Neto]:[Importe Neto]],Imput[[C. Imp.]:[C. Imp.]],$D880,Imput[[PERIODO Imp.]:[PERIODO Imp.]],BV$9)</f>
        <v>0</v>
      </c>
      <c r="BW880" s="698">
        <f>SUMIFS(Imput[[Importe Neto]:[Importe Neto]],Imput[[C. Imp.]:[C. Imp.]],$D880,Imput[[PERIODO Imp.]:[PERIODO Imp.]],BW$9)</f>
        <v>0</v>
      </c>
      <c r="BX880" s="698">
        <f>SUMIFS(Imput[[Importe Neto]:[Importe Neto]],Imput[[C. Imp.]:[C. Imp.]],$D880,Imput[[PERIODO Imp.]:[PERIODO Imp.]],BX$9)</f>
        <v>0</v>
      </c>
      <c r="BY880" s="698">
        <f>SUMIFS(Imput[[Importe Neto]:[Importe Neto]],Imput[[C. Imp.]:[C. Imp.]],$D880,Imput[[PERIODO Imp.]:[PERIODO Imp.]],BY$9)</f>
        <v>0</v>
      </c>
      <c r="BZ880" s="698">
        <f>SUMIFS(Imput[[Importe Neto]:[Importe Neto]],Imput[[C. Imp.]:[C. Imp.]],$D880,Imput[[PERIODO Imp.]:[PERIODO Imp.]],BZ$9)</f>
        <v>0</v>
      </c>
      <c r="CA880" s="698">
        <f>SUMIFS(Imput[[Importe Neto]:[Importe Neto]],Imput[[C. Imp.]:[C. Imp.]],$D880,Imput[[PERIODO Imp.]:[PERIODO Imp.]],CA$9)</f>
        <v>0</v>
      </c>
      <c r="CB880" s="698">
        <f>SUMIFS(Imput[[Importe Neto]:[Importe Neto]],Imput[[C. Imp.]:[C. Imp.]],$D880,Imput[[PERIODO Imp.]:[PERIODO Imp.]],CB$9)</f>
        <v>0</v>
      </c>
      <c r="CC880" s="698">
        <f>SUMIFS(Imput[[Importe Neto]:[Importe Neto]],Imput[[C. Imp.]:[C. Imp.]],$D880,Imput[[PERIODO Imp.]:[PERIODO Imp.]],CC$9)</f>
        <v>0</v>
      </c>
      <c r="CD880" s="698">
        <f>SUMIFS(Imput[[Importe Neto]:[Importe Neto]],Imput[[C. Imp.]:[C. Imp.]],$D880,Imput[[PERIODO Imp.]:[PERIODO Imp.]],CD$9)</f>
        <v>0</v>
      </c>
      <c r="CE880" s="698">
        <f>SUMIFS(Imput[[Importe Neto]:[Importe Neto]],Imput[[C. Imp.]:[C. Imp.]],$D880,Imput[[PERIODO Imp.]:[PERIODO Imp.]],CE$9)</f>
        <v>0</v>
      </c>
      <c r="CF880" s="698">
        <f>SUMIFS(Imput[[Importe Neto]:[Importe Neto]],Imput[[C. Imp.]:[C. Imp.]],$D880,Imput[[PERIODO Imp.]:[PERIODO Imp.]],CF$9)</f>
        <v>0</v>
      </c>
      <c r="CG880" s="698">
        <f>SUMIFS(Imput[[Importe Neto]:[Importe Neto]],Imput[[C. Imp.]:[C. Imp.]],$D880,Imput[[PERIODO Imp.]:[PERIODO Imp.]],CG$9)</f>
        <v>0</v>
      </c>
      <c r="CH880" s="698">
        <f>SUMIFS(Imput[[Importe Neto]:[Importe Neto]],Imput[[C. Imp.]:[C. Imp.]],$D880,Imput[[PERIODO Imp.]:[PERIODO Imp.]],CH$9)</f>
        <v>0</v>
      </c>
      <c r="CI880" s="698">
        <f>SUMIFS(Imput[[Importe Neto]:[Importe Neto]],Imput[[C. Imp.]:[C. Imp.]],$D880,Imput[[PERIODO Imp.]:[PERIODO Imp.]],CI$9)</f>
        <v>0</v>
      </c>
      <c r="CJ880" s="698">
        <f>SUMIFS(Imput[[Importe Neto]:[Importe Neto]],Imput[[C. Imp.]:[C. Imp.]],$D880,Imput[[PERIODO Imp.]:[PERIODO Imp.]],CJ$9)</f>
        <v>0</v>
      </c>
      <c r="CK880" s="698">
        <f>SUMIFS(Imput[[Importe Neto]:[Importe Neto]],Imput[[C. Imp.]:[C. Imp.]],$D880,Imput[[PERIODO Imp.]:[PERIODO Imp.]],CK$9)</f>
        <v>0</v>
      </c>
      <c r="CL880" s="698">
        <f>SUMIFS(Imput[[Importe Neto]:[Importe Neto]],Imput[[C. Imp.]:[C. Imp.]],$D880,Imput[[PERIODO Imp.]:[PERIODO Imp.]],CL$9)</f>
        <v>0</v>
      </c>
      <c r="CM880" s="698">
        <f>SUMIFS(Imput[[Importe Neto]:[Importe Neto]],Imput[[C. Imp.]:[C. Imp.]],$D880,Imput[[PERIODO Imp.]:[PERIODO Imp.]],CM$9)</f>
        <v>0</v>
      </c>
      <c r="CN880" s="698">
        <f>SUMIFS(Imput[[Importe Neto]:[Importe Neto]],Imput[[C. Imp.]:[C. Imp.]],$D880,Imput[[PERIODO Imp.]:[PERIODO Imp.]],CN$9)</f>
        <v>0</v>
      </c>
      <c r="CO880" s="698">
        <f>SUMIFS(Imput[[Importe Neto]:[Importe Neto]],Imput[[C. Imp.]:[C. Imp.]],$D880,Imput[[PERIODO Imp.]:[PERIODO Imp.]],CO$9)</f>
        <v>0</v>
      </c>
      <c r="CP880" s="698">
        <f>SUMIFS(Imput[[Importe Neto]:[Importe Neto]],Imput[[C. Imp.]:[C. Imp.]],$D880,Imput[[PERIODO Imp.]:[PERIODO Imp.]],CP$9)</f>
        <v>0</v>
      </c>
      <c r="CQ880" s="698">
        <f>SUMIFS(Imput[[Importe Neto]:[Importe Neto]],Imput[[C. Imp.]:[C. Imp.]],$D880,Imput[[PERIODO Imp.]:[PERIODO Imp.]],CQ$9)</f>
        <v>0</v>
      </c>
      <c r="CR880" s="698">
        <f>SUMIFS(Imput[[Importe Neto]:[Importe Neto]],Imput[[C. Imp.]:[C. Imp.]],$D880,Imput[[PERIODO Imp.]:[PERIODO Imp.]],CR$9)</f>
        <v>0</v>
      </c>
      <c r="CS880" s="698">
        <f>SUMIFS(Imput[[Importe Neto]:[Importe Neto]],Imput[[C. Imp.]:[C. Imp.]],$D880,Imput[[PERIODO Imp.]:[PERIODO Imp.]],CS$9)</f>
        <v>0</v>
      </c>
      <c r="CT880" s="698">
        <f>SUMIFS(Imput[[Importe Neto]:[Importe Neto]],Imput[[C. Imp.]:[C. Imp.]],$D880,Imput[[PERIODO Imp.]:[PERIODO Imp.]],CT$9)</f>
        <v>0</v>
      </c>
      <c r="CU880" s="698">
        <f>SUMIFS(Imput[[Importe Neto]:[Importe Neto]],Imput[[C. Imp.]:[C. Imp.]],$D880,Imput[[PERIODO Imp.]:[PERIODO Imp.]],CU$9)</f>
        <v>0</v>
      </c>
      <c r="CV880" s="698">
        <f>SUMIFS(Imput[[Importe Neto]:[Importe Neto]],Imput[[C. Imp.]:[C. Imp.]],$D880,Imput[[PERIODO Imp.]:[PERIODO Imp.]],CV$9)</f>
        <v>0</v>
      </c>
      <c r="CW880" s="698">
        <f>SUMIFS(Imput[[Importe Neto]:[Importe Neto]],Imput[[C. Imp.]:[C. Imp.]],$D880,Imput[[PERIODO Imp.]:[PERIODO Imp.]],CW$9)</f>
        <v>0</v>
      </c>
      <c r="CX880" s="698">
        <f>SUMIFS(Imput[[Importe Neto]:[Importe Neto]],Imput[[C. Imp.]:[C. Imp.]],$D880,Imput[[PERIODO Imp.]:[PERIODO Imp.]],CX$9)</f>
        <v>0</v>
      </c>
      <c r="CY880" s="698">
        <f>SUMIFS(Imput[[Importe Neto]:[Importe Neto]],Imput[[C. Imp.]:[C. Imp.]],$D880,Imput[[PERIODO Imp.]:[PERIODO Imp.]],CY$9)</f>
        <v>0</v>
      </c>
      <c r="CZ880" s="698">
        <f>SUMIFS(Imput[[Importe Neto]:[Importe Neto]],Imput[[C. Imp.]:[C. Imp.]],$D880,Imput[[PERIODO Imp.]:[PERIODO Imp.]],CZ$9)</f>
        <v>0</v>
      </c>
      <c r="DA880" s="698">
        <f>SUMIFS(Imput[[Importe Neto]:[Importe Neto]],Imput[[C. Imp.]:[C. Imp.]],$D880,Imput[[PERIODO Imp.]:[PERIODO Imp.]],DA$9)</f>
        <v>0</v>
      </c>
      <c r="DB880" s="698">
        <f>SUMIFS(Imput[[Importe Neto]:[Importe Neto]],Imput[[C. Imp.]:[C. Imp.]],$D880,Imput[[PERIODO Imp.]:[PERIODO Imp.]],DB$9)</f>
        <v>0</v>
      </c>
      <c r="DC880" s="698">
        <f>SUMIFS(Imput[[Importe Neto]:[Importe Neto]],Imput[[C. Imp.]:[C. Imp.]],$D880,Imput[[PERIODO Imp.]:[PERIODO Imp.]],DC$9)</f>
        <v>0</v>
      </c>
      <c r="DD880" s="698">
        <f>SUMIFS(Imput[[Importe Neto]:[Importe Neto]],Imput[[C. Imp.]:[C. Imp.]],$D880,Imput[[PERIODO Imp.]:[PERIODO Imp.]],DD$9)</f>
        <v>0</v>
      </c>
      <c r="DE880" s="698">
        <f>SUMIFS(Imput[[Importe Neto]:[Importe Neto]],Imput[[C. Imp.]:[C. Imp.]],$D880,Imput[[PERIODO Imp.]:[PERIODO Imp.]],DE$9)</f>
        <v>0</v>
      </c>
      <c r="DF880" s="698">
        <f>SUMIFS(Imput[[Importe Neto]:[Importe Neto]],Imput[[C. Imp.]:[C. Imp.]],$D880,Imput[[PERIODO Imp.]:[PERIODO Imp.]],DF$9)</f>
        <v>0</v>
      </c>
      <c r="DG880" s="698">
        <f>SUMIFS(Imput[[Importe Neto]:[Importe Neto]],Imput[[C. Imp.]:[C. Imp.]],$D880,Imput[[PERIODO Imp.]:[PERIODO Imp.]],DG$9)</f>
        <v>0</v>
      </c>
      <c r="DH880" s="795">
        <f>SUMIFS(Imput[[Importe Neto]:[Importe Neto]],Imput[[C. Imp.]:[C. Imp.]],$D880,Imput[[PERIODO Imp.]:[PERIODO Imp.]],DH$9)</f>
        <v>0</v>
      </c>
    </row>
    <row r="881" spans="1:112" s="649" customFormat="1" ht="14.4" outlineLevel="1" thickBot="1" x14ac:dyDescent="0.35">
      <c r="A881" s="652" t="str">
        <f>IF(J829&gt;0,"Imprimir","")</f>
        <v>Imprimir</v>
      </c>
      <c r="B881" s="652"/>
      <c r="C881" s="699"/>
      <c r="D881" s="700"/>
      <c r="E881" s="700"/>
      <c r="F881" s="701"/>
      <c r="G881" s="702"/>
      <c r="H881" s="703"/>
      <c r="I881" s="704"/>
      <c r="J881" s="705"/>
      <c r="K881" s="667"/>
      <c r="L881" s="706"/>
      <c r="M881" s="707"/>
      <c r="N881" s="777"/>
      <c r="O881" s="777"/>
      <c r="P881" s="778"/>
      <c r="Q881" s="778"/>
      <c r="R881" s="708"/>
      <c r="S881" s="708"/>
      <c r="T881" s="779"/>
      <c r="U881" s="779"/>
      <c r="V881" s="778"/>
      <c r="W881" s="778"/>
      <c r="X881" s="708"/>
      <c r="Y881" s="708"/>
      <c r="Z881" s="708"/>
      <c r="AA881" s="708"/>
      <c r="AB881" s="708"/>
      <c r="AC881" s="708"/>
      <c r="AD881" s="708"/>
      <c r="AE881" s="708"/>
      <c r="AF881" s="708"/>
      <c r="AG881" s="708"/>
      <c r="AH881" s="708"/>
      <c r="AI881" s="708"/>
      <c r="AJ881" s="708"/>
      <c r="AK881" s="708"/>
      <c r="AL881" s="708"/>
      <c r="AM881" s="708"/>
      <c r="AN881" s="708"/>
      <c r="AO881" s="708"/>
      <c r="AP881" s="708"/>
      <c r="AQ881" s="708"/>
      <c r="AR881" s="708"/>
      <c r="AS881" s="708"/>
      <c r="AT881" s="708"/>
      <c r="AU881" s="708"/>
      <c r="AV881" s="708"/>
      <c r="AW881" s="708"/>
      <c r="AX881" s="708"/>
      <c r="AY881" s="708"/>
      <c r="AZ881" s="708"/>
      <c r="BA881" s="708"/>
      <c r="BB881" s="708"/>
      <c r="BC881" s="708"/>
      <c r="BD881" s="708"/>
      <c r="BE881" s="708"/>
      <c r="BF881" s="708"/>
      <c r="BG881" s="708"/>
      <c r="BH881" s="780"/>
      <c r="BI881" s="654"/>
      <c r="BJ881" s="709"/>
      <c r="BK881" s="710"/>
      <c r="BL881" s="654"/>
      <c r="BM881" s="731"/>
      <c r="BN881" s="701"/>
      <c r="BO881" s="701"/>
      <c r="BP881" s="701"/>
      <c r="BQ881" s="701"/>
      <c r="BR881" s="701"/>
      <c r="BS881" s="701"/>
      <c r="BT881" s="701"/>
      <c r="BU881" s="701"/>
      <c r="BV881" s="701"/>
      <c r="BW881" s="701"/>
      <c r="BX881" s="701"/>
      <c r="BY881" s="701"/>
      <c r="BZ881" s="701"/>
      <c r="CA881" s="701"/>
      <c r="CB881" s="701"/>
      <c r="CC881" s="701"/>
      <c r="CD881" s="701"/>
      <c r="CE881" s="701"/>
      <c r="CF881" s="701"/>
      <c r="CG881" s="701"/>
      <c r="CH881" s="701"/>
      <c r="CI881" s="701"/>
      <c r="CJ881" s="701"/>
      <c r="CK881" s="701"/>
      <c r="CL881" s="701"/>
      <c r="CM881" s="701"/>
      <c r="CN881" s="701"/>
      <c r="CO881" s="701"/>
      <c r="CP881" s="701"/>
      <c r="CQ881" s="701"/>
      <c r="CR881" s="701"/>
      <c r="CS881" s="701"/>
      <c r="CT881" s="701"/>
      <c r="CU881" s="701"/>
      <c r="CV881" s="701"/>
      <c r="CW881" s="701"/>
      <c r="CX881" s="701"/>
      <c r="CY881" s="701"/>
      <c r="CZ881" s="701"/>
      <c r="DA881" s="701"/>
      <c r="DB881" s="701"/>
      <c r="DC881" s="701"/>
      <c r="DD881" s="701"/>
      <c r="DE881" s="701"/>
      <c r="DF881" s="701"/>
      <c r="DG881" s="701"/>
      <c r="DH881" s="710"/>
    </row>
    <row r="882" spans="1:112" s="649" customFormat="1" x14ac:dyDescent="0.3">
      <c r="A882" s="652" t="str">
        <f>IF(J882&gt;0,"Imprimir","")</f>
        <v>Imprimir</v>
      </c>
      <c r="B882" s="652"/>
      <c r="C882" s="711"/>
      <c r="D882" s="712" t="s">
        <v>452</v>
      </c>
      <c r="E882" s="712" t="s">
        <v>505</v>
      </c>
      <c r="F882" s="712"/>
      <c r="G882" s="713"/>
      <c r="H882" s="712"/>
      <c r="I882" s="714"/>
      <c r="J882" s="715">
        <f>SUBTOTAL(9,J885:J894)</f>
        <v>2310</v>
      </c>
      <c r="K882" s="658"/>
      <c r="L882" s="770">
        <f t="shared" ref="L882:BG882" si="298">SUMPRODUCT($J885:$J894,L885:L894)</f>
        <v>0</v>
      </c>
      <c r="M882" s="771">
        <f t="shared" si="298"/>
        <v>0</v>
      </c>
      <c r="N882" s="771">
        <f t="shared" si="298"/>
        <v>0</v>
      </c>
      <c r="O882" s="771">
        <f t="shared" si="298"/>
        <v>577.5</v>
      </c>
      <c r="P882" s="771">
        <f t="shared" si="298"/>
        <v>0</v>
      </c>
      <c r="Q882" s="771">
        <f t="shared" si="298"/>
        <v>0</v>
      </c>
      <c r="R882" s="771">
        <f t="shared" si="298"/>
        <v>0</v>
      </c>
      <c r="S882" s="771">
        <f t="shared" si="298"/>
        <v>577.5</v>
      </c>
      <c r="T882" s="771">
        <f t="shared" si="298"/>
        <v>0</v>
      </c>
      <c r="U882" s="771">
        <f t="shared" si="298"/>
        <v>0</v>
      </c>
      <c r="V882" s="771">
        <f t="shared" si="298"/>
        <v>0</v>
      </c>
      <c r="W882" s="771">
        <f t="shared" si="298"/>
        <v>0</v>
      </c>
      <c r="X882" s="771">
        <f t="shared" si="298"/>
        <v>0</v>
      </c>
      <c r="Y882" s="771">
        <f t="shared" si="298"/>
        <v>0</v>
      </c>
      <c r="Z882" s="771">
        <f t="shared" si="298"/>
        <v>0</v>
      </c>
      <c r="AA882" s="771">
        <f t="shared" si="298"/>
        <v>0</v>
      </c>
      <c r="AB882" s="771">
        <f t="shared" si="298"/>
        <v>0</v>
      </c>
      <c r="AC882" s="771">
        <f t="shared" si="298"/>
        <v>0</v>
      </c>
      <c r="AD882" s="771">
        <f t="shared" si="298"/>
        <v>0</v>
      </c>
      <c r="AE882" s="771">
        <f t="shared" si="298"/>
        <v>577.5</v>
      </c>
      <c r="AF882" s="771">
        <f t="shared" si="298"/>
        <v>0</v>
      </c>
      <c r="AG882" s="771">
        <f t="shared" si="298"/>
        <v>0</v>
      </c>
      <c r="AH882" s="771">
        <f t="shared" si="298"/>
        <v>0</v>
      </c>
      <c r="AI882" s="771">
        <f t="shared" si="298"/>
        <v>577.5</v>
      </c>
      <c r="AJ882" s="771">
        <f t="shared" si="298"/>
        <v>0</v>
      </c>
      <c r="AK882" s="771">
        <f t="shared" si="298"/>
        <v>0</v>
      </c>
      <c r="AL882" s="771">
        <f t="shared" si="298"/>
        <v>0</v>
      </c>
      <c r="AM882" s="771">
        <f t="shared" si="298"/>
        <v>0</v>
      </c>
      <c r="AN882" s="771">
        <f t="shared" si="298"/>
        <v>0</v>
      </c>
      <c r="AO882" s="771">
        <f t="shared" si="298"/>
        <v>0</v>
      </c>
      <c r="AP882" s="771">
        <f t="shared" si="298"/>
        <v>0</v>
      </c>
      <c r="AQ882" s="771">
        <f t="shared" si="298"/>
        <v>0</v>
      </c>
      <c r="AR882" s="771">
        <f t="shared" si="298"/>
        <v>0</v>
      </c>
      <c r="AS882" s="771">
        <f t="shared" si="298"/>
        <v>0</v>
      </c>
      <c r="AT882" s="771">
        <f t="shared" si="298"/>
        <v>0</v>
      </c>
      <c r="AU882" s="771">
        <f t="shared" si="298"/>
        <v>0</v>
      </c>
      <c r="AV882" s="771">
        <f t="shared" si="298"/>
        <v>0</v>
      </c>
      <c r="AW882" s="771">
        <f t="shared" si="298"/>
        <v>0</v>
      </c>
      <c r="AX882" s="771">
        <f t="shared" si="298"/>
        <v>0</v>
      </c>
      <c r="AY882" s="771">
        <f t="shared" si="298"/>
        <v>0</v>
      </c>
      <c r="AZ882" s="771">
        <f t="shared" si="298"/>
        <v>0</v>
      </c>
      <c r="BA882" s="771">
        <f t="shared" si="298"/>
        <v>0</v>
      </c>
      <c r="BB882" s="771">
        <f t="shared" si="298"/>
        <v>0</v>
      </c>
      <c r="BC882" s="771">
        <f t="shared" si="298"/>
        <v>0</v>
      </c>
      <c r="BD882" s="771">
        <f t="shared" si="298"/>
        <v>0</v>
      </c>
      <c r="BE882" s="771">
        <f t="shared" si="298"/>
        <v>0</v>
      </c>
      <c r="BF882" s="771">
        <f t="shared" si="298"/>
        <v>0</v>
      </c>
      <c r="BG882" s="764">
        <f t="shared" si="298"/>
        <v>0</v>
      </c>
      <c r="BH882" s="776"/>
      <c r="BI882" s="654"/>
      <c r="BJ882" s="659">
        <f>IFERROR(BK882/J882,0)</f>
        <v>0</v>
      </c>
      <c r="BK882" s="660">
        <f>SUBTOTAL(9,BK883:BK894)</f>
        <v>0</v>
      </c>
      <c r="BL882" s="654"/>
      <c r="BM882" s="661">
        <f t="shared" ref="BM882:DH882" si="299">SUBTOTAL(9,BM883:BM894)</f>
        <v>0</v>
      </c>
      <c r="BN882" s="662">
        <f t="shared" si="299"/>
        <v>0</v>
      </c>
      <c r="BO882" s="662">
        <f t="shared" si="299"/>
        <v>0</v>
      </c>
      <c r="BP882" s="662">
        <f t="shared" si="299"/>
        <v>0</v>
      </c>
      <c r="BQ882" s="662">
        <f t="shared" si="299"/>
        <v>0</v>
      </c>
      <c r="BR882" s="662">
        <f t="shared" si="299"/>
        <v>0</v>
      </c>
      <c r="BS882" s="662">
        <f t="shared" si="299"/>
        <v>0</v>
      </c>
      <c r="BT882" s="662">
        <f t="shared" si="299"/>
        <v>0</v>
      </c>
      <c r="BU882" s="662">
        <f t="shared" si="299"/>
        <v>0</v>
      </c>
      <c r="BV882" s="662">
        <f t="shared" si="299"/>
        <v>0</v>
      </c>
      <c r="BW882" s="662">
        <f t="shared" si="299"/>
        <v>0</v>
      </c>
      <c r="BX882" s="662">
        <f t="shared" si="299"/>
        <v>0</v>
      </c>
      <c r="BY882" s="662">
        <f t="shared" si="299"/>
        <v>0</v>
      </c>
      <c r="BZ882" s="662">
        <f t="shared" si="299"/>
        <v>0</v>
      </c>
      <c r="CA882" s="662">
        <f t="shared" si="299"/>
        <v>0</v>
      </c>
      <c r="CB882" s="662">
        <f t="shared" si="299"/>
        <v>0</v>
      </c>
      <c r="CC882" s="662">
        <f t="shared" si="299"/>
        <v>0</v>
      </c>
      <c r="CD882" s="662">
        <f t="shared" si="299"/>
        <v>0</v>
      </c>
      <c r="CE882" s="662">
        <f t="shared" si="299"/>
        <v>0</v>
      </c>
      <c r="CF882" s="662">
        <f t="shared" si="299"/>
        <v>0</v>
      </c>
      <c r="CG882" s="662">
        <f t="shared" si="299"/>
        <v>0</v>
      </c>
      <c r="CH882" s="662">
        <f t="shared" si="299"/>
        <v>0</v>
      </c>
      <c r="CI882" s="662">
        <f t="shared" si="299"/>
        <v>0</v>
      </c>
      <c r="CJ882" s="662">
        <f t="shared" si="299"/>
        <v>0</v>
      </c>
      <c r="CK882" s="662">
        <f t="shared" si="299"/>
        <v>0</v>
      </c>
      <c r="CL882" s="662">
        <f t="shared" si="299"/>
        <v>0</v>
      </c>
      <c r="CM882" s="662">
        <f t="shared" si="299"/>
        <v>0</v>
      </c>
      <c r="CN882" s="662">
        <f t="shared" si="299"/>
        <v>0</v>
      </c>
      <c r="CO882" s="662">
        <f t="shared" si="299"/>
        <v>0</v>
      </c>
      <c r="CP882" s="662">
        <f t="shared" si="299"/>
        <v>0</v>
      </c>
      <c r="CQ882" s="662">
        <f t="shared" si="299"/>
        <v>0</v>
      </c>
      <c r="CR882" s="662">
        <f t="shared" si="299"/>
        <v>0</v>
      </c>
      <c r="CS882" s="662">
        <f t="shared" si="299"/>
        <v>0</v>
      </c>
      <c r="CT882" s="662">
        <f t="shared" si="299"/>
        <v>0</v>
      </c>
      <c r="CU882" s="662">
        <f t="shared" si="299"/>
        <v>0</v>
      </c>
      <c r="CV882" s="662">
        <f t="shared" si="299"/>
        <v>0</v>
      </c>
      <c r="CW882" s="662">
        <f t="shared" si="299"/>
        <v>0</v>
      </c>
      <c r="CX882" s="662">
        <f t="shared" si="299"/>
        <v>0</v>
      </c>
      <c r="CY882" s="662">
        <f t="shared" si="299"/>
        <v>0</v>
      </c>
      <c r="CZ882" s="662">
        <f t="shared" si="299"/>
        <v>0</v>
      </c>
      <c r="DA882" s="662">
        <f t="shared" si="299"/>
        <v>0</v>
      </c>
      <c r="DB882" s="662">
        <f t="shared" si="299"/>
        <v>0</v>
      </c>
      <c r="DC882" s="662">
        <f t="shared" si="299"/>
        <v>0</v>
      </c>
      <c r="DD882" s="662">
        <f t="shared" si="299"/>
        <v>0</v>
      </c>
      <c r="DE882" s="662">
        <f t="shared" si="299"/>
        <v>0</v>
      </c>
      <c r="DF882" s="662">
        <f t="shared" si="299"/>
        <v>0</v>
      </c>
      <c r="DG882" s="662">
        <f t="shared" si="299"/>
        <v>0</v>
      </c>
      <c r="DH882" s="663">
        <f t="shared" si="299"/>
        <v>0</v>
      </c>
    </row>
    <row r="883" spans="1:112" s="650" customFormat="1" outlineLevel="1" x14ac:dyDescent="0.3">
      <c r="A883" s="652" t="str">
        <f>IF(J882&gt;0,"Imprimir","")</f>
        <v>Imprimir</v>
      </c>
      <c r="B883" s="722"/>
      <c r="C883" s="664"/>
      <c r="D883" s="665"/>
      <c r="E883" s="665"/>
      <c r="F883" s="665" t="s">
        <v>472</v>
      </c>
      <c r="G883" s="716" t="s">
        <v>2128</v>
      </c>
      <c r="H883" s="665" t="s">
        <v>98</v>
      </c>
      <c r="I883" s="665" t="s">
        <v>474</v>
      </c>
      <c r="J883" s="666" t="s">
        <v>29</v>
      </c>
      <c r="K883" s="723"/>
      <c r="L883" s="745"/>
      <c r="M883" s="741"/>
      <c r="N883" s="741"/>
      <c r="O883" s="741"/>
      <c r="P883" s="741"/>
      <c r="Q883" s="741"/>
      <c r="R883" s="741"/>
      <c r="S883" s="741"/>
      <c r="T883" s="741"/>
      <c r="U883" s="741"/>
      <c r="V883" s="741"/>
      <c r="W883" s="741"/>
      <c r="X883" s="741"/>
      <c r="Y883" s="741"/>
      <c r="Z883" s="741"/>
      <c r="AA883" s="741"/>
      <c r="AB883" s="741"/>
      <c r="AC883" s="741"/>
      <c r="AD883" s="741"/>
      <c r="AE883" s="741"/>
      <c r="AF883" s="741"/>
      <c r="AG883" s="741"/>
      <c r="AH883" s="741"/>
      <c r="AI883" s="741"/>
      <c r="AJ883" s="741"/>
      <c r="AK883" s="741"/>
      <c r="AL883" s="741"/>
      <c r="AM883" s="741"/>
      <c r="AN883" s="741"/>
      <c r="AO883" s="741"/>
      <c r="AP883" s="741"/>
      <c r="AQ883" s="741"/>
      <c r="AR883" s="741"/>
      <c r="AS883" s="741"/>
      <c r="AT883" s="741"/>
      <c r="AU883" s="741"/>
      <c r="AV883" s="741"/>
      <c r="AW883" s="741"/>
      <c r="AX883" s="741"/>
      <c r="AY883" s="741"/>
      <c r="AZ883" s="741"/>
      <c r="BA883" s="741"/>
      <c r="BB883" s="741"/>
      <c r="BC883" s="741"/>
      <c r="BD883" s="741"/>
      <c r="BE883" s="741"/>
      <c r="BF883" s="741"/>
      <c r="BG883" s="741"/>
      <c r="BH883" s="724"/>
      <c r="BI883" s="725"/>
      <c r="BJ883" s="669"/>
      <c r="BK883" s="670"/>
      <c r="BL883" s="725"/>
      <c r="BM883" s="671"/>
      <c r="BN883" s="665"/>
      <c r="BO883" s="665"/>
      <c r="BP883" s="665"/>
      <c r="BQ883" s="665"/>
      <c r="BR883" s="665"/>
      <c r="BS883" s="665"/>
      <c r="BT883" s="665"/>
      <c r="BU883" s="665"/>
      <c r="BV883" s="665"/>
      <c r="BW883" s="665"/>
      <c r="BX883" s="665"/>
      <c r="BY883" s="665"/>
      <c r="BZ883" s="665"/>
      <c r="CA883" s="665"/>
      <c r="CB883" s="665"/>
      <c r="CC883" s="665"/>
      <c r="CD883" s="665"/>
      <c r="CE883" s="665"/>
      <c r="CF883" s="665"/>
      <c r="CG883" s="665"/>
      <c r="CH883" s="665"/>
      <c r="CI883" s="665"/>
      <c r="CJ883" s="665"/>
      <c r="CK883" s="665"/>
      <c r="CL883" s="665"/>
      <c r="CM883" s="665"/>
      <c r="CN883" s="665"/>
      <c r="CO883" s="665"/>
      <c r="CP883" s="665"/>
      <c r="CQ883" s="665"/>
      <c r="CR883" s="665"/>
      <c r="CS883" s="665"/>
      <c r="CT883" s="665"/>
      <c r="CU883" s="665"/>
      <c r="CV883" s="665"/>
      <c r="CW883" s="665"/>
      <c r="CX883" s="665"/>
      <c r="CY883" s="665"/>
      <c r="CZ883" s="665"/>
      <c r="DA883" s="665"/>
      <c r="DB883" s="665"/>
      <c r="DC883" s="665"/>
      <c r="DD883" s="665"/>
      <c r="DE883" s="665"/>
      <c r="DF883" s="665"/>
      <c r="DG883" s="665"/>
      <c r="DH883" s="666"/>
    </row>
    <row r="884" spans="1:112" s="649" customFormat="1" ht="15.6" outlineLevel="1" x14ac:dyDescent="0.3">
      <c r="A884" s="652" t="str">
        <f>IF(J884&gt;0,"Imprimir","")</f>
        <v>Imprimir</v>
      </c>
      <c r="B884" s="652"/>
      <c r="C884" s="672"/>
      <c r="D884" s="673"/>
      <c r="E884" s="674"/>
      <c r="F884" s="675"/>
      <c r="G884" s="726"/>
      <c r="H884" s="676"/>
      <c r="I884" s="677"/>
      <c r="J884" s="219">
        <f>SUBTOTAL(9,J885:J894)</f>
        <v>2310</v>
      </c>
      <c r="K884" s="678"/>
      <c r="L884" s="747"/>
      <c r="M884" s="742"/>
      <c r="N884" s="742"/>
      <c r="O884" s="742"/>
      <c r="P884" s="742"/>
      <c r="Q884" s="742"/>
      <c r="R884" s="742"/>
      <c r="S884" s="742"/>
      <c r="T884" s="742"/>
      <c r="U884" s="742"/>
      <c r="V884" s="742"/>
      <c r="W884" s="742"/>
      <c r="X884" s="742"/>
      <c r="Y884" s="742"/>
      <c r="Z884" s="742"/>
      <c r="AA884" s="742"/>
      <c r="AB884" s="742"/>
      <c r="AC884" s="742"/>
      <c r="AD884" s="742"/>
      <c r="AE884" s="742"/>
      <c r="AF884" s="742"/>
      <c r="AG884" s="742"/>
      <c r="AH884" s="742"/>
      <c r="AI884" s="742"/>
      <c r="AJ884" s="742"/>
      <c r="AK884" s="742"/>
      <c r="AL884" s="742"/>
      <c r="AM884" s="742"/>
      <c r="AN884" s="742"/>
      <c r="AO884" s="742"/>
      <c r="AP884" s="742"/>
      <c r="AQ884" s="742"/>
      <c r="AR884" s="742"/>
      <c r="AS884" s="742"/>
      <c r="AT884" s="742"/>
      <c r="AU884" s="742"/>
      <c r="AV884" s="742"/>
      <c r="AW884" s="742"/>
      <c r="AX884" s="742"/>
      <c r="AY884" s="742"/>
      <c r="AZ884" s="742"/>
      <c r="BA884" s="742"/>
      <c r="BB884" s="742"/>
      <c r="BC884" s="742"/>
      <c r="BD884" s="742"/>
      <c r="BE884" s="742"/>
      <c r="BF884" s="742"/>
      <c r="BG884" s="742"/>
      <c r="BH884" s="668"/>
      <c r="BI884" s="654"/>
      <c r="BJ884" s="680"/>
      <c r="BK884" s="681"/>
      <c r="BL884" s="654"/>
      <c r="BM884" s="682"/>
      <c r="BN884" s="683"/>
      <c r="BO884" s="683"/>
      <c r="BP884" s="683"/>
      <c r="BQ884" s="683"/>
      <c r="BR884" s="683"/>
      <c r="BS884" s="683"/>
      <c r="BT884" s="683"/>
      <c r="BU884" s="683"/>
      <c r="BV884" s="683"/>
      <c r="BW884" s="683"/>
      <c r="BX884" s="683"/>
      <c r="BY884" s="683"/>
      <c r="BZ884" s="683"/>
      <c r="CA884" s="683"/>
      <c r="CB884" s="683"/>
      <c r="CC884" s="683"/>
      <c r="CD884" s="683"/>
      <c r="CE884" s="683"/>
      <c r="CF884" s="683"/>
      <c r="CG884" s="683"/>
      <c r="CH884" s="683"/>
      <c r="CI884" s="683"/>
      <c r="CJ884" s="683"/>
      <c r="CK884" s="683"/>
      <c r="CL884" s="683"/>
      <c r="CM884" s="683"/>
      <c r="CN884" s="683"/>
      <c r="CO884" s="683"/>
      <c r="CP884" s="683"/>
      <c r="CQ884" s="683"/>
      <c r="CR884" s="683"/>
      <c r="CS884" s="683"/>
      <c r="CT884" s="683"/>
      <c r="CU884" s="683"/>
      <c r="CV884" s="683"/>
      <c r="CW884" s="683"/>
      <c r="CX884" s="683"/>
      <c r="CY884" s="683"/>
      <c r="CZ884" s="683"/>
      <c r="DA884" s="683"/>
      <c r="DB884" s="683"/>
      <c r="DC884" s="683"/>
      <c r="DD884" s="683"/>
      <c r="DE884" s="683"/>
      <c r="DF884" s="683"/>
      <c r="DG884" s="683"/>
      <c r="DH884" s="684"/>
    </row>
    <row r="885" spans="1:112" s="649" customFormat="1" outlineLevel="1" x14ac:dyDescent="0.3">
      <c r="A885" s="652" t="str">
        <f t="shared" ref="A885:A893" si="300">IF(J885="","",IF(J885=0,"","Imprimir"))</f>
        <v>Imprimir</v>
      </c>
      <c r="B885" s="652"/>
      <c r="C885" s="685"/>
      <c r="D885" s="686" t="s">
        <v>2857</v>
      </c>
      <c r="E885" s="686" t="s">
        <v>506</v>
      </c>
      <c r="F885" s="720"/>
      <c r="G885" s="688">
        <v>700</v>
      </c>
      <c r="H885" s="689">
        <f>Producción!G78*1.1</f>
        <v>3.3000000000000003</v>
      </c>
      <c r="I885" s="851">
        <f t="shared" ref="I885:I893" si="301">IF(E885&gt;0,$J$5,"")</f>
        <v>1</v>
      </c>
      <c r="J885" s="852">
        <f t="shared" ref="J885:J893" si="302">IFERROR(G885*H885*I885,"")</f>
        <v>2310</v>
      </c>
      <c r="K885" s="667"/>
      <c r="L885" s="858"/>
      <c r="M885" s="859"/>
      <c r="N885" s="859"/>
      <c r="O885" s="859">
        <v>0.25</v>
      </c>
      <c r="P885" s="859"/>
      <c r="Q885" s="859"/>
      <c r="R885" s="859"/>
      <c r="S885" s="859">
        <v>0.25</v>
      </c>
      <c r="T885" s="859"/>
      <c r="U885" s="859"/>
      <c r="V885" s="859"/>
      <c r="W885" s="859"/>
      <c r="X885" s="859"/>
      <c r="Y885" s="859"/>
      <c r="Z885" s="860"/>
      <c r="AA885" s="860"/>
      <c r="AB885" s="860"/>
      <c r="AC885" s="860"/>
      <c r="AD885" s="860"/>
      <c r="AE885" s="860">
        <v>0.25</v>
      </c>
      <c r="AF885" s="860"/>
      <c r="AG885" s="860"/>
      <c r="AH885" s="860"/>
      <c r="AI885" s="860">
        <v>0.25</v>
      </c>
      <c r="AJ885" s="860"/>
      <c r="AK885" s="860"/>
      <c r="AL885" s="860"/>
      <c r="AM885" s="860"/>
      <c r="AN885" s="860"/>
      <c r="AO885" s="860"/>
      <c r="AP885" s="860"/>
      <c r="AQ885" s="860"/>
      <c r="AR885" s="860"/>
      <c r="AS885" s="860"/>
      <c r="AT885" s="860"/>
      <c r="AU885" s="860"/>
      <c r="AV885" s="860"/>
      <c r="AW885" s="860"/>
      <c r="AX885" s="860"/>
      <c r="AY885" s="860"/>
      <c r="AZ885" s="860"/>
      <c r="BA885" s="860"/>
      <c r="BB885" s="860"/>
      <c r="BC885" s="860"/>
      <c r="BD885" s="860"/>
      <c r="BE885" s="860"/>
      <c r="BF885" s="860"/>
      <c r="BG885" s="860"/>
      <c r="BH885" s="668"/>
      <c r="BI885" s="667"/>
      <c r="BJ885" s="690">
        <f t="shared" ref="BJ885:BJ893" si="303">IFERROR(BK885/J885,0)</f>
        <v>0</v>
      </c>
      <c r="BK885" s="691">
        <f t="shared" ref="BK885:BK893" si="304">SUM(BM885:DH885)</f>
        <v>0</v>
      </c>
      <c r="BL885" s="654"/>
      <c r="BM885" s="692">
        <f>SUMIFS(Imput[[Importe Neto]:[Importe Neto]],Imput[[C. Imp.]:[C. Imp.]],$D885,Imput[[PERIODO Imp.]:[PERIODO Imp.]],BM$9)</f>
        <v>0</v>
      </c>
      <c r="BN885" s="693">
        <f>SUMIFS(Imput[[Importe Neto]:[Importe Neto]],Imput[[C. Imp.]:[C. Imp.]],$D885,Imput[[PERIODO Imp.]:[PERIODO Imp.]],BN$9)</f>
        <v>0</v>
      </c>
      <c r="BO885" s="693">
        <f>SUMIFS(Imput[[Importe Neto]:[Importe Neto]],Imput[[C. Imp.]:[C. Imp.]],$D885,Imput[[PERIODO Imp.]:[PERIODO Imp.]],BO$9)</f>
        <v>0</v>
      </c>
      <c r="BP885" s="693">
        <f>SUMIFS(Imput[[Importe Neto]:[Importe Neto]],Imput[[C. Imp.]:[C. Imp.]],$D885,Imput[[PERIODO Imp.]:[PERIODO Imp.]],BP$9)</f>
        <v>0</v>
      </c>
      <c r="BQ885" s="693">
        <f>SUMIFS(Imput[[Importe Neto]:[Importe Neto]],Imput[[C. Imp.]:[C. Imp.]],$D885,Imput[[PERIODO Imp.]:[PERIODO Imp.]],BQ$9)</f>
        <v>0</v>
      </c>
      <c r="BR885" s="693">
        <f>SUMIFS(Imput[[Importe Neto]:[Importe Neto]],Imput[[C. Imp.]:[C. Imp.]],$D885,Imput[[PERIODO Imp.]:[PERIODO Imp.]],BR$9)</f>
        <v>0</v>
      </c>
      <c r="BS885" s="693">
        <f>SUMIFS(Imput[[Importe Neto]:[Importe Neto]],Imput[[C. Imp.]:[C. Imp.]],$D885,Imput[[PERIODO Imp.]:[PERIODO Imp.]],BS$9)</f>
        <v>0</v>
      </c>
      <c r="BT885" s="693">
        <f>SUMIFS(Imput[[Importe Neto]:[Importe Neto]],Imput[[C. Imp.]:[C. Imp.]],$D885,Imput[[PERIODO Imp.]:[PERIODO Imp.]],BT$9)</f>
        <v>0</v>
      </c>
      <c r="BU885" s="693">
        <f>SUMIFS(Imput[[Importe Neto]:[Importe Neto]],Imput[[C. Imp.]:[C. Imp.]],$D885,Imput[[PERIODO Imp.]:[PERIODO Imp.]],BU$9)</f>
        <v>0</v>
      </c>
      <c r="BV885" s="693">
        <f>SUMIFS(Imput[[Importe Neto]:[Importe Neto]],Imput[[C. Imp.]:[C. Imp.]],$D885,Imput[[PERIODO Imp.]:[PERIODO Imp.]],BV$9)</f>
        <v>0</v>
      </c>
      <c r="BW885" s="693">
        <f>SUMIFS(Imput[[Importe Neto]:[Importe Neto]],Imput[[C. Imp.]:[C. Imp.]],$D885,Imput[[PERIODO Imp.]:[PERIODO Imp.]],BW$9)</f>
        <v>0</v>
      </c>
      <c r="BX885" s="693">
        <f>SUMIFS(Imput[[Importe Neto]:[Importe Neto]],Imput[[C. Imp.]:[C. Imp.]],$D885,Imput[[PERIODO Imp.]:[PERIODO Imp.]],BX$9)</f>
        <v>0</v>
      </c>
      <c r="BY885" s="693">
        <f>SUMIFS(Imput[[Importe Neto]:[Importe Neto]],Imput[[C. Imp.]:[C. Imp.]],$D885,Imput[[PERIODO Imp.]:[PERIODO Imp.]],BY$9)</f>
        <v>0</v>
      </c>
      <c r="BZ885" s="693">
        <f>SUMIFS(Imput[[Importe Neto]:[Importe Neto]],Imput[[C. Imp.]:[C. Imp.]],$D885,Imput[[PERIODO Imp.]:[PERIODO Imp.]],BZ$9)</f>
        <v>0</v>
      </c>
      <c r="CA885" s="693">
        <f>SUMIFS(Imput[[Importe Neto]:[Importe Neto]],Imput[[C. Imp.]:[C. Imp.]],$D885,Imput[[PERIODO Imp.]:[PERIODO Imp.]],CA$9)</f>
        <v>0</v>
      </c>
      <c r="CB885" s="693">
        <f>SUMIFS(Imput[[Importe Neto]:[Importe Neto]],Imput[[C. Imp.]:[C. Imp.]],$D885,Imput[[PERIODO Imp.]:[PERIODO Imp.]],CB$9)</f>
        <v>0</v>
      </c>
      <c r="CC885" s="693">
        <f>SUMIFS(Imput[[Importe Neto]:[Importe Neto]],Imput[[C. Imp.]:[C. Imp.]],$D885,Imput[[PERIODO Imp.]:[PERIODO Imp.]],CC$9)</f>
        <v>0</v>
      </c>
      <c r="CD885" s="693">
        <f>SUMIFS(Imput[[Importe Neto]:[Importe Neto]],Imput[[C. Imp.]:[C. Imp.]],$D885,Imput[[PERIODO Imp.]:[PERIODO Imp.]],CD$9)</f>
        <v>0</v>
      </c>
      <c r="CE885" s="693">
        <f>SUMIFS(Imput[[Importe Neto]:[Importe Neto]],Imput[[C. Imp.]:[C. Imp.]],$D885,Imput[[PERIODO Imp.]:[PERIODO Imp.]],CE$9)</f>
        <v>0</v>
      </c>
      <c r="CF885" s="693">
        <f>SUMIFS(Imput[[Importe Neto]:[Importe Neto]],Imput[[C. Imp.]:[C. Imp.]],$D885,Imput[[PERIODO Imp.]:[PERIODO Imp.]],CF$9)</f>
        <v>0</v>
      </c>
      <c r="CG885" s="693">
        <f>SUMIFS(Imput[[Importe Neto]:[Importe Neto]],Imput[[C. Imp.]:[C. Imp.]],$D885,Imput[[PERIODO Imp.]:[PERIODO Imp.]],CG$9)</f>
        <v>0</v>
      </c>
      <c r="CH885" s="693">
        <f>SUMIFS(Imput[[Importe Neto]:[Importe Neto]],Imput[[C. Imp.]:[C. Imp.]],$D885,Imput[[PERIODO Imp.]:[PERIODO Imp.]],CH$9)</f>
        <v>0</v>
      </c>
      <c r="CI885" s="693">
        <f>SUMIFS(Imput[[Importe Neto]:[Importe Neto]],Imput[[C. Imp.]:[C. Imp.]],$D885,Imput[[PERIODO Imp.]:[PERIODO Imp.]],CI$9)</f>
        <v>0</v>
      </c>
      <c r="CJ885" s="693">
        <f>SUMIFS(Imput[[Importe Neto]:[Importe Neto]],Imput[[C. Imp.]:[C. Imp.]],$D885,Imput[[PERIODO Imp.]:[PERIODO Imp.]],CJ$9)</f>
        <v>0</v>
      </c>
      <c r="CK885" s="693">
        <f>SUMIFS(Imput[[Importe Neto]:[Importe Neto]],Imput[[C. Imp.]:[C. Imp.]],$D885,Imput[[PERIODO Imp.]:[PERIODO Imp.]],CK$9)</f>
        <v>0</v>
      </c>
      <c r="CL885" s="693">
        <f>SUMIFS(Imput[[Importe Neto]:[Importe Neto]],Imput[[C. Imp.]:[C. Imp.]],$D885,Imput[[PERIODO Imp.]:[PERIODO Imp.]],CL$9)</f>
        <v>0</v>
      </c>
      <c r="CM885" s="693">
        <f>SUMIFS(Imput[[Importe Neto]:[Importe Neto]],Imput[[C. Imp.]:[C. Imp.]],$D885,Imput[[PERIODO Imp.]:[PERIODO Imp.]],CM$9)</f>
        <v>0</v>
      </c>
      <c r="CN885" s="693">
        <f>SUMIFS(Imput[[Importe Neto]:[Importe Neto]],Imput[[C. Imp.]:[C. Imp.]],$D885,Imput[[PERIODO Imp.]:[PERIODO Imp.]],CN$9)</f>
        <v>0</v>
      </c>
      <c r="CO885" s="693">
        <f>SUMIFS(Imput[[Importe Neto]:[Importe Neto]],Imput[[C. Imp.]:[C. Imp.]],$D885,Imput[[PERIODO Imp.]:[PERIODO Imp.]],CO$9)</f>
        <v>0</v>
      </c>
      <c r="CP885" s="693">
        <f>SUMIFS(Imput[[Importe Neto]:[Importe Neto]],Imput[[C. Imp.]:[C. Imp.]],$D885,Imput[[PERIODO Imp.]:[PERIODO Imp.]],CP$9)</f>
        <v>0</v>
      </c>
      <c r="CQ885" s="693">
        <f>SUMIFS(Imput[[Importe Neto]:[Importe Neto]],Imput[[C. Imp.]:[C. Imp.]],$D885,Imput[[PERIODO Imp.]:[PERIODO Imp.]],CQ$9)</f>
        <v>0</v>
      </c>
      <c r="CR885" s="693">
        <f>SUMIFS(Imput[[Importe Neto]:[Importe Neto]],Imput[[C. Imp.]:[C. Imp.]],$D885,Imput[[PERIODO Imp.]:[PERIODO Imp.]],CR$9)</f>
        <v>0</v>
      </c>
      <c r="CS885" s="693">
        <f>SUMIFS(Imput[[Importe Neto]:[Importe Neto]],Imput[[C. Imp.]:[C. Imp.]],$D885,Imput[[PERIODO Imp.]:[PERIODO Imp.]],CS$9)</f>
        <v>0</v>
      </c>
      <c r="CT885" s="693">
        <f>SUMIFS(Imput[[Importe Neto]:[Importe Neto]],Imput[[C. Imp.]:[C. Imp.]],$D885,Imput[[PERIODO Imp.]:[PERIODO Imp.]],CT$9)</f>
        <v>0</v>
      </c>
      <c r="CU885" s="693">
        <f>SUMIFS(Imput[[Importe Neto]:[Importe Neto]],Imput[[C. Imp.]:[C. Imp.]],$D885,Imput[[PERIODO Imp.]:[PERIODO Imp.]],CU$9)</f>
        <v>0</v>
      </c>
      <c r="CV885" s="693">
        <f>SUMIFS(Imput[[Importe Neto]:[Importe Neto]],Imput[[C. Imp.]:[C. Imp.]],$D885,Imput[[PERIODO Imp.]:[PERIODO Imp.]],CV$9)</f>
        <v>0</v>
      </c>
      <c r="CW885" s="693">
        <f>SUMIFS(Imput[[Importe Neto]:[Importe Neto]],Imput[[C. Imp.]:[C. Imp.]],$D885,Imput[[PERIODO Imp.]:[PERIODO Imp.]],CW$9)</f>
        <v>0</v>
      </c>
      <c r="CX885" s="693">
        <f>SUMIFS(Imput[[Importe Neto]:[Importe Neto]],Imput[[C. Imp.]:[C. Imp.]],$D885,Imput[[PERIODO Imp.]:[PERIODO Imp.]],CX$9)</f>
        <v>0</v>
      </c>
      <c r="CY885" s="693">
        <f>SUMIFS(Imput[[Importe Neto]:[Importe Neto]],Imput[[C. Imp.]:[C. Imp.]],$D885,Imput[[PERIODO Imp.]:[PERIODO Imp.]],CY$9)</f>
        <v>0</v>
      </c>
      <c r="CZ885" s="693">
        <f>SUMIFS(Imput[[Importe Neto]:[Importe Neto]],Imput[[C. Imp.]:[C. Imp.]],$D885,Imput[[PERIODO Imp.]:[PERIODO Imp.]],CZ$9)</f>
        <v>0</v>
      </c>
      <c r="DA885" s="693">
        <f>SUMIFS(Imput[[Importe Neto]:[Importe Neto]],Imput[[C. Imp.]:[C. Imp.]],$D885,Imput[[PERIODO Imp.]:[PERIODO Imp.]],DA$9)</f>
        <v>0</v>
      </c>
      <c r="DB885" s="693">
        <f>SUMIFS(Imput[[Importe Neto]:[Importe Neto]],Imput[[C. Imp.]:[C. Imp.]],$D885,Imput[[PERIODO Imp.]:[PERIODO Imp.]],DB$9)</f>
        <v>0</v>
      </c>
      <c r="DC885" s="693">
        <f>SUMIFS(Imput[[Importe Neto]:[Importe Neto]],Imput[[C. Imp.]:[C. Imp.]],$D885,Imput[[PERIODO Imp.]:[PERIODO Imp.]],DC$9)</f>
        <v>0</v>
      </c>
      <c r="DD885" s="693">
        <f>SUMIFS(Imput[[Importe Neto]:[Importe Neto]],Imput[[C. Imp.]:[C. Imp.]],$D885,Imput[[PERIODO Imp.]:[PERIODO Imp.]],DD$9)</f>
        <v>0</v>
      </c>
      <c r="DE885" s="693">
        <f>SUMIFS(Imput[[Importe Neto]:[Importe Neto]],Imput[[C. Imp.]:[C. Imp.]],$D885,Imput[[PERIODO Imp.]:[PERIODO Imp.]],DE$9)</f>
        <v>0</v>
      </c>
      <c r="DF885" s="693">
        <f>SUMIFS(Imput[[Importe Neto]:[Importe Neto]],Imput[[C. Imp.]:[C. Imp.]],$D885,Imput[[PERIODO Imp.]:[PERIODO Imp.]],DF$9)</f>
        <v>0</v>
      </c>
      <c r="DG885" s="693">
        <f>SUMIFS(Imput[[Importe Neto]:[Importe Neto]],Imput[[C. Imp.]:[C. Imp.]],$D885,Imput[[PERIODO Imp.]:[PERIODO Imp.]],DG$9)</f>
        <v>0</v>
      </c>
      <c r="DH885" s="694">
        <f>SUMIFS(Imput[[Importe Neto]:[Importe Neto]],Imput[[C. Imp.]:[C. Imp.]],$D885,Imput[[PERIODO Imp.]:[PERIODO Imp.]],DH$9)</f>
        <v>0</v>
      </c>
    </row>
    <row r="886" spans="1:112" s="649" customFormat="1" hidden="1" outlineLevel="1" x14ac:dyDescent="0.3">
      <c r="A886" s="652" t="str">
        <f t="shared" si="300"/>
        <v/>
      </c>
      <c r="B886" s="652"/>
      <c r="C886" s="685"/>
      <c r="D886" s="686" t="s">
        <v>2858</v>
      </c>
      <c r="E886" s="686"/>
      <c r="F886" s="720"/>
      <c r="G886" s="688"/>
      <c r="H886" s="689"/>
      <c r="I886" s="851" t="str">
        <f t="shared" si="301"/>
        <v/>
      </c>
      <c r="J886" s="852" t="str">
        <f t="shared" si="302"/>
        <v/>
      </c>
      <c r="K886" s="667"/>
      <c r="L886" s="858"/>
      <c r="M886" s="859"/>
      <c r="N886" s="859"/>
      <c r="O886" s="859"/>
      <c r="P886" s="859"/>
      <c r="Q886" s="859"/>
      <c r="R886" s="859"/>
      <c r="S886" s="859"/>
      <c r="T886" s="859"/>
      <c r="U886" s="859"/>
      <c r="V886" s="859"/>
      <c r="W886" s="859"/>
      <c r="X886" s="859"/>
      <c r="Y886" s="859"/>
      <c r="Z886" s="860"/>
      <c r="AA886" s="860"/>
      <c r="AB886" s="860"/>
      <c r="AC886" s="860"/>
      <c r="AD886" s="860"/>
      <c r="AE886" s="860"/>
      <c r="AF886" s="860"/>
      <c r="AG886" s="860"/>
      <c r="AH886" s="860"/>
      <c r="AI886" s="860"/>
      <c r="AJ886" s="860"/>
      <c r="AK886" s="860"/>
      <c r="AL886" s="860"/>
      <c r="AM886" s="860"/>
      <c r="AN886" s="860"/>
      <c r="AO886" s="860"/>
      <c r="AP886" s="860"/>
      <c r="AQ886" s="860"/>
      <c r="AR886" s="860"/>
      <c r="AS886" s="860"/>
      <c r="AT886" s="860"/>
      <c r="AU886" s="860"/>
      <c r="AV886" s="860"/>
      <c r="AW886" s="860"/>
      <c r="AX886" s="860"/>
      <c r="AY886" s="860"/>
      <c r="AZ886" s="860"/>
      <c r="BA886" s="860"/>
      <c r="BB886" s="860"/>
      <c r="BC886" s="860"/>
      <c r="BD886" s="860"/>
      <c r="BE886" s="860"/>
      <c r="BF886" s="860"/>
      <c r="BG886" s="860"/>
      <c r="BH886" s="668"/>
      <c r="BI886" s="667"/>
      <c r="BJ886" s="690">
        <f t="shared" si="303"/>
        <v>0</v>
      </c>
      <c r="BK886" s="691">
        <f t="shared" si="304"/>
        <v>0</v>
      </c>
      <c r="BL886" s="654"/>
      <c r="BM886" s="692">
        <f>SUMIFS(Imput[[Importe Neto]:[Importe Neto]],Imput[[C. Imp.]:[C. Imp.]],$D886,Imput[[PERIODO Imp.]:[PERIODO Imp.]],BM$9)</f>
        <v>0</v>
      </c>
      <c r="BN886" s="693">
        <f>SUMIFS(Imput[[Importe Neto]:[Importe Neto]],Imput[[C. Imp.]:[C. Imp.]],$D886,Imput[[PERIODO Imp.]:[PERIODO Imp.]],BN$9)</f>
        <v>0</v>
      </c>
      <c r="BO886" s="693">
        <f>SUMIFS(Imput[[Importe Neto]:[Importe Neto]],Imput[[C. Imp.]:[C. Imp.]],$D886,Imput[[PERIODO Imp.]:[PERIODO Imp.]],BO$9)</f>
        <v>0</v>
      </c>
      <c r="BP886" s="693">
        <f>SUMIFS(Imput[[Importe Neto]:[Importe Neto]],Imput[[C. Imp.]:[C. Imp.]],$D886,Imput[[PERIODO Imp.]:[PERIODO Imp.]],BP$9)</f>
        <v>0</v>
      </c>
      <c r="BQ886" s="693">
        <f>SUMIFS(Imput[[Importe Neto]:[Importe Neto]],Imput[[C. Imp.]:[C. Imp.]],$D886,Imput[[PERIODO Imp.]:[PERIODO Imp.]],BQ$9)</f>
        <v>0</v>
      </c>
      <c r="BR886" s="693">
        <f>SUMIFS(Imput[[Importe Neto]:[Importe Neto]],Imput[[C. Imp.]:[C. Imp.]],$D886,Imput[[PERIODO Imp.]:[PERIODO Imp.]],BR$9)</f>
        <v>0</v>
      </c>
      <c r="BS886" s="693">
        <f>SUMIFS(Imput[[Importe Neto]:[Importe Neto]],Imput[[C. Imp.]:[C. Imp.]],$D886,Imput[[PERIODO Imp.]:[PERIODO Imp.]],BS$9)</f>
        <v>0</v>
      </c>
      <c r="BT886" s="693">
        <f>SUMIFS(Imput[[Importe Neto]:[Importe Neto]],Imput[[C. Imp.]:[C. Imp.]],$D886,Imput[[PERIODO Imp.]:[PERIODO Imp.]],BT$9)</f>
        <v>0</v>
      </c>
      <c r="BU886" s="693">
        <f>SUMIFS(Imput[[Importe Neto]:[Importe Neto]],Imput[[C. Imp.]:[C. Imp.]],$D886,Imput[[PERIODO Imp.]:[PERIODO Imp.]],BU$9)</f>
        <v>0</v>
      </c>
      <c r="BV886" s="693">
        <f>SUMIFS(Imput[[Importe Neto]:[Importe Neto]],Imput[[C. Imp.]:[C. Imp.]],$D886,Imput[[PERIODO Imp.]:[PERIODO Imp.]],BV$9)</f>
        <v>0</v>
      </c>
      <c r="BW886" s="693">
        <f>SUMIFS(Imput[[Importe Neto]:[Importe Neto]],Imput[[C. Imp.]:[C. Imp.]],$D886,Imput[[PERIODO Imp.]:[PERIODO Imp.]],BW$9)</f>
        <v>0</v>
      </c>
      <c r="BX886" s="693">
        <f>SUMIFS(Imput[[Importe Neto]:[Importe Neto]],Imput[[C. Imp.]:[C. Imp.]],$D886,Imput[[PERIODO Imp.]:[PERIODO Imp.]],BX$9)</f>
        <v>0</v>
      </c>
      <c r="BY886" s="693">
        <f>SUMIFS(Imput[[Importe Neto]:[Importe Neto]],Imput[[C. Imp.]:[C. Imp.]],$D886,Imput[[PERIODO Imp.]:[PERIODO Imp.]],BY$9)</f>
        <v>0</v>
      </c>
      <c r="BZ886" s="693">
        <f>SUMIFS(Imput[[Importe Neto]:[Importe Neto]],Imput[[C. Imp.]:[C. Imp.]],$D886,Imput[[PERIODO Imp.]:[PERIODO Imp.]],BZ$9)</f>
        <v>0</v>
      </c>
      <c r="CA886" s="693">
        <f>SUMIFS(Imput[[Importe Neto]:[Importe Neto]],Imput[[C. Imp.]:[C. Imp.]],$D886,Imput[[PERIODO Imp.]:[PERIODO Imp.]],CA$9)</f>
        <v>0</v>
      </c>
      <c r="CB886" s="693">
        <f>SUMIFS(Imput[[Importe Neto]:[Importe Neto]],Imput[[C. Imp.]:[C. Imp.]],$D886,Imput[[PERIODO Imp.]:[PERIODO Imp.]],CB$9)</f>
        <v>0</v>
      </c>
      <c r="CC886" s="693">
        <f>SUMIFS(Imput[[Importe Neto]:[Importe Neto]],Imput[[C. Imp.]:[C. Imp.]],$D886,Imput[[PERIODO Imp.]:[PERIODO Imp.]],CC$9)</f>
        <v>0</v>
      </c>
      <c r="CD886" s="693">
        <f>SUMIFS(Imput[[Importe Neto]:[Importe Neto]],Imput[[C. Imp.]:[C. Imp.]],$D886,Imput[[PERIODO Imp.]:[PERIODO Imp.]],CD$9)</f>
        <v>0</v>
      </c>
      <c r="CE886" s="693">
        <f>SUMIFS(Imput[[Importe Neto]:[Importe Neto]],Imput[[C. Imp.]:[C. Imp.]],$D886,Imput[[PERIODO Imp.]:[PERIODO Imp.]],CE$9)</f>
        <v>0</v>
      </c>
      <c r="CF886" s="693">
        <f>SUMIFS(Imput[[Importe Neto]:[Importe Neto]],Imput[[C. Imp.]:[C. Imp.]],$D886,Imput[[PERIODO Imp.]:[PERIODO Imp.]],CF$9)</f>
        <v>0</v>
      </c>
      <c r="CG886" s="693">
        <f>SUMIFS(Imput[[Importe Neto]:[Importe Neto]],Imput[[C. Imp.]:[C. Imp.]],$D886,Imput[[PERIODO Imp.]:[PERIODO Imp.]],CG$9)</f>
        <v>0</v>
      </c>
      <c r="CH886" s="693">
        <f>SUMIFS(Imput[[Importe Neto]:[Importe Neto]],Imput[[C. Imp.]:[C. Imp.]],$D886,Imput[[PERIODO Imp.]:[PERIODO Imp.]],CH$9)</f>
        <v>0</v>
      </c>
      <c r="CI886" s="693">
        <f>SUMIFS(Imput[[Importe Neto]:[Importe Neto]],Imput[[C. Imp.]:[C. Imp.]],$D886,Imput[[PERIODO Imp.]:[PERIODO Imp.]],CI$9)</f>
        <v>0</v>
      </c>
      <c r="CJ886" s="693">
        <f>SUMIFS(Imput[[Importe Neto]:[Importe Neto]],Imput[[C. Imp.]:[C. Imp.]],$D886,Imput[[PERIODO Imp.]:[PERIODO Imp.]],CJ$9)</f>
        <v>0</v>
      </c>
      <c r="CK886" s="693">
        <f>SUMIFS(Imput[[Importe Neto]:[Importe Neto]],Imput[[C. Imp.]:[C. Imp.]],$D886,Imput[[PERIODO Imp.]:[PERIODO Imp.]],CK$9)</f>
        <v>0</v>
      </c>
      <c r="CL886" s="693">
        <f>SUMIFS(Imput[[Importe Neto]:[Importe Neto]],Imput[[C. Imp.]:[C. Imp.]],$D886,Imput[[PERIODO Imp.]:[PERIODO Imp.]],CL$9)</f>
        <v>0</v>
      </c>
      <c r="CM886" s="693">
        <f>SUMIFS(Imput[[Importe Neto]:[Importe Neto]],Imput[[C. Imp.]:[C. Imp.]],$D886,Imput[[PERIODO Imp.]:[PERIODO Imp.]],CM$9)</f>
        <v>0</v>
      </c>
      <c r="CN886" s="693">
        <f>SUMIFS(Imput[[Importe Neto]:[Importe Neto]],Imput[[C. Imp.]:[C. Imp.]],$D886,Imput[[PERIODO Imp.]:[PERIODO Imp.]],CN$9)</f>
        <v>0</v>
      </c>
      <c r="CO886" s="693">
        <f>SUMIFS(Imput[[Importe Neto]:[Importe Neto]],Imput[[C. Imp.]:[C. Imp.]],$D886,Imput[[PERIODO Imp.]:[PERIODO Imp.]],CO$9)</f>
        <v>0</v>
      </c>
      <c r="CP886" s="693">
        <f>SUMIFS(Imput[[Importe Neto]:[Importe Neto]],Imput[[C. Imp.]:[C. Imp.]],$D886,Imput[[PERIODO Imp.]:[PERIODO Imp.]],CP$9)</f>
        <v>0</v>
      </c>
      <c r="CQ886" s="693">
        <f>SUMIFS(Imput[[Importe Neto]:[Importe Neto]],Imput[[C. Imp.]:[C. Imp.]],$D886,Imput[[PERIODO Imp.]:[PERIODO Imp.]],CQ$9)</f>
        <v>0</v>
      </c>
      <c r="CR886" s="693">
        <f>SUMIFS(Imput[[Importe Neto]:[Importe Neto]],Imput[[C. Imp.]:[C. Imp.]],$D886,Imput[[PERIODO Imp.]:[PERIODO Imp.]],CR$9)</f>
        <v>0</v>
      </c>
      <c r="CS886" s="693">
        <f>SUMIFS(Imput[[Importe Neto]:[Importe Neto]],Imput[[C. Imp.]:[C. Imp.]],$D886,Imput[[PERIODO Imp.]:[PERIODO Imp.]],CS$9)</f>
        <v>0</v>
      </c>
      <c r="CT886" s="693">
        <f>SUMIFS(Imput[[Importe Neto]:[Importe Neto]],Imput[[C. Imp.]:[C. Imp.]],$D886,Imput[[PERIODO Imp.]:[PERIODO Imp.]],CT$9)</f>
        <v>0</v>
      </c>
      <c r="CU886" s="693">
        <f>SUMIFS(Imput[[Importe Neto]:[Importe Neto]],Imput[[C. Imp.]:[C. Imp.]],$D886,Imput[[PERIODO Imp.]:[PERIODO Imp.]],CU$9)</f>
        <v>0</v>
      </c>
      <c r="CV886" s="693">
        <f>SUMIFS(Imput[[Importe Neto]:[Importe Neto]],Imput[[C. Imp.]:[C. Imp.]],$D886,Imput[[PERIODO Imp.]:[PERIODO Imp.]],CV$9)</f>
        <v>0</v>
      </c>
      <c r="CW886" s="693">
        <f>SUMIFS(Imput[[Importe Neto]:[Importe Neto]],Imput[[C. Imp.]:[C. Imp.]],$D886,Imput[[PERIODO Imp.]:[PERIODO Imp.]],CW$9)</f>
        <v>0</v>
      </c>
      <c r="CX886" s="693">
        <f>SUMIFS(Imput[[Importe Neto]:[Importe Neto]],Imput[[C. Imp.]:[C. Imp.]],$D886,Imput[[PERIODO Imp.]:[PERIODO Imp.]],CX$9)</f>
        <v>0</v>
      </c>
      <c r="CY886" s="693">
        <f>SUMIFS(Imput[[Importe Neto]:[Importe Neto]],Imput[[C. Imp.]:[C. Imp.]],$D886,Imput[[PERIODO Imp.]:[PERIODO Imp.]],CY$9)</f>
        <v>0</v>
      </c>
      <c r="CZ886" s="693">
        <f>SUMIFS(Imput[[Importe Neto]:[Importe Neto]],Imput[[C. Imp.]:[C. Imp.]],$D886,Imput[[PERIODO Imp.]:[PERIODO Imp.]],CZ$9)</f>
        <v>0</v>
      </c>
      <c r="DA886" s="693">
        <f>SUMIFS(Imput[[Importe Neto]:[Importe Neto]],Imput[[C. Imp.]:[C. Imp.]],$D886,Imput[[PERIODO Imp.]:[PERIODO Imp.]],DA$9)</f>
        <v>0</v>
      </c>
      <c r="DB886" s="693">
        <f>SUMIFS(Imput[[Importe Neto]:[Importe Neto]],Imput[[C. Imp.]:[C. Imp.]],$D886,Imput[[PERIODO Imp.]:[PERIODO Imp.]],DB$9)</f>
        <v>0</v>
      </c>
      <c r="DC886" s="693">
        <f>SUMIFS(Imput[[Importe Neto]:[Importe Neto]],Imput[[C. Imp.]:[C. Imp.]],$D886,Imput[[PERIODO Imp.]:[PERIODO Imp.]],DC$9)</f>
        <v>0</v>
      </c>
      <c r="DD886" s="693">
        <f>SUMIFS(Imput[[Importe Neto]:[Importe Neto]],Imput[[C. Imp.]:[C. Imp.]],$D886,Imput[[PERIODO Imp.]:[PERIODO Imp.]],DD$9)</f>
        <v>0</v>
      </c>
      <c r="DE886" s="693">
        <f>SUMIFS(Imput[[Importe Neto]:[Importe Neto]],Imput[[C. Imp.]:[C. Imp.]],$D886,Imput[[PERIODO Imp.]:[PERIODO Imp.]],DE$9)</f>
        <v>0</v>
      </c>
      <c r="DF886" s="693">
        <f>SUMIFS(Imput[[Importe Neto]:[Importe Neto]],Imput[[C. Imp.]:[C. Imp.]],$D886,Imput[[PERIODO Imp.]:[PERIODO Imp.]],DF$9)</f>
        <v>0</v>
      </c>
      <c r="DG886" s="693">
        <f>SUMIFS(Imput[[Importe Neto]:[Importe Neto]],Imput[[C. Imp.]:[C. Imp.]],$D886,Imput[[PERIODO Imp.]:[PERIODO Imp.]],DG$9)</f>
        <v>0</v>
      </c>
      <c r="DH886" s="694">
        <f>SUMIFS(Imput[[Importe Neto]:[Importe Neto]],Imput[[C. Imp.]:[C. Imp.]],$D886,Imput[[PERIODO Imp.]:[PERIODO Imp.]],DH$9)</f>
        <v>0</v>
      </c>
    </row>
    <row r="887" spans="1:112" s="649" customFormat="1" hidden="1" outlineLevel="1" x14ac:dyDescent="0.3">
      <c r="A887" s="652" t="str">
        <f t="shared" si="300"/>
        <v/>
      </c>
      <c r="B887" s="652"/>
      <c r="C887" s="685"/>
      <c r="D887" s="686" t="s">
        <v>2859</v>
      </c>
      <c r="E887" s="686"/>
      <c r="F887" s="720"/>
      <c r="G887" s="688"/>
      <c r="H887" s="689"/>
      <c r="I887" s="851" t="str">
        <f t="shared" si="301"/>
        <v/>
      </c>
      <c r="J887" s="852" t="str">
        <f t="shared" si="302"/>
        <v/>
      </c>
      <c r="K887" s="667"/>
      <c r="L887" s="858"/>
      <c r="M887" s="859"/>
      <c r="N887" s="859"/>
      <c r="O887" s="859"/>
      <c r="P887" s="859"/>
      <c r="Q887" s="859"/>
      <c r="R887" s="859"/>
      <c r="S887" s="859"/>
      <c r="T887" s="859"/>
      <c r="U887" s="859"/>
      <c r="V887" s="859"/>
      <c r="W887" s="859"/>
      <c r="X887" s="859"/>
      <c r="Y887" s="859"/>
      <c r="Z887" s="860"/>
      <c r="AA887" s="860"/>
      <c r="AB887" s="860"/>
      <c r="AC887" s="860"/>
      <c r="AD887" s="860"/>
      <c r="AE887" s="860"/>
      <c r="AF887" s="860"/>
      <c r="AG887" s="860"/>
      <c r="AH887" s="860"/>
      <c r="AI887" s="860"/>
      <c r="AJ887" s="860"/>
      <c r="AK887" s="860"/>
      <c r="AL887" s="860"/>
      <c r="AM887" s="860"/>
      <c r="AN887" s="860"/>
      <c r="AO887" s="860"/>
      <c r="AP887" s="860"/>
      <c r="AQ887" s="860"/>
      <c r="AR887" s="860"/>
      <c r="AS887" s="860"/>
      <c r="AT887" s="860"/>
      <c r="AU887" s="860"/>
      <c r="AV887" s="860"/>
      <c r="AW887" s="860"/>
      <c r="AX887" s="860"/>
      <c r="AY887" s="860"/>
      <c r="AZ887" s="860"/>
      <c r="BA887" s="860"/>
      <c r="BB887" s="860"/>
      <c r="BC887" s="860"/>
      <c r="BD887" s="860"/>
      <c r="BE887" s="860"/>
      <c r="BF887" s="860"/>
      <c r="BG887" s="860"/>
      <c r="BH887" s="668"/>
      <c r="BI887" s="667"/>
      <c r="BJ887" s="690">
        <f t="shared" si="303"/>
        <v>0</v>
      </c>
      <c r="BK887" s="691">
        <f t="shared" si="304"/>
        <v>0</v>
      </c>
      <c r="BL887" s="654"/>
      <c r="BM887" s="692">
        <f>SUMIFS(Imput[[Importe Neto]:[Importe Neto]],Imput[[C. Imp.]:[C. Imp.]],$D887,Imput[[PERIODO Imp.]:[PERIODO Imp.]],BM$9)</f>
        <v>0</v>
      </c>
      <c r="BN887" s="693">
        <f>SUMIFS(Imput[[Importe Neto]:[Importe Neto]],Imput[[C. Imp.]:[C. Imp.]],$D887,Imput[[PERIODO Imp.]:[PERIODO Imp.]],BN$9)</f>
        <v>0</v>
      </c>
      <c r="BO887" s="693">
        <f>SUMIFS(Imput[[Importe Neto]:[Importe Neto]],Imput[[C. Imp.]:[C. Imp.]],$D887,Imput[[PERIODO Imp.]:[PERIODO Imp.]],BO$9)</f>
        <v>0</v>
      </c>
      <c r="BP887" s="693">
        <f>SUMIFS(Imput[[Importe Neto]:[Importe Neto]],Imput[[C. Imp.]:[C. Imp.]],$D887,Imput[[PERIODO Imp.]:[PERIODO Imp.]],BP$9)</f>
        <v>0</v>
      </c>
      <c r="BQ887" s="693">
        <f>SUMIFS(Imput[[Importe Neto]:[Importe Neto]],Imput[[C. Imp.]:[C. Imp.]],$D887,Imput[[PERIODO Imp.]:[PERIODO Imp.]],BQ$9)</f>
        <v>0</v>
      </c>
      <c r="BR887" s="693">
        <f>SUMIFS(Imput[[Importe Neto]:[Importe Neto]],Imput[[C. Imp.]:[C. Imp.]],$D887,Imput[[PERIODO Imp.]:[PERIODO Imp.]],BR$9)</f>
        <v>0</v>
      </c>
      <c r="BS887" s="693">
        <f>SUMIFS(Imput[[Importe Neto]:[Importe Neto]],Imput[[C. Imp.]:[C. Imp.]],$D887,Imput[[PERIODO Imp.]:[PERIODO Imp.]],BS$9)</f>
        <v>0</v>
      </c>
      <c r="BT887" s="693">
        <f>SUMIFS(Imput[[Importe Neto]:[Importe Neto]],Imput[[C. Imp.]:[C. Imp.]],$D887,Imput[[PERIODO Imp.]:[PERIODO Imp.]],BT$9)</f>
        <v>0</v>
      </c>
      <c r="BU887" s="693">
        <f>SUMIFS(Imput[[Importe Neto]:[Importe Neto]],Imput[[C. Imp.]:[C. Imp.]],$D887,Imput[[PERIODO Imp.]:[PERIODO Imp.]],BU$9)</f>
        <v>0</v>
      </c>
      <c r="BV887" s="693">
        <f>SUMIFS(Imput[[Importe Neto]:[Importe Neto]],Imput[[C. Imp.]:[C. Imp.]],$D887,Imput[[PERIODO Imp.]:[PERIODO Imp.]],BV$9)</f>
        <v>0</v>
      </c>
      <c r="BW887" s="693">
        <f>SUMIFS(Imput[[Importe Neto]:[Importe Neto]],Imput[[C. Imp.]:[C. Imp.]],$D887,Imput[[PERIODO Imp.]:[PERIODO Imp.]],BW$9)</f>
        <v>0</v>
      </c>
      <c r="BX887" s="693">
        <f>SUMIFS(Imput[[Importe Neto]:[Importe Neto]],Imput[[C. Imp.]:[C. Imp.]],$D887,Imput[[PERIODO Imp.]:[PERIODO Imp.]],BX$9)</f>
        <v>0</v>
      </c>
      <c r="BY887" s="693">
        <f>SUMIFS(Imput[[Importe Neto]:[Importe Neto]],Imput[[C. Imp.]:[C. Imp.]],$D887,Imput[[PERIODO Imp.]:[PERIODO Imp.]],BY$9)</f>
        <v>0</v>
      </c>
      <c r="BZ887" s="693">
        <f>SUMIFS(Imput[[Importe Neto]:[Importe Neto]],Imput[[C. Imp.]:[C. Imp.]],$D887,Imput[[PERIODO Imp.]:[PERIODO Imp.]],BZ$9)</f>
        <v>0</v>
      </c>
      <c r="CA887" s="693">
        <f>SUMIFS(Imput[[Importe Neto]:[Importe Neto]],Imput[[C. Imp.]:[C. Imp.]],$D887,Imput[[PERIODO Imp.]:[PERIODO Imp.]],CA$9)</f>
        <v>0</v>
      </c>
      <c r="CB887" s="693">
        <f>SUMIFS(Imput[[Importe Neto]:[Importe Neto]],Imput[[C. Imp.]:[C. Imp.]],$D887,Imput[[PERIODO Imp.]:[PERIODO Imp.]],CB$9)</f>
        <v>0</v>
      </c>
      <c r="CC887" s="693">
        <f>SUMIFS(Imput[[Importe Neto]:[Importe Neto]],Imput[[C. Imp.]:[C. Imp.]],$D887,Imput[[PERIODO Imp.]:[PERIODO Imp.]],CC$9)</f>
        <v>0</v>
      </c>
      <c r="CD887" s="693">
        <f>SUMIFS(Imput[[Importe Neto]:[Importe Neto]],Imput[[C. Imp.]:[C. Imp.]],$D887,Imput[[PERIODO Imp.]:[PERIODO Imp.]],CD$9)</f>
        <v>0</v>
      </c>
      <c r="CE887" s="693">
        <f>SUMIFS(Imput[[Importe Neto]:[Importe Neto]],Imput[[C. Imp.]:[C. Imp.]],$D887,Imput[[PERIODO Imp.]:[PERIODO Imp.]],CE$9)</f>
        <v>0</v>
      </c>
      <c r="CF887" s="693">
        <f>SUMIFS(Imput[[Importe Neto]:[Importe Neto]],Imput[[C. Imp.]:[C. Imp.]],$D887,Imput[[PERIODO Imp.]:[PERIODO Imp.]],CF$9)</f>
        <v>0</v>
      </c>
      <c r="CG887" s="693">
        <f>SUMIFS(Imput[[Importe Neto]:[Importe Neto]],Imput[[C. Imp.]:[C. Imp.]],$D887,Imput[[PERIODO Imp.]:[PERIODO Imp.]],CG$9)</f>
        <v>0</v>
      </c>
      <c r="CH887" s="693">
        <f>SUMIFS(Imput[[Importe Neto]:[Importe Neto]],Imput[[C. Imp.]:[C. Imp.]],$D887,Imput[[PERIODO Imp.]:[PERIODO Imp.]],CH$9)</f>
        <v>0</v>
      </c>
      <c r="CI887" s="693">
        <f>SUMIFS(Imput[[Importe Neto]:[Importe Neto]],Imput[[C. Imp.]:[C. Imp.]],$D887,Imput[[PERIODO Imp.]:[PERIODO Imp.]],CI$9)</f>
        <v>0</v>
      </c>
      <c r="CJ887" s="693">
        <f>SUMIFS(Imput[[Importe Neto]:[Importe Neto]],Imput[[C. Imp.]:[C. Imp.]],$D887,Imput[[PERIODO Imp.]:[PERIODO Imp.]],CJ$9)</f>
        <v>0</v>
      </c>
      <c r="CK887" s="693">
        <f>SUMIFS(Imput[[Importe Neto]:[Importe Neto]],Imput[[C. Imp.]:[C. Imp.]],$D887,Imput[[PERIODO Imp.]:[PERIODO Imp.]],CK$9)</f>
        <v>0</v>
      </c>
      <c r="CL887" s="693">
        <f>SUMIFS(Imput[[Importe Neto]:[Importe Neto]],Imput[[C. Imp.]:[C. Imp.]],$D887,Imput[[PERIODO Imp.]:[PERIODO Imp.]],CL$9)</f>
        <v>0</v>
      </c>
      <c r="CM887" s="693">
        <f>SUMIFS(Imput[[Importe Neto]:[Importe Neto]],Imput[[C. Imp.]:[C. Imp.]],$D887,Imput[[PERIODO Imp.]:[PERIODO Imp.]],CM$9)</f>
        <v>0</v>
      </c>
      <c r="CN887" s="693">
        <f>SUMIFS(Imput[[Importe Neto]:[Importe Neto]],Imput[[C. Imp.]:[C. Imp.]],$D887,Imput[[PERIODO Imp.]:[PERIODO Imp.]],CN$9)</f>
        <v>0</v>
      </c>
      <c r="CO887" s="693">
        <f>SUMIFS(Imput[[Importe Neto]:[Importe Neto]],Imput[[C. Imp.]:[C. Imp.]],$D887,Imput[[PERIODO Imp.]:[PERIODO Imp.]],CO$9)</f>
        <v>0</v>
      </c>
      <c r="CP887" s="693">
        <f>SUMIFS(Imput[[Importe Neto]:[Importe Neto]],Imput[[C. Imp.]:[C. Imp.]],$D887,Imput[[PERIODO Imp.]:[PERIODO Imp.]],CP$9)</f>
        <v>0</v>
      </c>
      <c r="CQ887" s="693">
        <f>SUMIFS(Imput[[Importe Neto]:[Importe Neto]],Imput[[C. Imp.]:[C. Imp.]],$D887,Imput[[PERIODO Imp.]:[PERIODO Imp.]],CQ$9)</f>
        <v>0</v>
      </c>
      <c r="CR887" s="693">
        <f>SUMIFS(Imput[[Importe Neto]:[Importe Neto]],Imput[[C. Imp.]:[C. Imp.]],$D887,Imput[[PERIODO Imp.]:[PERIODO Imp.]],CR$9)</f>
        <v>0</v>
      </c>
      <c r="CS887" s="693">
        <f>SUMIFS(Imput[[Importe Neto]:[Importe Neto]],Imput[[C. Imp.]:[C. Imp.]],$D887,Imput[[PERIODO Imp.]:[PERIODO Imp.]],CS$9)</f>
        <v>0</v>
      </c>
      <c r="CT887" s="693">
        <f>SUMIFS(Imput[[Importe Neto]:[Importe Neto]],Imput[[C. Imp.]:[C. Imp.]],$D887,Imput[[PERIODO Imp.]:[PERIODO Imp.]],CT$9)</f>
        <v>0</v>
      </c>
      <c r="CU887" s="693">
        <f>SUMIFS(Imput[[Importe Neto]:[Importe Neto]],Imput[[C. Imp.]:[C. Imp.]],$D887,Imput[[PERIODO Imp.]:[PERIODO Imp.]],CU$9)</f>
        <v>0</v>
      </c>
      <c r="CV887" s="693">
        <f>SUMIFS(Imput[[Importe Neto]:[Importe Neto]],Imput[[C. Imp.]:[C. Imp.]],$D887,Imput[[PERIODO Imp.]:[PERIODO Imp.]],CV$9)</f>
        <v>0</v>
      </c>
      <c r="CW887" s="693">
        <f>SUMIFS(Imput[[Importe Neto]:[Importe Neto]],Imput[[C. Imp.]:[C. Imp.]],$D887,Imput[[PERIODO Imp.]:[PERIODO Imp.]],CW$9)</f>
        <v>0</v>
      </c>
      <c r="CX887" s="693">
        <f>SUMIFS(Imput[[Importe Neto]:[Importe Neto]],Imput[[C. Imp.]:[C. Imp.]],$D887,Imput[[PERIODO Imp.]:[PERIODO Imp.]],CX$9)</f>
        <v>0</v>
      </c>
      <c r="CY887" s="693">
        <f>SUMIFS(Imput[[Importe Neto]:[Importe Neto]],Imput[[C. Imp.]:[C. Imp.]],$D887,Imput[[PERIODO Imp.]:[PERIODO Imp.]],CY$9)</f>
        <v>0</v>
      </c>
      <c r="CZ887" s="693">
        <f>SUMIFS(Imput[[Importe Neto]:[Importe Neto]],Imput[[C. Imp.]:[C. Imp.]],$D887,Imput[[PERIODO Imp.]:[PERIODO Imp.]],CZ$9)</f>
        <v>0</v>
      </c>
      <c r="DA887" s="693">
        <f>SUMIFS(Imput[[Importe Neto]:[Importe Neto]],Imput[[C. Imp.]:[C. Imp.]],$D887,Imput[[PERIODO Imp.]:[PERIODO Imp.]],DA$9)</f>
        <v>0</v>
      </c>
      <c r="DB887" s="693">
        <f>SUMIFS(Imput[[Importe Neto]:[Importe Neto]],Imput[[C. Imp.]:[C. Imp.]],$D887,Imput[[PERIODO Imp.]:[PERIODO Imp.]],DB$9)</f>
        <v>0</v>
      </c>
      <c r="DC887" s="693">
        <f>SUMIFS(Imput[[Importe Neto]:[Importe Neto]],Imput[[C. Imp.]:[C. Imp.]],$D887,Imput[[PERIODO Imp.]:[PERIODO Imp.]],DC$9)</f>
        <v>0</v>
      </c>
      <c r="DD887" s="693">
        <f>SUMIFS(Imput[[Importe Neto]:[Importe Neto]],Imput[[C. Imp.]:[C. Imp.]],$D887,Imput[[PERIODO Imp.]:[PERIODO Imp.]],DD$9)</f>
        <v>0</v>
      </c>
      <c r="DE887" s="693">
        <f>SUMIFS(Imput[[Importe Neto]:[Importe Neto]],Imput[[C. Imp.]:[C. Imp.]],$D887,Imput[[PERIODO Imp.]:[PERIODO Imp.]],DE$9)</f>
        <v>0</v>
      </c>
      <c r="DF887" s="693">
        <f>SUMIFS(Imput[[Importe Neto]:[Importe Neto]],Imput[[C. Imp.]:[C. Imp.]],$D887,Imput[[PERIODO Imp.]:[PERIODO Imp.]],DF$9)</f>
        <v>0</v>
      </c>
      <c r="DG887" s="693">
        <f>SUMIFS(Imput[[Importe Neto]:[Importe Neto]],Imput[[C. Imp.]:[C. Imp.]],$D887,Imput[[PERIODO Imp.]:[PERIODO Imp.]],DG$9)</f>
        <v>0</v>
      </c>
      <c r="DH887" s="694">
        <f>SUMIFS(Imput[[Importe Neto]:[Importe Neto]],Imput[[C. Imp.]:[C. Imp.]],$D887,Imput[[PERIODO Imp.]:[PERIODO Imp.]],DH$9)</f>
        <v>0</v>
      </c>
    </row>
    <row r="888" spans="1:112" s="649" customFormat="1" hidden="1" outlineLevel="1" x14ac:dyDescent="0.3">
      <c r="A888" s="652" t="str">
        <f t="shared" si="300"/>
        <v/>
      </c>
      <c r="B888" s="652"/>
      <c r="C888" s="685"/>
      <c r="D888" s="686" t="s">
        <v>2860</v>
      </c>
      <c r="E888" s="686"/>
      <c r="F888" s="720"/>
      <c r="G888" s="688"/>
      <c r="H888" s="696"/>
      <c r="I888" s="851" t="str">
        <f t="shared" si="301"/>
        <v/>
      </c>
      <c r="J888" s="517" t="str">
        <f t="shared" si="302"/>
        <v/>
      </c>
      <c r="K888" s="667"/>
      <c r="L888" s="858"/>
      <c r="M888" s="859"/>
      <c r="N888" s="859"/>
      <c r="O888" s="859"/>
      <c r="P888" s="859"/>
      <c r="Q888" s="859"/>
      <c r="R888" s="859"/>
      <c r="S888" s="859"/>
      <c r="T888" s="859"/>
      <c r="U888" s="859"/>
      <c r="V888" s="859"/>
      <c r="W888" s="859"/>
      <c r="X888" s="859"/>
      <c r="Y888" s="859"/>
      <c r="Z888" s="860"/>
      <c r="AA888" s="860"/>
      <c r="AB888" s="860"/>
      <c r="AC888" s="860"/>
      <c r="AD888" s="860"/>
      <c r="AE888" s="860"/>
      <c r="AF888" s="860"/>
      <c r="AG888" s="860"/>
      <c r="AH888" s="860"/>
      <c r="AI888" s="860"/>
      <c r="AJ888" s="860"/>
      <c r="AK888" s="860"/>
      <c r="AL888" s="860"/>
      <c r="AM888" s="860"/>
      <c r="AN888" s="860"/>
      <c r="AO888" s="860"/>
      <c r="AP888" s="860"/>
      <c r="AQ888" s="860"/>
      <c r="AR888" s="860"/>
      <c r="AS888" s="860"/>
      <c r="AT888" s="860"/>
      <c r="AU888" s="860"/>
      <c r="AV888" s="860"/>
      <c r="AW888" s="860"/>
      <c r="AX888" s="860"/>
      <c r="AY888" s="860"/>
      <c r="AZ888" s="860"/>
      <c r="BA888" s="860"/>
      <c r="BB888" s="860"/>
      <c r="BC888" s="860"/>
      <c r="BD888" s="860"/>
      <c r="BE888" s="860"/>
      <c r="BF888" s="860"/>
      <c r="BG888" s="860"/>
      <c r="BH888" s="668"/>
      <c r="BI888" s="654"/>
      <c r="BJ888" s="690">
        <f t="shared" si="303"/>
        <v>0</v>
      </c>
      <c r="BK888" s="691">
        <f t="shared" si="304"/>
        <v>0</v>
      </c>
      <c r="BL888" s="654"/>
      <c r="BM888" s="692">
        <f>SUMIFS(Imput[[Importe Neto]:[Importe Neto]],Imput[[C. Imp.]:[C. Imp.]],$D888,Imput[[PERIODO Imp.]:[PERIODO Imp.]],BM$9)</f>
        <v>0</v>
      </c>
      <c r="BN888" s="693">
        <f>SUMIFS(Imput[[Importe Neto]:[Importe Neto]],Imput[[C. Imp.]:[C. Imp.]],$D888,Imput[[PERIODO Imp.]:[PERIODO Imp.]],BN$9)</f>
        <v>0</v>
      </c>
      <c r="BO888" s="693">
        <f>SUMIFS(Imput[[Importe Neto]:[Importe Neto]],Imput[[C. Imp.]:[C. Imp.]],$D888,Imput[[PERIODO Imp.]:[PERIODO Imp.]],BO$9)</f>
        <v>0</v>
      </c>
      <c r="BP888" s="693">
        <f>SUMIFS(Imput[[Importe Neto]:[Importe Neto]],Imput[[C. Imp.]:[C. Imp.]],$D888,Imput[[PERIODO Imp.]:[PERIODO Imp.]],BP$9)</f>
        <v>0</v>
      </c>
      <c r="BQ888" s="693">
        <f>SUMIFS(Imput[[Importe Neto]:[Importe Neto]],Imput[[C. Imp.]:[C. Imp.]],$D888,Imput[[PERIODO Imp.]:[PERIODO Imp.]],BQ$9)</f>
        <v>0</v>
      </c>
      <c r="BR888" s="693">
        <f>SUMIFS(Imput[[Importe Neto]:[Importe Neto]],Imput[[C. Imp.]:[C. Imp.]],$D888,Imput[[PERIODO Imp.]:[PERIODO Imp.]],BR$9)</f>
        <v>0</v>
      </c>
      <c r="BS888" s="693">
        <f>SUMIFS(Imput[[Importe Neto]:[Importe Neto]],Imput[[C. Imp.]:[C. Imp.]],$D888,Imput[[PERIODO Imp.]:[PERIODO Imp.]],BS$9)</f>
        <v>0</v>
      </c>
      <c r="BT888" s="693">
        <f>SUMIFS(Imput[[Importe Neto]:[Importe Neto]],Imput[[C. Imp.]:[C. Imp.]],$D888,Imput[[PERIODO Imp.]:[PERIODO Imp.]],BT$9)</f>
        <v>0</v>
      </c>
      <c r="BU888" s="693">
        <f>SUMIFS(Imput[[Importe Neto]:[Importe Neto]],Imput[[C. Imp.]:[C. Imp.]],$D888,Imput[[PERIODO Imp.]:[PERIODO Imp.]],BU$9)</f>
        <v>0</v>
      </c>
      <c r="BV888" s="693">
        <f>SUMIFS(Imput[[Importe Neto]:[Importe Neto]],Imput[[C. Imp.]:[C. Imp.]],$D888,Imput[[PERIODO Imp.]:[PERIODO Imp.]],BV$9)</f>
        <v>0</v>
      </c>
      <c r="BW888" s="693">
        <f>SUMIFS(Imput[[Importe Neto]:[Importe Neto]],Imput[[C. Imp.]:[C. Imp.]],$D888,Imput[[PERIODO Imp.]:[PERIODO Imp.]],BW$9)</f>
        <v>0</v>
      </c>
      <c r="BX888" s="693">
        <f>SUMIFS(Imput[[Importe Neto]:[Importe Neto]],Imput[[C. Imp.]:[C. Imp.]],$D888,Imput[[PERIODO Imp.]:[PERIODO Imp.]],BX$9)</f>
        <v>0</v>
      </c>
      <c r="BY888" s="693">
        <f>SUMIFS(Imput[[Importe Neto]:[Importe Neto]],Imput[[C. Imp.]:[C. Imp.]],$D888,Imput[[PERIODO Imp.]:[PERIODO Imp.]],BY$9)</f>
        <v>0</v>
      </c>
      <c r="BZ888" s="693">
        <f>SUMIFS(Imput[[Importe Neto]:[Importe Neto]],Imput[[C. Imp.]:[C. Imp.]],$D888,Imput[[PERIODO Imp.]:[PERIODO Imp.]],BZ$9)</f>
        <v>0</v>
      </c>
      <c r="CA888" s="693">
        <f>SUMIFS(Imput[[Importe Neto]:[Importe Neto]],Imput[[C. Imp.]:[C. Imp.]],$D888,Imput[[PERIODO Imp.]:[PERIODO Imp.]],CA$9)</f>
        <v>0</v>
      </c>
      <c r="CB888" s="693">
        <f>SUMIFS(Imput[[Importe Neto]:[Importe Neto]],Imput[[C. Imp.]:[C. Imp.]],$D888,Imput[[PERIODO Imp.]:[PERIODO Imp.]],CB$9)</f>
        <v>0</v>
      </c>
      <c r="CC888" s="693">
        <f>SUMIFS(Imput[[Importe Neto]:[Importe Neto]],Imput[[C. Imp.]:[C. Imp.]],$D888,Imput[[PERIODO Imp.]:[PERIODO Imp.]],CC$9)</f>
        <v>0</v>
      </c>
      <c r="CD888" s="693">
        <f>SUMIFS(Imput[[Importe Neto]:[Importe Neto]],Imput[[C. Imp.]:[C. Imp.]],$D888,Imput[[PERIODO Imp.]:[PERIODO Imp.]],CD$9)</f>
        <v>0</v>
      </c>
      <c r="CE888" s="693">
        <f>SUMIFS(Imput[[Importe Neto]:[Importe Neto]],Imput[[C. Imp.]:[C. Imp.]],$D888,Imput[[PERIODO Imp.]:[PERIODO Imp.]],CE$9)</f>
        <v>0</v>
      </c>
      <c r="CF888" s="693">
        <f>SUMIFS(Imput[[Importe Neto]:[Importe Neto]],Imput[[C. Imp.]:[C. Imp.]],$D888,Imput[[PERIODO Imp.]:[PERIODO Imp.]],CF$9)</f>
        <v>0</v>
      </c>
      <c r="CG888" s="693">
        <f>SUMIFS(Imput[[Importe Neto]:[Importe Neto]],Imput[[C. Imp.]:[C. Imp.]],$D888,Imput[[PERIODO Imp.]:[PERIODO Imp.]],CG$9)</f>
        <v>0</v>
      </c>
      <c r="CH888" s="693">
        <f>SUMIFS(Imput[[Importe Neto]:[Importe Neto]],Imput[[C. Imp.]:[C. Imp.]],$D888,Imput[[PERIODO Imp.]:[PERIODO Imp.]],CH$9)</f>
        <v>0</v>
      </c>
      <c r="CI888" s="693">
        <f>SUMIFS(Imput[[Importe Neto]:[Importe Neto]],Imput[[C. Imp.]:[C. Imp.]],$D888,Imput[[PERIODO Imp.]:[PERIODO Imp.]],CI$9)</f>
        <v>0</v>
      </c>
      <c r="CJ888" s="693">
        <f>SUMIFS(Imput[[Importe Neto]:[Importe Neto]],Imput[[C. Imp.]:[C. Imp.]],$D888,Imput[[PERIODO Imp.]:[PERIODO Imp.]],CJ$9)</f>
        <v>0</v>
      </c>
      <c r="CK888" s="693">
        <f>SUMIFS(Imput[[Importe Neto]:[Importe Neto]],Imput[[C. Imp.]:[C. Imp.]],$D888,Imput[[PERIODO Imp.]:[PERIODO Imp.]],CK$9)</f>
        <v>0</v>
      </c>
      <c r="CL888" s="693">
        <f>SUMIFS(Imput[[Importe Neto]:[Importe Neto]],Imput[[C. Imp.]:[C. Imp.]],$D888,Imput[[PERIODO Imp.]:[PERIODO Imp.]],CL$9)</f>
        <v>0</v>
      </c>
      <c r="CM888" s="693">
        <f>SUMIFS(Imput[[Importe Neto]:[Importe Neto]],Imput[[C. Imp.]:[C. Imp.]],$D888,Imput[[PERIODO Imp.]:[PERIODO Imp.]],CM$9)</f>
        <v>0</v>
      </c>
      <c r="CN888" s="693">
        <f>SUMIFS(Imput[[Importe Neto]:[Importe Neto]],Imput[[C. Imp.]:[C. Imp.]],$D888,Imput[[PERIODO Imp.]:[PERIODO Imp.]],CN$9)</f>
        <v>0</v>
      </c>
      <c r="CO888" s="693">
        <f>SUMIFS(Imput[[Importe Neto]:[Importe Neto]],Imput[[C. Imp.]:[C. Imp.]],$D888,Imput[[PERIODO Imp.]:[PERIODO Imp.]],CO$9)</f>
        <v>0</v>
      </c>
      <c r="CP888" s="693">
        <f>SUMIFS(Imput[[Importe Neto]:[Importe Neto]],Imput[[C. Imp.]:[C. Imp.]],$D888,Imput[[PERIODO Imp.]:[PERIODO Imp.]],CP$9)</f>
        <v>0</v>
      </c>
      <c r="CQ888" s="693">
        <f>SUMIFS(Imput[[Importe Neto]:[Importe Neto]],Imput[[C. Imp.]:[C. Imp.]],$D888,Imput[[PERIODO Imp.]:[PERIODO Imp.]],CQ$9)</f>
        <v>0</v>
      </c>
      <c r="CR888" s="693">
        <f>SUMIFS(Imput[[Importe Neto]:[Importe Neto]],Imput[[C. Imp.]:[C. Imp.]],$D888,Imput[[PERIODO Imp.]:[PERIODO Imp.]],CR$9)</f>
        <v>0</v>
      </c>
      <c r="CS888" s="693">
        <f>SUMIFS(Imput[[Importe Neto]:[Importe Neto]],Imput[[C. Imp.]:[C. Imp.]],$D888,Imput[[PERIODO Imp.]:[PERIODO Imp.]],CS$9)</f>
        <v>0</v>
      </c>
      <c r="CT888" s="693">
        <f>SUMIFS(Imput[[Importe Neto]:[Importe Neto]],Imput[[C. Imp.]:[C. Imp.]],$D888,Imput[[PERIODO Imp.]:[PERIODO Imp.]],CT$9)</f>
        <v>0</v>
      </c>
      <c r="CU888" s="693">
        <f>SUMIFS(Imput[[Importe Neto]:[Importe Neto]],Imput[[C. Imp.]:[C. Imp.]],$D888,Imput[[PERIODO Imp.]:[PERIODO Imp.]],CU$9)</f>
        <v>0</v>
      </c>
      <c r="CV888" s="693">
        <f>SUMIFS(Imput[[Importe Neto]:[Importe Neto]],Imput[[C. Imp.]:[C. Imp.]],$D888,Imput[[PERIODO Imp.]:[PERIODO Imp.]],CV$9)</f>
        <v>0</v>
      </c>
      <c r="CW888" s="693">
        <f>SUMIFS(Imput[[Importe Neto]:[Importe Neto]],Imput[[C. Imp.]:[C. Imp.]],$D888,Imput[[PERIODO Imp.]:[PERIODO Imp.]],CW$9)</f>
        <v>0</v>
      </c>
      <c r="CX888" s="693">
        <f>SUMIFS(Imput[[Importe Neto]:[Importe Neto]],Imput[[C. Imp.]:[C. Imp.]],$D888,Imput[[PERIODO Imp.]:[PERIODO Imp.]],CX$9)</f>
        <v>0</v>
      </c>
      <c r="CY888" s="693">
        <f>SUMIFS(Imput[[Importe Neto]:[Importe Neto]],Imput[[C. Imp.]:[C. Imp.]],$D888,Imput[[PERIODO Imp.]:[PERIODO Imp.]],CY$9)</f>
        <v>0</v>
      </c>
      <c r="CZ888" s="693">
        <f>SUMIFS(Imput[[Importe Neto]:[Importe Neto]],Imput[[C. Imp.]:[C. Imp.]],$D888,Imput[[PERIODO Imp.]:[PERIODO Imp.]],CZ$9)</f>
        <v>0</v>
      </c>
      <c r="DA888" s="693">
        <f>SUMIFS(Imput[[Importe Neto]:[Importe Neto]],Imput[[C. Imp.]:[C. Imp.]],$D888,Imput[[PERIODO Imp.]:[PERIODO Imp.]],DA$9)</f>
        <v>0</v>
      </c>
      <c r="DB888" s="693">
        <f>SUMIFS(Imput[[Importe Neto]:[Importe Neto]],Imput[[C. Imp.]:[C. Imp.]],$D888,Imput[[PERIODO Imp.]:[PERIODO Imp.]],DB$9)</f>
        <v>0</v>
      </c>
      <c r="DC888" s="693">
        <f>SUMIFS(Imput[[Importe Neto]:[Importe Neto]],Imput[[C. Imp.]:[C. Imp.]],$D888,Imput[[PERIODO Imp.]:[PERIODO Imp.]],DC$9)</f>
        <v>0</v>
      </c>
      <c r="DD888" s="693">
        <f>SUMIFS(Imput[[Importe Neto]:[Importe Neto]],Imput[[C. Imp.]:[C. Imp.]],$D888,Imput[[PERIODO Imp.]:[PERIODO Imp.]],DD$9)</f>
        <v>0</v>
      </c>
      <c r="DE888" s="693">
        <f>SUMIFS(Imput[[Importe Neto]:[Importe Neto]],Imput[[C. Imp.]:[C. Imp.]],$D888,Imput[[PERIODO Imp.]:[PERIODO Imp.]],DE$9)</f>
        <v>0</v>
      </c>
      <c r="DF888" s="693">
        <f>SUMIFS(Imput[[Importe Neto]:[Importe Neto]],Imput[[C. Imp.]:[C. Imp.]],$D888,Imput[[PERIODO Imp.]:[PERIODO Imp.]],DF$9)</f>
        <v>0</v>
      </c>
      <c r="DG888" s="693">
        <f>SUMIFS(Imput[[Importe Neto]:[Importe Neto]],Imput[[C. Imp.]:[C. Imp.]],$D888,Imput[[PERIODO Imp.]:[PERIODO Imp.]],DG$9)</f>
        <v>0</v>
      </c>
      <c r="DH888" s="694">
        <f>SUMIFS(Imput[[Importe Neto]:[Importe Neto]],Imput[[C. Imp.]:[C. Imp.]],$D888,Imput[[PERIODO Imp.]:[PERIODO Imp.]],DH$9)</f>
        <v>0</v>
      </c>
    </row>
    <row r="889" spans="1:112" s="649" customFormat="1" hidden="1" outlineLevel="1" x14ac:dyDescent="0.3">
      <c r="A889" s="652" t="str">
        <f t="shared" si="300"/>
        <v/>
      </c>
      <c r="B889" s="652"/>
      <c r="C889" s="685"/>
      <c r="D889" s="686" t="s">
        <v>2861</v>
      </c>
      <c r="E889" s="686"/>
      <c r="F889" s="720"/>
      <c r="G889" s="688"/>
      <c r="H889" s="696"/>
      <c r="I889" s="851" t="str">
        <f t="shared" si="301"/>
        <v/>
      </c>
      <c r="J889" s="517" t="str">
        <f t="shared" si="302"/>
        <v/>
      </c>
      <c r="K889" s="667"/>
      <c r="L889" s="858"/>
      <c r="M889" s="859"/>
      <c r="N889" s="859"/>
      <c r="O889" s="859"/>
      <c r="P889" s="859"/>
      <c r="Q889" s="859"/>
      <c r="R889" s="859"/>
      <c r="S889" s="859"/>
      <c r="T889" s="859"/>
      <c r="U889" s="859"/>
      <c r="V889" s="859"/>
      <c r="W889" s="859"/>
      <c r="X889" s="859"/>
      <c r="Y889" s="859"/>
      <c r="Z889" s="860"/>
      <c r="AA889" s="860"/>
      <c r="AB889" s="860"/>
      <c r="AC889" s="860"/>
      <c r="AD889" s="860"/>
      <c r="AE889" s="860"/>
      <c r="AF889" s="860"/>
      <c r="AG889" s="860"/>
      <c r="AH889" s="860"/>
      <c r="AI889" s="860"/>
      <c r="AJ889" s="860"/>
      <c r="AK889" s="860"/>
      <c r="AL889" s="860"/>
      <c r="AM889" s="860"/>
      <c r="AN889" s="860"/>
      <c r="AO889" s="860"/>
      <c r="AP889" s="860"/>
      <c r="AQ889" s="860"/>
      <c r="AR889" s="860"/>
      <c r="AS889" s="860"/>
      <c r="AT889" s="860"/>
      <c r="AU889" s="860"/>
      <c r="AV889" s="860"/>
      <c r="AW889" s="860"/>
      <c r="AX889" s="860"/>
      <c r="AY889" s="860"/>
      <c r="AZ889" s="860"/>
      <c r="BA889" s="860"/>
      <c r="BB889" s="860"/>
      <c r="BC889" s="860"/>
      <c r="BD889" s="860"/>
      <c r="BE889" s="860"/>
      <c r="BF889" s="860"/>
      <c r="BG889" s="860"/>
      <c r="BH889" s="668"/>
      <c r="BI889" s="654"/>
      <c r="BJ889" s="690">
        <f t="shared" si="303"/>
        <v>0</v>
      </c>
      <c r="BK889" s="691">
        <f t="shared" si="304"/>
        <v>0</v>
      </c>
      <c r="BL889" s="654"/>
      <c r="BM889" s="692">
        <f>SUMIFS(Imput[[Importe Neto]:[Importe Neto]],Imput[[C. Imp.]:[C. Imp.]],$D889,Imput[[PERIODO Imp.]:[PERIODO Imp.]],BM$9)</f>
        <v>0</v>
      </c>
      <c r="BN889" s="693">
        <f>SUMIFS(Imput[[Importe Neto]:[Importe Neto]],Imput[[C. Imp.]:[C. Imp.]],$D889,Imput[[PERIODO Imp.]:[PERIODO Imp.]],BN$9)</f>
        <v>0</v>
      </c>
      <c r="BO889" s="693">
        <f>SUMIFS(Imput[[Importe Neto]:[Importe Neto]],Imput[[C. Imp.]:[C. Imp.]],$D889,Imput[[PERIODO Imp.]:[PERIODO Imp.]],BO$9)</f>
        <v>0</v>
      </c>
      <c r="BP889" s="693">
        <f>SUMIFS(Imput[[Importe Neto]:[Importe Neto]],Imput[[C. Imp.]:[C. Imp.]],$D889,Imput[[PERIODO Imp.]:[PERIODO Imp.]],BP$9)</f>
        <v>0</v>
      </c>
      <c r="BQ889" s="693">
        <f>SUMIFS(Imput[[Importe Neto]:[Importe Neto]],Imput[[C. Imp.]:[C. Imp.]],$D889,Imput[[PERIODO Imp.]:[PERIODO Imp.]],BQ$9)</f>
        <v>0</v>
      </c>
      <c r="BR889" s="693">
        <f>SUMIFS(Imput[[Importe Neto]:[Importe Neto]],Imput[[C. Imp.]:[C. Imp.]],$D889,Imput[[PERIODO Imp.]:[PERIODO Imp.]],BR$9)</f>
        <v>0</v>
      </c>
      <c r="BS889" s="693">
        <f>SUMIFS(Imput[[Importe Neto]:[Importe Neto]],Imput[[C. Imp.]:[C. Imp.]],$D889,Imput[[PERIODO Imp.]:[PERIODO Imp.]],BS$9)</f>
        <v>0</v>
      </c>
      <c r="BT889" s="693">
        <f>SUMIFS(Imput[[Importe Neto]:[Importe Neto]],Imput[[C. Imp.]:[C. Imp.]],$D889,Imput[[PERIODO Imp.]:[PERIODO Imp.]],BT$9)</f>
        <v>0</v>
      </c>
      <c r="BU889" s="693">
        <f>SUMIFS(Imput[[Importe Neto]:[Importe Neto]],Imput[[C. Imp.]:[C. Imp.]],$D889,Imput[[PERIODO Imp.]:[PERIODO Imp.]],BU$9)</f>
        <v>0</v>
      </c>
      <c r="BV889" s="693">
        <f>SUMIFS(Imput[[Importe Neto]:[Importe Neto]],Imput[[C. Imp.]:[C. Imp.]],$D889,Imput[[PERIODO Imp.]:[PERIODO Imp.]],BV$9)</f>
        <v>0</v>
      </c>
      <c r="BW889" s="693">
        <f>SUMIFS(Imput[[Importe Neto]:[Importe Neto]],Imput[[C. Imp.]:[C. Imp.]],$D889,Imput[[PERIODO Imp.]:[PERIODO Imp.]],BW$9)</f>
        <v>0</v>
      </c>
      <c r="BX889" s="693">
        <f>SUMIFS(Imput[[Importe Neto]:[Importe Neto]],Imput[[C. Imp.]:[C. Imp.]],$D889,Imput[[PERIODO Imp.]:[PERIODO Imp.]],BX$9)</f>
        <v>0</v>
      </c>
      <c r="BY889" s="693">
        <f>SUMIFS(Imput[[Importe Neto]:[Importe Neto]],Imput[[C. Imp.]:[C. Imp.]],$D889,Imput[[PERIODO Imp.]:[PERIODO Imp.]],BY$9)</f>
        <v>0</v>
      </c>
      <c r="BZ889" s="693">
        <f>SUMIFS(Imput[[Importe Neto]:[Importe Neto]],Imput[[C. Imp.]:[C. Imp.]],$D889,Imput[[PERIODO Imp.]:[PERIODO Imp.]],BZ$9)</f>
        <v>0</v>
      </c>
      <c r="CA889" s="693">
        <f>SUMIFS(Imput[[Importe Neto]:[Importe Neto]],Imput[[C. Imp.]:[C. Imp.]],$D889,Imput[[PERIODO Imp.]:[PERIODO Imp.]],CA$9)</f>
        <v>0</v>
      </c>
      <c r="CB889" s="693">
        <f>SUMIFS(Imput[[Importe Neto]:[Importe Neto]],Imput[[C. Imp.]:[C. Imp.]],$D889,Imput[[PERIODO Imp.]:[PERIODO Imp.]],CB$9)</f>
        <v>0</v>
      </c>
      <c r="CC889" s="693">
        <f>SUMIFS(Imput[[Importe Neto]:[Importe Neto]],Imput[[C. Imp.]:[C. Imp.]],$D889,Imput[[PERIODO Imp.]:[PERIODO Imp.]],CC$9)</f>
        <v>0</v>
      </c>
      <c r="CD889" s="693">
        <f>SUMIFS(Imput[[Importe Neto]:[Importe Neto]],Imput[[C. Imp.]:[C. Imp.]],$D889,Imput[[PERIODO Imp.]:[PERIODO Imp.]],CD$9)</f>
        <v>0</v>
      </c>
      <c r="CE889" s="693">
        <f>SUMIFS(Imput[[Importe Neto]:[Importe Neto]],Imput[[C. Imp.]:[C. Imp.]],$D889,Imput[[PERIODO Imp.]:[PERIODO Imp.]],CE$9)</f>
        <v>0</v>
      </c>
      <c r="CF889" s="693">
        <f>SUMIFS(Imput[[Importe Neto]:[Importe Neto]],Imput[[C. Imp.]:[C. Imp.]],$D889,Imput[[PERIODO Imp.]:[PERIODO Imp.]],CF$9)</f>
        <v>0</v>
      </c>
      <c r="CG889" s="693">
        <f>SUMIFS(Imput[[Importe Neto]:[Importe Neto]],Imput[[C. Imp.]:[C. Imp.]],$D889,Imput[[PERIODO Imp.]:[PERIODO Imp.]],CG$9)</f>
        <v>0</v>
      </c>
      <c r="CH889" s="693">
        <f>SUMIFS(Imput[[Importe Neto]:[Importe Neto]],Imput[[C. Imp.]:[C. Imp.]],$D889,Imput[[PERIODO Imp.]:[PERIODO Imp.]],CH$9)</f>
        <v>0</v>
      </c>
      <c r="CI889" s="693">
        <f>SUMIFS(Imput[[Importe Neto]:[Importe Neto]],Imput[[C. Imp.]:[C. Imp.]],$D889,Imput[[PERIODO Imp.]:[PERIODO Imp.]],CI$9)</f>
        <v>0</v>
      </c>
      <c r="CJ889" s="693">
        <f>SUMIFS(Imput[[Importe Neto]:[Importe Neto]],Imput[[C. Imp.]:[C. Imp.]],$D889,Imput[[PERIODO Imp.]:[PERIODO Imp.]],CJ$9)</f>
        <v>0</v>
      </c>
      <c r="CK889" s="693">
        <f>SUMIFS(Imput[[Importe Neto]:[Importe Neto]],Imput[[C. Imp.]:[C. Imp.]],$D889,Imput[[PERIODO Imp.]:[PERIODO Imp.]],CK$9)</f>
        <v>0</v>
      </c>
      <c r="CL889" s="693">
        <f>SUMIFS(Imput[[Importe Neto]:[Importe Neto]],Imput[[C. Imp.]:[C. Imp.]],$D889,Imput[[PERIODO Imp.]:[PERIODO Imp.]],CL$9)</f>
        <v>0</v>
      </c>
      <c r="CM889" s="693">
        <f>SUMIFS(Imput[[Importe Neto]:[Importe Neto]],Imput[[C. Imp.]:[C. Imp.]],$D889,Imput[[PERIODO Imp.]:[PERIODO Imp.]],CM$9)</f>
        <v>0</v>
      </c>
      <c r="CN889" s="693">
        <f>SUMIFS(Imput[[Importe Neto]:[Importe Neto]],Imput[[C. Imp.]:[C. Imp.]],$D889,Imput[[PERIODO Imp.]:[PERIODO Imp.]],CN$9)</f>
        <v>0</v>
      </c>
      <c r="CO889" s="693">
        <f>SUMIFS(Imput[[Importe Neto]:[Importe Neto]],Imput[[C. Imp.]:[C. Imp.]],$D889,Imput[[PERIODO Imp.]:[PERIODO Imp.]],CO$9)</f>
        <v>0</v>
      </c>
      <c r="CP889" s="693">
        <f>SUMIFS(Imput[[Importe Neto]:[Importe Neto]],Imput[[C. Imp.]:[C. Imp.]],$D889,Imput[[PERIODO Imp.]:[PERIODO Imp.]],CP$9)</f>
        <v>0</v>
      </c>
      <c r="CQ889" s="693">
        <f>SUMIFS(Imput[[Importe Neto]:[Importe Neto]],Imput[[C. Imp.]:[C. Imp.]],$D889,Imput[[PERIODO Imp.]:[PERIODO Imp.]],CQ$9)</f>
        <v>0</v>
      </c>
      <c r="CR889" s="693">
        <f>SUMIFS(Imput[[Importe Neto]:[Importe Neto]],Imput[[C. Imp.]:[C. Imp.]],$D889,Imput[[PERIODO Imp.]:[PERIODO Imp.]],CR$9)</f>
        <v>0</v>
      </c>
      <c r="CS889" s="693">
        <f>SUMIFS(Imput[[Importe Neto]:[Importe Neto]],Imput[[C. Imp.]:[C. Imp.]],$D889,Imput[[PERIODO Imp.]:[PERIODO Imp.]],CS$9)</f>
        <v>0</v>
      </c>
      <c r="CT889" s="693">
        <f>SUMIFS(Imput[[Importe Neto]:[Importe Neto]],Imput[[C. Imp.]:[C. Imp.]],$D889,Imput[[PERIODO Imp.]:[PERIODO Imp.]],CT$9)</f>
        <v>0</v>
      </c>
      <c r="CU889" s="693">
        <f>SUMIFS(Imput[[Importe Neto]:[Importe Neto]],Imput[[C. Imp.]:[C. Imp.]],$D889,Imput[[PERIODO Imp.]:[PERIODO Imp.]],CU$9)</f>
        <v>0</v>
      </c>
      <c r="CV889" s="693">
        <f>SUMIFS(Imput[[Importe Neto]:[Importe Neto]],Imput[[C. Imp.]:[C. Imp.]],$D889,Imput[[PERIODO Imp.]:[PERIODO Imp.]],CV$9)</f>
        <v>0</v>
      </c>
      <c r="CW889" s="693">
        <f>SUMIFS(Imput[[Importe Neto]:[Importe Neto]],Imput[[C. Imp.]:[C. Imp.]],$D889,Imput[[PERIODO Imp.]:[PERIODO Imp.]],CW$9)</f>
        <v>0</v>
      </c>
      <c r="CX889" s="693">
        <f>SUMIFS(Imput[[Importe Neto]:[Importe Neto]],Imput[[C. Imp.]:[C. Imp.]],$D889,Imput[[PERIODO Imp.]:[PERIODO Imp.]],CX$9)</f>
        <v>0</v>
      </c>
      <c r="CY889" s="693">
        <f>SUMIFS(Imput[[Importe Neto]:[Importe Neto]],Imput[[C. Imp.]:[C. Imp.]],$D889,Imput[[PERIODO Imp.]:[PERIODO Imp.]],CY$9)</f>
        <v>0</v>
      </c>
      <c r="CZ889" s="693">
        <f>SUMIFS(Imput[[Importe Neto]:[Importe Neto]],Imput[[C. Imp.]:[C. Imp.]],$D889,Imput[[PERIODO Imp.]:[PERIODO Imp.]],CZ$9)</f>
        <v>0</v>
      </c>
      <c r="DA889" s="693">
        <f>SUMIFS(Imput[[Importe Neto]:[Importe Neto]],Imput[[C. Imp.]:[C. Imp.]],$D889,Imput[[PERIODO Imp.]:[PERIODO Imp.]],DA$9)</f>
        <v>0</v>
      </c>
      <c r="DB889" s="693">
        <f>SUMIFS(Imput[[Importe Neto]:[Importe Neto]],Imput[[C. Imp.]:[C. Imp.]],$D889,Imput[[PERIODO Imp.]:[PERIODO Imp.]],DB$9)</f>
        <v>0</v>
      </c>
      <c r="DC889" s="693">
        <f>SUMIFS(Imput[[Importe Neto]:[Importe Neto]],Imput[[C. Imp.]:[C. Imp.]],$D889,Imput[[PERIODO Imp.]:[PERIODO Imp.]],DC$9)</f>
        <v>0</v>
      </c>
      <c r="DD889" s="693">
        <f>SUMIFS(Imput[[Importe Neto]:[Importe Neto]],Imput[[C. Imp.]:[C. Imp.]],$D889,Imput[[PERIODO Imp.]:[PERIODO Imp.]],DD$9)</f>
        <v>0</v>
      </c>
      <c r="DE889" s="693">
        <f>SUMIFS(Imput[[Importe Neto]:[Importe Neto]],Imput[[C. Imp.]:[C. Imp.]],$D889,Imput[[PERIODO Imp.]:[PERIODO Imp.]],DE$9)</f>
        <v>0</v>
      </c>
      <c r="DF889" s="693">
        <f>SUMIFS(Imput[[Importe Neto]:[Importe Neto]],Imput[[C. Imp.]:[C. Imp.]],$D889,Imput[[PERIODO Imp.]:[PERIODO Imp.]],DF$9)</f>
        <v>0</v>
      </c>
      <c r="DG889" s="693">
        <f>SUMIFS(Imput[[Importe Neto]:[Importe Neto]],Imput[[C. Imp.]:[C. Imp.]],$D889,Imput[[PERIODO Imp.]:[PERIODO Imp.]],DG$9)</f>
        <v>0</v>
      </c>
      <c r="DH889" s="694">
        <f>SUMIFS(Imput[[Importe Neto]:[Importe Neto]],Imput[[C. Imp.]:[C. Imp.]],$D889,Imput[[PERIODO Imp.]:[PERIODO Imp.]],DH$9)</f>
        <v>0</v>
      </c>
    </row>
    <row r="890" spans="1:112" s="649" customFormat="1" hidden="1" outlineLevel="1" x14ac:dyDescent="0.3">
      <c r="A890" s="652" t="str">
        <f t="shared" si="300"/>
        <v/>
      </c>
      <c r="B890" s="652"/>
      <c r="C890" s="685"/>
      <c r="D890" s="686" t="s">
        <v>2862</v>
      </c>
      <c r="E890" s="686"/>
      <c r="F890" s="720"/>
      <c r="G890" s="688"/>
      <c r="H890" s="696"/>
      <c r="I890" s="851" t="str">
        <f t="shared" si="301"/>
        <v/>
      </c>
      <c r="J890" s="517" t="str">
        <f t="shared" si="302"/>
        <v/>
      </c>
      <c r="K890" s="667"/>
      <c r="L890" s="858"/>
      <c r="M890" s="859"/>
      <c r="N890" s="859"/>
      <c r="O890" s="859"/>
      <c r="P890" s="859"/>
      <c r="Q890" s="859"/>
      <c r="R890" s="859"/>
      <c r="S890" s="859"/>
      <c r="T890" s="859"/>
      <c r="U890" s="859"/>
      <c r="V890" s="859"/>
      <c r="W890" s="859"/>
      <c r="X890" s="859"/>
      <c r="Y890" s="859"/>
      <c r="Z890" s="860"/>
      <c r="AA890" s="860"/>
      <c r="AB890" s="860"/>
      <c r="AC890" s="860"/>
      <c r="AD890" s="860"/>
      <c r="AE890" s="860"/>
      <c r="AF890" s="860"/>
      <c r="AG890" s="860"/>
      <c r="AH890" s="860"/>
      <c r="AI890" s="860"/>
      <c r="AJ890" s="860"/>
      <c r="AK890" s="860"/>
      <c r="AL890" s="860"/>
      <c r="AM890" s="860"/>
      <c r="AN890" s="860"/>
      <c r="AO890" s="860"/>
      <c r="AP890" s="860"/>
      <c r="AQ890" s="860"/>
      <c r="AR890" s="860"/>
      <c r="AS890" s="860"/>
      <c r="AT890" s="860"/>
      <c r="AU890" s="860"/>
      <c r="AV890" s="860"/>
      <c r="AW890" s="860"/>
      <c r="AX890" s="860"/>
      <c r="AY890" s="860"/>
      <c r="AZ890" s="860"/>
      <c r="BA890" s="860"/>
      <c r="BB890" s="860"/>
      <c r="BC890" s="860"/>
      <c r="BD890" s="860"/>
      <c r="BE890" s="860"/>
      <c r="BF890" s="860"/>
      <c r="BG890" s="860"/>
      <c r="BH890" s="668"/>
      <c r="BI890" s="654"/>
      <c r="BJ890" s="690">
        <f t="shared" si="303"/>
        <v>0</v>
      </c>
      <c r="BK890" s="691">
        <f t="shared" si="304"/>
        <v>0</v>
      </c>
      <c r="BL890" s="654"/>
      <c r="BM890" s="692">
        <f>SUMIFS(Imput[[Importe Neto]:[Importe Neto]],Imput[[C. Imp.]:[C. Imp.]],$D890,Imput[[PERIODO Imp.]:[PERIODO Imp.]],BM$9)</f>
        <v>0</v>
      </c>
      <c r="BN890" s="693">
        <f>SUMIFS(Imput[[Importe Neto]:[Importe Neto]],Imput[[C. Imp.]:[C. Imp.]],$D890,Imput[[PERIODO Imp.]:[PERIODO Imp.]],BN$9)</f>
        <v>0</v>
      </c>
      <c r="BO890" s="693">
        <f>SUMIFS(Imput[[Importe Neto]:[Importe Neto]],Imput[[C. Imp.]:[C. Imp.]],$D890,Imput[[PERIODO Imp.]:[PERIODO Imp.]],BO$9)</f>
        <v>0</v>
      </c>
      <c r="BP890" s="693">
        <f>SUMIFS(Imput[[Importe Neto]:[Importe Neto]],Imput[[C. Imp.]:[C. Imp.]],$D890,Imput[[PERIODO Imp.]:[PERIODO Imp.]],BP$9)</f>
        <v>0</v>
      </c>
      <c r="BQ890" s="693">
        <f>SUMIFS(Imput[[Importe Neto]:[Importe Neto]],Imput[[C. Imp.]:[C. Imp.]],$D890,Imput[[PERIODO Imp.]:[PERIODO Imp.]],BQ$9)</f>
        <v>0</v>
      </c>
      <c r="BR890" s="693">
        <f>SUMIFS(Imput[[Importe Neto]:[Importe Neto]],Imput[[C. Imp.]:[C. Imp.]],$D890,Imput[[PERIODO Imp.]:[PERIODO Imp.]],BR$9)</f>
        <v>0</v>
      </c>
      <c r="BS890" s="693">
        <f>SUMIFS(Imput[[Importe Neto]:[Importe Neto]],Imput[[C. Imp.]:[C. Imp.]],$D890,Imput[[PERIODO Imp.]:[PERIODO Imp.]],BS$9)</f>
        <v>0</v>
      </c>
      <c r="BT890" s="693">
        <f>SUMIFS(Imput[[Importe Neto]:[Importe Neto]],Imput[[C. Imp.]:[C. Imp.]],$D890,Imput[[PERIODO Imp.]:[PERIODO Imp.]],BT$9)</f>
        <v>0</v>
      </c>
      <c r="BU890" s="693">
        <f>SUMIFS(Imput[[Importe Neto]:[Importe Neto]],Imput[[C. Imp.]:[C. Imp.]],$D890,Imput[[PERIODO Imp.]:[PERIODO Imp.]],BU$9)</f>
        <v>0</v>
      </c>
      <c r="BV890" s="693">
        <f>SUMIFS(Imput[[Importe Neto]:[Importe Neto]],Imput[[C. Imp.]:[C. Imp.]],$D890,Imput[[PERIODO Imp.]:[PERIODO Imp.]],BV$9)</f>
        <v>0</v>
      </c>
      <c r="BW890" s="693">
        <f>SUMIFS(Imput[[Importe Neto]:[Importe Neto]],Imput[[C. Imp.]:[C. Imp.]],$D890,Imput[[PERIODO Imp.]:[PERIODO Imp.]],BW$9)</f>
        <v>0</v>
      </c>
      <c r="BX890" s="693">
        <f>SUMIFS(Imput[[Importe Neto]:[Importe Neto]],Imput[[C. Imp.]:[C. Imp.]],$D890,Imput[[PERIODO Imp.]:[PERIODO Imp.]],BX$9)</f>
        <v>0</v>
      </c>
      <c r="BY890" s="693">
        <f>SUMIFS(Imput[[Importe Neto]:[Importe Neto]],Imput[[C. Imp.]:[C. Imp.]],$D890,Imput[[PERIODO Imp.]:[PERIODO Imp.]],BY$9)</f>
        <v>0</v>
      </c>
      <c r="BZ890" s="693">
        <f>SUMIFS(Imput[[Importe Neto]:[Importe Neto]],Imput[[C. Imp.]:[C. Imp.]],$D890,Imput[[PERIODO Imp.]:[PERIODO Imp.]],BZ$9)</f>
        <v>0</v>
      </c>
      <c r="CA890" s="693">
        <f>SUMIFS(Imput[[Importe Neto]:[Importe Neto]],Imput[[C. Imp.]:[C. Imp.]],$D890,Imput[[PERIODO Imp.]:[PERIODO Imp.]],CA$9)</f>
        <v>0</v>
      </c>
      <c r="CB890" s="693">
        <f>SUMIFS(Imput[[Importe Neto]:[Importe Neto]],Imput[[C. Imp.]:[C. Imp.]],$D890,Imput[[PERIODO Imp.]:[PERIODO Imp.]],CB$9)</f>
        <v>0</v>
      </c>
      <c r="CC890" s="693">
        <f>SUMIFS(Imput[[Importe Neto]:[Importe Neto]],Imput[[C. Imp.]:[C. Imp.]],$D890,Imput[[PERIODO Imp.]:[PERIODO Imp.]],CC$9)</f>
        <v>0</v>
      </c>
      <c r="CD890" s="693">
        <f>SUMIFS(Imput[[Importe Neto]:[Importe Neto]],Imput[[C. Imp.]:[C. Imp.]],$D890,Imput[[PERIODO Imp.]:[PERIODO Imp.]],CD$9)</f>
        <v>0</v>
      </c>
      <c r="CE890" s="693">
        <f>SUMIFS(Imput[[Importe Neto]:[Importe Neto]],Imput[[C. Imp.]:[C. Imp.]],$D890,Imput[[PERIODO Imp.]:[PERIODO Imp.]],CE$9)</f>
        <v>0</v>
      </c>
      <c r="CF890" s="693">
        <f>SUMIFS(Imput[[Importe Neto]:[Importe Neto]],Imput[[C. Imp.]:[C. Imp.]],$D890,Imput[[PERIODO Imp.]:[PERIODO Imp.]],CF$9)</f>
        <v>0</v>
      </c>
      <c r="CG890" s="693">
        <f>SUMIFS(Imput[[Importe Neto]:[Importe Neto]],Imput[[C. Imp.]:[C. Imp.]],$D890,Imput[[PERIODO Imp.]:[PERIODO Imp.]],CG$9)</f>
        <v>0</v>
      </c>
      <c r="CH890" s="693">
        <f>SUMIFS(Imput[[Importe Neto]:[Importe Neto]],Imput[[C. Imp.]:[C. Imp.]],$D890,Imput[[PERIODO Imp.]:[PERIODO Imp.]],CH$9)</f>
        <v>0</v>
      </c>
      <c r="CI890" s="693">
        <f>SUMIFS(Imput[[Importe Neto]:[Importe Neto]],Imput[[C. Imp.]:[C. Imp.]],$D890,Imput[[PERIODO Imp.]:[PERIODO Imp.]],CI$9)</f>
        <v>0</v>
      </c>
      <c r="CJ890" s="693">
        <f>SUMIFS(Imput[[Importe Neto]:[Importe Neto]],Imput[[C. Imp.]:[C. Imp.]],$D890,Imput[[PERIODO Imp.]:[PERIODO Imp.]],CJ$9)</f>
        <v>0</v>
      </c>
      <c r="CK890" s="693">
        <f>SUMIFS(Imput[[Importe Neto]:[Importe Neto]],Imput[[C. Imp.]:[C. Imp.]],$D890,Imput[[PERIODO Imp.]:[PERIODO Imp.]],CK$9)</f>
        <v>0</v>
      </c>
      <c r="CL890" s="693">
        <f>SUMIFS(Imput[[Importe Neto]:[Importe Neto]],Imput[[C. Imp.]:[C. Imp.]],$D890,Imput[[PERIODO Imp.]:[PERIODO Imp.]],CL$9)</f>
        <v>0</v>
      </c>
      <c r="CM890" s="693">
        <f>SUMIFS(Imput[[Importe Neto]:[Importe Neto]],Imput[[C. Imp.]:[C. Imp.]],$D890,Imput[[PERIODO Imp.]:[PERIODO Imp.]],CM$9)</f>
        <v>0</v>
      </c>
      <c r="CN890" s="693">
        <f>SUMIFS(Imput[[Importe Neto]:[Importe Neto]],Imput[[C. Imp.]:[C. Imp.]],$D890,Imput[[PERIODO Imp.]:[PERIODO Imp.]],CN$9)</f>
        <v>0</v>
      </c>
      <c r="CO890" s="693">
        <f>SUMIFS(Imput[[Importe Neto]:[Importe Neto]],Imput[[C. Imp.]:[C. Imp.]],$D890,Imput[[PERIODO Imp.]:[PERIODO Imp.]],CO$9)</f>
        <v>0</v>
      </c>
      <c r="CP890" s="693">
        <f>SUMIFS(Imput[[Importe Neto]:[Importe Neto]],Imput[[C. Imp.]:[C. Imp.]],$D890,Imput[[PERIODO Imp.]:[PERIODO Imp.]],CP$9)</f>
        <v>0</v>
      </c>
      <c r="CQ890" s="693">
        <f>SUMIFS(Imput[[Importe Neto]:[Importe Neto]],Imput[[C. Imp.]:[C. Imp.]],$D890,Imput[[PERIODO Imp.]:[PERIODO Imp.]],CQ$9)</f>
        <v>0</v>
      </c>
      <c r="CR890" s="693">
        <f>SUMIFS(Imput[[Importe Neto]:[Importe Neto]],Imput[[C. Imp.]:[C. Imp.]],$D890,Imput[[PERIODO Imp.]:[PERIODO Imp.]],CR$9)</f>
        <v>0</v>
      </c>
      <c r="CS890" s="693">
        <f>SUMIFS(Imput[[Importe Neto]:[Importe Neto]],Imput[[C. Imp.]:[C. Imp.]],$D890,Imput[[PERIODO Imp.]:[PERIODO Imp.]],CS$9)</f>
        <v>0</v>
      </c>
      <c r="CT890" s="693">
        <f>SUMIFS(Imput[[Importe Neto]:[Importe Neto]],Imput[[C. Imp.]:[C. Imp.]],$D890,Imput[[PERIODO Imp.]:[PERIODO Imp.]],CT$9)</f>
        <v>0</v>
      </c>
      <c r="CU890" s="693">
        <f>SUMIFS(Imput[[Importe Neto]:[Importe Neto]],Imput[[C. Imp.]:[C. Imp.]],$D890,Imput[[PERIODO Imp.]:[PERIODO Imp.]],CU$9)</f>
        <v>0</v>
      </c>
      <c r="CV890" s="693">
        <f>SUMIFS(Imput[[Importe Neto]:[Importe Neto]],Imput[[C. Imp.]:[C. Imp.]],$D890,Imput[[PERIODO Imp.]:[PERIODO Imp.]],CV$9)</f>
        <v>0</v>
      </c>
      <c r="CW890" s="693">
        <f>SUMIFS(Imput[[Importe Neto]:[Importe Neto]],Imput[[C. Imp.]:[C. Imp.]],$D890,Imput[[PERIODO Imp.]:[PERIODO Imp.]],CW$9)</f>
        <v>0</v>
      </c>
      <c r="CX890" s="693">
        <f>SUMIFS(Imput[[Importe Neto]:[Importe Neto]],Imput[[C. Imp.]:[C. Imp.]],$D890,Imput[[PERIODO Imp.]:[PERIODO Imp.]],CX$9)</f>
        <v>0</v>
      </c>
      <c r="CY890" s="693">
        <f>SUMIFS(Imput[[Importe Neto]:[Importe Neto]],Imput[[C. Imp.]:[C. Imp.]],$D890,Imput[[PERIODO Imp.]:[PERIODO Imp.]],CY$9)</f>
        <v>0</v>
      </c>
      <c r="CZ890" s="693">
        <f>SUMIFS(Imput[[Importe Neto]:[Importe Neto]],Imput[[C. Imp.]:[C. Imp.]],$D890,Imput[[PERIODO Imp.]:[PERIODO Imp.]],CZ$9)</f>
        <v>0</v>
      </c>
      <c r="DA890" s="693">
        <f>SUMIFS(Imput[[Importe Neto]:[Importe Neto]],Imput[[C. Imp.]:[C. Imp.]],$D890,Imput[[PERIODO Imp.]:[PERIODO Imp.]],DA$9)</f>
        <v>0</v>
      </c>
      <c r="DB890" s="693">
        <f>SUMIFS(Imput[[Importe Neto]:[Importe Neto]],Imput[[C. Imp.]:[C. Imp.]],$D890,Imput[[PERIODO Imp.]:[PERIODO Imp.]],DB$9)</f>
        <v>0</v>
      </c>
      <c r="DC890" s="693">
        <f>SUMIFS(Imput[[Importe Neto]:[Importe Neto]],Imput[[C. Imp.]:[C. Imp.]],$D890,Imput[[PERIODO Imp.]:[PERIODO Imp.]],DC$9)</f>
        <v>0</v>
      </c>
      <c r="DD890" s="693">
        <f>SUMIFS(Imput[[Importe Neto]:[Importe Neto]],Imput[[C. Imp.]:[C. Imp.]],$D890,Imput[[PERIODO Imp.]:[PERIODO Imp.]],DD$9)</f>
        <v>0</v>
      </c>
      <c r="DE890" s="693">
        <f>SUMIFS(Imput[[Importe Neto]:[Importe Neto]],Imput[[C. Imp.]:[C. Imp.]],$D890,Imput[[PERIODO Imp.]:[PERIODO Imp.]],DE$9)</f>
        <v>0</v>
      </c>
      <c r="DF890" s="693">
        <f>SUMIFS(Imput[[Importe Neto]:[Importe Neto]],Imput[[C. Imp.]:[C. Imp.]],$D890,Imput[[PERIODO Imp.]:[PERIODO Imp.]],DF$9)</f>
        <v>0</v>
      </c>
      <c r="DG890" s="693">
        <f>SUMIFS(Imput[[Importe Neto]:[Importe Neto]],Imput[[C. Imp.]:[C. Imp.]],$D890,Imput[[PERIODO Imp.]:[PERIODO Imp.]],DG$9)</f>
        <v>0</v>
      </c>
      <c r="DH890" s="694">
        <f>SUMIFS(Imput[[Importe Neto]:[Importe Neto]],Imput[[C. Imp.]:[C. Imp.]],$D890,Imput[[PERIODO Imp.]:[PERIODO Imp.]],DH$9)</f>
        <v>0</v>
      </c>
    </row>
    <row r="891" spans="1:112" s="649" customFormat="1" hidden="1" outlineLevel="1" x14ac:dyDescent="0.3">
      <c r="A891" s="652" t="str">
        <f t="shared" si="300"/>
        <v/>
      </c>
      <c r="B891" s="652"/>
      <c r="C891" s="685"/>
      <c r="D891" s="686" t="s">
        <v>2863</v>
      </c>
      <c r="E891" s="686"/>
      <c r="F891" s="720"/>
      <c r="G891" s="688"/>
      <c r="H891" s="696"/>
      <c r="I891" s="851" t="str">
        <f t="shared" si="301"/>
        <v/>
      </c>
      <c r="J891" s="517" t="str">
        <f t="shared" si="302"/>
        <v/>
      </c>
      <c r="K891" s="667"/>
      <c r="L891" s="858"/>
      <c r="M891" s="859"/>
      <c r="N891" s="859"/>
      <c r="O891" s="859"/>
      <c r="P891" s="859"/>
      <c r="Q891" s="859"/>
      <c r="R891" s="859"/>
      <c r="S891" s="859"/>
      <c r="T891" s="859"/>
      <c r="U891" s="859"/>
      <c r="V891" s="859"/>
      <c r="W891" s="859"/>
      <c r="X891" s="859"/>
      <c r="Y891" s="859"/>
      <c r="Z891" s="860"/>
      <c r="AA891" s="860"/>
      <c r="AB891" s="860"/>
      <c r="AC891" s="860"/>
      <c r="AD891" s="860"/>
      <c r="AE891" s="860"/>
      <c r="AF891" s="860"/>
      <c r="AG891" s="860"/>
      <c r="AH891" s="860"/>
      <c r="AI891" s="860"/>
      <c r="AJ891" s="860"/>
      <c r="AK891" s="860"/>
      <c r="AL891" s="860"/>
      <c r="AM891" s="860"/>
      <c r="AN891" s="860"/>
      <c r="AO891" s="860"/>
      <c r="AP891" s="860"/>
      <c r="AQ891" s="860"/>
      <c r="AR891" s="860"/>
      <c r="AS891" s="860"/>
      <c r="AT891" s="860"/>
      <c r="AU891" s="860"/>
      <c r="AV891" s="860"/>
      <c r="AW891" s="860"/>
      <c r="AX891" s="860"/>
      <c r="AY891" s="860"/>
      <c r="AZ891" s="860"/>
      <c r="BA891" s="860"/>
      <c r="BB891" s="860"/>
      <c r="BC891" s="860"/>
      <c r="BD891" s="860"/>
      <c r="BE891" s="860"/>
      <c r="BF891" s="860"/>
      <c r="BG891" s="860"/>
      <c r="BH891" s="668"/>
      <c r="BI891" s="654"/>
      <c r="BJ891" s="690">
        <f t="shared" si="303"/>
        <v>0</v>
      </c>
      <c r="BK891" s="691">
        <f t="shared" si="304"/>
        <v>0</v>
      </c>
      <c r="BL891" s="654"/>
      <c r="BM891" s="692">
        <f>SUMIFS(Imput[[Importe Neto]:[Importe Neto]],Imput[[C. Imp.]:[C. Imp.]],$D891,Imput[[PERIODO Imp.]:[PERIODO Imp.]],BM$9)</f>
        <v>0</v>
      </c>
      <c r="BN891" s="693">
        <f>SUMIFS(Imput[[Importe Neto]:[Importe Neto]],Imput[[C. Imp.]:[C. Imp.]],$D891,Imput[[PERIODO Imp.]:[PERIODO Imp.]],BN$9)</f>
        <v>0</v>
      </c>
      <c r="BO891" s="693">
        <f>SUMIFS(Imput[[Importe Neto]:[Importe Neto]],Imput[[C. Imp.]:[C. Imp.]],$D891,Imput[[PERIODO Imp.]:[PERIODO Imp.]],BO$9)</f>
        <v>0</v>
      </c>
      <c r="BP891" s="693">
        <f>SUMIFS(Imput[[Importe Neto]:[Importe Neto]],Imput[[C. Imp.]:[C. Imp.]],$D891,Imput[[PERIODO Imp.]:[PERIODO Imp.]],BP$9)</f>
        <v>0</v>
      </c>
      <c r="BQ891" s="693">
        <f>SUMIFS(Imput[[Importe Neto]:[Importe Neto]],Imput[[C. Imp.]:[C. Imp.]],$D891,Imput[[PERIODO Imp.]:[PERIODO Imp.]],BQ$9)</f>
        <v>0</v>
      </c>
      <c r="BR891" s="693">
        <f>SUMIFS(Imput[[Importe Neto]:[Importe Neto]],Imput[[C. Imp.]:[C. Imp.]],$D891,Imput[[PERIODO Imp.]:[PERIODO Imp.]],BR$9)</f>
        <v>0</v>
      </c>
      <c r="BS891" s="693">
        <f>SUMIFS(Imput[[Importe Neto]:[Importe Neto]],Imput[[C. Imp.]:[C. Imp.]],$D891,Imput[[PERIODO Imp.]:[PERIODO Imp.]],BS$9)</f>
        <v>0</v>
      </c>
      <c r="BT891" s="693">
        <f>SUMIFS(Imput[[Importe Neto]:[Importe Neto]],Imput[[C. Imp.]:[C. Imp.]],$D891,Imput[[PERIODO Imp.]:[PERIODO Imp.]],BT$9)</f>
        <v>0</v>
      </c>
      <c r="BU891" s="693">
        <f>SUMIFS(Imput[[Importe Neto]:[Importe Neto]],Imput[[C. Imp.]:[C. Imp.]],$D891,Imput[[PERIODO Imp.]:[PERIODO Imp.]],BU$9)</f>
        <v>0</v>
      </c>
      <c r="BV891" s="693">
        <f>SUMIFS(Imput[[Importe Neto]:[Importe Neto]],Imput[[C. Imp.]:[C. Imp.]],$D891,Imput[[PERIODO Imp.]:[PERIODO Imp.]],BV$9)</f>
        <v>0</v>
      </c>
      <c r="BW891" s="693">
        <f>SUMIFS(Imput[[Importe Neto]:[Importe Neto]],Imput[[C. Imp.]:[C. Imp.]],$D891,Imput[[PERIODO Imp.]:[PERIODO Imp.]],BW$9)</f>
        <v>0</v>
      </c>
      <c r="BX891" s="693">
        <f>SUMIFS(Imput[[Importe Neto]:[Importe Neto]],Imput[[C. Imp.]:[C. Imp.]],$D891,Imput[[PERIODO Imp.]:[PERIODO Imp.]],BX$9)</f>
        <v>0</v>
      </c>
      <c r="BY891" s="693">
        <f>SUMIFS(Imput[[Importe Neto]:[Importe Neto]],Imput[[C. Imp.]:[C. Imp.]],$D891,Imput[[PERIODO Imp.]:[PERIODO Imp.]],BY$9)</f>
        <v>0</v>
      </c>
      <c r="BZ891" s="693">
        <f>SUMIFS(Imput[[Importe Neto]:[Importe Neto]],Imput[[C. Imp.]:[C. Imp.]],$D891,Imput[[PERIODO Imp.]:[PERIODO Imp.]],BZ$9)</f>
        <v>0</v>
      </c>
      <c r="CA891" s="693">
        <f>SUMIFS(Imput[[Importe Neto]:[Importe Neto]],Imput[[C. Imp.]:[C. Imp.]],$D891,Imput[[PERIODO Imp.]:[PERIODO Imp.]],CA$9)</f>
        <v>0</v>
      </c>
      <c r="CB891" s="693">
        <f>SUMIFS(Imput[[Importe Neto]:[Importe Neto]],Imput[[C. Imp.]:[C. Imp.]],$D891,Imput[[PERIODO Imp.]:[PERIODO Imp.]],CB$9)</f>
        <v>0</v>
      </c>
      <c r="CC891" s="693">
        <f>SUMIFS(Imput[[Importe Neto]:[Importe Neto]],Imput[[C. Imp.]:[C. Imp.]],$D891,Imput[[PERIODO Imp.]:[PERIODO Imp.]],CC$9)</f>
        <v>0</v>
      </c>
      <c r="CD891" s="693">
        <f>SUMIFS(Imput[[Importe Neto]:[Importe Neto]],Imput[[C. Imp.]:[C. Imp.]],$D891,Imput[[PERIODO Imp.]:[PERIODO Imp.]],CD$9)</f>
        <v>0</v>
      </c>
      <c r="CE891" s="693">
        <f>SUMIFS(Imput[[Importe Neto]:[Importe Neto]],Imput[[C. Imp.]:[C. Imp.]],$D891,Imput[[PERIODO Imp.]:[PERIODO Imp.]],CE$9)</f>
        <v>0</v>
      </c>
      <c r="CF891" s="693">
        <f>SUMIFS(Imput[[Importe Neto]:[Importe Neto]],Imput[[C. Imp.]:[C. Imp.]],$D891,Imput[[PERIODO Imp.]:[PERIODO Imp.]],CF$9)</f>
        <v>0</v>
      </c>
      <c r="CG891" s="693">
        <f>SUMIFS(Imput[[Importe Neto]:[Importe Neto]],Imput[[C. Imp.]:[C. Imp.]],$D891,Imput[[PERIODO Imp.]:[PERIODO Imp.]],CG$9)</f>
        <v>0</v>
      </c>
      <c r="CH891" s="693">
        <f>SUMIFS(Imput[[Importe Neto]:[Importe Neto]],Imput[[C. Imp.]:[C. Imp.]],$D891,Imput[[PERIODO Imp.]:[PERIODO Imp.]],CH$9)</f>
        <v>0</v>
      </c>
      <c r="CI891" s="693">
        <f>SUMIFS(Imput[[Importe Neto]:[Importe Neto]],Imput[[C. Imp.]:[C. Imp.]],$D891,Imput[[PERIODO Imp.]:[PERIODO Imp.]],CI$9)</f>
        <v>0</v>
      </c>
      <c r="CJ891" s="693">
        <f>SUMIFS(Imput[[Importe Neto]:[Importe Neto]],Imput[[C. Imp.]:[C. Imp.]],$D891,Imput[[PERIODO Imp.]:[PERIODO Imp.]],CJ$9)</f>
        <v>0</v>
      </c>
      <c r="CK891" s="693">
        <f>SUMIFS(Imput[[Importe Neto]:[Importe Neto]],Imput[[C. Imp.]:[C. Imp.]],$D891,Imput[[PERIODO Imp.]:[PERIODO Imp.]],CK$9)</f>
        <v>0</v>
      </c>
      <c r="CL891" s="693">
        <f>SUMIFS(Imput[[Importe Neto]:[Importe Neto]],Imput[[C. Imp.]:[C. Imp.]],$D891,Imput[[PERIODO Imp.]:[PERIODO Imp.]],CL$9)</f>
        <v>0</v>
      </c>
      <c r="CM891" s="693">
        <f>SUMIFS(Imput[[Importe Neto]:[Importe Neto]],Imput[[C. Imp.]:[C. Imp.]],$D891,Imput[[PERIODO Imp.]:[PERIODO Imp.]],CM$9)</f>
        <v>0</v>
      </c>
      <c r="CN891" s="693">
        <f>SUMIFS(Imput[[Importe Neto]:[Importe Neto]],Imput[[C. Imp.]:[C. Imp.]],$D891,Imput[[PERIODO Imp.]:[PERIODO Imp.]],CN$9)</f>
        <v>0</v>
      </c>
      <c r="CO891" s="693">
        <f>SUMIFS(Imput[[Importe Neto]:[Importe Neto]],Imput[[C. Imp.]:[C. Imp.]],$D891,Imput[[PERIODO Imp.]:[PERIODO Imp.]],CO$9)</f>
        <v>0</v>
      </c>
      <c r="CP891" s="693">
        <f>SUMIFS(Imput[[Importe Neto]:[Importe Neto]],Imput[[C. Imp.]:[C. Imp.]],$D891,Imput[[PERIODO Imp.]:[PERIODO Imp.]],CP$9)</f>
        <v>0</v>
      </c>
      <c r="CQ891" s="693">
        <f>SUMIFS(Imput[[Importe Neto]:[Importe Neto]],Imput[[C. Imp.]:[C. Imp.]],$D891,Imput[[PERIODO Imp.]:[PERIODO Imp.]],CQ$9)</f>
        <v>0</v>
      </c>
      <c r="CR891" s="693">
        <f>SUMIFS(Imput[[Importe Neto]:[Importe Neto]],Imput[[C. Imp.]:[C. Imp.]],$D891,Imput[[PERIODO Imp.]:[PERIODO Imp.]],CR$9)</f>
        <v>0</v>
      </c>
      <c r="CS891" s="693">
        <f>SUMIFS(Imput[[Importe Neto]:[Importe Neto]],Imput[[C. Imp.]:[C. Imp.]],$D891,Imput[[PERIODO Imp.]:[PERIODO Imp.]],CS$9)</f>
        <v>0</v>
      </c>
      <c r="CT891" s="693">
        <f>SUMIFS(Imput[[Importe Neto]:[Importe Neto]],Imput[[C. Imp.]:[C. Imp.]],$D891,Imput[[PERIODO Imp.]:[PERIODO Imp.]],CT$9)</f>
        <v>0</v>
      </c>
      <c r="CU891" s="693">
        <f>SUMIFS(Imput[[Importe Neto]:[Importe Neto]],Imput[[C. Imp.]:[C. Imp.]],$D891,Imput[[PERIODO Imp.]:[PERIODO Imp.]],CU$9)</f>
        <v>0</v>
      </c>
      <c r="CV891" s="693">
        <f>SUMIFS(Imput[[Importe Neto]:[Importe Neto]],Imput[[C. Imp.]:[C. Imp.]],$D891,Imput[[PERIODO Imp.]:[PERIODO Imp.]],CV$9)</f>
        <v>0</v>
      </c>
      <c r="CW891" s="693">
        <f>SUMIFS(Imput[[Importe Neto]:[Importe Neto]],Imput[[C. Imp.]:[C. Imp.]],$D891,Imput[[PERIODO Imp.]:[PERIODO Imp.]],CW$9)</f>
        <v>0</v>
      </c>
      <c r="CX891" s="693">
        <f>SUMIFS(Imput[[Importe Neto]:[Importe Neto]],Imput[[C. Imp.]:[C. Imp.]],$D891,Imput[[PERIODO Imp.]:[PERIODO Imp.]],CX$9)</f>
        <v>0</v>
      </c>
      <c r="CY891" s="693">
        <f>SUMIFS(Imput[[Importe Neto]:[Importe Neto]],Imput[[C. Imp.]:[C. Imp.]],$D891,Imput[[PERIODO Imp.]:[PERIODO Imp.]],CY$9)</f>
        <v>0</v>
      </c>
      <c r="CZ891" s="693">
        <f>SUMIFS(Imput[[Importe Neto]:[Importe Neto]],Imput[[C. Imp.]:[C. Imp.]],$D891,Imput[[PERIODO Imp.]:[PERIODO Imp.]],CZ$9)</f>
        <v>0</v>
      </c>
      <c r="DA891" s="693">
        <f>SUMIFS(Imput[[Importe Neto]:[Importe Neto]],Imput[[C. Imp.]:[C. Imp.]],$D891,Imput[[PERIODO Imp.]:[PERIODO Imp.]],DA$9)</f>
        <v>0</v>
      </c>
      <c r="DB891" s="693">
        <f>SUMIFS(Imput[[Importe Neto]:[Importe Neto]],Imput[[C. Imp.]:[C. Imp.]],$D891,Imput[[PERIODO Imp.]:[PERIODO Imp.]],DB$9)</f>
        <v>0</v>
      </c>
      <c r="DC891" s="693">
        <f>SUMIFS(Imput[[Importe Neto]:[Importe Neto]],Imput[[C. Imp.]:[C. Imp.]],$D891,Imput[[PERIODO Imp.]:[PERIODO Imp.]],DC$9)</f>
        <v>0</v>
      </c>
      <c r="DD891" s="693">
        <f>SUMIFS(Imput[[Importe Neto]:[Importe Neto]],Imput[[C. Imp.]:[C. Imp.]],$D891,Imput[[PERIODO Imp.]:[PERIODO Imp.]],DD$9)</f>
        <v>0</v>
      </c>
      <c r="DE891" s="693">
        <f>SUMIFS(Imput[[Importe Neto]:[Importe Neto]],Imput[[C. Imp.]:[C. Imp.]],$D891,Imput[[PERIODO Imp.]:[PERIODO Imp.]],DE$9)</f>
        <v>0</v>
      </c>
      <c r="DF891" s="693">
        <f>SUMIFS(Imput[[Importe Neto]:[Importe Neto]],Imput[[C. Imp.]:[C. Imp.]],$D891,Imput[[PERIODO Imp.]:[PERIODO Imp.]],DF$9)</f>
        <v>0</v>
      </c>
      <c r="DG891" s="693">
        <f>SUMIFS(Imput[[Importe Neto]:[Importe Neto]],Imput[[C. Imp.]:[C. Imp.]],$D891,Imput[[PERIODO Imp.]:[PERIODO Imp.]],DG$9)</f>
        <v>0</v>
      </c>
      <c r="DH891" s="694">
        <f>SUMIFS(Imput[[Importe Neto]:[Importe Neto]],Imput[[C. Imp.]:[C. Imp.]],$D891,Imput[[PERIODO Imp.]:[PERIODO Imp.]],DH$9)</f>
        <v>0</v>
      </c>
    </row>
    <row r="892" spans="1:112" s="649" customFormat="1" hidden="1" outlineLevel="1" x14ac:dyDescent="0.3">
      <c r="A892" s="652" t="str">
        <f t="shared" si="300"/>
        <v/>
      </c>
      <c r="B892" s="652"/>
      <c r="C892" s="685"/>
      <c r="D892" s="686" t="s">
        <v>2864</v>
      </c>
      <c r="E892" s="686"/>
      <c r="F892" s="720"/>
      <c r="G892" s="688"/>
      <c r="H892" s="696"/>
      <c r="I892" s="851" t="str">
        <f t="shared" si="301"/>
        <v/>
      </c>
      <c r="J892" s="517" t="str">
        <f t="shared" si="302"/>
        <v/>
      </c>
      <c r="K892" s="667"/>
      <c r="L892" s="858"/>
      <c r="M892" s="859"/>
      <c r="N892" s="859"/>
      <c r="O892" s="859"/>
      <c r="P892" s="859"/>
      <c r="Q892" s="859"/>
      <c r="R892" s="859"/>
      <c r="S892" s="859"/>
      <c r="T892" s="859"/>
      <c r="U892" s="859"/>
      <c r="V892" s="859"/>
      <c r="W892" s="859"/>
      <c r="X892" s="859"/>
      <c r="Y892" s="859"/>
      <c r="Z892" s="860"/>
      <c r="AA892" s="860"/>
      <c r="AB892" s="860"/>
      <c r="AC892" s="860"/>
      <c r="AD892" s="860"/>
      <c r="AE892" s="860"/>
      <c r="AF892" s="860"/>
      <c r="AG892" s="860"/>
      <c r="AH892" s="860"/>
      <c r="AI892" s="860"/>
      <c r="AJ892" s="860"/>
      <c r="AK892" s="860"/>
      <c r="AL892" s="860"/>
      <c r="AM892" s="860"/>
      <c r="AN892" s="860"/>
      <c r="AO892" s="860"/>
      <c r="AP892" s="860"/>
      <c r="AQ892" s="860"/>
      <c r="AR892" s="860"/>
      <c r="AS892" s="860"/>
      <c r="AT892" s="860"/>
      <c r="AU892" s="860"/>
      <c r="AV892" s="860"/>
      <c r="AW892" s="860"/>
      <c r="AX892" s="860"/>
      <c r="AY892" s="860"/>
      <c r="AZ892" s="860"/>
      <c r="BA892" s="860"/>
      <c r="BB892" s="860"/>
      <c r="BC892" s="860"/>
      <c r="BD892" s="860"/>
      <c r="BE892" s="860"/>
      <c r="BF892" s="860"/>
      <c r="BG892" s="860"/>
      <c r="BH892" s="668"/>
      <c r="BI892" s="654"/>
      <c r="BJ892" s="690">
        <f t="shared" si="303"/>
        <v>0</v>
      </c>
      <c r="BK892" s="691">
        <f t="shared" si="304"/>
        <v>0</v>
      </c>
      <c r="BL892" s="654"/>
      <c r="BM892" s="692">
        <f>SUMIFS(Imput[[Importe Neto]:[Importe Neto]],Imput[[C. Imp.]:[C. Imp.]],$D892,Imput[[PERIODO Imp.]:[PERIODO Imp.]],BM$9)</f>
        <v>0</v>
      </c>
      <c r="BN892" s="693">
        <f>SUMIFS(Imput[[Importe Neto]:[Importe Neto]],Imput[[C. Imp.]:[C. Imp.]],$D892,Imput[[PERIODO Imp.]:[PERIODO Imp.]],BN$9)</f>
        <v>0</v>
      </c>
      <c r="BO892" s="693">
        <f>SUMIFS(Imput[[Importe Neto]:[Importe Neto]],Imput[[C. Imp.]:[C. Imp.]],$D892,Imput[[PERIODO Imp.]:[PERIODO Imp.]],BO$9)</f>
        <v>0</v>
      </c>
      <c r="BP892" s="693">
        <f>SUMIFS(Imput[[Importe Neto]:[Importe Neto]],Imput[[C. Imp.]:[C. Imp.]],$D892,Imput[[PERIODO Imp.]:[PERIODO Imp.]],BP$9)</f>
        <v>0</v>
      </c>
      <c r="BQ892" s="693">
        <f>SUMIFS(Imput[[Importe Neto]:[Importe Neto]],Imput[[C. Imp.]:[C. Imp.]],$D892,Imput[[PERIODO Imp.]:[PERIODO Imp.]],BQ$9)</f>
        <v>0</v>
      </c>
      <c r="BR892" s="693">
        <f>SUMIFS(Imput[[Importe Neto]:[Importe Neto]],Imput[[C. Imp.]:[C. Imp.]],$D892,Imput[[PERIODO Imp.]:[PERIODO Imp.]],BR$9)</f>
        <v>0</v>
      </c>
      <c r="BS892" s="693">
        <f>SUMIFS(Imput[[Importe Neto]:[Importe Neto]],Imput[[C. Imp.]:[C. Imp.]],$D892,Imput[[PERIODO Imp.]:[PERIODO Imp.]],BS$9)</f>
        <v>0</v>
      </c>
      <c r="BT892" s="693">
        <f>SUMIFS(Imput[[Importe Neto]:[Importe Neto]],Imput[[C. Imp.]:[C. Imp.]],$D892,Imput[[PERIODO Imp.]:[PERIODO Imp.]],BT$9)</f>
        <v>0</v>
      </c>
      <c r="BU892" s="693">
        <f>SUMIFS(Imput[[Importe Neto]:[Importe Neto]],Imput[[C. Imp.]:[C. Imp.]],$D892,Imput[[PERIODO Imp.]:[PERIODO Imp.]],BU$9)</f>
        <v>0</v>
      </c>
      <c r="BV892" s="693">
        <f>SUMIFS(Imput[[Importe Neto]:[Importe Neto]],Imput[[C. Imp.]:[C. Imp.]],$D892,Imput[[PERIODO Imp.]:[PERIODO Imp.]],BV$9)</f>
        <v>0</v>
      </c>
      <c r="BW892" s="693">
        <f>SUMIFS(Imput[[Importe Neto]:[Importe Neto]],Imput[[C. Imp.]:[C. Imp.]],$D892,Imput[[PERIODO Imp.]:[PERIODO Imp.]],BW$9)</f>
        <v>0</v>
      </c>
      <c r="BX892" s="693">
        <f>SUMIFS(Imput[[Importe Neto]:[Importe Neto]],Imput[[C. Imp.]:[C. Imp.]],$D892,Imput[[PERIODO Imp.]:[PERIODO Imp.]],BX$9)</f>
        <v>0</v>
      </c>
      <c r="BY892" s="693">
        <f>SUMIFS(Imput[[Importe Neto]:[Importe Neto]],Imput[[C. Imp.]:[C. Imp.]],$D892,Imput[[PERIODO Imp.]:[PERIODO Imp.]],BY$9)</f>
        <v>0</v>
      </c>
      <c r="BZ892" s="693">
        <f>SUMIFS(Imput[[Importe Neto]:[Importe Neto]],Imput[[C. Imp.]:[C. Imp.]],$D892,Imput[[PERIODO Imp.]:[PERIODO Imp.]],BZ$9)</f>
        <v>0</v>
      </c>
      <c r="CA892" s="693">
        <f>SUMIFS(Imput[[Importe Neto]:[Importe Neto]],Imput[[C. Imp.]:[C. Imp.]],$D892,Imput[[PERIODO Imp.]:[PERIODO Imp.]],CA$9)</f>
        <v>0</v>
      </c>
      <c r="CB892" s="693">
        <f>SUMIFS(Imput[[Importe Neto]:[Importe Neto]],Imput[[C. Imp.]:[C. Imp.]],$D892,Imput[[PERIODO Imp.]:[PERIODO Imp.]],CB$9)</f>
        <v>0</v>
      </c>
      <c r="CC892" s="693">
        <f>SUMIFS(Imput[[Importe Neto]:[Importe Neto]],Imput[[C. Imp.]:[C. Imp.]],$D892,Imput[[PERIODO Imp.]:[PERIODO Imp.]],CC$9)</f>
        <v>0</v>
      </c>
      <c r="CD892" s="693">
        <f>SUMIFS(Imput[[Importe Neto]:[Importe Neto]],Imput[[C. Imp.]:[C. Imp.]],$D892,Imput[[PERIODO Imp.]:[PERIODO Imp.]],CD$9)</f>
        <v>0</v>
      </c>
      <c r="CE892" s="693">
        <f>SUMIFS(Imput[[Importe Neto]:[Importe Neto]],Imput[[C. Imp.]:[C. Imp.]],$D892,Imput[[PERIODO Imp.]:[PERIODO Imp.]],CE$9)</f>
        <v>0</v>
      </c>
      <c r="CF892" s="693">
        <f>SUMIFS(Imput[[Importe Neto]:[Importe Neto]],Imput[[C. Imp.]:[C. Imp.]],$D892,Imput[[PERIODO Imp.]:[PERIODO Imp.]],CF$9)</f>
        <v>0</v>
      </c>
      <c r="CG892" s="693">
        <f>SUMIFS(Imput[[Importe Neto]:[Importe Neto]],Imput[[C. Imp.]:[C. Imp.]],$D892,Imput[[PERIODO Imp.]:[PERIODO Imp.]],CG$9)</f>
        <v>0</v>
      </c>
      <c r="CH892" s="693">
        <f>SUMIFS(Imput[[Importe Neto]:[Importe Neto]],Imput[[C. Imp.]:[C. Imp.]],$D892,Imput[[PERIODO Imp.]:[PERIODO Imp.]],CH$9)</f>
        <v>0</v>
      </c>
      <c r="CI892" s="693">
        <f>SUMIFS(Imput[[Importe Neto]:[Importe Neto]],Imput[[C. Imp.]:[C. Imp.]],$D892,Imput[[PERIODO Imp.]:[PERIODO Imp.]],CI$9)</f>
        <v>0</v>
      </c>
      <c r="CJ892" s="693">
        <f>SUMIFS(Imput[[Importe Neto]:[Importe Neto]],Imput[[C. Imp.]:[C. Imp.]],$D892,Imput[[PERIODO Imp.]:[PERIODO Imp.]],CJ$9)</f>
        <v>0</v>
      </c>
      <c r="CK892" s="693">
        <f>SUMIFS(Imput[[Importe Neto]:[Importe Neto]],Imput[[C. Imp.]:[C. Imp.]],$D892,Imput[[PERIODO Imp.]:[PERIODO Imp.]],CK$9)</f>
        <v>0</v>
      </c>
      <c r="CL892" s="693">
        <f>SUMIFS(Imput[[Importe Neto]:[Importe Neto]],Imput[[C. Imp.]:[C. Imp.]],$D892,Imput[[PERIODO Imp.]:[PERIODO Imp.]],CL$9)</f>
        <v>0</v>
      </c>
      <c r="CM892" s="693">
        <f>SUMIFS(Imput[[Importe Neto]:[Importe Neto]],Imput[[C. Imp.]:[C. Imp.]],$D892,Imput[[PERIODO Imp.]:[PERIODO Imp.]],CM$9)</f>
        <v>0</v>
      </c>
      <c r="CN892" s="693">
        <f>SUMIFS(Imput[[Importe Neto]:[Importe Neto]],Imput[[C. Imp.]:[C. Imp.]],$D892,Imput[[PERIODO Imp.]:[PERIODO Imp.]],CN$9)</f>
        <v>0</v>
      </c>
      <c r="CO892" s="693">
        <f>SUMIFS(Imput[[Importe Neto]:[Importe Neto]],Imput[[C. Imp.]:[C. Imp.]],$D892,Imput[[PERIODO Imp.]:[PERIODO Imp.]],CO$9)</f>
        <v>0</v>
      </c>
      <c r="CP892" s="693">
        <f>SUMIFS(Imput[[Importe Neto]:[Importe Neto]],Imput[[C. Imp.]:[C. Imp.]],$D892,Imput[[PERIODO Imp.]:[PERIODO Imp.]],CP$9)</f>
        <v>0</v>
      </c>
      <c r="CQ892" s="693">
        <f>SUMIFS(Imput[[Importe Neto]:[Importe Neto]],Imput[[C. Imp.]:[C. Imp.]],$D892,Imput[[PERIODO Imp.]:[PERIODO Imp.]],CQ$9)</f>
        <v>0</v>
      </c>
      <c r="CR892" s="693">
        <f>SUMIFS(Imput[[Importe Neto]:[Importe Neto]],Imput[[C. Imp.]:[C. Imp.]],$D892,Imput[[PERIODO Imp.]:[PERIODO Imp.]],CR$9)</f>
        <v>0</v>
      </c>
      <c r="CS892" s="693">
        <f>SUMIFS(Imput[[Importe Neto]:[Importe Neto]],Imput[[C. Imp.]:[C. Imp.]],$D892,Imput[[PERIODO Imp.]:[PERIODO Imp.]],CS$9)</f>
        <v>0</v>
      </c>
      <c r="CT892" s="693">
        <f>SUMIFS(Imput[[Importe Neto]:[Importe Neto]],Imput[[C. Imp.]:[C. Imp.]],$D892,Imput[[PERIODO Imp.]:[PERIODO Imp.]],CT$9)</f>
        <v>0</v>
      </c>
      <c r="CU892" s="693">
        <f>SUMIFS(Imput[[Importe Neto]:[Importe Neto]],Imput[[C. Imp.]:[C. Imp.]],$D892,Imput[[PERIODO Imp.]:[PERIODO Imp.]],CU$9)</f>
        <v>0</v>
      </c>
      <c r="CV892" s="693">
        <f>SUMIFS(Imput[[Importe Neto]:[Importe Neto]],Imput[[C. Imp.]:[C. Imp.]],$D892,Imput[[PERIODO Imp.]:[PERIODO Imp.]],CV$9)</f>
        <v>0</v>
      </c>
      <c r="CW892" s="693">
        <f>SUMIFS(Imput[[Importe Neto]:[Importe Neto]],Imput[[C. Imp.]:[C. Imp.]],$D892,Imput[[PERIODO Imp.]:[PERIODO Imp.]],CW$9)</f>
        <v>0</v>
      </c>
      <c r="CX892" s="693">
        <f>SUMIFS(Imput[[Importe Neto]:[Importe Neto]],Imput[[C. Imp.]:[C. Imp.]],$D892,Imput[[PERIODO Imp.]:[PERIODO Imp.]],CX$9)</f>
        <v>0</v>
      </c>
      <c r="CY892" s="693">
        <f>SUMIFS(Imput[[Importe Neto]:[Importe Neto]],Imput[[C. Imp.]:[C. Imp.]],$D892,Imput[[PERIODO Imp.]:[PERIODO Imp.]],CY$9)</f>
        <v>0</v>
      </c>
      <c r="CZ892" s="693">
        <f>SUMIFS(Imput[[Importe Neto]:[Importe Neto]],Imput[[C. Imp.]:[C. Imp.]],$D892,Imput[[PERIODO Imp.]:[PERIODO Imp.]],CZ$9)</f>
        <v>0</v>
      </c>
      <c r="DA892" s="693">
        <f>SUMIFS(Imput[[Importe Neto]:[Importe Neto]],Imput[[C. Imp.]:[C. Imp.]],$D892,Imput[[PERIODO Imp.]:[PERIODO Imp.]],DA$9)</f>
        <v>0</v>
      </c>
      <c r="DB892" s="693">
        <f>SUMIFS(Imput[[Importe Neto]:[Importe Neto]],Imput[[C. Imp.]:[C. Imp.]],$D892,Imput[[PERIODO Imp.]:[PERIODO Imp.]],DB$9)</f>
        <v>0</v>
      </c>
      <c r="DC892" s="693">
        <f>SUMIFS(Imput[[Importe Neto]:[Importe Neto]],Imput[[C. Imp.]:[C. Imp.]],$D892,Imput[[PERIODO Imp.]:[PERIODO Imp.]],DC$9)</f>
        <v>0</v>
      </c>
      <c r="DD892" s="693">
        <f>SUMIFS(Imput[[Importe Neto]:[Importe Neto]],Imput[[C. Imp.]:[C. Imp.]],$D892,Imput[[PERIODO Imp.]:[PERIODO Imp.]],DD$9)</f>
        <v>0</v>
      </c>
      <c r="DE892" s="693">
        <f>SUMIFS(Imput[[Importe Neto]:[Importe Neto]],Imput[[C. Imp.]:[C. Imp.]],$D892,Imput[[PERIODO Imp.]:[PERIODO Imp.]],DE$9)</f>
        <v>0</v>
      </c>
      <c r="DF892" s="693">
        <f>SUMIFS(Imput[[Importe Neto]:[Importe Neto]],Imput[[C. Imp.]:[C. Imp.]],$D892,Imput[[PERIODO Imp.]:[PERIODO Imp.]],DF$9)</f>
        <v>0</v>
      </c>
      <c r="DG892" s="693">
        <f>SUMIFS(Imput[[Importe Neto]:[Importe Neto]],Imput[[C. Imp.]:[C. Imp.]],$D892,Imput[[PERIODO Imp.]:[PERIODO Imp.]],DG$9)</f>
        <v>0</v>
      </c>
      <c r="DH892" s="694">
        <f>SUMIFS(Imput[[Importe Neto]:[Importe Neto]],Imput[[C. Imp.]:[C. Imp.]],$D892,Imput[[PERIODO Imp.]:[PERIODO Imp.]],DH$9)</f>
        <v>0</v>
      </c>
    </row>
    <row r="893" spans="1:112" s="649" customFormat="1" hidden="1" outlineLevel="1" x14ac:dyDescent="0.3">
      <c r="A893" s="652" t="str">
        <f t="shared" si="300"/>
        <v/>
      </c>
      <c r="B893" s="652"/>
      <c r="C893" s="685"/>
      <c r="D893" s="686" t="s">
        <v>2865</v>
      </c>
      <c r="E893" s="686"/>
      <c r="F893" s="720"/>
      <c r="G893" s="688"/>
      <c r="H893" s="696"/>
      <c r="I893" s="851" t="str">
        <f t="shared" si="301"/>
        <v/>
      </c>
      <c r="J893" s="517" t="str">
        <f t="shared" si="302"/>
        <v/>
      </c>
      <c r="K893" s="667"/>
      <c r="L893" s="858"/>
      <c r="M893" s="859"/>
      <c r="N893" s="859"/>
      <c r="O893" s="859"/>
      <c r="P893" s="859"/>
      <c r="Q893" s="859"/>
      <c r="R893" s="859"/>
      <c r="S893" s="859"/>
      <c r="T893" s="859"/>
      <c r="U893" s="859"/>
      <c r="V893" s="859"/>
      <c r="W893" s="859"/>
      <c r="X893" s="859"/>
      <c r="Y893" s="859"/>
      <c r="Z893" s="860"/>
      <c r="AA893" s="860"/>
      <c r="AB893" s="860"/>
      <c r="AC893" s="860"/>
      <c r="AD893" s="860"/>
      <c r="AE893" s="860"/>
      <c r="AF893" s="860"/>
      <c r="AG893" s="860"/>
      <c r="AH893" s="860"/>
      <c r="AI893" s="860"/>
      <c r="AJ893" s="860"/>
      <c r="AK893" s="860"/>
      <c r="AL893" s="860"/>
      <c r="AM893" s="860"/>
      <c r="AN893" s="860"/>
      <c r="AO893" s="860"/>
      <c r="AP893" s="860"/>
      <c r="AQ893" s="860"/>
      <c r="AR893" s="860"/>
      <c r="AS893" s="860"/>
      <c r="AT893" s="860"/>
      <c r="AU893" s="860"/>
      <c r="AV893" s="860"/>
      <c r="AW893" s="860"/>
      <c r="AX893" s="860"/>
      <c r="AY893" s="860"/>
      <c r="AZ893" s="860"/>
      <c r="BA893" s="860"/>
      <c r="BB893" s="860"/>
      <c r="BC893" s="860"/>
      <c r="BD893" s="860"/>
      <c r="BE893" s="860"/>
      <c r="BF893" s="860"/>
      <c r="BG893" s="860"/>
      <c r="BH893" s="668"/>
      <c r="BI893" s="654"/>
      <c r="BJ893" s="690">
        <f t="shared" si="303"/>
        <v>0</v>
      </c>
      <c r="BK893" s="691">
        <f t="shared" si="304"/>
        <v>0</v>
      </c>
      <c r="BL893" s="654"/>
      <c r="BM893" s="697">
        <f>SUMIFS(Imput[[Importe Neto]:[Importe Neto]],Imput[[C. Imp.]:[C. Imp.]],$D893,Imput[[PERIODO Imp.]:[PERIODO Imp.]],BM$9)</f>
        <v>0</v>
      </c>
      <c r="BN893" s="698">
        <f>SUMIFS(Imput[[Importe Neto]:[Importe Neto]],Imput[[C. Imp.]:[C. Imp.]],$D893,Imput[[PERIODO Imp.]:[PERIODO Imp.]],BN$9)</f>
        <v>0</v>
      </c>
      <c r="BO893" s="698">
        <f>SUMIFS(Imput[[Importe Neto]:[Importe Neto]],Imput[[C. Imp.]:[C. Imp.]],$D893,Imput[[PERIODO Imp.]:[PERIODO Imp.]],BO$9)</f>
        <v>0</v>
      </c>
      <c r="BP893" s="698">
        <f>SUMIFS(Imput[[Importe Neto]:[Importe Neto]],Imput[[C. Imp.]:[C. Imp.]],$D893,Imput[[PERIODO Imp.]:[PERIODO Imp.]],BP$9)</f>
        <v>0</v>
      </c>
      <c r="BQ893" s="698">
        <f>SUMIFS(Imput[[Importe Neto]:[Importe Neto]],Imput[[C. Imp.]:[C. Imp.]],$D893,Imput[[PERIODO Imp.]:[PERIODO Imp.]],BQ$9)</f>
        <v>0</v>
      </c>
      <c r="BR893" s="698">
        <f>SUMIFS(Imput[[Importe Neto]:[Importe Neto]],Imput[[C. Imp.]:[C. Imp.]],$D893,Imput[[PERIODO Imp.]:[PERIODO Imp.]],BR$9)</f>
        <v>0</v>
      </c>
      <c r="BS893" s="698">
        <f>SUMIFS(Imput[[Importe Neto]:[Importe Neto]],Imput[[C. Imp.]:[C. Imp.]],$D893,Imput[[PERIODO Imp.]:[PERIODO Imp.]],BS$9)</f>
        <v>0</v>
      </c>
      <c r="BT893" s="698">
        <f>SUMIFS(Imput[[Importe Neto]:[Importe Neto]],Imput[[C. Imp.]:[C. Imp.]],$D893,Imput[[PERIODO Imp.]:[PERIODO Imp.]],BT$9)</f>
        <v>0</v>
      </c>
      <c r="BU893" s="698">
        <f>SUMIFS(Imput[[Importe Neto]:[Importe Neto]],Imput[[C. Imp.]:[C. Imp.]],$D893,Imput[[PERIODO Imp.]:[PERIODO Imp.]],BU$9)</f>
        <v>0</v>
      </c>
      <c r="BV893" s="698">
        <f>SUMIFS(Imput[[Importe Neto]:[Importe Neto]],Imput[[C. Imp.]:[C. Imp.]],$D893,Imput[[PERIODO Imp.]:[PERIODO Imp.]],BV$9)</f>
        <v>0</v>
      </c>
      <c r="BW893" s="698">
        <f>SUMIFS(Imput[[Importe Neto]:[Importe Neto]],Imput[[C. Imp.]:[C. Imp.]],$D893,Imput[[PERIODO Imp.]:[PERIODO Imp.]],BW$9)</f>
        <v>0</v>
      </c>
      <c r="BX893" s="698">
        <f>SUMIFS(Imput[[Importe Neto]:[Importe Neto]],Imput[[C. Imp.]:[C. Imp.]],$D893,Imput[[PERIODO Imp.]:[PERIODO Imp.]],BX$9)</f>
        <v>0</v>
      </c>
      <c r="BY893" s="698">
        <f>SUMIFS(Imput[[Importe Neto]:[Importe Neto]],Imput[[C. Imp.]:[C. Imp.]],$D893,Imput[[PERIODO Imp.]:[PERIODO Imp.]],BY$9)</f>
        <v>0</v>
      </c>
      <c r="BZ893" s="698">
        <f>SUMIFS(Imput[[Importe Neto]:[Importe Neto]],Imput[[C. Imp.]:[C. Imp.]],$D893,Imput[[PERIODO Imp.]:[PERIODO Imp.]],BZ$9)</f>
        <v>0</v>
      </c>
      <c r="CA893" s="698">
        <f>SUMIFS(Imput[[Importe Neto]:[Importe Neto]],Imput[[C. Imp.]:[C. Imp.]],$D893,Imput[[PERIODO Imp.]:[PERIODO Imp.]],CA$9)</f>
        <v>0</v>
      </c>
      <c r="CB893" s="698">
        <f>SUMIFS(Imput[[Importe Neto]:[Importe Neto]],Imput[[C. Imp.]:[C. Imp.]],$D893,Imput[[PERIODO Imp.]:[PERIODO Imp.]],CB$9)</f>
        <v>0</v>
      </c>
      <c r="CC893" s="698">
        <f>SUMIFS(Imput[[Importe Neto]:[Importe Neto]],Imput[[C. Imp.]:[C. Imp.]],$D893,Imput[[PERIODO Imp.]:[PERIODO Imp.]],CC$9)</f>
        <v>0</v>
      </c>
      <c r="CD893" s="698">
        <f>SUMIFS(Imput[[Importe Neto]:[Importe Neto]],Imput[[C. Imp.]:[C. Imp.]],$D893,Imput[[PERIODO Imp.]:[PERIODO Imp.]],CD$9)</f>
        <v>0</v>
      </c>
      <c r="CE893" s="698">
        <f>SUMIFS(Imput[[Importe Neto]:[Importe Neto]],Imput[[C. Imp.]:[C. Imp.]],$D893,Imput[[PERIODO Imp.]:[PERIODO Imp.]],CE$9)</f>
        <v>0</v>
      </c>
      <c r="CF893" s="698">
        <f>SUMIFS(Imput[[Importe Neto]:[Importe Neto]],Imput[[C. Imp.]:[C. Imp.]],$D893,Imput[[PERIODO Imp.]:[PERIODO Imp.]],CF$9)</f>
        <v>0</v>
      </c>
      <c r="CG893" s="698">
        <f>SUMIFS(Imput[[Importe Neto]:[Importe Neto]],Imput[[C. Imp.]:[C. Imp.]],$D893,Imput[[PERIODO Imp.]:[PERIODO Imp.]],CG$9)</f>
        <v>0</v>
      </c>
      <c r="CH893" s="698">
        <f>SUMIFS(Imput[[Importe Neto]:[Importe Neto]],Imput[[C. Imp.]:[C. Imp.]],$D893,Imput[[PERIODO Imp.]:[PERIODO Imp.]],CH$9)</f>
        <v>0</v>
      </c>
      <c r="CI893" s="698">
        <f>SUMIFS(Imput[[Importe Neto]:[Importe Neto]],Imput[[C. Imp.]:[C. Imp.]],$D893,Imput[[PERIODO Imp.]:[PERIODO Imp.]],CI$9)</f>
        <v>0</v>
      </c>
      <c r="CJ893" s="698">
        <f>SUMIFS(Imput[[Importe Neto]:[Importe Neto]],Imput[[C. Imp.]:[C. Imp.]],$D893,Imput[[PERIODO Imp.]:[PERIODO Imp.]],CJ$9)</f>
        <v>0</v>
      </c>
      <c r="CK893" s="698">
        <f>SUMIFS(Imput[[Importe Neto]:[Importe Neto]],Imput[[C. Imp.]:[C. Imp.]],$D893,Imput[[PERIODO Imp.]:[PERIODO Imp.]],CK$9)</f>
        <v>0</v>
      </c>
      <c r="CL893" s="698">
        <f>SUMIFS(Imput[[Importe Neto]:[Importe Neto]],Imput[[C. Imp.]:[C. Imp.]],$D893,Imput[[PERIODO Imp.]:[PERIODO Imp.]],CL$9)</f>
        <v>0</v>
      </c>
      <c r="CM893" s="698">
        <f>SUMIFS(Imput[[Importe Neto]:[Importe Neto]],Imput[[C. Imp.]:[C. Imp.]],$D893,Imput[[PERIODO Imp.]:[PERIODO Imp.]],CM$9)</f>
        <v>0</v>
      </c>
      <c r="CN893" s="698">
        <f>SUMIFS(Imput[[Importe Neto]:[Importe Neto]],Imput[[C. Imp.]:[C. Imp.]],$D893,Imput[[PERIODO Imp.]:[PERIODO Imp.]],CN$9)</f>
        <v>0</v>
      </c>
      <c r="CO893" s="698">
        <f>SUMIFS(Imput[[Importe Neto]:[Importe Neto]],Imput[[C. Imp.]:[C. Imp.]],$D893,Imput[[PERIODO Imp.]:[PERIODO Imp.]],CO$9)</f>
        <v>0</v>
      </c>
      <c r="CP893" s="698">
        <f>SUMIFS(Imput[[Importe Neto]:[Importe Neto]],Imput[[C. Imp.]:[C. Imp.]],$D893,Imput[[PERIODO Imp.]:[PERIODO Imp.]],CP$9)</f>
        <v>0</v>
      </c>
      <c r="CQ893" s="698">
        <f>SUMIFS(Imput[[Importe Neto]:[Importe Neto]],Imput[[C. Imp.]:[C. Imp.]],$D893,Imput[[PERIODO Imp.]:[PERIODO Imp.]],CQ$9)</f>
        <v>0</v>
      </c>
      <c r="CR893" s="698">
        <f>SUMIFS(Imput[[Importe Neto]:[Importe Neto]],Imput[[C. Imp.]:[C. Imp.]],$D893,Imput[[PERIODO Imp.]:[PERIODO Imp.]],CR$9)</f>
        <v>0</v>
      </c>
      <c r="CS893" s="698">
        <f>SUMIFS(Imput[[Importe Neto]:[Importe Neto]],Imput[[C. Imp.]:[C. Imp.]],$D893,Imput[[PERIODO Imp.]:[PERIODO Imp.]],CS$9)</f>
        <v>0</v>
      </c>
      <c r="CT893" s="698">
        <f>SUMIFS(Imput[[Importe Neto]:[Importe Neto]],Imput[[C. Imp.]:[C. Imp.]],$D893,Imput[[PERIODO Imp.]:[PERIODO Imp.]],CT$9)</f>
        <v>0</v>
      </c>
      <c r="CU893" s="698">
        <f>SUMIFS(Imput[[Importe Neto]:[Importe Neto]],Imput[[C. Imp.]:[C. Imp.]],$D893,Imput[[PERIODO Imp.]:[PERIODO Imp.]],CU$9)</f>
        <v>0</v>
      </c>
      <c r="CV893" s="698">
        <f>SUMIFS(Imput[[Importe Neto]:[Importe Neto]],Imput[[C. Imp.]:[C. Imp.]],$D893,Imput[[PERIODO Imp.]:[PERIODO Imp.]],CV$9)</f>
        <v>0</v>
      </c>
      <c r="CW893" s="698">
        <f>SUMIFS(Imput[[Importe Neto]:[Importe Neto]],Imput[[C. Imp.]:[C. Imp.]],$D893,Imput[[PERIODO Imp.]:[PERIODO Imp.]],CW$9)</f>
        <v>0</v>
      </c>
      <c r="CX893" s="698">
        <f>SUMIFS(Imput[[Importe Neto]:[Importe Neto]],Imput[[C. Imp.]:[C. Imp.]],$D893,Imput[[PERIODO Imp.]:[PERIODO Imp.]],CX$9)</f>
        <v>0</v>
      </c>
      <c r="CY893" s="698">
        <f>SUMIFS(Imput[[Importe Neto]:[Importe Neto]],Imput[[C. Imp.]:[C. Imp.]],$D893,Imput[[PERIODO Imp.]:[PERIODO Imp.]],CY$9)</f>
        <v>0</v>
      </c>
      <c r="CZ893" s="698">
        <f>SUMIFS(Imput[[Importe Neto]:[Importe Neto]],Imput[[C. Imp.]:[C. Imp.]],$D893,Imput[[PERIODO Imp.]:[PERIODO Imp.]],CZ$9)</f>
        <v>0</v>
      </c>
      <c r="DA893" s="698">
        <f>SUMIFS(Imput[[Importe Neto]:[Importe Neto]],Imput[[C. Imp.]:[C. Imp.]],$D893,Imput[[PERIODO Imp.]:[PERIODO Imp.]],DA$9)</f>
        <v>0</v>
      </c>
      <c r="DB893" s="698">
        <f>SUMIFS(Imput[[Importe Neto]:[Importe Neto]],Imput[[C. Imp.]:[C. Imp.]],$D893,Imput[[PERIODO Imp.]:[PERIODO Imp.]],DB$9)</f>
        <v>0</v>
      </c>
      <c r="DC893" s="698">
        <f>SUMIFS(Imput[[Importe Neto]:[Importe Neto]],Imput[[C. Imp.]:[C. Imp.]],$D893,Imput[[PERIODO Imp.]:[PERIODO Imp.]],DC$9)</f>
        <v>0</v>
      </c>
      <c r="DD893" s="698">
        <f>SUMIFS(Imput[[Importe Neto]:[Importe Neto]],Imput[[C. Imp.]:[C. Imp.]],$D893,Imput[[PERIODO Imp.]:[PERIODO Imp.]],DD$9)</f>
        <v>0</v>
      </c>
      <c r="DE893" s="698">
        <f>SUMIFS(Imput[[Importe Neto]:[Importe Neto]],Imput[[C. Imp.]:[C. Imp.]],$D893,Imput[[PERIODO Imp.]:[PERIODO Imp.]],DE$9)</f>
        <v>0</v>
      </c>
      <c r="DF893" s="698">
        <f>SUMIFS(Imput[[Importe Neto]:[Importe Neto]],Imput[[C. Imp.]:[C. Imp.]],$D893,Imput[[PERIODO Imp.]:[PERIODO Imp.]],DF$9)</f>
        <v>0</v>
      </c>
      <c r="DG893" s="698">
        <f>SUMIFS(Imput[[Importe Neto]:[Importe Neto]],Imput[[C. Imp.]:[C. Imp.]],$D893,Imput[[PERIODO Imp.]:[PERIODO Imp.]],DG$9)</f>
        <v>0</v>
      </c>
      <c r="DH893" s="795">
        <f>SUMIFS(Imput[[Importe Neto]:[Importe Neto]],Imput[[C. Imp.]:[C. Imp.]],$D893,Imput[[PERIODO Imp.]:[PERIODO Imp.]],DH$9)</f>
        <v>0</v>
      </c>
    </row>
    <row r="894" spans="1:112" s="649" customFormat="1" ht="14.4" outlineLevel="1" thickBot="1" x14ac:dyDescent="0.35">
      <c r="A894" s="652" t="str">
        <f>IF(J882&gt;0,"Imprimir","")</f>
        <v>Imprimir</v>
      </c>
      <c r="B894" s="652"/>
      <c r="C894" s="699"/>
      <c r="D894" s="700"/>
      <c r="E894" s="700"/>
      <c r="F894" s="701"/>
      <c r="G894" s="702"/>
      <c r="H894" s="703"/>
      <c r="I894" s="704"/>
      <c r="J894" s="705"/>
      <c r="K894" s="667"/>
      <c r="L894" s="706"/>
      <c r="M894" s="707"/>
      <c r="N894" s="777"/>
      <c r="O894" s="777"/>
      <c r="P894" s="778"/>
      <c r="Q894" s="778"/>
      <c r="R894" s="708"/>
      <c r="S894" s="708"/>
      <c r="T894" s="779"/>
      <c r="U894" s="779"/>
      <c r="V894" s="778"/>
      <c r="W894" s="778"/>
      <c r="X894" s="708"/>
      <c r="Y894" s="708"/>
      <c r="Z894" s="708"/>
      <c r="AA894" s="708"/>
      <c r="AB894" s="708"/>
      <c r="AC894" s="708"/>
      <c r="AD894" s="708"/>
      <c r="AE894" s="708"/>
      <c r="AF894" s="708"/>
      <c r="AG894" s="708"/>
      <c r="AH894" s="708"/>
      <c r="AI894" s="708"/>
      <c r="AJ894" s="708"/>
      <c r="AK894" s="708"/>
      <c r="AL894" s="708"/>
      <c r="AM894" s="708"/>
      <c r="AN894" s="708"/>
      <c r="AO894" s="708"/>
      <c r="AP894" s="708"/>
      <c r="AQ894" s="708"/>
      <c r="AR894" s="708"/>
      <c r="AS894" s="708"/>
      <c r="AT894" s="708"/>
      <c r="AU894" s="708"/>
      <c r="AV894" s="708"/>
      <c r="AW894" s="708"/>
      <c r="AX894" s="708"/>
      <c r="AY894" s="708"/>
      <c r="AZ894" s="708"/>
      <c r="BA894" s="708"/>
      <c r="BB894" s="708"/>
      <c r="BC894" s="708"/>
      <c r="BD894" s="708"/>
      <c r="BE894" s="708"/>
      <c r="BF894" s="708"/>
      <c r="BG894" s="708"/>
      <c r="BH894" s="780"/>
      <c r="BI894" s="654"/>
      <c r="BJ894" s="709"/>
      <c r="BK894" s="710"/>
      <c r="BL894" s="654"/>
      <c r="BM894" s="731"/>
      <c r="BN894" s="701"/>
      <c r="BO894" s="701"/>
      <c r="BP894" s="701"/>
      <c r="BQ894" s="701"/>
      <c r="BR894" s="701"/>
      <c r="BS894" s="701"/>
      <c r="BT894" s="701"/>
      <c r="BU894" s="701"/>
      <c r="BV894" s="701"/>
      <c r="BW894" s="701"/>
      <c r="BX894" s="701"/>
      <c r="BY894" s="701"/>
      <c r="BZ894" s="701"/>
      <c r="CA894" s="701"/>
      <c r="CB894" s="701"/>
      <c r="CC894" s="701"/>
      <c r="CD894" s="701"/>
      <c r="CE894" s="701"/>
      <c r="CF894" s="701"/>
      <c r="CG894" s="701"/>
      <c r="CH894" s="701"/>
      <c r="CI894" s="701"/>
      <c r="CJ894" s="701"/>
      <c r="CK894" s="701"/>
      <c r="CL894" s="701"/>
      <c r="CM894" s="701"/>
      <c r="CN894" s="701"/>
      <c r="CO894" s="701"/>
      <c r="CP894" s="701"/>
      <c r="CQ894" s="701"/>
      <c r="CR894" s="701"/>
      <c r="CS894" s="701"/>
      <c r="CT894" s="701"/>
      <c r="CU894" s="701"/>
      <c r="CV894" s="701"/>
      <c r="CW894" s="701"/>
      <c r="CX894" s="701"/>
      <c r="CY894" s="701"/>
      <c r="CZ894" s="701"/>
      <c r="DA894" s="701"/>
      <c r="DB894" s="701"/>
      <c r="DC894" s="701"/>
      <c r="DD894" s="701"/>
      <c r="DE894" s="701"/>
      <c r="DF894" s="701"/>
      <c r="DG894" s="701"/>
      <c r="DH894" s="710"/>
    </row>
    <row r="895" spans="1:112" s="649" customFormat="1" ht="14.4" hidden="1" thickBot="1" x14ac:dyDescent="0.35">
      <c r="A895" s="652" t="str">
        <f>IF(J895&gt;0,"Imprimir","")</f>
        <v/>
      </c>
      <c r="B895" s="652"/>
      <c r="C895" s="711"/>
      <c r="D895" s="712" t="s">
        <v>453</v>
      </c>
      <c r="E895" s="712" t="s">
        <v>507</v>
      </c>
      <c r="F895" s="712"/>
      <c r="G895" s="713"/>
      <c r="H895" s="712"/>
      <c r="I895" s="714"/>
      <c r="J895" s="715">
        <f>SUBTOTAL(9,J898:J917)</f>
        <v>0</v>
      </c>
      <c r="K895" s="658"/>
      <c r="L895" s="770">
        <f t="shared" ref="L895:BG895" si="305">SUMPRODUCT($J898:$J917,L898:L917)</f>
        <v>0</v>
      </c>
      <c r="M895" s="771">
        <f t="shared" si="305"/>
        <v>0</v>
      </c>
      <c r="N895" s="771">
        <f t="shared" si="305"/>
        <v>0</v>
      </c>
      <c r="O895" s="771">
        <f t="shared" si="305"/>
        <v>0</v>
      </c>
      <c r="P895" s="771">
        <f t="shared" si="305"/>
        <v>0</v>
      </c>
      <c r="Q895" s="771">
        <f t="shared" si="305"/>
        <v>0</v>
      </c>
      <c r="R895" s="771">
        <f t="shared" si="305"/>
        <v>0</v>
      </c>
      <c r="S895" s="771">
        <f t="shared" si="305"/>
        <v>0</v>
      </c>
      <c r="T895" s="771">
        <f t="shared" si="305"/>
        <v>0</v>
      </c>
      <c r="U895" s="771">
        <f t="shared" si="305"/>
        <v>0</v>
      </c>
      <c r="V895" s="771">
        <f t="shared" si="305"/>
        <v>0</v>
      </c>
      <c r="W895" s="771">
        <f t="shared" si="305"/>
        <v>0</v>
      </c>
      <c r="X895" s="771">
        <f t="shared" si="305"/>
        <v>0</v>
      </c>
      <c r="Y895" s="771">
        <f t="shared" si="305"/>
        <v>0</v>
      </c>
      <c r="Z895" s="771">
        <f t="shared" si="305"/>
        <v>0</v>
      </c>
      <c r="AA895" s="771">
        <f t="shared" si="305"/>
        <v>0</v>
      </c>
      <c r="AB895" s="771">
        <f t="shared" si="305"/>
        <v>0</v>
      </c>
      <c r="AC895" s="771">
        <f t="shared" si="305"/>
        <v>0</v>
      </c>
      <c r="AD895" s="771">
        <f t="shared" si="305"/>
        <v>0</v>
      </c>
      <c r="AE895" s="771">
        <f t="shared" si="305"/>
        <v>0</v>
      </c>
      <c r="AF895" s="771">
        <f t="shared" si="305"/>
        <v>0</v>
      </c>
      <c r="AG895" s="771">
        <f t="shared" si="305"/>
        <v>0</v>
      </c>
      <c r="AH895" s="771">
        <f t="shared" si="305"/>
        <v>0</v>
      </c>
      <c r="AI895" s="771">
        <f t="shared" si="305"/>
        <v>0</v>
      </c>
      <c r="AJ895" s="771">
        <f t="shared" si="305"/>
        <v>0</v>
      </c>
      <c r="AK895" s="771">
        <f t="shared" si="305"/>
        <v>0</v>
      </c>
      <c r="AL895" s="771">
        <f t="shared" si="305"/>
        <v>0</v>
      </c>
      <c r="AM895" s="771">
        <f t="shared" si="305"/>
        <v>0</v>
      </c>
      <c r="AN895" s="771">
        <f t="shared" si="305"/>
        <v>0</v>
      </c>
      <c r="AO895" s="771">
        <f t="shared" si="305"/>
        <v>0</v>
      </c>
      <c r="AP895" s="771">
        <f t="shared" si="305"/>
        <v>0</v>
      </c>
      <c r="AQ895" s="771">
        <f t="shared" si="305"/>
        <v>0</v>
      </c>
      <c r="AR895" s="771">
        <f t="shared" si="305"/>
        <v>0</v>
      </c>
      <c r="AS895" s="771">
        <f t="shared" si="305"/>
        <v>0</v>
      </c>
      <c r="AT895" s="771">
        <f t="shared" si="305"/>
        <v>0</v>
      </c>
      <c r="AU895" s="771">
        <f t="shared" si="305"/>
        <v>0</v>
      </c>
      <c r="AV895" s="771">
        <f t="shared" si="305"/>
        <v>0</v>
      </c>
      <c r="AW895" s="771">
        <f t="shared" si="305"/>
        <v>0</v>
      </c>
      <c r="AX895" s="771">
        <f t="shared" si="305"/>
        <v>0</v>
      </c>
      <c r="AY895" s="771">
        <f t="shared" si="305"/>
        <v>0</v>
      </c>
      <c r="AZ895" s="771">
        <f t="shared" si="305"/>
        <v>0</v>
      </c>
      <c r="BA895" s="771">
        <f t="shared" si="305"/>
        <v>0</v>
      </c>
      <c r="BB895" s="771">
        <f t="shared" si="305"/>
        <v>0</v>
      </c>
      <c r="BC895" s="771">
        <f t="shared" si="305"/>
        <v>0</v>
      </c>
      <c r="BD895" s="771">
        <f t="shared" si="305"/>
        <v>0</v>
      </c>
      <c r="BE895" s="771">
        <f t="shared" si="305"/>
        <v>0</v>
      </c>
      <c r="BF895" s="771">
        <f t="shared" si="305"/>
        <v>0</v>
      </c>
      <c r="BG895" s="764">
        <f t="shared" si="305"/>
        <v>0</v>
      </c>
      <c r="BH895" s="776"/>
      <c r="BI895" s="654"/>
      <c r="BJ895" s="659">
        <f>IFERROR(13/J895,0)</f>
        <v>0</v>
      </c>
      <c r="BK895" s="660">
        <f>SUBTOTAL(9,BK896:BK917)</f>
        <v>0</v>
      </c>
      <c r="BL895" s="654"/>
      <c r="BM895" s="661">
        <f t="shared" ref="BM895:DH895" si="306">SUBTOTAL(9,BM896:BM917)</f>
        <v>0</v>
      </c>
      <c r="BN895" s="662">
        <f t="shared" si="306"/>
        <v>0</v>
      </c>
      <c r="BO895" s="662">
        <f t="shared" si="306"/>
        <v>0</v>
      </c>
      <c r="BP895" s="662">
        <f t="shared" si="306"/>
        <v>0</v>
      </c>
      <c r="BQ895" s="662">
        <f t="shared" si="306"/>
        <v>0</v>
      </c>
      <c r="BR895" s="662">
        <f t="shared" si="306"/>
        <v>0</v>
      </c>
      <c r="BS895" s="662">
        <f t="shared" si="306"/>
        <v>0</v>
      </c>
      <c r="BT895" s="662">
        <f t="shared" si="306"/>
        <v>0</v>
      </c>
      <c r="BU895" s="662">
        <f t="shared" si="306"/>
        <v>0</v>
      </c>
      <c r="BV895" s="662">
        <f t="shared" si="306"/>
        <v>0</v>
      </c>
      <c r="BW895" s="662">
        <f t="shared" si="306"/>
        <v>0</v>
      </c>
      <c r="BX895" s="662">
        <f t="shared" si="306"/>
        <v>0</v>
      </c>
      <c r="BY895" s="662">
        <f t="shared" si="306"/>
        <v>0</v>
      </c>
      <c r="BZ895" s="662">
        <f t="shared" si="306"/>
        <v>0</v>
      </c>
      <c r="CA895" s="662">
        <f t="shared" si="306"/>
        <v>0</v>
      </c>
      <c r="CB895" s="662">
        <f t="shared" si="306"/>
        <v>0</v>
      </c>
      <c r="CC895" s="662">
        <f t="shared" si="306"/>
        <v>0</v>
      </c>
      <c r="CD895" s="662">
        <f t="shared" si="306"/>
        <v>0</v>
      </c>
      <c r="CE895" s="662">
        <f t="shared" si="306"/>
        <v>0</v>
      </c>
      <c r="CF895" s="662">
        <f t="shared" si="306"/>
        <v>0</v>
      </c>
      <c r="CG895" s="662">
        <f t="shared" si="306"/>
        <v>0</v>
      </c>
      <c r="CH895" s="662">
        <f t="shared" si="306"/>
        <v>0</v>
      </c>
      <c r="CI895" s="662">
        <f t="shared" si="306"/>
        <v>0</v>
      </c>
      <c r="CJ895" s="662">
        <f t="shared" si="306"/>
        <v>0</v>
      </c>
      <c r="CK895" s="662">
        <f t="shared" si="306"/>
        <v>0</v>
      </c>
      <c r="CL895" s="662">
        <f t="shared" si="306"/>
        <v>0</v>
      </c>
      <c r="CM895" s="662">
        <f t="shared" si="306"/>
        <v>0</v>
      </c>
      <c r="CN895" s="662">
        <f t="shared" si="306"/>
        <v>0</v>
      </c>
      <c r="CO895" s="662">
        <f t="shared" si="306"/>
        <v>0</v>
      </c>
      <c r="CP895" s="662">
        <f t="shared" si="306"/>
        <v>0</v>
      </c>
      <c r="CQ895" s="662">
        <f t="shared" si="306"/>
        <v>0</v>
      </c>
      <c r="CR895" s="662">
        <f t="shared" si="306"/>
        <v>0</v>
      </c>
      <c r="CS895" s="662">
        <f t="shared" si="306"/>
        <v>0</v>
      </c>
      <c r="CT895" s="662">
        <f t="shared" si="306"/>
        <v>0</v>
      </c>
      <c r="CU895" s="662">
        <f t="shared" si="306"/>
        <v>0</v>
      </c>
      <c r="CV895" s="662">
        <f t="shared" si="306"/>
        <v>0</v>
      </c>
      <c r="CW895" s="662">
        <f t="shared" si="306"/>
        <v>0</v>
      </c>
      <c r="CX895" s="662">
        <f t="shared" si="306"/>
        <v>0</v>
      </c>
      <c r="CY895" s="662">
        <f t="shared" si="306"/>
        <v>0</v>
      </c>
      <c r="CZ895" s="662">
        <f t="shared" si="306"/>
        <v>0</v>
      </c>
      <c r="DA895" s="662">
        <f t="shared" si="306"/>
        <v>0</v>
      </c>
      <c r="DB895" s="662">
        <f t="shared" si="306"/>
        <v>0</v>
      </c>
      <c r="DC895" s="662">
        <f t="shared" si="306"/>
        <v>0</v>
      </c>
      <c r="DD895" s="662">
        <f t="shared" si="306"/>
        <v>0</v>
      </c>
      <c r="DE895" s="662">
        <f t="shared" si="306"/>
        <v>0</v>
      </c>
      <c r="DF895" s="662">
        <f t="shared" si="306"/>
        <v>0</v>
      </c>
      <c r="DG895" s="662">
        <f t="shared" si="306"/>
        <v>0</v>
      </c>
      <c r="DH895" s="663">
        <f t="shared" si="306"/>
        <v>0</v>
      </c>
    </row>
    <row r="896" spans="1:112" s="650" customFormat="1" ht="14.4" hidden="1" outlineLevel="1" thickBot="1" x14ac:dyDescent="0.35">
      <c r="A896" s="652" t="str">
        <f>IF(J895&gt;0,"Imprimir","")</f>
        <v/>
      </c>
      <c r="B896" s="722"/>
      <c r="C896" s="664"/>
      <c r="D896" s="665"/>
      <c r="E896" s="665"/>
      <c r="F896" s="665" t="s">
        <v>472</v>
      </c>
      <c r="G896" s="716" t="s">
        <v>508</v>
      </c>
      <c r="H896" s="665" t="s">
        <v>98</v>
      </c>
      <c r="I896" s="665" t="s">
        <v>509</v>
      </c>
      <c r="J896" s="104" t="s">
        <v>29</v>
      </c>
      <c r="K896" s="723"/>
      <c r="L896" s="745"/>
      <c r="M896" s="741"/>
      <c r="N896" s="741"/>
      <c r="O896" s="741"/>
      <c r="P896" s="741"/>
      <c r="Q896" s="741"/>
      <c r="R896" s="741"/>
      <c r="S896" s="741"/>
      <c r="T896" s="741"/>
      <c r="U896" s="741"/>
      <c r="V896" s="741"/>
      <c r="W896" s="741"/>
      <c r="X896" s="741"/>
      <c r="Y896" s="741"/>
      <c r="Z896" s="741"/>
      <c r="AA896" s="741"/>
      <c r="AB896" s="741"/>
      <c r="AC896" s="741"/>
      <c r="AD896" s="741"/>
      <c r="AE896" s="741"/>
      <c r="AF896" s="741"/>
      <c r="AG896" s="741"/>
      <c r="AH896" s="741"/>
      <c r="AI896" s="741"/>
      <c r="AJ896" s="741"/>
      <c r="AK896" s="741"/>
      <c r="AL896" s="741"/>
      <c r="AM896" s="741"/>
      <c r="AN896" s="741"/>
      <c r="AO896" s="741"/>
      <c r="AP896" s="741"/>
      <c r="AQ896" s="741"/>
      <c r="AR896" s="741"/>
      <c r="AS896" s="741"/>
      <c r="AT896" s="741"/>
      <c r="AU896" s="741"/>
      <c r="AV896" s="741"/>
      <c r="AW896" s="741"/>
      <c r="AX896" s="741"/>
      <c r="AY896" s="741"/>
      <c r="AZ896" s="741"/>
      <c r="BA896" s="741"/>
      <c r="BB896" s="741"/>
      <c r="BC896" s="741"/>
      <c r="BD896" s="741"/>
      <c r="BE896" s="741"/>
      <c r="BF896" s="741"/>
      <c r="BG896" s="741"/>
      <c r="BH896" s="724"/>
      <c r="BI896" s="725"/>
      <c r="BJ896" s="669"/>
      <c r="BK896" s="670"/>
      <c r="BL896" s="725"/>
      <c r="BM896" s="671"/>
      <c r="BN896" s="665"/>
      <c r="BO896" s="665"/>
      <c r="BP896" s="665"/>
      <c r="BQ896" s="665"/>
      <c r="BR896" s="665"/>
      <c r="BS896" s="665"/>
      <c r="BT896" s="665"/>
      <c r="BU896" s="665"/>
      <c r="BV896" s="665"/>
      <c r="BW896" s="665"/>
      <c r="BX896" s="665"/>
      <c r="BY896" s="665"/>
      <c r="BZ896" s="665"/>
      <c r="CA896" s="665"/>
      <c r="CB896" s="665"/>
      <c r="CC896" s="665"/>
      <c r="CD896" s="665"/>
      <c r="CE896" s="665"/>
      <c r="CF896" s="665"/>
      <c r="CG896" s="665"/>
      <c r="CH896" s="665"/>
      <c r="CI896" s="665"/>
      <c r="CJ896" s="665"/>
      <c r="CK896" s="665"/>
      <c r="CL896" s="665"/>
      <c r="CM896" s="665"/>
      <c r="CN896" s="665"/>
      <c r="CO896" s="665"/>
      <c r="CP896" s="665"/>
      <c r="CQ896" s="665"/>
      <c r="CR896" s="665"/>
      <c r="CS896" s="665"/>
      <c r="CT896" s="665"/>
      <c r="CU896" s="665"/>
      <c r="CV896" s="665"/>
      <c r="CW896" s="665"/>
      <c r="CX896" s="665"/>
      <c r="CY896" s="665"/>
      <c r="CZ896" s="665"/>
      <c r="DA896" s="665"/>
      <c r="DB896" s="665"/>
      <c r="DC896" s="665"/>
      <c r="DD896" s="665"/>
      <c r="DE896" s="665"/>
      <c r="DF896" s="665"/>
      <c r="DG896" s="665"/>
      <c r="DH896" s="666"/>
    </row>
    <row r="897" spans="1:112" s="649" customFormat="1" ht="16.2" hidden="1" outlineLevel="1" thickBot="1" x14ac:dyDescent="0.35">
      <c r="A897" s="652" t="str">
        <f>IF(J897&gt;0,"Imprimir","")</f>
        <v/>
      </c>
      <c r="B897" s="652"/>
      <c r="C897" s="672"/>
      <c r="D897" s="673"/>
      <c r="E897" s="674"/>
      <c r="F897" s="675"/>
      <c r="G897" s="726"/>
      <c r="H897" s="676"/>
      <c r="I897" s="677"/>
      <c r="J897" s="219">
        <f>SUBTOTAL(9,J898:J917)</f>
        <v>0</v>
      </c>
      <c r="K897" s="678"/>
      <c r="L897" s="747"/>
      <c r="M897" s="742"/>
      <c r="N897" s="742"/>
      <c r="O897" s="742"/>
      <c r="P897" s="742"/>
      <c r="Q897" s="742"/>
      <c r="R897" s="742"/>
      <c r="S897" s="742"/>
      <c r="T897" s="742"/>
      <c r="U897" s="742"/>
      <c r="V897" s="742"/>
      <c r="W897" s="742"/>
      <c r="X897" s="742"/>
      <c r="Y897" s="742"/>
      <c r="Z897" s="742"/>
      <c r="AA897" s="742"/>
      <c r="AB897" s="742"/>
      <c r="AC897" s="742"/>
      <c r="AD897" s="742"/>
      <c r="AE897" s="742"/>
      <c r="AF897" s="742"/>
      <c r="AG897" s="742"/>
      <c r="AH897" s="742"/>
      <c r="AI897" s="742"/>
      <c r="AJ897" s="742"/>
      <c r="AK897" s="742"/>
      <c r="AL897" s="742"/>
      <c r="AM897" s="742"/>
      <c r="AN897" s="742"/>
      <c r="AO897" s="742"/>
      <c r="AP897" s="742"/>
      <c r="AQ897" s="742"/>
      <c r="AR897" s="742"/>
      <c r="AS897" s="742"/>
      <c r="AT897" s="742"/>
      <c r="AU897" s="742"/>
      <c r="AV897" s="742"/>
      <c r="AW897" s="742"/>
      <c r="AX897" s="742"/>
      <c r="AY897" s="742"/>
      <c r="AZ897" s="742"/>
      <c r="BA897" s="742"/>
      <c r="BB897" s="742"/>
      <c r="BC897" s="742"/>
      <c r="BD897" s="742"/>
      <c r="BE897" s="742"/>
      <c r="BF897" s="742"/>
      <c r="BG897" s="742"/>
      <c r="BH897" s="668"/>
      <c r="BI897" s="654"/>
      <c r="BJ897" s="729"/>
      <c r="BK897" s="681"/>
      <c r="BL897" s="654"/>
      <c r="BM897" s="682"/>
      <c r="BN897" s="683"/>
      <c r="BO897" s="683"/>
      <c r="BP897" s="683"/>
      <c r="BQ897" s="683"/>
      <c r="BR897" s="683"/>
      <c r="BS897" s="683"/>
      <c r="BT897" s="683"/>
      <c r="BU897" s="683"/>
      <c r="BV897" s="683"/>
      <c r="BW897" s="683"/>
      <c r="BX897" s="683"/>
      <c r="BY897" s="683"/>
      <c r="BZ897" s="683"/>
      <c r="CA897" s="683"/>
      <c r="CB897" s="683"/>
      <c r="CC897" s="683"/>
      <c r="CD897" s="683"/>
      <c r="CE897" s="683"/>
      <c r="CF897" s="683"/>
      <c r="CG897" s="683"/>
      <c r="CH897" s="683"/>
      <c r="CI897" s="683"/>
      <c r="CJ897" s="683"/>
      <c r="CK897" s="683"/>
      <c r="CL897" s="683"/>
      <c r="CM897" s="683"/>
      <c r="CN897" s="683"/>
      <c r="CO897" s="683"/>
      <c r="CP897" s="683"/>
      <c r="CQ897" s="683"/>
      <c r="CR897" s="683"/>
      <c r="CS897" s="683"/>
      <c r="CT897" s="683"/>
      <c r="CU897" s="683"/>
      <c r="CV897" s="683"/>
      <c r="CW897" s="683"/>
      <c r="CX897" s="683"/>
      <c r="CY897" s="683"/>
      <c r="CZ897" s="683"/>
      <c r="DA897" s="683"/>
      <c r="DB897" s="683"/>
      <c r="DC897" s="683"/>
      <c r="DD897" s="683"/>
      <c r="DE897" s="683"/>
      <c r="DF897" s="683"/>
      <c r="DG897" s="683"/>
      <c r="DH897" s="684"/>
    </row>
    <row r="898" spans="1:112" s="649" customFormat="1" ht="14.4" hidden="1" outlineLevel="1" thickBot="1" x14ac:dyDescent="0.35">
      <c r="A898" s="652" t="str">
        <f t="shared" ref="A898:A916" si="307">IF(J898="","",IF(J898=0,"","Imprimir"))</f>
        <v/>
      </c>
      <c r="B898" s="652"/>
      <c r="C898" s="685"/>
      <c r="D898" s="686" t="s">
        <v>2866</v>
      </c>
      <c r="E898" s="686"/>
      <c r="F898" s="720"/>
      <c r="G898" s="688"/>
      <c r="H898" s="689"/>
      <c r="I898" s="851" t="str">
        <f t="shared" ref="I898:I916" si="308">IF(E898&gt;0,$J$5,"")</f>
        <v/>
      </c>
      <c r="J898" s="850" t="str">
        <f t="shared" ref="J898:J916" si="309">IFERROR(G898*H898*I898,"")</f>
        <v/>
      </c>
      <c r="K898" s="667"/>
      <c r="L898" s="858"/>
      <c r="M898" s="859"/>
      <c r="N898" s="859"/>
      <c r="O898" s="859"/>
      <c r="P898" s="859"/>
      <c r="Q898" s="859"/>
      <c r="R898" s="859"/>
      <c r="S898" s="859"/>
      <c r="T898" s="859"/>
      <c r="U898" s="859"/>
      <c r="V898" s="859"/>
      <c r="W898" s="859"/>
      <c r="X898" s="859"/>
      <c r="Y898" s="859"/>
      <c r="Z898" s="860"/>
      <c r="AA898" s="860"/>
      <c r="AB898" s="860"/>
      <c r="AC898" s="860"/>
      <c r="AD898" s="860"/>
      <c r="AE898" s="860"/>
      <c r="AF898" s="860"/>
      <c r="AG898" s="860"/>
      <c r="AH898" s="860"/>
      <c r="AI898" s="860"/>
      <c r="AJ898" s="860"/>
      <c r="AK898" s="860"/>
      <c r="AL898" s="860"/>
      <c r="AM898" s="860"/>
      <c r="AN898" s="860"/>
      <c r="AO898" s="860"/>
      <c r="AP898" s="860"/>
      <c r="AQ898" s="860"/>
      <c r="AR898" s="860"/>
      <c r="AS898" s="860"/>
      <c r="AT898" s="860"/>
      <c r="AU898" s="860"/>
      <c r="AV898" s="860"/>
      <c r="AW898" s="860"/>
      <c r="AX898" s="860"/>
      <c r="AY898" s="860"/>
      <c r="AZ898" s="860"/>
      <c r="BA898" s="860"/>
      <c r="BB898" s="860"/>
      <c r="BC898" s="860"/>
      <c r="BD898" s="860"/>
      <c r="BE898" s="860"/>
      <c r="BF898" s="860"/>
      <c r="BG898" s="860"/>
      <c r="BH898" s="668"/>
      <c r="BI898" s="667"/>
      <c r="BJ898" s="690">
        <f t="shared" ref="BJ898:BJ916" si="310">IFERROR(BK898/J898,0)</f>
        <v>0</v>
      </c>
      <c r="BK898" s="691">
        <f t="shared" ref="BK898:BK916" si="311">SUM(BM898:DH898)</f>
        <v>0</v>
      </c>
      <c r="BL898" s="654"/>
      <c r="BM898" s="692">
        <f>SUMIFS(Imput[[Importe Neto]:[Importe Neto]],Imput[[C. Imp.]:[C. Imp.]],$D898,Imput[[PERIODO Imp.]:[PERIODO Imp.]],BM$9)</f>
        <v>0</v>
      </c>
      <c r="BN898" s="693">
        <f>SUMIFS(Imput[[Importe Neto]:[Importe Neto]],Imput[[C. Imp.]:[C. Imp.]],$D898,Imput[[PERIODO Imp.]:[PERIODO Imp.]],BN$9)</f>
        <v>0</v>
      </c>
      <c r="BO898" s="693">
        <f>SUMIFS(Imput[[Importe Neto]:[Importe Neto]],Imput[[C. Imp.]:[C. Imp.]],$D898,Imput[[PERIODO Imp.]:[PERIODO Imp.]],BO$9)</f>
        <v>0</v>
      </c>
      <c r="BP898" s="693">
        <f>SUMIFS(Imput[[Importe Neto]:[Importe Neto]],Imput[[C. Imp.]:[C. Imp.]],$D898,Imput[[PERIODO Imp.]:[PERIODO Imp.]],BP$9)</f>
        <v>0</v>
      </c>
      <c r="BQ898" s="693">
        <f>SUMIFS(Imput[[Importe Neto]:[Importe Neto]],Imput[[C. Imp.]:[C. Imp.]],$D898,Imput[[PERIODO Imp.]:[PERIODO Imp.]],BQ$9)</f>
        <v>0</v>
      </c>
      <c r="BR898" s="693">
        <f>SUMIFS(Imput[[Importe Neto]:[Importe Neto]],Imput[[C. Imp.]:[C. Imp.]],$D898,Imput[[PERIODO Imp.]:[PERIODO Imp.]],BR$9)</f>
        <v>0</v>
      </c>
      <c r="BS898" s="693">
        <f>SUMIFS(Imput[[Importe Neto]:[Importe Neto]],Imput[[C. Imp.]:[C. Imp.]],$D898,Imput[[PERIODO Imp.]:[PERIODO Imp.]],BS$9)</f>
        <v>0</v>
      </c>
      <c r="BT898" s="693">
        <f>SUMIFS(Imput[[Importe Neto]:[Importe Neto]],Imput[[C. Imp.]:[C. Imp.]],$D898,Imput[[PERIODO Imp.]:[PERIODO Imp.]],BT$9)</f>
        <v>0</v>
      </c>
      <c r="BU898" s="693">
        <f>SUMIFS(Imput[[Importe Neto]:[Importe Neto]],Imput[[C. Imp.]:[C. Imp.]],$D898,Imput[[PERIODO Imp.]:[PERIODO Imp.]],BU$9)</f>
        <v>0</v>
      </c>
      <c r="BV898" s="693">
        <f>SUMIFS(Imput[[Importe Neto]:[Importe Neto]],Imput[[C. Imp.]:[C. Imp.]],$D898,Imput[[PERIODO Imp.]:[PERIODO Imp.]],BV$9)</f>
        <v>0</v>
      </c>
      <c r="BW898" s="693">
        <f>SUMIFS(Imput[[Importe Neto]:[Importe Neto]],Imput[[C. Imp.]:[C. Imp.]],$D898,Imput[[PERIODO Imp.]:[PERIODO Imp.]],BW$9)</f>
        <v>0</v>
      </c>
      <c r="BX898" s="693">
        <f>SUMIFS(Imput[[Importe Neto]:[Importe Neto]],Imput[[C. Imp.]:[C. Imp.]],$D898,Imput[[PERIODO Imp.]:[PERIODO Imp.]],BX$9)</f>
        <v>0</v>
      </c>
      <c r="BY898" s="693">
        <f>SUMIFS(Imput[[Importe Neto]:[Importe Neto]],Imput[[C. Imp.]:[C. Imp.]],$D898,Imput[[PERIODO Imp.]:[PERIODO Imp.]],BY$9)</f>
        <v>0</v>
      </c>
      <c r="BZ898" s="693">
        <f>SUMIFS(Imput[[Importe Neto]:[Importe Neto]],Imput[[C. Imp.]:[C. Imp.]],$D898,Imput[[PERIODO Imp.]:[PERIODO Imp.]],BZ$9)</f>
        <v>0</v>
      </c>
      <c r="CA898" s="693">
        <f>SUMIFS(Imput[[Importe Neto]:[Importe Neto]],Imput[[C. Imp.]:[C. Imp.]],$D898,Imput[[PERIODO Imp.]:[PERIODO Imp.]],CA$9)</f>
        <v>0</v>
      </c>
      <c r="CB898" s="693">
        <f>SUMIFS(Imput[[Importe Neto]:[Importe Neto]],Imput[[C. Imp.]:[C. Imp.]],$D898,Imput[[PERIODO Imp.]:[PERIODO Imp.]],CB$9)</f>
        <v>0</v>
      </c>
      <c r="CC898" s="693">
        <f>SUMIFS(Imput[[Importe Neto]:[Importe Neto]],Imput[[C. Imp.]:[C. Imp.]],$D898,Imput[[PERIODO Imp.]:[PERIODO Imp.]],CC$9)</f>
        <v>0</v>
      </c>
      <c r="CD898" s="693">
        <f>SUMIFS(Imput[[Importe Neto]:[Importe Neto]],Imput[[C. Imp.]:[C. Imp.]],$D898,Imput[[PERIODO Imp.]:[PERIODO Imp.]],CD$9)</f>
        <v>0</v>
      </c>
      <c r="CE898" s="693">
        <f>SUMIFS(Imput[[Importe Neto]:[Importe Neto]],Imput[[C. Imp.]:[C. Imp.]],$D898,Imput[[PERIODO Imp.]:[PERIODO Imp.]],CE$9)</f>
        <v>0</v>
      </c>
      <c r="CF898" s="693">
        <f>SUMIFS(Imput[[Importe Neto]:[Importe Neto]],Imput[[C. Imp.]:[C. Imp.]],$D898,Imput[[PERIODO Imp.]:[PERIODO Imp.]],CF$9)</f>
        <v>0</v>
      </c>
      <c r="CG898" s="693">
        <f>SUMIFS(Imput[[Importe Neto]:[Importe Neto]],Imput[[C. Imp.]:[C. Imp.]],$D898,Imput[[PERIODO Imp.]:[PERIODO Imp.]],CG$9)</f>
        <v>0</v>
      </c>
      <c r="CH898" s="693">
        <f>SUMIFS(Imput[[Importe Neto]:[Importe Neto]],Imput[[C. Imp.]:[C. Imp.]],$D898,Imput[[PERIODO Imp.]:[PERIODO Imp.]],CH$9)</f>
        <v>0</v>
      </c>
      <c r="CI898" s="693">
        <f>SUMIFS(Imput[[Importe Neto]:[Importe Neto]],Imput[[C. Imp.]:[C. Imp.]],$D898,Imput[[PERIODO Imp.]:[PERIODO Imp.]],CI$9)</f>
        <v>0</v>
      </c>
      <c r="CJ898" s="693">
        <f>SUMIFS(Imput[[Importe Neto]:[Importe Neto]],Imput[[C. Imp.]:[C. Imp.]],$D898,Imput[[PERIODO Imp.]:[PERIODO Imp.]],CJ$9)</f>
        <v>0</v>
      </c>
      <c r="CK898" s="693">
        <f>SUMIFS(Imput[[Importe Neto]:[Importe Neto]],Imput[[C. Imp.]:[C. Imp.]],$D898,Imput[[PERIODO Imp.]:[PERIODO Imp.]],CK$9)</f>
        <v>0</v>
      </c>
      <c r="CL898" s="693">
        <f>SUMIFS(Imput[[Importe Neto]:[Importe Neto]],Imput[[C. Imp.]:[C. Imp.]],$D898,Imput[[PERIODO Imp.]:[PERIODO Imp.]],CL$9)</f>
        <v>0</v>
      </c>
      <c r="CM898" s="693">
        <f>SUMIFS(Imput[[Importe Neto]:[Importe Neto]],Imput[[C. Imp.]:[C. Imp.]],$D898,Imput[[PERIODO Imp.]:[PERIODO Imp.]],CM$9)</f>
        <v>0</v>
      </c>
      <c r="CN898" s="693">
        <f>SUMIFS(Imput[[Importe Neto]:[Importe Neto]],Imput[[C. Imp.]:[C. Imp.]],$D898,Imput[[PERIODO Imp.]:[PERIODO Imp.]],CN$9)</f>
        <v>0</v>
      </c>
      <c r="CO898" s="693">
        <f>SUMIFS(Imput[[Importe Neto]:[Importe Neto]],Imput[[C. Imp.]:[C. Imp.]],$D898,Imput[[PERIODO Imp.]:[PERIODO Imp.]],CO$9)</f>
        <v>0</v>
      </c>
      <c r="CP898" s="693">
        <f>SUMIFS(Imput[[Importe Neto]:[Importe Neto]],Imput[[C. Imp.]:[C. Imp.]],$D898,Imput[[PERIODO Imp.]:[PERIODO Imp.]],CP$9)</f>
        <v>0</v>
      </c>
      <c r="CQ898" s="693">
        <f>SUMIFS(Imput[[Importe Neto]:[Importe Neto]],Imput[[C. Imp.]:[C. Imp.]],$D898,Imput[[PERIODO Imp.]:[PERIODO Imp.]],CQ$9)</f>
        <v>0</v>
      </c>
      <c r="CR898" s="693">
        <f>SUMIFS(Imput[[Importe Neto]:[Importe Neto]],Imput[[C. Imp.]:[C. Imp.]],$D898,Imput[[PERIODO Imp.]:[PERIODO Imp.]],CR$9)</f>
        <v>0</v>
      </c>
      <c r="CS898" s="693">
        <f>SUMIFS(Imput[[Importe Neto]:[Importe Neto]],Imput[[C. Imp.]:[C. Imp.]],$D898,Imput[[PERIODO Imp.]:[PERIODO Imp.]],CS$9)</f>
        <v>0</v>
      </c>
      <c r="CT898" s="693">
        <f>SUMIFS(Imput[[Importe Neto]:[Importe Neto]],Imput[[C. Imp.]:[C. Imp.]],$D898,Imput[[PERIODO Imp.]:[PERIODO Imp.]],CT$9)</f>
        <v>0</v>
      </c>
      <c r="CU898" s="693">
        <f>SUMIFS(Imput[[Importe Neto]:[Importe Neto]],Imput[[C. Imp.]:[C. Imp.]],$D898,Imput[[PERIODO Imp.]:[PERIODO Imp.]],CU$9)</f>
        <v>0</v>
      </c>
      <c r="CV898" s="693">
        <f>SUMIFS(Imput[[Importe Neto]:[Importe Neto]],Imput[[C. Imp.]:[C. Imp.]],$D898,Imput[[PERIODO Imp.]:[PERIODO Imp.]],CV$9)</f>
        <v>0</v>
      </c>
      <c r="CW898" s="693">
        <f>SUMIFS(Imput[[Importe Neto]:[Importe Neto]],Imput[[C. Imp.]:[C. Imp.]],$D898,Imput[[PERIODO Imp.]:[PERIODO Imp.]],CW$9)</f>
        <v>0</v>
      </c>
      <c r="CX898" s="693">
        <f>SUMIFS(Imput[[Importe Neto]:[Importe Neto]],Imput[[C. Imp.]:[C. Imp.]],$D898,Imput[[PERIODO Imp.]:[PERIODO Imp.]],CX$9)</f>
        <v>0</v>
      </c>
      <c r="CY898" s="693">
        <f>SUMIFS(Imput[[Importe Neto]:[Importe Neto]],Imput[[C. Imp.]:[C. Imp.]],$D898,Imput[[PERIODO Imp.]:[PERIODO Imp.]],CY$9)</f>
        <v>0</v>
      </c>
      <c r="CZ898" s="693">
        <f>SUMIFS(Imput[[Importe Neto]:[Importe Neto]],Imput[[C. Imp.]:[C. Imp.]],$D898,Imput[[PERIODO Imp.]:[PERIODO Imp.]],CZ$9)</f>
        <v>0</v>
      </c>
      <c r="DA898" s="693">
        <f>SUMIFS(Imput[[Importe Neto]:[Importe Neto]],Imput[[C. Imp.]:[C. Imp.]],$D898,Imput[[PERIODO Imp.]:[PERIODO Imp.]],DA$9)</f>
        <v>0</v>
      </c>
      <c r="DB898" s="693">
        <f>SUMIFS(Imput[[Importe Neto]:[Importe Neto]],Imput[[C. Imp.]:[C. Imp.]],$D898,Imput[[PERIODO Imp.]:[PERIODO Imp.]],DB$9)</f>
        <v>0</v>
      </c>
      <c r="DC898" s="693">
        <f>SUMIFS(Imput[[Importe Neto]:[Importe Neto]],Imput[[C. Imp.]:[C. Imp.]],$D898,Imput[[PERIODO Imp.]:[PERIODO Imp.]],DC$9)</f>
        <v>0</v>
      </c>
      <c r="DD898" s="693">
        <f>SUMIFS(Imput[[Importe Neto]:[Importe Neto]],Imput[[C. Imp.]:[C. Imp.]],$D898,Imput[[PERIODO Imp.]:[PERIODO Imp.]],DD$9)</f>
        <v>0</v>
      </c>
      <c r="DE898" s="693">
        <f>SUMIFS(Imput[[Importe Neto]:[Importe Neto]],Imput[[C. Imp.]:[C. Imp.]],$D898,Imput[[PERIODO Imp.]:[PERIODO Imp.]],DE$9)</f>
        <v>0</v>
      </c>
      <c r="DF898" s="693">
        <f>SUMIFS(Imput[[Importe Neto]:[Importe Neto]],Imput[[C. Imp.]:[C. Imp.]],$D898,Imput[[PERIODO Imp.]:[PERIODO Imp.]],DF$9)</f>
        <v>0</v>
      </c>
      <c r="DG898" s="693">
        <f>SUMIFS(Imput[[Importe Neto]:[Importe Neto]],Imput[[C. Imp.]:[C. Imp.]],$D898,Imput[[PERIODO Imp.]:[PERIODO Imp.]],DG$9)</f>
        <v>0</v>
      </c>
      <c r="DH898" s="694">
        <f>SUMIFS(Imput[[Importe Neto]:[Importe Neto]],Imput[[C. Imp.]:[C. Imp.]],$D898,Imput[[PERIODO Imp.]:[PERIODO Imp.]],DH$9)</f>
        <v>0</v>
      </c>
    </row>
    <row r="899" spans="1:112" s="649" customFormat="1" ht="14.4" hidden="1" outlineLevel="1" thickBot="1" x14ac:dyDescent="0.35">
      <c r="A899" s="652" t="str">
        <f t="shared" si="307"/>
        <v/>
      </c>
      <c r="B899" s="652"/>
      <c r="C899" s="685"/>
      <c r="D899" s="686" t="s">
        <v>2867</v>
      </c>
      <c r="E899" s="686"/>
      <c r="F899" s="720"/>
      <c r="G899" s="688"/>
      <c r="H899" s="689"/>
      <c r="I899" s="851" t="str">
        <f t="shared" si="308"/>
        <v/>
      </c>
      <c r="J899" s="850" t="str">
        <f t="shared" si="309"/>
        <v/>
      </c>
      <c r="K899" s="667"/>
      <c r="L899" s="858"/>
      <c r="M899" s="859"/>
      <c r="N899" s="859"/>
      <c r="O899" s="859"/>
      <c r="P899" s="859"/>
      <c r="Q899" s="859"/>
      <c r="R899" s="859"/>
      <c r="S899" s="859"/>
      <c r="T899" s="859"/>
      <c r="U899" s="859"/>
      <c r="V899" s="859"/>
      <c r="W899" s="859"/>
      <c r="X899" s="859"/>
      <c r="Y899" s="859"/>
      <c r="Z899" s="860"/>
      <c r="AA899" s="860"/>
      <c r="AB899" s="860"/>
      <c r="AC899" s="860"/>
      <c r="AD899" s="860"/>
      <c r="AE899" s="860"/>
      <c r="AF899" s="860"/>
      <c r="AG899" s="860"/>
      <c r="AH899" s="860"/>
      <c r="AI899" s="860"/>
      <c r="AJ899" s="860"/>
      <c r="AK899" s="860"/>
      <c r="AL899" s="860"/>
      <c r="AM899" s="860"/>
      <c r="AN899" s="860"/>
      <c r="AO899" s="860"/>
      <c r="AP899" s="860"/>
      <c r="AQ899" s="860"/>
      <c r="AR899" s="860"/>
      <c r="AS899" s="860"/>
      <c r="AT899" s="860"/>
      <c r="AU899" s="860"/>
      <c r="AV899" s="860"/>
      <c r="AW899" s="860"/>
      <c r="AX899" s="860"/>
      <c r="AY899" s="860"/>
      <c r="AZ899" s="860"/>
      <c r="BA899" s="860"/>
      <c r="BB899" s="860"/>
      <c r="BC899" s="860"/>
      <c r="BD899" s="860"/>
      <c r="BE899" s="860"/>
      <c r="BF899" s="860"/>
      <c r="BG899" s="860"/>
      <c r="BH899" s="668"/>
      <c r="BI899" s="667"/>
      <c r="BJ899" s="690">
        <f t="shared" si="310"/>
        <v>0</v>
      </c>
      <c r="BK899" s="691">
        <f t="shared" si="311"/>
        <v>0</v>
      </c>
      <c r="BL899" s="654"/>
      <c r="BM899" s="692">
        <f>SUMIFS(Imput[[Importe Neto]:[Importe Neto]],Imput[[C. Imp.]:[C. Imp.]],$D899,Imput[[PERIODO Imp.]:[PERIODO Imp.]],BM$9)</f>
        <v>0</v>
      </c>
      <c r="BN899" s="693">
        <f>SUMIFS(Imput[[Importe Neto]:[Importe Neto]],Imput[[C. Imp.]:[C. Imp.]],$D899,Imput[[PERIODO Imp.]:[PERIODO Imp.]],BN$9)</f>
        <v>0</v>
      </c>
      <c r="BO899" s="693">
        <f>SUMIFS(Imput[[Importe Neto]:[Importe Neto]],Imput[[C. Imp.]:[C. Imp.]],$D899,Imput[[PERIODO Imp.]:[PERIODO Imp.]],BO$9)</f>
        <v>0</v>
      </c>
      <c r="BP899" s="693">
        <f>SUMIFS(Imput[[Importe Neto]:[Importe Neto]],Imput[[C. Imp.]:[C. Imp.]],$D899,Imput[[PERIODO Imp.]:[PERIODO Imp.]],BP$9)</f>
        <v>0</v>
      </c>
      <c r="BQ899" s="693">
        <f>SUMIFS(Imput[[Importe Neto]:[Importe Neto]],Imput[[C. Imp.]:[C. Imp.]],$D899,Imput[[PERIODO Imp.]:[PERIODO Imp.]],BQ$9)</f>
        <v>0</v>
      </c>
      <c r="BR899" s="693">
        <f>SUMIFS(Imput[[Importe Neto]:[Importe Neto]],Imput[[C. Imp.]:[C. Imp.]],$D899,Imput[[PERIODO Imp.]:[PERIODO Imp.]],BR$9)</f>
        <v>0</v>
      </c>
      <c r="BS899" s="693">
        <f>SUMIFS(Imput[[Importe Neto]:[Importe Neto]],Imput[[C. Imp.]:[C. Imp.]],$D899,Imput[[PERIODO Imp.]:[PERIODO Imp.]],BS$9)</f>
        <v>0</v>
      </c>
      <c r="BT899" s="693">
        <f>SUMIFS(Imput[[Importe Neto]:[Importe Neto]],Imput[[C. Imp.]:[C. Imp.]],$D899,Imput[[PERIODO Imp.]:[PERIODO Imp.]],BT$9)</f>
        <v>0</v>
      </c>
      <c r="BU899" s="693">
        <f>SUMIFS(Imput[[Importe Neto]:[Importe Neto]],Imput[[C. Imp.]:[C. Imp.]],$D899,Imput[[PERIODO Imp.]:[PERIODO Imp.]],BU$9)</f>
        <v>0</v>
      </c>
      <c r="BV899" s="693">
        <f>SUMIFS(Imput[[Importe Neto]:[Importe Neto]],Imput[[C. Imp.]:[C. Imp.]],$D899,Imput[[PERIODO Imp.]:[PERIODO Imp.]],BV$9)</f>
        <v>0</v>
      </c>
      <c r="BW899" s="693">
        <f>SUMIFS(Imput[[Importe Neto]:[Importe Neto]],Imput[[C. Imp.]:[C. Imp.]],$D899,Imput[[PERIODO Imp.]:[PERIODO Imp.]],BW$9)</f>
        <v>0</v>
      </c>
      <c r="BX899" s="693">
        <f>SUMIFS(Imput[[Importe Neto]:[Importe Neto]],Imput[[C. Imp.]:[C. Imp.]],$D899,Imput[[PERIODO Imp.]:[PERIODO Imp.]],BX$9)</f>
        <v>0</v>
      </c>
      <c r="BY899" s="693">
        <f>SUMIFS(Imput[[Importe Neto]:[Importe Neto]],Imput[[C. Imp.]:[C. Imp.]],$D899,Imput[[PERIODO Imp.]:[PERIODO Imp.]],BY$9)</f>
        <v>0</v>
      </c>
      <c r="BZ899" s="693">
        <f>SUMIFS(Imput[[Importe Neto]:[Importe Neto]],Imput[[C. Imp.]:[C. Imp.]],$D899,Imput[[PERIODO Imp.]:[PERIODO Imp.]],BZ$9)</f>
        <v>0</v>
      </c>
      <c r="CA899" s="693">
        <f>SUMIFS(Imput[[Importe Neto]:[Importe Neto]],Imput[[C. Imp.]:[C. Imp.]],$D899,Imput[[PERIODO Imp.]:[PERIODO Imp.]],CA$9)</f>
        <v>0</v>
      </c>
      <c r="CB899" s="693">
        <f>SUMIFS(Imput[[Importe Neto]:[Importe Neto]],Imput[[C. Imp.]:[C. Imp.]],$D899,Imput[[PERIODO Imp.]:[PERIODO Imp.]],CB$9)</f>
        <v>0</v>
      </c>
      <c r="CC899" s="693">
        <f>SUMIFS(Imput[[Importe Neto]:[Importe Neto]],Imput[[C. Imp.]:[C. Imp.]],$D899,Imput[[PERIODO Imp.]:[PERIODO Imp.]],CC$9)</f>
        <v>0</v>
      </c>
      <c r="CD899" s="693">
        <f>SUMIFS(Imput[[Importe Neto]:[Importe Neto]],Imput[[C. Imp.]:[C. Imp.]],$D899,Imput[[PERIODO Imp.]:[PERIODO Imp.]],CD$9)</f>
        <v>0</v>
      </c>
      <c r="CE899" s="693">
        <f>SUMIFS(Imput[[Importe Neto]:[Importe Neto]],Imput[[C. Imp.]:[C. Imp.]],$D899,Imput[[PERIODO Imp.]:[PERIODO Imp.]],CE$9)</f>
        <v>0</v>
      </c>
      <c r="CF899" s="693">
        <f>SUMIFS(Imput[[Importe Neto]:[Importe Neto]],Imput[[C. Imp.]:[C. Imp.]],$D899,Imput[[PERIODO Imp.]:[PERIODO Imp.]],CF$9)</f>
        <v>0</v>
      </c>
      <c r="CG899" s="693">
        <f>SUMIFS(Imput[[Importe Neto]:[Importe Neto]],Imput[[C. Imp.]:[C. Imp.]],$D899,Imput[[PERIODO Imp.]:[PERIODO Imp.]],CG$9)</f>
        <v>0</v>
      </c>
      <c r="CH899" s="693">
        <f>SUMIFS(Imput[[Importe Neto]:[Importe Neto]],Imput[[C. Imp.]:[C. Imp.]],$D899,Imput[[PERIODO Imp.]:[PERIODO Imp.]],CH$9)</f>
        <v>0</v>
      </c>
      <c r="CI899" s="693">
        <f>SUMIFS(Imput[[Importe Neto]:[Importe Neto]],Imput[[C. Imp.]:[C. Imp.]],$D899,Imput[[PERIODO Imp.]:[PERIODO Imp.]],CI$9)</f>
        <v>0</v>
      </c>
      <c r="CJ899" s="693">
        <f>SUMIFS(Imput[[Importe Neto]:[Importe Neto]],Imput[[C. Imp.]:[C. Imp.]],$D899,Imput[[PERIODO Imp.]:[PERIODO Imp.]],CJ$9)</f>
        <v>0</v>
      </c>
      <c r="CK899" s="693">
        <f>SUMIFS(Imput[[Importe Neto]:[Importe Neto]],Imput[[C. Imp.]:[C. Imp.]],$D899,Imput[[PERIODO Imp.]:[PERIODO Imp.]],CK$9)</f>
        <v>0</v>
      </c>
      <c r="CL899" s="693">
        <f>SUMIFS(Imput[[Importe Neto]:[Importe Neto]],Imput[[C. Imp.]:[C. Imp.]],$D899,Imput[[PERIODO Imp.]:[PERIODO Imp.]],CL$9)</f>
        <v>0</v>
      </c>
      <c r="CM899" s="693">
        <f>SUMIFS(Imput[[Importe Neto]:[Importe Neto]],Imput[[C. Imp.]:[C. Imp.]],$D899,Imput[[PERIODO Imp.]:[PERIODO Imp.]],CM$9)</f>
        <v>0</v>
      </c>
      <c r="CN899" s="693">
        <f>SUMIFS(Imput[[Importe Neto]:[Importe Neto]],Imput[[C. Imp.]:[C. Imp.]],$D899,Imput[[PERIODO Imp.]:[PERIODO Imp.]],CN$9)</f>
        <v>0</v>
      </c>
      <c r="CO899" s="693">
        <f>SUMIFS(Imput[[Importe Neto]:[Importe Neto]],Imput[[C. Imp.]:[C. Imp.]],$D899,Imput[[PERIODO Imp.]:[PERIODO Imp.]],CO$9)</f>
        <v>0</v>
      </c>
      <c r="CP899" s="693">
        <f>SUMIFS(Imput[[Importe Neto]:[Importe Neto]],Imput[[C. Imp.]:[C. Imp.]],$D899,Imput[[PERIODO Imp.]:[PERIODO Imp.]],CP$9)</f>
        <v>0</v>
      </c>
      <c r="CQ899" s="693">
        <f>SUMIFS(Imput[[Importe Neto]:[Importe Neto]],Imput[[C. Imp.]:[C. Imp.]],$D899,Imput[[PERIODO Imp.]:[PERIODO Imp.]],CQ$9)</f>
        <v>0</v>
      </c>
      <c r="CR899" s="693">
        <f>SUMIFS(Imput[[Importe Neto]:[Importe Neto]],Imput[[C. Imp.]:[C. Imp.]],$D899,Imput[[PERIODO Imp.]:[PERIODO Imp.]],CR$9)</f>
        <v>0</v>
      </c>
      <c r="CS899" s="693">
        <f>SUMIFS(Imput[[Importe Neto]:[Importe Neto]],Imput[[C. Imp.]:[C. Imp.]],$D899,Imput[[PERIODO Imp.]:[PERIODO Imp.]],CS$9)</f>
        <v>0</v>
      </c>
      <c r="CT899" s="693">
        <f>SUMIFS(Imput[[Importe Neto]:[Importe Neto]],Imput[[C. Imp.]:[C. Imp.]],$D899,Imput[[PERIODO Imp.]:[PERIODO Imp.]],CT$9)</f>
        <v>0</v>
      </c>
      <c r="CU899" s="693">
        <f>SUMIFS(Imput[[Importe Neto]:[Importe Neto]],Imput[[C. Imp.]:[C. Imp.]],$D899,Imput[[PERIODO Imp.]:[PERIODO Imp.]],CU$9)</f>
        <v>0</v>
      </c>
      <c r="CV899" s="693">
        <f>SUMIFS(Imput[[Importe Neto]:[Importe Neto]],Imput[[C. Imp.]:[C. Imp.]],$D899,Imput[[PERIODO Imp.]:[PERIODO Imp.]],CV$9)</f>
        <v>0</v>
      </c>
      <c r="CW899" s="693">
        <f>SUMIFS(Imput[[Importe Neto]:[Importe Neto]],Imput[[C. Imp.]:[C. Imp.]],$D899,Imput[[PERIODO Imp.]:[PERIODO Imp.]],CW$9)</f>
        <v>0</v>
      </c>
      <c r="CX899" s="693">
        <f>SUMIFS(Imput[[Importe Neto]:[Importe Neto]],Imput[[C. Imp.]:[C. Imp.]],$D899,Imput[[PERIODO Imp.]:[PERIODO Imp.]],CX$9)</f>
        <v>0</v>
      </c>
      <c r="CY899" s="693">
        <f>SUMIFS(Imput[[Importe Neto]:[Importe Neto]],Imput[[C. Imp.]:[C. Imp.]],$D899,Imput[[PERIODO Imp.]:[PERIODO Imp.]],CY$9)</f>
        <v>0</v>
      </c>
      <c r="CZ899" s="693">
        <f>SUMIFS(Imput[[Importe Neto]:[Importe Neto]],Imput[[C. Imp.]:[C. Imp.]],$D899,Imput[[PERIODO Imp.]:[PERIODO Imp.]],CZ$9)</f>
        <v>0</v>
      </c>
      <c r="DA899" s="693">
        <f>SUMIFS(Imput[[Importe Neto]:[Importe Neto]],Imput[[C. Imp.]:[C. Imp.]],$D899,Imput[[PERIODO Imp.]:[PERIODO Imp.]],DA$9)</f>
        <v>0</v>
      </c>
      <c r="DB899" s="693">
        <f>SUMIFS(Imput[[Importe Neto]:[Importe Neto]],Imput[[C. Imp.]:[C. Imp.]],$D899,Imput[[PERIODO Imp.]:[PERIODO Imp.]],DB$9)</f>
        <v>0</v>
      </c>
      <c r="DC899" s="693">
        <f>SUMIFS(Imput[[Importe Neto]:[Importe Neto]],Imput[[C. Imp.]:[C. Imp.]],$D899,Imput[[PERIODO Imp.]:[PERIODO Imp.]],DC$9)</f>
        <v>0</v>
      </c>
      <c r="DD899" s="693">
        <f>SUMIFS(Imput[[Importe Neto]:[Importe Neto]],Imput[[C. Imp.]:[C. Imp.]],$D899,Imput[[PERIODO Imp.]:[PERIODO Imp.]],DD$9)</f>
        <v>0</v>
      </c>
      <c r="DE899" s="693">
        <f>SUMIFS(Imput[[Importe Neto]:[Importe Neto]],Imput[[C. Imp.]:[C. Imp.]],$D899,Imput[[PERIODO Imp.]:[PERIODO Imp.]],DE$9)</f>
        <v>0</v>
      </c>
      <c r="DF899" s="693">
        <f>SUMIFS(Imput[[Importe Neto]:[Importe Neto]],Imput[[C. Imp.]:[C. Imp.]],$D899,Imput[[PERIODO Imp.]:[PERIODO Imp.]],DF$9)</f>
        <v>0</v>
      </c>
      <c r="DG899" s="693">
        <f>SUMIFS(Imput[[Importe Neto]:[Importe Neto]],Imput[[C. Imp.]:[C. Imp.]],$D899,Imput[[PERIODO Imp.]:[PERIODO Imp.]],DG$9)</f>
        <v>0</v>
      </c>
      <c r="DH899" s="694">
        <f>SUMIFS(Imput[[Importe Neto]:[Importe Neto]],Imput[[C. Imp.]:[C. Imp.]],$D899,Imput[[PERIODO Imp.]:[PERIODO Imp.]],DH$9)</f>
        <v>0</v>
      </c>
    </row>
    <row r="900" spans="1:112" s="649" customFormat="1" ht="14.4" hidden="1" outlineLevel="1" thickBot="1" x14ac:dyDescent="0.35">
      <c r="A900" s="652" t="str">
        <f t="shared" si="307"/>
        <v/>
      </c>
      <c r="B900" s="652"/>
      <c r="C900" s="685"/>
      <c r="D900" s="686" t="s">
        <v>2868</v>
      </c>
      <c r="E900" s="686"/>
      <c r="F900" s="720"/>
      <c r="G900" s="688"/>
      <c r="H900" s="689"/>
      <c r="I900" s="851" t="str">
        <f t="shared" si="308"/>
        <v/>
      </c>
      <c r="J900" s="850" t="str">
        <f t="shared" si="309"/>
        <v/>
      </c>
      <c r="K900" s="667"/>
      <c r="L900" s="858"/>
      <c r="M900" s="859"/>
      <c r="N900" s="859"/>
      <c r="O900" s="859"/>
      <c r="P900" s="859"/>
      <c r="Q900" s="859"/>
      <c r="R900" s="859"/>
      <c r="S900" s="859"/>
      <c r="T900" s="859"/>
      <c r="U900" s="859"/>
      <c r="V900" s="859"/>
      <c r="W900" s="859"/>
      <c r="X900" s="859"/>
      <c r="Y900" s="859"/>
      <c r="Z900" s="860"/>
      <c r="AA900" s="860"/>
      <c r="AB900" s="860"/>
      <c r="AC900" s="860"/>
      <c r="AD900" s="860"/>
      <c r="AE900" s="860"/>
      <c r="AF900" s="860"/>
      <c r="AG900" s="860"/>
      <c r="AH900" s="860"/>
      <c r="AI900" s="860"/>
      <c r="AJ900" s="860"/>
      <c r="AK900" s="860"/>
      <c r="AL900" s="860"/>
      <c r="AM900" s="860"/>
      <c r="AN900" s="860"/>
      <c r="AO900" s="860"/>
      <c r="AP900" s="860"/>
      <c r="AQ900" s="860"/>
      <c r="AR900" s="860"/>
      <c r="AS900" s="860"/>
      <c r="AT900" s="860"/>
      <c r="AU900" s="860"/>
      <c r="AV900" s="860"/>
      <c r="AW900" s="860"/>
      <c r="AX900" s="860"/>
      <c r="AY900" s="860"/>
      <c r="AZ900" s="860"/>
      <c r="BA900" s="860"/>
      <c r="BB900" s="860"/>
      <c r="BC900" s="860"/>
      <c r="BD900" s="860"/>
      <c r="BE900" s="860"/>
      <c r="BF900" s="860"/>
      <c r="BG900" s="860"/>
      <c r="BH900" s="668"/>
      <c r="BI900" s="667"/>
      <c r="BJ900" s="690">
        <f t="shared" si="310"/>
        <v>0</v>
      </c>
      <c r="BK900" s="691">
        <f t="shared" si="311"/>
        <v>0</v>
      </c>
      <c r="BL900" s="654"/>
      <c r="BM900" s="692">
        <f>SUMIFS(Imput[[Importe Neto]:[Importe Neto]],Imput[[C. Imp.]:[C. Imp.]],$D900,Imput[[PERIODO Imp.]:[PERIODO Imp.]],BM$9)</f>
        <v>0</v>
      </c>
      <c r="BN900" s="693">
        <f>SUMIFS(Imput[[Importe Neto]:[Importe Neto]],Imput[[C. Imp.]:[C. Imp.]],$D900,Imput[[PERIODO Imp.]:[PERIODO Imp.]],BN$9)</f>
        <v>0</v>
      </c>
      <c r="BO900" s="693">
        <f>SUMIFS(Imput[[Importe Neto]:[Importe Neto]],Imput[[C. Imp.]:[C. Imp.]],$D900,Imput[[PERIODO Imp.]:[PERIODO Imp.]],BO$9)</f>
        <v>0</v>
      </c>
      <c r="BP900" s="693">
        <f>SUMIFS(Imput[[Importe Neto]:[Importe Neto]],Imput[[C. Imp.]:[C. Imp.]],$D900,Imput[[PERIODO Imp.]:[PERIODO Imp.]],BP$9)</f>
        <v>0</v>
      </c>
      <c r="BQ900" s="693">
        <f>SUMIFS(Imput[[Importe Neto]:[Importe Neto]],Imput[[C. Imp.]:[C. Imp.]],$D900,Imput[[PERIODO Imp.]:[PERIODO Imp.]],BQ$9)</f>
        <v>0</v>
      </c>
      <c r="BR900" s="693">
        <f>SUMIFS(Imput[[Importe Neto]:[Importe Neto]],Imput[[C. Imp.]:[C. Imp.]],$D900,Imput[[PERIODO Imp.]:[PERIODO Imp.]],BR$9)</f>
        <v>0</v>
      </c>
      <c r="BS900" s="693">
        <f>SUMIFS(Imput[[Importe Neto]:[Importe Neto]],Imput[[C. Imp.]:[C. Imp.]],$D900,Imput[[PERIODO Imp.]:[PERIODO Imp.]],BS$9)</f>
        <v>0</v>
      </c>
      <c r="BT900" s="693">
        <f>SUMIFS(Imput[[Importe Neto]:[Importe Neto]],Imput[[C. Imp.]:[C. Imp.]],$D900,Imput[[PERIODO Imp.]:[PERIODO Imp.]],BT$9)</f>
        <v>0</v>
      </c>
      <c r="BU900" s="693">
        <f>SUMIFS(Imput[[Importe Neto]:[Importe Neto]],Imput[[C. Imp.]:[C. Imp.]],$D900,Imput[[PERIODO Imp.]:[PERIODO Imp.]],BU$9)</f>
        <v>0</v>
      </c>
      <c r="BV900" s="693">
        <f>SUMIFS(Imput[[Importe Neto]:[Importe Neto]],Imput[[C. Imp.]:[C. Imp.]],$D900,Imput[[PERIODO Imp.]:[PERIODO Imp.]],BV$9)</f>
        <v>0</v>
      </c>
      <c r="BW900" s="693">
        <f>SUMIFS(Imput[[Importe Neto]:[Importe Neto]],Imput[[C. Imp.]:[C. Imp.]],$D900,Imput[[PERIODO Imp.]:[PERIODO Imp.]],BW$9)</f>
        <v>0</v>
      </c>
      <c r="BX900" s="693">
        <f>SUMIFS(Imput[[Importe Neto]:[Importe Neto]],Imput[[C. Imp.]:[C. Imp.]],$D900,Imput[[PERIODO Imp.]:[PERIODO Imp.]],BX$9)</f>
        <v>0</v>
      </c>
      <c r="BY900" s="693">
        <f>SUMIFS(Imput[[Importe Neto]:[Importe Neto]],Imput[[C. Imp.]:[C. Imp.]],$D900,Imput[[PERIODO Imp.]:[PERIODO Imp.]],BY$9)</f>
        <v>0</v>
      </c>
      <c r="BZ900" s="693">
        <f>SUMIFS(Imput[[Importe Neto]:[Importe Neto]],Imput[[C. Imp.]:[C. Imp.]],$D900,Imput[[PERIODO Imp.]:[PERIODO Imp.]],BZ$9)</f>
        <v>0</v>
      </c>
      <c r="CA900" s="693">
        <f>SUMIFS(Imput[[Importe Neto]:[Importe Neto]],Imput[[C. Imp.]:[C. Imp.]],$D900,Imput[[PERIODO Imp.]:[PERIODO Imp.]],CA$9)</f>
        <v>0</v>
      </c>
      <c r="CB900" s="693">
        <f>SUMIFS(Imput[[Importe Neto]:[Importe Neto]],Imput[[C. Imp.]:[C. Imp.]],$D900,Imput[[PERIODO Imp.]:[PERIODO Imp.]],CB$9)</f>
        <v>0</v>
      </c>
      <c r="CC900" s="693">
        <f>SUMIFS(Imput[[Importe Neto]:[Importe Neto]],Imput[[C. Imp.]:[C. Imp.]],$D900,Imput[[PERIODO Imp.]:[PERIODO Imp.]],CC$9)</f>
        <v>0</v>
      </c>
      <c r="CD900" s="693">
        <f>SUMIFS(Imput[[Importe Neto]:[Importe Neto]],Imput[[C. Imp.]:[C. Imp.]],$D900,Imput[[PERIODO Imp.]:[PERIODO Imp.]],CD$9)</f>
        <v>0</v>
      </c>
      <c r="CE900" s="693">
        <f>SUMIFS(Imput[[Importe Neto]:[Importe Neto]],Imput[[C. Imp.]:[C. Imp.]],$D900,Imput[[PERIODO Imp.]:[PERIODO Imp.]],CE$9)</f>
        <v>0</v>
      </c>
      <c r="CF900" s="693">
        <f>SUMIFS(Imput[[Importe Neto]:[Importe Neto]],Imput[[C. Imp.]:[C. Imp.]],$D900,Imput[[PERIODO Imp.]:[PERIODO Imp.]],CF$9)</f>
        <v>0</v>
      </c>
      <c r="CG900" s="693">
        <f>SUMIFS(Imput[[Importe Neto]:[Importe Neto]],Imput[[C. Imp.]:[C. Imp.]],$D900,Imput[[PERIODO Imp.]:[PERIODO Imp.]],CG$9)</f>
        <v>0</v>
      </c>
      <c r="CH900" s="693">
        <f>SUMIFS(Imput[[Importe Neto]:[Importe Neto]],Imput[[C. Imp.]:[C. Imp.]],$D900,Imput[[PERIODO Imp.]:[PERIODO Imp.]],CH$9)</f>
        <v>0</v>
      </c>
      <c r="CI900" s="693">
        <f>SUMIFS(Imput[[Importe Neto]:[Importe Neto]],Imput[[C. Imp.]:[C. Imp.]],$D900,Imput[[PERIODO Imp.]:[PERIODO Imp.]],CI$9)</f>
        <v>0</v>
      </c>
      <c r="CJ900" s="693">
        <f>SUMIFS(Imput[[Importe Neto]:[Importe Neto]],Imput[[C. Imp.]:[C. Imp.]],$D900,Imput[[PERIODO Imp.]:[PERIODO Imp.]],CJ$9)</f>
        <v>0</v>
      </c>
      <c r="CK900" s="693">
        <f>SUMIFS(Imput[[Importe Neto]:[Importe Neto]],Imput[[C. Imp.]:[C. Imp.]],$D900,Imput[[PERIODO Imp.]:[PERIODO Imp.]],CK$9)</f>
        <v>0</v>
      </c>
      <c r="CL900" s="693">
        <f>SUMIFS(Imput[[Importe Neto]:[Importe Neto]],Imput[[C. Imp.]:[C. Imp.]],$D900,Imput[[PERIODO Imp.]:[PERIODO Imp.]],CL$9)</f>
        <v>0</v>
      </c>
      <c r="CM900" s="693">
        <f>SUMIFS(Imput[[Importe Neto]:[Importe Neto]],Imput[[C. Imp.]:[C. Imp.]],$D900,Imput[[PERIODO Imp.]:[PERIODO Imp.]],CM$9)</f>
        <v>0</v>
      </c>
      <c r="CN900" s="693">
        <f>SUMIFS(Imput[[Importe Neto]:[Importe Neto]],Imput[[C. Imp.]:[C. Imp.]],$D900,Imput[[PERIODO Imp.]:[PERIODO Imp.]],CN$9)</f>
        <v>0</v>
      </c>
      <c r="CO900" s="693">
        <f>SUMIFS(Imput[[Importe Neto]:[Importe Neto]],Imput[[C. Imp.]:[C. Imp.]],$D900,Imput[[PERIODO Imp.]:[PERIODO Imp.]],CO$9)</f>
        <v>0</v>
      </c>
      <c r="CP900" s="693">
        <f>SUMIFS(Imput[[Importe Neto]:[Importe Neto]],Imput[[C. Imp.]:[C. Imp.]],$D900,Imput[[PERIODO Imp.]:[PERIODO Imp.]],CP$9)</f>
        <v>0</v>
      </c>
      <c r="CQ900" s="693">
        <f>SUMIFS(Imput[[Importe Neto]:[Importe Neto]],Imput[[C. Imp.]:[C. Imp.]],$D900,Imput[[PERIODO Imp.]:[PERIODO Imp.]],CQ$9)</f>
        <v>0</v>
      </c>
      <c r="CR900" s="693">
        <f>SUMIFS(Imput[[Importe Neto]:[Importe Neto]],Imput[[C. Imp.]:[C. Imp.]],$D900,Imput[[PERIODO Imp.]:[PERIODO Imp.]],CR$9)</f>
        <v>0</v>
      </c>
      <c r="CS900" s="693">
        <f>SUMIFS(Imput[[Importe Neto]:[Importe Neto]],Imput[[C. Imp.]:[C. Imp.]],$D900,Imput[[PERIODO Imp.]:[PERIODO Imp.]],CS$9)</f>
        <v>0</v>
      </c>
      <c r="CT900" s="693">
        <f>SUMIFS(Imput[[Importe Neto]:[Importe Neto]],Imput[[C. Imp.]:[C. Imp.]],$D900,Imput[[PERIODO Imp.]:[PERIODO Imp.]],CT$9)</f>
        <v>0</v>
      </c>
      <c r="CU900" s="693">
        <f>SUMIFS(Imput[[Importe Neto]:[Importe Neto]],Imput[[C. Imp.]:[C. Imp.]],$D900,Imput[[PERIODO Imp.]:[PERIODO Imp.]],CU$9)</f>
        <v>0</v>
      </c>
      <c r="CV900" s="693">
        <f>SUMIFS(Imput[[Importe Neto]:[Importe Neto]],Imput[[C. Imp.]:[C. Imp.]],$D900,Imput[[PERIODO Imp.]:[PERIODO Imp.]],CV$9)</f>
        <v>0</v>
      </c>
      <c r="CW900" s="693">
        <f>SUMIFS(Imput[[Importe Neto]:[Importe Neto]],Imput[[C. Imp.]:[C. Imp.]],$D900,Imput[[PERIODO Imp.]:[PERIODO Imp.]],CW$9)</f>
        <v>0</v>
      </c>
      <c r="CX900" s="693">
        <f>SUMIFS(Imput[[Importe Neto]:[Importe Neto]],Imput[[C. Imp.]:[C. Imp.]],$D900,Imput[[PERIODO Imp.]:[PERIODO Imp.]],CX$9)</f>
        <v>0</v>
      </c>
      <c r="CY900" s="693">
        <f>SUMIFS(Imput[[Importe Neto]:[Importe Neto]],Imput[[C. Imp.]:[C. Imp.]],$D900,Imput[[PERIODO Imp.]:[PERIODO Imp.]],CY$9)</f>
        <v>0</v>
      </c>
      <c r="CZ900" s="693">
        <f>SUMIFS(Imput[[Importe Neto]:[Importe Neto]],Imput[[C. Imp.]:[C. Imp.]],$D900,Imput[[PERIODO Imp.]:[PERIODO Imp.]],CZ$9)</f>
        <v>0</v>
      </c>
      <c r="DA900" s="693">
        <f>SUMIFS(Imput[[Importe Neto]:[Importe Neto]],Imput[[C. Imp.]:[C. Imp.]],$D900,Imput[[PERIODO Imp.]:[PERIODO Imp.]],DA$9)</f>
        <v>0</v>
      </c>
      <c r="DB900" s="693">
        <f>SUMIFS(Imput[[Importe Neto]:[Importe Neto]],Imput[[C. Imp.]:[C. Imp.]],$D900,Imput[[PERIODO Imp.]:[PERIODO Imp.]],DB$9)</f>
        <v>0</v>
      </c>
      <c r="DC900" s="693">
        <f>SUMIFS(Imput[[Importe Neto]:[Importe Neto]],Imput[[C. Imp.]:[C. Imp.]],$D900,Imput[[PERIODO Imp.]:[PERIODO Imp.]],DC$9)</f>
        <v>0</v>
      </c>
      <c r="DD900" s="693">
        <f>SUMIFS(Imput[[Importe Neto]:[Importe Neto]],Imput[[C. Imp.]:[C. Imp.]],$D900,Imput[[PERIODO Imp.]:[PERIODO Imp.]],DD$9)</f>
        <v>0</v>
      </c>
      <c r="DE900" s="693">
        <f>SUMIFS(Imput[[Importe Neto]:[Importe Neto]],Imput[[C. Imp.]:[C. Imp.]],$D900,Imput[[PERIODO Imp.]:[PERIODO Imp.]],DE$9)</f>
        <v>0</v>
      </c>
      <c r="DF900" s="693">
        <f>SUMIFS(Imput[[Importe Neto]:[Importe Neto]],Imput[[C. Imp.]:[C. Imp.]],$D900,Imput[[PERIODO Imp.]:[PERIODO Imp.]],DF$9)</f>
        <v>0</v>
      </c>
      <c r="DG900" s="693">
        <f>SUMIFS(Imput[[Importe Neto]:[Importe Neto]],Imput[[C. Imp.]:[C. Imp.]],$D900,Imput[[PERIODO Imp.]:[PERIODO Imp.]],DG$9)</f>
        <v>0</v>
      </c>
      <c r="DH900" s="694">
        <f>SUMIFS(Imput[[Importe Neto]:[Importe Neto]],Imput[[C. Imp.]:[C. Imp.]],$D900,Imput[[PERIODO Imp.]:[PERIODO Imp.]],DH$9)</f>
        <v>0</v>
      </c>
    </row>
    <row r="901" spans="1:112" s="649" customFormat="1" ht="14.4" hidden="1" outlineLevel="1" thickBot="1" x14ac:dyDescent="0.35">
      <c r="A901" s="652" t="str">
        <f t="shared" si="307"/>
        <v/>
      </c>
      <c r="B901" s="652"/>
      <c r="C901" s="685"/>
      <c r="D901" s="686" t="s">
        <v>2869</v>
      </c>
      <c r="E901" s="686"/>
      <c r="F901" s="720"/>
      <c r="G901" s="688"/>
      <c r="H901" s="689"/>
      <c r="I901" s="851" t="str">
        <f t="shared" si="308"/>
        <v/>
      </c>
      <c r="J901" s="850" t="str">
        <f t="shared" si="309"/>
        <v/>
      </c>
      <c r="K901" s="667"/>
      <c r="L901" s="858"/>
      <c r="M901" s="859"/>
      <c r="N901" s="859"/>
      <c r="O901" s="859"/>
      <c r="P901" s="859"/>
      <c r="Q901" s="859"/>
      <c r="R901" s="859"/>
      <c r="S901" s="859"/>
      <c r="T901" s="859"/>
      <c r="U901" s="859"/>
      <c r="V901" s="859"/>
      <c r="W901" s="859"/>
      <c r="X901" s="859"/>
      <c r="Y901" s="859"/>
      <c r="Z901" s="860"/>
      <c r="AA901" s="860"/>
      <c r="AB901" s="860"/>
      <c r="AC901" s="860"/>
      <c r="AD901" s="860"/>
      <c r="AE901" s="860"/>
      <c r="AF901" s="860"/>
      <c r="AG901" s="860"/>
      <c r="AH901" s="860"/>
      <c r="AI901" s="860"/>
      <c r="AJ901" s="860"/>
      <c r="AK901" s="860"/>
      <c r="AL901" s="860"/>
      <c r="AM901" s="860"/>
      <c r="AN901" s="860"/>
      <c r="AO901" s="860"/>
      <c r="AP901" s="860"/>
      <c r="AQ901" s="860"/>
      <c r="AR901" s="860"/>
      <c r="AS901" s="860"/>
      <c r="AT901" s="860"/>
      <c r="AU901" s="860"/>
      <c r="AV901" s="860"/>
      <c r="AW901" s="860"/>
      <c r="AX901" s="860"/>
      <c r="AY901" s="860"/>
      <c r="AZ901" s="860"/>
      <c r="BA901" s="860"/>
      <c r="BB901" s="860"/>
      <c r="BC901" s="860"/>
      <c r="BD901" s="860"/>
      <c r="BE901" s="860"/>
      <c r="BF901" s="860"/>
      <c r="BG901" s="860"/>
      <c r="BH901" s="668"/>
      <c r="BI901" s="667"/>
      <c r="BJ901" s="690">
        <f t="shared" si="310"/>
        <v>0</v>
      </c>
      <c r="BK901" s="691">
        <f t="shared" si="311"/>
        <v>0</v>
      </c>
      <c r="BL901" s="654"/>
      <c r="BM901" s="692">
        <f>SUMIFS(Imput[[Importe Neto]:[Importe Neto]],Imput[[C. Imp.]:[C. Imp.]],$D901,Imput[[PERIODO Imp.]:[PERIODO Imp.]],BM$9)</f>
        <v>0</v>
      </c>
      <c r="BN901" s="693">
        <f>SUMIFS(Imput[[Importe Neto]:[Importe Neto]],Imput[[C. Imp.]:[C. Imp.]],$D901,Imput[[PERIODO Imp.]:[PERIODO Imp.]],BN$9)</f>
        <v>0</v>
      </c>
      <c r="BO901" s="693">
        <f>SUMIFS(Imput[[Importe Neto]:[Importe Neto]],Imput[[C. Imp.]:[C. Imp.]],$D901,Imput[[PERIODO Imp.]:[PERIODO Imp.]],BO$9)</f>
        <v>0</v>
      </c>
      <c r="BP901" s="693">
        <f>SUMIFS(Imput[[Importe Neto]:[Importe Neto]],Imput[[C. Imp.]:[C. Imp.]],$D901,Imput[[PERIODO Imp.]:[PERIODO Imp.]],BP$9)</f>
        <v>0</v>
      </c>
      <c r="BQ901" s="693">
        <f>SUMIFS(Imput[[Importe Neto]:[Importe Neto]],Imput[[C. Imp.]:[C. Imp.]],$D901,Imput[[PERIODO Imp.]:[PERIODO Imp.]],BQ$9)</f>
        <v>0</v>
      </c>
      <c r="BR901" s="693">
        <f>SUMIFS(Imput[[Importe Neto]:[Importe Neto]],Imput[[C. Imp.]:[C. Imp.]],$D901,Imput[[PERIODO Imp.]:[PERIODO Imp.]],BR$9)</f>
        <v>0</v>
      </c>
      <c r="BS901" s="693">
        <f>SUMIFS(Imput[[Importe Neto]:[Importe Neto]],Imput[[C. Imp.]:[C. Imp.]],$D901,Imput[[PERIODO Imp.]:[PERIODO Imp.]],BS$9)</f>
        <v>0</v>
      </c>
      <c r="BT901" s="693">
        <f>SUMIFS(Imput[[Importe Neto]:[Importe Neto]],Imput[[C. Imp.]:[C. Imp.]],$D901,Imput[[PERIODO Imp.]:[PERIODO Imp.]],BT$9)</f>
        <v>0</v>
      </c>
      <c r="BU901" s="693">
        <f>SUMIFS(Imput[[Importe Neto]:[Importe Neto]],Imput[[C. Imp.]:[C. Imp.]],$D901,Imput[[PERIODO Imp.]:[PERIODO Imp.]],BU$9)</f>
        <v>0</v>
      </c>
      <c r="BV901" s="693">
        <f>SUMIFS(Imput[[Importe Neto]:[Importe Neto]],Imput[[C. Imp.]:[C. Imp.]],$D901,Imput[[PERIODO Imp.]:[PERIODO Imp.]],BV$9)</f>
        <v>0</v>
      </c>
      <c r="BW901" s="693">
        <f>SUMIFS(Imput[[Importe Neto]:[Importe Neto]],Imput[[C. Imp.]:[C. Imp.]],$D901,Imput[[PERIODO Imp.]:[PERIODO Imp.]],BW$9)</f>
        <v>0</v>
      </c>
      <c r="BX901" s="693">
        <f>SUMIFS(Imput[[Importe Neto]:[Importe Neto]],Imput[[C. Imp.]:[C. Imp.]],$D901,Imput[[PERIODO Imp.]:[PERIODO Imp.]],BX$9)</f>
        <v>0</v>
      </c>
      <c r="BY901" s="693">
        <f>SUMIFS(Imput[[Importe Neto]:[Importe Neto]],Imput[[C. Imp.]:[C. Imp.]],$D901,Imput[[PERIODO Imp.]:[PERIODO Imp.]],BY$9)</f>
        <v>0</v>
      </c>
      <c r="BZ901" s="693">
        <f>SUMIFS(Imput[[Importe Neto]:[Importe Neto]],Imput[[C. Imp.]:[C. Imp.]],$D901,Imput[[PERIODO Imp.]:[PERIODO Imp.]],BZ$9)</f>
        <v>0</v>
      </c>
      <c r="CA901" s="693">
        <f>SUMIFS(Imput[[Importe Neto]:[Importe Neto]],Imput[[C. Imp.]:[C. Imp.]],$D901,Imput[[PERIODO Imp.]:[PERIODO Imp.]],CA$9)</f>
        <v>0</v>
      </c>
      <c r="CB901" s="693">
        <f>SUMIFS(Imput[[Importe Neto]:[Importe Neto]],Imput[[C. Imp.]:[C. Imp.]],$D901,Imput[[PERIODO Imp.]:[PERIODO Imp.]],CB$9)</f>
        <v>0</v>
      </c>
      <c r="CC901" s="693">
        <f>SUMIFS(Imput[[Importe Neto]:[Importe Neto]],Imput[[C. Imp.]:[C. Imp.]],$D901,Imput[[PERIODO Imp.]:[PERIODO Imp.]],CC$9)</f>
        <v>0</v>
      </c>
      <c r="CD901" s="693">
        <f>SUMIFS(Imput[[Importe Neto]:[Importe Neto]],Imput[[C. Imp.]:[C. Imp.]],$D901,Imput[[PERIODO Imp.]:[PERIODO Imp.]],CD$9)</f>
        <v>0</v>
      </c>
      <c r="CE901" s="693">
        <f>SUMIFS(Imput[[Importe Neto]:[Importe Neto]],Imput[[C. Imp.]:[C. Imp.]],$D901,Imput[[PERIODO Imp.]:[PERIODO Imp.]],CE$9)</f>
        <v>0</v>
      </c>
      <c r="CF901" s="693">
        <f>SUMIFS(Imput[[Importe Neto]:[Importe Neto]],Imput[[C. Imp.]:[C. Imp.]],$D901,Imput[[PERIODO Imp.]:[PERIODO Imp.]],CF$9)</f>
        <v>0</v>
      </c>
      <c r="CG901" s="693">
        <f>SUMIFS(Imput[[Importe Neto]:[Importe Neto]],Imput[[C. Imp.]:[C. Imp.]],$D901,Imput[[PERIODO Imp.]:[PERIODO Imp.]],CG$9)</f>
        <v>0</v>
      </c>
      <c r="CH901" s="693">
        <f>SUMIFS(Imput[[Importe Neto]:[Importe Neto]],Imput[[C. Imp.]:[C. Imp.]],$D901,Imput[[PERIODO Imp.]:[PERIODO Imp.]],CH$9)</f>
        <v>0</v>
      </c>
      <c r="CI901" s="693">
        <f>SUMIFS(Imput[[Importe Neto]:[Importe Neto]],Imput[[C. Imp.]:[C. Imp.]],$D901,Imput[[PERIODO Imp.]:[PERIODO Imp.]],CI$9)</f>
        <v>0</v>
      </c>
      <c r="CJ901" s="693">
        <f>SUMIFS(Imput[[Importe Neto]:[Importe Neto]],Imput[[C. Imp.]:[C. Imp.]],$D901,Imput[[PERIODO Imp.]:[PERIODO Imp.]],CJ$9)</f>
        <v>0</v>
      </c>
      <c r="CK901" s="693">
        <f>SUMIFS(Imput[[Importe Neto]:[Importe Neto]],Imput[[C. Imp.]:[C. Imp.]],$D901,Imput[[PERIODO Imp.]:[PERIODO Imp.]],CK$9)</f>
        <v>0</v>
      </c>
      <c r="CL901" s="693">
        <f>SUMIFS(Imput[[Importe Neto]:[Importe Neto]],Imput[[C. Imp.]:[C. Imp.]],$D901,Imput[[PERIODO Imp.]:[PERIODO Imp.]],CL$9)</f>
        <v>0</v>
      </c>
      <c r="CM901" s="693">
        <f>SUMIFS(Imput[[Importe Neto]:[Importe Neto]],Imput[[C. Imp.]:[C. Imp.]],$D901,Imput[[PERIODO Imp.]:[PERIODO Imp.]],CM$9)</f>
        <v>0</v>
      </c>
      <c r="CN901" s="693">
        <f>SUMIFS(Imput[[Importe Neto]:[Importe Neto]],Imput[[C. Imp.]:[C. Imp.]],$D901,Imput[[PERIODO Imp.]:[PERIODO Imp.]],CN$9)</f>
        <v>0</v>
      </c>
      <c r="CO901" s="693">
        <f>SUMIFS(Imput[[Importe Neto]:[Importe Neto]],Imput[[C. Imp.]:[C. Imp.]],$D901,Imput[[PERIODO Imp.]:[PERIODO Imp.]],CO$9)</f>
        <v>0</v>
      </c>
      <c r="CP901" s="693">
        <f>SUMIFS(Imput[[Importe Neto]:[Importe Neto]],Imput[[C. Imp.]:[C. Imp.]],$D901,Imput[[PERIODO Imp.]:[PERIODO Imp.]],CP$9)</f>
        <v>0</v>
      </c>
      <c r="CQ901" s="693">
        <f>SUMIFS(Imput[[Importe Neto]:[Importe Neto]],Imput[[C. Imp.]:[C. Imp.]],$D901,Imput[[PERIODO Imp.]:[PERIODO Imp.]],CQ$9)</f>
        <v>0</v>
      </c>
      <c r="CR901" s="693">
        <f>SUMIFS(Imput[[Importe Neto]:[Importe Neto]],Imput[[C. Imp.]:[C. Imp.]],$D901,Imput[[PERIODO Imp.]:[PERIODO Imp.]],CR$9)</f>
        <v>0</v>
      </c>
      <c r="CS901" s="693">
        <f>SUMIFS(Imput[[Importe Neto]:[Importe Neto]],Imput[[C. Imp.]:[C. Imp.]],$D901,Imput[[PERIODO Imp.]:[PERIODO Imp.]],CS$9)</f>
        <v>0</v>
      </c>
      <c r="CT901" s="693">
        <f>SUMIFS(Imput[[Importe Neto]:[Importe Neto]],Imput[[C. Imp.]:[C. Imp.]],$D901,Imput[[PERIODO Imp.]:[PERIODO Imp.]],CT$9)</f>
        <v>0</v>
      </c>
      <c r="CU901" s="693">
        <f>SUMIFS(Imput[[Importe Neto]:[Importe Neto]],Imput[[C. Imp.]:[C. Imp.]],$D901,Imput[[PERIODO Imp.]:[PERIODO Imp.]],CU$9)</f>
        <v>0</v>
      </c>
      <c r="CV901" s="693">
        <f>SUMIFS(Imput[[Importe Neto]:[Importe Neto]],Imput[[C. Imp.]:[C. Imp.]],$D901,Imput[[PERIODO Imp.]:[PERIODO Imp.]],CV$9)</f>
        <v>0</v>
      </c>
      <c r="CW901" s="693">
        <f>SUMIFS(Imput[[Importe Neto]:[Importe Neto]],Imput[[C. Imp.]:[C. Imp.]],$D901,Imput[[PERIODO Imp.]:[PERIODO Imp.]],CW$9)</f>
        <v>0</v>
      </c>
      <c r="CX901" s="693">
        <f>SUMIFS(Imput[[Importe Neto]:[Importe Neto]],Imput[[C. Imp.]:[C. Imp.]],$D901,Imput[[PERIODO Imp.]:[PERIODO Imp.]],CX$9)</f>
        <v>0</v>
      </c>
      <c r="CY901" s="693">
        <f>SUMIFS(Imput[[Importe Neto]:[Importe Neto]],Imput[[C. Imp.]:[C. Imp.]],$D901,Imput[[PERIODO Imp.]:[PERIODO Imp.]],CY$9)</f>
        <v>0</v>
      </c>
      <c r="CZ901" s="693">
        <f>SUMIFS(Imput[[Importe Neto]:[Importe Neto]],Imput[[C. Imp.]:[C. Imp.]],$D901,Imput[[PERIODO Imp.]:[PERIODO Imp.]],CZ$9)</f>
        <v>0</v>
      </c>
      <c r="DA901" s="693">
        <f>SUMIFS(Imput[[Importe Neto]:[Importe Neto]],Imput[[C. Imp.]:[C. Imp.]],$D901,Imput[[PERIODO Imp.]:[PERIODO Imp.]],DA$9)</f>
        <v>0</v>
      </c>
      <c r="DB901" s="693">
        <f>SUMIFS(Imput[[Importe Neto]:[Importe Neto]],Imput[[C. Imp.]:[C. Imp.]],$D901,Imput[[PERIODO Imp.]:[PERIODO Imp.]],DB$9)</f>
        <v>0</v>
      </c>
      <c r="DC901" s="693">
        <f>SUMIFS(Imput[[Importe Neto]:[Importe Neto]],Imput[[C. Imp.]:[C. Imp.]],$D901,Imput[[PERIODO Imp.]:[PERIODO Imp.]],DC$9)</f>
        <v>0</v>
      </c>
      <c r="DD901" s="693">
        <f>SUMIFS(Imput[[Importe Neto]:[Importe Neto]],Imput[[C. Imp.]:[C. Imp.]],$D901,Imput[[PERIODO Imp.]:[PERIODO Imp.]],DD$9)</f>
        <v>0</v>
      </c>
      <c r="DE901" s="693">
        <f>SUMIFS(Imput[[Importe Neto]:[Importe Neto]],Imput[[C. Imp.]:[C. Imp.]],$D901,Imput[[PERIODO Imp.]:[PERIODO Imp.]],DE$9)</f>
        <v>0</v>
      </c>
      <c r="DF901" s="693">
        <f>SUMIFS(Imput[[Importe Neto]:[Importe Neto]],Imput[[C. Imp.]:[C. Imp.]],$D901,Imput[[PERIODO Imp.]:[PERIODO Imp.]],DF$9)</f>
        <v>0</v>
      </c>
      <c r="DG901" s="693">
        <f>SUMIFS(Imput[[Importe Neto]:[Importe Neto]],Imput[[C. Imp.]:[C. Imp.]],$D901,Imput[[PERIODO Imp.]:[PERIODO Imp.]],DG$9)</f>
        <v>0</v>
      </c>
      <c r="DH901" s="694">
        <f>SUMIFS(Imput[[Importe Neto]:[Importe Neto]],Imput[[C. Imp.]:[C. Imp.]],$D901,Imput[[PERIODO Imp.]:[PERIODO Imp.]],DH$9)</f>
        <v>0</v>
      </c>
    </row>
    <row r="902" spans="1:112" s="649" customFormat="1" ht="14.4" hidden="1" outlineLevel="1" thickBot="1" x14ac:dyDescent="0.35">
      <c r="A902" s="652" t="str">
        <f t="shared" si="307"/>
        <v/>
      </c>
      <c r="B902" s="652"/>
      <c r="C902" s="685"/>
      <c r="D902" s="686" t="s">
        <v>2870</v>
      </c>
      <c r="E902" s="686"/>
      <c r="F902" s="720"/>
      <c r="G902" s="688"/>
      <c r="H902" s="689"/>
      <c r="I902" s="851" t="str">
        <f t="shared" si="308"/>
        <v/>
      </c>
      <c r="J902" s="850" t="str">
        <f t="shared" si="309"/>
        <v/>
      </c>
      <c r="K902" s="667"/>
      <c r="L902" s="858"/>
      <c r="M902" s="859"/>
      <c r="N902" s="859"/>
      <c r="O902" s="859"/>
      <c r="P902" s="859"/>
      <c r="Q902" s="859"/>
      <c r="R902" s="859"/>
      <c r="S902" s="859"/>
      <c r="T902" s="859"/>
      <c r="U902" s="859"/>
      <c r="V902" s="859"/>
      <c r="W902" s="859"/>
      <c r="X902" s="859"/>
      <c r="Y902" s="859"/>
      <c r="Z902" s="860"/>
      <c r="AA902" s="860"/>
      <c r="AB902" s="860"/>
      <c r="AC902" s="860"/>
      <c r="AD902" s="860"/>
      <c r="AE902" s="860"/>
      <c r="AF902" s="860"/>
      <c r="AG902" s="860"/>
      <c r="AH902" s="860"/>
      <c r="AI902" s="860"/>
      <c r="AJ902" s="860"/>
      <c r="AK902" s="860"/>
      <c r="AL902" s="860"/>
      <c r="AM902" s="860"/>
      <c r="AN902" s="860"/>
      <c r="AO902" s="860"/>
      <c r="AP902" s="860"/>
      <c r="AQ902" s="860"/>
      <c r="AR902" s="860"/>
      <c r="AS902" s="860"/>
      <c r="AT902" s="860"/>
      <c r="AU902" s="860"/>
      <c r="AV902" s="860"/>
      <c r="AW902" s="860"/>
      <c r="AX902" s="860"/>
      <c r="AY902" s="860"/>
      <c r="AZ902" s="860"/>
      <c r="BA902" s="860"/>
      <c r="BB902" s="860"/>
      <c r="BC902" s="860"/>
      <c r="BD902" s="860"/>
      <c r="BE902" s="860"/>
      <c r="BF902" s="860"/>
      <c r="BG902" s="860"/>
      <c r="BH902" s="668"/>
      <c r="BI902" s="667"/>
      <c r="BJ902" s="690">
        <f t="shared" si="310"/>
        <v>0</v>
      </c>
      <c r="BK902" s="691">
        <f t="shared" si="311"/>
        <v>0</v>
      </c>
      <c r="BL902" s="654"/>
      <c r="BM902" s="692">
        <f>SUMIFS(Imput[[Importe Neto]:[Importe Neto]],Imput[[C. Imp.]:[C. Imp.]],$D902,Imput[[PERIODO Imp.]:[PERIODO Imp.]],BM$9)</f>
        <v>0</v>
      </c>
      <c r="BN902" s="693">
        <f>SUMIFS(Imput[[Importe Neto]:[Importe Neto]],Imput[[C. Imp.]:[C. Imp.]],$D902,Imput[[PERIODO Imp.]:[PERIODO Imp.]],BN$9)</f>
        <v>0</v>
      </c>
      <c r="BO902" s="693">
        <f>SUMIFS(Imput[[Importe Neto]:[Importe Neto]],Imput[[C. Imp.]:[C. Imp.]],$D902,Imput[[PERIODO Imp.]:[PERIODO Imp.]],BO$9)</f>
        <v>0</v>
      </c>
      <c r="BP902" s="693">
        <f>SUMIFS(Imput[[Importe Neto]:[Importe Neto]],Imput[[C. Imp.]:[C. Imp.]],$D902,Imput[[PERIODO Imp.]:[PERIODO Imp.]],BP$9)</f>
        <v>0</v>
      </c>
      <c r="BQ902" s="693">
        <f>SUMIFS(Imput[[Importe Neto]:[Importe Neto]],Imput[[C. Imp.]:[C. Imp.]],$D902,Imput[[PERIODO Imp.]:[PERIODO Imp.]],BQ$9)</f>
        <v>0</v>
      </c>
      <c r="BR902" s="693">
        <f>SUMIFS(Imput[[Importe Neto]:[Importe Neto]],Imput[[C. Imp.]:[C. Imp.]],$D902,Imput[[PERIODO Imp.]:[PERIODO Imp.]],BR$9)</f>
        <v>0</v>
      </c>
      <c r="BS902" s="693">
        <f>SUMIFS(Imput[[Importe Neto]:[Importe Neto]],Imput[[C. Imp.]:[C. Imp.]],$D902,Imput[[PERIODO Imp.]:[PERIODO Imp.]],BS$9)</f>
        <v>0</v>
      </c>
      <c r="BT902" s="693">
        <f>SUMIFS(Imput[[Importe Neto]:[Importe Neto]],Imput[[C. Imp.]:[C. Imp.]],$D902,Imput[[PERIODO Imp.]:[PERIODO Imp.]],BT$9)</f>
        <v>0</v>
      </c>
      <c r="BU902" s="693">
        <f>SUMIFS(Imput[[Importe Neto]:[Importe Neto]],Imput[[C. Imp.]:[C. Imp.]],$D902,Imput[[PERIODO Imp.]:[PERIODO Imp.]],BU$9)</f>
        <v>0</v>
      </c>
      <c r="BV902" s="693">
        <f>SUMIFS(Imput[[Importe Neto]:[Importe Neto]],Imput[[C. Imp.]:[C. Imp.]],$D902,Imput[[PERIODO Imp.]:[PERIODO Imp.]],BV$9)</f>
        <v>0</v>
      </c>
      <c r="BW902" s="693">
        <f>SUMIFS(Imput[[Importe Neto]:[Importe Neto]],Imput[[C. Imp.]:[C. Imp.]],$D902,Imput[[PERIODO Imp.]:[PERIODO Imp.]],BW$9)</f>
        <v>0</v>
      </c>
      <c r="BX902" s="693">
        <f>SUMIFS(Imput[[Importe Neto]:[Importe Neto]],Imput[[C. Imp.]:[C. Imp.]],$D902,Imput[[PERIODO Imp.]:[PERIODO Imp.]],BX$9)</f>
        <v>0</v>
      </c>
      <c r="BY902" s="693">
        <f>SUMIFS(Imput[[Importe Neto]:[Importe Neto]],Imput[[C. Imp.]:[C. Imp.]],$D902,Imput[[PERIODO Imp.]:[PERIODO Imp.]],BY$9)</f>
        <v>0</v>
      </c>
      <c r="BZ902" s="693">
        <f>SUMIFS(Imput[[Importe Neto]:[Importe Neto]],Imput[[C. Imp.]:[C. Imp.]],$D902,Imput[[PERIODO Imp.]:[PERIODO Imp.]],BZ$9)</f>
        <v>0</v>
      </c>
      <c r="CA902" s="693">
        <f>SUMIFS(Imput[[Importe Neto]:[Importe Neto]],Imput[[C. Imp.]:[C. Imp.]],$D902,Imput[[PERIODO Imp.]:[PERIODO Imp.]],CA$9)</f>
        <v>0</v>
      </c>
      <c r="CB902" s="693">
        <f>SUMIFS(Imput[[Importe Neto]:[Importe Neto]],Imput[[C. Imp.]:[C. Imp.]],$D902,Imput[[PERIODO Imp.]:[PERIODO Imp.]],CB$9)</f>
        <v>0</v>
      </c>
      <c r="CC902" s="693">
        <f>SUMIFS(Imput[[Importe Neto]:[Importe Neto]],Imput[[C. Imp.]:[C. Imp.]],$D902,Imput[[PERIODO Imp.]:[PERIODO Imp.]],CC$9)</f>
        <v>0</v>
      </c>
      <c r="CD902" s="693">
        <f>SUMIFS(Imput[[Importe Neto]:[Importe Neto]],Imput[[C. Imp.]:[C. Imp.]],$D902,Imput[[PERIODO Imp.]:[PERIODO Imp.]],CD$9)</f>
        <v>0</v>
      </c>
      <c r="CE902" s="693">
        <f>SUMIFS(Imput[[Importe Neto]:[Importe Neto]],Imput[[C. Imp.]:[C. Imp.]],$D902,Imput[[PERIODO Imp.]:[PERIODO Imp.]],CE$9)</f>
        <v>0</v>
      </c>
      <c r="CF902" s="693">
        <f>SUMIFS(Imput[[Importe Neto]:[Importe Neto]],Imput[[C. Imp.]:[C. Imp.]],$D902,Imput[[PERIODO Imp.]:[PERIODO Imp.]],CF$9)</f>
        <v>0</v>
      </c>
      <c r="CG902" s="693">
        <f>SUMIFS(Imput[[Importe Neto]:[Importe Neto]],Imput[[C. Imp.]:[C. Imp.]],$D902,Imput[[PERIODO Imp.]:[PERIODO Imp.]],CG$9)</f>
        <v>0</v>
      </c>
      <c r="CH902" s="693">
        <f>SUMIFS(Imput[[Importe Neto]:[Importe Neto]],Imput[[C. Imp.]:[C. Imp.]],$D902,Imput[[PERIODO Imp.]:[PERIODO Imp.]],CH$9)</f>
        <v>0</v>
      </c>
      <c r="CI902" s="693">
        <f>SUMIFS(Imput[[Importe Neto]:[Importe Neto]],Imput[[C. Imp.]:[C. Imp.]],$D902,Imput[[PERIODO Imp.]:[PERIODO Imp.]],CI$9)</f>
        <v>0</v>
      </c>
      <c r="CJ902" s="693">
        <f>SUMIFS(Imput[[Importe Neto]:[Importe Neto]],Imput[[C. Imp.]:[C. Imp.]],$D902,Imput[[PERIODO Imp.]:[PERIODO Imp.]],CJ$9)</f>
        <v>0</v>
      </c>
      <c r="CK902" s="693">
        <f>SUMIFS(Imput[[Importe Neto]:[Importe Neto]],Imput[[C. Imp.]:[C. Imp.]],$D902,Imput[[PERIODO Imp.]:[PERIODO Imp.]],CK$9)</f>
        <v>0</v>
      </c>
      <c r="CL902" s="693">
        <f>SUMIFS(Imput[[Importe Neto]:[Importe Neto]],Imput[[C. Imp.]:[C. Imp.]],$D902,Imput[[PERIODO Imp.]:[PERIODO Imp.]],CL$9)</f>
        <v>0</v>
      </c>
      <c r="CM902" s="693">
        <f>SUMIFS(Imput[[Importe Neto]:[Importe Neto]],Imput[[C. Imp.]:[C. Imp.]],$D902,Imput[[PERIODO Imp.]:[PERIODO Imp.]],CM$9)</f>
        <v>0</v>
      </c>
      <c r="CN902" s="693">
        <f>SUMIFS(Imput[[Importe Neto]:[Importe Neto]],Imput[[C. Imp.]:[C. Imp.]],$D902,Imput[[PERIODO Imp.]:[PERIODO Imp.]],CN$9)</f>
        <v>0</v>
      </c>
      <c r="CO902" s="693">
        <f>SUMIFS(Imput[[Importe Neto]:[Importe Neto]],Imput[[C. Imp.]:[C. Imp.]],$D902,Imput[[PERIODO Imp.]:[PERIODO Imp.]],CO$9)</f>
        <v>0</v>
      </c>
      <c r="CP902" s="693">
        <f>SUMIFS(Imput[[Importe Neto]:[Importe Neto]],Imput[[C. Imp.]:[C. Imp.]],$D902,Imput[[PERIODO Imp.]:[PERIODO Imp.]],CP$9)</f>
        <v>0</v>
      </c>
      <c r="CQ902" s="693">
        <f>SUMIFS(Imput[[Importe Neto]:[Importe Neto]],Imput[[C. Imp.]:[C. Imp.]],$D902,Imput[[PERIODO Imp.]:[PERIODO Imp.]],CQ$9)</f>
        <v>0</v>
      </c>
      <c r="CR902" s="693">
        <f>SUMIFS(Imput[[Importe Neto]:[Importe Neto]],Imput[[C. Imp.]:[C. Imp.]],$D902,Imput[[PERIODO Imp.]:[PERIODO Imp.]],CR$9)</f>
        <v>0</v>
      </c>
      <c r="CS902" s="693">
        <f>SUMIFS(Imput[[Importe Neto]:[Importe Neto]],Imput[[C. Imp.]:[C. Imp.]],$D902,Imput[[PERIODO Imp.]:[PERIODO Imp.]],CS$9)</f>
        <v>0</v>
      </c>
      <c r="CT902" s="693">
        <f>SUMIFS(Imput[[Importe Neto]:[Importe Neto]],Imput[[C. Imp.]:[C. Imp.]],$D902,Imput[[PERIODO Imp.]:[PERIODO Imp.]],CT$9)</f>
        <v>0</v>
      </c>
      <c r="CU902" s="693">
        <f>SUMIFS(Imput[[Importe Neto]:[Importe Neto]],Imput[[C. Imp.]:[C. Imp.]],$D902,Imput[[PERIODO Imp.]:[PERIODO Imp.]],CU$9)</f>
        <v>0</v>
      </c>
      <c r="CV902" s="693">
        <f>SUMIFS(Imput[[Importe Neto]:[Importe Neto]],Imput[[C. Imp.]:[C. Imp.]],$D902,Imput[[PERIODO Imp.]:[PERIODO Imp.]],CV$9)</f>
        <v>0</v>
      </c>
      <c r="CW902" s="693">
        <f>SUMIFS(Imput[[Importe Neto]:[Importe Neto]],Imput[[C. Imp.]:[C. Imp.]],$D902,Imput[[PERIODO Imp.]:[PERIODO Imp.]],CW$9)</f>
        <v>0</v>
      </c>
      <c r="CX902" s="693">
        <f>SUMIFS(Imput[[Importe Neto]:[Importe Neto]],Imput[[C. Imp.]:[C. Imp.]],$D902,Imput[[PERIODO Imp.]:[PERIODO Imp.]],CX$9)</f>
        <v>0</v>
      </c>
      <c r="CY902" s="693">
        <f>SUMIFS(Imput[[Importe Neto]:[Importe Neto]],Imput[[C. Imp.]:[C. Imp.]],$D902,Imput[[PERIODO Imp.]:[PERIODO Imp.]],CY$9)</f>
        <v>0</v>
      </c>
      <c r="CZ902" s="693">
        <f>SUMIFS(Imput[[Importe Neto]:[Importe Neto]],Imput[[C. Imp.]:[C. Imp.]],$D902,Imput[[PERIODO Imp.]:[PERIODO Imp.]],CZ$9)</f>
        <v>0</v>
      </c>
      <c r="DA902" s="693">
        <f>SUMIFS(Imput[[Importe Neto]:[Importe Neto]],Imput[[C. Imp.]:[C. Imp.]],$D902,Imput[[PERIODO Imp.]:[PERIODO Imp.]],DA$9)</f>
        <v>0</v>
      </c>
      <c r="DB902" s="693">
        <f>SUMIFS(Imput[[Importe Neto]:[Importe Neto]],Imput[[C. Imp.]:[C. Imp.]],$D902,Imput[[PERIODO Imp.]:[PERIODO Imp.]],DB$9)</f>
        <v>0</v>
      </c>
      <c r="DC902" s="693">
        <f>SUMIFS(Imput[[Importe Neto]:[Importe Neto]],Imput[[C. Imp.]:[C. Imp.]],$D902,Imput[[PERIODO Imp.]:[PERIODO Imp.]],DC$9)</f>
        <v>0</v>
      </c>
      <c r="DD902" s="693">
        <f>SUMIFS(Imput[[Importe Neto]:[Importe Neto]],Imput[[C. Imp.]:[C. Imp.]],$D902,Imput[[PERIODO Imp.]:[PERIODO Imp.]],DD$9)</f>
        <v>0</v>
      </c>
      <c r="DE902" s="693">
        <f>SUMIFS(Imput[[Importe Neto]:[Importe Neto]],Imput[[C. Imp.]:[C. Imp.]],$D902,Imput[[PERIODO Imp.]:[PERIODO Imp.]],DE$9)</f>
        <v>0</v>
      </c>
      <c r="DF902" s="693">
        <f>SUMIFS(Imput[[Importe Neto]:[Importe Neto]],Imput[[C. Imp.]:[C. Imp.]],$D902,Imput[[PERIODO Imp.]:[PERIODO Imp.]],DF$9)</f>
        <v>0</v>
      </c>
      <c r="DG902" s="693">
        <f>SUMIFS(Imput[[Importe Neto]:[Importe Neto]],Imput[[C. Imp.]:[C. Imp.]],$D902,Imput[[PERIODO Imp.]:[PERIODO Imp.]],DG$9)</f>
        <v>0</v>
      </c>
      <c r="DH902" s="694">
        <f>SUMIFS(Imput[[Importe Neto]:[Importe Neto]],Imput[[C. Imp.]:[C. Imp.]],$D902,Imput[[PERIODO Imp.]:[PERIODO Imp.]],DH$9)</f>
        <v>0</v>
      </c>
    </row>
    <row r="903" spans="1:112" s="649" customFormat="1" ht="14.4" hidden="1" outlineLevel="1" thickBot="1" x14ac:dyDescent="0.35">
      <c r="A903" s="652" t="str">
        <f t="shared" si="307"/>
        <v/>
      </c>
      <c r="B903" s="652"/>
      <c r="C903" s="685"/>
      <c r="D903" s="686" t="s">
        <v>2871</v>
      </c>
      <c r="E903" s="686"/>
      <c r="F903" s="720"/>
      <c r="G903" s="688"/>
      <c r="H903" s="689"/>
      <c r="I903" s="851" t="str">
        <f t="shared" si="308"/>
        <v/>
      </c>
      <c r="J903" s="850" t="str">
        <f t="shared" si="309"/>
        <v/>
      </c>
      <c r="K903" s="667"/>
      <c r="L903" s="858"/>
      <c r="M903" s="859"/>
      <c r="N903" s="859"/>
      <c r="O903" s="859"/>
      <c r="P903" s="859"/>
      <c r="Q903" s="859"/>
      <c r="R903" s="859"/>
      <c r="S903" s="859"/>
      <c r="T903" s="859"/>
      <c r="U903" s="859"/>
      <c r="V903" s="859"/>
      <c r="W903" s="859"/>
      <c r="X903" s="859"/>
      <c r="Y903" s="859"/>
      <c r="Z903" s="860"/>
      <c r="AA903" s="860"/>
      <c r="AB903" s="860"/>
      <c r="AC903" s="860"/>
      <c r="AD903" s="860"/>
      <c r="AE903" s="860"/>
      <c r="AF903" s="860"/>
      <c r="AG903" s="860"/>
      <c r="AH903" s="860"/>
      <c r="AI903" s="860"/>
      <c r="AJ903" s="860"/>
      <c r="AK903" s="860"/>
      <c r="AL903" s="860"/>
      <c r="AM903" s="860"/>
      <c r="AN903" s="860"/>
      <c r="AO903" s="860"/>
      <c r="AP903" s="860"/>
      <c r="AQ903" s="860"/>
      <c r="AR903" s="860"/>
      <c r="AS903" s="860"/>
      <c r="AT903" s="860"/>
      <c r="AU903" s="860"/>
      <c r="AV903" s="860"/>
      <c r="AW903" s="860"/>
      <c r="AX903" s="860"/>
      <c r="AY903" s="860"/>
      <c r="AZ903" s="860"/>
      <c r="BA903" s="860"/>
      <c r="BB903" s="860"/>
      <c r="BC903" s="860"/>
      <c r="BD903" s="860"/>
      <c r="BE903" s="860"/>
      <c r="BF903" s="860"/>
      <c r="BG903" s="860"/>
      <c r="BH903" s="668"/>
      <c r="BI903" s="667"/>
      <c r="BJ903" s="690">
        <f t="shared" si="310"/>
        <v>0</v>
      </c>
      <c r="BK903" s="691">
        <f t="shared" si="311"/>
        <v>0</v>
      </c>
      <c r="BL903" s="654"/>
      <c r="BM903" s="692">
        <f>SUMIFS(Imput[[Importe Neto]:[Importe Neto]],Imput[[C. Imp.]:[C. Imp.]],$D903,Imput[[PERIODO Imp.]:[PERIODO Imp.]],BM$9)</f>
        <v>0</v>
      </c>
      <c r="BN903" s="693">
        <f>SUMIFS(Imput[[Importe Neto]:[Importe Neto]],Imput[[C. Imp.]:[C. Imp.]],$D903,Imput[[PERIODO Imp.]:[PERIODO Imp.]],BN$9)</f>
        <v>0</v>
      </c>
      <c r="BO903" s="693">
        <f>SUMIFS(Imput[[Importe Neto]:[Importe Neto]],Imput[[C. Imp.]:[C. Imp.]],$D903,Imput[[PERIODO Imp.]:[PERIODO Imp.]],BO$9)</f>
        <v>0</v>
      </c>
      <c r="BP903" s="693">
        <f>SUMIFS(Imput[[Importe Neto]:[Importe Neto]],Imput[[C. Imp.]:[C. Imp.]],$D903,Imput[[PERIODO Imp.]:[PERIODO Imp.]],BP$9)</f>
        <v>0</v>
      </c>
      <c r="BQ903" s="693">
        <f>SUMIFS(Imput[[Importe Neto]:[Importe Neto]],Imput[[C. Imp.]:[C. Imp.]],$D903,Imput[[PERIODO Imp.]:[PERIODO Imp.]],BQ$9)</f>
        <v>0</v>
      </c>
      <c r="BR903" s="693">
        <f>SUMIFS(Imput[[Importe Neto]:[Importe Neto]],Imput[[C. Imp.]:[C. Imp.]],$D903,Imput[[PERIODO Imp.]:[PERIODO Imp.]],BR$9)</f>
        <v>0</v>
      </c>
      <c r="BS903" s="693">
        <f>SUMIFS(Imput[[Importe Neto]:[Importe Neto]],Imput[[C. Imp.]:[C. Imp.]],$D903,Imput[[PERIODO Imp.]:[PERIODO Imp.]],BS$9)</f>
        <v>0</v>
      </c>
      <c r="BT903" s="693">
        <f>SUMIFS(Imput[[Importe Neto]:[Importe Neto]],Imput[[C. Imp.]:[C. Imp.]],$D903,Imput[[PERIODO Imp.]:[PERIODO Imp.]],BT$9)</f>
        <v>0</v>
      </c>
      <c r="BU903" s="693">
        <f>SUMIFS(Imput[[Importe Neto]:[Importe Neto]],Imput[[C. Imp.]:[C. Imp.]],$D903,Imput[[PERIODO Imp.]:[PERIODO Imp.]],BU$9)</f>
        <v>0</v>
      </c>
      <c r="BV903" s="693">
        <f>SUMIFS(Imput[[Importe Neto]:[Importe Neto]],Imput[[C. Imp.]:[C. Imp.]],$D903,Imput[[PERIODO Imp.]:[PERIODO Imp.]],BV$9)</f>
        <v>0</v>
      </c>
      <c r="BW903" s="693">
        <f>SUMIFS(Imput[[Importe Neto]:[Importe Neto]],Imput[[C. Imp.]:[C. Imp.]],$D903,Imput[[PERIODO Imp.]:[PERIODO Imp.]],BW$9)</f>
        <v>0</v>
      </c>
      <c r="BX903" s="693">
        <f>SUMIFS(Imput[[Importe Neto]:[Importe Neto]],Imput[[C. Imp.]:[C. Imp.]],$D903,Imput[[PERIODO Imp.]:[PERIODO Imp.]],BX$9)</f>
        <v>0</v>
      </c>
      <c r="BY903" s="693">
        <f>SUMIFS(Imput[[Importe Neto]:[Importe Neto]],Imput[[C. Imp.]:[C. Imp.]],$D903,Imput[[PERIODO Imp.]:[PERIODO Imp.]],BY$9)</f>
        <v>0</v>
      </c>
      <c r="BZ903" s="693">
        <f>SUMIFS(Imput[[Importe Neto]:[Importe Neto]],Imput[[C. Imp.]:[C. Imp.]],$D903,Imput[[PERIODO Imp.]:[PERIODO Imp.]],BZ$9)</f>
        <v>0</v>
      </c>
      <c r="CA903" s="693">
        <f>SUMIFS(Imput[[Importe Neto]:[Importe Neto]],Imput[[C. Imp.]:[C. Imp.]],$D903,Imput[[PERIODO Imp.]:[PERIODO Imp.]],CA$9)</f>
        <v>0</v>
      </c>
      <c r="CB903" s="693">
        <f>SUMIFS(Imput[[Importe Neto]:[Importe Neto]],Imput[[C. Imp.]:[C. Imp.]],$D903,Imput[[PERIODO Imp.]:[PERIODO Imp.]],CB$9)</f>
        <v>0</v>
      </c>
      <c r="CC903" s="693">
        <f>SUMIFS(Imput[[Importe Neto]:[Importe Neto]],Imput[[C. Imp.]:[C. Imp.]],$D903,Imput[[PERIODO Imp.]:[PERIODO Imp.]],CC$9)</f>
        <v>0</v>
      </c>
      <c r="CD903" s="693">
        <f>SUMIFS(Imput[[Importe Neto]:[Importe Neto]],Imput[[C. Imp.]:[C. Imp.]],$D903,Imput[[PERIODO Imp.]:[PERIODO Imp.]],CD$9)</f>
        <v>0</v>
      </c>
      <c r="CE903" s="693">
        <f>SUMIFS(Imput[[Importe Neto]:[Importe Neto]],Imput[[C. Imp.]:[C. Imp.]],$D903,Imput[[PERIODO Imp.]:[PERIODO Imp.]],CE$9)</f>
        <v>0</v>
      </c>
      <c r="CF903" s="693">
        <f>SUMIFS(Imput[[Importe Neto]:[Importe Neto]],Imput[[C. Imp.]:[C. Imp.]],$D903,Imput[[PERIODO Imp.]:[PERIODO Imp.]],CF$9)</f>
        <v>0</v>
      </c>
      <c r="CG903" s="693">
        <f>SUMIFS(Imput[[Importe Neto]:[Importe Neto]],Imput[[C. Imp.]:[C. Imp.]],$D903,Imput[[PERIODO Imp.]:[PERIODO Imp.]],CG$9)</f>
        <v>0</v>
      </c>
      <c r="CH903" s="693">
        <f>SUMIFS(Imput[[Importe Neto]:[Importe Neto]],Imput[[C. Imp.]:[C. Imp.]],$D903,Imput[[PERIODO Imp.]:[PERIODO Imp.]],CH$9)</f>
        <v>0</v>
      </c>
      <c r="CI903" s="693">
        <f>SUMIFS(Imput[[Importe Neto]:[Importe Neto]],Imput[[C. Imp.]:[C. Imp.]],$D903,Imput[[PERIODO Imp.]:[PERIODO Imp.]],CI$9)</f>
        <v>0</v>
      </c>
      <c r="CJ903" s="693">
        <f>SUMIFS(Imput[[Importe Neto]:[Importe Neto]],Imput[[C. Imp.]:[C. Imp.]],$D903,Imput[[PERIODO Imp.]:[PERIODO Imp.]],CJ$9)</f>
        <v>0</v>
      </c>
      <c r="CK903" s="693">
        <f>SUMIFS(Imput[[Importe Neto]:[Importe Neto]],Imput[[C. Imp.]:[C. Imp.]],$D903,Imput[[PERIODO Imp.]:[PERIODO Imp.]],CK$9)</f>
        <v>0</v>
      </c>
      <c r="CL903" s="693">
        <f>SUMIFS(Imput[[Importe Neto]:[Importe Neto]],Imput[[C. Imp.]:[C. Imp.]],$D903,Imput[[PERIODO Imp.]:[PERIODO Imp.]],CL$9)</f>
        <v>0</v>
      </c>
      <c r="CM903" s="693">
        <f>SUMIFS(Imput[[Importe Neto]:[Importe Neto]],Imput[[C. Imp.]:[C. Imp.]],$D903,Imput[[PERIODO Imp.]:[PERIODO Imp.]],CM$9)</f>
        <v>0</v>
      </c>
      <c r="CN903" s="693">
        <f>SUMIFS(Imput[[Importe Neto]:[Importe Neto]],Imput[[C. Imp.]:[C. Imp.]],$D903,Imput[[PERIODO Imp.]:[PERIODO Imp.]],CN$9)</f>
        <v>0</v>
      </c>
      <c r="CO903" s="693">
        <f>SUMIFS(Imput[[Importe Neto]:[Importe Neto]],Imput[[C. Imp.]:[C. Imp.]],$D903,Imput[[PERIODO Imp.]:[PERIODO Imp.]],CO$9)</f>
        <v>0</v>
      </c>
      <c r="CP903" s="693">
        <f>SUMIFS(Imput[[Importe Neto]:[Importe Neto]],Imput[[C. Imp.]:[C. Imp.]],$D903,Imput[[PERIODO Imp.]:[PERIODO Imp.]],CP$9)</f>
        <v>0</v>
      </c>
      <c r="CQ903" s="693">
        <f>SUMIFS(Imput[[Importe Neto]:[Importe Neto]],Imput[[C. Imp.]:[C. Imp.]],$D903,Imput[[PERIODO Imp.]:[PERIODO Imp.]],CQ$9)</f>
        <v>0</v>
      </c>
      <c r="CR903" s="693">
        <f>SUMIFS(Imput[[Importe Neto]:[Importe Neto]],Imput[[C. Imp.]:[C. Imp.]],$D903,Imput[[PERIODO Imp.]:[PERIODO Imp.]],CR$9)</f>
        <v>0</v>
      </c>
      <c r="CS903" s="693">
        <f>SUMIFS(Imput[[Importe Neto]:[Importe Neto]],Imput[[C. Imp.]:[C. Imp.]],$D903,Imput[[PERIODO Imp.]:[PERIODO Imp.]],CS$9)</f>
        <v>0</v>
      </c>
      <c r="CT903" s="693">
        <f>SUMIFS(Imput[[Importe Neto]:[Importe Neto]],Imput[[C. Imp.]:[C. Imp.]],$D903,Imput[[PERIODO Imp.]:[PERIODO Imp.]],CT$9)</f>
        <v>0</v>
      </c>
      <c r="CU903" s="693">
        <f>SUMIFS(Imput[[Importe Neto]:[Importe Neto]],Imput[[C. Imp.]:[C. Imp.]],$D903,Imput[[PERIODO Imp.]:[PERIODO Imp.]],CU$9)</f>
        <v>0</v>
      </c>
      <c r="CV903" s="693">
        <f>SUMIFS(Imput[[Importe Neto]:[Importe Neto]],Imput[[C. Imp.]:[C. Imp.]],$D903,Imput[[PERIODO Imp.]:[PERIODO Imp.]],CV$9)</f>
        <v>0</v>
      </c>
      <c r="CW903" s="693">
        <f>SUMIFS(Imput[[Importe Neto]:[Importe Neto]],Imput[[C. Imp.]:[C. Imp.]],$D903,Imput[[PERIODO Imp.]:[PERIODO Imp.]],CW$9)</f>
        <v>0</v>
      </c>
      <c r="CX903" s="693">
        <f>SUMIFS(Imput[[Importe Neto]:[Importe Neto]],Imput[[C. Imp.]:[C. Imp.]],$D903,Imput[[PERIODO Imp.]:[PERIODO Imp.]],CX$9)</f>
        <v>0</v>
      </c>
      <c r="CY903" s="693">
        <f>SUMIFS(Imput[[Importe Neto]:[Importe Neto]],Imput[[C. Imp.]:[C. Imp.]],$D903,Imput[[PERIODO Imp.]:[PERIODO Imp.]],CY$9)</f>
        <v>0</v>
      </c>
      <c r="CZ903" s="693">
        <f>SUMIFS(Imput[[Importe Neto]:[Importe Neto]],Imput[[C. Imp.]:[C. Imp.]],$D903,Imput[[PERIODO Imp.]:[PERIODO Imp.]],CZ$9)</f>
        <v>0</v>
      </c>
      <c r="DA903" s="693">
        <f>SUMIFS(Imput[[Importe Neto]:[Importe Neto]],Imput[[C. Imp.]:[C. Imp.]],$D903,Imput[[PERIODO Imp.]:[PERIODO Imp.]],DA$9)</f>
        <v>0</v>
      </c>
      <c r="DB903" s="693">
        <f>SUMIFS(Imput[[Importe Neto]:[Importe Neto]],Imput[[C. Imp.]:[C. Imp.]],$D903,Imput[[PERIODO Imp.]:[PERIODO Imp.]],DB$9)</f>
        <v>0</v>
      </c>
      <c r="DC903" s="693">
        <f>SUMIFS(Imput[[Importe Neto]:[Importe Neto]],Imput[[C. Imp.]:[C. Imp.]],$D903,Imput[[PERIODO Imp.]:[PERIODO Imp.]],DC$9)</f>
        <v>0</v>
      </c>
      <c r="DD903" s="693">
        <f>SUMIFS(Imput[[Importe Neto]:[Importe Neto]],Imput[[C. Imp.]:[C. Imp.]],$D903,Imput[[PERIODO Imp.]:[PERIODO Imp.]],DD$9)</f>
        <v>0</v>
      </c>
      <c r="DE903" s="693">
        <f>SUMIFS(Imput[[Importe Neto]:[Importe Neto]],Imput[[C. Imp.]:[C. Imp.]],$D903,Imput[[PERIODO Imp.]:[PERIODO Imp.]],DE$9)</f>
        <v>0</v>
      </c>
      <c r="DF903" s="693">
        <f>SUMIFS(Imput[[Importe Neto]:[Importe Neto]],Imput[[C. Imp.]:[C. Imp.]],$D903,Imput[[PERIODO Imp.]:[PERIODO Imp.]],DF$9)</f>
        <v>0</v>
      </c>
      <c r="DG903" s="693">
        <f>SUMIFS(Imput[[Importe Neto]:[Importe Neto]],Imput[[C. Imp.]:[C. Imp.]],$D903,Imput[[PERIODO Imp.]:[PERIODO Imp.]],DG$9)</f>
        <v>0</v>
      </c>
      <c r="DH903" s="694">
        <f>SUMIFS(Imput[[Importe Neto]:[Importe Neto]],Imput[[C. Imp.]:[C. Imp.]],$D903,Imput[[PERIODO Imp.]:[PERIODO Imp.]],DH$9)</f>
        <v>0</v>
      </c>
    </row>
    <row r="904" spans="1:112" s="649" customFormat="1" ht="14.4" hidden="1" outlineLevel="1" thickBot="1" x14ac:dyDescent="0.35">
      <c r="A904" s="652" t="str">
        <f t="shared" si="307"/>
        <v/>
      </c>
      <c r="B904" s="652"/>
      <c r="C904" s="685"/>
      <c r="D904" s="686" t="s">
        <v>2872</v>
      </c>
      <c r="E904" s="686"/>
      <c r="F904" s="720"/>
      <c r="G904" s="688"/>
      <c r="H904" s="689"/>
      <c r="I904" s="851" t="str">
        <f t="shared" si="308"/>
        <v/>
      </c>
      <c r="J904" s="850" t="str">
        <f t="shared" si="309"/>
        <v/>
      </c>
      <c r="K904" s="667"/>
      <c r="L904" s="858"/>
      <c r="M904" s="859"/>
      <c r="N904" s="859"/>
      <c r="O904" s="859"/>
      <c r="P904" s="859"/>
      <c r="Q904" s="859"/>
      <c r="R904" s="859"/>
      <c r="S904" s="859"/>
      <c r="T904" s="859"/>
      <c r="U904" s="859"/>
      <c r="V904" s="859"/>
      <c r="W904" s="859"/>
      <c r="X904" s="859"/>
      <c r="Y904" s="859"/>
      <c r="Z904" s="860"/>
      <c r="AA904" s="860"/>
      <c r="AB904" s="860"/>
      <c r="AC904" s="860"/>
      <c r="AD904" s="860"/>
      <c r="AE904" s="860"/>
      <c r="AF904" s="860"/>
      <c r="AG904" s="860"/>
      <c r="AH904" s="860"/>
      <c r="AI904" s="860"/>
      <c r="AJ904" s="860"/>
      <c r="AK904" s="860"/>
      <c r="AL904" s="860"/>
      <c r="AM904" s="860"/>
      <c r="AN904" s="860"/>
      <c r="AO904" s="860"/>
      <c r="AP904" s="860"/>
      <c r="AQ904" s="860"/>
      <c r="AR904" s="860"/>
      <c r="AS904" s="860"/>
      <c r="AT904" s="860"/>
      <c r="AU904" s="860"/>
      <c r="AV904" s="860"/>
      <c r="AW904" s="860"/>
      <c r="AX904" s="860"/>
      <c r="AY904" s="860"/>
      <c r="AZ904" s="860"/>
      <c r="BA904" s="860"/>
      <c r="BB904" s="860"/>
      <c r="BC904" s="860"/>
      <c r="BD904" s="860"/>
      <c r="BE904" s="860"/>
      <c r="BF904" s="860"/>
      <c r="BG904" s="860"/>
      <c r="BH904" s="668"/>
      <c r="BI904" s="667"/>
      <c r="BJ904" s="690">
        <f t="shared" si="310"/>
        <v>0</v>
      </c>
      <c r="BK904" s="691">
        <f t="shared" si="311"/>
        <v>0</v>
      </c>
      <c r="BL904" s="654"/>
      <c r="BM904" s="692">
        <f>SUMIFS(Imput[[Importe Neto]:[Importe Neto]],Imput[[C. Imp.]:[C. Imp.]],$D904,Imput[[PERIODO Imp.]:[PERIODO Imp.]],BM$9)</f>
        <v>0</v>
      </c>
      <c r="BN904" s="693">
        <f>SUMIFS(Imput[[Importe Neto]:[Importe Neto]],Imput[[C. Imp.]:[C. Imp.]],$D904,Imput[[PERIODO Imp.]:[PERIODO Imp.]],BN$9)</f>
        <v>0</v>
      </c>
      <c r="BO904" s="693">
        <f>SUMIFS(Imput[[Importe Neto]:[Importe Neto]],Imput[[C. Imp.]:[C. Imp.]],$D904,Imput[[PERIODO Imp.]:[PERIODO Imp.]],BO$9)</f>
        <v>0</v>
      </c>
      <c r="BP904" s="693">
        <f>SUMIFS(Imput[[Importe Neto]:[Importe Neto]],Imput[[C. Imp.]:[C. Imp.]],$D904,Imput[[PERIODO Imp.]:[PERIODO Imp.]],BP$9)</f>
        <v>0</v>
      </c>
      <c r="BQ904" s="693">
        <f>SUMIFS(Imput[[Importe Neto]:[Importe Neto]],Imput[[C. Imp.]:[C. Imp.]],$D904,Imput[[PERIODO Imp.]:[PERIODO Imp.]],BQ$9)</f>
        <v>0</v>
      </c>
      <c r="BR904" s="693">
        <f>SUMIFS(Imput[[Importe Neto]:[Importe Neto]],Imput[[C. Imp.]:[C. Imp.]],$D904,Imput[[PERIODO Imp.]:[PERIODO Imp.]],BR$9)</f>
        <v>0</v>
      </c>
      <c r="BS904" s="693">
        <f>SUMIFS(Imput[[Importe Neto]:[Importe Neto]],Imput[[C. Imp.]:[C. Imp.]],$D904,Imput[[PERIODO Imp.]:[PERIODO Imp.]],BS$9)</f>
        <v>0</v>
      </c>
      <c r="BT904" s="693">
        <f>SUMIFS(Imput[[Importe Neto]:[Importe Neto]],Imput[[C. Imp.]:[C. Imp.]],$D904,Imput[[PERIODO Imp.]:[PERIODO Imp.]],BT$9)</f>
        <v>0</v>
      </c>
      <c r="BU904" s="693">
        <f>SUMIFS(Imput[[Importe Neto]:[Importe Neto]],Imput[[C. Imp.]:[C. Imp.]],$D904,Imput[[PERIODO Imp.]:[PERIODO Imp.]],BU$9)</f>
        <v>0</v>
      </c>
      <c r="BV904" s="693">
        <f>SUMIFS(Imput[[Importe Neto]:[Importe Neto]],Imput[[C. Imp.]:[C. Imp.]],$D904,Imput[[PERIODO Imp.]:[PERIODO Imp.]],BV$9)</f>
        <v>0</v>
      </c>
      <c r="BW904" s="693">
        <f>SUMIFS(Imput[[Importe Neto]:[Importe Neto]],Imput[[C. Imp.]:[C. Imp.]],$D904,Imput[[PERIODO Imp.]:[PERIODO Imp.]],BW$9)</f>
        <v>0</v>
      </c>
      <c r="BX904" s="693">
        <f>SUMIFS(Imput[[Importe Neto]:[Importe Neto]],Imput[[C. Imp.]:[C. Imp.]],$D904,Imput[[PERIODO Imp.]:[PERIODO Imp.]],BX$9)</f>
        <v>0</v>
      </c>
      <c r="BY904" s="693">
        <f>SUMIFS(Imput[[Importe Neto]:[Importe Neto]],Imput[[C. Imp.]:[C. Imp.]],$D904,Imput[[PERIODO Imp.]:[PERIODO Imp.]],BY$9)</f>
        <v>0</v>
      </c>
      <c r="BZ904" s="693">
        <f>SUMIFS(Imput[[Importe Neto]:[Importe Neto]],Imput[[C. Imp.]:[C. Imp.]],$D904,Imput[[PERIODO Imp.]:[PERIODO Imp.]],BZ$9)</f>
        <v>0</v>
      </c>
      <c r="CA904" s="693">
        <f>SUMIFS(Imput[[Importe Neto]:[Importe Neto]],Imput[[C. Imp.]:[C. Imp.]],$D904,Imput[[PERIODO Imp.]:[PERIODO Imp.]],CA$9)</f>
        <v>0</v>
      </c>
      <c r="CB904" s="693">
        <f>SUMIFS(Imput[[Importe Neto]:[Importe Neto]],Imput[[C. Imp.]:[C. Imp.]],$D904,Imput[[PERIODO Imp.]:[PERIODO Imp.]],CB$9)</f>
        <v>0</v>
      </c>
      <c r="CC904" s="693">
        <f>SUMIFS(Imput[[Importe Neto]:[Importe Neto]],Imput[[C. Imp.]:[C. Imp.]],$D904,Imput[[PERIODO Imp.]:[PERIODO Imp.]],CC$9)</f>
        <v>0</v>
      </c>
      <c r="CD904" s="693">
        <f>SUMIFS(Imput[[Importe Neto]:[Importe Neto]],Imput[[C. Imp.]:[C. Imp.]],$D904,Imput[[PERIODO Imp.]:[PERIODO Imp.]],CD$9)</f>
        <v>0</v>
      </c>
      <c r="CE904" s="693">
        <f>SUMIFS(Imput[[Importe Neto]:[Importe Neto]],Imput[[C. Imp.]:[C. Imp.]],$D904,Imput[[PERIODO Imp.]:[PERIODO Imp.]],CE$9)</f>
        <v>0</v>
      </c>
      <c r="CF904" s="693">
        <f>SUMIFS(Imput[[Importe Neto]:[Importe Neto]],Imput[[C. Imp.]:[C. Imp.]],$D904,Imput[[PERIODO Imp.]:[PERIODO Imp.]],CF$9)</f>
        <v>0</v>
      </c>
      <c r="CG904" s="693">
        <f>SUMIFS(Imput[[Importe Neto]:[Importe Neto]],Imput[[C. Imp.]:[C. Imp.]],$D904,Imput[[PERIODO Imp.]:[PERIODO Imp.]],CG$9)</f>
        <v>0</v>
      </c>
      <c r="CH904" s="693">
        <f>SUMIFS(Imput[[Importe Neto]:[Importe Neto]],Imput[[C. Imp.]:[C. Imp.]],$D904,Imput[[PERIODO Imp.]:[PERIODO Imp.]],CH$9)</f>
        <v>0</v>
      </c>
      <c r="CI904" s="693">
        <f>SUMIFS(Imput[[Importe Neto]:[Importe Neto]],Imput[[C. Imp.]:[C. Imp.]],$D904,Imput[[PERIODO Imp.]:[PERIODO Imp.]],CI$9)</f>
        <v>0</v>
      </c>
      <c r="CJ904" s="693">
        <f>SUMIFS(Imput[[Importe Neto]:[Importe Neto]],Imput[[C. Imp.]:[C. Imp.]],$D904,Imput[[PERIODO Imp.]:[PERIODO Imp.]],CJ$9)</f>
        <v>0</v>
      </c>
      <c r="CK904" s="693">
        <f>SUMIFS(Imput[[Importe Neto]:[Importe Neto]],Imput[[C. Imp.]:[C. Imp.]],$D904,Imput[[PERIODO Imp.]:[PERIODO Imp.]],CK$9)</f>
        <v>0</v>
      </c>
      <c r="CL904" s="693">
        <f>SUMIFS(Imput[[Importe Neto]:[Importe Neto]],Imput[[C. Imp.]:[C. Imp.]],$D904,Imput[[PERIODO Imp.]:[PERIODO Imp.]],CL$9)</f>
        <v>0</v>
      </c>
      <c r="CM904" s="693">
        <f>SUMIFS(Imput[[Importe Neto]:[Importe Neto]],Imput[[C. Imp.]:[C. Imp.]],$D904,Imput[[PERIODO Imp.]:[PERIODO Imp.]],CM$9)</f>
        <v>0</v>
      </c>
      <c r="CN904" s="693">
        <f>SUMIFS(Imput[[Importe Neto]:[Importe Neto]],Imput[[C. Imp.]:[C. Imp.]],$D904,Imput[[PERIODO Imp.]:[PERIODO Imp.]],CN$9)</f>
        <v>0</v>
      </c>
      <c r="CO904" s="693">
        <f>SUMIFS(Imput[[Importe Neto]:[Importe Neto]],Imput[[C. Imp.]:[C. Imp.]],$D904,Imput[[PERIODO Imp.]:[PERIODO Imp.]],CO$9)</f>
        <v>0</v>
      </c>
      <c r="CP904" s="693">
        <f>SUMIFS(Imput[[Importe Neto]:[Importe Neto]],Imput[[C. Imp.]:[C. Imp.]],$D904,Imput[[PERIODO Imp.]:[PERIODO Imp.]],CP$9)</f>
        <v>0</v>
      </c>
      <c r="CQ904" s="693">
        <f>SUMIFS(Imput[[Importe Neto]:[Importe Neto]],Imput[[C. Imp.]:[C. Imp.]],$D904,Imput[[PERIODO Imp.]:[PERIODO Imp.]],CQ$9)</f>
        <v>0</v>
      </c>
      <c r="CR904" s="693">
        <f>SUMIFS(Imput[[Importe Neto]:[Importe Neto]],Imput[[C. Imp.]:[C. Imp.]],$D904,Imput[[PERIODO Imp.]:[PERIODO Imp.]],CR$9)</f>
        <v>0</v>
      </c>
      <c r="CS904" s="693">
        <f>SUMIFS(Imput[[Importe Neto]:[Importe Neto]],Imput[[C. Imp.]:[C. Imp.]],$D904,Imput[[PERIODO Imp.]:[PERIODO Imp.]],CS$9)</f>
        <v>0</v>
      </c>
      <c r="CT904" s="693">
        <f>SUMIFS(Imput[[Importe Neto]:[Importe Neto]],Imput[[C. Imp.]:[C. Imp.]],$D904,Imput[[PERIODO Imp.]:[PERIODO Imp.]],CT$9)</f>
        <v>0</v>
      </c>
      <c r="CU904" s="693">
        <f>SUMIFS(Imput[[Importe Neto]:[Importe Neto]],Imput[[C. Imp.]:[C. Imp.]],$D904,Imput[[PERIODO Imp.]:[PERIODO Imp.]],CU$9)</f>
        <v>0</v>
      </c>
      <c r="CV904" s="693">
        <f>SUMIFS(Imput[[Importe Neto]:[Importe Neto]],Imput[[C. Imp.]:[C. Imp.]],$D904,Imput[[PERIODO Imp.]:[PERIODO Imp.]],CV$9)</f>
        <v>0</v>
      </c>
      <c r="CW904" s="693">
        <f>SUMIFS(Imput[[Importe Neto]:[Importe Neto]],Imput[[C. Imp.]:[C. Imp.]],$D904,Imput[[PERIODO Imp.]:[PERIODO Imp.]],CW$9)</f>
        <v>0</v>
      </c>
      <c r="CX904" s="693">
        <f>SUMIFS(Imput[[Importe Neto]:[Importe Neto]],Imput[[C. Imp.]:[C. Imp.]],$D904,Imput[[PERIODO Imp.]:[PERIODO Imp.]],CX$9)</f>
        <v>0</v>
      </c>
      <c r="CY904" s="693">
        <f>SUMIFS(Imput[[Importe Neto]:[Importe Neto]],Imput[[C. Imp.]:[C. Imp.]],$D904,Imput[[PERIODO Imp.]:[PERIODO Imp.]],CY$9)</f>
        <v>0</v>
      </c>
      <c r="CZ904" s="693">
        <f>SUMIFS(Imput[[Importe Neto]:[Importe Neto]],Imput[[C. Imp.]:[C. Imp.]],$D904,Imput[[PERIODO Imp.]:[PERIODO Imp.]],CZ$9)</f>
        <v>0</v>
      </c>
      <c r="DA904" s="693">
        <f>SUMIFS(Imput[[Importe Neto]:[Importe Neto]],Imput[[C. Imp.]:[C. Imp.]],$D904,Imput[[PERIODO Imp.]:[PERIODO Imp.]],DA$9)</f>
        <v>0</v>
      </c>
      <c r="DB904" s="693">
        <f>SUMIFS(Imput[[Importe Neto]:[Importe Neto]],Imput[[C. Imp.]:[C. Imp.]],$D904,Imput[[PERIODO Imp.]:[PERIODO Imp.]],DB$9)</f>
        <v>0</v>
      </c>
      <c r="DC904" s="693">
        <f>SUMIFS(Imput[[Importe Neto]:[Importe Neto]],Imput[[C. Imp.]:[C. Imp.]],$D904,Imput[[PERIODO Imp.]:[PERIODO Imp.]],DC$9)</f>
        <v>0</v>
      </c>
      <c r="DD904" s="693">
        <f>SUMIFS(Imput[[Importe Neto]:[Importe Neto]],Imput[[C. Imp.]:[C. Imp.]],$D904,Imput[[PERIODO Imp.]:[PERIODO Imp.]],DD$9)</f>
        <v>0</v>
      </c>
      <c r="DE904" s="693">
        <f>SUMIFS(Imput[[Importe Neto]:[Importe Neto]],Imput[[C. Imp.]:[C. Imp.]],$D904,Imput[[PERIODO Imp.]:[PERIODO Imp.]],DE$9)</f>
        <v>0</v>
      </c>
      <c r="DF904" s="693">
        <f>SUMIFS(Imput[[Importe Neto]:[Importe Neto]],Imput[[C. Imp.]:[C. Imp.]],$D904,Imput[[PERIODO Imp.]:[PERIODO Imp.]],DF$9)</f>
        <v>0</v>
      </c>
      <c r="DG904" s="693">
        <f>SUMIFS(Imput[[Importe Neto]:[Importe Neto]],Imput[[C. Imp.]:[C. Imp.]],$D904,Imput[[PERIODO Imp.]:[PERIODO Imp.]],DG$9)</f>
        <v>0</v>
      </c>
      <c r="DH904" s="694">
        <f>SUMIFS(Imput[[Importe Neto]:[Importe Neto]],Imput[[C. Imp.]:[C. Imp.]],$D904,Imput[[PERIODO Imp.]:[PERIODO Imp.]],DH$9)</f>
        <v>0</v>
      </c>
    </row>
    <row r="905" spans="1:112" s="649" customFormat="1" ht="14.4" hidden="1" outlineLevel="1" thickBot="1" x14ac:dyDescent="0.35">
      <c r="A905" s="652" t="str">
        <f t="shared" si="307"/>
        <v/>
      </c>
      <c r="B905" s="652"/>
      <c r="C905" s="685"/>
      <c r="D905" s="686" t="s">
        <v>2873</v>
      </c>
      <c r="E905" s="686"/>
      <c r="F905" s="720"/>
      <c r="G905" s="688"/>
      <c r="H905" s="689"/>
      <c r="I905" s="851" t="str">
        <f t="shared" si="308"/>
        <v/>
      </c>
      <c r="J905" s="850" t="str">
        <f t="shared" si="309"/>
        <v/>
      </c>
      <c r="K905" s="667"/>
      <c r="L905" s="858"/>
      <c r="M905" s="859"/>
      <c r="N905" s="859"/>
      <c r="O905" s="859"/>
      <c r="P905" s="859"/>
      <c r="Q905" s="859"/>
      <c r="R905" s="859"/>
      <c r="S905" s="859"/>
      <c r="T905" s="859"/>
      <c r="U905" s="859"/>
      <c r="V905" s="859"/>
      <c r="W905" s="859"/>
      <c r="X905" s="859"/>
      <c r="Y905" s="859"/>
      <c r="Z905" s="860"/>
      <c r="AA905" s="860"/>
      <c r="AB905" s="860"/>
      <c r="AC905" s="860"/>
      <c r="AD905" s="860"/>
      <c r="AE905" s="860"/>
      <c r="AF905" s="860"/>
      <c r="AG905" s="860"/>
      <c r="AH905" s="860"/>
      <c r="AI905" s="860"/>
      <c r="AJ905" s="860"/>
      <c r="AK905" s="860"/>
      <c r="AL905" s="860"/>
      <c r="AM905" s="860"/>
      <c r="AN905" s="860"/>
      <c r="AO905" s="860"/>
      <c r="AP905" s="860"/>
      <c r="AQ905" s="860"/>
      <c r="AR905" s="860"/>
      <c r="AS905" s="860"/>
      <c r="AT905" s="860"/>
      <c r="AU905" s="860"/>
      <c r="AV905" s="860"/>
      <c r="AW905" s="860"/>
      <c r="AX905" s="860"/>
      <c r="AY905" s="860"/>
      <c r="AZ905" s="860"/>
      <c r="BA905" s="860"/>
      <c r="BB905" s="860"/>
      <c r="BC905" s="860"/>
      <c r="BD905" s="860"/>
      <c r="BE905" s="860"/>
      <c r="BF905" s="860"/>
      <c r="BG905" s="860"/>
      <c r="BH905" s="668"/>
      <c r="BI905" s="667"/>
      <c r="BJ905" s="690">
        <f t="shared" si="310"/>
        <v>0</v>
      </c>
      <c r="BK905" s="691">
        <f t="shared" si="311"/>
        <v>0</v>
      </c>
      <c r="BL905" s="654"/>
      <c r="BM905" s="692">
        <f>SUMIFS(Imput[[Importe Neto]:[Importe Neto]],Imput[[C. Imp.]:[C. Imp.]],$D905,Imput[[PERIODO Imp.]:[PERIODO Imp.]],BM$9)</f>
        <v>0</v>
      </c>
      <c r="BN905" s="693">
        <f>SUMIFS(Imput[[Importe Neto]:[Importe Neto]],Imput[[C. Imp.]:[C. Imp.]],$D905,Imput[[PERIODO Imp.]:[PERIODO Imp.]],BN$9)</f>
        <v>0</v>
      </c>
      <c r="BO905" s="693">
        <f>SUMIFS(Imput[[Importe Neto]:[Importe Neto]],Imput[[C. Imp.]:[C. Imp.]],$D905,Imput[[PERIODO Imp.]:[PERIODO Imp.]],BO$9)</f>
        <v>0</v>
      </c>
      <c r="BP905" s="693">
        <f>SUMIFS(Imput[[Importe Neto]:[Importe Neto]],Imput[[C. Imp.]:[C. Imp.]],$D905,Imput[[PERIODO Imp.]:[PERIODO Imp.]],BP$9)</f>
        <v>0</v>
      </c>
      <c r="BQ905" s="693">
        <f>SUMIFS(Imput[[Importe Neto]:[Importe Neto]],Imput[[C. Imp.]:[C. Imp.]],$D905,Imput[[PERIODO Imp.]:[PERIODO Imp.]],BQ$9)</f>
        <v>0</v>
      </c>
      <c r="BR905" s="693">
        <f>SUMIFS(Imput[[Importe Neto]:[Importe Neto]],Imput[[C. Imp.]:[C. Imp.]],$D905,Imput[[PERIODO Imp.]:[PERIODO Imp.]],BR$9)</f>
        <v>0</v>
      </c>
      <c r="BS905" s="693">
        <f>SUMIFS(Imput[[Importe Neto]:[Importe Neto]],Imput[[C. Imp.]:[C. Imp.]],$D905,Imput[[PERIODO Imp.]:[PERIODO Imp.]],BS$9)</f>
        <v>0</v>
      </c>
      <c r="BT905" s="693">
        <f>SUMIFS(Imput[[Importe Neto]:[Importe Neto]],Imput[[C. Imp.]:[C. Imp.]],$D905,Imput[[PERIODO Imp.]:[PERIODO Imp.]],BT$9)</f>
        <v>0</v>
      </c>
      <c r="BU905" s="693">
        <f>SUMIFS(Imput[[Importe Neto]:[Importe Neto]],Imput[[C. Imp.]:[C. Imp.]],$D905,Imput[[PERIODO Imp.]:[PERIODO Imp.]],BU$9)</f>
        <v>0</v>
      </c>
      <c r="BV905" s="693">
        <f>SUMIFS(Imput[[Importe Neto]:[Importe Neto]],Imput[[C. Imp.]:[C. Imp.]],$D905,Imput[[PERIODO Imp.]:[PERIODO Imp.]],BV$9)</f>
        <v>0</v>
      </c>
      <c r="BW905" s="693">
        <f>SUMIFS(Imput[[Importe Neto]:[Importe Neto]],Imput[[C. Imp.]:[C. Imp.]],$D905,Imput[[PERIODO Imp.]:[PERIODO Imp.]],BW$9)</f>
        <v>0</v>
      </c>
      <c r="BX905" s="693">
        <f>SUMIFS(Imput[[Importe Neto]:[Importe Neto]],Imput[[C. Imp.]:[C. Imp.]],$D905,Imput[[PERIODO Imp.]:[PERIODO Imp.]],BX$9)</f>
        <v>0</v>
      </c>
      <c r="BY905" s="693">
        <f>SUMIFS(Imput[[Importe Neto]:[Importe Neto]],Imput[[C. Imp.]:[C. Imp.]],$D905,Imput[[PERIODO Imp.]:[PERIODO Imp.]],BY$9)</f>
        <v>0</v>
      </c>
      <c r="BZ905" s="693">
        <f>SUMIFS(Imput[[Importe Neto]:[Importe Neto]],Imput[[C. Imp.]:[C. Imp.]],$D905,Imput[[PERIODO Imp.]:[PERIODO Imp.]],BZ$9)</f>
        <v>0</v>
      </c>
      <c r="CA905" s="693">
        <f>SUMIFS(Imput[[Importe Neto]:[Importe Neto]],Imput[[C. Imp.]:[C. Imp.]],$D905,Imput[[PERIODO Imp.]:[PERIODO Imp.]],CA$9)</f>
        <v>0</v>
      </c>
      <c r="CB905" s="693">
        <f>SUMIFS(Imput[[Importe Neto]:[Importe Neto]],Imput[[C. Imp.]:[C. Imp.]],$D905,Imput[[PERIODO Imp.]:[PERIODO Imp.]],CB$9)</f>
        <v>0</v>
      </c>
      <c r="CC905" s="693">
        <f>SUMIFS(Imput[[Importe Neto]:[Importe Neto]],Imput[[C. Imp.]:[C. Imp.]],$D905,Imput[[PERIODO Imp.]:[PERIODO Imp.]],CC$9)</f>
        <v>0</v>
      </c>
      <c r="CD905" s="693">
        <f>SUMIFS(Imput[[Importe Neto]:[Importe Neto]],Imput[[C. Imp.]:[C. Imp.]],$D905,Imput[[PERIODO Imp.]:[PERIODO Imp.]],CD$9)</f>
        <v>0</v>
      </c>
      <c r="CE905" s="693">
        <f>SUMIFS(Imput[[Importe Neto]:[Importe Neto]],Imput[[C. Imp.]:[C. Imp.]],$D905,Imput[[PERIODO Imp.]:[PERIODO Imp.]],CE$9)</f>
        <v>0</v>
      </c>
      <c r="CF905" s="693">
        <f>SUMIFS(Imput[[Importe Neto]:[Importe Neto]],Imput[[C. Imp.]:[C. Imp.]],$D905,Imput[[PERIODO Imp.]:[PERIODO Imp.]],CF$9)</f>
        <v>0</v>
      </c>
      <c r="CG905" s="693">
        <f>SUMIFS(Imput[[Importe Neto]:[Importe Neto]],Imput[[C. Imp.]:[C. Imp.]],$D905,Imput[[PERIODO Imp.]:[PERIODO Imp.]],CG$9)</f>
        <v>0</v>
      </c>
      <c r="CH905" s="693">
        <f>SUMIFS(Imput[[Importe Neto]:[Importe Neto]],Imput[[C. Imp.]:[C. Imp.]],$D905,Imput[[PERIODO Imp.]:[PERIODO Imp.]],CH$9)</f>
        <v>0</v>
      </c>
      <c r="CI905" s="693">
        <f>SUMIFS(Imput[[Importe Neto]:[Importe Neto]],Imput[[C. Imp.]:[C. Imp.]],$D905,Imput[[PERIODO Imp.]:[PERIODO Imp.]],CI$9)</f>
        <v>0</v>
      </c>
      <c r="CJ905" s="693">
        <f>SUMIFS(Imput[[Importe Neto]:[Importe Neto]],Imput[[C. Imp.]:[C. Imp.]],$D905,Imput[[PERIODO Imp.]:[PERIODO Imp.]],CJ$9)</f>
        <v>0</v>
      </c>
      <c r="CK905" s="693">
        <f>SUMIFS(Imput[[Importe Neto]:[Importe Neto]],Imput[[C. Imp.]:[C. Imp.]],$D905,Imput[[PERIODO Imp.]:[PERIODO Imp.]],CK$9)</f>
        <v>0</v>
      </c>
      <c r="CL905" s="693">
        <f>SUMIFS(Imput[[Importe Neto]:[Importe Neto]],Imput[[C. Imp.]:[C. Imp.]],$D905,Imput[[PERIODO Imp.]:[PERIODO Imp.]],CL$9)</f>
        <v>0</v>
      </c>
      <c r="CM905" s="693">
        <f>SUMIFS(Imput[[Importe Neto]:[Importe Neto]],Imput[[C. Imp.]:[C. Imp.]],$D905,Imput[[PERIODO Imp.]:[PERIODO Imp.]],CM$9)</f>
        <v>0</v>
      </c>
      <c r="CN905" s="693">
        <f>SUMIFS(Imput[[Importe Neto]:[Importe Neto]],Imput[[C. Imp.]:[C. Imp.]],$D905,Imput[[PERIODO Imp.]:[PERIODO Imp.]],CN$9)</f>
        <v>0</v>
      </c>
      <c r="CO905" s="693">
        <f>SUMIFS(Imput[[Importe Neto]:[Importe Neto]],Imput[[C. Imp.]:[C. Imp.]],$D905,Imput[[PERIODO Imp.]:[PERIODO Imp.]],CO$9)</f>
        <v>0</v>
      </c>
      <c r="CP905" s="693">
        <f>SUMIFS(Imput[[Importe Neto]:[Importe Neto]],Imput[[C. Imp.]:[C. Imp.]],$D905,Imput[[PERIODO Imp.]:[PERIODO Imp.]],CP$9)</f>
        <v>0</v>
      </c>
      <c r="CQ905" s="693">
        <f>SUMIFS(Imput[[Importe Neto]:[Importe Neto]],Imput[[C. Imp.]:[C. Imp.]],$D905,Imput[[PERIODO Imp.]:[PERIODO Imp.]],CQ$9)</f>
        <v>0</v>
      </c>
      <c r="CR905" s="693">
        <f>SUMIFS(Imput[[Importe Neto]:[Importe Neto]],Imput[[C. Imp.]:[C. Imp.]],$D905,Imput[[PERIODO Imp.]:[PERIODO Imp.]],CR$9)</f>
        <v>0</v>
      </c>
      <c r="CS905" s="693">
        <f>SUMIFS(Imput[[Importe Neto]:[Importe Neto]],Imput[[C. Imp.]:[C. Imp.]],$D905,Imput[[PERIODO Imp.]:[PERIODO Imp.]],CS$9)</f>
        <v>0</v>
      </c>
      <c r="CT905" s="693">
        <f>SUMIFS(Imput[[Importe Neto]:[Importe Neto]],Imput[[C. Imp.]:[C. Imp.]],$D905,Imput[[PERIODO Imp.]:[PERIODO Imp.]],CT$9)</f>
        <v>0</v>
      </c>
      <c r="CU905" s="693">
        <f>SUMIFS(Imput[[Importe Neto]:[Importe Neto]],Imput[[C. Imp.]:[C. Imp.]],$D905,Imput[[PERIODO Imp.]:[PERIODO Imp.]],CU$9)</f>
        <v>0</v>
      </c>
      <c r="CV905" s="693">
        <f>SUMIFS(Imput[[Importe Neto]:[Importe Neto]],Imput[[C. Imp.]:[C. Imp.]],$D905,Imput[[PERIODO Imp.]:[PERIODO Imp.]],CV$9)</f>
        <v>0</v>
      </c>
      <c r="CW905" s="693">
        <f>SUMIFS(Imput[[Importe Neto]:[Importe Neto]],Imput[[C. Imp.]:[C. Imp.]],$D905,Imput[[PERIODO Imp.]:[PERIODO Imp.]],CW$9)</f>
        <v>0</v>
      </c>
      <c r="CX905" s="693">
        <f>SUMIFS(Imput[[Importe Neto]:[Importe Neto]],Imput[[C. Imp.]:[C. Imp.]],$D905,Imput[[PERIODO Imp.]:[PERIODO Imp.]],CX$9)</f>
        <v>0</v>
      </c>
      <c r="CY905" s="693">
        <f>SUMIFS(Imput[[Importe Neto]:[Importe Neto]],Imput[[C. Imp.]:[C. Imp.]],$D905,Imput[[PERIODO Imp.]:[PERIODO Imp.]],CY$9)</f>
        <v>0</v>
      </c>
      <c r="CZ905" s="693">
        <f>SUMIFS(Imput[[Importe Neto]:[Importe Neto]],Imput[[C. Imp.]:[C. Imp.]],$D905,Imput[[PERIODO Imp.]:[PERIODO Imp.]],CZ$9)</f>
        <v>0</v>
      </c>
      <c r="DA905" s="693">
        <f>SUMIFS(Imput[[Importe Neto]:[Importe Neto]],Imput[[C. Imp.]:[C. Imp.]],$D905,Imput[[PERIODO Imp.]:[PERIODO Imp.]],DA$9)</f>
        <v>0</v>
      </c>
      <c r="DB905" s="693">
        <f>SUMIFS(Imput[[Importe Neto]:[Importe Neto]],Imput[[C. Imp.]:[C. Imp.]],$D905,Imput[[PERIODO Imp.]:[PERIODO Imp.]],DB$9)</f>
        <v>0</v>
      </c>
      <c r="DC905" s="693">
        <f>SUMIFS(Imput[[Importe Neto]:[Importe Neto]],Imput[[C. Imp.]:[C. Imp.]],$D905,Imput[[PERIODO Imp.]:[PERIODO Imp.]],DC$9)</f>
        <v>0</v>
      </c>
      <c r="DD905" s="693">
        <f>SUMIFS(Imput[[Importe Neto]:[Importe Neto]],Imput[[C. Imp.]:[C. Imp.]],$D905,Imput[[PERIODO Imp.]:[PERIODO Imp.]],DD$9)</f>
        <v>0</v>
      </c>
      <c r="DE905" s="693">
        <f>SUMIFS(Imput[[Importe Neto]:[Importe Neto]],Imput[[C. Imp.]:[C. Imp.]],$D905,Imput[[PERIODO Imp.]:[PERIODO Imp.]],DE$9)</f>
        <v>0</v>
      </c>
      <c r="DF905" s="693">
        <f>SUMIFS(Imput[[Importe Neto]:[Importe Neto]],Imput[[C. Imp.]:[C. Imp.]],$D905,Imput[[PERIODO Imp.]:[PERIODO Imp.]],DF$9)</f>
        <v>0</v>
      </c>
      <c r="DG905" s="693">
        <f>SUMIFS(Imput[[Importe Neto]:[Importe Neto]],Imput[[C. Imp.]:[C. Imp.]],$D905,Imput[[PERIODO Imp.]:[PERIODO Imp.]],DG$9)</f>
        <v>0</v>
      </c>
      <c r="DH905" s="694">
        <f>SUMIFS(Imput[[Importe Neto]:[Importe Neto]],Imput[[C. Imp.]:[C. Imp.]],$D905,Imput[[PERIODO Imp.]:[PERIODO Imp.]],DH$9)</f>
        <v>0</v>
      </c>
    </row>
    <row r="906" spans="1:112" s="649" customFormat="1" ht="14.4" hidden="1" outlineLevel="1" thickBot="1" x14ac:dyDescent="0.35">
      <c r="A906" s="652" t="str">
        <f t="shared" si="307"/>
        <v/>
      </c>
      <c r="B906" s="652"/>
      <c r="C906" s="685"/>
      <c r="D906" s="686" t="s">
        <v>2874</v>
      </c>
      <c r="E906" s="686"/>
      <c r="F906" s="720"/>
      <c r="G906" s="688"/>
      <c r="H906" s="689"/>
      <c r="I906" s="851" t="str">
        <f t="shared" si="308"/>
        <v/>
      </c>
      <c r="J906" s="850" t="str">
        <f t="shared" si="309"/>
        <v/>
      </c>
      <c r="K906" s="667"/>
      <c r="L906" s="858"/>
      <c r="M906" s="859"/>
      <c r="N906" s="859"/>
      <c r="O906" s="859"/>
      <c r="P906" s="859"/>
      <c r="Q906" s="859"/>
      <c r="R906" s="859"/>
      <c r="S906" s="859"/>
      <c r="T906" s="859"/>
      <c r="U906" s="859"/>
      <c r="V906" s="859"/>
      <c r="W906" s="859"/>
      <c r="X906" s="859"/>
      <c r="Y906" s="859"/>
      <c r="Z906" s="860"/>
      <c r="AA906" s="860"/>
      <c r="AB906" s="860"/>
      <c r="AC906" s="860"/>
      <c r="AD906" s="860"/>
      <c r="AE906" s="860"/>
      <c r="AF906" s="860"/>
      <c r="AG906" s="860"/>
      <c r="AH906" s="860"/>
      <c r="AI906" s="860"/>
      <c r="AJ906" s="860"/>
      <c r="AK906" s="860"/>
      <c r="AL906" s="860"/>
      <c r="AM906" s="860"/>
      <c r="AN906" s="860"/>
      <c r="AO906" s="860"/>
      <c r="AP906" s="860"/>
      <c r="AQ906" s="860"/>
      <c r="AR906" s="860"/>
      <c r="AS906" s="860"/>
      <c r="AT906" s="860"/>
      <c r="AU906" s="860"/>
      <c r="AV906" s="860"/>
      <c r="AW906" s="860"/>
      <c r="AX906" s="860"/>
      <c r="AY906" s="860"/>
      <c r="AZ906" s="860"/>
      <c r="BA906" s="860"/>
      <c r="BB906" s="860"/>
      <c r="BC906" s="860"/>
      <c r="BD906" s="860"/>
      <c r="BE906" s="860"/>
      <c r="BF906" s="860"/>
      <c r="BG906" s="860"/>
      <c r="BH906" s="668"/>
      <c r="BI906" s="667"/>
      <c r="BJ906" s="690">
        <f t="shared" si="310"/>
        <v>0</v>
      </c>
      <c r="BK906" s="691">
        <f t="shared" si="311"/>
        <v>0</v>
      </c>
      <c r="BL906" s="654"/>
      <c r="BM906" s="692">
        <f>SUMIFS(Imput[[Importe Neto]:[Importe Neto]],Imput[[C. Imp.]:[C. Imp.]],$D906,Imput[[PERIODO Imp.]:[PERIODO Imp.]],BM$9)</f>
        <v>0</v>
      </c>
      <c r="BN906" s="693">
        <f>SUMIFS(Imput[[Importe Neto]:[Importe Neto]],Imput[[C. Imp.]:[C. Imp.]],$D906,Imput[[PERIODO Imp.]:[PERIODO Imp.]],BN$9)</f>
        <v>0</v>
      </c>
      <c r="BO906" s="693">
        <f>SUMIFS(Imput[[Importe Neto]:[Importe Neto]],Imput[[C. Imp.]:[C. Imp.]],$D906,Imput[[PERIODO Imp.]:[PERIODO Imp.]],BO$9)</f>
        <v>0</v>
      </c>
      <c r="BP906" s="693">
        <f>SUMIFS(Imput[[Importe Neto]:[Importe Neto]],Imput[[C. Imp.]:[C. Imp.]],$D906,Imput[[PERIODO Imp.]:[PERIODO Imp.]],BP$9)</f>
        <v>0</v>
      </c>
      <c r="BQ906" s="693">
        <f>SUMIFS(Imput[[Importe Neto]:[Importe Neto]],Imput[[C. Imp.]:[C. Imp.]],$D906,Imput[[PERIODO Imp.]:[PERIODO Imp.]],BQ$9)</f>
        <v>0</v>
      </c>
      <c r="BR906" s="693">
        <f>SUMIFS(Imput[[Importe Neto]:[Importe Neto]],Imput[[C. Imp.]:[C. Imp.]],$D906,Imput[[PERIODO Imp.]:[PERIODO Imp.]],BR$9)</f>
        <v>0</v>
      </c>
      <c r="BS906" s="693">
        <f>SUMIFS(Imput[[Importe Neto]:[Importe Neto]],Imput[[C. Imp.]:[C. Imp.]],$D906,Imput[[PERIODO Imp.]:[PERIODO Imp.]],BS$9)</f>
        <v>0</v>
      </c>
      <c r="BT906" s="693">
        <f>SUMIFS(Imput[[Importe Neto]:[Importe Neto]],Imput[[C. Imp.]:[C. Imp.]],$D906,Imput[[PERIODO Imp.]:[PERIODO Imp.]],BT$9)</f>
        <v>0</v>
      </c>
      <c r="BU906" s="693">
        <f>SUMIFS(Imput[[Importe Neto]:[Importe Neto]],Imput[[C. Imp.]:[C. Imp.]],$D906,Imput[[PERIODO Imp.]:[PERIODO Imp.]],BU$9)</f>
        <v>0</v>
      </c>
      <c r="BV906" s="693">
        <f>SUMIFS(Imput[[Importe Neto]:[Importe Neto]],Imput[[C. Imp.]:[C. Imp.]],$D906,Imput[[PERIODO Imp.]:[PERIODO Imp.]],BV$9)</f>
        <v>0</v>
      </c>
      <c r="BW906" s="693">
        <f>SUMIFS(Imput[[Importe Neto]:[Importe Neto]],Imput[[C. Imp.]:[C. Imp.]],$D906,Imput[[PERIODO Imp.]:[PERIODO Imp.]],BW$9)</f>
        <v>0</v>
      </c>
      <c r="BX906" s="693">
        <f>SUMIFS(Imput[[Importe Neto]:[Importe Neto]],Imput[[C. Imp.]:[C. Imp.]],$D906,Imput[[PERIODO Imp.]:[PERIODO Imp.]],BX$9)</f>
        <v>0</v>
      </c>
      <c r="BY906" s="693">
        <f>SUMIFS(Imput[[Importe Neto]:[Importe Neto]],Imput[[C. Imp.]:[C. Imp.]],$D906,Imput[[PERIODO Imp.]:[PERIODO Imp.]],BY$9)</f>
        <v>0</v>
      </c>
      <c r="BZ906" s="693">
        <f>SUMIFS(Imput[[Importe Neto]:[Importe Neto]],Imput[[C. Imp.]:[C. Imp.]],$D906,Imput[[PERIODO Imp.]:[PERIODO Imp.]],BZ$9)</f>
        <v>0</v>
      </c>
      <c r="CA906" s="693">
        <f>SUMIFS(Imput[[Importe Neto]:[Importe Neto]],Imput[[C. Imp.]:[C. Imp.]],$D906,Imput[[PERIODO Imp.]:[PERIODO Imp.]],CA$9)</f>
        <v>0</v>
      </c>
      <c r="CB906" s="693">
        <f>SUMIFS(Imput[[Importe Neto]:[Importe Neto]],Imput[[C. Imp.]:[C. Imp.]],$D906,Imput[[PERIODO Imp.]:[PERIODO Imp.]],CB$9)</f>
        <v>0</v>
      </c>
      <c r="CC906" s="693">
        <f>SUMIFS(Imput[[Importe Neto]:[Importe Neto]],Imput[[C. Imp.]:[C. Imp.]],$D906,Imput[[PERIODO Imp.]:[PERIODO Imp.]],CC$9)</f>
        <v>0</v>
      </c>
      <c r="CD906" s="693">
        <f>SUMIFS(Imput[[Importe Neto]:[Importe Neto]],Imput[[C. Imp.]:[C. Imp.]],$D906,Imput[[PERIODO Imp.]:[PERIODO Imp.]],CD$9)</f>
        <v>0</v>
      </c>
      <c r="CE906" s="693">
        <f>SUMIFS(Imput[[Importe Neto]:[Importe Neto]],Imput[[C. Imp.]:[C. Imp.]],$D906,Imput[[PERIODO Imp.]:[PERIODO Imp.]],CE$9)</f>
        <v>0</v>
      </c>
      <c r="CF906" s="693">
        <f>SUMIFS(Imput[[Importe Neto]:[Importe Neto]],Imput[[C. Imp.]:[C. Imp.]],$D906,Imput[[PERIODO Imp.]:[PERIODO Imp.]],CF$9)</f>
        <v>0</v>
      </c>
      <c r="CG906" s="693">
        <f>SUMIFS(Imput[[Importe Neto]:[Importe Neto]],Imput[[C. Imp.]:[C. Imp.]],$D906,Imput[[PERIODO Imp.]:[PERIODO Imp.]],CG$9)</f>
        <v>0</v>
      </c>
      <c r="CH906" s="693">
        <f>SUMIFS(Imput[[Importe Neto]:[Importe Neto]],Imput[[C. Imp.]:[C. Imp.]],$D906,Imput[[PERIODO Imp.]:[PERIODO Imp.]],CH$9)</f>
        <v>0</v>
      </c>
      <c r="CI906" s="693">
        <f>SUMIFS(Imput[[Importe Neto]:[Importe Neto]],Imput[[C. Imp.]:[C. Imp.]],$D906,Imput[[PERIODO Imp.]:[PERIODO Imp.]],CI$9)</f>
        <v>0</v>
      </c>
      <c r="CJ906" s="693">
        <f>SUMIFS(Imput[[Importe Neto]:[Importe Neto]],Imput[[C. Imp.]:[C. Imp.]],$D906,Imput[[PERIODO Imp.]:[PERIODO Imp.]],CJ$9)</f>
        <v>0</v>
      </c>
      <c r="CK906" s="693">
        <f>SUMIFS(Imput[[Importe Neto]:[Importe Neto]],Imput[[C. Imp.]:[C. Imp.]],$D906,Imput[[PERIODO Imp.]:[PERIODO Imp.]],CK$9)</f>
        <v>0</v>
      </c>
      <c r="CL906" s="693">
        <f>SUMIFS(Imput[[Importe Neto]:[Importe Neto]],Imput[[C. Imp.]:[C. Imp.]],$D906,Imput[[PERIODO Imp.]:[PERIODO Imp.]],CL$9)</f>
        <v>0</v>
      </c>
      <c r="CM906" s="693">
        <f>SUMIFS(Imput[[Importe Neto]:[Importe Neto]],Imput[[C. Imp.]:[C. Imp.]],$D906,Imput[[PERIODO Imp.]:[PERIODO Imp.]],CM$9)</f>
        <v>0</v>
      </c>
      <c r="CN906" s="693">
        <f>SUMIFS(Imput[[Importe Neto]:[Importe Neto]],Imput[[C. Imp.]:[C. Imp.]],$D906,Imput[[PERIODO Imp.]:[PERIODO Imp.]],CN$9)</f>
        <v>0</v>
      </c>
      <c r="CO906" s="693">
        <f>SUMIFS(Imput[[Importe Neto]:[Importe Neto]],Imput[[C. Imp.]:[C. Imp.]],$D906,Imput[[PERIODO Imp.]:[PERIODO Imp.]],CO$9)</f>
        <v>0</v>
      </c>
      <c r="CP906" s="693">
        <f>SUMIFS(Imput[[Importe Neto]:[Importe Neto]],Imput[[C. Imp.]:[C. Imp.]],$D906,Imput[[PERIODO Imp.]:[PERIODO Imp.]],CP$9)</f>
        <v>0</v>
      </c>
      <c r="CQ906" s="693">
        <f>SUMIFS(Imput[[Importe Neto]:[Importe Neto]],Imput[[C. Imp.]:[C. Imp.]],$D906,Imput[[PERIODO Imp.]:[PERIODO Imp.]],CQ$9)</f>
        <v>0</v>
      </c>
      <c r="CR906" s="693">
        <f>SUMIFS(Imput[[Importe Neto]:[Importe Neto]],Imput[[C. Imp.]:[C. Imp.]],$D906,Imput[[PERIODO Imp.]:[PERIODO Imp.]],CR$9)</f>
        <v>0</v>
      </c>
      <c r="CS906" s="693">
        <f>SUMIFS(Imput[[Importe Neto]:[Importe Neto]],Imput[[C. Imp.]:[C. Imp.]],$D906,Imput[[PERIODO Imp.]:[PERIODO Imp.]],CS$9)</f>
        <v>0</v>
      </c>
      <c r="CT906" s="693">
        <f>SUMIFS(Imput[[Importe Neto]:[Importe Neto]],Imput[[C. Imp.]:[C. Imp.]],$D906,Imput[[PERIODO Imp.]:[PERIODO Imp.]],CT$9)</f>
        <v>0</v>
      </c>
      <c r="CU906" s="693">
        <f>SUMIFS(Imput[[Importe Neto]:[Importe Neto]],Imput[[C. Imp.]:[C. Imp.]],$D906,Imput[[PERIODO Imp.]:[PERIODO Imp.]],CU$9)</f>
        <v>0</v>
      </c>
      <c r="CV906" s="693">
        <f>SUMIFS(Imput[[Importe Neto]:[Importe Neto]],Imput[[C. Imp.]:[C. Imp.]],$D906,Imput[[PERIODO Imp.]:[PERIODO Imp.]],CV$9)</f>
        <v>0</v>
      </c>
      <c r="CW906" s="693">
        <f>SUMIFS(Imput[[Importe Neto]:[Importe Neto]],Imput[[C. Imp.]:[C. Imp.]],$D906,Imput[[PERIODO Imp.]:[PERIODO Imp.]],CW$9)</f>
        <v>0</v>
      </c>
      <c r="CX906" s="693">
        <f>SUMIFS(Imput[[Importe Neto]:[Importe Neto]],Imput[[C. Imp.]:[C. Imp.]],$D906,Imput[[PERIODO Imp.]:[PERIODO Imp.]],CX$9)</f>
        <v>0</v>
      </c>
      <c r="CY906" s="693">
        <f>SUMIFS(Imput[[Importe Neto]:[Importe Neto]],Imput[[C. Imp.]:[C. Imp.]],$D906,Imput[[PERIODO Imp.]:[PERIODO Imp.]],CY$9)</f>
        <v>0</v>
      </c>
      <c r="CZ906" s="693">
        <f>SUMIFS(Imput[[Importe Neto]:[Importe Neto]],Imput[[C. Imp.]:[C. Imp.]],$D906,Imput[[PERIODO Imp.]:[PERIODO Imp.]],CZ$9)</f>
        <v>0</v>
      </c>
      <c r="DA906" s="693">
        <f>SUMIFS(Imput[[Importe Neto]:[Importe Neto]],Imput[[C. Imp.]:[C. Imp.]],$D906,Imput[[PERIODO Imp.]:[PERIODO Imp.]],DA$9)</f>
        <v>0</v>
      </c>
      <c r="DB906" s="693">
        <f>SUMIFS(Imput[[Importe Neto]:[Importe Neto]],Imput[[C. Imp.]:[C. Imp.]],$D906,Imput[[PERIODO Imp.]:[PERIODO Imp.]],DB$9)</f>
        <v>0</v>
      </c>
      <c r="DC906" s="693">
        <f>SUMIFS(Imput[[Importe Neto]:[Importe Neto]],Imput[[C. Imp.]:[C. Imp.]],$D906,Imput[[PERIODO Imp.]:[PERIODO Imp.]],DC$9)</f>
        <v>0</v>
      </c>
      <c r="DD906" s="693">
        <f>SUMIFS(Imput[[Importe Neto]:[Importe Neto]],Imput[[C. Imp.]:[C. Imp.]],$D906,Imput[[PERIODO Imp.]:[PERIODO Imp.]],DD$9)</f>
        <v>0</v>
      </c>
      <c r="DE906" s="693">
        <f>SUMIFS(Imput[[Importe Neto]:[Importe Neto]],Imput[[C. Imp.]:[C. Imp.]],$D906,Imput[[PERIODO Imp.]:[PERIODO Imp.]],DE$9)</f>
        <v>0</v>
      </c>
      <c r="DF906" s="693">
        <f>SUMIFS(Imput[[Importe Neto]:[Importe Neto]],Imput[[C. Imp.]:[C. Imp.]],$D906,Imput[[PERIODO Imp.]:[PERIODO Imp.]],DF$9)</f>
        <v>0</v>
      </c>
      <c r="DG906" s="693">
        <f>SUMIFS(Imput[[Importe Neto]:[Importe Neto]],Imput[[C. Imp.]:[C. Imp.]],$D906,Imput[[PERIODO Imp.]:[PERIODO Imp.]],DG$9)</f>
        <v>0</v>
      </c>
      <c r="DH906" s="694">
        <f>SUMIFS(Imput[[Importe Neto]:[Importe Neto]],Imput[[C. Imp.]:[C. Imp.]],$D906,Imput[[PERIODO Imp.]:[PERIODO Imp.]],DH$9)</f>
        <v>0</v>
      </c>
    </row>
    <row r="907" spans="1:112" s="649" customFormat="1" ht="14.4" hidden="1" outlineLevel="1" thickBot="1" x14ac:dyDescent="0.35">
      <c r="A907" s="652" t="str">
        <f t="shared" si="307"/>
        <v/>
      </c>
      <c r="B907" s="652"/>
      <c r="C907" s="685"/>
      <c r="D907" s="686" t="s">
        <v>2875</v>
      </c>
      <c r="E907" s="686"/>
      <c r="F907" s="720"/>
      <c r="G907" s="688"/>
      <c r="H907" s="689"/>
      <c r="I907" s="851" t="str">
        <f t="shared" si="308"/>
        <v/>
      </c>
      <c r="J907" s="850" t="str">
        <f t="shared" si="309"/>
        <v/>
      </c>
      <c r="K907" s="667"/>
      <c r="L907" s="858"/>
      <c r="M907" s="859"/>
      <c r="N907" s="859"/>
      <c r="O907" s="859"/>
      <c r="P907" s="859"/>
      <c r="Q907" s="859"/>
      <c r="R907" s="859"/>
      <c r="S907" s="859"/>
      <c r="T907" s="859"/>
      <c r="U907" s="859"/>
      <c r="V907" s="859"/>
      <c r="W907" s="859"/>
      <c r="X907" s="859"/>
      <c r="Y907" s="859"/>
      <c r="Z907" s="860"/>
      <c r="AA907" s="860"/>
      <c r="AB907" s="860"/>
      <c r="AC907" s="860"/>
      <c r="AD907" s="860"/>
      <c r="AE907" s="860"/>
      <c r="AF907" s="860"/>
      <c r="AG907" s="860"/>
      <c r="AH907" s="860"/>
      <c r="AI907" s="860"/>
      <c r="AJ907" s="860"/>
      <c r="AK907" s="860"/>
      <c r="AL907" s="860"/>
      <c r="AM907" s="860"/>
      <c r="AN907" s="860"/>
      <c r="AO907" s="860"/>
      <c r="AP907" s="860"/>
      <c r="AQ907" s="860"/>
      <c r="AR907" s="860"/>
      <c r="AS907" s="860"/>
      <c r="AT907" s="860"/>
      <c r="AU907" s="860"/>
      <c r="AV907" s="860"/>
      <c r="AW907" s="860"/>
      <c r="AX907" s="860"/>
      <c r="AY907" s="860"/>
      <c r="AZ907" s="860"/>
      <c r="BA907" s="860"/>
      <c r="BB907" s="860"/>
      <c r="BC907" s="860"/>
      <c r="BD907" s="860"/>
      <c r="BE907" s="860"/>
      <c r="BF907" s="860"/>
      <c r="BG907" s="860"/>
      <c r="BH907" s="668"/>
      <c r="BI907" s="667"/>
      <c r="BJ907" s="690">
        <f t="shared" si="310"/>
        <v>0</v>
      </c>
      <c r="BK907" s="691">
        <f t="shared" si="311"/>
        <v>0</v>
      </c>
      <c r="BL907" s="654"/>
      <c r="BM907" s="692">
        <f>SUMIFS(Imput[[Importe Neto]:[Importe Neto]],Imput[[C. Imp.]:[C. Imp.]],$D907,Imput[[PERIODO Imp.]:[PERIODO Imp.]],BM$9)</f>
        <v>0</v>
      </c>
      <c r="BN907" s="693">
        <f>SUMIFS(Imput[[Importe Neto]:[Importe Neto]],Imput[[C. Imp.]:[C. Imp.]],$D907,Imput[[PERIODO Imp.]:[PERIODO Imp.]],BN$9)</f>
        <v>0</v>
      </c>
      <c r="BO907" s="693">
        <f>SUMIFS(Imput[[Importe Neto]:[Importe Neto]],Imput[[C. Imp.]:[C. Imp.]],$D907,Imput[[PERIODO Imp.]:[PERIODO Imp.]],BO$9)</f>
        <v>0</v>
      </c>
      <c r="BP907" s="693">
        <f>SUMIFS(Imput[[Importe Neto]:[Importe Neto]],Imput[[C. Imp.]:[C. Imp.]],$D907,Imput[[PERIODO Imp.]:[PERIODO Imp.]],BP$9)</f>
        <v>0</v>
      </c>
      <c r="BQ907" s="693">
        <f>SUMIFS(Imput[[Importe Neto]:[Importe Neto]],Imput[[C. Imp.]:[C. Imp.]],$D907,Imput[[PERIODO Imp.]:[PERIODO Imp.]],BQ$9)</f>
        <v>0</v>
      </c>
      <c r="BR907" s="693">
        <f>SUMIFS(Imput[[Importe Neto]:[Importe Neto]],Imput[[C. Imp.]:[C. Imp.]],$D907,Imput[[PERIODO Imp.]:[PERIODO Imp.]],BR$9)</f>
        <v>0</v>
      </c>
      <c r="BS907" s="693">
        <f>SUMIFS(Imput[[Importe Neto]:[Importe Neto]],Imput[[C. Imp.]:[C. Imp.]],$D907,Imput[[PERIODO Imp.]:[PERIODO Imp.]],BS$9)</f>
        <v>0</v>
      </c>
      <c r="BT907" s="693">
        <f>SUMIFS(Imput[[Importe Neto]:[Importe Neto]],Imput[[C. Imp.]:[C. Imp.]],$D907,Imput[[PERIODO Imp.]:[PERIODO Imp.]],BT$9)</f>
        <v>0</v>
      </c>
      <c r="BU907" s="693">
        <f>SUMIFS(Imput[[Importe Neto]:[Importe Neto]],Imput[[C. Imp.]:[C. Imp.]],$D907,Imput[[PERIODO Imp.]:[PERIODO Imp.]],BU$9)</f>
        <v>0</v>
      </c>
      <c r="BV907" s="693">
        <f>SUMIFS(Imput[[Importe Neto]:[Importe Neto]],Imput[[C. Imp.]:[C. Imp.]],$D907,Imput[[PERIODO Imp.]:[PERIODO Imp.]],BV$9)</f>
        <v>0</v>
      </c>
      <c r="BW907" s="693">
        <f>SUMIFS(Imput[[Importe Neto]:[Importe Neto]],Imput[[C. Imp.]:[C. Imp.]],$D907,Imput[[PERIODO Imp.]:[PERIODO Imp.]],BW$9)</f>
        <v>0</v>
      </c>
      <c r="BX907" s="693">
        <f>SUMIFS(Imput[[Importe Neto]:[Importe Neto]],Imput[[C. Imp.]:[C. Imp.]],$D907,Imput[[PERIODO Imp.]:[PERIODO Imp.]],BX$9)</f>
        <v>0</v>
      </c>
      <c r="BY907" s="693">
        <f>SUMIFS(Imput[[Importe Neto]:[Importe Neto]],Imput[[C. Imp.]:[C. Imp.]],$D907,Imput[[PERIODO Imp.]:[PERIODO Imp.]],BY$9)</f>
        <v>0</v>
      </c>
      <c r="BZ907" s="693">
        <f>SUMIFS(Imput[[Importe Neto]:[Importe Neto]],Imput[[C. Imp.]:[C. Imp.]],$D907,Imput[[PERIODO Imp.]:[PERIODO Imp.]],BZ$9)</f>
        <v>0</v>
      </c>
      <c r="CA907" s="693">
        <f>SUMIFS(Imput[[Importe Neto]:[Importe Neto]],Imput[[C. Imp.]:[C. Imp.]],$D907,Imput[[PERIODO Imp.]:[PERIODO Imp.]],CA$9)</f>
        <v>0</v>
      </c>
      <c r="CB907" s="693">
        <f>SUMIFS(Imput[[Importe Neto]:[Importe Neto]],Imput[[C. Imp.]:[C. Imp.]],$D907,Imput[[PERIODO Imp.]:[PERIODO Imp.]],CB$9)</f>
        <v>0</v>
      </c>
      <c r="CC907" s="693">
        <f>SUMIFS(Imput[[Importe Neto]:[Importe Neto]],Imput[[C. Imp.]:[C. Imp.]],$D907,Imput[[PERIODO Imp.]:[PERIODO Imp.]],CC$9)</f>
        <v>0</v>
      </c>
      <c r="CD907" s="693">
        <f>SUMIFS(Imput[[Importe Neto]:[Importe Neto]],Imput[[C. Imp.]:[C. Imp.]],$D907,Imput[[PERIODO Imp.]:[PERIODO Imp.]],CD$9)</f>
        <v>0</v>
      </c>
      <c r="CE907" s="693">
        <f>SUMIFS(Imput[[Importe Neto]:[Importe Neto]],Imput[[C. Imp.]:[C. Imp.]],$D907,Imput[[PERIODO Imp.]:[PERIODO Imp.]],CE$9)</f>
        <v>0</v>
      </c>
      <c r="CF907" s="693">
        <f>SUMIFS(Imput[[Importe Neto]:[Importe Neto]],Imput[[C. Imp.]:[C. Imp.]],$D907,Imput[[PERIODO Imp.]:[PERIODO Imp.]],CF$9)</f>
        <v>0</v>
      </c>
      <c r="CG907" s="693">
        <f>SUMIFS(Imput[[Importe Neto]:[Importe Neto]],Imput[[C. Imp.]:[C. Imp.]],$D907,Imput[[PERIODO Imp.]:[PERIODO Imp.]],CG$9)</f>
        <v>0</v>
      </c>
      <c r="CH907" s="693">
        <f>SUMIFS(Imput[[Importe Neto]:[Importe Neto]],Imput[[C. Imp.]:[C. Imp.]],$D907,Imput[[PERIODO Imp.]:[PERIODO Imp.]],CH$9)</f>
        <v>0</v>
      </c>
      <c r="CI907" s="693">
        <f>SUMIFS(Imput[[Importe Neto]:[Importe Neto]],Imput[[C. Imp.]:[C. Imp.]],$D907,Imput[[PERIODO Imp.]:[PERIODO Imp.]],CI$9)</f>
        <v>0</v>
      </c>
      <c r="CJ907" s="693">
        <f>SUMIFS(Imput[[Importe Neto]:[Importe Neto]],Imput[[C. Imp.]:[C. Imp.]],$D907,Imput[[PERIODO Imp.]:[PERIODO Imp.]],CJ$9)</f>
        <v>0</v>
      </c>
      <c r="CK907" s="693">
        <f>SUMIFS(Imput[[Importe Neto]:[Importe Neto]],Imput[[C. Imp.]:[C. Imp.]],$D907,Imput[[PERIODO Imp.]:[PERIODO Imp.]],CK$9)</f>
        <v>0</v>
      </c>
      <c r="CL907" s="693">
        <f>SUMIFS(Imput[[Importe Neto]:[Importe Neto]],Imput[[C. Imp.]:[C. Imp.]],$D907,Imput[[PERIODO Imp.]:[PERIODO Imp.]],CL$9)</f>
        <v>0</v>
      </c>
      <c r="CM907" s="693">
        <f>SUMIFS(Imput[[Importe Neto]:[Importe Neto]],Imput[[C. Imp.]:[C. Imp.]],$D907,Imput[[PERIODO Imp.]:[PERIODO Imp.]],CM$9)</f>
        <v>0</v>
      </c>
      <c r="CN907" s="693">
        <f>SUMIFS(Imput[[Importe Neto]:[Importe Neto]],Imput[[C. Imp.]:[C. Imp.]],$D907,Imput[[PERIODO Imp.]:[PERIODO Imp.]],CN$9)</f>
        <v>0</v>
      </c>
      <c r="CO907" s="693">
        <f>SUMIFS(Imput[[Importe Neto]:[Importe Neto]],Imput[[C. Imp.]:[C. Imp.]],$D907,Imput[[PERIODO Imp.]:[PERIODO Imp.]],CO$9)</f>
        <v>0</v>
      </c>
      <c r="CP907" s="693">
        <f>SUMIFS(Imput[[Importe Neto]:[Importe Neto]],Imput[[C. Imp.]:[C. Imp.]],$D907,Imput[[PERIODO Imp.]:[PERIODO Imp.]],CP$9)</f>
        <v>0</v>
      </c>
      <c r="CQ907" s="693">
        <f>SUMIFS(Imput[[Importe Neto]:[Importe Neto]],Imput[[C. Imp.]:[C. Imp.]],$D907,Imput[[PERIODO Imp.]:[PERIODO Imp.]],CQ$9)</f>
        <v>0</v>
      </c>
      <c r="CR907" s="693">
        <f>SUMIFS(Imput[[Importe Neto]:[Importe Neto]],Imput[[C. Imp.]:[C. Imp.]],$D907,Imput[[PERIODO Imp.]:[PERIODO Imp.]],CR$9)</f>
        <v>0</v>
      </c>
      <c r="CS907" s="693">
        <f>SUMIFS(Imput[[Importe Neto]:[Importe Neto]],Imput[[C. Imp.]:[C. Imp.]],$D907,Imput[[PERIODO Imp.]:[PERIODO Imp.]],CS$9)</f>
        <v>0</v>
      </c>
      <c r="CT907" s="693">
        <f>SUMIFS(Imput[[Importe Neto]:[Importe Neto]],Imput[[C. Imp.]:[C. Imp.]],$D907,Imput[[PERIODO Imp.]:[PERIODO Imp.]],CT$9)</f>
        <v>0</v>
      </c>
      <c r="CU907" s="693">
        <f>SUMIFS(Imput[[Importe Neto]:[Importe Neto]],Imput[[C. Imp.]:[C. Imp.]],$D907,Imput[[PERIODO Imp.]:[PERIODO Imp.]],CU$9)</f>
        <v>0</v>
      </c>
      <c r="CV907" s="693">
        <f>SUMIFS(Imput[[Importe Neto]:[Importe Neto]],Imput[[C. Imp.]:[C. Imp.]],$D907,Imput[[PERIODO Imp.]:[PERIODO Imp.]],CV$9)</f>
        <v>0</v>
      </c>
      <c r="CW907" s="693">
        <f>SUMIFS(Imput[[Importe Neto]:[Importe Neto]],Imput[[C. Imp.]:[C. Imp.]],$D907,Imput[[PERIODO Imp.]:[PERIODO Imp.]],CW$9)</f>
        <v>0</v>
      </c>
      <c r="CX907" s="693">
        <f>SUMIFS(Imput[[Importe Neto]:[Importe Neto]],Imput[[C. Imp.]:[C. Imp.]],$D907,Imput[[PERIODO Imp.]:[PERIODO Imp.]],CX$9)</f>
        <v>0</v>
      </c>
      <c r="CY907" s="693">
        <f>SUMIFS(Imput[[Importe Neto]:[Importe Neto]],Imput[[C. Imp.]:[C. Imp.]],$D907,Imput[[PERIODO Imp.]:[PERIODO Imp.]],CY$9)</f>
        <v>0</v>
      </c>
      <c r="CZ907" s="693">
        <f>SUMIFS(Imput[[Importe Neto]:[Importe Neto]],Imput[[C. Imp.]:[C. Imp.]],$D907,Imput[[PERIODO Imp.]:[PERIODO Imp.]],CZ$9)</f>
        <v>0</v>
      </c>
      <c r="DA907" s="693">
        <f>SUMIFS(Imput[[Importe Neto]:[Importe Neto]],Imput[[C. Imp.]:[C. Imp.]],$D907,Imput[[PERIODO Imp.]:[PERIODO Imp.]],DA$9)</f>
        <v>0</v>
      </c>
      <c r="DB907" s="693">
        <f>SUMIFS(Imput[[Importe Neto]:[Importe Neto]],Imput[[C. Imp.]:[C. Imp.]],$D907,Imput[[PERIODO Imp.]:[PERIODO Imp.]],DB$9)</f>
        <v>0</v>
      </c>
      <c r="DC907" s="693">
        <f>SUMIFS(Imput[[Importe Neto]:[Importe Neto]],Imput[[C. Imp.]:[C. Imp.]],$D907,Imput[[PERIODO Imp.]:[PERIODO Imp.]],DC$9)</f>
        <v>0</v>
      </c>
      <c r="DD907" s="693">
        <f>SUMIFS(Imput[[Importe Neto]:[Importe Neto]],Imput[[C. Imp.]:[C. Imp.]],$D907,Imput[[PERIODO Imp.]:[PERIODO Imp.]],DD$9)</f>
        <v>0</v>
      </c>
      <c r="DE907" s="693">
        <f>SUMIFS(Imput[[Importe Neto]:[Importe Neto]],Imput[[C. Imp.]:[C. Imp.]],$D907,Imput[[PERIODO Imp.]:[PERIODO Imp.]],DE$9)</f>
        <v>0</v>
      </c>
      <c r="DF907" s="693">
        <f>SUMIFS(Imput[[Importe Neto]:[Importe Neto]],Imput[[C. Imp.]:[C. Imp.]],$D907,Imput[[PERIODO Imp.]:[PERIODO Imp.]],DF$9)</f>
        <v>0</v>
      </c>
      <c r="DG907" s="693">
        <f>SUMIFS(Imput[[Importe Neto]:[Importe Neto]],Imput[[C. Imp.]:[C. Imp.]],$D907,Imput[[PERIODO Imp.]:[PERIODO Imp.]],DG$9)</f>
        <v>0</v>
      </c>
      <c r="DH907" s="694">
        <f>SUMIFS(Imput[[Importe Neto]:[Importe Neto]],Imput[[C. Imp.]:[C. Imp.]],$D907,Imput[[PERIODO Imp.]:[PERIODO Imp.]],DH$9)</f>
        <v>0</v>
      </c>
    </row>
    <row r="908" spans="1:112" s="649" customFormat="1" ht="14.4" hidden="1" outlineLevel="1" thickBot="1" x14ac:dyDescent="0.35">
      <c r="A908" s="652" t="str">
        <f t="shared" si="307"/>
        <v/>
      </c>
      <c r="B908" s="652"/>
      <c r="C908" s="685"/>
      <c r="D908" s="686" t="s">
        <v>2876</v>
      </c>
      <c r="E908" s="686"/>
      <c r="F908" s="720"/>
      <c r="G908" s="688"/>
      <c r="H908" s="689"/>
      <c r="I908" s="851" t="str">
        <f t="shared" si="308"/>
        <v/>
      </c>
      <c r="J908" s="850" t="str">
        <f t="shared" si="309"/>
        <v/>
      </c>
      <c r="K908" s="667"/>
      <c r="L908" s="858"/>
      <c r="M908" s="859"/>
      <c r="N908" s="859"/>
      <c r="O908" s="859"/>
      <c r="P908" s="859"/>
      <c r="Q908" s="859"/>
      <c r="R908" s="859"/>
      <c r="S908" s="859"/>
      <c r="T908" s="859"/>
      <c r="U908" s="859"/>
      <c r="V908" s="859"/>
      <c r="W908" s="859"/>
      <c r="X908" s="859"/>
      <c r="Y908" s="859"/>
      <c r="Z908" s="860"/>
      <c r="AA908" s="860"/>
      <c r="AB908" s="860"/>
      <c r="AC908" s="860"/>
      <c r="AD908" s="860"/>
      <c r="AE908" s="860"/>
      <c r="AF908" s="860"/>
      <c r="AG908" s="860"/>
      <c r="AH908" s="860"/>
      <c r="AI908" s="860"/>
      <c r="AJ908" s="860"/>
      <c r="AK908" s="860"/>
      <c r="AL908" s="860"/>
      <c r="AM908" s="860"/>
      <c r="AN908" s="860"/>
      <c r="AO908" s="860"/>
      <c r="AP908" s="860"/>
      <c r="AQ908" s="860"/>
      <c r="AR908" s="860"/>
      <c r="AS908" s="860"/>
      <c r="AT908" s="860"/>
      <c r="AU908" s="860"/>
      <c r="AV908" s="860"/>
      <c r="AW908" s="860"/>
      <c r="AX908" s="860"/>
      <c r="AY908" s="860"/>
      <c r="AZ908" s="860"/>
      <c r="BA908" s="860"/>
      <c r="BB908" s="860"/>
      <c r="BC908" s="860"/>
      <c r="BD908" s="860"/>
      <c r="BE908" s="860"/>
      <c r="BF908" s="860"/>
      <c r="BG908" s="860"/>
      <c r="BH908" s="668"/>
      <c r="BI908" s="667"/>
      <c r="BJ908" s="690">
        <f t="shared" si="310"/>
        <v>0</v>
      </c>
      <c r="BK908" s="691">
        <f t="shared" si="311"/>
        <v>0</v>
      </c>
      <c r="BL908" s="654"/>
      <c r="BM908" s="692">
        <f>SUMIFS(Imput[[Importe Neto]:[Importe Neto]],Imput[[C. Imp.]:[C. Imp.]],$D908,Imput[[PERIODO Imp.]:[PERIODO Imp.]],BM$9)</f>
        <v>0</v>
      </c>
      <c r="BN908" s="693">
        <f>SUMIFS(Imput[[Importe Neto]:[Importe Neto]],Imput[[C. Imp.]:[C. Imp.]],$D908,Imput[[PERIODO Imp.]:[PERIODO Imp.]],BN$9)</f>
        <v>0</v>
      </c>
      <c r="BO908" s="693">
        <f>SUMIFS(Imput[[Importe Neto]:[Importe Neto]],Imput[[C. Imp.]:[C. Imp.]],$D908,Imput[[PERIODO Imp.]:[PERIODO Imp.]],BO$9)</f>
        <v>0</v>
      </c>
      <c r="BP908" s="693">
        <f>SUMIFS(Imput[[Importe Neto]:[Importe Neto]],Imput[[C. Imp.]:[C. Imp.]],$D908,Imput[[PERIODO Imp.]:[PERIODO Imp.]],BP$9)</f>
        <v>0</v>
      </c>
      <c r="BQ908" s="693">
        <f>SUMIFS(Imput[[Importe Neto]:[Importe Neto]],Imput[[C. Imp.]:[C. Imp.]],$D908,Imput[[PERIODO Imp.]:[PERIODO Imp.]],BQ$9)</f>
        <v>0</v>
      </c>
      <c r="BR908" s="693">
        <f>SUMIFS(Imput[[Importe Neto]:[Importe Neto]],Imput[[C. Imp.]:[C. Imp.]],$D908,Imput[[PERIODO Imp.]:[PERIODO Imp.]],BR$9)</f>
        <v>0</v>
      </c>
      <c r="BS908" s="693">
        <f>SUMIFS(Imput[[Importe Neto]:[Importe Neto]],Imput[[C. Imp.]:[C. Imp.]],$D908,Imput[[PERIODO Imp.]:[PERIODO Imp.]],BS$9)</f>
        <v>0</v>
      </c>
      <c r="BT908" s="693">
        <f>SUMIFS(Imput[[Importe Neto]:[Importe Neto]],Imput[[C. Imp.]:[C. Imp.]],$D908,Imput[[PERIODO Imp.]:[PERIODO Imp.]],BT$9)</f>
        <v>0</v>
      </c>
      <c r="BU908" s="693">
        <f>SUMIFS(Imput[[Importe Neto]:[Importe Neto]],Imput[[C. Imp.]:[C. Imp.]],$D908,Imput[[PERIODO Imp.]:[PERIODO Imp.]],BU$9)</f>
        <v>0</v>
      </c>
      <c r="BV908" s="693">
        <f>SUMIFS(Imput[[Importe Neto]:[Importe Neto]],Imput[[C. Imp.]:[C. Imp.]],$D908,Imput[[PERIODO Imp.]:[PERIODO Imp.]],BV$9)</f>
        <v>0</v>
      </c>
      <c r="BW908" s="693">
        <f>SUMIFS(Imput[[Importe Neto]:[Importe Neto]],Imput[[C. Imp.]:[C. Imp.]],$D908,Imput[[PERIODO Imp.]:[PERIODO Imp.]],BW$9)</f>
        <v>0</v>
      </c>
      <c r="BX908" s="693">
        <f>SUMIFS(Imput[[Importe Neto]:[Importe Neto]],Imput[[C. Imp.]:[C. Imp.]],$D908,Imput[[PERIODO Imp.]:[PERIODO Imp.]],BX$9)</f>
        <v>0</v>
      </c>
      <c r="BY908" s="693">
        <f>SUMIFS(Imput[[Importe Neto]:[Importe Neto]],Imput[[C. Imp.]:[C. Imp.]],$D908,Imput[[PERIODO Imp.]:[PERIODO Imp.]],BY$9)</f>
        <v>0</v>
      </c>
      <c r="BZ908" s="693">
        <f>SUMIFS(Imput[[Importe Neto]:[Importe Neto]],Imput[[C. Imp.]:[C. Imp.]],$D908,Imput[[PERIODO Imp.]:[PERIODO Imp.]],BZ$9)</f>
        <v>0</v>
      </c>
      <c r="CA908" s="693">
        <f>SUMIFS(Imput[[Importe Neto]:[Importe Neto]],Imput[[C. Imp.]:[C. Imp.]],$D908,Imput[[PERIODO Imp.]:[PERIODO Imp.]],CA$9)</f>
        <v>0</v>
      </c>
      <c r="CB908" s="693">
        <f>SUMIFS(Imput[[Importe Neto]:[Importe Neto]],Imput[[C. Imp.]:[C. Imp.]],$D908,Imput[[PERIODO Imp.]:[PERIODO Imp.]],CB$9)</f>
        <v>0</v>
      </c>
      <c r="CC908" s="693">
        <f>SUMIFS(Imput[[Importe Neto]:[Importe Neto]],Imput[[C. Imp.]:[C. Imp.]],$D908,Imput[[PERIODO Imp.]:[PERIODO Imp.]],CC$9)</f>
        <v>0</v>
      </c>
      <c r="CD908" s="693">
        <f>SUMIFS(Imput[[Importe Neto]:[Importe Neto]],Imput[[C. Imp.]:[C. Imp.]],$D908,Imput[[PERIODO Imp.]:[PERIODO Imp.]],CD$9)</f>
        <v>0</v>
      </c>
      <c r="CE908" s="693">
        <f>SUMIFS(Imput[[Importe Neto]:[Importe Neto]],Imput[[C. Imp.]:[C. Imp.]],$D908,Imput[[PERIODO Imp.]:[PERIODO Imp.]],CE$9)</f>
        <v>0</v>
      </c>
      <c r="CF908" s="693">
        <f>SUMIFS(Imput[[Importe Neto]:[Importe Neto]],Imput[[C. Imp.]:[C. Imp.]],$D908,Imput[[PERIODO Imp.]:[PERIODO Imp.]],CF$9)</f>
        <v>0</v>
      </c>
      <c r="CG908" s="693">
        <f>SUMIFS(Imput[[Importe Neto]:[Importe Neto]],Imput[[C. Imp.]:[C. Imp.]],$D908,Imput[[PERIODO Imp.]:[PERIODO Imp.]],CG$9)</f>
        <v>0</v>
      </c>
      <c r="CH908" s="693">
        <f>SUMIFS(Imput[[Importe Neto]:[Importe Neto]],Imput[[C. Imp.]:[C. Imp.]],$D908,Imput[[PERIODO Imp.]:[PERIODO Imp.]],CH$9)</f>
        <v>0</v>
      </c>
      <c r="CI908" s="693">
        <f>SUMIFS(Imput[[Importe Neto]:[Importe Neto]],Imput[[C. Imp.]:[C. Imp.]],$D908,Imput[[PERIODO Imp.]:[PERIODO Imp.]],CI$9)</f>
        <v>0</v>
      </c>
      <c r="CJ908" s="693">
        <f>SUMIFS(Imput[[Importe Neto]:[Importe Neto]],Imput[[C. Imp.]:[C. Imp.]],$D908,Imput[[PERIODO Imp.]:[PERIODO Imp.]],CJ$9)</f>
        <v>0</v>
      </c>
      <c r="CK908" s="693">
        <f>SUMIFS(Imput[[Importe Neto]:[Importe Neto]],Imput[[C. Imp.]:[C. Imp.]],$D908,Imput[[PERIODO Imp.]:[PERIODO Imp.]],CK$9)</f>
        <v>0</v>
      </c>
      <c r="CL908" s="693">
        <f>SUMIFS(Imput[[Importe Neto]:[Importe Neto]],Imput[[C. Imp.]:[C. Imp.]],$D908,Imput[[PERIODO Imp.]:[PERIODO Imp.]],CL$9)</f>
        <v>0</v>
      </c>
      <c r="CM908" s="693">
        <f>SUMIFS(Imput[[Importe Neto]:[Importe Neto]],Imput[[C. Imp.]:[C. Imp.]],$D908,Imput[[PERIODO Imp.]:[PERIODO Imp.]],CM$9)</f>
        <v>0</v>
      </c>
      <c r="CN908" s="693">
        <f>SUMIFS(Imput[[Importe Neto]:[Importe Neto]],Imput[[C. Imp.]:[C. Imp.]],$D908,Imput[[PERIODO Imp.]:[PERIODO Imp.]],CN$9)</f>
        <v>0</v>
      </c>
      <c r="CO908" s="693">
        <f>SUMIFS(Imput[[Importe Neto]:[Importe Neto]],Imput[[C. Imp.]:[C. Imp.]],$D908,Imput[[PERIODO Imp.]:[PERIODO Imp.]],CO$9)</f>
        <v>0</v>
      </c>
      <c r="CP908" s="693">
        <f>SUMIFS(Imput[[Importe Neto]:[Importe Neto]],Imput[[C. Imp.]:[C. Imp.]],$D908,Imput[[PERIODO Imp.]:[PERIODO Imp.]],CP$9)</f>
        <v>0</v>
      </c>
      <c r="CQ908" s="693">
        <f>SUMIFS(Imput[[Importe Neto]:[Importe Neto]],Imput[[C. Imp.]:[C. Imp.]],$D908,Imput[[PERIODO Imp.]:[PERIODO Imp.]],CQ$9)</f>
        <v>0</v>
      </c>
      <c r="CR908" s="693">
        <f>SUMIFS(Imput[[Importe Neto]:[Importe Neto]],Imput[[C. Imp.]:[C. Imp.]],$D908,Imput[[PERIODO Imp.]:[PERIODO Imp.]],CR$9)</f>
        <v>0</v>
      </c>
      <c r="CS908" s="693">
        <f>SUMIFS(Imput[[Importe Neto]:[Importe Neto]],Imput[[C. Imp.]:[C. Imp.]],$D908,Imput[[PERIODO Imp.]:[PERIODO Imp.]],CS$9)</f>
        <v>0</v>
      </c>
      <c r="CT908" s="693">
        <f>SUMIFS(Imput[[Importe Neto]:[Importe Neto]],Imput[[C. Imp.]:[C. Imp.]],$D908,Imput[[PERIODO Imp.]:[PERIODO Imp.]],CT$9)</f>
        <v>0</v>
      </c>
      <c r="CU908" s="693">
        <f>SUMIFS(Imput[[Importe Neto]:[Importe Neto]],Imput[[C. Imp.]:[C. Imp.]],$D908,Imput[[PERIODO Imp.]:[PERIODO Imp.]],CU$9)</f>
        <v>0</v>
      </c>
      <c r="CV908" s="693">
        <f>SUMIFS(Imput[[Importe Neto]:[Importe Neto]],Imput[[C. Imp.]:[C. Imp.]],$D908,Imput[[PERIODO Imp.]:[PERIODO Imp.]],CV$9)</f>
        <v>0</v>
      </c>
      <c r="CW908" s="693">
        <f>SUMIFS(Imput[[Importe Neto]:[Importe Neto]],Imput[[C. Imp.]:[C. Imp.]],$D908,Imput[[PERIODO Imp.]:[PERIODO Imp.]],CW$9)</f>
        <v>0</v>
      </c>
      <c r="CX908" s="693">
        <f>SUMIFS(Imput[[Importe Neto]:[Importe Neto]],Imput[[C. Imp.]:[C. Imp.]],$D908,Imput[[PERIODO Imp.]:[PERIODO Imp.]],CX$9)</f>
        <v>0</v>
      </c>
      <c r="CY908" s="693">
        <f>SUMIFS(Imput[[Importe Neto]:[Importe Neto]],Imput[[C. Imp.]:[C. Imp.]],$D908,Imput[[PERIODO Imp.]:[PERIODO Imp.]],CY$9)</f>
        <v>0</v>
      </c>
      <c r="CZ908" s="693">
        <f>SUMIFS(Imput[[Importe Neto]:[Importe Neto]],Imput[[C. Imp.]:[C. Imp.]],$D908,Imput[[PERIODO Imp.]:[PERIODO Imp.]],CZ$9)</f>
        <v>0</v>
      </c>
      <c r="DA908" s="693">
        <f>SUMIFS(Imput[[Importe Neto]:[Importe Neto]],Imput[[C. Imp.]:[C. Imp.]],$D908,Imput[[PERIODO Imp.]:[PERIODO Imp.]],DA$9)</f>
        <v>0</v>
      </c>
      <c r="DB908" s="693">
        <f>SUMIFS(Imput[[Importe Neto]:[Importe Neto]],Imput[[C. Imp.]:[C. Imp.]],$D908,Imput[[PERIODO Imp.]:[PERIODO Imp.]],DB$9)</f>
        <v>0</v>
      </c>
      <c r="DC908" s="693">
        <f>SUMIFS(Imput[[Importe Neto]:[Importe Neto]],Imput[[C. Imp.]:[C. Imp.]],$D908,Imput[[PERIODO Imp.]:[PERIODO Imp.]],DC$9)</f>
        <v>0</v>
      </c>
      <c r="DD908" s="693">
        <f>SUMIFS(Imput[[Importe Neto]:[Importe Neto]],Imput[[C. Imp.]:[C. Imp.]],$D908,Imput[[PERIODO Imp.]:[PERIODO Imp.]],DD$9)</f>
        <v>0</v>
      </c>
      <c r="DE908" s="693">
        <f>SUMIFS(Imput[[Importe Neto]:[Importe Neto]],Imput[[C. Imp.]:[C. Imp.]],$D908,Imput[[PERIODO Imp.]:[PERIODO Imp.]],DE$9)</f>
        <v>0</v>
      </c>
      <c r="DF908" s="693">
        <f>SUMIFS(Imput[[Importe Neto]:[Importe Neto]],Imput[[C. Imp.]:[C. Imp.]],$D908,Imput[[PERIODO Imp.]:[PERIODO Imp.]],DF$9)</f>
        <v>0</v>
      </c>
      <c r="DG908" s="693">
        <f>SUMIFS(Imput[[Importe Neto]:[Importe Neto]],Imput[[C. Imp.]:[C. Imp.]],$D908,Imput[[PERIODO Imp.]:[PERIODO Imp.]],DG$9)</f>
        <v>0</v>
      </c>
      <c r="DH908" s="694">
        <f>SUMIFS(Imput[[Importe Neto]:[Importe Neto]],Imput[[C. Imp.]:[C. Imp.]],$D908,Imput[[PERIODO Imp.]:[PERIODO Imp.]],DH$9)</f>
        <v>0</v>
      </c>
    </row>
    <row r="909" spans="1:112" s="649" customFormat="1" ht="14.4" hidden="1" outlineLevel="1" thickBot="1" x14ac:dyDescent="0.35">
      <c r="A909" s="652" t="str">
        <f t="shared" si="307"/>
        <v/>
      </c>
      <c r="B909" s="652"/>
      <c r="C909" s="685"/>
      <c r="D909" s="686" t="s">
        <v>2877</v>
      </c>
      <c r="E909" s="686"/>
      <c r="F909" s="720"/>
      <c r="G909" s="688"/>
      <c r="H909" s="689"/>
      <c r="I909" s="851" t="str">
        <f t="shared" si="308"/>
        <v/>
      </c>
      <c r="J909" s="850" t="str">
        <f t="shared" si="309"/>
        <v/>
      </c>
      <c r="K909" s="667"/>
      <c r="L909" s="858"/>
      <c r="M909" s="859"/>
      <c r="N909" s="859"/>
      <c r="O909" s="859"/>
      <c r="P909" s="859"/>
      <c r="Q909" s="859"/>
      <c r="R909" s="859"/>
      <c r="S909" s="859"/>
      <c r="T909" s="859"/>
      <c r="U909" s="859"/>
      <c r="V909" s="859"/>
      <c r="W909" s="859"/>
      <c r="X909" s="859"/>
      <c r="Y909" s="859"/>
      <c r="Z909" s="860"/>
      <c r="AA909" s="860"/>
      <c r="AB909" s="860"/>
      <c r="AC909" s="860"/>
      <c r="AD909" s="860"/>
      <c r="AE909" s="860"/>
      <c r="AF909" s="860"/>
      <c r="AG909" s="860"/>
      <c r="AH909" s="860"/>
      <c r="AI909" s="860"/>
      <c r="AJ909" s="860"/>
      <c r="AK909" s="860"/>
      <c r="AL909" s="860"/>
      <c r="AM909" s="860"/>
      <c r="AN909" s="860"/>
      <c r="AO909" s="860"/>
      <c r="AP909" s="860"/>
      <c r="AQ909" s="860"/>
      <c r="AR909" s="860"/>
      <c r="AS909" s="860"/>
      <c r="AT909" s="860"/>
      <c r="AU909" s="860"/>
      <c r="AV909" s="860"/>
      <c r="AW909" s="860"/>
      <c r="AX909" s="860"/>
      <c r="AY909" s="860"/>
      <c r="AZ909" s="860"/>
      <c r="BA909" s="860"/>
      <c r="BB909" s="860"/>
      <c r="BC909" s="860"/>
      <c r="BD909" s="860"/>
      <c r="BE909" s="860"/>
      <c r="BF909" s="860"/>
      <c r="BG909" s="860"/>
      <c r="BH909" s="668"/>
      <c r="BI909" s="667"/>
      <c r="BJ909" s="690">
        <f t="shared" si="310"/>
        <v>0</v>
      </c>
      <c r="BK909" s="691">
        <f t="shared" si="311"/>
        <v>0</v>
      </c>
      <c r="BL909" s="654"/>
      <c r="BM909" s="692">
        <f>SUMIFS(Imput[[Importe Neto]:[Importe Neto]],Imput[[C. Imp.]:[C. Imp.]],$D909,Imput[[PERIODO Imp.]:[PERIODO Imp.]],BM$9)</f>
        <v>0</v>
      </c>
      <c r="BN909" s="693">
        <f>SUMIFS(Imput[[Importe Neto]:[Importe Neto]],Imput[[C. Imp.]:[C. Imp.]],$D909,Imput[[PERIODO Imp.]:[PERIODO Imp.]],BN$9)</f>
        <v>0</v>
      </c>
      <c r="BO909" s="693">
        <f>SUMIFS(Imput[[Importe Neto]:[Importe Neto]],Imput[[C. Imp.]:[C. Imp.]],$D909,Imput[[PERIODO Imp.]:[PERIODO Imp.]],BO$9)</f>
        <v>0</v>
      </c>
      <c r="BP909" s="693">
        <f>SUMIFS(Imput[[Importe Neto]:[Importe Neto]],Imput[[C. Imp.]:[C. Imp.]],$D909,Imput[[PERIODO Imp.]:[PERIODO Imp.]],BP$9)</f>
        <v>0</v>
      </c>
      <c r="BQ909" s="693">
        <f>SUMIFS(Imput[[Importe Neto]:[Importe Neto]],Imput[[C. Imp.]:[C. Imp.]],$D909,Imput[[PERIODO Imp.]:[PERIODO Imp.]],BQ$9)</f>
        <v>0</v>
      </c>
      <c r="BR909" s="693">
        <f>SUMIFS(Imput[[Importe Neto]:[Importe Neto]],Imput[[C. Imp.]:[C. Imp.]],$D909,Imput[[PERIODO Imp.]:[PERIODO Imp.]],BR$9)</f>
        <v>0</v>
      </c>
      <c r="BS909" s="693">
        <f>SUMIFS(Imput[[Importe Neto]:[Importe Neto]],Imput[[C. Imp.]:[C. Imp.]],$D909,Imput[[PERIODO Imp.]:[PERIODO Imp.]],BS$9)</f>
        <v>0</v>
      </c>
      <c r="BT909" s="693">
        <f>SUMIFS(Imput[[Importe Neto]:[Importe Neto]],Imput[[C. Imp.]:[C. Imp.]],$D909,Imput[[PERIODO Imp.]:[PERIODO Imp.]],BT$9)</f>
        <v>0</v>
      </c>
      <c r="BU909" s="693">
        <f>SUMIFS(Imput[[Importe Neto]:[Importe Neto]],Imput[[C. Imp.]:[C. Imp.]],$D909,Imput[[PERIODO Imp.]:[PERIODO Imp.]],BU$9)</f>
        <v>0</v>
      </c>
      <c r="BV909" s="693">
        <f>SUMIFS(Imput[[Importe Neto]:[Importe Neto]],Imput[[C. Imp.]:[C. Imp.]],$D909,Imput[[PERIODO Imp.]:[PERIODO Imp.]],BV$9)</f>
        <v>0</v>
      </c>
      <c r="BW909" s="693">
        <f>SUMIFS(Imput[[Importe Neto]:[Importe Neto]],Imput[[C. Imp.]:[C. Imp.]],$D909,Imput[[PERIODO Imp.]:[PERIODO Imp.]],BW$9)</f>
        <v>0</v>
      </c>
      <c r="BX909" s="693">
        <f>SUMIFS(Imput[[Importe Neto]:[Importe Neto]],Imput[[C. Imp.]:[C. Imp.]],$D909,Imput[[PERIODO Imp.]:[PERIODO Imp.]],BX$9)</f>
        <v>0</v>
      </c>
      <c r="BY909" s="693">
        <f>SUMIFS(Imput[[Importe Neto]:[Importe Neto]],Imput[[C. Imp.]:[C. Imp.]],$D909,Imput[[PERIODO Imp.]:[PERIODO Imp.]],BY$9)</f>
        <v>0</v>
      </c>
      <c r="BZ909" s="693">
        <f>SUMIFS(Imput[[Importe Neto]:[Importe Neto]],Imput[[C. Imp.]:[C. Imp.]],$D909,Imput[[PERIODO Imp.]:[PERIODO Imp.]],BZ$9)</f>
        <v>0</v>
      </c>
      <c r="CA909" s="693">
        <f>SUMIFS(Imput[[Importe Neto]:[Importe Neto]],Imput[[C. Imp.]:[C. Imp.]],$D909,Imput[[PERIODO Imp.]:[PERIODO Imp.]],CA$9)</f>
        <v>0</v>
      </c>
      <c r="CB909" s="693">
        <f>SUMIFS(Imput[[Importe Neto]:[Importe Neto]],Imput[[C. Imp.]:[C. Imp.]],$D909,Imput[[PERIODO Imp.]:[PERIODO Imp.]],CB$9)</f>
        <v>0</v>
      </c>
      <c r="CC909" s="693">
        <f>SUMIFS(Imput[[Importe Neto]:[Importe Neto]],Imput[[C. Imp.]:[C. Imp.]],$D909,Imput[[PERIODO Imp.]:[PERIODO Imp.]],CC$9)</f>
        <v>0</v>
      </c>
      <c r="CD909" s="693">
        <f>SUMIFS(Imput[[Importe Neto]:[Importe Neto]],Imput[[C. Imp.]:[C. Imp.]],$D909,Imput[[PERIODO Imp.]:[PERIODO Imp.]],CD$9)</f>
        <v>0</v>
      </c>
      <c r="CE909" s="693">
        <f>SUMIFS(Imput[[Importe Neto]:[Importe Neto]],Imput[[C. Imp.]:[C. Imp.]],$D909,Imput[[PERIODO Imp.]:[PERIODO Imp.]],CE$9)</f>
        <v>0</v>
      </c>
      <c r="CF909" s="693">
        <f>SUMIFS(Imput[[Importe Neto]:[Importe Neto]],Imput[[C. Imp.]:[C. Imp.]],$D909,Imput[[PERIODO Imp.]:[PERIODO Imp.]],CF$9)</f>
        <v>0</v>
      </c>
      <c r="CG909" s="693">
        <f>SUMIFS(Imput[[Importe Neto]:[Importe Neto]],Imput[[C. Imp.]:[C. Imp.]],$D909,Imput[[PERIODO Imp.]:[PERIODO Imp.]],CG$9)</f>
        <v>0</v>
      </c>
      <c r="CH909" s="693">
        <f>SUMIFS(Imput[[Importe Neto]:[Importe Neto]],Imput[[C. Imp.]:[C. Imp.]],$D909,Imput[[PERIODO Imp.]:[PERIODO Imp.]],CH$9)</f>
        <v>0</v>
      </c>
      <c r="CI909" s="693">
        <f>SUMIFS(Imput[[Importe Neto]:[Importe Neto]],Imput[[C. Imp.]:[C. Imp.]],$D909,Imput[[PERIODO Imp.]:[PERIODO Imp.]],CI$9)</f>
        <v>0</v>
      </c>
      <c r="CJ909" s="693">
        <f>SUMIFS(Imput[[Importe Neto]:[Importe Neto]],Imput[[C. Imp.]:[C. Imp.]],$D909,Imput[[PERIODO Imp.]:[PERIODO Imp.]],CJ$9)</f>
        <v>0</v>
      </c>
      <c r="CK909" s="693">
        <f>SUMIFS(Imput[[Importe Neto]:[Importe Neto]],Imput[[C. Imp.]:[C. Imp.]],$D909,Imput[[PERIODO Imp.]:[PERIODO Imp.]],CK$9)</f>
        <v>0</v>
      </c>
      <c r="CL909" s="693">
        <f>SUMIFS(Imput[[Importe Neto]:[Importe Neto]],Imput[[C. Imp.]:[C. Imp.]],$D909,Imput[[PERIODO Imp.]:[PERIODO Imp.]],CL$9)</f>
        <v>0</v>
      </c>
      <c r="CM909" s="693">
        <f>SUMIFS(Imput[[Importe Neto]:[Importe Neto]],Imput[[C. Imp.]:[C. Imp.]],$D909,Imput[[PERIODO Imp.]:[PERIODO Imp.]],CM$9)</f>
        <v>0</v>
      </c>
      <c r="CN909" s="693">
        <f>SUMIFS(Imput[[Importe Neto]:[Importe Neto]],Imput[[C. Imp.]:[C. Imp.]],$D909,Imput[[PERIODO Imp.]:[PERIODO Imp.]],CN$9)</f>
        <v>0</v>
      </c>
      <c r="CO909" s="693">
        <f>SUMIFS(Imput[[Importe Neto]:[Importe Neto]],Imput[[C. Imp.]:[C. Imp.]],$D909,Imput[[PERIODO Imp.]:[PERIODO Imp.]],CO$9)</f>
        <v>0</v>
      </c>
      <c r="CP909" s="693">
        <f>SUMIFS(Imput[[Importe Neto]:[Importe Neto]],Imput[[C. Imp.]:[C. Imp.]],$D909,Imput[[PERIODO Imp.]:[PERIODO Imp.]],CP$9)</f>
        <v>0</v>
      </c>
      <c r="CQ909" s="693">
        <f>SUMIFS(Imput[[Importe Neto]:[Importe Neto]],Imput[[C. Imp.]:[C. Imp.]],$D909,Imput[[PERIODO Imp.]:[PERIODO Imp.]],CQ$9)</f>
        <v>0</v>
      </c>
      <c r="CR909" s="693">
        <f>SUMIFS(Imput[[Importe Neto]:[Importe Neto]],Imput[[C. Imp.]:[C. Imp.]],$D909,Imput[[PERIODO Imp.]:[PERIODO Imp.]],CR$9)</f>
        <v>0</v>
      </c>
      <c r="CS909" s="693">
        <f>SUMIFS(Imput[[Importe Neto]:[Importe Neto]],Imput[[C. Imp.]:[C. Imp.]],$D909,Imput[[PERIODO Imp.]:[PERIODO Imp.]],CS$9)</f>
        <v>0</v>
      </c>
      <c r="CT909" s="693">
        <f>SUMIFS(Imput[[Importe Neto]:[Importe Neto]],Imput[[C. Imp.]:[C. Imp.]],$D909,Imput[[PERIODO Imp.]:[PERIODO Imp.]],CT$9)</f>
        <v>0</v>
      </c>
      <c r="CU909" s="693">
        <f>SUMIFS(Imput[[Importe Neto]:[Importe Neto]],Imput[[C. Imp.]:[C. Imp.]],$D909,Imput[[PERIODO Imp.]:[PERIODO Imp.]],CU$9)</f>
        <v>0</v>
      </c>
      <c r="CV909" s="693">
        <f>SUMIFS(Imput[[Importe Neto]:[Importe Neto]],Imput[[C. Imp.]:[C. Imp.]],$D909,Imput[[PERIODO Imp.]:[PERIODO Imp.]],CV$9)</f>
        <v>0</v>
      </c>
      <c r="CW909" s="693">
        <f>SUMIFS(Imput[[Importe Neto]:[Importe Neto]],Imput[[C. Imp.]:[C. Imp.]],$D909,Imput[[PERIODO Imp.]:[PERIODO Imp.]],CW$9)</f>
        <v>0</v>
      </c>
      <c r="CX909" s="693">
        <f>SUMIFS(Imput[[Importe Neto]:[Importe Neto]],Imput[[C. Imp.]:[C. Imp.]],$D909,Imput[[PERIODO Imp.]:[PERIODO Imp.]],CX$9)</f>
        <v>0</v>
      </c>
      <c r="CY909" s="693">
        <f>SUMIFS(Imput[[Importe Neto]:[Importe Neto]],Imput[[C. Imp.]:[C. Imp.]],$D909,Imput[[PERIODO Imp.]:[PERIODO Imp.]],CY$9)</f>
        <v>0</v>
      </c>
      <c r="CZ909" s="693">
        <f>SUMIFS(Imput[[Importe Neto]:[Importe Neto]],Imput[[C. Imp.]:[C. Imp.]],$D909,Imput[[PERIODO Imp.]:[PERIODO Imp.]],CZ$9)</f>
        <v>0</v>
      </c>
      <c r="DA909" s="693">
        <f>SUMIFS(Imput[[Importe Neto]:[Importe Neto]],Imput[[C. Imp.]:[C. Imp.]],$D909,Imput[[PERIODO Imp.]:[PERIODO Imp.]],DA$9)</f>
        <v>0</v>
      </c>
      <c r="DB909" s="693">
        <f>SUMIFS(Imput[[Importe Neto]:[Importe Neto]],Imput[[C. Imp.]:[C. Imp.]],$D909,Imput[[PERIODO Imp.]:[PERIODO Imp.]],DB$9)</f>
        <v>0</v>
      </c>
      <c r="DC909" s="693">
        <f>SUMIFS(Imput[[Importe Neto]:[Importe Neto]],Imput[[C. Imp.]:[C. Imp.]],$D909,Imput[[PERIODO Imp.]:[PERIODO Imp.]],DC$9)</f>
        <v>0</v>
      </c>
      <c r="DD909" s="693">
        <f>SUMIFS(Imput[[Importe Neto]:[Importe Neto]],Imput[[C. Imp.]:[C. Imp.]],$D909,Imput[[PERIODO Imp.]:[PERIODO Imp.]],DD$9)</f>
        <v>0</v>
      </c>
      <c r="DE909" s="693">
        <f>SUMIFS(Imput[[Importe Neto]:[Importe Neto]],Imput[[C. Imp.]:[C. Imp.]],$D909,Imput[[PERIODO Imp.]:[PERIODO Imp.]],DE$9)</f>
        <v>0</v>
      </c>
      <c r="DF909" s="693">
        <f>SUMIFS(Imput[[Importe Neto]:[Importe Neto]],Imput[[C. Imp.]:[C. Imp.]],$D909,Imput[[PERIODO Imp.]:[PERIODO Imp.]],DF$9)</f>
        <v>0</v>
      </c>
      <c r="DG909" s="693">
        <f>SUMIFS(Imput[[Importe Neto]:[Importe Neto]],Imput[[C. Imp.]:[C. Imp.]],$D909,Imput[[PERIODO Imp.]:[PERIODO Imp.]],DG$9)</f>
        <v>0</v>
      </c>
      <c r="DH909" s="694">
        <f>SUMIFS(Imput[[Importe Neto]:[Importe Neto]],Imput[[C. Imp.]:[C. Imp.]],$D909,Imput[[PERIODO Imp.]:[PERIODO Imp.]],DH$9)</f>
        <v>0</v>
      </c>
    </row>
    <row r="910" spans="1:112" s="649" customFormat="1" ht="14.4" hidden="1" outlineLevel="1" thickBot="1" x14ac:dyDescent="0.35">
      <c r="A910" s="652" t="str">
        <f t="shared" si="307"/>
        <v/>
      </c>
      <c r="B910" s="652"/>
      <c r="C910" s="685"/>
      <c r="D910" s="686" t="s">
        <v>2878</v>
      </c>
      <c r="E910" s="686"/>
      <c r="F910" s="720"/>
      <c r="G910" s="688"/>
      <c r="H910" s="689"/>
      <c r="I910" s="851" t="str">
        <f t="shared" si="308"/>
        <v/>
      </c>
      <c r="J910" s="850" t="str">
        <f t="shared" si="309"/>
        <v/>
      </c>
      <c r="K910" s="667"/>
      <c r="L910" s="858"/>
      <c r="M910" s="859"/>
      <c r="N910" s="859"/>
      <c r="O910" s="859"/>
      <c r="P910" s="859"/>
      <c r="Q910" s="859"/>
      <c r="R910" s="859"/>
      <c r="S910" s="859"/>
      <c r="T910" s="859"/>
      <c r="U910" s="859"/>
      <c r="V910" s="859"/>
      <c r="W910" s="859"/>
      <c r="X910" s="859"/>
      <c r="Y910" s="859"/>
      <c r="Z910" s="860"/>
      <c r="AA910" s="860"/>
      <c r="AB910" s="860"/>
      <c r="AC910" s="860"/>
      <c r="AD910" s="860"/>
      <c r="AE910" s="860"/>
      <c r="AF910" s="860"/>
      <c r="AG910" s="860"/>
      <c r="AH910" s="860"/>
      <c r="AI910" s="860"/>
      <c r="AJ910" s="860"/>
      <c r="AK910" s="860"/>
      <c r="AL910" s="860"/>
      <c r="AM910" s="860"/>
      <c r="AN910" s="860"/>
      <c r="AO910" s="860"/>
      <c r="AP910" s="860"/>
      <c r="AQ910" s="860"/>
      <c r="AR910" s="860"/>
      <c r="AS910" s="860"/>
      <c r="AT910" s="860"/>
      <c r="AU910" s="860"/>
      <c r="AV910" s="860"/>
      <c r="AW910" s="860"/>
      <c r="AX910" s="860"/>
      <c r="AY910" s="860"/>
      <c r="AZ910" s="860"/>
      <c r="BA910" s="860"/>
      <c r="BB910" s="860"/>
      <c r="BC910" s="860"/>
      <c r="BD910" s="860"/>
      <c r="BE910" s="860"/>
      <c r="BF910" s="860"/>
      <c r="BG910" s="860"/>
      <c r="BH910" s="668"/>
      <c r="BI910" s="667"/>
      <c r="BJ910" s="690">
        <f t="shared" si="310"/>
        <v>0</v>
      </c>
      <c r="BK910" s="691">
        <f t="shared" si="311"/>
        <v>0</v>
      </c>
      <c r="BL910" s="654"/>
      <c r="BM910" s="692">
        <f>SUMIFS(Imput[[Importe Neto]:[Importe Neto]],Imput[[C. Imp.]:[C. Imp.]],$D910,Imput[[PERIODO Imp.]:[PERIODO Imp.]],BM$9)</f>
        <v>0</v>
      </c>
      <c r="BN910" s="693">
        <f>SUMIFS(Imput[[Importe Neto]:[Importe Neto]],Imput[[C. Imp.]:[C. Imp.]],$D910,Imput[[PERIODO Imp.]:[PERIODO Imp.]],BN$9)</f>
        <v>0</v>
      </c>
      <c r="BO910" s="693">
        <f>SUMIFS(Imput[[Importe Neto]:[Importe Neto]],Imput[[C. Imp.]:[C. Imp.]],$D910,Imput[[PERIODO Imp.]:[PERIODO Imp.]],BO$9)</f>
        <v>0</v>
      </c>
      <c r="BP910" s="693">
        <f>SUMIFS(Imput[[Importe Neto]:[Importe Neto]],Imput[[C. Imp.]:[C. Imp.]],$D910,Imput[[PERIODO Imp.]:[PERIODO Imp.]],BP$9)</f>
        <v>0</v>
      </c>
      <c r="BQ910" s="693">
        <f>SUMIFS(Imput[[Importe Neto]:[Importe Neto]],Imput[[C. Imp.]:[C. Imp.]],$D910,Imput[[PERIODO Imp.]:[PERIODO Imp.]],BQ$9)</f>
        <v>0</v>
      </c>
      <c r="BR910" s="693">
        <f>SUMIFS(Imput[[Importe Neto]:[Importe Neto]],Imput[[C. Imp.]:[C. Imp.]],$D910,Imput[[PERIODO Imp.]:[PERIODO Imp.]],BR$9)</f>
        <v>0</v>
      </c>
      <c r="BS910" s="693">
        <f>SUMIFS(Imput[[Importe Neto]:[Importe Neto]],Imput[[C. Imp.]:[C. Imp.]],$D910,Imput[[PERIODO Imp.]:[PERIODO Imp.]],BS$9)</f>
        <v>0</v>
      </c>
      <c r="BT910" s="693">
        <f>SUMIFS(Imput[[Importe Neto]:[Importe Neto]],Imput[[C. Imp.]:[C. Imp.]],$D910,Imput[[PERIODO Imp.]:[PERIODO Imp.]],BT$9)</f>
        <v>0</v>
      </c>
      <c r="BU910" s="693">
        <f>SUMIFS(Imput[[Importe Neto]:[Importe Neto]],Imput[[C. Imp.]:[C. Imp.]],$D910,Imput[[PERIODO Imp.]:[PERIODO Imp.]],BU$9)</f>
        <v>0</v>
      </c>
      <c r="BV910" s="693">
        <f>SUMIFS(Imput[[Importe Neto]:[Importe Neto]],Imput[[C. Imp.]:[C. Imp.]],$D910,Imput[[PERIODO Imp.]:[PERIODO Imp.]],BV$9)</f>
        <v>0</v>
      </c>
      <c r="BW910" s="693">
        <f>SUMIFS(Imput[[Importe Neto]:[Importe Neto]],Imput[[C. Imp.]:[C. Imp.]],$D910,Imput[[PERIODO Imp.]:[PERIODO Imp.]],BW$9)</f>
        <v>0</v>
      </c>
      <c r="BX910" s="693">
        <f>SUMIFS(Imput[[Importe Neto]:[Importe Neto]],Imput[[C. Imp.]:[C. Imp.]],$D910,Imput[[PERIODO Imp.]:[PERIODO Imp.]],BX$9)</f>
        <v>0</v>
      </c>
      <c r="BY910" s="693">
        <f>SUMIFS(Imput[[Importe Neto]:[Importe Neto]],Imput[[C. Imp.]:[C. Imp.]],$D910,Imput[[PERIODO Imp.]:[PERIODO Imp.]],BY$9)</f>
        <v>0</v>
      </c>
      <c r="BZ910" s="693">
        <f>SUMIFS(Imput[[Importe Neto]:[Importe Neto]],Imput[[C. Imp.]:[C. Imp.]],$D910,Imput[[PERIODO Imp.]:[PERIODO Imp.]],BZ$9)</f>
        <v>0</v>
      </c>
      <c r="CA910" s="693">
        <f>SUMIFS(Imput[[Importe Neto]:[Importe Neto]],Imput[[C. Imp.]:[C. Imp.]],$D910,Imput[[PERIODO Imp.]:[PERIODO Imp.]],CA$9)</f>
        <v>0</v>
      </c>
      <c r="CB910" s="693">
        <f>SUMIFS(Imput[[Importe Neto]:[Importe Neto]],Imput[[C. Imp.]:[C. Imp.]],$D910,Imput[[PERIODO Imp.]:[PERIODO Imp.]],CB$9)</f>
        <v>0</v>
      </c>
      <c r="CC910" s="693">
        <f>SUMIFS(Imput[[Importe Neto]:[Importe Neto]],Imput[[C. Imp.]:[C. Imp.]],$D910,Imput[[PERIODO Imp.]:[PERIODO Imp.]],CC$9)</f>
        <v>0</v>
      </c>
      <c r="CD910" s="693">
        <f>SUMIFS(Imput[[Importe Neto]:[Importe Neto]],Imput[[C. Imp.]:[C. Imp.]],$D910,Imput[[PERIODO Imp.]:[PERIODO Imp.]],CD$9)</f>
        <v>0</v>
      </c>
      <c r="CE910" s="693">
        <f>SUMIFS(Imput[[Importe Neto]:[Importe Neto]],Imput[[C. Imp.]:[C. Imp.]],$D910,Imput[[PERIODO Imp.]:[PERIODO Imp.]],CE$9)</f>
        <v>0</v>
      </c>
      <c r="CF910" s="693">
        <f>SUMIFS(Imput[[Importe Neto]:[Importe Neto]],Imput[[C. Imp.]:[C. Imp.]],$D910,Imput[[PERIODO Imp.]:[PERIODO Imp.]],CF$9)</f>
        <v>0</v>
      </c>
      <c r="CG910" s="693">
        <f>SUMIFS(Imput[[Importe Neto]:[Importe Neto]],Imput[[C. Imp.]:[C. Imp.]],$D910,Imput[[PERIODO Imp.]:[PERIODO Imp.]],CG$9)</f>
        <v>0</v>
      </c>
      <c r="CH910" s="693">
        <f>SUMIFS(Imput[[Importe Neto]:[Importe Neto]],Imput[[C. Imp.]:[C. Imp.]],$D910,Imput[[PERIODO Imp.]:[PERIODO Imp.]],CH$9)</f>
        <v>0</v>
      </c>
      <c r="CI910" s="693">
        <f>SUMIFS(Imput[[Importe Neto]:[Importe Neto]],Imput[[C. Imp.]:[C. Imp.]],$D910,Imput[[PERIODO Imp.]:[PERIODO Imp.]],CI$9)</f>
        <v>0</v>
      </c>
      <c r="CJ910" s="693">
        <f>SUMIFS(Imput[[Importe Neto]:[Importe Neto]],Imput[[C. Imp.]:[C. Imp.]],$D910,Imput[[PERIODO Imp.]:[PERIODO Imp.]],CJ$9)</f>
        <v>0</v>
      </c>
      <c r="CK910" s="693">
        <f>SUMIFS(Imput[[Importe Neto]:[Importe Neto]],Imput[[C. Imp.]:[C. Imp.]],$D910,Imput[[PERIODO Imp.]:[PERIODO Imp.]],CK$9)</f>
        <v>0</v>
      </c>
      <c r="CL910" s="693">
        <f>SUMIFS(Imput[[Importe Neto]:[Importe Neto]],Imput[[C. Imp.]:[C. Imp.]],$D910,Imput[[PERIODO Imp.]:[PERIODO Imp.]],CL$9)</f>
        <v>0</v>
      </c>
      <c r="CM910" s="693">
        <f>SUMIFS(Imput[[Importe Neto]:[Importe Neto]],Imput[[C. Imp.]:[C. Imp.]],$D910,Imput[[PERIODO Imp.]:[PERIODO Imp.]],CM$9)</f>
        <v>0</v>
      </c>
      <c r="CN910" s="693">
        <f>SUMIFS(Imput[[Importe Neto]:[Importe Neto]],Imput[[C. Imp.]:[C. Imp.]],$D910,Imput[[PERIODO Imp.]:[PERIODO Imp.]],CN$9)</f>
        <v>0</v>
      </c>
      <c r="CO910" s="693">
        <f>SUMIFS(Imput[[Importe Neto]:[Importe Neto]],Imput[[C. Imp.]:[C. Imp.]],$D910,Imput[[PERIODO Imp.]:[PERIODO Imp.]],CO$9)</f>
        <v>0</v>
      </c>
      <c r="CP910" s="693">
        <f>SUMIFS(Imput[[Importe Neto]:[Importe Neto]],Imput[[C. Imp.]:[C. Imp.]],$D910,Imput[[PERIODO Imp.]:[PERIODO Imp.]],CP$9)</f>
        <v>0</v>
      </c>
      <c r="CQ910" s="693">
        <f>SUMIFS(Imput[[Importe Neto]:[Importe Neto]],Imput[[C. Imp.]:[C. Imp.]],$D910,Imput[[PERIODO Imp.]:[PERIODO Imp.]],CQ$9)</f>
        <v>0</v>
      </c>
      <c r="CR910" s="693">
        <f>SUMIFS(Imput[[Importe Neto]:[Importe Neto]],Imput[[C. Imp.]:[C. Imp.]],$D910,Imput[[PERIODO Imp.]:[PERIODO Imp.]],CR$9)</f>
        <v>0</v>
      </c>
      <c r="CS910" s="693">
        <f>SUMIFS(Imput[[Importe Neto]:[Importe Neto]],Imput[[C. Imp.]:[C. Imp.]],$D910,Imput[[PERIODO Imp.]:[PERIODO Imp.]],CS$9)</f>
        <v>0</v>
      </c>
      <c r="CT910" s="693">
        <f>SUMIFS(Imput[[Importe Neto]:[Importe Neto]],Imput[[C. Imp.]:[C. Imp.]],$D910,Imput[[PERIODO Imp.]:[PERIODO Imp.]],CT$9)</f>
        <v>0</v>
      </c>
      <c r="CU910" s="693">
        <f>SUMIFS(Imput[[Importe Neto]:[Importe Neto]],Imput[[C. Imp.]:[C. Imp.]],$D910,Imput[[PERIODO Imp.]:[PERIODO Imp.]],CU$9)</f>
        <v>0</v>
      </c>
      <c r="CV910" s="693">
        <f>SUMIFS(Imput[[Importe Neto]:[Importe Neto]],Imput[[C. Imp.]:[C. Imp.]],$D910,Imput[[PERIODO Imp.]:[PERIODO Imp.]],CV$9)</f>
        <v>0</v>
      </c>
      <c r="CW910" s="693">
        <f>SUMIFS(Imput[[Importe Neto]:[Importe Neto]],Imput[[C. Imp.]:[C. Imp.]],$D910,Imput[[PERIODO Imp.]:[PERIODO Imp.]],CW$9)</f>
        <v>0</v>
      </c>
      <c r="CX910" s="693">
        <f>SUMIFS(Imput[[Importe Neto]:[Importe Neto]],Imput[[C. Imp.]:[C. Imp.]],$D910,Imput[[PERIODO Imp.]:[PERIODO Imp.]],CX$9)</f>
        <v>0</v>
      </c>
      <c r="CY910" s="693">
        <f>SUMIFS(Imput[[Importe Neto]:[Importe Neto]],Imput[[C. Imp.]:[C. Imp.]],$D910,Imput[[PERIODO Imp.]:[PERIODO Imp.]],CY$9)</f>
        <v>0</v>
      </c>
      <c r="CZ910" s="693">
        <f>SUMIFS(Imput[[Importe Neto]:[Importe Neto]],Imput[[C. Imp.]:[C. Imp.]],$D910,Imput[[PERIODO Imp.]:[PERIODO Imp.]],CZ$9)</f>
        <v>0</v>
      </c>
      <c r="DA910" s="693">
        <f>SUMIFS(Imput[[Importe Neto]:[Importe Neto]],Imput[[C. Imp.]:[C. Imp.]],$D910,Imput[[PERIODO Imp.]:[PERIODO Imp.]],DA$9)</f>
        <v>0</v>
      </c>
      <c r="DB910" s="693">
        <f>SUMIFS(Imput[[Importe Neto]:[Importe Neto]],Imput[[C. Imp.]:[C. Imp.]],$D910,Imput[[PERIODO Imp.]:[PERIODO Imp.]],DB$9)</f>
        <v>0</v>
      </c>
      <c r="DC910" s="693">
        <f>SUMIFS(Imput[[Importe Neto]:[Importe Neto]],Imput[[C. Imp.]:[C. Imp.]],$D910,Imput[[PERIODO Imp.]:[PERIODO Imp.]],DC$9)</f>
        <v>0</v>
      </c>
      <c r="DD910" s="693">
        <f>SUMIFS(Imput[[Importe Neto]:[Importe Neto]],Imput[[C. Imp.]:[C. Imp.]],$D910,Imput[[PERIODO Imp.]:[PERIODO Imp.]],DD$9)</f>
        <v>0</v>
      </c>
      <c r="DE910" s="693">
        <f>SUMIFS(Imput[[Importe Neto]:[Importe Neto]],Imput[[C. Imp.]:[C. Imp.]],$D910,Imput[[PERIODO Imp.]:[PERIODO Imp.]],DE$9)</f>
        <v>0</v>
      </c>
      <c r="DF910" s="693">
        <f>SUMIFS(Imput[[Importe Neto]:[Importe Neto]],Imput[[C. Imp.]:[C. Imp.]],$D910,Imput[[PERIODO Imp.]:[PERIODO Imp.]],DF$9)</f>
        <v>0</v>
      </c>
      <c r="DG910" s="693">
        <f>SUMIFS(Imput[[Importe Neto]:[Importe Neto]],Imput[[C. Imp.]:[C. Imp.]],$D910,Imput[[PERIODO Imp.]:[PERIODO Imp.]],DG$9)</f>
        <v>0</v>
      </c>
      <c r="DH910" s="694">
        <f>SUMIFS(Imput[[Importe Neto]:[Importe Neto]],Imput[[C. Imp.]:[C. Imp.]],$D910,Imput[[PERIODO Imp.]:[PERIODO Imp.]],DH$9)</f>
        <v>0</v>
      </c>
    </row>
    <row r="911" spans="1:112" s="649" customFormat="1" ht="14.4" hidden="1" outlineLevel="1" thickBot="1" x14ac:dyDescent="0.35">
      <c r="A911" s="652" t="str">
        <f t="shared" si="307"/>
        <v/>
      </c>
      <c r="B911" s="652"/>
      <c r="C911" s="685"/>
      <c r="D911" s="686" t="s">
        <v>2879</v>
      </c>
      <c r="E911" s="686"/>
      <c r="F911" s="720"/>
      <c r="G911" s="688"/>
      <c r="H911" s="689"/>
      <c r="I911" s="851" t="str">
        <f t="shared" si="308"/>
        <v/>
      </c>
      <c r="J911" s="850" t="str">
        <f t="shared" si="309"/>
        <v/>
      </c>
      <c r="K911" s="667"/>
      <c r="L911" s="858"/>
      <c r="M911" s="859"/>
      <c r="N911" s="859"/>
      <c r="O911" s="859"/>
      <c r="P911" s="859"/>
      <c r="Q911" s="859"/>
      <c r="R911" s="859"/>
      <c r="S911" s="859"/>
      <c r="T911" s="859"/>
      <c r="U911" s="859"/>
      <c r="V911" s="859"/>
      <c r="W911" s="859"/>
      <c r="X911" s="859"/>
      <c r="Y911" s="859"/>
      <c r="Z911" s="860"/>
      <c r="AA911" s="860"/>
      <c r="AB911" s="860"/>
      <c r="AC911" s="860"/>
      <c r="AD911" s="860"/>
      <c r="AE911" s="860"/>
      <c r="AF911" s="860"/>
      <c r="AG911" s="860"/>
      <c r="AH911" s="860"/>
      <c r="AI911" s="860"/>
      <c r="AJ911" s="860"/>
      <c r="AK911" s="860"/>
      <c r="AL911" s="860"/>
      <c r="AM911" s="860"/>
      <c r="AN911" s="860"/>
      <c r="AO911" s="860"/>
      <c r="AP911" s="860"/>
      <c r="AQ911" s="860"/>
      <c r="AR911" s="860"/>
      <c r="AS911" s="860"/>
      <c r="AT911" s="860"/>
      <c r="AU911" s="860"/>
      <c r="AV911" s="860"/>
      <c r="AW911" s="860"/>
      <c r="AX911" s="860"/>
      <c r="AY911" s="860"/>
      <c r="AZ911" s="860"/>
      <c r="BA911" s="860"/>
      <c r="BB911" s="860"/>
      <c r="BC911" s="860"/>
      <c r="BD911" s="860"/>
      <c r="BE911" s="860"/>
      <c r="BF911" s="860"/>
      <c r="BG911" s="860"/>
      <c r="BH911" s="668"/>
      <c r="BI911" s="667"/>
      <c r="BJ911" s="690">
        <f t="shared" si="310"/>
        <v>0</v>
      </c>
      <c r="BK911" s="691">
        <f t="shared" si="311"/>
        <v>0</v>
      </c>
      <c r="BL911" s="654"/>
      <c r="BM911" s="692">
        <f>SUMIFS(Imput[[Importe Neto]:[Importe Neto]],Imput[[C. Imp.]:[C. Imp.]],$D911,Imput[[PERIODO Imp.]:[PERIODO Imp.]],BM$9)</f>
        <v>0</v>
      </c>
      <c r="BN911" s="693">
        <f>SUMIFS(Imput[[Importe Neto]:[Importe Neto]],Imput[[C. Imp.]:[C. Imp.]],$D911,Imput[[PERIODO Imp.]:[PERIODO Imp.]],BN$9)</f>
        <v>0</v>
      </c>
      <c r="BO911" s="693">
        <f>SUMIFS(Imput[[Importe Neto]:[Importe Neto]],Imput[[C. Imp.]:[C. Imp.]],$D911,Imput[[PERIODO Imp.]:[PERIODO Imp.]],BO$9)</f>
        <v>0</v>
      </c>
      <c r="BP911" s="693">
        <f>SUMIFS(Imput[[Importe Neto]:[Importe Neto]],Imput[[C. Imp.]:[C. Imp.]],$D911,Imput[[PERIODO Imp.]:[PERIODO Imp.]],BP$9)</f>
        <v>0</v>
      </c>
      <c r="BQ911" s="693">
        <f>SUMIFS(Imput[[Importe Neto]:[Importe Neto]],Imput[[C. Imp.]:[C. Imp.]],$D911,Imput[[PERIODO Imp.]:[PERIODO Imp.]],BQ$9)</f>
        <v>0</v>
      </c>
      <c r="BR911" s="693">
        <f>SUMIFS(Imput[[Importe Neto]:[Importe Neto]],Imput[[C. Imp.]:[C. Imp.]],$D911,Imput[[PERIODO Imp.]:[PERIODO Imp.]],BR$9)</f>
        <v>0</v>
      </c>
      <c r="BS911" s="693">
        <f>SUMIFS(Imput[[Importe Neto]:[Importe Neto]],Imput[[C. Imp.]:[C. Imp.]],$D911,Imput[[PERIODO Imp.]:[PERIODO Imp.]],BS$9)</f>
        <v>0</v>
      </c>
      <c r="BT911" s="693">
        <f>SUMIFS(Imput[[Importe Neto]:[Importe Neto]],Imput[[C. Imp.]:[C. Imp.]],$D911,Imput[[PERIODO Imp.]:[PERIODO Imp.]],BT$9)</f>
        <v>0</v>
      </c>
      <c r="BU911" s="693">
        <f>SUMIFS(Imput[[Importe Neto]:[Importe Neto]],Imput[[C. Imp.]:[C. Imp.]],$D911,Imput[[PERIODO Imp.]:[PERIODO Imp.]],BU$9)</f>
        <v>0</v>
      </c>
      <c r="BV911" s="693">
        <f>SUMIFS(Imput[[Importe Neto]:[Importe Neto]],Imput[[C. Imp.]:[C. Imp.]],$D911,Imput[[PERIODO Imp.]:[PERIODO Imp.]],BV$9)</f>
        <v>0</v>
      </c>
      <c r="BW911" s="693">
        <f>SUMIFS(Imput[[Importe Neto]:[Importe Neto]],Imput[[C. Imp.]:[C. Imp.]],$D911,Imput[[PERIODO Imp.]:[PERIODO Imp.]],BW$9)</f>
        <v>0</v>
      </c>
      <c r="BX911" s="693">
        <f>SUMIFS(Imput[[Importe Neto]:[Importe Neto]],Imput[[C. Imp.]:[C. Imp.]],$D911,Imput[[PERIODO Imp.]:[PERIODO Imp.]],BX$9)</f>
        <v>0</v>
      </c>
      <c r="BY911" s="693">
        <f>SUMIFS(Imput[[Importe Neto]:[Importe Neto]],Imput[[C. Imp.]:[C. Imp.]],$D911,Imput[[PERIODO Imp.]:[PERIODO Imp.]],BY$9)</f>
        <v>0</v>
      </c>
      <c r="BZ911" s="693">
        <f>SUMIFS(Imput[[Importe Neto]:[Importe Neto]],Imput[[C. Imp.]:[C. Imp.]],$D911,Imput[[PERIODO Imp.]:[PERIODO Imp.]],BZ$9)</f>
        <v>0</v>
      </c>
      <c r="CA911" s="693">
        <f>SUMIFS(Imput[[Importe Neto]:[Importe Neto]],Imput[[C. Imp.]:[C. Imp.]],$D911,Imput[[PERIODO Imp.]:[PERIODO Imp.]],CA$9)</f>
        <v>0</v>
      </c>
      <c r="CB911" s="693">
        <f>SUMIFS(Imput[[Importe Neto]:[Importe Neto]],Imput[[C. Imp.]:[C. Imp.]],$D911,Imput[[PERIODO Imp.]:[PERIODO Imp.]],CB$9)</f>
        <v>0</v>
      </c>
      <c r="CC911" s="693">
        <f>SUMIFS(Imput[[Importe Neto]:[Importe Neto]],Imput[[C. Imp.]:[C. Imp.]],$D911,Imput[[PERIODO Imp.]:[PERIODO Imp.]],CC$9)</f>
        <v>0</v>
      </c>
      <c r="CD911" s="693">
        <f>SUMIFS(Imput[[Importe Neto]:[Importe Neto]],Imput[[C. Imp.]:[C. Imp.]],$D911,Imput[[PERIODO Imp.]:[PERIODO Imp.]],CD$9)</f>
        <v>0</v>
      </c>
      <c r="CE911" s="693">
        <f>SUMIFS(Imput[[Importe Neto]:[Importe Neto]],Imput[[C. Imp.]:[C. Imp.]],$D911,Imput[[PERIODO Imp.]:[PERIODO Imp.]],CE$9)</f>
        <v>0</v>
      </c>
      <c r="CF911" s="693">
        <f>SUMIFS(Imput[[Importe Neto]:[Importe Neto]],Imput[[C. Imp.]:[C. Imp.]],$D911,Imput[[PERIODO Imp.]:[PERIODO Imp.]],CF$9)</f>
        <v>0</v>
      </c>
      <c r="CG911" s="693">
        <f>SUMIFS(Imput[[Importe Neto]:[Importe Neto]],Imput[[C. Imp.]:[C. Imp.]],$D911,Imput[[PERIODO Imp.]:[PERIODO Imp.]],CG$9)</f>
        <v>0</v>
      </c>
      <c r="CH911" s="693">
        <f>SUMIFS(Imput[[Importe Neto]:[Importe Neto]],Imput[[C. Imp.]:[C. Imp.]],$D911,Imput[[PERIODO Imp.]:[PERIODO Imp.]],CH$9)</f>
        <v>0</v>
      </c>
      <c r="CI911" s="693">
        <f>SUMIFS(Imput[[Importe Neto]:[Importe Neto]],Imput[[C. Imp.]:[C. Imp.]],$D911,Imput[[PERIODO Imp.]:[PERIODO Imp.]],CI$9)</f>
        <v>0</v>
      </c>
      <c r="CJ911" s="693">
        <f>SUMIFS(Imput[[Importe Neto]:[Importe Neto]],Imput[[C. Imp.]:[C. Imp.]],$D911,Imput[[PERIODO Imp.]:[PERIODO Imp.]],CJ$9)</f>
        <v>0</v>
      </c>
      <c r="CK911" s="693">
        <f>SUMIFS(Imput[[Importe Neto]:[Importe Neto]],Imput[[C. Imp.]:[C. Imp.]],$D911,Imput[[PERIODO Imp.]:[PERIODO Imp.]],CK$9)</f>
        <v>0</v>
      </c>
      <c r="CL911" s="693">
        <f>SUMIFS(Imput[[Importe Neto]:[Importe Neto]],Imput[[C. Imp.]:[C. Imp.]],$D911,Imput[[PERIODO Imp.]:[PERIODO Imp.]],CL$9)</f>
        <v>0</v>
      </c>
      <c r="CM911" s="693">
        <f>SUMIFS(Imput[[Importe Neto]:[Importe Neto]],Imput[[C. Imp.]:[C. Imp.]],$D911,Imput[[PERIODO Imp.]:[PERIODO Imp.]],CM$9)</f>
        <v>0</v>
      </c>
      <c r="CN911" s="693">
        <f>SUMIFS(Imput[[Importe Neto]:[Importe Neto]],Imput[[C. Imp.]:[C. Imp.]],$D911,Imput[[PERIODO Imp.]:[PERIODO Imp.]],CN$9)</f>
        <v>0</v>
      </c>
      <c r="CO911" s="693">
        <f>SUMIFS(Imput[[Importe Neto]:[Importe Neto]],Imput[[C. Imp.]:[C. Imp.]],$D911,Imput[[PERIODO Imp.]:[PERIODO Imp.]],CO$9)</f>
        <v>0</v>
      </c>
      <c r="CP911" s="693">
        <f>SUMIFS(Imput[[Importe Neto]:[Importe Neto]],Imput[[C. Imp.]:[C. Imp.]],$D911,Imput[[PERIODO Imp.]:[PERIODO Imp.]],CP$9)</f>
        <v>0</v>
      </c>
      <c r="CQ911" s="693">
        <f>SUMIFS(Imput[[Importe Neto]:[Importe Neto]],Imput[[C. Imp.]:[C. Imp.]],$D911,Imput[[PERIODO Imp.]:[PERIODO Imp.]],CQ$9)</f>
        <v>0</v>
      </c>
      <c r="CR911" s="693">
        <f>SUMIFS(Imput[[Importe Neto]:[Importe Neto]],Imput[[C. Imp.]:[C. Imp.]],$D911,Imput[[PERIODO Imp.]:[PERIODO Imp.]],CR$9)</f>
        <v>0</v>
      </c>
      <c r="CS911" s="693">
        <f>SUMIFS(Imput[[Importe Neto]:[Importe Neto]],Imput[[C. Imp.]:[C. Imp.]],$D911,Imput[[PERIODO Imp.]:[PERIODO Imp.]],CS$9)</f>
        <v>0</v>
      </c>
      <c r="CT911" s="693">
        <f>SUMIFS(Imput[[Importe Neto]:[Importe Neto]],Imput[[C. Imp.]:[C. Imp.]],$D911,Imput[[PERIODO Imp.]:[PERIODO Imp.]],CT$9)</f>
        <v>0</v>
      </c>
      <c r="CU911" s="693">
        <f>SUMIFS(Imput[[Importe Neto]:[Importe Neto]],Imput[[C. Imp.]:[C. Imp.]],$D911,Imput[[PERIODO Imp.]:[PERIODO Imp.]],CU$9)</f>
        <v>0</v>
      </c>
      <c r="CV911" s="693">
        <f>SUMIFS(Imput[[Importe Neto]:[Importe Neto]],Imput[[C. Imp.]:[C. Imp.]],$D911,Imput[[PERIODO Imp.]:[PERIODO Imp.]],CV$9)</f>
        <v>0</v>
      </c>
      <c r="CW911" s="693">
        <f>SUMIFS(Imput[[Importe Neto]:[Importe Neto]],Imput[[C. Imp.]:[C. Imp.]],$D911,Imput[[PERIODO Imp.]:[PERIODO Imp.]],CW$9)</f>
        <v>0</v>
      </c>
      <c r="CX911" s="693">
        <f>SUMIFS(Imput[[Importe Neto]:[Importe Neto]],Imput[[C. Imp.]:[C. Imp.]],$D911,Imput[[PERIODO Imp.]:[PERIODO Imp.]],CX$9)</f>
        <v>0</v>
      </c>
      <c r="CY911" s="693">
        <f>SUMIFS(Imput[[Importe Neto]:[Importe Neto]],Imput[[C. Imp.]:[C. Imp.]],$D911,Imput[[PERIODO Imp.]:[PERIODO Imp.]],CY$9)</f>
        <v>0</v>
      </c>
      <c r="CZ911" s="693">
        <f>SUMIFS(Imput[[Importe Neto]:[Importe Neto]],Imput[[C. Imp.]:[C. Imp.]],$D911,Imput[[PERIODO Imp.]:[PERIODO Imp.]],CZ$9)</f>
        <v>0</v>
      </c>
      <c r="DA911" s="693">
        <f>SUMIFS(Imput[[Importe Neto]:[Importe Neto]],Imput[[C. Imp.]:[C. Imp.]],$D911,Imput[[PERIODO Imp.]:[PERIODO Imp.]],DA$9)</f>
        <v>0</v>
      </c>
      <c r="DB911" s="693">
        <f>SUMIFS(Imput[[Importe Neto]:[Importe Neto]],Imput[[C. Imp.]:[C. Imp.]],$D911,Imput[[PERIODO Imp.]:[PERIODO Imp.]],DB$9)</f>
        <v>0</v>
      </c>
      <c r="DC911" s="693">
        <f>SUMIFS(Imput[[Importe Neto]:[Importe Neto]],Imput[[C. Imp.]:[C. Imp.]],$D911,Imput[[PERIODO Imp.]:[PERIODO Imp.]],DC$9)</f>
        <v>0</v>
      </c>
      <c r="DD911" s="693">
        <f>SUMIFS(Imput[[Importe Neto]:[Importe Neto]],Imput[[C. Imp.]:[C. Imp.]],$D911,Imput[[PERIODO Imp.]:[PERIODO Imp.]],DD$9)</f>
        <v>0</v>
      </c>
      <c r="DE911" s="693">
        <f>SUMIFS(Imput[[Importe Neto]:[Importe Neto]],Imput[[C. Imp.]:[C. Imp.]],$D911,Imput[[PERIODO Imp.]:[PERIODO Imp.]],DE$9)</f>
        <v>0</v>
      </c>
      <c r="DF911" s="693">
        <f>SUMIFS(Imput[[Importe Neto]:[Importe Neto]],Imput[[C. Imp.]:[C. Imp.]],$D911,Imput[[PERIODO Imp.]:[PERIODO Imp.]],DF$9)</f>
        <v>0</v>
      </c>
      <c r="DG911" s="693">
        <f>SUMIFS(Imput[[Importe Neto]:[Importe Neto]],Imput[[C. Imp.]:[C. Imp.]],$D911,Imput[[PERIODO Imp.]:[PERIODO Imp.]],DG$9)</f>
        <v>0</v>
      </c>
      <c r="DH911" s="694">
        <f>SUMIFS(Imput[[Importe Neto]:[Importe Neto]],Imput[[C. Imp.]:[C. Imp.]],$D911,Imput[[PERIODO Imp.]:[PERIODO Imp.]],DH$9)</f>
        <v>0</v>
      </c>
    </row>
    <row r="912" spans="1:112" s="649" customFormat="1" ht="14.4" hidden="1" outlineLevel="1" thickBot="1" x14ac:dyDescent="0.35">
      <c r="A912" s="652" t="str">
        <f t="shared" si="307"/>
        <v/>
      </c>
      <c r="B912" s="652"/>
      <c r="C912" s="685"/>
      <c r="D912" s="686" t="s">
        <v>2880</v>
      </c>
      <c r="E912" s="686"/>
      <c r="F912" s="720"/>
      <c r="G912" s="688"/>
      <c r="H912" s="689"/>
      <c r="I912" s="851" t="str">
        <f t="shared" si="308"/>
        <v/>
      </c>
      <c r="J912" s="850" t="str">
        <f t="shared" si="309"/>
        <v/>
      </c>
      <c r="K912" s="667"/>
      <c r="L912" s="858"/>
      <c r="M912" s="859"/>
      <c r="N912" s="859"/>
      <c r="O912" s="859"/>
      <c r="P912" s="859"/>
      <c r="Q912" s="859"/>
      <c r="R912" s="859"/>
      <c r="S912" s="859"/>
      <c r="T912" s="859"/>
      <c r="U912" s="859"/>
      <c r="V912" s="859"/>
      <c r="W912" s="859"/>
      <c r="X912" s="859"/>
      <c r="Y912" s="859"/>
      <c r="Z912" s="860"/>
      <c r="AA912" s="860"/>
      <c r="AB912" s="860"/>
      <c r="AC912" s="860"/>
      <c r="AD912" s="860"/>
      <c r="AE912" s="860"/>
      <c r="AF912" s="860"/>
      <c r="AG912" s="860"/>
      <c r="AH912" s="860"/>
      <c r="AI912" s="860"/>
      <c r="AJ912" s="860"/>
      <c r="AK912" s="860"/>
      <c r="AL912" s="860"/>
      <c r="AM912" s="860"/>
      <c r="AN912" s="860"/>
      <c r="AO912" s="860"/>
      <c r="AP912" s="860"/>
      <c r="AQ912" s="860"/>
      <c r="AR912" s="860"/>
      <c r="AS912" s="860"/>
      <c r="AT912" s="860"/>
      <c r="AU912" s="860"/>
      <c r="AV912" s="860"/>
      <c r="AW912" s="860"/>
      <c r="AX912" s="860"/>
      <c r="AY912" s="860"/>
      <c r="AZ912" s="860"/>
      <c r="BA912" s="860"/>
      <c r="BB912" s="860"/>
      <c r="BC912" s="860"/>
      <c r="BD912" s="860"/>
      <c r="BE912" s="860"/>
      <c r="BF912" s="860"/>
      <c r="BG912" s="860"/>
      <c r="BH912" s="668"/>
      <c r="BI912" s="667"/>
      <c r="BJ912" s="690">
        <f t="shared" si="310"/>
        <v>0</v>
      </c>
      <c r="BK912" s="691">
        <f t="shared" si="311"/>
        <v>0</v>
      </c>
      <c r="BL912" s="654"/>
      <c r="BM912" s="692">
        <f>SUMIFS(Imput[[Importe Neto]:[Importe Neto]],Imput[[C. Imp.]:[C. Imp.]],$D912,Imput[[PERIODO Imp.]:[PERIODO Imp.]],BM$9)</f>
        <v>0</v>
      </c>
      <c r="BN912" s="693">
        <f>SUMIFS(Imput[[Importe Neto]:[Importe Neto]],Imput[[C. Imp.]:[C. Imp.]],$D912,Imput[[PERIODO Imp.]:[PERIODO Imp.]],BN$9)</f>
        <v>0</v>
      </c>
      <c r="BO912" s="693">
        <f>SUMIFS(Imput[[Importe Neto]:[Importe Neto]],Imput[[C. Imp.]:[C. Imp.]],$D912,Imput[[PERIODO Imp.]:[PERIODO Imp.]],BO$9)</f>
        <v>0</v>
      </c>
      <c r="BP912" s="693">
        <f>SUMIFS(Imput[[Importe Neto]:[Importe Neto]],Imput[[C. Imp.]:[C. Imp.]],$D912,Imput[[PERIODO Imp.]:[PERIODO Imp.]],BP$9)</f>
        <v>0</v>
      </c>
      <c r="BQ912" s="693">
        <f>SUMIFS(Imput[[Importe Neto]:[Importe Neto]],Imput[[C. Imp.]:[C. Imp.]],$D912,Imput[[PERIODO Imp.]:[PERIODO Imp.]],BQ$9)</f>
        <v>0</v>
      </c>
      <c r="BR912" s="693">
        <f>SUMIFS(Imput[[Importe Neto]:[Importe Neto]],Imput[[C. Imp.]:[C. Imp.]],$D912,Imput[[PERIODO Imp.]:[PERIODO Imp.]],BR$9)</f>
        <v>0</v>
      </c>
      <c r="BS912" s="693">
        <f>SUMIFS(Imput[[Importe Neto]:[Importe Neto]],Imput[[C. Imp.]:[C. Imp.]],$D912,Imput[[PERIODO Imp.]:[PERIODO Imp.]],BS$9)</f>
        <v>0</v>
      </c>
      <c r="BT912" s="693">
        <f>SUMIFS(Imput[[Importe Neto]:[Importe Neto]],Imput[[C. Imp.]:[C. Imp.]],$D912,Imput[[PERIODO Imp.]:[PERIODO Imp.]],BT$9)</f>
        <v>0</v>
      </c>
      <c r="BU912" s="693">
        <f>SUMIFS(Imput[[Importe Neto]:[Importe Neto]],Imput[[C. Imp.]:[C. Imp.]],$D912,Imput[[PERIODO Imp.]:[PERIODO Imp.]],BU$9)</f>
        <v>0</v>
      </c>
      <c r="BV912" s="693">
        <f>SUMIFS(Imput[[Importe Neto]:[Importe Neto]],Imput[[C. Imp.]:[C. Imp.]],$D912,Imput[[PERIODO Imp.]:[PERIODO Imp.]],BV$9)</f>
        <v>0</v>
      </c>
      <c r="BW912" s="693">
        <f>SUMIFS(Imput[[Importe Neto]:[Importe Neto]],Imput[[C. Imp.]:[C. Imp.]],$D912,Imput[[PERIODO Imp.]:[PERIODO Imp.]],BW$9)</f>
        <v>0</v>
      </c>
      <c r="BX912" s="693">
        <f>SUMIFS(Imput[[Importe Neto]:[Importe Neto]],Imput[[C. Imp.]:[C. Imp.]],$D912,Imput[[PERIODO Imp.]:[PERIODO Imp.]],BX$9)</f>
        <v>0</v>
      </c>
      <c r="BY912" s="693">
        <f>SUMIFS(Imput[[Importe Neto]:[Importe Neto]],Imput[[C. Imp.]:[C. Imp.]],$D912,Imput[[PERIODO Imp.]:[PERIODO Imp.]],BY$9)</f>
        <v>0</v>
      </c>
      <c r="BZ912" s="693">
        <f>SUMIFS(Imput[[Importe Neto]:[Importe Neto]],Imput[[C. Imp.]:[C. Imp.]],$D912,Imput[[PERIODO Imp.]:[PERIODO Imp.]],BZ$9)</f>
        <v>0</v>
      </c>
      <c r="CA912" s="693">
        <f>SUMIFS(Imput[[Importe Neto]:[Importe Neto]],Imput[[C. Imp.]:[C. Imp.]],$D912,Imput[[PERIODO Imp.]:[PERIODO Imp.]],CA$9)</f>
        <v>0</v>
      </c>
      <c r="CB912" s="693">
        <f>SUMIFS(Imput[[Importe Neto]:[Importe Neto]],Imput[[C. Imp.]:[C. Imp.]],$D912,Imput[[PERIODO Imp.]:[PERIODO Imp.]],CB$9)</f>
        <v>0</v>
      </c>
      <c r="CC912" s="693">
        <f>SUMIFS(Imput[[Importe Neto]:[Importe Neto]],Imput[[C. Imp.]:[C. Imp.]],$D912,Imput[[PERIODO Imp.]:[PERIODO Imp.]],CC$9)</f>
        <v>0</v>
      </c>
      <c r="CD912" s="693">
        <f>SUMIFS(Imput[[Importe Neto]:[Importe Neto]],Imput[[C. Imp.]:[C. Imp.]],$D912,Imput[[PERIODO Imp.]:[PERIODO Imp.]],CD$9)</f>
        <v>0</v>
      </c>
      <c r="CE912" s="693">
        <f>SUMIFS(Imput[[Importe Neto]:[Importe Neto]],Imput[[C. Imp.]:[C. Imp.]],$D912,Imput[[PERIODO Imp.]:[PERIODO Imp.]],CE$9)</f>
        <v>0</v>
      </c>
      <c r="CF912" s="693">
        <f>SUMIFS(Imput[[Importe Neto]:[Importe Neto]],Imput[[C. Imp.]:[C. Imp.]],$D912,Imput[[PERIODO Imp.]:[PERIODO Imp.]],CF$9)</f>
        <v>0</v>
      </c>
      <c r="CG912" s="693">
        <f>SUMIFS(Imput[[Importe Neto]:[Importe Neto]],Imput[[C. Imp.]:[C. Imp.]],$D912,Imput[[PERIODO Imp.]:[PERIODO Imp.]],CG$9)</f>
        <v>0</v>
      </c>
      <c r="CH912" s="693">
        <f>SUMIFS(Imput[[Importe Neto]:[Importe Neto]],Imput[[C. Imp.]:[C. Imp.]],$D912,Imput[[PERIODO Imp.]:[PERIODO Imp.]],CH$9)</f>
        <v>0</v>
      </c>
      <c r="CI912" s="693">
        <f>SUMIFS(Imput[[Importe Neto]:[Importe Neto]],Imput[[C. Imp.]:[C. Imp.]],$D912,Imput[[PERIODO Imp.]:[PERIODO Imp.]],CI$9)</f>
        <v>0</v>
      </c>
      <c r="CJ912" s="693">
        <f>SUMIFS(Imput[[Importe Neto]:[Importe Neto]],Imput[[C. Imp.]:[C. Imp.]],$D912,Imput[[PERIODO Imp.]:[PERIODO Imp.]],CJ$9)</f>
        <v>0</v>
      </c>
      <c r="CK912" s="693">
        <f>SUMIFS(Imput[[Importe Neto]:[Importe Neto]],Imput[[C. Imp.]:[C. Imp.]],$D912,Imput[[PERIODO Imp.]:[PERIODO Imp.]],CK$9)</f>
        <v>0</v>
      </c>
      <c r="CL912" s="693">
        <f>SUMIFS(Imput[[Importe Neto]:[Importe Neto]],Imput[[C. Imp.]:[C. Imp.]],$D912,Imput[[PERIODO Imp.]:[PERIODO Imp.]],CL$9)</f>
        <v>0</v>
      </c>
      <c r="CM912" s="693">
        <f>SUMIFS(Imput[[Importe Neto]:[Importe Neto]],Imput[[C. Imp.]:[C. Imp.]],$D912,Imput[[PERIODO Imp.]:[PERIODO Imp.]],CM$9)</f>
        <v>0</v>
      </c>
      <c r="CN912" s="693">
        <f>SUMIFS(Imput[[Importe Neto]:[Importe Neto]],Imput[[C. Imp.]:[C. Imp.]],$D912,Imput[[PERIODO Imp.]:[PERIODO Imp.]],CN$9)</f>
        <v>0</v>
      </c>
      <c r="CO912" s="693">
        <f>SUMIFS(Imput[[Importe Neto]:[Importe Neto]],Imput[[C. Imp.]:[C. Imp.]],$D912,Imput[[PERIODO Imp.]:[PERIODO Imp.]],CO$9)</f>
        <v>0</v>
      </c>
      <c r="CP912" s="693">
        <f>SUMIFS(Imput[[Importe Neto]:[Importe Neto]],Imput[[C. Imp.]:[C. Imp.]],$D912,Imput[[PERIODO Imp.]:[PERIODO Imp.]],CP$9)</f>
        <v>0</v>
      </c>
      <c r="CQ912" s="693">
        <f>SUMIFS(Imput[[Importe Neto]:[Importe Neto]],Imput[[C. Imp.]:[C. Imp.]],$D912,Imput[[PERIODO Imp.]:[PERIODO Imp.]],CQ$9)</f>
        <v>0</v>
      </c>
      <c r="CR912" s="693">
        <f>SUMIFS(Imput[[Importe Neto]:[Importe Neto]],Imput[[C. Imp.]:[C. Imp.]],$D912,Imput[[PERIODO Imp.]:[PERIODO Imp.]],CR$9)</f>
        <v>0</v>
      </c>
      <c r="CS912" s="693">
        <f>SUMIFS(Imput[[Importe Neto]:[Importe Neto]],Imput[[C. Imp.]:[C. Imp.]],$D912,Imput[[PERIODO Imp.]:[PERIODO Imp.]],CS$9)</f>
        <v>0</v>
      </c>
      <c r="CT912" s="693">
        <f>SUMIFS(Imput[[Importe Neto]:[Importe Neto]],Imput[[C. Imp.]:[C. Imp.]],$D912,Imput[[PERIODO Imp.]:[PERIODO Imp.]],CT$9)</f>
        <v>0</v>
      </c>
      <c r="CU912" s="693">
        <f>SUMIFS(Imput[[Importe Neto]:[Importe Neto]],Imput[[C. Imp.]:[C. Imp.]],$D912,Imput[[PERIODO Imp.]:[PERIODO Imp.]],CU$9)</f>
        <v>0</v>
      </c>
      <c r="CV912" s="693">
        <f>SUMIFS(Imput[[Importe Neto]:[Importe Neto]],Imput[[C. Imp.]:[C. Imp.]],$D912,Imput[[PERIODO Imp.]:[PERIODO Imp.]],CV$9)</f>
        <v>0</v>
      </c>
      <c r="CW912" s="693">
        <f>SUMIFS(Imput[[Importe Neto]:[Importe Neto]],Imput[[C. Imp.]:[C. Imp.]],$D912,Imput[[PERIODO Imp.]:[PERIODO Imp.]],CW$9)</f>
        <v>0</v>
      </c>
      <c r="CX912" s="693">
        <f>SUMIFS(Imput[[Importe Neto]:[Importe Neto]],Imput[[C. Imp.]:[C. Imp.]],$D912,Imput[[PERIODO Imp.]:[PERIODO Imp.]],CX$9)</f>
        <v>0</v>
      </c>
      <c r="CY912" s="693">
        <f>SUMIFS(Imput[[Importe Neto]:[Importe Neto]],Imput[[C. Imp.]:[C. Imp.]],$D912,Imput[[PERIODO Imp.]:[PERIODO Imp.]],CY$9)</f>
        <v>0</v>
      </c>
      <c r="CZ912" s="693">
        <f>SUMIFS(Imput[[Importe Neto]:[Importe Neto]],Imput[[C. Imp.]:[C. Imp.]],$D912,Imput[[PERIODO Imp.]:[PERIODO Imp.]],CZ$9)</f>
        <v>0</v>
      </c>
      <c r="DA912" s="693">
        <f>SUMIFS(Imput[[Importe Neto]:[Importe Neto]],Imput[[C. Imp.]:[C. Imp.]],$D912,Imput[[PERIODO Imp.]:[PERIODO Imp.]],DA$9)</f>
        <v>0</v>
      </c>
      <c r="DB912" s="693">
        <f>SUMIFS(Imput[[Importe Neto]:[Importe Neto]],Imput[[C. Imp.]:[C. Imp.]],$D912,Imput[[PERIODO Imp.]:[PERIODO Imp.]],DB$9)</f>
        <v>0</v>
      </c>
      <c r="DC912" s="693">
        <f>SUMIFS(Imput[[Importe Neto]:[Importe Neto]],Imput[[C. Imp.]:[C. Imp.]],$D912,Imput[[PERIODO Imp.]:[PERIODO Imp.]],DC$9)</f>
        <v>0</v>
      </c>
      <c r="DD912" s="693">
        <f>SUMIFS(Imput[[Importe Neto]:[Importe Neto]],Imput[[C. Imp.]:[C. Imp.]],$D912,Imput[[PERIODO Imp.]:[PERIODO Imp.]],DD$9)</f>
        <v>0</v>
      </c>
      <c r="DE912" s="693">
        <f>SUMIFS(Imput[[Importe Neto]:[Importe Neto]],Imput[[C. Imp.]:[C. Imp.]],$D912,Imput[[PERIODO Imp.]:[PERIODO Imp.]],DE$9)</f>
        <v>0</v>
      </c>
      <c r="DF912" s="693">
        <f>SUMIFS(Imput[[Importe Neto]:[Importe Neto]],Imput[[C. Imp.]:[C. Imp.]],$D912,Imput[[PERIODO Imp.]:[PERIODO Imp.]],DF$9)</f>
        <v>0</v>
      </c>
      <c r="DG912" s="693">
        <f>SUMIFS(Imput[[Importe Neto]:[Importe Neto]],Imput[[C. Imp.]:[C. Imp.]],$D912,Imput[[PERIODO Imp.]:[PERIODO Imp.]],DG$9)</f>
        <v>0</v>
      </c>
      <c r="DH912" s="694">
        <f>SUMIFS(Imput[[Importe Neto]:[Importe Neto]],Imput[[C. Imp.]:[C. Imp.]],$D912,Imput[[PERIODO Imp.]:[PERIODO Imp.]],DH$9)</f>
        <v>0</v>
      </c>
    </row>
    <row r="913" spans="1:112" s="649" customFormat="1" ht="14.4" hidden="1" outlineLevel="1" thickBot="1" x14ac:dyDescent="0.35">
      <c r="A913" s="652" t="str">
        <f t="shared" si="307"/>
        <v/>
      </c>
      <c r="B913" s="652"/>
      <c r="C913" s="685"/>
      <c r="D913" s="686" t="s">
        <v>2881</v>
      </c>
      <c r="E913" s="686"/>
      <c r="F913" s="720"/>
      <c r="G913" s="688"/>
      <c r="H913" s="689"/>
      <c r="I913" s="851" t="str">
        <f t="shared" si="308"/>
        <v/>
      </c>
      <c r="J913" s="850" t="str">
        <f t="shared" si="309"/>
        <v/>
      </c>
      <c r="K913" s="667"/>
      <c r="L913" s="858"/>
      <c r="M913" s="859"/>
      <c r="N913" s="859"/>
      <c r="O913" s="859"/>
      <c r="P913" s="859"/>
      <c r="Q913" s="859"/>
      <c r="R913" s="859"/>
      <c r="S913" s="859"/>
      <c r="T913" s="859"/>
      <c r="U913" s="859"/>
      <c r="V913" s="859"/>
      <c r="W913" s="859"/>
      <c r="X913" s="859"/>
      <c r="Y913" s="859"/>
      <c r="Z913" s="860"/>
      <c r="AA913" s="860"/>
      <c r="AB913" s="860"/>
      <c r="AC913" s="860"/>
      <c r="AD913" s="860"/>
      <c r="AE913" s="860"/>
      <c r="AF913" s="860"/>
      <c r="AG913" s="860"/>
      <c r="AH913" s="860"/>
      <c r="AI913" s="860"/>
      <c r="AJ913" s="860"/>
      <c r="AK913" s="860"/>
      <c r="AL913" s="860"/>
      <c r="AM913" s="860"/>
      <c r="AN913" s="860"/>
      <c r="AO913" s="860"/>
      <c r="AP913" s="860"/>
      <c r="AQ913" s="860"/>
      <c r="AR913" s="860"/>
      <c r="AS913" s="860"/>
      <c r="AT913" s="860"/>
      <c r="AU913" s="860"/>
      <c r="AV913" s="860"/>
      <c r="AW913" s="860"/>
      <c r="AX913" s="860"/>
      <c r="AY913" s="860"/>
      <c r="AZ913" s="860"/>
      <c r="BA913" s="860"/>
      <c r="BB913" s="860"/>
      <c r="BC913" s="860"/>
      <c r="BD913" s="860"/>
      <c r="BE913" s="860"/>
      <c r="BF913" s="860"/>
      <c r="BG913" s="860"/>
      <c r="BH913" s="668"/>
      <c r="BI913" s="667"/>
      <c r="BJ913" s="690">
        <f t="shared" si="310"/>
        <v>0</v>
      </c>
      <c r="BK913" s="691">
        <f t="shared" si="311"/>
        <v>0</v>
      </c>
      <c r="BL913" s="654"/>
      <c r="BM913" s="692">
        <f>SUMIFS(Imput[[Importe Neto]:[Importe Neto]],Imput[[C. Imp.]:[C. Imp.]],$D913,Imput[[PERIODO Imp.]:[PERIODO Imp.]],BM$9)</f>
        <v>0</v>
      </c>
      <c r="BN913" s="693">
        <f>SUMIFS(Imput[[Importe Neto]:[Importe Neto]],Imput[[C. Imp.]:[C. Imp.]],$D913,Imput[[PERIODO Imp.]:[PERIODO Imp.]],BN$9)</f>
        <v>0</v>
      </c>
      <c r="BO913" s="693">
        <f>SUMIFS(Imput[[Importe Neto]:[Importe Neto]],Imput[[C. Imp.]:[C. Imp.]],$D913,Imput[[PERIODO Imp.]:[PERIODO Imp.]],BO$9)</f>
        <v>0</v>
      </c>
      <c r="BP913" s="693">
        <f>SUMIFS(Imput[[Importe Neto]:[Importe Neto]],Imput[[C. Imp.]:[C. Imp.]],$D913,Imput[[PERIODO Imp.]:[PERIODO Imp.]],BP$9)</f>
        <v>0</v>
      </c>
      <c r="BQ913" s="693">
        <f>SUMIFS(Imput[[Importe Neto]:[Importe Neto]],Imput[[C. Imp.]:[C. Imp.]],$D913,Imput[[PERIODO Imp.]:[PERIODO Imp.]],BQ$9)</f>
        <v>0</v>
      </c>
      <c r="BR913" s="693">
        <f>SUMIFS(Imput[[Importe Neto]:[Importe Neto]],Imput[[C. Imp.]:[C. Imp.]],$D913,Imput[[PERIODO Imp.]:[PERIODO Imp.]],BR$9)</f>
        <v>0</v>
      </c>
      <c r="BS913" s="693">
        <f>SUMIFS(Imput[[Importe Neto]:[Importe Neto]],Imput[[C. Imp.]:[C. Imp.]],$D913,Imput[[PERIODO Imp.]:[PERIODO Imp.]],BS$9)</f>
        <v>0</v>
      </c>
      <c r="BT913" s="693">
        <f>SUMIFS(Imput[[Importe Neto]:[Importe Neto]],Imput[[C. Imp.]:[C. Imp.]],$D913,Imput[[PERIODO Imp.]:[PERIODO Imp.]],BT$9)</f>
        <v>0</v>
      </c>
      <c r="BU913" s="693">
        <f>SUMIFS(Imput[[Importe Neto]:[Importe Neto]],Imput[[C. Imp.]:[C. Imp.]],$D913,Imput[[PERIODO Imp.]:[PERIODO Imp.]],BU$9)</f>
        <v>0</v>
      </c>
      <c r="BV913" s="693">
        <f>SUMIFS(Imput[[Importe Neto]:[Importe Neto]],Imput[[C. Imp.]:[C. Imp.]],$D913,Imput[[PERIODO Imp.]:[PERIODO Imp.]],BV$9)</f>
        <v>0</v>
      </c>
      <c r="BW913" s="693">
        <f>SUMIFS(Imput[[Importe Neto]:[Importe Neto]],Imput[[C. Imp.]:[C. Imp.]],$D913,Imput[[PERIODO Imp.]:[PERIODO Imp.]],BW$9)</f>
        <v>0</v>
      </c>
      <c r="BX913" s="693">
        <f>SUMIFS(Imput[[Importe Neto]:[Importe Neto]],Imput[[C. Imp.]:[C. Imp.]],$D913,Imput[[PERIODO Imp.]:[PERIODO Imp.]],BX$9)</f>
        <v>0</v>
      </c>
      <c r="BY913" s="693">
        <f>SUMIFS(Imput[[Importe Neto]:[Importe Neto]],Imput[[C. Imp.]:[C. Imp.]],$D913,Imput[[PERIODO Imp.]:[PERIODO Imp.]],BY$9)</f>
        <v>0</v>
      </c>
      <c r="BZ913" s="693">
        <f>SUMIFS(Imput[[Importe Neto]:[Importe Neto]],Imput[[C. Imp.]:[C. Imp.]],$D913,Imput[[PERIODO Imp.]:[PERIODO Imp.]],BZ$9)</f>
        <v>0</v>
      </c>
      <c r="CA913" s="693">
        <f>SUMIFS(Imput[[Importe Neto]:[Importe Neto]],Imput[[C. Imp.]:[C. Imp.]],$D913,Imput[[PERIODO Imp.]:[PERIODO Imp.]],CA$9)</f>
        <v>0</v>
      </c>
      <c r="CB913" s="693">
        <f>SUMIFS(Imput[[Importe Neto]:[Importe Neto]],Imput[[C. Imp.]:[C. Imp.]],$D913,Imput[[PERIODO Imp.]:[PERIODO Imp.]],CB$9)</f>
        <v>0</v>
      </c>
      <c r="CC913" s="693">
        <f>SUMIFS(Imput[[Importe Neto]:[Importe Neto]],Imput[[C. Imp.]:[C. Imp.]],$D913,Imput[[PERIODO Imp.]:[PERIODO Imp.]],CC$9)</f>
        <v>0</v>
      </c>
      <c r="CD913" s="693">
        <f>SUMIFS(Imput[[Importe Neto]:[Importe Neto]],Imput[[C. Imp.]:[C. Imp.]],$D913,Imput[[PERIODO Imp.]:[PERIODO Imp.]],CD$9)</f>
        <v>0</v>
      </c>
      <c r="CE913" s="693">
        <f>SUMIFS(Imput[[Importe Neto]:[Importe Neto]],Imput[[C. Imp.]:[C. Imp.]],$D913,Imput[[PERIODO Imp.]:[PERIODO Imp.]],CE$9)</f>
        <v>0</v>
      </c>
      <c r="CF913" s="693">
        <f>SUMIFS(Imput[[Importe Neto]:[Importe Neto]],Imput[[C. Imp.]:[C. Imp.]],$D913,Imput[[PERIODO Imp.]:[PERIODO Imp.]],CF$9)</f>
        <v>0</v>
      </c>
      <c r="CG913" s="693">
        <f>SUMIFS(Imput[[Importe Neto]:[Importe Neto]],Imput[[C. Imp.]:[C. Imp.]],$D913,Imput[[PERIODO Imp.]:[PERIODO Imp.]],CG$9)</f>
        <v>0</v>
      </c>
      <c r="CH913" s="693">
        <f>SUMIFS(Imput[[Importe Neto]:[Importe Neto]],Imput[[C. Imp.]:[C. Imp.]],$D913,Imput[[PERIODO Imp.]:[PERIODO Imp.]],CH$9)</f>
        <v>0</v>
      </c>
      <c r="CI913" s="693">
        <f>SUMIFS(Imput[[Importe Neto]:[Importe Neto]],Imput[[C. Imp.]:[C. Imp.]],$D913,Imput[[PERIODO Imp.]:[PERIODO Imp.]],CI$9)</f>
        <v>0</v>
      </c>
      <c r="CJ913" s="693">
        <f>SUMIFS(Imput[[Importe Neto]:[Importe Neto]],Imput[[C. Imp.]:[C. Imp.]],$D913,Imput[[PERIODO Imp.]:[PERIODO Imp.]],CJ$9)</f>
        <v>0</v>
      </c>
      <c r="CK913" s="693">
        <f>SUMIFS(Imput[[Importe Neto]:[Importe Neto]],Imput[[C. Imp.]:[C. Imp.]],$D913,Imput[[PERIODO Imp.]:[PERIODO Imp.]],CK$9)</f>
        <v>0</v>
      </c>
      <c r="CL913" s="693">
        <f>SUMIFS(Imput[[Importe Neto]:[Importe Neto]],Imput[[C. Imp.]:[C. Imp.]],$D913,Imput[[PERIODO Imp.]:[PERIODO Imp.]],CL$9)</f>
        <v>0</v>
      </c>
      <c r="CM913" s="693">
        <f>SUMIFS(Imput[[Importe Neto]:[Importe Neto]],Imput[[C. Imp.]:[C. Imp.]],$D913,Imput[[PERIODO Imp.]:[PERIODO Imp.]],CM$9)</f>
        <v>0</v>
      </c>
      <c r="CN913" s="693">
        <f>SUMIFS(Imput[[Importe Neto]:[Importe Neto]],Imput[[C. Imp.]:[C. Imp.]],$D913,Imput[[PERIODO Imp.]:[PERIODO Imp.]],CN$9)</f>
        <v>0</v>
      </c>
      <c r="CO913" s="693">
        <f>SUMIFS(Imput[[Importe Neto]:[Importe Neto]],Imput[[C. Imp.]:[C. Imp.]],$D913,Imput[[PERIODO Imp.]:[PERIODO Imp.]],CO$9)</f>
        <v>0</v>
      </c>
      <c r="CP913" s="693">
        <f>SUMIFS(Imput[[Importe Neto]:[Importe Neto]],Imput[[C. Imp.]:[C. Imp.]],$D913,Imput[[PERIODO Imp.]:[PERIODO Imp.]],CP$9)</f>
        <v>0</v>
      </c>
      <c r="CQ913" s="693">
        <f>SUMIFS(Imput[[Importe Neto]:[Importe Neto]],Imput[[C. Imp.]:[C. Imp.]],$D913,Imput[[PERIODO Imp.]:[PERIODO Imp.]],CQ$9)</f>
        <v>0</v>
      </c>
      <c r="CR913" s="693">
        <f>SUMIFS(Imput[[Importe Neto]:[Importe Neto]],Imput[[C. Imp.]:[C. Imp.]],$D913,Imput[[PERIODO Imp.]:[PERIODO Imp.]],CR$9)</f>
        <v>0</v>
      </c>
      <c r="CS913" s="693">
        <f>SUMIFS(Imput[[Importe Neto]:[Importe Neto]],Imput[[C. Imp.]:[C. Imp.]],$D913,Imput[[PERIODO Imp.]:[PERIODO Imp.]],CS$9)</f>
        <v>0</v>
      </c>
      <c r="CT913" s="693">
        <f>SUMIFS(Imput[[Importe Neto]:[Importe Neto]],Imput[[C. Imp.]:[C. Imp.]],$D913,Imput[[PERIODO Imp.]:[PERIODO Imp.]],CT$9)</f>
        <v>0</v>
      </c>
      <c r="CU913" s="693">
        <f>SUMIFS(Imput[[Importe Neto]:[Importe Neto]],Imput[[C. Imp.]:[C. Imp.]],$D913,Imput[[PERIODO Imp.]:[PERIODO Imp.]],CU$9)</f>
        <v>0</v>
      </c>
      <c r="CV913" s="693">
        <f>SUMIFS(Imput[[Importe Neto]:[Importe Neto]],Imput[[C. Imp.]:[C. Imp.]],$D913,Imput[[PERIODO Imp.]:[PERIODO Imp.]],CV$9)</f>
        <v>0</v>
      </c>
      <c r="CW913" s="693">
        <f>SUMIFS(Imput[[Importe Neto]:[Importe Neto]],Imput[[C. Imp.]:[C. Imp.]],$D913,Imput[[PERIODO Imp.]:[PERIODO Imp.]],CW$9)</f>
        <v>0</v>
      </c>
      <c r="CX913" s="693">
        <f>SUMIFS(Imput[[Importe Neto]:[Importe Neto]],Imput[[C. Imp.]:[C. Imp.]],$D913,Imput[[PERIODO Imp.]:[PERIODO Imp.]],CX$9)</f>
        <v>0</v>
      </c>
      <c r="CY913" s="693">
        <f>SUMIFS(Imput[[Importe Neto]:[Importe Neto]],Imput[[C. Imp.]:[C. Imp.]],$D913,Imput[[PERIODO Imp.]:[PERIODO Imp.]],CY$9)</f>
        <v>0</v>
      </c>
      <c r="CZ913" s="693">
        <f>SUMIFS(Imput[[Importe Neto]:[Importe Neto]],Imput[[C. Imp.]:[C. Imp.]],$D913,Imput[[PERIODO Imp.]:[PERIODO Imp.]],CZ$9)</f>
        <v>0</v>
      </c>
      <c r="DA913" s="693">
        <f>SUMIFS(Imput[[Importe Neto]:[Importe Neto]],Imput[[C. Imp.]:[C. Imp.]],$D913,Imput[[PERIODO Imp.]:[PERIODO Imp.]],DA$9)</f>
        <v>0</v>
      </c>
      <c r="DB913" s="693">
        <f>SUMIFS(Imput[[Importe Neto]:[Importe Neto]],Imput[[C. Imp.]:[C. Imp.]],$D913,Imput[[PERIODO Imp.]:[PERIODO Imp.]],DB$9)</f>
        <v>0</v>
      </c>
      <c r="DC913" s="693">
        <f>SUMIFS(Imput[[Importe Neto]:[Importe Neto]],Imput[[C. Imp.]:[C. Imp.]],$D913,Imput[[PERIODO Imp.]:[PERIODO Imp.]],DC$9)</f>
        <v>0</v>
      </c>
      <c r="DD913" s="693">
        <f>SUMIFS(Imput[[Importe Neto]:[Importe Neto]],Imput[[C. Imp.]:[C. Imp.]],$D913,Imput[[PERIODO Imp.]:[PERIODO Imp.]],DD$9)</f>
        <v>0</v>
      </c>
      <c r="DE913" s="693">
        <f>SUMIFS(Imput[[Importe Neto]:[Importe Neto]],Imput[[C. Imp.]:[C. Imp.]],$D913,Imput[[PERIODO Imp.]:[PERIODO Imp.]],DE$9)</f>
        <v>0</v>
      </c>
      <c r="DF913" s="693">
        <f>SUMIFS(Imput[[Importe Neto]:[Importe Neto]],Imput[[C. Imp.]:[C. Imp.]],$D913,Imput[[PERIODO Imp.]:[PERIODO Imp.]],DF$9)</f>
        <v>0</v>
      </c>
      <c r="DG913" s="693">
        <f>SUMIFS(Imput[[Importe Neto]:[Importe Neto]],Imput[[C. Imp.]:[C. Imp.]],$D913,Imput[[PERIODO Imp.]:[PERIODO Imp.]],DG$9)</f>
        <v>0</v>
      </c>
      <c r="DH913" s="694">
        <f>SUMIFS(Imput[[Importe Neto]:[Importe Neto]],Imput[[C. Imp.]:[C. Imp.]],$D913,Imput[[PERIODO Imp.]:[PERIODO Imp.]],DH$9)</f>
        <v>0</v>
      </c>
    </row>
    <row r="914" spans="1:112" s="649" customFormat="1" ht="14.4" hidden="1" outlineLevel="1" thickBot="1" x14ac:dyDescent="0.35">
      <c r="A914" s="652" t="str">
        <f t="shared" si="307"/>
        <v/>
      </c>
      <c r="B914" s="652"/>
      <c r="C914" s="685"/>
      <c r="D914" s="686" t="s">
        <v>2882</v>
      </c>
      <c r="E914" s="686"/>
      <c r="F914" s="720"/>
      <c r="G914" s="688"/>
      <c r="H914" s="689"/>
      <c r="I914" s="851" t="str">
        <f t="shared" si="308"/>
        <v/>
      </c>
      <c r="J914" s="850" t="str">
        <f t="shared" si="309"/>
        <v/>
      </c>
      <c r="K914" s="667"/>
      <c r="L914" s="858"/>
      <c r="M914" s="859"/>
      <c r="N914" s="859"/>
      <c r="O914" s="859"/>
      <c r="P914" s="859"/>
      <c r="Q914" s="859"/>
      <c r="R914" s="859"/>
      <c r="S914" s="859"/>
      <c r="T914" s="859"/>
      <c r="U914" s="859"/>
      <c r="V914" s="859"/>
      <c r="W914" s="859"/>
      <c r="X914" s="859"/>
      <c r="Y914" s="859"/>
      <c r="Z914" s="860"/>
      <c r="AA914" s="860"/>
      <c r="AB914" s="860"/>
      <c r="AC914" s="860"/>
      <c r="AD914" s="860"/>
      <c r="AE914" s="860"/>
      <c r="AF914" s="860"/>
      <c r="AG914" s="860"/>
      <c r="AH914" s="860"/>
      <c r="AI914" s="860"/>
      <c r="AJ914" s="860"/>
      <c r="AK914" s="860"/>
      <c r="AL914" s="860"/>
      <c r="AM914" s="860"/>
      <c r="AN914" s="860"/>
      <c r="AO914" s="860"/>
      <c r="AP914" s="860"/>
      <c r="AQ914" s="860"/>
      <c r="AR914" s="860"/>
      <c r="AS914" s="860"/>
      <c r="AT914" s="860"/>
      <c r="AU914" s="860"/>
      <c r="AV914" s="860"/>
      <c r="AW914" s="860"/>
      <c r="AX914" s="860"/>
      <c r="AY914" s="860"/>
      <c r="AZ914" s="860"/>
      <c r="BA914" s="860"/>
      <c r="BB914" s="860"/>
      <c r="BC914" s="860"/>
      <c r="BD914" s="860"/>
      <c r="BE914" s="860"/>
      <c r="BF914" s="860"/>
      <c r="BG914" s="860"/>
      <c r="BH914" s="668"/>
      <c r="BI914" s="667"/>
      <c r="BJ914" s="690">
        <f t="shared" si="310"/>
        <v>0</v>
      </c>
      <c r="BK914" s="691">
        <f t="shared" si="311"/>
        <v>0</v>
      </c>
      <c r="BL914" s="654"/>
      <c r="BM914" s="692">
        <f>SUMIFS(Imput[[Importe Neto]:[Importe Neto]],Imput[[C. Imp.]:[C. Imp.]],$D914,Imput[[PERIODO Imp.]:[PERIODO Imp.]],BM$9)</f>
        <v>0</v>
      </c>
      <c r="BN914" s="693">
        <f>SUMIFS(Imput[[Importe Neto]:[Importe Neto]],Imput[[C. Imp.]:[C. Imp.]],$D914,Imput[[PERIODO Imp.]:[PERIODO Imp.]],BN$9)</f>
        <v>0</v>
      </c>
      <c r="BO914" s="693">
        <f>SUMIFS(Imput[[Importe Neto]:[Importe Neto]],Imput[[C. Imp.]:[C. Imp.]],$D914,Imput[[PERIODO Imp.]:[PERIODO Imp.]],BO$9)</f>
        <v>0</v>
      </c>
      <c r="BP914" s="693">
        <f>SUMIFS(Imput[[Importe Neto]:[Importe Neto]],Imput[[C. Imp.]:[C. Imp.]],$D914,Imput[[PERIODO Imp.]:[PERIODO Imp.]],BP$9)</f>
        <v>0</v>
      </c>
      <c r="BQ914" s="693">
        <f>SUMIFS(Imput[[Importe Neto]:[Importe Neto]],Imput[[C. Imp.]:[C. Imp.]],$D914,Imput[[PERIODO Imp.]:[PERIODO Imp.]],BQ$9)</f>
        <v>0</v>
      </c>
      <c r="BR914" s="693">
        <f>SUMIFS(Imput[[Importe Neto]:[Importe Neto]],Imput[[C. Imp.]:[C. Imp.]],$D914,Imput[[PERIODO Imp.]:[PERIODO Imp.]],BR$9)</f>
        <v>0</v>
      </c>
      <c r="BS914" s="693">
        <f>SUMIFS(Imput[[Importe Neto]:[Importe Neto]],Imput[[C. Imp.]:[C. Imp.]],$D914,Imput[[PERIODO Imp.]:[PERIODO Imp.]],BS$9)</f>
        <v>0</v>
      </c>
      <c r="BT914" s="693">
        <f>SUMIFS(Imput[[Importe Neto]:[Importe Neto]],Imput[[C. Imp.]:[C. Imp.]],$D914,Imput[[PERIODO Imp.]:[PERIODO Imp.]],BT$9)</f>
        <v>0</v>
      </c>
      <c r="BU914" s="693">
        <f>SUMIFS(Imput[[Importe Neto]:[Importe Neto]],Imput[[C. Imp.]:[C. Imp.]],$D914,Imput[[PERIODO Imp.]:[PERIODO Imp.]],BU$9)</f>
        <v>0</v>
      </c>
      <c r="BV914" s="693">
        <f>SUMIFS(Imput[[Importe Neto]:[Importe Neto]],Imput[[C. Imp.]:[C. Imp.]],$D914,Imput[[PERIODO Imp.]:[PERIODO Imp.]],BV$9)</f>
        <v>0</v>
      </c>
      <c r="BW914" s="693">
        <f>SUMIFS(Imput[[Importe Neto]:[Importe Neto]],Imput[[C. Imp.]:[C. Imp.]],$D914,Imput[[PERIODO Imp.]:[PERIODO Imp.]],BW$9)</f>
        <v>0</v>
      </c>
      <c r="BX914" s="693">
        <f>SUMIFS(Imput[[Importe Neto]:[Importe Neto]],Imput[[C. Imp.]:[C. Imp.]],$D914,Imput[[PERIODO Imp.]:[PERIODO Imp.]],BX$9)</f>
        <v>0</v>
      </c>
      <c r="BY914" s="693">
        <f>SUMIFS(Imput[[Importe Neto]:[Importe Neto]],Imput[[C. Imp.]:[C. Imp.]],$D914,Imput[[PERIODO Imp.]:[PERIODO Imp.]],BY$9)</f>
        <v>0</v>
      </c>
      <c r="BZ914" s="693">
        <f>SUMIFS(Imput[[Importe Neto]:[Importe Neto]],Imput[[C. Imp.]:[C. Imp.]],$D914,Imput[[PERIODO Imp.]:[PERIODO Imp.]],BZ$9)</f>
        <v>0</v>
      </c>
      <c r="CA914" s="693">
        <f>SUMIFS(Imput[[Importe Neto]:[Importe Neto]],Imput[[C. Imp.]:[C. Imp.]],$D914,Imput[[PERIODO Imp.]:[PERIODO Imp.]],CA$9)</f>
        <v>0</v>
      </c>
      <c r="CB914" s="693">
        <f>SUMIFS(Imput[[Importe Neto]:[Importe Neto]],Imput[[C. Imp.]:[C. Imp.]],$D914,Imput[[PERIODO Imp.]:[PERIODO Imp.]],CB$9)</f>
        <v>0</v>
      </c>
      <c r="CC914" s="693">
        <f>SUMIFS(Imput[[Importe Neto]:[Importe Neto]],Imput[[C. Imp.]:[C. Imp.]],$D914,Imput[[PERIODO Imp.]:[PERIODO Imp.]],CC$9)</f>
        <v>0</v>
      </c>
      <c r="CD914" s="693">
        <f>SUMIFS(Imput[[Importe Neto]:[Importe Neto]],Imput[[C. Imp.]:[C. Imp.]],$D914,Imput[[PERIODO Imp.]:[PERIODO Imp.]],CD$9)</f>
        <v>0</v>
      </c>
      <c r="CE914" s="693">
        <f>SUMIFS(Imput[[Importe Neto]:[Importe Neto]],Imput[[C. Imp.]:[C. Imp.]],$D914,Imput[[PERIODO Imp.]:[PERIODO Imp.]],CE$9)</f>
        <v>0</v>
      </c>
      <c r="CF914" s="693">
        <f>SUMIFS(Imput[[Importe Neto]:[Importe Neto]],Imput[[C. Imp.]:[C. Imp.]],$D914,Imput[[PERIODO Imp.]:[PERIODO Imp.]],CF$9)</f>
        <v>0</v>
      </c>
      <c r="CG914" s="693">
        <f>SUMIFS(Imput[[Importe Neto]:[Importe Neto]],Imput[[C. Imp.]:[C. Imp.]],$D914,Imput[[PERIODO Imp.]:[PERIODO Imp.]],CG$9)</f>
        <v>0</v>
      </c>
      <c r="CH914" s="693">
        <f>SUMIFS(Imput[[Importe Neto]:[Importe Neto]],Imput[[C. Imp.]:[C. Imp.]],$D914,Imput[[PERIODO Imp.]:[PERIODO Imp.]],CH$9)</f>
        <v>0</v>
      </c>
      <c r="CI914" s="693">
        <f>SUMIFS(Imput[[Importe Neto]:[Importe Neto]],Imput[[C. Imp.]:[C. Imp.]],$D914,Imput[[PERIODO Imp.]:[PERIODO Imp.]],CI$9)</f>
        <v>0</v>
      </c>
      <c r="CJ914" s="693">
        <f>SUMIFS(Imput[[Importe Neto]:[Importe Neto]],Imput[[C. Imp.]:[C. Imp.]],$D914,Imput[[PERIODO Imp.]:[PERIODO Imp.]],CJ$9)</f>
        <v>0</v>
      </c>
      <c r="CK914" s="693">
        <f>SUMIFS(Imput[[Importe Neto]:[Importe Neto]],Imput[[C. Imp.]:[C. Imp.]],$D914,Imput[[PERIODO Imp.]:[PERIODO Imp.]],CK$9)</f>
        <v>0</v>
      </c>
      <c r="CL914" s="693">
        <f>SUMIFS(Imput[[Importe Neto]:[Importe Neto]],Imput[[C. Imp.]:[C. Imp.]],$D914,Imput[[PERIODO Imp.]:[PERIODO Imp.]],CL$9)</f>
        <v>0</v>
      </c>
      <c r="CM914" s="693">
        <f>SUMIFS(Imput[[Importe Neto]:[Importe Neto]],Imput[[C. Imp.]:[C. Imp.]],$D914,Imput[[PERIODO Imp.]:[PERIODO Imp.]],CM$9)</f>
        <v>0</v>
      </c>
      <c r="CN914" s="693">
        <f>SUMIFS(Imput[[Importe Neto]:[Importe Neto]],Imput[[C. Imp.]:[C. Imp.]],$D914,Imput[[PERIODO Imp.]:[PERIODO Imp.]],CN$9)</f>
        <v>0</v>
      </c>
      <c r="CO914" s="693">
        <f>SUMIFS(Imput[[Importe Neto]:[Importe Neto]],Imput[[C. Imp.]:[C. Imp.]],$D914,Imput[[PERIODO Imp.]:[PERIODO Imp.]],CO$9)</f>
        <v>0</v>
      </c>
      <c r="CP914" s="693">
        <f>SUMIFS(Imput[[Importe Neto]:[Importe Neto]],Imput[[C. Imp.]:[C. Imp.]],$D914,Imput[[PERIODO Imp.]:[PERIODO Imp.]],CP$9)</f>
        <v>0</v>
      </c>
      <c r="CQ914" s="693">
        <f>SUMIFS(Imput[[Importe Neto]:[Importe Neto]],Imput[[C. Imp.]:[C. Imp.]],$D914,Imput[[PERIODO Imp.]:[PERIODO Imp.]],CQ$9)</f>
        <v>0</v>
      </c>
      <c r="CR914" s="693">
        <f>SUMIFS(Imput[[Importe Neto]:[Importe Neto]],Imput[[C. Imp.]:[C. Imp.]],$D914,Imput[[PERIODO Imp.]:[PERIODO Imp.]],CR$9)</f>
        <v>0</v>
      </c>
      <c r="CS914" s="693">
        <f>SUMIFS(Imput[[Importe Neto]:[Importe Neto]],Imput[[C. Imp.]:[C. Imp.]],$D914,Imput[[PERIODO Imp.]:[PERIODO Imp.]],CS$9)</f>
        <v>0</v>
      </c>
      <c r="CT914" s="693">
        <f>SUMIFS(Imput[[Importe Neto]:[Importe Neto]],Imput[[C. Imp.]:[C. Imp.]],$D914,Imput[[PERIODO Imp.]:[PERIODO Imp.]],CT$9)</f>
        <v>0</v>
      </c>
      <c r="CU914" s="693">
        <f>SUMIFS(Imput[[Importe Neto]:[Importe Neto]],Imput[[C. Imp.]:[C. Imp.]],$D914,Imput[[PERIODO Imp.]:[PERIODO Imp.]],CU$9)</f>
        <v>0</v>
      </c>
      <c r="CV914" s="693">
        <f>SUMIFS(Imput[[Importe Neto]:[Importe Neto]],Imput[[C. Imp.]:[C. Imp.]],$D914,Imput[[PERIODO Imp.]:[PERIODO Imp.]],CV$9)</f>
        <v>0</v>
      </c>
      <c r="CW914" s="693">
        <f>SUMIFS(Imput[[Importe Neto]:[Importe Neto]],Imput[[C. Imp.]:[C. Imp.]],$D914,Imput[[PERIODO Imp.]:[PERIODO Imp.]],CW$9)</f>
        <v>0</v>
      </c>
      <c r="CX914" s="693">
        <f>SUMIFS(Imput[[Importe Neto]:[Importe Neto]],Imput[[C. Imp.]:[C. Imp.]],$D914,Imput[[PERIODO Imp.]:[PERIODO Imp.]],CX$9)</f>
        <v>0</v>
      </c>
      <c r="CY914" s="693">
        <f>SUMIFS(Imput[[Importe Neto]:[Importe Neto]],Imput[[C. Imp.]:[C. Imp.]],$D914,Imput[[PERIODO Imp.]:[PERIODO Imp.]],CY$9)</f>
        <v>0</v>
      </c>
      <c r="CZ914" s="693">
        <f>SUMIFS(Imput[[Importe Neto]:[Importe Neto]],Imput[[C. Imp.]:[C. Imp.]],$D914,Imput[[PERIODO Imp.]:[PERIODO Imp.]],CZ$9)</f>
        <v>0</v>
      </c>
      <c r="DA914" s="693">
        <f>SUMIFS(Imput[[Importe Neto]:[Importe Neto]],Imput[[C. Imp.]:[C. Imp.]],$D914,Imput[[PERIODO Imp.]:[PERIODO Imp.]],DA$9)</f>
        <v>0</v>
      </c>
      <c r="DB914" s="693">
        <f>SUMIFS(Imput[[Importe Neto]:[Importe Neto]],Imput[[C. Imp.]:[C. Imp.]],$D914,Imput[[PERIODO Imp.]:[PERIODO Imp.]],DB$9)</f>
        <v>0</v>
      </c>
      <c r="DC914" s="693">
        <f>SUMIFS(Imput[[Importe Neto]:[Importe Neto]],Imput[[C. Imp.]:[C. Imp.]],$D914,Imput[[PERIODO Imp.]:[PERIODO Imp.]],DC$9)</f>
        <v>0</v>
      </c>
      <c r="DD914" s="693">
        <f>SUMIFS(Imput[[Importe Neto]:[Importe Neto]],Imput[[C. Imp.]:[C. Imp.]],$D914,Imput[[PERIODO Imp.]:[PERIODO Imp.]],DD$9)</f>
        <v>0</v>
      </c>
      <c r="DE914" s="693">
        <f>SUMIFS(Imput[[Importe Neto]:[Importe Neto]],Imput[[C. Imp.]:[C. Imp.]],$D914,Imput[[PERIODO Imp.]:[PERIODO Imp.]],DE$9)</f>
        <v>0</v>
      </c>
      <c r="DF914" s="693">
        <f>SUMIFS(Imput[[Importe Neto]:[Importe Neto]],Imput[[C. Imp.]:[C. Imp.]],$D914,Imput[[PERIODO Imp.]:[PERIODO Imp.]],DF$9)</f>
        <v>0</v>
      </c>
      <c r="DG914" s="693">
        <f>SUMIFS(Imput[[Importe Neto]:[Importe Neto]],Imput[[C. Imp.]:[C. Imp.]],$D914,Imput[[PERIODO Imp.]:[PERIODO Imp.]],DG$9)</f>
        <v>0</v>
      </c>
      <c r="DH914" s="694">
        <f>SUMIFS(Imput[[Importe Neto]:[Importe Neto]],Imput[[C. Imp.]:[C. Imp.]],$D914,Imput[[PERIODO Imp.]:[PERIODO Imp.]],DH$9)</f>
        <v>0</v>
      </c>
    </row>
    <row r="915" spans="1:112" s="649" customFormat="1" ht="14.4" hidden="1" outlineLevel="1" thickBot="1" x14ac:dyDescent="0.35">
      <c r="A915" s="652" t="str">
        <f t="shared" si="307"/>
        <v/>
      </c>
      <c r="B915" s="652"/>
      <c r="C915" s="685"/>
      <c r="D915" s="686" t="s">
        <v>2883</v>
      </c>
      <c r="E915" s="686"/>
      <c r="F915" s="720"/>
      <c r="G915" s="688"/>
      <c r="H915" s="689"/>
      <c r="I915" s="851" t="str">
        <f t="shared" si="308"/>
        <v/>
      </c>
      <c r="J915" s="850" t="str">
        <f t="shared" si="309"/>
        <v/>
      </c>
      <c r="K915" s="667"/>
      <c r="L915" s="858"/>
      <c r="M915" s="859"/>
      <c r="N915" s="859"/>
      <c r="O915" s="859"/>
      <c r="P915" s="859"/>
      <c r="Q915" s="859"/>
      <c r="R915" s="859"/>
      <c r="S915" s="859"/>
      <c r="T915" s="859"/>
      <c r="U915" s="859"/>
      <c r="V915" s="859"/>
      <c r="W915" s="859"/>
      <c r="X915" s="859"/>
      <c r="Y915" s="859"/>
      <c r="Z915" s="860"/>
      <c r="AA915" s="860"/>
      <c r="AB915" s="860"/>
      <c r="AC915" s="860"/>
      <c r="AD915" s="860"/>
      <c r="AE915" s="860"/>
      <c r="AF915" s="860"/>
      <c r="AG915" s="860"/>
      <c r="AH915" s="860"/>
      <c r="AI915" s="860"/>
      <c r="AJ915" s="860"/>
      <c r="AK915" s="860"/>
      <c r="AL915" s="860"/>
      <c r="AM915" s="860"/>
      <c r="AN915" s="860"/>
      <c r="AO915" s="860"/>
      <c r="AP915" s="860"/>
      <c r="AQ915" s="860"/>
      <c r="AR915" s="860"/>
      <c r="AS915" s="860"/>
      <c r="AT915" s="860"/>
      <c r="AU915" s="860"/>
      <c r="AV915" s="860"/>
      <c r="AW915" s="860"/>
      <c r="AX915" s="860"/>
      <c r="AY915" s="860"/>
      <c r="AZ915" s="860"/>
      <c r="BA915" s="860"/>
      <c r="BB915" s="860"/>
      <c r="BC915" s="860"/>
      <c r="BD915" s="860"/>
      <c r="BE915" s="860"/>
      <c r="BF915" s="860"/>
      <c r="BG915" s="860"/>
      <c r="BH915" s="668"/>
      <c r="BI915" s="667"/>
      <c r="BJ915" s="690">
        <f t="shared" si="310"/>
        <v>0</v>
      </c>
      <c r="BK915" s="691">
        <f t="shared" si="311"/>
        <v>0</v>
      </c>
      <c r="BL915" s="654"/>
      <c r="BM915" s="692">
        <f>SUMIFS(Imput[[Importe Neto]:[Importe Neto]],Imput[[C. Imp.]:[C. Imp.]],$D915,Imput[[PERIODO Imp.]:[PERIODO Imp.]],BM$9)</f>
        <v>0</v>
      </c>
      <c r="BN915" s="693">
        <f>SUMIFS(Imput[[Importe Neto]:[Importe Neto]],Imput[[C. Imp.]:[C. Imp.]],$D915,Imput[[PERIODO Imp.]:[PERIODO Imp.]],BN$9)</f>
        <v>0</v>
      </c>
      <c r="BO915" s="693">
        <f>SUMIFS(Imput[[Importe Neto]:[Importe Neto]],Imput[[C. Imp.]:[C. Imp.]],$D915,Imput[[PERIODO Imp.]:[PERIODO Imp.]],BO$9)</f>
        <v>0</v>
      </c>
      <c r="BP915" s="693">
        <f>SUMIFS(Imput[[Importe Neto]:[Importe Neto]],Imput[[C. Imp.]:[C. Imp.]],$D915,Imput[[PERIODO Imp.]:[PERIODO Imp.]],BP$9)</f>
        <v>0</v>
      </c>
      <c r="BQ915" s="693">
        <f>SUMIFS(Imput[[Importe Neto]:[Importe Neto]],Imput[[C. Imp.]:[C. Imp.]],$D915,Imput[[PERIODO Imp.]:[PERIODO Imp.]],BQ$9)</f>
        <v>0</v>
      </c>
      <c r="BR915" s="693">
        <f>SUMIFS(Imput[[Importe Neto]:[Importe Neto]],Imput[[C. Imp.]:[C. Imp.]],$D915,Imput[[PERIODO Imp.]:[PERIODO Imp.]],BR$9)</f>
        <v>0</v>
      </c>
      <c r="BS915" s="693">
        <f>SUMIFS(Imput[[Importe Neto]:[Importe Neto]],Imput[[C. Imp.]:[C. Imp.]],$D915,Imput[[PERIODO Imp.]:[PERIODO Imp.]],BS$9)</f>
        <v>0</v>
      </c>
      <c r="BT915" s="693">
        <f>SUMIFS(Imput[[Importe Neto]:[Importe Neto]],Imput[[C. Imp.]:[C. Imp.]],$D915,Imput[[PERIODO Imp.]:[PERIODO Imp.]],BT$9)</f>
        <v>0</v>
      </c>
      <c r="BU915" s="693">
        <f>SUMIFS(Imput[[Importe Neto]:[Importe Neto]],Imput[[C. Imp.]:[C. Imp.]],$D915,Imput[[PERIODO Imp.]:[PERIODO Imp.]],BU$9)</f>
        <v>0</v>
      </c>
      <c r="BV915" s="693">
        <f>SUMIFS(Imput[[Importe Neto]:[Importe Neto]],Imput[[C. Imp.]:[C. Imp.]],$D915,Imput[[PERIODO Imp.]:[PERIODO Imp.]],BV$9)</f>
        <v>0</v>
      </c>
      <c r="BW915" s="693">
        <f>SUMIFS(Imput[[Importe Neto]:[Importe Neto]],Imput[[C. Imp.]:[C. Imp.]],$D915,Imput[[PERIODO Imp.]:[PERIODO Imp.]],BW$9)</f>
        <v>0</v>
      </c>
      <c r="BX915" s="693">
        <f>SUMIFS(Imput[[Importe Neto]:[Importe Neto]],Imput[[C. Imp.]:[C. Imp.]],$D915,Imput[[PERIODO Imp.]:[PERIODO Imp.]],BX$9)</f>
        <v>0</v>
      </c>
      <c r="BY915" s="693">
        <f>SUMIFS(Imput[[Importe Neto]:[Importe Neto]],Imput[[C. Imp.]:[C. Imp.]],$D915,Imput[[PERIODO Imp.]:[PERIODO Imp.]],BY$9)</f>
        <v>0</v>
      </c>
      <c r="BZ915" s="693">
        <f>SUMIFS(Imput[[Importe Neto]:[Importe Neto]],Imput[[C. Imp.]:[C. Imp.]],$D915,Imput[[PERIODO Imp.]:[PERIODO Imp.]],BZ$9)</f>
        <v>0</v>
      </c>
      <c r="CA915" s="693">
        <f>SUMIFS(Imput[[Importe Neto]:[Importe Neto]],Imput[[C. Imp.]:[C. Imp.]],$D915,Imput[[PERIODO Imp.]:[PERIODO Imp.]],CA$9)</f>
        <v>0</v>
      </c>
      <c r="CB915" s="693">
        <f>SUMIFS(Imput[[Importe Neto]:[Importe Neto]],Imput[[C. Imp.]:[C. Imp.]],$D915,Imput[[PERIODO Imp.]:[PERIODO Imp.]],CB$9)</f>
        <v>0</v>
      </c>
      <c r="CC915" s="693">
        <f>SUMIFS(Imput[[Importe Neto]:[Importe Neto]],Imput[[C. Imp.]:[C. Imp.]],$D915,Imput[[PERIODO Imp.]:[PERIODO Imp.]],CC$9)</f>
        <v>0</v>
      </c>
      <c r="CD915" s="693">
        <f>SUMIFS(Imput[[Importe Neto]:[Importe Neto]],Imput[[C. Imp.]:[C. Imp.]],$D915,Imput[[PERIODO Imp.]:[PERIODO Imp.]],CD$9)</f>
        <v>0</v>
      </c>
      <c r="CE915" s="693">
        <f>SUMIFS(Imput[[Importe Neto]:[Importe Neto]],Imput[[C. Imp.]:[C. Imp.]],$D915,Imput[[PERIODO Imp.]:[PERIODO Imp.]],CE$9)</f>
        <v>0</v>
      </c>
      <c r="CF915" s="693">
        <f>SUMIFS(Imput[[Importe Neto]:[Importe Neto]],Imput[[C. Imp.]:[C. Imp.]],$D915,Imput[[PERIODO Imp.]:[PERIODO Imp.]],CF$9)</f>
        <v>0</v>
      </c>
      <c r="CG915" s="693">
        <f>SUMIFS(Imput[[Importe Neto]:[Importe Neto]],Imput[[C. Imp.]:[C. Imp.]],$D915,Imput[[PERIODO Imp.]:[PERIODO Imp.]],CG$9)</f>
        <v>0</v>
      </c>
      <c r="CH915" s="693">
        <f>SUMIFS(Imput[[Importe Neto]:[Importe Neto]],Imput[[C. Imp.]:[C. Imp.]],$D915,Imput[[PERIODO Imp.]:[PERIODO Imp.]],CH$9)</f>
        <v>0</v>
      </c>
      <c r="CI915" s="693">
        <f>SUMIFS(Imput[[Importe Neto]:[Importe Neto]],Imput[[C. Imp.]:[C. Imp.]],$D915,Imput[[PERIODO Imp.]:[PERIODO Imp.]],CI$9)</f>
        <v>0</v>
      </c>
      <c r="CJ915" s="693">
        <f>SUMIFS(Imput[[Importe Neto]:[Importe Neto]],Imput[[C. Imp.]:[C. Imp.]],$D915,Imput[[PERIODO Imp.]:[PERIODO Imp.]],CJ$9)</f>
        <v>0</v>
      </c>
      <c r="CK915" s="693">
        <f>SUMIFS(Imput[[Importe Neto]:[Importe Neto]],Imput[[C. Imp.]:[C. Imp.]],$D915,Imput[[PERIODO Imp.]:[PERIODO Imp.]],CK$9)</f>
        <v>0</v>
      </c>
      <c r="CL915" s="693">
        <f>SUMIFS(Imput[[Importe Neto]:[Importe Neto]],Imput[[C. Imp.]:[C. Imp.]],$D915,Imput[[PERIODO Imp.]:[PERIODO Imp.]],CL$9)</f>
        <v>0</v>
      </c>
      <c r="CM915" s="693">
        <f>SUMIFS(Imput[[Importe Neto]:[Importe Neto]],Imput[[C. Imp.]:[C. Imp.]],$D915,Imput[[PERIODO Imp.]:[PERIODO Imp.]],CM$9)</f>
        <v>0</v>
      </c>
      <c r="CN915" s="693">
        <f>SUMIFS(Imput[[Importe Neto]:[Importe Neto]],Imput[[C. Imp.]:[C. Imp.]],$D915,Imput[[PERIODO Imp.]:[PERIODO Imp.]],CN$9)</f>
        <v>0</v>
      </c>
      <c r="CO915" s="693">
        <f>SUMIFS(Imput[[Importe Neto]:[Importe Neto]],Imput[[C. Imp.]:[C. Imp.]],$D915,Imput[[PERIODO Imp.]:[PERIODO Imp.]],CO$9)</f>
        <v>0</v>
      </c>
      <c r="CP915" s="693">
        <f>SUMIFS(Imput[[Importe Neto]:[Importe Neto]],Imput[[C. Imp.]:[C. Imp.]],$D915,Imput[[PERIODO Imp.]:[PERIODO Imp.]],CP$9)</f>
        <v>0</v>
      </c>
      <c r="CQ915" s="693">
        <f>SUMIFS(Imput[[Importe Neto]:[Importe Neto]],Imput[[C. Imp.]:[C. Imp.]],$D915,Imput[[PERIODO Imp.]:[PERIODO Imp.]],CQ$9)</f>
        <v>0</v>
      </c>
      <c r="CR915" s="693">
        <f>SUMIFS(Imput[[Importe Neto]:[Importe Neto]],Imput[[C. Imp.]:[C. Imp.]],$D915,Imput[[PERIODO Imp.]:[PERIODO Imp.]],CR$9)</f>
        <v>0</v>
      </c>
      <c r="CS915" s="693">
        <f>SUMIFS(Imput[[Importe Neto]:[Importe Neto]],Imput[[C. Imp.]:[C. Imp.]],$D915,Imput[[PERIODO Imp.]:[PERIODO Imp.]],CS$9)</f>
        <v>0</v>
      </c>
      <c r="CT915" s="693">
        <f>SUMIFS(Imput[[Importe Neto]:[Importe Neto]],Imput[[C. Imp.]:[C. Imp.]],$D915,Imput[[PERIODO Imp.]:[PERIODO Imp.]],CT$9)</f>
        <v>0</v>
      </c>
      <c r="CU915" s="693">
        <f>SUMIFS(Imput[[Importe Neto]:[Importe Neto]],Imput[[C. Imp.]:[C. Imp.]],$D915,Imput[[PERIODO Imp.]:[PERIODO Imp.]],CU$9)</f>
        <v>0</v>
      </c>
      <c r="CV915" s="693">
        <f>SUMIFS(Imput[[Importe Neto]:[Importe Neto]],Imput[[C. Imp.]:[C. Imp.]],$D915,Imput[[PERIODO Imp.]:[PERIODO Imp.]],CV$9)</f>
        <v>0</v>
      </c>
      <c r="CW915" s="693">
        <f>SUMIFS(Imput[[Importe Neto]:[Importe Neto]],Imput[[C. Imp.]:[C. Imp.]],$D915,Imput[[PERIODO Imp.]:[PERIODO Imp.]],CW$9)</f>
        <v>0</v>
      </c>
      <c r="CX915" s="693">
        <f>SUMIFS(Imput[[Importe Neto]:[Importe Neto]],Imput[[C. Imp.]:[C. Imp.]],$D915,Imput[[PERIODO Imp.]:[PERIODO Imp.]],CX$9)</f>
        <v>0</v>
      </c>
      <c r="CY915" s="693">
        <f>SUMIFS(Imput[[Importe Neto]:[Importe Neto]],Imput[[C. Imp.]:[C. Imp.]],$D915,Imput[[PERIODO Imp.]:[PERIODO Imp.]],CY$9)</f>
        <v>0</v>
      </c>
      <c r="CZ915" s="693">
        <f>SUMIFS(Imput[[Importe Neto]:[Importe Neto]],Imput[[C. Imp.]:[C. Imp.]],$D915,Imput[[PERIODO Imp.]:[PERIODO Imp.]],CZ$9)</f>
        <v>0</v>
      </c>
      <c r="DA915" s="693">
        <f>SUMIFS(Imput[[Importe Neto]:[Importe Neto]],Imput[[C. Imp.]:[C. Imp.]],$D915,Imput[[PERIODO Imp.]:[PERIODO Imp.]],DA$9)</f>
        <v>0</v>
      </c>
      <c r="DB915" s="693">
        <f>SUMIFS(Imput[[Importe Neto]:[Importe Neto]],Imput[[C. Imp.]:[C. Imp.]],$D915,Imput[[PERIODO Imp.]:[PERIODO Imp.]],DB$9)</f>
        <v>0</v>
      </c>
      <c r="DC915" s="693">
        <f>SUMIFS(Imput[[Importe Neto]:[Importe Neto]],Imput[[C. Imp.]:[C. Imp.]],$D915,Imput[[PERIODO Imp.]:[PERIODO Imp.]],DC$9)</f>
        <v>0</v>
      </c>
      <c r="DD915" s="693">
        <f>SUMIFS(Imput[[Importe Neto]:[Importe Neto]],Imput[[C. Imp.]:[C. Imp.]],$D915,Imput[[PERIODO Imp.]:[PERIODO Imp.]],DD$9)</f>
        <v>0</v>
      </c>
      <c r="DE915" s="693">
        <f>SUMIFS(Imput[[Importe Neto]:[Importe Neto]],Imput[[C. Imp.]:[C. Imp.]],$D915,Imput[[PERIODO Imp.]:[PERIODO Imp.]],DE$9)</f>
        <v>0</v>
      </c>
      <c r="DF915" s="693">
        <f>SUMIFS(Imput[[Importe Neto]:[Importe Neto]],Imput[[C. Imp.]:[C. Imp.]],$D915,Imput[[PERIODO Imp.]:[PERIODO Imp.]],DF$9)</f>
        <v>0</v>
      </c>
      <c r="DG915" s="693">
        <f>SUMIFS(Imput[[Importe Neto]:[Importe Neto]],Imput[[C. Imp.]:[C. Imp.]],$D915,Imput[[PERIODO Imp.]:[PERIODO Imp.]],DG$9)</f>
        <v>0</v>
      </c>
      <c r="DH915" s="694">
        <f>SUMIFS(Imput[[Importe Neto]:[Importe Neto]],Imput[[C. Imp.]:[C. Imp.]],$D915,Imput[[PERIODO Imp.]:[PERIODO Imp.]],DH$9)</f>
        <v>0</v>
      </c>
    </row>
    <row r="916" spans="1:112" s="649" customFormat="1" ht="14.4" hidden="1" outlineLevel="1" thickBot="1" x14ac:dyDescent="0.35">
      <c r="A916" s="652" t="str">
        <f t="shared" si="307"/>
        <v/>
      </c>
      <c r="B916" s="652"/>
      <c r="C916" s="685"/>
      <c r="D916" s="686" t="s">
        <v>2884</v>
      </c>
      <c r="E916" s="686"/>
      <c r="F916" s="720"/>
      <c r="G916" s="688"/>
      <c r="H916" s="689"/>
      <c r="I916" s="851" t="str">
        <f t="shared" si="308"/>
        <v/>
      </c>
      <c r="J916" s="850" t="str">
        <f t="shared" si="309"/>
        <v/>
      </c>
      <c r="K916" s="667"/>
      <c r="L916" s="858"/>
      <c r="M916" s="859"/>
      <c r="N916" s="859"/>
      <c r="O916" s="859"/>
      <c r="P916" s="859"/>
      <c r="Q916" s="859"/>
      <c r="R916" s="859"/>
      <c r="S916" s="859"/>
      <c r="T916" s="859"/>
      <c r="U916" s="859"/>
      <c r="V916" s="859"/>
      <c r="W916" s="859"/>
      <c r="X916" s="859"/>
      <c r="Y916" s="859"/>
      <c r="Z916" s="860"/>
      <c r="AA916" s="860"/>
      <c r="AB916" s="860"/>
      <c r="AC916" s="860"/>
      <c r="AD916" s="860"/>
      <c r="AE916" s="860"/>
      <c r="AF916" s="860"/>
      <c r="AG916" s="860"/>
      <c r="AH916" s="860"/>
      <c r="AI916" s="860"/>
      <c r="AJ916" s="860"/>
      <c r="AK916" s="860"/>
      <c r="AL916" s="860"/>
      <c r="AM916" s="860"/>
      <c r="AN916" s="860"/>
      <c r="AO916" s="860"/>
      <c r="AP916" s="860"/>
      <c r="AQ916" s="860"/>
      <c r="AR916" s="860"/>
      <c r="AS916" s="860"/>
      <c r="AT916" s="860"/>
      <c r="AU916" s="860"/>
      <c r="AV916" s="860"/>
      <c r="AW916" s="860"/>
      <c r="AX916" s="860"/>
      <c r="AY916" s="860"/>
      <c r="AZ916" s="860"/>
      <c r="BA916" s="860"/>
      <c r="BB916" s="860"/>
      <c r="BC916" s="860"/>
      <c r="BD916" s="860"/>
      <c r="BE916" s="860"/>
      <c r="BF916" s="860"/>
      <c r="BG916" s="860"/>
      <c r="BH916" s="668"/>
      <c r="BI916" s="667"/>
      <c r="BJ916" s="690">
        <f t="shared" si="310"/>
        <v>0</v>
      </c>
      <c r="BK916" s="691">
        <f t="shared" si="311"/>
        <v>0</v>
      </c>
      <c r="BL916" s="654"/>
      <c r="BM916" s="692">
        <f>SUMIFS(Imput[[Importe Neto]:[Importe Neto]],Imput[[C. Imp.]:[C. Imp.]],$D916,Imput[[PERIODO Imp.]:[PERIODO Imp.]],BM$9)</f>
        <v>0</v>
      </c>
      <c r="BN916" s="693">
        <f>SUMIFS(Imput[[Importe Neto]:[Importe Neto]],Imput[[C. Imp.]:[C. Imp.]],$D916,Imput[[PERIODO Imp.]:[PERIODO Imp.]],BN$9)</f>
        <v>0</v>
      </c>
      <c r="BO916" s="693">
        <f>SUMIFS(Imput[[Importe Neto]:[Importe Neto]],Imput[[C. Imp.]:[C. Imp.]],$D916,Imput[[PERIODO Imp.]:[PERIODO Imp.]],BO$9)</f>
        <v>0</v>
      </c>
      <c r="BP916" s="693">
        <f>SUMIFS(Imput[[Importe Neto]:[Importe Neto]],Imput[[C. Imp.]:[C. Imp.]],$D916,Imput[[PERIODO Imp.]:[PERIODO Imp.]],BP$9)</f>
        <v>0</v>
      </c>
      <c r="BQ916" s="693">
        <f>SUMIFS(Imput[[Importe Neto]:[Importe Neto]],Imput[[C. Imp.]:[C. Imp.]],$D916,Imput[[PERIODO Imp.]:[PERIODO Imp.]],BQ$9)</f>
        <v>0</v>
      </c>
      <c r="BR916" s="693">
        <f>SUMIFS(Imput[[Importe Neto]:[Importe Neto]],Imput[[C. Imp.]:[C. Imp.]],$D916,Imput[[PERIODO Imp.]:[PERIODO Imp.]],BR$9)</f>
        <v>0</v>
      </c>
      <c r="BS916" s="693">
        <f>SUMIFS(Imput[[Importe Neto]:[Importe Neto]],Imput[[C. Imp.]:[C. Imp.]],$D916,Imput[[PERIODO Imp.]:[PERIODO Imp.]],BS$9)</f>
        <v>0</v>
      </c>
      <c r="BT916" s="693">
        <f>SUMIFS(Imput[[Importe Neto]:[Importe Neto]],Imput[[C. Imp.]:[C. Imp.]],$D916,Imput[[PERIODO Imp.]:[PERIODO Imp.]],BT$9)</f>
        <v>0</v>
      </c>
      <c r="BU916" s="693">
        <f>SUMIFS(Imput[[Importe Neto]:[Importe Neto]],Imput[[C. Imp.]:[C. Imp.]],$D916,Imput[[PERIODO Imp.]:[PERIODO Imp.]],BU$9)</f>
        <v>0</v>
      </c>
      <c r="BV916" s="693">
        <f>SUMIFS(Imput[[Importe Neto]:[Importe Neto]],Imput[[C. Imp.]:[C. Imp.]],$D916,Imput[[PERIODO Imp.]:[PERIODO Imp.]],BV$9)</f>
        <v>0</v>
      </c>
      <c r="BW916" s="693">
        <f>SUMIFS(Imput[[Importe Neto]:[Importe Neto]],Imput[[C. Imp.]:[C. Imp.]],$D916,Imput[[PERIODO Imp.]:[PERIODO Imp.]],BW$9)</f>
        <v>0</v>
      </c>
      <c r="BX916" s="693">
        <f>SUMIFS(Imput[[Importe Neto]:[Importe Neto]],Imput[[C. Imp.]:[C. Imp.]],$D916,Imput[[PERIODO Imp.]:[PERIODO Imp.]],BX$9)</f>
        <v>0</v>
      </c>
      <c r="BY916" s="693">
        <f>SUMIFS(Imput[[Importe Neto]:[Importe Neto]],Imput[[C. Imp.]:[C. Imp.]],$D916,Imput[[PERIODO Imp.]:[PERIODO Imp.]],BY$9)</f>
        <v>0</v>
      </c>
      <c r="BZ916" s="693">
        <f>SUMIFS(Imput[[Importe Neto]:[Importe Neto]],Imput[[C. Imp.]:[C. Imp.]],$D916,Imput[[PERIODO Imp.]:[PERIODO Imp.]],BZ$9)</f>
        <v>0</v>
      </c>
      <c r="CA916" s="693">
        <f>SUMIFS(Imput[[Importe Neto]:[Importe Neto]],Imput[[C. Imp.]:[C. Imp.]],$D916,Imput[[PERIODO Imp.]:[PERIODO Imp.]],CA$9)</f>
        <v>0</v>
      </c>
      <c r="CB916" s="693">
        <f>SUMIFS(Imput[[Importe Neto]:[Importe Neto]],Imput[[C. Imp.]:[C. Imp.]],$D916,Imput[[PERIODO Imp.]:[PERIODO Imp.]],CB$9)</f>
        <v>0</v>
      </c>
      <c r="CC916" s="693">
        <f>SUMIFS(Imput[[Importe Neto]:[Importe Neto]],Imput[[C. Imp.]:[C. Imp.]],$D916,Imput[[PERIODO Imp.]:[PERIODO Imp.]],CC$9)</f>
        <v>0</v>
      </c>
      <c r="CD916" s="693">
        <f>SUMIFS(Imput[[Importe Neto]:[Importe Neto]],Imput[[C. Imp.]:[C. Imp.]],$D916,Imput[[PERIODO Imp.]:[PERIODO Imp.]],CD$9)</f>
        <v>0</v>
      </c>
      <c r="CE916" s="693">
        <f>SUMIFS(Imput[[Importe Neto]:[Importe Neto]],Imput[[C. Imp.]:[C. Imp.]],$D916,Imput[[PERIODO Imp.]:[PERIODO Imp.]],CE$9)</f>
        <v>0</v>
      </c>
      <c r="CF916" s="693">
        <f>SUMIFS(Imput[[Importe Neto]:[Importe Neto]],Imput[[C. Imp.]:[C. Imp.]],$D916,Imput[[PERIODO Imp.]:[PERIODO Imp.]],CF$9)</f>
        <v>0</v>
      </c>
      <c r="CG916" s="693">
        <f>SUMIFS(Imput[[Importe Neto]:[Importe Neto]],Imput[[C. Imp.]:[C. Imp.]],$D916,Imput[[PERIODO Imp.]:[PERIODO Imp.]],CG$9)</f>
        <v>0</v>
      </c>
      <c r="CH916" s="693">
        <f>SUMIFS(Imput[[Importe Neto]:[Importe Neto]],Imput[[C. Imp.]:[C. Imp.]],$D916,Imput[[PERIODO Imp.]:[PERIODO Imp.]],CH$9)</f>
        <v>0</v>
      </c>
      <c r="CI916" s="693">
        <f>SUMIFS(Imput[[Importe Neto]:[Importe Neto]],Imput[[C. Imp.]:[C. Imp.]],$D916,Imput[[PERIODO Imp.]:[PERIODO Imp.]],CI$9)</f>
        <v>0</v>
      </c>
      <c r="CJ916" s="693">
        <f>SUMIFS(Imput[[Importe Neto]:[Importe Neto]],Imput[[C. Imp.]:[C. Imp.]],$D916,Imput[[PERIODO Imp.]:[PERIODO Imp.]],CJ$9)</f>
        <v>0</v>
      </c>
      <c r="CK916" s="693">
        <f>SUMIFS(Imput[[Importe Neto]:[Importe Neto]],Imput[[C. Imp.]:[C. Imp.]],$D916,Imput[[PERIODO Imp.]:[PERIODO Imp.]],CK$9)</f>
        <v>0</v>
      </c>
      <c r="CL916" s="693">
        <f>SUMIFS(Imput[[Importe Neto]:[Importe Neto]],Imput[[C. Imp.]:[C. Imp.]],$D916,Imput[[PERIODO Imp.]:[PERIODO Imp.]],CL$9)</f>
        <v>0</v>
      </c>
      <c r="CM916" s="693">
        <f>SUMIFS(Imput[[Importe Neto]:[Importe Neto]],Imput[[C. Imp.]:[C. Imp.]],$D916,Imput[[PERIODO Imp.]:[PERIODO Imp.]],CM$9)</f>
        <v>0</v>
      </c>
      <c r="CN916" s="693">
        <f>SUMIFS(Imput[[Importe Neto]:[Importe Neto]],Imput[[C. Imp.]:[C. Imp.]],$D916,Imput[[PERIODO Imp.]:[PERIODO Imp.]],CN$9)</f>
        <v>0</v>
      </c>
      <c r="CO916" s="693">
        <f>SUMIFS(Imput[[Importe Neto]:[Importe Neto]],Imput[[C. Imp.]:[C. Imp.]],$D916,Imput[[PERIODO Imp.]:[PERIODO Imp.]],CO$9)</f>
        <v>0</v>
      </c>
      <c r="CP916" s="693">
        <f>SUMIFS(Imput[[Importe Neto]:[Importe Neto]],Imput[[C. Imp.]:[C. Imp.]],$D916,Imput[[PERIODO Imp.]:[PERIODO Imp.]],CP$9)</f>
        <v>0</v>
      </c>
      <c r="CQ916" s="693">
        <f>SUMIFS(Imput[[Importe Neto]:[Importe Neto]],Imput[[C. Imp.]:[C. Imp.]],$D916,Imput[[PERIODO Imp.]:[PERIODO Imp.]],CQ$9)</f>
        <v>0</v>
      </c>
      <c r="CR916" s="693">
        <f>SUMIFS(Imput[[Importe Neto]:[Importe Neto]],Imput[[C. Imp.]:[C. Imp.]],$D916,Imput[[PERIODO Imp.]:[PERIODO Imp.]],CR$9)</f>
        <v>0</v>
      </c>
      <c r="CS916" s="693">
        <f>SUMIFS(Imput[[Importe Neto]:[Importe Neto]],Imput[[C. Imp.]:[C. Imp.]],$D916,Imput[[PERIODO Imp.]:[PERIODO Imp.]],CS$9)</f>
        <v>0</v>
      </c>
      <c r="CT916" s="693">
        <f>SUMIFS(Imput[[Importe Neto]:[Importe Neto]],Imput[[C. Imp.]:[C. Imp.]],$D916,Imput[[PERIODO Imp.]:[PERIODO Imp.]],CT$9)</f>
        <v>0</v>
      </c>
      <c r="CU916" s="693">
        <f>SUMIFS(Imput[[Importe Neto]:[Importe Neto]],Imput[[C. Imp.]:[C. Imp.]],$D916,Imput[[PERIODO Imp.]:[PERIODO Imp.]],CU$9)</f>
        <v>0</v>
      </c>
      <c r="CV916" s="693">
        <f>SUMIFS(Imput[[Importe Neto]:[Importe Neto]],Imput[[C. Imp.]:[C. Imp.]],$D916,Imput[[PERIODO Imp.]:[PERIODO Imp.]],CV$9)</f>
        <v>0</v>
      </c>
      <c r="CW916" s="693">
        <f>SUMIFS(Imput[[Importe Neto]:[Importe Neto]],Imput[[C. Imp.]:[C. Imp.]],$D916,Imput[[PERIODO Imp.]:[PERIODO Imp.]],CW$9)</f>
        <v>0</v>
      </c>
      <c r="CX916" s="693">
        <f>SUMIFS(Imput[[Importe Neto]:[Importe Neto]],Imput[[C. Imp.]:[C. Imp.]],$D916,Imput[[PERIODO Imp.]:[PERIODO Imp.]],CX$9)</f>
        <v>0</v>
      </c>
      <c r="CY916" s="693">
        <f>SUMIFS(Imput[[Importe Neto]:[Importe Neto]],Imput[[C. Imp.]:[C. Imp.]],$D916,Imput[[PERIODO Imp.]:[PERIODO Imp.]],CY$9)</f>
        <v>0</v>
      </c>
      <c r="CZ916" s="693">
        <f>SUMIFS(Imput[[Importe Neto]:[Importe Neto]],Imput[[C. Imp.]:[C. Imp.]],$D916,Imput[[PERIODO Imp.]:[PERIODO Imp.]],CZ$9)</f>
        <v>0</v>
      </c>
      <c r="DA916" s="693">
        <f>SUMIFS(Imput[[Importe Neto]:[Importe Neto]],Imput[[C. Imp.]:[C. Imp.]],$D916,Imput[[PERIODO Imp.]:[PERIODO Imp.]],DA$9)</f>
        <v>0</v>
      </c>
      <c r="DB916" s="693">
        <f>SUMIFS(Imput[[Importe Neto]:[Importe Neto]],Imput[[C. Imp.]:[C. Imp.]],$D916,Imput[[PERIODO Imp.]:[PERIODO Imp.]],DB$9)</f>
        <v>0</v>
      </c>
      <c r="DC916" s="693">
        <f>SUMIFS(Imput[[Importe Neto]:[Importe Neto]],Imput[[C. Imp.]:[C. Imp.]],$D916,Imput[[PERIODO Imp.]:[PERIODO Imp.]],DC$9)</f>
        <v>0</v>
      </c>
      <c r="DD916" s="693">
        <f>SUMIFS(Imput[[Importe Neto]:[Importe Neto]],Imput[[C. Imp.]:[C. Imp.]],$D916,Imput[[PERIODO Imp.]:[PERIODO Imp.]],DD$9)</f>
        <v>0</v>
      </c>
      <c r="DE916" s="693">
        <f>SUMIFS(Imput[[Importe Neto]:[Importe Neto]],Imput[[C. Imp.]:[C. Imp.]],$D916,Imput[[PERIODO Imp.]:[PERIODO Imp.]],DE$9)</f>
        <v>0</v>
      </c>
      <c r="DF916" s="693">
        <f>SUMIFS(Imput[[Importe Neto]:[Importe Neto]],Imput[[C. Imp.]:[C. Imp.]],$D916,Imput[[PERIODO Imp.]:[PERIODO Imp.]],DF$9)</f>
        <v>0</v>
      </c>
      <c r="DG916" s="693">
        <f>SUMIFS(Imput[[Importe Neto]:[Importe Neto]],Imput[[C. Imp.]:[C. Imp.]],$D916,Imput[[PERIODO Imp.]:[PERIODO Imp.]],DG$9)</f>
        <v>0</v>
      </c>
      <c r="DH916" s="694">
        <f>SUMIFS(Imput[[Importe Neto]:[Importe Neto]],Imput[[C. Imp.]:[C. Imp.]],$D916,Imput[[PERIODO Imp.]:[PERIODO Imp.]],DH$9)</f>
        <v>0</v>
      </c>
    </row>
    <row r="917" spans="1:112" s="649" customFormat="1" ht="14.4" hidden="1" outlineLevel="1" thickBot="1" x14ac:dyDescent="0.35">
      <c r="A917" s="652" t="str">
        <f>IF(J895&gt;0,"Imprimir","")</f>
        <v/>
      </c>
      <c r="B917" s="652"/>
      <c r="C917" s="699"/>
      <c r="D917" s="700"/>
      <c r="E917" s="700"/>
      <c r="F917" s="701"/>
      <c r="G917" s="702"/>
      <c r="H917" s="703"/>
      <c r="I917" s="704"/>
      <c r="J917" s="117"/>
      <c r="K917" s="667"/>
      <c r="L917" s="706"/>
      <c r="M917" s="707"/>
      <c r="N917" s="777"/>
      <c r="O917" s="777"/>
      <c r="P917" s="778"/>
      <c r="Q917" s="778"/>
      <c r="R917" s="708"/>
      <c r="S917" s="708"/>
      <c r="T917" s="779"/>
      <c r="U917" s="779"/>
      <c r="V917" s="778"/>
      <c r="W917" s="778"/>
      <c r="X917" s="708"/>
      <c r="Y917" s="708"/>
      <c r="Z917" s="708"/>
      <c r="AA917" s="708"/>
      <c r="AB917" s="708"/>
      <c r="AC917" s="708"/>
      <c r="AD917" s="708"/>
      <c r="AE917" s="708"/>
      <c r="AF917" s="708"/>
      <c r="AG917" s="708"/>
      <c r="AH917" s="708"/>
      <c r="AI917" s="708"/>
      <c r="AJ917" s="708"/>
      <c r="AK917" s="708"/>
      <c r="AL917" s="708"/>
      <c r="AM917" s="708"/>
      <c r="AN917" s="708"/>
      <c r="AO917" s="708"/>
      <c r="AP917" s="708"/>
      <c r="AQ917" s="708"/>
      <c r="AR917" s="708"/>
      <c r="AS917" s="708"/>
      <c r="AT917" s="708"/>
      <c r="AU917" s="708"/>
      <c r="AV917" s="708"/>
      <c r="AW917" s="708"/>
      <c r="AX917" s="708"/>
      <c r="AY917" s="708"/>
      <c r="AZ917" s="708"/>
      <c r="BA917" s="708"/>
      <c r="BB917" s="708"/>
      <c r="BC917" s="708"/>
      <c r="BD917" s="708"/>
      <c r="BE917" s="708"/>
      <c r="BF917" s="708"/>
      <c r="BG917" s="708"/>
      <c r="BH917" s="780"/>
      <c r="BI917" s="654"/>
      <c r="BJ917" s="709"/>
      <c r="BK917" s="710"/>
      <c r="BL917" s="654"/>
      <c r="BM917" s="731"/>
      <c r="BN917" s="701"/>
      <c r="BO917" s="701"/>
      <c r="BP917" s="701"/>
      <c r="BQ917" s="701"/>
      <c r="BR917" s="701"/>
      <c r="BS917" s="701"/>
      <c r="BT917" s="701"/>
      <c r="BU917" s="701"/>
      <c r="BV917" s="701"/>
      <c r="BW917" s="701"/>
      <c r="BX917" s="701"/>
      <c r="BY917" s="701"/>
      <c r="BZ917" s="701"/>
      <c r="CA917" s="701"/>
      <c r="CB917" s="701"/>
      <c r="CC917" s="701"/>
      <c r="CD917" s="701"/>
      <c r="CE917" s="701"/>
      <c r="CF917" s="701"/>
      <c r="CG917" s="701"/>
      <c r="CH917" s="701"/>
      <c r="CI917" s="701"/>
      <c r="CJ917" s="701"/>
      <c r="CK917" s="701"/>
      <c r="CL917" s="701"/>
      <c r="CM917" s="701"/>
      <c r="CN917" s="701"/>
      <c r="CO917" s="701"/>
      <c r="CP917" s="701"/>
      <c r="CQ917" s="701"/>
      <c r="CR917" s="701"/>
      <c r="CS917" s="701"/>
      <c r="CT917" s="701"/>
      <c r="CU917" s="701"/>
      <c r="CV917" s="701"/>
      <c r="CW917" s="701"/>
      <c r="CX917" s="701"/>
      <c r="CY917" s="701"/>
      <c r="CZ917" s="701"/>
      <c r="DA917" s="701"/>
      <c r="DB917" s="701"/>
      <c r="DC917" s="701"/>
      <c r="DD917" s="701"/>
      <c r="DE917" s="701"/>
      <c r="DF917" s="701"/>
      <c r="DG917" s="701"/>
      <c r="DH917" s="710"/>
    </row>
    <row r="918" spans="1:112" s="649" customFormat="1" ht="14.4" hidden="1" collapsed="1" thickBot="1" x14ac:dyDescent="0.35">
      <c r="A918" s="652" t="str">
        <f>IF(J918&gt;0,"Imprimir","")</f>
        <v/>
      </c>
      <c r="B918" s="652"/>
      <c r="C918" s="711"/>
      <c r="D918" s="712" t="s">
        <v>454</v>
      </c>
      <c r="E918" s="712" t="s">
        <v>510</v>
      </c>
      <c r="F918" s="712"/>
      <c r="G918" s="713"/>
      <c r="H918" s="712"/>
      <c r="I918" s="714"/>
      <c r="J918" s="166">
        <f>SUBTOTAL(9,J921:J934)</f>
        <v>0</v>
      </c>
      <c r="K918" s="658"/>
      <c r="L918" s="770">
        <f t="shared" ref="L918:BG918" si="312">SUMPRODUCT($J921:$J934,L921:L934)</f>
        <v>0</v>
      </c>
      <c r="M918" s="771">
        <f t="shared" si="312"/>
        <v>0</v>
      </c>
      <c r="N918" s="771">
        <f t="shared" si="312"/>
        <v>0</v>
      </c>
      <c r="O918" s="771">
        <f t="shared" si="312"/>
        <v>0</v>
      </c>
      <c r="P918" s="771">
        <f t="shared" si="312"/>
        <v>0</v>
      </c>
      <c r="Q918" s="771">
        <f t="shared" si="312"/>
        <v>0</v>
      </c>
      <c r="R918" s="771">
        <f t="shared" si="312"/>
        <v>0</v>
      </c>
      <c r="S918" s="771">
        <f t="shared" si="312"/>
        <v>0</v>
      </c>
      <c r="T918" s="771">
        <f t="shared" si="312"/>
        <v>0</v>
      </c>
      <c r="U918" s="771">
        <f t="shared" si="312"/>
        <v>0</v>
      </c>
      <c r="V918" s="771">
        <f t="shared" si="312"/>
        <v>0</v>
      </c>
      <c r="W918" s="771">
        <f t="shared" si="312"/>
        <v>0</v>
      </c>
      <c r="X918" s="771">
        <f t="shared" si="312"/>
        <v>0</v>
      </c>
      <c r="Y918" s="771">
        <f t="shared" si="312"/>
        <v>0</v>
      </c>
      <c r="Z918" s="771">
        <f t="shared" si="312"/>
        <v>0</v>
      </c>
      <c r="AA918" s="771">
        <f t="shared" si="312"/>
        <v>0</v>
      </c>
      <c r="AB918" s="771">
        <f t="shared" si="312"/>
        <v>0</v>
      </c>
      <c r="AC918" s="771">
        <f t="shared" si="312"/>
        <v>0</v>
      </c>
      <c r="AD918" s="771">
        <f t="shared" si="312"/>
        <v>0</v>
      </c>
      <c r="AE918" s="771">
        <f t="shared" si="312"/>
        <v>0</v>
      </c>
      <c r="AF918" s="771">
        <f t="shared" si="312"/>
        <v>0</v>
      </c>
      <c r="AG918" s="771">
        <f t="shared" si="312"/>
        <v>0</v>
      </c>
      <c r="AH918" s="771">
        <f t="shared" si="312"/>
        <v>0</v>
      </c>
      <c r="AI918" s="771">
        <f t="shared" si="312"/>
        <v>0</v>
      </c>
      <c r="AJ918" s="771">
        <f t="shared" si="312"/>
        <v>0</v>
      </c>
      <c r="AK918" s="771">
        <f t="shared" si="312"/>
        <v>0</v>
      </c>
      <c r="AL918" s="771">
        <f t="shared" si="312"/>
        <v>0</v>
      </c>
      <c r="AM918" s="771">
        <f t="shared" si="312"/>
        <v>0</v>
      </c>
      <c r="AN918" s="771">
        <f t="shared" si="312"/>
        <v>0</v>
      </c>
      <c r="AO918" s="771">
        <f t="shared" si="312"/>
        <v>0</v>
      </c>
      <c r="AP918" s="771">
        <f t="shared" si="312"/>
        <v>0</v>
      </c>
      <c r="AQ918" s="771">
        <f t="shared" si="312"/>
        <v>0</v>
      </c>
      <c r="AR918" s="771">
        <f t="shared" si="312"/>
        <v>0</v>
      </c>
      <c r="AS918" s="771">
        <f t="shared" si="312"/>
        <v>0</v>
      </c>
      <c r="AT918" s="771">
        <f t="shared" si="312"/>
        <v>0</v>
      </c>
      <c r="AU918" s="771">
        <f t="shared" si="312"/>
        <v>0</v>
      </c>
      <c r="AV918" s="771">
        <f t="shared" si="312"/>
        <v>0</v>
      </c>
      <c r="AW918" s="771">
        <f t="shared" si="312"/>
        <v>0</v>
      </c>
      <c r="AX918" s="771">
        <f t="shared" si="312"/>
        <v>0</v>
      </c>
      <c r="AY918" s="771">
        <f t="shared" si="312"/>
        <v>0</v>
      </c>
      <c r="AZ918" s="771">
        <f t="shared" si="312"/>
        <v>0</v>
      </c>
      <c r="BA918" s="771">
        <f t="shared" si="312"/>
        <v>0</v>
      </c>
      <c r="BB918" s="771">
        <f t="shared" si="312"/>
        <v>0</v>
      </c>
      <c r="BC918" s="771">
        <f t="shared" si="312"/>
        <v>0</v>
      </c>
      <c r="BD918" s="771">
        <f t="shared" si="312"/>
        <v>0</v>
      </c>
      <c r="BE918" s="771">
        <f t="shared" si="312"/>
        <v>0</v>
      </c>
      <c r="BF918" s="771">
        <f t="shared" si="312"/>
        <v>0</v>
      </c>
      <c r="BG918" s="764">
        <f t="shared" si="312"/>
        <v>0</v>
      </c>
      <c r="BH918" s="776"/>
      <c r="BI918" s="654"/>
      <c r="BJ918" s="659">
        <f>IFERROR(13/J918,0)</f>
        <v>0</v>
      </c>
      <c r="BK918" s="660">
        <f>SUBTOTAL(9,BK919:BK934)</f>
        <v>0</v>
      </c>
      <c r="BL918" s="654"/>
      <c r="BM918" s="661">
        <f t="shared" ref="BM918:DH918" si="313">SUBTOTAL(9,BM919:BM934)</f>
        <v>0</v>
      </c>
      <c r="BN918" s="662">
        <f t="shared" si="313"/>
        <v>0</v>
      </c>
      <c r="BO918" s="662">
        <f t="shared" si="313"/>
        <v>0</v>
      </c>
      <c r="BP918" s="662">
        <f t="shared" si="313"/>
        <v>0</v>
      </c>
      <c r="BQ918" s="662">
        <f t="shared" si="313"/>
        <v>0</v>
      </c>
      <c r="BR918" s="662">
        <f t="shared" si="313"/>
        <v>0</v>
      </c>
      <c r="BS918" s="662">
        <f t="shared" si="313"/>
        <v>0</v>
      </c>
      <c r="BT918" s="662">
        <f t="shared" si="313"/>
        <v>0</v>
      </c>
      <c r="BU918" s="662">
        <f t="shared" si="313"/>
        <v>0</v>
      </c>
      <c r="BV918" s="662">
        <f t="shared" si="313"/>
        <v>0</v>
      </c>
      <c r="BW918" s="662">
        <f t="shared" si="313"/>
        <v>0</v>
      </c>
      <c r="BX918" s="662">
        <f t="shared" si="313"/>
        <v>0</v>
      </c>
      <c r="BY918" s="662">
        <f t="shared" si="313"/>
        <v>0</v>
      </c>
      <c r="BZ918" s="662">
        <f t="shared" si="313"/>
        <v>0</v>
      </c>
      <c r="CA918" s="662">
        <f t="shared" si="313"/>
        <v>0</v>
      </c>
      <c r="CB918" s="662">
        <f t="shared" si="313"/>
        <v>0</v>
      </c>
      <c r="CC918" s="662">
        <f t="shared" si="313"/>
        <v>0</v>
      </c>
      <c r="CD918" s="662">
        <f t="shared" si="313"/>
        <v>0</v>
      </c>
      <c r="CE918" s="662">
        <f t="shared" si="313"/>
        <v>0</v>
      </c>
      <c r="CF918" s="662">
        <f t="shared" si="313"/>
        <v>0</v>
      </c>
      <c r="CG918" s="662">
        <f t="shared" si="313"/>
        <v>0</v>
      </c>
      <c r="CH918" s="662">
        <f t="shared" si="313"/>
        <v>0</v>
      </c>
      <c r="CI918" s="662">
        <f t="shared" si="313"/>
        <v>0</v>
      </c>
      <c r="CJ918" s="662">
        <f t="shared" si="313"/>
        <v>0</v>
      </c>
      <c r="CK918" s="662">
        <f t="shared" si="313"/>
        <v>0</v>
      </c>
      <c r="CL918" s="662">
        <f t="shared" si="313"/>
        <v>0</v>
      </c>
      <c r="CM918" s="662">
        <f t="shared" si="313"/>
        <v>0</v>
      </c>
      <c r="CN918" s="662">
        <f t="shared" si="313"/>
        <v>0</v>
      </c>
      <c r="CO918" s="662">
        <f t="shared" si="313"/>
        <v>0</v>
      </c>
      <c r="CP918" s="662">
        <f t="shared" si="313"/>
        <v>0</v>
      </c>
      <c r="CQ918" s="662">
        <f t="shared" si="313"/>
        <v>0</v>
      </c>
      <c r="CR918" s="662">
        <f t="shared" si="313"/>
        <v>0</v>
      </c>
      <c r="CS918" s="662">
        <f t="shared" si="313"/>
        <v>0</v>
      </c>
      <c r="CT918" s="662">
        <f t="shared" si="313"/>
        <v>0</v>
      </c>
      <c r="CU918" s="662">
        <f t="shared" si="313"/>
        <v>0</v>
      </c>
      <c r="CV918" s="662">
        <f t="shared" si="313"/>
        <v>0</v>
      </c>
      <c r="CW918" s="662">
        <f t="shared" si="313"/>
        <v>0</v>
      </c>
      <c r="CX918" s="662">
        <f t="shared" si="313"/>
        <v>0</v>
      </c>
      <c r="CY918" s="662">
        <f t="shared" si="313"/>
        <v>0</v>
      </c>
      <c r="CZ918" s="662">
        <f t="shared" si="313"/>
        <v>0</v>
      </c>
      <c r="DA918" s="662">
        <f t="shared" si="313"/>
        <v>0</v>
      </c>
      <c r="DB918" s="662">
        <f t="shared" si="313"/>
        <v>0</v>
      </c>
      <c r="DC918" s="662">
        <f t="shared" si="313"/>
        <v>0</v>
      </c>
      <c r="DD918" s="662">
        <f t="shared" si="313"/>
        <v>0</v>
      </c>
      <c r="DE918" s="662">
        <f t="shared" si="313"/>
        <v>0</v>
      </c>
      <c r="DF918" s="662">
        <f t="shared" si="313"/>
        <v>0</v>
      </c>
      <c r="DG918" s="662">
        <f t="shared" si="313"/>
        <v>0</v>
      </c>
      <c r="DH918" s="663">
        <f t="shared" si="313"/>
        <v>0</v>
      </c>
    </row>
    <row r="919" spans="1:112" s="649" customFormat="1" ht="14.4" hidden="1" outlineLevel="1" thickBot="1" x14ac:dyDescent="0.35">
      <c r="A919" s="652" t="str">
        <f>IF(J918&gt;0,"Imprimir","")</f>
        <v/>
      </c>
      <c r="B919" s="652"/>
      <c r="C919" s="664"/>
      <c r="D919" s="665"/>
      <c r="E919" s="665"/>
      <c r="F919" s="665" t="s">
        <v>472</v>
      </c>
      <c r="G919" s="716" t="s">
        <v>463</v>
      </c>
      <c r="H919" s="665" t="s">
        <v>98</v>
      </c>
      <c r="I919" s="665" t="s">
        <v>474</v>
      </c>
      <c r="J919" s="104" t="s">
        <v>29</v>
      </c>
      <c r="K919" s="667"/>
      <c r="L919" s="745"/>
      <c r="M919" s="741"/>
      <c r="N919" s="741"/>
      <c r="O919" s="741"/>
      <c r="P919" s="741"/>
      <c r="Q919" s="741"/>
      <c r="R919" s="741"/>
      <c r="S919" s="741"/>
      <c r="T919" s="741"/>
      <c r="U919" s="741"/>
      <c r="V919" s="741"/>
      <c r="W919" s="741"/>
      <c r="X919" s="741"/>
      <c r="Y919" s="741"/>
      <c r="Z919" s="741"/>
      <c r="AA919" s="741"/>
      <c r="AB919" s="741"/>
      <c r="AC919" s="741"/>
      <c r="AD919" s="741"/>
      <c r="AE919" s="741"/>
      <c r="AF919" s="741"/>
      <c r="AG919" s="741"/>
      <c r="AH919" s="741"/>
      <c r="AI919" s="741"/>
      <c r="AJ919" s="741"/>
      <c r="AK919" s="741"/>
      <c r="AL919" s="741"/>
      <c r="AM919" s="741"/>
      <c r="AN919" s="741"/>
      <c r="AO919" s="741"/>
      <c r="AP919" s="741"/>
      <c r="AQ919" s="741"/>
      <c r="AR919" s="741"/>
      <c r="AS919" s="741"/>
      <c r="AT919" s="741"/>
      <c r="AU919" s="741"/>
      <c r="AV919" s="741"/>
      <c r="AW919" s="741"/>
      <c r="AX919" s="741"/>
      <c r="AY919" s="741"/>
      <c r="AZ919" s="741"/>
      <c r="BA919" s="741"/>
      <c r="BB919" s="741"/>
      <c r="BC919" s="741"/>
      <c r="BD919" s="741"/>
      <c r="BE919" s="741"/>
      <c r="BF919" s="741"/>
      <c r="BG919" s="741"/>
      <c r="BH919" s="668"/>
      <c r="BI919" s="654"/>
      <c r="BJ919" s="669"/>
      <c r="BK919" s="670"/>
      <c r="BL919" s="654"/>
      <c r="BM919" s="671"/>
      <c r="BN919" s="665"/>
      <c r="BO919" s="665"/>
      <c r="BP919" s="665"/>
      <c r="BQ919" s="665"/>
      <c r="BR919" s="665"/>
      <c r="BS919" s="665"/>
      <c r="BT919" s="665"/>
      <c r="BU919" s="665"/>
      <c r="BV919" s="665"/>
      <c r="BW919" s="665"/>
      <c r="BX919" s="665"/>
      <c r="BY919" s="665"/>
      <c r="BZ919" s="665"/>
      <c r="CA919" s="665"/>
      <c r="CB919" s="665"/>
      <c r="CC919" s="665"/>
      <c r="CD919" s="665"/>
      <c r="CE919" s="665"/>
      <c r="CF919" s="665"/>
      <c r="CG919" s="665"/>
      <c r="CH919" s="665"/>
      <c r="CI919" s="665"/>
      <c r="CJ919" s="665"/>
      <c r="CK919" s="665"/>
      <c r="CL919" s="665"/>
      <c r="CM919" s="665"/>
      <c r="CN919" s="665"/>
      <c r="CO919" s="665"/>
      <c r="CP919" s="665"/>
      <c r="CQ919" s="665"/>
      <c r="CR919" s="665"/>
      <c r="CS919" s="665"/>
      <c r="CT919" s="665"/>
      <c r="CU919" s="665"/>
      <c r="CV919" s="665"/>
      <c r="CW919" s="665"/>
      <c r="CX919" s="665"/>
      <c r="CY919" s="665"/>
      <c r="CZ919" s="665"/>
      <c r="DA919" s="665"/>
      <c r="DB919" s="665"/>
      <c r="DC919" s="665"/>
      <c r="DD919" s="665"/>
      <c r="DE919" s="665"/>
      <c r="DF919" s="665"/>
      <c r="DG919" s="665"/>
      <c r="DH919" s="666"/>
    </row>
    <row r="920" spans="1:112" s="649" customFormat="1" ht="16.2" hidden="1" outlineLevel="1" thickBot="1" x14ac:dyDescent="0.35">
      <c r="A920" s="652" t="str">
        <f>IF(J920&gt;0,"Imprimir","")</f>
        <v/>
      </c>
      <c r="B920" s="652"/>
      <c r="C920" s="672"/>
      <c r="D920" s="673"/>
      <c r="E920" s="674"/>
      <c r="F920" s="675"/>
      <c r="G920" s="726"/>
      <c r="H920" s="676"/>
      <c r="I920" s="677"/>
      <c r="J920" s="219">
        <f>SUBTOTAL(9,J921:J934)</f>
        <v>0</v>
      </c>
      <c r="K920" s="678"/>
      <c r="L920" s="747"/>
      <c r="M920" s="742"/>
      <c r="N920" s="742"/>
      <c r="O920" s="742"/>
      <c r="P920" s="742"/>
      <c r="Q920" s="742"/>
      <c r="R920" s="742"/>
      <c r="S920" s="742"/>
      <c r="T920" s="742"/>
      <c r="U920" s="742"/>
      <c r="V920" s="742"/>
      <c r="W920" s="742"/>
      <c r="X920" s="742"/>
      <c r="Y920" s="742"/>
      <c r="Z920" s="742"/>
      <c r="AA920" s="742"/>
      <c r="AB920" s="742"/>
      <c r="AC920" s="742"/>
      <c r="AD920" s="742"/>
      <c r="AE920" s="742"/>
      <c r="AF920" s="742"/>
      <c r="AG920" s="742"/>
      <c r="AH920" s="742"/>
      <c r="AI920" s="742"/>
      <c r="AJ920" s="742"/>
      <c r="AK920" s="742"/>
      <c r="AL920" s="742"/>
      <c r="AM920" s="742"/>
      <c r="AN920" s="742"/>
      <c r="AO920" s="742"/>
      <c r="AP920" s="742"/>
      <c r="AQ920" s="742"/>
      <c r="AR920" s="742"/>
      <c r="AS920" s="742"/>
      <c r="AT920" s="742"/>
      <c r="AU920" s="742"/>
      <c r="AV920" s="742"/>
      <c r="AW920" s="742"/>
      <c r="AX920" s="742"/>
      <c r="AY920" s="742"/>
      <c r="AZ920" s="742"/>
      <c r="BA920" s="742"/>
      <c r="BB920" s="742"/>
      <c r="BC920" s="742"/>
      <c r="BD920" s="742"/>
      <c r="BE920" s="742"/>
      <c r="BF920" s="742"/>
      <c r="BG920" s="742"/>
      <c r="BH920" s="668"/>
      <c r="BI920" s="654"/>
      <c r="BJ920" s="729"/>
      <c r="BK920" s="681"/>
      <c r="BL920" s="654"/>
      <c r="BM920" s="682"/>
      <c r="BN920" s="683"/>
      <c r="BO920" s="683"/>
      <c r="BP920" s="683"/>
      <c r="BQ920" s="683"/>
      <c r="BR920" s="683"/>
      <c r="BS920" s="683"/>
      <c r="BT920" s="683"/>
      <c r="BU920" s="683"/>
      <c r="BV920" s="683"/>
      <c r="BW920" s="683"/>
      <c r="BX920" s="683"/>
      <c r="BY920" s="683"/>
      <c r="BZ920" s="683"/>
      <c r="CA920" s="683"/>
      <c r="CB920" s="683"/>
      <c r="CC920" s="683"/>
      <c r="CD920" s="683"/>
      <c r="CE920" s="683"/>
      <c r="CF920" s="683"/>
      <c r="CG920" s="683"/>
      <c r="CH920" s="683"/>
      <c r="CI920" s="683"/>
      <c r="CJ920" s="683"/>
      <c r="CK920" s="683"/>
      <c r="CL920" s="683"/>
      <c r="CM920" s="683"/>
      <c r="CN920" s="683"/>
      <c r="CO920" s="683"/>
      <c r="CP920" s="683"/>
      <c r="CQ920" s="683"/>
      <c r="CR920" s="683"/>
      <c r="CS920" s="683"/>
      <c r="CT920" s="683"/>
      <c r="CU920" s="683"/>
      <c r="CV920" s="683"/>
      <c r="CW920" s="683"/>
      <c r="CX920" s="683"/>
      <c r="CY920" s="683"/>
      <c r="CZ920" s="683"/>
      <c r="DA920" s="683"/>
      <c r="DB920" s="683"/>
      <c r="DC920" s="683"/>
      <c r="DD920" s="683"/>
      <c r="DE920" s="683"/>
      <c r="DF920" s="683"/>
      <c r="DG920" s="683"/>
      <c r="DH920" s="684"/>
    </row>
    <row r="921" spans="1:112" s="649" customFormat="1" ht="14.4" hidden="1" outlineLevel="1" thickBot="1" x14ac:dyDescent="0.35">
      <c r="A921" s="652" t="str">
        <f t="shared" ref="A921:A933" si="314">IF(J921="","",IF(J921=0,"","Imprimir"))</f>
        <v/>
      </c>
      <c r="B921" s="652"/>
      <c r="C921" s="685"/>
      <c r="D921" s="686" t="s">
        <v>2885</v>
      </c>
      <c r="E921" s="686"/>
      <c r="F921" s="720"/>
      <c r="G921" s="688"/>
      <c r="H921" s="689"/>
      <c r="I921" s="851" t="str">
        <f t="shared" ref="I921:I933" si="315">IF(E921&gt;0,$J$5,"")</f>
        <v/>
      </c>
      <c r="J921" s="517" t="str">
        <f t="shared" ref="J921:J933" si="316">IFERROR(G921*H921*I921,"")</f>
        <v/>
      </c>
      <c r="K921" s="667"/>
      <c r="L921" s="858"/>
      <c r="M921" s="859"/>
      <c r="N921" s="859"/>
      <c r="O921" s="859"/>
      <c r="P921" s="859"/>
      <c r="Q921" s="859"/>
      <c r="R921" s="859"/>
      <c r="S921" s="859"/>
      <c r="T921" s="859"/>
      <c r="U921" s="859"/>
      <c r="V921" s="859"/>
      <c r="W921" s="859"/>
      <c r="X921" s="859"/>
      <c r="Y921" s="859"/>
      <c r="Z921" s="860"/>
      <c r="AA921" s="860"/>
      <c r="AB921" s="860"/>
      <c r="AC921" s="860"/>
      <c r="AD921" s="860"/>
      <c r="AE921" s="860"/>
      <c r="AF921" s="860"/>
      <c r="AG921" s="860"/>
      <c r="AH921" s="860"/>
      <c r="AI921" s="860"/>
      <c r="AJ921" s="860"/>
      <c r="AK921" s="860"/>
      <c r="AL921" s="860"/>
      <c r="AM921" s="860"/>
      <c r="AN921" s="860"/>
      <c r="AO921" s="860"/>
      <c r="AP921" s="860"/>
      <c r="AQ921" s="860"/>
      <c r="AR921" s="860"/>
      <c r="AS921" s="860"/>
      <c r="AT921" s="860"/>
      <c r="AU921" s="860"/>
      <c r="AV921" s="860"/>
      <c r="AW921" s="860"/>
      <c r="AX921" s="860"/>
      <c r="AY921" s="860"/>
      <c r="AZ921" s="860"/>
      <c r="BA921" s="860"/>
      <c r="BB921" s="860"/>
      <c r="BC921" s="860"/>
      <c r="BD921" s="860"/>
      <c r="BE921" s="860"/>
      <c r="BF921" s="860"/>
      <c r="BG921" s="860"/>
      <c r="BH921" s="668"/>
      <c r="BI921" s="654"/>
      <c r="BJ921" s="690">
        <f t="shared" ref="BJ921:BJ933" si="317">IFERROR(BK921/J921,0)</f>
        <v>0</v>
      </c>
      <c r="BK921" s="691">
        <f t="shared" ref="BK921:BK933" si="318">SUM(BM921:DH921)</f>
        <v>0</v>
      </c>
      <c r="BL921" s="654"/>
      <c r="BM921" s="692">
        <f>SUMIFS(Imput[[Importe Neto]:[Importe Neto]],Imput[[C. Imp.]:[C. Imp.]],$D921,Imput[[PERIODO Imp.]:[PERIODO Imp.]],BM$9)</f>
        <v>0</v>
      </c>
      <c r="BN921" s="693">
        <f>SUMIFS(Imput[[Importe Neto]:[Importe Neto]],Imput[[C. Imp.]:[C. Imp.]],$D921,Imput[[PERIODO Imp.]:[PERIODO Imp.]],BN$9)</f>
        <v>0</v>
      </c>
      <c r="BO921" s="693">
        <f>SUMIFS(Imput[[Importe Neto]:[Importe Neto]],Imput[[C. Imp.]:[C. Imp.]],$D921,Imput[[PERIODO Imp.]:[PERIODO Imp.]],BO$9)</f>
        <v>0</v>
      </c>
      <c r="BP921" s="693">
        <f>SUMIFS(Imput[[Importe Neto]:[Importe Neto]],Imput[[C. Imp.]:[C. Imp.]],$D921,Imput[[PERIODO Imp.]:[PERIODO Imp.]],BP$9)</f>
        <v>0</v>
      </c>
      <c r="BQ921" s="693">
        <f>SUMIFS(Imput[[Importe Neto]:[Importe Neto]],Imput[[C. Imp.]:[C. Imp.]],$D921,Imput[[PERIODO Imp.]:[PERIODO Imp.]],BQ$9)</f>
        <v>0</v>
      </c>
      <c r="BR921" s="693">
        <f>SUMIFS(Imput[[Importe Neto]:[Importe Neto]],Imput[[C. Imp.]:[C. Imp.]],$D921,Imput[[PERIODO Imp.]:[PERIODO Imp.]],BR$9)</f>
        <v>0</v>
      </c>
      <c r="BS921" s="693">
        <f>SUMIFS(Imput[[Importe Neto]:[Importe Neto]],Imput[[C. Imp.]:[C. Imp.]],$D921,Imput[[PERIODO Imp.]:[PERIODO Imp.]],BS$9)</f>
        <v>0</v>
      </c>
      <c r="BT921" s="693">
        <f>SUMIFS(Imput[[Importe Neto]:[Importe Neto]],Imput[[C. Imp.]:[C. Imp.]],$D921,Imput[[PERIODO Imp.]:[PERIODO Imp.]],BT$9)</f>
        <v>0</v>
      </c>
      <c r="BU921" s="693">
        <f>SUMIFS(Imput[[Importe Neto]:[Importe Neto]],Imput[[C. Imp.]:[C. Imp.]],$D921,Imput[[PERIODO Imp.]:[PERIODO Imp.]],BU$9)</f>
        <v>0</v>
      </c>
      <c r="BV921" s="693">
        <f>SUMIFS(Imput[[Importe Neto]:[Importe Neto]],Imput[[C. Imp.]:[C. Imp.]],$D921,Imput[[PERIODO Imp.]:[PERIODO Imp.]],BV$9)</f>
        <v>0</v>
      </c>
      <c r="BW921" s="693">
        <f>SUMIFS(Imput[[Importe Neto]:[Importe Neto]],Imput[[C. Imp.]:[C. Imp.]],$D921,Imput[[PERIODO Imp.]:[PERIODO Imp.]],BW$9)</f>
        <v>0</v>
      </c>
      <c r="BX921" s="693">
        <f>SUMIFS(Imput[[Importe Neto]:[Importe Neto]],Imput[[C. Imp.]:[C. Imp.]],$D921,Imput[[PERIODO Imp.]:[PERIODO Imp.]],BX$9)</f>
        <v>0</v>
      </c>
      <c r="BY921" s="693">
        <f>SUMIFS(Imput[[Importe Neto]:[Importe Neto]],Imput[[C. Imp.]:[C. Imp.]],$D921,Imput[[PERIODO Imp.]:[PERIODO Imp.]],BY$9)</f>
        <v>0</v>
      </c>
      <c r="BZ921" s="693">
        <f>SUMIFS(Imput[[Importe Neto]:[Importe Neto]],Imput[[C. Imp.]:[C. Imp.]],$D921,Imput[[PERIODO Imp.]:[PERIODO Imp.]],BZ$9)</f>
        <v>0</v>
      </c>
      <c r="CA921" s="693">
        <f>SUMIFS(Imput[[Importe Neto]:[Importe Neto]],Imput[[C. Imp.]:[C. Imp.]],$D921,Imput[[PERIODO Imp.]:[PERIODO Imp.]],CA$9)</f>
        <v>0</v>
      </c>
      <c r="CB921" s="693">
        <f>SUMIFS(Imput[[Importe Neto]:[Importe Neto]],Imput[[C. Imp.]:[C. Imp.]],$D921,Imput[[PERIODO Imp.]:[PERIODO Imp.]],CB$9)</f>
        <v>0</v>
      </c>
      <c r="CC921" s="693">
        <f>SUMIFS(Imput[[Importe Neto]:[Importe Neto]],Imput[[C. Imp.]:[C. Imp.]],$D921,Imput[[PERIODO Imp.]:[PERIODO Imp.]],CC$9)</f>
        <v>0</v>
      </c>
      <c r="CD921" s="693">
        <f>SUMIFS(Imput[[Importe Neto]:[Importe Neto]],Imput[[C. Imp.]:[C. Imp.]],$D921,Imput[[PERIODO Imp.]:[PERIODO Imp.]],CD$9)</f>
        <v>0</v>
      </c>
      <c r="CE921" s="693">
        <f>SUMIFS(Imput[[Importe Neto]:[Importe Neto]],Imput[[C. Imp.]:[C. Imp.]],$D921,Imput[[PERIODO Imp.]:[PERIODO Imp.]],CE$9)</f>
        <v>0</v>
      </c>
      <c r="CF921" s="693">
        <f>SUMIFS(Imput[[Importe Neto]:[Importe Neto]],Imput[[C. Imp.]:[C. Imp.]],$D921,Imput[[PERIODO Imp.]:[PERIODO Imp.]],CF$9)</f>
        <v>0</v>
      </c>
      <c r="CG921" s="693">
        <f>SUMIFS(Imput[[Importe Neto]:[Importe Neto]],Imput[[C. Imp.]:[C. Imp.]],$D921,Imput[[PERIODO Imp.]:[PERIODO Imp.]],CG$9)</f>
        <v>0</v>
      </c>
      <c r="CH921" s="693">
        <f>SUMIFS(Imput[[Importe Neto]:[Importe Neto]],Imput[[C. Imp.]:[C. Imp.]],$D921,Imput[[PERIODO Imp.]:[PERIODO Imp.]],CH$9)</f>
        <v>0</v>
      </c>
      <c r="CI921" s="693">
        <f>SUMIFS(Imput[[Importe Neto]:[Importe Neto]],Imput[[C. Imp.]:[C. Imp.]],$D921,Imput[[PERIODO Imp.]:[PERIODO Imp.]],CI$9)</f>
        <v>0</v>
      </c>
      <c r="CJ921" s="693">
        <f>SUMIFS(Imput[[Importe Neto]:[Importe Neto]],Imput[[C. Imp.]:[C. Imp.]],$D921,Imput[[PERIODO Imp.]:[PERIODO Imp.]],CJ$9)</f>
        <v>0</v>
      </c>
      <c r="CK921" s="693">
        <f>SUMIFS(Imput[[Importe Neto]:[Importe Neto]],Imput[[C. Imp.]:[C. Imp.]],$D921,Imput[[PERIODO Imp.]:[PERIODO Imp.]],CK$9)</f>
        <v>0</v>
      </c>
      <c r="CL921" s="693">
        <f>SUMIFS(Imput[[Importe Neto]:[Importe Neto]],Imput[[C. Imp.]:[C. Imp.]],$D921,Imput[[PERIODO Imp.]:[PERIODO Imp.]],CL$9)</f>
        <v>0</v>
      </c>
      <c r="CM921" s="693">
        <f>SUMIFS(Imput[[Importe Neto]:[Importe Neto]],Imput[[C. Imp.]:[C. Imp.]],$D921,Imput[[PERIODO Imp.]:[PERIODO Imp.]],CM$9)</f>
        <v>0</v>
      </c>
      <c r="CN921" s="693">
        <f>SUMIFS(Imput[[Importe Neto]:[Importe Neto]],Imput[[C. Imp.]:[C. Imp.]],$D921,Imput[[PERIODO Imp.]:[PERIODO Imp.]],CN$9)</f>
        <v>0</v>
      </c>
      <c r="CO921" s="693">
        <f>SUMIFS(Imput[[Importe Neto]:[Importe Neto]],Imput[[C. Imp.]:[C. Imp.]],$D921,Imput[[PERIODO Imp.]:[PERIODO Imp.]],CO$9)</f>
        <v>0</v>
      </c>
      <c r="CP921" s="693">
        <f>SUMIFS(Imput[[Importe Neto]:[Importe Neto]],Imput[[C. Imp.]:[C. Imp.]],$D921,Imput[[PERIODO Imp.]:[PERIODO Imp.]],CP$9)</f>
        <v>0</v>
      </c>
      <c r="CQ921" s="693">
        <f>SUMIFS(Imput[[Importe Neto]:[Importe Neto]],Imput[[C. Imp.]:[C. Imp.]],$D921,Imput[[PERIODO Imp.]:[PERIODO Imp.]],CQ$9)</f>
        <v>0</v>
      </c>
      <c r="CR921" s="693">
        <f>SUMIFS(Imput[[Importe Neto]:[Importe Neto]],Imput[[C. Imp.]:[C. Imp.]],$D921,Imput[[PERIODO Imp.]:[PERIODO Imp.]],CR$9)</f>
        <v>0</v>
      </c>
      <c r="CS921" s="693">
        <f>SUMIFS(Imput[[Importe Neto]:[Importe Neto]],Imput[[C. Imp.]:[C. Imp.]],$D921,Imput[[PERIODO Imp.]:[PERIODO Imp.]],CS$9)</f>
        <v>0</v>
      </c>
      <c r="CT921" s="693">
        <f>SUMIFS(Imput[[Importe Neto]:[Importe Neto]],Imput[[C. Imp.]:[C. Imp.]],$D921,Imput[[PERIODO Imp.]:[PERIODO Imp.]],CT$9)</f>
        <v>0</v>
      </c>
      <c r="CU921" s="693">
        <f>SUMIFS(Imput[[Importe Neto]:[Importe Neto]],Imput[[C. Imp.]:[C. Imp.]],$D921,Imput[[PERIODO Imp.]:[PERIODO Imp.]],CU$9)</f>
        <v>0</v>
      </c>
      <c r="CV921" s="693">
        <f>SUMIFS(Imput[[Importe Neto]:[Importe Neto]],Imput[[C. Imp.]:[C. Imp.]],$D921,Imput[[PERIODO Imp.]:[PERIODO Imp.]],CV$9)</f>
        <v>0</v>
      </c>
      <c r="CW921" s="693">
        <f>SUMIFS(Imput[[Importe Neto]:[Importe Neto]],Imput[[C. Imp.]:[C. Imp.]],$D921,Imput[[PERIODO Imp.]:[PERIODO Imp.]],CW$9)</f>
        <v>0</v>
      </c>
      <c r="CX921" s="693">
        <f>SUMIFS(Imput[[Importe Neto]:[Importe Neto]],Imput[[C. Imp.]:[C. Imp.]],$D921,Imput[[PERIODO Imp.]:[PERIODO Imp.]],CX$9)</f>
        <v>0</v>
      </c>
      <c r="CY921" s="693">
        <f>SUMIFS(Imput[[Importe Neto]:[Importe Neto]],Imput[[C. Imp.]:[C. Imp.]],$D921,Imput[[PERIODO Imp.]:[PERIODO Imp.]],CY$9)</f>
        <v>0</v>
      </c>
      <c r="CZ921" s="693">
        <f>SUMIFS(Imput[[Importe Neto]:[Importe Neto]],Imput[[C. Imp.]:[C. Imp.]],$D921,Imput[[PERIODO Imp.]:[PERIODO Imp.]],CZ$9)</f>
        <v>0</v>
      </c>
      <c r="DA921" s="693">
        <f>SUMIFS(Imput[[Importe Neto]:[Importe Neto]],Imput[[C. Imp.]:[C. Imp.]],$D921,Imput[[PERIODO Imp.]:[PERIODO Imp.]],DA$9)</f>
        <v>0</v>
      </c>
      <c r="DB921" s="693">
        <f>SUMIFS(Imput[[Importe Neto]:[Importe Neto]],Imput[[C. Imp.]:[C. Imp.]],$D921,Imput[[PERIODO Imp.]:[PERIODO Imp.]],DB$9)</f>
        <v>0</v>
      </c>
      <c r="DC921" s="693">
        <f>SUMIFS(Imput[[Importe Neto]:[Importe Neto]],Imput[[C. Imp.]:[C. Imp.]],$D921,Imput[[PERIODO Imp.]:[PERIODO Imp.]],DC$9)</f>
        <v>0</v>
      </c>
      <c r="DD921" s="693">
        <f>SUMIFS(Imput[[Importe Neto]:[Importe Neto]],Imput[[C. Imp.]:[C. Imp.]],$D921,Imput[[PERIODO Imp.]:[PERIODO Imp.]],DD$9)</f>
        <v>0</v>
      </c>
      <c r="DE921" s="693">
        <f>SUMIFS(Imput[[Importe Neto]:[Importe Neto]],Imput[[C. Imp.]:[C. Imp.]],$D921,Imput[[PERIODO Imp.]:[PERIODO Imp.]],DE$9)</f>
        <v>0</v>
      </c>
      <c r="DF921" s="693">
        <f>SUMIFS(Imput[[Importe Neto]:[Importe Neto]],Imput[[C. Imp.]:[C. Imp.]],$D921,Imput[[PERIODO Imp.]:[PERIODO Imp.]],DF$9)</f>
        <v>0</v>
      </c>
      <c r="DG921" s="693">
        <f>SUMIFS(Imput[[Importe Neto]:[Importe Neto]],Imput[[C. Imp.]:[C. Imp.]],$D921,Imput[[PERIODO Imp.]:[PERIODO Imp.]],DG$9)</f>
        <v>0</v>
      </c>
      <c r="DH921" s="694">
        <f>SUMIFS(Imput[[Importe Neto]:[Importe Neto]],Imput[[C. Imp.]:[C. Imp.]],$D921,Imput[[PERIODO Imp.]:[PERIODO Imp.]],DH$9)</f>
        <v>0</v>
      </c>
    </row>
    <row r="922" spans="1:112" s="649" customFormat="1" ht="14.4" hidden="1" outlineLevel="1" thickBot="1" x14ac:dyDescent="0.35">
      <c r="A922" s="652" t="str">
        <f t="shared" si="314"/>
        <v/>
      </c>
      <c r="B922" s="652"/>
      <c r="C922" s="685"/>
      <c r="D922" s="686" t="s">
        <v>2886</v>
      </c>
      <c r="E922" s="686"/>
      <c r="F922" s="720"/>
      <c r="G922" s="688"/>
      <c r="H922" s="689"/>
      <c r="I922" s="851" t="str">
        <f t="shared" si="315"/>
        <v/>
      </c>
      <c r="J922" s="517" t="str">
        <f t="shared" si="316"/>
        <v/>
      </c>
      <c r="K922" s="667"/>
      <c r="L922" s="858"/>
      <c r="M922" s="859"/>
      <c r="N922" s="859"/>
      <c r="O922" s="859"/>
      <c r="P922" s="859"/>
      <c r="Q922" s="859"/>
      <c r="R922" s="859"/>
      <c r="S922" s="859"/>
      <c r="T922" s="859"/>
      <c r="U922" s="859"/>
      <c r="V922" s="859"/>
      <c r="W922" s="859"/>
      <c r="X922" s="859"/>
      <c r="Y922" s="859"/>
      <c r="Z922" s="860"/>
      <c r="AA922" s="860"/>
      <c r="AB922" s="860"/>
      <c r="AC922" s="860"/>
      <c r="AD922" s="860"/>
      <c r="AE922" s="860"/>
      <c r="AF922" s="860"/>
      <c r="AG922" s="860"/>
      <c r="AH922" s="860"/>
      <c r="AI922" s="860"/>
      <c r="AJ922" s="860"/>
      <c r="AK922" s="860"/>
      <c r="AL922" s="860"/>
      <c r="AM922" s="860"/>
      <c r="AN922" s="860"/>
      <c r="AO922" s="860"/>
      <c r="AP922" s="860"/>
      <c r="AQ922" s="860"/>
      <c r="AR922" s="860"/>
      <c r="AS922" s="860"/>
      <c r="AT922" s="860"/>
      <c r="AU922" s="860"/>
      <c r="AV922" s="860"/>
      <c r="AW922" s="860"/>
      <c r="AX922" s="860"/>
      <c r="AY922" s="860"/>
      <c r="AZ922" s="860"/>
      <c r="BA922" s="860"/>
      <c r="BB922" s="860"/>
      <c r="BC922" s="860"/>
      <c r="BD922" s="860"/>
      <c r="BE922" s="860"/>
      <c r="BF922" s="860"/>
      <c r="BG922" s="860"/>
      <c r="BH922" s="668"/>
      <c r="BI922" s="654"/>
      <c r="BJ922" s="690">
        <f t="shared" si="317"/>
        <v>0</v>
      </c>
      <c r="BK922" s="691">
        <f t="shared" si="318"/>
        <v>0</v>
      </c>
      <c r="BL922" s="654"/>
      <c r="BM922" s="692">
        <f>SUMIFS(Imput[[Importe Neto]:[Importe Neto]],Imput[[C. Imp.]:[C. Imp.]],$D922,Imput[[PERIODO Imp.]:[PERIODO Imp.]],BM$9)</f>
        <v>0</v>
      </c>
      <c r="BN922" s="693">
        <f>SUMIFS(Imput[[Importe Neto]:[Importe Neto]],Imput[[C. Imp.]:[C. Imp.]],$D922,Imput[[PERIODO Imp.]:[PERIODO Imp.]],BN$9)</f>
        <v>0</v>
      </c>
      <c r="BO922" s="693">
        <f>SUMIFS(Imput[[Importe Neto]:[Importe Neto]],Imput[[C. Imp.]:[C. Imp.]],$D922,Imput[[PERIODO Imp.]:[PERIODO Imp.]],BO$9)</f>
        <v>0</v>
      </c>
      <c r="BP922" s="693">
        <f>SUMIFS(Imput[[Importe Neto]:[Importe Neto]],Imput[[C. Imp.]:[C. Imp.]],$D922,Imput[[PERIODO Imp.]:[PERIODO Imp.]],BP$9)</f>
        <v>0</v>
      </c>
      <c r="BQ922" s="693">
        <f>SUMIFS(Imput[[Importe Neto]:[Importe Neto]],Imput[[C. Imp.]:[C. Imp.]],$D922,Imput[[PERIODO Imp.]:[PERIODO Imp.]],BQ$9)</f>
        <v>0</v>
      </c>
      <c r="BR922" s="693">
        <f>SUMIFS(Imput[[Importe Neto]:[Importe Neto]],Imput[[C. Imp.]:[C. Imp.]],$D922,Imput[[PERIODO Imp.]:[PERIODO Imp.]],BR$9)</f>
        <v>0</v>
      </c>
      <c r="BS922" s="693">
        <f>SUMIFS(Imput[[Importe Neto]:[Importe Neto]],Imput[[C. Imp.]:[C. Imp.]],$D922,Imput[[PERIODO Imp.]:[PERIODO Imp.]],BS$9)</f>
        <v>0</v>
      </c>
      <c r="BT922" s="693">
        <f>SUMIFS(Imput[[Importe Neto]:[Importe Neto]],Imput[[C. Imp.]:[C. Imp.]],$D922,Imput[[PERIODO Imp.]:[PERIODO Imp.]],BT$9)</f>
        <v>0</v>
      </c>
      <c r="BU922" s="693">
        <f>SUMIFS(Imput[[Importe Neto]:[Importe Neto]],Imput[[C. Imp.]:[C. Imp.]],$D922,Imput[[PERIODO Imp.]:[PERIODO Imp.]],BU$9)</f>
        <v>0</v>
      </c>
      <c r="BV922" s="693">
        <f>SUMIFS(Imput[[Importe Neto]:[Importe Neto]],Imput[[C. Imp.]:[C. Imp.]],$D922,Imput[[PERIODO Imp.]:[PERIODO Imp.]],BV$9)</f>
        <v>0</v>
      </c>
      <c r="BW922" s="693">
        <f>SUMIFS(Imput[[Importe Neto]:[Importe Neto]],Imput[[C. Imp.]:[C. Imp.]],$D922,Imput[[PERIODO Imp.]:[PERIODO Imp.]],BW$9)</f>
        <v>0</v>
      </c>
      <c r="BX922" s="693">
        <f>SUMIFS(Imput[[Importe Neto]:[Importe Neto]],Imput[[C. Imp.]:[C. Imp.]],$D922,Imput[[PERIODO Imp.]:[PERIODO Imp.]],BX$9)</f>
        <v>0</v>
      </c>
      <c r="BY922" s="693">
        <f>SUMIFS(Imput[[Importe Neto]:[Importe Neto]],Imput[[C. Imp.]:[C. Imp.]],$D922,Imput[[PERIODO Imp.]:[PERIODO Imp.]],BY$9)</f>
        <v>0</v>
      </c>
      <c r="BZ922" s="693">
        <f>SUMIFS(Imput[[Importe Neto]:[Importe Neto]],Imput[[C. Imp.]:[C. Imp.]],$D922,Imput[[PERIODO Imp.]:[PERIODO Imp.]],BZ$9)</f>
        <v>0</v>
      </c>
      <c r="CA922" s="693">
        <f>SUMIFS(Imput[[Importe Neto]:[Importe Neto]],Imput[[C. Imp.]:[C. Imp.]],$D922,Imput[[PERIODO Imp.]:[PERIODO Imp.]],CA$9)</f>
        <v>0</v>
      </c>
      <c r="CB922" s="693">
        <f>SUMIFS(Imput[[Importe Neto]:[Importe Neto]],Imput[[C. Imp.]:[C. Imp.]],$D922,Imput[[PERIODO Imp.]:[PERIODO Imp.]],CB$9)</f>
        <v>0</v>
      </c>
      <c r="CC922" s="693">
        <f>SUMIFS(Imput[[Importe Neto]:[Importe Neto]],Imput[[C. Imp.]:[C. Imp.]],$D922,Imput[[PERIODO Imp.]:[PERIODO Imp.]],CC$9)</f>
        <v>0</v>
      </c>
      <c r="CD922" s="693">
        <f>SUMIFS(Imput[[Importe Neto]:[Importe Neto]],Imput[[C. Imp.]:[C. Imp.]],$D922,Imput[[PERIODO Imp.]:[PERIODO Imp.]],CD$9)</f>
        <v>0</v>
      </c>
      <c r="CE922" s="693">
        <f>SUMIFS(Imput[[Importe Neto]:[Importe Neto]],Imput[[C. Imp.]:[C. Imp.]],$D922,Imput[[PERIODO Imp.]:[PERIODO Imp.]],CE$9)</f>
        <v>0</v>
      </c>
      <c r="CF922" s="693">
        <f>SUMIFS(Imput[[Importe Neto]:[Importe Neto]],Imput[[C. Imp.]:[C. Imp.]],$D922,Imput[[PERIODO Imp.]:[PERIODO Imp.]],CF$9)</f>
        <v>0</v>
      </c>
      <c r="CG922" s="693">
        <f>SUMIFS(Imput[[Importe Neto]:[Importe Neto]],Imput[[C. Imp.]:[C. Imp.]],$D922,Imput[[PERIODO Imp.]:[PERIODO Imp.]],CG$9)</f>
        <v>0</v>
      </c>
      <c r="CH922" s="693">
        <f>SUMIFS(Imput[[Importe Neto]:[Importe Neto]],Imput[[C. Imp.]:[C. Imp.]],$D922,Imput[[PERIODO Imp.]:[PERIODO Imp.]],CH$9)</f>
        <v>0</v>
      </c>
      <c r="CI922" s="693">
        <f>SUMIFS(Imput[[Importe Neto]:[Importe Neto]],Imput[[C. Imp.]:[C. Imp.]],$D922,Imput[[PERIODO Imp.]:[PERIODO Imp.]],CI$9)</f>
        <v>0</v>
      </c>
      <c r="CJ922" s="693">
        <f>SUMIFS(Imput[[Importe Neto]:[Importe Neto]],Imput[[C. Imp.]:[C. Imp.]],$D922,Imput[[PERIODO Imp.]:[PERIODO Imp.]],CJ$9)</f>
        <v>0</v>
      </c>
      <c r="CK922" s="693">
        <f>SUMIFS(Imput[[Importe Neto]:[Importe Neto]],Imput[[C. Imp.]:[C. Imp.]],$D922,Imput[[PERIODO Imp.]:[PERIODO Imp.]],CK$9)</f>
        <v>0</v>
      </c>
      <c r="CL922" s="693">
        <f>SUMIFS(Imput[[Importe Neto]:[Importe Neto]],Imput[[C. Imp.]:[C. Imp.]],$D922,Imput[[PERIODO Imp.]:[PERIODO Imp.]],CL$9)</f>
        <v>0</v>
      </c>
      <c r="CM922" s="693">
        <f>SUMIFS(Imput[[Importe Neto]:[Importe Neto]],Imput[[C. Imp.]:[C. Imp.]],$D922,Imput[[PERIODO Imp.]:[PERIODO Imp.]],CM$9)</f>
        <v>0</v>
      </c>
      <c r="CN922" s="693">
        <f>SUMIFS(Imput[[Importe Neto]:[Importe Neto]],Imput[[C. Imp.]:[C. Imp.]],$D922,Imput[[PERIODO Imp.]:[PERIODO Imp.]],CN$9)</f>
        <v>0</v>
      </c>
      <c r="CO922" s="693">
        <f>SUMIFS(Imput[[Importe Neto]:[Importe Neto]],Imput[[C. Imp.]:[C. Imp.]],$D922,Imput[[PERIODO Imp.]:[PERIODO Imp.]],CO$9)</f>
        <v>0</v>
      </c>
      <c r="CP922" s="693">
        <f>SUMIFS(Imput[[Importe Neto]:[Importe Neto]],Imput[[C. Imp.]:[C. Imp.]],$D922,Imput[[PERIODO Imp.]:[PERIODO Imp.]],CP$9)</f>
        <v>0</v>
      </c>
      <c r="CQ922" s="693">
        <f>SUMIFS(Imput[[Importe Neto]:[Importe Neto]],Imput[[C. Imp.]:[C. Imp.]],$D922,Imput[[PERIODO Imp.]:[PERIODO Imp.]],CQ$9)</f>
        <v>0</v>
      </c>
      <c r="CR922" s="693">
        <f>SUMIFS(Imput[[Importe Neto]:[Importe Neto]],Imput[[C. Imp.]:[C. Imp.]],$D922,Imput[[PERIODO Imp.]:[PERIODO Imp.]],CR$9)</f>
        <v>0</v>
      </c>
      <c r="CS922" s="693">
        <f>SUMIFS(Imput[[Importe Neto]:[Importe Neto]],Imput[[C. Imp.]:[C. Imp.]],$D922,Imput[[PERIODO Imp.]:[PERIODO Imp.]],CS$9)</f>
        <v>0</v>
      </c>
      <c r="CT922" s="693">
        <f>SUMIFS(Imput[[Importe Neto]:[Importe Neto]],Imput[[C. Imp.]:[C. Imp.]],$D922,Imput[[PERIODO Imp.]:[PERIODO Imp.]],CT$9)</f>
        <v>0</v>
      </c>
      <c r="CU922" s="693">
        <f>SUMIFS(Imput[[Importe Neto]:[Importe Neto]],Imput[[C. Imp.]:[C. Imp.]],$D922,Imput[[PERIODO Imp.]:[PERIODO Imp.]],CU$9)</f>
        <v>0</v>
      </c>
      <c r="CV922" s="693">
        <f>SUMIFS(Imput[[Importe Neto]:[Importe Neto]],Imput[[C. Imp.]:[C. Imp.]],$D922,Imput[[PERIODO Imp.]:[PERIODO Imp.]],CV$9)</f>
        <v>0</v>
      </c>
      <c r="CW922" s="693">
        <f>SUMIFS(Imput[[Importe Neto]:[Importe Neto]],Imput[[C. Imp.]:[C. Imp.]],$D922,Imput[[PERIODO Imp.]:[PERIODO Imp.]],CW$9)</f>
        <v>0</v>
      </c>
      <c r="CX922" s="693">
        <f>SUMIFS(Imput[[Importe Neto]:[Importe Neto]],Imput[[C. Imp.]:[C. Imp.]],$D922,Imput[[PERIODO Imp.]:[PERIODO Imp.]],CX$9)</f>
        <v>0</v>
      </c>
      <c r="CY922" s="693">
        <f>SUMIFS(Imput[[Importe Neto]:[Importe Neto]],Imput[[C. Imp.]:[C. Imp.]],$D922,Imput[[PERIODO Imp.]:[PERIODO Imp.]],CY$9)</f>
        <v>0</v>
      </c>
      <c r="CZ922" s="693">
        <f>SUMIFS(Imput[[Importe Neto]:[Importe Neto]],Imput[[C. Imp.]:[C. Imp.]],$D922,Imput[[PERIODO Imp.]:[PERIODO Imp.]],CZ$9)</f>
        <v>0</v>
      </c>
      <c r="DA922" s="693">
        <f>SUMIFS(Imput[[Importe Neto]:[Importe Neto]],Imput[[C. Imp.]:[C. Imp.]],$D922,Imput[[PERIODO Imp.]:[PERIODO Imp.]],DA$9)</f>
        <v>0</v>
      </c>
      <c r="DB922" s="693">
        <f>SUMIFS(Imput[[Importe Neto]:[Importe Neto]],Imput[[C. Imp.]:[C. Imp.]],$D922,Imput[[PERIODO Imp.]:[PERIODO Imp.]],DB$9)</f>
        <v>0</v>
      </c>
      <c r="DC922" s="693">
        <f>SUMIFS(Imput[[Importe Neto]:[Importe Neto]],Imput[[C. Imp.]:[C. Imp.]],$D922,Imput[[PERIODO Imp.]:[PERIODO Imp.]],DC$9)</f>
        <v>0</v>
      </c>
      <c r="DD922" s="693">
        <f>SUMIFS(Imput[[Importe Neto]:[Importe Neto]],Imput[[C. Imp.]:[C. Imp.]],$D922,Imput[[PERIODO Imp.]:[PERIODO Imp.]],DD$9)</f>
        <v>0</v>
      </c>
      <c r="DE922" s="693">
        <f>SUMIFS(Imput[[Importe Neto]:[Importe Neto]],Imput[[C. Imp.]:[C. Imp.]],$D922,Imput[[PERIODO Imp.]:[PERIODO Imp.]],DE$9)</f>
        <v>0</v>
      </c>
      <c r="DF922" s="693">
        <f>SUMIFS(Imput[[Importe Neto]:[Importe Neto]],Imput[[C. Imp.]:[C. Imp.]],$D922,Imput[[PERIODO Imp.]:[PERIODO Imp.]],DF$9)</f>
        <v>0</v>
      </c>
      <c r="DG922" s="693">
        <f>SUMIFS(Imput[[Importe Neto]:[Importe Neto]],Imput[[C. Imp.]:[C. Imp.]],$D922,Imput[[PERIODO Imp.]:[PERIODO Imp.]],DG$9)</f>
        <v>0</v>
      </c>
      <c r="DH922" s="694">
        <f>SUMIFS(Imput[[Importe Neto]:[Importe Neto]],Imput[[C. Imp.]:[C. Imp.]],$D922,Imput[[PERIODO Imp.]:[PERIODO Imp.]],DH$9)</f>
        <v>0</v>
      </c>
    </row>
    <row r="923" spans="1:112" s="649" customFormat="1" ht="14.4" hidden="1" outlineLevel="1" thickBot="1" x14ac:dyDescent="0.35">
      <c r="A923" s="652" t="str">
        <f t="shared" si="314"/>
        <v/>
      </c>
      <c r="B923" s="652"/>
      <c r="C923" s="685"/>
      <c r="D923" s="686" t="s">
        <v>2887</v>
      </c>
      <c r="E923" s="686"/>
      <c r="F923" s="720"/>
      <c r="G923" s="688"/>
      <c r="H923" s="689"/>
      <c r="I923" s="851" t="str">
        <f t="shared" si="315"/>
        <v/>
      </c>
      <c r="J923" s="517" t="str">
        <f t="shared" si="316"/>
        <v/>
      </c>
      <c r="K923" s="667"/>
      <c r="L923" s="858"/>
      <c r="M923" s="859"/>
      <c r="N923" s="859"/>
      <c r="O923" s="859"/>
      <c r="P923" s="859"/>
      <c r="Q923" s="859"/>
      <c r="R923" s="859"/>
      <c r="S923" s="859"/>
      <c r="T923" s="859"/>
      <c r="U923" s="859"/>
      <c r="V923" s="859"/>
      <c r="W923" s="859"/>
      <c r="X923" s="859"/>
      <c r="Y923" s="859"/>
      <c r="Z923" s="860"/>
      <c r="AA923" s="860"/>
      <c r="AB923" s="860"/>
      <c r="AC923" s="860"/>
      <c r="AD923" s="860"/>
      <c r="AE923" s="860"/>
      <c r="AF923" s="860"/>
      <c r="AG923" s="860"/>
      <c r="AH923" s="860"/>
      <c r="AI923" s="860"/>
      <c r="AJ923" s="860"/>
      <c r="AK923" s="860"/>
      <c r="AL923" s="860"/>
      <c r="AM923" s="860"/>
      <c r="AN923" s="860"/>
      <c r="AO923" s="860"/>
      <c r="AP923" s="860"/>
      <c r="AQ923" s="860"/>
      <c r="AR923" s="860"/>
      <c r="AS923" s="860"/>
      <c r="AT923" s="860"/>
      <c r="AU923" s="860"/>
      <c r="AV923" s="860"/>
      <c r="AW923" s="860"/>
      <c r="AX923" s="860"/>
      <c r="AY923" s="860"/>
      <c r="AZ923" s="860"/>
      <c r="BA923" s="860"/>
      <c r="BB923" s="860"/>
      <c r="BC923" s="860"/>
      <c r="BD923" s="860"/>
      <c r="BE923" s="860"/>
      <c r="BF923" s="860"/>
      <c r="BG923" s="860"/>
      <c r="BH923" s="668"/>
      <c r="BI923" s="654"/>
      <c r="BJ923" s="690">
        <f t="shared" si="317"/>
        <v>0</v>
      </c>
      <c r="BK923" s="691">
        <f t="shared" si="318"/>
        <v>0</v>
      </c>
      <c r="BL923" s="654"/>
      <c r="BM923" s="692">
        <f>SUMIFS(Imput[[Importe Neto]:[Importe Neto]],Imput[[C. Imp.]:[C. Imp.]],$D923,Imput[[PERIODO Imp.]:[PERIODO Imp.]],BM$9)</f>
        <v>0</v>
      </c>
      <c r="BN923" s="693">
        <f>SUMIFS(Imput[[Importe Neto]:[Importe Neto]],Imput[[C. Imp.]:[C. Imp.]],$D923,Imput[[PERIODO Imp.]:[PERIODO Imp.]],BN$9)</f>
        <v>0</v>
      </c>
      <c r="BO923" s="693">
        <f>SUMIFS(Imput[[Importe Neto]:[Importe Neto]],Imput[[C. Imp.]:[C. Imp.]],$D923,Imput[[PERIODO Imp.]:[PERIODO Imp.]],BO$9)</f>
        <v>0</v>
      </c>
      <c r="BP923" s="693">
        <f>SUMIFS(Imput[[Importe Neto]:[Importe Neto]],Imput[[C. Imp.]:[C. Imp.]],$D923,Imput[[PERIODO Imp.]:[PERIODO Imp.]],BP$9)</f>
        <v>0</v>
      </c>
      <c r="BQ923" s="693">
        <f>SUMIFS(Imput[[Importe Neto]:[Importe Neto]],Imput[[C. Imp.]:[C. Imp.]],$D923,Imput[[PERIODO Imp.]:[PERIODO Imp.]],BQ$9)</f>
        <v>0</v>
      </c>
      <c r="BR923" s="693">
        <f>SUMIFS(Imput[[Importe Neto]:[Importe Neto]],Imput[[C. Imp.]:[C. Imp.]],$D923,Imput[[PERIODO Imp.]:[PERIODO Imp.]],BR$9)</f>
        <v>0</v>
      </c>
      <c r="BS923" s="693">
        <f>SUMIFS(Imput[[Importe Neto]:[Importe Neto]],Imput[[C. Imp.]:[C. Imp.]],$D923,Imput[[PERIODO Imp.]:[PERIODO Imp.]],BS$9)</f>
        <v>0</v>
      </c>
      <c r="BT923" s="693">
        <f>SUMIFS(Imput[[Importe Neto]:[Importe Neto]],Imput[[C. Imp.]:[C. Imp.]],$D923,Imput[[PERIODO Imp.]:[PERIODO Imp.]],BT$9)</f>
        <v>0</v>
      </c>
      <c r="BU923" s="693">
        <f>SUMIFS(Imput[[Importe Neto]:[Importe Neto]],Imput[[C. Imp.]:[C. Imp.]],$D923,Imput[[PERIODO Imp.]:[PERIODO Imp.]],BU$9)</f>
        <v>0</v>
      </c>
      <c r="BV923" s="693">
        <f>SUMIFS(Imput[[Importe Neto]:[Importe Neto]],Imput[[C. Imp.]:[C. Imp.]],$D923,Imput[[PERIODO Imp.]:[PERIODO Imp.]],BV$9)</f>
        <v>0</v>
      </c>
      <c r="BW923" s="693">
        <f>SUMIFS(Imput[[Importe Neto]:[Importe Neto]],Imput[[C. Imp.]:[C. Imp.]],$D923,Imput[[PERIODO Imp.]:[PERIODO Imp.]],BW$9)</f>
        <v>0</v>
      </c>
      <c r="BX923" s="693">
        <f>SUMIFS(Imput[[Importe Neto]:[Importe Neto]],Imput[[C. Imp.]:[C. Imp.]],$D923,Imput[[PERIODO Imp.]:[PERIODO Imp.]],BX$9)</f>
        <v>0</v>
      </c>
      <c r="BY923" s="693">
        <f>SUMIFS(Imput[[Importe Neto]:[Importe Neto]],Imput[[C. Imp.]:[C. Imp.]],$D923,Imput[[PERIODO Imp.]:[PERIODO Imp.]],BY$9)</f>
        <v>0</v>
      </c>
      <c r="BZ923" s="693">
        <f>SUMIFS(Imput[[Importe Neto]:[Importe Neto]],Imput[[C. Imp.]:[C. Imp.]],$D923,Imput[[PERIODO Imp.]:[PERIODO Imp.]],BZ$9)</f>
        <v>0</v>
      </c>
      <c r="CA923" s="693">
        <f>SUMIFS(Imput[[Importe Neto]:[Importe Neto]],Imput[[C. Imp.]:[C. Imp.]],$D923,Imput[[PERIODO Imp.]:[PERIODO Imp.]],CA$9)</f>
        <v>0</v>
      </c>
      <c r="CB923" s="693">
        <f>SUMIFS(Imput[[Importe Neto]:[Importe Neto]],Imput[[C. Imp.]:[C. Imp.]],$D923,Imput[[PERIODO Imp.]:[PERIODO Imp.]],CB$9)</f>
        <v>0</v>
      </c>
      <c r="CC923" s="693">
        <f>SUMIFS(Imput[[Importe Neto]:[Importe Neto]],Imput[[C. Imp.]:[C. Imp.]],$D923,Imput[[PERIODO Imp.]:[PERIODO Imp.]],CC$9)</f>
        <v>0</v>
      </c>
      <c r="CD923" s="693">
        <f>SUMIFS(Imput[[Importe Neto]:[Importe Neto]],Imput[[C. Imp.]:[C. Imp.]],$D923,Imput[[PERIODO Imp.]:[PERIODO Imp.]],CD$9)</f>
        <v>0</v>
      </c>
      <c r="CE923" s="693">
        <f>SUMIFS(Imput[[Importe Neto]:[Importe Neto]],Imput[[C. Imp.]:[C. Imp.]],$D923,Imput[[PERIODO Imp.]:[PERIODO Imp.]],CE$9)</f>
        <v>0</v>
      </c>
      <c r="CF923" s="693">
        <f>SUMIFS(Imput[[Importe Neto]:[Importe Neto]],Imput[[C. Imp.]:[C. Imp.]],$D923,Imput[[PERIODO Imp.]:[PERIODO Imp.]],CF$9)</f>
        <v>0</v>
      </c>
      <c r="CG923" s="693">
        <f>SUMIFS(Imput[[Importe Neto]:[Importe Neto]],Imput[[C. Imp.]:[C. Imp.]],$D923,Imput[[PERIODO Imp.]:[PERIODO Imp.]],CG$9)</f>
        <v>0</v>
      </c>
      <c r="CH923" s="693">
        <f>SUMIFS(Imput[[Importe Neto]:[Importe Neto]],Imput[[C. Imp.]:[C. Imp.]],$D923,Imput[[PERIODO Imp.]:[PERIODO Imp.]],CH$9)</f>
        <v>0</v>
      </c>
      <c r="CI923" s="693">
        <f>SUMIFS(Imput[[Importe Neto]:[Importe Neto]],Imput[[C. Imp.]:[C. Imp.]],$D923,Imput[[PERIODO Imp.]:[PERIODO Imp.]],CI$9)</f>
        <v>0</v>
      </c>
      <c r="CJ923" s="693">
        <f>SUMIFS(Imput[[Importe Neto]:[Importe Neto]],Imput[[C. Imp.]:[C. Imp.]],$D923,Imput[[PERIODO Imp.]:[PERIODO Imp.]],CJ$9)</f>
        <v>0</v>
      </c>
      <c r="CK923" s="693">
        <f>SUMIFS(Imput[[Importe Neto]:[Importe Neto]],Imput[[C. Imp.]:[C. Imp.]],$D923,Imput[[PERIODO Imp.]:[PERIODO Imp.]],CK$9)</f>
        <v>0</v>
      </c>
      <c r="CL923" s="693">
        <f>SUMIFS(Imput[[Importe Neto]:[Importe Neto]],Imput[[C. Imp.]:[C. Imp.]],$D923,Imput[[PERIODO Imp.]:[PERIODO Imp.]],CL$9)</f>
        <v>0</v>
      </c>
      <c r="CM923" s="693">
        <f>SUMIFS(Imput[[Importe Neto]:[Importe Neto]],Imput[[C. Imp.]:[C. Imp.]],$D923,Imput[[PERIODO Imp.]:[PERIODO Imp.]],CM$9)</f>
        <v>0</v>
      </c>
      <c r="CN923" s="693">
        <f>SUMIFS(Imput[[Importe Neto]:[Importe Neto]],Imput[[C. Imp.]:[C. Imp.]],$D923,Imput[[PERIODO Imp.]:[PERIODO Imp.]],CN$9)</f>
        <v>0</v>
      </c>
      <c r="CO923" s="693">
        <f>SUMIFS(Imput[[Importe Neto]:[Importe Neto]],Imput[[C. Imp.]:[C. Imp.]],$D923,Imput[[PERIODO Imp.]:[PERIODO Imp.]],CO$9)</f>
        <v>0</v>
      </c>
      <c r="CP923" s="693">
        <f>SUMIFS(Imput[[Importe Neto]:[Importe Neto]],Imput[[C. Imp.]:[C. Imp.]],$D923,Imput[[PERIODO Imp.]:[PERIODO Imp.]],CP$9)</f>
        <v>0</v>
      </c>
      <c r="CQ923" s="693">
        <f>SUMIFS(Imput[[Importe Neto]:[Importe Neto]],Imput[[C. Imp.]:[C. Imp.]],$D923,Imput[[PERIODO Imp.]:[PERIODO Imp.]],CQ$9)</f>
        <v>0</v>
      </c>
      <c r="CR923" s="693">
        <f>SUMIFS(Imput[[Importe Neto]:[Importe Neto]],Imput[[C. Imp.]:[C. Imp.]],$D923,Imput[[PERIODO Imp.]:[PERIODO Imp.]],CR$9)</f>
        <v>0</v>
      </c>
      <c r="CS923" s="693">
        <f>SUMIFS(Imput[[Importe Neto]:[Importe Neto]],Imput[[C. Imp.]:[C. Imp.]],$D923,Imput[[PERIODO Imp.]:[PERIODO Imp.]],CS$9)</f>
        <v>0</v>
      </c>
      <c r="CT923" s="693">
        <f>SUMIFS(Imput[[Importe Neto]:[Importe Neto]],Imput[[C. Imp.]:[C. Imp.]],$D923,Imput[[PERIODO Imp.]:[PERIODO Imp.]],CT$9)</f>
        <v>0</v>
      </c>
      <c r="CU923" s="693">
        <f>SUMIFS(Imput[[Importe Neto]:[Importe Neto]],Imput[[C. Imp.]:[C. Imp.]],$D923,Imput[[PERIODO Imp.]:[PERIODO Imp.]],CU$9)</f>
        <v>0</v>
      </c>
      <c r="CV923" s="693">
        <f>SUMIFS(Imput[[Importe Neto]:[Importe Neto]],Imput[[C. Imp.]:[C. Imp.]],$D923,Imput[[PERIODO Imp.]:[PERIODO Imp.]],CV$9)</f>
        <v>0</v>
      </c>
      <c r="CW923" s="693">
        <f>SUMIFS(Imput[[Importe Neto]:[Importe Neto]],Imput[[C. Imp.]:[C. Imp.]],$D923,Imput[[PERIODO Imp.]:[PERIODO Imp.]],CW$9)</f>
        <v>0</v>
      </c>
      <c r="CX923" s="693">
        <f>SUMIFS(Imput[[Importe Neto]:[Importe Neto]],Imput[[C. Imp.]:[C. Imp.]],$D923,Imput[[PERIODO Imp.]:[PERIODO Imp.]],CX$9)</f>
        <v>0</v>
      </c>
      <c r="CY923" s="693">
        <f>SUMIFS(Imput[[Importe Neto]:[Importe Neto]],Imput[[C. Imp.]:[C. Imp.]],$D923,Imput[[PERIODO Imp.]:[PERIODO Imp.]],CY$9)</f>
        <v>0</v>
      </c>
      <c r="CZ923" s="693">
        <f>SUMIFS(Imput[[Importe Neto]:[Importe Neto]],Imput[[C. Imp.]:[C. Imp.]],$D923,Imput[[PERIODO Imp.]:[PERIODO Imp.]],CZ$9)</f>
        <v>0</v>
      </c>
      <c r="DA923" s="693">
        <f>SUMIFS(Imput[[Importe Neto]:[Importe Neto]],Imput[[C. Imp.]:[C. Imp.]],$D923,Imput[[PERIODO Imp.]:[PERIODO Imp.]],DA$9)</f>
        <v>0</v>
      </c>
      <c r="DB923" s="693">
        <f>SUMIFS(Imput[[Importe Neto]:[Importe Neto]],Imput[[C. Imp.]:[C. Imp.]],$D923,Imput[[PERIODO Imp.]:[PERIODO Imp.]],DB$9)</f>
        <v>0</v>
      </c>
      <c r="DC923" s="693">
        <f>SUMIFS(Imput[[Importe Neto]:[Importe Neto]],Imput[[C. Imp.]:[C. Imp.]],$D923,Imput[[PERIODO Imp.]:[PERIODO Imp.]],DC$9)</f>
        <v>0</v>
      </c>
      <c r="DD923" s="693">
        <f>SUMIFS(Imput[[Importe Neto]:[Importe Neto]],Imput[[C. Imp.]:[C. Imp.]],$D923,Imput[[PERIODO Imp.]:[PERIODO Imp.]],DD$9)</f>
        <v>0</v>
      </c>
      <c r="DE923" s="693">
        <f>SUMIFS(Imput[[Importe Neto]:[Importe Neto]],Imput[[C. Imp.]:[C. Imp.]],$D923,Imput[[PERIODO Imp.]:[PERIODO Imp.]],DE$9)</f>
        <v>0</v>
      </c>
      <c r="DF923" s="693">
        <f>SUMIFS(Imput[[Importe Neto]:[Importe Neto]],Imput[[C. Imp.]:[C. Imp.]],$D923,Imput[[PERIODO Imp.]:[PERIODO Imp.]],DF$9)</f>
        <v>0</v>
      </c>
      <c r="DG923" s="693">
        <f>SUMIFS(Imput[[Importe Neto]:[Importe Neto]],Imput[[C. Imp.]:[C. Imp.]],$D923,Imput[[PERIODO Imp.]:[PERIODO Imp.]],DG$9)</f>
        <v>0</v>
      </c>
      <c r="DH923" s="694">
        <f>SUMIFS(Imput[[Importe Neto]:[Importe Neto]],Imput[[C. Imp.]:[C. Imp.]],$D923,Imput[[PERIODO Imp.]:[PERIODO Imp.]],DH$9)</f>
        <v>0</v>
      </c>
    </row>
    <row r="924" spans="1:112" s="649" customFormat="1" ht="14.4" hidden="1" outlineLevel="1" thickBot="1" x14ac:dyDescent="0.35">
      <c r="A924" s="652" t="str">
        <f t="shared" si="314"/>
        <v/>
      </c>
      <c r="B924" s="652"/>
      <c r="C924" s="685"/>
      <c r="D924" s="686" t="s">
        <v>2888</v>
      </c>
      <c r="E924" s="686"/>
      <c r="F924" s="720"/>
      <c r="G924" s="688"/>
      <c r="H924" s="689"/>
      <c r="I924" s="851" t="str">
        <f t="shared" si="315"/>
        <v/>
      </c>
      <c r="J924" s="517" t="str">
        <f t="shared" si="316"/>
        <v/>
      </c>
      <c r="K924" s="667"/>
      <c r="L924" s="858"/>
      <c r="M924" s="859"/>
      <c r="N924" s="859"/>
      <c r="O924" s="859"/>
      <c r="P924" s="859"/>
      <c r="Q924" s="859"/>
      <c r="R924" s="859"/>
      <c r="S924" s="859"/>
      <c r="T924" s="859"/>
      <c r="U924" s="859"/>
      <c r="V924" s="859"/>
      <c r="W924" s="859"/>
      <c r="X924" s="859"/>
      <c r="Y924" s="859"/>
      <c r="Z924" s="860"/>
      <c r="AA924" s="860"/>
      <c r="AB924" s="860"/>
      <c r="AC924" s="860"/>
      <c r="AD924" s="860"/>
      <c r="AE924" s="860"/>
      <c r="AF924" s="860"/>
      <c r="AG924" s="860"/>
      <c r="AH924" s="860"/>
      <c r="AI924" s="860"/>
      <c r="AJ924" s="860"/>
      <c r="AK924" s="860"/>
      <c r="AL924" s="860"/>
      <c r="AM924" s="860"/>
      <c r="AN924" s="860"/>
      <c r="AO924" s="860"/>
      <c r="AP924" s="860"/>
      <c r="AQ924" s="860"/>
      <c r="AR924" s="860"/>
      <c r="AS924" s="860"/>
      <c r="AT924" s="860"/>
      <c r="AU924" s="860"/>
      <c r="AV924" s="860"/>
      <c r="AW924" s="860"/>
      <c r="AX924" s="860"/>
      <c r="AY924" s="860"/>
      <c r="AZ924" s="860"/>
      <c r="BA924" s="860"/>
      <c r="BB924" s="860"/>
      <c r="BC924" s="860"/>
      <c r="BD924" s="860"/>
      <c r="BE924" s="860"/>
      <c r="BF924" s="860"/>
      <c r="BG924" s="860"/>
      <c r="BH924" s="668"/>
      <c r="BI924" s="654"/>
      <c r="BJ924" s="690">
        <f t="shared" si="317"/>
        <v>0</v>
      </c>
      <c r="BK924" s="691">
        <f t="shared" si="318"/>
        <v>0</v>
      </c>
      <c r="BL924" s="654"/>
      <c r="BM924" s="692">
        <f>SUMIFS(Imput[[Importe Neto]:[Importe Neto]],Imput[[C. Imp.]:[C. Imp.]],$D924,Imput[[PERIODO Imp.]:[PERIODO Imp.]],BM$9)</f>
        <v>0</v>
      </c>
      <c r="BN924" s="693">
        <f>SUMIFS(Imput[[Importe Neto]:[Importe Neto]],Imput[[C. Imp.]:[C. Imp.]],$D924,Imput[[PERIODO Imp.]:[PERIODO Imp.]],BN$9)</f>
        <v>0</v>
      </c>
      <c r="BO924" s="693">
        <f>SUMIFS(Imput[[Importe Neto]:[Importe Neto]],Imput[[C. Imp.]:[C. Imp.]],$D924,Imput[[PERIODO Imp.]:[PERIODO Imp.]],BO$9)</f>
        <v>0</v>
      </c>
      <c r="BP924" s="693">
        <f>SUMIFS(Imput[[Importe Neto]:[Importe Neto]],Imput[[C. Imp.]:[C. Imp.]],$D924,Imput[[PERIODO Imp.]:[PERIODO Imp.]],BP$9)</f>
        <v>0</v>
      </c>
      <c r="BQ924" s="693">
        <f>SUMIFS(Imput[[Importe Neto]:[Importe Neto]],Imput[[C. Imp.]:[C. Imp.]],$D924,Imput[[PERIODO Imp.]:[PERIODO Imp.]],BQ$9)</f>
        <v>0</v>
      </c>
      <c r="BR924" s="693">
        <f>SUMIFS(Imput[[Importe Neto]:[Importe Neto]],Imput[[C. Imp.]:[C. Imp.]],$D924,Imput[[PERIODO Imp.]:[PERIODO Imp.]],BR$9)</f>
        <v>0</v>
      </c>
      <c r="BS924" s="693">
        <f>SUMIFS(Imput[[Importe Neto]:[Importe Neto]],Imput[[C. Imp.]:[C. Imp.]],$D924,Imput[[PERIODO Imp.]:[PERIODO Imp.]],BS$9)</f>
        <v>0</v>
      </c>
      <c r="BT924" s="693">
        <f>SUMIFS(Imput[[Importe Neto]:[Importe Neto]],Imput[[C. Imp.]:[C. Imp.]],$D924,Imput[[PERIODO Imp.]:[PERIODO Imp.]],BT$9)</f>
        <v>0</v>
      </c>
      <c r="BU924" s="693">
        <f>SUMIFS(Imput[[Importe Neto]:[Importe Neto]],Imput[[C. Imp.]:[C. Imp.]],$D924,Imput[[PERIODO Imp.]:[PERIODO Imp.]],BU$9)</f>
        <v>0</v>
      </c>
      <c r="BV924" s="693">
        <f>SUMIFS(Imput[[Importe Neto]:[Importe Neto]],Imput[[C. Imp.]:[C. Imp.]],$D924,Imput[[PERIODO Imp.]:[PERIODO Imp.]],BV$9)</f>
        <v>0</v>
      </c>
      <c r="BW924" s="693">
        <f>SUMIFS(Imput[[Importe Neto]:[Importe Neto]],Imput[[C. Imp.]:[C. Imp.]],$D924,Imput[[PERIODO Imp.]:[PERIODO Imp.]],BW$9)</f>
        <v>0</v>
      </c>
      <c r="BX924" s="693">
        <f>SUMIFS(Imput[[Importe Neto]:[Importe Neto]],Imput[[C. Imp.]:[C. Imp.]],$D924,Imput[[PERIODO Imp.]:[PERIODO Imp.]],BX$9)</f>
        <v>0</v>
      </c>
      <c r="BY924" s="693">
        <f>SUMIFS(Imput[[Importe Neto]:[Importe Neto]],Imput[[C. Imp.]:[C. Imp.]],$D924,Imput[[PERIODO Imp.]:[PERIODO Imp.]],BY$9)</f>
        <v>0</v>
      </c>
      <c r="BZ924" s="693">
        <f>SUMIFS(Imput[[Importe Neto]:[Importe Neto]],Imput[[C. Imp.]:[C. Imp.]],$D924,Imput[[PERIODO Imp.]:[PERIODO Imp.]],BZ$9)</f>
        <v>0</v>
      </c>
      <c r="CA924" s="693">
        <f>SUMIFS(Imput[[Importe Neto]:[Importe Neto]],Imput[[C. Imp.]:[C. Imp.]],$D924,Imput[[PERIODO Imp.]:[PERIODO Imp.]],CA$9)</f>
        <v>0</v>
      </c>
      <c r="CB924" s="693">
        <f>SUMIFS(Imput[[Importe Neto]:[Importe Neto]],Imput[[C. Imp.]:[C. Imp.]],$D924,Imput[[PERIODO Imp.]:[PERIODO Imp.]],CB$9)</f>
        <v>0</v>
      </c>
      <c r="CC924" s="693">
        <f>SUMIFS(Imput[[Importe Neto]:[Importe Neto]],Imput[[C. Imp.]:[C. Imp.]],$D924,Imput[[PERIODO Imp.]:[PERIODO Imp.]],CC$9)</f>
        <v>0</v>
      </c>
      <c r="CD924" s="693">
        <f>SUMIFS(Imput[[Importe Neto]:[Importe Neto]],Imput[[C. Imp.]:[C. Imp.]],$D924,Imput[[PERIODO Imp.]:[PERIODO Imp.]],CD$9)</f>
        <v>0</v>
      </c>
      <c r="CE924" s="693">
        <f>SUMIFS(Imput[[Importe Neto]:[Importe Neto]],Imput[[C. Imp.]:[C. Imp.]],$D924,Imput[[PERIODO Imp.]:[PERIODO Imp.]],CE$9)</f>
        <v>0</v>
      </c>
      <c r="CF924" s="693">
        <f>SUMIFS(Imput[[Importe Neto]:[Importe Neto]],Imput[[C. Imp.]:[C. Imp.]],$D924,Imput[[PERIODO Imp.]:[PERIODO Imp.]],CF$9)</f>
        <v>0</v>
      </c>
      <c r="CG924" s="693">
        <f>SUMIFS(Imput[[Importe Neto]:[Importe Neto]],Imput[[C. Imp.]:[C. Imp.]],$D924,Imput[[PERIODO Imp.]:[PERIODO Imp.]],CG$9)</f>
        <v>0</v>
      </c>
      <c r="CH924" s="693">
        <f>SUMIFS(Imput[[Importe Neto]:[Importe Neto]],Imput[[C. Imp.]:[C. Imp.]],$D924,Imput[[PERIODO Imp.]:[PERIODO Imp.]],CH$9)</f>
        <v>0</v>
      </c>
      <c r="CI924" s="693">
        <f>SUMIFS(Imput[[Importe Neto]:[Importe Neto]],Imput[[C. Imp.]:[C. Imp.]],$D924,Imput[[PERIODO Imp.]:[PERIODO Imp.]],CI$9)</f>
        <v>0</v>
      </c>
      <c r="CJ924" s="693">
        <f>SUMIFS(Imput[[Importe Neto]:[Importe Neto]],Imput[[C. Imp.]:[C. Imp.]],$D924,Imput[[PERIODO Imp.]:[PERIODO Imp.]],CJ$9)</f>
        <v>0</v>
      </c>
      <c r="CK924" s="693">
        <f>SUMIFS(Imput[[Importe Neto]:[Importe Neto]],Imput[[C. Imp.]:[C. Imp.]],$D924,Imput[[PERIODO Imp.]:[PERIODO Imp.]],CK$9)</f>
        <v>0</v>
      </c>
      <c r="CL924" s="693">
        <f>SUMIFS(Imput[[Importe Neto]:[Importe Neto]],Imput[[C. Imp.]:[C. Imp.]],$D924,Imput[[PERIODO Imp.]:[PERIODO Imp.]],CL$9)</f>
        <v>0</v>
      </c>
      <c r="CM924" s="693">
        <f>SUMIFS(Imput[[Importe Neto]:[Importe Neto]],Imput[[C. Imp.]:[C. Imp.]],$D924,Imput[[PERIODO Imp.]:[PERIODO Imp.]],CM$9)</f>
        <v>0</v>
      </c>
      <c r="CN924" s="693">
        <f>SUMIFS(Imput[[Importe Neto]:[Importe Neto]],Imput[[C. Imp.]:[C. Imp.]],$D924,Imput[[PERIODO Imp.]:[PERIODO Imp.]],CN$9)</f>
        <v>0</v>
      </c>
      <c r="CO924" s="693">
        <f>SUMIFS(Imput[[Importe Neto]:[Importe Neto]],Imput[[C. Imp.]:[C. Imp.]],$D924,Imput[[PERIODO Imp.]:[PERIODO Imp.]],CO$9)</f>
        <v>0</v>
      </c>
      <c r="CP924" s="693">
        <f>SUMIFS(Imput[[Importe Neto]:[Importe Neto]],Imput[[C. Imp.]:[C. Imp.]],$D924,Imput[[PERIODO Imp.]:[PERIODO Imp.]],CP$9)</f>
        <v>0</v>
      </c>
      <c r="CQ924" s="693">
        <f>SUMIFS(Imput[[Importe Neto]:[Importe Neto]],Imput[[C. Imp.]:[C. Imp.]],$D924,Imput[[PERIODO Imp.]:[PERIODO Imp.]],CQ$9)</f>
        <v>0</v>
      </c>
      <c r="CR924" s="693">
        <f>SUMIFS(Imput[[Importe Neto]:[Importe Neto]],Imput[[C. Imp.]:[C. Imp.]],$D924,Imput[[PERIODO Imp.]:[PERIODO Imp.]],CR$9)</f>
        <v>0</v>
      </c>
      <c r="CS924" s="693">
        <f>SUMIFS(Imput[[Importe Neto]:[Importe Neto]],Imput[[C. Imp.]:[C. Imp.]],$D924,Imput[[PERIODO Imp.]:[PERIODO Imp.]],CS$9)</f>
        <v>0</v>
      </c>
      <c r="CT924" s="693">
        <f>SUMIFS(Imput[[Importe Neto]:[Importe Neto]],Imput[[C. Imp.]:[C. Imp.]],$D924,Imput[[PERIODO Imp.]:[PERIODO Imp.]],CT$9)</f>
        <v>0</v>
      </c>
      <c r="CU924" s="693">
        <f>SUMIFS(Imput[[Importe Neto]:[Importe Neto]],Imput[[C. Imp.]:[C. Imp.]],$D924,Imput[[PERIODO Imp.]:[PERIODO Imp.]],CU$9)</f>
        <v>0</v>
      </c>
      <c r="CV924" s="693">
        <f>SUMIFS(Imput[[Importe Neto]:[Importe Neto]],Imput[[C. Imp.]:[C. Imp.]],$D924,Imput[[PERIODO Imp.]:[PERIODO Imp.]],CV$9)</f>
        <v>0</v>
      </c>
      <c r="CW924" s="693">
        <f>SUMIFS(Imput[[Importe Neto]:[Importe Neto]],Imput[[C. Imp.]:[C. Imp.]],$D924,Imput[[PERIODO Imp.]:[PERIODO Imp.]],CW$9)</f>
        <v>0</v>
      </c>
      <c r="CX924" s="693">
        <f>SUMIFS(Imput[[Importe Neto]:[Importe Neto]],Imput[[C. Imp.]:[C. Imp.]],$D924,Imput[[PERIODO Imp.]:[PERIODO Imp.]],CX$9)</f>
        <v>0</v>
      </c>
      <c r="CY924" s="693">
        <f>SUMIFS(Imput[[Importe Neto]:[Importe Neto]],Imput[[C. Imp.]:[C. Imp.]],$D924,Imput[[PERIODO Imp.]:[PERIODO Imp.]],CY$9)</f>
        <v>0</v>
      </c>
      <c r="CZ924" s="693">
        <f>SUMIFS(Imput[[Importe Neto]:[Importe Neto]],Imput[[C. Imp.]:[C. Imp.]],$D924,Imput[[PERIODO Imp.]:[PERIODO Imp.]],CZ$9)</f>
        <v>0</v>
      </c>
      <c r="DA924" s="693">
        <f>SUMIFS(Imput[[Importe Neto]:[Importe Neto]],Imput[[C. Imp.]:[C. Imp.]],$D924,Imput[[PERIODO Imp.]:[PERIODO Imp.]],DA$9)</f>
        <v>0</v>
      </c>
      <c r="DB924" s="693">
        <f>SUMIFS(Imput[[Importe Neto]:[Importe Neto]],Imput[[C. Imp.]:[C. Imp.]],$D924,Imput[[PERIODO Imp.]:[PERIODO Imp.]],DB$9)</f>
        <v>0</v>
      </c>
      <c r="DC924" s="693">
        <f>SUMIFS(Imput[[Importe Neto]:[Importe Neto]],Imput[[C. Imp.]:[C. Imp.]],$D924,Imput[[PERIODO Imp.]:[PERIODO Imp.]],DC$9)</f>
        <v>0</v>
      </c>
      <c r="DD924" s="693">
        <f>SUMIFS(Imput[[Importe Neto]:[Importe Neto]],Imput[[C. Imp.]:[C. Imp.]],$D924,Imput[[PERIODO Imp.]:[PERIODO Imp.]],DD$9)</f>
        <v>0</v>
      </c>
      <c r="DE924" s="693">
        <f>SUMIFS(Imput[[Importe Neto]:[Importe Neto]],Imput[[C. Imp.]:[C. Imp.]],$D924,Imput[[PERIODO Imp.]:[PERIODO Imp.]],DE$9)</f>
        <v>0</v>
      </c>
      <c r="DF924" s="693">
        <f>SUMIFS(Imput[[Importe Neto]:[Importe Neto]],Imput[[C. Imp.]:[C. Imp.]],$D924,Imput[[PERIODO Imp.]:[PERIODO Imp.]],DF$9)</f>
        <v>0</v>
      </c>
      <c r="DG924" s="693">
        <f>SUMIFS(Imput[[Importe Neto]:[Importe Neto]],Imput[[C. Imp.]:[C. Imp.]],$D924,Imput[[PERIODO Imp.]:[PERIODO Imp.]],DG$9)</f>
        <v>0</v>
      </c>
      <c r="DH924" s="694">
        <f>SUMIFS(Imput[[Importe Neto]:[Importe Neto]],Imput[[C. Imp.]:[C. Imp.]],$D924,Imput[[PERIODO Imp.]:[PERIODO Imp.]],DH$9)</f>
        <v>0</v>
      </c>
    </row>
    <row r="925" spans="1:112" s="649" customFormat="1" ht="14.4" hidden="1" outlineLevel="1" thickBot="1" x14ac:dyDescent="0.35">
      <c r="A925" s="652" t="str">
        <f t="shared" si="314"/>
        <v/>
      </c>
      <c r="B925" s="652"/>
      <c r="C925" s="685"/>
      <c r="D925" s="686" t="s">
        <v>2889</v>
      </c>
      <c r="E925" s="686"/>
      <c r="F925" s="720"/>
      <c r="G925" s="688"/>
      <c r="H925" s="689"/>
      <c r="I925" s="851" t="str">
        <f t="shared" si="315"/>
        <v/>
      </c>
      <c r="J925" s="517" t="str">
        <f t="shared" si="316"/>
        <v/>
      </c>
      <c r="K925" s="667"/>
      <c r="L925" s="858"/>
      <c r="M925" s="859"/>
      <c r="N925" s="859"/>
      <c r="O925" s="859"/>
      <c r="P925" s="859"/>
      <c r="Q925" s="859"/>
      <c r="R925" s="859"/>
      <c r="S925" s="859"/>
      <c r="T925" s="859"/>
      <c r="U925" s="859"/>
      <c r="V925" s="859"/>
      <c r="W925" s="859"/>
      <c r="X925" s="859"/>
      <c r="Y925" s="859"/>
      <c r="Z925" s="860"/>
      <c r="AA925" s="860"/>
      <c r="AB925" s="860"/>
      <c r="AC925" s="860"/>
      <c r="AD925" s="860"/>
      <c r="AE925" s="860"/>
      <c r="AF925" s="860"/>
      <c r="AG925" s="860"/>
      <c r="AH925" s="860"/>
      <c r="AI925" s="860"/>
      <c r="AJ925" s="860"/>
      <c r="AK925" s="860"/>
      <c r="AL925" s="860"/>
      <c r="AM925" s="860"/>
      <c r="AN925" s="860"/>
      <c r="AO925" s="860"/>
      <c r="AP925" s="860"/>
      <c r="AQ925" s="860"/>
      <c r="AR925" s="860"/>
      <c r="AS925" s="860"/>
      <c r="AT925" s="860"/>
      <c r="AU925" s="860"/>
      <c r="AV925" s="860"/>
      <c r="AW925" s="860"/>
      <c r="AX925" s="860"/>
      <c r="AY925" s="860"/>
      <c r="AZ925" s="860"/>
      <c r="BA925" s="860"/>
      <c r="BB925" s="860"/>
      <c r="BC925" s="860"/>
      <c r="BD925" s="860"/>
      <c r="BE925" s="860"/>
      <c r="BF925" s="860"/>
      <c r="BG925" s="860"/>
      <c r="BH925" s="668"/>
      <c r="BI925" s="654"/>
      <c r="BJ925" s="690">
        <f t="shared" si="317"/>
        <v>0</v>
      </c>
      <c r="BK925" s="691">
        <f t="shared" si="318"/>
        <v>0</v>
      </c>
      <c r="BL925" s="654"/>
      <c r="BM925" s="692">
        <f>SUMIFS(Imput[[Importe Neto]:[Importe Neto]],Imput[[C. Imp.]:[C. Imp.]],$D925,Imput[[PERIODO Imp.]:[PERIODO Imp.]],BM$9)</f>
        <v>0</v>
      </c>
      <c r="BN925" s="693">
        <f>SUMIFS(Imput[[Importe Neto]:[Importe Neto]],Imput[[C. Imp.]:[C. Imp.]],$D925,Imput[[PERIODO Imp.]:[PERIODO Imp.]],BN$9)</f>
        <v>0</v>
      </c>
      <c r="BO925" s="693">
        <f>SUMIFS(Imput[[Importe Neto]:[Importe Neto]],Imput[[C. Imp.]:[C. Imp.]],$D925,Imput[[PERIODO Imp.]:[PERIODO Imp.]],BO$9)</f>
        <v>0</v>
      </c>
      <c r="BP925" s="693">
        <f>SUMIFS(Imput[[Importe Neto]:[Importe Neto]],Imput[[C. Imp.]:[C. Imp.]],$D925,Imput[[PERIODO Imp.]:[PERIODO Imp.]],BP$9)</f>
        <v>0</v>
      </c>
      <c r="BQ925" s="693">
        <f>SUMIFS(Imput[[Importe Neto]:[Importe Neto]],Imput[[C. Imp.]:[C. Imp.]],$D925,Imput[[PERIODO Imp.]:[PERIODO Imp.]],BQ$9)</f>
        <v>0</v>
      </c>
      <c r="BR925" s="693">
        <f>SUMIFS(Imput[[Importe Neto]:[Importe Neto]],Imput[[C. Imp.]:[C. Imp.]],$D925,Imput[[PERIODO Imp.]:[PERIODO Imp.]],BR$9)</f>
        <v>0</v>
      </c>
      <c r="BS925" s="693">
        <f>SUMIFS(Imput[[Importe Neto]:[Importe Neto]],Imput[[C. Imp.]:[C. Imp.]],$D925,Imput[[PERIODO Imp.]:[PERIODO Imp.]],BS$9)</f>
        <v>0</v>
      </c>
      <c r="BT925" s="693">
        <f>SUMIFS(Imput[[Importe Neto]:[Importe Neto]],Imput[[C. Imp.]:[C. Imp.]],$D925,Imput[[PERIODO Imp.]:[PERIODO Imp.]],BT$9)</f>
        <v>0</v>
      </c>
      <c r="BU925" s="693">
        <f>SUMIFS(Imput[[Importe Neto]:[Importe Neto]],Imput[[C. Imp.]:[C. Imp.]],$D925,Imput[[PERIODO Imp.]:[PERIODO Imp.]],BU$9)</f>
        <v>0</v>
      </c>
      <c r="BV925" s="693">
        <f>SUMIFS(Imput[[Importe Neto]:[Importe Neto]],Imput[[C. Imp.]:[C. Imp.]],$D925,Imput[[PERIODO Imp.]:[PERIODO Imp.]],BV$9)</f>
        <v>0</v>
      </c>
      <c r="BW925" s="693">
        <f>SUMIFS(Imput[[Importe Neto]:[Importe Neto]],Imput[[C. Imp.]:[C. Imp.]],$D925,Imput[[PERIODO Imp.]:[PERIODO Imp.]],BW$9)</f>
        <v>0</v>
      </c>
      <c r="BX925" s="693">
        <f>SUMIFS(Imput[[Importe Neto]:[Importe Neto]],Imput[[C. Imp.]:[C. Imp.]],$D925,Imput[[PERIODO Imp.]:[PERIODO Imp.]],BX$9)</f>
        <v>0</v>
      </c>
      <c r="BY925" s="693">
        <f>SUMIFS(Imput[[Importe Neto]:[Importe Neto]],Imput[[C. Imp.]:[C. Imp.]],$D925,Imput[[PERIODO Imp.]:[PERIODO Imp.]],BY$9)</f>
        <v>0</v>
      </c>
      <c r="BZ925" s="693">
        <f>SUMIFS(Imput[[Importe Neto]:[Importe Neto]],Imput[[C. Imp.]:[C. Imp.]],$D925,Imput[[PERIODO Imp.]:[PERIODO Imp.]],BZ$9)</f>
        <v>0</v>
      </c>
      <c r="CA925" s="693">
        <f>SUMIFS(Imput[[Importe Neto]:[Importe Neto]],Imput[[C. Imp.]:[C. Imp.]],$D925,Imput[[PERIODO Imp.]:[PERIODO Imp.]],CA$9)</f>
        <v>0</v>
      </c>
      <c r="CB925" s="693">
        <f>SUMIFS(Imput[[Importe Neto]:[Importe Neto]],Imput[[C. Imp.]:[C. Imp.]],$D925,Imput[[PERIODO Imp.]:[PERIODO Imp.]],CB$9)</f>
        <v>0</v>
      </c>
      <c r="CC925" s="693">
        <f>SUMIFS(Imput[[Importe Neto]:[Importe Neto]],Imput[[C. Imp.]:[C. Imp.]],$D925,Imput[[PERIODO Imp.]:[PERIODO Imp.]],CC$9)</f>
        <v>0</v>
      </c>
      <c r="CD925" s="693">
        <f>SUMIFS(Imput[[Importe Neto]:[Importe Neto]],Imput[[C. Imp.]:[C. Imp.]],$D925,Imput[[PERIODO Imp.]:[PERIODO Imp.]],CD$9)</f>
        <v>0</v>
      </c>
      <c r="CE925" s="693">
        <f>SUMIFS(Imput[[Importe Neto]:[Importe Neto]],Imput[[C. Imp.]:[C. Imp.]],$D925,Imput[[PERIODO Imp.]:[PERIODO Imp.]],CE$9)</f>
        <v>0</v>
      </c>
      <c r="CF925" s="693">
        <f>SUMIFS(Imput[[Importe Neto]:[Importe Neto]],Imput[[C. Imp.]:[C. Imp.]],$D925,Imput[[PERIODO Imp.]:[PERIODO Imp.]],CF$9)</f>
        <v>0</v>
      </c>
      <c r="CG925" s="693">
        <f>SUMIFS(Imput[[Importe Neto]:[Importe Neto]],Imput[[C. Imp.]:[C. Imp.]],$D925,Imput[[PERIODO Imp.]:[PERIODO Imp.]],CG$9)</f>
        <v>0</v>
      </c>
      <c r="CH925" s="693">
        <f>SUMIFS(Imput[[Importe Neto]:[Importe Neto]],Imput[[C. Imp.]:[C. Imp.]],$D925,Imput[[PERIODO Imp.]:[PERIODO Imp.]],CH$9)</f>
        <v>0</v>
      </c>
      <c r="CI925" s="693">
        <f>SUMIFS(Imput[[Importe Neto]:[Importe Neto]],Imput[[C. Imp.]:[C. Imp.]],$D925,Imput[[PERIODO Imp.]:[PERIODO Imp.]],CI$9)</f>
        <v>0</v>
      </c>
      <c r="CJ925" s="693">
        <f>SUMIFS(Imput[[Importe Neto]:[Importe Neto]],Imput[[C. Imp.]:[C. Imp.]],$D925,Imput[[PERIODO Imp.]:[PERIODO Imp.]],CJ$9)</f>
        <v>0</v>
      </c>
      <c r="CK925" s="693">
        <f>SUMIFS(Imput[[Importe Neto]:[Importe Neto]],Imput[[C. Imp.]:[C. Imp.]],$D925,Imput[[PERIODO Imp.]:[PERIODO Imp.]],CK$9)</f>
        <v>0</v>
      </c>
      <c r="CL925" s="693">
        <f>SUMIFS(Imput[[Importe Neto]:[Importe Neto]],Imput[[C. Imp.]:[C. Imp.]],$D925,Imput[[PERIODO Imp.]:[PERIODO Imp.]],CL$9)</f>
        <v>0</v>
      </c>
      <c r="CM925" s="693">
        <f>SUMIFS(Imput[[Importe Neto]:[Importe Neto]],Imput[[C. Imp.]:[C. Imp.]],$D925,Imput[[PERIODO Imp.]:[PERIODO Imp.]],CM$9)</f>
        <v>0</v>
      </c>
      <c r="CN925" s="693">
        <f>SUMIFS(Imput[[Importe Neto]:[Importe Neto]],Imput[[C. Imp.]:[C. Imp.]],$D925,Imput[[PERIODO Imp.]:[PERIODO Imp.]],CN$9)</f>
        <v>0</v>
      </c>
      <c r="CO925" s="693">
        <f>SUMIFS(Imput[[Importe Neto]:[Importe Neto]],Imput[[C. Imp.]:[C. Imp.]],$D925,Imput[[PERIODO Imp.]:[PERIODO Imp.]],CO$9)</f>
        <v>0</v>
      </c>
      <c r="CP925" s="693">
        <f>SUMIFS(Imput[[Importe Neto]:[Importe Neto]],Imput[[C. Imp.]:[C. Imp.]],$D925,Imput[[PERIODO Imp.]:[PERIODO Imp.]],CP$9)</f>
        <v>0</v>
      </c>
      <c r="CQ925" s="693">
        <f>SUMIFS(Imput[[Importe Neto]:[Importe Neto]],Imput[[C. Imp.]:[C. Imp.]],$D925,Imput[[PERIODO Imp.]:[PERIODO Imp.]],CQ$9)</f>
        <v>0</v>
      </c>
      <c r="CR925" s="693">
        <f>SUMIFS(Imput[[Importe Neto]:[Importe Neto]],Imput[[C. Imp.]:[C. Imp.]],$D925,Imput[[PERIODO Imp.]:[PERIODO Imp.]],CR$9)</f>
        <v>0</v>
      </c>
      <c r="CS925" s="693">
        <f>SUMIFS(Imput[[Importe Neto]:[Importe Neto]],Imput[[C. Imp.]:[C. Imp.]],$D925,Imput[[PERIODO Imp.]:[PERIODO Imp.]],CS$9)</f>
        <v>0</v>
      </c>
      <c r="CT925" s="693">
        <f>SUMIFS(Imput[[Importe Neto]:[Importe Neto]],Imput[[C. Imp.]:[C. Imp.]],$D925,Imput[[PERIODO Imp.]:[PERIODO Imp.]],CT$9)</f>
        <v>0</v>
      </c>
      <c r="CU925" s="693">
        <f>SUMIFS(Imput[[Importe Neto]:[Importe Neto]],Imput[[C. Imp.]:[C. Imp.]],$D925,Imput[[PERIODO Imp.]:[PERIODO Imp.]],CU$9)</f>
        <v>0</v>
      </c>
      <c r="CV925" s="693">
        <f>SUMIFS(Imput[[Importe Neto]:[Importe Neto]],Imput[[C. Imp.]:[C. Imp.]],$D925,Imput[[PERIODO Imp.]:[PERIODO Imp.]],CV$9)</f>
        <v>0</v>
      </c>
      <c r="CW925" s="693">
        <f>SUMIFS(Imput[[Importe Neto]:[Importe Neto]],Imput[[C. Imp.]:[C. Imp.]],$D925,Imput[[PERIODO Imp.]:[PERIODO Imp.]],CW$9)</f>
        <v>0</v>
      </c>
      <c r="CX925" s="693">
        <f>SUMIFS(Imput[[Importe Neto]:[Importe Neto]],Imput[[C. Imp.]:[C. Imp.]],$D925,Imput[[PERIODO Imp.]:[PERIODO Imp.]],CX$9)</f>
        <v>0</v>
      </c>
      <c r="CY925" s="693">
        <f>SUMIFS(Imput[[Importe Neto]:[Importe Neto]],Imput[[C. Imp.]:[C. Imp.]],$D925,Imput[[PERIODO Imp.]:[PERIODO Imp.]],CY$9)</f>
        <v>0</v>
      </c>
      <c r="CZ925" s="693">
        <f>SUMIFS(Imput[[Importe Neto]:[Importe Neto]],Imput[[C. Imp.]:[C. Imp.]],$D925,Imput[[PERIODO Imp.]:[PERIODO Imp.]],CZ$9)</f>
        <v>0</v>
      </c>
      <c r="DA925" s="693">
        <f>SUMIFS(Imput[[Importe Neto]:[Importe Neto]],Imput[[C. Imp.]:[C. Imp.]],$D925,Imput[[PERIODO Imp.]:[PERIODO Imp.]],DA$9)</f>
        <v>0</v>
      </c>
      <c r="DB925" s="693">
        <f>SUMIFS(Imput[[Importe Neto]:[Importe Neto]],Imput[[C. Imp.]:[C. Imp.]],$D925,Imput[[PERIODO Imp.]:[PERIODO Imp.]],DB$9)</f>
        <v>0</v>
      </c>
      <c r="DC925" s="693">
        <f>SUMIFS(Imput[[Importe Neto]:[Importe Neto]],Imput[[C. Imp.]:[C. Imp.]],$D925,Imput[[PERIODO Imp.]:[PERIODO Imp.]],DC$9)</f>
        <v>0</v>
      </c>
      <c r="DD925" s="693">
        <f>SUMIFS(Imput[[Importe Neto]:[Importe Neto]],Imput[[C. Imp.]:[C. Imp.]],$D925,Imput[[PERIODO Imp.]:[PERIODO Imp.]],DD$9)</f>
        <v>0</v>
      </c>
      <c r="DE925" s="693">
        <f>SUMIFS(Imput[[Importe Neto]:[Importe Neto]],Imput[[C. Imp.]:[C. Imp.]],$D925,Imput[[PERIODO Imp.]:[PERIODO Imp.]],DE$9)</f>
        <v>0</v>
      </c>
      <c r="DF925" s="693">
        <f>SUMIFS(Imput[[Importe Neto]:[Importe Neto]],Imput[[C. Imp.]:[C. Imp.]],$D925,Imput[[PERIODO Imp.]:[PERIODO Imp.]],DF$9)</f>
        <v>0</v>
      </c>
      <c r="DG925" s="693">
        <f>SUMIFS(Imput[[Importe Neto]:[Importe Neto]],Imput[[C. Imp.]:[C. Imp.]],$D925,Imput[[PERIODO Imp.]:[PERIODO Imp.]],DG$9)</f>
        <v>0</v>
      </c>
      <c r="DH925" s="694">
        <f>SUMIFS(Imput[[Importe Neto]:[Importe Neto]],Imput[[C. Imp.]:[C. Imp.]],$D925,Imput[[PERIODO Imp.]:[PERIODO Imp.]],DH$9)</f>
        <v>0</v>
      </c>
    </row>
    <row r="926" spans="1:112" s="649" customFormat="1" ht="14.4" hidden="1" outlineLevel="1" thickBot="1" x14ac:dyDescent="0.35">
      <c r="A926" s="652" t="str">
        <f t="shared" si="314"/>
        <v/>
      </c>
      <c r="B926" s="652"/>
      <c r="C926" s="685"/>
      <c r="D926" s="686" t="s">
        <v>2890</v>
      </c>
      <c r="E926" s="686"/>
      <c r="F926" s="720"/>
      <c r="G926" s="688"/>
      <c r="H926" s="689"/>
      <c r="I926" s="851" t="str">
        <f t="shared" si="315"/>
        <v/>
      </c>
      <c r="J926" s="517" t="str">
        <f t="shared" si="316"/>
        <v/>
      </c>
      <c r="K926" s="667"/>
      <c r="L926" s="858"/>
      <c r="M926" s="859"/>
      <c r="N926" s="859"/>
      <c r="O926" s="859"/>
      <c r="P926" s="859"/>
      <c r="Q926" s="859"/>
      <c r="R926" s="859"/>
      <c r="S926" s="859"/>
      <c r="T926" s="859"/>
      <c r="U926" s="859"/>
      <c r="V926" s="859"/>
      <c r="W926" s="859"/>
      <c r="X926" s="859"/>
      <c r="Y926" s="859"/>
      <c r="Z926" s="860"/>
      <c r="AA926" s="860"/>
      <c r="AB926" s="860"/>
      <c r="AC926" s="860"/>
      <c r="AD926" s="860"/>
      <c r="AE926" s="860"/>
      <c r="AF926" s="860"/>
      <c r="AG926" s="860"/>
      <c r="AH926" s="860"/>
      <c r="AI926" s="860"/>
      <c r="AJ926" s="860"/>
      <c r="AK926" s="860"/>
      <c r="AL926" s="860"/>
      <c r="AM926" s="860"/>
      <c r="AN926" s="860"/>
      <c r="AO926" s="860"/>
      <c r="AP926" s="860"/>
      <c r="AQ926" s="860"/>
      <c r="AR926" s="860"/>
      <c r="AS926" s="860"/>
      <c r="AT926" s="860"/>
      <c r="AU926" s="860"/>
      <c r="AV926" s="860"/>
      <c r="AW926" s="860"/>
      <c r="AX926" s="860"/>
      <c r="AY926" s="860"/>
      <c r="AZ926" s="860"/>
      <c r="BA926" s="860"/>
      <c r="BB926" s="860"/>
      <c r="BC926" s="860"/>
      <c r="BD926" s="860"/>
      <c r="BE926" s="860"/>
      <c r="BF926" s="860"/>
      <c r="BG926" s="860"/>
      <c r="BH926" s="668"/>
      <c r="BI926" s="654"/>
      <c r="BJ926" s="690">
        <f t="shared" si="317"/>
        <v>0</v>
      </c>
      <c r="BK926" s="691">
        <f t="shared" si="318"/>
        <v>0</v>
      </c>
      <c r="BL926" s="654"/>
      <c r="BM926" s="692">
        <f>SUMIFS(Imput[[Importe Neto]:[Importe Neto]],Imput[[C. Imp.]:[C. Imp.]],$D926,Imput[[PERIODO Imp.]:[PERIODO Imp.]],BM$9)</f>
        <v>0</v>
      </c>
      <c r="BN926" s="693">
        <f>SUMIFS(Imput[[Importe Neto]:[Importe Neto]],Imput[[C. Imp.]:[C. Imp.]],$D926,Imput[[PERIODO Imp.]:[PERIODO Imp.]],BN$9)</f>
        <v>0</v>
      </c>
      <c r="BO926" s="693">
        <f>SUMIFS(Imput[[Importe Neto]:[Importe Neto]],Imput[[C. Imp.]:[C. Imp.]],$D926,Imput[[PERIODO Imp.]:[PERIODO Imp.]],BO$9)</f>
        <v>0</v>
      </c>
      <c r="BP926" s="693">
        <f>SUMIFS(Imput[[Importe Neto]:[Importe Neto]],Imput[[C. Imp.]:[C. Imp.]],$D926,Imput[[PERIODO Imp.]:[PERIODO Imp.]],BP$9)</f>
        <v>0</v>
      </c>
      <c r="BQ926" s="693">
        <f>SUMIFS(Imput[[Importe Neto]:[Importe Neto]],Imput[[C. Imp.]:[C. Imp.]],$D926,Imput[[PERIODO Imp.]:[PERIODO Imp.]],BQ$9)</f>
        <v>0</v>
      </c>
      <c r="BR926" s="693">
        <f>SUMIFS(Imput[[Importe Neto]:[Importe Neto]],Imput[[C. Imp.]:[C. Imp.]],$D926,Imput[[PERIODO Imp.]:[PERIODO Imp.]],BR$9)</f>
        <v>0</v>
      </c>
      <c r="BS926" s="693">
        <f>SUMIFS(Imput[[Importe Neto]:[Importe Neto]],Imput[[C. Imp.]:[C. Imp.]],$D926,Imput[[PERIODO Imp.]:[PERIODO Imp.]],BS$9)</f>
        <v>0</v>
      </c>
      <c r="BT926" s="693">
        <f>SUMIFS(Imput[[Importe Neto]:[Importe Neto]],Imput[[C. Imp.]:[C. Imp.]],$D926,Imput[[PERIODO Imp.]:[PERIODO Imp.]],BT$9)</f>
        <v>0</v>
      </c>
      <c r="BU926" s="693">
        <f>SUMIFS(Imput[[Importe Neto]:[Importe Neto]],Imput[[C. Imp.]:[C. Imp.]],$D926,Imput[[PERIODO Imp.]:[PERIODO Imp.]],BU$9)</f>
        <v>0</v>
      </c>
      <c r="BV926" s="693">
        <f>SUMIFS(Imput[[Importe Neto]:[Importe Neto]],Imput[[C. Imp.]:[C. Imp.]],$D926,Imput[[PERIODO Imp.]:[PERIODO Imp.]],BV$9)</f>
        <v>0</v>
      </c>
      <c r="BW926" s="693">
        <f>SUMIFS(Imput[[Importe Neto]:[Importe Neto]],Imput[[C. Imp.]:[C. Imp.]],$D926,Imput[[PERIODO Imp.]:[PERIODO Imp.]],BW$9)</f>
        <v>0</v>
      </c>
      <c r="BX926" s="693">
        <f>SUMIFS(Imput[[Importe Neto]:[Importe Neto]],Imput[[C. Imp.]:[C. Imp.]],$D926,Imput[[PERIODO Imp.]:[PERIODO Imp.]],BX$9)</f>
        <v>0</v>
      </c>
      <c r="BY926" s="693">
        <f>SUMIFS(Imput[[Importe Neto]:[Importe Neto]],Imput[[C. Imp.]:[C. Imp.]],$D926,Imput[[PERIODO Imp.]:[PERIODO Imp.]],BY$9)</f>
        <v>0</v>
      </c>
      <c r="BZ926" s="693">
        <f>SUMIFS(Imput[[Importe Neto]:[Importe Neto]],Imput[[C. Imp.]:[C. Imp.]],$D926,Imput[[PERIODO Imp.]:[PERIODO Imp.]],BZ$9)</f>
        <v>0</v>
      </c>
      <c r="CA926" s="693">
        <f>SUMIFS(Imput[[Importe Neto]:[Importe Neto]],Imput[[C. Imp.]:[C. Imp.]],$D926,Imput[[PERIODO Imp.]:[PERIODO Imp.]],CA$9)</f>
        <v>0</v>
      </c>
      <c r="CB926" s="693">
        <f>SUMIFS(Imput[[Importe Neto]:[Importe Neto]],Imput[[C. Imp.]:[C. Imp.]],$D926,Imput[[PERIODO Imp.]:[PERIODO Imp.]],CB$9)</f>
        <v>0</v>
      </c>
      <c r="CC926" s="693">
        <f>SUMIFS(Imput[[Importe Neto]:[Importe Neto]],Imput[[C. Imp.]:[C. Imp.]],$D926,Imput[[PERIODO Imp.]:[PERIODO Imp.]],CC$9)</f>
        <v>0</v>
      </c>
      <c r="CD926" s="693">
        <f>SUMIFS(Imput[[Importe Neto]:[Importe Neto]],Imput[[C. Imp.]:[C. Imp.]],$D926,Imput[[PERIODO Imp.]:[PERIODO Imp.]],CD$9)</f>
        <v>0</v>
      </c>
      <c r="CE926" s="693">
        <f>SUMIFS(Imput[[Importe Neto]:[Importe Neto]],Imput[[C. Imp.]:[C. Imp.]],$D926,Imput[[PERIODO Imp.]:[PERIODO Imp.]],CE$9)</f>
        <v>0</v>
      </c>
      <c r="CF926" s="693">
        <f>SUMIFS(Imput[[Importe Neto]:[Importe Neto]],Imput[[C. Imp.]:[C. Imp.]],$D926,Imput[[PERIODO Imp.]:[PERIODO Imp.]],CF$9)</f>
        <v>0</v>
      </c>
      <c r="CG926" s="693">
        <f>SUMIFS(Imput[[Importe Neto]:[Importe Neto]],Imput[[C. Imp.]:[C. Imp.]],$D926,Imput[[PERIODO Imp.]:[PERIODO Imp.]],CG$9)</f>
        <v>0</v>
      </c>
      <c r="CH926" s="693">
        <f>SUMIFS(Imput[[Importe Neto]:[Importe Neto]],Imput[[C. Imp.]:[C. Imp.]],$D926,Imput[[PERIODO Imp.]:[PERIODO Imp.]],CH$9)</f>
        <v>0</v>
      </c>
      <c r="CI926" s="693">
        <f>SUMIFS(Imput[[Importe Neto]:[Importe Neto]],Imput[[C. Imp.]:[C. Imp.]],$D926,Imput[[PERIODO Imp.]:[PERIODO Imp.]],CI$9)</f>
        <v>0</v>
      </c>
      <c r="CJ926" s="693">
        <f>SUMIFS(Imput[[Importe Neto]:[Importe Neto]],Imput[[C. Imp.]:[C. Imp.]],$D926,Imput[[PERIODO Imp.]:[PERIODO Imp.]],CJ$9)</f>
        <v>0</v>
      </c>
      <c r="CK926" s="693">
        <f>SUMIFS(Imput[[Importe Neto]:[Importe Neto]],Imput[[C. Imp.]:[C. Imp.]],$D926,Imput[[PERIODO Imp.]:[PERIODO Imp.]],CK$9)</f>
        <v>0</v>
      </c>
      <c r="CL926" s="693">
        <f>SUMIFS(Imput[[Importe Neto]:[Importe Neto]],Imput[[C. Imp.]:[C. Imp.]],$D926,Imput[[PERIODO Imp.]:[PERIODO Imp.]],CL$9)</f>
        <v>0</v>
      </c>
      <c r="CM926" s="693">
        <f>SUMIFS(Imput[[Importe Neto]:[Importe Neto]],Imput[[C. Imp.]:[C. Imp.]],$D926,Imput[[PERIODO Imp.]:[PERIODO Imp.]],CM$9)</f>
        <v>0</v>
      </c>
      <c r="CN926" s="693">
        <f>SUMIFS(Imput[[Importe Neto]:[Importe Neto]],Imput[[C. Imp.]:[C. Imp.]],$D926,Imput[[PERIODO Imp.]:[PERIODO Imp.]],CN$9)</f>
        <v>0</v>
      </c>
      <c r="CO926" s="693">
        <f>SUMIFS(Imput[[Importe Neto]:[Importe Neto]],Imput[[C. Imp.]:[C. Imp.]],$D926,Imput[[PERIODO Imp.]:[PERIODO Imp.]],CO$9)</f>
        <v>0</v>
      </c>
      <c r="CP926" s="693">
        <f>SUMIFS(Imput[[Importe Neto]:[Importe Neto]],Imput[[C. Imp.]:[C. Imp.]],$D926,Imput[[PERIODO Imp.]:[PERIODO Imp.]],CP$9)</f>
        <v>0</v>
      </c>
      <c r="CQ926" s="693">
        <f>SUMIFS(Imput[[Importe Neto]:[Importe Neto]],Imput[[C. Imp.]:[C. Imp.]],$D926,Imput[[PERIODO Imp.]:[PERIODO Imp.]],CQ$9)</f>
        <v>0</v>
      </c>
      <c r="CR926" s="693">
        <f>SUMIFS(Imput[[Importe Neto]:[Importe Neto]],Imput[[C. Imp.]:[C. Imp.]],$D926,Imput[[PERIODO Imp.]:[PERIODO Imp.]],CR$9)</f>
        <v>0</v>
      </c>
      <c r="CS926" s="693">
        <f>SUMIFS(Imput[[Importe Neto]:[Importe Neto]],Imput[[C. Imp.]:[C. Imp.]],$D926,Imput[[PERIODO Imp.]:[PERIODO Imp.]],CS$9)</f>
        <v>0</v>
      </c>
      <c r="CT926" s="693">
        <f>SUMIFS(Imput[[Importe Neto]:[Importe Neto]],Imput[[C. Imp.]:[C. Imp.]],$D926,Imput[[PERIODO Imp.]:[PERIODO Imp.]],CT$9)</f>
        <v>0</v>
      </c>
      <c r="CU926" s="693">
        <f>SUMIFS(Imput[[Importe Neto]:[Importe Neto]],Imput[[C. Imp.]:[C. Imp.]],$D926,Imput[[PERIODO Imp.]:[PERIODO Imp.]],CU$9)</f>
        <v>0</v>
      </c>
      <c r="CV926" s="693">
        <f>SUMIFS(Imput[[Importe Neto]:[Importe Neto]],Imput[[C. Imp.]:[C. Imp.]],$D926,Imput[[PERIODO Imp.]:[PERIODO Imp.]],CV$9)</f>
        <v>0</v>
      </c>
      <c r="CW926" s="693">
        <f>SUMIFS(Imput[[Importe Neto]:[Importe Neto]],Imput[[C. Imp.]:[C. Imp.]],$D926,Imput[[PERIODO Imp.]:[PERIODO Imp.]],CW$9)</f>
        <v>0</v>
      </c>
      <c r="CX926" s="693">
        <f>SUMIFS(Imput[[Importe Neto]:[Importe Neto]],Imput[[C. Imp.]:[C. Imp.]],$D926,Imput[[PERIODO Imp.]:[PERIODO Imp.]],CX$9)</f>
        <v>0</v>
      </c>
      <c r="CY926" s="693">
        <f>SUMIFS(Imput[[Importe Neto]:[Importe Neto]],Imput[[C. Imp.]:[C. Imp.]],$D926,Imput[[PERIODO Imp.]:[PERIODO Imp.]],CY$9)</f>
        <v>0</v>
      </c>
      <c r="CZ926" s="693">
        <f>SUMIFS(Imput[[Importe Neto]:[Importe Neto]],Imput[[C. Imp.]:[C. Imp.]],$D926,Imput[[PERIODO Imp.]:[PERIODO Imp.]],CZ$9)</f>
        <v>0</v>
      </c>
      <c r="DA926" s="693">
        <f>SUMIFS(Imput[[Importe Neto]:[Importe Neto]],Imput[[C. Imp.]:[C. Imp.]],$D926,Imput[[PERIODO Imp.]:[PERIODO Imp.]],DA$9)</f>
        <v>0</v>
      </c>
      <c r="DB926" s="693">
        <f>SUMIFS(Imput[[Importe Neto]:[Importe Neto]],Imput[[C. Imp.]:[C. Imp.]],$D926,Imput[[PERIODO Imp.]:[PERIODO Imp.]],DB$9)</f>
        <v>0</v>
      </c>
      <c r="DC926" s="693">
        <f>SUMIFS(Imput[[Importe Neto]:[Importe Neto]],Imput[[C. Imp.]:[C. Imp.]],$D926,Imput[[PERIODO Imp.]:[PERIODO Imp.]],DC$9)</f>
        <v>0</v>
      </c>
      <c r="DD926" s="693">
        <f>SUMIFS(Imput[[Importe Neto]:[Importe Neto]],Imput[[C. Imp.]:[C. Imp.]],$D926,Imput[[PERIODO Imp.]:[PERIODO Imp.]],DD$9)</f>
        <v>0</v>
      </c>
      <c r="DE926" s="693">
        <f>SUMIFS(Imput[[Importe Neto]:[Importe Neto]],Imput[[C. Imp.]:[C. Imp.]],$D926,Imput[[PERIODO Imp.]:[PERIODO Imp.]],DE$9)</f>
        <v>0</v>
      </c>
      <c r="DF926" s="693">
        <f>SUMIFS(Imput[[Importe Neto]:[Importe Neto]],Imput[[C. Imp.]:[C. Imp.]],$D926,Imput[[PERIODO Imp.]:[PERIODO Imp.]],DF$9)</f>
        <v>0</v>
      </c>
      <c r="DG926" s="693">
        <f>SUMIFS(Imput[[Importe Neto]:[Importe Neto]],Imput[[C. Imp.]:[C. Imp.]],$D926,Imput[[PERIODO Imp.]:[PERIODO Imp.]],DG$9)</f>
        <v>0</v>
      </c>
      <c r="DH926" s="694">
        <f>SUMIFS(Imput[[Importe Neto]:[Importe Neto]],Imput[[C. Imp.]:[C. Imp.]],$D926,Imput[[PERIODO Imp.]:[PERIODO Imp.]],DH$9)</f>
        <v>0</v>
      </c>
    </row>
    <row r="927" spans="1:112" s="649" customFormat="1" ht="14.4" hidden="1" outlineLevel="1" thickBot="1" x14ac:dyDescent="0.35">
      <c r="A927" s="652" t="str">
        <f t="shared" si="314"/>
        <v/>
      </c>
      <c r="B927" s="652"/>
      <c r="C927" s="685"/>
      <c r="D927" s="686" t="s">
        <v>2891</v>
      </c>
      <c r="E927" s="686"/>
      <c r="F927" s="720"/>
      <c r="G927" s="688"/>
      <c r="H927" s="689"/>
      <c r="I927" s="851" t="str">
        <f t="shared" si="315"/>
        <v/>
      </c>
      <c r="J927" s="517" t="str">
        <f t="shared" si="316"/>
        <v/>
      </c>
      <c r="K927" s="667"/>
      <c r="L927" s="858"/>
      <c r="M927" s="859"/>
      <c r="N927" s="859"/>
      <c r="O927" s="859"/>
      <c r="P927" s="859"/>
      <c r="Q927" s="859"/>
      <c r="R927" s="859"/>
      <c r="S927" s="859"/>
      <c r="T927" s="859"/>
      <c r="U927" s="859"/>
      <c r="V927" s="859"/>
      <c r="W927" s="859"/>
      <c r="X927" s="859"/>
      <c r="Y927" s="859"/>
      <c r="Z927" s="860"/>
      <c r="AA927" s="860"/>
      <c r="AB927" s="860"/>
      <c r="AC927" s="860"/>
      <c r="AD927" s="860"/>
      <c r="AE927" s="860"/>
      <c r="AF927" s="860"/>
      <c r="AG927" s="860"/>
      <c r="AH927" s="860"/>
      <c r="AI927" s="860"/>
      <c r="AJ927" s="860"/>
      <c r="AK927" s="860"/>
      <c r="AL927" s="860"/>
      <c r="AM927" s="860"/>
      <c r="AN927" s="860"/>
      <c r="AO927" s="860"/>
      <c r="AP927" s="860"/>
      <c r="AQ927" s="860"/>
      <c r="AR927" s="860"/>
      <c r="AS927" s="860"/>
      <c r="AT927" s="860"/>
      <c r="AU927" s="860"/>
      <c r="AV927" s="860"/>
      <c r="AW927" s="860"/>
      <c r="AX927" s="860"/>
      <c r="AY927" s="860"/>
      <c r="AZ927" s="860"/>
      <c r="BA927" s="860"/>
      <c r="BB927" s="860"/>
      <c r="BC927" s="860"/>
      <c r="BD927" s="860"/>
      <c r="BE927" s="860"/>
      <c r="BF927" s="860"/>
      <c r="BG927" s="860"/>
      <c r="BH927" s="668"/>
      <c r="BI927" s="654"/>
      <c r="BJ927" s="690">
        <f t="shared" si="317"/>
        <v>0</v>
      </c>
      <c r="BK927" s="691">
        <f t="shared" si="318"/>
        <v>0</v>
      </c>
      <c r="BL927" s="654"/>
      <c r="BM927" s="692">
        <f>SUMIFS(Imput[[Importe Neto]:[Importe Neto]],Imput[[C. Imp.]:[C. Imp.]],$D927,Imput[[PERIODO Imp.]:[PERIODO Imp.]],BM$9)</f>
        <v>0</v>
      </c>
      <c r="BN927" s="693">
        <f>SUMIFS(Imput[[Importe Neto]:[Importe Neto]],Imput[[C. Imp.]:[C. Imp.]],$D927,Imput[[PERIODO Imp.]:[PERIODO Imp.]],BN$9)</f>
        <v>0</v>
      </c>
      <c r="BO927" s="693">
        <f>SUMIFS(Imput[[Importe Neto]:[Importe Neto]],Imput[[C. Imp.]:[C. Imp.]],$D927,Imput[[PERIODO Imp.]:[PERIODO Imp.]],BO$9)</f>
        <v>0</v>
      </c>
      <c r="BP927" s="693">
        <f>SUMIFS(Imput[[Importe Neto]:[Importe Neto]],Imput[[C. Imp.]:[C. Imp.]],$D927,Imput[[PERIODO Imp.]:[PERIODO Imp.]],BP$9)</f>
        <v>0</v>
      </c>
      <c r="BQ927" s="693">
        <f>SUMIFS(Imput[[Importe Neto]:[Importe Neto]],Imput[[C. Imp.]:[C. Imp.]],$D927,Imput[[PERIODO Imp.]:[PERIODO Imp.]],BQ$9)</f>
        <v>0</v>
      </c>
      <c r="BR927" s="693">
        <f>SUMIFS(Imput[[Importe Neto]:[Importe Neto]],Imput[[C. Imp.]:[C. Imp.]],$D927,Imput[[PERIODO Imp.]:[PERIODO Imp.]],BR$9)</f>
        <v>0</v>
      </c>
      <c r="BS927" s="693">
        <f>SUMIFS(Imput[[Importe Neto]:[Importe Neto]],Imput[[C. Imp.]:[C. Imp.]],$D927,Imput[[PERIODO Imp.]:[PERIODO Imp.]],BS$9)</f>
        <v>0</v>
      </c>
      <c r="BT927" s="693">
        <f>SUMIFS(Imput[[Importe Neto]:[Importe Neto]],Imput[[C. Imp.]:[C. Imp.]],$D927,Imput[[PERIODO Imp.]:[PERIODO Imp.]],BT$9)</f>
        <v>0</v>
      </c>
      <c r="BU927" s="693">
        <f>SUMIFS(Imput[[Importe Neto]:[Importe Neto]],Imput[[C. Imp.]:[C. Imp.]],$D927,Imput[[PERIODO Imp.]:[PERIODO Imp.]],BU$9)</f>
        <v>0</v>
      </c>
      <c r="BV927" s="693">
        <f>SUMIFS(Imput[[Importe Neto]:[Importe Neto]],Imput[[C. Imp.]:[C. Imp.]],$D927,Imput[[PERIODO Imp.]:[PERIODO Imp.]],BV$9)</f>
        <v>0</v>
      </c>
      <c r="BW927" s="693">
        <f>SUMIFS(Imput[[Importe Neto]:[Importe Neto]],Imput[[C. Imp.]:[C. Imp.]],$D927,Imput[[PERIODO Imp.]:[PERIODO Imp.]],BW$9)</f>
        <v>0</v>
      </c>
      <c r="BX927" s="693">
        <f>SUMIFS(Imput[[Importe Neto]:[Importe Neto]],Imput[[C. Imp.]:[C. Imp.]],$D927,Imput[[PERIODO Imp.]:[PERIODO Imp.]],BX$9)</f>
        <v>0</v>
      </c>
      <c r="BY927" s="693">
        <f>SUMIFS(Imput[[Importe Neto]:[Importe Neto]],Imput[[C. Imp.]:[C. Imp.]],$D927,Imput[[PERIODO Imp.]:[PERIODO Imp.]],BY$9)</f>
        <v>0</v>
      </c>
      <c r="BZ927" s="693">
        <f>SUMIFS(Imput[[Importe Neto]:[Importe Neto]],Imput[[C. Imp.]:[C. Imp.]],$D927,Imput[[PERIODO Imp.]:[PERIODO Imp.]],BZ$9)</f>
        <v>0</v>
      </c>
      <c r="CA927" s="693">
        <f>SUMIFS(Imput[[Importe Neto]:[Importe Neto]],Imput[[C. Imp.]:[C. Imp.]],$D927,Imput[[PERIODO Imp.]:[PERIODO Imp.]],CA$9)</f>
        <v>0</v>
      </c>
      <c r="CB927" s="693">
        <f>SUMIFS(Imput[[Importe Neto]:[Importe Neto]],Imput[[C. Imp.]:[C. Imp.]],$D927,Imput[[PERIODO Imp.]:[PERIODO Imp.]],CB$9)</f>
        <v>0</v>
      </c>
      <c r="CC927" s="693">
        <f>SUMIFS(Imput[[Importe Neto]:[Importe Neto]],Imput[[C. Imp.]:[C. Imp.]],$D927,Imput[[PERIODO Imp.]:[PERIODO Imp.]],CC$9)</f>
        <v>0</v>
      </c>
      <c r="CD927" s="693">
        <f>SUMIFS(Imput[[Importe Neto]:[Importe Neto]],Imput[[C. Imp.]:[C. Imp.]],$D927,Imput[[PERIODO Imp.]:[PERIODO Imp.]],CD$9)</f>
        <v>0</v>
      </c>
      <c r="CE927" s="693">
        <f>SUMIFS(Imput[[Importe Neto]:[Importe Neto]],Imput[[C. Imp.]:[C. Imp.]],$D927,Imput[[PERIODO Imp.]:[PERIODO Imp.]],CE$9)</f>
        <v>0</v>
      </c>
      <c r="CF927" s="693">
        <f>SUMIFS(Imput[[Importe Neto]:[Importe Neto]],Imput[[C. Imp.]:[C. Imp.]],$D927,Imput[[PERIODO Imp.]:[PERIODO Imp.]],CF$9)</f>
        <v>0</v>
      </c>
      <c r="CG927" s="693">
        <f>SUMIFS(Imput[[Importe Neto]:[Importe Neto]],Imput[[C. Imp.]:[C. Imp.]],$D927,Imput[[PERIODO Imp.]:[PERIODO Imp.]],CG$9)</f>
        <v>0</v>
      </c>
      <c r="CH927" s="693">
        <f>SUMIFS(Imput[[Importe Neto]:[Importe Neto]],Imput[[C. Imp.]:[C. Imp.]],$D927,Imput[[PERIODO Imp.]:[PERIODO Imp.]],CH$9)</f>
        <v>0</v>
      </c>
      <c r="CI927" s="693">
        <f>SUMIFS(Imput[[Importe Neto]:[Importe Neto]],Imput[[C. Imp.]:[C. Imp.]],$D927,Imput[[PERIODO Imp.]:[PERIODO Imp.]],CI$9)</f>
        <v>0</v>
      </c>
      <c r="CJ927" s="693">
        <f>SUMIFS(Imput[[Importe Neto]:[Importe Neto]],Imput[[C. Imp.]:[C. Imp.]],$D927,Imput[[PERIODO Imp.]:[PERIODO Imp.]],CJ$9)</f>
        <v>0</v>
      </c>
      <c r="CK927" s="693">
        <f>SUMIFS(Imput[[Importe Neto]:[Importe Neto]],Imput[[C. Imp.]:[C. Imp.]],$D927,Imput[[PERIODO Imp.]:[PERIODO Imp.]],CK$9)</f>
        <v>0</v>
      </c>
      <c r="CL927" s="693">
        <f>SUMIFS(Imput[[Importe Neto]:[Importe Neto]],Imput[[C. Imp.]:[C. Imp.]],$D927,Imput[[PERIODO Imp.]:[PERIODO Imp.]],CL$9)</f>
        <v>0</v>
      </c>
      <c r="CM927" s="693">
        <f>SUMIFS(Imput[[Importe Neto]:[Importe Neto]],Imput[[C. Imp.]:[C. Imp.]],$D927,Imput[[PERIODO Imp.]:[PERIODO Imp.]],CM$9)</f>
        <v>0</v>
      </c>
      <c r="CN927" s="693">
        <f>SUMIFS(Imput[[Importe Neto]:[Importe Neto]],Imput[[C. Imp.]:[C. Imp.]],$D927,Imput[[PERIODO Imp.]:[PERIODO Imp.]],CN$9)</f>
        <v>0</v>
      </c>
      <c r="CO927" s="693">
        <f>SUMIFS(Imput[[Importe Neto]:[Importe Neto]],Imput[[C. Imp.]:[C. Imp.]],$D927,Imput[[PERIODO Imp.]:[PERIODO Imp.]],CO$9)</f>
        <v>0</v>
      </c>
      <c r="CP927" s="693">
        <f>SUMIFS(Imput[[Importe Neto]:[Importe Neto]],Imput[[C. Imp.]:[C. Imp.]],$D927,Imput[[PERIODO Imp.]:[PERIODO Imp.]],CP$9)</f>
        <v>0</v>
      </c>
      <c r="CQ927" s="693">
        <f>SUMIFS(Imput[[Importe Neto]:[Importe Neto]],Imput[[C. Imp.]:[C. Imp.]],$D927,Imput[[PERIODO Imp.]:[PERIODO Imp.]],CQ$9)</f>
        <v>0</v>
      </c>
      <c r="CR927" s="693">
        <f>SUMIFS(Imput[[Importe Neto]:[Importe Neto]],Imput[[C. Imp.]:[C. Imp.]],$D927,Imput[[PERIODO Imp.]:[PERIODO Imp.]],CR$9)</f>
        <v>0</v>
      </c>
      <c r="CS927" s="693">
        <f>SUMIFS(Imput[[Importe Neto]:[Importe Neto]],Imput[[C. Imp.]:[C. Imp.]],$D927,Imput[[PERIODO Imp.]:[PERIODO Imp.]],CS$9)</f>
        <v>0</v>
      </c>
      <c r="CT927" s="693">
        <f>SUMIFS(Imput[[Importe Neto]:[Importe Neto]],Imput[[C. Imp.]:[C. Imp.]],$D927,Imput[[PERIODO Imp.]:[PERIODO Imp.]],CT$9)</f>
        <v>0</v>
      </c>
      <c r="CU927" s="693">
        <f>SUMIFS(Imput[[Importe Neto]:[Importe Neto]],Imput[[C. Imp.]:[C. Imp.]],$D927,Imput[[PERIODO Imp.]:[PERIODO Imp.]],CU$9)</f>
        <v>0</v>
      </c>
      <c r="CV927" s="693">
        <f>SUMIFS(Imput[[Importe Neto]:[Importe Neto]],Imput[[C. Imp.]:[C. Imp.]],$D927,Imput[[PERIODO Imp.]:[PERIODO Imp.]],CV$9)</f>
        <v>0</v>
      </c>
      <c r="CW927" s="693">
        <f>SUMIFS(Imput[[Importe Neto]:[Importe Neto]],Imput[[C. Imp.]:[C. Imp.]],$D927,Imput[[PERIODO Imp.]:[PERIODO Imp.]],CW$9)</f>
        <v>0</v>
      </c>
      <c r="CX927" s="693">
        <f>SUMIFS(Imput[[Importe Neto]:[Importe Neto]],Imput[[C. Imp.]:[C. Imp.]],$D927,Imput[[PERIODO Imp.]:[PERIODO Imp.]],CX$9)</f>
        <v>0</v>
      </c>
      <c r="CY927" s="693">
        <f>SUMIFS(Imput[[Importe Neto]:[Importe Neto]],Imput[[C. Imp.]:[C. Imp.]],$D927,Imput[[PERIODO Imp.]:[PERIODO Imp.]],CY$9)</f>
        <v>0</v>
      </c>
      <c r="CZ927" s="693">
        <f>SUMIFS(Imput[[Importe Neto]:[Importe Neto]],Imput[[C. Imp.]:[C. Imp.]],$D927,Imput[[PERIODO Imp.]:[PERIODO Imp.]],CZ$9)</f>
        <v>0</v>
      </c>
      <c r="DA927" s="693">
        <f>SUMIFS(Imput[[Importe Neto]:[Importe Neto]],Imput[[C. Imp.]:[C. Imp.]],$D927,Imput[[PERIODO Imp.]:[PERIODO Imp.]],DA$9)</f>
        <v>0</v>
      </c>
      <c r="DB927" s="693">
        <f>SUMIFS(Imput[[Importe Neto]:[Importe Neto]],Imput[[C. Imp.]:[C. Imp.]],$D927,Imput[[PERIODO Imp.]:[PERIODO Imp.]],DB$9)</f>
        <v>0</v>
      </c>
      <c r="DC927" s="693">
        <f>SUMIFS(Imput[[Importe Neto]:[Importe Neto]],Imput[[C. Imp.]:[C. Imp.]],$D927,Imput[[PERIODO Imp.]:[PERIODO Imp.]],DC$9)</f>
        <v>0</v>
      </c>
      <c r="DD927" s="693">
        <f>SUMIFS(Imput[[Importe Neto]:[Importe Neto]],Imput[[C. Imp.]:[C. Imp.]],$D927,Imput[[PERIODO Imp.]:[PERIODO Imp.]],DD$9)</f>
        <v>0</v>
      </c>
      <c r="DE927" s="693">
        <f>SUMIFS(Imput[[Importe Neto]:[Importe Neto]],Imput[[C. Imp.]:[C. Imp.]],$D927,Imput[[PERIODO Imp.]:[PERIODO Imp.]],DE$9)</f>
        <v>0</v>
      </c>
      <c r="DF927" s="693">
        <f>SUMIFS(Imput[[Importe Neto]:[Importe Neto]],Imput[[C. Imp.]:[C. Imp.]],$D927,Imput[[PERIODO Imp.]:[PERIODO Imp.]],DF$9)</f>
        <v>0</v>
      </c>
      <c r="DG927" s="693">
        <f>SUMIFS(Imput[[Importe Neto]:[Importe Neto]],Imput[[C. Imp.]:[C. Imp.]],$D927,Imput[[PERIODO Imp.]:[PERIODO Imp.]],DG$9)</f>
        <v>0</v>
      </c>
      <c r="DH927" s="694">
        <f>SUMIFS(Imput[[Importe Neto]:[Importe Neto]],Imput[[C. Imp.]:[C. Imp.]],$D927,Imput[[PERIODO Imp.]:[PERIODO Imp.]],DH$9)</f>
        <v>0</v>
      </c>
    </row>
    <row r="928" spans="1:112" s="649" customFormat="1" ht="14.4" hidden="1" outlineLevel="1" thickBot="1" x14ac:dyDescent="0.35">
      <c r="A928" s="652" t="str">
        <f t="shared" si="314"/>
        <v/>
      </c>
      <c r="B928" s="652"/>
      <c r="C928" s="685"/>
      <c r="D928" s="686" t="s">
        <v>2892</v>
      </c>
      <c r="E928" s="686"/>
      <c r="F928" s="720"/>
      <c r="G928" s="688"/>
      <c r="H928" s="689"/>
      <c r="I928" s="851" t="str">
        <f t="shared" si="315"/>
        <v/>
      </c>
      <c r="J928" s="517" t="str">
        <f t="shared" si="316"/>
        <v/>
      </c>
      <c r="K928" s="667"/>
      <c r="L928" s="858"/>
      <c r="M928" s="859"/>
      <c r="N928" s="859"/>
      <c r="O928" s="859"/>
      <c r="P928" s="859"/>
      <c r="Q928" s="859"/>
      <c r="R928" s="859"/>
      <c r="S928" s="859"/>
      <c r="T928" s="859"/>
      <c r="U928" s="859"/>
      <c r="V928" s="859"/>
      <c r="W928" s="859"/>
      <c r="X928" s="859"/>
      <c r="Y928" s="859"/>
      <c r="Z928" s="860"/>
      <c r="AA928" s="860"/>
      <c r="AB928" s="860"/>
      <c r="AC928" s="860"/>
      <c r="AD928" s="860"/>
      <c r="AE928" s="860"/>
      <c r="AF928" s="860"/>
      <c r="AG928" s="860"/>
      <c r="AH928" s="860"/>
      <c r="AI928" s="860"/>
      <c r="AJ928" s="860"/>
      <c r="AK928" s="860"/>
      <c r="AL928" s="860"/>
      <c r="AM928" s="860"/>
      <c r="AN928" s="860"/>
      <c r="AO928" s="860"/>
      <c r="AP928" s="860"/>
      <c r="AQ928" s="860"/>
      <c r="AR928" s="860"/>
      <c r="AS928" s="860"/>
      <c r="AT928" s="860"/>
      <c r="AU928" s="860"/>
      <c r="AV928" s="860"/>
      <c r="AW928" s="860"/>
      <c r="AX928" s="860"/>
      <c r="AY928" s="860"/>
      <c r="AZ928" s="860"/>
      <c r="BA928" s="860"/>
      <c r="BB928" s="860"/>
      <c r="BC928" s="860"/>
      <c r="BD928" s="860"/>
      <c r="BE928" s="860"/>
      <c r="BF928" s="860"/>
      <c r="BG928" s="860"/>
      <c r="BH928" s="668"/>
      <c r="BI928" s="654"/>
      <c r="BJ928" s="690">
        <f t="shared" si="317"/>
        <v>0</v>
      </c>
      <c r="BK928" s="691">
        <f t="shared" si="318"/>
        <v>0</v>
      </c>
      <c r="BL928" s="654"/>
      <c r="BM928" s="692">
        <f>SUMIFS(Imput[[Importe Neto]:[Importe Neto]],Imput[[C. Imp.]:[C. Imp.]],$D928,Imput[[PERIODO Imp.]:[PERIODO Imp.]],BM$9)</f>
        <v>0</v>
      </c>
      <c r="BN928" s="693">
        <f>SUMIFS(Imput[[Importe Neto]:[Importe Neto]],Imput[[C. Imp.]:[C. Imp.]],$D928,Imput[[PERIODO Imp.]:[PERIODO Imp.]],BN$9)</f>
        <v>0</v>
      </c>
      <c r="BO928" s="693">
        <f>SUMIFS(Imput[[Importe Neto]:[Importe Neto]],Imput[[C. Imp.]:[C. Imp.]],$D928,Imput[[PERIODO Imp.]:[PERIODO Imp.]],BO$9)</f>
        <v>0</v>
      </c>
      <c r="BP928" s="693">
        <f>SUMIFS(Imput[[Importe Neto]:[Importe Neto]],Imput[[C. Imp.]:[C. Imp.]],$D928,Imput[[PERIODO Imp.]:[PERIODO Imp.]],BP$9)</f>
        <v>0</v>
      </c>
      <c r="BQ928" s="693">
        <f>SUMIFS(Imput[[Importe Neto]:[Importe Neto]],Imput[[C. Imp.]:[C. Imp.]],$D928,Imput[[PERIODO Imp.]:[PERIODO Imp.]],BQ$9)</f>
        <v>0</v>
      </c>
      <c r="BR928" s="693">
        <f>SUMIFS(Imput[[Importe Neto]:[Importe Neto]],Imput[[C. Imp.]:[C. Imp.]],$D928,Imput[[PERIODO Imp.]:[PERIODO Imp.]],BR$9)</f>
        <v>0</v>
      </c>
      <c r="BS928" s="693">
        <f>SUMIFS(Imput[[Importe Neto]:[Importe Neto]],Imput[[C. Imp.]:[C. Imp.]],$D928,Imput[[PERIODO Imp.]:[PERIODO Imp.]],BS$9)</f>
        <v>0</v>
      </c>
      <c r="BT928" s="693">
        <f>SUMIFS(Imput[[Importe Neto]:[Importe Neto]],Imput[[C. Imp.]:[C. Imp.]],$D928,Imput[[PERIODO Imp.]:[PERIODO Imp.]],BT$9)</f>
        <v>0</v>
      </c>
      <c r="BU928" s="693">
        <f>SUMIFS(Imput[[Importe Neto]:[Importe Neto]],Imput[[C. Imp.]:[C. Imp.]],$D928,Imput[[PERIODO Imp.]:[PERIODO Imp.]],BU$9)</f>
        <v>0</v>
      </c>
      <c r="BV928" s="693">
        <f>SUMIFS(Imput[[Importe Neto]:[Importe Neto]],Imput[[C. Imp.]:[C. Imp.]],$D928,Imput[[PERIODO Imp.]:[PERIODO Imp.]],BV$9)</f>
        <v>0</v>
      </c>
      <c r="BW928" s="693">
        <f>SUMIFS(Imput[[Importe Neto]:[Importe Neto]],Imput[[C. Imp.]:[C. Imp.]],$D928,Imput[[PERIODO Imp.]:[PERIODO Imp.]],BW$9)</f>
        <v>0</v>
      </c>
      <c r="BX928" s="693">
        <f>SUMIFS(Imput[[Importe Neto]:[Importe Neto]],Imput[[C. Imp.]:[C. Imp.]],$D928,Imput[[PERIODO Imp.]:[PERIODO Imp.]],BX$9)</f>
        <v>0</v>
      </c>
      <c r="BY928" s="693">
        <f>SUMIFS(Imput[[Importe Neto]:[Importe Neto]],Imput[[C. Imp.]:[C. Imp.]],$D928,Imput[[PERIODO Imp.]:[PERIODO Imp.]],BY$9)</f>
        <v>0</v>
      </c>
      <c r="BZ928" s="693">
        <f>SUMIFS(Imput[[Importe Neto]:[Importe Neto]],Imput[[C. Imp.]:[C. Imp.]],$D928,Imput[[PERIODO Imp.]:[PERIODO Imp.]],BZ$9)</f>
        <v>0</v>
      </c>
      <c r="CA928" s="693">
        <f>SUMIFS(Imput[[Importe Neto]:[Importe Neto]],Imput[[C. Imp.]:[C. Imp.]],$D928,Imput[[PERIODO Imp.]:[PERIODO Imp.]],CA$9)</f>
        <v>0</v>
      </c>
      <c r="CB928" s="693">
        <f>SUMIFS(Imput[[Importe Neto]:[Importe Neto]],Imput[[C. Imp.]:[C. Imp.]],$D928,Imput[[PERIODO Imp.]:[PERIODO Imp.]],CB$9)</f>
        <v>0</v>
      </c>
      <c r="CC928" s="693">
        <f>SUMIFS(Imput[[Importe Neto]:[Importe Neto]],Imput[[C. Imp.]:[C. Imp.]],$D928,Imput[[PERIODO Imp.]:[PERIODO Imp.]],CC$9)</f>
        <v>0</v>
      </c>
      <c r="CD928" s="693">
        <f>SUMIFS(Imput[[Importe Neto]:[Importe Neto]],Imput[[C. Imp.]:[C. Imp.]],$D928,Imput[[PERIODO Imp.]:[PERIODO Imp.]],CD$9)</f>
        <v>0</v>
      </c>
      <c r="CE928" s="693">
        <f>SUMIFS(Imput[[Importe Neto]:[Importe Neto]],Imput[[C. Imp.]:[C. Imp.]],$D928,Imput[[PERIODO Imp.]:[PERIODO Imp.]],CE$9)</f>
        <v>0</v>
      </c>
      <c r="CF928" s="693">
        <f>SUMIFS(Imput[[Importe Neto]:[Importe Neto]],Imput[[C. Imp.]:[C. Imp.]],$D928,Imput[[PERIODO Imp.]:[PERIODO Imp.]],CF$9)</f>
        <v>0</v>
      </c>
      <c r="CG928" s="693">
        <f>SUMIFS(Imput[[Importe Neto]:[Importe Neto]],Imput[[C. Imp.]:[C. Imp.]],$D928,Imput[[PERIODO Imp.]:[PERIODO Imp.]],CG$9)</f>
        <v>0</v>
      </c>
      <c r="CH928" s="693">
        <f>SUMIFS(Imput[[Importe Neto]:[Importe Neto]],Imput[[C. Imp.]:[C. Imp.]],$D928,Imput[[PERIODO Imp.]:[PERIODO Imp.]],CH$9)</f>
        <v>0</v>
      </c>
      <c r="CI928" s="693">
        <f>SUMIFS(Imput[[Importe Neto]:[Importe Neto]],Imput[[C. Imp.]:[C. Imp.]],$D928,Imput[[PERIODO Imp.]:[PERIODO Imp.]],CI$9)</f>
        <v>0</v>
      </c>
      <c r="CJ928" s="693">
        <f>SUMIFS(Imput[[Importe Neto]:[Importe Neto]],Imput[[C. Imp.]:[C. Imp.]],$D928,Imput[[PERIODO Imp.]:[PERIODO Imp.]],CJ$9)</f>
        <v>0</v>
      </c>
      <c r="CK928" s="693">
        <f>SUMIFS(Imput[[Importe Neto]:[Importe Neto]],Imput[[C. Imp.]:[C. Imp.]],$D928,Imput[[PERIODO Imp.]:[PERIODO Imp.]],CK$9)</f>
        <v>0</v>
      </c>
      <c r="CL928" s="693">
        <f>SUMIFS(Imput[[Importe Neto]:[Importe Neto]],Imput[[C. Imp.]:[C. Imp.]],$D928,Imput[[PERIODO Imp.]:[PERIODO Imp.]],CL$9)</f>
        <v>0</v>
      </c>
      <c r="CM928" s="693">
        <f>SUMIFS(Imput[[Importe Neto]:[Importe Neto]],Imput[[C. Imp.]:[C. Imp.]],$D928,Imput[[PERIODO Imp.]:[PERIODO Imp.]],CM$9)</f>
        <v>0</v>
      </c>
      <c r="CN928" s="693">
        <f>SUMIFS(Imput[[Importe Neto]:[Importe Neto]],Imput[[C. Imp.]:[C. Imp.]],$D928,Imput[[PERIODO Imp.]:[PERIODO Imp.]],CN$9)</f>
        <v>0</v>
      </c>
      <c r="CO928" s="693">
        <f>SUMIFS(Imput[[Importe Neto]:[Importe Neto]],Imput[[C. Imp.]:[C. Imp.]],$D928,Imput[[PERIODO Imp.]:[PERIODO Imp.]],CO$9)</f>
        <v>0</v>
      </c>
      <c r="CP928" s="693">
        <f>SUMIFS(Imput[[Importe Neto]:[Importe Neto]],Imput[[C. Imp.]:[C. Imp.]],$D928,Imput[[PERIODO Imp.]:[PERIODO Imp.]],CP$9)</f>
        <v>0</v>
      </c>
      <c r="CQ928" s="693">
        <f>SUMIFS(Imput[[Importe Neto]:[Importe Neto]],Imput[[C. Imp.]:[C. Imp.]],$D928,Imput[[PERIODO Imp.]:[PERIODO Imp.]],CQ$9)</f>
        <v>0</v>
      </c>
      <c r="CR928" s="693">
        <f>SUMIFS(Imput[[Importe Neto]:[Importe Neto]],Imput[[C. Imp.]:[C. Imp.]],$D928,Imput[[PERIODO Imp.]:[PERIODO Imp.]],CR$9)</f>
        <v>0</v>
      </c>
      <c r="CS928" s="693">
        <f>SUMIFS(Imput[[Importe Neto]:[Importe Neto]],Imput[[C. Imp.]:[C. Imp.]],$D928,Imput[[PERIODO Imp.]:[PERIODO Imp.]],CS$9)</f>
        <v>0</v>
      </c>
      <c r="CT928" s="693">
        <f>SUMIFS(Imput[[Importe Neto]:[Importe Neto]],Imput[[C. Imp.]:[C. Imp.]],$D928,Imput[[PERIODO Imp.]:[PERIODO Imp.]],CT$9)</f>
        <v>0</v>
      </c>
      <c r="CU928" s="693">
        <f>SUMIFS(Imput[[Importe Neto]:[Importe Neto]],Imput[[C. Imp.]:[C. Imp.]],$D928,Imput[[PERIODO Imp.]:[PERIODO Imp.]],CU$9)</f>
        <v>0</v>
      </c>
      <c r="CV928" s="693">
        <f>SUMIFS(Imput[[Importe Neto]:[Importe Neto]],Imput[[C. Imp.]:[C. Imp.]],$D928,Imput[[PERIODO Imp.]:[PERIODO Imp.]],CV$9)</f>
        <v>0</v>
      </c>
      <c r="CW928" s="693">
        <f>SUMIFS(Imput[[Importe Neto]:[Importe Neto]],Imput[[C. Imp.]:[C. Imp.]],$D928,Imput[[PERIODO Imp.]:[PERIODO Imp.]],CW$9)</f>
        <v>0</v>
      </c>
      <c r="CX928" s="693">
        <f>SUMIFS(Imput[[Importe Neto]:[Importe Neto]],Imput[[C. Imp.]:[C. Imp.]],$D928,Imput[[PERIODO Imp.]:[PERIODO Imp.]],CX$9)</f>
        <v>0</v>
      </c>
      <c r="CY928" s="693">
        <f>SUMIFS(Imput[[Importe Neto]:[Importe Neto]],Imput[[C. Imp.]:[C. Imp.]],$D928,Imput[[PERIODO Imp.]:[PERIODO Imp.]],CY$9)</f>
        <v>0</v>
      </c>
      <c r="CZ928" s="693">
        <f>SUMIFS(Imput[[Importe Neto]:[Importe Neto]],Imput[[C. Imp.]:[C. Imp.]],$D928,Imput[[PERIODO Imp.]:[PERIODO Imp.]],CZ$9)</f>
        <v>0</v>
      </c>
      <c r="DA928" s="693">
        <f>SUMIFS(Imput[[Importe Neto]:[Importe Neto]],Imput[[C. Imp.]:[C. Imp.]],$D928,Imput[[PERIODO Imp.]:[PERIODO Imp.]],DA$9)</f>
        <v>0</v>
      </c>
      <c r="DB928" s="693">
        <f>SUMIFS(Imput[[Importe Neto]:[Importe Neto]],Imput[[C. Imp.]:[C. Imp.]],$D928,Imput[[PERIODO Imp.]:[PERIODO Imp.]],DB$9)</f>
        <v>0</v>
      </c>
      <c r="DC928" s="693">
        <f>SUMIFS(Imput[[Importe Neto]:[Importe Neto]],Imput[[C. Imp.]:[C. Imp.]],$D928,Imput[[PERIODO Imp.]:[PERIODO Imp.]],DC$9)</f>
        <v>0</v>
      </c>
      <c r="DD928" s="693">
        <f>SUMIFS(Imput[[Importe Neto]:[Importe Neto]],Imput[[C. Imp.]:[C. Imp.]],$D928,Imput[[PERIODO Imp.]:[PERIODO Imp.]],DD$9)</f>
        <v>0</v>
      </c>
      <c r="DE928" s="693">
        <f>SUMIFS(Imput[[Importe Neto]:[Importe Neto]],Imput[[C. Imp.]:[C. Imp.]],$D928,Imput[[PERIODO Imp.]:[PERIODO Imp.]],DE$9)</f>
        <v>0</v>
      </c>
      <c r="DF928" s="693">
        <f>SUMIFS(Imput[[Importe Neto]:[Importe Neto]],Imput[[C. Imp.]:[C. Imp.]],$D928,Imput[[PERIODO Imp.]:[PERIODO Imp.]],DF$9)</f>
        <v>0</v>
      </c>
      <c r="DG928" s="693">
        <f>SUMIFS(Imput[[Importe Neto]:[Importe Neto]],Imput[[C. Imp.]:[C. Imp.]],$D928,Imput[[PERIODO Imp.]:[PERIODO Imp.]],DG$9)</f>
        <v>0</v>
      </c>
      <c r="DH928" s="694">
        <f>SUMIFS(Imput[[Importe Neto]:[Importe Neto]],Imput[[C. Imp.]:[C. Imp.]],$D928,Imput[[PERIODO Imp.]:[PERIODO Imp.]],DH$9)</f>
        <v>0</v>
      </c>
    </row>
    <row r="929" spans="1:112" s="649" customFormat="1" ht="14.4" hidden="1" outlineLevel="1" thickBot="1" x14ac:dyDescent="0.35">
      <c r="A929" s="652" t="str">
        <f t="shared" si="314"/>
        <v/>
      </c>
      <c r="B929" s="652"/>
      <c r="C929" s="685"/>
      <c r="D929" s="686" t="s">
        <v>2893</v>
      </c>
      <c r="E929" s="686"/>
      <c r="F929" s="720"/>
      <c r="G929" s="688"/>
      <c r="H929" s="689"/>
      <c r="I929" s="851" t="str">
        <f t="shared" si="315"/>
        <v/>
      </c>
      <c r="J929" s="517" t="str">
        <f t="shared" si="316"/>
        <v/>
      </c>
      <c r="K929" s="667"/>
      <c r="L929" s="858"/>
      <c r="M929" s="859"/>
      <c r="N929" s="859"/>
      <c r="O929" s="859"/>
      <c r="P929" s="859"/>
      <c r="Q929" s="859"/>
      <c r="R929" s="859"/>
      <c r="S929" s="859"/>
      <c r="T929" s="859"/>
      <c r="U929" s="859"/>
      <c r="V929" s="859"/>
      <c r="W929" s="859"/>
      <c r="X929" s="859"/>
      <c r="Y929" s="859"/>
      <c r="Z929" s="860"/>
      <c r="AA929" s="860"/>
      <c r="AB929" s="860"/>
      <c r="AC929" s="860"/>
      <c r="AD929" s="860"/>
      <c r="AE929" s="860"/>
      <c r="AF929" s="860"/>
      <c r="AG929" s="860"/>
      <c r="AH929" s="860"/>
      <c r="AI929" s="860"/>
      <c r="AJ929" s="860"/>
      <c r="AK929" s="860"/>
      <c r="AL929" s="860"/>
      <c r="AM929" s="860"/>
      <c r="AN929" s="860"/>
      <c r="AO929" s="860"/>
      <c r="AP929" s="860"/>
      <c r="AQ929" s="860"/>
      <c r="AR929" s="860"/>
      <c r="AS929" s="860"/>
      <c r="AT929" s="860"/>
      <c r="AU929" s="860"/>
      <c r="AV929" s="860"/>
      <c r="AW929" s="860"/>
      <c r="AX929" s="860"/>
      <c r="AY929" s="860"/>
      <c r="AZ929" s="860"/>
      <c r="BA929" s="860"/>
      <c r="BB929" s="860"/>
      <c r="BC929" s="860"/>
      <c r="BD929" s="860"/>
      <c r="BE929" s="860"/>
      <c r="BF929" s="860"/>
      <c r="BG929" s="860"/>
      <c r="BH929" s="668"/>
      <c r="BI929" s="654"/>
      <c r="BJ929" s="690">
        <f t="shared" si="317"/>
        <v>0</v>
      </c>
      <c r="BK929" s="691">
        <f t="shared" si="318"/>
        <v>0</v>
      </c>
      <c r="BL929" s="654"/>
      <c r="BM929" s="692">
        <f>SUMIFS(Imput[[Importe Neto]:[Importe Neto]],Imput[[C. Imp.]:[C. Imp.]],$D929,Imput[[PERIODO Imp.]:[PERIODO Imp.]],BM$9)</f>
        <v>0</v>
      </c>
      <c r="BN929" s="693">
        <f>SUMIFS(Imput[[Importe Neto]:[Importe Neto]],Imput[[C. Imp.]:[C. Imp.]],$D929,Imput[[PERIODO Imp.]:[PERIODO Imp.]],BN$9)</f>
        <v>0</v>
      </c>
      <c r="BO929" s="693">
        <f>SUMIFS(Imput[[Importe Neto]:[Importe Neto]],Imput[[C. Imp.]:[C. Imp.]],$D929,Imput[[PERIODO Imp.]:[PERIODO Imp.]],BO$9)</f>
        <v>0</v>
      </c>
      <c r="BP929" s="693">
        <f>SUMIFS(Imput[[Importe Neto]:[Importe Neto]],Imput[[C. Imp.]:[C. Imp.]],$D929,Imput[[PERIODO Imp.]:[PERIODO Imp.]],BP$9)</f>
        <v>0</v>
      </c>
      <c r="BQ929" s="693">
        <f>SUMIFS(Imput[[Importe Neto]:[Importe Neto]],Imput[[C. Imp.]:[C. Imp.]],$D929,Imput[[PERIODO Imp.]:[PERIODO Imp.]],BQ$9)</f>
        <v>0</v>
      </c>
      <c r="BR929" s="693">
        <f>SUMIFS(Imput[[Importe Neto]:[Importe Neto]],Imput[[C. Imp.]:[C. Imp.]],$D929,Imput[[PERIODO Imp.]:[PERIODO Imp.]],BR$9)</f>
        <v>0</v>
      </c>
      <c r="BS929" s="693">
        <f>SUMIFS(Imput[[Importe Neto]:[Importe Neto]],Imput[[C. Imp.]:[C. Imp.]],$D929,Imput[[PERIODO Imp.]:[PERIODO Imp.]],BS$9)</f>
        <v>0</v>
      </c>
      <c r="BT929" s="693">
        <f>SUMIFS(Imput[[Importe Neto]:[Importe Neto]],Imput[[C. Imp.]:[C. Imp.]],$D929,Imput[[PERIODO Imp.]:[PERIODO Imp.]],BT$9)</f>
        <v>0</v>
      </c>
      <c r="BU929" s="693">
        <f>SUMIFS(Imput[[Importe Neto]:[Importe Neto]],Imput[[C. Imp.]:[C. Imp.]],$D929,Imput[[PERIODO Imp.]:[PERIODO Imp.]],BU$9)</f>
        <v>0</v>
      </c>
      <c r="BV929" s="693">
        <f>SUMIFS(Imput[[Importe Neto]:[Importe Neto]],Imput[[C. Imp.]:[C. Imp.]],$D929,Imput[[PERIODO Imp.]:[PERIODO Imp.]],BV$9)</f>
        <v>0</v>
      </c>
      <c r="BW929" s="693">
        <f>SUMIFS(Imput[[Importe Neto]:[Importe Neto]],Imput[[C. Imp.]:[C. Imp.]],$D929,Imput[[PERIODO Imp.]:[PERIODO Imp.]],BW$9)</f>
        <v>0</v>
      </c>
      <c r="BX929" s="693">
        <f>SUMIFS(Imput[[Importe Neto]:[Importe Neto]],Imput[[C. Imp.]:[C. Imp.]],$D929,Imput[[PERIODO Imp.]:[PERIODO Imp.]],BX$9)</f>
        <v>0</v>
      </c>
      <c r="BY929" s="693">
        <f>SUMIFS(Imput[[Importe Neto]:[Importe Neto]],Imput[[C. Imp.]:[C. Imp.]],$D929,Imput[[PERIODO Imp.]:[PERIODO Imp.]],BY$9)</f>
        <v>0</v>
      </c>
      <c r="BZ929" s="693">
        <f>SUMIFS(Imput[[Importe Neto]:[Importe Neto]],Imput[[C. Imp.]:[C. Imp.]],$D929,Imput[[PERIODO Imp.]:[PERIODO Imp.]],BZ$9)</f>
        <v>0</v>
      </c>
      <c r="CA929" s="693">
        <f>SUMIFS(Imput[[Importe Neto]:[Importe Neto]],Imput[[C. Imp.]:[C. Imp.]],$D929,Imput[[PERIODO Imp.]:[PERIODO Imp.]],CA$9)</f>
        <v>0</v>
      </c>
      <c r="CB929" s="693">
        <f>SUMIFS(Imput[[Importe Neto]:[Importe Neto]],Imput[[C. Imp.]:[C. Imp.]],$D929,Imput[[PERIODO Imp.]:[PERIODO Imp.]],CB$9)</f>
        <v>0</v>
      </c>
      <c r="CC929" s="693">
        <f>SUMIFS(Imput[[Importe Neto]:[Importe Neto]],Imput[[C. Imp.]:[C. Imp.]],$D929,Imput[[PERIODO Imp.]:[PERIODO Imp.]],CC$9)</f>
        <v>0</v>
      </c>
      <c r="CD929" s="693">
        <f>SUMIFS(Imput[[Importe Neto]:[Importe Neto]],Imput[[C. Imp.]:[C. Imp.]],$D929,Imput[[PERIODO Imp.]:[PERIODO Imp.]],CD$9)</f>
        <v>0</v>
      </c>
      <c r="CE929" s="693">
        <f>SUMIFS(Imput[[Importe Neto]:[Importe Neto]],Imput[[C. Imp.]:[C. Imp.]],$D929,Imput[[PERIODO Imp.]:[PERIODO Imp.]],CE$9)</f>
        <v>0</v>
      </c>
      <c r="CF929" s="693">
        <f>SUMIFS(Imput[[Importe Neto]:[Importe Neto]],Imput[[C. Imp.]:[C. Imp.]],$D929,Imput[[PERIODO Imp.]:[PERIODO Imp.]],CF$9)</f>
        <v>0</v>
      </c>
      <c r="CG929" s="693">
        <f>SUMIFS(Imput[[Importe Neto]:[Importe Neto]],Imput[[C. Imp.]:[C. Imp.]],$D929,Imput[[PERIODO Imp.]:[PERIODO Imp.]],CG$9)</f>
        <v>0</v>
      </c>
      <c r="CH929" s="693">
        <f>SUMIFS(Imput[[Importe Neto]:[Importe Neto]],Imput[[C. Imp.]:[C. Imp.]],$D929,Imput[[PERIODO Imp.]:[PERIODO Imp.]],CH$9)</f>
        <v>0</v>
      </c>
      <c r="CI929" s="693">
        <f>SUMIFS(Imput[[Importe Neto]:[Importe Neto]],Imput[[C. Imp.]:[C. Imp.]],$D929,Imput[[PERIODO Imp.]:[PERIODO Imp.]],CI$9)</f>
        <v>0</v>
      </c>
      <c r="CJ929" s="693">
        <f>SUMIFS(Imput[[Importe Neto]:[Importe Neto]],Imput[[C. Imp.]:[C. Imp.]],$D929,Imput[[PERIODO Imp.]:[PERIODO Imp.]],CJ$9)</f>
        <v>0</v>
      </c>
      <c r="CK929" s="693">
        <f>SUMIFS(Imput[[Importe Neto]:[Importe Neto]],Imput[[C. Imp.]:[C. Imp.]],$D929,Imput[[PERIODO Imp.]:[PERIODO Imp.]],CK$9)</f>
        <v>0</v>
      </c>
      <c r="CL929" s="693">
        <f>SUMIFS(Imput[[Importe Neto]:[Importe Neto]],Imput[[C. Imp.]:[C. Imp.]],$D929,Imput[[PERIODO Imp.]:[PERIODO Imp.]],CL$9)</f>
        <v>0</v>
      </c>
      <c r="CM929" s="693">
        <f>SUMIFS(Imput[[Importe Neto]:[Importe Neto]],Imput[[C. Imp.]:[C. Imp.]],$D929,Imput[[PERIODO Imp.]:[PERIODO Imp.]],CM$9)</f>
        <v>0</v>
      </c>
      <c r="CN929" s="693">
        <f>SUMIFS(Imput[[Importe Neto]:[Importe Neto]],Imput[[C. Imp.]:[C. Imp.]],$D929,Imput[[PERIODO Imp.]:[PERIODO Imp.]],CN$9)</f>
        <v>0</v>
      </c>
      <c r="CO929" s="693">
        <f>SUMIFS(Imput[[Importe Neto]:[Importe Neto]],Imput[[C. Imp.]:[C. Imp.]],$D929,Imput[[PERIODO Imp.]:[PERIODO Imp.]],CO$9)</f>
        <v>0</v>
      </c>
      <c r="CP929" s="693">
        <f>SUMIFS(Imput[[Importe Neto]:[Importe Neto]],Imput[[C. Imp.]:[C. Imp.]],$D929,Imput[[PERIODO Imp.]:[PERIODO Imp.]],CP$9)</f>
        <v>0</v>
      </c>
      <c r="CQ929" s="693">
        <f>SUMIFS(Imput[[Importe Neto]:[Importe Neto]],Imput[[C. Imp.]:[C. Imp.]],$D929,Imput[[PERIODO Imp.]:[PERIODO Imp.]],CQ$9)</f>
        <v>0</v>
      </c>
      <c r="CR929" s="693">
        <f>SUMIFS(Imput[[Importe Neto]:[Importe Neto]],Imput[[C. Imp.]:[C. Imp.]],$D929,Imput[[PERIODO Imp.]:[PERIODO Imp.]],CR$9)</f>
        <v>0</v>
      </c>
      <c r="CS929" s="693">
        <f>SUMIFS(Imput[[Importe Neto]:[Importe Neto]],Imput[[C. Imp.]:[C. Imp.]],$D929,Imput[[PERIODO Imp.]:[PERIODO Imp.]],CS$9)</f>
        <v>0</v>
      </c>
      <c r="CT929" s="693">
        <f>SUMIFS(Imput[[Importe Neto]:[Importe Neto]],Imput[[C. Imp.]:[C. Imp.]],$D929,Imput[[PERIODO Imp.]:[PERIODO Imp.]],CT$9)</f>
        <v>0</v>
      </c>
      <c r="CU929" s="693">
        <f>SUMIFS(Imput[[Importe Neto]:[Importe Neto]],Imput[[C. Imp.]:[C. Imp.]],$D929,Imput[[PERIODO Imp.]:[PERIODO Imp.]],CU$9)</f>
        <v>0</v>
      </c>
      <c r="CV929" s="693">
        <f>SUMIFS(Imput[[Importe Neto]:[Importe Neto]],Imput[[C. Imp.]:[C. Imp.]],$D929,Imput[[PERIODO Imp.]:[PERIODO Imp.]],CV$9)</f>
        <v>0</v>
      </c>
      <c r="CW929" s="693">
        <f>SUMIFS(Imput[[Importe Neto]:[Importe Neto]],Imput[[C. Imp.]:[C. Imp.]],$D929,Imput[[PERIODO Imp.]:[PERIODO Imp.]],CW$9)</f>
        <v>0</v>
      </c>
      <c r="CX929" s="693">
        <f>SUMIFS(Imput[[Importe Neto]:[Importe Neto]],Imput[[C. Imp.]:[C. Imp.]],$D929,Imput[[PERIODO Imp.]:[PERIODO Imp.]],CX$9)</f>
        <v>0</v>
      </c>
      <c r="CY929" s="693">
        <f>SUMIFS(Imput[[Importe Neto]:[Importe Neto]],Imput[[C. Imp.]:[C. Imp.]],$D929,Imput[[PERIODO Imp.]:[PERIODO Imp.]],CY$9)</f>
        <v>0</v>
      </c>
      <c r="CZ929" s="693">
        <f>SUMIFS(Imput[[Importe Neto]:[Importe Neto]],Imput[[C. Imp.]:[C. Imp.]],$D929,Imput[[PERIODO Imp.]:[PERIODO Imp.]],CZ$9)</f>
        <v>0</v>
      </c>
      <c r="DA929" s="693">
        <f>SUMIFS(Imput[[Importe Neto]:[Importe Neto]],Imput[[C. Imp.]:[C. Imp.]],$D929,Imput[[PERIODO Imp.]:[PERIODO Imp.]],DA$9)</f>
        <v>0</v>
      </c>
      <c r="DB929" s="693">
        <f>SUMIFS(Imput[[Importe Neto]:[Importe Neto]],Imput[[C. Imp.]:[C. Imp.]],$D929,Imput[[PERIODO Imp.]:[PERIODO Imp.]],DB$9)</f>
        <v>0</v>
      </c>
      <c r="DC929" s="693">
        <f>SUMIFS(Imput[[Importe Neto]:[Importe Neto]],Imput[[C. Imp.]:[C. Imp.]],$D929,Imput[[PERIODO Imp.]:[PERIODO Imp.]],DC$9)</f>
        <v>0</v>
      </c>
      <c r="DD929" s="693">
        <f>SUMIFS(Imput[[Importe Neto]:[Importe Neto]],Imput[[C. Imp.]:[C. Imp.]],$D929,Imput[[PERIODO Imp.]:[PERIODO Imp.]],DD$9)</f>
        <v>0</v>
      </c>
      <c r="DE929" s="693">
        <f>SUMIFS(Imput[[Importe Neto]:[Importe Neto]],Imput[[C. Imp.]:[C. Imp.]],$D929,Imput[[PERIODO Imp.]:[PERIODO Imp.]],DE$9)</f>
        <v>0</v>
      </c>
      <c r="DF929" s="693">
        <f>SUMIFS(Imput[[Importe Neto]:[Importe Neto]],Imput[[C. Imp.]:[C. Imp.]],$D929,Imput[[PERIODO Imp.]:[PERIODO Imp.]],DF$9)</f>
        <v>0</v>
      </c>
      <c r="DG929" s="693">
        <f>SUMIFS(Imput[[Importe Neto]:[Importe Neto]],Imput[[C. Imp.]:[C. Imp.]],$D929,Imput[[PERIODO Imp.]:[PERIODO Imp.]],DG$9)</f>
        <v>0</v>
      </c>
      <c r="DH929" s="694">
        <f>SUMIFS(Imput[[Importe Neto]:[Importe Neto]],Imput[[C. Imp.]:[C. Imp.]],$D929,Imput[[PERIODO Imp.]:[PERIODO Imp.]],DH$9)</f>
        <v>0</v>
      </c>
    </row>
    <row r="930" spans="1:112" s="649" customFormat="1" ht="14.4" hidden="1" outlineLevel="1" thickBot="1" x14ac:dyDescent="0.35">
      <c r="A930" s="652" t="str">
        <f t="shared" si="314"/>
        <v/>
      </c>
      <c r="B930" s="652"/>
      <c r="C930" s="685"/>
      <c r="D930" s="686" t="s">
        <v>2894</v>
      </c>
      <c r="E930" s="686"/>
      <c r="F930" s="720"/>
      <c r="G930" s="688"/>
      <c r="H930" s="689"/>
      <c r="I930" s="851" t="str">
        <f t="shared" si="315"/>
        <v/>
      </c>
      <c r="J930" s="517" t="str">
        <f t="shared" si="316"/>
        <v/>
      </c>
      <c r="K930" s="667"/>
      <c r="L930" s="858"/>
      <c r="M930" s="859"/>
      <c r="N930" s="859"/>
      <c r="O930" s="859"/>
      <c r="P930" s="859"/>
      <c r="Q930" s="859"/>
      <c r="R930" s="859"/>
      <c r="S930" s="859"/>
      <c r="T930" s="859"/>
      <c r="U930" s="859"/>
      <c r="V930" s="859"/>
      <c r="W930" s="859"/>
      <c r="X930" s="859"/>
      <c r="Y930" s="859"/>
      <c r="Z930" s="860"/>
      <c r="AA930" s="860"/>
      <c r="AB930" s="860"/>
      <c r="AC930" s="860"/>
      <c r="AD930" s="860"/>
      <c r="AE930" s="860"/>
      <c r="AF930" s="860"/>
      <c r="AG930" s="860"/>
      <c r="AH930" s="860"/>
      <c r="AI930" s="860"/>
      <c r="AJ930" s="860"/>
      <c r="AK930" s="860"/>
      <c r="AL930" s="860"/>
      <c r="AM930" s="860"/>
      <c r="AN930" s="860"/>
      <c r="AO930" s="860"/>
      <c r="AP930" s="860"/>
      <c r="AQ930" s="860"/>
      <c r="AR930" s="860"/>
      <c r="AS930" s="860"/>
      <c r="AT930" s="860"/>
      <c r="AU930" s="860"/>
      <c r="AV930" s="860"/>
      <c r="AW930" s="860"/>
      <c r="AX930" s="860"/>
      <c r="AY930" s="860"/>
      <c r="AZ930" s="860"/>
      <c r="BA930" s="860"/>
      <c r="BB930" s="860"/>
      <c r="BC930" s="860"/>
      <c r="BD930" s="860"/>
      <c r="BE930" s="860"/>
      <c r="BF930" s="860"/>
      <c r="BG930" s="860"/>
      <c r="BH930" s="668"/>
      <c r="BI930" s="654"/>
      <c r="BJ930" s="690">
        <f t="shared" si="317"/>
        <v>0</v>
      </c>
      <c r="BK930" s="691">
        <f t="shared" si="318"/>
        <v>0</v>
      </c>
      <c r="BL930" s="654"/>
      <c r="BM930" s="692">
        <f>SUMIFS(Imput[[Importe Neto]:[Importe Neto]],Imput[[C. Imp.]:[C. Imp.]],$D930,Imput[[PERIODO Imp.]:[PERIODO Imp.]],BM$9)</f>
        <v>0</v>
      </c>
      <c r="BN930" s="693">
        <f>SUMIFS(Imput[[Importe Neto]:[Importe Neto]],Imput[[C. Imp.]:[C. Imp.]],$D930,Imput[[PERIODO Imp.]:[PERIODO Imp.]],BN$9)</f>
        <v>0</v>
      </c>
      <c r="BO930" s="693">
        <f>SUMIFS(Imput[[Importe Neto]:[Importe Neto]],Imput[[C. Imp.]:[C. Imp.]],$D930,Imput[[PERIODO Imp.]:[PERIODO Imp.]],BO$9)</f>
        <v>0</v>
      </c>
      <c r="BP930" s="693">
        <f>SUMIFS(Imput[[Importe Neto]:[Importe Neto]],Imput[[C. Imp.]:[C. Imp.]],$D930,Imput[[PERIODO Imp.]:[PERIODO Imp.]],BP$9)</f>
        <v>0</v>
      </c>
      <c r="BQ930" s="693">
        <f>SUMIFS(Imput[[Importe Neto]:[Importe Neto]],Imput[[C. Imp.]:[C. Imp.]],$D930,Imput[[PERIODO Imp.]:[PERIODO Imp.]],BQ$9)</f>
        <v>0</v>
      </c>
      <c r="BR930" s="693">
        <f>SUMIFS(Imput[[Importe Neto]:[Importe Neto]],Imput[[C. Imp.]:[C. Imp.]],$D930,Imput[[PERIODO Imp.]:[PERIODO Imp.]],BR$9)</f>
        <v>0</v>
      </c>
      <c r="BS930" s="693">
        <f>SUMIFS(Imput[[Importe Neto]:[Importe Neto]],Imput[[C. Imp.]:[C. Imp.]],$D930,Imput[[PERIODO Imp.]:[PERIODO Imp.]],BS$9)</f>
        <v>0</v>
      </c>
      <c r="BT930" s="693">
        <f>SUMIFS(Imput[[Importe Neto]:[Importe Neto]],Imput[[C. Imp.]:[C. Imp.]],$D930,Imput[[PERIODO Imp.]:[PERIODO Imp.]],BT$9)</f>
        <v>0</v>
      </c>
      <c r="BU930" s="693">
        <f>SUMIFS(Imput[[Importe Neto]:[Importe Neto]],Imput[[C. Imp.]:[C. Imp.]],$D930,Imput[[PERIODO Imp.]:[PERIODO Imp.]],BU$9)</f>
        <v>0</v>
      </c>
      <c r="BV930" s="693">
        <f>SUMIFS(Imput[[Importe Neto]:[Importe Neto]],Imput[[C. Imp.]:[C. Imp.]],$D930,Imput[[PERIODO Imp.]:[PERIODO Imp.]],BV$9)</f>
        <v>0</v>
      </c>
      <c r="BW930" s="693">
        <f>SUMIFS(Imput[[Importe Neto]:[Importe Neto]],Imput[[C. Imp.]:[C. Imp.]],$D930,Imput[[PERIODO Imp.]:[PERIODO Imp.]],BW$9)</f>
        <v>0</v>
      </c>
      <c r="BX930" s="693">
        <f>SUMIFS(Imput[[Importe Neto]:[Importe Neto]],Imput[[C. Imp.]:[C. Imp.]],$D930,Imput[[PERIODO Imp.]:[PERIODO Imp.]],BX$9)</f>
        <v>0</v>
      </c>
      <c r="BY930" s="693">
        <f>SUMIFS(Imput[[Importe Neto]:[Importe Neto]],Imput[[C. Imp.]:[C. Imp.]],$D930,Imput[[PERIODO Imp.]:[PERIODO Imp.]],BY$9)</f>
        <v>0</v>
      </c>
      <c r="BZ930" s="693">
        <f>SUMIFS(Imput[[Importe Neto]:[Importe Neto]],Imput[[C. Imp.]:[C. Imp.]],$D930,Imput[[PERIODO Imp.]:[PERIODO Imp.]],BZ$9)</f>
        <v>0</v>
      </c>
      <c r="CA930" s="693">
        <f>SUMIFS(Imput[[Importe Neto]:[Importe Neto]],Imput[[C. Imp.]:[C. Imp.]],$D930,Imput[[PERIODO Imp.]:[PERIODO Imp.]],CA$9)</f>
        <v>0</v>
      </c>
      <c r="CB930" s="693">
        <f>SUMIFS(Imput[[Importe Neto]:[Importe Neto]],Imput[[C. Imp.]:[C. Imp.]],$D930,Imput[[PERIODO Imp.]:[PERIODO Imp.]],CB$9)</f>
        <v>0</v>
      </c>
      <c r="CC930" s="693">
        <f>SUMIFS(Imput[[Importe Neto]:[Importe Neto]],Imput[[C. Imp.]:[C. Imp.]],$D930,Imput[[PERIODO Imp.]:[PERIODO Imp.]],CC$9)</f>
        <v>0</v>
      </c>
      <c r="CD930" s="693">
        <f>SUMIFS(Imput[[Importe Neto]:[Importe Neto]],Imput[[C. Imp.]:[C. Imp.]],$D930,Imput[[PERIODO Imp.]:[PERIODO Imp.]],CD$9)</f>
        <v>0</v>
      </c>
      <c r="CE930" s="693">
        <f>SUMIFS(Imput[[Importe Neto]:[Importe Neto]],Imput[[C. Imp.]:[C. Imp.]],$D930,Imput[[PERIODO Imp.]:[PERIODO Imp.]],CE$9)</f>
        <v>0</v>
      </c>
      <c r="CF930" s="693">
        <f>SUMIFS(Imput[[Importe Neto]:[Importe Neto]],Imput[[C. Imp.]:[C. Imp.]],$D930,Imput[[PERIODO Imp.]:[PERIODO Imp.]],CF$9)</f>
        <v>0</v>
      </c>
      <c r="CG930" s="693">
        <f>SUMIFS(Imput[[Importe Neto]:[Importe Neto]],Imput[[C. Imp.]:[C. Imp.]],$D930,Imput[[PERIODO Imp.]:[PERIODO Imp.]],CG$9)</f>
        <v>0</v>
      </c>
      <c r="CH930" s="693">
        <f>SUMIFS(Imput[[Importe Neto]:[Importe Neto]],Imput[[C. Imp.]:[C. Imp.]],$D930,Imput[[PERIODO Imp.]:[PERIODO Imp.]],CH$9)</f>
        <v>0</v>
      </c>
      <c r="CI930" s="693">
        <f>SUMIFS(Imput[[Importe Neto]:[Importe Neto]],Imput[[C. Imp.]:[C. Imp.]],$D930,Imput[[PERIODO Imp.]:[PERIODO Imp.]],CI$9)</f>
        <v>0</v>
      </c>
      <c r="CJ930" s="693">
        <f>SUMIFS(Imput[[Importe Neto]:[Importe Neto]],Imput[[C. Imp.]:[C. Imp.]],$D930,Imput[[PERIODO Imp.]:[PERIODO Imp.]],CJ$9)</f>
        <v>0</v>
      </c>
      <c r="CK930" s="693">
        <f>SUMIFS(Imput[[Importe Neto]:[Importe Neto]],Imput[[C. Imp.]:[C. Imp.]],$D930,Imput[[PERIODO Imp.]:[PERIODO Imp.]],CK$9)</f>
        <v>0</v>
      </c>
      <c r="CL930" s="693">
        <f>SUMIFS(Imput[[Importe Neto]:[Importe Neto]],Imput[[C. Imp.]:[C. Imp.]],$D930,Imput[[PERIODO Imp.]:[PERIODO Imp.]],CL$9)</f>
        <v>0</v>
      </c>
      <c r="CM930" s="693">
        <f>SUMIFS(Imput[[Importe Neto]:[Importe Neto]],Imput[[C. Imp.]:[C. Imp.]],$D930,Imput[[PERIODO Imp.]:[PERIODO Imp.]],CM$9)</f>
        <v>0</v>
      </c>
      <c r="CN930" s="693">
        <f>SUMIFS(Imput[[Importe Neto]:[Importe Neto]],Imput[[C. Imp.]:[C. Imp.]],$D930,Imput[[PERIODO Imp.]:[PERIODO Imp.]],CN$9)</f>
        <v>0</v>
      </c>
      <c r="CO930" s="693">
        <f>SUMIFS(Imput[[Importe Neto]:[Importe Neto]],Imput[[C. Imp.]:[C. Imp.]],$D930,Imput[[PERIODO Imp.]:[PERIODO Imp.]],CO$9)</f>
        <v>0</v>
      </c>
      <c r="CP930" s="693">
        <f>SUMIFS(Imput[[Importe Neto]:[Importe Neto]],Imput[[C. Imp.]:[C. Imp.]],$D930,Imput[[PERIODO Imp.]:[PERIODO Imp.]],CP$9)</f>
        <v>0</v>
      </c>
      <c r="CQ930" s="693">
        <f>SUMIFS(Imput[[Importe Neto]:[Importe Neto]],Imput[[C. Imp.]:[C. Imp.]],$D930,Imput[[PERIODO Imp.]:[PERIODO Imp.]],CQ$9)</f>
        <v>0</v>
      </c>
      <c r="CR930" s="693">
        <f>SUMIFS(Imput[[Importe Neto]:[Importe Neto]],Imput[[C. Imp.]:[C. Imp.]],$D930,Imput[[PERIODO Imp.]:[PERIODO Imp.]],CR$9)</f>
        <v>0</v>
      </c>
      <c r="CS930" s="693">
        <f>SUMIFS(Imput[[Importe Neto]:[Importe Neto]],Imput[[C. Imp.]:[C. Imp.]],$D930,Imput[[PERIODO Imp.]:[PERIODO Imp.]],CS$9)</f>
        <v>0</v>
      </c>
      <c r="CT930" s="693">
        <f>SUMIFS(Imput[[Importe Neto]:[Importe Neto]],Imput[[C. Imp.]:[C. Imp.]],$D930,Imput[[PERIODO Imp.]:[PERIODO Imp.]],CT$9)</f>
        <v>0</v>
      </c>
      <c r="CU930" s="693">
        <f>SUMIFS(Imput[[Importe Neto]:[Importe Neto]],Imput[[C. Imp.]:[C. Imp.]],$D930,Imput[[PERIODO Imp.]:[PERIODO Imp.]],CU$9)</f>
        <v>0</v>
      </c>
      <c r="CV930" s="693">
        <f>SUMIFS(Imput[[Importe Neto]:[Importe Neto]],Imput[[C. Imp.]:[C. Imp.]],$D930,Imput[[PERIODO Imp.]:[PERIODO Imp.]],CV$9)</f>
        <v>0</v>
      </c>
      <c r="CW930" s="693">
        <f>SUMIFS(Imput[[Importe Neto]:[Importe Neto]],Imput[[C. Imp.]:[C. Imp.]],$D930,Imput[[PERIODO Imp.]:[PERIODO Imp.]],CW$9)</f>
        <v>0</v>
      </c>
      <c r="CX930" s="693">
        <f>SUMIFS(Imput[[Importe Neto]:[Importe Neto]],Imput[[C. Imp.]:[C. Imp.]],$D930,Imput[[PERIODO Imp.]:[PERIODO Imp.]],CX$9)</f>
        <v>0</v>
      </c>
      <c r="CY930" s="693">
        <f>SUMIFS(Imput[[Importe Neto]:[Importe Neto]],Imput[[C. Imp.]:[C. Imp.]],$D930,Imput[[PERIODO Imp.]:[PERIODO Imp.]],CY$9)</f>
        <v>0</v>
      </c>
      <c r="CZ930" s="693">
        <f>SUMIFS(Imput[[Importe Neto]:[Importe Neto]],Imput[[C. Imp.]:[C. Imp.]],$D930,Imput[[PERIODO Imp.]:[PERIODO Imp.]],CZ$9)</f>
        <v>0</v>
      </c>
      <c r="DA930" s="693">
        <f>SUMIFS(Imput[[Importe Neto]:[Importe Neto]],Imput[[C. Imp.]:[C. Imp.]],$D930,Imput[[PERIODO Imp.]:[PERIODO Imp.]],DA$9)</f>
        <v>0</v>
      </c>
      <c r="DB930" s="693">
        <f>SUMIFS(Imput[[Importe Neto]:[Importe Neto]],Imput[[C. Imp.]:[C. Imp.]],$D930,Imput[[PERIODO Imp.]:[PERIODO Imp.]],DB$9)</f>
        <v>0</v>
      </c>
      <c r="DC930" s="693">
        <f>SUMIFS(Imput[[Importe Neto]:[Importe Neto]],Imput[[C. Imp.]:[C. Imp.]],$D930,Imput[[PERIODO Imp.]:[PERIODO Imp.]],DC$9)</f>
        <v>0</v>
      </c>
      <c r="DD930" s="693">
        <f>SUMIFS(Imput[[Importe Neto]:[Importe Neto]],Imput[[C. Imp.]:[C. Imp.]],$D930,Imput[[PERIODO Imp.]:[PERIODO Imp.]],DD$9)</f>
        <v>0</v>
      </c>
      <c r="DE930" s="693">
        <f>SUMIFS(Imput[[Importe Neto]:[Importe Neto]],Imput[[C. Imp.]:[C. Imp.]],$D930,Imput[[PERIODO Imp.]:[PERIODO Imp.]],DE$9)</f>
        <v>0</v>
      </c>
      <c r="DF930" s="693">
        <f>SUMIFS(Imput[[Importe Neto]:[Importe Neto]],Imput[[C. Imp.]:[C. Imp.]],$D930,Imput[[PERIODO Imp.]:[PERIODO Imp.]],DF$9)</f>
        <v>0</v>
      </c>
      <c r="DG930" s="693">
        <f>SUMIFS(Imput[[Importe Neto]:[Importe Neto]],Imput[[C. Imp.]:[C. Imp.]],$D930,Imput[[PERIODO Imp.]:[PERIODO Imp.]],DG$9)</f>
        <v>0</v>
      </c>
      <c r="DH930" s="694">
        <f>SUMIFS(Imput[[Importe Neto]:[Importe Neto]],Imput[[C. Imp.]:[C. Imp.]],$D930,Imput[[PERIODO Imp.]:[PERIODO Imp.]],DH$9)</f>
        <v>0</v>
      </c>
    </row>
    <row r="931" spans="1:112" s="651" customFormat="1" ht="14.4" hidden="1" outlineLevel="1" thickBot="1" x14ac:dyDescent="0.35">
      <c r="A931" s="652" t="str">
        <f t="shared" si="314"/>
        <v/>
      </c>
      <c r="B931" s="732"/>
      <c r="C931" s="685"/>
      <c r="D931" s="686" t="s">
        <v>2895</v>
      </c>
      <c r="E931" s="686"/>
      <c r="F931" s="720"/>
      <c r="G931" s="688"/>
      <c r="H931" s="689"/>
      <c r="I931" s="851" t="str">
        <f t="shared" si="315"/>
        <v/>
      </c>
      <c r="J931" s="517" t="str">
        <f t="shared" si="316"/>
        <v/>
      </c>
      <c r="K931" s="678"/>
      <c r="L931" s="858"/>
      <c r="M931" s="859"/>
      <c r="N931" s="859"/>
      <c r="O931" s="859"/>
      <c r="P931" s="859"/>
      <c r="Q931" s="859"/>
      <c r="R931" s="859"/>
      <c r="S931" s="859"/>
      <c r="T931" s="859"/>
      <c r="U931" s="859"/>
      <c r="V931" s="859"/>
      <c r="W931" s="859"/>
      <c r="X931" s="859"/>
      <c r="Y931" s="859"/>
      <c r="Z931" s="860"/>
      <c r="AA931" s="860"/>
      <c r="AB931" s="860"/>
      <c r="AC931" s="860"/>
      <c r="AD931" s="860"/>
      <c r="AE931" s="860"/>
      <c r="AF931" s="860"/>
      <c r="AG931" s="860"/>
      <c r="AH931" s="860"/>
      <c r="AI931" s="860"/>
      <c r="AJ931" s="860"/>
      <c r="AK931" s="860"/>
      <c r="AL931" s="860"/>
      <c r="AM931" s="860"/>
      <c r="AN931" s="860"/>
      <c r="AO931" s="860"/>
      <c r="AP931" s="860"/>
      <c r="AQ931" s="860"/>
      <c r="AR931" s="860"/>
      <c r="AS931" s="860"/>
      <c r="AT931" s="860"/>
      <c r="AU931" s="860"/>
      <c r="AV931" s="860"/>
      <c r="AW931" s="860"/>
      <c r="AX931" s="860"/>
      <c r="AY931" s="860"/>
      <c r="AZ931" s="860"/>
      <c r="BA931" s="860"/>
      <c r="BB931" s="860"/>
      <c r="BC931" s="860"/>
      <c r="BD931" s="860"/>
      <c r="BE931" s="860"/>
      <c r="BF931" s="860"/>
      <c r="BG931" s="860"/>
      <c r="BH931" s="668"/>
      <c r="BI931" s="678"/>
      <c r="BJ931" s="690">
        <f t="shared" si="317"/>
        <v>0</v>
      </c>
      <c r="BK931" s="691">
        <f t="shared" si="318"/>
        <v>0</v>
      </c>
      <c r="BL931" s="654"/>
      <c r="BM931" s="692">
        <f>SUMIFS(Imput[[Importe Neto]:[Importe Neto]],Imput[[C. Imp.]:[C. Imp.]],$D931,Imput[[PERIODO Imp.]:[PERIODO Imp.]],BM$9)</f>
        <v>0</v>
      </c>
      <c r="BN931" s="693">
        <f>SUMIFS(Imput[[Importe Neto]:[Importe Neto]],Imput[[C. Imp.]:[C. Imp.]],$D931,Imput[[PERIODO Imp.]:[PERIODO Imp.]],BN$9)</f>
        <v>0</v>
      </c>
      <c r="BO931" s="693">
        <f>SUMIFS(Imput[[Importe Neto]:[Importe Neto]],Imput[[C. Imp.]:[C. Imp.]],$D931,Imput[[PERIODO Imp.]:[PERIODO Imp.]],BO$9)</f>
        <v>0</v>
      </c>
      <c r="BP931" s="693">
        <f>SUMIFS(Imput[[Importe Neto]:[Importe Neto]],Imput[[C. Imp.]:[C. Imp.]],$D931,Imput[[PERIODO Imp.]:[PERIODO Imp.]],BP$9)</f>
        <v>0</v>
      </c>
      <c r="BQ931" s="693">
        <f>SUMIFS(Imput[[Importe Neto]:[Importe Neto]],Imput[[C. Imp.]:[C. Imp.]],$D931,Imput[[PERIODO Imp.]:[PERIODO Imp.]],BQ$9)</f>
        <v>0</v>
      </c>
      <c r="BR931" s="693">
        <f>SUMIFS(Imput[[Importe Neto]:[Importe Neto]],Imput[[C. Imp.]:[C. Imp.]],$D931,Imput[[PERIODO Imp.]:[PERIODO Imp.]],BR$9)</f>
        <v>0</v>
      </c>
      <c r="BS931" s="693">
        <f>SUMIFS(Imput[[Importe Neto]:[Importe Neto]],Imput[[C. Imp.]:[C. Imp.]],$D931,Imput[[PERIODO Imp.]:[PERIODO Imp.]],BS$9)</f>
        <v>0</v>
      </c>
      <c r="BT931" s="693">
        <f>SUMIFS(Imput[[Importe Neto]:[Importe Neto]],Imput[[C. Imp.]:[C. Imp.]],$D931,Imput[[PERIODO Imp.]:[PERIODO Imp.]],BT$9)</f>
        <v>0</v>
      </c>
      <c r="BU931" s="693">
        <f>SUMIFS(Imput[[Importe Neto]:[Importe Neto]],Imput[[C. Imp.]:[C. Imp.]],$D931,Imput[[PERIODO Imp.]:[PERIODO Imp.]],BU$9)</f>
        <v>0</v>
      </c>
      <c r="BV931" s="693">
        <f>SUMIFS(Imput[[Importe Neto]:[Importe Neto]],Imput[[C. Imp.]:[C. Imp.]],$D931,Imput[[PERIODO Imp.]:[PERIODO Imp.]],BV$9)</f>
        <v>0</v>
      </c>
      <c r="BW931" s="693">
        <f>SUMIFS(Imput[[Importe Neto]:[Importe Neto]],Imput[[C. Imp.]:[C. Imp.]],$D931,Imput[[PERIODO Imp.]:[PERIODO Imp.]],BW$9)</f>
        <v>0</v>
      </c>
      <c r="BX931" s="693">
        <f>SUMIFS(Imput[[Importe Neto]:[Importe Neto]],Imput[[C. Imp.]:[C. Imp.]],$D931,Imput[[PERIODO Imp.]:[PERIODO Imp.]],BX$9)</f>
        <v>0</v>
      </c>
      <c r="BY931" s="693">
        <f>SUMIFS(Imput[[Importe Neto]:[Importe Neto]],Imput[[C. Imp.]:[C. Imp.]],$D931,Imput[[PERIODO Imp.]:[PERIODO Imp.]],BY$9)</f>
        <v>0</v>
      </c>
      <c r="BZ931" s="693">
        <f>SUMIFS(Imput[[Importe Neto]:[Importe Neto]],Imput[[C. Imp.]:[C. Imp.]],$D931,Imput[[PERIODO Imp.]:[PERIODO Imp.]],BZ$9)</f>
        <v>0</v>
      </c>
      <c r="CA931" s="693">
        <f>SUMIFS(Imput[[Importe Neto]:[Importe Neto]],Imput[[C. Imp.]:[C. Imp.]],$D931,Imput[[PERIODO Imp.]:[PERIODO Imp.]],CA$9)</f>
        <v>0</v>
      </c>
      <c r="CB931" s="693">
        <f>SUMIFS(Imput[[Importe Neto]:[Importe Neto]],Imput[[C. Imp.]:[C. Imp.]],$D931,Imput[[PERIODO Imp.]:[PERIODO Imp.]],CB$9)</f>
        <v>0</v>
      </c>
      <c r="CC931" s="693">
        <f>SUMIFS(Imput[[Importe Neto]:[Importe Neto]],Imput[[C. Imp.]:[C. Imp.]],$D931,Imput[[PERIODO Imp.]:[PERIODO Imp.]],CC$9)</f>
        <v>0</v>
      </c>
      <c r="CD931" s="693">
        <f>SUMIFS(Imput[[Importe Neto]:[Importe Neto]],Imput[[C. Imp.]:[C. Imp.]],$D931,Imput[[PERIODO Imp.]:[PERIODO Imp.]],CD$9)</f>
        <v>0</v>
      </c>
      <c r="CE931" s="693">
        <f>SUMIFS(Imput[[Importe Neto]:[Importe Neto]],Imput[[C. Imp.]:[C. Imp.]],$D931,Imput[[PERIODO Imp.]:[PERIODO Imp.]],CE$9)</f>
        <v>0</v>
      </c>
      <c r="CF931" s="693">
        <f>SUMIFS(Imput[[Importe Neto]:[Importe Neto]],Imput[[C. Imp.]:[C. Imp.]],$D931,Imput[[PERIODO Imp.]:[PERIODO Imp.]],CF$9)</f>
        <v>0</v>
      </c>
      <c r="CG931" s="693">
        <f>SUMIFS(Imput[[Importe Neto]:[Importe Neto]],Imput[[C. Imp.]:[C. Imp.]],$D931,Imput[[PERIODO Imp.]:[PERIODO Imp.]],CG$9)</f>
        <v>0</v>
      </c>
      <c r="CH931" s="693">
        <f>SUMIFS(Imput[[Importe Neto]:[Importe Neto]],Imput[[C. Imp.]:[C. Imp.]],$D931,Imput[[PERIODO Imp.]:[PERIODO Imp.]],CH$9)</f>
        <v>0</v>
      </c>
      <c r="CI931" s="693">
        <f>SUMIFS(Imput[[Importe Neto]:[Importe Neto]],Imput[[C. Imp.]:[C. Imp.]],$D931,Imput[[PERIODO Imp.]:[PERIODO Imp.]],CI$9)</f>
        <v>0</v>
      </c>
      <c r="CJ931" s="693">
        <f>SUMIFS(Imput[[Importe Neto]:[Importe Neto]],Imput[[C. Imp.]:[C. Imp.]],$D931,Imput[[PERIODO Imp.]:[PERIODO Imp.]],CJ$9)</f>
        <v>0</v>
      </c>
      <c r="CK931" s="693">
        <f>SUMIFS(Imput[[Importe Neto]:[Importe Neto]],Imput[[C. Imp.]:[C. Imp.]],$D931,Imput[[PERIODO Imp.]:[PERIODO Imp.]],CK$9)</f>
        <v>0</v>
      </c>
      <c r="CL931" s="693">
        <f>SUMIFS(Imput[[Importe Neto]:[Importe Neto]],Imput[[C. Imp.]:[C. Imp.]],$D931,Imput[[PERIODO Imp.]:[PERIODO Imp.]],CL$9)</f>
        <v>0</v>
      </c>
      <c r="CM931" s="693">
        <f>SUMIFS(Imput[[Importe Neto]:[Importe Neto]],Imput[[C. Imp.]:[C. Imp.]],$D931,Imput[[PERIODO Imp.]:[PERIODO Imp.]],CM$9)</f>
        <v>0</v>
      </c>
      <c r="CN931" s="693">
        <f>SUMIFS(Imput[[Importe Neto]:[Importe Neto]],Imput[[C. Imp.]:[C. Imp.]],$D931,Imput[[PERIODO Imp.]:[PERIODO Imp.]],CN$9)</f>
        <v>0</v>
      </c>
      <c r="CO931" s="693">
        <f>SUMIFS(Imput[[Importe Neto]:[Importe Neto]],Imput[[C. Imp.]:[C. Imp.]],$D931,Imput[[PERIODO Imp.]:[PERIODO Imp.]],CO$9)</f>
        <v>0</v>
      </c>
      <c r="CP931" s="693">
        <f>SUMIFS(Imput[[Importe Neto]:[Importe Neto]],Imput[[C. Imp.]:[C. Imp.]],$D931,Imput[[PERIODO Imp.]:[PERIODO Imp.]],CP$9)</f>
        <v>0</v>
      </c>
      <c r="CQ931" s="693">
        <f>SUMIFS(Imput[[Importe Neto]:[Importe Neto]],Imput[[C. Imp.]:[C. Imp.]],$D931,Imput[[PERIODO Imp.]:[PERIODO Imp.]],CQ$9)</f>
        <v>0</v>
      </c>
      <c r="CR931" s="693">
        <f>SUMIFS(Imput[[Importe Neto]:[Importe Neto]],Imput[[C. Imp.]:[C. Imp.]],$D931,Imput[[PERIODO Imp.]:[PERIODO Imp.]],CR$9)</f>
        <v>0</v>
      </c>
      <c r="CS931" s="693">
        <f>SUMIFS(Imput[[Importe Neto]:[Importe Neto]],Imput[[C. Imp.]:[C. Imp.]],$D931,Imput[[PERIODO Imp.]:[PERIODO Imp.]],CS$9)</f>
        <v>0</v>
      </c>
      <c r="CT931" s="693">
        <f>SUMIFS(Imput[[Importe Neto]:[Importe Neto]],Imput[[C. Imp.]:[C. Imp.]],$D931,Imput[[PERIODO Imp.]:[PERIODO Imp.]],CT$9)</f>
        <v>0</v>
      </c>
      <c r="CU931" s="693">
        <f>SUMIFS(Imput[[Importe Neto]:[Importe Neto]],Imput[[C. Imp.]:[C. Imp.]],$D931,Imput[[PERIODO Imp.]:[PERIODO Imp.]],CU$9)</f>
        <v>0</v>
      </c>
      <c r="CV931" s="693">
        <f>SUMIFS(Imput[[Importe Neto]:[Importe Neto]],Imput[[C. Imp.]:[C. Imp.]],$D931,Imput[[PERIODO Imp.]:[PERIODO Imp.]],CV$9)</f>
        <v>0</v>
      </c>
      <c r="CW931" s="693">
        <f>SUMIFS(Imput[[Importe Neto]:[Importe Neto]],Imput[[C. Imp.]:[C. Imp.]],$D931,Imput[[PERIODO Imp.]:[PERIODO Imp.]],CW$9)</f>
        <v>0</v>
      </c>
      <c r="CX931" s="693">
        <f>SUMIFS(Imput[[Importe Neto]:[Importe Neto]],Imput[[C. Imp.]:[C. Imp.]],$D931,Imput[[PERIODO Imp.]:[PERIODO Imp.]],CX$9)</f>
        <v>0</v>
      </c>
      <c r="CY931" s="693">
        <f>SUMIFS(Imput[[Importe Neto]:[Importe Neto]],Imput[[C. Imp.]:[C. Imp.]],$D931,Imput[[PERIODO Imp.]:[PERIODO Imp.]],CY$9)</f>
        <v>0</v>
      </c>
      <c r="CZ931" s="693">
        <f>SUMIFS(Imput[[Importe Neto]:[Importe Neto]],Imput[[C. Imp.]:[C. Imp.]],$D931,Imput[[PERIODO Imp.]:[PERIODO Imp.]],CZ$9)</f>
        <v>0</v>
      </c>
      <c r="DA931" s="693">
        <f>SUMIFS(Imput[[Importe Neto]:[Importe Neto]],Imput[[C. Imp.]:[C. Imp.]],$D931,Imput[[PERIODO Imp.]:[PERIODO Imp.]],DA$9)</f>
        <v>0</v>
      </c>
      <c r="DB931" s="693">
        <f>SUMIFS(Imput[[Importe Neto]:[Importe Neto]],Imput[[C. Imp.]:[C. Imp.]],$D931,Imput[[PERIODO Imp.]:[PERIODO Imp.]],DB$9)</f>
        <v>0</v>
      </c>
      <c r="DC931" s="693">
        <f>SUMIFS(Imput[[Importe Neto]:[Importe Neto]],Imput[[C. Imp.]:[C. Imp.]],$D931,Imput[[PERIODO Imp.]:[PERIODO Imp.]],DC$9)</f>
        <v>0</v>
      </c>
      <c r="DD931" s="693">
        <f>SUMIFS(Imput[[Importe Neto]:[Importe Neto]],Imput[[C. Imp.]:[C. Imp.]],$D931,Imput[[PERIODO Imp.]:[PERIODO Imp.]],DD$9)</f>
        <v>0</v>
      </c>
      <c r="DE931" s="693">
        <f>SUMIFS(Imput[[Importe Neto]:[Importe Neto]],Imput[[C. Imp.]:[C. Imp.]],$D931,Imput[[PERIODO Imp.]:[PERIODO Imp.]],DE$9)</f>
        <v>0</v>
      </c>
      <c r="DF931" s="693">
        <f>SUMIFS(Imput[[Importe Neto]:[Importe Neto]],Imput[[C. Imp.]:[C. Imp.]],$D931,Imput[[PERIODO Imp.]:[PERIODO Imp.]],DF$9)</f>
        <v>0</v>
      </c>
      <c r="DG931" s="693">
        <f>SUMIFS(Imput[[Importe Neto]:[Importe Neto]],Imput[[C. Imp.]:[C. Imp.]],$D931,Imput[[PERIODO Imp.]:[PERIODO Imp.]],DG$9)</f>
        <v>0</v>
      </c>
      <c r="DH931" s="694">
        <f>SUMIFS(Imput[[Importe Neto]:[Importe Neto]],Imput[[C. Imp.]:[C. Imp.]],$D931,Imput[[PERIODO Imp.]:[PERIODO Imp.]],DH$9)</f>
        <v>0</v>
      </c>
    </row>
    <row r="932" spans="1:112" s="651" customFormat="1" ht="14.4" hidden="1" outlineLevel="1" thickBot="1" x14ac:dyDescent="0.35">
      <c r="A932" s="652" t="str">
        <f t="shared" si="314"/>
        <v/>
      </c>
      <c r="B932" s="732"/>
      <c r="C932" s="685"/>
      <c r="D932" s="686" t="s">
        <v>2896</v>
      </c>
      <c r="E932" s="686"/>
      <c r="F932" s="720"/>
      <c r="G932" s="688"/>
      <c r="H932" s="689"/>
      <c r="I932" s="851" t="str">
        <f t="shared" si="315"/>
        <v/>
      </c>
      <c r="J932" s="517" t="str">
        <f t="shared" si="316"/>
        <v/>
      </c>
      <c r="K932" s="678"/>
      <c r="L932" s="858"/>
      <c r="M932" s="859"/>
      <c r="N932" s="859"/>
      <c r="O932" s="859"/>
      <c r="P932" s="859"/>
      <c r="Q932" s="859"/>
      <c r="R932" s="859"/>
      <c r="S932" s="859"/>
      <c r="T932" s="859"/>
      <c r="U932" s="859"/>
      <c r="V932" s="859"/>
      <c r="W932" s="859"/>
      <c r="X932" s="859"/>
      <c r="Y932" s="859"/>
      <c r="Z932" s="860"/>
      <c r="AA932" s="860"/>
      <c r="AB932" s="860"/>
      <c r="AC932" s="860"/>
      <c r="AD932" s="860"/>
      <c r="AE932" s="860"/>
      <c r="AF932" s="860"/>
      <c r="AG932" s="860"/>
      <c r="AH932" s="860"/>
      <c r="AI932" s="860"/>
      <c r="AJ932" s="860"/>
      <c r="AK932" s="860"/>
      <c r="AL932" s="860"/>
      <c r="AM932" s="860"/>
      <c r="AN932" s="860"/>
      <c r="AO932" s="860"/>
      <c r="AP932" s="860"/>
      <c r="AQ932" s="860"/>
      <c r="AR932" s="860"/>
      <c r="AS932" s="860"/>
      <c r="AT932" s="860"/>
      <c r="AU932" s="860"/>
      <c r="AV932" s="860"/>
      <c r="AW932" s="860"/>
      <c r="AX932" s="860"/>
      <c r="AY932" s="860"/>
      <c r="AZ932" s="860"/>
      <c r="BA932" s="860"/>
      <c r="BB932" s="860"/>
      <c r="BC932" s="860"/>
      <c r="BD932" s="860"/>
      <c r="BE932" s="860"/>
      <c r="BF932" s="860"/>
      <c r="BG932" s="860"/>
      <c r="BH932" s="668"/>
      <c r="BI932" s="678"/>
      <c r="BJ932" s="690">
        <f t="shared" si="317"/>
        <v>0</v>
      </c>
      <c r="BK932" s="691">
        <f t="shared" si="318"/>
        <v>0</v>
      </c>
      <c r="BL932" s="654"/>
      <c r="BM932" s="692">
        <f>SUMIFS(Imput[[Importe Neto]:[Importe Neto]],Imput[[C. Imp.]:[C. Imp.]],$D932,Imput[[PERIODO Imp.]:[PERIODO Imp.]],BM$9)</f>
        <v>0</v>
      </c>
      <c r="BN932" s="693">
        <f>SUMIFS(Imput[[Importe Neto]:[Importe Neto]],Imput[[C. Imp.]:[C. Imp.]],$D932,Imput[[PERIODO Imp.]:[PERIODO Imp.]],BN$9)</f>
        <v>0</v>
      </c>
      <c r="BO932" s="693">
        <f>SUMIFS(Imput[[Importe Neto]:[Importe Neto]],Imput[[C. Imp.]:[C. Imp.]],$D932,Imput[[PERIODO Imp.]:[PERIODO Imp.]],BO$9)</f>
        <v>0</v>
      </c>
      <c r="BP932" s="693">
        <f>SUMIFS(Imput[[Importe Neto]:[Importe Neto]],Imput[[C. Imp.]:[C. Imp.]],$D932,Imput[[PERIODO Imp.]:[PERIODO Imp.]],BP$9)</f>
        <v>0</v>
      </c>
      <c r="BQ932" s="693">
        <f>SUMIFS(Imput[[Importe Neto]:[Importe Neto]],Imput[[C. Imp.]:[C. Imp.]],$D932,Imput[[PERIODO Imp.]:[PERIODO Imp.]],BQ$9)</f>
        <v>0</v>
      </c>
      <c r="BR932" s="693">
        <f>SUMIFS(Imput[[Importe Neto]:[Importe Neto]],Imput[[C. Imp.]:[C. Imp.]],$D932,Imput[[PERIODO Imp.]:[PERIODO Imp.]],BR$9)</f>
        <v>0</v>
      </c>
      <c r="BS932" s="693">
        <f>SUMIFS(Imput[[Importe Neto]:[Importe Neto]],Imput[[C. Imp.]:[C. Imp.]],$D932,Imput[[PERIODO Imp.]:[PERIODO Imp.]],BS$9)</f>
        <v>0</v>
      </c>
      <c r="BT932" s="693">
        <f>SUMIFS(Imput[[Importe Neto]:[Importe Neto]],Imput[[C. Imp.]:[C. Imp.]],$D932,Imput[[PERIODO Imp.]:[PERIODO Imp.]],BT$9)</f>
        <v>0</v>
      </c>
      <c r="BU932" s="693">
        <f>SUMIFS(Imput[[Importe Neto]:[Importe Neto]],Imput[[C. Imp.]:[C. Imp.]],$D932,Imput[[PERIODO Imp.]:[PERIODO Imp.]],BU$9)</f>
        <v>0</v>
      </c>
      <c r="BV932" s="693">
        <f>SUMIFS(Imput[[Importe Neto]:[Importe Neto]],Imput[[C. Imp.]:[C. Imp.]],$D932,Imput[[PERIODO Imp.]:[PERIODO Imp.]],BV$9)</f>
        <v>0</v>
      </c>
      <c r="BW932" s="693">
        <f>SUMIFS(Imput[[Importe Neto]:[Importe Neto]],Imput[[C. Imp.]:[C. Imp.]],$D932,Imput[[PERIODO Imp.]:[PERIODO Imp.]],BW$9)</f>
        <v>0</v>
      </c>
      <c r="BX932" s="693">
        <f>SUMIFS(Imput[[Importe Neto]:[Importe Neto]],Imput[[C. Imp.]:[C. Imp.]],$D932,Imput[[PERIODO Imp.]:[PERIODO Imp.]],BX$9)</f>
        <v>0</v>
      </c>
      <c r="BY932" s="693">
        <f>SUMIFS(Imput[[Importe Neto]:[Importe Neto]],Imput[[C. Imp.]:[C. Imp.]],$D932,Imput[[PERIODO Imp.]:[PERIODO Imp.]],BY$9)</f>
        <v>0</v>
      </c>
      <c r="BZ932" s="693">
        <f>SUMIFS(Imput[[Importe Neto]:[Importe Neto]],Imput[[C. Imp.]:[C. Imp.]],$D932,Imput[[PERIODO Imp.]:[PERIODO Imp.]],BZ$9)</f>
        <v>0</v>
      </c>
      <c r="CA932" s="693">
        <f>SUMIFS(Imput[[Importe Neto]:[Importe Neto]],Imput[[C. Imp.]:[C. Imp.]],$D932,Imput[[PERIODO Imp.]:[PERIODO Imp.]],CA$9)</f>
        <v>0</v>
      </c>
      <c r="CB932" s="693">
        <f>SUMIFS(Imput[[Importe Neto]:[Importe Neto]],Imput[[C. Imp.]:[C. Imp.]],$D932,Imput[[PERIODO Imp.]:[PERIODO Imp.]],CB$9)</f>
        <v>0</v>
      </c>
      <c r="CC932" s="693">
        <f>SUMIFS(Imput[[Importe Neto]:[Importe Neto]],Imput[[C. Imp.]:[C. Imp.]],$D932,Imput[[PERIODO Imp.]:[PERIODO Imp.]],CC$9)</f>
        <v>0</v>
      </c>
      <c r="CD932" s="693">
        <f>SUMIFS(Imput[[Importe Neto]:[Importe Neto]],Imput[[C. Imp.]:[C. Imp.]],$D932,Imput[[PERIODO Imp.]:[PERIODO Imp.]],CD$9)</f>
        <v>0</v>
      </c>
      <c r="CE932" s="693">
        <f>SUMIFS(Imput[[Importe Neto]:[Importe Neto]],Imput[[C. Imp.]:[C. Imp.]],$D932,Imput[[PERIODO Imp.]:[PERIODO Imp.]],CE$9)</f>
        <v>0</v>
      </c>
      <c r="CF932" s="693">
        <f>SUMIFS(Imput[[Importe Neto]:[Importe Neto]],Imput[[C. Imp.]:[C. Imp.]],$D932,Imput[[PERIODO Imp.]:[PERIODO Imp.]],CF$9)</f>
        <v>0</v>
      </c>
      <c r="CG932" s="693">
        <f>SUMIFS(Imput[[Importe Neto]:[Importe Neto]],Imput[[C. Imp.]:[C. Imp.]],$D932,Imput[[PERIODO Imp.]:[PERIODO Imp.]],CG$9)</f>
        <v>0</v>
      </c>
      <c r="CH932" s="693">
        <f>SUMIFS(Imput[[Importe Neto]:[Importe Neto]],Imput[[C. Imp.]:[C. Imp.]],$D932,Imput[[PERIODO Imp.]:[PERIODO Imp.]],CH$9)</f>
        <v>0</v>
      </c>
      <c r="CI932" s="693">
        <f>SUMIFS(Imput[[Importe Neto]:[Importe Neto]],Imput[[C. Imp.]:[C. Imp.]],$D932,Imput[[PERIODO Imp.]:[PERIODO Imp.]],CI$9)</f>
        <v>0</v>
      </c>
      <c r="CJ932" s="693">
        <f>SUMIFS(Imput[[Importe Neto]:[Importe Neto]],Imput[[C. Imp.]:[C. Imp.]],$D932,Imput[[PERIODO Imp.]:[PERIODO Imp.]],CJ$9)</f>
        <v>0</v>
      </c>
      <c r="CK932" s="693">
        <f>SUMIFS(Imput[[Importe Neto]:[Importe Neto]],Imput[[C. Imp.]:[C. Imp.]],$D932,Imput[[PERIODO Imp.]:[PERIODO Imp.]],CK$9)</f>
        <v>0</v>
      </c>
      <c r="CL932" s="693">
        <f>SUMIFS(Imput[[Importe Neto]:[Importe Neto]],Imput[[C. Imp.]:[C. Imp.]],$D932,Imput[[PERIODO Imp.]:[PERIODO Imp.]],CL$9)</f>
        <v>0</v>
      </c>
      <c r="CM932" s="693">
        <f>SUMIFS(Imput[[Importe Neto]:[Importe Neto]],Imput[[C. Imp.]:[C. Imp.]],$D932,Imput[[PERIODO Imp.]:[PERIODO Imp.]],CM$9)</f>
        <v>0</v>
      </c>
      <c r="CN932" s="693">
        <f>SUMIFS(Imput[[Importe Neto]:[Importe Neto]],Imput[[C. Imp.]:[C. Imp.]],$D932,Imput[[PERIODO Imp.]:[PERIODO Imp.]],CN$9)</f>
        <v>0</v>
      </c>
      <c r="CO932" s="693">
        <f>SUMIFS(Imput[[Importe Neto]:[Importe Neto]],Imput[[C. Imp.]:[C. Imp.]],$D932,Imput[[PERIODO Imp.]:[PERIODO Imp.]],CO$9)</f>
        <v>0</v>
      </c>
      <c r="CP932" s="693">
        <f>SUMIFS(Imput[[Importe Neto]:[Importe Neto]],Imput[[C. Imp.]:[C. Imp.]],$D932,Imput[[PERIODO Imp.]:[PERIODO Imp.]],CP$9)</f>
        <v>0</v>
      </c>
      <c r="CQ932" s="693">
        <f>SUMIFS(Imput[[Importe Neto]:[Importe Neto]],Imput[[C. Imp.]:[C. Imp.]],$D932,Imput[[PERIODO Imp.]:[PERIODO Imp.]],CQ$9)</f>
        <v>0</v>
      </c>
      <c r="CR932" s="693">
        <f>SUMIFS(Imput[[Importe Neto]:[Importe Neto]],Imput[[C. Imp.]:[C. Imp.]],$D932,Imput[[PERIODO Imp.]:[PERIODO Imp.]],CR$9)</f>
        <v>0</v>
      </c>
      <c r="CS932" s="693">
        <f>SUMIFS(Imput[[Importe Neto]:[Importe Neto]],Imput[[C. Imp.]:[C. Imp.]],$D932,Imput[[PERIODO Imp.]:[PERIODO Imp.]],CS$9)</f>
        <v>0</v>
      </c>
      <c r="CT932" s="693">
        <f>SUMIFS(Imput[[Importe Neto]:[Importe Neto]],Imput[[C. Imp.]:[C. Imp.]],$D932,Imput[[PERIODO Imp.]:[PERIODO Imp.]],CT$9)</f>
        <v>0</v>
      </c>
      <c r="CU932" s="693">
        <f>SUMIFS(Imput[[Importe Neto]:[Importe Neto]],Imput[[C. Imp.]:[C. Imp.]],$D932,Imput[[PERIODO Imp.]:[PERIODO Imp.]],CU$9)</f>
        <v>0</v>
      </c>
      <c r="CV932" s="693">
        <f>SUMIFS(Imput[[Importe Neto]:[Importe Neto]],Imput[[C. Imp.]:[C. Imp.]],$D932,Imput[[PERIODO Imp.]:[PERIODO Imp.]],CV$9)</f>
        <v>0</v>
      </c>
      <c r="CW932" s="693">
        <f>SUMIFS(Imput[[Importe Neto]:[Importe Neto]],Imput[[C. Imp.]:[C. Imp.]],$D932,Imput[[PERIODO Imp.]:[PERIODO Imp.]],CW$9)</f>
        <v>0</v>
      </c>
      <c r="CX932" s="693">
        <f>SUMIFS(Imput[[Importe Neto]:[Importe Neto]],Imput[[C. Imp.]:[C. Imp.]],$D932,Imput[[PERIODO Imp.]:[PERIODO Imp.]],CX$9)</f>
        <v>0</v>
      </c>
      <c r="CY932" s="693">
        <f>SUMIFS(Imput[[Importe Neto]:[Importe Neto]],Imput[[C. Imp.]:[C. Imp.]],$D932,Imput[[PERIODO Imp.]:[PERIODO Imp.]],CY$9)</f>
        <v>0</v>
      </c>
      <c r="CZ932" s="693">
        <f>SUMIFS(Imput[[Importe Neto]:[Importe Neto]],Imput[[C. Imp.]:[C. Imp.]],$D932,Imput[[PERIODO Imp.]:[PERIODO Imp.]],CZ$9)</f>
        <v>0</v>
      </c>
      <c r="DA932" s="693">
        <f>SUMIFS(Imput[[Importe Neto]:[Importe Neto]],Imput[[C. Imp.]:[C. Imp.]],$D932,Imput[[PERIODO Imp.]:[PERIODO Imp.]],DA$9)</f>
        <v>0</v>
      </c>
      <c r="DB932" s="693">
        <f>SUMIFS(Imput[[Importe Neto]:[Importe Neto]],Imput[[C. Imp.]:[C. Imp.]],$D932,Imput[[PERIODO Imp.]:[PERIODO Imp.]],DB$9)</f>
        <v>0</v>
      </c>
      <c r="DC932" s="693">
        <f>SUMIFS(Imput[[Importe Neto]:[Importe Neto]],Imput[[C. Imp.]:[C. Imp.]],$D932,Imput[[PERIODO Imp.]:[PERIODO Imp.]],DC$9)</f>
        <v>0</v>
      </c>
      <c r="DD932" s="693">
        <f>SUMIFS(Imput[[Importe Neto]:[Importe Neto]],Imput[[C. Imp.]:[C. Imp.]],$D932,Imput[[PERIODO Imp.]:[PERIODO Imp.]],DD$9)</f>
        <v>0</v>
      </c>
      <c r="DE932" s="693">
        <f>SUMIFS(Imput[[Importe Neto]:[Importe Neto]],Imput[[C. Imp.]:[C. Imp.]],$D932,Imput[[PERIODO Imp.]:[PERIODO Imp.]],DE$9)</f>
        <v>0</v>
      </c>
      <c r="DF932" s="693">
        <f>SUMIFS(Imput[[Importe Neto]:[Importe Neto]],Imput[[C. Imp.]:[C. Imp.]],$D932,Imput[[PERIODO Imp.]:[PERIODO Imp.]],DF$9)</f>
        <v>0</v>
      </c>
      <c r="DG932" s="693">
        <f>SUMIFS(Imput[[Importe Neto]:[Importe Neto]],Imput[[C. Imp.]:[C. Imp.]],$D932,Imput[[PERIODO Imp.]:[PERIODO Imp.]],DG$9)</f>
        <v>0</v>
      </c>
      <c r="DH932" s="694">
        <f>SUMIFS(Imput[[Importe Neto]:[Importe Neto]],Imput[[C. Imp.]:[C. Imp.]],$D932,Imput[[PERIODO Imp.]:[PERIODO Imp.]],DH$9)</f>
        <v>0</v>
      </c>
    </row>
    <row r="933" spans="1:112" s="651" customFormat="1" ht="14.4" hidden="1" outlineLevel="1" thickBot="1" x14ac:dyDescent="0.35">
      <c r="A933" s="652" t="str">
        <f t="shared" si="314"/>
        <v/>
      </c>
      <c r="B933" s="732"/>
      <c r="C933" s="685"/>
      <c r="D933" s="686" t="s">
        <v>2897</v>
      </c>
      <c r="E933" s="733"/>
      <c r="F933" s="720"/>
      <c r="G933" s="688"/>
      <c r="H933" s="734"/>
      <c r="I933" s="851" t="str">
        <f t="shared" si="315"/>
        <v/>
      </c>
      <c r="J933" s="517" t="str">
        <f t="shared" si="316"/>
        <v/>
      </c>
      <c r="K933" s="678"/>
      <c r="L933" s="858"/>
      <c r="M933" s="859"/>
      <c r="N933" s="859"/>
      <c r="O933" s="859"/>
      <c r="P933" s="859"/>
      <c r="Q933" s="859"/>
      <c r="R933" s="859"/>
      <c r="S933" s="859"/>
      <c r="T933" s="859"/>
      <c r="U933" s="859"/>
      <c r="V933" s="859"/>
      <c r="W933" s="859"/>
      <c r="X933" s="859"/>
      <c r="Y933" s="859"/>
      <c r="Z933" s="860"/>
      <c r="AA933" s="860"/>
      <c r="AB933" s="860"/>
      <c r="AC933" s="860"/>
      <c r="AD933" s="860"/>
      <c r="AE933" s="860"/>
      <c r="AF933" s="860"/>
      <c r="AG933" s="860"/>
      <c r="AH933" s="860"/>
      <c r="AI933" s="860"/>
      <c r="AJ933" s="860"/>
      <c r="AK933" s="860"/>
      <c r="AL933" s="860"/>
      <c r="AM933" s="860"/>
      <c r="AN933" s="860"/>
      <c r="AO933" s="860"/>
      <c r="AP933" s="860"/>
      <c r="AQ933" s="860"/>
      <c r="AR933" s="860"/>
      <c r="AS933" s="860"/>
      <c r="AT933" s="860"/>
      <c r="AU933" s="860"/>
      <c r="AV933" s="860"/>
      <c r="AW933" s="860"/>
      <c r="AX933" s="860"/>
      <c r="AY933" s="860"/>
      <c r="AZ933" s="860"/>
      <c r="BA933" s="860"/>
      <c r="BB933" s="860"/>
      <c r="BC933" s="860"/>
      <c r="BD933" s="860"/>
      <c r="BE933" s="860"/>
      <c r="BF933" s="860"/>
      <c r="BG933" s="860"/>
      <c r="BH933" s="668"/>
      <c r="BI933" s="678"/>
      <c r="BJ933" s="690">
        <f t="shared" si="317"/>
        <v>0</v>
      </c>
      <c r="BK933" s="691">
        <f t="shared" si="318"/>
        <v>0</v>
      </c>
      <c r="BL933" s="654"/>
      <c r="BM933" s="692">
        <f>SUMIFS(Imput[[Importe Neto]:[Importe Neto]],Imput[[C. Imp.]:[C. Imp.]],$D933,Imput[[PERIODO Imp.]:[PERIODO Imp.]],BM$9)</f>
        <v>0</v>
      </c>
      <c r="BN933" s="693">
        <f>SUMIFS(Imput[[Importe Neto]:[Importe Neto]],Imput[[C. Imp.]:[C. Imp.]],$D933,Imput[[PERIODO Imp.]:[PERIODO Imp.]],BN$9)</f>
        <v>0</v>
      </c>
      <c r="BO933" s="693">
        <f>SUMIFS(Imput[[Importe Neto]:[Importe Neto]],Imput[[C. Imp.]:[C. Imp.]],$D933,Imput[[PERIODO Imp.]:[PERIODO Imp.]],BO$9)</f>
        <v>0</v>
      </c>
      <c r="BP933" s="693">
        <f>SUMIFS(Imput[[Importe Neto]:[Importe Neto]],Imput[[C. Imp.]:[C. Imp.]],$D933,Imput[[PERIODO Imp.]:[PERIODO Imp.]],BP$9)</f>
        <v>0</v>
      </c>
      <c r="BQ933" s="693">
        <f>SUMIFS(Imput[[Importe Neto]:[Importe Neto]],Imput[[C. Imp.]:[C. Imp.]],$D933,Imput[[PERIODO Imp.]:[PERIODO Imp.]],BQ$9)</f>
        <v>0</v>
      </c>
      <c r="BR933" s="693">
        <f>SUMIFS(Imput[[Importe Neto]:[Importe Neto]],Imput[[C. Imp.]:[C. Imp.]],$D933,Imput[[PERIODO Imp.]:[PERIODO Imp.]],BR$9)</f>
        <v>0</v>
      </c>
      <c r="BS933" s="693">
        <f>SUMIFS(Imput[[Importe Neto]:[Importe Neto]],Imput[[C. Imp.]:[C. Imp.]],$D933,Imput[[PERIODO Imp.]:[PERIODO Imp.]],BS$9)</f>
        <v>0</v>
      </c>
      <c r="BT933" s="693">
        <f>SUMIFS(Imput[[Importe Neto]:[Importe Neto]],Imput[[C. Imp.]:[C. Imp.]],$D933,Imput[[PERIODO Imp.]:[PERIODO Imp.]],BT$9)</f>
        <v>0</v>
      </c>
      <c r="BU933" s="693">
        <f>SUMIFS(Imput[[Importe Neto]:[Importe Neto]],Imput[[C. Imp.]:[C. Imp.]],$D933,Imput[[PERIODO Imp.]:[PERIODO Imp.]],BU$9)</f>
        <v>0</v>
      </c>
      <c r="BV933" s="693">
        <f>SUMIFS(Imput[[Importe Neto]:[Importe Neto]],Imput[[C. Imp.]:[C. Imp.]],$D933,Imput[[PERIODO Imp.]:[PERIODO Imp.]],BV$9)</f>
        <v>0</v>
      </c>
      <c r="BW933" s="693">
        <f>SUMIFS(Imput[[Importe Neto]:[Importe Neto]],Imput[[C. Imp.]:[C. Imp.]],$D933,Imput[[PERIODO Imp.]:[PERIODO Imp.]],BW$9)</f>
        <v>0</v>
      </c>
      <c r="BX933" s="693">
        <f>SUMIFS(Imput[[Importe Neto]:[Importe Neto]],Imput[[C. Imp.]:[C. Imp.]],$D933,Imput[[PERIODO Imp.]:[PERIODO Imp.]],BX$9)</f>
        <v>0</v>
      </c>
      <c r="BY933" s="693">
        <f>SUMIFS(Imput[[Importe Neto]:[Importe Neto]],Imput[[C. Imp.]:[C. Imp.]],$D933,Imput[[PERIODO Imp.]:[PERIODO Imp.]],BY$9)</f>
        <v>0</v>
      </c>
      <c r="BZ933" s="693">
        <f>SUMIFS(Imput[[Importe Neto]:[Importe Neto]],Imput[[C. Imp.]:[C. Imp.]],$D933,Imput[[PERIODO Imp.]:[PERIODO Imp.]],BZ$9)</f>
        <v>0</v>
      </c>
      <c r="CA933" s="693">
        <f>SUMIFS(Imput[[Importe Neto]:[Importe Neto]],Imput[[C. Imp.]:[C. Imp.]],$D933,Imput[[PERIODO Imp.]:[PERIODO Imp.]],CA$9)</f>
        <v>0</v>
      </c>
      <c r="CB933" s="693">
        <f>SUMIFS(Imput[[Importe Neto]:[Importe Neto]],Imput[[C. Imp.]:[C. Imp.]],$D933,Imput[[PERIODO Imp.]:[PERIODO Imp.]],CB$9)</f>
        <v>0</v>
      </c>
      <c r="CC933" s="693">
        <f>SUMIFS(Imput[[Importe Neto]:[Importe Neto]],Imput[[C. Imp.]:[C. Imp.]],$D933,Imput[[PERIODO Imp.]:[PERIODO Imp.]],CC$9)</f>
        <v>0</v>
      </c>
      <c r="CD933" s="693">
        <f>SUMIFS(Imput[[Importe Neto]:[Importe Neto]],Imput[[C. Imp.]:[C. Imp.]],$D933,Imput[[PERIODO Imp.]:[PERIODO Imp.]],CD$9)</f>
        <v>0</v>
      </c>
      <c r="CE933" s="693">
        <f>SUMIFS(Imput[[Importe Neto]:[Importe Neto]],Imput[[C. Imp.]:[C. Imp.]],$D933,Imput[[PERIODO Imp.]:[PERIODO Imp.]],CE$9)</f>
        <v>0</v>
      </c>
      <c r="CF933" s="693">
        <f>SUMIFS(Imput[[Importe Neto]:[Importe Neto]],Imput[[C. Imp.]:[C. Imp.]],$D933,Imput[[PERIODO Imp.]:[PERIODO Imp.]],CF$9)</f>
        <v>0</v>
      </c>
      <c r="CG933" s="693">
        <f>SUMIFS(Imput[[Importe Neto]:[Importe Neto]],Imput[[C. Imp.]:[C. Imp.]],$D933,Imput[[PERIODO Imp.]:[PERIODO Imp.]],CG$9)</f>
        <v>0</v>
      </c>
      <c r="CH933" s="693">
        <f>SUMIFS(Imput[[Importe Neto]:[Importe Neto]],Imput[[C. Imp.]:[C. Imp.]],$D933,Imput[[PERIODO Imp.]:[PERIODO Imp.]],CH$9)</f>
        <v>0</v>
      </c>
      <c r="CI933" s="693">
        <f>SUMIFS(Imput[[Importe Neto]:[Importe Neto]],Imput[[C. Imp.]:[C. Imp.]],$D933,Imput[[PERIODO Imp.]:[PERIODO Imp.]],CI$9)</f>
        <v>0</v>
      </c>
      <c r="CJ933" s="693">
        <f>SUMIFS(Imput[[Importe Neto]:[Importe Neto]],Imput[[C. Imp.]:[C. Imp.]],$D933,Imput[[PERIODO Imp.]:[PERIODO Imp.]],CJ$9)</f>
        <v>0</v>
      </c>
      <c r="CK933" s="693">
        <f>SUMIFS(Imput[[Importe Neto]:[Importe Neto]],Imput[[C. Imp.]:[C. Imp.]],$D933,Imput[[PERIODO Imp.]:[PERIODO Imp.]],CK$9)</f>
        <v>0</v>
      </c>
      <c r="CL933" s="693">
        <f>SUMIFS(Imput[[Importe Neto]:[Importe Neto]],Imput[[C. Imp.]:[C. Imp.]],$D933,Imput[[PERIODO Imp.]:[PERIODO Imp.]],CL$9)</f>
        <v>0</v>
      </c>
      <c r="CM933" s="693">
        <f>SUMIFS(Imput[[Importe Neto]:[Importe Neto]],Imput[[C. Imp.]:[C. Imp.]],$D933,Imput[[PERIODO Imp.]:[PERIODO Imp.]],CM$9)</f>
        <v>0</v>
      </c>
      <c r="CN933" s="693">
        <f>SUMIFS(Imput[[Importe Neto]:[Importe Neto]],Imput[[C. Imp.]:[C. Imp.]],$D933,Imput[[PERIODO Imp.]:[PERIODO Imp.]],CN$9)</f>
        <v>0</v>
      </c>
      <c r="CO933" s="693">
        <f>SUMIFS(Imput[[Importe Neto]:[Importe Neto]],Imput[[C. Imp.]:[C. Imp.]],$D933,Imput[[PERIODO Imp.]:[PERIODO Imp.]],CO$9)</f>
        <v>0</v>
      </c>
      <c r="CP933" s="693">
        <f>SUMIFS(Imput[[Importe Neto]:[Importe Neto]],Imput[[C. Imp.]:[C. Imp.]],$D933,Imput[[PERIODO Imp.]:[PERIODO Imp.]],CP$9)</f>
        <v>0</v>
      </c>
      <c r="CQ933" s="693">
        <f>SUMIFS(Imput[[Importe Neto]:[Importe Neto]],Imput[[C. Imp.]:[C. Imp.]],$D933,Imput[[PERIODO Imp.]:[PERIODO Imp.]],CQ$9)</f>
        <v>0</v>
      </c>
      <c r="CR933" s="693">
        <f>SUMIFS(Imput[[Importe Neto]:[Importe Neto]],Imput[[C. Imp.]:[C. Imp.]],$D933,Imput[[PERIODO Imp.]:[PERIODO Imp.]],CR$9)</f>
        <v>0</v>
      </c>
      <c r="CS933" s="693">
        <f>SUMIFS(Imput[[Importe Neto]:[Importe Neto]],Imput[[C. Imp.]:[C. Imp.]],$D933,Imput[[PERIODO Imp.]:[PERIODO Imp.]],CS$9)</f>
        <v>0</v>
      </c>
      <c r="CT933" s="693">
        <f>SUMIFS(Imput[[Importe Neto]:[Importe Neto]],Imput[[C. Imp.]:[C. Imp.]],$D933,Imput[[PERIODO Imp.]:[PERIODO Imp.]],CT$9)</f>
        <v>0</v>
      </c>
      <c r="CU933" s="693">
        <f>SUMIFS(Imput[[Importe Neto]:[Importe Neto]],Imput[[C. Imp.]:[C. Imp.]],$D933,Imput[[PERIODO Imp.]:[PERIODO Imp.]],CU$9)</f>
        <v>0</v>
      </c>
      <c r="CV933" s="693">
        <f>SUMIFS(Imput[[Importe Neto]:[Importe Neto]],Imput[[C. Imp.]:[C. Imp.]],$D933,Imput[[PERIODO Imp.]:[PERIODO Imp.]],CV$9)</f>
        <v>0</v>
      </c>
      <c r="CW933" s="693">
        <f>SUMIFS(Imput[[Importe Neto]:[Importe Neto]],Imput[[C. Imp.]:[C. Imp.]],$D933,Imput[[PERIODO Imp.]:[PERIODO Imp.]],CW$9)</f>
        <v>0</v>
      </c>
      <c r="CX933" s="693">
        <f>SUMIFS(Imput[[Importe Neto]:[Importe Neto]],Imput[[C. Imp.]:[C. Imp.]],$D933,Imput[[PERIODO Imp.]:[PERIODO Imp.]],CX$9)</f>
        <v>0</v>
      </c>
      <c r="CY933" s="693">
        <f>SUMIFS(Imput[[Importe Neto]:[Importe Neto]],Imput[[C. Imp.]:[C. Imp.]],$D933,Imput[[PERIODO Imp.]:[PERIODO Imp.]],CY$9)</f>
        <v>0</v>
      </c>
      <c r="CZ933" s="693">
        <f>SUMIFS(Imput[[Importe Neto]:[Importe Neto]],Imput[[C. Imp.]:[C. Imp.]],$D933,Imput[[PERIODO Imp.]:[PERIODO Imp.]],CZ$9)</f>
        <v>0</v>
      </c>
      <c r="DA933" s="693">
        <f>SUMIFS(Imput[[Importe Neto]:[Importe Neto]],Imput[[C. Imp.]:[C. Imp.]],$D933,Imput[[PERIODO Imp.]:[PERIODO Imp.]],DA$9)</f>
        <v>0</v>
      </c>
      <c r="DB933" s="693">
        <f>SUMIFS(Imput[[Importe Neto]:[Importe Neto]],Imput[[C. Imp.]:[C. Imp.]],$D933,Imput[[PERIODO Imp.]:[PERIODO Imp.]],DB$9)</f>
        <v>0</v>
      </c>
      <c r="DC933" s="693">
        <f>SUMIFS(Imput[[Importe Neto]:[Importe Neto]],Imput[[C. Imp.]:[C. Imp.]],$D933,Imput[[PERIODO Imp.]:[PERIODO Imp.]],DC$9)</f>
        <v>0</v>
      </c>
      <c r="DD933" s="693">
        <f>SUMIFS(Imput[[Importe Neto]:[Importe Neto]],Imput[[C. Imp.]:[C. Imp.]],$D933,Imput[[PERIODO Imp.]:[PERIODO Imp.]],DD$9)</f>
        <v>0</v>
      </c>
      <c r="DE933" s="693">
        <f>SUMIFS(Imput[[Importe Neto]:[Importe Neto]],Imput[[C. Imp.]:[C. Imp.]],$D933,Imput[[PERIODO Imp.]:[PERIODO Imp.]],DE$9)</f>
        <v>0</v>
      </c>
      <c r="DF933" s="693">
        <f>SUMIFS(Imput[[Importe Neto]:[Importe Neto]],Imput[[C. Imp.]:[C. Imp.]],$D933,Imput[[PERIODO Imp.]:[PERIODO Imp.]],DF$9)</f>
        <v>0</v>
      </c>
      <c r="DG933" s="693">
        <f>SUMIFS(Imput[[Importe Neto]:[Importe Neto]],Imput[[C. Imp.]:[C. Imp.]],$D933,Imput[[PERIODO Imp.]:[PERIODO Imp.]],DG$9)</f>
        <v>0</v>
      </c>
      <c r="DH933" s="694">
        <f>SUMIFS(Imput[[Importe Neto]:[Importe Neto]],Imput[[C. Imp.]:[C. Imp.]],$D933,Imput[[PERIODO Imp.]:[PERIODO Imp.]],DH$9)</f>
        <v>0</v>
      </c>
    </row>
    <row r="934" spans="1:112" s="649" customFormat="1" ht="14.4" hidden="1" outlineLevel="1" thickBot="1" x14ac:dyDescent="0.35">
      <c r="A934" s="652" t="str">
        <f>IF(J918&gt;0,"Imprimir","")</f>
        <v/>
      </c>
      <c r="B934" s="652"/>
      <c r="C934" s="699"/>
      <c r="D934" s="700"/>
      <c r="E934" s="700"/>
      <c r="F934" s="701"/>
      <c r="G934" s="702"/>
      <c r="H934" s="703"/>
      <c r="I934" s="704"/>
      <c r="J934" s="117"/>
      <c r="K934" s="667"/>
      <c r="L934" s="706"/>
      <c r="M934" s="707"/>
      <c r="N934" s="777"/>
      <c r="O934" s="777"/>
      <c r="P934" s="778"/>
      <c r="Q934" s="778"/>
      <c r="R934" s="708"/>
      <c r="S934" s="708"/>
      <c r="T934" s="779"/>
      <c r="U934" s="779"/>
      <c r="V934" s="778"/>
      <c r="W934" s="778"/>
      <c r="X934" s="708"/>
      <c r="Y934" s="708"/>
      <c r="Z934" s="708"/>
      <c r="AA934" s="708"/>
      <c r="AB934" s="708"/>
      <c r="AC934" s="708"/>
      <c r="AD934" s="708"/>
      <c r="AE934" s="708"/>
      <c r="AF934" s="708"/>
      <c r="AG934" s="708"/>
      <c r="AH934" s="708"/>
      <c r="AI934" s="708"/>
      <c r="AJ934" s="708"/>
      <c r="AK934" s="708"/>
      <c r="AL934" s="708"/>
      <c r="AM934" s="708"/>
      <c r="AN934" s="708"/>
      <c r="AO934" s="708"/>
      <c r="AP934" s="708"/>
      <c r="AQ934" s="708"/>
      <c r="AR934" s="708"/>
      <c r="AS934" s="708"/>
      <c r="AT934" s="708"/>
      <c r="AU934" s="708"/>
      <c r="AV934" s="708"/>
      <c r="AW934" s="708"/>
      <c r="AX934" s="708"/>
      <c r="AY934" s="708"/>
      <c r="AZ934" s="708"/>
      <c r="BA934" s="708"/>
      <c r="BB934" s="708"/>
      <c r="BC934" s="708"/>
      <c r="BD934" s="708"/>
      <c r="BE934" s="708"/>
      <c r="BF934" s="708"/>
      <c r="BG934" s="708"/>
      <c r="BH934" s="780"/>
      <c r="BI934" s="654"/>
      <c r="BJ934" s="709"/>
      <c r="BK934" s="710"/>
      <c r="BL934" s="654"/>
      <c r="BM934" s="731"/>
      <c r="BN934" s="701"/>
      <c r="BO934" s="701"/>
      <c r="BP934" s="701"/>
      <c r="BQ934" s="701"/>
      <c r="BR934" s="701"/>
      <c r="BS934" s="701"/>
      <c r="BT934" s="701"/>
      <c r="BU934" s="701"/>
      <c r="BV934" s="701"/>
      <c r="BW934" s="701"/>
      <c r="BX934" s="701"/>
      <c r="BY934" s="701"/>
      <c r="BZ934" s="701"/>
      <c r="CA934" s="701"/>
      <c r="CB934" s="701"/>
      <c r="CC934" s="701"/>
      <c r="CD934" s="701"/>
      <c r="CE934" s="701"/>
      <c r="CF934" s="701"/>
      <c r="CG934" s="701"/>
      <c r="CH934" s="701"/>
      <c r="CI934" s="701"/>
      <c r="CJ934" s="701"/>
      <c r="CK934" s="701"/>
      <c r="CL934" s="701"/>
      <c r="CM934" s="701"/>
      <c r="CN934" s="701"/>
      <c r="CO934" s="701"/>
      <c r="CP934" s="701"/>
      <c r="CQ934" s="701"/>
      <c r="CR934" s="701"/>
      <c r="CS934" s="701"/>
      <c r="CT934" s="701"/>
      <c r="CU934" s="701"/>
      <c r="CV934" s="701"/>
      <c r="CW934" s="701"/>
      <c r="CX934" s="701"/>
      <c r="CY934" s="701"/>
      <c r="CZ934" s="701"/>
      <c r="DA934" s="701"/>
      <c r="DB934" s="701"/>
      <c r="DC934" s="701"/>
      <c r="DD934" s="701"/>
      <c r="DE934" s="701"/>
      <c r="DF934" s="701"/>
      <c r="DG934" s="701"/>
      <c r="DH934" s="710"/>
    </row>
    <row r="935" spans="1:112" s="649" customFormat="1" ht="14.4" hidden="1" collapsed="1" thickBot="1" x14ac:dyDescent="0.35">
      <c r="A935" s="652" t="str">
        <f>IF(J935&gt;0,"Imprimir","")</f>
        <v/>
      </c>
      <c r="B935" s="652"/>
      <c r="C935" s="711"/>
      <c r="D935" s="712" t="s">
        <v>455</v>
      </c>
      <c r="E935" s="712" t="s">
        <v>511</v>
      </c>
      <c r="F935" s="712"/>
      <c r="G935" s="713"/>
      <c r="H935" s="712"/>
      <c r="I935" s="714"/>
      <c r="J935" s="166">
        <f>SUBTOTAL(9,J938:J942)</f>
        <v>0</v>
      </c>
      <c r="K935" s="658"/>
      <c r="L935" s="770">
        <f t="shared" ref="L935:BG935" si="319">SUMPRODUCT($J938:$J942,L938:L942)</f>
        <v>0</v>
      </c>
      <c r="M935" s="771">
        <f t="shared" si="319"/>
        <v>0</v>
      </c>
      <c r="N935" s="771">
        <f t="shared" si="319"/>
        <v>0</v>
      </c>
      <c r="O935" s="771">
        <f t="shared" si="319"/>
        <v>0</v>
      </c>
      <c r="P935" s="771">
        <f t="shared" si="319"/>
        <v>0</v>
      </c>
      <c r="Q935" s="771">
        <f t="shared" si="319"/>
        <v>0</v>
      </c>
      <c r="R935" s="771">
        <f t="shared" si="319"/>
        <v>0</v>
      </c>
      <c r="S935" s="771">
        <f t="shared" si="319"/>
        <v>0</v>
      </c>
      <c r="T935" s="771">
        <f t="shared" si="319"/>
        <v>0</v>
      </c>
      <c r="U935" s="771">
        <f t="shared" si="319"/>
        <v>0</v>
      </c>
      <c r="V935" s="771">
        <f t="shared" si="319"/>
        <v>0</v>
      </c>
      <c r="W935" s="771">
        <f t="shared" si="319"/>
        <v>0</v>
      </c>
      <c r="X935" s="771">
        <f t="shared" si="319"/>
        <v>0</v>
      </c>
      <c r="Y935" s="771">
        <f t="shared" si="319"/>
        <v>0</v>
      </c>
      <c r="Z935" s="771">
        <f t="shared" si="319"/>
        <v>0</v>
      </c>
      <c r="AA935" s="771">
        <f t="shared" si="319"/>
        <v>0</v>
      </c>
      <c r="AB935" s="771">
        <f t="shared" si="319"/>
        <v>0</v>
      </c>
      <c r="AC935" s="771">
        <f t="shared" si="319"/>
        <v>0</v>
      </c>
      <c r="AD935" s="771">
        <f t="shared" si="319"/>
        <v>0</v>
      </c>
      <c r="AE935" s="771">
        <f t="shared" si="319"/>
        <v>0</v>
      </c>
      <c r="AF935" s="771">
        <f t="shared" si="319"/>
        <v>0</v>
      </c>
      <c r="AG935" s="771">
        <f t="shared" si="319"/>
        <v>0</v>
      </c>
      <c r="AH935" s="771">
        <f t="shared" si="319"/>
        <v>0</v>
      </c>
      <c r="AI935" s="771">
        <f t="shared" si="319"/>
        <v>0</v>
      </c>
      <c r="AJ935" s="771">
        <f t="shared" si="319"/>
        <v>0</v>
      </c>
      <c r="AK935" s="771">
        <f t="shared" si="319"/>
        <v>0</v>
      </c>
      <c r="AL935" s="771">
        <f t="shared" si="319"/>
        <v>0</v>
      </c>
      <c r="AM935" s="771">
        <f t="shared" si="319"/>
        <v>0</v>
      </c>
      <c r="AN935" s="771">
        <f t="shared" si="319"/>
        <v>0</v>
      </c>
      <c r="AO935" s="771">
        <f t="shared" si="319"/>
        <v>0</v>
      </c>
      <c r="AP935" s="771">
        <f t="shared" si="319"/>
        <v>0</v>
      </c>
      <c r="AQ935" s="771">
        <f t="shared" si="319"/>
        <v>0</v>
      </c>
      <c r="AR935" s="771">
        <f t="shared" si="319"/>
        <v>0</v>
      </c>
      <c r="AS935" s="771">
        <f t="shared" si="319"/>
        <v>0</v>
      </c>
      <c r="AT935" s="771">
        <f t="shared" si="319"/>
        <v>0</v>
      </c>
      <c r="AU935" s="771">
        <f t="shared" si="319"/>
        <v>0</v>
      </c>
      <c r="AV935" s="771">
        <f t="shared" si="319"/>
        <v>0</v>
      </c>
      <c r="AW935" s="771">
        <f t="shared" si="319"/>
        <v>0</v>
      </c>
      <c r="AX935" s="771">
        <f t="shared" si="319"/>
        <v>0</v>
      </c>
      <c r="AY935" s="771">
        <f t="shared" si="319"/>
        <v>0</v>
      </c>
      <c r="AZ935" s="771">
        <f t="shared" si="319"/>
        <v>0</v>
      </c>
      <c r="BA935" s="771">
        <f t="shared" si="319"/>
        <v>0</v>
      </c>
      <c r="BB935" s="771">
        <f t="shared" si="319"/>
        <v>0</v>
      </c>
      <c r="BC935" s="771">
        <f t="shared" si="319"/>
        <v>0</v>
      </c>
      <c r="BD935" s="771">
        <f t="shared" si="319"/>
        <v>0</v>
      </c>
      <c r="BE935" s="771">
        <f t="shared" si="319"/>
        <v>0</v>
      </c>
      <c r="BF935" s="771">
        <f t="shared" si="319"/>
        <v>0</v>
      </c>
      <c r="BG935" s="764">
        <f t="shared" si="319"/>
        <v>0</v>
      </c>
      <c r="BH935" s="776"/>
      <c r="BI935" s="654"/>
      <c r="BJ935" s="659">
        <f>IFERROR(13/J935,0)</f>
        <v>0</v>
      </c>
      <c r="BK935" s="660">
        <f>SUBTOTAL(9,BK936:BK942)</f>
        <v>0</v>
      </c>
      <c r="BL935" s="654"/>
      <c r="BM935" s="661">
        <f t="shared" ref="BM935:DH935" si="320">SUBTOTAL(9,BM936:BM942)</f>
        <v>0</v>
      </c>
      <c r="BN935" s="662">
        <f t="shared" si="320"/>
        <v>0</v>
      </c>
      <c r="BO935" s="662">
        <f t="shared" si="320"/>
        <v>0</v>
      </c>
      <c r="BP935" s="662">
        <f t="shared" si="320"/>
        <v>0</v>
      </c>
      <c r="BQ935" s="662">
        <f t="shared" si="320"/>
        <v>0</v>
      </c>
      <c r="BR935" s="662">
        <f t="shared" si="320"/>
        <v>0</v>
      </c>
      <c r="BS935" s="662">
        <f t="shared" si="320"/>
        <v>0</v>
      </c>
      <c r="BT935" s="662">
        <f t="shared" si="320"/>
        <v>0</v>
      </c>
      <c r="BU935" s="662">
        <f t="shared" si="320"/>
        <v>0</v>
      </c>
      <c r="BV935" s="662">
        <f t="shared" si="320"/>
        <v>0</v>
      </c>
      <c r="BW935" s="662">
        <f t="shared" si="320"/>
        <v>0</v>
      </c>
      <c r="BX935" s="662">
        <f t="shared" si="320"/>
        <v>0</v>
      </c>
      <c r="BY935" s="662">
        <f t="shared" si="320"/>
        <v>0</v>
      </c>
      <c r="BZ935" s="662">
        <f t="shared" si="320"/>
        <v>0</v>
      </c>
      <c r="CA935" s="662">
        <f t="shared" si="320"/>
        <v>0</v>
      </c>
      <c r="CB935" s="662">
        <f t="shared" si="320"/>
        <v>0</v>
      </c>
      <c r="CC935" s="662">
        <f t="shared" si="320"/>
        <v>0</v>
      </c>
      <c r="CD935" s="662">
        <f t="shared" si="320"/>
        <v>0</v>
      </c>
      <c r="CE935" s="662">
        <f t="shared" si="320"/>
        <v>0</v>
      </c>
      <c r="CF935" s="662">
        <f t="shared" si="320"/>
        <v>0</v>
      </c>
      <c r="CG935" s="662">
        <f t="shared" si="320"/>
        <v>0</v>
      </c>
      <c r="CH935" s="662">
        <f t="shared" si="320"/>
        <v>0</v>
      </c>
      <c r="CI935" s="662">
        <f t="shared" si="320"/>
        <v>0</v>
      </c>
      <c r="CJ935" s="662">
        <f t="shared" si="320"/>
        <v>0</v>
      </c>
      <c r="CK935" s="662">
        <f t="shared" si="320"/>
        <v>0</v>
      </c>
      <c r="CL935" s="662">
        <f t="shared" si="320"/>
        <v>0</v>
      </c>
      <c r="CM935" s="662">
        <f t="shared" si="320"/>
        <v>0</v>
      </c>
      <c r="CN935" s="662">
        <f t="shared" si="320"/>
        <v>0</v>
      </c>
      <c r="CO935" s="662">
        <f t="shared" si="320"/>
        <v>0</v>
      </c>
      <c r="CP935" s="662">
        <f t="shared" si="320"/>
        <v>0</v>
      </c>
      <c r="CQ935" s="662">
        <f t="shared" si="320"/>
        <v>0</v>
      </c>
      <c r="CR935" s="662">
        <f t="shared" si="320"/>
        <v>0</v>
      </c>
      <c r="CS935" s="662">
        <f t="shared" si="320"/>
        <v>0</v>
      </c>
      <c r="CT935" s="662">
        <f t="shared" si="320"/>
        <v>0</v>
      </c>
      <c r="CU935" s="662">
        <f t="shared" si="320"/>
        <v>0</v>
      </c>
      <c r="CV935" s="662">
        <f t="shared" si="320"/>
        <v>0</v>
      </c>
      <c r="CW935" s="662">
        <f t="shared" si="320"/>
        <v>0</v>
      </c>
      <c r="CX935" s="662">
        <f t="shared" si="320"/>
        <v>0</v>
      </c>
      <c r="CY935" s="662">
        <f t="shared" si="320"/>
        <v>0</v>
      </c>
      <c r="CZ935" s="662">
        <f t="shared" si="320"/>
        <v>0</v>
      </c>
      <c r="DA935" s="662">
        <f t="shared" si="320"/>
        <v>0</v>
      </c>
      <c r="DB935" s="662">
        <f t="shared" si="320"/>
        <v>0</v>
      </c>
      <c r="DC935" s="662">
        <f t="shared" si="320"/>
        <v>0</v>
      </c>
      <c r="DD935" s="662">
        <f t="shared" si="320"/>
        <v>0</v>
      </c>
      <c r="DE935" s="662">
        <f t="shared" si="320"/>
        <v>0</v>
      </c>
      <c r="DF935" s="662">
        <f t="shared" si="320"/>
        <v>0</v>
      </c>
      <c r="DG935" s="662">
        <f t="shared" si="320"/>
        <v>0</v>
      </c>
      <c r="DH935" s="663">
        <f t="shared" si="320"/>
        <v>0</v>
      </c>
    </row>
    <row r="936" spans="1:112" s="649" customFormat="1" ht="14.4" hidden="1" outlineLevel="1" thickBot="1" x14ac:dyDescent="0.35">
      <c r="A936" s="652" t="str">
        <f>IF(J935&gt;0,"Imprimir","")</f>
        <v/>
      </c>
      <c r="B936" s="652"/>
      <c r="C936" s="664"/>
      <c r="D936" s="665"/>
      <c r="E936" s="665"/>
      <c r="F936" s="665" t="s">
        <v>472</v>
      </c>
      <c r="G936" s="716" t="s">
        <v>2128</v>
      </c>
      <c r="H936" s="665" t="s">
        <v>98</v>
      </c>
      <c r="I936" s="665" t="s">
        <v>474</v>
      </c>
      <c r="J936" s="104" t="s">
        <v>29</v>
      </c>
      <c r="K936" s="667"/>
      <c r="L936" s="745"/>
      <c r="M936" s="741"/>
      <c r="N936" s="741"/>
      <c r="O936" s="741"/>
      <c r="P936" s="741"/>
      <c r="Q936" s="741"/>
      <c r="R936" s="741"/>
      <c r="S936" s="741"/>
      <c r="T936" s="741"/>
      <c r="U936" s="741"/>
      <c r="V936" s="741"/>
      <c r="W936" s="741"/>
      <c r="X936" s="741"/>
      <c r="Y936" s="741"/>
      <c r="Z936" s="741"/>
      <c r="AA936" s="741"/>
      <c r="AB936" s="741"/>
      <c r="AC936" s="741"/>
      <c r="AD936" s="741"/>
      <c r="AE936" s="741"/>
      <c r="AF936" s="741"/>
      <c r="AG936" s="741"/>
      <c r="AH936" s="741"/>
      <c r="AI936" s="741"/>
      <c r="AJ936" s="741"/>
      <c r="AK936" s="741"/>
      <c r="AL936" s="741"/>
      <c r="AM936" s="741"/>
      <c r="AN936" s="741"/>
      <c r="AO936" s="741"/>
      <c r="AP936" s="741"/>
      <c r="AQ936" s="741"/>
      <c r="AR936" s="741"/>
      <c r="AS936" s="741"/>
      <c r="AT936" s="741"/>
      <c r="AU936" s="741"/>
      <c r="AV936" s="741"/>
      <c r="AW936" s="741"/>
      <c r="AX936" s="741"/>
      <c r="AY936" s="741"/>
      <c r="AZ936" s="741"/>
      <c r="BA936" s="741"/>
      <c r="BB936" s="741"/>
      <c r="BC936" s="741"/>
      <c r="BD936" s="741"/>
      <c r="BE936" s="741"/>
      <c r="BF936" s="741"/>
      <c r="BG936" s="741"/>
      <c r="BH936" s="668"/>
      <c r="BI936" s="654"/>
      <c r="BJ936" s="669"/>
      <c r="BK936" s="670"/>
      <c r="BL936" s="654"/>
      <c r="BM936" s="671"/>
      <c r="BN936" s="665"/>
      <c r="BO936" s="665"/>
      <c r="BP936" s="665"/>
      <c r="BQ936" s="665"/>
      <c r="BR936" s="665"/>
      <c r="BS936" s="665"/>
      <c r="BT936" s="665"/>
      <c r="BU936" s="665"/>
      <c r="BV936" s="665"/>
      <c r="BW936" s="665"/>
      <c r="BX936" s="665"/>
      <c r="BY936" s="665"/>
      <c r="BZ936" s="665"/>
      <c r="CA936" s="665"/>
      <c r="CB936" s="665"/>
      <c r="CC936" s="665"/>
      <c r="CD936" s="665"/>
      <c r="CE936" s="665"/>
      <c r="CF936" s="665"/>
      <c r="CG936" s="665"/>
      <c r="CH936" s="665"/>
      <c r="CI936" s="665"/>
      <c r="CJ936" s="665"/>
      <c r="CK936" s="665"/>
      <c r="CL936" s="665"/>
      <c r="CM936" s="665"/>
      <c r="CN936" s="665"/>
      <c r="CO936" s="665"/>
      <c r="CP936" s="665"/>
      <c r="CQ936" s="665"/>
      <c r="CR936" s="665"/>
      <c r="CS936" s="665"/>
      <c r="CT936" s="665"/>
      <c r="CU936" s="665"/>
      <c r="CV936" s="665"/>
      <c r="CW936" s="665"/>
      <c r="CX936" s="665"/>
      <c r="CY936" s="665"/>
      <c r="CZ936" s="665"/>
      <c r="DA936" s="665"/>
      <c r="DB936" s="665"/>
      <c r="DC936" s="665"/>
      <c r="DD936" s="665"/>
      <c r="DE936" s="665"/>
      <c r="DF936" s="665"/>
      <c r="DG936" s="665"/>
      <c r="DH936" s="666"/>
    </row>
    <row r="937" spans="1:112" s="649" customFormat="1" ht="16.2" hidden="1" outlineLevel="1" thickBot="1" x14ac:dyDescent="0.35">
      <c r="A937" s="652" t="str">
        <f>IF(J937&gt;0,"Imprimir","")</f>
        <v/>
      </c>
      <c r="B937" s="652"/>
      <c r="C937" s="672"/>
      <c r="D937" s="673"/>
      <c r="E937" s="674"/>
      <c r="F937" s="675"/>
      <c r="G937" s="726"/>
      <c r="H937" s="676"/>
      <c r="I937" s="677"/>
      <c r="J937" s="219">
        <f>SUBTOTAL(9,J938:J942)</f>
        <v>0</v>
      </c>
      <c r="K937" s="678"/>
      <c r="L937" s="747"/>
      <c r="M937" s="742"/>
      <c r="N937" s="742"/>
      <c r="O937" s="742"/>
      <c r="P937" s="742"/>
      <c r="Q937" s="742"/>
      <c r="R937" s="742"/>
      <c r="S937" s="742"/>
      <c r="T937" s="742"/>
      <c r="U937" s="742"/>
      <c r="V937" s="742"/>
      <c r="W937" s="742"/>
      <c r="X937" s="742"/>
      <c r="Y937" s="742"/>
      <c r="Z937" s="742"/>
      <c r="AA937" s="742"/>
      <c r="AB937" s="742"/>
      <c r="AC937" s="742"/>
      <c r="AD937" s="742"/>
      <c r="AE937" s="742"/>
      <c r="AF937" s="742"/>
      <c r="AG937" s="742"/>
      <c r="AH937" s="742"/>
      <c r="AI937" s="742"/>
      <c r="AJ937" s="742"/>
      <c r="AK937" s="742"/>
      <c r="AL937" s="742"/>
      <c r="AM937" s="742"/>
      <c r="AN937" s="742"/>
      <c r="AO937" s="742"/>
      <c r="AP937" s="742"/>
      <c r="AQ937" s="742"/>
      <c r="AR937" s="742"/>
      <c r="AS937" s="742"/>
      <c r="AT937" s="742"/>
      <c r="AU937" s="742"/>
      <c r="AV937" s="742"/>
      <c r="AW937" s="742"/>
      <c r="AX937" s="742"/>
      <c r="AY937" s="742"/>
      <c r="AZ937" s="742"/>
      <c r="BA937" s="742"/>
      <c r="BB937" s="742"/>
      <c r="BC937" s="742"/>
      <c r="BD937" s="742"/>
      <c r="BE937" s="742"/>
      <c r="BF937" s="742"/>
      <c r="BG937" s="742"/>
      <c r="BH937" s="668"/>
      <c r="BI937" s="654"/>
      <c r="BJ937" s="729"/>
      <c r="BK937" s="681"/>
      <c r="BL937" s="654"/>
      <c r="BM937" s="682"/>
      <c r="BN937" s="683"/>
      <c r="BO937" s="683"/>
      <c r="BP937" s="683"/>
      <c r="BQ937" s="683"/>
      <c r="BR937" s="683"/>
      <c r="BS937" s="683"/>
      <c r="BT937" s="683"/>
      <c r="BU937" s="683"/>
      <c r="BV937" s="683"/>
      <c r="BW937" s="683"/>
      <c r="BX937" s="683"/>
      <c r="BY937" s="683"/>
      <c r="BZ937" s="683"/>
      <c r="CA937" s="683"/>
      <c r="CB937" s="683"/>
      <c r="CC937" s="683"/>
      <c r="CD937" s="683"/>
      <c r="CE937" s="683"/>
      <c r="CF937" s="683"/>
      <c r="CG937" s="683"/>
      <c r="CH937" s="683"/>
      <c r="CI937" s="683"/>
      <c r="CJ937" s="683"/>
      <c r="CK937" s="683"/>
      <c r="CL937" s="683"/>
      <c r="CM937" s="683"/>
      <c r="CN937" s="683"/>
      <c r="CO937" s="683"/>
      <c r="CP937" s="683"/>
      <c r="CQ937" s="683"/>
      <c r="CR937" s="683"/>
      <c r="CS937" s="683"/>
      <c r="CT937" s="683"/>
      <c r="CU937" s="683"/>
      <c r="CV937" s="683"/>
      <c r="CW937" s="683"/>
      <c r="CX937" s="683"/>
      <c r="CY937" s="683"/>
      <c r="CZ937" s="683"/>
      <c r="DA937" s="683"/>
      <c r="DB937" s="683"/>
      <c r="DC937" s="683"/>
      <c r="DD937" s="683"/>
      <c r="DE937" s="683"/>
      <c r="DF937" s="683"/>
      <c r="DG937" s="683"/>
      <c r="DH937" s="684"/>
    </row>
    <row r="938" spans="1:112" s="649" customFormat="1" ht="14.4" hidden="1" outlineLevel="1" thickBot="1" x14ac:dyDescent="0.35">
      <c r="A938" s="652" t="str">
        <f t="shared" ref="A938:A941" si="321">IF(J938="","",IF(J938=0,"","Imprimir"))</f>
        <v/>
      </c>
      <c r="B938" s="652"/>
      <c r="C938" s="685"/>
      <c r="D938" s="686" t="s">
        <v>2898</v>
      </c>
      <c r="E938" s="686"/>
      <c r="F938" s="720"/>
      <c r="G938" s="688"/>
      <c r="H938" s="689"/>
      <c r="I938" s="851" t="str">
        <f>IF(E938&gt;0,$J$5,"")</f>
        <v/>
      </c>
      <c r="J938" s="517" t="str">
        <f t="shared" ref="J938:J941" si="322">IFERROR(G938*H938*I938,"")</f>
        <v/>
      </c>
      <c r="K938" s="667"/>
      <c r="L938" s="858"/>
      <c r="M938" s="859"/>
      <c r="N938" s="859"/>
      <c r="O938" s="859"/>
      <c r="P938" s="859"/>
      <c r="Q938" s="859"/>
      <c r="R938" s="859"/>
      <c r="S938" s="859"/>
      <c r="T938" s="859"/>
      <c r="U938" s="859"/>
      <c r="V938" s="859"/>
      <c r="W938" s="859"/>
      <c r="X938" s="859"/>
      <c r="Y938" s="859"/>
      <c r="Z938" s="860"/>
      <c r="AA938" s="860"/>
      <c r="AB938" s="860"/>
      <c r="AC938" s="860"/>
      <c r="AD938" s="860"/>
      <c r="AE938" s="860"/>
      <c r="AF938" s="860"/>
      <c r="AG938" s="860"/>
      <c r="AH938" s="860"/>
      <c r="AI938" s="860"/>
      <c r="AJ938" s="860"/>
      <c r="AK938" s="860"/>
      <c r="AL938" s="860"/>
      <c r="AM938" s="860"/>
      <c r="AN938" s="860"/>
      <c r="AO938" s="860"/>
      <c r="AP938" s="860"/>
      <c r="AQ938" s="860"/>
      <c r="AR938" s="860"/>
      <c r="AS938" s="860"/>
      <c r="AT938" s="860"/>
      <c r="AU938" s="860"/>
      <c r="AV938" s="860"/>
      <c r="AW938" s="860"/>
      <c r="AX938" s="860"/>
      <c r="AY938" s="860"/>
      <c r="AZ938" s="860"/>
      <c r="BA938" s="860"/>
      <c r="BB938" s="860"/>
      <c r="BC938" s="860"/>
      <c r="BD938" s="860"/>
      <c r="BE938" s="860"/>
      <c r="BF938" s="860"/>
      <c r="BG938" s="860"/>
      <c r="BH938" s="668"/>
      <c r="BI938" s="654"/>
      <c r="BJ938" s="690">
        <f>IFERROR(BK938/J938,0)</f>
        <v>0</v>
      </c>
      <c r="BK938" s="691">
        <f>SUM(BM938:DH938)</f>
        <v>0</v>
      </c>
      <c r="BL938" s="654"/>
      <c r="BM938" s="692">
        <f>SUMIFS(Imput[[Importe Neto]:[Importe Neto]],Imput[[C. Imp.]:[C. Imp.]],$D938,Imput[[PERIODO Imp.]:[PERIODO Imp.]],BM$9)</f>
        <v>0</v>
      </c>
      <c r="BN938" s="693">
        <f>SUMIFS(Imput[[Importe Neto]:[Importe Neto]],Imput[[C. Imp.]:[C. Imp.]],$D938,Imput[[PERIODO Imp.]:[PERIODO Imp.]],BN$9)</f>
        <v>0</v>
      </c>
      <c r="BO938" s="693">
        <f>SUMIFS(Imput[[Importe Neto]:[Importe Neto]],Imput[[C. Imp.]:[C. Imp.]],$D938,Imput[[PERIODO Imp.]:[PERIODO Imp.]],BO$9)</f>
        <v>0</v>
      </c>
      <c r="BP938" s="693">
        <f>SUMIFS(Imput[[Importe Neto]:[Importe Neto]],Imput[[C. Imp.]:[C. Imp.]],$D938,Imput[[PERIODO Imp.]:[PERIODO Imp.]],BP$9)</f>
        <v>0</v>
      </c>
      <c r="BQ938" s="693">
        <f>SUMIFS(Imput[[Importe Neto]:[Importe Neto]],Imput[[C. Imp.]:[C. Imp.]],$D938,Imput[[PERIODO Imp.]:[PERIODO Imp.]],BQ$9)</f>
        <v>0</v>
      </c>
      <c r="BR938" s="693">
        <f>SUMIFS(Imput[[Importe Neto]:[Importe Neto]],Imput[[C. Imp.]:[C. Imp.]],$D938,Imput[[PERIODO Imp.]:[PERIODO Imp.]],BR$9)</f>
        <v>0</v>
      </c>
      <c r="BS938" s="693">
        <f>SUMIFS(Imput[[Importe Neto]:[Importe Neto]],Imput[[C. Imp.]:[C. Imp.]],$D938,Imput[[PERIODO Imp.]:[PERIODO Imp.]],BS$9)</f>
        <v>0</v>
      </c>
      <c r="BT938" s="693">
        <f>SUMIFS(Imput[[Importe Neto]:[Importe Neto]],Imput[[C. Imp.]:[C. Imp.]],$D938,Imput[[PERIODO Imp.]:[PERIODO Imp.]],BT$9)</f>
        <v>0</v>
      </c>
      <c r="BU938" s="693">
        <f>SUMIFS(Imput[[Importe Neto]:[Importe Neto]],Imput[[C. Imp.]:[C. Imp.]],$D938,Imput[[PERIODO Imp.]:[PERIODO Imp.]],BU$9)</f>
        <v>0</v>
      </c>
      <c r="BV938" s="693">
        <f>SUMIFS(Imput[[Importe Neto]:[Importe Neto]],Imput[[C. Imp.]:[C. Imp.]],$D938,Imput[[PERIODO Imp.]:[PERIODO Imp.]],BV$9)</f>
        <v>0</v>
      </c>
      <c r="BW938" s="693">
        <f>SUMIFS(Imput[[Importe Neto]:[Importe Neto]],Imput[[C. Imp.]:[C. Imp.]],$D938,Imput[[PERIODO Imp.]:[PERIODO Imp.]],BW$9)</f>
        <v>0</v>
      </c>
      <c r="BX938" s="693">
        <f>SUMIFS(Imput[[Importe Neto]:[Importe Neto]],Imput[[C. Imp.]:[C. Imp.]],$D938,Imput[[PERIODO Imp.]:[PERIODO Imp.]],BX$9)</f>
        <v>0</v>
      </c>
      <c r="BY938" s="693">
        <f>SUMIFS(Imput[[Importe Neto]:[Importe Neto]],Imput[[C. Imp.]:[C. Imp.]],$D938,Imput[[PERIODO Imp.]:[PERIODO Imp.]],BY$9)</f>
        <v>0</v>
      </c>
      <c r="BZ938" s="693">
        <f>SUMIFS(Imput[[Importe Neto]:[Importe Neto]],Imput[[C. Imp.]:[C. Imp.]],$D938,Imput[[PERIODO Imp.]:[PERIODO Imp.]],BZ$9)</f>
        <v>0</v>
      </c>
      <c r="CA938" s="693">
        <f>SUMIFS(Imput[[Importe Neto]:[Importe Neto]],Imput[[C. Imp.]:[C. Imp.]],$D938,Imput[[PERIODO Imp.]:[PERIODO Imp.]],CA$9)</f>
        <v>0</v>
      </c>
      <c r="CB938" s="693">
        <f>SUMIFS(Imput[[Importe Neto]:[Importe Neto]],Imput[[C. Imp.]:[C. Imp.]],$D938,Imput[[PERIODO Imp.]:[PERIODO Imp.]],CB$9)</f>
        <v>0</v>
      </c>
      <c r="CC938" s="693">
        <f>SUMIFS(Imput[[Importe Neto]:[Importe Neto]],Imput[[C. Imp.]:[C. Imp.]],$D938,Imput[[PERIODO Imp.]:[PERIODO Imp.]],CC$9)</f>
        <v>0</v>
      </c>
      <c r="CD938" s="693">
        <f>SUMIFS(Imput[[Importe Neto]:[Importe Neto]],Imput[[C. Imp.]:[C. Imp.]],$D938,Imput[[PERIODO Imp.]:[PERIODO Imp.]],CD$9)</f>
        <v>0</v>
      </c>
      <c r="CE938" s="693">
        <f>SUMIFS(Imput[[Importe Neto]:[Importe Neto]],Imput[[C. Imp.]:[C. Imp.]],$D938,Imput[[PERIODO Imp.]:[PERIODO Imp.]],CE$9)</f>
        <v>0</v>
      </c>
      <c r="CF938" s="693">
        <f>SUMIFS(Imput[[Importe Neto]:[Importe Neto]],Imput[[C. Imp.]:[C. Imp.]],$D938,Imput[[PERIODO Imp.]:[PERIODO Imp.]],CF$9)</f>
        <v>0</v>
      </c>
      <c r="CG938" s="693">
        <f>SUMIFS(Imput[[Importe Neto]:[Importe Neto]],Imput[[C. Imp.]:[C. Imp.]],$D938,Imput[[PERIODO Imp.]:[PERIODO Imp.]],CG$9)</f>
        <v>0</v>
      </c>
      <c r="CH938" s="693">
        <f>SUMIFS(Imput[[Importe Neto]:[Importe Neto]],Imput[[C. Imp.]:[C. Imp.]],$D938,Imput[[PERIODO Imp.]:[PERIODO Imp.]],CH$9)</f>
        <v>0</v>
      </c>
      <c r="CI938" s="693">
        <f>SUMIFS(Imput[[Importe Neto]:[Importe Neto]],Imput[[C. Imp.]:[C. Imp.]],$D938,Imput[[PERIODO Imp.]:[PERIODO Imp.]],CI$9)</f>
        <v>0</v>
      </c>
      <c r="CJ938" s="693">
        <f>SUMIFS(Imput[[Importe Neto]:[Importe Neto]],Imput[[C. Imp.]:[C. Imp.]],$D938,Imput[[PERIODO Imp.]:[PERIODO Imp.]],CJ$9)</f>
        <v>0</v>
      </c>
      <c r="CK938" s="693">
        <f>SUMIFS(Imput[[Importe Neto]:[Importe Neto]],Imput[[C. Imp.]:[C. Imp.]],$D938,Imput[[PERIODO Imp.]:[PERIODO Imp.]],CK$9)</f>
        <v>0</v>
      </c>
      <c r="CL938" s="693">
        <f>SUMIFS(Imput[[Importe Neto]:[Importe Neto]],Imput[[C. Imp.]:[C. Imp.]],$D938,Imput[[PERIODO Imp.]:[PERIODO Imp.]],CL$9)</f>
        <v>0</v>
      </c>
      <c r="CM938" s="693">
        <f>SUMIFS(Imput[[Importe Neto]:[Importe Neto]],Imput[[C. Imp.]:[C. Imp.]],$D938,Imput[[PERIODO Imp.]:[PERIODO Imp.]],CM$9)</f>
        <v>0</v>
      </c>
      <c r="CN938" s="693">
        <f>SUMIFS(Imput[[Importe Neto]:[Importe Neto]],Imput[[C. Imp.]:[C. Imp.]],$D938,Imput[[PERIODO Imp.]:[PERIODO Imp.]],CN$9)</f>
        <v>0</v>
      </c>
      <c r="CO938" s="693">
        <f>SUMIFS(Imput[[Importe Neto]:[Importe Neto]],Imput[[C. Imp.]:[C. Imp.]],$D938,Imput[[PERIODO Imp.]:[PERIODO Imp.]],CO$9)</f>
        <v>0</v>
      </c>
      <c r="CP938" s="693">
        <f>SUMIFS(Imput[[Importe Neto]:[Importe Neto]],Imput[[C. Imp.]:[C. Imp.]],$D938,Imput[[PERIODO Imp.]:[PERIODO Imp.]],CP$9)</f>
        <v>0</v>
      </c>
      <c r="CQ938" s="693">
        <f>SUMIFS(Imput[[Importe Neto]:[Importe Neto]],Imput[[C. Imp.]:[C. Imp.]],$D938,Imput[[PERIODO Imp.]:[PERIODO Imp.]],CQ$9)</f>
        <v>0</v>
      </c>
      <c r="CR938" s="693">
        <f>SUMIFS(Imput[[Importe Neto]:[Importe Neto]],Imput[[C. Imp.]:[C. Imp.]],$D938,Imput[[PERIODO Imp.]:[PERIODO Imp.]],CR$9)</f>
        <v>0</v>
      </c>
      <c r="CS938" s="693">
        <f>SUMIFS(Imput[[Importe Neto]:[Importe Neto]],Imput[[C. Imp.]:[C. Imp.]],$D938,Imput[[PERIODO Imp.]:[PERIODO Imp.]],CS$9)</f>
        <v>0</v>
      </c>
      <c r="CT938" s="693">
        <f>SUMIFS(Imput[[Importe Neto]:[Importe Neto]],Imput[[C. Imp.]:[C. Imp.]],$D938,Imput[[PERIODO Imp.]:[PERIODO Imp.]],CT$9)</f>
        <v>0</v>
      </c>
      <c r="CU938" s="693">
        <f>SUMIFS(Imput[[Importe Neto]:[Importe Neto]],Imput[[C. Imp.]:[C. Imp.]],$D938,Imput[[PERIODO Imp.]:[PERIODO Imp.]],CU$9)</f>
        <v>0</v>
      </c>
      <c r="CV938" s="693">
        <f>SUMIFS(Imput[[Importe Neto]:[Importe Neto]],Imput[[C. Imp.]:[C. Imp.]],$D938,Imput[[PERIODO Imp.]:[PERIODO Imp.]],CV$9)</f>
        <v>0</v>
      </c>
      <c r="CW938" s="693">
        <f>SUMIFS(Imput[[Importe Neto]:[Importe Neto]],Imput[[C. Imp.]:[C. Imp.]],$D938,Imput[[PERIODO Imp.]:[PERIODO Imp.]],CW$9)</f>
        <v>0</v>
      </c>
      <c r="CX938" s="693">
        <f>SUMIFS(Imput[[Importe Neto]:[Importe Neto]],Imput[[C. Imp.]:[C. Imp.]],$D938,Imput[[PERIODO Imp.]:[PERIODO Imp.]],CX$9)</f>
        <v>0</v>
      </c>
      <c r="CY938" s="693">
        <f>SUMIFS(Imput[[Importe Neto]:[Importe Neto]],Imput[[C. Imp.]:[C. Imp.]],$D938,Imput[[PERIODO Imp.]:[PERIODO Imp.]],CY$9)</f>
        <v>0</v>
      </c>
      <c r="CZ938" s="693">
        <f>SUMIFS(Imput[[Importe Neto]:[Importe Neto]],Imput[[C. Imp.]:[C. Imp.]],$D938,Imput[[PERIODO Imp.]:[PERIODO Imp.]],CZ$9)</f>
        <v>0</v>
      </c>
      <c r="DA938" s="693">
        <f>SUMIFS(Imput[[Importe Neto]:[Importe Neto]],Imput[[C. Imp.]:[C. Imp.]],$D938,Imput[[PERIODO Imp.]:[PERIODO Imp.]],DA$9)</f>
        <v>0</v>
      </c>
      <c r="DB938" s="693">
        <f>SUMIFS(Imput[[Importe Neto]:[Importe Neto]],Imput[[C. Imp.]:[C. Imp.]],$D938,Imput[[PERIODO Imp.]:[PERIODO Imp.]],DB$9)</f>
        <v>0</v>
      </c>
      <c r="DC938" s="693">
        <f>SUMIFS(Imput[[Importe Neto]:[Importe Neto]],Imput[[C. Imp.]:[C. Imp.]],$D938,Imput[[PERIODO Imp.]:[PERIODO Imp.]],DC$9)</f>
        <v>0</v>
      </c>
      <c r="DD938" s="693">
        <f>SUMIFS(Imput[[Importe Neto]:[Importe Neto]],Imput[[C. Imp.]:[C. Imp.]],$D938,Imput[[PERIODO Imp.]:[PERIODO Imp.]],DD$9)</f>
        <v>0</v>
      </c>
      <c r="DE938" s="693">
        <f>SUMIFS(Imput[[Importe Neto]:[Importe Neto]],Imput[[C. Imp.]:[C. Imp.]],$D938,Imput[[PERIODO Imp.]:[PERIODO Imp.]],DE$9)</f>
        <v>0</v>
      </c>
      <c r="DF938" s="693">
        <f>SUMIFS(Imput[[Importe Neto]:[Importe Neto]],Imput[[C. Imp.]:[C. Imp.]],$D938,Imput[[PERIODO Imp.]:[PERIODO Imp.]],DF$9)</f>
        <v>0</v>
      </c>
      <c r="DG938" s="693">
        <f>SUMIFS(Imput[[Importe Neto]:[Importe Neto]],Imput[[C. Imp.]:[C. Imp.]],$D938,Imput[[PERIODO Imp.]:[PERIODO Imp.]],DG$9)</f>
        <v>0</v>
      </c>
      <c r="DH938" s="694">
        <f>SUMIFS(Imput[[Importe Neto]:[Importe Neto]],Imput[[C. Imp.]:[C. Imp.]],$D938,Imput[[PERIODO Imp.]:[PERIODO Imp.]],DH$9)</f>
        <v>0</v>
      </c>
    </row>
    <row r="939" spans="1:112" s="649" customFormat="1" ht="14.4" hidden="1" outlineLevel="1" thickBot="1" x14ac:dyDescent="0.35">
      <c r="A939" s="652" t="str">
        <f t="shared" si="321"/>
        <v/>
      </c>
      <c r="B939" s="652"/>
      <c r="C939" s="685"/>
      <c r="D939" s="686" t="s">
        <v>2899</v>
      </c>
      <c r="E939" s="686"/>
      <c r="F939" s="720"/>
      <c r="G939" s="688"/>
      <c r="H939" s="689"/>
      <c r="I939" s="851" t="str">
        <f>IF(E939&gt;0,$J$5,"")</f>
        <v/>
      </c>
      <c r="J939" s="517" t="str">
        <f t="shared" si="322"/>
        <v/>
      </c>
      <c r="K939" s="667"/>
      <c r="L939" s="858"/>
      <c r="M939" s="859"/>
      <c r="N939" s="859"/>
      <c r="O939" s="859"/>
      <c r="P939" s="859"/>
      <c r="Q939" s="859"/>
      <c r="R939" s="859"/>
      <c r="S939" s="859"/>
      <c r="T939" s="859"/>
      <c r="U939" s="859"/>
      <c r="V939" s="859"/>
      <c r="W939" s="859"/>
      <c r="X939" s="859"/>
      <c r="Y939" s="859"/>
      <c r="Z939" s="860"/>
      <c r="AA939" s="860"/>
      <c r="AB939" s="860"/>
      <c r="AC939" s="860"/>
      <c r="AD939" s="860"/>
      <c r="AE939" s="860"/>
      <c r="AF939" s="860"/>
      <c r="AG939" s="860"/>
      <c r="AH939" s="860"/>
      <c r="AI939" s="860"/>
      <c r="AJ939" s="860"/>
      <c r="AK939" s="860"/>
      <c r="AL939" s="860"/>
      <c r="AM939" s="860"/>
      <c r="AN939" s="860"/>
      <c r="AO939" s="860"/>
      <c r="AP939" s="860"/>
      <c r="AQ939" s="860"/>
      <c r="AR939" s="860"/>
      <c r="AS939" s="860"/>
      <c r="AT939" s="860"/>
      <c r="AU939" s="860"/>
      <c r="AV939" s="860"/>
      <c r="AW939" s="860"/>
      <c r="AX939" s="860"/>
      <c r="AY939" s="860"/>
      <c r="AZ939" s="860"/>
      <c r="BA939" s="860"/>
      <c r="BB939" s="860"/>
      <c r="BC939" s="860"/>
      <c r="BD939" s="860"/>
      <c r="BE939" s="860"/>
      <c r="BF939" s="860"/>
      <c r="BG939" s="860"/>
      <c r="BH939" s="668"/>
      <c r="BI939" s="654"/>
      <c r="BJ939" s="690">
        <f>IFERROR(BK939/J939,0)</f>
        <v>0</v>
      </c>
      <c r="BK939" s="691">
        <f>SUM(BM939:DH939)</f>
        <v>0</v>
      </c>
      <c r="BL939" s="654"/>
      <c r="BM939" s="692">
        <f>SUMIFS(Imput[[Importe Neto]:[Importe Neto]],Imput[[C. Imp.]:[C. Imp.]],$D939,Imput[[PERIODO Imp.]:[PERIODO Imp.]],BM$9)</f>
        <v>0</v>
      </c>
      <c r="BN939" s="693">
        <f>SUMIFS(Imput[[Importe Neto]:[Importe Neto]],Imput[[C. Imp.]:[C. Imp.]],$D939,Imput[[PERIODO Imp.]:[PERIODO Imp.]],BN$9)</f>
        <v>0</v>
      </c>
      <c r="BO939" s="693">
        <f>SUMIFS(Imput[[Importe Neto]:[Importe Neto]],Imput[[C. Imp.]:[C. Imp.]],$D939,Imput[[PERIODO Imp.]:[PERIODO Imp.]],BO$9)</f>
        <v>0</v>
      </c>
      <c r="BP939" s="693">
        <f>SUMIFS(Imput[[Importe Neto]:[Importe Neto]],Imput[[C. Imp.]:[C. Imp.]],$D939,Imput[[PERIODO Imp.]:[PERIODO Imp.]],BP$9)</f>
        <v>0</v>
      </c>
      <c r="BQ939" s="693">
        <f>SUMIFS(Imput[[Importe Neto]:[Importe Neto]],Imput[[C. Imp.]:[C. Imp.]],$D939,Imput[[PERIODO Imp.]:[PERIODO Imp.]],BQ$9)</f>
        <v>0</v>
      </c>
      <c r="BR939" s="693">
        <f>SUMIFS(Imput[[Importe Neto]:[Importe Neto]],Imput[[C. Imp.]:[C. Imp.]],$D939,Imput[[PERIODO Imp.]:[PERIODO Imp.]],BR$9)</f>
        <v>0</v>
      </c>
      <c r="BS939" s="693">
        <f>SUMIFS(Imput[[Importe Neto]:[Importe Neto]],Imput[[C. Imp.]:[C. Imp.]],$D939,Imput[[PERIODO Imp.]:[PERIODO Imp.]],BS$9)</f>
        <v>0</v>
      </c>
      <c r="BT939" s="693">
        <f>SUMIFS(Imput[[Importe Neto]:[Importe Neto]],Imput[[C. Imp.]:[C. Imp.]],$D939,Imput[[PERIODO Imp.]:[PERIODO Imp.]],BT$9)</f>
        <v>0</v>
      </c>
      <c r="BU939" s="693">
        <f>SUMIFS(Imput[[Importe Neto]:[Importe Neto]],Imput[[C. Imp.]:[C. Imp.]],$D939,Imput[[PERIODO Imp.]:[PERIODO Imp.]],BU$9)</f>
        <v>0</v>
      </c>
      <c r="BV939" s="693">
        <f>SUMIFS(Imput[[Importe Neto]:[Importe Neto]],Imput[[C. Imp.]:[C. Imp.]],$D939,Imput[[PERIODO Imp.]:[PERIODO Imp.]],BV$9)</f>
        <v>0</v>
      </c>
      <c r="BW939" s="693">
        <f>SUMIFS(Imput[[Importe Neto]:[Importe Neto]],Imput[[C. Imp.]:[C. Imp.]],$D939,Imput[[PERIODO Imp.]:[PERIODO Imp.]],BW$9)</f>
        <v>0</v>
      </c>
      <c r="BX939" s="693">
        <f>SUMIFS(Imput[[Importe Neto]:[Importe Neto]],Imput[[C. Imp.]:[C. Imp.]],$D939,Imput[[PERIODO Imp.]:[PERIODO Imp.]],BX$9)</f>
        <v>0</v>
      </c>
      <c r="BY939" s="693">
        <f>SUMIFS(Imput[[Importe Neto]:[Importe Neto]],Imput[[C. Imp.]:[C. Imp.]],$D939,Imput[[PERIODO Imp.]:[PERIODO Imp.]],BY$9)</f>
        <v>0</v>
      </c>
      <c r="BZ939" s="693">
        <f>SUMIFS(Imput[[Importe Neto]:[Importe Neto]],Imput[[C. Imp.]:[C. Imp.]],$D939,Imput[[PERIODO Imp.]:[PERIODO Imp.]],BZ$9)</f>
        <v>0</v>
      </c>
      <c r="CA939" s="693">
        <f>SUMIFS(Imput[[Importe Neto]:[Importe Neto]],Imput[[C. Imp.]:[C. Imp.]],$D939,Imput[[PERIODO Imp.]:[PERIODO Imp.]],CA$9)</f>
        <v>0</v>
      </c>
      <c r="CB939" s="693">
        <f>SUMIFS(Imput[[Importe Neto]:[Importe Neto]],Imput[[C. Imp.]:[C. Imp.]],$D939,Imput[[PERIODO Imp.]:[PERIODO Imp.]],CB$9)</f>
        <v>0</v>
      </c>
      <c r="CC939" s="693">
        <f>SUMIFS(Imput[[Importe Neto]:[Importe Neto]],Imput[[C. Imp.]:[C. Imp.]],$D939,Imput[[PERIODO Imp.]:[PERIODO Imp.]],CC$9)</f>
        <v>0</v>
      </c>
      <c r="CD939" s="693">
        <f>SUMIFS(Imput[[Importe Neto]:[Importe Neto]],Imput[[C. Imp.]:[C. Imp.]],$D939,Imput[[PERIODO Imp.]:[PERIODO Imp.]],CD$9)</f>
        <v>0</v>
      </c>
      <c r="CE939" s="693">
        <f>SUMIFS(Imput[[Importe Neto]:[Importe Neto]],Imput[[C. Imp.]:[C. Imp.]],$D939,Imput[[PERIODO Imp.]:[PERIODO Imp.]],CE$9)</f>
        <v>0</v>
      </c>
      <c r="CF939" s="693">
        <f>SUMIFS(Imput[[Importe Neto]:[Importe Neto]],Imput[[C. Imp.]:[C. Imp.]],$D939,Imput[[PERIODO Imp.]:[PERIODO Imp.]],CF$9)</f>
        <v>0</v>
      </c>
      <c r="CG939" s="693">
        <f>SUMIFS(Imput[[Importe Neto]:[Importe Neto]],Imput[[C. Imp.]:[C. Imp.]],$D939,Imput[[PERIODO Imp.]:[PERIODO Imp.]],CG$9)</f>
        <v>0</v>
      </c>
      <c r="CH939" s="693">
        <f>SUMIFS(Imput[[Importe Neto]:[Importe Neto]],Imput[[C. Imp.]:[C. Imp.]],$D939,Imput[[PERIODO Imp.]:[PERIODO Imp.]],CH$9)</f>
        <v>0</v>
      </c>
      <c r="CI939" s="693">
        <f>SUMIFS(Imput[[Importe Neto]:[Importe Neto]],Imput[[C. Imp.]:[C. Imp.]],$D939,Imput[[PERIODO Imp.]:[PERIODO Imp.]],CI$9)</f>
        <v>0</v>
      </c>
      <c r="CJ939" s="693">
        <f>SUMIFS(Imput[[Importe Neto]:[Importe Neto]],Imput[[C. Imp.]:[C. Imp.]],$D939,Imput[[PERIODO Imp.]:[PERIODO Imp.]],CJ$9)</f>
        <v>0</v>
      </c>
      <c r="CK939" s="693">
        <f>SUMIFS(Imput[[Importe Neto]:[Importe Neto]],Imput[[C. Imp.]:[C. Imp.]],$D939,Imput[[PERIODO Imp.]:[PERIODO Imp.]],CK$9)</f>
        <v>0</v>
      </c>
      <c r="CL939" s="693">
        <f>SUMIFS(Imput[[Importe Neto]:[Importe Neto]],Imput[[C. Imp.]:[C. Imp.]],$D939,Imput[[PERIODO Imp.]:[PERIODO Imp.]],CL$9)</f>
        <v>0</v>
      </c>
      <c r="CM939" s="693">
        <f>SUMIFS(Imput[[Importe Neto]:[Importe Neto]],Imput[[C. Imp.]:[C. Imp.]],$D939,Imput[[PERIODO Imp.]:[PERIODO Imp.]],CM$9)</f>
        <v>0</v>
      </c>
      <c r="CN939" s="693">
        <f>SUMIFS(Imput[[Importe Neto]:[Importe Neto]],Imput[[C. Imp.]:[C. Imp.]],$D939,Imput[[PERIODO Imp.]:[PERIODO Imp.]],CN$9)</f>
        <v>0</v>
      </c>
      <c r="CO939" s="693">
        <f>SUMIFS(Imput[[Importe Neto]:[Importe Neto]],Imput[[C. Imp.]:[C. Imp.]],$D939,Imput[[PERIODO Imp.]:[PERIODO Imp.]],CO$9)</f>
        <v>0</v>
      </c>
      <c r="CP939" s="693">
        <f>SUMIFS(Imput[[Importe Neto]:[Importe Neto]],Imput[[C. Imp.]:[C. Imp.]],$D939,Imput[[PERIODO Imp.]:[PERIODO Imp.]],CP$9)</f>
        <v>0</v>
      </c>
      <c r="CQ939" s="693">
        <f>SUMIFS(Imput[[Importe Neto]:[Importe Neto]],Imput[[C. Imp.]:[C. Imp.]],$D939,Imput[[PERIODO Imp.]:[PERIODO Imp.]],CQ$9)</f>
        <v>0</v>
      </c>
      <c r="CR939" s="693">
        <f>SUMIFS(Imput[[Importe Neto]:[Importe Neto]],Imput[[C. Imp.]:[C. Imp.]],$D939,Imput[[PERIODO Imp.]:[PERIODO Imp.]],CR$9)</f>
        <v>0</v>
      </c>
      <c r="CS939" s="693">
        <f>SUMIFS(Imput[[Importe Neto]:[Importe Neto]],Imput[[C. Imp.]:[C. Imp.]],$D939,Imput[[PERIODO Imp.]:[PERIODO Imp.]],CS$9)</f>
        <v>0</v>
      </c>
      <c r="CT939" s="693">
        <f>SUMIFS(Imput[[Importe Neto]:[Importe Neto]],Imput[[C. Imp.]:[C. Imp.]],$D939,Imput[[PERIODO Imp.]:[PERIODO Imp.]],CT$9)</f>
        <v>0</v>
      </c>
      <c r="CU939" s="693">
        <f>SUMIFS(Imput[[Importe Neto]:[Importe Neto]],Imput[[C. Imp.]:[C. Imp.]],$D939,Imput[[PERIODO Imp.]:[PERIODO Imp.]],CU$9)</f>
        <v>0</v>
      </c>
      <c r="CV939" s="693">
        <f>SUMIFS(Imput[[Importe Neto]:[Importe Neto]],Imput[[C. Imp.]:[C. Imp.]],$D939,Imput[[PERIODO Imp.]:[PERIODO Imp.]],CV$9)</f>
        <v>0</v>
      </c>
      <c r="CW939" s="693">
        <f>SUMIFS(Imput[[Importe Neto]:[Importe Neto]],Imput[[C. Imp.]:[C. Imp.]],$D939,Imput[[PERIODO Imp.]:[PERIODO Imp.]],CW$9)</f>
        <v>0</v>
      </c>
      <c r="CX939" s="693">
        <f>SUMIFS(Imput[[Importe Neto]:[Importe Neto]],Imput[[C. Imp.]:[C. Imp.]],$D939,Imput[[PERIODO Imp.]:[PERIODO Imp.]],CX$9)</f>
        <v>0</v>
      </c>
      <c r="CY939" s="693">
        <f>SUMIFS(Imput[[Importe Neto]:[Importe Neto]],Imput[[C. Imp.]:[C. Imp.]],$D939,Imput[[PERIODO Imp.]:[PERIODO Imp.]],CY$9)</f>
        <v>0</v>
      </c>
      <c r="CZ939" s="693">
        <f>SUMIFS(Imput[[Importe Neto]:[Importe Neto]],Imput[[C. Imp.]:[C. Imp.]],$D939,Imput[[PERIODO Imp.]:[PERIODO Imp.]],CZ$9)</f>
        <v>0</v>
      </c>
      <c r="DA939" s="693">
        <f>SUMIFS(Imput[[Importe Neto]:[Importe Neto]],Imput[[C. Imp.]:[C. Imp.]],$D939,Imput[[PERIODO Imp.]:[PERIODO Imp.]],DA$9)</f>
        <v>0</v>
      </c>
      <c r="DB939" s="693">
        <f>SUMIFS(Imput[[Importe Neto]:[Importe Neto]],Imput[[C. Imp.]:[C. Imp.]],$D939,Imput[[PERIODO Imp.]:[PERIODO Imp.]],DB$9)</f>
        <v>0</v>
      </c>
      <c r="DC939" s="693">
        <f>SUMIFS(Imput[[Importe Neto]:[Importe Neto]],Imput[[C. Imp.]:[C. Imp.]],$D939,Imput[[PERIODO Imp.]:[PERIODO Imp.]],DC$9)</f>
        <v>0</v>
      </c>
      <c r="DD939" s="693">
        <f>SUMIFS(Imput[[Importe Neto]:[Importe Neto]],Imput[[C. Imp.]:[C. Imp.]],$D939,Imput[[PERIODO Imp.]:[PERIODO Imp.]],DD$9)</f>
        <v>0</v>
      </c>
      <c r="DE939" s="693">
        <f>SUMIFS(Imput[[Importe Neto]:[Importe Neto]],Imput[[C. Imp.]:[C. Imp.]],$D939,Imput[[PERIODO Imp.]:[PERIODO Imp.]],DE$9)</f>
        <v>0</v>
      </c>
      <c r="DF939" s="693">
        <f>SUMIFS(Imput[[Importe Neto]:[Importe Neto]],Imput[[C. Imp.]:[C. Imp.]],$D939,Imput[[PERIODO Imp.]:[PERIODO Imp.]],DF$9)</f>
        <v>0</v>
      </c>
      <c r="DG939" s="693">
        <f>SUMIFS(Imput[[Importe Neto]:[Importe Neto]],Imput[[C. Imp.]:[C. Imp.]],$D939,Imput[[PERIODO Imp.]:[PERIODO Imp.]],DG$9)</f>
        <v>0</v>
      </c>
      <c r="DH939" s="694">
        <f>SUMIFS(Imput[[Importe Neto]:[Importe Neto]],Imput[[C. Imp.]:[C. Imp.]],$D939,Imput[[PERIODO Imp.]:[PERIODO Imp.]],DH$9)</f>
        <v>0</v>
      </c>
    </row>
    <row r="940" spans="1:112" s="649" customFormat="1" ht="14.4" hidden="1" outlineLevel="1" thickBot="1" x14ac:dyDescent="0.35">
      <c r="A940" s="652" t="str">
        <f t="shared" si="321"/>
        <v/>
      </c>
      <c r="B940" s="652"/>
      <c r="C940" s="685"/>
      <c r="D940" s="686" t="s">
        <v>2900</v>
      </c>
      <c r="E940" s="686"/>
      <c r="F940" s="720"/>
      <c r="G940" s="688"/>
      <c r="H940" s="689"/>
      <c r="I940" s="851" t="str">
        <f>IF(E940&gt;0,$J$5,"")</f>
        <v/>
      </c>
      <c r="J940" s="517" t="str">
        <f t="shared" si="322"/>
        <v/>
      </c>
      <c r="K940" s="667"/>
      <c r="L940" s="858"/>
      <c r="M940" s="859"/>
      <c r="N940" s="859"/>
      <c r="O940" s="859"/>
      <c r="P940" s="859"/>
      <c r="Q940" s="859"/>
      <c r="R940" s="859"/>
      <c r="S940" s="859"/>
      <c r="T940" s="859"/>
      <c r="U940" s="859"/>
      <c r="V940" s="859"/>
      <c r="W940" s="859"/>
      <c r="X940" s="859"/>
      <c r="Y940" s="859"/>
      <c r="Z940" s="860"/>
      <c r="AA940" s="860"/>
      <c r="AB940" s="860"/>
      <c r="AC940" s="860"/>
      <c r="AD940" s="860"/>
      <c r="AE940" s="860"/>
      <c r="AF940" s="860"/>
      <c r="AG940" s="860"/>
      <c r="AH940" s="860"/>
      <c r="AI940" s="860"/>
      <c r="AJ940" s="860"/>
      <c r="AK940" s="860"/>
      <c r="AL940" s="860"/>
      <c r="AM940" s="860"/>
      <c r="AN940" s="860"/>
      <c r="AO940" s="860"/>
      <c r="AP940" s="860"/>
      <c r="AQ940" s="860"/>
      <c r="AR940" s="860"/>
      <c r="AS940" s="860"/>
      <c r="AT940" s="860"/>
      <c r="AU940" s="860"/>
      <c r="AV940" s="860"/>
      <c r="AW940" s="860"/>
      <c r="AX940" s="860"/>
      <c r="AY940" s="860"/>
      <c r="AZ940" s="860"/>
      <c r="BA940" s="860"/>
      <c r="BB940" s="860"/>
      <c r="BC940" s="860"/>
      <c r="BD940" s="860"/>
      <c r="BE940" s="860"/>
      <c r="BF940" s="860"/>
      <c r="BG940" s="860"/>
      <c r="BH940" s="668"/>
      <c r="BI940" s="654"/>
      <c r="BJ940" s="690">
        <f>IFERROR(BK940/J940,0)</f>
        <v>0</v>
      </c>
      <c r="BK940" s="691">
        <f>SUM(BM940:DH940)</f>
        <v>0</v>
      </c>
      <c r="BL940" s="654"/>
      <c r="BM940" s="692">
        <f>SUMIFS(Imput[[Importe Neto]:[Importe Neto]],Imput[[C. Imp.]:[C. Imp.]],$D940,Imput[[PERIODO Imp.]:[PERIODO Imp.]],BM$9)</f>
        <v>0</v>
      </c>
      <c r="BN940" s="693">
        <f>SUMIFS(Imput[[Importe Neto]:[Importe Neto]],Imput[[C. Imp.]:[C. Imp.]],$D940,Imput[[PERIODO Imp.]:[PERIODO Imp.]],BN$9)</f>
        <v>0</v>
      </c>
      <c r="BO940" s="693">
        <f>SUMIFS(Imput[[Importe Neto]:[Importe Neto]],Imput[[C. Imp.]:[C. Imp.]],$D940,Imput[[PERIODO Imp.]:[PERIODO Imp.]],BO$9)</f>
        <v>0</v>
      </c>
      <c r="BP940" s="693">
        <f>SUMIFS(Imput[[Importe Neto]:[Importe Neto]],Imput[[C. Imp.]:[C. Imp.]],$D940,Imput[[PERIODO Imp.]:[PERIODO Imp.]],BP$9)</f>
        <v>0</v>
      </c>
      <c r="BQ940" s="693">
        <f>SUMIFS(Imput[[Importe Neto]:[Importe Neto]],Imput[[C. Imp.]:[C. Imp.]],$D940,Imput[[PERIODO Imp.]:[PERIODO Imp.]],BQ$9)</f>
        <v>0</v>
      </c>
      <c r="BR940" s="693">
        <f>SUMIFS(Imput[[Importe Neto]:[Importe Neto]],Imput[[C. Imp.]:[C. Imp.]],$D940,Imput[[PERIODO Imp.]:[PERIODO Imp.]],BR$9)</f>
        <v>0</v>
      </c>
      <c r="BS940" s="693">
        <f>SUMIFS(Imput[[Importe Neto]:[Importe Neto]],Imput[[C. Imp.]:[C. Imp.]],$D940,Imput[[PERIODO Imp.]:[PERIODO Imp.]],BS$9)</f>
        <v>0</v>
      </c>
      <c r="BT940" s="693">
        <f>SUMIFS(Imput[[Importe Neto]:[Importe Neto]],Imput[[C. Imp.]:[C. Imp.]],$D940,Imput[[PERIODO Imp.]:[PERIODO Imp.]],BT$9)</f>
        <v>0</v>
      </c>
      <c r="BU940" s="693">
        <f>SUMIFS(Imput[[Importe Neto]:[Importe Neto]],Imput[[C. Imp.]:[C. Imp.]],$D940,Imput[[PERIODO Imp.]:[PERIODO Imp.]],BU$9)</f>
        <v>0</v>
      </c>
      <c r="BV940" s="693">
        <f>SUMIFS(Imput[[Importe Neto]:[Importe Neto]],Imput[[C. Imp.]:[C. Imp.]],$D940,Imput[[PERIODO Imp.]:[PERIODO Imp.]],BV$9)</f>
        <v>0</v>
      </c>
      <c r="BW940" s="693">
        <f>SUMIFS(Imput[[Importe Neto]:[Importe Neto]],Imput[[C. Imp.]:[C. Imp.]],$D940,Imput[[PERIODO Imp.]:[PERIODO Imp.]],BW$9)</f>
        <v>0</v>
      </c>
      <c r="BX940" s="693">
        <f>SUMIFS(Imput[[Importe Neto]:[Importe Neto]],Imput[[C. Imp.]:[C. Imp.]],$D940,Imput[[PERIODO Imp.]:[PERIODO Imp.]],BX$9)</f>
        <v>0</v>
      </c>
      <c r="BY940" s="693">
        <f>SUMIFS(Imput[[Importe Neto]:[Importe Neto]],Imput[[C. Imp.]:[C. Imp.]],$D940,Imput[[PERIODO Imp.]:[PERIODO Imp.]],BY$9)</f>
        <v>0</v>
      </c>
      <c r="BZ940" s="693">
        <f>SUMIFS(Imput[[Importe Neto]:[Importe Neto]],Imput[[C. Imp.]:[C. Imp.]],$D940,Imput[[PERIODO Imp.]:[PERIODO Imp.]],BZ$9)</f>
        <v>0</v>
      </c>
      <c r="CA940" s="693">
        <f>SUMIFS(Imput[[Importe Neto]:[Importe Neto]],Imput[[C. Imp.]:[C. Imp.]],$D940,Imput[[PERIODO Imp.]:[PERIODO Imp.]],CA$9)</f>
        <v>0</v>
      </c>
      <c r="CB940" s="693">
        <f>SUMIFS(Imput[[Importe Neto]:[Importe Neto]],Imput[[C. Imp.]:[C. Imp.]],$D940,Imput[[PERIODO Imp.]:[PERIODO Imp.]],CB$9)</f>
        <v>0</v>
      </c>
      <c r="CC940" s="693">
        <f>SUMIFS(Imput[[Importe Neto]:[Importe Neto]],Imput[[C. Imp.]:[C. Imp.]],$D940,Imput[[PERIODO Imp.]:[PERIODO Imp.]],CC$9)</f>
        <v>0</v>
      </c>
      <c r="CD940" s="693">
        <f>SUMIFS(Imput[[Importe Neto]:[Importe Neto]],Imput[[C. Imp.]:[C. Imp.]],$D940,Imput[[PERIODO Imp.]:[PERIODO Imp.]],CD$9)</f>
        <v>0</v>
      </c>
      <c r="CE940" s="693">
        <f>SUMIFS(Imput[[Importe Neto]:[Importe Neto]],Imput[[C. Imp.]:[C. Imp.]],$D940,Imput[[PERIODO Imp.]:[PERIODO Imp.]],CE$9)</f>
        <v>0</v>
      </c>
      <c r="CF940" s="693">
        <f>SUMIFS(Imput[[Importe Neto]:[Importe Neto]],Imput[[C. Imp.]:[C. Imp.]],$D940,Imput[[PERIODO Imp.]:[PERIODO Imp.]],CF$9)</f>
        <v>0</v>
      </c>
      <c r="CG940" s="693">
        <f>SUMIFS(Imput[[Importe Neto]:[Importe Neto]],Imput[[C. Imp.]:[C. Imp.]],$D940,Imput[[PERIODO Imp.]:[PERIODO Imp.]],CG$9)</f>
        <v>0</v>
      </c>
      <c r="CH940" s="693">
        <f>SUMIFS(Imput[[Importe Neto]:[Importe Neto]],Imput[[C. Imp.]:[C. Imp.]],$D940,Imput[[PERIODO Imp.]:[PERIODO Imp.]],CH$9)</f>
        <v>0</v>
      </c>
      <c r="CI940" s="693">
        <f>SUMIFS(Imput[[Importe Neto]:[Importe Neto]],Imput[[C. Imp.]:[C. Imp.]],$D940,Imput[[PERIODO Imp.]:[PERIODO Imp.]],CI$9)</f>
        <v>0</v>
      </c>
      <c r="CJ940" s="693">
        <f>SUMIFS(Imput[[Importe Neto]:[Importe Neto]],Imput[[C. Imp.]:[C. Imp.]],$D940,Imput[[PERIODO Imp.]:[PERIODO Imp.]],CJ$9)</f>
        <v>0</v>
      </c>
      <c r="CK940" s="693">
        <f>SUMIFS(Imput[[Importe Neto]:[Importe Neto]],Imput[[C. Imp.]:[C. Imp.]],$D940,Imput[[PERIODO Imp.]:[PERIODO Imp.]],CK$9)</f>
        <v>0</v>
      </c>
      <c r="CL940" s="693">
        <f>SUMIFS(Imput[[Importe Neto]:[Importe Neto]],Imput[[C. Imp.]:[C. Imp.]],$D940,Imput[[PERIODO Imp.]:[PERIODO Imp.]],CL$9)</f>
        <v>0</v>
      </c>
      <c r="CM940" s="693">
        <f>SUMIFS(Imput[[Importe Neto]:[Importe Neto]],Imput[[C. Imp.]:[C. Imp.]],$D940,Imput[[PERIODO Imp.]:[PERIODO Imp.]],CM$9)</f>
        <v>0</v>
      </c>
      <c r="CN940" s="693">
        <f>SUMIFS(Imput[[Importe Neto]:[Importe Neto]],Imput[[C. Imp.]:[C. Imp.]],$D940,Imput[[PERIODO Imp.]:[PERIODO Imp.]],CN$9)</f>
        <v>0</v>
      </c>
      <c r="CO940" s="693">
        <f>SUMIFS(Imput[[Importe Neto]:[Importe Neto]],Imput[[C. Imp.]:[C. Imp.]],$D940,Imput[[PERIODO Imp.]:[PERIODO Imp.]],CO$9)</f>
        <v>0</v>
      </c>
      <c r="CP940" s="693">
        <f>SUMIFS(Imput[[Importe Neto]:[Importe Neto]],Imput[[C. Imp.]:[C. Imp.]],$D940,Imput[[PERIODO Imp.]:[PERIODO Imp.]],CP$9)</f>
        <v>0</v>
      </c>
      <c r="CQ940" s="693">
        <f>SUMIFS(Imput[[Importe Neto]:[Importe Neto]],Imput[[C. Imp.]:[C. Imp.]],$D940,Imput[[PERIODO Imp.]:[PERIODO Imp.]],CQ$9)</f>
        <v>0</v>
      </c>
      <c r="CR940" s="693">
        <f>SUMIFS(Imput[[Importe Neto]:[Importe Neto]],Imput[[C. Imp.]:[C. Imp.]],$D940,Imput[[PERIODO Imp.]:[PERIODO Imp.]],CR$9)</f>
        <v>0</v>
      </c>
      <c r="CS940" s="693">
        <f>SUMIFS(Imput[[Importe Neto]:[Importe Neto]],Imput[[C. Imp.]:[C. Imp.]],$D940,Imput[[PERIODO Imp.]:[PERIODO Imp.]],CS$9)</f>
        <v>0</v>
      </c>
      <c r="CT940" s="693">
        <f>SUMIFS(Imput[[Importe Neto]:[Importe Neto]],Imput[[C. Imp.]:[C. Imp.]],$D940,Imput[[PERIODO Imp.]:[PERIODO Imp.]],CT$9)</f>
        <v>0</v>
      </c>
      <c r="CU940" s="693">
        <f>SUMIFS(Imput[[Importe Neto]:[Importe Neto]],Imput[[C. Imp.]:[C. Imp.]],$D940,Imput[[PERIODO Imp.]:[PERIODO Imp.]],CU$9)</f>
        <v>0</v>
      </c>
      <c r="CV940" s="693">
        <f>SUMIFS(Imput[[Importe Neto]:[Importe Neto]],Imput[[C. Imp.]:[C. Imp.]],$D940,Imput[[PERIODO Imp.]:[PERIODO Imp.]],CV$9)</f>
        <v>0</v>
      </c>
      <c r="CW940" s="693">
        <f>SUMIFS(Imput[[Importe Neto]:[Importe Neto]],Imput[[C. Imp.]:[C. Imp.]],$D940,Imput[[PERIODO Imp.]:[PERIODO Imp.]],CW$9)</f>
        <v>0</v>
      </c>
      <c r="CX940" s="693">
        <f>SUMIFS(Imput[[Importe Neto]:[Importe Neto]],Imput[[C. Imp.]:[C. Imp.]],$D940,Imput[[PERIODO Imp.]:[PERIODO Imp.]],CX$9)</f>
        <v>0</v>
      </c>
      <c r="CY940" s="693">
        <f>SUMIFS(Imput[[Importe Neto]:[Importe Neto]],Imput[[C. Imp.]:[C. Imp.]],$D940,Imput[[PERIODO Imp.]:[PERIODO Imp.]],CY$9)</f>
        <v>0</v>
      </c>
      <c r="CZ940" s="693">
        <f>SUMIFS(Imput[[Importe Neto]:[Importe Neto]],Imput[[C. Imp.]:[C. Imp.]],$D940,Imput[[PERIODO Imp.]:[PERIODO Imp.]],CZ$9)</f>
        <v>0</v>
      </c>
      <c r="DA940" s="693">
        <f>SUMIFS(Imput[[Importe Neto]:[Importe Neto]],Imput[[C. Imp.]:[C. Imp.]],$D940,Imput[[PERIODO Imp.]:[PERIODO Imp.]],DA$9)</f>
        <v>0</v>
      </c>
      <c r="DB940" s="693">
        <f>SUMIFS(Imput[[Importe Neto]:[Importe Neto]],Imput[[C. Imp.]:[C. Imp.]],$D940,Imput[[PERIODO Imp.]:[PERIODO Imp.]],DB$9)</f>
        <v>0</v>
      </c>
      <c r="DC940" s="693">
        <f>SUMIFS(Imput[[Importe Neto]:[Importe Neto]],Imput[[C. Imp.]:[C. Imp.]],$D940,Imput[[PERIODO Imp.]:[PERIODO Imp.]],DC$9)</f>
        <v>0</v>
      </c>
      <c r="DD940" s="693">
        <f>SUMIFS(Imput[[Importe Neto]:[Importe Neto]],Imput[[C. Imp.]:[C. Imp.]],$D940,Imput[[PERIODO Imp.]:[PERIODO Imp.]],DD$9)</f>
        <v>0</v>
      </c>
      <c r="DE940" s="693">
        <f>SUMIFS(Imput[[Importe Neto]:[Importe Neto]],Imput[[C. Imp.]:[C. Imp.]],$D940,Imput[[PERIODO Imp.]:[PERIODO Imp.]],DE$9)</f>
        <v>0</v>
      </c>
      <c r="DF940" s="693">
        <f>SUMIFS(Imput[[Importe Neto]:[Importe Neto]],Imput[[C. Imp.]:[C. Imp.]],$D940,Imput[[PERIODO Imp.]:[PERIODO Imp.]],DF$9)</f>
        <v>0</v>
      </c>
      <c r="DG940" s="693">
        <f>SUMIFS(Imput[[Importe Neto]:[Importe Neto]],Imput[[C. Imp.]:[C. Imp.]],$D940,Imput[[PERIODO Imp.]:[PERIODO Imp.]],DG$9)</f>
        <v>0</v>
      </c>
      <c r="DH940" s="694">
        <f>SUMIFS(Imput[[Importe Neto]:[Importe Neto]],Imput[[C. Imp.]:[C. Imp.]],$D940,Imput[[PERIODO Imp.]:[PERIODO Imp.]],DH$9)</f>
        <v>0</v>
      </c>
    </row>
    <row r="941" spans="1:112" s="649" customFormat="1" ht="14.4" hidden="1" outlineLevel="1" thickBot="1" x14ac:dyDescent="0.35">
      <c r="A941" s="652" t="str">
        <f t="shared" si="321"/>
        <v/>
      </c>
      <c r="B941" s="652"/>
      <c r="C941" s="685"/>
      <c r="D941" s="686" t="s">
        <v>2901</v>
      </c>
      <c r="E941" s="686"/>
      <c r="F941" s="720"/>
      <c r="G941" s="688"/>
      <c r="H941" s="696"/>
      <c r="I941" s="851" t="str">
        <f>IF(E941&gt;0,$J$5,"")</f>
        <v/>
      </c>
      <c r="J941" s="517" t="str">
        <f t="shared" si="322"/>
        <v/>
      </c>
      <c r="K941" s="667"/>
      <c r="L941" s="858"/>
      <c r="M941" s="859"/>
      <c r="N941" s="859"/>
      <c r="O941" s="859"/>
      <c r="P941" s="859"/>
      <c r="Q941" s="859"/>
      <c r="R941" s="859"/>
      <c r="S941" s="859"/>
      <c r="T941" s="859"/>
      <c r="U941" s="859"/>
      <c r="V941" s="859"/>
      <c r="W941" s="859"/>
      <c r="X941" s="859"/>
      <c r="Y941" s="859"/>
      <c r="Z941" s="860"/>
      <c r="AA941" s="860"/>
      <c r="AB941" s="860"/>
      <c r="AC941" s="860"/>
      <c r="AD941" s="860"/>
      <c r="AE941" s="860"/>
      <c r="AF941" s="860"/>
      <c r="AG941" s="860"/>
      <c r="AH941" s="860"/>
      <c r="AI941" s="860"/>
      <c r="AJ941" s="860"/>
      <c r="AK941" s="860"/>
      <c r="AL941" s="860"/>
      <c r="AM941" s="860"/>
      <c r="AN941" s="860"/>
      <c r="AO941" s="860"/>
      <c r="AP941" s="860"/>
      <c r="AQ941" s="860"/>
      <c r="AR941" s="860"/>
      <c r="AS941" s="860"/>
      <c r="AT941" s="860"/>
      <c r="AU941" s="860"/>
      <c r="AV941" s="860"/>
      <c r="AW941" s="860"/>
      <c r="AX941" s="860"/>
      <c r="AY941" s="860"/>
      <c r="AZ941" s="860"/>
      <c r="BA941" s="860"/>
      <c r="BB941" s="860"/>
      <c r="BC941" s="860"/>
      <c r="BD941" s="860"/>
      <c r="BE941" s="860"/>
      <c r="BF941" s="860"/>
      <c r="BG941" s="860"/>
      <c r="BH941" s="668"/>
      <c r="BI941" s="654"/>
      <c r="BJ941" s="690">
        <f>IFERROR(BK941/J941,0)</f>
        <v>0</v>
      </c>
      <c r="BK941" s="691">
        <f>SUM(BM941:DH941)</f>
        <v>0</v>
      </c>
      <c r="BL941" s="654"/>
      <c r="BM941" s="692">
        <f>SUMIFS(Imput[[Importe Neto]:[Importe Neto]],Imput[[C. Imp.]:[C. Imp.]],$D941,Imput[[PERIODO Imp.]:[PERIODO Imp.]],BM$9)</f>
        <v>0</v>
      </c>
      <c r="BN941" s="693">
        <f>SUMIFS(Imput[[Importe Neto]:[Importe Neto]],Imput[[C. Imp.]:[C. Imp.]],$D941,Imput[[PERIODO Imp.]:[PERIODO Imp.]],BN$9)</f>
        <v>0</v>
      </c>
      <c r="BO941" s="693">
        <f>SUMIFS(Imput[[Importe Neto]:[Importe Neto]],Imput[[C. Imp.]:[C. Imp.]],$D941,Imput[[PERIODO Imp.]:[PERIODO Imp.]],BO$9)</f>
        <v>0</v>
      </c>
      <c r="BP941" s="693">
        <f>SUMIFS(Imput[[Importe Neto]:[Importe Neto]],Imput[[C. Imp.]:[C. Imp.]],$D941,Imput[[PERIODO Imp.]:[PERIODO Imp.]],BP$9)</f>
        <v>0</v>
      </c>
      <c r="BQ941" s="693">
        <f>SUMIFS(Imput[[Importe Neto]:[Importe Neto]],Imput[[C. Imp.]:[C. Imp.]],$D941,Imput[[PERIODO Imp.]:[PERIODO Imp.]],BQ$9)</f>
        <v>0</v>
      </c>
      <c r="BR941" s="693">
        <f>SUMIFS(Imput[[Importe Neto]:[Importe Neto]],Imput[[C. Imp.]:[C. Imp.]],$D941,Imput[[PERIODO Imp.]:[PERIODO Imp.]],BR$9)</f>
        <v>0</v>
      </c>
      <c r="BS941" s="693">
        <f>SUMIFS(Imput[[Importe Neto]:[Importe Neto]],Imput[[C. Imp.]:[C. Imp.]],$D941,Imput[[PERIODO Imp.]:[PERIODO Imp.]],BS$9)</f>
        <v>0</v>
      </c>
      <c r="BT941" s="693">
        <f>SUMIFS(Imput[[Importe Neto]:[Importe Neto]],Imput[[C. Imp.]:[C. Imp.]],$D941,Imput[[PERIODO Imp.]:[PERIODO Imp.]],BT$9)</f>
        <v>0</v>
      </c>
      <c r="BU941" s="693">
        <f>SUMIFS(Imput[[Importe Neto]:[Importe Neto]],Imput[[C. Imp.]:[C. Imp.]],$D941,Imput[[PERIODO Imp.]:[PERIODO Imp.]],BU$9)</f>
        <v>0</v>
      </c>
      <c r="BV941" s="693">
        <f>SUMIFS(Imput[[Importe Neto]:[Importe Neto]],Imput[[C. Imp.]:[C. Imp.]],$D941,Imput[[PERIODO Imp.]:[PERIODO Imp.]],BV$9)</f>
        <v>0</v>
      </c>
      <c r="BW941" s="693">
        <f>SUMIFS(Imput[[Importe Neto]:[Importe Neto]],Imput[[C. Imp.]:[C. Imp.]],$D941,Imput[[PERIODO Imp.]:[PERIODO Imp.]],BW$9)</f>
        <v>0</v>
      </c>
      <c r="BX941" s="693">
        <f>SUMIFS(Imput[[Importe Neto]:[Importe Neto]],Imput[[C. Imp.]:[C. Imp.]],$D941,Imput[[PERIODO Imp.]:[PERIODO Imp.]],BX$9)</f>
        <v>0</v>
      </c>
      <c r="BY941" s="693">
        <f>SUMIFS(Imput[[Importe Neto]:[Importe Neto]],Imput[[C. Imp.]:[C. Imp.]],$D941,Imput[[PERIODO Imp.]:[PERIODO Imp.]],BY$9)</f>
        <v>0</v>
      </c>
      <c r="BZ941" s="693">
        <f>SUMIFS(Imput[[Importe Neto]:[Importe Neto]],Imput[[C. Imp.]:[C. Imp.]],$D941,Imput[[PERIODO Imp.]:[PERIODO Imp.]],BZ$9)</f>
        <v>0</v>
      </c>
      <c r="CA941" s="693">
        <f>SUMIFS(Imput[[Importe Neto]:[Importe Neto]],Imput[[C. Imp.]:[C. Imp.]],$D941,Imput[[PERIODO Imp.]:[PERIODO Imp.]],CA$9)</f>
        <v>0</v>
      </c>
      <c r="CB941" s="693">
        <f>SUMIFS(Imput[[Importe Neto]:[Importe Neto]],Imput[[C. Imp.]:[C. Imp.]],$D941,Imput[[PERIODO Imp.]:[PERIODO Imp.]],CB$9)</f>
        <v>0</v>
      </c>
      <c r="CC941" s="693">
        <f>SUMIFS(Imput[[Importe Neto]:[Importe Neto]],Imput[[C. Imp.]:[C. Imp.]],$D941,Imput[[PERIODO Imp.]:[PERIODO Imp.]],CC$9)</f>
        <v>0</v>
      </c>
      <c r="CD941" s="693">
        <f>SUMIFS(Imput[[Importe Neto]:[Importe Neto]],Imput[[C. Imp.]:[C. Imp.]],$D941,Imput[[PERIODO Imp.]:[PERIODO Imp.]],CD$9)</f>
        <v>0</v>
      </c>
      <c r="CE941" s="693">
        <f>SUMIFS(Imput[[Importe Neto]:[Importe Neto]],Imput[[C. Imp.]:[C. Imp.]],$D941,Imput[[PERIODO Imp.]:[PERIODO Imp.]],CE$9)</f>
        <v>0</v>
      </c>
      <c r="CF941" s="693">
        <f>SUMIFS(Imput[[Importe Neto]:[Importe Neto]],Imput[[C. Imp.]:[C. Imp.]],$D941,Imput[[PERIODO Imp.]:[PERIODO Imp.]],CF$9)</f>
        <v>0</v>
      </c>
      <c r="CG941" s="693">
        <f>SUMIFS(Imput[[Importe Neto]:[Importe Neto]],Imput[[C. Imp.]:[C. Imp.]],$D941,Imput[[PERIODO Imp.]:[PERIODO Imp.]],CG$9)</f>
        <v>0</v>
      </c>
      <c r="CH941" s="693">
        <f>SUMIFS(Imput[[Importe Neto]:[Importe Neto]],Imput[[C. Imp.]:[C. Imp.]],$D941,Imput[[PERIODO Imp.]:[PERIODO Imp.]],CH$9)</f>
        <v>0</v>
      </c>
      <c r="CI941" s="693">
        <f>SUMIFS(Imput[[Importe Neto]:[Importe Neto]],Imput[[C. Imp.]:[C. Imp.]],$D941,Imput[[PERIODO Imp.]:[PERIODO Imp.]],CI$9)</f>
        <v>0</v>
      </c>
      <c r="CJ941" s="693">
        <f>SUMIFS(Imput[[Importe Neto]:[Importe Neto]],Imput[[C. Imp.]:[C. Imp.]],$D941,Imput[[PERIODO Imp.]:[PERIODO Imp.]],CJ$9)</f>
        <v>0</v>
      </c>
      <c r="CK941" s="693">
        <f>SUMIFS(Imput[[Importe Neto]:[Importe Neto]],Imput[[C. Imp.]:[C. Imp.]],$D941,Imput[[PERIODO Imp.]:[PERIODO Imp.]],CK$9)</f>
        <v>0</v>
      </c>
      <c r="CL941" s="693">
        <f>SUMIFS(Imput[[Importe Neto]:[Importe Neto]],Imput[[C. Imp.]:[C. Imp.]],$D941,Imput[[PERIODO Imp.]:[PERIODO Imp.]],CL$9)</f>
        <v>0</v>
      </c>
      <c r="CM941" s="693">
        <f>SUMIFS(Imput[[Importe Neto]:[Importe Neto]],Imput[[C. Imp.]:[C. Imp.]],$D941,Imput[[PERIODO Imp.]:[PERIODO Imp.]],CM$9)</f>
        <v>0</v>
      </c>
      <c r="CN941" s="693">
        <f>SUMIFS(Imput[[Importe Neto]:[Importe Neto]],Imput[[C. Imp.]:[C. Imp.]],$D941,Imput[[PERIODO Imp.]:[PERIODO Imp.]],CN$9)</f>
        <v>0</v>
      </c>
      <c r="CO941" s="693">
        <f>SUMIFS(Imput[[Importe Neto]:[Importe Neto]],Imput[[C. Imp.]:[C. Imp.]],$D941,Imput[[PERIODO Imp.]:[PERIODO Imp.]],CO$9)</f>
        <v>0</v>
      </c>
      <c r="CP941" s="693">
        <f>SUMIFS(Imput[[Importe Neto]:[Importe Neto]],Imput[[C. Imp.]:[C. Imp.]],$D941,Imput[[PERIODO Imp.]:[PERIODO Imp.]],CP$9)</f>
        <v>0</v>
      </c>
      <c r="CQ941" s="693">
        <f>SUMIFS(Imput[[Importe Neto]:[Importe Neto]],Imput[[C. Imp.]:[C. Imp.]],$D941,Imput[[PERIODO Imp.]:[PERIODO Imp.]],CQ$9)</f>
        <v>0</v>
      </c>
      <c r="CR941" s="693">
        <f>SUMIFS(Imput[[Importe Neto]:[Importe Neto]],Imput[[C. Imp.]:[C. Imp.]],$D941,Imput[[PERIODO Imp.]:[PERIODO Imp.]],CR$9)</f>
        <v>0</v>
      </c>
      <c r="CS941" s="693">
        <f>SUMIFS(Imput[[Importe Neto]:[Importe Neto]],Imput[[C. Imp.]:[C. Imp.]],$D941,Imput[[PERIODO Imp.]:[PERIODO Imp.]],CS$9)</f>
        <v>0</v>
      </c>
      <c r="CT941" s="693">
        <f>SUMIFS(Imput[[Importe Neto]:[Importe Neto]],Imput[[C. Imp.]:[C. Imp.]],$D941,Imput[[PERIODO Imp.]:[PERIODO Imp.]],CT$9)</f>
        <v>0</v>
      </c>
      <c r="CU941" s="693">
        <f>SUMIFS(Imput[[Importe Neto]:[Importe Neto]],Imput[[C. Imp.]:[C. Imp.]],$D941,Imput[[PERIODO Imp.]:[PERIODO Imp.]],CU$9)</f>
        <v>0</v>
      </c>
      <c r="CV941" s="693">
        <f>SUMIFS(Imput[[Importe Neto]:[Importe Neto]],Imput[[C. Imp.]:[C. Imp.]],$D941,Imput[[PERIODO Imp.]:[PERIODO Imp.]],CV$9)</f>
        <v>0</v>
      </c>
      <c r="CW941" s="693">
        <f>SUMIFS(Imput[[Importe Neto]:[Importe Neto]],Imput[[C. Imp.]:[C. Imp.]],$D941,Imput[[PERIODO Imp.]:[PERIODO Imp.]],CW$9)</f>
        <v>0</v>
      </c>
      <c r="CX941" s="693">
        <f>SUMIFS(Imput[[Importe Neto]:[Importe Neto]],Imput[[C. Imp.]:[C. Imp.]],$D941,Imput[[PERIODO Imp.]:[PERIODO Imp.]],CX$9)</f>
        <v>0</v>
      </c>
      <c r="CY941" s="693">
        <f>SUMIFS(Imput[[Importe Neto]:[Importe Neto]],Imput[[C. Imp.]:[C. Imp.]],$D941,Imput[[PERIODO Imp.]:[PERIODO Imp.]],CY$9)</f>
        <v>0</v>
      </c>
      <c r="CZ941" s="693">
        <f>SUMIFS(Imput[[Importe Neto]:[Importe Neto]],Imput[[C. Imp.]:[C. Imp.]],$D941,Imput[[PERIODO Imp.]:[PERIODO Imp.]],CZ$9)</f>
        <v>0</v>
      </c>
      <c r="DA941" s="693">
        <f>SUMIFS(Imput[[Importe Neto]:[Importe Neto]],Imput[[C. Imp.]:[C. Imp.]],$D941,Imput[[PERIODO Imp.]:[PERIODO Imp.]],DA$9)</f>
        <v>0</v>
      </c>
      <c r="DB941" s="693">
        <f>SUMIFS(Imput[[Importe Neto]:[Importe Neto]],Imput[[C. Imp.]:[C. Imp.]],$D941,Imput[[PERIODO Imp.]:[PERIODO Imp.]],DB$9)</f>
        <v>0</v>
      </c>
      <c r="DC941" s="693">
        <f>SUMIFS(Imput[[Importe Neto]:[Importe Neto]],Imput[[C. Imp.]:[C. Imp.]],$D941,Imput[[PERIODO Imp.]:[PERIODO Imp.]],DC$9)</f>
        <v>0</v>
      </c>
      <c r="DD941" s="693">
        <f>SUMIFS(Imput[[Importe Neto]:[Importe Neto]],Imput[[C. Imp.]:[C. Imp.]],$D941,Imput[[PERIODO Imp.]:[PERIODO Imp.]],DD$9)</f>
        <v>0</v>
      </c>
      <c r="DE941" s="693">
        <f>SUMIFS(Imput[[Importe Neto]:[Importe Neto]],Imput[[C. Imp.]:[C. Imp.]],$D941,Imput[[PERIODO Imp.]:[PERIODO Imp.]],DE$9)</f>
        <v>0</v>
      </c>
      <c r="DF941" s="693">
        <f>SUMIFS(Imput[[Importe Neto]:[Importe Neto]],Imput[[C. Imp.]:[C. Imp.]],$D941,Imput[[PERIODO Imp.]:[PERIODO Imp.]],DF$9)</f>
        <v>0</v>
      </c>
      <c r="DG941" s="693">
        <f>SUMIFS(Imput[[Importe Neto]:[Importe Neto]],Imput[[C. Imp.]:[C. Imp.]],$D941,Imput[[PERIODO Imp.]:[PERIODO Imp.]],DG$9)</f>
        <v>0</v>
      </c>
      <c r="DH941" s="694">
        <f>SUMIFS(Imput[[Importe Neto]:[Importe Neto]],Imput[[C. Imp.]:[C. Imp.]],$D941,Imput[[PERIODO Imp.]:[PERIODO Imp.]],DH$9)</f>
        <v>0</v>
      </c>
    </row>
    <row r="942" spans="1:112" s="649" customFormat="1" ht="14.4" hidden="1" outlineLevel="1" thickBot="1" x14ac:dyDescent="0.35">
      <c r="A942" s="652" t="str">
        <f>IF(J935&gt;0,"Imprimir","")</f>
        <v/>
      </c>
      <c r="B942" s="652"/>
      <c r="C942" s="699"/>
      <c r="D942" s="700"/>
      <c r="E942" s="700"/>
      <c r="F942" s="701"/>
      <c r="G942" s="702"/>
      <c r="H942" s="703"/>
      <c r="I942" s="704"/>
      <c r="J942" s="120"/>
      <c r="K942" s="667"/>
      <c r="L942" s="706"/>
      <c r="M942" s="707"/>
      <c r="N942" s="777"/>
      <c r="O942" s="777"/>
      <c r="P942" s="778"/>
      <c r="Q942" s="778"/>
      <c r="R942" s="708"/>
      <c r="S942" s="708"/>
      <c r="T942" s="779"/>
      <c r="U942" s="779"/>
      <c r="V942" s="778"/>
      <c r="W942" s="778"/>
      <c r="X942" s="708"/>
      <c r="Y942" s="708"/>
      <c r="Z942" s="708"/>
      <c r="AA942" s="708"/>
      <c r="AB942" s="708"/>
      <c r="AC942" s="708"/>
      <c r="AD942" s="708"/>
      <c r="AE942" s="708"/>
      <c r="AF942" s="708"/>
      <c r="AG942" s="708"/>
      <c r="AH942" s="708"/>
      <c r="AI942" s="708"/>
      <c r="AJ942" s="708"/>
      <c r="AK942" s="708"/>
      <c r="AL942" s="708"/>
      <c r="AM942" s="708"/>
      <c r="AN942" s="708"/>
      <c r="AO942" s="708"/>
      <c r="AP942" s="708"/>
      <c r="AQ942" s="708"/>
      <c r="AR942" s="708"/>
      <c r="AS942" s="708"/>
      <c r="AT942" s="708"/>
      <c r="AU942" s="708"/>
      <c r="AV942" s="708"/>
      <c r="AW942" s="708"/>
      <c r="AX942" s="708"/>
      <c r="AY942" s="708"/>
      <c r="AZ942" s="708"/>
      <c r="BA942" s="708"/>
      <c r="BB942" s="708"/>
      <c r="BC942" s="708"/>
      <c r="BD942" s="708"/>
      <c r="BE942" s="708"/>
      <c r="BF942" s="708"/>
      <c r="BG942" s="708"/>
      <c r="BH942" s="780"/>
      <c r="BI942" s="654"/>
      <c r="BJ942" s="709"/>
      <c r="BK942" s="710"/>
      <c r="BL942" s="654"/>
      <c r="BM942" s="735"/>
      <c r="BN942" s="796"/>
      <c r="BO942" s="796"/>
      <c r="BP942" s="796"/>
      <c r="BQ942" s="796"/>
      <c r="BR942" s="796"/>
      <c r="BS942" s="796"/>
      <c r="BT942" s="796"/>
      <c r="BU942" s="796"/>
      <c r="BV942" s="796"/>
      <c r="BW942" s="796"/>
      <c r="BX942" s="796"/>
      <c r="BY942" s="796"/>
      <c r="BZ942" s="796"/>
      <c r="CA942" s="796"/>
      <c r="CB942" s="796"/>
      <c r="CC942" s="796"/>
      <c r="CD942" s="796"/>
      <c r="CE942" s="796"/>
      <c r="CF942" s="796"/>
      <c r="CG942" s="796"/>
      <c r="CH942" s="796"/>
      <c r="CI942" s="796"/>
      <c r="CJ942" s="796"/>
      <c r="CK942" s="796"/>
      <c r="CL942" s="796"/>
      <c r="CM942" s="796"/>
      <c r="CN942" s="796"/>
      <c r="CO942" s="796"/>
      <c r="CP942" s="796"/>
      <c r="CQ942" s="796"/>
      <c r="CR942" s="796"/>
      <c r="CS942" s="796"/>
      <c r="CT942" s="796"/>
      <c r="CU942" s="796"/>
      <c r="CV942" s="796"/>
      <c r="CW942" s="796"/>
      <c r="CX942" s="796"/>
      <c r="CY942" s="796"/>
      <c r="CZ942" s="796"/>
      <c r="DA942" s="796"/>
      <c r="DB942" s="796"/>
      <c r="DC942" s="796"/>
      <c r="DD942" s="796"/>
      <c r="DE942" s="796"/>
      <c r="DF942" s="796"/>
      <c r="DG942" s="796"/>
      <c r="DH942" s="736"/>
    </row>
    <row r="943" spans="1:112" s="649" customFormat="1" collapsed="1" x14ac:dyDescent="0.3">
      <c r="A943" s="652" t="str">
        <f>IF(J943&gt;0,"Imprimir","")</f>
        <v>Imprimir</v>
      </c>
      <c r="B943" s="652"/>
      <c r="C943" s="711"/>
      <c r="D943" s="712" t="s">
        <v>456</v>
      </c>
      <c r="E943" s="712" t="s">
        <v>512</v>
      </c>
      <c r="F943" s="712"/>
      <c r="G943" s="713"/>
      <c r="H943" s="712"/>
      <c r="I943" s="714"/>
      <c r="J943" s="715">
        <f>SUBTOTAL(9,J946:J948)</f>
        <v>4563.3659225323299</v>
      </c>
      <c r="K943" s="658"/>
      <c r="L943" s="770">
        <f t="shared" ref="L943:BG943" si="323">SUMPRODUCT($J946:$J948,L946:L948)</f>
        <v>3194.356145772631</v>
      </c>
      <c r="M943" s="771">
        <f t="shared" si="323"/>
        <v>0</v>
      </c>
      <c r="N943" s="771">
        <f t="shared" si="323"/>
        <v>0</v>
      </c>
      <c r="O943" s="771">
        <f t="shared" si="323"/>
        <v>0</v>
      </c>
      <c r="P943" s="771">
        <f t="shared" si="323"/>
        <v>0</v>
      </c>
      <c r="Q943" s="771">
        <f t="shared" si="323"/>
        <v>0</v>
      </c>
      <c r="R943" s="771">
        <f t="shared" si="323"/>
        <v>0</v>
      </c>
      <c r="S943" s="771">
        <f t="shared" si="323"/>
        <v>0</v>
      </c>
      <c r="T943" s="771">
        <f t="shared" si="323"/>
        <v>0</v>
      </c>
      <c r="U943" s="771">
        <f t="shared" si="323"/>
        <v>0</v>
      </c>
      <c r="V943" s="771">
        <f t="shared" si="323"/>
        <v>0</v>
      </c>
      <c r="W943" s="771">
        <f t="shared" si="323"/>
        <v>0</v>
      </c>
      <c r="X943" s="771">
        <f t="shared" si="323"/>
        <v>0</v>
      </c>
      <c r="Y943" s="771">
        <f t="shared" si="323"/>
        <v>0</v>
      </c>
      <c r="Z943" s="771">
        <f t="shared" si="323"/>
        <v>1369.009776759699</v>
      </c>
      <c r="AA943" s="771">
        <f t="shared" si="323"/>
        <v>0</v>
      </c>
      <c r="AB943" s="771">
        <f t="shared" si="323"/>
        <v>0</v>
      </c>
      <c r="AC943" s="771">
        <f t="shared" si="323"/>
        <v>0</v>
      </c>
      <c r="AD943" s="771">
        <f t="shared" si="323"/>
        <v>0</v>
      </c>
      <c r="AE943" s="771">
        <f t="shared" si="323"/>
        <v>0</v>
      </c>
      <c r="AF943" s="771">
        <f t="shared" si="323"/>
        <v>0</v>
      </c>
      <c r="AG943" s="771">
        <f t="shared" si="323"/>
        <v>0</v>
      </c>
      <c r="AH943" s="771">
        <f t="shared" si="323"/>
        <v>0</v>
      </c>
      <c r="AI943" s="771">
        <f t="shared" si="323"/>
        <v>0</v>
      </c>
      <c r="AJ943" s="771">
        <f t="shared" si="323"/>
        <v>0</v>
      </c>
      <c r="AK943" s="771">
        <f t="shared" si="323"/>
        <v>0</v>
      </c>
      <c r="AL943" s="771">
        <f t="shared" si="323"/>
        <v>0</v>
      </c>
      <c r="AM943" s="771">
        <f t="shared" si="323"/>
        <v>0</v>
      </c>
      <c r="AN943" s="771">
        <f t="shared" si="323"/>
        <v>0</v>
      </c>
      <c r="AO943" s="771">
        <f t="shared" si="323"/>
        <v>0</v>
      </c>
      <c r="AP943" s="771">
        <f t="shared" si="323"/>
        <v>0</v>
      </c>
      <c r="AQ943" s="771">
        <f t="shared" si="323"/>
        <v>0</v>
      </c>
      <c r="AR943" s="771">
        <f t="shared" si="323"/>
        <v>0</v>
      </c>
      <c r="AS943" s="771">
        <f t="shared" si="323"/>
        <v>0</v>
      </c>
      <c r="AT943" s="771">
        <f t="shared" si="323"/>
        <v>0</v>
      </c>
      <c r="AU943" s="771">
        <f t="shared" si="323"/>
        <v>0</v>
      </c>
      <c r="AV943" s="771">
        <f t="shared" si="323"/>
        <v>0</v>
      </c>
      <c r="AW943" s="771">
        <f t="shared" si="323"/>
        <v>0</v>
      </c>
      <c r="AX943" s="771">
        <f t="shared" si="323"/>
        <v>0</v>
      </c>
      <c r="AY943" s="771">
        <f t="shared" si="323"/>
        <v>0</v>
      </c>
      <c r="AZ943" s="771">
        <f t="shared" si="323"/>
        <v>0</v>
      </c>
      <c r="BA943" s="771">
        <f t="shared" si="323"/>
        <v>0</v>
      </c>
      <c r="BB943" s="771">
        <f t="shared" si="323"/>
        <v>0</v>
      </c>
      <c r="BC943" s="771">
        <f t="shared" si="323"/>
        <v>0</v>
      </c>
      <c r="BD943" s="771">
        <f t="shared" si="323"/>
        <v>0</v>
      </c>
      <c r="BE943" s="771">
        <f t="shared" si="323"/>
        <v>0</v>
      </c>
      <c r="BF943" s="771">
        <f t="shared" si="323"/>
        <v>0</v>
      </c>
      <c r="BG943" s="764">
        <f t="shared" si="323"/>
        <v>0</v>
      </c>
      <c r="BH943" s="776"/>
      <c r="BI943" s="654"/>
      <c r="BJ943" s="659">
        <f>IFERROR(BK943/J943,0)</f>
        <v>9.8442276437106688</v>
      </c>
      <c r="BK943" s="660">
        <f>SUBTOTAL(9,BK944:BK948)</f>
        <v>44922.812962960001</v>
      </c>
      <c r="BL943" s="654"/>
      <c r="BM943" s="661">
        <f t="shared" ref="BM943:DH943" si="324">SUBTOTAL(9,BM944:BM948)</f>
        <v>0</v>
      </c>
      <c r="BN943" s="662">
        <f t="shared" si="324"/>
        <v>0</v>
      </c>
      <c r="BO943" s="662">
        <f t="shared" si="324"/>
        <v>0</v>
      </c>
      <c r="BP943" s="662">
        <f t="shared" si="324"/>
        <v>0</v>
      </c>
      <c r="BQ943" s="662">
        <f t="shared" si="324"/>
        <v>9406.7827838399971</v>
      </c>
      <c r="BR943" s="662">
        <f t="shared" si="324"/>
        <v>4235.5125791199998</v>
      </c>
      <c r="BS943" s="662">
        <f t="shared" si="324"/>
        <v>8080.517600000001</v>
      </c>
      <c r="BT943" s="662">
        <f t="shared" si="324"/>
        <v>0</v>
      </c>
      <c r="BU943" s="662">
        <f t="shared" si="324"/>
        <v>0</v>
      </c>
      <c r="BV943" s="662">
        <f t="shared" si="324"/>
        <v>0</v>
      </c>
      <c r="BW943" s="662">
        <f t="shared" si="324"/>
        <v>0</v>
      </c>
      <c r="BX943" s="662">
        <f t="shared" si="324"/>
        <v>0</v>
      </c>
      <c r="BY943" s="662">
        <f t="shared" si="324"/>
        <v>0</v>
      </c>
      <c r="BZ943" s="662">
        <f t="shared" si="324"/>
        <v>0</v>
      </c>
      <c r="CA943" s="662">
        <f t="shared" si="324"/>
        <v>0</v>
      </c>
      <c r="CB943" s="662">
        <f t="shared" si="324"/>
        <v>0</v>
      </c>
      <c r="CC943" s="662">
        <f t="shared" si="324"/>
        <v>23200</v>
      </c>
      <c r="CD943" s="662">
        <f t="shared" si="324"/>
        <v>0</v>
      </c>
      <c r="CE943" s="662">
        <f t="shared" si="324"/>
        <v>0</v>
      </c>
      <c r="CF943" s="662">
        <f t="shared" si="324"/>
        <v>0</v>
      </c>
      <c r="CG943" s="662">
        <f t="shared" si="324"/>
        <v>0</v>
      </c>
      <c r="CH943" s="662">
        <f t="shared" si="324"/>
        <v>0</v>
      </c>
      <c r="CI943" s="662">
        <f t="shared" si="324"/>
        <v>0</v>
      </c>
      <c r="CJ943" s="662">
        <f t="shared" si="324"/>
        <v>0</v>
      </c>
      <c r="CK943" s="662">
        <f t="shared" si="324"/>
        <v>0</v>
      </c>
      <c r="CL943" s="662">
        <f t="shared" si="324"/>
        <v>0</v>
      </c>
      <c r="CM943" s="662">
        <f t="shared" si="324"/>
        <v>0</v>
      </c>
      <c r="CN943" s="662">
        <f t="shared" si="324"/>
        <v>0</v>
      </c>
      <c r="CO943" s="662">
        <f t="shared" si="324"/>
        <v>0</v>
      </c>
      <c r="CP943" s="662">
        <f t="shared" si="324"/>
        <v>0</v>
      </c>
      <c r="CQ943" s="662">
        <f t="shared" si="324"/>
        <v>0</v>
      </c>
      <c r="CR943" s="662">
        <f t="shared" si="324"/>
        <v>0</v>
      </c>
      <c r="CS943" s="662">
        <f t="shared" si="324"/>
        <v>0</v>
      </c>
      <c r="CT943" s="662">
        <f t="shared" si="324"/>
        <v>0</v>
      </c>
      <c r="CU943" s="662">
        <f t="shared" si="324"/>
        <v>0</v>
      </c>
      <c r="CV943" s="662">
        <f t="shared" si="324"/>
        <v>0</v>
      </c>
      <c r="CW943" s="662">
        <f t="shared" si="324"/>
        <v>0</v>
      </c>
      <c r="CX943" s="662">
        <f t="shared" si="324"/>
        <v>0</v>
      </c>
      <c r="CY943" s="662">
        <f t="shared" si="324"/>
        <v>0</v>
      </c>
      <c r="CZ943" s="662">
        <f t="shared" si="324"/>
        <v>0</v>
      </c>
      <c r="DA943" s="662">
        <f t="shared" si="324"/>
        <v>0</v>
      </c>
      <c r="DB943" s="662">
        <f t="shared" si="324"/>
        <v>0</v>
      </c>
      <c r="DC943" s="662">
        <f t="shared" si="324"/>
        <v>0</v>
      </c>
      <c r="DD943" s="662">
        <f t="shared" si="324"/>
        <v>0</v>
      </c>
      <c r="DE943" s="662">
        <f t="shared" si="324"/>
        <v>0</v>
      </c>
      <c r="DF943" s="662">
        <f t="shared" si="324"/>
        <v>0</v>
      </c>
      <c r="DG943" s="662">
        <f t="shared" si="324"/>
        <v>0</v>
      </c>
      <c r="DH943" s="663">
        <f t="shared" si="324"/>
        <v>0</v>
      </c>
    </row>
    <row r="944" spans="1:112" s="649" customFormat="1" outlineLevel="1" x14ac:dyDescent="0.3">
      <c r="A944" s="652" t="str">
        <f>IF(J943&gt;0,"Imprimir","")</f>
        <v>Imprimir</v>
      </c>
      <c r="B944" s="652"/>
      <c r="C944" s="664"/>
      <c r="D944" s="665"/>
      <c r="E944" s="665"/>
      <c r="F944" s="665" t="s">
        <v>472</v>
      </c>
      <c r="G944" s="716" t="s">
        <v>2128</v>
      </c>
      <c r="H944" s="665" t="s">
        <v>98</v>
      </c>
      <c r="I944" s="665" t="s">
        <v>474</v>
      </c>
      <c r="J944" s="666" t="s">
        <v>29</v>
      </c>
      <c r="K944" s="667"/>
      <c r="L944" s="745"/>
      <c r="M944" s="741"/>
      <c r="N944" s="741"/>
      <c r="O944" s="741"/>
      <c r="P944" s="741"/>
      <c r="Q944" s="741"/>
      <c r="R944" s="741"/>
      <c r="S944" s="741"/>
      <c r="T944" s="741"/>
      <c r="U944" s="741"/>
      <c r="V944" s="741"/>
      <c r="W944" s="741"/>
      <c r="X944" s="741"/>
      <c r="Y944" s="741"/>
      <c r="Z944" s="741"/>
      <c r="AA944" s="741"/>
      <c r="AB944" s="741"/>
      <c r="AC944" s="741"/>
      <c r="AD944" s="741"/>
      <c r="AE944" s="741"/>
      <c r="AF944" s="741"/>
      <c r="AG944" s="741"/>
      <c r="AH944" s="741"/>
      <c r="AI944" s="741"/>
      <c r="AJ944" s="741"/>
      <c r="AK944" s="741"/>
      <c r="AL944" s="741"/>
      <c r="AM944" s="741"/>
      <c r="AN944" s="741"/>
      <c r="AO944" s="741"/>
      <c r="AP944" s="741"/>
      <c r="AQ944" s="741"/>
      <c r="AR944" s="741"/>
      <c r="AS944" s="741"/>
      <c r="AT944" s="741"/>
      <c r="AU944" s="741"/>
      <c r="AV944" s="741"/>
      <c r="AW944" s="741"/>
      <c r="AX944" s="741"/>
      <c r="AY944" s="741"/>
      <c r="AZ944" s="741"/>
      <c r="BA944" s="741"/>
      <c r="BB944" s="741"/>
      <c r="BC944" s="741"/>
      <c r="BD944" s="741"/>
      <c r="BE944" s="741"/>
      <c r="BF944" s="741"/>
      <c r="BG944" s="741"/>
      <c r="BH944" s="668"/>
      <c r="BI944" s="654"/>
      <c r="BJ944" s="669"/>
      <c r="BK944" s="670"/>
      <c r="BL944" s="654"/>
      <c r="BM944" s="671"/>
      <c r="BN944" s="665"/>
      <c r="BO944" s="665"/>
      <c r="BP944" s="665"/>
      <c r="BQ944" s="665"/>
      <c r="BR944" s="665"/>
      <c r="BS944" s="665"/>
      <c r="BT944" s="665"/>
      <c r="BU944" s="665"/>
      <c r="BV944" s="665"/>
      <c r="BW944" s="665"/>
      <c r="BX944" s="665"/>
      <c r="BY944" s="665"/>
      <c r="BZ944" s="665"/>
      <c r="CA944" s="665"/>
      <c r="CB944" s="665"/>
      <c r="CC944" s="665"/>
      <c r="CD944" s="665"/>
      <c r="CE944" s="665"/>
      <c r="CF944" s="665"/>
      <c r="CG944" s="665"/>
      <c r="CH944" s="665"/>
      <c r="CI944" s="665"/>
      <c r="CJ944" s="665"/>
      <c r="CK944" s="665"/>
      <c r="CL944" s="665"/>
      <c r="CM944" s="665"/>
      <c r="CN944" s="665"/>
      <c r="CO944" s="665"/>
      <c r="CP944" s="665"/>
      <c r="CQ944" s="665"/>
      <c r="CR944" s="665"/>
      <c r="CS944" s="665"/>
      <c r="CT944" s="665"/>
      <c r="CU944" s="665"/>
      <c r="CV944" s="665"/>
      <c r="CW944" s="665"/>
      <c r="CX944" s="665"/>
      <c r="CY944" s="665"/>
      <c r="CZ944" s="665"/>
      <c r="DA944" s="665"/>
      <c r="DB944" s="665"/>
      <c r="DC944" s="665"/>
      <c r="DD944" s="665"/>
      <c r="DE944" s="665"/>
      <c r="DF944" s="665"/>
      <c r="DG944" s="665"/>
      <c r="DH944" s="666"/>
    </row>
    <row r="945" spans="1:112" s="649" customFormat="1" ht="15.6" outlineLevel="1" x14ac:dyDescent="0.3">
      <c r="A945" s="652" t="str">
        <f>IF(J945&gt;0,"Imprimir","")</f>
        <v>Imprimir</v>
      </c>
      <c r="B945" s="652"/>
      <c r="C945" s="672"/>
      <c r="D945" s="673"/>
      <c r="E945" s="674"/>
      <c r="F945" s="675"/>
      <c r="G945" s="726"/>
      <c r="H945" s="676"/>
      <c r="I945" s="677"/>
      <c r="J945" s="219">
        <f>SUBTOTAL(9,J946:J948)</f>
        <v>4563.3659225323299</v>
      </c>
      <c r="K945" s="678"/>
      <c r="L945" s="747"/>
      <c r="M945" s="742"/>
      <c r="N945" s="742"/>
      <c r="O945" s="742"/>
      <c r="P945" s="742"/>
      <c r="Q945" s="742"/>
      <c r="R945" s="742"/>
      <c r="S945" s="742"/>
      <c r="T945" s="742"/>
      <c r="U945" s="742"/>
      <c r="V945" s="742"/>
      <c r="W945" s="742"/>
      <c r="X945" s="742"/>
      <c r="Y945" s="742"/>
      <c r="Z945" s="742"/>
      <c r="AA945" s="742"/>
      <c r="AB945" s="742"/>
      <c r="AC945" s="742"/>
      <c r="AD945" s="742"/>
      <c r="AE945" s="742"/>
      <c r="AF945" s="742"/>
      <c r="AG945" s="742"/>
      <c r="AH945" s="742"/>
      <c r="AI945" s="742"/>
      <c r="AJ945" s="742"/>
      <c r="AK945" s="742"/>
      <c r="AL945" s="742"/>
      <c r="AM945" s="742"/>
      <c r="AN945" s="742"/>
      <c r="AO945" s="742"/>
      <c r="AP945" s="742"/>
      <c r="AQ945" s="742"/>
      <c r="AR945" s="742"/>
      <c r="AS945" s="742"/>
      <c r="AT945" s="742"/>
      <c r="AU945" s="742"/>
      <c r="AV945" s="742"/>
      <c r="AW945" s="742"/>
      <c r="AX945" s="742"/>
      <c r="AY945" s="742"/>
      <c r="AZ945" s="742"/>
      <c r="BA945" s="742"/>
      <c r="BB945" s="742"/>
      <c r="BC945" s="742"/>
      <c r="BD945" s="742"/>
      <c r="BE945" s="742"/>
      <c r="BF945" s="742"/>
      <c r="BG945" s="742"/>
      <c r="BH945" s="668"/>
      <c r="BI945" s="654"/>
      <c r="BJ945" s="729"/>
      <c r="BK945" s="681"/>
      <c r="BL945" s="654"/>
      <c r="BM945" s="682"/>
      <c r="BN945" s="683"/>
      <c r="BO945" s="683"/>
      <c r="BP945" s="683"/>
      <c r="BQ945" s="683"/>
      <c r="BR945" s="683"/>
      <c r="BS945" s="683"/>
      <c r="BT945" s="683"/>
      <c r="BU945" s="683"/>
      <c r="BV945" s="683"/>
      <c r="BW945" s="683"/>
      <c r="BX945" s="683"/>
      <c r="BY945" s="683"/>
      <c r="BZ945" s="683"/>
      <c r="CA945" s="683"/>
      <c r="CB945" s="683"/>
      <c r="CC945" s="683"/>
      <c r="CD945" s="683"/>
      <c r="CE945" s="683"/>
      <c r="CF945" s="683"/>
      <c r="CG945" s="683"/>
      <c r="CH945" s="683"/>
      <c r="CI945" s="683"/>
      <c r="CJ945" s="683"/>
      <c r="CK945" s="683"/>
      <c r="CL945" s="683"/>
      <c r="CM945" s="683"/>
      <c r="CN945" s="683"/>
      <c r="CO945" s="683"/>
      <c r="CP945" s="683"/>
      <c r="CQ945" s="683"/>
      <c r="CR945" s="683"/>
      <c r="CS945" s="683"/>
      <c r="CT945" s="683"/>
      <c r="CU945" s="683"/>
      <c r="CV945" s="683"/>
      <c r="CW945" s="683"/>
      <c r="CX945" s="683"/>
      <c r="CY945" s="683"/>
      <c r="CZ945" s="683"/>
      <c r="DA945" s="683"/>
      <c r="DB945" s="683"/>
      <c r="DC945" s="683"/>
      <c r="DD945" s="683"/>
      <c r="DE945" s="683"/>
      <c r="DF945" s="683"/>
      <c r="DG945" s="683"/>
      <c r="DH945" s="684"/>
    </row>
    <row r="946" spans="1:112" s="649" customFormat="1" outlineLevel="1" x14ac:dyDescent="0.3">
      <c r="A946" s="652" t="str">
        <f t="shared" ref="A946:A947" si="325">IF(J946="","",IF(J946=0,"","Imprimir"))</f>
        <v>Imprimir</v>
      </c>
      <c r="B946" s="652"/>
      <c r="C946" s="685"/>
      <c r="D946" s="686" t="s">
        <v>2902</v>
      </c>
      <c r="E946" s="686" t="s">
        <v>513</v>
      </c>
      <c r="F946" s="720"/>
      <c r="G946" s="529">
        <f>SUM(J722,J734,J776,J829,J882,J895,J918,J935)</f>
        <v>76056.098708872174</v>
      </c>
      <c r="H946" s="846">
        <v>0.03</v>
      </c>
      <c r="I946" s="851">
        <v>1</v>
      </c>
      <c r="J946" s="517">
        <f>G946*H946*I946</f>
        <v>2281.682961266165</v>
      </c>
      <c r="K946" s="667"/>
      <c r="L946" s="858">
        <v>0.7</v>
      </c>
      <c r="M946" s="859"/>
      <c r="N946" s="859"/>
      <c r="O946" s="859"/>
      <c r="P946" s="859"/>
      <c r="Q946" s="859"/>
      <c r="R946" s="859"/>
      <c r="S946" s="859"/>
      <c r="T946" s="859"/>
      <c r="U946" s="859"/>
      <c r="V946" s="859"/>
      <c r="W946" s="859"/>
      <c r="X946" s="859"/>
      <c r="Y946" s="859"/>
      <c r="Z946" s="860">
        <v>0.3</v>
      </c>
      <c r="AA946" s="860"/>
      <c r="AB946" s="860"/>
      <c r="AC946" s="860"/>
      <c r="AD946" s="860"/>
      <c r="AE946" s="860"/>
      <c r="AF946" s="860"/>
      <c r="AG946" s="860"/>
      <c r="AH946" s="860"/>
      <c r="AI946" s="860"/>
      <c r="AJ946" s="860"/>
      <c r="AK946" s="860"/>
      <c r="AL946" s="860"/>
      <c r="AM946" s="860"/>
      <c r="AN946" s="860"/>
      <c r="AO946" s="860"/>
      <c r="AP946" s="860"/>
      <c r="AQ946" s="860"/>
      <c r="AR946" s="860"/>
      <c r="AS946" s="860"/>
      <c r="AT946" s="860"/>
      <c r="AU946" s="860"/>
      <c r="AV946" s="860"/>
      <c r="AW946" s="860"/>
      <c r="AX946" s="860"/>
      <c r="AY946" s="860"/>
      <c r="AZ946" s="860"/>
      <c r="BA946" s="860"/>
      <c r="BB946" s="860"/>
      <c r="BC946" s="860"/>
      <c r="BD946" s="860"/>
      <c r="BE946" s="860"/>
      <c r="BF946" s="860"/>
      <c r="BG946" s="860"/>
      <c r="BH946" s="668"/>
      <c r="BI946" s="654"/>
      <c r="BJ946" s="690">
        <f>IFERROR(BK946/J946,0)</f>
        <v>0</v>
      </c>
      <c r="BK946" s="691">
        <f>SUM(BM946:DH946)</f>
        <v>0</v>
      </c>
      <c r="BL946" s="654"/>
      <c r="BM946" s="692">
        <f>SUMIFS(Imput[[Importe Neto]:[Importe Neto]],Imput[[C. Imp.]:[C. Imp.]],$D946,Imput[[PERIODO Imp.]:[PERIODO Imp.]],BM$9)</f>
        <v>0</v>
      </c>
      <c r="BN946" s="693">
        <f>SUMIFS(Imput[[Importe Neto]:[Importe Neto]],Imput[[C. Imp.]:[C. Imp.]],$D946,Imput[[PERIODO Imp.]:[PERIODO Imp.]],BN$9)</f>
        <v>0</v>
      </c>
      <c r="BO946" s="693">
        <f>SUMIFS(Imput[[Importe Neto]:[Importe Neto]],Imput[[C. Imp.]:[C. Imp.]],$D946,Imput[[PERIODO Imp.]:[PERIODO Imp.]],BO$9)</f>
        <v>0</v>
      </c>
      <c r="BP946" s="693">
        <f>SUMIFS(Imput[[Importe Neto]:[Importe Neto]],Imput[[C. Imp.]:[C. Imp.]],$D946,Imput[[PERIODO Imp.]:[PERIODO Imp.]],BP$9)</f>
        <v>0</v>
      </c>
      <c r="BQ946" s="693">
        <f>SUMIFS(Imput[[Importe Neto]:[Importe Neto]],Imput[[C. Imp.]:[C. Imp.]],$D946,Imput[[PERIODO Imp.]:[PERIODO Imp.]],BQ$9)</f>
        <v>0</v>
      </c>
      <c r="BR946" s="693">
        <f>SUMIFS(Imput[[Importe Neto]:[Importe Neto]],Imput[[C. Imp.]:[C. Imp.]],$D946,Imput[[PERIODO Imp.]:[PERIODO Imp.]],BR$9)</f>
        <v>0</v>
      </c>
      <c r="BS946" s="693">
        <f>SUMIFS(Imput[[Importe Neto]:[Importe Neto]],Imput[[C. Imp.]:[C. Imp.]],$D946,Imput[[PERIODO Imp.]:[PERIODO Imp.]],BS$9)</f>
        <v>0</v>
      </c>
      <c r="BT946" s="693">
        <f>SUMIFS(Imput[[Importe Neto]:[Importe Neto]],Imput[[C. Imp.]:[C. Imp.]],$D946,Imput[[PERIODO Imp.]:[PERIODO Imp.]],BT$9)</f>
        <v>0</v>
      </c>
      <c r="BU946" s="693">
        <f>SUMIFS(Imput[[Importe Neto]:[Importe Neto]],Imput[[C. Imp.]:[C. Imp.]],$D946,Imput[[PERIODO Imp.]:[PERIODO Imp.]],BU$9)</f>
        <v>0</v>
      </c>
      <c r="BV946" s="693">
        <f>SUMIFS(Imput[[Importe Neto]:[Importe Neto]],Imput[[C. Imp.]:[C. Imp.]],$D946,Imput[[PERIODO Imp.]:[PERIODO Imp.]],BV$9)</f>
        <v>0</v>
      </c>
      <c r="BW946" s="693">
        <f>SUMIFS(Imput[[Importe Neto]:[Importe Neto]],Imput[[C. Imp.]:[C. Imp.]],$D946,Imput[[PERIODO Imp.]:[PERIODO Imp.]],BW$9)</f>
        <v>0</v>
      </c>
      <c r="BX946" s="693">
        <f>SUMIFS(Imput[[Importe Neto]:[Importe Neto]],Imput[[C. Imp.]:[C. Imp.]],$D946,Imput[[PERIODO Imp.]:[PERIODO Imp.]],BX$9)</f>
        <v>0</v>
      </c>
      <c r="BY946" s="693">
        <f>SUMIFS(Imput[[Importe Neto]:[Importe Neto]],Imput[[C. Imp.]:[C. Imp.]],$D946,Imput[[PERIODO Imp.]:[PERIODO Imp.]],BY$9)</f>
        <v>0</v>
      </c>
      <c r="BZ946" s="693">
        <f>SUMIFS(Imput[[Importe Neto]:[Importe Neto]],Imput[[C. Imp.]:[C. Imp.]],$D946,Imput[[PERIODO Imp.]:[PERIODO Imp.]],BZ$9)</f>
        <v>0</v>
      </c>
      <c r="CA946" s="693">
        <f>SUMIFS(Imput[[Importe Neto]:[Importe Neto]],Imput[[C. Imp.]:[C. Imp.]],$D946,Imput[[PERIODO Imp.]:[PERIODO Imp.]],CA$9)</f>
        <v>0</v>
      </c>
      <c r="CB946" s="693">
        <f>SUMIFS(Imput[[Importe Neto]:[Importe Neto]],Imput[[C. Imp.]:[C. Imp.]],$D946,Imput[[PERIODO Imp.]:[PERIODO Imp.]],CB$9)</f>
        <v>0</v>
      </c>
      <c r="CC946" s="693">
        <f>SUMIFS(Imput[[Importe Neto]:[Importe Neto]],Imput[[C. Imp.]:[C. Imp.]],$D946,Imput[[PERIODO Imp.]:[PERIODO Imp.]],CC$9)</f>
        <v>0</v>
      </c>
      <c r="CD946" s="693">
        <f>SUMIFS(Imput[[Importe Neto]:[Importe Neto]],Imput[[C. Imp.]:[C. Imp.]],$D946,Imput[[PERIODO Imp.]:[PERIODO Imp.]],CD$9)</f>
        <v>0</v>
      </c>
      <c r="CE946" s="693">
        <f>SUMIFS(Imput[[Importe Neto]:[Importe Neto]],Imput[[C. Imp.]:[C. Imp.]],$D946,Imput[[PERIODO Imp.]:[PERIODO Imp.]],CE$9)</f>
        <v>0</v>
      </c>
      <c r="CF946" s="693">
        <f>SUMIFS(Imput[[Importe Neto]:[Importe Neto]],Imput[[C. Imp.]:[C. Imp.]],$D946,Imput[[PERIODO Imp.]:[PERIODO Imp.]],CF$9)</f>
        <v>0</v>
      </c>
      <c r="CG946" s="693">
        <f>SUMIFS(Imput[[Importe Neto]:[Importe Neto]],Imput[[C. Imp.]:[C. Imp.]],$D946,Imput[[PERIODO Imp.]:[PERIODO Imp.]],CG$9)</f>
        <v>0</v>
      </c>
      <c r="CH946" s="693">
        <f>SUMIFS(Imput[[Importe Neto]:[Importe Neto]],Imput[[C. Imp.]:[C. Imp.]],$D946,Imput[[PERIODO Imp.]:[PERIODO Imp.]],CH$9)</f>
        <v>0</v>
      </c>
      <c r="CI946" s="693">
        <f>SUMIFS(Imput[[Importe Neto]:[Importe Neto]],Imput[[C. Imp.]:[C. Imp.]],$D946,Imput[[PERIODO Imp.]:[PERIODO Imp.]],CI$9)</f>
        <v>0</v>
      </c>
      <c r="CJ946" s="693">
        <f>SUMIFS(Imput[[Importe Neto]:[Importe Neto]],Imput[[C. Imp.]:[C. Imp.]],$D946,Imput[[PERIODO Imp.]:[PERIODO Imp.]],CJ$9)</f>
        <v>0</v>
      </c>
      <c r="CK946" s="693">
        <f>SUMIFS(Imput[[Importe Neto]:[Importe Neto]],Imput[[C. Imp.]:[C. Imp.]],$D946,Imput[[PERIODO Imp.]:[PERIODO Imp.]],CK$9)</f>
        <v>0</v>
      </c>
      <c r="CL946" s="693">
        <f>SUMIFS(Imput[[Importe Neto]:[Importe Neto]],Imput[[C. Imp.]:[C. Imp.]],$D946,Imput[[PERIODO Imp.]:[PERIODO Imp.]],CL$9)</f>
        <v>0</v>
      </c>
      <c r="CM946" s="693">
        <f>SUMIFS(Imput[[Importe Neto]:[Importe Neto]],Imput[[C. Imp.]:[C. Imp.]],$D946,Imput[[PERIODO Imp.]:[PERIODO Imp.]],CM$9)</f>
        <v>0</v>
      </c>
      <c r="CN946" s="693">
        <f>SUMIFS(Imput[[Importe Neto]:[Importe Neto]],Imput[[C. Imp.]:[C. Imp.]],$D946,Imput[[PERIODO Imp.]:[PERIODO Imp.]],CN$9)</f>
        <v>0</v>
      </c>
      <c r="CO946" s="693">
        <f>SUMIFS(Imput[[Importe Neto]:[Importe Neto]],Imput[[C. Imp.]:[C. Imp.]],$D946,Imput[[PERIODO Imp.]:[PERIODO Imp.]],CO$9)</f>
        <v>0</v>
      </c>
      <c r="CP946" s="693">
        <f>SUMIFS(Imput[[Importe Neto]:[Importe Neto]],Imput[[C. Imp.]:[C. Imp.]],$D946,Imput[[PERIODO Imp.]:[PERIODO Imp.]],CP$9)</f>
        <v>0</v>
      </c>
      <c r="CQ946" s="693">
        <f>SUMIFS(Imput[[Importe Neto]:[Importe Neto]],Imput[[C. Imp.]:[C. Imp.]],$D946,Imput[[PERIODO Imp.]:[PERIODO Imp.]],CQ$9)</f>
        <v>0</v>
      </c>
      <c r="CR946" s="693">
        <f>SUMIFS(Imput[[Importe Neto]:[Importe Neto]],Imput[[C. Imp.]:[C. Imp.]],$D946,Imput[[PERIODO Imp.]:[PERIODO Imp.]],CR$9)</f>
        <v>0</v>
      </c>
      <c r="CS946" s="693">
        <f>SUMIFS(Imput[[Importe Neto]:[Importe Neto]],Imput[[C. Imp.]:[C. Imp.]],$D946,Imput[[PERIODO Imp.]:[PERIODO Imp.]],CS$9)</f>
        <v>0</v>
      </c>
      <c r="CT946" s="693">
        <f>SUMIFS(Imput[[Importe Neto]:[Importe Neto]],Imput[[C. Imp.]:[C. Imp.]],$D946,Imput[[PERIODO Imp.]:[PERIODO Imp.]],CT$9)</f>
        <v>0</v>
      </c>
      <c r="CU946" s="693">
        <f>SUMIFS(Imput[[Importe Neto]:[Importe Neto]],Imput[[C. Imp.]:[C. Imp.]],$D946,Imput[[PERIODO Imp.]:[PERIODO Imp.]],CU$9)</f>
        <v>0</v>
      </c>
      <c r="CV946" s="693">
        <f>SUMIFS(Imput[[Importe Neto]:[Importe Neto]],Imput[[C. Imp.]:[C. Imp.]],$D946,Imput[[PERIODO Imp.]:[PERIODO Imp.]],CV$9)</f>
        <v>0</v>
      </c>
      <c r="CW946" s="693">
        <f>SUMIFS(Imput[[Importe Neto]:[Importe Neto]],Imput[[C. Imp.]:[C. Imp.]],$D946,Imput[[PERIODO Imp.]:[PERIODO Imp.]],CW$9)</f>
        <v>0</v>
      </c>
      <c r="CX946" s="693">
        <f>SUMIFS(Imput[[Importe Neto]:[Importe Neto]],Imput[[C. Imp.]:[C. Imp.]],$D946,Imput[[PERIODO Imp.]:[PERIODO Imp.]],CX$9)</f>
        <v>0</v>
      </c>
      <c r="CY946" s="693">
        <f>SUMIFS(Imput[[Importe Neto]:[Importe Neto]],Imput[[C. Imp.]:[C. Imp.]],$D946,Imput[[PERIODO Imp.]:[PERIODO Imp.]],CY$9)</f>
        <v>0</v>
      </c>
      <c r="CZ946" s="693">
        <f>SUMIFS(Imput[[Importe Neto]:[Importe Neto]],Imput[[C. Imp.]:[C. Imp.]],$D946,Imput[[PERIODO Imp.]:[PERIODO Imp.]],CZ$9)</f>
        <v>0</v>
      </c>
      <c r="DA946" s="693">
        <f>SUMIFS(Imput[[Importe Neto]:[Importe Neto]],Imput[[C. Imp.]:[C. Imp.]],$D946,Imput[[PERIODO Imp.]:[PERIODO Imp.]],DA$9)</f>
        <v>0</v>
      </c>
      <c r="DB946" s="693">
        <f>SUMIFS(Imput[[Importe Neto]:[Importe Neto]],Imput[[C. Imp.]:[C. Imp.]],$D946,Imput[[PERIODO Imp.]:[PERIODO Imp.]],DB$9)</f>
        <v>0</v>
      </c>
      <c r="DC946" s="693">
        <f>SUMIFS(Imput[[Importe Neto]:[Importe Neto]],Imput[[C. Imp.]:[C. Imp.]],$D946,Imput[[PERIODO Imp.]:[PERIODO Imp.]],DC$9)</f>
        <v>0</v>
      </c>
      <c r="DD946" s="693">
        <f>SUMIFS(Imput[[Importe Neto]:[Importe Neto]],Imput[[C. Imp.]:[C. Imp.]],$D946,Imput[[PERIODO Imp.]:[PERIODO Imp.]],DD$9)</f>
        <v>0</v>
      </c>
      <c r="DE946" s="693">
        <f>SUMIFS(Imput[[Importe Neto]:[Importe Neto]],Imput[[C. Imp.]:[C. Imp.]],$D946,Imput[[PERIODO Imp.]:[PERIODO Imp.]],DE$9)</f>
        <v>0</v>
      </c>
      <c r="DF946" s="693">
        <f>SUMIFS(Imput[[Importe Neto]:[Importe Neto]],Imput[[C. Imp.]:[C. Imp.]],$D946,Imput[[PERIODO Imp.]:[PERIODO Imp.]],DF$9)</f>
        <v>0</v>
      </c>
      <c r="DG946" s="693">
        <f>SUMIFS(Imput[[Importe Neto]:[Importe Neto]],Imput[[C. Imp.]:[C. Imp.]],$D946,Imput[[PERIODO Imp.]:[PERIODO Imp.]],DG$9)</f>
        <v>0</v>
      </c>
      <c r="DH946" s="694">
        <f>SUMIFS(Imput[[Importe Neto]:[Importe Neto]],Imput[[C. Imp.]:[C. Imp.]],$D946,Imput[[PERIODO Imp.]:[PERIODO Imp.]],DH$9)</f>
        <v>0</v>
      </c>
    </row>
    <row r="947" spans="1:112" s="649" customFormat="1" outlineLevel="1" x14ac:dyDescent="0.3">
      <c r="A947" s="652" t="str">
        <f t="shared" si="325"/>
        <v>Imprimir</v>
      </c>
      <c r="B947" s="652"/>
      <c r="C947" s="685"/>
      <c r="D947" s="686" t="s">
        <v>2903</v>
      </c>
      <c r="E947" s="686" t="s">
        <v>514</v>
      </c>
      <c r="F947" s="720"/>
      <c r="G947" s="529">
        <f>SUM(J722,J734,J776,J829,J882,J895,J918,J935)</f>
        <v>76056.098708872174</v>
      </c>
      <c r="H947" s="846">
        <v>0.03</v>
      </c>
      <c r="I947" s="851">
        <v>1</v>
      </c>
      <c r="J947" s="517">
        <f>G947*H947*I947</f>
        <v>2281.682961266165</v>
      </c>
      <c r="K947" s="667"/>
      <c r="L947" s="858">
        <v>0.7</v>
      </c>
      <c r="M947" s="859"/>
      <c r="N947" s="859"/>
      <c r="O947" s="859"/>
      <c r="P947" s="859"/>
      <c r="Q947" s="859"/>
      <c r="R947" s="859"/>
      <c r="S947" s="859"/>
      <c r="T947" s="859"/>
      <c r="U947" s="859"/>
      <c r="V947" s="859"/>
      <c r="W947" s="859"/>
      <c r="X947" s="859"/>
      <c r="Y947" s="859"/>
      <c r="Z947" s="860">
        <v>0.3</v>
      </c>
      <c r="AA947" s="860"/>
      <c r="AB947" s="860"/>
      <c r="AC947" s="860"/>
      <c r="AD947" s="860"/>
      <c r="AE947" s="860"/>
      <c r="AF947" s="860"/>
      <c r="AG947" s="860"/>
      <c r="AH947" s="860"/>
      <c r="AI947" s="860"/>
      <c r="AJ947" s="860"/>
      <c r="AK947" s="860"/>
      <c r="AL947" s="860"/>
      <c r="AM947" s="860"/>
      <c r="AN947" s="860"/>
      <c r="AO947" s="860"/>
      <c r="AP947" s="860"/>
      <c r="AQ947" s="860"/>
      <c r="AR947" s="860"/>
      <c r="AS947" s="860"/>
      <c r="AT947" s="860"/>
      <c r="AU947" s="860"/>
      <c r="AV947" s="860"/>
      <c r="AW947" s="860"/>
      <c r="AX947" s="860"/>
      <c r="AY947" s="860"/>
      <c r="AZ947" s="860"/>
      <c r="BA947" s="860"/>
      <c r="BB947" s="860"/>
      <c r="BC947" s="860"/>
      <c r="BD947" s="860"/>
      <c r="BE947" s="860"/>
      <c r="BF947" s="860"/>
      <c r="BG947" s="860"/>
      <c r="BH947" s="668"/>
      <c r="BI947" s="654"/>
      <c r="BJ947" s="690">
        <f>IFERROR(BK947/J947,0)</f>
        <v>19.688455287421338</v>
      </c>
      <c r="BK947" s="691">
        <f>SUM(BM947:DH947)</f>
        <v>44922.812962960001</v>
      </c>
      <c r="BL947" s="654"/>
      <c r="BM947" s="692">
        <f>SUMIFS(Imput[[Importe Neto]:[Importe Neto]],Imput[[C. Imp.]:[C. Imp.]],$D947,Imput[[PERIODO Imp.]:[PERIODO Imp.]],BM$9)</f>
        <v>0</v>
      </c>
      <c r="BN947" s="693">
        <f>SUMIFS(Imput[[Importe Neto]:[Importe Neto]],Imput[[C. Imp.]:[C. Imp.]],$D947,Imput[[PERIODO Imp.]:[PERIODO Imp.]],BN$9)</f>
        <v>0</v>
      </c>
      <c r="BO947" s="693">
        <f>SUMIFS(Imput[[Importe Neto]:[Importe Neto]],Imput[[C. Imp.]:[C. Imp.]],$D947,Imput[[PERIODO Imp.]:[PERIODO Imp.]],BO$9)</f>
        <v>0</v>
      </c>
      <c r="BP947" s="693">
        <f>SUMIFS(Imput[[Importe Neto]:[Importe Neto]],Imput[[C. Imp.]:[C. Imp.]],$D947,Imput[[PERIODO Imp.]:[PERIODO Imp.]],BP$9)</f>
        <v>0</v>
      </c>
      <c r="BQ947" s="693">
        <f>SUMIFS(Imput[[Importe Neto]:[Importe Neto]],Imput[[C. Imp.]:[C. Imp.]],$D947,Imput[[PERIODO Imp.]:[PERIODO Imp.]],BQ$9)</f>
        <v>9406.7827838399971</v>
      </c>
      <c r="BR947" s="693">
        <f>SUMIFS(Imput[[Importe Neto]:[Importe Neto]],Imput[[C. Imp.]:[C. Imp.]],$D947,Imput[[PERIODO Imp.]:[PERIODO Imp.]],BR$9)</f>
        <v>4235.5125791199998</v>
      </c>
      <c r="BS947" s="693">
        <f>SUMIFS(Imput[[Importe Neto]:[Importe Neto]],Imput[[C. Imp.]:[C. Imp.]],$D947,Imput[[PERIODO Imp.]:[PERIODO Imp.]],BS$9)</f>
        <v>8080.517600000001</v>
      </c>
      <c r="BT947" s="693">
        <f>SUMIFS(Imput[[Importe Neto]:[Importe Neto]],Imput[[C. Imp.]:[C. Imp.]],$D947,Imput[[PERIODO Imp.]:[PERIODO Imp.]],BT$9)</f>
        <v>0</v>
      </c>
      <c r="BU947" s="693">
        <f>SUMIFS(Imput[[Importe Neto]:[Importe Neto]],Imput[[C. Imp.]:[C. Imp.]],$D947,Imput[[PERIODO Imp.]:[PERIODO Imp.]],BU$9)</f>
        <v>0</v>
      </c>
      <c r="BV947" s="693">
        <f>SUMIFS(Imput[[Importe Neto]:[Importe Neto]],Imput[[C. Imp.]:[C. Imp.]],$D947,Imput[[PERIODO Imp.]:[PERIODO Imp.]],BV$9)</f>
        <v>0</v>
      </c>
      <c r="BW947" s="693">
        <f>SUMIFS(Imput[[Importe Neto]:[Importe Neto]],Imput[[C. Imp.]:[C. Imp.]],$D947,Imput[[PERIODO Imp.]:[PERIODO Imp.]],BW$9)</f>
        <v>0</v>
      </c>
      <c r="BX947" s="693">
        <f>SUMIFS(Imput[[Importe Neto]:[Importe Neto]],Imput[[C. Imp.]:[C. Imp.]],$D947,Imput[[PERIODO Imp.]:[PERIODO Imp.]],BX$9)</f>
        <v>0</v>
      </c>
      <c r="BY947" s="693">
        <f>SUMIFS(Imput[[Importe Neto]:[Importe Neto]],Imput[[C. Imp.]:[C. Imp.]],$D947,Imput[[PERIODO Imp.]:[PERIODO Imp.]],BY$9)</f>
        <v>0</v>
      </c>
      <c r="BZ947" s="693">
        <f>SUMIFS(Imput[[Importe Neto]:[Importe Neto]],Imput[[C. Imp.]:[C. Imp.]],$D947,Imput[[PERIODO Imp.]:[PERIODO Imp.]],BZ$9)</f>
        <v>0</v>
      </c>
      <c r="CA947" s="693">
        <f>SUMIFS(Imput[[Importe Neto]:[Importe Neto]],Imput[[C. Imp.]:[C. Imp.]],$D947,Imput[[PERIODO Imp.]:[PERIODO Imp.]],CA$9)</f>
        <v>0</v>
      </c>
      <c r="CB947" s="693">
        <f>SUMIFS(Imput[[Importe Neto]:[Importe Neto]],Imput[[C. Imp.]:[C. Imp.]],$D947,Imput[[PERIODO Imp.]:[PERIODO Imp.]],CB$9)</f>
        <v>0</v>
      </c>
      <c r="CC947" s="693">
        <f>SUMIFS(Imput[[Importe Neto]:[Importe Neto]],Imput[[C. Imp.]:[C. Imp.]],$D947,Imput[[PERIODO Imp.]:[PERIODO Imp.]],CC$9)</f>
        <v>23200</v>
      </c>
      <c r="CD947" s="693">
        <f>SUMIFS(Imput[[Importe Neto]:[Importe Neto]],Imput[[C. Imp.]:[C. Imp.]],$D947,Imput[[PERIODO Imp.]:[PERIODO Imp.]],CD$9)</f>
        <v>0</v>
      </c>
      <c r="CE947" s="693">
        <f>SUMIFS(Imput[[Importe Neto]:[Importe Neto]],Imput[[C. Imp.]:[C. Imp.]],$D947,Imput[[PERIODO Imp.]:[PERIODO Imp.]],CE$9)</f>
        <v>0</v>
      </c>
      <c r="CF947" s="693">
        <f>SUMIFS(Imput[[Importe Neto]:[Importe Neto]],Imput[[C. Imp.]:[C. Imp.]],$D947,Imput[[PERIODO Imp.]:[PERIODO Imp.]],CF$9)</f>
        <v>0</v>
      </c>
      <c r="CG947" s="693">
        <f>SUMIFS(Imput[[Importe Neto]:[Importe Neto]],Imput[[C. Imp.]:[C. Imp.]],$D947,Imput[[PERIODO Imp.]:[PERIODO Imp.]],CG$9)</f>
        <v>0</v>
      </c>
      <c r="CH947" s="693">
        <f>SUMIFS(Imput[[Importe Neto]:[Importe Neto]],Imput[[C. Imp.]:[C. Imp.]],$D947,Imput[[PERIODO Imp.]:[PERIODO Imp.]],CH$9)</f>
        <v>0</v>
      </c>
      <c r="CI947" s="693">
        <f>SUMIFS(Imput[[Importe Neto]:[Importe Neto]],Imput[[C. Imp.]:[C. Imp.]],$D947,Imput[[PERIODO Imp.]:[PERIODO Imp.]],CI$9)</f>
        <v>0</v>
      </c>
      <c r="CJ947" s="693">
        <f>SUMIFS(Imput[[Importe Neto]:[Importe Neto]],Imput[[C. Imp.]:[C. Imp.]],$D947,Imput[[PERIODO Imp.]:[PERIODO Imp.]],CJ$9)</f>
        <v>0</v>
      </c>
      <c r="CK947" s="693">
        <f>SUMIFS(Imput[[Importe Neto]:[Importe Neto]],Imput[[C. Imp.]:[C. Imp.]],$D947,Imput[[PERIODO Imp.]:[PERIODO Imp.]],CK$9)</f>
        <v>0</v>
      </c>
      <c r="CL947" s="693">
        <f>SUMIFS(Imput[[Importe Neto]:[Importe Neto]],Imput[[C. Imp.]:[C. Imp.]],$D947,Imput[[PERIODO Imp.]:[PERIODO Imp.]],CL$9)</f>
        <v>0</v>
      </c>
      <c r="CM947" s="693">
        <f>SUMIFS(Imput[[Importe Neto]:[Importe Neto]],Imput[[C. Imp.]:[C. Imp.]],$D947,Imput[[PERIODO Imp.]:[PERIODO Imp.]],CM$9)</f>
        <v>0</v>
      </c>
      <c r="CN947" s="693">
        <f>SUMIFS(Imput[[Importe Neto]:[Importe Neto]],Imput[[C. Imp.]:[C. Imp.]],$D947,Imput[[PERIODO Imp.]:[PERIODO Imp.]],CN$9)</f>
        <v>0</v>
      </c>
      <c r="CO947" s="693">
        <f>SUMIFS(Imput[[Importe Neto]:[Importe Neto]],Imput[[C. Imp.]:[C. Imp.]],$D947,Imput[[PERIODO Imp.]:[PERIODO Imp.]],CO$9)</f>
        <v>0</v>
      </c>
      <c r="CP947" s="693">
        <f>SUMIFS(Imput[[Importe Neto]:[Importe Neto]],Imput[[C. Imp.]:[C. Imp.]],$D947,Imput[[PERIODO Imp.]:[PERIODO Imp.]],CP$9)</f>
        <v>0</v>
      </c>
      <c r="CQ947" s="693">
        <f>SUMIFS(Imput[[Importe Neto]:[Importe Neto]],Imput[[C. Imp.]:[C. Imp.]],$D947,Imput[[PERIODO Imp.]:[PERIODO Imp.]],CQ$9)</f>
        <v>0</v>
      </c>
      <c r="CR947" s="693">
        <f>SUMIFS(Imput[[Importe Neto]:[Importe Neto]],Imput[[C. Imp.]:[C. Imp.]],$D947,Imput[[PERIODO Imp.]:[PERIODO Imp.]],CR$9)</f>
        <v>0</v>
      </c>
      <c r="CS947" s="693">
        <f>SUMIFS(Imput[[Importe Neto]:[Importe Neto]],Imput[[C. Imp.]:[C. Imp.]],$D947,Imput[[PERIODO Imp.]:[PERIODO Imp.]],CS$9)</f>
        <v>0</v>
      </c>
      <c r="CT947" s="693">
        <f>SUMIFS(Imput[[Importe Neto]:[Importe Neto]],Imput[[C. Imp.]:[C. Imp.]],$D947,Imput[[PERIODO Imp.]:[PERIODO Imp.]],CT$9)</f>
        <v>0</v>
      </c>
      <c r="CU947" s="693">
        <f>SUMIFS(Imput[[Importe Neto]:[Importe Neto]],Imput[[C. Imp.]:[C. Imp.]],$D947,Imput[[PERIODO Imp.]:[PERIODO Imp.]],CU$9)</f>
        <v>0</v>
      </c>
      <c r="CV947" s="693">
        <f>SUMIFS(Imput[[Importe Neto]:[Importe Neto]],Imput[[C. Imp.]:[C. Imp.]],$D947,Imput[[PERIODO Imp.]:[PERIODO Imp.]],CV$9)</f>
        <v>0</v>
      </c>
      <c r="CW947" s="693">
        <f>SUMIFS(Imput[[Importe Neto]:[Importe Neto]],Imput[[C. Imp.]:[C. Imp.]],$D947,Imput[[PERIODO Imp.]:[PERIODO Imp.]],CW$9)</f>
        <v>0</v>
      </c>
      <c r="CX947" s="693">
        <f>SUMIFS(Imput[[Importe Neto]:[Importe Neto]],Imput[[C. Imp.]:[C. Imp.]],$D947,Imput[[PERIODO Imp.]:[PERIODO Imp.]],CX$9)</f>
        <v>0</v>
      </c>
      <c r="CY947" s="693">
        <f>SUMIFS(Imput[[Importe Neto]:[Importe Neto]],Imput[[C. Imp.]:[C. Imp.]],$D947,Imput[[PERIODO Imp.]:[PERIODO Imp.]],CY$9)</f>
        <v>0</v>
      </c>
      <c r="CZ947" s="693">
        <f>SUMIFS(Imput[[Importe Neto]:[Importe Neto]],Imput[[C. Imp.]:[C. Imp.]],$D947,Imput[[PERIODO Imp.]:[PERIODO Imp.]],CZ$9)</f>
        <v>0</v>
      </c>
      <c r="DA947" s="693">
        <f>SUMIFS(Imput[[Importe Neto]:[Importe Neto]],Imput[[C. Imp.]:[C. Imp.]],$D947,Imput[[PERIODO Imp.]:[PERIODO Imp.]],DA$9)</f>
        <v>0</v>
      </c>
      <c r="DB947" s="693">
        <f>SUMIFS(Imput[[Importe Neto]:[Importe Neto]],Imput[[C. Imp.]:[C. Imp.]],$D947,Imput[[PERIODO Imp.]:[PERIODO Imp.]],DB$9)</f>
        <v>0</v>
      </c>
      <c r="DC947" s="693">
        <f>SUMIFS(Imput[[Importe Neto]:[Importe Neto]],Imput[[C. Imp.]:[C. Imp.]],$D947,Imput[[PERIODO Imp.]:[PERIODO Imp.]],DC$9)</f>
        <v>0</v>
      </c>
      <c r="DD947" s="693">
        <f>SUMIFS(Imput[[Importe Neto]:[Importe Neto]],Imput[[C. Imp.]:[C. Imp.]],$D947,Imput[[PERIODO Imp.]:[PERIODO Imp.]],DD$9)</f>
        <v>0</v>
      </c>
      <c r="DE947" s="693">
        <f>SUMIFS(Imput[[Importe Neto]:[Importe Neto]],Imput[[C. Imp.]:[C. Imp.]],$D947,Imput[[PERIODO Imp.]:[PERIODO Imp.]],DE$9)</f>
        <v>0</v>
      </c>
      <c r="DF947" s="693">
        <f>SUMIFS(Imput[[Importe Neto]:[Importe Neto]],Imput[[C. Imp.]:[C. Imp.]],$D947,Imput[[PERIODO Imp.]:[PERIODO Imp.]],DF$9)</f>
        <v>0</v>
      </c>
      <c r="DG947" s="693">
        <f>SUMIFS(Imput[[Importe Neto]:[Importe Neto]],Imput[[C. Imp.]:[C. Imp.]],$D947,Imput[[PERIODO Imp.]:[PERIODO Imp.]],DG$9)</f>
        <v>0</v>
      </c>
      <c r="DH947" s="694">
        <f>SUMIFS(Imput[[Importe Neto]:[Importe Neto]],Imput[[C. Imp.]:[C. Imp.]],$D947,Imput[[PERIODO Imp.]:[PERIODO Imp.]],DH$9)</f>
        <v>0</v>
      </c>
    </row>
    <row r="948" spans="1:112" s="649" customFormat="1" ht="14.4" outlineLevel="1" thickBot="1" x14ac:dyDescent="0.35">
      <c r="A948" s="652" t="str">
        <f>IF(J943&gt;0,"Imprimir","")</f>
        <v>Imprimir</v>
      </c>
      <c r="B948" s="652"/>
      <c r="C948" s="699"/>
      <c r="D948" s="700"/>
      <c r="E948" s="700"/>
      <c r="F948" s="701"/>
      <c r="G948" s="702"/>
      <c r="H948" s="703"/>
      <c r="I948" s="704"/>
      <c r="J948" s="120"/>
      <c r="K948" s="667"/>
      <c r="L948" s="706"/>
      <c r="M948" s="707"/>
      <c r="N948" s="777"/>
      <c r="O948" s="777"/>
      <c r="P948" s="778"/>
      <c r="Q948" s="778"/>
      <c r="R948" s="708"/>
      <c r="S948" s="708"/>
      <c r="T948" s="779"/>
      <c r="U948" s="779"/>
      <c r="V948" s="778"/>
      <c r="W948" s="778"/>
      <c r="X948" s="708"/>
      <c r="Y948" s="708"/>
      <c r="Z948" s="708"/>
      <c r="AA948" s="708"/>
      <c r="AB948" s="708"/>
      <c r="AC948" s="708"/>
      <c r="AD948" s="708"/>
      <c r="AE948" s="708"/>
      <c r="AF948" s="708"/>
      <c r="AG948" s="708"/>
      <c r="AH948" s="708"/>
      <c r="AI948" s="708"/>
      <c r="AJ948" s="708"/>
      <c r="AK948" s="708"/>
      <c r="AL948" s="708"/>
      <c r="AM948" s="708"/>
      <c r="AN948" s="708"/>
      <c r="AO948" s="708"/>
      <c r="AP948" s="708"/>
      <c r="AQ948" s="708"/>
      <c r="AR948" s="708"/>
      <c r="AS948" s="708"/>
      <c r="AT948" s="708"/>
      <c r="AU948" s="708"/>
      <c r="AV948" s="708"/>
      <c r="AW948" s="708"/>
      <c r="AX948" s="708"/>
      <c r="AY948" s="708"/>
      <c r="AZ948" s="708"/>
      <c r="BA948" s="708"/>
      <c r="BB948" s="708"/>
      <c r="BC948" s="708"/>
      <c r="BD948" s="708"/>
      <c r="BE948" s="708"/>
      <c r="BF948" s="708"/>
      <c r="BG948" s="708"/>
      <c r="BH948" s="780"/>
      <c r="BI948" s="654"/>
      <c r="BJ948" s="709"/>
      <c r="BK948" s="710"/>
      <c r="BL948" s="654"/>
      <c r="BM948" s="731"/>
      <c r="BN948" s="701"/>
      <c r="BO948" s="701"/>
      <c r="BP948" s="701"/>
      <c r="BQ948" s="701"/>
      <c r="BR948" s="701"/>
      <c r="BS948" s="701"/>
      <c r="BT948" s="701"/>
      <c r="BU948" s="701"/>
      <c r="BV948" s="701"/>
      <c r="BW948" s="701"/>
      <c r="BX948" s="701"/>
      <c r="BY948" s="701"/>
      <c r="BZ948" s="701"/>
      <c r="CA948" s="701"/>
      <c r="CB948" s="701"/>
      <c r="CC948" s="701"/>
      <c r="CD948" s="701"/>
      <c r="CE948" s="701"/>
      <c r="CF948" s="701"/>
      <c r="CG948" s="701"/>
      <c r="CH948" s="701"/>
      <c r="CI948" s="701"/>
      <c r="CJ948" s="701"/>
      <c r="CK948" s="701"/>
      <c r="CL948" s="701"/>
      <c r="CM948" s="701"/>
      <c r="CN948" s="701"/>
      <c r="CO948" s="701"/>
      <c r="CP948" s="701"/>
      <c r="CQ948" s="701"/>
      <c r="CR948" s="701"/>
      <c r="CS948" s="701"/>
      <c r="CT948" s="701"/>
      <c r="CU948" s="701"/>
      <c r="CV948" s="701"/>
      <c r="CW948" s="701"/>
      <c r="CX948" s="701"/>
      <c r="CY948" s="701"/>
      <c r="CZ948" s="701"/>
      <c r="DA948" s="701"/>
      <c r="DB948" s="701"/>
      <c r="DC948" s="701"/>
      <c r="DD948" s="701"/>
      <c r="DE948" s="701"/>
      <c r="DF948" s="701"/>
      <c r="DG948" s="701"/>
      <c r="DH948" s="710"/>
    </row>
    <row r="949" spans="1:112" s="649" customFormat="1" hidden="1" x14ac:dyDescent="0.3">
      <c r="A949" s="652" t="str">
        <f>IF(J949&gt;0,"Imprimir","")</f>
        <v/>
      </c>
      <c r="B949" s="652"/>
      <c r="C949" s="711"/>
      <c r="D949" s="712" t="s">
        <v>457</v>
      </c>
      <c r="E949" s="712" t="s">
        <v>515</v>
      </c>
      <c r="F949" s="712"/>
      <c r="G949" s="713"/>
      <c r="H949" s="712"/>
      <c r="I949" s="714">
        <v>480000</v>
      </c>
      <c r="J949" s="715">
        <f>SUBTOTAL(9,J952:J955)</f>
        <v>0</v>
      </c>
      <c r="K949" s="658"/>
      <c r="L949" s="770">
        <f t="shared" ref="L949:BG949" si="326">SUMPRODUCT($J952:$J955,L952:L955)</f>
        <v>0</v>
      </c>
      <c r="M949" s="771">
        <f t="shared" si="326"/>
        <v>0</v>
      </c>
      <c r="N949" s="771">
        <f t="shared" si="326"/>
        <v>0</v>
      </c>
      <c r="O949" s="771">
        <f t="shared" si="326"/>
        <v>0</v>
      </c>
      <c r="P949" s="771">
        <f t="shared" si="326"/>
        <v>0</v>
      </c>
      <c r="Q949" s="771">
        <f t="shared" si="326"/>
        <v>0</v>
      </c>
      <c r="R949" s="771">
        <f t="shared" si="326"/>
        <v>0</v>
      </c>
      <c r="S949" s="771">
        <f t="shared" si="326"/>
        <v>0</v>
      </c>
      <c r="T949" s="771">
        <f t="shared" si="326"/>
        <v>0</v>
      </c>
      <c r="U949" s="771">
        <f t="shared" si="326"/>
        <v>0</v>
      </c>
      <c r="V949" s="771">
        <f t="shared" si="326"/>
        <v>0</v>
      </c>
      <c r="W949" s="771">
        <f t="shared" si="326"/>
        <v>0</v>
      </c>
      <c r="X949" s="771">
        <f t="shared" si="326"/>
        <v>0</v>
      </c>
      <c r="Y949" s="771">
        <f t="shared" si="326"/>
        <v>0</v>
      </c>
      <c r="Z949" s="771">
        <f t="shared" si="326"/>
        <v>0</v>
      </c>
      <c r="AA949" s="771">
        <f t="shared" si="326"/>
        <v>0</v>
      </c>
      <c r="AB949" s="771">
        <f t="shared" si="326"/>
        <v>0</v>
      </c>
      <c r="AC949" s="771">
        <f t="shared" si="326"/>
        <v>0</v>
      </c>
      <c r="AD949" s="771">
        <f t="shared" si="326"/>
        <v>0</v>
      </c>
      <c r="AE949" s="771">
        <f t="shared" si="326"/>
        <v>0</v>
      </c>
      <c r="AF949" s="771">
        <f t="shared" si="326"/>
        <v>0</v>
      </c>
      <c r="AG949" s="771">
        <f t="shared" si="326"/>
        <v>0</v>
      </c>
      <c r="AH949" s="771">
        <f t="shared" si="326"/>
        <v>0</v>
      </c>
      <c r="AI949" s="771">
        <f t="shared" si="326"/>
        <v>0</v>
      </c>
      <c r="AJ949" s="771">
        <f t="shared" si="326"/>
        <v>0</v>
      </c>
      <c r="AK949" s="771">
        <f t="shared" si="326"/>
        <v>0</v>
      </c>
      <c r="AL949" s="771">
        <f t="shared" si="326"/>
        <v>0</v>
      </c>
      <c r="AM949" s="771">
        <f t="shared" si="326"/>
        <v>0</v>
      </c>
      <c r="AN949" s="771">
        <f t="shared" si="326"/>
        <v>0</v>
      </c>
      <c r="AO949" s="771">
        <f t="shared" si="326"/>
        <v>0</v>
      </c>
      <c r="AP949" s="771">
        <f t="shared" si="326"/>
        <v>0</v>
      </c>
      <c r="AQ949" s="771">
        <f t="shared" si="326"/>
        <v>0</v>
      </c>
      <c r="AR949" s="771">
        <f t="shared" si="326"/>
        <v>0</v>
      </c>
      <c r="AS949" s="771">
        <f t="shared" si="326"/>
        <v>0</v>
      </c>
      <c r="AT949" s="771">
        <f t="shared" si="326"/>
        <v>0</v>
      </c>
      <c r="AU949" s="771">
        <f t="shared" si="326"/>
        <v>0</v>
      </c>
      <c r="AV949" s="771">
        <f t="shared" si="326"/>
        <v>0</v>
      </c>
      <c r="AW949" s="771">
        <f t="shared" si="326"/>
        <v>0</v>
      </c>
      <c r="AX949" s="771">
        <f t="shared" si="326"/>
        <v>0</v>
      </c>
      <c r="AY949" s="771">
        <f t="shared" si="326"/>
        <v>0</v>
      </c>
      <c r="AZ949" s="771">
        <f t="shared" si="326"/>
        <v>0</v>
      </c>
      <c r="BA949" s="771">
        <f t="shared" si="326"/>
        <v>0</v>
      </c>
      <c r="BB949" s="771">
        <f t="shared" si="326"/>
        <v>0</v>
      </c>
      <c r="BC949" s="771">
        <f t="shared" si="326"/>
        <v>0</v>
      </c>
      <c r="BD949" s="771">
        <f t="shared" si="326"/>
        <v>0</v>
      </c>
      <c r="BE949" s="771">
        <f t="shared" si="326"/>
        <v>0</v>
      </c>
      <c r="BF949" s="771">
        <f t="shared" si="326"/>
        <v>0</v>
      </c>
      <c r="BG949" s="764">
        <f t="shared" si="326"/>
        <v>0</v>
      </c>
      <c r="BH949" s="776"/>
      <c r="BI949" s="654"/>
      <c r="BJ949" s="659">
        <f>IFERROR(13/J949,0)</f>
        <v>0</v>
      </c>
      <c r="BK949" s="660">
        <f>SUBTOTAL(9,BK950:BK955)</f>
        <v>0</v>
      </c>
      <c r="BL949" s="654"/>
      <c r="BM949" s="661">
        <f t="shared" ref="BM949:DH949" si="327">SUBTOTAL(9,BM950:BM955)</f>
        <v>0</v>
      </c>
      <c r="BN949" s="662">
        <f t="shared" si="327"/>
        <v>0</v>
      </c>
      <c r="BO949" s="662">
        <f t="shared" si="327"/>
        <v>0</v>
      </c>
      <c r="BP949" s="662">
        <f t="shared" si="327"/>
        <v>0</v>
      </c>
      <c r="BQ949" s="662">
        <f t="shared" si="327"/>
        <v>0</v>
      </c>
      <c r="BR949" s="662">
        <f t="shared" si="327"/>
        <v>0</v>
      </c>
      <c r="BS949" s="662">
        <f t="shared" si="327"/>
        <v>0</v>
      </c>
      <c r="BT949" s="662">
        <f t="shared" si="327"/>
        <v>0</v>
      </c>
      <c r="BU949" s="662">
        <f t="shared" si="327"/>
        <v>0</v>
      </c>
      <c r="BV949" s="662">
        <f t="shared" si="327"/>
        <v>0</v>
      </c>
      <c r="BW949" s="662">
        <f t="shared" si="327"/>
        <v>0</v>
      </c>
      <c r="BX949" s="662">
        <f t="shared" si="327"/>
        <v>0</v>
      </c>
      <c r="BY949" s="662">
        <f t="shared" si="327"/>
        <v>0</v>
      </c>
      <c r="BZ949" s="662">
        <f t="shared" si="327"/>
        <v>0</v>
      </c>
      <c r="CA949" s="662">
        <f t="shared" si="327"/>
        <v>0</v>
      </c>
      <c r="CB949" s="662">
        <f t="shared" si="327"/>
        <v>0</v>
      </c>
      <c r="CC949" s="662">
        <f t="shared" si="327"/>
        <v>0</v>
      </c>
      <c r="CD949" s="662">
        <f t="shared" si="327"/>
        <v>0</v>
      </c>
      <c r="CE949" s="662">
        <f t="shared" si="327"/>
        <v>0</v>
      </c>
      <c r="CF949" s="662">
        <f t="shared" si="327"/>
        <v>0</v>
      </c>
      <c r="CG949" s="662">
        <f t="shared" si="327"/>
        <v>0</v>
      </c>
      <c r="CH949" s="662">
        <f t="shared" si="327"/>
        <v>0</v>
      </c>
      <c r="CI949" s="662">
        <f t="shared" si="327"/>
        <v>0</v>
      </c>
      <c r="CJ949" s="662">
        <f t="shared" si="327"/>
        <v>0</v>
      </c>
      <c r="CK949" s="662">
        <f t="shared" si="327"/>
        <v>0</v>
      </c>
      <c r="CL949" s="662">
        <f t="shared" si="327"/>
        <v>0</v>
      </c>
      <c r="CM949" s="662">
        <f t="shared" si="327"/>
        <v>0</v>
      </c>
      <c r="CN949" s="662">
        <f t="shared" si="327"/>
        <v>0</v>
      </c>
      <c r="CO949" s="662">
        <f t="shared" si="327"/>
        <v>0</v>
      </c>
      <c r="CP949" s="662">
        <f t="shared" si="327"/>
        <v>0</v>
      </c>
      <c r="CQ949" s="662">
        <f t="shared" si="327"/>
        <v>0</v>
      </c>
      <c r="CR949" s="662">
        <f t="shared" si="327"/>
        <v>0</v>
      </c>
      <c r="CS949" s="662">
        <f t="shared" si="327"/>
        <v>0</v>
      </c>
      <c r="CT949" s="662">
        <f t="shared" si="327"/>
        <v>0</v>
      </c>
      <c r="CU949" s="662">
        <f t="shared" si="327"/>
        <v>0</v>
      </c>
      <c r="CV949" s="662">
        <f t="shared" si="327"/>
        <v>0</v>
      </c>
      <c r="CW949" s="662">
        <f t="shared" si="327"/>
        <v>0</v>
      </c>
      <c r="CX949" s="662">
        <f t="shared" si="327"/>
        <v>0</v>
      </c>
      <c r="CY949" s="662">
        <f t="shared" si="327"/>
        <v>0</v>
      </c>
      <c r="CZ949" s="662">
        <f t="shared" si="327"/>
        <v>0</v>
      </c>
      <c r="DA949" s="662">
        <f t="shared" si="327"/>
        <v>0</v>
      </c>
      <c r="DB949" s="662">
        <f t="shared" si="327"/>
        <v>0</v>
      </c>
      <c r="DC949" s="662">
        <f t="shared" si="327"/>
        <v>0</v>
      </c>
      <c r="DD949" s="662">
        <f t="shared" si="327"/>
        <v>0</v>
      </c>
      <c r="DE949" s="662">
        <f t="shared" si="327"/>
        <v>0</v>
      </c>
      <c r="DF949" s="662">
        <f t="shared" si="327"/>
        <v>0</v>
      </c>
      <c r="DG949" s="662">
        <f t="shared" si="327"/>
        <v>0</v>
      </c>
      <c r="DH949" s="663">
        <f t="shared" si="327"/>
        <v>0</v>
      </c>
    </row>
    <row r="950" spans="1:112" s="649" customFormat="1" hidden="1" outlineLevel="1" x14ac:dyDescent="0.3">
      <c r="A950" s="652" t="str">
        <f>IF(J949&gt;0,"Imprimir","")</f>
        <v/>
      </c>
      <c r="B950" s="652"/>
      <c r="C950" s="664"/>
      <c r="D950" s="665"/>
      <c r="E950" s="665"/>
      <c r="F950" s="665" t="s">
        <v>472</v>
      </c>
      <c r="G950" s="716" t="s">
        <v>2128</v>
      </c>
      <c r="H950" s="665" t="s">
        <v>98</v>
      </c>
      <c r="I950" s="665" t="s">
        <v>474</v>
      </c>
      <c r="J950" s="104" t="s">
        <v>29</v>
      </c>
      <c r="K950" s="667"/>
      <c r="L950" s="745"/>
      <c r="M950" s="741"/>
      <c r="N950" s="741"/>
      <c r="O950" s="741"/>
      <c r="P950" s="741"/>
      <c r="Q950" s="741"/>
      <c r="R950" s="741"/>
      <c r="S950" s="741"/>
      <c r="T950" s="741"/>
      <c r="U950" s="741"/>
      <c r="V950" s="741"/>
      <c r="W950" s="741"/>
      <c r="X950" s="741"/>
      <c r="Y950" s="741"/>
      <c r="Z950" s="741"/>
      <c r="AA950" s="741"/>
      <c r="AB950" s="741"/>
      <c r="AC950" s="741"/>
      <c r="AD950" s="741"/>
      <c r="AE950" s="741"/>
      <c r="AF950" s="741"/>
      <c r="AG950" s="741"/>
      <c r="AH950" s="741"/>
      <c r="AI950" s="741"/>
      <c r="AJ950" s="741"/>
      <c r="AK950" s="741"/>
      <c r="AL950" s="741"/>
      <c r="AM950" s="741"/>
      <c r="AN950" s="741"/>
      <c r="AO950" s="741"/>
      <c r="AP950" s="741"/>
      <c r="AQ950" s="741"/>
      <c r="AR950" s="741"/>
      <c r="AS950" s="741"/>
      <c r="AT950" s="741"/>
      <c r="AU950" s="741"/>
      <c r="AV950" s="741"/>
      <c r="AW950" s="741"/>
      <c r="AX950" s="741"/>
      <c r="AY950" s="741"/>
      <c r="AZ950" s="741"/>
      <c r="BA950" s="741"/>
      <c r="BB950" s="741"/>
      <c r="BC950" s="741"/>
      <c r="BD950" s="741"/>
      <c r="BE950" s="741"/>
      <c r="BF950" s="741"/>
      <c r="BG950" s="741"/>
      <c r="BH950" s="668"/>
      <c r="BI950" s="654"/>
      <c r="BJ950" s="669"/>
      <c r="BK950" s="670"/>
      <c r="BL950" s="654"/>
      <c r="BM950" s="671"/>
      <c r="BN950" s="665"/>
      <c r="BO950" s="665"/>
      <c r="BP950" s="665"/>
      <c r="BQ950" s="665"/>
      <c r="BR950" s="665"/>
      <c r="BS950" s="665"/>
      <c r="BT950" s="665"/>
      <c r="BU950" s="665"/>
      <c r="BV950" s="665"/>
      <c r="BW950" s="665"/>
      <c r="BX950" s="665"/>
      <c r="BY950" s="665"/>
      <c r="BZ950" s="665"/>
      <c r="CA950" s="665"/>
      <c r="CB950" s="665"/>
      <c r="CC950" s="665"/>
      <c r="CD950" s="665"/>
      <c r="CE950" s="665"/>
      <c r="CF950" s="665"/>
      <c r="CG950" s="665"/>
      <c r="CH950" s="665"/>
      <c r="CI950" s="665"/>
      <c r="CJ950" s="665"/>
      <c r="CK950" s="665"/>
      <c r="CL950" s="665"/>
      <c r="CM950" s="665"/>
      <c r="CN950" s="665"/>
      <c r="CO950" s="665"/>
      <c r="CP950" s="665"/>
      <c r="CQ950" s="665"/>
      <c r="CR950" s="665"/>
      <c r="CS950" s="665"/>
      <c r="CT950" s="665"/>
      <c r="CU950" s="665"/>
      <c r="CV950" s="665"/>
      <c r="CW950" s="665"/>
      <c r="CX950" s="665"/>
      <c r="CY950" s="665"/>
      <c r="CZ950" s="665"/>
      <c r="DA950" s="665"/>
      <c r="DB950" s="665"/>
      <c r="DC950" s="665"/>
      <c r="DD950" s="665"/>
      <c r="DE950" s="665"/>
      <c r="DF950" s="665"/>
      <c r="DG950" s="665"/>
      <c r="DH950" s="666"/>
    </row>
    <row r="951" spans="1:112" s="649" customFormat="1" ht="15.6" hidden="1" outlineLevel="1" x14ac:dyDescent="0.3">
      <c r="A951" s="652" t="str">
        <f>IF(J951&gt;0,"Imprimir","")</f>
        <v/>
      </c>
      <c r="B951" s="652"/>
      <c r="C951" s="672"/>
      <c r="D951" s="673"/>
      <c r="E951" s="674"/>
      <c r="F951" s="675"/>
      <c r="G951" s="726"/>
      <c r="H951" s="676"/>
      <c r="I951" s="677"/>
      <c r="J951" s="219">
        <f>SUBTOTAL(9,J952:J955)</f>
        <v>0</v>
      </c>
      <c r="K951" s="678"/>
      <c r="L951" s="747"/>
      <c r="M951" s="742"/>
      <c r="N951" s="742"/>
      <c r="O951" s="742"/>
      <c r="P951" s="742"/>
      <c r="Q951" s="742"/>
      <c r="R951" s="742"/>
      <c r="S951" s="742"/>
      <c r="T951" s="742"/>
      <c r="U951" s="742"/>
      <c r="V951" s="742"/>
      <c r="W951" s="742"/>
      <c r="X951" s="742"/>
      <c r="Y951" s="742"/>
      <c r="Z951" s="742"/>
      <c r="AA951" s="742"/>
      <c r="AB951" s="742"/>
      <c r="AC951" s="742"/>
      <c r="AD951" s="742"/>
      <c r="AE951" s="742"/>
      <c r="AF951" s="742"/>
      <c r="AG951" s="742"/>
      <c r="AH951" s="742"/>
      <c r="AI951" s="742"/>
      <c r="AJ951" s="742"/>
      <c r="AK951" s="742"/>
      <c r="AL951" s="742"/>
      <c r="AM951" s="742"/>
      <c r="AN951" s="742"/>
      <c r="AO951" s="742"/>
      <c r="AP951" s="742"/>
      <c r="AQ951" s="742"/>
      <c r="AR951" s="742"/>
      <c r="AS951" s="742"/>
      <c r="AT951" s="742"/>
      <c r="AU951" s="742"/>
      <c r="AV951" s="742"/>
      <c r="AW951" s="742"/>
      <c r="AX951" s="742"/>
      <c r="AY951" s="742"/>
      <c r="AZ951" s="742"/>
      <c r="BA951" s="742"/>
      <c r="BB951" s="742"/>
      <c r="BC951" s="742"/>
      <c r="BD951" s="742"/>
      <c r="BE951" s="742"/>
      <c r="BF951" s="742"/>
      <c r="BG951" s="742"/>
      <c r="BH951" s="668"/>
      <c r="BI951" s="654"/>
      <c r="BJ951" s="729"/>
      <c r="BK951" s="681"/>
      <c r="BL951" s="654"/>
      <c r="BM951" s="682"/>
      <c r="BN951" s="683"/>
      <c r="BO951" s="683"/>
      <c r="BP951" s="683"/>
      <c r="BQ951" s="683"/>
      <c r="BR951" s="683"/>
      <c r="BS951" s="683"/>
      <c r="BT951" s="683"/>
      <c r="BU951" s="683"/>
      <c r="BV951" s="683"/>
      <c r="BW951" s="683"/>
      <c r="BX951" s="683"/>
      <c r="BY951" s="683"/>
      <c r="BZ951" s="683"/>
      <c r="CA951" s="683"/>
      <c r="CB951" s="683"/>
      <c r="CC951" s="683"/>
      <c r="CD951" s="683"/>
      <c r="CE951" s="683"/>
      <c r="CF951" s="683"/>
      <c r="CG951" s="683"/>
      <c r="CH951" s="683"/>
      <c r="CI951" s="683"/>
      <c r="CJ951" s="683"/>
      <c r="CK951" s="683"/>
      <c r="CL951" s="683"/>
      <c r="CM951" s="683"/>
      <c r="CN951" s="683"/>
      <c r="CO951" s="683"/>
      <c r="CP951" s="683"/>
      <c r="CQ951" s="683"/>
      <c r="CR951" s="683"/>
      <c r="CS951" s="683"/>
      <c r="CT951" s="683"/>
      <c r="CU951" s="683"/>
      <c r="CV951" s="683"/>
      <c r="CW951" s="683"/>
      <c r="CX951" s="683"/>
      <c r="CY951" s="683"/>
      <c r="CZ951" s="683"/>
      <c r="DA951" s="683"/>
      <c r="DB951" s="683"/>
      <c r="DC951" s="683"/>
      <c r="DD951" s="683"/>
      <c r="DE951" s="683"/>
      <c r="DF951" s="683"/>
      <c r="DG951" s="683"/>
      <c r="DH951" s="684"/>
    </row>
    <row r="952" spans="1:112" s="649" customFormat="1" hidden="1" outlineLevel="1" x14ac:dyDescent="0.3">
      <c r="A952" s="652" t="str">
        <f t="shared" ref="A952:A954" si="328">IF(J952="","",IF(J952=0,"","Imprimir"))</f>
        <v/>
      </c>
      <c r="B952" s="652"/>
      <c r="C952" s="685"/>
      <c r="D952" s="686" t="s">
        <v>2904</v>
      </c>
      <c r="E952" s="686"/>
      <c r="F952" s="720"/>
      <c r="G952" s="688"/>
      <c r="H952" s="689"/>
      <c r="I952" s="851" t="str">
        <f>IF(E952&gt;0,$J$5,"")</f>
        <v/>
      </c>
      <c r="J952" s="517" t="str">
        <f t="shared" ref="J952:J954" si="329">IFERROR(G952*H952*I952,"")</f>
        <v/>
      </c>
      <c r="K952" s="667"/>
      <c r="L952" s="858"/>
      <c r="M952" s="859"/>
      <c r="N952" s="859"/>
      <c r="O952" s="859"/>
      <c r="P952" s="859"/>
      <c r="Q952" s="859"/>
      <c r="R952" s="859"/>
      <c r="S952" s="859"/>
      <c r="T952" s="859"/>
      <c r="U952" s="859"/>
      <c r="V952" s="859"/>
      <c r="W952" s="859"/>
      <c r="X952" s="859"/>
      <c r="Y952" s="859"/>
      <c r="Z952" s="860"/>
      <c r="AA952" s="860"/>
      <c r="AB952" s="860"/>
      <c r="AC952" s="860"/>
      <c r="AD952" s="860"/>
      <c r="AE952" s="860"/>
      <c r="AF952" s="860"/>
      <c r="AG952" s="860"/>
      <c r="AH952" s="860"/>
      <c r="AI952" s="860"/>
      <c r="AJ952" s="860"/>
      <c r="AK952" s="860"/>
      <c r="AL952" s="860"/>
      <c r="AM952" s="860"/>
      <c r="AN952" s="860"/>
      <c r="AO952" s="860"/>
      <c r="AP952" s="860"/>
      <c r="AQ952" s="860"/>
      <c r="AR952" s="860"/>
      <c r="AS952" s="860"/>
      <c r="AT952" s="860"/>
      <c r="AU952" s="860"/>
      <c r="AV952" s="860"/>
      <c r="AW952" s="860"/>
      <c r="AX952" s="860"/>
      <c r="AY952" s="860"/>
      <c r="AZ952" s="860"/>
      <c r="BA952" s="860"/>
      <c r="BB952" s="860"/>
      <c r="BC952" s="860"/>
      <c r="BD952" s="860"/>
      <c r="BE952" s="860"/>
      <c r="BF952" s="860"/>
      <c r="BG952" s="860"/>
      <c r="BH952" s="668"/>
      <c r="BI952" s="654"/>
      <c r="BJ952" s="690">
        <f>IFERROR(BK952/J952,0)</f>
        <v>0</v>
      </c>
      <c r="BK952" s="691">
        <f>SUM(BM952:DH952)</f>
        <v>0</v>
      </c>
      <c r="BL952" s="654"/>
      <c r="BM952" s="692">
        <f>SUMIFS(Imput[[Importe Neto]:[Importe Neto]],Imput[[C. Imp.]:[C. Imp.]],$D952,Imput[[PERIODO Imp.]:[PERIODO Imp.]],BM$9)</f>
        <v>0</v>
      </c>
      <c r="BN952" s="693">
        <f>SUMIFS(Imput[[Importe Neto]:[Importe Neto]],Imput[[C. Imp.]:[C. Imp.]],$D952,Imput[[PERIODO Imp.]:[PERIODO Imp.]],BN$9)</f>
        <v>0</v>
      </c>
      <c r="BO952" s="693">
        <f>SUMIFS(Imput[[Importe Neto]:[Importe Neto]],Imput[[C. Imp.]:[C. Imp.]],$D952,Imput[[PERIODO Imp.]:[PERIODO Imp.]],BO$9)</f>
        <v>0</v>
      </c>
      <c r="BP952" s="693">
        <f>SUMIFS(Imput[[Importe Neto]:[Importe Neto]],Imput[[C. Imp.]:[C. Imp.]],$D952,Imput[[PERIODO Imp.]:[PERIODO Imp.]],BP$9)</f>
        <v>0</v>
      </c>
      <c r="BQ952" s="693">
        <f>SUMIFS(Imput[[Importe Neto]:[Importe Neto]],Imput[[C. Imp.]:[C. Imp.]],$D952,Imput[[PERIODO Imp.]:[PERIODO Imp.]],BQ$9)</f>
        <v>0</v>
      </c>
      <c r="BR952" s="693">
        <f>SUMIFS(Imput[[Importe Neto]:[Importe Neto]],Imput[[C. Imp.]:[C. Imp.]],$D952,Imput[[PERIODO Imp.]:[PERIODO Imp.]],BR$9)</f>
        <v>0</v>
      </c>
      <c r="BS952" s="693">
        <f>SUMIFS(Imput[[Importe Neto]:[Importe Neto]],Imput[[C. Imp.]:[C. Imp.]],$D952,Imput[[PERIODO Imp.]:[PERIODO Imp.]],BS$9)</f>
        <v>0</v>
      </c>
      <c r="BT952" s="693">
        <f>SUMIFS(Imput[[Importe Neto]:[Importe Neto]],Imput[[C. Imp.]:[C. Imp.]],$D952,Imput[[PERIODO Imp.]:[PERIODO Imp.]],BT$9)</f>
        <v>0</v>
      </c>
      <c r="BU952" s="693">
        <f>SUMIFS(Imput[[Importe Neto]:[Importe Neto]],Imput[[C. Imp.]:[C. Imp.]],$D952,Imput[[PERIODO Imp.]:[PERIODO Imp.]],BU$9)</f>
        <v>0</v>
      </c>
      <c r="BV952" s="693">
        <f>SUMIFS(Imput[[Importe Neto]:[Importe Neto]],Imput[[C. Imp.]:[C. Imp.]],$D952,Imput[[PERIODO Imp.]:[PERIODO Imp.]],BV$9)</f>
        <v>0</v>
      </c>
      <c r="BW952" s="693">
        <f>SUMIFS(Imput[[Importe Neto]:[Importe Neto]],Imput[[C. Imp.]:[C. Imp.]],$D952,Imput[[PERIODO Imp.]:[PERIODO Imp.]],BW$9)</f>
        <v>0</v>
      </c>
      <c r="BX952" s="693">
        <f>SUMIFS(Imput[[Importe Neto]:[Importe Neto]],Imput[[C. Imp.]:[C. Imp.]],$D952,Imput[[PERIODO Imp.]:[PERIODO Imp.]],BX$9)</f>
        <v>0</v>
      </c>
      <c r="BY952" s="693">
        <f>SUMIFS(Imput[[Importe Neto]:[Importe Neto]],Imput[[C. Imp.]:[C. Imp.]],$D952,Imput[[PERIODO Imp.]:[PERIODO Imp.]],BY$9)</f>
        <v>0</v>
      </c>
      <c r="BZ952" s="693">
        <f>SUMIFS(Imput[[Importe Neto]:[Importe Neto]],Imput[[C. Imp.]:[C. Imp.]],$D952,Imput[[PERIODO Imp.]:[PERIODO Imp.]],BZ$9)</f>
        <v>0</v>
      </c>
      <c r="CA952" s="693">
        <f>SUMIFS(Imput[[Importe Neto]:[Importe Neto]],Imput[[C. Imp.]:[C. Imp.]],$D952,Imput[[PERIODO Imp.]:[PERIODO Imp.]],CA$9)</f>
        <v>0</v>
      </c>
      <c r="CB952" s="693">
        <f>SUMIFS(Imput[[Importe Neto]:[Importe Neto]],Imput[[C. Imp.]:[C. Imp.]],$D952,Imput[[PERIODO Imp.]:[PERIODO Imp.]],CB$9)</f>
        <v>0</v>
      </c>
      <c r="CC952" s="693">
        <f>SUMIFS(Imput[[Importe Neto]:[Importe Neto]],Imput[[C. Imp.]:[C. Imp.]],$D952,Imput[[PERIODO Imp.]:[PERIODO Imp.]],CC$9)</f>
        <v>0</v>
      </c>
      <c r="CD952" s="693">
        <f>SUMIFS(Imput[[Importe Neto]:[Importe Neto]],Imput[[C. Imp.]:[C. Imp.]],$D952,Imput[[PERIODO Imp.]:[PERIODO Imp.]],CD$9)</f>
        <v>0</v>
      </c>
      <c r="CE952" s="693">
        <f>SUMIFS(Imput[[Importe Neto]:[Importe Neto]],Imput[[C. Imp.]:[C. Imp.]],$D952,Imput[[PERIODO Imp.]:[PERIODO Imp.]],CE$9)</f>
        <v>0</v>
      </c>
      <c r="CF952" s="693">
        <f>SUMIFS(Imput[[Importe Neto]:[Importe Neto]],Imput[[C. Imp.]:[C. Imp.]],$D952,Imput[[PERIODO Imp.]:[PERIODO Imp.]],CF$9)</f>
        <v>0</v>
      </c>
      <c r="CG952" s="693">
        <f>SUMIFS(Imput[[Importe Neto]:[Importe Neto]],Imput[[C. Imp.]:[C. Imp.]],$D952,Imput[[PERIODO Imp.]:[PERIODO Imp.]],CG$9)</f>
        <v>0</v>
      </c>
      <c r="CH952" s="693">
        <f>SUMIFS(Imput[[Importe Neto]:[Importe Neto]],Imput[[C. Imp.]:[C. Imp.]],$D952,Imput[[PERIODO Imp.]:[PERIODO Imp.]],CH$9)</f>
        <v>0</v>
      </c>
      <c r="CI952" s="693">
        <f>SUMIFS(Imput[[Importe Neto]:[Importe Neto]],Imput[[C. Imp.]:[C. Imp.]],$D952,Imput[[PERIODO Imp.]:[PERIODO Imp.]],CI$9)</f>
        <v>0</v>
      </c>
      <c r="CJ952" s="693">
        <f>SUMIFS(Imput[[Importe Neto]:[Importe Neto]],Imput[[C. Imp.]:[C. Imp.]],$D952,Imput[[PERIODO Imp.]:[PERIODO Imp.]],CJ$9)</f>
        <v>0</v>
      </c>
      <c r="CK952" s="693">
        <f>SUMIFS(Imput[[Importe Neto]:[Importe Neto]],Imput[[C. Imp.]:[C. Imp.]],$D952,Imput[[PERIODO Imp.]:[PERIODO Imp.]],CK$9)</f>
        <v>0</v>
      </c>
      <c r="CL952" s="693">
        <f>SUMIFS(Imput[[Importe Neto]:[Importe Neto]],Imput[[C. Imp.]:[C. Imp.]],$D952,Imput[[PERIODO Imp.]:[PERIODO Imp.]],CL$9)</f>
        <v>0</v>
      </c>
      <c r="CM952" s="693">
        <f>SUMIFS(Imput[[Importe Neto]:[Importe Neto]],Imput[[C. Imp.]:[C. Imp.]],$D952,Imput[[PERIODO Imp.]:[PERIODO Imp.]],CM$9)</f>
        <v>0</v>
      </c>
      <c r="CN952" s="693">
        <f>SUMIFS(Imput[[Importe Neto]:[Importe Neto]],Imput[[C. Imp.]:[C. Imp.]],$D952,Imput[[PERIODO Imp.]:[PERIODO Imp.]],CN$9)</f>
        <v>0</v>
      </c>
      <c r="CO952" s="693">
        <f>SUMIFS(Imput[[Importe Neto]:[Importe Neto]],Imput[[C. Imp.]:[C. Imp.]],$D952,Imput[[PERIODO Imp.]:[PERIODO Imp.]],CO$9)</f>
        <v>0</v>
      </c>
      <c r="CP952" s="693">
        <f>SUMIFS(Imput[[Importe Neto]:[Importe Neto]],Imput[[C. Imp.]:[C. Imp.]],$D952,Imput[[PERIODO Imp.]:[PERIODO Imp.]],CP$9)</f>
        <v>0</v>
      </c>
      <c r="CQ952" s="693">
        <f>SUMIFS(Imput[[Importe Neto]:[Importe Neto]],Imput[[C. Imp.]:[C. Imp.]],$D952,Imput[[PERIODO Imp.]:[PERIODO Imp.]],CQ$9)</f>
        <v>0</v>
      </c>
      <c r="CR952" s="693">
        <f>SUMIFS(Imput[[Importe Neto]:[Importe Neto]],Imput[[C. Imp.]:[C. Imp.]],$D952,Imput[[PERIODO Imp.]:[PERIODO Imp.]],CR$9)</f>
        <v>0</v>
      </c>
      <c r="CS952" s="693">
        <f>SUMIFS(Imput[[Importe Neto]:[Importe Neto]],Imput[[C. Imp.]:[C. Imp.]],$D952,Imput[[PERIODO Imp.]:[PERIODO Imp.]],CS$9)</f>
        <v>0</v>
      </c>
      <c r="CT952" s="693">
        <f>SUMIFS(Imput[[Importe Neto]:[Importe Neto]],Imput[[C. Imp.]:[C. Imp.]],$D952,Imput[[PERIODO Imp.]:[PERIODO Imp.]],CT$9)</f>
        <v>0</v>
      </c>
      <c r="CU952" s="693">
        <f>SUMIFS(Imput[[Importe Neto]:[Importe Neto]],Imput[[C. Imp.]:[C. Imp.]],$D952,Imput[[PERIODO Imp.]:[PERIODO Imp.]],CU$9)</f>
        <v>0</v>
      </c>
      <c r="CV952" s="693">
        <f>SUMIFS(Imput[[Importe Neto]:[Importe Neto]],Imput[[C. Imp.]:[C. Imp.]],$D952,Imput[[PERIODO Imp.]:[PERIODO Imp.]],CV$9)</f>
        <v>0</v>
      </c>
      <c r="CW952" s="693">
        <f>SUMIFS(Imput[[Importe Neto]:[Importe Neto]],Imput[[C. Imp.]:[C. Imp.]],$D952,Imput[[PERIODO Imp.]:[PERIODO Imp.]],CW$9)</f>
        <v>0</v>
      </c>
      <c r="CX952" s="693">
        <f>SUMIFS(Imput[[Importe Neto]:[Importe Neto]],Imput[[C. Imp.]:[C. Imp.]],$D952,Imput[[PERIODO Imp.]:[PERIODO Imp.]],CX$9)</f>
        <v>0</v>
      </c>
      <c r="CY952" s="693">
        <f>SUMIFS(Imput[[Importe Neto]:[Importe Neto]],Imput[[C. Imp.]:[C. Imp.]],$D952,Imput[[PERIODO Imp.]:[PERIODO Imp.]],CY$9)</f>
        <v>0</v>
      </c>
      <c r="CZ952" s="693">
        <f>SUMIFS(Imput[[Importe Neto]:[Importe Neto]],Imput[[C. Imp.]:[C. Imp.]],$D952,Imput[[PERIODO Imp.]:[PERIODO Imp.]],CZ$9)</f>
        <v>0</v>
      </c>
      <c r="DA952" s="693">
        <f>SUMIFS(Imput[[Importe Neto]:[Importe Neto]],Imput[[C. Imp.]:[C. Imp.]],$D952,Imput[[PERIODO Imp.]:[PERIODO Imp.]],DA$9)</f>
        <v>0</v>
      </c>
      <c r="DB952" s="693">
        <f>SUMIFS(Imput[[Importe Neto]:[Importe Neto]],Imput[[C. Imp.]:[C. Imp.]],$D952,Imput[[PERIODO Imp.]:[PERIODO Imp.]],DB$9)</f>
        <v>0</v>
      </c>
      <c r="DC952" s="693">
        <f>SUMIFS(Imput[[Importe Neto]:[Importe Neto]],Imput[[C. Imp.]:[C. Imp.]],$D952,Imput[[PERIODO Imp.]:[PERIODO Imp.]],DC$9)</f>
        <v>0</v>
      </c>
      <c r="DD952" s="693">
        <f>SUMIFS(Imput[[Importe Neto]:[Importe Neto]],Imput[[C. Imp.]:[C. Imp.]],$D952,Imput[[PERIODO Imp.]:[PERIODO Imp.]],DD$9)</f>
        <v>0</v>
      </c>
      <c r="DE952" s="693">
        <f>SUMIFS(Imput[[Importe Neto]:[Importe Neto]],Imput[[C. Imp.]:[C. Imp.]],$D952,Imput[[PERIODO Imp.]:[PERIODO Imp.]],DE$9)</f>
        <v>0</v>
      </c>
      <c r="DF952" s="693">
        <f>SUMIFS(Imput[[Importe Neto]:[Importe Neto]],Imput[[C. Imp.]:[C. Imp.]],$D952,Imput[[PERIODO Imp.]:[PERIODO Imp.]],DF$9)</f>
        <v>0</v>
      </c>
      <c r="DG952" s="693">
        <f>SUMIFS(Imput[[Importe Neto]:[Importe Neto]],Imput[[C. Imp.]:[C. Imp.]],$D952,Imput[[PERIODO Imp.]:[PERIODO Imp.]],DG$9)</f>
        <v>0</v>
      </c>
      <c r="DH952" s="694">
        <f>SUMIFS(Imput[[Importe Neto]:[Importe Neto]],Imput[[C. Imp.]:[C. Imp.]],$D952,Imput[[PERIODO Imp.]:[PERIODO Imp.]],DH$9)</f>
        <v>0</v>
      </c>
    </row>
    <row r="953" spans="1:112" s="649" customFormat="1" hidden="1" outlineLevel="1" x14ac:dyDescent="0.3">
      <c r="A953" s="652" t="str">
        <f t="shared" si="328"/>
        <v/>
      </c>
      <c r="B953" s="652"/>
      <c r="C953" s="685"/>
      <c r="D953" s="686" t="s">
        <v>2905</v>
      </c>
      <c r="E953" s="686"/>
      <c r="F953" s="720"/>
      <c r="G953" s="688"/>
      <c r="H953" s="689"/>
      <c r="I953" s="851" t="str">
        <f>IF(E953&gt;0,$J$5,"")</f>
        <v/>
      </c>
      <c r="J953" s="517" t="str">
        <f t="shared" si="329"/>
        <v/>
      </c>
      <c r="K953" s="667"/>
      <c r="L953" s="858"/>
      <c r="M953" s="859"/>
      <c r="N953" s="859"/>
      <c r="O953" s="859"/>
      <c r="P953" s="859"/>
      <c r="Q953" s="859"/>
      <c r="R953" s="859"/>
      <c r="S953" s="859"/>
      <c r="T953" s="859"/>
      <c r="U953" s="859"/>
      <c r="V953" s="859"/>
      <c r="W953" s="859"/>
      <c r="X953" s="859"/>
      <c r="Y953" s="859"/>
      <c r="Z953" s="860"/>
      <c r="AA953" s="860"/>
      <c r="AB953" s="860"/>
      <c r="AC953" s="860"/>
      <c r="AD953" s="860"/>
      <c r="AE953" s="860"/>
      <c r="AF953" s="860"/>
      <c r="AG953" s="860"/>
      <c r="AH953" s="860"/>
      <c r="AI953" s="860"/>
      <c r="AJ953" s="860"/>
      <c r="AK953" s="860"/>
      <c r="AL953" s="860"/>
      <c r="AM953" s="860"/>
      <c r="AN953" s="860"/>
      <c r="AO953" s="860"/>
      <c r="AP953" s="860"/>
      <c r="AQ953" s="860"/>
      <c r="AR953" s="860"/>
      <c r="AS953" s="860"/>
      <c r="AT953" s="860"/>
      <c r="AU953" s="860"/>
      <c r="AV953" s="860"/>
      <c r="AW953" s="860"/>
      <c r="AX953" s="860"/>
      <c r="AY953" s="860"/>
      <c r="AZ953" s="860"/>
      <c r="BA953" s="860"/>
      <c r="BB953" s="860"/>
      <c r="BC953" s="860"/>
      <c r="BD953" s="860"/>
      <c r="BE953" s="860"/>
      <c r="BF953" s="860"/>
      <c r="BG953" s="860"/>
      <c r="BH953" s="668"/>
      <c r="BI953" s="654"/>
      <c r="BJ953" s="690">
        <f>IFERROR(BK953/J953,0)</f>
        <v>0</v>
      </c>
      <c r="BK953" s="691">
        <f>SUM(BM953:DH953)</f>
        <v>0</v>
      </c>
      <c r="BL953" s="654"/>
      <c r="BM953" s="692">
        <f>SUMIFS(Imput[[Importe Neto]:[Importe Neto]],Imput[[C. Imp.]:[C. Imp.]],$D953,Imput[[PERIODO Imp.]:[PERIODO Imp.]],BM$9)</f>
        <v>0</v>
      </c>
      <c r="BN953" s="693">
        <f>SUMIFS(Imput[[Importe Neto]:[Importe Neto]],Imput[[C. Imp.]:[C. Imp.]],$D953,Imput[[PERIODO Imp.]:[PERIODO Imp.]],BN$9)</f>
        <v>0</v>
      </c>
      <c r="BO953" s="693">
        <f>SUMIFS(Imput[[Importe Neto]:[Importe Neto]],Imput[[C. Imp.]:[C. Imp.]],$D953,Imput[[PERIODO Imp.]:[PERIODO Imp.]],BO$9)</f>
        <v>0</v>
      </c>
      <c r="BP953" s="693">
        <f>SUMIFS(Imput[[Importe Neto]:[Importe Neto]],Imput[[C. Imp.]:[C. Imp.]],$D953,Imput[[PERIODO Imp.]:[PERIODO Imp.]],BP$9)</f>
        <v>0</v>
      </c>
      <c r="BQ953" s="693">
        <f>SUMIFS(Imput[[Importe Neto]:[Importe Neto]],Imput[[C. Imp.]:[C. Imp.]],$D953,Imput[[PERIODO Imp.]:[PERIODO Imp.]],BQ$9)</f>
        <v>0</v>
      </c>
      <c r="BR953" s="693">
        <f>SUMIFS(Imput[[Importe Neto]:[Importe Neto]],Imput[[C. Imp.]:[C. Imp.]],$D953,Imput[[PERIODO Imp.]:[PERIODO Imp.]],BR$9)</f>
        <v>0</v>
      </c>
      <c r="BS953" s="693">
        <f>SUMIFS(Imput[[Importe Neto]:[Importe Neto]],Imput[[C. Imp.]:[C. Imp.]],$D953,Imput[[PERIODO Imp.]:[PERIODO Imp.]],BS$9)</f>
        <v>0</v>
      </c>
      <c r="BT953" s="693">
        <f>SUMIFS(Imput[[Importe Neto]:[Importe Neto]],Imput[[C. Imp.]:[C. Imp.]],$D953,Imput[[PERIODO Imp.]:[PERIODO Imp.]],BT$9)</f>
        <v>0</v>
      </c>
      <c r="BU953" s="693">
        <f>SUMIFS(Imput[[Importe Neto]:[Importe Neto]],Imput[[C. Imp.]:[C. Imp.]],$D953,Imput[[PERIODO Imp.]:[PERIODO Imp.]],BU$9)</f>
        <v>0</v>
      </c>
      <c r="BV953" s="693">
        <f>SUMIFS(Imput[[Importe Neto]:[Importe Neto]],Imput[[C. Imp.]:[C. Imp.]],$D953,Imput[[PERIODO Imp.]:[PERIODO Imp.]],BV$9)</f>
        <v>0</v>
      </c>
      <c r="BW953" s="693">
        <f>SUMIFS(Imput[[Importe Neto]:[Importe Neto]],Imput[[C. Imp.]:[C. Imp.]],$D953,Imput[[PERIODO Imp.]:[PERIODO Imp.]],BW$9)</f>
        <v>0</v>
      </c>
      <c r="BX953" s="693">
        <f>SUMIFS(Imput[[Importe Neto]:[Importe Neto]],Imput[[C. Imp.]:[C. Imp.]],$D953,Imput[[PERIODO Imp.]:[PERIODO Imp.]],BX$9)</f>
        <v>0</v>
      </c>
      <c r="BY953" s="693">
        <f>SUMIFS(Imput[[Importe Neto]:[Importe Neto]],Imput[[C. Imp.]:[C. Imp.]],$D953,Imput[[PERIODO Imp.]:[PERIODO Imp.]],BY$9)</f>
        <v>0</v>
      </c>
      <c r="BZ953" s="693">
        <f>SUMIFS(Imput[[Importe Neto]:[Importe Neto]],Imput[[C. Imp.]:[C. Imp.]],$D953,Imput[[PERIODO Imp.]:[PERIODO Imp.]],BZ$9)</f>
        <v>0</v>
      </c>
      <c r="CA953" s="693">
        <f>SUMIFS(Imput[[Importe Neto]:[Importe Neto]],Imput[[C. Imp.]:[C. Imp.]],$D953,Imput[[PERIODO Imp.]:[PERIODO Imp.]],CA$9)</f>
        <v>0</v>
      </c>
      <c r="CB953" s="693">
        <f>SUMIFS(Imput[[Importe Neto]:[Importe Neto]],Imput[[C. Imp.]:[C. Imp.]],$D953,Imput[[PERIODO Imp.]:[PERIODO Imp.]],CB$9)</f>
        <v>0</v>
      </c>
      <c r="CC953" s="693">
        <f>SUMIFS(Imput[[Importe Neto]:[Importe Neto]],Imput[[C. Imp.]:[C. Imp.]],$D953,Imput[[PERIODO Imp.]:[PERIODO Imp.]],CC$9)</f>
        <v>0</v>
      </c>
      <c r="CD953" s="693">
        <f>SUMIFS(Imput[[Importe Neto]:[Importe Neto]],Imput[[C. Imp.]:[C. Imp.]],$D953,Imput[[PERIODO Imp.]:[PERIODO Imp.]],CD$9)</f>
        <v>0</v>
      </c>
      <c r="CE953" s="693">
        <f>SUMIFS(Imput[[Importe Neto]:[Importe Neto]],Imput[[C. Imp.]:[C. Imp.]],$D953,Imput[[PERIODO Imp.]:[PERIODO Imp.]],CE$9)</f>
        <v>0</v>
      </c>
      <c r="CF953" s="693">
        <f>SUMIFS(Imput[[Importe Neto]:[Importe Neto]],Imput[[C. Imp.]:[C. Imp.]],$D953,Imput[[PERIODO Imp.]:[PERIODO Imp.]],CF$9)</f>
        <v>0</v>
      </c>
      <c r="CG953" s="693">
        <f>SUMIFS(Imput[[Importe Neto]:[Importe Neto]],Imput[[C. Imp.]:[C. Imp.]],$D953,Imput[[PERIODO Imp.]:[PERIODO Imp.]],CG$9)</f>
        <v>0</v>
      </c>
      <c r="CH953" s="693">
        <f>SUMIFS(Imput[[Importe Neto]:[Importe Neto]],Imput[[C. Imp.]:[C. Imp.]],$D953,Imput[[PERIODO Imp.]:[PERIODO Imp.]],CH$9)</f>
        <v>0</v>
      </c>
      <c r="CI953" s="693">
        <f>SUMIFS(Imput[[Importe Neto]:[Importe Neto]],Imput[[C. Imp.]:[C. Imp.]],$D953,Imput[[PERIODO Imp.]:[PERIODO Imp.]],CI$9)</f>
        <v>0</v>
      </c>
      <c r="CJ953" s="693">
        <f>SUMIFS(Imput[[Importe Neto]:[Importe Neto]],Imput[[C. Imp.]:[C. Imp.]],$D953,Imput[[PERIODO Imp.]:[PERIODO Imp.]],CJ$9)</f>
        <v>0</v>
      </c>
      <c r="CK953" s="693">
        <f>SUMIFS(Imput[[Importe Neto]:[Importe Neto]],Imput[[C. Imp.]:[C. Imp.]],$D953,Imput[[PERIODO Imp.]:[PERIODO Imp.]],CK$9)</f>
        <v>0</v>
      </c>
      <c r="CL953" s="693">
        <f>SUMIFS(Imput[[Importe Neto]:[Importe Neto]],Imput[[C. Imp.]:[C. Imp.]],$D953,Imput[[PERIODO Imp.]:[PERIODO Imp.]],CL$9)</f>
        <v>0</v>
      </c>
      <c r="CM953" s="693">
        <f>SUMIFS(Imput[[Importe Neto]:[Importe Neto]],Imput[[C. Imp.]:[C. Imp.]],$D953,Imput[[PERIODO Imp.]:[PERIODO Imp.]],CM$9)</f>
        <v>0</v>
      </c>
      <c r="CN953" s="693">
        <f>SUMIFS(Imput[[Importe Neto]:[Importe Neto]],Imput[[C. Imp.]:[C. Imp.]],$D953,Imput[[PERIODO Imp.]:[PERIODO Imp.]],CN$9)</f>
        <v>0</v>
      </c>
      <c r="CO953" s="693">
        <f>SUMIFS(Imput[[Importe Neto]:[Importe Neto]],Imput[[C. Imp.]:[C. Imp.]],$D953,Imput[[PERIODO Imp.]:[PERIODO Imp.]],CO$9)</f>
        <v>0</v>
      </c>
      <c r="CP953" s="693">
        <f>SUMIFS(Imput[[Importe Neto]:[Importe Neto]],Imput[[C. Imp.]:[C. Imp.]],$D953,Imput[[PERIODO Imp.]:[PERIODO Imp.]],CP$9)</f>
        <v>0</v>
      </c>
      <c r="CQ953" s="693">
        <f>SUMIFS(Imput[[Importe Neto]:[Importe Neto]],Imput[[C. Imp.]:[C. Imp.]],$D953,Imput[[PERIODO Imp.]:[PERIODO Imp.]],CQ$9)</f>
        <v>0</v>
      </c>
      <c r="CR953" s="693">
        <f>SUMIFS(Imput[[Importe Neto]:[Importe Neto]],Imput[[C. Imp.]:[C. Imp.]],$D953,Imput[[PERIODO Imp.]:[PERIODO Imp.]],CR$9)</f>
        <v>0</v>
      </c>
      <c r="CS953" s="693">
        <f>SUMIFS(Imput[[Importe Neto]:[Importe Neto]],Imput[[C. Imp.]:[C. Imp.]],$D953,Imput[[PERIODO Imp.]:[PERIODO Imp.]],CS$9)</f>
        <v>0</v>
      </c>
      <c r="CT953" s="693">
        <f>SUMIFS(Imput[[Importe Neto]:[Importe Neto]],Imput[[C. Imp.]:[C. Imp.]],$D953,Imput[[PERIODO Imp.]:[PERIODO Imp.]],CT$9)</f>
        <v>0</v>
      </c>
      <c r="CU953" s="693">
        <f>SUMIFS(Imput[[Importe Neto]:[Importe Neto]],Imput[[C. Imp.]:[C. Imp.]],$D953,Imput[[PERIODO Imp.]:[PERIODO Imp.]],CU$9)</f>
        <v>0</v>
      </c>
      <c r="CV953" s="693">
        <f>SUMIFS(Imput[[Importe Neto]:[Importe Neto]],Imput[[C. Imp.]:[C. Imp.]],$D953,Imput[[PERIODO Imp.]:[PERIODO Imp.]],CV$9)</f>
        <v>0</v>
      </c>
      <c r="CW953" s="693">
        <f>SUMIFS(Imput[[Importe Neto]:[Importe Neto]],Imput[[C. Imp.]:[C. Imp.]],$D953,Imput[[PERIODO Imp.]:[PERIODO Imp.]],CW$9)</f>
        <v>0</v>
      </c>
      <c r="CX953" s="693">
        <f>SUMIFS(Imput[[Importe Neto]:[Importe Neto]],Imput[[C. Imp.]:[C. Imp.]],$D953,Imput[[PERIODO Imp.]:[PERIODO Imp.]],CX$9)</f>
        <v>0</v>
      </c>
      <c r="CY953" s="693">
        <f>SUMIFS(Imput[[Importe Neto]:[Importe Neto]],Imput[[C. Imp.]:[C. Imp.]],$D953,Imput[[PERIODO Imp.]:[PERIODO Imp.]],CY$9)</f>
        <v>0</v>
      </c>
      <c r="CZ953" s="693">
        <f>SUMIFS(Imput[[Importe Neto]:[Importe Neto]],Imput[[C. Imp.]:[C. Imp.]],$D953,Imput[[PERIODO Imp.]:[PERIODO Imp.]],CZ$9)</f>
        <v>0</v>
      </c>
      <c r="DA953" s="693">
        <f>SUMIFS(Imput[[Importe Neto]:[Importe Neto]],Imput[[C. Imp.]:[C. Imp.]],$D953,Imput[[PERIODO Imp.]:[PERIODO Imp.]],DA$9)</f>
        <v>0</v>
      </c>
      <c r="DB953" s="693">
        <f>SUMIFS(Imput[[Importe Neto]:[Importe Neto]],Imput[[C. Imp.]:[C. Imp.]],$D953,Imput[[PERIODO Imp.]:[PERIODO Imp.]],DB$9)</f>
        <v>0</v>
      </c>
      <c r="DC953" s="693">
        <f>SUMIFS(Imput[[Importe Neto]:[Importe Neto]],Imput[[C. Imp.]:[C. Imp.]],$D953,Imput[[PERIODO Imp.]:[PERIODO Imp.]],DC$9)</f>
        <v>0</v>
      </c>
      <c r="DD953" s="693">
        <f>SUMIFS(Imput[[Importe Neto]:[Importe Neto]],Imput[[C. Imp.]:[C. Imp.]],$D953,Imput[[PERIODO Imp.]:[PERIODO Imp.]],DD$9)</f>
        <v>0</v>
      </c>
      <c r="DE953" s="693">
        <f>SUMIFS(Imput[[Importe Neto]:[Importe Neto]],Imput[[C. Imp.]:[C. Imp.]],$D953,Imput[[PERIODO Imp.]:[PERIODO Imp.]],DE$9)</f>
        <v>0</v>
      </c>
      <c r="DF953" s="693">
        <f>SUMIFS(Imput[[Importe Neto]:[Importe Neto]],Imput[[C. Imp.]:[C. Imp.]],$D953,Imput[[PERIODO Imp.]:[PERIODO Imp.]],DF$9)</f>
        <v>0</v>
      </c>
      <c r="DG953" s="693">
        <f>SUMIFS(Imput[[Importe Neto]:[Importe Neto]],Imput[[C. Imp.]:[C. Imp.]],$D953,Imput[[PERIODO Imp.]:[PERIODO Imp.]],DG$9)</f>
        <v>0</v>
      </c>
      <c r="DH953" s="694">
        <f>SUMIFS(Imput[[Importe Neto]:[Importe Neto]],Imput[[C. Imp.]:[C. Imp.]],$D953,Imput[[PERIODO Imp.]:[PERIODO Imp.]],DH$9)</f>
        <v>0</v>
      </c>
    </row>
    <row r="954" spans="1:112" s="649" customFormat="1" hidden="1" outlineLevel="1" x14ac:dyDescent="0.3">
      <c r="A954" s="652" t="str">
        <f t="shared" si="328"/>
        <v/>
      </c>
      <c r="B954" s="652"/>
      <c r="C954" s="685"/>
      <c r="D954" s="686" t="s">
        <v>2906</v>
      </c>
      <c r="E954" s="686"/>
      <c r="F954" s="737"/>
      <c r="G954" s="688"/>
      <c r="H954" s="696"/>
      <c r="I954" s="851" t="str">
        <f>IF(E954&gt;0,$J$5,"")</f>
        <v/>
      </c>
      <c r="J954" s="517" t="str">
        <f t="shared" si="329"/>
        <v/>
      </c>
      <c r="K954" s="667"/>
      <c r="L954" s="858"/>
      <c r="M954" s="859"/>
      <c r="N954" s="859"/>
      <c r="O954" s="859"/>
      <c r="P954" s="859"/>
      <c r="Q954" s="859"/>
      <c r="R954" s="859"/>
      <c r="S954" s="859"/>
      <c r="T954" s="859"/>
      <c r="U954" s="859"/>
      <c r="V954" s="859"/>
      <c r="W954" s="859"/>
      <c r="X954" s="859"/>
      <c r="Y954" s="859"/>
      <c r="Z954" s="860"/>
      <c r="AA954" s="860"/>
      <c r="AB954" s="860"/>
      <c r="AC954" s="860"/>
      <c r="AD954" s="860"/>
      <c r="AE954" s="860"/>
      <c r="AF954" s="860"/>
      <c r="AG954" s="860"/>
      <c r="AH954" s="860"/>
      <c r="AI954" s="860"/>
      <c r="AJ954" s="860"/>
      <c r="AK954" s="860"/>
      <c r="AL954" s="860"/>
      <c r="AM954" s="860"/>
      <c r="AN954" s="860"/>
      <c r="AO954" s="860"/>
      <c r="AP954" s="860"/>
      <c r="AQ954" s="860"/>
      <c r="AR954" s="860"/>
      <c r="AS954" s="860"/>
      <c r="AT954" s="860"/>
      <c r="AU954" s="860"/>
      <c r="AV954" s="860"/>
      <c r="AW954" s="860"/>
      <c r="AX954" s="860"/>
      <c r="AY954" s="860"/>
      <c r="AZ954" s="860"/>
      <c r="BA954" s="860"/>
      <c r="BB954" s="860"/>
      <c r="BC954" s="860"/>
      <c r="BD954" s="860"/>
      <c r="BE954" s="860"/>
      <c r="BF954" s="860"/>
      <c r="BG954" s="860"/>
      <c r="BH954" s="668"/>
      <c r="BI954" s="654"/>
      <c r="BJ954" s="690">
        <f>IFERROR(BK954/J954,0)</f>
        <v>0</v>
      </c>
      <c r="BK954" s="691">
        <f>SUM(BM954:DH954)</f>
        <v>0</v>
      </c>
      <c r="BL954" s="654"/>
      <c r="BM954" s="692">
        <f>SUMIFS(Imput[[Importe Neto]:[Importe Neto]],Imput[[C. Imp.]:[C. Imp.]],$D954,Imput[[PERIODO Imp.]:[PERIODO Imp.]],BM$9)</f>
        <v>0</v>
      </c>
      <c r="BN954" s="693">
        <f>SUMIFS(Imput[[Importe Neto]:[Importe Neto]],Imput[[C. Imp.]:[C. Imp.]],$D954,Imput[[PERIODO Imp.]:[PERIODO Imp.]],BN$9)</f>
        <v>0</v>
      </c>
      <c r="BO954" s="693">
        <f>SUMIFS(Imput[[Importe Neto]:[Importe Neto]],Imput[[C. Imp.]:[C. Imp.]],$D954,Imput[[PERIODO Imp.]:[PERIODO Imp.]],BO$9)</f>
        <v>0</v>
      </c>
      <c r="BP954" s="693">
        <f>SUMIFS(Imput[[Importe Neto]:[Importe Neto]],Imput[[C. Imp.]:[C. Imp.]],$D954,Imput[[PERIODO Imp.]:[PERIODO Imp.]],BP$9)</f>
        <v>0</v>
      </c>
      <c r="BQ954" s="693">
        <f>SUMIFS(Imput[[Importe Neto]:[Importe Neto]],Imput[[C. Imp.]:[C. Imp.]],$D954,Imput[[PERIODO Imp.]:[PERIODO Imp.]],BQ$9)</f>
        <v>0</v>
      </c>
      <c r="BR954" s="693">
        <f>SUMIFS(Imput[[Importe Neto]:[Importe Neto]],Imput[[C. Imp.]:[C. Imp.]],$D954,Imput[[PERIODO Imp.]:[PERIODO Imp.]],BR$9)</f>
        <v>0</v>
      </c>
      <c r="BS954" s="693">
        <f>SUMIFS(Imput[[Importe Neto]:[Importe Neto]],Imput[[C. Imp.]:[C. Imp.]],$D954,Imput[[PERIODO Imp.]:[PERIODO Imp.]],BS$9)</f>
        <v>0</v>
      </c>
      <c r="BT954" s="693">
        <f>SUMIFS(Imput[[Importe Neto]:[Importe Neto]],Imput[[C. Imp.]:[C. Imp.]],$D954,Imput[[PERIODO Imp.]:[PERIODO Imp.]],BT$9)</f>
        <v>0</v>
      </c>
      <c r="BU954" s="693">
        <f>SUMIFS(Imput[[Importe Neto]:[Importe Neto]],Imput[[C. Imp.]:[C. Imp.]],$D954,Imput[[PERIODO Imp.]:[PERIODO Imp.]],BU$9)</f>
        <v>0</v>
      </c>
      <c r="BV954" s="693">
        <f>SUMIFS(Imput[[Importe Neto]:[Importe Neto]],Imput[[C. Imp.]:[C. Imp.]],$D954,Imput[[PERIODO Imp.]:[PERIODO Imp.]],BV$9)</f>
        <v>0</v>
      </c>
      <c r="BW954" s="693">
        <f>SUMIFS(Imput[[Importe Neto]:[Importe Neto]],Imput[[C. Imp.]:[C. Imp.]],$D954,Imput[[PERIODO Imp.]:[PERIODO Imp.]],BW$9)</f>
        <v>0</v>
      </c>
      <c r="BX954" s="693">
        <f>SUMIFS(Imput[[Importe Neto]:[Importe Neto]],Imput[[C. Imp.]:[C. Imp.]],$D954,Imput[[PERIODO Imp.]:[PERIODO Imp.]],BX$9)</f>
        <v>0</v>
      </c>
      <c r="BY954" s="693">
        <f>SUMIFS(Imput[[Importe Neto]:[Importe Neto]],Imput[[C. Imp.]:[C. Imp.]],$D954,Imput[[PERIODO Imp.]:[PERIODO Imp.]],BY$9)</f>
        <v>0</v>
      </c>
      <c r="BZ954" s="693">
        <f>SUMIFS(Imput[[Importe Neto]:[Importe Neto]],Imput[[C. Imp.]:[C. Imp.]],$D954,Imput[[PERIODO Imp.]:[PERIODO Imp.]],BZ$9)</f>
        <v>0</v>
      </c>
      <c r="CA954" s="693">
        <f>SUMIFS(Imput[[Importe Neto]:[Importe Neto]],Imput[[C. Imp.]:[C. Imp.]],$D954,Imput[[PERIODO Imp.]:[PERIODO Imp.]],CA$9)</f>
        <v>0</v>
      </c>
      <c r="CB954" s="693">
        <f>SUMIFS(Imput[[Importe Neto]:[Importe Neto]],Imput[[C. Imp.]:[C. Imp.]],$D954,Imput[[PERIODO Imp.]:[PERIODO Imp.]],CB$9)</f>
        <v>0</v>
      </c>
      <c r="CC954" s="693">
        <f>SUMIFS(Imput[[Importe Neto]:[Importe Neto]],Imput[[C. Imp.]:[C. Imp.]],$D954,Imput[[PERIODO Imp.]:[PERIODO Imp.]],CC$9)</f>
        <v>0</v>
      </c>
      <c r="CD954" s="693">
        <f>SUMIFS(Imput[[Importe Neto]:[Importe Neto]],Imput[[C. Imp.]:[C. Imp.]],$D954,Imput[[PERIODO Imp.]:[PERIODO Imp.]],CD$9)</f>
        <v>0</v>
      </c>
      <c r="CE954" s="693">
        <f>SUMIFS(Imput[[Importe Neto]:[Importe Neto]],Imput[[C. Imp.]:[C. Imp.]],$D954,Imput[[PERIODO Imp.]:[PERIODO Imp.]],CE$9)</f>
        <v>0</v>
      </c>
      <c r="CF954" s="693">
        <f>SUMIFS(Imput[[Importe Neto]:[Importe Neto]],Imput[[C. Imp.]:[C. Imp.]],$D954,Imput[[PERIODO Imp.]:[PERIODO Imp.]],CF$9)</f>
        <v>0</v>
      </c>
      <c r="CG954" s="693">
        <f>SUMIFS(Imput[[Importe Neto]:[Importe Neto]],Imput[[C. Imp.]:[C. Imp.]],$D954,Imput[[PERIODO Imp.]:[PERIODO Imp.]],CG$9)</f>
        <v>0</v>
      </c>
      <c r="CH954" s="693">
        <f>SUMIFS(Imput[[Importe Neto]:[Importe Neto]],Imput[[C. Imp.]:[C. Imp.]],$D954,Imput[[PERIODO Imp.]:[PERIODO Imp.]],CH$9)</f>
        <v>0</v>
      </c>
      <c r="CI954" s="693">
        <f>SUMIFS(Imput[[Importe Neto]:[Importe Neto]],Imput[[C. Imp.]:[C. Imp.]],$D954,Imput[[PERIODO Imp.]:[PERIODO Imp.]],CI$9)</f>
        <v>0</v>
      </c>
      <c r="CJ954" s="693">
        <f>SUMIFS(Imput[[Importe Neto]:[Importe Neto]],Imput[[C. Imp.]:[C. Imp.]],$D954,Imput[[PERIODO Imp.]:[PERIODO Imp.]],CJ$9)</f>
        <v>0</v>
      </c>
      <c r="CK954" s="693">
        <f>SUMIFS(Imput[[Importe Neto]:[Importe Neto]],Imput[[C. Imp.]:[C. Imp.]],$D954,Imput[[PERIODO Imp.]:[PERIODO Imp.]],CK$9)</f>
        <v>0</v>
      </c>
      <c r="CL954" s="693">
        <f>SUMIFS(Imput[[Importe Neto]:[Importe Neto]],Imput[[C. Imp.]:[C. Imp.]],$D954,Imput[[PERIODO Imp.]:[PERIODO Imp.]],CL$9)</f>
        <v>0</v>
      </c>
      <c r="CM954" s="693">
        <f>SUMIFS(Imput[[Importe Neto]:[Importe Neto]],Imput[[C. Imp.]:[C. Imp.]],$D954,Imput[[PERIODO Imp.]:[PERIODO Imp.]],CM$9)</f>
        <v>0</v>
      </c>
      <c r="CN954" s="693">
        <f>SUMIFS(Imput[[Importe Neto]:[Importe Neto]],Imput[[C. Imp.]:[C. Imp.]],$D954,Imput[[PERIODO Imp.]:[PERIODO Imp.]],CN$9)</f>
        <v>0</v>
      </c>
      <c r="CO954" s="693">
        <f>SUMIFS(Imput[[Importe Neto]:[Importe Neto]],Imput[[C. Imp.]:[C. Imp.]],$D954,Imput[[PERIODO Imp.]:[PERIODO Imp.]],CO$9)</f>
        <v>0</v>
      </c>
      <c r="CP954" s="693">
        <f>SUMIFS(Imput[[Importe Neto]:[Importe Neto]],Imput[[C. Imp.]:[C. Imp.]],$D954,Imput[[PERIODO Imp.]:[PERIODO Imp.]],CP$9)</f>
        <v>0</v>
      </c>
      <c r="CQ954" s="693">
        <f>SUMIFS(Imput[[Importe Neto]:[Importe Neto]],Imput[[C. Imp.]:[C. Imp.]],$D954,Imput[[PERIODO Imp.]:[PERIODO Imp.]],CQ$9)</f>
        <v>0</v>
      </c>
      <c r="CR954" s="693">
        <f>SUMIFS(Imput[[Importe Neto]:[Importe Neto]],Imput[[C. Imp.]:[C. Imp.]],$D954,Imput[[PERIODO Imp.]:[PERIODO Imp.]],CR$9)</f>
        <v>0</v>
      </c>
      <c r="CS954" s="693">
        <f>SUMIFS(Imput[[Importe Neto]:[Importe Neto]],Imput[[C. Imp.]:[C. Imp.]],$D954,Imput[[PERIODO Imp.]:[PERIODO Imp.]],CS$9)</f>
        <v>0</v>
      </c>
      <c r="CT954" s="693">
        <f>SUMIFS(Imput[[Importe Neto]:[Importe Neto]],Imput[[C. Imp.]:[C. Imp.]],$D954,Imput[[PERIODO Imp.]:[PERIODO Imp.]],CT$9)</f>
        <v>0</v>
      </c>
      <c r="CU954" s="693">
        <f>SUMIFS(Imput[[Importe Neto]:[Importe Neto]],Imput[[C. Imp.]:[C. Imp.]],$D954,Imput[[PERIODO Imp.]:[PERIODO Imp.]],CU$9)</f>
        <v>0</v>
      </c>
      <c r="CV954" s="693">
        <f>SUMIFS(Imput[[Importe Neto]:[Importe Neto]],Imput[[C. Imp.]:[C. Imp.]],$D954,Imput[[PERIODO Imp.]:[PERIODO Imp.]],CV$9)</f>
        <v>0</v>
      </c>
      <c r="CW954" s="693">
        <f>SUMIFS(Imput[[Importe Neto]:[Importe Neto]],Imput[[C. Imp.]:[C. Imp.]],$D954,Imput[[PERIODO Imp.]:[PERIODO Imp.]],CW$9)</f>
        <v>0</v>
      </c>
      <c r="CX954" s="693">
        <f>SUMIFS(Imput[[Importe Neto]:[Importe Neto]],Imput[[C. Imp.]:[C. Imp.]],$D954,Imput[[PERIODO Imp.]:[PERIODO Imp.]],CX$9)</f>
        <v>0</v>
      </c>
      <c r="CY954" s="693">
        <f>SUMIFS(Imput[[Importe Neto]:[Importe Neto]],Imput[[C. Imp.]:[C. Imp.]],$D954,Imput[[PERIODO Imp.]:[PERIODO Imp.]],CY$9)</f>
        <v>0</v>
      </c>
      <c r="CZ954" s="693">
        <f>SUMIFS(Imput[[Importe Neto]:[Importe Neto]],Imput[[C. Imp.]:[C. Imp.]],$D954,Imput[[PERIODO Imp.]:[PERIODO Imp.]],CZ$9)</f>
        <v>0</v>
      </c>
      <c r="DA954" s="693">
        <f>SUMIFS(Imput[[Importe Neto]:[Importe Neto]],Imput[[C. Imp.]:[C. Imp.]],$D954,Imput[[PERIODO Imp.]:[PERIODO Imp.]],DA$9)</f>
        <v>0</v>
      </c>
      <c r="DB954" s="693">
        <f>SUMIFS(Imput[[Importe Neto]:[Importe Neto]],Imput[[C. Imp.]:[C. Imp.]],$D954,Imput[[PERIODO Imp.]:[PERIODO Imp.]],DB$9)</f>
        <v>0</v>
      </c>
      <c r="DC954" s="693">
        <f>SUMIFS(Imput[[Importe Neto]:[Importe Neto]],Imput[[C. Imp.]:[C. Imp.]],$D954,Imput[[PERIODO Imp.]:[PERIODO Imp.]],DC$9)</f>
        <v>0</v>
      </c>
      <c r="DD954" s="693">
        <f>SUMIFS(Imput[[Importe Neto]:[Importe Neto]],Imput[[C. Imp.]:[C. Imp.]],$D954,Imput[[PERIODO Imp.]:[PERIODO Imp.]],DD$9)</f>
        <v>0</v>
      </c>
      <c r="DE954" s="693">
        <f>SUMIFS(Imput[[Importe Neto]:[Importe Neto]],Imput[[C. Imp.]:[C. Imp.]],$D954,Imput[[PERIODO Imp.]:[PERIODO Imp.]],DE$9)</f>
        <v>0</v>
      </c>
      <c r="DF954" s="693">
        <f>SUMIFS(Imput[[Importe Neto]:[Importe Neto]],Imput[[C. Imp.]:[C. Imp.]],$D954,Imput[[PERIODO Imp.]:[PERIODO Imp.]],DF$9)</f>
        <v>0</v>
      </c>
      <c r="DG954" s="693">
        <f>SUMIFS(Imput[[Importe Neto]:[Importe Neto]],Imput[[C. Imp.]:[C. Imp.]],$D954,Imput[[PERIODO Imp.]:[PERIODO Imp.]],DG$9)</f>
        <v>0</v>
      </c>
      <c r="DH954" s="694">
        <f>SUMIFS(Imput[[Importe Neto]:[Importe Neto]],Imput[[C. Imp.]:[C. Imp.]],$D954,Imput[[PERIODO Imp.]:[PERIODO Imp.]],DH$9)</f>
        <v>0</v>
      </c>
    </row>
    <row r="955" spans="1:112" s="649" customFormat="1" ht="14.4" hidden="1" outlineLevel="1" thickBot="1" x14ac:dyDescent="0.35">
      <c r="A955" s="652" t="str">
        <f>IF(J949&gt;0,"Imprimir","")</f>
        <v/>
      </c>
      <c r="B955" s="652"/>
      <c r="C955" s="699"/>
      <c r="D955" s="700"/>
      <c r="E955" s="700"/>
      <c r="F955" s="701"/>
      <c r="G955" s="702"/>
      <c r="H955" s="701"/>
      <c r="I955" s="704"/>
      <c r="J955" s="120"/>
      <c r="K955" s="667"/>
      <c r="L955" s="706"/>
      <c r="M955" s="707"/>
      <c r="N955" s="777"/>
      <c r="O955" s="777"/>
      <c r="P955" s="778"/>
      <c r="Q955" s="778"/>
      <c r="R955" s="708"/>
      <c r="S955" s="708"/>
      <c r="T955" s="779"/>
      <c r="U955" s="779"/>
      <c r="V955" s="778"/>
      <c r="W955" s="778"/>
      <c r="X955" s="708"/>
      <c r="Y955" s="708"/>
      <c r="Z955" s="708"/>
      <c r="AA955" s="708"/>
      <c r="AB955" s="708"/>
      <c r="AC955" s="708"/>
      <c r="AD955" s="708"/>
      <c r="AE955" s="708"/>
      <c r="AF955" s="708"/>
      <c r="AG955" s="708"/>
      <c r="AH955" s="708"/>
      <c r="AI955" s="708"/>
      <c r="AJ955" s="708"/>
      <c r="AK955" s="708"/>
      <c r="AL955" s="708"/>
      <c r="AM955" s="708"/>
      <c r="AN955" s="708"/>
      <c r="AO955" s="708"/>
      <c r="AP955" s="708"/>
      <c r="AQ955" s="708"/>
      <c r="AR955" s="708"/>
      <c r="AS955" s="708"/>
      <c r="AT955" s="708"/>
      <c r="AU955" s="708"/>
      <c r="AV955" s="708"/>
      <c r="AW955" s="708"/>
      <c r="AX955" s="708"/>
      <c r="AY955" s="708"/>
      <c r="AZ955" s="708"/>
      <c r="BA955" s="708"/>
      <c r="BB955" s="708"/>
      <c r="BC955" s="708"/>
      <c r="BD955" s="708"/>
      <c r="BE955" s="708"/>
      <c r="BF955" s="708"/>
      <c r="BG955" s="708"/>
      <c r="BH955" s="781"/>
      <c r="BI955" s="654"/>
      <c r="BJ955" s="709"/>
      <c r="BK955" s="710"/>
      <c r="BL955" s="654"/>
      <c r="BM955" s="731"/>
      <c r="BN955" s="701"/>
      <c r="BO955" s="701"/>
      <c r="BP955" s="701"/>
      <c r="BQ955" s="701"/>
      <c r="BR955" s="701"/>
      <c r="BS955" s="701"/>
      <c r="BT955" s="701"/>
      <c r="BU955" s="701"/>
      <c r="BV955" s="701"/>
      <c r="BW955" s="701"/>
      <c r="BX955" s="701"/>
      <c r="BY955" s="701"/>
      <c r="BZ955" s="701"/>
      <c r="CA955" s="701"/>
      <c r="CB955" s="701"/>
      <c r="CC955" s="701"/>
      <c r="CD955" s="701"/>
      <c r="CE955" s="701"/>
      <c r="CF955" s="701"/>
      <c r="CG955" s="701"/>
      <c r="CH955" s="701"/>
      <c r="CI955" s="701"/>
      <c r="CJ955" s="701"/>
      <c r="CK955" s="701"/>
      <c r="CL955" s="701"/>
      <c r="CM955" s="701"/>
      <c r="CN955" s="701"/>
      <c r="CO955" s="701"/>
      <c r="CP955" s="701"/>
      <c r="CQ955" s="701"/>
      <c r="CR955" s="701"/>
      <c r="CS955" s="701"/>
      <c r="CT955" s="701"/>
      <c r="CU955" s="701"/>
      <c r="CV955" s="701"/>
      <c r="CW955" s="701"/>
      <c r="CX955" s="701"/>
      <c r="CY955" s="701"/>
      <c r="CZ955" s="701"/>
      <c r="DA955" s="701"/>
      <c r="DB955" s="701"/>
      <c r="DC955" s="701"/>
      <c r="DD955" s="701"/>
      <c r="DE955" s="701"/>
      <c r="DF955" s="701"/>
      <c r="DG955" s="701"/>
      <c r="DH955" s="710"/>
    </row>
    <row r="956" spans="1:112" s="66" customFormat="1" ht="14.4" collapsed="1" thickBot="1" x14ac:dyDescent="0.35">
      <c r="A956" s="652" t="s">
        <v>516</v>
      </c>
      <c r="B956" s="652"/>
      <c r="C956" s="654"/>
      <c r="D956" s="654"/>
      <c r="E956" s="654"/>
      <c r="F956" s="654"/>
      <c r="G956" s="654"/>
      <c r="H956" s="654"/>
      <c r="I956" s="738"/>
      <c r="J956" s="68"/>
      <c r="K956" s="667"/>
      <c r="L956" s="782"/>
      <c r="M956" s="782"/>
      <c r="N956" s="782"/>
      <c r="O956" s="782"/>
      <c r="P956" s="782"/>
      <c r="Q956" s="782"/>
      <c r="R956" s="782"/>
      <c r="S956" s="782"/>
      <c r="T956" s="782"/>
      <c r="U956" s="782"/>
      <c r="V956" s="782"/>
      <c r="W956" s="782"/>
      <c r="X956" s="782"/>
      <c r="Y956" s="782"/>
      <c r="Z956" s="782"/>
      <c r="AA956" s="782"/>
      <c r="AB956" s="782"/>
      <c r="AC956" s="782"/>
      <c r="AD956" s="782"/>
      <c r="AE956" s="782"/>
      <c r="AF956" s="782"/>
      <c r="AG956" s="782"/>
      <c r="AH956" s="782"/>
      <c r="AI956" s="782"/>
      <c r="AJ956" s="782"/>
      <c r="AK956" s="782"/>
      <c r="AL956" s="782"/>
      <c r="AM956" s="782"/>
      <c r="AN956" s="782"/>
      <c r="AO956" s="782"/>
      <c r="AP956" s="782"/>
      <c r="AQ956" s="782"/>
      <c r="AR956" s="782"/>
      <c r="AS956" s="782"/>
      <c r="AT956" s="782"/>
      <c r="AU956" s="782"/>
      <c r="AV956" s="782"/>
      <c r="AW956" s="782"/>
      <c r="AX956" s="782"/>
      <c r="AY956" s="782"/>
      <c r="AZ956" s="782"/>
      <c r="BA956" s="782"/>
      <c r="BB956" s="782"/>
      <c r="BC956" s="782"/>
      <c r="BD956" s="782"/>
      <c r="BE956" s="782"/>
      <c r="BF956" s="782"/>
      <c r="BG956" s="782"/>
      <c r="BH956" s="667"/>
      <c r="BI956" s="654"/>
      <c r="BJ956" s="652"/>
      <c r="BK956" s="652"/>
      <c r="BL956" s="654"/>
      <c r="BM956" s="652"/>
      <c r="BN956" s="652"/>
      <c r="BO956" s="652"/>
      <c r="BP956" s="652"/>
      <c r="BQ956" s="652"/>
      <c r="BR956" s="652"/>
      <c r="BS956" s="652"/>
      <c r="BT956" s="652"/>
      <c r="BU956" s="652"/>
      <c r="BV956" s="652"/>
      <c r="BW956" s="652"/>
      <c r="BX956" s="652"/>
      <c r="BY956" s="652"/>
      <c r="BZ956" s="652"/>
      <c r="CA956" s="652"/>
      <c r="CB956" s="652"/>
      <c r="CC956" s="652"/>
      <c r="CD956" s="652"/>
      <c r="CE956" s="652"/>
      <c r="CF956" s="652"/>
      <c r="CG956" s="652"/>
      <c r="CH956" s="652"/>
      <c r="CI956" s="652"/>
      <c r="CJ956" s="652"/>
      <c r="CK956" s="652"/>
      <c r="CL956" s="652"/>
      <c r="CM956" s="652"/>
      <c r="CN956" s="652"/>
      <c r="CO956" s="652"/>
      <c r="CP956" s="652"/>
      <c r="CQ956" s="652"/>
      <c r="CR956" s="652"/>
      <c r="CS956" s="652"/>
      <c r="CT956" s="652"/>
      <c r="CU956" s="652"/>
      <c r="CV956" s="652"/>
      <c r="CW956" s="652"/>
      <c r="CX956" s="652"/>
      <c r="CY956" s="652"/>
      <c r="CZ956" s="652"/>
      <c r="DA956" s="652"/>
      <c r="DB956" s="652"/>
      <c r="DC956" s="652"/>
      <c r="DD956" s="652"/>
      <c r="DE956" s="652"/>
      <c r="DF956" s="652"/>
      <c r="DG956" s="652"/>
      <c r="DH956" s="652"/>
    </row>
    <row r="957" spans="1:112" s="66" customFormat="1" ht="25.8" thickBot="1" x14ac:dyDescent="0.35">
      <c r="A957" s="652" t="str">
        <f>IF(J957&gt;0,"Imprimir","")</f>
        <v>Imprimir</v>
      </c>
      <c r="B957" s="652"/>
      <c r="C957" s="841" t="s">
        <v>3305</v>
      </c>
      <c r="D957" s="648"/>
      <c r="E957" s="739"/>
      <c r="F957" s="648"/>
      <c r="G957" s="648"/>
      <c r="H957" s="648"/>
      <c r="I957" s="648"/>
      <c r="J957" s="749">
        <f>SUBTOTAL(9,J958:J1193)</f>
        <v>130571.42857142857</v>
      </c>
      <c r="K957" s="653"/>
      <c r="L957" s="790">
        <f t="shared" ref="L957:BG957" si="330">SUBTOTAL(9,L958:L1194)</f>
        <v>29873.728571428561</v>
      </c>
      <c r="M957" s="791">
        <f t="shared" si="330"/>
        <v>0</v>
      </c>
      <c r="N957" s="791">
        <f t="shared" si="330"/>
        <v>3907.4428571428589</v>
      </c>
      <c r="O957" s="791">
        <f t="shared" si="330"/>
        <v>0</v>
      </c>
      <c r="P957" s="791">
        <f t="shared" si="330"/>
        <v>3907.4428571428589</v>
      </c>
      <c r="Q957" s="791">
        <f t="shared" si="330"/>
        <v>0</v>
      </c>
      <c r="R957" s="791">
        <f t="shared" si="330"/>
        <v>4550.3500000000022</v>
      </c>
      <c r="S957" s="791">
        <f t="shared" si="330"/>
        <v>0</v>
      </c>
      <c r="T957" s="791">
        <f t="shared" si="330"/>
        <v>4550.3500000000022</v>
      </c>
      <c r="U957" s="791">
        <f t="shared" si="330"/>
        <v>0</v>
      </c>
      <c r="V957" s="791">
        <f t="shared" si="330"/>
        <v>4550.3500000000022</v>
      </c>
      <c r="W957" s="791">
        <f t="shared" si="330"/>
        <v>0</v>
      </c>
      <c r="X957" s="791">
        <f t="shared" si="330"/>
        <v>4550.3500000000022</v>
      </c>
      <c r="Y957" s="791">
        <f t="shared" si="330"/>
        <v>0</v>
      </c>
      <c r="Z957" s="791">
        <f t="shared" si="330"/>
        <v>4550.3500000000022</v>
      </c>
      <c r="AA957" s="791">
        <f t="shared" si="330"/>
        <v>0</v>
      </c>
      <c r="AB957" s="791">
        <f t="shared" si="330"/>
        <v>4550.3500000000022</v>
      </c>
      <c r="AC957" s="791">
        <f t="shared" si="330"/>
        <v>0</v>
      </c>
      <c r="AD957" s="791">
        <f t="shared" si="330"/>
        <v>4550.3500000000022</v>
      </c>
      <c r="AE957" s="791">
        <f t="shared" si="330"/>
        <v>0</v>
      </c>
      <c r="AF957" s="791">
        <f t="shared" si="330"/>
        <v>4550.3500000000022</v>
      </c>
      <c r="AG957" s="791">
        <f t="shared" si="330"/>
        <v>0</v>
      </c>
      <c r="AH957" s="791">
        <f t="shared" si="330"/>
        <v>3907.4428571428589</v>
      </c>
      <c r="AI957" s="791">
        <f t="shared" si="330"/>
        <v>0</v>
      </c>
      <c r="AJ957" s="791">
        <f t="shared" si="330"/>
        <v>13008.142857142853</v>
      </c>
      <c r="AK957" s="791">
        <f t="shared" si="330"/>
        <v>0</v>
      </c>
      <c r="AL957" s="791">
        <f t="shared" si="330"/>
        <v>0</v>
      </c>
      <c r="AM957" s="791">
        <f t="shared" si="330"/>
        <v>0</v>
      </c>
      <c r="AN957" s="791">
        <f t="shared" si="330"/>
        <v>0</v>
      </c>
      <c r="AO957" s="791">
        <f t="shared" si="330"/>
        <v>0</v>
      </c>
      <c r="AP957" s="791">
        <f t="shared" si="330"/>
        <v>0</v>
      </c>
      <c r="AQ957" s="791">
        <f t="shared" si="330"/>
        <v>0</v>
      </c>
      <c r="AR957" s="791">
        <f t="shared" si="330"/>
        <v>0</v>
      </c>
      <c r="AS957" s="791">
        <f t="shared" si="330"/>
        <v>0</v>
      </c>
      <c r="AT957" s="791">
        <f t="shared" si="330"/>
        <v>0</v>
      </c>
      <c r="AU957" s="791">
        <f t="shared" si="330"/>
        <v>0</v>
      </c>
      <c r="AV957" s="791">
        <f t="shared" si="330"/>
        <v>0</v>
      </c>
      <c r="AW957" s="791">
        <f t="shared" si="330"/>
        <v>0</v>
      </c>
      <c r="AX957" s="791">
        <f t="shared" si="330"/>
        <v>0</v>
      </c>
      <c r="AY957" s="791">
        <f t="shared" si="330"/>
        <v>0</v>
      </c>
      <c r="AZ957" s="791">
        <f t="shared" si="330"/>
        <v>0</v>
      </c>
      <c r="BA957" s="791">
        <f t="shared" si="330"/>
        <v>0</v>
      </c>
      <c r="BB957" s="791">
        <f t="shared" si="330"/>
        <v>0</v>
      </c>
      <c r="BC957" s="791">
        <f t="shared" si="330"/>
        <v>0</v>
      </c>
      <c r="BD957" s="791">
        <f t="shared" si="330"/>
        <v>0</v>
      </c>
      <c r="BE957" s="791">
        <f t="shared" si="330"/>
        <v>0</v>
      </c>
      <c r="BF957" s="791">
        <f t="shared" si="330"/>
        <v>0</v>
      </c>
      <c r="BG957" s="791">
        <f t="shared" si="330"/>
        <v>0</v>
      </c>
      <c r="BH957" s="798"/>
      <c r="BI957" s="654"/>
      <c r="BJ957" s="740"/>
      <c r="BK957" s="749">
        <f>SUBTOTAL(9,BK958:BK1193)</f>
        <v>0</v>
      </c>
      <c r="BL957" s="654"/>
      <c r="BM957" s="794">
        <f t="shared" ref="BM957:DH957" si="331">SUBTOTAL(9,BM958:BM1193)</f>
        <v>0</v>
      </c>
      <c r="BN957" s="793">
        <f t="shared" si="331"/>
        <v>0</v>
      </c>
      <c r="BO957" s="793">
        <f t="shared" si="331"/>
        <v>0</v>
      </c>
      <c r="BP957" s="793">
        <f t="shared" si="331"/>
        <v>0</v>
      </c>
      <c r="BQ957" s="793">
        <f t="shared" si="331"/>
        <v>0</v>
      </c>
      <c r="BR957" s="793">
        <f t="shared" si="331"/>
        <v>0</v>
      </c>
      <c r="BS957" s="793">
        <f t="shared" si="331"/>
        <v>0</v>
      </c>
      <c r="BT957" s="793">
        <f t="shared" si="331"/>
        <v>0</v>
      </c>
      <c r="BU957" s="793">
        <f t="shared" si="331"/>
        <v>0</v>
      </c>
      <c r="BV957" s="793">
        <f t="shared" si="331"/>
        <v>0</v>
      </c>
      <c r="BW957" s="793">
        <f t="shared" si="331"/>
        <v>0</v>
      </c>
      <c r="BX957" s="793">
        <f t="shared" si="331"/>
        <v>0</v>
      </c>
      <c r="BY957" s="793">
        <f t="shared" si="331"/>
        <v>0</v>
      </c>
      <c r="BZ957" s="793">
        <f t="shared" si="331"/>
        <v>0</v>
      </c>
      <c r="CA957" s="793">
        <f t="shared" si="331"/>
        <v>0</v>
      </c>
      <c r="CB957" s="793">
        <f t="shared" si="331"/>
        <v>0</v>
      </c>
      <c r="CC957" s="793">
        <f t="shared" si="331"/>
        <v>0</v>
      </c>
      <c r="CD957" s="793">
        <f t="shared" si="331"/>
        <v>0</v>
      </c>
      <c r="CE957" s="793">
        <f t="shared" si="331"/>
        <v>0</v>
      </c>
      <c r="CF957" s="793">
        <f t="shared" si="331"/>
        <v>0</v>
      </c>
      <c r="CG957" s="793">
        <f t="shared" si="331"/>
        <v>0</v>
      </c>
      <c r="CH957" s="793">
        <f t="shared" si="331"/>
        <v>0</v>
      </c>
      <c r="CI957" s="793">
        <f t="shared" si="331"/>
        <v>0</v>
      </c>
      <c r="CJ957" s="793">
        <f t="shared" si="331"/>
        <v>0</v>
      </c>
      <c r="CK957" s="793">
        <f t="shared" si="331"/>
        <v>0</v>
      </c>
      <c r="CL957" s="793">
        <f t="shared" si="331"/>
        <v>0</v>
      </c>
      <c r="CM957" s="793">
        <f t="shared" si="331"/>
        <v>0</v>
      </c>
      <c r="CN957" s="793">
        <f t="shared" si="331"/>
        <v>0</v>
      </c>
      <c r="CO957" s="793">
        <f t="shared" si="331"/>
        <v>0</v>
      </c>
      <c r="CP957" s="793">
        <f t="shared" si="331"/>
        <v>0</v>
      </c>
      <c r="CQ957" s="793">
        <f t="shared" si="331"/>
        <v>0</v>
      </c>
      <c r="CR957" s="793">
        <f t="shared" si="331"/>
        <v>0</v>
      </c>
      <c r="CS957" s="793">
        <f t="shared" si="331"/>
        <v>0</v>
      </c>
      <c r="CT957" s="793">
        <f t="shared" si="331"/>
        <v>0</v>
      </c>
      <c r="CU957" s="793">
        <f t="shared" si="331"/>
        <v>0</v>
      </c>
      <c r="CV957" s="793">
        <f t="shared" si="331"/>
        <v>0</v>
      </c>
      <c r="CW957" s="793">
        <f t="shared" si="331"/>
        <v>0</v>
      </c>
      <c r="CX957" s="793">
        <f t="shared" si="331"/>
        <v>0</v>
      </c>
      <c r="CY957" s="793">
        <f t="shared" si="331"/>
        <v>0</v>
      </c>
      <c r="CZ957" s="793">
        <f t="shared" si="331"/>
        <v>0</v>
      </c>
      <c r="DA957" s="793">
        <f t="shared" si="331"/>
        <v>0</v>
      </c>
      <c r="DB957" s="793">
        <f t="shared" si="331"/>
        <v>0</v>
      </c>
      <c r="DC957" s="793">
        <f t="shared" si="331"/>
        <v>0</v>
      </c>
      <c r="DD957" s="793">
        <f t="shared" si="331"/>
        <v>0</v>
      </c>
      <c r="DE957" s="793">
        <f t="shared" si="331"/>
        <v>0</v>
      </c>
      <c r="DF957" s="793">
        <f t="shared" si="331"/>
        <v>0</v>
      </c>
      <c r="DG957" s="793">
        <f t="shared" si="331"/>
        <v>0</v>
      </c>
      <c r="DH957" s="749">
        <f t="shared" si="331"/>
        <v>0</v>
      </c>
    </row>
    <row r="958" spans="1:112" s="649" customFormat="1" x14ac:dyDescent="0.3">
      <c r="A958" s="652" t="str">
        <f>IF(J958&gt;0,"Imprimir","")</f>
        <v>Imprimir</v>
      </c>
      <c r="B958" s="652"/>
      <c r="C958" s="655"/>
      <c r="D958" s="656" t="s">
        <v>374</v>
      </c>
      <c r="E958" s="656" t="s">
        <v>471</v>
      </c>
      <c r="F958" s="656"/>
      <c r="G958" s="656"/>
      <c r="H958" s="656"/>
      <c r="I958" s="657"/>
      <c r="J958" s="647">
        <f>SUBTOTAL(9,J961:J971)</f>
        <v>130571.42857142857</v>
      </c>
      <c r="K958" s="658"/>
      <c r="L958" s="770">
        <f t="shared" ref="L958:BG958" si="332">SUMPRODUCT($J961:$J971,L961:L971)</f>
        <v>29871.428571428565</v>
      </c>
      <c r="M958" s="771">
        <f t="shared" si="332"/>
        <v>0</v>
      </c>
      <c r="N958" s="771">
        <f t="shared" si="332"/>
        <v>3907.1428571428578</v>
      </c>
      <c r="O958" s="771">
        <f t="shared" si="332"/>
        <v>0</v>
      </c>
      <c r="P958" s="771">
        <f t="shared" si="332"/>
        <v>3907.1428571428578</v>
      </c>
      <c r="Q958" s="771">
        <f t="shared" si="332"/>
        <v>0</v>
      </c>
      <c r="R958" s="771">
        <f t="shared" si="332"/>
        <v>4550.0000000000009</v>
      </c>
      <c r="S958" s="771">
        <f t="shared" si="332"/>
        <v>0</v>
      </c>
      <c r="T958" s="771">
        <f t="shared" si="332"/>
        <v>4550.0000000000009</v>
      </c>
      <c r="U958" s="771">
        <f t="shared" si="332"/>
        <v>0</v>
      </c>
      <c r="V958" s="771">
        <f t="shared" si="332"/>
        <v>4550.0000000000009</v>
      </c>
      <c r="W958" s="771">
        <f t="shared" si="332"/>
        <v>0</v>
      </c>
      <c r="X958" s="771">
        <f t="shared" si="332"/>
        <v>4550.0000000000009</v>
      </c>
      <c r="Y958" s="771">
        <f t="shared" si="332"/>
        <v>0</v>
      </c>
      <c r="Z958" s="771">
        <f t="shared" si="332"/>
        <v>4550.0000000000009</v>
      </c>
      <c r="AA958" s="771">
        <f t="shared" si="332"/>
        <v>0</v>
      </c>
      <c r="AB958" s="771">
        <f t="shared" si="332"/>
        <v>4550.0000000000009</v>
      </c>
      <c r="AC958" s="771">
        <f t="shared" si="332"/>
        <v>0</v>
      </c>
      <c r="AD958" s="771">
        <f t="shared" si="332"/>
        <v>4550.0000000000009</v>
      </c>
      <c r="AE958" s="771">
        <f t="shared" si="332"/>
        <v>0</v>
      </c>
      <c r="AF958" s="771">
        <f t="shared" si="332"/>
        <v>4550.0000000000009</v>
      </c>
      <c r="AG958" s="771">
        <f t="shared" si="332"/>
        <v>0</v>
      </c>
      <c r="AH958" s="771">
        <f t="shared" si="332"/>
        <v>3907.1428571428578</v>
      </c>
      <c r="AI958" s="771">
        <f t="shared" si="332"/>
        <v>0</v>
      </c>
      <c r="AJ958" s="771">
        <f t="shared" si="332"/>
        <v>13007.142857142855</v>
      </c>
      <c r="AK958" s="771">
        <f t="shared" si="332"/>
        <v>0</v>
      </c>
      <c r="AL958" s="771">
        <f t="shared" si="332"/>
        <v>0</v>
      </c>
      <c r="AM958" s="771">
        <f t="shared" si="332"/>
        <v>0</v>
      </c>
      <c r="AN958" s="771">
        <f t="shared" si="332"/>
        <v>0</v>
      </c>
      <c r="AO958" s="771">
        <f t="shared" si="332"/>
        <v>0</v>
      </c>
      <c r="AP958" s="771">
        <f t="shared" si="332"/>
        <v>0</v>
      </c>
      <c r="AQ958" s="771">
        <f t="shared" si="332"/>
        <v>0</v>
      </c>
      <c r="AR958" s="771">
        <f t="shared" si="332"/>
        <v>0</v>
      </c>
      <c r="AS958" s="771">
        <f t="shared" si="332"/>
        <v>0</v>
      </c>
      <c r="AT958" s="771">
        <f t="shared" si="332"/>
        <v>0</v>
      </c>
      <c r="AU958" s="771">
        <f t="shared" si="332"/>
        <v>0</v>
      </c>
      <c r="AV958" s="771">
        <f t="shared" si="332"/>
        <v>0</v>
      </c>
      <c r="AW958" s="771">
        <f t="shared" si="332"/>
        <v>0</v>
      </c>
      <c r="AX958" s="771">
        <f t="shared" si="332"/>
        <v>0</v>
      </c>
      <c r="AY958" s="771">
        <f t="shared" si="332"/>
        <v>0</v>
      </c>
      <c r="AZ958" s="771">
        <f t="shared" si="332"/>
        <v>0</v>
      </c>
      <c r="BA958" s="771">
        <f t="shared" si="332"/>
        <v>0</v>
      </c>
      <c r="BB958" s="771">
        <f t="shared" si="332"/>
        <v>0</v>
      </c>
      <c r="BC958" s="771">
        <f t="shared" si="332"/>
        <v>0</v>
      </c>
      <c r="BD958" s="771">
        <f t="shared" si="332"/>
        <v>0</v>
      </c>
      <c r="BE958" s="771">
        <f t="shared" si="332"/>
        <v>0</v>
      </c>
      <c r="BF958" s="771">
        <f t="shared" si="332"/>
        <v>0</v>
      </c>
      <c r="BG958" s="764">
        <f t="shared" si="332"/>
        <v>0</v>
      </c>
      <c r="BH958" s="776"/>
      <c r="BI958" s="654"/>
      <c r="BJ958" s="659">
        <f>IFERROR(BK958/J958,0)</f>
        <v>0</v>
      </c>
      <c r="BK958" s="660">
        <f>SUBTOTAL(9,BK959:BK971)</f>
        <v>0</v>
      </c>
      <c r="BL958" s="654"/>
      <c r="BM958" s="661">
        <f t="shared" ref="BM958:DH958" si="333">SUBTOTAL(9,BM959:BM971)</f>
        <v>0</v>
      </c>
      <c r="BN958" s="662">
        <f t="shared" si="333"/>
        <v>0</v>
      </c>
      <c r="BO958" s="662">
        <f t="shared" si="333"/>
        <v>0</v>
      </c>
      <c r="BP958" s="662">
        <f t="shared" si="333"/>
        <v>0</v>
      </c>
      <c r="BQ958" s="662">
        <f t="shared" si="333"/>
        <v>0</v>
      </c>
      <c r="BR958" s="662">
        <f t="shared" si="333"/>
        <v>0</v>
      </c>
      <c r="BS958" s="662">
        <f t="shared" si="333"/>
        <v>0</v>
      </c>
      <c r="BT958" s="662">
        <f t="shared" si="333"/>
        <v>0</v>
      </c>
      <c r="BU958" s="662">
        <f t="shared" si="333"/>
        <v>0</v>
      </c>
      <c r="BV958" s="662">
        <f t="shared" si="333"/>
        <v>0</v>
      </c>
      <c r="BW958" s="662">
        <f t="shared" si="333"/>
        <v>0</v>
      </c>
      <c r="BX958" s="662">
        <f t="shared" si="333"/>
        <v>0</v>
      </c>
      <c r="BY958" s="662">
        <f t="shared" si="333"/>
        <v>0</v>
      </c>
      <c r="BZ958" s="662">
        <f t="shared" si="333"/>
        <v>0</v>
      </c>
      <c r="CA958" s="662">
        <f t="shared" si="333"/>
        <v>0</v>
      </c>
      <c r="CB958" s="662">
        <f t="shared" si="333"/>
        <v>0</v>
      </c>
      <c r="CC958" s="662">
        <f t="shared" si="333"/>
        <v>0</v>
      </c>
      <c r="CD958" s="662">
        <f t="shared" si="333"/>
        <v>0</v>
      </c>
      <c r="CE958" s="662">
        <f t="shared" si="333"/>
        <v>0</v>
      </c>
      <c r="CF958" s="662">
        <f t="shared" si="333"/>
        <v>0</v>
      </c>
      <c r="CG958" s="662">
        <f t="shared" si="333"/>
        <v>0</v>
      </c>
      <c r="CH958" s="662">
        <f t="shared" si="333"/>
        <v>0</v>
      </c>
      <c r="CI958" s="662">
        <f t="shared" si="333"/>
        <v>0</v>
      </c>
      <c r="CJ958" s="662">
        <f t="shared" si="333"/>
        <v>0</v>
      </c>
      <c r="CK958" s="662">
        <f t="shared" si="333"/>
        <v>0</v>
      </c>
      <c r="CL958" s="662">
        <f t="shared" si="333"/>
        <v>0</v>
      </c>
      <c r="CM958" s="662">
        <f t="shared" si="333"/>
        <v>0</v>
      </c>
      <c r="CN958" s="662">
        <f t="shared" si="333"/>
        <v>0</v>
      </c>
      <c r="CO958" s="662">
        <f t="shared" si="333"/>
        <v>0</v>
      </c>
      <c r="CP958" s="662">
        <f t="shared" si="333"/>
        <v>0</v>
      </c>
      <c r="CQ958" s="662">
        <f t="shared" si="333"/>
        <v>0</v>
      </c>
      <c r="CR958" s="662">
        <f t="shared" si="333"/>
        <v>0</v>
      </c>
      <c r="CS958" s="662">
        <f t="shared" si="333"/>
        <v>0</v>
      </c>
      <c r="CT958" s="662">
        <f t="shared" si="333"/>
        <v>0</v>
      </c>
      <c r="CU958" s="662">
        <f t="shared" si="333"/>
        <v>0</v>
      </c>
      <c r="CV958" s="662">
        <f t="shared" si="333"/>
        <v>0</v>
      </c>
      <c r="CW958" s="662">
        <f t="shared" si="333"/>
        <v>0</v>
      </c>
      <c r="CX958" s="662">
        <f t="shared" si="333"/>
        <v>0</v>
      </c>
      <c r="CY958" s="662">
        <f t="shared" si="333"/>
        <v>0</v>
      </c>
      <c r="CZ958" s="662">
        <f t="shared" si="333"/>
        <v>0</v>
      </c>
      <c r="DA958" s="662">
        <f t="shared" si="333"/>
        <v>0</v>
      </c>
      <c r="DB958" s="662">
        <f t="shared" si="333"/>
        <v>0</v>
      </c>
      <c r="DC958" s="662">
        <f t="shared" si="333"/>
        <v>0</v>
      </c>
      <c r="DD958" s="662">
        <f t="shared" si="333"/>
        <v>0</v>
      </c>
      <c r="DE958" s="662">
        <f t="shared" si="333"/>
        <v>0</v>
      </c>
      <c r="DF958" s="662">
        <f t="shared" si="333"/>
        <v>0</v>
      </c>
      <c r="DG958" s="662">
        <f t="shared" si="333"/>
        <v>0</v>
      </c>
      <c r="DH958" s="663">
        <f t="shared" si="333"/>
        <v>0</v>
      </c>
    </row>
    <row r="959" spans="1:112" s="649" customFormat="1" outlineLevel="1" x14ac:dyDescent="0.3">
      <c r="A959" s="652" t="str">
        <f>IF(J958&gt;0,"Imprimir","")</f>
        <v>Imprimir</v>
      </c>
      <c r="B959" s="652"/>
      <c r="C959" s="664"/>
      <c r="D959" s="665"/>
      <c r="E959" s="665"/>
      <c r="F959" s="665" t="s">
        <v>472</v>
      </c>
      <c r="G959" s="665" t="s">
        <v>2128</v>
      </c>
      <c r="H959" s="665" t="s">
        <v>98</v>
      </c>
      <c r="I959" s="665" t="s">
        <v>474</v>
      </c>
      <c r="J959" s="104" t="s">
        <v>29</v>
      </c>
      <c r="K959" s="667"/>
      <c r="L959" s="745"/>
      <c r="M959" s="741"/>
      <c r="N959" s="741"/>
      <c r="O959" s="741"/>
      <c r="P959" s="741"/>
      <c r="Q959" s="741"/>
      <c r="R959" s="741"/>
      <c r="S959" s="741"/>
      <c r="T959" s="741"/>
      <c r="U959" s="741"/>
      <c r="V959" s="741"/>
      <c r="W959" s="741"/>
      <c r="X959" s="741"/>
      <c r="Y959" s="741"/>
      <c r="Z959" s="741"/>
      <c r="AA959" s="741"/>
      <c r="AB959" s="741"/>
      <c r="AC959" s="741"/>
      <c r="AD959" s="741"/>
      <c r="AE959" s="741"/>
      <c r="AF959" s="741"/>
      <c r="AG959" s="741"/>
      <c r="AH959" s="741"/>
      <c r="AI959" s="741"/>
      <c r="AJ959" s="741"/>
      <c r="AK959" s="741"/>
      <c r="AL959" s="741"/>
      <c r="AM959" s="741"/>
      <c r="AN959" s="741"/>
      <c r="AO959" s="741"/>
      <c r="AP959" s="741"/>
      <c r="AQ959" s="741"/>
      <c r="AR959" s="741"/>
      <c r="AS959" s="741"/>
      <c r="AT959" s="741"/>
      <c r="AU959" s="741"/>
      <c r="AV959" s="741"/>
      <c r="AW959" s="741"/>
      <c r="AX959" s="741"/>
      <c r="AY959" s="741"/>
      <c r="AZ959" s="741"/>
      <c r="BA959" s="741"/>
      <c r="BB959" s="741"/>
      <c r="BC959" s="741"/>
      <c r="BD959" s="741"/>
      <c r="BE959" s="741"/>
      <c r="BF959" s="741"/>
      <c r="BG959" s="741"/>
      <c r="BH959" s="668"/>
      <c r="BI959" s="654"/>
      <c r="BJ959" s="669"/>
      <c r="BK959" s="670"/>
      <c r="BL959" s="654"/>
      <c r="BM959" s="671"/>
      <c r="BN959" s="665"/>
      <c r="BO959" s="665"/>
      <c r="BP959" s="665"/>
      <c r="BQ959" s="665"/>
      <c r="BR959" s="665"/>
      <c r="BS959" s="665"/>
      <c r="BT959" s="665"/>
      <c r="BU959" s="665"/>
      <c r="BV959" s="665"/>
      <c r="BW959" s="665"/>
      <c r="BX959" s="665"/>
      <c r="BY959" s="665"/>
      <c r="BZ959" s="665"/>
      <c r="CA959" s="665"/>
      <c r="CB959" s="665"/>
      <c r="CC959" s="665"/>
      <c r="CD959" s="665"/>
      <c r="CE959" s="665"/>
      <c r="CF959" s="665"/>
      <c r="CG959" s="665"/>
      <c r="CH959" s="665"/>
      <c r="CI959" s="665"/>
      <c r="CJ959" s="665"/>
      <c r="CK959" s="665"/>
      <c r="CL959" s="665"/>
      <c r="CM959" s="665"/>
      <c r="CN959" s="665"/>
      <c r="CO959" s="665"/>
      <c r="CP959" s="665"/>
      <c r="CQ959" s="665"/>
      <c r="CR959" s="665"/>
      <c r="CS959" s="665"/>
      <c r="CT959" s="665"/>
      <c r="CU959" s="665"/>
      <c r="CV959" s="665"/>
      <c r="CW959" s="665"/>
      <c r="CX959" s="665"/>
      <c r="CY959" s="665"/>
      <c r="CZ959" s="665"/>
      <c r="DA959" s="665"/>
      <c r="DB959" s="665"/>
      <c r="DC959" s="665"/>
      <c r="DD959" s="665"/>
      <c r="DE959" s="665"/>
      <c r="DF959" s="665"/>
      <c r="DG959" s="665"/>
      <c r="DH959" s="666"/>
    </row>
    <row r="960" spans="1:112" s="649" customFormat="1" ht="15.6" outlineLevel="1" x14ac:dyDescent="0.3">
      <c r="A960" s="652" t="str">
        <f>IF(J960&gt;0,"Imprimir","")</f>
        <v>Imprimir</v>
      </c>
      <c r="B960" s="652"/>
      <c r="C960" s="672"/>
      <c r="D960" s="673"/>
      <c r="E960" s="674"/>
      <c r="F960" s="675"/>
      <c r="G960" s="675"/>
      <c r="H960" s="676"/>
      <c r="I960" s="677"/>
      <c r="J960" s="219">
        <f>SUBTOTAL(9,J961:J971)</f>
        <v>130571.42857142857</v>
      </c>
      <c r="K960" s="678"/>
      <c r="L960" s="747"/>
      <c r="M960" s="742"/>
      <c r="N960" s="742"/>
      <c r="O960" s="742"/>
      <c r="P960" s="742"/>
      <c r="Q960" s="742"/>
      <c r="R960" s="742"/>
      <c r="S960" s="742"/>
      <c r="T960" s="742"/>
      <c r="U960" s="742"/>
      <c r="V960" s="742"/>
      <c r="W960" s="742"/>
      <c r="X960" s="742"/>
      <c r="Y960" s="742"/>
      <c r="Z960" s="742"/>
      <c r="AA960" s="742"/>
      <c r="AB960" s="742"/>
      <c r="AC960" s="742"/>
      <c r="AD960" s="742"/>
      <c r="AE960" s="742"/>
      <c r="AF960" s="742"/>
      <c r="AG960" s="742"/>
      <c r="AH960" s="742"/>
      <c r="AI960" s="742"/>
      <c r="AJ960" s="742"/>
      <c r="AK960" s="742"/>
      <c r="AL960" s="742"/>
      <c r="AM960" s="742"/>
      <c r="AN960" s="742"/>
      <c r="AO960" s="742"/>
      <c r="AP960" s="742"/>
      <c r="AQ960" s="742"/>
      <c r="AR960" s="742"/>
      <c r="AS960" s="742"/>
      <c r="AT960" s="742"/>
      <c r="AU960" s="742"/>
      <c r="AV960" s="742"/>
      <c r="AW960" s="742"/>
      <c r="AX960" s="742"/>
      <c r="AY960" s="742"/>
      <c r="AZ960" s="742"/>
      <c r="BA960" s="742"/>
      <c r="BB960" s="742"/>
      <c r="BC960" s="742"/>
      <c r="BD960" s="742"/>
      <c r="BE960" s="742"/>
      <c r="BF960" s="742"/>
      <c r="BG960" s="742"/>
      <c r="BH960" s="679"/>
      <c r="BI960" s="654"/>
      <c r="BJ960" s="680"/>
      <c r="BK960" s="681"/>
      <c r="BL960" s="654"/>
      <c r="BM960" s="682"/>
      <c r="BN960" s="683"/>
      <c r="BO960" s="683"/>
      <c r="BP960" s="683"/>
      <c r="BQ960" s="683"/>
      <c r="BR960" s="683"/>
      <c r="BS960" s="683"/>
      <c r="BT960" s="683"/>
      <c r="BU960" s="683"/>
      <c r="BV960" s="683"/>
      <c r="BW960" s="683"/>
      <c r="BX960" s="683"/>
      <c r="BY960" s="683"/>
      <c r="BZ960" s="683"/>
      <c r="CA960" s="683"/>
      <c r="CB960" s="683"/>
      <c r="CC960" s="683"/>
      <c r="CD960" s="683"/>
      <c r="CE960" s="683"/>
      <c r="CF960" s="683"/>
      <c r="CG960" s="683"/>
      <c r="CH960" s="683"/>
      <c r="CI960" s="683"/>
      <c r="CJ960" s="683"/>
      <c r="CK960" s="683"/>
      <c r="CL960" s="683"/>
      <c r="CM960" s="683"/>
      <c r="CN960" s="683"/>
      <c r="CO960" s="683"/>
      <c r="CP960" s="683"/>
      <c r="CQ960" s="683"/>
      <c r="CR960" s="683"/>
      <c r="CS960" s="683"/>
      <c r="CT960" s="683"/>
      <c r="CU960" s="683"/>
      <c r="CV960" s="683"/>
      <c r="CW960" s="683"/>
      <c r="CX960" s="683"/>
      <c r="CY960" s="683"/>
      <c r="CZ960" s="683"/>
      <c r="DA960" s="683"/>
      <c r="DB960" s="683"/>
      <c r="DC960" s="683"/>
      <c r="DD960" s="683"/>
      <c r="DE960" s="683"/>
      <c r="DF960" s="683"/>
      <c r="DG960" s="683"/>
      <c r="DH960" s="684"/>
    </row>
    <row r="961" spans="1:112" s="649" customFormat="1" outlineLevel="1" x14ac:dyDescent="0.3">
      <c r="A961" s="652" t="str">
        <f>IF(J961="","",IF(J961=0,"","Imprimir"))</f>
        <v>Imprimir</v>
      </c>
      <c r="B961" s="652"/>
      <c r="C961" s="685"/>
      <c r="D961" s="686" t="s">
        <v>782</v>
      </c>
      <c r="E961" s="686" t="s">
        <v>3554</v>
      </c>
      <c r="F961" s="687"/>
      <c r="G961" s="688">
        <f>11000+(13000/7)</f>
        <v>12857.142857142857</v>
      </c>
      <c r="H961" s="531">
        <v>1</v>
      </c>
      <c r="I961" s="851">
        <f t="shared" ref="I961:I970" si="334">IF(E961&gt;0,$J$5,"")</f>
        <v>1</v>
      </c>
      <c r="J961" s="850">
        <f>IFERROR(G961*H961*I961,"")</f>
        <v>12857.142857142857</v>
      </c>
      <c r="K961" s="667"/>
      <c r="L961" s="862">
        <v>0.3</v>
      </c>
      <c r="M961" s="859"/>
      <c r="N961" s="859">
        <v>0.05</v>
      </c>
      <c r="O961" s="859"/>
      <c r="P961" s="859">
        <v>0.05</v>
      </c>
      <c r="Q961" s="859"/>
      <c r="R961" s="859">
        <v>0.05</v>
      </c>
      <c r="S961" s="859"/>
      <c r="T961" s="859">
        <v>0.05</v>
      </c>
      <c r="U961" s="859"/>
      <c r="V961" s="859">
        <v>0.05</v>
      </c>
      <c r="W961" s="859"/>
      <c r="X961" s="859">
        <v>0.05</v>
      </c>
      <c r="Y961" s="859"/>
      <c r="Z961" s="860">
        <v>0.05</v>
      </c>
      <c r="AA961" s="860"/>
      <c r="AB961" s="860">
        <v>0.05</v>
      </c>
      <c r="AC961" s="860"/>
      <c r="AD961" s="860">
        <v>0.05</v>
      </c>
      <c r="AE961" s="860"/>
      <c r="AF961" s="860">
        <v>0.05</v>
      </c>
      <c r="AG961" s="860"/>
      <c r="AH961" s="860">
        <v>0.05</v>
      </c>
      <c r="AI961" s="860"/>
      <c r="AJ961" s="860">
        <v>0.15</v>
      </c>
      <c r="AK961" s="860"/>
      <c r="AL961" s="860"/>
      <c r="AM961" s="860"/>
      <c r="AN961" s="860"/>
      <c r="AO961" s="860"/>
      <c r="AP961" s="860"/>
      <c r="AQ961" s="860"/>
      <c r="AR961" s="860"/>
      <c r="AS961" s="860"/>
      <c r="AT961" s="860"/>
      <c r="AU961" s="860"/>
      <c r="AV961" s="860"/>
      <c r="AW961" s="860"/>
      <c r="AX961" s="860"/>
      <c r="AY961" s="860"/>
      <c r="AZ961" s="860"/>
      <c r="BA961" s="860"/>
      <c r="BB961" s="860"/>
      <c r="BC961" s="860"/>
      <c r="BD961" s="860"/>
      <c r="BE961" s="860"/>
      <c r="BF961" s="860"/>
      <c r="BG961" s="860"/>
      <c r="BH961" s="668"/>
      <c r="BI961" s="654"/>
      <c r="BJ961" s="690">
        <f t="shared" ref="BJ961:BJ970" si="335">IFERROR(BK961/J961,0)</f>
        <v>0</v>
      </c>
      <c r="BK961" s="691">
        <f t="shared" ref="BK961:BK970" si="336">SUM(BM961:DH961)</f>
        <v>0</v>
      </c>
      <c r="BL961" s="654"/>
      <c r="BM961" s="692">
        <f>SUMIFS(Imput[Importe Neto],Imput[C. Imp.],$D961,Imput[PERIODO Imp.],BM$9)</f>
        <v>0</v>
      </c>
      <c r="BN961" s="693">
        <f>SUMIFS(Imput[Importe Neto],Imput[C. Imp.],$D961,Imput[PERIODO Imp.],BN$9)</f>
        <v>0</v>
      </c>
      <c r="BO961" s="693">
        <f>SUMIFS(Imput[Importe Neto],Imput[C. Imp.],$D961,Imput[PERIODO Imp.],BO$9)</f>
        <v>0</v>
      </c>
      <c r="BP961" s="693">
        <f>SUMIFS(Imput[Importe Neto],Imput[C. Imp.],$D961,Imput[PERIODO Imp.],BP$9)</f>
        <v>0</v>
      </c>
      <c r="BQ961" s="693">
        <f>SUMIFS(Imput[Importe Neto],Imput[C. Imp.],$D961,Imput[PERIODO Imp.],BQ$9)</f>
        <v>0</v>
      </c>
      <c r="BR961" s="693">
        <f>SUMIFS(Imput[Importe Neto],Imput[C. Imp.],$D961,Imput[PERIODO Imp.],BR$9)</f>
        <v>0</v>
      </c>
      <c r="BS961" s="693">
        <f>SUMIFS(Imput[Importe Neto],Imput[C. Imp.],$D961,Imput[PERIODO Imp.],BS$9)</f>
        <v>0</v>
      </c>
      <c r="BT961" s="693">
        <f>SUMIFS(Imput[Importe Neto],Imput[C. Imp.],$D961,Imput[PERIODO Imp.],BT$9)</f>
        <v>0</v>
      </c>
      <c r="BU961" s="693">
        <f>SUMIFS(Imput[Importe Neto],Imput[C. Imp.],$D961,Imput[PERIODO Imp.],BU$9)</f>
        <v>0</v>
      </c>
      <c r="BV961" s="693">
        <f>SUMIFS(Imput[Importe Neto],Imput[C. Imp.],$D961,Imput[PERIODO Imp.],BV$9)</f>
        <v>0</v>
      </c>
      <c r="BW961" s="693">
        <f>SUMIFS(Imput[Importe Neto],Imput[C. Imp.],$D961,Imput[PERIODO Imp.],BW$9)</f>
        <v>0</v>
      </c>
      <c r="BX961" s="693">
        <f>SUMIFS(Imput[Importe Neto],Imput[C. Imp.],$D961,Imput[PERIODO Imp.],BX$9)</f>
        <v>0</v>
      </c>
      <c r="BY961" s="693">
        <f>SUMIFS(Imput[Importe Neto],Imput[C. Imp.],$D961,Imput[PERIODO Imp.],BY$9)</f>
        <v>0</v>
      </c>
      <c r="BZ961" s="693">
        <f>SUMIFS(Imput[Importe Neto],Imput[C. Imp.],$D961,Imput[PERIODO Imp.],BZ$9)</f>
        <v>0</v>
      </c>
      <c r="CA961" s="693">
        <f>SUMIFS(Imput[Importe Neto],Imput[C. Imp.],$D961,Imput[PERIODO Imp.],CA$9)</f>
        <v>0</v>
      </c>
      <c r="CB961" s="693">
        <f>SUMIFS(Imput[Importe Neto],Imput[C. Imp.],$D961,Imput[PERIODO Imp.],CB$9)</f>
        <v>0</v>
      </c>
      <c r="CC961" s="693">
        <f>SUMIFS(Imput[Importe Neto],Imput[C. Imp.],$D961,Imput[PERIODO Imp.],CC$9)</f>
        <v>0</v>
      </c>
      <c r="CD961" s="693">
        <f>SUMIFS(Imput[Importe Neto],Imput[C. Imp.],$D961,Imput[PERIODO Imp.],CD$9)</f>
        <v>0</v>
      </c>
      <c r="CE961" s="693">
        <f>SUMIFS(Imput[Importe Neto],Imput[C. Imp.],$D961,Imput[PERIODO Imp.],CE$9)</f>
        <v>0</v>
      </c>
      <c r="CF961" s="693">
        <f>SUMIFS(Imput[Importe Neto],Imput[C. Imp.],$D961,Imput[PERIODO Imp.],CF$9)</f>
        <v>0</v>
      </c>
      <c r="CG961" s="693">
        <f>SUMIFS(Imput[Importe Neto],Imput[C. Imp.],$D961,Imput[PERIODO Imp.],CG$9)</f>
        <v>0</v>
      </c>
      <c r="CH961" s="693">
        <f>SUMIFS(Imput[Importe Neto],Imput[C. Imp.],$D961,Imput[PERIODO Imp.],CH$9)</f>
        <v>0</v>
      </c>
      <c r="CI961" s="693">
        <f>SUMIFS(Imput[Importe Neto],Imput[C. Imp.],$D961,Imput[PERIODO Imp.],CI$9)</f>
        <v>0</v>
      </c>
      <c r="CJ961" s="693">
        <f>SUMIFS(Imput[Importe Neto],Imput[C. Imp.],$D961,Imput[PERIODO Imp.],CJ$9)</f>
        <v>0</v>
      </c>
      <c r="CK961" s="693">
        <f>SUMIFS(Imput[Importe Neto],Imput[C. Imp.],$D961,Imput[PERIODO Imp.],CK$9)</f>
        <v>0</v>
      </c>
      <c r="CL961" s="693">
        <f>SUMIFS(Imput[Importe Neto],Imput[C. Imp.],$D961,Imput[PERIODO Imp.],CL$9)</f>
        <v>0</v>
      </c>
      <c r="CM961" s="693">
        <f>SUMIFS(Imput[Importe Neto],Imput[C. Imp.],$D961,Imput[PERIODO Imp.],CM$9)</f>
        <v>0</v>
      </c>
      <c r="CN961" s="693">
        <f>SUMIFS(Imput[Importe Neto],Imput[C. Imp.],$D961,Imput[PERIODO Imp.],CN$9)</f>
        <v>0</v>
      </c>
      <c r="CO961" s="693">
        <f>SUMIFS(Imput[Importe Neto],Imput[C. Imp.],$D961,Imput[PERIODO Imp.],CO$9)</f>
        <v>0</v>
      </c>
      <c r="CP961" s="693">
        <f>SUMIFS(Imput[Importe Neto],Imput[C. Imp.],$D961,Imput[PERIODO Imp.],CP$9)</f>
        <v>0</v>
      </c>
      <c r="CQ961" s="693">
        <f>SUMIFS(Imput[Importe Neto],Imput[C. Imp.],$D961,Imput[PERIODO Imp.],CQ$9)</f>
        <v>0</v>
      </c>
      <c r="CR961" s="693">
        <f>SUMIFS(Imput[Importe Neto],Imput[C. Imp.],$D961,Imput[PERIODO Imp.],CR$9)</f>
        <v>0</v>
      </c>
      <c r="CS961" s="693">
        <f>SUMIFS(Imput[Importe Neto],Imput[C. Imp.],$D961,Imput[PERIODO Imp.],CS$9)</f>
        <v>0</v>
      </c>
      <c r="CT961" s="693">
        <f>SUMIFS(Imput[Importe Neto],Imput[C. Imp.],$D961,Imput[PERIODO Imp.],CT$9)</f>
        <v>0</v>
      </c>
      <c r="CU961" s="693">
        <f>SUMIFS(Imput[Importe Neto],Imput[C. Imp.],$D961,Imput[PERIODO Imp.],CU$9)</f>
        <v>0</v>
      </c>
      <c r="CV961" s="693">
        <f>SUMIFS(Imput[Importe Neto],Imput[C. Imp.],$D961,Imput[PERIODO Imp.],CV$9)</f>
        <v>0</v>
      </c>
      <c r="CW961" s="693">
        <f>SUMIFS(Imput[Importe Neto],Imput[C. Imp.],$D961,Imput[PERIODO Imp.],CW$9)</f>
        <v>0</v>
      </c>
      <c r="CX961" s="693">
        <f>SUMIFS(Imput[Importe Neto],Imput[C. Imp.],$D961,Imput[PERIODO Imp.],CX$9)</f>
        <v>0</v>
      </c>
      <c r="CY961" s="693">
        <f>SUMIFS(Imput[Importe Neto],Imput[C. Imp.],$D961,Imput[PERIODO Imp.],CY$9)</f>
        <v>0</v>
      </c>
      <c r="CZ961" s="693">
        <f>SUMIFS(Imput[Importe Neto],Imput[C. Imp.],$D961,Imput[PERIODO Imp.],CZ$9)</f>
        <v>0</v>
      </c>
      <c r="DA961" s="693">
        <f>SUMIFS(Imput[Importe Neto],Imput[C. Imp.],$D961,Imput[PERIODO Imp.],DA$9)</f>
        <v>0</v>
      </c>
      <c r="DB961" s="693">
        <f>SUMIFS(Imput[Importe Neto],Imput[C. Imp.],$D961,Imput[PERIODO Imp.],DB$9)</f>
        <v>0</v>
      </c>
      <c r="DC961" s="693">
        <f>SUMIFS(Imput[Importe Neto],Imput[C. Imp.],$D961,Imput[PERIODO Imp.],DC$9)</f>
        <v>0</v>
      </c>
      <c r="DD961" s="693">
        <f>SUMIFS(Imput[Importe Neto],Imput[C. Imp.],$D961,Imput[PERIODO Imp.],DD$9)</f>
        <v>0</v>
      </c>
      <c r="DE961" s="693">
        <f>SUMIFS(Imput[Importe Neto],Imput[C. Imp.],$D961,Imput[PERIODO Imp.],DE$9)</f>
        <v>0</v>
      </c>
      <c r="DF961" s="693">
        <f>SUMIFS(Imput[Importe Neto],Imput[C. Imp.],$D961,Imput[PERIODO Imp.],DF$9)</f>
        <v>0</v>
      </c>
      <c r="DG961" s="693">
        <f>SUMIFS(Imput[Importe Neto],Imput[C. Imp.],$D961,Imput[PERIODO Imp.],DG$9)</f>
        <v>0</v>
      </c>
      <c r="DH961" s="694">
        <f>SUMIFS(Imput[Importe Neto],Imput[C. Imp.],$D961,Imput[PERIODO Imp.],DH$9)</f>
        <v>0</v>
      </c>
    </row>
    <row r="962" spans="1:112" s="649" customFormat="1" outlineLevel="1" x14ac:dyDescent="0.3">
      <c r="A962" s="652" t="str">
        <f t="shared" ref="A962:A970" si="337">IF(J962="","",IF(J962=0,"","Imprimir"))</f>
        <v>Imprimir</v>
      </c>
      <c r="B962" s="652"/>
      <c r="C962" s="685"/>
      <c r="D962" s="686" t="s">
        <v>783</v>
      </c>
      <c r="E962" s="686" t="s">
        <v>3366</v>
      </c>
      <c r="F962" s="687"/>
      <c r="G962" s="688">
        <f t="shared" ref="G962:G970" si="338">11000+(13000/7)</f>
        <v>12857.142857142857</v>
      </c>
      <c r="H962" s="531">
        <v>1</v>
      </c>
      <c r="I962" s="851">
        <f t="shared" si="334"/>
        <v>1</v>
      </c>
      <c r="J962" s="850">
        <f t="shared" ref="J962:J970" si="339">IFERROR(G962*H962*I962,"")</f>
        <v>12857.142857142857</v>
      </c>
      <c r="K962" s="667"/>
      <c r="L962" s="858">
        <v>0.3</v>
      </c>
      <c r="M962" s="859"/>
      <c r="N962" s="859">
        <v>0.05</v>
      </c>
      <c r="O962" s="859"/>
      <c r="P962" s="859">
        <v>0.05</v>
      </c>
      <c r="Q962" s="859"/>
      <c r="R962" s="859">
        <v>0.05</v>
      </c>
      <c r="S962" s="859"/>
      <c r="T962" s="859">
        <v>0.05</v>
      </c>
      <c r="U962" s="859"/>
      <c r="V962" s="859">
        <v>0.05</v>
      </c>
      <c r="W962" s="859"/>
      <c r="X962" s="859">
        <v>0.05</v>
      </c>
      <c r="Y962" s="859"/>
      <c r="Z962" s="860">
        <v>0.05</v>
      </c>
      <c r="AA962" s="860"/>
      <c r="AB962" s="860">
        <v>0.05</v>
      </c>
      <c r="AC962" s="860"/>
      <c r="AD962" s="860">
        <v>0.05</v>
      </c>
      <c r="AE962" s="860"/>
      <c r="AF962" s="860">
        <v>0.05</v>
      </c>
      <c r="AG962" s="860"/>
      <c r="AH962" s="860">
        <v>0.05</v>
      </c>
      <c r="AI962" s="860"/>
      <c r="AJ962" s="860">
        <v>0.15</v>
      </c>
      <c r="AK962" s="860"/>
      <c r="AL962" s="860"/>
      <c r="AM962" s="860"/>
      <c r="AN962" s="860"/>
      <c r="AO962" s="860"/>
      <c r="AP962" s="860"/>
      <c r="AQ962" s="860"/>
      <c r="AR962" s="860"/>
      <c r="AS962" s="860"/>
      <c r="AT962" s="860"/>
      <c r="AU962" s="860"/>
      <c r="AV962" s="860"/>
      <c r="AW962" s="860"/>
      <c r="AX962" s="860"/>
      <c r="AY962" s="860"/>
      <c r="AZ962" s="860"/>
      <c r="BA962" s="860"/>
      <c r="BB962" s="860"/>
      <c r="BC962" s="860"/>
      <c r="BD962" s="860"/>
      <c r="BE962" s="860"/>
      <c r="BF962" s="860"/>
      <c r="BG962" s="860"/>
      <c r="BH962" s="668"/>
      <c r="BI962" s="654"/>
      <c r="BJ962" s="690">
        <f t="shared" si="335"/>
        <v>0</v>
      </c>
      <c r="BK962" s="691">
        <f t="shared" si="336"/>
        <v>0</v>
      </c>
      <c r="BL962" s="654"/>
      <c r="BM962" s="692">
        <f>SUMIFS(Imput[Importe Neto],Imput[C. Imp.],$D962,Imput[PERIODO Imp.],BM$9)</f>
        <v>0</v>
      </c>
      <c r="BN962" s="693">
        <f>SUMIFS(Imput[Importe Neto],Imput[C. Imp.],$D962,Imput[PERIODO Imp.],BN$9)</f>
        <v>0</v>
      </c>
      <c r="BO962" s="693">
        <f>SUMIFS(Imput[Importe Neto],Imput[C. Imp.],$D962,Imput[PERIODO Imp.],BO$9)</f>
        <v>0</v>
      </c>
      <c r="BP962" s="693">
        <f>SUMIFS(Imput[Importe Neto],Imput[C. Imp.],$D962,Imput[PERIODO Imp.],BP$9)</f>
        <v>0</v>
      </c>
      <c r="BQ962" s="693">
        <f>SUMIFS(Imput[Importe Neto],Imput[C. Imp.],$D962,Imput[PERIODO Imp.],BQ$9)</f>
        <v>0</v>
      </c>
      <c r="BR962" s="693">
        <f>SUMIFS(Imput[Importe Neto],Imput[C. Imp.],$D962,Imput[PERIODO Imp.],BR$9)</f>
        <v>0</v>
      </c>
      <c r="BS962" s="693">
        <f>SUMIFS(Imput[Importe Neto],Imput[C. Imp.],$D962,Imput[PERIODO Imp.],BS$9)</f>
        <v>0</v>
      </c>
      <c r="BT962" s="693">
        <f>SUMIFS(Imput[Importe Neto],Imput[C. Imp.],$D962,Imput[PERIODO Imp.],BT$9)</f>
        <v>0</v>
      </c>
      <c r="BU962" s="693">
        <f>SUMIFS(Imput[Importe Neto],Imput[C. Imp.],$D962,Imput[PERIODO Imp.],BU$9)</f>
        <v>0</v>
      </c>
      <c r="BV962" s="693">
        <f>SUMIFS(Imput[Importe Neto],Imput[C. Imp.],$D962,Imput[PERIODO Imp.],BV$9)</f>
        <v>0</v>
      </c>
      <c r="BW962" s="693">
        <f>SUMIFS(Imput[Importe Neto],Imput[C. Imp.],$D962,Imput[PERIODO Imp.],BW$9)</f>
        <v>0</v>
      </c>
      <c r="BX962" s="693">
        <f>SUMIFS(Imput[Importe Neto],Imput[C. Imp.],$D962,Imput[PERIODO Imp.],BX$9)</f>
        <v>0</v>
      </c>
      <c r="BY962" s="693">
        <f>SUMIFS(Imput[Importe Neto],Imput[C. Imp.],$D962,Imput[PERIODO Imp.],BY$9)</f>
        <v>0</v>
      </c>
      <c r="BZ962" s="693">
        <f>SUMIFS(Imput[Importe Neto],Imput[C. Imp.],$D962,Imput[PERIODO Imp.],BZ$9)</f>
        <v>0</v>
      </c>
      <c r="CA962" s="693">
        <f>SUMIFS(Imput[Importe Neto],Imput[C. Imp.],$D962,Imput[PERIODO Imp.],CA$9)</f>
        <v>0</v>
      </c>
      <c r="CB962" s="693">
        <f>SUMIFS(Imput[Importe Neto],Imput[C. Imp.],$D962,Imput[PERIODO Imp.],CB$9)</f>
        <v>0</v>
      </c>
      <c r="CC962" s="693">
        <f>SUMIFS(Imput[Importe Neto],Imput[C. Imp.],$D962,Imput[PERIODO Imp.],CC$9)</f>
        <v>0</v>
      </c>
      <c r="CD962" s="693">
        <f>SUMIFS(Imput[Importe Neto],Imput[C. Imp.],$D962,Imput[PERIODO Imp.],CD$9)</f>
        <v>0</v>
      </c>
      <c r="CE962" s="693">
        <f>SUMIFS(Imput[Importe Neto],Imput[C. Imp.],$D962,Imput[PERIODO Imp.],CE$9)</f>
        <v>0</v>
      </c>
      <c r="CF962" s="693">
        <f>SUMIFS(Imput[Importe Neto],Imput[C. Imp.],$D962,Imput[PERIODO Imp.],CF$9)</f>
        <v>0</v>
      </c>
      <c r="CG962" s="693">
        <f>SUMIFS(Imput[Importe Neto],Imput[C. Imp.],$D962,Imput[PERIODO Imp.],CG$9)</f>
        <v>0</v>
      </c>
      <c r="CH962" s="693">
        <f>SUMIFS(Imput[Importe Neto],Imput[C. Imp.],$D962,Imput[PERIODO Imp.],CH$9)</f>
        <v>0</v>
      </c>
      <c r="CI962" s="693">
        <f>SUMIFS(Imput[Importe Neto],Imput[C. Imp.],$D962,Imput[PERIODO Imp.],CI$9)</f>
        <v>0</v>
      </c>
      <c r="CJ962" s="693">
        <f>SUMIFS(Imput[Importe Neto],Imput[C. Imp.],$D962,Imput[PERIODO Imp.],CJ$9)</f>
        <v>0</v>
      </c>
      <c r="CK962" s="693">
        <f>SUMIFS(Imput[Importe Neto],Imput[C. Imp.],$D962,Imput[PERIODO Imp.],CK$9)</f>
        <v>0</v>
      </c>
      <c r="CL962" s="693">
        <f>SUMIFS(Imput[Importe Neto],Imput[C. Imp.],$D962,Imput[PERIODO Imp.],CL$9)</f>
        <v>0</v>
      </c>
      <c r="CM962" s="693">
        <f>SUMIFS(Imput[Importe Neto],Imput[C. Imp.],$D962,Imput[PERIODO Imp.],CM$9)</f>
        <v>0</v>
      </c>
      <c r="CN962" s="693">
        <f>SUMIFS(Imput[Importe Neto],Imput[C. Imp.],$D962,Imput[PERIODO Imp.],CN$9)</f>
        <v>0</v>
      </c>
      <c r="CO962" s="693">
        <f>SUMIFS(Imput[Importe Neto],Imput[C. Imp.],$D962,Imput[PERIODO Imp.],CO$9)</f>
        <v>0</v>
      </c>
      <c r="CP962" s="693">
        <f>SUMIFS(Imput[Importe Neto],Imput[C. Imp.],$D962,Imput[PERIODO Imp.],CP$9)</f>
        <v>0</v>
      </c>
      <c r="CQ962" s="693">
        <f>SUMIFS(Imput[Importe Neto],Imput[C. Imp.],$D962,Imput[PERIODO Imp.],CQ$9)</f>
        <v>0</v>
      </c>
      <c r="CR962" s="693">
        <f>SUMIFS(Imput[Importe Neto],Imput[C. Imp.],$D962,Imput[PERIODO Imp.],CR$9)</f>
        <v>0</v>
      </c>
      <c r="CS962" s="693">
        <f>SUMIFS(Imput[Importe Neto],Imput[C. Imp.],$D962,Imput[PERIODO Imp.],CS$9)</f>
        <v>0</v>
      </c>
      <c r="CT962" s="693">
        <f>SUMIFS(Imput[Importe Neto],Imput[C. Imp.],$D962,Imput[PERIODO Imp.],CT$9)</f>
        <v>0</v>
      </c>
      <c r="CU962" s="693">
        <f>SUMIFS(Imput[Importe Neto],Imput[C. Imp.],$D962,Imput[PERIODO Imp.],CU$9)</f>
        <v>0</v>
      </c>
      <c r="CV962" s="693">
        <f>SUMIFS(Imput[Importe Neto],Imput[C. Imp.],$D962,Imput[PERIODO Imp.],CV$9)</f>
        <v>0</v>
      </c>
      <c r="CW962" s="693">
        <f>SUMIFS(Imput[Importe Neto],Imput[C. Imp.],$D962,Imput[PERIODO Imp.],CW$9)</f>
        <v>0</v>
      </c>
      <c r="CX962" s="693">
        <f>SUMIFS(Imput[Importe Neto],Imput[C. Imp.],$D962,Imput[PERIODO Imp.],CX$9)</f>
        <v>0</v>
      </c>
      <c r="CY962" s="693">
        <f>SUMIFS(Imput[Importe Neto],Imput[C. Imp.],$D962,Imput[PERIODO Imp.],CY$9)</f>
        <v>0</v>
      </c>
      <c r="CZ962" s="693">
        <f>SUMIFS(Imput[Importe Neto],Imput[C. Imp.],$D962,Imput[PERIODO Imp.],CZ$9)</f>
        <v>0</v>
      </c>
      <c r="DA962" s="693">
        <f>SUMIFS(Imput[Importe Neto],Imput[C. Imp.],$D962,Imput[PERIODO Imp.],DA$9)</f>
        <v>0</v>
      </c>
      <c r="DB962" s="693">
        <f>SUMIFS(Imput[Importe Neto],Imput[C. Imp.],$D962,Imput[PERIODO Imp.],DB$9)</f>
        <v>0</v>
      </c>
      <c r="DC962" s="693">
        <f>SUMIFS(Imput[Importe Neto],Imput[C. Imp.],$D962,Imput[PERIODO Imp.],DC$9)</f>
        <v>0</v>
      </c>
      <c r="DD962" s="693">
        <f>SUMIFS(Imput[Importe Neto],Imput[C. Imp.],$D962,Imput[PERIODO Imp.],DD$9)</f>
        <v>0</v>
      </c>
      <c r="DE962" s="693">
        <f>SUMIFS(Imput[Importe Neto],Imput[C. Imp.],$D962,Imput[PERIODO Imp.],DE$9)</f>
        <v>0</v>
      </c>
      <c r="DF962" s="693">
        <f>SUMIFS(Imput[Importe Neto],Imput[C. Imp.],$D962,Imput[PERIODO Imp.],DF$9)</f>
        <v>0</v>
      </c>
      <c r="DG962" s="693">
        <f>SUMIFS(Imput[Importe Neto],Imput[C. Imp.],$D962,Imput[PERIODO Imp.],DG$9)</f>
        <v>0</v>
      </c>
      <c r="DH962" s="694">
        <f>SUMIFS(Imput[Importe Neto],Imput[C. Imp.],$D962,Imput[PERIODO Imp.],DH$9)</f>
        <v>0</v>
      </c>
    </row>
    <row r="963" spans="1:112" s="649" customFormat="1" outlineLevel="1" x14ac:dyDescent="0.3">
      <c r="A963" s="652" t="str">
        <f t="shared" si="337"/>
        <v>Imprimir</v>
      </c>
      <c r="B963" s="652"/>
      <c r="C963" s="685"/>
      <c r="D963" s="686" t="s">
        <v>784</v>
      </c>
      <c r="E963" s="686" t="s">
        <v>3555</v>
      </c>
      <c r="F963" s="687"/>
      <c r="G963" s="688">
        <f t="shared" si="338"/>
        <v>12857.142857142857</v>
      </c>
      <c r="H963" s="531">
        <v>1</v>
      </c>
      <c r="I963" s="851">
        <f t="shared" si="334"/>
        <v>1</v>
      </c>
      <c r="J963" s="850">
        <f t="shared" si="339"/>
        <v>12857.142857142857</v>
      </c>
      <c r="K963" s="667"/>
      <c r="L963" s="858">
        <v>0.3</v>
      </c>
      <c r="M963" s="859"/>
      <c r="N963" s="859">
        <v>0.05</v>
      </c>
      <c r="O963" s="859"/>
      <c r="P963" s="859">
        <v>0.05</v>
      </c>
      <c r="Q963" s="859"/>
      <c r="R963" s="859">
        <v>0.05</v>
      </c>
      <c r="S963" s="859"/>
      <c r="T963" s="859">
        <v>0.05</v>
      </c>
      <c r="U963" s="859"/>
      <c r="V963" s="859">
        <v>0.05</v>
      </c>
      <c r="W963" s="859"/>
      <c r="X963" s="859">
        <v>0.05</v>
      </c>
      <c r="Y963" s="859"/>
      <c r="Z963" s="860">
        <v>0.05</v>
      </c>
      <c r="AA963" s="860"/>
      <c r="AB963" s="860">
        <v>0.05</v>
      </c>
      <c r="AC963" s="860"/>
      <c r="AD963" s="860">
        <v>0.05</v>
      </c>
      <c r="AE963" s="860"/>
      <c r="AF963" s="860">
        <v>0.05</v>
      </c>
      <c r="AG963" s="860"/>
      <c r="AH963" s="860">
        <v>0.05</v>
      </c>
      <c r="AI963" s="860"/>
      <c r="AJ963" s="860">
        <v>0.15</v>
      </c>
      <c r="AK963" s="860"/>
      <c r="AL963" s="860"/>
      <c r="AM963" s="860"/>
      <c r="AN963" s="860"/>
      <c r="AO963" s="860"/>
      <c r="AP963" s="860"/>
      <c r="AQ963" s="860"/>
      <c r="AR963" s="860"/>
      <c r="AS963" s="860"/>
      <c r="AT963" s="860"/>
      <c r="AU963" s="860"/>
      <c r="AV963" s="860"/>
      <c r="AW963" s="860"/>
      <c r="AX963" s="860"/>
      <c r="AY963" s="860"/>
      <c r="AZ963" s="860"/>
      <c r="BA963" s="860"/>
      <c r="BB963" s="860"/>
      <c r="BC963" s="860"/>
      <c r="BD963" s="860"/>
      <c r="BE963" s="860"/>
      <c r="BF963" s="860"/>
      <c r="BG963" s="860"/>
      <c r="BH963" s="668"/>
      <c r="BI963" s="654"/>
      <c r="BJ963" s="690">
        <f t="shared" si="335"/>
        <v>0</v>
      </c>
      <c r="BK963" s="691">
        <f t="shared" si="336"/>
        <v>0</v>
      </c>
      <c r="BL963" s="654"/>
      <c r="BM963" s="692">
        <f>SUMIFS(Imput[Importe Neto],Imput[C. Imp.],$D963,Imput[PERIODO Imp.],BM$9)</f>
        <v>0</v>
      </c>
      <c r="BN963" s="693">
        <f>SUMIFS(Imput[Importe Neto],Imput[C. Imp.],$D963,Imput[PERIODO Imp.],BN$9)</f>
        <v>0</v>
      </c>
      <c r="BO963" s="693">
        <f>SUMIFS(Imput[Importe Neto],Imput[C. Imp.],$D963,Imput[PERIODO Imp.],BO$9)</f>
        <v>0</v>
      </c>
      <c r="BP963" s="693">
        <f>SUMIFS(Imput[Importe Neto],Imput[C. Imp.],$D963,Imput[PERIODO Imp.],BP$9)</f>
        <v>0</v>
      </c>
      <c r="BQ963" s="693">
        <f>SUMIFS(Imput[Importe Neto],Imput[C. Imp.],$D963,Imput[PERIODO Imp.],BQ$9)</f>
        <v>0</v>
      </c>
      <c r="BR963" s="693">
        <f>SUMIFS(Imput[Importe Neto],Imput[C. Imp.],$D963,Imput[PERIODO Imp.],BR$9)</f>
        <v>0</v>
      </c>
      <c r="BS963" s="693">
        <f>SUMIFS(Imput[Importe Neto],Imput[C. Imp.],$D963,Imput[PERIODO Imp.],BS$9)</f>
        <v>0</v>
      </c>
      <c r="BT963" s="693">
        <f>SUMIFS(Imput[Importe Neto],Imput[C. Imp.],$D963,Imput[PERIODO Imp.],BT$9)</f>
        <v>0</v>
      </c>
      <c r="BU963" s="693">
        <f>SUMIFS(Imput[Importe Neto],Imput[C. Imp.],$D963,Imput[PERIODO Imp.],BU$9)</f>
        <v>0</v>
      </c>
      <c r="BV963" s="693">
        <f>SUMIFS(Imput[Importe Neto],Imput[C. Imp.],$D963,Imput[PERIODO Imp.],BV$9)</f>
        <v>0</v>
      </c>
      <c r="BW963" s="693">
        <f>SUMIFS(Imput[Importe Neto],Imput[C. Imp.],$D963,Imput[PERIODO Imp.],BW$9)</f>
        <v>0</v>
      </c>
      <c r="BX963" s="693">
        <f>SUMIFS(Imput[Importe Neto],Imput[C. Imp.],$D963,Imput[PERIODO Imp.],BX$9)</f>
        <v>0</v>
      </c>
      <c r="BY963" s="693">
        <f>SUMIFS(Imput[Importe Neto],Imput[C. Imp.],$D963,Imput[PERIODO Imp.],BY$9)</f>
        <v>0</v>
      </c>
      <c r="BZ963" s="693">
        <f>SUMIFS(Imput[Importe Neto],Imput[C. Imp.],$D963,Imput[PERIODO Imp.],BZ$9)</f>
        <v>0</v>
      </c>
      <c r="CA963" s="693">
        <f>SUMIFS(Imput[Importe Neto],Imput[C. Imp.],$D963,Imput[PERIODO Imp.],CA$9)</f>
        <v>0</v>
      </c>
      <c r="CB963" s="693">
        <f>SUMIFS(Imput[Importe Neto],Imput[C. Imp.],$D963,Imput[PERIODO Imp.],CB$9)</f>
        <v>0</v>
      </c>
      <c r="CC963" s="693">
        <f>SUMIFS(Imput[Importe Neto],Imput[C. Imp.],$D963,Imput[PERIODO Imp.],CC$9)</f>
        <v>0</v>
      </c>
      <c r="CD963" s="693">
        <f>SUMIFS(Imput[Importe Neto],Imput[C. Imp.],$D963,Imput[PERIODO Imp.],CD$9)</f>
        <v>0</v>
      </c>
      <c r="CE963" s="693">
        <f>SUMIFS(Imput[Importe Neto],Imput[C. Imp.],$D963,Imput[PERIODO Imp.],CE$9)</f>
        <v>0</v>
      </c>
      <c r="CF963" s="693">
        <f>SUMIFS(Imput[Importe Neto],Imput[C. Imp.],$D963,Imput[PERIODO Imp.],CF$9)</f>
        <v>0</v>
      </c>
      <c r="CG963" s="693">
        <f>SUMIFS(Imput[Importe Neto],Imput[C. Imp.],$D963,Imput[PERIODO Imp.],CG$9)</f>
        <v>0</v>
      </c>
      <c r="CH963" s="693">
        <f>SUMIFS(Imput[Importe Neto],Imput[C. Imp.],$D963,Imput[PERIODO Imp.],CH$9)</f>
        <v>0</v>
      </c>
      <c r="CI963" s="693">
        <f>SUMIFS(Imput[Importe Neto],Imput[C. Imp.],$D963,Imput[PERIODO Imp.],CI$9)</f>
        <v>0</v>
      </c>
      <c r="CJ963" s="693">
        <f>SUMIFS(Imput[Importe Neto],Imput[C. Imp.],$D963,Imput[PERIODO Imp.],CJ$9)</f>
        <v>0</v>
      </c>
      <c r="CK963" s="693">
        <f>SUMIFS(Imput[Importe Neto],Imput[C. Imp.],$D963,Imput[PERIODO Imp.],CK$9)</f>
        <v>0</v>
      </c>
      <c r="CL963" s="693">
        <f>SUMIFS(Imput[Importe Neto],Imput[C. Imp.],$D963,Imput[PERIODO Imp.],CL$9)</f>
        <v>0</v>
      </c>
      <c r="CM963" s="693">
        <f>SUMIFS(Imput[Importe Neto],Imput[C. Imp.],$D963,Imput[PERIODO Imp.],CM$9)</f>
        <v>0</v>
      </c>
      <c r="CN963" s="693">
        <f>SUMIFS(Imput[Importe Neto],Imput[C. Imp.],$D963,Imput[PERIODO Imp.],CN$9)</f>
        <v>0</v>
      </c>
      <c r="CO963" s="693">
        <f>SUMIFS(Imput[Importe Neto],Imput[C. Imp.],$D963,Imput[PERIODO Imp.],CO$9)</f>
        <v>0</v>
      </c>
      <c r="CP963" s="693">
        <f>SUMIFS(Imput[Importe Neto],Imput[C. Imp.],$D963,Imput[PERIODO Imp.],CP$9)</f>
        <v>0</v>
      </c>
      <c r="CQ963" s="693">
        <f>SUMIFS(Imput[Importe Neto],Imput[C. Imp.],$D963,Imput[PERIODO Imp.],CQ$9)</f>
        <v>0</v>
      </c>
      <c r="CR963" s="693">
        <f>SUMIFS(Imput[Importe Neto],Imput[C. Imp.],$D963,Imput[PERIODO Imp.],CR$9)</f>
        <v>0</v>
      </c>
      <c r="CS963" s="693">
        <f>SUMIFS(Imput[Importe Neto],Imput[C. Imp.],$D963,Imput[PERIODO Imp.],CS$9)</f>
        <v>0</v>
      </c>
      <c r="CT963" s="693">
        <f>SUMIFS(Imput[Importe Neto],Imput[C. Imp.],$D963,Imput[PERIODO Imp.],CT$9)</f>
        <v>0</v>
      </c>
      <c r="CU963" s="693">
        <f>SUMIFS(Imput[Importe Neto],Imput[C. Imp.],$D963,Imput[PERIODO Imp.],CU$9)</f>
        <v>0</v>
      </c>
      <c r="CV963" s="693">
        <f>SUMIFS(Imput[Importe Neto],Imput[C. Imp.],$D963,Imput[PERIODO Imp.],CV$9)</f>
        <v>0</v>
      </c>
      <c r="CW963" s="693">
        <f>SUMIFS(Imput[Importe Neto],Imput[C. Imp.],$D963,Imput[PERIODO Imp.],CW$9)</f>
        <v>0</v>
      </c>
      <c r="CX963" s="693">
        <f>SUMIFS(Imput[Importe Neto],Imput[C. Imp.],$D963,Imput[PERIODO Imp.],CX$9)</f>
        <v>0</v>
      </c>
      <c r="CY963" s="693">
        <f>SUMIFS(Imput[Importe Neto],Imput[C. Imp.],$D963,Imput[PERIODO Imp.],CY$9)</f>
        <v>0</v>
      </c>
      <c r="CZ963" s="693">
        <f>SUMIFS(Imput[Importe Neto],Imput[C. Imp.],$D963,Imput[PERIODO Imp.],CZ$9)</f>
        <v>0</v>
      </c>
      <c r="DA963" s="693">
        <f>SUMIFS(Imput[Importe Neto],Imput[C. Imp.],$D963,Imput[PERIODO Imp.],DA$9)</f>
        <v>0</v>
      </c>
      <c r="DB963" s="693">
        <f>SUMIFS(Imput[Importe Neto],Imput[C. Imp.],$D963,Imput[PERIODO Imp.],DB$9)</f>
        <v>0</v>
      </c>
      <c r="DC963" s="693">
        <f>SUMIFS(Imput[Importe Neto],Imput[C. Imp.],$D963,Imput[PERIODO Imp.],DC$9)</f>
        <v>0</v>
      </c>
      <c r="DD963" s="693">
        <f>SUMIFS(Imput[Importe Neto],Imput[C. Imp.],$D963,Imput[PERIODO Imp.],DD$9)</f>
        <v>0</v>
      </c>
      <c r="DE963" s="693">
        <f>SUMIFS(Imput[Importe Neto],Imput[C. Imp.],$D963,Imput[PERIODO Imp.],DE$9)</f>
        <v>0</v>
      </c>
      <c r="DF963" s="693">
        <f>SUMIFS(Imput[Importe Neto],Imput[C. Imp.],$D963,Imput[PERIODO Imp.],DF$9)</f>
        <v>0</v>
      </c>
      <c r="DG963" s="693">
        <f>SUMIFS(Imput[Importe Neto],Imput[C. Imp.],$D963,Imput[PERIODO Imp.],DG$9)</f>
        <v>0</v>
      </c>
      <c r="DH963" s="694">
        <f>SUMIFS(Imput[Importe Neto],Imput[C. Imp.],$D963,Imput[PERIODO Imp.],DH$9)</f>
        <v>0</v>
      </c>
    </row>
    <row r="964" spans="1:112" s="649" customFormat="1" outlineLevel="1" x14ac:dyDescent="0.3">
      <c r="A964" s="652" t="str">
        <f t="shared" si="337"/>
        <v>Imprimir</v>
      </c>
      <c r="B964" s="652"/>
      <c r="C964" s="685"/>
      <c r="D964" s="686" t="s">
        <v>785</v>
      </c>
      <c r="E964" s="686" t="s">
        <v>3365</v>
      </c>
      <c r="F964" s="687"/>
      <c r="G964" s="688">
        <f t="shared" si="338"/>
        <v>12857.142857142857</v>
      </c>
      <c r="H964" s="531">
        <v>1</v>
      </c>
      <c r="I964" s="851">
        <f t="shared" si="334"/>
        <v>1</v>
      </c>
      <c r="J964" s="850">
        <f t="shared" si="339"/>
        <v>12857.142857142857</v>
      </c>
      <c r="K964" s="667"/>
      <c r="L964" s="858">
        <v>0.3</v>
      </c>
      <c r="M964" s="859"/>
      <c r="N964" s="859">
        <v>0.05</v>
      </c>
      <c r="O964" s="859"/>
      <c r="P964" s="859">
        <v>0.05</v>
      </c>
      <c r="Q964" s="859"/>
      <c r="R964" s="859">
        <v>0.05</v>
      </c>
      <c r="S964" s="859"/>
      <c r="T964" s="859">
        <v>0.05</v>
      </c>
      <c r="U964" s="859"/>
      <c r="V964" s="859">
        <v>0.05</v>
      </c>
      <c r="W964" s="859"/>
      <c r="X964" s="859">
        <v>0.05</v>
      </c>
      <c r="Y964" s="859"/>
      <c r="Z964" s="860">
        <v>0.05</v>
      </c>
      <c r="AA964" s="860"/>
      <c r="AB964" s="860">
        <v>0.05</v>
      </c>
      <c r="AC964" s="860"/>
      <c r="AD964" s="860">
        <v>0.05</v>
      </c>
      <c r="AE964" s="860"/>
      <c r="AF964" s="860">
        <v>0.05</v>
      </c>
      <c r="AG964" s="860"/>
      <c r="AH964" s="860">
        <v>0.05</v>
      </c>
      <c r="AI964" s="860"/>
      <c r="AJ964" s="860">
        <v>0.15</v>
      </c>
      <c r="AK964" s="860"/>
      <c r="AL964" s="860"/>
      <c r="AM964" s="860"/>
      <c r="AN964" s="860"/>
      <c r="AO964" s="860"/>
      <c r="AP964" s="860"/>
      <c r="AQ964" s="860"/>
      <c r="AR964" s="860"/>
      <c r="AS964" s="860"/>
      <c r="AT964" s="860"/>
      <c r="AU964" s="860"/>
      <c r="AV964" s="860"/>
      <c r="AW964" s="860"/>
      <c r="AX964" s="860"/>
      <c r="AY964" s="860"/>
      <c r="AZ964" s="860"/>
      <c r="BA964" s="860"/>
      <c r="BB964" s="860"/>
      <c r="BC964" s="860"/>
      <c r="BD964" s="860"/>
      <c r="BE964" s="860"/>
      <c r="BF964" s="860"/>
      <c r="BG964" s="860"/>
      <c r="BH964" s="668"/>
      <c r="BI964" s="654"/>
      <c r="BJ964" s="690">
        <f t="shared" si="335"/>
        <v>0</v>
      </c>
      <c r="BK964" s="691">
        <f t="shared" si="336"/>
        <v>0</v>
      </c>
      <c r="BL964" s="654"/>
      <c r="BM964" s="692">
        <f>SUMIFS(Imput[Importe Neto],Imput[C. Imp.],$D964,Imput[PERIODO Imp.],BM$9)</f>
        <v>0</v>
      </c>
      <c r="BN964" s="693">
        <f>SUMIFS(Imput[Importe Neto],Imput[C. Imp.],$D964,Imput[PERIODO Imp.],BN$9)</f>
        <v>0</v>
      </c>
      <c r="BO964" s="693">
        <f>SUMIFS(Imput[Importe Neto],Imput[C. Imp.],$D964,Imput[PERIODO Imp.],BO$9)</f>
        <v>0</v>
      </c>
      <c r="BP964" s="693">
        <f>SUMIFS(Imput[Importe Neto],Imput[C. Imp.],$D964,Imput[PERIODO Imp.],BP$9)</f>
        <v>0</v>
      </c>
      <c r="BQ964" s="693">
        <f>SUMIFS(Imput[Importe Neto],Imput[C. Imp.],$D964,Imput[PERIODO Imp.],BQ$9)</f>
        <v>0</v>
      </c>
      <c r="BR964" s="693">
        <f>SUMIFS(Imput[Importe Neto],Imput[C. Imp.],$D964,Imput[PERIODO Imp.],BR$9)</f>
        <v>0</v>
      </c>
      <c r="BS964" s="693">
        <f>SUMIFS(Imput[Importe Neto],Imput[C. Imp.],$D964,Imput[PERIODO Imp.],BS$9)</f>
        <v>0</v>
      </c>
      <c r="BT964" s="693">
        <f>SUMIFS(Imput[Importe Neto],Imput[C. Imp.],$D964,Imput[PERIODO Imp.],BT$9)</f>
        <v>0</v>
      </c>
      <c r="BU964" s="693">
        <f>SUMIFS(Imput[Importe Neto],Imput[C. Imp.],$D964,Imput[PERIODO Imp.],BU$9)</f>
        <v>0</v>
      </c>
      <c r="BV964" s="693">
        <f>SUMIFS(Imput[Importe Neto],Imput[C. Imp.],$D964,Imput[PERIODO Imp.],BV$9)</f>
        <v>0</v>
      </c>
      <c r="BW964" s="693">
        <f>SUMIFS(Imput[Importe Neto],Imput[C. Imp.],$D964,Imput[PERIODO Imp.],BW$9)</f>
        <v>0</v>
      </c>
      <c r="BX964" s="693">
        <f>SUMIFS(Imput[Importe Neto],Imput[C. Imp.],$D964,Imput[PERIODO Imp.],BX$9)</f>
        <v>0</v>
      </c>
      <c r="BY964" s="693">
        <f>SUMIFS(Imput[Importe Neto],Imput[C. Imp.],$D964,Imput[PERIODO Imp.],BY$9)</f>
        <v>0</v>
      </c>
      <c r="BZ964" s="693">
        <f>SUMIFS(Imput[Importe Neto],Imput[C. Imp.],$D964,Imput[PERIODO Imp.],BZ$9)</f>
        <v>0</v>
      </c>
      <c r="CA964" s="693">
        <f>SUMIFS(Imput[Importe Neto],Imput[C. Imp.],$D964,Imput[PERIODO Imp.],CA$9)</f>
        <v>0</v>
      </c>
      <c r="CB964" s="693">
        <f>SUMIFS(Imput[Importe Neto],Imput[C. Imp.],$D964,Imput[PERIODO Imp.],CB$9)</f>
        <v>0</v>
      </c>
      <c r="CC964" s="693">
        <f>SUMIFS(Imput[Importe Neto],Imput[C. Imp.],$D964,Imput[PERIODO Imp.],CC$9)</f>
        <v>0</v>
      </c>
      <c r="CD964" s="693">
        <f>SUMIFS(Imput[Importe Neto],Imput[C. Imp.],$D964,Imput[PERIODO Imp.],CD$9)</f>
        <v>0</v>
      </c>
      <c r="CE964" s="693">
        <f>SUMIFS(Imput[Importe Neto],Imput[C. Imp.],$D964,Imput[PERIODO Imp.],CE$9)</f>
        <v>0</v>
      </c>
      <c r="CF964" s="693">
        <f>SUMIFS(Imput[Importe Neto],Imput[C. Imp.],$D964,Imput[PERIODO Imp.],CF$9)</f>
        <v>0</v>
      </c>
      <c r="CG964" s="693">
        <f>SUMIFS(Imput[Importe Neto],Imput[C. Imp.],$D964,Imput[PERIODO Imp.],CG$9)</f>
        <v>0</v>
      </c>
      <c r="CH964" s="693">
        <f>SUMIFS(Imput[Importe Neto],Imput[C. Imp.],$D964,Imput[PERIODO Imp.],CH$9)</f>
        <v>0</v>
      </c>
      <c r="CI964" s="693">
        <f>SUMIFS(Imput[Importe Neto],Imput[C. Imp.],$D964,Imput[PERIODO Imp.],CI$9)</f>
        <v>0</v>
      </c>
      <c r="CJ964" s="693">
        <f>SUMIFS(Imput[Importe Neto],Imput[C. Imp.],$D964,Imput[PERIODO Imp.],CJ$9)</f>
        <v>0</v>
      </c>
      <c r="CK964" s="693">
        <f>SUMIFS(Imput[Importe Neto],Imput[C. Imp.],$D964,Imput[PERIODO Imp.],CK$9)</f>
        <v>0</v>
      </c>
      <c r="CL964" s="693">
        <f>SUMIFS(Imput[Importe Neto],Imput[C. Imp.],$D964,Imput[PERIODO Imp.],CL$9)</f>
        <v>0</v>
      </c>
      <c r="CM964" s="693">
        <f>SUMIFS(Imput[Importe Neto],Imput[C. Imp.],$D964,Imput[PERIODO Imp.],CM$9)</f>
        <v>0</v>
      </c>
      <c r="CN964" s="693">
        <f>SUMIFS(Imput[Importe Neto],Imput[C. Imp.],$D964,Imput[PERIODO Imp.],CN$9)</f>
        <v>0</v>
      </c>
      <c r="CO964" s="693">
        <f>SUMIFS(Imput[Importe Neto],Imput[C. Imp.],$D964,Imput[PERIODO Imp.],CO$9)</f>
        <v>0</v>
      </c>
      <c r="CP964" s="693">
        <f>SUMIFS(Imput[Importe Neto],Imput[C. Imp.],$D964,Imput[PERIODO Imp.],CP$9)</f>
        <v>0</v>
      </c>
      <c r="CQ964" s="693">
        <f>SUMIFS(Imput[Importe Neto],Imput[C. Imp.],$D964,Imput[PERIODO Imp.],CQ$9)</f>
        <v>0</v>
      </c>
      <c r="CR964" s="693">
        <f>SUMIFS(Imput[Importe Neto],Imput[C. Imp.],$D964,Imput[PERIODO Imp.],CR$9)</f>
        <v>0</v>
      </c>
      <c r="CS964" s="693">
        <f>SUMIFS(Imput[Importe Neto],Imput[C. Imp.],$D964,Imput[PERIODO Imp.],CS$9)</f>
        <v>0</v>
      </c>
      <c r="CT964" s="693">
        <f>SUMIFS(Imput[Importe Neto],Imput[C. Imp.],$D964,Imput[PERIODO Imp.],CT$9)</f>
        <v>0</v>
      </c>
      <c r="CU964" s="693">
        <f>SUMIFS(Imput[Importe Neto],Imput[C. Imp.],$D964,Imput[PERIODO Imp.],CU$9)</f>
        <v>0</v>
      </c>
      <c r="CV964" s="693">
        <f>SUMIFS(Imput[Importe Neto],Imput[C. Imp.],$D964,Imput[PERIODO Imp.],CV$9)</f>
        <v>0</v>
      </c>
      <c r="CW964" s="693">
        <f>SUMIFS(Imput[Importe Neto],Imput[C. Imp.],$D964,Imput[PERIODO Imp.],CW$9)</f>
        <v>0</v>
      </c>
      <c r="CX964" s="693">
        <f>SUMIFS(Imput[Importe Neto],Imput[C. Imp.],$D964,Imput[PERIODO Imp.],CX$9)</f>
        <v>0</v>
      </c>
      <c r="CY964" s="693">
        <f>SUMIFS(Imput[Importe Neto],Imput[C. Imp.],$D964,Imput[PERIODO Imp.],CY$9)</f>
        <v>0</v>
      </c>
      <c r="CZ964" s="693">
        <f>SUMIFS(Imput[Importe Neto],Imput[C. Imp.],$D964,Imput[PERIODO Imp.],CZ$9)</f>
        <v>0</v>
      </c>
      <c r="DA964" s="693">
        <f>SUMIFS(Imput[Importe Neto],Imput[C. Imp.],$D964,Imput[PERIODO Imp.],DA$9)</f>
        <v>0</v>
      </c>
      <c r="DB964" s="693">
        <f>SUMIFS(Imput[Importe Neto],Imput[C. Imp.],$D964,Imput[PERIODO Imp.],DB$9)</f>
        <v>0</v>
      </c>
      <c r="DC964" s="693">
        <f>SUMIFS(Imput[Importe Neto],Imput[C. Imp.],$D964,Imput[PERIODO Imp.],DC$9)</f>
        <v>0</v>
      </c>
      <c r="DD964" s="693">
        <f>SUMIFS(Imput[Importe Neto],Imput[C. Imp.],$D964,Imput[PERIODO Imp.],DD$9)</f>
        <v>0</v>
      </c>
      <c r="DE964" s="693">
        <f>SUMIFS(Imput[Importe Neto],Imput[C. Imp.],$D964,Imput[PERIODO Imp.],DE$9)</f>
        <v>0</v>
      </c>
      <c r="DF964" s="693">
        <f>SUMIFS(Imput[Importe Neto],Imput[C. Imp.],$D964,Imput[PERIODO Imp.],DF$9)</f>
        <v>0</v>
      </c>
      <c r="DG964" s="693">
        <f>SUMIFS(Imput[Importe Neto],Imput[C. Imp.],$D964,Imput[PERIODO Imp.],DG$9)</f>
        <v>0</v>
      </c>
      <c r="DH964" s="694">
        <f>SUMIFS(Imput[Importe Neto],Imput[C. Imp.],$D964,Imput[PERIODO Imp.],DH$9)</f>
        <v>0</v>
      </c>
    </row>
    <row r="965" spans="1:112" s="649" customFormat="1" outlineLevel="1" x14ac:dyDescent="0.3">
      <c r="A965" s="652" t="str">
        <f t="shared" si="337"/>
        <v>Imprimir</v>
      </c>
      <c r="B965" s="652"/>
      <c r="C965" s="685"/>
      <c r="D965" s="686" t="s">
        <v>786</v>
      </c>
      <c r="E965" s="686" t="s">
        <v>3367</v>
      </c>
      <c r="F965" s="687"/>
      <c r="G965" s="688">
        <f t="shared" si="338"/>
        <v>12857.142857142857</v>
      </c>
      <c r="H965" s="531">
        <v>1</v>
      </c>
      <c r="I965" s="851">
        <f t="shared" si="334"/>
        <v>1</v>
      </c>
      <c r="J965" s="850">
        <f t="shared" si="339"/>
        <v>12857.142857142857</v>
      </c>
      <c r="K965" s="667"/>
      <c r="L965" s="858">
        <v>0.5</v>
      </c>
      <c r="M965" s="859"/>
      <c r="N965" s="859"/>
      <c r="O965" s="859"/>
      <c r="P965" s="859"/>
      <c r="Q965" s="859"/>
      <c r="R965" s="859">
        <v>0.05</v>
      </c>
      <c r="S965" s="859"/>
      <c r="T965" s="859">
        <v>0.05</v>
      </c>
      <c r="U965" s="859"/>
      <c r="V965" s="859">
        <v>0.05</v>
      </c>
      <c r="W965" s="859"/>
      <c r="X965" s="859">
        <v>0.05</v>
      </c>
      <c r="Y965" s="859"/>
      <c r="Z965" s="860">
        <v>0.05</v>
      </c>
      <c r="AA965" s="860"/>
      <c r="AB965" s="860">
        <v>0.05</v>
      </c>
      <c r="AC965" s="860"/>
      <c r="AD965" s="860">
        <v>0.05</v>
      </c>
      <c r="AE965" s="860"/>
      <c r="AF965" s="860">
        <v>0.05</v>
      </c>
      <c r="AG965" s="860"/>
      <c r="AH965" s="860"/>
      <c r="AI965" s="860"/>
      <c r="AJ965" s="860">
        <v>0.1</v>
      </c>
      <c r="AK965" s="860"/>
      <c r="AL965" s="860"/>
      <c r="AM965" s="860"/>
      <c r="AN965" s="860"/>
      <c r="AO965" s="860"/>
      <c r="AP965" s="860"/>
      <c r="AQ965" s="860"/>
      <c r="AR965" s="860"/>
      <c r="AS965" s="860"/>
      <c r="AT965" s="860"/>
      <c r="AU965" s="860"/>
      <c r="AV965" s="860"/>
      <c r="AW965" s="860"/>
      <c r="AX965" s="860"/>
      <c r="AY965" s="860"/>
      <c r="AZ965" s="860"/>
      <c r="BA965" s="860"/>
      <c r="BB965" s="860"/>
      <c r="BC965" s="860"/>
      <c r="BD965" s="860"/>
      <c r="BE965" s="860"/>
      <c r="BF965" s="860"/>
      <c r="BG965" s="860"/>
      <c r="BH965" s="668"/>
      <c r="BI965" s="654"/>
      <c r="BJ965" s="690">
        <f t="shared" si="335"/>
        <v>0</v>
      </c>
      <c r="BK965" s="691">
        <f t="shared" si="336"/>
        <v>0</v>
      </c>
      <c r="BL965" s="654"/>
      <c r="BM965" s="692">
        <f>SUMIFS(Imput[Importe Neto],Imput[C. Imp.],$D965,Imput[PERIODO Imp.],BM$9)</f>
        <v>0</v>
      </c>
      <c r="BN965" s="693">
        <f>SUMIFS(Imput[Importe Neto],Imput[C. Imp.],$D965,Imput[PERIODO Imp.],BN$9)</f>
        <v>0</v>
      </c>
      <c r="BO965" s="693">
        <f>SUMIFS(Imput[Importe Neto],Imput[C. Imp.],$D965,Imput[PERIODO Imp.],BO$9)</f>
        <v>0</v>
      </c>
      <c r="BP965" s="693">
        <f>SUMIFS(Imput[Importe Neto],Imput[C. Imp.],$D965,Imput[PERIODO Imp.],BP$9)</f>
        <v>0</v>
      </c>
      <c r="BQ965" s="693">
        <f>SUMIFS(Imput[Importe Neto],Imput[C. Imp.],$D965,Imput[PERIODO Imp.],BQ$9)</f>
        <v>0</v>
      </c>
      <c r="BR965" s="693">
        <f>SUMIFS(Imput[Importe Neto],Imput[C. Imp.],$D965,Imput[PERIODO Imp.],BR$9)</f>
        <v>0</v>
      </c>
      <c r="BS965" s="693">
        <f>SUMIFS(Imput[Importe Neto],Imput[C. Imp.],$D965,Imput[PERIODO Imp.],BS$9)</f>
        <v>0</v>
      </c>
      <c r="BT965" s="693">
        <f>SUMIFS(Imput[Importe Neto],Imput[C. Imp.],$D965,Imput[PERIODO Imp.],BT$9)</f>
        <v>0</v>
      </c>
      <c r="BU965" s="693">
        <f>SUMIFS(Imput[Importe Neto],Imput[C. Imp.],$D965,Imput[PERIODO Imp.],BU$9)</f>
        <v>0</v>
      </c>
      <c r="BV965" s="693">
        <f>SUMIFS(Imput[Importe Neto],Imput[C. Imp.],$D965,Imput[PERIODO Imp.],BV$9)</f>
        <v>0</v>
      </c>
      <c r="BW965" s="693">
        <f>SUMIFS(Imput[Importe Neto],Imput[C. Imp.],$D965,Imput[PERIODO Imp.],BW$9)</f>
        <v>0</v>
      </c>
      <c r="BX965" s="693">
        <f>SUMIFS(Imput[Importe Neto],Imput[C. Imp.],$D965,Imput[PERIODO Imp.],BX$9)</f>
        <v>0</v>
      </c>
      <c r="BY965" s="693">
        <f>SUMIFS(Imput[Importe Neto],Imput[C. Imp.],$D965,Imput[PERIODO Imp.],BY$9)</f>
        <v>0</v>
      </c>
      <c r="BZ965" s="693">
        <f>SUMIFS(Imput[Importe Neto],Imput[C. Imp.],$D965,Imput[PERIODO Imp.],BZ$9)</f>
        <v>0</v>
      </c>
      <c r="CA965" s="693">
        <f>SUMIFS(Imput[Importe Neto],Imput[C. Imp.],$D965,Imput[PERIODO Imp.],CA$9)</f>
        <v>0</v>
      </c>
      <c r="CB965" s="693">
        <f>SUMIFS(Imput[Importe Neto],Imput[C. Imp.],$D965,Imput[PERIODO Imp.],CB$9)</f>
        <v>0</v>
      </c>
      <c r="CC965" s="693">
        <f>SUMIFS(Imput[Importe Neto],Imput[C. Imp.],$D965,Imput[PERIODO Imp.],CC$9)</f>
        <v>0</v>
      </c>
      <c r="CD965" s="693">
        <f>SUMIFS(Imput[Importe Neto],Imput[C. Imp.],$D965,Imput[PERIODO Imp.],CD$9)</f>
        <v>0</v>
      </c>
      <c r="CE965" s="693">
        <f>SUMIFS(Imput[Importe Neto],Imput[C. Imp.],$D965,Imput[PERIODO Imp.],CE$9)</f>
        <v>0</v>
      </c>
      <c r="CF965" s="693">
        <f>SUMIFS(Imput[Importe Neto],Imput[C. Imp.],$D965,Imput[PERIODO Imp.],CF$9)</f>
        <v>0</v>
      </c>
      <c r="CG965" s="693">
        <f>SUMIFS(Imput[Importe Neto],Imput[C. Imp.],$D965,Imput[PERIODO Imp.],CG$9)</f>
        <v>0</v>
      </c>
      <c r="CH965" s="693">
        <f>SUMIFS(Imput[Importe Neto],Imput[C. Imp.],$D965,Imput[PERIODO Imp.],CH$9)</f>
        <v>0</v>
      </c>
      <c r="CI965" s="693">
        <f>SUMIFS(Imput[Importe Neto],Imput[C. Imp.],$D965,Imput[PERIODO Imp.],CI$9)</f>
        <v>0</v>
      </c>
      <c r="CJ965" s="693">
        <f>SUMIFS(Imput[Importe Neto],Imput[C. Imp.],$D965,Imput[PERIODO Imp.],CJ$9)</f>
        <v>0</v>
      </c>
      <c r="CK965" s="693">
        <f>SUMIFS(Imput[Importe Neto],Imput[C. Imp.],$D965,Imput[PERIODO Imp.],CK$9)</f>
        <v>0</v>
      </c>
      <c r="CL965" s="693">
        <f>SUMIFS(Imput[Importe Neto],Imput[C. Imp.],$D965,Imput[PERIODO Imp.],CL$9)</f>
        <v>0</v>
      </c>
      <c r="CM965" s="693">
        <f>SUMIFS(Imput[Importe Neto],Imput[C. Imp.],$D965,Imput[PERIODO Imp.],CM$9)</f>
        <v>0</v>
      </c>
      <c r="CN965" s="693">
        <f>SUMIFS(Imput[Importe Neto],Imput[C. Imp.],$D965,Imput[PERIODO Imp.],CN$9)</f>
        <v>0</v>
      </c>
      <c r="CO965" s="693">
        <f>SUMIFS(Imput[Importe Neto],Imput[C. Imp.],$D965,Imput[PERIODO Imp.],CO$9)</f>
        <v>0</v>
      </c>
      <c r="CP965" s="693">
        <f>SUMIFS(Imput[Importe Neto],Imput[C. Imp.],$D965,Imput[PERIODO Imp.],CP$9)</f>
        <v>0</v>
      </c>
      <c r="CQ965" s="693">
        <f>SUMIFS(Imput[Importe Neto],Imput[C. Imp.],$D965,Imput[PERIODO Imp.],CQ$9)</f>
        <v>0</v>
      </c>
      <c r="CR965" s="693">
        <f>SUMIFS(Imput[Importe Neto],Imput[C. Imp.],$D965,Imput[PERIODO Imp.],CR$9)</f>
        <v>0</v>
      </c>
      <c r="CS965" s="693">
        <f>SUMIFS(Imput[Importe Neto],Imput[C. Imp.],$D965,Imput[PERIODO Imp.],CS$9)</f>
        <v>0</v>
      </c>
      <c r="CT965" s="693">
        <f>SUMIFS(Imput[Importe Neto],Imput[C. Imp.],$D965,Imput[PERIODO Imp.],CT$9)</f>
        <v>0</v>
      </c>
      <c r="CU965" s="693">
        <f>SUMIFS(Imput[Importe Neto],Imput[C. Imp.],$D965,Imput[PERIODO Imp.],CU$9)</f>
        <v>0</v>
      </c>
      <c r="CV965" s="693">
        <f>SUMIFS(Imput[Importe Neto],Imput[C. Imp.],$D965,Imput[PERIODO Imp.],CV$9)</f>
        <v>0</v>
      </c>
      <c r="CW965" s="693">
        <f>SUMIFS(Imput[Importe Neto],Imput[C. Imp.],$D965,Imput[PERIODO Imp.],CW$9)</f>
        <v>0</v>
      </c>
      <c r="CX965" s="693">
        <f>SUMIFS(Imput[Importe Neto],Imput[C. Imp.],$D965,Imput[PERIODO Imp.],CX$9)</f>
        <v>0</v>
      </c>
      <c r="CY965" s="693">
        <f>SUMIFS(Imput[Importe Neto],Imput[C. Imp.],$D965,Imput[PERIODO Imp.],CY$9)</f>
        <v>0</v>
      </c>
      <c r="CZ965" s="693">
        <f>SUMIFS(Imput[Importe Neto],Imput[C. Imp.],$D965,Imput[PERIODO Imp.],CZ$9)</f>
        <v>0</v>
      </c>
      <c r="DA965" s="693">
        <f>SUMIFS(Imput[Importe Neto],Imput[C. Imp.],$D965,Imput[PERIODO Imp.],DA$9)</f>
        <v>0</v>
      </c>
      <c r="DB965" s="693">
        <f>SUMIFS(Imput[Importe Neto],Imput[C. Imp.],$D965,Imput[PERIODO Imp.],DB$9)</f>
        <v>0</v>
      </c>
      <c r="DC965" s="693">
        <f>SUMIFS(Imput[Importe Neto],Imput[C. Imp.],$D965,Imput[PERIODO Imp.],DC$9)</f>
        <v>0</v>
      </c>
      <c r="DD965" s="693">
        <f>SUMIFS(Imput[Importe Neto],Imput[C. Imp.],$D965,Imput[PERIODO Imp.],DD$9)</f>
        <v>0</v>
      </c>
      <c r="DE965" s="693">
        <f>SUMIFS(Imput[Importe Neto],Imput[C. Imp.],$D965,Imput[PERIODO Imp.],DE$9)</f>
        <v>0</v>
      </c>
      <c r="DF965" s="693">
        <f>SUMIFS(Imput[Importe Neto],Imput[C. Imp.],$D965,Imput[PERIODO Imp.],DF$9)</f>
        <v>0</v>
      </c>
      <c r="DG965" s="693">
        <f>SUMIFS(Imput[Importe Neto],Imput[C. Imp.],$D965,Imput[PERIODO Imp.],DG$9)</f>
        <v>0</v>
      </c>
      <c r="DH965" s="694">
        <f>SUMIFS(Imput[Importe Neto],Imput[C. Imp.],$D965,Imput[PERIODO Imp.],DH$9)</f>
        <v>0</v>
      </c>
    </row>
    <row r="966" spans="1:112" s="649" customFormat="1" outlineLevel="1" x14ac:dyDescent="0.3">
      <c r="A966" s="652" t="str">
        <f t="shared" ref="A966:A967" si="340">IF(J966="","",IF(J966=0,"","Imprimir"))</f>
        <v>Imprimir</v>
      </c>
      <c r="B966" s="652"/>
      <c r="C966" s="685"/>
      <c r="D966" s="686" t="s">
        <v>787</v>
      </c>
      <c r="E966" s="686" t="s">
        <v>3369</v>
      </c>
      <c r="F966" s="720"/>
      <c r="G966" s="688">
        <f>12000+(13000/7)</f>
        <v>13857.142857142857</v>
      </c>
      <c r="H966" s="689">
        <v>1</v>
      </c>
      <c r="I966" s="851">
        <f t="shared" ref="I966:I967" si="341">IF(E966&gt;0,$J$5,"")</f>
        <v>1</v>
      </c>
      <c r="J966" s="852">
        <f t="shared" ref="J966:J967" si="342">IFERROR(G966*H966*I966,"")</f>
        <v>13857.142857142857</v>
      </c>
      <c r="K966" s="667"/>
      <c r="L966" s="858">
        <v>0.3</v>
      </c>
      <c r="M966" s="859"/>
      <c r="N966" s="859">
        <v>0.05</v>
      </c>
      <c r="O966" s="859"/>
      <c r="P966" s="859">
        <v>0.05</v>
      </c>
      <c r="Q966" s="859"/>
      <c r="R966" s="859">
        <v>0.05</v>
      </c>
      <c r="S966" s="859"/>
      <c r="T966" s="859">
        <v>0.05</v>
      </c>
      <c r="U966" s="859"/>
      <c r="V966" s="859">
        <v>0.05</v>
      </c>
      <c r="W966" s="859"/>
      <c r="X966" s="859">
        <v>0.05</v>
      </c>
      <c r="Y966" s="859"/>
      <c r="Z966" s="860">
        <v>0.05</v>
      </c>
      <c r="AA966" s="860"/>
      <c r="AB966" s="860">
        <v>0.05</v>
      </c>
      <c r="AC966" s="860"/>
      <c r="AD966" s="860">
        <v>0.05</v>
      </c>
      <c r="AE966" s="860"/>
      <c r="AF966" s="860">
        <v>0.05</v>
      </c>
      <c r="AG966" s="860"/>
      <c r="AH966" s="860">
        <v>0.05</v>
      </c>
      <c r="AI966" s="860"/>
      <c r="AJ966" s="860">
        <v>0.15</v>
      </c>
      <c r="AK966" s="860"/>
      <c r="AL966" s="860"/>
      <c r="AM966" s="860"/>
      <c r="AN966" s="860"/>
      <c r="AO966" s="860"/>
      <c r="AP966" s="860"/>
      <c r="AQ966" s="860"/>
      <c r="AR966" s="860"/>
      <c r="AS966" s="860"/>
      <c r="AT966" s="860"/>
      <c r="AU966" s="860"/>
      <c r="AV966" s="860"/>
      <c r="AW966" s="860"/>
      <c r="AX966" s="860"/>
      <c r="AY966" s="860"/>
      <c r="AZ966" s="860"/>
      <c r="BA966" s="860"/>
      <c r="BB966" s="860"/>
      <c r="BC966" s="860"/>
      <c r="BD966" s="860"/>
      <c r="BE966" s="860"/>
      <c r="BF966" s="860"/>
      <c r="BG966" s="860"/>
      <c r="BH966" s="668"/>
      <c r="BI966" s="667"/>
      <c r="BJ966" s="690">
        <f t="shared" ref="BJ966:BJ967" si="343">IFERROR(BK966/J966,0)</f>
        <v>0</v>
      </c>
      <c r="BK966" s="691">
        <f t="shared" ref="BK966:BK967" si="344">SUM(BM966:DH966)</f>
        <v>0</v>
      </c>
      <c r="BL966" s="654"/>
      <c r="BM966" s="692">
        <f>SUMIFS(Imput[Importe Neto],Imput[C. Imp.],$D966,Imput[PERIODO Imp.],BM$9)</f>
        <v>0</v>
      </c>
      <c r="BN966" s="693">
        <f>SUMIFS(Imput[Importe Neto],Imput[C. Imp.],$D966,Imput[PERIODO Imp.],BN$9)</f>
        <v>0</v>
      </c>
      <c r="BO966" s="693">
        <f>SUMIFS(Imput[Importe Neto],Imput[C. Imp.],$D966,Imput[PERIODO Imp.],BO$9)</f>
        <v>0</v>
      </c>
      <c r="BP966" s="693">
        <f>SUMIFS(Imput[Importe Neto],Imput[C. Imp.],$D966,Imput[PERIODO Imp.],BP$9)</f>
        <v>0</v>
      </c>
      <c r="BQ966" s="693">
        <f>SUMIFS(Imput[Importe Neto],Imput[C. Imp.],$D966,Imput[PERIODO Imp.],BQ$9)</f>
        <v>0</v>
      </c>
      <c r="BR966" s="693">
        <f>SUMIFS(Imput[Importe Neto],Imput[C. Imp.],$D966,Imput[PERIODO Imp.],BR$9)</f>
        <v>0</v>
      </c>
      <c r="BS966" s="693">
        <f>SUMIFS(Imput[Importe Neto],Imput[C. Imp.],$D966,Imput[PERIODO Imp.],BS$9)</f>
        <v>0</v>
      </c>
      <c r="BT966" s="693">
        <f>SUMIFS(Imput[Importe Neto],Imput[C. Imp.],$D966,Imput[PERIODO Imp.],BT$9)</f>
        <v>0</v>
      </c>
      <c r="BU966" s="693">
        <f>SUMIFS(Imput[Importe Neto],Imput[C. Imp.],$D966,Imput[PERIODO Imp.],BU$9)</f>
        <v>0</v>
      </c>
      <c r="BV966" s="693">
        <f>SUMIFS(Imput[Importe Neto],Imput[C. Imp.],$D966,Imput[PERIODO Imp.],BV$9)</f>
        <v>0</v>
      </c>
      <c r="BW966" s="693">
        <f>SUMIFS(Imput[Importe Neto],Imput[C. Imp.],$D966,Imput[PERIODO Imp.],BW$9)</f>
        <v>0</v>
      </c>
      <c r="BX966" s="693">
        <f>SUMIFS(Imput[Importe Neto],Imput[C. Imp.],$D966,Imput[PERIODO Imp.],BX$9)</f>
        <v>0</v>
      </c>
      <c r="BY966" s="693">
        <f>SUMIFS(Imput[Importe Neto],Imput[C. Imp.],$D966,Imput[PERIODO Imp.],BY$9)</f>
        <v>0</v>
      </c>
      <c r="BZ966" s="693">
        <f>SUMIFS(Imput[Importe Neto],Imput[C. Imp.],$D966,Imput[PERIODO Imp.],BZ$9)</f>
        <v>0</v>
      </c>
      <c r="CA966" s="693">
        <f>SUMIFS(Imput[Importe Neto],Imput[C. Imp.],$D966,Imput[PERIODO Imp.],CA$9)</f>
        <v>0</v>
      </c>
      <c r="CB966" s="693">
        <f>SUMIFS(Imput[Importe Neto],Imput[C. Imp.],$D966,Imput[PERIODO Imp.],CB$9)</f>
        <v>0</v>
      </c>
      <c r="CC966" s="693">
        <f>SUMIFS(Imput[Importe Neto],Imput[C. Imp.],$D966,Imput[PERIODO Imp.],CC$9)</f>
        <v>0</v>
      </c>
      <c r="CD966" s="693">
        <f>SUMIFS(Imput[Importe Neto],Imput[C. Imp.],$D966,Imput[PERIODO Imp.],CD$9)</f>
        <v>0</v>
      </c>
      <c r="CE966" s="693">
        <f>SUMIFS(Imput[Importe Neto],Imput[C. Imp.],$D966,Imput[PERIODO Imp.],CE$9)</f>
        <v>0</v>
      </c>
      <c r="CF966" s="693">
        <f>SUMIFS(Imput[Importe Neto],Imput[C. Imp.],$D966,Imput[PERIODO Imp.],CF$9)</f>
        <v>0</v>
      </c>
      <c r="CG966" s="693">
        <f>SUMIFS(Imput[Importe Neto],Imput[C. Imp.],$D966,Imput[PERIODO Imp.],CG$9)</f>
        <v>0</v>
      </c>
      <c r="CH966" s="693">
        <f>SUMIFS(Imput[Importe Neto],Imput[C. Imp.],$D966,Imput[PERIODO Imp.],CH$9)</f>
        <v>0</v>
      </c>
      <c r="CI966" s="693">
        <f>SUMIFS(Imput[Importe Neto],Imput[C. Imp.],$D966,Imput[PERIODO Imp.],CI$9)</f>
        <v>0</v>
      </c>
      <c r="CJ966" s="693">
        <f>SUMIFS(Imput[Importe Neto],Imput[C. Imp.],$D966,Imput[PERIODO Imp.],CJ$9)</f>
        <v>0</v>
      </c>
      <c r="CK966" s="693">
        <f>SUMIFS(Imput[Importe Neto],Imput[C. Imp.],$D966,Imput[PERIODO Imp.],CK$9)</f>
        <v>0</v>
      </c>
      <c r="CL966" s="693">
        <f>SUMIFS(Imput[Importe Neto],Imput[C. Imp.],$D966,Imput[PERIODO Imp.],CL$9)</f>
        <v>0</v>
      </c>
      <c r="CM966" s="693">
        <f>SUMIFS(Imput[Importe Neto],Imput[C. Imp.],$D966,Imput[PERIODO Imp.],CM$9)</f>
        <v>0</v>
      </c>
      <c r="CN966" s="693">
        <f>SUMIFS(Imput[Importe Neto],Imput[C. Imp.],$D966,Imput[PERIODO Imp.],CN$9)</f>
        <v>0</v>
      </c>
      <c r="CO966" s="693">
        <f>SUMIFS(Imput[Importe Neto],Imput[C. Imp.],$D966,Imput[PERIODO Imp.],CO$9)</f>
        <v>0</v>
      </c>
      <c r="CP966" s="693">
        <f>SUMIFS(Imput[Importe Neto],Imput[C. Imp.],$D966,Imput[PERIODO Imp.],CP$9)</f>
        <v>0</v>
      </c>
      <c r="CQ966" s="693">
        <f>SUMIFS(Imput[Importe Neto],Imput[C. Imp.],$D966,Imput[PERIODO Imp.],CQ$9)</f>
        <v>0</v>
      </c>
      <c r="CR966" s="693">
        <f>SUMIFS(Imput[Importe Neto],Imput[C. Imp.],$D966,Imput[PERIODO Imp.],CR$9)</f>
        <v>0</v>
      </c>
      <c r="CS966" s="693">
        <f>SUMIFS(Imput[Importe Neto],Imput[C. Imp.],$D966,Imput[PERIODO Imp.],CS$9)</f>
        <v>0</v>
      </c>
      <c r="CT966" s="693">
        <f>SUMIFS(Imput[Importe Neto],Imput[C. Imp.],$D966,Imput[PERIODO Imp.],CT$9)</f>
        <v>0</v>
      </c>
      <c r="CU966" s="693">
        <f>SUMIFS(Imput[Importe Neto],Imput[C. Imp.],$D966,Imput[PERIODO Imp.],CU$9)</f>
        <v>0</v>
      </c>
      <c r="CV966" s="693">
        <f>SUMIFS(Imput[Importe Neto],Imput[C. Imp.],$D966,Imput[PERIODO Imp.],CV$9)</f>
        <v>0</v>
      </c>
      <c r="CW966" s="693">
        <f>SUMIFS(Imput[Importe Neto],Imput[C. Imp.],$D966,Imput[PERIODO Imp.],CW$9)</f>
        <v>0</v>
      </c>
      <c r="CX966" s="693">
        <f>SUMIFS(Imput[Importe Neto],Imput[C. Imp.],$D966,Imput[PERIODO Imp.],CX$9)</f>
        <v>0</v>
      </c>
      <c r="CY966" s="693">
        <f>SUMIFS(Imput[Importe Neto],Imput[C. Imp.],$D966,Imput[PERIODO Imp.],CY$9)</f>
        <v>0</v>
      </c>
      <c r="CZ966" s="693">
        <f>SUMIFS(Imput[Importe Neto],Imput[C. Imp.],$D966,Imput[PERIODO Imp.],CZ$9)</f>
        <v>0</v>
      </c>
      <c r="DA966" s="693">
        <f>SUMIFS(Imput[Importe Neto],Imput[C. Imp.],$D966,Imput[PERIODO Imp.],DA$9)</f>
        <v>0</v>
      </c>
      <c r="DB966" s="693">
        <f>SUMIFS(Imput[Importe Neto],Imput[C. Imp.],$D966,Imput[PERIODO Imp.],DB$9)</f>
        <v>0</v>
      </c>
      <c r="DC966" s="693">
        <f>SUMIFS(Imput[Importe Neto],Imput[C. Imp.],$D966,Imput[PERIODO Imp.],DC$9)</f>
        <v>0</v>
      </c>
      <c r="DD966" s="693">
        <f>SUMIFS(Imput[Importe Neto],Imput[C. Imp.],$D966,Imput[PERIODO Imp.],DD$9)</f>
        <v>0</v>
      </c>
      <c r="DE966" s="693">
        <f>SUMIFS(Imput[Importe Neto],Imput[C. Imp.],$D966,Imput[PERIODO Imp.],DE$9)</f>
        <v>0</v>
      </c>
      <c r="DF966" s="693">
        <f>SUMIFS(Imput[Importe Neto],Imput[C. Imp.],$D966,Imput[PERIODO Imp.],DF$9)</f>
        <v>0</v>
      </c>
      <c r="DG966" s="693">
        <f>SUMIFS(Imput[Importe Neto],Imput[C. Imp.],$D966,Imput[PERIODO Imp.],DG$9)</f>
        <v>0</v>
      </c>
      <c r="DH966" s="694">
        <f>SUMIFS(Imput[Importe Neto],Imput[C. Imp.],$D966,Imput[PERIODO Imp.],DH$9)</f>
        <v>0</v>
      </c>
    </row>
    <row r="967" spans="1:112" s="649" customFormat="1" outlineLevel="1" x14ac:dyDescent="0.3">
      <c r="A967" s="652" t="str">
        <f t="shared" si="340"/>
        <v>Imprimir</v>
      </c>
      <c r="B967" s="652"/>
      <c r="C967" s="685"/>
      <c r="D967" s="686" t="s">
        <v>788</v>
      </c>
      <c r="E967" s="528" t="s">
        <v>3368</v>
      </c>
      <c r="F967" s="720"/>
      <c r="G967" s="688">
        <f>12000+(13000/7)</f>
        <v>13857.142857142857</v>
      </c>
      <c r="H967" s="689">
        <v>1</v>
      </c>
      <c r="I967" s="851">
        <f t="shared" si="341"/>
        <v>1</v>
      </c>
      <c r="J967" s="852">
        <f t="shared" si="342"/>
        <v>13857.142857142857</v>
      </c>
      <c r="K967" s="667"/>
      <c r="L967" s="858"/>
      <c r="M967" s="859"/>
      <c r="N967" s="859"/>
      <c r="O967" s="859"/>
      <c r="P967" s="859"/>
      <c r="Q967" s="859"/>
      <c r="R967" s="859"/>
      <c r="S967" s="859"/>
      <c r="T967" s="859"/>
      <c r="U967" s="859"/>
      <c r="V967" s="859"/>
      <c r="W967" s="859"/>
      <c r="X967" s="859"/>
      <c r="Y967" s="859"/>
      <c r="Z967" s="860"/>
      <c r="AA967" s="860"/>
      <c r="AB967" s="860"/>
      <c r="AC967" s="860"/>
      <c r="AD967" s="860"/>
      <c r="AE967" s="860"/>
      <c r="AF967" s="860"/>
      <c r="AG967" s="860"/>
      <c r="AH967" s="860"/>
      <c r="AI967" s="860"/>
      <c r="AJ967" s="860"/>
      <c r="AK967" s="860"/>
      <c r="AL967" s="860"/>
      <c r="AM967" s="860"/>
      <c r="AN967" s="860"/>
      <c r="AO967" s="860"/>
      <c r="AP967" s="860"/>
      <c r="AQ967" s="860"/>
      <c r="AR967" s="860"/>
      <c r="AS967" s="860"/>
      <c r="AT967" s="860"/>
      <c r="AU967" s="860"/>
      <c r="AV967" s="860"/>
      <c r="AW967" s="860"/>
      <c r="AX967" s="860"/>
      <c r="AY967" s="860"/>
      <c r="AZ967" s="860"/>
      <c r="BA967" s="860"/>
      <c r="BB967" s="860"/>
      <c r="BC967" s="860"/>
      <c r="BD967" s="860"/>
      <c r="BE967" s="860"/>
      <c r="BF967" s="860"/>
      <c r="BG967" s="860"/>
      <c r="BH967" s="668"/>
      <c r="BI967" s="667"/>
      <c r="BJ967" s="690">
        <f t="shared" si="343"/>
        <v>0</v>
      </c>
      <c r="BK967" s="691">
        <f t="shared" si="344"/>
        <v>0</v>
      </c>
      <c r="BL967" s="654"/>
      <c r="BM967" s="692">
        <f>SUMIFS(Imput[Importe Neto],Imput[C. Imp.],$D967,Imput[PERIODO Imp.],BM$9)</f>
        <v>0</v>
      </c>
      <c r="BN967" s="693">
        <f>SUMIFS(Imput[Importe Neto],Imput[C. Imp.],$D967,Imput[PERIODO Imp.],BN$9)</f>
        <v>0</v>
      </c>
      <c r="BO967" s="693">
        <f>SUMIFS(Imput[Importe Neto],Imput[C. Imp.],$D967,Imput[PERIODO Imp.],BO$9)</f>
        <v>0</v>
      </c>
      <c r="BP967" s="693">
        <f>SUMIFS(Imput[Importe Neto],Imput[C. Imp.],$D967,Imput[PERIODO Imp.],BP$9)</f>
        <v>0</v>
      </c>
      <c r="BQ967" s="693">
        <f>SUMIFS(Imput[Importe Neto],Imput[C. Imp.],$D967,Imput[PERIODO Imp.],BQ$9)</f>
        <v>0</v>
      </c>
      <c r="BR967" s="693">
        <f>SUMIFS(Imput[Importe Neto],Imput[C. Imp.],$D967,Imput[PERIODO Imp.],BR$9)</f>
        <v>0</v>
      </c>
      <c r="BS967" s="693">
        <f>SUMIFS(Imput[Importe Neto],Imput[C. Imp.],$D967,Imput[PERIODO Imp.],BS$9)</f>
        <v>0</v>
      </c>
      <c r="BT967" s="693">
        <f>SUMIFS(Imput[Importe Neto],Imput[C. Imp.],$D967,Imput[PERIODO Imp.],BT$9)</f>
        <v>0</v>
      </c>
      <c r="BU967" s="693">
        <f>SUMIFS(Imput[Importe Neto],Imput[C. Imp.],$D967,Imput[PERIODO Imp.],BU$9)</f>
        <v>0</v>
      </c>
      <c r="BV967" s="693">
        <f>SUMIFS(Imput[Importe Neto],Imput[C. Imp.],$D967,Imput[PERIODO Imp.],BV$9)</f>
        <v>0</v>
      </c>
      <c r="BW967" s="693">
        <f>SUMIFS(Imput[Importe Neto],Imput[C. Imp.],$D967,Imput[PERIODO Imp.],BW$9)</f>
        <v>0</v>
      </c>
      <c r="BX967" s="693">
        <f>SUMIFS(Imput[Importe Neto],Imput[C. Imp.],$D967,Imput[PERIODO Imp.],BX$9)</f>
        <v>0</v>
      </c>
      <c r="BY967" s="693">
        <f>SUMIFS(Imput[Importe Neto],Imput[C. Imp.],$D967,Imput[PERIODO Imp.],BY$9)</f>
        <v>0</v>
      </c>
      <c r="BZ967" s="693">
        <f>SUMIFS(Imput[Importe Neto],Imput[C. Imp.],$D967,Imput[PERIODO Imp.],BZ$9)</f>
        <v>0</v>
      </c>
      <c r="CA967" s="693">
        <f>SUMIFS(Imput[Importe Neto],Imput[C. Imp.],$D967,Imput[PERIODO Imp.],CA$9)</f>
        <v>0</v>
      </c>
      <c r="CB967" s="693">
        <f>SUMIFS(Imput[Importe Neto],Imput[C. Imp.],$D967,Imput[PERIODO Imp.],CB$9)</f>
        <v>0</v>
      </c>
      <c r="CC967" s="693">
        <f>SUMIFS(Imput[Importe Neto],Imput[C. Imp.],$D967,Imput[PERIODO Imp.],CC$9)</f>
        <v>0</v>
      </c>
      <c r="CD967" s="693">
        <f>SUMIFS(Imput[Importe Neto],Imput[C. Imp.],$D967,Imput[PERIODO Imp.],CD$9)</f>
        <v>0</v>
      </c>
      <c r="CE967" s="693">
        <f>SUMIFS(Imput[Importe Neto],Imput[C. Imp.],$D967,Imput[PERIODO Imp.],CE$9)</f>
        <v>0</v>
      </c>
      <c r="CF967" s="693">
        <f>SUMIFS(Imput[Importe Neto],Imput[C. Imp.],$D967,Imput[PERIODO Imp.],CF$9)</f>
        <v>0</v>
      </c>
      <c r="CG967" s="693">
        <f>SUMIFS(Imput[Importe Neto],Imput[C. Imp.],$D967,Imput[PERIODO Imp.],CG$9)</f>
        <v>0</v>
      </c>
      <c r="CH967" s="693">
        <f>SUMIFS(Imput[Importe Neto],Imput[C. Imp.],$D967,Imput[PERIODO Imp.],CH$9)</f>
        <v>0</v>
      </c>
      <c r="CI967" s="693">
        <f>SUMIFS(Imput[Importe Neto],Imput[C. Imp.],$D967,Imput[PERIODO Imp.],CI$9)</f>
        <v>0</v>
      </c>
      <c r="CJ967" s="693">
        <f>SUMIFS(Imput[Importe Neto],Imput[C. Imp.],$D967,Imput[PERIODO Imp.],CJ$9)</f>
        <v>0</v>
      </c>
      <c r="CK967" s="693">
        <f>SUMIFS(Imput[Importe Neto],Imput[C. Imp.],$D967,Imput[PERIODO Imp.],CK$9)</f>
        <v>0</v>
      </c>
      <c r="CL967" s="693">
        <f>SUMIFS(Imput[Importe Neto],Imput[C. Imp.],$D967,Imput[PERIODO Imp.],CL$9)</f>
        <v>0</v>
      </c>
      <c r="CM967" s="693">
        <f>SUMIFS(Imput[Importe Neto],Imput[C. Imp.],$D967,Imput[PERIODO Imp.],CM$9)</f>
        <v>0</v>
      </c>
      <c r="CN967" s="693">
        <f>SUMIFS(Imput[Importe Neto],Imput[C. Imp.],$D967,Imput[PERIODO Imp.],CN$9)</f>
        <v>0</v>
      </c>
      <c r="CO967" s="693">
        <f>SUMIFS(Imput[Importe Neto],Imput[C. Imp.],$D967,Imput[PERIODO Imp.],CO$9)</f>
        <v>0</v>
      </c>
      <c r="CP967" s="693">
        <f>SUMIFS(Imput[Importe Neto],Imput[C. Imp.],$D967,Imput[PERIODO Imp.],CP$9)</f>
        <v>0</v>
      </c>
      <c r="CQ967" s="693">
        <f>SUMIFS(Imput[Importe Neto],Imput[C. Imp.],$D967,Imput[PERIODO Imp.],CQ$9)</f>
        <v>0</v>
      </c>
      <c r="CR967" s="693">
        <f>SUMIFS(Imput[Importe Neto],Imput[C. Imp.],$D967,Imput[PERIODO Imp.],CR$9)</f>
        <v>0</v>
      </c>
      <c r="CS967" s="693">
        <f>SUMIFS(Imput[Importe Neto],Imput[C. Imp.],$D967,Imput[PERIODO Imp.],CS$9)</f>
        <v>0</v>
      </c>
      <c r="CT967" s="693">
        <f>SUMIFS(Imput[Importe Neto],Imput[C. Imp.],$D967,Imput[PERIODO Imp.],CT$9)</f>
        <v>0</v>
      </c>
      <c r="CU967" s="693">
        <f>SUMIFS(Imput[Importe Neto],Imput[C. Imp.],$D967,Imput[PERIODO Imp.],CU$9)</f>
        <v>0</v>
      </c>
      <c r="CV967" s="693">
        <f>SUMIFS(Imput[Importe Neto],Imput[C. Imp.],$D967,Imput[PERIODO Imp.],CV$9)</f>
        <v>0</v>
      </c>
      <c r="CW967" s="693">
        <f>SUMIFS(Imput[Importe Neto],Imput[C. Imp.],$D967,Imput[PERIODO Imp.],CW$9)</f>
        <v>0</v>
      </c>
      <c r="CX967" s="693">
        <f>SUMIFS(Imput[Importe Neto],Imput[C. Imp.],$D967,Imput[PERIODO Imp.],CX$9)</f>
        <v>0</v>
      </c>
      <c r="CY967" s="693">
        <f>SUMIFS(Imput[Importe Neto],Imput[C. Imp.],$D967,Imput[PERIODO Imp.],CY$9)</f>
        <v>0</v>
      </c>
      <c r="CZ967" s="693">
        <f>SUMIFS(Imput[Importe Neto],Imput[C. Imp.],$D967,Imput[PERIODO Imp.],CZ$9)</f>
        <v>0</v>
      </c>
      <c r="DA967" s="693">
        <f>SUMIFS(Imput[Importe Neto],Imput[C. Imp.],$D967,Imput[PERIODO Imp.],DA$9)</f>
        <v>0</v>
      </c>
      <c r="DB967" s="693">
        <f>SUMIFS(Imput[Importe Neto],Imput[C. Imp.],$D967,Imput[PERIODO Imp.],DB$9)</f>
        <v>0</v>
      </c>
      <c r="DC967" s="693">
        <f>SUMIFS(Imput[Importe Neto],Imput[C. Imp.],$D967,Imput[PERIODO Imp.],DC$9)</f>
        <v>0</v>
      </c>
      <c r="DD967" s="693">
        <f>SUMIFS(Imput[Importe Neto],Imput[C. Imp.],$D967,Imput[PERIODO Imp.],DD$9)</f>
        <v>0</v>
      </c>
      <c r="DE967" s="693">
        <f>SUMIFS(Imput[Importe Neto],Imput[C. Imp.],$D967,Imput[PERIODO Imp.],DE$9)</f>
        <v>0</v>
      </c>
      <c r="DF967" s="693">
        <f>SUMIFS(Imput[Importe Neto],Imput[C. Imp.],$D967,Imput[PERIODO Imp.],DF$9)</f>
        <v>0</v>
      </c>
      <c r="DG967" s="693">
        <f>SUMIFS(Imput[Importe Neto],Imput[C. Imp.],$D967,Imput[PERIODO Imp.],DG$9)</f>
        <v>0</v>
      </c>
      <c r="DH967" s="694">
        <f>SUMIFS(Imput[Importe Neto],Imput[C. Imp.],$D967,Imput[PERIODO Imp.],DH$9)</f>
        <v>0</v>
      </c>
    </row>
    <row r="968" spans="1:112" s="649" customFormat="1" outlineLevel="1" x14ac:dyDescent="0.3">
      <c r="A968" s="652" t="str">
        <f t="shared" si="337"/>
        <v>Imprimir</v>
      </c>
      <c r="B968" s="652"/>
      <c r="C968" s="685"/>
      <c r="D968" s="686" t="s">
        <v>789</v>
      </c>
      <c r="E968" s="686" t="s">
        <v>3556</v>
      </c>
      <c r="F968" s="720"/>
      <c r="G968" s="688">
        <f t="shared" si="338"/>
        <v>12857.142857142857</v>
      </c>
      <c r="H968" s="689">
        <v>1</v>
      </c>
      <c r="I968" s="851">
        <f t="shared" si="334"/>
        <v>1</v>
      </c>
      <c r="J968" s="852">
        <f t="shared" si="339"/>
        <v>12857.142857142857</v>
      </c>
      <c r="K968" s="667"/>
      <c r="L968" s="858">
        <v>0.3</v>
      </c>
      <c r="M968" s="859"/>
      <c r="N968" s="859">
        <v>0.05</v>
      </c>
      <c r="O968" s="859"/>
      <c r="P968" s="859">
        <v>0.05</v>
      </c>
      <c r="Q968" s="859"/>
      <c r="R968" s="859">
        <v>0.05</v>
      </c>
      <c r="S968" s="859"/>
      <c r="T968" s="859">
        <v>0.05</v>
      </c>
      <c r="U968" s="859"/>
      <c r="V968" s="859">
        <v>0.05</v>
      </c>
      <c r="W968" s="859"/>
      <c r="X968" s="859">
        <v>0.05</v>
      </c>
      <c r="Y968" s="859"/>
      <c r="Z968" s="860">
        <v>0.05</v>
      </c>
      <c r="AA968" s="860"/>
      <c r="AB968" s="860">
        <v>0.05</v>
      </c>
      <c r="AC968" s="860"/>
      <c r="AD968" s="860">
        <v>0.05</v>
      </c>
      <c r="AE968" s="860"/>
      <c r="AF968" s="860">
        <v>0.05</v>
      </c>
      <c r="AG968" s="860"/>
      <c r="AH968" s="860">
        <v>0.05</v>
      </c>
      <c r="AI968" s="860"/>
      <c r="AJ968" s="860">
        <v>0.15</v>
      </c>
      <c r="AK968" s="860"/>
      <c r="AL968" s="860"/>
      <c r="AM968" s="860"/>
      <c r="AN968" s="860"/>
      <c r="AO968" s="860"/>
      <c r="AP968" s="860"/>
      <c r="AQ968" s="860"/>
      <c r="AR968" s="860"/>
      <c r="AS968" s="860"/>
      <c r="AT968" s="860"/>
      <c r="AU968" s="860"/>
      <c r="AV968" s="860"/>
      <c r="AW968" s="860"/>
      <c r="AX968" s="860"/>
      <c r="AY968" s="860"/>
      <c r="AZ968" s="860"/>
      <c r="BA968" s="860"/>
      <c r="BB968" s="860"/>
      <c r="BC968" s="860"/>
      <c r="BD968" s="860"/>
      <c r="BE968" s="860"/>
      <c r="BF968" s="860"/>
      <c r="BG968" s="860"/>
      <c r="BH968" s="668"/>
      <c r="BI968" s="667"/>
      <c r="BJ968" s="690">
        <f t="shared" si="335"/>
        <v>0</v>
      </c>
      <c r="BK968" s="691">
        <f t="shared" si="336"/>
        <v>0</v>
      </c>
      <c r="BL968" s="654"/>
      <c r="BM968" s="692">
        <f>SUMIFS(Imput[Importe Neto],Imput[C. Imp.],$D968,Imput[PERIODO Imp.],BM$9)</f>
        <v>0</v>
      </c>
      <c r="BN968" s="693">
        <f>SUMIFS(Imput[Importe Neto],Imput[C. Imp.],$D968,Imput[PERIODO Imp.],BN$9)</f>
        <v>0</v>
      </c>
      <c r="BO968" s="693">
        <f>SUMIFS(Imput[Importe Neto],Imput[C. Imp.],$D968,Imput[PERIODO Imp.],BO$9)</f>
        <v>0</v>
      </c>
      <c r="BP968" s="693">
        <f>SUMIFS(Imput[Importe Neto],Imput[C. Imp.],$D968,Imput[PERIODO Imp.],BP$9)</f>
        <v>0</v>
      </c>
      <c r="BQ968" s="693">
        <f>SUMIFS(Imput[Importe Neto],Imput[C. Imp.],$D968,Imput[PERIODO Imp.],BQ$9)</f>
        <v>0</v>
      </c>
      <c r="BR968" s="693">
        <f>SUMIFS(Imput[Importe Neto],Imput[C. Imp.],$D968,Imput[PERIODO Imp.],BR$9)</f>
        <v>0</v>
      </c>
      <c r="BS968" s="693">
        <f>SUMIFS(Imput[Importe Neto],Imput[C. Imp.],$D968,Imput[PERIODO Imp.],BS$9)</f>
        <v>0</v>
      </c>
      <c r="BT968" s="693">
        <f>SUMIFS(Imput[Importe Neto],Imput[C. Imp.],$D968,Imput[PERIODO Imp.],BT$9)</f>
        <v>0</v>
      </c>
      <c r="BU968" s="693">
        <f>SUMIFS(Imput[Importe Neto],Imput[C. Imp.],$D968,Imput[PERIODO Imp.],BU$9)</f>
        <v>0</v>
      </c>
      <c r="BV968" s="693">
        <f>SUMIFS(Imput[Importe Neto],Imput[C. Imp.],$D968,Imput[PERIODO Imp.],BV$9)</f>
        <v>0</v>
      </c>
      <c r="BW968" s="693">
        <f>SUMIFS(Imput[Importe Neto],Imput[C. Imp.],$D968,Imput[PERIODO Imp.],BW$9)</f>
        <v>0</v>
      </c>
      <c r="BX968" s="693">
        <f>SUMIFS(Imput[Importe Neto],Imput[C. Imp.],$D968,Imput[PERIODO Imp.],BX$9)</f>
        <v>0</v>
      </c>
      <c r="BY968" s="693">
        <f>SUMIFS(Imput[Importe Neto],Imput[C. Imp.],$D968,Imput[PERIODO Imp.],BY$9)</f>
        <v>0</v>
      </c>
      <c r="BZ968" s="693">
        <f>SUMIFS(Imput[Importe Neto],Imput[C. Imp.],$D968,Imput[PERIODO Imp.],BZ$9)</f>
        <v>0</v>
      </c>
      <c r="CA968" s="693">
        <f>SUMIFS(Imput[Importe Neto],Imput[C. Imp.],$D968,Imput[PERIODO Imp.],CA$9)</f>
        <v>0</v>
      </c>
      <c r="CB968" s="693">
        <f>SUMIFS(Imput[Importe Neto],Imput[C. Imp.],$D968,Imput[PERIODO Imp.],CB$9)</f>
        <v>0</v>
      </c>
      <c r="CC968" s="693">
        <f>SUMIFS(Imput[Importe Neto],Imput[C. Imp.],$D968,Imput[PERIODO Imp.],CC$9)</f>
        <v>0</v>
      </c>
      <c r="CD968" s="693">
        <f>SUMIFS(Imput[Importe Neto],Imput[C. Imp.],$D968,Imput[PERIODO Imp.],CD$9)</f>
        <v>0</v>
      </c>
      <c r="CE968" s="693">
        <f>SUMIFS(Imput[Importe Neto],Imput[C. Imp.],$D968,Imput[PERIODO Imp.],CE$9)</f>
        <v>0</v>
      </c>
      <c r="CF968" s="693">
        <f>SUMIFS(Imput[Importe Neto],Imput[C. Imp.],$D968,Imput[PERIODO Imp.],CF$9)</f>
        <v>0</v>
      </c>
      <c r="CG968" s="693">
        <f>SUMIFS(Imput[Importe Neto],Imput[C. Imp.],$D968,Imput[PERIODO Imp.],CG$9)</f>
        <v>0</v>
      </c>
      <c r="CH968" s="693">
        <f>SUMIFS(Imput[Importe Neto],Imput[C. Imp.],$D968,Imput[PERIODO Imp.],CH$9)</f>
        <v>0</v>
      </c>
      <c r="CI968" s="693">
        <f>SUMIFS(Imput[Importe Neto],Imput[C. Imp.],$D968,Imput[PERIODO Imp.],CI$9)</f>
        <v>0</v>
      </c>
      <c r="CJ968" s="693">
        <f>SUMIFS(Imput[Importe Neto],Imput[C. Imp.],$D968,Imput[PERIODO Imp.],CJ$9)</f>
        <v>0</v>
      </c>
      <c r="CK968" s="693">
        <f>SUMIFS(Imput[Importe Neto],Imput[C. Imp.],$D968,Imput[PERIODO Imp.],CK$9)</f>
        <v>0</v>
      </c>
      <c r="CL968" s="693">
        <f>SUMIFS(Imput[Importe Neto],Imput[C. Imp.],$D968,Imput[PERIODO Imp.],CL$9)</f>
        <v>0</v>
      </c>
      <c r="CM968" s="693">
        <f>SUMIFS(Imput[Importe Neto],Imput[C. Imp.],$D968,Imput[PERIODO Imp.],CM$9)</f>
        <v>0</v>
      </c>
      <c r="CN968" s="693">
        <f>SUMIFS(Imput[Importe Neto],Imput[C. Imp.],$D968,Imput[PERIODO Imp.],CN$9)</f>
        <v>0</v>
      </c>
      <c r="CO968" s="693">
        <f>SUMIFS(Imput[Importe Neto],Imput[C. Imp.],$D968,Imput[PERIODO Imp.],CO$9)</f>
        <v>0</v>
      </c>
      <c r="CP968" s="693">
        <f>SUMIFS(Imput[Importe Neto],Imput[C. Imp.],$D968,Imput[PERIODO Imp.],CP$9)</f>
        <v>0</v>
      </c>
      <c r="CQ968" s="693">
        <f>SUMIFS(Imput[Importe Neto],Imput[C. Imp.],$D968,Imput[PERIODO Imp.],CQ$9)</f>
        <v>0</v>
      </c>
      <c r="CR968" s="693">
        <f>SUMIFS(Imput[Importe Neto],Imput[C. Imp.],$D968,Imput[PERIODO Imp.],CR$9)</f>
        <v>0</v>
      </c>
      <c r="CS968" s="693">
        <f>SUMIFS(Imput[Importe Neto],Imput[C. Imp.],$D968,Imput[PERIODO Imp.],CS$9)</f>
        <v>0</v>
      </c>
      <c r="CT968" s="693">
        <f>SUMIFS(Imput[Importe Neto],Imput[C. Imp.],$D968,Imput[PERIODO Imp.],CT$9)</f>
        <v>0</v>
      </c>
      <c r="CU968" s="693">
        <f>SUMIFS(Imput[Importe Neto],Imput[C. Imp.],$D968,Imput[PERIODO Imp.],CU$9)</f>
        <v>0</v>
      </c>
      <c r="CV968" s="693">
        <f>SUMIFS(Imput[Importe Neto],Imput[C. Imp.],$D968,Imput[PERIODO Imp.],CV$9)</f>
        <v>0</v>
      </c>
      <c r="CW968" s="693">
        <f>SUMIFS(Imput[Importe Neto],Imput[C. Imp.],$D968,Imput[PERIODO Imp.],CW$9)</f>
        <v>0</v>
      </c>
      <c r="CX968" s="693">
        <f>SUMIFS(Imput[Importe Neto],Imput[C. Imp.],$D968,Imput[PERIODO Imp.],CX$9)</f>
        <v>0</v>
      </c>
      <c r="CY968" s="693">
        <f>SUMIFS(Imput[Importe Neto],Imput[C. Imp.],$D968,Imput[PERIODO Imp.],CY$9)</f>
        <v>0</v>
      </c>
      <c r="CZ968" s="693">
        <f>SUMIFS(Imput[Importe Neto],Imput[C. Imp.],$D968,Imput[PERIODO Imp.],CZ$9)</f>
        <v>0</v>
      </c>
      <c r="DA968" s="693">
        <f>SUMIFS(Imput[Importe Neto],Imput[C. Imp.],$D968,Imput[PERIODO Imp.],DA$9)</f>
        <v>0</v>
      </c>
      <c r="DB968" s="693">
        <f>SUMIFS(Imput[Importe Neto],Imput[C. Imp.],$D968,Imput[PERIODO Imp.],DB$9)</f>
        <v>0</v>
      </c>
      <c r="DC968" s="693">
        <f>SUMIFS(Imput[Importe Neto],Imput[C. Imp.],$D968,Imput[PERIODO Imp.],DC$9)</f>
        <v>0</v>
      </c>
      <c r="DD968" s="693">
        <f>SUMIFS(Imput[Importe Neto],Imput[C. Imp.],$D968,Imput[PERIODO Imp.],DD$9)</f>
        <v>0</v>
      </c>
      <c r="DE968" s="693">
        <f>SUMIFS(Imput[Importe Neto],Imput[C. Imp.],$D968,Imput[PERIODO Imp.],DE$9)</f>
        <v>0</v>
      </c>
      <c r="DF968" s="693">
        <f>SUMIFS(Imput[Importe Neto],Imput[C. Imp.],$D968,Imput[PERIODO Imp.],DF$9)</f>
        <v>0</v>
      </c>
      <c r="DG968" s="693">
        <f>SUMIFS(Imput[Importe Neto],Imput[C. Imp.],$D968,Imput[PERIODO Imp.],DG$9)</f>
        <v>0</v>
      </c>
      <c r="DH968" s="694">
        <f>SUMIFS(Imput[Importe Neto],Imput[C. Imp.],$D968,Imput[PERIODO Imp.],DH$9)</f>
        <v>0</v>
      </c>
    </row>
    <row r="969" spans="1:112" s="649" customFormat="1" outlineLevel="1" x14ac:dyDescent="0.3">
      <c r="A969" s="652" t="str">
        <f t="shared" si="337"/>
        <v>Imprimir</v>
      </c>
      <c r="B969" s="652"/>
      <c r="C969" s="685"/>
      <c r="D969" s="686" t="s">
        <v>790</v>
      </c>
      <c r="E969" s="528" t="s">
        <v>3557</v>
      </c>
      <c r="F969" s="720"/>
      <c r="G969" s="688">
        <f>11000+(13000/7)</f>
        <v>12857.142857142857</v>
      </c>
      <c r="H969" s="689">
        <v>1</v>
      </c>
      <c r="I969" s="851">
        <f t="shared" si="334"/>
        <v>1</v>
      </c>
      <c r="J969" s="852">
        <f t="shared" si="339"/>
        <v>12857.142857142857</v>
      </c>
      <c r="K969" s="667"/>
      <c r="L969" s="858"/>
      <c r="M969" s="859"/>
      <c r="N969" s="859"/>
      <c r="O969" s="859"/>
      <c r="P969" s="859"/>
      <c r="Q969" s="859"/>
      <c r="R969" s="859"/>
      <c r="S969" s="859"/>
      <c r="T969" s="859"/>
      <c r="U969" s="859"/>
      <c r="V969" s="859"/>
      <c r="W969" s="859"/>
      <c r="X969" s="859"/>
      <c r="Y969" s="859"/>
      <c r="Z969" s="860"/>
      <c r="AA969" s="860"/>
      <c r="AB969" s="860"/>
      <c r="AC969" s="860"/>
      <c r="AD969" s="860"/>
      <c r="AE969" s="860"/>
      <c r="AF969" s="860"/>
      <c r="AG969" s="860"/>
      <c r="AH969" s="860"/>
      <c r="AI969" s="860"/>
      <c r="AJ969" s="860"/>
      <c r="AK969" s="860"/>
      <c r="AL969" s="860"/>
      <c r="AM969" s="860"/>
      <c r="AN969" s="860"/>
      <c r="AO969" s="860"/>
      <c r="AP969" s="860"/>
      <c r="AQ969" s="860"/>
      <c r="AR969" s="860"/>
      <c r="AS969" s="860"/>
      <c r="AT969" s="860"/>
      <c r="AU969" s="860"/>
      <c r="AV969" s="860"/>
      <c r="AW969" s="860"/>
      <c r="AX969" s="860"/>
      <c r="AY969" s="860"/>
      <c r="AZ969" s="860"/>
      <c r="BA969" s="860"/>
      <c r="BB969" s="860"/>
      <c r="BC969" s="860"/>
      <c r="BD969" s="860"/>
      <c r="BE969" s="860"/>
      <c r="BF969" s="860"/>
      <c r="BG969" s="860"/>
      <c r="BH969" s="668"/>
      <c r="BI969" s="667"/>
      <c r="BJ969" s="690">
        <f t="shared" si="335"/>
        <v>0</v>
      </c>
      <c r="BK969" s="691">
        <f t="shared" si="336"/>
        <v>0</v>
      </c>
      <c r="BL969" s="654"/>
      <c r="BM969" s="692">
        <f>SUMIFS(Imput[Importe Neto],Imput[C. Imp.],$D969,Imput[PERIODO Imp.],BM$9)</f>
        <v>0</v>
      </c>
      <c r="BN969" s="693">
        <f>SUMIFS(Imput[Importe Neto],Imput[C. Imp.],$D969,Imput[PERIODO Imp.],BN$9)</f>
        <v>0</v>
      </c>
      <c r="BO969" s="693">
        <f>SUMIFS(Imput[Importe Neto],Imput[C. Imp.],$D969,Imput[PERIODO Imp.],BO$9)</f>
        <v>0</v>
      </c>
      <c r="BP969" s="693">
        <f>SUMIFS(Imput[Importe Neto],Imput[C. Imp.],$D969,Imput[PERIODO Imp.],BP$9)</f>
        <v>0</v>
      </c>
      <c r="BQ969" s="693">
        <f>SUMIFS(Imput[Importe Neto],Imput[C. Imp.],$D969,Imput[PERIODO Imp.],BQ$9)</f>
        <v>0</v>
      </c>
      <c r="BR969" s="693">
        <f>SUMIFS(Imput[Importe Neto],Imput[C. Imp.],$D969,Imput[PERIODO Imp.],BR$9)</f>
        <v>0</v>
      </c>
      <c r="BS969" s="693">
        <f>SUMIFS(Imput[Importe Neto],Imput[C. Imp.],$D969,Imput[PERIODO Imp.],BS$9)</f>
        <v>0</v>
      </c>
      <c r="BT969" s="693">
        <f>SUMIFS(Imput[Importe Neto],Imput[C. Imp.],$D969,Imput[PERIODO Imp.],BT$9)</f>
        <v>0</v>
      </c>
      <c r="BU969" s="693">
        <f>SUMIFS(Imput[Importe Neto],Imput[C. Imp.],$D969,Imput[PERIODO Imp.],BU$9)</f>
        <v>0</v>
      </c>
      <c r="BV969" s="693">
        <f>SUMIFS(Imput[Importe Neto],Imput[C. Imp.],$D969,Imput[PERIODO Imp.],BV$9)</f>
        <v>0</v>
      </c>
      <c r="BW969" s="693">
        <f>SUMIFS(Imput[Importe Neto],Imput[C. Imp.],$D969,Imput[PERIODO Imp.],BW$9)</f>
        <v>0</v>
      </c>
      <c r="BX969" s="693">
        <f>SUMIFS(Imput[Importe Neto],Imput[C. Imp.],$D969,Imput[PERIODO Imp.],BX$9)</f>
        <v>0</v>
      </c>
      <c r="BY969" s="693">
        <f>SUMIFS(Imput[Importe Neto],Imput[C. Imp.],$D969,Imput[PERIODO Imp.],BY$9)</f>
        <v>0</v>
      </c>
      <c r="BZ969" s="693">
        <f>SUMIFS(Imput[Importe Neto],Imput[C. Imp.],$D969,Imput[PERIODO Imp.],BZ$9)</f>
        <v>0</v>
      </c>
      <c r="CA969" s="693">
        <f>SUMIFS(Imput[Importe Neto],Imput[C. Imp.],$D969,Imput[PERIODO Imp.],CA$9)</f>
        <v>0</v>
      </c>
      <c r="CB969" s="693">
        <f>SUMIFS(Imput[Importe Neto],Imput[C. Imp.],$D969,Imput[PERIODO Imp.],CB$9)</f>
        <v>0</v>
      </c>
      <c r="CC969" s="693">
        <f>SUMIFS(Imput[Importe Neto],Imput[C. Imp.],$D969,Imput[PERIODO Imp.],CC$9)</f>
        <v>0</v>
      </c>
      <c r="CD969" s="693">
        <f>SUMIFS(Imput[Importe Neto],Imput[C. Imp.],$D969,Imput[PERIODO Imp.],CD$9)</f>
        <v>0</v>
      </c>
      <c r="CE969" s="693">
        <f>SUMIFS(Imput[Importe Neto],Imput[C. Imp.],$D969,Imput[PERIODO Imp.],CE$9)</f>
        <v>0</v>
      </c>
      <c r="CF969" s="693">
        <f>SUMIFS(Imput[Importe Neto],Imput[C. Imp.],$D969,Imput[PERIODO Imp.],CF$9)</f>
        <v>0</v>
      </c>
      <c r="CG969" s="693">
        <f>SUMIFS(Imput[Importe Neto],Imput[C. Imp.],$D969,Imput[PERIODO Imp.],CG$9)</f>
        <v>0</v>
      </c>
      <c r="CH969" s="693">
        <f>SUMIFS(Imput[Importe Neto],Imput[C. Imp.],$D969,Imput[PERIODO Imp.],CH$9)</f>
        <v>0</v>
      </c>
      <c r="CI969" s="693">
        <f>SUMIFS(Imput[Importe Neto],Imput[C. Imp.],$D969,Imput[PERIODO Imp.],CI$9)</f>
        <v>0</v>
      </c>
      <c r="CJ969" s="693">
        <f>SUMIFS(Imput[Importe Neto],Imput[C. Imp.],$D969,Imput[PERIODO Imp.],CJ$9)</f>
        <v>0</v>
      </c>
      <c r="CK969" s="693">
        <f>SUMIFS(Imput[Importe Neto],Imput[C. Imp.],$D969,Imput[PERIODO Imp.],CK$9)</f>
        <v>0</v>
      </c>
      <c r="CL969" s="693">
        <f>SUMIFS(Imput[Importe Neto],Imput[C. Imp.],$D969,Imput[PERIODO Imp.],CL$9)</f>
        <v>0</v>
      </c>
      <c r="CM969" s="693">
        <f>SUMIFS(Imput[Importe Neto],Imput[C. Imp.],$D969,Imput[PERIODO Imp.],CM$9)</f>
        <v>0</v>
      </c>
      <c r="CN969" s="693">
        <f>SUMIFS(Imput[Importe Neto],Imput[C. Imp.],$D969,Imput[PERIODO Imp.],CN$9)</f>
        <v>0</v>
      </c>
      <c r="CO969" s="693">
        <f>SUMIFS(Imput[Importe Neto],Imput[C. Imp.],$D969,Imput[PERIODO Imp.],CO$9)</f>
        <v>0</v>
      </c>
      <c r="CP969" s="693">
        <f>SUMIFS(Imput[Importe Neto],Imput[C. Imp.],$D969,Imput[PERIODO Imp.],CP$9)</f>
        <v>0</v>
      </c>
      <c r="CQ969" s="693">
        <f>SUMIFS(Imput[Importe Neto],Imput[C. Imp.],$D969,Imput[PERIODO Imp.],CQ$9)</f>
        <v>0</v>
      </c>
      <c r="CR969" s="693">
        <f>SUMIFS(Imput[Importe Neto],Imput[C. Imp.],$D969,Imput[PERIODO Imp.],CR$9)</f>
        <v>0</v>
      </c>
      <c r="CS969" s="693">
        <f>SUMIFS(Imput[Importe Neto],Imput[C. Imp.],$D969,Imput[PERIODO Imp.],CS$9)</f>
        <v>0</v>
      </c>
      <c r="CT969" s="693">
        <f>SUMIFS(Imput[Importe Neto],Imput[C. Imp.],$D969,Imput[PERIODO Imp.],CT$9)</f>
        <v>0</v>
      </c>
      <c r="CU969" s="693">
        <f>SUMIFS(Imput[Importe Neto],Imput[C. Imp.],$D969,Imput[PERIODO Imp.],CU$9)</f>
        <v>0</v>
      </c>
      <c r="CV969" s="693">
        <f>SUMIFS(Imput[Importe Neto],Imput[C. Imp.],$D969,Imput[PERIODO Imp.],CV$9)</f>
        <v>0</v>
      </c>
      <c r="CW969" s="693">
        <f>SUMIFS(Imput[Importe Neto],Imput[C. Imp.],$D969,Imput[PERIODO Imp.],CW$9)</f>
        <v>0</v>
      </c>
      <c r="CX969" s="693">
        <f>SUMIFS(Imput[Importe Neto],Imput[C. Imp.],$D969,Imput[PERIODO Imp.],CX$9)</f>
        <v>0</v>
      </c>
      <c r="CY969" s="693">
        <f>SUMIFS(Imput[Importe Neto],Imput[C. Imp.],$D969,Imput[PERIODO Imp.],CY$9)</f>
        <v>0</v>
      </c>
      <c r="CZ969" s="693">
        <f>SUMIFS(Imput[Importe Neto],Imput[C. Imp.],$D969,Imput[PERIODO Imp.],CZ$9)</f>
        <v>0</v>
      </c>
      <c r="DA969" s="693">
        <f>SUMIFS(Imput[Importe Neto],Imput[C. Imp.],$D969,Imput[PERIODO Imp.],DA$9)</f>
        <v>0</v>
      </c>
      <c r="DB969" s="693">
        <f>SUMIFS(Imput[Importe Neto],Imput[C. Imp.],$D969,Imput[PERIODO Imp.],DB$9)</f>
        <v>0</v>
      </c>
      <c r="DC969" s="693">
        <f>SUMIFS(Imput[Importe Neto],Imput[C. Imp.],$D969,Imput[PERIODO Imp.],DC$9)</f>
        <v>0</v>
      </c>
      <c r="DD969" s="693">
        <f>SUMIFS(Imput[Importe Neto],Imput[C. Imp.],$D969,Imput[PERIODO Imp.],DD$9)</f>
        <v>0</v>
      </c>
      <c r="DE969" s="693">
        <f>SUMIFS(Imput[Importe Neto],Imput[C. Imp.],$D969,Imput[PERIODO Imp.],DE$9)</f>
        <v>0</v>
      </c>
      <c r="DF969" s="693">
        <f>SUMIFS(Imput[Importe Neto],Imput[C. Imp.],$D969,Imput[PERIODO Imp.],DF$9)</f>
        <v>0</v>
      </c>
      <c r="DG969" s="693">
        <f>SUMIFS(Imput[Importe Neto],Imput[C. Imp.],$D969,Imput[PERIODO Imp.],DG$9)</f>
        <v>0</v>
      </c>
      <c r="DH969" s="694">
        <f>SUMIFS(Imput[Importe Neto],Imput[C. Imp.],$D969,Imput[PERIODO Imp.],DH$9)</f>
        <v>0</v>
      </c>
    </row>
    <row r="970" spans="1:112" s="649" customFormat="1" outlineLevel="1" x14ac:dyDescent="0.3">
      <c r="A970" s="652" t="str">
        <f t="shared" si="337"/>
        <v>Imprimir</v>
      </c>
      <c r="B970" s="652"/>
      <c r="C970" s="685"/>
      <c r="D970" s="686" t="s">
        <v>791</v>
      </c>
      <c r="E970" s="528" t="s">
        <v>3558</v>
      </c>
      <c r="F970" s="695"/>
      <c r="G970" s="688">
        <f t="shared" si="338"/>
        <v>12857.142857142857</v>
      </c>
      <c r="H970" s="696">
        <v>1</v>
      </c>
      <c r="I970" s="851">
        <f t="shared" si="334"/>
        <v>1</v>
      </c>
      <c r="J970" s="850">
        <f t="shared" si="339"/>
        <v>12857.142857142857</v>
      </c>
      <c r="K970" s="667"/>
      <c r="L970" s="858"/>
      <c r="M970" s="859"/>
      <c r="N970" s="859"/>
      <c r="O970" s="859"/>
      <c r="P970" s="859"/>
      <c r="Q970" s="859"/>
      <c r="R970" s="859"/>
      <c r="S970" s="859"/>
      <c r="T970" s="859"/>
      <c r="U970" s="859"/>
      <c r="V970" s="859"/>
      <c r="W970" s="859"/>
      <c r="X970" s="859"/>
      <c r="Y970" s="859"/>
      <c r="Z970" s="860"/>
      <c r="AA970" s="860"/>
      <c r="AB970" s="860"/>
      <c r="AC970" s="860"/>
      <c r="AD970" s="860"/>
      <c r="AE970" s="860"/>
      <c r="AF970" s="860"/>
      <c r="AG970" s="860"/>
      <c r="AH970" s="860"/>
      <c r="AI970" s="860"/>
      <c r="AJ970" s="860"/>
      <c r="AK970" s="860"/>
      <c r="AL970" s="860"/>
      <c r="AM970" s="860"/>
      <c r="AN970" s="860"/>
      <c r="AO970" s="860"/>
      <c r="AP970" s="860"/>
      <c r="AQ970" s="860"/>
      <c r="AR970" s="860"/>
      <c r="AS970" s="860"/>
      <c r="AT970" s="860"/>
      <c r="AU970" s="860"/>
      <c r="AV970" s="860"/>
      <c r="AW970" s="860"/>
      <c r="AX970" s="860"/>
      <c r="AY970" s="860"/>
      <c r="AZ970" s="860"/>
      <c r="BA970" s="860"/>
      <c r="BB970" s="860"/>
      <c r="BC970" s="860"/>
      <c r="BD970" s="860"/>
      <c r="BE970" s="860"/>
      <c r="BF970" s="860"/>
      <c r="BG970" s="860"/>
      <c r="BH970" s="668"/>
      <c r="BI970" s="654"/>
      <c r="BJ970" s="690">
        <f t="shared" si="335"/>
        <v>0</v>
      </c>
      <c r="BK970" s="691">
        <f t="shared" si="336"/>
        <v>0</v>
      </c>
      <c r="BL970" s="654"/>
      <c r="BM970" s="697">
        <f>SUMIFS(Imput[Importe Neto],Imput[C. Imp.],$D970,Imput[PERIODO Imp.],BM$9)</f>
        <v>0</v>
      </c>
      <c r="BN970" s="698">
        <f>SUMIFS(Imput[Importe Neto],Imput[C. Imp.],$D970,Imput[PERIODO Imp.],BN$9)</f>
        <v>0</v>
      </c>
      <c r="BO970" s="698">
        <f>SUMIFS(Imput[Importe Neto],Imput[C. Imp.],$D970,Imput[PERIODO Imp.],BO$9)</f>
        <v>0</v>
      </c>
      <c r="BP970" s="698">
        <f>SUMIFS(Imput[Importe Neto],Imput[C. Imp.],$D970,Imput[PERIODO Imp.],BP$9)</f>
        <v>0</v>
      </c>
      <c r="BQ970" s="698">
        <f>SUMIFS(Imput[Importe Neto],Imput[C. Imp.],$D970,Imput[PERIODO Imp.],BQ$9)</f>
        <v>0</v>
      </c>
      <c r="BR970" s="698">
        <f>SUMIFS(Imput[Importe Neto],Imput[C. Imp.],$D970,Imput[PERIODO Imp.],BR$9)</f>
        <v>0</v>
      </c>
      <c r="BS970" s="698">
        <f>SUMIFS(Imput[Importe Neto],Imput[C. Imp.],$D970,Imput[PERIODO Imp.],BS$9)</f>
        <v>0</v>
      </c>
      <c r="BT970" s="698">
        <f>SUMIFS(Imput[Importe Neto],Imput[C. Imp.],$D970,Imput[PERIODO Imp.],BT$9)</f>
        <v>0</v>
      </c>
      <c r="BU970" s="698">
        <f>SUMIFS(Imput[Importe Neto],Imput[C. Imp.],$D970,Imput[PERIODO Imp.],BU$9)</f>
        <v>0</v>
      </c>
      <c r="BV970" s="698">
        <f>SUMIFS(Imput[Importe Neto],Imput[C. Imp.],$D970,Imput[PERIODO Imp.],BV$9)</f>
        <v>0</v>
      </c>
      <c r="BW970" s="698">
        <f>SUMIFS(Imput[Importe Neto],Imput[C. Imp.],$D970,Imput[PERIODO Imp.],BW$9)</f>
        <v>0</v>
      </c>
      <c r="BX970" s="698">
        <f>SUMIFS(Imput[Importe Neto],Imput[C. Imp.],$D970,Imput[PERIODO Imp.],BX$9)</f>
        <v>0</v>
      </c>
      <c r="BY970" s="698">
        <f>SUMIFS(Imput[Importe Neto],Imput[C. Imp.],$D970,Imput[PERIODO Imp.],BY$9)</f>
        <v>0</v>
      </c>
      <c r="BZ970" s="698">
        <f>SUMIFS(Imput[Importe Neto],Imput[C. Imp.],$D970,Imput[PERIODO Imp.],BZ$9)</f>
        <v>0</v>
      </c>
      <c r="CA970" s="698">
        <f>SUMIFS(Imput[Importe Neto],Imput[C. Imp.],$D970,Imput[PERIODO Imp.],CA$9)</f>
        <v>0</v>
      </c>
      <c r="CB970" s="698">
        <f>SUMIFS(Imput[Importe Neto],Imput[C. Imp.],$D970,Imput[PERIODO Imp.],CB$9)</f>
        <v>0</v>
      </c>
      <c r="CC970" s="698">
        <f>SUMIFS(Imput[Importe Neto],Imput[C. Imp.],$D970,Imput[PERIODO Imp.],CC$9)</f>
        <v>0</v>
      </c>
      <c r="CD970" s="698">
        <f>SUMIFS(Imput[Importe Neto],Imput[C. Imp.],$D970,Imput[PERIODO Imp.],CD$9)</f>
        <v>0</v>
      </c>
      <c r="CE970" s="698">
        <f>SUMIFS(Imput[Importe Neto],Imput[C. Imp.],$D970,Imput[PERIODO Imp.],CE$9)</f>
        <v>0</v>
      </c>
      <c r="CF970" s="698">
        <f>SUMIFS(Imput[Importe Neto],Imput[C. Imp.],$D970,Imput[PERIODO Imp.],CF$9)</f>
        <v>0</v>
      </c>
      <c r="CG970" s="698">
        <f>SUMIFS(Imput[Importe Neto],Imput[C. Imp.],$D970,Imput[PERIODO Imp.],CG$9)</f>
        <v>0</v>
      </c>
      <c r="CH970" s="698">
        <f>SUMIFS(Imput[Importe Neto],Imput[C. Imp.],$D970,Imput[PERIODO Imp.],CH$9)</f>
        <v>0</v>
      </c>
      <c r="CI970" s="698">
        <f>SUMIFS(Imput[Importe Neto],Imput[C. Imp.],$D970,Imput[PERIODO Imp.],CI$9)</f>
        <v>0</v>
      </c>
      <c r="CJ970" s="698">
        <f>SUMIFS(Imput[Importe Neto],Imput[C. Imp.],$D970,Imput[PERIODO Imp.],CJ$9)</f>
        <v>0</v>
      </c>
      <c r="CK970" s="698">
        <f>SUMIFS(Imput[Importe Neto],Imput[C. Imp.],$D970,Imput[PERIODO Imp.],CK$9)</f>
        <v>0</v>
      </c>
      <c r="CL970" s="698">
        <f>SUMIFS(Imput[Importe Neto],Imput[C. Imp.],$D970,Imput[PERIODO Imp.],CL$9)</f>
        <v>0</v>
      </c>
      <c r="CM970" s="698">
        <f>SUMIFS(Imput[Importe Neto],Imput[C. Imp.],$D970,Imput[PERIODO Imp.],CM$9)</f>
        <v>0</v>
      </c>
      <c r="CN970" s="698">
        <f>SUMIFS(Imput[Importe Neto],Imput[C. Imp.],$D970,Imput[PERIODO Imp.],CN$9)</f>
        <v>0</v>
      </c>
      <c r="CO970" s="698">
        <f>SUMIFS(Imput[Importe Neto],Imput[C. Imp.],$D970,Imput[PERIODO Imp.],CO$9)</f>
        <v>0</v>
      </c>
      <c r="CP970" s="698">
        <f>SUMIFS(Imput[Importe Neto],Imput[C. Imp.],$D970,Imput[PERIODO Imp.],CP$9)</f>
        <v>0</v>
      </c>
      <c r="CQ970" s="698">
        <f>SUMIFS(Imput[Importe Neto],Imput[C. Imp.],$D970,Imput[PERIODO Imp.],CQ$9)</f>
        <v>0</v>
      </c>
      <c r="CR970" s="698">
        <f>SUMIFS(Imput[Importe Neto],Imput[C. Imp.],$D970,Imput[PERIODO Imp.],CR$9)</f>
        <v>0</v>
      </c>
      <c r="CS970" s="698">
        <f>SUMIFS(Imput[Importe Neto],Imput[C. Imp.],$D970,Imput[PERIODO Imp.],CS$9)</f>
        <v>0</v>
      </c>
      <c r="CT970" s="698">
        <f>SUMIFS(Imput[Importe Neto],Imput[C. Imp.],$D970,Imput[PERIODO Imp.],CT$9)</f>
        <v>0</v>
      </c>
      <c r="CU970" s="698">
        <f>SUMIFS(Imput[Importe Neto],Imput[C. Imp.],$D970,Imput[PERIODO Imp.],CU$9)</f>
        <v>0</v>
      </c>
      <c r="CV970" s="698">
        <f>SUMIFS(Imput[Importe Neto],Imput[C. Imp.],$D970,Imput[PERIODO Imp.],CV$9)</f>
        <v>0</v>
      </c>
      <c r="CW970" s="698">
        <f>SUMIFS(Imput[Importe Neto],Imput[C. Imp.],$D970,Imput[PERIODO Imp.],CW$9)</f>
        <v>0</v>
      </c>
      <c r="CX970" s="698">
        <f>SUMIFS(Imput[Importe Neto],Imput[C. Imp.],$D970,Imput[PERIODO Imp.],CX$9)</f>
        <v>0</v>
      </c>
      <c r="CY970" s="698">
        <f>SUMIFS(Imput[Importe Neto],Imput[C. Imp.],$D970,Imput[PERIODO Imp.],CY$9)</f>
        <v>0</v>
      </c>
      <c r="CZ970" s="698">
        <f>SUMIFS(Imput[Importe Neto],Imput[C. Imp.],$D970,Imput[PERIODO Imp.],CZ$9)</f>
        <v>0</v>
      </c>
      <c r="DA970" s="698">
        <f>SUMIFS(Imput[Importe Neto],Imput[C. Imp.],$D970,Imput[PERIODO Imp.],DA$9)</f>
        <v>0</v>
      </c>
      <c r="DB970" s="698">
        <f>SUMIFS(Imput[Importe Neto],Imput[C. Imp.],$D970,Imput[PERIODO Imp.],DB$9)</f>
        <v>0</v>
      </c>
      <c r="DC970" s="698">
        <f>SUMIFS(Imput[Importe Neto],Imput[C. Imp.],$D970,Imput[PERIODO Imp.],DC$9)</f>
        <v>0</v>
      </c>
      <c r="DD970" s="698">
        <f>SUMIFS(Imput[Importe Neto],Imput[C. Imp.],$D970,Imput[PERIODO Imp.],DD$9)</f>
        <v>0</v>
      </c>
      <c r="DE970" s="698">
        <f>SUMIFS(Imput[Importe Neto],Imput[C. Imp.],$D970,Imput[PERIODO Imp.],DE$9)</f>
        <v>0</v>
      </c>
      <c r="DF970" s="698">
        <f>SUMIFS(Imput[Importe Neto],Imput[C. Imp.],$D970,Imput[PERIODO Imp.],DF$9)</f>
        <v>0</v>
      </c>
      <c r="DG970" s="698">
        <f>SUMIFS(Imput[Importe Neto],Imput[C. Imp.],$D970,Imput[PERIODO Imp.],DG$9)</f>
        <v>0</v>
      </c>
      <c r="DH970" s="795">
        <f>SUMIFS(Imput[Importe Neto],Imput[C. Imp.],$D970,Imput[PERIODO Imp.],DH$9)</f>
        <v>0</v>
      </c>
    </row>
    <row r="971" spans="1:112" s="649" customFormat="1" ht="14.4" outlineLevel="1" thickBot="1" x14ac:dyDescent="0.35">
      <c r="A971" s="652" t="str">
        <f>IF(J958&gt;0,"Imprimir","")</f>
        <v>Imprimir</v>
      </c>
      <c r="B971" s="652"/>
      <c r="C971" s="699"/>
      <c r="D971" s="700"/>
      <c r="E971" s="700"/>
      <c r="F971" s="701"/>
      <c r="G971" s="702"/>
      <c r="H971" s="703"/>
      <c r="I971" s="704"/>
      <c r="J971" s="705"/>
      <c r="K971" s="667"/>
      <c r="L971" s="706"/>
      <c r="M971" s="707"/>
      <c r="N971" s="777"/>
      <c r="O971" s="777"/>
      <c r="P971" s="778"/>
      <c r="Q971" s="778"/>
      <c r="R971" s="708"/>
      <c r="S971" s="708"/>
      <c r="T971" s="779"/>
      <c r="U971" s="779"/>
      <c r="V971" s="778"/>
      <c r="W971" s="778"/>
      <c r="X971" s="708"/>
      <c r="Y971" s="708"/>
      <c r="Z971" s="779"/>
      <c r="AA971" s="779"/>
      <c r="AB971" s="778"/>
      <c r="AC971" s="778"/>
      <c r="AD971" s="708"/>
      <c r="AE971" s="708"/>
      <c r="AF971" s="779"/>
      <c r="AG971" s="779"/>
      <c r="AH971" s="778"/>
      <c r="AI971" s="778"/>
      <c r="AJ971" s="778"/>
      <c r="AK971" s="778"/>
      <c r="AL971" s="778"/>
      <c r="AM971" s="778"/>
      <c r="AN971" s="778"/>
      <c r="AO971" s="778"/>
      <c r="AP971" s="778"/>
      <c r="AQ971" s="778"/>
      <c r="AR971" s="778"/>
      <c r="AS971" s="778"/>
      <c r="AT971" s="778"/>
      <c r="AU971" s="778"/>
      <c r="AV971" s="778"/>
      <c r="AW971" s="778"/>
      <c r="AX971" s="778"/>
      <c r="AY971" s="778"/>
      <c r="AZ971" s="778"/>
      <c r="BA971" s="778"/>
      <c r="BB971" s="778"/>
      <c r="BC971" s="778"/>
      <c r="BD971" s="778"/>
      <c r="BE971" s="778"/>
      <c r="BF971" s="778"/>
      <c r="BG971" s="778"/>
      <c r="BH971" s="780"/>
      <c r="BI971" s="654"/>
      <c r="BJ971" s="709"/>
      <c r="BK971" s="710"/>
      <c r="BL971" s="654"/>
      <c r="BM971" s="731"/>
      <c r="BN971" s="701"/>
      <c r="BO971" s="701"/>
      <c r="BP971" s="701"/>
      <c r="BQ971" s="701"/>
      <c r="BR971" s="701"/>
      <c r="BS971" s="701"/>
      <c r="BT971" s="701"/>
      <c r="BU971" s="701"/>
      <c r="BV971" s="701"/>
      <c r="BW971" s="701"/>
      <c r="BX971" s="701"/>
      <c r="BY971" s="701"/>
      <c r="BZ971" s="701"/>
      <c r="CA971" s="701"/>
      <c r="CB971" s="701"/>
      <c r="CC971" s="701"/>
      <c r="CD971" s="701"/>
      <c r="CE971" s="701"/>
      <c r="CF971" s="701"/>
      <c r="CG971" s="701"/>
      <c r="CH971" s="701"/>
      <c r="CI971" s="701"/>
      <c r="CJ971" s="701"/>
      <c r="CK971" s="701"/>
      <c r="CL971" s="701"/>
      <c r="CM971" s="701"/>
      <c r="CN971" s="701"/>
      <c r="CO971" s="701"/>
      <c r="CP971" s="701"/>
      <c r="CQ971" s="701"/>
      <c r="CR971" s="701"/>
      <c r="CS971" s="701"/>
      <c r="CT971" s="701"/>
      <c r="CU971" s="701"/>
      <c r="CV971" s="701"/>
      <c r="CW971" s="701"/>
      <c r="CX971" s="701"/>
      <c r="CY971" s="701"/>
      <c r="CZ971" s="701"/>
      <c r="DA971" s="701"/>
      <c r="DB971" s="701"/>
      <c r="DC971" s="701"/>
      <c r="DD971" s="701"/>
      <c r="DE971" s="701"/>
      <c r="DF971" s="701"/>
      <c r="DG971" s="701"/>
      <c r="DH971" s="710"/>
    </row>
    <row r="972" spans="1:112" s="649" customFormat="1" hidden="1" x14ac:dyDescent="0.3">
      <c r="A972" s="652" t="str">
        <f>IF(J972&gt;0,"Imprimir","")</f>
        <v/>
      </c>
      <c r="B972" s="652"/>
      <c r="C972" s="711"/>
      <c r="D972" s="712" t="s">
        <v>390</v>
      </c>
      <c r="E972" s="712" t="s">
        <v>478</v>
      </c>
      <c r="F972" s="712"/>
      <c r="G972" s="713"/>
      <c r="H972" s="712"/>
      <c r="I972" s="714"/>
      <c r="J972" s="166">
        <f>SUBTOTAL(9,J975:J1013)</f>
        <v>0</v>
      </c>
      <c r="K972" s="658"/>
      <c r="L972" s="770">
        <f t="shared" ref="L972:BG972" si="345">SUMPRODUCT($J975:$J1013,L975:L1013)</f>
        <v>0</v>
      </c>
      <c r="M972" s="771">
        <f t="shared" si="345"/>
        <v>0</v>
      </c>
      <c r="N972" s="771">
        <f t="shared" si="345"/>
        <v>0</v>
      </c>
      <c r="O972" s="771">
        <f t="shared" si="345"/>
        <v>0</v>
      </c>
      <c r="P972" s="771">
        <f t="shared" si="345"/>
        <v>0</v>
      </c>
      <c r="Q972" s="771">
        <f t="shared" si="345"/>
        <v>0</v>
      </c>
      <c r="R972" s="771">
        <f t="shared" si="345"/>
        <v>0</v>
      </c>
      <c r="S972" s="771">
        <f t="shared" si="345"/>
        <v>0</v>
      </c>
      <c r="T972" s="771">
        <f t="shared" si="345"/>
        <v>0</v>
      </c>
      <c r="U972" s="771">
        <f t="shared" si="345"/>
        <v>0</v>
      </c>
      <c r="V972" s="771">
        <f t="shared" si="345"/>
        <v>0</v>
      </c>
      <c r="W972" s="771">
        <f t="shared" si="345"/>
        <v>0</v>
      </c>
      <c r="X972" s="771">
        <f t="shared" si="345"/>
        <v>0</v>
      </c>
      <c r="Y972" s="771">
        <f t="shared" si="345"/>
        <v>0</v>
      </c>
      <c r="Z972" s="771">
        <f t="shared" si="345"/>
        <v>0</v>
      </c>
      <c r="AA972" s="771">
        <f t="shared" si="345"/>
        <v>0</v>
      </c>
      <c r="AB972" s="771">
        <f t="shared" si="345"/>
        <v>0</v>
      </c>
      <c r="AC972" s="771">
        <f t="shared" si="345"/>
        <v>0</v>
      </c>
      <c r="AD972" s="771">
        <f t="shared" si="345"/>
        <v>0</v>
      </c>
      <c r="AE972" s="771">
        <f t="shared" si="345"/>
        <v>0</v>
      </c>
      <c r="AF972" s="771">
        <f t="shared" si="345"/>
        <v>0</v>
      </c>
      <c r="AG972" s="771">
        <f t="shared" si="345"/>
        <v>0</v>
      </c>
      <c r="AH972" s="771">
        <f t="shared" si="345"/>
        <v>0</v>
      </c>
      <c r="AI972" s="771">
        <f t="shared" si="345"/>
        <v>0</v>
      </c>
      <c r="AJ972" s="771">
        <f t="shared" si="345"/>
        <v>0</v>
      </c>
      <c r="AK972" s="771">
        <f t="shared" si="345"/>
        <v>0</v>
      </c>
      <c r="AL972" s="771">
        <f t="shared" si="345"/>
        <v>0</v>
      </c>
      <c r="AM972" s="771">
        <f t="shared" si="345"/>
        <v>0</v>
      </c>
      <c r="AN972" s="771">
        <f t="shared" si="345"/>
        <v>0</v>
      </c>
      <c r="AO972" s="771">
        <f t="shared" si="345"/>
        <v>0</v>
      </c>
      <c r="AP972" s="771">
        <f t="shared" si="345"/>
        <v>0</v>
      </c>
      <c r="AQ972" s="771">
        <f t="shared" si="345"/>
        <v>0</v>
      </c>
      <c r="AR972" s="771">
        <f t="shared" si="345"/>
        <v>0</v>
      </c>
      <c r="AS972" s="771">
        <f t="shared" si="345"/>
        <v>0</v>
      </c>
      <c r="AT972" s="771">
        <f t="shared" si="345"/>
        <v>0</v>
      </c>
      <c r="AU972" s="771">
        <f t="shared" si="345"/>
        <v>0</v>
      </c>
      <c r="AV972" s="771">
        <f t="shared" si="345"/>
        <v>0</v>
      </c>
      <c r="AW972" s="771">
        <f t="shared" si="345"/>
        <v>0</v>
      </c>
      <c r="AX972" s="771">
        <f t="shared" si="345"/>
        <v>0</v>
      </c>
      <c r="AY972" s="771">
        <f t="shared" si="345"/>
        <v>0</v>
      </c>
      <c r="AZ972" s="771">
        <f t="shared" si="345"/>
        <v>0</v>
      </c>
      <c r="BA972" s="771">
        <f t="shared" si="345"/>
        <v>0</v>
      </c>
      <c r="BB972" s="771">
        <f t="shared" si="345"/>
        <v>0</v>
      </c>
      <c r="BC972" s="771">
        <f t="shared" si="345"/>
        <v>0</v>
      </c>
      <c r="BD972" s="771">
        <f t="shared" si="345"/>
        <v>0</v>
      </c>
      <c r="BE972" s="771">
        <f t="shared" si="345"/>
        <v>0</v>
      </c>
      <c r="BF972" s="771">
        <f t="shared" si="345"/>
        <v>0</v>
      </c>
      <c r="BG972" s="764">
        <f t="shared" si="345"/>
        <v>0</v>
      </c>
      <c r="BH972" s="776"/>
      <c r="BI972" s="654"/>
      <c r="BJ972" s="659">
        <f>IFERROR(BK972/J972,0)</f>
        <v>0</v>
      </c>
      <c r="BK972" s="660">
        <f>SUBTOTAL(9,BK973:BK1013)</f>
        <v>0</v>
      </c>
      <c r="BL972" s="654"/>
      <c r="BM972" s="661">
        <f t="shared" ref="BM972:DH972" si="346">SUBTOTAL(9,BM973:BM1013)</f>
        <v>0</v>
      </c>
      <c r="BN972" s="662">
        <f t="shared" si="346"/>
        <v>0</v>
      </c>
      <c r="BO972" s="662">
        <f t="shared" si="346"/>
        <v>0</v>
      </c>
      <c r="BP972" s="662">
        <f t="shared" si="346"/>
        <v>0</v>
      </c>
      <c r="BQ972" s="662">
        <f t="shared" si="346"/>
        <v>0</v>
      </c>
      <c r="BR972" s="662">
        <f t="shared" si="346"/>
        <v>0</v>
      </c>
      <c r="BS972" s="662">
        <f t="shared" si="346"/>
        <v>0</v>
      </c>
      <c r="BT972" s="662">
        <f t="shared" si="346"/>
        <v>0</v>
      </c>
      <c r="BU972" s="662">
        <f t="shared" si="346"/>
        <v>0</v>
      </c>
      <c r="BV972" s="662">
        <f t="shared" si="346"/>
        <v>0</v>
      </c>
      <c r="BW972" s="662">
        <f t="shared" si="346"/>
        <v>0</v>
      </c>
      <c r="BX972" s="662">
        <f t="shared" si="346"/>
        <v>0</v>
      </c>
      <c r="BY972" s="662">
        <f t="shared" si="346"/>
        <v>0</v>
      </c>
      <c r="BZ972" s="662">
        <f t="shared" si="346"/>
        <v>0</v>
      </c>
      <c r="CA972" s="662">
        <f t="shared" si="346"/>
        <v>0</v>
      </c>
      <c r="CB972" s="662">
        <f t="shared" si="346"/>
        <v>0</v>
      </c>
      <c r="CC972" s="662">
        <f t="shared" si="346"/>
        <v>0</v>
      </c>
      <c r="CD972" s="662">
        <f t="shared" si="346"/>
        <v>0</v>
      </c>
      <c r="CE972" s="662">
        <f t="shared" si="346"/>
        <v>0</v>
      </c>
      <c r="CF972" s="662">
        <f t="shared" si="346"/>
        <v>0</v>
      </c>
      <c r="CG972" s="662">
        <f t="shared" si="346"/>
        <v>0</v>
      </c>
      <c r="CH972" s="662">
        <f t="shared" si="346"/>
        <v>0</v>
      </c>
      <c r="CI972" s="662">
        <f t="shared" si="346"/>
        <v>0</v>
      </c>
      <c r="CJ972" s="662">
        <f t="shared" si="346"/>
        <v>0</v>
      </c>
      <c r="CK972" s="662">
        <f t="shared" si="346"/>
        <v>0</v>
      </c>
      <c r="CL972" s="662">
        <f t="shared" si="346"/>
        <v>0</v>
      </c>
      <c r="CM972" s="662">
        <f t="shared" si="346"/>
        <v>0</v>
      </c>
      <c r="CN972" s="662">
        <f t="shared" si="346"/>
        <v>0</v>
      </c>
      <c r="CO972" s="662">
        <f t="shared" si="346"/>
        <v>0</v>
      </c>
      <c r="CP972" s="662">
        <f t="shared" si="346"/>
        <v>0</v>
      </c>
      <c r="CQ972" s="662">
        <f t="shared" si="346"/>
        <v>0</v>
      </c>
      <c r="CR972" s="662">
        <f t="shared" si="346"/>
        <v>0</v>
      </c>
      <c r="CS972" s="662">
        <f t="shared" si="346"/>
        <v>0</v>
      </c>
      <c r="CT972" s="662">
        <f t="shared" si="346"/>
        <v>0</v>
      </c>
      <c r="CU972" s="662">
        <f t="shared" si="346"/>
        <v>0</v>
      </c>
      <c r="CV972" s="662">
        <f t="shared" si="346"/>
        <v>0</v>
      </c>
      <c r="CW972" s="662">
        <f t="shared" si="346"/>
        <v>0</v>
      </c>
      <c r="CX972" s="662">
        <f t="shared" si="346"/>
        <v>0</v>
      </c>
      <c r="CY972" s="662">
        <f t="shared" si="346"/>
        <v>0</v>
      </c>
      <c r="CZ972" s="662">
        <f t="shared" si="346"/>
        <v>0</v>
      </c>
      <c r="DA972" s="662">
        <f t="shared" si="346"/>
        <v>0</v>
      </c>
      <c r="DB972" s="662">
        <f t="shared" si="346"/>
        <v>0</v>
      </c>
      <c r="DC972" s="662">
        <f t="shared" si="346"/>
        <v>0</v>
      </c>
      <c r="DD972" s="662">
        <f t="shared" si="346"/>
        <v>0</v>
      </c>
      <c r="DE972" s="662">
        <f t="shared" si="346"/>
        <v>0</v>
      </c>
      <c r="DF972" s="662">
        <f t="shared" si="346"/>
        <v>0</v>
      </c>
      <c r="DG972" s="662">
        <f t="shared" si="346"/>
        <v>0</v>
      </c>
      <c r="DH972" s="663">
        <f t="shared" si="346"/>
        <v>0</v>
      </c>
    </row>
    <row r="973" spans="1:112" s="650" customFormat="1" hidden="1" outlineLevel="1" x14ac:dyDescent="0.3">
      <c r="A973" s="652" t="str">
        <f>IF(J972&gt;0,"Imprimir","")</f>
        <v/>
      </c>
      <c r="B973" s="722"/>
      <c r="C973" s="664"/>
      <c r="D973" s="665"/>
      <c r="E973" s="665"/>
      <c r="F973" s="665" t="s">
        <v>472</v>
      </c>
      <c r="G973" s="716" t="s">
        <v>2128</v>
      </c>
      <c r="H973" s="665" t="s">
        <v>98</v>
      </c>
      <c r="I973" s="665" t="s">
        <v>474</v>
      </c>
      <c r="J973" s="104" t="s">
        <v>29</v>
      </c>
      <c r="K973" s="723"/>
      <c r="L973" s="745"/>
      <c r="M973" s="741"/>
      <c r="N973" s="741"/>
      <c r="O973" s="741"/>
      <c r="P973" s="741"/>
      <c r="Q973" s="741"/>
      <c r="R973" s="741"/>
      <c r="S973" s="741"/>
      <c r="T973" s="741"/>
      <c r="U973" s="741"/>
      <c r="V973" s="741"/>
      <c r="W973" s="741"/>
      <c r="X973" s="741"/>
      <c r="Y973" s="741"/>
      <c r="Z973" s="741"/>
      <c r="AA973" s="741"/>
      <c r="AB973" s="741"/>
      <c r="AC973" s="741"/>
      <c r="AD973" s="741"/>
      <c r="AE973" s="741"/>
      <c r="AF973" s="741"/>
      <c r="AG973" s="741"/>
      <c r="AH973" s="741"/>
      <c r="AI973" s="741"/>
      <c r="AJ973" s="741"/>
      <c r="AK973" s="741"/>
      <c r="AL973" s="741"/>
      <c r="AM973" s="741"/>
      <c r="AN973" s="741"/>
      <c r="AO973" s="741"/>
      <c r="AP973" s="741"/>
      <c r="AQ973" s="741"/>
      <c r="AR973" s="741"/>
      <c r="AS973" s="741"/>
      <c r="AT973" s="741"/>
      <c r="AU973" s="741"/>
      <c r="AV973" s="741"/>
      <c r="AW973" s="741"/>
      <c r="AX973" s="741"/>
      <c r="AY973" s="741"/>
      <c r="AZ973" s="741"/>
      <c r="BA973" s="741"/>
      <c r="BB973" s="741"/>
      <c r="BC973" s="741"/>
      <c r="BD973" s="741"/>
      <c r="BE973" s="741"/>
      <c r="BF973" s="741"/>
      <c r="BG973" s="741"/>
      <c r="BH973" s="724"/>
      <c r="BI973" s="725"/>
      <c r="BJ973" s="669"/>
      <c r="BK973" s="670"/>
      <c r="BL973" s="725"/>
      <c r="BM973" s="671"/>
      <c r="BN973" s="665"/>
      <c r="BO973" s="665"/>
      <c r="BP973" s="665"/>
      <c r="BQ973" s="665"/>
      <c r="BR973" s="665"/>
      <c r="BS973" s="665"/>
      <c r="BT973" s="665"/>
      <c r="BU973" s="665"/>
      <c r="BV973" s="665"/>
      <c r="BW973" s="665"/>
      <c r="BX973" s="665"/>
      <c r="BY973" s="665"/>
      <c r="BZ973" s="665"/>
      <c r="CA973" s="665"/>
      <c r="CB973" s="665"/>
      <c r="CC973" s="665"/>
      <c r="CD973" s="665"/>
      <c r="CE973" s="665"/>
      <c r="CF973" s="665"/>
      <c r="CG973" s="665"/>
      <c r="CH973" s="665"/>
      <c r="CI973" s="665"/>
      <c r="CJ973" s="665"/>
      <c r="CK973" s="665"/>
      <c r="CL973" s="665"/>
      <c r="CM973" s="665"/>
      <c r="CN973" s="665"/>
      <c r="CO973" s="665"/>
      <c r="CP973" s="665"/>
      <c r="CQ973" s="665"/>
      <c r="CR973" s="665"/>
      <c r="CS973" s="665"/>
      <c r="CT973" s="665"/>
      <c r="CU973" s="665"/>
      <c r="CV973" s="665"/>
      <c r="CW973" s="665"/>
      <c r="CX973" s="665"/>
      <c r="CY973" s="665"/>
      <c r="CZ973" s="665"/>
      <c r="DA973" s="665"/>
      <c r="DB973" s="665"/>
      <c r="DC973" s="665"/>
      <c r="DD973" s="665"/>
      <c r="DE973" s="665"/>
      <c r="DF973" s="665"/>
      <c r="DG973" s="665"/>
      <c r="DH973" s="666"/>
    </row>
    <row r="974" spans="1:112" s="649" customFormat="1" ht="15.6" hidden="1" outlineLevel="1" x14ac:dyDescent="0.3">
      <c r="A974" s="652" t="str">
        <f>IF(J974&gt;0,"Imprimir","")</f>
        <v/>
      </c>
      <c r="B974" s="652"/>
      <c r="C974" s="672"/>
      <c r="D974" s="673"/>
      <c r="E974" s="674"/>
      <c r="F974" s="675"/>
      <c r="G974" s="726"/>
      <c r="H974" s="676"/>
      <c r="I974" s="677"/>
      <c r="J974" s="219">
        <f>SUBTOTAL(9,J975:J1013)</f>
        <v>0</v>
      </c>
      <c r="K974" s="678"/>
      <c r="L974" s="747"/>
      <c r="M974" s="742"/>
      <c r="N974" s="742"/>
      <c r="O974" s="742"/>
      <c r="P974" s="742"/>
      <c r="Q974" s="742"/>
      <c r="R974" s="742"/>
      <c r="S974" s="742"/>
      <c r="T974" s="742"/>
      <c r="U974" s="742"/>
      <c r="V974" s="742"/>
      <c r="W974" s="742"/>
      <c r="X974" s="742"/>
      <c r="Y974" s="742"/>
      <c r="Z974" s="742"/>
      <c r="AA974" s="742"/>
      <c r="AB974" s="742"/>
      <c r="AC974" s="742"/>
      <c r="AD974" s="742"/>
      <c r="AE974" s="742"/>
      <c r="AF974" s="742"/>
      <c r="AG974" s="742"/>
      <c r="AH974" s="742"/>
      <c r="AI974" s="742"/>
      <c r="AJ974" s="742"/>
      <c r="AK974" s="742"/>
      <c r="AL974" s="742"/>
      <c r="AM974" s="742"/>
      <c r="AN974" s="742"/>
      <c r="AO974" s="742"/>
      <c r="AP974" s="742"/>
      <c r="AQ974" s="742"/>
      <c r="AR974" s="742"/>
      <c r="AS974" s="742"/>
      <c r="AT974" s="742"/>
      <c r="AU974" s="742"/>
      <c r="AV974" s="742"/>
      <c r="AW974" s="742"/>
      <c r="AX974" s="742"/>
      <c r="AY974" s="742"/>
      <c r="AZ974" s="742"/>
      <c r="BA974" s="742"/>
      <c r="BB974" s="742"/>
      <c r="BC974" s="742"/>
      <c r="BD974" s="742"/>
      <c r="BE974" s="742"/>
      <c r="BF974" s="742"/>
      <c r="BG974" s="742"/>
      <c r="BH974" s="668"/>
      <c r="BI974" s="654"/>
      <c r="BJ974" s="680"/>
      <c r="BK974" s="681"/>
      <c r="BL974" s="654"/>
      <c r="BM974" s="682"/>
      <c r="BN974" s="683"/>
      <c r="BO974" s="683"/>
      <c r="BP974" s="683"/>
      <c r="BQ974" s="683"/>
      <c r="BR974" s="683"/>
      <c r="BS974" s="683"/>
      <c r="BT974" s="683"/>
      <c r="BU974" s="683"/>
      <c r="BV974" s="683"/>
      <c r="BW974" s="683"/>
      <c r="BX974" s="683"/>
      <c r="BY974" s="683"/>
      <c r="BZ974" s="683"/>
      <c r="CA974" s="683"/>
      <c r="CB974" s="683"/>
      <c r="CC974" s="683"/>
      <c r="CD974" s="683"/>
      <c r="CE974" s="683"/>
      <c r="CF974" s="683"/>
      <c r="CG974" s="683"/>
      <c r="CH974" s="683"/>
      <c r="CI974" s="683"/>
      <c r="CJ974" s="683"/>
      <c r="CK974" s="683"/>
      <c r="CL974" s="683"/>
      <c r="CM974" s="683"/>
      <c r="CN974" s="683"/>
      <c r="CO974" s="683"/>
      <c r="CP974" s="683"/>
      <c r="CQ974" s="683"/>
      <c r="CR974" s="683"/>
      <c r="CS974" s="683"/>
      <c r="CT974" s="683"/>
      <c r="CU974" s="683"/>
      <c r="CV974" s="683"/>
      <c r="CW974" s="683"/>
      <c r="CX974" s="683"/>
      <c r="CY974" s="683"/>
      <c r="CZ974" s="683"/>
      <c r="DA974" s="683"/>
      <c r="DB974" s="683"/>
      <c r="DC974" s="683"/>
      <c r="DD974" s="683"/>
      <c r="DE974" s="683"/>
      <c r="DF974" s="683"/>
      <c r="DG974" s="683"/>
      <c r="DH974" s="684"/>
    </row>
    <row r="975" spans="1:112" s="649" customFormat="1" hidden="1" outlineLevel="1" x14ac:dyDescent="0.3">
      <c r="A975" s="652" t="str">
        <f t="shared" ref="A975:A1012" si="347">IF(J975="","",IF(J975=0,"","Imprimir"))</f>
        <v/>
      </c>
      <c r="B975" s="652"/>
      <c r="C975" s="685"/>
      <c r="D975" s="686"/>
      <c r="E975" s="686"/>
      <c r="F975" s="720"/>
      <c r="G975" s="688"/>
      <c r="H975" s="531"/>
      <c r="I975" s="851" t="str">
        <f t="shared" ref="I975:I1012" si="348">IF(E975&gt;0,$J$5,"")</f>
        <v/>
      </c>
      <c r="J975" s="850" t="str">
        <f t="shared" ref="J975:J1012" si="349">IFERROR(G975*H975*I975,"")</f>
        <v/>
      </c>
      <c r="K975" s="667"/>
      <c r="L975" s="858">
        <v>0.3</v>
      </c>
      <c r="M975" s="859"/>
      <c r="N975" s="859"/>
      <c r="O975" s="859"/>
      <c r="P975" s="859">
        <v>0.3</v>
      </c>
      <c r="Q975" s="859"/>
      <c r="R975" s="859"/>
      <c r="S975" s="859"/>
      <c r="T975" s="859"/>
      <c r="U975" s="859"/>
      <c r="V975" s="859"/>
      <c r="W975" s="859">
        <v>0.3</v>
      </c>
      <c r="X975" s="859"/>
      <c r="Y975" s="859"/>
      <c r="Z975" s="860"/>
      <c r="AA975" s="860"/>
      <c r="AB975" s="860"/>
      <c r="AC975" s="860"/>
      <c r="AD975" s="860"/>
      <c r="AE975" s="860">
        <v>0.1</v>
      </c>
      <c r="AF975" s="860"/>
      <c r="AG975" s="860"/>
      <c r="AH975" s="860"/>
      <c r="AI975" s="860"/>
      <c r="AJ975" s="860"/>
      <c r="AK975" s="860"/>
      <c r="AL975" s="860"/>
      <c r="AM975" s="860"/>
      <c r="AN975" s="860"/>
      <c r="AO975" s="860"/>
      <c r="AP975" s="860"/>
      <c r="AQ975" s="860"/>
      <c r="AR975" s="860"/>
      <c r="AS975" s="860"/>
      <c r="AT975" s="860"/>
      <c r="AU975" s="860"/>
      <c r="AV975" s="860"/>
      <c r="AW975" s="860"/>
      <c r="AX975" s="860"/>
      <c r="AY975" s="860"/>
      <c r="AZ975" s="860"/>
      <c r="BA975" s="860"/>
      <c r="BB975" s="860"/>
      <c r="BC975" s="860"/>
      <c r="BD975" s="860"/>
      <c r="BE975" s="860"/>
      <c r="BF975" s="860"/>
      <c r="BG975" s="860"/>
      <c r="BH975" s="668"/>
      <c r="BI975" s="667"/>
      <c r="BJ975" s="690">
        <f t="shared" ref="BJ975:BJ1012" si="350">IFERROR(BK975/J975,0)</f>
        <v>0</v>
      </c>
      <c r="BK975" s="691">
        <f t="shared" ref="BK975:BK1012" si="351">SUM(BM975:DH975)</f>
        <v>0</v>
      </c>
      <c r="BL975" s="654"/>
      <c r="BM975" s="692">
        <f>SUMIFS(Imput[Importe Neto],Imput[C. Imp.],$D975,Imput[PERIODO Imp.],BM$9)</f>
        <v>0</v>
      </c>
      <c r="BN975" s="693">
        <f>SUMIFS(Imput[Importe Neto],Imput[C. Imp.],$D975,Imput[PERIODO Imp.],BN$9)</f>
        <v>0</v>
      </c>
      <c r="BO975" s="693">
        <f>SUMIFS(Imput[Importe Neto],Imput[C. Imp.],$D975,Imput[PERIODO Imp.],BO$9)</f>
        <v>0</v>
      </c>
      <c r="BP975" s="693">
        <f>SUMIFS(Imput[Importe Neto],Imput[C. Imp.],$D975,Imput[PERIODO Imp.],BP$9)</f>
        <v>0</v>
      </c>
      <c r="BQ975" s="693">
        <f>SUMIFS(Imput[Importe Neto],Imput[C. Imp.],$D975,Imput[PERIODO Imp.],BQ$9)</f>
        <v>0</v>
      </c>
      <c r="BR975" s="693">
        <f>SUMIFS(Imput[Importe Neto],Imput[C. Imp.],$D975,Imput[PERIODO Imp.],BR$9)</f>
        <v>0</v>
      </c>
      <c r="BS975" s="693">
        <f>SUMIFS(Imput[Importe Neto],Imput[C. Imp.],$D975,Imput[PERIODO Imp.],BS$9)</f>
        <v>0</v>
      </c>
      <c r="BT975" s="693">
        <f>SUMIFS(Imput[Importe Neto],Imput[C. Imp.],$D975,Imput[PERIODO Imp.],BT$9)</f>
        <v>0</v>
      </c>
      <c r="BU975" s="693">
        <f>SUMIFS(Imput[Importe Neto],Imput[C. Imp.],$D975,Imput[PERIODO Imp.],BU$9)</f>
        <v>0</v>
      </c>
      <c r="BV975" s="693">
        <f>SUMIFS(Imput[Importe Neto],Imput[C. Imp.],$D975,Imput[PERIODO Imp.],BV$9)</f>
        <v>0</v>
      </c>
      <c r="BW975" s="693">
        <f>SUMIFS(Imput[Importe Neto],Imput[C. Imp.],$D975,Imput[PERIODO Imp.],BW$9)</f>
        <v>0</v>
      </c>
      <c r="BX975" s="693">
        <f>SUMIFS(Imput[Importe Neto],Imput[C. Imp.],$D975,Imput[PERIODO Imp.],BX$9)</f>
        <v>0</v>
      </c>
      <c r="BY975" s="693">
        <f>SUMIFS(Imput[Importe Neto],Imput[C. Imp.],$D975,Imput[PERIODO Imp.],BY$9)</f>
        <v>0</v>
      </c>
      <c r="BZ975" s="693">
        <f>SUMIFS(Imput[Importe Neto],Imput[C. Imp.],$D975,Imput[PERIODO Imp.],BZ$9)</f>
        <v>0</v>
      </c>
      <c r="CA975" s="693">
        <f>SUMIFS(Imput[Importe Neto],Imput[C. Imp.],$D975,Imput[PERIODO Imp.],CA$9)</f>
        <v>0</v>
      </c>
      <c r="CB975" s="693">
        <f>SUMIFS(Imput[Importe Neto],Imput[C. Imp.],$D975,Imput[PERIODO Imp.],CB$9)</f>
        <v>0</v>
      </c>
      <c r="CC975" s="693">
        <f>SUMIFS(Imput[Importe Neto],Imput[C. Imp.],$D975,Imput[PERIODO Imp.],CC$9)</f>
        <v>0</v>
      </c>
      <c r="CD975" s="693">
        <f>SUMIFS(Imput[Importe Neto],Imput[C. Imp.],$D975,Imput[PERIODO Imp.],CD$9)</f>
        <v>0</v>
      </c>
      <c r="CE975" s="693">
        <f>SUMIFS(Imput[Importe Neto],Imput[C. Imp.],$D975,Imput[PERIODO Imp.],CE$9)</f>
        <v>0</v>
      </c>
      <c r="CF975" s="693">
        <f>SUMIFS(Imput[Importe Neto],Imput[C. Imp.],$D975,Imput[PERIODO Imp.],CF$9)</f>
        <v>0</v>
      </c>
      <c r="CG975" s="693">
        <f>SUMIFS(Imput[Importe Neto],Imput[C. Imp.],$D975,Imput[PERIODO Imp.],CG$9)</f>
        <v>0</v>
      </c>
      <c r="CH975" s="693">
        <f>SUMIFS(Imput[Importe Neto],Imput[C. Imp.],$D975,Imput[PERIODO Imp.],CH$9)</f>
        <v>0</v>
      </c>
      <c r="CI975" s="693">
        <f>SUMIFS(Imput[Importe Neto],Imput[C. Imp.],$D975,Imput[PERIODO Imp.],CI$9)</f>
        <v>0</v>
      </c>
      <c r="CJ975" s="693">
        <f>SUMIFS(Imput[Importe Neto],Imput[C. Imp.],$D975,Imput[PERIODO Imp.],CJ$9)</f>
        <v>0</v>
      </c>
      <c r="CK975" s="693">
        <f>SUMIFS(Imput[Importe Neto],Imput[C. Imp.],$D975,Imput[PERIODO Imp.],CK$9)</f>
        <v>0</v>
      </c>
      <c r="CL975" s="693">
        <f>SUMIFS(Imput[Importe Neto],Imput[C. Imp.],$D975,Imput[PERIODO Imp.],CL$9)</f>
        <v>0</v>
      </c>
      <c r="CM975" s="693">
        <f>SUMIFS(Imput[Importe Neto],Imput[C. Imp.],$D975,Imput[PERIODO Imp.],CM$9)</f>
        <v>0</v>
      </c>
      <c r="CN975" s="693">
        <f>SUMIFS(Imput[Importe Neto],Imput[C. Imp.],$D975,Imput[PERIODO Imp.],CN$9)</f>
        <v>0</v>
      </c>
      <c r="CO975" s="693">
        <f>SUMIFS(Imput[Importe Neto],Imput[C. Imp.],$D975,Imput[PERIODO Imp.],CO$9)</f>
        <v>0</v>
      </c>
      <c r="CP975" s="693">
        <f>SUMIFS(Imput[Importe Neto],Imput[C. Imp.],$D975,Imput[PERIODO Imp.],CP$9)</f>
        <v>0</v>
      </c>
      <c r="CQ975" s="693">
        <f>SUMIFS(Imput[Importe Neto],Imput[C. Imp.],$D975,Imput[PERIODO Imp.],CQ$9)</f>
        <v>0</v>
      </c>
      <c r="CR975" s="693">
        <f>SUMIFS(Imput[Importe Neto],Imput[C. Imp.],$D975,Imput[PERIODO Imp.],CR$9)</f>
        <v>0</v>
      </c>
      <c r="CS975" s="693">
        <f>SUMIFS(Imput[Importe Neto],Imput[C. Imp.],$D975,Imput[PERIODO Imp.],CS$9)</f>
        <v>0</v>
      </c>
      <c r="CT975" s="693">
        <f>SUMIFS(Imput[Importe Neto],Imput[C. Imp.],$D975,Imput[PERIODO Imp.],CT$9)</f>
        <v>0</v>
      </c>
      <c r="CU975" s="693">
        <f>SUMIFS(Imput[Importe Neto],Imput[C. Imp.],$D975,Imput[PERIODO Imp.],CU$9)</f>
        <v>0</v>
      </c>
      <c r="CV975" s="693">
        <f>SUMIFS(Imput[Importe Neto],Imput[C. Imp.],$D975,Imput[PERIODO Imp.],CV$9)</f>
        <v>0</v>
      </c>
      <c r="CW975" s="693">
        <f>SUMIFS(Imput[Importe Neto],Imput[C. Imp.],$D975,Imput[PERIODO Imp.],CW$9)</f>
        <v>0</v>
      </c>
      <c r="CX975" s="693">
        <f>SUMIFS(Imput[Importe Neto],Imput[C. Imp.],$D975,Imput[PERIODO Imp.],CX$9)</f>
        <v>0</v>
      </c>
      <c r="CY975" s="693">
        <f>SUMIFS(Imput[Importe Neto],Imput[C. Imp.],$D975,Imput[PERIODO Imp.],CY$9)</f>
        <v>0</v>
      </c>
      <c r="CZ975" s="693">
        <f>SUMIFS(Imput[Importe Neto],Imput[C. Imp.],$D975,Imput[PERIODO Imp.],CZ$9)</f>
        <v>0</v>
      </c>
      <c r="DA975" s="693">
        <f>SUMIFS(Imput[Importe Neto],Imput[C. Imp.],$D975,Imput[PERIODO Imp.],DA$9)</f>
        <v>0</v>
      </c>
      <c r="DB975" s="693">
        <f>SUMIFS(Imput[Importe Neto],Imput[C. Imp.],$D975,Imput[PERIODO Imp.],DB$9)</f>
        <v>0</v>
      </c>
      <c r="DC975" s="693">
        <f>SUMIFS(Imput[Importe Neto],Imput[C. Imp.],$D975,Imput[PERIODO Imp.],DC$9)</f>
        <v>0</v>
      </c>
      <c r="DD975" s="693">
        <f>SUMIFS(Imput[Importe Neto],Imput[C. Imp.],$D975,Imput[PERIODO Imp.],DD$9)</f>
        <v>0</v>
      </c>
      <c r="DE975" s="693">
        <f>SUMIFS(Imput[Importe Neto],Imput[C. Imp.],$D975,Imput[PERIODO Imp.],DE$9)</f>
        <v>0</v>
      </c>
      <c r="DF975" s="693">
        <f>SUMIFS(Imput[Importe Neto],Imput[C. Imp.],$D975,Imput[PERIODO Imp.],DF$9)</f>
        <v>0</v>
      </c>
      <c r="DG975" s="693">
        <f>SUMIFS(Imput[Importe Neto],Imput[C. Imp.],$D975,Imput[PERIODO Imp.],DG$9)</f>
        <v>0</v>
      </c>
      <c r="DH975" s="694">
        <f>SUMIFS(Imput[Importe Neto],Imput[C. Imp.],$D975,Imput[PERIODO Imp.],DH$9)</f>
        <v>0</v>
      </c>
    </row>
    <row r="976" spans="1:112" s="649" customFormat="1" hidden="1" outlineLevel="1" x14ac:dyDescent="0.3">
      <c r="A976" s="652" t="str">
        <f t="shared" si="347"/>
        <v/>
      </c>
      <c r="B976" s="652"/>
      <c r="C976" s="685"/>
      <c r="D976" s="686"/>
      <c r="E976" s="686"/>
      <c r="F976" s="720"/>
      <c r="G976" s="688"/>
      <c r="H976" s="689"/>
      <c r="I976" s="851" t="str">
        <f t="shared" si="348"/>
        <v/>
      </c>
      <c r="J976" s="852" t="str">
        <f t="shared" si="349"/>
        <v/>
      </c>
      <c r="K976" s="667"/>
      <c r="L976" s="858">
        <v>0.3</v>
      </c>
      <c r="M976" s="859"/>
      <c r="N976" s="859"/>
      <c r="O976" s="859"/>
      <c r="P976" s="859">
        <v>0.3</v>
      </c>
      <c r="Q976" s="859"/>
      <c r="R976" s="859"/>
      <c r="S976" s="859"/>
      <c r="T976" s="859"/>
      <c r="U976" s="859"/>
      <c r="V976" s="859"/>
      <c r="W976" s="859">
        <v>0.3</v>
      </c>
      <c r="X976" s="859"/>
      <c r="Y976" s="859"/>
      <c r="Z976" s="860"/>
      <c r="AA976" s="860"/>
      <c r="AB976" s="860"/>
      <c r="AC976" s="860"/>
      <c r="AD976" s="860"/>
      <c r="AE976" s="860">
        <v>0.1</v>
      </c>
      <c r="AF976" s="860"/>
      <c r="AG976" s="860"/>
      <c r="AH976" s="860"/>
      <c r="AI976" s="860"/>
      <c r="AJ976" s="860"/>
      <c r="AK976" s="860"/>
      <c r="AL976" s="860"/>
      <c r="AM976" s="860"/>
      <c r="AN976" s="860"/>
      <c r="AO976" s="860"/>
      <c r="AP976" s="860"/>
      <c r="AQ976" s="860"/>
      <c r="AR976" s="860"/>
      <c r="AS976" s="860"/>
      <c r="AT976" s="860"/>
      <c r="AU976" s="860"/>
      <c r="AV976" s="860"/>
      <c r="AW976" s="860"/>
      <c r="AX976" s="860"/>
      <c r="AY976" s="860"/>
      <c r="AZ976" s="860"/>
      <c r="BA976" s="860"/>
      <c r="BB976" s="860"/>
      <c r="BC976" s="860"/>
      <c r="BD976" s="860"/>
      <c r="BE976" s="860"/>
      <c r="BF976" s="860"/>
      <c r="BG976" s="860"/>
      <c r="BH976" s="668"/>
      <c r="BI976" s="667"/>
      <c r="BJ976" s="690">
        <f t="shared" si="350"/>
        <v>0</v>
      </c>
      <c r="BK976" s="691">
        <f t="shared" si="351"/>
        <v>0</v>
      </c>
      <c r="BL976" s="654"/>
      <c r="BM976" s="692">
        <f>SUMIFS(Imput[Importe Neto],Imput[C. Imp.],$D976,Imput[PERIODO Imp.],BM$9)</f>
        <v>0</v>
      </c>
      <c r="BN976" s="693">
        <f>SUMIFS(Imput[Importe Neto],Imput[C. Imp.],$D976,Imput[PERIODO Imp.],BN$9)</f>
        <v>0</v>
      </c>
      <c r="BO976" s="693">
        <f>SUMIFS(Imput[Importe Neto],Imput[C. Imp.],$D976,Imput[PERIODO Imp.],BO$9)</f>
        <v>0</v>
      </c>
      <c r="BP976" s="693">
        <f>SUMIFS(Imput[Importe Neto],Imput[C. Imp.],$D976,Imput[PERIODO Imp.],BP$9)</f>
        <v>0</v>
      </c>
      <c r="BQ976" s="693">
        <f>SUMIFS(Imput[Importe Neto],Imput[C. Imp.],$D976,Imput[PERIODO Imp.],BQ$9)</f>
        <v>0</v>
      </c>
      <c r="BR976" s="693">
        <f>SUMIFS(Imput[Importe Neto],Imput[C. Imp.],$D976,Imput[PERIODO Imp.],BR$9)</f>
        <v>0</v>
      </c>
      <c r="BS976" s="693">
        <f>SUMIFS(Imput[Importe Neto],Imput[C. Imp.],$D976,Imput[PERIODO Imp.],BS$9)</f>
        <v>0</v>
      </c>
      <c r="BT976" s="693">
        <f>SUMIFS(Imput[Importe Neto],Imput[C. Imp.],$D976,Imput[PERIODO Imp.],BT$9)</f>
        <v>0</v>
      </c>
      <c r="BU976" s="693">
        <f>SUMIFS(Imput[Importe Neto],Imput[C. Imp.],$D976,Imput[PERIODO Imp.],BU$9)</f>
        <v>0</v>
      </c>
      <c r="BV976" s="693">
        <f>SUMIFS(Imput[Importe Neto],Imput[C. Imp.],$D976,Imput[PERIODO Imp.],BV$9)</f>
        <v>0</v>
      </c>
      <c r="BW976" s="693">
        <f>SUMIFS(Imput[Importe Neto],Imput[C. Imp.],$D976,Imput[PERIODO Imp.],BW$9)</f>
        <v>0</v>
      </c>
      <c r="BX976" s="693">
        <f>SUMIFS(Imput[Importe Neto],Imput[C. Imp.],$D976,Imput[PERIODO Imp.],BX$9)</f>
        <v>0</v>
      </c>
      <c r="BY976" s="693">
        <f>SUMIFS(Imput[Importe Neto],Imput[C. Imp.],$D976,Imput[PERIODO Imp.],BY$9)</f>
        <v>0</v>
      </c>
      <c r="BZ976" s="693">
        <f>SUMIFS(Imput[Importe Neto],Imput[C. Imp.],$D976,Imput[PERIODO Imp.],BZ$9)</f>
        <v>0</v>
      </c>
      <c r="CA976" s="693">
        <f>SUMIFS(Imput[Importe Neto],Imput[C. Imp.],$D976,Imput[PERIODO Imp.],CA$9)</f>
        <v>0</v>
      </c>
      <c r="CB976" s="693">
        <f>SUMIFS(Imput[Importe Neto],Imput[C. Imp.],$D976,Imput[PERIODO Imp.],CB$9)</f>
        <v>0</v>
      </c>
      <c r="CC976" s="693">
        <f>SUMIFS(Imput[Importe Neto],Imput[C. Imp.],$D976,Imput[PERIODO Imp.],CC$9)</f>
        <v>0</v>
      </c>
      <c r="CD976" s="693">
        <f>SUMIFS(Imput[Importe Neto],Imput[C. Imp.],$D976,Imput[PERIODO Imp.],CD$9)</f>
        <v>0</v>
      </c>
      <c r="CE976" s="693">
        <f>SUMIFS(Imput[Importe Neto],Imput[C. Imp.],$D976,Imput[PERIODO Imp.],CE$9)</f>
        <v>0</v>
      </c>
      <c r="CF976" s="693">
        <f>SUMIFS(Imput[Importe Neto],Imput[C. Imp.],$D976,Imput[PERIODO Imp.],CF$9)</f>
        <v>0</v>
      </c>
      <c r="CG976" s="693">
        <f>SUMIFS(Imput[Importe Neto],Imput[C. Imp.],$D976,Imput[PERIODO Imp.],CG$9)</f>
        <v>0</v>
      </c>
      <c r="CH976" s="693">
        <f>SUMIFS(Imput[Importe Neto],Imput[C. Imp.],$D976,Imput[PERIODO Imp.],CH$9)</f>
        <v>0</v>
      </c>
      <c r="CI976" s="693">
        <f>SUMIFS(Imput[Importe Neto],Imput[C. Imp.],$D976,Imput[PERIODO Imp.],CI$9)</f>
        <v>0</v>
      </c>
      <c r="CJ976" s="693">
        <f>SUMIFS(Imput[Importe Neto],Imput[C. Imp.],$D976,Imput[PERIODO Imp.],CJ$9)</f>
        <v>0</v>
      </c>
      <c r="CK976" s="693">
        <f>SUMIFS(Imput[Importe Neto],Imput[C. Imp.],$D976,Imput[PERIODO Imp.],CK$9)</f>
        <v>0</v>
      </c>
      <c r="CL976" s="693">
        <f>SUMIFS(Imput[Importe Neto],Imput[C. Imp.],$D976,Imput[PERIODO Imp.],CL$9)</f>
        <v>0</v>
      </c>
      <c r="CM976" s="693">
        <f>SUMIFS(Imput[Importe Neto],Imput[C. Imp.],$D976,Imput[PERIODO Imp.],CM$9)</f>
        <v>0</v>
      </c>
      <c r="CN976" s="693">
        <f>SUMIFS(Imput[Importe Neto],Imput[C. Imp.],$D976,Imput[PERIODO Imp.],CN$9)</f>
        <v>0</v>
      </c>
      <c r="CO976" s="693">
        <f>SUMIFS(Imput[Importe Neto],Imput[C. Imp.],$D976,Imput[PERIODO Imp.],CO$9)</f>
        <v>0</v>
      </c>
      <c r="CP976" s="693">
        <f>SUMIFS(Imput[Importe Neto],Imput[C. Imp.],$D976,Imput[PERIODO Imp.],CP$9)</f>
        <v>0</v>
      </c>
      <c r="CQ976" s="693">
        <f>SUMIFS(Imput[Importe Neto],Imput[C. Imp.],$D976,Imput[PERIODO Imp.],CQ$9)</f>
        <v>0</v>
      </c>
      <c r="CR976" s="693">
        <f>SUMIFS(Imput[Importe Neto],Imput[C. Imp.],$D976,Imput[PERIODO Imp.],CR$9)</f>
        <v>0</v>
      </c>
      <c r="CS976" s="693">
        <f>SUMIFS(Imput[Importe Neto],Imput[C. Imp.],$D976,Imput[PERIODO Imp.],CS$9)</f>
        <v>0</v>
      </c>
      <c r="CT976" s="693">
        <f>SUMIFS(Imput[Importe Neto],Imput[C. Imp.],$D976,Imput[PERIODO Imp.],CT$9)</f>
        <v>0</v>
      </c>
      <c r="CU976" s="693">
        <f>SUMIFS(Imput[Importe Neto],Imput[C. Imp.],$D976,Imput[PERIODO Imp.],CU$9)</f>
        <v>0</v>
      </c>
      <c r="CV976" s="693">
        <f>SUMIFS(Imput[Importe Neto],Imput[C. Imp.],$D976,Imput[PERIODO Imp.],CV$9)</f>
        <v>0</v>
      </c>
      <c r="CW976" s="693">
        <f>SUMIFS(Imput[Importe Neto],Imput[C. Imp.],$D976,Imput[PERIODO Imp.],CW$9)</f>
        <v>0</v>
      </c>
      <c r="CX976" s="693">
        <f>SUMIFS(Imput[Importe Neto],Imput[C. Imp.],$D976,Imput[PERIODO Imp.],CX$9)</f>
        <v>0</v>
      </c>
      <c r="CY976" s="693">
        <f>SUMIFS(Imput[Importe Neto],Imput[C. Imp.],$D976,Imput[PERIODO Imp.],CY$9)</f>
        <v>0</v>
      </c>
      <c r="CZ976" s="693">
        <f>SUMIFS(Imput[Importe Neto],Imput[C. Imp.],$D976,Imput[PERIODO Imp.],CZ$9)</f>
        <v>0</v>
      </c>
      <c r="DA976" s="693">
        <f>SUMIFS(Imput[Importe Neto],Imput[C. Imp.],$D976,Imput[PERIODO Imp.],DA$9)</f>
        <v>0</v>
      </c>
      <c r="DB976" s="693">
        <f>SUMIFS(Imput[Importe Neto],Imput[C. Imp.],$D976,Imput[PERIODO Imp.],DB$9)</f>
        <v>0</v>
      </c>
      <c r="DC976" s="693">
        <f>SUMIFS(Imput[Importe Neto],Imput[C. Imp.],$D976,Imput[PERIODO Imp.],DC$9)</f>
        <v>0</v>
      </c>
      <c r="DD976" s="693">
        <f>SUMIFS(Imput[Importe Neto],Imput[C. Imp.],$D976,Imput[PERIODO Imp.],DD$9)</f>
        <v>0</v>
      </c>
      <c r="DE976" s="693">
        <f>SUMIFS(Imput[Importe Neto],Imput[C. Imp.],$D976,Imput[PERIODO Imp.],DE$9)</f>
        <v>0</v>
      </c>
      <c r="DF976" s="693">
        <f>SUMIFS(Imput[Importe Neto],Imput[C. Imp.],$D976,Imput[PERIODO Imp.],DF$9)</f>
        <v>0</v>
      </c>
      <c r="DG976" s="693">
        <f>SUMIFS(Imput[Importe Neto],Imput[C. Imp.],$D976,Imput[PERIODO Imp.],DG$9)</f>
        <v>0</v>
      </c>
      <c r="DH976" s="694">
        <f>SUMIFS(Imput[Importe Neto],Imput[C. Imp.],$D976,Imput[PERIODO Imp.],DH$9)</f>
        <v>0</v>
      </c>
    </row>
    <row r="977" spans="1:112" s="649" customFormat="1" hidden="1" outlineLevel="1" x14ac:dyDescent="0.3">
      <c r="A977" s="652" t="str">
        <f t="shared" si="347"/>
        <v/>
      </c>
      <c r="B977" s="652"/>
      <c r="C977" s="685"/>
      <c r="D977" s="686"/>
      <c r="E977" s="686"/>
      <c r="F977" s="720"/>
      <c r="G977" s="688"/>
      <c r="H977" s="689"/>
      <c r="I977" s="851" t="str">
        <f t="shared" si="348"/>
        <v/>
      </c>
      <c r="J977" s="852" t="str">
        <f t="shared" si="349"/>
        <v/>
      </c>
      <c r="K977" s="667"/>
      <c r="L977" s="858">
        <v>0.3</v>
      </c>
      <c r="M977" s="859"/>
      <c r="N977" s="859"/>
      <c r="O977" s="859"/>
      <c r="P977" s="859">
        <v>0.3</v>
      </c>
      <c r="Q977" s="859"/>
      <c r="R977" s="859"/>
      <c r="S977" s="859"/>
      <c r="T977" s="859"/>
      <c r="U977" s="859"/>
      <c r="V977" s="859"/>
      <c r="W977" s="859">
        <v>0.3</v>
      </c>
      <c r="X977" s="859"/>
      <c r="Y977" s="859"/>
      <c r="Z977" s="860"/>
      <c r="AA977" s="860"/>
      <c r="AB977" s="860"/>
      <c r="AC977" s="860"/>
      <c r="AD977" s="860"/>
      <c r="AE977" s="860">
        <v>0.1</v>
      </c>
      <c r="AF977" s="860"/>
      <c r="AG977" s="860"/>
      <c r="AH977" s="860"/>
      <c r="AI977" s="860"/>
      <c r="AJ977" s="860"/>
      <c r="AK977" s="860"/>
      <c r="AL977" s="860"/>
      <c r="AM977" s="860"/>
      <c r="AN977" s="860"/>
      <c r="AO977" s="860"/>
      <c r="AP977" s="860"/>
      <c r="AQ977" s="860"/>
      <c r="AR977" s="860"/>
      <c r="AS977" s="860"/>
      <c r="AT977" s="860"/>
      <c r="AU977" s="860"/>
      <c r="AV977" s="860"/>
      <c r="AW977" s="860"/>
      <c r="AX977" s="860"/>
      <c r="AY977" s="860"/>
      <c r="AZ977" s="860"/>
      <c r="BA977" s="860"/>
      <c r="BB977" s="860"/>
      <c r="BC977" s="860"/>
      <c r="BD977" s="860"/>
      <c r="BE977" s="860"/>
      <c r="BF977" s="860"/>
      <c r="BG977" s="860"/>
      <c r="BH977" s="668"/>
      <c r="BI977" s="667"/>
      <c r="BJ977" s="690">
        <f t="shared" si="350"/>
        <v>0</v>
      </c>
      <c r="BK977" s="691">
        <f t="shared" si="351"/>
        <v>0</v>
      </c>
      <c r="BL977" s="654"/>
      <c r="BM977" s="692">
        <f>SUMIFS(Imput[Importe Neto],Imput[C. Imp.],$D977,Imput[PERIODO Imp.],BM$9)</f>
        <v>0</v>
      </c>
      <c r="BN977" s="693">
        <f>SUMIFS(Imput[Importe Neto],Imput[C. Imp.],$D977,Imput[PERIODO Imp.],BN$9)</f>
        <v>0</v>
      </c>
      <c r="BO977" s="693">
        <f>SUMIFS(Imput[Importe Neto],Imput[C. Imp.],$D977,Imput[PERIODO Imp.],BO$9)</f>
        <v>0</v>
      </c>
      <c r="BP977" s="693">
        <f>SUMIFS(Imput[Importe Neto],Imput[C. Imp.],$D977,Imput[PERIODO Imp.],BP$9)</f>
        <v>0</v>
      </c>
      <c r="BQ977" s="693">
        <f>SUMIFS(Imput[Importe Neto],Imput[C. Imp.],$D977,Imput[PERIODO Imp.],BQ$9)</f>
        <v>0</v>
      </c>
      <c r="BR977" s="693">
        <f>SUMIFS(Imput[Importe Neto],Imput[C. Imp.],$D977,Imput[PERIODO Imp.],BR$9)</f>
        <v>0</v>
      </c>
      <c r="BS977" s="693">
        <f>SUMIFS(Imput[Importe Neto],Imput[C. Imp.],$D977,Imput[PERIODO Imp.],BS$9)</f>
        <v>0</v>
      </c>
      <c r="BT977" s="693">
        <f>SUMIFS(Imput[Importe Neto],Imput[C. Imp.],$D977,Imput[PERIODO Imp.],BT$9)</f>
        <v>0</v>
      </c>
      <c r="BU977" s="693">
        <f>SUMIFS(Imput[Importe Neto],Imput[C. Imp.],$D977,Imput[PERIODO Imp.],BU$9)</f>
        <v>0</v>
      </c>
      <c r="BV977" s="693">
        <f>SUMIFS(Imput[Importe Neto],Imput[C. Imp.],$D977,Imput[PERIODO Imp.],BV$9)</f>
        <v>0</v>
      </c>
      <c r="BW977" s="693">
        <f>SUMIFS(Imput[Importe Neto],Imput[C. Imp.],$D977,Imput[PERIODO Imp.],BW$9)</f>
        <v>0</v>
      </c>
      <c r="BX977" s="693">
        <f>SUMIFS(Imput[Importe Neto],Imput[C. Imp.],$D977,Imput[PERIODO Imp.],BX$9)</f>
        <v>0</v>
      </c>
      <c r="BY977" s="693">
        <f>SUMIFS(Imput[Importe Neto],Imput[C. Imp.],$D977,Imput[PERIODO Imp.],BY$9)</f>
        <v>0</v>
      </c>
      <c r="BZ977" s="693">
        <f>SUMIFS(Imput[Importe Neto],Imput[C. Imp.],$D977,Imput[PERIODO Imp.],BZ$9)</f>
        <v>0</v>
      </c>
      <c r="CA977" s="693">
        <f>SUMIFS(Imput[Importe Neto],Imput[C. Imp.],$D977,Imput[PERIODO Imp.],CA$9)</f>
        <v>0</v>
      </c>
      <c r="CB977" s="693">
        <f>SUMIFS(Imput[Importe Neto],Imput[C. Imp.],$D977,Imput[PERIODO Imp.],CB$9)</f>
        <v>0</v>
      </c>
      <c r="CC977" s="693">
        <f>SUMIFS(Imput[Importe Neto],Imput[C. Imp.],$D977,Imput[PERIODO Imp.],CC$9)</f>
        <v>0</v>
      </c>
      <c r="CD977" s="693">
        <f>SUMIFS(Imput[Importe Neto],Imput[C. Imp.],$D977,Imput[PERIODO Imp.],CD$9)</f>
        <v>0</v>
      </c>
      <c r="CE977" s="693">
        <f>SUMIFS(Imput[Importe Neto],Imput[C. Imp.],$D977,Imput[PERIODO Imp.],CE$9)</f>
        <v>0</v>
      </c>
      <c r="CF977" s="693">
        <f>SUMIFS(Imput[Importe Neto],Imput[C. Imp.],$D977,Imput[PERIODO Imp.],CF$9)</f>
        <v>0</v>
      </c>
      <c r="CG977" s="693">
        <f>SUMIFS(Imput[Importe Neto],Imput[C. Imp.],$D977,Imput[PERIODO Imp.],CG$9)</f>
        <v>0</v>
      </c>
      <c r="CH977" s="693">
        <f>SUMIFS(Imput[Importe Neto],Imput[C. Imp.],$D977,Imput[PERIODO Imp.],CH$9)</f>
        <v>0</v>
      </c>
      <c r="CI977" s="693">
        <f>SUMIFS(Imput[Importe Neto],Imput[C. Imp.],$D977,Imput[PERIODO Imp.],CI$9)</f>
        <v>0</v>
      </c>
      <c r="CJ977" s="693">
        <f>SUMIFS(Imput[Importe Neto],Imput[C. Imp.],$D977,Imput[PERIODO Imp.],CJ$9)</f>
        <v>0</v>
      </c>
      <c r="CK977" s="693">
        <f>SUMIFS(Imput[Importe Neto],Imput[C. Imp.],$D977,Imput[PERIODO Imp.],CK$9)</f>
        <v>0</v>
      </c>
      <c r="CL977" s="693">
        <f>SUMIFS(Imput[Importe Neto],Imput[C. Imp.],$D977,Imput[PERIODO Imp.],CL$9)</f>
        <v>0</v>
      </c>
      <c r="CM977" s="693">
        <f>SUMIFS(Imput[Importe Neto],Imput[C. Imp.],$D977,Imput[PERIODO Imp.],CM$9)</f>
        <v>0</v>
      </c>
      <c r="CN977" s="693">
        <f>SUMIFS(Imput[Importe Neto],Imput[C. Imp.],$D977,Imput[PERIODO Imp.],CN$9)</f>
        <v>0</v>
      </c>
      <c r="CO977" s="693">
        <f>SUMIFS(Imput[Importe Neto],Imput[C. Imp.],$D977,Imput[PERIODO Imp.],CO$9)</f>
        <v>0</v>
      </c>
      <c r="CP977" s="693">
        <f>SUMIFS(Imput[Importe Neto],Imput[C. Imp.],$D977,Imput[PERIODO Imp.],CP$9)</f>
        <v>0</v>
      </c>
      <c r="CQ977" s="693">
        <f>SUMIFS(Imput[Importe Neto],Imput[C. Imp.],$D977,Imput[PERIODO Imp.],CQ$9)</f>
        <v>0</v>
      </c>
      <c r="CR977" s="693">
        <f>SUMIFS(Imput[Importe Neto],Imput[C. Imp.],$D977,Imput[PERIODO Imp.],CR$9)</f>
        <v>0</v>
      </c>
      <c r="CS977" s="693">
        <f>SUMIFS(Imput[Importe Neto],Imput[C. Imp.],$D977,Imput[PERIODO Imp.],CS$9)</f>
        <v>0</v>
      </c>
      <c r="CT977" s="693">
        <f>SUMIFS(Imput[Importe Neto],Imput[C. Imp.],$D977,Imput[PERIODO Imp.],CT$9)</f>
        <v>0</v>
      </c>
      <c r="CU977" s="693">
        <f>SUMIFS(Imput[Importe Neto],Imput[C. Imp.],$D977,Imput[PERIODO Imp.],CU$9)</f>
        <v>0</v>
      </c>
      <c r="CV977" s="693">
        <f>SUMIFS(Imput[Importe Neto],Imput[C. Imp.],$D977,Imput[PERIODO Imp.],CV$9)</f>
        <v>0</v>
      </c>
      <c r="CW977" s="693">
        <f>SUMIFS(Imput[Importe Neto],Imput[C. Imp.],$D977,Imput[PERIODO Imp.],CW$9)</f>
        <v>0</v>
      </c>
      <c r="CX977" s="693">
        <f>SUMIFS(Imput[Importe Neto],Imput[C. Imp.],$D977,Imput[PERIODO Imp.],CX$9)</f>
        <v>0</v>
      </c>
      <c r="CY977" s="693">
        <f>SUMIFS(Imput[Importe Neto],Imput[C. Imp.],$D977,Imput[PERIODO Imp.],CY$9)</f>
        <v>0</v>
      </c>
      <c r="CZ977" s="693">
        <f>SUMIFS(Imput[Importe Neto],Imput[C. Imp.],$D977,Imput[PERIODO Imp.],CZ$9)</f>
        <v>0</v>
      </c>
      <c r="DA977" s="693">
        <f>SUMIFS(Imput[Importe Neto],Imput[C. Imp.],$D977,Imput[PERIODO Imp.],DA$9)</f>
        <v>0</v>
      </c>
      <c r="DB977" s="693">
        <f>SUMIFS(Imput[Importe Neto],Imput[C. Imp.],$D977,Imput[PERIODO Imp.],DB$9)</f>
        <v>0</v>
      </c>
      <c r="DC977" s="693">
        <f>SUMIFS(Imput[Importe Neto],Imput[C. Imp.],$D977,Imput[PERIODO Imp.],DC$9)</f>
        <v>0</v>
      </c>
      <c r="DD977" s="693">
        <f>SUMIFS(Imput[Importe Neto],Imput[C. Imp.],$D977,Imput[PERIODO Imp.],DD$9)</f>
        <v>0</v>
      </c>
      <c r="DE977" s="693">
        <f>SUMIFS(Imput[Importe Neto],Imput[C. Imp.],$D977,Imput[PERIODO Imp.],DE$9)</f>
        <v>0</v>
      </c>
      <c r="DF977" s="693">
        <f>SUMIFS(Imput[Importe Neto],Imput[C. Imp.],$D977,Imput[PERIODO Imp.],DF$9)</f>
        <v>0</v>
      </c>
      <c r="DG977" s="693">
        <f>SUMIFS(Imput[Importe Neto],Imput[C. Imp.],$D977,Imput[PERIODO Imp.],DG$9)</f>
        <v>0</v>
      </c>
      <c r="DH977" s="694">
        <f>SUMIFS(Imput[Importe Neto],Imput[C. Imp.],$D977,Imput[PERIODO Imp.],DH$9)</f>
        <v>0</v>
      </c>
    </row>
    <row r="978" spans="1:112" s="649" customFormat="1" hidden="1" outlineLevel="1" x14ac:dyDescent="0.3">
      <c r="A978" s="652" t="str">
        <f t="shared" si="347"/>
        <v/>
      </c>
      <c r="B978" s="652"/>
      <c r="C978" s="685"/>
      <c r="D978" s="686"/>
      <c r="E978" s="686"/>
      <c r="F978" s="720"/>
      <c r="G978" s="688"/>
      <c r="H978" s="689"/>
      <c r="I978" s="851" t="str">
        <f t="shared" si="348"/>
        <v/>
      </c>
      <c r="J978" s="852" t="str">
        <f t="shared" si="349"/>
        <v/>
      </c>
      <c r="K978" s="667"/>
      <c r="L978" s="858"/>
      <c r="M978" s="859"/>
      <c r="N978" s="859"/>
      <c r="O978" s="859"/>
      <c r="P978" s="859"/>
      <c r="Q978" s="859"/>
      <c r="R978" s="859"/>
      <c r="S978" s="859"/>
      <c r="T978" s="859"/>
      <c r="U978" s="859"/>
      <c r="V978" s="859"/>
      <c r="W978" s="859"/>
      <c r="X978" s="859"/>
      <c r="Y978" s="859"/>
      <c r="Z978" s="860"/>
      <c r="AA978" s="860"/>
      <c r="AB978" s="860"/>
      <c r="AC978" s="860"/>
      <c r="AD978" s="860"/>
      <c r="AE978" s="860"/>
      <c r="AF978" s="860"/>
      <c r="AG978" s="860"/>
      <c r="AH978" s="860"/>
      <c r="AI978" s="860"/>
      <c r="AJ978" s="860"/>
      <c r="AK978" s="860"/>
      <c r="AL978" s="860"/>
      <c r="AM978" s="860"/>
      <c r="AN978" s="860"/>
      <c r="AO978" s="860"/>
      <c r="AP978" s="860"/>
      <c r="AQ978" s="860"/>
      <c r="AR978" s="860"/>
      <c r="AS978" s="860"/>
      <c r="AT978" s="860"/>
      <c r="AU978" s="860"/>
      <c r="AV978" s="860"/>
      <c r="AW978" s="860"/>
      <c r="AX978" s="860"/>
      <c r="AY978" s="860"/>
      <c r="AZ978" s="860"/>
      <c r="BA978" s="860"/>
      <c r="BB978" s="860"/>
      <c r="BC978" s="860"/>
      <c r="BD978" s="860"/>
      <c r="BE978" s="860"/>
      <c r="BF978" s="860"/>
      <c r="BG978" s="860"/>
      <c r="BH978" s="668"/>
      <c r="BI978" s="667"/>
      <c r="BJ978" s="690">
        <f t="shared" si="350"/>
        <v>0</v>
      </c>
      <c r="BK978" s="691">
        <f t="shared" si="351"/>
        <v>0</v>
      </c>
      <c r="BL978" s="654"/>
      <c r="BM978" s="692">
        <f>SUMIFS(Imput[Importe Neto],Imput[C. Imp.],$D978,Imput[PERIODO Imp.],BM$9)</f>
        <v>0</v>
      </c>
      <c r="BN978" s="693">
        <f>SUMIFS(Imput[Importe Neto],Imput[C. Imp.],$D978,Imput[PERIODO Imp.],BN$9)</f>
        <v>0</v>
      </c>
      <c r="BO978" s="693">
        <f>SUMIFS(Imput[Importe Neto],Imput[C. Imp.],$D978,Imput[PERIODO Imp.],BO$9)</f>
        <v>0</v>
      </c>
      <c r="BP978" s="693">
        <f>SUMIFS(Imput[Importe Neto],Imput[C. Imp.],$D978,Imput[PERIODO Imp.],BP$9)</f>
        <v>0</v>
      </c>
      <c r="BQ978" s="693">
        <f>SUMIFS(Imput[Importe Neto],Imput[C. Imp.],$D978,Imput[PERIODO Imp.],BQ$9)</f>
        <v>0</v>
      </c>
      <c r="BR978" s="693">
        <f>SUMIFS(Imput[Importe Neto],Imput[C. Imp.],$D978,Imput[PERIODO Imp.],BR$9)</f>
        <v>0</v>
      </c>
      <c r="BS978" s="693">
        <f>SUMIFS(Imput[Importe Neto],Imput[C. Imp.],$D978,Imput[PERIODO Imp.],BS$9)</f>
        <v>0</v>
      </c>
      <c r="BT978" s="693">
        <f>SUMIFS(Imput[Importe Neto],Imput[C. Imp.],$D978,Imput[PERIODO Imp.],BT$9)</f>
        <v>0</v>
      </c>
      <c r="BU978" s="693">
        <f>SUMIFS(Imput[Importe Neto],Imput[C. Imp.],$D978,Imput[PERIODO Imp.],BU$9)</f>
        <v>0</v>
      </c>
      <c r="BV978" s="693">
        <f>SUMIFS(Imput[Importe Neto],Imput[C. Imp.],$D978,Imput[PERIODO Imp.],BV$9)</f>
        <v>0</v>
      </c>
      <c r="BW978" s="693">
        <f>SUMIFS(Imput[Importe Neto],Imput[C. Imp.],$D978,Imput[PERIODO Imp.],BW$9)</f>
        <v>0</v>
      </c>
      <c r="BX978" s="693">
        <f>SUMIFS(Imput[Importe Neto],Imput[C. Imp.],$D978,Imput[PERIODO Imp.],BX$9)</f>
        <v>0</v>
      </c>
      <c r="BY978" s="693">
        <f>SUMIFS(Imput[Importe Neto],Imput[C. Imp.],$D978,Imput[PERIODO Imp.],BY$9)</f>
        <v>0</v>
      </c>
      <c r="BZ978" s="693">
        <f>SUMIFS(Imput[Importe Neto],Imput[C. Imp.],$D978,Imput[PERIODO Imp.],BZ$9)</f>
        <v>0</v>
      </c>
      <c r="CA978" s="693">
        <f>SUMIFS(Imput[Importe Neto],Imput[C. Imp.],$D978,Imput[PERIODO Imp.],CA$9)</f>
        <v>0</v>
      </c>
      <c r="CB978" s="693">
        <f>SUMIFS(Imput[Importe Neto],Imput[C. Imp.],$D978,Imput[PERIODO Imp.],CB$9)</f>
        <v>0</v>
      </c>
      <c r="CC978" s="693">
        <f>SUMIFS(Imput[Importe Neto],Imput[C. Imp.],$D978,Imput[PERIODO Imp.],CC$9)</f>
        <v>0</v>
      </c>
      <c r="CD978" s="693">
        <f>SUMIFS(Imput[Importe Neto],Imput[C. Imp.],$D978,Imput[PERIODO Imp.],CD$9)</f>
        <v>0</v>
      </c>
      <c r="CE978" s="693">
        <f>SUMIFS(Imput[Importe Neto],Imput[C. Imp.],$D978,Imput[PERIODO Imp.],CE$9)</f>
        <v>0</v>
      </c>
      <c r="CF978" s="693">
        <f>SUMIFS(Imput[Importe Neto],Imput[C. Imp.],$D978,Imput[PERIODO Imp.],CF$9)</f>
        <v>0</v>
      </c>
      <c r="CG978" s="693">
        <f>SUMIFS(Imput[Importe Neto],Imput[C. Imp.],$D978,Imput[PERIODO Imp.],CG$9)</f>
        <v>0</v>
      </c>
      <c r="CH978" s="693">
        <f>SUMIFS(Imput[Importe Neto],Imput[C. Imp.],$D978,Imput[PERIODO Imp.],CH$9)</f>
        <v>0</v>
      </c>
      <c r="CI978" s="693">
        <f>SUMIFS(Imput[Importe Neto],Imput[C. Imp.],$D978,Imput[PERIODO Imp.],CI$9)</f>
        <v>0</v>
      </c>
      <c r="CJ978" s="693">
        <f>SUMIFS(Imput[Importe Neto],Imput[C. Imp.],$D978,Imput[PERIODO Imp.],CJ$9)</f>
        <v>0</v>
      </c>
      <c r="CK978" s="693">
        <f>SUMIFS(Imput[Importe Neto],Imput[C. Imp.],$D978,Imput[PERIODO Imp.],CK$9)</f>
        <v>0</v>
      </c>
      <c r="CL978" s="693">
        <f>SUMIFS(Imput[Importe Neto],Imput[C. Imp.],$D978,Imput[PERIODO Imp.],CL$9)</f>
        <v>0</v>
      </c>
      <c r="CM978" s="693">
        <f>SUMIFS(Imput[Importe Neto],Imput[C. Imp.],$D978,Imput[PERIODO Imp.],CM$9)</f>
        <v>0</v>
      </c>
      <c r="CN978" s="693">
        <f>SUMIFS(Imput[Importe Neto],Imput[C. Imp.],$D978,Imput[PERIODO Imp.],CN$9)</f>
        <v>0</v>
      </c>
      <c r="CO978" s="693">
        <f>SUMIFS(Imput[Importe Neto],Imput[C. Imp.],$D978,Imput[PERIODO Imp.],CO$9)</f>
        <v>0</v>
      </c>
      <c r="CP978" s="693">
        <f>SUMIFS(Imput[Importe Neto],Imput[C. Imp.],$D978,Imput[PERIODO Imp.],CP$9)</f>
        <v>0</v>
      </c>
      <c r="CQ978" s="693">
        <f>SUMIFS(Imput[Importe Neto],Imput[C. Imp.],$D978,Imput[PERIODO Imp.],CQ$9)</f>
        <v>0</v>
      </c>
      <c r="CR978" s="693">
        <f>SUMIFS(Imput[Importe Neto],Imput[C. Imp.],$D978,Imput[PERIODO Imp.],CR$9)</f>
        <v>0</v>
      </c>
      <c r="CS978" s="693">
        <f>SUMIFS(Imput[Importe Neto],Imput[C. Imp.],$D978,Imput[PERIODO Imp.],CS$9)</f>
        <v>0</v>
      </c>
      <c r="CT978" s="693">
        <f>SUMIFS(Imput[Importe Neto],Imput[C. Imp.],$D978,Imput[PERIODO Imp.],CT$9)</f>
        <v>0</v>
      </c>
      <c r="CU978" s="693">
        <f>SUMIFS(Imput[Importe Neto],Imput[C. Imp.],$D978,Imput[PERIODO Imp.],CU$9)</f>
        <v>0</v>
      </c>
      <c r="CV978" s="693">
        <f>SUMIFS(Imput[Importe Neto],Imput[C. Imp.],$D978,Imput[PERIODO Imp.],CV$9)</f>
        <v>0</v>
      </c>
      <c r="CW978" s="693">
        <f>SUMIFS(Imput[Importe Neto],Imput[C. Imp.],$D978,Imput[PERIODO Imp.],CW$9)</f>
        <v>0</v>
      </c>
      <c r="CX978" s="693">
        <f>SUMIFS(Imput[Importe Neto],Imput[C. Imp.],$D978,Imput[PERIODO Imp.],CX$9)</f>
        <v>0</v>
      </c>
      <c r="CY978" s="693">
        <f>SUMIFS(Imput[Importe Neto],Imput[C. Imp.],$D978,Imput[PERIODO Imp.],CY$9)</f>
        <v>0</v>
      </c>
      <c r="CZ978" s="693">
        <f>SUMIFS(Imput[Importe Neto],Imput[C. Imp.],$D978,Imput[PERIODO Imp.],CZ$9)</f>
        <v>0</v>
      </c>
      <c r="DA978" s="693">
        <f>SUMIFS(Imput[Importe Neto],Imput[C. Imp.],$D978,Imput[PERIODO Imp.],DA$9)</f>
        <v>0</v>
      </c>
      <c r="DB978" s="693">
        <f>SUMIFS(Imput[Importe Neto],Imput[C. Imp.],$D978,Imput[PERIODO Imp.],DB$9)</f>
        <v>0</v>
      </c>
      <c r="DC978" s="693">
        <f>SUMIFS(Imput[Importe Neto],Imput[C. Imp.],$D978,Imput[PERIODO Imp.],DC$9)</f>
        <v>0</v>
      </c>
      <c r="DD978" s="693">
        <f>SUMIFS(Imput[Importe Neto],Imput[C. Imp.],$D978,Imput[PERIODO Imp.],DD$9)</f>
        <v>0</v>
      </c>
      <c r="DE978" s="693">
        <f>SUMIFS(Imput[Importe Neto],Imput[C. Imp.],$D978,Imput[PERIODO Imp.],DE$9)</f>
        <v>0</v>
      </c>
      <c r="DF978" s="693">
        <f>SUMIFS(Imput[Importe Neto],Imput[C. Imp.],$D978,Imput[PERIODO Imp.],DF$9)</f>
        <v>0</v>
      </c>
      <c r="DG978" s="693">
        <f>SUMIFS(Imput[Importe Neto],Imput[C. Imp.],$D978,Imput[PERIODO Imp.],DG$9)</f>
        <v>0</v>
      </c>
      <c r="DH978" s="694">
        <f>SUMIFS(Imput[Importe Neto],Imput[C. Imp.],$D978,Imput[PERIODO Imp.],DH$9)</f>
        <v>0</v>
      </c>
    </row>
    <row r="979" spans="1:112" s="649" customFormat="1" hidden="1" outlineLevel="1" x14ac:dyDescent="0.3">
      <c r="A979" s="652" t="str">
        <f t="shared" si="347"/>
        <v/>
      </c>
      <c r="B979" s="652"/>
      <c r="C979" s="685"/>
      <c r="D979" s="686"/>
      <c r="E979" s="686"/>
      <c r="F979" s="720"/>
      <c r="G979" s="688"/>
      <c r="H979" s="689"/>
      <c r="I979" s="851" t="str">
        <f t="shared" si="348"/>
        <v/>
      </c>
      <c r="J979" s="852" t="str">
        <f t="shared" si="349"/>
        <v/>
      </c>
      <c r="K979" s="667"/>
      <c r="L979" s="858"/>
      <c r="M979" s="859"/>
      <c r="N979" s="859"/>
      <c r="O979" s="859"/>
      <c r="P979" s="859"/>
      <c r="Q979" s="859"/>
      <c r="R979" s="859"/>
      <c r="S979" s="859"/>
      <c r="T979" s="859"/>
      <c r="U979" s="859"/>
      <c r="V979" s="859"/>
      <c r="W979" s="859"/>
      <c r="X979" s="859"/>
      <c r="Y979" s="859"/>
      <c r="Z979" s="860"/>
      <c r="AA979" s="860"/>
      <c r="AB979" s="860"/>
      <c r="AC979" s="860"/>
      <c r="AD979" s="860"/>
      <c r="AE979" s="860"/>
      <c r="AF979" s="860"/>
      <c r="AG979" s="860"/>
      <c r="AH979" s="860"/>
      <c r="AI979" s="860"/>
      <c r="AJ979" s="860"/>
      <c r="AK979" s="860"/>
      <c r="AL979" s="860"/>
      <c r="AM979" s="860"/>
      <c r="AN979" s="860"/>
      <c r="AO979" s="860"/>
      <c r="AP979" s="860"/>
      <c r="AQ979" s="860"/>
      <c r="AR979" s="860"/>
      <c r="AS979" s="860"/>
      <c r="AT979" s="860"/>
      <c r="AU979" s="860"/>
      <c r="AV979" s="860"/>
      <c r="AW979" s="860"/>
      <c r="AX979" s="860"/>
      <c r="AY979" s="860"/>
      <c r="AZ979" s="860"/>
      <c r="BA979" s="860"/>
      <c r="BB979" s="860"/>
      <c r="BC979" s="860"/>
      <c r="BD979" s="860"/>
      <c r="BE979" s="860"/>
      <c r="BF979" s="860"/>
      <c r="BG979" s="860"/>
      <c r="BH979" s="668"/>
      <c r="BI979" s="667"/>
      <c r="BJ979" s="690">
        <f t="shared" si="350"/>
        <v>0</v>
      </c>
      <c r="BK979" s="691">
        <f t="shared" si="351"/>
        <v>0</v>
      </c>
      <c r="BL979" s="654"/>
      <c r="BM979" s="692">
        <f>SUMIFS(Imput[Importe Neto],Imput[C. Imp.],$D979,Imput[PERIODO Imp.],BM$9)</f>
        <v>0</v>
      </c>
      <c r="BN979" s="693">
        <f>SUMIFS(Imput[Importe Neto],Imput[C. Imp.],$D979,Imput[PERIODO Imp.],BN$9)</f>
        <v>0</v>
      </c>
      <c r="BO979" s="693">
        <f>SUMIFS(Imput[Importe Neto],Imput[C. Imp.],$D979,Imput[PERIODO Imp.],BO$9)</f>
        <v>0</v>
      </c>
      <c r="BP979" s="693">
        <f>SUMIFS(Imput[Importe Neto],Imput[C. Imp.],$D979,Imput[PERIODO Imp.],BP$9)</f>
        <v>0</v>
      </c>
      <c r="BQ979" s="693">
        <f>SUMIFS(Imput[Importe Neto],Imput[C. Imp.],$D979,Imput[PERIODO Imp.],BQ$9)</f>
        <v>0</v>
      </c>
      <c r="BR979" s="693">
        <f>SUMIFS(Imput[Importe Neto],Imput[C. Imp.],$D979,Imput[PERIODO Imp.],BR$9)</f>
        <v>0</v>
      </c>
      <c r="BS979" s="693">
        <f>SUMIFS(Imput[Importe Neto],Imput[C. Imp.],$D979,Imput[PERIODO Imp.],BS$9)</f>
        <v>0</v>
      </c>
      <c r="BT979" s="693">
        <f>SUMIFS(Imput[Importe Neto],Imput[C. Imp.],$D979,Imput[PERIODO Imp.],BT$9)</f>
        <v>0</v>
      </c>
      <c r="BU979" s="693">
        <f>SUMIFS(Imput[Importe Neto],Imput[C. Imp.],$D979,Imput[PERIODO Imp.],BU$9)</f>
        <v>0</v>
      </c>
      <c r="BV979" s="693">
        <f>SUMIFS(Imput[Importe Neto],Imput[C. Imp.],$D979,Imput[PERIODO Imp.],BV$9)</f>
        <v>0</v>
      </c>
      <c r="BW979" s="693">
        <f>SUMIFS(Imput[Importe Neto],Imput[C. Imp.],$D979,Imput[PERIODO Imp.],BW$9)</f>
        <v>0</v>
      </c>
      <c r="BX979" s="693">
        <f>SUMIFS(Imput[Importe Neto],Imput[C. Imp.],$D979,Imput[PERIODO Imp.],BX$9)</f>
        <v>0</v>
      </c>
      <c r="BY979" s="693">
        <f>SUMIFS(Imput[Importe Neto],Imput[C. Imp.],$D979,Imput[PERIODO Imp.],BY$9)</f>
        <v>0</v>
      </c>
      <c r="BZ979" s="693">
        <f>SUMIFS(Imput[Importe Neto],Imput[C. Imp.],$D979,Imput[PERIODO Imp.],BZ$9)</f>
        <v>0</v>
      </c>
      <c r="CA979" s="693">
        <f>SUMIFS(Imput[Importe Neto],Imput[C. Imp.],$D979,Imput[PERIODO Imp.],CA$9)</f>
        <v>0</v>
      </c>
      <c r="CB979" s="693">
        <f>SUMIFS(Imput[Importe Neto],Imput[C. Imp.],$D979,Imput[PERIODO Imp.],CB$9)</f>
        <v>0</v>
      </c>
      <c r="CC979" s="693">
        <f>SUMIFS(Imput[Importe Neto],Imput[C. Imp.],$D979,Imput[PERIODO Imp.],CC$9)</f>
        <v>0</v>
      </c>
      <c r="CD979" s="693">
        <f>SUMIFS(Imput[Importe Neto],Imput[C. Imp.],$D979,Imput[PERIODO Imp.],CD$9)</f>
        <v>0</v>
      </c>
      <c r="CE979" s="693">
        <f>SUMIFS(Imput[Importe Neto],Imput[C. Imp.],$D979,Imput[PERIODO Imp.],CE$9)</f>
        <v>0</v>
      </c>
      <c r="CF979" s="693">
        <f>SUMIFS(Imput[Importe Neto],Imput[C. Imp.],$D979,Imput[PERIODO Imp.],CF$9)</f>
        <v>0</v>
      </c>
      <c r="CG979" s="693">
        <f>SUMIFS(Imput[Importe Neto],Imput[C. Imp.],$D979,Imput[PERIODO Imp.],CG$9)</f>
        <v>0</v>
      </c>
      <c r="CH979" s="693">
        <f>SUMIFS(Imput[Importe Neto],Imput[C. Imp.],$D979,Imput[PERIODO Imp.],CH$9)</f>
        <v>0</v>
      </c>
      <c r="CI979" s="693">
        <f>SUMIFS(Imput[Importe Neto],Imput[C. Imp.],$D979,Imput[PERIODO Imp.],CI$9)</f>
        <v>0</v>
      </c>
      <c r="CJ979" s="693">
        <f>SUMIFS(Imput[Importe Neto],Imput[C. Imp.],$D979,Imput[PERIODO Imp.],CJ$9)</f>
        <v>0</v>
      </c>
      <c r="CK979" s="693">
        <f>SUMIFS(Imput[Importe Neto],Imput[C. Imp.],$D979,Imput[PERIODO Imp.],CK$9)</f>
        <v>0</v>
      </c>
      <c r="CL979" s="693">
        <f>SUMIFS(Imput[Importe Neto],Imput[C. Imp.],$D979,Imput[PERIODO Imp.],CL$9)</f>
        <v>0</v>
      </c>
      <c r="CM979" s="693">
        <f>SUMIFS(Imput[Importe Neto],Imput[C. Imp.],$D979,Imput[PERIODO Imp.],CM$9)</f>
        <v>0</v>
      </c>
      <c r="CN979" s="693">
        <f>SUMIFS(Imput[Importe Neto],Imput[C. Imp.],$D979,Imput[PERIODO Imp.],CN$9)</f>
        <v>0</v>
      </c>
      <c r="CO979" s="693">
        <f>SUMIFS(Imput[Importe Neto],Imput[C. Imp.],$D979,Imput[PERIODO Imp.],CO$9)</f>
        <v>0</v>
      </c>
      <c r="CP979" s="693">
        <f>SUMIFS(Imput[Importe Neto],Imput[C. Imp.],$D979,Imput[PERIODO Imp.],CP$9)</f>
        <v>0</v>
      </c>
      <c r="CQ979" s="693">
        <f>SUMIFS(Imput[Importe Neto],Imput[C. Imp.],$D979,Imput[PERIODO Imp.],CQ$9)</f>
        <v>0</v>
      </c>
      <c r="CR979" s="693">
        <f>SUMIFS(Imput[Importe Neto],Imput[C. Imp.],$D979,Imput[PERIODO Imp.],CR$9)</f>
        <v>0</v>
      </c>
      <c r="CS979" s="693">
        <f>SUMIFS(Imput[Importe Neto],Imput[C. Imp.],$D979,Imput[PERIODO Imp.],CS$9)</f>
        <v>0</v>
      </c>
      <c r="CT979" s="693">
        <f>SUMIFS(Imput[Importe Neto],Imput[C. Imp.],$D979,Imput[PERIODO Imp.],CT$9)</f>
        <v>0</v>
      </c>
      <c r="CU979" s="693">
        <f>SUMIFS(Imput[Importe Neto],Imput[C. Imp.],$D979,Imput[PERIODO Imp.],CU$9)</f>
        <v>0</v>
      </c>
      <c r="CV979" s="693">
        <f>SUMIFS(Imput[Importe Neto],Imput[C. Imp.],$D979,Imput[PERIODO Imp.],CV$9)</f>
        <v>0</v>
      </c>
      <c r="CW979" s="693">
        <f>SUMIFS(Imput[Importe Neto],Imput[C. Imp.],$D979,Imput[PERIODO Imp.],CW$9)</f>
        <v>0</v>
      </c>
      <c r="CX979" s="693">
        <f>SUMIFS(Imput[Importe Neto],Imput[C. Imp.],$D979,Imput[PERIODO Imp.],CX$9)</f>
        <v>0</v>
      </c>
      <c r="CY979" s="693">
        <f>SUMIFS(Imput[Importe Neto],Imput[C. Imp.],$D979,Imput[PERIODO Imp.],CY$9)</f>
        <v>0</v>
      </c>
      <c r="CZ979" s="693">
        <f>SUMIFS(Imput[Importe Neto],Imput[C. Imp.],$D979,Imput[PERIODO Imp.],CZ$9)</f>
        <v>0</v>
      </c>
      <c r="DA979" s="693">
        <f>SUMIFS(Imput[Importe Neto],Imput[C. Imp.],$D979,Imput[PERIODO Imp.],DA$9)</f>
        <v>0</v>
      </c>
      <c r="DB979" s="693">
        <f>SUMIFS(Imput[Importe Neto],Imput[C. Imp.],$D979,Imput[PERIODO Imp.],DB$9)</f>
        <v>0</v>
      </c>
      <c r="DC979" s="693">
        <f>SUMIFS(Imput[Importe Neto],Imput[C. Imp.],$D979,Imput[PERIODO Imp.],DC$9)</f>
        <v>0</v>
      </c>
      <c r="DD979" s="693">
        <f>SUMIFS(Imput[Importe Neto],Imput[C. Imp.],$D979,Imput[PERIODO Imp.],DD$9)</f>
        <v>0</v>
      </c>
      <c r="DE979" s="693">
        <f>SUMIFS(Imput[Importe Neto],Imput[C. Imp.],$D979,Imput[PERIODO Imp.],DE$9)</f>
        <v>0</v>
      </c>
      <c r="DF979" s="693">
        <f>SUMIFS(Imput[Importe Neto],Imput[C. Imp.],$D979,Imput[PERIODO Imp.],DF$9)</f>
        <v>0</v>
      </c>
      <c r="DG979" s="693">
        <f>SUMIFS(Imput[Importe Neto],Imput[C. Imp.],$D979,Imput[PERIODO Imp.],DG$9)</f>
        <v>0</v>
      </c>
      <c r="DH979" s="694">
        <f>SUMIFS(Imput[Importe Neto],Imput[C. Imp.],$D979,Imput[PERIODO Imp.],DH$9)</f>
        <v>0</v>
      </c>
    </row>
    <row r="980" spans="1:112" s="649" customFormat="1" hidden="1" outlineLevel="1" x14ac:dyDescent="0.3">
      <c r="A980" s="652" t="str">
        <f t="shared" si="347"/>
        <v/>
      </c>
      <c r="B980" s="652"/>
      <c r="C980" s="685"/>
      <c r="D980" s="686"/>
      <c r="E980" s="686"/>
      <c r="F980" s="720"/>
      <c r="G980" s="688"/>
      <c r="H980" s="689"/>
      <c r="I980" s="851" t="str">
        <f t="shared" si="348"/>
        <v/>
      </c>
      <c r="J980" s="850" t="str">
        <f t="shared" si="349"/>
        <v/>
      </c>
      <c r="K980" s="667"/>
      <c r="L980" s="858"/>
      <c r="M980" s="859"/>
      <c r="N980" s="859"/>
      <c r="O980" s="859"/>
      <c r="P980" s="859"/>
      <c r="Q980" s="859"/>
      <c r="R980" s="859"/>
      <c r="S980" s="859"/>
      <c r="T980" s="859"/>
      <c r="U980" s="859"/>
      <c r="V980" s="859"/>
      <c r="W980" s="859"/>
      <c r="X980" s="859"/>
      <c r="Y980" s="859"/>
      <c r="Z980" s="860"/>
      <c r="AA980" s="860"/>
      <c r="AB980" s="860"/>
      <c r="AC980" s="860"/>
      <c r="AD980" s="860"/>
      <c r="AE980" s="860"/>
      <c r="AF980" s="860"/>
      <c r="AG980" s="860"/>
      <c r="AH980" s="860"/>
      <c r="AI980" s="860"/>
      <c r="AJ980" s="860"/>
      <c r="AK980" s="860"/>
      <c r="AL980" s="860"/>
      <c r="AM980" s="860"/>
      <c r="AN980" s="860"/>
      <c r="AO980" s="860"/>
      <c r="AP980" s="860"/>
      <c r="AQ980" s="860"/>
      <c r="AR980" s="860"/>
      <c r="AS980" s="860"/>
      <c r="AT980" s="860"/>
      <c r="AU980" s="860"/>
      <c r="AV980" s="860"/>
      <c r="AW980" s="860"/>
      <c r="AX980" s="860"/>
      <c r="AY980" s="860"/>
      <c r="AZ980" s="860"/>
      <c r="BA980" s="860"/>
      <c r="BB980" s="860"/>
      <c r="BC980" s="860"/>
      <c r="BD980" s="860"/>
      <c r="BE980" s="860"/>
      <c r="BF980" s="860"/>
      <c r="BG980" s="860"/>
      <c r="BH980" s="668"/>
      <c r="BI980" s="667"/>
      <c r="BJ980" s="690">
        <f t="shared" si="350"/>
        <v>0</v>
      </c>
      <c r="BK980" s="691">
        <f t="shared" si="351"/>
        <v>0</v>
      </c>
      <c r="BL980" s="654"/>
      <c r="BM980" s="692">
        <f>SUMIFS(Imput[Importe Neto],Imput[C. Imp.],$D980,Imput[PERIODO Imp.],BM$9)</f>
        <v>0</v>
      </c>
      <c r="BN980" s="693">
        <f>SUMIFS(Imput[Importe Neto],Imput[C. Imp.],$D980,Imput[PERIODO Imp.],BN$9)</f>
        <v>0</v>
      </c>
      <c r="BO980" s="693">
        <f>SUMIFS(Imput[Importe Neto],Imput[C. Imp.],$D980,Imput[PERIODO Imp.],BO$9)</f>
        <v>0</v>
      </c>
      <c r="BP980" s="693">
        <f>SUMIFS(Imput[Importe Neto],Imput[C. Imp.],$D980,Imput[PERIODO Imp.],BP$9)</f>
        <v>0</v>
      </c>
      <c r="BQ980" s="693">
        <f>SUMIFS(Imput[Importe Neto],Imput[C. Imp.],$D980,Imput[PERIODO Imp.],BQ$9)</f>
        <v>0</v>
      </c>
      <c r="BR980" s="693">
        <f>SUMIFS(Imput[Importe Neto],Imput[C. Imp.],$D980,Imput[PERIODO Imp.],BR$9)</f>
        <v>0</v>
      </c>
      <c r="BS980" s="693">
        <f>SUMIFS(Imput[Importe Neto],Imput[C. Imp.],$D980,Imput[PERIODO Imp.],BS$9)</f>
        <v>0</v>
      </c>
      <c r="BT980" s="693">
        <f>SUMIFS(Imput[Importe Neto],Imput[C. Imp.],$D980,Imput[PERIODO Imp.],BT$9)</f>
        <v>0</v>
      </c>
      <c r="BU980" s="693">
        <f>SUMIFS(Imput[Importe Neto],Imput[C. Imp.],$D980,Imput[PERIODO Imp.],BU$9)</f>
        <v>0</v>
      </c>
      <c r="BV980" s="693">
        <f>SUMIFS(Imput[Importe Neto],Imput[C. Imp.],$D980,Imput[PERIODO Imp.],BV$9)</f>
        <v>0</v>
      </c>
      <c r="BW980" s="693">
        <f>SUMIFS(Imput[Importe Neto],Imput[C. Imp.],$D980,Imput[PERIODO Imp.],BW$9)</f>
        <v>0</v>
      </c>
      <c r="BX980" s="693">
        <f>SUMIFS(Imput[Importe Neto],Imput[C. Imp.],$D980,Imput[PERIODO Imp.],BX$9)</f>
        <v>0</v>
      </c>
      <c r="BY980" s="693">
        <f>SUMIFS(Imput[Importe Neto],Imput[C. Imp.],$D980,Imput[PERIODO Imp.],BY$9)</f>
        <v>0</v>
      </c>
      <c r="BZ980" s="693">
        <f>SUMIFS(Imput[Importe Neto],Imput[C. Imp.],$D980,Imput[PERIODO Imp.],BZ$9)</f>
        <v>0</v>
      </c>
      <c r="CA980" s="693">
        <f>SUMIFS(Imput[Importe Neto],Imput[C. Imp.],$D980,Imput[PERIODO Imp.],CA$9)</f>
        <v>0</v>
      </c>
      <c r="CB980" s="693">
        <f>SUMIFS(Imput[Importe Neto],Imput[C. Imp.],$D980,Imput[PERIODO Imp.],CB$9)</f>
        <v>0</v>
      </c>
      <c r="CC980" s="693">
        <f>SUMIFS(Imput[Importe Neto],Imput[C. Imp.],$D980,Imput[PERIODO Imp.],CC$9)</f>
        <v>0</v>
      </c>
      <c r="CD980" s="693">
        <f>SUMIFS(Imput[Importe Neto],Imput[C. Imp.],$D980,Imput[PERIODO Imp.],CD$9)</f>
        <v>0</v>
      </c>
      <c r="CE980" s="693">
        <f>SUMIFS(Imput[Importe Neto],Imput[C. Imp.],$D980,Imput[PERIODO Imp.],CE$9)</f>
        <v>0</v>
      </c>
      <c r="CF980" s="693">
        <f>SUMIFS(Imput[Importe Neto],Imput[C. Imp.],$D980,Imput[PERIODO Imp.],CF$9)</f>
        <v>0</v>
      </c>
      <c r="CG980" s="693">
        <f>SUMIFS(Imput[Importe Neto],Imput[C. Imp.],$D980,Imput[PERIODO Imp.],CG$9)</f>
        <v>0</v>
      </c>
      <c r="CH980" s="693">
        <f>SUMIFS(Imput[Importe Neto],Imput[C. Imp.],$D980,Imput[PERIODO Imp.],CH$9)</f>
        <v>0</v>
      </c>
      <c r="CI980" s="693">
        <f>SUMIFS(Imput[Importe Neto],Imput[C. Imp.],$D980,Imput[PERIODO Imp.],CI$9)</f>
        <v>0</v>
      </c>
      <c r="CJ980" s="693">
        <f>SUMIFS(Imput[Importe Neto],Imput[C. Imp.],$D980,Imput[PERIODO Imp.],CJ$9)</f>
        <v>0</v>
      </c>
      <c r="CK980" s="693">
        <f>SUMIFS(Imput[Importe Neto],Imput[C. Imp.],$D980,Imput[PERIODO Imp.],CK$9)</f>
        <v>0</v>
      </c>
      <c r="CL980" s="693">
        <f>SUMIFS(Imput[Importe Neto],Imput[C. Imp.],$D980,Imput[PERIODO Imp.],CL$9)</f>
        <v>0</v>
      </c>
      <c r="CM980" s="693">
        <f>SUMIFS(Imput[Importe Neto],Imput[C. Imp.],$D980,Imput[PERIODO Imp.],CM$9)</f>
        <v>0</v>
      </c>
      <c r="CN980" s="693">
        <f>SUMIFS(Imput[Importe Neto],Imput[C. Imp.],$D980,Imput[PERIODO Imp.],CN$9)</f>
        <v>0</v>
      </c>
      <c r="CO980" s="693">
        <f>SUMIFS(Imput[Importe Neto],Imput[C. Imp.],$D980,Imput[PERIODO Imp.],CO$9)</f>
        <v>0</v>
      </c>
      <c r="CP980" s="693">
        <f>SUMIFS(Imput[Importe Neto],Imput[C. Imp.],$D980,Imput[PERIODO Imp.],CP$9)</f>
        <v>0</v>
      </c>
      <c r="CQ980" s="693">
        <f>SUMIFS(Imput[Importe Neto],Imput[C. Imp.],$D980,Imput[PERIODO Imp.],CQ$9)</f>
        <v>0</v>
      </c>
      <c r="CR980" s="693">
        <f>SUMIFS(Imput[Importe Neto],Imput[C. Imp.],$D980,Imput[PERIODO Imp.],CR$9)</f>
        <v>0</v>
      </c>
      <c r="CS980" s="693">
        <f>SUMIFS(Imput[Importe Neto],Imput[C. Imp.],$D980,Imput[PERIODO Imp.],CS$9)</f>
        <v>0</v>
      </c>
      <c r="CT980" s="693">
        <f>SUMIFS(Imput[Importe Neto],Imput[C. Imp.],$D980,Imput[PERIODO Imp.],CT$9)</f>
        <v>0</v>
      </c>
      <c r="CU980" s="693">
        <f>SUMIFS(Imput[Importe Neto],Imput[C. Imp.],$D980,Imput[PERIODO Imp.],CU$9)</f>
        <v>0</v>
      </c>
      <c r="CV980" s="693">
        <f>SUMIFS(Imput[Importe Neto],Imput[C. Imp.],$D980,Imput[PERIODO Imp.],CV$9)</f>
        <v>0</v>
      </c>
      <c r="CW980" s="693">
        <f>SUMIFS(Imput[Importe Neto],Imput[C. Imp.],$D980,Imput[PERIODO Imp.],CW$9)</f>
        <v>0</v>
      </c>
      <c r="CX980" s="693">
        <f>SUMIFS(Imput[Importe Neto],Imput[C. Imp.],$D980,Imput[PERIODO Imp.],CX$9)</f>
        <v>0</v>
      </c>
      <c r="CY980" s="693">
        <f>SUMIFS(Imput[Importe Neto],Imput[C. Imp.],$D980,Imput[PERIODO Imp.],CY$9)</f>
        <v>0</v>
      </c>
      <c r="CZ980" s="693">
        <f>SUMIFS(Imput[Importe Neto],Imput[C. Imp.],$D980,Imput[PERIODO Imp.],CZ$9)</f>
        <v>0</v>
      </c>
      <c r="DA980" s="693">
        <f>SUMIFS(Imput[Importe Neto],Imput[C. Imp.],$D980,Imput[PERIODO Imp.],DA$9)</f>
        <v>0</v>
      </c>
      <c r="DB980" s="693">
        <f>SUMIFS(Imput[Importe Neto],Imput[C. Imp.],$D980,Imput[PERIODO Imp.],DB$9)</f>
        <v>0</v>
      </c>
      <c r="DC980" s="693">
        <f>SUMIFS(Imput[Importe Neto],Imput[C. Imp.],$D980,Imput[PERIODO Imp.],DC$9)</f>
        <v>0</v>
      </c>
      <c r="DD980" s="693">
        <f>SUMIFS(Imput[Importe Neto],Imput[C. Imp.],$D980,Imput[PERIODO Imp.],DD$9)</f>
        <v>0</v>
      </c>
      <c r="DE980" s="693">
        <f>SUMIFS(Imput[Importe Neto],Imput[C. Imp.],$D980,Imput[PERIODO Imp.],DE$9)</f>
        <v>0</v>
      </c>
      <c r="DF980" s="693">
        <f>SUMIFS(Imput[Importe Neto],Imput[C. Imp.],$D980,Imput[PERIODO Imp.],DF$9)</f>
        <v>0</v>
      </c>
      <c r="DG980" s="693">
        <f>SUMIFS(Imput[Importe Neto],Imput[C. Imp.],$D980,Imput[PERIODO Imp.],DG$9)</f>
        <v>0</v>
      </c>
      <c r="DH980" s="694">
        <f>SUMIFS(Imput[Importe Neto],Imput[C. Imp.],$D980,Imput[PERIODO Imp.],DH$9)</f>
        <v>0</v>
      </c>
    </row>
    <row r="981" spans="1:112" s="649" customFormat="1" hidden="1" outlineLevel="1" x14ac:dyDescent="0.3">
      <c r="A981" s="652" t="str">
        <f t="shared" si="347"/>
        <v/>
      </c>
      <c r="B981" s="652"/>
      <c r="C981" s="685"/>
      <c r="D981" s="686"/>
      <c r="E981" s="686"/>
      <c r="F981" s="720"/>
      <c r="G981" s="688"/>
      <c r="H981" s="689"/>
      <c r="I981" s="851" t="str">
        <f t="shared" si="348"/>
        <v/>
      </c>
      <c r="J981" s="850" t="str">
        <f t="shared" si="349"/>
        <v/>
      </c>
      <c r="K981" s="667"/>
      <c r="L981" s="858"/>
      <c r="M981" s="859"/>
      <c r="N981" s="859"/>
      <c r="O981" s="859"/>
      <c r="P981" s="859"/>
      <c r="Q981" s="859"/>
      <c r="R981" s="859"/>
      <c r="S981" s="859"/>
      <c r="T981" s="859"/>
      <c r="U981" s="859"/>
      <c r="V981" s="859"/>
      <c r="W981" s="859"/>
      <c r="X981" s="859"/>
      <c r="Y981" s="859"/>
      <c r="Z981" s="860"/>
      <c r="AA981" s="860"/>
      <c r="AB981" s="860"/>
      <c r="AC981" s="860"/>
      <c r="AD981" s="860"/>
      <c r="AE981" s="860"/>
      <c r="AF981" s="860"/>
      <c r="AG981" s="860"/>
      <c r="AH981" s="860"/>
      <c r="AI981" s="860"/>
      <c r="AJ981" s="860"/>
      <c r="AK981" s="860"/>
      <c r="AL981" s="860"/>
      <c r="AM981" s="860"/>
      <c r="AN981" s="860"/>
      <c r="AO981" s="860"/>
      <c r="AP981" s="860"/>
      <c r="AQ981" s="860"/>
      <c r="AR981" s="860"/>
      <c r="AS981" s="860"/>
      <c r="AT981" s="860"/>
      <c r="AU981" s="860"/>
      <c r="AV981" s="860"/>
      <c r="AW981" s="860"/>
      <c r="AX981" s="860"/>
      <c r="AY981" s="860"/>
      <c r="AZ981" s="860"/>
      <c r="BA981" s="860"/>
      <c r="BB981" s="860"/>
      <c r="BC981" s="860"/>
      <c r="BD981" s="860"/>
      <c r="BE981" s="860"/>
      <c r="BF981" s="860"/>
      <c r="BG981" s="860"/>
      <c r="BH981" s="668"/>
      <c r="BI981" s="667"/>
      <c r="BJ981" s="690">
        <f t="shared" si="350"/>
        <v>0</v>
      </c>
      <c r="BK981" s="691">
        <f t="shared" si="351"/>
        <v>0</v>
      </c>
      <c r="BL981" s="654"/>
      <c r="BM981" s="692">
        <f>SUMIFS(Imput[Importe Neto],Imput[C. Imp.],$D981,Imput[PERIODO Imp.],BM$9)</f>
        <v>0</v>
      </c>
      <c r="BN981" s="693">
        <f>SUMIFS(Imput[Importe Neto],Imput[C. Imp.],$D981,Imput[PERIODO Imp.],BN$9)</f>
        <v>0</v>
      </c>
      <c r="BO981" s="693">
        <f>SUMIFS(Imput[Importe Neto],Imput[C. Imp.],$D981,Imput[PERIODO Imp.],BO$9)</f>
        <v>0</v>
      </c>
      <c r="BP981" s="693">
        <f>SUMIFS(Imput[Importe Neto],Imput[C. Imp.],$D981,Imput[PERIODO Imp.],BP$9)</f>
        <v>0</v>
      </c>
      <c r="BQ981" s="693">
        <f>SUMIFS(Imput[Importe Neto],Imput[C. Imp.],$D981,Imput[PERIODO Imp.],BQ$9)</f>
        <v>0</v>
      </c>
      <c r="BR981" s="693">
        <f>SUMIFS(Imput[Importe Neto],Imput[C. Imp.],$D981,Imput[PERIODO Imp.],BR$9)</f>
        <v>0</v>
      </c>
      <c r="BS981" s="693">
        <f>SUMIFS(Imput[Importe Neto],Imput[C. Imp.],$D981,Imput[PERIODO Imp.],BS$9)</f>
        <v>0</v>
      </c>
      <c r="BT981" s="693">
        <f>SUMIFS(Imput[Importe Neto],Imput[C. Imp.],$D981,Imput[PERIODO Imp.],BT$9)</f>
        <v>0</v>
      </c>
      <c r="BU981" s="693">
        <f>SUMIFS(Imput[Importe Neto],Imput[C. Imp.],$D981,Imput[PERIODO Imp.],BU$9)</f>
        <v>0</v>
      </c>
      <c r="BV981" s="693">
        <f>SUMIFS(Imput[Importe Neto],Imput[C. Imp.],$D981,Imput[PERIODO Imp.],BV$9)</f>
        <v>0</v>
      </c>
      <c r="BW981" s="693">
        <f>SUMIFS(Imput[Importe Neto],Imput[C. Imp.],$D981,Imput[PERIODO Imp.],BW$9)</f>
        <v>0</v>
      </c>
      <c r="BX981" s="693">
        <f>SUMIFS(Imput[Importe Neto],Imput[C. Imp.],$D981,Imput[PERIODO Imp.],BX$9)</f>
        <v>0</v>
      </c>
      <c r="BY981" s="693">
        <f>SUMIFS(Imput[Importe Neto],Imput[C. Imp.],$D981,Imput[PERIODO Imp.],BY$9)</f>
        <v>0</v>
      </c>
      <c r="BZ981" s="693">
        <f>SUMIFS(Imput[Importe Neto],Imput[C. Imp.],$D981,Imput[PERIODO Imp.],BZ$9)</f>
        <v>0</v>
      </c>
      <c r="CA981" s="693">
        <f>SUMIFS(Imput[Importe Neto],Imput[C. Imp.],$D981,Imput[PERIODO Imp.],CA$9)</f>
        <v>0</v>
      </c>
      <c r="CB981" s="693">
        <f>SUMIFS(Imput[Importe Neto],Imput[C. Imp.],$D981,Imput[PERIODO Imp.],CB$9)</f>
        <v>0</v>
      </c>
      <c r="CC981" s="693">
        <f>SUMIFS(Imput[Importe Neto],Imput[C. Imp.],$D981,Imput[PERIODO Imp.],CC$9)</f>
        <v>0</v>
      </c>
      <c r="CD981" s="693">
        <f>SUMIFS(Imput[Importe Neto],Imput[C. Imp.],$D981,Imput[PERIODO Imp.],CD$9)</f>
        <v>0</v>
      </c>
      <c r="CE981" s="693">
        <f>SUMIFS(Imput[Importe Neto],Imput[C. Imp.],$D981,Imput[PERIODO Imp.],CE$9)</f>
        <v>0</v>
      </c>
      <c r="CF981" s="693">
        <f>SUMIFS(Imput[Importe Neto],Imput[C. Imp.],$D981,Imput[PERIODO Imp.],CF$9)</f>
        <v>0</v>
      </c>
      <c r="CG981" s="693">
        <f>SUMIFS(Imput[Importe Neto],Imput[C. Imp.],$D981,Imput[PERIODO Imp.],CG$9)</f>
        <v>0</v>
      </c>
      <c r="CH981" s="693">
        <f>SUMIFS(Imput[Importe Neto],Imput[C. Imp.],$D981,Imput[PERIODO Imp.],CH$9)</f>
        <v>0</v>
      </c>
      <c r="CI981" s="693">
        <f>SUMIFS(Imput[Importe Neto],Imput[C. Imp.],$D981,Imput[PERIODO Imp.],CI$9)</f>
        <v>0</v>
      </c>
      <c r="CJ981" s="693">
        <f>SUMIFS(Imput[Importe Neto],Imput[C. Imp.],$D981,Imput[PERIODO Imp.],CJ$9)</f>
        <v>0</v>
      </c>
      <c r="CK981" s="693">
        <f>SUMIFS(Imput[Importe Neto],Imput[C. Imp.],$D981,Imput[PERIODO Imp.],CK$9)</f>
        <v>0</v>
      </c>
      <c r="CL981" s="693">
        <f>SUMIFS(Imput[Importe Neto],Imput[C. Imp.],$D981,Imput[PERIODO Imp.],CL$9)</f>
        <v>0</v>
      </c>
      <c r="CM981" s="693">
        <f>SUMIFS(Imput[Importe Neto],Imput[C. Imp.],$D981,Imput[PERIODO Imp.],CM$9)</f>
        <v>0</v>
      </c>
      <c r="CN981" s="693">
        <f>SUMIFS(Imput[Importe Neto],Imput[C. Imp.],$D981,Imput[PERIODO Imp.],CN$9)</f>
        <v>0</v>
      </c>
      <c r="CO981" s="693">
        <f>SUMIFS(Imput[Importe Neto],Imput[C. Imp.],$D981,Imput[PERIODO Imp.],CO$9)</f>
        <v>0</v>
      </c>
      <c r="CP981" s="693">
        <f>SUMIFS(Imput[Importe Neto],Imput[C. Imp.],$D981,Imput[PERIODO Imp.],CP$9)</f>
        <v>0</v>
      </c>
      <c r="CQ981" s="693">
        <f>SUMIFS(Imput[Importe Neto],Imput[C. Imp.],$D981,Imput[PERIODO Imp.],CQ$9)</f>
        <v>0</v>
      </c>
      <c r="CR981" s="693">
        <f>SUMIFS(Imput[Importe Neto],Imput[C. Imp.],$D981,Imput[PERIODO Imp.],CR$9)</f>
        <v>0</v>
      </c>
      <c r="CS981" s="693">
        <f>SUMIFS(Imput[Importe Neto],Imput[C. Imp.],$D981,Imput[PERIODO Imp.],CS$9)</f>
        <v>0</v>
      </c>
      <c r="CT981" s="693">
        <f>SUMIFS(Imput[Importe Neto],Imput[C. Imp.],$D981,Imput[PERIODO Imp.],CT$9)</f>
        <v>0</v>
      </c>
      <c r="CU981" s="693">
        <f>SUMIFS(Imput[Importe Neto],Imput[C. Imp.],$D981,Imput[PERIODO Imp.],CU$9)</f>
        <v>0</v>
      </c>
      <c r="CV981" s="693">
        <f>SUMIFS(Imput[Importe Neto],Imput[C. Imp.],$D981,Imput[PERIODO Imp.],CV$9)</f>
        <v>0</v>
      </c>
      <c r="CW981" s="693">
        <f>SUMIFS(Imput[Importe Neto],Imput[C. Imp.],$D981,Imput[PERIODO Imp.],CW$9)</f>
        <v>0</v>
      </c>
      <c r="CX981" s="693">
        <f>SUMIFS(Imput[Importe Neto],Imput[C. Imp.],$D981,Imput[PERIODO Imp.],CX$9)</f>
        <v>0</v>
      </c>
      <c r="CY981" s="693">
        <f>SUMIFS(Imput[Importe Neto],Imput[C. Imp.],$D981,Imput[PERIODO Imp.],CY$9)</f>
        <v>0</v>
      </c>
      <c r="CZ981" s="693">
        <f>SUMIFS(Imput[Importe Neto],Imput[C. Imp.],$D981,Imput[PERIODO Imp.],CZ$9)</f>
        <v>0</v>
      </c>
      <c r="DA981" s="693">
        <f>SUMIFS(Imput[Importe Neto],Imput[C. Imp.],$D981,Imput[PERIODO Imp.],DA$9)</f>
        <v>0</v>
      </c>
      <c r="DB981" s="693">
        <f>SUMIFS(Imput[Importe Neto],Imput[C. Imp.],$D981,Imput[PERIODO Imp.],DB$9)</f>
        <v>0</v>
      </c>
      <c r="DC981" s="693">
        <f>SUMIFS(Imput[Importe Neto],Imput[C. Imp.],$D981,Imput[PERIODO Imp.],DC$9)</f>
        <v>0</v>
      </c>
      <c r="DD981" s="693">
        <f>SUMIFS(Imput[Importe Neto],Imput[C. Imp.],$D981,Imput[PERIODO Imp.],DD$9)</f>
        <v>0</v>
      </c>
      <c r="DE981" s="693">
        <f>SUMIFS(Imput[Importe Neto],Imput[C. Imp.],$D981,Imput[PERIODO Imp.],DE$9)</f>
        <v>0</v>
      </c>
      <c r="DF981" s="693">
        <f>SUMIFS(Imput[Importe Neto],Imput[C. Imp.],$D981,Imput[PERIODO Imp.],DF$9)</f>
        <v>0</v>
      </c>
      <c r="DG981" s="693">
        <f>SUMIFS(Imput[Importe Neto],Imput[C. Imp.],$D981,Imput[PERIODO Imp.],DG$9)</f>
        <v>0</v>
      </c>
      <c r="DH981" s="694">
        <f>SUMIFS(Imput[Importe Neto],Imput[C. Imp.],$D981,Imput[PERIODO Imp.],DH$9)</f>
        <v>0</v>
      </c>
    </row>
    <row r="982" spans="1:112" s="649" customFormat="1" hidden="1" outlineLevel="1" x14ac:dyDescent="0.3">
      <c r="A982" s="652" t="str">
        <f t="shared" si="347"/>
        <v/>
      </c>
      <c r="B982" s="652"/>
      <c r="C982" s="685"/>
      <c r="D982" s="686"/>
      <c r="E982" s="686"/>
      <c r="F982" s="720"/>
      <c r="G982" s="688"/>
      <c r="H982" s="689"/>
      <c r="I982" s="851" t="str">
        <f t="shared" si="348"/>
        <v/>
      </c>
      <c r="J982" s="850" t="str">
        <f t="shared" si="349"/>
        <v/>
      </c>
      <c r="K982" s="667"/>
      <c r="L982" s="858"/>
      <c r="M982" s="859"/>
      <c r="N982" s="859"/>
      <c r="O982" s="859"/>
      <c r="P982" s="859"/>
      <c r="Q982" s="859"/>
      <c r="R982" s="859"/>
      <c r="S982" s="859"/>
      <c r="T982" s="859"/>
      <c r="U982" s="859"/>
      <c r="V982" s="859"/>
      <c r="W982" s="859"/>
      <c r="X982" s="859"/>
      <c r="Y982" s="859"/>
      <c r="Z982" s="860"/>
      <c r="AA982" s="860"/>
      <c r="AB982" s="860"/>
      <c r="AC982" s="860"/>
      <c r="AD982" s="860"/>
      <c r="AE982" s="860"/>
      <c r="AF982" s="860"/>
      <c r="AG982" s="860"/>
      <c r="AH982" s="860"/>
      <c r="AI982" s="860"/>
      <c r="AJ982" s="860"/>
      <c r="AK982" s="860"/>
      <c r="AL982" s="860"/>
      <c r="AM982" s="860"/>
      <c r="AN982" s="860"/>
      <c r="AO982" s="860"/>
      <c r="AP982" s="860"/>
      <c r="AQ982" s="860"/>
      <c r="AR982" s="860"/>
      <c r="AS982" s="860"/>
      <c r="AT982" s="860"/>
      <c r="AU982" s="860"/>
      <c r="AV982" s="860"/>
      <c r="AW982" s="860"/>
      <c r="AX982" s="860"/>
      <c r="AY982" s="860"/>
      <c r="AZ982" s="860"/>
      <c r="BA982" s="860"/>
      <c r="BB982" s="860"/>
      <c r="BC982" s="860"/>
      <c r="BD982" s="860"/>
      <c r="BE982" s="860"/>
      <c r="BF982" s="860"/>
      <c r="BG982" s="860"/>
      <c r="BH982" s="668"/>
      <c r="BI982" s="667"/>
      <c r="BJ982" s="690">
        <f t="shared" si="350"/>
        <v>0</v>
      </c>
      <c r="BK982" s="691">
        <f t="shared" si="351"/>
        <v>0</v>
      </c>
      <c r="BL982" s="654"/>
      <c r="BM982" s="692">
        <f>SUMIFS(Imput[Importe Neto],Imput[C. Imp.],$D982,Imput[PERIODO Imp.],BM$9)</f>
        <v>0</v>
      </c>
      <c r="BN982" s="693">
        <f>SUMIFS(Imput[Importe Neto],Imput[C. Imp.],$D982,Imput[PERIODO Imp.],BN$9)</f>
        <v>0</v>
      </c>
      <c r="BO982" s="693">
        <f>SUMIFS(Imput[Importe Neto],Imput[C. Imp.],$D982,Imput[PERIODO Imp.],BO$9)</f>
        <v>0</v>
      </c>
      <c r="BP982" s="693">
        <f>SUMIFS(Imput[Importe Neto],Imput[C. Imp.],$D982,Imput[PERIODO Imp.],BP$9)</f>
        <v>0</v>
      </c>
      <c r="BQ982" s="693">
        <f>SUMIFS(Imput[Importe Neto],Imput[C. Imp.],$D982,Imput[PERIODO Imp.],BQ$9)</f>
        <v>0</v>
      </c>
      <c r="BR982" s="693">
        <f>SUMIFS(Imput[Importe Neto],Imput[C. Imp.],$D982,Imput[PERIODO Imp.],BR$9)</f>
        <v>0</v>
      </c>
      <c r="BS982" s="693">
        <f>SUMIFS(Imput[Importe Neto],Imput[C. Imp.],$D982,Imput[PERIODO Imp.],BS$9)</f>
        <v>0</v>
      </c>
      <c r="BT982" s="693">
        <f>SUMIFS(Imput[Importe Neto],Imput[C. Imp.],$D982,Imput[PERIODO Imp.],BT$9)</f>
        <v>0</v>
      </c>
      <c r="BU982" s="693">
        <f>SUMIFS(Imput[Importe Neto],Imput[C. Imp.],$D982,Imput[PERIODO Imp.],BU$9)</f>
        <v>0</v>
      </c>
      <c r="BV982" s="693">
        <f>SUMIFS(Imput[Importe Neto],Imput[C. Imp.],$D982,Imput[PERIODO Imp.],BV$9)</f>
        <v>0</v>
      </c>
      <c r="BW982" s="693">
        <f>SUMIFS(Imput[Importe Neto],Imput[C. Imp.],$D982,Imput[PERIODO Imp.],BW$9)</f>
        <v>0</v>
      </c>
      <c r="BX982" s="693">
        <f>SUMIFS(Imput[Importe Neto],Imput[C. Imp.],$D982,Imput[PERIODO Imp.],BX$9)</f>
        <v>0</v>
      </c>
      <c r="BY982" s="693">
        <f>SUMIFS(Imput[Importe Neto],Imput[C. Imp.],$D982,Imput[PERIODO Imp.],BY$9)</f>
        <v>0</v>
      </c>
      <c r="BZ982" s="693">
        <f>SUMIFS(Imput[Importe Neto],Imput[C. Imp.],$D982,Imput[PERIODO Imp.],BZ$9)</f>
        <v>0</v>
      </c>
      <c r="CA982" s="693">
        <f>SUMIFS(Imput[Importe Neto],Imput[C. Imp.],$D982,Imput[PERIODO Imp.],CA$9)</f>
        <v>0</v>
      </c>
      <c r="CB982" s="693">
        <f>SUMIFS(Imput[Importe Neto],Imput[C. Imp.],$D982,Imput[PERIODO Imp.],CB$9)</f>
        <v>0</v>
      </c>
      <c r="CC982" s="693">
        <f>SUMIFS(Imput[Importe Neto],Imput[C. Imp.],$D982,Imput[PERIODO Imp.],CC$9)</f>
        <v>0</v>
      </c>
      <c r="CD982" s="693">
        <f>SUMIFS(Imput[Importe Neto],Imput[C. Imp.],$D982,Imput[PERIODO Imp.],CD$9)</f>
        <v>0</v>
      </c>
      <c r="CE982" s="693">
        <f>SUMIFS(Imput[Importe Neto],Imput[C. Imp.],$D982,Imput[PERIODO Imp.],CE$9)</f>
        <v>0</v>
      </c>
      <c r="CF982" s="693">
        <f>SUMIFS(Imput[Importe Neto],Imput[C. Imp.],$D982,Imput[PERIODO Imp.],CF$9)</f>
        <v>0</v>
      </c>
      <c r="CG982" s="693">
        <f>SUMIFS(Imput[Importe Neto],Imput[C. Imp.],$D982,Imput[PERIODO Imp.],CG$9)</f>
        <v>0</v>
      </c>
      <c r="CH982" s="693">
        <f>SUMIFS(Imput[Importe Neto],Imput[C. Imp.],$D982,Imput[PERIODO Imp.],CH$9)</f>
        <v>0</v>
      </c>
      <c r="CI982" s="693">
        <f>SUMIFS(Imput[Importe Neto],Imput[C. Imp.],$D982,Imput[PERIODO Imp.],CI$9)</f>
        <v>0</v>
      </c>
      <c r="CJ982" s="693">
        <f>SUMIFS(Imput[Importe Neto],Imput[C. Imp.],$D982,Imput[PERIODO Imp.],CJ$9)</f>
        <v>0</v>
      </c>
      <c r="CK982" s="693">
        <f>SUMIFS(Imput[Importe Neto],Imput[C. Imp.],$D982,Imput[PERIODO Imp.],CK$9)</f>
        <v>0</v>
      </c>
      <c r="CL982" s="693">
        <f>SUMIFS(Imput[Importe Neto],Imput[C. Imp.],$D982,Imput[PERIODO Imp.],CL$9)</f>
        <v>0</v>
      </c>
      <c r="CM982" s="693">
        <f>SUMIFS(Imput[Importe Neto],Imput[C. Imp.],$D982,Imput[PERIODO Imp.],CM$9)</f>
        <v>0</v>
      </c>
      <c r="CN982" s="693">
        <f>SUMIFS(Imput[Importe Neto],Imput[C. Imp.],$D982,Imput[PERIODO Imp.],CN$9)</f>
        <v>0</v>
      </c>
      <c r="CO982" s="693">
        <f>SUMIFS(Imput[Importe Neto],Imput[C. Imp.],$D982,Imput[PERIODO Imp.],CO$9)</f>
        <v>0</v>
      </c>
      <c r="CP982" s="693">
        <f>SUMIFS(Imput[Importe Neto],Imput[C. Imp.],$D982,Imput[PERIODO Imp.],CP$9)</f>
        <v>0</v>
      </c>
      <c r="CQ982" s="693">
        <f>SUMIFS(Imput[Importe Neto],Imput[C. Imp.],$D982,Imput[PERIODO Imp.],CQ$9)</f>
        <v>0</v>
      </c>
      <c r="CR982" s="693">
        <f>SUMIFS(Imput[Importe Neto],Imput[C. Imp.],$D982,Imput[PERIODO Imp.],CR$9)</f>
        <v>0</v>
      </c>
      <c r="CS982" s="693">
        <f>SUMIFS(Imput[Importe Neto],Imput[C. Imp.],$D982,Imput[PERIODO Imp.],CS$9)</f>
        <v>0</v>
      </c>
      <c r="CT982" s="693">
        <f>SUMIFS(Imput[Importe Neto],Imput[C. Imp.],$D982,Imput[PERIODO Imp.],CT$9)</f>
        <v>0</v>
      </c>
      <c r="CU982" s="693">
        <f>SUMIFS(Imput[Importe Neto],Imput[C. Imp.],$D982,Imput[PERIODO Imp.],CU$9)</f>
        <v>0</v>
      </c>
      <c r="CV982" s="693">
        <f>SUMIFS(Imput[Importe Neto],Imput[C. Imp.],$D982,Imput[PERIODO Imp.],CV$9)</f>
        <v>0</v>
      </c>
      <c r="CW982" s="693">
        <f>SUMIFS(Imput[Importe Neto],Imput[C. Imp.],$D982,Imput[PERIODO Imp.],CW$9)</f>
        <v>0</v>
      </c>
      <c r="CX982" s="693">
        <f>SUMIFS(Imput[Importe Neto],Imput[C. Imp.],$D982,Imput[PERIODO Imp.],CX$9)</f>
        <v>0</v>
      </c>
      <c r="CY982" s="693">
        <f>SUMIFS(Imput[Importe Neto],Imput[C. Imp.],$D982,Imput[PERIODO Imp.],CY$9)</f>
        <v>0</v>
      </c>
      <c r="CZ982" s="693">
        <f>SUMIFS(Imput[Importe Neto],Imput[C. Imp.],$D982,Imput[PERIODO Imp.],CZ$9)</f>
        <v>0</v>
      </c>
      <c r="DA982" s="693">
        <f>SUMIFS(Imput[Importe Neto],Imput[C. Imp.],$D982,Imput[PERIODO Imp.],DA$9)</f>
        <v>0</v>
      </c>
      <c r="DB982" s="693">
        <f>SUMIFS(Imput[Importe Neto],Imput[C. Imp.],$D982,Imput[PERIODO Imp.],DB$9)</f>
        <v>0</v>
      </c>
      <c r="DC982" s="693">
        <f>SUMIFS(Imput[Importe Neto],Imput[C. Imp.],$D982,Imput[PERIODO Imp.],DC$9)</f>
        <v>0</v>
      </c>
      <c r="DD982" s="693">
        <f>SUMIFS(Imput[Importe Neto],Imput[C. Imp.],$D982,Imput[PERIODO Imp.],DD$9)</f>
        <v>0</v>
      </c>
      <c r="DE982" s="693">
        <f>SUMIFS(Imput[Importe Neto],Imput[C. Imp.],$D982,Imput[PERIODO Imp.],DE$9)</f>
        <v>0</v>
      </c>
      <c r="DF982" s="693">
        <f>SUMIFS(Imput[Importe Neto],Imput[C. Imp.],$D982,Imput[PERIODO Imp.],DF$9)</f>
        <v>0</v>
      </c>
      <c r="DG982" s="693">
        <f>SUMIFS(Imput[Importe Neto],Imput[C. Imp.],$D982,Imput[PERIODO Imp.],DG$9)</f>
        <v>0</v>
      </c>
      <c r="DH982" s="694">
        <f>SUMIFS(Imput[Importe Neto],Imput[C. Imp.],$D982,Imput[PERIODO Imp.],DH$9)</f>
        <v>0</v>
      </c>
    </row>
    <row r="983" spans="1:112" s="649" customFormat="1" hidden="1" outlineLevel="1" x14ac:dyDescent="0.3">
      <c r="A983" s="652" t="str">
        <f t="shared" si="347"/>
        <v/>
      </c>
      <c r="B983" s="652"/>
      <c r="C983" s="685"/>
      <c r="D983" s="686"/>
      <c r="E983" s="686"/>
      <c r="F983" s="720"/>
      <c r="G983" s="688"/>
      <c r="H983" s="689"/>
      <c r="I983" s="851" t="str">
        <f t="shared" si="348"/>
        <v/>
      </c>
      <c r="J983" s="850" t="str">
        <f t="shared" si="349"/>
        <v/>
      </c>
      <c r="K983" s="667"/>
      <c r="L983" s="858"/>
      <c r="M983" s="859"/>
      <c r="N983" s="859"/>
      <c r="O983" s="859"/>
      <c r="P983" s="859"/>
      <c r="Q983" s="859"/>
      <c r="R983" s="859"/>
      <c r="S983" s="859"/>
      <c r="T983" s="859"/>
      <c r="U983" s="859"/>
      <c r="V983" s="859"/>
      <c r="W983" s="859"/>
      <c r="X983" s="859"/>
      <c r="Y983" s="859"/>
      <c r="Z983" s="860"/>
      <c r="AA983" s="860"/>
      <c r="AB983" s="860"/>
      <c r="AC983" s="860"/>
      <c r="AD983" s="860"/>
      <c r="AE983" s="860"/>
      <c r="AF983" s="860"/>
      <c r="AG983" s="860"/>
      <c r="AH983" s="860"/>
      <c r="AI983" s="860"/>
      <c r="AJ983" s="860"/>
      <c r="AK983" s="860"/>
      <c r="AL983" s="860"/>
      <c r="AM983" s="860"/>
      <c r="AN983" s="860"/>
      <c r="AO983" s="860"/>
      <c r="AP983" s="860"/>
      <c r="AQ983" s="860"/>
      <c r="AR983" s="860"/>
      <c r="AS983" s="860"/>
      <c r="AT983" s="860"/>
      <c r="AU983" s="860"/>
      <c r="AV983" s="860"/>
      <c r="AW983" s="860"/>
      <c r="AX983" s="860"/>
      <c r="AY983" s="860"/>
      <c r="AZ983" s="860"/>
      <c r="BA983" s="860"/>
      <c r="BB983" s="860"/>
      <c r="BC983" s="860"/>
      <c r="BD983" s="860"/>
      <c r="BE983" s="860"/>
      <c r="BF983" s="860"/>
      <c r="BG983" s="860"/>
      <c r="BH983" s="780"/>
      <c r="BI983" s="654"/>
      <c r="BJ983" s="690">
        <f t="shared" si="350"/>
        <v>0</v>
      </c>
      <c r="BK983" s="691">
        <f t="shared" si="351"/>
        <v>0</v>
      </c>
      <c r="BL983" s="654"/>
      <c r="BM983" s="692">
        <f>SUMIFS(Imput[Importe Neto],Imput[C. Imp.],$D983,Imput[PERIODO Imp.],BM$9)</f>
        <v>0</v>
      </c>
      <c r="BN983" s="693">
        <f>SUMIFS(Imput[Importe Neto],Imput[C. Imp.],$D983,Imput[PERIODO Imp.],BN$9)</f>
        <v>0</v>
      </c>
      <c r="BO983" s="693">
        <f>SUMIFS(Imput[Importe Neto],Imput[C. Imp.],$D983,Imput[PERIODO Imp.],BO$9)</f>
        <v>0</v>
      </c>
      <c r="BP983" s="693">
        <f>SUMIFS(Imput[Importe Neto],Imput[C. Imp.],$D983,Imput[PERIODO Imp.],BP$9)</f>
        <v>0</v>
      </c>
      <c r="BQ983" s="693">
        <f>SUMIFS(Imput[Importe Neto],Imput[C. Imp.],$D983,Imput[PERIODO Imp.],BQ$9)</f>
        <v>0</v>
      </c>
      <c r="BR983" s="693">
        <f>SUMIFS(Imput[Importe Neto],Imput[C. Imp.],$D983,Imput[PERIODO Imp.],BR$9)</f>
        <v>0</v>
      </c>
      <c r="BS983" s="693">
        <f>SUMIFS(Imput[Importe Neto],Imput[C. Imp.],$D983,Imput[PERIODO Imp.],BS$9)</f>
        <v>0</v>
      </c>
      <c r="BT983" s="693">
        <f>SUMIFS(Imput[Importe Neto],Imput[C. Imp.],$D983,Imput[PERIODO Imp.],BT$9)</f>
        <v>0</v>
      </c>
      <c r="BU983" s="693">
        <f>SUMIFS(Imput[Importe Neto],Imput[C. Imp.],$D983,Imput[PERIODO Imp.],BU$9)</f>
        <v>0</v>
      </c>
      <c r="BV983" s="693">
        <f>SUMIFS(Imput[Importe Neto],Imput[C. Imp.],$D983,Imput[PERIODO Imp.],BV$9)</f>
        <v>0</v>
      </c>
      <c r="BW983" s="693">
        <f>SUMIFS(Imput[Importe Neto],Imput[C. Imp.],$D983,Imput[PERIODO Imp.],BW$9)</f>
        <v>0</v>
      </c>
      <c r="BX983" s="693">
        <f>SUMIFS(Imput[Importe Neto],Imput[C. Imp.],$D983,Imput[PERIODO Imp.],BX$9)</f>
        <v>0</v>
      </c>
      <c r="BY983" s="693">
        <f>SUMIFS(Imput[Importe Neto],Imput[C. Imp.],$D983,Imput[PERIODO Imp.],BY$9)</f>
        <v>0</v>
      </c>
      <c r="BZ983" s="693">
        <f>SUMIFS(Imput[Importe Neto],Imput[C. Imp.],$D983,Imput[PERIODO Imp.],BZ$9)</f>
        <v>0</v>
      </c>
      <c r="CA983" s="693">
        <f>SUMIFS(Imput[Importe Neto],Imput[C. Imp.],$D983,Imput[PERIODO Imp.],CA$9)</f>
        <v>0</v>
      </c>
      <c r="CB983" s="693">
        <f>SUMIFS(Imput[Importe Neto],Imput[C. Imp.],$D983,Imput[PERIODO Imp.],CB$9)</f>
        <v>0</v>
      </c>
      <c r="CC983" s="693">
        <f>SUMIFS(Imput[Importe Neto],Imput[C. Imp.],$D983,Imput[PERIODO Imp.],CC$9)</f>
        <v>0</v>
      </c>
      <c r="CD983" s="693">
        <f>SUMIFS(Imput[Importe Neto],Imput[C. Imp.],$D983,Imput[PERIODO Imp.],CD$9)</f>
        <v>0</v>
      </c>
      <c r="CE983" s="693">
        <f>SUMIFS(Imput[Importe Neto],Imput[C. Imp.],$D983,Imput[PERIODO Imp.],CE$9)</f>
        <v>0</v>
      </c>
      <c r="CF983" s="693">
        <f>SUMIFS(Imput[Importe Neto],Imput[C. Imp.],$D983,Imput[PERIODO Imp.],CF$9)</f>
        <v>0</v>
      </c>
      <c r="CG983" s="693">
        <f>SUMIFS(Imput[Importe Neto],Imput[C. Imp.],$D983,Imput[PERIODO Imp.],CG$9)</f>
        <v>0</v>
      </c>
      <c r="CH983" s="693">
        <f>SUMIFS(Imput[Importe Neto],Imput[C. Imp.],$D983,Imput[PERIODO Imp.],CH$9)</f>
        <v>0</v>
      </c>
      <c r="CI983" s="693">
        <f>SUMIFS(Imput[Importe Neto],Imput[C. Imp.],$D983,Imput[PERIODO Imp.],CI$9)</f>
        <v>0</v>
      </c>
      <c r="CJ983" s="693">
        <f>SUMIFS(Imput[Importe Neto],Imput[C. Imp.],$D983,Imput[PERIODO Imp.],CJ$9)</f>
        <v>0</v>
      </c>
      <c r="CK983" s="693">
        <f>SUMIFS(Imput[Importe Neto],Imput[C. Imp.],$D983,Imput[PERIODO Imp.],CK$9)</f>
        <v>0</v>
      </c>
      <c r="CL983" s="693">
        <f>SUMIFS(Imput[Importe Neto],Imput[C. Imp.],$D983,Imput[PERIODO Imp.],CL$9)</f>
        <v>0</v>
      </c>
      <c r="CM983" s="693">
        <f>SUMIFS(Imput[Importe Neto],Imput[C. Imp.],$D983,Imput[PERIODO Imp.],CM$9)</f>
        <v>0</v>
      </c>
      <c r="CN983" s="693">
        <f>SUMIFS(Imput[Importe Neto],Imput[C. Imp.],$D983,Imput[PERIODO Imp.],CN$9)</f>
        <v>0</v>
      </c>
      <c r="CO983" s="693">
        <f>SUMIFS(Imput[Importe Neto],Imput[C. Imp.],$D983,Imput[PERIODO Imp.],CO$9)</f>
        <v>0</v>
      </c>
      <c r="CP983" s="693">
        <f>SUMIFS(Imput[Importe Neto],Imput[C. Imp.],$D983,Imput[PERIODO Imp.],CP$9)</f>
        <v>0</v>
      </c>
      <c r="CQ983" s="693">
        <f>SUMIFS(Imput[Importe Neto],Imput[C. Imp.],$D983,Imput[PERIODO Imp.],CQ$9)</f>
        <v>0</v>
      </c>
      <c r="CR983" s="693">
        <f>SUMIFS(Imput[Importe Neto],Imput[C. Imp.],$D983,Imput[PERIODO Imp.],CR$9)</f>
        <v>0</v>
      </c>
      <c r="CS983" s="693">
        <f>SUMIFS(Imput[Importe Neto],Imput[C. Imp.],$D983,Imput[PERIODO Imp.],CS$9)</f>
        <v>0</v>
      </c>
      <c r="CT983" s="693">
        <f>SUMIFS(Imput[Importe Neto],Imput[C. Imp.],$D983,Imput[PERIODO Imp.],CT$9)</f>
        <v>0</v>
      </c>
      <c r="CU983" s="693">
        <f>SUMIFS(Imput[Importe Neto],Imput[C. Imp.],$D983,Imput[PERIODO Imp.],CU$9)</f>
        <v>0</v>
      </c>
      <c r="CV983" s="693">
        <f>SUMIFS(Imput[Importe Neto],Imput[C. Imp.],$D983,Imput[PERIODO Imp.],CV$9)</f>
        <v>0</v>
      </c>
      <c r="CW983" s="693">
        <f>SUMIFS(Imput[Importe Neto],Imput[C. Imp.],$D983,Imput[PERIODO Imp.],CW$9)</f>
        <v>0</v>
      </c>
      <c r="CX983" s="693">
        <f>SUMIFS(Imput[Importe Neto],Imput[C. Imp.],$D983,Imput[PERIODO Imp.],CX$9)</f>
        <v>0</v>
      </c>
      <c r="CY983" s="693">
        <f>SUMIFS(Imput[Importe Neto],Imput[C. Imp.],$D983,Imput[PERIODO Imp.],CY$9)</f>
        <v>0</v>
      </c>
      <c r="CZ983" s="693">
        <f>SUMIFS(Imput[Importe Neto],Imput[C. Imp.],$D983,Imput[PERIODO Imp.],CZ$9)</f>
        <v>0</v>
      </c>
      <c r="DA983" s="693">
        <f>SUMIFS(Imput[Importe Neto],Imput[C. Imp.],$D983,Imput[PERIODO Imp.],DA$9)</f>
        <v>0</v>
      </c>
      <c r="DB983" s="693">
        <f>SUMIFS(Imput[Importe Neto],Imput[C. Imp.],$D983,Imput[PERIODO Imp.],DB$9)</f>
        <v>0</v>
      </c>
      <c r="DC983" s="693">
        <f>SUMIFS(Imput[Importe Neto],Imput[C. Imp.],$D983,Imput[PERIODO Imp.],DC$9)</f>
        <v>0</v>
      </c>
      <c r="DD983" s="693">
        <f>SUMIFS(Imput[Importe Neto],Imput[C. Imp.],$D983,Imput[PERIODO Imp.],DD$9)</f>
        <v>0</v>
      </c>
      <c r="DE983" s="693">
        <f>SUMIFS(Imput[Importe Neto],Imput[C. Imp.],$D983,Imput[PERIODO Imp.],DE$9)</f>
        <v>0</v>
      </c>
      <c r="DF983" s="693">
        <f>SUMIFS(Imput[Importe Neto],Imput[C. Imp.],$D983,Imput[PERIODO Imp.],DF$9)</f>
        <v>0</v>
      </c>
      <c r="DG983" s="693">
        <f>SUMIFS(Imput[Importe Neto],Imput[C. Imp.],$D983,Imput[PERIODO Imp.],DG$9)</f>
        <v>0</v>
      </c>
      <c r="DH983" s="694">
        <f>SUMIFS(Imput[Importe Neto],Imput[C. Imp.],$D983,Imput[PERIODO Imp.],DH$9)</f>
        <v>0</v>
      </c>
    </row>
    <row r="984" spans="1:112" s="649" customFormat="1" hidden="1" outlineLevel="1" x14ac:dyDescent="0.3">
      <c r="A984" s="652" t="str">
        <f t="shared" si="347"/>
        <v/>
      </c>
      <c r="B984" s="652"/>
      <c r="C984" s="685"/>
      <c r="D984" s="686"/>
      <c r="E984" s="686"/>
      <c r="F984" s="720"/>
      <c r="G984" s="688"/>
      <c r="H984" s="689"/>
      <c r="I984" s="851" t="str">
        <f t="shared" si="348"/>
        <v/>
      </c>
      <c r="J984" s="850" t="str">
        <f t="shared" si="349"/>
        <v/>
      </c>
      <c r="K984" s="678"/>
      <c r="L984" s="858"/>
      <c r="M984" s="859"/>
      <c r="N984" s="859"/>
      <c r="O984" s="859"/>
      <c r="P984" s="859"/>
      <c r="Q984" s="859"/>
      <c r="R984" s="859"/>
      <c r="S984" s="859"/>
      <c r="T984" s="859"/>
      <c r="U984" s="859"/>
      <c r="V984" s="859"/>
      <c r="W984" s="859"/>
      <c r="X984" s="859"/>
      <c r="Y984" s="859"/>
      <c r="Z984" s="860"/>
      <c r="AA984" s="860"/>
      <c r="AB984" s="860"/>
      <c r="AC984" s="860"/>
      <c r="AD984" s="860"/>
      <c r="AE984" s="860"/>
      <c r="AF984" s="860"/>
      <c r="AG984" s="860"/>
      <c r="AH984" s="860"/>
      <c r="AI984" s="860"/>
      <c r="AJ984" s="860"/>
      <c r="AK984" s="860"/>
      <c r="AL984" s="860"/>
      <c r="AM984" s="860"/>
      <c r="AN984" s="860"/>
      <c r="AO984" s="860"/>
      <c r="AP984" s="860"/>
      <c r="AQ984" s="860"/>
      <c r="AR984" s="860"/>
      <c r="AS984" s="860"/>
      <c r="AT984" s="860"/>
      <c r="AU984" s="860"/>
      <c r="AV984" s="860"/>
      <c r="AW984" s="860"/>
      <c r="AX984" s="860"/>
      <c r="AY984" s="860"/>
      <c r="AZ984" s="860"/>
      <c r="BA984" s="860"/>
      <c r="BB984" s="860"/>
      <c r="BC984" s="860"/>
      <c r="BD984" s="860"/>
      <c r="BE984" s="860"/>
      <c r="BF984" s="860"/>
      <c r="BG984" s="860"/>
      <c r="BH984" s="668"/>
      <c r="BI984" s="654"/>
      <c r="BJ984" s="690">
        <f t="shared" si="350"/>
        <v>0</v>
      </c>
      <c r="BK984" s="691">
        <f t="shared" si="351"/>
        <v>0</v>
      </c>
      <c r="BL984" s="654"/>
      <c r="BM984" s="692">
        <f>SUMIFS(Imput[Importe Neto],Imput[C. Imp.],$D984,Imput[PERIODO Imp.],BM$9)</f>
        <v>0</v>
      </c>
      <c r="BN984" s="693">
        <f>SUMIFS(Imput[Importe Neto],Imput[C. Imp.],$D984,Imput[PERIODO Imp.],BN$9)</f>
        <v>0</v>
      </c>
      <c r="BO984" s="693">
        <f>SUMIFS(Imput[Importe Neto],Imput[C. Imp.],$D984,Imput[PERIODO Imp.],BO$9)</f>
        <v>0</v>
      </c>
      <c r="BP984" s="693">
        <f>SUMIFS(Imput[Importe Neto],Imput[C. Imp.],$D984,Imput[PERIODO Imp.],BP$9)</f>
        <v>0</v>
      </c>
      <c r="BQ984" s="693">
        <f>SUMIFS(Imput[Importe Neto],Imput[C. Imp.],$D984,Imput[PERIODO Imp.],BQ$9)</f>
        <v>0</v>
      </c>
      <c r="BR984" s="693">
        <f>SUMIFS(Imput[Importe Neto],Imput[C. Imp.],$D984,Imput[PERIODO Imp.],BR$9)</f>
        <v>0</v>
      </c>
      <c r="BS984" s="693">
        <f>SUMIFS(Imput[Importe Neto],Imput[C. Imp.],$D984,Imput[PERIODO Imp.],BS$9)</f>
        <v>0</v>
      </c>
      <c r="BT984" s="693">
        <f>SUMIFS(Imput[Importe Neto],Imput[C. Imp.],$D984,Imput[PERIODO Imp.],BT$9)</f>
        <v>0</v>
      </c>
      <c r="BU984" s="693">
        <f>SUMIFS(Imput[Importe Neto],Imput[C. Imp.],$D984,Imput[PERIODO Imp.],BU$9)</f>
        <v>0</v>
      </c>
      <c r="BV984" s="693">
        <f>SUMIFS(Imput[Importe Neto],Imput[C. Imp.],$D984,Imput[PERIODO Imp.],BV$9)</f>
        <v>0</v>
      </c>
      <c r="BW984" s="693">
        <f>SUMIFS(Imput[Importe Neto],Imput[C. Imp.],$D984,Imput[PERIODO Imp.],BW$9)</f>
        <v>0</v>
      </c>
      <c r="BX984" s="693">
        <f>SUMIFS(Imput[Importe Neto],Imput[C. Imp.],$D984,Imput[PERIODO Imp.],BX$9)</f>
        <v>0</v>
      </c>
      <c r="BY984" s="693">
        <f>SUMIFS(Imput[Importe Neto],Imput[C. Imp.],$D984,Imput[PERIODO Imp.],BY$9)</f>
        <v>0</v>
      </c>
      <c r="BZ984" s="693">
        <f>SUMIFS(Imput[Importe Neto],Imput[C. Imp.],$D984,Imput[PERIODO Imp.],BZ$9)</f>
        <v>0</v>
      </c>
      <c r="CA984" s="693">
        <f>SUMIFS(Imput[Importe Neto],Imput[C. Imp.],$D984,Imput[PERIODO Imp.],CA$9)</f>
        <v>0</v>
      </c>
      <c r="CB984" s="693">
        <f>SUMIFS(Imput[Importe Neto],Imput[C. Imp.],$D984,Imput[PERIODO Imp.],CB$9)</f>
        <v>0</v>
      </c>
      <c r="CC984" s="693">
        <f>SUMIFS(Imput[Importe Neto],Imput[C. Imp.],$D984,Imput[PERIODO Imp.],CC$9)</f>
        <v>0</v>
      </c>
      <c r="CD984" s="693">
        <f>SUMIFS(Imput[Importe Neto],Imput[C. Imp.],$D984,Imput[PERIODO Imp.],CD$9)</f>
        <v>0</v>
      </c>
      <c r="CE984" s="693">
        <f>SUMIFS(Imput[Importe Neto],Imput[C. Imp.],$D984,Imput[PERIODO Imp.],CE$9)</f>
        <v>0</v>
      </c>
      <c r="CF984" s="693">
        <f>SUMIFS(Imput[Importe Neto],Imput[C. Imp.],$D984,Imput[PERIODO Imp.],CF$9)</f>
        <v>0</v>
      </c>
      <c r="CG984" s="693">
        <f>SUMIFS(Imput[Importe Neto],Imput[C. Imp.],$D984,Imput[PERIODO Imp.],CG$9)</f>
        <v>0</v>
      </c>
      <c r="CH984" s="693">
        <f>SUMIFS(Imput[Importe Neto],Imput[C. Imp.],$D984,Imput[PERIODO Imp.],CH$9)</f>
        <v>0</v>
      </c>
      <c r="CI984" s="693">
        <f>SUMIFS(Imput[Importe Neto],Imput[C. Imp.],$D984,Imput[PERIODO Imp.],CI$9)</f>
        <v>0</v>
      </c>
      <c r="CJ984" s="693">
        <f>SUMIFS(Imput[Importe Neto],Imput[C. Imp.],$D984,Imput[PERIODO Imp.],CJ$9)</f>
        <v>0</v>
      </c>
      <c r="CK984" s="693">
        <f>SUMIFS(Imput[Importe Neto],Imput[C. Imp.],$D984,Imput[PERIODO Imp.],CK$9)</f>
        <v>0</v>
      </c>
      <c r="CL984" s="693">
        <f>SUMIFS(Imput[Importe Neto],Imput[C. Imp.],$D984,Imput[PERIODO Imp.],CL$9)</f>
        <v>0</v>
      </c>
      <c r="CM984" s="693">
        <f>SUMIFS(Imput[Importe Neto],Imput[C. Imp.],$D984,Imput[PERIODO Imp.],CM$9)</f>
        <v>0</v>
      </c>
      <c r="CN984" s="693">
        <f>SUMIFS(Imput[Importe Neto],Imput[C. Imp.],$D984,Imput[PERIODO Imp.],CN$9)</f>
        <v>0</v>
      </c>
      <c r="CO984" s="693">
        <f>SUMIFS(Imput[Importe Neto],Imput[C. Imp.],$D984,Imput[PERIODO Imp.],CO$9)</f>
        <v>0</v>
      </c>
      <c r="CP984" s="693">
        <f>SUMIFS(Imput[Importe Neto],Imput[C. Imp.],$D984,Imput[PERIODO Imp.],CP$9)</f>
        <v>0</v>
      </c>
      <c r="CQ984" s="693">
        <f>SUMIFS(Imput[Importe Neto],Imput[C. Imp.],$D984,Imput[PERIODO Imp.],CQ$9)</f>
        <v>0</v>
      </c>
      <c r="CR984" s="693">
        <f>SUMIFS(Imput[Importe Neto],Imput[C. Imp.],$D984,Imput[PERIODO Imp.],CR$9)</f>
        <v>0</v>
      </c>
      <c r="CS984" s="693">
        <f>SUMIFS(Imput[Importe Neto],Imput[C. Imp.],$D984,Imput[PERIODO Imp.],CS$9)</f>
        <v>0</v>
      </c>
      <c r="CT984" s="693">
        <f>SUMIFS(Imput[Importe Neto],Imput[C. Imp.],$D984,Imput[PERIODO Imp.],CT$9)</f>
        <v>0</v>
      </c>
      <c r="CU984" s="693">
        <f>SUMIFS(Imput[Importe Neto],Imput[C. Imp.],$D984,Imput[PERIODO Imp.],CU$9)</f>
        <v>0</v>
      </c>
      <c r="CV984" s="693">
        <f>SUMIFS(Imput[Importe Neto],Imput[C. Imp.],$D984,Imput[PERIODO Imp.],CV$9)</f>
        <v>0</v>
      </c>
      <c r="CW984" s="693">
        <f>SUMIFS(Imput[Importe Neto],Imput[C. Imp.],$D984,Imput[PERIODO Imp.],CW$9)</f>
        <v>0</v>
      </c>
      <c r="CX984" s="693">
        <f>SUMIFS(Imput[Importe Neto],Imput[C. Imp.],$D984,Imput[PERIODO Imp.],CX$9)</f>
        <v>0</v>
      </c>
      <c r="CY984" s="693">
        <f>SUMIFS(Imput[Importe Neto],Imput[C. Imp.],$D984,Imput[PERIODO Imp.],CY$9)</f>
        <v>0</v>
      </c>
      <c r="CZ984" s="693">
        <f>SUMIFS(Imput[Importe Neto],Imput[C. Imp.],$D984,Imput[PERIODO Imp.],CZ$9)</f>
        <v>0</v>
      </c>
      <c r="DA984" s="693">
        <f>SUMIFS(Imput[Importe Neto],Imput[C. Imp.],$D984,Imput[PERIODO Imp.],DA$9)</f>
        <v>0</v>
      </c>
      <c r="DB984" s="693">
        <f>SUMIFS(Imput[Importe Neto],Imput[C. Imp.],$D984,Imput[PERIODO Imp.],DB$9)</f>
        <v>0</v>
      </c>
      <c r="DC984" s="693">
        <f>SUMIFS(Imput[Importe Neto],Imput[C. Imp.],$D984,Imput[PERIODO Imp.],DC$9)</f>
        <v>0</v>
      </c>
      <c r="DD984" s="693">
        <f>SUMIFS(Imput[Importe Neto],Imput[C. Imp.],$D984,Imput[PERIODO Imp.],DD$9)</f>
        <v>0</v>
      </c>
      <c r="DE984" s="693">
        <f>SUMIFS(Imput[Importe Neto],Imput[C. Imp.],$D984,Imput[PERIODO Imp.],DE$9)</f>
        <v>0</v>
      </c>
      <c r="DF984" s="693">
        <f>SUMIFS(Imput[Importe Neto],Imput[C. Imp.],$D984,Imput[PERIODO Imp.],DF$9)</f>
        <v>0</v>
      </c>
      <c r="DG984" s="693">
        <f>SUMIFS(Imput[Importe Neto],Imput[C. Imp.],$D984,Imput[PERIODO Imp.],DG$9)</f>
        <v>0</v>
      </c>
      <c r="DH984" s="694">
        <f>SUMIFS(Imput[Importe Neto],Imput[C. Imp.],$D984,Imput[PERIODO Imp.],DH$9)</f>
        <v>0</v>
      </c>
    </row>
    <row r="985" spans="1:112" s="649" customFormat="1" hidden="1" outlineLevel="1" x14ac:dyDescent="0.3">
      <c r="A985" s="652" t="str">
        <f t="shared" si="347"/>
        <v/>
      </c>
      <c r="B985" s="652"/>
      <c r="C985" s="685"/>
      <c r="D985" s="686"/>
      <c r="E985" s="686"/>
      <c r="F985" s="720"/>
      <c r="G985" s="688"/>
      <c r="H985" s="689"/>
      <c r="I985" s="851" t="str">
        <f t="shared" si="348"/>
        <v/>
      </c>
      <c r="J985" s="850" t="str">
        <f t="shared" si="349"/>
        <v/>
      </c>
      <c r="K985" s="667"/>
      <c r="L985" s="858"/>
      <c r="M985" s="859"/>
      <c r="N985" s="859"/>
      <c r="O985" s="859"/>
      <c r="P985" s="859"/>
      <c r="Q985" s="859"/>
      <c r="R985" s="859"/>
      <c r="S985" s="859"/>
      <c r="T985" s="859"/>
      <c r="U985" s="859"/>
      <c r="V985" s="859"/>
      <c r="W985" s="859"/>
      <c r="X985" s="859"/>
      <c r="Y985" s="859"/>
      <c r="Z985" s="860"/>
      <c r="AA985" s="860"/>
      <c r="AB985" s="860"/>
      <c r="AC985" s="860"/>
      <c r="AD985" s="860"/>
      <c r="AE985" s="860"/>
      <c r="AF985" s="860"/>
      <c r="AG985" s="860"/>
      <c r="AH985" s="860"/>
      <c r="AI985" s="860"/>
      <c r="AJ985" s="860"/>
      <c r="AK985" s="860"/>
      <c r="AL985" s="860"/>
      <c r="AM985" s="860"/>
      <c r="AN985" s="860"/>
      <c r="AO985" s="860"/>
      <c r="AP985" s="860"/>
      <c r="AQ985" s="860"/>
      <c r="AR985" s="860"/>
      <c r="AS985" s="860"/>
      <c r="AT985" s="860"/>
      <c r="AU985" s="860"/>
      <c r="AV985" s="860"/>
      <c r="AW985" s="860"/>
      <c r="AX985" s="860"/>
      <c r="AY985" s="860"/>
      <c r="AZ985" s="860"/>
      <c r="BA985" s="860"/>
      <c r="BB985" s="860"/>
      <c r="BC985" s="860"/>
      <c r="BD985" s="860"/>
      <c r="BE985" s="860"/>
      <c r="BF985" s="860"/>
      <c r="BG985" s="860"/>
      <c r="BH985" s="668"/>
      <c r="BI985" s="667"/>
      <c r="BJ985" s="690">
        <f t="shared" si="350"/>
        <v>0</v>
      </c>
      <c r="BK985" s="691">
        <f t="shared" si="351"/>
        <v>0</v>
      </c>
      <c r="BL985" s="654"/>
      <c r="BM985" s="692">
        <f>SUMIFS(Imput[Importe Neto],Imput[C. Imp.],$D985,Imput[PERIODO Imp.],BM$9)</f>
        <v>0</v>
      </c>
      <c r="BN985" s="693">
        <f>SUMIFS(Imput[Importe Neto],Imput[C. Imp.],$D985,Imput[PERIODO Imp.],BN$9)</f>
        <v>0</v>
      </c>
      <c r="BO985" s="693">
        <f>SUMIFS(Imput[Importe Neto],Imput[C. Imp.],$D985,Imput[PERIODO Imp.],BO$9)</f>
        <v>0</v>
      </c>
      <c r="BP985" s="693">
        <f>SUMIFS(Imput[Importe Neto],Imput[C. Imp.],$D985,Imput[PERIODO Imp.],BP$9)</f>
        <v>0</v>
      </c>
      <c r="BQ985" s="693">
        <f>SUMIFS(Imput[Importe Neto],Imput[C. Imp.],$D985,Imput[PERIODO Imp.],BQ$9)</f>
        <v>0</v>
      </c>
      <c r="BR985" s="693">
        <f>SUMIFS(Imput[Importe Neto],Imput[C. Imp.],$D985,Imput[PERIODO Imp.],BR$9)</f>
        <v>0</v>
      </c>
      <c r="BS985" s="693">
        <f>SUMIFS(Imput[Importe Neto],Imput[C. Imp.],$D985,Imput[PERIODO Imp.],BS$9)</f>
        <v>0</v>
      </c>
      <c r="BT985" s="693">
        <f>SUMIFS(Imput[Importe Neto],Imput[C. Imp.],$D985,Imput[PERIODO Imp.],BT$9)</f>
        <v>0</v>
      </c>
      <c r="BU985" s="693">
        <f>SUMIFS(Imput[Importe Neto],Imput[C. Imp.],$D985,Imput[PERIODO Imp.],BU$9)</f>
        <v>0</v>
      </c>
      <c r="BV985" s="693">
        <f>SUMIFS(Imput[Importe Neto],Imput[C. Imp.],$D985,Imput[PERIODO Imp.],BV$9)</f>
        <v>0</v>
      </c>
      <c r="BW985" s="693">
        <f>SUMIFS(Imput[Importe Neto],Imput[C. Imp.],$D985,Imput[PERIODO Imp.],BW$9)</f>
        <v>0</v>
      </c>
      <c r="BX985" s="693">
        <f>SUMIFS(Imput[Importe Neto],Imput[C. Imp.],$D985,Imput[PERIODO Imp.],BX$9)</f>
        <v>0</v>
      </c>
      <c r="BY985" s="693">
        <f>SUMIFS(Imput[Importe Neto],Imput[C. Imp.],$D985,Imput[PERIODO Imp.],BY$9)</f>
        <v>0</v>
      </c>
      <c r="BZ985" s="693">
        <f>SUMIFS(Imput[Importe Neto],Imput[C. Imp.],$D985,Imput[PERIODO Imp.],BZ$9)</f>
        <v>0</v>
      </c>
      <c r="CA985" s="693">
        <f>SUMIFS(Imput[Importe Neto],Imput[C. Imp.],$D985,Imput[PERIODO Imp.],CA$9)</f>
        <v>0</v>
      </c>
      <c r="CB985" s="693">
        <f>SUMIFS(Imput[Importe Neto],Imput[C. Imp.],$D985,Imput[PERIODO Imp.],CB$9)</f>
        <v>0</v>
      </c>
      <c r="CC985" s="693">
        <f>SUMIFS(Imput[Importe Neto],Imput[C. Imp.],$D985,Imput[PERIODO Imp.],CC$9)</f>
        <v>0</v>
      </c>
      <c r="CD985" s="693">
        <f>SUMIFS(Imput[Importe Neto],Imput[C. Imp.],$D985,Imput[PERIODO Imp.],CD$9)</f>
        <v>0</v>
      </c>
      <c r="CE985" s="693">
        <f>SUMIFS(Imput[Importe Neto],Imput[C. Imp.],$D985,Imput[PERIODO Imp.],CE$9)</f>
        <v>0</v>
      </c>
      <c r="CF985" s="693">
        <f>SUMIFS(Imput[Importe Neto],Imput[C. Imp.],$D985,Imput[PERIODO Imp.],CF$9)</f>
        <v>0</v>
      </c>
      <c r="CG985" s="693">
        <f>SUMIFS(Imput[Importe Neto],Imput[C. Imp.],$D985,Imput[PERIODO Imp.],CG$9)</f>
        <v>0</v>
      </c>
      <c r="CH985" s="693">
        <f>SUMIFS(Imput[Importe Neto],Imput[C. Imp.],$D985,Imput[PERIODO Imp.],CH$9)</f>
        <v>0</v>
      </c>
      <c r="CI985" s="693">
        <f>SUMIFS(Imput[Importe Neto],Imput[C. Imp.],$D985,Imput[PERIODO Imp.],CI$9)</f>
        <v>0</v>
      </c>
      <c r="CJ985" s="693">
        <f>SUMIFS(Imput[Importe Neto],Imput[C. Imp.],$D985,Imput[PERIODO Imp.],CJ$9)</f>
        <v>0</v>
      </c>
      <c r="CK985" s="693">
        <f>SUMIFS(Imput[Importe Neto],Imput[C. Imp.],$D985,Imput[PERIODO Imp.],CK$9)</f>
        <v>0</v>
      </c>
      <c r="CL985" s="693">
        <f>SUMIFS(Imput[Importe Neto],Imput[C. Imp.],$D985,Imput[PERIODO Imp.],CL$9)</f>
        <v>0</v>
      </c>
      <c r="CM985" s="693">
        <f>SUMIFS(Imput[Importe Neto],Imput[C. Imp.],$D985,Imput[PERIODO Imp.],CM$9)</f>
        <v>0</v>
      </c>
      <c r="CN985" s="693">
        <f>SUMIFS(Imput[Importe Neto],Imput[C. Imp.],$D985,Imput[PERIODO Imp.],CN$9)</f>
        <v>0</v>
      </c>
      <c r="CO985" s="693">
        <f>SUMIFS(Imput[Importe Neto],Imput[C. Imp.],$D985,Imput[PERIODO Imp.],CO$9)</f>
        <v>0</v>
      </c>
      <c r="CP985" s="693">
        <f>SUMIFS(Imput[Importe Neto],Imput[C. Imp.],$D985,Imput[PERIODO Imp.],CP$9)</f>
        <v>0</v>
      </c>
      <c r="CQ985" s="693">
        <f>SUMIFS(Imput[Importe Neto],Imput[C. Imp.],$D985,Imput[PERIODO Imp.],CQ$9)</f>
        <v>0</v>
      </c>
      <c r="CR985" s="693">
        <f>SUMIFS(Imput[Importe Neto],Imput[C. Imp.],$D985,Imput[PERIODO Imp.],CR$9)</f>
        <v>0</v>
      </c>
      <c r="CS985" s="693">
        <f>SUMIFS(Imput[Importe Neto],Imput[C. Imp.],$D985,Imput[PERIODO Imp.],CS$9)</f>
        <v>0</v>
      </c>
      <c r="CT985" s="693">
        <f>SUMIFS(Imput[Importe Neto],Imput[C. Imp.],$D985,Imput[PERIODO Imp.],CT$9)</f>
        <v>0</v>
      </c>
      <c r="CU985" s="693">
        <f>SUMIFS(Imput[Importe Neto],Imput[C. Imp.],$D985,Imput[PERIODO Imp.],CU$9)</f>
        <v>0</v>
      </c>
      <c r="CV985" s="693">
        <f>SUMIFS(Imput[Importe Neto],Imput[C. Imp.],$D985,Imput[PERIODO Imp.],CV$9)</f>
        <v>0</v>
      </c>
      <c r="CW985" s="693">
        <f>SUMIFS(Imput[Importe Neto],Imput[C. Imp.],$D985,Imput[PERIODO Imp.],CW$9)</f>
        <v>0</v>
      </c>
      <c r="CX985" s="693">
        <f>SUMIFS(Imput[Importe Neto],Imput[C. Imp.],$D985,Imput[PERIODO Imp.],CX$9)</f>
        <v>0</v>
      </c>
      <c r="CY985" s="693">
        <f>SUMIFS(Imput[Importe Neto],Imput[C. Imp.],$D985,Imput[PERIODO Imp.],CY$9)</f>
        <v>0</v>
      </c>
      <c r="CZ985" s="693">
        <f>SUMIFS(Imput[Importe Neto],Imput[C. Imp.],$D985,Imput[PERIODO Imp.],CZ$9)</f>
        <v>0</v>
      </c>
      <c r="DA985" s="693">
        <f>SUMIFS(Imput[Importe Neto],Imput[C. Imp.],$D985,Imput[PERIODO Imp.],DA$9)</f>
        <v>0</v>
      </c>
      <c r="DB985" s="693">
        <f>SUMIFS(Imput[Importe Neto],Imput[C. Imp.],$D985,Imput[PERIODO Imp.],DB$9)</f>
        <v>0</v>
      </c>
      <c r="DC985" s="693">
        <f>SUMIFS(Imput[Importe Neto],Imput[C. Imp.],$D985,Imput[PERIODO Imp.],DC$9)</f>
        <v>0</v>
      </c>
      <c r="DD985" s="693">
        <f>SUMIFS(Imput[Importe Neto],Imput[C. Imp.],$D985,Imput[PERIODO Imp.],DD$9)</f>
        <v>0</v>
      </c>
      <c r="DE985" s="693">
        <f>SUMIFS(Imput[Importe Neto],Imput[C. Imp.],$D985,Imput[PERIODO Imp.],DE$9)</f>
        <v>0</v>
      </c>
      <c r="DF985" s="693">
        <f>SUMIFS(Imput[Importe Neto],Imput[C. Imp.],$D985,Imput[PERIODO Imp.],DF$9)</f>
        <v>0</v>
      </c>
      <c r="DG985" s="693">
        <f>SUMIFS(Imput[Importe Neto],Imput[C. Imp.],$D985,Imput[PERIODO Imp.],DG$9)</f>
        <v>0</v>
      </c>
      <c r="DH985" s="694">
        <f>SUMIFS(Imput[Importe Neto],Imput[C. Imp.],$D985,Imput[PERIODO Imp.],DH$9)</f>
        <v>0</v>
      </c>
    </row>
    <row r="986" spans="1:112" s="649" customFormat="1" hidden="1" outlineLevel="1" x14ac:dyDescent="0.3">
      <c r="A986" s="652" t="str">
        <f t="shared" si="347"/>
        <v/>
      </c>
      <c r="B986" s="652"/>
      <c r="C986" s="685"/>
      <c r="D986" s="686"/>
      <c r="E986" s="686"/>
      <c r="F986" s="720"/>
      <c r="G986" s="688"/>
      <c r="H986" s="689"/>
      <c r="I986" s="851" t="str">
        <f t="shared" si="348"/>
        <v/>
      </c>
      <c r="J986" s="850" t="str">
        <f t="shared" si="349"/>
        <v/>
      </c>
      <c r="K986" s="667"/>
      <c r="L986" s="858"/>
      <c r="M986" s="859"/>
      <c r="N986" s="859"/>
      <c r="O986" s="859"/>
      <c r="P986" s="859"/>
      <c r="Q986" s="859"/>
      <c r="R986" s="859"/>
      <c r="S986" s="859"/>
      <c r="T986" s="859"/>
      <c r="U986" s="859"/>
      <c r="V986" s="859"/>
      <c r="W986" s="859"/>
      <c r="X986" s="859"/>
      <c r="Y986" s="859"/>
      <c r="Z986" s="860"/>
      <c r="AA986" s="860"/>
      <c r="AB986" s="860"/>
      <c r="AC986" s="860"/>
      <c r="AD986" s="860"/>
      <c r="AE986" s="860"/>
      <c r="AF986" s="860"/>
      <c r="AG986" s="860"/>
      <c r="AH986" s="860"/>
      <c r="AI986" s="860"/>
      <c r="AJ986" s="860"/>
      <c r="AK986" s="860"/>
      <c r="AL986" s="860"/>
      <c r="AM986" s="860"/>
      <c r="AN986" s="860"/>
      <c r="AO986" s="860"/>
      <c r="AP986" s="860"/>
      <c r="AQ986" s="860"/>
      <c r="AR986" s="860"/>
      <c r="AS986" s="860"/>
      <c r="AT986" s="860"/>
      <c r="AU986" s="860"/>
      <c r="AV986" s="860"/>
      <c r="AW986" s="860"/>
      <c r="AX986" s="860"/>
      <c r="AY986" s="860"/>
      <c r="AZ986" s="860"/>
      <c r="BA986" s="860"/>
      <c r="BB986" s="860"/>
      <c r="BC986" s="860"/>
      <c r="BD986" s="860"/>
      <c r="BE986" s="860"/>
      <c r="BF986" s="860"/>
      <c r="BG986" s="860"/>
      <c r="BH986" s="668"/>
      <c r="BI986" s="667"/>
      <c r="BJ986" s="690">
        <f t="shared" si="350"/>
        <v>0</v>
      </c>
      <c r="BK986" s="691">
        <f t="shared" si="351"/>
        <v>0</v>
      </c>
      <c r="BL986" s="654"/>
      <c r="BM986" s="692">
        <f>SUMIFS(Imput[Importe Neto],Imput[C. Imp.],$D986,Imput[PERIODO Imp.],BM$9)</f>
        <v>0</v>
      </c>
      <c r="BN986" s="693">
        <f>SUMIFS(Imput[Importe Neto],Imput[C. Imp.],$D986,Imput[PERIODO Imp.],BN$9)</f>
        <v>0</v>
      </c>
      <c r="BO986" s="693">
        <f>SUMIFS(Imput[Importe Neto],Imput[C. Imp.],$D986,Imput[PERIODO Imp.],BO$9)</f>
        <v>0</v>
      </c>
      <c r="BP986" s="693">
        <f>SUMIFS(Imput[Importe Neto],Imput[C. Imp.],$D986,Imput[PERIODO Imp.],BP$9)</f>
        <v>0</v>
      </c>
      <c r="BQ986" s="693">
        <f>SUMIFS(Imput[Importe Neto],Imput[C. Imp.],$D986,Imput[PERIODO Imp.],BQ$9)</f>
        <v>0</v>
      </c>
      <c r="BR986" s="693">
        <f>SUMIFS(Imput[Importe Neto],Imput[C. Imp.],$D986,Imput[PERIODO Imp.],BR$9)</f>
        <v>0</v>
      </c>
      <c r="BS986" s="693">
        <f>SUMIFS(Imput[Importe Neto],Imput[C. Imp.],$D986,Imput[PERIODO Imp.],BS$9)</f>
        <v>0</v>
      </c>
      <c r="BT986" s="693">
        <f>SUMIFS(Imput[Importe Neto],Imput[C. Imp.],$D986,Imput[PERIODO Imp.],BT$9)</f>
        <v>0</v>
      </c>
      <c r="BU986" s="693">
        <f>SUMIFS(Imput[Importe Neto],Imput[C. Imp.],$D986,Imput[PERIODO Imp.],BU$9)</f>
        <v>0</v>
      </c>
      <c r="BV986" s="693">
        <f>SUMIFS(Imput[Importe Neto],Imput[C. Imp.],$D986,Imput[PERIODO Imp.],BV$9)</f>
        <v>0</v>
      </c>
      <c r="BW986" s="693">
        <f>SUMIFS(Imput[Importe Neto],Imput[C. Imp.],$D986,Imput[PERIODO Imp.],BW$9)</f>
        <v>0</v>
      </c>
      <c r="BX986" s="693">
        <f>SUMIFS(Imput[Importe Neto],Imput[C. Imp.],$D986,Imput[PERIODO Imp.],BX$9)</f>
        <v>0</v>
      </c>
      <c r="BY986" s="693">
        <f>SUMIFS(Imput[Importe Neto],Imput[C. Imp.],$D986,Imput[PERIODO Imp.],BY$9)</f>
        <v>0</v>
      </c>
      <c r="BZ986" s="693">
        <f>SUMIFS(Imput[Importe Neto],Imput[C. Imp.],$D986,Imput[PERIODO Imp.],BZ$9)</f>
        <v>0</v>
      </c>
      <c r="CA986" s="693">
        <f>SUMIFS(Imput[Importe Neto],Imput[C. Imp.],$D986,Imput[PERIODO Imp.],CA$9)</f>
        <v>0</v>
      </c>
      <c r="CB986" s="693">
        <f>SUMIFS(Imput[Importe Neto],Imput[C. Imp.],$D986,Imput[PERIODO Imp.],CB$9)</f>
        <v>0</v>
      </c>
      <c r="CC986" s="693">
        <f>SUMIFS(Imput[Importe Neto],Imput[C. Imp.],$D986,Imput[PERIODO Imp.],CC$9)</f>
        <v>0</v>
      </c>
      <c r="CD986" s="693">
        <f>SUMIFS(Imput[Importe Neto],Imput[C. Imp.],$D986,Imput[PERIODO Imp.],CD$9)</f>
        <v>0</v>
      </c>
      <c r="CE986" s="693">
        <f>SUMIFS(Imput[Importe Neto],Imput[C. Imp.],$D986,Imput[PERIODO Imp.],CE$9)</f>
        <v>0</v>
      </c>
      <c r="CF986" s="693">
        <f>SUMIFS(Imput[Importe Neto],Imput[C. Imp.],$D986,Imput[PERIODO Imp.],CF$9)</f>
        <v>0</v>
      </c>
      <c r="CG986" s="693">
        <f>SUMIFS(Imput[Importe Neto],Imput[C. Imp.],$D986,Imput[PERIODO Imp.],CG$9)</f>
        <v>0</v>
      </c>
      <c r="CH986" s="693">
        <f>SUMIFS(Imput[Importe Neto],Imput[C. Imp.],$D986,Imput[PERIODO Imp.],CH$9)</f>
        <v>0</v>
      </c>
      <c r="CI986" s="693">
        <f>SUMIFS(Imput[Importe Neto],Imput[C. Imp.],$D986,Imput[PERIODO Imp.],CI$9)</f>
        <v>0</v>
      </c>
      <c r="CJ986" s="693">
        <f>SUMIFS(Imput[Importe Neto],Imput[C. Imp.],$D986,Imput[PERIODO Imp.],CJ$9)</f>
        <v>0</v>
      </c>
      <c r="CK986" s="693">
        <f>SUMIFS(Imput[Importe Neto],Imput[C. Imp.],$D986,Imput[PERIODO Imp.],CK$9)</f>
        <v>0</v>
      </c>
      <c r="CL986" s="693">
        <f>SUMIFS(Imput[Importe Neto],Imput[C. Imp.],$D986,Imput[PERIODO Imp.],CL$9)</f>
        <v>0</v>
      </c>
      <c r="CM986" s="693">
        <f>SUMIFS(Imput[Importe Neto],Imput[C. Imp.],$D986,Imput[PERIODO Imp.],CM$9)</f>
        <v>0</v>
      </c>
      <c r="CN986" s="693">
        <f>SUMIFS(Imput[Importe Neto],Imput[C. Imp.],$D986,Imput[PERIODO Imp.],CN$9)</f>
        <v>0</v>
      </c>
      <c r="CO986" s="693">
        <f>SUMIFS(Imput[Importe Neto],Imput[C. Imp.],$D986,Imput[PERIODO Imp.],CO$9)</f>
        <v>0</v>
      </c>
      <c r="CP986" s="693">
        <f>SUMIFS(Imput[Importe Neto],Imput[C. Imp.],$D986,Imput[PERIODO Imp.],CP$9)</f>
        <v>0</v>
      </c>
      <c r="CQ986" s="693">
        <f>SUMIFS(Imput[Importe Neto],Imput[C. Imp.],$D986,Imput[PERIODO Imp.],CQ$9)</f>
        <v>0</v>
      </c>
      <c r="CR986" s="693">
        <f>SUMIFS(Imput[Importe Neto],Imput[C. Imp.],$D986,Imput[PERIODO Imp.],CR$9)</f>
        <v>0</v>
      </c>
      <c r="CS986" s="693">
        <f>SUMIFS(Imput[Importe Neto],Imput[C. Imp.],$D986,Imput[PERIODO Imp.],CS$9)</f>
        <v>0</v>
      </c>
      <c r="CT986" s="693">
        <f>SUMIFS(Imput[Importe Neto],Imput[C. Imp.],$D986,Imput[PERIODO Imp.],CT$9)</f>
        <v>0</v>
      </c>
      <c r="CU986" s="693">
        <f>SUMIFS(Imput[Importe Neto],Imput[C. Imp.],$D986,Imput[PERIODO Imp.],CU$9)</f>
        <v>0</v>
      </c>
      <c r="CV986" s="693">
        <f>SUMIFS(Imput[Importe Neto],Imput[C. Imp.],$D986,Imput[PERIODO Imp.],CV$9)</f>
        <v>0</v>
      </c>
      <c r="CW986" s="693">
        <f>SUMIFS(Imput[Importe Neto],Imput[C. Imp.],$D986,Imput[PERIODO Imp.],CW$9)</f>
        <v>0</v>
      </c>
      <c r="CX986" s="693">
        <f>SUMIFS(Imput[Importe Neto],Imput[C. Imp.],$D986,Imput[PERIODO Imp.],CX$9)</f>
        <v>0</v>
      </c>
      <c r="CY986" s="693">
        <f>SUMIFS(Imput[Importe Neto],Imput[C. Imp.],$D986,Imput[PERIODO Imp.],CY$9)</f>
        <v>0</v>
      </c>
      <c r="CZ986" s="693">
        <f>SUMIFS(Imput[Importe Neto],Imput[C. Imp.],$D986,Imput[PERIODO Imp.],CZ$9)</f>
        <v>0</v>
      </c>
      <c r="DA986" s="693">
        <f>SUMIFS(Imput[Importe Neto],Imput[C. Imp.],$D986,Imput[PERIODO Imp.],DA$9)</f>
        <v>0</v>
      </c>
      <c r="DB986" s="693">
        <f>SUMIFS(Imput[Importe Neto],Imput[C. Imp.],$D986,Imput[PERIODO Imp.],DB$9)</f>
        <v>0</v>
      </c>
      <c r="DC986" s="693">
        <f>SUMIFS(Imput[Importe Neto],Imput[C. Imp.],$D986,Imput[PERIODO Imp.],DC$9)</f>
        <v>0</v>
      </c>
      <c r="DD986" s="693">
        <f>SUMIFS(Imput[Importe Neto],Imput[C. Imp.],$D986,Imput[PERIODO Imp.],DD$9)</f>
        <v>0</v>
      </c>
      <c r="DE986" s="693">
        <f>SUMIFS(Imput[Importe Neto],Imput[C. Imp.],$D986,Imput[PERIODO Imp.],DE$9)</f>
        <v>0</v>
      </c>
      <c r="DF986" s="693">
        <f>SUMIFS(Imput[Importe Neto],Imput[C. Imp.],$D986,Imput[PERIODO Imp.],DF$9)</f>
        <v>0</v>
      </c>
      <c r="DG986" s="693">
        <f>SUMIFS(Imput[Importe Neto],Imput[C. Imp.],$D986,Imput[PERIODO Imp.],DG$9)</f>
        <v>0</v>
      </c>
      <c r="DH986" s="694">
        <f>SUMIFS(Imput[Importe Neto],Imput[C. Imp.],$D986,Imput[PERIODO Imp.],DH$9)</f>
        <v>0</v>
      </c>
    </row>
    <row r="987" spans="1:112" s="649" customFormat="1" hidden="1" outlineLevel="1" x14ac:dyDescent="0.3">
      <c r="A987" s="652" t="str">
        <f t="shared" si="347"/>
        <v/>
      </c>
      <c r="B987" s="652"/>
      <c r="C987" s="685"/>
      <c r="D987" s="686"/>
      <c r="E987" s="686"/>
      <c r="F987" s="720"/>
      <c r="G987" s="688"/>
      <c r="H987" s="689"/>
      <c r="I987" s="851" t="str">
        <f t="shared" si="348"/>
        <v/>
      </c>
      <c r="J987" s="850" t="str">
        <f t="shared" si="349"/>
        <v/>
      </c>
      <c r="K987" s="667"/>
      <c r="L987" s="858"/>
      <c r="M987" s="859"/>
      <c r="N987" s="859"/>
      <c r="O987" s="859"/>
      <c r="P987" s="859"/>
      <c r="Q987" s="859"/>
      <c r="R987" s="859"/>
      <c r="S987" s="859"/>
      <c r="T987" s="859"/>
      <c r="U987" s="859"/>
      <c r="V987" s="859"/>
      <c r="W987" s="859"/>
      <c r="X987" s="859"/>
      <c r="Y987" s="859"/>
      <c r="Z987" s="860"/>
      <c r="AA987" s="860"/>
      <c r="AB987" s="860"/>
      <c r="AC987" s="860"/>
      <c r="AD987" s="860"/>
      <c r="AE987" s="860"/>
      <c r="AF987" s="860"/>
      <c r="AG987" s="860"/>
      <c r="AH987" s="860"/>
      <c r="AI987" s="860"/>
      <c r="AJ987" s="860"/>
      <c r="AK987" s="860"/>
      <c r="AL987" s="860"/>
      <c r="AM987" s="860"/>
      <c r="AN987" s="860"/>
      <c r="AO987" s="860"/>
      <c r="AP987" s="860"/>
      <c r="AQ987" s="860"/>
      <c r="AR987" s="860"/>
      <c r="AS987" s="860"/>
      <c r="AT987" s="860"/>
      <c r="AU987" s="860"/>
      <c r="AV987" s="860"/>
      <c r="AW987" s="860"/>
      <c r="AX987" s="860"/>
      <c r="AY987" s="860"/>
      <c r="AZ987" s="860"/>
      <c r="BA987" s="860"/>
      <c r="BB987" s="860"/>
      <c r="BC987" s="860"/>
      <c r="BD987" s="860"/>
      <c r="BE987" s="860"/>
      <c r="BF987" s="860"/>
      <c r="BG987" s="860"/>
      <c r="BH987" s="668"/>
      <c r="BI987" s="667"/>
      <c r="BJ987" s="690">
        <f t="shared" si="350"/>
        <v>0</v>
      </c>
      <c r="BK987" s="691">
        <f t="shared" si="351"/>
        <v>0</v>
      </c>
      <c r="BL987" s="654"/>
      <c r="BM987" s="692">
        <f>SUMIFS(Imput[Importe Neto],Imput[C. Imp.],$D987,Imput[PERIODO Imp.],BM$9)</f>
        <v>0</v>
      </c>
      <c r="BN987" s="693">
        <f>SUMIFS(Imput[Importe Neto],Imput[C. Imp.],$D987,Imput[PERIODO Imp.],BN$9)</f>
        <v>0</v>
      </c>
      <c r="BO987" s="693">
        <f>SUMIFS(Imput[Importe Neto],Imput[C. Imp.],$D987,Imput[PERIODO Imp.],BO$9)</f>
        <v>0</v>
      </c>
      <c r="BP987" s="693">
        <f>SUMIFS(Imput[Importe Neto],Imput[C. Imp.],$D987,Imput[PERIODO Imp.],BP$9)</f>
        <v>0</v>
      </c>
      <c r="BQ987" s="693">
        <f>SUMIFS(Imput[Importe Neto],Imput[C. Imp.],$D987,Imput[PERIODO Imp.],BQ$9)</f>
        <v>0</v>
      </c>
      <c r="BR987" s="693">
        <f>SUMIFS(Imput[Importe Neto],Imput[C. Imp.],$D987,Imput[PERIODO Imp.],BR$9)</f>
        <v>0</v>
      </c>
      <c r="BS987" s="693">
        <f>SUMIFS(Imput[Importe Neto],Imput[C. Imp.],$D987,Imput[PERIODO Imp.],BS$9)</f>
        <v>0</v>
      </c>
      <c r="BT987" s="693">
        <f>SUMIFS(Imput[Importe Neto],Imput[C. Imp.],$D987,Imput[PERIODO Imp.],BT$9)</f>
        <v>0</v>
      </c>
      <c r="BU987" s="693">
        <f>SUMIFS(Imput[Importe Neto],Imput[C. Imp.],$D987,Imput[PERIODO Imp.],BU$9)</f>
        <v>0</v>
      </c>
      <c r="BV987" s="693">
        <f>SUMIFS(Imput[Importe Neto],Imput[C. Imp.],$D987,Imput[PERIODO Imp.],BV$9)</f>
        <v>0</v>
      </c>
      <c r="BW987" s="693">
        <f>SUMIFS(Imput[Importe Neto],Imput[C. Imp.],$D987,Imput[PERIODO Imp.],BW$9)</f>
        <v>0</v>
      </c>
      <c r="BX987" s="693">
        <f>SUMIFS(Imput[Importe Neto],Imput[C. Imp.],$D987,Imput[PERIODO Imp.],BX$9)</f>
        <v>0</v>
      </c>
      <c r="BY987" s="693">
        <f>SUMIFS(Imput[Importe Neto],Imput[C. Imp.],$D987,Imput[PERIODO Imp.],BY$9)</f>
        <v>0</v>
      </c>
      <c r="BZ987" s="693">
        <f>SUMIFS(Imput[Importe Neto],Imput[C. Imp.],$D987,Imput[PERIODO Imp.],BZ$9)</f>
        <v>0</v>
      </c>
      <c r="CA987" s="693">
        <f>SUMIFS(Imput[Importe Neto],Imput[C. Imp.],$D987,Imput[PERIODO Imp.],CA$9)</f>
        <v>0</v>
      </c>
      <c r="CB987" s="693">
        <f>SUMIFS(Imput[Importe Neto],Imput[C. Imp.],$D987,Imput[PERIODO Imp.],CB$9)</f>
        <v>0</v>
      </c>
      <c r="CC987" s="693">
        <f>SUMIFS(Imput[Importe Neto],Imput[C. Imp.],$D987,Imput[PERIODO Imp.],CC$9)</f>
        <v>0</v>
      </c>
      <c r="CD987" s="693">
        <f>SUMIFS(Imput[Importe Neto],Imput[C. Imp.],$D987,Imput[PERIODO Imp.],CD$9)</f>
        <v>0</v>
      </c>
      <c r="CE987" s="693">
        <f>SUMIFS(Imput[Importe Neto],Imput[C. Imp.],$D987,Imput[PERIODO Imp.],CE$9)</f>
        <v>0</v>
      </c>
      <c r="CF987" s="693">
        <f>SUMIFS(Imput[Importe Neto],Imput[C. Imp.],$D987,Imput[PERIODO Imp.],CF$9)</f>
        <v>0</v>
      </c>
      <c r="CG987" s="693">
        <f>SUMIFS(Imput[Importe Neto],Imput[C. Imp.],$D987,Imput[PERIODO Imp.],CG$9)</f>
        <v>0</v>
      </c>
      <c r="CH987" s="693">
        <f>SUMIFS(Imput[Importe Neto],Imput[C. Imp.],$D987,Imput[PERIODO Imp.],CH$9)</f>
        <v>0</v>
      </c>
      <c r="CI987" s="693">
        <f>SUMIFS(Imput[Importe Neto],Imput[C. Imp.],$D987,Imput[PERIODO Imp.],CI$9)</f>
        <v>0</v>
      </c>
      <c r="CJ987" s="693">
        <f>SUMIFS(Imput[Importe Neto],Imput[C. Imp.],$D987,Imput[PERIODO Imp.],CJ$9)</f>
        <v>0</v>
      </c>
      <c r="CK987" s="693">
        <f>SUMIFS(Imput[Importe Neto],Imput[C. Imp.],$D987,Imput[PERIODO Imp.],CK$9)</f>
        <v>0</v>
      </c>
      <c r="CL987" s="693">
        <f>SUMIFS(Imput[Importe Neto],Imput[C. Imp.],$D987,Imput[PERIODO Imp.],CL$9)</f>
        <v>0</v>
      </c>
      <c r="CM987" s="693">
        <f>SUMIFS(Imput[Importe Neto],Imput[C. Imp.],$D987,Imput[PERIODO Imp.],CM$9)</f>
        <v>0</v>
      </c>
      <c r="CN987" s="693">
        <f>SUMIFS(Imput[Importe Neto],Imput[C. Imp.],$D987,Imput[PERIODO Imp.],CN$9)</f>
        <v>0</v>
      </c>
      <c r="CO987" s="693">
        <f>SUMIFS(Imput[Importe Neto],Imput[C. Imp.],$D987,Imput[PERIODO Imp.],CO$9)</f>
        <v>0</v>
      </c>
      <c r="CP987" s="693">
        <f>SUMIFS(Imput[Importe Neto],Imput[C. Imp.],$D987,Imput[PERIODO Imp.],CP$9)</f>
        <v>0</v>
      </c>
      <c r="CQ987" s="693">
        <f>SUMIFS(Imput[Importe Neto],Imput[C. Imp.],$D987,Imput[PERIODO Imp.],CQ$9)</f>
        <v>0</v>
      </c>
      <c r="CR987" s="693">
        <f>SUMIFS(Imput[Importe Neto],Imput[C. Imp.],$D987,Imput[PERIODO Imp.],CR$9)</f>
        <v>0</v>
      </c>
      <c r="CS987" s="693">
        <f>SUMIFS(Imput[Importe Neto],Imput[C. Imp.],$D987,Imput[PERIODO Imp.],CS$9)</f>
        <v>0</v>
      </c>
      <c r="CT987" s="693">
        <f>SUMIFS(Imput[Importe Neto],Imput[C. Imp.],$D987,Imput[PERIODO Imp.],CT$9)</f>
        <v>0</v>
      </c>
      <c r="CU987" s="693">
        <f>SUMIFS(Imput[Importe Neto],Imput[C. Imp.],$D987,Imput[PERIODO Imp.],CU$9)</f>
        <v>0</v>
      </c>
      <c r="CV987" s="693">
        <f>SUMIFS(Imput[Importe Neto],Imput[C. Imp.],$D987,Imput[PERIODO Imp.],CV$9)</f>
        <v>0</v>
      </c>
      <c r="CW987" s="693">
        <f>SUMIFS(Imput[Importe Neto],Imput[C. Imp.],$D987,Imput[PERIODO Imp.],CW$9)</f>
        <v>0</v>
      </c>
      <c r="CX987" s="693">
        <f>SUMIFS(Imput[Importe Neto],Imput[C. Imp.],$D987,Imput[PERIODO Imp.],CX$9)</f>
        <v>0</v>
      </c>
      <c r="CY987" s="693">
        <f>SUMIFS(Imput[Importe Neto],Imput[C. Imp.],$D987,Imput[PERIODO Imp.],CY$9)</f>
        <v>0</v>
      </c>
      <c r="CZ987" s="693">
        <f>SUMIFS(Imput[Importe Neto],Imput[C. Imp.],$D987,Imput[PERIODO Imp.],CZ$9)</f>
        <v>0</v>
      </c>
      <c r="DA987" s="693">
        <f>SUMIFS(Imput[Importe Neto],Imput[C. Imp.],$D987,Imput[PERIODO Imp.],DA$9)</f>
        <v>0</v>
      </c>
      <c r="DB987" s="693">
        <f>SUMIFS(Imput[Importe Neto],Imput[C. Imp.],$D987,Imput[PERIODO Imp.],DB$9)</f>
        <v>0</v>
      </c>
      <c r="DC987" s="693">
        <f>SUMIFS(Imput[Importe Neto],Imput[C. Imp.],$D987,Imput[PERIODO Imp.],DC$9)</f>
        <v>0</v>
      </c>
      <c r="DD987" s="693">
        <f>SUMIFS(Imput[Importe Neto],Imput[C. Imp.],$D987,Imput[PERIODO Imp.],DD$9)</f>
        <v>0</v>
      </c>
      <c r="DE987" s="693">
        <f>SUMIFS(Imput[Importe Neto],Imput[C. Imp.],$D987,Imput[PERIODO Imp.],DE$9)</f>
        <v>0</v>
      </c>
      <c r="DF987" s="693">
        <f>SUMIFS(Imput[Importe Neto],Imput[C. Imp.],$D987,Imput[PERIODO Imp.],DF$9)</f>
        <v>0</v>
      </c>
      <c r="DG987" s="693">
        <f>SUMIFS(Imput[Importe Neto],Imput[C. Imp.],$D987,Imput[PERIODO Imp.],DG$9)</f>
        <v>0</v>
      </c>
      <c r="DH987" s="694">
        <f>SUMIFS(Imput[Importe Neto],Imput[C. Imp.],$D987,Imput[PERIODO Imp.],DH$9)</f>
        <v>0</v>
      </c>
    </row>
    <row r="988" spans="1:112" s="649" customFormat="1" hidden="1" outlineLevel="1" x14ac:dyDescent="0.3">
      <c r="A988" s="652" t="str">
        <f t="shared" si="347"/>
        <v/>
      </c>
      <c r="B988" s="652"/>
      <c r="C988" s="685"/>
      <c r="D988" s="686"/>
      <c r="E988" s="686"/>
      <c r="F988" s="720"/>
      <c r="G988" s="688"/>
      <c r="H988" s="689"/>
      <c r="I988" s="851" t="str">
        <f t="shared" si="348"/>
        <v/>
      </c>
      <c r="J988" s="850" t="str">
        <f t="shared" si="349"/>
        <v/>
      </c>
      <c r="K988" s="667"/>
      <c r="L988" s="858"/>
      <c r="M988" s="859"/>
      <c r="N988" s="859"/>
      <c r="O988" s="859"/>
      <c r="P988" s="859"/>
      <c r="Q988" s="859"/>
      <c r="R988" s="859"/>
      <c r="S988" s="859"/>
      <c r="T988" s="859"/>
      <c r="U988" s="859"/>
      <c r="V988" s="859"/>
      <c r="W988" s="859"/>
      <c r="X988" s="859"/>
      <c r="Y988" s="859"/>
      <c r="Z988" s="860"/>
      <c r="AA988" s="860"/>
      <c r="AB988" s="860"/>
      <c r="AC988" s="860"/>
      <c r="AD988" s="860"/>
      <c r="AE988" s="860"/>
      <c r="AF988" s="860"/>
      <c r="AG988" s="860"/>
      <c r="AH988" s="860"/>
      <c r="AI988" s="860"/>
      <c r="AJ988" s="860"/>
      <c r="AK988" s="860"/>
      <c r="AL988" s="860"/>
      <c r="AM988" s="860"/>
      <c r="AN988" s="860"/>
      <c r="AO988" s="860"/>
      <c r="AP988" s="860"/>
      <c r="AQ988" s="860"/>
      <c r="AR988" s="860"/>
      <c r="AS988" s="860"/>
      <c r="AT988" s="860"/>
      <c r="AU988" s="860"/>
      <c r="AV988" s="860"/>
      <c r="AW988" s="860"/>
      <c r="AX988" s="860"/>
      <c r="AY988" s="860"/>
      <c r="AZ988" s="860"/>
      <c r="BA988" s="860"/>
      <c r="BB988" s="860"/>
      <c r="BC988" s="860"/>
      <c r="BD988" s="860"/>
      <c r="BE988" s="860"/>
      <c r="BF988" s="860"/>
      <c r="BG988" s="860"/>
      <c r="BH988" s="668"/>
      <c r="BI988" s="667"/>
      <c r="BJ988" s="690">
        <f t="shared" si="350"/>
        <v>0</v>
      </c>
      <c r="BK988" s="691">
        <f t="shared" si="351"/>
        <v>0</v>
      </c>
      <c r="BL988" s="654"/>
      <c r="BM988" s="692">
        <f>SUMIFS(Imput[Importe Neto],Imput[C. Imp.],$D988,Imput[PERIODO Imp.],BM$9)</f>
        <v>0</v>
      </c>
      <c r="BN988" s="693">
        <f>SUMIFS(Imput[Importe Neto],Imput[C. Imp.],$D988,Imput[PERIODO Imp.],BN$9)</f>
        <v>0</v>
      </c>
      <c r="BO988" s="693">
        <f>SUMIFS(Imput[Importe Neto],Imput[C. Imp.],$D988,Imput[PERIODO Imp.],BO$9)</f>
        <v>0</v>
      </c>
      <c r="BP988" s="693">
        <f>SUMIFS(Imput[Importe Neto],Imput[C. Imp.],$D988,Imput[PERIODO Imp.],BP$9)</f>
        <v>0</v>
      </c>
      <c r="BQ988" s="693">
        <f>SUMIFS(Imput[Importe Neto],Imput[C. Imp.],$D988,Imput[PERIODO Imp.],BQ$9)</f>
        <v>0</v>
      </c>
      <c r="BR988" s="693">
        <f>SUMIFS(Imput[Importe Neto],Imput[C. Imp.],$D988,Imput[PERIODO Imp.],BR$9)</f>
        <v>0</v>
      </c>
      <c r="BS988" s="693">
        <f>SUMIFS(Imput[Importe Neto],Imput[C. Imp.],$D988,Imput[PERIODO Imp.],BS$9)</f>
        <v>0</v>
      </c>
      <c r="BT988" s="693">
        <f>SUMIFS(Imput[Importe Neto],Imput[C. Imp.],$D988,Imput[PERIODO Imp.],BT$9)</f>
        <v>0</v>
      </c>
      <c r="BU988" s="693">
        <f>SUMIFS(Imput[Importe Neto],Imput[C. Imp.],$D988,Imput[PERIODO Imp.],BU$9)</f>
        <v>0</v>
      </c>
      <c r="BV988" s="693">
        <f>SUMIFS(Imput[Importe Neto],Imput[C. Imp.],$D988,Imput[PERIODO Imp.],BV$9)</f>
        <v>0</v>
      </c>
      <c r="BW988" s="693">
        <f>SUMIFS(Imput[Importe Neto],Imput[C. Imp.],$D988,Imput[PERIODO Imp.],BW$9)</f>
        <v>0</v>
      </c>
      <c r="BX988" s="693">
        <f>SUMIFS(Imput[Importe Neto],Imput[C. Imp.],$D988,Imput[PERIODO Imp.],BX$9)</f>
        <v>0</v>
      </c>
      <c r="BY988" s="693">
        <f>SUMIFS(Imput[Importe Neto],Imput[C. Imp.],$D988,Imput[PERIODO Imp.],BY$9)</f>
        <v>0</v>
      </c>
      <c r="BZ988" s="693">
        <f>SUMIFS(Imput[Importe Neto],Imput[C. Imp.],$D988,Imput[PERIODO Imp.],BZ$9)</f>
        <v>0</v>
      </c>
      <c r="CA988" s="693">
        <f>SUMIFS(Imput[Importe Neto],Imput[C. Imp.],$D988,Imput[PERIODO Imp.],CA$9)</f>
        <v>0</v>
      </c>
      <c r="CB988" s="693">
        <f>SUMIFS(Imput[Importe Neto],Imput[C. Imp.],$D988,Imput[PERIODO Imp.],CB$9)</f>
        <v>0</v>
      </c>
      <c r="CC988" s="693">
        <f>SUMIFS(Imput[Importe Neto],Imput[C. Imp.],$D988,Imput[PERIODO Imp.],CC$9)</f>
        <v>0</v>
      </c>
      <c r="CD988" s="693">
        <f>SUMIFS(Imput[Importe Neto],Imput[C. Imp.],$D988,Imput[PERIODO Imp.],CD$9)</f>
        <v>0</v>
      </c>
      <c r="CE988" s="693">
        <f>SUMIFS(Imput[Importe Neto],Imput[C. Imp.],$D988,Imput[PERIODO Imp.],CE$9)</f>
        <v>0</v>
      </c>
      <c r="CF988" s="693">
        <f>SUMIFS(Imput[Importe Neto],Imput[C. Imp.],$D988,Imput[PERIODO Imp.],CF$9)</f>
        <v>0</v>
      </c>
      <c r="CG988" s="693">
        <f>SUMIFS(Imput[Importe Neto],Imput[C. Imp.],$D988,Imput[PERIODO Imp.],CG$9)</f>
        <v>0</v>
      </c>
      <c r="CH988" s="693">
        <f>SUMIFS(Imput[Importe Neto],Imput[C. Imp.],$D988,Imput[PERIODO Imp.],CH$9)</f>
        <v>0</v>
      </c>
      <c r="CI988" s="693">
        <f>SUMIFS(Imput[Importe Neto],Imput[C. Imp.],$D988,Imput[PERIODO Imp.],CI$9)</f>
        <v>0</v>
      </c>
      <c r="CJ988" s="693">
        <f>SUMIFS(Imput[Importe Neto],Imput[C. Imp.],$D988,Imput[PERIODO Imp.],CJ$9)</f>
        <v>0</v>
      </c>
      <c r="CK988" s="693">
        <f>SUMIFS(Imput[Importe Neto],Imput[C. Imp.],$D988,Imput[PERIODO Imp.],CK$9)</f>
        <v>0</v>
      </c>
      <c r="CL988" s="693">
        <f>SUMIFS(Imput[Importe Neto],Imput[C. Imp.],$D988,Imput[PERIODO Imp.],CL$9)</f>
        <v>0</v>
      </c>
      <c r="CM988" s="693">
        <f>SUMIFS(Imput[Importe Neto],Imput[C. Imp.],$D988,Imput[PERIODO Imp.],CM$9)</f>
        <v>0</v>
      </c>
      <c r="CN988" s="693">
        <f>SUMIFS(Imput[Importe Neto],Imput[C. Imp.],$D988,Imput[PERIODO Imp.],CN$9)</f>
        <v>0</v>
      </c>
      <c r="CO988" s="693">
        <f>SUMIFS(Imput[Importe Neto],Imput[C. Imp.],$D988,Imput[PERIODO Imp.],CO$9)</f>
        <v>0</v>
      </c>
      <c r="CP988" s="693">
        <f>SUMIFS(Imput[Importe Neto],Imput[C. Imp.],$D988,Imput[PERIODO Imp.],CP$9)</f>
        <v>0</v>
      </c>
      <c r="CQ988" s="693">
        <f>SUMIFS(Imput[Importe Neto],Imput[C. Imp.],$D988,Imput[PERIODO Imp.],CQ$9)</f>
        <v>0</v>
      </c>
      <c r="CR988" s="693">
        <f>SUMIFS(Imput[Importe Neto],Imput[C. Imp.],$D988,Imput[PERIODO Imp.],CR$9)</f>
        <v>0</v>
      </c>
      <c r="CS988" s="693">
        <f>SUMIFS(Imput[Importe Neto],Imput[C. Imp.],$D988,Imput[PERIODO Imp.],CS$9)</f>
        <v>0</v>
      </c>
      <c r="CT988" s="693">
        <f>SUMIFS(Imput[Importe Neto],Imput[C. Imp.],$D988,Imput[PERIODO Imp.],CT$9)</f>
        <v>0</v>
      </c>
      <c r="CU988" s="693">
        <f>SUMIFS(Imput[Importe Neto],Imput[C. Imp.],$D988,Imput[PERIODO Imp.],CU$9)</f>
        <v>0</v>
      </c>
      <c r="CV988" s="693">
        <f>SUMIFS(Imput[Importe Neto],Imput[C. Imp.],$D988,Imput[PERIODO Imp.],CV$9)</f>
        <v>0</v>
      </c>
      <c r="CW988" s="693">
        <f>SUMIFS(Imput[Importe Neto],Imput[C. Imp.],$D988,Imput[PERIODO Imp.],CW$9)</f>
        <v>0</v>
      </c>
      <c r="CX988" s="693">
        <f>SUMIFS(Imput[Importe Neto],Imput[C. Imp.],$D988,Imput[PERIODO Imp.],CX$9)</f>
        <v>0</v>
      </c>
      <c r="CY988" s="693">
        <f>SUMIFS(Imput[Importe Neto],Imput[C. Imp.],$D988,Imput[PERIODO Imp.],CY$9)</f>
        <v>0</v>
      </c>
      <c r="CZ988" s="693">
        <f>SUMIFS(Imput[Importe Neto],Imput[C. Imp.],$D988,Imput[PERIODO Imp.],CZ$9)</f>
        <v>0</v>
      </c>
      <c r="DA988" s="693">
        <f>SUMIFS(Imput[Importe Neto],Imput[C. Imp.],$D988,Imput[PERIODO Imp.],DA$9)</f>
        <v>0</v>
      </c>
      <c r="DB988" s="693">
        <f>SUMIFS(Imput[Importe Neto],Imput[C. Imp.],$D988,Imput[PERIODO Imp.],DB$9)</f>
        <v>0</v>
      </c>
      <c r="DC988" s="693">
        <f>SUMIFS(Imput[Importe Neto],Imput[C. Imp.],$D988,Imput[PERIODO Imp.],DC$9)</f>
        <v>0</v>
      </c>
      <c r="DD988" s="693">
        <f>SUMIFS(Imput[Importe Neto],Imput[C. Imp.],$D988,Imput[PERIODO Imp.],DD$9)</f>
        <v>0</v>
      </c>
      <c r="DE988" s="693">
        <f>SUMIFS(Imput[Importe Neto],Imput[C. Imp.],$D988,Imput[PERIODO Imp.],DE$9)</f>
        <v>0</v>
      </c>
      <c r="DF988" s="693">
        <f>SUMIFS(Imput[Importe Neto],Imput[C. Imp.],$D988,Imput[PERIODO Imp.],DF$9)</f>
        <v>0</v>
      </c>
      <c r="DG988" s="693">
        <f>SUMIFS(Imput[Importe Neto],Imput[C. Imp.],$D988,Imput[PERIODO Imp.],DG$9)</f>
        <v>0</v>
      </c>
      <c r="DH988" s="694">
        <f>SUMIFS(Imput[Importe Neto],Imput[C. Imp.],$D988,Imput[PERIODO Imp.],DH$9)</f>
        <v>0</v>
      </c>
    </row>
    <row r="989" spans="1:112" s="649" customFormat="1" hidden="1" outlineLevel="1" x14ac:dyDescent="0.3">
      <c r="A989" s="652" t="str">
        <f t="shared" si="347"/>
        <v/>
      </c>
      <c r="B989" s="652"/>
      <c r="C989" s="685"/>
      <c r="D989" s="686"/>
      <c r="E989" s="686"/>
      <c r="F989" s="720"/>
      <c r="G989" s="688"/>
      <c r="H989" s="689"/>
      <c r="I989" s="851" t="str">
        <f t="shared" si="348"/>
        <v/>
      </c>
      <c r="J989" s="850" t="str">
        <f t="shared" si="349"/>
        <v/>
      </c>
      <c r="K989" s="667"/>
      <c r="L989" s="858"/>
      <c r="M989" s="859"/>
      <c r="N989" s="859"/>
      <c r="O989" s="859"/>
      <c r="P989" s="859"/>
      <c r="Q989" s="859"/>
      <c r="R989" s="859"/>
      <c r="S989" s="859"/>
      <c r="T989" s="859"/>
      <c r="U989" s="859"/>
      <c r="V989" s="859"/>
      <c r="W989" s="859"/>
      <c r="X989" s="859"/>
      <c r="Y989" s="859"/>
      <c r="Z989" s="860"/>
      <c r="AA989" s="860"/>
      <c r="AB989" s="860"/>
      <c r="AC989" s="860"/>
      <c r="AD989" s="860"/>
      <c r="AE989" s="860"/>
      <c r="AF989" s="860"/>
      <c r="AG989" s="860"/>
      <c r="AH989" s="860"/>
      <c r="AI989" s="860"/>
      <c r="AJ989" s="860"/>
      <c r="AK989" s="860"/>
      <c r="AL989" s="860"/>
      <c r="AM989" s="860"/>
      <c r="AN989" s="860"/>
      <c r="AO989" s="860"/>
      <c r="AP989" s="860"/>
      <c r="AQ989" s="860"/>
      <c r="AR989" s="860"/>
      <c r="AS989" s="860"/>
      <c r="AT989" s="860"/>
      <c r="AU989" s="860"/>
      <c r="AV989" s="860"/>
      <c r="AW989" s="860"/>
      <c r="AX989" s="860"/>
      <c r="AY989" s="860"/>
      <c r="AZ989" s="860"/>
      <c r="BA989" s="860"/>
      <c r="BB989" s="860"/>
      <c r="BC989" s="860"/>
      <c r="BD989" s="860"/>
      <c r="BE989" s="860"/>
      <c r="BF989" s="860"/>
      <c r="BG989" s="860"/>
      <c r="BH989" s="668"/>
      <c r="BI989" s="667"/>
      <c r="BJ989" s="690">
        <f t="shared" si="350"/>
        <v>0</v>
      </c>
      <c r="BK989" s="691">
        <f t="shared" si="351"/>
        <v>0</v>
      </c>
      <c r="BL989" s="654"/>
      <c r="BM989" s="692">
        <f>SUMIFS(Imput[Importe Neto],Imput[C. Imp.],$D989,Imput[PERIODO Imp.],BM$9)</f>
        <v>0</v>
      </c>
      <c r="BN989" s="693">
        <f>SUMIFS(Imput[Importe Neto],Imput[C. Imp.],$D989,Imput[PERIODO Imp.],BN$9)</f>
        <v>0</v>
      </c>
      <c r="BO989" s="693">
        <f>SUMIFS(Imput[Importe Neto],Imput[C. Imp.],$D989,Imput[PERIODO Imp.],BO$9)</f>
        <v>0</v>
      </c>
      <c r="BP989" s="693">
        <f>SUMIFS(Imput[Importe Neto],Imput[C. Imp.],$D989,Imput[PERIODO Imp.],BP$9)</f>
        <v>0</v>
      </c>
      <c r="BQ989" s="693">
        <f>SUMIFS(Imput[Importe Neto],Imput[C. Imp.],$D989,Imput[PERIODO Imp.],BQ$9)</f>
        <v>0</v>
      </c>
      <c r="BR989" s="693">
        <f>SUMIFS(Imput[Importe Neto],Imput[C. Imp.],$D989,Imput[PERIODO Imp.],BR$9)</f>
        <v>0</v>
      </c>
      <c r="BS989" s="693">
        <f>SUMIFS(Imput[Importe Neto],Imput[C. Imp.],$D989,Imput[PERIODO Imp.],BS$9)</f>
        <v>0</v>
      </c>
      <c r="BT989" s="693">
        <f>SUMIFS(Imput[Importe Neto],Imput[C. Imp.],$D989,Imput[PERIODO Imp.],BT$9)</f>
        <v>0</v>
      </c>
      <c r="BU989" s="693">
        <f>SUMIFS(Imput[Importe Neto],Imput[C. Imp.],$D989,Imput[PERIODO Imp.],BU$9)</f>
        <v>0</v>
      </c>
      <c r="BV989" s="693">
        <f>SUMIFS(Imput[Importe Neto],Imput[C. Imp.],$D989,Imput[PERIODO Imp.],BV$9)</f>
        <v>0</v>
      </c>
      <c r="BW989" s="693">
        <f>SUMIFS(Imput[Importe Neto],Imput[C. Imp.],$D989,Imput[PERIODO Imp.],BW$9)</f>
        <v>0</v>
      </c>
      <c r="BX989" s="693">
        <f>SUMIFS(Imput[Importe Neto],Imput[C. Imp.],$D989,Imput[PERIODO Imp.],BX$9)</f>
        <v>0</v>
      </c>
      <c r="BY989" s="693">
        <f>SUMIFS(Imput[Importe Neto],Imput[C. Imp.],$D989,Imput[PERIODO Imp.],BY$9)</f>
        <v>0</v>
      </c>
      <c r="BZ989" s="693">
        <f>SUMIFS(Imput[Importe Neto],Imput[C. Imp.],$D989,Imput[PERIODO Imp.],BZ$9)</f>
        <v>0</v>
      </c>
      <c r="CA989" s="693">
        <f>SUMIFS(Imput[Importe Neto],Imput[C. Imp.],$D989,Imput[PERIODO Imp.],CA$9)</f>
        <v>0</v>
      </c>
      <c r="CB989" s="693">
        <f>SUMIFS(Imput[Importe Neto],Imput[C. Imp.],$D989,Imput[PERIODO Imp.],CB$9)</f>
        <v>0</v>
      </c>
      <c r="CC989" s="693">
        <f>SUMIFS(Imput[Importe Neto],Imput[C. Imp.],$D989,Imput[PERIODO Imp.],CC$9)</f>
        <v>0</v>
      </c>
      <c r="CD989" s="693">
        <f>SUMIFS(Imput[Importe Neto],Imput[C. Imp.],$D989,Imput[PERIODO Imp.],CD$9)</f>
        <v>0</v>
      </c>
      <c r="CE989" s="693">
        <f>SUMIFS(Imput[Importe Neto],Imput[C. Imp.],$D989,Imput[PERIODO Imp.],CE$9)</f>
        <v>0</v>
      </c>
      <c r="CF989" s="693">
        <f>SUMIFS(Imput[Importe Neto],Imput[C. Imp.],$D989,Imput[PERIODO Imp.],CF$9)</f>
        <v>0</v>
      </c>
      <c r="CG989" s="693">
        <f>SUMIFS(Imput[Importe Neto],Imput[C. Imp.],$D989,Imput[PERIODO Imp.],CG$9)</f>
        <v>0</v>
      </c>
      <c r="CH989" s="693">
        <f>SUMIFS(Imput[Importe Neto],Imput[C. Imp.],$D989,Imput[PERIODO Imp.],CH$9)</f>
        <v>0</v>
      </c>
      <c r="CI989" s="693">
        <f>SUMIFS(Imput[Importe Neto],Imput[C. Imp.],$D989,Imput[PERIODO Imp.],CI$9)</f>
        <v>0</v>
      </c>
      <c r="CJ989" s="693">
        <f>SUMIFS(Imput[Importe Neto],Imput[C. Imp.],$D989,Imput[PERIODO Imp.],CJ$9)</f>
        <v>0</v>
      </c>
      <c r="CK989" s="693">
        <f>SUMIFS(Imput[Importe Neto],Imput[C. Imp.],$D989,Imput[PERIODO Imp.],CK$9)</f>
        <v>0</v>
      </c>
      <c r="CL989" s="693">
        <f>SUMIFS(Imput[Importe Neto],Imput[C. Imp.],$D989,Imput[PERIODO Imp.],CL$9)</f>
        <v>0</v>
      </c>
      <c r="CM989" s="693">
        <f>SUMIFS(Imput[Importe Neto],Imput[C. Imp.],$D989,Imput[PERIODO Imp.],CM$9)</f>
        <v>0</v>
      </c>
      <c r="CN989" s="693">
        <f>SUMIFS(Imput[Importe Neto],Imput[C. Imp.],$D989,Imput[PERIODO Imp.],CN$9)</f>
        <v>0</v>
      </c>
      <c r="CO989" s="693">
        <f>SUMIFS(Imput[Importe Neto],Imput[C. Imp.],$D989,Imput[PERIODO Imp.],CO$9)</f>
        <v>0</v>
      </c>
      <c r="CP989" s="693">
        <f>SUMIFS(Imput[Importe Neto],Imput[C. Imp.],$D989,Imput[PERIODO Imp.],CP$9)</f>
        <v>0</v>
      </c>
      <c r="CQ989" s="693">
        <f>SUMIFS(Imput[Importe Neto],Imput[C. Imp.],$D989,Imput[PERIODO Imp.],CQ$9)</f>
        <v>0</v>
      </c>
      <c r="CR989" s="693">
        <f>SUMIFS(Imput[Importe Neto],Imput[C. Imp.],$D989,Imput[PERIODO Imp.],CR$9)</f>
        <v>0</v>
      </c>
      <c r="CS989" s="693">
        <f>SUMIFS(Imput[Importe Neto],Imput[C. Imp.],$D989,Imput[PERIODO Imp.],CS$9)</f>
        <v>0</v>
      </c>
      <c r="CT989" s="693">
        <f>SUMIFS(Imput[Importe Neto],Imput[C. Imp.],$D989,Imput[PERIODO Imp.],CT$9)</f>
        <v>0</v>
      </c>
      <c r="CU989" s="693">
        <f>SUMIFS(Imput[Importe Neto],Imput[C. Imp.],$D989,Imput[PERIODO Imp.],CU$9)</f>
        <v>0</v>
      </c>
      <c r="CV989" s="693">
        <f>SUMIFS(Imput[Importe Neto],Imput[C. Imp.],$D989,Imput[PERIODO Imp.],CV$9)</f>
        <v>0</v>
      </c>
      <c r="CW989" s="693">
        <f>SUMIFS(Imput[Importe Neto],Imput[C. Imp.],$D989,Imput[PERIODO Imp.],CW$9)</f>
        <v>0</v>
      </c>
      <c r="CX989" s="693">
        <f>SUMIFS(Imput[Importe Neto],Imput[C. Imp.],$D989,Imput[PERIODO Imp.],CX$9)</f>
        <v>0</v>
      </c>
      <c r="CY989" s="693">
        <f>SUMIFS(Imput[Importe Neto],Imput[C. Imp.],$D989,Imput[PERIODO Imp.],CY$9)</f>
        <v>0</v>
      </c>
      <c r="CZ989" s="693">
        <f>SUMIFS(Imput[Importe Neto],Imput[C. Imp.],$D989,Imput[PERIODO Imp.],CZ$9)</f>
        <v>0</v>
      </c>
      <c r="DA989" s="693">
        <f>SUMIFS(Imput[Importe Neto],Imput[C. Imp.],$D989,Imput[PERIODO Imp.],DA$9)</f>
        <v>0</v>
      </c>
      <c r="DB989" s="693">
        <f>SUMIFS(Imput[Importe Neto],Imput[C. Imp.],$D989,Imput[PERIODO Imp.],DB$9)</f>
        <v>0</v>
      </c>
      <c r="DC989" s="693">
        <f>SUMIFS(Imput[Importe Neto],Imput[C. Imp.],$D989,Imput[PERIODO Imp.],DC$9)</f>
        <v>0</v>
      </c>
      <c r="DD989" s="693">
        <f>SUMIFS(Imput[Importe Neto],Imput[C. Imp.],$D989,Imput[PERIODO Imp.],DD$9)</f>
        <v>0</v>
      </c>
      <c r="DE989" s="693">
        <f>SUMIFS(Imput[Importe Neto],Imput[C. Imp.],$D989,Imput[PERIODO Imp.],DE$9)</f>
        <v>0</v>
      </c>
      <c r="DF989" s="693">
        <f>SUMIFS(Imput[Importe Neto],Imput[C. Imp.],$D989,Imput[PERIODO Imp.],DF$9)</f>
        <v>0</v>
      </c>
      <c r="DG989" s="693">
        <f>SUMIFS(Imput[Importe Neto],Imput[C. Imp.],$D989,Imput[PERIODO Imp.],DG$9)</f>
        <v>0</v>
      </c>
      <c r="DH989" s="694">
        <f>SUMIFS(Imput[Importe Neto],Imput[C. Imp.],$D989,Imput[PERIODO Imp.],DH$9)</f>
        <v>0</v>
      </c>
    </row>
    <row r="990" spans="1:112" s="649" customFormat="1" hidden="1" outlineLevel="1" x14ac:dyDescent="0.3">
      <c r="A990" s="652" t="str">
        <f t="shared" si="347"/>
        <v/>
      </c>
      <c r="B990" s="652"/>
      <c r="C990" s="685"/>
      <c r="D990" s="686"/>
      <c r="E990" s="686"/>
      <c r="F990" s="720"/>
      <c r="G990" s="688"/>
      <c r="H990" s="689"/>
      <c r="I990" s="851" t="str">
        <f t="shared" si="348"/>
        <v/>
      </c>
      <c r="J990" s="850" t="str">
        <f t="shared" si="349"/>
        <v/>
      </c>
      <c r="K990" s="667"/>
      <c r="L990" s="858"/>
      <c r="M990" s="859"/>
      <c r="N990" s="859"/>
      <c r="O990" s="859"/>
      <c r="P990" s="859"/>
      <c r="Q990" s="859"/>
      <c r="R990" s="859"/>
      <c r="S990" s="859"/>
      <c r="T990" s="859"/>
      <c r="U990" s="859"/>
      <c r="V990" s="859"/>
      <c r="W990" s="859"/>
      <c r="X990" s="859"/>
      <c r="Y990" s="859"/>
      <c r="Z990" s="860"/>
      <c r="AA990" s="860"/>
      <c r="AB990" s="860"/>
      <c r="AC990" s="860"/>
      <c r="AD990" s="860"/>
      <c r="AE990" s="860"/>
      <c r="AF990" s="860"/>
      <c r="AG990" s="860"/>
      <c r="AH990" s="860"/>
      <c r="AI990" s="860"/>
      <c r="AJ990" s="860"/>
      <c r="AK990" s="860"/>
      <c r="AL990" s="860"/>
      <c r="AM990" s="860"/>
      <c r="AN990" s="860"/>
      <c r="AO990" s="860"/>
      <c r="AP990" s="860"/>
      <c r="AQ990" s="860"/>
      <c r="AR990" s="860"/>
      <c r="AS990" s="860"/>
      <c r="AT990" s="860"/>
      <c r="AU990" s="860"/>
      <c r="AV990" s="860"/>
      <c r="AW990" s="860"/>
      <c r="AX990" s="860"/>
      <c r="AY990" s="860"/>
      <c r="AZ990" s="860"/>
      <c r="BA990" s="860"/>
      <c r="BB990" s="860"/>
      <c r="BC990" s="860"/>
      <c r="BD990" s="860"/>
      <c r="BE990" s="860"/>
      <c r="BF990" s="860"/>
      <c r="BG990" s="860"/>
      <c r="BH990" s="668"/>
      <c r="BI990" s="667"/>
      <c r="BJ990" s="690">
        <f t="shared" si="350"/>
        <v>0</v>
      </c>
      <c r="BK990" s="691">
        <f t="shared" si="351"/>
        <v>0</v>
      </c>
      <c r="BL990" s="654"/>
      <c r="BM990" s="692">
        <f>SUMIFS(Imput[Importe Neto],Imput[C. Imp.],$D990,Imput[PERIODO Imp.],BM$9)</f>
        <v>0</v>
      </c>
      <c r="BN990" s="693">
        <f>SUMIFS(Imput[Importe Neto],Imput[C. Imp.],$D990,Imput[PERIODO Imp.],BN$9)</f>
        <v>0</v>
      </c>
      <c r="BO990" s="693">
        <f>SUMIFS(Imput[Importe Neto],Imput[C. Imp.],$D990,Imput[PERIODO Imp.],BO$9)</f>
        <v>0</v>
      </c>
      <c r="BP990" s="693">
        <f>SUMIFS(Imput[Importe Neto],Imput[C. Imp.],$D990,Imput[PERIODO Imp.],BP$9)</f>
        <v>0</v>
      </c>
      <c r="BQ990" s="693">
        <f>SUMIFS(Imput[Importe Neto],Imput[C. Imp.],$D990,Imput[PERIODO Imp.],BQ$9)</f>
        <v>0</v>
      </c>
      <c r="BR990" s="693">
        <f>SUMIFS(Imput[Importe Neto],Imput[C. Imp.],$D990,Imput[PERIODO Imp.],BR$9)</f>
        <v>0</v>
      </c>
      <c r="BS990" s="693">
        <f>SUMIFS(Imput[Importe Neto],Imput[C. Imp.],$D990,Imput[PERIODO Imp.],BS$9)</f>
        <v>0</v>
      </c>
      <c r="BT990" s="693">
        <f>SUMIFS(Imput[Importe Neto],Imput[C. Imp.],$D990,Imput[PERIODO Imp.],BT$9)</f>
        <v>0</v>
      </c>
      <c r="BU990" s="693">
        <f>SUMIFS(Imput[Importe Neto],Imput[C. Imp.],$D990,Imput[PERIODO Imp.],BU$9)</f>
        <v>0</v>
      </c>
      <c r="BV990" s="693">
        <f>SUMIFS(Imput[Importe Neto],Imput[C. Imp.],$D990,Imput[PERIODO Imp.],BV$9)</f>
        <v>0</v>
      </c>
      <c r="BW990" s="693">
        <f>SUMIFS(Imput[Importe Neto],Imput[C. Imp.],$D990,Imput[PERIODO Imp.],BW$9)</f>
        <v>0</v>
      </c>
      <c r="BX990" s="693">
        <f>SUMIFS(Imput[Importe Neto],Imput[C. Imp.],$D990,Imput[PERIODO Imp.],BX$9)</f>
        <v>0</v>
      </c>
      <c r="BY990" s="693">
        <f>SUMIFS(Imput[Importe Neto],Imput[C. Imp.],$D990,Imput[PERIODO Imp.],BY$9)</f>
        <v>0</v>
      </c>
      <c r="BZ990" s="693">
        <f>SUMIFS(Imput[Importe Neto],Imput[C. Imp.],$D990,Imput[PERIODO Imp.],BZ$9)</f>
        <v>0</v>
      </c>
      <c r="CA990" s="693">
        <f>SUMIFS(Imput[Importe Neto],Imput[C. Imp.],$D990,Imput[PERIODO Imp.],CA$9)</f>
        <v>0</v>
      </c>
      <c r="CB990" s="693">
        <f>SUMIFS(Imput[Importe Neto],Imput[C. Imp.],$D990,Imput[PERIODO Imp.],CB$9)</f>
        <v>0</v>
      </c>
      <c r="CC990" s="693">
        <f>SUMIFS(Imput[Importe Neto],Imput[C. Imp.],$D990,Imput[PERIODO Imp.],CC$9)</f>
        <v>0</v>
      </c>
      <c r="CD990" s="693">
        <f>SUMIFS(Imput[Importe Neto],Imput[C. Imp.],$D990,Imput[PERIODO Imp.],CD$9)</f>
        <v>0</v>
      </c>
      <c r="CE990" s="693">
        <f>SUMIFS(Imput[Importe Neto],Imput[C. Imp.],$D990,Imput[PERIODO Imp.],CE$9)</f>
        <v>0</v>
      </c>
      <c r="CF990" s="693">
        <f>SUMIFS(Imput[Importe Neto],Imput[C. Imp.],$D990,Imput[PERIODO Imp.],CF$9)</f>
        <v>0</v>
      </c>
      <c r="CG990" s="693">
        <f>SUMIFS(Imput[Importe Neto],Imput[C. Imp.],$D990,Imput[PERIODO Imp.],CG$9)</f>
        <v>0</v>
      </c>
      <c r="CH990" s="693">
        <f>SUMIFS(Imput[Importe Neto],Imput[C. Imp.],$D990,Imput[PERIODO Imp.],CH$9)</f>
        <v>0</v>
      </c>
      <c r="CI990" s="693">
        <f>SUMIFS(Imput[Importe Neto],Imput[C. Imp.],$D990,Imput[PERIODO Imp.],CI$9)</f>
        <v>0</v>
      </c>
      <c r="CJ990" s="693">
        <f>SUMIFS(Imput[Importe Neto],Imput[C. Imp.],$D990,Imput[PERIODO Imp.],CJ$9)</f>
        <v>0</v>
      </c>
      <c r="CK990" s="693">
        <f>SUMIFS(Imput[Importe Neto],Imput[C. Imp.],$D990,Imput[PERIODO Imp.],CK$9)</f>
        <v>0</v>
      </c>
      <c r="CL990" s="693">
        <f>SUMIFS(Imput[Importe Neto],Imput[C. Imp.],$D990,Imput[PERIODO Imp.],CL$9)</f>
        <v>0</v>
      </c>
      <c r="CM990" s="693">
        <f>SUMIFS(Imput[Importe Neto],Imput[C. Imp.],$D990,Imput[PERIODO Imp.],CM$9)</f>
        <v>0</v>
      </c>
      <c r="CN990" s="693">
        <f>SUMIFS(Imput[Importe Neto],Imput[C. Imp.],$D990,Imput[PERIODO Imp.],CN$9)</f>
        <v>0</v>
      </c>
      <c r="CO990" s="693">
        <f>SUMIFS(Imput[Importe Neto],Imput[C. Imp.],$D990,Imput[PERIODO Imp.],CO$9)</f>
        <v>0</v>
      </c>
      <c r="CP990" s="693">
        <f>SUMIFS(Imput[Importe Neto],Imput[C. Imp.],$D990,Imput[PERIODO Imp.],CP$9)</f>
        <v>0</v>
      </c>
      <c r="CQ990" s="693">
        <f>SUMIFS(Imput[Importe Neto],Imput[C. Imp.],$D990,Imput[PERIODO Imp.],CQ$9)</f>
        <v>0</v>
      </c>
      <c r="CR990" s="693">
        <f>SUMIFS(Imput[Importe Neto],Imput[C. Imp.],$D990,Imput[PERIODO Imp.],CR$9)</f>
        <v>0</v>
      </c>
      <c r="CS990" s="693">
        <f>SUMIFS(Imput[Importe Neto],Imput[C. Imp.],$D990,Imput[PERIODO Imp.],CS$9)</f>
        <v>0</v>
      </c>
      <c r="CT990" s="693">
        <f>SUMIFS(Imput[Importe Neto],Imput[C. Imp.],$D990,Imput[PERIODO Imp.],CT$9)</f>
        <v>0</v>
      </c>
      <c r="CU990" s="693">
        <f>SUMIFS(Imput[Importe Neto],Imput[C. Imp.],$D990,Imput[PERIODO Imp.],CU$9)</f>
        <v>0</v>
      </c>
      <c r="CV990" s="693">
        <f>SUMIFS(Imput[Importe Neto],Imput[C. Imp.],$D990,Imput[PERIODO Imp.],CV$9)</f>
        <v>0</v>
      </c>
      <c r="CW990" s="693">
        <f>SUMIFS(Imput[Importe Neto],Imput[C. Imp.],$D990,Imput[PERIODO Imp.],CW$9)</f>
        <v>0</v>
      </c>
      <c r="CX990" s="693">
        <f>SUMIFS(Imput[Importe Neto],Imput[C. Imp.],$D990,Imput[PERIODO Imp.],CX$9)</f>
        <v>0</v>
      </c>
      <c r="CY990" s="693">
        <f>SUMIFS(Imput[Importe Neto],Imput[C. Imp.],$D990,Imput[PERIODO Imp.],CY$9)</f>
        <v>0</v>
      </c>
      <c r="CZ990" s="693">
        <f>SUMIFS(Imput[Importe Neto],Imput[C. Imp.],$D990,Imput[PERIODO Imp.],CZ$9)</f>
        <v>0</v>
      </c>
      <c r="DA990" s="693">
        <f>SUMIFS(Imput[Importe Neto],Imput[C. Imp.],$D990,Imput[PERIODO Imp.],DA$9)</f>
        <v>0</v>
      </c>
      <c r="DB990" s="693">
        <f>SUMIFS(Imput[Importe Neto],Imput[C. Imp.],$D990,Imput[PERIODO Imp.],DB$9)</f>
        <v>0</v>
      </c>
      <c r="DC990" s="693">
        <f>SUMIFS(Imput[Importe Neto],Imput[C. Imp.],$D990,Imput[PERIODO Imp.],DC$9)</f>
        <v>0</v>
      </c>
      <c r="DD990" s="693">
        <f>SUMIFS(Imput[Importe Neto],Imput[C. Imp.],$D990,Imput[PERIODO Imp.],DD$9)</f>
        <v>0</v>
      </c>
      <c r="DE990" s="693">
        <f>SUMIFS(Imput[Importe Neto],Imput[C. Imp.],$D990,Imput[PERIODO Imp.],DE$9)</f>
        <v>0</v>
      </c>
      <c r="DF990" s="693">
        <f>SUMIFS(Imput[Importe Neto],Imput[C. Imp.],$D990,Imput[PERIODO Imp.],DF$9)</f>
        <v>0</v>
      </c>
      <c r="DG990" s="693">
        <f>SUMIFS(Imput[Importe Neto],Imput[C. Imp.],$D990,Imput[PERIODO Imp.],DG$9)</f>
        <v>0</v>
      </c>
      <c r="DH990" s="694">
        <f>SUMIFS(Imput[Importe Neto],Imput[C. Imp.],$D990,Imput[PERIODO Imp.],DH$9)</f>
        <v>0</v>
      </c>
    </row>
    <row r="991" spans="1:112" s="649" customFormat="1" hidden="1" outlineLevel="1" x14ac:dyDescent="0.3">
      <c r="A991" s="652" t="str">
        <f t="shared" si="347"/>
        <v/>
      </c>
      <c r="B991" s="652"/>
      <c r="C991" s="685"/>
      <c r="D991" s="686"/>
      <c r="E991" s="686"/>
      <c r="F991" s="720"/>
      <c r="G991" s="688"/>
      <c r="H991" s="689"/>
      <c r="I991" s="851" t="str">
        <f t="shared" si="348"/>
        <v/>
      </c>
      <c r="J991" s="850" t="str">
        <f t="shared" si="349"/>
        <v/>
      </c>
      <c r="K991" s="667"/>
      <c r="L991" s="858"/>
      <c r="M991" s="859"/>
      <c r="N991" s="859"/>
      <c r="O991" s="859"/>
      <c r="P991" s="859"/>
      <c r="Q991" s="859"/>
      <c r="R991" s="859"/>
      <c r="S991" s="859"/>
      <c r="T991" s="859"/>
      <c r="U991" s="859"/>
      <c r="V991" s="859"/>
      <c r="W991" s="859"/>
      <c r="X991" s="859"/>
      <c r="Y991" s="859"/>
      <c r="Z991" s="860"/>
      <c r="AA991" s="860"/>
      <c r="AB991" s="860"/>
      <c r="AC991" s="860"/>
      <c r="AD991" s="860"/>
      <c r="AE991" s="860"/>
      <c r="AF991" s="860"/>
      <c r="AG991" s="860"/>
      <c r="AH991" s="860"/>
      <c r="AI991" s="860"/>
      <c r="AJ991" s="860"/>
      <c r="AK991" s="860"/>
      <c r="AL991" s="860"/>
      <c r="AM991" s="860"/>
      <c r="AN991" s="860"/>
      <c r="AO991" s="860"/>
      <c r="AP991" s="860"/>
      <c r="AQ991" s="860"/>
      <c r="AR991" s="860"/>
      <c r="AS991" s="860"/>
      <c r="AT991" s="860"/>
      <c r="AU991" s="860"/>
      <c r="AV991" s="860"/>
      <c r="AW991" s="860"/>
      <c r="AX991" s="860"/>
      <c r="AY991" s="860"/>
      <c r="AZ991" s="860"/>
      <c r="BA991" s="860"/>
      <c r="BB991" s="860"/>
      <c r="BC991" s="860"/>
      <c r="BD991" s="860"/>
      <c r="BE991" s="860"/>
      <c r="BF991" s="860"/>
      <c r="BG991" s="860"/>
      <c r="BH991" s="668"/>
      <c r="BI991" s="667"/>
      <c r="BJ991" s="690">
        <f t="shared" si="350"/>
        <v>0</v>
      </c>
      <c r="BK991" s="691">
        <f t="shared" si="351"/>
        <v>0</v>
      </c>
      <c r="BL991" s="654"/>
      <c r="BM991" s="692">
        <f>SUMIFS(Imput[Importe Neto],Imput[C. Imp.],$D991,Imput[PERIODO Imp.],BM$9)</f>
        <v>0</v>
      </c>
      <c r="BN991" s="693">
        <f>SUMIFS(Imput[Importe Neto],Imput[C. Imp.],$D991,Imput[PERIODO Imp.],BN$9)</f>
        <v>0</v>
      </c>
      <c r="BO991" s="693">
        <f>SUMIFS(Imput[Importe Neto],Imput[C. Imp.],$D991,Imput[PERIODO Imp.],BO$9)</f>
        <v>0</v>
      </c>
      <c r="BP991" s="693">
        <f>SUMIFS(Imput[Importe Neto],Imput[C. Imp.],$D991,Imput[PERIODO Imp.],BP$9)</f>
        <v>0</v>
      </c>
      <c r="BQ991" s="693">
        <f>SUMIFS(Imput[Importe Neto],Imput[C. Imp.],$D991,Imput[PERIODO Imp.],BQ$9)</f>
        <v>0</v>
      </c>
      <c r="BR991" s="693">
        <f>SUMIFS(Imput[Importe Neto],Imput[C. Imp.],$D991,Imput[PERIODO Imp.],BR$9)</f>
        <v>0</v>
      </c>
      <c r="BS991" s="693">
        <f>SUMIFS(Imput[Importe Neto],Imput[C. Imp.],$D991,Imput[PERIODO Imp.],BS$9)</f>
        <v>0</v>
      </c>
      <c r="BT991" s="693">
        <f>SUMIFS(Imput[Importe Neto],Imput[C. Imp.],$D991,Imput[PERIODO Imp.],BT$9)</f>
        <v>0</v>
      </c>
      <c r="BU991" s="693">
        <f>SUMIFS(Imput[Importe Neto],Imput[C. Imp.],$D991,Imput[PERIODO Imp.],BU$9)</f>
        <v>0</v>
      </c>
      <c r="BV991" s="693">
        <f>SUMIFS(Imput[Importe Neto],Imput[C. Imp.],$D991,Imput[PERIODO Imp.],BV$9)</f>
        <v>0</v>
      </c>
      <c r="BW991" s="693">
        <f>SUMIFS(Imput[Importe Neto],Imput[C. Imp.],$D991,Imput[PERIODO Imp.],BW$9)</f>
        <v>0</v>
      </c>
      <c r="BX991" s="693">
        <f>SUMIFS(Imput[Importe Neto],Imput[C. Imp.],$D991,Imput[PERIODO Imp.],BX$9)</f>
        <v>0</v>
      </c>
      <c r="BY991" s="693">
        <f>SUMIFS(Imput[Importe Neto],Imput[C. Imp.],$D991,Imput[PERIODO Imp.],BY$9)</f>
        <v>0</v>
      </c>
      <c r="BZ991" s="693">
        <f>SUMIFS(Imput[Importe Neto],Imput[C. Imp.],$D991,Imput[PERIODO Imp.],BZ$9)</f>
        <v>0</v>
      </c>
      <c r="CA991" s="693">
        <f>SUMIFS(Imput[Importe Neto],Imput[C. Imp.],$D991,Imput[PERIODO Imp.],CA$9)</f>
        <v>0</v>
      </c>
      <c r="CB991" s="693">
        <f>SUMIFS(Imput[Importe Neto],Imput[C. Imp.],$D991,Imput[PERIODO Imp.],CB$9)</f>
        <v>0</v>
      </c>
      <c r="CC991" s="693">
        <f>SUMIFS(Imput[Importe Neto],Imput[C. Imp.],$D991,Imput[PERIODO Imp.],CC$9)</f>
        <v>0</v>
      </c>
      <c r="CD991" s="693">
        <f>SUMIFS(Imput[Importe Neto],Imput[C. Imp.],$D991,Imput[PERIODO Imp.],CD$9)</f>
        <v>0</v>
      </c>
      <c r="CE991" s="693">
        <f>SUMIFS(Imput[Importe Neto],Imput[C. Imp.],$D991,Imput[PERIODO Imp.],CE$9)</f>
        <v>0</v>
      </c>
      <c r="CF991" s="693">
        <f>SUMIFS(Imput[Importe Neto],Imput[C. Imp.],$D991,Imput[PERIODO Imp.],CF$9)</f>
        <v>0</v>
      </c>
      <c r="CG991" s="693">
        <f>SUMIFS(Imput[Importe Neto],Imput[C. Imp.],$D991,Imput[PERIODO Imp.],CG$9)</f>
        <v>0</v>
      </c>
      <c r="CH991" s="693">
        <f>SUMIFS(Imput[Importe Neto],Imput[C. Imp.],$D991,Imput[PERIODO Imp.],CH$9)</f>
        <v>0</v>
      </c>
      <c r="CI991" s="693">
        <f>SUMIFS(Imput[Importe Neto],Imput[C. Imp.],$D991,Imput[PERIODO Imp.],CI$9)</f>
        <v>0</v>
      </c>
      <c r="CJ991" s="693">
        <f>SUMIFS(Imput[Importe Neto],Imput[C. Imp.],$D991,Imput[PERIODO Imp.],CJ$9)</f>
        <v>0</v>
      </c>
      <c r="CK991" s="693">
        <f>SUMIFS(Imput[Importe Neto],Imput[C. Imp.],$D991,Imput[PERIODO Imp.],CK$9)</f>
        <v>0</v>
      </c>
      <c r="CL991" s="693">
        <f>SUMIFS(Imput[Importe Neto],Imput[C. Imp.],$D991,Imput[PERIODO Imp.],CL$9)</f>
        <v>0</v>
      </c>
      <c r="CM991" s="693">
        <f>SUMIFS(Imput[Importe Neto],Imput[C. Imp.],$D991,Imput[PERIODO Imp.],CM$9)</f>
        <v>0</v>
      </c>
      <c r="CN991" s="693">
        <f>SUMIFS(Imput[Importe Neto],Imput[C. Imp.],$D991,Imput[PERIODO Imp.],CN$9)</f>
        <v>0</v>
      </c>
      <c r="CO991" s="693">
        <f>SUMIFS(Imput[Importe Neto],Imput[C. Imp.],$D991,Imput[PERIODO Imp.],CO$9)</f>
        <v>0</v>
      </c>
      <c r="CP991" s="693">
        <f>SUMIFS(Imput[Importe Neto],Imput[C. Imp.],$D991,Imput[[PERIODO Imp.]:[PERIODO Imp.]],CP$9)</f>
        <v>0</v>
      </c>
      <c r="CQ991" s="693">
        <f>SUMIFS(Imput[[Importe Neto]:[Importe Neto]],Imput[[C. Imp.]:[C. Imp.]],$D991,Imput[[PERIODO Imp.]:[PERIODO Imp.]],CQ$9)</f>
        <v>0</v>
      </c>
      <c r="CR991" s="693">
        <f>SUMIFS(Imput[[Importe Neto]:[Importe Neto]],Imput[[C. Imp.]:[C. Imp.]],$D991,Imput[[PERIODO Imp.]:[PERIODO Imp.]],CR$9)</f>
        <v>0</v>
      </c>
      <c r="CS991" s="693">
        <f>SUMIFS(Imput[[Importe Neto]:[Importe Neto]],Imput[[C. Imp.]:[C. Imp.]],$D991,Imput[[PERIODO Imp.]:[PERIODO Imp.]],CS$9)</f>
        <v>0</v>
      </c>
      <c r="CT991" s="693">
        <f>SUMIFS(Imput[[Importe Neto]:[Importe Neto]],Imput[[C. Imp.]:[C. Imp.]],$D991,Imput[[PERIODO Imp.]:[PERIODO Imp.]],CT$9)</f>
        <v>0</v>
      </c>
      <c r="CU991" s="693">
        <f>SUMIFS(Imput[[Importe Neto]:[Importe Neto]],Imput[[C. Imp.]:[C. Imp.]],$D991,Imput[[PERIODO Imp.]:[PERIODO Imp.]],CU$9)</f>
        <v>0</v>
      </c>
      <c r="CV991" s="693">
        <f>SUMIFS(Imput[[Importe Neto]:[Importe Neto]],Imput[[C. Imp.]:[C. Imp.]],$D991,Imput[[PERIODO Imp.]:[PERIODO Imp.]],CV$9)</f>
        <v>0</v>
      </c>
      <c r="CW991" s="693">
        <f>SUMIFS(Imput[[Importe Neto]:[Importe Neto]],Imput[[C. Imp.]:[C. Imp.]],$D991,Imput[[PERIODO Imp.]:[PERIODO Imp.]],CW$9)</f>
        <v>0</v>
      </c>
      <c r="CX991" s="693">
        <f>SUMIFS(Imput[[Importe Neto]:[Importe Neto]],Imput[[C. Imp.]:[C. Imp.]],$D991,Imput[[PERIODO Imp.]:[PERIODO Imp.]],CX$9)</f>
        <v>0</v>
      </c>
      <c r="CY991" s="693">
        <f>SUMIFS(Imput[[Importe Neto]:[Importe Neto]],Imput[[C. Imp.]:[C. Imp.]],$D991,Imput[[PERIODO Imp.]:[PERIODO Imp.]],CY$9)</f>
        <v>0</v>
      </c>
      <c r="CZ991" s="693">
        <f>SUMIFS(Imput[[Importe Neto]:[Importe Neto]],Imput[[C. Imp.]:[C. Imp.]],$D991,Imput[[PERIODO Imp.]:[PERIODO Imp.]],CZ$9)</f>
        <v>0</v>
      </c>
      <c r="DA991" s="693">
        <f>SUMIFS(Imput[[Importe Neto]:[Importe Neto]],Imput[[C. Imp.]:[C. Imp.]],$D991,Imput[[PERIODO Imp.]:[PERIODO Imp.]],DA$9)</f>
        <v>0</v>
      </c>
      <c r="DB991" s="693">
        <f>SUMIFS(Imput[[Importe Neto]:[Importe Neto]],Imput[[C. Imp.]:[C. Imp.]],$D991,Imput[[PERIODO Imp.]:[PERIODO Imp.]],DB$9)</f>
        <v>0</v>
      </c>
      <c r="DC991" s="693">
        <f>SUMIFS(Imput[[Importe Neto]:[Importe Neto]],Imput[[C. Imp.]:[C. Imp.]],$D991,Imput[[PERIODO Imp.]:[PERIODO Imp.]],DC$9)</f>
        <v>0</v>
      </c>
      <c r="DD991" s="693">
        <f>SUMIFS(Imput[[Importe Neto]:[Importe Neto]],Imput[[C. Imp.]:[C. Imp.]],$D991,Imput[[PERIODO Imp.]:[PERIODO Imp.]],DD$9)</f>
        <v>0</v>
      </c>
      <c r="DE991" s="693">
        <f>SUMIFS(Imput[[Importe Neto]:[Importe Neto]],Imput[[C. Imp.]:[C. Imp.]],$D991,Imput[[PERIODO Imp.]:[PERIODO Imp.]],DE$9)</f>
        <v>0</v>
      </c>
      <c r="DF991" s="693">
        <f>SUMIFS(Imput[[Importe Neto]:[Importe Neto]],Imput[[C. Imp.]:[C. Imp.]],$D991,Imput[[PERIODO Imp.]:[PERIODO Imp.]],DF$9)</f>
        <v>0</v>
      </c>
      <c r="DG991" s="693">
        <f>SUMIFS(Imput[[Importe Neto]:[Importe Neto]],Imput[[C. Imp.]:[C. Imp.]],$D991,Imput[[PERIODO Imp.]:[PERIODO Imp.]],DG$9)</f>
        <v>0</v>
      </c>
      <c r="DH991" s="694">
        <f>SUMIFS(Imput[[Importe Neto]:[Importe Neto]],Imput[[C. Imp.]:[C. Imp.]],$D991,Imput[[PERIODO Imp.]:[PERIODO Imp.]],DH$9)</f>
        <v>0</v>
      </c>
    </row>
    <row r="992" spans="1:112" s="649" customFormat="1" hidden="1" outlineLevel="1" x14ac:dyDescent="0.3">
      <c r="A992" s="652" t="str">
        <f t="shared" si="347"/>
        <v/>
      </c>
      <c r="B992" s="652"/>
      <c r="C992" s="685"/>
      <c r="D992" s="686"/>
      <c r="E992" s="686"/>
      <c r="F992" s="720"/>
      <c r="G992" s="688"/>
      <c r="H992" s="689"/>
      <c r="I992" s="851" t="str">
        <f t="shared" si="348"/>
        <v/>
      </c>
      <c r="J992" s="850" t="str">
        <f t="shared" si="349"/>
        <v/>
      </c>
      <c r="K992" s="667"/>
      <c r="L992" s="858"/>
      <c r="M992" s="859"/>
      <c r="N992" s="859"/>
      <c r="O992" s="859"/>
      <c r="P992" s="859"/>
      <c r="Q992" s="859"/>
      <c r="R992" s="859"/>
      <c r="S992" s="859"/>
      <c r="T992" s="859"/>
      <c r="U992" s="859"/>
      <c r="V992" s="859"/>
      <c r="W992" s="859"/>
      <c r="X992" s="859"/>
      <c r="Y992" s="859"/>
      <c r="Z992" s="860"/>
      <c r="AA992" s="860"/>
      <c r="AB992" s="860"/>
      <c r="AC992" s="860"/>
      <c r="AD992" s="860"/>
      <c r="AE992" s="860"/>
      <c r="AF992" s="860"/>
      <c r="AG992" s="860"/>
      <c r="AH992" s="860"/>
      <c r="AI992" s="860"/>
      <c r="AJ992" s="860"/>
      <c r="AK992" s="860"/>
      <c r="AL992" s="860"/>
      <c r="AM992" s="860"/>
      <c r="AN992" s="860"/>
      <c r="AO992" s="860"/>
      <c r="AP992" s="860"/>
      <c r="AQ992" s="860"/>
      <c r="AR992" s="860"/>
      <c r="AS992" s="860"/>
      <c r="AT992" s="860"/>
      <c r="AU992" s="860"/>
      <c r="AV992" s="860"/>
      <c r="AW992" s="860"/>
      <c r="AX992" s="860"/>
      <c r="AY992" s="860"/>
      <c r="AZ992" s="860"/>
      <c r="BA992" s="860"/>
      <c r="BB992" s="860"/>
      <c r="BC992" s="860"/>
      <c r="BD992" s="860"/>
      <c r="BE992" s="860"/>
      <c r="BF992" s="860"/>
      <c r="BG992" s="860"/>
      <c r="BH992" s="668"/>
      <c r="BI992" s="667"/>
      <c r="BJ992" s="690">
        <f t="shared" si="350"/>
        <v>0</v>
      </c>
      <c r="BK992" s="691">
        <f t="shared" si="351"/>
        <v>0</v>
      </c>
      <c r="BL992" s="654"/>
      <c r="BM992" s="692">
        <f>SUMIFS(Imput[[Importe Neto]:[Importe Neto]],Imput[[C. Imp.]:[C. Imp.]],$D992,Imput[[PERIODO Imp.]:[PERIODO Imp.]],BM$9)</f>
        <v>0</v>
      </c>
      <c r="BN992" s="693">
        <f>SUMIFS(Imput[[Importe Neto]:[Importe Neto]],Imput[[C. Imp.]:[C. Imp.]],$D992,Imput[[PERIODO Imp.]:[PERIODO Imp.]],BN$9)</f>
        <v>0</v>
      </c>
      <c r="BO992" s="693">
        <f>SUMIFS(Imput[[Importe Neto]:[Importe Neto]],Imput[[C. Imp.]:[C. Imp.]],$D992,Imput[[PERIODO Imp.]:[PERIODO Imp.]],BO$9)</f>
        <v>0</v>
      </c>
      <c r="BP992" s="693">
        <f>SUMIFS(Imput[[Importe Neto]:[Importe Neto]],Imput[[C. Imp.]:[C. Imp.]],$D992,Imput[[PERIODO Imp.]:[PERIODO Imp.]],BP$9)</f>
        <v>0</v>
      </c>
      <c r="BQ992" s="693">
        <f>SUMIFS(Imput[[Importe Neto]:[Importe Neto]],Imput[[C. Imp.]:[C. Imp.]],$D992,Imput[[PERIODO Imp.]:[PERIODO Imp.]],BQ$9)</f>
        <v>0</v>
      </c>
      <c r="BR992" s="693">
        <f>SUMIFS(Imput[[Importe Neto]:[Importe Neto]],Imput[[C. Imp.]:[C. Imp.]],$D992,Imput[[PERIODO Imp.]:[PERIODO Imp.]],BR$9)</f>
        <v>0</v>
      </c>
      <c r="BS992" s="693">
        <f>SUMIFS(Imput[[Importe Neto]:[Importe Neto]],Imput[[C. Imp.]:[C. Imp.]],$D992,Imput[[PERIODO Imp.]:[PERIODO Imp.]],BS$9)</f>
        <v>0</v>
      </c>
      <c r="BT992" s="693">
        <f>SUMIFS(Imput[[Importe Neto]:[Importe Neto]],Imput[[C. Imp.]:[C. Imp.]],$D992,Imput[[PERIODO Imp.]:[PERIODO Imp.]],BT$9)</f>
        <v>0</v>
      </c>
      <c r="BU992" s="693">
        <f>SUMIFS(Imput[[Importe Neto]:[Importe Neto]],Imput[[C. Imp.]:[C. Imp.]],$D992,Imput[[PERIODO Imp.]:[PERIODO Imp.]],BU$9)</f>
        <v>0</v>
      </c>
      <c r="BV992" s="693">
        <f>SUMIFS(Imput[[Importe Neto]:[Importe Neto]],Imput[[C. Imp.]:[C. Imp.]],$D992,Imput[[PERIODO Imp.]:[PERIODO Imp.]],BV$9)</f>
        <v>0</v>
      </c>
      <c r="BW992" s="693">
        <f>SUMIFS(Imput[[Importe Neto]:[Importe Neto]],Imput[[C. Imp.]:[C. Imp.]],$D992,Imput[[PERIODO Imp.]:[PERIODO Imp.]],BW$9)</f>
        <v>0</v>
      </c>
      <c r="BX992" s="693">
        <f>SUMIFS(Imput[[Importe Neto]:[Importe Neto]],Imput[[C. Imp.]:[C. Imp.]],$D992,Imput[[PERIODO Imp.]:[PERIODO Imp.]],BX$9)</f>
        <v>0</v>
      </c>
      <c r="BY992" s="693">
        <f>SUMIFS(Imput[[Importe Neto]:[Importe Neto]],Imput[[C. Imp.]:[C. Imp.]],$D992,Imput[[PERIODO Imp.]:[PERIODO Imp.]],BY$9)</f>
        <v>0</v>
      </c>
      <c r="BZ992" s="693">
        <f>SUMIFS(Imput[[Importe Neto]:[Importe Neto]],Imput[[C. Imp.]:[C. Imp.]],$D992,Imput[[PERIODO Imp.]:[PERIODO Imp.]],BZ$9)</f>
        <v>0</v>
      </c>
      <c r="CA992" s="693">
        <f>SUMIFS(Imput[[Importe Neto]:[Importe Neto]],Imput[[C. Imp.]:[C. Imp.]],$D992,Imput[[PERIODO Imp.]:[PERIODO Imp.]],CA$9)</f>
        <v>0</v>
      </c>
      <c r="CB992" s="693">
        <f>SUMIFS(Imput[[Importe Neto]:[Importe Neto]],Imput[[C. Imp.]:[C. Imp.]],$D992,Imput[[PERIODO Imp.]:[PERIODO Imp.]],CB$9)</f>
        <v>0</v>
      </c>
      <c r="CC992" s="693">
        <f>SUMIFS(Imput[[Importe Neto]:[Importe Neto]],Imput[[C. Imp.]:[C. Imp.]],$D992,Imput[[PERIODO Imp.]:[PERIODO Imp.]],CC$9)</f>
        <v>0</v>
      </c>
      <c r="CD992" s="693">
        <f>SUMIFS(Imput[[Importe Neto]:[Importe Neto]],Imput[[C. Imp.]:[C. Imp.]],$D992,Imput[[PERIODO Imp.]:[PERIODO Imp.]],CD$9)</f>
        <v>0</v>
      </c>
      <c r="CE992" s="693">
        <f>SUMIFS(Imput[[Importe Neto]:[Importe Neto]],Imput[[C. Imp.]:[C. Imp.]],$D992,Imput[[PERIODO Imp.]:[PERIODO Imp.]],CE$9)</f>
        <v>0</v>
      </c>
      <c r="CF992" s="693">
        <f>SUMIFS(Imput[[Importe Neto]:[Importe Neto]],Imput[[C. Imp.]:[C. Imp.]],$D992,Imput[[PERIODO Imp.]:[PERIODO Imp.]],CF$9)</f>
        <v>0</v>
      </c>
      <c r="CG992" s="693">
        <f>SUMIFS(Imput[[Importe Neto]:[Importe Neto]],Imput[[C. Imp.]:[C. Imp.]],$D992,Imput[[PERIODO Imp.]:[PERIODO Imp.]],CG$9)</f>
        <v>0</v>
      </c>
      <c r="CH992" s="693">
        <f>SUMIFS(Imput[[Importe Neto]:[Importe Neto]],Imput[[C. Imp.]:[C. Imp.]],$D992,Imput[[PERIODO Imp.]:[PERIODO Imp.]],CH$9)</f>
        <v>0</v>
      </c>
      <c r="CI992" s="693">
        <f>SUMIFS(Imput[[Importe Neto]:[Importe Neto]],Imput[[C. Imp.]:[C. Imp.]],$D992,Imput[[PERIODO Imp.]:[PERIODO Imp.]],CI$9)</f>
        <v>0</v>
      </c>
      <c r="CJ992" s="693">
        <f>SUMIFS(Imput[[Importe Neto]:[Importe Neto]],Imput[[C. Imp.]:[C. Imp.]],$D992,Imput[[PERIODO Imp.]:[PERIODO Imp.]],CJ$9)</f>
        <v>0</v>
      </c>
      <c r="CK992" s="693">
        <f>SUMIFS(Imput[[Importe Neto]:[Importe Neto]],Imput[[C. Imp.]:[C. Imp.]],$D992,Imput[[PERIODO Imp.]:[PERIODO Imp.]],CK$9)</f>
        <v>0</v>
      </c>
      <c r="CL992" s="693">
        <f>SUMIFS(Imput[[Importe Neto]:[Importe Neto]],Imput[[C. Imp.]:[C. Imp.]],$D992,Imput[[PERIODO Imp.]:[PERIODO Imp.]],CL$9)</f>
        <v>0</v>
      </c>
      <c r="CM992" s="693">
        <f>SUMIFS(Imput[[Importe Neto]:[Importe Neto]],Imput[[C. Imp.]:[C. Imp.]],$D992,Imput[[PERIODO Imp.]:[PERIODO Imp.]],CM$9)</f>
        <v>0</v>
      </c>
      <c r="CN992" s="693">
        <f>SUMIFS(Imput[[Importe Neto]:[Importe Neto]],Imput[[C. Imp.]:[C. Imp.]],$D992,Imput[[PERIODO Imp.]:[PERIODO Imp.]],CN$9)</f>
        <v>0</v>
      </c>
      <c r="CO992" s="693">
        <f>SUMIFS(Imput[[Importe Neto]:[Importe Neto]],Imput[[C. Imp.]:[C. Imp.]],$D992,Imput[[PERIODO Imp.]:[PERIODO Imp.]],CO$9)</f>
        <v>0</v>
      </c>
      <c r="CP992" s="693">
        <f>SUMIFS(Imput[[Importe Neto]:[Importe Neto]],Imput[[C. Imp.]:[C. Imp.]],$D992,Imput[[PERIODO Imp.]:[PERIODO Imp.]],CP$9)</f>
        <v>0</v>
      </c>
      <c r="CQ992" s="693">
        <f>SUMIFS(Imput[[Importe Neto]:[Importe Neto]],Imput[[C. Imp.]:[C. Imp.]],$D992,Imput[[PERIODO Imp.]:[PERIODO Imp.]],CQ$9)</f>
        <v>0</v>
      </c>
      <c r="CR992" s="693">
        <f>SUMIFS(Imput[[Importe Neto]:[Importe Neto]],Imput[[C. Imp.]:[C. Imp.]],$D992,Imput[[PERIODO Imp.]:[PERIODO Imp.]],CR$9)</f>
        <v>0</v>
      </c>
      <c r="CS992" s="693">
        <f>SUMIFS(Imput[[Importe Neto]:[Importe Neto]],Imput[[C. Imp.]:[C. Imp.]],$D992,Imput[[PERIODO Imp.]:[PERIODO Imp.]],CS$9)</f>
        <v>0</v>
      </c>
      <c r="CT992" s="693">
        <f>SUMIFS(Imput[[Importe Neto]:[Importe Neto]],Imput[[C. Imp.]:[C. Imp.]],$D992,Imput[[PERIODO Imp.]:[PERIODO Imp.]],CT$9)</f>
        <v>0</v>
      </c>
      <c r="CU992" s="693">
        <f>SUMIFS(Imput[[Importe Neto]:[Importe Neto]],Imput[[C. Imp.]:[C. Imp.]],$D992,Imput[[PERIODO Imp.]:[PERIODO Imp.]],CU$9)</f>
        <v>0</v>
      </c>
      <c r="CV992" s="693">
        <f>SUMIFS(Imput[[Importe Neto]:[Importe Neto]],Imput[[C. Imp.]:[C. Imp.]],$D992,Imput[[PERIODO Imp.]:[PERIODO Imp.]],CV$9)</f>
        <v>0</v>
      </c>
      <c r="CW992" s="693">
        <f>SUMIFS(Imput[[Importe Neto]:[Importe Neto]],Imput[[C. Imp.]:[C. Imp.]],$D992,Imput[[PERIODO Imp.]:[PERIODO Imp.]],CW$9)</f>
        <v>0</v>
      </c>
      <c r="CX992" s="693">
        <f>SUMIFS(Imput[[Importe Neto]:[Importe Neto]],Imput[[C. Imp.]:[C. Imp.]],$D992,Imput[[PERIODO Imp.]:[PERIODO Imp.]],CX$9)</f>
        <v>0</v>
      </c>
      <c r="CY992" s="693">
        <f>SUMIFS(Imput[[Importe Neto]:[Importe Neto]],Imput[[C. Imp.]:[C. Imp.]],$D992,Imput[[PERIODO Imp.]:[PERIODO Imp.]],CY$9)</f>
        <v>0</v>
      </c>
      <c r="CZ992" s="693">
        <f>SUMIFS(Imput[[Importe Neto]:[Importe Neto]],Imput[[C. Imp.]:[C. Imp.]],$D992,Imput[[PERIODO Imp.]:[PERIODO Imp.]],CZ$9)</f>
        <v>0</v>
      </c>
      <c r="DA992" s="693">
        <f>SUMIFS(Imput[[Importe Neto]:[Importe Neto]],Imput[[C. Imp.]:[C. Imp.]],$D992,Imput[[PERIODO Imp.]:[PERIODO Imp.]],DA$9)</f>
        <v>0</v>
      </c>
      <c r="DB992" s="693">
        <f>SUMIFS(Imput[[Importe Neto]:[Importe Neto]],Imput[[C. Imp.]:[C. Imp.]],$D992,Imput[[PERIODO Imp.]:[PERIODO Imp.]],DB$9)</f>
        <v>0</v>
      </c>
      <c r="DC992" s="693">
        <f>SUMIFS(Imput[[Importe Neto]:[Importe Neto]],Imput[[C. Imp.]:[C. Imp.]],$D992,Imput[[PERIODO Imp.]:[PERIODO Imp.]],DC$9)</f>
        <v>0</v>
      </c>
      <c r="DD992" s="693">
        <f>SUMIFS(Imput[[Importe Neto]:[Importe Neto]],Imput[[C. Imp.]:[C. Imp.]],$D992,Imput[[PERIODO Imp.]:[PERIODO Imp.]],DD$9)</f>
        <v>0</v>
      </c>
      <c r="DE992" s="693">
        <f>SUMIFS(Imput[[Importe Neto]:[Importe Neto]],Imput[[C. Imp.]:[C. Imp.]],$D992,Imput[[PERIODO Imp.]:[PERIODO Imp.]],DE$9)</f>
        <v>0</v>
      </c>
      <c r="DF992" s="693">
        <f>SUMIFS(Imput[[Importe Neto]:[Importe Neto]],Imput[[C. Imp.]:[C. Imp.]],$D992,Imput[[PERIODO Imp.]:[PERIODO Imp.]],DF$9)</f>
        <v>0</v>
      </c>
      <c r="DG992" s="693">
        <f>SUMIFS(Imput[[Importe Neto]:[Importe Neto]],Imput[[C. Imp.]:[C. Imp.]],$D992,Imput[[PERIODO Imp.]:[PERIODO Imp.]],DG$9)</f>
        <v>0</v>
      </c>
      <c r="DH992" s="694">
        <f>SUMIFS(Imput[[Importe Neto]:[Importe Neto]],Imput[[C. Imp.]:[C. Imp.]],$D992,Imput[[PERIODO Imp.]:[PERIODO Imp.]],DH$9)</f>
        <v>0</v>
      </c>
    </row>
    <row r="993" spans="1:112" s="649" customFormat="1" hidden="1" outlineLevel="1" x14ac:dyDescent="0.3">
      <c r="A993" s="652" t="str">
        <f t="shared" si="347"/>
        <v/>
      </c>
      <c r="B993" s="652"/>
      <c r="C993" s="685"/>
      <c r="D993" s="686"/>
      <c r="E993" s="686"/>
      <c r="F993" s="720"/>
      <c r="G993" s="688"/>
      <c r="H993" s="689"/>
      <c r="I993" s="851" t="str">
        <f t="shared" si="348"/>
        <v/>
      </c>
      <c r="J993" s="850" t="str">
        <f t="shared" si="349"/>
        <v/>
      </c>
      <c r="K993" s="667"/>
      <c r="L993" s="858"/>
      <c r="M993" s="859"/>
      <c r="N993" s="859"/>
      <c r="O993" s="859"/>
      <c r="P993" s="859"/>
      <c r="Q993" s="859"/>
      <c r="R993" s="859"/>
      <c r="S993" s="859"/>
      <c r="T993" s="859"/>
      <c r="U993" s="859"/>
      <c r="V993" s="859"/>
      <c r="W993" s="859"/>
      <c r="X993" s="859"/>
      <c r="Y993" s="859"/>
      <c r="Z993" s="860"/>
      <c r="AA993" s="860"/>
      <c r="AB993" s="860"/>
      <c r="AC993" s="860"/>
      <c r="AD993" s="860"/>
      <c r="AE993" s="860"/>
      <c r="AF993" s="860"/>
      <c r="AG993" s="860"/>
      <c r="AH993" s="860"/>
      <c r="AI993" s="860"/>
      <c r="AJ993" s="860"/>
      <c r="AK993" s="860"/>
      <c r="AL993" s="860"/>
      <c r="AM993" s="860"/>
      <c r="AN993" s="860"/>
      <c r="AO993" s="860"/>
      <c r="AP993" s="860"/>
      <c r="AQ993" s="860"/>
      <c r="AR993" s="860"/>
      <c r="AS993" s="860"/>
      <c r="AT993" s="860"/>
      <c r="AU993" s="860"/>
      <c r="AV993" s="860"/>
      <c r="AW993" s="860"/>
      <c r="AX993" s="860"/>
      <c r="AY993" s="860"/>
      <c r="AZ993" s="860"/>
      <c r="BA993" s="860"/>
      <c r="BB993" s="860"/>
      <c r="BC993" s="860"/>
      <c r="BD993" s="860"/>
      <c r="BE993" s="860"/>
      <c r="BF993" s="860"/>
      <c r="BG993" s="860"/>
      <c r="BH993" s="780"/>
      <c r="BI993" s="654"/>
      <c r="BJ993" s="690">
        <f t="shared" si="350"/>
        <v>0</v>
      </c>
      <c r="BK993" s="691">
        <f t="shared" si="351"/>
        <v>0</v>
      </c>
      <c r="BL993" s="654"/>
      <c r="BM993" s="692">
        <f>SUMIFS(Imput[[Importe Neto]:[Importe Neto]],Imput[[C. Imp.]:[C. Imp.]],$D993,Imput[[PERIODO Imp.]:[PERIODO Imp.]],BM$9)</f>
        <v>0</v>
      </c>
      <c r="BN993" s="693">
        <f>SUMIFS(Imput[[Importe Neto]:[Importe Neto]],Imput[[C. Imp.]:[C. Imp.]],$D993,Imput[[PERIODO Imp.]:[PERIODO Imp.]],BN$9)</f>
        <v>0</v>
      </c>
      <c r="BO993" s="693">
        <f>SUMIFS(Imput[[Importe Neto]:[Importe Neto]],Imput[[C. Imp.]:[C. Imp.]],$D993,Imput[[PERIODO Imp.]:[PERIODO Imp.]],BO$9)</f>
        <v>0</v>
      </c>
      <c r="BP993" s="693">
        <f>SUMIFS(Imput[[Importe Neto]:[Importe Neto]],Imput[[C. Imp.]:[C. Imp.]],$D993,Imput[[PERIODO Imp.]:[PERIODO Imp.]],BP$9)</f>
        <v>0</v>
      </c>
      <c r="BQ993" s="693">
        <f>SUMIFS(Imput[[Importe Neto]:[Importe Neto]],Imput[[C. Imp.]:[C. Imp.]],$D993,Imput[[PERIODO Imp.]:[PERIODO Imp.]],BQ$9)</f>
        <v>0</v>
      </c>
      <c r="BR993" s="693">
        <f>SUMIFS(Imput[[Importe Neto]:[Importe Neto]],Imput[[C. Imp.]:[C. Imp.]],$D993,Imput[[PERIODO Imp.]:[PERIODO Imp.]],BR$9)</f>
        <v>0</v>
      </c>
      <c r="BS993" s="693">
        <f>SUMIFS(Imput[[Importe Neto]:[Importe Neto]],Imput[[C. Imp.]:[C. Imp.]],$D993,Imput[[PERIODO Imp.]:[PERIODO Imp.]],BS$9)</f>
        <v>0</v>
      </c>
      <c r="BT993" s="693">
        <f>SUMIFS(Imput[[Importe Neto]:[Importe Neto]],Imput[[C. Imp.]:[C. Imp.]],$D993,Imput[[PERIODO Imp.]:[PERIODO Imp.]],BT$9)</f>
        <v>0</v>
      </c>
      <c r="BU993" s="693">
        <f>SUMIFS(Imput[[Importe Neto]:[Importe Neto]],Imput[[C. Imp.]:[C. Imp.]],$D993,Imput[[PERIODO Imp.]:[PERIODO Imp.]],BU$9)</f>
        <v>0</v>
      </c>
      <c r="BV993" s="693">
        <f>SUMIFS(Imput[[Importe Neto]:[Importe Neto]],Imput[[C. Imp.]:[C. Imp.]],$D993,Imput[[PERIODO Imp.]:[PERIODO Imp.]],BV$9)</f>
        <v>0</v>
      </c>
      <c r="BW993" s="693">
        <f>SUMIFS(Imput[[Importe Neto]:[Importe Neto]],Imput[[C. Imp.]:[C. Imp.]],$D993,Imput[[PERIODO Imp.]:[PERIODO Imp.]],BW$9)</f>
        <v>0</v>
      </c>
      <c r="BX993" s="693">
        <f>SUMIFS(Imput[[Importe Neto]:[Importe Neto]],Imput[[C. Imp.]:[C. Imp.]],$D993,Imput[[PERIODO Imp.]:[PERIODO Imp.]],BX$9)</f>
        <v>0</v>
      </c>
      <c r="BY993" s="693">
        <f>SUMIFS(Imput[[Importe Neto]:[Importe Neto]],Imput[[C. Imp.]:[C. Imp.]],$D993,Imput[[PERIODO Imp.]:[PERIODO Imp.]],BY$9)</f>
        <v>0</v>
      </c>
      <c r="BZ993" s="693">
        <f>SUMIFS(Imput[[Importe Neto]:[Importe Neto]],Imput[[C. Imp.]:[C. Imp.]],$D993,Imput[[PERIODO Imp.]:[PERIODO Imp.]],BZ$9)</f>
        <v>0</v>
      </c>
      <c r="CA993" s="693">
        <f>SUMIFS(Imput[[Importe Neto]:[Importe Neto]],Imput[[C. Imp.]:[C. Imp.]],$D993,Imput[[PERIODO Imp.]:[PERIODO Imp.]],CA$9)</f>
        <v>0</v>
      </c>
      <c r="CB993" s="693">
        <f>SUMIFS(Imput[[Importe Neto]:[Importe Neto]],Imput[[C. Imp.]:[C. Imp.]],$D993,Imput[[PERIODO Imp.]:[PERIODO Imp.]],CB$9)</f>
        <v>0</v>
      </c>
      <c r="CC993" s="693">
        <f>SUMIFS(Imput[[Importe Neto]:[Importe Neto]],Imput[[C. Imp.]:[C. Imp.]],$D993,Imput[[PERIODO Imp.]:[PERIODO Imp.]],CC$9)</f>
        <v>0</v>
      </c>
      <c r="CD993" s="693">
        <f>SUMIFS(Imput[[Importe Neto]:[Importe Neto]],Imput[[C. Imp.]:[C. Imp.]],$D993,Imput[[PERIODO Imp.]:[PERIODO Imp.]],CD$9)</f>
        <v>0</v>
      </c>
      <c r="CE993" s="693">
        <f>SUMIFS(Imput[[Importe Neto]:[Importe Neto]],Imput[[C. Imp.]:[C. Imp.]],$D993,Imput[[PERIODO Imp.]:[PERIODO Imp.]],CE$9)</f>
        <v>0</v>
      </c>
      <c r="CF993" s="693">
        <f>SUMIFS(Imput[[Importe Neto]:[Importe Neto]],Imput[[C. Imp.]:[C. Imp.]],$D993,Imput[[PERIODO Imp.]:[PERIODO Imp.]],CF$9)</f>
        <v>0</v>
      </c>
      <c r="CG993" s="693">
        <f>SUMIFS(Imput[[Importe Neto]:[Importe Neto]],Imput[[C. Imp.]:[C. Imp.]],$D993,Imput[[PERIODO Imp.]:[PERIODO Imp.]],CG$9)</f>
        <v>0</v>
      </c>
      <c r="CH993" s="693">
        <f>SUMIFS(Imput[[Importe Neto]:[Importe Neto]],Imput[[C. Imp.]:[C. Imp.]],$D993,Imput[[PERIODO Imp.]:[PERIODO Imp.]],CH$9)</f>
        <v>0</v>
      </c>
      <c r="CI993" s="693">
        <f>SUMIFS(Imput[[Importe Neto]:[Importe Neto]],Imput[[C. Imp.]:[C. Imp.]],$D993,Imput[[PERIODO Imp.]:[PERIODO Imp.]],CI$9)</f>
        <v>0</v>
      </c>
      <c r="CJ993" s="693">
        <f>SUMIFS(Imput[[Importe Neto]:[Importe Neto]],Imput[[C. Imp.]:[C. Imp.]],$D993,Imput[[PERIODO Imp.]:[PERIODO Imp.]],CJ$9)</f>
        <v>0</v>
      </c>
      <c r="CK993" s="693">
        <f>SUMIFS(Imput[[Importe Neto]:[Importe Neto]],Imput[[C. Imp.]:[C. Imp.]],$D993,Imput[[PERIODO Imp.]:[PERIODO Imp.]],CK$9)</f>
        <v>0</v>
      </c>
      <c r="CL993" s="693">
        <f>SUMIFS(Imput[[Importe Neto]:[Importe Neto]],Imput[[C. Imp.]:[C. Imp.]],$D993,Imput[[PERIODO Imp.]:[PERIODO Imp.]],CL$9)</f>
        <v>0</v>
      </c>
      <c r="CM993" s="693">
        <f>SUMIFS(Imput[[Importe Neto]:[Importe Neto]],Imput[[C. Imp.]:[C. Imp.]],$D993,Imput[[PERIODO Imp.]:[PERIODO Imp.]],CM$9)</f>
        <v>0</v>
      </c>
      <c r="CN993" s="693">
        <f>SUMIFS(Imput[[Importe Neto]:[Importe Neto]],Imput[[C. Imp.]:[C. Imp.]],$D993,Imput[[PERIODO Imp.]:[PERIODO Imp.]],CN$9)</f>
        <v>0</v>
      </c>
      <c r="CO993" s="693">
        <f>SUMIFS(Imput[[Importe Neto]:[Importe Neto]],Imput[[C. Imp.]:[C. Imp.]],$D993,Imput[[PERIODO Imp.]:[PERIODO Imp.]],CO$9)</f>
        <v>0</v>
      </c>
      <c r="CP993" s="693">
        <f>SUMIFS(Imput[[Importe Neto]:[Importe Neto]],Imput[[C. Imp.]:[C. Imp.]],$D993,Imput[[PERIODO Imp.]:[PERIODO Imp.]],CP$9)</f>
        <v>0</v>
      </c>
      <c r="CQ993" s="693">
        <f>SUMIFS(Imput[[Importe Neto]:[Importe Neto]],Imput[[C. Imp.]:[C. Imp.]],$D993,Imput[[PERIODO Imp.]:[PERIODO Imp.]],CQ$9)</f>
        <v>0</v>
      </c>
      <c r="CR993" s="693">
        <f>SUMIFS(Imput[[Importe Neto]:[Importe Neto]],Imput[[C. Imp.]:[C. Imp.]],$D993,Imput[[PERIODO Imp.]:[PERIODO Imp.]],CR$9)</f>
        <v>0</v>
      </c>
      <c r="CS993" s="693">
        <f>SUMIFS(Imput[[Importe Neto]:[Importe Neto]],Imput[[C. Imp.]:[C. Imp.]],$D993,Imput[[PERIODO Imp.]:[PERIODO Imp.]],CS$9)</f>
        <v>0</v>
      </c>
      <c r="CT993" s="693">
        <f>SUMIFS(Imput[[Importe Neto]:[Importe Neto]],Imput[[C. Imp.]:[C. Imp.]],$D993,Imput[[PERIODO Imp.]:[PERIODO Imp.]],CT$9)</f>
        <v>0</v>
      </c>
      <c r="CU993" s="693">
        <f>SUMIFS(Imput[[Importe Neto]:[Importe Neto]],Imput[[C. Imp.]:[C. Imp.]],$D993,Imput[[PERIODO Imp.]:[PERIODO Imp.]],CU$9)</f>
        <v>0</v>
      </c>
      <c r="CV993" s="693">
        <f>SUMIFS(Imput[[Importe Neto]:[Importe Neto]],Imput[[C. Imp.]:[C. Imp.]],$D993,Imput[[PERIODO Imp.]:[PERIODO Imp.]],CV$9)</f>
        <v>0</v>
      </c>
      <c r="CW993" s="693">
        <f>SUMIFS(Imput[[Importe Neto]:[Importe Neto]],Imput[[C. Imp.]:[C. Imp.]],$D993,Imput[[PERIODO Imp.]:[PERIODO Imp.]],CW$9)</f>
        <v>0</v>
      </c>
      <c r="CX993" s="693">
        <f>SUMIFS(Imput[[Importe Neto]:[Importe Neto]],Imput[[C. Imp.]:[C. Imp.]],$D993,Imput[[PERIODO Imp.]:[PERIODO Imp.]],CX$9)</f>
        <v>0</v>
      </c>
      <c r="CY993" s="693">
        <f>SUMIFS(Imput[[Importe Neto]:[Importe Neto]],Imput[[C. Imp.]:[C. Imp.]],$D993,Imput[[PERIODO Imp.]:[PERIODO Imp.]],CY$9)</f>
        <v>0</v>
      </c>
      <c r="CZ993" s="693">
        <f>SUMIFS(Imput[[Importe Neto]:[Importe Neto]],Imput[[C. Imp.]:[C. Imp.]],$D993,Imput[[PERIODO Imp.]:[PERIODO Imp.]],CZ$9)</f>
        <v>0</v>
      </c>
      <c r="DA993" s="693">
        <f>SUMIFS(Imput[[Importe Neto]:[Importe Neto]],Imput[[C. Imp.]:[C. Imp.]],$D993,Imput[[PERIODO Imp.]:[PERIODO Imp.]],DA$9)</f>
        <v>0</v>
      </c>
      <c r="DB993" s="693">
        <f>SUMIFS(Imput[[Importe Neto]:[Importe Neto]],Imput[[C. Imp.]:[C. Imp.]],$D993,Imput[[PERIODO Imp.]:[PERIODO Imp.]],DB$9)</f>
        <v>0</v>
      </c>
      <c r="DC993" s="693">
        <f>SUMIFS(Imput[[Importe Neto]:[Importe Neto]],Imput[[C. Imp.]:[C. Imp.]],$D993,Imput[[PERIODO Imp.]:[PERIODO Imp.]],DC$9)</f>
        <v>0</v>
      </c>
      <c r="DD993" s="693">
        <f>SUMIFS(Imput[[Importe Neto]:[Importe Neto]],Imput[[C. Imp.]:[C. Imp.]],$D993,Imput[[PERIODO Imp.]:[PERIODO Imp.]],DD$9)</f>
        <v>0</v>
      </c>
      <c r="DE993" s="693">
        <f>SUMIFS(Imput[[Importe Neto]:[Importe Neto]],Imput[[C. Imp.]:[C. Imp.]],$D993,Imput[[PERIODO Imp.]:[PERIODO Imp.]],DE$9)</f>
        <v>0</v>
      </c>
      <c r="DF993" s="693">
        <f>SUMIFS(Imput[[Importe Neto]:[Importe Neto]],Imput[[C. Imp.]:[C. Imp.]],$D993,Imput[[PERIODO Imp.]:[PERIODO Imp.]],DF$9)</f>
        <v>0</v>
      </c>
      <c r="DG993" s="693">
        <f>SUMIFS(Imput[[Importe Neto]:[Importe Neto]],Imput[[C. Imp.]:[C. Imp.]],$D993,Imput[[PERIODO Imp.]:[PERIODO Imp.]],DG$9)</f>
        <v>0</v>
      </c>
      <c r="DH993" s="694">
        <f>SUMIFS(Imput[[Importe Neto]:[Importe Neto]],Imput[[C. Imp.]:[C. Imp.]],$D993,Imput[[PERIODO Imp.]:[PERIODO Imp.]],DH$9)</f>
        <v>0</v>
      </c>
    </row>
    <row r="994" spans="1:112" s="649" customFormat="1" hidden="1" outlineLevel="1" x14ac:dyDescent="0.3">
      <c r="A994" s="652" t="str">
        <f t="shared" si="347"/>
        <v/>
      </c>
      <c r="B994" s="652"/>
      <c r="C994" s="685"/>
      <c r="D994" s="686"/>
      <c r="E994" s="686"/>
      <c r="F994" s="720"/>
      <c r="G994" s="688"/>
      <c r="H994" s="689"/>
      <c r="I994" s="851" t="str">
        <f t="shared" si="348"/>
        <v/>
      </c>
      <c r="J994" s="850" t="str">
        <f t="shared" si="349"/>
        <v/>
      </c>
      <c r="K994" s="678"/>
      <c r="L994" s="858"/>
      <c r="M994" s="859"/>
      <c r="N994" s="859"/>
      <c r="O994" s="859"/>
      <c r="P994" s="859"/>
      <c r="Q994" s="859"/>
      <c r="R994" s="859"/>
      <c r="S994" s="859"/>
      <c r="T994" s="859"/>
      <c r="U994" s="859"/>
      <c r="V994" s="859"/>
      <c r="W994" s="859"/>
      <c r="X994" s="859"/>
      <c r="Y994" s="859"/>
      <c r="Z994" s="860"/>
      <c r="AA994" s="860"/>
      <c r="AB994" s="860"/>
      <c r="AC994" s="860"/>
      <c r="AD994" s="860"/>
      <c r="AE994" s="860"/>
      <c r="AF994" s="860"/>
      <c r="AG994" s="860"/>
      <c r="AH994" s="860"/>
      <c r="AI994" s="860"/>
      <c r="AJ994" s="860"/>
      <c r="AK994" s="860"/>
      <c r="AL994" s="860"/>
      <c r="AM994" s="860"/>
      <c r="AN994" s="860"/>
      <c r="AO994" s="860"/>
      <c r="AP994" s="860"/>
      <c r="AQ994" s="860"/>
      <c r="AR994" s="860"/>
      <c r="AS994" s="860"/>
      <c r="AT994" s="860"/>
      <c r="AU994" s="860"/>
      <c r="AV994" s="860"/>
      <c r="AW994" s="860"/>
      <c r="AX994" s="860"/>
      <c r="AY994" s="860"/>
      <c r="AZ994" s="860"/>
      <c r="BA994" s="860"/>
      <c r="BB994" s="860"/>
      <c r="BC994" s="860"/>
      <c r="BD994" s="860"/>
      <c r="BE994" s="860"/>
      <c r="BF994" s="860"/>
      <c r="BG994" s="860"/>
      <c r="BH994" s="668"/>
      <c r="BI994" s="654"/>
      <c r="BJ994" s="690">
        <f t="shared" si="350"/>
        <v>0</v>
      </c>
      <c r="BK994" s="691">
        <f t="shared" si="351"/>
        <v>0</v>
      </c>
      <c r="BL994" s="654"/>
      <c r="BM994" s="692">
        <f>SUMIFS(Imput[[Importe Neto]:[Importe Neto]],Imput[[C. Imp.]:[C. Imp.]],$D994,Imput[[PERIODO Imp.]:[PERIODO Imp.]],BM$9)</f>
        <v>0</v>
      </c>
      <c r="BN994" s="693">
        <f>SUMIFS(Imput[[Importe Neto]:[Importe Neto]],Imput[[C. Imp.]:[C. Imp.]],$D994,Imput[[PERIODO Imp.]:[PERIODO Imp.]],BN$9)</f>
        <v>0</v>
      </c>
      <c r="BO994" s="693">
        <f>SUMIFS(Imput[[Importe Neto]:[Importe Neto]],Imput[[C. Imp.]:[C. Imp.]],$D994,Imput[[PERIODO Imp.]:[PERIODO Imp.]],BO$9)</f>
        <v>0</v>
      </c>
      <c r="BP994" s="693">
        <f>SUMIFS(Imput[[Importe Neto]:[Importe Neto]],Imput[[C. Imp.]:[C. Imp.]],$D994,Imput[[PERIODO Imp.]:[PERIODO Imp.]],BP$9)</f>
        <v>0</v>
      </c>
      <c r="BQ994" s="693">
        <f>SUMIFS(Imput[[Importe Neto]:[Importe Neto]],Imput[[C. Imp.]:[C. Imp.]],$D994,Imput[[PERIODO Imp.]:[PERIODO Imp.]],BQ$9)</f>
        <v>0</v>
      </c>
      <c r="BR994" s="693">
        <f>SUMIFS(Imput[[Importe Neto]:[Importe Neto]],Imput[[C. Imp.]:[C. Imp.]],$D994,Imput[[PERIODO Imp.]:[PERIODO Imp.]],BR$9)</f>
        <v>0</v>
      </c>
      <c r="BS994" s="693">
        <f>SUMIFS(Imput[[Importe Neto]:[Importe Neto]],Imput[[C. Imp.]:[C. Imp.]],$D994,Imput[[PERIODO Imp.]:[PERIODO Imp.]],BS$9)</f>
        <v>0</v>
      </c>
      <c r="BT994" s="693">
        <f>SUMIFS(Imput[[Importe Neto]:[Importe Neto]],Imput[[C. Imp.]:[C. Imp.]],$D994,Imput[[PERIODO Imp.]:[PERIODO Imp.]],BT$9)</f>
        <v>0</v>
      </c>
      <c r="BU994" s="693">
        <f>SUMIFS(Imput[[Importe Neto]:[Importe Neto]],Imput[[C. Imp.]:[C. Imp.]],$D994,Imput[[PERIODO Imp.]:[PERIODO Imp.]],BU$9)</f>
        <v>0</v>
      </c>
      <c r="BV994" s="693">
        <f>SUMIFS(Imput[[Importe Neto]:[Importe Neto]],Imput[[C. Imp.]:[C. Imp.]],$D994,Imput[[PERIODO Imp.]:[PERIODO Imp.]],BV$9)</f>
        <v>0</v>
      </c>
      <c r="BW994" s="693">
        <f>SUMIFS(Imput[[Importe Neto]:[Importe Neto]],Imput[[C. Imp.]:[C. Imp.]],$D994,Imput[[PERIODO Imp.]:[PERIODO Imp.]],BW$9)</f>
        <v>0</v>
      </c>
      <c r="BX994" s="693">
        <f>SUMIFS(Imput[[Importe Neto]:[Importe Neto]],Imput[[C. Imp.]:[C. Imp.]],$D994,Imput[[PERIODO Imp.]:[PERIODO Imp.]],BX$9)</f>
        <v>0</v>
      </c>
      <c r="BY994" s="693">
        <f>SUMIFS(Imput[[Importe Neto]:[Importe Neto]],Imput[[C. Imp.]:[C. Imp.]],$D994,Imput[[PERIODO Imp.]:[PERIODO Imp.]],BY$9)</f>
        <v>0</v>
      </c>
      <c r="BZ994" s="693">
        <f>SUMIFS(Imput[[Importe Neto]:[Importe Neto]],Imput[[C. Imp.]:[C. Imp.]],$D994,Imput[[PERIODO Imp.]:[PERIODO Imp.]],BZ$9)</f>
        <v>0</v>
      </c>
      <c r="CA994" s="693">
        <f>SUMIFS(Imput[[Importe Neto]:[Importe Neto]],Imput[[C. Imp.]:[C. Imp.]],$D994,Imput[[PERIODO Imp.]:[PERIODO Imp.]],CA$9)</f>
        <v>0</v>
      </c>
      <c r="CB994" s="693">
        <f>SUMIFS(Imput[[Importe Neto]:[Importe Neto]],Imput[[C. Imp.]:[C. Imp.]],$D994,Imput[[PERIODO Imp.]:[PERIODO Imp.]],CB$9)</f>
        <v>0</v>
      </c>
      <c r="CC994" s="693">
        <f>SUMIFS(Imput[[Importe Neto]:[Importe Neto]],Imput[[C. Imp.]:[C. Imp.]],$D994,Imput[[PERIODO Imp.]:[PERIODO Imp.]],CC$9)</f>
        <v>0</v>
      </c>
      <c r="CD994" s="693">
        <f>SUMIFS(Imput[[Importe Neto]:[Importe Neto]],Imput[[C. Imp.]:[C. Imp.]],$D994,Imput[[PERIODO Imp.]:[PERIODO Imp.]],CD$9)</f>
        <v>0</v>
      </c>
      <c r="CE994" s="693">
        <f>SUMIFS(Imput[[Importe Neto]:[Importe Neto]],Imput[[C. Imp.]:[C. Imp.]],$D994,Imput[[PERIODO Imp.]:[PERIODO Imp.]],CE$9)</f>
        <v>0</v>
      </c>
      <c r="CF994" s="693">
        <f>SUMIFS(Imput[[Importe Neto]:[Importe Neto]],Imput[[C. Imp.]:[C. Imp.]],$D994,Imput[[PERIODO Imp.]:[PERIODO Imp.]],CF$9)</f>
        <v>0</v>
      </c>
      <c r="CG994" s="693">
        <f>SUMIFS(Imput[[Importe Neto]:[Importe Neto]],Imput[[C. Imp.]:[C. Imp.]],$D994,Imput[[PERIODO Imp.]:[PERIODO Imp.]],CG$9)</f>
        <v>0</v>
      </c>
      <c r="CH994" s="693">
        <f>SUMIFS(Imput[[Importe Neto]:[Importe Neto]],Imput[[C. Imp.]:[C. Imp.]],$D994,Imput[[PERIODO Imp.]:[PERIODO Imp.]],CH$9)</f>
        <v>0</v>
      </c>
      <c r="CI994" s="693">
        <f>SUMIFS(Imput[[Importe Neto]:[Importe Neto]],Imput[[C. Imp.]:[C. Imp.]],$D994,Imput[[PERIODO Imp.]:[PERIODO Imp.]],CI$9)</f>
        <v>0</v>
      </c>
      <c r="CJ994" s="693">
        <f>SUMIFS(Imput[[Importe Neto]:[Importe Neto]],Imput[[C. Imp.]:[C. Imp.]],$D994,Imput[[PERIODO Imp.]:[PERIODO Imp.]],CJ$9)</f>
        <v>0</v>
      </c>
      <c r="CK994" s="693">
        <f>SUMIFS(Imput[[Importe Neto]:[Importe Neto]],Imput[[C. Imp.]:[C. Imp.]],$D994,Imput[[PERIODO Imp.]:[PERIODO Imp.]],CK$9)</f>
        <v>0</v>
      </c>
      <c r="CL994" s="693">
        <f>SUMIFS(Imput[[Importe Neto]:[Importe Neto]],Imput[[C. Imp.]:[C. Imp.]],$D994,Imput[[PERIODO Imp.]:[PERIODO Imp.]],CL$9)</f>
        <v>0</v>
      </c>
      <c r="CM994" s="693">
        <f>SUMIFS(Imput[[Importe Neto]:[Importe Neto]],Imput[[C. Imp.]:[C. Imp.]],$D994,Imput[[PERIODO Imp.]:[PERIODO Imp.]],CM$9)</f>
        <v>0</v>
      </c>
      <c r="CN994" s="693">
        <f>SUMIFS(Imput[[Importe Neto]:[Importe Neto]],Imput[[C. Imp.]:[C. Imp.]],$D994,Imput[[PERIODO Imp.]:[PERIODO Imp.]],CN$9)</f>
        <v>0</v>
      </c>
      <c r="CO994" s="693">
        <f>SUMIFS(Imput[[Importe Neto]:[Importe Neto]],Imput[[C. Imp.]:[C. Imp.]],$D994,Imput[[PERIODO Imp.]:[PERIODO Imp.]],CO$9)</f>
        <v>0</v>
      </c>
      <c r="CP994" s="693">
        <f>SUMIFS(Imput[[Importe Neto]:[Importe Neto]],Imput[[C. Imp.]:[C. Imp.]],$D994,Imput[[PERIODO Imp.]:[PERIODO Imp.]],CP$9)</f>
        <v>0</v>
      </c>
      <c r="CQ994" s="693">
        <f>SUMIFS(Imput[[Importe Neto]:[Importe Neto]],Imput[[C. Imp.]:[C. Imp.]],$D994,Imput[[PERIODO Imp.]:[PERIODO Imp.]],CQ$9)</f>
        <v>0</v>
      </c>
      <c r="CR994" s="693">
        <f>SUMIFS(Imput[[Importe Neto]:[Importe Neto]],Imput[[C. Imp.]:[C. Imp.]],$D994,Imput[[PERIODO Imp.]:[PERIODO Imp.]],CR$9)</f>
        <v>0</v>
      </c>
      <c r="CS994" s="693">
        <f>SUMIFS(Imput[[Importe Neto]:[Importe Neto]],Imput[[C. Imp.]:[C. Imp.]],$D994,Imput[[PERIODO Imp.]:[PERIODO Imp.]],CS$9)</f>
        <v>0</v>
      </c>
      <c r="CT994" s="693">
        <f>SUMIFS(Imput[[Importe Neto]:[Importe Neto]],Imput[[C. Imp.]:[C. Imp.]],$D994,Imput[[PERIODO Imp.]:[PERIODO Imp.]],CT$9)</f>
        <v>0</v>
      </c>
      <c r="CU994" s="693">
        <f>SUMIFS(Imput[[Importe Neto]:[Importe Neto]],Imput[[C. Imp.]:[C. Imp.]],$D994,Imput[[PERIODO Imp.]:[PERIODO Imp.]],CU$9)</f>
        <v>0</v>
      </c>
      <c r="CV994" s="693">
        <f>SUMIFS(Imput[[Importe Neto]:[Importe Neto]],Imput[[C. Imp.]:[C. Imp.]],$D994,Imput[[PERIODO Imp.]:[PERIODO Imp.]],CV$9)</f>
        <v>0</v>
      </c>
      <c r="CW994" s="693">
        <f>SUMIFS(Imput[[Importe Neto]:[Importe Neto]],Imput[[C. Imp.]:[C. Imp.]],$D994,Imput[[PERIODO Imp.]:[PERIODO Imp.]],CW$9)</f>
        <v>0</v>
      </c>
      <c r="CX994" s="693">
        <f>SUMIFS(Imput[[Importe Neto]:[Importe Neto]],Imput[[C. Imp.]:[C. Imp.]],$D994,Imput[[PERIODO Imp.]:[PERIODO Imp.]],CX$9)</f>
        <v>0</v>
      </c>
      <c r="CY994" s="693">
        <f>SUMIFS(Imput[[Importe Neto]:[Importe Neto]],Imput[[C. Imp.]:[C. Imp.]],$D994,Imput[[PERIODO Imp.]:[PERIODO Imp.]],CY$9)</f>
        <v>0</v>
      </c>
      <c r="CZ994" s="693">
        <f>SUMIFS(Imput[[Importe Neto]:[Importe Neto]],Imput[[C. Imp.]:[C. Imp.]],$D994,Imput[[PERIODO Imp.]:[PERIODO Imp.]],CZ$9)</f>
        <v>0</v>
      </c>
      <c r="DA994" s="693">
        <f>SUMIFS(Imput[[Importe Neto]:[Importe Neto]],Imput[[C. Imp.]:[C. Imp.]],$D994,Imput[[PERIODO Imp.]:[PERIODO Imp.]],DA$9)</f>
        <v>0</v>
      </c>
      <c r="DB994" s="693">
        <f>SUMIFS(Imput[[Importe Neto]:[Importe Neto]],Imput[[C. Imp.]:[C. Imp.]],$D994,Imput[[PERIODO Imp.]:[PERIODO Imp.]],DB$9)</f>
        <v>0</v>
      </c>
      <c r="DC994" s="693">
        <f>SUMIFS(Imput[[Importe Neto]:[Importe Neto]],Imput[[C. Imp.]:[C. Imp.]],$D994,Imput[[PERIODO Imp.]:[PERIODO Imp.]],DC$9)</f>
        <v>0</v>
      </c>
      <c r="DD994" s="693">
        <f>SUMIFS(Imput[[Importe Neto]:[Importe Neto]],Imput[[C. Imp.]:[C. Imp.]],$D994,Imput[[PERIODO Imp.]:[PERIODO Imp.]],DD$9)</f>
        <v>0</v>
      </c>
      <c r="DE994" s="693">
        <f>SUMIFS(Imput[[Importe Neto]:[Importe Neto]],Imput[[C. Imp.]:[C. Imp.]],$D994,Imput[[PERIODO Imp.]:[PERIODO Imp.]],DE$9)</f>
        <v>0</v>
      </c>
      <c r="DF994" s="693">
        <f>SUMIFS(Imput[[Importe Neto]:[Importe Neto]],Imput[[C. Imp.]:[C. Imp.]],$D994,Imput[[PERIODO Imp.]:[PERIODO Imp.]],DF$9)</f>
        <v>0</v>
      </c>
      <c r="DG994" s="693">
        <f>SUMIFS(Imput[[Importe Neto]:[Importe Neto]],Imput[[C. Imp.]:[C. Imp.]],$D994,Imput[[PERIODO Imp.]:[PERIODO Imp.]],DG$9)</f>
        <v>0</v>
      </c>
      <c r="DH994" s="694">
        <f>SUMIFS(Imput[[Importe Neto]:[Importe Neto]],Imput[[C. Imp.]:[C. Imp.]],$D994,Imput[[PERIODO Imp.]:[PERIODO Imp.]],DH$9)</f>
        <v>0</v>
      </c>
    </row>
    <row r="995" spans="1:112" s="649" customFormat="1" hidden="1" outlineLevel="1" x14ac:dyDescent="0.3">
      <c r="A995" s="652" t="str">
        <f t="shared" si="347"/>
        <v/>
      </c>
      <c r="B995" s="652"/>
      <c r="C995" s="685"/>
      <c r="D995" s="686"/>
      <c r="E995" s="686"/>
      <c r="F995" s="720"/>
      <c r="G995" s="688"/>
      <c r="H995" s="689"/>
      <c r="I995" s="851" t="str">
        <f t="shared" si="348"/>
        <v/>
      </c>
      <c r="J995" s="850" t="str">
        <f t="shared" si="349"/>
        <v/>
      </c>
      <c r="K995" s="667"/>
      <c r="L995" s="858"/>
      <c r="M995" s="859"/>
      <c r="N995" s="859"/>
      <c r="O995" s="859"/>
      <c r="P995" s="859"/>
      <c r="Q995" s="859"/>
      <c r="R995" s="859"/>
      <c r="S995" s="859"/>
      <c r="T995" s="859"/>
      <c r="U995" s="859"/>
      <c r="V995" s="859"/>
      <c r="W995" s="859"/>
      <c r="X995" s="859"/>
      <c r="Y995" s="859"/>
      <c r="Z995" s="860"/>
      <c r="AA995" s="860"/>
      <c r="AB995" s="860"/>
      <c r="AC995" s="860"/>
      <c r="AD995" s="860"/>
      <c r="AE995" s="860"/>
      <c r="AF995" s="860"/>
      <c r="AG995" s="860"/>
      <c r="AH995" s="860"/>
      <c r="AI995" s="860"/>
      <c r="AJ995" s="860"/>
      <c r="AK995" s="860"/>
      <c r="AL995" s="860"/>
      <c r="AM995" s="860"/>
      <c r="AN995" s="860"/>
      <c r="AO995" s="860"/>
      <c r="AP995" s="860"/>
      <c r="AQ995" s="860"/>
      <c r="AR995" s="860"/>
      <c r="AS995" s="860"/>
      <c r="AT995" s="860"/>
      <c r="AU995" s="860"/>
      <c r="AV995" s="860"/>
      <c r="AW995" s="860"/>
      <c r="AX995" s="860"/>
      <c r="AY995" s="860"/>
      <c r="AZ995" s="860"/>
      <c r="BA995" s="860"/>
      <c r="BB995" s="860"/>
      <c r="BC995" s="860"/>
      <c r="BD995" s="860"/>
      <c r="BE995" s="860"/>
      <c r="BF995" s="860"/>
      <c r="BG995" s="860"/>
      <c r="BH995" s="668"/>
      <c r="BI995" s="667"/>
      <c r="BJ995" s="690">
        <f t="shared" si="350"/>
        <v>0</v>
      </c>
      <c r="BK995" s="691">
        <f t="shared" si="351"/>
        <v>0</v>
      </c>
      <c r="BL995" s="654"/>
      <c r="BM995" s="692">
        <f>SUMIFS(Imput[[Importe Neto]:[Importe Neto]],Imput[[C. Imp.]:[C. Imp.]],$D995,Imput[[PERIODO Imp.]:[PERIODO Imp.]],BM$9)</f>
        <v>0</v>
      </c>
      <c r="BN995" s="693">
        <f>SUMIFS(Imput[[Importe Neto]:[Importe Neto]],Imput[[C. Imp.]:[C. Imp.]],$D995,Imput[[PERIODO Imp.]:[PERIODO Imp.]],BN$9)</f>
        <v>0</v>
      </c>
      <c r="BO995" s="693">
        <f>SUMIFS(Imput[[Importe Neto]:[Importe Neto]],Imput[[C. Imp.]:[C. Imp.]],$D995,Imput[[PERIODO Imp.]:[PERIODO Imp.]],BO$9)</f>
        <v>0</v>
      </c>
      <c r="BP995" s="693">
        <f>SUMIFS(Imput[[Importe Neto]:[Importe Neto]],Imput[[C. Imp.]:[C. Imp.]],$D995,Imput[[PERIODO Imp.]:[PERIODO Imp.]],BP$9)</f>
        <v>0</v>
      </c>
      <c r="BQ995" s="693">
        <f>SUMIFS(Imput[[Importe Neto]:[Importe Neto]],Imput[[C. Imp.]:[C. Imp.]],$D995,Imput[[PERIODO Imp.]:[PERIODO Imp.]],BQ$9)</f>
        <v>0</v>
      </c>
      <c r="BR995" s="693">
        <f>SUMIFS(Imput[[Importe Neto]:[Importe Neto]],Imput[[C. Imp.]:[C. Imp.]],$D995,Imput[[PERIODO Imp.]:[PERIODO Imp.]],BR$9)</f>
        <v>0</v>
      </c>
      <c r="BS995" s="693">
        <f>SUMIFS(Imput[[Importe Neto]:[Importe Neto]],Imput[[C. Imp.]:[C. Imp.]],$D995,Imput[[PERIODO Imp.]:[PERIODO Imp.]],BS$9)</f>
        <v>0</v>
      </c>
      <c r="BT995" s="693">
        <f>SUMIFS(Imput[[Importe Neto]:[Importe Neto]],Imput[[C. Imp.]:[C. Imp.]],$D995,Imput[[PERIODO Imp.]:[PERIODO Imp.]],BT$9)</f>
        <v>0</v>
      </c>
      <c r="BU995" s="693">
        <f>SUMIFS(Imput[[Importe Neto]:[Importe Neto]],Imput[[C. Imp.]:[C. Imp.]],$D995,Imput[[PERIODO Imp.]:[PERIODO Imp.]],BU$9)</f>
        <v>0</v>
      </c>
      <c r="BV995" s="693">
        <f>SUMIFS(Imput[[Importe Neto]:[Importe Neto]],Imput[[C. Imp.]:[C. Imp.]],$D995,Imput[[PERIODO Imp.]:[PERIODO Imp.]],BV$9)</f>
        <v>0</v>
      </c>
      <c r="BW995" s="693">
        <f>SUMIFS(Imput[[Importe Neto]:[Importe Neto]],Imput[[C. Imp.]:[C. Imp.]],$D995,Imput[[PERIODO Imp.]:[PERIODO Imp.]],BW$9)</f>
        <v>0</v>
      </c>
      <c r="BX995" s="693">
        <f>SUMIFS(Imput[[Importe Neto]:[Importe Neto]],Imput[[C. Imp.]:[C. Imp.]],$D995,Imput[[PERIODO Imp.]:[PERIODO Imp.]],BX$9)</f>
        <v>0</v>
      </c>
      <c r="BY995" s="693">
        <f>SUMIFS(Imput[[Importe Neto]:[Importe Neto]],Imput[[C. Imp.]:[C. Imp.]],$D995,Imput[[PERIODO Imp.]:[PERIODO Imp.]],BY$9)</f>
        <v>0</v>
      </c>
      <c r="BZ995" s="693">
        <f>SUMIFS(Imput[[Importe Neto]:[Importe Neto]],Imput[[C. Imp.]:[C. Imp.]],$D995,Imput[[PERIODO Imp.]:[PERIODO Imp.]],BZ$9)</f>
        <v>0</v>
      </c>
      <c r="CA995" s="693">
        <f>SUMIFS(Imput[[Importe Neto]:[Importe Neto]],Imput[[C. Imp.]:[C. Imp.]],$D995,Imput[[PERIODO Imp.]:[PERIODO Imp.]],CA$9)</f>
        <v>0</v>
      </c>
      <c r="CB995" s="693">
        <f>SUMIFS(Imput[[Importe Neto]:[Importe Neto]],Imput[[C. Imp.]:[C. Imp.]],$D995,Imput[[PERIODO Imp.]:[PERIODO Imp.]],CB$9)</f>
        <v>0</v>
      </c>
      <c r="CC995" s="693">
        <f>SUMIFS(Imput[[Importe Neto]:[Importe Neto]],Imput[[C. Imp.]:[C. Imp.]],$D995,Imput[[PERIODO Imp.]:[PERIODO Imp.]],CC$9)</f>
        <v>0</v>
      </c>
      <c r="CD995" s="693">
        <f>SUMIFS(Imput[[Importe Neto]:[Importe Neto]],Imput[[C. Imp.]:[C. Imp.]],$D995,Imput[[PERIODO Imp.]:[PERIODO Imp.]],CD$9)</f>
        <v>0</v>
      </c>
      <c r="CE995" s="693">
        <f>SUMIFS(Imput[[Importe Neto]:[Importe Neto]],Imput[[C. Imp.]:[C. Imp.]],$D995,Imput[[PERIODO Imp.]:[PERIODO Imp.]],CE$9)</f>
        <v>0</v>
      </c>
      <c r="CF995" s="693">
        <f>SUMIFS(Imput[[Importe Neto]:[Importe Neto]],Imput[[C. Imp.]:[C. Imp.]],$D995,Imput[[PERIODO Imp.]:[PERIODO Imp.]],CF$9)</f>
        <v>0</v>
      </c>
      <c r="CG995" s="693">
        <f>SUMIFS(Imput[[Importe Neto]:[Importe Neto]],Imput[[C. Imp.]:[C. Imp.]],$D995,Imput[[PERIODO Imp.]:[PERIODO Imp.]],CG$9)</f>
        <v>0</v>
      </c>
      <c r="CH995" s="693">
        <f>SUMIFS(Imput[[Importe Neto]:[Importe Neto]],Imput[[C. Imp.]:[C. Imp.]],$D995,Imput[[PERIODO Imp.]:[PERIODO Imp.]],CH$9)</f>
        <v>0</v>
      </c>
      <c r="CI995" s="693">
        <f>SUMIFS(Imput[[Importe Neto]:[Importe Neto]],Imput[[C. Imp.]:[C. Imp.]],$D995,Imput[[PERIODO Imp.]:[PERIODO Imp.]],CI$9)</f>
        <v>0</v>
      </c>
      <c r="CJ995" s="693">
        <f>SUMIFS(Imput[[Importe Neto]:[Importe Neto]],Imput[[C. Imp.]:[C. Imp.]],$D995,Imput[[PERIODO Imp.]:[PERIODO Imp.]],CJ$9)</f>
        <v>0</v>
      </c>
      <c r="CK995" s="693">
        <f>SUMIFS(Imput[[Importe Neto]:[Importe Neto]],Imput[[C. Imp.]:[C. Imp.]],$D995,Imput[[PERIODO Imp.]:[PERIODO Imp.]],CK$9)</f>
        <v>0</v>
      </c>
      <c r="CL995" s="693">
        <f>SUMIFS(Imput[[Importe Neto]:[Importe Neto]],Imput[[C. Imp.]:[C. Imp.]],$D995,Imput[[PERIODO Imp.]:[PERIODO Imp.]],CL$9)</f>
        <v>0</v>
      </c>
      <c r="CM995" s="693">
        <f>SUMIFS(Imput[[Importe Neto]:[Importe Neto]],Imput[[C. Imp.]:[C. Imp.]],$D995,Imput[[PERIODO Imp.]:[PERIODO Imp.]],CM$9)</f>
        <v>0</v>
      </c>
      <c r="CN995" s="693">
        <f>SUMIFS(Imput[[Importe Neto]:[Importe Neto]],Imput[[C. Imp.]:[C. Imp.]],$D995,Imput[[PERIODO Imp.]:[PERIODO Imp.]],CN$9)</f>
        <v>0</v>
      </c>
      <c r="CO995" s="693">
        <f>SUMIFS(Imput[[Importe Neto]:[Importe Neto]],Imput[[C. Imp.]:[C. Imp.]],$D995,Imput[[PERIODO Imp.]:[PERIODO Imp.]],CO$9)</f>
        <v>0</v>
      </c>
      <c r="CP995" s="693">
        <f>SUMIFS(Imput[[Importe Neto]:[Importe Neto]],Imput[[C. Imp.]:[C. Imp.]],$D995,Imput[[PERIODO Imp.]:[PERIODO Imp.]],CP$9)</f>
        <v>0</v>
      </c>
      <c r="CQ995" s="693">
        <f>SUMIFS(Imput[[Importe Neto]:[Importe Neto]],Imput[[C. Imp.]:[C. Imp.]],$D995,Imput[[PERIODO Imp.]:[PERIODO Imp.]],CQ$9)</f>
        <v>0</v>
      </c>
      <c r="CR995" s="693">
        <f>SUMIFS(Imput[[Importe Neto]:[Importe Neto]],Imput[[C. Imp.]:[C. Imp.]],$D995,Imput[[PERIODO Imp.]:[PERIODO Imp.]],CR$9)</f>
        <v>0</v>
      </c>
      <c r="CS995" s="693">
        <f>SUMIFS(Imput[[Importe Neto]:[Importe Neto]],Imput[[C. Imp.]:[C. Imp.]],$D995,Imput[[PERIODO Imp.]:[PERIODO Imp.]],CS$9)</f>
        <v>0</v>
      </c>
      <c r="CT995" s="693">
        <f>SUMIFS(Imput[[Importe Neto]:[Importe Neto]],Imput[[C. Imp.]:[C. Imp.]],$D995,Imput[[PERIODO Imp.]:[PERIODO Imp.]],CT$9)</f>
        <v>0</v>
      </c>
      <c r="CU995" s="693">
        <f>SUMIFS(Imput[[Importe Neto]:[Importe Neto]],Imput[[C. Imp.]:[C. Imp.]],$D995,Imput[[PERIODO Imp.]:[PERIODO Imp.]],CU$9)</f>
        <v>0</v>
      </c>
      <c r="CV995" s="693">
        <f>SUMIFS(Imput[[Importe Neto]:[Importe Neto]],Imput[[C. Imp.]:[C. Imp.]],$D995,Imput[[PERIODO Imp.]:[PERIODO Imp.]],CV$9)</f>
        <v>0</v>
      </c>
      <c r="CW995" s="693">
        <f>SUMIFS(Imput[[Importe Neto]:[Importe Neto]],Imput[[C. Imp.]:[C. Imp.]],$D995,Imput[[PERIODO Imp.]:[PERIODO Imp.]],CW$9)</f>
        <v>0</v>
      </c>
      <c r="CX995" s="693">
        <f>SUMIFS(Imput[[Importe Neto]:[Importe Neto]],Imput[[C. Imp.]:[C. Imp.]],$D995,Imput[[PERIODO Imp.]:[PERIODO Imp.]],CX$9)</f>
        <v>0</v>
      </c>
      <c r="CY995" s="693">
        <f>SUMIFS(Imput[[Importe Neto]:[Importe Neto]],Imput[[C. Imp.]:[C. Imp.]],$D995,Imput[[PERIODO Imp.]:[PERIODO Imp.]],CY$9)</f>
        <v>0</v>
      </c>
      <c r="CZ995" s="693">
        <f>SUMIFS(Imput[[Importe Neto]:[Importe Neto]],Imput[[C. Imp.]:[C. Imp.]],$D995,Imput[[PERIODO Imp.]:[PERIODO Imp.]],CZ$9)</f>
        <v>0</v>
      </c>
      <c r="DA995" s="693">
        <f>SUMIFS(Imput[[Importe Neto]:[Importe Neto]],Imput[[C. Imp.]:[C. Imp.]],$D995,Imput[[PERIODO Imp.]:[PERIODO Imp.]],DA$9)</f>
        <v>0</v>
      </c>
      <c r="DB995" s="693">
        <f>SUMIFS(Imput[[Importe Neto]:[Importe Neto]],Imput[[C. Imp.]:[C. Imp.]],$D995,Imput[[PERIODO Imp.]:[PERIODO Imp.]],DB$9)</f>
        <v>0</v>
      </c>
      <c r="DC995" s="693">
        <f>SUMIFS(Imput[[Importe Neto]:[Importe Neto]],Imput[[C. Imp.]:[C. Imp.]],$D995,Imput[[PERIODO Imp.]:[PERIODO Imp.]],DC$9)</f>
        <v>0</v>
      </c>
      <c r="DD995" s="693">
        <f>SUMIFS(Imput[[Importe Neto]:[Importe Neto]],Imput[[C. Imp.]:[C. Imp.]],$D995,Imput[[PERIODO Imp.]:[PERIODO Imp.]],DD$9)</f>
        <v>0</v>
      </c>
      <c r="DE995" s="693">
        <f>SUMIFS(Imput[[Importe Neto]:[Importe Neto]],Imput[[C. Imp.]:[C. Imp.]],$D995,Imput[[PERIODO Imp.]:[PERIODO Imp.]],DE$9)</f>
        <v>0</v>
      </c>
      <c r="DF995" s="693">
        <f>SUMIFS(Imput[[Importe Neto]:[Importe Neto]],Imput[[C. Imp.]:[C. Imp.]],$D995,Imput[[PERIODO Imp.]:[PERIODO Imp.]],DF$9)</f>
        <v>0</v>
      </c>
      <c r="DG995" s="693">
        <f>SUMIFS(Imput[[Importe Neto]:[Importe Neto]],Imput[[C. Imp.]:[C. Imp.]],$D995,Imput[[PERIODO Imp.]:[PERIODO Imp.]],DG$9)</f>
        <v>0</v>
      </c>
      <c r="DH995" s="694">
        <f>SUMIFS(Imput[[Importe Neto]:[Importe Neto]],Imput[[C. Imp.]:[C. Imp.]],$D995,Imput[[PERIODO Imp.]:[PERIODO Imp.]],DH$9)</f>
        <v>0</v>
      </c>
    </row>
    <row r="996" spans="1:112" s="649" customFormat="1" hidden="1" outlineLevel="1" x14ac:dyDescent="0.3">
      <c r="A996" s="652" t="str">
        <f t="shared" si="347"/>
        <v/>
      </c>
      <c r="B996" s="652"/>
      <c r="C996" s="685"/>
      <c r="D996" s="686"/>
      <c r="E996" s="686"/>
      <c r="F996" s="720"/>
      <c r="G996" s="688"/>
      <c r="H996" s="689"/>
      <c r="I996" s="851" t="str">
        <f t="shared" si="348"/>
        <v/>
      </c>
      <c r="J996" s="850" t="str">
        <f t="shared" si="349"/>
        <v/>
      </c>
      <c r="K996" s="667"/>
      <c r="L996" s="858"/>
      <c r="M996" s="859"/>
      <c r="N996" s="859"/>
      <c r="O996" s="859"/>
      <c r="P996" s="859"/>
      <c r="Q996" s="859"/>
      <c r="R996" s="859"/>
      <c r="S996" s="859"/>
      <c r="T996" s="859"/>
      <c r="U996" s="859"/>
      <c r="V996" s="859"/>
      <c r="W996" s="859"/>
      <c r="X996" s="859"/>
      <c r="Y996" s="859"/>
      <c r="Z996" s="860"/>
      <c r="AA996" s="860"/>
      <c r="AB996" s="860"/>
      <c r="AC996" s="860"/>
      <c r="AD996" s="860"/>
      <c r="AE996" s="860"/>
      <c r="AF996" s="860"/>
      <c r="AG996" s="860"/>
      <c r="AH996" s="860"/>
      <c r="AI996" s="860"/>
      <c r="AJ996" s="860"/>
      <c r="AK996" s="860"/>
      <c r="AL996" s="860"/>
      <c r="AM996" s="860"/>
      <c r="AN996" s="860"/>
      <c r="AO996" s="860"/>
      <c r="AP996" s="860"/>
      <c r="AQ996" s="860"/>
      <c r="AR996" s="860"/>
      <c r="AS996" s="860"/>
      <c r="AT996" s="860"/>
      <c r="AU996" s="860"/>
      <c r="AV996" s="860"/>
      <c r="AW996" s="860"/>
      <c r="AX996" s="860"/>
      <c r="AY996" s="860"/>
      <c r="AZ996" s="860"/>
      <c r="BA996" s="860"/>
      <c r="BB996" s="860"/>
      <c r="BC996" s="860"/>
      <c r="BD996" s="860"/>
      <c r="BE996" s="860"/>
      <c r="BF996" s="860"/>
      <c r="BG996" s="860"/>
      <c r="BH996" s="668"/>
      <c r="BI996" s="667"/>
      <c r="BJ996" s="690">
        <f t="shared" si="350"/>
        <v>0</v>
      </c>
      <c r="BK996" s="691">
        <f t="shared" si="351"/>
        <v>0</v>
      </c>
      <c r="BL996" s="654"/>
      <c r="BM996" s="692">
        <f>SUMIFS(Imput[[Importe Neto]:[Importe Neto]],Imput[[C. Imp.]:[C. Imp.]],$D996,Imput[[PERIODO Imp.]:[PERIODO Imp.]],BM$9)</f>
        <v>0</v>
      </c>
      <c r="BN996" s="693">
        <f>SUMIFS(Imput[[Importe Neto]:[Importe Neto]],Imput[[C. Imp.]:[C. Imp.]],$D996,Imput[[PERIODO Imp.]:[PERIODO Imp.]],BN$9)</f>
        <v>0</v>
      </c>
      <c r="BO996" s="693">
        <f>SUMIFS(Imput[[Importe Neto]:[Importe Neto]],Imput[[C. Imp.]:[C. Imp.]],$D996,Imput[[PERIODO Imp.]:[PERIODO Imp.]],BO$9)</f>
        <v>0</v>
      </c>
      <c r="BP996" s="693">
        <f>SUMIFS(Imput[[Importe Neto]:[Importe Neto]],Imput[[C. Imp.]:[C. Imp.]],$D996,Imput[[PERIODO Imp.]:[PERIODO Imp.]],BP$9)</f>
        <v>0</v>
      </c>
      <c r="BQ996" s="693">
        <f>SUMIFS(Imput[[Importe Neto]:[Importe Neto]],Imput[[C. Imp.]:[C. Imp.]],$D996,Imput[[PERIODO Imp.]:[PERIODO Imp.]],BQ$9)</f>
        <v>0</v>
      </c>
      <c r="BR996" s="693">
        <f>SUMIFS(Imput[[Importe Neto]:[Importe Neto]],Imput[[C. Imp.]:[C. Imp.]],$D996,Imput[[PERIODO Imp.]:[PERIODO Imp.]],BR$9)</f>
        <v>0</v>
      </c>
      <c r="BS996" s="693">
        <f>SUMIFS(Imput[[Importe Neto]:[Importe Neto]],Imput[[C. Imp.]:[C. Imp.]],$D996,Imput[[PERIODO Imp.]:[PERIODO Imp.]],BS$9)</f>
        <v>0</v>
      </c>
      <c r="BT996" s="693">
        <f>SUMIFS(Imput[[Importe Neto]:[Importe Neto]],Imput[[C. Imp.]:[C. Imp.]],$D996,Imput[[PERIODO Imp.]:[PERIODO Imp.]],BT$9)</f>
        <v>0</v>
      </c>
      <c r="BU996" s="693">
        <f>SUMIFS(Imput[[Importe Neto]:[Importe Neto]],Imput[[C. Imp.]:[C. Imp.]],$D996,Imput[[PERIODO Imp.]:[PERIODO Imp.]],BU$9)</f>
        <v>0</v>
      </c>
      <c r="BV996" s="693">
        <f>SUMIFS(Imput[[Importe Neto]:[Importe Neto]],Imput[[C. Imp.]:[C. Imp.]],$D996,Imput[[PERIODO Imp.]:[PERIODO Imp.]],BV$9)</f>
        <v>0</v>
      </c>
      <c r="BW996" s="693">
        <f>SUMIFS(Imput[[Importe Neto]:[Importe Neto]],Imput[[C. Imp.]:[C. Imp.]],$D996,Imput[[PERIODO Imp.]:[PERIODO Imp.]],BW$9)</f>
        <v>0</v>
      </c>
      <c r="BX996" s="693">
        <f>SUMIFS(Imput[[Importe Neto]:[Importe Neto]],Imput[[C. Imp.]:[C. Imp.]],$D996,Imput[[PERIODO Imp.]:[PERIODO Imp.]],BX$9)</f>
        <v>0</v>
      </c>
      <c r="BY996" s="693">
        <f>SUMIFS(Imput[[Importe Neto]:[Importe Neto]],Imput[[C. Imp.]:[C. Imp.]],$D996,Imput[[PERIODO Imp.]:[PERIODO Imp.]],BY$9)</f>
        <v>0</v>
      </c>
      <c r="BZ996" s="693">
        <f>SUMIFS(Imput[[Importe Neto]:[Importe Neto]],Imput[[C. Imp.]:[C. Imp.]],$D996,Imput[[PERIODO Imp.]:[PERIODO Imp.]],BZ$9)</f>
        <v>0</v>
      </c>
      <c r="CA996" s="693">
        <f>SUMIFS(Imput[[Importe Neto]:[Importe Neto]],Imput[[C. Imp.]:[C. Imp.]],$D996,Imput[[PERIODO Imp.]:[PERIODO Imp.]],CA$9)</f>
        <v>0</v>
      </c>
      <c r="CB996" s="693">
        <f>SUMIFS(Imput[[Importe Neto]:[Importe Neto]],Imput[[C. Imp.]:[C. Imp.]],$D996,Imput[[PERIODO Imp.]:[PERIODO Imp.]],CB$9)</f>
        <v>0</v>
      </c>
      <c r="CC996" s="693">
        <f>SUMIFS(Imput[[Importe Neto]:[Importe Neto]],Imput[[C. Imp.]:[C. Imp.]],$D996,Imput[[PERIODO Imp.]:[PERIODO Imp.]],CC$9)</f>
        <v>0</v>
      </c>
      <c r="CD996" s="693">
        <f>SUMIFS(Imput[[Importe Neto]:[Importe Neto]],Imput[[C. Imp.]:[C. Imp.]],$D996,Imput[[PERIODO Imp.]:[PERIODO Imp.]],CD$9)</f>
        <v>0</v>
      </c>
      <c r="CE996" s="693">
        <f>SUMIFS(Imput[[Importe Neto]:[Importe Neto]],Imput[[C. Imp.]:[C. Imp.]],$D996,Imput[[PERIODO Imp.]:[PERIODO Imp.]],CE$9)</f>
        <v>0</v>
      </c>
      <c r="CF996" s="693">
        <f>SUMIFS(Imput[[Importe Neto]:[Importe Neto]],Imput[[C. Imp.]:[C. Imp.]],$D996,Imput[[PERIODO Imp.]:[PERIODO Imp.]],CF$9)</f>
        <v>0</v>
      </c>
      <c r="CG996" s="693">
        <f>SUMIFS(Imput[[Importe Neto]:[Importe Neto]],Imput[[C. Imp.]:[C. Imp.]],$D996,Imput[[PERIODO Imp.]:[PERIODO Imp.]],CG$9)</f>
        <v>0</v>
      </c>
      <c r="CH996" s="693">
        <f>SUMIFS(Imput[[Importe Neto]:[Importe Neto]],Imput[[C. Imp.]:[C. Imp.]],$D996,Imput[[PERIODO Imp.]:[PERIODO Imp.]],CH$9)</f>
        <v>0</v>
      </c>
      <c r="CI996" s="693">
        <f>SUMIFS(Imput[[Importe Neto]:[Importe Neto]],Imput[[C. Imp.]:[C. Imp.]],$D996,Imput[[PERIODO Imp.]:[PERIODO Imp.]],CI$9)</f>
        <v>0</v>
      </c>
      <c r="CJ996" s="693">
        <f>SUMIFS(Imput[[Importe Neto]:[Importe Neto]],Imput[[C. Imp.]:[C. Imp.]],$D996,Imput[[PERIODO Imp.]:[PERIODO Imp.]],CJ$9)</f>
        <v>0</v>
      </c>
      <c r="CK996" s="693">
        <f>SUMIFS(Imput[[Importe Neto]:[Importe Neto]],Imput[[C. Imp.]:[C. Imp.]],$D996,Imput[[PERIODO Imp.]:[PERIODO Imp.]],CK$9)</f>
        <v>0</v>
      </c>
      <c r="CL996" s="693">
        <f>SUMIFS(Imput[[Importe Neto]:[Importe Neto]],Imput[[C. Imp.]:[C. Imp.]],$D996,Imput[[PERIODO Imp.]:[PERIODO Imp.]],CL$9)</f>
        <v>0</v>
      </c>
      <c r="CM996" s="693">
        <f>SUMIFS(Imput[[Importe Neto]:[Importe Neto]],Imput[[C. Imp.]:[C. Imp.]],$D996,Imput[[PERIODO Imp.]:[PERIODO Imp.]],CM$9)</f>
        <v>0</v>
      </c>
      <c r="CN996" s="693">
        <f>SUMIFS(Imput[[Importe Neto]:[Importe Neto]],Imput[[C. Imp.]:[C. Imp.]],$D996,Imput[[PERIODO Imp.]:[PERIODO Imp.]],CN$9)</f>
        <v>0</v>
      </c>
      <c r="CO996" s="693">
        <f>SUMIFS(Imput[[Importe Neto]:[Importe Neto]],Imput[[C. Imp.]:[C. Imp.]],$D996,Imput[[PERIODO Imp.]:[PERIODO Imp.]],CO$9)</f>
        <v>0</v>
      </c>
      <c r="CP996" s="693">
        <f>SUMIFS(Imput[[Importe Neto]:[Importe Neto]],Imput[[C. Imp.]:[C. Imp.]],$D996,Imput[[PERIODO Imp.]:[PERIODO Imp.]],CP$9)</f>
        <v>0</v>
      </c>
      <c r="CQ996" s="693">
        <f>SUMIFS(Imput[[Importe Neto]:[Importe Neto]],Imput[[C. Imp.]:[C. Imp.]],$D996,Imput[[PERIODO Imp.]:[PERIODO Imp.]],CQ$9)</f>
        <v>0</v>
      </c>
      <c r="CR996" s="693">
        <f>SUMIFS(Imput[[Importe Neto]:[Importe Neto]],Imput[[C. Imp.]:[C. Imp.]],$D996,Imput[[PERIODO Imp.]:[PERIODO Imp.]],CR$9)</f>
        <v>0</v>
      </c>
      <c r="CS996" s="693">
        <f>SUMIFS(Imput[[Importe Neto]:[Importe Neto]],Imput[[C. Imp.]:[C. Imp.]],$D996,Imput[[PERIODO Imp.]:[PERIODO Imp.]],CS$9)</f>
        <v>0</v>
      </c>
      <c r="CT996" s="693">
        <f>SUMIFS(Imput[[Importe Neto]:[Importe Neto]],Imput[[C. Imp.]:[C. Imp.]],$D996,Imput[[PERIODO Imp.]:[PERIODO Imp.]],CT$9)</f>
        <v>0</v>
      </c>
      <c r="CU996" s="693">
        <f>SUMIFS(Imput[[Importe Neto]:[Importe Neto]],Imput[[C. Imp.]:[C. Imp.]],$D996,Imput[[PERIODO Imp.]:[PERIODO Imp.]],CU$9)</f>
        <v>0</v>
      </c>
      <c r="CV996" s="693">
        <f>SUMIFS(Imput[[Importe Neto]:[Importe Neto]],Imput[[C. Imp.]:[C. Imp.]],$D996,Imput[[PERIODO Imp.]:[PERIODO Imp.]],CV$9)</f>
        <v>0</v>
      </c>
      <c r="CW996" s="693">
        <f>SUMIFS(Imput[[Importe Neto]:[Importe Neto]],Imput[[C. Imp.]:[C. Imp.]],$D996,Imput[[PERIODO Imp.]:[PERIODO Imp.]],CW$9)</f>
        <v>0</v>
      </c>
      <c r="CX996" s="693">
        <f>SUMIFS(Imput[[Importe Neto]:[Importe Neto]],Imput[[C. Imp.]:[C. Imp.]],$D996,Imput[[PERIODO Imp.]:[PERIODO Imp.]],CX$9)</f>
        <v>0</v>
      </c>
      <c r="CY996" s="693">
        <f>SUMIFS(Imput[[Importe Neto]:[Importe Neto]],Imput[[C. Imp.]:[C. Imp.]],$D996,Imput[[PERIODO Imp.]:[PERIODO Imp.]],CY$9)</f>
        <v>0</v>
      </c>
      <c r="CZ996" s="693">
        <f>SUMIFS(Imput[[Importe Neto]:[Importe Neto]],Imput[[C. Imp.]:[C. Imp.]],$D996,Imput[[PERIODO Imp.]:[PERIODO Imp.]],CZ$9)</f>
        <v>0</v>
      </c>
      <c r="DA996" s="693">
        <f>SUMIFS(Imput[[Importe Neto]:[Importe Neto]],Imput[[C. Imp.]:[C. Imp.]],$D996,Imput[[PERIODO Imp.]:[PERIODO Imp.]],DA$9)</f>
        <v>0</v>
      </c>
      <c r="DB996" s="693">
        <f>SUMIFS(Imput[[Importe Neto]:[Importe Neto]],Imput[[C. Imp.]:[C. Imp.]],$D996,Imput[[PERIODO Imp.]:[PERIODO Imp.]],DB$9)</f>
        <v>0</v>
      </c>
      <c r="DC996" s="693">
        <f>SUMIFS(Imput[[Importe Neto]:[Importe Neto]],Imput[[C. Imp.]:[C. Imp.]],$D996,Imput[[PERIODO Imp.]:[PERIODO Imp.]],DC$9)</f>
        <v>0</v>
      </c>
      <c r="DD996" s="693">
        <f>SUMIFS(Imput[[Importe Neto]:[Importe Neto]],Imput[[C. Imp.]:[C. Imp.]],$D996,Imput[[PERIODO Imp.]:[PERIODO Imp.]],DD$9)</f>
        <v>0</v>
      </c>
      <c r="DE996" s="693">
        <f>SUMIFS(Imput[[Importe Neto]:[Importe Neto]],Imput[[C. Imp.]:[C. Imp.]],$D996,Imput[[PERIODO Imp.]:[PERIODO Imp.]],DE$9)</f>
        <v>0</v>
      </c>
      <c r="DF996" s="693">
        <f>SUMIFS(Imput[[Importe Neto]:[Importe Neto]],Imput[[C. Imp.]:[C. Imp.]],$D996,Imput[[PERIODO Imp.]:[PERIODO Imp.]],DF$9)</f>
        <v>0</v>
      </c>
      <c r="DG996" s="693">
        <f>SUMIFS(Imput[[Importe Neto]:[Importe Neto]],Imput[[C. Imp.]:[C. Imp.]],$D996,Imput[[PERIODO Imp.]:[PERIODO Imp.]],DG$9)</f>
        <v>0</v>
      </c>
      <c r="DH996" s="694">
        <f>SUMIFS(Imput[[Importe Neto]:[Importe Neto]],Imput[[C. Imp.]:[C. Imp.]],$D996,Imput[[PERIODO Imp.]:[PERIODO Imp.]],DH$9)</f>
        <v>0</v>
      </c>
    </row>
    <row r="997" spans="1:112" s="649" customFormat="1" hidden="1" outlineLevel="1" x14ac:dyDescent="0.3">
      <c r="A997" s="652" t="str">
        <f t="shared" si="347"/>
        <v/>
      </c>
      <c r="B997" s="652"/>
      <c r="C997" s="685"/>
      <c r="D997" s="686"/>
      <c r="E997" s="686"/>
      <c r="F997" s="720"/>
      <c r="G997" s="688"/>
      <c r="H997" s="689"/>
      <c r="I997" s="851" t="str">
        <f t="shared" si="348"/>
        <v/>
      </c>
      <c r="J997" s="850" t="str">
        <f t="shared" si="349"/>
        <v/>
      </c>
      <c r="K997" s="667"/>
      <c r="L997" s="858"/>
      <c r="M997" s="859"/>
      <c r="N997" s="859"/>
      <c r="O997" s="859"/>
      <c r="P997" s="859"/>
      <c r="Q997" s="859"/>
      <c r="R997" s="859"/>
      <c r="S997" s="859"/>
      <c r="T997" s="859"/>
      <c r="U997" s="859"/>
      <c r="V997" s="859"/>
      <c r="W997" s="859"/>
      <c r="X997" s="859"/>
      <c r="Y997" s="859"/>
      <c r="Z997" s="860"/>
      <c r="AA997" s="860"/>
      <c r="AB997" s="860"/>
      <c r="AC997" s="860"/>
      <c r="AD997" s="860"/>
      <c r="AE997" s="860"/>
      <c r="AF997" s="860"/>
      <c r="AG997" s="860"/>
      <c r="AH997" s="860"/>
      <c r="AI997" s="860"/>
      <c r="AJ997" s="860"/>
      <c r="AK997" s="860"/>
      <c r="AL997" s="860"/>
      <c r="AM997" s="860"/>
      <c r="AN997" s="860"/>
      <c r="AO997" s="860"/>
      <c r="AP997" s="860"/>
      <c r="AQ997" s="860"/>
      <c r="AR997" s="860"/>
      <c r="AS997" s="860"/>
      <c r="AT997" s="860"/>
      <c r="AU997" s="860"/>
      <c r="AV997" s="860"/>
      <c r="AW997" s="860"/>
      <c r="AX997" s="860"/>
      <c r="AY997" s="860"/>
      <c r="AZ997" s="860"/>
      <c r="BA997" s="860"/>
      <c r="BB997" s="860"/>
      <c r="BC997" s="860"/>
      <c r="BD997" s="860"/>
      <c r="BE997" s="860"/>
      <c r="BF997" s="860"/>
      <c r="BG997" s="860"/>
      <c r="BH997" s="668"/>
      <c r="BI997" s="667"/>
      <c r="BJ997" s="690">
        <f t="shared" si="350"/>
        <v>0</v>
      </c>
      <c r="BK997" s="691">
        <f t="shared" si="351"/>
        <v>0</v>
      </c>
      <c r="BL997" s="654"/>
      <c r="BM997" s="692">
        <f>SUMIFS(Imput[[Importe Neto]:[Importe Neto]],Imput[[C. Imp.]:[C. Imp.]],$D997,Imput[[PERIODO Imp.]:[PERIODO Imp.]],BM$9)</f>
        <v>0</v>
      </c>
      <c r="BN997" s="693">
        <f>SUMIFS(Imput[[Importe Neto]:[Importe Neto]],Imput[[C. Imp.]:[C. Imp.]],$D997,Imput[[PERIODO Imp.]:[PERIODO Imp.]],BN$9)</f>
        <v>0</v>
      </c>
      <c r="BO997" s="693">
        <f>SUMIFS(Imput[[Importe Neto]:[Importe Neto]],Imput[[C. Imp.]:[C. Imp.]],$D997,Imput[[PERIODO Imp.]:[PERIODO Imp.]],BO$9)</f>
        <v>0</v>
      </c>
      <c r="BP997" s="693">
        <f>SUMIFS(Imput[[Importe Neto]:[Importe Neto]],Imput[[C. Imp.]:[C. Imp.]],$D997,Imput[[PERIODO Imp.]:[PERIODO Imp.]],BP$9)</f>
        <v>0</v>
      </c>
      <c r="BQ997" s="693">
        <f>SUMIFS(Imput[[Importe Neto]:[Importe Neto]],Imput[[C. Imp.]:[C. Imp.]],$D997,Imput[[PERIODO Imp.]:[PERIODO Imp.]],BQ$9)</f>
        <v>0</v>
      </c>
      <c r="BR997" s="693">
        <f>SUMIFS(Imput[[Importe Neto]:[Importe Neto]],Imput[[C. Imp.]:[C. Imp.]],$D997,Imput[[PERIODO Imp.]:[PERIODO Imp.]],BR$9)</f>
        <v>0</v>
      </c>
      <c r="BS997" s="693">
        <f>SUMIFS(Imput[[Importe Neto]:[Importe Neto]],Imput[[C. Imp.]:[C. Imp.]],$D997,Imput[[PERIODO Imp.]:[PERIODO Imp.]],BS$9)</f>
        <v>0</v>
      </c>
      <c r="BT997" s="693">
        <f>SUMIFS(Imput[[Importe Neto]:[Importe Neto]],Imput[[C. Imp.]:[C. Imp.]],$D997,Imput[[PERIODO Imp.]:[PERIODO Imp.]],BT$9)</f>
        <v>0</v>
      </c>
      <c r="BU997" s="693">
        <f>SUMIFS(Imput[[Importe Neto]:[Importe Neto]],Imput[[C. Imp.]:[C. Imp.]],$D997,Imput[[PERIODO Imp.]:[PERIODO Imp.]],BU$9)</f>
        <v>0</v>
      </c>
      <c r="BV997" s="693">
        <f>SUMIFS(Imput[[Importe Neto]:[Importe Neto]],Imput[[C. Imp.]:[C. Imp.]],$D997,Imput[[PERIODO Imp.]:[PERIODO Imp.]],BV$9)</f>
        <v>0</v>
      </c>
      <c r="BW997" s="693">
        <f>SUMIFS(Imput[[Importe Neto]:[Importe Neto]],Imput[[C. Imp.]:[C. Imp.]],$D997,Imput[[PERIODO Imp.]:[PERIODO Imp.]],BW$9)</f>
        <v>0</v>
      </c>
      <c r="BX997" s="693">
        <f>SUMIFS(Imput[[Importe Neto]:[Importe Neto]],Imput[[C. Imp.]:[C. Imp.]],$D997,Imput[[PERIODO Imp.]:[PERIODO Imp.]],BX$9)</f>
        <v>0</v>
      </c>
      <c r="BY997" s="693">
        <f>SUMIFS(Imput[[Importe Neto]:[Importe Neto]],Imput[[C. Imp.]:[C. Imp.]],$D997,Imput[[PERIODO Imp.]:[PERIODO Imp.]],BY$9)</f>
        <v>0</v>
      </c>
      <c r="BZ997" s="693">
        <f>SUMIFS(Imput[[Importe Neto]:[Importe Neto]],Imput[[C. Imp.]:[C. Imp.]],$D997,Imput[[PERIODO Imp.]:[PERIODO Imp.]],BZ$9)</f>
        <v>0</v>
      </c>
      <c r="CA997" s="693">
        <f>SUMIFS(Imput[[Importe Neto]:[Importe Neto]],Imput[[C. Imp.]:[C. Imp.]],$D997,Imput[[PERIODO Imp.]:[PERIODO Imp.]],CA$9)</f>
        <v>0</v>
      </c>
      <c r="CB997" s="693">
        <f>SUMIFS(Imput[[Importe Neto]:[Importe Neto]],Imput[[C. Imp.]:[C. Imp.]],$D997,Imput[[PERIODO Imp.]:[PERIODO Imp.]],CB$9)</f>
        <v>0</v>
      </c>
      <c r="CC997" s="693">
        <f>SUMIFS(Imput[[Importe Neto]:[Importe Neto]],Imput[[C. Imp.]:[C. Imp.]],$D997,Imput[[PERIODO Imp.]:[PERIODO Imp.]],CC$9)</f>
        <v>0</v>
      </c>
      <c r="CD997" s="693">
        <f>SUMIFS(Imput[[Importe Neto]:[Importe Neto]],Imput[[C. Imp.]:[C. Imp.]],$D997,Imput[[PERIODO Imp.]:[PERIODO Imp.]],CD$9)</f>
        <v>0</v>
      </c>
      <c r="CE997" s="693">
        <f>SUMIFS(Imput[[Importe Neto]:[Importe Neto]],Imput[[C. Imp.]:[C. Imp.]],$D997,Imput[[PERIODO Imp.]:[PERIODO Imp.]],CE$9)</f>
        <v>0</v>
      </c>
      <c r="CF997" s="693">
        <f>SUMIFS(Imput[[Importe Neto]:[Importe Neto]],Imput[[C. Imp.]:[C. Imp.]],$D997,Imput[[PERIODO Imp.]:[PERIODO Imp.]],CF$9)</f>
        <v>0</v>
      </c>
      <c r="CG997" s="693">
        <f>SUMIFS(Imput[[Importe Neto]:[Importe Neto]],Imput[[C. Imp.]:[C. Imp.]],$D997,Imput[[PERIODO Imp.]:[PERIODO Imp.]],CG$9)</f>
        <v>0</v>
      </c>
      <c r="CH997" s="693">
        <f>SUMIFS(Imput[[Importe Neto]:[Importe Neto]],Imput[[C. Imp.]:[C. Imp.]],$D997,Imput[[PERIODO Imp.]:[PERIODO Imp.]],CH$9)</f>
        <v>0</v>
      </c>
      <c r="CI997" s="693">
        <f>SUMIFS(Imput[[Importe Neto]:[Importe Neto]],Imput[[C. Imp.]:[C. Imp.]],$D997,Imput[[PERIODO Imp.]:[PERIODO Imp.]],CI$9)</f>
        <v>0</v>
      </c>
      <c r="CJ997" s="693">
        <f>SUMIFS(Imput[[Importe Neto]:[Importe Neto]],Imput[[C. Imp.]:[C. Imp.]],$D997,Imput[[PERIODO Imp.]:[PERIODO Imp.]],CJ$9)</f>
        <v>0</v>
      </c>
      <c r="CK997" s="693">
        <f>SUMIFS(Imput[[Importe Neto]:[Importe Neto]],Imput[[C. Imp.]:[C. Imp.]],$D997,Imput[[PERIODO Imp.]:[PERIODO Imp.]],CK$9)</f>
        <v>0</v>
      </c>
      <c r="CL997" s="693">
        <f>SUMIFS(Imput[[Importe Neto]:[Importe Neto]],Imput[[C. Imp.]:[C. Imp.]],$D997,Imput[[PERIODO Imp.]:[PERIODO Imp.]],CL$9)</f>
        <v>0</v>
      </c>
      <c r="CM997" s="693">
        <f>SUMIFS(Imput[[Importe Neto]:[Importe Neto]],Imput[[C. Imp.]:[C. Imp.]],$D997,Imput[[PERIODO Imp.]:[PERIODO Imp.]],CM$9)</f>
        <v>0</v>
      </c>
      <c r="CN997" s="693">
        <f>SUMIFS(Imput[[Importe Neto]:[Importe Neto]],Imput[[C. Imp.]:[C. Imp.]],$D997,Imput[[PERIODO Imp.]:[PERIODO Imp.]],CN$9)</f>
        <v>0</v>
      </c>
      <c r="CO997" s="693">
        <f>SUMIFS(Imput[[Importe Neto]:[Importe Neto]],Imput[[C. Imp.]:[C. Imp.]],$D997,Imput[[PERIODO Imp.]:[PERIODO Imp.]],CO$9)</f>
        <v>0</v>
      </c>
      <c r="CP997" s="693">
        <f>SUMIFS(Imput[[Importe Neto]:[Importe Neto]],Imput[[C. Imp.]:[C. Imp.]],$D997,Imput[[PERIODO Imp.]:[PERIODO Imp.]],CP$9)</f>
        <v>0</v>
      </c>
      <c r="CQ997" s="693">
        <f>SUMIFS(Imput[[Importe Neto]:[Importe Neto]],Imput[[C. Imp.]:[C. Imp.]],$D997,Imput[[PERIODO Imp.]:[PERIODO Imp.]],CQ$9)</f>
        <v>0</v>
      </c>
      <c r="CR997" s="693">
        <f>SUMIFS(Imput[[Importe Neto]:[Importe Neto]],Imput[[C. Imp.]:[C. Imp.]],$D997,Imput[[PERIODO Imp.]:[PERIODO Imp.]],CR$9)</f>
        <v>0</v>
      </c>
      <c r="CS997" s="693">
        <f>SUMIFS(Imput[[Importe Neto]:[Importe Neto]],Imput[[C. Imp.]:[C. Imp.]],$D997,Imput[[PERIODO Imp.]:[PERIODO Imp.]],CS$9)</f>
        <v>0</v>
      </c>
      <c r="CT997" s="693">
        <f>SUMIFS(Imput[[Importe Neto]:[Importe Neto]],Imput[[C. Imp.]:[C. Imp.]],$D997,Imput[[PERIODO Imp.]:[PERIODO Imp.]],CT$9)</f>
        <v>0</v>
      </c>
      <c r="CU997" s="693">
        <f>SUMIFS(Imput[[Importe Neto]:[Importe Neto]],Imput[[C. Imp.]:[C. Imp.]],$D997,Imput[[PERIODO Imp.]:[PERIODO Imp.]],CU$9)</f>
        <v>0</v>
      </c>
      <c r="CV997" s="693">
        <f>SUMIFS(Imput[[Importe Neto]:[Importe Neto]],Imput[[C. Imp.]:[C. Imp.]],$D997,Imput[[PERIODO Imp.]:[PERIODO Imp.]],CV$9)</f>
        <v>0</v>
      </c>
      <c r="CW997" s="693">
        <f>SUMIFS(Imput[[Importe Neto]:[Importe Neto]],Imput[[C. Imp.]:[C. Imp.]],$D997,Imput[[PERIODO Imp.]:[PERIODO Imp.]],CW$9)</f>
        <v>0</v>
      </c>
      <c r="CX997" s="693">
        <f>SUMIFS(Imput[[Importe Neto]:[Importe Neto]],Imput[[C. Imp.]:[C. Imp.]],$D997,Imput[[PERIODO Imp.]:[PERIODO Imp.]],CX$9)</f>
        <v>0</v>
      </c>
      <c r="CY997" s="693">
        <f>SUMIFS(Imput[[Importe Neto]:[Importe Neto]],Imput[[C. Imp.]:[C. Imp.]],$D997,Imput[[PERIODO Imp.]:[PERIODO Imp.]],CY$9)</f>
        <v>0</v>
      </c>
      <c r="CZ997" s="693">
        <f>SUMIFS(Imput[[Importe Neto]:[Importe Neto]],Imput[[C. Imp.]:[C. Imp.]],$D997,Imput[[PERIODO Imp.]:[PERIODO Imp.]],CZ$9)</f>
        <v>0</v>
      </c>
      <c r="DA997" s="693">
        <f>SUMIFS(Imput[[Importe Neto]:[Importe Neto]],Imput[[C. Imp.]:[C. Imp.]],$D997,Imput[[PERIODO Imp.]:[PERIODO Imp.]],DA$9)</f>
        <v>0</v>
      </c>
      <c r="DB997" s="693">
        <f>SUMIFS(Imput[[Importe Neto]:[Importe Neto]],Imput[[C. Imp.]:[C. Imp.]],$D997,Imput[[PERIODO Imp.]:[PERIODO Imp.]],DB$9)</f>
        <v>0</v>
      </c>
      <c r="DC997" s="693">
        <f>SUMIFS(Imput[[Importe Neto]:[Importe Neto]],Imput[[C. Imp.]:[C. Imp.]],$D997,Imput[[PERIODO Imp.]:[PERIODO Imp.]],DC$9)</f>
        <v>0</v>
      </c>
      <c r="DD997" s="693">
        <f>SUMIFS(Imput[[Importe Neto]:[Importe Neto]],Imput[[C. Imp.]:[C. Imp.]],$D997,Imput[[PERIODO Imp.]:[PERIODO Imp.]],DD$9)</f>
        <v>0</v>
      </c>
      <c r="DE997" s="693">
        <f>SUMIFS(Imput[[Importe Neto]:[Importe Neto]],Imput[[C. Imp.]:[C. Imp.]],$D997,Imput[[PERIODO Imp.]:[PERIODO Imp.]],DE$9)</f>
        <v>0</v>
      </c>
      <c r="DF997" s="693">
        <f>SUMIFS(Imput[[Importe Neto]:[Importe Neto]],Imput[[C. Imp.]:[C. Imp.]],$D997,Imput[[PERIODO Imp.]:[PERIODO Imp.]],DF$9)</f>
        <v>0</v>
      </c>
      <c r="DG997" s="693">
        <f>SUMIFS(Imput[[Importe Neto]:[Importe Neto]],Imput[[C. Imp.]:[C. Imp.]],$D997,Imput[[PERIODO Imp.]:[PERIODO Imp.]],DG$9)</f>
        <v>0</v>
      </c>
      <c r="DH997" s="694">
        <f>SUMIFS(Imput[[Importe Neto]:[Importe Neto]],Imput[[C. Imp.]:[C. Imp.]],$D997,Imput[[PERIODO Imp.]:[PERIODO Imp.]],DH$9)</f>
        <v>0</v>
      </c>
    </row>
    <row r="998" spans="1:112" s="649" customFormat="1" hidden="1" outlineLevel="1" x14ac:dyDescent="0.3">
      <c r="A998" s="652" t="str">
        <f t="shared" si="347"/>
        <v/>
      </c>
      <c r="B998" s="652"/>
      <c r="C998" s="685"/>
      <c r="D998" s="686"/>
      <c r="E998" s="686"/>
      <c r="F998" s="720"/>
      <c r="G998" s="688"/>
      <c r="H998" s="689"/>
      <c r="I998" s="851" t="str">
        <f t="shared" si="348"/>
        <v/>
      </c>
      <c r="J998" s="850" t="str">
        <f t="shared" si="349"/>
        <v/>
      </c>
      <c r="K998" s="667"/>
      <c r="L998" s="858"/>
      <c r="M998" s="859"/>
      <c r="N998" s="859"/>
      <c r="O998" s="859"/>
      <c r="P998" s="859"/>
      <c r="Q998" s="859"/>
      <c r="R998" s="859"/>
      <c r="S998" s="859"/>
      <c r="T998" s="859"/>
      <c r="U998" s="859"/>
      <c r="V998" s="859"/>
      <c r="W998" s="859"/>
      <c r="X998" s="859"/>
      <c r="Y998" s="859"/>
      <c r="Z998" s="860"/>
      <c r="AA998" s="860"/>
      <c r="AB998" s="860"/>
      <c r="AC998" s="860"/>
      <c r="AD998" s="860"/>
      <c r="AE998" s="860"/>
      <c r="AF998" s="860"/>
      <c r="AG998" s="860"/>
      <c r="AH998" s="860"/>
      <c r="AI998" s="860"/>
      <c r="AJ998" s="860"/>
      <c r="AK998" s="860"/>
      <c r="AL998" s="860"/>
      <c r="AM998" s="860"/>
      <c r="AN998" s="860"/>
      <c r="AO998" s="860"/>
      <c r="AP998" s="860"/>
      <c r="AQ998" s="860"/>
      <c r="AR998" s="860"/>
      <c r="AS998" s="860"/>
      <c r="AT998" s="860"/>
      <c r="AU998" s="860"/>
      <c r="AV998" s="860"/>
      <c r="AW998" s="860"/>
      <c r="AX998" s="860"/>
      <c r="AY998" s="860"/>
      <c r="AZ998" s="860"/>
      <c r="BA998" s="860"/>
      <c r="BB998" s="860"/>
      <c r="BC998" s="860"/>
      <c r="BD998" s="860"/>
      <c r="BE998" s="860"/>
      <c r="BF998" s="860"/>
      <c r="BG998" s="860"/>
      <c r="BH998" s="668"/>
      <c r="BI998" s="667"/>
      <c r="BJ998" s="690">
        <f t="shared" si="350"/>
        <v>0</v>
      </c>
      <c r="BK998" s="691">
        <f t="shared" si="351"/>
        <v>0</v>
      </c>
      <c r="BL998" s="654"/>
      <c r="BM998" s="692">
        <f>SUMIFS(Imput[[Importe Neto]:[Importe Neto]],Imput[[C. Imp.]:[C. Imp.]],$D998,Imput[[PERIODO Imp.]:[PERIODO Imp.]],BM$9)</f>
        <v>0</v>
      </c>
      <c r="BN998" s="693">
        <f>SUMIFS(Imput[[Importe Neto]:[Importe Neto]],Imput[[C. Imp.]:[C. Imp.]],$D998,Imput[[PERIODO Imp.]:[PERIODO Imp.]],BN$9)</f>
        <v>0</v>
      </c>
      <c r="BO998" s="693">
        <f>SUMIFS(Imput[[Importe Neto]:[Importe Neto]],Imput[[C. Imp.]:[C. Imp.]],$D998,Imput[[PERIODO Imp.]:[PERIODO Imp.]],BO$9)</f>
        <v>0</v>
      </c>
      <c r="BP998" s="693">
        <f>SUMIFS(Imput[[Importe Neto]:[Importe Neto]],Imput[[C. Imp.]:[C. Imp.]],$D998,Imput[[PERIODO Imp.]:[PERIODO Imp.]],BP$9)</f>
        <v>0</v>
      </c>
      <c r="BQ998" s="693">
        <f>SUMIFS(Imput[[Importe Neto]:[Importe Neto]],Imput[[C. Imp.]:[C. Imp.]],$D998,Imput[[PERIODO Imp.]:[PERIODO Imp.]],BQ$9)</f>
        <v>0</v>
      </c>
      <c r="BR998" s="693">
        <f>SUMIFS(Imput[[Importe Neto]:[Importe Neto]],Imput[[C. Imp.]:[C. Imp.]],$D998,Imput[[PERIODO Imp.]:[PERIODO Imp.]],BR$9)</f>
        <v>0</v>
      </c>
      <c r="BS998" s="693">
        <f>SUMIFS(Imput[[Importe Neto]:[Importe Neto]],Imput[[C. Imp.]:[C. Imp.]],$D998,Imput[[PERIODO Imp.]:[PERIODO Imp.]],BS$9)</f>
        <v>0</v>
      </c>
      <c r="BT998" s="693">
        <f>SUMIFS(Imput[[Importe Neto]:[Importe Neto]],Imput[[C. Imp.]:[C. Imp.]],$D998,Imput[[PERIODO Imp.]:[PERIODO Imp.]],BT$9)</f>
        <v>0</v>
      </c>
      <c r="BU998" s="693">
        <f>SUMIFS(Imput[[Importe Neto]:[Importe Neto]],Imput[[C. Imp.]:[C. Imp.]],$D998,Imput[[PERIODO Imp.]:[PERIODO Imp.]],BU$9)</f>
        <v>0</v>
      </c>
      <c r="BV998" s="693">
        <f>SUMIFS(Imput[[Importe Neto]:[Importe Neto]],Imput[[C. Imp.]:[C. Imp.]],$D998,Imput[[PERIODO Imp.]:[PERIODO Imp.]],BV$9)</f>
        <v>0</v>
      </c>
      <c r="BW998" s="693">
        <f>SUMIFS(Imput[[Importe Neto]:[Importe Neto]],Imput[[C. Imp.]:[C. Imp.]],$D998,Imput[[PERIODO Imp.]:[PERIODO Imp.]],BW$9)</f>
        <v>0</v>
      </c>
      <c r="BX998" s="693">
        <f>SUMIFS(Imput[[Importe Neto]:[Importe Neto]],Imput[[C. Imp.]:[C. Imp.]],$D998,Imput[[PERIODO Imp.]:[PERIODO Imp.]],BX$9)</f>
        <v>0</v>
      </c>
      <c r="BY998" s="693">
        <f>SUMIFS(Imput[[Importe Neto]:[Importe Neto]],Imput[[C. Imp.]:[C. Imp.]],$D998,Imput[[PERIODO Imp.]:[PERIODO Imp.]],BY$9)</f>
        <v>0</v>
      </c>
      <c r="BZ998" s="693">
        <f>SUMIFS(Imput[[Importe Neto]:[Importe Neto]],Imput[[C. Imp.]:[C. Imp.]],$D998,Imput[[PERIODO Imp.]:[PERIODO Imp.]],BZ$9)</f>
        <v>0</v>
      </c>
      <c r="CA998" s="693">
        <f>SUMIFS(Imput[[Importe Neto]:[Importe Neto]],Imput[[C. Imp.]:[C. Imp.]],$D998,Imput[[PERIODO Imp.]:[PERIODO Imp.]],CA$9)</f>
        <v>0</v>
      </c>
      <c r="CB998" s="693">
        <f>SUMIFS(Imput[[Importe Neto]:[Importe Neto]],Imput[[C. Imp.]:[C. Imp.]],$D998,Imput[[PERIODO Imp.]:[PERIODO Imp.]],CB$9)</f>
        <v>0</v>
      </c>
      <c r="CC998" s="693">
        <f>SUMIFS(Imput[[Importe Neto]:[Importe Neto]],Imput[[C. Imp.]:[C. Imp.]],$D998,Imput[[PERIODO Imp.]:[PERIODO Imp.]],CC$9)</f>
        <v>0</v>
      </c>
      <c r="CD998" s="693">
        <f>SUMIFS(Imput[[Importe Neto]:[Importe Neto]],Imput[[C. Imp.]:[C. Imp.]],$D998,Imput[[PERIODO Imp.]:[PERIODO Imp.]],CD$9)</f>
        <v>0</v>
      </c>
      <c r="CE998" s="693">
        <f>SUMIFS(Imput[[Importe Neto]:[Importe Neto]],Imput[[C. Imp.]:[C. Imp.]],$D998,Imput[[PERIODO Imp.]:[PERIODO Imp.]],CE$9)</f>
        <v>0</v>
      </c>
      <c r="CF998" s="693">
        <f>SUMIFS(Imput[[Importe Neto]:[Importe Neto]],Imput[[C. Imp.]:[C. Imp.]],$D998,Imput[[PERIODO Imp.]:[PERIODO Imp.]],CF$9)</f>
        <v>0</v>
      </c>
      <c r="CG998" s="693">
        <f>SUMIFS(Imput[[Importe Neto]:[Importe Neto]],Imput[[C. Imp.]:[C. Imp.]],$D998,Imput[[PERIODO Imp.]:[PERIODO Imp.]],CG$9)</f>
        <v>0</v>
      </c>
      <c r="CH998" s="693">
        <f>SUMIFS(Imput[[Importe Neto]:[Importe Neto]],Imput[[C. Imp.]:[C. Imp.]],$D998,Imput[[PERIODO Imp.]:[PERIODO Imp.]],CH$9)</f>
        <v>0</v>
      </c>
      <c r="CI998" s="693">
        <f>SUMIFS(Imput[[Importe Neto]:[Importe Neto]],Imput[[C. Imp.]:[C. Imp.]],$D998,Imput[[PERIODO Imp.]:[PERIODO Imp.]],CI$9)</f>
        <v>0</v>
      </c>
      <c r="CJ998" s="693">
        <f>SUMIFS(Imput[[Importe Neto]:[Importe Neto]],Imput[[C. Imp.]:[C. Imp.]],$D998,Imput[[PERIODO Imp.]:[PERIODO Imp.]],CJ$9)</f>
        <v>0</v>
      </c>
      <c r="CK998" s="693">
        <f>SUMIFS(Imput[[Importe Neto]:[Importe Neto]],Imput[[C. Imp.]:[C. Imp.]],$D998,Imput[[PERIODO Imp.]:[PERIODO Imp.]],CK$9)</f>
        <v>0</v>
      </c>
      <c r="CL998" s="693">
        <f>SUMIFS(Imput[[Importe Neto]:[Importe Neto]],Imput[[C. Imp.]:[C. Imp.]],$D998,Imput[[PERIODO Imp.]:[PERIODO Imp.]],CL$9)</f>
        <v>0</v>
      </c>
      <c r="CM998" s="693">
        <f>SUMIFS(Imput[[Importe Neto]:[Importe Neto]],Imput[[C. Imp.]:[C. Imp.]],$D998,Imput[[PERIODO Imp.]:[PERIODO Imp.]],CM$9)</f>
        <v>0</v>
      </c>
      <c r="CN998" s="693">
        <f>SUMIFS(Imput[[Importe Neto]:[Importe Neto]],Imput[[C. Imp.]:[C. Imp.]],$D998,Imput[[PERIODO Imp.]:[PERIODO Imp.]],CN$9)</f>
        <v>0</v>
      </c>
      <c r="CO998" s="693">
        <f>SUMIFS(Imput[[Importe Neto]:[Importe Neto]],Imput[[C. Imp.]:[C. Imp.]],$D998,Imput[[PERIODO Imp.]:[PERIODO Imp.]],CO$9)</f>
        <v>0</v>
      </c>
      <c r="CP998" s="693">
        <f>SUMIFS(Imput[[Importe Neto]:[Importe Neto]],Imput[[C. Imp.]:[C. Imp.]],$D998,Imput[[PERIODO Imp.]:[PERIODO Imp.]],CP$9)</f>
        <v>0</v>
      </c>
      <c r="CQ998" s="693">
        <f>SUMIFS(Imput[[Importe Neto]:[Importe Neto]],Imput[[C. Imp.]:[C. Imp.]],$D998,Imput[[PERIODO Imp.]:[PERIODO Imp.]],CQ$9)</f>
        <v>0</v>
      </c>
      <c r="CR998" s="693">
        <f>SUMIFS(Imput[[Importe Neto]:[Importe Neto]],Imput[[C. Imp.]:[C. Imp.]],$D998,Imput[[PERIODO Imp.]:[PERIODO Imp.]],CR$9)</f>
        <v>0</v>
      </c>
      <c r="CS998" s="693">
        <f>SUMIFS(Imput[[Importe Neto]:[Importe Neto]],Imput[[C. Imp.]:[C. Imp.]],$D998,Imput[[PERIODO Imp.]:[PERIODO Imp.]],CS$9)</f>
        <v>0</v>
      </c>
      <c r="CT998" s="693">
        <f>SUMIFS(Imput[[Importe Neto]:[Importe Neto]],Imput[[C. Imp.]:[C. Imp.]],$D998,Imput[[PERIODO Imp.]:[PERIODO Imp.]],CT$9)</f>
        <v>0</v>
      </c>
      <c r="CU998" s="693">
        <f>SUMIFS(Imput[[Importe Neto]:[Importe Neto]],Imput[[C. Imp.]:[C. Imp.]],$D998,Imput[[PERIODO Imp.]:[PERIODO Imp.]],CU$9)</f>
        <v>0</v>
      </c>
      <c r="CV998" s="693">
        <f>SUMIFS(Imput[[Importe Neto]:[Importe Neto]],Imput[[C. Imp.]:[C. Imp.]],$D998,Imput[[PERIODO Imp.]:[PERIODO Imp.]],CV$9)</f>
        <v>0</v>
      </c>
      <c r="CW998" s="693">
        <f>SUMIFS(Imput[[Importe Neto]:[Importe Neto]],Imput[[C. Imp.]:[C. Imp.]],$D998,Imput[[PERIODO Imp.]:[PERIODO Imp.]],CW$9)</f>
        <v>0</v>
      </c>
      <c r="CX998" s="693">
        <f>SUMIFS(Imput[[Importe Neto]:[Importe Neto]],Imput[[C. Imp.]:[C. Imp.]],$D998,Imput[[PERIODO Imp.]:[PERIODO Imp.]],CX$9)</f>
        <v>0</v>
      </c>
      <c r="CY998" s="693">
        <f>SUMIFS(Imput[[Importe Neto]:[Importe Neto]],Imput[[C. Imp.]:[C. Imp.]],$D998,Imput[[PERIODO Imp.]:[PERIODO Imp.]],CY$9)</f>
        <v>0</v>
      </c>
      <c r="CZ998" s="693">
        <f>SUMIFS(Imput[[Importe Neto]:[Importe Neto]],Imput[[C. Imp.]:[C. Imp.]],$D998,Imput[[PERIODO Imp.]:[PERIODO Imp.]],CZ$9)</f>
        <v>0</v>
      </c>
      <c r="DA998" s="693">
        <f>SUMIFS(Imput[[Importe Neto]:[Importe Neto]],Imput[[C. Imp.]:[C. Imp.]],$D998,Imput[[PERIODO Imp.]:[PERIODO Imp.]],DA$9)</f>
        <v>0</v>
      </c>
      <c r="DB998" s="693">
        <f>SUMIFS(Imput[[Importe Neto]:[Importe Neto]],Imput[[C. Imp.]:[C. Imp.]],$D998,Imput[[PERIODO Imp.]:[PERIODO Imp.]],DB$9)</f>
        <v>0</v>
      </c>
      <c r="DC998" s="693">
        <f>SUMIFS(Imput[[Importe Neto]:[Importe Neto]],Imput[[C. Imp.]:[C. Imp.]],$D998,Imput[[PERIODO Imp.]:[PERIODO Imp.]],DC$9)</f>
        <v>0</v>
      </c>
      <c r="DD998" s="693">
        <f>SUMIFS(Imput[[Importe Neto]:[Importe Neto]],Imput[[C. Imp.]:[C. Imp.]],$D998,Imput[[PERIODO Imp.]:[PERIODO Imp.]],DD$9)</f>
        <v>0</v>
      </c>
      <c r="DE998" s="693">
        <f>SUMIFS(Imput[[Importe Neto]:[Importe Neto]],Imput[[C. Imp.]:[C. Imp.]],$D998,Imput[[PERIODO Imp.]:[PERIODO Imp.]],DE$9)</f>
        <v>0</v>
      </c>
      <c r="DF998" s="693">
        <f>SUMIFS(Imput[[Importe Neto]:[Importe Neto]],Imput[[C. Imp.]:[C. Imp.]],$D998,Imput[[PERIODO Imp.]:[PERIODO Imp.]],DF$9)</f>
        <v>0</v>
      </c>
      <c r="DG998" s="693">
        <f>SUMIFS(Imput[[Importe Neto]:[Importe Neto]],Imput[[C. Imp.]:[C. Imp.]],$D998,Imput[[PERIODO Imp.]:[PERIODO Imp.]],DG$9)</f>
        <v>0</v>
      </c>
      <c r="DH998" s="694">
        <f>SUMIFS(Imput[[Importe Neto]:[Importe Neto]],Imput[[C. Imp.]:[C. Imp.]],$D998,Imput[[PERIODO Imp.]:[PERIODO Imp.]],DH$9)</f>
        <v>0</v>
      </c>
    </row>
    <row r="999" spans="1:112" s="649" customFormat="1" hidden="1" outlineLevel="1" x14ac:dyDescent="0.3">
      <c r="A999" s="652" t="str">
        <f t="shared" si="347"/>
        <v/>
      </c>
      <c r="B999" s="652"/>
      <c r="C999" s="685"/>
      <c r="D999" s="686"/>
      <c r="E999" s="686"/>
      <c r="F999" s="720"/>
      <c r="G999" s="688"/>
      <c r="H999" s="689"/>
      <c r="I999" s="851" t="str">
        <f t="shared" si="348"/>
        <v/>
      </c>
      <c r="J999" s="850" t="str">
        <f t="shared" si="349"/>
        <v/>
      </c>
      <c r="K999" s="667"/>
      <c r="L999" s="858"/>
      <c r="M999" s="859"/>
      <c r="N999" s="859"/>
      <c r="O999" s="859"/>
      <c r="P999" s="859"/>
      <c r="Q999" s="859"/>
      <c r="R999" s="859"/>
      <c r="S999" s="859"/>
      <c r="T999" s="859"/>
      <c r="U999" s="859"/>
      <c r="V999" s="859"/>
      <c r="W999" s="859"/>
      <c r="X999" s="859"/>
      <c r="Y999" s="859"/>
      <c r="Z999" s="860"/>
      <c r="AA999" s="860"/>
      <c r="AB999" s="860"/>
      <c r="AC999" s="860"/>
      <c r="AD999" s="860"/>
      <c r="AE999" s="860"/>
      <c r="AF999" s="860"/>
      <c r="AG999" s="860"/>
      <c r="AH999" s="860"/>
      <c r="AI999" s="860"/>
      <c r="AJ999" s="860"/>
      <c r="AK999" s="860"/>
      <c r="AL999" s="860"/>
      <c r="AM999" s="860"/>
      <c r="AN999" s="860"/>
      <c r="AO999" s="860"/>
      <c r="AP999" s="860"/>
      <c r="AQ999" s="860"/>
      <c r="AR999" s="860"/>
      <c r="AS999" s="860"/>
      <c r="AT999" s="860"/>
      <c r="AU999" s="860"/>
      <c r="AV999" s="860"/>
      <c r="AW999" s="860"/>
      <c r="AX999" s="860"/>
      <c r="AY999" s="860"/>
      <c r="AZ999" s="860"/>
      <c r="BA999" s="860"/>
      <c r="BB999" s="860"/>
      <c r="BC999" s="860"/>
      <c r="BD999" s="860"/>
      <c r="BE999" s="860"/>
      <c r="BF999" s="860"/>
      <c r="BG999" s="860"/>
      <c r="BH999" s="668"/>
      <c r="BI999" s="667"/>
      <c r="BJ999" s="690">
        <f t="shared" si="350"/>
        <v>0</v>
      </c>
      <c r="BK999" s="691">
        <f t="shared" si="351"/>
        <v>0</v>
      </c>
      <c r="BL999" s="654"/>
      <c r="BM999" s="692">
        <f>SUMIFS(Imput[[Importe Neto]:[Importe Neto]],Imput[[C. Imp.]:[C. Imp.]],$D999,Imput[[PERIODO Imp.]:[PERIODO Imp.]],BM$9)</f>
        <v>0</v>
      </c>
      <c r="BN999" s="693">
        <f>SUMIFS(Imput[[Importe Neto]:[Importe Neto]],Imput[[C. Imp.]:[C. Imp.]],$D999,Imput[[PERIODO Imp.]:[PERIODO Imp.]],BN$9)</f>
        <v>0</v>
      </c>
      <c r="BO999" s="693">
        <f>SUMIFS(Imput[[Importe Neto]:[Importe Neto]],Imput[[C. Imp.]:[C. Imp.]],$D999,Imput[[PERIODO Imp.]:[PERIODO Imp.]],BO$9)</f>
        <v>0</v>
      </c>
      <c r="BP999" s="693">
        <f>SUMIFS(Imput[[Importe Neto]:[Importe Neto]],Imput[[C. Imp.]:[C. Imp.]],$D999,Imput[[PERIODO Imp.]:[PERIODO Imp.]],BP$9)</f>
        <v>0</v>
      </c>
      <c r="BQ999" s="693">
        <f>SUMIFS(Imput[[Importe Neto]:[Importe Neto]],Imput[[C. Imp.]:[C. Imp.]],$D999,Imput[[PERIODO Imp.]:[PERIODO Imp.]],BQ$9)</f>
        <v>0</v>
      </c>
      <c r="BR999" s="693">
        <f>SUMIFS(Imput[[Importe Neto]:[Importe Neto]],Imput[[C. Imp.]:[C. Imp.]],$D999,Imput[[PERIODO Imp.]:[PERIODO Imp.]],BR$9)</f>
        <v>0</v>
      </c>
      <c r="BS999" s="693">
        <f>SUMIFS(Imput[[Importe Neto]:[Importe Neto]],Imput[[C. Imp.]:[C. Imp.]],$D999,Imput[[PERIODO Imp.]:[PERIODO Imp.]],BS$9)</f>
        <v>0</v>
      </c>
      <c r="BT999" s="693">
        <f>SUMIFS(Imput[[Importe Neto]:[Importe Neto]],Imput[[C. Imp.]:[C. Imp.]],$D999,Imput[[PERIODO Imp.]:[PERIODO Imp.]],BT$9)</f>
        <v>0</v>
      </c>
      <c r="BU999" s="693">
        <f>SUMIFS(Imput[[Importe Neto]:[Importe Neto]],Imput[[C. Imp.]:[C. Imp.]],$D999,Imput[[PERIODO Imp.]:[PERIODO Imp.]],BU$9)</f>
        <v>0</v>
      </c>
      <c r="BV999" s="693">
        <f>SUMIFS(Imput[[Importe Neto]:[Importe Neto]],Imput[[C. Imp.]:[C. Imp.]],$D999,Imput[[PERIODO Imp.]:[PERIODO Imp.]],BV$9)</f>
        <v>0</v>
      </c>
      <c r="BW999" s="693">
        <f>SUMIFS(Imput[[Importe Neto]:[Importe Neto]],Imput[[C. Imp.]:[C. Imp.]],$D999,Imput[[PERIODO Imp.]:[PERIODO Imp.]],BW$9)</f>
        <v>0</v>
      </c>
      <c r="BX999" s="693">
        <f>SUMIFS(Imput[[Importe Neto]:[Importe Neto]],Imput[[C. Imp.]:[C. Imp.]],$D999,Imput[[PERIODO Imp.]:[PERIODO Imp.]],BX$9)</f>
        <v>0</v>
      </c>
      <c r="BY999" s="693">
        <f>SUMIFS(Imput[[Importe Neto]:[Importe Neto]],Imput[[C. Imp.]:[C. Imp.]],$D999,Imput[[PERIODO Imp.]:[PERIODO Imp.]],BY$9)</f>
        <v>0</v>
      </c>
      <c r="BZ999" s="693">
        <f>SUMIFS(Imput[[Importe Neto]:[Importe Neto]],Imput[[C. Imp.]:[C. Imp.]],$D999,Imput[[PERIODO Imp.]:[PERIODO Imp.]],BZ$9)</f>
        <v>0</v>
      </c>
      <c r="CA999" s="693">
        <f>SUMIFS(Imput[[Importe Neto]:[Importe Neto]],Imput[[C. Imp.]:[C. Imp.]],$D999,Imput[[PERIODO Imp.]:[PERIODO Imp.]],CA$9)</f>
        <v>0</v>
      </c>
      <c r="CB999" s="693">
        <f>SUMIFS(Imput[[Importe Neto]:[Importe Neto]],Imput[[C. Imp.]:[C. Imp.]],$D999,Imput[[PERIODO Imp.]:[PERIODO Imp.]],CB$9)</f>
        <v>0</v>
      </c>
      <c r="CC999" s="693">
        <f>SUMIFS(Imput[[Importe Neto]:[Importe Neto]],Imput[[C. Imp.]:[C. Imp.]],$D999,Imput[[PERIODO Imp.]:[PERIODO Imp.]],CC$9)</f>
        <v>0</v>
      </c>
      <c r="CD999" s="693">
        <f>SUMIFS(Imput[[Importe Neto]:[Importe Neto]],Imput[[C. Imp.]:[C. Imp.]],$D999,Imput[[PERIODO Imp.]:[PERIODO Imp.]],CD$9)</f>
        <v>0</v>
      </c>
      <c r="CE999" s="693">
        <f>SUMIFS(Imput[[Importe Neto]:[Importe Neto]],Imput[[C. Imp.]:[C. Imp.]],$D999,Imput[[PERIODO Imp.]:[PERIODO Imp.]],CE$9)</f>
        <v>0</v>
      </c>
      <c r="CF999" s="693">
        <f>SUMIFS(Imput[[Importe Neto]:[Importe Neto]],Imput[[C. Imp.]:[C. Imp.]],$D999,Imput[[PERIODO Imp.]:[PERIODO Imp.]],CF$9)</f>
        <v>0</v>
      </c>
      <c r="CG999" s="693">
        <f>SUMIFS(Imput[[Importe Neto]:[Importe Neto]],Imput[[C. Imp.]:[C. Imp.]],$D999,Imput[[PERIODO Imp.]:[PERIODO Imp.]],CG$9)</f>
        <v>0</v>
      </c>
      <c r="CH999" s="693">
        <f>SUMIFS(Imput[[Importe Neto]:[Importe Neto]],Imput[[C. Imp.]:[C. Imp.]],$D999,Imput[[PERIODO Imp.]:[PERIODO Imp.]],CH$9)</f>
        <v>0</v>
      </c>
      <c r="CI999" s="693">
        <f>SUMIFS(Imput[[Importe Neto]:[Importe Neto]],Imput[[C. Imp.]:[C. Imp.]],$D999,Imput[[PERIODO Imp.]:[PERIODO Imp.]],CI$9)</f>
        <v>0</v>
      </c>
      <c r="CJ999" s="693">
        <f>SUMIFS(Imput[[Importe Neto]:[Importe Neto]],Imput[[C. Imp.]:[C. Imp.]],$D999,Imput[[PERIODO Imp.]:[PERIODO Imp.]],CJ$9)</f>
        <v>0</v>
      </c>
      <c r="CK999" s="693">
        <f>SUMIFS(Imput[[Importe Neto]:[Importe Neto]],Imput[[C. Imp.]:[C. Imp.]],$D999,Imput[[PERIODO Imp.]:[PERIODO Imp.]],CK$9)</f>
        <v>0</v>
      </c>
      <c r="CL999" s="693">
        <f>SUMIFS(Imput[[Importe Neto]:[Importe Neto]],Imput[[C. Imp.]:[C. Imp.]],$D999,Imput[[PERIODO Imp.]:[PERIODO Imp.]],CL$9)</f>
        <v>0</v>
      </c>
      <c r="CM999" s="693">
        <f>SUMIFS(Imput[[Importe Neto]:[Importe Neto]],Imput[[C. Imp.]:[C. Imp.]],$D999,Imput[[PERIODO Imp.]:[PERIODO Imp.]],CM$9)</f>
        <v>0</v>
      </c>
      <c r="CN999" s="693">
        <f>SUMIFS(Imput[[Importe Neto]:[Importe Neto]],Imput[[C. Imp.]:[C. Imp.]],$D999,Imput[[PERIODO Imp.]:[PERIODO Imp.]],CN$9)</f>
        <v>0</v>
      </c>
      <c r="CO999" s="693">
        <f>SUMIFS(Imput[[Importe Neto]:[Importe Neto]],Imput[[C. Imp.]:[C. Imp.]],$D999,Imput[[PERIODO Imp.]:[PERIODO Imp.]],CO$9)</f>
        <v>0</v>
      </c>
      <c r="CP999" s="693">
        <f>SUMIFS(Imput[[Importe Neto]:[Importe Neto]],Imput[[C. Imp.]:[C. Imp.]],$D999,Imput[[PERIODO Imp.]:[PERIODO Imp.]],CP$9)</f>
        <v>0</v>
      </c>
      <c r="CQ999" s="693">
        <f>SUMIFS(Imput[[Importe Neto]:[Importe Neto]],Imput[[C. Imp.]:[C. Imp.]],$D999,Imput[[PERIODO Imp.]:[PERIODO Imp.]],CQ$9)</f>
        <v>0</v>
      </c>
      <c r="CR999" s="693">
        <f>SUMIFS(Imput[[Importe Neto]:[Importe Neto]],Imput[[C. Imp.]:[C. Imp.]],$D999,Imput[[PERIODO Imp.]:[PERIODO Imp.]],CR$9)</f>
        <v>0</v>
      </c>
      <c r="CS999" s="693">
        <f>SUMIFS(Imput[[Importe Neto]:[Importe Neto]],Imput[[C. Imp.]:[C. Imp.]],$D999,Imput[[PERIODO Imp.]:[PERIODO Imp.]],CS$9)</f>
        <v>0</v>
      </c>
      <c r="CT999" s="693">
        <f>SUMIFS(Imput[[Importe Neto]:[Importe Neto]],Imput[[C. Imp.]:[C. Imp.]],$D999,Imput[[PERIODO Imp.]:[PERIODO Imp.]],CT$9)</f>
        <v>0</v>
      </c>
      <c r="CU999" s="693">
        <f>SUMIFS(Imput[[Importe Neto]:[Importe Neto]],Imput[[C. Imp.]:[C. Imp.]],$D999,Imput[[PERIODO Imp.]:[PERIODO Imp.]],CU$9)</f>
        <v>0</v>
      </c>
      <c r="CV999" s="693">
        <f>SUMIFS(Imput[[Importe Neto]:[Importe Neto]],Imput[[C. Imp.]:[C. Imp.]],$D999,Imput[[PERIODO Imp.]:[PERIODO Imp.]],CV$9)</f>
        <v>0</v>
      </c>
      <c r="CW999" s="693">
        <f>SUMIFS(Imput[[Importe Neto]:[Importe Neto]],Imput[[C. Imp.]:[C. Imp.]],$D999,Imput[[PERIODO Imp.]:[PERIODO Imp.]],CW$9)</f>
        <v>0</v>
      </c>
      <c r="CX999" s="693">
        <f>SUMIFS(Imput[[Importe Neto]:[Importe Neto]],Imput[[C. Imp.]:[C. Imp.]],$D999,Imput[[PERIODO Imp.]:[PERIODO Imp.]],CX$9)</f>
        <v>0</v>
      </c>
      <c r="CY999" s="693">
        <f>SUMIFS(Imput[[Importe Neto]:[Importe Neto]],Imput[[C. Imp.]:[C. Imp.]],$D999,Imput[[PERIODO Imp.]:[PERIODO Imp.]],CY$9)</f>
        <v>0</v>
      </c>
      <c r="CZ999" s="693">
        <f>SUMIFS(Imput[[Importe Neto]:[Importe Neto]],Imput[[C. Imp.]:[C. Imp.]],$D999,Imput[[PERIODO Imp.]:[PERIODO Imp.]],CZ$9)</f>
        <v>0</v>
      </c>
      <c r="DA999" s="693">
        <f>SUMIFS(Imput[[Importe Neto]:[Importe Neto]],Imput[[C. Imp.]:[C. Imp.]],$D999,Imput[[PERIODO Imp.]:[PERIODO Imp.]],DA$9)</f>
        <v>0</v>
      </c>
      <c r="DB999" s="693">
        <f>SUMIFS(Imput[[Importe Neto]:[Importe Neto]],Imput[[C. Imp.]:[C. Imp.]],$D999,Imput[[PERIODO Imp.]:[PERIODO Imp.]],DB$9)</f>
        <v>0</v>
      </c>
      <c r="DC999" s="693">
        <f>SUMIFS(Imput[[Importe Neto]:[Importe Neto]],Imput[[C. Imp.]:[C. Imp.]],$D999,Imput[[PERIODO Imp.]:[PERIODO Imp.]],DC$9)</f>
        <v>0</v>
      </c>
      <c r="DD999" s="693">
        <f>SUMIFS(Imput[[Importe Neto]:[Importe Neto]],Imput[[C. Imp.]:[C. Imp.]],$D999,Imput[[PERIODO Imp.]:[PERIODO Imp.]],DD$9)</f>
        <v>0</v>
      </c>
      <c r="DE999" s="693">
        <f>SUMIFS(Imput[[Importe Neto]:[Importe Neto]],Imput[[C. Imp.]:[C. Imp.]],$D999,Imput[[PERIODO Imp.]:[PERIODO Imp.]],DE$9)</f>
        <v>0</v>
      </c>
      <c r="DF999" s="693">
        <f>SUMIFS(Imput[[Importe Neto]:[Importe Neto]],Imput[[C. Imp.]:[C. Imp.]],$D999,Imput[[PERIODO Imp.]:[PERIODO Imp.]],DF$9)</f>
        <v>0</v>
      </c>
      <c r="DG999" s="693">
        <f>SUMIFS(Imput[[Importe Neto]:[Importe Neto]],Imput[[C. Imp.]:[C. Imp.]],$D999,Imput[[PERIODO Imp.]:[PERIODO Imp.]],DG$9)</f>
        <v>0</v>
      </c>
      <c r="DH999" s="694">
        <f>SUMIFS(Imput[[Importe Neto]:[Importe Neto]],Imput[[C. Imp.]:[C. Imp.]],$D999,Imput[[PERIODO Imp.]:[PERIODO Imp.]],DH$9)</f>
        <v>0</v>
      </c>
    </row>
    <row r="1000" spans="1:112" s="649" customFormat="1" hidden="1" outlineLevel="1" x14ac:dyDescent="0.3">
      <c r="A1000" s="652" t="str">
        <f t="shared" si="347"/>
        <v/>
      </c>
      <c r="B1000" s="652"/>
      <c r="C1000" s="685"/>
      <c r="D1000" s="686"/>
      <c r="E1000" s="686"/>
      <c r="F1000" s="720"/>
      <c r="G1000" s="688"/>
      <c r="H1000" s="689"/>
      <c r="I1000" s="851" t="str">
        <f t="shared" si="348"/>
        <v/>
      </c>
      <c r="J1000" s="850" t="str">
        <f t="shared" si="349"/>
        <v/>
      </c>
      <c r="K1000" s="667"/>
      <c r="L1000" s="858"/>
      <c r="M1000" s="859"/>
      <c r="N1000" s="859"/>
      <c r="O1000" s="859"/>
      <c r="P1000" s="859"/>
      <c r="Q1000" s="859"/>
      <c r="R1000" s="859"/>
      <c r="S1000" s="859"/>
      <c r="T1000" s="859"/>
      <c r="U1000" s="859"/>
      <c r="V1000" s="859"/>
      <c r="W1000" s="859"/>
      <c r="X1000" s="859"/>
      <c r="Y1000" s="859"/>
      <c r="Z1000" s="860"/>
      <c r="AA1000" s="860"/>
      <c r="AB1000" s="860"/>
      <c r="AC1000" s="860"/>
      <c r="AD1000" s="860"/>
      <c r="AE1000" s="860"/>
      <c r="AF1000" s="860"/>
      <c r="AG1000" s="860"/>
      <c r="AH1000" s="860"/>
      <c r="AI1000" s="860"/>
      <c r="AJ1000" s="860"/>
      <c r="AK1000" s="860"/>
      <c r="AL1000" s="860"/>
      <c r="AM1000" s="860"/>
      <c r="AN1000" s="860"/>
      <c r="AO1000" s="860"/>
      <c r="AP1000" s="860"/>
      <c r="AQ1000" s="860"/>
      <c r="AR1000" s="860"/>
      <c r="AS1000" s="860"/>
      <c r="AT1000" s="860"/>
      <c r="AU1000" s="860"/>
      <c r="AV1000" s="860"/>
      <c r="AW1000" s="860"/>
      <c r="AX1000" s="860"/>
      <c r="AY1000" s="860"/>
      <c r="AZ1000" s="860"/>
      <c r="BA1000" s="860"/>
      <c r="BB1000" s="860"/>
      <c r="BC1000" s="860"/>
      <c r="BD1000" s="860"/>
      <c r="BE1000" s="860"/>
      <c r="BF1000" s="860"/>
      <c r="BG1000" s="860"/>
      <c r="BH1000" s="668"/>
      <c r="BI1000" s="667"/>
      <c r="BJ1000" s="690">
        <f t="shared" si="350"/>
        <v>0</v>
      </c>
      <c r="BK1000" s="691">
        <f t="shared" si="351"/>
        <v>0</v>
      </c>
      <c r="BL1000" s="654"/>
      <c r="BM1000" s="692">
        <f>SUMIFS(Imput[[Importe Neto]:[Importe Neto]],Imput[[C. Imp.]:[C. Imp.]],$D1000,Imput[[PERIODO Imp.]:[PERIODO Imp.]],BM$9)</f>
        <v>0</v>
      </c>
      <c r="BN1000" s="693">
        <f>SUMIFS(Imput[[Importe Neto]:[Importe Neto]],Imput[[C. Imp.]:[C. Imp.]],$D1000,Imput[[PERIODO Imp.]:[PERIODO Imp.]],BN$9)</f>
        <v>0</v>
      </c>
      <c r="BO1000" s="693">
        <f>SUMIFS(Imput[[Importe Neto]:[Importe Neto]],Imput[[C. Imp.]:[C. Imp.]],$D1000,Imput[[PERIODO Imp.]:[PERIODO Imp.]],BO$9)</f>
        <v>0</v>
      </c>
      <c r="BP1000" s="693">
        <f>SUMIFS(Imput[[Importe Neto]:[Importe Neto]],Imput[[C. Imp.]:[C. Imp.]],$D1000,Imput[[PERIODO Imp.]:[PERIODO Imp.]],BP$9)</f>
        <v>0</v>
      </c>
      <c r="BQ1000" s="693">
        <f>SUMIFS(Imput[[Importe Neto]:[Importe Neto]],Imput[[C. Imp.]:[C. Imp.]],$D1000,Imput[[PERIODO Imp.]:[PERIODO Imp.]],BQ$9)</f>
        <v>0</v>
      </c>
      <c r="BR1000" s="693">
        <f>SUMIFS(Imput[[Importe Neto]:[Importe Neto]],Imput[[C. Imp.]:[C. Imp.]],$D1000,Imput[[PERIODO Imp.]:[PERIODO Imp.]],BR$9)</f>
        <v>0</v>
      </c>
      <c r="BS1000" s="693">
        <f>SUMIFS(Imput[[Importe Neto]:[Importe Neto]],Imput[[C. Imp.]:[C. Imp.]],$D1000,Imput[[PERIODO Imp.]:[PERIODO Imp.]],BS$9)</f>
        <v>0</v>
      </c>
      <c r="BT1000" s="693">
        <f>SUMIFS(Imput[[Importe Neto]:[Importe Neto]],Imput[[C. Imp.]:[C. Imp.]],$D1000,Imput[[PERIODO Imp.]:[PERIODO Imp.]],BT$9)</f>
        <v>0</v>
      </c>
      <c r="BU1000" s="693">
        <f>SUMIFS(Imput[[Importe Neto]:[Importe Neto]],Imput[[C. Imp.]:[C. Imp.]],$D1000,Imput[[PERIODO Imp.]:[PERIODO Imp.]],BU$9)</f>
        <v>0</v>
      </c>
      <c r="BV1000" s="693">
        <f>SUMIFS(Imput[[Importe Neto]:[Importe Neto]],Imput[[C. Imp.]:[C. Imp.]],$D1000,Imput[[PERIODO Imp.]:[PERIODO Imp.]],BV$9)</f>
        <v>0</v>
      </c>
      <c r="BW1000" s="693">
        <f>SUMIFS(Imput[[Importe Neto]:[Importe Neto]],Imput[[C. Imp.]:[C. Imp.]],$D1000,Imput[[PERIODO Imp.]:[PERIODO Imp.]],BW$9)</f>
        <v>0</v>
      </c>
      <c r="BX1000" s="693">
        <f>SUMIFS(Imput[[Importe Neto]:[Importe Neto]],Imput[[C. Imp.]:[C. Imp.]],$D1000,Imput[[PERIODO Imp.]:[PERIODO Imp.]],BX$9)</f>
        <v>0</v>
      </c>
      <c r="BY1000" s="693">
        <f>SUMIFS(Imput[[Importe Neto]:[Importe Neto]],Imput[[C. Imp.]:[C. Imp.]],$D1000,Imput[[PERIODO Imp.]:[PERIODO Imp.]],BY$9)</f>
        <v>0</v>
      </c>
      <c r="BZ1000" s="693">
        <f>SUMIFS(Imput[[Importe Neto]:[Importe Neto]],Imput[[C. Imp.]:[C. Imp.]],$D1000,Imput[[PERIODO Imp.]:[PERIODO Imp.]],BZ$9)</f>
        <v>0</v>
      </c>
      <c r="CA1000" s="693">
        <f>SUMIFS(Imput[[Importe Neto]:[Importe Neto]],Imput[[C. Imp.]:[C. Imp.]],$D1000,Imput[[PERIODO Imp.]:[PERIODO Imp.]],CA$9)</f>
        <v>0</v>
      </c>
      <c r="CB1000" s="693">
        <f>SUMIFS(Imput[[Importe Neto]:[Importe Neto]],Imput[[C. Imp.]:[C. Imp.]],$D1000,Imput[[PERIODO Imp.]:[PERIODO Imp.]],CB$9)</f>
        <v>0</v>
      </c>
      <c r="CC1000" s="693">
        <f>SUMIFS(Imput[[Importe Neto]:[Importe Neto]],Imput[[C. Imp.]:[C. Imp.]],$D1000,Imput[[PERIODO Imp.]:[PERIODO Imp.]],CC$9)</f>
        <v>0</v>
      </c>
      <c r="CD1000" s="693">
        <f>SUMIFS(Imput[[Importe Neto]:[Importe Neto]],Imput[[C. Imp.]:[C. Imp.]],$D1000,Imput[[PERIODO Imp.]:[PERIODO Imp.]],CD$9)</f>
        <v>0</v>
      </c>
      <c r="CE1000" s="693">
        <f>SUMIFS(Imput[[Importe Neto]:[Importe Neto]],Imput[[C. Imp.]:[C. Imp.]],$D1000,Imput[[PERIODO Imp.]:[PERIODO Imp.]],CE$9)</f>
        <v>0</v>
      </c>
      <c r="CF1000" s="693">
        <f>SUMIFS(Imput[[Importe Neto]:[Importe Neto]],Imput[[C. Imp.]:[C. Imp.]],$D1000,Imput[[PERIODO Imp.]:[PERIODO Imp.]],CF$9)</f>
        <v>0</v>
      </c>
      <c r="CG1000" s="693">
        <f>SUMIFS(Imput[[Importe Neto]:[Importe Neto]],Imput[[C. Imp.]:[C. Imp.]],$D1000,Imput[[PERIODO Imp.]:[PERIODO Imp.]],CG$9)</f>
        <v>0</v>
      </c>
      <c r="CH1000" s="693">
        <f>SUMIFS(Imput[[Importe Neto]:[Importe Neto]],Imput[[C. Imp.]:[C. Imp.]],$D1000,Imput[[PERIODO Imp.]:[PERIODO Imp.]],CH$9)</f>
        <v>0</v>
      </c>
      <c r="CI1000" s="693">
        <f>SUMIFS(Imput[[Importe Neto]:[Importe Neto]],Imput[[C. Imp.]:[C. Imp.]],$D1000,Imput[[PERIODO Imp.]:[PERIODO Imp.]],CI$9)</f>
        <v>0</v>
      </c>
      <c r="CJ1000" s="693">
        <f>SUMIFS(Imput[[Importe Neto]:[Importe Neto]],Imput[[C. Imp.]:[C. Imp.]],$D1000,Imput[[PERIODO Imp.]:[PERIODO Imp.]],CJ$9)</f>
        <v>0</v>
      </c>
      <c r="CK1000" s="693">
        <f>SUMIFS(Imput[[Importe Neto]:[Importe Neto]],Imput[[C. Imp.]:[C. Imp.]],$D1000,Imput[[PERIODO Imp.]:[PERIODO Imp.]],CK$9)</f>
        <v>0</v>
      </c>
      <c r="CL1000" s="693">
        <f>SUMIFS(Imput[[Importe Neto]:[Importe Neto]],Imput[[C. Imp.]:[C. Imp.]],$D1000,Imput[[PERIODO Imp.]:[PERIODO Imp.]],CL$9)</f>
        <v>0</v>
      </c>
      <c r="CM1000" s="693">
        <f>SUMIFS(Imput[[Importe Neto]:[Importe Neto]],Imput[[C. Imp.]:[C. Imp.]],$D1000,Imput[[PERIODO Imp.]:[PERIODO Imp.]],CM$9)</f>
        <v>0</v>
      </c>
      <c r="CN1000" s="693">
        <f>SUMIFS(Imput[[Importe Neto]:[Importe Neto]],Imput[[C. Imp.]:[C. Imp.]],$D1000,Imput[[PERIODO Imp.]:[PERIODO Imp.]],CN$9)</f>
        <v>0</v>
      </c>
      <c r="CO1000" s="693">
        <f>SUMIFS(Imput[[Importe Neto]:[Importe Neto]],Imput[[C. Imp.]:[C. Imp.]],$D1000,Imput[[PERIODO Imp.]:[PERIODO Imp.]],CO$9)</f>
        <v>0</v>
      </c>
      <c r="CP1000" s="693">
        <f>SUMIFS(Imput[[Importe Neto]:[Importe Neto]],Imput[[C. Imp.]:[C. Imp.]],$D1000,Imput[[PERIODO Imp.]:[PERIODO Imp.]],CP$9)</f>
        <v>0</v>
      </c>
      <c r="CQ1000" s="693">
        <f>SUMIFS(Imput[[Importe Neto]:[Importe Neto]],Imput[[C. Imp.]:[C. Imp.]],$D1000,Imput[[PERIODO Imp.]:[PERIODO Imp.]],CQ$9)</f>
        <v>0</v>
      </c>
      <c r="CR1000" s="693">
        <f>SUMIFS(Imput[[Importe Neto]:[Importe Neto]],Imput[[C. Imp.]:[C. Imp.]],$D1000,Imput[[PERIODO Imp.]:[PERIODO Imp.]],CR$9)</f>
        <v>0</v>
      </c>
      <c r="CS1000" s="693">
        <f>SUMIFS(Imput[[Importe Neto]:[Importe Neto]],Imput[[C. Imp.]:[C. Imp.]],$D1000,Imput[[PERIODO Imp.]:[PERIODO Imp.]],CS$9)</f>
        <v>0</v>
      </c>
      <c r="CT1000" s="693">
        <f>SUMIFS(Imput[[Importe Neto]:[Importe Neto]],Imput[[C. Imp.]:[C. Imp.]],$D1000,Imput[[PERIODO Imp.]:[PERIODO Imp.]],CT$9)</f>
        <v>0</v>
      </c>
      <c r="CU1000" s="693">
        <f>SUMIFS(Imput[[Importe Neto]:[Importe Neto]],Imput[[C. Imp.]:[C. Imp.]],$D1000,Imput[[PERIODO Imp.]:[PERIODO Imp.]],CU$9)</f>
        <v>0</v>
      </c>
      <c r="CV1000" s="693">
        <f>SUMIFS(Imput[[Importe Neto]:[Importe Neto]],Imput[[C. Imp.]:[C. Imp.]],$D1000,Imput[[PERIODO Imp.]:[PERIODO Imp.]],CV$9)</f>
        <v>0</v>
      </c>
      <c r="CW1000" s="693">
        <f>SUMIFS(Imput[[Importe Neto]:[Importe Neto]],Imput[[C. Imp.]:[C. Imp.]],$D1000,Imput[[PERIODO Imp.]:[PERIODO Imp.]],CW$9)</f>
        <v>0</v>
      </c>
      <c r="CX1000" s="693">
        <f>SUMIFS(Imput[[Importe Neto]:[Importe Neto]],Imput[[C. Imp.]:[C. Imp.]],$D1000,Imput[[PERIODO Imp.]:[PERIODO Imp.]],CX$9)</f>
        <v>0</v>
      </c>
      <c r="CY1000" s="693">
        <f>SUMIFS(Imput[[Importe Neto]:[Importe Neto]],Imput[[C. Imp.]:[C. Imp.]],$D1000,Imput[[PERIODO Imp.]:[PERIODO Imp.]],CY$9)</f>
        <v>0</v>
      </c>
      <c r="CZ1000" s="693">
        <f>SUMIFS(Imput[[Importe Neto]:[Importe Neto]],Imput[[C. Imp.]:[C. Imp.]],$D1000,Imput[[PERIODO Imp.]:[PERIODO Imp.]],CZ$9)</f>
        <v>0</v>
      </c>
      <c r="DA1000" s="693">
        <f>SUMIFS(Imput[[Importe Neto]:[Importe Neto]],Imput[[C. Imp.]:[C. Imp.]],$D1000,Imput[[PERIODO Imp.]:[PERIODO Imp.]],DA$9)</f>
        <v>0</v>
      </c>
      <c r="DB1000" s="693">
        <f>SUMIFS(Imput[[Importe Neto]:[Importe Neto]],Imput[[C. Imp.]:[C. Imp.]],$D1000,Imput[[PERIODO Imp.]:[PERIODO Imp.]],DB$9)</f>
        <v>0</v>
      </c>
      <c r="DC1000" s="693">
        <f>SUMIFS(Imput[[Importe Neto]:[Importe Neto]],Imput[[C. Imp.]:[C. Imp.]],$D1000,Imput[[PERIODO Imp.]:[PERIODO Imp.]],DC$9)</f>
        <v>0</v>
      </c>
      <c r="DD1000" s="693">
        <f>SUMIFS(Imput[[Importe Neto]:[Importe Neto]],Imput[[C. Imp.]:[C. Imp.]],$D1000,Imput[[PERIODO Imp.]:[PERIODO Imp.]],DD$9)</f>
        <v>0</v>
      </c>
      <c r="DE1000" s="693">
        <f>SUMIFS(Imput[[Importe Neto]:[Importe Neto]],Imput[[C. Imp.]:[C. Imp.]],$D1000,Imput[[PERIODO Imp.]:[PERIODO Imp.]],DE$9)</f>
        <v>0</v>
      </c>
      <c r="DF1000" s="693">
        <f>SUMIFS(Imput[[Importe Neto]:[Importe Neto]],Imput[[C. Imp.]:[C. Imp.]],$D1000,Imput[[PERIODO Imp.]:[PERIODO Imp.]],DF$9)</f>
        <v>0</v>
      </c>
      <c r="DG1000" s="693">
        <f>SUMIFS(Imput[[Importe Neto]:[Importe Neto]],Imput[[C. Imp.]:[C. Imp.]],$D1000,Imput[[PERIODO Imp.]:[PERIODO Imp.]],DG$9)</f>
        <v>0</v>
      </c>
      <c r="DH1000" s="694">
        <f>SUMIFS(Imput[[Importe Neto]:[Importe Neto]],Imput[[C. Imp.]:[C. Imp.]],$D1000,Imput[[PERIODO Imp.]:[PERIODO Imp.]],DH$9)</f>
        <v>0</v>
      </c>
    </row>
    <row r="1001" spans="1:112" s="649" customFormat="1" hidden="1" outlineLevel="1" x14ac:dyDescent="0.3">
      <c r="A1001" s="652" t="str">
        <f t="shared" si="347"/>
        <v/>
      </c>
      <c r="B1001" s="652"/>
      <c r="C1001" s="685"/>
      <c r="D1001" s="686"/>
      <c r="E1001" s="686"/>
      <c r="F1001" s="720"/>
      <c r="G1001" s="688"/>
      <c r="H1001" s="689"/>
      <c r="I1001" s="851" t="str">
        <f t="shared" si="348"/>
        <v/>
      </c>
      <c r="J1001" s="850" t="str">
        <f t="shared" si="349"/>
        <v/>
      </c>
      <c r="K1001" s="667"/>
      <c r="L1001" s="858"/>
      <c r="M1001" s="859"/>
      <c r="N1001" s="859"/>
      <c r="O1001" s="859"/>
      <c r="P1001" s="859"/>
      <c r="Q1001" s="859"/>
      <c r="R1001" s="859"/>
      <c r="S1001" s="859"/>
      <c r="T1001" s="859"/>
      <c r="U1001" s="859"/>
      <c r="V1001" s="859"/>
      <c r="W1001" s="859"/>
      <c r="X1001" s="859"/>
      <c r="Y1001" s="859"/>
      <c r="Z1001" s="860"/>
      <c r="AA1001" s="860"/>
      <c r="AB1001" s="860"/>
      <c r="AC1001" s="860"/>
      <c r="AD1001" s="860"/>
      <c r="AE1001" s="860"/>
      <c r="AF1001" s="860"/>
      <c r="AG1001" s="860"/>
      <c r="AH1001" s="860"/>
      <c r="AI1001" s="860"/>
      <c r="AJ1001" s="860"/>
      <c r="AK1001" s="860"/>
      <c r="AL1001" s="860"/>
      <c r="AM1001" s="860"/>
      <c r="AN1001" s="860"/>
      <c r="AO1001" s="860"/>
      <c r="AP1001" s="860"/>
      <c r="AQ1001" s="860"/>
      <c r="AR1001" s="860"/>
      <c r="AS1001" s="860"/>
      <c r="AT1001" s="860"/>
      <c r="AU1001" s="860"/>
      <c r="AV1001" s="860"/>
      <c r="AW1001" s="860"/>
      <c r="AX1001" s="860"/>
      <c r="AY1001" s="860"/>
      <c r="AZ1001" s="860"/>
      <c r="BA1001" s="860"/>
      <c r="BB1001" s="860"/>
      <c r="BC1001" s="860"/>
      <c r="BD1001" s="860"/>
      <c r="BE1001" s="860"/>
      <c r="BF1001" s="860"/>
      <c r="BG1001" s="860"/>
      <c r="BH1001" s="668"/>
      <c r="BI1001" s="667"/>
      <c r="BJ1001" s="690">
        <f t="shared" si="350"/>
        <v>0</v>
      </c>
      <c r="BK1001" s="691">
        <f t="shared" si="351"/>
        <v>0</v>
      </c>
      <c r="BL1001" s="654"/>
      <c r="BM1001" s="692">
        <f>SUMIFS(Imput[[Importe Neto]:[Importe Neto]],Imput[[C. Imp.]:[C. Imp.]],$D1001,Imput[[PERIODO Imp.]:[PERIODO Imp.]],BM$9)</f>
        <v>0</v>
      </c>
      <c r="BN1001" s="693">
        <f>SUMIFS(Imput[[Importe Neto]:[Importe Neto]],Imput[[C. Imp.]:[C. Imp.]],$D1001,Imput[[PERIODO Imp.]:[PERIODO Imp.]],BN$9)</f>
        <v>0</v>
      </c>
      <c r="BO1001" s="693">
        <f>SUMIFS(Imput[[Importe Neto]:[Importe Neto]],Imput[[C. Imp.]:[C. Imp.]],$D1001,Imput[[PERIODO Imp.]:[PERIODO Imp.]],BO$9)</f>
        <v>0</v>
      </c>
      <c r="BP1001" s="693">
        <f>SUMIFS(Imput[[Importe Neto]:[Importe Neto]],Imput[[C. Imp.]:[C. Imp.]],$D1001,Imput[[PERIODO Imp.]:[PERIODO Imp.]],BP$9)</f>
        <v>0</v>
      </c>
      <c r="BQ1001" s="693">
        <f>SUMIFS(Imput[[Importe Neto]:[Importe Neto]],Imput[[C. Imp.]:[C. Imp.]],$D1001,Imput[[PERIODO Imp.]:[PERIODO Imp.]],BQ$9)</f>
        <v>0</v>
      </c>
      <c r="BR1001" s="693">
        <f>SUMIFS(Imput[[Importe Neto]:[Importe Neto]],Imput[[C. Imp.]:[C. Imp.]],$D1001,Imput[[PERIODO Imp.]:[PERIODO Imp.]],BR$9)</f>
        <v>0</v>
      </c>
      <c r="BS1001" s="693">
        <f>SUMIFS(Imput[[Importe Neto]:[Importe Neto]],Imput[[C. Imp.]:[C. Imp.]],$D1001,Imput[[PERIODO Imp.]:[PERIODO Imp.]],BS$9)</f>
        <v>0</v>
      </c>
      <c r="BT1001" s="693">
        <f>SUMIFS(Imput[[Importe Neto]:[Importe Neto]],Imput[[C. Imp.]:[C. Imp.]],$D1001,Imput[[PERIODO Imp.]:[PERIODO Imp.]],BT$9)</f>
        <v>0</v>
      </c>
      <c r="BU1001" s="693">
        <f>SUMIFS(Imput[[Importe Neto]:[Importe Neto]],Imput[[C. Imp.]:[C. Imp.]],$D1001,Imput[[PERIODO Imp.]:[PERIODO Imp.]],BU$9)</f>
        <v>0</v>
      </c>
      <c r="BV1001" s="693">
        <f>SUMIFS(Imput[[Importe Neto]:[Importe Neto]],Imput[[C. Imp.]:[C. Imp.]],$D1001,Imput[[PERIODO Imp.]:[PERIODO Imp.]],BV$9)</f>
        <v>0</v>
      </c>
      <c r="BW1001" s="693">
        <f>SUMIFS(Imput[[Importe Neto]:[Importe Neto]],Imput[[C. Imp.]:[C. Imp.]],$D1001,Imput[[PERIODO Imp.]:[PERIODO Imp.]],BW$9)</f>
        <v>0</v>
      </c>
      <c r="BX1001" s="693">
        <f>SUMIFS(Imput[[Importe Neto]:[Importe Neto]],Imput[[C. Imp.]:[C. Imp.]],$D1001,Imput[[PERIODO Imp.]:[PERIODO Imp.]],BX$9)</f>
        <v>0</v>
      </c>
      <c r="BY1001" s="693">
        <f>SUMIFS(Imput[[Importe Neto]:[Importe Neto]],Imput[[C. Imp.]:[C. Imp.]],$D1001,Imput[[PERIODO Imp.]:[PERIODO Imp.]],BY$9)</f>
        <v>0</v>
      </c>
      <c r="BZ1001" s="693">
        <f>SUMIFS(Imput[[Importe Neto]:[Importe Neto]],Imput[[C. Imp.]:[C. Imp.]],$D1001,Imput[[PERIODO Imp.]:[PERIODO Imp.]],BZ$9)</f>
        <v>0</v>
      </c>
      <c r="CA1001" s="693">
        <f>SUMIFS(Imput[[Importe Neto]:[Importe Neto]],Imput[[C. Imp.]:[C. Imp.]],$D1001,Imput[[PERIODO Imp.]:[PERIODO Imp.]],CA$9)</f>
        <v>0</v>
      </c>
      <c r="CB1001" s="693">
        <f>SUMIFS(Imput[[Importe Neto]:[Importe Neto]],Imput[[C. Imp.]:[C. Imp.]],$D1001,Imput[[PERIODO Imp.]:[PERIODO Imp.]],CB$9)</f>
        <v>0</v>
      </c>
      <c r="CC1001" s="693">
        <f>SUMIFS(Imput[[Importe Neto]:[Importe Neto]],Imput[[C. Imp.]:[C. Imp.]],$D1001,Imput[[PERIODO Imp.]:[PERIODO Imp.]],CC$9)</f>
        <v>0</v>
      </c>
      <c r="CD1001" s="693">
        <f>SUMIFS(Imput[[Importe Neto]:[Importe Neto]],Imput[[C. Imp.]:[C. Imp.]],$D1001,Imput[[PERIODO Imp.]:[PERIODO Imp.]],CD$9)</f>
        <v>0</v>
      </c>
      <c r="CE1001" s="693">
        <f>SUMIFS(Imput[[Importe Neto]:[Importe Neto]],Imput[[C. Imp.]:[C. Imp.]],$D1001,Imput[[PERIODO Imp.]:[PERIODO Imp.]],CE$9)</f>
        <v>0</v>
      </c>
      <c r="CF1001" s="693">
        <f>SUMIFS(Imput[[Importe Neto]:[Importe Neto]],Imput[[C. Imp.]:[C. Imp.]],$D1001,Imput[[PERIODO Imp.]:[PERIODO Imp.]],CF$9)</f>
        <v>0</v>
      </c>
      <c r="CG1001" s="693">
        <f>SUMIFS(Imput[[Importe Neto]:[Importe Neto]],Imput[[C. Imp.]:[C. Imp.]],$D1001,Imput[[PERIODO Imp.]:[PERIODO Imp.]],CG$9)</f>
        <v>0</v>
      </c>
      <c r="CH1001" s="693">
        <f>SUMIFS(Imput[[Importe Neto]:[Importe Neto]],Imput[[C. Imp.]:[C. Imp.]],$D1001,Imput[[PERIODO Imp.]:[PERIODO Imp.]],CH$9)</f>
        <v>0</v>
      </c>
      <c r="CI1001" s="693">
        <f>SUMIFS(Imput[[Importe Neto]:[Importe Neto]],Imput[[C. Imp.]:[C. Imp.]],$D1001,Imput[[PERIODO Imp.]:[PERIODO Imp.]],CI$9)</f>
        <v>0</v>
      </c>
      <c r="CJ1001" s="693">
        <f>SUMIFS(Imput[[Importe Neto]:[Importe Neto]],Imput[[C. Imp.]:[C. Imp.]],$D1001,Imput[[PERIODO Imp.]:[PERIODO Imp.]],CJ$9)</f>
        <v>0</v>
      </c>
      <c r="CK1001" s="693">
        <f>SUMIFS(Imput[[Importe Neto]:[Importe Neto]],Imput[[C. Imp.]:[C. Imp.]],$D1001,Imput[[PERIODO Imp.]:[PERIODO Imp.]],CK$9)</f>
        <v>0</v>
      </c>
      <c r="CL1001" s="693">
        <f>SUMIFS(Imput[[Importe Neto]:[Importe Neto]],Imput[[C. Imp.]:[C. Imp.]],$D1001,Imput[[PERIODO Imp.]:[PERIODO Imp.]],CL$9)</f>
        <v>0</v>
      </c>
      <c r="CM1001" s="693">
        <f>SUMIFS(Imput[[Importe Neto]:[Importe Neto]],Imput[[C. Imp.]:[C. Imp.]],$D1001,Imput[[PERIODO Imp.]:[PERIODO Imp.]],CM$9)</f>
        <v>0</v>
      </c>
      <c r="CN1001" s="693">
        <f>SUMIFS(Imput[[Importe Neto]:[Importe Neto]],Imput[[C. Imp.]:[C. Imp.]],$D1001,Imput[[PERIODO Imp.]:[PERIODO Imp.]],CN$9)</f>
        <v>0</v>
      </c>
      <c r="CO1001" s="693">
        <f>SUMIFS(Imput[[Importe Neto]:[Importe Neto]],Imput[[C. Imp.]:[C. Imp.]],$D1001,Imput[[PERIODO Imp.]:[PERIODO Imp.]],CO$9)</f>
        <v>0</v>
      </c>
      <c r="CP1001" s="693">
        <f>SUMIFS(Imput[[Importe Neto]:[Importe Neto]],Imput[[C. Imp.]:[C. Imp.]],$D1001,Imput[[PERIODO Imp.]:[PERIODO Imp.]],CP$9)</f>
        <v>0</v>
      </c>
      <c r="CQ1001" s="693">
        <f>SUMIFS(Imput[[Importe Neto]:[Importe Neto]],Imput[[C. Imp.]:[C. Imp.]],$D1001,Imput[[PERIODO Imp.]:[PERIODO Imp.]],CQ$9)</f>
        <v>0</v>
      </c>
      <c r="CR1001" s="693">
        <f>SUMIFS(Imput[[Importe Neto]:[Importe Neto]],Imput[[C. Imp.]:[C. Imp.]],$D1001,Imput[[PERIODO Imp.]:[PERIODO Imp.]],CR$9)</f>
        <v>0</v>
      </c>
      <c r="CS1001" s="693">
        <f>SUMIFS(Imput[[Importe Neto]:[Importe Neto]],Imput[[C. Imp.]:[C. Imp.]],$D1001,Imput[[PERIODO Imp.]:[PERIODO Imp.]],CS$9)</f>
        <v>0</v>
      </c>
      <c r="CT1001" s="693">
        <f>SUMIFS(Imput[[Importe Neto]:[Importe Neto]],Imput[[C. Imp.]:[C. Imp.]],$D1001,Imput[[PERIODO Imp.]:[PERIODO Imp.]],CT$9)</f>
        <v>0</v>
      </c>
      <c r="CU1001" s="693">
        <f>SUMIFS(Imput[[Importe Neto]:[Importe Neto]],Imput[[C. Imp.]:[C. Imp.]],$D1001,Imput[[PERIODO Imp.]:[PERIODO Imp.]],CU$9)</f>
        <v>0</v>
      </c>
      <c r="CV1001" s="693">
        <f>SUMIFS(Imput[[Importe Neto]:[Importe Neto]],Imput[[C. Imp.]:[C. Imp.]],$D1001,Imput[[PERIODO Imp.]:[PERIODO Imp.]],CV$9)</f>
        <v>0</v>
      </c>
      <c r="CW1001" s="693">
        <f>SUMIFS(Imput[[Importe Neto]:[Importe Neto]],Imput[[C. Imp.]:[C. Imp.]],$D1001,Imput[[PERIODO Imp.]:[PERIODO Imp.]],CW$9)</f>
        <v>0</v>
      </c>
      <c r="CX1001" s="693">
        <f>SUMIFS(Imput[[Importe Neto]:[Importe Neto]],Imput[[C. Imp.]:[C. Imp.]],$D1001,Imput[[PERIODO Imp.]:[PERIODO Imp.]],CX$9)</f>
        <v>0</v>
      </c>
      <c r="CY1001" s="693">
        <f>SUMIFS(Imput[[Importe Neto]:[Importe Neto]],Imput[[C. Imp.]:[C. Imp.]],$D1001,Imput[[PERIODO Imp.]:[PERIODO Imp.]],CY$9)</f>
        <v>0</v>
      </c>
      <c r="CZ1001" s="693">
        <f>SUMIFS(Imput[[Importe Neto]:[Importe Neto]],Imput[[C. Imp.]:[C. Imp.]],$D1001,Imput[[PERIODO Imp.]:[PERIODO Imp.]],CZ$9)</f>
        <v>0</v>
      </c>
      <c r="DA1001" s="693">
        <f>SUMIFS(Imput[[Importe Neto]:[Importe Neto]],Imput[[C. Imp.]:[C. Imp.]],$D1001,Imput[[PERIODO Imp.]:[PERIODO Imp.]],DA$9)</f>
        <v>0</v>
      </c>
      <c r="DB1001" s="693">
        <f>SUMIFS(Imput[[Importe Neto]:[Importe Neto]],Imput[[C. Imp.]:[C. Imp.]],$D1001,Imput[[PERIODO Imp.]:[PERIODO Imp.]],DB$9)</f>
        <v>0</v>
      </c>
      <c r="DC1001" s="693">
        <f>SUMIFS(Imput[[Importe Neto]:[Importe Neto]],Imput[[C. Imp.]:[C. Imp.]],$D1001,Imput[[PERIODO Imp.]:[PERIODO Imp.]],DC$9)</f>
        <v>0</v>
      </c>
      <c r="DD1001" s="693">
        <f>SUMIFS(Imput[[Importe Neto]:[Importe Neto]],Imput[[C. Imp.]:[C. Imp.]],$D1001,Imput[[PERIODO Imp.]:[PERIODO Imp.]],DD$9)</f>
        <v>0</v>
      </c>
      <c r="DE1001" s="693">
        <f>SUMIFS(Imput[[Importe Neto]:[Importe Neto]],Imput[[C. Imp.]:[C. Imp.]],$D1001,Imput[[PERIODO Imp.]:[PERIODO Imp.]],DE$9)</f>
        <v>0</v>
      </c>
      <c r="DF1001" s="693">
        <f>SUMIFS(Imput[[Importe Neto]:[Importe Neto]],Imput[[C. Imp.]:[C. Imp.]],$D1001,Imput[[PERIODO Imp.]:[PERIODO Imp.]],DF$9)</f>
        <v>0</v>
      </c>
      <c r="DG1001" s="693">
        <f>SUMIFS(Imput[[Importe Neto]:[Importe Neto]],Imput[[C. Imp.]:[C. Imp.]],$D1001,Imput[[PERIODO Imp.]:[PERIODO Imp.]],DG$9)</f>
        <v>0</v>
      </c>
      <c r="DH1001" s="694">
        <f>SUMIFS(Imput[[Importe Neto]:[Importe Neto]],Imput[[C. Imp.]:[C. Imp.]],$D1001,Imput[[PERIODO Imp.]:[PERIODO Imp.]],DH$9)</f>
        <v>0</v>
      </c>
    </row>
    <row r="1002" spans="1:112" s="649" customFormat="1" hidden="1" outlineLevel="1" x14ac:dyDescent="0.3">
      <c r="A1002" s="652" t="str">
        <f t="shared" si="347"/>
        <v/>
      </c>
      <c r="B1002" s="652"/>
      <c r="C1002" s="685"/>
      <c r="D1002" s="686"/>
      <c r="E1002" s="686"/>
      <c r="F1002" s="720"/>
      <c r="G1002" s="688"/>
      <c r="H1002" s="689"/>
      <c r="I1002" s="851" t="str">
        <f t="shared" si="348"/>
        <v/>
      </c>
      <c r="J1002" s="850" t="str">
        <f t="shared" si="349"/>
        <v/>
      </c>
      <c r="K1002" s="667"/>
      <c r="L1002" s="858"/>
      <c r="M1002" s="859"/>
      <c r="N1002" s="859"/>
      <c r="O1002" s="859"/>
      <c r="P1002" s="859"/>
      <c r="Q1002" s="859"/>
      <c r="R1002" s="859"/>
      <c r="S1002" s="859"/>
      <c r="T1002" s="859"/>
      <c r="U1002" s="859"/>
      <c r="V1002" s="859"/>
      <c r="W1002" s="859"/>
      <c r="X1002" s="859"/>
      <c r="Y1002" s="859"/>
      <c r="Z1002" s="860"/>
      <c r="AA1002" s="860"/>
      <c r="AB1002" s="860"/>
      <c r="AC1002" s="860"/>
      <c r="AD1002" s="860"/>
      <c r="AE1002" s="860"/>
      <c r="AF1002" s="860"/>
      <c r="AG1002" s="860"/>
      <c r="AH1002" s="860"/>
      <c r="AI1002" s="860"/>
      <c r="AJ1002" s="860"/>
      <c r="AK1002" s="860"/>
      <c r="AL1002" s="860"/>
      <c r="AM1002" s="860"/>
      <c r="AN1002" s="860"/>
      <c r="AO1002" s="860"/>
      <c r="AP1002" s="860"/>
      <c r="AQ1002" s="860"/>
      <c r="AR1002" s="860"/>
      <c r="AS1002" s="860"/>
      <c r="AT1002" s="860"/>
      <c r="AU1002" s="860"/>
      <c r="AV1002" s="860"/>
      <c r="AW1002" s="860"/>
      <c r="AX1002" s="860"/>
      <c r="AY1002" s="860"/>
      <c r="AZ1002" s="860"/>
      <c r="BA1002" s="860"/>
      <c r="BB1002" s="860"/>
      <c r="BC1002" s="860"/>
      <c r="BD1002" s="860"/>
      <c r="BE1002" s="860"/>
      <c r="BF1002" s="860"/>
      <c r="BG1002" s="860"/>
      <c r="BH1002" s="668"/>
      <c r="BI1002" s="667"/>
      <c r="BJ1002" s="690">
        <f t="shared" si="350"/>
        <v>0</v>
      </c>
      <c r="BK1002" s="691">
        <f t="shared" si="351"/>
        <v>0</v>
      </c>
      <c r="BL1002" s="654"/>
      <c r="BM1002" s="692">
        <f>SUMIFS(Imput[[Importe Neto]:[Importe Neto]],Imput[[C. Imp.]:[C. Imp.]],$D1002,Imput[[PERIODO Imp.]:[PERIODO Imp.]],BM$9)</f>
        <v>0</v>
      </c>
      <c r="BN1002" s="693">
        <f>SUMIFS(Imput[[Importe Neto]:[Importe Neto]],Imput[[C. Imp.]:[C. Imp.]],$D1002,Imput[[PERIODO Imp.]:[PERIODO Imp.]],BN$9)</f>
        <v>0</v>
      </c>
      <c r="BO1002" s="693">
        <f>SUMIFS(Imput[[Importe Neto]:[Importe Neto]],Imput[[C. Imp.]:[C. Imp.]],$D1002,Imput[[PERIODO Imp.]:[PERIODO Imp.]],BO$9)</f>
        <v>0</v>
      </c>
      <c r="BP1002" s="693">
        <f>SUMIFS(Imput[[Importe Neto]:[Importe Neto]],Imput[[C. Imp.]:[C. Imp.]],$D1002,Imput[[PERIODO Imp.]:[PERIODO Imp.]],BP$9)</f>
        <v>0</v>
      </c>
      <c r="BQ1002" s="693">
        <f>SUMIFS(Imput[[Importe Neto]:[Importe Neto]],Imput[[C. Imp.]:[C. Imp.]],$D1002,Imput[[PERIODO Imp.]:[PERIODO Imp.]],BQ$9)</f>
        <v>0</v>
      </c>
      <c r="BR1002" s="693">
        <f>SUMIFS(Imput[[Importe Neto]:[Importe Neto]],Imput[[C. Imp.]:[C. Imp.]],$D1002,Imput[[PERIODO Imp.]:[PERIODO Imp.]],BR$9)</f>
        <v>0</v>
      </c>
      <c r="BS1002" s="693">
        <f>SUMIFS(Imput[[Importe Neto]:[Importe Neto]],Imput[[C. Imp.]:[C. Imp.]],$D1002,Imput[[PERIODO Imp.]:[PERIODO Imp.]],BS$9)</f>
        <v>0</v>
      </c>
      <c r="BT1002" s="693">
        <f>SUMIFS(Imput[[Importe Neto]:[Importe Neto]],Imput[[C. Imp.]:[C. Imp.]],$D1002,Imput[[PERIODO Imp.]:[PERIODO Imp.]],BT$9)</f>
        <v>0</v>
      </c>
      <c r="BU1002" s="693">
        <f>SUMIFS(Imput[[Importe Neto]:[Importe Neto]],Imput[[C. Imp.]:[C. Imp.]],$D1002,Imput[[PERIODO Imp.]:[PERIODO Imp.]],BU$9)</f>
        <v>0</v>
      </c>
      <c r="BV1002" s="693">
        <f>SUMIFS(Imput[[Importe Neto]:[Importe Neto]],Imput[[C. Imp.]:[C. Imp.]],$D1002,Imput[[PERIODO Imp.]:[PERIODO Imp.]],BV$9)</f>
        <v>0</v>
      </c>
      <c r="BW1002" s="693">
        <f>SUMIFS(Imput[[Importe Neto]:[Importe Neto]],Imput[[C. Imp.]:[C. Imp.]],$D1002,Imput[[PERIODO Imp.]:[PERIODO Imp.]],BW$9)</f>
        <v>0</v>
      </c>
      <c r="BX1002" s="693">
        <f>SUMIFS(Imput[[Importe Neto]:[Importe Neto]],Imput[[C. Imp.]:[C. Imp.]],$D1002,Imput[[PERIODO Imp.]:[PERIODO Imp.]],BX$9)</f>
        <v>0</v>
      </c>
      <c r="BY1002" s="693">
        <f>SUMIFS(Imput[[Importe Neto]:[Importe Neto]],Imput[[C. Imp.]:[C. Imp.]],$D1002,Imput[[PERIODO Imp.]:[PERIODO Imp.]],BY$9)</f>
        <v>0</v>
      </c>
      <c r="BZ1002" s="693">
        <f>SUMIFS(Imput[[Importe Neto]:[Importe Neto]],Imput[[C. Imp.]:[C. Imp.]],$D1002,Imput[[PERIODO Imp.]:[PERIODO Imp.]],BZ$9)</f>
        <v>0</v>
      </c>
      <c r="CA1002" s="693">
        <f>SUMIFS(Imput[[Importe Neto]:[Importe Neto]],Imput[[C. Imp.]:[C. Imp.]],$D1002,Imput[[PERIODO Imp.]:[PERIODO Imp.]],CA$9)</f>
        <v>0</v>
      </c>
      <c r="CB1002" s="693">
        <f>SUMIFS(Imput[[Importe Neto]:[Importe Neto]],Imput[[C. Imp.]:[C. Imp.]],$D1002,Imput[[PERIODO Imp.]:[PERIODO Imp.]],CB$9)</f>
        <v>0</v>
      </c>
      <c r="CC1002" s="693">
        <f>SUMIFS(Imput[[Importe Neto]:[Importe Neto]],Imput[[C. Imp.]:[C. Imp.]],$D1002,Imput[[PERIODO Imp.]:[PERIODO Imp.]],CC$9)</f>
        <v>0</v>
      </c>
      <c r="CD1002" s="693">
        <f>SUMIFS(Imput[[Importe Neto]:[Importe Neto]],Imput[[C. Imp.]:[C. Imp.]],$D1002,Imput[[PERIODO Imp.]:[PERIODO Imp.]],CD$9)</f>
        <v>0</v>
      </c>
      <c r="CE1002" s="693">
        <f>SUMIFS(Imput[[Importe Neto]:[Importe Neto]],Imput[[C. Imp.]:[C. Imp.]],$D1002,Imput[[PERIODO Imp.]:[PERIODO Imp.]],CE$9)</f>
        <v>0</v>
      </c>
      <c r="CF1002" s="693">
        <f>SUMIFS(Imput[[Importe Neto]:[Importe Neto]],Imput[[C. Imp.]:[C. Imp.]],$D1002,Imput[[PERIODO Imp.]:[PERIODO Imp.]],CF$9)</f>
        <v>0</v>
      </c>
      <c r="CG1002" s="693">
        <f>SUMIFS(Imput[[Importe Neto]:[Importe Neto]],Imput[[C. Imp.]:[C. Imp.]],$D1002,Imput[[PERIODO Imp.]:[PERIODO Imp.]],CG$9)</f>
        <v>0</v>
      </c>
      <c r="CH1002" s="693">
        <f>SUMIFS(Imput[[Importe Neto]:[Importe Neto]],Imput[[C. Imp.]:[C. Imp.]],$D1002,Imput[[PERIODO Imp.]:[PERIODO Imp.]],CH$9)</f>
        <v>0</v>
      </c>
      <c r="CI1002" s="693">
        <f>SUMIFS(Imput[[Importe Neto]:[Importe Neto]],Imput[[C. Imp.]:[C. Imp.]],$D1002,Imput[[PERIODO Imp.]:[PERIODO Imp.]],CI$9)</f>
        <v>0</v>
      </c>
      <c r="CJ1002" s="693">
        <f>SUMIFS(Imput[[Importe Neto]:[Importe Neto]],Imput[[C. Imp.]:[C. Imp.]],$D1002,Imput[[PERIODO Imp.]:[PERIODO Imp.]],CJ$9)</f>
        <v>0</v>
      </c>
      <c r="CK1002" s="693">
        <f>SUMIFS(Imput[[Importe Neto]:[Importe Neto]],Imput[[C. Imp.]:[C. Imp.]],$D1002,Imput[[PERIODO Imp.]:[PERIODO Imp.]],CK$9)</f>
        <v>0</v>
      </c>
      <c r="CL1002" s="693">
        <f>SUMIFS(Imput[[Importe Neto]:[Importe Neto]],Imput[[C. Imp.]:[C. Imp.]],$D1002,Imput[[PERIODO Imp.]:[PERIODO Imp.]],CL$9)</f>
        <v>0</v>
      </c>
      <c r="CM1002" s="693">
        <f>SUMIFS(Imput[[Importe Neto]:[Importe Neto]],Imput[[C. Imp.]:[C. Imp.]],$D1002,Imput[[PERIODO Imp.]:[PERIODO Imp.]],CM$9)</f>
        <v>0</v>
      </c>
      <c r="CN1002" s="693">
        <f>SUMIFS(Imput[[Importe Neto]:[Importe Neto]],Imput[[C. Imp.]:[C. Imp.]],$D1002,Imput[[PERIODO Imp.]:[PERIODO Imp.]],CN$9)</f>
        <v>0</v>
      </c>
      <c r="CO1002" s="693">
        <f>SUMIFS(Imput[[Importe Neto]:[Importe Neto]],Imput[[C. Imp.]:[C. Imp.]],$D1002,Imput[[PERIODO Imp.]:[PERIODO Imp.]],CO$9)</f>
        <v>0</v>
      </c>
      <c r="CP1002" s="693">
        <f>SUMIFS(Imput[[Importe Neto]:[Importe Neto]],Imput[[C. Imp.]:[C. Imp.]],$D1002,Imput[[PERIODO Imp.]:[PERIODO Imp.]],CP$9)</f>
        <v>0</v>
      </c>
      <c r="CQ1002" s="693">
        <f>SUMIFS(Imput[[Importe Neto]:[Importe Neto]],Imput[[C. Imp.]:[C. Imp.]],$D1002,Imput[[PERIODO Imp.]:[PERIODO Imp.]],CQ$9)</f>
        <v>0</v>
      </c>
      <c r="CR1002" s="693">
        <f>SUMIFS(Imput[[Importe Neto]:[Importe Neto]],Imput[[C. Imp.]:[C. Imp.]],$D1002,Imput[[PERIODO Imp.]:[PERIODO Imp.]],CR$9)</f>
        <v>0</v>
      </c>
      <c r="CS1002" s="693">
        <f>SUMIFS(Imput[[Importe Neto]:[Importe Neto]],Imput[[C. Imp.]:[C. Imp.]],$D1002,Imput[[PERIODO Imp.]:[PERIODO Imp.]],CS$9)</f>
        <v>0</v>
      </c>
      <c r="CT1002" s="693">
        <f>SUMIFS(Imput[[Importe Neto]:[Importe Neto]],Imput[[C. Imp.]:[C. Imp.]],$D1002,Imput[[PERIODO Imp.]:[PERIODO Imp.]],CT$9)</f>
        <v>0</v>
      </c>
      <c r="CU1002" s="693">
        <f>SUMIFS(Imput[[Importe Neto]:[Importe Neto]],Imput[[C. Imp.]:[C. Imp.]],$D1002,Imput[[PERIODO Imp.]:[PERIODO Imp.]],CU$9)</f>
        <v>0</v>
      </c>
      <c r="CV1002" s="693">
        <f>SUMIFS(Imput[[Importe Neto]:[Importe Neto]],Imput[[C. Imp.]:[C. Imp.]],$D1002,Imput[[PERIODO Imp.]:[PERIODO Imp.]],CV$9)</f>
        <v>0</v>
      </c>
      <c r="CW1002" s="693">
        <f>SUMIFS(Imput[[Importe Neto]:[Importe Neto]],Imput[[C. Imp.]:[C. Imp.]],$D1002,Imput[[PERIODO Imp.]:[PERIODO Imp.]],CW$9)</f>
        <v>0</v>
      </c>
      <c r="CX1002" s="693">
        <f>SUMIFS(Imput[[Importe Neto]:[Importe Neto]],Imput[[C. Imp.]:[C. Imp.]],$D1002,Imput[[PERIODO Imp.]:[PERIODO Imp.]],CX$9)</f>
        <v>0</v>
      </c>
      <c r="CY1002" s="693">
        <f>SUMIFS(Imput[[Importe Neto]:[Importe Neto]],Imput[[C. Imp.]:[C. Imp.]],$D1002,Imput[[PERIODO Imp.]:[PERIODO Imp.]],CY$9)</f>
        <v>0</v>
      </c>
      <c r="CZ1002" s="693">
        <f>SUMIFS(Imput[[Importe Neto]:[Importe Neto]],Imput[[C. Imp.]:[C. Imp.]],$D1002,Imput[[PERIODO Imp.]:[PERIODO Imp.]],CZ$9)</f>
        <v>0</v>
      </c>
      <c r="DA1002" s="693">
        <f>SUMIFS(Imput[[Importe Neto]:[Importe Neto]],Imput[[C. Imp.]:[C. Imp.]],$D1002,Imput[[PERIODO Imp.]:[PERIODO Imp.]],DA$9)</f>
        <v>0</v>
      </c>
      <c r="DB1002" s="693">
        <f>SUMIFS(Imput[[Importe Neto]:[Importe Neto]],Imput[[C. Imp.]:[C. Imp.]],$D1002,Imput[[PERIODO Imp.]:[PERIODO Imp.]],DB$9)</f>
        <v>0</v>
      </c>
      <c r="DC1002" s="693">
        <f>SUMIFS(Imput[[Importe Neto]:[Importe Neto]],Imput[[C. Imp.]:[C. Imp.]],$D1002,Imput[[PERIODO Imp.]:[PERIODO Imp.]],DC$9)</f>
        <v>0</v>
      </c>
      <c r="DD1002" s="693">
        <f>SUMIFS(Imput[[Importe Neto]:[Importe Neto]],Imput[[C. Imp.]:[C. Imp.]],$D1002,Imput[[PERIODO Imp.]:[PERIODO Imp.]],DD$9)</f>
        <v>0</v>
      </c>
      <c r="DE1002" s="693">
        <f>SUMIFS(Imput[[Importe Neto]:[Importe Neto]],Imput[[C. Imp.]:[C. Imp.]],$D1002,Imput[[PERIODO Imp.]:[PERIODO Imp.]],DE$9)</f>
        <v>0</v>
      </c>
      <c r="DF1002" s="693">
        <f>SUMIFS(Imput[[Importe Neto]:[Importe Neto]],Imput[[C. Imp.]:[C. Imp.]],$D1002,Imput[[PERIODO Imp.]:[PERIODO Imp.]],DF$9)</f>
        <v>0</v>
      </c>
      <c r="DG1002" s="693">
        <f>SUMIFS(Imput[[Importe Neto]:[Importe Neto]],Imput[[C. Imp.]:[C. Imp.]],$D1002,Imput[[PERIODO Imp.]:[PERIODO Imp.]],DG$9)</f>
        <v>0</v>
      </c>
      <c r="DH1002" s="694">
        <f>SUMIFS(Imput[[Importe Neto]:[Importe Neto]],Imput[[C. Imp.]:[C. Imp.]],$D1002,Imput[[PERIODO Imp.]:[PERIODO Imp.]],DH$9)</f>
        <v>0</v>
      </c>
    </row>
    <row r="1003" spans="1:112" s="649" customFormat="1" hidden="1" outlineLevel="1" x14ac:dyDescent="0.3">
      <c r="A1003" s="652" t="str">
        <f t="shared" si="347"/>
        <v/>
      </c>
      <c r="B1003" s="652"/>
      <c r="C1003" s="685"/>
      <c r="D1003" s="686"/>
      <c r="E1003" s="686"/>
      <c r="F1003" s="720"/>
      <c r="G1003" s="688"/>
      <c r="H1003" s="689"/>
      <c r="I1003" s="851" t="str">
        <f t="shared" si="348"/>
        <v/>
      </c>
      <c r="J1003" s="850" t="str">
        <f t="shared" si="349"/>
        <v/>
      </c>
      <c r="K1003" s="667"/>
      <c r="L1003" s="858"/>
      <c r="M1003" s="859"/>
      <c r="N1003" s="859"/>
      <c r="O1003" s="859"/>
      <c r="P1003" s="859"/>
      <c r="Q1003" s="859"/>
      <c r="R1003" s="859"/>
      <c r="S1003" s="859"/>
      <c r="T1003" s="859"/>
      <c r="U1003" s="859"/>
      <c r="V1003" s="859"/>
      <c r="W1003" s="859"/>
      <c r="X1003" s="859"/>
      <c r="Y1003" s="859"/>
      <c r="Z1003" s="860"/>
      <c r="AA1003" s="860"/>
      <c r="AB1003" s="860"/>
      <c r="AC1003" s="860"/>
      <c r="AD1003" s="860"/>
      <c r="AE1003" s="860"/>
      <c r="AF1003" s="860"/>
      <c r="AG1003" s="860"/>
      <c r="AH1003" s="860"/>
      <c r="AI1003" s="860"/>
      <c r="AJ1003" s="860"/>
      <c r="AK1003" s="860"/>
      <c r="AL1003" s="860"/>
      <c r="AM1003" s="860"/>
      <c r="AN1003" s="860"/>
      <c r="AO1003" s="860"/>
      <c r="AP1003" s="860"/>
      <c r="AQ1003" s="860"/>
      <c r="AR1003" s="860"/>
      <c r="AS1003" s="860"/>
      <c r="AT1003" s="860"/>
      <c r="AU1003" s="860"/>
      <c r="AV1003" s="860"/>
      <c r="AW1003" s="860"/>
      <c r="AX1003" s="860"/>
      <c r="AY1003" s="860"/>
      <c r="AZ1003" s="860"/>
      <c r="BA1003" s="860"/>
      <c r="BB1003" s="860"/>
      <c r="BC1003" s="860"/>
      <c r="BD1003" s="860"/>
      <c r="BE1003" s="860"/>
      <c r="BF1003" s="860"/>
      <c r="BG1003" s="860"/>
      <c r="BH1003" s="668"/>
      <c r="BI1003" s="667"/>
      <c r="BJ1003" s="690">
        <f t="shared" si="350"/>
        <v>0</v>
      </c>
      <c r="BK1003" s="691">
        <f t="shared" si="351"/>
        <v>0</v>
      </c>
      <c r="BL1003" s="654"/>
      <c r="BM1003" s="692">
        <f>SUMIFS(Imput[[Importe Neto]:[Importe Neto]],Imput[[C. Imp.]:[C. Imp.]],$D1003,Imput[[PERIODO Imp.]:[PERIODO Imp.]],BM$9)</f>
        <v>0</v>
      </c>
      <c r="BN1003" s="693">
        <f>SUMIFS(Imput[[Importe Neto]:[Importe Neto]],Imput[[C. Imp.]:[C. Imp.]],$D1003,Imput[[PERIODO Imp.]:[PERIODO Imp.]],BN$9)</f>
        <v>0</v>
      </c>
      <c r="BO1003" s="693">
        <f>SUMIFS(Imput[[Importe Neto]:[Importe Neto]],Imput[[C. Imp.]:[C. Imp.]],$D1003,Imput[[PERIODO Imp.]:[PERIODO Imp.]],BO$9)</f>
        <v>0</v>
      </c>
      <c r="BP1003" s="693">
        <f>SUMIFS(Imput[[Importe Neto]:[Importe Neto]],Imput[[C. Imp.]:[C. Imp.]],$D1003,Imput[[PERIODO Imp.]:[PERIODO Imp.]],BP$9)</f>
        <v>0</v>
      </c>
      <c r="BQ1003" s="693">
        <f>SUMIFS(Imput[[Importe Neto]:[Importe Neto]],Imput[[C. Imp.]:[C. Imp.]],$D1003,Imput[[PERIODO Imp.]:[PERIODO Imp.]],BQ$9)</f>
        <v>0</v>
      </c>
      <c r="BR1003" s="693">
        <f>SUMIFS(Imput[[Importe Neto]:[Importe Neto]],Imput[[C. Imp.]:[C. Imp.]],$D1003,Imput[[PERIODO Imp.]:[PERIODO Imp.]],BR$9)</f>
        <v>0</v>
      </c>
      <c r="BS1003" s="693">
        <f>SUMIFS(Imput[[Importe Neto]:[Importe Neto]],Imput[[C. Imp.]:[C. Imp.]],$D1003,Imput[[PERIODO Imp.]:[PERIODO Imp.]],BS$9)</f>
        <v>0</v>
      </c>
      <c r="BT1003" s="693">
        <f>SUMIFS(Imput[[Importe Neto]:[Importe Neto]],Imput[[C. Imp.]:[C. Imp.]],$D1003,Imput[[PERIODO Imp.]:[PERIODO Imp.]],BT$9)</f>
        <v>0</v>
      </c>
      <c r="BU1003" s="693">
        <f>SUMIFS(Imput[[Importe Neto]:[Importe Neto]],Imput[[C. Imp.]:[C. Imp.]],$D1003,Imput[[PERIODO Imp.]:[PERIODO Imp.]],BU$9)</f>
        <v>0</v>
      </c>
      <c r="BV1003" s="693">
        <f>SUMIFS(Imput[[Importe Neto]:[Importe Neto]],Imput[[C. Imp.]:[C. Imp.]],$D1003,Imput[[PERIODO Imp.]:[PERIODO Imp.]],BV$9)</f>
        <v>0</v>
      </c>
      <c r="BW1003" s="693">
        <f>SUMIFS(Imput[[Importe Neto]:[Importe Neto]],Imput[[C. Imp.]:[C. Imp.]],$D1003,Imput[[PERIODO Imp.]:[PERIODO Imp.]],BW$9)</f>
        <v>0</v>
      </c>
      <c r="BX1003" s="693">
        <f>SUMIFS(Imput[[Importe Neto]:[Importe Neto]],Imput[[C. Imp.]:[C. Imp.]],$D1003,Imput[[PERIODO Imp.]:[PERIODO Imp.]],BX$9)</f>
        <v>0</v>
      </c>
      <c r="BY1003" s="693">
        <f>SUMIFS(Imput[[Importe Neto]:[Importe Neto]],Imput[[C. Imp.]:[C. Imp.]],$D1003,Imput[[PERIODO Imp.]:[PERIODO Imp.]],BY$9)</f>
        <v>0</v>
      </c>
      <c r="BZ1003" s="693">
        <f>SUMIFS(Imput[[Importe Neto]:[Importe Neto]],Imput[[C. Imp.]:[C. Imp.]],$D1003,Imput[[PERIODO Imp.]:[PERIODO Imp.]],BZ$9)</f>
        <v>0</v>
      </c>
      <c r="CA1003" s="693">
        <f>SUMIFS(Imput[[Importe Neto]:[Importe Neto]],Imput[[C. Imp.]:[C. Imp.]],$D1003,Imput[[PERIODO Imp.]:[PERIODO Imp.]],CA$9)</f>
        <v>0</v>
      </c>
      <c r="CB1003" s="693">
        <f>SUMIFS(Imput[[Importe Neto]:[Importe Neto]],Imput[[C. Imp.]:[C. Imp.]],$D1003,Imput[[PERIODO Imp.]:[PERIODO Imp.]],CB$9)</f>
        <v>0</v>
      </c>
      <c r="CC1003" s="693">
        <f>SUMIFS(Imput[[Importe Neto]:[Importe Neto]],Imput[[C. Imp.]:[C. Imp.]],$D1003,Imput[[PERIODO Imp.]:[PERIODO Imp.]],CC$9)</f>
        <v>0</v>
      </c>
      <c r="CD1003" s="693">
        <f>SUMIFS(Imput[[Importe Neto]:[Importe Neto]],Imput[[C. Imp.]:[C. Imp.]],$D1003,Imput[[PERIODO Imp.]:[PERIODO Imp.]],CD$9)</f>
        <v>0</v>
      </c>
      <c r="CE1003" s="693">
        <f>SUMIFS(Imput[[Importe Neto]:[Importe Neto]],Imput[[C. Imp.]:[C. Imp.]],$D1003,Imput[[PERIODO Imp.]:[PERIODO Imp.]],CE$9)</f>
        <v>0</v>
      </c>
      <c r="CF1003" s="693">
        <f>SUMIFS(Imput[[Importe Neto]:[Importe Neto]],Imput[[C. Imp.]:[C. Imp.]],$D1003,Imput[[PERIODO Imp.]:[PERIODO Imp.]],CF$9)</f>
        <v>0</v>
      </c>
      <c r="CG1003" s="693">
        <f>SUMIFS(Imput[[Importe Neto]:[Importe Neto]],Imput[[C. Imp.]:[C. Imp.]],$D1003,Imput[[PERIODO Imp.]:[PERIODO Imp.]],CG$9)</f>
        <v>0</v>
      </c>
      <c r="CH1003" s="693">
        <f>SUMIFS(Imput[[Importe Neto]:[Importe Neto]],Imput[[C. Imp.]:[C. Imp.]],$D1003,Imput[[PERIODO Imp.]:[PERIODO Imp.]],CH$9)</f>
        <v>0</v>
      </c>
      <c r="CI1003" s="693">
        <f>SUMIFS(Imput[[Importe Neto]:[Importe Neto]],Imput[[C. Imp.]:[C. Imp.]],$D1003,Imput[[PERIODO Imp.]:[PERIODO Imp.]],CI$9)</f>
        <v>0</v>
      </c>
      <c r="CJ1003" s="693">
        <f>SUMIFS(Imput[[Importe Neto]:[Importe Neto]],Imput[[C. Imp.]:[C. Imp.]],$D1003,Imput[[PERIODO Imp.]:[PERIODO Imp.]],CJ$9)</f>
        <v>0</v>
      </c>
      <c r="CK1003" s="693">
        <f>SUMIFS(Imput[[Importe Neto]:[Importe Neto]],Imput[[C. Imp.]:[C. Imp.]],$D1003,Imput[[PERIODO Imp.]:[PERIODO Imp.]],CK$9)</f>
        <v>0</v>
      </c>
      <c r="CL1003" s="693">
        <f>SUMIFS(Imput[[Importe Neto]:[Importe Neto]],Imput[[C. Imp.]:[C. Imp.]],$D1003,Imput[[PERIODO Imp.]:[PERIODO Imp.]],CL$9)</f>
        <v>0</v>
      </c>
      <c r="CM1003" s="693">
        <f>SUMIFS(Imput[[Importe Neto]:[Importe Neto]],Imput[[C. Imp.]:[C. Imp.]],$D1003,Imput[[PERIODO Imp.]:[PERIODO Imp.]],CM$9)</f>
        <v>0</v>
      </c>
      <c r="CN1003" s="693">
        <f>SUMIFS(Imput[[Importe Neto]:[Importe Neto]],Imput[[C. Imp.]:[C. Imp.]],$D1003,Imput[[PERIODO Imp.]:[PERIODO Imp.]],CN$9)</f>
        <v>0</v>
      </c>
      <c r="CO1003" s="693">
        <f>SUMIFS(Imput[[Importe Neto]:[Importe Neto]],Imput[[C. Imp.]:[C. Imp.]],$D1003,Imput[[PERIODO Imp.]:[PERIODO Imp.]],CO$9)</f>
        <v>0</v>
      </c>
      <c r="CP1003" s="693">
        <f>SUMIFS(Imput[[Importe Neto]:[Importe Neto]],Imput[[C. Imp.]:[C. Imp.]],$D1003,Imput[[PERIODO Imp.]:[PERIODO Imp.]],CP$9)</f>
        <v>0</v>
      </c>
      <c r="CQ1003" s="693">
        <f>SUMIFS(Imput[[Importe Neto]:[Importe Neto]],Imput[[C. Imp.]:[C. Imp.]],$D1003,Imput[[PERIODO Imp.]:[PERIODO Imp.]],CQ$9)</f>
        <v>0</v>
      </c>
      <c r="CR1003" s="693">
        <f>SUMIFS(Imput[[Importe Neto]:[Importe Neto]],Imput[[C. Imp.]:[C. Imp.]],$D1003,Imput[[PERIODO Imp.]:[PERIODO Imp.]],CR$9)</f>
        <v>0</v>
      </c>
      <c r="CS1003" s="693">
        <f>SUMIFS(Imput[[Importe Neto]:[Importe Neto]],Imput[[C. Imp.]:[C. Imp.]],$D1003,Imput[[PERIODO Imp.]:[PERIODO Imp.]],CS$9)</f>
        <v>0</v>
      </c>
      <c r="CT1003" s="693">
        <f>SUMIFS(Imput[[Importe Neto]:[Importe Neto]],Imput[[C. Imp.]:[C. Imp.]],$D1003,Imput[[PERIODO Imp.]:[PERIODO Imp.]],CT$9)</f>
        <v>0</v>
      </c>
      <c r="CU1003" s="693">
        <f>SUMIFS(Imput[[Importe Neto]:[Importe Neto]],Imput[[C. Imp.]:[C. Imp.]],$D1003,Imput[[PERIODO Imp.]:[PERIODO Imp.]],CU$9)</f>
        <v>0</v>
      </c>
      <c r="CV1003" s="693">
        <f>SUMIFS(Imput[[Importe Neto]:[Importe Neto]],Imput[[C. Imp.]:[C. Imp.]],$D1003,Imput[[PERIODO Imp.]:[PERIODO Imp.]],CV$9)</f>
        <v>0</v>
      </c>
      <c r="CW1003" s="693">
        <f>SUMIFS(Imput[[Importe Neto]:[Importe Neto]],Imput[[C. Imp.]:[C. Imp.]],$D1003,Imput[[PERIODO Imp.]:[PERIODO Imp.]],CW$9)</f>
        <v>0</v>
      </c>
      <c r="CX1003" s="693">
        <f>SUMIFS(Imput[[Importe Neto]:[Importe Neto]],Imput[[C. Imp.]:[C. Imp.]],$D1003,Imput[[PERIODO Imp.]:[PERIODO Imp.]],CX$9)</f>
        <v>0</v>
      </c>
      <c r="CY1003" s="693">
        <f>SUMIFS(Imput[[Importe Neto]:[Importe Neto]],Imput[[C. Imp.]:[C. Imp.]],$D1003,Imput[[PERIODO Imp.]:[PERIODO Imp.]],CY$9)</f>
        <v>0</v>
      </c>
      <c r="CZ1003" s="693">
        <f>SUMIFS(Imput[[Importe Neto]:[Importe Neto]],Imput[[C. Imp.]:[C. Imp.]],$D1003,Imput[[PERIODO Imp.]:[PERIODO Imp.]],CZ$9)</f>
        <v>0</v>
      </c>
      <c r="DA1003" s="693">
        <f>SUMIFS(Imput[[Importe Neto]:[Importe Neto]],Imput[[C. Imp.]:[C. Imp.]],$D1003,Imput[[PERIODO Imp.]:[PERIODO Imp.]],DA$9)</f>
        <v>0</v>
      </c>
      <c r="DB1003" s="693">
        <f>SUMIFS(Imput[[Importe Neto]:[Importe Neto]],Imput[[C. Imp.]:[C. Imp.]],$D1003,Imput[[PERIODO Imp.]:[PERIODO Imp.]],DB$9)</f>
        <v>0</v>
      </c>
      <c r="DC1003" s="693">
        <f>SUMIFS(Imput[[Importe Neto]:[Importe Neto]],Imput[[C. Imp.]:[C. Imp.]],$D1003,Imput[[PERIODO Imp.]:[PERIODO Imp.]],DC$9)</f>
        <v>0</v>
      </c>
      <c r="DD1003" s="693">
        <f>SUMIFS(Imput[[Importe Neto]:[Importe Neto]],Imput[[C. Imp.]:[C. Imp.]],$D1003,Imput[[PERIODO Imp.]:[PERIODO Imp.]],DD$9)</f>
        <v>0</v>
      </c>
      <c r="DE1003" s="693">
        <f>SUMIFS(Imput[[Importe Neto]:[Importe Neto]],Imput[[C. Imp.]:[C. Imp.]],$D1003,Imput[[PERIODO Imp.]:[PERIODO Imp.]],DE$9)</f>
        <v>0</v>
      </c>
      <c r="DF1003" s="693">
        <f>SUMIFS(Imput[[Importe Neto]:[Importe Neto]],Imput[[C. Imp.]:[C. Imp.]],$D1003,Imput[[PERIODO Imp.]:[PERIODO Imp.]],DF$9)</f>
        <v>0</v>
      </c>
      <c r="DG1003" s="693">
        <f>SUMIFS(Imput[[Importe Neto]:[Importe Neto]],Imput[[C. Imp.]:[C. Imp.]],$D1003,Imput[[PERIODO Imp.]:[PERIODO Imp.]],DG$9)</f>
        <v>0</v>
      </c>
      <c r="DH1003" s="694">
        <f>SUMIFS(Imput[[Importe Neto]:[Importe Neto]],Imput[[C. Imp.]:[C. Imp.]],$D1003,Imput[[PERIODO Imp.]:[PERIODO Imp.]],DH$9)</f>
        <v>0</v>
      </c>
    </row>
    <row r="1004" spans="1:112" s="649" customFormat="1" hidden="1" outlineLevel="1" x14ac:dyDescent="0.3">
      <c r="A1004" s="652" t="str">
        <f t="shared" si="347"/>
        <v/>
      </c>
      <c r="B1004" s="652"/>
      <c r="C1004" s="685"/>
      <c r="D1004" s="686"/>
      <c r="E1004" s="686"/>
      <c r="F1004" s="720"/>
      <c r="G1004" s="688"/>
      <c r="H1004" s="689"/>
      <c r="I1004" s="851" t="str">
        <f t="shared" si="348"/>
        <v/>
      </c>
      <c r="J1004" s="850" t="str">
        <f t="shared" si="349"/>
        <v/>
      </c>
      <c r="K1004" s="667"/>
      <c r="L1004" s="858"/>
      <c r="M1004" s="859"/>
      <c r="N1004" s="859"/>
      <c r="O1004" s="859"/>
      <c r="P1004" s="859"/>
      <c r="Q1004" s="859"/>
      <c r="R1004" s="859"/>
      <c r="S1004" s="859"/>
      <c r="T1004" s="859"/>
      <c r="U1004" s="859"/>
      <c r="V1004" s="859"/>
      <c r="W1004" s="859"/>
      <c r="X1004" s="859"/>
      <c r="Y1004" s="859"/>
      <c r="Z1004" s="860"/>
      <c r="AA1004" s="860"/>
      <c r="AB1004" s="860"/>
      <c r="AC1004" s="860"/>
      <c r="AD1004" s="860"/>
      <c r="AE1004" s="860"/>
      <c r="AF1004" s="860"/>
      <c r="AG1004" s="860"/>
      <c r="AH1004" s="860"/>
      <c r="AI1004" s="860"/>
      <c r="AJ1004" s="860"/>
      <c r="AK1004" s="860"/>
      <c r="AL1004" s="860"/>
      <c r="AM1004" s="860"/>
      <c r="AN1004" s="860"/>
      <c r="AO1004" s="860"/>
      <c r="AP1004" s="860"/>
      <c r="AQ1004" s="860"/>
      <c r="AR1004" s="860"/>
      <c r="AS1004" s="860"/>
      <c r="AT1004" s="860"/>
      <c r="AU1004" s="860"/>
      <c r="AV1004" s="860"/>
      <c r="AW1004" s="860"/>
      <c r="AX1004" s="860"/>
      <c r="AY1004" s="860"/>
      <c r="AZ1004" s="860"/>
      <c r="BA1004" s="860"/>
      <c r="BB1004" s="860"/>
      <c r="BC1004" s="860"/>
      <c r="BD1004" s="860"/>
      <c r="BE1004" s="860"/>
      <c r="BF1004" s="860"/>
      <c r="BG1004" s="860"/>
      <c r="BH1004" s="668"/>
      <c r="BI1004" s="667"/>
      <c r="BJ1004" s="690">
        <f t="shared" si="350"/>
        <v>0</v>
      </c>
      <c r="BK1004" s="691">
        <f t="shared" si="351"/>
        <v>0</v>
      </c>
      <c r="BL1004" s="654"/>
      <c r="BM1004" s="692">
        <f>SUMIFS(Imput[[Importe Neto]:[Importe Neto]],Imput[[C. Imp.]:[C. Imp.]],$D1004,Imput[[PERIODO Imp.]:[PERIODO Imp.]],BM$9)</f>
        <v>0</v>
      </c>
      <c r="BN1004" s="693">
        <f>SUMIFS(Imput[[Importe Neto]:[Importe Neto]],Imput[[C. Imp.]:[C. Imp.]],$D1004,Imput[[PERIODO Imp.]:[PERIODO Imp.]],BN$9)</f>
        <v>0</v>
      </c>
      <c r="BO1004" s="693">
        <f>SUMIFS(Imput[[Importe Neto]:[Importe Neto]],Imput[[C. Imp.]:[C. Imp.]],$D1004,Imput[[PERIODO Imp.]:[PERIODO Imp.]],BO$9)</f>
        <v>0</v>
      </c>
      <c r="BP1004" s="693">
        <f>SUMIFS(Imput[[Importe Neto]:[Importe Neto]],Imput[[C. Imp.]:[C. Imp.]],$D1004,Imput[[PERIODO Imp.]:[PERIODO Imp.]],BP$9)</f>
        <v>0</v>
      </c>
      <c r="BQ1004" s="693">
        <f>SUMIFS(Imput[[Importe Neto]:[Importe Neto]],Imput[[C. Imp.]:[C. Imp.]],$D1004,Imput[[PERIODO Imp.]:[PERIODO Imp.]],BQ$9)</f>
        <v>0</v>
      </c>
      <c r="BR1004" s="693">
        <f>SUMIFS(Imput[[Importe Neto]:[Importe Neto]],Imput[[C. Imp.]:[C. Imp.]],$D1004,Imput[[PERIODO Imp.]:[PERIODO Imp.]],BR$9)</f>
        <v>0</v>
      </c>
      <c r="BS1004" s="693">
        <f>SUMIFS(Imput[[Importe Neto]:[Importe Neto]],Imput[[C. Imp.]:[C. Imp.]],$D1004,Imput[[PERIODO Imp.]:[PERIODO Imp.]],BS$9)</f>
        <v>0</v>
      </c>
      <c r="BT1004" s="693">
        <f>SUMIFS(Imput[[Importe Neto]:[Importe Neto]],Imput[[C. Imp.]:[C. Imp.]],$D1004,Imput[[PERIODO Imp.]:[PERIODO Imp.]],BT$9)</f>
        <v>0</v>
      </c>
      <c r="BU1004" s="693">
        <f>SUMIFS(Imput[[Importe Neto]:[Importe Neto]],Imput[[C. Imp.]:[C. Imp.]],$D1004,Imput[[PERIODO Imp.]:[PERIODO Imp.]],BU$9)</f>
        <v>0</v>
      </c>
      <c r="BV1004" s="693">
        <f>SUMIFS(Imput[[Importe Neto]:[Importe Neto]],Imput[[C. Imp.]:[C. Imp.]],$D1004,Imput[[PERIODO Imp.]:[PERIODO Imp.]],BV$9)</f>
        <v>0</v>
      </c>
      <c r="BW1004" s="693">
        <f>SUMIFS(Imput[[Importe Neto]:[Importe Neto]],Imput[[C. Imp.]:[C. Imp.]],$D1004,Imput[[PERIODO Imp.]:[PERIODO Imp.]],BW$9)</f>
        <v>0</v>
      </c>
      <c r="BX1004" s="693">
        <f>SUMIFS(Imput[[Importe Neto]:[Importe Neto]],Imput[[C. Imp.]:[C. Imp.]],$D1004,Imput[[PERIODO Imp.]:[PERIODO Imp.]],BX$9)</f>
        <v>0</v>
      </c>
      <c r="BY1004" s="693">
        <f>SUMIFS(Imput[[Importe Neto]:[Importe Neto]],Imput[[C. Imp.]:[C. Imp.]],$D1004,Imput[[PERIODO Imp.]:[PERIODO Imp.]],BY$9)</f>
        <v>0</v>
      </c>
      <c r="BZ1004" s="693">
        <f>SUMIFS(Imput[[Importe Neto]:[Importe Neto]],Imput[[C. Imp.]:[C. Imp.]],$D1004,Imput[[PERIODO Imp.]:[PERIODO Imp.]],BZ$9)</f>
        <v>0</v>
      </c>
      <c r="CA1004" s="693">
        <f>SUMIFS(Imput[[Importe Neto]:[Importe Neto]],Imput[[C. Imp.]:[C. Imp.]],$D1004,Imput[[PERIODO Imp.]:[PERIODO Imp.]],CA$9)</f>
        <v>0</v>
      </c>
      <c r="CB1004" s="693">
        <f>SUMIFS(Imput[[Importe Neto]:[Importe Neto]],Imput[[C. Imp.]:[C. Imp.]],$D1004,Imput[[PERIODO Imp.]:[PERIODO Imp.]],CB$9)</f>
        <v>0</v>
      </c>
      <c r="CC1004" s="693">
        <f>SUMIFS(Imput[[Importe Neto]:[Importe Neto]],Imput[[C. Imp.]:[C. Imp.]],$D1004,Imput[[PERIODO Imp.]:[PERIODO Imp.]],CC$9)</f>
        <v>0</v>
      </c>
      <c r="CD1004" s="693">
        <f>SUMIFS(Imput[[Importe Neto]:[Importe Neto]],Imput[[C. Imp.]:[C. Imp.]],$D1004,Imput[[PERIODO Imp.]:[PERIODO Imp.]],CD$9)</f>
        <v>0</v>
      </c>
      <c r="CE1004" s="693">
        <f>SUMIFS(Imput[[Importe Neto]:[Importe Neto]],Imput[[C. Imp.]:[C. Imp.]],$D1004,Imput[[PERIODO Imp.]:[PERIODO Imp.]],CE$9)</f>
        <v>0</v>
      </c>
      <c r="CF1004" s="693">
        <f>SUMIFS(Imput[[Importe Neto]:[Importe Neto]],Imput[[C. Imp.]:[C. Imp.]],$D1004,Imput[[PERIODO Imp.]:[PERIODO Imp.]],CF$9)</f>
        <v>0</v>
      </c>
      <c r="CG1004" s="693">
        <f>SUMIFS(Imput[[Importe Neto]:[Importe Neto]],Imput[[C. Imp.]:[C. Imp.]],$D1004,Imput[[PERIODO Imp.]:[PERIODO Imp.]],CG$9)</f>
        <v>0</v>
      </c>
      <c r="CH1004" s="693">
        <f>SUMIFS(Imput[[Importe Neto]:[Importe Neto]],Imput[[C. Imp.]:[C. Imp.]],$D1004,Imput[[PERIODO Imp.]:[PERIODO Imp.]],CH$9)</f>
        <v>0</v>
      </c>
      <c r="CI1004" s="693">
        <f>SUMIFS(Imput[[Importe Neto]:[Importe Neto]],Imput[[C. Imp.]:[C. Imp.]],$D1004,Imput[[PERIODO Imp.]:[PERIODO Imp.]],CI$9)</f>
        <v>0</v>
      </c>
      <c r="CJ1004" s="693">
        <f>SUMIFS(Imput[[Importe Neto]:[Importe Neto]],Imput[[C. Imp.]:[C. Imp.]],$D1004,Imput[[PERIODO Imp.]:[PERIODO Imp.]],CJ$9)</f>
        <v>0</v>
      </c>
      <c r="CK1004" s="693">
        <f>SUMIFS(Imput[[Importe Neto]:[Importe Neto]],Imput[[C. Imp.]:[C. Imp.]],$D1004,Imput[[PERIODO Imp.]:[PERIODO Imp.]],CK$9)</f>
        <v>0</v>
      </c>
      <c r="CL1004" s="693">
        <f>SUMIFS(Imput[[Importe Neto]:[Importe Neto]],Imput[[C. Imp.]:[C. Imp.]],$D1004,Imput[[PERIODO Imp.]:[PERIODO Imp.]],CL$9)</f>
        <v>0</v>
      </c>
      <c r="CM1004" s="693">
        <f>SUMIFS(Imput[[Importe Neto]:[Importe Neto]],Imput[[C. Imp.]:[C. Imp.]],$D1004,Imput[[PERIODO Imp.]:[PERIODO Imp.]],CM$9)</f>
        <v>0</v>
      </c>
      <c r="CN1004" s="693">
        <f>SUMIFS(Imput[[Importe Neto]:[Importe Neto]],Imput[[C. Imp.]:[C. Imp.]],$D1004,Imput[[PERIODO Imp.]:[PERIODO Imp.]],CN$9)</f>
        <v>0</v>
      </c>
      <c r="CO1004" s="693">
        <f>SUMIFS(Imput[[Importe Neto]:[Importe Neto]],Imput[[C. Imp.]:[C. Imp.]],$D1004,Imput[[PERIODO Imp.]:[PERIODO Imp.]],CO$9)</f>
        <v>0</v>
      </c>
      <c r="CP1004" s="693">
        <f>SUMIFS(Imput[[Importe Neto]:[Importe Neto]],Imput[[C. Imp.]:[C. Imp.]],$D1004,Imput[[PERIODO Imp.]:[PERIODO Imp.]],CP$9)</f>
        <v>0</v>
      </c>
      <c r="CQ1004" s="693">
        <f>SUMIFS(Imput[[Importe Neto]:[Importe Neto]],Imput[[C. Imp.]:[C. Imp.]],$D1004,Imput[[PERIODO Imp.]:[PERIODO Imp.]],CQ$9)</f>
        <v>0</v>
      </c>
      <c r="CR1004" s="693">
        <f>SUMIFS(Imput[[Importe Neto]:[Importe Neto]],Imput[[C. Imp.]:[C. Imp.]],$D1004,Imput[[PERIODO Imp.]:[PERIODO Imp.]],CR$9)</f>
        <v>0</v>
      </c>
      <c r="CS1004" s="693">
        <f>SUMIFS(Imput[[Importe Neto]:[Importe Neto]],Imput[[C. Imp.]:[C. Imp.]],$D1004,Imput[[PERIODO Imp.]:[PERIODO Imp.]],CS$9)</f>
        <v>0</v>
      </c>
      <c r="CT1004" s="693">
        <f>SUMIFS(Imput[[Importe Neto]:[Importe Neto]],Imput[[C. Imp.]:[C. Imp.]],$D1004,Imput[[PERIODO Imp.]:[PERIODO Imp.]],CT$9)</f>
        <v>0</v>
      </c>
      <c r="CU1004" s="693">
        <f>SUMIFS(Imput[[Importe Neto]:[Importe Neto]],Imput[[C. Imp.]:[C. Imp.]],$D1004,Imput[[PERIODO Imp.]:[PERIODO Imp.]],CU$9)</f>
        <v>0</v>
      </c>
      <c r="CV1004" s="693">
        <f>SUMIFS(Imput[[Importe Neto]:[Importe Neto]],Imput[[C. Imp.]:[C. Imp.]],$D1004,Imput[[PERIODO Imp.]:[PERIODO Imp.]],CV$9)</f>
        <v>0</v>
      </c>
      <c r="CW1004" s="693">
        <f>SUMIFS(Imput[[Importe Neto]:[Importe Neto]],Imput[[C. Imp.]:[C. Imp.]],$D1004,Imput[[PERIODO Imp.]:[PERIODO Imp.]],CW$9)</f>
        <v>0</v>
      </c>
      <c r="CX1004" s="693">
        <f>SUMIFS(Imput[[Importe Neto]:[Importe Neto]],Imput[[C. Imp.]:[C. Imp.]],$D1004,Imput[[PERIODO Imp.]:[PERIODO Imp.]],CX$9)</f>
        <v>0</v>
      </c>
      <c r="CY1004" s="693">
        <f>SUMIFS(Imput[[Importe Neto]:[Importe Neto]],Imput[[C. Imp.]:[C. Imp.]],$D1004,Imput[[PERIODO Imp.]:[PERIODO Imp.]],CY$9)</f>
        <v>0</v>
      </c>
      <c r="CZ1004" s="693">
        <f>SUMIFS(Imput[[Importe Neto]:[Importe Neto]],Imput[[C. Imp.]:[C. Imp.]],$D1004,Imput[[PERIODO Imp.]:[PERIODO Imp.]],CZ$9)</f>
        <v>0</v>
      </c>
      <c r="DA1004" s="693">
        <f>SUMIFS(Imput[[Importe Neto]:[Importe Neto]],Imput[[C. Imp.]:[C. Imp.]],$D1004,Imput[[PERIODO Imp.]:[PERIODO Imp.]],DA$9)</f>
        <v>0</v>
      </c>
      <c r="DB1004" s="693">
        <f>SUMIFS(Imput[[Importe Neto]:[Importe Neto]],Imput[[C. Imp.]:[C. Imp.]],$D1004,Imput[[PERIODO Imp.]:[PERIODO Imp.]],DB$9)</f>
        <v>0</v>
      </c>
      <c r="DC1004" s="693">
        <f>SUMIFS(Imput[[Importe Neto]:[Importe Neto]],Imput[[C. Imp.]:[C. Imp.]],$D1004,Imput[[PERIODO Imp.]:[PERIODO Imp.]],DC$9)</f>
        <v>0</v>
      </c>
      <c r="DD1004" s="693">
        <f>SUMIFS(Imput[[Importe Neto]:[Importe Neto]],Imput[[C. Imp.]:[C. Imp.]],$D1004,Imput[[PERIODO Imp.]:[PERIODO Imp.]],DD$9)</f>
        <v>0</v>
      </c>
      <c r="DE1004" s="693">
        <f>SUMIFS(Imput[[Importe Neto]:[Importe Neto]],Imput[[C. Imp.]:[C. Imp.]],$D1004,Imput[[PERIODO Imp.]:[PERIODO Imp.]],DE$9)</f>
        <v>0</v>
      </c>
      <c r="DF1004" s="693">
        <f>SUMIFS(Imput[[Importe Neto]:[Importe Neto]],Imput[[C. Imp.]:[C. Imp.]],$D1004,Imput[[PERIODO Imp.]:[PERIODO Imp.]],DF$9)</f>
        <v>0</v>
      </c>
      <c r="DG1004" s="693">
        <f>SUMIFS(Imput[[Importe Neto]:[Importe Neto]],Imput[[C. Imp.]:[C. Imp.]],$D1004,Imput[[PERIODO Imp.]:[PERIODO Imp.]],DG$9)</f>
        <v>0</v>
      </c>
      <c r="DH1004" s="694">
        <f>SUMIFS(Imput[[Importe Neto]:[Importe Neto]],Imput[[C. Imp.]:[C. Imp.]],$D1004,Imput[[PERIODO Imp.]:[PERIODO Imp.]],DH$9)</f>
        <v>0</v>
      </c>
    </row>
    <row r="1005" spans="1:112" s="649" customFormat="1" hidden="1" outlineLevel="1" x14ac:dyDescent="0.3">
      <c r="A1005" s="652" t="str">
        <f t="shared" si="347"/>
        <v/>
      </c>
      <c r="B1005" s="652"/>
      <c r="C1005" s="685"/>
      <c r="D1005" s="686"/>
      <c r="E1005" s="686"/>
      <c r="F1005" s="720"/>
      <c r="G1005" s="688"/>
      <c r="H1005" s="689"/>
      <c r="I1005" s="851" t="str">
        <f t="shared" si="348"/>
        <v/>
      </c>
      <c r="J1005" s="850" t="str">
        <f t="shared" si="349"/>
        <v/>
      </c>
      <c r="K1005" s="667"/>
      <c r="L1005" s="858"/>
      <c r="M1005" s="859"/>
      <c r="N1005" s="859"/>
      <c r="O1005" s="859"/>
      <c r="P1005" s="859"/>
      <c r="Q1005" s="859"/>
      <c r="R1005" s="859"/>
      <c r="S1005" s="859"/>
      <c r="T1005" s="859"/>
      <c r="U1005" s="859"/>
      <c r="V1005" s="859"/>
      <c r="W1005" s="859"/>
      <c r="X1005" s="859"/>
      <c r="Y1005" s="859"/>
      <c r="Z1005" s="860"/>
      <c r="AA1005" s="860"/>
      <c r="AB1005" s="860"/>
      <c r="AC1005" s="860"/>
      <c r="AD1005" s="860"/>
      <c r="AE1005" s="860"/>
      <c r="AF1005" s="860"/>
      <c r="AG1005" s="860"/>
      <c r="AH1005" s="860"/>
      <c r="AI1005" s="860"/>
      <c r="AJ1005" s="860"/>
      <c r="AK1005" s="860"/>
      <c r="AL1005" s="860"/>
      <c r="AM1005" s="860"/>
      <c r="AN1005" s="860"/>
      <c r="AO1005" s="860"/>
      <c r="AP1005" s="860"/>
      <c r="AQ1005" s="860"/>
      <c r="AR1005" s="860"/>
      <c r="AS1005" s="860"/>
      <c r="AT1005" s="860"/>
      <c r="AU1005" s="860"/>
      <c r="AV1005" s="860"/>
      <c r="AW1005" s="860"/>
      <c r="AX1005" s="860"/>
      <c r="AY1005" s="860"/>
      <c r="AZ1005" s="860"/>
      <c r="BA1005" s="860"/>
      <c r="BB1005" s="860"/>
      <c r="BC1005" s="860"/>
      <c r="BD1005" s="860"/>
      <c r="BE1005" s="860"/>
      <c r="BF1005" s="860"/>
      <c r="BG1005" s="860"/>
      <c r="BH1005" s="668"/>
      <c r="BI1005" s="667"/>
      <c r="BJ1005" s="690">
        <f t="shared" si="350"/>
        <v>0</v>
      </c>
      <c r="BK1005" s="691">
        <f t="shared" si="351"/>
        <v>0</v>
      </c>
      <c r="BL1005" s="654"/>
      <c r="BM1005" s="692">
        <f>SUMIFS(Imput[[Importe Neto]:[Importe Neto]],Imput[[C. Imp.]:[C. Imp.]],$D1005,Imput[[PERIODO Imp.]:[PERIODO Imp.]],BM$9)</f>
        <v>0</v>
      </c>
      <c r="BN1005" s="693">
        <f>SUMIFS(Imput[[Importe Neto]:[Importe Neto]],Imput[[C. Imp.]:[C. Imp.]],$D1005,Imput[[PERIODO Imp.]:[PERIODO Imp.]],BN$9)</f>
        <v>0</v>
      </c>
      <c r="BO1005" s="693">
        <f>SUMIFS(Imput[[Importe Neto]:[Importe Neto]],Imput[[C. Imp.]:[C. Imp.]],$D1005,Imput[[PERIODO Imp.]:[PERIODO Imp.]],BO$9)</f>
        <v>0</v>
      </c>
      <c r="BP1005" s="693">
        <f>SUMIFS(Imput[[Importe Neto]:[Importe Neto]],Imput[[C. Imp.]:[C. Imp.]],$D1005,Imput[[PERIODO Imp.]:[PERIODO Imp.]],BP$9)</f>
        <v>0</v>
      </c>
      <c r="BQ1005" s="693">
        <f>SUMIFS(Imput[[Importe Neto]:[Importe Neto]],Imput[[C. Imp.]:[C. Imp.]],$D1005,Imput[[PERIODO Imp.]:[PERIODO Imp.]],BQ$9)</f>
        <v>0</v>
      </c>
      <c r="BR1005" s="693">
        <f>SUMIFS(Imput[[Importe Neto]:[Importe Neto]],Imput[[C. Imp.]:[C. Imp.]],$D1005,Imput[[PERIODO Imp.]:[PERIODO Imp.]],BR$9)</f>
        <v>0</v>
      </c>
      <c r="BS1005" s="693">
        <f>SUMIFS(Imput[[Importe Neto]:[Importe Neto]],Imput[[C. Imp.]:[C. Imp.]],$D1005,Imput[[PERIODO Imp.]:[PERIODO Imp.]],BS$9)</f>
        <v>0</v>
      </c>
      <c r="BT1005" s="693">
        <f>SUMIFS(Imput[[Importe Neto]:[Importe Neto]],Imput[[C. Imp.]:[C. Imp.]],$D1005,Imput[[PERIODO Imp.]:[PERIODO Imp.]],BT$9)</f>
        <v>0</v>
      </c>
      <c r="BU1005" s="693">
        <f>SUMIFS(Imput[[Importe Neto]:[Importe Neto]],Imput[[C. Imp.]:[C. Imp.]],$D1005,Imput[[PERIODO Imp.]:[PERIODO Imp.]],BU$9)</f>
        <v>0</v>
      </c>
      <c r="BV1005" s="693">
        <f>SUMIFS(Imput[[Importe Neto]:[Importe Neto]],Imput[[C. Imp.]:[C. Imp.]],$D1005,Imput[[PERIODO Imp.]:[PERIODO Imp.]],BV$9)</f>
        <v>0</v>
      </c>
      <c r="BW1005" s="693">
        <f>SUMIFS(Imput[[Importe Neto]:[Importe Neto]],Imput[[C. Imp.]:[C. Imp.]],$D1005,Imput[[PERIODO Imp.]:[PERIODO Imp.]],BW$9)</f>
        <v>0</v>
      </c>
      <c r="BX1005" s="693">
        <f>SUMIFS(Imput[[Importe Neto]:[Importe Neto]],Imput[[C. Imp.]:[C. Imp.]],$D1005,Imput[[PERIODO Imp.]:[PERIODO Imp.]],BX$9)</f>
        <v>0</v>
      </c>
      <c r="BY1005" s="693">
        <f>SUMIFS(Imput[[Importe Neto]:[Importe Neto]],Imput[[C. Imp.]:[C. Imp.]],$D1005,Imput[[PERIODO Imp.]:[PERIODO Imp.]],BY$9)</f>
        <v>0</v>
      </c>
      <c r="BZ1005" s="693">
        <f>SUMIFS(Imput[[Importe Neto]:[Importe Neto]],Imput[[C. Imp.]:[C. Imp.]],$D1005,Imput[[PERIODO Imp.]:[PERIODO Imp.]],BZ$9)</f>
        <v>0</v>
      </c>
      <c r="CA1005" s="693">
        <f>SUMIFS(Imput[[Importe Neto]:[Importe Neto]],Imput[[C. Imp.]:[C. Imp.]],$D1005,Imput[[PERIODO Imp.]:[PERIODO Imp.]],CA$9)</f>
        <v>0</v>
      </c>
      <c r="CB1005" s="693">
        <f>SUMIFS(Imput[[Importe Neto]:[Importe Neto]],Imput[[C. Imp.]:[C. Imp.]],$D1005,Imput[[PERIODO Imp.]:[PERIODO Imp.]],CB$9)</f>
        <v>0</v>
      </c>
      <c r="CC1005" s="693">
        <f>SUMIFS(Imput[[Importe Neto]:[Importe Neto]],Imput[[C. Imp.]:[C. Imp.]],$D1005,Imput[[PERIODO Imp.]:[PERIODO Imp.]],CC$9)</f>
        <v>0</v>
      </c>
      <c r="CD1005" s="693">
        <f>SUMIFS(Imput[[Importe Neto]:[Importe Neto]],Imput[[C. Imp.]:[C. Imp.]],$D1005,Imput[[PERIODO Imp.]:[PERIODO Imp.]],CD$9)</f>
        <v>0</v>
      </c>
      <c r="CE1005" s="693">
        <f>SUMIFS(Imput[[Importe Neto]:[Importe Neto]],Imput[[C. Imp.]:[C. Imp.]],$D1005,Imput[[PERIODO Imp.]:[PERIODO Imp.]],CE$9)</f>
        <v>0</v>
      </c>
      <c r="CF1005" s="693">
        <f>SUMIFS(Imput[[Importe Neto]:[Importe Neto]],Imput[[C. Imp.]:[C. Imp.]],$D1005,Imput[[PERIODO Imp.]:[PERIODO Imp.]],CF$9)</f>
        <v>0</v>
      </c>
      <c r="CG1005" s="693">
        <f>SUMIFS(Imput[[Importe Neto]:[Importe Neto]],Imput[[C. Imp.]:[C. Imp.]],$D1005,Imput[[PERIODO Imp.]:[PERIODO Imp.]],CG$9)</f>
        <v>0</v>
      </c>
      <c r="CH1005" s="693">
        <f>SUMIFS(Imput[[Importe Neto]:[Importe Neto]],Imput[[C. Imp.]:[C. Imp.]],$D1005,Imput[[PERIODO Imp.]:[PERIODO Imp.]],CH$9)</f>
        <v>0</v>
      </c>
      <c r="CI1005" s="693">
        <f>SUMIFS(Imput[[Importe Neto]:[Importe Neto]],Imput[[C. Imp.]:[C. Imp.]],$D1005,Imput[[PERIODO Imp.]:[PERIODO Imp.]],CI$9)</f>
        <v>0</v>
      </c>
      <c r="CJ1005" s="693">
        <f>SUMIFS(Imput[[Importe Neto]:[Importe Neto]],Imput[[C. Imp.]:[C. Imp.]],$D1005,Imput[[PERIODO Imp.]:[PERIODO Imp.]],CJ$9)</f>
        <v>0</v>
      </c>
      <c r="CK1005" s="693">
        <f>SUMIFS(Imput[[Importe Neto]:[Importe Neto]],Imput[[C. Imp.]:[C. Imp.]],$D1005,Imput[[PERIODO Imp.]:[PERIODO Imp.]],CK$9)</f>
        <v>0</v>
      </c>
      <c r="CL1005" s="693">
        <f>SUMIFS(Imput[[Importe Neto]:[Importe Neto]],Imput[[C. Imp.]:[C. Imp.]],$D1005,Imput[[PERIODO Imp.]:[PERIODO Imp.]],CL$9)</f>
        <v>0</v>
      </c>
      <c r="CM1005" s="693">
        <f>SUMIFS(Imput[[Importe Neto]:[Importe Neto]],Imput[[C. Imp.]:[C. Imp.]],$D1005,Imput[[PERIODO Imp.]:[PERIODO Imp.]],CM$9)</f>
        <v>0</v>
      </c>
      <c r="CN1005" s="693">
        <f>SUMIFS(Imput[[Importe Neto]:[Importe Neto]],Imput[[C. Imp.]:[C. Imp.]],$D1005,Imput[[PERIODO Imp.]:[PERIODO Imp.]],CN$9)</f>
        <v>0</v>
      </c>
      <c r="CO1005" s="693">
        <f>SUMIFS(Imput[[Importe Neto]:[Importe Neto]],Imput[[C. Imp.]:[C. Imp.]],$D1005,Imput[[PERIODO Imp.]:[PERIODO Imp.]],CO$9)</f>
        <v>0</v>
      </c>
      <c r="CP1005" s="693">
        <f>SUMIFS(Imput[[Importe Neto]:[Importe Neto]],Imput[[C. Imp.]:[C. Imp.]],$D1005,Imput[[PERIODO Imp.]:[PERIODO Imp.]],CP$9)</f>
        <v>0</v>
      </c>
      <c r="CQ1005" s="693">
        <f>SUMIFS(Imput[[Importe Neto]:[Importe Neto]],Imput[[C. Imp.]:[C. Imp.]],$D1005,Imput[[PERIODO Imp.]:[PERIODO Imp.]],CQ$9)</f>
        <v>0</v>
      </c>
      <c r="CR1005" s="693">
        <f>SUMIFS(Imput[[Importe Neto]:[Importe Neto]],Imput[[C. Imp.]:[C. Imp.]],$D1005,Imput[[PERIODO Imp.]:[PERIODO Imp.]],CR$9)</f>
        <v>0</v>
      </c>
      <c r="CS1005" s="693">
        <f>SUMIFS(Imput[[Importe Neto]:[Importe Neto]],Imput[[C. Imp.]:[C. Imp.]],$D1005,Imput[[PERIODO Imp.]:[PERIODO Imp.]],CS$9)</f>
        <v>0</v>
      </c>
      <c r="CT1005" s="693">
        <f>SUMIFS(Imput[[Importe Neto]:[Importe Neto]],Imput[[C. Imp.]:[C. Imp.]],$D1005,Imput[[PERIODO Imp.]:[PERIODO Imp.]],CT$9)</f>
        <v>0</v>
      </c>
      <c r="CU1005" s="693">
        <f>SUMIFS(Imput[[Importe Neto]:[Importe Neto]],Imput[[C. Imp.]:[C. Imp.]],$D1005,Imput[[PERIODO Imp.]:[PERIODO Imp.]],CU$9)</f>
        <v>0</v>
      </c>
      <c r="CV1005" s="693">
        <f>SUMIFS(Imput[[Importe Neto]:[Importe Neto]],Imput[[C. Imp.]:[C. Imp.]],$D1005,Imput[[PERIODO Imp.]:[PERIODO Imp.]],CV$9)</f>
        <v>0</v>
      </c>
      <c r="CW1005" s="693">
        <f>SUMIFS(Imput[[Importe Neto]:[Importe Neto]],Imput[[C. Imp.]:[C. Imp.]],$D1005,Imput[[PERIODO Imp.]:[PERIODO Imp.]],CW$9)</f>
        <v>0</v>
      </c>
      <c r="CX1005" s="693">
        <f>SUMIFS(Imput[[Importe Neto]:[Importe Neto]],Imput[[C. Imp.]:[C. Imp.]],$D1005,Imput[[PERIODO Imp.]:[PERIODO Imp.]],CX$9)</f>
        <v>0</v>
      </c>
      <c r="CY1005" s="693">
        <f>SUMIFS(Imput[[Importe Neto]:[Importe Neto]],Imput[[C. Imp.]:[C. Imp.]],$D1005,Imput[[PERIODO Imp.]:[PERIODO Imp.]],CY$9)</f>
        <v>0</v>
      </c>
      <c r="CZ1005" s="693">
        <f>SUMIFS(Imput[[Importe Neto]:[Importe Neto]],Imput[[C. Imp.]:[C. Imp.]],$D1005,Imput[[PERIODO Imp.]:[PERIODO Imp.]],CZ$9)</f>
        <v>0</v>
      </c>
      <c r="DA1005" s="693">
        <f>SUMIFS(Imput[[Importe Neto]:[Importe Neto]],Imput[[C. Imp.]:[C. Imp.]],$D1005,Imput[[PERIODO Imp.]:[PERIODO Imp.]],DA$9)</f>
        <v>0</v>
      </c>
      <c r="DB1005" s="693">
        <f>SUMIFS(Imput[[Importe Neto]:[Importe Neto]],Imput[[C. Imp.]:[C. Imp.]],$D1005,Imput[[PERIODO Imp.]:[PERIODO Imp.]],DB$9)</f>
        <v>0</v>
      </c>
      <c r="DC1005" s="693">
        <f>SUMIFS(Imput[[Importe Neto]:[Importe Neto]],Imput[[C. Imp.]:[C. Imp.]],$D1005,Imput[[PERIODO Imp.]:[PERIODO Imp.]],DC$9)</f>
        <v>0</v>
      </c>
      <c r="DD1005" s="693">
        <f>SUMIFS(Imput[[Importe Neto]:[Importe Neto]],Imput[[C. Imp.]:[C. Imp.]],$D1005,Imput[[PERIODO Imp.]:[PERIODO Imp.]],DD$9)</f>
        <v>0</v>
      </c>
      <c r="DE1005" s="693">
        <f>SUMIFS(Imput[[Importe Neto]:[Importe Neto]],Imput[[C. Imp.]:[C. Imp.]],$D1005,Imput[[PERIODO Imp.]:[PERIODO Imp.]],DE$9)</f>
        <v>0</v>
      </c>
      <c r="DF1005" s="693">
        <f>SUMIFS(Imput[[Importe Neto]:[Importe Neto]],Imput[[C. Imp.]:[C. Imp.]],$D1005,Imput[[PERIODO Imp.]:[PERIODO Imp.]],DF$9)</f>
        <v>0</v>
      </c>
      <c r="DG1005" s="693">
        <f>SUMIFS(Imput[[Importe Neto]:[Importe Neto]],Imput[[C. Imp.]:[C. Imp.]],$D1005,Imput[[PERIODO Imp.]:[PERIODO Imp.]],DG$9)</f>
        <v>0</v>
      </c>
      <c r="DH1005" s="694">
        <f>SUMIFS(Imput[[Importe Neto]:[Importe Neto]],Imput[[C. Imp.]:[C. Imp.]],$D1005,Imput[[PERIODO Imp.]:[PERIODO Imp.]],DH$9)</f>
        <v>0</v>
      </c>
    </row>
    <row r="1006" spans="1:112" s="649" customFormat="1" hidden="1" outlineLevel="1" x14ac:dyDescent="0.3">
      <c r="A1006" s="652" t="str">
        <f t="shared" si="347"/>
        <v/>
      </c>
      <c r="B1006" s="652"/>
      <c r="C1006" s="685"/>
      <c r="D1006" s="686"/>
      <c r="E1006" s="686"/>
      <c r="F1006" s="720"/>
      <c r="G1006" s="688"/>
      <c r="H1006" s="689"/>
      <c r="I1006" s="851" t="str">
        <f t="shared" si="348"/>
        <v/>
      </c>
      <c r="J1006" s="850" t="str">
        <f t="shared" si="349"/>
        <v/>
      </c>
      <c r="K1006" s="667"/>
      <c r="L1006" s="858"/>
      <c r="M1006" s="859"/>
      <c r="N1006" s="859"/>
      <c r="O1006" s="859"/>
      <c r="P1006" s="859"/>
      <c r="Q1006" s="859"/>
      <c r="R1006" s="859"/>
      <c r="S1006" s="859"/>
      <c r="T1006" s="859"/>
      <c r="U1006" s="859"/>
      <c r="V1006" s="859"/>
      <c r="W1006" s="859"/>
      <c r="X1006" s="859"/>
      <c r="Y1006" s="859"/>
      <c r="Z1006" s="860"/>
      <c r="AA1006" s="860"/>
      <c r="AB1006" s="860"/>
      <c r="AC1006" s="860"/>
      <c r="AD1006" s="860"/>
      <c r="AE1006" s="860"/>
      <c r="AF1006" s="860"/>
      <c r="AG1006" s="860"/>
      <c r="AH1006" s="860"/>
      <c r="AI1006" s="860"/>
      <c r="AJ1006" s="860"/>
      <c r="AK1006" s="860"/>
      <c r="AL1006" s="860"/>
      <c r="AM1006" s="860"/>
      <c r="AN1006" s="860"/>
      <c r="AO1006" s="860"/>
      <c r="AP1006" s="860"/>
      <c r="AQ1006" s="860"/>
      <c r="AR1006" s="860"/>
      <c r="AS1006" s="860"/>
      <c r="AT1006" s="860"/>
      <c r="AU1006" s="860"/>
      <c r="AV1006" s="860"/>
      <c r="AW1006" s="860"/>
      <c r="AX1006" s="860"/>
      <c r="AY1006" s="860"/>
      <c r="AZ1006" s="860"/>
      <c r="BA1006" s="860"/>
      <c r="BB1006" s="860"/>
      <c r="BC1006" s="860"/>
      <c r="BD1006" s="860"/>
      <c r="BE1006" s="860"/>
      <c r="BF1006" s="860"/>
      <c r="BG1006" s="860"/>
      <c r="BH1006" s="780"/>
      <c r="BI1006" s="654"/>
      <c r="BJ1006" s="690">
        <f t="shared" si="350"/>
        <v>0</v>
      </c>
      <c r="BK1006" s="691">
        <f t="shared" si="351"/>
        <v>0</v>
      </c>
      <c r="BL1006" s="654"/>
      <c r="BM1006" s="692">
        <f>SUMIFS(Imput[[Importe Neto]:[Importe Neto]],Imput[[C. Imp.]:[C. Imp.]],$D1006,Imput[[PERIODO Imp.]:[PERIODO Imp.]],BM$9)</f>
        <v>0</v>
      </c>
      <c r="BN1006" s="693">
        <f>SUMIFS(Imput[[Importe Neto]:[Importe Neto]],Imput[[C. Imp.]:[C. Imp.]],$D1006,Imput[[PERIODO Imp.]:[PERIODO Imp.]],BN$9)</f>
        <v>0</v>
      </c>
      <c r="BO1006" s="693">
        <f>SUMIFS(Imput[[Importe Neto]:[Importe Neto]],Imput[[C. Imp.]:[C. Imp.]],$D1006,Imput[[PERIODO Imp.]:[PERIODO Imp.]],BO$9)</f>
        <v>0</v>
      </c>
      <c r="BP1006" s="693">
        <f>SUMIFS(Imput[[Importe Neto]:[Importe Neto]],Imput[[C. Imp.]:[C. Imp.]],$D1006,Imput[[PERIODO Imp.]:[PERIODO Imp.]],BP$9)</f>
        <v>0</v>
      </c>
      <c r="BQ1006" s="693">
        <f>SUMIFS(Imput[[Importe Neto]:[Importe Neto]],Imput[[C. Imp.]:[C. Imp.]],$D1006,Imput[[PERIODO Imp.]:[PERIODO Imp.]],BQ$9)</f>
        <v>0</v>
      </c>
      <c r="BR1006" s="693">
        <f>SUMIFS(Imput[[Importe Neto]:[Importe Neto]],Imput[[C. Imp.]:[C. Imp.]],$D1006,Imput[[PERIODO Imp.]:[PERIODO Imp.]],BR$9)</f>
        <v>0</v>
      </c>
      <c r="BS1006" s="693">
        <f>SUMIFS(Imput[[Importe Neto]:[Importe Neto]],Imput[[C. Imp.]:[C. Imp.]],$D1006,Imput[[PERIODO Imp.]:[PERIODO Imp.]],BS$9)</f>
        <v>0</v>
      </c>
      <c r="BT1006" s="693">
        <f>SUMIFS(Imput[[Importe Neto]:[Importe Neto]],Imput[[C. Imp.]:[C. Imp.]],$D1006,Imput[[PERIODO Imp.]:[PERIODO Imp.]],BT$9)</f>
        <v>0</v>
      </c>
      <c r="BU1006" s="693">
        <f>SUMIFS(Imput[[Importe Neto]:[Importe Neto]],Imput[[C. Imp.]:[C. Imp.]],$D1006,Imput[[PERIODO Imp.]:[PERIODO Imp.]],BU$9)</f>
        <v>0</v>
      </c>
      <c r="BV1006" s="693">
        <f>SUMIFS(Imput[[Importe Neto]:[Importe Neto]],Imput[[C. Imp.]:[C. Imp.]],$D1006,Imput[[PERIODO Imp.]:[PERIODO Imp.]],BV$9)</f>
        <v>0</v>
      </c>
      <c r="BW1006" s="693">
        <f>SUMIFS(Imput[[Importe Neto]:[Importe Neto]],Imput[[C. Imp.]:[C. Imp.]],$D1006,Imput[[PERIODO Imp.]:[PERIODO Imp.]],BW$9)</f>
        <v>0</v>
      </c>
      <c r="BX1006" s="693">
        <f>SUMIFS(Imput[[Importe Neto]:[Importe Neto]],Imput[[C. Imp.]:[C. Imp.]],$D1006,Imput[[PERIODO Imp.]:[PERIODO Imp.]],BX$9)</f>
        <v>0</v>
      </c>
      <c r="BY1006" s="693">
        <f>SUMIFS(Imput[[Importe Neto]:[Importe Neto]],Imput[[C. Imp.]:[C. Imp.]],$D1006,Imput[[PERIODO Imp.]:[PERIODO Imp.]],BY$9)</f>
        <v>0</v>
      </c>
      <c r="BZ1006" s="693">
        <f>SUMIFS(Imput[[Importe Neto]:[Importe Neto]],Imput[[C. Imp.]:[C. Imp.]],$D1006,Imput[[PERIODO Imp.]:[PERIODO Imp.]],BZ$9)</f>
        <v>0</v>
      </c>
      <c r="CA1006" s="693">
        <f>SUMIFS(Imput[[Importe Neto]:[Importe Neto]],Imput[[C. Imp.]:[C. Imp.]],$D1006,Imput[[PERIODO Imp.]:[PERIODO Imp.]],CA$9)</f>
        <v>0</v>
      </c>
      <c r="CB1006" s="693">
        <f>SUMIFS(Imput[[Importe Neto]:[Importe Neto]],Imput[[C. Imp.]:[C. Imp.]],$D1006,Imput[[PERIODO Imp.]:[PERIODO Imp.]],CB$9)</f>
        <v>0</v>
      </c>
      <c r="CC1006" s="693">
        <f>SUMIFS(Imput[[Importe Neto]:[Importe Neto]],Imput[[C. Imp.]:[C. Imp.]],$D1006,Imput[[PERIODO Imp.]:[PERIODO Imp.]],CC$9)</f>
        <v>0</v>
      </c>
      <c r="CD1006" s="693">
        <f>SUMIFS(Imput[[Importe Neto]:[Importe Neto]],Imput[[C. Imp.]:[C. Imp.]],$D1006,Imput[[PERIODO Imp.]:[PERIODO Imp.]],CD$9)</f>
        <v>0</v>
      </c>
      <c r="CE1006" s="693">
        <f>SUMIFS(Imput[[Importe Neto]:[Importe Neto]],Imput[[C. Imp.]:[C. Imp.]],$D1006,Imput[[PERIODO Imp.]:[PERIODO Imp.]],CE$9)</f>
        <v>0</v>
      </c>
      <c r="CF1006" s="693">
        <f>SUMIFS(Imput[[Importe Neto]:[Importe Neto]],Imput[[C. Imp.]:[C. Imp.]],$D1006,Imput[[PERIODO Imp.]:[PERIODO Imp.]],CF$9)</f>
        <v>0</v>
      </c>
      <c r="CG1006" s="693">
        <f>SUMIFS(Imput[[Importe Neto]:[Importe Neto]],Imput[[C. Imp.]:[C. Imp.]],$D1006,Imput[[PERIODO Imp.]:[PERIODO Imp.]],CG$9)</f>
        <v>0</v>
      </c>
      <c r="CH1006" s="693">
        <f>SUMIFS(Imput[[Importe Neto]:[Importe Neto]],Imput[[C. Imp.]:[C. Imp.]],$D1006,Imput[[PERIODO Imp.]:[PERIODO Imp.]],CH$9)</f>
        <v>0</v>
      </c>
      <c r="CI1006" s="693">
        <f>SUMIFS(Imput[[Importe Neto]:[Importe Neto]],Imput[[C. Imp.]:[C. Imp.]],$D1006,Imput[[PERIODO Imp.]:[PERIODO Imp.]],CI$9)</f>
        <v>0</v>
      </c>
      <c r="CJ1006" s="693">
        <f>SUMIFS(Imput[[Importe Neto]:[Importe Neto]],Imput[[C. Imp.]:[C. Imp.]],$D1006,Imput[[PERIODO Imp.]:[PERIODO Imp.]],CJ$9)</f>
        <v>0</v>
      </c>
      <c r="CK1006" s="693">
        <f>SUMIFS(Imput[[Importe Neto]:[Importe Neto]],Imput[[C. Imp.]:[C. Imp.]],$D1006,Imput[[PERIODO Imp.]:[PERIODO Imp.]],CK$9)</f>
        <v>0</v>
      </c>
      <c r="CL1006" s="693">
        <f>SUMIFS(Imput[[Importe Neto]:[Importe Neto]],Imput[[C. Imp.]:[C. Imp.]],$D1006,Imput[[PERIODO Imp.]:[PERIODO Imp.]],CL$9)</f>
        <v>0</v>
      </c>
      <c r="CM1006" s="693">
        <f>SUMIFS(Imput[[Importe Neto]:[Importe Neto]],Imput[[C. Imp.]:[C. Imp.]],$D1006,Imput[[PERIODO Imp.]:[PERIODO Imp.]],CM$9)</f>
        <v>0</v>
      </c>
      <c r="CN1006" s="693">
        <f>SUMIFS(Imput[[Importe Neto]:[Importe Neto]],Imput[[C. Imp.]:[C. Imp.]],$D1006,Imput[[PERIODO Imp.]:[PERIODO Imp.]],CN$9)</f>
        <v>0</v>
      </c>
      <c r="CO1006" s="693">
        <f>SUMIFS(Imput[[Importe Neto]:[Importe Neto]],Imput[[C. Imp.]:[C. Imp.]],$D1006,Imput[[PERIODO Imp.]:[PERIODO Imp.]],CO$9)</f>
        <v>0</v>
      </c>
      <c r="CP1006" s="693">
        <f>SUMIFS(Imput[[Importe Neto]:[Importe Neto]],Imput[[C. Imp.]:[C. Imp.]],$D1006,Imput[[PERIODO Imp.]:[PERIODO Imp.]],CP$9)</f>
        <v>0</v>
      </c>
      <c r="CQ1006" s="693">
        <f>SUMIFS(Imput[[Importe Neto]:[Importe Neto]],Imput[[C. Imp.]:[C. Imp.]],$D1006,Imput[[PERIODO Imp.]:[PERIODO Imp.]],CQ$9)</f>
        <v>0</v>
      </c>
      <c r="CR1006" s="693">
        <f>SUMIFS(Imput[[Importe Neto]:[Importe Neto]],Imput[[C. Imp.]:[C. Imp.]],$D1006,Imput[[PERIODO Imp.]:[PERIODO Imp.]],CR$9)</f>
        <v>0</v>
      </c>
      <c r="CS1006" s="693">
        <f>SUMIFS(Imput[[Importe Neto]:[Importe Neto]],Imput[[C. Imp.]:[C. Imp.]],$D1006,Imput[[PERIODO Imp.]:[PERIODO Imp.]],CS$9)</f>
        <v>0</v>
      </c>
      <c r="CT1006" s="693">
        <f>SUMIFS(Imput[[Importe Neto]:[Importe Neto]],Imput[[C. Imp.]:[C. Imp.]],$D1006,Imput[[PERIODO Imp.]:[PERIODO Imp.]],CT$9)</f>
        <v>0</v>
      </c>
      <c r="CU1006" s="693">
        <f>SUMIFS(Imput[[Importe Neto]:[Importe Neto]],Imput[[C. Imp.]:[C. Imp.]],$D1006,Imput[[PERIODO Imp.]:[PERIODO Imp.]],CU$9)</f>
        <v>0</v>
      </c>
      <c r="CV1006" s="693">
        <f>SUMIFS(Imput[[Importe Neto]:[Importe Neto]],Imput[[C. Imp.]:[C. Imp.]],$D1006,Imput[[PERIODO Imp.]:[PERIODO Imp.]],CV$9)</f>
        <v>0</v>
      </c>
      <c r="CW1006" s="693">
        <f>SUMIFS(Imput[[Importe Neto]:[Importe Neto]],Imput[[C. Imp.]:[C. Imp.]],$D1006,Imput[[PERIODO Imp.]:[PERIODO Imp.]],CW$9)</f>
        <v>0</v>
      </c>
      <c r="CX1006" s="693">
        <f>SUMIFS(Imput[[Importe Neto]:[Importe Neto]],Imput[[C. Imp.]:[C. Imp.]],$D1006,Imput[[PERIODO Imp.]:[PERIODO Imp.]],CX$9)</f>
        <v>0</v>
      </c>
      <c r="CY1006" s="693">
        <f>SUMIFS(Imput[[Importe Neto]:[Importe Neto]],Imput[[C. Imp.]:[C. Imp.]],$D1006,Imput[[PERIODO Imp.]:[PERIODO Imp.]],CY$9)</f>
        <v>0</v>
      </c>
      <c r="CZ1006" s="693">
        <f>SUMIFS(Imput[[Importe Neto]:[Importe Neto]],Imput[[C. Imp.]:[C. Imp.]],$D1006,Imput[[PERIODO Imp.]:[PERIODO Imp.]],CZ$9)</f>
        <v>0</v>
      </c>
      <c r="DA1006" s="693">
        <f>SUMIFS(Imput[[Importe Neto]:[Importe Neto]],Imput[[C. Imp.]:[C. Imp.]],$D1006,Imput[[PERIODO Imp.]:[PERIODO Imp.]],DA$9)</f>
        <v>0</v>
      </c>
      <c r="DB1006" s="693">
        <f>SUMIFS(Imput[[Importe Neto]:[Importe Neto]],Imput[[C. Imp.]:[C. Imp.]],$D1006,Imput[[PERIODO Imp.]:[PERIODO Imp.]],DB$9)</f>
        <v>0</v>
      </c>
      <c r="DC1006" s="693">
        <f>SUMIFS(Imput[[Importe Neto]:[Importe Neto]],Imput[[C. Imp.]:[C. Imp.]],$D1006,Imput[[PERIODO Imp.]:[PERIODO Imp.]],DC$9)</f>
        <v>0</v>
      </c>
      <c r="DD1006" s="693">
        <f>SUMIFS(Imput[[Importe Neto]:[Importe Neto]],Imput[[C. Imp.]:[C. Imp.]],$D1006,Imput[[PERIODO Imp.]:[PERIODO Imp.]],DD$9)</f>
        <v>0</v>
      </c>
      <c r="DE1006" s="693">
        <f>SUMIFS(Imput[[Importe Neto]:[Importe Neto]],Imput[[C. Imp.]:[C. Imp.]],$D1006,Imput[[PERIODO Imp.]:[PERIODO Imp.]],DE$9)</f>
        <v>0</v>
      </c>
      <c r="DF1006" s="693">
        <f>SUMIFS(Imput[[Importe Neto]:[Importe Neto]],Imput[[C. Imp.]:[C. Imp.]],$D1006,Imput[[PERIODO Imp.]:[PERIODO Imp.]],DF$9)</f>
        <v>0</v>
      </c>
      <c r="DG1006" s="693">
        <f>SUMIFS(Imput[[Importe Neto]:[Importe Neto]],Imput[[C. Imp.]:[C. Imp.]],$D1006,Imput[[PERIODO Imp.]:[PERIODO Imp.]],DG$9)</f>
        <v>0</v>
      </c>
      <c r="DH1006" s="694">
        <f>SUMIFS(Imput[[Importe Neto]:[Importe Neto]],Imput[[C. Imp.]:[C. Imp.]],$D1006,Imput[[PERIODO Imp.]:[PERIODO Imp.]],DH$9)</f>
        <v>0</v>
      </c>
    </row>
    <row r="1007" spans="1:112" s="649" customFormat="1" hidden="1" outlineLevel="1" x14ac:dyDescent="0.3">
      <c r="A1007" s="652" t="str">
        <f t="shared" si="347"/>
        <v/>
      </c>
      <c r="B1007" s="652"/>
      <c r="C1007" s="685"/>
      <c r="D1007" s="686"/>
      <c r="E1007" s="686"/>
      <c r="F1007" s="720"/>
      <c r="G1007" s="688"/>
      <c r="H1007" s="689"/>
      <c r="I1007" s="851" t="str">
        <f t="shared" si="348"/>
        <v/>
      </c>
      <c r="J1007" s="850" t="str">
        <f t="shared" si="349"/>
        <v/>
      </c>
      <c r="K1007" s="678"/>
      <c r="L1007" s="858"/>
      <c r="M1007" s="859"/>
      <c r="N1007" s="859"/>
      <c r="O1007" s="859"/>
      <c r="P1007" s="859"/>
      <c r="Q1007" s="859"/>
      <c r="R1007" s="859"/>
      <c r="S1007" s="859"/>
      <c r="T1007" s="859"/>
      <c r="U1007" s="859"/>
      <c r="V1007" s="859"/>
      <c r="W1007" s="859"/>
      <c r="X1007" s="859"/>
      <c r="Y1007" s="859"/>
      <c r="Z1007" s="860"/>
      <c r="AA1007" s="860"/>
      <c r="AB1007" s="860"/>
      <c r="AC1007" s="860"/>
      <c r="AD1007" s="860"/>
      <c r="AE1007" s="860"/>
      <c r="AF1007" s="860"/>
      <c r="AG1007" s="860"/>
      <c r="AH1007" s="860"/>
      <c r="AI1007" s="860"/>
      <c r="AJ1007" s="860"/>
      <c r="AK1007" s="860"/>
      <c r="AL1007" s="860"/>
      <c r="AM1007" s="860"/>
      <c r="AN1007" s="860"/>
      <c r="AO1007" s="860"/>
      <c r="AP1007" s="860"/>
      <c r="AQ1007" s="860"/>
      <c r="AR1007" s="860"/>
      <c r="AS1007" s="860"/>
      <c r="AT1007" s="860"/>
      <c r="AU1007" s="860"/>
      <c r="AV1007" s="860"/>
      <c r="AW1007" s="860"/>
      <c r="AX1007" s="860"/>
      <c r="AY1007" s="860"/>
      <c r="AZ1007" s="860"/>
      <c r="BA1007" s="860"/>
      <c r="BB1007" s="860"/>
      <c r="BC1007" s="860"/>
      <c r="BD1007" s="860"/>
      <c r="BE1007" s="860"/>
      <c r="BF1007" s="860"/>
      <c r="BG1007" s="860"/>
      <c r="BH1007" s="668"/>
      <c r="BI1007" s="654"/>
      <c r="BJ1007" s="690">
        <f t="shared" si="350"/>
        <v>0</v>
      </c>
      <c r="BK1007" s="691">
        <f t="shared" si="351"/>
        <v>0</v>
      </c>
      <c r="BL1007" s="654"/>
      <c r="BM1007" s="692">
        <f>SUMIFS(Imput[[Importe Neto]:[Importe Neto]],Imput[[C. Imp.]:[C. Imp.]],$D1007,Imput[[PERIODO Imp.]:[PERIODO Imp.]],BM$9)</f>
        <v>0</v>
      </c>
      <c r="BN1007" s="693">
        <f>SUMIFS(Imput[[Importe Neto]:[Importe Neto]],Imput[[C. Imp.]:[C. Imp.]],$D1007,Imput[[PERIODO Imp.]:[PERIODO Imp.]],BN$9)</f>
        <v>0</v>
      </c>
      <c r="BO1007" s="693">
        <f>SUMIFS(Imput[[Importe Neto]:[Importe Neto]],Imput[[C. Imp.]:[C. Imp.]],$D1007,Imput[[PERIODO Imp.]:[PERIODO Imp.]],BO$9)</f>
        <v>0</v>
      </c>
      <c r="BP1007" s="693">
        <f>SUMIFS(Imput[[Importe Neto]:[Importe Neto]],Imput[[C. Imp.]:[C. Imp.]],$D1007,Imput[[PERIODO Imp.]:[PERIODO Imp.]],BP$9)</f>
        <v>0</v>
      </c>
      <c r="BQ1007" s="693">
        <f>SUMIFS(Imput[[Importe Neto]:[Importe Neto]],Imput[[C. Imp.]:[C. Imp.]],$D1007,Imput[[PERIODO Imp.]:[PERIODO Imp.]],BQ$9)</f>
        <v>0</v>
      </c>
      <c r="BR1007" s="693">
        <f>SUMIFS(Imput[[Importe Neto]:[Importe Neto]],Imput[[C. Imp.]:[C. Imp.]],$D1007,Imput[[PERIODO Imp.]:[PERIODO Imp.]],BR$9)</f>
        <v>0</v>
      </c>
      <c r="BS1007" s="693">
        <f>SUMIFS(Imput[[Importe Neto]:[Importe Neto]],Imput[[C. Imp.]:[C. Imp.]],$D1007,Imput[[PERIODO Imp.]:[PERIODO Imp.]],BS$9)</f>
        <v>0</v>
      </c>
      <c r="BT1007" s="693">
        <f>SUMIFS(Imput[[Importe Neto]:[Importe Neto]],Imput[[C. Imp.]:[C. Imp.]],$D1007,Imput[[PERIODO Imp.]:[PERIODO Imp.]],BT$9)</f>
        <v>0</v>
      </c>
      <c r="BU1007" s="693">
        <f>SUMIFS(Imput[[Importe Neto]:[Importe Neto]],Imput[[C. Imp.]:[C. Imp.]],$D1007,Imput[[PERIODO Imp.]:[PERIODO Imp.]],BU$9)</f>
        <v>0</v>
      </c>
      <c r="BV1007" s="693">
        <f>SUMIFS(Imput[[Importe Neto]:[Importe Neto]],Imput[[C. Imp.]:[C. Imp.]],$D1007,Imput[[PERIODO Imp.]:[PERIODO Imp.]],BV$9)</f>
        <v>0</v>
      </c>
      <c r="BW1007" s="693">
        <f>SUMIFS(Imput[[Importe Neto]:[Importe Neto]],Imput[[C. Imp.]:[C. Imp.]],$D1007,Imput[[PERIODO Imp.]:[PERIODO Imp.]],BW$9)</f>
        <v>0</v>
      </c>
      <c r="BX1007" s="693">
        <f>SUMIFS(Imput[[Importe Neto]:[Importe Neto]],Imput[[C. Imp.]:[C. Imp.]],$D1007,Imput[[PERIODO Imp.]:[PERIODO Imp.]],BX$9)</f>
        <v>0</v>
      </c>
      <c r="BY1007" s="693">
        <f>SUMIFS(Imput[[Importe Neto]:[Importe Neto]],Imput[[C. Imp.]:[C. Imp.]],$D1007,Imput[[PERIODO Imp.]:[PERIODO Imp.]],BY$9)</f>
        <v>0</v>
      </c>
      <c r="BZ1007" s="693">
        <f>SUMIFS(Imput[[Importe Neto]:[Importe Neto]],Imput[[C. Imp.]:[C. Imp.]],$D1007,Imput[[PERIODO Imp.]:[PERIODO Imp.]],BZ$9)</f>
        <v>0</v>
      </c>
      <c r="CA1007" s="693">
        <f>SUMIFS(Imput[[Importe Neto]:[Importe Neto]],Imput[[C. Imp.]:[C. Imp.]],$D1007,Imput[[PERIODO Imp.]:[PERIODO Imp.]],CA$9)</f>
        <v>0</v>
      </c>
      <c r="CB1007" s="693">
        <f>SUMIFS(Imput[[Importe Neto]:[Importe Neto]],Imput[[C. Imp.]:[C. Imp.]],$D1007,Imput[[PERIODO Imp.]:[PERIODO Imp.]],CB$9)</f>
        <v>0</v>
      </c>
      <c r="CC1007" s="693">
        <f>SUMIFS(Imput[[Importe Neto]:[Importe Neto]],Imput[[C. Imp.]:[C. Imp.]],$D1007,Imput[[PERIODO Imp.]:[PERIODO Imp.]],CC$9)</f>
        <v>0</v>
      </c>
      <c r="CD1007" s="693">
        <f>SUMIFS(Imput[[Importe Neto]:[Importe Neto]],Imput[[C. Imp.]:[C. Imp.]],$D1007,Imput[[PERIODO Imp.]:[PERIODO Imp.]],CD$9)</f>
        <v>0</v>
      </c>
      <c r="CE1007" s="693">
        <f>SUMIFS(Imput[[Importe Neto]:[Importe Neto]],Imput[[C. Imp.]:[C. Imp.]],$D1007,Imput[[PERIODO Imp.]:[PERIODO Imp.]],CE$9)</f>
        <v>0</v>
      </c>
      <c r="CF1007" s="693">
        <f>SUMIFS(Imput[[Importe Neto]:[Importe Neto]],Imput[[C. Imp.]:[C. Imp.]],$D1007,Imput[[PERIODO Imp.]:[PERIODO Imp.]],CF$9)</f>
        <v>0</v>
      </c>
      <c r="CG1007" s="693">
        <f>SUMIFS(Imput[[Importe Neto]:[Importe Neto]],Imput[[C. Imp.]:[C. Imp.]],$D1007,Imput[[PERIODO Imp.]:[PERIODO Imp.]],CG$9)</f>
        <v>0</v>
      </c>
      <c r="CH1007" s="693">
        <f>SUMIFS(Imput[[Importe Neto]:[Importe Neto]],Imput[[C. Imp.]:[C. Imp.]],$D1007,Imput[[PERIODO Imp.]:[PERIODO Imp.]],CH$9)</f>
        <v>0</v>
      </c>
      <c r="CI1007" s="693">
        <f>SUMIFS(Imput[[Importe Neto]:[Importe Neto]],Imput[[C. Imp.]:[C. Imp.]],$D1007,Imput[[PERIODO Imp.]:[PERIODO Imp.]],CI$9)</f>
        <v>0</v>
      </c>
      <c r="CJ1007" s="693">
        <f>SUMIFS(Imput[[Importe Neto]:[Importe Neto]],Imput[[C. Imp.]:[C. Imp.]],$D1007,Imput[[PERIODO Imp.]:[PERIODO Imp.]],CJ$9)</f>
        <v>0</v>
      </c>
      <c r="CK1007" s="693">
        <f>SUMIFS(Imput[[Importe Neto]:[Importe Neto]],Imput[[C. Imp.]:[C. Imp.]],$D1007,Imput[[PERIODO Imp.]:[PERIODO Imp.]],CK$9)</f>
        <v>0</v>
      </c>
      <c r="CL1007" s="693">
        <f>SUMIFS(Imput[[Importe Neto]:[Importe Neto]],Imput[[C. Imp.]:[C. Imp.]],$D1007,Imput[[PERIODO Imp.]:[PERIODO Imp.]],CL$9)</f>
        <v>0</v>
      </c>
      <c r="CM1007" s="693">
        <f>SUMIFS(Imput[[Importe Neto]:[Importe Neto]],Imput[[C. Imp.]:[C. Imp.]],$D1007,Imput[[PERIODO Imp.]:[PERIODO Imp.]],CM$9)</f>
        <v>0</v>
      </c>
      <c r="CN1007" s="693">
        <f>SUMIFS(Imput[[Importe Neto]:[Importe Neto]],Imput[[C. Imp.]:[C. Imp.]],$D1007,Imput[[PERIODO Imp.]:[PERIODO Imp.]],CN$9)</f>
        <v>0</v>
      </c>
      <c r="CO1007" s="693">
        <f>SUMIFS(Imput[[Importe Neto]:[Importe Neto]],Imput[[C. Imp.]:[C. Imp.]],$D1007,Imput[[PERIODO Imp.]:[PERIODO Imp.]],CO$9)</f>
        <v>0</v>
      </c>
      <c r="CP1007" s="693">
        <f>SUMIFS(Imput[[Importe Neto]:[Importe Neto]],Imput[[C. Imp.]:[C. Imp.]],$D1007,Imput[[PERIODO Imp.]:[PERIODO Imp.]],CP$9)</f>
        <v>0</v>
      </c>
      <c r="CQ1007" s="693">
        <f>SUMIFS(Imput[[Importe Neto]:[Importe Neto]],Imput[[C. Imp.]:[C. Imp.]],$D1007,Imput[[PERIODO Imp.]:[PERIODO Imp.]],CQ$9)</f>
        <v>0</v>
      </c>
      <c r="CR1007" s="693">
        <f>SUMIFS(Imput[[Importe Neto]:[Importe Neto]],Imput[[C. Imp.]:[C. Imp.]],$D1007,Imput[[PERIODO Imp.]:[PERIODO Imp.]],CR$9)</f>
        <v>0</v>
      </c>
      <c r="CS1007" s="693">
        <f>SUMIFS(Imput[[Importe Neto]:[Importe Neto]],Imput[[C. Imp.]:[C. Imp.]],$D1007,Imput[[PERIODO Imp.]:[PERIODO Imp.]],CS$9)</f>
        <v>0</v>
      </c>
      <c r="CT1007" s="693">
        <f>SUMIFS(Imput[[Importe Neto]:[Importe Neto]],Imput[[C. Imp.]:[C. Imp.]],$D1007,Imput[[PERIODO Imp.]:[PERIODO Imp.]],CT$9)</f>
        <v>0</v>
      </c>
      <c r="CU1007" s="693">
        <f>SUMIFS(Imput[[Importe Neto]:[Importe Neto]],Imput[[C. Imp.]:[C. Imp.]],$D1007,Imput[[PERIODO Imp.]:[PERIODO Imp.]],CU$9)</f>
        <v>0</v>
      </c>
      <c r="CV1007" s="693">
        <f>SUMIFS(Imput[[Importe Neto]:[Importe Neto]],Imput[[C. Imp.]:[C. Imp.]],$D1007,Imput[[PERIODO Imp.]:[PERIODO Imp.]],CV$9)</f>
        <v>0</v>
      </c>
      <c r="CW1007" s="693">
        <f>SUMIFS(Imput[[Importe Neto]:[Importe Neto]],Imput[[C. Imp.]:[C. Imp.]],$D1007,Imput[[PERIODO Imp.]:[PERIODO Imp.]],CW$9)</f>
        <v>0</v>
      </c>
      <c r="CX1007" s="693">
        <f>SUMIFS(Imput[[Importe Neto]:[Importe Neto]],Imput[[C. Imp.]:[C. Imp.]],$D1007,Imput[[PERIODO Imp.]:[PERIODO Imp.]],CX$9)</f>
        <v>0</v>
      </c>
      <c r="CY1007" s="693">
        <f>SUMIFS(Imput[[Importe Neto]:[Importe Neto]],Imput[[C. Imp.]:[C. Imp.]],$D1007,Imput[[PERIODO Imp.]:[PERIODO Imp.]],CY$9)</f>
        <v>0</v>
      </c>
      <c r="CZ1007" s="693">
        <f>SUMIFS(Imput[[Importe Neto]:[Importe Neto]],Imput[[C. Imp.]:[C. Imp.]],$D1007,Imput[[PERIODO Imp.]:[PERIODO Imp.]],CZ$9)</f>
        <v>0</v>
      </c>
      <c r="DA1007" s="693">
        <f>SUMIFS(Imput[[Importe Neto]:[Importe Neto]],Imput[[C. Imp.]:[C. Imp.]],$D1007,Imput[[PERIODO Imp.]:[PERIODO Imp.]],DA$9)</f>
        <v>0</v>
      </c>
      <c r="DB1007" s="693">
        <f>SUMIFS(Imput[[Importe Neto]:[Importe Neto]],Imput[[C. Imp.]:[C. Imp.]],$D1007,Imput[[PERIODO Imp.]:[PERIODO Imp.]],DB$9)</f>
        <v>0</v>
      </c>
      <c r="DC1007" s="693">
        <f>SUMIFS(Imput[[Importe Neto]:[Importe Neto]],Imput[[C. Imp.]:[C. Imp.]],$D1007,Imput[[PERIODO Imp.]:[PERIODO Imp.]],DC$9)</f>
        <v>0</v>
      </c>
      <c r="DD1007" s="693">
        <f>SUMIFS(Imput[[Importe Neto]:[Importe Neto]],Imput[[C. Imp.]:[C. Imp.]],$D1007,Imput[[PERIODO Imp.]:[PERIODO Imp.]],DD$9)</f>
        <v>0</v>
      </c>
      <c r="DE1007" s="693">
        <f>SUMIFS(Imput[[Importe Neto]:[Importe Neto]],Imput[[C. Imp.]:[C. Imp.]],$D1007,Imput[[PERIODO Imp.]:[PERIODO Imp.]],DE$9)</f>
        <v>0</v>
      </c>
      <c r="DF1007" s="693">
        <f>SUMIFS(Imput[[Importe Neto]:[Importe Neto]],Imput[[C. Imp.]:[C. Imp.]],$D1007,Imput[[PERIODO Imp.]:[PERIODO Imp.]],DF$9)</f>
        <v>0</v>
      </c>
      <c r="DG1007" s="693">
        <f>SUMIFS(Imput[[Importe Neto]:[Importe Neto]],Imput[[C. Imp.]:[C. Imp.]],$D1007,Imput[[PERIODO Imp.]:[PERIODO Imp.]],DG$9)</f>
        <v>0</v>
      </c>
      <c r="DH1007" s="694">
        <f>SUMIFS(Imput[[Importe Neto]:[Importe Neto]],Imput[[C. Imp.]:[C. Imp.]],$D1007,Imput[[PERIODO Imp.]:[PERIODO Imp.]],DH$9)</f>
        <v>0</v>
      </c>
    </row>
    <row r="1008" spans="1:112" s="649" customFormat="1" hidden="1" outlineLevel="1" x14ac:dyDescent="0.3">
      <c r="A1008" s="652" t="str">
        <f t="shared" si="347"/>
        <v/>
      </c>
      <c r="B1008" s="652"/>
      <c r="C1008" s="685"/>
      <c r="D1008" s="686"/>
      <c r="E1008" s="686"/>
      <c r="F1008" s="720"/>
      <c r="G1008" s="688"/>
      <c r="H1008" s="689"/>
      <c r="I1008" s="851" t="str">
        <f t="shared" si="348"/>
        <v/>
      </c>
      <c r="J1008" s="850" t="str">
        <f t="shared" si="349"/>
        <v/>
      </c>
      <c r="K1008" s="667"/>
      <c r="L1008" s="858"/>
      <c r="M1008" s="859"/>
      <c r="N1008" s="859"/>
      <c r="O1008" s="859"/>
      <c r="P1008" s="859"/>
      <c r="Q1008" s="859"/>
      <c r="R1008" s="859"/>
      <c r="S1008" s="859"/>
      <c r="T1008" s="859"/>
      <c r="U1008" s="859"/>
      <c r="V1008" s="859"/>
      <c r="W1008" s="859"/>
      <c r="X1008" s="859"/>
      <c r="Y1008" s="859"/>
      <c r="Z1008" s="860"/>
      <c r="AA1008" s="860"/>
      <c r="AB1008" s="860"/>
      <c r="AC1008" s="860"/>
      <c r="AD1008" s="860"/>
      <c r="AE1008" s="860"/>
      <c r="AF1008" s="860"/>
      <c r="AG1008" s="860"/>
      <c r="AH1008" s="860"/>
      <c r="AI1008" s="860"/>
      <c r="AJ1008" s="860"/>
      <c r="AK1008" s="860"/>
      <c r="AL1008" s="860"/>
      <c r="AM1008" s="860"/>
      <c r="AN1008" s="860"/>
      <c r="AO1008" s="860"/>
      <c r="AP1008" s="860"/>
      <c r="AQ1008" s="860"/>
      <c r="AR1008" s="860"/>
      <c r="AS1008" s="860"/>
      <c r="AT1008" s="860"/>
      <c r="AU1008" s="860"/>
      <c r="AV1008" s="860"/>
      <c r="AW1008" s="860"/>
      <c r="AX1008" s="860"/>
      <c r="AY1008" s="860"/>
      <c r="AZ1008" s="860"/>
      <c r="BA1008" s="860"/>
      <c r="BB1008" s="860"/>
      <c r="BC1008" s="860"/>
      <c r="BD1008" s="860"/>
      <c r="BE1008" s="860"/>
      <c r="BF1008" s="860"/>
      <c r="BG1008" s="860"/>
      <c r="BH1008" s="668"/>
      <c r="BI1008" s="667"/>
      <c r="BJ1008" s="690">
        <f t="shared" si="350"/>
        <v>0</v>
      </c>
      <c r="BK1008" s="691">
        <f t="shared" si="351"/>
        <v>0</v>
      </c>
      <c r="BL1008" s="654"/>
      <c r="BM1008" s="692">
        <f>SUMIFS(Imput[[Importe Neto]:[Importe Neto]],Imput[[C. Imp.]:[C. Imp.]],$D1008,Imput[[PERIODO Imp.]:[PERIODO Imp.]],BM$9)</f>
        <v>0</v>
      </c>
      <c r="BN1008" s="693">
        <f>SUMIFS(Imput[[Importe Neto]:[Importe Neto]],Imput[[C. Imp.]:[C. Imp.]],$D1008,Imput[[PERIODO Imp.]:[PERIODO Imp.]],BN$9)</f>
        <v>0</v>
      </c>
      <c r="BO1008" s="693">
        <f>SUMIFS(Imput[[Importe Neto]:[Importe Neto]],Imput[[C. Imp.]:[C. Imp.]],$D1008,Imput[[PERIODO Imp.]:[PERIODO Imp.]],BO$9)</f>
        <v>0</v>
      </c>
      <c r="BP1008" s="693">
        <f>SUMIFS(Imput[[Importe Neto]:[Importe Neto]],Imput[[C. Imp.]:[C. Imp.]],$D1008,Imput[[PERIODO Imp.]:[PERIODO Imp.]],BP$9)</f>
        <v>0</v>
      </c>
      <c r="BQ1008" s="693">
        <f>SUMIFS(Imput[[Importe Neto]:[Importe Neto]],Imput[[C. Imp.]:[C. Imp.]],$D1008,Imput[[PERIODO Imp.]:[PERIODO Imp.]],BQ$9)</f>
        <v>0</v>
      </c>
      <c r="BR1008" s="693">
        <f>SUMIFS(Imput[[Importe Neto]:[Importe Neto]],Imput[[C. Imp.]:[C. Imp.]],$D1008,Imput[[PERIODO Imp.]:[PERIODO Imp.]],BR$9)</f>
        <v>0</v>
      </c>
      <c r="BS1008" s="693">
        <f>SUMIFS(Imput[[Importe Neto]:[Importe Neto]],Imput[[C. Imp.]:[C. Imp.]],$D1008,Imput[[PERIODO Imp.]:[PERIODO Imp.]],BS$9)</f>
        <v>0</v>
      </c>
      <c r="BT1008" s="693">
        <f>SUMIFS(Imput[[Importe Neto]:[Importe Neto]],Imput[[C. Imp.]:[C. Imp.]],$D1008,Imput[[PERIODO Imp.]:[PERIODO Imp.]],BT$9)</f>
        <v>0</v>
      </c>
      <c r="BU1008" s="693">
        <f>SUMIFS(Imput[[Importe Neto]:[Importe Neto]],Imput[[C. Imp.]:[C. Imp.]],$D1008,Imput[[PERIODO Imp.]:[PERIODO Imp.]],BU$9)</f>
        <v>0</v>
      </c>
      <c r="BV1008" s="693">
        <f>SUMIFS(Imput[[Importe Neto]:[Importe Neto]],Imput[[C. Imp.]:[C. Imp.]],$D1008,Imput[[PERIODO Imp.]:[PERIODO Imp.]],BV$9)</f>
        <v>0</v>
      </c>
      <c r="BW1008" s="693">
        <f>SUMIFS(Imput[[Importe Neto]:[Importe Neto]],Imput[[C. Imp.]:[C. Imp.]],$D1008,Imput[[PERIODO Imp.]:[PERIODO Imp.]],BW$9)</f>
        <v>0</v>
      </c>
      <c r="BX1008" s="693">
        <f>SUMIFS(Imput[[Importe Neto]:[Importe Neto]],Imput[[C. Imp.]:[C. Imp.]],$D1008,Imput[[PERIODO Imp.]:[PERIODO Imp.]],BX$9)</f>
        <v>0</v>
      </c>
      <c r="BY1008" s="693">
        <f>SUMIFS(Imput[[Importe Neto]:[Importe Neto]],Imput[[C. Imp.]:[C. Imp.]],$D1008,Imput[[PERIODO Imp.]:[PERIODO Imp.]],BY$9)</f>
        <v>0</v>
      </c>
      <c r="BZ1008" s="693">
        <f>SUMIFS(Imput[[Importe Neto]:[Importe Neto]],Imput[[C. Imp.]:[C. Imp.]],$D1008,Imput[[PERIODO Imp.]:[PERIODO Imp.]],BZ$9)</f>
        <v>0</v>
      </c>
      <c r="CA1008" s="693">
        <f>SUMIFS(Imput[[Importe Neto]:[Importe Neto]],Imput[[C. Imp.]:[C. Imp.]],$D1008,Imput[[PERIODO Imp.]:[PERIODO Imp.]],CA$9)</f>
        <v>0</v>
      </c>
      <c r="CB1008" s="693">
        <f>SUMIFS(Imput[[Importe Neto]:[Importe Neto]],Imput[[C. Imp.]:[C. Imp.]],$D1008,Imput[[PERIODO Imp.]:[PERIODO Imp.]],CB$9)</f>
        <v>0</v>
      </c>
      <c r="CC1008" s="693">
        <f>SUMIFS(Imput[[Importe Neto]:[Importe Neto]],Imput[[C. Imp.]:[C. Imp.]],$D1008,Imput[[PERIODO Imp.]:[PERIODO Imp.]],CC$9)</f>
        <v>0</v>
      </c>
      <c r="CD1008" s="693">
        <f>SUMIFS(Imput[[Importe Neto]:[Importe Neto]],Imput[[C. Imp.]:[C. Imp.]],$D1008,Imput[[PERIODO Imp.]:[PERIODO Imp.]],CD$9)</f>
        <v>0</v>
      </c>
      <c r="CE1008" s="693">
        <f>SUMIFS(Imput[[Importe Neto]:[Importe Neto]],Imput[[C. Imp.]:[C. Imp.]],$D1008,Imput[[PERIODO Imp.]:[PERIODO Imp.]],CE$9)</f>
        <v>0</v>
      </c>
      <c r="CF1008" s="693">
        <f>SUMIFS(Imput[[Importe Neto]:[Importe Neto]],Imput[[C. Imp.]:[C. Imp.]],$D1008,Imput[[PERIODO Imp.]:[PERIODO Imp.]],CF$9)</f>
        <v>0</v>
      </c>
      <c r="CG1008" s="693">
        <f>SUMIFS(Imput[[Importe Neto]:[Importe Neto]],Imput[[C. Imp.]:[C. Imp.]],$D1008,Imput[[PERIODO Imp.]:[PERIODO Imp.]],CG$9)</f>
        <v>0</v>
      </c>
      <c r="CH1008" s="693">
        <f>SUMIFS(Imput[[Importe Neto]:[Importe Neto]],Imput[[C. Imp.]:[C. Imp.]],$D1008,Imput[[PERIODO Imp.]:[PERIODO Imp.]],CH$9)</f>
        <v>0</v>
      </c>
      <c r="CI1008" s="693">
        <f>SUMIFS(Imput[[Importe Neto]:[Importe Neto]],Imput[[C. Imp.]:[C. Imp.]],$D1008,Imput[[PERIODO Imp.]:[PERIODO Imp.]],CI$9)</f>
        <v>0</v>
      </c>
      <c r="CJ1008" s="693">
        <f>SUMIFS(Imput[[Importe Neto]:[Importe Neto]],Imput[[C. Imp.]:[C. Imp.]],$D1008,Imput[[PERIODO Imp.]:[PERIODO Imp.]],CJ$9)</f>
        <v>0</v>
      </c>
      <c r="CK1008" s="693">
        <f>SUMIFS(Imput[[Importe Neto]:[Importe Neto]],Imput[[C. Imp.]:[C. Imp.]],$D1008,Imput[[PERIODO Imp.]:[PERIODO Imp.]],CK$9)</f>
        <v>0</v>
      </c>
      <c r="CL1008" s="693">
        <f>SUMIFS(Imput[[Importe Neto]:[Importe Neto]],Imput[[C. Imp.]:[C. Imp.]],$D1008,Imput[[PERIODO Imp.]:[PERIODO Imp.]],CL$9)</f>
        <v>0</v>
      </c>
      <c r="CM1008" s="693">
        <f>SUMIFS(Imput[[Importe Neto]:[Importe Neto]],Imput[[C. Imp.]:[C. Imp.]],$D1008,Imput[[PERIODO Imp.]:[PERIODO Imp.]],CM$9)</f>
        <v>0</v>
      </c>
      <c r="CN1008" s="693">
        <f>SUMIFS(Imput[[Importe Neto]:[Importe Neto]],Imput[[C. Imp.]:[C. Imp.]],$D1008,Imput[[PERIODO Imp.]:[PERIODO Imp.]],CN$9)</f>
        <v>0</v>
      </c>
      <c r="CO1008" s="693">
        <f>SUMIFS(Imput[[Importe Neto]:[Importe Neto]],Imput[[C. Imp.]:[C. Imp.]],$D1008,Imput[[PERIODO Imp.]:[PERIODO Imp.]],CO$9)</f>
        <v>0</v>
      </c>
      <c r="CP1008" s="693">
        <f>SUMIFS(Imput[[Importe Neto]:[Importe Neto]],Imput[[C. Imp.]:[C. Imp.]],$D1008,Imput[[PERIODO Imp.]:[PERIODO Imp.]],CP$9)</f>
        <v>0</v>
      </c>
      <c r="CQ1008" s="693">
        <f>SUMIFS(Imput[[Importe Neto]:[Importe Neto]],Imput[[C. Imp.]:[C. Imp.]],$D1008,Imput[[PERIODO Imp.]:[PERIODO Imp.]],CQ$9)</f>
        <v>0</v>
      </c>
      <c r="CR1008" s="693">
        <f>SUMIFS(Imput[[Importe Neto]:[Importe Neto]],Imput[[C. Imp.]:[C. Imp.]],$D1008,Imput[[PERIODO Imp.]:[PERIODO Imp.]],CR$9)</f>
        <v>0</v>
      </c>
      <c r="CS1008" s="693">
        <f>SUMIFS(Imput[[Importe Neto]:[Importe Neto]],Imput[[C. Imp.]:[C. Imp.]],$D1008,Imput[[PERIODO Imp.]:[PERIODO Imp.]],CS$9)</f>
        <v>0</v>
      </c>
      <c r="CT1008" s="693">
        <f>SUMIFS(Imput[[Importe Neto]:[Importe Neto]],Imput[[C. Imp.]:[C. Imp.]],$D1008,Imput[[PERIODO Imp.]:[PERIODO Imp.]],CT$9)</f>
        <v>0</v>
      </c>
      <c r="CU1008" s="693">
        <f>SUMIFS(Imput[[Importe Neto]:[Importe Neto]],Imput[[C. Imp.]:[C. Imp.]],$D1008,Imput[[PERIODO Imp.]:[PERIODO Imp.]],CU$9)</f>
        <v>0</v>
      </c>
      <c r="CV1008" s="693">
        <f>SUMIFS(Imput[[Importe Neto]:[Importe Neto]],Imput[[C. Imp.]:[C. Imp.]],$D1008,Imput[[PERIODO Imp.]:[PERIODO Imp.]],CV$9)</f>
        <v>0</v>
      </c>
      <c r="CW1008" s="693">
        <f>SUMIFS(Imput[[Importe Neto]:[Importe Neto]],Imput[[C. Imp.]:[C. Imp.]],$D1008,Imput[[PERIODO Imp.]:[PERIODO Imp.]],CW$9)</f>
        <v>0</v>
      </c>
      <c r="CX1008" s="693">
        <f>SUMIFS(Imput[[Importe Neto]:[Importe Neto]],Imput[[C. Imp.]:[C. Imp.]],$D1008,Imput[[PERIODO Imp.]:[PERIODO Imp.]],CX$9)</f>
        <v>0</v>
      </c>
      <c r="CY1008" s="693">
        <f>SUMIFS(Imput[[Importe Neto]:[Importe Neto]],Imput[[C. Imp.]:[C. Imp.]],$D1008,Imput[[PERIODO Imp.]:[PERIODO Imp.]],CY$9)</f>
        <v>0</v>
      </c>
      <c r="CZ1008" s="693">
        <f>SUMIFS(Imput[[Importe Neto]:[Importe Neto]],Imput[[C. Imp.]:[C. Imp.]],$D1008,Imput[[PERIODO Imp.]:[PERIODO Imp.]],CZ$9)</f>
        <v>0</v>
      </c>
      <c r="DA1008" s="693">
        <f>SUMIFS(Imput[[Importe Neto]:[Importe Neto]],Imput[[C. Imp.]:[C. Imp.]],$D1008,Imput[[PERIODO Imp.]:[PERIODO Imp.]],DA$9)</f>
        <v>0</v>
      </c>
      <c r="DB1008" s="693">
        <f>SUMIFS(Imput[[Importe Neto]:[Importe Neto]],Imput[[C. Imp.]:[C. Imp.]],$D1008,Imput[[PERIODO Imp.]:[PERIODO Imp.]],DB$9)</f>
        <v>0</v>
      </c>
      <c r="DC1008" s="693">
        <f>SUMIFS(Imput[[Importe Neto]:[Importe Neto]],Imput[[C. Imp.]:[C. Imp.]],$D1008,Imput[[PERIODO Imp.]:[PERIODO Imp.]],DC$9)</f>
        <v>0</v>
      </c>
      <c r="DD1008" s="693">
        <f>SUMIFS(Imput[[Importe Neto]:[Importe Neto]],Imput[[C. Imp.]:[C. Imp.]],$D1008,Imput[[PERIODO Imp.]:[PERIODO Imp.]],DD$9)</f>
        <v>0</v>
      </c>
      <c r="DE1008" s="693">
        <f>SUMIFS(Imput[[Importe Neto]:[Importe Neto]],Imput[[C. Imp.]:[C. Imp.]],$D1008,Imput[[PERIODO Imp.]:[PERIODO Imp.]],DE$9)</f>
        <v>0</v>
      </c>
      <c r="DF1008" s="693">
        <f>SUMIFS(Imput[[Importe Neto]:[Importe Neto]],Imput[[C. Imp.]:[C. Imp.]],$D1008,Imput[[PERIODO Imp.]:[PERIODO Imp.]],DF$9)</f>
        <v>0</v>
      </c>
      <c r="DG1008" s="693">
        <f>SUMIFS(Imput[[Importe Neto]:[Importe Neto]],Imput[[C. Imp.]:[C. Imp.]],$D1008,Imput[[PERIODO Imp.]:[PERIODO Imp.]],DG$9)</f>
        <v>0</v>
      </c>
      <c r="DH1008" s="694">
        <f>SUMIFS(Imput[[Importe Neto]:[Importe Neto]],Imput[[C. Imp.]:[C. Imp.]],$D1008,Imput[[PERIODO Imp.]:[PERIODO Imp.]],DH$9)</f>
        <v>0</v>
      </c>
    </row>
    <row r="1009" spans="1:112" s="649" customFormat="1" hidden="1" outlineLevel="1" x14ac:dyDescent="0.3">
      <c r="A1009" s="652" t="str">
        <f t="shared" si="347"/>
        <v/>
      </c>
      <c r="B1009" s="652"/>
      <c r="C1009" s="685"/>
      <c r="D1009" s="686"/>
      <c r="E1009" s="686"/>
      <c r="F1009" s="720"/>
      <c r="G1009" s="688"/>
      <c r="H1009" s="689"/>
      <c r="I1009" s="851" t="str">
        <f t="shared" si="348"/>
        <v/>
      </c>
      <c r="J1009" s="850" t="str">
        <f t="shared" si="349"/>
        <v/>
      </c>
      <c r="K1009" s="667"/>
      <c r="L1009" s="858"/>
      <c r="M1009" s="859"/>
      <c r="N1009" s="859"/>
      <c r="O1009" s="859"/>
      <c r="P1009" s="859"/>
      <c r="Q1009" s="859"/>
      <c r="R1009" s="859"/>
      <c r="S1009" s="859"/>
      <c r="T1009" s="859"/>
      <c r="U1009" s="859"/>
      <c r="V1009" s="859"/>
      <c r="W1009" s="859"/>
      <c r="X1009" s="859"/>
      <c r="Y1009" s="859"/>
      <c r="Z1009" s="860"/>
      <c r="AA1009" s="860"/>
      <c r="AB1009" s="860"/>
      <c r="AC1009" s="860"/>
      <c r="AD1009" s="860"/>
      <c r="AE1009" s="860"/>
      <c r="AF1009" s="860"/>
      <c r="AG1009" s="860"/>
      <c r="AH1009" s="860"/>
      <c r="AI1009" s="860"/>
      <c r="AJ1009" s="860"/>
      <c r="AK1009" s="860"/>
      <c r="AL1009" s="860"/>
      <c r="AM1009" s="860"/>
      <c r="AN1009" s="860"/>
      <c r="AO1009" s="860"/>
      <c r="AP1009" s="860"/>
      <c r="AQ1009" s="860"/>
      <c r="AR1009" s="860"/>
      <c r="AS1009" s="860"/>
      <c r="AT1009" s="860"/>
      <c r="AU1009" s="860"/>
      <c r="AV1009" s="860"/>
      <c r="AW1009" s="860"/>
      <c r="AX1009" s="860"/>
      <c r="AY1009" s="860"/>
      <c r="AZ1009" s="860"/>
      <c r="BA1009" s="860"/>
      <c r="BB1009" s="860"/>
      <c r="BC1009" s="860"/>
      <c r="BD1009" s="860"/>
      <c r="BE1009" s="860"/>
      <c r="BF1009" s="860"/>
      <c r="BG1009" s="860"/>
      <c r="BH1009" s="668"/>
      <c r="BI1009" s="667"/>
      <c r="BJ1009" s="690">
        <f t="shared" si="350"/>
        <v>0</v>
      </c>
      <c r="BK1009" s="691">
        <f t="shared" si="351"/>
        <v>0</v>
      </c>
      <c r="BL1009" s="654"/>
      <c r="BM1009" s="692">
        <f>SUMIFS(Imput[[Importe Neto]:[Importe Neto]],Imput[[C. Imp.]:[C. Imp.]],$D1009,Imput[[PERIODO Imp.]:[PERIODO Imp.]],BM$9)</f>
        <v>0</v>
      </c>
      <c r="BN1009" s="693">
        <f>SUMIFS(Imput[[Importe Neto]:[Importe Neto]],Imput[[C. Imp.]:[C. Imp.]],$D1009,Imput[[PERIODO Imp.]:[PERIODO Imp.]],BN$9)</f>
        <v>0</v>
      </c>
      <c r="BO1009" s="693">
        <f>SUMIFS(Imput[[Importe Neto]:[Importe Neto]],Imput[[C. Imp.]:[C. Imp.]],$D1009,Imput[[PERIODO Imp.]:[PERIODO Imp.]],BO$9)</f>
        <v>0</v>
      </c>
      <c r="BP1009" s="693">
        <f>SUMIFS(Imput[[Importe Neto]:[Importe Neto]],Imput[[C. Imp.]:[C. Imp.]],$D1009,Imput[[PERIODO Imp.]:[PERIODO Imp.]],BP$9)</f>
        <v>0</v>
      </c>
      <c r="BQ1009" s="693">
        <f>SUMIFS(Imput[[Importe Neto]:[Importe Neto]],Imput[[C. Imp.]:[C. Imp.]],$D1009,Imput[[PERIODO Imp.]:[PERIODO Imp.]],BQ$9)</f>
        <v>0</v>
      </c>
      <c r="BR1009" s="693">
        <f>SUMIFS(Imput[[Importe Neto]:[Importe Neto]],Imput[[C. Imp.]:[C. Imp.]],$D1009,Imput[[PERIODO Imp.]:[PERIODO Imp.]],BR$9)</f>
        <v>0</v>
      </c>
      <c r="BS1009" s="693">
        <f>SUMIFS(Imput[[Importe Neto]:[Importe Neto]],Imput[[C. Imp.]:[C. Imp.]],$D1009,Imput[[PERIODO Imp.]:[PERIODO Imp.]],BS$9)</f>
        <v>0</v>
      </c>
      <c r="BT1009" s="693">
        <f>SUMIFS(Imput[[Importe Neto]:[Importe Neto]],Imput[[C. Imp.]:[C. Imp.]],$D1009,Imput[[PERIODO Imp.]:[PERIODO Imp.]],BT$9)</f>
        <v>0</v>
      </c>
      <c r="BU1009" s="693">
        <f>SUMIFS(Imput[[Importe Neto]:[Importe Neto]],Imput[[C. Imp.]:[C. Imp.]],$D1009,Imput[[PERIODO Imp.]:[PERIODO Imp.]],BU$9)</f>
        <v>0</v>
      </c>
      <c r="BV1009" s="693">
        <f>SUMIFS(Imput[[Importe Neto]:[Importe Neto]],Imput[[C. Imp.]:[C. Imp.]],$D1009,Imput[[PERIODO Imp.]:[PERIODO Imp.]],BV$9)</f>
        <v>0</v>
      </c>
      <c r="BW1009" s="693">
        <f>SUMIFS(Imput[[Importe Neto]:[Importe Neto]],Imput[[C. Imp.]:[C. Imp.]],$D1009,Imput[[PERIODO Imp.]:[PERIODO Imp.]],BW$9)</f>
        <v>0</v>
      </c>
      <c r="BX1009" s="693">
        <f>SUMIFS(Imput[[Importe Neto]:[Importe Neto]],Imput[[C. Imp.]:[C. Imp.]],$D1009,Imput[[PERIODO Imp.]:[PERIODO Imp.]],BX$9)</f>
        <v>0</v>
      </c>
      <c r="BY1009" s="693">
        <f>SUMIFS(Imput[[Importe Neto]:[Importe Neto]],Imput[[C. Imp.]:[C. Imp.]],$D1009,Imput[[PERIODO Imp.]:[PERIODO Imp.]],BY$9)</f>
        <v>0</v>
      </c>
      <c r="BZ1009" s="693">
        <f>SUMIFS(Imput[[Importe Neto]:[Importe Neto]],Imput[[C. Imp.]:[C. Imp.]],$D1009,Imput[[PERIODO Imp.]:[PERIODO Imp.]],BZ$9)</f>
        <v>0</v>
      </c>
      <c r="CA1009" s="693">
        <f>SUMIFS(Imput[[Importe Neto]:[Importe Neto]],Imput[[C. Imp.]:[C. Imp.]],$D1009,Imput[[PERIODO Imp.]:[PERIODO Imp.]],CA$9)</f>
        <v>0</v>
      </c>
      <c r="CB1009" s="693">
        <f>SUMIFS(Imput[[Importe Neto]:[Importe Neto]],Imput[[C. Imp.]:[C. Imp.]],$D1009,Imput[[PERIODO Imp.]:[PERIODO Imp.]],CB$9)</f>
        <v>0</v>
      </c>
      <c r="CC1009" s="693">
        <f>SUMIFS(Imput[[Importe Neto]:[Importe Neto]],Imput[[C. Imp.]:[C. Imp.]],$D1009,Imput[[PERIODO Imp.]:[PERIODO Imp.]],CC$9)</f>
        <v>0</v>
      </c>
      <c r="CD1009" s="693">
        <f>SUMIFS(Imput[[Importe Neto]:[Importe Neto]],Imput[[C. Imp.]:[C. Imp.]],$D1009,Imput[[PERIODO Imp.]:[PERIODO Imp.]],CD$9)</f>
        <v>0</v>
      </c>
      <c r="CE1009" s="693">
        <f>SUMIFS(Imput[[Importe Neto]:[Importe Neto]],Imput[[C. Imp.]:[C. Imp.]],$D1009,Imput[[PERIODO Imp.]:[PERIODO Imp.]],CE$9)</f>
        <v>0</v>
      </c>
      <c r="CF1009" s="693">
        <f>SUMIFS(Imput[[Importe Neto]:[Importe Neto]],Imput[[C. Imp.]:[C. Imp.]],$D1009,Imput[[PERIODO Imp.]:[PERIODO Imp.]],CF$9)</f>
        <v>0</v>
      </c>
      <c r="CG1009" s="693">
        <f>SUMIFS(Imput[[Importe Neto]:[Importe Neto]],Imput[[C. Imp.]:[C. Imp.]],$D1009,Imput[[PERIODO Imp.]:[PERIODO Imp.]],CG$9)</f>
        <v>0</v>
      </c>
      <c r="CH1009" s="693">
        <f>SUMIFS(Imput[[Importe Neto]:[Importe Neto]],Imput[[C. Imp.]:[C. Imp.]],$D1009,Imput[[PERIODO Imp.]:[PERIODO Imp.]],CH$9)</f>
        <v>0</v>
      </c>
      <c r="CI1009" s="693">
        <f>SUMIFS(Imput[[Importe Neto]:[Importe Neto]],Imput[[C. Imp.]:[C. Imp.]],$D1009,Imput[[PERIODO Imp.]:[PERIODO Imp.]],CI$9)</f>
        <v>0</v>
      </c>
      <c r="CJ1009" s="693">
        <f>SUMIFS(Imput[[Importe Neto]:[Importe Neto]],Imput[[C. Imp.]:[C. Imp.]],$D1009,Imput[[PERIODO Imp.]:[PERIODO Imp.]],CJ$9)</f>
        <v>0</v>
      </c>
      <c r="CK1009" s="693">
        <f>SUMIFS(Imput[[Importe Neto]:[Importe Neto]],Imput[[C. Imp.]:[C. Imp.]],$D1009,Imput[[PERIODO Imp.]:[PERIODO Imp.]],CK$9)</f>
        <v>0</v>
      </c>
      <c r="CL1009" s="693">
        <f>SUMIFS(Imput[[Importe Neto]:[Importe Neto]],Imput[[C. Imp.]:[C. Imp.]],$D1009,Imput[[PERIODO Imp.]:[PERIODO Imp.]],CL$9)</f>
        <v>0</v>
      </c>
      <c r="CM1009" s="693">
        <f>SUMIFS(Imput[[Importe Neto]:[Importe Neto]],Imput[[C. Imp.]:[C. Imp.]],$D1009,Imput[[PERIODO Imp.]:[PERIODO Imp.]],CM$9)</f>
        <v>0</v>
      </c>
      <c r="CN1009" s="693">
        <f>SUMIFS(Imput[[Importe Neto]:[Importe Neto]],Imput[[C. Imp.]:[C. Imp.]],$D1009,Imput[[PERIODO Imp.]:[PERIODO Imp.]],CN$9)</f>
        <v>0</v>
      </c>
      <c r="CO1009" s="693">
        <f>SUMIFS(Imput[[Importe Neto]:[Importe Neto]],Imput[[C. Imp.]:[C. Imp.]],$D1009,Imput[[PERIODO Imp.]:[PERIODO Imp.]],CO$9)</f>
        <v>0</v>
      </c>
      <c r="CP1009" s="693">
        <f>SUMIFS(Imput[[Importe Neto]:[Importe Neto]],Imput[[C. Imp.]:[C. Imp.]],$D1009,Imput[[PERIODO Imp.]:[PERIODO Imp.]],CP$9)</f>
        <v>0</v>
      </c>
      <c r="CQ1009" s="693">
        <f>SUMIFS(Imput[[Importe Neto]:[Importe Neto]],Imput[[C. Imp.]:[C. Imp.]],$D1009,Imput[[PERIODO Imp.]:[PERIODO Imp.]],CQ$9)</f>
        <v>0</v>
      </c>
      <c r="CR1009" s="693">
        <f>SUMIFS(Imput[[Importe Neto]:[Importe Neto]],Imput[[C. Imp.]:[C. Imp.]],$D1009,Imput[[PERIODO Imp.]:[PERIODO Imp.]],CR$9)</f>
        <v>0</v>
      </c>
      <c r="CS1009" s="693">
        <f>SUMIFS(Imput[[Importe Neto]:[Importe Neto]],Imput[[C. Imp.]:[C. Imp.]],$D1009,Imput[[PERIODO Imp.]:[PERIODO Imp.]],CS$9)</f>
        <v>0</v>
      </c>
      <c r="CT1009" s="693">
        <f>SUMIFS(Imput[[Importe Neto]:[Importe Neto]],Imput[[C. Imp.]:[C. Imp.]],$D1009,Imput[[PERIODO Imp.]:[PERIODO Imp.]],CT$9)</f>
        <v>0</v>
      </c>
      <c r="CU1009" s="693">
        <f>SUMIFS(Imput[[Importe Neto]:[Importe Neto]],Imput[[C. Imp.]:[C. Imp.]],$D1009,Imput[[PERIODO Imp.]:[PERIODO Imp.]],CU$9)</f>
        <v>0</v>
      </c>
      <c r="CV1009" s="693">
        <f>SUMIFS(Imput[[Importe Neto]:[Importe Neto]],Imput[[C. Imp.]:[C. Imp.]],$D1009,Imput[[PERIODO Imp.]:[PERIODO Imp.]],CV$9)</f>
        <v>0</v>
      </c>
      <c r="CW1009" s="693">
        <f>SUMIFS(Imput[[Importe Neto]:[Importe Neto]],Imput[[C. Imp.]:[C. Imp.]],$D1009,Imput[[PERIODO Imp.]:[PERIODO Imp.]],CW$9)</f>
        <v>0</v>
      </c>
      <c r="CX1009" s="693">
        <f>SUMIFS(Imput[[Importe Neto]:[Importe Neto]],Imput[[C. Imp.]:[C. Imp.]],$D1009,Imput[[PERIODO Imp.]:[PERIODO Imp.]],CX$9)</f>
        <v>0</v>
      </c>
      <c r="CY1009" s="693">
        <f>SUMIFS(Imput[[Importe Neto]:[Importe Neto]],Imput[[C. Imp.]:[C. Imp.]],$D1009,Imput[[PERIODO Imp.]:[PERIODO Imp.]],CY$9)</f>
        <v>0</v>
      </c>
      <c r="CZ1009" s="693">
        <f>SUMIFS(Imput[[Importe Neto]:[Importe Neto]],Imput[[C. Imp.]:[C. Imp.]],$D1009,Imput[[PERIODO Imp.]:[PERIODO Imp.]],CZ$9)</f>
        <v>0</v>
      </c>
      <c r="DA1009" s="693">
        <f>SUMIFS(Imput[[Importe Neto]:[Importe Neto]],Imput[[C. Imp.]:[C. Imp.]],$D1009,Imput[[PERIODO Imp.]:[PERIODO Imp.]],DA$9)</f>
        <v>0</v>
      </c>
      <c r="DB1009" s="693">
        <f>SUMIFS(Imput[[Importe Neto]:[Importe Neto]],Imput[[C. Imp.]:[C. Imp.]],$D1009,Imput[[PERIODO Imp.]:[PERIODO Imp.]],DB$9)</f>
        <v>0</v>
      </c>
      <c r="DC1009" s="693">
        <f>SUMIFS(Imput[[Importe Neto]:[Importe Neto]],Imput[[C. Imp.]:[C. Imp.]],$D1009,Imput[[PERIODO Imp.]:[PERIODO Imp.]],DC$9)</f>
        <v>0</v>
      </c>
      <c r="DD1009" s="693">
        <f>SUMIFS(Imput[[Importe Neto]:[Importe Neto]],Imput[[C. Imp.]:[C. Imp.]],$D1009,Imput[[PERIODO Imp.]:[PERIODO Imp.]],DD$9)</f>
        <v>0</v>
      </c>
      <c r="DE1009" s="693">
        <f>SUMIFS(Imput[[Importe Neto]:[Importe Neto]],Imput[[C. Imp.]:[C. Imp.]],$D1009,Imput[[PERIODO Imp.]:[PERIODO Imp.]],DE$9)</f>
        <v>0</v>
      </c>
      <c r="DF1009" s="693">
        <f>SUMIFS(Imput[[Importe Neto]:[Importe Neto]],Imput[[C. Imp.]:[C. Imp.]],$D1009,Imput[[PERIODO Imp.]:[PERIODO Imp.]],DF$9)</f>
        <v>0</v>
      </c>
      <c r="DG1009" s="693">
        <f>SUMIFS(Imput[[Importe Neto]:[Importe Neto]],Imput[[C. Imp.]:[C. Imp.]],$D1009,Imput[[PERIODO Imp.]:[PERIODO Imp.]],DG$9)</f>
        <v>0</v>
      </c>
      <c r="DH1009" s="694">
        <f>SUMIFS(Imput[[Importe Neto]:[Importe Neto]],Imput[[C. Imp.]:[C. Imp.]],$D1009,Imput[[PERIODO Imp.]:[PERIODO Imp.]],DH$9)</f>
        <v>0</v>
      </c>
    </row>
    <row r="1010" spans="1:112" s="649" customFormat="1" hidden="1" outlineLevel="1" x14ac:dyDescent="0.3">
      <c r="A1010" s="652" t="str">
        <f t="shared" si="347"/>
        <v/>
      </c>
      <c r="B1010" s="652"/>
      <c r="C1010" s="685"/>
      <c r="D1010" s="686"/>
      <c r="E1010" s="686"/>
      <c r="F1010" s="720"/>
      <c r="G1010" s="688"/>
      <c r="H1010" s="689"/>
      <c r="I1010" s="851" t="str">
        <f t="shared" si="348"/>
        <v/>
      </c>
      <c r="J1010" s="850" t="str">
        <f t="shared" si="349"/>
        <v/>
      </c>
      <c r="K1010" s="667"/>
      <c r="L1010" s="858"/>
      <c r="M1010" s="859"/>
      <c r="N1010" s="859"/>
      <c r="O1010" s="859"/>
      <c r="P1010" s="859"/>
      <c r="Q1010" s="859"/>
      <c r="R1010" s="859"/>
      <c r="S1010" s="859"/>
      <c r="T1010" s="859"/>
      <c r="U1010" s="859"/>
      <c r="V1010" s="859"/>
      <c r="W1010" s="859"/>
      <c r="X1010" s="859"/>
      <c r="Y1010" s="859"/>
      <c r="Z1010" s="860"/>
      <c r="AA1010" s="860"/>
      <c r="AB1010" s="860"/>
      <c r="AC1010" s="860"/>
      <c r="AD1010" s="860"/>
      <c r="AE1010" s="860"/>
      <c r="AF1010" s="860"/>
      <c r="AG1010" s="860"/>
      <c r="AH1010" s="860"/>
      <c r="AI1010" s="860"/>
      <c r="AJ1010" s="860"/>
      <c r="AK1010" s="860"/>
      <c r="AL1010" s="860"/>
      <c r="AM1010" s="860"/>
      <c r="AN1010" s="860"/>
      <c r="AO1010" s="860"/>
      <c r="AP1010" s="860"/>
      <c r="AQ1010" s="860"/>
      <c r="AR1010" s="860"/>
      <c r="AS1010" s="860"/>
      <c r="AT1010" s="860"/>
      <c r="AU1010" s="860"/>
      <c r="AV1010" s="860"/>
      <c r="AW1010" s="860"/>
      <c r="AX1010" s="860"/>
      <c r="AY1010" s="860"/>
      <c r="AZ1010" s="860"/>
      <c r="BA1010" s="860"/>
      <c r="BB1010" s="860"/>
      <c r="BC1010" s="860"/>
      <c r="BD1010" s="860"/>
      <c r="BE1010" s="860"/>
      <c r="BF1010" s="860"/>
      <c r="BG1010" s="860"/>
      <c r="BH1010" s="668"/>
      <c r="BI1010" s="667"/>
      <c r="BJ1010" s="690">
        <f t="shared" si="350"/>
        <v>0</v>
      </c>
      <c r="BK1010" s="691">
        <f t="shared" si="351"/>
        <v>0</v>
      </c>
      <c r="BL1010" s="654"/>
      <c r="BM1010" s="692">
        <f>SUMIFS(Imput[[Importe Neto]:[Importe Neto]],Imput[[C. Imp.]:[C. Imp.]],$D1010,Imput[[PERIODO Imp.]:[PERIODO Imp.]],BM$9)</f>
        <v>0</v>
      </c>
      <c r="BN1010" s="693">
        <f>SUMIFS(Imput[[Importe Neto]:[Importe Neto]],Imput[[C. Imp.]:[C. Imp.]],$D1010,Imput[[PERIODO Imp.]:[PERIODO Imp.]],BN$9)</f>
        <v>0</v>
      </c>
      <c r="BO1010" s="693">
        <f>SUMIFS(Imput[[Importe Neto]:[Importe Neto]],Imput[[C. Imp.]:[C. Imp.]],$D1010,Imput[[PERIODO Imp.]:[PERIODO Imp.]],BO$9)</f>
        <v>0</v>
      </c>
      <c r="BP1010" s="693">
        <f>SUMIFS(Imput[[Importe Neto]:[Importe Neto]],Imput[[C. Imp.]:[C. Imp.]],$D1010,Imput[[PERIODO Imp.]:[PERIODO Imp.]],BP$9)</f>
        <v>0</v>
      </c>
      <c r="BQ1010" s="693">
        <f>SUMIFS(Imput[[Importe Neto]:[Importe Neto]],Imput[[C. Imp.]:[C. Imp.]],$D1010,Imput[[PERIODO Imp.]:[PERIODO Imp.]],BQ$9)</f>
        <v>0</v>
      </c>
      <c r="BR1010" s="693">
        <f>SUMIFS(Imput[[Importe Neto]:[Importe Neto]],Imput[[C. Imp.]:[C. Imp.]],$D1010,Imput[[PERIODO Imp.]:[PERIODO Imp.]],BR$9)</f>
        <v>0</v>
      </c>
      <c r="BS1010" s="693">
        <f>SUMIFS(Imput[[Importe Neto]:[Importe Neto]],Imput[[C. Imp.]:[C. Imp.]],$D1010,Imput[[PERIODO Imp.]:[PERIODO Imp.]],BS$9)</f>
        <v>0</v>
      </c>
      <c r="BT1010" s="693">
        <f>SUMIFS(Imput[[Importe Neto]:[Importe Neto]],Imput[[C. Imp.]:[C. Imp.]],$D1010,Imput[[PERIODO Imp.]:[PERIODO Imp.]],BT$9)</f>
        <v>0</v>
      </c>
      <c r="BU1010" s="693">
        <f>SUMIFS(Imput[[Importe Neto]:[Importe Neto]],Imput[[C. Imp.]:[C. Imp.]],$D1010,Imput[[PERIODO Imp.]:[PERIODO Imp.]],BU$9)</f>
        <v>0</v>
      </c>
      <c r="BV1010" s="693">
        <f>SUMIFS(Imput[[Importe Neto]:[Importe Neto]],Imput[[C. Imp.]:[C. Imp.]],$D1010,Imput[[PERIODO Imp.]:[PERIODO Imp.]],BV$9)</f>
        <v>0</v>
      </c>
      <c r="BW1010" s="693">
        <f>SUMIFS(Imput[[Importe Neto]:[Importe Neto]],Imput[[C. Imp.]:[C. Imp.]],$D1010,Imput[[PERIODO Imp.]:[PERIODO Imp.]],BW$9)</f>
        <v>0</v>
      </c>
      <c r="BX1010" s="693">
        <f>SUMIFS(Imput[[Importe Neto]:[Importe Neto]],Imput[[C. Imp.]:[C. Imp.]],$D1010,Imput[[PERIODO Imp.]:[PERIODO Imp.]],BX$9)</f>
        <v>0</v>
      </c>
      <c r="BY1010" s="693">
        <f>SUMIFS(Imput[[Importe Neto]:[Importe Neto]],Imput[[C. Imp.]:[C. Imp.]],$D1010,Imput[[PERIODO Imp.]:[PERIODO Imp.]],BY$9)</f>
        <v>0</v>
      </c>
      <c r="BZ1010" s="693">
        <f>SUMIFS(Imput[[Importe Neto]:[Importe Neto]],Imput[[C. Imp.]:[C. Imp.]],$D1010,Imput[[PERIODO Imp.]:[PERIODO Imp.]],BZ$9)</f>
        <v>0</v>
      </c>
      <c r="CA1010" s="693">
        <f>SUMIFS(Imput[[Importe Neto]:[Importe Neto]],Imput[[C. Imp.]:[C. Imp.]],$D1010,Imput[[PERIODO Imp.]:[PERIODO Imp.]],CA$9)</f>
        <v>0</v>
      </c>
      <c r="CB1010" s="693">
        <f>SUMIFS(Imput[[Importe Neto]:[Importe Neto]],Imput[[C. Imp.]:[C. Imp.]],$D1010,Imput[[PERIODO Imp.]:[PERIODO Imp.]],CB$9)</f>
        <v>0</v>
      </c>
      <c r="CC1010" s="693">
        <f>SUMIFS(Imput[[Importe Neto]:[Importe Neto]],Imput[[C. Imp.]:[C. Imp.]],$D1010,Imput[[PERIODO Imp.]:[PERIODO Imp.]],CC$9)</f>
        <v>0</v>
      </c>
      <c r="CD1010" s="693">
        <f>SUMIFS(Imput[[Importe Neto]:[Importe Neto]],Imput[[C. Imp.]:[C. Imp.]],$D1010,Imput[[PERIODO Imp.]:[PERIODO Imp.]],CD$9)</f>
        <v>0</v>
      </c>
      <c r="CE1010" s="693">
        <f>SUMIFS(Imput[[Importe Neto]:[Importe Neto]],Imput[[C. Imp.]:[C. Imp.]],$D1010,Imput[[PERIODO Imp.]:[PERIODO Imp.]],CE$9)</f>
        <v>0</v>
      </c>
      <c r="CF1010" s="693">
        <f>SUMIFS(Imput[[Importe Neto]:[Importe Neto]],Imput[[C. Imp.]:[C. Imp.]],$D1010,Imput[[PERIODO Imp.]:[PERIODO Imp.]],CF$9)</f>
        <v>0</v>
      </c>
      <c r="CG1010" s="693">
        <f>SUMIFS(Imput[[Importe Neto]:[Importe Neto]],Imput[[C. Imp.]:[C. Imp.]],$D1010,Imput[[PERIODO Imp.]:[PERIODO Imp.]],CG$9)</f>
        <v>0</v>
      </c>
      <c r="CH1010" s="693">
        <f>SUMIFS(Imput[[Importe Neto]:[Importe Neto]],Imput[[C. Imp.]:[C. Imp.]],$D1010,Imput[[PERIODO Imp.]:[PERIODO Imp.]],CH$9)</f>
        <v>0</v>
      </c>
      <c r="CI1010" s="693">
        <f>SUMIFS(Imput[[Importe Neto]:[Importe Neto]],Imput[[C. Imp.]:[C. Imp.]],$D1010,Imput[[PERIODO Imp.]:[PERIODO Imp.]],CI$9)</f>
        <v>0</v>
      </c>
      <c r="CJ1010" s="693">
        <f>SUMIFS(Imput[[Importe Neto]:[Importe Neto]],Imput[[C. Imp.]:[C. Imp.]],$D1010,Imput[[PERIODO Imp.]:[PERIODO Imp.]],CJ$9)</f>
        <v>0</v>
      </c>
      <c r="CK1010" s="693">
        <f>SUMIFS(Imput[[Importe Neto]:[Importe Neto]],Imput[[C. Imp.]:[C. Imp.]],$D1010,Imput[[PERIODO Imp.]:[PERIODO Imp.]],CK$9)</f>
        <v>0</v>
      </c>
      <c r="CL1010" s="693">
        <f>SUMIFS(Imput[[Importe Neto]:[Importe Neto]],Imput[[C. Imp.]:[C. Imp.]],$D1010,Imput[[PERIODO Imp.]:[PERIODO Imp.]],CL$9)</f>
        <v>0</v>
      </c>
      <c r="CM1010" s="693">
        <f>SUMIFS(Imput[[Importe Neto]:[Importe Neto]],Imput[[C. Imp.]:[C. Imp.]],$D1010,Imput[[PERIODO Imp.]:[PERIODO Imp.]],CM$9)</f>
        <v>0</v>
      </c>
      <c r="CN1010" s="693">
        <f>SUMIFS(Imput[[Importe Neto]:[Importe Neto]],Imput[[C. Imp.]:[C. Imp.]],$D1010,Imput[[PERIODO Imp.]:[PERIODO Imp.]],CN$9)</f>
        <v>0</v>
      </c>
      <c r="CO1010" s="693">
        <f>SUMIFS(Imput[[Importe Neto]:[Importe Neto]],Imput[[C. Imp.]:[C. Imp.]],$D1010,Imput[[PERIODO Imp.]:[PERIODO Imp.]],CO$9)</f>
        <v>0</v>
      </c>
      <c r="CP1010" s="693">
        <f>SUMIFS(Imput[[Importe Neto]:[Importe Neto]],Imput[[C. Imp.]:[C. Imp.]],$D1010,Imput[[PERIODO Imp.]:[PERIODO Imp.]],CP$9)</f>
        <v>0</v>
      </c>
      <c r="CQ1010" s="693">
        <f>SUMIFS(Imput[[Importe Neto]:[Importe Neto]],Imput[[C. Imp.]:[C. Imp.]],$D1010,Imput[[PERIODO Imp.]:[PERIODO Imp.]],CQ$9)</f>
        <v>0</v>
      </c>
      <c r="CR1010" s="693">
        <f>SUMIFS(Imput[[Importe Neto]:[Importe Neto]],Imput[[C. Imp.]:[C. Imp.]],$D1010,Imput[[PERIODO Imp.]:[PERIODO Imp.]],CR$9)</f>
        <v>0</v>
      </c>
      <c r="CS1010" s="693">
        <f>SUMIFS(Imput[[Importe Neto]:[Importe Neto]],Imput[[C. Imp.]:[C. Imp.]],$D1010,Imput[[PERIODO Imp.]:[PERIODO Imp.]],CS$9)</f>
        <v>0</v>
      </c>
      <c r="CT1010" s="693">
        <f>SUMIFS(Imput[[Importe Neto]:[Importe Neto]],Imput[[C. Imp.]:[C. Imp.]],$D1010,Imput[[PERIODO Imp.]:[PERIODO Imp.]],CT$9)</f>
        <v>0</v>
      </c>
      <c r="CU1010" s="693">
        <f>SUMIFS(Imput[[Importe Neto]:[Importe Neto]],Imput[[C. Imp.]:[C. Imp.]],$D1010,Imput[[PERIODO Imp.]:[PERIODO Imp.]],CU$9)</f>
        <v>0</v>
      </c>
      <c r="CV1010" s="693">
        <f>SUMIFS(Imput[[Importe Neto]:[Importe Neto]],Imput[[C. Imp.]:[C. Imp.]],$D1010,Imput[[PERIODO Imp.]:[PERIODO Imp.]],CV$9)</f>
        <v>0</v>
      </c>
      <c r="CW1010" s="693">
        <f>SUMIFS(Imput[[Importe Neto]:[Importe Neto]],Imput[[C. Imp.]:[C. Imp.]],$D1010,Imput[[PERIODO Imp.]:[PERIODO Imp.]],CW$9)</f>
        <v>0</v>
      </c>
      <c r="CX1010" s="693">
        <f>SUMIFS(Imput[[Importe Neto]:[Importe Neto]],Imput[[C. Imp.]:[C. Imp.]],$D1010,Imput[[PERIODO Imp.]:[PERIODO Imp.]],CX$9)</f>
        <v>0</v>
      </c>
      <c r="CY1010" s="693">
        <f>SUMIFS(Imput[[Importe Neto]:[Importe Neto]],Imput[[C. Imp.]:[C. Imp.]],$D1010,Imput[[PERIODO Imp.]:[PERIODO Imp.]],CY$9)</f>
        <v>0</v>
      </c>
      <c r="CZ1010" s="693">
        <f>SUMIFS(Imput[[Importe Neto]:[Importe Neto]],Imput[[C. Imp.]:[C. Imp.]],$D1010,Imput[[PERIODO Imp.]:[PERIODO Imp.]],CZ$9)</f>
        <v>0</v>
      </c>
      <c r="DA1010" s="693">
        <f>SUMIFS(Imput[[Importe Neto]:[Importe Neto]],Imput[[C. Imp.]:[C. Imp.]],$D1010,Imput[[PERIODO Imp.]:[PERIODO Imp.]],DA$9)</f>
        <v>0</v>
      </c>
      <c r="DB1010" s="693">
        <f>SUMIFS(Imput[[Importe Neto]:[Importe Neto]],Imput[[C. Imp.]:[C. Imp.]],$D1010,Imput[[PERIODO Imp.]:[PERIODO Imp.]],DB$9)</f>
        <v>0</v>
      </c>
      <c r="DC1010" s="693">
        <f>SUMIFS(Imput[[Importe Neto]:[Importe Neto]],Imput[[C. Imp.]:[C. Imp.]],$D1010,Imput[[PERIODO Imp.]:[PERIODO Imp.]],DC$9)</f>
        <v>0</v>
      </c>
      <c r="DD1010" s="693">
        <f>SUMIFS(Imput[[Importe Neto]:[Importe Neto]],Imput[[C. Imp.]:[C. Imp.]],$D1010,Imput[[PERIODO Imp.]:[PERIODO Imp.]],DD$9)</f>
        <v>0</v>
      </c>
      <c r="DE1010" s="693">
        <f>SUMIFS(Imput[[Importe Neto]:[Importe Neto]],Imput[[C. Imp.]:[C. Imp.]],$D1010,Imput[[PERIODO Imp.]:[PERIODO Imp.]],DE$9)</f>
        <v>0</v>
      </c>
      <c r="DF1010" s="693">
        <f>SUMIFS(Imput[[Importe Neto]:[Importe Neto]],Imput[[C. Imp.]:[C. Imp.]],$D1010,Imput[[PERIODO Imp.]:[PERIODO Imp.]],DF$9)</f>
        <v>0</v>
      </c>
      <c r="DG1010" s="693">
        <f>SUMIFS(Imput[[Importe Neto]:[Importe Neto]],Imput[[C. Imp.]:[C. Imp.]],$D1010,Imput[[PERIODO Imp.]:[PERIODO Imp.]],DG$9)</f>
        <v>0</v>
      </c>
      <c r="DH1010" s="694">
        <f>SUMIFS(Imput[[Importe Neto]:[Importe Neto]],Imput[[C. Imp.]:[C. Imp.]],$D1010,Imput[[PERIODO Imp.]:[PERIODO Imp.]],DH$9)</f>
        <v>0</v>
      </c>
    </row>
    <row r="1011" spans="1:112" s="649" customFormat="1" hidden="1" outlineLevel="1" x14ac:dyDescent="0.3">
      <c r="A1011" s="652" t="str">
        <f t="shared" si="347"/>
        <v/>
      </c>
      <c r="B1011" s="652"/>
      <c r="C1011" s="685"/>
      <c r="D1011" s="686"/>
      <c r="E1011" s="686"/>
      <c r="F1011" s="720"/>
      <c r="G1011" s="688"/>
      <c r="H1011" s="689"/>
      <c r="I1011" s="851" t="str">
        <f t="shared" si="348"/>
        <v/>
      </c>
      <c r="J1011" s="850" t="str">
        <f t="shared" si="349"/>
        <v/>
      </c>
      <c r="K1011" s="667"/>
      <c r="L1011" s="858"/>
      <c r="M1011" s="859"/>
      <c r="N1011" s="859"/>
      <c r="O1011" s="859"/>
      <c r="P1011" s="859"/>
      <c r="Q1011" s="859"/>
      <c r="R1011" s="859"/>
      <c r="S1011" s="859"/>
      <c r="T1011" s="859"/>
      <c r="U1011" s="859"/>
      <c r="V1011" s="859"/>
      <c r="W1011" s="859"/>
      <c r="X1011" s="859"/>
      <c r="Y1011" s="859"/>
      <c r="Z1011" s="860"/>
      <c r="AA1011" s="860"/>
      <c r="AB1011" s="860"/>
      <c r="AC1011" s="860"/>
      <c r="AD1011" s="860"/>
      <c r="AE1011" s="860"/>
      <c r="AF1011" s="860"/>
      <c r="AG1011" s="860"/>
      <c r="AH1011" s="860"/>
      <c r="AI1011" s="860"/>
      <c r="AJ1011" s="860"/>
      <c r="AK1011" s="860"/>
      <c r="AL1011" s="860"/>
      <c r="AM1011" s="860"/>
      <c r="AN1011" s="860"/>
      <c r="AO1011" s="860"/>
      <c r="AP1011" s="860"/>
      <c r="AQ1011" s="860"/>
      <c r="AR1011" s="860"/>
      <c r="AS1011" s="860"/>
      <c r="AT1011" s="860"/>
      <c r="AU1011" s="860"/>
      <c r="AV1011" s="860"/>
      <c r="AW1011" s="860"/>
      <c r="AX1011" s="860"/>
      <c r="AY1011" s="860"/>
      <c r="AZ1011" s="860"/>
      <c r="BA1011" s="860"/>
      <c r="BB1011" s="860"/>
      <c r="BC1011" s="860"/>
      <c r="BD1011" s="860"/>
      <c r="BE1011" s="860"/>
      <c r="BF1011" s="860"/>
      <c r="BG1011" s="860"/>
      <c r="BH1011" s="668"/>
      <c r="BI1011" s="667"/>
      <c r="BJ1011" s="690">
        <f t="shared" si="350"/>
        <v>0</v>
      </c>
      <c r="BK1011" s="691">
        <f t="shared" si="351"/>
        <v>0</v>
      </c>
      <c r="BL1011" s="654"/>
      <c r="BM1011" s="692">
        <f>SUMIFS(Imput[[Importe Neto]:[Importe Neto]],Imput[[C. Imp.]:[C. Imp.]],$D1011,Imput[[PERIODO Imp.]:[PERIODO Imp.]],BM$9)</f>
        <v>0</v>
      </c>
      <c r="BN1011" s="693">
        <f>SUMIFS(Imput[[Importe Neto]:[Importe Neto]],Imput[[C. Imp.]:[C. Imp.]],$D1011,Imput[[PERIODO Imp.]:[PERIODO Imp.]],BN$9)</f>
        <v>0</v>
      </c>
      <c r="BO1011" s="693">
        <f>SUMIFS(Imput[[Importe Neto]:[Importe Neto]],Imput[[C. Imp.]:[C. Imp.]],$D1011,Imput[[PERIODO Imp.]:[PERIODO Imp.]],BO$9)</f>
        <v>0</v>
      </c>
      <c r="BP1011" s="693">
        <f>SUMIFS(Imput[[Importe Neto]:[Importe Neto]],Imput[[C. Imp.]:[C. Imp.]],$D1011,Imput[[PERIODO Imp.]:[PERIODO Imp.]],BP$9)</f>
        <v>0</v>
      </c>
      <c r="BQ1011" s="693">
        <f>SUMIFS(Imput[[Importe Neto]:[Importe Neto]],Imput[[C. Imp.]:[C. Imp.]],$D1011,Imput[[PERIODO Imp.]:[PERIODO Imp.]],BQ$9)</f>
        <v>0</v>
      </c>
      <c r="BR1011" s="693">
        <f>SUMIFS(Imput[[Importe Neto]:[Importe Neto]],Imput[[C. Imp.]:[C. Imp.]],$D1011,Imput[[PERIODO Imp.]:[PERIODO Imp.]],BR$9)</f>
        <v>0</v>
      </c>
      <c r="BS1011" s="693">
        <f>SUMIFS(Imput[[Importe Neto]:[Importe Neto]],Imput[[C. Imp.]:[C. Imp.]],$D1011,Imput[[PERIODO Imp.]:[PERIODO Imp.]],BS$9)</f>
        <v>0</v>
      </c>
      <c r="BT1011" s="693">
        <f>SUMIFS(Imput[[Importe Neto]:[Importe Neto]],Imput[[C. Imp.]:[C. Imp.]],$D1011,Imput[[PERIODO Imp.]:[PERIODO Imp.]],BT$9)</f>
        <v>0</v>
      </c>
      <c r="BU1011" s="693">
        <f>SUMIFS(Imput[[Importe Neto]:[Importe Neto]],Imput[[C. Imp.]:[C. Imp.]],$D1011,Imput[[PERIODO Imp.]:[PERIODO Imp.]],BU$9)</f>
        <v>0</v>
      </c>
      <c r="BV1011" s="693">
        <f>SUMIFS(Imput[[Importe Neto]:[Importe Neto]],Imput[[C. Imp.]:[C. Imp.]],$D1011,Imput[[PERIODO Imp.]:[PERIODO Imp.]],BV$9)</f>
        <v>0</v>
      </c>
      <c r="BW1011" s="693">
        <f>SUMIFS(Imput[[Importe Neto]:[Importe Neto]],Imput[[C. Imp.]:[C. Imp.]],$D1011,Imput[[PERIODO Imp.]:[PERIODO Imp.]],BW$9)</f>
        <v>0</v>
      </c>
      <c r="BX1011" s="693">
        <f>SUMIFS(Imput[[Importe Neto]:[Importe Neto]],Imput[[C. Imp.]:[C. Imp.]],$D1011,Imput[[PERIODO Imp.]:[PERIODO Imp.]],BX$9)</f>
        <v>0</v>
      </c>
      <c r="BY1011" s="693">
        <f>SUMIFS(Imput[[Importe Neto]:[Importe Neto]],Imput[[C. Imp.]:[C. Imp.]],$D1011,Imput[[PERIODO Imp.]:[PERIODO Imp.]],BY$9)</f>
        <v>0</v>
      </c>
      <c r="BZ1011" s="693">
        <f>SUMIFS(Imput[[Importe Neto]:[Importe Neto]],Imput[[C. Imp.]:[C. Imp.]],$D1011,Imput[[PERIODO Imp.]:[PERIODO Imp.]],BZ$9)</f>
        <v>0</v>
      </c>
      <c r="CA1011" s="693">
        <f>SUMIFS(Imput[[Importe Neto]:[Importe Neto]],Imput[[C. Imp.]:[C. Imp.]],$D1011,Imput[[PERIODO Imp.]:[PERIODO Imp.]],CA$9)</f>
        <v>0</v>
      </c>
      <c r="CB1011" s="693">
        <f>SUMIFS(Imput[[Importe Neto]:[Importe Neto]],Imput[[C. Imp.]:[C. Imp.]],$D1011,Imput[[PERIODO Imp.]:[PERIODO Imp.]],CB$9)</f>
        <v>0</v>
      </c>
      <c r="CC1011" s="693">
        <f>SUMIFS(Imput[[Importe Neto]:[Importe Neto]],Imput[[C. Imp.]:[C. Imp.]],$D1011,Imput[[PERIODO Imp.]:[PERIODO Imp.]],CC$9)</f>
        <v>0</v>
      </c>
      <c r="CD1011" s="693">
        <f>SUMIFS(Imput[[Importe Neto]:[Importe Neto]],Imput[[C. Imp.]:[C. Imp.]],$D1011,Imput[[PERIODO Imp.]:[PERIODO Imp.]],CD$9)</f>
        <v>0</v>
      </c>
      <c r="CE1011" s="693">
        <f>SUMIFS(Imput[[Importe Neto]:[Importe Neto]],Imput[[C. Imp.]:[C. Imp.]],$D1011,Imput[[PERIODO Imp.]:[PERIODO Imp.]],CE$9)</f>
        <v>0</v>
      </c>
      <c r="CF1011" s="693">
        <f>SUMIFS(Imput[[Importe Neto]:[Importe Neto]],Imput[[C. Imp.]:[C. Imp.]],$D1011,Imput[[PERIODO Imp.]:[PERIODO Imp.]],CF$9)</f>
        <v>0</v>
      </c>
      <c r="CG1011" s="693">
        <f>SUMIFS(Imput[[Importe Neto]:[Importe Neto]],Imput[[C. Imp.]:[C. Imp.]],$D1011,Imput[[PERIODO Imp.]:[PERIODO Imp.]],CG$9)</f>
        <v>0</v>
      </c>
      <c r="CH1011" s="693">
        <f>SUMIFS(Imput[[Importe Neto]:[Importe Neto]],Imput[[C. Imp.]:[C. Imp.]],$D1011,Imput[[PERIODO Imp.]:[PERIODO Imp.]],CH$9)</f>
        <v>0</v>
      </c>
      <c r="CI1011" s="693">
        <f>SUMIFS(Imput[[Importe Neto]:[Importe Neto]],Imput[[C. Imp.]:[C. Imp.]],$D1011,Imput[[PERIODO Imp.]:[PERIODO Imp.]],CI$9)</f>
        <v>0</v>
      </c>
      <c r="CJ1011" s="693">
        <f>SUMIFS(Imput[[Importe Neto]:[Importe Neto]],Imput[[C. Imp.]:[C. Imp.]],$D1011,Imput[[PERIODO Imp.]:[PERIODO Imp.]],CJ$9)</f>
        <v>0</v>
      </c>
      <c r="CK1011" s="693">
        <f>SUMIFS(Imput[[Importe Neto]:[Importe Neto]],Imput[[C. Imp.]:[C. Imp.]],$D1011,Imput[[PERIODO Imp.]:[PERIODO Imp.]],CK$9)</f>
        <v>0</v>
      </c>
      <c r="CL1011" s="693">
        <f>SUMIFS(Imput[[Importe Neto]:[Importe Neto]],Imput[[C. Imp.]:[C. Imp.]],$D1011,Imput[[PERIODO Imp.]:[PERIODO Imp.]],CL$9)</f>
        <v>0</v>
      </c>
      <c r="CM1011" s="693">
        <f>SUMIFS(Imput[[Importe Neto]:[Importe Neto]],Imput[[C. Imp.]:[C. Imp.]],$D1011,Imput[[PERIODO Imp.]:[PERIODO Imp.]],CM$9)</f>
        <v>0</v>
      </c>
      <c r="CN1011" s="693">
        <f>SUMIFS(Imput[[Importe Neto]:[Importe Neto]],Imput[[C. Imp.]:[C. Imp.]],$D1011,Imput[[PERIODO Imp.]:[PERIODO Imp.]],CN$9)</f>
        <v>0</v>
      </c>
      <c r="CO1011" s="693">
        <f>SUMIFS(Imput[[Importe Neto]:[Importe Neto]],Imput[[C. Imp.]:[C. Imp.]],$D1011,Imput[[PERIODO Imp.]:[PERIODO Imp.]],CO$9)</f>
        <v>0</v>
      </c>
      <c r="CP1011" s="693">
        <f>SUMIFS(Imput[[Importe Neto]:[Importe Neto]],Imput[[C. Imp.]:[C. Imp.]],$D1011,Imput[[PERIODO Imp.]:[PERIODO Imp.]],CP$9)</f>
        <v>0</v>
      </c>
      <c r="CQ1011" s="693">
        <f>SUMIFS(Imput[[Importe Neto]:[Importe Neto]],Imput[[C. Imp.]:[C. Imp.]],$D1011,Imput[[PERIODO Imp.]:[PERIODO Imp.]],CQ$9)</f>
        <v>0</v>
      </c>
      <c r="CR1011" s="693">
        <f>SUMIFS(Imput[[Importe Neto]:[Importe Neto]],Imput[[C. Imp.]:[C. Imp.]],$D1011,Imput[[PERIODO Imp.]:[PERIODO Imp.]],CR$9)</f>
        <v>0</v>
      </c>
      <c r="CS1011" s="693">
        <f>SUMIFS(Imput[[Importe Neto]:[Importe Neto]],Imput[[C. Imp.]:[C. Imp.]],$D1011,Imput[[PERIODO Imp.]:[PERIODO Imp.]],CS$9)</f>
        <v>0</v>
      </c>
      <c r="CT1011" s="693">
        <f>SUMIFS(Imput[[Importe Neto]:[Importe Neto]],Imput[[C. Imp.]:[C. Imp.]],$D1011,Imput[[PERIODO Imp.]:[PERIODO Imp.]],CT$9)</f>
        <v>0</v>
      </c>
      <c r="CU1011" s="693">
        <f>SUMIFS(Imput[[Importe Neto]:[Importe Neto]],Imput[[C. Imp.]:[C. Imp.]],$D1011,Imput[[PERIODO Imp.]:[PERIODO Imp.]],CU$9)</f>
        <v>0</v>
      </c>
      <c r="CV1011" s="693">
        <f>SUMIFS(Imput[[Importe Neto]:[Importe Neto]],Imput[[C. Imp.]:[C. Imp.]],$D1011,Imput[[PERIODO Imp.]:[PERIODO Imp.]],CV$9)</f>
        <v>0</v>
      </c>
      <c r="CW1011" s="693">
        <f>SUMIFS(Imput[[Importe Neto]:[Importe Neto]],Imput[[C. Imp.]:[C. Imp.]],$D1011,Imput[[PERIODO Imp.]:[PERIODO Imp.]],CW$9)</f>
        <v>0</v>
      </c>
      <c r="CX1011" s="693">
        <f>SUMIFS(Imput[[Importe Neto]:[Importe Neto]],Imput[[C. Imp.]:[C. Imp.]],$D1011,Imput[[PERIODO Imp.]:[PERIODO Imp.]],CX$9)</f>
        <v>0</v>
      </c>
      <c r="CY1011" s="693">
        <f>SUMIFS(Imput[[Importe Neto]:[Importe Neto]],Imput[[C. Imp.]:[C. Imp.]],$D1011,Imput[[PERIODO Imp.]:[PERIODO Imp.]],CY$9)</f>
        <v>0</v>
      </c>
      <c r="CZ1011" s="693">
        <f>SUMIFS(Imput[[Importe Neto]:[Importe Neto]],Imput[[C. Imp.]:[C. Imp.]],$D1011,Imput[[PERIODO Imp.]:[PERIODO Imp.]],CZ$9)</f>
        <v>0</v>
      </c>
      <c r="DA1011" s="693">
        <f>SUMIFS(Imput[[Importe Neto]:[Importe Neto]],Imput[[C. Imp.]:[C. Imp.]],$D1011,Imput[[PERIODO Imp.]:[PERIODO Imp.]],DA$9)</f>
        <v>0</v>
      </c>
      <c r="DB1011" s="693">
        <f>SUMIFS(Imput[[Importe Neto]:[Importe Neto]],Imput[[C. Imp.]:[C. Imp.]],$D1011,Imput[[PERIODO Imp.]:[PERIODO Imp.]],DB$9)</f>
        <v>0</v>
      </c>
      <c r="DC1011" s="693">
        <f>SUMIFS(Imput[[Importe Neto]:[Importe Neto]],Imput[[C. Imp.]:[C. Imp.]],$D1011,Imput[[PERIODO Imp.]:[PERIODO Imp.]],DC$9)</f>
        <v>0</v>
      </c>
      <c r="DD1011" s="693">
        <f>SUMIFS(Imput[[Importe Neto]:[Importe Neto]],Imput[[C. Imp.]:[C. Imp.]],$D1011,Imput[[PERIODO Imp.]:[PERIODO Imp.]],DD$9)</f>
        <v>0</v>
      </c>
      <c r="DE1011" s="693">
        <f>SUMIFS(Imput[[Importe Neto]:[Importe Neto]],Imput[[C. Imp.]:[C. Imp.]],$D1011,Imput[[PERIODO Imp.]:[PERIODO Imp.]],DE$9)</f>
        <v>0</v>
      </c>
      <c r="DF1011" s="693">
        <f>SUMIFS(Imput[[Importe Neto]:[Importe Neto]],Imput[[C. Imp.]:[C. Imp.]],$D1011,Imput[[PERIODO Imp.]:[PERIODO Imp.]],DF$9)</f>
        <v>0</v>
      </c>
      <c r="DG1011" s="693">
        <f>SUMIFS(Imput[[Importe Neto]:[Importe Neto]],Imput[[C. Imp.]:[C. Imp.]],$D1011,Imput[[PERIODO Imp.]:[PERIODO Imp.]],DG$9)</f>
        <v>0</v>
      </c>
      <c r="DH1011" s="694">
        <f>SUMIFS(Imput[[Importe Neto]:[Importe Neto]],Imput[[C. Imp.]:[C. Imp.]],$D1011,Imput[[PERIODO Imp.]:[PERIODO Imp.]],DH$9)</f>
        <v>0</v>
      </c>
    </row>
    <row r="1012" spans="1:112" s="649" customFormat="1" hidden="1" outlineLevel="1" x14ac:dyDescent="0.3">
      <c r="A1012" s="652" t="str">
        <f t="shared" si="347"/>
        <v/>
      </c>
      <c r="B1012" s="652"/>
      <c r="C1012" s="685"/>
      <c r="D1012" s="686"/>
      <c r="E1012" s="686"/>
      <c r="F1012" s="720"/>
      <c r="G1012" s="688"/>
      <c r="H1012" s="689"/>
      <c r="I1012" s="851" t="str">
        <f t="shared" si="348"/>
        <v/>
      </c>
      <c r="J1012" s="850" t="str">
        <f t="shared" si="349"/>
        <v/>
      </c>
      <c r="K1012" s="667"/>
      <c r="L1012" s="858"/>
      <c r="M1012" s="859"/>
      <c r="N1012" s="859"/>
      <c r="O1012" s="859"/>
      <c r="P1012" s="859"/>
      <c r="Q1012" s="859"/>
      <c r="R1012" s="859"/>
      <c r="S1012" s="859"/>
      <c r="T1012" s="859"/>
      <c r="U1012" s="859"/>
      <c r="V1012" s="859"/>
      <c r="W1012" s="859"/>
      <c r="X1012" s="859"/>
      <c r="Y1012" s="859"/>
      <c r="Z1012" s="860"/>
      <c r="AA1012" s="860"/>
      <c r="AB1012" s="860"/>
      <c r="AC1012" s="860"/>
      <c r="AD1012" s="860"/>
      <c r="AE1012" s="860"/>
      <c r="AF1012" s="860"/>
      <c r="AG1012" s="860"/>
      <c r="AH1012" s="860"/>
      <c r="AI1012" s="860"/>
      <c r="AJ1012" s="860"/>
      <c r="AK1012" s="860"/>
      <c r="AL1012" s="860"/>
      <c r="AM1012" s="860"/>
      <c r="AN1012" s="860"/>
      <c r="AO1012" s="860"/>
      <c r="AP1012" s="860"/>
      <c r="AQ1012" s="860"/>
      <c r="AR1012" s="860"/>
      <c r="AS1012" s="860"/>
      <c r="AT1012" s="860"/>
      <c r="AU1012" s="860"/>
      <c r="AV1012" s="860"/>
      <c r="AW1012" s="860"/>
      <c r="AX1012" s="860"/>
      <c r="AY1012" s="860"/>
      <c r="AZ1012" s="860"/>
      <c r="BA1012" s="860"/>
      <c r="BB1012" s="860"/>
      <c r="BC1012" s="860"/>
      <c r="BD1012" s="860"/>
      <c r="BE1012" s="860"/>
      <c r="BF1012" s="860"/>
      <c r="BG1012" s="860"/>
      <c r="BH1012" s="668"/>
      <c r="BI1012" s="667"/>
      <c r="BJ1012" s="690">
        <f t="shared" si="350"/>
        <v>0</v>
      </c>
      <c r="BK1012" s="691">
        <f t="shared" si="351"/>
        <v>0</v>
      </c>
      <c r="BL1012" s="654"/>
      <c r="BM1012" s="697">
        <f>SUMIFS(Imput[[Importe Neto]:[Importe Neto]],Imput[[C. Imp.]:[C. Imp.]],$D1012,Imput[[PERIODO Imp.]:[PERIODO Imp.]],BM$9)</f>
        <v>0</v>
      </c>
      <c r="BN1012" s="698">
        <f>SUMIFS(Imput[[Importe Neto]:[Importe Neto]],Imput[[C. Imp.]:[C. Imp.]],$D1012,Imput[[PERIODO Imp.]:[PERIODO Imp.]],BN$9)</f>
        <v>0</v>
      </c>
      <c r="BO1012" s="698">
        <f>SUMIFS(Imput[[Importe Neto]:[Importe Neto]],Imput[[C. Imp.]:[C. Imp.]],$D1012,Imput[[PERIODO Imp.]:[PERIODO Imp.]],BO$9)</f>
        <v>0</v>
      </c>
      <c r="BP1012" s="698">
        <f>SUMIFS(Imput[[Importe Neto]:[Importe Neto]],Imput[[C. Imp.]:[C. Imp.]],$D1012,Imput[[PERIODO Imp.]:[PERIODO Imp.]],BP$9)</f>
        <v>0</v>
      </c>
      <c r="BQ1012" s="698">
        <f>SUMIFS(Imput[[Importe Neto]:[Importe Neto]],Imput[[C. Imp.]:[C. Imp.]],$D1012,Imput[[PERIODO Imp.]:[PERIODO Imp.]],BQ$9)</f>
        <v>0</v>
      </c>
      <c r="BR1012" s="698">
        <f>SUMIFS(Imput[[Importe Neto]:[Importe Neto]],Imput[[C. Imp.]:[C. Imp.]],$D1012,Imput[[PERIODO Imp.]:[PERIODO Imp.]],BR$9)</f>
        <v>0</v>
      </c>
      <c r="BS1012" s="698">
        <f>SUMIFS(Imput[[Importe Neto]:[Importe Neto]],Imput[[C. Imp.]:[C. Imp.]],$D1012,Imput[[PERIODO Imp.]:[PERIODO Imp.]],BS$9)</f>
        <v>0</v>
      </c>
      <c r="BT1012" s="698">
        <f>SUMIFS(Imput[[Importe Neto]:[Importe Neto]],Imput[[C. Imp.]:[C. Imp.]],$D1012,Imput[[PERIODO Imp.]:[PERIODO Imp.]],BT$9)</f>
        <v>0</v>
      </c>
      <c r="BU1012" s="698">
        <f>SUMIFS(Imput[[Importe Neto]:[Importe Neto]],Imput[[C. Imp.]:[C. Imp.]],$D1012,Imput[[PERIODO Imp.]:[PERIODO Imp.]],BU$9)</f>
        <v>0</v>
      </c>
      <c r="BV1012" s="698">
        <f>SUMIFS(Imput[[Importe Neto]:[Importe Neto]],Imput[[C. Imp.]:[C. Imp.]],$D1012,Imput[[PERIODO Imp.]:[PERIODO Imp.]],BV$9)</f>
        <v>0</v>
      </c>
      <c r="BW1012" s="698">
        <f>SUMIFS(Imput[[Importe Neto]:[Importe Neto]],Imput[[C. Imp.]:[C. Imp.]],$D1012,Imput[[PERIODO Imp.]:[PERIODO Imp.]],BW$9)</f>
        <v>0</v>
      </c>
      <c r="BX1012" s="698">
        <f>SUMIFS(Imput[[Importe Neto]:[Importe Neto]],Imput[[C. Imp.]:[C. Imp.]],$D1012,Imput[[PERIODO Imp.]:[PERIODO Imp.]],BX$9)</f>
        <v>0</v>
      </c>
      <c r="BY1012" s="698">
        <f>SUMIFS(Imput[[Importe Neto]:[Importe Neto]],Imput[[C. Imp.]:[C. Imp.]],$D1012,Imput[[PERIODO Imp.]:[PERIODO Imp.]],BY$9)</f>
        <v>0</v>
      </c>
      <c r="BZ1012" s="698">
        <f>SUMIFS(Imput[[Importe Neto]:[Importe Neto]],Imput[[C. Imp.]:[C. Imp.]],$D1012,Imput[[PERIODO Imp.]:[PERIODO Imp.]],BZ$9)</f>
        <v>0</v>
      </c>
      <c r="CA1012" s="698">
        <f>SUMIFS(Imput[[Importe Neto]:[Importe Neto]],Imput[[C. Imp.]:[C. Imp.]],$D1012,Imput[[PERIODO Imp.]:[PERIODO Imp.]],CA$9)</f>
        <v>0</v>
      </c>
      <c r="CB1012" s="698">
        <f>SUMIFS(Imput[[Importe Neto]:[Importe Neto]],Imput[[C. Imp.]:[C. Imp.]],$D1012,Imput[[PERIODO Imp.]:[PERIODO Imp.]],CB$9)</f>
        <v>0</v>
      </c>
      <c r="CC1012" s="698">
        <f>SUMIFS(Imput[[Importe Neto]:[Importe Neto]],Imput[[C. Imp.]:[C. Imp.]],$D1012,Imput[[PERIODO Imp.]:[PERIODO Imp.]],CC$9)</f>
        <v>0</v>
      </c>
      <c r="CD1012" s="698">
        <f>SUMIFS(Imput[[Importe Neto]:[Importe Neto]],Imput[[C. Imp.]:[C. Imp.]],$D1012,Imput[[PERIODO Imp.]:[PERIODO Imp.]],CD$9)</f>
        <v>0</v>
      </c>
      <c r="CE1012" s="698">
        <f>SUMIFS(Imput[[Importe Neto]:[Importe Neto]],Imput[[C. Imp.]:[C. Imp.]],$D1012,Imput[[PERIODO Imp.]:[PERIODO Imp.]],CE$9)</f>
        <v>0</v>
      </c>
      <c r="CF1012" s="698">
        <f>SUMIFS(Imput[[Importe Neto]:[Importe Neto]],Imput[[C. Imp.]:[C. Imp.]],$D1012,Imput[[PERIODO Imp.]:[PERIODO Imp.]],CF$9)</f>
        <v>0</v>
      </c>
      <c r="CG1012" s="698">
        <f>SUMIFS(Imput[[Importe Neto]:[Importe Neto]],Imput[[C. Imp.]:[C. Imp.]],$D1012,Imput[[PERIODO Imp.]:[PERIODO Imp.]],CG$9)</f>
        <v>0</v>
      </c>
      <c r="CH1012" s="698">
        <f>SUMIFS(Imput[[Importe Neto]:[Importe Neto]],Imput[[C. Imp.]:[C. Imp.]],$D1012,Imput[[PERIODO Imp.]:[PERIODO Imp.]],CH$9)</f>
        <v>0</v>
      </c>
      <c r="CI1012" s="698">
        <f>SUMIFS(Imput[[Importe Neto]:[Importe Neto]],Imput[[C. Imp.]:[C. Imp.]],$D1012,Imput[[PERIODO Imp.]:[PERIODO Imp.]],CI$9)</f>
        <v>0</v>
      </c>
      <c r="CJ1012" s="698">
        <f>SUMIFS(Imput[[Importe Neto]:[Importe Neto]],Imput[[C. Imp.]:[C. Imp.]],$D1012,Imput[[PERIODO Imp.]:[PERIODO Imp.]],CJ$9)</f>
        <v>0</v>
      </c>
      <c r="CK1012" s="698">
        <f>SUMIFS(Imput[[Importe Neto]:[Importe Neto]],Imput[[C. Imp.]:[C. Imp.]],$D1012,Imput[[PERIODO Imp.]:[PERIODO Imp.]],CK$9)</f>
        <v>0</v>
      </c>
      <c r="CL1012" s="698">
        <f>SUMIFS(Imput[[Importe Neto]:[Importe Neto]],Imput[[C. Imp.]:[C. Imp.]],$D1012,Imput[[PERIODO Imp.]:[PERIODO Imp.]],CL$9)</f>
        <v>0</v>
      </c>
      <c r="CM1012" s="698">
        <f>SUMIFS(Imput[[Importe Neto]:[Importe Neto]],Imput[[C. Imp.]:[C. Imp.]],$D1012,Imput[[PERIODO Imp.]:[PERIODO Imp.]],CM$9)</f>
        <v>0</v>
      </c>
      <c r="CN1012" s="698">
        <f>SUMIFS(Imput[[Importe Neto]:[Importe Neto]],Imput[[C. Imp.]:[C. Imp.]],$D1012,Imput[[PERIODO Imp.]:[PERIODO Imp.]],CN$9)</f>
        <v>0</v>
      </c>
      <c r="CO1012" s="698">
        <f>SUMIFS(Imput[[Importe Neto]:[Importe Neto]],Imput[[C. Imp.]:[C. Imp.]],$D1012,Imput[[PERIODO Imp.]:[PERIODO Imp.]],CO$9)</f>
        <v>0</v>
      </c>
      <c r="CP1012" s="698">
        <f>SUMIFS(Imput[[Importe Neto]:[Importe Neto]],Imput[[C. Imp.]:[C. Imp.]],$D1012,Imput[[PERIODO Imp.]:[PERIODO Imp.]],CP$9)</f>
        <v>0</v>
      </c>
      <c r="CQ1012" s="698">
        <f>SUMIFS(Imput[[Importe Neto]:[Importe Neto]],Imput[[C. Imp.]:[C. Imp.]],$D1012,Imput[[PERIODO Imp.]:[PERIODO Imp.]],CQ$9)</f>
        <v>0</v>
      </c>
      <c r="CR1012" s="698">
        <f>SUMIFS(Imput[[Importe Neto]:[Importe Neto]],Imput[[C. Imp.]:[C. Imp.]],$D1012,Imput[[PERIODO Imp.]:[PERIODO Imp.]],CR$9)</f>
        <v>0</v>
      </c>
      <c r="CS1012" s="698">
        <f>SUMIFS(Imput[[Importe Neto]:[Importe Neto]],Imput[[C. Imp.]:[C. Imp.]],$D1012,Imput[[PERIODO Imp.]:[PERIODO Imp.]],CS$9)</f>
        <v>0</v>
      </c>
      <c r="CT1012" s="698">
        <f>SUMIFS(Imput[[Importe Neto]:[Importe Neto]],Imput[[C. Imp.]:[C. Imp.]],$D1012,Imput[[PERIODO Imp.]:[PERIODO Imp.]],CT$9)</f>
        <v>0</v>
      </c>
      <c r="CU1012" s="698">
        <f>SUMIFS(Imput[[Importe Neto]:[Importe Neto]],Imput[[C. Imp.]:[C. Imp.]],$D1012,Imput[[PERIODO Imp.]:[PERIODO Imp.]],CU$9)</f>
        <v>0</v>
      </c>
      <c r="CV1012" s="698">
        <f>SUMIFS(Imput[[Importe Neto]:[Importe Neto]],Imput[[C. Imp.]:[C. Imp.]],$D1012,Imput[[PERIODO Imp.]:[PERIODO Imp.]],CV$9)</f>
        <v>0</v>
      </c>
      <c r="CW1012" s="698">
        <f>SUMIFS(Imput[[Importe Neto]:[Importe Neto]],Imput[[C. Imp.]:[C. Imp.]],$D1012,Imput[[PERIODO Imp.]:[PERIODO Imp.]],CW$9)</f>
        <v>0</v>
      </c>
      <c r="CX1012" s="698">
        <f>SUMIFS(Imput[[Importe Neto]:[Importe Neto]],Imput[[C. Imp.]:[C. Imp.]],$D1012,Imput[[PERIODO Imp.]:[PERIODO Imp.]],CX$9)</f>
        <v>0</v>
      </c>
      <c r="CY1012" s="698">
        <f>SUMIFS(Imput[[Importe Neto]:[Importe Neto]],Imput[[C. Imp.]:[C. Imp.]],$D1012,Imput[[PERIODO Imp.]:[PERIODO Imp.]],CY$9)</f>
        <v>0</v>
      </c>
      <c r="CZ1012" s="698">
        <f>SUMIFS(Imput[[Importe Neto]:[Importe Neto]],Imput[[C. Imp.]:[C. Imp.]],$D1012,Imput[[PERIODO Imp.]:[PERIODO Imp.]],CZ$9)</f>
        <v>0</v>
      </c>
      <c r="DA1012" s="698">
        <f>SUMIFS(Imput[[Importe Neto]:[Importe Neto]],Imput[[C. Imp.]:[C. Imp.]],$D1012,Imput[[PERIODO Imp.]:[PERIODO Imp.]],DA$9)</f>
        <v>0</v>
      </c>
      <c r="DB1012" s="698">
        <f>SUMIFS(Imput[[Importe Neto]:[Importe Neto]],Imput[[C. Imp.]:[C. Imp.]],$D1012,Imput[[PERIODO Imp.]:[PERIODO Imp.]],DB$9)</f>
        <v>0</v>
      </c>
      <c r="DC1012" s="698">
        <f>SUMIFS(Imput[[Importe Neto]:[Importe Neto]],Imput[[C. Imp.]:[C. Imp.]],$D1012,Imput[[PERIODO Imp.]:[PERIODO Imp.]],DC$9)</f>
        <v>0</v>
      </c>
      <c r="DD1012" s="698">
        <f>SUMIFS(Imput[[Importe Neto]:[Importe Neto]],Imput[[C. Imp.]:[C. Imp.]],$D1012,Imput[[PERIODO Imp.]:[PERIODO Imp.]],DD$9)</f>
        <v>0</v>
      </c>
      <c r="DE1012" s="698">
        <f>SUMIFS(Imput[[Importe Neto]:[Importe Neto]],Imput[[C. Imp.]:[C. Imp.]],$D1012,Imput[[PERIODO Imp.]:[PERIODO Imp.]],DE$9)</f>
        <v>0</v>
      </c>
      <c r="DF1012" s="698">
        <f>SUMIFS(Imput[[Importe Neto]:[Importe Neto]],Imput[[C. Imp.]:[C. Imp.]],$D1012,Imput[[PERIODO Imp.]:[PERIODO Imp.]],DF$9)</f>
        <v>0</v>
      </c>
      <c r="DG1012" s="698">
        <f>SUMIFS(Imput[[Importe Neto]:[Importe Neto]],Imput[[C. Imp.]:[C. Imp.]],$D1012,Imput[[PERIODO Imp.]:[PERIODO Imp.]],DG$9)</f>
        <v>0</v>
      </c>
      <c r="DH1012" s="795">
        <f>SUMIFS(Imput[[Importe Neto]:[Importe Neto]],Imput[[C. Imp.]:[C. Imp.]],$D1012,Imput[[PERIODO Imp.]:[PERIODO Imp.]],DH$9)</f>
        <v>0</v>
      </c>
    </row>
    <row r="1013" spans="1:112" s="649" customFormat="1" ht="14.4" hidden="1" outlineLevel="1" thickBot="1" x14ac:dyDescent="0.35">
      <c r="A1013" s="652" t="str">
        <f>IF(J972&gt;0,"Imprimir","")</f>
        <v/>
      </c>
      <c r="B1013" s="652"/>
      <c r="C1013" s="699"/>
      <c r="D1013" s="700"/>
      <c r="E1013" s="700"/>
      <c r="F1013" s="701"/>
      <c r="G1013" s="702"/>
      <c r="H1013" s="703"/>
      <c r="I1013" s="704"/>
      <c r="J1013" s="705"/>
      <c r="K1013" s="667"/>
      <c r="L1013" s="706"/>
      <c r="M1013" s="707"/>
      <c r="N1013" s="777"/>
      <c r="O1013" s="777"/>
      <c r="P1013" s="778"/>
      <c r="Q1013" s="778"/>
      <c r="R1013" s="708"/>
      <c r="S1013" s="708"/>
      <c r="T1013" s="779"/>
      <c r="U1013" s="779"/>
      <c r="V1013" s="778"/>
      <c r="W1013" s="778"/>
      <c r="X1013" s="708"/>
      <c r="Y1013" s="708"/>
      <c r="Z1013" s="708"/>
      <c r="AA1013" s="708"/>
      <c r="AB1013" s="708"/>
      <c r="AC1013" s="708"/>
      <c r="AD1013" s="708"/>
      <c r="AE1013" s="708"/>
      <c r="AF1013" s="708"/>
      <c r="AG1013" s="708"/>
      <c r="AH1013" s="708"/>
      <c r="AI1013" s="708"/>
      <c r="AJ1013" s="708"/>
      <c r="AK1013" s="708"/>
      <c r="AL1013" s="708"/>
      <c r="AM1013" s="708"/>
      <c r="AN1013" s="708"/>
      <c r="AO1013" s="708"/>
      <c r="AP1013" s="708"/>
      <c r="AQ1013" s="708"/>
      <c r="AR1013" s="708"/>
      <c r="AS1013" s="708"/>
      <c r="AT1013" s="708"/>
      <c r="AU1013" s="708"/>
      <c r="AV1013" s="708"/>
      <c r="AW1013" s="708"/>
      <c r="AX1013" s="708"/>
      <c r="AY1013" s="708"/>
      <c r="AZ1013" s="708"/>
      <c r="BA1013" s="708"/>
      <c r="BB1013" s="708"/>
      <c r="BC1013" s="708"/>
      <c r="BD1013" s="708"/>
      <c r="BE1013" s="708"/>
      <c r="BF1013" s="708"/>
      <c r="BG1013" s="708"/>
      <c r="BH1013" s="780"/>
      <c r="BI1013" s="654"/>
      <c r="BJ1013" s="709"/>
      <c r="BK1013" s="710"/>
      <c r="BL1013" s="654"/>
      <c r="BM1013" s="731"/>
      <c r="BN1013" s="701"/>
      <c r="BO1013" s="701"/>
      <c r="BP1013" s="701"/>
      <c r="BQ1013" s="701"/>
      <c r="BR1013" s="701"/>
      <c r="BS1013" s="701"/>
      <c r="BT1013" s="701"/>
      <c r="BU1013" s="701"/>
      <c r="BV1013" s="701"/>
      <c r="BW1013" s="701"/>
      <c r="BX1013" s="701"/>
      <c r="BY1013" s="701"/>
      <c r="BZ1013" s="701"/>
      <c r="CA1013" s="701"/>
      <c r="CB1013" s="701"/>
      <c r="CC1013" s="701"/>
      <c r="CD1013" s="701"/>
      <c r="CE1013" s="701"/>
      <c r="CF1013" s="701"/>
      <c r="CG1013" s="701"/>
      <c r="CH1013" s="701"/>
      <c r="CI1013" s="701"/>
      <c r="CJ1013" s="701"/>
      <c r="CK1013" s="701"/>
      <c r="CL1013" s="701"/>
      <c r="CM1013" s="701"/>
      <c r="CN1013" s="701"/>
      <c r="CO1013" s="701"/>
      <c r="CP1013" s="701"/>
      <c r="CQ1013" s="701"/>
      <c r="CR1013" s="701"/>
      <c r="CS1013" s="701"/>
      <c r="CT1013" s="701"/>
      <c r="CU1013" s="701"/>
      <c r="CV1013" s="701"/>
      <c r="CW1013" s="701"/>
      <c r="CX1013" s="701"/>
      <c r="CY1013" s="701"/>
      <c r="CZ1013" s="701"/>
      <c r="DA1013" s="701"/>
      <c r="DB1013" s="701"/>
      <c r="DC1013" s="701"/>
      <c r="DD1013" s="701"/>
      <c r="DE1013" s="701"/>
      <c r="DF1013" s="701"/>
      <c r="DG1013" s="701"/>
      <c r="DH1013" s="710"/>
    </row>
    <row r="1014" spans="1:112" s="649" customFormat="1" hidden="1" collapsed="1" x14ac:dyDescent="0.3">
      <c r="A1014" s="652" t="str">
        <f>IF(J1014&gt;0,"Imprimir","")</f>
        <v/>
      </c>
      <c r="B1014" s="652"/>
      <c r="C1014" s="711"/>
      <c r="D1014" s="712" t="s">
        <v>450</v>
      </c>
      <c r="E1014" s="712" t="s">
        <v>482</v>
      </c>
      <c r="F1014" s="712"/>
      <c r="G1014" s="713"/>
      <c r="H1014" s="712"/>
      <c r="I1014" s="714"/>
      <c r="J1014" s="715">
        <f>SUBTOTAL(9,J1017:J1066)</f>
        <v>0</v>
      </c>
      <c r="K1014" s="658"/>
      <c r="L1014" s="770">
        <f t="shared" ref="L1014:BG1014" si="352">SUMPRODUCT($J1017:$J1066,L1017:L1066)</f>
        <v>0</v>
      </c>
      <c r="M1014" s="771">
        <f t="shared" si="352"/>
        <v>0</v>
      </c>
      <c r="N1014" s="771">
        <f t="shared" si="352"/>
        <v>0</v>
      </c>
      <c r="O1014" s="771">
        <f t="shared" si="352"/>
        <v>0</v>
      </c>
      <c r="P1014" s="771">
        <f t="shared" si="352"/>
        <v>0</v>
      </c>
      <c r="Q1014" s="771">
        <f t="shared" si="352"/>
        <v>0</v>
      </c>
      <c r="R1014" s="771">
        <f t="shared" si="352"/>
        <v>0</v>
      </c>
      <c r="S1014" s="771">
        <f t="shared" si="352"/>
        <v>0</v>
      </c>
      <c r="T1014" s="771">
        <f t="shared" si="352"/>
        <v>0</v>
      </c>
      <c r="U1014" s="771">
        <f t="shared" si="352"/>
        <v>0</v>
      </c>
      <c r="V1014" s="771">
        <f t="shared" si="352"/>
        <v>0</v>
      </c>
      <c r="W1014" s="771">
        <f t="shared" si="352"/>
        <v>0</v>
      </c>
      <c r="X1014" s="771">
        <f t="shared" si="352"/>
        <v>0</v>
      </c>
      <c r="Y1014" s="771">
        <f t="shared" si="352"/>
        <v>0</v>
      </c>
      <c r="Z1014" s="771">
        <f t="shared" si="352"/>
        <v>0</v>
      </c>
      <c r="AA1014" s="771">
        <f t="shared" si="352"/>
        <v>0</v>
      </c>
      <c r="AB1014" s="771">
        <f t="shared" si="352"/>
        <v>0</v>
      </c>
      <c r="AC1014" s="771">
        <f t="shared" si="352"/>
        <v>0</v>
      </c>
      <c r="AD1014" s="771">
        <f t="shared" si="352"/>
        <v>0</v>
      </c>
      <c r="AE1014" s="771">
        <f t="shared" si="352"/>
        <v>0</v>
      </c>
      <c r="AF1014" s="771">
        <f t="shared" si="352"/>
        <v>0</v>
      </c>
      <c r="AG1014" s="771">
        <f t="shared" si="352"/>
        <v>0</v>
      </c>
      <c r="AH1014" s="771">
        <f t="shared" si="352"/>
        <v>0</v>
      </c>
      <c r="AI1014" s="771">
        <f t="shared" si="352"/>
        <v>0</v>
      </c>
      <c r="AJ1014" s="771">
        <f t="shared" si="352"/>
        <v>0</v>
      </c>
      <c r="AK1014" s="771">
        <f t="shared" si="352"/>
        <v>0</v>
      </c>
      <c r="AL1014" s="771">
        <f t="shared" si="352"/>
        <v>0</v>
      </c>
      <c r="AM1014" s="771">
        <f t="shared" si="352"/>
        <v>0</v>
      </c>
      <c r="AN1014" s="771">
        <f t="shared" si="352"/>
        <v>0</v>
      </c>
      <c r="AO1014" s="771">
        <f t="shared" si="352"/>
        <v>0</v>
      </c>
      <c r="AP1014" s="771">
        <f t="shared" si="352"/>
        <v>0</v>
      </c>
      <c r="AQ1014" s="771">
        <f t="shared" si="352"/>
        <v>0</v>
      </c>
      <c r="AR1014" s="771">
        <f t="shared" si="352"/>
        <v>0</v>
      </c>
      <c r="AS1014" s="771">
        <f t="shared" si="352"/>
        <v>0</v>
      </c>
      <c r="AT1014" s="771">
        <f t="shared" si="352"/>
        <v>0</v>
      </c>
      <c r="AU1014" s="771">
        <f t="shared" si="352"/>
        <v>0</v>
      </c>
      <c r="AV1014" s="771">
        <f t="shared" si="352"/>
        <v>0</v>
      </c>
      <c r="AW1014" s="771">
        <f t="shared" si="352"/>
        <v>0</v>
      </c>
      <c r="AX1014" s="771">
        <f t="shared" si="352"/>
        <v>0</v>
      </c>
      <c r="AY1014" s="771">
        <f t="shared" si="352"/>
        <v>0</v>
      </c>
      <c r="AZ1014" s="771">
        <f t="shared" si="352"/>
        <v>0</v>
      </c>
      <c r="BA1014" s="771">
        <f t="shared" si="352"/>
        <v>0</v>
      </c>
      <c r="BB1014" s="771">
        <f t="shared" si="352"/>
        <v>0</v>
      </c>
      <c r="BC1014" s="771">
        <f t="shared" si="352"/>
        <v>0</v>
      </c>
      <c r="BD1014" s="771">
        <f t="shared" si="352"/>
        <v>0</v>
      </c>
      <c r="BE1014" s="771">
        <f t="shared" si="352"/>
        <v>0</v>
      </c>
      <c r="BF1014" s="771">
        <f t="shared" si="352"/>
        <v>0</v>
      </c>
      <c r="BG1014" s="764">
        <f t="shared" si="352"/>
        <v>0</v>
      </c>
      <c r="BH1014" s="776"/>
      <c r="BI1014" s="654"/>
      <c r="BJ1014" s="659">
        <f>IFERROR(BK1014/J1014,0)</f>
        <v>0</v>
      </c>
      <c r="BK1014" s="660">
        <f>SUBTOTAL(9,BK1015:BK1066)</f>
        <v>0</v>
      </c>
      <c r="BL1014" s="654"/>
      <c r="BM1014" s="661">
        <f t="shared" ref="BM1014:DH1014" si="353">SUBTOTAL(9,BM1015:BM1066)</f>
        <v>0</v>
      </c>
      <c r="BN1014" s="662">
        <f t="shared" si="353"/>
        <v>0</v>
      </c>
      <c r="BO1014" s="662">
        <f t="shared" si="353"/>
        <v>0</v>
      </c>
      <c r="BP1014" s="662">
        <f t="shared" si="353"/>
        <v>0</v>
      </c>
      <c r="BQ1014" s="662">
        <f t="shared" si="353"/>
        <v>0</v>
      </c>
      <c r="BR1014" s="662">
        <f t="shared" si="353"/>
        <v>0</v>
      </c>
      <c r="BS1014" s="662">
        <f t="shared" si="353"/>
        <v>0</v>
      </c>
      <c r="BT1014" s="662">
        <f t="shared" si="353"/>
        <v>0</v>
      </c>
      <c r="BU1014" s="662">
        <f t="shared" si="353"/>
        <v>0</v>
      </c>
      <c r="BV1014" s="662">
        <f t="shared" si="353"/>
        <v>0</v>
      </c>
      <c r="BW1014" s="662">
        <f t="shared" si="353"/>
        <v>0</v>
      </c>
      <c r="BX1014" s="662">
        <f t="shared" si="353"/>
        <v>0</v>
      </c>
      <c r="BY1014" s="662">
        <f t="shared" si="353"/>
        <v>0</v>
      </c>
      <c r="BZ1014" s="662">
        <f t="shared" si="353"/>
        <v>0</v>
      </c>
      <c r="CA1014" s="662">
        <f t="shared" si="353"/>
        <v>0</v>
      </c>
      <c r="CB1014" s="662">
        <f t="shared" si="353"/>
        <v>0</v>
      </c>
      <c r="CC1014" s="662">
        <f t="shared" si="353"/>
        <v>0</v>
      </c>
      <c r="CD1014" s="662">
        <f t="shared" si="353"/>
        <v>0</v>
      </c>
      <c r="CE1014" s="662">
        <f t="shared" si="353"/>
        <v>0</v>
      </c>
      <c r="CF1014" s="662">
        <f t="shared" si="353"/>
        <v>0</v>
      </c>
      <c r="CG1014" s="662">
        <f t="shared" si="353"/>
        <v>0</v>
      </c>
      <c r="CH1014" s="662">
        <f t="shared" si="353"/>
        <v>0</v>
      </c>
      <c r="CI1014" s="662">
        <f t="shared" si="353"/>
        <v>0</v>
      </c>
      <c r="CJ1014" s="662">
        <f t="shared" si="353"/>
        <v>0</v>
      </c>
      <c r="CK1014" s="662">
        <f t="shared" si="353"/>
        <v>0</v>
      </c>
      <c r="CL1014" s="662">
        <f t="shared" si="353"/>
        <v>0</v>
      </c>
      <c r="CM1014" s="662">
        <f t="shared" si="353"/>
        <v>0</v>
      </c>
      <c r="CN1014" s="662">
        <f t="shared" si="353"/>
        <v>0</v>
      </c>
      <c r="CO1014" s="662">
        <f t="shared" si="353"/>
        <v>0</v>
      </c>
      <c r="CP1014" s="662">
        <f t="shared" si="353"/>
        <v>0</v>
      </c>
      <c r="CQ1014" s="662">
        <f t="shared" si="353"/>
        <v>0</v>
      </c>
      <c r="CR1014" s="662">
        <f t="shared" si="353"/>
        <v>0</v>
      </c>
      <c r="CS1014" s="662">
        <f t="shared" si="353"/>
        <v>0</v>
      </c>
      <c r="CT1014" s="662">
        <f t="shared" si="353"/>
        <v>0</v>
      </c>
      <c r="CU1014" s="662">
        <f t="shared" si="353"/>
        <v>0</v>
      </c>
      <c r="CV1014" s="662">
        <f t="shared" si="353"/>
        <v>0</v>
      </c>
      <c r="CW1014" s="662">
        <f t="shared" si="353"/>
        <v>0</v>
      </c>
      <c r="CX1014" s="662">
        <f t="shared" si="353"/>
        <v>0</v>
      </c>
      <c r="CY1014" s="662">
        <f t="shared" si="353"/>
        <v>0</v>
      </c>
      <c r="CZ1014" s="662">
        <f t="shared" si="353"/>
        <v>0</v>
      </c>
      <c r="DA1014" s="662">
        <f t="shared" si="353"/>
        <v>0</v>
      </c>
      <c r="DB1014" s="662">
        <f t="shared" si="353"/>
        <v>0</v>
      </c>
      <c r="DC1014" s="662">
        <f t="shared" si="353"/>
        <v>0</v>
      </c>
      <c r="DD1014" s="662">
        <f t="shared" si="353"/>
        <v>0</v>
      </c>
      <c r="DE1014" s="662">
        <f t="shared" si="353"/>
        <v>0</v>
      </c>
      <c r="DF1014" s="662">
        <f t="shared" si="353"/>
        <v>0</v>
      </c>
      <c r="DG1014" s="662">
        <f t="shared" si="353"/>
        <v>0</v>
      </c>
      <c r="DH1014" s="663">
        <f t="shared" si="353"/>
        <v>0</v>
      </c>
    </row>
    <row r="1015" spans="1:112" s="650" customFormat="1" hidden="1" outlineLevel="1" x14ac:dyDescent="0.3">
      <c r="A1015" s="652" t="str">
        <f>IF(J1014&gt;0,"Imprimir","")</f>
        <v/>
      </c>
      <c r="B1015" s="722"/>
      <c r="C1015" s="664"/>
      <c r="D1015" s="665"/>
      <c r="E1015" s="665"/>
      <c r="F1015" s="665" t="s">
        <v>472</v>
      </c>
      <c r="G1015" s="716" t="s">
        <v>2128</v>
      </c>
      <c r="H1015" s="665" t="s">
        <v>98</v>
      </c>
      <c r="I1015" s="665" t="s">
        <v>474</v>
      </c>
      <c r="J1015" s="666" t="s">
        <v>29</v>
      </c>
      <c r="K1015" s="723"/>
      <c r="L1015" s="745"/>
      <c r="M1015" s="741"/>
      <c r="N1015" s="741"/>
      <c r="O1015" s="741"/>
      <c r="P1015" s="741"/>
      <c r="Q1015" s="741"/>
      <c r="R1015" s="741"/>
      <c r="S1015" s="741"/>
      <c r="T1015" s="741"/>
      <c r="U1015" s="741"/>
      <c r="V1015" s="741"/>
      <c r="W1015" s="741"/>
      <c r="X1015" s="741"/>
      <c r="Y1015" s="741"/>
      <c r="Z1015" s="741"/>
      <c r="AA1015" s="741"/>
      <c r="AB1015" s="741"/>
      <c r="AC1015" s="741"/>
      <c r="AD1015" s="741"/>
      <c r="AE1015" s="741"/>
      <c r="AF1015" s="741"/>
      <c r="AG1015" s="741"/>
      <c r="AH1015" s="741"/>
      <c r="AI1015" s="741"/>
      <c r="AJ1015" s="741"/>
      <c r="AK1015" s="741"/>
      <c r="AL1015" s="741"/>
      <c r="AM1015" s="741"/>
      <c r="AN1015" s="741"/>
      <c r="AO1015" s="741"/>
      <c r="AP1015" s="741"/>
      <c r="AQ1015" s="741"/>
      <c r="AR1015" s="741"/>
      <c r="AS1015" s="741"/>
      <c r="AT1015" s="741"/>
      <c r="AU1015" s="741"/>
      <c r="AV1015" s="741"/>
      <c r="AW1015" s="741"/>
      <c r="AX1015" s="741"/>
      <c r="AY1015" s="741"/>
      <c r="AZ1015" s="741"/>
      <c r="BA1015" s="741"/>
      <c r="BB1015" s="741"/>
      <c r="BC1015" s="741"/>
      <c r="BD1015" s="741"/>
      <c r="BE1015" s="741"/>
      <c r="BF1015" s="741"/>
      <c r="BG1015" s="741"/>
      <c r="BH1015" s="724"/>
      <c r="BI1015" s="725"/>
      <c r="BJ1015" s="669"/>
      <c r="BK1015" s="670"/>
      <c r="BL1015" s="725"/>
      <c r="BM1015" s="671"/>
      <c r="BN1015" s="665"/>
      <c r="BO1015" s="665"/>
      <c r="BP1015" s="665"/>
      <c r="BQ1015" s="665"/>
      <c r="BR1015" s="665"/>
      <c r="BS1015" s="665"/>
      <c r="BT1015" s="665"/>
      <c r="BU1015" s="665"/>
      <c r="BV1015" s="665"/>
      <c r="BW1015" s="665"/>
      <c r="BX1015" s="665"/>
      <c r="BY1015" s="665"/>
      <c r="BZ1015" s="665"/>
      <c r="CA1015" s="665"/>
      <c r="CB1015" s="665"/>
      <c r="CC1015" s="665"/>
      <c r="CD1015" s="665"/>
      <c r="CE1015" s="665"/>
      <c r="CF1015" s="665"/>
      <c r="CG1015" s="665"/>
      <c r="CH1015" s="665"/>
      <c r="CI1015" s="665"/>
      <c r="CJ1015" s="665"/>
      <c r="CK1015" s="665"/>
      <c r="CL1015" s="665"/>
      <c r="CM1015" s="665"/>
      <c r="CN1015" s="665"/>
      <c r="CO1015" s="665"/>
      <c r="CP1015" s="665"/>
      <c r="CQ1015" s="665"/>
      <c r="CR1015" s="665"/>
      <c r="CS1015" s="665"/>
      <c r="CT1015" s="665"/>
      <c r="CU1015" s="665"/>
      <c r="CV1015" s="665"/>
      <c r="CW1015" s="665"/>
      <c r="CX1015" s="665"/>
      <c r="CY1015" s="665"/>
      <c r="CZ1015" s="665"/>
      <c r="DA1015" s="665"/>
      <c r="DB1015" s="665"/>
      <c r="DC1015" s="665"/>
      <c r="DD1015" s="665"/>
      <c r="DE1015" s="665"/>
      <c r="DF1015" s="665"/>
      <c r="DG1015" s="665"/>
      <c r="DH1015" s="666"/>
    </row>
    <row r="1016" spans="1:112" s="649" customFormat="1" ht="15.6" hidden="1" outlineLevel="1" x14ac:dyDescent="0.3">
      <c r="A1016" s="652" t="str">
        <f>IF(J1016&gt;0,"Imprimir","")</f>
        <v/>
      </c>
      <c r="B1016" s="652"/>
      <c r="C1016" s="672"/>
      <c r="D1016" s="673"/>
      <c r="E1016" s="674"/>
      <c r="F1016" s="675"/>
      <c r="G1016" s="726"/>
      <c r="H1016" s="676"/>
      <c r="I1016" s="677"/>
      <c r="J1016" s="219">
        <f>SUBTOTAL(9,J1017:J1066)</f>
        <v>0</v>
      </c>
      <c r="K1016" s="678"/>
      <c r="L1016" s="747"/>
      <c r="M1016" s="742"/>
      <c r="N1016" s="742"/>
      <c r="O1016" s="742"/>
      <c r="P1016" s="742"/>
      <c r="Q1016" s="742"/>
      <c r="R1016" s="742"/>
      <c r="S1016" s="742"/>
      <c r="T1016" s="742"/>
      <c r="U1016" s="742"/>
      <c r="V1016" s="742"/>
      <c r="W1016" s="742"/>
      <c r="X1016" s="742"/>
      <c r="Y1016" s="742"/>
      <c r="Z1016" s="742"/>
      <c r="AA1016" s="742"/>
      <c r="AB1016" s="742"/>
      <c r="AC1016" s="742"/>
      <c r="AD1016" s="742"/>
      <c r="AE1016" s="742"/>
      <c r="AF1016" s="742"/>
      <c r="AG1016" s="742"/>
      <c r="AH1016" s="742"/>
      <c r="AI1016" s="742"/>
      <c r="AJ1016" s="742"/>
      <c r="AK1016" s="742"/>
      <c r="AL1016" s="742"/>
      <c r="AM1016" s="742"/>
      <c r="AN1016" s="742"/>
      <c r="AO1016" s="742"/>
      <c r="AP1016" s="742"/>
      <c r="AQ1016" s="742"/>
      <c r="AR1016" s="742"/>
      <c r="AS1016" s="742"/>
      <c r="AT1016" s="742"/>
      <c r="AU1016" s="742"/>
      <c r="AV1016" s="742"/>
      <c r="AW1016" s="742"/>
      <c r="AX1016" s="742"/>
      <c r="AY1016" s="742"/>
      <c r="AZ1016" s="742"/>
      <c r="BA1016" s="742"/>
      <c r="BB1016" s="742"/>
      <c r="BC1016" s="742"/>
      <c r="BD1016" s="742"/>
      <c r="BE1016" s="742"/>
      <c r="BF1016" s="742"/>
      <c r="BG1016" s="742"/>
      <c r="BH1016" s="668"/>
      <c r="BI1016" s="654"/>
      <c r="BJ1016" s="680"/>
      <c r="BK1016" s="681"/>
      <c r="BL1016" s="654"/>
      <c r="BM1016" s="682"/>
      <c r="BN1016" s="683"/>
      <c r="BO1016" s="683"/>
      <c r="BP1016" s="683"/>
      <c r="BQ1016" s="683"/>
      <c r="BR1016" s="683"/>
      <c r="BS1016" s="683"/>
      <c r="BT1016" s="683"/>
      <c r="BU1016" s="683"/>
      <c r="BV1016" s="683"/>
      <c r="BW1016" s="683"/>
      <c r="BX1016" s="683"/>
      <c r="BY1016" s="683"/>
      <c r="BZ1016" s="683"/>
      <c r="CA1016" s="683"/>
      <c r="CB1016" s="683"/>
      <c r="CC1016" s="683"/>
      <c r="CD1016" s="683"/>
      <c r="CE1016" s="683"/>
      <c r="CF1016" s="683"/>
      <c r="CG1016" s="683"/>
      <c r="CH1016" s="683"/>
      <c r="CI1016" s="683"/>
      <c r="CJ1016" s="683"/>
      <c r="CK1016" s="683"/>
      <c r="CL1016" s="683"/>
      <c r="CM1016" s="683"/>
      <c r="CN1016" s="683"/>
      <c r="CO1016" s="683"/>
      <c r="CP1016" s="683"/>
      <c r="CQ1016" s="683"/>
      <c r="CR1016" s="683"/>
      <c r="CS1016" s="683"/>
      <c r="CT1016" s="683"/>
      <c r="CU1016" s="683"/>
      <c r="CV1016" s="683"/>
      <c r="CW1016" s="683"/>
      <c r="CX1016" s="683"/>
      <c r="CY1016" s="683"/>
      <c r="CZ1016" s="683"/>
      <c r="DA1016" s="683"/>
      <c r="DB1016" s="683"/>
      <c r="DC1016" s="683"/>
      <c r="DD1016" s="683"/>
      <c r="DE1016" s="683"/>
      <c r="DF1016" s="683"/>
      <c r="DG1016" s="683"/>
      <c r="DH1016" s="684"/>
    </row>
    <row r="1017" spans="1:112" s="649" customFormat="1" hidden="1" outlineLevel="1" x14ac:dyDescent="0.3">
      <c r="A1017" s="652" t="str">
        <f t="shared" ref="A1017:A1065" si="354">IF(J1017="","",IF(J1017=0,"","Imprimir"))</f>
        <v/>
      </c>
      <c r="B1017" s="652"/>
      <c r="C1017" s="685"/>
      <c r="D1017" s="686"/>
      <c r="E1017" s="686"/>
      <c r="F1017" s="720"/>
      <c r="G1017" s="688"/>
      <c r="H1017" s="689"/>
      <c r="I1017" s="851" t="str">
        <f t="shared" ref="I1017:I1065" si="355">IF(E1017&gt;0,$J$5,"")</f>
        <v/>
      </c>
      <c r="J1017" s="852" t="str">
        <f t="shared" ref="J1017:J1065" si="356">IFERROR(G1017*H1017*I1017,"")</f>
        <v/>
      </c>
      <c r="K1017" s="667"/>
      <c r="L1017" s="858">
        <v>0.04</v>
      </c>
      <c r="M1017" s="859">
        <v>0.04</v>
      </c>
      <c r="N1017" s="859">
        <v>0.04</v>
      </c>
      <c r="O1017" s="859">
        <v>0.04</v>
      </c>
      <c r="P1017" s="859">
        <v>0.04</v>
      </c>
      <c r="Q1017" s="859">
        <v>0.04</v>
      </c>
      <c r="R1017" s="859">
        <v>0.04</v>
      </c>
      <c r="S1017" s="859">
        <v>0.04</v>
      </c>
      <c r="T1017" s="859">
        <v>0.04</v>
      </c>
      <c r="U1017" s="859">
        <v>0.04</v>
      </c>
      <c r="V1017" s="859">
        <v>0.04</v>
      </c>
      <c r="W1017" s="859">
        <v>0.04</v>
      </c>
      <c r="X1017" s="859">
        <v>0.04</v>
      </c>
      <c r="Y1017" s="859">
        <v>0.04</v>
      </c>
      <c r="Z1017" s="860">
        <v>0.04</v>
      </c>
      <c r="AA1017" s="860">
        <v>0.04</v>
      </c>
      <c r="AB1017" s="860">
        <v>0.04</v>
      </c>
      <c r="AC1017" s="860">
        <v>0.04</v>
      </c>
      <c r="AD1017" s="860">
        <v>0.04</v>
      </c>
      <c r="AE1017" s="860">
        <v>0.04</v>
      </c>
      <c r="AF1017" s="860">
        <v>0.04</v>
      </c>
      <c r="AG1017" s="860">
        <v>0.04</v>
      </c>
      <c r="AH1017" s="860">
        <v>0.04</v>
      </c>
      <c r="AI1017" s="860">
        <v>0.04</v>
      </c>
      <c r="AJ1017" s="860">
        <v>0.04</v>
      </c>
      <c r="AK1017" s="860"/>
      <c r="AL1017" s="860"/>
      <c r="AM1017" s="860"/>
      <c r="AN1017" s="860"/>
      <c r="AO1017" s="860"/>
      <c r="AP1017" s="860"/>
      <c r="AQ1017" s="860"/>
      <c r="AR1017" s="860"/>
      <c r="AS1017" s="860"/>
      <c r="AT1017" s="860"/>
      <c r="AU1017" s="860"/>
      <c r="AV1017" s="860"/>
      <c r="AW1017" s="860"/>
      <c r="AX1017" s="860"/>
      <c r="AY1017" s="860"/>
      <c r="AZ1017" s="860"/>
      <c r="BA1017" s="860"/>
      <c r="BB1017" s="860"/>
      <c r="BC1017" s="860"/>
      <c r="BD1017" s="860"/>
      <c r="BE1017" s="860"/>
      <c r="BF1017" s="860"/>
      <c r="BG1017" s="860"/>
      <c r="BH1017" s="668"/>
      <c r="BI1017" s="667"/>
      <c r="BJ1017" s="690">
        <f t="shared" ref="BJ1017:BJ1065" si="357">IFERROR(BK1017/J1017,0)</f>
        <v>0</v>
      </c>
      <c r="BK1017" s="691">
        <f t="shared" ref="BK1017:BK1065" si="358">SUM(BM1017:DH1017)</f>
        <v>0</v>
      </c>
      <c r="BL1017" s="654"/>
      <c r="BM1017" s="692">
        <f>SUMIFS(Imput[[Importe Neto]:[Importe Neto]],Imput[[C. Imp.]:[C. Imp.]],$D1017,Imput[[PERIODO Imp.]:[PERIODO Imp.]],BM$9)</f>
        <v>0</v>
      </c>
      <c r="BN1017" s="693">
        <f>SUMIFS(Imput[[Importe Neto]:[Importe Neto]],Imput[[C. Imp.]:[C. Imp.]],$D1017,Imput[[PERIODO Imp.]:[PERIODO Imp.]],BN$9)</f>
        <v>0</v>
      </c>
      <c r="BO1017" s="693">
        <f>SUMIFS(Imput[[Importe Neto]:[Importe Neto]],Imput[[C. Imp.]:[C. Imp.]],$D1017,Imput[[PERIODO Imp.]:[PERIODO Imp.]],BO$9)</f>
        <v>0</v>
      </c>
      <c r="BP1017" s="693">
        <f>SUMIFS(Imput[[Importe Neto]:[Importe Neto]],Imput[[C. Imp.]:[C. Imp.]],$D1017,Imput[[PERIODO Imp.]:[PERIODO Imp.]],BP$9)</f>
        <v>0</v>
      </c>
      <c r="BQ1017" s="693">
        <f>SUMIFS(Imput[[Importe Neto]:[Importe Neto]],Imput[[C. Imp.]:[C. Imp.]],$D1017,Imput[[PERIODO Imp.]:[PERIODO Imp.]],BQ$9)</f>
        <v>0</v>
      </c>
      <c r="BR1017" s="693">
        <f>SUMIFS(Imput[[Importe Neto]:[Importe Neto]],Imput[[C. Imp.]:[C. Imp.]],$D1017,Imput[[PERIODO Imp.]:[PERIODO Imp.]],BR$9)</f>
        <v>0</v>
      </c>
      <c r="BS1017" s="693">
        <f>SUMIFS(Imput[[Importe Neto]:[Importe Neto]],Imput[[C. Imp.]:[C. Imp.]],$D1017,Imput[[PERIODO Imp.]:[PERIODO Imp.]],BS$9)</f>
        <v>0</v>
      </c>
      <c r="BT1017" s="693">
        <f>SUMIFS(Imput[[Importe Neto]:[Importe Neto]],Imput[[C. Imp.]:[C. Imp.]],$D1017,Imput[[PERIODO Imp.]:[PERIODO Imp.]],BT$9)</f>
        <v>0</v>
      </c>
      <c r="BU1017" s="693">
        <f>SUMIFS(Imput[[Importe Neto]:[Importe Neto]],Imput[[C. Imp.]:[C. Imp.]],$D1017,Imput[[PERIODO Imp.]:[PERIODO Imp.]],BU$9)</f>
        <v>0</v>
      </c>
      <c r="BV1017" s="693">
        <f>SUMIFS(Imput[[Importe Neto]:[Importe Neto]],Imput[[C. Imp.]:[C. Imp.]],$D1017,Imput[[PERIODO Imp.]:[PERIODO Imp.]],BV$9)</f>
        <v>0</v>
      </c>
      <c r="BW1017" s="693">
        <f>SUMIFS(Imput[[Importe Neto]:[Importe Neto]],Imput[[C. Imp.]:[C. Imp.]],$D1017,Imput[[PERIODO Imp.]:[PERIODO Imp.]],BW$9)</f>
        <v>0</v>
      </c>
      <c r="BX1017" s="693">
        <f>SUMIFS(Imput[[Importe Neto]:[Importe Neto]],Imput[[C. Imp.]:[C. Imp.]],$D1017,Imput[[PERIODO Imp.]:[PERIODO Imp.]],BX$9)</f>
        <v>0</v>
      </c>
      <c r="BY1017" s="693">
        <f>SUMIFS(Imput[[Importe Neto]:[Importe Neto]],Imput[[C. Imp.]:[C. Imp.]],$D1017,Imput[[PERIODO Imp.]:[PERIODO Imp.]],BY$9)</f>
        <v>0</v>
      </c>
      <c r="BZ1017" s="693">
        <f>SUMIFS(Imput[[Importe Neto]:[Importe Neto]],Imput[[C. Imp.]:[C. Imp.]],$D1017,Imput[[PERIODO Imp.]:[PERIODO Imp.]],BZ$9)</f>
        <v>0</v>
      </c>
      <c r="CA1017" s="693">
        <f>SUMIFS(Imput[[Importe Neto]:[Importe Neto]],Imput[[C. Imp.]:[C. Imp.]],$D1017,Imput[[PERIODO Imp.]:[PERIODO Imp.]],CA$9)</f>
        <v>0</v>
      </c>
      <c r="CB1017" s="693">
        <f>SUMIFS(Imput[[Importe Neto]:[Importe Neto]],Imput[[C. Imp.]:[C. Imp.]],$D1017,Imput[[PERIODO Imp.]:[PERIODO Imp.]],CB$9)</f>
        <v>0</v>
      </c>
      <c r="CC1017" s="693">
        <f>SUMIFS(Imput[[Importe Neto]:[Importe Neto]],Imput[[C. Imp.]:[C. Imp.]],$D1017,Imput[[PERIODO Imp.]:[PERIODO Imp.]],CC$9)</f>
        <v>0</v>
      </c>
      <c r="CD1017" s="693">
        <f>SUMIFS(Imput[[Importe Neto]:[Importe Neto]],Imput[[C. Imp.]:[C. Imp.]],$D1017,Imput[[PERIODO Imp.]:[PERIODO Imp.]],CD$9)</f>
        <v>0</v>
      </c>
      <c r="CE1017" s="693">
        <f>SUMIFS(Imput[[Importe Neto]:[Importe Neto]],Imput[[C. Imp.]:[C. Imp.]],$D1017,Imput[[PERIODO Imp.]:[PERIODO Imp.]],CE$9)</f>
        <v>0</v>
      </c>
      <c r="CF1017" s="693">
        <f>SUMIFS(Imput[[Importe Neto]:[Importe Neto]],Imput[[C. Imp.]:[C. Imp.]],$D1017,Imput[[PERIODO Imp.]:[PERIODO Imp.]],CF$9)</f>
        <v>0</v>
      </c>
      <c r="CG1017" s="693">
        <f>SUMIFS(Imput[[Importe Neto]:[Importe Neto]],Imput[[C. Imp.]:[C. Imp.]],$D1017,Imput[[PERIODO Imp.]:[PERIODO Imp.]],CG$9)</f>
        <v>0</v>
      </c>
      <c r="CH1017" s="693">
        <f>SUMIFS(Imput[[Importe Neto]:[Importe Neto]],Imput[[C. Imp.]:[C. Imp.]],$D1017,Imput[[PERIODO Imp.]:[PERIODO Imp.]],CH$9)</f>
        <v>0</v>
      </c>
      <c r="CI1017" s="693">
        <f>SUMIFS(Imput[[Importe Neto]:[Importe Neto]],Imput[[C. Imp.]:[C. Imp.]],$D1017,Imput[[PERIODO Imp.]:[PERIODO Imp.]],CI$9)</f>
        <v>0</v>
      </c>
      <c r="CJ1017" s="693">
        <f>SUMIFS(Imput[[Importe Neto]:[Importe Neto]],Imput[[C. Imp.]:[C. Imp.]],$D1017,Imput[[PERIODO Imp.]:[PERIODO Imp.]],CJ$9)</f>
        <v>0</v>
      </c>
      <c r="CK1017" s="693">
        <f>SUMIFS(Imput[[Importe Neto]:[Importe Neto]],Imput[[C. Imp.]:[C. Imp.]],$D1017,Imput[[PERIODO Imp.]:[PERIODO Imp.]],CK$9)</f>
        <v>0</v>
      </c>
      <c r="CL1017" s="693">
        <f>SUMIFS(Imput[[Importe Neto]:[Importe Neto]],Imput[[C. Imp.]:[C. Imp.]],$D1017,Imput[[PERIODO Imp.]:[PERIODO Imp.]],CL$9)</f>
        <v>0</v>
      </c>
      <c r="CM1017" s="693">
        <f>SUMIFS(Imput[[Importe Neto]:[Importe Neto]],Imput[[C. Imp.]:[C. Imp.]],$D1017,Imput[[PERIODO Imp.]:[PERIODO Imp.]],CM$9)</f>
        <v>0</v>
      </c>
      <c r="CN1017" s="693">
        <f>SUMIFS(Imput[[Importe Neto]:[Importe Neto]],Imput[[C. Imp.]:[C. Imp.]],$D1017,Imput[[PERIODO Imp.]:[PERIODO Imp.]],CN$9)</f>
        <v>0</v>
      </c>
      <c r="CO1017" s="693">
        <f>SUMIFS(Imput[[Importe Neto]:[Importe Neto]],Imput[[C. Imp.]:[C. Imp.]],$D1017,Imput[[PERIODO Imp.]:[PERIODO Imp.]],CO$9)</f>
        <v>0</v>
      </c>
      <c r="CP1017" s="693">
        <f>SUMIFS(Imput[[Importe Neto]:[Importe Neto]],Imput[[C. Imp.]:[C. Imp.]],$D1017,Imput[[PERIODO Imp.]:[PERIODO Imp.]],CP$9)</f>
        <v>0</v>
      </c>
      <c r="CQ1017" s="693">
        <f>SUMIFS(Imput[[Importe Neto]:[Importe Neto]],Imput[[C. Imp.]:[C. Imp.]],$D1017,Imput[[PERIODO Imp.]:[PERIODO Imp.]],CQ$9)</f>
        <v>0</v>
      </c>
      <c r="CR1017" s="693">
        <f>SUMIFS(Imput[[Importe Neto]:[Importe Neto]],Imput[[C. Imp.]:[C. Imp.]],$D1017,Imput[[PERIODO Imp.]:[PERIODO Imp.]],CR$9)</f>
        <v>0</v>
      </c>
      <c r="CS1017" s="693">
        <f>SUMIFS(Imput[[Importe Neto]:[Importe Neto]],Imput[[C. Imp.]:[C. Imp.]],$D1017,Imput[[PERIODO Imp.]:[PERIODO Imp.]],CS$9)</f>
        <v>0</v>
      </c>
      <c r="CT1017" s="693">
        <f>SUMIFS(Imput[[Importe Neto]:[Importe Neto]],Imput[[C. Imp.]:[C. Imp.]],$D1017,Imput[[PERIODO Imp.]:[PERIODO Imp.]],CT$9)</f>
        <v>0</v>
      </c>
      <c r="CU1017" s="693">
        <f>SUMIFS(Imput[[Importe Neto]:[Importe Neto]],Imput[[C. Imp.]:[C. Imp.]],$D1017,Imput[[PERIODO Imp.]:[PERIODO Imp.]],CU$9)</f>
        <v>0</v>
      </c>
      <c r="CV1017" s="693">
        <f>SUMIFS(Imput[[Importe Neto]:[Importe Neto]],Imput[[C. Imp.]:[C. Imp.]],$D1017,Imput[[PERIODO Imp.]:[PERIODO Imp.]],CV$9)</f>
        <v>0</v>
      </c>
      <c r="CW1017" s="693">
        <f>SUMIFS(Imput[[Importe Neto]:[Importe Neto]],Imput[[C. Imp.]:[C. Imp.]],$D1017,Imput[[PERIODO Imp.]:[PERIODO Imp.]],CW$9)</f>
        <v>0</v>
      </c>
      <c r="CX1017" s="693">
        <f>SUMIFS(Imput[[Importe Neto]:[Importe Neto]],Imput[[C. Imp.]:[C. Imp.]],$D1017,Imput[[PERIODO Imp.]:[PERIODO Imp.]],CX$9)</f>
        <v>0</v>
      </c>
      <c r="CY1017" s="693">
        <f>SUMIFS(Imput[[Importe Neto]:[Importe Neto]],Imput[[C. Imp.]:[C. Imp.]],$D1017,Imput[[PERIODO Imp.]:[PERIODO Imp.]],CY$9)</f>
        <v>0</v>
      </c>
      <c r="CZ1017" s="693">
        <f>SUMIFS(Imput[[Importe Neto]:[Importe Neto]],Imput[[C. Imp.]:[C. Imp.]],$D1017,Imput[[PERIODO Imp.]:[PERIODO Imp.]],CZ$9)</f>
        <v>0</v>
      </c>
      <c r="DA1017" s="693">
        <f>SUMIFS(Imput[[Importe Neto]:[Importe Neto]],Imput[[C. Imp.]:[C. Imp.]],$D1017,Imput[[PERIODO Imp.]:[PERIODO Imp.]],DA$9)</f>
        <v>0</v>
      </c>
      <c r="DB1017" s="693">
        <f>SUMIFS(Imput[[Importe Neto]:[Importe Neto]],Imput[[C. Imp.]:[C. Imp.]],$D1017,Imput[[PERIODO Imp.]:[PERIODO Imp.]],DB$9)</f>
        <v>0</v>
      </c>
      <c r="DC1017" s="693">
        <f>SUMIFS(Imput[[Importe Neto]:[Importe Neto]],Imput[[C. Imp.]:[C. Imp.]],$D1017,Imput[[PERIODO Imp.]:[PERIODO Imp.]],DC$9)</f>
        <v>0</v>
      </c>
      <c r="DD1017" s="693">
        <f>SUMIFS(Imput[[Importe Neto]:[Importe Neto]],Imput[[C. Imp.]:[C. Imp.]],$D1017,Imput[[PERIODO Imp.]:[PERIODO Imp.]],DD$9)</f>
        <v>0</v>
      </c>
      <c r="DE1017" s="693">
        <f>SUMIFS(Imput[[Importe Neto]:[Importe Neto]],Imput[[C. Imp.]:[C. Imp.]],$D1017,Imput[[PERIODO Imp.]:[PERIODO Imp.]],DE$9)</f>
        <v>0</v>
      </c>
      <c r="DF1017" s="693">
        <f>SUMIFS(Imput[[Importe Neto]:[Importe Neto]],Imput[[C. Imp.]:[C. Imp.]],$D1017,Imput[[PERIODO Imp.]:[PERIODO Imp.]],DF$9)</f>
        <v>0</v>
      </c>
      <c r="DG1017" s="693">
        <f>SUMIFS(Imput[[Importe Neto]:[Importe Neto]],Imput[[C. Imp.]:[C. Imp.]],$D1017,Imput[[PERIODO Imp.]:[PERIODO Imp.]],DG$9)</f>
        <v>0</v>
      </c>
      <c r="DH1017" s="694">
        <f>SUMIFS(Imput[[Importe Neto]:[Importe Neto]],Imput[[C. Imp.]:[C. Imp.]],$D1017,Imput[[PERIODO Imp.]:[PERIODO Imp.]],DH$9)</f>
        <v>0</v>
      </c>
    </row>
    <row r="1018" spans="1:112" s="649" customFormat="1" hidden="1" outlineLevel="1" x14ac:dyDescent="0.3">
      <c r="A1018" s="652" t="str">
        <f t="shared" si="354"/>
        <v/>
      </c>
      <c r="B1018" s="652"/>
      <c r="C1018" s="685"/>
      <c r="D1018" s="686"/>
      <c r="E1018" s="686"/>
      <c r="F1018" s="720"/>
      <c r="G1018" s="688"/>
      <c r="H1018" s="689"/>
      <c r="I1018" s="851" t="str">
        <f t="shared" si="355"/>
        <v/>
      </c>
      <c r="J1018" s="852" t="str">
        <f t="shared" si="356"/>
        <v/>
      </c>
      <c r="K1018" s="667"/>
      <c r="L1018" s="858">
        <v>0.04</v>
      </c>
      <c r="M1018" s="859">
        <v>0.04</v>
      </c>
      <c r="N1018" s="859">
        <v>0.04</v>
      </c>
      <c r="O1018" s="859">
        <v>0.04</v>
      </c>
      <c r="P1018" s="859">
        <v>0.04</v>
      </c>
      <c r="Q1018" s="859">
        <v>0.04</v>
      </c>
      <c r="R1018" s="859">
        <v>0.04</v>
      </c>
      <c r="S1018" s="859">
        <v>0.04</v>
      </c>
      <c r="T1018" s="859">
        <v>0.04</v>
      </c>
      <c r="U1018" s="859">
        <v>0.04</v>
      </c>
      <c r="V1018" s="859">
        <v>0.04</v>
      </c>
      <c r="W1018" s="859">
        <v>0.04</v>
      </c>
      <c r="X1018" s="859">
        <v>0.04</v>
      </c>
      <c r="Y1018" s="859">
        <v>0.04</v>
      </c>
      <c r="Z1018" s="860">
        <v>0.04</v>
      </c>
      <c r="AA1018" s="860">
        <v>0.04</v>
      </c>
      <c r="AB1018" s="860">
        <v>0.04</v>
      </c>
      <c r="AC1018" s="860">
        <v>0.04</v>
      </c>
      <c r="AD1018" s="860">
        <v>0.04</v>
      </c>
      <c r="AE1018" s="860">
        <v>0.04</v>
      </c>
      <c r="AF1018" s="860">
        <v>0.04</v>
      </c>
      <c r="AG1018" s="860">
        <v>0.04</v>
      </c>
      <c r="AH1018" s="860">
        <v>0.04</v>
      </c>
      <c r="AI1018" s="860">
        <v>0.04</v>
      </c>
      <c r="AJ1018" s="860">
        <v>0.04</v>
      </c>
      <c r="AK1018" s="860"/>
      <c r="AL1018" s="860"/>
      <c r="AM1018" s="860"/>
      <c r="AN1018" s="860"/>
      <c r="AO1018" s="860"/>
      <c r="AP1018" s="860"/>
      <c r="AQ1018" s="860"/>
      <c r="AR1018" s="860"/>
      <c r="AS1018" s="860"/>
      <c r="AT1018" s="860"/>
      <c r="AU1018" s="860"/>
      <c r="AV1018" s="860"/>
      <c r="AW1018" s="860"/>
      <c r="AX1018" s="860"/>
      <c r="AY1018" s="860"/>
      <c r="AZ1018" s="860"/>
      <c r="BA1018" s="860"/>
      <c r="BB1018" s="860"/>
      <c r="BC1018" s="860"/>
      <c r="BD1018" s="860"/>
      <c r="BE1018" s="860"/>
      <c r="BF1018" s="860"/>
      <c r="BG1018" s="860"/>
      <c r="BH1018" s="668"/>
      <c r="BI1018" s="667"/>
      <c r="BJ1018" s="690">
        <f t="shared" si="357"/>
        <v>0</v>
      </c>
      <c r="BK1018" s="691">
        <f t="shared" si="358"/>
        <v>0</v>
      </c>
      <c r="BL1018" s="654"/>
      <c r="BM1018" s="692">
        <f>SUMIFS(Imput[[Importe Neto]:[Importe Neto]],Imput[[C. Imp.]:[C. Imp.]],$D1018,Imput[[PERIODO Imp.]:[PERIODO Imp.]],BM$9)</f>
        <v>0</v>
      </c>
      <c r="BN1018" s="693">
        <f>SUMIFS(Imput[[Importe Neto]:[Importe Neto]],Imput[[C. Imp.]:[C. Imp.]],$D1018,Imput[[PERIODO Imp.]:[PERIODO Imp.]],BN$9)</f>
        <v>0</v>
      </c>
      <c r="BO1018" s="693">
        <f>SUMIFS(Imput[[Importe Neto]:[Importe Neto]],Imput[[C. Imp.]:[C. Imp.]],$D1018,Imput[[PERIODO Imp.]:[PERIODO Imp.]],BO$9)</f>
        <v>0</v>
      </c>
      <c r="BP1018" s="693">
        <f>SUMIFS(Imput[[Importe Neto]:[Importe Neto]],Imput[[C. Imp.]:[C. Imp.]],$D1018,Imput[[PERIODO Imp.]:[PERIODO Imp.]],BP$9)</f>
        <v>0</v>
      </c>
      <c r="BQ1018" s="693">
        <f>SUMIFS(Imput[[Importe Neto]:[Importe Neto]],Imput[[C. Imp.]:[C. Imp.]],$D1018,Imput[[PERIODO Imp.]:[PERIODO Imp.]],BQ$9)</f>
        <v>0</v>
      </c>
      <c r="BR1018" s="693">
        <f>SUMIFS(Imput[[Importe Neto]:[Importe Neto]],Imput[[C. Imp.]:[C. Imp.]],$D1018,Imput[[PERIODO Imp.]:[PERIODO Imp.]],BR$9)</f>
        <v>0</v>
      </c>
      <c r="BS1018" s="693">
        <f>SUMIFS(Imput[[Importe Neto]:[Importe Neto]],Imput[[C. Imp.]:[C. Imp.]],$D1018,Imput[[PERIODO Imp.]:[PERIODO Imp.]],BS$9)</f>
        <v>0</v>
      </c>
      <c r="BT1018" s="693">
        <f>SUMIFS(Imput[[Importe Neto]:[Importe Neto]],Imput[[C. Imp.]:[C. Imp.]],$D1018,Imput[[PERIODO Imp.]:[PERIODO Imp.]],BT$9)</f>
        <v>0</v>
      </c>
      <c r="BU1018" s="693">
        <f>SUMIFS(Imput[[Importe Neto]:[Importe Neto]],Imput[[C. Imp.]:[C. Imp.]],$D1018,Imput[[PERIODO Imp.]:[PERIODO Imp.]],BU$9)</f>
        <v>0</v>
      </c>
      <c r="BV1018" s="693">
        <f>SUMIFS(Imput[[Importe Neto]:[Importe Neto]],Imput[[C. Imp.]:[C. Imp.]],$D1018,Imput[[PERIODO Imp.]:[PERIODO Imp.]],BV$9)</f>
        <v>0</v>
      </c>
      <c r="BW1018" s="693">
        <f>SUMIFS(Imput[[Importe Neto]:[Importe Neto]],Imput[[C. Imp.]:[C. Imp.]],$D1018,Imput[[PERIODO Imp.]:[PERIODO Imp.]],BW$9)</f>
        <v>0</v>
      </c>
      <c r="BX1018" s="693">
        <f>SUMIFS(Imput[[Importe Neto]:[Importe Neto]],Imput[[C. Imp.]:[C. Imp.]],$D1018,Imput[[PERIODO Imp.]:[PERIODO Imp.]],BX$9)</f>
        <v>0</v>
      </c>
      <c r="BY1018" s="693">
        <f>SUMIFS(Imput[[Importe Neto]:[Importe Neto]],Imput[[C. Imp.]:[C. Imp.]],$D1018,Imput[[PERIODO Imp.]:[PERIODO Imp.]],BY$9)</f>
        <v>0</v>
      </c>
      <c r="BZ1018" s="693">
        <f>SUMIFS(Imput[[Importe Neto]:[Importe Neto]],Imput[[C. Imp.]:[C. Imp.]],$D1018,Imput[[PERIODO Imp.]:[PERIODO Imp.]],BZ$9)</f>
        <v>0</v>
      </c>
      <c r="CA1018" s="693">
        <f>SUMIFS(Imput[[Importe Neto]:[Importe Neto]],Imput[[C. Imp.]:[C. Imp.]],$D1018,Imput[[PERIODO Imp.]:[PERIODO Imp.]],CA$9)</f>
        <v>0</v>
      </c>
      <c r="CB1018" s="693">
        <f>SUMIFS(Imput[[Importe Neto]:[Importe Neto]],Imput[[C. Imp.]:[C. Imp.]],$D1018,Imput[[PERIODO Imp.]:[PERIODO Imp.]],CB$9)</f>
        <v>0</v>
      </c>
      <c r="CC1018" s="693">
        <f>SUMIFS(Imput[[Importe Neto]:[Importe Neto]],Imput[[C. Imp.]:[C. Imp.]],$D1018,Imput[[PERIODO Imp.]:[PERIODO Imp.]],CC$9)</f>
        <v>0</v>
      </c>
      <c r="CD1018" s="693">
        <f>SUMIFS(Imput[[Importe Neto]:[Importe Neto]],Imput[[C. Imp.]:[C. Imp.]],$D1018,Imput[[PERIODO Imp.]:[PERIODO Imp.]],CD$9)</f>
        <v>0</v>
      </c>
      <c r="CE1018" s="693">
        <f>SUMIFS(Imput[[Importe Neto]:[Importe Neto]],Imput[[C. Imp.]:[C. Imp.]],$D1018,Imput[[PERIODO Imp.]:[PERIODO Imp.]],CE$9)</f>
        <v>0</v>
      </c>
      <c r="CF1018" s="693">
        <f>SUMIFS(Imput[[Importe Neto]:[Importe Neto]],Imput[[C. Imp.]:[C. Imp.]],$D1018,Imput[[PERIODO Imp.]:[PERIODO Imp.]],CF$9)</f>
        <v>0</v>
      </c>
      <c r="CG1018" s="693">
        <f>SUMIFS(Imput[[Importe Neto]:[Importe Neto]],Imput[[C. Imp.]:[C. Imp.]],$D1018,Imput[[PERIODO Imp.]:[PERIODO Imp.]],CG$9)</f>
        <v>0</v>
      </c>
      <c r="CH1018" s="693">
        <f>SUMIFS(Imput[[Importe Neto]:[Importe Neto]],Imput[[C. Imp.]:[C. Imp.]],$D1018,Imput[[PERIODO Imp.]:[PERIODO Imp.]],CH$9)</f>
        <v>0</v>
      </c>
      <c r="CI1018" s="693">
        <f>SUMIFS(Imput[[Importe Neto]:[Importe Neto]],Imput[[C. Imp.]:[C. Imp.]],$D1018,Imput[[PERIODO Imp.]:[PERIODO Imp.]],CI$9)</f>
        <v>0</v>
      </c>
      <c r="CJ1018" s="693">
        <f>SUMIFS(Imput[[Importe Neto]:[Importe Neto]],Imput[[C. Imp.]:[C. Imp.]],$D1018,Imput[[PERIODO Imp.]:[PERIODO Imp.]],CJ$9)</f>
        <v>0</v>
      </c>
      <c r="CK1018" s="693">
        <f>SUMIFS(Imput[[Importe Neto]:[Importe Neto]],Imput[[C. Imp.]:[C. Imp.]],$D1018,Imput[[PERIODO Imp.]:[PERIODO Imp.]],CK$9)</f>
        <v>0</v>
      </c>
      <c r="CL1018" s="693">
        <f>SUMIFS(Imput[[Importe Neto]:[Importe Neto]],Imput[[C. Imp.]:[C. Imp.]],$D1018,Imput[[PERIODO Imp.]:[PERIODO Imp.]],CL$9)</f>
        <v>0</v>
      </c>
      <c r="CM1018" s="693">
        <f>SUMIFS(Imput[[Importe Neto]:[Importe Neto]],Imput[[C. Imp.]:[C. Imp.]],$D1018,Imput[[PERIODO Imp.]:[PERIODO Imp.]],CM$9)</f>
        <v>0</v>
      </c>
      <c r="CN1018" s="693">
        <f>SUMIFS(Imput[[Importe Neto]:[Importe Neto]],Imput[[C. Imp.]:[C. Imp.]],$D1018,Imput[[PERIODO Imp.]:[PERIODO Imp.]],CN$9)</f>
        <v>0</v>
      </c>
      <c r="CO1018" s="693">
        <f>SUMIFS(Imput[[Importe Neto]:[Importe Neto]],Imput[[C. Imp.]:[C. Imp.]],$D1018,Imput[[PERIODO Imp.]:[PERIODO Imp.]],CO$9)</f>
        <v>0</v>
      </c>
      <c r="CP1018" s="693">
        <f>SUMIFS(Imput[[Importe Neto]:[Importe Neto]],Imput[[C. Imp.]:[C. Imp.]],$D1018,Imput[[PERIODO Imp.]:[PERIODO Imp.]],CP$9)</f>
        <v>0</v>
      </c>
      <c r="CQ1018" s="693">
        <f>SUMIFS(Imput[[Importe Neto]:[Importe Neto]],Imput[[C. Imp.]:[C. Imp.]],$D1018,Imput[[PERIODO Imp.]:[PERIODO Imp.]],CQ$9)</f>
        <v>0</v>
      </c>
      <c r="CR1018" s="693">
        <f>SUMIFS(Imput[[Importe Neto]:[Importe Neto]],Imput[[C. Imp.]:[C. Imp.]],$D1018,Imput[[PERIODO Imp.]:[PERIODO Imp.]],CR$9)</f>
        <v>0</v>
      </c>
      <c r="CS1018" s="693">
        <f>SUMIFS(Imput[[Importe Neto]:[Importe Neto]],Imput[[C. Imp.]:[C. Imp.]],$D1018,Imput[[PERIODO Imp.]:[PERIODO Imp.]],CS$9)</f>
        <v>0</v>
      </c>
      <c r="CT1018" s="693">
        <f>SUMIFS(Imput[[Importe Neto]:[Importe Neto]],Imput[[C. Imp.]:[C. Imp.]],$D1018,Imput[[PERIODO Imp.]:[PERIODO Imp.]],CT$9)</f>
        <v>0</v>
      </c>
      <c r="CU1018" s="693">
        <f>SUMIFS(Imput[[Importe Neto]:[Importe Neto]],Imput[[C. Imp.]:[C. Imp.]],$D1018,Imput[[PERIODO Imp.]:[PERIODO Imp.]],CU$9)</f>
        <v>0</v>
      </c>
      <c r="CV1018" s="693">
        <f>SUMIFS(Imput[[Importe Neto]:[Importe Neto]],Imput[[C. Imp.]:[C. Imp.]],$D1018,Imput[[PERIODO Imp.]:[PERIODO Imp.]],CV$9)</f>
        <v>0</v>
      </c>
      <c r="CW1018" s="693">
        <f>SUMIFS(Imput[[Importe Neto]:[Importe Neto]],Imput[[C. Imp.]:[C. Imp.]],$D1018,Imput[[PERIODO Imp.]:[PERIODO Imp.]],CW$9)</f>
        <v>0</v>
      </c>
      <c r="CX1018" s="693">
        <f>SUMIFS(Imput[[Importe Neto]:[Importe Neto]],Imput[[C. Imp.]:[C. Imp.]],$D1018,Imput[[PERIODO Imp.]:[PERIODO Imp.]],CX$9)</f>
        <v>0</v>
      </c>
      <c r="CY1018" s="693">
        <f>SUMIFS(Imput[[Importe Neto]:[Importe Neto]],Imput[[C. Imp.]:[C. Imp.]],$D1018,Imput[[PERIODO Imp.]:[PERIODO Imp.]],CY$9)</f>
        <v>0</v>
      </c>
      <c r="CZ1018" s="693">
        <f>SUMIFS(Imput[[Importe Neto]:[Importe Neto]],Imput[[C. Imp.]:[C. Imp.]],$D1018,Imput[[PERIODO Imp.]:[PERIODO Imp.]],CZ$9)</f>
        <v>0</v>
      </c>
      <c r="DA1018" s="693">
        <f>SUMIFS(Imput[[Importe Neto]:[Importe Neto]],Imput[[C. Imp.]:[C. Imp.]],$D1018,Imput[[PERIODO Imp.]:[PERIODO Imp.]],DA$9)</f>
        <v>0</v>
      </c>
      <c r="DB1018" s="693">
        <f>SUMIFS(Imput[[Importe Neto]:[Importe Neto]],Imput[[C. Imp.]:[C. Imp.]],$D1018,Imput[[PERIODO Imp.]:[PERIODO Imp.]],DB$9)</f>
        <v>0</v>
      </c>
      <c r="DC1018" s="693">
        <f>SUMIFS(Imput[[Importe Neto]:[Importe Neto]],Imput[[C. Imp.]:[C. Imp.]],$D1018,Imput[[PERIODO Imp.]:[PERIODO Imp.]],DC$9)</f>
        <v>0</v>
      </c>
      <c r="DD1018" s="693">
        <f>SUMIFS(Imput[[Importe Neto]:[Importe Neto]],Imput[[C. Imp.]:[C. Imp.]],$D1018,Imput[[PERIODO Imp.]:[PERIODO Imp.]],DD$9)</f>
        <v>0</v>
      </c>
      <c r="DE1018" s="693">
        <f>SUMIFS(Imput[[Importe Neto]:[Importe Neto]],Imput[[C. Imp.]:[C. Imp.]],$D1018,Imput[[PERIODO Imp.]:[PERIODO Imp.]],DE$9)</f>
        <v>0</v>
      </c>
      <c r="DF1018" s="693">
        <f>SUMIFS(Imput[[Importe Neto]:[Importe Neto]],Imput[[C. Imp.]:[C. Imp.]],$D1018,Imput[[PERIODO Imp.]:[PERIODO Imp.]],DF$9)</f>
        <v>0</v>
      </c>
      <c r="DG1018" s="693">
        <f>SUMIFS(Imput[[Importe Neto]:[Importe Neto]],Imput[[C. Imp.]:[C. Imp.]],$D1018,Imput[[PERIODO Imp.]:[PERIODO Imp.]],DG$9)</f>
        <v>0</v>
      </c>
      <c r="DH1018" s="694">
        <f>SUMIFS(Imput[[Importe Neto]:[Importe Neto]],Imput[[C. Imp.]:[C. Imp.]],$D1018,Imput[[PERIODO Imp.]:[PERIODO Imp.]],DH$9)</f>
        <v>0</v>
      </c>
    </row>
    <row r="1019" spans="1:112" s="649" customFormat="1" hidden="1" outlineLevel="1" x14ac:dyDescent="0.3">
      <c r="A1019" s="652" t="str">
        <f t="shared" si="354"/>
        <v/>
      </c>
      <c r="B1019" s="652"/>
      <c r="C1019" s="685"/>
      <c r="D1019" s="686"/>
      <c r="E1019" s="686"/>
      <c r="F1019" s="720"/>
      <c r="G1019" s="688"/>
      <c r="H1019" s="689"/>
      <c r="I1019" s="851" t="str">
        <f t="shared" si="355"/>
        <v/>
      </c>
      <c r="J1019" s="852" t="str">
        <f t="shared" si="356"/>
        <v/>
      </c>
      <c r="K1019" s="667"/>
      <c r="L1019" s="858">
        <v>0.04</v>
      </c>
      <c r="M1019" s="859">
        <v>0.04</v>
      </c>
      <c r="N1019" s="859">
        <v>0.04</v>
      </c>
      <c r="O1019" s="859">
        <v>0.04</v>
      </c>
      <c r="P1019" s="859">
        <v>0.04</v>
      </c>
      <c r="Q1019" s="859">
        <v>0.04</v>
      </c>
      <c r="R1019" s="859">
        <v>0.04</v>
      </c>
      <c r="S1019" s="859">
        <v>0.04</v>
      </c>
      <c r="T1019" s="859">
        <v>0.04</v>
      </c>
      <c r="U1019" s="859">
        <v>0.04</v>
      </c>
      <c r="V1019" s="859">
        <v>0.04</v>
      </c>
      <c r="W1019" s="859">
        <v>0.04</v>
      </c>
      <c r="X1019" s="859">
        <v>0.04</v>
      </c>
      <c r="Y1019" s="859">
        <v>0.04</v>
      </c>
      <c r="Z1019" s="860">
        <v>0.04</v>
      </c>
      <c r="AA1019" s="860">
        <v>0.04</v>
      </c>
      <c r="AB1019" s="860">
        <v>0.04</v>
      </c>
      <c r="AC1019" s="860">
        <v>0.04</v>
      </c>
      <c r="AD1019" s="860">
        <v>0.04</v>
      </c>
      <c r="AE1019" s="860">
        <v>0.04</v>
      </c>
      <c r="AF1019" s="860">
        <v>0.04</v>
      </c>
      <c r="AG1019" s="860">
        <v>0.04</v>
      </c>
      <c r="AH1019" s="860">
        <v>0.04</v>
      </c>
      <c r="AI1019" s="860">
        <v>0.04</v>
      </c>
      <c r="AJ1019" s="860">
        <v>0.04</v>
      </c>
      <c r="AK1019" s="860"/>
      <c r="AL1019" s="860"/>
      <c r="AM1019" s="860"/>
      <c r="AN1019" s="860"/>
      <c r="AO1019" s="860"/>
      <c r="AP1019" s="860"/>
      <c r="AQ1019" s="860"/>
      <c r="AR1019" s="860"/>
      <c r="AS1019" s="860"/>
      <c r="AT1019" s="860"/>
      <c r="AU1019" s="860"/>
      <c r="AV1019" s="860"/>
      <c r="AW1019" s="860"/>
      <c r="AX1019" s="860"/>
      <c r="AY1019" s="860"/>
      <c r="AZ1019" s="860"/>
      <c r="BA1019" s="860"/>
      <c r="BB1019" s="860"/>
      <c r="BC1019" s="860"/>
      <c r="BD1019" s="860"/>
      <c r="BE1019" s="860"/>
      <c r="BF1019" s="860"/>
      <c r="BG1019" s="860"/>
      <c r="BH1019" s="668"/>
      <c r="BI1019" s="667"/>
      <c r="BJ1019" s="690">
        <f t="shared" si="357"/>
        <v>0</v>
      </c>
      <c r="BK1019" s="691">
        <f t="shared" si="358"/>
        <v>0</v>
      </c>
      <c r="BL1019" s="654"/>
      <c r="BM1019" s="692">
        <f>SUMIFS(Imput[[Importe Neto]:[Importe Neto]],Imput[[C. Imp.]:[C. Imp.]],$D1019,Imput[[PERIODO Imp.]:[PERIODO Imp.]],BM$9)</f>
        <v>0</v>
      </c>
      <c r="BN1019" s="693">
        <f>SUMIFS(Imput[[Importe Neto]:[Importe Neto]],Imput[[C. Imp.]:[C. Imp.]],$D1019,Imput[[PERIODO Imp.]:[PERIODO Imp.]],BN$9)</f>
        <v>0</v>
      </c>
      <c r="BO1019" s="693">
        <f>SUMIFS(Imput[[Importe Neto]:[Importe Neto]],Imput[[C. Imp.]:[C. Imp.]],$D1019,Imput[[PERIODO Imp.]:[PERIODO Imp.]],BO$9)</f>
        <v>0</v>
      </c>
      <c r="BP1019" s="693">
        <f>SUMIFS(Imput[[Importe Neto]:[Importe Neto]],Imput[[C. Imp.]:[C. Imp.]],$D1019,Imput[[PERIODO Imp.]:[PERIODO Imp.]],BP$9)</f>
        <v>0</v>
      </c>
      <c r="BQ1019" s="693">
        <f>SUMIFS(Imput[[Importe Neto]:[Importe Neto]],Imput[[C. Imp.]:[C. Imp.]],$D1019,Imput[[PERIODO Imp.]:[PERIODO Imp.]],BQ$9)</f>
        <v>0</v>
      </c>
      <c r="BR1019" s="693">
        <f>SUMIFS(Imput[[Importe Neto]:[Importe Neto]],Imput[[C. Imp.]:[C. Imp.]],$D1019,Imput[[PERIODO Imp.]:[PERIODO Imp.]],BR$9)</f>
        <v>0</v>
      </c>
      <c r="BS1019" s="693">
        <f>SUMIFS(Imput[[Importe Neto]:[Importe Neto]],Imput[[C. Imp.]:[C. Imp.]],$D1019,Imput[[PERIODO Imp.]:[PERIODO Imp.]],BS$9)</f>
        <v>0</v>
      </c>
      <c r="BT1019" s="693">
        <f>SUMIFS(Imput[[Importe Neto]:[Importe Neto]],Imput[[C. Imp.]:[C. Imp.]],$D1019,Imput[[PERIODO Imp.]:[PERIODO Imp.]],BT$9)</f>
        <v>0</v>
      </c>
      <c r="BU1019" s="693">
        <f>SUMIFS(Imput[[Importe Neto]:[Importe Neto]],Imput[[C. Imp.]:[C. Imp.]],$D1019,Imput[[PERIODO Imp.]:[PERIODO Imp.]],BU$9)</f>
        <v>0</v>
      </c>
      <c r="BV1019" s="693">
        <f>SUMIFS(Imput[[Importe Neto]:[Importe Neto]],Imput[[C. Imp.]:[C. Imp.]],$D1019,Imput[[PERIODO Imp.]:[PERIODO Imp.]],BV$9)</f>
        <v>0</v>
      </c>
      <c r="BW1019" s="693">
        <f>SUMIFS(Imput[[Importe Neto]:[Importe Neto]],Imput[[C. Imp.]:[C. Imp.]],$D1019,Imput[[PERIODO Imp.]:[PERIODO Imp.]],BW$9)</f>
        <v>0</v>
      </c>
      <c r="BX1019" s="693">
        <f>SUMIFS(Imput[[Importe Neto]:[Importe Neto]],Imput[[C. Imp.]:[C. Imp.]],$D1019,Imput[[PERIODO Imp.]:[PERIODO Imp.]],BX$9)</f>
        <v>0</v>
      </c>
      <c r="BY1019" s="693">
        <f>SUMIFS(Imput[[Importe Neto]:[Importe Neto]],Imput[[C. Imp.]:[C. Imp.]],$D1019,Imput[[PERIODO Imp.]:[PERIODO Imp.]],BY$9)</f>
        <v>0</v>
      </c>
      <c r="BZ1019" s="693">
        <f>SUMIFS(Imput[[Importe Neto]:[Importe Neto]],Imput[[C. Imp.]:[C. Imp.]],$D1019,Imput[[PERIODO Imp.]:[PERIODO Imp.]],BZ$9)</f>
        <v>0</v>
      </c>
      <c r="CA1019" s="693">
        <f>SUMIFS(Imput[[Importe Neto]:[Importe Neto]],Imput[[C. Imp.]:[C. Imp.]],$D1019,Imput[[PERIODO Imp.]:[PERIODO Imp.]],CA$9)</f>
        <v>0</v>
      </c>
      <c r="CB1019" s="693">
        <f>SUMIFS(Imput[[Importe Neto]:[Importe Neto]],Imput[[C. Imp.]:[C. Imp.]],$D1019,Imput[[PERIODO Imp.]:[PERIODO Imp.]],CB$9)</f>
        <v>0</v>
      </c>
      <c r="CC1019" s="693">
        <f>SUMIFS(Imput[[Importe Neto]:[Importe Neto]],Imput[[C. Imp.]:[C. Imp.]],$D1019,Imput[[PERIODO Imp.]:[PERIODO Imp.]],CC$9)</f>
        <v>0</v>
      </c>
      <c r="CD1019" s="693">
        <f>SUMIFS(Imput[[Importe Neto]:[Importe Neto]],Imput[[C. Imp.]:[C. Imp.]],$D1019,Imput[[PERIODO Imp.]:[PERIODO Imp.]],CD$9)</f>
        <v>0</v>
      </c>
      <c r="CE1019" s="693">
        <f>SUMIFS(Imput[[Importe Neto]:[Importe Neto]],Imput[[C. Imp.]:[C. Imp.]],$D1019,Imput[[PERIODO Imp.]:[PERIODO Imp.]],CE$9)</f>
        <v>0</v>
      </c>
      <c r="CF1019" s="693">
        <f>SUMIFS(Imput[[Importe Neto]:[Importe Neto]],Imput[[C. Imp.]:[C. Imp.]],$D1019,Imput[[PERIODO Imp.]:[PERIODO Imp.]],CF$9)</f>
        <v>0</v>
      </c>
      <c r="CG1019" s="693">
        <f>SUMIFS(Imput[[Importe Neto]:[Importe Neto]],Imput[[C. Imp.]:[C. Imp.]],$D1019,Imput[[PERIODO Imp.]:[PERIODO Imp.]],CG$9)</f>
        <v>0</v>
      </c>
      <c r="CH1019" s="693">
        <f>SUMIFS(Imput[[Importe Neto]:[Importe Neto]],Imput[[C. Imp.]:[C. Imp.]],$D1019,Imput[[PERIODO Imp.]:[PERIODO Imp.]],CH$9)</f>
        <v>0</v>
      </c>
      <c r="CI1019" s="693">
        <f>SUMIFS(Imput[[Importe Neto]:[Importe Neto]],Imput[[C. Imp.]:[C. Imp.]],$D1019,Imput[[PERIODO Imp.]:[PERIODO Imp.]],CI$9)</f>
        <v>0</v>
      </c>
      <c r="CJ1019" s="693">
        <f>SUMIFS(Imput[[Importe Neto]:[Importe Neto]],Imput[[C. Imp.]:[C. Imp.]],$D1019,Imput[[PERIODO Imp.]:[PERIODO Imp.]],CJ$9)</f>
        <v>0</v>
      </c>
      <c r="CK1019" s="693">
        <f>SUMIFS(Imput[[Importe Neto]:[Importe Neto]],Imput[[C. Imp.]:[C. Imp.]],$D1019,Imput[[PERIODO Imp.]:[PERIODO Imp.]],CK$9)</f>
        <v>0</v>
      </c>
      <c r="CL1019" s="693">
        <f>SUMIFS(Imput[[Importe Neto]:[Importe Neto]],Imput[[C. Imp.]:[C. Imp.]],$D1019,Imput[[PERIODO Imp.]:[PERIODO Imp.]],CL$9)</f>
        <v>0</v>
      </c>
      <c r="CM1019" s="693">
        <f>SUMIFS(Imput[[Importe Neto]:[Importe Neto]],Imput[[C. Imp.]:[C. Imp.]],$D1019,Imput[[PERIODO Imp.]:[PERIODO Imp.]],CM$9)</f>
        <v>0</v>
      </c>
      <c r="CN1019" s="693">
        <f>SUMIFS(Imput[[Importe Neto]:[Importe Neto]],Imput[[C. Imp.]:[C. Imp.]],$D1019,Imput[[PERIODO Imp.]:[PERIODO Imp.]],CN$9)</f>
        <v>0</v>
      </c>
      <c r="CO1019" s="693">
        <f>SUMIFS(Imput[[Importe Neto]:[Importe Neto]],Imput[[C. Imp.]:[C. Imp.]],$D1019,Imput[[PERIODO Imp.]:[PERIODO Imp.]],CO$9)</f>
        <v>0</v>
      </c>
      <c r="CP1019" s="693">
        <f>SUMIFS(Imput[[Importe Neto]:[Importe Neto]],Imput[[C. Imp.]:[C. Imp.]],$D1019,Imput[[PERIODO Imp.]:[PERIODO Imp.]],CP$9)</f>
        <v>0</v>
      </c>
      <c r="CQ1019" s="693">
        <f>SUMIFS(Imput[[Importe Neto]:[Importe Neto]],Imput[[C. Imp.]:[C. Imp.]],$D1019,Imput[[PERIODO Imp.]:[PERIODO Imp.]],CQ$9)</f>
        <v>0</v>
      </c>
      <c r="CR1019" s="693">
        <f>SUMIFS(Imput[[Importe Neto]:[Importe Neto]],Imput[[C. Imp.]:[C. Imp.]],$D1019,Imput[[PERIODO Imp.]:[PERIODO Imp.]],CR$9)</f>
        <v>0</v>
      </c>
      <c r="CS1019" s="693">
        <f>SUMIFS(Imput[[Importe Neto]:[Importe Neto]],Imput[[C. Imp.]:[C. Imp.]],$D1019,Imput[[PERIODO Imp.]:[PERIODO Imp.]],CS$9)</f>
        <v>0</v>
      </c>
      <c r="CT1019" s="693">
        <f>SUMIFS(Imput[[Importe Neto]:[Importe Neto]],Imput[[C. Imp.]:[C. Imp.]],$D1019,Imput[[PERIODO Imp.]:[PERIODO Imp.]],CT$9)</f>
        <v>0</v>
      </c>
      <c r="CU1019" s="693">
        <f>SUMIFS(Imput[[Importe Neto]:[Importe Neto]],Imput[[C. Imp.]:[C. Imp.]],$D1019,Imput[[PERIODO Imp.]:[PERIODO Imp.]],CU$9)</f>
        <v>0</v>
      </c>
      <c r="CV1019" s="693">
        <f>SUMIFS(Imput[[Importe Neto]:[Importe Neto]],Imput[[C. Imp.]:[C. Imp.]],$D1019,Imput[[PERIODO Imp.]:[PERIODO Imp.]],CV$9)</f>
        <v>0</v>
      </c>
      <c r="CW1019" s="693">
        <f>SUMIFS(Imput[[Importe Neto]:[Importe Neto]],Imput[[C. Imp.]:[C. Imp.]],$D1019,Imput[[PERIODO Imp.]:[PERIODO Imp.]],CW$9)</f>
        <v>0</v>
      </c>
      <c r="CX1019" s="693">
        <f>SUMIFS(Imput[[Importe Neto]:[Importe Neto]],Imput[[C. Imp.]:[C. Imp.]],$D1019,Imput[[PERIODO Imp.]:[PERIODO Imp.]],CX$9)</f>
        <v>0</v>
      </c>
      <c r="CY1019" s="693">
        <f>SUMIFS(Imput[[Importe Neto]:[Importe Neto]],Imput[[C. Imp.]:[C. Imp.]],$D1019,Imput[[PERIODO Imp.]:[PERIODO Imp.]],CY$9)</f>
        <v>0</v>
      </c>
      <c r="CZ1019" s="693">
        <f>SUMIFS(Imput[[Importe Neto]:[Importe Neto]],Imput[[C. Imp.]:[C. Imp.]],$D1019,Imput[[PERIODO Imp.]:[PERIODO Imp.]],CZ$9)</f>
        <v>0</v>
      </c>
      <c r="DA1019" s="693">
        <f>SUMIFS(Imput[[Importe Neto]:[Importe Neto]],Imput[[C. Imp.]:[C. Imp.]],$D1019,Imput[[PERIODO Imp.]:[PERIODO Imp.]],DA$9)</f>
        <v>0</v>
      </c>
      <c r="DB1019" s="693">
        <f>SUMIFS(Imput[[Importe Neto]:[Importe Neto]],Imput[[C. Imp.]:[C. Imp.]],$D1019,Imput[[PERIODO Imp.]:[PERIODO Imp.]],DB$9)</f>
        <v>0</v>
      </c>
      <c r="DC1019" s="693">
        <f>SUMIFS(Imput[[Importe Neto]:[Importe Neto]],Imput[[C. Imp.]:[C. Imp.]],$D1019,Imput[[PERIODO Imp.]:[PERIODO Imp.]],DC$9)</f>
        <v>0</v>
      </c>
      <c r="DD1019" s="693">
        <f>SUMIFS(Imput[[Importe Neto]:[Importe Neto]],Imput[[C. Imp.]:[C. Imp.]],$D1019,Imput[[PERIODO Imp.]:[PERIODO Imp.]],DD$9)</f>
        <v>0</v>
      </c>
      <c r="DE1019" s="693">
        <f>SUMIFS(Imput[[Importe Neto]:[Importe Neto]],Imput[[C. Imp.]:[C. Imp.]],$D1019,Imput[[PERIODO Imp.]:[PERIODO Imp.]],DE$9)</f>
        <v>0</v>
      </c>
      <c r="DF1019" s="693">
        <f>SUMIFS(Imput[[Importe Neto]:[Importe Neto]],Imput[[C. Imp.]:[C. Imp.]],$D1019,Imput[[PERIODO Imp.]:[PERIODO Imp.]],DF$9)</f>
        <v>0</v>
      </c>
      <c r="DG1019" s="693">
        <f>SUMIFS(Imput[[Importe Neto]:[Importe Neto]],Imput[[C. Imp.]:[C. Imp.]],$D1019,Imput[[PERIODO Imp.]:[PERIODO Imp.]],DG$9)</f>
        <v>0</v>
      </c>
      <c r="DH1019" s="694">
        <f>SUMIFS(Imput[[Importe Neto]:[Importe Neto]],Imput[[C. Imp.]:[C. Imp.]],$D1019,Imput[[PERIODO Imp.]:[PERIODO Imp.]],DH$9)</f>
        <v>0</v>
      </c>
    </row>
    <row r="1020" spans="1:112" s="649" customFormat="1" hidden="1" outlineLevel="1" x14ac:dyDescent="0.3">
      <c r="A1020" s="652" t="str">
        <f t="shared" si="354"/>
        <v/>
      </c>
      <c r="B1020" s="652"/>
      <c r="C1020" s="685"/>
      <c r="D1020" s="686"/>
      <c r="E1020" s="686"/>
      <c r="F1020" s="720"/>
      <c r="G1020" s="688"/>
      <c r="H1020" s="689"/>
      <c r="I1020" s="851" t="str">
        <f t="shared" si="355"/>
        <v/>
      </c>
      <c r="J1020" s="852" t="str">
        <f t="shared" si="356"/>
        <v/>
      </c>
      <c r="K1020" s="667"/>
      <c r="L1020" s="858"/>
      <c r="M1020" s="859"/>
      <c r="N1020" s="859"/>
      <c r="O1020" s="859"/>
      <c r="P1020" s="859"/>
      <c r="Q1020" s="859"/>
      <c r="R1020" s="859"/>
      <c r="S1020" s="859"/>
      <c r="T1020" s="859"/>
      <c r="U1020" s="859"/>
      <c r="V1020" s="859"/>
      <c r="W1020" s="859"/>
      <c r="X1020" s="859"/>
      <c r="Y1020" s="859"/>
      <c r="Z1020" s="860"/>
      <c r="AA1020" s="860"/>
      <c r="AB1020" s="860"/>
      <c r="AC1020" s="860"/>
      <c r="AD1020" s="860"/>
      <c r="AE1020" s="860"/>
      <c r="AF1020" s="860"/>
      <c r="AG1020" s="860"/>
      <c r="AH1020" s="860"/>
      <c r="AI1020" s="860"/>
      <c r="AJ1020" s="860"/>
      <c r="AK1020" s="860"/>
      <c r="AL1020" s="860"/>
      <c r="AM1020" s="860"/>
      <c r="AN1020" s="860"/>
      <c r="AO1020" s="860"/>
      <c r="AP1020" s="860"/>
      <c r="AQ1020" s="860"/>
      <c r="AR1020" s="860"/>
      <c r="AS1020" s="860"/>
      <c r="AT1020" s="860"/>
      <c r="AU1020" s="860"/>
      <c r="AV1020" s="860"/>
      <c r="AW1020" s="860"/>
      <c r="AX1020" s="860"/>
      <c r="AY1020" s="860"/>
      <c r="AZ1020" s="860"/>
      <c r="BA1020" s="860"/>
      <c r="BB1020" s="860"/>
      <c r="BC1020" s="860"/>
      <c r="BD1020" s="860"/>
      <c r="BE1020" s="860"/>
      <c r="BF1020" s="860"/>
      <c r="BG1020" s="860"/>
      <c r="BH1020" s="668"/>
      <c r="BI1020" s="667"/>
      <c r="BJ1020" s="690">
        <f t="shared" si="357"/>
        <v>0</v>
      </c>
      <c r="BK1020" s="691">
        <f t="shared" si="358"/>
        <v>0</v>
      </c>
      <c r="BL1020" s="654"/>
      <c r="BM1020" s="692">
        <f>SUMIFS(Imput[[Importe Neto]:[Importe Neto]],Imput[[C. Imp.]:[C. Imp.]],$D1020,Imput[[PERIODO Imp.]:[PERIODO Imp.]],BM$9)</f>
        <v>0</v>
      </c>
      <c r="BN1020" s="693">
        <f>SUMIFS(Imput[[Importe Neto]:[Importe Neto]],Imput[[C. Imp.]:[C. Imp.]],$D1020,Imput[[PERIODO Imp.]:[PERIODO Imp.]],BN$9)</f>
        <v>0</v>
      </c>
      <c r="BO1020" s="693">
        <f>SUMIFS(Imput[[Importe Neto]:[Importe Neto]],Imput[[C. Imp.]:[C. Imp.]],$D1020,Imput[[PERIODO Imp.]:[PERIODO Imp.]],BO$9)</f>
        <v>0</v>
      </c>
      <c r="BP1020" s="693">
        <f>SUMIFS(Imput[[Importe Neto]:[Importe Neto]],Imput[[C. Imp.]:[C. Imp.]],$D1020,Imput[[PERIODO Imp.]:[PERIODO Imp.]],BP$9)</f>
        <v>0</v>
      </c>
      <c r="BQ1020" s="693">
        <f>SUMIFS(Imput[[Importe Neto]:[Importe Neto]],Imput[[C. Imp.]:[C. Imp.]],$D1020,Imput[[PERIODO Imp.]:[PERIODO Imp.]],BQ$9)</f>
        <v>0</v>
      </c>
      <c r="BR1020" s="693">
        <f>SUMIFS(Imput[[Importe Neto]:[Importe Neto]],Imput[[C. Imp.]:[C. Imp.]],$D1020,Imput[[PERIODO Imp.]:[PERIODO Imp.]],BR$9)</f>
        <v>0</v>
      </c>
      <c r="BS1020" s="693">
        <f>SUMIFS(Imput[[Importe Neto]:[Importe Neto]],Imput[[C. Imp.]:[C. Imp.]],$D1020,Imput[[PERIODO Imp.]:[PERIODO Imp.]],BS$9)</f>
        <v>0</v>
      </c>
      <c r="BT1020" s="693">
        <f>SUMIFS(Imput[[Importe Neto]:[Importe Neto]],Imput[[C. Imp.]:[C. Imp.]],$D1020,Imput[[PERIODO Imp.]:[PERIODO Imp.]],BT$9)</f>
        <v>0</v>
      </c>
      <c r="BU1020" s="693">
        <f>SUMIFS(Imput[[Importe Neto]:[Importe Neto]],Imput[[C. Imp.]:[C. Imp.]],$D1020,Imput[[PERIODO Imp.]:[PERIODO Imp.]],BU$9)</f>
        <v>0</v>
      </c>
      <c r="BV1020" s="693">
        <f>SUMIFS(Imput[[Importe Neto]:[Importe Neto]],Imput[[C. Imp.]:[C. Imp.]],$D1020,Imput[[PERIODO Imp.]:[PERIODO Imp.]],BV$9)</f>
        <v>0</v>
      </c>
      <c r="BW1020" s="693">
        <f>SUMIFS(Imput[[Importe Neto]:[Importe Neto]],Imput[[C. Imp.]:[C. Imp.]],$D1020,Imput[[PERIODO Imp.]:[PERIODO Imp.]],BW$9)</f>
        <v>0</v>
      </c>
      <c r="BX1020" s="693">
        <f>SUMIFS(Imput[[Importe Neto]:[Importe Neto]],Imput[[C. Imp.]:[C. Imp.]],$D1020,Imput[[PERIODO Imp.]:[PERIODO Imp.]],BX$9)</f>
        <v>0</v>
      </c>
      <c r="BY1020" s="693">
        <f>SUMIFS(Imput[[Importe Neto]:[Importe Neto]],Imput[[C. Imp.]:[C. Imp.]],$D1020,Imput[[PERIODO Imp.]:[PERIODO Imp.]],BY$9)</f>
        <v>0</v>
      </c>
      <c r="BZ1020" s="693">
        <f>SUMIFS(Imput[[Importe Neto]:[Importe Neto]],Imput[[C. Imp.]:[C. Imp.]],$D1020,Imput[[PERIODO Imp.]:[PERIODO Imp.]],BZ$9)</f>
        <v>0</v>
      </c>
      <c r="CA1020" s="693">
        <f>SUMIFS(Imput[[Importe Neto]:[Importe Neto]],Imput[[C. Imp.]:[C. Imp.]],$D1020,Imput[[PERIODO Imp.]:[PERIODO Imp.]],CA$9)</f>
        <v>0</v>
      </c>
      <c r="CB1020" s="693">
        <f>SUMIFS(Imput[[Importe Neto]:[Importe Neto]],Imput[[C. Imp.]:[C. Imp.]],$D1020,Imput[[PERIODO Imp.]:[PERIODO Imp.]],CB$9)</f>
        <v>0</v>
      </c>
      <c r="CC1020" s="693">
        <f>SUMIFS(Imput[[Importe Neto]:[Importe Neto]],Imput[[C. Imp.]:[C. Imp.]],$D1020,Imput[[PERIODO Imp.]:[PERIODO Imp.]],CC$9)</f>
        <v>0</v>
      </c>
      <c r="CD1020" s="693">
        <f>SUMIFS(Imput[[Importe Neto]:[Importe Neto]],Imput[[C. Imp.]:[C. Imp.]],$D1020,Imput[[PERIODO Imp.]:[PERIODO Imp.]],CD$9)</f>
        <v>0</v>
      </c>
      <c r="CE1020" s="693">
        <f>SUMIFS(Imput[[Importe Neto]:[Importe Neto]],Imput[[C. Imp.]:[C. Imp.]],$D1020,Imput[[PERIODO Imp.]:[PERIODO Imp.]],CE$9)</f>
        <v>0</v>
      </c>
      <c r="CF1020" s="693">
        <f>SUMIFS(Imput[[Importe Neto]:[Importe Neto]],Imput[[C. Imp.]:[C. Imp.]],$D1020,Imput[[PERIODO Imp.]:[PERIODO Imp.]],CF$9)</f>
        <v>0</v>
      </c>
      <c r="CG1020" s="693">
        <f>SUMIFS(Imput[[Importe Neto]:[Importe Neto]],Imput[[C. Imp.]:[C. Imp.]],$D1020,Imput[[PERIODO Imp.]:[PERIODO Imp.]],CG$9)</f>
        <v>0</v>
      </c>
      <c r="CH1020" s="693">
        <f>SUMIFS(Imput[[Importe Neto]:[Importe Neto]],Imput[[C. Imp.]:[C. Imp.]],$D1020,Imput[[PERIODO Imp.]:[PERIODO Imp.]],CH$9)</f>
        <v>0</v>
      </c>
      <c r="CI1020" s="693">
        <f>SUMIFS(Imput[[Importe Neto]:[Importe Neto]],Imput[[C. Imp.]:[C. Imp.]],$D1020,Imput[[PERIODO Imp.]:[PERIODO Imp.]],CI$9)</f>
        <v>0</v>
      </c>
      <c r="CJ1020" s="693">
        <f>SUMIFS(Imput[[Importe Neto]:[Importe Neto]],Imput[[C. Imp.]:[C. Imp.]],$D1020,Imput[[PERIODO Imp.]:[PERIODO Imp.]],CJ$9)</f>
        <v>0</v>
      </c>
      <c r="CK1020" s="693">
        <f>SUMIFS(Imput[[Importe Neto]:[Importe Neto]],Imput[[C. Imp.]:[C. Imp.]],$D1020,Imput[[PERIODO Imp.]:[PERIODO Imp.]],CK$9)</f>
        <v>0</v>
      </c>
      <c r="CL1020" s="693">
        <f>SUMIFS(Imput[[Importe Neto]:[Importe Neto]],Imput[[C. Imp.]:[C. Imp.]],$D1020,Imput[[PERIODO Imp.]:[PERIODO Imp.]],CL$9)</f>
        <v>0</v>
      </c>
      <c r="CM1020" s="693">
        <f>SUMIFS(Imput[[Importe Neto]:[Importe Neto]],Imput[[C. Imp.]:[C. Imp.]],$D1020,Imput[[PERIODO Imp.]:[PERIODO Imp.]],CM$9)</f>
        <v>0</v>
      </c>
      <c r="CN1020" s="693">
        <f>SUMIFS(Imput[[Importe Neto]:[Importe Neto]],Imput[[C. Imp.]:[C. Imp.]],$D1020,Imput[[PERIODO Imp.]:[PERIODO Imp.]],CN$9)</f>
        <v>0</v>
      </c>
      <c r="CO1020" s="693">
        <f>SUMIFS(Imput[[Importe Neto]:[Importe Neto]],Imput[[C. Imp.]:[C. Imp.]],$D1020,Imput[[PERIODO Imp.]:[PERIODO Imp.]],CO$9)</f>
        <v>0</v>
      </c>
      <c r="CP1020" s="693">
        <f>SUMIFS(Imput[[Importe Neto]:[Importe Neto]],Imput[[C. Imp.]:[C. Imp.]],$D1020,Imput[[PERIODO Imp.]:[PERIODO Imp.]],CP$9)</f>
        <v>0</v>
      </c>
      <c r="CQ1020" s="693">
        <f>SUMIFS(Imput[[Importe Neto]:[Importe Neto]],Imput[[C. Imp.]:[C. Imp.]],$D1020,Imput[[PERIODO Imp.]:[PERIODO Imp.]],CQ$9)</f>
        <v>0</v>
      </c>
      <c r="CR1020" s="693">
        <f>SUMIFS(Imput[[Importe Neto]:[Importe Neto]],Imput[[C. Imp.]:[C. Imp.]],$D1020,Imput[[PERIODO Imp.]:[PERIODO Imp.]],CR$9)</f>
        <v>0</v>
      </c>
      <c r="CS1020" s="693">
        <f>SUMIFS(Imput[[Importe Neto]:[Importe Neto]],Imput[[C. Imp.]:[C. Imp.]],$D1020,Imput[[PERIODO Imp.]:[PERIODO Imp.]],CS$9)</f>
        <v>0</v>
      </c>
      <c r="CT1020" s="693">
        <f>SUMIFS(Imput[[Importe Neto]:[Importe Neto]],Imput[[C. Imp.]:[C. Imp.]],$D1020,Imput[[PERIODO Imp.]:[PERIODO Imp.]],CT$9)</f>
        <v>0</v>
      </c>
      <c r="CU1020" s="693">
        <f>SUMIFS(Imput[[Importe Neto]:[Importe Neto]],Imput[[C. Imp.]:[C. Imp.]],$D1020,Imput[[PERIODO Imp.]:[PERIODO Imp.]],CU$9)</f>
        <v>0</v>
      </c>
      <c r="CV1020" s="693">
        <f>SUMIFS(Imput[[Importe Neto]:[Importe Neto]],Imput[[C. Imp.]:[C. Imp.]],$D1020,Imput[[PERIODO Imp.]:[PERIODO Imp.]],CV$9)</f>
        <v>0</v>
      </c>
      <c r="CW1020" s="693">
        <f>SUMIFS(Imput[[Importe Neto]:[Importe Neto]],Imput[[C. Imp.]:[C. Imp.]],$D1020,Imput[[PERIODO Imp.]:[PERIODO Imp.]],CW$9)</f>
        <v>0</v>
      </c>
      <c r="CX1020" s="693">
        <f>SUMIFS(Imput[[Importe Neto]:[Importe Neto]],Imput[[C. Imp.]:[C. Imp.]],$D1020,Imput[[PERIODO Imp.]:[PERIODO Imp.]],CX$9)</f>
        <v>0</v>
      </c>
      <c r="CY1020" s="693">
        <f>SUMIFS(Imput[[Importe Neto]:[Importe Neto]],Imput[[C. Imp.]:[C. Imp.]],$D1020,Imput[[PERIODO Imp.]:[PERIODO Imp.]],CY$9)</f>
        <v>0</v>
      </c>
      <c r="CZ1020" s="693">
        <f>SUMIFS(Imput[[Importe Neto]:[Importe Neto]],Imput[[C. Imp.]:[C. Imp.]],$D1020,Imput[[PERIODO Imp.]:[PERIODO Imp.]],CZ$9)</f>
        <v>0</v>
      </c>
      <c r="DA1020" s="693">
        <f>SUMIFS(Imput[[Importe Neto]:[Importe Neto]],Imput[[C. Imp.]:[C. Imp.]],$D1020,Imput[[PERIODO Imp.]:[PERIODO Imp.]],DA$9)</f>
        <v>0</v>
      </c>
      <c r="DB1020" s="693">
        <f>SUMIFS(Imput[[Importe Neto]:[Importe Neto]],Imput[[C. Imp.]:[C. Imp.]],$D1020,Imput[[PERIODO Imp.]:[PERIODO Imp.]],DB$9)</f>
        <v>0</v>
      </c>
      <c r="DC1020" s="693">
        <f>SUMIFS(Imput[[Importe Neto]:[Importe Neto]],Imput[[C. Imp.]:[C. Imp.]],$D1020,Imput[[PERIODO Imp.]:[PERIODO Imp.]],DC$9)</f>
        <v>0</v>
      </c>
      <c r="DD1020" s="693">
        <f>SUMIFS(Imput[[Importe Neto]:[Importe Neto]],Imput[[C. Imp.]:[C. Imp.]],$D1020,Imput[[PERIODO Imp.]:[PERIODO Imp.]],DD$9)</f>
        <v>0</v>
      </c>
      <c r="DE1020" s="693">
        <f>SUMIFS(Imput[[Importe Neto]:[Importe Neto]],Imput[[C. Imp.]:[C. Imp.]],$D1020,Imput[[PERIODO Imp.]:[PERIODO Imp.]],DE$9)</f>
        <v>0</v>
      </c>
      <c r="DF1020" s="693">
        <f>SUMIFS(Imput[[Importe Neto]:[Importe Neto]],Imput[[C. Imp.]:[C. Imp.]],$D1020,Imput[[PERIODO Imp.]:[PERIODO Imp.]],DF$9)</f>
        <v>0</v>
      </c>
      <c r="DG1020" s="693">
        <f>SUMIFS(Imput[[Importe Neto]:[Importe Neto]],Imput[[C. Imp.]:[C. Imp.]],$D1020,Imput[[PERIODO Imp.]:[PERIODO Imp.]],DG$9)</f>
        <v>0</v>
      </c>
      <c r="DH1020" s="694">
        <f>SUMIFS(Imput[[Importe Neto]:[Importe Neto]],Imput[[C. Imp.]:[C. Imp.]],$D1020,Imput[[PERIODO Imp.]:[PERIODO Imp.]],DH$9)</f>
        <v>0</v>
      </c>
    </row>
    <row r="1021" spans="1:112" s="649" customFormat="1" hidden="1" outlineLevel="1" x14ac:dyDescent="0.3">
      <c r="A1021" s="652" t="str">
        <f t="shared" si="354"/>
        <v/>
      </c>
      <c r="B1021" s="652"/>
      <c r="C1021" s="685"/>
      <c r="D1021" s="686"/>
      <c r="E1021" s="686"/>
      <c r="F1021" s="720"/>
      <c r="G1021" s="688"/>
      <c r="H1021" s="689"/>
      <c r="I1021" s="851" t="str">
        <f t="shared" si="355"/>
        <v/>
      </c>
      <c r="J1021" s="852" t="str">
        <f t="shared" si="356"/>
        <v/>
      </c>
      <c r="K1021" s="667"/>
      <c r="L1021" s="858"/>
      <c r="M1021" s="859"/>
      <c r="N1021" s="859"/>
      <c r="O1021" s="859"/>
      <c r="P1021" s="859"/>
      <c r="Q1021" s="859"/>
      <c r="R1021" s="859"/>
      <c r="S1021" s="859"/>
      <c r="T1021" s="859"/>
      <c r="U1021" s="859"/>
      <c r="V1021" s="859"/>
      <c r="W1021" s="859"/>
      <c r="X1021" s="859"/>
      <c r="Y1021" s="859"/>
      <c r="Z1021" s="860"/>
      <c r="AA1021" s="860"/>
      <c r="AB1021" s="860"/>
      <c r="AC1021" s="860"/>
      <c r="AD1021" s="860"/>
      <c r="AE1021" s="860"/>
      <c r="AF1021" s="860"/>
      <c r="AG1021" s="860"/>
      <c r="AH1021" s="860"/>
      <c r="AI1021" s="860"/>
      <c r="AJ1021" s="860"/>
      <c r="AK1021" s="860"/>
      <c r="AL1021" s="860"/>
      <c r="AM1021" s="860"/>
      <c r="AN1021" s="860"/>
      <c r="AO1021" s="860"/>
      <c r="AP1021" s="860"/>
      <c r="AQ1021" s="860"/>
      <c r="AR1021" s="860"/>
      <c r="AS1021" s="860"/>
      <c r="AT1021" s="860"/>
      <c r="AU1021" s="860"/>
      <c r="AV1021" s="860"/>
      <c r="AW1021" s="860"/>
      <c r="AX1021" s="860"/>
      <c r="AY1021" s="860"/>
      <c r="AZ1021" s="860"/>
      <c r="BA1021" s="860"/>
      <c r="BB1021" s="860"/>
      <c r="BC1021" s="860"/>
      <c r="BD1021" s="860"/>
      <c r="BE1021" s="860"/>
      <c r="BF1021" s="860"/>
      <c r="BG1021" s="860"/>
      <c r="BH1021" s="668"/>
      <c r="BI1021" s="667"/>
      <c r="BJ1021" s="690">
        <f t="shared" si="357"/>
        <v>0</v>
      </c>
      <c r="BK1021" s="691">
        <f t="shared" si="358"/>
        <v>0</v>
      </c>
      <c r="BL1021" s="654"/>
      <c r="BM1021" s="692">
        <f>SUMIFS(Imput[[Importe Neto]:[Importe Neto]],Imput[[C. Imp.]:[C. Imp.]],$D1021,Imput[[PERIODO Imp.]:[PERIODO Imp.]],BM$9)</f>
        <v>0</v>
      </c>
      <c r="BN1021" s="693">
        <f>SUMIFS(Imput[[Importe Neto]:[Importe Neto]],Imput[[C. Imp.]:[C. Imp.]],$D1021,Imput[[PERIODO Imp.]:[PERIODO Imp.]],BN$9)</f>
        <v>0</v>
      </c>
      <c r="BO1021" s="693">
        <f>SUMIFS(Imput[[Importe Neto]:[Importe Neto]],Imput[[C. Imp.]:[C. Imp.]],$D1021,Imput[[PERIODO Imp.]:[PERIODO Imp.]],BO$9)</f>
        <v>0</v>
      </c>
      <c r="BP1021" s="693">
        <f>SUMIFS(Imput[[Importe Neto]:[Importe Neto]],Imput[[C. Imp.]:[C. Imp.]],$D1021,Imput[[PERIODO Imp.]:[PERIODO Imp.]],BP$9)</f>
        <v>0</v>
      </c>
      <c r="BQ1021" s="693">
        <f>SUMIFS(Imput[[Importe Neto]:[Importe Neto]],Imput[[C. Imp.]:[C. Imp.]],$D1021,Imput[[PERIODO Imp.]:[PERIODO Imp.]],BQ$9)</f>
        <v>0</v>
      </c>
      <c r="BR1021" s="693">
        <f>SUMIFS(Imput[[Importe Neto]:[Importe Neto]],Imput[[C. Imp.]:[C. Imp.]],$D1021,Imput[[PERIODO Imp.]:[PERIODO Imp.]],BR$9)</f>
        <v>0</v>
      </c>
      <c r="BS1021" s="693">
        <f>SUMIFS(Imput[[Importe Neto]:[Importe Neto]],Imput[[C. Imp.]:[C. Imp.]],$D1021,Imput[[PERIODO Imp.]:[PERIODO Imp.]],BS$9)</f>
        <v>0</v>
      </c>
      <c r="BT1021" s="693">
        <f>SUMIFS(Imput[[Importe Neto]:[Importe Neto]],Imput[[C. Imp.]:[C. Imp.]],$D1021,Imput[[PERIODO Imp.]:[PERIODO Imp.]],BT$9)</f>
        <v>0</v>
      </c>
      <c r="BU1021" s="693">
        <f>SUMIFS(Imput[[Importe Neto]:[Importe Neto]],Imput[[C. Imp.]:[C. Imp.]],$D1021,Imput[[PERIODO Imp.]:[PERIODO Imp.]],BU$9)</f>
        <v>0</v>
      </c>
      <c r="BV1021" s="693">
        <f>SUMIFS(Imput[[Importe Neto]:[Importe Neto]],Imput[[C. Imp.]:[C. Imp.]],$D1021,Imput[[PERIODO Imp.]:[PERIODO Imp.]],BV$9)</f>
        <v>0</v>
      </c>
      <c r="BW1021" s="693">
        <f>SUMIFS(Imput[[Importe Neto]:[Importe Neto]],Imput[[C. Imp.]:[C. Imp.]],$D1021,Imput[[PERIODO Imp.]:[PERIODO Imp.]],BW$9)</f>
        <v>0</v>
      </c>
      <c r="BX1021" s="693">
        <f>SUMIFS(Imput[[Importe Neto]:[Importe Neto]],Imput[[C. Imp.]:[C. Imp.]],$D1021,Imput[[PERIODO Imp.]:[PERIODO Imp.]],BX$9)</f>
        <v>0</v>
      </c>
      <c r="BY1021" s="693">
        <f>SUMIFS(Imput[[Importe Neto]:[Importe Neto]],Imput[[C. Imp.]:[C. Imp.]],$D1021,Imput[[PERIODO Imp.]:[PERIODO Imp.]],BY$9)</f>
        <v>0</v>
      </c>
      <c r="BZ1021" s="693">
        <f>SUMIFS(Imput[[Importe Neto]:[Importe Neto]],Imput[[C. Imp.]:[C. Imp.]],$D1021,Imput[[PERIODO Imp.]:[PERIODO Imp.]],BZ$9)</f>
        <v>0</v>
      </c>
      <c r="CA1021" s="693">
        <f>SUMIFS(Imput[[Importe Neto]:[Importe Neto]],Imput[[C. Imp.]:[C. Imp.]],$D1021,Imput[[PERIODO Imp.]:[PERIODO Imp.]],CA$9)</f>
        <v>0</v>
      </c>
      <c r="CB1021" s="693">
        <f>SUMIFS(Imput[[Importe Neto]:[Importe Neto]],Imput[[C. Imp.]:[C. Imp.]],$D1021,Imput[[PERIODO Imp.]:[PERIODO Imp.]],CB$9)</f>
        <v>0</v>
      </c>
      <c r="CC1021" s="693">
        <f>SUMIFS(Imput[[Importe Neto]:[Importe Neto]],Imput[[C. Imp.]:[C. Imp.]],$D1021,Imput[[PERIODO Imp.]:[PERIODO Imp.]],CC$9)</f>
        <v>0</v>
      </c>
      <c r="CD1021" s="693">
        <f>SUMIFS(Imput[[Importe Neto]:[Importe Neto]],Imput[[C. Imp.]:[C. Imp.]],$D1021,Imput[[PERIODO Imp.]:[PERIODO Imp.]],CD$9)</f>
        <v>0</v>
      </c>
      <c r="CE1021" s="693">
        <f>SUMIFS(Imput[[Importe Neto]:[Importe Neto]],Imput[[C. Imp.]:[C. Imp.]],$D1021,Imput[[PERIODO Imp.]:[PERIODO Imp.]],CE$9)</f>
        <v>0</v>
      </c>
      <c r="CF1021" s="693">
        <f>SUMIFS(Imput[[Importe Neto]:[Importe Neto]],Imput[[C. Imp.]:[C. Imp.]],$D1021,Imput[[PERIODO Imp.]:[PERIODO Imp.]],CF$9)</f>
        <v>0</v>
      </c>
      <c r="CG1021" s="693">
        <f>SUMIFS(Imput[[Importe Neto]:[Importe Neto]],Imput[[C. Imp.]:[C. Imp.]],$D1021,Imput[[PERIODO Imp.]:[PERIODO Imp.]],CG$9)</f>
        <v>0</v>
      </c>
      <c r="CH1021" s="693">
        <f>SUMIFS(Imput[[Importe Neto]:[Importe Neto]],Imput[[C. Imp.]:[C. Imp.]],$D1021,Imput[[PERIODO Imp.]:[PERIODO Imp.]],CH$9)</f>
        <v>0</v>
      </c>
      <c r="CI1021" s="693">
        <f>SUMIFS(Imput[[Importe Neto]:[Importe Neto]],Imput[[C. Imp.]:[C. Imp.]],$D1021,Imput[[PERIODO Imp.]:[PERIODO Imp.]],CI$9)</f>
        <v>0</v>
      </c>
      <c r="CJ1021" s="693">
        <f>SUMIFS(Imput[[Importe Neto]:[Importe Neto]],Imput[[C. Imp.]:[C. Imp.]],$D1021,Imput[[PERIODO Imp.]:[PERIODO Imp.]],CJ$9)</f>
        <v>0</v>
      </c>
      <c r="CK1021" s="693">
        <f>SUMIFS(Imput[[Importe Neto]:[Importe Neto]],Imput[[C. Imp.]:[C. Imp.]],$D1021,Imput[[PERIODO Imp.]:[PERIODO Imp.]],CK$9)</f>
        <v>0</v>
      </c>
      <c r="CL1021" s="693">
        <f>SUMIFS(Imput[[Importe Neto]:[Importe Neto]],Imput[[C. Imp.]:[C. Imp.]],$D1021,Imput[[PERIODO Imp.]:[PERIODO Imp.]],CL$9)</f>
        <v>0</v>
      </c>
      <c r="CM1021" s="693">
        <f>SUMIFS(Imput[[Importe Neto]:[Importe Neto]],Imput[[C. Imp.]:[C. Imp.]],$D1021,Imput[[PERIODO Imp.]:[PERIODO Imp.]],CM$9)</f>
        <v>0</v>
      </c>
      <c r="CN1021" s="693">
        <f>SUMIFS(Imput[[Importe Neto]:[Importe Neto]],Imput[[C. Imp.]:[C. Imp.]],$D1021,Imput[[PERIODO Imp.]:[PERIODO Imp.]],CN$9)</f>
        <v>0</v>
      </c>
      <c r="CO1021" s="693">
        <f>SUMIFS(Imput[[Importe Neto]:[Importe Neto]],Imput[[C. Imp.]:[C. Imp.]],$D1021,Imput[[PERIODO Imp.]:[PERIODO Imp.]],CO$9)</f>
        <v>0</v>
      </c>
      <c r="CP1021" s="693">
        <f>SUMIFS(Imput[[Importe Neto]:[Importe Neto]],Imput[[C. Imp.]:[C. Imp.]],$D1021,Imput[[PERIODO Imp.]:[PERIODO Imp.]],CP$9)</f>
        <v>0</v>
      </c>
      <c r="CQ1021" s="693">
        <f>SUMIFS(Imput[[Importe Neto]:[Importe Neto]],Imput[[C. Imp.]:[C. Imp.]],$D1021,Imput[[PERIODO Imp.]:[PERIODO Imp.]],CQ$9)</f>
        <v>0</v>
      </c>
      <c r="CR1021" s="693">
        <f>SUMIFS(Imput[[Importe Neto]:[Importe Neto]],Imput[[C. Imp.]:[C. Imp.]],$D1021,Imput[[PERIODO Imp.]:[PERIODO Imp.]],CR$9)</f>
        <v>0</v>
      </c>
      <c r="CS1021" s="693">
        <f>SUMIFS(Imput[[Importe Neto]:[Importe Neto]],Imput[[C. Imp.]:[C. Imp.]],$D1021,Imput[[PERIODO Imp.]:[PERIODO Imp.]],CS$9)</f>
        <v>0</v>
      </c>
      <c r="CT1021" s="693">
        <f>SUMIFS(Imput[[Importe Neto]:[Importe Neto]],Imput[[C. Imp.]:[C. Imp.]],$D1021,Imput[[PERIODO Imp.]:[PERIODO Imp.]],CT$9)</f>
        <v>0</v>
      </c>
      <c r="CU1021" s="693">
        <f>SUMIFS(Imput[[Importe Neto]:[Importe Neto]],Imput[[C. Imp.]:[C. Imp.]],$D1021,Imput[[PERIODO Imp.]:[PERIODO Imp.]],CU$9)</f>
        <v>0</v>
      </c>
      <c r="CV1021" s="693">
        <f>SUMIFS(Imput[[Importe Neto]:[Importe Neto]],Imput[[C. Imp.]:[C. Imp.]],$D1021,Imput[[PERIODO Imp.]:[PERIODO Imp.]],CV$9)</f>
        <v>0</v>
      </c>
      <c r="CW1021" s="693">
        <f>SUMIFS(Imput[[Importe Neto]:[Importe Neto]],Imput[[C. Imp.]:[C. Imp.]],$D1021,Imput[[PERIODO Imp.]:[PERIODO Imp.]],CW$9)</f>
        <v>0</v>
      </c>
      <c r="CX1021" s="693">
        <f>SUMIFS(Imput[[Importe Neto]:[Importe Neto]],Imput[[C. Imp.]:[C. Imp.]],$D1021,Imput[[PERIODO Imp.]:[PERIODO Imp.]],CX$9)</f>
        <v>0</v>
      </c>
      <c r="CY1021" s="693">
        <f>SUMIFS(Imput[[Importe Neto]:[Importe Neto]],Imput[[C. Imp.]:[C. Imp.]],$D1021,Imput[[PERIODO Imp.]:[PERIODO Imp.]],CY$9)</f>
        <v>0</v>
      </c>
      <c r="CZ1021" s="693">
        <f>SUMIFS(Imput[[Importe Neto]:[Importe Neto]],Imput[[C. Imp.]:[C. Imp.]],$D1021,Imput[[PERIODO Imp.]:[PERIODO Imp.]],CZ$9)</f>
        <v>0</v>
      </c>
      <c r="DA1021" s="693">
        <f>SUMIFS(Imput[[Importe Neto]:[Importe Neto]],Imput[[C. Imp.]:[C. Imp.]],$D1021,Imput[[PERIODO Imp.]:[PERIODO Imp.]],DA$9)</f>
        <v>0</v>
      </c>
      <c r="DB1021" s="693">
        <f>SUMIFS(Imput[[Importe Neto]:[Importe Neto]],Imput[[C. Imp.]:[C. Imp.]],$D1021,Imput[[PERIODO Imp.]:[PERIODO Imp.]],DB$9)</f>
        <v>0</v>
      </c>
      <c r="DC1021" s="693">
        <f>SUMIFS(Imput[[Importe Neto]:[Importe Neto]],Imput[[C. Imp.]:[C. Imp.]],$D1021,Imput[[PERIODO Imp.]:[PERIODO Imp.]],DC$9)</f>
        <v>0</v>
      </c>
      <c r="DD1021" s="693">
        <f>SUMIFS(Imput[[Importe Neto]:[Importe Neto]],Imput[[C. Imp.]:[C. Imp.]],$D1021,Imput[[PERIODO Imp.]:[PERIODO Imp.]],DD$9)</f>
        <v>0</v>
      </c>
      <c r="DE1021" s="693">
        <f>SUMIFS(Imput[[Importe Neto]:[Importe Neto]],Imput[[C. Imp.]:[C. Imp.]],$D1021,Imput[[PERIODO Imp.]:[PERIODO Imp.]],DE$9)</f>
        <v>0</v>
      </c>
      <c r="DF1021" s="693">
        <f>SUMIFS(Imput[[Importe Neto]:[Importe Neto]],Imput[[C. Imp.]:[C. Imp.]],$D1021,Imput[[PERIODO Imp.]:[PERIODO Imp.]],DF$9)</f>
        <v>0</v>
      </c>
      <c r="DG1021" s="693">
        <f>SUMIFS(Imput[[Importe Neto]:[Importe Neto]],Imput[[C. Imp.]:[C. Imp.]],$D1021,Imput[[PERIODO Imp.]:[PERIODO Imp.]],DG$9)</f>
        <v>0</v>
      </c>
      <c r="DH1021" s="694">
        <f>SUMIFS(Imput[[Importe Neto]:[Importe Neto]],Imput[[C. Imp.]:[C. Imp.]],$D1021,Imput[[PERIODO Imp.]:[PERIODO Imp.]],DH$9)</f>
        <v>0</v>
      </c>
    </row>
    <row r="1022" spans="1:112" s="649" customFormat="1" hidden="1" outlineLevel="1" x14ac:dyDescent="0.3">
      <c r="A1022" s="652" t="str">
        <f t="shared" si="354"/>
        <v/>
      </c>
      <c r="B1022" s="652"/>
      <c r="C1022" s="685"/>
      <c r="D1022" s="686"/>
      <c r="E1022" s="686"/>
      <c r="F1022" s="720"/>
      <c r="G1022" s="688"/>
      <c r="H1022" s="689"/>
      <c r="I1022" s="851" t="str">
        <f t="shared" si="355"/>
        <v/>
      </c>
      <c r="J1022" s="850" t="str">
        <f t="shared" si="356"/>
        <v/>
      </c>
      <c r="K1022" s="667"/>
      <c r="L1022" s="858"/>
      <c r="M1022" s="859"/>
      <c r="N1022" s="859"/>
      <c r="O1022" s="859"/>
      <c r="P1022" s="859"/>
      <c r="Q1022" s="859"/>
      <c r="R1022" s="859"/>
      <c r="S1022" s="859"/>
      <c r="T1022" s="859"/>
      <c r="U1022" s="859"/>
      <c r="V1022" s="859"/>
      <c r="W1022" s="859"/>
      <c r="X1022" s="859"/>
      <c r="Y1022" s="859"/>
      <c r="Z1022" s="860"/>
      <c r="AA1022" s="860"/>
      <c r="AB1022" s="860"/>
      <c r="AC1022" s="860"/>
      <c r="AD1022" s="860"/>
      <c r="AE1022" s="860"/>
      <c r="AF1022" s="860"/>
      <c r="AG1022" s="860"/>
      <c r="AH1022" s="860"/>
      <c r="AI1022" s="860"/>
      <c r="AJ1022" s="860"/>
      <c r="AK1022" s="860"/>
      <c r="AL1022" s="860"/>
      <c r="AM1022" s="860"/>
      <c r="AN1022" s="860"/>
      <c r="AO1022" s="860"/>
      <c r="AP1022" s="860"/>
      <c r="AQ1022" s="860"/>
      <c r="AR1022" s="860"/>
      <c r="AS1022" s="860"/>
      <c r="AT1022" s="860"/>
      <c r="AU1022" s="860"/>
      <c r="AV1022" s="860"/>
      <c r="AW1022" s="860"/>
      <c r="AX1022" s="860"/>
      <c r="AY1022" s="860"/>
      <c r="AZ1022" s="860"/>
      <c r="BA1022" s="860"/>
      <c r="BB1022" s="860"/>
      <c r="BC1022" s="860"/>
      <c r="BD1022" s="860"/>
      <c r="BE1022" s="860"/>
      <c r="BF1022" s="860"/>
      <c r="BG1022" s="860"/>
      <c r="BH1022" s="668"/>
      <c r="BI1022" s="667"/>
      <c r="BJ1022" s="690">
        <f t="shared" si="357"/>
        <v>0</v>
      </c>
      <c r="BK1022" s="691">
        <f t="shared" si="358"/>
        <v>0</v>
      </c>
      <c r="BL1022" s="654"/>
      <c r="BM1022" s="692">
        <f>SUMIFS(Imput[[Importe Neto]:[Importe Neto]],Imput[[C. Imp.]:[C. Imp.]],$D1022,Imput[[PERIODO Imp.]:[PERIODO Imp.]],BM$9)</f>
        <v>0</v>
      </c>
      <c r="BN1022" s="693">
        <f>SUMIFS(Imput[[Importe Neto]:[Importe Neto]],Imput[[C. Imp.]:[C. Imp.]],$D1022,Imput[[PERIODO Imp.]:[PERIODO Imp.]],BN$9)</f>
        <v>0</v>
      </c>
      <c r="BO1022" s="693">
        <f>SUMIFS(Imput[[Importe Neto]:[Importe Neto]],Imput[[C. Imp.]:[C. Imp.]],$D1022,Imput[[PERIODO Imp.]:[PERIODO Imp.]],BO$9)</f>
        <v>0</v>
      </c>
      <c r="BP1022" s="693">
        <f>SUMIFS(Imput[[Importe Neto]:[Importe Neto]],Imput[[C. Imp.]:[C. Imp.]],$D1022,Imput[[PERIODO Imp.]:[PERIODO Imp.]],BP$9)</f>
        <v>0</v>
      </c>
      <c r="BQ1022" s="693">
        <f>SUMIFS(Imput[[Importe Neto]:[Importe Neto]],Imput[[C. Imp.]:[C. Imp.]],$D1022,Imput[[PERIODO Imp.]:[PERIODO Imp.]],BQ$9)</f>
        <v>0</v>
      </c>
      <c r="BR1022" s="693">
        <f>SUMIFS(Imput[[Importe Neto]:[Importe Neto]],Imput[[C. Imp.]:[C. Imp.]],$D1022,Imput[[PERIODO Imp.]:[PERIODO Imp.]],BR$9)</f>
        <v>0</v>
      </c>
      <c r="BS1022" s="693">
        <f>SUMIFS(Imput[[Importe Neto]:[Importe Neto]],Imput[[C. Imp.]:[C. Imp.]],$D1022,Imput[[PERIODO Imp.]:[PERIODO Imp.]],BS$9)</f>
        <v>0</v>
      </c>
      <c r="BT1022" s="693">
        <f>SUMIFS(Imput[[Importe Neto]:[Importe Neto]],Imput[[C. Imp.]:[C. Imp.]],$D1022,Imput[[PERIODO Imp.]:[PERIODO Imp.]],BT$9)</f>
        <v>0</v>
      </c>
      <c r="BU1022" s="693">
        <f>SUMIFS(Imput[[Importe Neto]:[Importe Neto]],Imput[[C. Imp.]:[C. Imp.]],$D1022,Imput[[PERIODO Imp.]:[PERIODO Imp.]],BU$9)</f>
        <v>0</v>
      </c>
      <c r="BV1022" s="693">
        <f>SUMIFS(Imput[[Importe Neto]:[Importe Neto]],Imput[[C. Imp.]:[C. Imp.]],$D1022,Imput[[PERIODO Imp.]:[PERIODO Imp.]],BV$9)</f>
        <v>0</v>
      </c>
      <c r="BW1022" s="693">
        <f>SUMIFS(Imput[[Importe Neto]:[Importe Neto]],Imput[[C. Imp.]:[C. Imp.]],$D1022,Imput[[PERIODO Imp.]:[PERIODO Imp.]],BW$9)</f>
        <v>0</v>
      </c>
      <c r="BX1022" s="693">
        <f>SUMIFS(Imput[[Importe Neto]:[Importe Neto]],Imput[[C. Imp.]:[C. Imp.]],$D1022,Imput[[PERIODO Imp.]:[PERIODO Imp.]],BX$9)</f>
        <v>0</v>
      </c>
      <c r="BY1022" s="693">
        <f>SUMIFS(Imput[[Importe Neto]:[Importe Neto]],Imput[[C. Imp.]:[C. Imp.]],$D1022,Imput[[PERIODO Imp.]:[PERIODO Imp.]],BY$9)</f>
        <v>0</v>
      </c>
      <c r="BZ1022" s="693">
        <f>SUMIFS(Imput[[Importe Neto]:[Importe Neto]],Imput[[C. Imp.]:[C. Imp.]],$D1022,Imput[[PERIODO Imp.]:[PERIODO Imp.]],BZ$9)</f>
        <v>0</v>
      </c>
      <c r="CA1022" s="693">
        <f>SUMIFS(Imput[[Importe Neto]:[Importe Neto]],Imput[[C. Imp.]:[C. Imp.]],$D1022,Imput[[PERIODO Imp.]:[PERIODO Imp.]],CA$9)</f>
        <v>0</v>
      </c>
      <c r="CB1022" s="693">
        <f>SUMIFS(Imput[[Importe Neto]:[Importe Neto]],Imput[[C. Imp.]:[C. Imp.]],$D1022,Imput[[PERIODO Imp.]:[PERIODO Imp.]],CB$9)</f>
        <v>0</v>
      </c>
      <c r="CC1022" s="693">
        <f>SUMIFS(Imput[[Importe Neto]:[Importe Neto]],Imput[[C. Imp.]:[C. Imp.]],$D1022,Imput[[PERIODO Imp.]:[PERIODO Imp.]],CC$9)</f>
        <v>0</v>
      </c>
      <c r="CD1022" s="693">
        <f>SUMIFS(Imput[[Importe Neto]:[Importe Neto]],Imput[[C. Imp.]:[C. Imp.]],$D1022,Imput[[PERIODO Imp.]:[PERIODO Imp.]],CD$9)</f>
        <v>0</v>
      </c>
      <c r="CE1022" s="693">
        <f>SUMIFS(Imput[[Importe Neto]:[Importe Neto]],Imput[[C. Imp.]:[C. Imp.]],$D1022,Imput[[PERIODO Imp.]:[PERIODO Imp.]],CE$9)</f>
        <v>0</v>
      </c>
      <c r="CF1022" s="693">
        <f>SUMIFS(Imput[[Importe Neto]:[Importe Neto]],Imput[[C. Imp.]:[C. Imp.]],$D1022,Imput[[PERIODO Imp.]:[PERIODO Imp.]],CF$9)</f>
        <v>0</v>
      </c>
      <c r="CG1022" s="693">
        <f>SUMIFS(Imput[[Importe Neto]:[Importe Neto]],Imput[[C. Imp.]:[C. Imp.]],$D1022,Imput[[PERIODO Imp.]:[PERIODO Imp.]],CG$9)</f>
        <v>0</v>
      </c>
      <c r="CH1022" s="693">
        <f>SUMIFS(Imput[[Importe Neto]:[Importe Neto]],Imput[[C. Imp.]:[C. Imp.]],$D1022,Imput[[PERIODO Imp.]:[PERIODO Imp.]],CH$9)</f>
        <v>0</v>
      </c>
      <c r="CI1022" s="693">
        <f>SUMIFS(Imput[[Importe Neto]:[Importe Neto]],Imput[[C. Imp.]:[C. Imp.]],$D1022,Imput[[PERIODO Imp.]:[PERIODO Imp.]],CI$9)</f>
        <v>0</v>
      </c>
      <c r="CJ1022" s="693">
        <f>SUMIFS(Imput[[Importe Neto]:[Importe Neto]],Imput[[C. Imp.]:[C. Imp.]],$D1022,Imput[[PERIODO Imp.]:[PERIODO Imp.]],CJ$9)</f>
        <v>0</v>
      </c>
      <c r="CK1022" s="693">
        <f>SUMIFS(Imput[[Importe Neto]:[Importe Neto]],Imput[[C. Imp.]:[C. Imp.]],$D1022,Imput[[PERIODO Imp.]:[PERIODO Imp.]],CK$9)</f>
        <v>0</v>
      </c>
      <c r="CL1022" s="693">
        <f>SUMIFS(Imput[[Importe Neto]:[Importe Neto]],Imput[[C. Imp.]:[C. Imp.]],$D1022,Imput[[PERIODO Imp.]:[PERIODO Imp.]],CL$9)</f>
        <v>0</v>
      </c>
      <c r="CM1022" s="693">
        <f>SUMIFS(Imput[[Importe Neto]:[Importe Neto]],Imput[[C. Imp.]:[C. Imp.]],$D1022,Imput[[PERIODO Imp.]:[PERIODO Imp.]],CM$9)</f>
        <v>0</v>
      </c>
      <c r="CN1022" s="693">
        <f>SUMIFS(Imput[[Importe Neto]:[Importe Neto]],Imput[[C. Imp.]:[C. Imp.]],$D1022,Imput[[PERIODO Imp.]:[PERIODO Imp.]],CN$9)</f>
        <v>0</v>
      </c>
      <c r="CO1022" s="693">
        <f>SUMIFS(Imput[[Importe Neto]:[Importe Neto]],Imput[[C. Imp.]:[C. Imp.]],$D1022,Imput[[PERIODO Imp.]:[PERIODO Imp.]],CO$9)</f>
        <v>0</v>
      </c>
      <c r="CP1022" s="693">
        <f>SUMIFS(Imput[[Importe Neto]:[Importe Neto]],Imput[[C. Imp.]:[C. Imp.]],$D1022,Imput[[PERIODO Imp.]:[PERIODO Imp.]],CP$9)</f>
        <v>0</v>
      </c>
      <c r="CQ1022" s="693">
        <f>SUMIFS(Imput[[Importe Neto]:[Importe Neto]],Imput[[C. Imp.]:[C. Imp.]],$D1022,Imput[[PERIODO Imp.]:[PERIODO Imp.]],CQ$9)</f>
        <v>0</v>
      </c>
      <c r="CR1022" s="693">
        <f>SUMIFS(Imput[[Importe Neto]:[Importe Neto]],Imput[[C. Imp.]:[C. Imp.]],$D1022,Imput[[PERIODO Imp.]:[PERIODO Imp.]],CR$9)</f>
        <v>0</v>
      </c>
      <c r="CS1022" s="693">
        <f>SUMIFS(Imput[[Importe Neto]:[Importe Neto]],Imput[[C. Imp.]:[C. Imp.]],$D1022,Imput[[PERIODO Imp.]:[PERIODO Imp.]],CS$9)</f>
        <v>0</v>
      </c>
      <c r="CT1022" s="693">
        <f>SUMIFS(Imput[[Importe Neto]:[Importe Neto]],Imput[[C. Imp.]:[C. Imp.]],$D1022,Imput[[PERIODO Imp.]:[PERIODO Imp.]],CT$9)</f>
        <v>0</v>
      </c>
      <c r="CU1022" s="693">
        <f>SUMIFS(Imput[[Importe Neto]:[Importe Neto]],Imput[[C. Imp.]:[C. Imp.]],$D1022,Imput[[PERIODO Imp.]:[PERIODO Imp.]],CU$9)</f>
        <v>0</v>
      </c>
      <c r="CV1022" s="693">
        <f>SUMIFS(Imput[[Importe Neto]:[Importe Neto]],Imput[[C. Imp.]:[C. Imp.]],$D1022,Imput[[PERIODO Imp.]:[PERIODO Imp.]],CV$9)</f>
        <v>0</v>
      </c>
      <c r="CW1022" s="693">
        <f>SUMIFS(Imput[[Importe Neto]:[Importe Neto]],Imput[[C. Imp.]:[C. Imp.]],$D1022,Imput[[PERIODO Imp.]:[PERIODO Imp.]],CW$9)</f>
        <v>0</v>
      </c>
      <c r="CX1022" s="693">
        <f>SUMIFS(Imput[[Importe Neto]:[Importe Neto]],Imput[[C. Imp.]:[C. Imp.]],$D1022,Imput[[PERIODO Imp.]:[PERIODO Imp.]],CX$9)</f>
        <v>0</v>
      </c>
      <c r="CY1022" s="693">
        <f>SUMIFS(Imput[[Importe Neto]:[Importe Neto]],Imput[[C. Imp.]:[C. Imp.]],$D1022,Imput[[PERIODO Imp.]:[PERIODO Imp.]],CY$9)</f>
        <v>0</v>
      </c>
      <c r="CZ1022" s="693">
        <f>SUMIFS(Imput[[Importe Neto]:[Importe Neto]],Imput[[C. Imp.]:[C. Imp.]],$D1022,Imput[[PERIODO Imp.]:[PERIODO Imp.]],CZ$9)</f>
        <v>0</v>
      </c>
      <c r="DA1022" s="693">
        <f>SUMIFS(Imput[[Importe Neto]:[Importe Neto]],Imput[[C. Imp.]:[C. Imp.]],$D1022,Imput[[PERIODO Imp.]:[PERIODO Imp.]],DA$9)</f>
        <v>0</v>
      </c>
      <c r="DB1022" s="693">
        <f>SUMIFS(Imput[[Importe Neto]:[Importe Neto]],Imput[[C. Imp.]:[C. Imp.]],$D1022,Imput[[PERIODO Imp.]:[PERIODO Imp.]],DB$9)</f>
        <v>0</v>
      </c>
      <c r="DC1022" s="693">
        <f>SUMIFS(Imput[[Importe Neto]:[Importe Neto]],Imput[[C. Imp.]:[C. Imp.]],$D1022,Imput[[PERIODO Imp.]:[PERIODO Imp.]],DC$9)</f>
        <v>0</v>
      </c>
      <c r="DD1022" s="693">
        <f>SUMIFS(Imput[[Importe Neto]:[Importe Neto]],Imput[[C. Imp.]:[C. Imp.]],$D1022,Imput[[PERIODO Imp.]:[PERIODO Imp.]],DD$9)</f>
        <v>0</v>
      </c>
      <c r="DE1022" s="693">
        <f>SUMIFS(Imput[[Importe Neto]:[Importe Neto]],Imput[[C. Imp.]:[C. Imp.]],$D1022,Imput[[PERIODO Imp.]:[PERIODO Imp.]],DE$9)</f>
        <v>0</v>
      </c>
      <c r="DF1022" s="693">
        <f>SUMIFS(Imput[[Importe Neto]:[Importe Neto]],Imput[[C. Imp.]:[C. Imp.]],$D1022,Imput[[PERIODO Imp.]:[PERIODO Imp.]],DF$9)</f>
        <v>0</v>
      </c>
      <c r="DG1022" s="693">
        <f>SUMIFS(Imput[[Importe Neto]:[Importe Neto]],Imput[[C. Imp.]:[C. Imp.]],$D1022,Imput[[PERIODO Imp.]:[PERIODO Imp.]],DG$9)</f>
        <v>0</v>
      </c>
      <c r="DH1022" s="694">
        <f>SUMIFS(Imput[[Importe Neto]:[Importe Neto]],Imput[[C. Imp.]:[C. Imp.]],$D1022,Imput[[PERIODO Imp.]:[PERIODO Imp.]],DH$9)</f>
        <v>0</v>
      </c>
    </row>
    <row r="1023" spans="1:112" s="649" customFormat="1" hidden="1" outlineLevel="1" x14ac:dyDescent="0.3">
      <c r="A1023" s="652" t="str">
        <f t="shared" si="354"/>
        <v/>
      </c>
      <c r="B1023" s="652"/>
      <c r="C1023" s="685"/>
      <c r="D1023" s="686"/>
      <c r="E1023" s="686"/>
      <c r="F1023" s="720"/>
      <c r="G1023" s="688"/>
      <c r="H1023" s="689"/>
      <c r="I1023" s="851" t="str">
        <f t="shared" si="355"/>
        <v/>
      </c>
      <c r="J1023" s="850" t="str">
        <f t="shared" si="356"/>
        <v/>
      </c>
      <c r="K1023" s="667"/>
      <c r="L1023" s="858"/>
      <c r="M1023" s="859"/>
      <c r="N1023" s="859"/>
      <c r="O1023" s="859"/>
      <c r="P1023" s="859"/>
      <c r="Q1023" s="859"/>
      <c r="R1023" s="859"/>
      <c r="S1023" s="859"/>
      <c r="T1023" s="859"/>
      <c r="U1023" s="859"/>
      <c r="V1023" s="859"/>
      <c r="W1023" s="859"/>
      <c r="X1023" s="859"/>
      <c r="Y1023" s="859"/>
      <c r="Z1023" s="860"/>
      <c r="AA1023" s="860"/>
      <c r="AB1023" s="860"/>
      <c r="AC1023" s="860"/>
      <c r="AD1023" s="860"/>
      <c r="AE1023" s="860"/>
      <c r="AF1023" s="860"/>
      <c r="AG1023" s="860"/>
      <c r="AH1023" s="860"/>
      <c r="AI1023" s="860"/>
      <c r="AJ1023" s="860"/>
      <c r="AK1023" s="860"/>
      <c r="AL1023" s="860"/>
      <c r="AM1023" s="860"/>
      <c r="AN1023" s="860"/>
      <c r="AO1023" s="860"/>
      <c r="AP1023" s="860"/>
      <c r="AQ1023" s="860"/>
      <c r="AR1023" s="860"/>
      <c r="AS1023" s="860"/>
      <c r="AT1023" s="860"/>
      <c r="AU1023" s="860"/>
      <c r="AV1023" s="860"/>
      <c r="AW1023" s="860"/>
      <c r="AX1023" s="860"/>
      <c r="AY1023" s="860"/>
      <c r="AZ1023" s="860"/>
      <c r="BA1023" s="860"/>
      <c r="BB1023" s="860"/>
      <c r="BC1023" s="860"/>
      <c r="BD1023" s="860"/>
      <c r="BE1023" s="860"/>
      <c r="BF1023" s="860"/>
      <c r="BG1023" s="860"/>
      <c r="BH1023" s="668"/>
      <c r="BI1023" s="667"/>
      <c r="BJ1023" s="690">
        <f t="shared" si="357"/>
        <v>0</v>
      </c>
      <c r="BK1023" s="691">
        <f t="shared" si="358"/>
        <v>0</v>
      </c>
      <c r="BL1023" s="654"/>
      <c r="BM1023" s="692">
        <f>SUMIFS(Imput[[Importe Neto]:[Importe Neto]],Imput[[C. Imp.]:[C. Imp.]],$D1023,Imput[[PERIODO Imp.]:[PERIODO Imp.]],BM$9)</f>
        <v>0</v>
      </c>
      <c r="BN1023" s="693">
        <f>SUMIFS(Imput[[Importe Neto]:[Importe Neto]],Imput[[C. Imp.]:[C. Imp.]],$D1023,Imput[[PERIODO Imp.]:[PERIODO Imp.]],BN$9)</f>
        <v>0</v>
      </c>
      <c r="BO1023" s="693">
        <f>SUMIFS(Imput[[Importe Neto]:[Importe Neto]],Imput[[C. Imp.]:[C. Imp.]],$D1023,Imput[[PERIODO Imp.]:[PERIODO Imp.]],BO$9)</f>
        <v>0</v>
      </c>
      <c r="BP1023" s="693">
        <f>SUMIFS(Imput[[Importe Neto]:[Importe Neto]],Imput[[C. Imp.]:[C. Imp.]],$D1023,Imput[[PERIODO Imp.]:[PERIODO Imp.]],BP$9)</f>
        <v>0</v>
      </c>
      <c r="BQ1023" s="693">
        <f>SUMIFS(Imput[[Importe Neto]:[Importe Neto]],Imput[[C. Imp.]:[C. Imp.]],$D1023,Imput[[PERIODO Imp.]:[PERIODO Imp.]],BQ$9)</f>
        <v>0</v>
      </c>
      <c r="BR1023" s="693">
        <f>SUMIFS(Imput[[Importe Neto]:[Importe Neto]],Imput[[C. Imp.]:[C. Imp.]],$D1023,Imput[[PERIODO Imp.]:[PERIODO Imp.]],BR$9)</f>
        <v>0</v>
      </c>
      <c r="BS1023" s="693">
        <f>SUMIFS(Imput[[Importe Neto]:[Importe Neto]],Imput[[C. Imp.]:[C. Imp.]],$D1023,Imput[[PERIODO Imp.]:[PERIODO Imp.]],BS$9)</f>
        <v>0</v>
      </c>
      <c r="BT1023" s="693">
        <f>SUMIFS(Imput[[Importe Neto]:[Importe Neto]],Imput[[C. Imp.]:[C. Imp.]],$D1023,Imput[[PERIODO Imp.]:[PERIODO Imp.]],BT$9)</f>
        <v>0</v>
      </c>
      <c r="BU1023" s="693">
        <f>SUMIFS(Imput[[Importe Neto]:[Importe Neto]],Imput[[C. Imp.]:[C. Imp.]],$D1023,Imput[[PERIODO Imp.]:[PERIODO Imp.]],BU$9)</f>
        <v>0</v>
      </c>
      <c r="BV1023" s="693">
        <f>SUMIFS(Imput[[Importe Neto]:[Importe Neto]],Imput[[C. Imp.]:[C. Imp.]],$D1023,Imput[[PERIODO Imp.]:[PERIODO Imp.]],BV$9)</f>
        <v>0</v>
      </c>
      <c r="BW1023" s="693">
        <f>SUMIFS(Imput[[Importe Neto]:[Importe Neto]],Imput[[C. Imp.]:[C. Imp.]],$D1023,Imput[[PERIODO Imp.]:[PERIODO Imp.]],BW$9)</f>
        <v>0</v>
      </c>
      <c r="BX1023" s="693">
        <f>SUMIFS(Imput[[Importe Neto]:[Importe Neto]],Imput[[C. Imp.]:[C. Imp.]],$D1023,Imput[[PERIODO Imp.]:[PERIODO Imp.]],BX$9)</f>
        <v>0</v>
      </c>
      <c r="BY1023" s="693">
        <f>SUMIFS(Imput[[Importe Neto]:[Importe Neto]],Imput[[C. Imp.]:[C. Imp.]],$D1023,Imput[[PERIODO Imp.]:[PERIODO Imp.]],BY$9)</f>
        <v>0</v>
      </c>
      <c r="BZ1023" s="693">
        <f>SUMIFS(Imput[[Importe Neto]:[Importe Neto]],Imput[[C. Imp.]:[C. Imp.]],$D1023,Imput[[PERIODO Imp.]:[PERIODO Imp.]],BZ$9)</f>
        <v>0</v>
      </c>
      <c r="CA1023" s="693">
        <f>SUMIFS(Imput[[Importe Neto]:[Importe Neto]],Imput[[C. Imp.]:[C. Imp.]],$D1023,Imput[[PERIODO Imp.]:[PERIODO Imp.]],CA$9)</f>
        <v>0</v>
      </c>
      <c r="CB1023" s="693">
        <f>SUMIFS(Imput[[Importe Neto]:[Importe Neto]],Imput[[C. Imp.]:[C. Imp.]],$D1023,Imput[[PERIODO Imp.]:[PERIODO Imp.]],CB$9)</f>
        <v>0</v>
      </c>
      <c r="CC1023" s="693">
        <f>SUMIFS(Imput[[Importe Neto]:[Importe Neto]],Imput[[C. Imp.]:[C. Imp.]],$D1023,Imput[[PERIODO Imp.]:[PERIODO Imp.]],CC$9)</f>
        <v>0</v>
      </c>
      <c r="CD1023" s="693">
        <f>SUMIFS(Imput[[Importe Neto]:[Importe Neto]],Imput[[C. Imp.]:[C. Imp.]],$D1023,Imput[[PERIODO Imp.]:[PERIODO Imp.]],CD$9)</f>
        <v>0</v>
      </c>
      <c r="CE1023" s="693">
        <f>SUMIFS(Imput[[Importe Neto]:[Importe Neto]],Imput[[C. Imp.]:[C. Imp.]],$D1023,Imput[[PERIODO Imp.]:[PERIODO Imp.]],CE$9)</f>
        <v>0</v>
      </c>
      <c r="CF1023" s="693">
        <f>SUMIFS(Imput[[Importe Neto]:[Importe Neto]],Imput[[C. Imp.]:[C. Imp.]],$D1023,Imput[[PERIODO Imp.]:[PERIODO Imp.]],CF$9)</f>
        <v>0</v>
      </c>
      <c r="CG1023" s="693">
        <f>SUMIFS(Imput[[Importe Neto]:[Importe Neto]],Imput[[C. Imp.]:[C. Imp.]],$D1023,Imput[[PERIODO Imp.]:[PERIODO Imp.]],CG$9)</f>
        <v>0</v>
      </c>
      <c r="CH1023" s="693">
        <f>SUMIFS(Imput[[Importe Neto]:[Importe Neto]],Imput[[C. Imp.]:[C. Imp.]],$D1023,Imput[[PERIODO Imp.]:[PERIODO Imp.]],CH$9)</f>
        <v>0</v>
      </c>
      <c r="CI1023" s="693">
        <f>SUMIFS(Imput[[Importe Neto]:[Importe Neto]],Imput[[C. Imp.]:[C. Imp.]],$D1023,Imput[[PERIODO Imp.]:[PERIODO Imp.]],CI$9)</f>
        <v>0</v>
      </c>
      <c r="CJ1023" s="693">
        <f>SUMIFS(Imput[[Importe Neto]:[Importe Neto]],Imput[[C. Imp.]:[C. Imp.]],$D1023,Imput[[PERIODO Imp.]:[PERIODO Imp.]],CJ$9)</f>
        <v>0</v>
      </c>
      <c r="CK1023" s="693">
        <f>SUMIFS(Imput[[Importe Neto]:[Importe Neto]],Imput[[C. Imp.]:[C. Imp.]],$D1023,Imput[[PERIODO Imp.]:[PERIODO Imp.]],CK$9)</f>
        <v>0</v>
      </c>
      <c r="CL1023" s="693">
        <f>SUMIFS(Imput[[Importe Neto]:[Importe Neto]],Imput[[C. Imp.]:[C. Imp.]],$D1023,Imput[[PERIODO Imp.]:[PERIODO Imp.]],CL$9)</f>
        <v>0</v>
      </c>
      <c r="CM1023" s="693">
        <f>SUMIFS(Imput[[Importe Neto]:[Importe Neto]],Imput[[C. Imp.]:[C. Imp.]],$D1023,Imput[[PERIODO Imp.]:[PERIODO Imp.]],CM$9)</f>
        <v>0</v>
      </c>
      <c r="CN1023" s="693">
        <f>SUMIFS(Imput[[Importe Neto]:[Importe Neto]],Imput[[C. Imp.]:[C. Imp.]],$D1023,Imput[[PERIODO Imp.]:[PERIODO Imp.]],CN$9)</f>
        <v>0</v>
      </c>
      <c r="CO1023" s="693">
        <f>SUMIFS(Imput[[Importe Neto]:[Importe Neto]],Imput[[C. Imp.]:[C. Imp.]],$D1023,Imput[[PERIODO Imp.]:[PERIODO Imp.]],CO$9)</f>
        <v>0</v>
      </c>
      <c r="CP1023" s="693">
        <f>SUMIFS(Imput[[Importe Neto]:[Importe Neto]],Imput[[C. Imp.]:[C. Imp.]],$D1023,Imput[[PERIODO Imp.]:[PERIODO Imp.]],CP$9)</f>
        <v>0</v>
      </c>
      <c r="CQ1023" s="693">
        <f>SUMIFS(Imput[[Importe Neto]:[Importe Neto]],Imput[[C. Imp.]:[C. Imp.]],$D1023,Imput[[PERIODO Imp.]:[PERIODO Imp.]],CQ$9)</f>
        <v>0</v>
      </c>
      <c r="CR1023" s="693">
        <f>SUMIFS(Imput[[Importe Neto]:[Importe Neto]],Imput[[C. Imp.]:[C. Imp.]],$D1023,Imput[[PERIODO Imp.]:[PERIODO Imp.]],CR$9)</f>
        <v>0</v>
      </c>
      <c r="CS1023" s="693">
        <f>SUMIFS(Imput[[Importe Neto]:[Importe Neto]],Imput[[C. Imp.]:[C. Imp.]],$D1023,Imput[[PERIODO Imp.]:[PERIODO Imp.]],CS$9)</f>
        <v>0</v>
      </c>
      <c r="CT1023" s="693">
        <f>SUMIFS(Imput[[Importe Neto]:[Importe Neto]],Imput[[C. Imp.]:[C. Imp.]],$D1023,Imput[[PERIODO Imp.]:[PERIODO Imp.]],CT$9)</f>
        <v>0</v>
      </c>
      <c r="CU1023" s="693">
        <f>SUMIFS(Imput[[Importe Neto]:[Importe Neto]],Imput[[C. Imp.]:[C. Imp.]],$D1023,Imput[[PERIODO Imp.]:[PERIODO Imp.]],CU$9)</f>
        <v>0</v>
      </c>
      <c r="CV1023" s="693">
        <f>SUMIFS(Imput[[Importe Neto]:[Importe Neto]],Imput[[C. Imp.]:[C. Imp.]],$D1023,Imput[[PERIODO Imp.]:[PERIODO Imp.]],CV$9)</f>
        <v>0</v>
      </c>
      <c r="CW1023" s="693">
        <f>SUMIFS(Imput[[Importe Neto]:[Importe Neto]],Imput[[C. Imp.]:[C. Imp.]],$D1023,Imput[[PERIODO Imp.]:[PERIODO Imp.]],CW$9)</f>
        <v>0</v>
      </c>
      <c r="CX1023" s="693">
        <f>SUMIFS(Imput[[Importe Neto]:[Importe Neto]],Imput[[C. Imp.]:[C. Imp.]],$D1023,Imput[[PERIODO Imp.]:[PERIODO Imp.]],CX$9)</f>
        <v>0</v>
      </c>
      <c r="CY1023" s="693">
        <f>SUMIFS(Imput[[Importe Neto]:[Importe Neto]],Imput[[C. Imp.]:[C. Imp.]],$D1023,Imput[[PERIODO Imp.]:[PERIODO Imp.]],CY$9)</f>
        <v>0</v>
      </c>
      <c r="CZ1023" s="693">
        <f>SUMIFS(Imput[[Importe Neto]:[Importe Neto]],Imput[[C. Imp.]:[C. Imp.]],$D1023,Imput[[PERIODO Imp.]:[PERIODO Imp.]],CZ$9)</f>
        <v>0</v>
      </c>
      <c r="DA1023" s="693">
        <f>SUMIFS(Imput[[Importe Neto]:[Importe Neto]],Imput[[C. Imp.]:[C. Imp.]],$D1023,Imput[[PERIODO Imp.]:[PERIODO Imp.]],DA$9)</f>
        <v>0</v>
      </c>
      <c r="DB1023" s="693">
        <f>SUMIFS(Imput[[Importe Neto]:[Importe Neto]],Imput[[C. Imp.]:[C. Imp.]],$D1023,Imput[[PERIODO Imp.]:[PERIODO Imp.]],DB$9)</f>
        <v>0</v>
      </c>
      <c r="DC1023" s="693">
        <f>SUMIFS(Imput[[Importe Neto]:[Importe Neto]],Imput[[C. Imp.]:[C. Imp.]],$D1023,Imput[[PERIODO Imp.]:[PERIODO Imp.]],DC$9)</f>
        <v>0</v>
      </c>
      <c r="DD1023" s="693">
        <f>SUMIFS(Imput[[Importe Neto]:[Importe Neto]],Imput[[C. Imp.]:[C. Imp.]],$D1023,Imput[[PERIODO Imp.]:[PERIODO Imp.]],DD$9)</f>
        <v>0</v>
      </c>
      <c r="DE1023" s="693">
        <f>SUMIFS(Imput[[Importe Neto]:[Importe Neto]],Imput[[C. Imp.]:[C. Imp.]],$D1023,Imput[[PERIODO Imp.]:[PERIODO Imp.]],DE$9)</f>
        <v>0</v>
      </c>
      <c r="DF1023" s="693">
        <f>SUMIFS(Imput[[Importe Neto]:[Importe Neto]],Imput[[C. Imp.]:[C. Imp.]],$D1023,Imput[[PERIODO Imp.]:[PERIODO Imp.]],DF$9)</f>
        <v>0</v>
      </c>
      <c r="DG1023" s="693">
        <f>SUMIFS(Imput[[Importe Neto]:[Importe Neto]],Imput[[C. Imp.]:[C. Imp.]],$D1023,Imput[[PERIODO Imp.]:[PERIODO Imp.]],DG$9)</f>
        <v>0</v>
      </c>
      <c r="DH1023" s="694">
        <f>SUMIFS(Imput[[Importe Neto]:[Importe Neto]],Imput[[C. Imp.]:[C. Imp.]],$D1023,Imput[[PERIODO Imp.]:[PERIODO Imp.]],DH$9)</f>
        <v>0</v>
      </c>
    </row>
    <row r="1024" spans="1:112" s="649" customFormat="1" hidden="1" outlineLevel="1" x14ac:dyDescent="0.3">
      <c r="A1024" s="652" t="str">
        <f t="shared" si="354"/>
        <v/>
      </c>
      <c r="B1024" s="652"/>
      <c r="C1024" s="685"/>
      <c r="D1024" s="686"/>
      <c r="E1024" s="686"/>
      <c r="F1024" s="720"/>
      <c r="G1024" s="688"/>
      <c r="H1024" s="689"/>
      <c r="I1024" s="851" t="str">
        <f t="shared" si="355"/>
        <v/>
      </c>
      <c r="J1024" s="850" t="str">
        <f t="shared" si="356"/>
        <v/>
      </c>
      <c r="K1024" s="667"/>
      <c r="L1024" s="858"/>
      <c r="M1024" s="859"/>
      <c r="N1024" s="859"/>
      <c r="O1024" s="859"/>
      <c r="P1024" s="859"/>
      <c r="Q1024" s="859"/>
      <c r="R1024" s="859"/>
      <c r="S1024" s="859"/>
      <c r="T1024" s="859"/>
      <c r="U1024" s="859"/>
      <c r="V1024" s="859"/>
      <c r="W1024" s="859"/>
      <c r="X1024" s="859"/>
      <c r="Y1024" s="859"/>
      <c r="Z1024" s="860"/>
      <c r="AA1024" s="860"/>
      <c r="AB1024" s="860"/>
      <c r="AC1024" s="860"/>
      <c r="AD1024" s="860"/>
      <c r="AE1024" s="860"/>
      <c r="AF1024" s="860"/>
      <c r="AG1024" s="860"/>
      <c r="AH1024" s="860"/>
      <c r="AI1024" s="860"/>
      <c r="AJ1024" s="860"/>
      <c r="AK1024" s="860"/>
      <c r="AL1024" s="860"/>
      <c r="AM1024" s="860"/>
      <c r="AN1024" s="860"/>
      <c r="AO1024" s="860"/>
      <c r="AP1024" s="860"/>
      <c r="AQ1024" s="860"/>
      <c r="AR1024" s="860"/>
      <c r="AS1024" s="860"/>
      <c r="AT1024" s="860"/>
      <c r="AU1024" s="860"/>
      <c r="AV1024" s="860"/>
      <c r="AW1024" s="860"/>
      <c r="AX1024" s="860"/>
      <c r="AY1024" s="860"/>
      <c r="AZ1024" s="860"/>
      <c r="BA1024" s="860"/>
      <c r="BB1024" s="860"/>
      <c r="BC1024" s="860"/>
      <c r="BD1024" s="860"/>
      <c r="BE1024" s="860"/>
      <c r="BF1024" s="860"/>
      <c r="BG1024" s="860"/>
      <c r="BH1024" s="668"/>
      <c r="BI1024" s="667"/>
      <c r="BJ1024" s="690">
        <f t="shared" si="357"/>
        <v>0</v>
      </c>
      <c r="BK1024" s="691">
        <f t="shared" si="358"/>
        <v>0</v>
      </c>
      <c r="BL1024" s="654"/>
      <c r="BM1024" s="692">
        <f>SUMIFS(Imput[[Importe Neto]:[Importe Neto]],Imput[[C. Imp.]:[C. Imp.]],$D1024,Imput[[PERIODO Imp.]:[PERIODO Imp.]],BM$9)</f>
        <v>0</v>
      </c>
      <c r="BN1024" s="693">
        <f>SUMIFS(Imput[[Importe Neto]:[Importe Neto]],Imput[[C. Imp.]:[C. Imp.]],$D1024,Imput[[PERIODO Imp.]:[PERIODO Imp.]],BN$9)</f>
        <v>0</v>
      </c>
      <c r="BO1024" s="693">
        <f>SUMIFS(Imput[[Importe Neto]:[Importe Neto]],Imput[[C. Imp.]:[C. Imp.]],$D1024,Imput[[PERIODO Imp.]:[PERIODO Imp.]],BO$9)</f>
        <v>0</v>
      </c>
      <c r="BP1024" s="693">
        <f>SUMIFS(Imput[[Importe Neto]:[Importe Neto]],Imput[[C. Imp.]:[C. Imp.]],$D1024,Imput[[PERIODO Imp.]:[PERIODO Imp.]],BP$9)</f>
        <v>0</v>
      </c>
      <c r="BQ1024" s="693">
        <f>SUMIFS(Imput[[Importe Neto]:[Importe Neto]],Imput[[C. Imp.]:[C. Imp.]],$D1024,Imput[[PERIODO Imp.]:[PERIODO Imp.]],BQ$9)</f>
        <v>0</v>
      </c>
      <c r="BR1024" s="693">
        <f>SUMIFS(Imput[[Importe Neto]:[Importe Neto]],Imput[[C. Imp.]:[C. Imp.]],$D1024,Imput[[PERIODO Imp.]:[PERIODO Imp.]],BR$9)</f>
        <v>0</v>
      </c>
      <c r="BS1024" s="693">
        <f>SUMIFS(Imput[[Importe Neto]:[Importe Neto]],Imput[[C. Imp.]:[C. Imp.]],$D1024,Imput[[PERIODO Imp.]:[PERIODO Imp.]],BS$9)</f>
        <v>0</v>
      </c>
      <c r="BT1024" s="693">
        <f>SUMIFS(Imput[[Importe Neto]:[Importe Neto]],Imput[[C. Imp.]:[C. Imp.]],$D1024,Imput[[PERIODO Imp.]:[PERIODO Imp.]],BT$9)</f>
        <v>0</v>
      </c>
      <c r="BU1024" s="693">
        <f>SUMIFS(Imput[[Importe Neto]:[Importe Neto]],Imput[[C. Imp.]:[C. Imp.]],$D1024,Imput[[PERIODO Imp.]:[PERIODO Imp.]],BU$9)</f>
        <v>0</v>
      </c>
      <c r="BV1024" s="693">
        <f>SUMIFS(Imput[[Importe Neto]:[Importe Neto]],Imput[[C. Imp.]:[C. Imp.]],$D1024,Imput[[PERIODO Imp.]:[PERIODO Imp.]],BV$9)</f>
        <v>0</v>
      </c>
      <c r="BW1024" s="693">
        <f>SUMIFS(Imput[[Importe Neto]:[Importe Neto]],Imput[[C. Imp.]:[C. Imp.]],$D1024,Imput[[PERIODO Imp.]:[PERIODO Imp.]],BW$9)</f>
        <v>0</v>
      </c>
      <c r="BX1024" s="693">
        <f>SUMIFS(Imput[[Importe Neto]:[Importe Neto]],Imput[[C. Imp.]:[C. Imp.]],$D1024,Imput[[PERIODO Imp.]:[PERIODO Imp.]],BX$9)</f>
        <v>0</v>
      </c>
      <c r="BY1024" s="693">
        <f>SUMIFS(Imput[[Importe Neto]:[Importe Neto]],Imput[[C. Imp.]:[C. Imp.]],$D1024,Imput[[PERIODO Imp.]:[PERIODO Imp.]],BY$9)</f>
        <v>0</v>
      </c>
      <c r="BZ1024" s="693">
        <f>SUMIFS(Imput[[Importe Neto]:[Importe Neto]],Imput[[C. Imp.]:[C. Imp.]],$D1024,Imput[[PERIODO Imp.]:[PERIODO Imp.]],BZ$9)</f>
        <v>0</v>
      </c>
      <c r="CA1024" s="693">
        <f>SUMIFS(Imput[[Importe Neto]:[Importe Neto]],Imput[[C. Imp.]:[C. Imp.]],$D1024,Imput[[PERIODO Imp.]:[PERIODO Imp.]],CA$9)</f>
        <v>0</v>
      </c>
      <c r="CB1024" s="693">
        <f>SUMIFS(Imput[[Importe Neto]:[Importe Neto]],Imput[[C. Imp.]:[C. Imp.]],$D1024,Imput[[PERIODO Imp.]:[PERIODO Imp.]],CB$9)</f>
        <v>0</v>
      </c>
      <c r="CC1024" s="693">
        <f>SUMIFS(Imput[[Importe Neto]:[Importe Neto]],Imput[[C. Imp.]:[C. Imp.]],$D1024,Imput[[PERIODO Imp.]:[PERIODO Imp.]],CC$9)</f>
        <v>0</v>
      </c>
      <c r="CD1024" s="693">
        <f>SUMIFS(Imput[[Importe Neto]:[Importe Neto]],Imput[[C. Imp.]:[C. Imp.]],$D1024,Imput[[PERIODO Imp.]:[PERIODO Imp.]],CD$9)</f>
        <v>0</v>
      </c>
      <c r="CE1024" s="693">
        <f>SUMIFS(Imput[[Importe Neto]:[Importe Neto]],Imput[[C. Imp.]:[C. Imp.]],$D1024,Imput[[PERIODO Imp.]:[PERIODO Imp.]],CE$9)</f>
        <v>0</v>
      </c>
      <c r="CF1024" s="693">
        <f>SUMIFS(Imput[[Importe Neto]:[Importe Neto]],Imput[[C. Imp.]:[C. Imp.]],$D1024,Imput[[PERIODO Imp.]:[PERIODO Imp.]],CF$9)</f>
        <v>0</v>
      </c>
      <c r="CG1024" s="693">
        <f>SUMIFS(Imput[[Importe Neto]:[Importe Neto]],Imput[[C. Imp.]:[C. Imp.]],$D1024,Imput[[PERIODO Imp.]:[PERIODO Imp.]],CG$9)</f>
        <v>0</v>
      </c>
      <c r="CH1024" s="693">
        <f>SUMIFS(Imput[[Importe Neto]:[Importe Neto]],Imput[[C. Imp.]:[C. Imp.]],$D1024,Imput[[PERIODO Imp.]:[PERIODO Imp.]],CH$9)</f>
        <v>0</v>
      </c>
      <c r="CI1024" s="693">
        <f>SUMIFS(Imput[[Importe Neto]:[Importe Neto]],Imput[[C. Imp.]:[C. Imp.]],$D1024,Imput[[PERIODO Imp.]:[PERIODO Imp.]],CI$9)</f>
        <v>0</v>
      </c>
      <c r="CJ1024" s="693">
        <f>SUMIFS(Imput[[Importe Neto]:[Importe Neto]],Imput[[C. Imp.]:[C. Imp.]],$D1024,Imput[[PERIODO Imp.]:[PERIODO Imp.]],CJ$9)</f>
        <v>0</v>
      </c>
      <c r="CK1024" s="693">
        <f>SUMIFS(Imput[[Importe Neto]:[Importe Neto]],Imput[[C. Imp.]:[C. Imp.]],$D1024,Imput[[PERIODO Imp.]:[PERIODO Imp.]],CK$9)</f>
        <v>0</v>
      </c>
      <c r="CL1024" s="693">
        <f>SUMIFS(Imput[[Importe Neto]:[Importe Neto]],Imput[[C. Imp.]:[C. Imp.]],$D1024,Imput[[PERIODO Imp.]:[PERIODO Imp.]],CL$9)</f>
        <v>0</v>
      </c>
      <c r="CM1024" s="693">
        <f>SUMIFS(Imput[[Importe Neto]:[Importe Neto]],Imput[[C. Imp.]:[C. Imp.]],$D1024,Imput[[PERIODO Imp.]:[PERIODO Imp.]],CM$9)</f>
        <v>0</v>
      </c>
      <c r="CN1024" s="693">
        <f>SUMIFS(Imput[[Importe Neto]:[Importe Neto]],Imput[[C. Imp.]:[C. Imp.]],$D1024,Imput[[PERIODO Imp.]:[PERIODO Imp.]],CN$9)</f>
        <v>0</v>
      </c>
      <c r="CO1024" s="693">
        <f>SUMIFS(Imput[[Importe Neto]:[Importe Neto]],Imput[[C. Imp.]:[C. Imp.]],$D1024,Imput[[PERIODO Imp.]:[PERIODO Imp.]],CO$9)</f>
        <v>0</v>
      </c>
      <c r="CP1024" s="693">
        <f>SUMIFS(Imput[[Importe Neto]:[Importe Neto]],Imput[[C. Imp.]:[C. Imp.]],$D1024,Imput[[PERIODO Imp.]:[PERIODO Imp.]],CP$9)</f>
        <v>0</v>
      </c>
      <c r="CQ1024" s="693">
        <f>SUMIFS(Imput[[Importe Neto]:[Importe Neto]],Imput[[C. Imp.]:[C. Imp.]],$D1024,Imput[[PERIODO Imp.]:[PERIODO Imp.]],CQ$9)</f>
        <v>0</v>
      </c>
      <c r="CR1024" s="693">
        <f>SUMIFS(Imput[[Importe Neto]:[Importe Neto]],Imput[[C. Imp.]:[C. Imp.]],$D1024,Imput[[PERIODO Imp.]:[PERIODO Imp.]],CR$9)</f>
        <v>0</v>
      </c>
      <c r="CS1024" s="693">
        <f>SUMIFS(Imput[[Importe Neto]:[Importe Neto]],Imput[[C. Imp.]:[C. Imp.]],$D1024,Imput[[PERIODO Imp.]:[PERIODO Imp.]],CS$9)</f>
        <v>0</v>
      </c>
      <c r="CT1024" s="693">
        <f>SUMIFS(Imput[[Importe Neto]:[Importe Neto]],Imput[[C. Imp.]:[C. Imp.]],$D1024,Imput[[PERIODO Imp.]:[PERIODO Imp.]],CT$9)</f>
        <v>0</v>
      </c>
      <c r="CU1024" s="693">
        <f>SUMIFS(Imput[[Importe Neto]:[Importe Neto]],Imput[[C. Imp.]:[C. Imp.]],$D1024,Imput[[PERIODO Imp.]:[PERIODO Imp.]],CU$9)</f>
        <v>0</v>
      </c>
      <c r="CV1024" s="693">
        <f>SUMIFS(Imput[[Importe Neto]:[Importe Neto]],Imput[[C. Imp.]:[C. Imp.]],$D1024,Imput[[PERIODO Imp.]:[PERIODO Imp.]],CV$9)</f>
        <v>0</v>
      </c>
      <c r="CW1024" s="693">
        <f>SUMIFS(Imput[[Importe Neto]:[Importe Neto]],Imput[[C. Imp.]:[C. Imp.]],$D1024,Imput[[PERIODO Imp.]:[PERIODO Imp.]],CW$9)</f>
        <v>0</v>
      </c>
      <c r="CX1024" s="693">
        <f>SUMIFS(Imput[[Importe Neto]:[Importe Neto]],Imput[[C. Imp.]:[C. Imp.]],$D1024,Imput[[PERIODO Imp.]:[PERIODO Imp.]],CX$9)</f>
        <v>0</v>
      </c>
      <c r="CY1024" s="693">
        <f>SUMIFS(Imput[[Importe Neto]:[Importe Neto]],Imput[[C. Imp.]:[C. Imp.]],$D1024,Imput[[PERIODO Imp.]:[PERIODO Imp.]],CY$9)</f>
        <v>0</v>
      </c>
      <c r="CZ1024" s="693">
        <f>SUMIFS(Imput[[Importe Neto]:[Importe Neto]],Imput[[C. Imp.]:[C. Imp.]],$D1024,Imput[[PERIODO Imp.]:[PERIODO Imp.]],CZ$9)</f>
        <v>0</v>
      </c>
      <c r="DA1024" s="693">
        <f>SUMIFS(Imput[[Importe Neto]:[Importe Neto]],Imput[[C. Imp.]:[C. Imp.]],$D1024,Imput[[PERIODO Imp.]:[PERIODO Imp.]],DA$9)</f>
        <v>0</v>
      </c>
      <c r="DB1024" s="693">
        <f>SUMIFS(Imput[[Importe Neto]:[Importe Neto]],Imput[[C. Imp.]:[C. Imp.]],$D1024,Imput[[PERIODO Imp.]:[PERIODO Imp.]],DB$9)</f>
        <v>0</v>
      </c>
      <c r="DC1024" s="693">
        <f>SUMIFS(Imput[[Importe Neto]:[Importe Neto]],Imput[[C. Imp.]:[C. Imp.]],$D1024,Imput[[PERIODO Imp.]:[PERIODO Imp.]],DC$9)</f>
        <v>0</v>
      </c>
      <c r="DD1024" s="693">
        <f>SUMIFS(Imput[[Importe Neto]:[Importe Neto]],Imput[[C. Imp.]:[C. Imp.]],$D1024,Imput[[PERIODO Imp.]:[PERIODO Imp.]],DD$9)</f>
        <v>0</v>
      </c>
      <c r="DE1024" s="693">
        <f>SUMIFS(Imput[[Importe Neto]:[Importe Neto]],Imput[[C. Imp.]:[C. Imp.]],$D1024,Imput[[PERIODO Imp.]:[PERIODO Imp.]],DE$9)</f>
        <v>0</v>
      </c>
      <c r="DF1024" s="693">
        <f>SUMIFS(Imput[[Importe Neto]:[Importe Neto]],Imput[[C. Imp.]:[C. Imp.]],$D1024,Imput[[PERIODO Imp.]:[PERIODO Imp.]],DF$9)</f>
        <v>0</v>
      </c>
      <c r="DG1024" s="693">
        <f>SUMIFS(Imput[[Importe Neto]:[Importe Neto]],Imput[[C. Imp.]:[C. Imp.]],$D1024,Imput[[PERIODO Imp.]:[PERIODO Imp.]],DG$9)</f>
        <v>0</v>
      </c>
      <c r="DH1024" s="694">
        <f>SUMIFS(Imput[[Importe Neto]:[Importe Neto]],Imput[[C. Imp.]:[C. Imp.]],$D1024,Imput[[PERIODO Imp.]:[PERIODO Imp.]],DH$9)</f>
        <v>0</v>
      </c>
    </row>
    <row r="1025" spans="1:112" s="649" customFormat="1" hidden="1" outlineLevel="1" x14ac:dyDescent="0.3">
      <c r="A1025" s="652" t="str">
        <f t="shared" si="354"/>
        <v/>
      </c>
      <c r="B1025" s="652"/>
      <c r="C1025" s="685"/>
      <c r="D1025" s="686"/>
      <c r="E1025" s="686"/>
      <c r="F1025" s="720"/>
      <c r="G1025" s="688"/>
      <c r="H1025" s="689"/>
      <c r="I1025" s="851" t="str">
        <f t="shared" si="355"/>
        <v/>
      </c>
      <c r="J1025" s="850" t="str">
        <f t="shared" si="356"/>
        <v/>
      </c>
      <c r="K1025" s="667"/>
      <c r="L1025" s="858"/>
      <c r="M1025" s="859"/>
      <c r="N1025" s="859"/>
      <c r="O1025" s="859"/>
      <c r="P1025" s="859"/>
      <c r="Q1025" s="859"/>
      <c r="R1025" s="859"/>
      <c r="S1025" s="859"/>
      <c r="T1025" s="859"/>
      <c r="U1025" s="859"/>
      <c r="V1025" s="859"/>
      <c r="W1025" s="859"/>
      <c r="X1025" s="859"/>
      <c r="Y1025" s="859"/>
      <c r="Z1025" s="860"/>
      <c r="AA1025" s="860"/>
      <c r="AB1025" s="860"/>
      <c r="AC1025" s="860"/>
      <c r="AD1025" s="860"/>
      <c r="AE1025" s="860"/>
      <c r="AF1025" s="860"/>
      <c r="AG1025" s="860"/>
      <c r="AH1025" s="860"/>
      <c r="AI1025" s="860"/>
      <c r="AJ1025" s="860"/>
      <c r="AK1025" s="860"/>
      <c r="AL1025" s="860"/>
      <c r="AM1025" s="860"/>
      <c r="AN1025" s="860"/>
      <c r="AO1025" s="860"/>
      <c r="AP1025" s="860"/>
      <c r="AQ1025" s="860"/>
      <c r="AR1025" s="860"/>
      <c r="AS1025" s="860"/>
      <c r="AT1025" s="860"/>
      <c r="AU1025" s="860"/>
      <c r="AV1025" s="860"/>
      <c r="AW1025" s="860"/>
      <c r="AX1025" s="860"/>
      <c r="AY1025" s="860"/>
      <c r="AZ1025" s="860"/>
      <c r="BA1025" s="860"/>
      <c r="BB1025" s="860"/>
      <c r="BC1025" s="860"/>
      <c r="BD1025" s="860"/>
      <c r="BE1025" s="860"/>
      <c r="BF1025" s="860"/>
      <c r="BG1025" s="860"/>
      <c r="BH1025" s="668"/>
      <c r="BI1025" s="667"/>
      <c r="BJ1025" s="690">
        <f t="shared" si="357"/>
        <v>0</v>
      </c>
      <c r="BK1025" s="691">
        <f t="shared" si="358"/>
        <v>0</v>
      </c>
      <c r="BL1025" s="654"/>
      <c r="BM1025" s="692">
        <f>SUMIFS(Imput[[Importe Neto]:[Importe Neto]],Imput[[C. Imp.]:[C. Imp.]],$D1025,Imput[[PERIODO Imp.]:[PERIODO Imp.]],BM$9)</f>
        <v>0</v>
      </c>
      <c r="BN1025" s="693">
        <f>SUMIFS(Imput[[Importe Neto]:[Importe Neto]],Imput[[C. Imp.]:[C. Imp.]],$D1025,Imput[[PERIODO Imp.]:[PERIODO Imp.]],BN$9)</f>
        <v>0</v>
      </c>
      <c r="BO1025" s="693">
        <f>SUMIFS(Imput[[Importe Neto]:[Importe Neto]],Imput[[C. Imp.]:[C. Imp.]],$D1025,Imput[[PERIODO Imp.]:[PERIODO Imp.]],BO$9)</f>
        <v>0</v>
      </c>
      <c r="BP1025" s="693">
        <f>SUMIFS(Imput[[Importe Neto]:[Importe Neto]],Imput[[C. Imp.]:[C. Imp.]],$D1025,Imput[[PERIODO Imp.]:[PERIODO Imp.]],BP$9)</f>
        <v>0</v>
      </c>
      <c r="BQ1025" s="693">
        <f>SUMIFS(Imput[[Importe Neto]:[Importe Neto]],Imput[[C. Imp.]:[C. Imp.]],$D1025,Imput[[PERIODO Imp.]:[PERIODO Imp.]],BQ$9)</f>
        <v>0</v>
      </c>
      <c r="BR1025" s="693">
        <f>SUMIFS(Imput[[Importe Neto]:[Importe Neto]],Imput[[C. Imp.]:[C. Imp.]],$D1025,Imput[[PERIODO Imp.]:[PERIODO Imp.]],BR$9)</f>
        <v>0</v>
      </c>
      <c r="BS1025" s="693">
        <f>SUMIFS(Imput[[Importe Neto]:[Importe Neto]],Imput[[C. Imp.]:[C. Imp.]],$D1025,Imput[[PERIODO Imp.]:[PERIODO Imp.]],BS$9)</f>
        <v>0</v>
      </c>
      <c r="BT1025" s="693">
        <f>SUMIFS(Imput[[Importe Neto]:[Importe Neto]],Imput[[C. Imp.]:[C. Imp.]],$D1025,Imput[[PERIODO Imp.]:[PERIODO Imp.]],BT$9)</f>
        <v>0</v>
      </c>
      <c r="BU1025" s="693">
        <f>SUMIFS(Imput[[Importe Neto]:[Importe Neto]],Imput[[C. Imp.]:[C. Imp.]],$D1025,Imput[[PERIODO Imp.]:[PERIODO Imp.]],BU$9)</f>
        <v>0</v>
      </c>
      <c r="BV1025" s="693">
        <f>SUMIFS(Imput[[Importe Neto]:[Importe Neto]],Imput[[C. Imp.]:[C. Imp.]],$D1025,Imput[[PERIODO Imp.]:[PERIODO Imp.]],BV$9)</f>
        <v>0</v>
      </c>
      <c r="BW1025" s="693">
        <f>SUMIFS(Imput[[Importe Neto]:[Importe Neto]],Imput[[C. Imp.]:[C. Imp.]],$D1025,Imput[[PERIODO Imp.]:[PERIODO Imp.]],BW$9)</f>
        <v>0</v>
      </c>
      <c r="BX1025" s="693">
        <f>SUMIFS(Imput[[Importe Neto]:[Importe Neto]],Imput[[C. Imp.]:[C. Imp.]],$D1025,Imput[[PERIODO Imp.]:[PERIODO Imp.]],BX$9)</f>
        <v>0</v>
      </c>
      <c r="BY1025" s="693">
        <f>SUMIFS(Imput[[Importe Neto]:[Importe Neto]],Imput[[C. Imp.]:[C. Imp.]],$D1025,Imput[[PERIODO Imp.]:[PERIODO Imp.]],BY$9)</f>
        <v>0</v>
      </c>
      <c r="BZ1025" s="693">
        <f>SUMIFS(Imput[[Importe Neto]:[Importe Neto]],Imput[[C. Imp.]:[C. Imp.]],$D1025,Imput[[PERIODO Imp.]:[PERIODO Imp.]],BZ$9)</f>
        <v>0</v>
      </c>
      <c r="CA1025" s="693">
        <f>SUMIFS(Imput[[Importe Neto]:[Importe Neto]],Imput[[C. Imp.]:[C. Imp.]],$D1025,Imput[[PERIODO Imp.]:[PERIODO Imp.]],CA$9)</f>
        <v>0</v>
      </c>
      <c r="CB1025" s="693">
        <f>SUMIFS(Imput[[Importe Neto]:[Importe Neto]],Imput[[C. Imp.]:[C. Imp.]],$D1025,Imput[[PERIODO Imp.]:[PERIODO Imp.]],CB$9)</f>
        <v>0</v>
      </c>
      <c r="CC1025" s="693">
        <f>SUMIFS(Imput[[Importe Neto]:[Importe Neto]],Imput[[C. Imp.]:[C. Imp.]],$D1025,Imput[[PERIODO Imp.]:[PERIODO Imp.]],CC$9)</f>
        <v>0</v>
      </c>
      <c r="CD1025" s="693">
        <f>SUMIFS(Imput[[Importe Neto]:[Importe Neto]],Imput[[C. Imp.]:[C. Imp.]],$D1025,Imput[[PERIODO Imp.]:[PERIODO Imp.]],CD$9)</f>
        <v>0</v>
      </c>
      <c r="CE1025" s="693">
        <f>SUMIFS(Imput[[Importe Neto]:[Importe Neto]],Imput[[C. Imp.]:[C. Imp.]],$D1025,Imput[[PERIODO Imp.]:[PERIODO Imp.]],CE$9)</f>
        <v>0</v>
      </c>
      <c r="CF1025" s="693">
        <f>SUMIFS(Imput[[Importe Neto]:[Importe Neto]],Imput[[C. Imp.]:[C. Imp.]],$D1025,Imput[[PERIODO Imp.]:[PERIODO Imp.]],CF$9)</f>
        <v>0</v>
      </c>
      <c r="CG1025" s="693">
        <f>SUMIFS(Imput[[Importe Neto]:[Importe Neto]],Imput[[C. Imp.]:[C. Imp.]],$D1025,Imput[[PERIODO Imp.]:[PERIODO Imp.]],CG$9)</f>
        <v>0</v>
      </c>
      <c r="CH1025" s="693">
        <f>SUMIFS(Imput[[Importe Neto]:[Importe Neto]],Imput[[C. Imp.]:[C. Imp.]],$D1025,Imput[[PERIODO Imp.]:[PERIODO Imp.]],CH$9)</f>
        <v>0</v>
      </c>
      <c r="CI1025" s="693">
        <f>SUMIFS(Imput[[Importe Neto]:[Importe Neto]],Imput[[C. Imp.]:[C. Imp.]],$D1025,Imput[[PERIODO Imp.]:[PERIODO Imp.]],CI$9)</f>
        <v>0</v>
      </c>
      <c r="CJ1025" s="693">
        <f>SUMIFS(Imput[[Importe Neto]:[Importe Neto]],Imput[[C. Imp.]:[C. Imp.]],$D1025,Imput[[PERIODO Imp.]:[PERIODO Imp.]],CJ$9)</f>
        <v>0</v>
      </c>
      <c r="CK1025" s="693">
        <f>SUMIFS(Imput[[Importe Neto]:[Importe Neto]],Imput[[C. Imp.]:[C. Imp.]],$D1025,Imput[[PERIODO Imp.]:[PERIODO Imp.]],CK$9)</f>
        <v>0</v>
      </c>
      <c r="CL1025" s="693">
        <f>SUMIFS(Imput[[Importe Neto]:[Importe Neto]],Imput[[C. Imp.]:[C. Imp.]],$D1025,Imput[[PERIODO Imp.]:[PERIODO Imp.]],CL$9)</f>
        <v>0</v>
      </c>
      <c r="CM1025" s="693">
        <f>SUMIFS(Imput[[Importe Neto]:[Importe Neto]],Imput[[C. Imp.]:[C. Imp.]],$D1025,Imput[[PERIODO Imp.]:[PERIODO Imp.]],CM$9)</f>
        <v>0</v>
      </c>
      <c r="CN1025" s="693">
        <f>SUMIFS(Imput[[Importe Neto]:[Importe Neto]],Imput[[C. Imp.]:[C. Imp.]],$D1025,Imput[[PERIODO Imp.]:[PERIODO Imp.]],CN$9)</f>
        <v>0</v>
      </c>
      <c r="CO1025" s="693">
        <f>SUMIFS(Imput[[Importe Neto]:[Importe Neto]],Imput[[C. Imp.]:[C. Imp.]],$D1025,Imput[[PERIODO Imp.]:[PERIODO Imp.]],CO$9)</f>
        <v>0</v>
      </c>
      <c r="CP1025" s="693">
        <f>SUMIFS(Imput[[Importe Neto]:[Importe Neto]],Imput[[C. Imp.]:[C. Imp.]],$D1025,Imput[[PERIODO Imp.]:[PERIODO Imp.]],CP$9)</f>
        <v>0</v>
      </c>
      <c r="CQ1025" s="693">
        <f>SUMIFS(Imput[[Importe Neto]:[Importe Neto]],Imput[[C. Imp.]:[C. Imp.]],$D1025,Imput[[PERIODO Imp.]:[PERIODO Imp.]],CQ$9)</f>
        <v>0</v>
      </c>
      <c r="CR1025" s="693">
        <f>SUMIFS(Imput[[Importe Neto]:[Importe Neto]],Imput[[C. Imp.]:[C. Imp.]],$D1025,Imput[[PERIODO Imp.]:[PERIODO Imp.]],CR$9)</f>
        <v>0</v>
      </c>
      <c r="CS1025" s="693">
        <f>SUMIFS(Imput[[Importe Neto]:[Importe Neto]],Imput[[C. Imp.]:[C. Imp.]],$D1025,Imput[[PERIODO Imp.]:[PERIODO Imp.]],CS$9)</f>
        <v>0</v>
      </c>
      <c r="CT1025" s="693">
        <f>SUMIFS(Imput[[Importe Neto]:[Importe Neto]],Imput[[C. Imp.]:[C. Imp.]],$D1025,Imput[[PERIODO Imp.]:[PERIODO Imp.]],CT$9)</f>
        <v>0</v>
      </c>
      <c r="CU1025" s="693">
        <f>SUMIFS(Imput[[Importe Neto]:[Importe Neto]],Imput[[C. Imp.]:[C. Imp.]],$D1025,Imput[[PERIODO Imp.]:[PERIODO Imp.]],CU$9)</f>
        <v>0</v>
      </c>
      <c r="CV1025" s="693">
        <f>SUMIFS(Imput[[Importe Neto]:[Importe Neto]],Imput[[C. Imp.]:[C. Imp.]],$D1025,Imput[[PERIODO Imp.]:[PERIODO Imp.]],CV$9)</f>
        <v>0</v>
      </c>
      <c r="CW1025" s="693">
        <f>SUMIFS(Imput[[Importe Neto]:[Importe Neto]],Imput[[C. Imp.]:[C. Imp.]],$D1025,Imput[[PERIODO Imp.]:[PERIODO Imp.]],CW$9)</f>
        <v>0</v>
      </c>
      <c r="CX1025" s="693">
        <f>SUMIFS(Imput[[Importe Neto]:[Importe Neto]],Imput[[C. Imp.]:[C. Imp.]],$D1025,Imput[[PERIODO Imp.]:[PERIODO Imp.]],CX$9)</f>
        <v>0</v>
      </c>
      <c r="CY1025" s="693">
        <f>SUMIFS(Imput[[Importe Neto]:[Importe Neto]],Imput[[C. Imp.]:[C. Imp.]],$D1025,Imput[[PERIODO Imp.]:[PERIODO Imp.]],CY$9)</f>
        <v>0</v>
      </c>
      <c r="CZ1025" s="693">
        <f>SUMIFS(Imput[[Importe Neto]:[Importe Neto]],Imput[[C. Imp.]:[C. Imp.]],$D1025,Imput[[PERIODO Imp.]:[PERIODO Imp.]],CZ$9)</f>
        <v>0</v>
      </c>
      <c r="DA1025" s="693">
        <f>SUMIFS(Imput[[Importe Neto]:[Importe Neto]],Imput[[C. Imp.]:[C. Imp.]],$D1025,Imput[[PERIODO Imp.]:[PERIODO Imp.]],DA$9)</f>
        <v>0</v>
      </c>
      <c r="DB1025" s="693">
        <f>SUMIFS(Imput[[Importe Neto]:[Importe Neto]],Imput[[C. Imp.]:[C. Imp.]],$D1025,Imput[[PERIODO Imp.]:[PERIODO Imp.]],DB$9)</f>
        <v>0</v>
      </c>
      <c r="DC1025" s="693">
        <f>SUMIFS(Imput[[Importe Neto]:[Importe Neto]],Imput[[C. Imp.]:[C. Imp.]],$D1025,Imput[[PERIODO Imp.]:[PERIODO Imp.]],DC$9)</f>
        <v>0</v>
      </c>
      <c r="DD1025" s="693">
        <f>SUMIFS(Imput[[Importe Neto]:[Importe Neto]],Imput[[C. Imp.]:[C. Imp.]],$D1025,Imput[[PERIODO Imp.]:[PERIODO Imp.]],DD$9)</f>
        <v>0</v>
      </c>
      <c r="DE1025" s="693">
        <f>SUMIFS(Imput[[Importe Neto]:[Importe Neto]],Imput[[C. Imp.]:[C. Imp.]],$D1025,Imput[[PERIODO Imp.]:[PERIODO Imp.]],DE$9)</f>
        <v>0</v>
      </c>
      <c r="DF1025" s="693">
        <f>SUMIFS(Imput[[Importe Neto]:[Importe Neto]],Imput[[C. Imp.]:[C. Imp.]],$D1025,Imput[[PERIODO Imp.]:[PERIODO Imp.]],DF$9)</f>
        <v>0</v>
      </c>
      <c r="DG1025" s="693">
        <f>SUMIFS(Imput[[Importe Neto]:[Importe Neto]],Imput[[C. Imp.]:[C. Imp.]],$D1025,Imput[[PERIODO Imp.]:[PERIODO Imp.]],DG$9)</f>
        <v>0</v>
      </c>
      <c r="DH1025" s="694">
        <f>SUMIFS(Imput[[Importe Neto]:[Importe Neto]],Imput[[C. Imp.]:[C. Imp.]],$D1025,Imput[[PERIODO Imp.]:[PERIODO Imp.]],DH$9)</f>
        <v>0</v>
      </c>
    </row>
    <row r="1026" spans="1:112" s="649" customFormat="1" hidden="1" outlineLevel="1" x14ac:dyDescent="0.3">
      <c r="A1026" s="652" t="str">
        <f t="shared" si="354"/>
        <v/>
      </c>
      <c r="B1026" s="652"/>
      <c r="C1026" s="685"/>
      <c r="D1026" s="686"/>
      <c r="E1026" s="686"/>
      <c r="F1026" s="720"/>
      <c r="G1026" s="688"/>
      <c r="H1026" s="689"/>
      <c r="I1026" s="851" t="str">
        <f t="shared" si="355"/>
        <v/>
      </c>
      <c r="J1026" s="850" t="str">
        <f t="shared" si="356"/>
        <v/>
      </c>
      <c r="K1026" s="667"/>
      <c r="L1026" s="858"/>
      <c r="M1026" s="859"/>
      <c r="N1026" s="859"/>
      <c r="O1026" s="859"/>
      <c r="P1026" s="859"/>
      <c r="Q1026" s="859"/>
      <c r="R1026" s="859"/>
      <c r="S1026" s="859"/>
      <c r="T1026" s="859"/>
      <c r="U1026" s="859"/>
      <c r="V1026" s="859"/>
      <c r="W1026" s="859"/>
      <c r="X1026" s="859"/>
      <c r="Y1026" s="859"/>
      <c r="Z1026" s="860"/>
      <c r="AA1026" s="860"/>
      <c r="AB1026" s="860"/>
      <c r="AC1026" s="860"/>
      <c r="AD1026" s="860"/>
      <c r="AE1026" s="860"/>
      <c r="AF1026" s="860"/>
      <c r="AG1026" s="860"/>
      <c r="AH1026" s="860"/>
      <c r="AI1026" s="860"/>
      <c r="AJ1026" s="860"/>
      <c r="AK1026" s="860"/>
      <c r="AL1026" s="860"/>
      <c r="AM1026" s="860"/>
      <c r="AN1026" s="860"/>
      <c r="AO1026" s="860"/>
      <c r="AP1026" s="860"/>
      <c r="AQ1026" s="860"/>
      <c r="AR1026" s="860"/>
      <c r="AS1026" s="860"/>
      <c r="AT1026" s="860"/>
      <c r="AU1026" s="860"/>
      <c r="AV1026" s="860"/>
      <c r="AW1026" s="860"/>
      <c r="AX1026" s="860"/>
      <c r="AY1026" s="860"/>
      <c r="AZ1026" s="860"/>
      <c r="BA1026" s="860"/>
      <c r="BB1026" s="860"/>
      <c r="BC1026" s="860"/>
      <c r="BD1026" s="860"/>
      <c r="BE1026" s="860"/>
      <c r="BF1026" s="860"/>
      <c r="BG1026" s="860"/>
      <c r="BH1026" s="668"/>
      <c r="BI1026" s="667"/>
      <c r="BJ1026" s="690">
        <f t="shared" si="357"/>
        <v>0</v>
      </c>
      <c r="BK1026" s="691">
        <f t="shared" si="358"/>
        <v>0</v>
      </c>
      <c r="BL1026" s="654"/>
      <c r="BM1026" s="692">
        <f>SUMIFS(Imput[[Importe Neto]:[Importe Neto]],Imput[[C. Imp.]:[C. Imp.]],$D1026,Imput[[PERIODO Imp.]:[PERIODO Imp.]],BM$9)</f>
        <v>0</v>
      </c>
      <c r="BN1026" s="693">
        <f>SUMIFS(Imput[[Importe Neto]:[Importe Neto]],Imput[[C. Imp.]:[C. Imp.]],$D1026,Imput[[PERIODO Imp.]:[PERIODO Imp.]],BN$9)</f>
        <v>0</v>
      </c>
      <c r="BO1026" s="693">
        <f>SUMIFS(Imput[[Importe Neto]:[Importe Neto]],Imput[[C. Imp.]:[C. Imp.]],$D1026,Imput[[PERIODO Imp.]:[PERIODO Imp.]],BO$9)</f>
        <v>0</v>
      </c>
      <c r="BP1026" s="693">
        <f>SUMIFS(Imput[[Importe Neto]:[Importe Neto]],Imput[[C. Imp.]:[C. Imp.]],$D1026,Imput[[PERIODO Imp.]:[PERIODO Imp.]],BP$9)</f>
        <v>0</v>
      </c>
      <c r="BQ1026" s="693">
        <f>SUMIFS(Imput[[Importe Neto]:[Importe Neto]],Imput[[C. Imp.]:[C. Imp.]],$D1026,Imput[[PERIODO Imp.]:[PERIODO Imp.]],BQ$9)</f>
        <v>0</v>
      </c>
      <c r="BR1026" s="693">
        <f>SUMIFS(Imput[[Importe Neto]:[Importe Neto]],Imput[[C. Imp.]:[C. Imp.]],$D1026,Imput[[PERIODO Imp.]:[PERIODO Imp.]],BR$9)</f>
        <v>0</v>
      </c>
      <c r="BS1026" s="693">
        <f>SUMIFS(Imput[[Importe Neto]:[Importe Neto]],Imput[[C. Imp.]:[C. Imp.]],$D1026,Imput[[PERIODO Imp.]:[PERIODO Imp.]],BS$9)</f>
        <v>0</v>
      </c>
      <c r="BT1026" s="693">
        <f>SUMIFS(Imput[[Importe Neto]:[Importe Neto]],Imput[[C. Imp.]:[C. Imp.]],$D1026,Imput[[PERIODO Imp.]:[PERIODO Imp.]],BT$9)</f>
        <v>0</v>
      </c>
      <c r="BU1026" s="693">
        <f>SUMIFS(Imput[[Importe Neto]:[Importe Neto]],Imput[[C. Imp.]:[C. Imp.]],$D1026,Imput[[PERIODO Imp.]:[PERIODO Imp.]],BU$9)</f>
        <v>0</v>
      </c>
      <c r="BV1026" s="693">
        <f>SUMIFS(Imput[[Importe Neto]:[Importe Neto]],Imput[[C. Imp.]:[C. Imp.]],$D1026,Imput[[PERIODO Imp.]:[PERIODO Imp.]],BV$9)</f>
        <v>0</v>
      </c>
      <c r="BW1026" s="693">
        <f>SUMIFS(Imput[[Importe Neto]:[Importe Neto]],Imput[[C. Imp.]:[C. Imp.]],$D1026,Imput[[PERIODO Imp.]:[PERIODO Imp.]],BW$9)</f>
        <v>0</v>
      </c>
      <c r="BX1026" s="693">
        <f>SUMIFS(Imput[[Importe Neto]:[Importe Neto]],Imput[[C. Imp.]:[C. Imp.]],$D1026,Imput[[PERIODO Imp.]:[PERIODO Imp.]],BX$9)</f>
        <v>0</v>
      </c>
      <c r="BY1026" s="693">
        <f>SUMIFS(Imput[[Importe Neto]:[Importe Neto]],Imput[[C. Imp.]:[C. Imp.]],$D1026,Imput[[PERIODO Imp.]:[PERIODO Imp.]],BY$9)</f>
        <v>0</v>
      </c>
      <c r="BZ1026" s="693">
        <f>SUMIFS(Imput[[Importe Neto]:[Importe Neto]],Imput[[C. Imp.]:[C. Imp.]],$D1026,Imput[[PERIODO Imp.]:[PERIODO Imp.]],BZ$9)</f>
        <v>0</v>
      </c>
      <c r="CA1026" s="693">
        <f>SUMIFS(Imput[[Importe Neto]:[Importe Neto]],Imput[[C. Imp.]:[C. Imp.]],$D1026,Imput[[PERIODO Imp.]:[PERIODO Imp.]],CA$9)</f>
        <v>0</v>
      </c>
      <c r="CB1026" s="693">
        <f>SUMIFS(Imput[[Importe Neto]:[Importe Neto]],Imput[[C. Imp.]:[C. Imp.]],$D1026,Imput[[PERIODO Imp.]:[PERIODO Imp.]],CB$9)</f>
        <v>0</v>
      </c>
      <c r="CC1026" s="693">
        <f>SUMIFS(Imput[[Importe Neto]:[Importe Neto]],Imput[[C. Imp.]:[C. Imp.]],$D1026,Imput[[PERIODO Imp.]:[PERIODO Imp.]],CC$9)</f>
        <v>0</v>
      </c>
      <c r="CD1026" s="693">
        <f>SUMIFS(Imput[[Importe Neto]:[Importe Neto]],Imput[[C. Imp.]:[C. Imp.]],$D1026,Imput[[PERIODO Imp.]:[PERIODO Imp.]],CD$9)</f>
        <v>0</v>
      </c>
      <c r="CE1026" s="693">
        <f>SUMIFS(Imput[[Importe Neto]:[Importe Neto]],Imput[[C. Imp.]:[C. Imp.]],$D1026,Imput[[PERIODO Imp.]:[PERIODO Imp.]],CE$9)</f>
        <v>0</v>
      </c>
      <c r="CF1026" s="693">
        <f>SUMIFS(Imput[[Importe Neto]:[Importe Neto]],Imput[[C. Imp.]:[C. Imp.]],$D1026,Imput[[PERIODO Imp.]:[PERIODO Imp.]],CF$9)</f>
        <v>0</v>
      </c>
      <c r="CG1026" s="693">
        <f>SUMIFS(Imput[[Importe Neto]:[Importe Neto]],Imput[[C. Imp.]:[C. Imp.]],$D1026,Imput[[PERIODO Imp.]:[PERIODO Imp.]],CG$9)</f>
        <v>0</v>
      </c>
      <c r="CH1026" s="693">
        <f>SUMIFS(Imput[[Importe Neto]:[Importe Neto]],Imput[[C. Imp.]:[C. Imp.]],$D1026,Imput[[PERIODO Imp.]:[PERIODO Imp.]],CH$9)</f>
        <v>0</v>
      </c>
      <c r="CI1026" s="693">
        <f>SUMIFS(Imput[[Importe Neto]:[Importe Neto]],Imput[[C. Imp.]:[C. Imp.]],$D1026,Imput[[PERIODO Imp.]:[PERIODO Imp.]],CI$9)</f>
        <v>0</v>
      </c>
      <c r="CJ1026" s="693">
        <f>SUMIFS(Imput[[Importe Neto]:[Importe Neto]],Imput[[C. Imp.]:[C. Imp.]],$D1026,Imput[[PERIODO Imp.]:[PERIODO Imp.]],CJ$9)</f>
        <v>0</v>
      </c>
      <c r="CK1026" s="693">
        <f>SUMIFS(Imput[[Importe Neto]:[Importe Neto]],Imput[[C. Imp.]:[C. Imp.]],$D1026,Imput[[PERIODO Imp.]:[PERIODO Imp.]],CK$9)</f>
        <v>0</v>
      </c>
      <c r="CL1026" s="693">
        <f>SUMIFS(Imput[[Importe Neto]:[Importe Neto]],Imput[[C. Imp.]:[C. Imp.]],$D1026,Imput[[PERIODO Imp.]:[PERIODO Imp.]],CL$9)</f>
        <v>0</v>
      </c>
      <c r="CM1026" s="693">
        <f>SUMIFS(Imput[[Importe Neto]:[Importe Neto]],Imput[[C. Imp.]:[C. Imp.]],$D1026,Imput[[PERIODO Imp.]:[PERIODO Imp.]],CM$9)</f>
        <v>0</v>
      </c>
      <c r="CN1026" s="693">
        <f>SUMIFS(Imput[[Importe Neto]:[Importe Neto]],Imput[[C. Imp.]:[C. Imp.]],$D1026,Imput[[PERIODO Imp.]:[PERIODO Imp.]],CN$9)</f>
        <v>0</v>
      </c>
      <c r="CO1026" s="693">
        <f>SUMIFS(Imput[[Importe Neto]:[Importe Neto]],Imput[[C. Imp.]:[C. Imp.]],$D1026,Imput[[PERIODO Imp.]:[PERIODO Imp.]],CO$9)</f>
        <v>0</v>
      </c>
      <c r="CP1026" s="693">
        <f>SUMIFS(Imput[[Importe Neto]:[Importe Neto]],Imput[[C. Imp.]:[C. Imp.]],$D1026,Imput[[PERIODO Imp.]:[PERIODO Imp.]],CP$9)</f>
        <v>0</v>
      </c>
      <c r="CQ1026" s="693">
        <f>SUMIFS(Imput[[Importe Neto]:[Importe Neto]],Imput[[C. Imp.]:[C. Imp.]],$D1026,Imput[[PERIODO Imp.]:[PERIODO Imp.]],CQ$9)</f>
        <v>0</v>
      </c>
      <c r="CR1026" s="693">
        <f>SUMIFS(Imput[[Importe Neto]:[Importe Neto]],Imput[[C. Imp.]:[C. Imp.]],$D1026,Imput[[PERIODO Imp.]:[PERIODO Imp.]],CR$9)</f>
        <v>0</v>
      </c>
      <c r="CS1026" s="693">
        <f>SUMIFS(Imput[[Importe Neto]:[Importe Neto]],Imput[[C. Imp.]:[C. Imp.]],$D1026,Imput[[PERIODO Imp.]:[PERIODO Imp.]],CS$9)</f>
        <v>0</v>
      </c>
      <c r="CT1026" s="693">
        <f>SUMIFS(Imput[[Importe Neto]:[Importe Neto]],Imput[[C. Imp.]:[C. Imp.]],$D1026,Imput[[PERIODO Imp.]:[PERIODO Imp.]],CT$9)</f>
        <v>0</v>
      </c>
      <c r="CU1026" s="693">
        <f>SUMIFS(Imput[[Importe Neto]:[Importe Neto]],Imput[[C. Imp.]:[C. Imp.]],$D1026,Imput[[PERIODO Imp.]:[PERIODO Imp.]],CU$9)</f>
        <v>0</v>
      </c>
      <c r="CV1026" s="693">
        <f>SUMIFS(Imput[[Importe Neto]:[Importe Neto]],Imput[[C. Imp.]:[C. Imp.]],$D1026,Imput[[PERIODO Imp.]:[PERIODO Imp.]],CV$9)</f>
        <v>0</v>
      </c>
      <c r="CW1026" s="693">
        <f>SUMIFS(Imput[[Importe Neto]:[Importe Neto]],Imput[[C. Imp.]:[C. Imp.]],$D1026,Imput[[PERIODO Imp.]:[PERIODO Imp.]],CW$9)</f>
        <v>0</v>
      </c>
      <c r="CX1026" s="693">
        <f>SUMIFS(Imput[[Importe Neto]:[Importe Neto]],Imput[[C. Imp.]:[C. Imp.]],$D1026,Imput[[PERIODO Imp.]:[PERIODO Imp.]],CX$9)</f>
        <v>0</v>
      </c>
      <c r="CY1026" s="693">
        <f>SUMIFS(Imput[[Importe Neto]:[Importe Neto]],Imput[[C. Imp.]:[C. Imp.]],$D1026,Imput[[PERIODO Imp.]:[PERIODO Imp.]],CY$9)</f>
        <v>0</v>
      </c>
      <c r="CZ1026" s="693">
        <f>SUMIFS(Imput[[Importe Neto]:[Importe Neto]],Imput[[C. Imp.]:[C. Imp.]],$D1026,Imput[[PERIODO Imp.]:[PERIODO Imp.]],CZ$9)</f>
        <v>0</v>
      </c>
      <c r="DA1026" s="693">
        <f>SUMIFS(Imput[[Importe Neto]:[Importe Neto]],Imput[[C. Imp.]:[C. Imp.]],$D1026,Imput[[PERIODO Imp.]:[PERIODO Imp.]],DA$9)</f>
        <v>0</v>
      </c>
      <c r="DB1026" s="693">
        <f>SUMIFS(Imput[[Importe Neto]:[Importe Neto]],Imput[[C. Imp.]:[C. Imp.]],$D1026,Imput[[PERIODO Imp.]:[PERIODO Imp.]],DB$9)</f>
        <v>0</v>
      </c>
      <c r="DC1026" s="693">
        <f>SUMIFS(Imput[[Importe Neto]:[Importe Neto]],Imput[[C. Imp.]:[C. Imp.]],$D1026,Imput[[PERIODO Imp.]:[PERIODO Imp.]],DC$9)</f>
        <v>0</v>
      </c>
      <c r="DD1026" s="693">
        <f>SUMIFS(Imput[[Importe Neto]:[Importe Neto]],Imput[[C. Imp.]:[C. Imp.]],$D1026,Imput[[PERIODO Imp.]:[PERIODO Imp.]],DD$9)</f>
        <v>0</v>
      </c>
      <c r="DE1026" s="693">
        <f>SUMIFS(Imput[[Importe Neto]:[Importe Neto]],Imput[[C. Imp.]:[C. Imp.]],$D1026,Imput[[PERIODO Imp.]:[PERIODO Imp.]],DE$9)</f>
        <v>0</v>
      </c>
      <c r="DF1026" s="693">
        <f>SUMIFS(Imput[[Importe Neto]:[Importe Neto]],Imput[[C. Imp.]:[C. Imp.]],$D1026,Imput[[PERIODO Imp.]:[PERIODO Imp.]],DF$9)</f>
        <v>0</v>
      </c>
      <c r="DG1026" s="693">
        <f>SUMIFS(Imput[[Importe Neto]:[Importe Neto]],Imput[[C. Imp.]:[C. Imp.]],$D1026,Imput[[PERIODO Imp.]:[PERIODO Imp.]],DG$9)</f>
        <v>0</v>
      </c>
      <c r="DH1026" s="694">
        <f>SUMIFS(Imput[[Importe Neto]:[Importe Neto]],Imput[[C. Imp.]:[C. Imp.]],$D1026,Imput[[PERIODO Imp.]:[PERIODO Imp.]],DH$9)</f>
        <v>0</v>
      </c>
    </row>
    <row r="1027" spans="1:112" s="649" customFormat="1" hidden="1" outlineLevel="1" x14ac:dyDescent="0.3">
      <c r="A1027" s="652" t="str">
        <f t="shared" si="354"/>
        <v/>
      </c>
      <c r="B1027" s="652"/>
      <c r="C1027" s="685"/>
      <c r="D1027" s="686"/>
      <c r="E1027" s="686"/>
      <c r="F1027" s="720"/>
      <c r="G1027" s="688"/>
      <c r="H1027" s="689"/>
      <c r="I1027" s="851" t="str">
        <f t="shared" si="355"/>
        <v/>
      </c>
      <c r="J1027" s="850" t="str">
        <f t="shared" si="356"/>
        <v/>
      </c>
      <c r="K1027" s="667"/>
      <c r="L1027" s="858"/>
      <c r="M1027" s="859"/>
      <c r="N1027" s="859"/>
      <c r="O1027" s="859"/>
      <c r="P1027" s="859"/>
      <c r="Q1027" s="859"/>
      <c r="R1027" s="859"/>
      <c r="S1027" s="859"/>
      <c r="T1027" s="859"/>
      <c r="U1027" s="859"/>
      <c r="V1027" s="859"/>
      <c r="W1027" s="859"/>
      <c r="X1027" s="859"/>
      <c r="Y1027" s="859"/>
      <c r="Z1027" s="860"/>
      <c r="AA1027" s="860"/>
      <c r="AB1027" s="860"/>
      <c r="AC1027" s="860"/>
      <c r="AD1027" s="860"/>
      <c r="AE1027" s="860"/>
      <c r="AF1027" s="860"/>
      <c r="AG1027" s="860"/>
      <c r="AH1027" s="860"/>
      <c r="AI1027" s="860"/>
      <c r="AJ1027" s="860"/>
      <c r="AK1027" s="860"/>
      <c r="AL1027" s="860"/>
      <c r="AM1027" s="860"/>
      <c r="AN1027" s="860"/>
      <c r="AO1027" s="860"/>
      <c r="AP1027" s="860"/>
      <c r="AQ1027" s="860"/>
      <c r="AR1027" s="860"/>
      <c r="AS1027" s="860"/>
      <c r="AT1027" s="860"/>
      <c r="AU1027" s="860"/>
      <c r="AV1027" s="860"/>
      <c r="AW1027" s="860"/>
      <c r="AX1027" s="860"/>
      <c r="AY1027" s="860"/>
      <c r="AZ1027" s="860"/>
      <c r="BA1027" s="860"/>
      <c r="BB1027" s="860"/>
      <c r="BC1027" s="860"/>
      <c r="BD1027" s="860"/>
      <c r="BE1027" s="860"/>
      <c r="BF1027" s="860"/>
      <c r="BG1027" s="860"/>
      <c r="BH1027" s="668"/>
      <c r="BI1027" s="667"/>
      <c r="BJ1027" s="690">
        <f t="shared" si="357"/>
        <v>0</v>
      </c>
      <c r="BK1027" s="691">
        <f t="shared" si="358"/>
        <v>0</v>
      </c>
      <c r="BL1027" s="654"/>
      <c r="BM1027" s="692">
        <f>SUMIFS(Imput[[Importe Neto]:[Importe Neto]],Imput[[C. Imp.]:[C. Imp.]],$D1027,Imput[[PERIODO Imp.]:[PERIODO Imp.]],BM$9)</f>
        <v>0</v>
      </c>
      <c r="BN1027" s="693">
        <f>SUMIFS(Imput[[Importe Neto]:[Importe Neto]],Imput[[C. Imp.]:[C. Imp.]],$D1027,Imput[[PERIODO Imp.]:[PERIODO Imp.]],BN$9)</f>
        <v>0</v>
      </c>
      <c r="BO1027" s="693">
        <f>SUMIFS(Imput[[Importe Neto]:[Importe Neto]],Imput[[C. Imp.]:[C. Imp.]],$D1027,Imput[[PERIODO Imp.]:[PERIODO Imp.]],BO$9)</f>
        <v>0</v>
      </c>
      <c r="BP1027" s="693">
        <f>SUMIFS(Imput[[Importe Neto]:[Importe Neto]],Imput[[C. Imp.]:[C. Imp.]],$D1027,Imput[[PERIODO Imp.]:[PERIODO Imp.]],BP$9)</f>
        <v>0</v>
      </c>
      <c r="BQ1027" s="693">
        <f>SUMIFS(Imput[[Importe Neto]:[Importe Neto]],Imput[[C. Imp.]:[C. Imp.]],$D1027,Imput[[PERIODO Imp.]:[PERIODO Imp.]],BQ$9)</f>
        <v>0</v>
      </c>
      <c r="BR1027" s="693">
        <f>SUMIFS(Imput[[Importe Neto]:[Importe Neto]],Imput[[C. Imp.]:[C. Imp.]],$D1027,Imput[[PERIODO Imp.]:[PERIODO Imp.]],BR$9)</f>
        <v>0</v>
      </c>
      <c r="BS1027" s="693">
        <f>SUMIFS(Imput[[Importe Neto]:[Importe Neto]],Imput[[C. Imp.]:[C. Imp.]],$D1027,Imput[[PERIODO Imp.]:[PERIODO Imp.]],BS$9)</f>
        <v>0</v>
      </c>
      <c r="BT1027" s="693">
        <f>SUMIFS(Imput[[Importe Neto]:[Importe Neto]],Imput[[C. Imp.]:[C. Imp.]],$D1027,Imput[[PERIODO Imp.]:[PERIODO Imp.]],BT$9)</f>
        <v>0</v>
      </c>
      <c r="BU1027" s="693">
        <f>SUMIFS(Imput[[Importe Neto]:[Importe Neto]],Imput[[C. Imp.]:[C. Imp.]],$D1027,Imput[[PERIODO Imp.]:[PERIODO Imp.]],BU$9)</f>
        <v>0</v>
      </c>
      <c r="BV1027" s="693">
        <f>SUMIFS(Imput[[Importe Neto]:[Importe Neto]],Imput[[C. Imp.]:[C. Imp.]],$D1027,Imput[[PERIODO Imp.]:[PERIODO Imp.]],BV$9)</f>
        <v>0</v>
      </c>
      <c r="BW1027" s="693">
        <f>SUMIFS(Imput[[Importe Neto]:[Importe Neto]],Imput[[C. Imp.]:[C. Imp.]],$D1027,Imput[[PERIODO Imp.]:[PERIODO Imp.]],BW$9)</f>
        <v>0</v>
      </c>
      <c r="BX1027" s="693">
        <f>SUMIFS(Imput[[Importe Neto]:[Importe Neto]],Imput[[C. Imp.]:[C. Imp.]],$D1027,Imput[[PERIODO Imp.]:[PERIODO Imp.]],BX$9)</f>
        <v>0</v>
      </c>
      <c r="BY1027" s="693">
        <f>SUMIFS(Imput[[Importe Neto]:[Importe Neto]],Imput[[C. Imp.]:[C. Imp.]],$D1027,Imput[[PERIODO Imp.]:[PERIODO Imp.]],BY$9)</f>
        <v>0</v>
      </c>
      <c r="BZ1027" s="693">
        <f>SUMIFS(Imput[[Importe Neto]:[Importe Neto]],Imput[[C. Imp.]:[C. Imp.]],$D1027,Imput[[PERIODO Imp.]:[PERIODO Imp.]],BZ$9)</f>
        <v>0</v>
      </c>
      <c r="CA1027" s="693">
        <f>SUMIFS(Imput[[Importe Neto]:[Importe Neto]],Imput[[C. Imp.]:[C. Imp.]],$D1027,Imput[[PERIODO Imp.]:[PERIODO Imp.]],CA$9)</f>
        <v>0</v>
      </c>
      <c r="CB1027" s="693">
        <f>SUMIFS(Imput[[Importe Neto]:[Importe Neto]],Imput[[C. Imp.]:[C. Imp.]],$D1027,Imput[[PERIODO Imp.]:[PERIODO Imp.]],CB$9)</f>
        <v>0</v>
      </c>
      <c r="CC1027" s="693">
        <f>SUMIFS(Imput[[Importe Neto]:[Importe Neto]],Imput[[C. Imp.]:[C. Imp.]],$D1027,Imput[[PERIODO Imp.]:[PERIODO Imp.]],CC$9)</f>
        <v>0</v>
      </c>
      <c r="CD1027" s="693">
        <f>SUMIFS(Imput[[Importe Neto]:[Importe Neto]],Imput[[C. Imp.]:[C. Imp.]],$D1027,Imput[[PERIODO Imp.]:[PERIODO Imp.]],CD$9)</f>
        <v>0</v>
      </c>
      <c r="CE1027" s="693">
        <f>SUMIFS(Imput[[Importe Neto]:[Importe Neto]],Imput[[C. Imp.]:[C. Imp.]],$D1027,Imput[[PERIODO Imp.]:[PERIODO Imp.]],CE$9)</f>
        <v>0</v>
      </c>
      <c r="CF1027" s="693">
        <f>SUMIFS(Imput[[Importe Neto]:[Importe Neto]],Imput[[C. Imp.]:[C. Imp.]],$D1027,Imput[[PERIODO Imp.]:[PERIODO Imp.]],CF$9)</f>
        <v>0</v>
      </c>
      <c r="CG1027" s="693">
        <f>SUMIFS(Imput[[Importe Neto]:[Importe Neto]],Imput[[C. Imp.]:[C. Imp.]],$D1027,Imput[[PERIODO Imp.]:[PERIODO Imp.]],CG$9)</f>
        <v>0</v>
      </c>
      <c r="CH1027" s="693">
        <f>SUMIFS(Imput[[Importe Neto]:[Importe Neto]],Imput[[C. Imp.]:[C. Imp.]],$D1027,Imput[[PERIODO Imp.]:[PERIODO Imp.]],CH$9)</f>
        <v>0</v>
      </c>
      <c r="CI1027" s="693">
        <f>SUMIFS(Imput[[Importe Neto]:[Importe Neto]],Imput[[C. Imp.]:[C. Imp.]],$D1027,Imput[[PERIODO Imp.]:[PERIODO Imp.]],CI$9)</f>
        <v>0</v>
      </c>
      <c r="CJ1027" s="693">
        <f>SUMIFS(Imput[[Importe Neto]:[Importe Neto]],Imput[[C. Imp.]:[C. Imp.]],$D1027,Imput[[PERIODO Imp.]:[PERIODO Imp.]],CJ$9)</f>
        <v>0</v>
      </c>
      <c r="CK1027" s="693">
        <f>SUMIFS(Imput[[Importe Neto]:[Importe Neto]],Imput[[C. Imp.]:[C. Imp.]],$D1027,Imput[[PERIODO Imp.]:[PERIODO Imp.]],CK$9)</f>
        <v>0</v>
      </c>
      <c r="CL1027" s="693">
        <f>SUMIFS(Imput[[Importe Neto]:[Importe Neto]],Imput[[C. Imp.]:[C. Imp.]],$D1027,Imput[[PERIODO Imp.]:[PERIODO Imp.]],CL$9)</f>
        <v>0</v>
      </c>
      <c r="CM1027" s="693">
        <f>SUMIFS(Imput[[Importe Neto]:[Importe Neto]],Imput[[C. Imp.]:[C. Imp.]],$D1027,Imput[[PERIODO Imp.]:[PERIODO Imp.]],CM$9)</f>
        <v>0</v>
      </c>
      <c r="CN1027" s="693">
        <f>SUMIFS(Imput[[Importe Neto]:[Importe Neto]],Imput[[C. Imp.]:[C. Imp.]],$D1027,Imput[[PERIODO Imp.]:[PERIODO Imp.]],CN$9)</f>
        <v>0</v>
      </c>
      <c r="CO1027" s="693">
        <f>SUMIFS(Imput[[Importe Neto]:[Importe Neto]],Imput[[C. Imp.]:[C. Imp.]],$D1027,Imput[[PERIODO Imp.]:[PERIODO Imp.]],CO$9)</f>
        <v>0</v>
      </c>
      <c r="CP1027" s="693">
        <f>SUMIFS(Imput[[Importe Neto]:[Importe Neto]],Imput[[C. Imp.]:[C. Imp.]],$D1027,Imput[[PERIODO Imp.]:[PERIODO Imp.]],CP$9)</f>
        <v>0</v>
      </c>
      <c r="CQ1027" s="693">
        <f>SUMIFS(Imput[[Importe Neto]:[Importe Neto]],Imput[[C. Imp.]:[C. Imp.]],$D1027,Imput[[PERIODO Imp.]:[PERIODO Imp.]],CQ$9)</f>
        <v>0</v>
      </c>
      <c r="CR1027" s="693">
        <f>SUMIFS(Imput[[Importe Neto]:[Importe Neto]],Imput[[C. Imp.]:[C. Imp.]],$D1027,Imput[[PERIODO Imp.]:[PERIODO Imp.]],CR$9)</f>
        <v>0</v>
      </c>
      <c r="CS1027" s="693">
        <f>SUMIFS(Imput[[Importe Neto]:[Importe Neto]],Imput[[C. Imp.]:[C. Imp.]],$D1027,Imput[[PERIODO Imp.]:[PERIODO Imp.]],CS$9)</f>
        <v>0</v>
      </c>
      <c r="CT1027" s="693">
        <f>SUMIFS(Imput[[Importe Neto]:[Importe Neto]],Imput[[C. Imp.]:[C. Imp.]],$D1027,Imput[[PERIODO Imp.]:[PERIODO Imp.]],CT$9)</f>
        <v>0</v>
      </c>
      <c r="CU1027" s="693">
        <f>SUMIFS(Imput[[Importe Neto]:[Importe Neto]],Imput[[C. Imp.]:[C. Imp.]],$D1027,Imput[[PERIODO Imp.]:[PERIODO Imp.]],CU$9)</f>
        <v>0</v>
      </c>
      <c r="CV1027" s="693">
        <f>SUMIFS(Imput[[Importe Neto]:[Importe Neto]],Imput[[C. Imp.]:[C. Imp.]],$D1027,Imput[[PERIODO Imp.]:[PERIODO Imp.]],CV$9)</f>
        <v>0</v>
      </c>
      <c r="CW1027" s="693">
        <f>SUMIFS(Imput[[Importe Neto]:[Importe Neto]],Imput[[C. Imp.]:[C. Imp.]],$D1027,Imput[[PERIODO Imp.]:[PERIODO Imp.]],CW$9)</f>
        <v>0</v>
      </c>
      <c r="CX1027" s="693">
        <f>SUMIFS(Imput[[Importe Neto]:[Importe Neto]],Imput[[C. Imp.]:[C. Imp.]],$D1027,Imput[[PERIODO Imp.]:[PERIODO Imp.]],CX$9)</f>
        <v>0</v>
      </c>
      <c r="CY1027" s="693">
        <f>SUMIFS(Imput[[Importe Neto]:[Importe Neto]],Imput[[C. Imp.]:[C. Imp.]],$D1027,Imput[[PERIODO Imp.]:[PERIODO Imp.]],CY$9)</f>
        <v>0</v>
      </c>
      <c r="CZ1027" s="693">
        <f>SUMIFS(Imput[[Importe Neto]:[Importe Neto]],Imput[[C. Imp.]:[C. Imp.]],$D1027,Imput[[PERIODO Imp.]:[PERIODO Imp.]],CZ$9)</f>
        <v>0</v>
      </c>
      <c r="DA1027" s="693">
        <f>SUMIFS(Imput[[Importe Neto]:[Importe Neto]],Imput[[C. Imp.]:[C. Imp.]],$D1027,Imput[[PERIODO Imp.]:[PERIODO Imp.]],DA$9)</f>
        <v>0</v>
      </c>
      <c r="DB1027" s="693">
        <f>SUMIFS(Imput[[Importe Neto]:[Importe Neto]],Imput[[C. Imp.]:[C. Imp.]],$D1027,Imput[[PERIODO Imp.]:[PERIODO Imp.]],DB$9)</f>
        <v>0</v>
      </c>
      <c r="DC1027" s="693">
        <f>SUMIFS(Imput[[Importe Neto]:[Importe Neto]],Imput[[C. Imp.]:[C. Imp.]],$D1027,Imput[[PERIODO Imp.]:[PERIODO Imp.]],DC$9)</f>
        <v>0</v>
      </c>
      <c r="DD1027" s="693">
        <f>SUMIFS(Imput[[Importe Neto]:[Importe Neto]],Imput[[C. Imp.]:[C. Imp.]],$D1027,Imput[[PERIODO Imp.]:[PERIODO Imp.]],DD$9)</f>
        <v>0</v>
      </c>
      <c r="DE1027" s="693">
        <f>SUMIFS(Imput[[Importe Neto]:[Importe Neto]],Imput[[C. Imp.]:[C. Imp.]],$D1027,Imput[[PERIODO Imp.]:[PERIODO Imp.]],DE$9)</f>
        <v>0</v>
      </c>
      <c r="DF1027" s="693">
        <f>SUMIFS(Imput[[Importe Neto]:[Importe Neto]],Imput[[C. Imp.]:[C. Imp.]],$D1027,Imput[[PERIODO Imp.]:[PERIODO Imp.]],DF$9)</f>
        <v>0</v>
      </c>
      <c r="DG1027" s="693">
        <f>SUMIFS(Imput[[Importe Neto]:[Importe Neto]],Imput[[C. Imp.]:[C. Imp.]],$D1027,Imput[[PERIODO Imp.]:[PERIODO Imp.]],DG$9)</f>
        <v>0</v>
      </c>
      <c r="DH1027" s="694">
        <f>SUMIFS(Imput[[Importe Neto]:[Importe Neto]],Imput[[C. Imp.]:[C. Imp.]],$D1027,Imput[[PERIODO Imp.]:[PERIODO Imp.]],DH$9)</f>
        <v>0</v>
      </c>
    </row>
    <row r="1028" spans="1:112" s="649" customFormat="1" hidden="1" outlineLevel="1" x14ac:dyDescent="0.3">
      <c r="A1028" s="652" t="str">
        <f t="shared" si="354"/>
        <v/>
      </c>
      <c r="B1028" s="652"/>
      <c r="C1028" s="685"/>
      <c r="D1028" s="686"/>
      <c r="E1028" s="686"/>
      <c r="F1028" s="720"/>
      <c r="G1028" s="688"/>
      <c r="H1028" s="689"/>
      <c r="I1028" s="851" t="str">
        <f t="shared" si="355"/>
        <v/>
      </c>
      <c r="J1028" s="850" t="str">
        <f t="shared" si="356"/>
        <v/>
      </c>
      <c r="K1028" s="667"/>
      <c r="L1028" s="858"/>
      <c r="M1028" s="859"/>
      <c r="N1028" s="859"/>
      <c r="O1028" s="859"/>
      <c r="P1028" s="859"/>
      <c r="Q1028" s="859"/>
      <c r="R1028" s="859"/>
      <c r="S1028" s="859"/>
      <c r="T1028" s="859"/>
      <c r="U1028" s="859"/>
      <c r="V1028" s="859"/>
      <c r="W1028" s="859"/>
      <c r="X1028" s="859"/>
      <c r="Y1028" s="859"/>
      <c r="Z1028" s="860"/>
      <c r="AA1028" s="860"/>
      <c r="AB1028" s="860"/>
      <c r="AC1028" s="860"/>
      <c r="AD1028" s="860"/>
      <c r="AE1028" s="860"/>
      <c r="AF1028" s="860"/>
      <c r="AG1028" s="860"/>
      <c r="AH1028" s="860"/>
      <c r="AI1028" s="860"/>
      <c r="AJ1028" s="860"/>
      <c r="AK1028" s="860"/>
      <c r="AL1028" s="860"/>
      <c r="AM1028" s="860"/>
      <c r="AN1028" s="860"/>
      <c r="AO1028" s="860"/>
      <c r="AP1028" s="860"/>
      <c r="AQ1028" s="860"/>
      <c r="AR1028" s="860"/>
      <c r="AS1028" s="860"/>
      <c r="AT1028" s="860"/>
      <c r="AU1028" s="860"/>
      <c r="AV1028" s="860"/>
      <c r="AW1028" s="860"/>
      <c r="AX1028" s="860"/>
      <c r="AY1028" s="860"/>
      <c r="AZ1028" s="860"/>
      <c r="BA1028" s="860"/>
      <c r="BB1028" s="860"/>
      <c r="BC1028" s="860"/>
      <c r="BD1028" s="860"/>
      <c r="BE1028" s="860"/>
      <c r="BF1028" s="860"/>
      <c r="BG1028" s="860"/>
      <c r="BH1028" s="668"/>
      <c r="BI1028" s="667"/>
      <c r="BJ1028" s="690">
        <f t="shared" si="357"/>
        <v>0</v>
      </c>
      <c r="BK1028" s="691">
        <f t="shared" si="358"/>
        <v>0</v>
      </c>
      <c r="BL1028" s="654"/>
      <c r="BM1028" s="692">
        <f>SUMIFS(Imput[[Importe Neto]:[Importe Neto]],Imput[[C. Imp.]:[C. Imp.]],$D1028,Imput[[PERIODO Imp.]:[PERIODO Imp.]],BM$9)</f>
        <v>0</v>
      </c>
      <c r="BN1028" s="693">
        <f>SUMIFS(Imput[[Importe Neto]:[Importe Neto]],Imput[[C. Imp.]:[C. Imp.]],$D1028,Imput[[PERIODO Imp.]:[PERIODO Imp.]],BN$9)</f>
        <v>0</v>
      </c>
      <c r="BO1028" s="693">
        <f>SUMIFS(Imput[[Importe Neto]:[Importe Neto]],Imput[[C. Imp.]:[C. Imp.]],$D1028,Imput[[PERIODO Imp.]:[PERIODO Imp.]],BO$9)</f>
        <v>0</v>
      </c>
      <c r="BP1028" s="693">
        <f>SUMIFS(Imput[[Importe Neto]:[Importe Neto]],Imput[[C. Imp.]:[C. Imp.]],$D1028,Imput[[PERIODO Imp.]:[PERIODO Imp.]],BP$9)</f>
        <v>0</v>
      </c>
      <c r="BQ1028" s="693">
        <f>SUMIFS(Imput[[Importe Neto]:[Importe Neto]],Imput[[C. Imp.]:[C. Imp.]],$D1028,Imput[[PERIODO Imp.]:[PERIODO Imp.]],BQ$9)</f>
        <v>0</v>
      </c>
      <c r="BR1028" s="693">
        <f>SUMIFS(Imput[[Importe Neto]:[Importe Neto]],Imput[[C. Imp.]:[C. Imp.]],$D1028,Imput[[PERIODO Imp.]:[PERIODO Imp.]],BR$9)</f>
        <v>0</v>
      </c>
      <c r="BS1028" s="693">
        <f>SUMIFS(Imput[[Importe Neto]:[Importe Neto]],Imput[[C. Imp.]:[C. Imp.]],$D1028,Imput[[PERIODO Imp.]:[PERIODO Imp.]],BS$9)</f>
        <v>0</v>
      </c>
      <c r="BT1028" s="693">
        <f>SUMIFS(Imput[[Importe Neto]:[Importe Neto]],Imput[[C. Imp.]:[C. Imp.]],$D1028,Imput[[PERIODO Imp.]:[PERIODO Imp.]],BT$9)</f>
        <v>0</v>
      </c>
      <c r="BU1028" s="693">
        <f>SUMIFS(Imput[[Importe Neto]:[Importe Neto]],Imput[[C. Imp.]:[C. Imp.]],$D1028,Imput[[PERIODO Imp.]:[PERIODO Imp.]],BU$9)</f>
        <v>0</v>
      </c>
      <c r="BV1028" s="693">
        <f>SUMIFS(Imput[[Importe Neto]:[Importe Neto]],Imput[[C. Imp.]:[C. Imp.]],$D1028,Imput[[PERIODO Imp.]:[PERIODO Imp.]],BV$9)</f>
        <v>0</v>
      </c>
      <c r="BW1028" s="693">
        <f>SUMIFS(Imput[[Importe Neto]:[Importe Neto]],Imput[[C. Imp.]:[C. Imp.]],$D1028,Imput[[PERIODO Imp.]:[PERIODO Imp.]],BW$9)</f>
        <v>0</v>
      </c>
      <c r="BX1028" s="693">
        <f>SUMIFS(Imput[[Importe Neto]:[Importe Neto]],Imput[[C. Imp.]:[C. Imp.]],$D1028,Imput[[PERIODO Imp.]:[PERIODO Imp.]],BX$9)</f>
        <v>0</v>
      </c>
      <c r="BY1028" s="693">
        <f>SUMIFS(Imput[[Importe Neto]:[Importe Neto]],Imput[[C. Imp.]:[C. Imp.]],$D1028,Imput[[PERIODO Imp.]:[PERIODO Imp.]],BY$9)</f>
        <v>0</v>
      </c>
      <c r="BZ1028" s="693">
        <f>SUMIFS(Imput[[Importe Neto]:[Importe Neto]],Imput[[C. Imp.]:[C. Imp.]],$D1028,Imput[[PERIODO Imp.]:[PERIODO Imp.]],BZ$9)</f>
        <v>0</v>
      </c>
      <c r="CA1028" s="693">
        <f>SUMIFS(Imput[[Importe Neto]:[Importe Neto]],Imput[[C. Imp.]:[C. Imp.]],$D1028,Imput[[PERIODO Imp.]:[PERIODO Imp.]],CA$9)</f>
        <v>0</v>
      </c>
      <c r="CB1028" s="693">
        <f>SUMIFS(Imput[[Importe Neto]:[Importe Neto]],Imput[[C. Imp.]:[C. Imp.]],$D1028,Imput[[PERIODO Imp.]:[PERIODO Imp.]],CB$9)</f>
        <v>0</v>
      </c>
      <c r="CC1028" s="693">
        <f>SUMIFS(Imput[[Importe Neto]:[Importe Neto]],Imput[[C. Imp.]:[C. Imp.]],$D1028,Imput[[PERIODO Imp.]:[PERIODO Imp.]],CC$9)</f>
        <v>0</v>
      </c>
      <c r="CD1028" s="693">
        <f>SUMIFS(Imput[[Importe Neto]:[Importe Neto]],Imput[[C. Imp.]:[C. Imp.]],$D1028,Imput[[PERIODO Imp.]:[PERIODO Imp.]],CD$9)</f>
        <v>0</v>
      </c>
      <c r="CE1028" s="693">
        <f>SUMIFS(Imput[[Importe Neto]:[Importe Neto]],Imput[[C. Imp.]:[C. Imp.]],$D1028,Imput[[PERIODO Imp.]:[PERIODO Imp.]],CE$9)</f>
        <v>0</v>
      </c>
      <c r="CF1028" s="693">
        <f>SUMIFS(Imput[[Importe Neto]:[Importe Neto]],Imput[[C. Imp.]:[C. Imp.]],$D1028,Imput[[PERIODO Imp.]:[PERIODO Imp.]],CF$9)</f>
        <v>0</v>
      </c>
      <c r="CG1028" s="693">
        <f>SUMIFS(Imput[[Importe Neto]:[Importe Neto]],Imput[[C. Imp.]:[C. Imp.]],$D1028,Imput[[PERIODO Imp.]:[PERIODO Imp.]],CG$9)</f>
        <v>0</v>
      </c>
      <c r="CH1028" s="693">
        <f>SUMIFS(Imput[[Importe Neto]:[Importe Neto]],Imput[[C. Imp.]:[C. Imp.]],$D1028,Imput[[PERIODO Imp.]:[PERIODO Imp.]],CH$9)</f>
        <v>0</v>
      </c>
      <c r="CI1028" s="693">
        <f>SUMIFS(Imput[[Importe Neto]:[Importe Neto]],Imput[[C. Imp.]:[C. Imp.]],$D1028,Imput[[PERIODO Imp.]:[PERIODO Imp.]],CI$9)</f>
        <v>0</v>
      </c>
      <c r="CJ1028" s="693">
        <f>SUMIFS(Imput[[Importe Neto]:[Importe Neto]],Imput[[C. Imp.]:[C. Imp.]],$D1028,Imput[[PERIODO Imp.]:[PERIODO Imp.]],CJ$9)</f>
        <v>0</v>
      </c>
      <c r="CK1028" s="693">
        <f>SUMIFS(Imput[[Importe Neto]:[Importe Neto]],Imput[[C. Imp.]:[C. Imp.]],$D1028,Imput[[PERIODO Imp.]:[PERIODO Imp.]],CK$9)</f>
        <v>0</v>
      </c>
      <c r="CL1028" s="693">
        <f>SUMIFS(Imput[[Importe Neto]:[Importe Neto]],Imput[[C. Imp.]:[C. Imp.]],$D1028,Imput[[PERIODO Imp.]:[PERIODO Imp.]],CL$9)</f>
        <v>0</v>
      </c>
      <c r="CM1028" s="693">
        <f>SUMIFS(Imput[[Importe Neto]:[Importe Neto]],Imput[[C. Imp.]:[C. Imp.]],$D1028,Imput[[PERIODO Imp.]:[PERIODO Imp.]],CM$9)</f>
        <v>0</v>
      </c>
      <c r="CN1028" s="693">
        <f>SUMIFS(Imput[[Importe Neto]:[Importe Neto]],Imput[[C. Imp.]:[C. Imp.]],$D1028,Imput[[PERIODO Imp.]:[PERIODO Imp.]],CN$9)</f>
        <v>0</v>
      </c>
      <c r="CO1028" s="693">
        <f>SUMIFS(Imput[[Importe Neto]:[Importe Neto]],Imput[[C. Imp.]:[C. Imp.]],$D1028,Imput[[PERIODO Imp.]:[PERIODO Imp.]],CO$9)</f>
        <v>0</v>
      </c>
      <c r="CP1028" s="693">
        <f>SUMIFS(Imput[[Importe Neto]:[Importe Neto]],Imput[[C. Imp.]:[C. Imp.]],$D1028,Imput[[PERIODO Imp.]:[PERIODO Imp.]],CP$9)</f>
        <v>0</v>
      </c>
      <c r="CQ1028" s="693">
        <f>SUMIFS(Imput[[Importe Neto]:[Importe Neto]],Imput[[C. Imp.]:[C. Imp.]],$D1028,Imput[[PERIODO Imp.]:[PERIODO Imp.]],CQ$9)</f>
        <v>0</v>
      </c>
      <c r="CR1028" s="693">
        <f>SUMIFS(Imput[[Importe Neto]:[Importe Neto]],Imput[[C. Imp.]:[C. Imp.]],$D1028,Imput[[PERIODO Imp.]:[PERIODO Imp.]],CR$9)</f>
        <v>0</v>
      </c>
      <c r="CS1028" s="693">
        <f>SUMIFS(Imput[[Importe Neto]:[Importe Neto]],Imput[[C. Imp.]:[C. Imp.]],$D1028,Imput[[PERIODO Imp.]:[PERIODO Imp.]],CS$9)</f>
        <v>0</v>
      </c>
      <c r="CT1028" s="693">
        <f>SUMIFS(Imput[[Importe Neto]:[Importe Neto]],Imput[[C. Imp.]:[C. Imp.]],$D1028,Imput[[PERIODO Imp.]:[PERIODO Imp.]],CT$9)</f>
        <v>0</v>
      </c>
      <c r="CU1028" s="693">
        <f>SUMIFS(Imput[[Importe Neto]:[Importe Neto]],Imput[[C. Imp.]:[C. Imp.]],$D1028,Imput[[PERIODO Imp.]:[PERIODO Imp.]],CU$9)</f>
        <v>0</v>
      </c>
      <c r="CV1028" s="693">
        <f>SUMIFS(Imput[[Importe Neto]:[Importe Neto]],Imput[[C. Imp.]:[C. Imp.]],$D1028,Imput[[PERIODO Imp.]:[PERIODO Imp.]],CV$9)</f>
        <v>0</v>
      </c>
      <c r="CW1028" s="693">
        <f>SUMIFS(Imput[[Importe Neto]:[Importe Neto]],Imput[[C. Imp.]:[C. Imp.]],$D1028,Imput[[PERIODO Imp.]:[PERIODO Imp.]],CW$9)</f>
        <v>0</v>
      </c>
      <c r="CX1028" s="693">
        <f>SUMIFS(Imput[[Importe Neto]:[Importe Neto]],Imput[[C. Imp.]:[C. Imp.]],$D1028,Imput[[PERIODO Imp.]:[PERIODO Imp.]],CX$9)</f>
        <v>0</v>
      </c>
      <c r="CY1028" s="693">
        <f>SUMIFS(Imput[[Importe Neto]:[Importe Neto]],Imput[[C. Imp.]:[C. Imp.]],$D1028,Imput[[PERIODO Imp.]:[PERIODO Imp.]],CY$9)</f>
        <v>0</v>
      </c>
      <c r="CZ1028" s="693">
        <f>SUMIFS(Imput[[Importe Neto]:[Importe Neto]],Imput[[C. Imp.]:[C. Imp.]],$D1028,Imput[[PERIODO Imp.]:[PERIODO Imp.]],CZ$9)</f>
        <v>0</v>
      </c>
      <c r="DA1028" s="693">
        <f>SUMIFS(Imput[[Importe Neto]:[Importe Neto]],Imput[[C. Imp.]:[C. Imp.]],$D1028,Imput[[PERIODO Imp.]:[PERIODO Imp.]],DA$9)</f>
        <v>0</v>
      </c>
      <c r="DB1028" s="693">
        <f>SUMIFS(Imput[[Importe Neto]:[Importe Neto]],Imput[[C. Imp.]:[C. Imp.]],$D1028,Imput[[PERIODO Imp.]:[PERIODO Imp.]],DB$9)</f>
        <v>0</v>
      </c>
      <c r="DC1028" s="693">
        <f>SUMIFS(Imput[[Importe Neto]:[Importe Neto]],Imput[[C. Imp.]:[C. Imp.]],$D1028,Imput[[PERIODO Imp.]:[PERIODO Imp.]],DC$9)</f>
        <v>0</v>
      </c>
      <c r="DD1028" s="693">
        <f>SUMIFS(Imput[[Importe Neto]:[Importe Neto]],Imput[[C. Imp.]:[C. Imp.]],$D1028,Imput[[PERIODO Imp.]:[PERIODO Imp.]],DD$9)</f>
        <v>0</v>
      </c>
      <c r="DE1028" s="693">
        <f>SUMIFS(Imput[[Importe Neto]:[Importe Neto]],Imput[[C. Imp.]:[C. Imp.]],$D1028,Imput[[PERIODO Imp.]:[PERIODO Imp.]],DE$9)</f>
        <v>0</v>
      </c>
      <c r="DF1028" s="693">
        <f>SUMIFS(Imput[[Importe Neto]:[Importe Neto]],Imput[[C. Imp.]:[C. Imp.]],$D1028,Imput[[PERIODO Imp.]:[PERIODO Imp.]],DF$9)</f>
        <v>0</v>
      </c>
      <c r="DG1028" s="693">
        <f>SUMIFS(Imput[[Importe Neto]:[Importe Neto]],Imput[[C. Imp.]:[C. Imp.]],$D1028,Imput[[PERIODO Imp.]:[PERIODO Imp.]],DG$9)</f>
        <v>0</v>
      </c>
      <c r="DH1028" s="694">
        <f>SUMIFS(Imput[[Importe Neto]:[Importe Neto]],Imput[[C. Imp.]:[C. Imp.]],$D1028,Imput[[PERIODO Imp.]:[PERIODO Imp.]],DH$9)</f>
        <v>0</v>
      </c>
    </row>
    <row r="1029" spans="1:112" s="649" customFormat="1" hidden="1" outlineLevel="1" x14ac:dyDescent="0.3">
      <c r="A1029" s="652" t="str">
        <f t="shared" si="354"/>
        <v/>
      </c>
      <c r="B1029" s="652"/>
      <c r="C1029" s="685"/>
      <c r="D1029" s="686"/>
      <c r="E1029" s="686"/>
      <c r="F1029" s="720"/>
      <c r="G1029" s="688"/>
      <c r="H1029" s="689"/>
      <c r="I1029" s="851" t="str">
        <f t="shared" si="355"/>
        <v/>
      </c>
      <c r="J1029" s="850" t="str">
        <f t="shared" si="356"/>
        <v/>
      </c>
      <c r="K1029" s="678"/>
      <c r="L1029" s="858"/>
      <c r="M1029" s="859"/>
      <c r="N1029" s="859"/>
      <c r="O1029" s="859"/>
      <c r="P1029" s="859"/>
      <c r="Q1029" s="859"/>
      <c r="R1029" s="859"/>
      <c r="S1029" s="859"/>
      <c r="T1029" s="859"/>
      <c r="U1029" s="859"/>
      <c r="V1029" s="859"/>
      <c r="W1029" s="859"/>
      <c r="X1029" s="859"/>
      <c r="Y1029" s="859"/>
      <c r="Z1029" s="860"/>
      <c r="AA1029" s="860"/>
      <c r="AB1029" s="860"/>
      <c r="AC1029" s="860"/>
      <c r="AD1029" s="860"/>
      <c r="AE1029" s="860"/>
      <c r="AF1029" s="860"/>
      <c r="AG1029" s="860"/>
      <c r="AH1029" s="860"/>
      <c r="AI1029" s="860"/>
      <c r="AJ1029" s="860"/>
      <c r="AK1029" s="860"/>
      <c r="AL1029" s="860"/>
      <c r="AM1029" s="860"/>
      <c r="AN1029" s="860"/>
      <c r="AO1029" s="860"/>
      <c r="AP1029" s="860"/>
      <c r="AQ1029" s="860"/>
      <c r="AR1029" s="860"/>
      <c r="AS1029" s="860"/>
      <c r="AT1029" s="860"/>
      <c r="AU1029" s="860"/>
      <c r="AV1029" s="860"/>
      <c r="AW1029" s="860"/>
      <c r="AX1029" s="860"/>
      <c r="AY1029" s="860"/>
      <c r="AZ1029" s="860"/>
      <c r="BA1029" s="860"/>
      <c r="BB1029" s="860"/>
      <c r="BC1029" s="860"/>
      <c r="BD1029" s="860"/>
      <c r="BE1029" s="860"/>
      <c r="BF1029" s="860"/>
      <c r="BG1029" s="860"/>
      <c r="BH1029" s="668"/>
      <c r="BI1029" s="654"/>
      <c r="BJ1029" s="690">
        <f t="shared" si="357"/>
        <v>0</v>
      </c>
      <c r="BK1029" s="691">
        <f t="shared" si="358"/>
        <v>0</v>
      </c>
      <c r="BL1029" s="654"/>
      <c r="BM1029" s="692">
        <f>SUMIFS(Imput[[Importe Neto]:[Importe Neto]],Imput[[C. Imp.]:[C. Imp.]],$D1029,Imput[[PERIODO Imp.]:[PERIODO Imp.]],BM$9)</f>
        <v>0</v>
      </c>
      <c r="BN1029" s="693">
        <f>SUMIFS(Imput[[Importe Neto]:[Importe Neto]],Imput[[C. Imp.]:[C. Imp.]],$D1029,Imput[[PERIODO Imp.]:[PERIODO Imp.]],BN$9)</f>
        <v>0</v>
      </c>
      <c r="BO1029" s="693">
        <f>SUMIFS(Imput[[Importe Neto]:[Importe Neto]],Imput[[C. Imp.]:[C. Imp.]],$D1029,Imput[[PERIODO Imp.]:[PERIODO Imp.]],BO$9)</f>
        <v>0</v>
      </c>
      <c r="BP1029" s="693">
        <f>SUMIFS(Imput[[Importe Neto]:[Importe Neto]],Imput[[C. Imp.]:[C. Imp.]],$D1029,Imput[[PERIODO Imp.]:[PERIODO Imp.]],BP$9)</f>
        <v>0</v>
      </c>
      <c r="BQ1029" s="693">
        <f>SUMIFS(Imput[[Importe Neto]:[Importe Neto]],Imput[[C. Imp.]:[C. Imp.]],$D1029,Imput[[PERIODO Imp.]:[PERIODO Imp.]],BQ$9)</f>
        <v>0</v>
      </c>
      <c r="BR1029" s="693">
        <f>SUMIFS(Imput[[Importe Neto]:[Importe Neto]],Imput[[C. Imp.]:[C. Imp.]],$D1029,Imput[[PERIODO Imp.]:[PERIODO Imp.]],BR$9)</f>
        <v>0</v>
      </c>
      <c r="BS1029" s="693">
        <f>SUMIFS(Imput[[Importe Neto]:[Importe Neto]],Imput[[C. Imp.]:[C. Imp.]],$D1029,Imput[[PERIODO Imp.]:[PERIODO Imp.]],BS$9)</f>
        <v>0</v>
      </c>
      <c r="BT1029" s="693">
        <f>SUMIFS(Imput[[Importe Neto]:[Importe Neto]],Imput[[C. Imp.]:[C. Imp.]],$D1029,Imput[[PERIODO Imp.]:[PERIODO Imp.]],BT$9)</f>
        <v>0</v>
      </c>
      <c r="BU1029" s="693">
        <f>SUMIFS(Imput[[Importe Neto]:[Importe Neto]],Imput[[C. Imp.]:[C. Imp.]],$D1029,Imput[[PERIODO Imp.]:[PERIODO Imp.]],BU$9)</f>
        <v>0</v>
      </c>
      <c r="BV1029" s="693">
        <f>SUMIFS(Imput[[Importe Neto]:[Importe Neto]],Imput[[C. Imp.]:[C. Imp.]],$D1029,Imput[[PERIODO Imp.]:[PERIODO Imp.]],BV$9)</f>
        <v>0</v>
      </c>
      <c r="BW1029" s="693">
        <f>SUMIFS(Imput[[Importe Neto]:[Importe Neto]],Imput[[C. Imp.]:[C. Imp.]],$D1029,Imput[[PERIODO Imp.]:[PERIODO Imp.]],BW$9)</f>
        <v>0</v>
      </c>
      <c r="BX1029" s="693">
        <f>SUMIFS(Imput[[Importe Neto]:[Importe Neto]],Imput[[C. Imp.]:[C. Imp.]],$D1029,Imput[[PERIODO Imp.]:[PERIODO Imp.]],BX$9)</f>
        <v>0</v>
      </c>
      <c r="BY1029" s="693">
        <f>SUMIFS(Imput[[Importe Neto]:[Importe Neto]],Imput[[C. Imp.]:[C. Imp.]],$D1029,Imput[[PERIODO Imp.]:[PERIODO Imp.]],BY$9)</f>
        <v>0</v>
      </c>
      <c r="BZ1029" s="693">
        <f>SUMIFS(Imput[[Importe Neto]:[Importe Neto]],Imput[[C. Imp.]:[C. Imp.]],$D1029,Imput[[PERIODO Imp.]:[PERIODO Imp.]],BZ$9)</f>
        <v>0</v>
      </c>
      <c r="CA1029" s="693">
        <f>SUMIFS(Imput[[Importe Neto]:[Importe Neto]],Imput[[C. Imp.]:[C. Imp.]],$D1029,Imput[[PERIODO Imp.]:[PERIODO Imp.]],CA$9)</f>
        <v>0</v>
      </c>
      <c r="CB1029" s="693">
        <f>SUMIFS(Imput[[Importe Neto]:[Importe Neto]],Imput[[C. Imp.]:[C. Imp.]],$D1029,Imput[[PERIODO Imp.]:[PERIODO Imp.]],CB$9)</f>
        <v>0</v>
      </c>
      <c r="CC1029" s="693">
        <f>SUMIFS(Imput[[Importe Neto]:[Importe Neto]],Imput[[C. Imp.]:[C. Imp.]],$D1029,Imput[[PERIODO Imp.]:[PERIODO Imp.]],CC$9)</f>
        <v>0</v>
      </c>
      <c r="CD1029" s="693">
        <f>SUMIFS(Imput[[Importe Neto]:[Importe Neto]],Imput[[C. Imp.]:[C. Imp.]],$D1029,Imput[[PERIODO Imp.]:[PERIODO Imp.]],CD$9)</f>
        <v>0</v>
      </c>
      <c r="CE1029" s="693">
        <f>SUMIFS(Imput[[Importe Neto]:[Importe Neto]],Imput[[C. Imp.]:[C. Imp.]],$D1029,Imput[[PERIODO Imp.]:[PERIODO Imp.]],CE$9)</f>
        <v>0</v>
      </c>
      <c r="CF1029" s="693">
        <f>SUMIFS(Imput[[Importe Neto]:[Importe Neto]],Imput[[C. Imp.]:[C. Imp.]],$D1029,Imput[[PERIODO Imp.]:[PERIODO Imp.]],CF$9)</f>
        <v>0</v>
      </c>
      <c r="CG1029" s="693">
        <f>SUMIFS(Imput[[Importe Neto]:[Importe Neto]],Imput[[C. Imp.]:[C. Imp.]],$D1029,Imput[[PERIODO Imp.]:[PERIODO Imp.]],CG$9)</f>
        <v>0</v>
      </c>
      <c r="CH1029" s="693">
        <f>SUMIFS(Imput[[Importe Neto]:[Importe Neto]],Imput[[C. Imp.]:[C. Imp.]],$D1029,Imput[[PERIODO Imp.]:[PERIODO Imp.]],CH$9)</f>
        <v>0</v>
      </c>
      <c r="CI1029" s="693">
        <f>SUMIFS(Imput[[Importe Neto]:[Importe Neto]],Imput[[C. Imp.]:[C. Imp.]],$D1029,Imput[[PERIODO Imp.]:[PERIODO Imp.]],CI$9)</f>
        <v>0</v>
      </c>
      <c r="CJ1029" s="693">
        <f>SUMIFS(Imput[[Importe Neto]:[Importe Neto]],Imput[[C. Imp.]:[C. Imp.]],$D1029,Imput[[PERIODO Imp.]:[PERIODO Imp.]],CJ$9)</f>
        <v>0</v>
      </c>
      <c r="CK1029" s="693">
        <f>SUMIFS(Imput[[Importe Neto]:[Importe Neto]],Imput[[C. Imp.]:[C. Imp.]],$D1029,Imput[[PERIODO Imp.]:[PERIODO Imp.]],CK$9)</f>
        <v>0</v>
      </c>
      <c r="CL1029" s="693">
        <f>SUMIFS(Imput[[Importe Neto]:[Importe Neto]],Imput[[C. Imp.]:[C. Imp.]],$D1029,Imput[[PERIODO Imp.]:[PERIODO Imp.]],CL$9)</f>
        <v>0</v>
      </c>
      <c r="CM1029" s="693">
        <f>SUMIFS(Imput[[Importe Neto]:[Importe Neto]],Imput[[C. Imp.]:[C. Imp.]],$D1029,Imput[[PERIODO Imp.]:[PERIODO Imp.]],CM$9)</f>
        <v>0</v>
      </c>
      <c r="CN1029" s="693">
        <f>SUMIFS(Imput[[Importe Neto]:[Importe Neto]],Imput[[C. Imp.]:[C. Imp.]],$D1029,Imput[[PERIODO Imp.]:[PERIODO Imp.]],CN$9)</f>
        <v>0</v>
      </c>
      <c r="CO1029" s="693">
        <f>SUMIFS(Imput[[Importe Neto]:[Importe Neto]],Imput[[C. Imp.]:[C. Imp.]],$D1029,Imput[[PERIODO Imp.]:[PERIODO Imp.]],CO$9)</f>
        <v>0</v>
      </c>
      <c r="CP1029" s="693">
        <f>SUMIFS(Imput[[Importe Neto]:[Importe Neto]],Imput[[C. Imp.]:[C. Imp.]],$D1029,Imput[[PERIODO Imp.]:[PERIODO Imp.]],CP$9)</f>
        <v>0</v>
      </c>
      <c r="CQ1029" s="693">
        <f>SUMIFS(Imput[[Importe Neto]:[Importe Neto]],Imput[[C. Imp.]:[C. Imp.]],$D1029,Imput[[PERIODO Imp.]:[PERIODO Imp.]],CQ$9)</f>
        <v>0</v>
      </c>
      <c r="CR1029" s="693">
        <f>SUMIFS(Imput[[Importe Neto]:[Importe Neto]],Imput[[C. Imp.]:[C. Imp.]],$D1029,Imput[[PERIODO Imp.]:[PERIODO Imp.]],CR$9)</f>
        <v>0</v>
      </c>
      <c r="CS1029" s="693">
        <f>SUMIFS(Imput[[Importe Neto]:[Importe Neto]],Imput[[C. Imp.]:[C. Imp.]],$D1029,Imput[[PERIODO Imp.]:[PERIODO Imp.]],CS$9)</f>
        <v>0</v>
      </c>
      <c r="CT1029" s="693">
        <f>SUMIFS(Imput[[Importe Neto]:[Importe Neto]],Imput[[C. Imp.]:[C. Imp.]],$D1029,Imput[[PERIODO Imp.]:[PERIODO Imp.]],CT$9)</f>
        <v>0</v>
      </c>
      <c r="CU1029" s="693">
        <f>SUMIFS(Imput[[Importe Neto]:[Importe Neto]],Imput[[C. Imp.]:[C. Imp.]],$D1029,Imput[[PERIODO Imp.]:[PERIODO Imp.]],CU$9)</f>
        <v>0</v>
      </c>
      <c r="CV1029" s="693">
        <f>SUMIFS(Imput[[Importe Neto]:[Importe Neto]],Imput[[C. Imp.]:[C. Imp.]],$D1029,Imput[[PERIODO Imp.]:[PERIODO Imp.]],CV$9)</f>
        <v>0</v>
      </c>
      <c r="CW1029" s="693">
        <f>SUMIFS(Imput[[Importe Neto]:[Importe Neto]],Imput[[C. Imp.]:[C. Imp.]],$D1029,Imput[[PERIODO Imp.]:[PERIODO Imp.]],CW$9)</f>
        <v>0</v>
      </c>
      <c r="CX1029" s="693">
        <f>SUMIFS(Imput[[Importe Neto]:[Importe Neto]],Imput[[C. Imp.]:[C. Imp.]],$D1029,Imput[[PERIODO Imp.]:[PERIODO Imp.]],CX$9)</f>
        <v>0</v>
      </c>
      <c r="CY1029" s="693">
        <f>SUMIFS(Imput[[Importe Neto]:[Importe Neto]],Imput[[C. Imp.]:[C. Imp.]],$D1029,Imput[[PERIODO Imp.]:[PERIODO Imp.]],CY$9)</f>
        <v>0</v>
      </c>
      <c r="CZ1029" s="693">
        <f>SUMIFS(Imput[[Importe Neto]:[Importe Neto]],Imput[[C. Imp.]:[C. Imp.]],$D1029,Imput[[PERIODO Imp.]:[PERIODO Imp.]],CZ$9)</f>
        <v>0</v>
      </c>
      <c r="DA1029" s="693">
        <f>SUMIFS(Imput[[Importe Neto]:[Importe Neto]],Imput[[C. Imp.]:[C. Imp.]],$D1029,Imput[[PERIODO Imp.]:[PERIODO Imp.]],DA$9)</f>
        <v>0</v>
      </c>
      <c r="DB1029" s="693">
        <f>SUMIFS(Imput[[Importe Neto]:[Importe Neto]],Imput[[C. Imp.]:[C. Imp.]],$D1029,Imput[[PERIODO Imp.]:[PERIODO Imp.]],DB$9)</f>
        <v>0</v>
      </c>
      <c r="DC1029" s="693">
        <f>SUMIFS(Imput[[Importe Neto]:[Importe Neto]],Imput[[C. Imp.]:[C. Imp.]],$D1029,Imput[[PERIODO Imp.]:[PERIODO Imp.]],DC$9)</f>
        <v>0</v>
      </c>
      <c r="DD1029" s="693">
        <f>SUMIFS(Imput[[Importe Neto]:[Importe Neto]],Imput[[C. Imp.]:[C. Imp.]],$D1029,Imput[[PERIODO Imp.]:[PERIODO Imp.]],DD$9)</f>
        <v>0</v>
      </c>
      <c r="DE1029" s="693">
        <f>SUMIFS(Imput[[Importe Neto]:[Importe Neto]],Imput[[C. Imp.]:[C. Imp.]],$D1029,Imput[[PERIODO Imp.]:[PERIODO Imp.]],DE$9)</f>
        <v>0</v>
      </c>
      <c r="DF1029" s="693">
        <f>SUMIFS(Imput[[Importe Neto]:[Importe Neto]],Imput[[C. Imp.]:[C. Imp.]],$D1029,Imput[[PERIODO Imp.]:[PERIODO Imp.]],DF$9)</f>
        <v>0</v>
      </c>
      <c r="DG1029" s="693">
        <f>SUMIFS(Imput[[Importe Neto]:[Importe Neto]],Imput[[C. Imp.]:[C. Imp.]],$D1029,Imput[[PERIODO Imp.]:[PERIODO Imp.]],DG$9)</f>
        <v>0</v>
      </c>
      <c r="DH1029" s="694">
        <f>SUMIFS(Imput[[Importe Neto]:[Importe Neto]],Imput[[C. Imp.]:[C. Imp.]],$D1029,Imput[[PERIODO Imp.]:[PERIODO Imp.]],DH$9)</f>
        <v>0</v>
      </c>
    </row>
    <row r="1030" spans="1:112" s="649" customFormat="1" hidden="1" outlineLevel="1" x14ac:dyDescent="0.3">
      <c r="A1030" s="652" t="str">
        <f t="shared" si="354"/>
        <v/>
      </c>
      <c r="B1030" s="652"/>
      <c r="C1030" s="685"/>
      <c r="D1030" s="686"/>
      <c r="E1030" s="686"/>
      <c r="F1030" s="720"/>
      <c r="G1030" s="688"/>
      <c r="H1030" s="689"/>
      <c r="I1030" s="851" t="str">
        <f t="shared" si="355"/>
        <v/>
      </c>
      <c r="J1030" s="850" t="str">
        <f t="shared" si="356"/>
        <v/>
      </c>
      <c r="K1030" s="667"/>
      <c r="L1030" s="858"/>
      <c r="M1030" s="859"/>
      <c r="N1030" s="859"/>
      <c r="O1030" s="859"/>
      <c r="P1030" s="859"/>
      <c r="Q1030" s="859"/>
      <c r="R1030" s="859"/>
      <c r="S1030" s="859"/>
      <c r="T1030" s="859"/>
      <c r="U1030" s="859"/>
      <c r="V1030" s="859"/>
      <c r="W1030" s="859"/>
      <c r="X1030" s="859"/>
      <c r="Y1030" s="859"/>
      <c r="Z1030" s="860"/>
      <c r="AA1030" s="860"/>
      <c r="AB1030" s="860"/>
      <c r="AC1030" s="860"/>
      <c r="AD1030" s="860"/>
      <c r="AE1030" s="860"/>
      <c r="AF1030" s="860"/>
      <c r="AG1030" s="860"/>
      <c r="AH1030" s="860"/>
      <c r="AI1030" s="860"/>
      <c r="AJ1030" s="860"/>
      <c r="AK1030" s="860"/>
      <c r="AL1030" s="860"/>
      <c r="AM1030" s="860"/>
      <c r="AN1030" s="860"/>
      <c r="AO1030" s="860"/>
      <c r="AP1030" s="860"/>
      <c r="AQ1030" s="860"/>
      <c r="AR1030" s="860"/>
      <c r="AS1030" s="860"/>
      <c r="AT1030" s="860"/>
      <c r="AU1030" s="860"/>
      <c r="AV1030" s="860"/>
      <c r="AW1030" s="860"/>
      <c r="AX1030" s="860"/>
      <c r="AY1030" s="860"/>
      <c r="AZ1030" s="860"/>
      <c r="BA1030" s="860"/>
      <c r="BB1030" s="860"/>
      <c r="BC1030" s="860"/>
      <c r="BD1030" s="860"/>
      <c r="BE1030" s="860"/>
      <c r="BF1030" s="860"/>
      <c r="BG1030" s="860"/>
      <c r="BH1030" s="668"/>
      <c r="BI1030" s="667"/>
      <c r="BJ1030" s="690">
        <f t="shared" si="357"/>
        <v>0</v>
      </c>
      <c r="BK1030" s="691">
        <f t="shared" si="358"/>
        <v>0</v>
      </c>
      <c r="BL1030" s="654"/>
      <c r="BM1030" s="692">
        <f>SUMIFS(Imput[[Importe Neto]:[Importe Neto]],Imput[[C. Imp.]:[C. Imp.]],$D1030,Imput[[PERIODO Imp.]:[PERIODO Imp.]],BM$9)</f>
        <v>0</v>
      </c>
      <c r="BN1030" s="693">
        <f>SUMIFS(Imput[[Importe Neto]:[Importe Neto]],Imput[[C. Imp.]:[C. Imp.]],$D1030,Imput[[PERIODO Imp.]:[PERIODO Imp.]],BN$9)</f>
        <v>0</v>
      </c>
      <c r="BO1030" s="693">
        <f>SUMIFS(Imput[[Importe Neto]:[Importe Neto]],Imput[[C. Imp.]:[C. Imp.]],$D1030,Imput[[PERIODO Imp.]:[PERIODO Imp.]],BO$9)</f>
        <v>0</v>
      </c>
      <c r="BP1030" s="693">
        <f>SUMIFS(Imput[[Importe Neto]:[Importe Neto]],Imput[[C. Imp.]:[C. Imp.]],$D1030,Imput[[PERIODO Imp.]:[PERIODO Imp.]],BP$9)</f>
        <v>0</v>
      </c>
      <c r="BQ1030" s="693">
        <f>SUMIFS(Imput[[Importe Neto]:[Importe Neto]],Imput[[C. Imp.]:[C. Imp.]],$D1030,Imput[[PERIODO Imp.]:[PERIODO Imp.]],BQ$9)</f>
        <v>0</v>
      </c>
      <c r="BR1030" s="693">
        <f>SUMIFS(Imput[[Importe Neto]:[Importe Neto]],Imput[[C. Imp.]:[C. Imp.]],$D1030,Imput[[PERIODO Imp.]:[PERIODO Imp.]],BR$9)</f>
        <v>0</v>
      </c>
      <c r="BS1030" s="693">
        <f>SUMIFS(Imput[[Importe Neto]:[Importe Neto]],Imput[[C. Imp.]:[C. Imp.]],$D1030,Imput[[PERIODO Imp.]:[PERIODO Imp.]],BS$9)</f>
        <v>0</v>
      </c>
      <c r="BT1030" s="693">
        <f>SUMIFS(Imput[[Importe Neto]:[Importe Neto]],Imput[[C. Imp.]:[C. Imp.]],$D1030,Imput[[PERIODO Imp.]:[PERIODO Imp.]],BT$9)</f>
        <v>0</v>
      </c>
      <c r="BU1030" s="693">
        <f>SUMIFS(Imput[[Importe Neto]:[Importe Neto]],Imput[[C. Imp.]:[C. Imp.]],$D1030,Imput[[PERIODO Imp.]:[PERIODO Imp.]],BU$9)</f>
        <v>0</v>
      </c>
      <c r="BV1030" s="693">
        <f>SUMIFS(Imput[[Importe Neto]:[Importe Neto]],Imput[[C. Imp.]:[C. Imp.]],$D1030,Imput[[PERIODO Imp.]:[PERIODO Imp.]],BV$9)</f>
        <v>0</v>
      </c>
      <c r="BW1030" s="693">
        <f>SUMIFS(Imput[[Importe Neto]:[Importe Neto]],Imput[[C. Imp.]:[C. Imp.]],$D1030,Imput[[PERIODO Imp.]:[PERIODO Imp.]],BW$9)</f>
        <v>0</v>
      </c>
      <c r="BX1030" s="693">
        <f>SUMIFS(Imput[[Importe Neto]:[Importe Neto]],Imput[[C. Imp.]:[C. Imp.]],$D1030,Imput[[PERIODO Imp.]:[PERIODO Imp.]],BX$9)</f>
        <v>0</v>
      </c>
      <c r="BY1030" s="693">
        <f>SUMIFS(Imput[[Importe Neto]:[Importe Neto]],Imput[[C. Imp.]:[C. Imp.]],$D1030,Imput[[PERIODO Imp.]:[PERIODO Imp.]],BY$9)</f>
        <v>0</v>
      </c>
      <c r="BZ1030" s="693">
        <f>SUMIFS(Imput[[Importe Neto]:[Importe Neto]],Imput[[C. Imp.]:[C. Imp.]],$D1030,Imput[[PERIODO Imp.]:[PERIODO Imp.]],BZ$9)</f>
        <v>0</v>
      </c>
      <c r="CA1030" s="693">
        <f>SUMIFS(Imput[[Importe Neto]:[Importe Neto]],Imput[[C. Imp.]:[C. Imp.]],$D1030,Imput[[PERIODO Imp.]:[PERIODO Imp.]],CA$9)</f>
        <v>0</v>
      </c>
      <c r="CB1030" s="693">
        <f>SUMIFS(Imput[[Importe Neto]:[Importe Neto]],Imput[[C. Imp.]:[C. Imp.]],$D1030,Imput[[PERIODO Imp.]:[PERIODO Imp.]],CB$9)</f>
        <v>0</v>
      </c>
      <c r="CC1030" s="693">
        <f>SUMIFS(Imput[[Importe Neto]:[Importe Neto]],Imput[[C. Imp.]:[C. Imp.]],$D1030,Imput[[PERIODO Imp.]:[PERIODO Imp.]],CC$9)</f>
        <v>0</v>
      </c>
      <c r="CD1030" s="693">
        <f>SUMIFS(Imput[[Importe Neto]:[Importe Neto]],Imput[[C. Imp.]:[C. Imp.]],$D1030,Imput[[PERIODO Imp.]:[PERIODO Imp.]],CD$9)</f>
        <v>0</v>
      </c>
      <c r="CE1030" s="693">
        <f>SUMIFS(Imput[[Importe Neto]:[Importe Neto]],Imput[[C. Imp.]:[C. Imp.]],$D1030,Imput[[PERIODO Imp.]:[PERIODO Imp.]],CE$9)</f>
        <v>0</v>
      </c>
      <c r="CF1030" s="693">
        <f>SUMIFS(Imput[[Importe Neto]:[Importe Neto]],Imput[[C. Imp.]:[C. Imp.]],$D1030,Imput[[PERIODO Imp.]:[PERIODO Imp.]],CF$9)</f>
        <v>0</v>
      </c>
      <c r="CG1030" s="693">
        <f>SUMIFS(Imput[[Importe Neto]:[Importe Neto]],Imput[[C. Imp.]:[C. Imp.]],$D1030,Imput[[PERIODO Imp.]:[PERIODO Imp.]],CG$9)</f>
        <v>0</v>
      </c>
      <c r="CH1030" s="693">
        <f>SUMIFS(Imput[[Importe Neto]:[Importe Neto]],Imput[[C. Imp.]:[C. Imp.]],$D1030,Imput[[PERIODO Imp.]:[PERIODO Imp.]],CH$9)</f>
        <v>0</v>
      </c>
      <c r="CI1030" s="693">
        <f>SUMIFS(Imput[[Importe Neto]:[Importe Neto]],Imput[[C. Imp.]:[C. Imp.]],$D1030,Imput[[PERIODO Imp.]:[PERIODO Imp.]],CI$9)</f>
        <v>0</v>
      </c>
      <c r="CJ1030" s="693">
        <f>SUMIFS(Imput[[Importe Neto]:[Importe Neto]],Imput[[C. Imp.]:[C. Imp.]],$D1030,Imput[[PERIODO Imp.]:[PERIODO Imp.]],CJ$9)</f>
        <v>0</v>
      </c>
      <c r="CK1030" s="693">
        <f>SUMIFS(Imput[[Importe Neto]:[Importe Neto]],Imput[[C. Imp.]:[C. Imp.]],$D1030,Imput[[PERIODO Imp.]:[PERIODO Imp.]],CK$9)</f>
        <v>0</v>
      </c>
      <c r="CL1030" s="693">
        <f>SUMIFS(Imput[[Importe Neto]:[Importe Neto]],Imput[[C. Imp.]:[C. Imp.]],$D1030,Imput[[PERIODO Imp.]:[PERIODO Imp.]],CL$9)</f>
        <v>0</v>
      </c>
      <c r="CM1030" s="693">
        <f>SUMIFS(Imput[[Importe Neto]:[Importe Neto]],Imput[[C. Imp.]:[C. Imp.]],$D1030,Imput[[PERIODO Imp.]:[PERIODO Imp.]],CM$9)</f>
        <v>0</v>
      </c>
      <c r="CN1030" s="693">
        <f>SUMIFS(Imput[[Importe Neto]:[Importe Neto]],Imput[[C. Imp.]:[C. Imp.]],$D1030,Imput[[PERIODO Imp.]:[PERIODO Imp.]],CN$9)</f>
        <v>0</v>
      </c>
      <c r="CO1030" s="693">
        <f>SUMIFS(Imput[[Importe Neto]:[Importe Neto]],Imput[[C. Imp.]:[C. Imp.]],$D1030,Imput[[PERIODO Imp.]:[PERIODO Imp.]],CO$9)</f>
        <v>0</v>
      </c>
      <c r="CP1030" s="693">
        <f>SUMIFS(Imput[[Importe Neto]:[Importe Neto]],Imput[[C. Imp.]:[C. Imp.]],$D1030,Imput[[PERIODO Imp.]:[PERIODO Imp.]],CP$9)</f>
        <v>0</v>
      </c>
      <c r="CQ1030" s="693">
        <f>SUMIFS(Imput[[Importe Neto]:[Importe Neto]],Imput[[C. Imp.]:[C. Imp.]],$D1030,Imput[[PERIODO Imp.]:[PERIODO Imp.]],CQ$9)</f>
        <v>0</v>
      </c>
      <c r="CR1030" s="693">
        <f>SUMIFS(Imput[[Importe Neto]:[Importe Neto]],Imput[[C. Imp.]:[C. Imp.]],$D1030,Imput[[PERIODO Imp.]:[PERIODO Imp.]],CR$9)</f>
        <v>0</v>
      </c>
      <c r="CS1030" s="693">
        <f>SUMIFS(Imput[[Importe Neto]:[Importe Neto]],Imput[[C. Imp.]:[C. Imp.]],$D1030,Imput[[PERIODO Imp.]:[PERIODO Imp.]],CS$9)</f>
        <v>0</v>
      </c>
      <c r="CT1030" s="693">
        <f>SUMIFS(Imput[[Importe Neto]:[Importe Neto]],Imput[[C. Imp.]:[C. Imp.]],$D1030,Imput[[PERIODO Imp.]:[PERIODO Imp.]],CT$9)</f>
        <v>0</v>
      </c>
      <c r="CU1030" s="693">
        <f>SUMIFS(Imput[[Importe Neto]:[Importe Neto]],Imput[[C. Imp.]:[C. Imp.]],$D1030,Imput[[PERIODO Imp.]:[PERIODO Imp.]],CU$9)</f>
        <v>0</v>
      </c>
      <c r="CV1030" s="693">
        <f>SUMIFS(Imput[[Importe Neto]:[Importe Neto]],Imput[[C. Imp.]:[C. Imp.]],$D1030,Imput[[PERIODO Imp.]:[PERIODO Imp.]],CV$9)</f>
        <v>0</v>
      </c>
      <c r="CW1030" s="693">
        <f>SUMIFS(Imput[[Importe Neto]:[Importe Neto]],Imput[[C. Imp.]:[C. Imp.]],$D1030,Imput[[PERIODO Imp.]:[PERIODO Imp.]],CW$9)</f>
        <v>0</v>
      </c>
      <c r="CX1030" s="693">
        <f>SUMIFS(Imput[[Importe Neto]:[Importe Neto]],Imput[[C. Imp.]:[C. Imp.]],$D1030,Imput[[PERIODO Imp.]:[PERIODO Imp.]],CX$9)</f>
        <v>0</v>
      </c>
      <c r="CY1030" s="693">
        <f>SUMIFS(Imput[[Importe Neto]:[Importe Neto]],Imput[[C. Imp.]:[C. Imp.]],$D1030,Imput[[PERIODO Imp.]:[PERIODO Imp.]],CY$9)</f>
        <v>0</v>
      </c>
      <c r="CZ1030" s="693">
        <f>SUMIFS(Imput[[Importe Neto]:[Importe Neto]],Imput[[C. Imp.]:[C. Imp.]],$D1030,Imput[[PERIODO Imp.]:[PERIODO Imp.]],CZ$9)</f>
        <v>0</v>
      </c>
      <c r="DA1030" s="693">
        <f>SUMIFS(Imput[[Importe Neto]:[Importe Neto]],Imput[[C. Imp.]:[C. Imp.]],$D1030,Imput[[PERIODO Imp.]:[PERIODO Imp.]],DA$9)</f>
        <v>0</v>
      </c>
      <c r="DB1030" s="693">
        <f>SUMIFS(Imput[[Importe Neto]:[Importe Neto]],Imput[[C. Imp.]:[C. Imp.]],$D1030,Imput[[PERIODO Imp.]:[PERIODO Imp.]],DB$9)</f>
        <v>0</v>
      </c>
      <c r="DC1030" s="693">
        <f>SUMIFS(Imput[[Importe Neto]:[Importe Neto]],Imput[[C. Imp.]:[C. Imp.]],$D1030,Imput[[PERIODO Imp.]:[PERIODO Imp.]],DC$9)</f>
        <v>0</v>
      </c>
      <c r="DD1030" s="693">
        <f>SUMIFS(Imput[[Importe Neto]:[Importe Neto]],Imput[[C. Imp.]:[C. Imp.]],$D1030,Imput[[PERIODO Imp.]:[PERIODO Imp.]],DD$9)</f>
        <v>0</v>
      </c>
      <c r="DE1030" s="693">
        <f>SUMIFS(Imput[[Importe Neto]:[Importe Neto]],Imput[[C. Imp.]:[C. Imp.]],$D1030,Imput[[PERIODO Imp.]:[PERIODO Imp.]],DE$9)</f>
        <v>0</v>
      </c>
      <c r="DF1030" s="693">
        <f>SUMIFS(Imput[[Importe Neto]:[Importe Neto]],Imput[[C. Imp.]:[C. Imp.]],$D1030,Imput[[PERIODO Imp.]:[PERIODO Imp.]],DF$9)</f>
        <v>0</v>
      </c>
      <c r="DG1030" s="693">
        <f>SUMIFS(Imput[[Importe Neto]:[Importe Neto]],Imput[[C. Imp.]:[C. Imp.]],$D1030,Imput[[PERIODO Imp.]:[PERIODO Imp.]],DG$9)</f>
        <v>0</v>
      </c>
      <c r="DH1030" s="694">
        <f>SUMIFS(Imput[[Importe Neto]:[Importe Neto]],Imput[[C. Imp.]:[C. Imp.]],$D1030,Imput[[PERIODO Imp.]:[PERIODO Imp.]],DH$9)</f>
        <v>0</v>
      </c>
    </row>
    <row r="1031" spans="1:112" s="649" customFormat="1" hidden="1" outlineLevel="1" x14ac:dyDescent="0.3">
      <c r="A1031" s="652" t="str">
        <f t="shared" si="354"/>
        <v/>
      </c>
      <c r="B1031" s="652"/>
      <c r="C1031" s="685"/>
      <c r="D1031" s="686"/>
      <c r="E1031" s="686"/>
      <c r="F1031" s="720"/>
      <c r="G1031" s="688"/>
      <c r="H1031" s="689"/>
      <c r="I1031" s="851" t="str">
        <f t="shared" si="355"/>
        <v/>
      </c>
      <c r="J1031" s="850" t="str">
        <f t="shared" si="356"/>
        <v/>
      </c>
      <c r="K1031" s="667"/>
      <c r="L1031" s="858"/>
      <c r="M1031" s="859"/>
      <c r="N1031" s="859"/>
      <c r="O1031" s="859"/>
      <c r="P1031" s="859"/>
      <c r="Q1031" s="859"/>
      <c r="R1031" s="859"/>
      <c r="S1031" s="859"/>
      <c r="T1031" s="859"/>
      <c r="U1031" s="859"/>
      <c r="V1031" s="859"/>
      <c r="W1031" s="859"/>
      <c r="X1031" s="859"/>
      <c r="Y1031" s="859"/>
      <c r="Z1031" s="860"/>
      <c r="AA1031" s="860"/>
      <c r="AB1031" s="860"/>
      <c r="AC1031" s="860"/>
      <c r="AD1031" s="860"/>
      <c r="AE1031" s="860"/>
      <c r="AF1031" s="860"/>
      <c r="AG1031" s="860"/>
      <c r="AH1031" s="860"/>
      <c r="AI1031" s="860"/>
      <c r="AJ1031" s="860"/>
      <c r="AK1031" s="860"/>
      <c r="AL1031" s="860"/>
      <c r="AM1031" s="860"/>
      <c r="AN1031" s="860"/>
      <c r="AO1031" s="860"/>
      <c r="AP1031" s="860"/>
      <c r="AQ1031" s="860"/>
      <c r="AR1031" s="860"/>
      <c r="AS1031" s="860"/>
      <c r="AT1031" s="860"/>
      <c r="AU1031" s="860"/>
      <c r="AV1031" s="860"/>
      <c r="AW1031" s="860"/>
      <c r="AX1031" s="860"/>
      <c r="AY1031" s="860"/>
      <c r="AZ1031" s="860"/>
      <c r="BA1031" s="860"/>
      <c r="BB1031" s="860"/>
      <c r="BC1031" s="860"/>
      <c r="BD1031" s="860"/>
      <c r="BE1031" s="860"/>
      <c r="BF1031" s="860"/>
      <c r="BG1031" s="860"/>
      <c r="BH1031" s="668"/>
      <c r="BI1031" s="667"/>
      <c r="BJ1031" s="690">
        <f t="shared" si="357"/>
        <v>0</v>
      </c>
      <c r="BK1031" s="691">
        <f t="shared" si="358"/>
        <v>0</v>
      </c>
      <c r="BL1031" s="654"/>
      <c r="BM1031" s="692">
        <f>SUMIFS(Imput[[Importe Neto]:[Importe Neto]],Imput[[C. Imp.]:[C. Imp.]],$D1031,Imput[[PERIODO Imp.]:[PERIODO Imp.]],BM$9)</f>
        <v>0</v>
      </c>
      <c r="BN1031" s="693">
        <f>SUMIFS(Imput[[Importe Neto]:[Importe Neto]],Imput[[C. Imp.]:[C. Imp.]],$D1031,Imput[[PERIODO Imp.]:[PERIODO Imp.]],BN$9)</f>
        <v>0</v>
      </c>
      <c r="BO1031" s="693">
        <f>SUMIFS(Imput[[Importe Neto]:[Importe Neto]],Imput[[C. Imp.]:[C. Imp.]],$D1031,Imput[[PERIODO Imp.]:[PERIODO Imp.]],BO$9)</f>
        <v>0</v>
      </c>
      <c r="BP1031" s="693">
        <f>SUMIFS(Imput[[Importe Neto]:[Importe Neto]],Imput[[C. Imp.]:[C. Imp.]],$D1031,Imput[[PERIODO Imp.]:[PERIODO Imp.]],BP$9)</f>
        <v>0</v>
      </c>
      <c r="BQ1031" s="693">
        <f>SUMIFS(Imput[[Importe Neto]:[Importe Neto]],Imput[[C. Imp.]:[C. Imp.]],$D1031,Imput[[PERIODO Imp.]:[PERIODO Imp.]],BQ$9)</f>
        <v>0</v>
      </c>
      <c r="BR1031" s="693">
        <f>SUMIFS(Imput[[Importe Neto]:[Importe Neto]],Imput[[C. Imp.]:[C. Imp.]],$D1031,Imput[[PERIODO Imp.]:[PERIODO Imp.]],BR$9)</f>
        <v>0</v>
      </c>
      <c r="BS1031" s="693">
        <f>SUMIFS(Imput[[Importe Neto]:[Importe Neto]],Imput[[C. Imp.]:[C. Imp.]],$D1031,Imput[[PERIODO Imp.]:[PERIODO Imp.]],BS$9)</f>
        <v>0</v>
      </c>
      <c r="BT1031" s="693">
        <f>SUMIFS(Imput[[Importe Neto]:[Importe Neto]],Imput[[C. Imp.]:[C. Imp.]],$D1031,Imput[[PERIODO Imp.]:[PERIODO Imp.]],BT$9)</f>
        <v>0</v>
      </c>
      <c r="BU1031" s="693">
        <f>SUMIFS(Imput[[Importe Neto]:[Importe Neto]],Imput[[C. Imp.]:[C. Imp.]],$D1031,Imput[[PERIODO Imp.]:[PERIODO Imp.]],BU$9)</f>
        <v>0</v>
      </c>
      <c r="BV1031" s="693">
        <f>SUMIFS(Imput[[Importe Neto]:[Importe Neto]],Imput[[C. Imp.]:[C. Imp.]],$D1031,Imput[[PERIODO Imp.]:[PERIODO Imp.]],BV$9)</f>
        <v>0</v>
      </c>
      <c r="BW1031" s="693">
        <f>SUMIFS(Imput[[Importe Neto]:[Importe Neto]],Imput[[C. Imp.]:[C. Imp.]],$D1031,Imput[[PERIODO Imp.]:[PERIODO Imp.]],BW$9)</f>
        <v>0</v>
      </c>
      <c r="BX1031" s="693">
        <f>SUMIFS(Imput[[Importe Neto]:[Importe Neto]],Imput[[C. Imp.]:[C. Imp.]],$D1031,Imput[[PERIODO Imp.]:[PERIODO Imp.]],BX$9)</f>
        <v>0</v>
      </c>
      <c r="BY1031" s="693">
        <f>SUMIFS(Imput[[Importe Neto]:[Importe Neto]],Imput[[C. Imp.]:[C. Imp.]],$D1031,Imput[[PERIODO Imp.]:[PERIODO Imp.]],BY$9)</f>
        <v>0</v>
      </c>
      <c r="BZ1031" s="693">
        <f>SUMIFS(Imput[[Importe Neto]:[Importe Neto]],Imput[[C. Imp.]:[C. Imp.]],$D1031,Imput[[PERIODO Imp.]:[PERIODO Imp.]],BZ$9)</f>
        <v>0</v>
      </c>
      <c r="CA1031" s="693">
        <f>SUMIFS(Imput[[Importe Neto]:[Importe Neto]],Imput[[C. Imp.]:[C. Imp.]],$D1031,Imput[[PERIODO Imp.]:[PERIODO Imp.]],CA$9)</f>
        <v>0</v>
      </c>
      <c r="CB1031" s="693">
        <f>SUMIFS(Imput[[Importe Neto]:[Importe Neto]],Imput[[C. Imp.]:[C. Imp.]],$D1031,Imput[[PERIODO Imp.]:[PERIODO Imp.]],CB$9)</f>
        <v>0</v>
      </c>
      <c r="CC1031" s="693">
        <f>SUMIFS(Imput[[Importe Neto]:[Importe Neto]],Imput[[C. Imp.]:[C. Imp.]],$D1031,Imput[[PERIODO Imp.]:[PERIODO Imp.]],CC$9)</f>
        <v>0</v>
      </c>
      <c r="CD1031" s="693">
        <f>SUMIFS(Imput[[Importe Neto]:[Importe Neto]],Imput[[C. Imp.]:[C. Imp.]],$D1031,Imput[[PERIODO Imp.]:[PERIODO Imp.]],CD$9)</f>
        <v>0</v>
      </c>
      <c r="CE1031" s="693">
        <f>SUMIFS(Imput[[Importe Neto]:[Importe Neto]],Imput[[C. Imp.]:[C. Imp.]],$D1031,Imput[[PERIODO Imp.]:[PERIODO Imp.]],CE$9)</f>
        <v>0</v>
      </c>
      <c r="CF1031" s="693">
        <f>SUMIFS(Imput[[Importe Neto]:[Importe Neto]],Imput[[C. Imp.]:[C. Imp.]],$D1031,Imput[[PERIODO Imp.]:[PERIODO Imp.]],CF$9)</f>
        <v>0</v>
      </c>
      <c r="CG1031" s="693">
        <f>SUMIFS(Imput[[Importe Neto]:[Importe Neto]],Imput[[C. Imp.]:[C. Imp.]],$D1031,Imput[[PERIODO Imp.]:[PERIODO Imp.]],CG$9)</f>
        <v>0</v>
      </c>
      <c r="CH1031" s="693">
        <f>SUMIFS(Imput[[Importe Neto]:[Importe Neto]],Imput[[C. Imp.]:[C. Imp.]],$D1031,Imput[[PERIODO Imp.]:[PERIODO Imp.]],CH$9)</f>
        <v>0</v>
      </c>
      <c r="CI1031" s="693">
        <f>SUMIFS(Imput[[Importe Neto]:[Importe Neto]],Imput[[C. Imp.]:[C. Imp.]],$D1031,Imput[[PERIODO Imp.]:[PERIODO Imp.]],CI$9)</f>
        <v>0</v>
      </c>
      <c r="CJ1031" s="693">
        <f>SUMIFS(Imput[[Importe Neto]:[Importe Neto]],Imput[[C. Imp.]:[C. Imp.]],$D1031,Imput[[PERIODO Imp.]:[PERIODO Imp.]],CJ$9)</f>
        <v>0</v>
      </c>
      <c r="CK1031" s="693">
        <f>SUMIFS(Imput[[Importe Neto]:[Importe Neto]],Imput[[C. Imp.]:[C. Imp.]],$D1031,Imput[[PERIODO Imp.]:[PERIODO Imp.]],CK$9)</f>
        <v>0</v>
      </c>
      <c r="CL1031" s="693">
        <f>SUMIFS(Imput[[Importe Neto]:[Importe Neto]],Imput[[C. Imp.]:[C. Imp.]],$D1031,Imput[[PERIODO Imp.]:[PERIODO Imp.]],CL$9)</f>
        <v>0</v>
      </c>
      <c r="CM1031" s="693">
        <f>SUMIFS(Imput[[Importe Neto]:[Importe Neto]],Imput[[C. Imp.]:[C. Imp.]],$D1031,Imput[[PERIODO Imp.]:[PERIODO Imp.]],CM$9)</f>
        <v>0</v>
      </c>
      <c r="CN1031" s="693">
        <f>SUMIFS(Imput[[Importe Neto]:[Importe Neto]],Imput[[C. Imp.]:[C. Imp.]],$D1031,Imput[[PERIODO Imp.]:[PERIODO Imp.]],CN$9)</f>
        <v>0</v>
      </c>
      <c r="CO1031" s="693">
        <f>SUMIFS(Imput[[Importe Neto]:[Importe Neto]],Imput[[C. Imp.]:[C. Imp.]],$D1031,Imput[[PERIODO Imp.]:[PERIODO Imp.]],CO$9)</f>
        <v>0</v>
      </c>
      <c r="CP1031" s="693">
        <f>SUMIFS(Imput[[Importe Neto]:[Importe Neto]],Imput[[C. Imp.]:[C. Imp.]],$D1031,Imput[[PERIODO Imp.]:[PERIODO Imp.]],CP$9)</f>
        <v>0</v>
      </c>
      <c r="CQ1031" s="693">
        <f>SUMIFS(Imput[[Importe Neto]:[Importe Neto]],Imput[[C. Imp.]:[C. Imp.]],$D1031,Imput[[PERIODO Imp.]:[PERIODO Imp.]],CQ$9)</f>
        <v>0</v>
      </c>
      <c r="CR1031" s="693">
        <f>SUMIFS(Imput[[Importe Neto]:[Importe Neto]],Imput[[C. Imp.]:[C. Imp.]],$D1031,Imput[[PERIODO Imp.]:[PERIODO Imp.]],CR$9)</f>
        <v>0</v>
      </c>
      <c r="CS1031" s="693">
        <f>SUMIFS(Imput[[Importe Neto]:[Importe Neto]],Imput[[C. Imp.]:[C. Imp.]],$D1031,Imput[[PERIODO Imp.]:[PERIODO Imp.]],CS$9)</f>
        <v>0</v>
      </c>
      <c r="CT1031" s="693">
        <f>SUMIFS(Imput[[Importe Neto]:[Importe Neto]],Imput[[C. Imp.]:[C. Imp.]],$D1031,Imput[[PERIODO Imp.]:[PERIODO Imp.]],CT$9)</f>
        <v>0</v>
      </c>
      <c r="CU1031" s="693">
        <f>SUMIFS(Imput[[Importe Neto]:[Importe Neto]],Imput[[C. Imp.]:[C. Imp.]],$D1031,Imput[[PERIODO Imp.]:[PERIODO Imp.]],CU$9)</f>
        <v>0</v>
      </c>
      <c r="CV1031" s="693">
        <f>SUMIFS(Imput[[Importe Neto]:[Importe Neto]],Imput[[C. Imp.]:[C. Imp.]],$D1031,Imput[[PERIODO Imp.]:[PERIODO Imp.]],CV$9)</f>
        <v>0</v>
      </c>
      <c r="CW1031" s="693">
        <f>SUMIFS(Imput[[Importe Neto]:[Importe Neto]],Imput[[C. Imp.]:[C. Imp.]],$D1031,Imput[[PERIODO Imp.]:[PERIODO Imp.]],CW$9)</f>
        <v>0</v>
      </c>
      <c r="CX1031" s="693">
        <f>SUMIFS(Imput[[Importe Neto]:[Importe Neto]],Imput[[C. Imp.]:[C. Imp.]],$D1031,Imput[[PERIODO Imp.]:[PERIODO Imp.]],CX$9)</f>
        <v>0</v>
      </c>
      <c r="CY1031" s="693">
        <f>SUMIFS(Imput[[Importe Neto]:[Importe Neto]],Imput[[C. Imp.]:[C. Imp.]],$D1031,Imput[[PERIODO Imp.]:[PERIODO Imp.]],CY$9)</f>
        <v>0</v>
      </c>
      <c r="CZ1031" s="693">
        <f>SUMIFS(Imput[[Importe Neto]:[Importe Neto]],Imput[[C. Imp.]:[C. Imp.]],$D1031,Imput[[PERIODO Imp.]:[PERIODO Imp.]],CZ$9)</f>
        <v>0</v>
      </c>
      <c r="DA1031" s="693">
        <f>SUMIFS(Imput[[Importe Neto]:[Importe Neto]],Imput[[C. Imp.]:[C. Imp.]],$D1031,Imput[[PERIODO Imp.]:[PERIODO Imp.]],DA$9)</f>
        <v>0</v>
      </c>
      <c r="DB1031" s="693">
        <f>SUMIFS(Imput[[Importe Neto]:[Importe Neto]],Imput[[C. Imp.]:[C. Imp.]],$D1031,Imput[[PERIODO Imp.]:[PERIODO Imp.]],DB$9)</f>
        <v>0</v>
      </c>
      <c r="DC1031" s="693">
        <f>SUMIFS(Imput[[Importe Neto]:[Importe Neto]],Imput[[C. Imp.]:[C. Imp.]],$D1031,Imput[[PERIODO Imp.]:[PERIODO Imp.]],DC$9)</f>
        <v>0</v>
      </c>
      <c r="DD1031" s="693">
        <f>SUMIFS(Imput[[Importe Neto]:[Importe Neto]],Imput[[C. Imp.]:[C. Imp.]],$D1031,Imput[[PERIODO Imp.]:[PERIODO Imp.]],DD$9)</f>
        <v>0</v>
      </c>
      <c r="DE1031" s="693">
        <f>SUMIFS(Imput[[Importe Neto]:[Importe Neto]],Imput[[C. Imp.]:[C. Imp.]],$D1031,Imput[[PERIODO Imp.]:[PERIODO Imp.]],DE$9)</f>
        <v>0</v>
      </c>
      <c r="DF1031" s="693">
        <f>SUMIFS(Imput[[Importe Neto]:[Importe Neto]],Imput[[C. Imp.]:[C. Imp.]],$D1031,Imput[[PERIODO Imp.]:[PERIODO Imp.]],DF$9)</f>
        <v>0</v>
      </c>
      <c r="DG1031" s="693">
        <f>SUMIFS(Imput[[Importe Neto]:[Importe Neto]],Imput[[C. Imp.]:[C. Imp.]],$D1031,Imput[[PERIODO Imp.]:[PERIODO Imp.]],DG$9)</f>
        <v>0</v>
      </c>
      <c r="DH1031" s="694">
        <f>SUMIFS(Imput[[Importe Neto]:[Importe Neto]],Imput[[C. Imp.]:[C. Imp.]],$D1031,Imput[[PERIODO Imp.]:[PERIODO Imp.]],DH$9)</f>
        <v>0</v>
      </c>
    </row>
    <row r="1032" spans="1:112" s="649" customFormat="1" hidden="1" outlineLevel="1" x14ac:dyDescent="0.3">
      <c r="A1032" s="652" t="str">
        <f t="shared" si="354"/>
        <v/>
      </c>
      <c r="B1032" s="652"/>
      <c r="C1032" s="685"/>
      <c r="D1032" s="686"/>
      <c r="E1032" s="686"/>
      <c r="F1032" s="720"/>
      <c r="G1032" s="688"/>
      <c r="H1032" s="689"/>
      <c r="I1032" s="851" t="str">
        <f t="shared" si="355"/>
        <v/>
      </c>
      <c r="J1032" s="850" t="str">
        <f t="shared" si="356"/>
        <v/>
      </c>
      <c r="K1032" s="667"/>
      <c r="L1032" s="858"/>
      <c r="M1032" s="859"/>
      <c r="N1032" s="859"/>
      <c r="O1032" s="859"/>
      <c r="P1032" s="859"/>
      <c r="Q1032" s="859"/>
      <c r="R1032" s="859"/>
      <c r="S1032" s="859"/>
      <c r="T1032" s="859"/>
      <c r="U1032" s="859"/>
      <c r="V1032" s="859"/>
      <c r="W1032" s="859"/>
      <c r="X1032" s="859"/>
      <c r="Y1032" s="859"/>
      <c r="Z1032" s="860"/>
      <c r="AA1032" s="860"/>
      <c r="AB1032" s="860"/>
      <c r="AC1032" s="860"/>
      <c r="AD1032" s="860"/>
      <c r="AE1032" s="860"/>
      <c r="AF1032" s="860"/>
      <c r="AG1032" s="860"/>
      <c r="AH1032" s="860"/>
      <c r="AI1032" s="860"/>
      <c r="AJ1032" s="860"/>
      <c r="AK1032" s="860"/>
      <c r="AL1032" s="860"/>
      <c r="AM1032" s="860"/>
      <c r="AN1032" s="860"/>
      <c r="AO1032" s="860"/>
      <c r="AP1032" s="860"/>
      <c r="AQ1032" s="860"/>
      <c r="AR1032" s="860"/>
      <c r="AS1032" s="860"/>
      <c r="AT1032" s="860"/>
      <c r="AU1032" s="860"/>
      <c r="AV1032" s="860"/>
      <c r="AW1032" s="860"/>
      <c r="AX1032" s="860"/>
      <c r="AY1032" s="860"/>
      <c r="AZ1032" s="860"/>
      <c r="BA1032" s="860"/>
      <c r="BB1032" s="860"/>
      <c r="BC1032" s="860"/>
      <c r="BD1032" s="860"/>
      <c r="BE1032" s="860"/>
      <c r="BF1032" s="860"/>
      <c r="BG1032" s="860"/>
      <c r="BH1032" s="668"/>
      <c r="BI1032" s="667"/>
      <c r="BJ1032" s="690">
        <f t="shared" si="357"/>
        <v>0</v>
      </c>
      <c r="BK1032" s="691">
        <f t="shared" si="358"/>
        <v>0</v>
      </c>
      <c r="BL1032" s="654"/>
      <c r="BM1032" s="692">
        <f>SUMIFS(Imput[[Importe Neto]:[Importe Neto]],Imput[[C. Imp.]:[C. Imp.]],$D1032,Imput[[PERIODO Imp.]:[PERIODO Imp.]],BM$9)</f>
        <v>0</v>
      </c>
      <c r="BN1032" s="693">
        <f>SUMIFS(Imput[[Importe Neto]:[Importe Neto]],Imput[[C. Imp.]:[C. Imp.]],$D1032,Imput[[PERIODO Imp.]:[PERIODO Imp.]],BN$9)</f>
        <v>0</v>
      </c>
      <c r="BO1032" s="693">
        <f>SUMIFS(Imput[[Importe Neto]:[Importe Neto]],Imput[[C. Imp.]:[C. Imp.]],$D1032,Imput[[PERIODO Imp.]:[PERIODO Imp.]],BO$9)</f>
        <v>0</v>
      </c>
      <c r="BP1032" s="693">
        <f>SUMIFS(Imput[[Importe Neto]:[Importe Neto]],Imput[[C. Imp.]:[C. Imp.]],$D1032,Imput[[PERIODO Imp.]:[PERIODO Imp.]],BP$9)</f>
        <v>0</v>
      </c>
      <c r="BQ1032" s="693">
        <f>SUMIFS(Imput[[Importe Neto]:[Importe Neto]],Imput[[C. Imp.]:[C. Imp.]],$D1032,Imput[[PERIODO Imp.]:[PERIODO Imp.]],BQ$9)</f>
        <v>0</v>
      </c>
      <c r="BR1032" s="693">
        <f>SUMIFS(Imput[[Importe Neto]:[Importe Neto]],Imput[[C. Imp.]:[C. Imp.]],$D1032,Imput[[PERIODO Imp.]:[PERIODO Imp.]],BR$9)</f>
        <v>0</v>
      </c>
      <c r="BS1032" s="693">
        <f>SUMIFS(Imput[[Importe Neto]:[Importe Neto]],Imput[[C. Imp.]:[C. Imp.]],$D1032,Imput[[PERIODO Imp.]:[PERIODO Imp.]],BS$9)</f>
        <v>0</v>
      </c>
      <c r="BT1032" s="693">
        <f>SUMIFS(Imput[[Importe Neto]:[Importe Neto]],Imput[[C. Imp.]:[C. Imp.]],$D1032,Imput[[PERIODO Imp.]:[PERIODO Imp.]],BT$9)</f>
        <v>0</v>
      </c>
      <c r="BU1032" s="693">
        <f>SUMIFS(Imput[[Importe Neto]:[Importe Neto]],Imput[[C. Imp.]:[C. Imp.]],$D1032,Imput[[PERIODO Imp.]:[PERIODO Imp.]],BU$9)</f>
        <v>0</v>
      </c>
      <c r="BV1032" s="693">
        <f>SUMIFS(Imput[[Importe Neto]:[Importe Neto]],Imput[[C. Imp.]:[C. Imp.]],$D1032,Imput[[PERIODO Imp.]:[PERIODO Imp.]],BV$9)</f>
        <v>0</v>
      </c>
      <c r="BW1032" s="693">
        <f>SUMIFS(Imput[[Importe Neto]:[Importe Neto]],Imput[[C. Imp.]:[C. Imp.]],$D1032,Imput[[PERIODO Imp.]:[PERIODO Imp.]],BW$9)</f>
        <v>0</v>
      </c>
      <c r="BX1032" s="693">
        <f>SUMIFS(Imput[[Importe Neto]:[Importe Neto]],Imput[[C. Imp.]:[C. Imp.]],$D1032,Imput[[PERIODO Imp.]:[PERIODO Imp.]],BX$9)</f>
        <v>0</v>
      </c>
      <c r="BY1032" s="693">
        <f>SUMIFS(Imput[[Importe Neto]:[Importe Neto]],Imput[[C. Imp.]:[C. Imp.]],$D1032,Imput[[PERIODO Imp.]:[PERIODO Imp.]],BY$9)</f>
        <v>0</v>
      </c>
      <c r="BZ1032" s="693">
        <f>SUMIFS(Imput[[Importe Neto]:[Importe Neto]],Imput[[C. Imp.]:[C. Imp.]],$D1032,Imput[[PERIODO Imp.]:[PERIODO Imp.]],BZ$9)</f>
        <v>0</v>
      </c>
      <c r="CA1032" s="693">
        <f>SUMIFS(Imput[[Importe Neto]:[Importe Neto]],Imput[[C. Imp.]:[C. Imp.]],$D1032,Imput[[PERIODO Imp.]:[PERIODO Imp.]],CA$9)</f>
        <v>0</v>
      </c>
      <c r="CB1032" s="693">
        <f>SUMIFS(Imput[[Importe Neto]:[Importe Neto]],Imput[[C. Imp.]:[C. Imp.]],$D1032,Imput[[PERIODO Imp.]:[PERIODO Imp.]],CB$9)</f>
        <v>0</v>
      </c>
      <c r="CC1032" s="693">
        <f>SUMIFS(Imput[[Importe Neto]:[Importe Neto]],Imput[[C. Imp.]:[C. Imp.]],$D1032,Imput[[PERIODO Imp.]:[PERIODO Imp.]],CC$9)</f>
        <v>0</v>
      </c>
      <c r="CD1032" s="693">
        <f>SUMIFS(Imput[[Importe Neto]:[Importe Neto]],Imput[[C. Imp.]:[C. Imp.]],$D1032,Imput[[PERIODO Imp.]:[PERIODO Imp.]],CD$9)</f>
        <v>0</v>
      </c>
      <c r="CE1032" s="693">
        <f>SUMIFS(Imput[[Importe Neto]:[Importe Neto]],Imput[[C. Imp.]:[C. Imp.]],$D1032,Imput[[PERIODO Imp.]:[PERIODO Imp.]],CE$9)</f>
        <v>0</v>
      </c>
      <c r="CF1032" s="693">
        <f>SUMIFS(Imput[[Importe Neto]:[Importe Neto]],Imput[[C. Imp.]:[C. Imp.]],$D1032,Imput[[PERIODO Imp.]:[PERIODO Imp.]],CF$9)</f>
        <v>0</v>
      </c>
      <c r="CG1032" s="693">
        <f>SUMIFS(Imput[[Importe Neto]:[Importe Neto]],Imput[[C. Imp.]:[C. Imp.]],$D1032,Imput[[PERIODO Imp.]:[PERIODO Imp.]],CG$9)</f>
        <v>0</v>
      </c>
      <c r="CH1032" s="693">
        <f>SUMIFS(Imput[[Importe Neto]:[Importe Neto]],Imput[[C. Imp.]:[C. Imp.]],$D1032,Imput[[PERIODO Imp.]:[PERIODO Imp.]],CH$9)</f>
        <v>0</v>
      </c>
      <c r="CI1032" s="693">
        <f>SUMIFS(Imput[[Importe Neto]:[Importe Neto]],Imput[[C. Imp.]:[C. Imp.]],$D1032,Imput[[PERIODO Imp.]:[PERIODO Imp.]],CI$9)</f>
        <v>0</v>
      </c>
      <c r="CJ1032" s="693">
        <f>SUMIFS(Imput[[Importe Neto]:[Importe Neto]],Imput[[C. Imp.]:[C. Imp.]],$D1032,Imput[[PERIODO Imp.]:[PERIODO Imp.]],CJ$9)</f>
        <v>0</v>
      </c>
      <c r="CK1032" s="693">
        <f>SUMIFS(Imput[[Importe Neto]:[Importe Neto]],Imput[[C. Imp.]:[C. Imp.]],$D1032,Imput[[PERIODO Imp.]:[PERIODO Imp.]],CK$9)</f>
        <v>0</v>
      </c>
      <c r="CL1032" s="693">
        <f>SUMIFS(Imput[[Importe Neto]:[Importe Neto]],Imput[[C. Imp.]:[C. Imp.]],$D1032,Imput[[PERIODO Imp.]:[PERIODO Imp.]],CL$9)</f>
        <v>0</v>
      </c>
      <c r="CM1032" s="693">
        <f>SUMIFS(Imput[[Importe Neto]:[Importe Neto]],Imput[[C. Imp.]:[C. Imp.]],$D1032,Imput[[PERIODO Imp.]:[PERIODO Imp.]],CM$9)</f>
        <v>0</v>
      </c>
      <c r="CN1032" s="693">
        <f>SUMIFS(Imput[[Importe Neto]:[Importe Neto]],Imput[[C. Imp.]:[C. Imp.]],$D1032,Imput[[PERIODO Imp.]:[PERIODO Imp.]],CN$9)</f>
        <v>0</v>
      </c>
      <c r="CO1032" s="693">
        <f>SUMIFS(Imput[[Importe Neto]:[Importe Neto]],Imput[[C. Imp.]:[C. Imp.]],$D1032,Imput[[PERIODO Imp.]:[PERIODO Imp.]],CO$9)</f>
        <v>0</v>
      </c>
      <c r="CP1032" s="693">
        <f>SUMIFS(Imput[[Importe Neto]:[Importe Neto]],Imput[[C. Imp.]:[C. Imp.]],$D1032,Imput[[PERIODO Imp.]:[PERIODO Imp.]],CP$9)</f>
        <v>0</v>
      </c>
      <c r="CQ1032" s="693">
        <f>SUMIFS(Imput[[Importe Neto]:[Importe Neto]],Imput[[C. Imp.]:[C. Imp.]],$D1032,Imput[[PERIODO Imp.]:[PERIODO Imp.]],CQ$9)</f>
        <v>0</v>
      </c>
      <c r="CR1032" s="693">
        <f>SUMIFS(Imput[[Importe Neto]:[Importe Neto]],Imput[[C. Imp.]:[C. Imp.]],$D1032,Imput[[PERIODO Imp.]:[PERIODO Imp.]],CR$9)</f>
        <v>0</v>
      </c>
      <c r="CS1032" s="693">
        <f>SUMIFS(Imput[[Importe Neto]:[Importe Neto]],Imput[[C. Imp.]:[C. Imp.]],$D1032,Imput[[PERIODO Imp.]:[PERIODO Imp.]],CS$9)</f>
        <v>0</v>
      </c>
      <c r="CT1032" s="693">
        <f>SUMIFS(Imput[[Importe Neto]:[Importe Neto]],Imput[[C. Imp.]:[C. Imp.]],$D1032,Imput[[PERIODO Imp.]:[PERIODO Imp.]],CT$9)</f>
        <v>0</v>
      </c>
      <c r="CU1032" s="693">
        <f>SUMIFS(Imput[[Importe Neto]:[Importe Neto]],Imput[[C. Imp.]:[C. Imp.]],$D1032,Imput[[PERIODO Imp.]:[PERIODO Imp.]],CU$9)</f>
        <v>0</v>
      </c>
      <c r="CV1032" s="693">
        <f>SUMIFS(Imput[[Importe Neto]:[Importe Neto]],Imput[[C. Imp.]:[C. Imp.]],$D1032,Imput[[PERIODO Imp.]:[PERIODO Imp.]],CV$9)</f>
        <v>0</v>
      </c>
      <c r="CW1032" s="693">
        <f>SUMIFS(Imput[[Importe Neto]:[Importe Neto]],Imput[[C. Imp.]:[C. Imp.]],$D1032,Imput[[PERIODO Imp.]:[PERIODO Imp.]],CW$9)</f>
        <v>0</v>
      </c>
      <c r="CX1032" s="693">
        <f>SUMIFS(Imput[[Importe Neto]:[Importe Neto]],Imput[[C. Imp.]:[C. Imp.]],$D1032,Imput[[PERIODO Imp.]:[PERIODO Imp.]],CX$9)</f>
        <v>0</v>
      </c>
      <c r="CY1032" s="693">
        <f>SUMIFS(Imput[[Importe Neto]:[Importe Neto]],Imput[[C. Imp.]:[C. Imp.]],$D1032,Imput[[PERIODO Imp.]:[PERIODO Imp.]],CY$9)</f>
        <v>0</v>
      </c>
      <c r="CZ1032" s="693">
        <f>SUMIFS(Imput[[Importe Neto]:[Importe Neto]],Imput[[C. Imp.]:[C. Imp.]],$D1032,Imput[[PERIODO Imp.]:[PERIODO Imp.]],CZ$9)</f>
        <v>0</v>
      </c>
      <c r="DA1032" s="693">
        <f>SUMIFS(Imput[[Importe Neto]:[Importe Neto]],Imput[[C. Imp.]:[C. Imp.]],$D1032,Imput[[PERIODO Imp.]:[PERIODO Imp.]],DA$9)</f>
        <v>0</v>
      </c>
      <c r="DB1032" s="693">
        <f>SUMIFS(Imput[[Importe Neto]:[Importe Neto]],Imput[[C. Imp.]:[C. Imp.]],$D1032,Imput[[PERIODO Imp.]:[PERIODO Imp.]],DB$9)</f>
        <v>0</v>
      </c>
      <c r="DC1032" s="693">
        <f>SUMIFS(Imput[[Importe Neto]:[Importe Neto]],Imput[[C. Imp.]:[C. Imp.]],$D1032,Imput[[PERIODO Imp.]:[PERIODO Imp.]],DC$9)</f>
        <v>0</v>
      </c>
      <c r="DD1032" s="693">
        <f>SUMIFS(Imput[[Importe Neto]:[Importe Neto]],Imput[[C. Imp.]:[C. Imp.]],$D1032,Imput[[PERIODO Imp.]:[PERIODO Imp.]],DD$9)</f>
        <v>0</v>
      </c>
      <c r="DE1032" s="693">
        <f>SUMIFS(Imput[[Importe Neto]:[Importe Neto]],Imput[[C. Imp.]:[C. Imp.]],$D1032,Imput[[PERIODO Imp.]:[PERIODO Imp.]],DE$9)</f>
        <v>0</v>
      </c>
      <c r="DF1032" s="693">
        <f>SUMIFS(Imput[[Importe Neto]:[Importe Neto]],Imput[[C. Imp.]:[C. Imp.]],$D1032,Imput[[PERIODO Imp.]:[PERIODO Imp.]],DF$9)</f>
        <v>0</v>
      </c>
      <c r="DG1032" s="693">
        <f>SUMIFS(Imput[[Importe Neto]:[Importe Neto]],Imput[[C. Imp.]:[C. Imp.]],$D1032,Imput[[PERIODO Imp.]:[PERIODO Imp.]],DG$9)</f>
        <v>0</v>
      </c>
      <c r="DH1032" s="694">
        <f>SUMIFS(Imput[[Importe Neto]:[Importe Neto]],Imput[[C. Imp.]:[C. Imp.]],$D1032,Imput[[PERIODO Imp.]:[PERIODO Imp.]],DH$9)</f>
        <v>0</v>
      </c>
    </row>
    <row r="1033" spans="1:112" s="649" customFormat="1" hidden="1" outlineLevel="1" x14ac:dyDescent="0.3">
      <c r="A1033" s="652" t="str">
        <f t="shared" si="354"/>
        <v/>
      </c>
      <c r="B1033" s="652"/>
      <c r="C1033" s="685"/>
      <c r="D1033" s="686"/>
      <c r="E1033" s="686"/>
      <c r="F1033" s="720"/>
      <c r="G1033" s="688"/>
      <c r="H1033" s="689"/>
      <c r="I1033" s="851" t="str">
        <f t="shared" si="355"/>
        <v/>
      </c>
      <c r="J1033" s="850" t="str">
        <f t="shared" si="356"/>
        <v/>
      </c>
      <c r="K1033" s="667"/>
      <c r="L1033" s="858"/>
      <c r="M1033" s="859"/>
      <c r="N1033" s="859"/>
      <c r="O1033" s="859"/>
      <c r="P1033" s="859"/>
      <c r="Q1033" s="859"/>
      <c r="R1033" s="859"/>
      <c r="S1033" s="859"/>
      <c r="T1033" s="859"/>
      <c r="U1033" s="859"/>
      <c r="V1033" s="859"/>
      <c r="W1033" s="859"/>
      <c r="X1033" s="859"/>
      <c r="Y1033" s="859"/>
      <c r="Z1033" s="860"/>
      <c r="AA1033" s="860"/>
      <c r="AB1033" s="860"/>
      <c r="AC1033" s="860"/>
      <c r="AD1033" s="860"/>
      <c r="AE1033" s="860"/>
      <c r="AF1033" s="860"/>
      <c r="AG1033" s="860"/>
      <c r="AH1033" s="860"/>
      <c r="AI1033" s="860"/>
      <c r="AJ1033" s="860"/>
      <c r="AK1033" s="860"/>
      <c r="AL1033" s="860"/>
      <c r="AM1033" s="860"/>
      <c r="AN1033" s="860"/>
      <c r="AO1033" s="860"/>
      <c r="AP1033" s="860"/>
      <c r="AQ1033" s="860"/>
      <c r="AR1033" s="860"/>
      <c r="AS1033" s="860"/>
      <c r="AT1033" s="860"/>
      <c r="AU1033" s="860"/>
      <c r="AV1033" s="860"/>
      <c r="AW1033" s="860"/>
      <c r="AX1033" s="860"/>
      <c r="AY1033" s="860"/>
      <c r="AZ1033" s="860"/>
      <c r="BA1033" s="860"/>
      <c r="BB1033" s="860"/>
      <c r="BC1033" s="860"/>
      <c r="BD1033" s="860"/>
      <c r="BE1033" s="860"/>
      <c r="BF1033" s="860"/>
      <c r="BG1033" s="860"/>
      <c r="BH1033" s="668"/>
      <c r="BI1033" s="667"/>
      <c r="BJ1033" s="690">
        <f t="shared" si="357"/>
        <v>0</v>
      </c>
      <c r="BK1033" s="691">
        <f t="shared" si="358"/>
        <v>0</v>
      </c>
      <c r="BL1033" s="654"/>
      <c r="BM1033" s="692">
        <f>SUMIFS(Imput[[Importe Neto]:[Importe Neto]],Imput[[C. Imp.]:[C. Imp.]],$D1033,Imput[[PERIODO Imp.]:[PERIODO Imp.]],BM$9)</f>
        <v>0</v>
      </c>
      <c r="BN1033" s="693">
        <f>SUMIFS(Imput[[Importe Neto]:[Importe Neto]],Imput[[C. Imp.]:[C. Imp.]],$D1033,Imput[[PERIODO Imp.]:[PERIODO Imp.]],BN$9)</f>
        <v>0</v>
      </c>
      <c r="BO1033" s="693">
        <f>SUMIFS(Imput[[Importe Neto]:[Importe Neto]],Imput[[C. Imp.]:[C. Imp.]],$D1033,Imput[[PERIODO Imp.]:[PERIODO Imp.]],BO$9)</f>
        <v>0</v>
      </c>
      <c r="BP1033" s="693">
        <f>SUMIFS(Imput[[Importe Neto]:[Importe Neto]],Imput[[C. Imp.]:[C. Imp.]],$D1033,Imput[[PERIODO Imp.]:[PERIODO Imp.]],BP$9)</f>
        <v>0</v>
      </c>
      <c r="BQ1033" s="693">
        <f>SUMIFS(Imput[[Importe Neto]:[Importe Neto]],Imput[[C. Imp.]:[C. Imp.]],$D1033,Imput[[PERIODO Imp.]:[PERIODO Imp.]],BQ$9)</f>
        <v>0</v>
      </c>
      <c r="BR1033" s="693">
        <f>SUMIFS(Imput[[Importe Neto]:[Importe Neto]],Imput[[C. Imp.]:[C. Imp.]],$D1033,Imput[[PERIODO Imp.]:[PERIODO Imp.]],BR$9)</f>
        <v>0</v>
      </c>
      <c r="BS1033" s="693">
        <f>SUMIFS(Imput[[Importe Neto]:[Importe Neto]],Imput[[C. Imp.]:[C. Imp.]],$D1033,Imput[[PERIODO Imp.]:[PERIODO Imp.]],BS$9)</f>
        <v>0</v>
      </c>
      <c r="BT1033" s="693">
        <f>SUMIFS(Imput[[Importe Neto]:[Importe Neto]],Imput[[C. Imp.]:[C. Imp.]],$D1033,Imput[[PERIODO Imp.]:[PERIODO Imp.]],BT$9)</f>
        <v>0</v>
      </c>
      <c r="BU1033" s="693">
        <f>SUMIFS(Imput[[Importe Neto]:[Importe Neto]],Imput[[C. Imp.]:[C. Imp.]],$D1033,Imput[[PERIODO Imp.]:[PERIODO Imp.]],BU$9)</f>
        <v>0</v>
      </c>
      <c r="BV1033" s="693">
        <f>SUMIFS(Imput[[Importe Neto]:[Importe Neto]],Imput[[C. Imp.]:[C. Imp.]],$D1033,Imput[[PERIODO Imp.]:[PERIODO Imp.]],BV$9)</f>
        <v>0</v>
      </c>
      <c r="BW1033" s="693">
        <f>SUMIFS(Imput[[Importe Neto]:[Importe Neto]],Imput[[C. Imp.]:[C. Imp.]],$D1033,Imput[[PERIODO Imp.]:[PERIODO Imp.]],BW$9)</f>
        <v>0</v>
      </c>
      <c r="BX1033" s="693">
        <f>SUMIFS(Imput[[Importe Neto]:[Importe Neto]],Imput[[C. Imp.]:[C. Imp.]],$D1033,Imput[[PERIODO Imp.]:[PERIODO Imp.]],BX$9)</f>
        <v>0</v>
      </c>
      <c r="BY1033" s="693">
        <f>SUMIFS(Imput[[Importe Neto]:[Importe Neto]],Imput[[C. Imp.]:[C. Imp.]],$D1033,Imput[[PERIODO Imp.]:[PERIODO Imp.]],BY$9)</f>
        <v>0</v>
      </c>
      <c r="BZ1033" s="693">
        <f>SUMIFS(Imput[[Importe Neto]:[Importe Neto]],Imput[[C. Imp.]:[C. Imp.]],$D1033,Imput[[PERIODO Imp.]:[PERIODO Imp.]],BZ$9)</f>
        <v>0</v>
      </c>
      <c r="CA1033" s="693">
        <f>SUMIFS(Imput[[Importe Neto]:[Importe Neto]],Imput[[C. Imp.]:[C. Imp.]],$D1033,Imput[[PERIODO Imp.]:[PERIODO Imp.]],CA$9)</f>
        <v>0</v>
      </c>
      <c r="CB1033" s="693">
        <f>SUMIFS(Imput[[Importe Neto]:[Importe Neto]],Imput[[C. Imp.]:[C. Imp.]],$D1033,Imput[[PERIODO Imp.]:[PERIODO Imp.]],CB$9)</f>
        <v>0</v>
      </c>
      <c r="CC1033" s="693">
        <f>SUMIFS(Imput[[Importe Neto]:[Importe Neto]],Imput[[C. Imp.]:[C. Imp.]],$D1033,Imput[[PERIODO Imp.]:[PERIODO Imp.]],CC$9)</f>
        <v>0</v>
      </c>
      <c r="CD1033" s="693">
        <f>SUMIFS(Imput[[Importe Neto]:[Importe Neto]],Imput[[C. Imp.]:[C. Imp.]],$D1033,Imput[[PERIODO Imp.]:[PERIODO Imp.]],CD$9)</f>
        <v>0</v>
      </c>
      <c r="CE1033" s="693">
        <f>SUMIFS(Imput[[Importe Neto]:[Importe Neto]],Imput[[C. Imp.]:[C. Imp.]],$D1033,Imput[[PERIODO Imp.]:[PERIODO Imp.]],CE$9)</f>
        <v>0</v>
      </c>
      <c r="CF1033" s="693">
        <f>SUMIFS(Imput[[Importe Neto]:[Importe Neto]],Imput[[C. Imp.]:[C. Imp.]],$D1033,Imput[[PERIODO Imp.]:[PERIODO Imp.]],CF$9)</f>
        <v>0</v>
      </c>
      <c r="CG1033" s="693">
        <f>SUMIFS(Imput[[Importe Neto]:[Importe Neto]],Imput[[C. Imp.]:[C. Imp.]],$D1033,Imput[[PERIODO Imp.]:[PERIODO Imp.]],CG$9)</f>
        <v>0</v>
      </c>
      <c r="CH1033" s="693">
        <f>SUMIFS(Imput[[Importe Neto]:[Importe Neto]],Imput[[C. Imp.]:[C. Imp.]],$D1033,Imput[[PERIODO Imp.]:[PERIODO Imp.]],CH$9)</f>
        <v>0</v>
      </c>
      <c r="CI1033" s="693">
        <f>SUMIFS(Imput[[Importe Neto]:[Importe Neto]],Imput[[C. Imp.]:[C. Imp.]],$D1033,Imput[[PERIODO Imp.]:[PERIODO Imp.]],CI$9)</f>
        <v>0</v>
      </c>
      <c r="CJ1033" s="693">
        <f>SUMIFS(Imput[[Importe Neto]:[Importe Neto]],Imput[[C. Imp.]:[C. Imp.]],$D1033,Imput[[PERIODO Imp.]:[PERIODO Imp.]],CJ$9)</f>
        <v>0</v>
      </c>
      <c r="CK1033" s="693">
        <f>SUMIFS(Imput[[Importe Neto]:[Importe Neto]],Imput[[C. Imp.]:[C. Imp.]],$D1033,Imput[[PERIODO Imp.]:[PERIODO Imp.]],CK$9)</f>
        <v>0</v>
      </c>
      <c r="CL1033" s="693">
        <f>SUMIFS(Imput[[Importe Neto]:[Importe Neto]],Imput[[C. Imp.]:[C. Imp.]],$D1033,Imput[[PERIODO Imp.]:[PERIODO Imp.]],CL$9)</f>
        <v>0</v>
      </c>
      <c r="CM1033" s="693">
        <f>SUMIFS(Imput[[Importe Neto]:[Importe Neto]],Imput[[C. Imp.]:[C. Imp.]],$D1033,Imput[[PERIODO Imp.]:[PERIODO Imp.]],CM$9)</f>
        <v>0</v>
      </c>
      <c r="CN1033" s="693">
        <f>SUMIFS(Imput[[Importe Neto]:[Importe Neto]],Imput[[C. Imp.]:[C. Imp.]],$D1033,Imput[[PERIODO Imp.]:[PERIODO Imp.]],CN$9)</f>
        <v>0</v>
      </c>
      <c r="CO1033" s="693">
        <f>SUMIFS(Imput[[Importe Neto]:[Importe Neto]],Imput[[C. Imp.]:[C. Imp.]],$D1033,Imput[[PERIODO Imp.]:[PERIODO Imp.]],CO$9)</f>
        <v>0</v>
      </c>
      <c r="CP1033" s="693">
        <f>SUMIFS(Imput[[Importe Neto]:[Importe Neto]],Imput[[C. Imp.]:[C. Imp.]],$D1033,Imput[[PERIODO Imp.]:[PERIODO Imp.]],CP$9)</f>
        <v>0</v>
      </c>
      <c r="CQ1033" s="693">
        <f>SUMIFS(Imput[[Importe Neto]:[Importe Neto]],Imput[[C. Imp.]:[C. Imp.]],$D1033,Imput[[PERIODO Imp.]:[PERIODO Imp.]],CQ$9)</f>
        <v>0</v>
      </c>
      <c r="CR1033" s="693">
        <f>SUMIFS(Imput[[Importe Neto]:[Importe Neto]],Imput[[C. Imp.]:[C. Imp.]],$D1033,Imput[[PERIODO Imp.]:[PERIODO Imp.]],CR$9)</f>
        <v>0</v>
      </c>
      <c r="CS1033" s="693">
        <f>SUMIFS(Imput[[Importe Neto]:[Importe Neto]],Imput[[C. Imp.]:[C. Imp.]],$D1033,Imput[[PERIODO Imp.]:[PERIODO Imp.]],CS$9)</f>
        <v>0</v>
      </c>
      <c r="CT1033" s="693">
        <f>SUMIFS(Imput[[Importe Neto]:[Importe Neto]],Imput[[C. Imp.]:[C. Imp.]],$D1033,Imput[[PERIODO Imp.]:[PERIODO Imp.]],CT$9)</f>
        <v>0</v>
      </c>
      <c r="CU1033" s="693">
        <f>SUMIFS(Imput[[Importe Neto]:[Importe Neto]],Imput[[C. Imp.]:[C. Imp.]],$D1033,Imput[[PERIODO Imp.]:[PERIODO Imp.]],CU$9)</f>
        <v>0</v>
      </c>
      <c r="CV1033" s="693">
        <f>SUMIFS(Imput[[Importe Neto]:[Importe Neto]],Imput[[C. Imp.]:[C. Imp.]],$D1033,Imput[[PERIODO Imp.]:[PERIODO Imp.]],CV$9)</f>
        <v>0</v>
      </c>
      <c r="CW1033" s="693">
        <f>SUMIFS(Imput[[Importe Neto]:[Importe Neto]],Imput[[C. Imp.]:[C. Imp.]],$D1033,Imput[[PERIODO Imp.]:[PERIODO Imp.]],CW$9)</f>
        <v>0</v>
      </c>
      <c r="CX1033" s="693">
        <f>SUMIFS(Imput[[Importe Neto]:[Importe Neto]],Imput[[C. Imp.]:[C. Imp.]],$D1033,Imput[[PERIODO Imp.]:[PERIODO Imp.]],CX$9)</f>
        <v>0</v>
      </c>
      <c r="CY1033" s="693">
        <f>SUMIFS(Imput[[Importe Neto]:[Importe Neto]],Imput[[C. Imp.]:[C. Imp.]],$D1033,Imput[[PERIODO Imp.]:[PERIODO Imp.]],CY$9)</f>
        <v>0</v>
      </c>
      <c r="CZ1033" s="693">
        <f>SUMIFS(Imput[[Importe Neto]:[Importe Neto]],Imput[[C. Imp.]:[C. Imp.]],$D1033,Imput[[PERIODO Imp.]:[PERIODO Imp.]],CZ$9)</f>
        <v>0</v>
      </c>
      <c r="DA1033" s="693">
        <f>SUMIFS(Imput[[Importe Neto]:[Importe Neto]],Imput[[C. Imp.]:[C. Imp.]],$D1033,Imput[[PERIODO Imp.]:[PERIODO Imp.]],DA$9)</f>
        <v>0</v>
      </c>
      <c r="DB1033" s="693">
        <f>SUMIFS(Imput[[Importe Neto]:[Importe Neto]],Imput[[C. Imp.]:[C. Imp.]],$D1033,Imput[[PERIODO Imp.]:[PERIODO Imp.]],DB$9)</f>
        <v>0</v>
      </c>
      <c r="DC1033" s="693">
        <f>SUMIFS(Imput[[Importe Neto]:[Importe Neto]],Imput[[C. Imp.]:[C. Imp.]],$D1033,Imput[[PERIODO Imp.]:[PERIODO Imp.]],DC$9)</f>
        <v>0</v>
      </c>
      <c r="DD1033" s="693">
        <f>SUMIFS(Imput[[Importe Neto]:[Importe Neto]],Imput[[C. Imp.]:[C. Imp.]],$D1033,Imput[[PERIODO Imp.]:[PERIODO Imp.]],DD$9)</f>
        <v>0</v>
      </c>
      <c r="DE1033" s="693">
        <f>SUMIFS(Imput[[Importe Neto]:[Importe Neto]],Imput[[C. Imp.]:[C. Imp.]],$D1033,Imput[[PERIODO Imp.]:[PERIODO Imp.]],DE$9)</f>
        <v>0</v>
      </c>
      <c r="DF1033" s="693">
        <f>SUMIFS(Imput[[Importe Neto]:[Importe Neto]],Imput[[C. Imp.]:[C. Imp.]],$D1033,Imput[[PERIODO Imp.]:[PERIODO Imp.]],DF$9)</f>
        <v>0</v>
      </c>
      <c r="DG1033" s="693">
        <f>SUMIFS(Imput[[Importe Neto]:[Importe Neto]],Imput[[C. Imp.]:[C. Imp.]],$D1033,Imput[[PERIODO Imp.]:[PERIODO Imp.]],DG$9)</f>
        <v>0</v>
      </c>
      <c r="DH1033" s="694">
        <f>SUMIFS(Imput[[Importe Neto]:[Importe Neto]],Imput[[C. Imp.]:[C. Imp.]],$D1033,Imput[[PERIODO Imp.]:[PERIODO Imp.]],DH$9)</f>
        <v>0</v>
      </c>
    </row>
    <row r="1034" spans="1:112" s="649" customFormat="1" hidden="1" outlineLevel="1" x14ac:dyDescent="0.3">
      <c r="A1034" s="652" t="str">
        <f t="shared" si="354"/>
        <v/>
      </c>
      <c r="B1034" s="652"/>
      <c r="C1034" s="685"/>
      <c r="D1034" s="686"/>
      <c r="E1034" s="686"/>
      <c r="F1034" s="720"/>
      <c r="G1034" s="688"/>
      <c r="H1034" s="689"/>
      <c r="I1034" s="851" t="str">
        <f t="shared" si="355"/>
        <v/>
      </c>
      <c r="J1034" s="850" t="str">
        <f t="shared" si="356"/>
        <v/>
      </c>
      <c r="K1034" s="667"/>
      <c r="L1034" s="858"/>
      <c r="M1034" s="859"/>
      <c r="N1034" s="859"/>
      <c r="O1034" s="859"/>
      <c r="P1034" s="859"/>
      <c r="Q1034" s="859"/>
      <c r="R1034" s="859"/>
      <c r="S1034" s="859"/>
      <c r="T1034" s="859"/>
      <c r="U1034" s="859"/>
      <c r="V1034" s="859"/>
      <c r="W1034" s="859"/>
      <c r="X1034" s="859"/>
      <c r="Y1034" s="859"/>
      <c r="Z1034" s="860"/>
      <c r="AA1034" s="860"/>
      <c r="AB1034" s="860"/>
      <c r="AC1034" s="860"/>
      <c r="AD1034" s="860"/>
      <c r="AE1034" s="860"/>
      <c r="AF1034" s="860"/>
      <c r="AG1034" s="860"/>
      <c r="AH1034" s="860"/>
      <c r="AI1034" s="860"/>
      <c r="AJ1034" s="860"/>
      <c r="AK1034" s="860"/>
      <c r="AL1034" s="860"/>
      <c r="AM1034" s="860"/>
      <c r="AN1034" s="860"/>
      <c r="AO1034" s="860"/>
      <c r="AP1034" s="860"/>
      <c r="AQ1034" s="860"/>
      <c r="AR1034" s="860"/>
      <c r="AS1034" s="860"/>
      <c r="AT1034" s="860"/>
      <c r="AU1034" s="860"/>
      <c r="AV1034" s="860"/>
      <c r="AW1034" s="860"/>
      <c r="AX1034" s="860"/>
      <c r="AY1034" s="860"/>
      <c r="AZ1034" s="860"/>
      <c r="BA1034" s="860"/>
      <c r="BB1034" s="860"/>
      <c r="BC1034" s="860"/>
      <c r="BD1034" s="860"/>
      <c r="BE1034" s="860"/>
      <c r="BF1034" s="860"/>
      <c r="BG1034" s="860"/>
      <c r="BH1034" s="668"/>
      <c r="BI1034" s="667"/>
      <c r="BJ1034" s="690">
        <f t="shared" si="357"/>
        <v>0</v>
      </c>
      <c r="BK1034" s="691">
        <f t="shared" si="358"/>
        <v>0</v>
      </c>
      <c r="BL1034" s="654"/>
      <c r="BM1034" s="692">
        <f>SUMIFS(Imput[[Importe Neto]:[Importe Neto]],Imput[[C. Imp.]:[C. Imp.]],$D1034,Imput[[PERIODO Imp.]:[PERIODO Imp.]],BM$9)</f>
        <v>0</v>
      </c>
      <c r="BN1034" s="693">
        <f>SUMIFS(Imput[[Importe Neto]:[Importe Neto]],Imput[[C. Imp.]:[C. Imp.]],$D1034,Imput[[PERIODO Imp.]:[PERIODO Imp.]],BN$9)</f>
        <v>0</v>
      </c>
      <c r="BO1034" s="693">
        <f>SUMIFS(Imput[[Importe Neto]:[Importe Neto]],Imput[[C. Imp.]:[C. Imp.]],$D1034,Imput[[PERIODO Imp.]:[PERIODO Imp.]],BO$9)</f>
        <v>0</v>
      </c>
      <c r="BP1034" s="693">
        <f>SUMIFS(Imput[[Importe Neto]:[Importe Neto]],Imput[[C. Imp.]:[C. Imp.]],$D1034,Imput[[PERIODO Imp.]:[PERIODO Imp.]],BP$9)</f>
        <v>0</v>
      </c>
      <c r="BQ1034" s="693">
        <f>SUMIFS(Imput[[Importe Neto]:[Importe Neto]],Imput[[C. Imp.]:[C. Imp.]],$D1034,Imput[[PERIODO Imp.]:[PERIODO Imp.]],BQ$9)</f>
        <v>0</v>
      </c>
      <c r="BR1034" s="693">
        <f>SUMIFS(Imput[[Importe Neto]:[Importe Neto]],Imput[[C. Imp.]:[C. Imp.]],$D1034,Imput[[PERIODO Imp.]:[PERIODO Imp.]],BR$9)</f>
        <v>0</v>
      </c>
      <c r="BS1034" s="693">
        <f>SUMIFS(Imput[[Importe Neto]:[Importe Neto]],Imput[[C. Imp.]:[C. Imp.]],$D1034,Imput[[PERIODO Imp.]:[PERIODO Imp.]],BS$9)</f>
        <v>0</v>
      </c>
      <c r="BT1034" s="693">
        <f>SUMIFS(Imput[[Importe Neto]:[Importe Neto]],Imput[[C. Imp.]:[C. Imp.]],$D1034,Imput[[PERIODO Imp.]:[PERIODO Imp.]],BT$9)</f>
        <v>0</v>
      </c>
      <c r="BU1034" s="693">
        <f>SUMIFS(Imput[[Importe Neto]:[Importe Neto]],Imput[[C. Imp.]:[C. Imp.]],$D1034,Imput[[PERIODO Imp.]:[PERIODO Imp.]],BU$9)</f>
        <v>0</v>
      </c>
      <c r="BV1034" s="693">
        <f>SUMIFS(Imput[[Importe Neto]:[Importe Neto]],Imput[[C. Imp.]:[C. Imp.]],$D1034,Imput[[PERIODO Imp.]:[PERIODO Imp.]],BV$9)</f>
        <v>0</v>
      </c>
      <c r="BW1034" s="693">
        <f>SUMIFS(Imput[[Importe Neto]:[Importe Neto]],Imput[[C. Imp.]:[C. Imp.]],$D1034,Imput[[PERIODO Imp.]:[PERIODO Imp.]],BW$9)</f>
        <v>0</v>
      </c>
      <c r="BX1034" s="693">
        <f>SUMIFS(Imput[[Importe Neto]:[Importe Neto]],Imput[[C. Imp.]:[C. Imp.]],$D1034,Imput[[PERIODO Imp.]:[PERIODO Imp.]],BX$9)</f>
        <v>0</v>
      </c>
      <c r="BY1034" s="693">
        <f>SUMIFS(Imput[[Importe Neto]:[Importe Neto]],Imput[[C. Imp.]:[C. Imp.]],$D1034,Imput[[PERIODO Imp.]:[PERIODO Imp.]],BY$9)</f>
        <v>0</v>
      </c>
      <c r="BZ1034" s="693">
        <f>SUMIFS(Imput[[Importe Neto]:[Importe Neto]],Imput[[C. Imp.]:[C. Imp.]],$D1034,Imput[[PERIODO Imp.]:[PERIODO Imp.]],BZ$9)</f>
        <v>0</v>
      </c>
      <c r="CA1034" s="693">
        <f>SUMIFS(Imput[[Importe Neto]:[Importe Neto]],Imput[[C. Imp.]:[C. Imp.]],$D1034,Imput[[PERIODO Imp.]:[PERIODO Imp.]],CA$9)</f>
        <v>0</v>
      </c>
      <c r="CB1034" s="693">
        <f>SUMIFS(Imput[[Importe Neto]:[Importe Neto]],Imput[[C. Imp.]:[C. Imp.]],$D1034,Imput[[PERIODO Imp.]:[PERIODO Imp.]],CB$9)</f>
        <v>0</v>
      </c>
      <c r="CC1034" s="693">
        <f>SUMIFS(Imput[[Importe Neto]:[Importe Neto]],Imput[[C. Imp.]:[C. Imp.]],$D1034,Imput[[PERIODO Imp.]:[PERIODO Imp.]],CC$9)</f>
        <v>0</v>
      </c>
      <c r="CD1034" s="693">
        <f>SUMIFS(Imput[[Importe Neto]:[Importe Neto]],Imput[[C. Imp.]:[C. Imp.]],$D1034,Imput[[PERIODO Imp.]:[PERIODO Imp.]],CD$9)</f>
        <v>0</v>
      </c>
      <c r="CE1034" s="693">
        <f>SUMIFS(Imput[[Importe Neto]:[Importe Neto]],Imput[[C. Imp.]:[C. Imp.]],$D1034,Imput[[PERIODO Imp.]:[PERIODO Imp.]],CE$9)</f>
        <v>0</v>
      </c>
      <c r="CF1034" s="693">
        <f>SUMIFS(Imput[[Importe Neto]:[Importe Neto]],Imput[[C. Imp.]:[C. Imp.]],$D1034,Imput[[PERIODO Imp.]:[PERIODO Imp.]],CF$9)</f>
        <v>0</v>
      </c>
      <c r="CG1034" s="693">
        <f>SUMIFS(Imput[[Importe Neto]:[Importe Neto]],Imput[[C. Imp.]:[C. Imp.]],$D1034,Imput[[PERIODO Imp.]:[PERIODO Imp.]],CG$9)</f>
        <v>0</v>
      </c>
      <c r="CH1034" s="693">
        <f>SUMIFS(Imput[[Importe Neto]:[Importe Neto]],Imput[[C. Imp.]:[C. Imp.]],$D1034,Imput[[PERIODO Imp.]:[PERIODO Imp.]],CH$9)</f>
        <v>0</v>
      </c>
      <c r="CI1034" s="693">
        <f>SUMIFS(Imput[[Importe Neto]:[Importe Neto]],Imput[[C. Imp.]:[C. Imp.]],$D1034,Imput[[PERIODO Imp.]:[PERIODO Imp.]],CI$9)</f>
        <v>0</v>
      </c>
      <c r="CJ1034" s="693">
        <f>SUMIFS(Imput[[Importe Neto]:[Importe Neto]],Imput[[C. Imp.]:[C. Imp.]],$D1034,Imput[[PERIODO Imp.]:[PERIODO Imp.]],CJ$9)</f>
        <v>0</v>
      </c>
      <c r="CK1034" s="693">
        <f>SUMIFS(Imput[[Importe Neto]:[Importe Neto]],Imput[[C. Imp.]:[C. Imp.]],$D1034,Imput[[PERIODO Imp.]:[PERIODO Imp.]],CK$9)</f>
        <v>0</v>
      </c>
      <c r="CL1034" s="693">
        <f>SUMIFS(Imput[[Importe Neto]:[Importe Neto]],Imput[[C. Imp.]:[C. Imp.]],$D1034,Imput[[PERIODO Imp.]:[PERIODO Imp.]],CL$9)</f>
        <v>0</v>
      </c>
      <c r="CM1034" s="693">
        <f>SUMIFS(Imput[[Importe Neto]:[Importe Neto]],Imput[[C. Imp.]:[C. Imp.]],$D1034,Imput[[PERIODO Imp.]:[PERIODO Imp.]],CM$9)</f>
        <v>0</v>
      </c>
      <c r="CN1034" s="693">
        <f>SUMIFS(Imput[[Importe Neto]:[Importe Neto]],Imput[[C. Imp.]:[C. Imp.]],$D1034,Imput[[PERIODO Imp.]:[PERIODO Imp.]],CN$9)</f>
        <v>0</v>
      </c>
      <c r="CO1034" s="693">
        <f>SUMIFS(Imput[[Importe Neto]:[Importe Neto]],Imput[[C. Imp.]:[C. Imp.]],$D1034,Imput[[PERIODO Imp.]:[PERIODO Imp.]],CO$9)</f>
        <v>0</v>
      </c>
      <c r="CP1034" s="693">
        <f>SUMIFS(Imput[[Importe Neto]:[Importe Neto]],Imput[[C. Imp.]:[C. Imp.]],$D1034,Imput[[PERIODO Imp.]:[PERIODO Imp.]],CP$9)</f>
        <v>0</v>
      </c>
      <c r="CQ1034" s="693">
        <f>SUMIFS(Imput[[Importe Neto]:[Importe Neto]],Imput[[C. Imp.]:[C. Imp.]],$D1034,Imput[[PERIODO Imp.]:[PERIODO Imp.]],CQ$9)</f>
        <v>0</v>
      </c>
      <c r="CR1034" s="693">
        <f>SUMIFS(Imput[[Importe Neto]:[Importe Neto]],Imput[[C. Imp.]:[C. Imp.]],$D1034,Imput[[PERIODO Imp.]:[PERIODO Imp.]],CR$9)</f>
        <v>0</v>
      </c>
      <c r="CS1034" s="693">
        <f>SUMIFS(Imput[[Importe Neto]:[Importe Neto]],Imput[[C. Imp.]:[C. Imp.]],$D1034,Imput[[PERIODO Imp.]:[PERIODO Imp.]],CS$9)</f>
        <v>0</v>
      </c>
      <c r="CT1034" s="693">
        <f>SUMIFS(Imput[[Importe Neto]:[Importe Neto]],Imput[[C. Imp.]:[C. Imp.]],$D1034,Imput[[PERIODO Imp.]:[PERIODO Imp.]],CT$9)</f>
        <v>0</v>
      </c>
      <c r="CU1034" s="693">
        <f>SUMIFS(Imput[[Importe Neto]:[Importe Neto]],Imput[[C. Imp.]:[C. Imp.]],$D1034,Imput[[PERIODO Imp.]:[PERIODO Imp.]],CU$9)</f>
        <v>0</v>
      </c>
      <c r="CV1034" s="693">
        <f>SUMIFS(Imput[[Importe Neto]:[Importe Neto]],Imput[[C. Imp.]:[C. Imp.]],$D1034,Imput[[PERIODO Imp.]:[PERIODO Imp.]],CV$9)</f>
        <v>0</v>
      </c>
      <c r="CW1034" s="693">
        <f>SUMIFS(Imput[[Importe Neto]:[Importe Neto]],Imput[[C. Imp.]:[C. Imp.]],$D1034,Imput[[PERIODO Imp.]:[PERIODO Imp.]],CW$9)</f>
        <v>0</v>
      </c>
      <c r="CX1034" s="693">
        <f>SUMIFS(Imput[[Importe Neto]:[Importe Neto]],Imput[[C. Imp.]:[C. Imp.]],$D1034,Imput[[PERIODO Imp.]:[PERIODO Imp.]],CX$9)</f>
        <v>0</v>
      </c>
      <c r="CY1034" s="693">
        <f>SUMIFS(Imput[[Importe Neto]:[Importe Neto]],Imput[[C. Imp.]:[C. Imp.]],$D1034,Imput[[PERIODO Imp.]:[PERIODO Imp.]],CY$9)</f>
        <v>0</v>
      </c>
      <c r="CZ1034" s="693">
        <f>SUMIFS(Imput[[Importe Neto]:[Importe Neto]],Imput[[C. Imp.]:[C. Imp.]],$D1034,Imput[[PERIODO Imp.]:[PERIODO Imp.]],CZ$9)</f>
        <v>0</v>
      </c>
      <c r="DA1034" s="693">
        <f>SUMIFS(Imput[[Importe Neto]:[Importe Neto]],Imput[[C. Imp.]:[C. Imp.]],$D1034,Imput[[PERIODO Imp.]:[PERIODO Imp.]],DA$9)</f>
        <v>0</v>
      </c>
      <c r="DB1034" s="693">
        <f>SUMIFS(Imput[[Importe Neto]:[Importe Neto]],Imput[[C. Imp.]:[C. Imp.]],$D1034,Imput[[PERIODO Imp.]:[PERIODO Imp.]],DB$9)</f>
        <v>0</v>
      </c>
      <c r="DC1034" s="693">
        <f>SUMIFS(Imput[[Importe Neto]:[Importe Neto]],Imput[[C. Imp.]:[C. Imp.]],$D1034,Imput[[PERIODO Imp.]:[PERIODO Imp.]],DC$9)</f>
        <v>0</v>
      </c>
      <c r="DD1034" s="693">
        <f>SUMIFS(Imput[[Importe Neto]:[Importe Neto]],Imput[[C. Imp.]:[C. Imp.]],$D1034,Imput[[PERIODO Imp.]:[PERIODO Imp.]],DD$9)</f>
        <v>0</v>
      </c>
      <c r="DE1034" s="693">
        <f>SUMIFS(Imput[[Importe Neto]:[Importe Neto]],Imput[[C. Imp.]:[C. Imp.]],$D1034,Imput[[PERIODO Imp.]:[PERIODO Imp.]],DE$9)</f>
        <v>0</v>
      </c>
      <c r="DF1034" s="693">
        <f>SUMIFS(Imput[[Importe Neto]:[Importe Neto]],Imput[[C. Imp.]:[C. Imp.]],$D1034,Imput[[PERIODO Imp.]:[PERIODO Imp.]],DF$9)</f>
        <v>0</v>
      </c>
      <c r="DG1034" s="693">
        <f>SUMIFS(Imput[[Importe Neto]:[Importe Neto]],Imput[[C. Imp.]:[C. Imp.]],$D1034,Imput[[PERIODO Imp.]:[PERIODO Imp.]],DG$9)</f>
        <v>0</v>
      </c>
      <c r="DH1034" s="694">
        <f>SUMIFS(Imput[[Importe Neto]:[Importe Neto]],Imput[[C. Imp.]:[C. Imp.]],$D1034,Imput[[PERIODO Imp.]:[PERIODO Imp.]],DH$9)</f>
        <v>0</v>
      </c>
    </row>
    <row r="1035" spans="1:112" s="649" customFormat="1" hidden="1" outlineLevel="1" x14ac:dyDescent="0.3">
      <c r="A1035" s="652" t="str">
        <f t="shared" si="354"/>
        <v/>
      </c>
      <c r="B1035" s="652"/>
      <c r="C1035" s="685"/>
      <c r="D1035" s="686"/>
      <c r="E1035" s="686"/>
      <c r="F1035" s="720"/>
      <c r="G1035" s="688"/>
      <c r="H1035" s="689"/>
      <c r="I1035" s="851" t="str">
        <f t="shared" si="355"/>
        <v/>
      </c>
      <c r="J1035" s="850" t="str">
        <f t="shared" si="356"/>
        <v/>
      </c>
      <c r="K1035" s="667"/>
      <c r="L1035" s="858"/>
      <c r="M1035" s="859"/>
      <c r="N1035" s="859"/>
      <c r="O1035" s="859"/>
      <c r="P1035" s="859"/>
      <c r="Q1035" s="859"/>
      <c r="R1035" s="859"/>
      <c r="S1035" s="859"/>
      <c r="T1035" s="859"/>
      <c r="U1035" s="859"/>
      <c r="V1035" s="859"/>
      <c r="W1035" s="859"/>
      <c r="X1035" s="859"/>
      <c r="Y1035" s="859"/>
      <c r="Z1035" s="860"/>
      <c r="AA1035" s="860"/>
      <c r="AB1035" s="860"/>
      <c r="AC1035" s="860"/>
      <c r="AD1035" s="860"/>
      <c r="AE1035" s="860"/>
      <c r="AF1035" s="860"/>
      <c r="AG1035" s="860"/>
      <c r="AH1035" s="860"/>
      <c r="AI1035" s="860"/>
      <c r="AJ1035" s="860"/>
      <c r="AK1035" s="860"/>
      <c r="AL1035" s="860"/>
      <c r="AM1035" s="860"/>
      <c r="AN1035" s="860"/>
      <c r="AO1035" s="860"/>
      <c r="AP1035" s="860"/>
      <c r="AQ1035" s="860"/>
      <c r="AR1035" s="860"/>
      <c r="AS1035" s="860"/>
      <c r="AT1035" s="860"/>
      <c r="AU1035" s="860"/>
      <c r="AV1035" s="860"/>
      <c r="AW1035" s="860"/>
      <c r="AX1035" s="860"/>
      <c r="AY1035" s="860"/>
      <c r="AZ1035" s="860"/>
      <c r="BA1035" s="860"/>
      <c r="BB1035" s="860"/>
      <c r="BC1035" s="860"/>
      <c r="BD1035" s="860"/>
      <c r="BE1035" s="860"/>
      <c r="BF1035" s="860"/>
      <c r="BG1035" s="860"/>
      <c r="BH1035" s="668"/>
      <c r="BI1035" s="667"/>
      <c r="BJ1035" s="690">
        <f t="shared" si="357"/>
        <v>0</v>
      </c>
      <c r="BK1035" s="691">
        <f t="shared" si="358"/>
        <v>0</v>
      </c>
      <c r="BL1035" s="654"/>
      <c r="BM1035" s="692">
        <f>SUMIFS(Imput[[Importe Neto]:[Importe Neto]],Imput[[C. Imp.]:[C. Imp.]],$D1035,Imput[[PERIODO Imp.]:[PERIODO Imp.]],BM$9)</f>
        <v>0</v>
      </c>
      <c r="BN1035" s="693">
        <f>SUMIFS(Imput[[Importe Neto]:[Importe Neto]],Imput[[C. Imp.]:[C. Imp.]],$D1035,Imput[[PERIODO Imp.]:[PERIODO Imp.]],BN$9)</f>
        <v>0</v>
      </c>
      <c r="BO1035" s="693">
        <f>SUMIFS(Imput[[Importe Neto]:[Importe Neto]],Imput[[C. Imp.]:[C. Imp.]],$D1035,Imput[[PERIODO Imp.]:[PERIODO Imp.]],BO$9)</f>
        <v>0</v>
      </c>
      <c r="BP1035" s="693">
        <f>SUMIFS(Imput[[Importe Neto]:[Importe Neto]],Imput[[C. Imp.]:[C. Imp.]],$D1035,Imput[[PERIODO Imp.]:[PERIODO Imp.]],BP$9)</f>
        <v>0</v>
      </c>
      <c r="BQ1035" s="693">
        <f>SUMIFS(Imput[[Importe Neto]:[Importe Neto]],Imput[[C. Imp.]:[C. Imp.]],$D1035,Imput[[PERIODO Imp.]:[PERIODO Imp.]],BQ$9)</f>
        <v>0</v>
      </c>
      <c r="BR1035" s="693">
        <f>SUMIFS(Imput[[Importe Neto]:[Importe Neto]],Imput[[C. Imp.]:[C. Imp.]],$D1035,Imput[[PERIODO Imp.]:[PERIODO Imp.]],BR$9)</f>
        <v>0</v>
      </c>
      <c r="BS1035" s="693">
        <f>SUMIFS(Imput[[Importe Neto]:[Importe Neto]],Imput[[C. Imp.]:[C. Imp.]],$D1035,Imput[[PERIODO Imp.]:[PERIODO Imp.]],BS$9)</f>
        <v>0</v>
      </c>
      <c r="BT1035" s="693">
        <f>SUMIFS(Imput[[Importe Neto]:[Importe Neto]],Imput[[C. Imp.]:[C. Imp.]],$D1035,Imput[[PERIODO Imp.]:[PERIODO Imp.]],BT$9)</f>
        <v>0</v>
      </c>
      <c r="BU1035" s="693">
        <f>SUMIFS(Imput[[Importe Neto]:[Importe Neto]],Imput[[C. Imp.]:[C. Imp.]],$D1035,Imput[[PERIODO Imp.]:[PERIODO Imp.]],BU$9)</f>
        <v>0</v>
      </c>
      <c r="BV1035" s="693">
        <f>SUMIFS(Imput[[Importe Neto]:[Importe Neto]],Imput[[C. Imp.]:[C. Imp.]],$D1035,Imput[[PERIODO Imp.]:[PERIODO Imp.]],BV$9)</f>
        <v>0</v>
      </c>
      <c r="BW1035" s="693">
        <f>SUMIFS(Imput[[Importe Neto]:[Importe Neto]],Imput[[C. Imp.]:[C. Imp.]],$D1035,Imput[[PERIODO Imp.]:[PERIODO Imp.]],BW$9)</f>
        <v>0</v>
      </c>
      <c r="BX1035" s="693">
        <f>SUMIFS(Imput[[Importe Neto]:[Importe Neto]],Imput[[C. Imp.]:[C. Imp.]],$D1035,Imput[[PERIODO Imp.]:[PERIODO Imp.]],BX$9)</f>
        <v>0</v>
      </c>
      <c r="BY1035" s="693">
        <f>SUMIFS(Imput[[Importe Neto]:[Importe Neto]],Imput[[C. Imp.]:[C. Imp.]],$D1035,Imput[[PERIODO Imp.]:[PERIODO Imp.]],BY$9)</f>
        <v>0</v>
      </c>
      <c r="BZ1035" s="693">
        <f>SUMIFS(Imput[[Importe Neto]:[Importe Neto]],Imput[[C. Imp.]:[C. Imp.]],$D1035,Imput[[PERIODO Imp.]:[PERIODO Imp.]],BZ$9)</f>
        <v>0</v>
      </c>
      <c r="CA1035" s="693">
        <f>SUMIFS(Imput[[Importe Neto]:[Importe Neto]],Imput[[C. Imp.]:[C. Imp.]],$D1035,Imput[[PERIODO Imp.]:[PERIODO Imp.]],CA$9)</f>
        <v>0</v>
      </c>
      <c r="CB1035" s="693">
        <f>SUMIFS(Imput[[Importe Neto]:[Importe Neto]],Imput[[C. Imp.]:[C. Imp.]],$D1035,Imput[[PERIODO Imp.]:[PERIODO Imp.]],CB$9)</f>
        <v>0</v>
      </c>
      <c r="CC1035" s="693">
        <f>SUMIFS(Imput[[Importe Neto]:[Importe Neto]],Imput[[C. Imp.]:[C. Imp.]],$D1035,Imput[[PERIODO Imp.]:[PERIODO Imp.]],CC$9)</f>
        <v>0</v>
      </c>
      <c r="CD1035" s="693">
        <f>SUMIFS(Imput[[Importe Neto]:[Importe Neto]],Imput[[C. Imp.]:[C. Imp.]],$D1035,Imput[[PERIODO Imp.]:[PERIODO Imp.]],CD$9)</f>
        <v>0</v>
      </c>
      <c r="CE1035" s="693">
        <f>SUMIFS(Imput[[Importe Neto]:[Importe Neto]],Imput[[C. Imp.]:[C. Imp.]],$D1035,Imput[[PERIODO Imp.]:[PERIODO Imp.]],CE$9)</f>
        <v>0</v>
      </c>
      <c r="CF1035" s="693">
        <f>SUMIFS(Imput[[Importe Neto]:[Importe Neto]],Imput[[C. Imp.]:[C. Imp.]],$D1035,Imput[[PERIODO Imp.]:[PERIODO Imp.]],CF$9)</f>
        <v>0</v>
      </c>
      <c r="CG1035" s="693">
        <f>SUMIFS(Imput[[Importe Neto]:[Importe Neto]],Imput[[C. Imp.]:[C. Imp.]],$D1035,Imput[[PERIODO Imp.]:[PERIODO Imp.]],CG$9)</f>
        <v>0</v>
      </c>
      <c r="CH1035" s="693">
        <f>SUMIFS(Imput[[Importe Neto]:[Importe Neto]],Imput[[C. Imp.]:[C. Imp.]],$D1035,Imput[[PERIODO Imp.]:[PERIODO Imp.]],CH$9)</f>
        <v>0</v>
      </c>
      <c r="CI1035" s="693">
        <f>SUMIFS(Imput[[Importe Neto]:[Importe Neto]],Imput[[C. Imp.]:[C. Imp.]],$D1035,Imput[[PERIODO Imp.]:[PERIODO Imp.]],CI$9)</f>
        <v>0</v>
      </c>
      <c r="CJ1035" s="693">
        <f>SUMIFS(Imput[[Importe Neto]:[Importe Neto]],Imput[[C. Imp.]:[C. Imp.]],$D1035,Imput[[PERIODO Imp.]:[PERIODO Imp.]],CJ$9)</f>
        <v>0</v>
      </c>
      <c r="CK1035" s="693">
        <f>SUMIFS(Imput[[Importe Neto]:[Importe Neto]],Imput[[C. Imp.]:[C. Imp.]],$D1035,Imput[[PERIODO Imp.]:[PERIODO Imp.]],CK$9)</f>
        <v>0</v>
      </c>
      <c r="CL1035" s="693">
        <f>SUMIFS(Imput[[Importe Neto]:[Importe Neto]],Imput[[C. Imp.]:[C. Imp.]],$D1035,Imput[[PERIODO Imp.]:[PERIODO Imp.]],CL$9)</f>
        <v>0</v>
      </c>
      <c r="CM1035" s="693">
        <f>SUMIFS(Imput[[Importe Neto]:[Importe Neto]],Imput[[C. Imp.]:[C. Imp.]],$D1035,Imput[[PERIODO Imp.]:[PERIODO Imp.]],CM$9)</f>
        <v>0</v>
      </c>
      <c r="CN1035" s="693">
        <f>SUMIFS(Imput[[Importe Neto]:[Importe Neto]],Imput[[C. Imp.]:[C. Imp.]],$D1035,Imput[[PERIODO Imp.]:[PERIODO Imp.]],CN$9)</f>
        <v>0</v>
      </c>
      <c r="CO1035" s="693">
        <f>SUMIFS(Imput[[Importe Neto]:[Importe Neto]],Imput[[C. Imp.]:[C. Imp.]],$D1035,Imput[[PERIODO Imp.]:[PERIODO Imp.]],CO$9)</f>
        <v>0</v>
      </c>
      <c r="CP1035" s="693">
        <f>SUMIFS(Imput[[Importe Neto]:[Importe Neto]],Imput[[C. Imp.]:[C. Imp.]],$D1035,Imput[[PERIODO Imp.]:[PERIODO Imp.]],CP$9)</f>
        <v>0</v>
      </c>
      <c r="CQ1035" s="693">
        <f>SUMIFS(Imput[[Importe Neto]:[Importe Neto]],Imput[[C. Imp.]:[C. Imp.]],$D1035,Imput[[PERIODO Imp.]:[PERIODO Imp.]],CQ$9)</f>
        <v>0</v>
      </c>
      <c r="CR1035" s="693">
        <f>SUMIFS(Imput[[Importe Neto]:[Importe Neto]],Imput[[C. Imp.]:[C. Imp.]],$D1035,Imput[[PERIODO Imp.]:[PERIODO Imp.]],CR$9)</f>
        <v>0</v>
      </c>
      <c r="CS1035" s="693">
        <f>SUMIFS(Imput[[Importe Neto]:[Importe Neto]],Imput[[C. Imp.]:[C. Imp.]],$D1035,Imput[[PERIODO Imp.]:[PERIODO Imp.]],CS$9)</f>
        <v>0</v>
      </c>
      <c r="CT1035" s="693">
        <f>SUMIFS(Imput[[Importe Neto]:[Importe Neto]],Imput[[C. Imp.]:[C. Imp.]],$D1035,Imput[[PERIODO Imp.]:[PERIODO Imp.]],CT$9)</f>
        <v>0</v>
      </c>
      <c r="CU1035" s="693">
        <f>SUMIFS(Imput[[Importe Neto]:[Importe Neto]],Imput[[C. Imp.]:[C. Imp.]],$D1035,Imput[[PERIODO Imp.]:[PERIODO Imp.]],CU$9)</f>
        <v>0</v>
      </c>
      <c r="CV1035" s="693">
        <f>SUMIFS(Imput[[Importe Neto]:[Importe Neto]],Imput[[C. Imp.]:[C. Imp.]],$D1035,Imput[[PERIODO Imp.]:[PERIODO Imp.]],CV$9)</f>
        <v>0</v>
      </c>
      <c r="CW1035" s="693">
        <f>SUMIFS(Imput[[Importe Neto]:[Importe Neto]],Imput[[C. Imp.]:[C. Imp.]],$D1035,Imput[[PERIODO Imp.]:[PERIODO Imp.]],CW$9)</f>
        <v>0</v>
      </c>
      <c r="CX1035" s="693">
        <f>SUMIFS(Imput[[Importe Neto]:[Importe Neto]],Imput[[C. Imp.]:[C. Imp.]],$D1035,Imput[[PERIODO Imp.]:[PERIODO Imp.]],CX$9)</f>
        <v>0</v>
      </c>
      <c r="CY1035" s="693">
        <f>SUMIFS(Imput[[Importe Neto]:[Importe Neto]],Imput[[C. Imp.]:[C. Imp.]],$D1035,Imput[[PERIODO Imp.]:[PERIODO Imp.]],CY$9)</f>
        <v>0</v>
      </c>
      <c r="CZ1035" s="693">
        <f>SUMIFS(Imput[[Importe Neto]:[Importe Neto]],Imput[[C. Imp.]:[C. Imp.]],$D1035,Imput[[PERIODO Imp.]:[PERIODO Imp.]],CZ$9)</f>
        <v>0</v>
      </c>
      <c r="DA1035" s="693">
        <f>SUMIFS(Imput[[Importe Neto]:[Importe Neto]],Imput[[C. Imp.]:[C. Imp.]],$D1035,Imput[[PERIODO Imp.]:[PERIODO Imp.]],DA$9)</f>
        <v>0</v>
      </c>
      <c r="DB1035" s="693">
        <f>SUMIFS(Imput[[Importe Neto]:[Importe Neto]],Imput[[C. Imp.]:[C. Imp.]],$D1035,Imput[[PERIODO Imp.]:[PERIODO Imp.]],DB$9)</f>
        <v>0</v>
      </c>
      <c r="DC1035" s="693">
        <f>SUMIFS(Imput[[Importe Neto]:[Importe Neto]],Imput[[C. Imp.]:[C. Imp.]],$D1035,Imput[[PERIODO Imp.]:[PERIODO Imp.]],DC$9)</f>
        <v>0</v>
      </c>
      <c r="DD1035" s="693">
        <f>SUMIFS(Imput[[Importe Neto]:[Importe Neto]],Imput[[C. Imp.]:[C. Imp.]],$D1035,Imput[[PERIODO Imp.]:[PERIODO Imp.]],DD$9)</f>
        <v>0</v>
      </c>
      <c r="DE1035" s="693">
        <f>SUMIFS(Imput[[Importe Neto]:[Importe Neto]],Imput[[C. Imp.]:[C. Imp.]],$D1035,Imput[[PERIODO Imp.]:[PERIODO Imp.]],DE$9)</f>
        <v>0</v>
      </c>
      <c r="DF1035" s="693">
        <f>SUMIFS(Imput[[Importe Neto]:[Importe Neto]],Imput[[C. Imp.]:[C. Imp.]],$D1035,Imput[[PERIODO Imp.]:[PERIODO Imp.]],DF$9)</f>
        <v>0</v>
      </c>
      <c r="DG1035" s="693">
        <f>SUMIFS(Imput[[Importe Neto]:[Importe Neto]],Imput[[C. Imp.]:[C. Imp.]],$D1035,Imput[[PERIODO Imp.]:[PERIODO Imp.]],DG$9)</f>
        <v>0</v>
      </c>
      <c r="DH1035" s="694">
        <f>SUMIFS(Imput[[Importe Neto]:[Importe Neto]],Imput[[C. Imp.]:[C. Imp.]],$D1035,Imput[[PERIODO Imp.]:[PERIODO Imp.]],DH$9)</f>
        <v>0</v>
      </c>
    </row>
    <row r="1036" spans="1:112" s="649" customFormat="1" hidden="1" outlineLevel="1" x14ac:dyDescent="0.3">
      <c r="A1036" s="652" t="str">
        <f t="shared" si="354"/>
        <v/>
      </c>
      <c r="B1036" s="652"/>
      <c r="C1036" s="685"/>
      <c r="D1036" s="686"/>
      <c r="E1036" s="686"/>
      <c r="F1036" s="720"/>
      <c r="G1036" s="688"/>
      <c r="H1036" s="689"/>
      <c r="I1036" s="851" t="str">
        <f t="shared" si="355"/>
        <v/>
      </c>
      <c r="J1036" s="850" t="str">
        <f t="shared" si="356"/>
        <v/>
      </c>
      <c r="K1036" s="667"/>
      <c r="L1036" s="858"/>
      <c r="M1036" s="859"/>
      <c r="N1036" s="859"/>
      <c r="O1036" s="859"/>
      <c r="P1036" s="859"/>
      <c r="Q1036" s="859"/>
      <c r="R1036" s="859"/>
      <c r="S1036" s="859"/>
      <c r="T1036" s="859"/>
      <c r="U1036" s="859"/>
      <c r="V1036" s="859"/>
      <c r="W1036" s="859"/>
      <c r="X1036" s="859"/>
      <c r="Y1036" s="859"/>
      <c r="Z1036" s="860"/>
      <c r="AA1036" s="860"/>
      <c r="AB1036" s="860"/>
      <c r="AC1036" s="860"/>
      <c r="AD1036" s="860"/>
      <c r="AE1036" s="860"/>
      <c r="AF1036" s="860"/>
      <c r="AG1036" s="860"/>
      <c r="AH1036" s="860"/>
      <c r="AI1036" s="860"/>
      <c r="AJ1036" s="860"/>
      <c r="AK1036" s="860"/>
      <c r="AL1036" s="860"/>
      <c r="AM1036" s="860"/>
      <c r="AN1036" s="860"/>
      <c r="AO1036" s="860"/>
      <c r="AP1036" s="860"/>
      <c r="AQ1036" s="860"/>
      <c r="AR1036" s="860"/>
      <c r="AS1036" s="860"/>
      <c r="AT1036" s="860"/>
      <c r="AU1036" s="860"/>
      <c r="AV1036" s="860"/>
      <c r="AW1036" s="860"/>
      <c r="AX1036" s="860"/>
      <c r="AY1036" s="860"/>
      <c r="AZ1036" s="860"/>
      <c r="BA1036" s="860"/>
      <c r="BB1036" s="860"/>
      <c r="BC1036" s="860"/>
      <c r="BD1036" s="860"/>
      <c r="BE1036" s="860"/>
      <c r="BF1036" s="860"/>
      <c r="BG1036" s="860"/>
      <c r="BH1036" s="668"/>
      <c r="BI1036" s="667"/>
      <c r="BJ1036" s="690">
        <f t="shared" si="357"/>
        <v>0</v>
      </c>
      <c r="BK1036" s="691">
        <f t="shared" si="358"/>
        <v>0</v>
      </c>
      <c r="BL1036" s="654"/>
      <c r="BM1036" s="692">
        <f>SUMIFS(Imput[[Importe Neto]:[Importe Neto]],Imput[[C. Imp.]:[C. Imp.]],$D1036,Imput[[PERIODO Imp.]:[PERIODO Imp.]],BM$9)</f>
        <v>0</v>
      </c>
      <c r="BN1036" s="693">
        <f>SUMIFS(Imput[[Importe Neto]:[Importe Neto]],Imput[[C. Imp.]:[C. Imp.]],$D1036,Imput[[PERIODO Imp.]:[PERIODO Imp.]],BN$9)</f>
        <v>0</v>
      </c>
      <c r="BO1036" s="693">
        <f>SUMIFS(Imput[[Importe Neto]:[Importe Neto]],Imput[[C. Imp.]:[C. Imp.]],$D1036,Imput[[PERIODO Imp.]:[PERIODO Imp.]],BO$9)</f>
        <v>0</v>
      </c>
      <c r="BP1036" s="693">
        <f>SUMIFS(Imput[[Importe Neto]:[Importe Neto]],Imput[[C. Imp.]:[C. Imp.]],$D1036,Imput[[PERIODO Imp.]:[PERIODO Imp.]],BP$9)</f>
        <v>0</v>
      </c>
      <c r="BQ1036" s="693">
        <f>SUMIFS(Imput[[Importe Neto]:[Importe Neto]],Imput[[C. Imp.]:[C. Imp.]],$D1036,Imput[[PERIODO Imp.]:[PERIODO Imp.]],BQ$9)</f>
        <v>0</v>
      </c>
      <c r="BR1036" s="693">
        <f>SUMIFS(Imput[[Importe Neto]:[Importe Neto]],Imput[[C. Imp.]:[C. Imp.]],$D1036,Imput[[PERIODO Imp.]:[PERIODO Imp.]],BR$9)</f>
        <v>0</v>
      </c>
      <c r="BS1036" s="693">
        <f>SUMIFS(Imput[[Importe Neto]:[Importe Neto]],Imput[[C. Imp.]:[C. Imp.]],$D1036,Imput[[PERIODO Imp.]:[PERIODO Imp.]],BS$9)</f>
        <v>0</v>
      </c>
      <c r="BT1036" s="693">
        <f>SUMIFS(Imput[[Importe Neto]:[Importe Neto]],Imput[[C. Imp.]:[C. Imp.]],$D1036,Imput[[PERIODO Imp.]:[PERIODO Imp.]],BT$9)</f>
        <v>0</v>
      </c>
      <c r="BU1036" s="693">
        <f>SUMIFS(Imput[[Importe Neto]:[Importe Neto]],Imput[[C. Imp.]:[C. Imp.]],$D1036,Imput[[PERIODO Imp.]:[PERIODO Imp.]],BU$9)</f>
        <v>0</v>
      </c>
      <c r="BV1036" s="693">
        <f>SUMIFS(Imput[[Importe Neto]:[Importe Neto]],Imput[[C. Imp.]:[C. Imp.]],$D1036,Imput[[PERIODO Imp.]:[PERIODO Imp.]],BV$9)</f>
        <v>0</v>
      </c>
      <c r="BW1036" s="693">
        <f>SUMIFS(Imput[[Importe Neto]:[Importe Neto]],Imput[[C. Imp.]:[C. Imp.]],$D1036,Imput[[PERIODO Imp.]:[PERIODO Imp.]],BW$9)</f>
        <v>0</v>
      </c>
      <c r="BX1036" s="693">
        <f>SUMIFS(Imput[[Importe Neto]:[Importe Neto]],Imput[[C. Imp.]:[C. Imp.]],$D1036,Imput[[PERIODO Imp.]:[PERIODO Imp.]],BX$9)</f>
        <v>0</v>
      </c>
      <c r="BY1036" s="693">
        <f>SUMIFS(Imput[[Importe Neto]:[Importe Neto]],Imput[[C. Imp.]:[C. Imp.]],$D1036,Imput[[PERIODO Imp.]:[PERIODO Imp.]],BY$9)</f>
        <v>0</v>
      </c>
      <c r="BZ1036" s="693">
        <f>SUMIFS(Imput[[Importe Neto]:[Importe Neto]],Imput[[C. Imp.]:[C. Imp.]],$D1036,Imput[[PERIODO Imp.]:[PERIODO Imp.]],BZ$9)</f>
        <v>0</v>
      </c>
      <c r="CA1036" s="693">
        <f>SUMIFS(Imput[[Importe Neto]:[Importe Neto]],Imput[[C. Imp.]:[C. Imp.]],$D1036,Imput[[PERIODO Imp.]:[PERIODO Imp.]],CA$9)</f>
        <v>0</v>
      </c>
      <c r="CB1036" s="693">
        <f>SUMIFS(Imput[[Importe Neto]:[Importe Neto]],Imput[[C. Imp.]:[C. Imp.]],$D1036,Imput[[PERIODO Imp.]:[PERIODO Imp.]],CB$9)</f>
        <v>0</v>
      </c>
      <c r="CC1036" s="693">
        <f>SUMIFS(Imput[[Importe Neto]:[Importe Neto]],Imput[[C. Imp.]:[C. Imp.]],$D1036,Imput[[PERIODO Imp.]:[PERIODO Imp.]],CC$9)</f>
        <v>0</v>
      </c>
      <c r="CD1036" s="693">
        <f>SUMIFS(Imput[[Importe Neto]:[Importe Neto]],Imput[[C. Imp.]:[C. Imp.]],$D1036,Imput[[PERIODO Imp.]:[PERIODO Imp.]],CD$9)</f>
        <v>0</v>
      </c>
      <c r="CE1036" s="693">
        <f>SUMIFS(Imput[[Importe Neto]:[Importe Neto]],Imput[[C. Imp.]:[C. Imp.]],$D1036,Imput[[PERIODO Imp.]:[PERIODO Imp.]],CE$9)</f>
        <v>0</v>
      </c>
      <c r="CF1036" s="693">
        <f>SUMIFS(Imput[[Importe Neto]:[Importe Neto]],Imput[[C. Imp.]:[C. Imp.]],$D1036,Imput[[PERIODO Imp.]:[PERIODO Imp.]],CF$9)</f>
        <v>0</v>
      </c>
      <c r="CG1036" s="693">
        <f>SUMIFS(Imput[[Importe Neto]:[Importe Neto]],Imput[[C. Imp.]:[C. Imp.]],$D1036,Imput[[PERIODO Imp.]:[PERIODO Imp.]],CG$9)</f>
        <v>0</v>
      </c>
      <c r="CH1036" s="693">
        <f>SUMIFS(Imput[[Importe Neto]:[Importe Neto]],Imput[[C. Imp.]:[C. Imp.]],$D1036,Imput[[PERIODO Imp.]:[PERIODO Imp.]],CH$9)</f>
        <v>0</v>
      </c>
      <c r="CI1036" s="693">
        <f>SUMIFS(Imput[[Importe Neto]:[Importe Neto]],Imput[[C. Imp.]:[C. Imp.]],$D1036,Imput[[PERIODO Imp.]:[PERIODO Imp.]],CI$9)</f>
        <v>0</v>
      </c>
      <c r="CJ1036" s="693">
        <f>SUMIFS(Imput[[Importe Neto]:[Importe Neto]],Imput[[C. Imp.]:[C. Imp.]],$D1036,Imput[[PERIODO Imp.]:[PERIODO Imp.]],CJ$9)</f>
        <v>0</v>
      </c>
      <c r="CK1036" s="693">
        <f>SUMIFS(Imput[[Importe Neto]:[Importe Neto]],Imput[[C. Imp.]:[C. Imp.]],$D1036,Imput[[PERIODO Imp.]:[PERIODO Imp.]],CK$9)</f>
        <v>0</v>
      </c>
      <c r="CL1036" s="693">
        <f>SUMIFS(Imput[[Importe Neto]:[Importe Neto]],Imput[[C. Imp.]:[C. Imp.]],$D1036,Imput[[PERIODO Imp.]:[PERIODO Imp.]],CL$9)</f>
        <v>0</v>
      </c>
      <c r="CM1036" s="693">
        <f>SUMIFS(Imput[[Importe Neto]:[Importe Neto]],Imput[[C. Imp.]:[C. Imp.]],$D1036,Imput[[PERIODO Imp.]:[PERIODO Imp.]],CM$9)</f>
        <v>0</v>
      </c>
      <c r="CN1036" s="693">
        <f>SUMIFS(Imput[[Importe Neto]:[Importe Neto]],Imput[[C. Imp.]:[C. Imp.]],$D1036,Imput[[PERIODO Imp.]:[PERIODO Imp.]],CN$9)</f>
        <v>0</v>
      </c>
      <c r="CO1036" s="693">
        <f>SUMIFS(Imput[[Importe Neto]:[Importe Neto]],Imput[[C. Imp.]:[C. Imp.]],$D1036,Imput[[PERIODO Imp.]:[PERIODO Imp.]],CO$9)</f>
        <v>0</v>
      </c>
      <c r="CP1036" s="693">
        <f>SUMIFS(Imput[[Importe Neto]:[Importe Neto]],Imput[[C. Imp.]:[C. Imp.]],$D1036,Imput[[PERIODO Imp.]:[PERIODO Imp.]],CP$9)</f>
        <v>0</v>
      </c>
      <c r="CQ1036" s="693">
        <f>SUMIFS(Imput[[Importe Neto]:[Importe Neto]],Imput[[C. Imp.]:[C. Imp.]],$D1036,Imput[[PERIODO Imp.]:[PERIODO Imp.]],CQ$9)</f>
        <v>0</v>
      </c>
      <c r="CR1036" s="693">
        <f>SUMIFS(Imput[[Importe Neto]:[Importe Neto]],Imput[[C. Imp.]:[C. Imp.]],$D1036,Imput[[PERIODO Imp.]:[PERIODO Imp.]],CR$9)</f>
        <v>0</v>
      </c>
      <c r="CS1036" s="693">
        <f>SUMIFS(Imput[[Importe Neto]:[Importe Neto]],Imput[[C. Imp.]:[C. Imp.]],$D1036,Imput[[PERIODO Imp.]:[PERIODO Imp.]],CS$9)</f>
        <v>0</v>
      </c>
      <c r="CT1036" s="693">
        <f>SUMIFS(Imput[[Importe Neto]:[Importe Neto]],Imput[[C. Imp.]:[C. Imp.]],$D1036,Imput[[PERIODO Imp.]:[PERIODO Imp.]],CT$9)</f>
        <v>0</v>
      </c>
      <c r="CU1036" s="693">
        <f>SUMIFS(Imput[[Importe Neto]:[Importe Neto]],Imput[[C. Imp.]:[C. Imp.]],$D1036,Imput[[PERIODO Imp.]:[PERIODO Imp.]],CU$9)</f>
        <v>0</v>
      </c>
      <c r="CV1036" s="693">
        <f>SUMIFS(Imput[[Importe Neto]:[Importe Neto]],Imput[[C. Imp.]:[C. Imp.]],$D1036,Imput[[PERIODO Imp.]:[PERIODO Imp.]],CV$9)</f>
        <v>0</v>
      </c>
      <c r="CW1036" s="693">
        <f>SUMIFS(Imput[[Importe Neto]:[Importe Neto]],Imput[[C. Imp.]:[C. Imp.]],$D1036,Imput[[PERIODO Imp.]:[PERIODO Imp.]],CW$9)</f>
        <v>0</v>
      </c>
      <c r="CX1036" s="693">
        <f>SUMIFS(Imput[[Importe Neto]:[Importe Neto]],Imput[[C. Imp.]:[C. Imp.]],$D1036,Imput[[PERIODO Imp.]:[PERIODO Imp.]],CX$9)</f>
        <v>0</v>
      </c>
      <c r="CY1036" s="693">
        <f>SUMIFS(Imput[[Importe Neto]:[Importe Neto]],Imput[[C. Imp.]:[C. Imp.]],$D1036,Imput[[PERIODO Imp.]:[PERIODO Imp.]],CY$9)</f>
        <v>0</v>
      </c>
      <c r="CZ1036" s="693">
        <f>SUMIFS(Imput[[Importe Neto]:[Importe Neto]],Imput[[C. Imp.]:[C. Imp.]],$D1036,Imput[[PERIODO Imp.]:[PERIODO Imp.]],CZ$9)</f>
        <v>0</v>
      </c>
      <c r="DA1036" s="693">
        <f>SUMIFS(Imput[[Importe Neto]:[Importe Neto]],Imput[[C. Imp.]:[C. Imp.]],$D1036,Imput[[PERIODO Imp.]:[PERIODO Imp.]],DA$9)</f>
        <v>0</v>
      </c>
      <c r="DB1036" s="693">
        <f>SUMIFS(Imput[[Importe Neto]:[Importe Neto]],Imput[[C. Imp.]:[C. Imp.]],$D1036,Imput[[PERIODO Imp.]:[PERIODO Imp.]],DB$9)</f>
        <v>0</v>
      </c>
      <c r="DC1036" s="693">
        <f>SUMIFS(Imput[[Importe Neto]:[Importe Neto]],Imput[[C. Imp.]:[C. Imp.]],$D1036,Imput[[PERIODO Imp.]:[PERIODO Imp.]],DC$9)</f>
        <v>0</v>
      </c>
      <c r="DD1036" s="693">
        <f>SUMIFS(Imput[[Importe Neto]:[Importe Neto]],Imput[[C. Imp.]:[C. Imp.]],$D1036,Imput[[PERIODO Imp.]:[PERIODO Imp.]],DD$9)</f>
        <v>0</v>
      </c>
      <c r="DE1036" s="693">
        <f>SUMIFS(Imput[[Importe Neto]:[Importe Neto]],Imput[[C. Imp.]:[C. Imp.]],$D1036,Imput[[PERIODO Imp.]:[PERIODO Imp.]],DE$9)</f>
        <v>0</v>
      </c>
      <c r="DF1036" s="693">
        <f>SUMIFS(Imput[[Importe Neto]:[Importe Neto]],Imput[[C. Imp.]:[C. Imp.]],$D1036,Imput[[PERIODO Imp.]:[PERIODO Imp.]],DF$9)</f>
        <v>0</v>
      </c>
      <c r="DG1036" s="693">
        <f>SUMIFS(Imput[[Importe Neto]:[Importe Neto]],Imput[[C. Imp.]:[C. Imp.]],$D1036,Imput[[PERIODO Imp.]:[PERIODO Imp.]],DG$9)</f>
        <v>0</v>
      </c>
      <c r="DH1036" s="694">
        <f>SUMIFS(Imput[[Importe Neto]:[Importe Neto]],Imput[[C. Imp.]:[C. Imp.]],$D1036,Imput[[PERIODO Imp.]:[PERIODO Imp.]],DH$9)</f>
        <v>0</v>
      </c>
    </row>
    <row r="1037" spans="1:112" s="649" customFormat="1" hidden="1" outlineLevel="1" x14ac:dyDescent="0.3">
      <c r="A1037" s="652" t="str">
        <f t="shared" si="354"/>
        <v/>
      </c>
      <c r="B1037" s="652"/>
      <c r="C1037" s="685"/>
      <c r="D1037" s="686"/>
      <c r="E1037" s="686"/>
      <c r="F1037" s="720"/>
      <c r="G1037" s="688"/>
      <c r="H1037" s="689"/>
      <c r="I1037" s="851" t="str">
        <f t="shared" si="355"/>
        <v/>
      </c>
      <c r="J1037" s="850" t="str">
        <f t="shared" si="356"/>
        <v/>
      </c>
      <c r="K1037" s="667"/>
      <c r="L1037" s="858"/>
      <c r="M1037" s="859"/>
      <c r="N1037" s="859"/>
      <c r="O1037" s="859"/>
      <c r="P1037" s="859"/>
      <c r="Q1037" s="859"/>
      <c r="R1037" s="859"/>
      <c r="S1037" s="859"/>
      <c r="T1037" s="859"/>
      <c r="U1037" s="859"/>
      <c r="V1037" s="859"/>
      <c r="W1037" s="859"/>
      <c r="X1037" s="859"/>
      <c r="Y1037" s="859"/>
      <c r="Z1037" s="860"/>
      <c r="AA1037" s="860"/>
      <c r="AB1037" s="860"/>
      <c r="AC1037" s="860"/>
      <c r="AD1037" s="860"/>
      <c r="AE1037" s="860"/>
      <c r="AF1037" s="860"/>
      <c r="AG1037" s="860"/>
      <c r="AH1037" s="860"/>
      <c r="AI1037" s="860"/>
      <c r="AJ1037" s="860"/>
      <c r="AK1037" s="860"/>
      <c r="AL1037" s="860"/>
      <c r="AM1037" s="860"/>
      <c r="AN1037" s="860"/>
      <c r="AO1037" s="860"/>
      <c r="AP1037" s="860"/>
      <c r="AQ1037" s="860"/>
      <c r="AR1037" s="860"/>
      <c r="AS1037" s="860"/>
      <c r="AT1037" s="860"/>
      <c r="AU1037" s="860"/>
      <c r="AV1037" s="860"/>
      <c r="AW1037" s="860"/>
      <c r="AX1037" s="860"/>
      <c r="AY1037" s="860"/>
      <c r="AZ1037" s="860"/>
      <c r="BA1037" s="860"/>
      <c r="BB1037" s="860"/>
      <c r="BC1037" s="860"/>
      <c r="BD1037" s="860"/>
      <c r="BE1037" s="860"/>
      <c r="BF1037" s="860"/>
      <c r="BG1037" s="860"/>
      <c r="BH1037" s="668"/>
      <c r="BI1037" s="667"/>
      <c r="BJ1037" s="690">
        <f t="shared" si="357"/>
        <v>0</v>
      </c>
      <c r="BK1037" s="691">
        <f t="shared" si="358"/>
        <v>0</v>
      </c>
      <c r="BL1037" s="654"/>
      <c r="BM1037" s="692">
        <f>SUMIFS(Imput[[Importe Neto]:[Importe Neto]],Imput[[C. Imp.]:[C. Imp.]],$D1037,Imput[[PERIODO Imp.]:[PERIODO Imp.]],BM$9)</f>
        <v>0</v>
      </c>
      <c r="BN1037" s="693">
        <f>SUMIFS(Imput[[Importe Neto]:[Importe Neto]],Imput[[C. Imp.]:[C. Imp.]],$D1037,Imput[[PERIODO Imp.]:[PERIODO Imp.]],BN$9)</f>
        <v>0</v>
      </c>
      <c r="BO1037" s="693">
        <f>SUMIFS(Imput[[Importe Neto]:[Importe Neto]],Imput[[C. Imp.]:[C. Imp.]],$D1037,Imput[[PERIODO Imp.]:[PERIODO Imp.]],BO$9)</f>
        <v>0</v>
      </c>
      <c r="BP1037" s="693">
        <f>SUMIFS(Imput[[Importe Neto]:[Importe Neto]],Imput[[C. Imp.]:[C. Imp.]],$D1037,Imput[[PERIODO Imp.]:[PERIODO Imp.]],BP$9)</f>
        <v>0</v>
      </c>
      <c r="BQ1037" s="693">
        <f>SUMIFS(Imput[[Importe Neto]:[Importe Neto]],Imput[[C. Imp.]:[C. Imp.]],$D1037,Imput[[PERIODO Imp.]:[PERIODO Imp.]],BQ$9)</f>
        <v>0</v>
      </c>
      <c r="BR1037" s="693">
        <f>SUMIFS(Imput[[Importe Neto]:[Importe Neto]],Imput[[C. Imp.]:[C. Imp.]],$D1037,Imput[[PERIODO Imp.]:[PERIODO Imp.]],BR$9)</f>
        <v>0</v>
      </c>
      <c r="BS1037" s="693">
        <f>SUMIFS(Imput[[Importe Neto]:[Importe Neto]],Imput[[C. Imp.]:[C. Imp.]],$D1037,Imput[[PERIODO Imp.]:[PERIODO Imp.]],BS$9)</f>
        <v>0</v>
      </c>
      <c r="BT1037" s="693">
        <f>SUMIFS(Imput[[Importe Neto]:[Importe Neto]],Imput[[C. Imp.]:[C. Imp.]],$D1037,Imput[[PERIODO Imp.]:[PERIODO Imp.]],BT$9)</f>
        <v>0</v>
      </c>
      <c r="BU1037" s="693">
        <f>SUMIFS(Imput[[Importe Neto]:[Importe Neto]],Imput[[C. Imp.]:[C. Imp.]],$D1037,Imput[[PERIODO Imp.]:[PERIODO Imp.]],BU$9)</f>
        <v>0</v>
      </c>
      <c r="BV1037" s="693">
        <f>SUMIFS(Imput[[Importe Neto]:[Importe Neto]],Imput[[C. Imp.]:[C. Imp.]],$D1037,Imput[[PERIODO Imp.]:[PERIODO Imp.]],BV$9)</f>
        <v>0</v>
      </c>
      <c r="BW1037" s="693">
        <f>SUMIFS(Imput[[Importe Neto]:[Importe Neto]],Imput[[C. Imp.]:[C. Imp.]],$D1037,Imput[[PERIODO Imp.]:[PERIODO Imp.]],BW$9)</f>
        <v>0</v>
      </c>
      <c r="BX1037" s="693">
        <f>SUMIFS(Imput[[Importe Neto]:[Importe Neto]],Imput[[C. Imp.]:[C. Imp.]],$D1037,Imput[[PERIODO Imp.]:[PERIODO Imp.]],BX$9)</f>
        <v>0</v>
      </c>
      <c r="BY1037" s="693">
        <f>SUMIFS(Imput[[Importe Neto]:[Importe Neto]],Imput[[C. Imp.]:[C. Imp.]],$D1037,Imput[[PERIODO Imp.]:[PERIODO Imp.]],BY$9)</f>
        <v>0</v>
      </c>
      <c r="BZ1037" s="693">
        <f>SUMIFS(Imput[[Importe Neto]:[Importe Neto]],Imput[[C. Imp.]:[C. Imp.]],$D1037,Imput[[PERIODO Imp.]:[PERIODO Imp.]],BZ$9)</f>
        <v>0</v>
      </c>
      <c r="CA1037" s="693">
        <f>SUMIFS(Imput[[Importe Neto]:[Importe Neto]],Imput[[C. Imp.]:[C. Imp.]],$D1037,Imput[[PERIODO Imp.]:[PERIODO Imp.]],CA$9)</f>
        <v>0</v>
      </c>
      <c r="CB1037" s="693">
        <f>SUMIFS(Imput[[Importe Neto]:[Importe Neto]],Imput[[C. Imp.]:[C. Imp.]],$D1037,Imput[[PERIODO Imp.]:[PERIODO Imp.]],CB$9)</f>
        <v>0</v>
      </c>
      <c r="CC1037" s="693">
        <f>SUMIFS(Imput[[Importe Neto]:[Importe Neto]],Imput[[C. Imp.]:[C. Imp.]],$D1037,Imput[[PERIODO Imp.]:[PERIODO Imp.]],CC$9)</f>
        <v>0</v>
      </c>
      <c r="CD1037" s="693">
        <f>SUMIFS(Imput[[Importe Neto]:[Importe Neto]],Imput[[C. Imp.]:[C. Imp.]],$D1037,Imput[[PERIODO Imp.]:[PERIODO Imp.]],CD$9)</f>
        <v>0</v>
      </c>
      <c r="CE1037" s="693">
        <f>SUMIFS(Imput[[Importe Neto]:[Importe Neto]],Imput[[C. Imp.]:[C. Imp.]],$D1037,Imput[[PERIODO Imp.]:[PERIODO Imp.]],CE$9)</f>
        <v>0</v>
      </c>
      <c r="CF1037" s="693">
        <f>SUMIFS(Imput[[Importe Neto]:[Importe Neto]],Imput[[C. Imp.]:[C. Imp.]],$D1037,Imput[[PERIODO Imp.]:[PERIODO Imp.]],CF$9)</f>
        <v>0</v>
      </c>
      <c r="CG1037" s="693">
        <f>SUMIFS(Imput[[Importe Neto]:[Importe Neto]],Imput[[C. Imp.]:[C. Imp.]],$D1037,Imput[[PERIODO Imp.]:[PERIODO Imp.]],CG$9)</f>
        <v>0</v>
      </c>
      <c r="CH1037" s="693">
        <f>SUMIFS(Imput[[Importe Neto]:[Importe Neto]],Imput[[C. Imp.]:[C. Imp.]],$D1037,Imput[[PERIODO Imp.]:[PERIODO Imp.]],CH$9)</f>
        <v>0</v>
      </c>
      <c r="CI1037" s="693">
        <f>SUMIFS(Imput[[Importe Neto]:[Importe Neto]],Imput[[C. Imp.]:[C. Imp.]],$D1037,Imput[[PERIODO Imp.]:[PERIODO Imp.]],CI$9)</f>
        <v>0</v>
      </c>
      <c r="CJ1037" s="693">
        <f>SUMIFS(Imput[[Importe Neto]:[Importe Neto]],Imput[[C. Imp.]:[C. Imp.]],$D1037,Imput[[PERIODO Imp.]:[PERIODO Imp.]],CJ$9)</f>
        <v>0</v>
      </c>
      <c r="CK1037" s="693">
        <f>SUMIFS(Imput[[Importe Neto]:[Importe Neto]],Imput[[C. Imp.]:[C. Imp.]],$D1037,Imput[[PERIODO Imp.]:[PERIODO Imp.]],CK$9)</f>
        <v>0</v>
      </c>
      <c r="CL1037" s="693">
        <f>SUMIFS(Imput[[Importe Neto]:[Importe Neto]],Imput[[C. Imp.]:[C. Imp.]],$D1037,Imput[[PERIODO Imp.]:[PERIODO Imp.]],CL$9)</f>
        <v>0</v>
      </c>
      <c r="CM1037" s="693">
        <f>SUMIFS(Imput[[Importe Neto]:[Importe Neto]],Imput[[C. Imp.]:[C. Imp.]],$D1037,Imput[[PERIODO Imp.]:[PERIODO Imp.]],CM$9)</f>
        <v>0</v>
      </c>
      <c r="CN1037" s="693">
        <f>SUMIFS(Imput[[Importe Neto]:[Importe Neto]],Imput[[C. Imp.]:[C. Imp.]],$D1037,Imput[[PERIODO Imp.]:[PERIODO Imp.]],CN$9)</f>
        <v>0</v>
      </c>
      <c r="CO1037" s="693">
        <f>SUMIFS(Imput[[Importe Neto]:[Importe Neto]],Imput[[C. Imp.]:[C. Imp.]],$D1037,Imput[[PERIODO Imp.]:[PERIODO Imp.]],CO$9)</f>
        <v>0</v>
      </c>
      <c r="CP1037" s="693">
        <f>SUMIFS(Imput[[Importe Neto]:[Importe Neto]],Imput[[C. Imp.]:[C. Imp.]],$D1037,Imput[[PERIODO Imp.]:[PERIODO Imp.]],CP$9)</f>
        <v>0</v>
      </c>
      <c r="CQ1037" s="693">
        <f>SUMIFS(Imput[[Importe Neto]:[Importe Neto]],Imput[[C. Imp.]:[C. Imp.]],$D1037,Imput[[PERIODO Imp.]:[PERIODO Imp.]],CQ$9)</f>
        <v>0</v>
      </c>
      <c r="CR1037" s="693">
        <f>SUMIFS(Imput[[Importe Neto]:[Importe Neto]],Imput[[C. Imp.]:[C. Imp.]],$D1037,Imput[[PERIODO Imp.]:[PERIODO Imp.]],CR$9)</f>
        <v>0</v>
      </c>
      <c r="CS1037" s="693">
        <f>SUMIFS(Imput[[Importe Neto]:[Importe Neto]],Imput[[C. Imp.]:[C. Imp.]],$D1037,Imput[[PERIODO Imp.]:[PERIODO Imp.]],CS$9)</f>
        <v>0</v>
      </c>
      <c r="CT1037" s="693">
        <f>SUMIFS(Imput[[Importe Neto]:[Importe Neto]],Imput[[C. Imp.]:[C. Imp.]],$D1037,Imput[[PERIODO Imp.]:[PERIODO Imp.]],CT$9)</f>
        <v>0</v>
      </c>
      <c r="CU1037" s="693">
        <f>SUMIFS(Imput[[Importe Neto]:[Importe Neto]],Imput[[C. Imp.]:[C. Imp.]],$D1037,Imput[[PERIODO Imp.]:[PERIODO Imp.]],CU$9)</f>
        <v>0</v>
      </c>
      <c r="CV1037" s="693">
        <f>SUMIFS(Imput[[Importe Neto]:[Importe Neto]],Imput[[C. Imp.]:[C. Imp.]],$D1037,Imput[[PERIODO Imp.]:[PERIODO Imp.]],CV$9)</f>
        <v>0</v>
      </c>
      <c r="CW1037" s="693">
        <f>SUMIFS(Imput[[Importe Neto]:[Importe Neto]],Imput[[C. Imp.]:[C. Imp.]],$D1037,Imput[[PERIODO Imp.]:[PERIODO Imp.]],CW$9)</f>
        <v>0</v>
      </c>
      <c r="CX1037" s="693">
        <f>SUMIFS(Imput[[Importe Neto]:[Importe Neto]],Imput[[C. Imp.]:[C. Imp.]],$D1037,Imput[[PERIODO Imp.]:[PERIODO Imp.]],CX$9)</f>
        <v>0</v>
      </c>
      <c r="CY1037" s="693">
        <f>SUMIFS(Imput[[Importe Neto]:[Importe Neto]],Imput[[C. Imp.]:[C. Imp.]],$D1037,Imput[[PERIODO Imp.]:[PERIODO Imp.]],CY$9)</f>
        <v>0</v>
      </c>
      <c r="CZ1037" s="693">
        <f>SUMIFS(Imput[[Importe Neto]:[Importe Neto]],Imput[[C. Imp.]:[C. Imp.]],$D1037,Imput[[PERIODO Imp.]:[PERIODO Imp.]],CZ$9)</f>
        <v>0</v>
      </c>
      <c r="DA1037" s="693">
        <f>SUMIFS(Imput[[Importe Neto]:[Importe Neto]],Imput[[C. Imp.]:[C. Imp.]],$D1037,Imput[[PERIODO Imp.]:[PERIODO Imp.]],DA$9)</f>
        <v>0</v>
      </c>
      <c r="DB1037" s="693">
        <f>SUMIFS(Imput[[Importe Neto]:[Importe Neto]],Imput[[C. Imp.]:[C. Imp.]],$D1037,Imput[[PERIODO Imp.]:[PERIODO Imp.]],DB$9)</f>
        <v>0</v>
      </c>
      <c r="DC1037" s="693">
        <f>SUMIFS(Imput[[Importe Neto]:[Importe Neto]],Imput[[C. Imp.]:[C. Imp.]],$D1037,Imput[[PERIODO Imp.]:[PERIODO Imp.]],DC$9)</f>
        <v>0</v>
      </c>
      <c r="DD1037" s="693">
        <f>SUMIFS(Imput[[Importe Neto]:[Importe Neto]],Imput[[C. Imp.]:[C. Imp.]],$D1037,Imput[[PERIODO Imp.]:[PERIODO Imp.]],DD$9)</f>
        <v>0</v>
      </c>
      <c r="DE1037" s="693">
        <f>SUMIFS(Imput[[Importe Neto]:[Importe Neto]],Imput[[C. Imp.]:[C. Imp.]],$D1037,Imput[[PERIODO Imp.]:[PERIODO Imp.]],DE$9)</f>
        <v>0</v>
      </c>
      <c r="DF1037" s="693">
        <f>SUMIFS(Imput[[Importe Neto]:[Importe Neto]],Imput[[C. Imp.]:[C. Imp.]],$D1037,Imput[[PERIODO Imp.]:[PERIODO Imp.]],DF$9)</f>
        <v>0</v>
      </c>
      <c r="DG1037" s="693">
        <f>SUMIFS(Imput[[Importe Neto]:[Importe Neto]],Imput[[C. Imp.]:[C. Imp.]],$D1037,Imput[[PERIODO Imp.]:[PERIODO Imp.]],DG$9)</f>
        <v>0</v>
      </c>
      <c r="DH1037" s="694">
        <f>SUMIFS(Imput[[Importe Neto]:[Importe Neto]],Imput[[C. Imp.]:[C. Imp.]],$D1037,Imput[[PERIODO Imp.]:[PERIODO Imp.]],DH$9)</f>
        <v>0</v>
      </c>
    </row>
    <row r="1038" spans="1:112" s="649" customFormat="1" hidden="1" outlineLevel="1" x14ac:dyDescent="0.3">
      <c r="A1038" s="652" t="str">
        <f t="shared" si="354"/>
        <v/>
      </c>
      <c r="B1038" s="652"/>
      <c r="C1038" s="685"/>
      <c r="D1038" s="686"/>
      <c r="E1038" s="686"/>
      <c r="F1038" s="720"/>
      <c r="G1038" s="688"/>
      <c r="H1038" s="689"/>
      <c r="I1038" s="851" t="str">
        <f t="shared" si="355"/>
        <v/>
      </c>
      <c r="J1038" s="850" t="str">
        <f t="shared" si="356"/>
        <v/>
      </c>
      <c r="K1038" s="667"/>
      <c r="L1038" s="858"/>
      <c r="M1038" s="859"/>
      <c r="N1038" s="859"/>
      <c r="O1038" s="859"/>
      <c r="P1038" s="859"/>
      <c r="Q1038" s="859"/>
      <c r="R1038" s="859"/>
      <c r="S1038" s="859"/>
      <c r="T1038" s="859"/>
      <c r="U1038" s="859"/>
      <c r="V1038" s="859"/>
      <c r="W1038" s="859"/>
      <c r="X1038" s="859"/>
      <c r="Y1038" s="859"/>
      <c r="Z1038" s="860"/>
      <c r="AA1038" s="860"/>
      <c r="AB1038" s="860"/>
      <c r="AC1038" s="860"/>
      <c r="AD1038" s="860"/>
      <c r="AE1038" s="860"/>
      <c r="AF1038" s="860"/>
      <c r="AG1038" s="860"/>
      <c r="AH1038" s="860"/>
      <c r="AI1038" s="860"/>
      <c r="AJ1038" s="860"/>
      <c r="AK1038" s="860"/>
      <c r="AL1038" s="860"/>
      <c r="AM1038" s="860"/>
      <c r="AN1038" s="860"/>
      <c r="AO1038" s="860"/>
      <c r="AP1038" s="860"/>
      <c r="AQ1038" s="860"/>
      <c r="AR1038" s="860"/>
      <c r="AS1038" s="860"/>
      <c r="AT1038" s="860"/>
      <c r="AU1038" s="860"/>
      <c r="AV1038" s="860"/>
      <c r="AW1038" s="860"/>
      <c r="AX1038" s="860"/>
      <c r="AY1038" s="860"/>
      <c r="AZ1038" s="860"/>
      <c r="BA1038" s="860"/>
      <c r="BB1038" s="860"/>
      <c r="BC1038" s="860"/>
      <c r="BD1038" s="860"/>
      <c r="BE1038" s="860"/>
      <c r="BF1038" s="860"/>
      <c r="BG1038" s="860"/>
      <c r="BH1038" s="668"/>
      <c r="BI1038" s="667"/>
      <c r="BJ1038" s="690">
        <f t="shared" si="357"/>
        <v>0</v>
      </c>
      <c r="BK1038" s="691">
        <f t="shared" si="358"/>
        <v>0</v>
      </c>
      <c r="BL1038" s="654"/>
      <c r="BM1038" s="692">
        <f>SUMIFS(Imput[[Importe Neto]:[Importe Neto]],Imput[[C. Imp.]:[C. Imp.]],$D1038,Imput[[PERIODO Imp.]:[PERIODO Imp.]],BM$9)</f>
        <v>0</v>
      </c>
      <c r="BN1038" s="693">
        <f>SUMIFS(Imput[[Importe Neto]:[Importe Neto]],Imput[[C. Imp.]:[C. Imp.]],$D1038,Imput[[PERIODO Imp.]:[PERIODO Imp.]],BN$9)</f>
        <v>0</v>
      </c>
      <c r="BO1038" s="693">
        <f>SUMIFS(Imput[[Importe Neto]:[Importe Neto]],Imput[[C. Imp.]:[C. Imp.]],$D1038,Imput[[PERIODO Imp.]:[PERIODO Imp.]],BO$9)</f>
        <v>0</v>
      </c>
      <c r="BP1038" s="693">
        <f>SUMIFS(Imput[[Importe Neto]:[Importe Neto]],Imput[[C. Imp.]:[C. Imp.]],$D1038,Imput[[PERIODO Imp.]:[PERIODO Imp.]],BP$9)</f>
        <v>0</v>
      </c>
      <c r="BQ1038" s="693">
        <f>SUMIFS(Imput[[Importe Neto]:[Importe Neto]],Imput[[C. Imp.]:[C. Imp.]],$D1038,Imput[[PERIODO Imp.]:[PERIODO Imp.]],BQ$9)</f>
        <v>0</v>
      </c>
      <c r="BR1038" s="693">
        <f>SUMIFS(Imput[[Importe Neto]:[Importe Neto]],Imput[[C. Imp.]:[C. Imp.]],$D1038,Imput[[PERIODO Imp.]:[PERIODO Imp.]],BR$9)</f>
        <v>0</v>
      </c>
      <c r="BS1038" s="693">
        <f>SUMIFS(Imput[[Importe Neto]:[Importe Neto]],Imput[[C. Imp.]:[C. Imp.]],$D1038,Imput[[PERIODO Imp.]:[PERIODO Imp.]],BS$9)</f>
        <v>0</v>
      </c>
      <c r="BT1038" s="693">
        <f>SUMIFS(Imput[[Importe Neto]:[Importe Neto]],Imput[[C. Imp.]:[C. Imp.]],$D1038,Imput[[PERIODO Imp.]:[PERIODO Imp.]],BT$9)</f>
        <v>0</v>
      </c>
      <c r="BU1038" s="693">
        <f>SUMIFS(Imput[[Importe Neto]:[Importe Neto]],Imput[[C. Imp.]:[C. Imp.]],$D1038,Imput[[PERIODO Imp.]:[PERIODO Imp.]],BU$9)</f>
        <v>0</v>
      </c>
      <c r="BV1038" s="693">
        <f>SUMIFS(Imput[[Importe Neto]:[Importe Neto]],Imput[[C. Imp.]:[C. Imp.]],$D1038,Imput[[PERIODO Imp.]:[PERIODO Imp.]],BV$9)</f>
        <v>0</v>
      </c>
      <c r="BW1038" s="693">
        <f>SUMIFS(Imput[[Importe Neto]:[Importe Neto]],Imput[[C. Imp.]:[C. Imp.]],$D1038,Imput[[PERIODO Imp.]:[PERIODO Imp.]],BW$9)</f>
        <v>0</v>
      </c>
      <c r="BX1038" s="693">
        <f>SUMIFS(Imput[[Importe Neto]:[Importe Neto]],Imput[[C. Imp.]:[C. Imp.]],$D1038,Imput[[PERIODO Imp.]:[PERIODO Imp.]],BX$9)</f>
        <v>0</v>
      </c>
      <c r="BY1038" s="693">
        <f>SUMIFS(Imput[[Importe Neto]:[Importe Neto]],Imput[[C. Imp.]:[C. Imp.]],$D1038,Imput[[PERIODO Imp.]:[PERIODO Imp.]],BY$9)</f>
        <v>0</v>
      </c>
      <c r="BZ1038" s="693">
        <f>SUMIFS(Imput[[Importe Neto]:[Importe Neto]],Imput[[C. Imp.]:[C. Imp.]],$D1038,Imput[[PERIODO Imp.]:[PERIODO Imp.]],BZ$9)</f>
        <v>0</v>
      </c>
      <c r="CA1038" s="693">
        <f>SUMIFS(Imput[[Importe Neto]:[Importe Neto]],Imput[[C. Imp.]:[C. Imp.]],$D1038,Imput[[PERIODO Imp.]:[PERIODO Imp.]],CA$9)</f>
        <v>0</v>
      </c>
      <c r="CB1038" s="693">
        <f>SUMIFS(Imput[[Importe Neto]:[Importe Neto]],Imput[[C. Imp.]:[C. Imp.]],$D1038,Imput[[PERIODO Imp.]:[PERIODO Imp.]],CB$9)</f>
        <v>0</v>
      </c>
      <c r="CC1038" s="693">
        <f>SUMIFS(Imput[[Importe Neto]:[Importe Neto]],Imput[[C. Imp.]:[C. Imp.]],$D1038,Imput[[PERIODO Imp.]:[PERIODO Imp.]],CC$9)</f>
        <v>0</v>
      </c>
      <c r="CD1038" s="693">
        <f>SUMIFS(Imput[[Importe Neto]:[Importe Neto]],Imput[[C. Imp.]:[C. Imp.]],$D1038,Imput[[PERIODO Imp.]:[PERIODO Imp.]],CD$9)</f>
        <v>0</v>
      </c>
      <c r="CE1038" s="693">
        <f>SUMIFS(Imput[[Importe Neto]:[Importe Neto]],Imput[[C. Imp.]:[C. Imp.]],$D1038,Imput[[PERIODO Imp.]:[PERIODO Imp.]],CE$9)</f>
        <v>0</v>
      </c>
      <c r="CF1038" s="693">
        <f>SUMIFS(Imput[[Importe Neto]:[Importe Neto]],Imput[[C. Imp.]:[C. Imp.]],$D1038,Imput[[PERIODO Imp.]:[PERIODO Imp.]],CF$9)</f>
        <v>0</v>
      </c>
      <c r="CG1038" s="693">
        <f>SUMIFS(Imput[[Importe Neto]:[Importe Neto]],Imput[[C. Imp.]:[C. Imp.]],$D1038,Imput[[PERIODO Imp.]:[PERIODO Imp.]],CG$9)</f>
        <v>0</v>
      </c>
      <c r="CH1038" s="693">
        <f>SUMIFS(Imput[[Importe Neto]:[Importe Neto]],Imput[[C. Imp.]:[C. Imp.]],$D1038,Imput[[PERIODO Imp.]:[PERIODO Imp.]],CH$9)</f>
        <v>0</v>
      </c>
      <c r="CI1038" s="693">
        <f>SUMIFS(Imput[[Importe Neto]:[Importe Neto]],Imput[[C. Imp.]:[C. Imp.]],$D1038,Imput[[PERIODO Imp.]:[PERIODO Imp.]],CI$9)</f>
        <v>0</v>
      </c>
      <c r="CJ1038" s="693">
        <f>SUMIFS(Imput[[Importe Neto]:[Importe Neto]],Imput[[C. Imp.]:[C. Imp.]],$D1038,Imput[[PERIODO Imp.]:[PERIODO Imp.]],CJ$9)</f>
        <v>0</v>
      </c>
      <c r="CK1038" s="693">
        <f>SUMIFS(Imput[[Importe Neto]:[Importe Neto]],Imput[[C. Imp.]:[C. Imp.]],$D1038,Imput[[PERIODO Imp.]:[PERIODO Imp.]],CK$9)</f>
        <v>0</v>
      </c>
      <c r="CL1038" s="693">
        <f>SUMIFS(Imput[[Importe Neto]:[Importe Neto]],Imput[[C. Imp.]:[C. Imp.]],$D1038,Imput[[PERIODO Imp.]:[PERIODO Imp.]],CL$9)</f>
        <v>0</v>
      </c>
      <c r="CM1038" s="693">
        <f>SUMIFS(Imput[[Importe Neto]:[Importe Neto]],Imput[[C. Imp.]:[C. Imp.]],$D1038,Imput[[PERIODO Imp.]:[PERIODO Imp.]],CM$9)</f>
        <v>0</v>
      </c>
      <c r="CN1038" s="693">
        <f>SUMIFS(Imput[[Importe Neto]:[Importe Neto]],Imput[[C. Imp.]:[C. Imp.]],$D1038,Imput[[PERIODO Imp.]:[PERIODO Imp.]],CN$9)</f>
        <v>0</v>
      </c>
      <c r="CO1038" s="693">
        <f>SUMIFS(Imput[[Importe Neto]:[Importe Neto]],Imput[[C. Imp.]:[C. Imp.]],$D1038,Imput[[PERIODO Imp.]:[PERIODO Imp.]],CO$9)</f>
        <v>0</v>
      </c>
      <c r="CP1038" s="693">
        <f>SUMIFS(Imput[[Importe Neto]:[Importe Neto]],Imput[[C. Imp.]:[C. Imp.]],$D1038,Imput[[PERIODO Imp.]:[PERIODO Imp.]],CP$9)</f>
        <v>0</v>
      </c>
      <c r="CQ1038" s="693">
        <f>SUMIFS(Imput[[Importe Neto]:[Importe Neto]],Imput[[C. Imp.]:[C. Imp.]],$D1038,Imput[[PERIODO Imp.]:[PERIODO Imp.]],CQ$9)</f>
        <v>0</v>
      </c>
      <c r="CR1038" s="693">
        <f>SUMIFS(Imput[[Importe Neto]:[Importe Neto]],Imput[[C. Imp.]:[C. Imp.]],$D1038,Imput[[PERIODO Imp.]:[PERIODO Imp.]],CR$9)</f>
        <v>0</v>
      </c>
      <c r="CS1038" s="693">
        <f>SUMIFS(Imput[[Importe Neto]:[Importe Neto]],Imput[[C. Imp.]:[C. Imp.]],$D1038,Imput[[PERIODO Imp.]:[PERIODO Imp.]],CS$9)</f>
        <v>0</v>
      </c>
      <c r="CT1038" s="693">
        <f>SUMIFS(Imput[[Importe Neto]:[Importe Neto]],Imput[[C. Imp.]:[C. Imp.]],$D1038,Imput[[PERIODO Imp.]:[PERIODO Imp.]],CT$9)</f>
        <v>0</v>
      </c>
      <c r="CU1038" s="693">
        <f>SUMIFS(Imput[[Importe Neto]:[Importe Neto]],Imput[[C. Imp.]:[C. Imp.]],$D1038,Imput[[PERIODO Imp.]:[PERIODO Imp.]],CU$9)</f>
        <v>0</v>
      </c>
      <c r="CV1038" s="693">
        <f>SUMIFS(Imput[[Importe Neto]:[Importe Neto]],Imput[[C. Imp.]:[C. Imp.]],$D1038,Imput[[PERIODO Imp.]:[PERIODO Imp.]],CV$9)</f>
        <v>0</v>
      </c>
      <c r="CW1038" s="693">
        <f>SUMIFS(Imput[[Importe Neto]:[Importe Neto]],Imput[[C. Imp.]:[C. Imp.]],$D1038,Imput[[PERIODO Imp.]:[PERIODO Imp.]],CW$9)</f>
        <v>0</v>
      </c>
      <c r="CX1038" s="693">
        <f>SUMIFS(Imput[[Importe Neto]:[Importe Neto]],Imput[[C. Imp.]:[C. Imp.]],$D1038,Imput[[PERIODO Imp.]:[PERIODO Imp.]],CX$9)</f>
        <v>0</v>
      </c>
      <c r="CY1038" s="693">
        <f>SUMIFS(Imput[[Importe Neto]:[Importe Neto]],Imput[[C. Imp.]:[C. Imp.]],$D1038,Imput[[PERIODO Imp.]:[PERIODO Imp.]],CY$9)</f>
        <v>0</v>
      </c>
      <c r="CZ1038" s="693">
        <f>SUMIFS(Imput[[Importe Neto]:[Importe Neto]],Imput[[C. Imp.]:[C. Imp.]],$D1038,Imput[[PERIODO Imp.]:[PERIODO Imp.]],CZ$9)</f>
        <v>0</v>
      </c>
      <c r="DA1038" s="693">
        <f>SUMIFS(Imput[[Importe Neto]:[Importe Neto]],Imput[[C. Imp.]:[C. Imp.]],$D1038,Imput[[PERIODO Imp.]:[PERIODO Imp.]],DA$9)</f>
        <v>0</v>
      </c>
      <c r="DB1038" s="693">
        <f>SUMIFS(Imput[[Importe Neto]:[Importe Neto]],Imput[[C. Imp.]:[C. Imp.]],$D1038,Imput[[PERIODO Imp.]:[PERIODO Imp.]],DB$9)</f>
        <v>0</v>
      </c>
      <c r="DC1038" s="693">
        <f>SUMIFS(Imput[[Importe Neto]:[Importe Neto]],Imput[[C. Imp.]:[C. Imp.]],$D1038,Imput[[PERIODO Imp.]:[PERIODO Imp.]],DC$9)</f>
        <v>0</v>
      </c>
      <c r="DD1038" s="693">
        <f>SUMIFS(Imput[[Importe Neto]:[Importe Neto]],Imput[[C. Imp.]:[C. Imp.]],$D1038,Imput[[PERIODO Imp.]:[PERIODO Imp.]],DD$9)</f>
        <v>0</v>
      </c>
      <c r="DE1038" s="693">
        <f>SUMIFS(Imput[[Importe Neto]:[Importe Neto]],Imput[[C. Imp.]:[C. Imp.]],$D1038,Imput[[PERIODO Imp.]:[PERIODO Imp.]],DE$9)</f>
        <v>0</v>
      </c>
      <c r="DF1038" s="693">
        <f>SUMIFS(Imput[[Importe Neto]:[Importe Neto]],Imput[[C. Imp.]:[C. Imp.]],$D1038,Imput[[PERIODO Imp.]:[PERIODO Imp.]],DF$9)</f>
        <v>0</v>
      </c>
      <c r="DG1038" s="693">
        <f>SUMIFS(Imput[[Importe Neto]:[Importe Neto]],Imput[[C. Imp.]:[C. Imp.]],$D1038,Imput[[PERIODO Imp.]:[PERIODO Imp.]],DG$9)</f>
        <v>0</v>
      </c>
      <c r="DH1038" s="694">
        <f>SUMIFS(Imput[[Importe Neto]:[Importe Neto]],Imput[[C. Imp.]:[C. Imp.]],$D1038,Imput[[PERIODO Imp.]:[PERIODO Imp.]],DH$9)</f>
        <v>0</v>
      </c>
    </row>
    <row r="1039" spans="1:112" s="649" customFormat="1" hidden="1" outlineLevel="1" x14ac:dyDescent="0.3">
      <c r="A1039" s="652" t="str">
        <f t="shared" si="354"/>
        <v/>
      </c>
      <c r="B1039" s="652"/>
      <c r="C1039" s="685"/>
      <c r="D1039" s="686"/>
      <c r="E1039" s="686"/>
      <c r="F1039" s="720"/>
      <c r="G1039" s="688"/>
      <c r="H1039" s="689"/>
      <c r="I1039" s="851" t="str">
        <f t="shared" si="355"/>
        <v/>
      </c>
      <c r="J1039" s="850" t="str">
        <f t="shared" si="356"/>
        <v/>
      </c>
      <c r="K1039" s="667"/>
      <c r="L1039" s="858"/>
      <c r="M1039" s="859"/>
      <c r="N1039" s="859"/>
      <c r="O1039" s="859"/>
      <c r="P1039" s="859"/>
      <c r="Q1039" s="859"/>
      <c r="R1039" s="859"/>
      <c r="S1039" s="859"/>
      <c r="T1039" s="859"/>
      <c r="U1039" s="859"/>
      <c r="V1039" s="859"/>
      <c r="W1039" s="859"/>
      <c r="X1039" s="859"/>
      <c r="Y1039" s="859"/>
      <c r="Z1039" s="860"/>
      <c r="AA1039" s="860"/>
      <c r="AB1039" s="860"/>
      <c r="AC1039" s="860"/>
      <c r="AD1039" s="860"/>
      <c r="AE1039" s="860"/>
      <c r="AF1039" s="860"/>
      <c r="AG1039" s="860"/>
      <c r="AH1039" s="860"/>
      <c r="AI1039" s="860"/>
      <c r="AJ1039" s="860"/>
      <c r="AK1039" s="860"/>
      <c r="AL1039" s="860"/>
      <c r="AM1039" s="860"/>
      <c r="AN1039" s="860"/>
      <c r="AO1039" s="860"/>
      <c r="AP1039" s="860"/>
      <c r="AQ1039" s="860"/>
      <c r="AR1039" s="860"/>
      <c r="AS1039" s="860"/>
      <c r="AT1039" s="860"/>
      <c r="AU1039" s="860"/>
      <c r="AV1039" s="860"/>
      <c r="AW1039" s="860"/>
      <c r="AX1039" s="860"/>
      <c r="AY1039" s="860"/>
      <c r="AZ1039" s="860"/>
      <c r="BA1039" s="860"/>
      <c r="BB1039" s="860"/>
      <c r="BC1039" s="860"/>
      <c r="BD1039" s="860"/>
      <c r="BE1039" s="860"/>
      <c r="BF1039" s="860"/>
      <c r="BG1039" s="860"/>
      <c r="BH1039" s="668"/>
      <c r="BI1039" s="667"/>
      <c r="BJ1039" s="690">
        <f t="shared" si="357"/>
        <v>0</v>
      </c>
      <c r="BK1039" s="691">
        <f t="shared" si="358"/>
        <v>0</v>
      </c>
      <c r="BL1039" s="654"/>
      <c r="BM1039" s="692">
        <f>SUMIFS(Imput[[Importe Neto]:[Importe Neto]],Imput[[C. Imp.]:[C. Imp.]],$D1039,Imput[[PERIODO Imp.]:[PERIODO Imp.]],BM$9)</f>
        <v>0</v>
      </c>
      <c r="BN1039" s="693">
        <f>SUMIFS(Imput[[Importe Neto]:[Importe Neto]],Imput[[C. Imp.]:[C. Imp.]],$D1039,Imput[[PERIODO Imp.]:[PERIODO Imp.]],BN$9)</f>
        <v>0</v>
      </c>
      <c r="BO1039" s="693">
        <f>SUMIFS(Imput[[Importe Neto]:[Importe Neto]],Imput[[C. Imp.]:[C. Imp.]],$D1039,Imput[[PERIODO Imp.]:[PERIODO Imp.]],BO$9)</f>
        <v>0</v>
      </c>
      <c r="BP1039" s="693">
        <f>SUMIFS(Imput[[Importe Neto]:[Importe Neto]],Imput[[C. Imp.]:[C. Imp.]],$D1039,Imput[[PERIODO Imp.]:[PERIODO Imp.]],BP$9)</f>
        <v>0</v>
      </c>
      <c r="BQ1039" s="693">
        <f>SUMIFS(Imput[[Importe Neto]:[Importe Neto]],Imput[[C. Imp.]:[C. Imp.]],$D1039,Imput[[PERIODO Imp.]:[PERIODO Imp.]],BQ$9)</f>
        <v>0</v>
      </c>
      <c r="BR1039" s="693">
        <f>SUMIFS(Imput[[Importe Neto]:[Importe Neto]],Imput[[C. Imp.]:[C. Imp.]],$D1039,Imput[[PERIODO Imp.]:[PERIODO Imp.]],BR$9)</f>
        <v>0</v>
      </c>
      <c r="BS1039" s="693">
        <f>SUMIFS(Imput[[Importe Neto]:[Importe Neto]],Imput[[C. Imp.]:[C. Imp.]],$D1039,Imput[[PERIODO Imp.]:[PERIODO Imp.]],BS$9)</f>
        <v>0</v>
      </c>
      <c r="BT1039" s="693">
        <f>SUMIFS(Imput[[Importe Neto]:[Importe Neto]],Imput[[C. Imp.]:[C. Imp.]],$D1039,Imput[[PERIODO Imp.]:[PERIODO Imp.]],BT$9)</f>
        <v>0</v>
      </c>
      <c r="BU1039" s="693">
        <f>SUMIFS(Imput[[Importe Neto]:[Importe Neto]],Imput[[C. Imp.]:[C. Imp.]],$D1039,Imput[[PERIODO Imp.]:[PERIODO Imp.]],BU$9)</f>
        <v>0</v>
      </c>
      <c r="BV1039" s="693">
        <f>SUMIFS(Imput[[Importe Neto]:[Importe Neto]],Imput[[C. Imp.]:[C. Imp.]],$D1039,Imput[[PERIODO Imp.]:[PERIODO Imp.]],BV$9)</f>
        <v>0</v>
      </c>
      <c r="BW1039" s="693">
        <f>SUMIFS(Imput[[Importe Neto]:[Importe Neto]],Imput[[C. Imp.]:[C. Imp.]],$D1039,Imput[[PERIODO Imp.]:[PERIODO Imp.]],BW$9)</f>
        <v>0</v>
      </c>
      <c r="BX1039" s="693">
        <f>SUMIFS(Imput[[Importe Neto]:[Importe Neto]],Imput[[C. Imp.]:[C. Imp.]],$D1039,Imput[[PERIODO Imp.]:[PERIODO Imp.]],BX$9)</f>
        <v>0</v>
      </c>
      <c r="BY1039" s="693">
        <f>SUMIFS(Imput[[Importe Neto]:[Importe Neto]],Imput[[C. Imp.]:[C. Imp.]],$D1039,Imput[[PERIODO Imp.]:[PERIODO Imp.]],BY$9)</f>
        <v>0</v>
      </c>
      <c r="BZ1039" s="693">
        <f>SUMIFS(Imput[[Importe Neto]:[Importe Neto]],Imput[[C. Imp.]:[C. Imp.]],$D1039,Imput[[PERIODO Imp.]:[PERIODO Imp.]],BZ$9)</f>
        <v>0</v>
      </c>
      <c r="CA1039" s="693">
        <f>SUMIFS(Imput[[Importe Neto]:[Importe Neto]],Imput[[C. Imp.]:[C. Imp.]],$D1039,Imput[[PERIODO Imp.]:[PERIODO Imp.]],CA$9)</f>
        <v>0</v>
      </c>
      <c r="CB1039" s="693">
        <f>SUMIFS(Imput[[Importe Neto]:[Importe Neto]],Imput[[C. Imp.]:[C. Imp.]],$D1039,Imput[[PERIODO Imp.]:[PERIODO Imp.]],CB$9)</f>
        <v>0</v>
      </c>
      <c r="CC1039" s="693">
        <f>SUMIFS(Imput[[Importe Neto]:[Importe Neto]],Imput[[C. Imp.]:[C. Imp.]],$D1039,Imput[[PERIODO Imp.]:[PERIODO Imp.]],CC$9)</f>
        <v>0</v>
      </c>
      <c r="CD1039" s="693">
        <f>SUMIFS(Imput[[Importe Neto]:[Importe Neto]],Imput[[C. Imp.]:[C. Imp.]],$D1039,Imput[[PERIODO Imp.]:[PERIODO Imp.]],CD$9)</f>
        <v>0</v>
      </c>
      <c r="CE1039" s="693">
        <f>SUMIFS(Imput[[Importe Neto]:[Importe Neto]],Imput[[C. Imp.]:[C. Imp.]],$D1039,Imput[[PERIODO Imp.]:[PERIODO Imp.]],CE$9)</f>
        <v>0</v>
      </c>
      <c r="CF1039" s="693">
        <f>SUMIFS(Imput[[Importe Neto]:[Importe Neto]],Imput[[C. Imp.]:[C. Imp.]],$D1039,Imput[[PERIODO Imp.]:[PERIODO Imp.]],CF$9)</f>
        <v>0</v>
      </c>
      <c r="CG1039" s="693">
        <f>SUMIFS(Imput[[Importe Neto]:[Importe Neto]],Imput[[C. Imp.]:[C. Imp.]],$D1039,Imput[[PERIODO Imp.]:[PERIODO Imp.]],CG$9)</f>
        <v>0</v>
      </c>
      <c r="CH1039" s="693">
        <f>SUMIFS(Imput[[Importe Neto]:[Importe Neto]],Imput[[C. Imp.]:[C. Imp.]],$D1039,Imput[[PERIODO Imp.]:[PERIODO Imp.]],CH$9)</f>
        <v>0</v>
      </c>
      <c r="CI1039" s="693">
        <f>SUMIFS(Imput[[Importe Neto]:[Importe Neto]],Imput[[C. Imp.]:[C. Imp.]],$D1039,Imput[[PERIODO Imp.]:[PERIODO Imp.]],CI$9)</f>
        <v>0</v>
      </c>
      <c r="CJ1039" s="693">
        <f>SUMIFS(Imput[[Importe Neto]:[Importe Neto]],Imput[[C. Imp.]:[C. Imp.]],$D1039,Imput[[PERIODO Imp.]:[PERIODO Imp.]],CJ$9)</f>
        <v>0</v>
      </c>
      <c r="CK1039" s="693">
        <f>SUMIFS(Imput[[Importe Neto]:[Importe Neto]],Imput[[C. Imp.]:[C. Imp.]],$D1039,Imput[[PERIODO Imp.]:[PERIODO Imp.]],CK$9)</f>
        <v>0</v>
      </c>
      <c r="CL1039" s="693">
        <f>SUMIFS(Imput[[Importe Neto]:[Importe Neto]],Imput[[C. Imp.]:[C. Imp.]],$D1039,Imput[[PERIODO Imp.]:[PERIODO Imp.]],CL$9)</f>
        <v>0</v>
      </c>
      <c r="CM1039" s="693">
        <f>SUMIFS(Imput[[Importe Neto]:[Importe Neto]],Imput[[C. Imp.]:[C. Imp.]],$D1039,Imput[[PERIODO Imp.]:[PERIODO Imp.]],CM$9)</f>
        <v>0</v>
      </c>
      <c r="CN1039" s="693">
        <f>SUMIFS(Imput[[Importe Neto]:[Importe Neto]],Imput[[C. Imp.]:[C. Imp.]],$D1039,Imput[[PERIODO Imp.]:[PERIODO Imp.]],CN$9)</f>
        <v>0</v>
      </c>
      <c r="CO1039" s="693">
        <f>SUMIFS(Imput[[Importe Neto]:[Importe Neto]],Imput[[C. Imp.]:[C. Imp.]],$D1039,Imput[[PERIODO Imp.]:[PERIODO Imp.]],CO$9)</f>
        <v>0</v>
      </c>
      <c r="CP1039" s="693">
        <f>SUMIFS(Imput[[Importe Neto]:[Importe Neto]],Imput[[C. Imp.]:[C. Imp.]],$D1039,Imput[[PERIODO Imp.]:[PERIODO Imp.]],CP$9)</f>
        <v>0</v>
      </c>
      <c r="CQ1039" s="693">
        <f>SUMIFS(Imput[[Importe Neto]:[Importe Neto]],Imput[[C. Imp.]:[C. Imp.]],$D1039,Imput[[PERIODO Imp.]:[PERIODO Imp.]],CQ$9)</f>
        <v>0</v>
      </c>
      <c r="CR1039" s="693">
        <f>SUMIFS(Imput[[Importe Neto]:[Importe Neto]],Imput[[C. Imp.]:[C. Imp.]],$D1039,Imput[[PERIODO Imp.]:[PERIODO Imp.]],CR$9)</f>
        <v>0</v>
      </c>
      <c r="CS1039" s="693">
        <f>SUMIFS(Imput[[Importe Neto]:[Importe Neto]],Imput[[C. Imp.]:[C. Imp.]],$D1039,Imput[[PERIODO Imp.]:[PERIODO Imp.]],CS$9)</f>
        <v>0</v>
      </c>
      <c r="CT1039" s="693">
        <f>SUMIFS(Imput[[Importe Neto]:[Importe Neto]],Imput[[C. Imp.]:[C. Imp.]],$D1039,Imput[[PERIODO Imp.]:[PERIODO Imp.]],CT$9)</f>
        <v>0</v>
      </c>
      <c r="CU1039" s="693">
        <f>SUMIFS(Imput[[Importe Neto]:[Importe Neto]],Imput[[C. Imp.]:[C. Imp.]],$D1039,Imput[[PERIODO Imp.]:[PERIODO Imp.]],CU$9)</f>
        <v>0</v>
      </c>
      <c r="CV1039" s="693">
        <f>SUMIFS(Imput[[Importe Neto]:[Importe Neto]],Imput[[C. Imp.]:[C. Imp.]],$D1039,Imput[[PERIODO Imp.]:[PERIODO Imp.]],CV$9)</f>
        <v>0</v>
      </c>
      <c r="CW1039" s="693">
        <f>SUMIFS(Imput[[Importe Neto]:[Importe Neto]],Imput[[C. Imp.]:[C. Imp.]],$D1039,Imput[[PERIODO Imp.]:[PERIODO Imp.]],CW$9)</f>
        <v>0</v>
      </c>
      <c r="CX1039" s="693">
        <f>SUMIFS(Imput[[Importe Neto]:[Importe Neto]],Imput[[C. Imp.]:[C. Imp.]],$D1039,Imput[[PERIODO Imp.]:[PERIODO Imp.]],CX$9)</f>
        <v>0</v>
      </c>
      <c r="CY1039" s="693">
        <f>SUMIFS(Imput[[Importe Neto]:[Importe Neto]],Imput[[C. Imp.]:[C. Imp.]],$D1039,Imput[[PERIODO Imp.]:[PERIODO Imp.]],CY$9)</f>
        <v>0</v>
      </c>
      <c r="CZ1039" s="693">
        <f>SUMIFS(Imput[[Importe Neto]:[Importe Neto]],Imput[[C. Imp.]:[C. Imp.]],$D1039,Imput[[PERIODO Imp.]:[PERIODO Imp.]],CZ$9)</f>
        <v>0</v>
      </c>
      <c r="DA1039" s="693">
        <f>SUMIFS(Imput[[Importe Neto]:[Importe Neto]],Imput[[C. Imp.]:[C. Imp.]],$D1039,Imput[[PERIODO Imp.]:[PERIODO Imp.]],DA$9)</f>
        <v>0</v>
      </c>
      <c r="DB1039" s="693">
        <f>SUMIFS(Imput[[Importe Neto]:[Importe Neto]],Imput[[C. Imp.]:[C. Imp.]],$D1039,Imput[[PERIODO Imp.]:[PERIODO Imp.]],DB$9)</f>
        <v>0</v>
      </c>
      <c r="DC1039" s="693">
        <f>SUMIFS(Imput[[Importe Neto]:[Importe Neto]],Imput[[C. Imp.]:[C. Imp.]],$D1039,Imput[[PERIODO Imp.]:[PERIODO Imp.]],DC$9)</f>
        <v>0</v>
      </c>
      <c r="DD1039" s="693">
        <f>SUMIFS(Imput[[Importe Neto]:[Importe Neto]],Imput[[C. Imp.]:[C. Imp.]],$D1039,Imput[[PERIODO Imp.]:[PERIODO Imp.]],DD$9)</f>
        <v>0</v>
      </c>
      <c r="DE1039" s="693">
        <f>SUMIFS(Imput[[Importe Neto]:[Importe Neto]],Imput[[C. Imp.]:[C. Imp.]],$D1039,Imput[[PERIODO Imp.]:[PERIODO Imp.]],DE$9)</f>
        <v>0</v>
      </c>
      <c r="DF1039" s="693">
        <f>SUMIFS(Imput[[Importe Neto]:[Importe Neto]],Imput[[C. Imp.]:[C. Imp.]],$D1039,Imput[[PERIODO Imp.]:[PERIODO Imp.]],DF$9)</f>
        <v>0</v>
      </c>
      <c r="DG1039" s="693">
        <f>SUMIFS(Imput[[Importe Neto]:[Importe Neto]],Imput[[C. Imp.]:[C. Imp.]],$D1039,Imput[[PERIODO Imp.]:[PERIODO Imp.]],DG$9)</f>
        <v>0</v>
      </c>
      <c r="DH1039" s="694">
        <f>SUMIFS(Imput[[Importe Neto]:[Importe Neto]],Imput[[C. Imp.]:[C. Imp.]],$D1039,Imput[[PERIODO Imp.]:[PERIODO Imp.]],DH$9)</f>
        <v>0</v>
      </c>
    </row>
    <row r="1040" spans="1:112" s="649" customFormat="1" hidden="1" outlineLevel="1" x14ac:dyDescent="0.3">
      <c r="A1040" s="652" t="str">
        <f t="shared" si="354"/>
        <v/>
      </c>
      <c r="B1040" s="652"/>
      <c r="C1040" s="685"/>
      <c r="D1040" s="686"/>
      <c r="E1040" s="686"/>
      <c r="F1040" s="720"/>
      <c r="G1040" s="688"/>
      <c r="H1040" s="689"/>
      <c r="I1040" s="851" t="str">
        <f t="shared" si="355"/>
        <v/>
      </c>
      <c r="J1040" s="850" t="str">
        <f t="shared" si="356"/>
        <v/>
      </c>
      <c r="K1040" s="667"/>
      <c r="L1040" s="858"/>
      <c r="M1040" s="859"/>
      <c r="N1040" s="859"/>
      <c r="O1040" s="859"/>
      <c r="P1040" s="859"/>
      <c r="Q1040" s="859"/>
      <c r="R1040" s="859"/>
      <c r="S1040" s="859"/>
      <c r="T1040" s="859"/>
      <c r="U1040" s="859"/>
      <c r="V1040" s="859"/>
      <c r="W1040" s="859"/>
      <c r="X1040" s="859"/>
      <c r="Y1040" s="859"/>
      <c r="Z1040" s="860"/>
      <c r="AA1040" s="860"/>
      <c r="AB1040" s="860"/>
      <c r="AC1040" s="860"/>
      <c r="AD1040" s="860"/>
      <c r="AE1040" s="860"/>
      <c r="AF1040" s="860"/>
      <c r="AG1040" s="860"/>
      <c r="AH1040" s="860"/>
      <c r="AI1040" s="860"/>
      <c r="AJ1040" s="860"/>
      <c r="AK1040" s="860"/>
      <c r="AL1040" s="860"/>
      <c r="AM1040" s="860"/>
      <c r="AN1040" s="860"/>
      <c r="AO1040" s="860"/>
      <c r="AP1040" s="860"/>
      <c r="AQ1040" s="860"/>
      <c r="AR1040" s="860"/>
      <c r="AS1040" s="860"/>
      <c r="AT1040" s="860"/>
      <c r="AU1040" s="860"/>
      <c r="AV1040" s="860"/>
      <c r="AW1040" s="860"/>
      <c r="AX1040" s="860"/>
      <c r="AY1040" s="860"/>
      <c r="AZ1040" s="860"/>
      <c r="BA1040" s="860"/>
      <c r="BB1040" s="860"/>
      <c r="BC1040" s="860"/>
      <c r="BD1040" s="860"/>
      <c r="BE1040" s="860"/>
      <c r="BF1040" s="860"/>
      <c r="BG1040" s="860"/>
      <c r="BH1040" s="668"/>
      <c r="BI1040" s="667"/>
      <c r="BJ1040" s="690">
        <f t="shared" si="357"/>
        <v>0</v>
      </c>
      <c r="BK1040" s="691">
        <f t="shared" si="358"/>
        <v>0</v>
      </c>
      <c r="BL1040" s="654"/>
      <c r="BM1040" s="692">
        <f>SUMIFS(Imput[[Importe Neto]:[Importe Neto]],Imput[[C. Imp.]:[C. Imp.]],$D1040,Imput[[PERIODO Imp.]:[PERIODO Imp.]],BM$9)</f>
        <v>0</v>
      </c>
      <c r="BN1040" s="693">
        <f>SUMIFS(Imput[[Importe Neto]:[Importe Neto]],Imput[[C. Imp.]:[C. Imp.]],$D1040,Imput[[PERIODO Imp.]:[PERIODO Imp.]],BN$9)</f>
        <v>0</v>
      </c>
      <c r="BO1040" s="693">
        <f>SUMIFS(Imput[[Importe Neto]:[Importe Neto]],Imput[[C. Imp.]:[C. Imp.]],$D1040,Imput[[PERIODO Imp.]:[PERIODO Imp.]],BO$9)</f>
        <v>0</v>
      </c>
      <c r="BP1040" s="693">
        <f>SUMIFS(Imput[[Importe Neto]:[Importe Neto]],Imput[[C. Imp.]:[C. Imp.]],$D1040,Imput[[PERIODO Imp.]:[PERIODO Imp.]],BP$9)</f>
        <v>0</v>
      </c>
      <c r="BQ1040" s="693">
        <f>SUMIFS(Imput[[Importe Neto]:[Importe Neto]],Imput[[C. Imp.]:[C. Imp.]],$D1040,Imput[[PERIODO Imp.]:[PERIODO Imp.]],BQ$9)</f>
        <v>0</v>
      </c>
      <c r="BR1040" s="693">
        <f>SUMIFS(Imput[[Importe Neto]:[Importe Neto]],Imput[[C. Imp.]:[C. Imp.]],$D1040,Imput[[PERIODO Imp.]:[PERIODO Imp.]],BR$9)</f>
        <v>0</v>
      </c>
      <c r="BS1040" s="693">
        <f>SUMIFS(Imput[[Importe Neto]:[Importe Neto]],Imput[[C. Imp.]:[C. Imp.]],$D1040,Imput[[PERIODO Imp.]:[PERIODO Imp.]],BS$9)</f>
        <v>0</v>
      </c>
      <c r="BT1040" s="693">
        <f>SUMIFS(Imput[[Importe Neto]:[Importe Neto]],Imput[[C. Imp.]:[C. Imp.]],$D1040,Imput[[PERIODO Imp.]:[PERIODO Imp.]],BT$9)</f>
        <v>0</v>
      </c>
      <c r="BU1040" s="693">
        <f>SUMIFS(Imput[[Importe Neto]:[Importe Neto]],Imput[[C. Imp.]:[C. Imp.]],$D1040,Imput[[PERIODO Imp.]:[PERIODO Imp.]],BU$9)</f>
        <v>0</v>
      </c>
      <c r="BV1040" s="693">
        <f>SUMIFS(Imput[[Importe Neto]:[Importe Neto]],Imput[[C. Imp.]:[C. Imp.]],$D1040,Imput[[PERIODO Imp.]:[PERIODO Imp.]],BV$9)</f>
        <v>0</v>
      </c>
      <c r="BW1040" s="693">
        <f>SUMIFS(Imput[[Importe Neto]:[Importe Neto]],Imput[[C. Imp.]:[C. Imp.]],$D1040,Imput[[PERIODO Imp.]:[PERIODO Imp.]],BW$9)</f>
        <v>0</v>
      </c>
      <c r="BX1040" s="693">
        <f>SUMIFS(Imput[[Importe Neto]:[Importe Neto]],Imput[[C. Imp.]:[C. Imp.]],$D1040,Imput[[PERIODO Imp.]:[PERIODO Imp.]],BX$9)</f>
        <v>0</v>
      </c>
      <c r="BY1040" s="693">
        <f>SUMIFS(Imput[[Importe Neto]:[Importe Neto]],Imput[[C. Imp.]:[C. Imp.]],$D1040,Imput[[PERIODO Imp.]:[PERIODO Imp.]],BY$9)</f>
        <v>0</v>
      </c>
      <c r="BZ1040" s="693">
        <f>SUMIFS(Imput[[Importe Neto]:[Importe Neto]],Imput[[C. Imp.]:[C. Imp.]],$D1040,Imput[[PERIODO Imp.]:[PERIODO Imp.]],BZ$9)</f>
        <v>0</v>
      </c>
      <c r="CA1040" s="693">
        <f>SUMIFS(Imput[[Importe Neto]:[Importe Neto]],Imput[[C. Imp.]:[C. Imp.]],$D1040,Imput[[PERIODO Imp.]:[PERIODO Imp.]],CA$9)</f>
        <v>0</v>
      </c>
      <c r="CB1040" s="693">
        <f>SUMIFS(Imput[[Importe Neto]:[Importe Neto]],Imput[[C. Imp.]:[C. Imp.]],$D1040,Imput[[PERIODO Imp.]:[PERIODO Imp.]],CB$9)</f>
        <v>0</v>
      </c>
      <c r="CC1040" s="693">
        <f>SUMIFS(Imput[[Importe Neto]:[Importe Neto]],Imput[[C. Imp.]:[C. Imp.]],$D1040,Imput[[PERIODO Imp.]:[PERIODO Imp.]],CC$9)</f>
        <v>0</v>
      </c>
      <c r="CD1040" s="693">
        <f>SUMIFS(Imput[[Importe Neto]:[Importe Neto]],Imput[[C. Imp.]:[C. Imp.]],$D1040,Imput[[PERIODO Imp.]:[PERIODO Imp.]],CD$9)</f>
        <v>0</v>
      </c>
      <c r="CE1040" s="693">
        <f>SUMIFS(Imput[[Importe Neto]:[Importe Neto]],Imput[[C. Imp.]:[C. Imp.]],$D1040,Imput[[PERIODO Imp.]:[PERIODO Imp.]],CE$9)</f>
        <v>0</v>
      </c>
      <c r="CF1040" s="693">
        <f>SUMIFS(Imput[[Importe Neto]:[Importe Neto]],Imput[[C. Imp.]:[C. Imp.]],$D1040,Imput[[PERIODO Imp.]:[PERIODO Imp.]],CF$9)</f>
        <v>0</v>
      </c>
      <c r="CG1040" s="693">
        <f>SUMIFS(Imput[[Importe Neto]:[Importe Neto]],Imput[[C. Imp.]:[C. Imp.]],$D1040,Imput[[PERIODO Imp.]:[PERIODO Imp.]],CG$9)</f>
        <v>0</v>
      </c>
      <c r="CH1040" s="693">
        <f>SUMIFS(Imput[[Importe Neto]:[Importe Neto]],Imput[[C. Imp.]:[C. Imp.]],$D1040,Imput[[PERIODO Imp.]:[PERIODO Imp.]],CH$9)</f>
        <v>0</v>
      </c>
      <c r="CI1040" s="693">
        <f>SUMIFS(Imput[[Importe Neto]:[Importe Neto]],Imput[[C. Imp.]:[C. Imp.]],$D1040,Imput[[PERIODO Imp.]:[PERIODO Imp.]],CI$9)</f>
        <v>0</v>
      </c>
      <c r="CJ1040" s="693">
        <f>SUMIFS(Imput[[Importe Neto]:[Importe Neto]],Imput[[C. Imp.]:[C. Imp.]],$D1040,Imput[[PERIODO Imp.]:[PERIODO Imp.]],CJ$9)</f>
        <v>0</v>
      </c>
      <c r="CK1040" s="693">
        <f>SUMIFS(Imput[[Importe Neto]:[Importe Neto]],Imput[[C. Imp.]:[C. Imp.]],$D1040,Imput[[PERIODO Imp.]:[PERIODO Imp.]],CK$9)</f>
        <v>0</v>
      </c>
      <c r="CL1040" s="693">
        <f>SUMIFS(Imput[[Importe Neto]:[Importe Neto]],Imput[[C. Imp.]:[C. Imp.]],$D1040,Imput[[PERIODO Imp.]:[PERIODO Imp.]],CL$9)</f>
        <v>0</v>
      </c>
      <c r="CM1040" s="693">
        <f>SUMIFS(Imput[[Importe Neto]:[Importe Neto]],Imput[[C. Imp.]:[C. Imp.]],$D1040,Imput[[PERIODO Imp.]:[PERIODO Imp.]],CM$9)</f>
        <v>0</v>
      </c>
      <c r="CN1040" s="693">
        <f>SUMIFS(Imput[[Importe Neto]:[Importe Neto]],Imput[[C. Imp.]:[C. Imp.]],$D1040,Imput[[PERIODO Imp.]:[PERIODO Imp.]],CN$9)</f>
        <v>0</v>
      </c>
      <c r="CO1040" s="693">
        <f>SUMIFS(Imput[[Importe Neto]:[Importe Neto]],Imput[[C. Imp.]:[C. Imp.]],$D1040,Imput[[PERIODO Imp.]:[PERIODO Imp.]],CO$9)</f>
        <v>0</v>
      </c>
      <c r="CP1040" s="693">
        <f>SUMIFS(Imput[[Importe Neto]:[Importe Neto]],Imput[[C. Imp.]:[C. Imp.]],$D1040,Imput[[PERIODO Imp.]:[PERIODO Imp.]],CP$9)</f>
        <v>0</v>
      </c>
      <c r="CQ1040" s="693">
        <f>SUMIFS(Imput[[Importe Neto]:[Importe Neto]],Imput[[C. Imp.]:[C. Imp.]],$D1040,Imput[[PERIODO Imp.]:[PERIODO Imp.]],CQ$9)</f>
        <v>0</v>
      </c>
      <c r="CR1040" s="693">
        <f>SUMIFS(Imput[[Importe Neto]:[Importe Neto]],Imput[[C. Imp.]:[C. Imp.]],$D1040,Imput[[PERIODO Imp.]:[PERIODO Imp.]],CR$9)</f>
        <v>0</v>
      </c>
      <c r="CS1040" s="693">
        <f>SUMIFS(Imput[[Importe Neto]:[Importe Neto]],Imput[[C. Imp.]:[C. Imp.]],$D1040,Imput[[PERIODO Imp.]:[PERIODO Imp.]],CS$9)</f>
        <v>0</v>
      </c>
      <c r="CT1040" s="693">
        <f>SUMIFS(Imput[[Importe Neto]:[Importe Neto]],Imput[[C. Imp.]:[C. Imp.]],$D1040,Imput[[PERIODO Imp.]:[PERIODO Imp.]],CT$9)</f>
        <v>0</v>
      </c>
      <c r="CU1040" s="693">
        <f>SUMIFS(Imput[[Importe Neto]:[Importe Neto]],Imput[[C. Imp.]:[C. Imp.]],$D1040,Imput[[PERIODO Imp.]:[PERIODO Imp.]],CU$9)</f>
        <v>0</v>
      </c>
      <c r="CV1040" s="693">
        <f>SUMIFS(Imput[[Importe Neto]:[Importe Neto]],Imput[[C. Imp.]:[C. Imp.]],$D1040,Imput[[PERIODO Imp.]:[PERIODO Imp.]],CV$9)</f>
        <v>0</v>
      </c>
      <c r="CW1040" s="693">
        <f>SUMIFS(Imput[[Importe Neto]:[Importe Neto]],Imput[[C. Imp.]:[C. Imp.]],$D1040,Imput[[PERIODO Imp.]:[PERIODO Imp.]],CW$9)</f>
        <v>0</v>
      </c>
      <c r="CX1040" s="693">
        <f>SUMIFS(Imput[[Importe Neto]:[Importe Neto]],Imput[[C. Imp.]:[C. Imp.]],$D1040,Imput[[PERIODO Imp.]:[PERIODO Imp.]],CX$9)</f>
        <v>0</v>
      </c>
      <c r="CY1040" s="693">
        <f>SUMIFS(Imput[[Importe Neto]:[Importe Neto]],Imput[[C. Imp.]:[C. Imp.]],$D1040,Imput[[PERIODO Imp.]:[PERIODO Imp.]],CY$9)</f>
        <v>0</v>
      </c>
      <c r="CZ1040" s="693">
        <f>SUMIFS(Imput[[Importe Neto]:[Importe Neto]],Imput[[C. Imp.]:[C. Imp.]],$D1040,Imput[[PERIODO Imp.]:[PERIODO Imp.]],CZ$9)</f>
        <v>0</v>
      </c>
      <c r="DA1040" s="693">
        <f>SUMIFS(Imput[[Importe Neto]:[Importe Neto]],Imput[[C. Imp.]:[C. Imp.]],$D1040,Imput[[PERIODO Imp.]:[PERIODO Imp.]],DA$9)</f>
        <v>0</v>
      </c>
      <c r="DB1040" s="693">
        <f>SUMIFS(Imput[[Importe Neto]:[Importe Neto]],Imput[[C. Imp.]:[C. Imp.]],$D1040,Imput[[PERIODO Imp.]:[PERIODO Imp.]],DB$9)</f>
        <v>0</v>
      </c>
      <c r="DC1040" s="693">
        <f>SUMIFS(Imput[[Importe Neto]:[Importe Neto]],Imput[[C. Imp.]:[C. Imp.]],$D1040,Imput[[PERIODO Imp.]:[PERIODO Imp.]],DC$9)</f>
        <v>0</v>
      </c>
      <c r="DD1040" s="693">
        <f>SUMIFS(Imput[[Importe Neto]:[Importe Neto]],Imput[[C. Imp.]:[C. Imp.]],$D1040,Imput[[PERIODO Imp.]:[PERIODO Imp.]],DD$9)</f>
        <v>0</v>
      </c>
      <c r="DE1040" s="693">
        <f>SUMIFS(Imput[[Importe Neto]:[Importe Neto]],Imput[[C. Imp.]:[C. Imp.]],$D1040,Imput[[PERIODO Imp.]:[PERIODO Imp.]],DE$9)</f>
        <v>0</v>
      </c>
      <c r="DF1040" s="693">
        <f>SUMIFS(Imput[[Importe Neto]:[Importe Neto]],Imput[[C. Imp.]:[C. Imp.]],$D1040,Imput[[PERIODO Imp.]:[PERIODO Imp.]],DF$9)</f>
        <v>0</v>
      </c>
      <c r="DG1040" s="693">
        <f>SUMIFS(Imput[[Importe Neto]:[Importe Neto]],Imput[[C. Imp.]:[C. Imp.]],$D1040,Imput[[PERIODO Imp.]:[PERIODO Imp.]],DG$9)</f>
        <v>0</v>
      </c>
      <c r="DH1040" s="694">
        <f>SUMIFS(Imput[[Importe Neto]:[Importe Neto]],Imput[[C. Imp.]:[C. Imp.]],$D1040,Imput[[PERIODO Imp.]:[PERIODO Imp.]],DH$9)</f>
        <v>0</v>
      </c>
    </row>
    <row r="1041" spans="1:112" s="649" customFormat="1" hidden="1" outlineLevel="1" x14ac:dyDescent="0.3">
      <c r="A1041" s="652" t="str">
        <f t="shared" si="354"/>
        <v/>
      </c>
      <c r="B1041" s="652"/>
      <c r="C1041" s="685"/>
      <c r="D1041" s="686"/>
      <c r="E1041" s="686"/>
      <c r="F1041" s="720"/>
      <c r="G1041" s="688"/>
      <c r="H1041" s="689"/>
      <c r="I1041" s="851" t="str">
        <f t="shared" si="355"/>
        <v/>
      </c>
      <c r="J1041" s="850" t="str">
        <f t="shared" si="356"/>
        <v/>
      </c>
      <c r="K1041" s="667"/>
      <c r="L1041" s="858"/>
      <c r="M1041" s="859"/>
      <c r="N1041" s="859"/>
      <c r="O1041" s="859"/>
      <c r="P1041" s="859"/>
      <c r="Q1041" s="859"/>
      <c r="R1041" s="859"/>
      <c r="S1041" s="859"/>
      <c r="T1041" s="859"/>
      <c r="U1041" s="859"/>
      <c r="V1041" s="859"/>
      <c r="W1041" s="859"/>
      <c r="X1041" s="859"/>
      <c r="Y1041" s="859"/>
      <c r="Z1041" s="860"/>
      <c r="AA1041" s="860"/>
      <c r="AB1041" s="860"/>
      <c r="AC1041" s="860"/>
      <c r="AD1041" s="860"/>
      <c r="AE1041" s="860"/>
      <c r="AF1041" s="860"/>
      <c r="AG1041" s="860"/>
      <c r="AH1041" s="860"/>
      <c r="AI1041" s="860"/>
      <c r="AJ1041" s="860"/>
      <c r="AK1041" s="860"/>
      <c r="AL1041" s="860"/>
      <c r="AM1041" s="860"/>
      <c r="AN1041" s="860"/>
      <c r="AO1041" s="860"/>
      <c r="AP1041" s="860"/>
      <c r="AQ1041" s="860"/>
      <c r="AR1041" s="860"/>
      <c r="AS1041" s="860"/>
      <c r="AT1041" s="860"/>
      <c r="AU1041" s="860"/>
      <c r="AV1041" s="860"/>
      <c r="AW1041" s="860"/>
      <c r="AX1041" s="860"/>
      <c r="AY1041" s="860"/>
      <c r="AZ1041" s="860"/>
      <c r="BA1041" s="860"/>
      <c r="BB1041" s="860"/>
      <c r="BC1041" s="860"/>
      <c r="BD1041" s="860"/>
      <c r="BE1041" s="860"/>
      <c r="BF1041" s="860"/>
      <c r="BG1041" s="860"/>
      <c r="BH1041" s="668"/>
      <c r="BI1041" s="667"/>
      <c r="BJ1041" s="690">
        <f t="shared" si="357"/>
        <v>0</v>
      </c>
      <c r="BK1041" s="691">
        <f t="shared" si="358"/>
        <v>0</v>
      </c>
      <c r="BL1041" s="654"/>
      <c r="BM1041" s="692">
        <f>SUMIFS(Imput[[Importe Neto]:[Importe Neto]],Imput[[C. Imp.]:[C. Imp.]],$D1041,Imput[[PERIODO Imp.]:[PERIODO Imp.]],BM$9)</f>
        <v>0</v>
      </c>
      <c r="BN1041" s="693">
        <f>SUMIFS(Imput[[Importe Neto]:[Importe Neto]],Imput[[C. Imp.]:[C. Imp.]],$D1041,Imput[[PERIODO Imp.]:[PERIODO Imp.]],BN$9)</f>
        <v>0</v>
      </c>
      <c r="BO1041" s="693">
        <f>SUMIFS(Imput[[Importe Neto]:[Importe Neto]],Imput[[C. Imp.]:[C. Imp.]],$D1041,Imput[[PERIODO Imp.]:[PERIODO Imp.]],BO$9)</f>
        <v>0</v>
      </c>
      <c r="BP1041" s="693">
        <f>SUMIFS(Imput[[Importe Neto]:[Importe Neto]],Imput[[C. Imp.]:[C. Imp.]],$D1041,Imput[[PERIODO Imp.]:[PERIODO Imp.]],BP$9)</f>
        <v>0</v>
      </c>
      <c r="BQ1041" s="693">
        <f>SUMIFS(Imput[[Importe Neto]:[Importe Neto]],Imput[[C. Imp.]:[C. Imp.]],$D1041,Imput[[PERIODO Imp.]:[PERIODO Imp.]],BQ$9)</f>
        <v>0</v>
      </c>
      <c r="BR1041" s="693">
        <f>SUMIFS(Imput[[Importe Neto]:[Importe Neto]],Imput[[C. Imp.]:[C. Imp.]],$D1041,Imput[[PERIODO Imp.]:[PERIODO Imp.]],BR$9)</f>
        <v>0</v>
      </c>
      <c r="BS1041" s="693">
        <f>SUMIFS(Imput[[Importe Neto]:[Importe Neto]],Imput[[C. Imp.]:[C. Imp.]],$D1041,Imput[[PERIODO Imp.]:[PERIODO Imp.]],BS$9)</f>
        <v>0</v>
      </c>
      <c r="BT1041" s="693">
        <f>SUMIFS(Imput[[Importe Neto]:[Importe Neto]],Imput[[C. Imp.]:[C. Imp.]],$D1041,Imput[[PERIODO Imp.]:[PERIODO Imp.]],BT$9)</f>
        <v>0</v>
      </c>
      <c r="BU1041" s="693">
        <f>SUMIFS(Imput[[Importe Neto]:[Importe Neto]],Imput[[C. Imp.]:[C. Imp.]],$D1041,Imput[[PERIODO Imp.]:[PERIODO Imp.]],BU$9)</f>
        <v>0</v>
      </c>
      <c r="BV1041" s="693">
        <f>SUMIFS(Imput[[Importe Neto]:[Importe Neto]],Imput[[C. Imp.]:[C. Imp.]],$D1041,Imput[[PERIODO Imp.]:[PERIODO Imp.]],BV$9)</f>
        <v>0</v>
      </c>
      <c r="BW1041" s="693">
        <f>SUMIFS(Imput[[Importe Neto]:[Importe Neto]],Imput[[C. Imp.]:[C. Imp.]],$D1041,Imput[[PERIODO Imp.]:[PERIODO Imp.]],BW$9)</f>
        <v>0</v>
      </c>
      <c r="BX1041" s="693">
        <f>SUMIFS(Imput[[Importe Neto]:[Importe Neto]],Imput[[C. Imp.]:[C. Imp.]],$D1041,Imput[[PERIODO Imp.]:[PERIODO Imp.]],BX$9)</f>
        <v>0</v>
      </c>
      <c r="BY1041" s="693">
        <f>SUMIFS(Imput[[Importe Neto]:[Importe Neto]],Imput[[C. Imp.]:[C. Imp.]],$D1041,Imput[[PERIODO Imp.]:[PERIODO Imp.]],BY$9)</f>
        <v>0</v>
      </c>
      <c r="BZ1041" s="693">
        <f>SUMIFS(Imput[[Importe Neto]:[Importe Neto]],Imput[[C. Imp.]:[C. Imp.]],$D1041,Imput[[PERIODO Imp.]:[PERIODO Imp.]],BZ$9)</f>
        <v>0</v>
      </c>
      <c r="CA1041" s="693">
        <f>SUMIFS(Imput[[Importe Neto]:[Importe Neto]],Imput[[C. Imp.]:[C. Imp.]],$D1041,Imput[[PERIODO Imp.]:[PERIODO Imp.]],CA$9)</f>
        <v>0</v>
      </c>
      <c r="CB1041" s="693">
        <f>SUMIFS(Imput[[Importe Neto]:[Importe Neto]],Imput[[C. Imp.]:[C. Imp.]],$D1041,Imput[[PERIODO Imp.]:[PERIODO Imp.]],CB$9)</f>
        <v>0</v>
      </c>
      <c r="CC1041" s="693">
        <f>SUMIFS(Imput[[Importe Neto]:[Importe Neto]],Imput[[C. Imp.]:[C. Imp.]],$D1041,Imput[[PERIODO Imp.]:[PERIODO Imp.]],CC$9)</f>
        <v>0</v>
      </c>
      <c r="CD1041" s="693">
        <f>SUMIFS(Imput[[Importe Neto]:[Importe Neto]],Imput[[C. Imp.]:[C. Imp.]],$D1041,Imput[[PERIODO Imp.]:[PERIODO Imp.]],CD$9)</f>
        <v>0</v>
      </c>
      <c r="CE1041" s="693">
        <f>SUMIFS(Imput[[Importe Neto]:[Importe Neto]],Imput[[C. Imp.]:[C. Imp.]],$D1041,Imput[[PERIODO Imp.]:[PERIODO Imp.]],CE$9)</f>
        <v>0</v>
      </c>
      <c r="CF1041" s="693">
        <f>SUMIFS(Imput[[Importe Neto]:[Importe Neto]],Imput[[C. Imp.]:[C. Imp.]],$D1041,Imput[[PERIODO Imp.]:[PERIODO Imp.]],CF$9)</f>
        <v>0</v>
      </c>
      <c r="CG1041" s="693">
        <f>SUMIFS(Imput[[Importe Neto]:[Importe Neto]],Imput[[C. Imp.]:[C. Imp.]],$D1041,Imput[[PERIODO Imp.]:[PERIODO Imp.]],CG$9)</f>
        <v>0</v>
      </c>
      <c r="CH1041" s="693">
        <f>SUMIFS(Imput[[Importe Neto]:[Importe Neto]],Imput[[C. Imp.]:[C. Imp.]],$D1041,Imput[[PERIODO Imp.]:[PERIODO Imp.]],CH$9)</f>
        <v>0</v>
      </c>
      <c r="CI1041" s="693">
        <f>SUMIFS(Imput[[Importe Neto]:[Importe Neto]],Imput[[C. Imp.]:[C. Imp.]],$D1041,Imput[[PERIODO Imp.]:[PERIODO Imp.]],CI$9)</f>
        <v>0</v>
      </c>
      <c r="CJ1041" s="693">
        <f>SUMIFS(Imput[[Importe Neto]:[Importe Neto]],Imput[[C. Imp.]:[C. Imp.]],$D1041,Imput[[PERIODO Imp.]:[PERIODO Imp.]],CJ$9)</f>
        <v>0</v>
      </c>
      <c r="CK1041" s="693">
        <f>SUMIFS(Imput[[Importe Neto]:[Importe Neto]],Imput[[C. Imp.]:[C. Imp.]],$D1041,Imput[[PERIODO Imp.]:[PERIODO Imp.]],CK$9)</f>
        <v>0</v>
      </c>
      <c r="CL1041" s="693">
        <f>SUMIFS(Imput[[Importe Neto]:[Importe Neto]],Imput[[C. Imp.]:[C. Imp.]],$D1041,Imput[[PERIODO Imp.]:[PERIODO Imp.]],CL$9)</f>
        <v>0</v>
      </c>
      <c r="CM1041" s="693">
        <f>SUMIFS(Imput[[Importe Neto]:[Importe Neto]],Imput[[C. Imp.]:[C. Imp.]],$D1041,Imput[[PERIODO Imp.]:[PERIODO Imp.]],CM$9)</f>
        <v>0</v>
      </c>
      <c r="CN1041" s="693">
        <f>SUMIFS(Imput[[Importe Neto]:[Importe Neto]],Imput[[C. Imp.]:[C. Imp.]],$D1041,Imput[[PERIODO Imp.]:[PERIODO Imp.]],CN$9)</f>
        <v>0</v>
      </c>
      <c r="CO1041" s="693">
        <f>SUMIFS(Imput[[Importe Neto]:[Importe Neto]],Imput[[C. Imp.]:[C. Imp.]],$D1041,Imput[[PERIODO Imp.]:[PERIODO Imp.]],CO$9)</f>
        <v>0</v>
      </c>
      <c r="CP1041" s="693">
        <f>SUMIFS(Imput[[Importe Neto]:[Importe Neto]],Imput[[C. Imp.]:[C. Imp.]],$D1041,Imput[[PERIODO Imp.]:[PERIODO Imp.]],CP$9)</f>
        <v>0</v>
      </c>
      <c r="CQ1041" s="693">
        <f>SUMIFS(Imput[[Importe Neto]:[Importe Neto]],Imput[[C. Imp.]:[C. Imp.]],$D1041,Imput[[PERIODO Imp.]:[PERIODO Imp.]],CQ$9)</f>
        <v>0</v>
      </c>
      <c r="CR1041" s="693">
        <f>SUMIFS(Imput[[Importe Neto]:[Importe Neto]],Imput[[C. Imp.]:[C. Imp.]],$D1041,Imput[[PERIODO Imp.]:[PERIODO Imp.]],CR$9)</f>
        <v>0</v>
      </c>
      <c r="CS1041" s="693">
        <f>SUMIFS(Imput[[Importe Neto]:[Importe Neto]],Imput[[C. Imp.]:[C. Imp.]],$D1041,Imput[[PERIODO Imp.]:[PERIODO Imp.]],CS$9)</f>
        <v>0</v>
      </c>
      <c r="CT1041" s="693">
        <f>SUMIFS(Imput[[Importe Neto]:[Importe Neto]],Imput[[C. Imp.]:[C. Imp.]],$D1041,Imput[[PERIODO Imp.]:[PERIODO Imp.]],CT$9)</f>
        <v>0</v>
      </c>
      <c r="CU1041" s="693">
        <f>SUMIFS(Imput[[Importe Neto]:[Importe Neto]],Imput[[C. Imp.]:[C. Imp.]],$D1041,Imput[[PERIODO Imp.]:[PERIODO Imp.]],CU$9)</f>
        <v>0</v>
      </c>
      <c r="CV1041" s="693">
        <f>SUMIFS(Imput[[Importe Neto]:[Importe Neto]],Imput[[C. Imp.]:[C. Imp.]],$D1041,Imput[[PERIODO Imp.]:[PERIODO Imp.]],CV$9)</f>
        <v>0</v>
      </c>
      <c r="CW1041" s="693">
        <f>SUMIFS(Imput[[Importe Neto]:[Importe Neto]],Imput[[C. Imp.]:[C. Imp.]],$D1041,Imput[[PERIODO Imp.]:[PERIODO Imp.]],CW$9)</f>
        <v>0</v>
      </c>
      <c r="CX1041" s="693">
        <f>SUMIFS(Imput[[Importe Neto]:[Importe Neto]],Imput[[C. Imp.]:[C. Imp.]],$D1041,Imput[[PERIODO Imp.]:[PERIODO Imp.]],CX$9)</f>
        <v>0</v>
      </c>
      <c r="CY1041" s="693">
        <f>SUMIFS(Imput[[Importe Neto]:[Importe Neto]],Imput[[C. Imp.]:[C. Imp.]],$D1041,Imput[[PERIODO Imp.]:[PERIODO Imp.]],CY$9)</f>
        <v>0</v>
      </c>
      <c r="CZ1041" s="693">
        <f>SUMIFS(Imput[[Importe Neto]:[Importe Neto]],Imput[[C. Imp.]:[C. Imp.]],$D1041,Imput[[PERIODO Imp.]:[PERIODO Imp.]],CZ$9)</f>
        <v>0</v>
      </c>
      <c r="DA1041" s="693">
        <f>SUMIFS(Imput[[Importe Neto]:[Importe Neto]],Imput[[C. Imp.]:[C. Imp.]],$D1041,Imput[[PERIODO Imp.]:[PERIODO Imp.]],DA$9)</f>
        <v>0</v>
      </c>
      <c r="DB1041" s="693">
        <f>SUMIFS(Imput[[Importe Neto]:[Importe Neto]],Imput[[C. Imp.]:[C. Imp.]],$D1041,Imput[[PERIODO Imp.]:[PERIODO Imp.]],DB$9)</f>
        <v>0</v>
      </c>
      <c r="DC1041" s="693">
        <f>SUMIFS(Imput[[Importe Neto]:[Importe Neto]],Imput[[C. Imp.]:[C. Imp.]],$D1041,Imput[[PERIODO Imp.]:[PERIODO Imp.]],DC$9)</f>
        <v>0</v>
      </c>
      <c r="DD1041" s="693">
        <f>SUMIFS(Imput[[Importe Neto]:[Importe Neto]],Imput[[C. Imp.]:[C. Imp.]],$D1041,Imput[[PERIODO Imp.]:[PERIODO Imp.]],DD$9)</f>
        <v>0</v>
      </c>
      <c r="DE1041" s="693">
        <f>SUMIFS(Imput[[Importe Neto]:[Importe Neto]],Imput[[C. Imp.]:[C. Imp.]],$D1041,Imput[[PERIODO Imp.]:[PERIODO Imp.]],DE$9)</f>
        <v>0</v>
      </c>
      <c r="DF1041" s="693">
        <f>SUMIFS(Imput[[Importe Neto]:[Importe Neto]],Imput[[C. Imp.]:[C. Imp.]],$D1041,Imput[[PERIODO Imp.]:[PERIODO Imp.]],DF$9)</f>
        <v>0</v>
      </c>
      <c r="DG1041" s="693">
        <f>SUMIFS(Imput[[Importe Neto]:[Importe Neto]],Imput[[C. Imp.]:[C. Imp.]],$D1041,Imput[[PERIODO Imp.]:[PERIODO Imp.]],DG$9)</f>
        <v>0</v>
      </c>
      <c r="DH1041" s="694">
        <f>SUMIFS(Imput[[Importe Neto]:[Importe Neto]],Imput[[C. Imp.]:[C. Imp.]],$D1041,Imput[[PERIODO Imp.]:[PERIODO Imp.]],DH$9)</f>
        <v>0</v>
      </c>
    </row>
    <row r="1042" spans="1:112" s="649" customFormat="1" hidden="1" outlineLevel="1" x14ac:dyDescent="0.3">
      <c r="A1042" s="652" t="str">
        <f t="shared" si="354"/>
        <v/>
      </c>
      <c r="B1042" s="652"/>
      <c r="C1042" s="685"/>
      <c r="D1042" s="686"/>
      <c r="E1042" s="686"/>
      <c r="F1042" s="720"/>
      <c r="G1042" s="688"/>
      <c r="H1042" s="689"/>
      <c r="I1042" s="851" t="str">
        <f t="shared" si="355"/>
        <v/>
      </c>
      <c r="J1042" s="850" t="str">
        <f t="shared" si="356"/>
        <v/>
      </c>
      <c r="K1042" s="667"/>
      <c r="L1042" s="858"/>
      <c r="M1042" s="859"/>
      <c r="N1042" s="859"/>
      <c r="O1042" s="859"/>
      <c r="P1042" s="859"/>
      <c r="Q1042" s="859"/>
      <c r="R1042" s="859"/>
      <c r="S1042" s="859"/>
      <c r="T1042" s="859"/>
      <c r="U1042" s="859"/>
      <c r="V1042" s="859"/>
      <c r="W1042" s="859"/>
      <c r="X1042" s="859"/>
      <c r="Y1042" s="859"/>
      <c r="Z1042" s="860"/>
      <c r="AA1042" s="860"/>
      <c r="AB1042" s="860"/>
      <c r="AC1042" s="860"/>
      <c r="AD1042" s="860"/>
      <c r="AE1042" s="860"/>
      <c r="AF1042" s="860"/>
      <c r="AG1042" s="860"/>
      <c r="AH1042" s="860"/>
      <c r="AI1042" s="860"/>
      <c r="AJ1042" s="860"/>
      <c r="AK1042" s="860"/>
      <c r="AL1042" s="860"/>
      <c r="AM1042" s="860"/>
      <c r="AN1042" s="860"/>
      <c r="AO1042" s="860"/>
      <c r="AP1042" s="860"/>
      <c r="AQ1042" s="860"/>
      <c r="AR1042" s="860"/>
      <c r="AS1042" s="860"/>
      <c r="AT1042" s="860"/>
      <c r="AU1042" s="860"/>
      <c r="AV1042" s="860"/>
      <c r="AW1042" s="860"/>
      <c r="AX1042" s="860"/>
      <c r="AY1042" s="860"/>
      <c r="AZ1042" s="860"/>
      <c r="BA1042" s="860"/>
      <c r="BB1042" s="860"/>
      <c r="BC1042" s="860"/>
      <c r="BD1042" s="860"/>
      <c r="BE1042" s="860"/>
      <c r="BF1042" s="860"/>
      <c r="BG1042" s="860"/>
      <c r="BH1042" s="668"/>
      <c r="BI1042" s="667"/>
      <c r="BJ1042" s="690">
        <f t="shared" si="357"/>
        <v>0</v>
      </c>
      <c r="BK1042" s="691">
        <f t="shared" si="358"/>
        <v>0</v>
      </c>
      <c r="BL1042" s="654"/>
      <c r="BM1042" s="692">
        <f>SUMIFS(Imput[[Importe Neto]:[Importe Neto]],Imput[[C. Imp.]:[C. Imp.]],$D1042,Imput[[PERIODO Imp.]:[PERIODO Imp.]],BM$9)</f>
        <v>0</v>
      </c>
      <c r="BN1042" s="693">
        <f>SUMIFS(Imput[[Importe Neto]:[Importe Neto]],Imput[[C. Imp.]:[C. Imp.]],$D1042,Imput[[PERIODO Imp.]:[PERIODO Imp.]],BN$9)</f>
        <v>0</v>
      </c>
      <c r="BO1042" s="693">
        <f>SUMIFS(Imput[[Importe Neto]:[Importe Neto]],Imput[[C. Imp.]:[C. Imp.]],$D1042,Imput[[PERIODO Imp.]:[PERIODO Imp.]],BO$9)</f>
        <v>0</v>
      </c>
      <c r="BP1042" s="693">
        <f>SUMIFS(Imput[[Importe Neto]:[Importe Neto]],Imput[[C. Imp.]:[C. Imp.]],$D1042,Imput[[PERIODO Imp.]:[PERIODO Imp.]],BP$9)</f>
        <v>0</v>
      </c>
      <c r="BQ1042" s="693">
        <f>SUMIFS(Imput[[Importe Neto]:[Importe Neto]],Imput[[C. Imp.]:[C. Imp.]],$D1042,Imput[[PERIODO Imp.]:[PERIODO Imp.]],BQ$9)</f>
        <v>0</v>
      </c>
      <c r="BR1042" s="693">
        <f>SUMIFS(Imput[[Importe Neto]:[Importe Neto]],Imput[[C. Imp.]:[C. Imp.]],$D1042,Imput[[PERIODO Imp.]:[PERIODO Imp.]],BR$9)</f>
        <v>0</v>
      </c>
      <c r="BS1042" s="693">
        <f>SUMIFS(Imput[[Importe Neto]:[Importe Neto]],Imput[[C. Imp.]:[C. Imp.]],$D1042,Imput[[PERIODO Imp.]:[PERIODO Imp.]],BS$9)</f>
        <v>0</v>
      </c>
      <c r="BT1042" s="693">
        <f>SUMIFS(Imput[[Importe Neto]:[Importe Neto]],Imput[[C. Imp.]:[C. Imp.]],$D1042,Imput[[PERIODO Imp.]:[PERIODO Imp.]],BT$9)</f>
        <v>0</v>
      </c>
      <c r="BU1042" s="693">
        <f>SUMIFS(Imput[[Importe Neto]:[Importe Neto]],Imput[[C. Imp.]:[C. Imp.]],$D1042,Imput[[PERIODO Imp.]:[PERIODO Imp.]],BU$9)</f>
        <v>0</v>
      </c>
      <c r="BV1042" s="693">
        <f>SUMIFS(Imput[[Importe Neto]:[Importe Neto]],Imput[[C. Imp.]:[C. Imp.]],$D1042,Imput[[PERIODO Imp.]:[PERIODO Imp.]],BV$9)</f>
        <v>0</v>
      </c>
      <c r="BW1042" s="693">
        <f>SUMIFS(Imput[[Importe Neto]:[Importe Neto]],Imput[[C. Imp.]:[C. Imp.]],$D1042,Imput[[PERIODO Imp.]:[PERIODO Imp.]],BW$9)</f>
        <v>0</v>
      </c>
      <c r="BX1042" s="693">
        <f>SUMIFS(Imput[[Importe Neto]:[Importe Neto]],Imput[[C. Imp.]:[C. Imp.]],$D1042,Imput[[PERIODO Imp.]:[PERIODO Imp.]],BX$9)</f>
        <v>0</v>
      </c>
      <c r="BY1042" s="693">
        <f>SUMIFS(Imput[[Importe Neto]:[Importe Neto]],Imput[[C. Imp.]:[C. Imp.]],$D1042,Imput[[PERIODO Imp.]:[PERIODO Imp.]],BY$9)</f>
        <v>0</v>
      </c>
      <c r="BZ1042" s="693">
        <f>SUMIFS(Imput[[Importe Neto]:[Importe Neto]],Imput[[C. Imp.]:[C. Imp.]],$D1042,Imput[[PERIODO Imp.]:[PERIODO Imp.]],BZ$9)</f>
        <v>0</v>
      </c>
      <c r="CA1042" s="693">
        <f>SUMIFS(Imput[[Importe Neto]:[Importe Neto]],Imput[[C. Imp.]:[C. Imp.]],$D1042,Imput[[PERIODO Imp.]:[PERIODO Imp.]],CA$9)</f>
        <v>0</v>
      </c>
      <c r="CB1042" s="693">
        <f>SUMIFS(Imput[[Importe Neto]:[Importe Neto]],Imput[[C. Imp.]:[C. Imp.]],$D1042,Imput[[PERIODO Imp.]:[PERIODO Imp.]],CB$9)</f>
        <v>0</v>
      </c>
      <c r="CC1042" s="693">
        <f>SUMIFS(Imput[[Importe Neto]:[Importe Neto]],Imput[[C. Imp.]:[C. Imp.]],$D1042,Imput[[PERIODO Imp.]:[PERIODO Imp.]],CC$9)</f>
        <v>0</v>
      </c>
      <c r="CD1042" s="693">
        <f>SUMIFS(Imput[[Importe Neto]:[Importe Neto]],Imput[[C. Imp.]:[C. Imp.]],$D1042,Imput[[PERIODO Imp.]:[PERIODO Imp.]],CD$9)</f>
        <v>0</v>
      </c>
      <c r="CE1042" s="693">
        <f>SUMIFS(Imput[[Importe Neto]:[Importe Neto]],Imput[[C. Imp.]:[C. Imp.]],$D1042,Imput[[PERIODO Imp.]:[PERIODO Imp.]],CE$9)</f>
        <v>0</v>
      </c>
      <c r="CF1042" s="693">
        <f>SUMIFS(Imput[[Importe Neto]:[Importe Neto]],Imput[[C. Imp.]:[C. Imp.]],$D1042,Imput[[PERIODO Imp.]:[PERIODO Imp.]],CF$9)</f>
        <v>0</v>
      </c>
      <c r="CG1042" s="693">
        <f>SUMIFS(Imput[[Importe Neto]:[Importe Neto]],Imput[[C. Imp.]:[C. Imp.]],$D1042,Imput[[PERIODO Imp.]:[PERIODO Imp.]],CG$9)</f>
        <v>0</v>
      </c>
      <c r="CH1042" s="693">
        <f>SUMIFS(Imput[[Importe Neto]:[Importe Neto]],Imput[[C. Imp.]:[C. Imp.]],$D1042,Imput[[PERIODO Imp.]:[PERIODO Imp.]],CH$9)</f>
        <v>0</v>
      </c>
      <c r="CI1042" s="693">
        <f>SUMIFS(Imput[[Importe Neto]:[Importe Neto]],Imput[[C. Imp.]:[C. Imp.]],$D1042,Imput[[PERIODO Imp.]:[PERIODO Imp.]],CI$9)</f>
        <v>0</v>
      </c>
      <c r="CJ1042" s="693">
        <f>SUMIFS(Imput[[Importe Neto]:[Importe Neto]],Imput[[C. Imp.]:[C. Imp.]],$D1042,Imput[[PERIODO Imp.]:[PERIODO Imp.]],CJ$9)</f>
        <v>0</v>
      </c>
      <c r="CK1042" s="693">
        <f>SUMIFS(Imput[[Importe Neto]:[Importe Neto]],Imput[[C. Imp.]:[C. Imp.]],$D1042,Imput[[PERIODO Imp.]:[PERIODO Imp.]],CK$9)</f>
        <v>0</v>
      </c>
      <c r="CL1042" s="693">
        <f>SUMIFS(Imput[[Importe Neto]:[Importe Neto]],Imput[[C. Imp.]:[C. Imp.]],$D1042,Imput[[PERIODO Imp.]:[PERIODO Imp.]],CL$9)</f>
        <v>0</v>
      </c>
      <c r="CM1042" s="693">
        <f>SUMIFS(Imput[[Importe Neto]:[Importe Neto]],Imput[[C. Imp.]:[C. Imp.]],$D1042,Imput[[PERIODO Imp.]:[PERIODO Imp.]],CM$9)</f>
        <v>0</v>
      </c>
      <c r="CN1042" s="693">
        <f>SUMIFS(Imput[[Importe Neto]:[Importe Neto]],Imput[[C. Imp.]:[C. Imp.]],$D1042,Imput[[PERIODO Imp.]:[PERIODO Imp.]],CN$9)</f>
        <v>0</v>
      </c>
      <c r="CO1042" s="693">
        <f>SUMIFS(Imput[[Importe Neto]:[Importe Neto]],Imput[[C. Imp.]:[C. Imp.]],$D1042,Imput[[PERIODO Imp.]:[PERIODO Imp.]],CO$9)</f>
        <v>0</v>
      </c>
      <c r="CP1042" s="693">
        <f>SUMIFS(Imput[[Importe Neto]:[Importe Neto]],Imput[[C. Imp.]:[C. Imp.]],$D1042,Imput[[PERIODO Imp.]:[PERIODO Imp.]],CP$9)</f>
        <v>0</v>
      </c>
      <c r="CQ1042" s="693">
        <f>SUMIFS(Imput[[Importe Neto]:[Importe Neto]],Imput[[C. Imp.]:[C. Imp.]],$D1042,Imput[[PERIODO Imp.]:[PERIODO Imp.]],CQ$9)</f>
        <v>0</v>
      </c>
      <c r="CR1042" s="693">
        <f>SUMIFS(Imput[[Importe Neto]:[Importe Neto]],Imput[[C. Imp.]:[C. Imp.]],$D1042,Imput[[PERIODO Imp.]:[PERIODO Imp.]],CR$9)</f>
        <v>0</v>
      </c>
      <c r="CS1042" s="693">
        <f>SUMIFS(Imput[[Importe Neto]:[Importe Neto]],Imput[[C. Imp.]:[C. Imp.]],$D1042,Imput[[PERIODO Imp.]:[PERIODO Imp.]],CS$9)</f>
        <v>0</v>
      </c>
      <c r="CT1042" s="693">
        <f>SUMIFS(Imput[[Importe Neto]:[Importe Neto]],Imput[[C. Imp.]:[C. Imp.]],$D1042,Imput[[PERIODO Imp.]:[PERIODO Imp.]],CT$9)</f>
        <v>0</v>
      </c>
      <c r="CU1042" s="693">
        <f>SUMIFS(Imput[[Importe Neto]:[Importe Neto]],Imput[[C. Imp.]:[C. Imp.]],$D1042,Imput[[PERIODO Imp.]:[PERIODO Imp.]],CU$9)</f>
        <v>0</v>
      </c>
      <c r="CV1042" s="693">
        <f>SUMIFS(Imput[[Importe Neto]:[Importe Neto]],Imput[[C. Imp.]:[C. Imp.]],$D1042,Imput[[PERIODO Imp.]:[PERIODO Imp.]],CV$9)</f>
        <v>0</v>
      </c>
      <c r="CW1042" s="693">
        <f>SUMIFS(Imput[[Importe Neto]:[Importe Neto]],Imput[[C. Imp.]:[C. Imp.]],$D1042,Imput[[PERIODO Imp.]:[PERIODO Imp.]],CW$9)</f>
        <v>0</v>
      </c>
      <c r="CX1042" s="693">
        <f>SUMIFS(Imput[[Importe Neto]:[Importe Neto]],Imput[[C. Imp.]:[C. Imp.]],$D1042,Imput[[PERIODO Imp.]:[PERIODO Imp.]],CX$9)</f>
        <v>0</v>
      </c>
      <c r="CY1042" s="693">
        <f>SUMIFS(Imput[[Importe Neto]:[Importe Neto]],Imput[[C. Imp.]:[C. Imp.]],$D1042,Imput[[PERIODO Imp.]:[PERIODO Imp.]],CY$9)</f>
        <v>0</v>
      </c>
      <c r="CZ1042" s="693">
        <f>SUMIFS(Imput[[Importe Neto]:[Importe Neto]],Imput[[C. Imp.]:[C. Imp.]],$D1042,Imput[[PERIODO Imp.]:[PERIODO Imp.]],CZ$9)</f>
        <v>0</v>
      </c>
      <c r="DA1042" s="693">
        <f>SUMIFS(Imput[[Importe Neto]:[Importe Neto]],Imput[[C. Imp.]:[C. Imp.]],$D1042,Imput[[PERIODO Imp.]:[PERIODO Imp.]],DA$9)</f>
        <v>0</v>
      </c>
      <c r="DB1042" s="693">
        <f>SUMIFS(Imput[[Importe Neto]:[Importe Neto]],Imput[[C. Imp.]:[C. Imp.]],$D1042,Imput[[PERIODO Imp.]:[PERIODO Imp.]],DB$9)</f>
        <v>0</v>
      </c>
      <c r="DC1042" s="693">
        <f>SUMIFS(Imput[[Importe Neto]:[Importe Neto]],Imput[[C. Imp.]:[C. Imp.]],$D1042,Imput[[PERIODO Imp.]:[PERIODO Imp.]],DC$9)</f>
        <v>0</v>
      </c>
      <c r="DD1042" s="693">
        <f>SUMIFS(Imput[[Importe Neto]:[Importe Neto]],Imput[[C. Imp.]:[C. Imp.]],$D1042,Imput[[PERIODO Imp.]:[PERIODO Imp.]],DD$9)</f>
        <v>0</v>
      </c>
      <c r="DE1042" s="693">
        <f>SUMIFS(Imput[[Importe Neto]:[Importe Neto]],Imput[[C. Imp.]:[C. Imp.]],$D1042,Imput[[PERIODO Imp.]:[PERIODO Imp.]],DE$9)</f>
        <v>0</v>
      </c>
      <c r="DF1042" s="693">
        <f>SUMIFS(Imput[[Importe Neto]:[Importe Neto]],Imput[[C. Imp.]:[C. Imp.]],$D1042,Imput[[PERIODO Imp.]:[PERIODO Imp.]],DF$9)</f>
        <v>0</v>
      </c>
      <c r="DG1042" s="693">
        <f>SUMIFS(Imput[[Importe Neto]:[Importe Neto]],Imput[[C. Imp.]:[C. Imp.]],$D1042,Imput[[PERIODO Imp.]:[PERIODO Imp.]],DG$9)</f>
        <v>0</v>
      </c>
      <c r="DH1042" s="694">
        <f>SUMIFS(Imput[[Importe Neto]:[Importe Neto]],Imput[[C. Imp.]:[C. Imp.]],$D1042,Imput[[PERIODO Imp.]:[PERIODO Imp.]],DH$9)</f>
        <v>0</v>
      </c>
    </row>
    <row r="1043" spans="1:112" s="649" customFormat="1" hidden="1" outlineLevel="1" x14ac:dyDescent="0.3">
      <c r="A1043" s="652" t="str">
        <f t="shared" si="354"/>
        <v/>
      </c>
      <c r="B1043" s="652"/>
      <c r="C1043" s="685"/>
      <c r="D1043" s="686"/>
      <c r="E1043" s="686"/>
      <c r="F1043" s="720"/>
      <c r="G1043" s="688"/>
      <c r="H1043" s="689"/>
      <c r="I1043" s="851" t="str">
        <f t="shared" si="355"/>
        <v/>
      </c>
      <c r="J1043" s="850" t="str">
        <f t="shared" si="356"/>
        <v/>
      </c>
      <c r="K1043" s="667"/>
      <c r="L1043" s="858"/>
      <c r="M1043" s="859"/>
      <c r="N1043" s="859"/>
      <c r="O1043" s="859"/>
      <c r="P1043" s="859"/>
      <c r="Q1043" s="859"/>
      <c r="R1043" s="859"/>
      <c r="S1043" s="859"/>
      <c r="T1043" s="859"/>
      <c r="U1043" s="859"/>
      <c r="V1043" s="859"/>
      <c r="W1043" s="859"/>
      <c r="X1043" s="859"/>
      <c r="Y1043" s="859"/>
      <c r="Z1043" s="860"/>
      <c r="AA1043" s="860"/>
      <c r="AB1043" s="860"/>
      <c r="AC1043" s="860"/>
      <c r="AD1043" s="860"/>
      <c r="AE1043" s="860"/>
      <c r="AF1043" s="860"/>
      <c r="AG1043" s="860"/>
      <c r="AH1043" s="860"/>
      <c r="AI1043" s="860"/>
      <c r="AJ1043" s="860"/>
      <c r="AK1043" s="860"/>
      <c r="AL1043" s="860"/>
      <c r="AM1043" s="860"/>
      <c r="AN1043" s="860"/>
      <c r="AO1043" s="860"/>
      <c r="AP1043" s="860"/>
      <c r="AQ1043" s="860"/>
      <c r="AR1043" s="860"/>
      <c r="AS1043" s="860"/>
      <c r="AT1043" s="860"/>
      <c r="AU1043" s="860"/>
      <c r="AV1043" s="860"/>
      <c r="AW1043" s="860"/>
      <c r="AX1043" s="860"/>
      <c r="AY1043" s="860"/>
      <c r="AZ1043" s="860"/>
      <c r="BA1043" s="860"/>
      <c r="BB1043" s="860"/>
      <c r="BC1043" s="860"/>
      <c r="BD1043" s="860"/>
      <c r="BE1043" s="860"/>
      <c r="BF1043" s="860"/>
      <c r="BG1043" s="860"/>
      <c r="BH1043" s="668"/>
      <c r="BI1043" s="667"/>
      <c r="BJ1043" s="690">
        <f t="shared" si="357"/>
        <v>0</v>
      </c>
      <c r="BK1043" s="691">
        <f t="shared" si="358"/>
        <v>0</v>
      </c>
      <c r="BL1043" s="654"/>
      <c r="BM1043" s="692">
        <f>SUMIFS(Imput[[Importe Neto]:[Importe Neto]],Imput[[C. Imp.]:[C. Imp.]],$D1043,Imput[[PERIODO Imp.]:[PERIODO Imp.]],BM$9)</f>
        <v>0</v>
      </c>
      <c r="BN1043" s="693">
        <f>SUMIFS(Imput[[Importe Neto]:[Importe Neto]],Imput[[C. Imp.]:[C. Imp.]],$D1043,Imput[[PERIODO Imp.]:[PERIODO Imp.]],BN$9)</f>
        <v>0</v>
      </c>
      <c r="BO1043" s="693">
        <f>SUMIFS(Imput[[Importe Neto]:[Importe Neto]],Imput[[C. Imp.]:[C. Imp.]],$D1043,Imput[[PERIODO Imp.]:[PERIODO Imp.]],BO$9)</f>
        <v>0</v>
      </c>
      <c r="BP1043" s="693">
        <f>SUMIFS(Imput[[Importe Neto]:[Importe Neto]],Imput[[C. Imp.]:[C. Imp.]],$D1043,Imput[[PERIODO Imp.]:[PERIODO Imp.]],BP$9)</f>
        <v>0</v>
      </c>
      <c r="BQ1043" s="693">
        <f>SUMIFS(Imput[[Importe Neto]:[Importe Neto]],Imput[[C. Imp.]:[C. Imp.]],$D1043,Imput[[PERIODO Imp.]:[PERIODO Imp.]],BQ$9)</f>
        <v>0</v>
      </c>
      <c r="BR1043" s="693">
        <f>SUMIFS(Imput[[Importe Neto]:[Importe Neto]],Imput[[C. Imp.]:[C. Imp.]],$D1043,Imput[[PERIODO Imp.]:[PERIODO Imp.]],BR$9)</f>
        <v>0</v>
      </c>
      <c r="BS1043" s="693">
        <f>SUMIFS(Imput[[Importe Neto]:[Importe Neto]],Imput[[C. Imp.]:[C. Imp.]],$D1043,Imput[[PERIODO Imp.]:[PERIODO Imp.]],BS$9)</f>
        <v>0</v>
      </c>
      <c r="BT1043" s="693">
        <f>SUMIFS(Imput[[Importe Neto]:[Importe Neto]],Imput[[C. Imp.]:[C. Imp.]],$D1043,Imput[[PERIODO Imp.]:[PERIODO Imp.]],BT$9)</f>
        <v>0</v>
      </c>
      <c r="BU1043" s="693">
        <f>SUMIFS(Imput[[Importe Neto]:[Importe Neto]],Imput[[C. Imp.]:[C. Imp.]],$D1043,Imput[[PERIODO Imp.]:[PERIODO Imp.]],BU$9)</f>
        <v>0</v>
      </c>
      <c r="BV1043" s="693">
        <f>SUMIFS(Imput[[Importe Neto]:[Importe Neto]],Imput[[C. Imp.]:[C. Imp.]],$D1043,Imput[[PERIODO Imp.]:[PERIODO Imp.]],BV$9)</f>
        <v>0</v>
      </c>
      <c r="BW1043" s="693">
        <f>SUMIFS(Imput[[Importe Neto]:[Importe Neto]],Imput[[C. Imp.]:[C. Imp.]],$D1043,Imput[[PERIODO Imp.]:[PERIODO Imp.]],BW$9)</f>
        <v>0</v>
      </c>
      <c r="BX1043" s="693">
        <f>SUMIFS(Imput[[Importe Neto]:[Importe Neto]],Imput[[C. Imp.]:[C. Imp.]],$D1043,Imput[[PERIODO Imp.]:[PERIODO Imp.]],BX$9)</f>
        <v>0</v>
      </c>
      <c r="BY1043" s="693">
        <f>SUMIFS(Imput[[Importe Neto]:[Importe Neto]],Imput[[C. Imp.]:[C. Imp.]],$D1043,Imput[[PERIODO Imp.]:[PERIODO Imp.]],BY$9)</f>
        <v>0</v>
      </c>
      <c r="BZ1043" s="693">
        <f>SUMIFS(Imput[[Importe Neto]:[Importe Neto]],Imput[[C. Imp.]:[C. Imp.]],$D1043,Imput[[PERIODO Imp.]:[PERIODO Imp.]],BZ$9)</f>
        <v>0</v>
      </c>
      <c r="CA1043" s="693">
        <f>SUMIFS(Imput[[Importe Neto]:[Importe Neto]],Imput[[C. Imp.]:[C. Imp.]],$D1043,Imput[[PERIODO Imp.]:[PERIODO Imp.]],CA$9)</f>
        <v>0</v>
      </c>
      <c r="CB1043" s="693">
        <f>SUMIFS(Imput[[Importe Neto]:[Importe Neto]],Imput[[C. Imp.]:[C. Imp.]],$D1043,Imput[[PERIODO Imp.]:[PERIODO Imp.]],CB$9)</f>
        <v>0</v>
      </c>
      <c r="CC1043" s="693">
        <f>SUMIFS(Imput[[Importe Neto]:[Importe Neto]],Imput[[C. Imp.]:[C. Imp.]],$D1043,Imput[[PERIODO Imp.]:[PERIODO Imp.]],CC$9)</f>
        <v>0</v>
      </c>
      <c r="CD1043" s="693">
        <f>SUMIFS(Imput[[Importe Neto]:[Importe Neto]],Imput[[C. Imp.]:[C. Imp.]],$D1043,Imput[[PERIODO Imp.]:[PERIODO Imp.]],CD$9)</f>
        <v>0</v>
      </c>
      <c r="CE1043" s="693">
        <f>SUMIFS(Imput[[Importe Neto]:[Importe Neto]],Imput[[C. Imp.]:[C. Imp.]],$D1043,Imput[[PERIODO Imp.]:[PERIODO Imp.]],CE$9)</f>
        <v>0</v>
      </c>
      <c r="CF1043" s="693">
        <f>SUMIFS(Imput[[Importe Neto]:[Importe Neto]],Imput[[C. Imp.]:[C. Imp.]],$D1043,Imput[[PERIODO Imp.]:[PERIODO Imp.]],CF$9)</f>
        <v>0</v>
      </c>
      <c r="CG1043" s="693">
        <f>SUMIFS(Imput[[Importe Neto]:[Importe Neto]],Imput[[C. Imp.]:[C. Imp.]],$D1043,Imput[[PERIODO Imp.]:[PERIODO Imp.]],CG$9)</f>
        <v>0</v>
      </c>
      <c r="CH1043" s="693">
        <f>SUMIFS(Imput[[Importe Neto]:[Importe Neto]],Imput[[C. Imp.]:[C. Imp.]],$D1043,Imput[[PERIODO Imp.]:[PERIODO Imp.]],CH$9)</f>
        <v>0</v>
      </c>
      <c r="CI1043" s="693">
        <f>SUMIFS(Imput[[Importe Neto]:[Importe Neto]],Imput[[C. Imp.]:[C. Imp.]],$D1043,Imput[[PERIODO Imp.]:[PERIODO Imp.]],CI$9)</f>
        <v>0</v>
      </c>
      <c r="CJ1043" s="693">
        <f>SUMIFS(Imput[[Importe Neto]:[Importe Neto]],Imput[[C. Imp.]:[C. Imp.]],$D1043,Imput[[PERIODO Imp.]:[PERIODO Imp.]],CJ$9)</f>
        <v>0</v>
      </c>
      <c r="CK1043" s="693">
        <f>SUMIFS(Imput[[Importe Neto]:[Importe Neto]],Imput[[C. Imp.]:[C. Imp.]],$D1043,Imput[[PERIODO Imp.]:[PERIODO Imp.]],CK$9)</f>
        <v>0</v>
      </c>
      <c r="CL1043" s="693">
        <f>SUMIFS(Imput[[Importe Neto]:[Importe Neto]],Imput[[C. Imp.]:[C. Imp.]],$D1043,Imput[[PERIODO Imp.]:[PERIODO Imp.]],CL$9)</f>
        <v>0</v>
      </c>
      <c r="CM1043" s="693">
        <f>SUMIFS(Imput[[Importe Neto]:[Importe Neto]],Imput[[C. Imp.]:[C. Imp.]],$D1043,Imput[[PERIODO Imp.]:[PERIODO Imp.]],CM$9)</f>
        <v>0</v>
      </c>
      <c r="CN1043" s="693">
        <f>SUMIFS(Imput[[Importe Neto]:[Importe Neto]],Imput[[C. Imp.]:[C. Imp.]],$D1043,Imput[[PERIODO Imp.]:[PERIODO Imp.]],CN$9)</f>
        <v>0</v>
      </c>
      <c r="CO1043" s="693">
        <f>SUMIFS(Imput[[Importe Neto]:[Importe Neto]],Imput[[C. Imp.]:[C. Imp.]],$D1043,Imput[[PERIODO Imp.]:[PERIODO Imp.]],CO$9)</f>
        <v>0</v>
      </c>
      <c r="CP1043" s="693">
        <f>SUMIFS(Imput[[Importe Neto]:[Importe Neto]],Imput[[C. Imp.]:[C. Imp.]],$D1043,Imput[[PERIODO Imp.]:[PERIODO Imp.]],CP$9)</f>
        <v>0</v>
      </c>
      <c r="CQ1043" s="693">
        <f>SUMIFS(Imput[[Importe Neto]:[Importe Neto]],Imput[[C. Imp.]:[C. Imp.]],$D1043,Imput[[PERIODO Imp.]:[PERIODO Imp.]],CQ$9)</f>
        <v>0</v>
      </c>
      <c r="CR1043" s="693">
        <f>SUMIFS(Imput[[Importe Neto]:[Importe Neto]],Imput[[C. Imp.]:[C. Imp.]],$D1043,Imput[[PERIODO Imp.]:[PERIODO Imp.]],CR$9)</f>
        <v>0</v>
      </c>
      <c r="CS1043" s="693">
        <f>SUMIFS(Imput[[Importe Neto]:[Importe Neto]],Imput[[C. Imp.]:[C. Imp.]],$D1043,Imput[[PERIODO Imp.]:[PERIODO Imp.]],CS$9)</f>
        <v>0</v>
      </c>
      <c r="CT1043" s="693">
        <f>SUMIFS(Imput[[Importe Neto]:[Importe Neto]],Imput[[C. Imp.]:[C. Imp.]],$D1043,Imput[[PERIODO Imp.]:[PERIODO Imp.]],CT$9)</f>
        <v>0</v>
      </c>
      <c r="CU1043" s="693">
        <f>SUMIFS(Imput[[Importe Neto]:[Importe Neto]],Imput[[C. Imp.]:[C. Imp.]],$D1043,Imput[[PERIODO Imp.]:[PERIODO Imp.]],CU$9)</f>
        <v>0</v>
      </c>
      <c r="CV1043" s="693">
        <f>SUMIFS(Imput[[Importe Neto]:[Importe Neto]],Imput[[C. Imp.]:[C. Imp.]],$D1043,Imput[[PERIODO Imp.]:[PERIODO Imp.]],CV$9)</f>
        <v>0</v>
      </c>
      <c r="CW1043" s="693">
        <f>SUMIFS(Imput[[Importe Neto]:[Importe Neto]],Imput[[C. Imp.]:[C. Imp.]],$D1043,Imput[[PERIODO Imp.]:[PERIODO Imp.]],CW$9)</f>
        <v>0</v>
      </c>
      <c r="CX1043" s="693">
        <f>SUMIFS(Imput[[Importe Neto]:[Importe Neto]],Imput[[C. Imp.]:[C. Imp.]],$D1043,Imput[[PERIODO Imp.]:[PERIODO Imp.]],CX$9)</f>
        <v>0</v>
      </c>
      <c r="CY1043" s="693">
        <f>SUMIFS(Imput[[Importe Neto]:[Importe Neto]],Imput[[C. Imp.]:[C. Imp.]],$D1043,Imput[[PERIODO Imp.]:[PERIODO Imp.]],CY$9)</f>
        <v>0</v>
      </c>
      <c r="CZ1043" s="693">
        <f>SUMIFS(Imput[[Importe Neto]:[Importe Neto]],Imput[[C. Imp.]:[C. Imp.]],$D1043,Imput[[PERIODO Imp.]:[PERIODO Imp.]],CZ$9)</f>
        <v>0</v>
      </c>
      <c r="DA1043" s="693">
        <f>SUMIFS(Imput[[Importe Neto]:[Importe Neto]],Imput[[C. Imp.]:[C. Imp.]],$D1043,Imput[[PERIODO Imp.]:[PERIODO Imp.]],DA$9)</f>
        <v>0</v>
      </c>
      <c r="DB1043" s="693">
        <f>SUMIFS(Imput[[Importe Neto]:[Importe Neto]],Imput[[C. Imp.]:[C. Imp.]],$D1043,Imput[[PERIODO Imp.]:[PERIODO Imp.]],DB$9)</f>
        <v>0</v>
      </c>
      <c r="DC1043" s="693">
        <f>SUMIFS(Imput[[Importe Neto]:[Importe Neto]],Imput[[C. Imp.]:[C. Imp.]],$D1043,Imput[[PERIODO Imp.]:[PERIODO Imp.]],DC$9)</f>
        <v>0</v>
      </c>
      <c r="DD1043" s="693">
        <f>SUMIFS(Imput[[Importe Neto]:[Importe Neto]],Imput[[C. Imp.]:[C. Imp.]],$D1043,Imput[[PERIODO Imp.]:[PERIODO Imp.]],DD$9)</f>
        <v>0</v>
      </c>
      <c r="DE1043" s="693">
        <f>SUMIFS(Imput[[Importe Neto]:[Importe Neto]],Imput[[C. Imp.]:[C. Imp.]],$D1043,Imput[[PERIODO Imp.]:[PERIODO Imp.]],DE$9)</f>
        <v>0</v>
      </c>
      <c r="DF1043" s="693">
        <f>SUMIFS(Imput[[Importe Neto]:[Importe Neto]],Imput[[C. Imp.]:[C. Imp.]],$D1043,Imput[[PERIODO Imp.]:[PERIODO Imp.]],DF$9)</f>
        <v>0</v>
      </c>
      <c r="DG1043" s="693">
        <f>SUMIFS(Imput[[Importe Neto]:[Importe Neto]],Imput[[C. Imp.]:[C. Imp.]],$D1043,Imput[[PERIODO Imp.]:[PERIODO Imp.]],DG$9)</f>
        <v>0</v>
      </c>
      <c r="DH1043" s="694">
        <f>SUMIFS(Imput[[Importe Neto]:[Importe Neto]],Imput[[C. Imp.]:[C. Imp.]],$D1043,Imput[[PERIODO Imp.]:[PERIODO Imp.]],DH$9)</f>
        <v>0</v>
      </c>
    </row>
    <row r="1044" spans="1:112" s="649" customFormat="1" hidden="1" outlineLevel="1" x14ac:dyDescent="0.3">
      <c r="A1044" s="652" t="str">
        <f t="shared" si="354"/>
        <v/>
      </c>
      <c r="B1044" s="652"/>
      <c r="C1044" s="685"/>
      <c r="D1044" s="686"/>
      <c r="E1044" s="686"/>
      <c r="F1044" s="720"/>
      <c r="G1044" s="688"/>
      <c r="H1044" s="689"/>
      <c r="I1044" s="851" t="str">
        <f t="shared" si="355"/>
        <v/>
      </c>
      <c r="J1044" s="850" t="str">
        <f t="shared" si="356"/>
        <v/>
      </c>
      <c r="K1044" s="667"/>
      <c r="L1044" s="858"/>
      <c r="M1044" s="859"/>
      <c r="N1044" s="859"/>
      <c r="O1044" s="859"/>
      <c r="P1044" s="859"/>
      <c r="Q1044" s="859"/>
      <c r="R1044" s="859"/>
      <c r="S1044" s="859"/>
      <c r="T1044" s="859"/>
      <c r="U1044" s="859"/>
      <c r="V1044" s="859"/>
      <c r="W1044" s="859"/>
      <c r="X1044" s="859"/>
      <c r="Y1044" s="859"/>
      <c r="Z1044" s="860"/>
      <c r="AA1044" s="860"/>
      <c r="AB1044" s="860"/>
      <c r="AC1044" s="860"/>
      <c r="AD1044" s="860"/>
      <c r="AE1044" s="860"/>
      <c r="AF1044" s="860"/>
      <c r="AG1044" s="860"/>
      <c r="AH1044" s="860"/>
      <c r="AI1044" s="860"/>
      <c r="AJ1044" s="860"/>
      <c r="AK1044" s="860"/>
      <c r="AL1044" s="860"/>
      <c r="AM1044" s="860"/>
      <c r="AN1044" s="860"/>
      <c r="AO1044" s="860"/>
      <c r="AP1044" s="860"/>
      <c r="AQ1044" s="860"/>
      <c r="AR1044" s="860"/>
      <c r="AS1044" s="860"/>
      <c r="AT1044" s="860"/>
      <c r="AU1044" s="860"/>
      <c r="AV1044" s="860"/>
      <c r="AW1044" s="860"/>
      <c r="AX1044" s="860"/>
      <c r="AY1044" s="860"/>
      <c r="AZ1044" s="860"/>
      <c r="BA1044" s="860"/>
      <c r="BB1044" s="860"/>
      <c r="BC1044" s="860"/>
      <c r="BD1044" s="860"/>
      <c r="BE1044" s="860"/>
      <c r="BF1044" s="860"/>
      <c r="BG1044" s="860"/>
      <c r="BH1044" s="668"/>
      <c r="BI1044" s="667"/>
      <c r="BJ1044" s="690">
        <f t="shared" si="357"/>
        <v>0</v>
      </c>
      <c r="BK1044" s="691">
        <f t="shared" si="358"/>
        <v>0</v>
      </c>
      <c r="BL1044" s="654"/>
      <c r="BM1044" s="692">
        <f>SUMIFS(Imput[[Importe Neto]:[Importe Neto]],Imput[[C. Imp.]:[C. Imp.]],$D1044,Imput[[PERIODO Imp.]:[PERIODO Imp.]],BM$9)</f>
        <v>0</v>
      </c>
      <c r="BN1044" s="693">
        <f>SUMIFS(Imput[[Importe Neto]:[Importe Neto]],Imput[[C. Imp.]:[C. Imp.]],$D1044,Imput[[PERIODO Imp.]:[PERIODO Imp.]],BN$9)</f>
        <v>0</v>
      </c>
      <c r="BO1044" s="693">
        <f>SUMIFS(Imput[[Importe Neto]:[Importe Neto]],Imput[[C. Imp.]:[C. Imp.]],$D1044,Imput[[PERIODO Imp.]:[PERIODO Imp.]],BO$9)</f>
        <v>0</v>
      </c>
      <c r="BP1044" s="693">
        <f>SUMIFS(Imput[[Importe Neto]:[Importe Neto]],Imput[[C. Imp.]:[C. Imp.]],$D1044,Imput[[PERIODO Imp.]:[PERIODO Imp.]],BP$9)</f>
        <v>0</v>
      </c>
      <c r="BQ1044" s="693">
        <f>SUMIFS(Imput[[Importe Neto]:[Importe Neto]],Imput[[C. Imp.]:[C. Imp.]],$D1044,Imput[[PERIODO Imp.]:[PERIODO Imp.]],BQ$9)</f>
        <v>0</v>
      </c>
      <c r="BR1044" s="693">
        <f>SUMIFS(Imput[[Importe Neto]:[Importe Neto]],Imput[[C. Imp.]:[C. Imp.]],$D1044,Imput[[PERIODO Imp.]:[PERIODO Imp.]],BR$9)</f>
        <v>0</v>
      </c>
      <c r="BS1044" s="693">
        <f>SUMIFS(Imput[[Importe Neto]:[Importe Neto]],Imput[[C. Imp.]:[C. Imp.]],$D1044,Imput[[PERIODO Imp.]:[PERIODO Imp.]],BS$9)</f>
        <v>0</v>
      </c>
      <c r="BT1044" s="693">
        <f>SUMIFS(Imput[[Importe Neto]:[Importe Neto]],Imput[[C. Imp.]:[C. Imp.]],$D1044,Imput[[PERIODO Imp.]:[PERIODO Imp.]],BT$9)</f>
        <v>0</v>
      </c>
      <c r="BU1044" s="693">
        <f>SUMIFS(Imput[[Importe Neto]:[Importe Neto]],Imput[[C. Imp.]:[C. Imp.]],$D1044,Imput[[PERIODO Imp.]:[PERIODO Imp.]],BU$9)</f>
        <v>0</v>
      </c>
      <c r="BV1044" s="693">
        <f>SUMIFS(Imput[[Importe Neto]:[Importe Neto]],Imput[[C. Imp.]:[C. Imp.]],$D1044,Imput[[PERIODO Imp.]:[PERIODO Imp.]],BV$9)</f>
        <v>0</v>
      </c>
      <c r="BW1044" s="693">
        <f>SUMIFS(Imput[[Importe Neto]:[Importe Neto]],Imput[[C. Imp.]:[C. Imp.]],$D1044,Imput[[PERIODO Imp.]:[PERIODO Imp.]],BW$9)</f>
        <v>0</v>
      </c>
      <c r="BX1044" s="693">
        <f>SUMIFS(Imput[[Importe Neto]:[Importe Neto]],Imput[[C. Imp.]:[C. Imp.]],$D1044,Imput[[PERIODO Imp.]:[PERIODO Imp.]],BX$9)</f>
        <v>0</v>
      </c>
      <c r="BY1044" s="693">
        <f>SUMIFS(Imput[[Importe Neto]:[Importe Neto]],Imput[[C. Imp.]:[C. Imp.]],$D1044,Imput[[PERIODO Imp.]:[PERIODO Imp.]],BY$9)</f>
        <v>0</v>
      </c>
      <c r="BZ1044" s="693">
        <f>SUMIFS(Imput[[Importe Neto]:[Importe Neto]],Imput[[C. Imp.]:[C. Imp.]],$D1044,Imput[[PERIODO Imp.]:[PERIODO Imp.]],BZ$9)</f>
        <v>0</v>
      </c>
      <c r="CA1044" s="693">
        <f>SUMIFS(Imput[[Importe Neto]:[Importe Neto]],Imput[[C. Imp.]:[C. Imp.]],$D1044,Imput[[PERIODO Imp.]:[PERIODO Imp.]],CA$9)</f>
        <v>0</v>
      </c>
      <c r="CB1044" s="693">
        <f>SUMIFS(Imput[[Importe Neto]:[Importe Neto]],Imput[[C. Imp.]:[C. Imp.]],$D1044,Imput[[PERIODO Imp.]:[PERIODO Imp.]],CB$9)</f>
        <v>0</v>
      </c>
      <c r="CC1044" s="693">
        <f>SUMIFS(Imput[[Importe Neto]:[Importe Neto]],Imput[[C. Imp.]:[C. Imp.]],$D1044,Imput[[PERIODO Imp.]:[PERIODO Imp.]],CC$9)</f>
        <v>0</v>
      </c>
      <c r="CD1044" s="693">
        <f>SUMIFS(Imput[[Importe Neto]:[Importe Neto]],Imput[[C. Imp.]:[C. Imp.]],$D1044,Imput[[PERIODO Imp.]:[PERIODO Imp.]],CD$9)</f>
        <v>0</v>
      </c>
      <c r="CE1044" s="693">
        <f>SUMIFS(Imput[[Importe Neto]:[Importe Neto]],Imput[[C. Imp.]:[C. Imp.]],$D1044,Imput[[PERIODO Imp.]:[PERIODO Imp.]],CE$9)</f>
        <v>0</v>
      </c>
      <c r="CF1044" s="693">
        <f>SUMIFS(Imput[[Importe Neto]:[Importe Neto]],Imput[[C. Imp.]:[C. Imp.]],$D1044,Imput[[PERIODO Imp.]:[PERIODO Imp.]],CF$9)</f>
        <v>0</v>
      </c>
      <c r="CG1044" s="693">
        <f>SUMIFS(Imput[[Importe Neto]:[Importe Neto]],Imput[[C. Imp.]:[C. Imp.]],$D1044,Imput[[PERIODO Imp.]:[PERIODO Imp.]],CG$9)</f>
        <v>0</v>
      </c>
      <c r="CH1044" s="693">
        <f>SUMIFS(Imput[[Importe Neto]:[Importe Neto]],Imput[[C. Imp.]:[C. Imp.]],$D1044,Imput[[PERIODO Imp.]:[PERIODO Imp.]],CH$9)</f>
        <v>0</v>
      </c>
      <c r="CI1044" s="693">
        <f>SUMIFS(Imput[[Importe Neto]:[Importe Neto]],Imput[[C. Imp.]:[C. Imp.]],$D1044,Imput[[PERIODO Imp.]:[PERIODO Imp.]],CI$9)</f>
        <v>0</v>
      </c>
      <c r="CJ1044" s="693">
        <f>SUMIFS(Imput[[Importe Neto]:[Importe Neto]],Imput[[C. Imp.]:[C. Imp.]],$D1044,Imput[[PERIODO Imp.]:[PERIODO Imp.]],CJ$9)</f>
        <v>0</v>
      </c>
      <c r="CK1044" s="693">
        <f>SUMIFS(Imput[[Importe Neto]:[Importe Neto]],Imput[[C. Imp.]:[C. Imp.]],$D1044,Imput[[PERIODO Imp.]:[PERIODO Imp.]],CK$9)</f>
        <v>0</v>
      </c>
      <c r="CL1044" s="693">
        <f>SUMIFS(Imput[[Importe Neto]:[Importe Neto]],Imput[[C. Imp.]:[C. Imp.]],$D1044,Imput[[PERIODO Imp.]:[PERIODO Imp.]],CL$9)</f>
        <v>0</v>
      </c>
      <c r="CM1044" s="693">
        <f>SUMIFS(Imput[[Importe Neto]:[Importe Neto]],Imput[[C. Imp.]:[C. Imp.]],$D1044,Imput[[PERIODO Imp.]:[PERIODO Imp.]],CM$9)</f>
        <v>0</v>
      </c>
      <c r="CN1044" s="693">
        <f>SUMIFS(Imput[[Importe Neto]:[Importe Neto]],Imput[[C. Imp.]:[C. Imp.]],$D1044,Imput[[PERIODO Imp.]:[PERIODO Imp.]],CN$9)</f>
        <v>0</v>
      </c>
      <c r="CO1044" s="693">
        <f>SUMIFS(Imput[[Importe Neto]:[Importe Neto]],Imput[[C. Imp.]:[C. Imp.]],$D1044,Imput[[PERIODO Imp.]:[PERIODO Imp.]],CO$9)</f>
        <v>0</v>
      </c>
      <c r="CP1044" s="693">
        <f>SUMIFS(Imput[[Importe Neto]:[Importe Neto]],Imput[[C. Imp.]:[C. Imp.]],$D1044,Imput[[PERIODO Imp.]:[PERIODO Imp.]],CP$9)</f>
        <v>0</v>
      </c>
      <c r="CQ1044" s="693">
        <f>SUMIFS(Imput[[Importe Neto]:[Importe Neto]],Imput[[C. Imp.]:[C. Imp.]],$D1044,Imput[[PERIODO Imp.]:[PERIODO Imp.]],CQ$9)</f>
        <v>0</v>
      </c>
      <c r="CR1044" s="693">
        <f>SUMIFS(Imput[[Importe Neto]:[Importe Neto]],Imput[[C. Imp.]:[C. Imp.]],$D1044,Imput[[PERIODO Imp.]:[PERIODO Imp.]],CR$9)</f>
        <v>0</v>
      </c>
      <c r="CS1044" s="693">
        <f>SUMIFS(Imput[[Importe Neto]:[Importe Neto]],Imput[[C. Imp.]:[C. Imp.]],$D1044,Imput[[PERIODO Imp.]:[PERIODO Imp.]],CS$9)</f>
        <v>0</v>
      </c>
      <c r="CT1044" s="693">
        <f>SUMIFS(Imput[[Importe Neto]:[Importe Neto]],Imput[[C. Imp.]:[C. Imp.]],$D1044,Imput[[PERIODO Imp.]:[PERIODO Imp.]],CT$9)</f>
        <v>0</v>
      </c>
      <c r="CU1044" s="693">
        <f>SUMIFS(Imput[[Importe Neto]:[Importe Neto]],Imput[[C. Imp.]:[C. Imp.]],$D1044,Imput[[PERIODO Imp.]:[PERIODO Imp.]],CU$9)</f>
        <v>0</v>
      </c>
      <c r="CV1044" s="693">
        <f>SUMIFS(Imput[[Importe Neto]:[Importe Neto]],Imput[[C. Imp.]:[C. Imp.]],$D1044,Imput[[PERIODO Imp.]:[PERIODO Imp.]],CV$9)</f>
        <v>0</v>
      </c>
      <c r="CW1044" s="693">
        <f>SUMIFS(Imput[[Importe Neto]:[Importe Neto]],Imput[[C. Imp.]:[C. Imp.]],$D1044,Imput[[PERIODO Imp.]:[PERIODO Imp.]],CW$9)</f>
        <v>0</v>
      </c>
      <c r="CX1044" s="693">
        <f>SUMIFS(Imput[[Importe Neto]:[Importe Neto]],Imput[[C. Imp.]:[C. Imp.]],$D1044,Imput[[PERIODO Imp.]:[PERIODO Imp.]],CX$9)</f>
        <v>0</v>
      </c>
      <c r="CY1044" s="693">
        <f>SUMIFS(Imput[[Importe Neto]:[Importe Neto]],Imput[[C. Imp.]:[C. Imp.]],$D1044,Imput[[PERIODO Imp.]:[PERIODO Imp.]],CY$9)</f>
        <v>0</v>
      </c>
      <c r="CZ1044" s="693">
        <f>SUMIFS(Imput[[Importe Neto]:[Importe Neto]],Imput[[C. Imp.]:[C. Imp.]],$D1044,Imput[[PERIODO Imp.]:[PERIODO Imp.]],CZ$9)</f>
        <v>0</v>
      </c>
      <c r="DA1044" s="693">
        <f>SUMIFS(Imput[[Importe Neto]:[Importe Neto]],Imput[[C. Imp.]:[C. Imp.]],$D1044,Imput[[PERIODO Imp.]:[PERIODO Imp.]],DA$9)</f>
        <v>0</v>
      </c>
      <c r="DB1044" s="693">
        <f>SUMIFS(Imput[[Importe Neto]:[Importe Neto]],Imput[[C. Imp.]:[C. Imp.]],$D1044,Imput[[PERIODO Imp.]:[PERIODO Imp.]],DB$9)</f>
        <v>0</v>
      </c>
      <c r="DC1044" s="693">
        <f>SUMIFS(Imput[[Importe Neto]:[Importe Neto]],Imput[[C. Imp.]:[C. Imp.]],$D1044,Imput[[PERIODO Imp.]:[PERIODO Imp.]],DC$9)</f>
        <v>0</v>
      </c>
      <c r="DD1044" s="693">
        <f>SUMIFS(Imput[[Importe Neto]:[Importe Neto]],Imput[[C. Imp.]:[C. Imp.]],$D1044,Imput[[PERIODO Imp.]:[PERIODO Imp.]],DD$9)</f>
        <v>0</v>
      </c>
      <c r="DE1044" s="693">
        <f>SUMIFS(Imput[[Importe Neto]:[Importe Neto]],Imput[[C. Imp.]:[C. Imp.]],$D1044,Imput[[PERIODO Imp.]:[PERIODO Imp.]],DE$9)</f>
        <v>0</v>
      </c>
      <c r="DF1044" s="693">
        <f>SUMIFS(Imput[[Importe Neto]:[Importe Neto]],Imput[[C. Imp.]:[C. Imp.]],$D1044,Imput[[PERIODO Imp.]:[PERIODO Imp.]],DF$9)</f>
        <v>0</v>
      </c>
      <c r="DG1044" s="693">
        <f>SUMIFS(Imput[[Importe Neto]:[Importe Neto]],Imput[[C. Imp.]:[C. Imp.]],$D1044,Imput[[PERIODO Imp.]:[PERIODO Imp.]],DG$9)</f>
        <v>0</v>
      </c>
      <c r="DH1044" s="694">
        <f>SUMIFS(Imput[[Importe Neto]:[Importe Neto]],Imput[[C. Imp.]:[C. Imp.]],$D1044,Imput[[PERIODO Imp.]:[PERIODO Imp.]],DH$9)</f>
        <v>0</v>
      </c>
    </row>
    <row r="1045" spans="1:112" s="649" customFormat="1" hidden="1" outlineLevel="1" x14ac:dyDescent="0.3">
      <c r="A1045" s="652" t="str">
        <f t="shared" si="354"/>
        <v/>
      </c>
      <c r="B1045" s="652"/>
      <c r="C1045" s="685"/>
      <c r="D1045" s="686"/>
      <c r="E1045" s="686"/>
      <c r="F1045" s="720"/>
      <c r="G1045" s="688"/>
      <c r="H1045" s="689"/>
      <c r="I1045" s="851" t="str">
        <f t="shared" si="355"/>
        <v/>
      </c>
      <c r="J1045" s="850" t="str">
        <f t="shared" si="356"/>
        <v/>
      </c>
      <c r="K1045" s="667"/>
      <c r="L1045" s="858"/>
      <c r="M1045" s="859"/>
      <c r="N1045" s="859"/>
      <c r="O1045" s="859"/>
      <c r="P1045" s="859"/>
      <c r="Q1045" s="859"/>
      <c r="R1045" s="859"/>
      <c r="S1045" s="859"/>
      <c r="T1045" s="859"/>
      <c r="U1045" s="859"/>
      <c r="V1045" s="859"/>
      <c r="W1045" s="859"/>
      <c r="X1045" s="859"/>
      <c r="Y1045" s="859"/>
      <c r="Z1045" s="860"/>
      <c r="AA1045" s="860"/>
      <c r="AB1045" s="860"/>
      <c r="AC1045" s="860"/>
      <c r="AD1045" s="860"/>
      <c r="AE1045" s="860"/>
      <c r="AF1045" s="860"/>
      <c r="AG1045" s="860"/>
      <c r="AH1045" s="860"/>
      <c r="AI1045" s="860"/>
      <c r="AJ1045" s="860"/>
      <c r="AK1045" s="860"/>
      <c r="AL1045" s="860"/>
      <c r="AM1045" s="860"/>
      <c r="AN1045" s="860"/>
      <c r="AO1045" s="860"/>
      <c r="AP1045" s="860"/>
      <c r="AQ1045" s="860"/>
      <c r="AR1045" s="860"/>
      <c r="AS1045" s="860"/>
      <c r="AT1045" s="860"/>
      <c r="AU1045" s="860"/>
      <c r="AV1045" s="860"/>
      <c r="AW1045" s="860"/>
      <c r="AX1045" s="860"/>
      <c r="AY1045" s="860"/>
      <c r="AZ1045" s="860"/>
      <c r="BA1045" s="860"/>
      <c r="BB1045" s="860"/>
      <c r="BC1045" s="860"/>
      <c r="BD1045" s="860"/>
      <c r="BE1045" s="860"/>
      <c r="BF1045" s="860"/>
      <c r="BG1045" s="860"/>
      <c r="BH1045" s="668"/>
      <c r="BI1045" s="667"/>
      <c r="BJ1045" s="690">
        <f t="shared" si="357"/>
        <v>0</v>
      </c>
      <c r="BK1045" s="691">
        <f t="shared" si="358"/>
        <v>0</v>
      </c>
      <c r="BL1045" s="654"/>
      <c r="BM1045" s="692">
        <f>SUMIFS(Imput[[Importe Neto]:[Importe Neto]],Imput[[C. Imp.]:[C. Imp.]],$D1045,Imput[[PERIODO Imp.]:[PERIODO Imp.]],BM$9)</f>
        <v>0</v>
      </c>
      <c r="BN1045" s="693">
        <f>SUMIFS(Imput[[Importe Neto]:[Importe Neto]],Imput[[C. Imp.]:[C. Imp.]],$D1045,Imput[[PERIODO Imp.]:[PERIODO Imp.]],BN$9)</f>
        <v>0</v>
      </c>
      <c r="BO1045" s="693">
        <f>SUMIFS(Imput[[Importe Neto]:[Importe Neto]],Imput[[C. Imp.]:[C. Imp.]],$D1045,Imput[[PERIODO Imp.]:[PERIODO Imp.]],BO$9)</f>
        <v>0</v>
      </c>
      <c r="BP1045" s="693">
        <f>SUMIFS(Imput[[Importe Neto]:[Importe Neto]],Imput[[C. Imp.]:[C. Imp.]],$D1045,Imput[[PERIODO Imp.]:[PERIODO Imp.]],BP$9)</f>
        <v>0</v>
      </c>
      <c r="BQ1045" s="693">
        <f>SUMIFS(Imput[[Importe Neto]:[Importe Neto]],Imput[[C. Imp.]:[C. Imp.]],$D1045,Imput[[PERIODO Imp.]:[PERIODO Imp.]],BQ$9)</f>
        <v>0</v>
      </c>
      <c r="BR1045" s="693">
        <f>SUMIFS(Imput[[Importe Neto]:[Importe Neto]],Imput[[C. Imp.]:[C. Imp.]],$D1045,Imput[[PERIODO Imp.]:[PERIODO Imp.]],BR$9)</f>
        <v>0</v>
      </c>
      <c r="BS1045" s="693">
        <f>SUMIFS(Imput[[Importe Neto]:[Importe Neto]],Imput[[C. Imp.]:[C. Imp.]],$D1045,Imput[[PERIODO Imp.]:[PERIODO Imp.]],BS$9)</f>
        <v>0</v>
      </c>
      <c r="BT1045" s="693">
        <f>SUMIFS(Imput[[Importe Neto]:[Importe Neto]],Imput[[C. Imp.]:[C. Imp.]],$D1045,Imput[[PERIODO Imp.]:[PERIODO Imp.]],BT$9)</f>
        <v>0</v>
      </c>
      <c r="BU1045" s="693">
        <f>SUMIFS(Imput[[Importe Neto]:[Importe Neto]],Imput[[C. Imp.]:[C. Imp.]],$D1045,Imput[[PERIODO Imp.]:[PERIODO Imp.]],BU$9)</f>
        <v>0</v>
      </c>
      <c r="BV1045" s="693">
        <f>SUMIFS(Imput[[Importe Neto]:[Importe Neto]],Imput[[C. Imp.]:[C. Imp.]],$D1045,Imput[[PERIODO Imp.]:[PERIODO Imp.]],BV$9)</f>
        <v>0</v>
      </c>
      <c r="BW1045" s="693">
        <f>SUMIFS(Imput[[Importe Neto]:[Importe Neto]],Imput[[C. Imp.]:[C. Imp.]],$D1045,Imput[[PERIODO Imp.]:[PERIODO Imp.]],BW$9)</f>
        <v>0</v>
      </c>
      <c r="BX1045" s="693">
        <f>SUMIFS(Imput[[Importe Neto]:[Importe Neto]],Imput[[C. Imp.]:[C. Imp.]],$D1045,Imput[[PERIODO Imp.]:[PERIODO Imp.]],BX$9)</f>
        <v>0</v>
      </c>
      <c r="BY1045" s="693">
        <f>SUMIFS(Imput[[Importe Neto]:[Importe Neto]],Imput[[C. Imp.]:[C. Imp.]],$D1045,Imput[[PERIODO Imp.]:[PERIODO Imp.]],BY$9)</f>
        <v>0</v>
      </c>
      <c r="BZ1045" s="693">
        <f>SUMIFS(Imput[[Importe Neto]:[Importe Neto]],Imput[[C. Imp.]:[C. Imp.]],$D1045,Imput[[PERIODO Imp.]:[PERIODO Imp.]],BZ$9)</f>
        <v>0</v>
      </c>
      <c r="CA1045" s="693">
        <f>SUMIFS(Imput[[Importe Neto]:[Importe Neto]],Imput[[C. Imp.]:[C. Imp.]],$D1045,Imput[[PERIODO Imp.]:[PERIODO Imp.]],CA$9)</f>
        <v>0</v>
      </c>
      <c r="CB1045" s="693">
        <f>SUMIFS(Imput[[Importe Neto]:[Importe Neto]],Imput[[C. Imp.]:[C. Imp.]],$D1045,Imput[[PERIODO Imp.]:[PERIODO Imp.]],CB$9)</f>
        <v>0</v>
      </c>
      <c r="CC1045" s="693">
        <f>SUMIFS(Imput[[Importe Neto]:[Importe Neto]],Imput[[C. Imp.]:[C. Imp.]],$D1045,Imput[[PERIODO Imp.]:[PERIODO Imp.]],CC$9)</f>
        <v>0</v>
      </c>
      <c r="CD1045" s="693">
        <f>SUMIFS(Imput[[Importe Neto]:[Importe Neto]],Imput[[C. Imp.]:[C. Imp.]],$D1045,Imput[[PERIODO Imp.]:[PERIODO Imp.]],CD$9)</f>
        <v>0</v>
      </c>
      <c r="CE1045" s="693">
        <f>SUMIFS(Imput[[Importe Neto]:[Importe Neto]],Imput[[C. Imp.]:[C. Imp.]],$D1045,Imput[[PERIODO Imp.]:[PERIODO Imp.]],CE$9)</f>
        <v>0</v>
      </c>
      <c r="CF1045" s="693">
        <f>SUMIFS(Imput[[Importe Neto]:[Importe Neto]],Imput[[C. Imp.]:[C. Imp.]],$D1045,Imput[[PERIODO Imp.]:[PERIODO Imp.]],CF$9)</f>
        <v>0</v>
      </c>
      <c r="CG1045" s="693">
        <f>SUMIFS(Imput[[Importe Neto]:[Importe Neto]],Imput[[C. Imp.]:[C. Imp.]],$D1045,Imput[[PERIODO Imp.]:[PERIODO Imp.]],CG$9)</f>
        <v>0</v>
      </c>
      <c r="CH1045" s="693">
        <f>SUMIFS(Imput[[Importe Neto]:[Importe Neto]],Imput[[C. Imp.]:[C. Imp.]],$D1045,Imput[[PERIODO Imp.]:[PERIODO Imp.]],CH$9)</f>
        <v>0</v>
      </c>
      <c r="CI1045" s="693">
        <f>SUMIFS(Imput[[Importe Neto]:[Importe Neto]],Imput[[C. Imp.]:[C. Imp.]],$D1045,Imput[[PERIODO Imp.]:[PERIODO Imp.]],CI$9)</f>
        <v>0</v>
      </c>
      <c r="CJ1045" s="693">
        <f>SUMIFS(Imput[[Importe Neto]:[Importe Neto]],Imput[[C. Imp.]:[C. Imp.]],$D1045,Imput[[PERIODO Imp.]:[PERIODO Imp.]],CJ$9)</f>
        <v>0</v>
      </c>
      <c r="CK1045" s="693">
        <f>SUMIFS(Imput[[Importe Neto]:[Importe Neto]],Imput[[C. Imp.]:[C. Imp.]],$D1045,Imput[[PERIODO Imp.]:[PERIODO Imp.]],CK$9)</f>
        <v>0</v>
      </c>
      <c r="CL1045" s="693">
        <f>SUMIFS(Imput[[Importe Neto]:[Importe Neto]],Imput[[C. Imp.]:[C. Imp.]],$D1045,Imput[[PERIODO Imp.]:[PERIODO Imp.]],CL$9)</f>
        <v>0</v>
      </c>
      <c r="CM1045" s="693">
        <f>SUMIFS(Imput[[Importe Neto]:[Importe Neto]],Imput[[C. Imp.]:[C. Imp.]],$D1045,Imput[[PERIODO Imp.]:[PERIODO Imp.]],CM$9)</f>
        <v>0</v>
      </c>
      <c r="CN1045" s="693">
        <f>SUMIFS(Imput[[Importe Neto]:[Importe Neto]],Imput[[C. Imp.]:[C. Imp.]],$D1045,Imput[[PERIODO Imp.]:[PERIODO Imp.]],CN$9)</f>
        <v>0</v>
      </c>
      <c r="CO1045" s="693">
        <f>SUMIFS(Imput[[Importe Neto]:[Importe Neto]],Imput[[C. Imp.]:[C. Imp.]],$D1045,Imput[[PERIODO Imp.]:[PERIODO Imp.]],CO$9)</f>
        <v>0</v>
      </c>
      <c r="CP1045" s="693">
        <f>SUMIFS(Imput[[Importe Neto]:[Importe Neto]],Imput[[C. Imp.]:[C. Imp.]],$D1045,Imput[[PERIODO Imp.]:[PERIODO Imp.]],CP$9)</f>
        <v>0</v>
      </c>
      <c r="CQ1045" s="693">
        <f>SUMIFS(Imput[[Importe Neto]:[Importe Neto]],Imput[[C. Imp.]:[C. Imp.]],$D1045,Imput[[PERIODO Imp.]:[PERIODO Imp.]],CQ$9)</f>
        <v>0</v>
      </c>
      <c r="CR1045" s="693">
        <f>SUMIFS(Imput[[Importe Neto]:[Importe Neto]],Imput[[C. Imp.]:[C. Imp.]],$D1045,Imput[[PERIODO Imp.]:[PERIODO Imp.]],CR$9)</f>
        <v>0</v>
      </c>
      <c r="CS1045" s="693">
        <f>SUMIFS(Imput[[Importe Neto]:[Importe Neto]],Imput[[C. Imp.]:[C. Imp.]],$D1045,Imput[[PERIODO Imp.]:[PERIODO Imp.]],CS$9)</f>
        <v>0</v>
      </c>
      <c r="CT1045" s="693">
        <f>SUMIFS(Imput[[Importe Neto]:[Importe Neto]],Imput[[C. Imp.]:[C. Imp.]],$D1045,Imput[[PERIODO Imp.]:[PERIODO Imp.]],CT$9)</f>
        <v>0</v>
      </c>
      <c r="CU1045" s="693">
        <f>SUMIFS(Imput[[Importe Neto]:[Importe Neto]],Imput[[C. Imp.]:[C. Imp.]],$D1045,Imput[[PERIODO Imp.]:[PERIODO Imp.]],CU$9)</f>
        <v>0</v>
      </c>
      <c r="CV1045" s="693">
        <f>SUMIFS(Imput[[Importe Neto]:[Importe Neto]],Imput[[C. Imp.]:[C. Imp.]],$D1045,Imput[[PERIODO Imp.]:[PERIODO Imp.]],CV$9)</f>
        <v>0</v>
      </c>
      <c r="CW1045" s="693">
        <f>SUMIFS(Imput[[Importe Neto]:[Importe Neto]],Imput[[C. Imp.]:[C. Imp.]],$D1045,Imput[[PERIODO Imp.]:[PERIODO Imp.]],CW$9)</f>
        <v>0</v>
      </c>
      <c r="CX1045" s="693">
        <f>SUMIFS(Imput[[Importe Neto]:[Importe Neto]],Imput[[C. Imp.]:[C. Imp.]],$D1045,Imput[[PERIODO Imp.]:[PERIODO Imp.]],CX$9)</f>
        <v>0</v>
      </c>
      <c r="CY1045" s="693">
        <f>SUMIFS(Imput[[Importe Neto]:[Importe Neto]],Imput[[C. Imp.]:[C. Imp.]],$D1045,Imput[[PERIODO Imp.]:[PERIODO Imp.]],CY$9)</f>
        <v>0</v>
      </c>
      <c r="CZ1045" s="693">
        <f>SUMIFS(Imput[[Importe Neto]:[Importe Neto]],Imput[[C. Imp.]:[C. Imp.]],$D1045,Imput[[PERIODO Imp.]:[PERIODO Imp.]],CZ$9)</f>
        <v>0</v>
      </c>
      <c r="DA1045" s="693">
        <f>SUMIFS(Imput[[Importe Neto]:[Importe Neto]],Imput[[C. Imp.]:[C. Imp.]],$D1045,Imput[[PERIODO Imp.]:[PERIODO Imp.]],DA$9)</f>
        <v>0</v>
      </c>
      <c r="DB1045" s="693">
        <f>SUMIFS(Imput[[Importe Neto]:[Importe Neto]],Imput[[C. Imp.]:[C. Imp.]],$D1045,Imput[[PERIODO Imp.]:[PERIODO Imp.]],DB$9)</f>
        <v>0</v>
      </c>
      <c r="DC1045" s="693">
        <f>SUMIFS(Imput[[Importe Neto]:[Importe Neto]],Imput[[C. Imp.]:[C. Imp.]],$D1045,Imput[[PERIODO Imp.]:[PERIODO Imp.]],DC$9)</f>
        <v>0</v>
      </c>
      <c r="DD1045" s="693">
        <f>SUMIFS(Imput[[Importe Neto]:[Importe Neto]],Imput[[C. Imp.]:[C. Imp.]],$D1045,Imput[[PERIODO Imp.]:[PERIODO Imp.]],DD$9)</f>
        <v>0</v>
      </c>
      <c r="DE1045" s="693">
        <f>SUMIFS(Imput[[Importe Neto]:[Importe Neto]],Imput[[C. Imp.]:[C. Imp.]],$D1045,Imput[[PERIODO Imp.]:[PERIODO Imp.]],DE$9)</f>
        <v>0</v>
      </c>
      <c r="DF1045" s="693">
        <f>SUMIFS(Imput[[Importe Neto]:[Importe Neto]],Imput[[C. Imp.]:[C. Imp.]],$D1045,Imput[[PERIODO Imp.]:[PERIODO Imp.]],DF$9)</f>
        <v>0</v>
      </c>
      <c r="DG1045" s="693">
        <f>SUMIFS(Imput[[Importe Neto]:[Importe Neto]],Imput[[C. Imp.]:[C. Imp.]],$D1045,Imput[[PERIODO Imp.]:[PERIODO Imp.]],DG$9)</f>
        <v>0</v>
      </c>
      <c r="DH1045" s="694">
        <f>SUMIFS(Imput[[Importe Neto]:[Importe Neto]],Imput[[C. Imp.]:[C. Imp.]],$D1045,Imput[[PERIODO Imp.]:[PERIODO Imp.]],DH$9)</f>
        <v>0</v>
      </c>
    </row>
    <row r="1046" spans="1:112" s="649" customFormat="1" hidden="1" outlineLevel="1" x14ac:dyDescent="0.3">
      <c r="A1046" s="652" t="str">
        <f t="shared" si="354"/>
        <v/>
      </c>
      <c r="B1046" s="652"/>
      <c r="C1046" s="685"/>
      <c r="D1046" s="686"/>
      <c r="E1046" s="686"/>
      <c r="F1046" s="720"/>
      <c r="G1046" s="688"/>
      <c r="H1046" s="689"/>
      <c r="I1046" s="851" t="str">
        <f t="shared" si="355"/>
        <v/>
      </c>
      <c r="J1046" s="850" t="str">
        <f t="shared" si="356"/>
        <v/>
      </c>
      <c r="K1046" s="667"/>
      <c r="L1046" s="858"/>
      <c r="M1046" s="859"/>
      <c r="N1046" s="859"/>
      <c r="O1046" s="859"/>
      <c r="P1046" s="859"/>
      <c r="Q1046" s="859"/>
      <c r="R1046" s="859"/>
      <c r="S1046" s="859"/>
      <c r="T1046" s="859"/>
      <c r="U1046" s="859"/>
      <c r="V1046" s="859"/>
      <c r="W1046" s="859"/>
      <c r="X1046" s="859"/>
      <c r="Y1046" s="859"/>
      <c r="Z1046" s="860"/>
      <c r="AA1046" s="860"/>
      <c r="AB1046" s="860"/>
      <c r="AC1046" s="860"/>
      <c r="AD1046" s="860"/>
      <c r="AE1046" s="860"/>
      <c r="AF1046" s="860"/>
      <c r="AG1046" s="860"/>
      <c r="AH1046" s="860"/>
      <c r="AI1046" s="860"/>
      <c r="AJ1046" s="860"/>
      <c r="AK1046" s="860"/>
      <c r="AL1046" s="860"/>
      <c r="AM1046" s="860"/>
      <c r="AN1046" s="860"/>
      <c r="AO1046" s="860"/>
      <c r="AP1046" s="860"/>
      <c r="AQ1046" s="860"/>
      <c r="AR1046" s="860"/>
      <c r="AS1046" s="860"/>
      <c r="AT1046" s="860"/>
      <c r="AU1046" s="860"/>
      <c r="AV1046" s="860"/>
      <c r="AW1046" s="860"/>
      <c r="AX1046" s="860"/>
      <c r="AY1046" s="860"/>
      <c r="AZ1046" s="860"/>
      <c r="BA1046" s="860"/>
      <c r="BB1046" s="860"/>
      <c r="BC1046" s="860"/>
      <c r="BD1046" s="860"/>
      <c r="BE1046" s="860"/>
      <c r="BF1046" s="860"/>
      <c r="BG1046" s="860"/>
      <c r="BH1046" s="668"/>
      <c r="BI1046" s="667"/>
      <c r="BJ1046" s="690">
        <f t="shared" si="357"/>
        <v>0</v>
      </c>
      <c r="BK1046" s="691">
        <f t="shared" si="358"/>
        <v>0</v>
      </c>
      <c r="BL1046" s="654"/>
      <c r="BM1046" s="692">
        <f>SUMIFS(Imput[[Importe Neto]:[Importe Neto]],Imput[[C. Imp.]:[C. Imp.]],$D1046,Imput[[PERIODO Imp.]:[PERIODO Imp.]],BM$9)</f>
        <v>0</v>
      </c>
      <c r="BN1046" s="693">
        <f>SUMIFS(Imput[[Importe Neto]:[Importe Neto]],Imput[[C. Imp.]:[C. Imp.]],$D1046,Imput[[PERIODO Imp.]:[PERIODO Imp.]],BN$9)</f>
        <v>0</v>
      </c>
      <c r="BO1046" s="693">
        <f>SUMIFS(Imput[[Importe Neto]:[Importe Neto]],Imput[[C. Imp.]:[C. Imp.]],$D1046,Imput[[PERIODO Imp.]:[PERIODO Imp.]],BO$9)</f>
        <v>0</v>
      </c>
      <c r="BP1046" s="693">
        <f>SUMIFS(Imput[[Importe Neto]:[Importe Neto]],Imput[[C. Imp.]:[C. Imp.]],$D1046,Imput[[PERIODO Imp.]:[PERIODO Imp.]],BP$9)</f>
        <v>0</v>
      </c>
      <c r="BQ1046" s="693">
        <f>SUMIFS(Imput[[Importe Neto]:[Importe Neto]],Imput[[C. Imp.]:[C. Imp.]],$D1046,Imput[[PERIODO Imp.]:[PERIODO Imp.]],BQ$9)</f>
        <v>0</v>
      </c>
      <c r="BR1046" s="693">
        <f>SUMIFS(Imput[[Importe Neto]:[Importe Neto]],Imput[[C. Imp.]:[C. Imp.]],$D1046,Imput[[PERIODO Imp.]:[PERIODO Imp.]],BR$9)</f>
        <v>0</v>
      </c>
      <c r="BS1046" s="693">
        <f>SUMIFS(Imput[[Importe Neto]:[Importe Neto]],Imput[[C. Imp.]:[C. Imp.]],$D1046,Imput[[PERIODO Imp.]:[PERIODO Imp.]],BS$9)</f>
        <v>0</v>
      </c>
      <c r="BT1046" s="693">
        <f>SUMIFS(Imput[[Importe Neto]:[Importe Neto]],Imput[[C. Imp.]:[C. Imp.]],$D1046,Imput[[PERIODO Imp.]:[PERIODO Imp.]],BT$9)</f>
        <v>0</v>
      </c>
      <c r="BU1046" s="693">
        <f>SUMIFS(Imput[[Importe Neto]:[Importe Neto]],Imput[[C. Imp.]:[C. Imp.]],$D1046,Imput[[PERIODO Imp.]:[PERIODO Imp.]],BU$9)</f>
        <v>0</v>
      </c>
      <c r="BV1046" s="693">
        <f>SUMIFS(Imput[[Importe Neto]:[Importe Neto]],Imput[[C. Imp.]:[C. Imp.]],$D1046,Imput[[PERIODO Imp.]:[PERIODO Imp.]],BV$9)</f>
        <v>0</v>
      </c>
      <c r="BW1046" s="693">
        <f>SUMIFS(Imput[[Importe Neto]:[Importe Neto]],Imput[[C. Imp.]:[C. Imp.]],$D1046,Imput[[PERIODO Imp.]:[PERIODO Imp.]],BW$9)</f>
        <v>0</v>
      </c>
      <c r="BX1046" s="693">
        <f>SUMIFS(Imput[[Importe Neto]:[Importe Neto]],Imput[[C. Imp.]:[C. Imp.]],$D1046,Imput[[PERIODO Imp.]:[PERIODO Imp.]],BX$9)</f>
        <v>0</v>
      </c>
      <c r="BY1046" s="693">
        <f>SUMIFS(Imput[[Importe Neto]:[Importe Neto]],Imput[[C. Imp.]:[C. Imp.]],$D1046,Imput[[PERIODO Imp.]:[PERIODO Imp.]],BY$9)</f>
        <v>0</v>
      </c>
      <c r="BZ1046" s="693">
        <f>SUMIFS(Imput[[Importe Neto]:[Importe Neto]],Imput[[C. Imp.]:[C. Imp.]],$D1046,Imput[[PERIODO Imp.]:[PERIODO Imp.]],BZ$9)</f>
        <v>0</v>
      </c>
      <c r="CA1046" s="693">
        <f>SUMIFS(Imput[[Importe Neto]:[Importe Neto]],Imput[[C. Imp.]:[C. Imp.]],$D1046,Imput[[PERIODO Imp.]:[PERIODO Imp.]],CA$9)</f>
        <v>0</v>
      </c>
      <c r="CB1046" s="693">
        <f>SUMIFS(Imput[[Importe Neto]:[Importe Neto]],Imput[[C. Imp.]:[C. Imp.]],$D1046,Imput[[PERIODO Imp.]:[PERIODO Imp.]],CB$9)</f>
        <v>0</v>
      </c>
      <c r="CC1046" s="693">
        <f>SUMIFS(Imput[[Importe Neto]:[Importe Neto]],Imput[[C. Imp.]:[C. Imp.]],$D1046,Imput[[PERIODO Imp.]:[PERIODO Imp.]],CC$9)</f>
        <v>0</v>
      </c>
      <c r="CD1046" s="693">
        <f>SUMIFS(Imput[[Importe Neto]:[Importe Neto]],Imput[[C. Imp.]:[C. Imp.]],$D1046,Imput[[PERIODO Imp.]:[PERIODO Imp.]],CD$9)</f>
        <v>0</v>
      </c>
      <c r="CE1046" s="693">
        <f>SUMIFS(Imput[[Importe Neto]:[Importe Neto]],Imput[[C. Imp.]:[C. Imp.]],$D1046,Imput[[PERIODO Imp.]:[PERIODO Imp.]],CE$9)</f>
        <v>0</v>
      </c>
      <c r="CF1046" s="693">
        <f>SUMIFS(Imput[[Importe Neto]:[Importe Neto]],Imput[[C. Imp.]:[C. Imp.]],$D1046,Imput[[PERIODO Imp.]:[PERIODO Imp.]],CF$9)</f>
        <v>0</v>
      </c>
      <c r="CG1046" s="693">
        <f>SUMIFS(Imput[[Importe Neto]:[Importe Neto]],Imput[[C. Imp.]:[C. Imp.]],$D1046,Imput[[PERIODO Imp.]:[PERIODO Imp.]],CG$9)</f>
        <v>0</v>
      </c>
      <c r="CH1046" s="693">
        <f>SUMIFS(Imput[[Importe Neto]:[Importe Neto]],Imput[[C. Imp.]:[C. Imp.]],$D1046,Imput[[PERIODO Imp.]:[PERIODO Imp.]],CH$9)</f>
        <v>0</v>
      </c>
      <c r="CI1046" s="693">
        <f>SUMIFS(Imput[[Importe Neto]:[Importe Neto]],Imput[[C. Imp.]:[C. Imp.]],$D1046,Imput[[PERIODO Imp.]:[PERIODO Imp.]],CI$9)</f>
        <v>0</v>
      </c>
      <c r="CJ1046" s="693">
        <f>SUMIFS(Imput[[Importe Neto]:[Importe Neto]],Imput[[C. Imp.]:[C. Imp.]],$D1046,Imput[[PERIODO Imp.]:[PERIODO Imp.]],CJ$9)</f>
        <v>0</v>
      </c>
      <c r="CK1046" s="693">
        <f>SUMIFS(Imput[[Importe Neto]:[Importe Neto]],Imput[[C. Imp.]:[C. Imp.]],$D1046,Imput[[PERIODO Imp.]:[PERIODO Imp.]],CK$9)</f>
        <v>0</v>
      </c>
      <c r="CL1046" s="693">
        <f>SUMIFS(Imput[[Importe Neto]:[Importe Neto]],Imput[[C. Imp.]:[C. Imp.]],$D1046,Imput[[PERIODO Imp.]:[PERIODO Imp.]],CL$9)</f>
        <v>0</v>
      </c>
      <c r="CM1046" s="693">
        <f>SUMIFS(Imput[[Importe Neto]:[Importe Neto]],Imput[[C. Imp.]:[C. Imp.]],$D1046,Imput[[PERIODO Imp.]:[PERIODO Imp.]],CM$9)</f>
        <v>0</v>
      </c>
      <c r="CN1046" s="693">
        <f>SUMIFS(Imput[[Importe Neto]:[Importe Neto]],Imput[[C. Imp.]:[C. Imp.]],$D1046,Imput[[PERIODO Imp.]:[PERIODO Imp.]],CN$9)</f>
        <v>0</v>
      </c>
      <c r="CO1046" s="693">
        <f>SUMIFS(Imput[[Importe Neto]:[Importe Neto]],Imput[[C. Imp.]:[C. Imp.]],$D1046,Imput[[PERIODO Imp.]:[PERIODO Imp.]],CO$9)</f>
        <v>0</v>
      </c>
      <c r="CP1046" s="693">
        <f>SUMIFS(Imput[[Importe Neto]:[Importe Neto]],Imput[[C. Imp.]:[C. Imp.]],$D1046,Imput[[PERIODO Imp.]:[PERIODO Imp.]],CP$9)</f>
        <v>0</v>
      </c>
      <c r="CQ1046" s="693">
        <f>SUMIFS(Imput[[Importe Neto]:[Importe Neto]],Imput[[C. Imp.]:[C. Imp.]],$D1046,Imput[[PERIODO Imp.]:[PERIODO Imp.]],CQ$9)</f>
        <v>0</v>
      </c>
      <c r="CR1046" s="693">
        <f>SUMIFS(Imput[[Importe Neto]:[Importe Neto]],Imput[[C. Imp.]:[C. Imp.]],$D1046,Imput[[PERIODO Imp.]:[PERIODO Imp.]],CR$9)</f>
        <v>0</v>
      </c>
      <c r="CS1046" s="693">
        <f>SUMIFS(Imput[[Importe Neto]:[Importe Neto]],Imput[[C. Imp.]:[C. Imp.]],$D1046,Imput[[PERIODO Imp.]:[PERIODO Imp.]],CS$9)</f>
        <v>0</v>
      </c>
      <c r="CT1046" s="693">
        <f>SUMIFS(Imput[[Importe Neto]:[Importe Neto]],Imput[[C. Imp.]:[C. Imp.]],$D1046,Imput[[PERIODO Imp.]:[PERIODO Imp.]],CT$9)</f>
        <v>0</v>
      </c>
      <c r="CU1046" s="693">
        <f>SUMIFS(Imput[[Importe Neto]:[Importe Neto]],Imput[[C. Imp.]:[C. Imp.]],$D1046,Imput[[PERIODO Imp.]:[PERIODO Imp.]],CU$9)</f>
        <v>0</v>
      </c>
      <c r="CV1046" s="693">
        <f>SUMIFS(Imput[[Importe Neto]:[Importe Neto]],Imput[[C. Imp.]:[C. Imp.]],$D1046,Imput[[PERIODO Imp.]:[PERIODO Imp.]],CV$9)</f>
        <v>0</v>
      </c>
      <c r="CW1046" s="693">
        <f>SUMIFS(Imput[[Importe Neto]:[Importe Neto]],Imput[[C. Imp.]:[C. Imp.]],$D1046,Imput[[PERIODO Imp.]:[PERIODO Imp.]],CW$9)</f>
        <v>0</v>
      </c>
      <c r="CX1046" s="693">
        <f>SUMIFS(Imput[[Importe Neto]:[Importe Neto]],Imput[[C. Imp.]:[C. Imp.]],$D1046,Imput[[PERIODO Imp.]:[PERIODO Imp.]],CX$9)</f>
        <v>0</v>
      </c>
      <c r="CY1046" s="693">
        <f>SUMIFS(Imput[[Importe Neto]:[Importe Neto]],Imput[[C. Imp.]:[C. Imp.]],$D1046,Imput[[PERIODO Imp.]:[PERIODO Imp.]],CY$9)</f>
        <v>0</v>
      </c>
      <c r="CZ1046" s="693">
        <f>SUMIFS(Imput[[Importe Neto]:[Importe Neto]],Imput[[C. Imp.]:[C. Imp.]],$D1046,Imput[[PERIODO Imp.]:[PERIODO Imp.]],CZ$9)</f>
        <v>0</v>
      </c>
      <c r="DA1046" s="693">
        <f>SUMIFS(Imput[[Importe Neto]:[Importe Neto]],Imput[[C. Imp.]:[C. Imp.]],$D1046,Imput[[PERIODO Imp.]:[PERIODO Imp.]],DA$9)</f>
        <v>0</v>
      </c>
      <c r="DB1046" s="693">
        <f>SUMIFS(Imput[[Importe Neto]:[Importe Neto]],Imput[[C. Imp.]:[C. Imp.]],$D1046,Imput[[PERIODO Imp.]:[PERIODO Imp.]],DB$9)</f>
        <v>0</v>
      </c>
      <c r="DC1046" s="693">
        <f>SUMIFS(Imput[[Importe Neto]:[Importe Neto]],Imput[[C. Imp.]:[C. Imp.]],$D1046,Imput[[PERIODO Imp.]:[PERIODO Imp.]],DC$9)</f>
        <v>0</v>
      </c>
      <c r="DD1046" s="693">
        <f>SUMIFS(Imput[[Importe Neto]:[Importe Neto]],Imput[[C. Imp.]:[C. Imp.]],$D1046,Imput[[PERIODO Imp.]:[PERIODO Imp.]],DD$9)</f>
        <v>0</v>
      </c>
      <c r="DE1046" s="693">
        <f>SUMIFS(Imput[[Importe Neto]:[Importe Neto]],Imput[[C. Imp.]:[C. Imp.]],$D1046,Imput[[PERIODO Imp.]:[PERIODO Imp.]],DE$9)</f>
        <v>0</v>
      </c>
      <c r="DF1046" s="693">
        <f>SUMIFS(Imput[[Importe Neto]:[Importe Neto]],Imput[[C. Imp.]:[C. Imp.]],$D1046,Imput[[PERIODO Imp.]:[PERIODO Imp.]],DF$9)</f>
        <v>0</v>
      </c>
      <c r="DG1046" s="693">
        <f>SUMIFS(Imput[[Importe Neto]:[Importe Neto]],Imput[[C. Imp.]:[C. Imp.]],$D1046,Imput[[PERIODO Imp.]:[PERIODO Imp.]],DG$9)</f>
        <v>0</v>
      </c>
      <c r="DH1046" s="694">
        <f>SUMIFS(Imput[[Importe Neto]:[Importe Neto]],Imput[[C. Imp.]:[C. Imp.]],$D1046,Imput[[PERIODO Imp.]:[PERIODO Imp.]],DH$9)</f>
        <v>0</v>
      </c>
    </row>
    <row r="1047" spans="1:112" s="649" customFormat="1" hidden="1" outlineLevel="1" x14ac:dyDescent="0.3">
      <c r="A1047" s="652" t="str">
        <f t="shared" si="354"/>
        <v/>
      </c>
      <c r="B1047" s="652"/>
      <c r="C1047" s="685"/>
      <c r="D1047" s="686"/>
      <c r="E1047" s="686"/>
      <c r="F1047" s="720"/>
      <c r="G1047" s="688"/>
      <c r="H1047" s="689"/>
      <c r="I1047" s="851" t="str">
        <f t="shared" si="355"/>
        <v/>
      </c>
      <c r="J1047" s="850" t="str">
        <f t="shared" si="356"/>
        <v/>
      </c>
      <c r="K1047" s="667"/>
      <c r="L1047" s="858"/>
      <c r="M1047" s="859"/>
      <c r="N1047" s="859"/>
      <c r="O1047" s="859"/>
      <c r="P1047" s="859"/>
      <c r="Q1047" s="859"/>
      <c r="R1047" s="859"/>
      <c r="S1047" s="859"/>
      <c r="T1047" s="859"/>
      <c r="U1047" s="859"/>
      <c r="V1047" s="859"/>
      <c r="W1047" s="859"/>
      <c r="X1047" s="859"/>
      <c r="Y1047" s="859"/>
      <c r="Z1047" s="860"/>
      <c r="AA1047" s="860"/>
      <c r="AB1047" s="860"/>
      <c r="AC1047" s="860"/>
      <c r="AD1047" s="860"/>
      <c r="AE1047" s="860"/>
      <c r="AF1047" s="860"/>
      <c r="AG1047" s="860"/>
      <c r="AH1047" s="860"/>
      <c r="AI1047" s="860"/>
      <c r="AJ1047" s="860"/>
      <c r="AK1047" s="860"/>
      <c r="AL1047" s="860"/>
      <c r="AM1047" s="860"/>
      <c r="AN1047" s="860"/>
      <c r="AO1047" s="860"/>
      <c r="AP1047" s="860"/>
      <c r="AQ1047" s="860"/>
      <c r="AR1047" s="860"/>
      <c r="AS1047" s="860"/>
      <c r="AT1047" s="860"/>
      <c r="AU1047" s="860"/>
      <c r="AV1047" s="860"/>
      <c r="AW1047" s="860"/>
      <c r="AX1047" s="860"/>
      <c r="AY1047" s="860"/>
      <c r="AZ1047" s="860"/>
      <c r="BA1047" s="860"/>
      <c r="BB1047" s="860"/>
      <c r="BC1047" s="860"/>
      <c r="BD1047" s="860"/>
      <c r="BE1047" s="860"/>
      <c r="BF1047" s="860"/>
      <c r="BG1047" s="860"/>
      <c r="BH1047" s="668"/>
      <c r="BI1047" s="667"/>
      <c r="BJ1047" s="690">
        <f t="shared" si="357"/>
        <v>0</v>
      </c>
      <c r="BK1047" s="691">
        <f t="shared" si="358"/>
        <v>0</v>
      </c>
      <c r="BL1047" s="654"/>
      <c r="BM1047" s="692">
        <f>SUMIFS(Imput[[Importe Neto]:[Importe Neto]],Imput[[C. Imp.]:[C. Imp.]],$D1047,Imput[[PERIODO Imp.]:[PERIODO Imp.]],BM$9)</f>
        <v>0</v>
      </c>
      <c r="BN1047" s="693">
        <f>SUMIFS(Imput[[Importe Neto]:[Importe Neto]],Imput[[C. Imp.]:[C. Imp.]],$D1047,Imput[[PERIODO Imp.]:[PERIODO Imp.]],BN$9)</f>
        <v>0</v>
      </c>
      <c r="BO1047" s="693">
        <f>SUMIFS(Imput[[Importe Neto]:[Importe Neto]],Imput[[C. Imp.]:[C. Imp.]],$D1047,Imput[[PERIODO Imp.]:[PERIODO Imp.]],BO$9)</f>
        <v>0</v>
      </c>
      <c r="BP1047" s="693">
        <f>SUMIFS(Imput[[Importe Neto]:[Importe Neto]],Imput[[C. Imp.]:[C. Imp.]],$D1047,Imput[[PERIODO Imp.]:[PERIODO Imp.]],BP$9)</f>
        <v>0</v>
      </c>
      <c r="BQ1047" s="693">
        <f>SUMIFS(Imput[[Importe Neto]:[Importe Neto]],Imput[[C. Imp.]:[C. Imp.]],$D1047,Imput[[PERIODO Imp.]:[PERIODO Imp.]],BQ$9)</f>
        <v>0</v>
      </c>
      <c r="BR1047" s="693">
        <f>SUMIFS(Imput[[Importe Neto]:[Importe Neto]],Imput[[C. Imp.]:[C. Imp.]],$D1047,Imput[[PERIODO Imp.]:[PERIODO Imp.]],BR$9)</f>
        <v>0</v>
      </c>
      <c r="BS1047" s="693">
        <f>SUMIFS(Imput[[Importe Neto]:[Importe Neto]],Imput[[C. Imp.]:[C. Imp.]],$D1047,Imput[[PERIODO Imp.]:[PERIODO Imp.]],BS$9)</f>
        <v>0</v>
      </c>
      <c r="BT1047" s="693">
        <f>SUMIFS(Imput[[Importe Neto]:[Importe Neto]],Imput[[C. Imp.]:[C. Imp.]],$D1047,Imput[[PERIODO Imp.]:[PERIODO Imp.]],BT$9)</f>
        <v>0</v>
      </c>
      <c r="BU1047" s="693">
        <f>SUMIFS(Imput[[Importe Neto]:[Importe Neto]],Imput[[C. Imp.]:[C. Imp.]],$D1047,Imput[[PERIODO Imp.]:[PERIODO Imp.]],BU$9)</f>
        <v>0</v>
      </c>
      <c r="BV1047" s="693">
        <f>SUMIFS(Imput[[Importe Neto]:[Importe Neto]],Imput[[C. Imp.]:[C. Imp.]],$D1047,Imput[[PERIODO Imp.]:[PERIODO Imp.]],BV$9)</f>
        <v>0</v>
      </c>
      <c r="BW1047" s="693">
        <f>SUMIFS(Imput[[Importe Neto]:[Importe Neto]],Imput[[C. Imp.]:[C. Imp.]],$D1047,Imput[[PERIODO Imp.]:[PERIODO Imp.]],BW$9)</f>
        <v>0</v>
      </c>
      <c r="BX1047" s="693">
        <f>SUMIFS(Imput[[Importe Neto]:[Importe Neto]],Imput[[C. Imp.]:[C. Imp.]],$D1047,Imput[[PERIODO Imp.]:[PERIODO Imp.]],BX$9)</f>
        <v>0</v>
      </c>
      <c r="BY1047" s="693">
        <f>SUMIFS(Imput[[Importe Neto]:[Importe Neto]],Imput[[C. Imp.]:[C. Imp.]],$D1047,Imput[[PERIODO Imp.]:[PERIODO Imp.]],BY$9)</f>
        <v>0</v>
      </c>
      <c r="BZ1047" s="693">
        <f>SUMIFS(Imput[[Importe Neto]:[Importe Neto]],Imput[[C. Imp.]:[C. Imp.]],$D1047,Imput[[PERIODO Imp.]:[PERIODO Imp.]],BZ$9)</f>
        <v>0</v>
      </c>
      <c r="CA1047" s="693">
        <f>SUMIFS(Imput[[Importe Neto]:[Importe Neto]],Imput[[C. Imp.]:[C. Imp.]],$D1047,Imput[[PERIODO Imp.]:[PERIODO Imp.]],CA$9)</f>
        <v>0</v>
      </c>
      <c r="CB1047" s="693">
        <f>SUMIFS(Imput[[Importe Neto]:[Importe Neto]],Imput[[C. Imp.]:[C. Imp.]],$D1047,Imput[[PERIODO Imp.]:[PERIODO Imp.]],CB$9)</f>
        <v>0</v>
      </c>
      <c r="CC1047" s="693">
        <f>SUMIFS(Imput[[Importe Neto]:[Importe Neto]],Imput[[C. Imp.]:[C. Imp.]],$D1047,Imput[[PERIODO Imp.]:[PERIODO Imp.]],CC$9)</f>
        <v>0</v>
      </c>
      <c r="CD1047" s="693">
        <f>SUMIFS(Imput[[Importe Neto]:[Importe Neto]],Imput[[C. Imp.]:[C. Imp.]],$D1047,Imput[[PERIODO Imp.]:[PERIODO Imp.]],CD$9)</f>
        <v>0</v>
      </c>
      <c r="CE1047" s="693">
        <f>SUMIFS(Imput[[Importe Neto]:[Importe Neto]],Imput[[C. Imp.]:[C. Imp.]],$D1047,Imput[[PERIODO Imp.]:[PERIODO Imp.]],CE$9)</f>
        <v>0</v>
      </c>
      <c r="CF1047" s="693">
        <f>SUMIFS(Imput[[Importe Neto]:[Importe Neto]],Imput[[C. Imp.]:[C. Imp.]],$D1047,Imput[[PERIODO Imp.]:[PERIODO Imp.]],CF$9)</f>
        <v>0</v>
      </c>
      <c r="CG1047" s="693">
        <f>SUMIFS(Imput[[Importe Neto]:[Importe Neto]],Imput[[C. Imp.]:[C. Imp.]],$D1047,Imput[[PERIODO Imp.]:[PERIODO Imp.]],CG$9)</f>
        <v>0</v>
      </c>
      <c r="CH1047" s="693">
        <f>SUMIFS(Imput[[Importe Neto]:[Importe Neto]],Imput[[C. Imp.]:[C. Imp.]],$D1047,Imput[[PERIODO Imp.]:[PERIODO Imp.]],CH$9)</f>
        <v>0</v>
      </c>
      <c r="CI1047" s="693">
        <f>SUMIFS(Imput[[Importe Neto]:[Importe Neto]],Imput[[C. Imp.]:[C. Imp.]],$D1047,Imput[[PERIODO Imp.]:[PERIODO Imp.]],CI$9)</f>
        <v>0</v>
      </c>
      <c r="CJ1047" s="693">
        <f>SUMIFS(Imput[[Importe Neto]:[Importe Neto]],Imput[[C. Imp.]:[C. Imp.]],$D1047,Imput[[PERIODO Imp.]:[PERIODO Imp.]],CJ$9)</f>
        <v>0</v>
      </c>
      <c r="CK1047" s="693">
        <f>SUMIFS(Imput[[Importe Neto]:[Importe Neto]],Imput[[C. Imp.]:[C. Imp.]],$D1047,Imput[[PERIODO Imp.]:[PERIODO Imp.]],CK$9)</f>
        <v>0</v>
      </c>
      <c r="CL1047" s="693">
        <f>SUMIFS(Imput[[Importe Neto]:[Importe Neto]],Imput[[C. Imp.]:[C. Imp.]],$D1047,Imput[[PERIODO Imp.]:[PERIODO Imp.]],CL$9)</f>
        <v>0</v>
      </c>
      <c r="CM1047" s="693">
        <f>SUMIFS(Imput[[Importe Neto]:[Importe Neto]],Imput[[C. Imp.]:[C. Imp.]],$D1047,Imput[[PERIODO Imp.]:[PERIODO Imp.]],CM$9)</f>
        <v>0</v>
      </c>
      <c r="CN1047" s="693">
        <f>SUMIFS(Imput[[Importe Neto]:[Importe Neto]],Imput[[C. Imp.]:[C. Imp.]],$D1047,Imput[[PERIODO Imp.]:[PERIODO Imp.]],CN$9)</f>
        <v>0</v>
      </c>
      <c r="CO1047" s="693">
        <f>SUMIFS(Imput[[Importe Neto]:[Importe Neto]],Imput[[C. Imp.]:[C. Imp.]],$D1047,Imput[[PERIODO Imp.]:[PERIODO Imp.]],CO$9)</f>
        <v>0</v>
      </c>
      <c r="CP1047" s="693">
        <f>SUMIFS(Imput[[Importe Neto]:[Importe Neto]],Imput[[C. Imp.]:[C. Imp.]],$D1047,Imput[[PERIODO Imp.]:[PERIODO Imp.]],CP$9)</f>
        <v>0</v>
      </c>
      <c r="CQ1047" s="693">
        <f>SUMIFS(Imput[[Importe Neto]:[Importe Neto]],Imput[[C. Imp.]:[C. Imp.]],$D1047,Imput[[PERIODO Imp.]:[PERIODO Imp.]],CQ$9)</f>
        <v>0</v>
      </c>
      <c r="CR1047" s="693">
        <f>SUMIFS(Imput[[Importe Neto]:[Importe Neto]],Imput[[C. Imp.]:[C. Imp.]],$D1047,Imput[[PERIODO Imp.]:[PERIODO Imp.]],CR$9)</f>
        <v>0</v>
      </c>
      <c r="CS1047" s="693">
        <f>SUMIFS(Imput[[Importe Neto]:[Importe Neto]],Imput[[C. Imp.]:[C. Imp.]],$D1047,Imput[[PERIODO Imp.]:[PERIODO Imp.]],CS$9)</f>
        <v>0</v>
      </c>
      <c r="CT1047" s="693">
        <f>SUMIFS(Imput[[Importe Neto]:[Importe Neto]],Imput[[C. Imp.]:[C. Imp.]],$D1047,Imput[[PERIODO Imp.]:[PERIODO Imp.]],CT$9)</f>
        <v>0</v>
      </c>
      <c r="CU1047" s="693">
        <f>SUMIFS(Imput[[Importe Neto]:[Importe Neto]],Imput[[C. Imp.]:[C. Imp.]],$D1047,Imput[[PERIODO Imp.]:[PERIODO Imp.]],CU$9)</f>
        <v>0</v>
      </c>
      <c r="CV1047" s="693">
        <f>SUMIFS(Imput[[Importe Neto]:[Importe Neto]],Imput[[C. Imp.]:[C. Imp.]],$D1047,Imput[[PERIODO Imp.]:[PERIODO Imp.]],CV$9)</f>
        <v>0</v>
      </c>
      <c r="CW1047" s="693">
        <f>SUMIFS(Imput[[Importe Neto]:[Importe Neto]],Imput[[C. Imp.]:[C. Imp.]],$D1047,Imput[[PERIODO Imp.]:[PERIODO Imp.]],CW$9)</f>
        <v>0</v>
      </c>
      <c r="CX1047" s="693">
        <f>SUMIFS(Imput[[Importe Neto]:[Importe Neto]],Imput[[C. Imp.]:[C. Imp.]],$D1047,Imput[[PERIODO Imp.]:[PERIODO Imp.]],CX$9)</f>
        <v>0</v>
      </c>
      <c r="CY1047" s="693">
        <f>SUMIFS(Imput[[Importe Neto]:[Importe Neto]],Imput[[C. Imp.]:[C. Imp.]],$D1047,Imput[[PERIODO Imp.]:[PERIODO Imp.]],CY$9)</f>
        <v>0</v>
      </c>
      <c r="CZ1047" s="693">
        <f>SUMIFS(Imput[[Importe Neto]:[Importe Neto]],Imput[[C. Imp.]:[C. Imp.]],$D1047,Imput[[PERIODO Imp.]:[PERIODO Imp.]],CZ$9)</f>
        <v>0</v>
      </c>
      <c r="DA1047" s="693">
        <f>SUMIFS(Imput[[Importe Neto]:[Importe Neto]],Imput[[C. Imp.]:[C. Imp.]],$D1047,Imput[[PERIODO Imp.]:[PERIODO Imp.]],DA$9)</f>
        <v>0</v>
      </c>
      <c r="DB1047" s="693">
        <f>SUMIFS(Imput[[Importe Neto]:[Importe Neto]],Imput[[C. Imp.]:[C. Imp.]],$D1047,Imput[[PERIODO Imp.]:[PERIODO Imp.]],DB$9)</f>
        <v>0</v>
      </c>
      <c r="DC1047" s="693">
        <f>SUMIFS(Imput[[Importe Neto]:[Importe Neto]],Imput[[C. Imp.]:[C. Imp.]],$D1047,Imput[[PERIODO Imp.]:[PERIODO Imp.]],DC$9)</f>
        <v>0</v>
      </c>
      <c r="DD1047" s="693">
        <f>SUMIFS(Imput[[Importe Neto]:[Importe Neto]],Imput[[C. Imp.]:[C. Imp.]],$D1047,Imput[[PERIODO Imp.]:[PERIODO Imp.]],DD$9)</f>
        <v>0</v>
      </c>
      <c r="DE1047" s="693">
        <f>SUMIFS(Imput[[Importe Neto]:[Importe Neto]],Imput[[C. Imp.]:[C. Imp.]],$D1047,Imput[[PERIODO Imp.]:[PERIODO Imp.]],DE$9)</f>
        <v>0</v>
      </c>
      <c r="DF1047" s="693">
        <f>SUMIFS(Imput[[Importe Neto]:[Importe Neto]],Imput[[C. Imp.]:[C. Imp.]],$D1047,Imput[[PERIODO Imp.]:[PERIODO Imp.]],DF$9)</f>
        <v>0</v>
      </c>
      <c r="DG1047" s="693">
        <f>SUMIFS(Imput[[Importe Neto]:[Importe Neto]],Imput[[C. Imp.]:[C. Imp.]],$D1047,Imput[[PERIODO Imp.]:[PERIODO Imp.]],DG$9)</f>
        <v>0</v>
      </c>
      <c r="DH1047" s="694">
        <f>SUMIFS(Imput[[Importe Neto]:[Importe Neto]],Imput[[C. Imp.]:[C. Imp.]],$D1047,Imput[[PERIODO Imp.]:[PERIODO Imp.]],DH$9)</f>
        <v>0</v>
      </c>
    </row>
    <row r="1048" spans="1:112" s="649" customFormat="1" hidden="1" outlineLevel="1" x14ac:dyDescent="0.3">
      <c r="A1048" s="652" t="str">
        <f t="shared" si="354"/>
        <v/>
      </c>
      <c r="B1048" s="652"/>
      <c r="C1048" s="685"/>
      <c r="D1048" s="686"/>
      <c r="E1048" s="686"/>
      <c r="F1048" s="720"/>
      <c r="G1048" s="688"/>
      <c r="H1048" s="689"/>
      <c r="I1048" s="851" t="str">
        <f t="shared" si="355"/>
        <v/>
      </c>
      <c r="J1048" s="850" t="str">
        <f t="shared" si="356"/>
        <v/>
      </c>
      <c r="K1048" s="667"/>
      <c r="L1048" s="858"/>
      <c r="M1048" s="859"/>
      <c r="N1048" s="859"/>
      <c r="O1048" s="859"/>
      <c r="P1048" s="859"/>
      <c r="Q1048" s="859"/>
      <c r="R1048" s="859"/>
      <c r="S1048" s="859"/>
      <c r="T1048" s="859"/>
      <c r="U1048" s="859"/>
      <c r="V1048" s="859"/>
      <c r="W1048" s="859"/>
      <c r="X1048" s="859"/>
      <c r="Y1048" s="859"/>
      <c r="Z1048" s="860"/>
      <c r="AA1048" s="860"/>
      <c r="AB1048" s="860"/>
      <c r="AC1048" s="860"/>
      <c r="AD1048" s="860"/>
      <c r="AE1048" s="860"/>
      <c r="AF1048" s="860"/>
      <c r="AG1048" s="860"/>
      <c r="AH1048" s="860"/>
      <c r="AI1048" s="860"/>
      <c r="AJ1048" s="860"/>
      <c r="AK1048" s="860"/>
      <c r="AL1048" s="860"/>
      <c r="AM1048" s="860"/>
      <c r="AN1048" s="860"/>
      <c r="AO1048" s="860"/>
      <c r="AP1048" s="860"/>
      <c r="AQ1048" s="860"/>
      <c r="AR1048" s="860"/>
      <c r="AS1048" s="860"/>
      <c r="AT1048" s="860"/>
      <c r="AU1048" s="860"/>
      <c r="AV1048" s="860"/>
      <c r="AW1048" s="860"/>
      <c r="AX1048" s="860"/>
      <c r="AY1048" s="860"/>
      <c r="AZ1048" s="860"/>
      <c r="BA1048" s="860"/>
      <c r="BB1048" s="860"/>
      <c r="BC1048" s="860"/>
      <c r="BD1048" s="860"/>
      <c r="BE1048" s="860"/>
      <c r="BF1048" s="860"/>
      <c r="BG1048" s="860"/>
      <c r="BH1048" s="668"/>
      <c r="BI1048" s="667"/>
      <c r="BJ1048" s="690">
        <f t="shared" si="357"/>
        <v>0</v>
      </c>
      <c r="BK1048" s="691">
        <f t="shared" si="358"/>
        <v>0</v>
      </c>
      <c r="BL1048" s="654"/>
      <c r="BM1048" s="692">
        <f>SUMIFS(Imput[[Importe Neto]:[Importe Neto]],Imput[[C. Imp.]:[C. Imp.]],$D1048,Imput[[PERIODO Imp.]:[PERIODO Imp.]],BM$9)</f>
        <v>0</v>
      </c>
      <c r="BN1048" s="693">
        <f>SUMIFS(Imput[[Importe Neto]:[Importe Neto]],Imput[[C. Imp.]:[C. Imp.]],$D1048,Imput[[PERIODO Imp.]:[PERIODO Imp.]],BN$9)</f>
        <v>0</v>
      </c>
      <c r="BO1048" s="693">
        <f>SUMIFS(Imput[[Importe Neto]:[Importe Neto]],Imput[[C. Imp.]:[C. Imp.]],$D1048,Imput[[PERIODO Imp.]:[PERIODO Imp.]],BO$9)</f>
        <v>0</v>
      </c>
      <c r="BP1048" s="693">
        <f>SUMIFS(Imput[[Importe Neto]:[Importe Neto]],Imput[[C. Imp.]:[C. Imp.]],$D1048,Imput[[PERIODO Imp.]:[PERIODO Imp.]],BP$9)</f>
        <v>0</v>
      </c>
      <c r="BQ1048" s="693">
        <f>SUMIFS(Imput[[Importe Neto]:[Importe Neto]],Imput[[C. Imp.]:[C. Imp.]],$D1048,Imput[[PERIODO Imp.]:[PERIODO Imp.]],BQ$9)</f>
        <v>0</v>
      </c>
      <c r="BR1048" s="693">
        <f>SUMIFS(Imput[[Importe Neto]:[Importe Neto]],Imput[[C. Imp.]:[C. Imp.]],$D1048,Imput[[PERIODO Imp.]:[PERIODO Imp.]],BR$9)</f>
        <v>0</v>
      </c>
      <c r="BS1048" s="693">
        <f>SUMIFS(Imput[[Importe Neto]:[Importe Neto]],Imput[[C. Imp.]:[C. Imp.]],$D1048,Imput[[PERIODO Imp.]:[PERIODO Imp.]],BS$9)</f>
        <v>0</v>
      </c>
      <c r="BT1048" s="693">
        <f>SUMIFS(Imput[[Importe Neto]:[Importe Neto]],Imput[[C. Imp.]:[C. Imp.]],$D1048,Imput[[PERIODO Imp.]:[PERIODO Imp.]],BT$9)</f>
        <v>0</v>
      </c>
      <c r="BU1048" s="693">
        <f>SUMIFS(Imput[[Importe Neto]:[Importe Neto]],Imput[[C. Imp.]:[C. Imp.]],$D1048,Imput[[PERIODO Imp.]:[PERIODO Imp.]],BU$9)</f>
        <v>0</v>
      </c>
      <c r="BV1048" s="693">
        <f>SUMIFS(Imput[[Importe Neto]:[Importe Neto]],Imput[[C. Imp.]:[C. Imp.]],$D1048,Imput[[PERIODO Imp.]:[PERIODO Imp.]],BV$9)</f>
        <v>0</v>
      </c>
      <c r="BW1048" s="693">
        <f>SUMIFS(Imput[[Importe Neto]:[Importe Neto]],Imput[[C. Imp.]:[C. Imp.]],$D1048,Imput[[PERIODO Imp.]:[PERIODO Imp.]],BW$9)</f>
        <v>0</v>
      </c>
      <c r="BX1048" s="693">
        <f>SUMIFS(Imput[[Importe Neto]:[Importe Neto]],Imput[[C. Imp.]:[C. Imp.]],$D1048,Imput[[PERIODO Imp.]:[PERIODO Imp.]],BX$9)</f>
        <v>0</v>
      </c>
      <c r="BY1048" s="693">
        <f>SUMIFS(Imput[[Importe Neto]:[Importe Neto]],Imput[[C. Imp.]:[C. Imp.]],$D1048,Imput[[PERIODO Imp.]:[PERIODO Imp.]],BY$9)</f>
        <v>0</v>
      </c>
      <c r="BZ1048" s="693">
        <f>SUMIFS(Imput[[Importe Neto]:[Importe Neto]],Imput[[C. Imp.]:[C. Imp.]],$D1048,Imput[[PERIODO Imp.]:[PERIODO Imp.]],BZ$9)</f>
        <v>0</v>
      </c>
      <c r="CA1048" s="693">
        <f>SUMIFS(Imput[[Importe Neto]:[Importe Neto]],Imput[[C. Imp.]:[C. Imp.]],$D1048,Imput[[PERIODO Imp.]:[PERIODO Imp.]],CA$9)</f>
        <v>0</v>
      </c>
      <c r="CB1048" s="693">
        <f>SUMIFS(Imput[[Importe Neto]:[Importe Neto]],Imput[[C. Imp.]:[C. Imp.]],$D1048,Imput[[PERIODO Imp.]:[PERIODO Imp.]],CB$9)</f>
        <v>0</v>
      </c>
      <c r="CC1048" s="693">
        <f>SUMIFS(Imput[[Importe Neto]:[Importe Neto]],Imput[[C. Imp.]:[C. Imp.]],$D1048,Imput[[PERIODO Imp.]:[PERIODO Imp.]],CC$9)</f>
        <v>0</v>
      </c>
      <c r="CD1048" s="693">
        <f>SUMIFS(Imput[[Importe Neto]:[Importe Neto]],Imput[[C. Imp.]:[C. Imp.]],$D1048,Imput[[PERIODO Imp.]:[PERIODO Imp.]],CD$9)</f>
        <v>0</v>
      </c>
      <c r="CE1048" s="693">
        <f>SUMIFS(Imput[[Importe Neto]:[Importe Neto]],Imput[[C. Imp.]:[C. Imp.]],$D1048,Imput[[PERIODO Imp.]:[PERIODO Imp.]],CE$9)</f>
        <v>0</v>
      </c>
      <c r="CF1048" s="693">
        <f>SUMIFS(Imput[[Importe Neto]:[Importe Neto]],Imput[[C. Imp.]:[C. Imp.]],$D1048,Imput[[PERIODO Imp.]:[PERIODO Imp.]],CF$9)</f>
        <v>0</v>
      </c>
      <c r="CG1048" s="693">
        <f>SUMIFS(Imput[[Importe Neto]:[Importe Neto]],Imput[[C. Imp.]:[C. Imp.]],$D1048,Imput[[PERIODO Imp.]:[PERIODO Imp.]],CG$9)</f>
        <v>0</v>
      </c>
      <c r="CH1048" s="693">
        <f>SUMIFS(Imput[[Importe Neto]:[Importe Neto]],Imput[[C. Imp.]:[C. Imp.]],$D1048,Imput[[PERIODO Imp.]:[PERIODO Imp.]],CH$9)</f>
        <v>0</v>
      </c>
      <c r="CI1048" s="693">
        <f>SUMIFS(Imput[[Importe Neto]:[Importe Neto]],Imput[[C. Imp.]:[C. Imp.]],$D1048,Imput[[PERIODO Imp.]:[PERIODO Imp.]],CI$9)</f>
        <v>0</v>
      </c>
      <c r="CJ1048" s="693">
        <f>SUMIFS(Imput[[Importe Neto]:[Importe Neto]],Imput[[C. Imp.]:[C. Imp.]],$D1048,Imput[[PERIODO Imp.]:[PERIODO Imp.]],CJ$9)</f>
        <v>0</v>
      </c>
      <c r="CK1048" s="693">
        <f>SUMIFS(Imput[[Importe Neto]:[Importe Neto]],Imput[[C. Imp.]:[C. Imp.]],$D1048,Imput[[PERIODO Imp.]:[PERIODO Imp.]],CK$9)</f>
        <v>0</v>
      </c>
      <c r="CL1048" s="693">
        <f>SUMIFS(Imput[[Importe Neto]:[Importe Neto]],Imput[[C. Imp.]:[C. Imp.]],$D1048,Imput[[PERIODO Imp.]:[PERIODO Imp.]],CL$9)</f>
        <v>0</v>
      </c>
      <c r="CM1048" s="693">
        <f>SUMIFS(Imput[[Importe Neto]:[Importe Neto]],Imput[[C. Imp.]:[C. Imp.]],$D1048,Imput[[PERIODO Imp.]:[PERIODO Imp.]],CM$9)</f>
        <v>0</v>
      </c>
      <c r="CN1048" s="693">
        <f>SUMIFS(Imput[[Importe Neto]:[Importe Neto]],Imput[[C. Imp.]:[C. Imp.]],$D1048,Imput[[PERIODO Imp.]:[PERIODO Imp.]],CN$9)</f>
        <v>0</v>
      </c>
      <c r="CO1048" s="693">
        <f>SUMIFS(Imput[[Importe Neto]:[Importe Neto]],Imput[[C. Imp.]:[C. Imp.]],$D1048,Imput[[PERIODO Imp.]:[PERIODO Imp.]],CO$9)</f>
        <v>0</v>
      </c>
      <c r="CP1048" s="693">
        <f>SUMIFS(Imput[[Importe Neto]:[Importe Neto]],Imput[[C. Imp.]:[C. Imp.]],$D1048,Imput[[PERIODO Imp.]:[PERIODO Imp.]],CP$9)</f>
        <v>0</v>
      </c>
      <c r="CQ1048" s="693">
        <f>SUMIFS(Imput[[Importe Neto]:[Importe Neto]],Imput[[C. Imp.]:[C. Imp.]],$D1048,Imput[[PERIODO Imp.]:[PERIODO Imp.]],CQ$9)</f>
        <v>0</v>
      </c>
      <c r="CR1048" s="693">
        <f>SUMIFS(Imput[[Importe Neto]:[Importe Neto]],Imput[[C. Imp.]:[C. Imp.]],$D1048,Imput[[PERIODO Imp.]:[PERIODO Imp.]],CR$9)</f>
        <v>0</v>
      </c>
      <c r="CS1048" s="693">
        <f>SUMIFS(Imput[[Importe Neto]:[Importe Neto]],Imput[[C. Imp.]:[C. Imp.]],$D1048,Imput[[PERIODO Imp.]:[PERIODO Imp.]],CS$9)</f>
        <v>0</v>
      </c>
      <c r="CT1048" s="693">
        <f>SUMIFS(Imput[[Importe Neto]:[Importe Neto]],Imput[[C. Imp.]:[C. Imp.]],$D1048,Imput[[PERIODO Imp.]:[PERIODO Imp.]],CT$9)</f>
        <v>0</v>
      </c>
      <c r="CU1048" s="693">
        <f>SUMIFS(Imput[[Importe Neto]:[Importe Neto]],Imput[[C. Imp.]:[C. Imp.]],$D1048,Imput[[PERIODO Imp.]:[PERIODO Imp.]],CU$9)</f>
        <v>0</v>
      </c>
      <c r="CV1048" s="693">
        <f>SUMIFS(Imput[[Importe Neto]:[Importe Neto]],Imput[[C. Imp.]:[C. Imp.]],$D1048,Imput[[PERIODO Imp.]:[PERIODO Imp.]],CV$9)</f>
        <v>0</v>
      </c>
      <c r="CW1048" s="693">
        <f>SUMIFS(Imput[[Importe Neto]:[Importe Neto]],Imput[[C. Imp.]:[C. Imp.]],$D1048,Imput[[PERIODO Imp.]:[PERIODO Imp.]],CW$9)</f>
        <v>0</v>
      </c>
      <c r="CX1048" s="693">
        <f>SUMIFS(Imput[[Importe Neto]:[Importe Neto]],Imput[[C. Imp.]:[C. Imp.]],$D1048,Imput[[PERIODO Imp.]:[PERIODO Imp.]],CX$9)</f>
        <v>0</v>
      </c>
      <c r="CY1048" s="693">
        <f>SUMIFS(Imput[[Importe Neto]:[Importe Neto]],Imput[[C. Imp.]:[C. Imp.]],$D1048,Imput[[PERIODO Imp.]:[PERIODO Imp.]],CY$9)</f>
        <v>0</v>
      </c>
      <c r="CZ1048" s="693">
        <f>SUMIFS(Imput[[Importe Neto]:[Importe Neto]],Imput[[C. Imp.]:[C. Imp.]],$D1048,Imput[[PERIODO Imp.]:[PERIODO Imp.]],CZ$9)</f>
        <v>0</v>
      </c>
      <c r="DA1048" s="693">
        <f>SUMIFS(Imput[[Importe Neto]:[Importe Neto]],Imput[[C. Imp.]:[C. Imp.]],$D1048,Imput[[PERIODO Imp.]:[PERIODO Imp.]],DA$9)</f>
        <v>0</v>
      </c>
      <c r="DB1048" s="693">
        <f>SUMIFS(Imput[[Importe Neto]:[Importe Neto]],Imput[[C. Imp.]:[C. Imp.]],$D1048,Imput[[PERIODO Imp.]:[PERIODO Imp.]],DB$9)</f>
        <v>0</v>
      </c>
      <c r="DC1048" s="693">
        <f>SUMIFS(Imput[[Importe Neto]:[Importe Neto]],Imput[[C. Imp.]:[C. Imp.]],$D1048,Imput[[PERIODO Imp.]:[PERIODO Imp.]],DC$9)</f>
        <v>0</v>
      </c>
      <c r="DD1048" s="693">
        <f>SUMIFS(Imput[[Importe Neto]:[Importe Neto]],Imput[[C. Imp.]:[C. Imp.]],$D1048,Imput[[PERIODO Imp.]:[PERIODO Imp.]],DD$9)</f>
        <v>0</v>
      </c>
      <c r="DE1048" s="693">
        <f>SUMIFS(Imput[[Importe Neto]:[Importe Neto]],Imput[[C. Imp.]:[C. Imp.]],$D1048,Imput[[PERIODO Imp.]:[PERIODO Imp.]],DE$9)</f>
        <v>0</v>
      </c>
      <c r="DF1048" s="693">
        <f>SUMIFS(Imput[[Importe Neto]:[Importe Neto]],Imput[[C. Imp.]:[C. Imp.]],$D1048,Imput[[PERIODO Imp.]:[PERIODO Imp.]],DF$9)</f>
        <v>0</v>
      </c>
      <c r="DG1048" s="693">
        <f>SUMIFS(Imput[[Importe Neto]:[Importe Neto]],Imput[[C. Imp.]:[C. Imp.]],$D1048,Imput[[PERIODO Imp.]:[PERIODO Imp.]],DG$9)</f>
        <v>0</v>
      </c>
      <c r="DH1048" s="694">
        <f>SUMIFS(Imput[[Importe Neto]:[Importe Neto]],Imput[[C. Imp.]:[C. Imp.]],$D1048,Imput[[PERIODO Imp.]:[PERIODO Imp.]],DH$9)</f>
        <v>0</v>
      </c>
    </row>
    <row r="1049" spans="1:112" s="649" customFormat="1" hidden="1" outlineLevel="1" x14ac:dyDescent="0.3">
      <c r="A1049" s="652" t="str">
        <f t="shared" si="354"/>
        <v/>
      </c>
      <c r="B1049" s="652"/>
      <c r="C1049" s="685"/>
      <c r="D1049" s="686"/>
      <c r="E1049" s="686"/>
      <c r="F1049" s="720"/>
      <c r="G1049" s="688"/>
      <c r="H1049" s="689"/>
      <c r="I1049" s="851" t="str">
        <f t="shared" si="355"/>
        <v/>
      </c>
      <c r="J1049" s="850" t="str">
        <f t="shared" si="356"/>
        <v/>
      </c>
      <c r="K1049" s="667"/>
      <c r="L1049" s="858"/>
      <c r="M1049" s="859"/>
      <c r="N1049" s="859"/>
      <c r="O1049" s="859"/>
      <c r="P1049" s="859"/>
      <c r="Q1049" s="859"/>
      <c r="R1049" s="859"/>
      <c r="S1049" s="859"/>
      <c r="T1049" s="859"/>
      <c r="U1049" s="859"/>
      <c r="V1049" s="859"/>
      <c r="W1049" s="859"/>
      <c r="X1049" s="859"/>
      <c r="Y1049" s="859"/>
      <c r="Z1049" s="860"/>
      <c r="AA1049" s="860"/>
      <c r="AB1049" s="860"/>
      <c r="AC1049" s="860"/>
      <c r="AD1049" s="860"/>
      <c r="AE1049" s="860"/>
      <c r="AF1049" s="860"/>
      <c r="AG1049" s="860"/>
      <c r="AH1049" s="860"/>
      <c r="AI1049" s="860"/>
      <c r="AJ1049" s="860"/>
      <c r="AK1049" s="860"/>
      <c r="AL1049" s="860"/>
      <c r="AM1049" s="860"/>
      <c r="AN1049" s="860"/>
      <c r="AO1049" s="860"/>
      <c r="AP1049" s="860"/>
      <c r="AQ1049" s="860"/>
      <c r="AR1049" s="860"/>
      <c r="AS1049" s="860"/>
      <c r="AT1049" s="860"/>
      <c r="AU1049" s="860"/>
      <c r="AV1049" s="860"/>
      <c r="AW1049" s="860"/>
      <c r="AX1049" s="860"/>
      <c r="AY1049" s="860"/>
      <c r="AZ1049" s="860"/>
      <c r="BA1049" s="860"/>
      <c r="BB1049" s="860"/>
      <c r="BC1049" s="860"/>
      <c r="BD1049" s="860"/>
      <c r="BE1049" s="860"/>
      <c r="BF1049" s="860"/>
      <c r="BG1049" s="860"/>
      <c r="BH1049" s="668"/>
      <c r="BI1049" s="667"/>
      <c r="BJ1049" s="690">
        <f t="shared" si="357"/>
        <v>0</v>
      </c>
      <c r="BK1049" s="691">
        <f t="shared" si="358"/>
        <v>0</v>
      </c>
      <c r="BL1049" s="654"/>
      <c r="BM1049" s="692">
        <f>SUMIFS(Imput[[Importe Neto]:[Importe Neto]],Imput[[C. Imp.]:[C. Imp.]],$D1049,Imput[[PERIODO Imp.]:[PERIODO Imp.]],BM$9)</f>
        <v>0</v>
      </c>
      <c r="BN1049" s="693">
        <f>SUMIFS(Imput[[Importe Neto]:[Importe Neto]],Imput[[C. Imp.]:[C. Imp.]],$D1049,Imput[[PERIODO Imp.]:[PERIODO Imp.]],BN$9)</f>
        <v>0</v>
      </c>
      <c r="BO1049" s="693">
        <f>SUMIFS(Imput[[Importe Neto]:[Importe Neto]],Imput[[C. Imp.]:[C. Imp.]],$D1049,Imput[[PERIODO Imp.]:[PERIODO Imp.]],BO$9)</f>
        <v>0</v>
      </c>
      <c r="BP1049" s="693">
        <f>SUMIFS(Imput[[Importe Neto]:[Importe Neto]],Imput[[C. Imp.]:[C. Imp.]],$D1049,Imput[[PERIODO Imp.]:[PERIODO Imp.]],BP$9)</f>
        <v>0</v>
      </c>
      <c r="BQ1049" s="693">
        <f>SUMIFS(Imput[[Importe Neto]:[Importe Neto]],Imput[[C. Imp.]:[C. Imp.]],$D1049,Imput[[PERIODO Imp.]:[PERIODO Imp.]],BQ$9)</f>
        <v>0</v>
      </c>
      <c r="BR1049" s="693">
        <f>SUMIFS(Imput[[Importe Neto]:[Importe Neto]],Imput[[C. Imp.]:[C. Imp.]],$D1049,Imput[[PERIODO Imp.]:[PERIODO Imp.]],BR$9)</f>
        <v>0</v>
      </c>
      <c r="BS1049" s="693">
        <f>SUMIFS(Imput[[Importe Neto]:[Importe Neto]],Imput[[C. Imp.]:[C. Imp.]],$D1049,Imput[[PERIODO Imp.]:[PERIODO Imp.]],BS$9)</f>
        <v>0</v>
      </c>
      <c r="BT1049" s="693">
        <f>SUMIFS(Imput[[Importe Neto]:[Importe Neto]],Imput[[C. Imp.]:[C. Imp.]],$D1049,Imput[[PERIODO Imp.]:[PERIODO Imp.]],BT$9)</f>
        <v>0</v>
      </c>
      <c r="BU1049" s="693">
        <f>SUMIFS(Imput[[Importe Neto]:[Importe Neto]],Imput[[C. Imp.]:[C. Imp.]],$D1049,Imput[[PERIODO Imp.]:[PERIODO Imp.]],BU$9)</f>
        <v>0</v>
      </c>
      <c r="BV1049" s="693">
        <f>SUMIFS(Imput[[Importe Neto]:[Importe Neto]],Imput[[C. Imp.]:[C. Imp.]],$D1049,Imput[[PERIODO Imp.]:[PERIODO Imp.]],BV$9)</f>
        <v>0</v>
      </c>
      <c r="BW1049" s="693">
        <f>SUMIFS(Imput[[Importe Neto]:[Importe Neto]],Imput[[C. Imp.]:[C. Imp.]],$D1049,Imput[[PERIODO Imp.]:[PERIODO Imp.]],BW$9)</f>
        <v>0</v>
      </c>
      <c r="BX1049" s="693">
        <f>SUMIFS(Imput[[Importe Neto]:[Importe Neto]],Imput[[C. Imp.]:[C. Imp.]],$D1049,Imput[[PERIODO Imp.]:[PERIODO Imp.]],BX$9)</f>
        <v>0</v>
      </c>
      <c r="BY1049" s="693">
        <f>SUMIFS(Imput[[Importe Neto]:[Importe Neto]],Imput[[C. Imp.]:[C. Imp.]],$D1049,Imput[[PERIODO Imp.]:[PERIODO Imp.]],BY$9)</f>
        <v>0</v>
      </c>
      <c r="BZ1049" s="693">
        <f>SUMIFS(Imput[[Importe Neto]:[Importe Neto]],Imput[[C. Imp.]:[C. Imp.]],$D1049,Imput[[PERIODO Imp.]:[PERIODO Imp.]],BZ$9)</f>
        <v>0</v>
      </c>
      <c r="CA1049" s="693">
        <f>SUMIFS(Imput[[Importe Neto]:[Importe Neto]],Imput[[C. Imp.]:[C. Imp.]],$D1049,Imput[[PERIODO Imp.]:[PERIODO Imp.]],CA$9)</f>
        <v>0</v>
      </c>
      <c r="CB1049" s="693">
        <f>SUMIFS(Imput[[Importe Neto]:[Importe Neto]],Imput[[C. Imp.]:[C. Imp.]],$D1049,Imput[[PERIODO Imp.]:[PERIODO Imp.]],CB$9)</f>
        <v>0</v>
      </c>
      <c r="CC1049" s="693">
        <f>SUMIFS(Imput[[Importe Neto]:[Importe Neto]],Imput[[C. Imp.]:[C. Imp.]],$D1049,Imput[[PERIODO Imp.]:[PERIODO Imp.]],CC$9)</f>
        <v>0</v>
      </c>
      <c r="CD1049" s="693">
        <f>SUMIFS(Imput[[Importe Neto]:[Importe Neto]],Imput[[C. Imp.]:[C. Imp.]],$D1049,Imput[[PERIODO Imp.]:[PERIODO Imp.]],CD$9)</f>
        <v>0</v>
      </c>
      <c r="CE1049" s="693">
        <f>SUMIFS(Imput[[Importe Neto]:[Importe Neto]],Imput[[C. Imp.]:[C. Imp.]],$D1049,Imput[[PERIODO Imp.]:[PERIODO Imp.]],CE$9)</f>
        <v>0</v>
      </c>
      <c r="CF1049" s="693">
        <f>SUMIFS(Imput[[Importe Neto]:[Importe Neto]],Imput[[C. Imp.]:[C. Imp.]],$D1049,Imput[[PERIODO Imp.]:[PERIODO Imp.]],CF$9)</f>
        <v>0</v>
      </c>
      <c r="CG1049" s="693">
        <f>SUMIFS(Imput[[Importe Neto]:[Importe Neto]],Imput[[C. Imp.]:[C. Imp.]],$D1049,Imput[[PERIODO Imp.]:[PERIODO Imp.]],CG$9)</f>
        <v>0</v>
      </c>
      <c r="CH1049" s="693">
        <f>SUMIFS(Imput[[Importe Neto]:[Importe Neto]],Imput[[C. Imp.]:[C. Imp.]],$D1049,Imput[[PERIODO Imp.]:[PERIODO Imp.]],CH$9)</f>
        <v>0</v>
      </c>
      <c r="CI1049" s="693">
        <f>SUMIFS(Imput[[Importe Neto]:[Importe Neto]],Imput[[C. Imp.]:[C. Imp.]],$D1049,Imput[[PERIODO Imp.]:[PERIODO Imp.]],CI$9)</f>
        <v>0</v>
      </c>
      <c r="CJ1049" s="693">
        <f>SUMIFS(Imput[[Importe Neto]:[Importe Neto]],Imput[[C. Imp.]:[C. Imp.]],$D1049,Imput[[PERIODO Imp.]:[PERIODO Imp.]],CJ$9)</f>
        <v>0</v>
      </c>
      <c r="CK1049" s="693">
        <f>SUMIFS(Imput[[Importe Neto]:[Importe Neto]],Imput[[C. Imp.]:[C. Imp.]],$D1049,Imput[[PERIODO Imp.]:[PERIODO Imp.]],CK$9)</f>
        <v>0</v>
      </c>
      <c r="CL1049" s="693">
        <f>SUMIFS(Imput[[Importe Neto]:[Importe Neto]],Imput[[C. Imp.]:[C. Imp.]],$D1049,Imput[[PERIODO Imp.]:[PERIODO Imp.]],CL$9)</f>
        <v>0</v>
      </c>
      <c r="CM1049" s="693">
        <f>SUMIFS(Imput[[Importe Neto]:[Importe Neto]],Imput[[C. Imp.]:[C. Imp.]],$D1049,Imput[[PERIODO Imp.]:[PERIODO Imp.]],CM$9)</f>
        <v>0</v>
      </c>
      <c r="CN1049" s="693">
        <f>SUMIFS(Imput[[Importe Neto]:[Importe Neto]],Imput[[C. Imp.]:[C. Imp.]],$D1049,Imput[[PERIODO Imp.]:[PERIODO Imp.]],CN$9)</f>
        <v>0</v>
      </c>
      <c r="CO1049" s="693">
        <f>SUMIFS(Imput[[Importe Neto]:[Importe Neto]],Imput[[C. Imp.]:[C. Imp.]],$D1049,Imput[[PERIODO Imp.]:[PERIODO Imp.]],CO$9)</f>
        <v>0</v>
      </c>
      <c r="CP1049" s="693">
        <f>SUMIFS(Imput[[Importe Neto]:[Importe Neto]],Imput[[C. Imp.]:[C. Imp.]],$D1049,Imput[[PERIODO Imp.]:[PERIODO Imp.]],CP$9)</f>
        <v>0</v>
      </c>
      <c r="CQ1049" s="693">
        <f>SUMIFS(Imput[[Importe Neto]:[Importe Neto]],Imput[[C. Imp.]:[C. Imp.]],$D1049,Imput[[PERIODO Imp.]:[PERIODO Imp.]],CQ$9)</f>
        <v>0</v>
      </c>
      <c r="CR1049" s="693">
        <f>SUMIFS(Imput[[Importe Neto]:[Importe Neto]],Imput[[C. Imp.]:[C. Imp.]],$D1049,Imput[[PERIODO Imp.]:[PERIODO Imp.]],CR$9)</f>
        <v>0</v>
      </c>
      <c r="CS1049" s="693">
        <f>SUMIFS(Imput[[Importe Neto]:[Importe Neto]],Imput[[C. Imp.]:[C. Imp.]],$D1049,Imput[[PERIODO Imp.]:[PERIODO Imp.]],CS$9)</f>
        <v>0</v>
      </c>
      <c r="CT1049" s="693">
        <f>SUMIFS(Imput[[Importe Neto]:[Importe Neto]],Imput[[C. Imp.]:[C. Imp.]],$D1049,Imput[[PERIODO Imp.]:[PERIODO Imp.]],CT$9)</f>
        <v>0</v>
      </c>
      <c r="CU1049" s="693">
        <f>SUMIFS(Imput[[Importe Neto]:[Importe Neto]],Imput[[C. Imp.]:[C. Imp.]],$D1049,Imput[[PERIODO Imp.]:[PERIODO Imp.]],CU$9)</f>
        <v>0</v>
      </c>
      <c r="CV1049" s="693">
        <f>SUMIFS(Imput[[Importe Neto]:[Importe Neto]],Imput[[C. Imp.]:[C. Imp.]],$D1049,Imput[[PERIODO Imp.]:[PERIODO Imp.]],CV$9)</f>
        <v>0</v>
      </c>
      <c r="CW1049" s="693">
        <f>SUMIFS(Imput[[Importe Neto]:[Importe Neto]],Imput[[C. Imp.]:[C. Imp.]],$D1049,Imput[[PERIODO Imp.]:[PERIODO Imp.]],CW$9)</f>
        <v>0</v>
      </c>
      <c r="CX1049" s="693">
        <f>SUMIFS(Imput[[Importe Neto]:[Importe Neto]],Imput[[C. Imp.]:[C. Imp.]],$D1049,Imput[[PERIODO Imp.]:[PERIODO Imp.]],CX$9)</f>
        <v>0</v>
      </c>
      <c r="CY1049" s="693">
        <f>SUMIFS(Imput[[Importe Neto]:[Importe Neto]],Imput[[C. Imp.]:[C. Imp.]],$D1049,Imput[[PERIODO Imp.]:[PERIODO Imp.]],CY$9)</f>
        <v>0</v>
      </c>
      <c r="CZ1049" s="693">
        <f>SUMIFS(Imput[[Importe Neto]:[Importe Neto]],Imput[[C. Imp.]:[C. Imp.]],$D1049,Imput[[PERIODO Imp.]:[PERIODO Imp.]],CZ$9)</f>
        <v>0</v>
      </c>
      <c r="DA1049" s="693">
        <f>SUMIFS(Imput[[Importe Neto]:[Importe Neto]],Imput[[C. Imp.]:[C. Imp.]],$D1049,Imput[[PERIODO Imp.]:[PERIODO Imp.]],DA$9)</f>
        <v>0</v>
      </c>
      <c r="DB1049" s="693">
        <f>SUMIFS(Imput[[Importe Neto]:[Importe Neto]],Imput[[C. Imp.]:[C. Imp.]],$D1049,Imput[[PERIODO Imp.]:[PERIODO Imp.]],DB$9)</f>
        <v>0</v>
      </c>
      <c r="DC1049" s="693">
        <f>SUMIFS(Imput[[Importe Neto]:[Importe Neto]],Imput[[C. Imp.]:[C. Imp.]],$D1049,Imput[[PERIODO Imp.]:[PERIODO Imp.]],DC$9)</f>
        <v>0</v>
      </c>
      <c r="DD1049" s="693">
        <f>SUMIFS(Imput[[Importe Neto]:[Importe Neto]],Imput[[C. Imp.]:[C. Imp.]],$D1049,Imput[[PERIODO Imp.]:[PERIODO Imp.]],DD$9)</f>
        <v>0</v>
      </c>
      <c r="DE1049" s="693">
        <f>SUMIFS(Imput[[Importe Neto]:[Importe Neto]],Imput[[C. Imp.]:[C. Imp.]],$D1049,Imput[[PERIODO Imp.]:[PERIODO Imp.]],DE$9)</f>
        <v>0</v>
      </c>
      <c r="DF1049" s="693">
        <f>SUMIFS(Imput[[Importe Neto]:[Importe Neto]],Imput[[C. Imp.]:[C. Imp.]],$D1049,Imput[[PERIODO Imp.]:[PERIODO Imp.]],DF$9)</f>
        <v>0</v>
      </c>
      <c r="DG1049" s="693">
        <f>SUMIFS(Imput[[Importe Neto]:[Importe Neto]],Imput[[C. Imp.]:[C. Imp.]],$D1049,Imput[[PERIODO Imp.]:[PERIODO Imp.]],DG$9)</f>
        <v>0</v>
      </c>
      <c r="DH1049" s="694">
        <f>SUMIFS(Imput[[Importe Neto]:[Importe Neto]],Imput[[C. Imp.]:[C. Imp.]],$D1049,Imput[[PERIODO Imp.]:[PERIODO Imp.]],DH$9)</f>
        <v>0</v>
      </c>
    </row>
    <row r="1050" spans="1:112" s="649" customFormat="1" hidden="1" outlineLevel="1" x14ac:dyDescent="0.3">
      <c r="A1050" s="652" t="str">
        <f t="shared" si="354"/>
        <v/>
      </c>
      <c r="B1050" s="652"/>
      <c r="C1050" s="685"/>
      <c r="D1050" s="686"/>
      <c r="E1050" s="686"/>
      <c r="F1050" s="720"/>
      <c r="G1050" s="688"/>
      <c r="H1050" s="689"/>
      <c r="I1050" s="851" t="str">
        <f t="shared" si="355"/>
        <v/>
      </c>
      <c r="J1050" s="850" t="str">
        <f t="shared" si="356"/>
        <v/>
      </c>
      <c r="K1050" s="667"/>
      <c r="L1050" s="858"/>
      <c r="M1050" s="859"/>
      <c r="N1050" s="859"/>
      <c r="O1050" s="859"/>
      <c r="P1050" s="859"/>
      <c r="Q1050" s="859"/>
      <c r="R1050" s="859"/>
      <c r="S1050" s="859"/>
      <c r="T1050" s="859"/>
      <c r="U1050" s="859"/>
      <c r="V1050" s="859"/>
      <c r="W1050" s="859"/>
      <c r="X1050" s="859"/>
      <c r="Y1050" s="859"/>
      <c r="Z1050" s="860"/>
      <c r="AA1050" s="860"/>
      <c r="AB1050" s="860"/>
      <c r="AC1050" s="860"/>
      <c r="AD1050" s="860"/>
      <c r="AE1050" s="860"/>
      <c r="AF1050" s="860"/>
      <c r="AG1050" s="860"/>
      <c r="AH1050" s="860"/>
      <c r="AI1050" s="860"/>
      <c r="AJ1050" s="860"/>
      <c r="AK1050" s="860"/>
      <c r="AL1050" s="860"/>
      <c r="AM1050" s="860"/>
      <c r="AN1050" s="860"/>
      <c r="AO1050" s="860"/>
      <c r="AP1050" s="860"/>
      <c r="AQ1050" s="860"/>
      <c r="AR1050" s="860"/>
      <c r="AS1050" s="860"/>
      <c r="AT1050" s="860"/>
      <c r="AU1050" s="860"/>
      <c r="AV1050" s="860"/>
      <c r="AW1050" s="860"/>
      <c r="AX1050" s="860"/>
      <c r="AY1050" s="860"/>
      <c r="AZ1050" s="860"/>
      <c r="BA1050" s="860"/>
      <c r="BB1050" s="860"/>
      <c r="BC1050" s="860"/>
      <c r="BD1050" s="860"/>
      <c r="BE1050" s="860"/>
      <c r="BF1050" s="860"/>
      <c r="BG1050" s="860"/>
      <c r="BH1050" s="668"/>
      <c r="BI1050" s="667"/>
      <c r="BJ1050" s="690">
        <f t="shared" si="357"/>
        <v>0</v>
      </c>
      <c r="BK1050" s="691">
        <f t="shared" si="358"/>
        <v>0</v>
      </c>
      <c r="BL1050" s="654"/>
      <c r="BM1050" s="692">
        <f>SUMIFS(Imput[[Importe Neto]:[Importe Neto]],Imput[[C. Imp.]:[C. Imp.]],$D1050,Imput[[PERIODO Imp.]:[PERIODO Imp.]],BM$9)</f>
        <v>0</v>
      </c>
      <c r="BN1050" s="693">
        <f>SUMIFS(Imput[[Importe Neto]:[Importe Neto]],Imput[[C. Imp.]:[C. Imp.]],$D1050,Imput[[PERIODO Imp.]:[PERIODO Imp.]],BN$9)</f>
        <v>0</v>
      </c>
      <c r="BO1050" s="693">
        <f>SUMIFS(Imput[[Importe Neto]:[Importe Neto]],Imput[[C. Imp.]:[C. Imp.]],$D1050,Imput[[PERIODO Imp.]:[PERIODO Imp.]],BO$9)</f>
        <v>0</v>
      </c>
      <c r="BP1050" s="693">
        <f>SUMIFS(Imput[[Importe Neto]:[Importe Neto]],Imput[[C. Imp.]:[C. Imp.]],$D1050,Imput[[PERIODO Imp.]:[PERIODO Imp.]],BP$9)</f>
        <v>0</v>
      </c>
      <c r="BQ1050" s="693">
        <f>SUMIFS(Imput[[Importe Neto]:[Importe Neto]],Imput[[C. Imp.]:[C. Imp.]],$D1050,Imput[[PERIODO Imp.]:[PERIODO Imp.]],BQ$9)</f>
        <v>0</v>
      </c>
      <c r="BR1050" s="693">
        <f>SUMIFS(Imput[[Importe Neto]:[Importe Neto]],Imput[[C. Imp.]:[C. Imp.]],$D1050,Imput[[PERIODO Imp.]:[PERIODO Imp.]],BR$9)</f>
        <v>0</v>
      </c>
      <c r="BS1050" s="693">
        <f>SUMIFS(Imput[[Importe Neto]:[Importe Neto]],Imput[[C. Imp.]:[C. Imp.]],$D1050,Imput[[PERIODO Imp.]:[PERIODO Imp.]],BS$9)</f>
        <v>0</v>
      </c>
      <c r="BT1050" s="693">
        <f>SUMIFS(Imput[[Importe Neto]:[Importe Neto]],Imput[[C. Imp.]:[C. Imp.]],$D1050,Imput[[PERIODO Imp.]:[PERIODO Imp.]],BT$9)</f>
        <v>0</v>
      </c>
      <c r="BU1050" s="693">
        <f>SUMIFS(Imput[[Importe Neto]:[Importe Neto]],Imput[[C. Imp.]:[C. Imp.]],$D1050,Imput[[PERIODO Imp.]:[PERIODO Imp.]],BU$9)</f>
        <v>0</v>
      </c>
      <c r="BV1050" s="693">
        <f>SUMIFS(Imput[[Importe Neto]:[Importe Neto]],Imput[[C. Imp.]:[C. Imp.]],$D1050,Imput[[PERIODO Imp.]:[PERIODO Imp.]],BV$9)</f>
        <v>0</v>
      </c>
      <c r="BW1050" s="693">
        <f>SUMIFS(Imput[[Importe Neto]:[Importe Neto]],Imput[[C. Imp.]:[C. Imp.]],$D1050,Imput[[PERIODO Imp.]:[PERIODO Imp.]],BW$9)</f>
        <v>0</v>
      </c>
      <c r="BX1050" s="693">
        <f>SUMIFS(Imput[[Importe Neto]:[Importe Neto]],Imput[[C. Imp.]:[C. Imp.]],$D1050,Imput[[PERIODO Imp.]:[PERIODO Imp.]],BX$9)</f>
        <v>0</v>
      </c>
      <c r="BY1050" s="693">
        <f>SUMIFS(Imput[[Importe Neto]:[Importe Neto]],Imput[[C. Imp.]:[C. Imp.]],$D1050,Imput[[PERIODO Imp.]:[PERIODO Imp.]],BY$9)</f>
        <v>0</v>
      </c>
      <c r="BZ1050" s="693">
        <f>SUMIFS(Imput[[Importe Neto]:[Importe Neto]],Imput[[C. Imp.]:[C. Imp.]],$D1050,Imput[[PERIODO Imp.]:[PERIODO Imp.]],BZ$9)</f>
        <v>0</v>
      </c>
      <c r="CA1050" s="693">
        <f>SUMIFS(Imput[[Importe Neto]:[Importe Neto]],Imput[[C. Imp.]:[C. Imp.]],$D1050,Imput[[PERIODO Imp.]:[PERIODO Imp.]],CA$9)</f>
        <v>0</v>
      </c>
      <c r="CB1050" s="693">
        <f>SUMIFS(Imput[[Importe Neto]:[Importe Neto]],Imput[[C. Imp.]:[C. Imp.]],$D1050,Imput[[PERIODO Imp.]:[PERIODO Imp.]],CB$9)</f>
        <v>0</v>
      </c>
      <c r="CC1050" s="693">
        <f>SUMIFS(Imput[[Importe Neto]:[Importe Neto]],Imput[[C. Imp.]:[C. Imp.]],$D1050,Imput[[PERIODO Imp.]:[PERIODO Imp.]],CC$9)</f>
        <v>0</v>
      </c>
      <c r="CD1050" s="693">
        <f>SUMIFS(Imput[[Importe Neto]:[Importe Neto]],Imput[[C. Imp.]:[C. Imp.]],$D1050,Imput[[PERIODO Imp.]:[PERIODO Imp.]],CD$9)</f>
        <v>0</v>
      </c>
      <c r="CE1050" s="693">
        <f>SUMIFS(Imput[[Importe Neto]:[Importe Neto]],Imput[[C. Imp.]:[C. Imp.]],$D1050,Imput[[PERIODO Imp.]:[PERIODO Imp.]],CE$9)</f>
        <v>0</v>
      </c>
      <c r="CF1050" s="693">
        <f>SUMIFS(Imput[[Importe Neto]:[Importe Neto]],Imput[[C. Imp.]:[C. Imp.]],$D1050,Imput[[PERIODO Imp.]:[PERIODO Imp.]],CF$9)</f>
        <v>0</v>
      </c>
      <c r="CG1050" s="693">
        <f>SUMIFS(Imput[[Importe Neto]:[Importe Neto]],Imput[[C. Imp.]:[C. Imp.]],$D1050,Imput[[PERIODO Imp.]:[PERIODO Imp.]],CG$9)</f>
        <v>0</v>
      </c>
      <c r="CH1050" s="693">
        <f>SUMIFS(Imput[[Importe Neto]:[Importe Neto]],Imput[[C. Imp.]:[C. Imp.]],$D1050,Imput[[PERIODO Imp.]:[PERIODO Imp.]],CH$9)</f>
        <v>0</v>
      </c>
      <c r="CI1050" s="693">
        <f>SUMIFS(Imput[[Importe Neto]:[Importe Neto]],Imput[[C. Imp.]:[C. Imp.]],$D1050,Imput[[PERIODO Imp.]:[PERIODO Imp.]],CI$9)</f>
        <v>0</v>
      </c>
      <c r="CJ1050" s="693">
        <f>SUMIFS(Imput[[Importe Neto]:[Importe Neto]],Imput[[C. Imp.]:[C. Imp.]],$D1050,Imput[[PERIODO Imp.]:[PERIODO Imp.]],CJ$9)</f>
        <v>0</v>
      </c>
      <c r="CK1050" s="693">
        <f>SUMIFS(Imput[[Importe Neto]:[Importe Neto]],Imput[[C. Imp.]:[C. Imp.]],$D1050,Imput[[PERIODO Imp.]:[PERIODO Imp.]],CK$9)</f>
        <v>0</v>
      </c>
      <c r="CL1050" s="693">
        <f>SUMIFS(Imput[[Importe Neto]:[Importe Neto]],Imput[[C. Imp.]:[C. Imp.]],$D1050,Imput[[PERIODO Imp.]:[PERIODO Imp.]],CL$9)</f>
        <v>0</v>
      </c>
      <c r="CM1050" s="693">
        <f>SUMIFS(Imput[[Importe Neto]:[Importe Neto]],Imput[[C. Imp.]:[C. Imp.]],$D1050,Imput[[PERIODO Imp.]:[PERIODO Imp.]],CM$9)</f>
        <v>0</v>
      </c>
      <c r="CN1050" s="693">
        <f>SUMIFS(Imput[[Importe Neto]:[Importe Neto]],Imput[[C. Imp.]:[C. Imp.]],$D1050,Imput[[PERIODO Imp.]:[PERIODO Imp.]],CN$9)</f>
        <v>0</v>
      </c>
      <c r="CO1050" s="693">
        <f>SUMIFS(Imput[[Importe Neto]:[Importe Neto]],Imput[[C. Imp.]:[C. Imp.]],$D1050,Imput[[PERIODO Imp.]:[PERIODO Imp.]],CO$9)</f>
        <v>0</v>
      </c>
      <c r="CP1050" s="693">
        <f>SUMIFS(Imput[[Importe Neto]:[Importe Neto]],Imput[[C. Imp.]:[C. Imp.]],$D1050,Imput[[PERIODO Imp.]:[PERIODO Imp.]],CP$9)</f>
        <v>0</v>
      </c>
      <c r="CQ1050" s="693">
        <f>SUMIFS(Imput[[Importe Neto]:[Importe Neto]],Imput[[C. Imp.]:[C. Imp.]],$D1050,Imput[[PERIODO Imp.]:[PERIODO Imp.]],CQ$9)</f>
        <v>0</v>
      </c>
      <c r="CR1050" s="693">
        <f>SUMIFS(Imput[[Importe Neto]:[Importe Neto]],Imput[[C. Imp.]:[C. Imp.]],$D1050,Imput[[PERIODO Imp.]:[PERIODO Imp.]],CR$9)</f>
        <v>0</v>
      </c>
      <c r="CS1050" s="693">
        <f>SUMIFS(Imput[[Importe Neto]:[Importe Neto]],Imput[[C. Imp.]:[C. Imp.]],$D1050,Imput[[PERIODO Imp.]:[PERIODO Imp.]],CS$9)</f>
        <v>0</v>
      </c>
      <c r="CT1050" s="693">
        <f>SUMIFS(Imput[[Importe Neto]:[Importe Neto]],Imput[[C. Imp.]:[C. Imp.]],$D1050,Imput[[PERIODO Imp.]:[PERIODO Imp.]],CT$9)</f>
        <v>0</v>
      </c>
      <c r="CU1050" s="693">
        <f>SUMIFS(Imput[[Importe Neto]:[Importe Neto]],Imput[[C. Imp.]:[C. Imp.]],$D1050,Imput[[PERIODO Imp.]:[PERIODO Imp.]],CU$9)</f>
        <v>0</v>
      </c>
      <c r="CV1050" s="693">
        <f>SUMIFS(Imput[[Importe Neto]:[Importe Neto]],Imput[[C. Imp.]:[C. Imp.]],$D1050,Imput[[PERIODO Imp.]:[PERIODO Imp.]],CV$9)</f>
        <v>0</v>
      </c>
      <c r="CW1050" s="693">
        <f>SUMIFS(Imput[[Importe Neto]:[Importe Neto]],Imput[[C. Imp.]:[C. Imp.]],$D1050,Imput[[PERIODO Imp.]:[PERIODO Imp.]],CW$9)</f>
        <v>0</v>
      </c>
      <c r="CX1050" s="693">
        <f>SUMIFS(Imput[[Importe Neto]:[Importe Neto]],Imput[[C. Imp.]:[C. Imp.]],$D1050,Imput[[PERIODO Imp.]:[PERIODO Imp.]],CX$9)</f>
        <v>0</v>
      </c>
      <c r="CY1050" s="693">
        <f>SUMIFS(Imput[[Importe Neto]:[Importe Neto]],Imput[[C. Imp.]:[C. Imp.]],$D1050,Imput[[PERIODO Imp.]:[PERIODO Imp.]],CY$9)</f>
        <v>0</v>
      </c>
      <c r="CZ1050" s="693">
        <f>SUMIFS(Imput[[Importe Neto]:[Importe Neto]],Imput[[C. Imp.]:[C. Imp.]],$D1050,Imput[[PERIODO Imp.]:[PERIODO Imp.]],CZ$9)</f>
        <v>0</v>
      </c>
      <c r="DA1050" s="693">
        <f>SUMIFS(Imput[[Importe Neto]:[Importe Neto]],Imput[[C. Imp.]:[C. Imp.]],$D1050,Imput[[PERIODO Imp.]:[PERIODO Imp.]],DA$9)</f>
        <v>0</v>
      </c>
      <c r="DB1050" s="693">
        <f>SUMIFS(Imput[[Importe Neto]:[Importe Neto]],Imput[[C. Imp.]:[C. Imp.]],$D1050,Imput[[PERIODO Imp.]:[PERIODO Imp.]],DB$9)</f>
        <v>0</v>
      </c>
      <c r="DC1050" s="693">
        <f>SUMIFS(Imput[[Importe Neto]:[Importe Neto]],Imput[[C. Imp.]:[C. Imp.]],$D1050,Imput[[PERIODO Imp.]:[PERIODO Imp.]],DC$9)</f>
        <v>0</v>
      </c>
      <c r="DD1050" s="693">
        <f>SUMIFS(Imput[[Importe Neto]:[Importe Neto]],Imput[[C. Imp.]:[C. Imp.]],$D1050,Imput[[PERIODO Imp.]:[PERIODO Imp.]],DD$9)</f>
        <v>0</v>
      </c>
      <c r="DE1050" s="693">
        <f>SUMIFS(Imput[[Importe Neto]:[Importe Neto]],Imput[[C. Imp.]:[C. Imp.]],$D1050,Imput[[PERIODO Imp.]:[PERIODO Imp.]],DE$9)</f>
        <v>0</v>
      </c>
      <c r="DF1050" s="693">
        <f>SUMIFS(Imput[[Importe Neto]:[Importe Neto]],Imput[[C. Imp.]:[C. Imp.]],$D1050,Imput[[PERIODO Imp.]:[PERIODO Imp.]],DF$9)</f>
        <v>0</v>
      </c>
      <c r="DG1050" s="693">
        <f>SUMIFS(Imput[[Importe Neto]:[Importe Neto]],Imput[[C. Imp.]:[C. Imp.]],$D1050,Imput[[PERIODO Imp.]:[PERIODO Imp.]],DG$9)</f>
        <v>0</v>
      </c>
      <c r="DH1050" s="694">
        <f>SUMIFS(Imput[[Importe Neto]:[Importe Neto]],Imput[[C. Imp.]:[C. Imp.]],$D1050,Imput[[PERIODO Imp.]:[PERIODO Imp.]],DH$9)</f>
        <v>0</v>
      </c>
    </row>
    <row r="1051" spans="1:112" s="649" customFormat="1" hidden="1" outlineLevel="1" x14ac:dyDescent="0.3">
      <c r="A1051" s="652" t="str">
        <f t="shared" si="354"/>
        <v/>
      </c>
      <c r="B1051" s="652"/>
      <c r="C1051" s="685"/>
      <c r="D1051" s="686"/>
      <c r="E1051" s="686"/>
      <c r="F1051" s="720"/>
      <c r="G1051" s="688"/>
      <c r="H1051" s="689"/>
      <c r="I1051" s="851" t="str">
        <f t="shared" si="355"/>
        <v/>
      </c>
      <c r="J1051" s="850" t="str">
        <f t="shared" si="356"/>
        <v/>
      </c>
      <c r="K1051" s="667"/>
      <c r="L1051" s="858"/>
      <c r="M1051" s="859"/>
      <c r="N1051" s="859"/>
      <c r="O1051" s="859"/>
      <c r="P1051" s="859"/>
      <c r="Q1051" s="859"/>
      <c r="R1051" s="859"/>
      <c r="S1051" s="859"/>
      <c r="T1051" s="859"/>
      <c r="U1051" s="859"/>
      <c r="V1051" s="859"/>
      <c r="W1051" s="859"/>
      <c r="X1051" s="859"/>
      <c r="Y1051" s="859"/>
      <c r="Z1051" s="860"/>
      <c r="AA1051" s="860"/>
      <c r="AB1051" s="860"/>
      <c r="AC1051" s="860"/>
      <c r="AD1051" s="860"/>
      <c r="AE1051" s="860"/>
      <c r="AF1051" s="860"/>
      <c r="AG1051" s="860"/>
      <c r="AH1051" s="860"/>
      <c r="AI1051" s="860"/>
      <c r="AJ1051" s="860"/>
      <c r="AK1051" s="860"/>
      <c r="AL1051" s="860"/>
      <c r="AM1051" s="860"/>
      <c r="AN1051" s="860"/>
      <c r="AO1051" s="860"/>
      <c r="AP1051" s="860"/>
      <c r="AQ1051" s="860"/>
      <c r="AR1051" s="860"/>
      <c r="AS1051" s="860"/>
      <c r="AT1051" s="860"/>
      <c r="AU1051" s="860"/>
      <c r="AV1051" s="860"/>
      <c r="AW1051" s="860"/>
      <c r="AX1051" s="860"/>
      <c r="AY1051" s="860"/>
      <c r="AZ1051" s="860"/>
      <c r="BA1051" s="860"/>
      <c r="BB1051" s="860"/>
      <c r="BC1051" s="860"/>
      <c r="BD1051" s="860"/>
      <c r="BE1051" s="860"/>
      <c r="BF1051" s="860"/>
      <c r="BG1051" s="860"/>
      <c r="BH1051" s="668"/>
      <c r="BI1051" s="654"/>
      <c r="BJ1051" s="690">
        <f t="shared" si="357"/>
        <v>0</v>
      </c>
      <c r="BK1051" s="691">
        <f t="shared" si="358"/>
        <v>0</v>
      </c>
      <c r="BL1051" s="654"/>
      <c r="BM1051" s="692">
        <f>SUMIFS(Imput[[Importe Neto]:[Importe Neto]],Imput[[C. Imp.]:[C. Imp.]],$D1051,Imput[[PERIODO Imp.]:[PERIODO Imp.]],BM$9)</f>
        <v>0</v>
      </c>
      <c r="BN1051" s="693">
        <f>SUMIFS(Imput[[Importe Neto]:[Importe Neto]],Imput[[C. Imp.]:[C. Imp.]],$D1051,Imput[[PERIODO Imp.]:[PERIODO Imp.]],BN$9)</f>
        <v>0</v>
      </c>
      <c r="BO1051" s="693">
        <f>SUMIFS(Imput[[Importe Neto]:[Importe Neto]],Imput[[C. Imp.]:[C. Imp.]],$D1051,Imput[[PERIODO Imp.]:[PERIODO Imp.]],BO$9)</f>
        <v>0</v>
      </c>
      <c r="BP1051" s="693">
        <f>SUMIFS(Imput[[Importe Neto]:[Importe Neto]],Imput[[C. Imp.]:[C. Imp.]],$D1051,Imput[[PERIODO Imp.]:[PERIODO Imp.]],BP$9)</f>
        <v>0</v>
      </c>
      <c r="BQ1051" s="693">
        <f>SUMIFS(Imput[[Importe Neto]:[Importe Neto]],Imput[[C. Imp.]:[C. Imp.]],$D1051,Imput[[PERIODO Imp.]:[PERIODO Imp.]],BQ$9)</f>
        <v>0</v>
      </c>
      <c r="BR1051" s="693">
        <f>SUMIFS(Imput[[Importe Neto]:[Importe Neto]],Imput[[C. Imp.]:[C. Imp.]],$D1051,Imput[[PERIODO Imp.]:[PERIODO Imp.]],BR$9)</f>
        <v>0</v>
      </c>
      <c r="BS1051" s="693">
        <f>SUMIFS(Imput[[Importe Neto]:[Importe Neto]],Imput[[C. Imp.]:[C. Imp.]],$D1051,Imput[[PERIODO Imp.]:[PERIODO Imp.]],BS$9)</f>
        <v>0</v>
      </c>
      <c r="BT1051" s="693">
        <f>SUMIFS(Imput[[Importe Neto]:[Importe Neto]],Imput[[C. Imp.]:[C. Imp.]],$D1051,Imput[[PERIODO Imp.]:[PERIODO Imp.]],BT$9)</f>
        <v>0</v>
      </c>
      <c r="BU1051" s="693">
        <f>SUMIFS(Imput[[Importe Neto]:[Importe Neto]],Imput[[C. Imp.]:[C. Imp.]],$D1051,Imput[[PERIODO Imp.]:[PERIODO Imp.]],BU$9)</f>
        <v>0</v>
      </c>
      <c r="BV1051" s="693">
        <f>SUMIFS(Imput[[Importe Neto]:[Importe Neto]],Imput[[C. Imp.]:[C. Imp.]],$D1051,Imput[[PERIODO Imp.]:[PERIODO Imp.]],BV$9)</f>
        <v>0</v>
      </c>
      <c r="BW1051" s="693">
        <f>SUMIFS(Imput[[Importe Neto]:[Importe Neto]],Imput[[C. Imp.]:[C. Imp.]],$D1051,Imput[[PERIODO Imp.]:[PERIODO Imp.]],BW$9)</f>
        <v>0</v>
      </c>
      <c r="BX1051" s="693">
        <f>SUMIFS(Imput[[Importe Neto]:[Importe Neto]],Imput[[C. Imp.]:[C. Imp.]],$D1051,Imput[[PERIODO Imp.]:[PERIODO Imp.]],BX$9)</f>
        <v>0</v>
      </c>
      <c r="BY1051" s="693">
        <f>SUMIFS(Imput[[Importe Neto]:[Importe Neto]],Imput[[C. Imp.]:[C. Imp.]],$D1051,Imput[[PERIODO Imp.]:[PERIODO Imp.]],BY$9)</f>
        <v>0</v>
      </c>
      <c r="BZ1051" s="693">
        <f>SUMIFS(Imput[[Importe Neto]:[Importe Neto]],Imput[[C. Imp.]:[C. Imp.]],$D1051,Imput[[PERIODO Imp.]:[PERIODO Imp.]],BZ$9)</f>
        <v>0</v>
      </c>
      <c r="CA1051" s="693">
        <f>SUMIFS(Imput[[Importe Neto]:[Importe Neto]],Imput[[C. Imp.]:[C. Imp.]],$D1051,Imput[[PERIODO Imp.]:[PERIODO Imp.]],CA$9)</f>
        <v>0</v>
      </c>
      <c r="CB1051" s="693">
        <f>SUMIFS(Imput[[Importe Neto]:[Importe Neto]],Imput[[C. Imp.]:[C. Imp.]],$D1051,Imput[[PERIODO Imp.]:[PERIODO Imp.]],CB$9)</f>
        <v>0</v>
      </c>
      <c r="CC1051" s="693">
        <f>SUMIFS(Imput[[Importe Neto]:[Importe Neto]],Imput[[C. Imp.]:[C. Imp.]],$D1051,Imput[[PERIODO Imp.]:[PERIODO Imp.]],CC$9)</f>
        <v>0</v>
      </c>
      <c r="CD1051" s="693">
        <f>SUMIFS(Imput[[Importe Neto]:[Importe Neto]],Imput[[C. Imp.]:[C. Imp.]],$D1051,Imput[[PERIODO Imp.]:[PERIODO Imp.]],CD$9)</f>
        <v>0</v>
      </c>
      <c r="CE1051" s="693">
        <f>SUMIFS(Imput[[Importe Neto]:[Importe Neto]],Imput[[C. Imp.]:[C. Imp.]],$D1051,Imput[[PERIODO Imp.]:[PERIODO Imp.]],CE$9)</f>
        <v>0</v>
      </c>
      <c r="CF1051" s="693">
        <f>SUMIFS(Imput[[Importe Neto]:[Importe Neto]],Imput[[C. Imp.]:[C. Imp.]],$D1051,Imput[[PERIODO Imp.]:[PERIODO Imp.]],CF$9)</f>
        <v>0</v>
      </c>
      <c r="CG1051" s="693">
        <f>SUMIFS(Imput[[Importe Neto]:[Importe Neto]],Imput[[C. Imp.]:[C. Imp.]],$D1051,Imput[[PERIODO Imp.]:[PERIODO Imp.]],CG$9)</f>
        <v>0</v>
      </c>
      <c r="CH1051" s="693">
        <f>SUMIFS(Imput[[Importe Neto]:[Importe Neto]],Imput[[C. Imp.]:[C. Imp.]],$D1051,Imput[[PERIODO Imp.]:[PERIODO Imp.]],CH$9)</f>
        <v>0</v>
      </c>
      <c r="CI1051" s="693">
        <f>SUMIFS(Imput[[Importe Neto]:[Importe Neto]],Imput[[C. Imp.]:[C. Imp.]],$D1051,Imput[[PERIODO Imp.]:[PERIODO Imp.]],CI$9)</f>
        <v>0</v>
      </c>
      <c r="CJ1051" s="693">
        <f>SUMIFS(Imput[[Importe Neto]:[Importe Neto]],Imput[[C. Imp.]:[C. Imp.]],$D1051,Imput[[PERIODO Imp.]:[PERIODO Imp.]],CJ$9)</f>
        <v>0</v>
      </c>
      <c r="CK1051" s="693">
        <f>SUMIFS(Imput[[Importe Neto]:[Importe Neto]],Imput[[C. Imp.]:[C. Imp.]],$D1051,Imput[[PERIODO Imp.]:[PERIODO Imp.]],CK$9)</f>
        <v>0</v>
      </c>
      <c r="CL1051" s="693">
        <f>SUMIFS(Imput[[Importe Neto]:[Importe Neto]],Imput[[C. Imp.]:[C. Imp.]],$D1051,Imput[[PERIODO Imp.]:[PERIODO Imp.]],CL$9)</f>
        <v>0</v>
      </c>
      <c r="CM1051" s="693">
        <f>SUMIFS(Imput[[Importe Neto]:[Importe Neto]],Imput[[C. Imp.]:[C. Imp.]],$D1051,Imput[[PERIODO Imp.]:[PERIODO Imp.]],CM$9)</f>
        <v>0</v>
      </c>
      <c r="CN1051" s="693">
        <f>SUMIFS(Imput[[Importe Neto]:[Importe Neto]],Imput[[C. Imp.]:[C. Imp.]],$D1051,Imput[[PERIODO Imp.]:[PERIODO Imp.]],CN$9)</f>
        <v>0</v>
      </c>
      <c r="CO1051" s="693">
        <f>SUMIFS(Imput[[Importe Neto]:[Importe Neto]],Imput[[C. Imp.]:[C. Imp.]],$D1051,Imput[[PERIODO Imp.]:[PERIODO Imp.]],CO$9)</f>
        <v>0</v>
      </c>
      <c r="CP1051" s="693">
        <f>SUMIFS(Imput[[Importe Neto]:[Importe Neto]],Imput[[C. Imp.]:[C. Imp.]],$D1051,Imput[[PERIODO Imp.]:[PERIODO Imp.]],CP$9)</f>
        <v>0</v>
      </c>
      <c r="CQ1051" s="693">
        <f>SUMIFS(Imput[[Importe Neto]:[Importe Neto]],Imput[[C. Imp.]:[C. Imp.]],$D1051,Imput[[PERIODO Imp.]:[PERIODO Imp.]],CQ$9)</f>
        <v>0</v>
      </c>
      <c r="CR1051" s="693">
        <f>SUMIFS(Imput[[Importe Neto]:[Importe Neto]],Imput[[C. Imp.]:[C. Imp.]],$D1051,Imput[[PERIODO Imp.]:[PERIODO Imp.]],CR$9)</f>
        <v>0</v>
      </c>
      <c r="CS1051" s="693">
        <f>SUMIFS(Imput[[Importe Neto]:[Importe Neto]],Imput[[C. Imp.]:[C. Imp.]],$D1051,Imput[[PERIODO Imp.]:[PERIODO Imp.]],CS$9)</f>
        <v>0</v>
      </c>
      <c r="CT1051" s="693">
        <f>SUMIFS(Imput[[Importe Neto]:[Importe Neto]],Imput[[C. Imp.]:[C. Imp.]],$D1051,Imput[[PERIODO Imp.]:[PERIODO Imp.]],CT$9)</f>
        <v>0</v>
      </c>
      <c r="CU1051" s="693">
        <f>SUMIFS(Imput[[Importe Neto]:[Importe Neto]],Imput[[C. Imp.]:[C. Imp.]],$D1051,Imput[[PERIODO Imp.]:[PERIODO Imp.]],CU$9)</f>
        <v>0</v>
      </c>
      <c r="CV1051" s="693">
        <f>SUMIFS(Imput[[Importe Neto]:[Importe Neto]],Imput[[C. Imp.]:[C. Imp.]],$D1051,Imput[[PERIODO Imp.]:[PERIODO Imp.]],CV$9)</f>
        <v>0</v>
      </c>
      <c r="CW1051" s="693">
        <f>SUMIFS(Imput[[Importe Neto]:[Importe Neto]],Imput[[C. Imp.]:[C. Imp.]],$D1051,Imput[[PERIODO Imp.]:[PERIODO Imp.]],CW$9)</f>
        <v>0</v>
      </c>
      <c r="CX1051" s="693">
        <f>SUMIFS(Imput[[Importe Neto]:[Importe Neto]],Imput[[C. Imp.]:[C. Imp.]],$D1051,Imput[[PERIODO Imp.]:[PERIODO Imp.]],CX$9)</f>
        <v>0</v>
      </c>
      <c r="CY1051" s="693">
        <f>SUMIFS(Imput[[Importe Neto]:[Importe Neto]],Imput[[C. Imp.]:[C. Imp.]],$D1051,Imput[[PERIODO Imp.]:[PERIODO Imp.]],CY$9)</f>
        <v>0</v>
      </c>
      <c r="CZ1051" s="693">
        <f>SUMIFS(Imput[[Importe Neto]:[Importe Neto]],Imput[[C. Imp.]:[C. Imp.]],$D1051,Imput[[PERIODO Imp.]:[PERIODO Imp.]],CZ$9)</f>
        <v>0</v>
      </c>
      <c r="DA1051" s="693">
        <f>SUMIFS(Imput[[Importe Neto]:[Importe Neto]],Imput[[C. Imp.]:[C. Imp.]],$D1051,Imput[[PERIODO Imp.]:[PERIODO Imp.]],DA$9)</f>
        <v>0</v>
      </c>
      <c r="DB1051" s="693">
        <f>SUMIFS(Imput[[Importe Neto]:[Importe Neto]],Imput[[C. Imp.]:[C. Imp.]],$D1051,Imput[[PERIODO Imp.]:[PERIODO Imp.]],DB$9)</f>
        <v>0</v>
      </c>
      <c r="DC1051" s="693">
        <f>SUMIFS(Imput[[Importe Neto]:[Importe Neto]],Imput[[C. Imp.]:[C. Imp.]],$D1051,Imput[[PERIODO Imp.]:[PERIODO Imp.]],DC$9)</f>
        <v>0</v>
      </c>
      <c r="DD1051" s="693">
        <f>SUMIFS(Imput[[Importe Neto]:[Importe Neto]],Imput[[C. Imp.]:[C. Imp.]],$D1051,Imput[[PERIODO Imp.]:[PERIODO Imp.]],DD$9)</f>
        <v>0</v>
      </c>
      <c r="DE1051" s="693">
        <f>SUMIFS(Imput[[Importe Neto]:[Importe Neto]],Imput[[C. Imp.]:[C. Imp.]],$D1051,Imput[[PERIODO Imp.]:[PERIODO Imp.]],DE$9)</f>
        <v>0</v>
      </c>
      <c r="DF1051" s="693">
        <f>SUMIFS(Imput[[Importe Neto]:[Importe Neto]],Imput[[C. Imp.]:[C. Imp.]],$D1051,Imput[[PERIODO Imp.]:[PERIODO Imp.]],DF$9)</f>
        <v>0</v>
      </c>
      <c r="DG1051" s="693">
        <f>SUMIFS(Imput[[Importe Neto]:[Importe Neto]],Imput[[C. Imp.]:[C. Imp.]],$D1051,Imput[[PERIODO Imp.]:[PERIODO Imp.]],DG$9)</f>
        <v>0</v>
      </c>
      <c r="DH1051" s="694">
        <f>SUMIFS(Imput[[Importe Neto]:[Importe Neto]],Imput[[C. Imp.]:[C. Imp.]],$D1051,Imput[[PERIODO Imp.]:[PERIODO Imp.]],DH$9)</f>
        <v>0</v>
      </c>
    </row>
    <row r="1052" spans="1:112" s="649" customFormat="1" hidden="1" outlineLevel="1" x14ac:dyDescent="0.3">
      <c r="A1052" s="652" t="str">
        <f t="shared" si="354"/>
        <v/>
      </c>
      <c r="B1052" s="652"/>
      <c r="C1052" s="685"/>
      <c r="D1052" s="686"/>
      <c r="E1052" s="686"/>
      <c r="F1052" s="720"/>
      <c r="G1052" s="688"/>
      <c r="H1052" s="689"/>
      <c r="I1052" s="851" t="str">
        <f t="shared" si="355"/>
        <v/>
      </c>
      <c r="J1052" s="850" t="str">
        <f t="shared" si="356"/>
        <v/>
      </c>
      <c r="K1052" s="667"/>
      <c r="L1052" s="858"/>
      <c r="M1052" s="859"/>
      <c r="N1052" s="859"/>
      <c r="O1052" s="859"/>
      <c r="P1052" s="859"/>
      <c r="Q1052" s="859"/>
      <c r="R1052" s="859"/>
      <c r="S1052" s="859"/>
      <c r="T1052" s="859"/>
      <c r="U1052" s="859"/>
      <c r="V1052" s="859"/>
      <c r="W1052" s="859"/>
      <c r="X1052" s="859"/>
      <c r="Y1052" s="859"/>
      <c r="Z1052" s="860"/>
      <c r="AA1052" s="860"/>
      <c r="AB1052" s="860"/>
      <c r="AC1052" s="860"/>
      <c r="AD1052" s="860"/>
      <c r="AE1052" s="860"/>
      <c r="AF1052" s="860"/>
      <c r="AG1052" s="860"/>
      <c r="AH1052" s="860"/>
      <c r="AI1052" s="860"/>
      <c r="AJ1052" s="860"/>
      <c r="AK1052" s="860"/>
      <c r="AL1052" s="860"/>
      <c r="AM1052" s="860"/>
      <c r="AN1052" s="860"/>
      <c r="AO1052" s="860"/>
      <c r="AP1052" s="860"/>
      <c r="AQ1052" s="860"/>
      <c r="AR1052" s="860"/>
      <c r="AS1052" s="860"/>
      <c r="AT1052" s="860"/>
      <c r="AU1052" s="860"/>
      <c r="AV1052" s="860"/>
      <c r="AW1052" s="860"/>
      <c r="AX1052" s="860"/>
      <c r="AY1052" s="860"/>
      <c r="AZ1052" s="860"/>
      <c r="BA1052" s="860"/>
      <c r="BB1052" s="860"/>
      <c r="BC1052" s="860"/>
      <c r="BD1052" s="860"/>
      <c r="BE1052" s="860"/>
      <c r="BF1052" s="860"/>
      <c r="BG1052" s="860"/>
      <c r="BH1052" s="668"/>
      <c r="BI1052" s="654"/>
      <c r="BJ1052" s="690">
        <f t="shared" si="357"/>
        <v>0</v>
      </c>
      <c r="BK1052" s="691">
        <f t="shared" si="358"/>
        <v>0</v>
      </c>
      <c r="BL1052" s="654"/>
      <c r="BM1052" s="692">
        <f>SUMIFS(Imput[[Importe Neto]:[Importe Neto]],Imput[[C. Imp.]:[C. Imp.]],$D1052,Imput[[PERIODO Imp.]:[PERIODO Imp.]],BM$9)</f>
        <v>0</v>
      </c>
      <c r="BN1052" s="693">
        <f>SUMIFS(Imput[[Importe Neto]:[Importe Neto]],Imput[[C. Imp.]:[C. Imp.]],$D1052,Imput[[PERIODO Imp.]:[PERIODO Imp.]],BN$9)</f>
        <v>0</v>
      </c>
      <c r="BO1052" s="693">
        <f>SUMIFS(Imput[[Importe Neto]:[Importe Neto]],Imput[[C. Imp.]:[C. Imp.]],$D1052,Imput[[PERIODO Imp.]:[PERIODO Imp.]],BO$9)</f>
        <v>0</v>
      </c>
      <c r="BP1052" s="693">
        <f>SUMIFS(Imput[[Importe Neto]:[Importe Neto]],Imput[[C. Imp.]:[C. Imp.]],$D1052,Imput[[PERIODO Imp.]:[PERIODO Imp.]],BP$9)</f>
        <v>0</v>
      </c>
      <c r="BQ1052" s="693">
        <f>SUMIFS(Imput[[Importe Neto]:[Importe Neto]],Imput[[C. Imp.]:[C. Imp.]],$D1052,Imput[[PERIODO Imp.]:[PERIODO Imp.]],BQ$9)</f>
        <v>0</v>
      </c>
      <c r="BR1052" s="693">
        <f>SUMIFS(Imput[[Importe Neto]:[Importe Neto]],Imput[[C. Imp.]:[C. Imp.]],$D1052,Imput[[PERIODO Imp.]:[PERIODO Imp.]],BR$9)</f>
        <v>0</v>
      </c>
      <c r="BS1052" s="693">
        <f>SUMIFS(Imput[[Importe Neto]:[Importe Neto]],Imput[[C. Imp.]:[C. Imp.]],$D1052,Imput[[PERIODO Imp.]:[PERIODO Imp.]],BS$9)</f>
        <v>0</v>
      </c>
      <c r="BT1052" s="693">
        <f>SUMIFS(Imput[[Importe Neto]:[Importe Neto]],Imput[[C. Imp.]:[C. Imp.]],$D1052,Imput[[PERIODO Imp.]:[PERIODO Imp.]],BT$9)</f>
        <v>0</v>
      </c>
      <c r="BU1052" s="693">
        <f>SUMIFS(Imput[[Importe Neto]:[Importe Neto]],Imput[[C. Imp.]:[C. Imp.]],$D1052,Imput[[PERIODO Imp.]:[PERIODO Imp.]],BU$9)</f>
        <v>0</v>
      </c>
      <c r="BV1052" s="693">
        <f>SUMIFS(Imput[[Importe Neto]:[Importe Neto]],Imput[[C. Imp.]:[C. Imp.]],$D1052,Imput[[PERIODO Imp.]:[PERIODO Imp.]],BV$9)</f>
        <v>0</v>
      </c>
      <c r="BW1052" s="693">
        <f>SUMIFS(Imput[[Importe Neto]:[Importe Neto]],Imput[[C. Imp.]:[C. Imp.]],$D1052,Imput[[PERIODO Imp.]:[PERIODO Imp.]],BW$9)</f>
        <v>0</v>
      </c>
      <c r="BX1052" s="693">
        <f>SUMIFS(Imput[[Importe Neto]:[Importe Neto]],Imput[[C. Imp.]:[C. Imp.]],$D1052,Imput[[PERIODO Imp.]:[PERIODO Imp.]],BX$9)</f>
        <v>0</v>
      </c>
      <c r="BY1052" s="693">
        <f>SUMIFS(Imput[[Importe Neto]:[Importe Neto]],Imput[[C. Imp.]:[C. Imp.]],$D1052,Imput[[PERIODO Imp.]:[PERIODO Imp.]],BY$9)</f>
        <v>0</v>
      </c>
      <c r="BZ1052" s="693">
        <f>SUMIFS(Imput[[Importe Neto]:[Importe Neto]],Imput[[C. Imp.]:[C. Imp.]],$D1052,Imput[[PERIODO Imp.]:[PERIODO Imp.]],BZ$9)</f>
        <v>0</v>
      </c>
      <c r="CA1052" s="693">
        <f>SUMIFS(Imput[[Importe Neto]:[Importe Neto]],Imput[[C. Imp.]:[C. Imp.]],$D1052,Imput[[PERIODO Imp.]:[PERIODO Imp.]],CA$9)</f>
        <v>0</v>
      </c>
      <c r="CB1052" s="693">
        <f>SUMIFS(Imput[[Importe Neto]:[Importe Neto]],Imput[[C. Imp.]:[C. Imp.]],$D1052,Imput[[PERIODO Imp.]:[PERIODO Imp.]],CB$9)</f>
        <v>0</v>
      </c>
      <c r="CC1052" s="693">
        <f>SUMIFS(Imput[[Importe Neto]:[Importe Neto]],Imput[[C. Imp.]:[C. Imp.]],$D1052,Imput[[PERIODO Imp.]:[PERIODO Imp.]],CC$9)</f>
        <v>0</v>
      </c>
      <c r="CD1052" s="693">
        <f>SUMIFS(Imput[[Importe Neto]:[Importe Neto]],Imput[[C. Imp.]:[C. Imp.]],$D1052,Imput[[PERIODO Imp.]:[PERIODO Imp.]],CD$9)</f>
        <v>0</v>
      </c>
      <c r="CE1052" s="693">
        <f>SUMIFS(Imput[[Importe Neto]:[Importe Neto]],Imput[[C. Imp.]:[C. Imp.]],$D1052,Imput[[PERIODO Imp.]:[PERIODO Imp.]],CE$9)</f>
        <v>0</v>
      </c>
      <c r="CF1052" s="693">
        <f>SUMIFS(Imput[[Importe Neto]:[Importe Neto]],Imput[[C. Imp.]:[C. Imp.]],$D1052,Imput[[PERIODO Imp.]:[PERIODO Imp.]],CF$9)</f>
        <v>0</v>
      </c>
      <c r="CG1052" s="693">
        <f>SUMIFS(Imput[[Importe Neto]:[Importe Neto]],Imput[[C. Imp.]:[C. Imp.]],$D1052,Imput[[PERIODO Imp.]:[PERIODO Imp.]],CG$9)</f>
        <v>0</v>
      </c>
      <c r="CH1052" s="693">
        <f>SUMIFS(Imput[[Importe Neto]:[Importe Neto]],Imput[[C. Imp.]:[C. Imp.]],$D1052,Imput[[PERIODO Imp.]:[PERIODO Imp.]],CH$9)</f>
        <v>0</v>
      </c>
      <c r="CI1052" s="693">
        <f>SUMIFS(Imput[[Importe Neto]:[Importe Neto]],Imput[[C. Imp.]:[C. Imp.]],$D1052,Imput[[PERIODO Imp.]:[PERIODO Imp.]],CI$9)</f>
        <v>0</v>
      </c>
      <c r="CJ1052" s="693">
        <f>SUMIFS(Imput[[Importe Neto]:[Importe Neto]],Imput[[C. Imp.]:[C. Imp.]],$D1052,Imput[[PERIODO Imp.]:[PERIODO Imp.]],CJ$9)</f>
        <v>0</v>
      </c>
      <c r="CK1052" s="693">
        <f>SUMIFS(Imput[[Importe Neto]:[Importe Neto]],Imput[[C. Imp.]:[C. Imp.]],$D1052,Imput[[PERIODO Imp.]:[PERIODO Imp.]],CK$9)</f>
        <v>0</v>
      </c>
      <c r="CL1052" s="693">
        <f>SUMIFS(Imput[[Importe Neto]:[Importe Neto]],Imput[[C. Imp.]:[C. Imp.]],$D1052,Imput[[PERIODO Imp.]:[PERIODO Imp.]],CL$9)</f>
        <v>0</v>
      </c>
      <c r="CM1052" s="693">
        <f>SUMIFS(Imput[[Importe Neto]:[Importe Neto]],Imput[[C. Imp.]:[C. Imp.]],$D1052,Imput[[PERIODO Imp.]:[PERIODO Imp.]],CM$9)</f>
        <v>0</v>
      </c>
      <c r="CN1052" s="693">
        <f>SUMIFS(Imput[[Importe Neto]:[Importe Neto]],Imput[[C. Imp.]:[C. Imp.]],$D1052,Imput[[PERIODO Imp.]:[PERIODO Imp.]],CN$9)</f>
        <v>0</v>
      </c>
      <c r="CO1052" s="693">
        <f>SUMIFS(Imput[[Importe Neto]:[Importe Neto]],Imput[[C. Imp.]:[C. Imp.]],$D1052,Imput[[PERIODO Imp.]:[PERIODO Imp.]],CO$9)</f>
        <v>0</v>
      </c>
      <c r="CP1052" s="693">
        <f>SUMIFS(Imput[[Importe Neto]:[Importe Neto]],Imput[[C. Imp.]:[C. Imp.]],$D1052,Imput[[PERIODO Imp.]:[PERIODO Imp.]],CP$9)</f>
        <v>0</v>
      </c>
      <c r="CQ1052" s="693">
        <f>SUMIFS(Imput[[Importe Neto]:[Importe Neto]],Imput[[C. Imp.]:[C. Imp.]],$D1052,Imput[[PERIODO Imp.]:[PERIODO Imp.]],CQ$9)</f>
        <v>0</v>
      </c>
      <c r="CR1052" s="693">
        <f>SUMIFS(Imput[[Importe Neto]:[Importe Neto]],Imput[[C. Imp.]:[C. Imp.]],$D1052,Imput[[PERIODO Imp.]:[PERIODO Imp.]],CR$9)</f>
        <v>0</v>
      </c>
      <c r="CS1052" s="693">
        <f>SUMIFS(Imput[[Importe Neto]:[Importe Neto]],Imput[[C. Imp.]:[C. Imp.]],$D1052,Imput[[PERIODO Imp.]:[PERIODO Imp.]],CS$9)</f>
        <v>0</v>
      </c>
      <c r="CT1052" s="693">
        <f>SUMIFS(Imput[[Importe Neto]:[Importe Neto]],Imput[[C. Imp.]:[C. Imp.]],$D1052,Imput[[PERIODO Imp.]:[PERIODO Imp.]],CT$9)</f>
        <v>0</v>
      </c>
      <c r="CU1052" s="693">
        <f>SUMIFS(Imput[[Importe Neto]:[Importe Neto]],Imput[[C. Imp.]:[C. Imp.]],$D1052,Imput[[PERIODO Imp.]:[PERIODO Imp.]],CU$9)</f>
        <v>0</v>
      </c>
      <c r="CV1052" s="693">
        <f>SUMIFS(Imput[[Importe Neto]:[Importe Neto]],Imput[[C. Imp.]:[C. Imp.]],$D1052,Imput[[PERIODO Imp.]:[PERIODO Imp.]],CV$9)</f>
        <v>0</v>
      </c>
      <c r="CW1052" s="693">
        <f>SUMIFS(Imput[[Importe Neto]:[Importe Neto]],Imput[[C. Imp.]:[C. Imp.]],$D1052,Imput[[PERIODO Imp.]:[PERIODO Imp.]],CW$9)</f>
        <v>0</v>
      </c>
      <c r="CX1052" s="693">
        <f>SUMIFS(Imput[[Importe Neto]:[Importe Neto]],Imput[[C. Imp.]:[C. Imp.]],$D1052,Imput[[PERIODO Imp.]:[PERIODO Imp.]],CX$9)</f>
        <v>0</v>
      </c>
      <c r="CY1052" s="693">
        <f>SUMIFS(Imput[[Importe Neto]:[Importe Neto]],Imput[[C. Imp.]:[C. Imp.]],$D1052,Imput[[PERIODO Imp.]:[PERIODO Imp.]],CY$9)</f>
        <v>0</v>
      </c>
      <c r="CZ1052" s="693">
        <f>SUMIFS(Imput[[Importe Neto]:[Importe Neto]],Imput[[C. Imp.]:[C. Imp.]],$D1052,Imput[[PERIODO Imp.]:[PERIODO Imp.]],CZ$9)</f>
        <v>0</v>
      </c>
      <c r="DA1052" s="693">
        <f>SUMIFS(Imput[[Importe Neto]:[Importe Neto]],Imput[[C. Imp.]:[C. Imp.]],$D1052,Imput[[PERIODO Imp.]:[PERIODO Imp.]],DA$9)</f>
        <v>0</v>
      </c>
      <c r="DB1052" s="693">
        <f>SUMIFS(Imput[[Importe Neto]:[Importe Neto]],Imput[[C. Imp.]:[C. Imp.]],$D1052,Imput[[PERIODO Imp.]:[PERIODO Imp.]],DB$9)</f>
        <v>0</v>
      </c>
      <c r="DC1052" s="693">
        <f>SUMIFS(Imput[[Importe Neto]:[Importe Neto]],Imput[[C. Imp.]:[C. Imp.]],$D1052,Imput[[PERIODO Imp.]:[PERIODO Imp.]],DC$9)</f>
        <v>0</v>
      </c>
      <c r="DD1052" s="693">
        <f>SUMIFS(Imput[[Importe Neto]:[Importe Neto]],Imput[[C. Imp.]:[C. Imp.]],$D1052,Imput[[PERIODO Imp.]:[PERIODO Imp.]],DD$9)</f>
        <v>0</v>
      </c>
      <c r="DE1052" s="693">
        <f>SUMIFS(Imput[[Importe Neto]:[Importe Neto]],Imput[[C. Imp.]:[C. Imp.]],$D1052,Imput[[PERIODO Imp.]:[PERIODO Imp.]],DE$9)</f>
        <v>0</v>
      </c>
      <c r="DF1052" s="693">
        <f>SUMIFS(Imput[[Importe Neto]:[Importe Neto]],Imput[[C. Imp.]:[C. Imp.]],$D1052,Imput[[PERIODO Imp.]:[PERIODO Imp.]],DF$9)</f>
        <v>0</v>
      </c>
      <c r="DG1052" s="693">
        <f>SUMIFS(Imput[[Importe Neto]:[Importe Neto]],Imput[[C. Imp.]:[C. Imp.]],$D1052,Imput[[PERIODO Imp.]:[PERIODO Imp.]],DG$9)</f>
        <v>0</v>
      </c>
      <c r="DH1052" s="694">
        <f>SUMIFS(Imput[[Importe Neto]:[Importe Neto]],Imput[[C. Imp.]:[C. Imp.]],$D1052,Imput[[PERIODO Imp.]:[PERIODO Imp.]],DH$9)</f>
        <v>0</v>
      </c>
    </row>
    <row r="1053" spans="1:112" s="649" customFormat="1" hidden="1" outlineLevel="1" x14ac:dyDescent="0.3">
      <c r="A1053" s="652" t="str">
        <f t="shared" si="354"/>
        <v/>
      </c>
      <c r="B1053" s="652"/>
      <c r="C1053" s="685"/>
      <c r="D1053" s="686"/>
      <c r="E1053" s="686"/>
      <c r="F1053" s="720"/>
      <c r="G1053" s="688"/>
      <c r="H1053" s="689"/>
      <c r="I1053" s="851" t="str">
        <f t="shared" si="355"/>
        <v/>
      </c>
      <c r="J1053" s="850" t="str">
        <f t="shared" si="356"/>
        <v/>
      </c>
      <c r="K1053" s="667"/>
      <c r="L1053" s="858"/>
      <c r="M1053" s="859"/>
      <c r="N1053" s="859"/>
      <c r="O1053" s="859"/>
      <c r="P1053" s="859"/>
      <c r="Q1053" s="859"/>
      <c r="R1053" s="859"/>
      <c r="S1053" s="859"/>
      <c r="T1053" s="859"/>
      <c r="U1053" s="859"/>
      <c r="V1053" s="859"/>
      <c r="W1053" s="859"/>
      <c r="X1053" s="859"/>
      <c r="Y1053" s="859"/>
      <c r="Z1053" s="860"/>
      <c r="AA1053" s="860"/>
      <c r="AB1053" s="860"/>
      <c r="AC1053" s="860"/>
      <c r="AD1053" s="860"/>
      <c r="AE1053" s="860"/>
      <c r="AF1053" s="860"/>
      <c r="AG1053" s="860"/>
      <c r="AH1053" s="860"/>
      <c r="AI1053" s="860"/>
      <c r="AJ1053" s="860"/>
      <c r="AK1053" s="860"/>
      <c r="AL1053" s="860"/>
      <c r="AM1053" s="860"/>
      <c r="AN1053" s="860"/>
      <c r="AO1053" s="860"/>
      <c r="AP1053" s="860"/>
      <c r="AQ1053" s="860"/>
      <c r="AR1053" s="860"/>
      <c r="AS1053" s="860"/>
      <c r="AT1053" s="860"/>
      <c r="AU1053" s="860"/>
      <c r="AV1053" s="860"/>
      <c r="AW1053" s="860"/>
      <c r="AX1053" s="860"/>
      <c r="AY1053" s="860"/>
      <c r="AZ1053" s="860"/>
      <c r="BA1053" s="860"/>
      <c r="BB1053" s="860"/>
      <c r="BC1053" s="860"/>
      <c r="BD1053" s="860"/>
      <c r="BE1053" s="860"/>
      <c r="BF1053" s="860"/>
      <c r="BG1053" s="860"/>
      <c r="BH1053" s="668"/>
      <c r="BI1053" s="654"/>
      <c r="BJ1053" s="690">
        <f t="shared" si="357"/>
        <v>0</v>
      </c>
      <c r="BK1053" s="691">
        <f t="shared" si="358"/>
        <v>0</v>
      </c>
      <c r="BL1053" s="654"/>
      <c r="BM1053" s="692">
        <f>SUMIFS(Imput[[Importe Neto]:[Importe Neto]],Imput[[C. Imp.]:[C. Imp.]],$D1053,Imput[[PERIODO Imp.]:[PERIODO Imp.]],BM$9)</f>
        <v>0</v>
      </c>
      <c r="BN1053" s="693">
        <f>SUMIFS(Imput[[Importe Neto]:[Importe Neto]],Imput[[C. Imp.]:[C. Imp.]],$D1053,Imput[[PERIODO Imp.]:[PERIODO Imp.]],BN$9)</f>
        <v>0</v>
      </c>
      <c r="BO1053" s="693">
        <f>SUMIFS(Imput[[Importe Neto]:[Importe Neto]],Imput[[C. Imp.]:[C. Imp.]],$D1053,Imput[[PERIODO Imp.]:[PERIODO Imp.]],BO$9)</f>
        <v>0</v>
      </c>
      <c r="BP1053" s="693">
        <f>SUMIFS(Imput[[Importe Neto]:[Importe Neto]],Imput[[C. Imp.]:[C. Imp.]],$D1053,Imput[[PERIODO Imp.]:[PERIODO Imp.]],BP$9)</f>
        <v>0</v>
      </c>
      <c r="BQ1053" s="693">
        <f>SUMIFS(Imput[[Importe Neto]:[Importe Neto]],Imput[[C. Imp.]:[C. Imp.]],$D1053,Imput[[PERIODO Imp.]:[PERIODO Imp.]],BQ$9)</f>
        <v>0</v>
      </c>
      <c r="BR1053" s="693">
        <f>SUMIFS(Imput[[Importe Neto]:[Importe Neto]],Imput[[C. Imp.]:[C. Imp.]],$D1053,Imput[[PERIODO Imp.]:[PERIODO Imp.]],BR$9)</f>
        <v>0</v>
      </c>
      <c r="BS1053" s="693">
        <f>SUMIFS(Imput[[Importe Neto]:[Importe Neto]],Imput[[C. Imp.]:[C. Imp.]],$D1053,Imput[[PERIODO Imp.]:[PERIODO Imp.]],BS$9)</f>
        <v>0</v>
      </c>
      <c r="BT1053" s="693">
        <f>SUMIFS(Imput[[Importe Neto]:[Importe Neto]],Imput[[C. Imp.]:[C. Imp.]],$D1053,Imput[[PERIODO Imp.]:[PERIODO Imp.]],BT$9)</f>
        <v>0</v>
      </c>
      <c r="BU1053" s="693">
        <f>SUMIFS(Imput[[Importe Neto]:[Importe Neto]],Imput[[C. Imp.]:[C. Imp.]],$D1053,Imput[[PERIODO Imp.]:[PERIODO Imp.]],BU$9)</f>
        <v>0</v>
      </c>
      <c r="BV1053" s="693">
        <f>SUMIFS(Imput[[Importe Neto]:[Importe Neto]],Imput[[C. Imp.]:[C. Imp.]],$D1053,Imput[[PERIODO Imp.]:[PERIODO Imp.]],BV$9)</f>
        <v>0</v>
      </c>
      <c r="BW1053" s="693">
        <f>SUMIFS(Imput[[Importe Neto]:[Importe Neto]],Imput[[C. Imp.]:[C. Imp.]],$D1053,Imput[[PERIODO Imp.]:[PERIODO Imp.]],BW$9)</f>
        <v>0</v>
      </c>
      <c r="BX1053" s="693">
        <f>SUMIFS(Imput[[Importe Neto]:[Importe Neto]],Imput[[C. Imp.]:[C. Imp.]],$D1053,Imput[[PERIODO Imp.]:[PERIODO Imp.]],BX$9)</f>
        <v>0</v>
      </c>
      <c r="BY1053" s="693">
        <f>SUMIFS(Imput[[Importe Neto]:[Importe Neto]],Imput[[C. Imp.]:[C. Imp.]],$D1053,Imput[[PERIODO Imp.]:[PERIODO Imp.]],BY$9)</f>
        <v>0</v>
      </c>
      <c r="BZ1053" s="693">
        <f>SUMIFS(Imput[[Importe Neto]:[Importe Neto]],Imput[[C. Imp.]:[C. Imp.]],$D1053,Imput[[PERIODO Imp.]:[PERIODO Imp.]],BZ$9)</f>
        <v>0</v>
      </c>
      <c r="CA1053" s="693">
        <f>SUMIFS(Imput[[Importe Neto]:[Importe Neto]],Imput[[C. Imp.]:[C. Imp.]],$D1053,Imput[[PERIODO Imp.]:[PERIODO Imp.]],CA$9)</f>
        <v>0</v>
      </c>
      <c r="CB1053" s="693">
        <f>SUMIFS(Imput[[Importe Neto]:[Importe Neto]],Imput[[C. Imp.]:[C. Imp.]],$D1053,Imput[[PERIODO Imp.]:[PERIODO Imp.]],CB$9)</f>
        <v>0</v>
      </c>
      <c r="CC1053" s="693">
        <f>SUMIFS(Imput[[Importe Neto]:[Importe Neto]],Imput[[C. Imp.]:[C. Imp.]],$D1053,Imput[[PERIODO Imp.]:[PERIODO Imp.]],CC$9)</f>
        <v>0</v>
      </c>
      <c r="CD1053" s="693">
        <f>SUMIFS(Imput[[Importe Neto]:[Importe Neto]],Imput[[C. Imp.]:[C. Imp.]],$D1053,Imput[[PERIODO Imp.]:[PERIODO Imp.]],CD$9)</f>
        <v>0</v>
      </c>
      <c r="CE1053" s="693">
        <f>SUMIFS(Imput[[Importe Neto]:[Importe Neto]],Imput[[C. Imp.]:[C. Imp.]],$D1053,Imput[[PERIODO Imp.]:[PERIODO Imp.]],CE$9)</f>
        <v>0</v>
      </c>
      <c r="CF1053" s="693">
        <f>SUMIFS(Imput[[Importe Neto]:[Importe Neto]],Imput[[C. Imp.]:[C. Imp.]],$D1053,Imput[[PERIODO Imp.]:[PERIODO Imp.]],CF$9)</f>
        <v>0</v>
      </c>
      <c r="CG1053" s="693">
        <f>SUMIFS(Imput[[Importe Neto]:[Importe Neto]],Imput[[C. Imp.]:[C. Imp.]],$D1053,Imput[[PERIODO Imp.]:[PERIODO Imp.]],CG$9)</f>
        <v>0</v>
      </c>
      <c r="CH1053" s="693">
        <f>SUMIFS(Imput[[Importe Neto]:[Importe Neto]],Imput[[C. Imp.]:[C. Imp.]],$D1053,Imput[[PERIODO Imp.]:[PERIODO Imp.]],CH$9)</f>
        <v>0</v>
      </c>
      <c r="CI1053" s="693">
        <f>SUMIFS(Imput[[Importe Neto]:[Importe Neto]],Imput[[C. Imp.]:[C. Imp.]],$D1053,Imput[[PERIODO Imp.]:[PERIODO Imp.]],CI$9)</f>
        <v>0</v>
      </c>
      <c r="CJ1053" s="693">
        <f>SUMIFS(Imput[[Importe Neto]:[Importe Neto]],Imput[[C. Imp.]:[C. Imp.]],$D1053,Imput[[PERIODO Imp.]:[PERIODO Imp.]],CJ$9)</f>
        <v>0</v>
      </c>
      <c r="CK1053" s="693">
        <f>SUMIFS(Imput[[Importe Neto]:[Importe Neto]],Imput[[C. Imp.]:[C. Imp.]],$D1053,Imput[[PERIODO Imp.]:[PERIODO Imp.]],CK$9)</f>
        <v>0</v>
      </c>
      <c r="CL1053" s="693">
        <f>SUMIFS(Imput[[Importe Neto]:[Importe Neto]],Imput[[C. Imp.]:[C. Imp.]],$D1053,Imput[[PERIODO Imp.]:[PERIODO Imp.]],CL$9)</f>
        <v>0</v>
      </c>
      <c r="CM1053" s="693">
        <f>SUMIFS(Imput[[Importe Neto]:[Importe Neto]],Imput[[C. Imp.]:[C. Imp.]],$D1053,Imput[[PERIODO Imp.]:[PERIODO Imp.]],CM$9)</f>
        <v>0</v>
      </c>
      <c r="CN1053" s="693">
        <f>SUMIFS(Imput[[Importe Neto]:[Importe Neto]],Imput[[C. Imp.]:[C. Imp.]],$D1053,Imput[[PERIODO Imp.]:[PERIODO Imp.]],CN$9)</f>
        <v>0</v>
      </c>
      <c r="CO1053" s="693">
        <f>SUMIFS(Imput[[Importe Neto]:[Importe Neto]],Imput[[C. Imp.]:[C. Imp.]],$D1053,Imput[[PERIODO Imp.]:[PERIODO Imp.]],CO$9)</f>
        <v>0</v>
      </c>
      <c r="CP1053" s="693">
        <f>SUMIFS(Imput[[Importe Neto]:[Importe Neto]],Imput[[C. Imp.]:[C. Imp.]],$D1053,Imput[[PERIODO Imp.]:[PERIODO Imp.]],CP$9)</f>
        <v>0</v>
      </c>
      <c r="CQ1053" s="693">
        <f>SUMIFS(Imput[[Importe Neto]:[Importe Neto]],Imput[[C. Imp.]:[C. Imp.]],$D1053,Imput[[PERIODO Imp.]:[PERIODO Imp.]],CQ$9)</f>
        <v>0</v>
      </c>
      <c r="CR1053" s="693">
        <f>SUMIFS(Imput[[Importe Neto]:[Importe Neto]],Imput[[C. Imp.]:[C. Imp.]],$D1053,Imput[[PERIODO Imp.]:[PERIODO Imp.]],CR$9)</f>
        <v>0</v>
      </c>
      <c r="CS1053" s="693">
        <f>SUMIFS(Imput[[Importe Neto]:[Importe Neto]],Imput[[C. Imp.]:[C. Imp.]],$D1053,Imput[[PERIODO Imp.]:[PERIODO Imp.]],CS$9)</f>
        <v>0</v>
      </c>
      <c r="CT1053" s="693">
        <f>SUMIFS(Imput[[Importe Neto]:[Importe Neto]],Imput[[C. Imp.]:[C. Imp.]],$D1053,Imput[[PERIODO Imp.]:[PERIODO Imp.]],CT$9)</f>
        <v>0</v>
      </c>
      <c r="CU1053" s="693">
        <f>SUMIFS(Imput[[Importe Neto]:[Importe Neto]],Imput[[C. Imp.]:[C. Imp.]],$D1053,Imput[[PERIODO Imp.]:[PERIODO Imp.]],CU$9)</f>
        <v>0</v>
      </c>
      <c r="CV1053" s="693">
        <f>SUMIFS(Imput[[Importe Neto]:[Importe Neto]],Imput[[C. Imp.]:[C. Imp.]],$D1053,Imput[[PERIODO Imp.]:[PERIODO Imp.]],CV$9)</f>
        <v>0</v>
      </c>
      <c r="CW1053" s="693">
        <f>SUMIFS(Imput[[Importe Neto]:[Importe Neto]],Imput[[C. Imp.]:[C. Imp.]],$D1053,Imput[[PERIODO Imp.]:[PERIODO Imp.]],CW$9)</f>
        <v>0</v>
      </c>
      <c r="CX1053" s="693">
        <f>SUMIFS(Imput[[Importe Neto]:[Importe Neto]],Imput[[C. Imp.]:[C. Imp.]],$D1053,Imput[[PERIODO Imp.]:[PERIODO Imp.]],CX$9)</f>
        <v>0</v>
      </c>
      <c r="CY1053" s="693">
        <f>SUMIFS(Imput[[Importe Neto]:[Importe Neto]],Imput[[C. Imp.]:[C. Imp.]],$D1053,Imput[[PERIODO Imp.]:[PERIODO Imp.]],CY$9)</f>
        <v>0</v>
      </c>
      <c r="CZ1053" s="693">
        <f>SUMIFS(Imput[[Importe Neto]:[Importe Neto]],Imput[[C. Imp.]:[C. Imp.]],$D1053,Imput[[PERIODO Imp.]:[PERIODO Imp.]],CZ$9)</f>
        <v>0</v>
      </c>
      <c r="DA1053" s="693">
        <f>SUMIFS(Imput[[Importe Neto]:[Importe Neto]],Imput[[C. Imp.]:[C. Imp.]],$D1053,Imput[[PERIODO Imp.]:[PERIODO Imp.]],DA$9)</f>
        <v>0</v>
      </c>
      <c r="DB1053" s="693">
        <f>SUMIFS(Imput[[Importe Neto]:[Importe Neto]],Imput[[C. Imp.]:[C. Imp.]],$D1053,Imput[[PERIODO Imp.]:[PERIODO Imp.]],DB$9)</f>
        <v>0</v>
      </c>
      <c r="DC1053" s="693">
        <f>SUMIFS(Imput[[Importe Neto]:[Importe Neto]],Imput[[C. Imp.]:[C. Imp.]],$D1053,Imput[[PERIODO Imp.]:[PERIODO Imp.]],DC$9)</f>
        <v>0</v>
      </c>
      <c r="DD1053" s="693">
        <f>SUMIFS(Imput[[Importe Neto]:[Importe Neto]],Imput[[C. Imp.]:[C. Imp.]],$D1053,Imput[[PERIODO Imp.]:[PERIODO Imp.]],DD$9)</f>
        <v>0</v>
      </c>
      <c r="DE1053" s="693">
        <f>SUMIFS(Imput[[Importe Neto]:[Importe Neto]],Imput[[C. Imp.]:[C. Imp.]],$D1053,Imput[[PERIODO Imp.]:[PERIODO Imp.]],DE$9)</f>
        <v>0</v>
      </c>
      <c r="DF1053" s="693">
        <f>SUMIFS(Imput[[Importe Neto]:[Importe Neto]],Imput[[C. Imp.]:[C. Imp.]],$D1053,Imput[[PERIODO Imp.]:[PERIODO Imp.]],DF$9)</f>
        <v>0</v>
      </c>
      <c r="DG1053" s="693">
        <f>SUMIFS(Imput[[Importe Neto]:[Importe Neto]],Imput[[C. Imp.]:[C. Imp.]],$D1053,Imput[[PERIODO Imp.]:[PERIODO Imp.]],DG$9)</f>
        <v>0</v>
      </c>
      <c r="DH1053" s="694">
        <f>SUMIFS(Imput[[Importe Neto]:[Importe Neto]],Imput[[C. Imp.]:[C. Imp.]],$D1053,Imput[[PERIODO Imp.]:[PERIODO Imp.]],DH$9)</f>
        <v>0</v>
      </c>
    </row>
    <row r="1054" spans="1:112" s="649" customFormat="1" hidden="1" outlineLevel="1" x14ac:dyDescent="0.3">
      <c r="A1054" s="652" t="str">
        <f t="shared" si="354"/>
        <v/>
      </c>
      <c r="B1054" s="652"/>
      <c r="C1054" s="685"/>
      <c r="D1054" s="686"/>
      <c r="E1054" s="686"/>
      <c r="F1054" s="720"/>
      <c r="G1054" s="688"/>
      <c r="H1054" s="689"/>
      <c r="I1054" s="851" t="str">
        <f t="shared" si="355"/>
        <v/>
      </c>
      <c r="J1054" s="850" t="str">
        <f t="shared" si="356"/>
        <v/>
      </c>
      <c r="K1054" s="667"/>
      <c r="L1054" s="858"/>
      <c r="M1054" s="859"/>
      <c r="N1054" s="859"/>
      <c r="O1054" s="859"/>
      <c r="P1054" s="859"/>
      <c r="Q1054" s="859"/>
      <c r="R1054" s="859"/>
      <c r="S1054" s="859"/>
      <c r="T1054" s="859"/>
      <c r="U1054" s="859"/>
      <c r="V1054" s="859"/>
      <c r="W1054" s="859"/>
      <c r="X1054" s="859"/>
      <c r="Y1054" s="859"/>
      <c r="Z1054" s="860"/>
      <c r="AA1054" s="860"/>
      <c r="AB1054" s="860"/>
      <c r="AC1054" s="860"/>
      <c r="AD1054" s="860"/>
      <c r="AE1054" s="860"/>
      <c r="AF1054" s="860"/>
      <c r="AG1054" s="860"/>
      <c r="AH1054" s="860"/>
      <c r="AI1054" s="860"/>
      <c r="AJ1054" s="860"/>
      <c r="AK1054" s="860"/>
      <c r="AL1054" s="860"/>
      <c r="AM1054" s="860"/>
      <c r="AN1054" s="860"/>
      <c r="AO1054" s="860"/>
      <c r="AP1054" s="860"/>
      <c r="AQ1054" s="860"/>
      <c r="AR1054" s="860"/>
      <c r="AS1054" s="860"/>
      <c r="AT1054" s="860"/>
      <c r="AU1054" s="860"/>
      <c r="AV1054" s="860"/>
      <c r="AW1054" s="860"/>
      <c r="AX1054" s="860"/>
      <c r="AY1054" s="860"/>
      <c r="AZ1054" s="860"/>
      <c r="BA1054" s="860"/>
      <c r="BB1054" s="860"/>
      <c r="BC1054" s="860"/>
      <c r="BD1054" s="860"/>
      <c r="BE1054" s="860"/>
      <c r="BF1054" s="860"/>
      <c r="BG1054" s="860"/>
      <c r="BH1054" s="668"/>
      <c r="BI1054" s="654"/>
      <c r="BJ1054" s="690">
        <f t="shared" si="357"/>
        <v>0</v>
      </c>
      <c r="BK1054" s="691">
        <f t="shared" si="358"/>
        <v>0</v>
      </c>
      <c r="BL1054" s="654"/>
      <c r="BM1054" s="692">
        <f>SUMIFS(Imput[[Importe Neto]:[Importe Neto]],Imput[[C. Imp.]:[C. Imp.]],$D1054,Imput[[PERIODO Imp.]:[PERIODO Imp.]],BM$9)</f>
        <v>0</v>
      </c>
      <c r="BN1054" s="693">
        <f>SUMIFS(Imput[[Importe Neto]:[Importe Neto]],Imput[[C. Imp.]:[C. Imp.]],$D1054,Imput[[PERIODO Imp.]:[PERIODO Imp.]],BN$9)</f>
        <v>0</v>
      </c>
      <c r="BO1054" s="693">
        <f>SUMIFS(Imput[[Importe Neto]:[Importe Neto]],Imput[[C. Imp.]:[C. Imp.]],$D1054,Imput[[PERIODO Imp.]:[PERIODO Imp.]],BO$9)</f>
        <v>0</v>
      </c>
      <c r="BP1054" s="693">
        <f>SUMIFS(Imput[[Importe Neto]:[Importe Neto]],Imput[[C. Imp.]:[C. Imp.]],$D1054,Imput[[PERIODO Imp.]:[PERIODO Imp.]],BP$9)</f>
        <v>0</v>
      </c>
      <c r="BQ1054" s="693">
        <f>SUMIFS(Imput[[Importe Neto]:[Importe Neto]],Imput[[C. Imp.]:[C. Imp.]],$D1054,Imput[[PERIODO Imp.]:[PERIODO Imp.]],BQ$9)</f>
        <v>0</v>
      </c>
      <c r="BR1054" s="693">
        <f>SUMIFS(Imput[[Importe Neto]:[Importe Neto]],Imput[[C. Imp.]:[C. Imp.]],$D1054,Imput[[PERIODO Imp.]:[PERIODO Imp.]],BR$9)</f>
        <v>0</v>
      </c>
      <c r="BS1054" s="693">
        <f>SUMIFS(Imput[[Importe Neto]:[Importe Neto]],Imput[[C. Imp.]:[C. Imp.]],$D1054,Imput[[PERIODO Imp.]:[PERIODO Imp.]],BS$9)</f>
        <v>0</v>
      </c>
      <c r="BT1054" s="693">
        <f>SUMIFS(Imput[[Importe Neto]:[Importe Neto]],Imput[[C. Imp.]:[C. Imp.]],$D1054,Imput[[PERIODO Imp.]:[PERIODO Imp.]],BT$9)</f>
        <v>0</v>
      </c>
      <c r="BU1054" s="693">
        <f>SUMIFS(Imput[[Importe Neto]:[Importe Neto]],Imput[[C. Imp.]:[C. Imp.]],$D1054,Imput[[PERIODO Imp.]:[PERIODO Imp.]],BU$9)</f>
        <v>0</v>
      </c>
      <c r="BV1054" s="693">
        <f>SUMIFS(Imput[[Importe Neto]:[Importe Neto]],Imput[[C. Imp.]:[C. Imp.]],$D1054,Imput[[PERIODO Imp.]:[PERIODO Imp.]],BV$9)</f>
        <v>0</v>
      </c>
      <c r="BW1054" s="693">
        <f>SUMIFS(Imput[[Importe Neto]:[Importe Neto]],Imput[[C. Imp.]:[C. Imp.]],$D1054,Imput[[PERIODO Imp.]:[PERIODO Imp.]],BW$9)</f>
        <v>0</v>
      </c>
      <c r="BX1054" s="693">
        <f>SUMIFS(Imput[[Importe Neto]:[Importe Neto]],Imput[[C. Imp.]:[C. Imp.]],$D1054,Imput[[PERIODO Imp.]:[PERIODO Imp.]],BX$9)</f>
        <v>0</v>
      </c>
      <c r="BY1054" s="693">
        <f>SUMIFS(Imput[[Importe Neto]:[Importe Neto]],Imput[[C. Imp.]:[C. Imp.]],$D1054,Imput[[PERIODO Imp.]:[PERIODO Imp.]],BY$9)</f>
        <v>0</v>
      </c>
      <c r="BZ1054" s="693">
        <f>SUMIFS(Imput[[Importe Neto]:[Importe Neto]],Imput[[C. Imp.]:[C. Imp.]],$D1054,Imput[[PERIODO Imp.]:[PERIODO Imp.]],BZ$9)</f>
        <v>0</v>
      </c>
      <c r="CA1054" s="693">
        <f>SUMIFS(Imput[[Importe Neto]:[Importe Neto]],Imput[[C. Imp.]:[C. Imp.]],$D1054,Imput[[PERIODO Imp.]:[PERIODO Imp.]],CA$9)</f>
        <v>0</v>
      </c>
      <c r="CB1054" s="693">
        <f>SUMIFS(Imput[[Importe Neto]:[Importe Neto]],Imput[[C. Imp.]:[C. Imp.]],$D1054,Imput[[PERIODO Imp.]:[PERIODO Imp.]],CB$9)</f>
        <v>0</v>
      </c>
      <c r="CC1054" s="693">
        <f>SUMIFS(Imput[[Importe Neto]:[Importe Neto]],Imput[[C. Imp.]:[C. Imp.]],$D1054,Imput[[PERIODO Imp.]:[PERIODO Imp.]],CC$9)</f>
        <v>0</v>
      </c>
      <c r="CD1054" s="693">
        <f>SUMIFS(Imput[[Importe Neto]:[Importe Neto]],Imput[[C. Imp.]:[C. Imp.]],$D1054,Imput[[PERIODO Imp.]:[PERIODO Imp.]],CD$9)</f>
        <v>0</v>
      </c>
      <c r="CE1054" s="693">
        <f>SUMIFS(Imput[[Importe Neto]:[Importe Neto]],Imput[[C. Imp.]:[C. Imp.]],$D1054,Imput[[PERIODO Imp.]:[PERIODO Imp.]],CE$9)</f>
        <v>0</v>
      </c>
      <c r="CF1054" s="693">
        <f>SUMIFS(Imput[[Importe Neto]:[Importe Neto]],Imput[[C. Imp.]:[C. Imp.]],$D1054,Imput[[PERIODO Imp.]:[PERIODO Imp.]],CF$9)</f>
        <v>0</v>
      </c>
      <c r="CG1054" s="693">
        <f>SUMIFS(Imput[[Importe Neto]:[Importe Neto]],Imput[[C. Imp.]:[C. Imp.]],$D1054,Imput[[PERIODO Imp.]:[PERIODO Imp.]],CG$9)</f>
        <v>0</v>
      </c>
      <c r="CH1054" s="693">
        <f>SUMIFS(Imput[[Importe Neto]:[Importe Neto]],Imput[[C. Imp.]:[C. Imp.]],$D1054,Imput[[PERIODO Imp.]:[PERIODO Imp.]],CH$9)</f>
        <v>0</v>
      </c>
      <c r="CI1054" s="693">
        <f>SUMIFS(Imput[[Importe Neto]:[Importe Neto]],Imput[[C. Imp.]:[C. Imp.]],$D1054,Imput[[PERIODO Imp.]:[PERIODO Imp.]],CI$9)</f>
        <v>0</v>
      </c>
      <c r="CJ1054" s="693">
        <f>SUMIFS(Imput[[Importe Neto]:[Importe Neto]],Imput[[C. Imp.]:[C. Imp.]],$D1054,Imput[[PERIODO Imp.]:[PERIODO Imp.]],CJ$9)</f>
        <v>0</v>
      </c>
      <c r="CK1054" s="693">
        <f>SUMIFS(Imput[[Importe Neto]:[Importe Neto]],Imput[[C. Imp.]:[C. Imp.]],$D1054,Imput[[PERIODO Imp.]:[PERIODO Imp.]],CK$9)</f>
        <v>0</v>
      </c>
      <c r="CL1054" s="693">
        <f>SUMIFS(Imput[[Importe Neto]:[Importe Neto]],Imput[[C. Imp.]:[C. Imp.]],$D1054,Imput[[PERIODO Imp.]:[PERIODO Imp.]],CL$9)</f>
        <v>0</v>
      </c>
      <c r="CM1054" s="693">
        <f>SUMIFS(Imput[[Importe Neto]:[Importe Neto]],Imput[[C. Imp.]:[C. Imp.]],$D1054,Imput[[PERIODO Imp.]:[PERIODO Imp.]],CM$9)</f>
        <v>0</v>
      </c>
      <c r="CN1054" s="693">
        <f>SUMIFS(Imput[[Importe Neto]:[Importe Neto]],Imput[[C. Imp.]:[C. Imp.]],$D1054,Imput[[PERIODO Imp.]:[PERIODO Imp.]],CN$9)</f>
        <v>0</v>
      </c>
      <c r="CO1054" s="693">
        <f>SUMIFS(Imput[[Importe Neto]:[Importe Neto]],Imput[[C. Imp.]:[C. Imp.]],$D1054,Imput[[PERIODO Imp.]:[PERIODO Imp.]],CO$9)</f>
        <v>0</v>
      </c>
      <c r="CP1054" s="693">
        <f>SUMIFS(Imput[[Importe Neto]:[Importe Neto]],Imput[[C. Imp.]:[C. Imp.]],$D1054,Imput[[PERIODO Imp.]:[PERIODO Imp.]],CP$9)</f>
        <v>0</v>
      </c>
      <c r="CQ1054" s="693">
        <f>SUMIFS(Imput[[Importe Neto]:[Importe Neto]],Imput[[C. Imp.]:[C. Imp.]],$D1054,Imput[[PERIODO Imp.]:[PERIODO Imp.]],CQ$9)</f>
        <v>0</v>
      </c>
      <c r="CR1054" s="693">
        <f>SUMIFS(Imput[[Importe Neto]:[Importe Neto]],Imput[[C. Imp.]:[C. Imp.]],$D1054,Imput[[PERIODO Imp.]:[PERIODO Imp.]],CR$9)</f>
        <v>0</v>
      </c>
      <c r="CS1054" s="693">
        <f>SUMIFS(Imput[[Importe Neto]:[Importe Neto]],Imput[[C. Imp.]:[C. Imp.]],$D1054,Imput[[PERIODO Imp.]:[PERIODO Imp.]],CS$9)</f>
        <v>0</v>
      </c>
      <c r="CT1054" s="693">
        <f>SUMIFS(Imput[[Importe Neto]:[Importe Neto]],Imput[[C. Imp.]:[C. Imp.]],$D1054,Imput[[PERIODO Imp.]:[PERIODO Imp.]],CT$9)</f>
        <v>0</v>
      </c>
      <c r="CU1054" s="693">
        <f>SUMIFS(Imput[[Importe Neto]:[Importe Neto]],Imput[[C. Imp.]:[C. Imp.]],$D1054,Imput[[PERIODO Imp.]:[PERIODO Imp.]],CU$9)</f>
        <v>0</v>
      </c>
      <c r="CV1054" s="693">
        <f>SUMIFS(Imput[[Importe Neto]:[Importe Neto]],Imput[[C. Imp.]:[C. Imp.]],$D1054,Imput[[PERIODO Imp.]:[PERIODO Imp.]],CV$9)</f>
        <v>0</v>
      </c>
      <c r="CW1054" s="693">
        <f>SUMIFS(Imput[[Importe Neto]:[Importe Neto]],Imput[[C. Imp.]:[C. Imp.]],$D1054,Imput[[PERIODO Imp.]:[PERIODO Imp.]],CW$9)</f>
        <v>0</v>
      </c>
      <c r="CX1054" s="693">
        <f>SUMIFS(Imput[[Importe Neto]:[Importe Neto]],Imput[[C. Imp.]:[C. Imp.]],$D1054,Imput[[PERIODO Imp.]:[PERIODO Imp.]],CX$9)</f>
        <v>0</v>
      </c>
      <c r="CY1054" s="693">
        <f>SUMIFS(Imput[[Importe Neto]:[Importe Neto]],Imput[[C. Imp.]:[C. Imp.]],$D1054,Imput[[PERIODO Imp.]:[PERIODO Imp.]],CY$9)</f>
        <v>0</v>
      </c>
      <c r="CZ1054" s="693">
        <f>SUMIFS(Imput[[Importe Neto]:[Importe Neto]],Imput[[C. Imp.]:[C. Imp.]],$D1054,Imput[[PERIODO Imp.]:[PERIODO Imp.]],CZ$9)</f>
        <v>0</v>
      </c>
      <c r="DA1054" s="693">
        <f>SUMIFS(Imput[[Importe Neto]:[Importe Neto]],Imput[[C. Imp.]:[C. Imp.]],$D1054,Imput[[PERIODO Imp.]:[PERIODO Imp.]],DA$9)</f>
        <v>0</v>
      </c>
      <c r="DB1054" s="693">
        <f>SUMIFS(Imput[[Importe Neto]:[Importe Neto]],Imput[[C. Imp.]:[C. Imp.]],$D1054,Imput[[PERIODO Imp.]:[PERIODO Imp.]],DB$9)</f>
        <v>0</v>
      </c>
      <c r="DC1054" s="693">
        <f>SUMIFS(Imput[[Importe Neto]:[Importe Neto]],Imput[[C. Imp.]:[C. Imp.]],$D1054,Imput[[PERIODO Imp.]:[PERIODO Imp.]],DC$9)</f>
        <v>0</v>
      </c>
      <c r="DD1054" s="693">
        <f>SUMIFS(Imput[[Importe Neto]:[Importe Neto]],Imput[[C. Imp.]:[C. Imp.]],$D1054,Imput[[PERIODO Imp.]:[PERIODO Imp.]],DD$9)</f>
        <v>0</v>
      </c>
      <c r="DE1054" s="693">
        <f>SUMIFS(Imput[[Importe Neto]:[Importe Neto]],Imput[[C. Imp.]:[C. Imp.]],$D1054,Imput[[PERIODO Imp.]:[PERIODO Imp.]],DE$9)</f>
        <v>0</v>
      </c>
      <c r="DF1054" s="693">
        <f>SUMIFS(Imput[[Importe Neto]:[Importe Neto]],Imput[[C. Imp.]:[C. Imp.]],$D1054,Imput[[PERIODO Imp.]:[PERIODO Imp.]],DF$9)</f>
        <v>0</v>
      </c>
      <c r="DG1054" s="693">
        <f>SUMIFS(Imput[[Importe Neto]:[Importe Neto]],Imput[[C. Imp.]:[C. Imp.]],$D1054,Imput[[PERIODO Imp.]:[PERIODO Imp.]],DG$9)</f>
        <v>0</v>
      </c>
      <c r="DH1054" s="694">
        <f>SUMIFS(Imput[[Importe Neto]:[Importe Neto]],Imput[[C. Imp.]:[C. Imp.]],$D1054,Imput[[PERIODO Imp.]:[PERIODO Imp.]],DH$9)</f>
        <v>0</v>
      </c>
    </row>
    <row r="1055" spans="1:112" s="649" customFormat="1" hidden="1" outlineLevel="1" x14ac:dyDescent="0.3">
      <c r="A1055" s="652" t="str">
        <f t="shared" si="354"/>
        <v/>
      </c>
      <c r="B1055" s="652"/>
      <c r="C1055" s="685"/>
      <c r="D1055" s="686"/>
      <c r="E1055" s="686"/>
      <c r="F1055" s="720"/>
      <c r="G1055" s="688"/>
      <c r="H1055" s="689"/>
      <c r="I1055" s="851" t="str">
        <f t="shared" si="355"/>
        <v/>
      </c>
      <c r="J1055" s="850" t="str">
        <f t="shared" si="356"/>
        <v/>
      </c>
      <c r="K1055" s="678"/>
      <c r="L1055" s="858"/>
      <c r="M1055" s="859"/>
      <c r="N1055" s="859"/>
      <c r="O1055" s="859"/>
      <c r="P1055" s="859"/>
      <c r="Q1055" s="859"/>
      <c r="R1055" s="859"/>
      <c r="S1055" s="859"/>
      <c r="T1055" s="859"/>
      <c r="U1055" s="859"/>
      <c r="V1055" s="859"/>
      <c r="W1055" s="859"/>
      <c r="X1055" s="859"/>
      <c r="Y1055" s="859"/>
      <c r="Z1055" s="860"/>
      <c r="AA1055" s="860"/>
      <c r="AB1055" s="860"/>
      <c r="AC1055" s="860"/>
      <c r="AD1055" s="860"/>
      <c r="AE1055" s="860"/>
      <c r="AF1055" s="860"/>
      <c r="AG1055" s="860"/>
      <c r="AH1055" s="860"/>
      <c r="AI1055" s="860"/>
      <c r="AJ1055" s="860"/>
      <c r="AK1055" s="860"/>
      <c r="AL1055" s="860"/>
      <c r="AM1055" s="860"/>
      <c r="AN1055" s="860"/>
      <c r="AO1055" s="860"/>
      <c r="AP1055" s="860"/>
      <c r="AQ1055" s="860"/>
      <c r="AR1055" s="860"/>
      <c r="AS1055" s="860"/>
      <c r="AT1055" s="860"/>
      <c r="AU1055" s="860"/>
      <c r="AV1055" s="860"/>
      <c r="AW1055" s="860"/>
      <c r="AX1055" s="860"/>
      <c r="AY1055" s="860"/>
      <c r="AZ1055" s="860"/>
      <c r="BA1055" s="860"/>
      <c r="BB1055" s="860"/>
      <c r="BC1055" s="860"/>
      <c r="BD1055" s="860"/>
      <c r="BE1055" s="860"/>
      <c r="BF1055" s="860"/>
      <c r="BG1055" s="860"/>
      <c r="BH1055" s="668"/>
      <c r="BI1055" s="654"/>
      <c r="BJ1055" s="690">
        <f t="shared" si="357"/>
        <v>0</v>
      </c>
      <c r="BK1055" s="691">
        <f t="shared" si="358"/>
        <v>0</v>
      </c>
      <c r="BL1055" s="654"/>
      <c r="BM1055" s="692">
        <f>SUMIFS(Imput[[Importe Neto]:[Importe Neto]],Imput[[C. Imp.]:[C. Imp.]],$D1055,Imput[[PERIODO Imp.]:[PERIODO Imp.]],BM$9)</f>
        <v>0</v>
      </c>
      <c r="BN1055" s="693">
        <f>SUMIFS(Imput[[Importe Neto]:[Importe Neto]],Imput[[C. Imp.]:[C. Imp.]],$D1055,Imput[[PERIODO Imp.]:[PERIODO Imp.]],BN$9)</f>
        <v>0</v>
      </c>
      <c r="BO1055" s="693">
        <f>SUMIFS(Imput[[Importe Neto]:[Importe Neto]],Imput[[C. Imp.]:[C. Imp.]],$D1055,Imput[[PERIODO Imp.]:[PERIODO Imp.]],BO$9)</f>
        <v>0</v>
      </c>
      <c r="BP1055" s="693">
        <f>SUMIFS(Imput[[Importe Neto]:[Importe Neto]],Imput[[C. Imp.]:[C. Imp.]],$D1055,Imput[[PERIODO Imp.]:[PERIODO Imp.]],BP$9)</f>
        <v>0</v>
      </c>
      <c r="BQ1055" s="693">
        <f>SUMIFS(Imput[[Importe Neto]:[Importe Neto]],Imput[[C. Imp.]:[C. Imp.]],$D1055,Imput[[PERIODO Imp.]:[PERIODO Imp.]],BQ$9)</f>
        <v>0</v>
      </c>
      <c r="BR1055" s="693">
        <f>SUMIFS(Imput[[Importe Neto]:[Importe Neto]],Imput[[C. Imp.]:[C. Imp.]],$D1055,Imput[[PERIODO Imp.]:[PERIODO Imp.]],BR$9)</f>
        <v>0</v>
      </c>
      <c r="BS1055" s="693">
        <f>SUMIFS(Imput[[Importe Neto]:[Importe Neto]],Imput[[C. Imp.]:[C. Imp.]],$D1055,Imput[[PERIODO Imp.]:[PERIODO Imp.]],BS$9)</f>
        <v>0</v>
      </c>
      <c r="BT1055" s="693">
        <f>SUMIFS(Imput[[Importe Neto]:[Importe Neto]],Imput[[C. Imp.]:[C. Imp.]],$D1055,Imput[[PERIODO Imp.]:[PERIODO Imp.]],BT$9)</f>
        <v>0</v>
      </c>
      <c r="BU1055" s="693">
        <f>SUMIFS(Imput[[Importe Neto]:[Importe Neto]],Imput[[C. Imp.]:[C. Imp.]],$D1055,Imput[[PERIODO Imp.]:[PERIODO Imp.]],BU$9)</f>
        <v>0</v>
      </c>
      <c r="BV1055" s="693">
        <f>SUMIFS(Imput[[Importe Neto]:[Importe Neto]],Imput[[C. Imp.]:[C. Imp.]],$D1055,Imput[[PERIODO Imp.]:[PERIODO Imp.]],BV$9)</f>
        <v>0</v>
      </c>
      <c r="BW1055" s="693">
        <f>SUMIFS(Imput[[Importe Neto]:[Importe Neto]],Imput[[C. Imp.]:[C. Imp.]],$D1055,Imput[[PERIODO Imp.]:[PERIODO Imp.]],BW$9)</f>
        <v>0</v>
      </c>
      <c r="BX1055" s="693">
        <f>SUMIFS(Imput[[Importe Neto]:[Importe Neto]],Imput[[C. Imp.]:[C. Imp.]],$D1055,Imput[[PERIODO Imp.]:[PERIODO Imp.]],BX$9)</f>
        <v>0</v>
      </c>
      <c r="BY1055" s="693">
        <f>SUMIFS(Imput[[Importe Neto]:[Importe Neto]],Imput[[C. Imp.]:[C. Imp.]],$D1055,Imput[[PERIODO Imp.]:[PERIODO Imp.]],BY$9)</f>
        <v>0</v>
      </c>
      <c r="BZ1055" s="693">
        <f>SUMIFS(Imput[[Importe Neto]:[Importe Neto]],Imput[[C. Imp.]:[C. Imp.]],$D1055,Imput[[PERIODO Imp.]:[PERIODO Imp.]],BZ$9)</f>
        <v>0</v>
      </c>
      <c r="CA1055" s="693">
        <f>SUMIFS(Imput[[Importe Neto]:[Importe Neto]],Imput[[C. Imp.]:[C. Imp.]],$D1055,Imput[[PERIODO Imp.]:[PERIODO Imp.]],CA$9)</f>
        <v>0</v>
      </c>
      <c r="CB1055" s="693">
        <f>SUMIFS(Imput[[Importe Neto]:[Importe Neto]],Imput[[C. Imp.]:[C. Imp.]],$D1055,Imput[[PERIODO Imp.]:[PERIODO Imp.]],CB$9)</f>
        <v>0</v>
      </c>
      <c r="CC1055" s="693">
        <f>SUMIFS(Imput[[Importe Neto]:[Importe Neto]],Imput[[C. Imp.]:[C. Imp.]],$D1055,Imput[[PERIODO Imp.]:[PERIODO Imp.]],CC$9)</f>
        <v>0</v>
      </c>
      <c r="CD1055" s="693">
        <f>SUMIFS(Imput[[Importe Neto]:[Importe Neto]],Imput[[C. Imp.]:[C. Imp.]],$D1055,Imput[[PERIODO Imp.]:[PERIODO Imp.]],CD$9)</f>
        <v>0</v>
      </c>
      <c r="CE1055" s="693">
        <f>SUMIFS(Imput[[Importe Neto]:[Importe Neto]],Imput[[C. Imp.]:[C. Imp.]],$D1055,Imput[[PERIODO Imp.]:[PERIODO Imp.]],CE$9)</f>
        <v>0</v>
      </c>
      <c r="CF1055" s="693">
        <f>SUMIFS(Imput[[Importe Neto]:[Importe Neto]],Imput[[C. Imp.]:[C. Imp.]],$D1055,Imput[[PERIODO Imp.]:[PERIODO Imp.]],CF$9)</f>
        <v>0</v>
      </c>
      <c r="CG1055" s="693">
        <f>SUMIFS(Imput[[Importe Neto]:[Importe Neto]],Imput[[C. Imp.]:[C. Imp.]],$D1055,Imput[[PERIODO Imp.]:[PERIODO Imp.]],CG$9)</f>
        <v>0</v>
      </c>
      <c r="CH1055" s="693">
        <f>SUMIFS(Imput[[Importe Neto]:[Importe Neto]],Imput[[C. Imp.]:[C. Imp.]],$D1055,Imput[[PERIODO Imp.]:[PERIODO Imp.]],CH$9)</f>
        <v>0</v>
      </c>
      <c r="CI1055" s="693">
        <f>SUMIFS(Imput[[Importe Neto]:[Importe Neto]],Imput[[C. Imp.]:[C. Imp.]],$D1055,Imput[[PERIODO Imp.]:[PERIODO Imp.]],CI$9)</f>
        <v>0</v>
      </c>
      <c r="CJ1055" s="693">
        <f>SUMIFS(Imput[[Importe Neto]:[Importe Neto]],Imput[[C. Imp.]:[C. Imp.]],$D1055,Imput[[PERIODO Imp.]:[PERIODO Imp.]],CJ$9)</f>
        <v>0</v>
      </c>
      <c r="CK1055" s="693">
        <f>SUMIFS(Imput[[Importe Neto]:[Importe Neto]],Imput[[C. Imp.]:[C. Imp.]],$D1055,Imput[[PERIODO Imp.]:[PERIODO Imp.]],CK$9)</f>
        <v>0</v>
      </c>
      <c r="CL1055" s="693">
        <f>SUMIFS(Imput[[Importe Neto]:[Importe Neto]],Imput[[C. Imp.]:[C. Imp.]],$D1055,Imput[[PERIODO Imp.]:[PERIODO Imp.]],CL$9)</f>
        <v>0</v>
      </c>
      <c r="CM1055" s="693">
        <f>SUMIFS(Imput[[Importe Neto]:[Importe Neto]],Imput[[C. Imp.]:[C. Imp.]],$D1055,Imput[[PERIODO Imp.]:[PERIODO Imp.]],CM$9)</f>
        <v>0</v>
      </c>
      <c r="CN1055" s="693">
        <f>SUMIFS(Imput[[Importe Neto]:[Importe Neto]],Imput[[C. Imp.]:[C. Imp.]],$D1055,Imput[[PERIODO Imp.]:[PERIODO Imp.]],CN$9)</f>
        <v>0</v>
      </c>
      <c r="CO1055" s="693">
        <f>SUMIFS(Imput[[Importe Neto]:[Importe Neto]],Imput[[C. Imp.]:[C. Imp.]],$D1055,Imput[[PERIODO Imp.]:[PERIODO Imp.]],CO$9)</f>
        <v>0</v>
      </c>
      <c r="CP1055" s="693">
        <f>SUMIFS(Imput[[Importe Neto]:[Importe Neto]],Imput[[C. Imp.]:[C. Imp.]],$D1055,Imput[[PERIODO Imp.]:[PERIODO Imp.]],CP$9)</f>
        <v>0</v>
      </c>
      <c r="CQ1055" s="693">
        <f>SUMIFS(Imput[[Importe Neto]:[Importe Neto]],Imput[[C. Imp.]:[C. Imp.]],$D1055,Imput[[PERIODO Imp.]:[PERIODO Imp.]],CQ$9)</f>
        <v>0</v>
      </c>
      <c r="CR1055" s="693">
        <f>SUMIFS(Imput[[Importe Neto]:[Importe Neto]],Imput[[C. Imp.]:[C. Imp.]],$D1055,Imput[[PERIODO Imp.]:[PERIODO Imp.]],CR$9)</f>
        <v>0</v>
      </c>
      <c r="CS1055" s="693">
        <f>SUMIFS(Imput[[Importe Neto]:[Importe Neto]],Imput[[C. Imp.]:[C. Imp.]],$D1055,Imput[[PERIODO Imp.]:[PERIODO Imp.]],CS$9)</f>
        <v>0</v>
      </c>
      <c r="CT1055" s="693">
        <f>SUMIFS(Imput[[Importe Neto]:[Importe Neto]],Imput[[C. Imp.]:[C. Imp.]],$D1055,Imput[[PERIODO Imp.]:[PERIODO Imp.]],CT$9)</f>
        <v>0</v>
      </c>
      <c r="CU1055" s="693">
        <f>SUMIFS(Imput[[Importe Neto]:[Importe Neto]],Imput[[C. Imp.]:[C. Imp.]],$D1055,Imput[[PERIODO Imp.]:[PERIODO Imp.]],CU$9)</f>
        <v>0</v>
      </c>
      <c r="CV1055" s="693">
        <f>SUMIFS(Imput[[Importe Neto]:[Importe Neto]],Imput[[C. Imp.]:[C. Imp.]],$D1055,Imput[[PERIODO Imp.]:[PERIODO Imp.]],CV$9)</f>
        <v>0</v>
      </c>
      <c r="CW1055" s="693">
        <f>SUMIFS(Imput[[Importe Neto]:[Importe Neto]],Imput[[C. Imp.]:[C. Imp.]],$D1055,Imput[[PERIODO Imp.]:[PERIODO Imp.]],CW$9)</f>
        <v>0</v>
      </c>
      <c r="CX1055" s="693">
        <f>SUMIFS(Imput[[Importe Neto]:[Importe Neto]],Imput[[C. Imp.]:[C. Imp.]],$D1055,Imput[[PERIODO Imp.]:[PERIODO Imp.]],CX$9)</f>
        <v>0</v>
      </c>
      <c r="CY1055" s="693">
        <f>SUMIFS(Imput[[Importe Neto]:[Importe Neto]],Imput[[C. Imp.]:[C. Imp.]],$D1055,Imput[[PERIODO Imp.]:[PERIODO Imp.]],CY$9)</f>
        <v>0</v>
      </c>
      <c r="CZ1055" s="693">
        <f>SUMIFS(Imput[[Importe Neto]:[Importe Neto]],Imput[[C. Imp.]:[C. Imp.]],$D1055,Imput[[PERIODO Imp.]:[PERIODO Imp.]],CZ$9)</f>
        <v>0</v>
      </c>
      <c r="DA1055" s="693">
        <f>SUMIFS(Imput[[Importe Neto]:[Importe Neto]],Imput[[C. Imp.]:[C. Imp.]],$D1055,Imput[[PERIODO Imp.]:[PERIODO Imp.]],DA$9)</f>
        <v>0</v>
      </c>
      <c r="DB1055" s="693">
        <f>SUMIFS(Imput[[Importe Neto]:[Importe Neto]],Imput[[C. Imp.]:[C. Imp.]],$D1055,Imput[[PERIODO Imp.]:[PERIODO Imp.]],DB$9)</f>
        <v>0</v>
      </c>
      <c r="DC1055" s="693">
        <f>SUMIFS(Imput[[Importe Neto]:[Importe Neto]],Imput[[C. Imp.]:[C. Imp.]],$D1055,Imput[[PERIODO Imp.]:[PERIODO Imp.]],DC$9)</f>
        <v>0</v>
      </c>
      <c r="DD1055" s="693">
        <f>SUMIFS(Imput[[Importe Neto]:[Importe Neto]],Imput[[C. Imp.]:[C. Imp.]],$D1055,Imput[[PERIODO Imp.]:[PERIODO Imp.]],DD$9)</f>
        <v>0</v>
      </c>
      <c r="DE1055" s="693">
        <f>SUMIFS(Imput[[Importe Neto]:[Importe Neto]],Imput[[C. Imp.]:[C. Imp.]],$D1055,Imput[[PERIODO Imp.]:[PERIODO Imp.]],DE$9)</f>
        <v>0</v>
      </c>
      <c r="DF1055" s="693">
        <f>SUMIFS(Imput[[Importe Neto]:[Importe Neto]],Imput[[C. Imp.]:[C. Imp.]],$D1055,Imput[[PERIODO Imp.]:[PERIODO Imp.]],DF$9)</f>
        <v>0</v>
      </c>
      <c r="DG1055" s="693">
        <f>SUMIFS(Imput[[Importe Neto]:[Importe Neto]],Imput[[C. Imp.]:[C. Imp.]],$D1055,Imput[[PERIODO Imp.]:[PERIODO Imp.]],DG$9)</f>
        <v>0</v>
      </c>
      <c r="DH1055" s="694">
        <f>SUMIFS(Imput[[Importe Neto]:[Importe Neto]],Imput[[C. Imp.]:[C. Imp.]],$D1055,Imput[[PERIODO Imp.]:[PERIODO Imp.]],DH$9)</f>
        <v>0</v>
      </c>
    </row>
    <row r="1056" spans="1:112" s="649" customFormat="1" hidden="1" outlineLevel="1" x14ac:dyDescent="0.3">
      <c r="A1056" s="652" t="str">
        <f t="shared" si="354"/>
        <v/>
      </c>
      <c r="B1056" s="652"/>
      <c r="C1056" s="685"/>
      <c r="D1056" s="686"/>
      <c r="E1056" s="728"/>
      <c r="F1056" s="720"/>
      <c r="G1056" s="688"/>
      <c r="H1056" s="689"/>
      <c r="I1056" s="851" t="str">
        <f t="shared" si="355"/>
        <v/>
      </c>
      <c r="J1056" s="850" t="str">
        <f t="shared" si="356"/>
        <v/>
      </c>
      <c r="K1056" s="667"/>
      <c r="L1056" s="858"/>
      <c r="M1056" s="859"/>
      <c r="N1056" s="859"/>
      <c r="O1056" s="859"/>
      <c r="P1056" s="859"/>
      <c r="Q1056" s="859"/>
      <c r="R1056" s="859"/>
      <c r="S1056" s="859"/>
      <c r="T1056" s="859"/>
      <c r="U1056" s="859"/>
      <c r="V1056" s="859"/>
      <c r="W1056" s="859"/>
      <c r="X1056" s="859"/>
      <c r="Y1056" s="859"/>
      <c r="Z1056" s="860"/>
      <c r="AA1056" s="860"/>
      <c r="AB1056" s="860"/>
      <c r="AC1056" s="860"/>
      <c r="AD1056" s="860"/>
      <c r="AE1056" s="860"/>
      <c r="AF1056" s="860"/>
      <c r="AG1056" s="860"/>
      <c r="AH1056" s="860"/>
      <c r="AI1056" s="860"/>
      <c r="AJ1056" s="860"/>
      <c r="AK1056" s="860"/>
      <c r="AL1056" s="860"/>
      <c r="AM1056" s="860"/>
      <c r="AN1056" s="860"/>
      <c r="AO1056" s="860"/>
      <c r="AP1056" s="860"/>
      <c r="AQ1056" s="860"/>
      <c r="AR1056" s="860"/>
      <c r="AS1056" s="860"/>
      <c r="AT1056" s="860"/>
      <c r="AU1056" s="860"/>
      <c r="AV1056" s="860"/>
      <c r="AW1056" s="860"/>
      <c r="AX1056" s="860"/>
      <c r="AY1056" s="860"/>
      <c r="AZ1056" s="860"/>
      <c r="BA1056" s="860"/>
      <c r="BB1056" s="860"/>
      <c r="BC1056" s="860"/>
      <c r="BD1056" s="860"/>
      <c r="BE1056" s="860"/>
      <c r="BF1056" s="860"/>
      <c r="BG1056" s="860"/>
      <c r="BH1056" s="668"/>
      <c r="BI1056" s="667"/>
      <c r="BJ1056" s="690">
        <f t="shared" si="357"/>
        <v>0</v>
      </c>
      <c r="BK1056" s="691">
        <f t="shared" si="358"/>
        <v>0</v>
      </c>
      <c r="BL1056" s="654"/>
      <c r="BM1056" s="692">
        <f>SUMIFS(Imput[[Importe Neto]:[Importe Neto]],Imput[[C. Imp.]:[C. Imp.]],$D1056,Imput[[PERIODO Imp.]:[PERIODO Imp.]],BM$9)</f>
        <v>0</v>
      </c>
      <c r="BN1056" s="693">
        <f>SUMIFS(Imput[[Importe Neto]:[Importe Neto]],Imput[[C. Imp.]:[C. Imp.]],$D1056,Imput[[PERIODO Imp.]:[PERIODO Imp.]],BN$9)</f>
        <v>0</v>
      </c>
      <c r="BO1056" s="693">
        <f>SUMIFS(Imput[[Importe Neto]:[Importe Neto]],Imput[[C. Imp.]:[C. Imp.]],$D1056,Imput[[PERIODO Imp.]:[PERIODO Imp.]],BO$9)</f>
        <v>0</v>
      </c>
      <c r="BP1056" s="693">
        <f>SUMIFS(Imput[[Importe Neto]:[Importe Neto]],Imput[[C. Imp.]:[C. Imp.]],$D1056,Imput[[PERIODO Imp.]:[PERIODO Imp.]],BP$9)</f>
        <v>0</v>
      </c>
      <c r="BQ1056" s="693">
        <f>SUMIFS(Imput[[Importe Neto]:[Importe Neto]],Imput[[C. Imp.]:[C. Imp.]],$D1056,Imput[[PERIODO Imp.]:[PERIODO Imp.]],BQ$9)</f>
        <v>0</v>
      </c>
      <c r="BR1056" s="693">
        <f>SUMIFS(Imput[[Importe Neto]:[Importe Neto]],Imput[[C. Imp.]:[C. Imp.]],$D1056,Imput[[PERIODO Imp.]:[PERIODO Imp.]],BR$9)</f>
        <v>0</v>
      </c>
      <c r="BS1056" s="693">
        <f>SUMIFS(Imput[[Importe Neto]:[Importe Neto]],Imput[[C. Imp.]:[C. Imp.]],$D1056,Imput[[PERIODO Imp.]:[PERIODO Imp.]],BS$9)</f>
        <v>0</v>
      </c>
      <c r="BT1056" s="693">
        <f>SUMIFS(Imput[[Importe Neto]:[Importe Neto]],Imput[[C. Imp.]:[C. Imp.]],$D1056,Imput[[PERIODO Imp.]:[PERIODO Imp.]],BT$9)</f>
        <v>0</v>
      </c>
      <c r="BU1056" s="693">
        <f>SUMIFS(Imput[[Importe Neto]:[Importe Neto]],Imput[[C. Imp.]:[C. Imp.]],$D1056,Imput[[PERIODO Imp.]:[PERIODO Imp.]],BU$9)</f>
        <v>0</v>
      </c>
      <c r="BV1056" s="693">
        <f>SUMIFS(Imput[[Importe Neto]:[Importe Neto]],Imput[[C. Imp.]:[C. Imp.]],$D1056,Imput[[PERIODO Imp.]:[PERIODO Imp.]],BV$9)</f>
        <v>0</v>
      </c>
      <c r="BW1056" s="693">
        <f>SUMIFS(Imput[[Importe Neto]:[Importe Neto]],Imput[[C. Imp.]:[C. Imp.]],$D1056,Imput[[PERIODO Imp.]:[PERIODO Imp.]],BW$9)</f>
        <v>0</v>
      </c>
      <c r="BX1056" s="693">
        <f>SUMIFS(Imput[[Importe Neto]:[Importe Neto]],Imput[[C. Imp.]:[C. Imp.]],$D1056,Imput[[PERIODO Imp.]:[PERIODO Imp.]],BX$9)</f>
        <v>0</v>
      </c>
      <c r="BY1056" s="693">
        <f>SUMIFS(Imput[[Importe Neto]:[Importe Neto]],Imput[[C. Imp.]:[C. Imp.]],$D1056,Imput[[PERIODO Imp.]:[PERIODO Imp.]],BY$9)</f>
        <v>0</v>
      </c>
      <c r="BZ1056" s="693">
        <f>SUMIFS(Imput[[Importe Neto]:[Importe Neto]],Imput[[C. Imp.]:[C. Imp.]],$D1056,Imput[[PERIODO Imp.]:[PERIODO Imp.]],BZ$9)</f>
        <v>0</v>
      </c>
      <c r="CA1056" s="693">
        <f>SUMIFS(Imput[[Importe Neto]:[Importe Neto]],Imput[[C. Imp.]:[C. Imp.]],$D1056,Imput[[PERIODO Imp.]:[PERIODO Imp.]],CA$9)</f>
        <v>0</v>
      </c>
      <c r="CB1056" s="693">
        <f>SUMIFS(Imput[[Importe Neto]:[Importe Neto]],Imput[[C. Imp.]:[C. Imp.]],$D1056,Imput[[PERIODO Imp.]:[PERIODO Imp.]],CB$9)</f>
        <v>0</v>
      </c>
      <c r="CC1056" s="693">
        <f>SUMIFS(Imput[[Importe Neto]:[Importe Neto]],Imput[[C. Imp.]:[C. Imp.]],$D1056,Imput[[PERIODO Imp.]:[PERIODO Imp.]],CC$9)</f>
        <v>0</v>
      </c>
      <c r="CD1056" s="693">
        <f>SUMIFS(Imput[[Importe Neto]:[Importe Neto]],Imput[[C. Imp.]:[C. Imp.]],$D1056,Imput[[PERIODO Imp.]:[PERIODO Imp.]],CD$9)</f>
        <v>0</v>
      </c>
      <c r="CE1056" s="693">
        <f>SUMIFS(Imput[[Importe Neto]:[Importe Neto]],Imput[[C. Imp.]:[C. Imp.]],$D1056,Imput[[PERIODO Imp.]:[PERIODO Imp.]],CE$9)</f>
        <v>0</v>
      </c>
      <c r="CF1056" s="693">
        <f>SUMIFS(Imput[[Importe Neto]:[Importe Neto]],Imput[[C. Imp.]:[C. Imp.]],$D1056,Imput[[PERIODO Imp.]:[PERIODO Imp.]],CF$9)</f>
        <v>0</v>
      </c>
      <c r="CG1056" s="693">
        <f>SUMIFS(Imput[[Importe Neto]:[Importe Neto]],Imput[[C. Imp.]:[C. Imp.]],$D1056,Imput[[PERIODO Imp.]:[PERIODO Imp.]],CG$9)</f>
        <v>0</v>
      </c>
      <c r="CH1056" s="693">
        <f>SUMIFS(Imput[[Importe Neto]:[Importe Neto]],Imput[[C. Imp.]:[C. Imp.]],$D1056,Imput[[PERIODO Imp.]:[PERIODO Imp.]],CH$9)</f>
        <v>0</v>
      </c>
      <c r="CI1056" s="693">
        <f>SUMIFS(Imput[[Importe Neto]:[Importe Neto]],Imput[[C. Imp.]:[C. Imp.]],$D1056,Imput[[PERIODO Imp.]:[PERIODO Imp.]],CI$9)</f>
        <v>0</v>
      </c>
      <c r="CJ1056" s="693">
        <f>SUMIFS(Imput[[Importe Neto]:[Importe Neto]],Imput[[C. Imp.]:[C. Imp.]],$D1056,Imput[[PERIODO Imp.]:[PERIODO Imp.]],CJ$9)</f>
        <v>0</v>
      </c>
      <c r="CK1056" s="693">
        <f>SUMIFS(Imput[[Importe Neto]:[Importe Neto]],Imput[[C. Imp.]:[C. Imp.]],$D1056,Imput[[PERIODO Imp.]:[PERIODO Imp.]],CK$9)</f>
        <v>0</v>
      </c>
      <c r="CL1056" s="693">
        <f>SUMIFS(Imput[[Importe Neto]:[Importe Neto]],Imput[[C. Imp.]:[C. Imp.]],$D1056,Imput[[PERIODO Imp.]:[PERIODO Imp.]],CL$9)</f>
        <v>0</v>
      </c>
      <c r="CM1056" s="693">
        <f>SUMIFS(Imput[[Importe Neto]:[Importe Neto]],Imput[[C. Imp.]:[C. Imp.]],$D1056,Imput[[PERIODO Imp.]:[PERIODO Imp.]],CM$9)</f>
        <v>0</v>
      </c>
      <c r="CN1056" s="693">
        <f>SUMIFS(Imput[[Importe Neto]:[Importe Neto]],Imput[[C. Imp.]:[C. Imp.]],$D1056,Imput[[PERIODO Imp.]:[PERIODO Imp.]],CN$9)</f>
        <v>0</v>
      </c>
      <c r="CO1056" s="693">
        <f>SUMIFS(Imput[[Importe Neto]:[Importe Neto]],Imput[[C. Imp.]:[C. Imp.]],$D1056,Imput[[PERIODO Imp.]:[PERIODO Imp.]],CO$9)</f>
        <v>0</v>
      </c>
      <c r="CP1056" s="693">
        <f>SUMIFS(Imput[[Importe Neto]:[Importe Neto]],Imput[[C. Imp.]:[C. Imp.]],$D1056,Imput[[PERIODO Imp.]:[PERIODO Imp.]],CP$9)</f>
        <v>0</v>
      </c>
      <c r="CQ1056" s="693">
        <f>SUMIFS(Imput[[Importe Neto]:[Importe Neto]],Imput[[C. Imp.]:[C. Imp.]],$D1056,Imput[[PERIODO Imp.]:[PERIODO Imp.]],CQ$9)</f>
        <v>0</v>
      </c>
      <c r="CR1056" s="693">
        <f>SUMIFS(Imput[[Importe Neto]:[Importe Neto]],Imput[[C. Imp.]:[C. Imp.]],$D1056,Imput[[PERIODO Imp.]:[PERIODO Imp.]],CR$9)</f>
        <v>0</v>
      </c>
      <c r="CS1056" s="693">
        <f>SUMIFS(Imput[[Importe Neto]:[Importe Neto]],Imput[[C. Imp.]:[C. Imp.]],$D1056,Imput[[PERIODO Imp.]:[PERIODO Imp.]],CS$9)</f>
        <v>0</v>
      </c>
      <c r="CT1056" s="693">
        <f>SUMIFS(Imput[[Importe Neto]:[Importe Neto]],Imput[[C. Imp.]:[C. Imp.]],$D1056,Imput[[PERIODO Imp.]:[PERIODO Imp.]],CT$9)</f>
        <v>0</v>
      </c>
      <c r="CU1056" s="693">
        <f>SUMIFS(Imput[[Importe Neto]:[Importe Neto]],Imput[[C. Imp.]:[C. Imp.]],$D1056,Imput[[PERIODO Imp.]:[PERIODO Imp.]],CU$9)</f>
        <v>0</v>
      </c>
      <c r="CV1056" s="693">
        <f>SUMIFS(Imput[[Importe Neto]:[Importe Neto]],Imput[[C. Imp.]:[C. Imp.]],$D1056,Imput[[PERIODO Imp.]:[PERIODO Imp.]],CV$9)</f>
        <v>0</v>
      </c>
      <c r="CW1056" s="693">
        <f>SUMIFS(Imput[[Importe Neto]:[Importe Neto]],Imput[[C. Imp.]:[C. Imp.]],$D1056,Imput[[PERIODO Imp.]:[PERIODO Imp.]],CW$9)</f>
        <v>0</v>
      </c>
      <c r="CX1056" s="693">
        <f>SUMIFS(Imput[[Importe Neto]:[Importe Neto]],Imput[[C. Imp.]:[C. Imp.]],$D1056,Imput[[PERIODO Imp.]:[PERIODO Imp.]],CX$9)</f>
        <v>0</v>
      </c>
      <c r="CY1056" s="693">
        <f>SUMIFS(Imput[[Importe Neto]:[Importe Neto]],Imput[[C. Imp.]:[C. Imp.]],$D1056,Imput[[PERIODO Imp.]:[PERIODO Imp.]],CY$9)</f>
        <v>0</v>
      </c>
      <c r="CZ1056" s="693">
        <f>SUMIFS(Imput[[Importe Neto]:[Importe Neto]],Imput[[C. Imp.]:[C. Imp.]],$D1056,Imput[[PERIODO Imp.]:[PERIODO Imp.]],CZ$9)</f>
        <v>0</v>
      </c>
      <c r="DA1056" s="693">
        <f>SUMIFS(Imput[[Importe Neto]:[Importe Neto]],Imput[[C. Imp.]:[C. Imp.]],$D1056,Imput[[PERIODO Imp.]:[PERIODO Imp.]],DA$9)</f>
        <v>0</v>
      </c>
      <c r="DB1056" s="693">
        <f>SUMIFS(Imput[[Importe Neto]:[Importe Neto]],Imput[[C. Imp.]:[C. Imp.]],$D1056,Imput[[PERIODO Imp.]:[PERIODO Imp.]],DB$9)</f>
        <v>0</v>
      </c>
      <c r="DC1056" s="693">
        <f>SUMIFS(Imput[[Importe Neto]:[Importe Neto]],Imput[[C. Imp.]:[C. Imp.]],$D1056,Imput[[PERIODO Imp.]:[PERIODO Imp.]],DC$9)</f>
        <v>0</v>
      </c>
      <c r="DD1056" s="693">
        <f>SUMIFS(Imput[[Importe Neto]:[Importe Neto]],Imput[[C. Imp.]:[C. Imp.]],$D1056,Imput[[PERIODO Imp.]:[PERIODO Imp.]],DD$9)</f>
        <v>0</v>
      </c>
      <c r="DE1056" s="693">
        <f>SUMIFS(Imput[[Importe Neto]:[Importe Neto]],Imput[[C. Imp.]:[C. Imp.]],$D1056,Imput[[PERIODO Imp.]:[PERIODO Imp.]],DE$9)</f>
        <v>0</v>
      </c>
      <c r="DF1056" s="693">
        <f>SUMIFS(Imput[[Importe Neto]:[Importe Neto]],Imput[[C. Imp.]:[C. Imp.]],$D1056,Imput[[PERIODO Imp.]:[PERIODO Imp.]],DF$9)</f>
        <v>0</v>
      </c>
      <c r="DG1056" s="693">
        <f>SUMIFS(Imput[[Importe Neto]:[Importe Neto]],Imput[[C. Imp.]:[C. Imp.]],$D1056,Imput[[PERIODO Imp.]:[PERIODO Imp.]],DG$9)</f>
        <v>0</v>
      </c>
      <c r="DH1056" s="694">
        <f>SUMIFS(Imput[[Importe Neto]:[Importe Neto]],Imput[[C. Imp.]:[C. Imp.]],$D1056,Imput[[PERIODO Imp.]:[PERIODO Imp.]],DH$9)</f>
        <v>0</v>
      </c>
    </row>
    <row r="1057" spans="1:112" s="649" customFormat="1" hidden="1" outlineLevel="1" x14ac:dyDescent="0.3">
      <c r="A1057" s="652" t="str">
        <f t="shared" si="354"/>
        <v/>
      </c>
      <c r="B1057" s="652"/>
      <c r="C1057" s="685"/>
      <c r="D1057" s="686"/>
      <c r="E1057" s="728"/>
      <c r="F1057" s="720"/>
      <c r="G1057" s="688"/>
      <c r="H1057" s="689"/>
      <c r="I1057" s="851" t="str">
        <f t="shared" si="355"/>
        <v/>
      </c>
      <c r="J1057" s="850" t="str">
        <f t="shared" si="356"/>
        <v/>
      </c>
      <c r="K1057" s="667"/>
      <c r="L1057" s="858"/>
      <c r="M1057" s="859"/>
      <c r="N1057" s="859"/>
      <c r="O1057" s="859"/>
      <c r="P1057" s="859"/>
      <c r="Q1057" s="859"/>
      <c r="R1057" s="859"/>
      <c r="S1057" s="859"/>
      <c r="T1057" s="859"/>
      <c r="U1057" s="859"/>
      <c r="V1057" s="859"/>
      <c r="W1057" s="859"/>
      <c r="X1057" s="859"/>
      <c r="Y1057" s="859"/>
      <c r="Z1057" s="860"/>
      <c r="AA1057" s="860"/>
      <c r="AB1057" s="860"/>
      <c r="AC1057" s="860"/>
      <c r="AD1057" s="860"/>
      <c r="AE1057" s="860"/>
      <c r="AF1057" s="860"/>
      <c r="AG1057" s="860"/>
      <c r="AH1057" s="860"/>
      <c r="AI1057" s="860"/>
      <c r="AJ1057" s="860"/>
      <c r="AK1057" s="860"/>
      <c r="AL1057" s="860"/>
      <c r="AM1057" s="860"/>
      <c r="AN1057" s="860"/>
      <c r="AO1057" s="860"/>
      <c r="AP1057" s="860"/>
      <c r="AQ1057" s="860"/>
      <c r="AR1057" s="860"/>
      <c r="AS1057" s="860"/>
      <c r="AT1057" s="860"/>
      <c r="AU1057" s="860"/>
      <c r="AV1057" s="860"/>
      <c r="AW1057" s="860"/>
      <c r="AX1057" s="860"/>
      <c r="AY1057" s="860"/>
      <c r="AZ1057" s="860"/>
      <c r="BA1057" s="860"/>
      <c r="BB1057" s="860"/>
      <c r="BC1057" s="860"/>
      <c r="BD1057" s="860"/>
      <c r="BE1057" s="860"/>
      <c r="BF1057" s="860"/>
      <c r="BG1057" s="860"/>
      <c r="BH1057" s="668"/>
      <c r="BI1057" s="667"/>
      <c r="BJ1057" s="690">
        <f t="shared" si="357"/>
        <v>0</v>
      </c>
      <c r="BK1057" s="691">
        <f t="shared" si="358"/>
        <v>0</v>
      </c>
      <c r="BL1057" s="654"/>
      <c r="BM1057" s="692">
        <f>SUMIFS(Imput[[Importe Neto]:[Importe Neto]],Imput[[C. Imp.]:[C. Imp.]],$D1057,Imput[[PERIODO Imp.]:[PERIODO Imp.]],BM$9)</f>
        <v>0</v>
      </c>
      <c r="BN1057" s="693">
        <f>SUMIFS(Imput[[Importe Neto]:[Importe Neto]],Imput[[C. Imp.]:[C. Imp.]],$D1057,Imput[[PERIODO Imp.]:[PERIODO Imp.]],BN$9)</f>
        <v>0</v>
      </c>
      <c r="BO1057" s="693">
        <f>SUMIFS(Imput[[Importe Neto]:[Importe Neto]],Imput[[C. Imp.]:[C. Imp.]],$D1057,Imput[[PERIODO Imp.]:[PERIODO Imp.]],BO$9)</f>
        <v>0</v>
      </c>
      <c r="BP1057" s="693">
        <f>SUMIFS(Imput[[Importe Neto]:[Importe Neto]],Imput[[C. Imp.]:[C. Imp.]],$D1057,Imput[[PERIODO Imp.]:[PERIODO Imp.]],BP$9)</f>
        <v>0</v>
      </c>
      <c r="BQ1057" s="693">
        <f>SUMIFS(Imput[[Importe Neto]:[Importe Neto]],Imput[[C. Imp.]:[C. Imp.]],$D1057,Imput[[PERIODO Imp.]:[PERIODO Imp.]],BQ$9)</f>
        <v>0</v>
      </c>
      <c r="BR1057" s="693">
        <f>SUMIFS(Imput[[Importe Neto]:[Importe Neto]],Imput[[C. Imp.]:[C. Imp.]],$D1057,Imput[[PERIODO Imp.]:[PERIODO Imp.]],BR$9)</f>
        <v>0</v>
      </c>
      <c r="BS1057" s="693">
        <f>SUMIFS(Imput[[Importe Neto]:[Importe Neto]],Imput[[C. Imp.]:[C. Imp.]],$D1057,Imput[[PERIODO Imp.]:[PERIODO Imp.]],BS$9)</f>
        <v>0</v>
      </c>
      <c r="BT1057" s="693">
        <f>SUMIFS(Imput[[Importe Neto]:[Importe Neto]],Imput[[C. Imp.]:[C. Imp.]],$D1057,Imput[[PERIODO Imp.]:[PERIODO Imp.]],BT$9)</f>
        <v>0</v>
      </c>
      <c r="BU1057" s="693">
        <f>SUMIFS(Imput[[Importe Neto]:[Importe Neto]],Imput[[C. Imp.]:[C. Imp.]],$D1057,Imput[[PERIODO Imp.]:[PERIODO Imp.]],BU$9)</f>
        <v>0</v>
      </c>
      <c r="BV1057" s="693">
        <f>SUMIFS(Imput[[Importe Neto]:[Importe Neto]],Imput[[C. Imp.]:[C. Imp.]],$D1057,Imput[[PERIODO Imp.]:[PERIODO Imp.]],BV$9)</f>
        <v>0</v>
      </c>
      <c r="BW1057" s="693">
        <f>SUMIFS(Imput[[Importe Neto]:[Importe Neto]],Imput[[C. Imp.]:[C. Imp.]],$D1057,Imput[[PERIODO Imp.]:[PERIODO Imp.]],BW$9)</f>
        <v>0</v>
      </c>
      <c r="BX1057" s="693">
        <f>SUMIFS(Imput[[Importe Neto]:[Importe Neto]],Imput[[C. Imp.]:[C. Imp.]],$D1057,Imput[[PERIODO Imp.]:[PERIODO Imp.]],BX$9)</f>
        <v>0</v>
      </c>
      <c r="BY1057" s="693">
        <f>SUMIFS(Imput[[Importe Neto]:[Importe Neto]],Imput[[C. Imp.]:[C. Imp.]],$D1057,Imput[[PERIODO Imp.]:[PERIODO Imp.]],BY$9)</f>
        <v>0</v>
      </c>
      <c r="BZ1057" s="693">
        <f>SUMIFS(Imput[[Importe Neto]:[Importe Neto]],Imput[[C. Imp.]:[C. Imp.]],$D1057,Imput[[PERIODO Imp.]:[PERIODO Imp.]],BZ$9)</f>
        <v>0</v>
      </c>
      <c r="CA1057" s="693">
        <f>SUMIFS(Imput[[Importe Neto]:[Importe Neto]],Imput[[C. Imp.]:[C. Imp.]],$D1057,Imput[[PERIODO Imp.]:[PERIODO Imp.]],CA$9)</f>
        <v>0</v>
      </c>
      <c r="CB1057" s="693">
        <f>SUMIFS(Imput[[Importe Neto]:[Importe Neto]],Imput[[C. Imp.]:[C. Imp.]],$D1057,Imput[[PERIODO Imp.]:[PERIODO Imp.]],CB$9)</f>
        <v>0</v>
      </c>
      <c r="CC1057" s="693">
        <f>SUMIFS(Imput[[Importe Neto]:[Importe Neto]],Imput[[C. Imp.]:[C. Imp.]],$D1057,Imput[[PERIODO Imp.]:[PERIODO Imp.]],CC$9)</f>
        <v>0</v>
      </c>
      <c r="CD1057" s="693">
        <f>SUMIFS(Imput[[Importe Neto]:[Importe Neto]],Imput[[C. Imp.]:[C. Imp.]],$D1057,Imput[[PERIODO Imp.]:[PERIODO Imp.]],CD$9)</f>
        <v>0</v>
      </c>
      <c r="CE1057" s="693">
        <f>SUMIFS(Imput[[Importe Neto]:[Importe Neto]],Imput[[C. Imp.]:[C. Imp.]],$D1057,Imput[[PERIODO Imp.]:[PERIODO Imp.]],CE$9)</f>
        <v>0</v>
      </c>
      <c r="CF1057" s="693">
        <f>SUMIFS(Imput[[Importe Neto]:[Importe Neto]],Imput[[C. Imp.]:[C. Imp.]],$D1057,Imput[[PERIODO Imp.]:[PERIODO Imp.]],CF$9)</f>
        <v>0</v>
      </c>
      <c r="CG1057" s="693">
        <f>SUMIFS(Imput[[Importe Neto]:[Importe Neto]],Imput[[C. Imp.]:[C. Imp.]],$D1057,Imput[[PERIODO Imp.]:[PERIODO Imp.]],CG$9)</f>
        <v>0</v>
      </c>
      <c r="CH1057" s="693">
        <f>SUMIFS(Imput[[Importe Neto]:[Importe Neto]],Imput[[C. Imp.]:[C. Imp.]],$D1057,Imput[[PERIODO Imp.]:[PERIODO Imp.]],CH$9)</f>
        <v>0</v>
      </c>
      <c r="CI1057" s="693">
        <f>SUMIFS(Imput[[Importe Neto]:[Importe Neto]],Imput[[C. Imp.]:[C. Imp.]],$D1057,Imput[[PERIODO Imp.]:[PERIODO Imp.]],CI$9)</f>
        <v>0</v>
      </c>
      <c r="CJ1057" s="693">
        <f>SUMIFS(Imput[[Importe Neto]:[Importe Neto]],Imput[[C. Imp.]:[C. Imp.]],$D1057,Imput[[PERIODO Imp.]:[PERIODO Imp.]],CJ$9)</f>
        <v>0</v>
      </c>
      <c r="CK1057" s="693">
        <f>SUMIFS(Imput[[Importe Neto]:[Importe Neto]],Imput[[C. Imp.]:[C. Imp.]],$D1057,Imput[[PERIODO Imp.]:[PERIODO Imp.]],CK$9)</f>
        <v>0</v>
      </c>
      <c r="CL1057" s="693">
        <f>SUMIFS(Imput[[Importe Neto]:[Importe Neto]],Imput[[C. Imp.]:[C. Imp.]],$D1057,Imput[[PERIODO Imp.]:[PERIODO Imp.]],CL$9)</f>
        <v>0</v>
      </c>
      <c r="CM1057" s="693">
        <f>SUMIFS(Imput[[Importe Neto]:[Importe Neto]],Imput[[C. Imp.]:[C. Imp.]],$D1057,Imput[[PERIODO Imp.]:[PERIODO Imp.]],CM$9)</f>
        <v>0</v>
      </c>
      <c r="CN1057" s="693">
        <f>SUMIFS(Imput[[Importe Neto]:[Importe Neto]],Imput[[C. Imp.]:[C. Imp.]],$D1057,Imput[[PERIODO Imp.]:[PERIODO Imp.]],CN$9)</f>
        <v>0</v>
      </c>
      <c r="CO1057" s="693">
        <f>SUMIFS(Imput[[Importe Neto]:[Importe Neto]],Imput[[C. Imp.]:[C. Imp.]],$D1057,Imput[[PERIODO Imp.]:[PERIODO Imp.]],CO$9)</f>
        <v>0</v>
      </c>
      <c r="CP1057" s="693">
        <f>SUMIFS(Imput[[Importe Neto]:[Importe Neto]],Imput[[C. Imp.]:[C. Imp.]],$D1057,Imput[[PERIODO Imp.]:[PERIODO Imp.]],CP$9)</f>
        <v>0</v>
      </c>
      <c r="CQ1057" s="693">
        <f>SUMIFS(Imput[[Importe Neto]:[Importe Neto]],Imput[[C. Imp.]:[C. Imp.]],$D1057,Imput[[PERIODO Imp.]:[PERIODO Imp.]],CQ$9)</f>
        <v>0</v>
      </c>
      <c r="CR1057" s="693">
        <f>SUMIFS(Imput[[Importe Neto]:[Importe Neto]],Imput[[C. Imp.]:[C. Imp.]],$D1057,Imput[[PERIODO Imp.]:[PERIODO Imp.]],CR$9)</f>
        <v>0</v>
      </c>
      <c r="CS1057" s="693">
        <f>SUMIFS(Imput[[Importe Neto]:[Importe Neto]],Imput[[C. Imp.]:[C. Imp.]],$D1057,Imput[[PERIODO Imp.]:[PERIODO Imp.]],CS$9)</f>
        <v>0</v>
      </c>
      <c r="CT1057" s="693">
        <f>SUMIFS(Imput[[Importe Neto]:[Importe Neto]],Imput[[C. Imp.]:[C. Imp.]],$D1057,Imput[[PERIODO Imp.]:[PERIODO Imp.]],CT$9)</f>
        <v>0</v>
      </c>
      <c r="CU1057" s="693">
        <f>SUMIFS(Imput[[Importe Neto]:[Importe Neto]],Imput[[C. Imp.]:[C. Imp.]],$D1057,Imput[[PERIODO Imp.]:[PERIODO Imp.]],CU$9)</f>
        <v>0</v>
      </c>
      <c r="CV1057" s="693">
        <f>SUMIFS(Imput[[Importe Neto]:[Importe Neto]],Imput[[C. Imp.]:[C. Imp.]],$D1057,Imput[[PERIODO Imp.]:[PERIODO Imp.]],CV$9)</f>
        <v>0</v>
      </c>
      <c r="CW1057" s="693">
        <f>SUMIFS(Imput[[Importe Neto]:[Importe Neto]],Imput[[C. Imp.]:[C. Imp.]],$D1057,Imput[[PERIODO Imp.]:[PERIODO Imp.]],CW$9)</f>
        <v>0</v>
      </c>
      <c r="CX1057" s="693">
        <f>SUMIFS(Imput[[Importe Neto]:[Importe Neto]],Imput[[C. Imp.]:[C. Imp.]],$D1057,Imput[[PERIODO Imp.]:[PERIODO Imp.]],CX$9)</f>
        <v>0</v>
      </c>
      <c r="CY1057" s="693">
        <f>SUMIFS(Imput[[Importe Neto]:[Importe Neto]],Imput[[C. Imp.]:[C. Imp.]],$D1057,Imput[[PERIODO Imp.]:[PERIODO Imp.]],CY$9)</f>
        <v>0</v>
      </c>
      <c r="CZ1057" s="693">
        <f>SUMIFS(Imput[[Importe Neto]:[Importe Neto]],Imput[[C. Imp.]:[C. Imp.]],$D1057,Imput[[PERIODO Imp.]:[PERIODO Imp.]],CZ$9)</f>
        <v>0</v>
      </c>
      <c r="DA1057" s="693">
        <f>SUMIFS(Imput[[Importe Neto]:[Importe Neto]],Imput[[C. Imp.]:[C. Imp.]],$D1057,Imput[[PERIODO Imp.]:[PERIODO Imp.]],DA$9)</f>
        <v>0</v>
      </c>
      <c r="DB1057" s="693">
        <f>SUMIFS(Imput[[Importe Neto]:[Importe Neto]],Imput[[C. Imp.]:[C. Imp.]],$D1057,Imput[[PERIODO Imp.]:[PERIODO Imp.]],DB$9)</f>
        <v>0</v>
      </c>
      <c r="DC1057" s="693">
        <f>SUMIFS(Imput[[Importe Neto]:[Importe Neto]],Imput[[C. Imp.]:[C. Imp.]],$D1057,Imput[[PERIODO Imp.]:[PERIODO Imp.]],DC$9)</f>
        <v>0</v>
      </c>
      <c r="DD1057" s="693">
        <f>SUMIFS(Imput[[Importe Neto]:[Importe Neto]],Imput[[C. Imp.]:[C. Imp.]],$D1057,Imput[[PERIODO Imp.]:[PERIODO Imp.]],DD$9)</f>
        <v>0</v>
      </c>
      <c r="DE1057" s="693">
        <f>SUMIFS(Imput[[Importe Neto]:[Importe Neto]],Imput[[C. Imp.]:[C. Imp.]],$D1057,Imput[[PERIODO Imp.]:[PERIODO Imp.]],DE$9)</f>
        <v>0</v>
      </c>
      <c r="DF1057" s="693">
        <f>SUMIFS(Imput[[Importe Neto]:[Importe Neto]],Imput[[C. Imp.]:[C. Imp.]],$D1057,Imput[[PERIODO Imp.]:[PERIODO Imp.]],DF$9)</f>
        <v>0</v>
      </c>
      <c r="DG1057" s="693">
        <f>SUMIFS(Imput[[Importe Neto]:[Importe Neto]],Imput[[C. Imp.]:[C. Imp.]],$D1057,Imput[[PERIODO Imp.]:[PERIODO Imp.]],DG$9)</f>
        <v>0</v>
      </c>
      <c r="DH1057" s="694">
        <f>SUMIFS(Imput[[Importe Neto]:[Importe Neto]],Imput[[C. Imp.]:[C. Imp.]],$D1057,Imput[[PERIODO Imp.]:[PERIODO Imp.]],DH$9)</f>
        <v>0</v>
      </c>
    </row>
    <row r="1058" spans="1:112" s="649" customFormat="1" hidden="1" outlineLevel="1" x14ac:dyDescent="0.3">
      <c r="A1058" s="652" t="str">
        <f t="shared" si="354"/>
        <v/>
      </c>
      <c r="B1058" s="652"/>
      <c r="C1058" s="685"/>
      <c r="D1058" s="686"/>
      <c r="E1058" s="728"/>
      <c r="F1058" s="720"/>
      <c r="G1058" s="688"/>
      <c r="H1058" s="689"/>
      <c r="I1058" s="851" t="str">
        <f t="shared" si="355"/>
        <v/>
      </c>
      <c r="J1058" s="850" t="str">
        <f t="shared" si="356"/>
        <v/>
      </c>
      <c r="K1058" s="667"/>
      <c r="L1058" s="858"/>
      <c r="M1058" s="859"/>
      <c r="N1058" s="859"/>
      <c r="O1058" s="859"/>
      <c r="P1058" s="859"/>
      <c r="Q1058" s="859"/>
      <c r="R1058" s="859"/>
      <c r="S1058" s="859"/>
      <c r="T1058" s="859"/>
      <c r="U1058" s="859"/>
      <c r="V1058" s="859"/>
      <c r="W1058" s="859"/>
      <c r="X1058" s="859"/>
      <c r="Y1058" s="859"/>
      <c r="Z1058" s="860"/>
      <c r="AA1058" s="860"/>
      <c r="AB1058" s="860"/>
      <c r="AC1058" s="860"/>
      <c r="AD1058" s="860"/>
      <c r="AE1058" s="860"/>
      <c r="AF1058" s="860"/>
      <c r="AG1058" s="860"/>
      <c r="AH1058" s="860"/>
      <c r="AI1058" s="860"/>
      <c r="AJ1058" s="860"/>
      <c r="AK1058" s="860"/>
      <c r="AL1058" s="860"/>
      <c r="AM1058" s="860"/>
      <c r="AN1058" s="860"/>
      <c r="AO1058" s="860"/>
      <c r="AP1058" s="860"/>
      <c r="AQ1058" s="860"/>
      <c r="AR1058" s="860"/>
      <c r="AS1058" s="860"/>
      <c r="AT1058" s="860"/>
      <c r="AU1058" s="860"/>
      <c r="AV1058" s="860"/>
      <c r="AW1058" s="860"/>
      <c r="AX1058" s="860"/>
      <c r="AY1058" s="860"/>
      <c r="AZ1058" s="860"/>
      <c r="BA1058" s="860"/>
      <c r="BB1058" s="860"/>
      <c r="BC1058" s="860"/>
      <c r="BD1058" s="860"/>
      <c r="BE1058" s="860"/>
      <c r="BF1058" s="860"/>
      <c r="BG1058" s="860"/>
      <c r="BH1058" s="668"/>
      <c r="BI1058" s="667"/>
      <c r="BJ1058" s="690">
        <f t="shared" si="357"/>
        <v>0</v>
      </c>
      <c r="BK1058" s="691">
        <f t="shared" si="358"/>
        <v>0</v>
      </c>
      <c r="BL1058" s="654"/>
      <c r="BM1058" s="692">
        <f>SUMIFS(Imput[[Importe Neto]:[Importe Neto]],Imput[[C. Imp.]:[C. Imp.]],$D1058,Imput[[PERIODO Imp.]:[PERIODO Imp.]],BM$9)</f>
        <v>0</v>
      </c>
      <c r="BN1058" s="693">
        <f>SUMIFS(Imput[[Importe Neto]:[Importe Neto]],Imput[[C. Imp.]:[C. Imp.]],$D1058,Imput[[PERIODO Imp.]:[PERIODO Imp.]],BN$9)</f>
        <v>0</v>
      </c>
      <c r="BO1058" s="693">
        <f>SUMIFS(Imput[[Importe Neto]:[Importe Neto]],Imput[[C. Imp.]:[C. Imp.]],$D1058,Imput[[PERIODO Imp.]:[PERIODO Imp.]],BO$9)</f>
        <v>0</v>
      </c>
      <c r="BP1058" s="693">
        <f>SUMIFS(Imput[[Importe Neto]:[Importe Neto]],Imput[[C. Imp.]:[C. Imp.]],$D1058,Imput[[PERIODO Imp.]:[PERIODO Imp.]],BP$9)</f>
        <v>0</v>
      </c>
      <c r="BQ1058" s="693">
        <f>SUMIFS(Imput[[Importe Neto]:[Importe Neto]],Imput[[C. Imp.]:[C. Imp.]],$D1058,Imput[[PERIODO Imp.]:[PERIODO Imp.]],BQ$9)</f>
        <v>0</v>
      </c>
      <c r="BR1058" s="693">
        <f>SUMIFS(Imput[[Importe Neto]:[Importe Neto]],Imput[[C. Imp.]:[C. Imp.]],$D1058,Imput[[PERIODO Imp.]:[PERIODO Imp.]],BR$9)</f>
        <v>0</v>
      </c>
      <c r="BS1058" s="693">
        <f>SUMIFS(Imput[[Importe Neto]:[Importe Neto]],Imput[[C. Imp.]:[C. Imp.]],$D1058,Imput[[PERIODO Imp.]:[PERIODO Imp.]],BS$9)</f>
        <v>0</v>
      </c>
      <c r="BT1058" s="693">
        <f>SUMIFS(Imput[[Importe Neto]:[Importe Neto]],Imput[[C. Imp.]:[C. Imp.]],$D1058,Imput[[PERIODO Imp.]:[PERIODO Imp.]],BT$9)</f>
        <v>0</v>
      </c>
      <c r="BU1058" s="693">
        <f>SUMIFS(Imput[[Importe Neto]:[Importe Neto]],Imput[[C. Imp.]:[C. Imp.]],$D1058,Imput[[PERIODO Imp.]:[PERIODO Imp.]],BU$9)</f>
        <v>0</v>
      </c>
      <c r="BV1058" s="693">
        <f>SUMIFS(Imput[[Importe Neto]:[Importe Neto]],Imput[[C. Imp.]:[C. Imp.]],$D1058,Imput[[PERIODO Imp.]:[PERIODO Imp.]],BV$9)</f>
        <v>0</v>
      </c>
      <c r="BW1058" s="693">
        <f>SUMIFS(Imput[[Importe Neto]:[Importe Neto]],Imput[[C. Imp.]:[C. Imp.]],$D1058,Imput[[PERIODO Imp.]:[PERIODO Imp.]],BW$9)</f>
        <v>0</v>
      </c>
      <c r="BX1058" s="693">
        <f>SUMIFS(Imput[[Importe Neto]:[Importe Neto]],Imput[[C. Imp.]:[C. Imp.]],$D1058,Imput[[PERIODO Imp.]:[PERIODO Imp.]],BX$9)</f>
        <v>0</v>
      </c>
      <c r="BY1058" s="693">
        <f>SUMIFS(Imput[[Importe Neto]:[Importe Neto]],Imput[[C. Imp.]:[C. Imp.]],$D1058,Imput[[PERIODO Imp.]:[PERIODO Imp.]],BY$9)</f>
        <v>0</v>
      </c>
      <c r="BZ1058" s="693">
        <f>SUMIFS(Imput[[Importe Neto]:[Importe Neto]],Imput[[C. Imp.]:[C. Imp.]],$D1058,Imput[[PERIODO Imp.]:[PERIODO Imp.]],BZ$9)</f>
        <v>0</v>
      </c>
      <c r="CA1058" s="693">
        <f>SUMIFS(Imput[[Importe Neto]:[Importe Neto]],Imput[[C. Imp.]:[C. Imp.]],$D1058,Imput[[PERIODO Imp.]:[PERIODO Imp.]],CA$9)</f>
        <v>0</v>
      </c>
      <c r="CB1058" s="693">
        <f>SUMIFS(Imput[[Importe Neto]:[Importe Neto]],Imput[[C. Imp.]:[C. Imp.]],$D1058,Imput[[PERIODO Imp.]:[PERIODO Imp.]],CB$9)</f>
        <v>0</v>
      </c>
      <c r="CC1058" s="693">
        <f>SUMIFS(Imput[[Importe Neto]:[Importe Neto]],Imput[[C. Imp.]:[C. Imp.]],$D1058,Imput[[PERIODO Imp.]:[PERIODO Imp.]],CC$9)</f>
        <v>0</v>
      </c>
      <c r="CD1058" s="693">
        <f>SUMIFS(Imput[[Importe Neto]:[Importe Neto]],Imput[[C. Imp.]:[C. Imp.]],$D1058,Imput[[PERIODO Imp.]:[PERIODO Imp.]],CD$9)</f>
        <v>0</v>
      </c>
      <c r="CE1058" s="693">
        <f>SUMIFS(Imput[[Importe Neto]:[Importe Neto]],Imput[[C. Imp.]:[C. Imp.]],$D1058,Imput[[PERIODO Imp.]:[PERIODO Imp.]],CE$9)</f>
        <v>0</v>
      </c>
      <c r="CF1058" s="693">
        <f>SUMIFS(Imput[[Importe Neto]:[Importe Neto]],Imput[[C. Imp.]:[C. Imp.]],$D1058,Imput[[PERIODO Imp.]:[PERIODO Imp.]],CF$9)</f>
        <v>0</v>
      </c>
      <c r="CG1058" s="693">
        <f>SUMIFS(Imput[[Importe Neto]:[Importe Neto]],Imput[[C. Imp.]:[C. Imp.]],$D1058,Imput[[PERIODO Imp.]:[PERIODO Imp.]],CG$9)</f>
        <v>0</v>
      </c>
      <c r="CH1058" s="693">
        <f>SUMIFS(Imput[[Importe Neto]:[Importe Neto]],Imput[[C. Imp.]:[C. Imp.]],$D1058,Imput[[PERIODO Imp.]:[PERIODO Imp.]],CH$9)</f>
        <v>0</v>
      </c>
      <c r="CI1058" s="693">
        <f>SUMIFS(Imput[[Importe Neto]:[Importe Neto]],Imput[[C. Imp.]:[C. Imp.]],$D1058,Imput[[PERIODO Imp.]:[PERIODO Imp.]],CI$9)</f>
        <v>0</v>
      </c>
      <c r="CJ1058" s="693">
        <f>SUMIFS(Imput[[Importe Neto]:[Importe Neto]],Imput[[C. Imp.]:[C. Imp.]],$D1058,Imput[[PERIODO Imp.]:[PERIODO Imp.]],CJ$9)</f>
        <v>0</v>
      </c>
      <c r="CK1058" s="693">
        <f>SUMIFS(Imput[[Importe Neto]:[Importe Neto]],Imput[[C. Imp.]:[C. Imp.]],$D1058,Imput[[PERIODO Imp.]:[PERIODO Imp.]],CK$9)</f>
        <v>0</v>
      </c>
      <c r="CL1058" s="693">
        <f>SUMIFS(Imput[[Importe Neto]:[Importe Neto]],Imput[[C. Imp.]:[C. Imp.]],$D1058,Imput[[PERIODO Imp.]:[PERIODO Imp.]],CL$9)</f>
        <v>0</v>
      </c>
      <c r="CM1058" s="693">
        <f>SUMIFS(Imput[[Importe Neto]:[Importe Neto]],Imput[[C. Imp.]:[C. Imp.]],$D1058,Imput[[PERIODO Imp.]:[PERIODO Imp.]],CM$9)</f>
        <v>0</v>
      </c>
      <c r="CN1058" s="693">
        <f>SUMIFS(Imput[[Importe Neto]:[Importe Neto]],Imput[[C. Imp.]:[C. Imp.]],$D1058,Imput[[PERIODO Imp.]:[PERIODO Imp.]],CN$9)</f>
        <v>0</v>
      </c>
      <c r="CO1058" s="693">
        <f>SUMIFS(Imput[[Importe Neto]:[Importe Neto]],Imput[[C. Imp.]:[C. Imp.]],$D1058,Imput[[PERIODO Imp.]:[PERIODO Imp.]],CO$9)</f>
        <v>0</v>
      </c>
      <c r="CP1058" s="693">
        <f>SUMIFS(Imput[[Importe Neto]:[Importe Neto]],Imput[[C. Imp.]:[C. Imp.]],$D1058,Imput[[PERIODO Imp.]:[PERIODO Imp.]],CP$9)</f>
        <v>0</v>
      </c>
      <c r="CQ1058" s="693">
        <f>SUMIFS(Imput[[Importe Neto]:[Importe Neto]],Imput[[C. Imp.]:[C. Imp.]],$D1058,Imput[[PERIODO Imp.]:[PERIODO Imp.]],CQ$9)</f>
        <v>0</v>
      </c>
      <c r="CR1058" s="693">
        <f>SUMIFS(Imput[[Importe Neto]:[Importe Neto]],Imput[[C. Imp.]:[C. Imp.]],$D1058,Imput[[PERIODO Imp.]:[PERIODO Imp.]],CR$9)</f>
        <v>0</v>
      </c>
      <c r="CS1058" s="693">
        <f>SUMIFS(Imput[[Importe Neto]:[Importe Neto]],Imput[[C. Imp.]:[C. Imp.]],$D1058,Imput[[PERIODO Imp.]:[PERIODO Imp.]],CS$9)</f>
        <v>0</v>
      </c>
      <c r="CT1058" s="693">
        <f>SUMIFS(Imput[[Importe Neto]:[Importe Neto]],Imput[[C. Imp.]:[C. Imp.]],$D1058,Imput[[PERIODO Imp.]:[PERIODO Imp.]],CT$9)</f>
        <v>0</v>
      </c>
      <c r="CU1058" s="693">
        <f>SUMIFS(Imput[[Importe Neto]:[Importe Neto]],Imput[[C. Imp.]:[C. Imp.]],$D1058,Imput[[PERIODO Imp.]:[PERIODO Imp.]],CU$9)</f>
        <v>0</v>
      </c>
      <c r="CV1058" s="693">
        <f>SUMIFS(Imput[[Importe Neto]:[Importe Neto]],Imput[[C. Imp.]:[C. Imp.]],$D1058,Imput[[PERIODO Imp.]:[PERIODO Imp.]],CV$9)</f>
        <v>0</v>
      </c>
      <c r="CW1058" s="693">
        <f>SUMIFS(Imput[[Importe Neto]:[Importe Neto]],Imput[[C. Imp.]:[C. Imp.]],$D1058,Imput[[PERIODO Imp.]:[PERIODO Imp.]],CW$9)</f>
        <v>0</v>
      </c>
      <c r="CX1058" s="693">
        <f>SUMIFS(Imput[[Importe Neto]:[Importe Neto]],Imput[[C. Imp.]:[C. Imp.]],$D1058,Imput[[PERIODO Imp.]:[PERIODO Imp.]],CX$9)</f>
        <v>0</v>
      </c>
      <c r="CY1058" s="693">
        <f>SUMIFS(Imput[[Importe Neto]:[Importe Neto]],Imput[[C. Imp.]:[C. Imp.]],$D1058,Imput[[PERIODO Imp.]:[PERIODO Imp.]],CY$9)</f>
        <v>0</v>
      </c>
      <c r="CZ1058" s="693">
        <f>SUMIFS(Imput[[Importe Neto]:[Importe Neto]],Imput[[C. Imp.]:[C. Imp.]],$D1058,Imput[[PERIODO Imp.]:[PERIODO Imp.]],CZ$9)</f>
        <v>0</v>
      </c>
      <c r="DA1058" s="693">
        <f>SUMIFS(Imput[[Importe Neto]:[Importe Neto]],Imput[[C. Imp.]:[C. Imp.]],$D1058,Imput[[PERIODO Imp.]:[PERIODO Imp.]],DA$9)</f>
        <v>0</v>
      </c>
      <c r="DB1058" s="693">
        <f>SUMIFS(Imput[[Importe Neto]:[Importe Neto]],Imput[[C. Imp.]:[C. Imp.]],$D1058,Imput[[PERIODO Imp.]:[PERIODO Imp.]],DB$9)</f>
        <v>0</v>
      </c>
      <c r="DC1058" s="693">
        <f>SUMIFS(Imput[[Importe Neto]:[Importe Neto]],Imput[[C. Imp.]:[C. Imp.]],$D1058,Imput[[PERIODO Imp.]:[PERIODO Imp.]],DC$9)</f>
        <v>0</v>
      </c>
      <c r="DD1058" s="693">
        <f>SUMIFS(Imput[[Importe Neto]:[Importe Neto]],Imput[[C. Imp.]:[C. Imp.]],$D1058,Imput[[PERIODO Imp.]:[PERIODO Imp.]],DD$9)</f>
        <v>0</v>
      </c>
      <c r="DE1058" s="693">
        <f>SUMIFS(Imput[[Importe Neto]:[Importe Neto]],Imput[[C. Imp.]:[C. Imp.]],$D1058,Imput[[PERIODO Imp.]:[PERIODO Imp.]],DE$9)</f>
        <v>0</v>
      </c>
      <c r="DF1058" s="693">
        <f>SUMIFS(Imput[[Importe Neto]:[Importe Neto]],Imput[[C. Imp.]:[C. Imp.]],$D1058,Imput[[PERIODO Imp.]:[PERIODO Imp.]],DF$9)</f>
        <v>0</v>
      </c>
      <c r="DG1058" s="693">
        <f>SUMIFS(Imput[[Importe Neto]:[Importe Neto]],Imput[[C. Imp.]:[C. Imp.]],$D1058,Imput[[PERIODO Imp.]:[PERIODO Imp.]],DG$9)</f>
        <v>0</v>
      </c>
      <c r="DH1058" s="694">
        <f>SUMIFS(Imput[[Importe Neto]:[Importe Neto]],Imput[[C. Imp.]:[C. Imp.]],$D1058,Imput[[PERIODO Imp.]:[PERIODO Imp.]],DH$9)</f>
        <v>0</v>
      </c>
    </row>
    <row r="1059" spans="1:112" s="649" customFormat="1" hidden="1" outlineLevel="1" x14ac:dyDescent="0.3">
      <c r="A1059" s="652" t="str">
        <f t="shared" si="354"/>
        <v/>
      </c>
      <c r="B1059" s="652"/>
      <c r="C1059" s="685"/>
      <c r="D1059" s="686"/>
      <c r="E1059" s="686"/>
      <c r="F1059" s="720"/>
      <c r="G1059" s="688"/>
      <c r="H1059" s="689"/>
      <c r="I1059" s="851" t="str">
        <f t="shared" si="355"/>
        <v/>
      </c>
      <c r="J1059" s="850" t="str">
        <f t="shared" si="356"/>
        <v/>
      </c>
      <c r="K1059" s="667"/>
      <c r="L1059" s="858"/>
      <c r="M1059" s="859"/>
      <c r="N1059" s="859"/>
      <c r="O1059" s="859"/>
      <c r="P1059" s="859"/>
      <c r="Q1059" s="859"/>
      <c r="R1059" s="859"/>
      <c r="S1059" s="859"/>
      <c r="T1059" s="859"/>
      <c r="U1059" s="859"/>
      <c r="V1059" s="859"/>
      <c r="W1059" s="859"/>
      <c r="X1059" s="859"/>
      <c r="Y1059" s="859"/>
      <c r="Z1059" s="860"/>
      <c r="AA1059" s="860"/>
      <c r="AB1059" s="860"/>
      <c r="AC1059" s="860"/>
      <c r="AD1059" s="860"/>
      <c r="AE1059" s="860"/>
      <c r="AF1059" s="860"/>
      <c r="AG1059" s="860"/>
      <c r="AH1059" s="860"/>
      <c r="AI1059" s="860"/>
      <c r="AJ1059" s="860"/>
      <c r="AK1059" s="860"/>
      <c r="AL1059" s="860"/>
      <c r="AM1059" s="860"/>
      <c r="AN1059" s="860"/>
      <c r="AO1059" s="860"/>
      <c r="AP1059" s="860"/>
      <c r="AQ1059" s="860"/>
      <c r="AR1059" s="860"/>
      <c r="AS1059" s="860"/>
      <c r="AT1059" s="860"/>
      <c r="AU1059" s="860"/>
      <c r="AV1059" s="860"/>
      <c r="AW1059" s="860"/>
      <c r="AX1059" s="860"/>
      <c r="AY1059" s="860"/>
      <c r="AZ1059" s="860"/>
      <c r="BA1059" s="860"/>
      <c r="BB1059" s="860"/>
      <c r="BC1059" s="860"/>
      <c r="BD1059" s="860"/>
      <c r="BE1059" s="860"/>
      <c r="BF1059" s="860"/>
      <c r="BG1059" s="860"/>
      <c r="BH1059" s="668"/>
      <c r="BI1059" s="667"/>
      <c r="BJ1059" s="690">
        <f t="shared" si="357"/>
        <v>0</v>
      </c>
      <c r="BK1059" s="691">
        <f t="shared" si="358"/>
        <v>0</v>
      </c>
      <c r="BL1059" s="654"/>
      <c r="BM1059" s="692">
        <f>SUMIFS(Imput[[Importe Neto]:[Importe Neto]],Imput[[C. Imp.]:[C. Imp.]],$D1059,Imput[[PERIODO Imp.]:[PERIODO Imp.]],BM$9)</f>
        <v>0</v>
      </c>
      <c r="BN1059" s="693">
        <f>SUMIFS(Imput[[Importe Neto]:[Importe Neto]],Imput[[C. Imp.]:[C. Imp.]],$D1059,Imput[[PERIODO Imp.]:[PERIODO Imp.]],BN$9)</f>
        <v>0</v>
      </c>
      <c r="BO1059" s="693">
        <f>SUMIFS(Imput[[Importe Neto]:[Importe Neto]],Imput[[C. Imp.]:[C. Imp.]],$D1059,Imput[[PERIODO Imp.]:[PERIODO Imp.]],BO$9)</f>
        <v>0</v>
      </c>
      <c r="BP1059" s="693">
        <f>SUMIFS(Imput[[Importe Neto]:[Importe Neto]],Imput[[C. Imp.]:[C. Imp.]],$D1059,Imput[[PERIODO Imp.]:[PERIODO Imp.]],BP$9)</f>
        <v>0</v>
      </c>
      <c r="BQ1059" s="693">
        <f>SUMIFS(Imput[[Importe Neto]:[Importe Neto]],Imput[[C. Imp.]:[C. Imp.]],$D1059,Imput[[PERIODO Imp.]:[PERIODO Imp.]],BQ$9)</f>
        <v>0</v>
      </c>
      <c r="BR1059" s="693">
        <f>SUMIFS(Imput[[Importe Neto]:[Importe Neto]],Imput[[C. Imp.]:[C. Imp.]],$D1059,Imput[[PERIODO Imp.]:[PERIODO Imp.]],BR$9)</f>
        <v>0</v>
      </c>
      <c r="BS1059" s="693">
        <f>SUMIFS(Imput[[Importe Neto]:[Importe Neto]],Imput[[C. Imp.]:[C. Imp.]],$D1059,Imput[[PERIODO Imp.]:[PERIODO Imp.]],BS$9)</f>
        <v>0</v>
      </c>
      <c r="BT1059" s="693">
        <f>SUMIFS(Imput[[Importe Neto]:[Importe Neto]],Imput[[C. Imp.]:[C. Imp.]],$D1059,Imput[[PERIODO Imp.]:[PERIODO Imp.]],BT$9)</f>
        <v>0</v>
      </c>
      <c r="BU1059" s="693">
        <f>SUMIFS(Imput[[Importe Neto]:[Importe Neto]],Imput[[C. Imp.]:[C. Imp.]],$D1059,Imput[[PERIODO Imp.]:[PERIODO Imp.]],BU$9)</f>
        <v>0</v>
      </c>
      <c r="BV1059" s="693">
        <f>SUMIFS(Imput[[Importe Neto]:[Importe Neto]],Imput[[C. Imp.]:[C. Imp.]],$D1059,Imput[[PERIODO Imp.]:[PERIODO Imp.]],BV$9)</f>
        <v>0</v>
      </c>
      <c r="BW1059" s="693">
        <f>SUMIFS(Imput[[Importe Neto]:[Importe Neto]],Imput[[C. Imp.]:[C. Imp.]],$D1059,Imput[[PERIODO Imp.]:[PERIODO Imp.]],BW$9)</f>
        <v>0</v>
      </c>
      <c r="BX1059" s="693">
        <f>SUMIFS(Imput[[Importe Neto]:[Importe Neto]],Imput[[C. Imp.]:[C. Imp.]],$D1059,Imput[[PERIODO Imp.]:[PERIODO Imp.]],BX$9)</f>
        <v>0</v>
      </c>
      <c r="BY1059" s="693">
        <f>SUMIFS(Imput[[Importe Neto]:[Importe Neto]],Imput[[C. Imp.]:[C. Imp.]],$D1059,Imput[[PERIODO Imp.]:[PERIODO Imp.]],BY$9)</f>
        <v>0</v>
      </c>
      <c r="BZ1059" s="693">
        <f>SUMIFS(Imput[[Importe Neto]:[Importe Neto]],Imput[[C. Imp.]:[C. Imp.]],$D1059,Imput[[PERIODO Imp.]:[PERIODO Imp.]],BZ$9)</f>
        <v>0</v>
      </c>
      <c r="CA1059" s="693">
        <f>SUMIFS(Imput[[Importe Neto]:[Importe Neto]],Imput[[C. Imp.]:[C. Imp.]],$D1059,Imput[[PERIODO Imp.]:[PERIODO Imp.]],CA$9)</f>
        <v>0</v>
      </c>
      <c r="CB1059" s="693">
        <f>SUMIFS(Imput[[Importe Neto]:[Importe Neto]],Imput[[C. Imp.]:[C. Imp.]],$D1059,Imput[[PERIODO Imp.]:[PERIODO Imp.]],CB$9)</f>
        <v>0</v>
      </c>
      <c r="CC1059" s="693">
        <f>SUMIFS(Imput[[Importe Neto]:[Importe Neto]],Imput[[C. Imp.]:[C. Imp.]],$D1059,Imput[[PERIODO Imp.]:[PERIODO Imp.]],CC$9)</f>
        <v>0</v>
      </c>
      <c r="CD1059" s="693">
        <f>SUMIFS(Imput[[Importe Neto]:[Importe Neto]],Imput[[C. Imp.]:[C. Imp.]],$D1059,Imput[[PERIODO Imp.]:[PERIODO Imp.]],CD$9)</f>
        <v>0</v>
      </c>
      <c r="CE1059" s="693">
        <f>SUMIFS(Imput[[Importe Neto]:[Importe Neto]],Imput[[C. Imp.]:[C. Imp.]],$D1059,Imput[[PERIODO Imp.]:[PERIODO Imp.]],CE$9)</f>
        <v>0</v>
      </c>
      <c r="CF1059" s="693">
        <f>SUMIFS(Imput[[Importe Neto]:[Importe Neto]],Imput[[C. Imp.]:[C. Imp.]],$D1059,Imput[[PERIODO Imp.]:[PERIODO Imp.]],CF$9)</f>
        <v>0</v>
      </c>
      <c r="CG1059" s="693">
        <f>SUMIFS(Imput[[Importe Neto]:[Importe Neto]],Imput[[C. Imp.]:[C. Imp.]],$D1059,Imput[[PERIODO Imp.]:[PERIODO Imp.]],CG$9)</f>
        <v>0</v>
      </c>
      <c r="CH1059" s="693">
        <f>SUMIFS(Imput[[Importe Neto]:[Importe Neto]],Imput[[C. Imp.]:[C. Imp.]],$D1059,Imput[[PERIODO Imp.]:[PERIODO Imp.]],CH$9)</f>
        <v>0</v>
      </c>
      <c r="CI1059" s="693">
        <f>SUMIFS(Imput[[Importe Neto]:[Importe Neto]],Imput[[C. Imp.]:[C. Imp.]],$D1059,Imput[[PERIODO Imp.]:[PERIODO Imp.]],CI$9)</f>
        <v>0</v>
      </c>
      <c r="CJ1059" s="693">
        <f>SUMIFS(Imput[[Importe Neto]:[Importe Neto]],Imput[[C. Imp.]:[C. Imp.]],$D1059,Imput[[PERIODO Imp.]:[PERIODO Imp.]],CJ$9)</f>
        <v>0</v>
      </c>
      <c r="CK1059" s="693">
        <f>SUMIFS(Imput[[Importe Neto]:[Importe Neto]],Imput[[C. Imp.]:[C. Imp.]],$D1059,Imput[[PERIODO Imp.]:[PERIODO Imp.]],CK$9)</f>
        <v>0</v>
      </c>
      <c r="CL1059" s="693">
        <f>SUMIFS(Imput[[Importe Neto]:[Importe Neto]],Imput[[C. Imp.]:[C. Imp.]],$D1059,Imput[[PERIODO Imp.]:[PERIODO Imp.]],CL$9)</f>
        <v>0</v>
      </c>
      <c r="CM1059" s="693">
        <f>SUMIFS(Imput[[Importe Neto]:[Importe Neto]],Imput[[C. Imp.]:[C. Imp.]],$D1059,Imput[[PERIODO Imp.]:[PERIODO Imp.]],CM$9)</f>
        <v>0</v>
      </c>
      <c r="CN1059" s="693">
        <f>SUMIFS(Imput[[Importe Neto]:[Importe Neto]],Imput[[C. Imp.]:[C. Imp.]],$D1059,Imput[[PERIODO Imp.]:[PERIODO Imp.]],CN$9)</f>
        <v>0</v>
      </c>
      <c r="CO1059" s="693">
        <f>SUMIFS(Imput[[Importe Neto]:[Importe Neto]],Imput[[C. Imp.]:[C. Imp.]],$D1059,Imput[[PERIODO Imp.]:[PERIODO Imp.]],CO$9)</f>
        <v>0</v>
      </c>
      <c r="CP1059" s="693">
        <f>SUMIFS(Imput[[Importe Neto]:[Importe Neto]],Imput[[C. Imp.]:[C. Imp.]],$D1059,Imput[[PERIODO Imp.]:[PERIODO Imp.]],CP$9)</f>
        <v>0</v>
      </c>
      <c r="CQ1059" s="693">
        <f>SUMIFS(Imput[[Importe Neto]:[Importe Neto]],Imput[[C. Imp.]:[C. Imp.]],$D1059,Imput[[PERIODO Imp.]:[PERIODO Imp.]],CQ$9)</f>
        <v>0</v>
      </c>
      <c r="CR1059" s="693">
        <f>SUMIFS(Imput[[Importe Neto]:[Importe Neto]],Imput[[C. Imp.]:[C. Imp.]],$D1059,Imput[[PERIODO Imp.]:[PERIODO Imp.]],CR$9)</f>
        <v>0</v>
      </c>
      <c r="CS1059" s="693">
        <f>SUMIFS(Imput[[Importe Neto]:[Importe Neto]],Imput[[C. Imp.]:[C. Imp.]],$D1059,Imput[[PERIODO Imp.]:[PERIODO Imp.]],CS$9)</f>
        <v>0</v>
      </c>
      <c r="CT1059" s="693">
        <f>SUMIFS(Imput[[Importe Neto]:[Importe Neto]],Imput[[C. Imp.]:[C. Imp.]],$D1059,Imput[[PERIODO Imp.]:[PERIODO Imp.]],CT$9)</f>
        <v>0</v>
      </c>
      <c r="CU1059" s="693">
        <f>SUMIFS(Imput[[Importe Neto]:[Importe Neto]],Imput[[C. Imp.]:[C. Imp.]],$D1059,Imput[[PERIODO Imp.]:[PERIODO Imp.]],CU$9)</f>
        <v>0</v>
      </c>
      <c r="CV1059" s="693">
        <f>SUMIFS(Imput[[Importe Neto]:[Importe Neto]],Imput[[C. Imp.]:[C. Imp.]],$D1059,Imput[[PERIODO Imp.]:[PERIODO Imp.]],CV$9)</f>
        <v>0</v>
      </c>
      <c r="CW1059" s="693">
        <f>SUMIFS(Imput[[Importe Neto]:[Importe Neto]],Imput[[C. Imp.]:[C. Imp.]],$D1059,Imput[[PERIODO Imp.]:[PERIODO Imp.]],CW$9)</f>
        <v>0</v>
      </c>
      <c r="CX1059" s="693">
        <f>SUMIFS(Imput[[Importe Neto]:[Importe Neto]],Imput[[C. Imp.]:[C. Imp.]],$D1059,Imput[[PERIODO Imp.]:[PERIODO Imp.]],CX$9)</f>
        <v>0</v>
      </c>
      <c r="CY1059" s="693">
        <f>SUMIFS(Imput[[Importe Neto]:[Importe Neto]],Imput[[C. Imp.]:[C. Imp.]],$D1059,Imput[[PERIODO Imp.]:[PERIODO Imp.]],CY$9)</f>
        <v>0</v>
      </c>
      <c r="CZ1059" s="693">
        <f>SUMIFS(Imput[[Importe Neto]:[Importe Neto]],Imput[[C. Imp.]:[C. Imp.]],$D1059,Imput[[PERIODO Imp.]:[PERIODO Imp.]],CZ$9)</f>
        <v>0</v>
      </c>
      <c r="DA1059" s="693">
        <f>SUMIFS(Imput[[Importe Neto]:[Importe Neto]],Imput[[C. Imp.]:[C. Imp.]],$D1059,Imput[[PERIODO Imp.]:[PERIODO Imp.]],DA$9)</f>
        <v>0</v>
      </c>
      <c r="DB1059" s="693">
        <f>SUMIFS(Imput[[Importe Neto]:[Importe Neto]],Imput[[C. Imp.]:[C. Imp.]],$D1059,Imput[[PERIODO Imp.]:[PERIODO Imp.]],DB$9)</f>
        <v>0</v>
      </c>
      <c r="DC1059" s="693">
        <f>SUMIFS(Imput[[Importe Neto]:[Importe Neto]],Imput[[C. Imp.]:[C. Imp.]],$D1059,Imput[[PERIODO Imp.]:[PERIODO Imp.]],DC$9)</f>
        <v>0</v>
      </c>
      <c r="DD1059" s="693">
        <f>SUMIFS(Imput[[Importe Neto]:[Importe Neto]],Imput[[C. Imp.]:[C. Imp.]],$D1059,Imput[[PERIODO Imp.]:[PERIODO Imp.]],DD$9)</f>
        <v>0</v>
      </c>
      <c r="DE1059" s="693">
        <f>SUMIFS(Imput[[Importe Neto]:[Importe Neto]],Imput[[C. Imp.]:[C. Imp.]],$D1059,Imput[[PERIODO Imp.]:[PERIODO Imp.]],DE$9)</f>
        <v>0</v>
      </c>
      <c r="DF1059" s="693">
        <f>SUMIFS(Imput[[Importe Neto]:[Importe Neto]],Imput[[C. Imp.]:[C. Imp.]],$D1059,Imput[[PERIODO Imp.]:[PERIODO Imp.]],DF$9)</f>
        <v>0</v>
      </c>
      <c r="DG1059" s="693">
        <f>SUMIFS(Imput[[Importe Neto]:[Importe Neto]],Imput[[C. Imp.]:[C. Imp.]],$D1059,Imput[[PERIODO Imp.]:[PERIODO Imp.]],DG$9)</f>
        <v>0</v>
      </c>
      <c r="DH1059" s="694">
        <f>SUMIFS(Imput[[Importe Neto]:[Importe Neto]],Imput[[C. Imp.]:[C. Imp.]],$D1059,Imput[[PERIODO Imp.]:[PERIODO Imp.]],DH$9)</f>
        <v>0</v>
      </c>
    </row>
    <row r="1060" spans="1:112" s="649" customFormat="1" hidden="1" outlineLevel="1" x14ac:dyDescent="0.3">
      <c r="A1060" s="652" t="str">
        <f t="shared" si="354"/>
        <v/>
      </c>
      <c r="B1060" s="652"/>
      <c r="C1060" s="685"/>
      <c r="D1060" s="686"/>
      <c r="E1060" s="686"/>
      <c r="F1060" s="720"/>
      <c r="G1060" s="688"/>
      <c r="H1060" s="696"/>
      <c r="I1060" s="851" t="str">
        <f t="shared" si="355"/>
        <v/>
      </c>
      <c r="J1060" s="850" t="str">
        <f t="shared" si="356"/>
        <v/>
      </c>
      <c r="K1060" s="667"/>
      <c r="L1060" s="858"/>
      <c r="M1060" s="859"/>
      <c r="N1060" s="859"/>
      <c r="O1060" s="859"/>
      <c r="P1060" s="859"/>
      <c r="Q1060" s="859"/>
      <c r="R1060" s="859"/>
      <c r="S1060" s="859"/>
      <c r="T1060" s="859"/>
      <c r="U1060" s="859"/>
      <c r="V1060" s="859"/>
      <c r="W1060" s="859"/>
      <c r="X1060" s="859"/>
      <c r="Y1060" s="859"/>
      <c r="Z1060" s="860"/>
      <c r="AA1060" s="860"/>
      <c r="AB1060" s="860"/>
      <c r="AC1060" s="860"/>
      <c r="AD1060" s="860"/>
      <c r="AE1060" s="860"/>
      <c r="AF1060" s="860"/>
      <c r="AG1060" s="860"/>
      <c r="AH1060" s="860"/>
      <c r="AI1060" s="860"/>
      <c r="AJ1060" s="860"/>
      <c r="AK1060" s="860"/>
      <c r="AL1060" s="860"/>
      <c r="AM1060" s="860"/>
      <c r="AN1060" s="860"/>
      <c r="AO1060" s="860"/>
      <c r="AP1060" s="860"/>
      <c r="AQ1060" s="860"/>
      <c r="AR1060" s="860"/>
      <c r="AS1060" s="860"/>
      <c r="AT1060" s="860"/>
      <c r="AU1060" s="860"/>
      <c r="AV1060" s="860"/>
      <c r="AW1060" s="860"/>
      <c r="AX1060" s="860"/>
      <c r="AY1060" s="860"/>
      <c r="AZ1060" s="860"/>
      <c r="BA1060" s="860"/>
      <c r="BB1060" s="860"/>
      <c r="BC1060" s="860"/>
      <c r="BD1060" s="860"/>
      <c r="BE1060" s="860"/>
      <c r="BF1060" s="860"/>
      <c r="BG1060" s="860"/>
      <c r="BH1060" s="668"/>
      <c r="BI1060" s="667"/>
      <c r="BJ1060" s="690">
        <f t="shared" si="357"/>
        <v>0</v>
      </c>
      <c r="BK1060" s="691">
        <f t="shared" si="358"/>
        <v>0</v>
      </c>
      <c r="BL1060" s="654"/>
      <c r="BM1060" s="692">
        <f>SUMIFS(Imput[[Importe Neto]:[Importe Neto]],Imput[[C. Imp.]:[C. Imp.]],$D1060,Imput[[PERIODO Imp.]:[PERIODO Imp.]],BM$9)</f>
        <v>0</v>
      </c>
      <c r="BN1060" s="693">
        <f>SUMIFS(Imput[[Importe Neto]:[Importe Neto]],Imput[[C. Imp.]:[C. Imp.]],$D1060,Imput[[PERIODO Imp.]:[PERIODO Imp.]],BN$9)</f>
        <v>0</v>
      </c>
      <c r="BO1060" s="693">
        <f>SUMIFS(Imput[[Importe Neto]:[Importe Neto]],Imput[[C. Imp.]:[C. Imp.]],$D1060,Imput[[PERIODO Imp.]:[PERIODO Imp.]],BO$9)</f>
        <v>0</v>
      </c>
      <c r="BP1060" s="693">
        <f>SUMIFS(Imput[[Importe Neto]:[Importe Neto]],Imput[[C. Imp.]:[C. Imp.]],$D1060,Imput[[PERIODO Imp.]:[PERIODO Imp.]],BP$9)</f>
        <v>0</v>
      </c>
      <c r="BQ1060" s="693">
        <f>SUMIFS(Imput[[Importe Neto]:[Importe Neto]],Imput[[C. Imp.]:[C. Imp.]],$D1060,Imput[[PERIODO Imp.]:[PERIODO Imp.]],BQ$9)</f>
        <v>0</v>
      </c>
      <c r="BR1060" s="693">
        <f>SUMIFS(Imput[[Importe Neto]:[Importe Neto]],Imput[[C. Imp.]:[C. Imp.]],$D1060,Imput[[PERIODO Imp.]:[PERIODO Imp.]],BR$9)</f>
        <v>0</v>
      </c>
      <c r="BS1060" s="693">
        <f>SUMIFS(Imput[[Importe Neto]:[Importe Neto]],Imput[[C. Imp.]:[C. Imp.]],$D1060,Imput[[PERIODO Imp.]:[PERIODO Imp.]],BS$9)</f>
        <v>0</v>
      </c>
      <c r="BT1060" s="693">
        <f>SUMIFS(Imput[[Importe Neto]:[Importe Neto]],Imput[[C. Imp.]:[C. Imp.]],$D1060,Imput[[PERIODO Imp.]:[PERIODO Imp.]],BT$9)</f>
        <v>0</v>
      </c>
      <c r="BU1060" s="693">
        <f>SUMIFS(Imput[[Importe Neto]:[Importe Neto]],Imput[[C. Imp.]:[C. Imp.]],$D1060,Imput[[PERIODO Imp.]:[PERIODO Imp.]],BU$9)</f>
        <v>0</v>
      </c>
      <c r="BV1060" s="693">
        <f>SUMIFS(Imput[[Importe Neto]:[Importe Neto]],Imput[[C. Imp.]:[C. Imp.]],$D1060,Imput[[PERIODO Imp.]:[PERIODO Imp.]],BV$9)</f>
        <v>0</v>
      </c>
      <c r="BW1060" s="693">
        <f>SUMIFS(Imput[[Importe Neto]:[Importe Neto]],Imput[[C. Imp.]:[C. Imp.]],$D1060,Imput[[PERIODO Imp.]:[PERIODO Imp.]],BW$9)</f>
        <v>0</v>
      </c>
      <c r="BX1060" s="693">
        <f>SUMIFS(Imput[[Importe Neto]:[Importe Neto]],Imput[[C. Imp.]:[C. Imp.]],$D1060,Imput[[PERIODO Imp.]:[PERIODO Imp.]],BX$9)</f>
        <v>0</v>
      </c>
      <c r="BY1060" s="693">
        <f>SUMIFS(Imput[[Importe Neto]:[Importe Neto]],Imput[[C. Imp.]:[C. Imp.]],$D1060,Imput[[PERIODO Imp.]:[PERIODO Imp.]],BY$9)</f>
        <v>0</v>
      </c>
      <c r="BZ1060" s="693">
        <f>SUMIFS(Imput[[Importe Neto]:[Importe Neto]],Imput[[C. Imp.]:[C. Imp.]],$D1060,Imput[[PERIODO Imp.]:[PERIODO Imp.]],BZ$9)</f>
        <v>0</v>
      </c>
      <c r="CA1060" s="693">
        <f>SUMIFS(Imput[[Importe Neto]:[Importe Neto]],Imput[[C. Imp.]:[C. Imp.]],$D1060,Imput[[PERIODO Imp.]:[PERIODO Imp.]],CA$9)</f>
        <v>0</v>
      </c>
      <c r="CB1060" s="693">
        <f>SUMIFS(Imput[[Importe Neto]:[Importe Neto]],Imput[[C. Imp.]:[C. Imp.]],$D1060,Imput[[PERIODO Imp.]:[PERIODO Imp.]],CB$9)</f>
        <v>0</v>
      </c>
      <c r="CC1060" s="693">
        <f>SUMIFS(Imput[[Importe Neto]:[Importe Neto]],Imput[[C. Imp.]:[C. Imp.]],$D1060,Imput[[PERIODO Imp.]:[PERIODO Imp.]],CC$9)</f>
        <v>0</v>
      </c>
      <c r="CD1060" s="693">
        <f>SUMIFS(Imput[[Importe Neto]:[Importe Neto]],Imput[[C. Imp.]:[C. Imp.]],$D1060,Imput[[PERIODO Imp.]:[PERIODO Imp.]],CD$9)</f>
        <v>0</v>
      </c>
      <c r="CE1060" s="693">
        <f>SUMIFS(Imput[[Importe Neto]:[Importe Neto]],Imput[[C. Imp.]:[C. Imp.]],$D1060,Imput[[PERIODO Imp.]:[PERIODO Imp.]],CE$9)</f>
        <v>0</v>
      </c>
      <c r="CF1060" s="693">
        <f>SUMIFS(Imput[[Importe Neto]:[Importe Neto]],Imput[[C. Imp.]:[C. Imp.]],$D1060,Imput[[PERIODO Imp.]:[PERIODO Imp.]],CF$9)</f>
        <v>0</v>
      </c>
      <c r="CG1060" s="693">
        <f>SUMIFS(Imput[[Importe Neto]:[Importe Neto]],Imput[[C. Imp.]:[C. Imp.]],$D1060,Imput[[PERIODO Imp.]:[PERIODO Imp.]],CG$9)</f>
        <v>0</v>
      </c>
      <c r="CH1060" s="693">
        <f>SUMIFS(Imput[[Importe Neto]:[Importe Neto]],Imput[[C. Imp.]:[C. Imp.]],$D1060,Imput[[PERIODO Imp.]:[PERIODO Imp.]],CH$9)</f>
        <v>0</v>
      </c>
      <c r="CI1060" s="693">
        <f>SUMIFS(Imput[[Importe Neto]:[Importe Neto]],Imput[[C. Imp.]:[C. Imp.]],$D1060,Imput[[PERIODO Imp.]:[PERIODO Imp.]],CI$9)</f>
        <v>0</v>
      </c>
      <c r="CJ1060" s="693">
        <f>SUMIFS(Imput[[Importe Neto]:[Importe Neto]],Imput[[C. Imp.]:[C. Imp.]],$D1060,Imput[[PERIODO Imp.]:[PERIODO Imp.]],CJ$9)</f>
        <v>0</v>
      </c>
      <c r="CK1060" s="693">
        <f>SUMIFS(Imput[[Importe Neto]:[Importe Neto]],Imput[[C. Imp.]:[C. Imp.]],$D1060,Imput[[PERIODO Imp.]:[PERIODO Imp.]],CK$9)</f>
        <v>0</v>
      </c>
      <c r="CL1060" s="693">
        <f>SUMIFS(Imput[[Importe Neto]:[Importe Neto]],Imput[[C. Imp.]:[C. Imp.]],$D1060,Imput[[PERIODO Imp.]:[PERIODO Imp.]],CL$9)</f>
        <v>0</v>
      </c>
      <c r="CM1060" s="693">
        <f>SUMIFS(Imput[[Importe Neto]:[Importe Neto]],Imput[[C. Imp.]:[C. Imp.]],$D1060,Imput[[PERIODO Imp.]:[PERIODO Imp.]],CM$9)</f>
        <v>0</v>
      </c>
      <c r="CN1060" s="693">
        <f>SUMIFS(Imput[[Importe Neto]:[Importe Neto]],Imput[[C. Imp.]:[C. Imp.]],$D1060,Imput[[PERIODO Imp.]:[PERIODO Imp.]],CN$9)</f>
        <v>0</v>
      </c>
      <c r="CO1060" s="693">
        <f>SUMIFS(Imput[[Importe Neto]:[Importe Neto]],Imput[[C. Imp.]:[C. Imp.]],$D1060,Imput[[PERIODO Imp.]:[PERIODO Imp.]],CO$9)</f>
        <v>0</v>
      </c>
      <c r="CP1060" s="693">
        <f>SUMIFS(Imput[[Importe Neto]:[Importe Neto]],Imput[[C. Imp.]:[C. Imp.]],$D1060,Imput[[PERIODO Imp.]:[PERIODO Imp.]],CP$9)</f>
        <v>0</v>
      </c>
      <c r="CQ1060" s="693">
        <f>SUMIFS(Imput[[Importe Neto]:[Importe Neto]],Imput[[C. Imp.]:[C. Imp.]],$D1060,Imput[[PERIODO Imp.]:[PERIODO Imp.]],CQ$9)</f>
        <v>0</v>
      </c>
      <c r="CR1060" s="693">
        <f>SUMIFS(Imput[[Importe Neto]:[Importe Neto]],Imput[[C. Imp.]:[C. Imp.]],$D1060,Imput[[PERIODO Imp.]:[PERIODO Imp.]],CR$9)</f>
        <v>0</v>
      </c>
      <c r="CS1060" s="693">
        <f>SUMIFS(Imput[[Importe Neto]:[Importe Neto]],Imput[[C. Imp.]:[C. Imp.]],$D1060,Imput[[PERIODO Imp.]:[PERIODO Imp.]],CS$9)</f>
        <v>0</v>
      </c>
      <c r="CT1060" s="693">
        <f>SUMIFS(Imput[[Importe Neto]:[Importe Neto]],Imput[[C. Imp.]:[C. Imp.]],$D1060,Imput[[PERIODO Imp.]:[PERIODO Imp.]],CT$9)</f>
        <v>0</v>
      </c>
      <c r="CU1060" s="693">
        <f>SUMIFS(Imput[[Importe Neto]:[Importe Neto]],Imput[[C. Imp.]:[C. Imp.]],$D1060,Imput[[PERIODO Imp.]:[PERIODO Imp.]],CU$9)</f>
        <v>0</v>
      </c>
      <c r="CV1060" s="693">
        <f>SUMIFS(Imput[[Importe Neto]:[Importe Neto]],Imput[[C. Imp.]:[C. Imp.]],$D1060,Imput[[PERIODO Imp.]:[PERIODO Imp.]],CV$9)</f>
        <v>0</v>
      </c>
      <c r="CW1060" s="693">
        <f>SUMIFS(Imput[[Importe Neto]:[Importe Neto]],Imput[[C. Imp.]:[C. Imp.]],$D1060,Imput[[PERIODO Imp.]:[PERIODO Imp.]],CW$9)</f>
        <v>0</v>
      </c>
      <c r="CX1060" s="693">
        <f>SUMIFS(Imput[[Importe Neto]:[Importe Neto]],Imput[[C. Imp.]:[C. Imp.]],$D1060,Imput[[PERIODO Imp.]:[PERIODO Imp.]],CX$9)</f>
        <v>0</v>
      </c>
      <c r="CY1060" s="693">
        <f>SUMIFS(Imput[[Importe Neto]:[Importe Neto]],Imput[[C. Imp.]:[C. Imp.]],$D1060,Imput[[PERIODO Imp.]:[PERIODO Imp.]],CY$9)</f>
        <v>0</v>
      </c>
      <c r="CZ1060" s="693">
        <f>SUMIFS(Imput[[Importe Neto]:[Importe Neto]],Imput[[C. Imp.]:[C. Imp.]],$D1060,Imput[[PERIODO Imp.]:[PERIODO Imp.]],CZ$9)</f>
        <v>0</v>
      </c>
      <c r="DA1060" s="693">
        <f>SUMIFS(Imput[[Importe Neto]:[Importe Neto]],Imput[[C. Imp.]:[C. Imp.]],$D1060,Imput[[PERIODO Imp.]:[PERIODO Imp.]],DA$9)</f>
        <v>0</v>
      </c>
      <c r="DB1060" s="693">
        <f>SUMIFS(Imput[[Importe Neto]:[Importe Neto]],Imput[[C. Imp.]:[C. Imp.]],$D1060,Imput[[PERIODO Imp.]:[PERIODO Imp.]],DB$9)</f>
        <v>0</v>
      </c>
      <c r="DC1060" s="693">
        <f>SUMIFS(Imput[[Importe Neto]:[Importe Neto]],Imput[[C. Imp.]:[C. Imp.]],$D1060,Imput[[PERIODO Imp.]:[PERIODO Imp.]],DC$9)</f>
        <v>0</v>
      </c>
      <c r="DD1060" s="693">
        <f>SUMIFS(Imput[[Importe Neto]:[Importe Neto]],Imput[[C. Imp.]:[C. Imp.]],$D1060,Imput[[PERIODO Imp.]:[PERIODO Imp.]],DD$9)</f>
        <v>0</v>
      </c>
      <c r="DE1060" s="693">
        <f>SUMIFS(Imput[[Importe Neto]:[Importe Neto]],Imput[[C. Imp.]:[C. Imp.]],$D1060,Imput[[PERIODO Imp.]:[PERIODO Imp.]],DE$9)</f>
        <v>0</v>
      </c>
      <c r="DF1060" s="693">
        <f>SUMIFS(Imput[[Importe Neto]:[Importe Neto]],Imput[[C. Imp.]:[C. Imp.]],$D1060,Imput[[PERIODO Imp.]:[PERIODO Imp.]],DF$9)</f>
        <v>0</v>
      </c>
      <c r="DG1060" s="693">
        <f>SUMIFS(Imput[[Importe Neto]:[Importe Neto]],Imput[[C. Imp.]:[C. Imp.]],$D1060,Imput[[PERIODO Imp.]:[PERIODO Imp.]],DG$9)</f>
        <v>0</v>
      </c>
      <c r="DH1060" s="694">
        <f>SUMIFS(Imput[[Importe Neto]:[Importe Neto]],Imput[[C. Imp.]:[C. Imp.]],$D1060,Imput[[PERIODO Imp.]:[PERIODO Imp.]],DH$9)</f>
        <v>0</v>
      </c>
    </row>
    <row r="1061" spans="1:112" s="649" customFormat="1" hidden="1" outlineLevel="1" x14ac:dyDescent="0.3">
      <c r="A1061" s="652" t="str">
        <f t="shared" si="354"/>
        <v/>
      </c>
      <c r="B1061" s="652"/>
      <c r="C1061" s="685"/>
      <c r="D1061" s="686"/>
      <c r="E1061" s="686"/>
      <c r="F1061" s="720"/>
      <c r="G1061" s="688"/>
      <c r="H1061" s="696"/>
      <c r="I1061" s="851" t="str">
        <f t="shared" si="355"/>
        <v/>
      </c>
      <c r="J1061" s="850" t="str">
        <f t="shared" si="356"/>
        <v/>
      </c>
      <c r="K1061" s="667"/>
      <c r="L1061" s="858"/>
      <c r="M1061" s="859"/>
      <c r="N1061" s="859"/>
      <c r="O1061" s="859"/>
      <c r="P1061" s="859"/>
      <c r="Q1061" s="859"/>
      <c r="R1061" s="859"/>
      <c r="S1061" s="859"/>
      <c r="T1061" s="859"/>
      <c r="U1061" s="859"/>
      <c r="V1061" s="859"/>
      <c r="W1061" s="859"/>
      <c r="X1061" s="859"/>
      <c r="Y1061" s="859"/>
      <c r="Z1061" s="860"/>
      <c r="AA1061" s="860"/>
      <c r="AB1061" s="860"/>
      <c r="AC1061" s="860"/>
      <c r="AD1061" s="860"/>
      <c r="AE1061" s="860"/>
      <c r="AF1061" s="860"/>
      <c r="AG1061" s="860"/>
      <c r="AH1061" s="860"/>
      <c r="AI1061" s="860"/>
      <c r="AJ1061" s="860"/>
      <c r="AK1061" s="860"/>
      <c r="AL1061" s="860"/>
      <c r="AM1061" s="860"/>
      <c r="AN1061" s="860"/>
      <c r="AO1061" s="860"/>
      <c r="AP1061" s="860"/>
      <c r="AQ1061" s="860"/>
      <c r="AR1061" s="860"/>
      <c r="AS1061" s="860"/>
      <c r="AT1061" s="860"/>
      <c r="AU1061" s="860"/>
      <c r="AV1061" s="860"/>
      <c r="AW1061" s="860"/>
      <c r="AX1061" s="860"/>
      <c r="AY1061" s="860"/>
      <c r="AZ1061" s="860"/>
      <c r="BA1061" s="860"/>
      <c r="BB1061" s="860"/>
      <c r="BC1061" s="860"/>
      <c r="BD1061" s="860"/>
      <c r="BE1061" s="860"/>
      <c r="BF1061" s="860"/>
      <c r="BG1061" s="860"/>
      <c r="BH1061" s="668"/>
      <c r="BI1061" s="667"/>
      <c r="BJ1061" s="690">
        <f t="shared" si="357"/>
        <v>0</v>
      </c>
      <c r="BK1061" s="691">
        <f t="shared" si="358"/>
        <v>0</v>
      </c>
      <c r="BL1061" s="654"/>
      <c r="BM1061" s="692">
        <f>SUMIFS(Imput[[Importe Neto]:[Importe Neto]],Imput[[C. Imp.]:[C. Imp.]],$D1061,Imput[[PERIODO Imp.]:[PERIODO Imp.]],BM$9)</f>
        <v>0</v>
      </c>
      <c r="BN1061" s="693">
        <f>SUMIFS(Imput[[Importe Neto]:[Importe Neto]],Imput[[C. Imp.]:[C. Imp.]],$D1061,Imput[[PERIODO Imp.]:[PERIODO Imp.]],BN$9)</f>
        <v>0</v>
      </c>
      <c r="BO1061" s="693">
        <f>SUMIFS(Imput[[Importe Neto]:[Importe Neto]],Imput[[C. Imp.]:[C. Imp.]],$D1061,Imput[[PERIODO Imp.]:[PERIODO Imp.]],BO$9)</f>
        <v>0</v>
      </c>
      <c r="BP1061" s="693">
        <f>SUMIFS(Imput[[Importe Neto]:[Importe Neto]],Imput[[C. Imp.]:[C. Imp.]],$D1061,Imput[[PERIODO Imp.]:[PERIODO Imp.]],BP$9)</f>
        <v>0</v>
      </c>
      <c r="BQ1061" s="693">
        <f>SUMIFS(Imput[[Importe Neto]:[Importe Neto]],Imput[[C. Imp.]:[C. Imp.]],$D1061,Imput[[PERIODO Imp.]:[PERIODO Imp.]],BQ$9)</f>
        <v>0</v>
      </c>
      <c r="BR1061" s="693">
        <f>SUMIFS(Imput[[Importe Neto]:[Importe Neto]],Imput[[C. Imp.]:[C. Imp.]],$D1061,Imput[[PERIODO Imp.]:[PERIODO Imp.]],BR$9)</f>
        <v>0</v>
      </c>
      <c r="BS1061" s="693">
        <f>SUMIFS(Imput[[Importe Neto]:[Importe Neto]],Imput[[C. Imp.]:[C. Imp.]],$D1061,Imput[[PERIODO Imp.]:[PERIODO Imp.]],BS$9)</f>
        <v>0</v>
      </c>
      <c r="BT1061" s="693">
        <f>SUMIFS(Imput[[Importe Neto]:[Importe Neto]],Imput[[C. Imp.]:[C. Imp.]],$D1061,Imput[[PERIODO Imp.]:[PERIODO Imp.]],BT$9)</f>
        <v>0</v>
      </c>
      <c r="BU1061" s="693">
        <f>SUMIFS(Imput[[Importe Neto]:[Importe Neto]],Imput[[C. Imp.]:[C. Imp.]],$D1061,Imput[[PERIODO Imp.]:[PERIODO Imp.]],BU$9)</f>
        <v>0</v>
      </c>
      <c r="BV1061" s="693">
        <f>SUMIFS(Imput[[Importe Neto]:[Importe Neto]],Imput[[C. Imp.]:[C. Imp.]],$D1061,Imput[[PERIODO Imp.]:[PERIODO Imp.]],BV$9)</f>
        <v>0</v>
      </c>
      <c r="BW1061" s="693">
        <f>SUMIFS(Imput[[Importe Neto]:[Importe Neto]],Imput[[C. Imp.]:[C. Imp.]],$D1061,Imput[[PERIODO Imp.]:[PERIODO Imp.]],BW$9)</f>
        <v>0</v>
      </c>
      <c r="BX1061" s="693">
        <f>SUMIFS(Imput[[Importe Neto]:[Importe Neto]],Imput[[C. Imp.]:[C. Imp.]],$D1061,Imput[[PERIODO Imp.]:[PERIODO Imp.]],BX$9)</f>
        <v>0</v>
      </c>
      <c r="BY1061" s="693">
        <f>SUMIFS(Imput[[Importe Neto]:[Importe Neto]],Imput[[C. Imp.]:[C. Imp.]],$D1061,Imput[[PERIODO Imp.]:[PERIODO Imp.]],BY$9)</f>
        <v>0</v>
      </c>
      <c r="BZ1061" s="693">
        <f>SUMIFS(Imput[[Importe Neto]:[Importe Neto]],Imput[[C. Imp.]:[C. Imp.]],$D1061,Imput[[PERIODO Imp.]:[PERIODO Imp.]],BZ$9)</f>
        <v>0</v>
      </c>
      <c r="CA1061" s="693">
        <f>SUMIFS(Imput[[Importe Neto]:[Importe Neto]],Imput[[C. Imp.]:[C. Imp.]],$D1061,Imput[[PERIODO Imp.]:[PERIODO Imp.]],CA$9)</f>
        <v>0</v>
      </c>
      <c r="CB1061" s="693">
        <f>SUMIFS(Imput[[Importe Neto]:[Importe Neto]],Imput[[C. Imp.]:[C. Imp.]],$D1061,Imput[[PERIODO Imp.]:[PERIODO Imp.]],CB$9)</f>
        <v>0</v>
      </c>
      <c r="CC1061" s="693">
        <f>SUMIFS(Imput[[Importe Neto]:[Importe Neto]],Imput[[C. Imp.]:[C. Imp.]],$D1061,Imput[[PERIODO Imp.]:[PERIODO Imp.]],CC$9)</f>
        <v>0</v>
      </c>
      <c r="CD1061" s="693">
        <f>SUMIFS(Imput[[Importe Neto]:[Importe Neto]],Imput[[C. Imp.]:[C. Imp.]],$D1061,Imput[[PERIODO Imp.]:[PERIODO Imp.]],CD$9)</f>
        <v>0</v>
      </c>
      <c r="CE1061" s="693">
        <f>SUMIFS(Imput[[Importe Neto]:[Importe Neto]],Imput[[C. Imp.]:[C. Imp.]],$D1061,Imput[[PERIODO Imp.]:[PERIODO Imp.]],CE$9)</f>
        <v>0</v>
      </c>
      <c r="CF1061" s="693">
        <f>SUMIFS(Imput[[Importe Neto]:[Importe Neto]],Imput[[C. Imp.]:[C. Imp.]],$D1061,Imput[[PERIODO Imp.]:[PERIODO Imp.]],CF$9)</f>
        <v>0</v>
      </c>
      <c r="CG1061" s="693">
        <f>SUMIFS(Imput[[Importe Neto]:[Importe Neto]],Imput[[C. Imp.]:[C. Imp.]],$D1061,Imput[[PERIODO Imp.]:[PERIODO Imp.]],CG$9)</f>
        <v>0</v>
      </c>
      <c r="CH1061" s="693">
        <f>SUMIFS(Imput[[Importe Neto]:[Importe Neto]],Imput[[C. Imp.]:[C. Imp.]],$D1061,Imput[[PERIODO Imp.]:[PERIODO Imp.]],CH$9)</f>
        <v>0</v>
      </c>
      <c r="CI1061" s="693">
        <f>SUMIFS(Imput[[Importe Neto]:[Importe Neto]],Imput[[C. Imp.]:[C. Imp.]],$D1061,Imput[[PERIODO Imp.]:[PERIODO Imp.]],CI$9)</f>
        <v>0</v>
      </c>
      <c r="CJ1061" s="693">
        <f>SUMIFS(Imput[[Importe Neto]:[Importe Neto]],Imput[[C. Imp.]:[C. Imp.]],$D1061,Imput[[PERIODO Imp.]:[PERIODO Imp.]],CJ$9)</f>
        <v>0</v>
      </c>
      <c r="CK1061" s="693">
        <f>SUMIFS(Imput[[Importe Neto]:[Importe Neto]],Imput[[C. Imp.]:[C. Imp.]],$D1061,Imput[[PERIODO Imp.]:[PERIODO Imp.]],CK$9)</f>
        <v>0</v>
      </c>
      <c r="CL1061" s="693">
        <f>SUMIFS(Imput[[Importe Neto]:[Importe Neto]],Imput[[C. Imp.]:[C. Imp.]],$D1061,Imput[[PERIODO Imp.]:[PERIODO Imp.]],CL$9)</f>
        <v>0</v>
      </c>
      <c r="CM1061" s="693">
        <f>SUMIFS(Imput[[Importe Neto]:[Importe Neto]],Imput[[C. Imp.]:[C. Imp.]],$D1061,Imput[[PERIODO Imp.]:[PERIODO Imp.]],CM$9)</f>
        <v>0</v>
      </c>
      <c r="CN1061" s="693">
        <f>SUMIFS(Imput[[Importe Neto]:[Importe Neto]],Imput[[C. Imp.]:[C. Imp.]],$D1061,Imput[[PERIODO Imp.]:[PERIODO Imp.]],CN$9)</f>
        <v>0</v>
      </c>
      <c r="CO1061" s="693">
        <f>SUMIFS(Imput[[Importe Neto]:[Importe Neto]],Imput[[C. Imp.]:[C. Imp.]],$D1061,Imput[[PERIODO Imp.]:[PERIODO Imp.]],CO$9)</f>
        <v>0</v>
      </c>
      <c r="CP1061" s="693">
        <f>SUMIFS(Imput[[Importe Neto]:[Importe Neto]],Imput[[C. Imp.]:[C. Imp.]],$D1061,Imput[[PERIODO Imp.]:[PERIODO Imp.]],CP$9)</f>
        <v>0</v>
      </c>
      <c r="CQ1061" s="693">
        <f>SUMIFS(Imput[[Importe Neto]:[Importe Neto]],Imput[[C. Imp.]:[C. Imp.]],$D1061,Imput[[PERIODO Imp.]:[PERIODO Imp.]],CQ$9)</f>
        <v>0</v>
      </c>
      <c r="CR1061" s="693">
        <f>SUMIFS(Imput[[Importe Neto]:[Importe Neto]],Imput[[C. Imp.]:[C. Imp.]],$D1061,Imput[[PERIODO Imp.]:[PERIODO Imp.]],CR$9)</f>
        <v>0</v>
      </c>
      <c r="CS1061" s="693">
        <f>SUMIFS(Imput[[Importe Neto]:[Importe Neto]],Imput[[C. Imp.]:[C. Imp.]],$D1061,Imput[[PERIODO Imp.]:[PERIODO Imp.]],CS$9)</f>
        <v>0</v>
      </c>
      <c r="CT1061" s="693">
        <f>SUMIFS(Imput[[Importe Neto]:[Importe Neto]],Imput[[C. Imp.]:[C. Imp.]],$D1061,Imput[[PERIODO Imp.]:[PERIODO Imp.]],CT$9)</f>
        <v>0</v>
      </c>
      <c r="CU1061" s="693">
        <f>SUMIFS(Imput[[Importe Neto]:[Importe Neto]],Imput[[C. Imp.]:[C. Imp.]],$D1061,Imput[[PERIODO Imp.]:[PERIODO Imp.]],CU$9)</f>
        <v>0</v>
      </c>
      <c r="CV1061" s="693">
        <f>SUMIFS(Imput[[Importe Neto]:[Importe Neto]],Imput[[C. Imp.]:[C. Imp.]],$D1061,Imput[[PERIODO Imp.]:[PERIODO Imp.]],CV$9)</f>
        <v>0</v>
      </c>
      <c r="CW1061" s="693">
        <f>SUMIFS(Imput[[Importe Neto]:[Importe Neto]],Imput[[C. Imp.]:[C. Imp.]],$D1061,Imput[[PERIODO Imp.]:[PERIODO Imp.]],CW$9)</f>
        <v>0</v>
      </c>
      <c r="CX1061" s="693">
        <f>SUMIFS(Imput[[Importe Neto]:[Importe Neto]],Imput[[C. Imp.]:[C. Imp.]],$D1061,Imput[[PERIODO Imp.]:[PERIODO Imp.]],CX$9)</f>
        <v>0</v>
      </c>
      <c r="CY1061" s="693">
        <f>SUMIFS(Imput[[Importe Neto]:[Importe Neto]],Imput[[C. Imp.]:[C. Imp.]],$D1061,Imput[[PERIODO Imp.]:[PERIODO Imp.]],CY$9)</f>
        <v>0</v>
      </c>
      <c r="CZ1061" s="693">
        <f>SUMIFS(Imput[[Importe Neto]:[Importe Neto]],Imput[[C. Imp.]:[C. Imp.]],$D1061,Imput[[PERIODO Imp.]:[PERIODO Imp.]],CZ$9)</f>
        <v>0</v>
      </c>
      <c r="DA1061" s="693">
        <f>SUMIFS(Imput[[Importe Neto]:[Importe Neto]],Imput[[C. Imp.]:[C. Imp.]],$D1061,Imput[[PERIODO Imp.]:[PERIODO Imp.]],DA$9)</f>
        <v>0</v>
      </c>
      <c r="DB1061" s="693">
        <f>SUMIFS(Imput[[Importe Neto]:[Importe Neto]],Imput[[C. Imp.]:[C. Imp.]],$D1061,Imput[[PERIODO Imp.]:[PERIODO Imp.]],DB$9)</f>
        <v>0</v>
      </c>
      <c r="DC1061" s="693">
        <f>SUMIFS(Imput[[Importe Neto]:[Importe Neto]],Imput[[C. Imp.]:[C. Imp.]],$D1061,Imput[[PERIODO Imp.]:[PERIODO Imp.]],DC$9)</f>
        <v>0</v>
      </c>
      <c r="DD1061" s="693">
        <f>SUMIFS(Imput[[Importe Neto]:[Importe Neto]],Imput[[C. Imp.]:[C. Imp.]],$D1061,Imput[[PERIODO Imp.]:[PERIODO Imp.]],DD$9)</f>
        <v>0</v>
      </c>
      <c r="DE1061" s="693">
        <f>SUMIFS(Imput[[Importe Neto]:[Importe Neto]],Imput[[C. Imp.]:[C. Imp.]],$D1061,Imput[[PERIODO Imp.]:[PERIODO Imp.]],DE$9)</f>
        <v>0</v>
      </c>
      <c r="DF1061" s="693">
        <f>SUMIFS(Imput[[Importe Neto]:[Importe Neto]],Imput[[C. Imp.]:[C. Imp.]],$D1061,Imput[[PERIODO Imp.]:[PERIODO Imp.]],DF$9)</f>
        <v>0</v>
      </c>
      <c r="DG1061" s="693">
        <f>SUMIFS(Imput[[Importe Neto]:[Importe Neto]],Imput[[C. Imp.]:[C. Imp.]],$D1061,Imput[[PERIODO Imp.]:[PERIODO Imp.]],DG$9)</f>
        <v>0</v>
      </c>
      <c r="DH1061" s="694">
        <f>SUMIFS(Imput[[Importe Neto]:[Importe Neto]],Imput[[C. Imp.]:[C. Imp.]],$D1061,Imput[[PERIODO Imp.]:[PERIODO Imp.]],DH$9)</f>
        <v>0</v>
      </c>
    </row>
    <row r="1062" spans="1:112" s="649" customFormat="1" hidden="1" outlineLevel="1" x14ac:dyDescent="0.3">
      <c r="A1062" s="652" t="str">
        <f t="shared" si="354"/>
        <v/>
      </c>
      <c r="B1062" s="652"/>
      <c r="C1062" s="685"/>
      <c r="D1062" s="686"/>
      <c r="E1062" s="686"/>
      <c r="F1062" s="720"/>
      <c r="G1062" s="688"/>
      <c r="H1062" s="696"/>
      <c r="I1062" s="851" t="str">
        <f t="shared" si="355"/>
        <v/>
      </c>
      <c r="J1062" s="850" t="str">
        <f t="shared" si="356"/>
        <v/>
      </c>
      <c r="K1062" s="678"/>
      <c r="L1062" s="858"/>
      <c r="M1062" s="859"/>
      <c r="N1062" s="859"/>
      <c r="O1062" s="859"/>
      <c r="P1062" s="859"/>
      <c r="Q1062" s="859"/>
      <c r="R1062" s="859"/>
      <c r="S1062" s="859"/>
      <c r="T1062" s="859"/>
      <c r="U1062" s="859"/>
      <c r="V1062" s="859"/>
      <c r="W1062" s="859"/>
      <c r="X1062" s="859"/>
      <c r="Y1062" s="859"/>
      <c r="Z1062" s="860"/>
      <c r="AA1062" s="860"/>
      <c r="AB1062" s="860"/>
      <c r="AC1062" s="860"/>
      <c r="AD1062" s="860"/>
      <c r="AE1062" s="860"/>
      <c r="AF1062" s="860"/>
      <c r="AG1062" s="860"/>
      <c r="AH1062" s="860"/>
      <c r="AI1062" s="860"/>
      <c r="AJ1062" s="860"/>
      <c r="AK1062" s="860"/>
      <c r="AL1062" s="860"/>
      <c r="AM1062" s="860"/>
      <c r="AN1062" s="860"/>
      <c r="AO1062" s="860"/>
      <c r="AP1062" s="860"/>
      <c r="AQ1062" s="860"/>
      <c r="AR1062" s="860"/>
      <c r="AS1062" s="860"/>
      <c r="AT1062" s="860"/>
      <c r="AU1062" s="860"/>
      <c r="AV1062" s="860"/>
      <c r="AW1062" s="860"/>
      <c r="AX1062" s="860"/>
      <c r="AY1062" s="860"/>
      <c r="AZ1062" s="860"/>
      <c r="BA1062" s="860"/>
      <c r="BB1062" s="860"/>
      <c r="BC1062" s="860"/>
      <c r="BD1062" s="860"/>
      <c r="BE1062" s="860"/>
      <c r="BF1062" s="860"/>
      <c r="BG1062" s="860"/>
      <c r="BH1062" s="668"/>
      <c r="BI1062" s="654"/>
      <c r="BJ1062" s="690">
        <f t="shared" si="357"/>
        <v>0</v>
      </c>
      <c r="BK1062" s="691">
        <f t="shared" si="358"/>
        <v>0</v>
      </c>
      <c r="BL1062" s="654"/>
      <c r="BM1062" s="692">
        <f>SUMIFS(Imput[[Importe Neto]:[Importe Neto]],Imput[[C. Imp.]:[C. Imp.]],$D1062,Imput[[PERIODO Imp.]:[PERIODO Imp.]],BM$9)</f>
        <v>0</v>
      </c>
      <c r="BN1062" s="693">
        <f>SUMIFS(Imput[[Importe Neto]:[Importe Neto]],Imput[[C. Imp.]:[C. Imp.]],$D1062,Imput[[PERIODO Imp.]:[PERIODO Imp.]],BN$9)</f>
        <v>0</v>
      </c>
      <c r="BO1062" s="693">
        <f>SUMIFS(Imput[[Importe Neto]:[Importe Neto]],Imput[[C. Imp.]:[C. Imp.]],$D1062,Imput[[PERIODO Imp.]:[PERIODO Imp.]],BO$9)</f>
        <v>0</v>
      </c>
      <c r="BP1062" s="693">
        <f>SUMIFS(Imput[[Importe Neto]:[Importe Neto]],Imput[[C. Imp.]:[C. Imp.]],$D1062,Imput[[PERIODO Imp.]:[PERIODO Imp.]],BP$9)</f>
        <v>0</v>
      </c>
      <c r="BQ1062" s="693">
        <f>SUMIFS(Imput[[Importe Neto]:[Importe Neto]],Imput[[C. Imp.]:[C. Imp.]],$D1062,Imput[[PERIODO Imp.]:[PERIODO Imp.]],BQ$9)</f>
        <v>0</v>
      </c>
      <c r="BR1062" s="693">
        <f>SUMIFS(Imput[[Importe Neto]:[Importe Neto]],Imput[[C. Imp.]:[C. Imp.]],$D1062,Imput[[PERIODO Imp.]:[PERIODO Imp.]],BR$9)</f>
        <v>0</v>
      </c>
      <c r="BS1062" s="693">
        <f>SUMIFS(Imput[[Importe Neto]:[Importe Neto]],Imput[[C. Imp.]:[C. Imp.]],$D1062,Imput[[PERIODO Imp.]:[PERIODO Imp.]],BS$9)</f>
        <v>0</v>
      </c>
      <c r="BT1062" s="693">
        <f>SUMIFS(Imput[[Importe Neto]:[Importe Neto]],Imput[[C. Imp.]:[C. Imp.]],$D1062,Imput[[PERIODO Imp.]:[PERIODO Imp.]],BT$9)</f>
        <v>0</v>
      </c>
      <c r="BU1062" s="693">
        <f>SUMIFS(Imput[[Importe Neto]:[Importe Neto]],Imput[[C. Imp.]:[C. Imp.]],$D1062,Imput[[PERIODO Imp.]:[PERIODO Imp.]],BU$9)</f>
        <v>0</v>
      </c>
      <c r="BV1062" s="693">
        <f>SUMIFS(Imput[[Importe Neto]:[Importe Neto]],Imput[[C. Imp.]:[C. Imp.]],$D1062,Imput[[PERIODO Imp.]:[PERIODO Imp.]],BV$9)</f>
        <v>0</v>
      </c>
      <c r="BW1062" s="693">
        <f>SUMIFS(Imput[[Importe Neto]:[Importe Neto]],Imput[[C. Imp.]:[C. Imp.]],$D1062,Imput[[PERIODO Imp.]:[PERIODO Imp.]],BW$9)</f>
        <v>0</v>
      </c>
      <c r="BX1062" s="693">
        <f>SUMIFS(Imput[[Importe Neto]:[Importe Neto]],Imput[[C. Imp.]:[C. Imp.]],$D1062,Imput[[PERIODO Imp.]:[PERIODO Imp.]],BX$9)</f>
        <v>0</v>
      </c>
      <c r="BY1062" s="693">
        <f>SUMIFS(Imput[[Importe Neto]:[Importe Neto]],Imput[[C. Imp.]:[C. Imp.]],$D1062,Imput[[PERIODO Imp.]:[PERIODO Imp.]],BY$9)</f>
        <v>0</v>
      </c>
      <c r="BZ1062" s="693">
        <f>SUMIFS(Imput[[Importe Neto]:[Importe Neto]],Imput[[C. Imp.]:[C. Imp.]],$D1062,Imput[[PERIODO Imp.]:[PERIODO Imp.]],BZ$9)</f>
        <v>0</v>
      </c>
      <c r="CA1062" s="693">
        <f>SUMIFS(Imput[[Importe Neto]:[Importe Neto]],Imput[[C. Imp.]:[C. Imp.]],$D1062,Imput[[PERIODO Imp.]:[PERIODO Imp.]],CA$9)</f>
        <v>0</v>
      </c>
      <c r="CB1062" s="693">
        <f>SUMIFS(Imput[[Importe Neto]:[Importe Neto]],Imput[[C. Imp.]:[C. Imp.]],$D1062,Imput[[PERIODO Imp.]:[PERIODO Imp.]],CB$9)</f>
        <v>0</v>
      </c>
      <c r="CC1062" s="693">
        <f>SUMIFS(Imput[[Importe Neto]:[Importe Neto]],Imput[[C. Imp.]:[C. Imp.]],$D1062,Imput[[PERIODO Imp.]:[PERIODO Imp.]],CC$9)</f>
        <v>0</v>
      </c>
      <c r="CD1062" s="693">
        <f>SUMIFS(Imput[[Importe Neto]:[Importe Neto]],Imput[[C. Imp.]:[C. Imp.]],$D1062,Imput[[PERIODO Imp.]:[PERIODO Imp.]],CD$9)</f>
        <v>0</v>
      </c>
      <c r="CE1062" s="693">
        <f>SUMIFS(Imput[[Importe Neto]:[Importe Neto]],Imput[[C. Imp.]:[C. Imp.]],$D1062,Imput[[PERIODO Imp.]:[PERIODO Imp.]],CE$9)</f>
        <v>0</v>
      </c>
      <c r="CF1062" s="693">
        <f>SUMIFS(Imput[[Importe Neto]:[Importe Neto]],Imput[[C. Imp.]:[C. Imp.]],$D1062,Imput[[PERIODO Imp.]:[PERIODO Imp.]],CF$9)</f>
        <v>0</v>
      </c>
      <c r="CG1062" s="693">
        <f>SUMIFS(Imput[[Importe Neto]:[Importe Neto]],Imput[[C. Imp.]:[C. Imp.]],$D1062,Imput[[PERIODO Imp.]:[PERIODO Imp.]],CG$9)</f>
        <v>0</v>
      </c>
      <c r="CH1062" s="693">
        <f>SUMIFS(Imput[[Importe Neto]:[Importe Neto]],Imput[[C. Imp.]:[C. Imp.]],$D1062,Imput[[PERIODO Imp.]:[PERIODO Imp.]],CH$9)</f>
        <v>0</v>
      </c>
      <c r="CI1062" s="693">
        <f>SUMIFS(Imput[[Importe Neto]:[Importe Neto]],Imput[[C. Imp.]:[C. Imp.]],$D1062,Imput[[PERIODO Imp.]:[PERIODO Imp.]],CI$9)</f>
        <v>0</v>
      </c>
      <c r="CJ1062" s="693">
        <f>SUMIFS(Imput[[Importe Neto]:[Importe Neto]],Imput[[C. Imp.]:[C. Imp.]],$D1062,Imput[[PERIODO Imp.]:[PERIODO Imp.]],CJ$9)</f>
        <v>0</v>
      </c>
      <c r="CK1062" s="693">
        <f>SUMIFS(Imput[[Importe Neto]:[Importe Neto]],Imput[[C. Imp.]:[C. Imp.]],$D1062,Imput[[PERIODO Imp.]:[PERIODO Imp.]],CK$9)</f>
        <v>0</v>
      </c>
      <c r="CL1062" s="693">
        <f>SUMIFS(Imput[[Importe Neto]:[Importe Neto]],Imput[[C. Imp.]:[C. Imp.]],$D1062,Imput[[PERIODO Imp.]:[PERIODO Imp.]],CL$9)</f>
        <v>0</v>
      </c>
      <c r="CM1062" s="693">
        <f>SUMIFS(Imput[[Importe Neto]:[Importe Neto]],Imput[[C. Imp.]:[C. Imp.]],$D1062,Imput[[PERIODO Imp.]:[PERIODO Imp.]],CM$9)</f>
        <v>0</v>
      </c>
      <c r="CN1062" s="693">
        <f>SUMIFS(Imput[[Importe Neto]:[Importe Neto]],Imput[[C. Imp.]:[C. Imp.]],$D1062,Imput[[PERIODO Imp.]:[PERIODO Imp.]],CN$9)</f>
        <v>0</v>
      </c>
      <c r="CO1062" s="693">
        <f>SUMIFS(Imput[[Importe Neto]:[Importe Neto]],Imput[[C. Imp.]:[C. Imp.]],$D1062,Imput[[PERIODO Imp.]:[PERIODO Imp.]],CO$9)</f>
        <v>0</v>
      </c>
      <c r="CP1062" s="693">
        <f>SUMIFS(Imput[[Importe Neto]:[Importe Neto]],Imput[[C. Imp.]:[C. Imp.]],$D1062,Imput[[PERIODO Imp.]:[PERIODO Imp.]],CP$9)</f>
        <v>0</v>
      </c>
      <c r="CQ1062" s="693">
        <f>SUMIFS(Imput[[Importe Neto]:[Importe Neto]],Imput[[C. Imp.]:[C. Imp.]],$D1062,Imput[[PERIODO Imp.]:[PERIODO Imp.]],CQ$9)</f>
        <v>0</v>
      </c>
      <c r="CR1062" s="693">
        <f>SUMIFS(Imput[[Importe Neto]:[Importe Neto]],Imput[[C. Imp.]:[C. Imp.]],$D1062,Imput[[PERIODO Imp.]:[PERIODO Imp.]],CR$9)</f>
        <v>0</v>
      </c>
      <c r="CS1062" s="693">
        <f>SUMIFS(Imput[[Importe Neto]:[Importe Neto]],Imput[[C. Imp.]:[C. Imp.]],$D1062,Imput[[PERIODO Imp.]:[PERIODO Imp.]],CS$9)</f>
        <v>0</v>
      </c>
      <c r="CT1062" s="693">
        <f>SUMIFS(Imput[[Importe Neto]:[Importe Neto]],Imput[[C. Imp.]:[C. Imp.]],$D1062,Imput[[PERIODO Imp.]:[PERIODO Imp.]],CT$9)</f>
        <v>0</v>
      </c>
      <c r="CU1062" s="693">
        <f>SUMIFS(Imput[[Importe Neto]:[Importe Neto]],Imput[[C. Imp.]:[C. Imp.]],$D1062,Imput[[PERIODO Imp.]:[PERIODO Imp.]],CU$9)</f>
        <v>0</v>
      </c>
      <c r="CV1062" s="693">
        <f>SUMIFS(Imput[[Importe Neto]:[Importe Neto]],Imput[[C. Imp.]:[C. Imp.]],$D1062,Imput[[PERIODO Imp.]:[PERIODO Imp.]],CV$9)</f>
        <v>0</v>
      </c>
      <c r="CW1062" s="693">
        <f>SUMIFS(Imput[[Importe Neto]:[Importe Neto]],Imput[[C. Imp.]:[C. Imp.]],$D1062,Imput[[PERIODO Imp.]:[PERIODO Imp.]],CW$9)</f>
        <v>0</v>
      </c>
      <c r="CX1062" s="693">
        <f>SUMIFS(Imput[[Importe Neto]:[Importe Neto]],Imput[[C. Imp.]:[C. Imp.]],$D1062,Imput[[PERIODO Imp.]:[PERIODO Imp.]],CX$9)</f>
        <v>0</v>
      </c>
      <c r="CY1062" s="693">
        <f>SUMIFS(Imput[[Importe Neto]:[Importe Neto]],Imput[[C. Imp.]:[C. Imp.]],$D1062,Imput[[PERIODO Imp.]:[PERIODO Imp.]],CY$9)</f>
        <v>0</v>
      </c>
      <c r="CZ1062" s="693">
        <f>SUMIFS(Imput[[Importe Neto]:[Importe Neto]],Imput[[C. Imp.]:[C. Imp.]],$D1062,Imput[[PERIODO Imp.]:[PERIODO Imp.]],CZ$9)</f>
        <v>0</v>
      </c>
      <c r="DA1062" s="693">
        <f>SUMIFS(Imput[[Importe Neto]:[Importe Neto]],Imput[[C. Imp.]:[C. Imp.]],$D1062,Imput[[PERIODO Imp.]:[PERIODO Imp.]],DA$9)</f>
        <v>0</v>
      </c>
      <c r="DB1062" s="693">
        <f>SUMIFS(Imput[[Importe Neto]:[Importe Neto]],Imput[[C. Imp.]:[C. Imp.]],$D1062,Imput[[PERIODO Imp.]:[PERIODO Imp.]],DB$9)</f>
        <v>0</v>
      </c>
      <c r="DC1062" s="693">
        <f>SUMIFS(Imput[[Importe Neto]:[Importe Neto]],Imput[[C. Imp.]:[C. Imp.]],$D1062,Imput[[PERIODO Imp.]:[PERIODO Imp.]],DC$9)</f>
        <v>0</v>
      </c>
      <c r="DD1062" s="693">
        <f>SUMIFS(Imput[[Importe Neto]:[Importe Neto]],Imput[[C. Imp.]:[C. Imp.]],$D1062,Imput[[PERIODO Imp.]:[PERIODO Imp.]],DD$9)</f>
        <v>0</v>
      </c>
      <c r="DE1062" s="693">
        <f>SUMIFS(Imput[[Importe Neto]:[Importe Neto]],Imput[[C. Imp.]:[C. Imp.]],$D1062,Imput[[PERIODO Imp.]:[PERIODO Imp.]],DE$9)</f>
        <v>0</v>
      </c>
      <c r="DF1062" s="693">
        <f>SUMIFS(Imput[[Importe Neto]:[Importe Neto]],Imput[[C. Imp.]:[C. Imp.]],$D1062,Imput[[PERIODO Imp.]:[PERIODO Imp.]],DF$9)</f>
        <v>0</v>
      </c>
      <c r="DG1062" s="693">
        <f>SUMIFS(Imput[[Importe Neto]:[Importe Neto]],Imput[[C. Imp.]:[C. Imp.]],$D1062,Imput[[PERIODO Imp.]:[PERIODO Imp.]],DG$9)</f>
        <v>0</v>
      </c>
      <c r="DH1062" s="694">
        <f>SUMIFS(Imput[[Importe Neto]:[Importe Neto]],Imput[[C. Imp.]:[C. Imp.]],$D1062,Imput[[PERIODO Imp.]:[PERIODO Imp.]],DH$9)</f>
        <v>0</v>
      </c>
    </row>
    <row r="1063" spans="1:112" s="649" customFormat="1" hidden="1" outlineLevel="1" x14ac:dyDescent="0.3">
      <c r="A1063" s="652" t="str">
        <f t="shared" si="354"/>
        <v/>
      </c>
      <c r="B1063" s="652"/>
      <c r="C1063" s="685"/>
      <c r="D1063" s="686"/>
      <c r="E1063" s="728"/>
      <c r="F1063" s="720"/>
      <c r="G1063" s="688"/>
      <c r="H1063" s="696"/>
      <c r="I1063" s="851" t="str">
        <f t="shared" si="355"/>
        <v/>
      </c>
      <c r="J1063" s="850" t="str">
        <f t="shared" si="356"/>
        <v/>
      </c>
      <c r="K1063" s="667"/>
      <c r="L1063" s="858"/>
      <c r="M1063" s="859"/>
      <c r="N1063" s="859"/>
      <c r="O1063" s="859"/>
      <c r="P1063" s="859"/>
      <c r="Q1063" s="859"/>
      <c r="R1063" s="859"/>
      <c r="S1063" s="859"/>
      <c r="T1063" s="859"/>
      <c r="U1063" s="859"/>
      <c r="V1063" s="859"/>
      <c r="W1063" s="859"/>
      <c r="X1063" s="859"/>
      <c r="Y1063" s="859"/>
      <c r="Z1063" s="860"/>
      <c r="AA1063" s="860"/>
      <c r="AB1063" s="860"/>
      <c r="AC1063" s="860"/>
      <c r="AD1063" s="860"/>
      <c r="AE1063" s="860"/>
      <c r="AF1063" s="860"/>
      <c r="AG1063" s="860"/>
      <c r="AH1063" s="860"/>
      <c r="AI1063" s="860"/>
      <c r="AJ1063" s="860"/>
      <c r="AK1063" s="860"/>
      <c r="AL1063" s="860"/>
      <c r="AM1063" s="860"/>
      <c r="AN1063" s="860"/>
      <c r="AO1063" s="860"/>
      <c r="AP1063" s="860"/>
      <c r="AQ1063" s="860"/>
      <c r="AR1063" s="860"/>
      <c r="AS1063" s="860"/>
      <c r="AT1063" s="860"/>
      <c r="AU1063" s="860"/>
      <c r="AV1063" s="860"/>
      <c r="AW1063" s="860"/>
      <c r="AX1063" s="860"/>
      <c r="AY1063" s="860"/>
      <c r="AZ1063" s="860"/>
      <c r="BA1063" s="860"/>
      <c r="BB1063" s="860"/>
      <c r="BC1063" s="860"/>
      <c r="BD1063" s="860"/>
      <c r="BE1063" s="860"/>
      <c r="BF1063" s="860"/>
      <c r="BG1063" s="860"/>
      <c r="BH1063" s="668"/>
      <c r="BI1063" s="667"/>
      <c r="BJ1063" s="690">
        <f t="shared" si="357"/>
        <v>0</v>
      </c>
      <c r="BK1063" s="691">
        <f t="shared" si="358"/>
        <v>0</v>
      </c>
      <c r="BL1063" s="654"/>
      <c r="BM1063" s="692">
        <f>SUMIFS(Imput[[Importe Neto]:[Importe Neto]],Imput[[C. Imp.]:[C. Imp.]],$D1063,Imput[[PERIODO Imp.]:[PERIODO Imp.]],BM$9)</f>
        <v>0</v>
      </c>
      <c r="BN1063" s="693">
        <f>SUMIFS(Imput[[Importe Neto]:[Importe Neto]],Imput[[C. Imp.]:[C. Imp.]],$D1063,Imput[[PERIODO Imp.]:[PERIODO Imp.]],BN$9)</f>
        <v>0</v>
      </c>
      <c r="BO1063" s="693">
        <f>SUMIFS(Imput[[Importe Neto]:[Importe Neto]],Imput[[C. Imp.]:[C. Imp.]],$D1063,Imput[[PERIODO Imp.]:[PERIODO Imp.]],BO$9)</f>
        <v>0</v>
      </c>
      <c r="BP1063" s="693">
        <f>SUMIFS(Imput[[Importe Neto]:[Importe Neto]],Imput[[C. Imp.]:[C. Imp.]],$D1063,Imput[[PERIODO Imp.]:[PERIODO Imp.]],BP$9)</f>
        <v>0</v>
      </c>
      <c r="BQ1063" s="693">
        <f>SUMIFS(Imput[[Importe Neto]:[Importe Neto]],Imput[[C. Imp.]:[C. Imp.]],$D1063,Imput[[PERIODO Imp.]:[PERIODO Imp.]],BQ$9)</f>
        <v>0</v>
      </c>
      <c r="BR1063" s="693">
        <f>SUMIFS(Imput[[Importe Neto]:[Importe Neto]],Imput[[C. Imp.]:[C. Imp.]],$D1063,Imput[[PERIODO Imp.]:[PERIODO Imp.]],BR$9)</f>
        <v>0</v>
      </c>
      <c r="BS1063" s="693">
        <f>SUMIFS(Imput[[Importe Neto]:[Importe Neto]],Imput[[C. Imp.]:[C. Imp.]],$D1063,Imput[[PERIODO Imp.]:[PERIODO Imp.]],BS$9)</f>
        <v>0</v>
      </c>
      <c r="BT1063" s="693">
        <f>SUMIFS(Imput[[Importe Neto]:[Importe Neto]],Imput[[C. Imp.]:[C. Imp.]],$D1063,Imput[[PERIODO Imp.]:[PERIODO Imp.]],BT$9)</f>
        <v>0</v>
      </c>
      <c r="BU1063" s="693">
        <f>SUMIFS(Imput[[Importe Neto]:[Importe Neto]],Imput[[C. Imp.]:[C. Imp.]],$D1063,Imput[[PERIODO Imp.]:[PERIODO Imp.]],BU$9)</f>
        <v>0</v>
      </c>
      <c r="BV1063" s="693">
        <f>SUMIFS(Imput[[Importe Neto]:[Importe Neto]],Imput[[C. Imp.]:[C. Imp.]],$D1063,Imput[[PERIODO Imp.]:[PERIODO Imp.]],BV$9)</f>
        <v>0</v>
      </c>
      <c r="BW1063" s="693">
        <f>SUMIFS(Imput[[Importe Neto]:[Importe Neto]],Imput[[C. Imp.]:[C. Imp.]],$D1063,Imput[[PERIODO Imp.]:[PERIODO Imp.]],BW$9)</f>
        <v>0</v>
      </c>
      <c r="BX1063" s="693">
        <f>SUMIFS(Imput[[Importe Neto]:[Importe Neto]],Imput[[C. Imp.]:[C. Imp.]],$D1063,Imput[[PERIODO Imp.]:[PERIODO Imp.]],BX$9)</f>
        <v>0</v>
      </c>
      <c r="BY1063" s="693">
        <f>SUMIFS(Imput[[Importe Neto]:[Importe Neto]],Imput[[C. Imp.]:[C. Imp.]],$D1063,Imput[[PERIODO Imp.]:[PERIODO Imp.]],BY$9)</f>
        <v>0</v>
      </c>
      <c r="BZ1063" s="693">
        <f>SUMIFS(Imput[[Importe Neto]:[Importe Neto]],Imput[[C. Imp.]:[C. Imp.]],$D1063,Imput[[PERIODO Imp.]:[PERIODO Imp.]],BZ$9)</f>
        <v>0</v>
      </c>
      <c r="CA1063" s="693">
        <f>SUMIFS(Imput[[Importe Neto]:[Importe Neto]],Imput[[C. Imp.]:[C. Imp.]],$D1063,Imput[[PERIODO Imp.]:[PERIODO Imp.]],CA$9)</f>
        <v>0</v>
      </c>
      <c r="CB1063" s="693">
        <f>SUMIFS(Imput[[Importe Neto]:[Importe Neto]],Imput[[C. Imp.]:[C. Imp.]],$D1063,Imput[[PERIODO Imp.]:[PERIODO Imp.]],CB$9)</f>
        <v>0</v>
      </c>
      <c r="CC1063" s="693">
        <f>SUMIFS(Imput[[Importe Neto]:[Importe Neto]],Imput[[C. Imp.]:[C. Imp.]],$D1063,Imput[[PERIODO Imp.]:[PERIODO Imp.]],CC$9)</f>
        <v>0</v>
      </c>
      <c r="CD1063" s="693">
        <f>SUMIFS(Imput[[Importe Neto]:[Importe Neto]],Imput[[C. Imp.]:[C. Imp.]],$D1063,Imput[[PERIODO Imp.]:[PERIODO Imp.]],CD$9)</f>
        <v>0</v>
      </c>
      <c r="CE1063" s="693">
        <f>SUMIFS(Imput[[Importe Neto]:[Importe Neto]],Imput[[C. Imp.]:[C. Imp.]],$D1063,Imput[[PERIODO Imp.]:[PERIODO Imp.]],CE$9)</f>
        <v>0</v>
      </c>
      <c r="CF1063" s="693">
        <f>SUMIFS(Imput[[Importe Neto]:[Importe Neto]],Imput[[C. Imp.]:[C. Imp.]],$D1063,Imput[[PERIODO Imp.]:[PERIODO Imp.]],CF$9)</f>
        <v>0</v>
      </c>
      <c r="CG1063" s="693">
        <f>SUMIFS(Imput[[Importe Neto]:[Importe Neto]],Imput[[C. Imp.]:[C. Imp.]],$D1063,Imput[[PERIODO Imp.]:[PERIODO Imp.]],CG$9)</f>
        <v>0</v>
      </c>
      <c r="CH1063" s="693">
        <f>SUMIFS(Imput[[Importe Neto]:[Importe Neto]],Imput[[C. Imp.]:[C. Imp.]],$D1063,Imput[[PERIODO Imp.]:[PERIODO Imp.]],CH$9)</f>
        <v>0</v>
      </c>
      <c r="CI1063" s="693">
        <f>SUMIFS(Imput[[Importe Neto]:[Importe Neto]],Imput[[C. Imp.]:[C. Imp.]],$D1063,Imput[[PERIODO Imp.]:[PERIODO Imp.]],CI$9)</f>
        <v>0</v>
      </c>
      <c r="CJ1063" s="693">
        <f>SUMIFS(Imput[[Importe Neto]:[Importe Neto]],Imput[[C. Imp.]:[C. Imp.]],$D1063,Imput[[PERIODO Imp.]:[PERIODO Imp.]],CJ$9)</f>
        <v>0</v>
      </c>
      <c r="CK1063" s="693">
        <f>SUMIFS(Imput[[Importe Neto]:[Importe Neto]],Imput[[C. Imp.]:[C. Imp.]],$D1063,Imput[[PERIODO Imp.]:[PERIODO Imp.]],CK$9)</f>
        <v>0</v>
      </c>
      <c r="CL1063" s="693">
        <f>SUMIFS(Imput[[Importe Neto]:[Importe Neto]],Imput[[C. Imp.]:[C. Imp.]],$D1063,Imput[[PERIODO Imp.]:[PERIODO Imp.]],CL$9)</f>
        <v>0</v>
      </c>
      <c r="CM1063" s="693">
        <f>SUMIFS(Imput[[Importe Neto]:[Importe Neto]],Imput[[C. Imp.]:[C. Imp.]],$D1063,Imput[[PERIODO Imp.]:[PERIODO Imp.]],CM$9)</f>
        <v>0</v>
      </c>
      <c r="CN1063" s="693">
        <f>SUMIFS(Imput[[Importe Neto]:[Importe Neto]],Imput[[C. Imp.]:[C. Imp.]],$D1063,Imput[[PERIODO Imp.]:[PERIODO Imp.]],CN$9)</f>
        <v>0</v>
      </c>
      <c r="CO1063" s="693">
        <f>SUMIFS(Imput[[Importe Neto]:[Importe Neto]],Imput[[C. Imp.]:[C. Imp.]],$D1063,Imput[[PERIODO Imp.]:[PERIODO Imp.]],CO$9)</f>
        <v>0</v>
      </c>
      <c r="CP1063" s="693">
        <f>SUMIFS(Imput[[Importe Neto]:[Importe Neto]],Imput[[C. Imp.]:[C. Imp.]],$D1063,Imput[[PERIODO Imp.]:[PERIODO Imp.]],CP$9)</f>
        <v>0</v>
      </c>
      <c r="CQ1063" s="693">
        <f>SUMIFS(Imput[[Importe Neto]:[Importe Neto]],Imput[[C. Imp.]:[C. Imp.]],$D1063,Imput[[PERIODO Imp.]:[PERIODO Imp.]],CQ$9)</f>
        <v>0</v>
      </c>
      <c r="CR1063" s="693">
        <f>SUMIFS(Imput[[Importe Neto]:[Importe Neto]],Imput[[C. Imp.]:[C. Imp.]],$D1063,Imput[[PERIODO Imp.]:[PERIODO Imp.]],CR$9)</f>
        <v>0</v>
      </c>
      <c r="CS1063" s="693">
        <f>SUMIFS(Imput[[Importe Neto]:[Importe Neto]],Imput[[C. Imp.]:[C. Imp.]],$D1063,Imput[[PERIODO Imp.]:[PERIODO Imp.]],CS$9)</f>
        <v>0</v>
      </c>
      <c r="CT1063" s="693">
        <f>SUMIFS(Imput[[Importe Neto]:[Importe Neto]],Imput[[C. Imp.]:[C. Imp.]],$D1063,Imput[[PERIODO Imp.]:[PERIODO Imp.]],CT$9)</f>
        <v>0</v>
      </c>
      <c r="CU1063" s="693">
        <f>SUMIFS(Imput[[Importe Neto]:[Importe Neto]],Imput[[C. Imp.]:[C. Imp.]],$D1063,Imput[[PERIODO Imp.]:[PERIODO Imp.]],CU$9)</f>
        <v>0</v>
      </c>
      <c r="CV1063" s="693">
        <f>SUMIFS(Imput[[Importe Neto]:[Importe Neto]],Imput[[C. Imp.]:[C. Imp.]],$D1063,Imput[[PERIODO Imp.]:[PERIODO Imp.]],CV$9)</f>
        <v>0</v>
      </c>
      <c r="CW1063" s="693">
        <f>SUMIFS(Imput[[Importe Neto]:[Importe Neto]],Imput[[C. Imp.]:[C. Imp.]],$D1063,Imput[[PERIODO Imp.]:[PERIODO Imp.]],CW$9)</f>
        <v>0</v>
      </c>
      <c r="CX1063" s="693">
        <f>SUMIFS(Imput[[Importe Neto]:[Importe Neto]],Imput[[C. Imp.]:[C. Imp.]],$D1063,Imput[[PERIODO Imp.]:[PERIODO Imp.]],CX$9)</f>
        <v>0</v>
      </c>
      <c r="CY1063" s="693">
        <f>SUMIFS(Imput[[Importe Neto]:[Importe Neto]],Imput[[C. Imp.]:[C. Imp.]],$D1063,Imput[[PERIODO Imp.]:[PERIODO Imp.]],CY$9)</f>
        <v>0</v>
      </c>
      <c r="CZ1063" s="693">
        <f>SUMIFS(Imput[[Importe Neto]:[Importe Neto]],Imput[[C. Imp.]:[C. Imp.]],$D1063,Imput[[PERIODO Imp.]:[PERIODO Imp.]],CZ$9)</f>
        <v>0</v>
      </c>
      <c r="DA1063" s="693">
        <f>SUMIFS(Imput[[Importe Neto]:[Importe Neto]],Imput[[C. Imp.]:[C. Imp.]],$D1063,Imput[[PERIODO Imp.]:[PERIODO Imp.]],DA$9)</f>
        <v>0</v>
      </c>
      <c r="DB1063" s="693">
        <f>SUMIFS(Imput[[Importe Neto]:[Importe Neto]],Imput[[C. Imp.]:[C. Imp.]],$D1063,Imput[[PERIODO Imp.]:[PERIODO Imp.]],DB$9)</f>
        <v>0</v>
      </c>
      <c r="DC1063" s="693">
        <f>SUMIFS(Imput[[Importe Neto]:[Importe Neto]],Imput[[C. Imp.]:[C. Imp.]],$D1063,Imput[[PERIODO Imp.]:[PERIODO Imp.]],DC$9)</f>
        <v>0</v>
      </c>
      <c r="DD1063" s="693">
        <f>SUMIFS(Imput[[Importe Neto]:[Importe Neto]],Imput[[C. Imp.]:[C. Imp.]],$D1063,Imput[[PERIODO Imp.]:[PERIODO Imp.]],DD$9)</f>
        <v>0</v>
      </c>
      <c r="DE1063" s="693">
        <f>SUMIFS(Imput[[Importe Neto]:[Importe Neto]],Imput[[C. Imp.]:[C. Imp.]],$D1063,Imput[[PERIODO Imp.]:[PERIODO Imp.]],DE$9)</f>
        <v>0</v>
      </c>
      <c r="DF1063" s="693">
        <f>SUMIFS(Imput[[Importe Neto]:[Importe Neto]],Imput[[C. Imp.]:[C. Imp.]],$D1063,Imput[[PERIODO Imp.]:[PERIODO Imp.]],DF$9)</f>
        <v>0</v>
      </c>
      <c r="DG1063" s="693">
        <f>SUMIFS(Imput[[Importe Neto]:[Importe Neto]],Imput[[C. Imp.]:[C. Imp.]],$D1063,Imput[[PERIODO Imp.]:[PERIODO Imp.]],DG$9)</f>
        <v>0</v>
      </c>
      <c r="DH1063" s="694">
        <f>SUMIFS(Imput[[Importe Neto]:[Importe Neto]],Imput[[C. Imp.]:[C. Imp.]],$D1063,Imput[[PERIODO Imp.]:[PERIODO Imp.]],DH$9)</f>
        <v>0</v>
      </c>
    </row>
    <row r="1064" spans="1:112" s="649" customFormat="1" hidden="1" outlineLevel="1" x14ac:dyDescent="0.3">
      <c r="A1064" s="652" t="str">
        <f t="shared" si="354"/>
        <v/>
      </c>
      <c r="B1064" s="652"/>
      <c r="C1064" s="685"/>
      <c r="D1064" s="686"/>
      <c r="E1064" s="728"/>
      <c r="F1064" s="720"/>
      <c r="G1064" s="688"/>
      <c r="H1064" s="696"/>
      <c r="I1064" s="851" t="str">
        <f t="shared" si="355"/>
        <v/>
      </c>
      <c r="J1064" s="850" t="str">
        <f t="shared" si="356"/>
        <v/>
      </c>
      <c r="K1064" s="678"/>
      <c r="L1064" s="858"/>
      <c r="M1064" s="859"/>
      <c r="N1064" s="859"/>
      <c r="O1064" s="859"/>
      <c r="P1064" s="859"/>
      <c r="Q1064" s="859"/>
      <c r="R1064" s="859"/>
      <c r="S1064" s="859"/>
      <c r="T1064" s="859"/>
      <c r="U1064" s="859"/>
      <c r="V1064" s="859"/>
      <c r="W1064" s="859"/>
      <c r="X1064" s="859"/>
      <c r="Y1064" s="859"/>
      <c r="Z1064" s="860"/>
      <c r="AA1064" s="860"/>
      <c r="AB1064" s="860"/>
      <c r="AC1064" s="860"/>
      <c r="AD1064" s="860"/>
      <c r="AE1064" s="860"/>
      <c r="AF1064" s="860"/>
      <c r="AG1064" s="860"/>
      <c r="AH1064" s="860"/>
      <c r="AI1064" s="860"/>
      <c r="AJ1064" s="860"/>
      <c r="AK1064" s="860"/>
      <c r="AL1064" s="860"/>
      <c r="AM1064" s="860"/>
      <c r="AN1064" s="860"/>
      <c r="AO1064" s="860"/>
      <c r="AP1064" s="860"/>
      <c r="AQ1064" s="860"/>
      <c r="AR1064" s="860"/>
      <c r="AS1064" s="860"/>
      <c r="AT1064" s="860"/>
      <c r="AU1064" s="860"/>
      <c r="AV1064" s="860"/>
      <c r="AW1064" s="860"/>
      <c r="AX1064" s="860"/>
      <c r="AY1064" s="860"/>
      <c r="AZ1064" s="860"/>
      <c r="BA1064" s="860"/>
      <c r="BB1064" s="860"/>
      <c r="BC1064" s="860"/>
      <c r="BD1064" s="860"/>
      <c r="BE1064" s="860"/>
      <c r="BF1064" s="860"/>
      <c r="BG1064" s="860"/>
      <c r="BH1064" s="668"/>
      <c r="BI1064" s="654"/>
      <c r="BJ1064" s="690">
        <f t="shared" si="357"/>
        <v>0</v>
      </c>
      <c r="BK1064" s="691">
        <f t="shared" si="358"/>
        <v>0</v>
      </c>
      <c r="BL1064" s="654"/>
      <c r="BM1064" s="692">
        <f>SUMIFS(Imput[[Importe Neto]:[Importe Neto]],Imput[[C. Imp.]:[C. Imp.]],$D1064,Imput[[PERIODO Imp.]:[PERIODO Imp.]],BM$9)</f>
        <v>0</v>
      </c>
      <c r="BN1064" s="693">
        <f>SUMIFS(Imput[[Importe Neto]:[Importe Neto]],Imput[[C. Imp.]:[C. Imp.]],$D1064,Imput[[PERIODO Imp.]:[PERIODO Imp.]],BN$9)</f>
        <v>0</v>
      </c>
      <c r="BO1064" s="693">
        <f>SUMIFS(Imput[[Importe Neto]:[Importe Neto]],Imput[[C. Imp.]:[C. Imp.]],$D1064,Imput[[PERIODO Imp.]:[PERIODO Imp.]],BO$9)</f>
        <v>0</v>
      </c>
      <c r="BP1064" s="693">
        <f>SUMIFS(Imput[[Importe Neto]:[Importe Neto]],Imput[[C. Imp.]:[C. Imp.]],$D1064,Imput[[PERIODO Imp.]:[PERIODO Imp.]],BP$9)</f>
        <v>0</v>
      </c>
      <c r="BQ1064" s="693">
        <f>SUMIFS(Imput[[Importe Neto]:[Importe Neto]],Imput[[C. Imp.]:[C. Imp.]],$D1064,Imput[[PERIODO Imp.]:[PERIODO Imp.]],BQ$9)</f>
        <v>0</v>
      </c>
      <c r="BR1064" s="693">
        <f>SUMIFS(Imput[[Importe Neto]:[Importe Neto]],Imput[[C. Imp.]:[C. Imp.]],$D1064,Imput[[PERIODO Imp.]:[PERIODO Imp.]],BR$9)</f>
        <v>0</v>
      </c>
      <c r="BS1064" s="693">
        <f>SUMIFS(Imput[[Importe Neto]:[Importe Neto]],Imput[[C. Imp.]:[C. Imp.]],$D1064,Imput[[PERIODO Imp.]:[PERIODO Imp.]],BS$9)</f>
        <v>0</v>
      </c>
      <c r="BT1064" s="693">
        <f>SUMIFS(Imput[[Importe Neto]:[Importe Neto]],Imput[[C. Imp.]:[C. Imp.]],$D1064,Imput[[PERIODO Imp.]:[PERIODO Imp.]],BT$9)</f>
        <v>0</v>
      </c>
      <c r="BU1064" s="693">
        <f>SUMIFS(Imput[[Importe Neto]:[Importe Neto]],Imput[[C. Imp.]:[C. Imp.]],$D1064,Imput[[PERIODO Imp.]:[PERIODO Imp.]],BU$9)</f>
        <v>0</v>
      </c>
      <c r="BV1064" s="693">
        <f>SUMIFS(Imput[[Importe Neto]:[Importe Neto]],Imput[[C. Imp.]:[C. Imp.]],$D1064,Imput[[PERIODO Imp.]:[PERIODO Imp.]],BV$9)</f>
        <v>0</v>
      </c>
      <c r="BW1064" s="693">
        <f>SUMIFS(Imput[[Importe Neto]:[Importe Neto]],Imput[[C. Imp.]:[C. Imp.]],$D1064,Imput[[PERIODO Imp.]:[PERIODO Imp.]],BW$9)</f>
        <v>0</v>
      </c>
      <c r="BX1064" s="693">
        <f>SUMIFS(Imput[[Importe Neto]:[Importe Neto]],Imput[[C. Imp.]:[C. Imp.]],$D1064,Imput[[PERIODO Imp.]:[PERIODO Imp.]],BX$9)</f>
        <v>0</v>
      </c>
      <c r="BY1064" s="693">
        <f>SUMIFS(Imput[[Importe Neto]:[Importe Neto]],Imput[[C. Imp.]:[C. Imp.]],$D1064,Imput[[PERIODO Imp.]:[PERIODO Imp.]],BY$9)</f>
        <v>0</v>
      </c>
      <c r="BZ1064" s="693">
        <f>SUMIFS(Imput[[Importe Neto]:[Importe Neto]],Imput[[C. Imp.]:[C. Imp.]],$D1064,Imput[[PERIODO Imp.]:[PERIODO Imp.]],BZ$9)</f>
        <v>0</v>
      </c>
      <c r="CA1064" s="693">
        <f>SUMIFS(Imput[[Importe Neto]:[Importe Neto]],Imput[[C. Imp.]:[C. Imp.]],$D1064,Imput[[PERIODO Imp.]:[PERIODO Imp.]],CA$9)</f>
        <v>0</v>
      </c>
      <c r="CB1064" s="693">
        <f>SUMIFS(Imput[[Importe Neto]:[Importe Neto]],Imput[[C. Imp.]:[C. Imp.]],$D1064,Imput[[PERIODO Imp.]:[PERIODO Imp.]],CB$9)</f>
        <v>0</v>
      </c>
      <c r="CC1064" s="693">
        <f>SUMIFS(Imput[[Importe Neto]:[Importe Neto]],Imput[[C. Imp.]:[C. Imp.]],$D1064,Imput[[PERIODO Imp.]:[PERIODO Imp.]],CC$9)</f>
        <v>0</v>
      </c>
      <c r="CD1064" s="693">
        <f>SUMIFS(Imput[[Importe Neto]:[Importe Neto]],Imput[[C. Imp.]:[C. Imp.]],$D1064,Imput[[PERIODO Imp.]:[PERIODO Imp.]],CD$9)</f>
        <v>0</v>
      </c>
      <c r="CE1064" s="693">
        <f>SUMIFS(Imput[[Importe Neto]:[Importe Neto]],Imput[[C. Imp.]:[C. Imp.]],$D1064,Imput[[PERIODO Imp.]:[PERIODO Imp.]],CE$9)</f>
        <v>0</v>
      </c>
      <c r="CF1064" s="693">
        <f>SUMIFS(Imput[[Importe Neto]:[Importe Neto]],Imput[[C. Imp.]:[C. Imp.]],$D1064,Imput[[PERIODO Imp.]:[PERIODO Imp.]],CF$9)</f>
        <v>0</v>
      </c>
      <c r="CG1064" s="693">
        <f>SUMIFS(Imput[[Importe Neto]:[Importe Neto]],Imput[[C. Imp.]:[C. Imp.]],$D1064,Imput[[PERIODO Imp.]:[PERIODO Imp.]],CG$9)</f>
        <v>0</v>
      </c>
      <c r="CH1064" s="693">
        <f>SUMIFS(Imput[[Importe Neto]:[Importe Neto]],Imput[[C. Imp.]:[C. Imp.]],$D1064,Imput[[PERIODO Imp.]:[PERIODO Imp.]],CH$9)</f>
        <v>0</v>
      </c>
      <c r="CI1064" s="693">
        <f>SUMIFS(Imput[[Importe Neto]:[Importe Neto]],Imput[[C. Imp.]:[C. Imp.]],$D1064,Imput[[PERIODO Imp.]:[PERIODO Imp.]],CI$9)</f>
        <v>0</v>
      </c>
      <c r="CJ1064" s="693">
        <f>SUMIFS(Imput[[Importe Neto]:[Importe Neto]],Imput[[C. Imp.]:[C. Imp.]],$D1064,Imput[[PERIODO Imp.]:[PERIODO Imp.]],CJ$9)</f>
        <v>0</v>
      </c>
      <c r="CK1064" s="693">
        <f>SUMIFS(Imput[[Importe Neto]:[Importe Neto]],Imput[[C. Imp.]:[C. Imp.]],$D1064,Imput[[PERIODO Imp.]:[PERIODO Imp.]],CK$9)</f>
        <v>0</v>
      </c>
      <c r="CL1064" s="693">
        <f>SUMIFS(Imput[[Importe Neto]:[Importe Neto]],Imput[[C. Imp.]:[C. Imp.]],$D1064,Imput[[PERIODO Imp.]:[PERIODO Imp.]],CL$9)</f>
        <v>0</v>
      </c>
      <c r="CM1064" s="693">
        <f>SUMIFS(Imput[[Importe Neto]:[Importe Neto]],Imput[[C. Imp.]:[C. Imp.]],$D1064,Imput[[PERIODO Imp.]:[PERIODO Imp.]],CM$9)</f>
        <v>0</v>
      </c>
      <c r="CN1064" s="693">
        <f>SUMIFS(Imput[[Importe Neto]:[Importe Neto]],Imput[[C. Imp.]:[C. Imp.]],$D1064,Imput[[PERIODO Imp.]:[PERIODO Imp.]],CN$9)</f>
        <v>0</v>
      </c>
      <c r="CO1064" s="693">
        <f>SUMIFS(Imput[[Importe Neto]:[Importe Neto]],Imput[[C. Imp.]:[C. Imp.]],$D1064,Imput[[PERIODO Imp.]:[PERIODO Imp.]],CO$9)</f>
        <v>0</v>
      </c>
      <c r="CP1064" s="693">
        <f>SUMIFS(Imput[[Importe Neto]:[Importe Neto]],Imput[[C. Imp.]:[C. Imp.]],$D1064,Imput[[PERIODO Imp.]:[PERIODO Imp.]],CP$9)</f>
        <v>0</v>
      </c>
      <c r="CQ1064" s="693">
        <f>SUMIFS(Imput[[Importe Neto]:[Importe Neto]],Imput[[C. Imp.]:[C. Imp.]],$D1064,Imput[[PERIODO Imp.]:[PERIODO Imp.]],CQ$9)</f>
        <v>0</v>
      </c>
      <c r="CR1064" s="693">
        <f>SUMIFS(Imput[[Importe Neto]:[Importe Neto]],Imput[[C. Imp.]:[C. Imp.]],$D1064,Imput[[PERIODO Imp.]:[PERIODO Imp.]],CR$9)</f>
        <v>0</v>
      </c>
      <c r="CS1064" s="693">
        <f>SUMIFS(Imput[[Importe Neto]:[Importe Neto]],Imput[[C. Imp.]:[C. Imp.]],$D1064,Imput[[PERIODO Imp.]:[PERIODO Imp.]],CS$9)</f>
        <v>0</v>
      </c>
      <c r="CT1064" s="693">
        <f>SUMIFS(Imput[[Importe Neto]:[Importe Neto]],Imput[[C. Imp.]:[C. Imp.]],$D1064,Imput[[PERIODO Imp.]:[PERIODO Imp.]],CT$9)</f>
        <v>0</v>
      </c>
      <c r="CU1064" s="693">
        <f>SUMIFS(Imput[[Importe Neto]:[Importe Neto]],Imput[[C. Imp.]:[C. Imp.]],$D1064,Imput[[PERIODO Imp.]:[PERIODO Imp.]],CU$9)</f>
        <v>0</v>
      </c>
      <c r="CV1064" s="693">
        <f>SUMIFS(Imput[[Importe Neto]:[Importe Neto]],Imput[[C. Imp.]:[C. Imp.]],$D1064,Imput[[PERIODO Imp.]:[PERIODO Imp.]],CV$9)</f>
        <v>0</v>
      </c>
      <c r="CW1064" s="693">
        <f>SUMIFS(Imput[[Importe Neto]:[Importe Neto]],Imput[[C. Imp.]:[C. Imp.]],$D1064,Imput[[PERIODO Imp.]:[PERIODO Imp.]],CW$9)</f>
        <v>0</v>
      </c>
      <c r="CX1064" s="693">
        <f>SUMIFS(Imput[[Importe Neto]:[Importe Neto]],Imput[[C. Imp.]:[C. Imp.]],$D1064,Imput[[PERIODO Imp.]:[PERIODO Imp.]],CX$9)</f>
        <v>0</v>
      </c>
      <c r="CY1064" s="693">
        <f>SUMIFS(Imput[[Importe Neto]:[Importe Neto]],Imput[[C. Imp.]:[C. Imp.]],$D1064,Imput[[PERIODO Imp.]:[PERIODO Imp.]],CY$9)</f>
        <v>0</v>
      </c>
      <c r="CZ1064" s="693">
        <f>SUMIFS(Imput[[Importe Neto]:[Importe Neto]],Imput[[C. Imp.]:[C. Imp.]],$D1064,Imput[[PERIODO Imp.]:[PERIODO Imp.]],CZ$9)</f>
        <v>0</v>
      </c>
      <c r="DA1064" s="693">
        <f>SUMIFS(Imput[[Importe Neto]:[Importe Neto]],Imput[[C. Imp.]:[C. Imp.]],$D1064,Imput[[PERIODO Imp.]:[PERIODO Imp.]],DA$9)</f>
        <v>0</v>
      </c>
      <c r="DB1064" s="693">
        <f>SUMIFS(Imput[[Importe Neto]:[Importe Neto]],Imput[[C. Imp.]:[C. Imp.]],$D1064,Imput[[PERIODO Imp.]:[PERIODO Imp.]],DB$9)</f>
        <v>0</v>
      </c>
      <c r="DC1064" s="693">
        <f>SUMIFS(Imput[[Importe Neto]:[Importe Neto]],Imput[[C. Imp.]:[C. Imp.]],$D1064,Imput[[PERIODO Imp.]:[PERIODO Imp.]],DC$9)</f>
        <v>0</v>
      </c>
      <c r="DD1064" s="693">
        <f>SUMIFS(Imput[[Importe Neto]:[Importe Neto]],Imput[[C. Imp.]:[C. Imp.]],$D1064,Imput[[PERIODO Imp.]:[PERIODO Imp.]],DD$9)</f>
        <v>0</v>
      </c>
      <c r="DE1064" s="693">
        <f>SUMIFS(Imput[[Importe Neto]:[Importe Neto]],Imput[[C. Imp.]:[C. Imp.]],$D1064,Imput[[PERIODO Imp.]:[PERIODO Imp.]],DE$9)</f>
        <v>0</v>
      </c>
      <c r="DF1064" s="693">
        <f>SUMIFS(Imput[[Importe Neto]:[Importe Neto]],Imput[[C. Imp.]:[C. Imp.]],$D1064,Imput[[PERIODO Imp.]:[PERIODO Imp.]],DF$9)</f>
        <v>0</v>
      </c>
      <c r="DG1064" s="693">
        <f>SUMIFS(Imput[[Importe Neto]:[Importe Neto]],Imput[[C. Imp.]:[C. Imp.]],$D1064,Imput[[PERIODO Imp.]:[PERIODO Imp.]],DG$9)</f>
        <v>0</v>
      </c>
      <c r="DH1064" s="694">
        <f>SUMIFS(Imput[[Importe Neto]:[Importe Neto]],Imput[[C. Imp.]:[C. Imp.]],$D1064,Imput[[PERIODO Imp.]:[PERIODO Imp.]],DH$9)</f>
        <v>0</v>
      </c>
    </row>
    <row r="1065" spans="1:112" s="649" customFormat="1" hidden="1" outlineLevel="1" x14ac:dyDescent="0.3">
      <c r="A1065" s="652" t="str">
        <f t="shared" si="354"/>
        <v/>
      </c>
      <c r="B1065" s="652"/>
      <c r="C1065" s="685"/>
      <c r="D1065" s="686"/>
      <c r="E1065" s="728"/>
      <c r="F1065" s="720"/>
      <c r="G1065" s="688"/>
      <c r="H1065" s="696"/>
      <c r="I1065" s="851" t="str">
        <f t="shared" si="355"/>
        <v/>
      </c>
      <c r="J1065" s="850" t="str">
        <f t="shared" si="356"/>
        <v/>
      </c>
      <c r="K1065" s="667"/>
      <c r="L1065" s="858"/>
      <c r="M1065" s="859"/>
      <c r="N1065" s="859"/>
      <c r="O1065" s="859"/>
      <c r="P1065" s="859"/>
      <c r="Q1065" s="859"/>
      <c r="R1065" s="859"/>
      <c r="S1065" s="859"/>
      <c r="T1065" s="859"/>
      <c r="U1065" s="859"/>
      <c r="V1065" s="859"/>
      <c r="W1065" s="859"/>
      <c r="X1065" s="859"/>
      <c r="Y1065" s="859"/>
      <c r="Z1065" s="860"/>
      <c r="AA1065" s="860"/>
      <c r="AB1065" s="860"/>
      <c r="AC1065" s="860"/>
      <c r="AD1065" s="860"/>
      <c r="AE1065" s="860"/>
      <c r="AF1065" s="860"/>
      <c r="AG1065" s="860"/>
      <c r="AH1065" s="860"/>
      <c r="AI1065" s="860"/>
      <c r="AJ1065" s="860"/>
      <c r="AK1065" s="860"/>
      <c r="AL1065" s="860"/>
      <c r="AM1065" s="860"/>
      <c r="AN1065" s="860"/>
      <c r="AO1065" s="860"/>
      <c r="AP1065" s="860"/>
      <c r="AQ1065" s="860"/>
      <c r="AR1065" s="860"/>
      <c r="AS1065" s="860"/>
      <c r="AT1065" s="860"/>
      <c r="AU1065" s="860"/>
      <c r="AV1065" s="860"/>
      <c r="AW1065" s="860"/>
      <c r="AX1065" s="860"/>
      <c r="AY1065" s="860"/>
      <c r="AZ1065" s="860"/>
      <c r="BA1065" s="860"/>
      <c r="BB1065" s="860"/>
      <c r="BC1065" s="860"/>
      <c r="BD1065" s="860"/>
      <c r="BE1065" s="860"/>
      <c r="BF1065" s="860"/>
      <c r="BG1065" s="860"/>
      <c r="BH1065" s="668"/>
      <c r="BI1065" s="654"/>
      <c r="BJ1065" s="690">
        <f t="shared" si="357"/>
        <v>0</v>
      </c>
      <c r="BK1065" s="691">
        <f t="shared" si="358"/>
        <v>0</v>
      </c>
      <c r="BL1065" s="654"/>
      <c r="BM1065" s="697">
        <f>SUMIFS(Imput[[Importe Neto]:[Importe Neto]],Imput[[C. Imp.]:[C. Imp.]],$D1065,Imput[[PERIODO Imp.]:[PERIODO Imp.]],BM$9)</f>
        <v>0</v>
      </c>
      <c r="BN1065" s="698">
        <f>SUMIFS(Imput[[Importe Neto]:[Importe Neto]],Imput[[C. Imp.]:[C. Imp.]],$D1065,Imput[[PERIODO Imp.]:[PERIODO Imp.]],BN$9)</f>
        <v>0</v>
      </c>
      <c r="BO1065" s="698">
        <f>SUMIFS(Imput[[Importe Neto]:[Importe Neto]],Imput[[C. Imp.]:[C. Imp.]],$D1065,Imput[[PERIODO Imp.]:[PERIODO Imp.]],BO$9)</f>
        <v>0</v>
      </c>
      <c r="BP1065" s="698">
        <f>SUMIFS(Imput[[Importe Neto]:[Importe Neto]],Imput[[C. Imp.]:[C. Imp.]],$D1065,Imput[[PERIODO Imp.]:[PERIODO Imp.]],BP$9)</f>
        <v>0</v>
      </c>
      <c r="BQ1065" s="698">
        <f>SUMIFS(Imput[[Importe Neto]:[Importe Neto]],Imput[[C. Imp.]:[C. Imp.]],$D1065,Imput[[PERIODO Imp.]:[PERIODO Imp.]],BQ$9)</f>
        <v>0</v>
      </c>
      <c r="BR1065" s="698">
        <f>SUMIFS(Imput[[Importe Neto]:[Importe Neto]],Imput[[C. Imp.]:[C. Imp.]],$D1065,Imput[[PERIODO Imp.]:[PERIODO Imp.]],BR$9)</f>
        <v>0</v>
      </c>
      <c r="BS1065" s="698">
        <f>SUMIFS(Imput[[Importe Neto]:[Importe Neto]],Imput[[C. Imp.]:[C. Imp.]],$D1065,Imput[[PERIODO Imp.]:[PERIODO Imp.]],BS$9)</f>
        <v>0</v>
      </c>
      <c r="BT1065" s="698">
        <f>SUMIFS(Imput[[Importe Neto]:[Importe Neto]],Imput[[C. Imp.]:[C. Imp.]],$D1065,Imput[[PERIODO Imp.]:[PERIODO Imp.]],BT$9)</f>
        <v>0</v>
      </c>
      <c r="BU1065" s="698">
        <f>SUMIFS(Imput[[Importe Neto]:[Importe Neto]],Imput[[C. Imp.]:[C. Imp.]],$D1065,Imput[[PERIODO Imp.]:[PERIODO Imp.]],BU$9)</f>
        <v>0</v>
      </c>
      <c r="BV1065" s="698">
        <f>SUMIFS(Imput[[Importe Neto]:[Importe Neto]],Imput[[C. Imp.]:[C. Imp.]],$D1065,Imput[[PERIODO Imp.]:[PERIODO Imp.]],BV$9)</f>
        <v>0</v>
      </c>
      <c r="BW1065" s="698">
        <f>SUMIFS(Imput[[Importe Neto]:[Importe Neto]],Imput[[C. Imp.]:[C. Imp.]],$D1065,Imput[[PERIODO Imp.]:[PERIODO Imp.]],BW$9)</f>
        <v>0</v>
      </c>
      <c r="BX1065" s="698">
        <f>SUMIFS(Imput[[Importe Neto]:[Importe Neto]],Imput[[C. Imp.]:[C. Imp.]],$D1065,Imput[[PERIODO Imp.]:[PERIODO Imp.]],BX$9)</f>
        <v>0</v>
      </c>
      <c r="BY1065" s="698">
        <f>SUMIFS(Imput[[Importe Neto]:[Importe Neto]],Imput[[C. Imp.]:[C. Imp.]],$D1065,Imput[[PERIODO Imp.]:[PERIODO Imp.]],BY$9)</f>
        <v>0</v>
      </c>
      <c r="BZ1065" s="698">
        <f>SUMIFS(Imput[[Importe Neto]:[Importe Neto]],Imput[[C. Imp.]:[C. Imp.]],$D1065,Imput[[PERIODO Imp.]:[PERIODO Imp.]],BZ$9)</f>
        <v>0</v>
      </c>
      <c r="CA1065" s="698">
        <f>SUMIFS(Imput[[Importe Neto]:[Importe Neto]],Imput[[C. Imp.]:[C. Imp.]],$D1065,Imput[[PERIODO Imp.]:[PERIODO Imp.]],CA$9)</f>
        <v>0</v>
      </c>
      <c r="CB1065" s="698">
        <f>SUMIFS(Imput[[Importe Neto]:[Importe Neto]],Imput[[C. Imp.]:[C. Imp.]],$D1065,Imput[[PERIODO Imp.]:[PERIODO Imp.]],CB$9)</f>
        <v>0</v>
      </c>
      <c r="CC1065" s="698">
        <f>SUMIFS(Imput[[Importe Neto]:[Importe Neto]],Imput[[C. Imp.]:[C. Imp.]],$D1065,Imput[[PERIODO Imp.]:[PERIODO Imp.]],CC$9)</f>
        <v>0</v>
      </c>
      <c r="CD1065" s="698">
        <f>SUMIFS(Imput[[Importe Neto]:[Importe Neto]],Imput[[C. Imp.]:[C. Imp.]],$D1065,Imput[[PERIODO Imp.]:[PERIODO Imp.]],CD$9)</f>
        <v>0</v>
      </c>
      <c r="CE1065" s="698">
        <f>SUMIFS(Imput[[Importe Neto]:[Importe Neto]],Imput[[C. Imp.]:[C. Imp.]],$D1065,Imput[[PERIODO Imp.]:[PERIODO Imp.]],CE$9)</f>
        <v>0</v>
      </c>
      <c r="CF1065" s="698">
        <f>SUMIFS(Imput[[Importe Neto]:[Importe Neto]],Imput[[C. Imp.]:[C. Imp.]],$D1065,Imput[[PERIODO Imp.]:[PERIODO Imp.]],CF$9)</f>
        <v>0</v>
      </c>
      <c r="CG1065" s="698">
        <f>SUMIFS(Imput[[Importe Neto]:[Importe Neto]],Imput[[C. Imp.]:[C. Imp.]],$D1065,Imput[[PERIODO Imp.]:[PERIODO Imp.]],CG$9)</f>
        <v>0</v>
      </c>
      <c r="CH1065" s="698">
        <f>SUMIFS(Imput[[Importe Neto]:[Importe Neto]],Imput[[C. Imp.]:[C. Imp.]],$D1065,Imput[[PERIODO Imp.]:[PERIODO Imp.]],CH$9)</f>
        <v>0</v>
      </c>
      <c r="CI1065" s="698">
        <f>SUMIFS(Imput[[Importe Neto]:[Importe Neto]],Imput[[C. Imp.]:[C. Imp.]],$D1065,Imput[[PERIODO Imp.]:[PERIODO Imp.]],CI$9)</f>
        <v>0</v>
      </c>
      <c r="CJ1065" s="698">
        <f>SUMIFS(Imput[[Importe Neto]:[Importe Neto]],Imput[[C. Imp.]:[C. Imp.]],$D1065,Imput[[PERIODO Imp.]:[PERIODO Imp.]],CJ$9)</f>
        <v>0</v>
      </c>
      <c r="CK1065" s="698">
        <f>SUMIFS(Imput[[Importe Neto]:[Importe Neto]],Imput[[C. Imp.]:[C. Imp.]],$D1065,Imput[[PERIODO Imp.]:[PERIODO Imp.]],CK$9)</f>
        <v>0</v>
      </c>
      <c r="CL1065" s="698">
        <f>SUMIFS(Imput[[Importe Neto]:[Importe Neto]],Imput[[C. Imp.]:[C. Imp.]],$D1065,Imput[[PERIODO Imp.]:[PERIODO Imp.]],CL$9)</f>
        <v>0</v>
      </c>
      <c r="CM1065" s="698">
        <f>SUMIFS(Imput[[Importe Neto]:[Importe Neto]],Imput[[C. Imp.]:[C. Imp.]],$D1065,Imput[[PERIODO Imp.]:[PERIODO Imp.]],CM$9)</f>
        <v>0</v>
      </c>
      <c r="CN1065" s="698">
        <f>SUMIFS(Imput[[Importe Neto]:[Importe Neto]],Imput[[C. Imp.]:[C. Imp.]],$D1065,Imput[[PERIODO Imp.]:[PERIODO Imp.]],CN$9)</f>
        <v>0</v>
      </c>
      <c r="CO1065" s="698">
        <f>SUMIFS(Imput[[Importe Neto]:[Importe Neto]],Imput[[C. Imp.]:[C. Imp.]],$D1065,Imput[[PERIODO Imp.]:[PERIODO Imp.]],CO$9)</f>
        <v>0</v>
      </c>
      <c r="CP1065" s="698">
        <f>SUMIFS(Imput[[Importe Neto]:[Importe Neto]],Imput[[C. Imp.]:[C. Imp.]],$D1065,Imput[[PERIODO Imp.]:[PERIODO Imp.]],CP$9)</f>
        <v>0</v>
      </c>
      <c r="CQ1065" s="698">
        <f>SUMIFS(Imput[[Importe Neto]:[Importe Neto]],Imput[[C. Imp.]:[C. Imp.]],$D1065,Imput[[PERIODO Imp.]:[PERIODO Imp.]],CQ$9)</f>
        <v>0</v>
      </c>
      <c r="CR1065" s="698">
        <f>SUMIFS(Imput[[Importe Neto]:[Importe Neto]],Imput[[C. Imp.]:[C. Imp.]],$D1065,Imput[[PERIODO Imp.]:[PERIODO Imp.]],CR$9)</f>
        <v>0</v>
      </c>
      <c r="CS1065" s="698">
        <f>SUMIFS(Imput[[Importe Neto]:[Importe Neto]],Imput[[C. Imp.]:[C. Imp.]],$D1065,Imput[[PERIODO Imp.]:[PERIODO Imp.]],CS$9)</f>
        <v>0</v>
      </c>
      <c r="CT1065" s="698">
        <f>SUMIFS(Imput[[Importe Neto]:[Importe Neto]],Imput[[C. Imp.]:[C. Imp.]],$D1065,Imput[[PERIODO Imp.]:[PERIODO Imp.]],CT$9)</f>
        <v>0</v>
      </c>
      <c r="CU1065" s="698">
        <f>SUMIFS(Imput[[Importe Neto]:[Importe Neto]],Imput[[C. Imp.]:[C. Imp.]],$D1065,Imput[[PERIODO Imp.]:[PERIODO Imp.]],CU$9)</f>
        <v>0</v>
      </c>
      <c r="CV1065" s="698">
        <f>SUMIFS(Imput[[Importe Neto]:[Importe Neto]],Imput[[C. Imp.]:[C. Imp.]],$D1065,Imput[[PERIODO Imp.]:[PERIODO Imp.]],CV$9)</f>
        <v>0</v>
      </c>
      <c r="CW1065" s="698">
        <f>SUMIFS(Imput[[Importe Neto]:[Importe Neto]],Imput[[C. Imp.]:[C. Imp.]],$D1065,Imput[[PERIODO Imp.]:[PERIODO Imp.]],CW$9)</f>
        <v>0</v>
      </c>
      <c r="CX1065" s="698">
        <f>SUMIFS(Imput[[Importe Neto]:[Importe Neto]],Imput[[C. Imp.]:[C. Imp.]],$D1065,Imput[[PERIODO Imp.]:[PERIODO Imp.]],CX$9)</f>
        <v>0</v>
      </c>
      <c r="CY1065" s="698">
        <f>SUMIFS(Imput[[Importe Neto]:[Importe Neto]],Imput[[C. Imp.]:[C. Imp.]],$D1065,Imput[[PERIODO Imp.]:[PERIODO Imp.]],CY$9)</f>
        <v>0</v>
      </c>
      <c r="CZ1065" s="698">
        <f>SUMIFS(Imput[[Importe Neto]:[Importe Neto]],Imput[[C. Imp.]:[C. Imp.]],$D1065,Imput[[PERIODO Imp.]:[PERIODO Imp.]],CZ$9)</f>
        <v>0</v>
      </c>
      <c r="DA1065" s="698">
        <f>SUMIFS(Imput[[Importe Neto]:[Importe Neto]],Imput[[C. Imp.]:[C. Imp.]],$D1065,Imput[[PERIODO Imp.]:[PERIODO Imp.]],DA$9)</f>
        <v>0</v>
      </c>
      <c r="DB1065" s="698">
        <f>SUMIFS(Imput[[Importe Neto]:[Importe Neto]],Imput[[C. Imp.]:[C. Imp.]],$D1065,Imput[[PERIODO Imp.]:[PERIODO Imp.]],DB$9)</f>
        <v>0</v>
      </c>
      <c r="DC1065" s="698">
        <f>SUMIFS(Imput[[Importe Neto]:[Importe Neto]],Imput[[C. Imp.]:[C. Imp.]],$D1065,Imput[[PERIODO Imp.]:[PERIODO Imp.]],DC$9)</f>
        <v>0</v>
      </c>
      <c r="DD1065" s="698">
        <f>SUMIFS(Imput[[Importe Neto]:[Importe Neto]],Imput[[C. Imp.]:[C. Imp.]],$D1065,Imput[[PERIODO Imp.]:[PERIODO Imp.]],DD$9)</f>
        <v>0</v>
      </c>
      <c r="DE1065" s="698">
        <f>SUMIFS(Imput[[Importe Neto]:[Importe Neto]],Imput[[C. Imp.]:[C. Imp.]],$D1065,Imput[[PERIODO Imp.]:[PERIODO Imp.]],DE$9)</f>
        <v>0</v>
      </c>
      <c r="DF1065" s="698">
        <f>SUMIFS(Imput[[Importe Neto]:[Importe Neto]],Imput[[C. Imp.]:[C. Imp.]],$D1065,Imput[[PERIODO Imp.]:[PERIODO Imp.]],DF$9)</f>
        <v>0</v>
      </c>
      <c r="DG1065" s="698">
        <f>SUMIFS(Imput[[Importe Neto]:[Importe Neto]],Imput[[C. Imp.]:[C. Imp.]],$D1065,Imput[[PERIODO Imp.]:[PERIODO Imp.]],DG$9)</f>
        <v>0</v>
      </c>
      <c r="DH1065" s="795">
        <f>SUMIFS(Imput[[Importe Neto]:[Importe Neto]],Imput[[C. Imp.]:[C. Imp.]],$D1065,Imput[[PERIODO Imp.]:[PERIODO Imp.]],DH$9)</f>
        <v>0</v>
      </c>
    </row>
    <row r="1066" spans="1:112" s="649" customFormat="1" ht="14.4" hidden="1" outlineLevel="1" thickBot="1" x14ac:dyDescent="0.35">
      <c r="A1066" s="652" t="str">
        <f>IF(J1014&gt;0,"Imprimir","")</f>
        <v/>
      </c>
      <c r="B1066" s="652"/>
      <c r="C1066" s="699"/>
      <c r="D1066" s="700"/>
      <c r="E1066" s="700"/>
      <c r="F1066" s="701"/>
      <c r="G1066" s="702"/>
      <c r="H1066" s="703"/>
      <c r="I1066" s="704"/>
      <c r="J1066" s="705"/>
      <c r="K1066" s="667"/>
      <c r="L1066" s="706"/>
      <c r="M1066" s="707"/>
      <c r="N1066" s="777"/>
      <c r="O1066" s="777"/>
      <c r="P1066" s="778"/>
      <c r="Q1066" s="778"/>
      <c r="R1066" s="708"/>
      <c r="S1066" s="708"/>
      <c r="T1066" s="779"/>
      <c r="U1066" s="779"/>
      <c r="V1066" s="778"/>
      <c r="W1066" s="778"/>
      <c r="X1066" s="708"/>
      <c r="Y1066" s="708"/>
      <c r="Z1066" s="708"/>
      <c r="AA1066" s="708"/>
      <c r="AB1066" s="708"/>
      <c r="AC1066" s="708"/>
      <c r="AD1066" s="708"/>
      <c r="AE1066" s="708"/>
      <c r="AF1066" s="708"/>
      <c r="AG1066" s="708"/>
      <c r="AH1066" s="708"/>
      <c r="AI1066" s="708"/>
      <c r="AJ1066" s="708"/>
      <c r="AK1066" s="708"/>
      <c r="AL1066" s="708"/>
      <c r="AM1066" s="708"/>
      <c r="AN1066" s="708"/>
      <c r="AO1066" s="708"/>
      <c r="AP1066" s="708"/>
      <c r="AQ1066" s="708"/>
      <c r="AR1066" s="708"/>
      <c r="AS1066" s="708"/>
      <c r="AT1066" s="708"/>
      <c r="AU1066" s="708"/>
      <c r="AV1066" s="708"/>
      <c r="AW1066" s="708"/>
      <c r="AX1066" s="708"/>
      <c r="AY1066" s="708"/>
      <c r="AZ1066" s="708"/>
      <c r="BA1066" s="708"/>
      <c r="BB1066" s="708"/>
      <c r="BC1066" s="708"/>
      <c r="BD1066" s="708"/>
      <c r="BE1066" s="708"/>
      <c r="BF1066" s="708"/>
      <c r="BG1066" s="708"/>
      <c r="BH1066" s="780"/>
      <c r="BI1066" s="654"/>
      <c r="BJ1066" s="709"/>
      <c r="BK1066" s="710"/>
      <c r="BL1066" s="654"/>
      <c r="BM1066" s="731"/>
      <c r="BN1066" s="701"/>
      <c r="BO1066" s="701"/>
      <c r="BP1066" s="701"/>
      <c r="BQ1066" s="701"/>
      <c r="BR1066" s="701"/>
      <c r="BS1066" s="701"/>
      <c r="BT1066" s="701"/>
      <c r="BU1066" s="701"/>
      <c r="BV1066" s="701"/>
      <c r="BW1066" s="701"/>
      <c r="BX1066" s="701"/>
      <c r="BY1066" s="701"/>
      <c r="BZ1066" s="701"/>
      <c r="CA1066" s="701"/>
      <c r="CB1066" s="701"/>
      <c r="CC1066" s="701"/>
      <c r="CD1066" s="701"/>
      <c r="CE1066" s="701"/>
      <c r="CF1066" s="701"/>
      <c r="CG1066" s="701"/>
      <c r="CH1066" s="701"/>
      <c r="CI1066" s="701"/>
      <c r="CJ1066" s="701"/>
      <c r="CK1066" s="701"/>
      <c r="CL1066" s="701"/>
      <c r="CM1066" s="701"/>
      <c r="CN1066" s="701"/>
      <c r="CO1066" s="701"/>
      <c r="CP1066" s="701"/>
      <c r="CQ1066" s="701"/>
      <c r="CR1066" s="701"/>
      <c r="CS1066" s="701"/>
      <c r="CT1066" s="701"/>
      <c r="CU1066" s="701"/>
      <c r="CV1066" s="701"/>
      <c r="CW1066" s="701"/>
      <c r="CX1066" s="701"/>
      <c r="CY1066" s="701"/>
      <c r="CZ1066" s="701"/>
      <c r="DA1066" s="701"/>
      <c r="DB1066" s="701"/>
      <c r="DC1066" s="701"/>
      <c r="DD1066" s="701"/>
      <c r="DE1066" s="701"/>
      <c r="DF1066" s="701"/>
      <c r="DG1066" s="701"/>
      <c r="DH1066" s="710"/>
    </row>
    <row r="1067" spans="1:112" s="649" customFormat="1" hidden="1" collapsed="1" x14ac:dyDescent="0.3">
      <c r="A1067" s="652" t="str">
        <f>IF(J1067&gt;0,"Imprimir","")</f>
        <v/>
      </c>
      <c r="B1067" s="652"/>
      <c r="C1067" s="711"/>
      <c r="D1067" s="712" t="s">
        <v>451</v>
      </c>
      <c r="E1067" s="712" t="s">
        <v>487</v>
      </c>
      <c r="F1067" s="712"/>
      <c r="G1067" s="713"/>
      <c r="H1067" s="712"/>
      <c r="I1067" s="714"/>
      <c r="J1067" s="715">
        <f>SUBTOTAL(9,J1070:J1119)</f>
        <v>0</v>
      </c>
      <c r="K1067" s="658"/>
      <c r="L1067" s="770">
        <f t="shared" ref="L1067:BG1067" si="359">SUMPRODUCT($J1070:$J1119,L1070:L1119)</f>
        <v>0</v>
      </c>
      <c r="M1067" s="771">
        <f t="shared" si="359"/>
        <v>0</v>
      </c>
      <c r="N1067" s="771">
        <f t="shared" si="359"/>
        <v>0</v>
      </c>
      <c r="O1067" s="771">
        <f t="shared" si="359"/>
        <v>0</v>
      </c>
      <c r="P1067" s="771">
        <f t="shared" si="359"/>
        <v>0</v>
      </c>
      <c r="Q1067" s="771">
        <f t="shared" si="359"/>
        <v>0</v>
      </c>
      <c r="R1067" s="771">
        <f t="shared" si="359"/>
        <v>0</v>
      </c>
      <c r="S1067" s="771">
        <f t="shared" si="359"/>
        <v>0</v>
      </c>
      <c r="T1067" s="771">
        <f t="shared" si="359"/>
        <v>0</v>
      </c>
      <c r="U1067" s="771">
        <f t="shared" si="359"/>
        <v>0</v>
      </c>
      <c r="V1067" s="771">
        <f t="shared" si="359"/>
        <v>0</v>
      </c>
      <c r="W1067" s="771">
        <f t="shared" si="359"/>
        <v>0</v>
      </c>
      <c r="X1067" s="771">
        <f t="shared" si="359"/>
        <v>0</v>
      </c>
      <c r="Y1067" s="771">
        <f t="shared" si="359"/>
        <v>0</v>
      </c>
      <c r="Z1067" s="771">
        <f t="shared" si="359"/>
        <v>0</v>
      </c>
      <c r="AA1067" s="771">
        <f t="shared" si="359"/>
        <v>0</v>
      </c>
      <c r="AB1067" s="771">
        <f t="shared" si="359"/>
        <v>0</v>
      </c>
      <c r="AC1067" s="771">
        <f t="shared" si="359"/>
        <v>0</v>
      </c>
      <c r="AD1067" s="771">
        <f t="shared" si="359"/>
        <v>0</v>
      </c>
      <c r="AE1067" s="771">
        <f t="shared" si="359"/>
        <v>0</v>
      </c>
      <c r="AF1067" s="771">
        <f t="shared" si="359"/>
        <v>0</v>
      </c>
      <c r="AG1067" s="771">
        <f t="shared" si="359"/>
        <v>0</v>
      </c>
      <c r="AH1067" s="771">
        <f t="shared" si="359"/>
        <v>0</v>
      </c>
      <c r="AI1067" s="771">
        <f t="shared" si="359"/>
        <v>0</v>
      </c>
      <c r="AJ1067" s="771">
        <f t="shared" si="359"/>
        <v>0</v>
      </c>
      <c r="AK1067" s="771">
        <f t="shared" si="359"/>
        <v>0</v>
      </c>
      <c r="AL1067" s="771">
        <f t="shared" si="359"/>
        <v>0</v>
      </c>
      <c r="AM1067" s="771">
        <f t="shared" si="359"/>
        <v>0</v>
      </c>
      <c r="AN1067" s="771">
        <f t="shared" si="359"/>
        <v>0</v>
      </c>
      <c r="AO1067" s="771">
        <f t="shared" si="359"/>
        <v>0</v>
      </c>
      <c r="AP1067" s="771">
        <f t="shared" si="359"/>
        <v>0</v>
      </c>
      <c r="AQ1067" s="771">
        <f t="shared" si="359"/>
        <v>0</v>
      </c>
      <c r="AR1067" s="771">
        <f t="shared" si="359"/>
        <v>0</v>
      </c>
      <c r="AS1067" s="771">
        <f t="shared" si="359"/>
        <v>0</v>
      </c>
      <c r="AT1067" s="771">
        <f t="shared" si="359"/>
        <v>0</v>
      </c>
      <c r="AU1067" s="771">
        <f t="shared" si="359"/>
        <v>0</v>
      </c>
      <c r="AV1067" s="771">
        <f t="shared" si="359"/>
        <v>0</v>
      </c>
      <c r="AW1067" s="771">
        <f t="shared" si="359"/>
        <v>0</v>
      </c>
      <c r="AX1067" s="771">
        <f t="shared" si="359"/>
        <v>0</v>
      </c>
      <c r="AY1067" s="771">
        <f t="shared" si="359"/>
        <v>0</v>
      </c>
      <c r="AZ1067" s="771">
        <f t="shared" si="359"/>
        <v>0</v>
      </c>
      <c r="BA1067" s="771">
        <f t="shared" si="359"/>
        <v>0</v>
      </c>
      <c r="BB1067" s="771">
        <f t="shared" si="359"/>
        <v>0</v>
      </c>
      <c r="BC1067" s="771">
        <f t="shared" si="359"/>
        <v>0</v>
      </c>
      <c r="BD1067" s="771">
        <f t="shared" si="359"/>
        <v>0</v>
      </c>
      <c r="BE1067" s="771">
        <f t="shared" si="359"/>
        <v>0</v>
      </c>
      <c r="BF1067" s="771">
        <f t="shared" si="359"/>
        <v>0</v>
      </c>
      <c r="BG1067" s="764">
        <f t="shared" si="359"/>
        <v>0</v>
      </c>
      <c r="BH1067" s="776"/>
      <c r="BI1067" s="654"/>
      <c r="BJ1067" s="659">
        <f>IFERROR(BK1067/J1067,0)</f>
        <v>0</v>
      </c>
      <c r="BK1067" s="660">
        <f>SUBTOTAL(9,BK1068:BK1119)</f>
        <v>0</v>
      </c>
      <c r="BL1067" s="654"/>
      <c r="BM1067" s="661">
        <f t="shared" ref="BM1067:DH1067" si="360">SUBTOTAL(9,BM1068:BM1119)</f>
        <v>0</v>
      </c>
      <c r="BN1067" s="662">
        <f t="shared" si="360"/>
        <v>0</v>
      </c>
      <c r="BO1067" s="662">
        <f t="shared" si="360"/>
        <v>0</v>
      </c>
      <c r="BP1067" s="662">
        <f t="shared" si="360"/>
        <v>0</v>
      </c>
      <c r="BQ1067" s="662">
        <f t="shared" si="360"/>
        <v>0</v>
      </c>
      <c r="BR1067" s="662">
        <f t="shared" si="360"/>
        <v>0</v>
      </c>
      <c r="BS1067" s="662">
        <f t="shared" si="360"/>
        <v>0</v>
      </c>
      <c r="BT1067" s="662">
        <f t="shared" si="360"/>
        <v>0</v>
      </c>
      <c r="BU1067" s="662">
        <f t="shared" si="360"/>
        <v>0</v>
      </c>
      <c r="BV1067" s="662">
        <f t="shared" si="360"/>
        <v>0</v>
      </c>
      <c r="BW1067" s="662">
        <f t="shared" si="360"/>
        <v>0</v>
      </c>
      <c r="BX1067" s="662">
        <f t="shared" si="360"/>
        <v>0</v>
      </c>
      <c r="BY1067" s="662">
        <f t="shared" si="360"/>
        <v>0</v>
      </c>
      <c r="BZ1067" s="662">
        <f t="shared" si="360"/>
        <v>0</v>
      </c>
      <c r="CA1067" s="662">
        <f t="shared" si="360"/>
        <v>0</v>
      </c>
      <c r="CB1067" s="662">
        <f t="shared" si="360"/>
        <v>0</v>
      </c>
      <c r="CC1067" s="662">
        <f t="shared" si="360"/>
        <v>0</v>
      </c>
      <c r="CD1067" s="662">
        <f t="shared" si="360"/>
        <v>0</v>
      </c>
      <c r="CE1067" s="662">
        <f t="shared" si="360"/>
        <v>0</v>
      </c>
      <c r="CF1067" s="662">
        <f t="shared" si="360"/>
        <v>0</v>
      </c>
      <c r="CG1067" s="662">
        <f t="shared" si="360"/>
        <v>0</v>
      </c>
      <c r="CH1067" s="662">
        <f t="shared" si="360"/>
        <v>0</v>
      </c>
      <c r="CI1067" s="662">
        <f t="shared" si="360"/>
        <v>0</v>
      </c>
      <c r="CJ1067" s="662">
        <f t="shared" si="360"/>
        <v>0</v>
      </c>
      <c r="CK1067" s="662">
        <f t="shared" si="360"/>
        <v>0</v>
      </c>
      <c r="CL1067" s="662">
        <f t="shared" si="360"/>
        <v>0</v>
      </c>
      <c r="CM1067" s="662">
        <f t="shared" si="360"/>
        <v>0</v>
      </c>
      <c r="CN1067" s="662">
        <f t="shared" si="360"/>
        <v>0</v>
      </c>
      <c r="CO1067" s="662">
        <f t="shared" si="360"/>
        <v>0</v>
      </c>
      <c r="CP1067" s="662">
        <f t="shared" si="360"/>
        <v>0</v>
      </c>
      <c r="CQ1067" s="662">
        <f t="shared" si="360"/>
        <v>0</v>
      </c>
      <c r="CR1067" s="662">
        <f t="shared" si="360"/>
        <v>0</v>
      </c>
      <c r="CS1067" s="662">
        <f t="shared" si="360"/>
        <v>0</v>
      </c>
      <c r="CT1067" s="662">
        <f t="shared" si="360"/>
        <v>0</v>
      </c>
      <c r="CU1067" s="662">
        <f t="shared" si="360"/>
        <v>0</v>
      </c>
      <c r="CV1067" s="662">
        <f t="shared" si="360"/>
        <v>0</v>
      </c>
      <c r="CW1067" s="662">
        <f t="shared" si="360"/>
        <v>0</v>
      </c>
      <c r="CX1067" s="662">
        <f t="shared" si="360"/>
        <v>0</v>
      </c>
      <c r="CY1067" s="662">
        <f t="shared" si="360"/>
        <v>0</v>
      </c>
      <c r="CZ1067" s="662">
        <f t="shared" si="360"/>
        <v>0</v>
      </c>
      <c r="DA1067" s="662">
        <f t="shared" si="360"/>
        <v>0</v>
      </c>
      <c r="DB1067" s="662">
        <f t="shared" si="360"/>
        <v>0</v>
      </c>
      <c r="DC1067" s="662">
        <f t="shared" si="360"/>
        <v>0</v>
      </c>
      <c r="DD1067" s="662">
        <f t="shared" si="360"/>
        <v>0</v>
      </c>
      <c r="DE1067" s="662">
        <f t="shared" si="360"/>
        <v>0</v>
      </c>
      <c r="DF1067" s="662">
        <f t="shared" si="360"/>
        <v>0</v>
      </c>
      <c r="DG1067" s="662">
        <f t="shared" si="360"/>
        <v>0</v>
      </c>
      <c r="DH1067" s="663">
        <f t="shared" si="360"/>
        <v>0</v>
      </c>
    </row>
    <row r="1068" spans="1:112" s="650" customFormat="1" hidden="1" outlineLevel="1" x14ac:dyDescent="0.3">
      <c r="A1068" s="652" t="str">
        <f>IF(J1067&gt;0,"Imprimir","")</f>
        <v/>
      </c>
      <c r="B1068" s="722"/>
      <c r="C1068" s="664"/>
      <c r="D1068" s="665"/>
      <c r="E1068" s="665"/>
      <c r="F1068" s="665" t="s">
        <v>472</v>
      </c>
      <c r="G1068" s="716" t="s">
        <v>2128</v>
      </c>
      <c r="H1068" s="665" t="s">
        <v>98</v>
      </c>
      <c r="I1068" s="665" t="s">
        <v>474</v>
      </c>
      <c r="J1068" s="666" t="s">
        <v>29</v>
      </c>
      <c r="K1068" s="723"/>
      <c r="L1068" s="745"/>
      <c r="M1068" s="741"/>
      <c r="N1068" s="741"/>
      <c r="O1068" s="741"/>
      <c r="P1068" s="741"/>
      <c r="Q1068" s="741"/>
      <c r="R1068" s="741"/>
      <c r="S1068" s="741"/>
      <c r="T1068" s="741"/>
      <c r="U1068" s="741"/>
      <c r="V1068" s="741"/>
      <c r="W1068" s="741"/>
      <c r="X1068" s="741"/>
      <c r="Y1068" s="741"/>
      <c r="Z1068" s="741"/>
      <c r="AA1068" s="741"/>
      <c r="AB1068" s="741"/>
      <c r="AC1068" s="741"/>
      <c r="AD1068" s="741"/>
      <c r="AE1068" s="741"/>
      <c r="AF1068" s="741"/>
      <c r="AG1068" s="741"/>
      <c r="AH1068" s="741"/>
      <c r="AI1068" s="741"/>
      <c r="AJ1068" s="741"/>
      <c r="AK1068" s="741"/>
      <c r="AL1068" s="741"/>
      <c r="AM1068" s="741"/>
      <c r="AN1068" s="741"/>
      <c r="AO1068" s="741"/>
      <c r="AP1068" s="741"/>
      <c r="AQ1068" s="741"/>
      <c r="AR1068" s="741"/>
      <c r="AS1068" s="741"/>
      <c r="AT1068" s="741"/>
      <c r="AU1068" s="741"/>
      <c r="AV1068" s="741"/>
      <c r="AW1068" s="741"/>
      <c r="AX1068" s="741"/>
      <c r="AY1068" s="741"/>
      <c r="AZ1068" s="741"/>
      <c r="BA1068" s="741"/>
      <c r="BB1068" s="741"/>
      <c r="BC1068" s="741"/>
      <c r="BD1068" s="741"/>
      <c r="BE1068" s="741"/>
      <c r="BF1068" s="741"/>
      <c r="BG1068" s="741"/>
      <c r="BH1068" s="724"/>
      <c r="BI1068" s="725"/>
      <c r="BJ1068" s="669"/>
      <c r="BK1068" s="670"/>
      <c r="BL1068" s="725"/>
      <c r="BM1068" s="671"/>
      <c r="BN1068" s="665"/>
      <c r="BO1068" s="665"/>
      <c r="BP1068" s="665"/>
      <c r="BQ1068" s="665"/>
      <c r="BR1068" s="665"/>
      <c r="BS1068" s="665"/>
      <c r="BT1068" s="665"/>
      <c r="BU1068" s="665"/>
      <c r="BV1068" s="665"/>
      <c r="BW1068" s="665"/>
      <c r="BX1068" s="665"/>
      <c r="BY1068" s="665"/>
      <c r="BZ1068" s="665"/>
      <c r="CA1068" s="665"/>
      <c r="CB1068" s="665"/>
      <c r="CC1068" s="665"/>
      <c r="CD1068" s="665"/>
      <c r="CE1068" s="665"/>
      <c r="CF1068" s="665"/>
      <c r="CG1068" s="665"/>
      <c r="CH1068" s="665"/>
      <c r="CI1068" s="665"/>
      <c r="CJ1068" s="665"/>
      <c r="CK1068" s="665"/>
      <c r="CL1068" s="665"/>
      <c r="CM1068" s="665"/>
      <c r="CN1068" s="665"/>
      <c r="CO1068" s="665"/>
      <c r="CP1068" s="665"/>
      <c r="CQ1068" s="665"/>
      <c r="CR1068" s="665"/>
      <c r="CS1068" s="665"/>
      <c r="CT1068" s="665"/>
      <c r="CU1068" s="665"/>
      <c r="CV1068" s="665"/>
      <c r="CW1068" s="665"/>
      <c r="CX1068" s="665"/>
      <c r="CY1068" s="665"/>
      <c r="CZ1068" s="665"/>
      <c r="DA1068" s="665"/>
      <c r="DB1068" s="665"/>
      <c r="DC1068" s="665"/>
      <c r="DD1068" s="665"/>
      <c r="DE1068" s="665"/>
      <c r="DF1068" s="665"/>
      <c r="DG1068" s="665"/>
      <c r="DH1068" s="666"/>
    </row>
    <row r="1069" spans="1:112" s="649" customFormat="1" ht="15.6" hidden="1" outlineLevel="1" x14ac:dyDescent="0.3">
      <c r="A1069" s="652" t="str">
        <f>IF(J1069&gt;0,"Imprimir","")</f>
        <v/>
      </c>
      <c r="B1069" s="652"/>
      <c r="C1069" s="672"/>
      <c r="D1069" s="673"/>
      <c r="E1069" s="674"/>
      <c r="F1069" s="675"/>
      <c r="G1069" s="726"/>
      <c r="H1069" s="676"/>
      <c r="I1069" s="677"/>
      <c r="J1069" s="219">
        <f>SUBTOTAL(9,J1070:J1119)</f>
        <v>0</v>
      </c>
      <c r="K1069" s="678"/>
      <c r="L1069" s="747"/>
      <c r="M1069" s="742"/>
      <c r="N1069" s="742"/>
      <c r="O1069" s="742"/>
      <c r="P1069" s="742"/>
      <c r="Q1069" s="742"/>
      <c r="R1069" s="742"/>
      <c r="S1069" s="742"/>
      <c r="T1069" s="742"/>
      <c r="U1069" s="742"/>
      <c r="V1069" s="742"/>
      <c r="W1069" s="742"/>
      <c r="X1069" s="742"/>
      <c r="Y1069" s="742"/>
      <c r="Z1069" s="742"/>
      <c r="AA1069" s="742"/>
      <c r="AB1069" s="742"/>
      <c r="AC1069" s="742"/>
      <c r="AD1069" s="742"/>
      <c r="AE1069" s="742"/>
      <c r="AF1069" s="742"/>
      <c r="AG1069" s="742"/>
      <c r="AH1069" s="742"/>
      <c r="AI1069" s="742"/>
      <c r="AJ1069" s="742"/>
      <c r="AK1069" s="742"/>
      <c r="AL1069" s="742"/>
      <c r="AM1069" s="742"/>
      <c r="AN1069" s="742"/>
      <c r="AO1069" s="742"/>
      <c r="AP1069" s="742"/>
      <c r="AQ1069" s="742"/>
      <c r="AR1069" s="742"/>
      <c r="AS1069" s="742"/>
      <c r="AT1069" s="742"/>
      <c r="AU1069" s="742"/>
      <c r="AV1069" s="742"/>
      <c r="AW1069" s="742"/>
      <c r="AX1069" s="742"/>
      <c r="AY1069" s="742"/>
      <c r="AZ1069" s="742"/>
      <c r="BA1069" s="742"/>
      <c r="BB1069" s="742"/>
      <c r="BC1069" s="742"/>
      <c r="BD1069" s="742"/>
      <c r="BE1069" s="742"/>
      <c r="BF1069" s="742"/>
      <c r="BG1069" s="742"/>
      <c r="BH1069" s="668"/>
      <c r="BI1069" s="654"/>
      <c r="BJ1069" s="680"/>
      <c r="BK1069" s="681"/>
      <c r="BL1069" s="654"/>
      <c r="BM1069" s="682"/>
      <c r="BN1069" s="683"/>
      <c r="BO1069" s="683"/>
      <c r="BP1069" s="683"/>
      <c r="BQ1069" s="683"/>
      <c r="BR1069" s="683"/>
      <c r="BS1069" s="683"/>
      <c r="BT1069" s="683"/>
      <c r="BU1069" s="683"/>
      <c r="BV1069" s="683"/>
      <c r="BW1069" s="683"/>
      <c r="BX1069" s="683"/>
      <c r="BY1069" s="683"/>
      <c r="BZ1069" s="683"/>
      <c r="CA1069" s="683"/>
      <c r="CB1069" s="683"/>
      <c r="CC1069" s="683"/>
      <c r="CD1069" s="683"/>
      <c r="CE1069" s="683"/>
      <c r="CF1069" s="683"/>
      <c r="CG1069" s="683"/>
      <c r="CH1069" s="683"/>
      <c r="CI1069" s="683"/>
      <c r="CJ1069" s="683"/>
      <c r="CK1069" s="683"/>
      <c r="CL1069" s="683"/>
      <c r="CM1069" s="683"/>
      <c r="CN1069" s="683"/>
      <c r="CO1069" s="683"/>
      <c r="CP1069" s="683"/>
      <c r="CQ1069" s="683"/>
      <c r="CR1069" s="683"/>
      <c r="CS1069" s="683"/>
      <c r="CT1069" s="683"/>
      <c r="CU1069" s="683"/>
      <c r="CV1069" s="683"/>
      <c r="CW1069" s="683"/>
      <c r="CX1069" s="683"/>
      <c r="CY1069" s="683"/>
      <c r="CZ1069" s="683"/>
      <c r="DA1069" s="683"/>
      <c r="DB1069" s="683"/>
      <c r="DC1069" s="683"/>
      <c r="DD1069" s="683"/>
      <c r="DE1069" s="683"/>
      <c r="DF1069" s="683"/>
      <c r="DG1069" s="683"/>
      <c r="DH1069" s="684"/>
    </row>
    <row r="1070" spans="1:112" s="649" customFormat="1" hidden="1" outlineLevel="1" x14ac:dyDescent="0.3">
      <c r="A1070" s="652" t="str">
        <f t="shared" ref="A1070:A1118" si="361">IF(J1070="","",IF(J1070=0,"","Imprimir"))</f>
        <v/>
      </c>
      <c r="B1070" s="652"/>
      <c r="C1070" s="685"/>
      <c r="D1070" s="686"/>
      <c r="E1070" s="686"/>
      <c r="F1070" s="720"/>
      <c r="G1070" s="688"/>
      <c r="H1070" s="689"/>
      <c r="I1070" s="851" t="str">
        <f t="shared" ref="I1070:I1118" si="362">IF(E1070&gt;0,$J$5,"")</f>
        <v/>
      </c>
      <c r="J1070" s="852" t="str">
        <f t="shared" ref="J1070:J1118" si="363">IFERROR(G1070*H1070*I1070,"")</f>
        <v/>
      </c>
      <c r="K1070" s="667"/>
      <c r="L1070" s="858">
        <v>1</v>
      </c>
      <c r="M1070" s="859"/>
      <c r="N1070" s="859"/>
      <c r="O1070" s="859"/>
      <c r="P1070" s="859"/>
      <c r="Q1070" s="859"/>
      <c r="R1070" s="859"/>
      <c r="S1070" s="859"/>
      <c r="T1070" s="859"/>
      <c r="U1070" s="859"/>
      <c r="V1070" s="859"/>
      <c r="W1070" s="859"/>
      <c r="X1070" s="859"/>
      <c r="Y1070" s="859"/>
      <c r="Z1070" s="860"/>
      <c r="AA1070" s="860"/>
      <c r="AB1070" s="860"/>
      <c r="AC1070" s="860"/>
      <c r="AD1070" s="860"/>
      <c r="AE1070" s="860"/>
      <c r="AF1070" s="860"/>
      <c r="AG1070" s="860"/>
      <c r="AH1070" s="860"/>
      <c r="AI1070" s="860"/>
      <c r="AJ1070" s="860"/>
      <c r="AK1070" s="860"/>
      <c r="AL1070" s="860"/>
      <c r="AM1070" s="860"/>
      <c r="AN1070" s="860"/>
      <c r="AO1070" s="860"/>
      <c r="AP1070" s="860"/>
      <c r="AQ1070" s="860"/>
      <c r="AR1070" s="860"/>
      <c r="AS1070" s="860"/>
      <c r="AT1070" s="860"/>
      <c r="AU1070" s="860"/>
      <c r="AV1070" s="860"/>
      <c r="AW1070" s="860"/>
      <c r="AX1070" s="860"/>
      <c r="AY1070" s="860"/>
      <c r="AZ1070" s="860"/>
      <c r="BA1070" s="860"/>
      <c r="BB1070" s="860"/>
      <c r="BC1070" s="860"/>
      <c r="BD1070" s="860"/>
      <c r="BE1070" s="860"/>
      <c r="BF1070" s="860"/>
      <c r="BG1070" s="860"/>
      <c r="BH1070" s="668"/>
      <c r="BI1070" s="667"/>
      <c r="BJ1070" s="690">
        <f t="shared" ref="BJ1070:BJ1118" si="364">IFERROR(BK1070/J1070,0)</f>
        <v>0</v>
      </c>
      <c r="BK1070" s="691">
        <f t="shared" ref="BK1070:BK1118" si="365">SUM(BM1070:DH1070)</f>
        <v>0</v>
      </c>
      <c r="BL1070" s="654"/>
      <c r="BM1070" s="692">
        <f>SUMIFS(Imput[[Importe Neto]:[Importe Neto]],Imput[[C. Imp.]:[C. Imp.]],$D1070,Imput[[PERIODO Imp.]:[PERIODO Imp.]],BM$9)</f>
        <v>0</v>
      </c>
      <c r="BN1070" s="693">
        <f>SUMIFS(Imput[[Importe Neto]:[Importe Neto]],Imput[[C. Imp.]:[C. Imp.]],$D1070,Imput[[PERIODO Imp.]:[PERIODO Imp.]],BN$9)</f>
        <v>0</v>
      </c>
      <c r="BO1070" s="693">
        <f>SUMIFS(Imput[[Importe Neto]:[Importe Neto]],Imput[[C. Imp.]:[C. Imp.]],$D1070,Imput[[PERIODO Imp.]:[PERIODO Imp.]],BO$9)</f>
        <v>0</v>
      </c>
      <c r="BP1070" s="693">
        <f>SUMIFS(Imput[[Importe Neto]:[Importe Neto]],Imput[[C. Imp.]:[C. Imp.]],$D1070,Imput[[PERIODO Imp.]:[PERIODO Imp.]],BP$9)</f>
        <v>0</v>
      </c>
      <c r="BQ1070" s="693">
        <f>SUMIFS(Imput[[Importe Neto]:[Importe Neto]],Imput[[C. Imp.]:[C. Imp.]],$D1070,Imput[[PERIODO Imp.]:[PERIODO Imp.]],BQ$9)</f>
        <v>0</v>
      </c>
      <c r="BR1070" s="693">
        <f>SUMIFS(Imput[[Importe Neto]:[Importe Neto]],Imput[[C. Imp.]:[C. Imp.]],$D1070,Imput[[PERIODO Imp.]:[PERIODO Imp.]],BR$9)</f>
        <v>0</v>
      </c>
      <c r="BS1070" s="693">
        <f>SUMIFS(Imput[[Importe Neto]:[Importe Neto]],Imput[[C. Imp.]:[C. Imp.]],$D1070,Imput[[PERIODO Imp.]:[PERIODO Imp.]],BS$9)</f>
        <v>0</v>
      </c>
      <c r="BT1070" s="693">
        <f>SUMIFS(Imput[[Importe Neto]:[Importe Neto]],Imput[[C. Imp.]:[C. Imp.]],$D1070,Imput[[PERIODO Imp.]:[PERIODO Imp.]],BT$9)</f>
        <v>0</v>
      </c>
      <c r="BU1070" s="693">
        <f>SUMIFS(Imput[[Importe Neto]:[Importe Neto]],Imput[[C. Imp.]:[C. Imp.]],$D1070,Imput[[PERIODO Imp.]:[PERIODO Imp.]],BU$9)</f>
        <v>0</v>
      </c>
      <c r="BV1070" s="693">
        <f>SUMIFS(Imput[[Importe Neto]:[Importe Neto]],Imput[[C. Imp.]:[C. Imp.]],$D1070,Imput[[PERIODO Imp.]:[PERIODO Imp.]],BV$9)</f>
        <v>0</v>
      </c>
      <c r="BW1070" s="693">
        <f>SUMIFS(Imput[[Importe Neto]:[Importe Neto]],Imput[[C. Imp.]:[C. Imp.]],$D1070,Imput[[PERIODO Imp.]:[PERIODO Imp.]],BW$9)</f>
        <v>0</v>
      </c>
      <c r="BX1070" s="693">
        <f>SUMIFS(Imput[[Importe Neto]:[Importe Neto]],Imput[[C. Imp.]:[C. Imp.]],$D1070,Imput[[PERIODO Imp.]:[PERIODO Imp.]],BX$9)</f>
        <v>0</v>
      </c>
      <c r="BY1070" s="693">
        <f>SUMIFS(Imput[[Importe Neto]:[Importe Neto]],Imput[[C. Imp.]:[C. Imp.]],$D1070,Imput[[PERIODO Imp.]:[PERIODO Imp.]],BY$9)</f>
        <v>0</v>
      </c>
      <c r="BZ1070" s="693">
        <f>SUMIFS(Imput[[Importe Neto]:[Importe Neto]],Imput[[C. Imp.]:[C. Imp.]],$D1070,Imput[[PERIODO Imp.]:[PERIODO Imp.]],BZ$9)</f>
        <v>0</v>
      </c>
      <c r="CA1070" s="693">
        <f>SUMIFS(Imput[[Importe Neto]:[Importe Neto]],Imput[[C. Imp.]:[C. Imp.]],$D1070,Imput[[PERIODO Imp.]:[PERIODO Imp.]],CA$9)</f>
        <v>0</v>
      </c>
      <c r="CB1070" s="693">
        <f>SUMIFS(Imput[[Importe Neto]:[Importe Neto]],Imput[[C. Imp.]:[C. Imp.]],$D1070,Imput[[PERIODO Imp.]:[PERIODO Imp.]],CB$9)</f>
        <v>0</v>
      </c>
      <c r="CC1070" s="693">
        <f>SUMIFS(Imput[[Importe Neto]:[Importe Neto]],Imput[[C. Imp.]:[C. Imp.]],$D1070,Imput[[PERIODO Imp.]:[PERIODO Imp.]],CC$9)</f>
        <v>0</v>
      </c>
      <c r="CD1070" s="693">
        <f>SUMIFS(Imput[[Importe Neto]:[Importe Neto]],Imput[[C. Imp.]:[C. Imp.]],$D1070,Imput[[PERIODO Imp.]:[PERIODO Imp.]],CD$9)</f>
        <v>0</v>
      </c>
      <c r="CE1070" s="693">
        <f>SUMIFS(Imput[[Importe Neto]:[Importe Neto]],Imput[[C. Imp.]:[C. Imp.]],$D1070,Imput[[PERIODO Imp.]:[PERIODO Imp.]],CE$9)</f>
        <v>0</v>
      </c>
      <c r="CF1070" s="693">
        <f>SUMIFS(Imput[[Importe Neto]:[Importe Neto]],Imput[[C. Imp.]:[C. Imp.]],$D1070,Imput[[PERIODO Imp.]:[PERIODO Imp.]],CF$9)</f>
        <v>0</v>
      </c>
      <c r="CG1070" s="693">
        <f>SUMIFS(Imput[[Importe Neto]:[Importe Neto]],Imput[[C. Imp.]:[C. Imp.]],$D1070,Imput[[PERIODO Imp.]:[PERIODO Imp.]],CG$9)</f>
        <v>0</v>
      </c>
      <c r="CH1070" s="693">
        <f>SUMIFS(Imput[[Importe Neto]:[Importe Neto]],Imput[[C. Imp.]:[C. Imp.]],$D1070,Imput[[PERIODO Imp.]:[PERIODO Imp.]],CH$9)</f>
        <v>0</v>
      </c>
      <c r="CI1070" s="693">
        <f>SUMIFS(Imput[[Importe Neto]:[Importe Neto]],Imput[[C. Imp.]:[C. Imp.]],$D1070,Imput[[PERIODO Imp.]:[PERIODO Imp.]],CI$9)</f>
        <v>0</v>
      </c>
      <c r="CJ1070" s="693">
        <f>SUMIFS(Imput[[Importe Neto]:[Importe Neto]],Imput[[C. Imp.]:[C. Imp.]],$D1070,Imput[[PERIODO Imp.]:[PERIODO Imp.]],CJ$9)</f>
        <v>0</v>
      </c>
      <c r="CK1070" s="693">
        <f>SUMIFS(Imput[[Importe Neto]:[Importe Neto]],Imput[[C. Imp.]:[C. Imp.]],$D1070,Imput[[PERIODO Imp.]:[PERIODO Imp.]],CK$9)</f>
        <v>0</v>
      </c>
      <c r="CL1070" s="693">
        <f>SUMIFS(Imput[[Importe Neto]:[Importe Neto]],Imput[[C. Imp.]:[C. Imp.]],$D1070,Imput[[PERIODO Imp.]:[PERIODO Imp.]],CL$9)</f>
        <v>0</v>
      </c>
      <c r="CM1070" s="693">
        <f>SUMIFS(Imput[[Importe Neto]:[Importe Neto]],Imput[[C. Imp.]:[C. Imp.]],$D1070,Imput[[PERIODO Imp.]:[PERIODO Imp.]],CM$9)</f>
        <v>0</v>
      </c>
      <c r="CN1070" s="693">
        <f>SUMIFS(Imput[[Importe Neto]:[Importe Neto]],Imput[[C. Imp.]:[C. Imp.]],$D1070,Imput[[PERIODO Imp.]:[PERIODO Imp.]],CN$9)</f>
        <v>0</v>
      </c>
      <c r="CO1070" s="693">
        <f>SUMIFS(Imput[[Importe Neto]:[Importe Neto]],Imput[[C. Imp.]:[C. Imp.]],$D1070,Imput[[PERIODO Imp.]:[PERIODO Imp.]],CO$9)</f>
        <v>0</v>
      </c>
      <c r="CP1070" s="693">
        <f>SUMIFS(Imput[[Importe Neto]:[Importe Neto]],Imput[[C. Imp.]:[C. Imp.]],$D1070,Imput[[PERIODO Imp.]:[PERIODO Imp.]],CP$9)</f>
        <v>0</v>
      </c>
      <c r="CQ1070" s="693">
        <f>SUMIFS(Imput[[Importe Neto]:[Importe Neto]],Imput[[C. Imp.]:[C. Imp.]],$D1070,Imput[[PERIODO Imp.]:[PERIODO Imp.]],CQ$9)</f>
        <v>0</v>
      </c>
      <c r="CR1070" s="693">
        <f>SUMIFS(Imput[[Importe Neto]:[Importe Neto]],Imput[[C. Imp.]:[C. Imp.]],$D1070,Imput[[PERIODO Imp.]:[PERIODO Imp.]],CR$9)</f>
        <v>0</v>
      </c>
      <c r="CS1070" s="693">
        <f>SUMIFS(Imput[[Importe Neto]:[Importe Neto]],Imput[[C. Imp.]:[C. Imp.]],$D1070,Imput[[PERIODO Imp.]:[PERIODO Imp.]],CS$9)</f>
        <v>0</v>
      </c>
      <c r="CT1070" s="693">
        <f>SUMIFS(Imput[[Importe Neto]:[Importe Neto]],Imput[[C. Imp.]:[C. Imp.]],$D1070,Imput[[PERIODO Imp.]:[PERIODO Imp.]],CT$9)</f>
        <v>0</v>
      </c>
      <c r="CU1070" s="693">
        <f>SUMIFS(Imput[[Importe Neto]:[Importe Neto]],Imput[[C. Imp.]:[C. Imp.]],$D1070,Imput[[PERIODO Imp.]:[PERIODO Imp.]],CU$9)</f>
        <v>0</v>
      </c>
      <c r="CV1070" s="693">
        <f>SUMIFS(Imput[[Importe Neto]:[Importe Neto]],Imput[[C. Imp.]:[C. Imp.]],$D1070,Imput[[PERIODO Imp.]:[PERIODO Imp.]],CV$9)</f>
        <v>0</v>
      </c>
      <c r="CW1070" s="693">
        <f>SUMIFS(Imput[[Importe Neto]:[Importe Neto]],Imput[[C. Imp.]:[C. Imp.]],$D1070,Imput[[PERIODO Imp.]:[PERIODO Imp.]],CW$9)</f>
        <v>0</v>
      </c>
      <c r="CX1070" s="693">
        <f>SUMIFS(Imput[[Importe Neto]:[Importe Neto]],Imput[[C. Imp.]:[C. Imp.]],$D1070,Imput[[PERIODO Imp.]:[PERIODO Imp.]],CX$9)</f>
        <v>0</v>
      </c>
      <c r="CY1070" s="693">
        <f>SUMIFS(Imput[[Importe Neto]:[Importe Neto]],Imput[[C. Imp.]:[C. Imp.]],$D1070,Imput[[PERIODO Imp.]:[PERIODO Imp.]],CY$9)</f>
        <v>0</v>
      </c>
      <c r="CZ1070" s="693">
        <f>SUMIFS(Imput[[Importe Neto]:[Importe Neto]],Imput[[C. Imp.]:[C. Imp.]],$D1070,Imput[[PERIODO Imp.]:[PERIODO Imp.]],CZ$9)</f>
        <v>0</v>
      </c>
      <c r="DA1070" s="693">
        <f>SUMIFS(Imput[[Importe Neto]:[Importe Neto]],Imput[[C. Imp.]:[C. Imp.]],$D1070,Imput[[PERIODO Imp.]:[PERIODO Imp.]],DA$9)</f>
        <v>0</v>
      </c>
      <c r="DB1070" s="693">
        <f>SUMIFS(Imput[[Importe Neto]:[Importe Neto]],Imput[[C. Imp.]:[C. Imp.]],$D1070,Imput[[PERIODO Imp.]:[PERIODO Imp.]],DB$9)</f>
        <v>0</v>
      </c>
      <c r="DC1070" s="693">
        <f>SUMIFS(Imput[[Importe Neto]:[Importe Neto]],Imput[[C. Imp.]:[C. Imp.]],$D1070,Imput[[PERIODO Imp.]:[PERIODO Imp.]],DC$9)</f>
        <v>0</v>
      </c>
      <c r="DD1070" s="693">
        <f>SUMIFS(Imput[[Importe Neto]:[Importe Neto]],Imput[[C. Imp.]:[C. Imp.]],$D1070,Imput[[PERIODO Imp.]:[PERIODO Imp.]],DD$9)</f>
        <v>0</v>
      </c>
      <c r="DE1070" s="693">
        <f>SUMIFS(Imput[[Importe Neto]:[Importe Neto]],Imput[[C. Imp.]:[C. Imp.]],$D1070,Imput[[PERIODO Imp.]:[PERIODO Imp.]],DE$9)</f>
        <v>0</v>
      </c>
      <c r="DF1070" s="693">
        <f>SUMIFS(Imput[[Importe Neto]:[Importe Neto]],Imput[[C. Imp.]:[C. Imp.]],$D1070,Imput[[PERIODO Imp.]:[PERIODO Imp.]],DF$9)</f>
        <v>0</v>
      </c>
      <c r="DG1070" s="693">
        <f>SUMIFS(Imput[[Importe Neto]:[Importe Neto]],Imput[[C. Imp.]:[C. Imp.]],$D1070,Imput[[PERIODO Imp.]:[PERIODO Imp.]],DG$9)</f>
        <v>0</v>
      </c>
      <c r="DH1070" s="694">
        <f>SUMIFS(Imput[[Importe Neto]:[Importe Neto]],Imput[[C. Imp.]:[C. Imp.]],$D1070,Imput[[PERIODO Imp.]:[PERIODO Imp.]],DH$9)</f>
        <v>0</v>
      </c>
    </row>
    <row r="1071" spans="1:112" s="649" customFormat="1" hidden="1" outlineLevel="1" x14ac:dyDescent="0.3">
      <c r="A1071" s="652" t="str">
        <f t="shared" si="361"/>
        <v/>
      </c>
      <c r="B1071" s="652"/>
      <c r="C1071" s="685"/>
      <c r="D1071" s="686"/>
      <c r="E1071" s="686"/>
      <c r="F1071" s="720"/>
      <c r="G1071" s="688"/>
      <c r="H1071" s="531"/>
      <c r="I1071" s="851" t="str">
        <f t="shared" si="362"/>
        <v/>
      </c>
      <c r="J1071" s="850" t="str">
        <f t="shared" si="363"/>
        <v/>
      </c>
      <c r="K1071" s="667"/>
      <c r="L1071" s="858">
        <v>1</v>
      </c>
      <c r="M1071" s="859"/>
      <c r="N1071" s="859"/>
      <c r="O1071" s="859"/>
      <c r="P1071" s="859"/>
      <c r="Q1071" s="859"/>
      <c r="R1071" s="859"/>
      <c r="S1071" s="859"/>
      <c r="T1071" s="859"/>
      <c r="U1071" s="859"/>
      <c r="V1071" s="859"/>
      <c r="W1071" s="859"/>
      <c r="X1071" s="859"/>
      <c r="Y1071" s="859"/>
      <c r="Z1071" s="860"/>
      <c r="AA1071" s="860"/>
      <c r="AB1071" s="860"/>
      <c r="AC1071" s="860"/>
      <c r="AD1071" s="860"/>
      <c r="AE1071" s="860"/>
      <c r="AF1071" s="860"/>
      <c r="AG1071" s="860"/>
      <c r="AH1071" s="860"/>
      <c r="AI1071" s="860"/>
      <c r="AJ1071" s="860"/>
      <c r="AK1071" s="860"/>
      <c r="AL1071" s="860"/>
      <c r="AM1071" s="860"/>
      <c r="AN1071" s="860"/>
      <c r="AO1071" s="860"/>
      <c r="AP1071" s="860"/>
      <c r="AQ1071" s="860"/>
      <c r="AR1071" s="860"/>
      <c r="AS1071" s="860"/>
      <c r="AT1071" s="860"/>
      <c r="AU1071" s="860"/>
      <c r="AV1071" s="860"/>
      <c r="AW1071" s="860"/>
      <c r="AX1071" s="860"/>
      <c r="AY1071" s="860"/>
      <c r="AZ1071" s="860"/>
      <c r="BA1071" s="860"/>
      <c r="BB1071" s="860"/>
      <c r="BC1071" s="860"/>
      <c r="BD1071" s="860"/>
      <c r="BE1071" s="860"/>
      <c r="BF1071" s="860"/>
      <c r="BG1071" s="860"/>
      <c r="BH1071" s="668"/>
      <c r="BI1071" s="667"/>
      <c r="BJ1071" s="690">
        <f t="shared" si="364"/>
        <v>0</v>
      </c>
      <c r="BK1071" s="691">
        <f t="shared" si="365"/>
        <v>0</v>
      </c>
      <c r="BL1071" s="654"/>
      <c r="BM1071" s="692">
        <f>SUMIFS(Imput[[Importe Neto]:[Importe Neto]],Imput[[C. Imp.]:[C. Imp.]],$D1071,Imput[[PERIODO Imp.]:[PERIODO Imp.]],BM$9)</f>
        <v>0</v>
      </c>
      <c r="BN1071" s="693">
        <f>SUMIFS(Imput[[Importe Neto]:[Importe Neto]],Imput[[C. Imp.]:[C. Imp.]],$D1071,Imput[[PERIODO Imp.]:[PERIODO Imp.]],BN$9)</f>
        <v>0</v>
      </c>
      <c r="BO1071" s="693">
        <f>SUMIFS(Imput[[Importe Neto]:[Importe Neto]],Imput[[C. Imp.]:[C. Imp.]],$D1071,Imput[[PERIODO Imp.]:[PERIODO Imp.]],BO$9)</f>
        <v>0</v>
      </c>
      <c r="BP1071" s="693">
        <f>SUMIFS(Imput[[Importe Neto]:[Importe Neto]],Imput[[C. Imp.]:[C. Imp.]],$D1071,Imput[[PERIODO Imp.]:[PERIODO Imp.]],BP$9)</f>
        <v>0</v>
      </c>
      <c r="BQ1071" s="693">
        <f>SUMIFS(Imput[[Importe Neto]:[Importe Neto]],Imput[[C. Imp.]:[C. Imp.]],$D1071,Imput[[PERIODO Imp.]:[PERIODO Imp.]],BQ$9)</f>
        <v>0</v>
      </c>
      <c r="BR1071" s="693">
        <f>SUMIFS(Imput[[Importe Neto]:[Importe Neto]],Imput[[C. Imp.]:[C. Imp.]],$D1071,Imput[[PERIODO Imp.]:[PERIODO Imp.]],BR$9)</f>
        <v>0</v>
      </c>
      <c r="BS1071" s="693">
        <f>SUMIFS(Imput[[Importe Neto]:[Importe Neto]],Imput[[C. Imp.]:[C. Imp.]],$D1071,Imput[[PERIODO Imp.]:[PERIODO Imp.]],BS$9)</f>
        <v>0</v>
      </c>
      <c r="BT1071" s="693">
        <f>SUMIFS(Imput[[Importe Neto]:[Importe Neto]],Imput[[C. Imp.]:[C. Imp.]],$D1071,Imput[[PERIODO Imp.]:[PERIODO Imp.]],BT$9)</f>
        <v>0</v>
      </c>
      <c r="BU1071" s="693">
        <f>SUMIFS(Imput[[Importe Neto]:[Importe Neto]],Imput[[C. Imp.]:[C. Imp.]],$D1071,Imput[[PERIODO Imp.]:[PERIODO Imp.]],BU$9)</f>
        <v>0</v>
      </c>
      <c r="BV1071" s="693">
        <f>SUMIFS(Imput[[Importe Neto]:[Importe Neto]],Imput[[C. Imp.]:[C. Imp.]],$D1071,Imput[[PERIODO Imp.]:[PERIODO Imp.]],BV$9)</f>
        <v>0</v>
      </c>
      <c r="BW1071" s="693">
        <f>SUMIFS(Imput[[Importe Neto]:[Importe Neto]],Imput[[C. Imp.]:[C. Imp.]],$D1071,Imput[[PERIODO Imp.]:[PERIODO Imp.]],BW$9)</f>
        <v>0</v>
      </c>
      <c r="BX1071" s="693">
        <f>SUMIFS(Imput[[Importe Neto]:[Importe Neto]],Imput[[C. Imp.]:[C. Imp.]],$D1071,Imput[[PERIODO Imp.]:[PERIODO Imp.]],BX$9)</f>
        <v>0</v>
      </c>
      <c r="BY1071" s="693">
        <f>SUMIFS(Imput[[Importe Neto]:[Importe Neto]],Imput[[C. Imp.]:[C. Imp.]],$D1071,Imput[[PERIODO Imp.]:[PERIODO Imp.]],BY$9)</f>
        <v>0</v>
      </c>
      <c r="BZ1071" s="693">
        <f>SUMIFS(Imput[[Importe Neto]:[Importe Neto]],Imput[[C. Imp.]:[C. Imp.]],$D1071,Imput[[PERIODO Imp.]:[PERIODO Imp.]],BZ$9)</f>
        <v>0</v>
      </c>
      <c r="CA1071" s="693">
        <f>SUMIFS(Imput[[Importe Neto]:[Importe Neto]],Imput[[C. Imp.]:[C. Imp.]],$D1071,Imput[[PERIODO Imp.]:[PERIODO Imp.]],CA$9)</f>
        <v>0</v>
      </c>
      <c r="CB1071" s="693">
        <f>SUMIFS(Imput[[Importe Neto]:[Importe Neto]],Imput[[C. Imp.]:[C. Imp.]],$D1071,Imput[[PERIODO Imp.]:[PERIODO Imp.]],CB$9)</f>
        <v>0</v>
      </c>
      <c r="CC1071" s="693">
        <f>SUMIFS(Imput[[Importe Neto]:[Importe Neto]],Imput[[C. Imp.]:[C. Imp.]],$D1071,Imput[[PERIODO Imp.]:[PERIODO Imp.]],CC$9)</f>
        <v>0</v>
      </c>
      <c r="CD1071" s="693">
        <f>SUMIFS(Imput[[Importe Neto]:[Importe Neto]],Imput[[C. Imp.]:[C. Imp.]],$D1071,Imput[[PERIODO Imp.]:[PERIODO Imp.]],CD$9)</f>
        <v>0</v>
      </c>
      <c r="CE1071" s="693">
        <f>SUMIFS(Imput[[Importe Neto]:[Importe Neto]],Imput[[C. Imp.]:[C. Imp.]],$D1071,Imput[[PERIODO Imp.]:[PERIODO Imp.]],CE$9)</f>
        <v>0</v>
      </c>
      <c r="CF1071" s="693">
        <f>SUMIFS(Imput[[Importe Neto]:[Importe Neto]],Imput[[C. Imp.]:[C. Imp.]],$D1071,Imput[[PERIODO Imp.]:[PERIODO Imp.]],CF$9)</f>
        <v>0</v>
      </c>
      <c r="CG1071" s="693">
        <f>SUMIFS(Imput[[Importe Neto]:[Importe Neto]],Imput[[C. Imp.]:[C. Imp.]],$D1071,Imput[[PERIODO Imp.]:[PERIODO Imp.]],CG$9)</f>
        <v>0</v>
      </c>
      <c r="CH1071" s="693">
        <f>SUMIFS(Imput[[Importe Neto]:[Importe Neto]],Imput[[C. Imp.]:[C. Imp.]],$D1071,Imput[[PERIODO Imp.]:[PERIODO Imp.]],CH$9)</f>
        <v>0</v>
      </c>
      <c r="CI1071" s="693">
        <f>SUMIFS(Imput[[Importe Neto]:[Importe Neto]],Imput[[C. Imp.]:[C. Imp.]],$D1071,Imput[[PERIODO Imp.]:[PERIODO Imp.]],CI$9)</f>
        <v>0</v>
      </c>
      <c r="CJ1071" s="693">
        <f>SUMIFS(Imput[[Importe Neto]:[Importe Neto]],Imput[[C. Imp.]:[C. Imp.]],$D1071,Imput[[PERIODO Imp.]:[PERIODO Imp.]],CJ$9)</f>
        <v>0</v>
      </c>
      <c r="CK1071" s="693">
        <f>SUMIFS(Imput[[Importe Neto]:[Importe Neto]],Imput[[C. Imp.]:[C. Imp.]],$D1071,Imput[[PERIODO Imp.]:[PERIODO Imp.]],CK$9)</f>
        <v>0</v>
      </c>
      <c r="CL1071" s="693">
        <f>SUMIFS(Imput[[Importe Neto]:[Importe Neto]],Imput[[C. Imp.]:[C. Imp.]],$D1071,Imput[[PERIODO Imp.]:[PERIODO Imp.]],CL$9)</f>
        <v>0</v>
      </c>
      <c r="CM1071" s="693">
        <f>SUMIFS(Imput[[Importe Neto]:[Importe Neto]],Imput[[C. Imp.]:[C. Imp.]],$D1071,Imput[[PERIODO Imp.]:[PERIODO Imp.]],CM$9)</f>
        <v>0</v>
      </c>
      <c r="CN1071" s="693">
        <f>SUMIFS(Imput[[Importe Neto]:[Importe Neto]],Imput[[C. Imp.]:[C. Imp.]],$D1071,Imput[[PERIODO Imp.]:[PERIODO Imp.]],CN$9)</f>
        <v>0</v>
      </c>
      <c r="CO1071" s="693">
        <f>SUMIFS(Imput[[Importe Neto]:[Importe Neto]],Imput[[C. Imp.]:[C. Imp.]],$D1071,Imput[[PERIODO Imp.]:[PERIODO Imp.]],CO$9)</f>
        <v>0</v>
      </c>
      <c r="CP1071" s="693">
        <f>SUMIFS(Imput[[Importe Neto]:[Importe Neto]],Imput[[C. Imp.]:[C. Imp.]],$D1071,Imput[[PERIODO Imp.]:[PERIODO Imp.]],CP$9)</f>
        <v>0</v>
      </c>
      <c r="CQ1071" s="693">
        <f>SUMIFS(Imput[[Importe Neto]:[Importe Neto]],Imput[[C. Imp.]:[C. Imp.]],$D1071,Imput[[PERIODO Imp.]:[PERIODO Imp.]],CQ$9)</f>
        <v>0</v>
      </c>
      <c r="CR1071" s="693">
        <f>SUMIFS(Imput[[Importe Neto]:[Importe Neto]],Imput[[C. Imp.]:[C. Imp.]],$D1071,Imput[[PERIODO Imp.]:[PERIODO Imp.]],CR$9)</f>
        <v>0</v>
      </c>
      <c r="CS1071" s="693">
        <f>SUMIFS(Imput[[Importe Neto]:[Importe Neto]],Imput[[C. Imp.]:[C. Imp.]],$D1071,Imput[[PERIODO Imp.]:[PERIODO Imp.]],CS$9)</f>
        <v>0</v>
      </c>
      <c r="CT1071" s="693">
        <f>SUMIFS(Imput[[Importe Neto]:[Importe Neto]],Imput[[C. Imp.]:[C. Imp.]],$D1071,Imput[[PERIODO Imp.]:[PERIODO Imp.]],CT$9)</f>
        <v>0</v>
      </c>
      <c r="CU1071" s="693">
        <f>SUMIFS(Imput[[Importe Neto]:[Importe Neto]],Imput[[C. Imp.]:[C. Imp.]],$D1071,Imput[[PERIODO Imp.]:[PERIODO Imp.]],CU$9)</f>
        <v>0</v>
      </c>
      <c r="CV1071" s="693">
        <f>SUMIFS(Imput[[Importe Neto]:[Importe Neto]],Imput[[C. Imp.]:[C. Imp.]],$D1071,Imput[[PERIODO Imp.]:[PERIODO Imp.]],CV$9)</f>
        <v>0</v>
      </c>
      <c r="CW1071" s="693">
        <f>SUMIFS(Imput[[Importe Neto]:[Importe Neto]],Imput[[C. Imp.]:[C. Imp.]],$D1071,Imput[[PERIODO Imp.]:[PERIODO Imp.]],CW$9)</f>
        <v>0</v>
      </c>
      <c r="CX1071" s="693">
        <f>SUMIFS(Imput[[Importe Neto]:[Importe Neto]],Imput[[C. Imp.]:[C. Imp.]],$D1071,Imput[[PERIODO Imp.]:[PERIODO Imp.]],CX$9)</f>
        <v>0</v>
      </c>
      <c r="CY1071" s="693">
        <f>SUMIFS(Imput[[Importe Neto]:[Importe Neto]],Imput[[C. Imp.]:[C. Imp.]],$D1071,Imput[[PERIODO Imp.]:[PERIODO Imp.]],CY$9)</f>
        <v>0</v>
      </c>
      <c r="CZ1071" s="693">
        <f>SUMIFS(Imput[[Importe Neto]:[Importe Neto]],Imput[[C. Imp.]:[C. Imp.]],$D1071,Imput[[PERIODO Imp.]:[PERIODO Imp.]],CZ$9)</f>
        <v>0</v>
      </c>
      <c r="DA1071" s="693">
        <f>SUMIFS(Imput[[Importe Neto]:[Importe Neto]],Imput[[C. Imp.]:[C. Imp.]],$D1071,Imput[[PERIODO Imp.]:[PERIODO Imp.]],DA$9)</f>
        <v>0</v>
      </c>
      <c r="DB1071" s="693">
        <f>SUMIFS(Imput[[Importe Neto]:[Importe Neto]],Imput[[C. Imp.]:[C. Imp.]],$D1071,Imput[[PERIODO Imp.]:[PERIODO Imp.]],DB$9)</f>
        <v>0</v>
      </c>
      <c r="DC1071" s="693">
        <f>SUMIFS(Imput[[Importe Neto]:[Importe Neto]],Imput[[C. Imp.]:[C. Imp.]],$D1071,Imput[[PERIODO Imp.]:[PERIODO Imp.]],DC$9)</f>
        <v>0</v>
      </c>
      <c r="DD1071" s="693">
        <f>SUMIFS(Imput[[Importe Neto]:[Importe Neto]],Imput[[C. Imp.]:[C. Imp.]],$D1071,Imput[[PERIODO Imp.]:[PERIODO Imp.]],DD$9)</f>
        <v>0</v>
      </c>
      <c r="DE1071" s="693">
        <f>SUMIFS(Imput[[Importe Neto]:[Importe Neto]],Imput[[C. Imp.]:[C. Imp.]],$D1071,Imput[[PERIODO Imp.]:[PERIODO Imp.]],DE$9)</f>
        <v>0</v>
      </c>
      <c r="DF1071" s="693">
        <f>SUMIFS(Imput[[Importe Neto]:[Importe Neto]],Imput[[C. Imp.]:[C. Imp.]],$D1071,Imput[[PERIODO Imp.]:[PERIODO Imp.]],DF$9)</f>
        <v>0</v>
      </c>
      <c r="DG1071" s="693">
        <f>SUMIFS(Imput[[Importe Neto]:[Importe Neto]],Imput[[C. Imp.]:[C. Imp.]],$D1071,Imput[[PERIODO Imp.]:[PERIODO Imp.]],DG$9)</f>
        <v>0</v>
      </c>
      <c r="DH1071" s="694">
        <f>SUMIFS(Imput[[Importe Neto]:[Importe Neto]],Imput[[C. Imp.]:[C. Imp.]],$D1071,Imput[[PERIODO Imp.]:[PERIODO Imp.]],DH$9)</f>
        <v>0</v>
      </c>
    </row>
    <row r="1072" spans="1:112" s="649" customFormat="1" hidden="1" outlineLevel="1" x14ac:dyDescent="0.3">
      <c r="A1072" s="652" t="str">
        <f t="shared" si="361"/>
        <v/>
      </c>
      <c r="B1072" s="652"/>
      <c r="C1072" s="685"/>
      <c r="D1072" s="686"/>
      <c r="E1072" s="686"/>
      <c r="F1072" s="720"/>
      <c r="G1072" s="688"/>
      <c r="H1072" s="531"/>
      <c r="I1072" s="851" t="str">
        <f t="shared" si="362"/>
        <v/>
      </c>
      <c r="J1072" s="850" t="str">
        <f t="shared" si="363"/>
        <v/>
      </c>
      <c r="K1072" s="667"/>
      <c r="L1072" s="858">
        <v>0.1</v>
      </c>
      <c r="M1072" s="859"/>
      <c r="N1072" s="859"/>
      <c r="O1072" s="859">
        <v>0.1</v>
      </c>
      <c r="P1072" s="859"/>
      <c r="Q1072" s="859"/>
      <c r="R1072" s="859"/>
      <c r="S1072" s="859">
        <v>0.1</v>
      </c>
      <c r="T1072" s="859"/>
      <c r="U1072" s="859"/>
      <c r="V1072" s="859"/>
      <c r="W1072" s="859">
        <v>0.1</v>
      </c>
      <c r="X1072" s="859"/>
      <c r="Y1072" s="859">
        <v>0.1</v>
      </c>
      <c r="Z1072" s="860"/>
      <c r="AA1072" s="860">
        <v>0.1</v>
      </c>
      <c r="AB1072" s="860"/>
      <c r="AC1072" s="860">
        <v>0.1</v>
      </c>
      <c r="AD1072" s="860"/>
      <c r="AE1072" s="860">
        <v>0.1</v>
      </c>
      <c r="AF1072" s="860"/>
      <c r="AG1072" s="860">
        <v>0.1</v>
      </c>
      <c r="AH1072" s="860"/>
      <c r="AI1072" s="860">
        <v>0.1</v>
      </c>
      <c r="AJ1072" s="860"/>
      <c r="AK1072" s="860"/>
      <c r="AL1072" s="860"/>
      <c r="AM1072" s="860"/>
      <c r="AN1072" s="860"/>
      <c r="AO1072" s="860"/>
      <c r="AP1072" s="860"/>
      <c r="AQ1072" s="860"/>
      <c r="AR1072" s="860"/>
      <c r="AS1072" s="860"/>
      <c r="AT1072" s="860"/>
      <c r="AU1072" s="860"/>
      <c r="AV1072" s="860"/>
      <c r="AW1072" s="860"/>
      <c r="AX1072" s="860"/>
      <c r="AY1072" s="860"/>
      <c r="AZ1072" s="860"/>
      <c r="BA1072" s="860"/>
      <c r="BB1072" s="860"/>
      <c r="BC1072" s="860"/>
      <c r="BD1072" s="860"/>
      <c r="BE1072" s="860"/>
      <c r="BF1072" s="860"/>
      <c r="BG1072" s="860"/>
      <c r="BH1072" s="668"/>
      <c r="BI1072" s="667"/>
      <c r="BJ1072" s="690">
        <f t="shared" si="364"/>
        <v>0</v>
      </c>
      <c r="BK1072" s="691">
        <f t="shared" si="365"/>
        <v>0</v>
      </c>
      <c r="BL1072" s="654"/>
      <c r="BM1072" s="692">
        <f>SUMIFS(Imput[[Importe Neto]:[Importe Neto]],Imput[[C. Imp.]:[C. Imp.]],$D1072,Imput[[PERIODO Imp.]:[PERIODO Imp.]],BM$9)</f>
        <v>0</v>
      </c>
      <c r="BN1072" s="693">
        <f>SUMIFS(Imput[[Importe Neto]:[Importe Neto]],Imput[[C. Imp.]:[C. Imp.]],$D1072,Imput[[PERIODO Imp.]:[PERIODO Imp.]],BN$9)</f>
        <v>0</v>
      </c>
      <c r="BO1072" s="693">
        <f>SUMIFS(Imput[[Importe Neto]:[Importe Neto]],Imput[[C. Imp.]:[C. Imp.]],$D1072,Imput[[PERIODO Imp.]:[PERIODO Imp.]],BO$9)</f>
        <v>0</v>
      </c>
      <c r="BP1072" s="693">
        <f>SUMIFS(Imput[[Importe Neto]:[Importe Neto]],Imput[[C. Imp.]:[C. Imp.]],$D1072,Imput[[PERIODO Imp.]:[PERIODO Imp.]],BP$9)</f>
        <v>0</v>
      </c>
      <c r="BQ1072" s="693">
        <f>SUMIFS(Imput[[Importe Neto]:[Importe Neto]],Imput[[C. Imp.]:[C. Imp.]],$D1072,Imput[[PERIODO Imp.]:[PERIODO Imp.]],BQ$9)</f>
        <v>0</v>
      </c>
      <c r="BR1072" s="693">
        <f>SUMIFS(Imput[[Importe Neto]:[Importe Neto]],Imput[[C. Imp.]:[C. Imp.]],$D1072,Imput[[PERIODO Imp.]:[PERIODO Imp.]],BR$9)</f>
        <v>0</v>
      </c>
      <c r="BS1072" s="693">
        <f>SUMIFS(Imput[[Importe Neto]:[Importe Neto]],Imput[[C. Imp.]:[C. Imp.]],$D1072,Imput[[PERIODO Imp.]:[PERIODO Imp.]],BS$9)</f>
        <v>0</v>
      </c>
      <c r="BT1072" s="693">
        <f>SUMIFS(Imput[[Importe Neto]:[Importe Neto]],Imput[[C. Imp.]:[C. Imp.]],$D1072,Imput[[PERIODO Imp.]:[PERIODO Imp.]],BT$9)</f>
        <v>0</v>
      </c>
      <c r="BU1072" s="693">
        <f>SUMIFS(Imput[[Importe Neto]:[Importe Neto]],Imput[[C. Imp.]:[C. Imp.]],$D1072,Imput[[PERIODO Imp.]:[PERIODO Imp.]],BU$9)</f>
        <v>0</v>
      </c>
      <c r="BV1072" s="693">
        <f>SUMIFS(Imput[[Importe Neto]:[Importe Neto]],Imput[[C. Imp.]:[C. Imp.]],$D1072,Imput[[PERIODO Imp.]:[PERIODO Imp.]],BV$9)</f>
        <v>0</v>
      </c>
      <c r="BW1072" s="693">
        <f>SUMIFS(Imput[[Importe Neto]:[Importe Neto]],Imput[[C. Imp.]:[C. Imp.]],$D1072,Imput[[PERIODO Imp.]:[PERIODO Imp.]],BW$9)</f>
        <v>0</v>
      </c>
      <c r="BX1072" s="693">
        <f>SUMIFS(Imput[[Importe Neto]:[Importe Neto]],Imput[[C. Imp.]:[C. Imp.]],$D1072,Imput[[PERIODO Imp.]:[PERIODO Imp.]],BX$9)</f>
        <v>0</v>
      </c>
      <c r="BY1072" s="693">
        <f>SUMIFS(Imput[[Importe Neto]:[Importe Neto]],Imput[[C. Imp.]:[C. Imp.]],$D1072,Imput[[PERIODO Imp.]:[PERIODO Imp.]],BY$9)</f>
        <v>0</v>
      </c>
      <c r="BZ1072" s="693">
        <f>SUMIFS(Imput[[Importe Neto]:[Importe Neto]],Imput[[C. Imp.]:[C. Imp.]],$D1072,Imput[[PERIODO Imp.]:[PERIODO Imp.]],BZ$9)</f>
        <v>0</v>
      </c>
      <c r="CA1072" s="693">
        <f>SUMIFS(Imput[[Importe Neto]:[Importe Neto]],Imput[[C. Imp.]:[C. Imp.]],$D1072,Imput[[PERIODO Imp.]:[PERIODO Imp.]],CA$9)</f>
        <v>0</v>
      </c>
      <c r="CB1072" s="693">
        <f>SUMIFS(Imput[[Importe Neto]:[Importe Neto]],Imput[[C. Imp.]:[C. Imp.]],$D1072,Imput[[PERIODO Imp.]:[PERIODO Imp.]],CB$9)</f>
        <v>0</v>
      </c>
      <c r="CC1072" s="693">
        <f>SUMIFS(Imput[[Importe Neto]:[Importe Neto]],Imput[[C. Imp.]:[C. Imp.]],$D1072,Imput[[PERIODO Imp.]:[PERIODO Imp.]],CC$9)</f>
        <v>0</v>
      </c>
      <c r="CD1072" s="693">
        <f>SUMIFS(Imput[[Importe Neto]:[Importe Neto]],Imput[[C. Imp.]:[C. Imp.]],$D1072,Imput[[PERIODO Imp.]:[PERIODO Imp.]],CD$9)</f>
        <v>0</v>
      </c>
      <c r="CE1072" s="693">
        <f>SUMIFS(Imput[[Importe Neto]:[Importe Neto]],Imput[[C. Imp.]:[C. Imp.]],$D1072,Imput[[PERIODO Imp.]:[PERIODO Imp.]],CE$9)</f>
        <v>0</v>
      </c>
      <c r="CF1072" s="693">
        <f>SUMIFS(Imput[[Importe Neto]:[Importe Neto]],Imput[[C. Imp.]:[C. Imp.]],$D1072,Imput[[PERIODO Imp.]:[PERIODO Imp.]],CF$9)</f>
        <v>0</v>
      </c>
      <c r="CG1072" s="693">
        <f>SUMIFS(Imput[[Importe Neto]:[Importe Neto]],Imput[[C. Imp.]:[C. Imp.]],$D1072,Imput[[PERIODO Imp.]:[PERIODO Imp.]],CG$9)</f>
        <v>0</v>
      </c>
      <c r="CH1072" s="693">
        <f>SUMIFS(Imput[[Importe Neto]:[Importe Neto]],Imput[[C. Imp.]:[C. Imp.]],$D1072,Imput[[PERIODO Imp.]:[PERIODO Imp.]],CH$9)</f>
        <v>0</v>
      </c>
      <c r="CI1072" s="693">
        <f>SUMIFS(Imput[[Importe Neto]:[Importe Neto]],Imput[[C. Imp.]:[C. Imp.]],$D1072,Imput[[PERIODO Imp.]:[PERIODO Imp.]],CI$9)</f>
        <v>0</v>
      </c>
      <c r="CJ1072" s="693">
        <f>SUMIFS(Imput[[Importe Neto]:[Importe Neto]],Imput[[C. Imp.]:[C. Imp.]],$D1072,Imput[[PERIODO Imp.]:[PERIODO Imp.]],CJ$9)</f>
        <v>0</v>
      </c>
      <c r="CK1072" s="693">
        <f>SUMIFS(Imput[[Importe Neto]:[Importe Neto]],Imput[[C. Imp.]:[C. Imp.]],$D1072,Imput[[PERIODO Imp.]:[PERIODO Imp.]],CK$9)</f>
        <v>0</v>
      </c>
      <c r="CL1072" s="693">
        <f>SUMIFS(Imput[[Importe Neto]:[Importe Neto]],Imput[[C. Imp.]:[C. Imp.]],$D1072,Imput[[PERIODO Imp.]:[PERIODO Imp.]],CL$9)</f>
        <v>0</v>
      </c>
      <c r="CM1072" s="693">
        <f>SUMIFS(Imput[[Importe Neto]:[Importe Neto]],Imput[[C. Imp.]:[C. Imp.]],$D1072,Imput[[PERIODO Imp.]:[PERIODO Imp.]],CM$9)</f>
        <v>0</v>
      </c>
      <c r="CN1072" s="693">
        <f>SUMIFS(Imput[[Importe Neto]:[Importe Neto]],Imput[[C. Imp.]:[C. Imp.]],$D1072,Imput[[PERIODO Imp.]:[PERIODO Imp.]],CN$9)</f>
        <v>0</v>
      </c>
      <c r="CO1072" s="693">
        <f>SUMIFS(Imput[[Importe Neto]:[Importe Neto]],Imput[[C. Imp.]:[C. Imp.]],$D1072,Imput[[PERIODO Imp.]:[PERIODO Imp.]],CO$9)</f>
        <v>0</v>
      </c>
      <c r="CP1072" s="693">
        <f>SUMIFS(Imput[[Importe Neto]:[Importe Neto]],Imput[[C. Imp.]:[C. Imp.]],$D1072,Imput[[PERIODO Imp.]:[PERIODO Imp.]],CP$9)</f>
        <v>0</v>
      </c>
      <c r="CQ1072" s="693">
        <f>SUMIFS(Imput[[Importe Neto]:[Importe Neto]],Imput[[C. Imp.]:[C. Imp.]],$D1072,Imput[[PERIODO Imp.]:[PERIODO Imp.]],CQ$9)</f>
        <v>0</v>
      </c>
      <c r="CR1072" s="693">
        <f>SUMIFS(Imput[[Importe Neto]:[Importe Neto]],Imput[[C. Imp.]:[C. Imp.]],$D1072,Imput[[PERIODO Imp.]:[PERIODO Imp.]],CR$9)</f>
        <v>0</v>
      </c>
      <c r="CS1072" s="693">
        <f>SUMIFS(Imput[[Importe Neto]:[Importe Neto]],Imput[[C. Imp.]:[C. Imp.]],$D1072,Imput[[PERIODO Imp.]:[PERIODO Imp.]],CS$9)</f>
        <v>0</v>
      </c>
      <c r="CT1072" s="693">
        <f>SUMIFS(Imput[[Importe Neto]:[Importe Neto]],Imput[[C. Imp.]:[C. Imp.]],$D1072,Imput[[PERIODO Imp.]:[PERIODO Imp.]],CT$9)</f>
        <v>0</v>
      </c>
      <c r="CU1072" s="693">
        <f>SUMIFS(Imput[[Importe Neto]:[Importe Neto]],Imput[[C. Imp.]:[C. Imp.]],$D1072,Imput[[PERIODO Imp.]:[PERIODO Imp.]],CU$9)</f>
        <v>0</v>
      </c>
      <c r="CV1072" s="693">
        <f>SUMIFS(Imput[[Importe Neto]:[Importe Neto]],Imput[[C. Imp.]:[C. Imp.]],$D1072,Imput[[PERIODO Imp.]:[PERIODO Imp.]],CV$9)</f>
        <v>0</v>
      </c>
      <c r="CW1072" s="693">
        <f>SUMIFS(Imput[[Importe Neto]:[Importe Neto]],Imput[[C. Imp.]:[C. Imp.]],$D1072,Imput[[PERIODO Imp.]:[PERIODO Imp.]],CW$9)</f>
        <v>0</v>
      </c>
      <c r="CX1072" s="693">
        <f>SUMIFS(Imput[[Importe Neto]:[Importe Neto]],Imput[[C. Imp.]:[C. Imp.]],$D1072,Imput[[PERIODO Imp.]:[PERIODO Imp.]],CX$9)</f>
        <v>0</v>
      </c>
      <c r="CY1072" s="693">
        <f>SUMIFS(Imput[[Importe Neto]:[Importe Neto]],Imput[[C. Imp.]:[C. Imp.]],$D1072,Imput[[PERIODO Imp.]:[PERIODO Imp.]],CY$9)</f>
        <v>0</v>
      </c>
      <c r="CZ1072" s="693">
        <f>SUMIFS(Imput[[Importe Neto]:[Importe Neto]],Imput[[C. Imp.]:[C. Imp.]],$D1072,Imput[[PERIODO Imp.]:[PERIODO Imp.]],CZ$9)</f>
        <v>0</v>
      </c>
      <c r="DA1072" s="693">
        <f>SUMIFS(Imput[[Importe Neto]:[Importe Neto]],Imput[[C. Imp.]:[C. Imp.]],$D1072,Imput[[PERIODO Imp.]:[PERIODO Imp.]],DA$9)</f>
        <v>0</v>
      </c>
      <c r="DB1072" s="693">
        <f>SUMIFS(Imput[[Importe Neto]:[Importe Neto]],Imput[[C. Imp.]:[C. Imp.]],$D1072,Imput[[PERIODO Imp.]:[PERIODO Imp.]],DB$9)</f>
        <v>0</v>
      </c>
      <c r="DC1072" s="693">
        <f>SUMIFS(Imput[[Importe Neto]:[Importe Neto]],Imput[[C. Imp.]:[C. Imp.]],$D1072,Imput[[PERIODO Imp.]:[PERIODO Imp.]],DC$9)</f>
        <v>0</v>
      </c>
      <c r="DD1072" s="693">
        <f>SUMIFS(Imput[[Importe Neto]:[Importe Neto]],Imput[[C. Imp.]:[C. Imp.]],$D1072,Imput[[PERIODO Imp.]:[PERIODO Imp.]],DD$9)</f>
        <v>0</v>
      </c>
      <c r="DE1072" s="693">
        <f>SUMIFS(Imput[[Importe Neto]:[Importe Neto]],Imput[[C. Imp.]:[C. Imp.]],$D1072,Imput[[PERIODO Imp.]:[PERIODO Imp.]],DE$9)</f>
        <v>0</v>
      </c>
      <c r="DF1072" s="693">
        <f>SUMIFS(Imput[[Importe Neto]:[Importe Neto]],Imput[[C. Imp.]:[C. Imp.]],$D1072,Imput[[PERIODO Imp.]:[PERIODO Imp.]],DF$9)</f>
        <v>0</v>
      </c>
      <c r="DG1072" s="693">
        <f>SUMIFS(Imput[[Importe Neto]:[Importe Neto]],Imput[[C. Imp.]:[C. Imp.]],$D1072,Imput[[PERIODO Imp.]:[PERIODO Imp.]],DG$9)</f>
        <v>0</v>
      </c>
      <c r="DH1072" s="694">
        <f>SUMIFS(Imput[[Importe Neto]:[Importe Neto]],Imput[[C. Imp.]:[C. Imp.]],$D1072,Imput[[PERIODO Imp.]:[PERIODO Imp.]],DH$9)</f>
        <v>0</v>
      </c>
    </row>
    <row r="1073" spans="1:112" s="649" customFormat="1" hidden="1" outlineLevel="1" x14ac:dyDescent="0.3">
      <c r="A1073" s="652" t="str">
        <f t="shared" si="361"/>
        <v/>
      </c>
      <c r="B1073" s="652"/>
      <c r="C1073" s="685"/>
      <c r="D1073" s="686"/>
      <c r="E1073" s="686"/>
      <c r="F1073" s="720"/>
      <c r="G1073" s="688"/>
      <c r="H1073" s="531"/>
      <c r="I1073" s="851" t="str">
        <f t="shared" si="362"/>
        <v/>
      </c>
      <c r="J1073" s="850" t="str">
        <f t="shared" si="363"/>
        <v/>
      </c>
      <c r="K1073" s="667"/>
      <c r="L1073" s="858">
        <v>0.3</v>
      </c>
      <c r="M1073" s="859"/>
      <c r="N1073" s="859"/>
      <c r="O1073" s="859"/>
      <c r="P1073" s="859">
        <v>0.5</v>
      </c>
      <c r="Q1073" s="859"/>
      <c r="R1073" s="859"/>
      <c r="S1073" s="859"/>
      <c r="T1073" s="859"/>
      <c r="U1073" s="859"/>
      <c r="V1073" s="859"/>
      <c r="W1073" s="859">
        <v>0.2</v>
      </c>
      <c r="X1073" s="859"/>
      <c r="Y1073" s="859"/>
      <c r="Z1073" s="860"/>
      <c r="AA1073" s="860"/>
      <c r="AB1073" s="860"/>
      <c r="AC1073" s="860"/>
      <c r="AD1073" s="860"/>
      <c r="AE1073" s="860"/>
      <c r="AF1073" s="860"/>
      <c r="AG1073" s="860"/>
      <c r="AH1073" s="860"/>
      <c r="AI1073" s="860"/>
      <c r="AJ1073" s="860"/>
      <c r="AK1073" s="860"/>
      <c r="AL1073" s="860"/>
      <c r="AM1073" s="860"/>
      <c r="AN1073" s="860"/>
      <c r="AO1073" s="860"/>
      <c r="AP1073" s="860"/>
      <c r="AQ1073" s="860"/>
      <c r="AR1073" s="860"/>
      <c r="AS1073" s="860"/>
      <c r="AT1073" s="860"/>
      <c r="AU1073" s="860"/>
      <c r="AV1073" s="860"/>
      <c r="AW1073" s="860"/>
      <c r="AX1073" s="860"/>
      <c r="AY1073" s="860"/>
      <c r="AZ1073" s="860"/>
      <c r="BA1073" s="860"/>
      <c r="BB1073" s="860"/>
      <c r="BC1073" s="860"/>
      <c r="BD1073" s="860"/>
      <c r="BE1073" s="860"/>
      <c r="BF1073" s="860"/>
      <c r="BG1073" s="860"/>
      <c r="BH1073" s="668"/>
      <c r="BI1073" s="667"/>
      <c r="BJ1073" s="690">
        <f t="shared" si="364"/>
        <v>0</v>
      </c>
      <c r="BK1073" s="691">
        <f t="shared" si="365"/>
        <v>0</v>
      </c>
      <c r="BL1073" s="654"/>
      <c r="BM1073" s="692">
        <f>SUMIFS(Imput[[Importe Neto]:[Importe Neto]],Imput[[C. Imp.]:[C. Imp.]],$D1073,Imput[[PERIODO Imp.]:[PERIODO Imp.]],BM$9)</f>
        <v>0</v>
      </c>
      <c r="BN1073" s="693">
        <f>SUMIFS(Imput[[Importe Neto]:[Importe Neto]],Imput[[C. Imp.]:[C. Imp.]],$D1073,Imput[[PERIODO Imp.]:[PERIODO Imp.]],BN$9)</f>
        <v>0</v>
      </c>
      <c r="BO1073" s="693">
        <f>SUMIFS(Imput[[Importe Neto]:[Importe Neto]],Imput[[C. Imp.]:[C. Imp.]],$D1073,Imput[[PERIODO Imp.]:[PERIODO Imp.]],BO$9)</f>
        <v>0</v>
      </c>
      <c r="BP1073" s="693">
        <f>SUMIFS(Imput[[Importe Neto]:[Importe Neto]],Imput[[C. Imp.]:[C. Imp.]],$D1073,Imput[[PERIODO Imp.]:[PERIODO Imp.]],BP$9)</f>
        <v>0</v>
      </c>
      <c r="BQ1073" s="693">
        <f>SUMIFS(Imput[[Importe Neto]:[Importe Neto]],Imput[[C. Imp.]:[C. Imp.]],$D1073,Imput[[PERIODO Imp.]:[PERIODO Imp.]],BQ$9)</f>
        <v>0</v>
      </c>
      <c r="BR1073" s="693">
        <f>SUMIFS(Imput[[Importe Neto]:[Importe Neto]],Imput[[C. Imp.]:[C. Imp.]],$D1073,Imput[[PERIODO Imp.]:[PERIODO Imp.]],BR$9)</f>
        <v>0</v>
      </c>
      <c r="BS1073" s="693">
        <f>SUMIFS(Imput[[Importe Neto]:[Importe Neto]],Imput[[C. Imp.]:[C. Imp.]],$D1073,Imput[[PERIODO Imp.]:[PERIODO Imp.]],BS$9)</f>
        <v>0</v>
      </c>
      <c r="BT1073" s="693">
        <f>SUMIFS(Imput[[Importe Neto]:[Importe Neto]],Imput[[C. Imp.]:[C. Imp.]],$D1073,Imput[[PERIODO Imp.]:[PERIODO Imp.]],BT$9)</f>
        <v>0</v>
      </c>
      <c r="BU1073" s="693">
        <f>SUMIFS(Imput[[Importe Neto]:[Importe Neto]],Imput[[C. Imp.]:[C. Imp.]],$D1073,Imput[[PERIODO Imp.]:[PERIODO Imp.]],BU$9)</f>
        <v>0</v>
      </c>
      <c r="BV1073" s="693">
        <f>SUMIFS(Imput[[Importe Neto]:[Importe Neto]],Imput[[C. Imp.]:[C. Imp.]],$D1073,Imput[[PERIODO Imp.]:[PERIODO Imp.]],BV$9)</f>
        <v>0</v>
      </c>
      <c r="BW1073" s="693">
        <f>SUMIFS(Imput[[Importe Neto]:[Importe Neto]],Imput[[C. Imp.]:[C. Imp.]],$D1073,Imput[[PERIODO Imp.]:[PERIODO Imp.]],BW$9)</f>
        <v>0</v>
      </c>
      <c r="BX1073" s="693">
        <f>SUMIFS(Imput[[Importe Neto]:[Importe Neto]],Imput[[C. Imp.]:[C. Imp.]],$D1073,Imput[[PERIODO Imp.]:[PERIODO Imp.]],BX$9)</f>
        <v>0</v>
      </c>
      <c r="BY1073" s="693">
        <f>SUMIFS(Imput[[Importe Neto]:[Importe Neto]],Imput[[C. Imp.]:[C. Imp.]],$D1073,Imput[[PERIODO Imp.]:[PERIODO Imp.]],BY$9)</f>
        <v>0</v>
      </c>
      <c r="BZ1073" s="693">
        <f>SUMIFS(Imput[[Importe Neto]:[Importe Neto]],Imput[[C. Imp.]:[C. Imp.]],$D1073,Imput[[PERIODO Imp.]:[PERIODO Imp.]],BZ$9)</f>
        <v>0</v>
      </c>
      <c r="CA1073" s="693">
        <f>SUMIFS(Imput[[Importe Neto]:[Importe Neto]],Imput[[C. Imp.]:[C. Imp.]],$D1073,Imput[[PERIODO Imp.]:[PERIODO Imp.]],CA$9)</f>
        <v>0</v>
      </c>
      <c r="CB1073" s="693">
        <f>SUMIFS(Imput[[Importe Neto]:[Importe Neto]],Imput[[C. Imp.]:[C. Imp.]],$D1073,Imput[[PERIODO Imp.]:[PERIODO Imp.]],CB$9)</f>
        <v>0</v>
      </c>
      <c r="CC1073" s="693">
        <f>SUMIFS(Imput[[Importe Neto]:[Importe Neto]],Imput[[C. Imp.]:[C. Imp.]],$D1073,Imput[[PERIODO Imp.]:[PERIODO Imp.]],CC$9)</f>
        <v>0</v>
      </c>
      <c r="CD1073" s="693">
        <f>SUMIFS(Imput[[Importe Neto]:[Importe Neto]],Imput[[C. Imp.]:[C. Imp.]],$D1073,Imput[[PERIODO Imp.]:[PERIODO Imp.]],CD$9)</f>
        <v>0</v>
      </c>
      <c r="CE1073" s="693">
        <f>SUMIFS(Imput[[Importe Neto]:[Importe Neto]],Imput[[C. Imp.]:[C. Imp.]],$D1073,Imput[[PERIODO Imp.]:[PERIODO Imp.]],CE$9)</f>
        <v>0</v>
      </c>
      <c r="CF1073" s="693">
        <f>SUMIFS(Imput[[Importe Neto]:[Importe Neto]],Imput[[C. Imp.]:[C. Imp.]],$D1073,Imput[[PERIODO Imp.]:[PERIODO Imp.]],CF$9)</f>
        <v>0</v>
      </c>
      <c r="CG1073" s="693">
        <f>SUMIFS(Imput[[Importe Neto]:[Importe Neto]],Imput[[C. Imp.]:[C. Imp.]],$D1073,Imput[[PERIODO Imp.]:[PERIODO Imp.]],CG$9)</f>
        <v>0</v>
      </c>
      <c r="CH1073" s="693">
        <f>SUMIFS(Imput[[Importe Neto]:[Importe Neto]],Imput[[C. Imp.]:[C. Imp.]],$D1073,Imput[[PERIODO Imp.]:[PERIODO Imp.]],CH$9)</f>
        <v>0</v>
      </c>
      <c r="CI1073" s="693">
        <f>SUMIFS(Imput[[Importe Neto]:[Importe Neto]],Imput[[C. Imp.]:[C. Imp.]],$D1073,Imput[[PERIODO Imp.]:[PERIODO Imp.]],CI$9)</f>
        <v>0</v>
      </c>
      <c r="CJ1073" s="693">
        <f>SUMIFS(Imput[[Importe Neto]:[Importe Neto]],Imput[[C. Imp.]:[C. Imp.]],$D1073,Imput[[PERIODO Imp.]:[PERIODO Imp.]],CJ$9)</f>
        <v>0</v>
      </c>
      <c r="CK1073" s="693">
        <f>SUMIFS(Imput[[Importe Neto]:[Importe Neto]],Imput[[C. Imp.]:[C. Imp.]],$D1073,Imput[[PERIODO Imp.]:[PERIODO Imp.]],CK$9)</f>
        <v>0</v>
      </c>
      <c r="CL1073" s="693">
        <f>SUMIFS(Imput[[Importe Neto]:[Importe Neto]],Imput[[C. Imp.]:[C. Imp.]],$D1073,Imput[[PERIODO Imp.]:[PERIODO Imp.]],CL$9)</f>
        <v>0</v>
      </c>
      <c r="CM1073" s="693">
        <f>SUMIFS(Imput[[Importe Neto]:[Importe Neto]],Imput[[C. Imp.]:[C. Imp.]],$D1073,Imput[[PERIODO Imp.]:[PERIODO Imp.]],CM$9)</f>
        <v>0</v>
      </c>
      <c r="CN1073" s="693">
        <f>SUMIFS(Imput[[Importe Neto]:[Importe Neto]],Imput[[C. Imp.]:[C. Imp.]],$D1073,Imput[[PERIODO Imp.]:[PERIODO Imp.]],CN$9)</f>
        <v>0</v>
      </c>
      <c r="CO1073" s="693">
        <f>SUMIFS(Imput[[Importe Neto]:[Importe Neto]],Imput[[C. Imp.]:[C. Imp.]],$D1073,Imput[[PERIODO Imp.]:[PERIODO Imp.]],CO$9)</f>
        <v>0</v>
      </c>
      <c r="CP1073" s="693">
        <f>SUMIFS(Imput[[Importe Neto]:[Importe Neto]],Imput[[C. Imp.]:[C. Imp.]],$D1073,Imput[[PERIODO Imp.]:[PERIODO Imp.]],CP$9)</f>
        <v>0</v>
      </c>
      <c r="CQ1073" s="693">
        <f>SUMIFS(Imput[[Importe Neto]:[Importe Neto]],Imput[[C. Imp.]:[C. Imp.]],$D1073,Imput[[PERIODO Imp.]:[PERIODO Imp.]],CQ$9)</f>
        <v>0</v>
      </c>
      <c r="CR1073" s="693">
        <f>SUMIFS(Imput[[Importe Neto]:[Importe Neto]],Imput[[C. Imp.]:[C. Imp.]],$D1073,Imput[[PERIODO Imp.]:[PERIODO Imp.]],CR$9)</f>
        <v>0</v>
      </c>
      <c r="CS1073" s="693">
        <f>SUMIFS(Imput[[Importe Neto]:[Importe Neto]],Imput[[C. Imp.]:[C. Imp.]],$D1073,Imput[[PERIODO Imp.]:[PERIODO Imp.]],CS$9)</f>
        <v>0</v>
      </c>
      <c r="CT1073" s="693">
        <f>SUMIFS(Imput[[Importe Neto]:[Importe Neto]],Imput[[C. Imp.]:[C. Imp.]],$D1073,Imput[[PERIODO Imp.]:[PERIODO Imp.]],CT$9)</f>
        <v>0</v>
      </c>
      <c r="CU1073" s="693">
        <f>SUMIFS(Imput[[Importe Neto]:[Importe Neto]],Imput[[C. Imp.]:[C. Imp.]],$D1073,Imput[[PERIODO Imp.]:[PERIODO Imp.]],CU$9)</f>
        <v>0</v>
      </c>
      <c r="CV1073" s="693">
        <f>SUMIFS(Imput[[Importe Neto]:[Importe Neto]],Imput[[C. Imp.]:[C. Imp.]],$D1073,Imput[[PERIODO Imp.]:[PERIODO Imp.]],CV$9)</f>
        <v>0</v>
      </c>
      <c r="CW1073" s="693">
        <f>SUMIFS(Imput[[Importe Neto]:[Importe Neto]],Imput[[C. Imp.]:[C. Imp.]],$D1073,Imput[[PERIODO Imp.]:[PERIODO Imp.]],CW$9)</f>
        <v>0</v>
      </c>
      <c r="CX1073" s="693">
        <f>SUMIFS(Imput[[Importe Neto]:[Importe Neto]],Imput[[C. Imp.]:[C. Imp.]],$D1073,Imput[[PERIODO Imp.]:[PERIODO Imp.]],CX$9)</f>
        <v>0</v>
      </c>
      <c r="CY1073" s="693">
        <f>SUMIFS(Imput[[Importe Neto]:[Importe Neto]],Imput[[C. Imp.]:[C. Imp.]],$D1073,Imput[[PERIODO Imp.]:[PERIODO Imp.]],CY$9)</f>
        <v>0</v>
      </c>
      <c r="CZ1073" s="693">
        <f>SUMIFS(Imput[[Importe Neto]:[Importe Neto]],Imput[[C. Imp.]:[C. Imp.]],$D1073,Imput[[PERIODO Imp.]:[PERIODO Imp.]],CZ$9)</f>
        <v>0</v>
      </c>
      <c r="DA1073" s="693">
        <f>SUMIFS(Imput[[Importe Neto]:[Importe Neto]],Imput[[C. Imp.]:[C. Imp.]],$D1073,Imput[[PERIODO Imp.]:[PERIODO Imp.]],DA$9)</f>
        <v>0</v>
      </c>
      <c r="DB1073" s="693">
        <f>SUMIFS(Imput[[Importe Neto]:[Importe Neto]],Imput[[C. Imp.]:[C. Imp.]],$D1073,Imput[[PERIODO Imp.]:[PERIODO Imp.]],DB$9)</f>
        <v>0</v>
      </c>
      <c r="DC1073" s="693">
        <f>SUMIFS(Imput[[Importe Neto]:[Importe Neto]],Imput[[C. Imp.]:[C. Imp.]],$D1073,Imput[[PERIODO Imp.]:[PERIODO Imp.]],DC$9)</f>
        <v>0</v>
      </c>
      <c r="DD1073" s="693">
        <f>SUMIFS(Imput[[Importe Neto]:[Importe Neto]],Imput[[C. Imp.]:[C. Imp.]],$D1073,Imput[[PERIODO Imp.]:[PERIODO Imp.]],DD$9)</f>
        <v>0</v>
      </c>
      <c r="DE1073" s="693">
        <f>SUMIFS(Imput[[Importe Neto]:[Importe Neto]],Imput[[C. Imp.]:[C. Imp.]],$D1073,Imput[[PERIODO Imp.]:[PERIODO Imp.]],DE$9)</f>
        <v>0</v>
      </c>
      <c r="DF1073" s="693">
        <f>SUMIFS(Imput[[Importe Neto]:[Importe Neto]],Imput[[C. Imp.]:[C. Imp.]],$D1073,Imput[[PERIODO Imp.]:[PERIODO Imp.]],DF$9)</f>
        <v>0</v>
      </c>
      <c r="DG1073" s="693">
        <f>SUMIFS(Imput[[Importe Neto]:[Importe Neto]],Imput[[C. Imp.]:[C. Imp.]],$D1073,Imput[[PERIODO Imp.]:[PERIODO Imp.]],DG$9)</f>
        <v>0</v>
      </c>
      <c r="DH1073" s="694">
        <f>SUMIFS(Imput[[Importe Neto]:[Importe Neto]],Imput[[C. Imp.]:[C. Imp.]],$D1073,Imput[[PERIODO Imp.]:[PERIODO Imp.]],DH$9)</f>
        <v>0</v>
      </c>
    </row>
    <row r="1074" spans="1:112" s="649" customFormat="1" hidden="1" outlineLevel="1" x14ac:dyDescent="0.3">
      <c r="A1074" s="652" t="str">
        <f t="shared" si="361"/>
        <v/>
      </c>
      <c r="B1074" s="652"/>
      <c r="C1074" s="685"/>
      <c r="D1074" s="686"/>
      <c r="E1074" s="686"/>
      <c r="F1074" s="720"/>
      <c r="G1074" s="688"/>
      <c r="H1074" s="531"/>
      <c r="I1074" s="851" t="str">
        <f t="shared" si="362"/>
        <v/>
      </c>
      <c r="J1074" s="850" t="str">
        <f t="shared" si="363"/>
        <v/>
      </c>
      <c r="K1074" s="667"/>
      <c r="L1074" s="858">
        <v>1</v>
      </c>
      <c r="M1074" s="859"/>
      <c r="N1074" s="859"/>
      <c r="O1074" s="859"/>
      <c r="P1074" s="859"/>
      <c r="Q1074" s="859"/>
      <c r="R1074" s="859"/>
      <c r="S1074" s="859"/>
      <c r="T1074" s="859"/>
      <c r="U1074" s="859"/>
      <c r="V1074" s="859"/>
      <c r="W1074" s="859"/>
      <c r="X1074" s="859"/>
      <c r="Y1074" s="859"/>
      <c r="Z1074" s="860"/>
      <c r="AA1074" s="860"/>
      <c r="AB1074" s="860"/>
      <c r="AC1074" s="860"/>
      <c r="AD1074" s="860"/>
      <c r="AE1074" s="860"/>
      <c r="AF1074" s="860"/>
      <c r="AG1074" s="860"/>
      <c r="AH1074" s="860"/>
      <c r="AI1074" s="860"/>
      <c r="AJ1074" s="860"/>
      <c r="AK1074" s="860"/>
      <c r="AL1074" s="860"/>
      <c r="AM1074" s="860"/>
      <c r="AN1074" s="860"/>
      <c r="AO1074" s="860"/>
      <c r="AP1074" s="860"/>
      <c r="AQ1074" s="860"/>
      <c r="AR1074" s="860"/>
      <c r="AS1074" s="860"/>
      <c r="AT1074" s="860"/>
      <c r="AU1074" s="860"/>
      <c r="AV1074" s="860"/>
      <c r="AW1074" s="860"/>
      <c r="AX1074" s="860"/>
      <c r="AY1074" s="860"/>
      <c r="AZ1074" s="860"/>
      <c r="BA1074" s="860"/>
      <c r="BB1074" s="860"/>
      <c r="BC1074" s="860"/>
      <c r="BD1074" s="860"/>
      <c r="BE1074" s="860"/>
      <c r="BF1074" s="860"/>
      <c r="BG1074" s="860"/>
      <c r="BH1074" s="668"/>
      <c r="BI1074" s="667"/>
      <c r="BJ1074" s="690">
        <f t="shared" si="364"/>
        <v>0</v>
      </c>
      <c r="BK1074" s="691">
        <f t="shared" si="365"/>
        <v>0</v>
      </c>
      <c r="BL1074" s="654"/>
      <c r="BM1074" s="692">
        <f>SUMIFS(Imput[[Importe Neto]:[Importe Neto]],Imput[[C. Imp.]:[C. Imp.]],$D1074,Imput[[PERIODO Imp.]:[PERIODO Imp.]],BM$9)</f>
        <v>0</v>
      </c>
      <c r="BN1074" s="693">
        <f>SUMIFS(Imput[[Importe Neto]:[Importe Neto]],Imput[[C. Imp.]:[C. Imp.]],$D1074,Imput[[PERIODO Imp.]:[PERIODO Imp.]],BN$9)</f>
        <v>0</v>
      </c>
      <c r="BO1074" s="693">
        <f>SUMIFS(Imput[[Importe Neto]:[Importe Neto]],Imput[[C. Imp.]:[C. Imp.]],$D1074,Imput[[PERIODO Imp.]:[PERIODO Imp.]],BO$9)</f>
        <v>0</v>
      </c>
      <c r="BP1074" s="693">
        <f>SUMIFS(Imput[[Importe Neto]:[Importe Neto]],Imput[[C. Imp.]:[C. Imp.]],$D1074,Imput[[PERIODO Imp.]:[PERIODO Imp.]],BP$9)</f>
        <v>0</v>
      </c>
      <c r="BQ1074" s="693">
        <f>SUMIFS(Imput[[Importe Neto]:[Importe Neto]],Imput[[C. Imp.]:[C. Imp.]],$D1074,Imput[[PERIODO Imp.]:[PERIODO Imp.]],BQ$9)</f>
        <v>0</v>
      </c>
      <c r="BR1074" s="693">
        <f>SUMIFS(Imput[[Importe Neto]:[Importe Neto]],Imput[[C. Imp.]:[C. Imp.]],$D1074,Imput[[PERIODO Imp.]:[PERIODO Imp.]],BR$9)</f>
        <v>0</v>
      </c>
      <c r="BS1074" s="693">
        <f>SUMIFS(Imput[[Importe Neto]:[Importe Neto]],Imput[[C. Imp.]:[C. Imp.]],$D1074,Imput[[PERIODO Imp.]:[PERIODO Imp.]],BS$9)</f>
        <v>0</v>
      </c>
      <c r="BT1074" s="693">
        <f>SUMIFS(Imput[[Importe Neto]:[Importe Neto]],Imput[[C. Imp.]:[C. Imp.]],$D1074,Imput[[PERIODO Imp.]:[PERIODO Imp.]],BT$9)</f>
        <v>0</v>
      </c>
      <c r="BU1074" s="693">
        <f>SUMIFS(Imput[[Importe Neto]:[Importe Neto]],Imput[[C. Imp.]:[C. Imp.]],$D1074,Imput[[PERIODO Imp.]:[PERIODO Imp.]],BU$9)</f>
        <v>0</v>
      </c>
      <c r="BV1074" s="693">
        <f>SUMIFS(Imput[[Importe Neto]:[Importe Neto]],Imput[[C. Imp.]:[C. Imp.]],$D1074,Imput[[PERIODO Imp.]:[PERIODO Imp.]],BV$9)</f>
        <v>0</v>
      </c>
      <c r="BW1074" s="693">
        <f>SUMIFS(Imput[[Importe Neto]:[Importe Neto]],Imput[[C. Imp.]:[C. Imp.]],$D1074,Imput[[PERIODO Imp.]:[PERIODO Imp.]],BW$9)</f>
        <v>0</v>
      </c>
      <c r="BX1074" s="693">
        <f>SUMIFS(Imput[[Importe Neto]:[Importe Neto]],Imput[[C. Imp.]:[C. Imp.]],$D1074,Imput[[PERIODO Imp.]:[PERIODO Imp.]],BX$9)</f>
        <v>0</v>
      </c>
      <c r="BY1074" s="693">
        <f>SUMIFS(Imput[[Importe Neto]:[Importe Neto]],Imput[[C. Imp.]:[C. Imp.]],$D1074,Imput[[PERIODO Imp.]:[PERIODO Imp.]],BY$9)</f>
        <v>0</v>
      </c>
      <c r="BZ1074" s="693">
        <f>SUMIFS(Imput[[Importe Neto]:[Importe Neto]],Imput[[C. Imp.]:[C. Imp.]],$D1074,Imput[[PERIODO Imp.]:[PERIODO Imp.]],BZ$9)</f>
        <v>0</v>
      </c>
      <c r="CA1074" s="693">
        <f>SUMIFS(Imput[[Importe Neto]:[Importe Neto]],Imput[[C. Imp.]:[C. Imp.]],$D1074,Imput[[PERIODO Imp.]:[PERIODO Imp.]],CA$9)</f>
        <v>0</v>
      </c>
      <c r="CB1074" s="693">
        <f>SUMIFS(Imput[[Importe Neto]:[Importe Neto]],Imput[[C. Imp.]:[C. Imp.]],$D1074,Imput[[PERIODO Imp.]:[PERIODO Imp.]],CB$9)</f>
        <v>0</v>
      </c>
      <c r="CC1074" s="693">
        <f>SUMIFS(Imput[[Importe Neto]:[Importe Neto]],Imput[[C. Imp.]:[C. Imp.]],$D1074,Imput[[PERIODO Imp.]:[PERIODO Imp.]],CC$9)</f>
        <v>0</v>
      </c>
      <c r="CD1074" s="693">
        <f>SUMIFS(Imput[[Importe Neto]:[Importe Neto]],Imput[[C. Imp.]:[C. Imp.]],$D1074,Imput[[PERIODO Imp.]:[PERIODO Imp.]],CD$9)</f>
        <v>0</v>
      </c>
      <c r="CE1074" s="693">
        <f>SUMIFS(Imput[[Importe Neto]:[Importe Neto]],Imput[[C. Imp.]:[C. Imp.]],$D1074,Imput[[PERIODO Imp.]:[PERIODO Imp.]],CE$9)</f>
        <v>0</v>
      </c>
      <c r="CF1074" s="693">
        <f>SUMIFS(Imput[[Importe Neto]:[Importe Neto]],Imput[[C. Imp.]:[C. Imp.]],$D1074,Imput[[PERIODO Imp.]:[PERIODO Imp.]],CF$9)</f>
        <v>0</v>
      </c>
      <c r="CG1074" s="693">
        <f>SUMIFS(Imput[[Importe Neto]:[Importe Neto]],Imput[[C. Imp.]:[C. Imp.]],$D1074,Imput[[PERIODO Imp.]:[PERIODO Imp.]],CG$9)</f>
        <v>0</v>
      </c>
      <c r="CH1074" s="693">
        <f>SUMIFS(Imput[[Importe Neto]:[Importe Neto]],Imput[[C. Imp.]:[C. Imp.]],$D1074,Imput[[PERIODO Imp.]:[PERIODO Imp.]],CH$9)</f>
        <v>0</v>
      </c>
      <c r="CI1074" s="693">
        <f>SUMIFS(Imput[[Importe Neto]:[Importe Neto]],Imput[[C. Imp.]:[C. Imp.]],$D1074,Imput[[PERIODO Imp.]:[PERIODO Imp.]],CI$9)</f>
        <v>0</v>
      </c>
      <c r="CJ1074" s="693">
        <f>SUMIFS(Imput[[Importe Neto]:[Importe Neto]],Imput[[C. Imp.]:[C. Imp.]],$D1074,Imput[[PERIODO Imp.]:[PERIODO Imp.]],CJ$9)</f>
        <v>0</v>
      </c>
      <c r="CK1074" s="693">
        <f>SUMIFS(Imput[[Importe Neto]:[Importe Neto]],Imput[[C. Imp.]:[C. Imp.]],$D1074,Imput[[PERIODO Imp.]:[PERIODO Imp.]],CK$9)</f>
        <v>0</v>
      </c>
      <c r="CL1074" s="693">
        <f>SUMIFS(Imput[[Importe Neto]:[Importe Neto]],Imput[[C. Imp.]:[C. Imp.]],$D1074,Imput[[PERIODO Imp.]:[PERIODO Imp.]],CL$9)</f>
        <v>0</v>
      </c>
      <c r="CM1074" s="693">
        <f>SUMIFS(Imput[[Importe Neto]:[Importe Neto]],Imput[[C. Imp.]:[C. Imp.]],$D1074,Imput[[PERIODO Imp.]:[PERIODO Imp.]],CM$9)</f>
        <v>0</v>
      </c>
      <c r="CN1074" s="693">
        <f>SUMIFS(Imput[[Importe Neto]:[Importe Neto]],Imput[[C. Imp.]:[C. Imp.]],$D1074,Imput[[PERIODO Imp.]:[PERIODO Imp.]],CN$9)</f>
        <v>0</v>
      </c>
      <c r="CO1074" s="693">
        <f>SUMIFS(Imput[[Importe Neto]:[Importe Neto]],Imput[[C. Imp.]:[C. Imp.]],$D1074,Imput[[PERIODO Imp.]:[PERIODO Imp.]],CO$9)</f>
        <v>0</v>
      </c>
      <c r="CP1074" s="693">
        <f>SUMIFS(Imput[[Importe Neto]:[Importe Neto]],Imput[[C. Imp.]:[C. Imp.]],$D1074,Imput[[PERIODO Imp.]:[PERIODO Imp.]],CP$9)</f>
        <v>0</v>
      </c>
      <c r="CQ1074" s="693">
        <f>SUMIFS(Imput[[Importe Neto]:[Importe Neto]],Imput[[C. Imp.]:[C. Imp.]],$D1074,Imput[[PERIODO Imp.]:[PERIODO Imp.]],CQ$9)</f>
        <v>0</v>
      </c>
      <c r="CR1074" s="693">
        <f>SUMIFS(Imput[[Importe Neto]:[Importe Neto]],Imput[[C. Imp.]:[C. Imp.]],$D1074,Imput[[PERIODO Imp.]:[PERIODO Imp.]],CR$9)</f>
        <v>0</v>
      </c>
      <c r="CS1074" s="693">
        <f>SUMIFS(Imput[[Importe Neto]:[Importe Neto]],Imput[[C. Imp.]:[C. Imp.]],$D1074,Imput[[PERIODO Imp.]:[PERIODO Imp.]],CS$9)</f>
        <v>0</v>
      </c>
      <c r="CT1074" s="693">
        <f>SUMIFS(Imput[[Importe Neto]:[Importe Neto]],Imput[[C. Imp.]:[C. Imp.]],$D1074,Imput[[PERIODO Imp.]:[PERIODO Imp.]],CT$9)</f>
        <v>0</v>
      </c>
      <c r="CU1074" s="693">
        <f>SUMIFS(Imput[[Importe Neto]:[Importe Neto]],Imput[[C. Imp.]:[C. Imp.]],$D1074,Imput[[PERIODO Imp.]:[PERIODO Imp.]],CU$9)</f>
        <v>0</v>
      </c>
      <c r="CV1074" s="693">
        <f>SUMIFS(Imput[[Importe Neto]:[Importe Neto]],Imput[[C. Imp.]:[C. Imp.]],$D1074,Imput[[PERIODO Imp.]:[PERIODO Imp.]],CV$9)</f>
        <v>0</v>
      </c>
      <c r="CW1074" s="693">
        <f>SUMIFS(Imput[[Importe Neto]:[Importe Neto]],Imput[[C. Imp.]:[C. Imp.]],$D1074,Imput[[PERIODO Imp.]:[PERIODO Imp.]],CW$9)</f>
        <v>0</v>
      </c>
      <c r="CX1074" s="693">
        <f>SUMIFS(Imput[[Importe Neto]:[Importe Neto]],Imput[[C. Imp.]:[C. Imp.]],$D1074,Imput[[PERIODO Imp.]:[PERIODO Imp.]],CX$9)</f>
        <v>0</v>
      </c>
      <c r="CY1074" s="693">
        <f>SUMIFS(Imput[[Importe Neto]:[Importe Neto]],Imput[[C. Imp.]:[C. Imp.]],$D1074,Imput[[PERIODO Imp.]:[PERIODO Imp.]],CY$9)</f>
        <v>0</v>
      </c>
      <c r="CZ1074" s="693">
        <f>SUMIFS(Imput[[Importe Neto]:[Importe Neto]],Imput[[C. Imp.]:[C. Imp.]],$D1074,Imput[[PERIODO Imp.]:[PERIODO Imp.]],CZ$9)</f>
        <v>0</v>
      </c>
      <c r="DA1074" s="693">
        <f>SUMIFS(Imput[[Importe Neto]:[Importe Neto]],Imput[[C. Imp.]:[C. Imp.]],$D1074,Imput[[PERIODO Imp.]:[PERIODO Imp.]],DA$9)</f>
        <v>0</v>
      </c>
      <c r="DB1074" s="693">
        <f>SUMIFS(Imput[[Importe Neto]:[Importe Neto]],Imput[[C. Imp.]:[C. Imp.]],$D1074,Imput[[PERIODO Imp.]:[PERIODO Imp.]],DB$9)</f>
        <v>0</v>
      </c>
      <c r="DC1074" s="693">
        <f>SUMIFS(Imput[[Importe Neto]:[Importe Neto]],Imput[[C. Imp.]:[C. Imp.]],$D1074,Imput[[PERIODO Imp.]:[PERIODO Imp.]],DC$9)</f>
        <v>0</v>
      </c>
      <c r="DD1074" s="693">
        <f>SUMIFS(Imput[[Importe Neto]:[Importe Neto]],Imput[[C. Imp.]:[C. Imp.]],$D1074,Imput[[PERIODO Imp.]:[PERIODO Imp.]],DD$9)</f>
        <v>0</v>
      </c>
      <c r="DE1074" s="693">
        <f>SUMIFS(Imput[[Importe Neto]:[Importe Neto]],Imput[[C. Imp.]:[C. Imp.]],$D1074,Imput[[PERIODO Imp.]:[PERIODO Imp.]],DE$9)</f>
        <v>0</v>
      </c>
      <c r="DF1074" s="693">
        <f>SUMIFS(Imput[[Importe Neto]:[Importe Neto]],Imput[[C. Imp.]:[C. Imp.]],$D1074,Imput[[PERIODO Imp.]:[PERIODO Imp.]],DF$9)</f>
        <v>0</v>
      </c>
      <c r="DG1074" s="693">
        <f>SUMIFS(Imput[[Importe Neto]:[Importe Neto]],Imput[[C. Imp.]:[C. Imp.]],$D1074,Imput[[PERIODO Imp.]:[PERIODO Imp.]],DG$9)</f>
        <v>0</v>
      </c>
      <c r="DH1074" s="694">
        <f>SUMIFS(Imput[[Importe Neto]:[Importe Neto]],Imput[[C. Imp.]:[C. Imp.]],$D1074,Imput[[PERIODO Imp.]:[PERIODO Imp.]],DH$9)</f>
        <v>0</v>
      </c>
    </row>
    <row r="1075" spans="1:112" s="649" customFormat="1" hidden="1" outlineLevel="1" x14ac:dyDescent="0.3">
      <c r="A1075" s="652" t="str">
        <f t="shared" si="361"/>
        <v/>
      </c>
      <c r="B1075" s="652"/>
      <c r="C1075" s="685"/>
      <c r="D1075" s="686"/>
      <c r="E1075" s="686"/>
      <c r="F1075" s="720"/>
      <c r="G1075" s="688"/>
      <c r="H1075" s="531"/>
      <c r="I1075" s="851" t="str">
        <f t="shared" si="362"/>
        <v/>
      </c>
      <c r="J1075" s="850" t="str">
        <f t="shared" si="363"/>
        <v/>
      </c>
      <c r="K1075" s="667"/>
      <c r="L1075" s="858">
        <v>1</v>
      </c>
      <c r="M1075" s="859"/>
      <c r="N1075" s="859"/>
      <c r="O1075" s="859"/>
      <c r="P1075" s="859"/>
      <c r="Q1075" s="859"/>
      <c r="R1075" s="859"/>
      <c r="S1075" s="859"/>
      <c r="T1075" s="859"/>
      <c r="U1075" s="859"/>
      <c r="V1075" s="859"/>
      <c r="W1075" s="859"/>
      <c r="X1075" s="859"/>
      <c r="Y1075" s="859"/>
      <c r="Z1075" s="860"/>
      <c r="AA1075" s="860"/>
      <c r="AB1075" s="860"/>
      <c r="AC1075" s="860"/>
      <c r="AD1075" s="860"/>
      <c r="AE1075" s="860"/>
      <c r="AF1075" s="860"/>
      <c r="AG1075" s="860"/>
      <c r="AH1075" s="860"/>
      <c r="AI1075" s="860"/>
      <c r="AJ1075" s="860"/>
      <c r="AK1075" s="860"/>
      <c r="AL1075" s="860"/>
      <c r="AM1075" s="860"/>
      <c r="AN1075" s="860"/>
      <c r="AO1075" s="860"/>
      <c r="AP1075" s="860"/>
      <c r="AQ1075" s="860"/>
      <c r="AR1075" s="860"/>
      <c r="AS1075" s="860"/>
      <c r="AT1075" s="860"/>
      <c r="AU1075" s="860"/>
      <c r="AV1075" s="860"/>
      <c r="AW1075" s="860"/>
      <c r="AX1075" s="860"/>
      <c r="AY1075" s="860"/>
      <c r="AZ1075" s="860"/>
      <c r="BA1075" s="860"/>
      <c r="BB1075" s="860"/>
      <c r="BC1075" s="860"/>
      <c r="BD1075" s="860"/>
      <c r="BE1075" s="860"/>
      <c r="BF1075" s="860"/>
      <c r="BG1075" s="860"/>
      <c r="BH1075" s="668"/>
      <c r="BI1075" s="667"/>
      <c r="BJ1075" s="690">
        <f t="shared" si="364"/>
        <v>0</v>
      </c>
      <c r="BK1075" s="691">
        <f t="shared" si="365"/>
        <v>0</v>
      </c>
      <c r="BL1075" s="654"/>
      <c r="BM1075" s="692">
        <f>SUMIFS(Imput[[Importe Neto]:[Importe Neto]],Imput[[C. Imp.]:[C. Imp.]],$D1075,Imput[[PERIODO Imp.]:[PERIODO Imp.]],BM$9)</f>
        <v>0</v>
      </c>
      <c r="BN1075" s="693">
        <f>SUMIFS(Imput[[Importe Neto]:[Importe Neto]],Imput[[C. Imp.]:[C. Imp.]],$D1075,Imput[[PERIODO Imp.]:[PERIODO Imp.]],BN$9)</f>
        <v>0</v>
      </c>
      <c r="BO1075" s="693">
        <f>SUMIFS(Imput[[Importe Neto]:[Importe Neto]],Imput[[C. Imp.]:[C. Imp.]],$D1075,Imput[[PERIODO Imp.]:[PERIODO Imp.]],BO$9)</f>
        <v>0</v>
      </c>
      <c r="BP1075" s="693">
        <f>SUMIFS(Imput[[Importe Neto]:[Importe Neto]],Imput[[C. Imp.]:[C. Imp.]],$D1075,Imput[[PERIODO Imp.]:[PERIODO Imp.]],BP$9)</f>
        <v>0</v>
      </c>
      <c r="BQ1075" s="693">
        <f>SUMIFS(Imput[[Importe Neto]:[Importe Neto]],Imput[[C. Imp.]:[C. Imp.]],$D1075,Imput[[PERIODO Imp.]:[PERIODO Imp.]],BQ$9)</f>
        <v>0</v>
      </c>
      <c r="BR1075" s="693">
        <f>SUMIFS(Imput[[Importe Neto]:[Importe Neto]],Imput[[C. Imp.]:[C. Imp.]],$D1075,Imput[[PERIODO Imp.]:[PERIODO Imp.]],BR$9)</f>
        <v>0</v>
      </c>
      <c r="BS1075" s="693">
        <f>SUMIFS(Imput[[Importe Neto]:[Importe Neto]],Imput[[C. Imp.]:[C. Imp.]],$D1075,Imput[[PERIODO Imp.]:[PERIODO Imp.]],BS$9)</f>
        <v>0</v>
      </c>
      <c r="BT1075" s="693">
        <f>SUMIFS(Imput[[Importe Neto]:[Importe Neto]],Imput[[C. Imp.]:[C. Imp.]],$D1075,Imput[[PERIODO Imp.]:[PERIODO Imp.]],BT$9)</f>
        <v>0</v>
      </c>
      <c r="BU1075" s="693">
        <f>SUMIFS(Imput[[Importe Neto]:[Importe Neto]],Imput[[C. Imp.]:[C. Imp.]],$D1075,Imput[[PERIODO Imp.]:[PERIODO Imp.]],BU$9)</f>
        <v>0</v>
      </c>
      <c r="BV1075" s="693">
        <f>SUMIFS(Imput[[Importe Neto]:[Importe Neto]],Imput[[C. Imp.]:[C. Imp.]],$D1075,Imput[[PERIODO Imp.]:[PERIODO Imp.]],BV$9)</f>
        <v>0</v>
      </c>
      <c r="BW1075" s="693">
        <f>SUMIFS(Imput[[Importe Neto]:[Importe Neto]],Imput[[C. Imp.]:[C. Imp.]],$D1075,Imput[[PERIODO Imp.]:[PERIODO Imp.]],BW$9)</f>
        <v>0</v>
      </c>
      <c r="BX1075" s="693">
        <f>SUMIFS(Imput[[Importe Neto]:[Importe Neto]],Imput[[C. Imp.]:[C. Imp.]],$D1075,Imput[[PERIODO Imp.]:[PERIODO Imp.]],BX$9)</f>
        <v>0</v>
      </c>
      <c r="BY1075" s="693">
        <f>SUMIFS(Imput[[Importe Neto]:[Importe Neto]],Imput[[C. Imp.]:[C. Imp.]],$D1075,Imput[[PERIODO Imp.]:[PERIODO Imp.]],BY$9)</f>
        <v>0</v>
      </c>
      <c r="BZ1075" s="693">
        <f>SUMIFS(Imput[[Importe Neto]:[Importe Neto]],Imput[[C. Imp.]:[C. Imp.]],$D1075,Imput[[PERIODO Imp.]:[PERIODO Imp.]],BZ$9)</f>
        <v>0</v>
      </c>
      <c r="CA1075" s="693">
        <f>SUMIFS(Imput[[Importe Neto]:[Importe Neto]],Imput[[C. Imp.]:[C. Imp.]],$D1075,Imput[[PERIODO Imp.]:[PERIODO Imp.]],CA$9)</f>
        <v>0</v>
      </c>
      <c r="CB1075" s="693">
        <f>SUMIFS(Imput[[Importe Neto]:[Importe Neto]],Imput[[C. Imp.]:[C. Imp.]],$D1075,Imput[[PERIODO Imp.]:[PERIODO Imp.]],CB$9)</f>
        <v>0</v>
      </c>
      <c r="CC1075" s="693">
        <f>SUMIFS(Imput[[Importe Neto]:[Importe Neto]],Imput[[C. Imp.]:[C. Imp.]],$D1075,Imput[[PERIODO Imp.]:[PERIODO Imp.]],CC$9)</f>
        <v>0</v>
      </c>
      <c r="CD1075" s="693">
        <f>SUMIFS(Imput[[Importe Neto]:[Importe Neto]],Imput[[C. Imp.]:[C. Imp.]],$D1075,Imput[[PERIODO Imp.]:[PERIODO Imp.]],CD$9)</f>
        <v>0</v>
      </c>
      <c r="CE1075" s="693">
        <f>SUMIFS(Imput[[Importe Neto]:[Importe Neto]],Imput[[C. Imp.]:[C. Imp.]],$D1075,Imput[[PERIODO Imp.]:[PERIODO Imp.]],CE$9)</f>
        <v>0</v>
      </c>
      <c r="CF1075" s="693">
        <f>SUMIFS(Imput[[Importe Neto]:[Importe Neto]],Imput[[C. Imp.]:[C. Imp.]],$D1075,Imput[[PERIODO Imp.]:[PERIODO Imp.]],CF$9)</f>
        <v>0</v>
      </c>
      <c r="CG1075" s="693">
        <f>SUMIFS(Imput[[Importe Neto]:[Importe Neto]],Imput[[C. Imp.]:[C. Imp.]],$D1075,Imput[[PERIODO Imp.]:[PERIODO Imp.]],CG$9)</f>
        <v>0</v>
      </c>
      <c r="CH1075" s="693">
        <f>SUMIFS(Imput[[Importe Neto]:[Importe Neto]],Imput[[C. Imp.]:[C. Imp.]],$D1075,Imput[[PERIODO Imp.]:[PERIODO Imp.]],CH$9)</f>
        <v>0</v>
      </c>
      <c r="CI1075" s="693">
        <f>SUMIFS(Imput[[Importe Neto]:[Importe Neto]],Imput[[C. Imp.]:[C. Imp.]],$D1075,Imput[[PERIODO Imp.]:[PERIODO Imp.]],CI$9)</f>
        <v>0</v>
      </c>
      <c r="CJ1075" s="693">
        <f>SUMIFS(Imput[[Importe Neto]:[Importe Neto]],Imput[[C. Imp.]:[C. Imp.]],$D1075,Imput[[PERIODO Imp.]:[PERIODO Imp.]],CJ$9)</f>
        <v>0</v>
      </c>
      <c r="CK1075" s="693">
        <f>SUMIFS(Imput[[Importe Neto]:[Importe Neto]],Imput[[C. Imp.]:[C. Imp.]],$D1075,Imput[[PERIODO Imp.]:[PERIODO Imp.]],CK$9)</f>
        <v>0</v>
      </c>
      <c r="CL1075" s="693">
        <f>SUMIFS(Imput[[Importe Neto]:[Importe Neto]],Imput[[C. Imp.]:[C. Imp.]],$D1075,Imput[[PERIODO Imp.]:[PERIODO Imp.]],CL$9)</f>
        <v>0</v>
      </c>
      <c r="CM1075" s="693">
        <f>SUMIFS(Imput[[Importe Neto]:[Importe Neto]],Imput[[C. Imp.]:[C. Imp.]],$D1075,Imput[[PERIODO Imp.]:[PERIODO Imp.]],CM$9)</f>
        <v>0</v>
      </c>
      <c r="CN1075" s="693">
        <f>SUMIFS(Imput[[Importe Neto]:[Importe Neto]],Imput[[C. Imp.]:[C. Imp.]],$D1075,Imput[[PERIODO Imp.]:[PERIODO Imp.]],CN$9)</f>
        <v>0</v>
      </c>
      <c r="CO1075" s="693">
        <f>SUMIFS(Imput[[Importe Neto]:[Importe Neto]],Imput[[C. Imp.]:[C. Imp.]],$D1075,Imput[[PERIODO Imp.]:[PERIODO Imp.]],CO$9)</f>
        <v>0</v>
      </c>
      <c r="CP1075" s="693">
        <f>SUMIFS(Imput[[Importe Neto]:[Importe Neto]],Imput[[C. Imp.]:[C. Imp.]],$D1075,Imput[[PERIODO Imp.]:[PERIODO Imp.]],CP$9)</f>
        <v>0</v>
      </c>
      <c r="CQ1075" s="693">
        <f>SUMIFS(Imput[[Importe Neto]:[Importe Neto]],Imput[[C. Imp.]:[C. Imp.]],$D1075,Imput[[PERIODO Imp.]:[PERIODO Imp.]],CQ$9)</f>
        <v>0</v>
      </c>
      <c r="CR1075" s="693">
        <f>SUMIFS(Imput[[Importe Neto]:[Importe Neto]],Imput[[C. Imp.]:[C. Imp.]],$D1075,Imput[[PERIODO Imp.]:[PERIODO Imp.]],CR$9)</f>
        <v>0</v>
      </c>
      <c r="CS1075" s="693">
        <f>SUMIFS(Imput[[Importe Neto]:[Importe Neto]],Imput[[C. Imp.]:[C. Imp.]],$D1075,Imput[[PERIODO Imp.]:[PERIODO Imp.]],CS$9)</f>
        <v>0</v>
      </c>
      <c r="CT1075" s="693">
        <f>SUMIFS(Imput[[Importe Neto]:[Importe Neto]],Imput[[C. Imp.]:[C. Imp.]],$D1075,Imput[[PERIODO Imp.]:[PERIODO Imp.]],CT$9)</f>
        <v>0</v>
      </c>
      <c r="CU1075" s="693">
        <f>SUMIFS(Imput[[Importe Neto]:[Importe Neto]],Imput[[C. Imp.]:[C. Imp.]],$D1075,Imput[[PERIODO Imp.]:[PERIODO Imp.]],CU$9)</f>
        <v>0</v>
      </c>
      <c r="CV1075" s="693">
        <f>SUMIFS(Imput[[Importe Neto]:[Importe Neto]],Imput[[C. Imp.]:[C. Imp.]],$D1075,Imput[[PERIODO Imp.]:[PERIODO Imp.]],CV$9)</f>
        <v>0</v>
      </c>
      <c r="CW1075" s="693">
        <f>SUMIFS(Imput[[Importe Neto]:[Importe Neto]],Imput[[C. Imp.]:[C. Imp.]],$D1075,Imput[[PERIODO Imp.]:[PERIODO Imp.]],CW$9)</f>
        <v>0</v>
      </c>
      <c r="CX1075" s="693">
        <f>SUMIFS(Imput[[Importe Neto]:[Importe Neto]],Imput[[C. Imp.]:[C. Imp.]],$D1075,Imput[[PERIODO Imp.]:[PERIODO Imp.]],CX$9)</f>
        <v>0</v>
      </c>
      <c r="CY1075" s="693">
        <f>SUMIFS(Imput[[Importe Neto]:[Importe Neto]],Imput[[C. Imp.]:[C. Imp.]],$D1075,Imput[[PERIODO Imp.]:[PERIODO Imp.]],CY$9)</f>
        <v>0</v>
      </c>
      <c r="CZ1075" s="693">
        <f>SUMIFS(Imput[[Importe Neto]:[Importe Neto]],Imput[[C. Imp.]:[C. Imp.]],$D1075,Imput[[PERIODO Imp.]:[PERIODO Imp.]],CZ$9)</f>
        <v>0</v>
      </c>
      <c r="DA1075" s="693">
        <f>SUMIFS(Imput[[Importe Neto]:[Importe Neto]],Imput[[C. Imp.]:[C. Imp.]],$D1075,Imput[[PERIODO Imp.]:[PERIODO Imp.]],DA$9)</f>
        <v>0</v>
      </c>
      <c r="DB1075" s="693">
        <f>SUMIFS(Imput[[Importe Neto]:[Importe Neto]],Imput[[C. Imp.]:[C. Imp.]],$D1075,Imput[[PERIODO Imp.]:[PERIODO Imp.]],DB$9)</f>
        <v>0</v>
      </c>
      <c r="DC1075" s="693">
        <f>SUMIFS(Imput[[Importe Neto]:[Importe Neto]],Imput[[C. Imp.]:[C. Imp.]],$D1075,Imput[[PERIODO Imp.]:[PERIODO Imp.]],DC$9)</f>
        <v>0</v>
      </c>
      <c r="DD1075" s="693">
        <f>SUMIFS(Imput[[Importe Neto]:[Importe Neto]],Imput[[C. Imp.]:[C. Imp.]],$D1075,Imput[[PERIODO Imp.]:[PERIODO Imp.]],DD$9)</f>
        <v>0</v>
      </c>
      <c r="DE1075" s="693">
        <f>SUMIFS(Imput[[Importe Neto]:[Importe Neto]],Imput[[C. Imp.]:[C. Imp.]],$D1075,Imput[[PERIODO Imp.]:[PERIODO Imp.]],DE$9)</f>
        <v>0</v>
      </c>
      <c r="DF1075" s="693">
        <f>SUMIFS(Imput[[Importe Neto]:[Importe Neto]],Imput[[C. Imp.]:[C. Imp.]],$D1075,Imput[[PERIODO Imp.]:[PERIODO Imp.]],DF$9)</f>
        <v>0</v>
      </c>
      <c r="DG1075" s="693">
        <f>SUMIFS(Imput[[Importe Neto]:[Importe Neto]],Imput[[C. Imp.]:[C. Imp.]],$D1075,Imput[[PERIODO Imp.]:[PERIODO Imp.]],DG$9)</f>
        <v>0</v>
      </c>
      <c r="DH1075" s="694">
        <f>SUMIFS(Imput[[Importe Neto]:[Importe Neto]],Imput[[C. Imp.]:[C. Imp.]],$D1075,Imput[[PERIODO Imp.]:[PERIODO Imp.]],DH$9)</f>
        <v>0</v>
      </c>
    </row>
    <row r="1076" spans="1:112" s="649" customFormat="1" hidden="1" outlineLevel="1" x14ac:dyDescent="0.3">
      <c r="A1076" s="652" t="str">
        <f t="shared" si="361"/>
        <v/>
      </c>
      <c r="B1076" s="652"/>
      <c r="C1076" s="685"/>
      <c r="D1076" s="686"/>
      <c r="E1076" s="686"/>
      <c r="F1076" s="720"/>
      <c r="G1076" s="688"/>
      <c r="H1076" s="531"/>
      <c r="I1076" s="851" t="str">
        <f t="shared" si="362"/>
        <v/>
      </c>
      <c r="J1076" s="850" t="str">
        <f t="shared" si="363"/>
        <v/>
      </c>
      <c r="K1076" s="667"/>
      <c r="L1076" s="858">
        <v>0.5</v>
      </c>
      <c r="M1076" s="859">
        <v>3.5714285714285712E-2</v>
      </c>
      <c r="N1076" s="859">
        <v>3.5714285714285712E-2</v>
      </c>
      <c r="O1076" s="859">
        <v>3.5714285714285712E-2</v>
      </c>
      <c r="P1076" s="859">
        <v>3.5714285714285712E-2</v>
      </c>
      <c r="Q1076" s="859">
        <v>3.5714285714285712E-2</v>
      </c>
      <c r="R1076" s="859">
        <v>3.5714285714285712E-2</v>
      </c>
      <c r="S1076" s="859">
        <v>3.5714285714285712E-2</v>
      </c>
      <c r="T1076" s="859">
        <v>3.5714285714285712E-2</v>
      </c>
      <c r="U1076" s="859">
        <v>3.5714285714285712E-2</v>
      </c>
      <c r="V1076" s="859">
        <v>3.5714285714285712E-2</v>
      </c>
      <c r="W1076" s="859">
        <v>3.5714285714285712E-2</v>
      </c>
      <c r="X1076" s="859">
        <v>3.5714285714285712E-2</v>
      </c>
      <c r="Y1076" s="859">
        <v>3.5714285714285712E-2</v>
      </c>
      <c r="Z1076" s="860">
        <v>3.5714285714285712E-2</v>
      </c>
      <c r="AA1076" s="860"/>
      <c r="AB1076" s="860"/>
      <c r="AC1076" s="860"/>
      <c r="AD1076" s="860"/>
      <c r="AE1076" s="860"/>
      <c r="AF1076" s="860"/>
      <c r="AG1076" s="860"/>
      <c r="AH1076" s="860"/>
      <c r="AI1076" s="860"/>
      <c r="AJ1076" s="860"/>
      <c r="AK1076" s="860"/>
      <c r="AL1076" s="860"/>
      <c r="AM1076" s="860"/>
      <c r="AN1076" s="860"/>
      <c r="AO1076" s="860"/>
      <c r="AP1076" s="860"/>
      <c r="AQ1076" s="860"/>
      <c r="AR1076" s="860"/>
      <c r="AS1076" s="860"/>
      <c r="AT1076" s="860"/>
      <c r="AU1076" s="860"/>
      <c r="AV1076" s="860"/>
      <c r="AW1076" s="860"/>
      <c r="AX1076" s="860"/>
      <c r="AY1076" s="860"/>
      <c r="AZ1076" s="860"/>
      <c r="BA1076" s="860"/>
      <c r="BB1076" s="860"/>
      <c r="BC1076" s="860"/>
      <c r="BD1076" s="860"/>
      <c r="BE1076" s="860"/>
      <c r="BF1076" s="860"/>
      <c r="BG1076" s="860"/>
      <c r="BH1076" s="668"/>
      <c r="BI1076" s="667"/>
      <c r="BJ1076" s="690">
        <f t="shared" si="364"/>
        <v>0</v>
      </c>
      <c r="BK1076" s="691">
        <f t="shared" si="365"/>
        <v>0</v>
      </c>
      <c r="BL1076" s="654"/>
      <c r="BM1076" s="692">
        <f>SUMIFS(Imput[[Importe Neto]:[Importe Neto]],Imput[[C. Imp.]:[C. Imp.]],$D1076,Imput[[PERIODO Imp.]:[PERIODO Imp.]],BM$9)</f>
        <v>0</v>
      </c>
      <c r="BN1076" s="693">
        <f>SUMIFS(Imput[[Importe Neto]:[Importe Neto]],Imput[[C. Imp.]:[C. Imp.]],$D1076,Imput[[PERIODO Imp.]:[PERIODO Imp.]],BN$9)</f>
        <v>0</v>
      </c>
      <c r="BO1076" s="693">
        <f>SUMIFS(Imput[[Importe Neto]:[Importe Neto]],Imput[[C. Imp.]:[C. Imp.]],$D1076,Imput[[PERIODO Imp.]:[PERIODO Imp.]],BO$9)</f>
        <v>0</v>
      </c>
      <c r="BP1076" s="693">
        <f>SUMIFS(Imput[[Importe Neto]:[Importe Neto]],Imput[[C. Imp.]:[C. Imp.]],$D1076,Imput[[PERIODO Imp.]:[PERIODO Imp.]],BP$9)</f>
        <v>0</v>
      </c>
      <c r="BQ1076" s="693">
        <f>SUMIFS(Imput[[Importe Neto]:[Importe Neto]],Imput[[C. Imp.]:[C. Imp.]],$D1076,Imput[[PERIODO Imp.]:[PERIODO Imp.]],BQ$9)</f>
        <v>0</v>
      </c>
      <c r="BR1076" s="693">
        <f>SUMIFS(Imput[[Importe Neto]:[Importe Neto]],Imput[[C. Imp.]:[C. Imp.]],$D1076,Imput[[PERIODO Imp.]:[PERIODO Imp.]],BR$9)</f>
        <v>0</v>
      </c>
      <c r="BS1076" s="693">
        <f>SUMIFS(Imput[[Importe Neto]:[Importe Neto]],Imput[[C. Imp.]:[C. Imp.]],$D1076,Imput[[PERIODO Imp.]:[PERIODO Imp.]],BS$9)</f>
        <v>0</v>
      </c>
      <c r="BT1076" s="693">
        <f>SUMIFS(Imput[[Importe Neto]:[Importe Neto]],Imput[[C. Imp.]:[C. Imp.]],$D1076,Imput[[PERIODO Imp.]:[PERIODO Imp.]],BT$9)</f>
        <v>0</v>
      </c>
      <c r="BU1076" s="693">
        <f>SUMIFS(Imput[[Importe Neto]:[Importe Neto]],Imput[[C. Imp.]:[C. Imp.]],$D1076,Imput[[PERIODO Imp.]:[PERIODO Imp.]],BU$9)</f>
        <v>0</v>
      </c>
      <c r="BV1076" s="693">
        <f>SUMIFS(Imput[[Importe Neto]:[Importe Neto]],Imput[[C. Imp.]:[C. Imp.]],$D1076,Imput[[PERIODO Imp.]:[PERIODO Imp.]],BV$9)</f>
        <v>0</v>
      </c>
      <c r="BW1076" s="693">
        <f>SUMIFS(Imput[[Importe Neto]:[Importe Neto]],Imput[[C. Imp.]:[C. Imp.]],$D1076,Imput[[PERIODO Imp.]:[PERIODO Imp.]],BW$9)</f>
        <v>0</v>
      </c>
      <c r="BX1076" s="693">
        <f>SUMIFS(Imput[[Importe Neto]:[Importe Neto]],Imput[[C. Imp.]:[C. Imp.]],$D1076,Imput[[PERIODO Imp.]:[PERIODO Imp.]],BX$9)</f>
        <v>0</v>
      </c>
      <c r="BY1076" s="693">
        <f>SUMIFS(Imput[[Importe Neto]:[Importe Neto]],Imput[[C. Imp.]:[C. Imp.]],$D1076,Imput[[PERIODO Imp.]:[PERIODO Imp.]],BY$9)</f>
        <v>0</v>
      </c>
      <c r="BZ1076" s="693">
        <f>SUMIFS(Imput[[Importe Neto]:[Importe Neto]],Imput[[C. Imp.]:[C. Imp.]],$D1076,Imput[[PERIODO Imp.]:[PERIODO Imp.]],BZ$9)</f>
        <v>0</v>
      </c>
      <c r="CA1076" s="693">
        <f>SUMIFS(Imput[[Importe Neto]:[Importe Neto]],Imput[[C. Imp.]:[C. Imp.]],$D1076,Imput[[PERIODO Imp.]:[PERIODO Imp.]],CA$9)</f>
        <v>0</v>
      </c>
      <c r="CB1076" s="693">
        <f>SUMIFS(Imput[[Importe Neto]:[Importe Neto]],Imput[[C. Imp.]:[C. Imp.]],$D1076,Imput[[PERIODO Imp.]:[PERIODO Imp.]],CB$9)</f>
        <v>0</v>
      </c>
      <c r="CC1076" s="693">
        <f>SUMIFS(Imput[[Importe Neto]:[Importe Neto]],Imput[[C. Imp.]:[C. Imp.]],$D1076,Imput[[PERIODO Imp.]:[PERIODO Imp.]],CC$9)</f>
        <v>0</v>
      </c>
      <c r="CD1076" s="693">
        <f>SUMIFS(Imput[[Importe Neto]:[Importe Neto]],Imput[[C. Imp.]:[C. Imp.]],$D1076,Imput[[PERIODO Imp.]:[PERIODO Imp.]],CD$9)</f>
        <v>0</v>
      </c>
      <c r="CE1076" s="693">
        <f>SUMIFS(Imput[[Importe Neto]:[Importe Neto]],Imput[[C. Imp.]:[C. Imp.]],$D1076,Imput[[PERIODO Imp.]:[PERIODO Imp.]],CE$9)</f>
        <v>0</v>
      </c>
      <c r="CF1076" s="693">
        <f>SUMIFS(Imput[[Importe Neto]:[Importe Neto]],Imput[[C. Imp.]:[C. Imp.]],$D1076,Imput[[PERIODO Imp.]:[PERIODO Imp.]],CF$9)</f>
        <v>0</v>
      </c>
      <c r="CG1076" s="693">
        <f>SUMIFS(Imput[[Importe Neto]:[Importe Neto]],Imput[[C. Imp.]:[C. Imp.]],$D1076,Imput[[PERIODO Imp.]:[PERIODO Imp.]],CG$9)</f>
        <v>0</v>
      </c>
      <c r="CH1076" s="693">
        <f>SUMIFS(Imput[[Importe Neto]:[Importe Neto]],Imput[[C. Imp.]:[C. Imp.]],$D1076,Imput[[PERIODO Imp.]:[PERIODO Imp.]],CH$9)</f>
        <v>0</v>
      </c>
      <c r="CI1076" s="693">
        <f>SUMIFS(Imput[[Importe Neto]:[Importe Neto]],Imput[[C. Imp.]:[C. Imp.]],$D1076,Imput[[PERIODO Imp.]:[PERIODO Imp.]],CI$9)</f>
        <v>0</v>
      </c>
      <c r="CJ1076" s="693">
        <f>SUMIFS(Imput[[Importe Neto]:[Importe Neto]],Imput[[C. Imp.]:[C. Imp.]],$D1076,Imput[[PERIODO Imp.]:[PERIODO Imp.]],CJ$9)</f>
        <v>0</v>
      </c>
      <c r="CK1076" s="693">
        <f>SUMIFS(Imput[[Importe Neto]:[Importe Neto]],Imput[[C. Imp.]:[C. Imp.]],$D1076,Imput[[PERIODO Imp.]:[PERIODO Imp.]],CK$9)</f>
        <v>0</v>
      </c>
      <c r="CL1076" s="693">
        <f>SUMIFS(Imput[[Importe Neto]:[Importe Neto]],Imput[[C. Imp.]:[C. Imp.]],$D1076,Imput[[PERIODO Imp.]:[PERIODO Imp.]],CL$9)</f>
        <v>0</v>
      </c>
      <c r="CM1076" s="693">
        <f>SUMIFS(Imput[[Importe Neto]:[Importe Neto]],Imput[[C. Imp.]:[C. Imp.]],$D1076,Imput[[PERIODO Imp.]:[PERIODO Imp.]],CM$9)</f>
        <v>0</v>
      </c>
      <c r="CN1076" s="693">
        <f>SUMIFS(Imput[[Importe Neto]:[Importe Neto]],Imput[[C. Imp.]:[C. Imp.]],$D1076,Imput[[PERIODO Imp.]:[PERIODO Imp.]],CN$9)</f>
        <v>0</v>
      </c>
      <c r="CO1076" s="693">
        <f>SUMIFS(Imput[[Importe Neto]:[Importe Neto]],Imput[[C. Imp.]:[C. Imp.]],$D1076,Imput[[PERIODO Imp.]:[PERIODO Imp.]],CO$9)</f>
        <v>0</v>
      </c>
      <c r="CP1076" s="693">
        <f>SUMIFS(Imput[[Importe Neto]:[Importe Neto]],Imput[[C. Imp.]:[C. Imp.]],$D1076,Imput[[PERIODO Imp.]:[PERIODO Imp.]],CP$9)</f>
        <v>0</v>
      </c>
      <c r="CQ1076" s="693">
        <f>SUMIFS(Imput[[Importe Neto]:[Importe Neto]],Imput[[C. Imp.]:[C. Imp.]],$D1076,Imput[[PERIODO Imp.]:[PERIODO Imp.]],CQ$9)</f>
        <v>0</v>
      </c>
      <c r="CR1076" s="693">
        <f>SUMIFS(Imput[[Importe Neto]:[Importe Neto]],Imput[[C. Imp.]:[C. Imp.]],$D1076,Imput[[PERIODO Imp.]:[PERIODO Imp.]],CR$9)</f>
        <v>0</v>
      </c>
      <c r="CS1076" s="693">
        <f>SUMIFS(Imput[[Importe Neto]:[Importe Neto]],Imput[[C. Imp.]:[C. Imp.]],$D1076,Imput[[PERIODO Imp.]:[PERIODO Imp.]],CS$9)</f>
        <v>0</v>
      </c>
      <c r="CT1076" s="693">
        <f>SUMIFS(Imput[[Importe Neto]:[Importe Neto]],Imput[[C. Imp.]:[C. Imp.]],$D1076,Imput[[PERIODO Imp.]:[PERIODO Imp.]],CT$9)</f>
        <v>0</v>
      </c>
      <c r="CU1076" s="693">
        <f>SUMIFS(Imput[[Importe Neto]:[Importe Neto]],Imput[[C. Imp.]:[C. Imp.]],$D1076,Imput[[PERIODO Imp.]:[PERIODO Imp.]],CU$9)</f>
        <v>0</v>
      </c>
      <c r="CV1076" s="693">
        <f>SUMIFS(Imput[[Importe Neto]:[Importe Neto]],Imput[[C. Imp.]:[C. Imp.]],$D1076,Imput[[PERIODO Imp.]:[PERIODO Imp.]],CV$9)</f>
        <v>0</v>
      </c>
      <c r="CW1076" s="693">
        <f>SUMIFS(Imput[[Importe Neto]:[Importe Neto]],Imput[[C. Imp.]:[C. Imp.]],$D1076,Imput[[PERIODO Imp.]:[PERIODO Imp.]],CW$9)</f>
        <v>0</v>
      </c>
      <c r="CX1076" s="693">
        <f>SUMIFS(Imput[[Importe Neto]:[Importe Neto]],Imput[[C. Imp.]:[C. Imp.]],$D1076,Imput[[PERIODO Imp.]:[PERIODO Imp.]],CX$9)</f>
        <v>0</v>
      </c>
      <c r="CY1076" s="693">
        <f>SUMIFS(Imput[[Importe Neto]:[Importe Neto]],Imput[[C. Imp.]:[C. Imp.]],$D1076,Imput[[PERIODO Imp.]:[PERIODO Imp.]],CY$9)</f>
        <v>0</v>
      </c>
      <c r="CZ1076" s="693">
        <f>SUMIFS(Imput[[Importe Neto]:[Importe Neto]],Imput[[C. Imp.]:[C. Imp.]],$D1076,Imput[[PERIODO Imp.]:[PERIODO Imp.]],CZ$9)</f>
        <v>0</v>
      </c>
      <c r="DA1076" s="693">
        <f>SUMIFS(Imput[[Importe Neto]:[Importe Neto]],Imput[[C. Imp.]:[C. Imp.]],$D1076,Imput[[PERIODO Imp.]:[PERIODO Imp.]],DA$9)</f>
        <v>0</v>
      </c>
      <c r="DB1076" s="693">
        <f>SUMIFS(Imput[[Importe Neto]:[Importe Neto]],Imput[[C. Imp.]:[C. Imp.]],$D1076,Imput[[PERIODO Imp.]:[PERIODO Imp.]],DB$9)</f>
        <v>0</v>
      </c>
      <c r="DC1076" s="693">
        <f>SUMIFS(Imput[[Importe Neto]:[Importe Neto]],Imput[[C. Imp.]:[C. Imp.]],$D1076,Imput[[PERIODO Imp.]:[PERIODO Imp.]],DC$9)</f>
        <v>0</v>
      </c>
      <c r="DD1076" s="693">
        <f>SUMIFS(Imput[[Importe Neto]:[Importe Neto]],Imput[[C. Imp.]:[C. Imp.]],$D1076,Imput[[PERIODO Imp.]:[PERIODO Imp.]],DD$9)</f>
        <v>0</v>
      </c>
      <c r="DE1076" s="693">
        <f>SUMIFS(Imput[[Importe Neto]:[Importe Neto]],Imput[[C. Imp.]:[C. Imp.]],$D1076,Imput[[PERIODO Imp.]:[PERIODO Imp.]],DE$9)</f>
        <v>0</v>
      </c>
      <c r="DF1076" s="693">
        <f>SUMIFS(Imput[[Importe Neto]:[Importe Neto]],Imput[[C. Imp.]:[C. Imp.]],$D1076,Imput[[PERIODO Imp.]:[PERIODO Imp.]],DF$9)</f>
        <v>0</v>
      </c>
      <c r="DG1076" s="693">
        <f>SUMIFS(Imput[[Importe Neto]:[Importe Neto]],Imput[[C. Imp.]:[C. Imp.]],$D1076,Imput[[PERIODO Imp.]:[PERIODO Imp.]],DG$9)</f>
        <v>0</v>
      </c>
      <c r="DH1076" s="694">
        <f>SUMIFS(Imput[[Importe Neto]:[Importe Neto]],Imput[[C. Imp.]:[C. Imp.]],$D1076,Imput[[PERIODO Imp.]:[PERIODO Imp.]],DH$9)</f>
        <v>0</v>
      </c>
    </row>
    <row r="1077" spans="1:112" s="649" customFormat="1" hidden="1" outlineLevel="1" x14ac:dyDescent="0.3">
      <c r="A1077" s="652" t="str">
        <f t="shared" si="361"/>
        <v/>
      </c>
      <c r="B1077" s="652"/>
      <c r="C1077" s="685"/>
      <c r="D1077" s="686"/>
      <c r="E1077" s="686"/>
      <c r="F1077" s="720"/>
      <c r="G1077" s="688"/>
      <c r="H1077" s="531"/>
      <c r="I1077" s="851" t="str">
        <f t="shared" si="362"/>
        <v/>
      </c>
      <c r="J1077" s="850" t="str">
        <f t="shared" si="363"/>
        <v/>
      </c>
      <c r="K1077" s="667"/>
      <c r="L1077" s="858">
        <v>1</v>
      </c>
      <c r="M1077" s="859"/>
      <c r="N1077" s="859"/>
      <c r="O1077" s="859"/>
      <c r="P1077" s="859"/>
      <c r="Q1077" s="859"/>
      <c r="R1077" s="859"/>
      <c r="S1077" s="859"/>
      <c r="T1077" s="859"/>
      <c r="U1077" s="859"/>
      <c r="V1077" s="859"/>
      <c r="W1077" s="859"/>
      <c r="X1077" s="859"/>
      <c r="Y1077" s="859"/>
      <c r="Z1077" s="860"/>
      <c r="AA1077" s="860"/>
      <c r="AB1077" s="860"/>
      <c r="AC1077" s="860"/>
      <c r="AD1077" s="860"/>
      <c r="AE1077" s="860"/>
      <c r="AF1077" s="860"/>
      <c r="AG1077" s="860"/>
      <c r="AH1077" s="860"/>
      <c r="AI1077" s="860"/>
      <c r="AJ1077" s="860"/>
      <c r="AK1077" s="860"/>
      <c r="AL1077" s="860"/>
      <c r="AM1077" s="860"/>
      <c r="AN1077" s="860"/>
      <c r="AO1077" s="860"/>
      <c r="AP1077" s="860"/>
      <c r="AQ1077" s="860"/>
      <c r="AR1077" s="860"/>
      <c r="AS1077" s="860"/>
      <c r="AT1077" s="860"/>
      <c r="AU1077" s="860"/>
      <c r="AV1077" s="860"/>
      <c r="AW1077" s="860"/>
      <c r="AX1077" s="860"/>
      <c r="AY1077" s="860"/>
      <c r="AZ1077" s="860"/>
      <c r="BA1077" s="860"/>
      <c r="BB1077" s="860"/>
      <c r="BC1077" s="860"/>
      <c r="BD1077" s="860"/>
      <c r="BE1077" s="860"/>
      <c r="BF1077" s="860"/>
      <c r="BG1077" s="860"/>
      <c r="BH1077" s="668"/>
      <c r="BI1077" s="667"/>
      <c r="BJ1077" s="690">
        <f t="shared" si="364"/>
        <v>0</v>
      </c>
      <c r="BK1077" s="691">
        <f t="shared" si="365"/>
        <v>0</v>
      </c>
      <c r="BL1077" s="654"/>
      <c r="BM1077" s="692">
        <f>SUMIFS(Imput[[Importe Neto]:[Importe Neto]],Imput[[C. Imp.]:[C. Imp.]],$D1077,Imput[[PERIODO Imp.]:[PERIODO Imp.]],BM$9)</f>
        <v>0</v>
      </c>
      <c r="BN1077" s="693">
        <f>SUMIFS(Imput[[Importe Neto]:[Importe Neto]],Imput[[C. Imp.]:[C. Imp.]],$D1077,Imput[[PERIODO Imp.]:[PERIODO Imp.]],BN$9)</f>
        <v>0</v>
      </c>
      <c r="BO1077" s="693">
        <f>SUMIFS(Imput[[Importe Neto]:[Importe Neto]],Imput[[C. Imp.]:[C. Imp.]],$D1077,Imput[[PERIODO Imp.]:[PERIODO Imp.]],BO$9)</f>
        <v>0</v>
      </c>
      <c r="BP1077" s="693">
        <f>SUMIFS(Imput[[Importe Neto]:[Importe Neto]],Imput[[C. Imp.]:[C. Imp.]],$D1077,Imput[[PERIODO Imp.]:[PERIODO Imp.]],BP$9)</f>
        <v>0</v>
      </c>
      <c r="BQ1077" s="693">
        <f>SUMIFS(Imput[[Importe Neto]:[Importe Neto]],Imput[[C. Imp.]:[C. Imp.]],$D1077,Imput[[PERIODO Imp.]:[PERIODO Imp.]],BQ$9)</f>
        <v>0</v>
      </c>
      <c r="BR1077" s="693">
        <f>SUMIFS(Imput[[Importe Neto]:[Importe Neto]],Imput[[C. Imp.]:[C. Imp.]],$D1077,Imput[[PERIODO Imp.]:[PERIODO Imp.]],BR$9)</f>
        <v>0</v>
      </c>
      <c r="BS1077" s="693">
        <f>SUMIFS(Imput[[Importe Neto]:[Importe Neto]],Imput[[C. Imp.]:[C. Imp.]],$D1077,Imput[[PERIODO Imp.]:[PERIODO Imp.]],BS$9)</f>
        <v>0</v>
      </c>
      <c r="BT1077" s="693">
        <f>SUMIFS(Imput[[Importe Neto]:[Importe Neto]],Imput[[C. Imp.]:[C. Imp.]],$D1077,Imput[[PERIODO Imp.]:[PERIODO Imp.]],BT$9)</f>
        <v>0</v>
      </c>
      <c r="BU1077" s="693">
        <f>SUMIFS(Imput[[Importe Neto]:[Importe Neto]],Imput[[C. Imp.]:[C. Imp.]],$D1077,Imput[[PERIODO Imp.]:[PERIODO Imp.]],BU$9)</f>
        <v>0</v>
      </c>
      <c r="BV1077" s="693">
        <f>SUMIFS(Imput[[Importe Neto]:[Importe Neto]],Imput[[C. Imp.]:[C. Imp.]],$D1077,Imput[[PERIODO Imp.]:[PERIODO Imp.]],BV$9)</f>
        <v>0</v>
      </c>
      <c r="BW1077" s="693">
        <f>SUMIFS(Imput[[Importe Neto]:[Importe Neto]],Imput[[C. Imp.]:[C. Imp.]],$D1077,Imput[[PERIODO Imp.]:[PERIODO Imp.]],BW$9)</f>
        <v>0</v>
      </c>
      <c r="BX1077" s="693">
        <f>SUMIFS(Imput[[Importe Neto]:[Importe Neto]],Imput[[C. Imp.]:[C. Imp.]],$D1077,Imput[[PERIODO Imp.]:[PERIODO Imp.]],BX$9)</f>
        <v>0</v>
      </c>
      <c r="BY1077" s="693">
        <f>SUMIFS(Imput[[Importe Neto]:[Importe Neto]],Imput[[C. Imp.]:[C. Imp.]],$D1077,Imput[[PERIODO Imp.]:[PERIODO Imp.]],BY$9)</f>
        <v>0</v>
      </c>
      <c r="BZ1077" s="693">
        <f>SUMIFS(Imput[[Importe Neto]:[Importe Neto]],Imput[[C. Imp.]:[C. Imp.]],$D1077,Imput[[PERIODO Imp.]:[PERIODO Imp.]],BZ$9)</f>
        <v>0</v>
      </c>
      <c r="CA1077" s="693">
        <f>SUMIFS(Imput[[Importe Neto]:[Importe Neto]],Imput[[C. Imp.]:[C. Imp.]],$D1077,Imput[[PERIODO Imp.]:[PERIODO Imp.]],CA$9)</f>
        <v>0</v>
      </c>
      <c r="CB1077" s="693">
        <f>SUMIFS(Imput[[Importe Neto]:[Importe Neto]],Imput[[C. Imp.]:[C. Imp.]],$D1077,Imput[[PERIODO Imp.]:[PERIODO Imp.]],CB$9)</f>
        <v>0</v>
      </c>
      <c r="CC1077" s="693">
        <f>SUMIFS(Imput[[Importe Neto]:[Importe Neto]],Imput[[C. Imp.]:[C. Imp.]],$D1077,Imput[[PERIODO Imp.]:[PERIODO Imp.]],CC$9)</f>
        <v>0</v>
      </c>
      <c r="CD1077" s="693">
        <f>SUMIFS(Imput[[Importe Neto]:[Importe Neto]],Imput[[C. Imp.]:[C. Imp.]],$D1077,Imput[[PERIODO Imp.]:[PERIODO Imp.]],CD$9)</f>
        <v>0</v>
      </c>
      <c r="CE1077" s="693">
        <f>SUMIFS(Imput[[Importe Neto]:[Importe Neto]],Imput[[C. Imp.]:[C. Imp.]],$D1077,Imput[[PERIODO Imp.]:[PERIODO Imp.]],CE$9)</f>
        <v>0</v>
      </c>
      <c r="CF1077" s="693">
        <f>SUMIFS(Imput[[Importe Neto]:[Importe Neto]],Imput[[C. Imp.]:[C. Imp.]],$D1077,Imput[[PERIODO Imp.]:[PERIODO Imp.]],CF$9)</f>
        <v>0</v>
      </c>
      <c r="CG1077" s="693">
        <f>SUMIFS(Imput[[Importe Neto]:[Importe Neto]],Imput[[C. Imp.]:[C. Imp.]],$D1077,Imput[[PERIODO Imp.]:[PERIODO Imp.]],CG$9)</f>
        <v>0</v>
      </c>
      <c r="CH1077" s="693">
        <f>SUMIFS(Imput[[Importe Neto]:[Importe Neto]],Imput[[C. Imp.]:[C. Imp.]],$D1077,Imput[[PERIODO Imp.]:[PERIODO Imp.]],CH$9)</f>
        <v>0</v>
      </c>
      <c r="CI1077" s="693">
        <f>SUMIFS(Imput[[Importe Neto]:[Importe Neto]],Imput[[C. Imp.]:[C. Imp.]],$D1077,Imput[[PERIODO Imp.]:[PERIODO Imp.]],CI$9)</f>
        <v>0</v>
      </c>
      <c r="CJ1077" s="693">
        <f>SUMIFS(Imput[[Importe Neto]:[Importe Neto]],Imput[[C. Imp.]:[C. Imp.]],$D1077,Imput[[PERIODO Imp.]:[PERIODO Imp.]],CJ$9)</f>
        <v>0</v>
      </c>
      <c r="CK1077" s="693">
        <f>SUMIFS(Imput[[Importe Neto]:[Importe Neto]],Imput[[C. Imp.]:[C. Imp.]],$D1077,Imput[[PERIODO Imp.]:[PERIODO Imp.]],CK$9)</f>
        <v>0</v>
      </c>
      <c r="CL1077" s="693">
        <f>SUMIFS(Imput[[Importe Neto]:[Importe Neto]],Imput[[C. Imp.]:[C. Imp.]],$D1077,Imput[[PERIODO Imp.]:[PERIODO Imp.]],CL$9)</f>
        <v>0</v>
      </c>
      <c r="CM1077" s="693">
        <f>SUMIFS(Imput[[Importe Neto]:[Importe Neto]],Imput[[C. Imp.]:[C. Imp.]],$D1077,Imput[[PERIODO Imp.]:[PERIODO Imp.]],CM$9)</f>
        <v>0</v>
      </c>
      <c r="CN1077" s="693">
        <f>SUMIFS(Imput[[Importe Neto]:[Importe Neto]],Imput[[C. Imp.]:[C. Imp.]],$D1077,Imput[[PERIODO Imp.]:[PERIODO Imp.]],CN$9)</f>
        <v>0</v>
      </c>
      <c r="CO1077" s="693">
        <f>SUMIFS(Imput[[Importe Neto]:[Importe Neto]],Imput[[C. Imp.]:[C. Imp.]],$D1077,Imput[[PERIODO Imp.]:[PERIODO Imp.]],CO$9)</f>
        <v>0</v>
      </c>
      <c r="CP1077" s="693">
        <f>SUMIFS(Imput[[Importe Neto]:[Importe Neto]],Imput[[C. Imp.]:[C. Imp.]],$D1077,Imput[[PERIODO Imp.]:[PERIODO Imp.]],CP$9)</f>
        <v>0</v>
      </c>
      <c r="CQ1077" s="693">
        <f>SUMIFS(Imput[[Importe Neto]:[Importe Neto]],Imput[[C. Imp.]:[C. Imp.]],$D1077,Imput[[PERIODO Imp.]:[PERIODO Imp.]],CQ$9)</f>
        <v>0</v>
      </c>
      <c r="CR1077" s="693">
        <f>SUMIFS(Imput[[Importe Neto]:[Importe Neto]],Imput[[C. Imp.]:[C. Imp.]],$D1077,Imput[[PERIODO Imp.]:[PERIODO Imp.]],CR$9)</f>
        <v>0</v>
      </c>
      <c r="CS1077" s="693">
        <f>SUMIFS(Imput[[Importe Neto]:[Importe Neto]],Imput[[C. Imp.]:[C. Imp.]],$D1077,Imput[[PERIODO Imp.]:[PERIODO Imp.]],CS$9)</f>
        <v>0</v>
      </c>
      <c r="CT1077" s="693">
        <f>SUMIFS(Imput[[Importe Neto]:[Importe Neto]],Imput[[C. Imp.]:[C. Imp.]],$D1077,Imput[[PERIODO Imp.]:[PERIODO Imp.]],CT$9)</f>
        <v>0</v>
      </c>
      <c r="CU1077" s="693">
        <f>SUMIFS(Imput[[Importe Neto]:[Importe Neto]],Imput[[C. Imp.]:[C. Imp.]],$D1077,Imput[[PERIODO Imp.]:[PERIODO Imp.]],CU$9)</f>
        <v>0</v>
      </c>
      <c r="CV1077" s="693">
        <f>SUMIFS(Imput[[Importe Neto]:[Importe Neto]],Imput[[C. Imp.]:[C. Imp.]],$D1077,Imput[[PERIODO Imp.]:[PERIODO Imp.]],CV$9)</f>
        <v>0</v>
      </c>
      <c r="CW1077" s="693">
        <f>SUMIFS(Imput[[Importe Neto]:[Importe Neto]],Imput[[C. Imp.]:[C. Imp.]],$D1077,Imput[[PERIODO Imp.]:[PERIODO Imp.]],CW$9)</f>
        <v>0</v>
      </c>
      <c r="CX1077" s="693">
        <f>SUMIFS(Imput[[Importe Neto]:[Importe Neto]],Imput[[C. Imp.]:[C. Imp.]],$D1077,Imput[[PERIODO Imp.]:[PERIODO Imp.]],CX$9)</f>
        <v>0</v>
      </c>
      <c r="CY1077" s="693">
        <f>SUMIFS(Imput[[Importe Neto]:[Importe Neto]],Imput[[C. Imp.]:[C. Imp.]],$D1077,Imput[[PERIODO Imp.]:[PERIODO Imp.]],CY$9)</f>
        <v>0</v>
      </c>
      <c r="CZ1077" s="693">
        <f>SUMIFS(Imput[[Importe Neto]:[Importe Neto]],Imput[[C. Imp.]:[C. Imp.]],$D1077,Imput[[PERIODO Imp.]:[PERIODO Imp.]],CZ$9)</f>
        <v>0</v>
      </c>
      <c r="DA1077" s="693">
        <f>SUMIFS(Imput[[Importe Neto]:[Importe Neto]],Imput[[C. Imp.]:[C. Imp.]],$D1077,Imput[[PERIODO Imp.]:[PERIODO Imp.]],DA$9)</f>
        <v>0</v>
      </c>
      <c r="DB1077" s="693">
        <f>SUMIFS(Imput[[Importe Neto]:[Importe Neto]],Imput[[C. Imp.]:[C. Imp.]],$D1077,Imput[[PERIODO Imp.]:[PERIODO Imp.]],DB$9)</f>
        <v>0</v>
      </c>
      <c r="DC1077" s="693">
        <f>SUMIFS(Imput[[Importe Neto]:[Importe Neto]],Imput[[C. Imp.]:[C. Imp.]],$D1077,Imput[[PERIODO Imp.]:[PERIODO Imp.]],DC$9)</f>
        <v>0</v>
      </c>
      <c r="DD1077" s="693">
        <f>SUMIFS(Imput[[Importe Neto]:[Importe Neto]],Imput[[C. Imp.]:[C. Imp.]],$D1077,Imput[[PERIODO Imp.]:[PERIODO Imp.]],DD$9)</f>
        <v>0</v>
      </c>
      <c r="DE1077" s="693">
        <f>SUMIFS(Imput[[Importe Neto]:[Importe Neto]],Imput[[C. Imp.]:[C. Imp.]],$D1077,Imput[[PERIODO Imp.]:[PERIODO Imp.]],DE$9)</f>
        <v>0</v>
      </c>
      <c r="DF1077" s="693">
        <f>SUMIFS(Imput[[Importe Neto]:[Importe Neto]],Imput[[C. Imp.]:[C. Imp.]],$D1077,Imput[[PERIODO Imp.]:[PERIODO Imp.]],DF$9)</f>
        <v>0</v>
      </c>
      <c r="DG1077" s="693">
        <f>SUMIFS(Imput[[Importe Neto]:[Importe Neto]],Imput[[C. Imp.]:[C. Imp.]],$D1077,Imput[[PERIODO Imp.]:[PERIODO Imp.]],DG$9)</f>
        <v>0</v>
      </c>
      <c r="DH1077" s="694">
        <f>SUMIFS(Imput[[Importe Neto]:[Importe Neto]],Imput[[C. Imp.]:[C. Imp.]],$D1077,Imput[[PERIODO Imp.]:[PERIODO Imp.]],DH$9)</f>
        <v>0</v>
      </c>
    </row>
    <row r="1078" spans="1:112" s="649" customFormat="1" hidden="1" outlineLevel="1" x14ac:dyDescent="0.3">
      <c r="A1078" s="652" t="str">
        <f t="shared" si="361"/>
        <v/>
      </c>
      <c r="B1078" s="652"/>
      <c r="C1078" s="685"/>
      <c r="D1078" s="686"/>
      <c r="E1078" s="686"/>
      <c r="F1078" s="720"/>
      <c r="G1078" s="688"/>
      <c r="H1078" s="531"/>
      <c r="I1078" s="851" t="str">
        <f t="shared" si="362"/>
        <v/>
      </c>
      <c r="J1078" s="850" t="str">
        <f t="shared" si="363"/>
        <v/>
      </c>
      <c r="K1078" s="667"/>
      <c r="L1078" s="858">
        <v>1</v>
      </c>
      <c r="M1078" s="859"/>
      <c r="N1078" s="859"/>
      <c r="O1078" s="859"/>
      <c r="P1078" s="859"/>
      <c r="Q1078" s="859"/>
      <c r="R1078" s="859"/>
      <c r="S1078" s="859"/>
      <c r="T1078" s="859"/>
      <c r="U1078" s="859"/>
      <c r="V1078" s="859"/>
      <c r="W1078" s="859"/>
      <c r="X1078" s="859"/>
      <c r="Y1078" s="859"/>
      <c r="Z1078" s="860"/>
      <c r="AA1078" s="860"/>
      <c r="AB1078" s="860"/>
      <c r="AC1078" s="860"/>
      <c r="AD1078" s="860"/>
      <c r="AE1078" s="860"/>
      <c r="AF1078" s="860"/>
      <c r="AG1078" s="860"/>
      <c r="AH1078" s="860"/>
      <c r="AI1078" s="860"/>
      <c r="AJ1078" s="860"/>
      <c r="AK1078" s="860"/>
      <c r="AL1078" s="860"/>
      <c r="AM1078" s="860"/>
      <c r="AN1078" s="860"/>
      <c r="AO1078" s="860"/>
      <c r="AP1078" s="860"/>
      <c r="AQ1078" s="860"/>
      <c r="AR1078" s="860"/>
      <c r="AS1078" s="860"/>
      <c r="AT1078" s="860"/>
      <c r="AU1078" s="860"/>
      <c r="AV1078" s="860"/>
      <c r="AW1078" s="860"/>
      <c r="AX1078" s="860"/>
      <c r="AY1078" s="860"/>
      <c r="AZ1078" s="860"/>
      <c r="BA1078" s="860"/>
      <c r="BB1078" s="860"/>
      <c r="BC1078" s="860"/>
      <c r="BD1078" s="860"/>
      <c r="BE1078" s="860"/>
      <c r="BF1078" s="860"/>
      <c r="BG1078" s="860"/>
      <c r="BH1078" s="668"/>
      <c r="BI1078" s="667"/>
      <c r="BJ1078" s="690">
        <f t="shared" si="364"/>
        <v>0</v>
      </c>
      <c r="BK1078" s="691">
        <f t="shared" si="365"/>
        <v>0</v>
      </c>
      <c r="BL1078" s="654"/>
      <c r="BM1078" s="692">
        <f>SUMIFS(Imput[[Importe Neto]:[Importe Neto]],Imput[[C. Imp.]:[C. Imp.]],$D1078,Imput[[PERIODO Imp.]:[PERIODO Imp.]],BM$9)</f>
        <v>0</v>
      </c>
      <c r="BN1078" s="693">
        <f>SUMIFS(Imput[[Importe Neto]:[Importe Neto]],Imput[[C. Imp.]:[C. Imp.]],$D1078,Imput[[PERIODO Imp.]:[PERIODO Imp.]],BN$9)</f>
        <v>0</v>
      </c>
      <c r="BO1078" s="693">
        <f>SUMIFS(Imput[[Importe Neto]:[Importe Neto]],Imput[[C. Imp.]:[C. Imp.]],$D1078,Imput[[PERIODO Imp.]:[PERIODO Imp.]],BO$9)</f>
        <v>0</v>
      </c>
      <c r="BP1078" s="693">
        <f>SUMIFS(Imput[[Importe Neto]:[Importe Neto]],Imput[[C. Imp.]:[C. Imp.]],$D1078,Imput[[PERIODO Imp.]:[PERIODO Imp.]],BP$9)</f>
        <v>0</v>
      </c>
      <c r="BQ1078" s="693">
        <f>SUMIFS(Imput[[Importe Neto]:[Importe Neto]],Imput[[C. Imp.]:[C. Imp.]],$D1078,Imput[[PERIODO Imp.]:[PERIODO Imp.]],BQ$9)</f>
        <v>0</v>
      </c>
      <c r="BR1078" s="693">
        <f>SUMIFS(Imput[[Importe Neto]:[Importe Neto]],Imput[[C. Imp.]:[C. Imp.]],$D1078,Imput[[PERIODO Imp.]:[PERIODO Imp.]],BR$9)</f>
        <v>0</v>
      </c>
      <c r="BS1078" s="693">
        <f>SUMIFS(Imput[[Importe Neto]:[Importe Neto]],Imput[[C. Imp.]:[C. Imp.]],$D1078,Imput[[PERIODO Imp.]:[PERIODO Imp.]],BS$9)</f>
        <v>0</v>
      </c>
      <c r="BT1078" s="693">
        <f>SUMIFS(Imput[[Importe Neto]:[Importe Neto]],Imput[[C. Imp.]:[C. Imp.]],$D1078,Imput[[PERIODO Imp.]:[PERIODO Imp.]],BT$9)</f>
        <v>0</v>
      </c>
      <c r="BU1078" s="693">
        <f>SUMIFS(Imput[[Importe Neto]:[Importe Neto]],Imput[[C. Imp.]:[C. Imp.]],$D1078,Imput[[PERIODO Imp.]:[PERIODO Imp.]],BU$9)</f>
        <v>0</v>
      </c>
      <c r="BV1078" s="693">
        <f>SUMIFS(Imput[[Importe Neto]:[Importe Neto]],Imput[[C. Imp.]:[C. Imp.]],$D1078,Imput[[PERIODO Imp.]:[PERIODO Imp.]],BV$9)</f>
        <v>0</v>
      </c>
      <c r="BW1078" s="693">
        <f>SUMIFS(Imput[[Importe Neto]:[Importe Neto]],Imput[[C. Imp.]:[C. Imp.]],$D1078,Imput[[PERIODO Imp.]:[PERIODO Imp.]],BW$9)</f>
        <v>0</v>
      </c>
      <c r="BX1078" s="693">
        <f>SUMIFS(Imput[[Importe Neto]:[Importe Neto]],Imput[[C. Imp.]:[C. Imp.]],$D1078,Imput[[PERIODO Imp.]:[PERIODO Imp.]],BX$9)</f>
        <v>0</v>
      </c>
      <c r="BY1078" s="693">
        <f>SUMIFS(Imput[[Importe Neto]:[Importe Neto]],Imput[[C. Imp.]:[C. Imp.]],$D1078,Imput[[PERIODO Imp.]:[PERIODO Imp.]],BY$9)</f>
        <v>0</v>
      </c>
      <c r="BZ1078" s="693">
        <f>SUMIFS(Imput[[Importe Neto]:[Importe Neto]],Imput[[C. Imp.]:[C. Imp.]],$D1078,Imput[[PERIODO Imp.]:[PERIODO Imp.]],BZ$9)</f>
        <v>0</v>
      </c>
      <c r="CA1078" s="693">
        <f>SUMIFS(Imput[[Importe Neto]:[Importe Neto]],Imput[[C. Imp.]:[C. Imp.]],$D1078,Imput[[PERIODO Imp.]:[PERIODO Imp.]],CA$9)</f>
        <v>0</v>
      </c>
      <c r="CB1078" s="693">
        <f>SUMIFS(Imput[[Importe Neto]:[Importe Neto]],Imput[[C. Imp.]:[C. Imp.]],$D1078,Imput[[PERIODO Imp.]:[PERIODO Imp.]],CB$9)</f>
        <v>0</v>
      </c>
      <c r="CC1078" s="693">
        <f>SUMIFS(Imput[[Importe Neto]:[Importe Neto]],Imput[[C. Imp.]:[C. Imp.]],$D1078,Imput[[PERIODO Imp.]:[PERIODO Imp.]],CC$9)</f>
        <v>0</v>
      </c>
      <c r="CD1078" s="693">
        <f>SUMIFS(Imput[[Importe Neto]:[Importe Neto]],Imput[[C. Imp.]:[C. Imp.]],$D1078,Imput[[PERIODO Imp.]:[PERIODO Imp.]],CD$9)</f>
        <v>0</v>
      </c>
      <c r="CE1078" s="693">
        <f>SUMIFS(Imput[[Importe Neto]:[Importe Neto]],Imput[[C. Imp.]:[C. Imp.]],$D1078,Imput[[PERIODO Imp.]:[PERIODO Imp.]],CE$9)</f>
        <v>0</v>
      </c>
      <c r="CF1078" s="693">
        <f>SUMIFS(Imput[[Importe Neto]:[Importe Neto]],Imput[[C. Imp.]:[C. Imp.]],$D1078,Imput[[PERIODO Imp.]:[PERIODO Imp.]],CF$9)</f>
        <v>0</v>
      </c>
      <c r="CG1078" s="693">
        <f>SUMIFS(Imput[[Importe Neto]:[Importe Neto]],Imput[[C. Imp.]:[C. Imp.]],$D1078,Imput[[PERIODO Imp.]:[PERIODO Imp.]],CG$9)</f>
        <v>0</v>
      </c>
      <c r="CH1078" s="693">
        <f>SUMIFS(Imput[[Importe Neto]:[Importe Neto]],Imput[[C. Imp.]:[C. Imp.]],$D1078,Imput[[PERIODO Imp.]:[PERIODO Imp.]],CH$9)</f>
        <v>0</v>
      </c>
      <c r="CI1078" s="693">
        <f>SUMIFS(Imput[[Importe Neto]:[Importe Neto]],Imput[[C. Imp.]:[C. Imp.]],$D1078,Imput[[PERIODO Imp.]:[PERIODO Imp.]],CI$9)</f>
        <v>0</v>
      </c>
      <c r="CJ1078" s="693">
        <f>SUMIFS(Imput[[Importe Neto]:[Importe Neto]],Imput[[C. Imp.]:[C. Imp.]],$D1078,Imput[[PERIODO Imp.]:[PERIODO Imp.]],CJ$9)</f>
        <v>0</v>
      </c>
      <c r="CK1078" s="693">
        <f>SUMIFS(Imput[[Importe Neto]:[Importe Neto]],Imput[[C. Imp.]:[C. Imp.]],$D1078,Imput[[PERIODO Imp.]:[PERIODO Imp.]],CK$9)</f>
        <v>0</v>
      </c>
      <c r="CL1078" s="693">
        <f>SUMIFS(Imput[[Importe Neto]:[Importe Neto]],Imput[[C. Imp.]:[C. Imp.]],$D1078,Imput[[PERIODO Imp.]:[PERIODO Imp.]],CL$9)</f>
        <v>0</v>
      </c>
      <c r="CM1078" s="693">
        <f>SUMIFS(Imput[[Importe Neto]:[Importe Neto]],Imput[[C. Imp.]:[C. Imp.]],$D1078,Imput[[PERIODO Imp.]:[PERIODO Imp.]],CM$9)</f>
        <v>0</v>
      </c>
      <c r="CN1078" s="693">
        <f>SUMIFS(Imput[[Importe Neto]:[Importe Neto]],Imput[[C. Imp.]:[C. Imp.]],$D1078,Imput[[PERIODO Imp.]:[PERIODO Imp.]],CN$9)</f>
        <v>0</v>
      </c>
      <c r="CO1078" s="693">
        <f>SUMIFS(Imput[[Importe Neto]:[Importe Neto]],Imput[[C. Imp.]:[C. Imp.]],$D1078,Imput[[PERIODO Imp.]:[PERIODO Imp.]],CO$9)</f>
        <v>0</v>
      </c>
      <c r="CP1078" s="693">
        <f>SUMIFS(Imput[[Importe Neto]:[Importe Neto]],Imput[[C. Imp.]:[C. Imp.]],$D1078,Imput[[PERIODO Imp.]:[PERIODO Imp.]],CP$9)</f>
        <v>0</v>
      </c>
      <c r="CQ1078" s="693">
        <f>SUMIFS(Imput[[Importe Neto]:[Importe Neto]],Imput[[C. Imp.]:[C. Imp.]],$D1078,Imput[[PERIODO Imp.]:[PERIODO Imp.]],CQ$9)</f>
        <v>0</v>
      </c>
      <c r="CR1078" s="693">
        <f>SUMIFS(Imput[[Importe Neto]:[Importe Neto]],Imput[[C. Imp.]:[C. Imp.]],$D1078,Imput[[PERIODO Imp.]:[PERIODO Imp.]],CR$9)</f>
        <v>0</v>
      </c>
      <c r="CS1078" s="693">
        <f>SUMIFS(Imput[[Importe Neto]:[Importe Neto]],Imput[[C. Imp.]:[C. Imp.]],$D1078,Imput[[PERIODO Imp.]:[PERIODO Imp.]],CS$9)</f>
        <v>0</v>
      </c>
      <c r="CT1078" s="693">
        <f>SUMIFS(Imput[[Importe Neto]:[Importe Neto]],Imput[[C. Imp.]:[C. Imp.]],$D1078,Imput[[PERIODO Imp.]:[PERIODO Imp.]],CT$9)</f>
        <v>0</v>
      </c>
      <c r="CU1078" s="693">
        <f>SUMIFS(Imput[[Importe Neto]:[Importe Neto]],Imput[[C. Imp.]:[C. Imp.]],$D1078,Imput[[PERIODO Imp.]:[PERIODO Imp.]],CU$9)</f>
        <v>0</v>
      </c>
      <c r="CV1078" s="693">
        <f>SUMIFS(Imput[[Importe Neto]:[Importe Neto]],Imput[[C. Imp.]:[C. Imp.]],$D1078,Imput[[PERIODO Imp.]:[PERIODO Imp.]],CV$9)</f>
        <v>0</v>
      </c>
      <c r="CW1078" s="693">
        <f>SUMIFS(Imput[[Importe Neto]:[Importe Neto]],Imput[[C. Imp.]:[C. Imp.]],$D1078,Imput[[PERIODO Imp.]:[PERIODO Imp.]],CW$9)</f>
        <v>0</v>
      </c>
      <c r="CX1078" s="693">
        <f>SUMIFS(Imput[[Importe Neto]:[Importe Neto]],Imput[[C. Imp.]:[C. Imp.]],$D1078,Imput[[PERIODO Imp.]:[PERIODO Imp.]],CX$9)</f>
        <v>0</v>
      </c>
      <c r="CY1078" s="693">
        <f>SUMIFS(Imput[[Importe Neto]:[Importe Neto]],Imput[[C. Imp.]:[C. Imp.]],$D1078,Imput[[PERIODO Imp.]:[PERIODO Imp.]],CY$9)</f>
        <v>0</v>
      </c>
      <c r="CZ1078" s="693">
        <f>SUMIFS(Imput[[Importe Neto]:[Importe Neto]],Imput[[C. Imp.]:[C. Imp.]],$D1078,Imput[[PERIODO Imp.]:[PERIODO Imp.]],CZ$9)</f>
        <v>0</v>
      </c>
      <c r="DA1078" s="693">
        <f>SUMIFS(Imput[[Importe Neto]:[Importe Neto]],Imput[[C. Imp.]:[C. Imp.]],$D1078,Imput[[PERIODO Imp.]:[PERIODO Imp.]],DA$9)</f>
        <v>0</v>
      </c>
      <c r="DB1078" s="693">
        <f>SUMIFS(Imput[[Importe Neto]:[Importe Neto]],Imput[[C. Imp.]:[C. Imp.]],$D1078,Imput[[PERIODO Imp.]:[PERIODO Imp.]],DB$9)</f>
        <v>0</v>
      </c>
      <c r="DC1078" s="693">
        <f>SUMIFS(Imput[[Importe Neto]:[Importe Neto]],Imput[[C. Imp.]:[C. Imp.]],$D1078,Imput[[PERIODO Imp.]:[PERIODO Imp.]],DC$9)</f>
        <v>0</v>
      </c>
      <c r="DD1078" s="693">
        <f>SUMIFS(Imput[[Importe Neto]:[Importe Neto]],Imput[[C. Imp.]:[C. Imp.]],$D1078,Imput[[PERIODO Imp.]:[PERIODO Imp.]],DD$9)</f>
        <v>0</v>
      </c>
      <c r="DE1078" s="693">
        <f>SUMIFS(Imput[[Importe Neto]:[Importe Neto]],Imput[[C. Imp.]:[C. Imp.]],$D1078,Imput[[PERIODO Imp.]:[PERIODO Imp.]],DE$9)</f>
        <v>0</v>
      </c>
      <c r="DF1078" s="693">
        <f>SUMIFS(Imput[[Importe Neto]:[Importe Neto]],Imput[[C. Imp.]:[C. Imp.]],$D1078,Imput[[PERIODO Imp.]:[PERIODO Imp.]],DF$9)</f>
        <v>0</v>
      </c>
      <c r="DG1078" s="693">
        <f>SUMIFS(Imput[[Importe Neto]:[Importe Neto]],Imput[[C. Imp.]:[C. Imp.]],$D1078,Imput[[PERIODO Imp.]:[PERIODO Imp.]],DG$9)</f>
        <v>0</v>
      </c>
      <c r="DH1078" s="694">
        <f>SUMIFS(Imput[[Importe Neto]:[Importe Neto]],Imput[[C. Imp.]:[C. Imp.]],$D1078,Imput[[PERIODO Imp.]:[PERIODO Imp.]],DH$9)</f>
        <v>0</v>
      </c>
    </row>
    <row r="1079" spans="1:112" s="649" customFormat="1" hidden="1" outlineLevel="1" x14ac:dyDescent="0.3">
      <c r="A1079" s="652" t="str">
        <f t="shared" si="361"/>
        <v/>
      </c>
      <c r="B1079" s="652"/>
      <c r="C1079" s="685"/>
      <c r="D1079" s="686"/>
      <c r="E1079" s="686"/>
      <c r="F1079" s="720"/>
      <c r="G1079" s="688"/>
      <c r="H1079" s="531"/>
      <c r="I1079" s="851" t="str">
        <f t="shared" si="362"/>
        <v/>
      </c>
      <c r="J1079" s="850" t="str">
        <f t="shared" si="363"/>
        <v/>
      </c>
      <c r="K1079" s="667"/>
      <c r="L1079" s="858">
        <v>0.3</v>
      </c>
      <c r="M1079" s="859"/>
      <c r="N1079" s="859"/>
      <c r="O1079" s="859"/>
      <c r="P1079" s="859">
        <v>0.3</v>
      </c>
      <c r="Q1079" s="859"/>
      <c r="R1079" s="859"/>
      <c r="S1079" s="859"/>
      <c r="T1079" s="859"/>
      <c r="U1079" s="859"/>
      <c r="V1079" s="859"/>
      <c r="W1079" s="859">
        <v>0.3</v>
      </c>
      <c r="X1079" s="859"/>
      <c r="Y1079" s="859"/>
      <c r="Z1079" s="860"/>
      <c r="AA1079" s="860"/>
      <c r="AB1079" s="860"/>
      <c r="AC1079" s="860"/>
      <c r="AD1079" s="860"/>
      <c r="AE1079" s="860">
        <v>0.1</v>
      </c>
      <c r="AF1079" s="860"/>
      <c r="AG1079" s="860"/>
      <c r="AH1079" s="860"/>
      <c r="AI1079" s="860"/>
      <c r="AJ1079" s="860"/>
      <c r="AK1079" s="860"/>
      <c r="AL1079" s="860"/>
      <c r="AM1079" s="860"/>
      <c r="AN1079" s="860"/>
      <c r="AO1079" s="860"/>
      <c r="AP1079" s="860"/>
      <c r="AQ1079" s="860"/>
      <c r="AR1079" s="860"/>
      <c r="AS1079" s="860"/>
      <c r="AT1079" s="860"/>
      <c r="AU1079" s="860"/>
      <c r="AV1079" s="860"/>
      <c r="AW1079" s="860"/>
      <c r="AX1079" s="860"/>
      <c r="AY1079" s="860"/>
      <c r="AZ1079" s="860"/>
      <c r="BA1079" s="860"/>
      <c r="BB1079" s="860"/>
      <c r="BC1079" s="860"/>
      <c r="BD1079" s="860"/>
      <c r="BE1079" s="860"/>
      <c r="BF1079" s="860"/>
      <c r="BG1079" s="860"/>
      <c r="BH1079" s="668"/>
      <c r="BI1079" s="667"/>
      <c r="BJ1079" s="690">
        <f t="shared" si="364"/>
        <v>0</v>
      </c>
      <c r="BK1079" s="691">
        <f t="shared" si="365"/>
        <v>0</v>
      </c>
      <c r="BL1079" s="654"/>
      <c r="BM1079" s="692">
        <f>SUMIFS(Imput[[Importe Neto]:[Importe Neto]],Imput[[C. Imp.]:[C. Imp.]],$D1079,Imput[[PERIODO Imp.]:[PERIODO Imp.]],BM$9)</f>
        <v>0</v>
      </c>
      <c r="BN1079" s="693">
        <f>SUMIFS(Imput[[Importe Neto]:[Importe Neto]],Imput[[C. Imp.]:[C. Imp.]],$D1079,Imput[[PERIODO Imp.]:[PERIODO Imp.]],BN$9)</f>
        <v>0</v>
      </c>
      <c r="BO1079" s="693">
        <f>SUMIFS(Imput[[Importe Neto]:[Importe Neto]],Imput[[C. Imp.]:[C. Imp.]],$D1079,Imput[[PERIODO Imp.]:[PERIODO Imp.]],BO$9)</f>
        <v>0</v>
      </c>
      <c r="BP1079" s="693">
        <f>SUMIFS(Imput[[Importe Neto]:[Importe Neto]],Imput[[C. Imp.]:[C. Imp.]],$D1079,Imput[[PERIODO Imp.]:[PERIODO Imp.]],BP$9)</f>
        <v>0</v>
      </c>
      <c r="BQ1079" s="693">
        <f>SUMIFS(Imput[[Importe Neto]:[Importe Neto]],Imput[[C. Imp.]:[C. Imp.]],$D1079,Imput[[PERIODO Imp.]:[PERIODO Imp.]],BQ$9)</f>
        <v>0</v>
      </c>
      <c r="BR1079" s="693">
        <f>SUMIFS(Imput[[Importe Neto]:[Importe Neto]],Imput[[C. Imp.]:[C. Imp.]],$D1079,Imput[[PERIODO Imp.]:[PERIODO Imp.]],BR$9)</f>
        <v>0</v>
      </c>
      <c r="BS1079" s="693">
        <f>SUMIFS(Imput[[Importe Neto]:[Importe Neto]],Imput[[C. Imp.]:[C. Imp.]],$D1079,Imput[[PERIODO Imp.]:[PERIODO Imp.]],BS$9)</f>
        <v>0</v>
      </c>
      <c r="BT1079" s="693">
        <f>SUMIFS(Imput[[Importe Neto]:[Importe Neto]],Imput[[C. Imp.]:[C. Imp.]],$D1079,Imput[[PERIODO Imp.]:[PERIODO Imp.]],BT$9)</f>
        <v>0</v>
      </c>
      <c r="BU1079" s="693">
        <f>SUMIFS(Imput[[Importe Neto]:[Importe Neto]],Imput[[C. Imp.]:[C. Imp.]],$D1079,Imput[[PERIODO Imp.]:[PERIODO Imp.]],BU$9)</f>
        <v>0</v>
      </c>
      <c r="BV1079" s="693">
        <f>SUMIFS(Imput[[Importe Neto]:[Importe Neto]],Imput[[C. Imp.]:[C. Imp.]],$D1079,Imput[[PERIODO Imp.]:[PERIODO Imp.]],BV$9)</f>
        <v>0</v>
      </c>
      <c r="BW1079" s="693">
        <f>SUMIFS(Imput[[Importe Neto]:[Importe Neto]],Imput[[C. Imp.]:[C. Imp.]],$D1079,Imput[[PERIODO Imp.]:[PERIODO Imp.]],BW$9)</f>
        <v>0</v>
      </c>
      <c r="BX1079" s="693">
        <f>SUMIFS(Imput[[Importe Neto]:[Importe Neto]],Imput[[C. Imp.]:[C. Imp.]],$D1079,Imput[[PERIODO Imp.]:[PERIODO Imp.]],BX$9)</f>
        <v>0</v>
      </c>
      <c r="BY1079" s="693">
        <f>SUMIFS(Imput[[Importe Neto]:[Importe Neto]],Imput[[C. Imp.]:[C. Imp.]],$D1079,Imput[[PERIODO Imp.]:[PERIODO Imp.]],BY$9)</f>
        <v>0</v>
      </c>
      <c r="BZ1079" s="693">
        <f>SUMIFS(Imput[[Importe Neto]:[Importe Neto]],Imput[[C. Imp.]:[C. Imp.]],$D1079,Imput[[PERIODO Imp.]:[PERIODO Imp.]],BZ$9)</f>
        <v>0</v>
      </c>
      <c r="CA1079" s="693">
        <f>SUMIFS(Imput[[Importe Neto]:[Importe Neto]],Imput[[C. Imp.]:[C. Imp.]],$D1079,Imput[[PERIODO Imp.]:[PERIODO Imp.]],CA$9)</f>
        <v>0</v>
      </c>
      <c r="CB1079" s="693">
        <f>SUMIFS(Imput[[Importe Neto]:[Importe Neto]],Imput[[C. Imp.]:[C. Imp.]],$D1079,Imput[[PERIODO Imp.]:[PERIODO Imp.]],CB$9)</f>
        <v>0</v>
      </c>
      <c r="CC1079" s="693">
        <f>SUMIFS(Imput[[Importe Neto]:[Importe Neto]],Imput[[C. Imp.]:[C. Imp.]],$D1079,Imput[[PERIODO Imp.]:[PERIODO Imp.]],CC$9)</f>
        <v>0</v>
      </c>
      <c r="CD1079" s="693">
        <f>SUMIFS(Imput[[Importe Neto]:[Importe Neto]],Imput[[C. Imp.]:[C. Imp.]],$D1079,Imput[[PERIODO Imp.]:[PERIODO Imp.]],CD$9)</f>
        <v>0</v>
      </c>
      <c r="CE1079" s="693">
        <f>SUMIFS(Imput[[Importe Neto]:[Importe Neto]],Imput[[C. Imp.]:[C. Imp.]],$D1079,Imput[[PERIODO Imp.]:[PERIODO Imp.]],CE$9)</f>
        <v>0</v>
      </c>
      <c r="CF1079" s="693">
        <f>SUMIFS(Imput[[Importe Neto]:[Importe Neto]],Imput[[C. Imp.]:[C. Imp.]],$D1079,Imput[[PERIODO Imp.]:[PERIODO Imp.]],CF$9)</f>
        <v>0</v>
      </c>
      <c r="CG1079" s="693">
        <f>SUMIFS(Imput[[Importe Neto]:[Importe Neto]],Imput[[C. Imp.]:[C. Imp.]],$D1079,Imput[[PERIODO Imp.]:[PERIODO Imp.]],CG$9)</f>
        <v>0</v>
      </c>
      <c r="CH1079" s="693">
        <f>SUMIFS(Imput[[Importe Neto]:[Importe Neto]],Imput[[C. Imp.]:[C. Imp.]],$D1079,Imput[[PERIODO Imp.]:[PERIODO Imp.]],CH$9)</f>
        <v>0</v>
      </c>
      <c r="CI1079" s="693">
        <f>SUMIFS(Imput[[Importe Neto]:[Importe Neto]],Imput[[C. Imp.]:[C. Imp.]],$D1079,Imput[[PERIODO Imp.]:[PERIODO Imp.]],CI$9)</f>
        <v>0</v>
      </c>
      <c r="CJ1079" s="693">
        <f>SUMIFS(Imput[[Importe Neto]:[Importe Neto]],Imput[[C. Imp.]:[C. Imp.]],$D1079,Imput[[PERIODO Imp.]:[PERIODO Imp.]],CJ$9)</f>
        <v>0</v>
      </c>
      <c r="CK1079" s="693">
        <f>SUMIFS(Imput[[Importe Neto]:[Importe Neto]],Imput[[C. Imp.]:[C. Imp.]],$D1079,Imput[[PERIODO Imp.]:[PERIODO Imp.]],CK$9)</f>
        <v>0</v>
      </c>
      <c r="CL1079" s="693">
        <f>SUMIFS(Imput[[Importe Neto]:[Importe Neto]],Imput[[C. Imp.]:[C. Imp.]],$D1079,Imput[[PERIODO Imp.]:[PERIODO Imp.]],CL$9)</f>
        <v>0</v>
      </c>
      <c r="CM1079" s="693">
        <f>SUMIFS(Imput[[Importe Neto]:[Importe Neto]],Imput[[C. Imp.]:[C. Imp.]],$D1079,Imput[[PERIODO Imp.]:[PERIODO Imp.]],CM$9)</f>
        <v>0</v>
      </c>
      <c r="CN1079" s="693">
        <f>SUMIFS(Imput[[Importe Neto]:[Importe Neto]],Imput[[C. Imp.]:[C. Imp.]],$D1079,Imput[[PERIODO Imp.]:[PERIODO Imp.]],CN$9)</f>
        <v>0</v>
      </c>
      <c r="CO1079" s="693">
        <f>SUMIFS(Imput[[Importe Neto]:[Importe Neto]],Imput[[C. Imp.]:[C. Imp.]],$D1079,Imput[[PERIODO Imp.]:[PERIODO Imp.]],CO$9)</f>
        <v>0</v>
      </c>
      <c r="CP1079" s="693">
        <f>SUMIFS(Imput[[Importe Neto]:[Importe Neto]],Imput[[C. Imp.]:[C. Imp.]],$D1079,Imput[[PERIODO Imp.]:[PERIODO Imp.]],CP$9)</f>
        <v>0</v>
      </c>
      <c r="CQ1079" s="693">
        <f>SUMIFS(Imput[[Importe Neto]:[Importe Neto]],Imput[[C. Imp.]:[C. Imp.]],$D1079,Imput[[PERIODO Imp.]:[PERIODO Imp.]],CQ$9)</f>
        <v>0</v>
      </c>
      <c r="CR1079" s="693">
        <f>SUMIFS(Imput[[Importe Neto]:[Importe Neto]],Imput[[C. Imp.]:[C. Imp.]],$D1079,Imput[[PERIODO Imp.]:[PERIODO Imp.]],CR$9)</f>
        <v>0</v>
      </c>
      <c r="CS1079" s="693">
        <f>SUMIFS(Imput[[Importe Neto]:[Importe Neto]],Imput[[C. Imp.]:[C. Imp.]],$D1079,Imput[[PERIODO Imp.]:[PERIODO Imp.]],CS$9)</f>
        <v>0</v>
      </c>
      <c r="CT1079" s="693">
        <f>SUMIFS(Imput[[Importe Neto]:[Importe Neto]],Imput[[C. Imp.]:[C. Imp.]],$D1079,Imput[[PERIODO Imp.]:[PERIODO Imp.]],CT$9)</f>
        <v>0</v>
      </c>
      <c r="CU1079" s="693">
        <f>SUMIFS(Imput[[Importe Neto]:[Importe Neto]],Imput[[C. Imp.]:[C. Imp.]],$D1079,Imput[[PERIODO Imp.]:[PERIODO Imp.]],CU$9)</f>
        <v>0</v>
      </c>
      <c r="CV1079" s="693">
        <f>SUMIFS(Imput[[Importe Neto]:[Importe Neto]],Imput[[C. Imp.]:[C. Imp.]],$D1079,Imput[[PERIODO Imp.]:[PERIODO Imp.]],CV$9)</f>
        <v>0</v>
      </c>
      <c r="CW1079" s="693">
        <f>SUMIFS(Imput[[Importe Neto]:[Importe Neto]],Imput[[C. Imp.]:[C. Imp.]],$D1079,Imput[[PERIODO Imp.]:[PERIODO Imp.]],CW$9)</f>
        <v>0</v>
      </c>
      <c r="CX1079" s="693">
        <f>SUMIFS(Imput[[Importe Neto]:[Importe Neto]],Imput[[C. Imp.]:[C. Imp.]],$D1079,Imput[[PERIODO Imp.]:[PERIODO Imp.]],CX$9)</f>
        <v>0</v>
      </c>
      <c r="CY1079" s="693">
        <f>SUMIFS(Imput[[Importe Neto]:[Importe Neto]],Imput[[C. Imp.]:[C. Imp.]],$D1079,Imput[[PERIODO Imp.]:[PERIODO Imp.]],CY$9)</f>
        <v>0</v>
      </c>
      <c r="CZ1079" s="693">
        <f>SUMIFS(Imput[[Importe Neto]:[Importe Neto]],Imput[[C. Imp.]:[C. Imp.]],$D1079,Imput[[PERIODO Imp.]:[PERIODO Imp.]],CZ$9)</f>
        <v>0</v>
      </c>
      <c r="DA1079" s="693">
        <f>SUMIFS(Imput[[Importe Neto]:[Importe Neto]],Imput[[C. Imp.]:[C. Imp.]],$D1079,Imput[[PERIODO Imp.]:[PERIODO Imp.]],DA$9)</f>
        <v>0</v>
      </c>
      <c r="DB1079" s="693">
        <f>SUMIFS(Imput[[Importe Neto]:[Importe Neto]],Imput[[C. Imp.]:[C. Imp.]],$D1079,Imput[[PERIODO Imp.]:[PERIODO Imp.]],DB$9)</f>
        <v>0</v>
      </c>
      <c r="DC1079" s="693">
        <f>SUMIFS(Imput[[Importe Neto]:[Importe Neto]],Imput[[C. Imp.]:[C. Imp.]],$D1079,Imput[[PERIODO Imp.]:[PERIODO Imp.]],DC$9)</f>
        <v>0</v>
      </c>
      <c r="DD1079" s="693">
        <f>SUMIFS(Imput[[Importe Neto]:[Importe Neto]],Imput[[C. Imp.]:[C. Imp.]],$D1079,Imput[[PERIODO Imp.]:[PERIODO Imp.]],DD$9)</f>
        <v>0</v>
      </c>
      <c r="DE1079" s="693">
        <f>SUMIFS(Imput[[Importe Neto]:[Importe Neto]],Imput[[C. Imp.]:[C. Imp.]],$D1079,Imput[[PERIODO Imp.]:[PERIODO Imp.]],DE$9)</f>
        <v>0</v>
      </c>
      <c r="DF1079" s="693">
        <f>SUMIFS(Imput[[Importe Neto]:[Importe Neto]],Imput[[C. Imp.]:[C. Imp.]],$D1079,Imput[[PERIODO Imp.]:[PERIODO Imp.]],DF$9)</f>
        <v>0</v>
      </c>
      <c r="DG1079" s="693">
        <f>SUMIFS(Imput[[Importe Neto]:[Importe Neto]],Imput[[C. Imp.]:[C. Imp.]],$D1079,Imput[[PERIODO Imp.]:[PERIODO Imp.]],DG$9)</f>
        <v>0</v>
      </c>
      <c r="DH1079" s="694">
        <f>SUMIFS(Imput[[Importe Neto]:[Importe Neto]],Imput[[C. Imp.]:[C. Imp.]],$D1079,Imput[[PERIODO Imp.]:[PERIODO Imp.]],DH$9)</f>
        <v>0</v>
      </c>
    </row>
    <row r="1080" spans="1:112" s="649" customFormat="1" hidden="1" outlineLevel="1" x14ac:dyDescent="0.3">
      <c r="A1080" s="652" t="str">
        <f t="shared" si="361"/>
        <v/>
      </c>
      <c r="B1080" s="652"/>
      <c r="C1080" s="685"/>
      <c r="D1080" s="686"/>
      <c r="E1080" s="686"/>
      <c r="F1080" s="720"/>
      <c r="G1080" s="688"/>
      <c r="H1080" s="531"/>
      <c r="I1080" s="851" t="str">
        <f t="shared" si="362"/>
        <v/>
      </c>
      <c r="J1080" s="850" t="str">
        <f t="shared" si="363"/>
        <v/>
      </c>
      <c r="K1080" s="667"/>
      <c r="L1080" s="858">
        <v>0.3</v>
      </c>
      <c r="M1080" s="859"/>
      <c r="N1080" s="859"/>
      <c r="O1080" s="859"/>
      <c r="P1080" s="859">
        <v>0.3</v>
      </c>
      <c r="Q1080" s="859"/>
      <c r="R1080" s="859"/>
      <c r="S1080" s="859"/>
      <c r="T1080" s="859"/>
      <c r="U1080" s="859"/>
      <c r="V1080" s="859"/>
      <c r="W1080" s="859">
        <v>0.3</v>
      </c>
      <c r="X1080" s="859"/>
      <c r="Y1080" s="859"/>
      <c r="Z1080" s="860"/>
      <c r="AA1080" s="860"/>
      <c r="AB1080" s="860"/>
      <c r="AC1080" s="860"/>
      <c r="AD1080" s="860"/>
      <c r="AE1080" s="860">
        <v>0.1</v>
      </c>
      <c r="AF1080" s="860"/>
      <c r="AG1080" s="860"/>
      <c r="AH1080" s="860"/>
      <c r="AI1080" s="860"/>
      <c r="AJ1080" s="860"/>
      <c r="AK1080" s="860"/>
      <c r="AL1080" s="860"/>
      <c r="AM1080" s="860"/>
      <c r="AN1080" s="860"/>
      <c r="AO1080" s="860"/>
      <c r="AP1080" s="860"/>
      <c r="AQ1080" s="860"/>
      <c r="AR1080" s="860"/>
      <c r="AS1080" s="860"/>
      <c r="AT1080" s="860"/>
      <c r="AU1080" s="860"/>
      <c r="AV1080" s="860"/>
      <c r="AW1080" s="860"/>
      <c r="AX1080" s="860"/>
      <c r="AY1080" s="860"/>
      <c r="AZ1080" s="860"/>
      <c r="BA1080" s="860"/>
      <c r="BB1080" s="860"/>
      <c r="BC1080" s="860"/>
      <c r="BD1080" s="860"/>
      <c r="BE1080" s="860"/>
      <c r="BF1080" s="860"/>
      <c r="BG1080" s="860"/>
      <c r="BH1080" s="668"/>
      <c r="BI1080" s="667"/>
      <c r="BJ1080" s="690">
        <f t="shared" si="364"/>
        <v>0</v>
      </c>
      <c r="BK1080" s="691">
        <f t="shared" si="365"/>
        <v>0</v>
      </c>
      <c r="BL1080" s="654"/>
      <c r="BM1080" s="692">
        <f>SUMIFS(Imput[[Importe Neto]:[Importe Neto]],Imput[[C. Imp.]:[C. Imp.]],$D1080,Imput[[PERIODO Imp.]:[PERIODO Imp.]],BM$9)</f>
        <v>0</v>
      </c>
      <c r="BN1080" s="693">
        <f>SUMIFS(Imput[[Importe Neto]:[Importe Neto]],Imput[[C. Imp.]:[C. Imp.]],$D1080,Imput[[PERIODO Imp.]:[PERIODO Imp.]],BN$9)</f>
        <v>0</v>
      </c>
      <c r="BO1080" s="693">
        <f>SUMIFS(Imput[[Importe Neto]:[Importe Neto]],Imput[[C. Imp.]:[C. Imp.]],$D1080,Imput[[PERIODO Imp.]:[PERIODO Imp.]],BO$9)</f>
        <v>0</v>
      </c>
      <c r="BP1080" s="693">
        <f>SUMIFS(Imput[[Importe Neto]:[Importe Neto]],Imput[[C. Imp.]:[C. Imp.]],$D1080,Imput[[PERIODO Imp.]:[PERIODO Imp.]],BP$9)</f>
        <v>0</v>
      </c>
      <c r="BQ1080" s="693">
        <f>SUMIFS(Imput[[Importe Neto]:[Importe Neto]],Imput[[C. Imp.]:[C. Imp.]],$D1080,Imput[[PERIODO Imp.]:[PERIODO Imp.]],BQ$9)</f>
        <v>0</v>
      </c>
      <c r="BR1080" s="693">
        <f>SUMIFS(Imput[[Importe Neto]:[Importe Neto]],Imput[[C. Imp.]:[C. Imp.]],$D1080,Imput[[PERIODO Imp.]:[PERIODO Imp.]],BR$9)</f>
        <v>0</v>
      </c>
      <c r="BS1080" s="693">
        <f>SUMIFS(Imput[[Importe Neto]:[Importe Neto]],Imput[[C. Imp.]:[C. Imp.]],$D1080,Imput[[PERIODO Imp.]:[PERIODO Imp.]],BS$9)</f>
        <v>0</v>
      </c>
      <c r="BT1080" s="693">
        <f>SUMIFS(Imput[[Importe Neto]:[Importe Neto]],Imput[[C. Imp.]:[C. Imp.]],$D1080,Imput[[PERIODO Imp.]:[PERIODO Imp.]],BT$9)</f>
        <v>0</v>
      </c>
      <c r="BU1080" s="693">
        <f>SUMIFS(Imput[[Importe Neto]:[Importe Neto]],Imput[[C. Imp.]:[C. Imp.]],$D1080,Imput[[PERIODO Imp.]:[PERIODO Imp.]],BU$9)</f>
        <v>0</v>
      </c>
      <c r="BV1080" s="693">
        <f>SUMIFS(Imput[[Importe Neto]:[Importe Neto]],Imput[[C. Imp.]:[C. Imp.]],$D1080,Imput[[PERIODO Imp.]:[PERIODO Imp.]],BV$9)</f>
        <v>0</v>
      </c>
      <c r="BW1080" s="693">
        <f>SUMIFS(Imput[[Importe Neto]:[Importe Neto]],Imput[[C. Imp.]:[C. Imp.]],$D1080,Imput[[PERIODO Imp.]:[PERIODO Imp.]],BW$9)</f>
        <v>0</v>
      </c>
      <c r="BX1080" s="693">
        <f>SUMIFS(Imput[[Importe Neto]:[Importe Neto]],Imput[[C. Imp.]:[C. Imp.]],$D1080,Imput[[PERIODO Imp.]:[PERIODO Imp.]],BX$9)</f>
        <v>0</v>
      </c>
      <c r="BY1080" s="693">
        <f>SUMIFS(Imput[[Importe Neto]:[Importe Neto]],Imput[[C. Imp.]:[C. Imp.]],$D1080,Imput[[PERIODO Imp.]:[PERIODO Imp.]],BY$9)</f>
        <v>0</v>
      </c>
      <c r="BZ1080" s="693">
        <f>SUMIFS(Imput[[Importe Neto]:[Importe Neto]],Imput[[C. Imp.]:[C. Imp.]],$D1080,Imput[[PERIODO Imp.]:[PERIODO Imp.]],BZ$9)</f>
        <v>0</v>
      </c>
      <c r="CA1080" s="693">
        <f>SUMIFS(Imput[[Importe Neto]:[Importe Neto]],Imput[[C. Imp.]:[C. Imp.]],$D1080,Imput[[PERIODO Imp.]:[PERIODO Imp.]],CA$9)</f>
        <v>0</v>
      </c>
      <c r="CB1080" s="693">
        <f>SUMIFS(Imput[[Importe Neto]:[Importe Neto]],Imput[[C. Imp.]:[C. Imp.]],$D1080,Imput[[PERIODO Imp.]:[PERIODO Imp.]],CB$9)</f>
        <v>0</v>
      </c>
      <c r="CC1080" s="693">
        <f>SUMIFS(Imput[[Importe Neto]:[Importe Neto]],Imput[[C. Imp.]:[C. Imp.]],$D1080,Imput[[PERIODO Imp.]:[PERIODO Imp.]],CC$9)</f>
        <v>0</v>
      </c>
      <c r="CD1080" s="693">
        <f>SUMIFS(Imput[[Importe Neto]:[Importe Neto]],Imput[[C. Imp.]:[C. Imp.]],$D1080,Imput[[PERIODO Imp.]:[PERIODO Imp.]],CD$9)</f>
        <v>0</v>
      </c>
      <c r="CE1080" s="693">
        <f>SUMIFS(Imput[[Importe Neto]:[Importe Neto]],Imput[[C. Imp.]:[C. Imp.]],$D1080,Imput[[PERIODO Imp.]:[PERIODO Imp.]],CE$9)</f>
        <v>0</v>
      </c>
      <c r="CF1080" s="693">
        <f>SUMIFS(Imput[[Importe Neto]:[Importe Neto]],Imput[[C. Imp.]:[C. Imp.]],$D1080,Imput[[PERIODO Imp.]:[PERIODO Imp.]],CF$9)</f>
        <v>0</v>
      </c>
      <c r="CG1080" s="693">
        <f>SUMIFS(Imput[[Importe Neto]:[Importe Neto]],Imput[[C. Imp.]:[C. Imp.]],$D1080,Imput[[PERIODO Imp.]:[PERIODO Imp.]],CG$9)</f>
        <v>0</v>
      </c>
      <c r="CH1080" s="693">
        <f>SUMIFS(Imput[[Importe Neto]:[Importe Neto]],Imput[[C. Imp.]:[C. Imp.]],$D1080,Imput[[PERIODO Imp.]:[PERIODO Imp.]],CH$9)</f>
        <v>0</v>
      </c>
      <c r="CI1080" s="693">
        <f>SUMIFS(Imput[[Importe Neto]:[Importe Neto]],Imput[[C. Imp.]:[C. Imp.]],$D1080,Imput[[PERIODO Imp.]:[PERIODO Imp.]],CI$9)</f>
        <v>0</v>
      </c>
      <c r="CJ1080" s="693">
        <f>SUMIFS(Imput[[Importe Neto]:[Importe Neto]],Imput[[C. Imp.]:[C. Imp.]],$D1080,Imput[[PERIODO Imp.]:[PERIODO Imp.]],CJ$9)</f>
        <v>0</v>
      </c>
      <c r="CK1080" s="693">
        <f>SUMIFS(Imput[[Importe Neto]:[Importe Neto]],Imput[[C. Imp.]:[C. Imp.]],$D1080,Imput[[PERIODO Imp.]:[PERIODO Imp.]],CK$9)</f>
        <v>0</v>
      </c>
      <c r="CL1080" s="693">
        <f>SUMIFS(Imput[[Importe Neto]:[Importe Neto]],Imput[[C. Imp.]:[C. Imp.]],$D1080,Imput[[PERIODO Imp.]:[PERIODO Imp.]],CL$9)</f>
        <v>0</v>
      </c>
      <c r="CM1080" s="693">
        <f>SUMIFS(Imput[[Importe Neto]:[Importe Neto]],Imput[[C. Imp.]:[C. Imp.]],$D1080,Imput[[PERIODO Imp.]:[PERIODO Imp.]],CM$9)</f>
        <v>0</v>
      </c>
      <c r="CN1080" s="693">
        <f>SUMIFS(Imput[[Importe Neto]:[Importe Neto]],Imput[[C. Imp.]:[C. Imp.]],$D1080,Imput[[PERIODO Imp.]:[PERIODO Imp.]],CN$9)</f>
        <v>0</v>
      </c>
      <c r="CO1080" s="693">
        <f>SUMIFS(Imput[[Importe Neto]:[Importe Neto]],Imput[[C. Imp.]:[C. Imp.]],$D1080,Imput[[PERIODO Imp.]:[PERIODO Imp.]],CO$9)</f>
        <v>0</v>
      </c>
      <c r="CP1080" s="693">
        <f>SUMIFS(Imput[[Importe Neto]:[Importe Neto]],Imput[[C. Imp.]:[C. Imp.]],$D1080,Imput[[PERIODO Imp.]:[PERIODO Imp.]],CP$9)</f>
        <v>0</v>
      </c>
      <c r="CQ1080" s="693">
        <f>SUMIFS(Imput[[Importe Neto]:[Importe Neto]],Imput[[C. Imp.]:[C. Imp.]],$D1080,Imput[[PERIODO Imp.]:[PERIODO Imp.]],CQ$9)</f>
        <v>0</v>
      </c>
      <c r="CR1080" s="693">
        <f>SUMIFS(Imput[[Importe Neto]:[Importe Neto]],Imput[[C. Imp.]:[C. Imp.]],$D1080,Imput[[PERIODO Imp.]:[PERIODO Imp.]],CR$9)</f>
        <v>0</v>
      </c>
      <c r="CS1080" s="693">
        <f>SUMIFS(Imput[[Importe Neto]:[Importe Neto]],Imput[[C. Imp.]:[C. Imp.]],$D1080,Imput[[PERIODO Imp.]:[PERIODO Imp.]],CS$9)</f>
        <v>0</v>
      </c>
      <c r="CT1080" s="693">
        <f>SUMIFS(Imput[[Importe Neto]:[Importe Neto]],Imput[[C. Imp.]:[C. Imp.]],$D1080,Imput[[PERIODO Imp.]:[PERIODO Imp.]],CT$9)</f>
        <v>0</v>
      </c>
      <c r="CU1080" s="693">
        <f>SUMIFS(Imput[[Importe Neto]:[Importe Neto]],Imput[[C. Imp.]:[C. Imp.]],$D1080,Imput[[PERIODO Imp.]:[PERIODO Imp.]],CU$9)</f>
        <v>0</v>
      </c>
      <c r="CV1080" s="693">
        <f>SUMIFS(Imput[[Importe Neto]:[Importe Neto]],Imput[[C. Imp.]:[C. Imp.]],$D1080,Imput[[PERIODO Imp.]:[PERIODO Imp.]],CV$9)</f>
        <v>0</v>
      </c>
      <c r="CW1080" s="693">
        <f>SUMIFS(Imput[[Importe Neto]:[Importe Neto]],Imput[[C. Imp.]:[C. Imp.]],$D1080,Imput[[PERIODO Imp.]:[PERIODO Imp.]],CW$9)</f>
        <v>0</v>
      </c>
      <c r="CX1080" s="693">
        <f>SUMIFS(Imput[[Importe Neto]:[Importe Neto]],Imput[[C. Imp.]:[C. Imp.]],$D1080,Imput[[PERIODO Imp.]:[PERIODO Imp.]],CX$9)</f>
        <v>0</v>
      </c>
      <c r="CY1080" s="693">
        <f>SUMIFS(Imput[[Importe Neto]:[Importe Neto]],Imput[[C. Imp.]:[C. Imp.]],$D1080,Imput[[PERIODO Imp.]:[PERIODO Imp.]],CY$9)</f>
        <v>0</v>
      </c>
      <c r="CZ1080" s="693">
        <f>SUMIFS(Imput[[Importe Neto]:[Importe Neto]],Imput[[C. Imp.]:[C. Imp.]],$D1080,Imput[[PERIODO Imp.]:[PERIODO Imp.]],CZ$9)</f>
        <v>0</v>
      </c>
      <c r="DA1080" s="693">
        <f>SUMIFS(Imput[[Importe Neto]:[Importe Neto]],Imput[[C. Imp.]:[C. Imp.]],$D1080,Imput[[PERIODO Imp.]:[PERIODO Imp.]],DA$9)</f>
        <v>0</v>
      </c>
      <c r="DB1080" s="693">
        <f>SUMIFS(Imput[[Importe Neto]:[Importe Neto]],Imput[[C. Imp.]:[C. Imp.]],$D1080,Imput[[PERIODO Imp.]:[PERIODO Imp.]],DB$9)</f>
        <v>0</v>
      </c>
      <c r="DC1080" s="693">
        <f>SUMIFS(Imput[[Importe Neto]:[Importe Neto]],Imput[[C. Imp.]:[C. Imp.]],$D1080,Imput[[PERIODO Imp.]:[PERIODO Imp.]],DC$9)</f>
        <v>0</v>
      </c>
      <c r="DD1080" s="693">
        <f>SUMIFS(Imput[[Importe Neto]:[Importe Neto]],Imput[[C. Imp.]:[C. Imp.]],$D1080,Imput[[PERIODO Imp.]:[PERIODO Imp.]],DD$9)</f>
        <v>0</v>
      </c>
      <c r="DE1080" s="693">
        <f>SUMIFS(Imput[[Importe Neto]:[Importe Neto]],Imput[[C. Imp.]:[C. Imp.]],$D1080,Imput[[PERIODO Imp.]:[PERIODO Imp.]],DE$9)</f>
        <v>0</v>
      </c>
      <c r="DF1080" s="693">
        <f>SUMIFS(Imput[[Importe Neto]:[Importe Neto]],Imput[[C. Imp.]:[C. Imp.]],$D1080,Imput[[PERIODO Imp.]:[PERIODO Imp.]],DF$9)</f>
        <v>0</v>
      </c>
      <c r="DG1080" s="693">
        <f>SUMIFS(Imput[[Importe Neto]:[Importe Neto]],Imput[[C. Imp.]:[C. Imp.]],$D1080,Imput[[PERIODO Imp.]:[PERIODO Imp.]],DG$9)</f>
        <v>0</v>
      </c>
      <c r="DH1080" s="694">
        <f>SUMIFS(Imput[[Importe Neto]:[Importe Neto]],Imput[[C. Imp.]:[C. Imp.]],$D1080,Imput[[PERIODO Imp.]:[PERIODO Imp.]],DH$9)</f>
        <v>0</v>
      </c>
    </row>
    <row r="1081" spans="1:112" s="649" customFormat="1" hidden="1" outlineLevel="1" x14ac:dyDescent="0.3">
      <c r="A1081" s="652" t="str">
        <f t="shared" si="361"/>
        <v/>
      </c>
      <c r="B1081" s="652"/>
      <c r="C1081" s="685"/>
      <c r="D1081" s="686"/>
      <c r="E1081" s="686"/>
      <c r="F1081" s="720"/>
      <c r="G1081" s="688"/>
      <c r="H1081" s="531"/>
      <c r="I1081" s="851" t="str">
        <f t="shared" si="362"/>
        <v/>
      </c>
      <c r="J1081" s="850" t="str">
        <f t="shared" si="363"/>
        <v/>
      </c>
      <c r="K1081" s="667"/>
      <c r="L1081" s="858"/>
      <c r="M1081" s="859"/>
      <c r="N1081" s="859"/>
      <c r="O1081" s="859">
        <v>0.5</v>
      </c>
      <c r="P1081" s="859"/>
      <c r="Q1081" s="859"/>
      <c r="R1081" s="859"/>
      <c r="S1081" s="859"/>
      <c r="T1081" s="859"/>
      <c r="U1081" s="859"/>
      <c r="V1081" s="859"/>
      <c r="W1081" s="859"/>
      <c r="X1081" s="859"/>
      <c r="Y1081" s="859"/>
      <c r="Z1081" s="860"/>
      <c r="AA1081" s="860">
        <v>0.5</v>
      </c>
      <c r="AB1081" s="860"/>
      <c r="AC1081" s="860"/>
      <c r="AD1081" s="860"/>
      <c r="AE1081" s="860"/>
      <c r="AF1081" s="860"/>
      <c r="AG1081" s="860"/>
      <c r="AH1081" s="860"/>
      <c r="AI1081" s="860"/>
      <c r="AJ1081" s="860"/>
      <c r="AK1081" s="860"/>
      <c r="AL1081" s="860"/>
      <c r="AM1081" s="860"/>
      <c r="AN1081" s="860"/>
      <c r="AO1081" s="860"/>
      <c r="AP1081" s="860"/>
      <c r="AQ1081" s="860"/>
      <c r="AR1081" s="860"/>
      <c r="AS1081" s="860"/>
      <c r="AT1081" s="860"/>
      <c r="AU1081" s="860"/>
      <c r="AV1081" s="860"/>
      <c r="AW1081" s="860"/>
      <c r="AX1081" s="860"/>
      <c r="AY1081" s="860"/>
      <c r="AZ1081" s="860"/>
      <c r="BA1081" s="860"/>
      <c r="BB1081" s="860"/>
      <c r="BC1081" s="860"/>
      <c r="BD1081" s="860"/>
      <c r="BE1081" s="860"/>
      <c r="BF1081" s="860"/>
      <c r="BG1081" s="860"/>
      <c r="BH1081" s="668"/>
      <c r="BI1081" s="667"/>
      <c r="BJ1081" s="690">
        <f t="shared" si="364"/>
        <v>0</v>
      </c>
      <c r="BK1081" s="691">
        <f t="shared" si="365"/>
        <v>0</v>
      </c>
      <c r="BL1081" s="654"/>
      <c r="BM1081" s="692">
        <f>SUMIFS(Imput[[Importe Neto]:[Importe Neto]],Imput[[C. Imp.]:[C. Imp.]],$D1081,Imput[[PERIODO Imp.]:[PERIODO Imp.]],BM$9)</f>
        <v>0</v>
      </c>
      <c r="BN1081" s="693">
        <f>SUMIFS(Imput[[Importe Neto]:[Importe Neto]],Imput[[C. Imp.]:[C. Imp.]],$D1081,Imput[[PERIODO Imp.]:[PERIODO Imp.]],BN$9)</f>
        <v>0</v>
      </c>
      <c r="BO1081" s="693">
        <f>SUMIFS(Imput[[Importe Neto]:[Importe Neto]],Imput[[C. Imp.]:[C. Imp.]],$D1081,Imput[[PERIODO Imp.]:[PERIODO Imp.]],BO$9)</f>
        <v>0</v>
      </c>
      <c r="BP1081" s="693">
        <f>SUMIFS(Imput[[Importe Neto]:[Importe Neto]],Imput[[C. Imp.]:[C. Imp.]],$D1081,Imput[[PERIODO Imp.]:[PERIODO Imp.]],BP$9)</f>
        <v>0</v>
      </c>
      <c r="BQ1081" s="693">
        <f>SUMIFS(Imput[[Importe Neto]:[Importe Neto]],Imput[[C. Imp.]:[C. Imp.]],$D1081,Imput[[PERIODO Imp.]:[PERIODO Imp.]],BQ$9)</f>
        <v>0</v>
      </c>
      <c r="BR1081" s="693">
        <f>SUMIFS(Imput[[Importe Neto]:[Importe Neto]],Imput[[C. Imp.]:[C. Imp.]],$D1081,Imput[[PERIODO Imp.]:[PERIODO Imp.]],BR$9)</f>
        <v>0</v>
      </c>
      <c r="BS1081" s="693">
        <f>SUMIFS(Imput[[Importe Neto]:[Importe Neto]],Imput[[C. Imp.]:[C. Imp.]],$D1081,Imput[[PERIODO Imp.]:[PERIODO Imp.]],BS$9)</f>
        <v>0</v>
      </c>
      <c r="BT1081" s="693">
        <f>SUMIFS(Imput[[Importe Neto]:[Importe Neto]],Imput[[C. Imp.]:[C. Imp.]],$D1081,Imput[[PERIODO Imp.]:[PERIODO Imp.]],BT$9)</f>
        <v>0</v>
      </c>
      <c r="BU1081" s="693">
        <f>SUMIFS(Imput[[Importe Neto]:[Importe Neto]],Imput[[C. Imp.]:[C. Imp.]],$D1081,Imput[[PERIODO Imp.]:[PERIODO Imp.]],BU$9)</f>
        <v>0</v>
      </c>
      <c r="BV1081" s="693">
        <f>SUMIFS(Imput[[Importe Neto]:[Importe Neto]],Imput[[C. Imp.]:[C. Imp.]],$D1081,Imput[[PERIODO Imp.]:[PERIODO Imp.]],BV$9)</f>
        <v>0</v>
      </c>
      <c r="BW1081" s="693">
        <f>SUMIFS(Imput[[Importe Neto]:[Importe Neto]],Imput[[C. Imp.]:[C. Imp.]],$D1081,Imput[[PERIODO Imp.]:[PERIODO Imp.]],BW$9)</f>
        <v>0</v>
      </c>
      <c r="BX1081" s="693">
        <f>SUMIFS(Imput[[Importe Neto]:[Importe Neto]],Imput[[C. Imp.]:[C. Imp.]],$D1081,Imput[[PERIODO Imp.]:[PERIODO Imp.]],BX$9)</f>
        <v>0</v>
      </c>
      <c r="BY1081" s="693">
        <f>SUMIFS(Imput[[Importe Neto]:[Importe Neto]],Imput[[C. Imp.]:[C. Imp.]],$D1081,Imput[[PERIODO Imp.]:[PERIODO Imp.]],BY$9)</f>
        <v>0</v>
      </c>
      <c r="BZ1081" s="693">
        <f>SUMIFS(Imput[[Importe Neto]:[Importe Neto]],Imput[[C. Imp.]:[C. Imp.]],$D1081,Imput[[PERIODO Imp.]:[PERIODO Imp.]],BZ$9)</f>
        <v>0</v>
      </c>
      <c r="CA1081" s="693">
        <f>SUMIFS(Imput[[Importe Neto]:[Importe Neto]],Imput[[C. Imp.]:[C. Imp.]],$D1081,Imput[[PERIODO Imp.]:[PERIODO Imp.]],CA$9)</f>
        <v>0</v>
      </c>
      <c r="CB1081" s="693">
        <f>SUMIFS(Imput[[Importe Neto]:[Importe Neto]],Imput[[C. Imp.]:[C. Imp.]],$D1081,Imput[[PERIODO Imp.]:[PERIODO Imp.]],CB$9)</f>
        <v>0</v>
      </c>
      <c r="CC1081" s="693">
        <f>SUMIFS(Imput[[Importe Neto]:[Importe Neto]],Imput[[C. Imp.]:[C. Imp.]],$D1081,Imput[[PERIODO Imp.]:[PERIODO Imp.]],CC$9)</f>
        <v>0</v>
      </c>
      <c r="CD1081" s="693">
        <f>SUMIFS(Imput[[Importe Neto]:[Importe Neto]],Imput[[C. Imp.]:[C. Imp.]],$D1081,Imput[[PERIODO Imp.]:[PERIODO Imp.]],CD$9)</f>
        <v>0</v>
      </c>
      <c r="CE1081" s="693">
        <f>SUMIFS(Imput[[Importe Neto]:[Importe Neto]],Imput[[C. Imp.]:[C. Imp.]],$D1081,Imput[[PERIODO Imp.]:[PERIODO Imp.]],CE$9)</f>
        <v>0</v>
      </c>
      <c r="CF1081" s="693">
        <f>SUMIFS(Imput[[Importe Neto]:[Importe Neto]],Imput[[C. Imp.]:[C. Imp.]],$D1081,Imput[[PERIODO Imp.]:[PERIODO Imp.]],CF$9)</f>
        <v>0</v>
      </c>
      <c r="CG1081" s="693">
        <f>SUMIFS(Imput[[Importe Neto]:[Importe Neto]],Imput[[C. Imp.]:[C. Imp.]],$D1081,Imput[[PERIODO Imp.]:[PERIODO Imp.]],CG$9)</f>
        <v>0</v>
      </c>
      <c r="CH1081" s="693">
        <f>SUMIFS(Imput[[Importe Neto]:[Importe Neto]],Imput[[C. Imp.]:[C. Imp.]],$D1081,Imput[[PERIODO Imp.]:[PERIODO Imp.]],CH$9)</f>
        <v>0</v>
      </c>
      <c r="CI1081" s="693">
        <f>SUMIFS(Imput[[Importe Neto]:[Importe Neto]],Imput[[C. Imp.]:[C. Imp.]],$D1081,Imput[[PERIODO Imp.]:[PERIODO Imp.]],CI$9)</f>
        <v>0</v>
      </c>
      <c r="CJ1081" s="693">
        <f>SUMIFS(Imput[[Importe Neto]:[Importe Neto]],Imput[[C. Imp.]:[C. Imp.]],$D1081,Imput[[PERIODO Imp.]:[PERIODO Imp.]],CJ$9)</f>
        <v>0</v>
      </c>
      <c r="CK1081" s="693">
        <f>SUMIFS(Imput[[Importe Neto]:[Importe Neto]],Imput[[C. Imp.]:[C. Imp.]],$D1081,Imput[[PERIODO Imp.]:[PERIODO Imp.]],CK$9)</f>
        <v>0</v>
      </c>
      <c r="CL1081" s="693">
        <f>SUMIFS(Imput[[Importe Neto]:[Importe Neto]],Imput[[C. Imp.]:[C. Imp.]],$D1081,Imput[[PERIODO Imp.]:[PERIODO Imp.]],CL$9)</f>
        <v>0</v>
      </c>
      <c r="CM1081" s="693">
        <f>SUMIFS(Imput[[Importe Neto]:[Importe Neto]],Imput[[C. Imp.]:[C. Imp.]],$D1081,Imput[[PERIODO Imp.]:[PERIODO Imp.]],CM$9)</f>
        <v>0</v>
      </c>
      <c r="CN1081" s="693">
        <f>SUMIFS(Imput[[Importe Neto]:[Importe Neto]],Imput[[C. Imp.]:[C. Imp.]],$D1081,Imput[[PERIODO Imp.]:[PERIODO Imp.]],CN$9)</f>
        <v>0</v>
      </c>
      <c r="CO1081" s="693">
        <f>SUMIFS(Imput[[Importe Neto]:[Importe Neto]],Imput[[C. Imp.]:[C. Imp.]],$D1081,Imput[[PERIODO Imp.]:[PERIODO Imp.]],CO$9)</f>
        <v>0</v>
      </c>
      <c r="CP1081" s="693">
        <f>SUMIFS(Imput[[Importe Neto]:[Importe Neto]],Imput[[C. Imp.]:[C. Imp.]],$D1081,Imput[[PERIODO Imp.]:[PERIODO Imp.]],CP$9)</f>
        <v>0</v>
      </c>
      <c r="CQ1081" s="693">
        <f>SUMIFS(Imput[[Importe Neto]:[Importe Neto]],Imput[[C. Imp.]:[C. Imp.]],$D1081,Imput[[PERIODO Imp.]:[PERIODO Imp.]],CQ$9)</f>
        <v>0</v>
      </c>
      <c r="CR1081" s="693">
        <f>SUMIFS(Imput[[Importe Neto]:[Importe Neto]],Imput[[C. Imp.]:[C. Imp.]],$D1081,Imput[[PERIODO Imp.]:[PERIODO Imp.]],CR$9)</f>
        <v>0</v>
      </c>
      <c r="CS1081" s="693">
        <f>SUMIFS(Imput[[Importe Neto]:[Importe Neto]],Imput[[C. Imp.]:[C. Imp.]],$D1081,Imput[[PERIODO Imp.]:[PERIODO Imp.]],CS$9)</f>
        <v>0</v>
      </c>
      <c r="CT1081" s="693">
        <f>SUMIFS(Imput[[Importe Neto]:[Importe Neto]],Imput[[C. Imp.]:[C. Imp.]],$D1081,Imput[[PERIODO Imp.]:[PERIODO Imp.]],CT$9)</f>
        <v>0</v>
      </c>
      <c r="CU1081" s="693">
        <f>SUMIFS(Imput[[Importe Neto]:[Importe Neto]],Imput[[C. Imp.]:[C. Imp.]],$D1081,Imput[[PERIODO Imp.]:[PERIODO Imp.]],CU$9)</f>
        <v>0</v>
      </c>
      <c r="CV1081" s="693">
        <f>SUMIFS(Imput[[Importe Neto]:[Importe Neto]],Imput[[C. Imp.]:[C. Imp.]],$D1081,Imput[[PERIODO Imp.]:[PERIODO Imp.]],CV$9)</f>
        <v>0</v>
      </c>
      <c r="CW1081" s="693">
        <f>SUMIFS(Imput[[Importe Neto]:[Importe Neto]],Imput[[C. Imp.]:[C. Imp.]],$D1081,Imput[[PERIODO Imp.]:[PERIODO Imp.]],CW$9)</f>
        <v>0</v>
      </c>
      <c r="CX1081" s="693">
        <f>SUMIFS(Imput[[Importe Neto]:[Importe Neto]],Imput[[C. Imp.]:[C. Imp.]],$D1081,Imput[[PERIODO Imp.]:[PERIODO Imp.]],CX$9)</f>
        <v>0</v>
      </c>
      <c r="CY1081" s="693">
        <f>SUMIFS(Imput[[Importe Neto]:[Importe Neto]],Imput[[C. Imp.]:[C. Imp.]],$D1081,Imput[[PERIODO Imp.]:[PERIODO Imp.]],CY$9)</f>
        <v>0</v>
      </c>
      <c r="CZ1081" s="693">
        <f>SUMIFS(Imput[[Importe Neto]:[Importe Neto]],Imput[[C. Imp.]:[C. Imp.]],$D1081,Imput[[PERIODO Imp.]:[PERIODO Imp.]],CZ$9)</f>
        <v>0</v>
      </c>
      <c r="DA1081" s="693">
        <f>SUMIFS(Imput[[Importe Neto]:[Importe Neto]],Imput[[C. Imp.]:[C. Imp.]],$D1081,Imput[[PERIODO Imp.]:[PERIODO Imp.]],DA$9)</f>
        <v>0</v>
      </c>
      <c r="DB1081" s="693">
        <f>SUMIFS(Imput[[Importe Neto]:[Importe Neto]],Imput[[C. Imp.]:[C. Imp.]],$D1081,Imput[[PERIODO Imp.]:[PERIODO Imp.]],DB$9)</f>
        <v>0</v>
      </c>
      <c r="DC1081" s="693">
        <f>SUMIFS(Imput[[Importe Neto]:[Importe Neto]],Imput[[C. Imp.]:[C. Imp.]],$D1081,Imput[[PERIODO Imp.]:[PERIODO Imp.]],DC$9)</f>
        <v>0</v>
      </c>
      <c r="DD1081" s="693">
        <f>SUMIFS(Imput[[Importe Neto]:[Importe Neto]],Imput[[C. Imp.]:[C. Imp.]],$D1081,Imput[[PERIODO Imp.]:[PERIODO Imp.]],DD$9)</f>
        <v>0</v>
      </c>
      <c r="DE1081" s="693">
        <f>SUMIFS(Imput[[Importe Neto]:[Importe Neto]],Imput[[C. Imp.]:[C. Imp.]],$D1081,Imput[[PERIODO Imp.]:[PERIODO Imp.]],DE$9)</f>
        <v>0</v>
      </c>
      <c r="DF1081" s="693">
        <f>SUMIFS(Imput[[Importe Neto]:[Importe Neto]],Imput[[C. Imp.]:[C. Imp.]],$D1081,Imput[[PERIODO Imp.]:[PERIODO Imp.]],DF$9)</f>
        <v>0</v>
      </c>
      <c r="DG1081" s="693">
        <f>SUMIFS(Imput[[Importe Neto]:[Importe Neto]],Imput[[C. Imp.]:[C. Imp.]],$D1081,Imput[[PERIODO Imp.]:[PERIODO Imp.]],DG$9)</f>
        <v>0</v>
      </c>
      <c r="DH1081" s="694">
        <f>SUMIFS(Imput[[Importe Neto]:[Importe Neto]],Imput[[C. Imp.]:[C. Imp.]],$D1081,Imput[[PERIODO Imp.]:[PERIODO Imp.]],DH$9)</f>
        <v>0</v>
      </c>
    </row>
    <row r="1082" spans="1:112" s="649" customFormat="1" hidden="1" outlineLevel="1" x14ac:dyDescent="0.3">
      <c r="A1082" s="652" t="str">
        <f t="shared" si="361"/>
        <v/>
      </c>
      <c r="B1082" s="652"/>
      <c r="C1082" s="685"/>
      <c r="D1082" s="686"/>
      <c r="E1082" s="686"/>
      <c r="F1082" s="720"/>
      <c r="G1082" s="688"/>
      <c r="H1082" s="531"/>
      <c r="I1082" s="851" t="str">
        <f t="shared" si="362"/>
        <v/>
      </c>
      <c r="J1082" s="850" t="str">
        <f t="shared" si="363"/>
        <v/>
      </c>
      <c r="K1082" s="678"/>
      <c r="L1082" s="858">
        <v>0.3</v>
      </c>
      <c r="M1082" s="859"/>
      <c r="N1082" s="859"/>
      <c r="O1082" s="859"/>
      <c r="P1082" s="859">
        <v>0.3</v>
      </c>
      <c r="Q1082" s="859"/>
      <c r="R1082" s="859"/>
      <c r="S1082" s="859"/>
      <c r="T1082" s="859"/>
      <c r="U1082" s="859"/>
      <c r="V1082" s="859"/>
      <c r="W1082" s="859">
        <v>0.3</v>
      </c>
      <c r="X1082" s="859"/>
      <c r="Y1082" s="859"/>
      <c r="Z1082" s="860"/>
      <c r="AA1082" s="860"/>
      <c r="AB1082" s="860"/>
      <c r="AC1082" s="860"/>
      <c r="AD1082" s="860"/>
      <c r="AE1082" s="860">
        <v>0.1</v>
      </c>
      <c r="AF1082" s="860"/>
      <c r="AG1082" s="860"/>
      <c r="AH1082" s="860"/>
      <c r="AI1082" s="860"/>
      <c r="AJ1082" s="860"/>
      <c r="AK1082" s="860"/>
      <c r="AL1082" s="860"/>
      <c r="AM1082" s="860"/>
      <c r="AN1082" s="860"/>
      <c r="AO1082" s="860"/>
      <c r="AP1082" s="860"/>
      <c r="AQ1082" s="860"/>
      <c r="AR1082" s="860"/>
      <c r="AS1082" s="860"/>
      <c r="AT1082" s="860"/>
      <c r="AU1082" s="860"/>
      <c r="AV1082" s="860"/>
      <c r="AW1082" s="860"/>
      <c r="AX1082" s="860"/>
      <c r="AY1082" s="860"/>
      <c r="AZ1082" s="860"/>
      <c r="BA1082" s="860"/>
      <c r="BB1082" s="860"/>
      <c r="BC1082" s="860"/>
      <c r="BD1082" s="860"/>
      <c r="BE1082" s="860"/>
      <c r="BF1082" s="860"/>
      <c r="BG1082" s="860"/>
      <c r="BH1082" s="668"/>
      <c r="BI1082" s="654"/>
      <c r="BJ1082" s="690">
        <f t="shared" si="364"/>
        <v>0</v>
      </c>
      <c r="BK1082" s="691">
        <f t="shared" si="365"/>
        <v>0</v>
      </c>
      <c r="BL1082" s="654"/>
      <c r="BM1082" s="692">
        <f>SUMIFS(Imput[[Importe Neto]:[Importe Neto]],Imput[[C. Imp.]:[C. Imp.]],$D1082,Imput[[PERIODO Imp.]:[PERIODO Imp.]],BM$9)</f>
        <v>0</v>
      </c>
      <c r="BN1082" s="693">
        <f>SUMIFS(Imput[[Importe Neto]:[Importe Neto]],Imput[[C. Imp.]:[C. Imp.]],$D1082,Imput[[PERIODO Imp.]:[PERIODO Imp.]],BN$9)</f>
        <v>0</v>
      </c>
      <c r="BO1082" s="693">
        <f>SUMIFS(Imput[[Importe Neto]:[Importe Neto]],Imput[[C. Imp.]:[C. Imp.]],$D1082,Imput[[PERIODO Imp.]:[PERIODO Imp.]],BO$9)</f>
        <v>0</v>
      </c>
      <c r="BP1082" s="693">
        <f>SUMIFS(Imput[[Importe Neto]:[Importe Neto]],Imput[[C. Imp.]:[C. Imp.]],$D1082,Imput[[PERIODO Imp.]:[PERIODO Imp.]],BP$9)</f>
        <v>0</v>
      </c>
      <c r="BQ1082" s="693">
        <f>SUMIFS(Imput[[Importe Neto]:[Importe Neto]],Imput[[C. Imp.]:[C. Imp.]],$D1082,Imput[[PERIODO Imp.]:[PERIODO Imp.]],BQ$9)</f>
        <v>0</v>
      </c>
      <c r="BR1082" s="693">
        <f>SUMIFS(Imput[[Importe Neto]:[Importe Neto]],Imput[[C. Imp.]:[C. Imp.]],$D1082,Imput[[PERIODO Imp.]:[PERIODO Imp.]],BR$9)</f>
        <v>0</v>
      </c>
      <c r="BS1082" s="693">
        <f>SUMIFS(Imput[[Importe Neto]:[Importe Neto]],Imput[[C. Imp.]:[C. Imp.]],$D1082,Imput[[PERIODO Imp.]:[PERIODO Imp.]],BS$9)</f>
        <v>0</v>
      </c>
      <c r="BT1082" s="693">
        <f>SUMIFS(Imput[[Importe Neto]:[Importe Neto]],Imput[[C. Imp.]:[C. Imp.]],$D1082,Imput[[PERIODO Imp.]:[PERIODO Imp.]],BT$9)</f>
        <v>0</v>
      </c>
      <c r="BU1082" s="693">
        <f>SUMIFS(Imput[[Importe Neto]:[Importe Neto]],Imput[[C. Imp.]:[C. Imp.]],$D1082,Imput[[PERIODO Imp.]:[PERIODO Imp.]],BU$9)</f>
        <v>0</v>
      </c>
      <c r="BV1082" s="693">
        <f>SUMIFS(Imput[[Importe Neto]:[Importe Neto]],Imput[[C. Imp.]:[C. Imp.]],$D1082,Imput[[PERIODO Imp.]:[PERIODO Imp.]],BV$9)</f>
        <v>0</v>
      </c>
      <c r="BW1082" s="693">
        <f>SUMIFS(Imput[[Importe Neto]:[Importe Neto]],Imput[[C. Imp.]:[C. Imp.]],$D1082,Imput[[PERIODO Imp.]:[PERIODO Imp.]],BW$9)</f>
        <v>0</v>
      </c>
      <c r="BX1082" s="693">
        <f>SUMIFS(Imput[[Importe Neto]:[Importe Neto]],Imput[[C. Imp.]:[C. Imp.]],$D1082,Imput[[PERIODO Imp.]:[PERIODO Imp.]],BX$9)</f>
        <v>0</v>
      </c>
      <c r="BY1082" s="693">
        <f>SUMIFS(Imput[[Importe Neto]:[Importe Neto]],Imput[[C. Imp.]:[C. Imp.]],$D1082,Imput[[PERIODO Imp.]:[PERIODO Imp.]],BY$9)</f>
        <v>0</v>
      </c>
      <c r="BZ1082" s="693">
        <f>SUMIFS(Imput[[Importe Neto]:[Importe Neto]],Imput[[C. Imp.]:[C. Imp.]],$D1082,Imput[[PERIODO Imp.]:[PERIODO Imp.]],BZ$9)</f>
        <v>0</v>
      </c>
      <c r="CA1082" s="693">
        <f>SUMIFS(Imput[[Importe Neto]:[Importe Neto]],Imput[[C. Imp.]:[C. Imp.]],$D1082,Imput[[PERIODO Imp.]:[PERIODO Imp.]],CA$9)</f>
        <v>0</v>
      </c>
      <c r="CB1082" s="693">
        <f>SUMIFS(Imput[[Importe Neto]:[Importe Neto]],Imput[[C. Imp.]:[C. Imp.]],$D1082,Imput[[PERIODO Imp.]:[PERIODO Imp.]],CB$9)</f>
        <v>0</v>
      </c>
      <c r="CC1082" s="693">
        <f>SUMIFS(Imput[[Importe Neto]:[Importe Neto]],Imput[[C. Imp.]:[C. Imp.]],$D1082,Imput[[PERIODO Imp.]:[PERIODO Imp.]],CC$9)</f>
        <v>0</v>
      </c>
      <c r="CD1082" s="693">
        <f>SUMIFS(Imput[[Importe Neto]:[Importe Neto]],Imput[[C. Imp.]:[C. Imp.]],$D1082,Imput[[PERIODO Imp.]:[PERIODO Imp.]],CD$9)</f>
        <v>0</v>
      </c>
      <c r="CE1082" s="693">
        <f>SUMIFS(Imput[[Importe Neto]:[Importe Neto]],Imput[[C. Imp.]:[C. Imp.]],$D1082,Imput[[PERIODO Imp.]:[PERIODO Imp.]],CE$9)</f>
        <v>0</v>
      </c>
      <c r="CF1082" s="693">
        <f>SUMIFS(Imput[[Importe Neto]:[Importe Neto]],Imput[[C. Imp.]:[C. Imp.]],$D1082,Imput[[PERIODO Imp.]:[PERIODO Imp.]],CF$9)</f>
        <v>0</v>
      </c>
      <c r="CG1082" s="693">
        <f>SUMIFS(Imput[[Importe Neto]:[Importe Neto]],Imput[[C. Imp.]:[C. Imp.]],$D1082,Imput[[PERIODO Imp.]:[PERIODO Imp.]],CG$9)</f>
        <v>0</v>
      </c>
      <c r="CH1082" s="693">
        <f>SUMIFS(Imput[[Importe Neto]:[Importe Neto]],Imput[[C. Imp.]:[C. Imp.]],$D1082,Imput[[PERIODO Imp.]:[PERIODO Imp.]],CH$9)</f>
        <v>0</v>
      </c>
      <c r="CI1082" s="693">
        <f>SUMIFS(Imput[[Importe Neto]:[Importe Neto]],Imput[[C. Imp.]:[C. Imp.]],$D1082,Imput[[PERIODO Imp.]:[PERIODO Imp.]],CI$9)</f>
        <v>0</v>
      </c>
      <c r="CJ1082" s="693">
        <f>SUMIFS(Imput[[Importe Neto]:[Importe Neto]],Imput[[C. Imp.]:[C. Imp.]],$D1082,Imput[[PERIODO Imp.]:[PERIODO Imp.]],CJ$9)</f>
        <v>0</v>
      </c>
      <c r="CK1082" s="693">
        <f>SUMIFS(Imput[[Importe Neto]:[Importe Neto]],Imput[[C. Imp.]:[C. Imp.]],$D1082,Imput[[PERIODO Imp.]:[PERIODO Imp.]],CK$9)</f>
        <v>0</v>
      </c>
      <c r="CL1082" s="693">
        <f>SUMIFS(Imput[[Importe Neto]:[Importe Neto]],Imput[[C. Imp.]:[C. Imp.]],$D1082,Imput[[PERIODO Imp.]:[PERIODO Imp.]],CL$9)</f>
        <v>0</v>
      </c>
      <c r="CM1082" s="693">
        <f>SUMIFS(Imput[[Importe Neto]:[Importe Neto]],Imput[[C. Imp.]:[C. Imp.]],$D1082,Imput[[PERIODO Imp.]:[PERIODO Imp.]],CM$9)</f>
        <v>0</v>
      </c>
      <c r="CN1082" s="693">
        <f>SUMIFS(Imput[[Importe Neto]:[Importe Neto]],Imput[[C. Imp.]:[C. Imp.]],$D1082,Imput[[PERIODO Imp.]:[PERIODO Imp.]],CN$9)</f>
        <v>0</v>
      </c>
      <c r="CO1082" s="693">
        <f>SUMIFS(Imput[[Importe Neto]:[Importe Neto]],Imput[[C. Imp.]:[C. Imp.]],$D1082,Imput[[PERIODO Imp.]:[PERIODO Imp.]],CO$9)</f>
        <v>0</v>
      </c>
      <c r="CP1082" s="693">
        <f>SUMIFS(Imput[[Importe Neto]:[Importe Neto]],Imput[[C. Imp.]:[C. Imp.]],$D1082,Imput[[PERIODO Imp.]:[PERIODO Imp.]],CP$9)</f>
        <v>0</v>
      </c>
      <c r="CQ1082" s="693">
        <f>SUMIFS(Imput[[Importe Neto]:[Importe Neto]],Imput[[C. Imp.]:[C. Imp.]],$D1082,Imput[[PERIODO Imp.]:[PERIODO Imp.]],CQ$9)</f>
        <v>0</v>
      </c>
      <c r="CR1082" s="693">
        <f>SUMIFS(Imput[[Importe Neto]:[Importe Neto]],Imput[[C. Imp.]:[C. Imp.]],$D1082,Imput[[PERIODO Imp.]:[PERIODO Imp.]],CR$9)</f>
        <v>0</v>
      </c>
      <c r="CS1082" s="693">
        <f>SUMIFS(Imput[[Importe Neto]:[Importe Neto]],Imput[[C. Imp.]:[C. Imp.]],$D1082,Imput[[PERIODO Imp.]:[PERIODO Imp.]],CS$9)</f>
        <v>0</v>
      </c>
      <c r="CT1082" s="693">
        <f>SUMIFS(Imput[[Importe Neto]:[Importe Neto]],Imput[[C. Imp.]:[C. Imp.]],$D1082,Imput[[PERIODO Imp.]:[PERIODO Imp.]],CT$9)</f>
        <v>0</v>
      </c>
      <c r="CU1082" s="693">
        <f>SUMIFS(Imput[[Importe Neto]:[Importe Neto]],Imput[[C. Imp.]:[C. Imp.]],$D1082,Imput[[PERIODO Imp.]:[PERIODO Imp.]],CU$9)</f>
        <v>0</v>
      </c>
      <c r="CV1082" s="693">
        <f>SUMIFS(Imput[[Importe Neto]:[Importe Neto]],Imput[[C. Imp.]:[C. Imp.]],$D1082,Imput[[PERIODO Imp.]:[PERIODO Imp.]],CV$9)</f>
        <v>0</v>
      </c>
      <c r="CW1082" s="693">
        <f>SUMIFS(Imput[[Importe Neto]:[Importe Neto]],Imput[[C. Imp.]:[C. Imp.]],$D1082,Imput[[PERIODO Imp.]:[PERIODO Imp.]],CW$9)</f>
        <v>0</v>
      </c>
      <c r="CX1082" s="693">
        <f>SUMIFS(Imput[[Importe Neto]:[Importe Neto]],Imput[[C. Imp.]:[C. Imp.]],$D1082,Imput[[PERIODO Imp.]:[PERIODO Imp.]],CX$9)</f>
        <v>0</v>
      </c>
      <c r="CY1082" s="693">
        <f>SUMIFS(Imput[[Importe Neto]:[Importe Neto]],Imput[[C. Imp.]:[C. Imp.]],$D1082,Imput[[PERIODO Imp.]:[PERIODO Imp.]],CY$9)</f>
        <v>0</v>
      </c>
      <c r="CZ1082" s="693">
        <f>SUMIFS(Imput[[Importe Neto]:[Importe Neto]],Imput[[C. Imp.]:[C. Imp.]],$D1082,Imput[[PERIODO Imp.]:[PERIODO Imp.]],CZ$9)</f>
        <v>0</v>
      </c>
      <c r="DA1082" s="693">
        <f>SUMIFS(Imput[[Importe Neto]:[Importe Neto]],Imput[[C. Imp.]:[C. Imp.]],$D1082,Imput[[PERIODO Imp.]:[PERIODO Imp.]],DA$9)</f>
        <v>0</v>
      </c>
      <c r="DB1082" s="693">
        <f>SUMIFS(Imput[[Importe Neto]:[Importe Neto]],Imput[[C. Imp.]:[C. Imp.]],$D1082,Imput[[PERIODO Imp.]:[PERIODO Imp.]],DB$9)</f>
        <v>0</v>
      </c>
      <c r="DC1082" s="693">
        <f>SUMIFS(Imput[[Importe Neto]:[Importe Neto]],Imput[[C. Imp.]:[C. Imp.]],$D1082,Imput[[PERIODO Imp.]:[PERIODO Imp.]],DC$9)</f>
        <v>0</v>
      </c>
      <c r="DD1082" s="693">
        <f>SUMIFS(Imput[[Importe Neto]:[Importe Neto]],Imput[[C. Imp.]:[C. Imp.]],$D1082,Imput[[PERIODO Imp.]:[PERIODO Imp.]],DD$9)</f>
        <v>0</v>
      </c>
      <c r="DE1082" s="693">
        <f>SUMIFS(Imput[[Importe Neto]:[Importe Neto]],Imput[[C. Imp.]:[C. Imp.]],$D1082,Imput[[PERIODO Imp.]:[PERIODO Imp.]],DE$9)</f>
        <v>0</v>
      </c>
      <c r="DF1082" s="693">
        <f>SUMIFS(Imput[[Importe Neto]:[Importe Neto]],Imput[[C. Imp.]:[C. Imp.]],$D1082,Imput[[PERIODO Imp.]:[PERIODO Imp.]],DF$9)</f>
        <v>0</v>
      </c>
      <c r="DG1082" s="693">
        <f>SUMIFS(Imput[[Importe Neto]:[Importe Neto]],Imput[[C. Imp.]:[C. Imp.]],$D1082,Imput[[PERIODO Imp.]:[PERIODO Imp.]],DG$9)</f>
        <v>0</v>
      </c>
      <c r="DH1082" s="694">
        <f>SUMIFS(Imput[[Importe Neto]:[Importe Neto]],Imput[[C. Imp.]:[C. Imp.]],$D1082,Imput[[PERIODO Imp.]:[PERIODO Imp.]],DH$9)</f>
        <v>0</v>
      </c>
    </row>
    <row r="1083" spans="1:112" s="649" customFormat="1" hidden="1" outlineLevel="1" x14ac:dyDescent="0.3">
      <c r="A1083" s="652" t="str">
        <f t="shared" si="361"/>
        <v/>
      </c>
      <c r="B1083" s="652"/>
      <c r="C1083" s="685"/>
      <c r="D1083" s="686"/>
      <c r="E1083" s="686"/>
      <c r="F1083" s="720"/>
      <c r="G1083" s="688"/>
      <c r="H1083" s="531"/>
      <c r="I1083" s="851" t="str">
        <f t="shared" si="362"/>
        <v/>
      </c>
      <c r="J1083" s="850" t="str">
        <f t="shared" si="363"/>
        <v/>
      </c>
      <c r="K1083" s="667"/>
      <c r="L1083" s="858">
        <v>1</v>
      </c>
      <c r="M1083" s="859"/>
      <c r="N1083" s="859"/>
      <c r="O1083" s="859"/>
      <c r="P1083" s="859"/>
      <c r="Q1083" s="859"/>
      <c r="R1083" s="859"/>
      <c r="S1083" s="859"/>
      <c r="T1083" s="859"/>
      <c r="U1083" s="859"/>
      <c r="V1083" s="859"/>
      <c r="W1083" s="859"/>
      <c r="X1083" s="859"/>
      <c r="Y1083" s="859"/>
      <c r="Z1083" s="860"/>
      <c r="AA1083" s="860"/>
      <c r="AB1083" s="860"/>
      <c r="AC1083" s="860"/>
      <c r="AD1083" s="860"/>
      <c r="AE1083" s="860"/>
      <c r="AF1083" s="860"/>
      <c r="AG1083" s="860"/>
      <c r="AH1083" s="860"/>
      <c r="AI1083" s="860"/>
      <c r="AJ1083" s="860"/>
      <c r="AK1083" s="860"/>
      <c r="AL1083" s="860"/>
      <c r="AM1083" s="860"/>
      <c r="AN1083" s="860"/>
      <c r="AO1083" s="860"/>
      <c r="AP1083" s="860"/>
      <c r="AQ1083" s="860"/>
      <c r="AR1083" s="860"/>
      <c r="AS1083" s="860"/>
      <c r="AT1083" s="860"/>
      <c r="AU1083" s="860"/>
      <c r="AV1083" s="860"/>
      <c r="AW1083" s="860"/>
      <c r="AX1083" s="860"/>
      <c r="AY1083" s="860"/>
      <c r="AZ1083" s="860"/>
      <c r="BA1083" s="860"/>
      <c r="BB1083" s="860"/>
      <c r="BC1083" s="860"/>
      <c r="BD1083" s="860"/>
      <c r="BE1083" s="860"/>
      <c r="BF1083" s="860"/>
      <c r="BG1083" s="860"/>
      <c r="BH1083" s="668"/>
      <c r="BI1083" s="667"/>
      <c r="BJ1083" s="690">
        <f t="shared" si="364"/>
        <v>0</v>
      </c>
      <c r="BK1083" s="691">
        <f t="shared" si="365"/>
        <v>0</v>
      </c>
      <c r="BL1083" s="654"/>
      <c r="BM1083" s="692">
        <f>SUMIFS(Imput[[Importe Neto]:[Importe Neto]],Imput[[C. Imp.]:[C. Imp.]],$D1083,Imput[[PERIODO Imp.]:[PERIODO Imp.]],BM$9)</f>
        <v>0</v>
      </c>
      <c r="BN1083" s="693">
        <f>SUMIFS(Imput[[Importe Neto]:[Importe Neto]],Imput[[C. Imp.]:[C. Imp.]],$D1083,Imput[[PERIODO Imp.]:[PERIODO Imp.]],BN$9)</f>
        <v>0</v>
      </c>
      <c r="BO1083" s="693">
        <f>SUMIFS(Imput[[Importe Neto]:[Importe Neto]],Imput[[C. Imp.]:[C. Imp.]],$D1083,Imput[[PERIODO Imp.]:[PERIODO Imp.]],BO$9)</f>
        <v>0</v>
      </c>
      <c r="BP1083" s="693">
        <f>SUMIFS(Imput[[Importe Neto]:[Importe Neto]],Imput[[C. Imp.]:[C. Imp.]],$D1083,Imput[[PERIODO Imp.]:[PERIODO Imp.]],BP$9)</f>
        <v>0</v>
      </c>
      <c r="BQ1083" s="693">
        <f>SUMIFS(Imput[[Importe Neto]:[Importe Neto]],Imput[[C. Imp.]:[C. Imp.]],$D1083,Imput[[PERIODO Imp.]:[PERIODO Imp.]],BQ$9)</f>
        <v>0</v>
      </c>
      <c r="BR1083" s="693">
        <f>SUMIFS(Imput[[Importe Neto]:[Importe Neto]],Imput[[C. Imp.]:[C. Imp.]],$D1083,Imput[[PERIODO Imp.]:[PERIODO Imp.]],BR$9)</f>
        <v>0</v>
      </c>
      <c r="BS1083" s="693">
        <f>SUMIFS(Imput[[Importe Neto]:[Importe Neto]],Imput[[C. Imp.]:[C. Imp.]],$D1083,Imput[[PERIODO Imp.]:[PERIODO Imp.]],BS$9)</f>
        <v>0</v>
      </c>
      <c r="BT1083" s="693">
        <f>SUMIFS(Imput[[Importe Neto]:[Importe Neto]],Imput[[C. Imp.]:[C. Imp.]],$D1083,Imput[[PERIODO Imp.]:[PERIODO Imp.]],BT$9)</f>
        <v>0</v>
      </c>
      <c r="BU1083" s="693">
        <f>SUMIFS(Imput[[Importe Neto]:[Importe Neto]],Imput[[C. Imp.]:[C. Imp.]],$D1083,Imput[[PERIODO Imp.]:[PERIODO Imp.]],BU$9)</f>
        <v>0</v>
      </c>
      <c r="BV1083" s="693">
        <f>SUMIFS(Imput[[Importe Neto]:[Importe Neto]],Imput[[C. Imp.]:[C. Imp.]],$D1083,Imput[[PERIODO Imp.]:[PERIODO Imp.]],BV$9)</f>
        <v>0</v>
      </c>
      <c r="BW1083" s="693">
        <f>SUMIFS(Imput[[Importe Neto]:[Importe Neto]],Imput[[C. Imp.]:[C. Imp.]],$D1083,Imput[[PERIODO Imp.]:[PERIODO Imp.]],BW$9)</f>
        <v>0</v>
      </c>
      <c r="BX1083" s="693">
        <f>SUMIFS(Imput[[Importe Neto]:[Importe Neto]],Imput[[C. Imp.]:[C. Imp.]],$D1083,Imput[[PERIODO Imp.]:[PERIODO Imp.]],BX$9)</f>
        <v>0</v>
      </c>
      <c r="BY1083" s="693">
        <f>SUMIFS(Imput[[Importe Neto]:[Importe Neto]],Imput[[C. Imp.]:[C. Imp.]],$D1083,Imput[[PERIODO Imp.]:[PERIODO Imp.]],BY$9)</f>
        <v>0</v>
      </c>
      <c r="BZ1083" s="693">
        <f>SUMIFS(Imput[[Importe Neto]:[Importe Neto]],Imput[[C. Imp.]:[C. Imp.]],$D1083,Imput[[PERIODO Imp.]:[PERIODO Imp.]],BZ$9)</f>
        <v>0</v>
      </c>
      <c r="CA1083" s="693">
        <f>SUMIFS(Imput[[Importe Neto]:[Importe Neto]],Imput[[C. Imp.]:[C. Imp.]],$D1083,Imput[[PERIODO Imp.]:[PERIODO Imp.]],CA$9)</f>
        <v>0</v>
      </c>
      <c r="CB1083" s="693">
        <f>SUMIFS(Imput[[Importe Neto]:[Importe Neto]],Imput[[C. Imp.]:[C. Imp.]],$D1083,Imput[[PERIODO Imp.]:[PERIODO Imp.]],CB$9)</f>
        <v>0</v>
      </c>
      <c r="CC1083" s="693">
        <f>SUMIFS(Imput[[Importe Neto]:[Importe Neto]],Imput[[C. Imp.]:[C. Imp.]],$D1083,Imput[[PERIODO Imp.]:[PERIODO Imp.]],CC$9)</f>
        <v>0</v>
      </c>
      <c r="CD1083" s="693">
        <f>SUMIFS(Imput[[Importe Neto]:[Importe Neto]],Imput[[C. Imp.]:[C. Imp.]],$D1083,Imput[[PERIODO Imp.]:[PERIODO Imp.]],CD$9)</f>
        <v>0</v>
      </c>
      <c r="CE1083" s="693">
        <f>SUMIFS(Imput[[Importe Neto]:[Importe Neto]],Imput[[C. Imp.]:[C. Imp.]],$D1083,Imput[[PERIODO Imp.]:[PERIODO Imp.]],CE$9)</f>
        <v>0</v>
      </c>
      <c r="CF1083" s="693">
        <f>SUMIFS(Imput[[Importe Neto]:[Importe Neto]],Imput[[C. Imp.]:[C. Imp.]],$D1083,Imput[[PERIODO Imp.]:[PERIODO Imp.]],CF$9)</f>
        <v>0</v>
      </c>
      <c r="CG1083" s="693">
        <f>SUMIFS(Imput[[Importe Neto]:[Importe Neto]],Imput[[C. Imp.]:[C. Imp.]],$D1083,Imput[[PERIODO Imp.]:[PERIODO Imp.]],CG$9)</f>
        <v>0</v>
      </c>
      <c r="CH1083" s="693">
        <f>SUMIFS(Imput[[Importe Neto]:[Importe Neto]],Imput[[C. Imp.]:[C. Imp.]],$D1083,Imput[[PERIODO Imp.]:[PERIODO Imp.]],CH$9)</f>
        <v>0</v>
      </c>
      <c r="CI1083" s="693">
        <f>SUMIFS(Imput[[Importe Neto]:[Importe Neto]],Imput[[C. Imp.]:[C. Imp.]],$D1083,Imput[[PERIODO Imp.]:[PERIODO Imp.]],CI$9)</f>
        <v>0</v>
      </c>
      <c r="CJ1083" s="693">
        <f>SUMIFS(Imput[[Importe Neto]:[Importe Neto]],Imput[[C. Imp.]:[C. Imp.]],$D1083,Imput[[PERIODO Imp.]:[PERIODO Imp.]],CJ$9)</f>
        <v>0</v>
      </c>
      <c r="CK1083" s="693">
        <f>SUMIFS(Imput[[Importe Neto]:[Importe Neto]],Imput[[C. Imp.]:[C. Imp.]],$D1083,Imput[[PERIODO Imp.]:[PERIODO Imp.]],CK$9)</f>
        <v>0</v>
      </c>
      <c r="CL1083" s="693">
        <f>SUMIFS(Imput[[Importe Neto]:[Importe Neto]],Imput[[C. Imp.]:[C. Imp.]],$D1083,Imput[[PERIODO Imp.]:[PERIODO Imp.]],CL$9)</f>
        <v>0</v>
      </c>
      <c r="CM1083" s="693">
        <f>SUMIFS(Imput[[Importe Neto]:[Importe Neto]],Imput[[C. Imp.]:[C. Imp.]],$D1083,Imput[[PERIODO Imp.]:[PERIODO Imp.]],CM$9)</f>
        <v>0</v>
      </c>
      <c r="CN1083" s="693">
        <f>SUMIFS(Imput[[Importe Neto]:[Importe Neto]],Imput[[C. Imp.]:[C. Imp.]],$D1083,Imput[[PERIODO Imp.]:[PERIODO Imp.]],CN$9)</f>
        <v>0</v>
      </c>
      <c r="CO1083" s="693">
        <f>SUMIFS(Imput[[Importe Neto]:[Importe Neto]],Imput[[C. Imp.]:[C. Imp.]],$D1083,Imput[[PERIODO Imp.]:[PERIODO Imp.]],CO$9)</f>
        <v>0</v>
      </c>
      <c r="CP1083" s="693">
        <f>SUMIFS(Imput[[Importe Neto]:[Importe Neto]],Imput[[C. Imp.]:[C. Imp.]],$D1083,Imput[[PERIODO Imp.]:[PERIODO Imp.]],CP$9)</f>
        <v>0</v>
      </c>
      <c r="CQ1083" s="693">
        <f>SUMIFS(Imput[[Importe Neto]:[Importe Neto]],Imput[[C. Imp.]:[C. Imp.]],$D1083,Imput[[PERIODO Imp.]:[PERIODO Imp.]],CQ$9)</f>
        <v>0</v>
      </c>
      <c r="CR1083" s="693">
        <f>SUMIFS(Imput[[Importe Neto]:[Importe Neto]],Imput[[C. Imp.]:[C. Imp.]],$D1083,Imput[[PERIODO Imp.]:[PERIODO Imp.]],CR$9)</f>
        <v>0</v>
      </c>
      <c r="CS1083" s="693">
        <f>SUMIFS(Imput[[Importe Neto]:[Importe Neto]],Imput[[C. Imp.]:[C. Imp.]],$D1083,Imput[[PERIODO Imp.]:[PERIODO Imp.]],CS$9)</f>
        <v>0</v>
      </c>
      <c r="CT1083" s="693">
        <f>SUMIFS(Imput[[Importe Neto]:[Importe Neto]],Imput[[C. Imp.]:[C. Imp.]],$D1083,Imput[[PERIODO Imp.]:[PERIODO Imp.]],CT$9)</f>
        <v>0</v>
      </c>
      <c r="CU1083" s="693">
        <f>SUMIFS(Imput[[Importe Neto]:[Importe Neto]],Imput[[C. Imp.]:[C. Imp.]],$D1083,Imput[[PERIODO Imp.]:[PERIODO Imp.]],CU$9)</f>
        <v>0</v>
      </c>
      <c r="CV1083" s="693">
        <f>SUMIFS(Imput[[Importe Neto]:[Importe Neto]],Imput[[C. Imp.]:[C. Imp.]],$D1083,Imput[[PERIODO Imp.]:[PERIODO Imp.]],CV$9)</f>
        <v>0</v>
      </c>
      <c r="CW1083" s="693">
        <f>SUMIFS(Imput[[Importe Neto]:[Importe Neto]],Imput[[C. Imp.]:[C. Imp.]],$D1083,Imput[[PERIODO Imp.]:[PERIODO Imp.]],CW$9)</f>
        <v>0</v>
      </c>
      <c r="CX1083" s="693">
        <f>SUMIFS(Imput[[Importe Neto]:[Importe Neto]],Imput[[C. Imp.]:[C. Imp.]],$D1083,Imput[[PERIODO Imp.]:[PERIODO Imp.]],CX$9)</f>
        <v>0</v>
      </c>
      <c r="CY1083" s="693">
        <f>SUMIFS(Imput[[Importe Neto]:[Importe Neto]],Imput[[C. Imp.]:[C. Imp.]],$D1083,Imput[[PERIODO Imp.]:[PERIODO Imp.]],CY$9)</f>
        <v>0</v>
      </c>
      <c r="CZ1083" s="693">
        <f>SUMIFS(Imput[[Importe Neto]:[Importe Neto]],Imput[[C. Imp.]:[C. Imp.]],$D1083,Imput[[PERIODO Imp.]:[PERIODO Imp.]],CZ$9)</f>
        <v>0</v>
      </c>
      <c r="DA1083" s="693">
        <f>SUMIFS(Imput[[Importe Neto]:[Importe Neto]],Imput[[C. Imp.]:[C. Imp.]],$D1083,Imput[[PERIODO Imp.]:[PERIODO Imp.]],DA$9)</f>
        <v>0</v>
      </c>
      <c r="DB1083" s="693">
        <f>SUMIFS(Imput[[Importe Neto]:[Importe Neto]],Imput[[C. Imp.]:[C. Imp.]],$D1083,Imput[[PERIODO Imp.]:[PERIODO Imp.]],DB$9)</f>
        <v>0</v>
      </c>
      <c r="DC1083" s="693">
        <f>SUMIFS(Imput[[Importe Neto]:[Importe Neto]],Imput[[C. Imp.]:[C. Imp.]],$D1083,Imput[[PERIODO Imp.]:[PERIODO Imp.]],DC$9)</f>
        <v>0</v>
      </c>
      <c r="DD1083" s="693">
        <f>SUMIFS(Imput[[Importe Neto]:[Importe Neto]],Imput[[C. Imp.]:[C. Imp.]],$D1083,Imput[[PERIODO Imp.]:[PERIODO Imp.]],DD$9)</f>
        <v>0</v>
      </c>
      <c r="DE1083" s="693">
        <f>SUMIFS(Imput[[Importe Neto]:[Importe Neto]],Imput[[C. Imp.]:[C. Imp.]],$D1083,Imput[[PERIODO Imp.]:[PERIODO Imp.]],DE$9)</f>
        <v>0</v>
      </c>
      <c r="DF1083" s="693">
        <f>SUMIFS(Imput[[Importe Neto]:[Importe Neto]],Imput[[C. Imp.]:[C. Imp.]],$D1083,Imput[[PERIODO Imp.]:[PERIODO Imp.]],DF$9)</f>
        <v>0</v>
      </c>
      <c r="DG1083" s="693">
        <f>SUMIFS(Imput[[Importe Neto]:[Importe Neto]],Imput[[C. Imp.]:[C. Imp.]],$D1083,Imput[[PERIODO Imp.]:[PERIODO Imp.]],DG$9)</f>
        <v>0</v>
      </c>
      <c r="DH1083" s="694">
        <f>SUMIFS(Imput[[Importe Neto]:[Importe Neto]],Imput[[C. Imp.]:[C. Imp.]],$D1083,Imput[[PERIODO Imp.]:[PERIODO Imp.]],DH$9)</f>
        <v>0</v>
      </c>
    </row>
    <row r="1084" spans="1:112" s="649" customFormat="1" hidden="1" outlineLevel="1" x14ac:dyDescent="0.3">
      <c r="A1084" s="652" t="str">
        <f t="shared" si="361"/>
        <v/>
      </c>
      <c r="B1084" s="652"/>
      <c r="C1084" s="685"/>
      <c r="D1084" s="686"/>
      <c r="E1084" s="686"/>
      <c r="F1084" s="720"/>
      <c r="G1084" s="688"/>
      <c r="H1084" s="531"/>
      <c r="I1084" s="851" t="str">
        <f t="shared" si="362"/>
        <v/>
      </c>
      <c r="J1084" s="850" t="str">
        <f t="shared" si="363"/>
        <v/>
      </c>
      <c r="K1084" s="667"/>
      <c r="L1084" s="858">
        <v>1</v>
      </c>
      <c r="M1084" s="859"/>
      <c r="N1084" s="859"/>
      <c r="O1084" s="859"/>
      <c r="P1084" s="859"/>
      <c r="Q1084" s="859"/>
      <c r="R1084" s="859"/>
      <c r="S1084" s="859"/>
      <c r="T1084" s="859"/>
      <c r="U1084" s="859"/>
      <c r="V1084" s="859"/>
      <c r="W1084" s="859"/>
      <c r="X1084" s="859"/>
      <c r="Y1084" s="859"/>
      <c r="Z1084" s="860"/>
      <c r="AA1084" s="860"/>
      <c r="AB1084" s="860"/>
      <c r="AC1084" s="860"/>
      <c r="AD1084" s="860"/>
      <c r="AE1084" s="860"/>
      <c r="AF1084" s="860"/>
      <c r="AG1084" s="860"/>
      <c r="AH1084" s="860"/>
      <c r="AI1084" s="860"/>
      <c r="AJ1084" s="860"/>
      <c r="AK1084" s="860"/>
      <c r="AL1084" s="860"/>
      <c r="AM1084" s="860"/>
      <c r="AN1084" s="860"/>
      <c r="AO1084" s="860"/>
      <c r="AP1084" s="860"/>
      <c r="AQ1084" s="860"/>
      <c r="AR1084" s="860"/>
      <c r="AS1084" s="860"/>
      <c r="AT1084" s="860"/>
      <c r="AU1084" s="860"/>
      <c r="AV1084" s="860"/>
      <c r="AW1084" s="860"/>
      <c r="AX1084" s="860"/>
      <c r="AY1084" s="860"/>
      <c r="AZ1084" s="860"/>
      <c r="BA1084" s="860"/>
      <c r="BB1084" s="860"/>
      <c r="BC1084" s="860"/>
      <c r="BD1084" s="860"/>
      <c r="BE1084" s="860"/>
      <c r="BF1084" s="860"/>
      <c r="BG1084" s="860"/>
      <c r="BH1084" s="668"/>
      <c r="BI1084" s="667"/>
      <c r="BJ1084" s="690">
        <f t="shared" si="364"/>
        <v>0</v>
      </c>
      <c r="BK1084" s="691">
        <f t="shared" si="365"/>
        <v>0</v>
      </c>
      <c r="BL1084" s="654"/>
      <c r="BM1084" s="692">
        <f>SUMIFS(Imput[[Importe Neto]:[Importe Neto]],Imput[[C. Imp.]:[C. Imp.]],$D1084,Imput[[PERIODO Imp.]:[PERIODO Imp.]],BM$9)</f>
        <v>0</v>
      </c>
      <c r="BN1084" s="693">
        <f>SUMIFS(Imput[[Importe Neto]:[Importe Neto]],Imput[[C. Imp.]:[C. Imp.]],$D1084,Imput[[PERIODO Imp.]:[PERIODO Imp.]],BN$9)</f>
        <v>0</v>
      </c>
      <c r="BO1084" s="693">
        <f>SUMIFS(Imput[[Importe Neto]:[Importe Neto]],Imput[[C. Imp.]:[C. Imp.]],$D1084,Imput[[PERIODO Imp.]:[PERIODO Imp.]],BO$9)</f>
        <v>0</v>
      </c>
      <c r="BP1084" s="693">
        <f>SUMIFS(Imput[[Importe Neto]:[Importe Neto]],Imput[[C. Imp.]:[C. Imp.]],$D1084,Imput[[PERIODO Imp.]:[PERIODO Imp.]],BP$9)</f>
        <v>0</v>
      </c>
      <c r="BQ1084" s="693">
        <f>SUMIFS(Imput[[Importe Neto]:[Importe Neto]],Imput[[C. Imp.]:[C. Imp.]],$D1084,Imput[[PERIODO Imp.]:[PERIODO Imp.]],BQ$9)</f>
        <v>0</v>
      </c>
      <c r="BR1084" s="693">
        <f>SUMIFS(Imput[[Importe Neto]:[Importe Neto]],Imput[[C. Imp.]:[C. Imp.]],$D1084,Imput[[PERIODO Imp.]:[PERIODO Imp.]],BR$9)</f>
        <v>0</v>
      </c>
      <c r="BS1084" s="693">
        <f>SUMIFS(Imput[[Importe Neto]:[Importe Neto]],Imput[[C. Imp.]:[C. Imp.]],$D1084,Imput[[PERIODO Imp.]:[PERIODO Imp.]],BS$9)</f>
        <v>0</v>
      </c>
      <c r="BT1084" s="693">
        <f>SUMIFS(Imput[[Importe Neto]:[Importe Neto]],Imput[[C. Imp.]:[C. Imp.]],$D1084,Imput[[PERIODO Imp.]:[PERIODO Imp.]],BT$9)</f>
        <v>0</v>
      </c>
      <c r="BU1084" s="693">
        <f>SUMIFS(Imput[[Importe Neto]:[Importe Neto]],Imput[[C. Imp.]:[C. Imp.]],$D1084,Imput[[PERIODO Imp.]:[PERIODO Imp.]],BU$9)</f>
        <v>0</v>
      </c>
      <c r="BV1084" s="693">
        <f>SUMIFS(Imput[[Importe Neto]:[Importe Neto]],Imput[[C. Imp.]:[C. Imp.]],$D1084,Imput[[PERIODO Imp.]:[PERIODO Imp.]],BV$9)</f>
        <v>0</v>
      </c>
      <c r="BW1084" s="693">
        <f>SUMIFS(Imput[[Importe Neto]:[Importe Neto]],Imput[[C. Imp.]:[C. Imp.]],$D1084,Imput[[PERIODO Imp.]:[PERIODO Imp.]],BW$9)</f>
        <v>0</v>
      </c>
      <c r="BX1084" s="693">
        <f>SUMIFS(Imput[[Importe Neto]:[Importe Neto]],Imput[[C. Imp.]:[C. Imp.]],$D1084,Imput[[PERIODO Imp.]:[PERIODO Imp.]],BX$9)</f>
        <v>0</v>
      </c>
      <c r="BY1084" s="693">
        <f>SUMIFS(Imput[[Importe Neto]:[Importe Neto]],Imput[[C. Imp.]:[C. Imp.]],$D1084,Imput[[PERIODO Imp.]:[PERIODO Imp.]],BY$9)</f>
        <v>0</v>
      </c>
      <c r="BZ1084" s="693">
        <f>SUMIFS(Imput[[Importe Neto]:[Importe Neto]],Imput[[C. Imp.]:[C. Imp.]],$D1084,Imput[[PERIODO Imp.]:[PERIODO Imp.]],BZ$9)</f>
        <v>0</v>
      </c>
      <c r="CA1084" s="693">
        <f>SUMIFS(Imput[[Importe Neto]:[Importe Neto]],Imput[[C. Imp.]:[C. Imp.]],$D1084,Imput[[PERIODO Imp.]:[PERIODO Imp.]],CA$9)</f>
        <v>0</v>
      </c>
      <c r="CB1084" s="693">
        <f>SUMIFS(Imput[[Importe Neto]:[Importe Neto]],Imput[[C. Imp.]:[C. Imp.]],$D1084,Imput[[PERIODO Imp.]:[PERIODO Imp.]],CB$9)</f>
        <v>0</v>
      </c>
      <c r="CC1084" s="693">
        <f>SUMIFS(Imput[[Importe Neto]:[Importe Neto]],Imput[[C. Imp.]:[C. Imp.]],$D1084,Imput[[PERIODO Imp.]:[PERIODO Imp.]],CC$9)</f>
        <v>0</v>
      </c>
      <c r="CD1084" s="693">
        <f>SUMIFS(Imput[[Importe Neto]:[Importe Neto]],Imput[[C. Imp.]:[C. Imp.]],$D1084,Imput[[PERIODO Imp.]:[PERIODO Imp.]],CD$9)</f>
        <v>0</v>
      </c>
      <c r="CE1084" s="693">
        <f>SUMIFS(Imput[[Importe Neto]:[Importe Neto]],Imput[[C. Imp.]:[C. Imp.]],$D1084,Imput[[PERIODO Imp.]:[PERIODO Imp.]],CE$9)</f>
        <v>0</v>
      </c>
      <c r="CF1084" s="693">
        <f>SUMIFS(Imput[[Importe Neto]:[Importe Neto]],Imput[[C. Imp.]:[C. Imp.]],$D1084,Imput[[PERIODO Imp.]:[PERIODO Imp.]],CF$9)</f>
        <v>0</v>
      </c>
      <c r="CG1084" s="693">
        <f>SUMIFS(Imput[[Importe Neto]:[Importe Neto]],Imput[[C. Imp.]:[C. Imp.]],$D1084,Imput[[PERIODO Imp.]:[PERIODO Imp.]],CG$9)</f>
        <v>0</v>
      </c>
      <c r="CH1084" s="693">
        <f>SUMIFS(Imput[[Importe Neto]:[Importe Neto]],Imput[[C. Imp.]:[C. Imp.]],$D1084,Imput[[PERIODO Imp.]:[PERIODO Imp.]],CH$9)</f>
        <v>0</v>
      </c>
      <c r="CI1084" s="693">
        <f>SUMIFS(Imput[[Importe Neto]:[Importe Neto]],Imput[[C. Imp.]:[C. Imp.]],$D1084,Imput[[PERIODO Imp.]:[PERIODO Imp.]],CI$9)</f>
        <v>0</v>
      </c>
      <c r="CJ1084" s="693">
        <f>SUMIFS(Imput[[Importe Neto]:[Importe Neto]],Imput[[C. Imp.]:[C. Imp.]],$D1084,Imput[[PERIODO Imp.]:[PERIODO Imp.]],CJ$9)</f>
        <v>0</v>
      </c>
      <c r="CK1084" s="693">
        <f>SUMIFS(Imput[[Importe Neto]:[Importe Neto]],Imput[[C. Imp.]:[C. Imp.]],$D1084,Imput[[PERIODO Imp.]:[PERIODO Imp.]],CK$9)</f>
        <v>0</v>
      </c>
      <c r="CL1084" s="693">
        <f>SUMIFS(Imput[[Importe Neto]:[Importe Neto]],Imput[[C. Imp.]:[C. Imp.]],$D1084,Imput[[PERIODO Imp.]:[PERIODO Imp.]],CL$9)</f>
        <v>0</v>
      </c>
      <c r="CM1084" s="693">
        <f>SUMIFS(Imput[[Importe Neto]:[Importe Neto]],Imput[[C. Imp.]:[C. Imp.]],$D1084,Imput[[PERIODO Imp.]:[PERIODO Imp.]],CM$9)</f>
        <v>0</v>
      </c>
      <c r="CN1084" s="693">
        <f>SUMIFS(Imput[[Importe Neto]:[Importe Neto]],Imput[[C. Imp.]:[C. Imp.]],$D1084,Imput[[PERIODO Imp.]:[PERIODO Imp.]],CN$9)</f>
        <v>0</v>
      </c>
      <c r="CO1084" s="693">
        <f>SUMIFS(Imput[[Importe Neto]:[Importe Neto]],Imput[[C. Imp.]:[C. Imp.]],$D1084,Imput[[PERIODO Imp.]:[PERIODO Imp.]],CO$9)</f>
        <v>0</v>
      </c>
      <c r="CP1084" s="693">
        <f>SUMIFS(Imput[[Importe Neto]:[Importe Neto]],Imput[[C. Imp.]:[C. Imp.]],$D1084,Imput[[PERIODO Imp.]:[PERIODO Imp.]],CP$9)</f>
        <v>0</v>
      </c>
      <c r="CQ1084" s="693">
        <f>SUMIFS(Imput[[Importe Neto]:[Importe Neto]],Imput[[C. Imp.]:[C. Imp.]],$D1084,Imput[[PERIODO Imp.]:[PERIODO Imp.]],CQ$9)</f>
        <v>0</v>
      </c>
      <c r="CR1084" s="693">
        <f>SUMIFS(Imput[[Importe Neto]:[Importe Neto]],Imput[[C. Imp.]:[C. Imp.]],$D1084,Imput[[PERIODO Imp.]:[PERIODO Imp.]],CR$9)</f>
        <v>0</v>
      </c>
      <c r="CS1084" s="693">
        <f>SUMIFS(Imput[[Importe Neto]:[Importe Neto]],Imput[[C. Imp.]:[C. Imp.]],$D1084,Imput[[PERIODO Imp.]:[PERIODO Imp.]],CS$9)</f>
        <v>0</v>
      </c>
      <c r="CT1084" s="693">
        <f>SUMIFS(Imput[[Importe Neto]:[Importe Neto]],Imput[[C. Imp.]:[C. Imp.]],$D1084,Imput[[PERIODO Imp.]:[PERIODO Imp.]],CT$9)</f>
        <v>0</v>
      </c>
      <c r="CU1084" s="693">
        <f>SUMIFS(Imput[[Importe Neto]:[Importe Neto]],Imput[[C. Imp.]:[C. Imp.]],$D1084,Imput[[PERIODO Imp.]:[PERIODO Imp.]],CU$9)</f>
        <v>0</v>
      </c>
      <c r="CV1084" s="693">
        <f>SUMIFS(Imput[[Importe Neto]:[Importe Neto]],Imput[[C. Imp.]:[C. Imp.]],$D1084,Imput[[PERIODO Imp.]:[PERIODO Imp.]],CV$9)</f>
        <v>0</v>
      </c>
      <c r="CW1084" s="693">
        <f>SUMIFS(Imput[[Importe Neto]:[Importe Neto]],Imput[[C. Imp.]:[C. Imp.]],$D1084,Imput[[PERIODO Imp.]:[PERIODO Imp.]],CW$9)</f>
        <v>0</v>
      </c>
      <c r="CX1084" s="693">
        <f>SUMIFS(Imput[[Importe Neto]:[Importe Neto]],Imput[[C. Imp.]:[C. Imp.]],$D1084,Imput[[PERIODO Imp.]:[PERIODO Imp.]],CX$9)</f>
        <v>0</v>
      </c>
      <c r="CY1084" s="693">
        <f>SUMIFS(Imput[[Importe Neto]:[Importe Neto]],Imput[[C. Imp.]:[C. Imp.]],$D1084,Imput[[PERIODO Imp.]:[PERIODO Imp.]],CY$9)</f>
        <v>0</v>
      </c>
      <c r="CZ1084" s="693">
        <f>SUMIFS(Imput[[Importe Neto]:[Importe Neto]],Imput[[C. Imp.]:[C. Imp.]],$D1084,Imput[[PERIODO Imp.]:[PERIODO Imp.]],CZ$9)</f>
        <v>0</v>
      </c>
      <c r="DA1084" s="693">
        <f>SUMIFS(Imput[[Importe Neto]:[Importe Neto]],Imput[[C. Imp.]:[C. Imp.]],$D1084,Imput[[PERIODO Imp.]:[PERIODO Imp.]],DA$9)</f>
        <v>0</v>
      </c>
      <c r="DB1084" s="693">
        <f>SUMIFS(Imput[[Importe Neto]:[Importe Neto]],Imput[[C. Imp.]:[C. Imp.]],$D1084,Imput[[PERIODO Imp.]:[PERIODO Imp.]],DB$9)</f>
        <v>0</v>
      </c>
      <c r="DC1084" s="693">
        <f>SUMIFS(Imput[[Importe Neto]:[Importe Neto]],Imput[[C. Imp.]:[C. Imp.]],$D1084,Imput[[PERIODO Imp.]:[PERIODO Imp.]],DC$9)</f>
        <v>0</v>
      </c>
      <c r="DD1084" s="693">
        <f>SUMIFS(Imput[[Importe Neto]:[Importe Neto]],Imput[[C. Imp.]:[C. Imp.]],$D1084,Imput[[PERIODO Imp.]:[PERIODO Imp.]],DD$9)</f>
        <v>0</v>
      </c>
      <c r="DE1084" s="693">
        <f>SUMIFS(Imput[[Importe Neto]:[Importe Neto]],Imput[[C. Imp.]:[C. Imp.]],$D1084,Imput[[PERIODO Imp.]:[PERIODO Imp.]],DE$9)</f>
        <v>0</v>
      </c>
      <c r="DF1084" s="693">
        <f>SUMIFS(Imput[[Importe Neto]:[Importe Neto]],Imput[[C. Imp.]:[C. Imp.]],$D1084,Imput[[PERIODO Imp.]:[PERIODO Imp.]],DF$9)</f>
        <v>0</v>
      </c>
      <c r="DG1084" s="693">
        <f>SUMIFS(Imput[[Importe Neto]:[Importe Neto]],Imput[[C. Imp.]:[C. Imp.]],$D1084,Imput[[PERIODO Imp.]:[PERIODO Imp.]],DG$9)</f>
        <v>0</v>
      </c>
      <c r="DH1084" s="694">
        <f>SUMIFS(Imput[[Importe Neto]:[Importe Neto]],Imput[[C. Imp.]:[C. Imp.]],$D1084,Imput[[PERIODO Imp.]:[PERIODO Imp.]],DH$9)</f>
        <v>0</v>
      </c>
    </row>
    <row r="1085" spans="1:112" s="649" customFormat="1" hidden="1" outlineLevel="1" x14ac:dyDescent="0.3">
      <c r="A1085" s="652" t="str">
        <f t="shared" si="361"/>
        <v/>
      </c>
      <c r="B1085" s="652"/>
      <c r="C1085" s="685"/>
      <c r="D1085" s="686"/>
      <c r="E1085" s="686"/>
      <c r="F1085" s="720"/>
      <c r="G1085" s="688"/>
      <c r="H1085" s="689"/>
      <c r="I1085" s="851" t="str">
        <f t="shared" si="362"/>
        <v/>
      </c>
      <c r="J1085" s="852" t="str">
        <f t="shared" si="363"/>
        <v/>
      </c>
      <c r="K1085" s="667"/>
      <c r="L1085" s="858">
        <v>1</v>
      </c>
      <c r="M1085" s="859"/>
      <c r="N1085" s="859"/>
      <c r="O1085" s="859"/>
      <c r="P1085" s="859"/>
      <c r="Q1085" s="859"/>
      <c r="R1085" s="859"/>
      <c r="S1085" s="859"/>
      <c r="T1085" s="859"/>
      <c r="U1085" s="859"/>
      <c r="V1085" s="859"/>
      <c r="W1085" s="859"/>
      <c r="X1085" s="859"/>
      <c r="Y1085" s="859"/>
      <c r="Z1085" s="860"/>
      <c r="AA1085" s="860"/>
      <c r="AB1085" s="860"/>
      <c r="AC1085" s="860"/>
      <c r="AD1085" s="860"/>
      <c r="AE1085" s="860"/>
      <c r="AF1085" s="860"/>
      <c r="AG1085" s="860"/>
      <c r="AH1085" s="860"/>
      <c r="AI1085" s="860"/>
      <c r="AJ1085" s="860"/>
      <c r="AK1085" s="860"/>
      <c r="AL1085" s="860"/>
      <c r="AM1085" s="860"/>
      <c r="AN1085" s="860"/>
      <c r="AO1085" s="860"/>
      <c r="AP1085" s="860"/>
      <c r="AQ1085" s="860"/>
      <c r="AR1085" s="860"/>
      <c r="AS1085" s="860"/>
      <c r="AT1085" s="860"/>
      <c r="AU1085" s="860"/>
      <c r="AV1085" s="860"/>
      <c r="AW1085" s="860"/>
      <c r="AX1085" s="860"/>
      <c r="AY1085" s="860"/>
      <c r="AZ1085" s="860"/>
      <c r="BA1085" s="860"/>
      <c r="BB1085" s="860"/>
      <c r="BC1085" s="860"/>
      <c r="BD1085" s="860"/>
      <c r="BE1085" s="860"/>
      <c r="BF1085" s="860"/>
      <c r="BG1085" s="860"/>
      <c r="BH1085" s="668"/>
      <c r="BI1085" s="667"/>
      <c r="BJ1085" s="690">
        <f t="shared" si="364"/>
        <v>0</v>
      </c>
      <c r="BK1085" s="691">
        <f t="shared" si="365"/>
        <v>0</v>
      </c>
      <c r="BL1085" s="654"/>
      <c r="BM1085" s="692">
        <f>SUMIFS(Imput[[Importe Neto]:[Importe Neto]],Imput[[C. Imp.]:[C. Imp.]],$D1085,Imput[[PERIODO Imp.]:[PERIODO Imp.]],BM$9)</f>
        <v>0</v>
      </c>
      <c r="BN1085" s="693">
        <f>SUMIFS(Imput[[Importe Neto]:[Importe Neto]],Imput[[C. Imp.]:[C. Imp.]],$D1085,Imput[[PERIODO Imp.]:[PERIODO Imp.]],BN$9)</f>
        <v>0</v>
      </c>
      <c r="BO1085" s="693">
        <f>SUMIFS(Imput[[Importe Neto]:[Importe Neto]],Imput[[C. Imp.]:[C. Imp.]],$D1085,Imput[[PERIODO Imp.]:[PERIODO Imp.]],BO$9)</f>
        <v>0</v>
      </c>
      <c r="BP1085" s="693">
        <f>SUMIFS(Imput[[Importe Neto]:[Importe Neto]],Imput[[C. Imp.]:[C. Imp.]],$D1085,Imput[[PERIODO Imp.]:[PERIODO Imp.]],BP$9)</f>
        <v>0</v>
      </c>
      <c r="BQ1085" s="693">
        <f>SUMIFS(Imput[[Importe Neto]:[Importe Neto]],Imput[[C. Imp.]:[C. Imp.]],$D1085,Imput[[PERIODO Imp.]:[PERIODO Imp.]],BQ$9)</f>
        <v>0</v>
      </c>
      <c r="BR1085" s="693">
        <f>SUMIFS(Imput[[Importe Neto]:[Importe Neto]],Imput[[C. Imp.]:[C. Imp.]],$D1085,Imput[[PERIODO Imp.]:[PERIODO Imp.]],BR$9)</f>
        <v>0</v>
      </c>
      <c r="BS1085" s="693">
        <f>SUMIFS(Imput[[Importe Neto]:[Importe Neto]],Imput[[C. Imp.]:[C. Imp.]],$D1085,Imput[[PERIODO Imp.]:[PERIODO Imp.]],BS$9)</f>
        <v>0</v>
      </c>
      <c r="BT1085" s="693">
        <f>SUMIFS(Imput[[Importe Neto]:[Importe Neto]],Imput[[C. Imp.]:[C. Imp.]],$D1085,Imput[[PERIODO Imp.]:[PERIODO Imp.]],BT$9)</f>
        <v>0</v>
      </c>
      <c r="BU1085" s="693">
        <f>SUMIFS(Imput[[Importe Neto]:[Importe Neto]],Imput[[C. Imp.]:[C. Imp.]],$D1085,Imput[[PERIODO Imp.]:[PERIODO Imp.]],BU$9)</f>
        <v>0</v>
      </c>
      <c r="BV1085" s="693">
        <f>SUMIFS(Imput[[Importe Neto]:[Importe Neto]],Imput[[C. Imp.]:[C. Imp.]],$D1085,Imput[[PERIODO Imp.]:[PERIODO Imp.]],BV$9)</f>
        <v>0</v>
      </c>
      <c r="BW1085" s="693">
        <f>SUMIFS(Imput[[Importe Neto]:[Importe Neto]],Imput[[C. Imp.]:[C. Imp.]],$D1085,Imput[[PERIODO Imp.]:[PERIODO Imp.]],BW$9)</f>
        <v>0</v>
      </c>
      <c r="BX1085" s="693">
        <f>SUMIFS(Imput[[Importe Neto]:[Importe Neto]],Imput[[C. Imp.]:[C. Imp.]],$D1085,Imput[[PERIODO Imp.]:[PERIODO Imp.]],BX$9)</f>
        <v>0</v>
      </c>
      <c r="BY1085" s="693">
        <f>SUMIFS(Imput[[Importe Neto]:[Importe Neto]],Imput[[C. Imp.]:[C. Imp.]],$D1085,Imput[[PERIODO Imp.]:[PERIODO Imp.]],BY$9)</f>
        <v>0</v>
      </c>
      <c r="BZ1085" s="693">
        <f>SUMIFS(Imput[[Importe Neto]:[Importe Neto]],Imput[[C. Imp.]:[C. Imp.]],$D1085,Imput[[PERIODO Imp.]:[PERIODO Imp.]],BZ$9)</f>
        <v>0</v>
      </c>
      <c r="CA1085" s="693">
        <f>SUMIFS(Imput[[Importe Neto]:[Importe Neto]],Imput[[C. Imp.]:[C. Imp.]],$D1085,Imput[[PERIODO Imp.]:[PERIODO Imp.]],CA$9)</f>
        <v>0</v>
      </c>
      <c r="CB1085" s="693">
        <f>SUMIFS(Imput[[Importe Neto]:[Importe Neto]],Imput[[C. Imp.]:[C. Imp.]],$D1085,Imput[[PERIODO Imp.]:[PERIODO Imp.]],CB$9)</f>
        <v>0</v>
      </c>
      <c r="CC1085" s="693">
        <f>SUMIFS(Imput[[Importe Neto]:[Importe Neto]],Imput[[C. Imp.]:[C. Imp.]],$D1085,Imput[[PERIODO Imp.]:[PERIODO Imp.]],CC$9)</f>
        <v>0</v>
      </c>
      <c r="CD1085" s="693">
        <f>SUMIFS(Imput[[Importe Neto]:[Importe Neto]],Imput[[C. Imp.]:[C. Imp.]],$D1085,Imput[[PERIODO Imp.]:[PERIODO Imp.]],CD$9)</f>
        <v>0</v>
      </c>
      <c r="CE1085" s="693">
        <f>SUMIFS(Imput[[Importe Neto]:[Importe Neto]],Imput[[C. Imp.]:[C. Imp.]],$D1085,Imput[[PERIODO Imp.]:[PERIODO Imp.]],CE$9)</f>
        <v>0</v>
      </c>
      <c r="CF1085" s="693">
        <f>SUMIFS(Imput[[Importe Neto]:[Importe Neto]],Imput[[C. Imp.]:[C. Imp.]],$D1085,Imput[[PERIODO Imp.]:[PERIODO Imp.]],CF$9)</f>
        <v>0</v>
      </c>
      <c r="CG1085" s="693">
        <f>SUMIFS(Imput[[Importe Neto]:[Importe Neto]],Imput[[C. Imp.]:[C. Imp.]],$D1085,Imput[[PERIODO Imp.]:[PERIODO Imp.]],CG$9)</f>
        <v>0</v>
      </c>
      <c r="CH1085" s="693">
        <f>SUMIFS(Imput[[Importe Neto]:[Importe Neto]],Imput[[C. Imp.]:[C. Imp.]],$D1085,Imput[[PERIODO Imp.]:[PERIODO Imp.]],CH$9)</f>
        <v>0</v>
      </c>
      <c r="CI1085" s="693">
        <f>SUMIFS(Imput[[Importe Neto]:[Importe Neto]],Imput[[C. Imp.]:[C. Imp.]],$D1085,Imput[[PERIODO Imp.]:[PERIODO Imp.]],CI$9)</f>
        <v>0</v>
      </c>
      <c r="CJ1085" s="693">
        <f>SUMIFS(Imput[[Importe Neto]:[Importe Neto]],Imput[[C. Imp.]:[C. Imp.]],$D1085,Imput[[PERIODO Imp.]:[PERIODO Imp.]],CJ$9)</f>
        <v>0</v>
      </c>
      <c r="CK1085" s="693">
        <f>SUMIFS(Imput[[Importe Neto]:[Importe Neto]],Imput[[C. Imp.]:[C. Imp.]],$D1085,Imput[[PERIODO Imp.]:[PERIODO Imp.]],CK$9)</f>
        <v>0</v>
      </c>
      <c r="CL1085" s="693">
        <f>SUMIFS(Imput[[Importe Neto]:[Importe Neto]],Imput[[C. Imp.]:[C. Imp.]],$D1085,Imput[[PERIODO Imp.]:[PERIODO Imp.]],CL$9)</f>
        <v>0</v>
      </c>
      <c r="CM1085" s="693">
        <f>SUMIFS(Imput[[Importe Neto]:[Importe Neto]],Imput[[C. Imp.]:[C. Imp.]],$D1085,Imput[[PERIODO Imp.]:[PERIODO Imp.]],CM$9)</f>
        <v>0</v>
      </c>
      <c r="CN1085" s="693">
        <f>SUMIFS(Imput[[Importe Neto]:[Importe Neto]],Imput[[C. Imp.]:[C. Imp.]],$D1085,Imput[[PERIODO Imp.]:[PERIODO Imp.]],CN$9)</f>
        <v>0</v>
      </c>
      <c r="CO1085" s="693">
        <f>SUMIFS(Imput[[Importe Neto]:[Importe Neto]],Imput[[C. Imp.]:[C. Imp.]],$D1085,Imput[[PERIODO Imp.]:[PERIODO Imp.]],CO$9)</f>
        <v>0</v>
      </c>
      <c r="CP1085" s="693">
        <f>SUMIFS(Imput[[Importe Neto]:[Importe Neto]],Imput[[C. Imp.]:[C. Imp.]],$D1085,Imput[[PERIODO Imp.]:[PERIODO Imp.]],CP$9)</f>
        <v>0</v>
      </c>
      <c r="CQ1085" s="693">
        <f>SUMIFS(Imput[[Importe Neto]:[Importe Neto]],Imput[[C. Imp.]:[C. Imp.]],$D1085,Imput[[PERIODO Imp.]:[PERIODO Imp.]],CQ$9)</f>
        <v>0</v>
      </c>
      <c r="CR1085" s="693">
        <f>SUMIFS(Imput[[Importe Neto]:[Importe Neto]],Imput[[C. Imp.]:[C. Imp.]],$D1085,Imput[[PERIODO Imp.]:[PERIODO Imp.]],CR$9)</f>
        <v>0</v>
      </c>
      <c r="CS1085" s="693">
        <f>SUMIFS(Imput[[Importe Neto]:[Importe Neto]],Imput[[C. Imp.]:[C. Imp.]],$D1085,Imput[[PERIODO Imp.]:[PERIODO Imp.]],CS$9)</f>
        <v>0</v>
      </c>
      <c r="CT1085" s="693">
        <f>SUMIFS(Imput[[Importe Neto]:[Importe Neto]],Imput[[C. Imp.]:[C. Imp.]],$D1085,Imput[[PERIODO Imp.]:[PERIODO Imp.]],CT$9)</f>
        <v>0</v>
      </c>
      <c r="CU1085" s="693">
        <f>SUMIFS(Imput[[Importe Neto]:[Importe Neto]],Imput[[C. Imp.]:[C. Imp.]],$D1085,Imput[[PERIODO Imp.]:[PERIODO Imp.]],CU$9)</f>
        <v>0</v>
      </c>
      <c r="CV1085" s="693">
        <f>SUMIFS(Imput[[Importe Neto]:[Importe Neto]],Imput[[C. Imp.]:[C. Imp.]],$D1085,Imput[[PERIODO Imp.]:[PERIODO Imp.]],CV$9)</f>
        <v>0</v>
      </c>
      <c r="CW1085" s="693">
        <f>SUMIFS(Imput[[Importe Neto]:[Importe Neto]],Imput[[C. Imp.]:[C. Imp.]],$D1085,Imput[[PERIODO Imp.]:[PERIODO Imp.]],CW$9)</f>
        <v>0</v>
      </c>
      <c r="CX1085" s="693">
        <f>SUMIFS(Imput[[Importe Neto]:[Importe Neto]],Imput[[C. Imp.]:[C. Imp.]],$D1085,Imput[[PERIODO Imp.]:[PERIODO Imp.]],CX$9)</f>
        <v>0</v>
      </c>
      <c r="CY1085" s="693">
        <f>SUMIFS(Imput[[Importe Neto]:[Importe Neto]],Imput[[C. Imp.]:[C. Imp.]],$D1085,Imput[[PERIODO Imp.]:[PERIODO Imp.]],CY$9)</f>
        <v>0</v>
      </c>
      <c r="CZ1085" s="693">
        <f>SUMIFS(Imput[[Importe Neto]:[Importe Neto]],Imput[[C. Imp.]:[C. Imp.]],$D1085,Imput[[PERIODO Imp.]:[PERIODO Imp.]],CZ$9)</f>
        <v>0</v>
      </c>
      <c r="DA1085" s="693">
        <f>SUMIFS(Imput[[Importe Neto]:[Importe Neto]],Imput[[C. Imp.]:[C. Imp.]],$D1085,Imput[[PERIODO Imp.]:[PERIODO Imp.]],DA$9)</f>
        <v>0</v>
      </c>
      <c r="DB1085" s="693">
        <f>SUMIFS(Imput[[Importe Neto]:[Importe Neto]],Imput[[C. Imp.]:[C. Imp.]],$D1085,Imput[[PERIODO Imp.]:[PERIODO Imp.]],DB$9)</f>
        <v>0</v>
      </c>
      <c r="DC1085" s="693">
        <f>SUMIFS(Imput[[Importe Neto]:[Importe Neto]],Imput[[C. Imp.]:[C. Imp.]],$D1085,Imput[[PERIODO Imp.]:[PERIODO Imp.]],DC$9)</f>
        <v>0</v>
      </c>
      <c r="DD1085" s="693">
        <f>SUMIFS(Imput[[Importe Neto]:[Importe Neto]],Imput[[C. Imp.]:[C. Imp.]],$D1085,Imput[[PERIODO Imp.]:[PERIODO Imp.]],DD$9)</f>
        <v>0</v>
      </c>
      <c r="DE1085" s="693">
        <f>SUMIFS(Imput[[Importe Neto]:[Importe Neto]],Imput[[C. Imp.]:[C. Imp.]],$D1085,Imput[[PERIODO Imp.]:[PERIODO Imp.]],DE$9)</f>
        <v>0</v>
      </c>
      <c r="DF1085" s="693">
        <f>SUMIFS(Imput[[Importe Neto]:[Importe Neto]],Imput[[C. Imp.]:[C. Imp.]],$D1085,Imput[[PERIODO Imp.]:[PERIODO Imp.]],DF$9)</f>
        <v>0</v>
      </c>
      <c r="DG1085" s="693">
        <f>SUMIFS(Imput[[Importe Neto]:[Importe Neto]],Imput[[C. Imp.]:[C. Imp.]],$D1085,Imput[[PERIODO Imp.]:[PERIODO Imp.]],DG$9)</f>
        <v>0</v>
      </c>
      <c r="DH1085" s="694">
        <f>SUMIFS(Imput[[Importe Neto]:[Importe Neto]],Imput[[C. Imp.]:[C. Imp.]],$D1085,Imput[[PERIODO Imp.]:[PERIODO Imp.]],DH$9)</f>
        <v>0</v>
      </c>
    </row>
    <row r="1086" spans="1:112" s="649" customFormat="1" hidden="1" outlineLevel="1" x14ac:dyDescent="0.3">
      <c r="A1086" s="652" t="str">
        <f t="shared" si="361"/>
        <v/>
      </c>
      <c r="B1086" s="652"/>
      <c r="C1086" s="685"/>
      <c r="D1086" s="686"/>
      <c r="E1086" s="686"/>
      <c r="F1086" s="720"/>
      <c r="G1086" s="688"/>
      <c r="H1086" s="689"/>
      <c r="I1086" s="851" t="str">
        <f t="shared" si="362"/>
        <v/>
      </c>
      <c r="J1086" s="852" t="str">
        <f t="shared" si="363"/>
        <v/>
      </c>
      <c r="K1086" s="667"/>
      <c r="L1086" s="858">
        <v>1</v>
      </c>
      <c r="M1086" s="859"/>
      <c r="N1086" s="859"/>
      <c r="O1086" s="859"/>
      <c r="P1086" s="859"/>
      <c r="Q1086" s="859"/>
      <c r="R1086" s="859"/>
      <c r="S1086" s="859"/>
      <c r="T1086" s="859"/>
      <c r="U1086" s="859"/>
      <c r="V1086" s="859"/>
      <c r="W1086" s="859"/>
      <c r="X1086" s="859"/>
      <c r="Y1086" s="859"/>
      <c r="Z1086" s="860"/>
      <c r="AA1086" s="860"/>
      <c r="AB1086" s="860"/>
      <c r="AC1086" s="860"/>
      <c r="AD1086" s="860"/>
      <c r="AE1086" s="860"/>
      <c r="AF1086" s="860"/>
      <c r="AG1086" s="860"/>
      <c r="AH1086" s="860"/>
      <c r="AI1086" s="860"/>
      <c r="AJ1086" s="860"/>
      <c r="AK1086" s="860"/>
      <c r="AL1086" s="860"/>
      <c r="AM1086" s="860"/>
      <c r="AN1086" s="860"/>
      <c r="AO1086" s="860"/>
      <c r="AP1086" s="860"/>
      <c r="AQ1086" s="860"/>
      <c r="AR1086" s="860"/>
      <c r="AS1086" s="860"/>
      <c r="AT1086" s="860"/>
      <c r="AU1086" s="860"/>
      <c r="AV1086" s="860"/>
      <c r="AW1086" s="860"/>
      <c r="AX1086" s="860"/>
      <c r="AY1086" s="860"/>
      <c r="AZ1086" s="860"/>
      <c r="BA1086" s="860"/>
      <c r="BB1086" s="860"/>
      <c r="BC1086" s="860"/>
      <c r="BD1086" s="860"/>
      <c r="BE1086" s="860"/>
      <c r="BF1086" s="860"/>
      <c r="BG1086" s="860"/>
      <c r="BH1086" s="668"/>
      <c r="BI1086" s="667"/>
      <c r="BJ1086" s="690">
        <f t="shared" si="364"/>
        <v>0</v>
      </c>
      <c r="BK1086" s="691">
        <f t="shared" si="365"/>
        <v>0</v>
      </c>
      <c r="BL1086" s="654"/>
      <c r="BM1086" s="692">
        <f>SUMIFS(Imput[[Importe Neto]:[Importe Neto]],Imput[[C. Imp.]:[C. Imp.]],$D1086,Imput[[PERIODO Imp.]:[PERIODO Imp.]],BM$9)</f>
        <v>0</v>
      </c>
      <c r="BN1086" s="693">
        <f>SUMIFS(Imput[[Importe Neto]:[Importe Neto]],Imput[[C. Imp.]:[C. Imp.]],$D1086,Imput[[PERIODO Imp.]:[PERIODO Imp.]],BN$9)</f>
        <v>0</v>
      </c>
      <c r="BO1086" s="693">
        <f>SUMIFS(Imput[[Importe Neto]:[Importe Neto]],Imput[[C. Imp.]:[C. Imp.]],$D1086,Imput[[PERIODO Imp.]:[PERIODO Imp.]],BO$9)</f>
        <v>0</v>
      </c>
      <c r="BP1086" s="693">
        <f>SUMIFS(Imput[[Importe Neto]:[Importe Neto]],Imput[[C. Imp.]:[C. Imp.]],$D1086,Imput[[PERIODO Imp.]:[PERIODO Imp.]],BP$9)</f>
        <v>0</v>
      </c>
      <c r="BQ1086" s="693">
        <f>SUMIFS(Imput[[Importe Neto]:[Importe Neto]],Imput[[C. Imp.]:[C. Imp.]],$D1086,Imput[[PERIODO Imp.]:[PERIODO Imp.]],BQ$9)</f>
        <v>0</v>
      </c>
      <c r="BR1086" s="693">
        <f>SUMIFS(Imput[[Importe Neto]:[Importe Neto]],Imput[[C. Imp.]:[C. Imp.]],$D1086,Imput[[PERIODO Imp.]:[PERIODO Imp.]],BR$9)</f>
        <v>0</v>
      </c>
      <c r="BS1086" s="693">
        <f>SUMIFS(Imput[[Importe Neto]:[Importe Neto]],Imput[[C. Imp.]:[C. Imp.]],$D1086,Imput[[PERIODO Imp.]:[PERIODO Imp.]],BS$9)</f>
        <v>0</v>
      </c>
      <c r="BT1086" s="693">
        <f>SUMIFS(Imput[[Importe Neto]:[Importe Neto]],Imput[[C. Imp.]:[C. Imp.]],$D1086,Imput[[PERIODO Imp.]:[PERIODO Imp.]],BT$9)</f>
        <v>0</v>
      </c>
      <c r="BU1086" s="693">
        <f>SUMIFS(Imput[[Importe Neto]:[Importe Neto]],Imput[[C. Imp.]:[C. Imp.]],$D1086,Imput[[PERIODO Imp.]:[PERIODO Imp.]],BU$9)</f>
        <v>0</v>
      </c>
      <c r="BV1086" s="693">
        <f>SUMIFS(Imput[[Importe Neto]:[Importe Neto]],Imput[[C. Imp.]:[C. Imp.]],$D1086,Imput[[PERIODO Imp.]:[PERIODO Imp.]],BV$9)</f>
        <v>0</v>
      </c>
      <c r="BW1086" s="693">
        <f>SUMIFS(Imput[[Importe Neto]:[Importe Neto]],Imput[[C. Imp.]:[C. Imp.]],$D1086,Imput[[PERIODO Imp.]:[PERIODO Imp.]],BW$9)</f>
        <v>0</v>
      </c>
      <c r="BX1086" s="693">
        <f>SUMIFS(Imput[[Importe Neto]:[Importe Neto]],Imput[[C. Imp.]:[C. Imp.]],$D1086,Imput[[PERIODO Imp.]:[PERIODO Imp.]],BX$9)</f>
        <v>0</v>
      </c>
      <c r="BY1086" s="693">
        <f>SUMIFS(Imput[[Importe Neto]:[Importe Neto]],Imput[[C. Imp.]:[C. Imp.]],$D1086,Imput[[PERIODO Imp.]:[PERIODO Imp.]],BY$9)</f>
        <v>0</v>
      </c>
      <c r="BZ1086" s="693">
        <f>SUMIFS(Imput[[Importe Neto]:[Importe Neto]],Imput[[C. Imp.]:[C. Imp.]],$D1086,Imput[[PERIODO Imp.]:[PERIODO Imp.]],BZ$9)</f>
        <v>0</v>
      </c>
      <c r="CA1086" s="693">
        <f>SUMIFS(Imput[[Importe Neto]:[Importe Neto]],Imput[[C. Imp.]:[C. Imp.]],$D1086,Imput[[PERIODO Imp.]:[PERIODO Imp.]],CA$9)</f>
        <v>0</v>
      </c>
      <c r="CB1086" s="693">
        <f>SUMIFS(Imput[[Importe Neto]:[Importe Neto]],Imput[[C. Imp.]:[C. Imp.]],$D1086,Imput[[PERIODO Imp.]:[PERIODO Imp.]],CB$9)</f>
        <v>0</v>
      </c>
      <c r="CC1086" s="693">
        <f>SUMIFS(Imput[[Importe Neto]:[Importe Neto]],Imput[[C. Imp.]:[C. Imp.]],$D1086,Imput[[PERIODO Imp.]:[PERIODO Imp.]],CC$9)</f>
        <v>0</v>
      </c>
      <c r="CD1086" s="693">
        <f>SUMIFS(Imput[[Importe Neto]:[Importe Neto]],Imput[[C. Imp.]:[C. Imp.]],$D1086,Imput[[PERIODO Imp.]:[PERIODO Imp.]],CD$9)</f>
        <v>0</v>
      </c>
      <c r="CE1086" s="693">
        <f>SUMIFS(Imput[[Importe Neto]:[Importe Neto]],Imput[[C. Imp.]:[C. Imp.]],$D1086,Imput[[PERIODO Imp.]:[PERIODO Imp.]],CE$9)</f>
        <v>0</v>
      </c>
      <c r="CF1086" s="693">
        <f>SUMIFS(Imput[[Importe Neto]:[Importe Neto]],Imput[[C. Imp.]:[C. Imp.]],$D1086,Imput[[PERIODO Imp.]:[PERIODO Imp.]],CF$9)</f>
        <v>0</v>
      </c>
      <c r="CG1086" s="693">
        <f>SUMIFS(Imput[[Importe Neto]:[Importe Neto]],Imput[[C. Imp.]:[C. Imp.]],$D1086,Imput[[PERIODO Imp.]:[PERIODO Imp.]],CG$9)</f>
        <v>0</v>
      </c>
      <c r="CH1086" s="693">
        <f>SUMIFS(Imput[[Importe Neto]:[Importe Neto]],Imput[[C. Imp.]:[C. Imp.]],$D1086,Imput[[PERIODO Imp.]:[PERIODO Imp.]],CH$9)</f>
        <v>0</v>
      </c>
      <c r="CI1086" s="693">
        <f>SUMIFS(Imput[[Importe Neto]:[Importe Neto]],Imput[[C. Imp.]:[C. Imp.]],$D1086,Imput[[PERIODO Imp.]:[PERIODO Imp.]],CI$9)</f>
        <v>0</v>
      </c>
      <c r="CJ1086" s="693">
        <f>SUMIFS(Imput[[Importe Neto]:[Importe Neto]],Imput[[C. Imp.]:[C. Imp.]],$D1086,Imput[[PERIODO Imp.]:[PERIODO Imp.]],CJ$9)</f>
        <v>0</v>
      </c>
      <c r="CK1086" s="693">
        <f>SUMIFS(Imput[[Importe Neto]:[Importe Neto]],Imput[[C. Imp.]:[C. Imp.]],$D1086,Imput[[PERIODO Imp.]:[PERIODO Imp.]],CK$9)</f>
        <v>0</v>
      </c>
      <c r="CL1086" s="693">
        <f>SUMIFS(Imput[[Importe Neto]:[Importe Neto]],Imput[[C. Imp.]:[C. Imp.]],$D1086,Imput[[PERIODO Imp.]:[PERIODO Imp.]],CL$9)</f>
        <v>0</v>
      </c>
      <c r="CM1086" s="693">
        <f>SUMIFS(Imput[[Importe Neto]:[Importe Neto]],Imput[[C. Imp.]:[C. Imp.]],$D1086,Imput[[PERIODO Imp.]:[PERIODO Imp.]],CM$9)</f>
        <v>0</v>
      </c>
      <c r="CN1086" s="693">
        <f>SUMIFS(Imput[[Importe Neto]:[Importe Neto]],Imput[[C. Imp.]:[C. Imp.]],$D1086,Imput[[PERIODO Imp.]:[PERIODO Imp.]],CN$9)</f>
        <v>0</v>
      </c>
      <c r="CO1086" s="693">
        <f>SUMIFS(Imput[[Importe Neto]:[Importe Neto]],Imput[[C. Imp.]:[C. Imp.]],$D1086,Imput[[PERIODO Imp.]:[PERIODO Imp.]],CO$9)</f>
        <v>0</v>
      </c>
      <c r="CP1086" s="693">
        <f>SUMIFS(Imput[[Importe Neto]:[Importe Neto]],Imput[[C. Imp.]:[C. Imp.]],$D1086,Imput[[PERIODO Imp.]:[PERIODO Imp.]],CP$9)</f>
        <v>0</v>
      </c>
      <c r="CQ1086" s="693">
        <f>SUMIFS(Imput[[Importe Neto]:[Importe Neto]],Imput[[C. Imp.]:[C. Imp.]],$D1086,Imput[[PERIODO Imp.]:[PERIODO Imp.]],CQ$9)</f>
        <v>0</v>
      </c>
      <c r="CR1086" s="693">
        <f>SUMIFS(Imput[[Importe Neto]:[Importe Neto]],Imput[[C. Imp.]:[C. Imp.]],$D1086,Imput[[PERIODO Imp.]:[PERIODO Imp.]],CR$9)</f>
        <v>0</v>
      </c>
      <c r="CS1086" s="693">
        <f>SUMIFS(Imput[[Importe Neto]:[Importe Neto]],Imput[[C. Imp.]:[C. Imp.]],$D1086,Imput[[PERIODO Imp.]:[PERIODO Imp.]],CS$9)</f>
        <v>0</v>
      </c>
      <c r="CT1086" s="693">
        <f>SUMIFS(Imput[[Importe Neto]:[Importe Neto]],Imput[[C. Imp.]:[C. Imp.]],$D1086,Imput[[PERIODO Imp.]:[PERIODO Imp.]],CT$9)</f>
        <v>0</v>
      </c>
      <c r="CU1086" s="693">
        <f>SUMIFS(Imput[[Importe Neto]:[Importe Neto]],Imput[[C. Imp.]:[C. Imp.]],$D1086,Imput[[PERIODO Imp.]:[PERIODO Imp.]],CU$9)</f>
        <v>0</v>
      </c>
      <c r="CV1086" s="693">
        <f>SUMIFS(Imput[[Importe Neto]:[Importe Neto]],Imput[[C. Imp.]:[C. Imp.]],$D1086,Imput[[PERIODO Imp.]:[PERIODO Imp.]],CV$9)</f>
        <v>0</v>
      </c>
      <c r="CW1086" s="693">
        <f>SUMIFS(Imput[[Importe Neto]:[Importe Neto]],Imput[[C. Imp.]:[C. Imp.]],$D1086,Imput[[PERIODO Imp.]:[PERIODO Imp.]],CW$9)</f>
        <v>0</v>
      </c>
      <c r="CX1086" s="693">
        <f>SUMIFS(Imput[[Importe Neto]:[Importe Neto]],Imput[[C. Imp.]:[C. Imp.]],$D1086,Imput[[PERIODO Imp.]:[PERIODO Imp.]],CX$9)</f>
        <v>0</v>
      </c>
      <c r="CY1086" s="693">
        <f>SUMIFS(Imput[[Importe Neto]:[Importe Neto]],Imput[[C. Imp.]:[C. Imp.]],$D1086,Imput[[PERIODO Imp.]:[PERIODO Imp.]],CY$9)</f>
        <v>0</v>
      </c>
      <c r="CZ1086" s="693">
        <f>SUMIFS(Imput[[Importe Neto]:[Importe Neto]],Imput[[C. Imp.]:[C. Imp.]],$D1086,Imput[[PERIODO Imp.]:[PERIODO Imp.]],CZ$9)</f>
        <v>0</v>
      </c>
      <c r="DA1086" s="693">
        <f>SUMIFS(Imput[[Importe Neto]:[Importe Neto]],Imput[[C. Imp.]:[C. Imp.]],$D1086,Imput[[PERIODO Imp.]:[PERIODO Imp.]],DA$9)</f>
        <v>0</v>
      </c>
      <c r="DB1086" s="693">
        <f>SUMIFS(Imput[[Importe Neto]:[Importe Neto]],Imput[[C. Imp.]:[C. Imp.]],$D1086,Imput[[PERIODO Imp.]:[PERIODO Imp.]],DB$9)</f>
        <v>0</v>
      </c>
      <c r="DC1086" s="693">
        <f>SUMIFS(Imput[[Importe Neto]:[Importe Neto]],Imput[[C. Imp.]:[C. Imp.]],$D1086,Imput[[PERIODO Imp.]:[PERIODO Imp.]],DC$9)</f>
        <v>0</v>
      </c>
      <c r="DD1086" s="693">
        <f>SUMIFS(Imput[[Importe Neto]:[Importe Neto]],Imput[[C. Imp.]:[C. Imp.]],$D1086,Imput[[PERIODO Imp.]:[PERIODO Imp.]],DD$9)</f>
        <v>0</v>
      </c>
      <c r="DE1086" s="693">
        <f>SUMIFS(Imput[[Importe Neto]:[Importe Neto]],Imput[[C. Imp.]:[C. Imp.]],$D1086,Imput[[PERIODO Imp.]:[PERIODO Imp.]],DE$9)</f>
        <v>0</v>
      </c>
      <c r="DF1086" s="693">
        <f>SUMIFS(Imput[[Importe Neto]:[Importe Neto]],Imput[[C. Imp.]:[C. Imp.]],$D1086,Imput[[PERIODO Imp.]:[PERIODO Imp.]],DF$9)</f>
        <v>0</v>
      </c>
      <c r="DG1086" s="693">
        <f>SUMIFS(Imput[[Importe Neto]:[Importe Neto]],Imput[[C. Imp.]:[C. Imp.]],$D1086,Imput[[PERIODO Imp.]:[PERIODO Imp.]],DG$9)</f>
        <v>0</v>
      </c>
      <c r="DH1086" s="694">
        <f>SUMIFS(Imput[[Importe Neto]:[Importe Neto]],Imput[[C. Imp.]:[C. Imp.]],$D1086,Imput[[PERIODO Imp.]:[PERIODO Imp.]],DH$9)</f>
        <v>0</v>
      </c>
    </row>
    <row r="1087" spans="1:112" s="649" customFormat="1" hidden="1" outlineLevel="1" x14ac:dyDescent="0.3">
      <c r="A1087" s="652" t="str">
        <f t="shared" si="361"/>
        <v/>
      </c>
      <c r="B1087" s="652"/>
      <c r="C1087" s="685"/>
      <c r="D1087" s="686"/>
      <c r="E1087" s="528"/>
      <c r="F1087" s="720"/>
      <c r="G1087" s="688"/>
      <c r="H1087" s="689"/>
      <c r="I1087" s="851" t="str">
        <f t="shared" si="362"/>
        <v/>
      </c>
      <c r="J1087" s="852" t="str">
        <f t="shared" si="363"/>
        <v/>
      </c>
      <c r="K1087" s="667"/>
      <c r="L1087" s="858">
        <v>1</v>
      </c>
      <c r="M1087" s="859"/>
      <c r="N1087" s="859"/>
      <c r="O1087" s="859"/>
      <c r="P1087" s="859"/>
      <c r="Q1087" s="859"/>
      <c r="R1087" s="859"/>
      <c r="S1087" s="859"/>
      <c r="T1087" s="859"/>
      <c r="U1087" s="859"/>
      <c r="V1087" s="859"/>
      <c r="W1087" s="859"/>
      <c r="X1087" s="859"/>
      <c r="Y1087" s="859"/>
      <c r="Z1087" s="860"/>
      <c r="AA1087" s="860"/>
      <c r="AB1087" s="860"/>
      <c r="AC1087" s="860"/>
      <c r="AD1087" s="860"/>
      <c r="AE1087" s="860"/>
      <c r="AF1087" s="860"/>
      <c r="AG1087" s="860"/>
      <c r="AH1087" s="860"/>
      <c r="AI1087" s="860"/>
      <c r="AJ1087" s="860"/>
      <c r="AK1087" s="860"/>
      <c r="AL1087" s="860"/>
      <c r="AM1087" s="860"/>
      <c r="AN1087" s="860"/>
      <c r="AO1087" s="860"/>
      <c r="AP1087" s="860"/>
      <c r="AQ1087" s="860"/>
      <c r="AR1087" s="860"/>
      <c r="AS1087" s="860"/>
      <c r="AT1087" s="860"/>
      <c r="AU1087" s="860"/>
      <c r="AV1087" s="860"/>
      <c r="AW1087" s="860"/>
      <c r="AX1087" s="860"/>
      <c r="AY1087" s="860"/>
      <c r="AZ1087" s="860"/>
      <c r="BA1087" s="860"/>
      <c r="BB1087" s="860"/>
      <c r="BC1087" s="860"/>
      <c r="BD1087" s="860"/>
      <c r="BE1087" s="860"/>
      <c r="BF1087" s="860"/>
      <c r="BG1087" s="860"/>
      <c r="BH1087" s="668"/>
      <c r="BI1087" s="667"/>
      <c r="BJ1087" s="690">
        <f t="shared" si="364"/>
        <v>0</v>
      </c>
      <c r="BK1087" s="691">
        <f t="shared" si="365"/>
        <v>0</v>
      </c>
      <c r="BL1087" s="654"/>
      <c r="BM1087" s="692">
        <f>SUMIFS(Imput[[Importe Neto]:[Importe Neto]],Imput[[C. Imp.]:[C. Imp.]],$D1087,Imput[[PERIODO Imp.]:[PERIODO Imp.]],BM$9)</f>
        <v>0</v>
      </c>
      <c r="BN1087" s="693">
        <f>SUMIFS(Imput[[Importe Neto]:[Importe Neto]],Imput[[C. Imp.]:[C. Imp.]],$D1087,Imput[[PERIODO Imp.]:[PERIODO Imp.]],BN$9)</f>
        <v>0</v>
      </c>
      <c r="BO1087" s="693">
        <f>SUMIFS(Imput[[Importe Neto]:[Importe Neto]],Imput[[C. Imp.]:[C. Imp.]],$D1087,Imput[[PERIODO Imp.]:[PERIODO Imp.]],BO$9)</f>
        <v>0</v>
      </c>
      <c r="BP1087" s="693">
        <f>SUMIFS(Imput[[Importe Neto]:[Importe Neto]],Imput[[C. Imp.]:[C. Imp.]],$D1087,Imput[[PERIODO Imp.]:[PERIODO Imp.]],BP$9)</f>
        <v>0</v>
      </c>
      <c r="BQ1087" s="693">
        <f>SUMIFS(Imput[[Importe Neto]:[Importe Neto]],Imput[[C. Imp.]:[C. Imp.]],$D1087,Imput[[PERIODO Imp.]:[PERIODO Imp.]],BQ$9)</f>
        <v>0</v>
      </c>
      <c r="BR1087" s="693">
        <f>SUMIFS(Imput[[Importe Neto]:[Importe Neto]],Imput[[C. Imp.]:[C. Imp.]],$D1087,Imput[[PERIODO Imp.]:[PERIODO Imp.]],BR$9)</f>
        <v>0</v>
      </c>
      <c r="BS1087" s="693">
        <f>SUMIFS(Imput[[Importe Neto]:[Importe Neto]],Imput[[C. Imp.]:[C. Imp.]],$D1087,Imput[[PERIODO Imp.]:[PERIODO Imp.]],BS$9)</f>
        <v>0</v>
      </c>
      <c r="BT1087" s="693">
        <f>SUMIFS(Imput[[Importe Neto]:[Importe Neto]],Imput[[C. Imp.]:[C. Imp.]],$D1087,Imput[[PERIODO Imp.]:[PERIODO Imp.]],BT$9)</f>
        <v>0</v>
      </c>
      <c r="BU1087" s="693">
        <f>SUMIFS(Imput[[Importe Neto]:[Importe Neto]],Imput[[C. Imp.]:[C. Imp.]],$D1087,Imput[[PERIODO Imp.]:[PERIODO Imp.]],BU$9)</f>
        <v>0</v>
      </c>
      <c r="BV1087" s="693">
        <f>SUMIFS(Imput[[Importe Neto]:[Importe Neto]],Imput[[C. Imp.]:[C. Imp.]],$D1087,Imput[[PERIODO Imp.]:[PERIODO Imp.]],BV$9)</f>
        <v>0</v>
      </c>
      <c r="BW1087" s="693">
        <f>SUMIFS(Imput[[Importe Neto]:[Importe Neto]],Imput[[C. Imp.]:[C. Imp.]],$D1087,Imput[[PERIODO Imp.]:[PERIODO Imp.]],BW$9)</f>
        <v>0</v>
      </c>
      <c r="BX1087" s="693">
        <f>SUMIFS(Imput[[Importe Neto]:[Importe Neto]],Imput[[C. Imp.]:[C. Imp.]],$D1087,Imput[[PERIODO Imp.]:[PERIODO Imp.]],BX$9)</f>
        <v>0</v>
      </c>
      <c r="BY1087" s="693">
        <f>SUMIFS(Imput[[Importe Neto]:[Importe Neto]],Imput[[C. Imp.]:[C. Imp.]],$D1087,Imput[[PERIODO Imp.]:[PERIODO Imp.]],BY$9)</f>
        <v>0</v>
      </c>
      <c r="BZ1087" s="693">
        <f>SUMIFS(Imput[[Importe Neto]:[Importe Neto]],Imput[[C. Imp.]:[C. Imp.]],$D1087,Imput[[PERIODO Imp.]:[PERIODO Imp.]],BZ$9)</f>
        <v>0</v>
      </c>
      <c r="CA1087" s="693">
        <f>SUMIFS(Imput[[Importe Neto]:[Importe Neto]],Imput[[C. Imp.]:[C. Imp.]],$D1087,Imput[[PERIODO Imp.]:[PERIODO Imp.]],CA$9)</f>
        <v>0</v>
      </c>
      <c r="CB1087" s="693">
        <f>SUMIFS(Imput[[Importe Neto]:[Importe Neto]],Imput[[C. Imp.]:[C. Imp.]],$D1087,Imput[[PERIODO Imp.]:[PERIODO Imp.]],CB$9)</f>
        <v>0</v>
      </c>
      <c r="CC1087" s="693">
        <f>SUMIFS(Imput[[Importe Neto]:[Importe Neto]],Imput[[C. Imp.]:[C. Imp.]],$D1087,Imput[[PERIODO Imp.]:[PERIODO Imp.]],CC$9)</f>
        <v>0</v>
      </c>
      <c r="CD1087" s="693">
        <f>SUMIFS(Imput[[Importe Neto]:[Importe Neto]],Imput[[C. Imp.]:[C. Imp.]],$D1087,Imput[[PERIODO Imp.]:[PERIODO Imp.]],CD$9)</f>
        <v>0</v>
      </c>
      <c r="CE1087" s="693">
        <f>SUMIFS(Imput[[Importe Neto]:[Importe Neto]],Imput[[C. Imp.]:[C. Imp.]],$D1087,Imput[[PERIODO Imp.]:[PERIODO Imp.]],CE$9)</f>
        <v>0</v>
      </c>
      <c r="CF1087" s="693">
        <f>SUMIFS(Imput[[Importe Neto]:[Importe Neto]],Imput[[C. Imp.]:[C. Imp.]],$D1087,Imput[[PERIODO Imp.]:[PERIODO Imp.]],CF$9)</f>
        <v>0</v>
      </c>
      <c r="CG1087" s="693">
        <f>SUMIFS(Imput[[Importe Neto]:[Importe Neto]],Imput[[C. Imp.]:[C. Imp.]],$D1087,Imput[[PERIODO Imp.]:[PERIODO Imp.]],CG$9)</f>
        <v>0</v>
      </c>
      <c r="CH1087" s="693">
        <f>SUMIFS(Imput[[Importe Neto]:[Importe Neto]],Imput[[C. Imp.]:[C. Imp.]],$D1087,Imput[[PERIODO Imp.]:[PERIODO Imp.]],CH$9)</f>
        <v>0</v>
      </c>
      <c r="CI1087" s="693">
        <f>SUMIFS(Imput[[Importe Neto]:[Importe Neto]],Imput[[C. Imp.]:[C. Imp.]],$D1087,Imput[[PERIODO Imp.]:[PERIODO Imp.]],CI$9)</f>
        <v>0</v>
      </c>
      <c r="CJ1087" s="693">
        <f>SUMIFS(Imput[[Importe Neto]:[Importe Neto]],Imput[[C. Imp.]:[C. Imp.]],$D1087,Imput[[PERIODO Imp.]:[PERIODO Imp.]],CJ$9)</f>
        <v>0</v>
      </c>
      <c r="CK1087" s="693">
        <f>SUMIFS(Imput[[Importe Neto]:[Importe Neto]],Imput[[C. Imp.]:[C. Imp.]],$D1087,Imput[[PERIODO Imp.]:[PERIODO Imp.]],CK$9)</f>
        <v>0</v>
      </c>
      <c r="CL1087" s="693">
        <f>SUMIFS(Imput[[Importe Neto]:[Importe Neto]],Imput[[C. Imp.]:[C. Imp.]],$D1087,Imput[[PERIODO Imp.]:[PERIODO Imp.]],CL$9)</f>
        <v>0</v>
      </c>
      <c r="CM1087" s="693">
        <f>SUMIFS(Imput[[Importe Neto]:[Importe Neto]],Imput[[C. Imp.]:[C. Imp.]],$D1087,Imput[[PERIODO Imp.]:[PERIODO Imp.]],CM$9)</f>
        <v>0</v>
      </c>
      <c r="CN1087" s="693">
        <f>SUMIFS(Imput[[Importe Neto]:[Importe Neto]],Imput[[C. Imp.]:[C. Imp.]],$D1087,Imput[[PERIODO Imp.]:[PERIODO Imp.]],CN$9)</f>
        <v>0</v>
      </c>
      <c r="CO1087" s="693">
        <f>SUMIFS(Imput[[Importe Neto]:[Importe Neto]],Imput[[C. Imp.]:[C. Imp.]],$D1087,Imput[[PERIODO Imp.]:[PERIODO Imp.]],CO$9)</f>
        <v>0</v>
      </c>
      <c r="CP1087" s="693">
        <f>SUMIFS(Imput[[Importe Neto]:[Importe Neto]],Imput[[C. Imp.]:[C. Imp.]],$D1087,Imput[[PERIODO Imp.]:[PERIODO Imp.]],CP$9)</f>
        <v>0</v>
      </c>
      <c r="CQ1087" s="693">
        <f>SUMIFS(Imput[[Importe Neto]:[Importe Neto]],Imput[[C. Imp.]:[C. Imp.]],$D1087,Imput[[PERIODO Imp.]:[PERIODO Imp.]],CQ$9)</f>
        <v>0</v>
      </c>
      <c r="CR1087" s="693">
        <f>SUMIFS(Imput[[Importe Neto]:[Importe Neto]],Imput[[C. Imp.]:[C. Imp.]],$D1087,Imput[[PERIODO Imp.]:[PERIODO Imp.]],CR$9)</f>
        <v>0</v>
      </c>
      <c r="CS1087" s="693">
        <f>SUMIFS(Imput[[Importe Neto]:[Importe Neto]],Imput[[C. Imp.]:[C. Imp.]],$D1087,Imput[[PERIODO Imp.]:[PERIODO Imp.]],CS$9)</f>
        <v>0</v>
      </c>
      <c r="CT1087" s="693">
        <f>SUMIFS(Imput[[Importe Neto]:[Importe Neto]],Imput[[C. Imp.]:[C. Imp.]],$D1087,Imput[[PERIODO Imp.]:[PERIODO Imp.]],CT$9)</f>
        <v>0</v>
      </c>
      <c r="CU1087" s="693">
        <f>SUMIFS(Imput[[Importe Neto]:[Importe Neto]],Imput[[C. Imp.]:[C. Imp.]],$D1087,Imput[[PERIODO Imp.]:[PERIODO Imp.]],CU$9)</f>
        <v>0</v>
      </c>
      <c r="CV1087" s="693">
        <f>SUMIFS(Imput[[Importe Neto]:[Importe Neto]],Imput[[C. Imp.]:[C. Imp.]],$D1087,Imput[[PERIODO Imp.]:[PERIODO Imp.]],CV$9)</f>
        <v>0</v>
      </c>
      <c r="CW1087" s="693">
        <f>SUMIFS(Imput[[Importe Neto]:[Importe Neto]],Imput[[C. Imp.]:[C. Imp.]],$D1087,Imput[[PERIODO Imp.]:[PERIODO Imp.]],CW$9)</f>
        <v>0</v>
      </c>
      <c r="CX1087" s="693">
        <f>SUMIFS(Imput[[Importe Neto]:[Importe Neto]],Imput[[C. Imp.]:[C. Imp.]],$D1087,Imput[[PERIODO Imp.]:[PERIODO Imp.]],CX$9)</f>
        <v>0</v>
      </c>
      <c r="CY1087" s="693">
        <f>SUMIFS(Imput[[Importe Neto]:[Importe Neto]],Imput[[C. Imp.]:[C. Imp.]],$D1087,Imput[[PERIODO Imp.]:[PERIODO Imp.]],CY$9)</f>
        <v>0</v>
      </c>
      <c r="CZ1087" s="693">
        <f>SUMIFS(Imput[[Importe Neto]:[Importe Neto]],Imput[[C. Imp.]:[C. Imp.]],$D1087,Imput[[PERIODO Imp.]:[PERIODO Imp.]],CZ$9)</f>
        <v>0</v>
      </c>
      <c r="DA1087" s="693">
        <f>SUMIFS(Imput[[Importe Neto]:[Importe Neto]],Imput[[C. Imp.]:[C. Imp.]],$D1087,Imput[[PERIODO Imp.]:[PERIODO Imp.]],DA$9)</f>
        <v>0</v>
      </c>
      <c r="DB1087" s="693">
        <f>SUMIFS(Imput[[Importe Neto]:[Importe Neto]],Imput[[C. Imp.]:[C. Imp.]],$D1087,Imput[[PERIODO Imp.]:[PERIODO Imp.]],DB$9)</f>
        <v>0</v>
      </c>
      <c r="DC1087" s="693">
        <f>SUMIFS(Imput[[Importe Neto]:[Importe Neto]],Imput[[C. Imp.]:[C. Imp.]],$D1087,Imput[[PERIODO Imp.]:[PERIODO Imp.]],DC$9)</f>
        <v>0</v>
      </c>
      <c r="DD1087" s="693">
        <f>SUMIFS(Imput[[Importe Neto]:[Importe Neto]],Imput[[C. Imp.]:[C. Imp.]],$D1087,Imput[[PERIODO Imp.]:[PERIODO Imp.]],DD$9)</f>
        <v>0</v>
      </c>
      <c r="DE1087" s="693">
        <f>SUMIFS(Imput[[Importe Neto]:[Importe Neto]],Imput[[C. Imp.]:[C. Imp.]],$D1087,Imput[[PERIODO Imp.]:[PERIODO Imp.]],DE$9)</f>
        <v>0</v>
      </c>
      <c r="DF1087" s="693">
        <f>SUMIFS(Imput[[Importe Neto]:[Importe Neto]],Imput[[C. Imp.]:[C. Imp.]],$D1087,Imput[[PERIODO Imp.]:[PERIODO Imp.]],DF$9)</f>
        <v>0</v>
      </c>
      <c r="DG1087" s="693">
        <f>SUMIFS(Imput[[Importe Neto]:[Importe Neto]],Imput[[C. Imp.]:[C. Imp.]],$D1087,Imput[[PERIODO Imp.]:[PERIODO Imp.]],DG$9)</f>
        <v>0</v>
      </c>
      <c r="DH1087" s="694">
        <f>SUMIFS(Imput[[Importe Neto]:[Importe Neto]],Imput[[C. Imp.]:[C. Imp.]],$D1087,Imput[[PERIODO Imp.]:[PERIODO Imp.]],DH$9)</f>
        <v>0</v>
      </c>
    </row>
    <row r="1088" spans="1:112" s="649" customFormat="1" hidden="1" outlineLevel="1" x14ac:dyDescent="0.3">
      <c r="A1088" s="652" t="str">
        <f t="shared" si="361"/>
        <v/>
      </c>
      <c r="B1088" s="652"/>
      <c r="C1088" s="685"/>
      <c r="D1088" s="686"/>
      <c r="E1088" s="686"/>
      <c r="F1088" s="720"/>
      <c r="G1088" s="688"/>
      <c r="H1088" s="689"/>
      <c r="I1088" s="851" t="str">
        <f t="shared" si="362"/>
        <v/>
      </c>
      <c r="J1088" s="852" t="str">
        <f t="shared" si="363"/>
        <v/>
      </c>
      <c r="K1088" s="667"/>
      <c r="L1088" s="858"/>
      <c r="M1088" s="859"/>
      <c r="N1088" s="859"/>
      <c r="O1088" s="859"/>
      <c r="P1088" s="859"/>
      <c r="Q1088" s="859"/>
      <c r="R1088" s="859"/>
      <c r="S1088" s="859"/>
      <c r="T1088" s="859"/>
      <c r="U1088" s="859"/>
      <c r="V1088" s="859"/>
      <c r="W1088" s="859"/>
      <c r="X1088" s="859"/>
      <c r="Y1088" s="859"/>
      <c r="Z1088" s="860"/>
      <c r="AA1088" s="860"/>
      <c r="AB1088" s="860"/>
      <c r="AC1088" s="860"/>
      <c r="AD1088" s="860"/>
      <c r="AE1088" s="860"/>
      <c r="AF1088" s="860"/>
      <c r="AG1088" s="860"/>
      <c r="AH1088" s="860"/>
      <c r="AI1088" s="860"/>
      <c r="AJ1088" s="860"/>
      <c r="AK1088" s="860"/>
      <c r="AL1088" s="860"/>
      <c r="AM1088" s="860"/>
      <c r="AN1088" s="860"/>
      <c r="AO1088" s="860"/>
      <c r="AP1088" s="860"/>
      <c r="AQ1088" s="860"/>
      <c r="AR1088" s="860"/>
      <c r="AS1088" s="860"/>
      <c r="AT1088" s="860"/>
      <c r="AU1088" s="860"/>
      <c r="AV1088" s="860"/>
      <c r="AW1088" s="860"/>
      <c r="AX1088" s="860"/>
      <c r="AY1088" s="860"/>
      <c r="AZ1088" s="860"/>
      <c r="BA1088" s="860"/>
      <c r="BB1088" s="860"/>
      <c r="BC1088" s="860"/>
      <c r="BD1088" s="860"/>
      <c r="BE1088" s="860"/>
      <c r="BF1088" s="860"/>
      <c r="BG1088" s="860"/>
      <c r="BH1088" s="668"/>
      <c r="BI1088" s="667"/>
      <c r="BJ1088" s="690">
        <f t="shared" si="364"/>
        <v>0</v>
      </c>
      <c r="BK1088" s="691">
        <f t="shared" si="365"/>
        <v>0</v>
      </c>
      <c r="BL1088" s="654"/>
      <c r="BM1088" s="692">
        <f>SUMIFS(Imput[[Importe Neto]:[Importe Neto]],Imput[[C. Imp.]:[C. Imp.]],$D1088,Imput[[PERIODO Imp.]:[PERIODO Imp.]],BM$9)</f>
        <v>0</v>
      </c>
      <c r="BN1088" s="693">
        <f>SUMIFS(Imput[[Importe Neto]:[Importe Neto]],Imput[[C. Imp.]:[C. Imp.]],$D1088,Imput[[PERIODO Imp.]:[PERIODO Imp.]],BN$9)</f>
        <v>0</v>
      </c>
      <c r="BO1088" s="693">
        <f>SUMIFS(Imput[[Importe Neto]:[Importe Neto]],Imput[[C. Imp.]:[C. Imp.]],$D1088,Imput[[PERIODO Imp.]:[PERIODO Imp.]],BO$9)</f>
        <v>0</v>
      </c>
      <c r="BP1088" s="693">
        <f>SUMIFS(Imput[[Importe Neto]:[Importe Neto]],Imput[[C. Imp.]:[C. Imp.]],$D1088,Imput[[PERIODO Imp.]:[PERIODO Imp.]],BP$9)</f>
        <v>0</v>
      </c>
      <c r="BQ1088" s="693">
        <f>SUMIFS(Imput[[Importe Neto]:[Importe Neto]],Imput[[C. Imp.]:[C. Imp.]],$D1088,Imput[[PERIODO Imp.]:[PERIODO Imp.]],BQ$9)</f>
        <v>0</v>
      </c>
      <c r="BR1088" s="693">
        <f>SUMIFS(Imput[[Importe Neto]:[Importe Neto]],Imput[[C. Imp.]:[C. Imp.]],$D1088,Imput[[PERIODO Imp.]:[PERIODO Imp.]],BR$9)</f>
        <v>0</v>
      </c>
      <c r="BS1088" s="693">
        <f>SUMIFS(Imput[[Importe Neto]:[Importe Neto]],Imput[[C. Imp.]:[C. Imp.]],$D1088,Imput[[PERIODO Imp.]:[PERIODO Imp.]],BS$9)</f>
        <v>0</v>
      </c>
      <c r="BT1088" s="693">
        <f>SUMIFS(Imput[[Importe Neto]:[Importe Neto]],Imput[[C. Imp.]:[C. Imp.]],$D1088,Imput[[PERIODO Imp.]:[PERIODO Imp.]],BT$9)</f>
        <v>0</v>
      </c>
      <c r="BU1088" s="693">
        <f>SUMIFS(Imput[[Importe Neto]:[Importe Neto]],Imput[[C. Imp.]:[C. Imp.]],$D1088,Imput[[PERIODO Imp.]:[PERIODO Imp.]],BU$9)</f>
        <v>0</v>
      </c>
      <c r="BV1088" s="693">
        <f>SUMIFS(Imput[[Importe Neto]:[Importe Neto]],Imput[[C. Imp.]:[C. Imp.]],$D1088,Imput[[PERIODO Imp.]:[PERIODO Imp.]],BV$9)</f>
        <v>0</v>
      </c>
      <c r="BW1088" s="693">
        <f>SUMIFS(Imput[[Importe Neto]:[Importe Neto]],Imput[[C. Imp.]:[C. Imp.]],$D1088,Imput[[PERIODO Imp.]:[PERIODO Imp.]],BW$9)</f>
        <v>0</v>
      </c>
      <c r="BX1088" s="693">
        <f>SUMIFS(Imput[[Importe Neto]:[Importe Neto]],Imput[[C. Imp.]:[C. Imp.]],$D1088,Imput[[PERIODO Imp.]:[PERIODO Imp.]],BX$9)</f>
        <v>0</v>
      </c>
      <c r="BY1088" s="693">
        <f>SUMIFS(Imput[[Importe Neto]:[Importe Neto]],Imput[[C. Imp.]:[C. Imp.]],$D1088,Imput[[PERIODO Imp.]:[PERIODO Imp.]],BY$9)</f>
        <v>0</v>
      </c>
      <c r="BZ1088" s="693">
        <f>SUMIFS(Imput[[Importe Neto]:[Importe Neto]],Imput[[C. Imp.]:[C. Imp.]],$D1088,Imput[[PERIODO Imp.]:[PERIODO Imp.]],BZ$9)</f>
        <v>0</v>
      </c>
      <c r="CA1088" s="693">
        <f>SUMIFS(Imput[[Importe Neto]:[Importe Neto]],Imput[[C. Imp.]:[C. Imp.]],$D1088,Imput[[PERIODO Imp.]:[PERIODO Imp.]],CA$9)</f>
        <v>0</v>
      </c>
      <c r="CB1088" s="693">
        <f>SUMIFS(Imput[[Importe Neto]:[Importe Neto]],Imput[[C. Imp.]:[C. Imp.]],$D1088,Imput[[PERIODO Imp.]:[PERIODO Imp.]],CB$9)</f>
        <v>0</v>
      </c>
      <c r="CC1088" s="693">
        <f>SUMIFS(Imput[[Importe Neto]:[Importe Neto]],Imput[[C. Imp.]:[C. Imp.]],$D1088,Imput[[PERIODO Imp.]:[PERIODO Imp.]],CC$9)</f>
        <v>0</v>
      </c>
      <c r="CD1088" s="693">
        <f>SUMIFS(Imput[[Importe Neto]:[Importe Neto]],Imput[[C. Imp.]:[C. Imp.]],$D1088,Imput[[PERIODO Imp.]:[PERIODO Imp.]],CD$9)</f>
        <v>0</v>
      </c>
      <c r="CE1088" s="693">
        <f>SUMIFS(Imput[[Importe Neto]:[Importe Neto]],Imput[[C. Imp.]:[C. Imp.]],$D1088,Imput[[PERIODO Imp.]:[PERIODO Imp.]],CE$9)</f>
        <v>0</v>
      </c>
      <c r="CF1088" s="693">
        <f>SUMIFS(Imput[[Importe Neto]:[Importe Neto]],Imput[[C. Imp.]:[C. Imp.]],$D1088,Imput[[PERIODO Imp.]:[PERIODO Imp.]],CF$9)</f>
        <v>0</v>
      </c>
      <c r="CG1088" s="693">
        <f>SUMIFS(Imput[[Importe Neto]:[Importe Neto]],Imput[[C. Imp.]:[C. Imp.]],$D1088,Imput[[PERIODO Imp.]:[PERIODO Imp.]],CG$9)</f>
        <v>0</v>
      </c>
      <c r="CH1088" s="693">
        <f>SUMIFS(Imput[[Importe Neto]:[Importe Neto]],Imput[[C. Imp.]:[C. Imp.]],$D1088,Imput[[PERIODO Imp.]:[PERIODO Imp.]],CH$9)</f>
        <v>0</v>
      </c>
      <c r="CI1088" s="693">
        <f>SUMIFS(Imput[[Importe Neto]:[Importe Neto]],Imput[[C. Imp.]:[C. Imp.]],$D1088,Imput[[PERIODO Imp.]:[PERIODO Imp.]],CI$9)</f>
        <v>0</v>
      </c>
      <c r="CJ1088" s="693">
        <f>SUMIFS(Imput[[Importe Neto]:[Importe Neto]],Imput[[C. Imp.]:[C. Imp.]],$D1088,Imput[[PERIODO Imp.]:[PERIODO Imp.]],CJ$9)</f>
        <v>0</v>
      </c>
      <c r="CK1088" s="693">
        <f>SUMIFS(Imput[[Importe Neto]:[Importe Neto]],Imput[[C. Imp.]:[C. Imp.]],$D1088,Imput[[PERIODO Imp.]:[PERIODO Imp.]],CK$9)</f>
        <v>0</v>
      </c>
      <c r="CL1088" s="693">
        <f>SUMIFS(Imput[[Importe Neto]:[Importe Neto]],Imput[[C. Imp.]:[C. Imp.]],$D1088,Imput[[PERIODO Imp.]:[PERIODO Imp.]],CL$9)</f>
        <v>0</v>
      </c>
      <c r="CM1088" s="693">
        <f>SUMIFS(Imput[[Importe Neto]:[Importe Neto]],Imput[[C. Imp.]:[C. Imp.]],$D1088,Imput[[PERIODO Imp.]:[PERIODO Imp.]],CM$9)</f>
        <v>0</v>
      </c>
      <c r="CN1088" s="693">
        <f>SUMIFS(Imput[[Importe Neto]:[Importe Neto]],Imput[[C. Imp.]:[C. Imp.]],$D1088,Imput[[PERIODO Imp.]:[PERIODO Imp.]],CN$9)</f>
        <v>0</v>
      </c>
      <c r="CO1088" s="693">
        <f>SUMIFS(Imput[[Importe Neto]:[Importe Neto]],Imput[[C. Imp.]:[C. Imp.]],$D1088,Imput[[PERIODO Imp.]:[PERIODO Imp.]],CO$9)</f>
        <v>0</v>
      </c>
      <c r="CP1088" s="693">
        <f>SUMIFS(Imput[[Importe Neto]:[Importe Neto]],Imput[[C. Imp.]:[C. Imp.]],$D1088,Imput[[PERIODO Imp.]:[PERIODO Imp.]],CP$9)</f>
        <v>0</v>
      </c>
      <c r="CQ1088" s="693">
        <f>SUMIFS(Imput[[Importe Neto]:[Importe Neto]],Imput[[C. Imp.]:[C. Imp.]],$D1088,Imput[[PERIODO Imp.]:[PERIODO Imp.]],CQ$9)</f>
        <v>0</v>
      </c>
      <c r="CR1088" s="693">
        <f>SUMIFS(Imput[[Importe Neto]:[Importe Neto]],Imput[[C. Imp.]:[C. Imp.]],$D1088,Imput[[PERIODO Imp.]:[PERIODO Imp.]],CR$9)</f>
        <v>0</v>
      </c>
      <c r="CS1088" s="693">
        <f>SUMIFS(Imput[[Importe Neto]:[Importe Neto]],Imput[[C. Imp.]:[C. Imp.]],$D1088,Imput[[PERIODO Imp.]:[PERIODO Imp.]],CS$9)</f>
        <v>0</v>
      </c>
      <c r="CT1088" s="693">
        <f>SUMIFS(Imput[[Importe Neto]:[Importe Neto]],Imput[[C. Imp.]:[C. Imp.]],$D1088,Imput[[PERIODO Imp.]:[PERIODO Imp.]],CT$9)</f>
        <v>0</v>
      </c>
      <c r="CU1088" s="693">
        <f>SUMIFS(Imput[[Importe Neto]:[Importe Neto]],Imput[[C. Imp.]:[C. Imp.]],$D1088,Imput[[PERIODO Imp.]:[PERIODO Imp.]],CU$9)</f>
        <v>0</v>
      </c>
      <c r="CV1088" s="693">
        <f>SUMIFS(Imput[[Importe Neto]:[Importe Neto]],Imput[[C. Imp.]:[C. Imp.]],$D1088,Imput[[PERIODO Imp.]:[PERIODO Imp.]],CV$9)</f>
        <v>0</v>
      </c>
      <c r="CW1088" s="693">
        <f>SUMIFS(Imput[[Importe Neto]:[Importe Neto]],Imput[[C. Imp.]:[C. Imp.]],$D1088,Imput[[PERIODO Imp.]:[PERIODO Imp.]],CW$9)</f>
        <v>0</v>
      </c>
      <c r="CX1088" s="693">
        <f>SUMIFS(Imput[[Importe Neto]:[Importe Neto]],Imput[[C. Imp.]:[C. Imp.]],$D1088,Imput[[PERIODO Imp.]:[PERIODO Imp.]],CX$9)</f>
        <v>0</v>
      </c>
      <c r="CY1088" s="693">
        <f>SUMIFS(Imput[[Importe Neto]:[Importe Neto]],Imput[[C. Imp.]:[C. Imp.]],$D1088,Imput[[PERIODO Imp.]:[PERIODO Imp.]],CY$9)</f>
        <v>0</v>
      </c>
      <c r="CZ1088" s="693">
        <f>SUMIFS(Imput[[Importe Neto]:[Importe Neto]],Imput[[C. Imp.]:[C. Imp.]],$D1088,Imput[[PERIODO Imp.]:[PERIODO Imp.]],CZ$9)</f>
        <v>0</v>
      </c>
      <c r="DA1088" s="693">
        <f>SUMIFS(Imput[[Importe Neto]:[Importe Neto]],Imput[[C. Imp.]:[C. Imp.]],$D1088,Imput[[PERIODO Imp.]:[PERIODO Imp.]],DA$9)</f>
        <v>0</v>
      </c>
      <c r="DB1088" s="693">
        <f>SUMIFS(Imput[[Importe Neto]:[Importe Neto]],Imput[[C. Imp.]:[C. Imp.]],$D1088,Imput[[PERIODO Imp.]:[PERIODO Imp.]],DB$9)</f>
        <v>0</v>
      </c>
      <c r="DC1088" s="693">
        <f>SUMIFS(Imput[[Importe Neto]:[Importe Neto]],Imput[[C. Imp.]:[C. Imp.]],$D1088,Imput[[PERIODO Imp.]:[PERIODO Imp.]],DC$9)</f>
        <v>0</v>
      </c>
      <c r="DD1088" s="693">
        <f>SUMIFS(Imput[[Importe Neto]:[Importe Neto]],Imput[[C. Imp.]:[C. Imp.]],$D1088,Imput[[PERIODO Imp.]:[PERIODO Imp.]],DD$9)</f>
        <v>0</v>
      </c>
      <c r="DE1088" s="693">
        <f>SUMIFS(Imput[[Importe Neto]:[Importe Neto]],Imput[[C. Imp.]:[C. Imp.]],$D1088,Imput[[PERIODO Imp.]:[PERIODO Imp.]],DE$9)</f>
        <v>0</v>
      </c>
      <c r="DF1088" s="693">
        <f>SUMIFS(Imput[[Importe Neto]:[Importe Neto]],Imput[[C. Imp.]:[C. Imp.]],$D1088,Imput[[PERIODO Imp.]:[PERIODO Imp.]],DF$9)</f>
        <v>0</v>
      </c>
      <c r="DG1088" s="693">
        <f>SUMIFS(Imput[[Importe Neto]:[Importe Neto]],Imput[[C. Imp.]:[C. Imp.]],$D1088,Imput[[PERIODO Imp.]:[PERIODO Imp.]],DG$9)</f>
        <v>0</v>
      </c>
      <c r="DH1088" s="694">
        <f>SUMIFS(Imput[[Importe Neto]:[Importe Neto]],Imput[[C. Imp.]:[C. Imp.]],$D1088,Imput[[PERIODO Imp.]:[PERIODO Imp.]],DH$9)</f>
        <v>0</v>
      </c>
    </row>
    <row r="1089" spans="1:112" s="649" customFormat="1" hidden="1" outlineLevel="1" x14ac:dyDescent="0.3">
      <c r="A1089" s="652" t="str">
        <f t="shared" si="361"/>
        <v/>
      </c>
      <c r="B1089" s="652"/>
      <c r="C1089" s="685"/>
      <c r="D1089" s="686"/>
      <c r="E1089" s="686"/>
      <c r="F1089" s="720"/>
      <c r="G1089" s="688"/>
      <c r="H1089" s="689"/>
      <c r="I1089" s="851" t="str">
        <f t="shared" si="362"/>
        <v/>
      </c>
      <c r="J1089" s="850" t="str">
        <f t="shared" si="363"/>
        <v/>
      </c>
      <c r="K1089" s="667"/>
      <c r="L1089" s="858"/>
      <c r="M1089" s="859"/>
      <c r="N1089" s="859"/>
      <c r="O1089" s="859"/>
      <c r="P1089" s="859"/>
      <c r="Q1089" s="859"/>
      <c r="R1089" s="859"/>
      <c r="S1089" s="859"/>
      <c r="T1089" s="859"/>
      <c r="U1089" s="859"/>
      <c r="V1089" s="859"/>
      <c r="W1089" s="859"/>
      <c r="X1089" s="859"/>
      <c r="Y1089" s="859"/>
      <c r="Z1089" s="860"/>
      <c r="AA1089" s="860"/>
      <c r="AB1089" s="860"/>
      <c r="AC1089" s="860"/>
      <c r="AD1089" s="860"/>
      <c r="AE1089" s="860"/>
      <c r="AF1089" s="860"/>
      <c r="AG1089" s="860"/>
      <c r="AH1089" s="860"/>
      <c r="AI1089" s="860"/>
      <c r="AJ1089" s="860"/>
      <c r="AK1089" s="860"/>
      <c r="AL1089" s="860"/>
      <c r="AM1089" s="860"/>
      <c r="AN1089" s="860"/>
      <c r="AO1089" s="860"/>
      <c r="AP1089" s="860"/>
      <c r="AQ1089" s="860"/>
      <c r="AR1089" s="860"/>
      <c r="AS1089" s="860"/>
      <c r="AT1089" s="860"/>
      <c r="AU1089" s="860"/>
      <c r="AV1089" s="860"/>
      <c r="AW1089" s="860"/>
      <c r="AX1089" s="860"/>
      <c r="AY1089" s="860"/>
      <c r="AZ1089" s="860"/>
      <c r="BA1089" s="860"/>
      <c r="BB1089" s="860"/>
      <c r="BC1089" s="860"/>
      <c r="BD1089" s="860"/>
      <c r="BE1089" s="860"/>
      <c r="BF1089" s="860"/>
      <c r="BG1089" s="860"/>
      <c r="BH1089" s="668"/>
      <c r="BI1089" s="667"/>
      <c r="BJ1089" s="690">
        <f t="shared" si="364"/>
        <v>0</v>
      </c>
      <c r="BK1089" s="691">
        <f t="shared" si="365"/>
        <v>0</v>
      </c>
      <c r="BL1089" s="654"/>
      <c r="BM1089" s="692">
        <f>SUMIFS(Imput[[Importe Neto]:[Importe Neto]],Imput[[C. Imp.]:[C. Imp.]],$D1089,Imput[[PERIODO Imp.]:[PERIODO Imp.]],BM$9)</f>
        <v>0</v>
      </c>
      <c r="BN1089" s="693">
        <f>SUMIFS(Imput[[Importe Neto]:[Importe Neto]],Imput[[C. Imp.]:[C. Imp.]],$D1089,Imput[[PERIODO Imp.]:[PERIODO Imp.]],BN$9)</f>
        <v>0</v>
      </c>
      <c r="BO1089" s="693">
        <f>SUMIFS(Imput[[Importe Neto]:[Importe Neto]],Imput[[C. Imp.]:[C. Imp.]],$D1089,Imput[[PERIODO Imp.]:[PERIODO Imp.]],BO$9)</f>
        <v>0</v>
      </c>
      <c r="BP1089" s="693">
        <f>SUMIFS(Imput[[Importe Neto]:[Importe Neto]],Imput[[C. Imp.]:[C. Imp.]],$D1089,Imput[[PERIODO Imp.]:[PERIODO Imp.]],BP$9)</f>
        <v>0</v>
      </c>
      <c r="BQ1089" s="693">
        <f>SUMIFS(Imput[[Importe Neto]:[Importe Neto]],Imput[[C. Imp.]:[C. Imp.]],$D1089,Imput[[PERIODO Imp.]:[PERIODO Imp.]],BQ$9)</f>
        <v>0</v>
      </c>
      <c r="BR1089" s="693">
        <f>SUMIFS(Imput[[Importe Neto]:[Importe Neto]],Imput[[C. Imp.]:[C. Imp.]],$D1089,Imput[[PERIODO Imp.]:[PERIODO Imp.]],BR$9)</f>
        <v>0</v>
      </c>
      <c r="BS1089" s="693">
        <f>SUMIFS(Imput[[Importe Neto]:[Importe Neto]],Imput[[C. Imp.]:[C. Imp.]],$D1089,Imput[[PERIODO Imp.]:[PERIODO Imp.]],BS$9)</f>
        <v>0</v>
      </c>
      <c r="BT1089" s="693">
        <f>SUMIFS(Imput[[Importe Neto]:[Importe Neto]],Imput[[C. Imp.]:[C. Imp.]],$D1089,Imput[[PERIODO Imp.]:[PERIODO Imp.]],BT$9)</f>
        <v>0</v>
      </c>
      <c r="BU1089" s="693">
        <f>SUMIFS(Imput[[Importe Neto]:[Importe Neto]],Imput[[C. Imp.]:[C. Imp.]],$D1089,Imput[[PERIODO Imp.]:[PERIODO Imp.]],BU$9)</f>
        <v>0</v>
      </c>
      <c r="BV1089" s="693">
        <f>SUMIFS(Imput[[Importe Neto]:[Importe Neto]],Imput[[C. Imp.]:[C. Imp.]],$D1089,Imput[[PERIODO Imp.]:[PERIODO Imp.]],BV$9)</f>
        <v>0</v>
      </c>
      <c r="BW1089" s="693">
        <f>SUMIFS(Imput[[Importe Neto]:[Importe Neto]],Imput[[C. Imp.]:[C. Imp.]],$D1089,Imput[[PERIODO Imp.]:[PERIODO Imp.]],BW$9)</f>
        <v>0</v>
      </c>
      <c r="BX1089" s="693">
        <f>SUMIFS(Imput[[Importe Neto]:[Importe Neto]],Imput[[C. Imp.]:[C. Imp.]],$D1089,Imput[[PERIODO Imp.]:[PERIODO Imp.]],BX$9)</f>
        <v>0</v>
      </c>
      <c r="BY1089" s="693">
        <f>SUMIFS(Imput[[Importe Neto]:[Importe Neto]],Imput[[C. Imp.]:[C. Imp.]],$D1089,Imput[[PERIODO Imp.]:[PERIODO Imp.]],BY$9)</f>
        <v>0</v>
      </c>
      <c r="BZ1089" s="693">
        <f>SUMIFS(Imput[[Importe Neto]:[Importe Neto]],Imput[[C. Imp.]:[C. Imp.]],$D1089,Imput[[PERIODO Imp.]:[PERIODO Imp.]],BZ$9)</f>
        <v>0</v>
      </c>
      <c r="CA1089" s="693">
        <f>SUMIFS(Imput[[Importe Neto]:[Importe Neto]],Imput[[C. Imp.]:[C. Imp.]],$D1089,Imput[[PERIODO Imp.]:[PERIODO Imp.]],CA$9)</f>
        <v>0</v>
      </c>
      <c r="CB1089" s="693">
        <f>SUMIFS(Imput[[Importe Neto]:[Importe Neto]],Imput[[C. Imp.]:[C. Imp.]],$D1089,Imput[[PERIODO Imp.]:[PERIODO Imp.]],CB$9)</f>
        <v>0</v>
      </c>
      <c r="CC1089" s="693">
        <f>SUMIFS(Imput[[Importe Neto]:[Importe Neto]],Imput[[C. Imp.]:[C. Imp.]],$D1089,Imput[[PERIODO Imp.]:[PERIODO Imp.]],CC$9)</f>
        <v>0</v>
      </c>
      <c r="CD1089" s="693">
        <f>SUMIFS(Imput[[Importe Neto]:[Importe Neto]],Imput[[C. Imp.]:[C. Imp.]],$D1089,Imput[[PERIODO Imp.]:[PERIODO Imp.]],CD$9)</f>
        <v>0</v>
      </c>
      <c r="CE1089" s="693">
        <f>SUMIFS(Imput[[Importe Neto]:[Importe Neto]],Imput[[C. Imp.]:[C. Imp.]],$D1089,Imput[[PERIODO Imp.]:[PERIODO Imp.]],CE$9)</f>
        <v>0</v>
      </c>
      <c r="CF1089" s="693">
        <f>SUMIFS(Imput[[Importe Neto]:[Importe Neto]],Imput[[C. Imp.]:[C. Imp.]],$D1089,Imput[[PERIODO Imp.]:[PERIODO Imp.]],CF$9)</f>
        <v>0</v>
      </c>
      <c r="CG1089" s="693">
        <f>SUMIFS(Imput[[Importe Neto]:[Importe Neto]],Imput[[C. Imp.]:[C. Imp.]],$D1089,Imput[[PERIODO Imp.]:[PERIODO Imp.]],CG$9)</f>
        <v>0</v>
      </c>
      <c r="CH1089" s="693">
        <f>SUMIFS(Imput[[Importe Neto]:[Importe Neto]],Imput[[C. Imp.]:[C. Imp.]],$D1089,Imput[[PERIODO Imp.]:[PERIODO Imp.]],CH$9)</f>
        <v>0</v>
      </c>
      <c r="CI1089" s="693">
        <f>SUMIFS(Imput[[Importe Neto]:[Importe Neto]],Imput[[C. Imp.]:[C. Imp.]],$D1089,Imput[[PERIODO Imp.]:[PERIODO Imp.]],CI$9)</f>
        <v>0</v>
      </c>
      <c r="CJ1089" s="693">
        <f>SUMIFS(Imput[[Importe Neto]:[Importe Neto]],Imput[[C. Imp.]:[C. Imp.]],$D1089,Imput[[PERIODO Imp.]:[PERIODO Imp.]],CJ$9)</f>
        <v>0</v>
      </c>
      <c r="CK1089" s="693">
        <f>SUMIFS(Imput[[Importe Neto]:[Importe Neto]],Imput[[C. Imp.]:[C. Imp.]],$D1089,Imput[[PERIODO Imp.]:[PERIODO Imp.]],CK$9)</f>
        <v>0</v>
      </c>
      <c r="CL1089" s="693">
        <f>SUMIFS(Imput[[Importe Neto]:[Importe Neto]],Imput[[C. Imp.]:[C. Imp.]],$D1089,Imput[[PERIODO Imp.]:[PERIODO Imp.]],CL$9)</f>
        <v>0</v>
      </c>
      <c r="CM1089" s="693">
        <f>SUMIFS(Imput[[Importe Neto]:[Importe Neto]],Imput[[C. Imp.]:[C. Imp.]],$D1089,Imput[[PERIODO Imp.]:[PERIODO Imp.]],CM$9)</f>
        <v>0</v>
      </c>
      <c r="CN1089" s="693">
        <f>SUMIFS(Imput[[Importe Neto]:[Importe Neto]],Imput[[C. Imp.]:[C. Imp.]],$D1089,Imput[[PERIODO Imp.]:[PERIODO Imp.]],CN$9)</f>
        <v>0</v>
      </c>
      <c r="CO1089" s="693">
        <f>SUMIFS(Imput[[Importe Neto]:[Importe Neto]],Imput[[C. Imp.]:[C. Imp.]],$D1089,Imput[[PERIODO Imp.]:[PERIODO Imp.]],CO$9)</f>
        <v>0</v>
      </c>
      <c r="CP1089" s="693">
        <f>SUMIFS(Imput[[Importe Neto]:[Importe Neto]],Imput[[C. Imp.]:[C. Imp.]],$D1089,Imput[[PERIODO Imp.]:[PERIODO Imp.]],CP$9)</f>
        <v>0</v>
      </c>
      <c r="CQ1089" s="693">
        <f>SUMIFS(Imput[[Importe Neto]:[Importe Neto]],Imput[[C. Imp.]:[C. Imp.]],$D1089,Imput[[PERIODO Imp.]:[PERIODO Imp.]],CQ$9)</f>
        <v>0</v>
      </c>
      <c r="CR1089" s="693">
        <f>SUMIFS(Imput[[Importe Neto]:[Importe Neto]],Imput[[C. Imp.]:[C. Imp.]],$D1089,Imput[[PERIODO Imp.]:[PERIODO Imp.]],CR$9)</f>
        <v>0</v>
      </c>
      <c r="CS1089" s="693">
        <f>SUMIFS(Imput[[Importe Neto]:[Importe Neto]],Imput[[C. Imp.]:[C. Imp.]],$D1089,Imput[[PERIODO Imp.]:[PERIODO Imp.]],CS$9)</f>
        <v>0</v>
      </c>
      <c r="CT1089" s="693">
        <f>SUMIFS(Imput[[Importe Neto]:[Importe Neto]],Imput[[C. Imp.]:[C. Imp.]],$D1089,Imput[[PERIODO Imp.]:[PERIODO Imp.]],CT$9)</f>
        <v>0</v>
      </c>
      <c r="CU1089" s="693">
        <f>SUMIFS(Imput[[Importe Neto]:[Importe Neto]],Imput[[C. Imp.]:[C. Imp.]],$D1089,Imput[[PERIODO Imp.]:[PERIODO Imp.]],CU$9)</f>
        <v>0</v>
      </c>
      <c r="CV1089" s="693">
        <f>SUMIFS(Imput[[Importe Neto]:[Importe Neto]],Imput[[C. Imp.]:[C. Imp.]],$D1089,Imput[[PERIODO Imp.]:[PERIODO Imp.]],CV$9)</f>
        <v>0</v>
      </c>
      <c r="CW1089" s="693">
        <f>SUMIFS(Imput[[Importe Neto]:[Importe Neto]],Imput[[C. Imp.]:[C. Imp.]],$D1089,Imput[[PERIODO Imp.]:[PERIODO Imp.]],CW$9)</f>
        <v>0</v>
      </c>
      <c r="CX1089" s="693">
        <f>SUMIFS(Imput[[Importe Neto]:[Importe Neto]],Imput[[C. Imp.]:[C. Imp.]],$D1089,Imput[[PERIODO Imp.]:[PERIODO Imp.]],CX$9)</f>
        <v>0</v>
      </c>
      <c r="CY1089" s="693">
        <f>SUMIFS(Imput[[Importe Neto]:[Importe Neto]],Imput[[C. Imp.]:[C. Imp.]],$D1089,Imput[[PERIODO Imp.]:[PERIODO Imp.]],CY$9)</f>
        <v>0</v>
      </c>
      <c r="CZ1089" s="693">
        <f>SUMIFS(Imput[[Importe Neto]:[Importe Neto]],Imput[[C. Imp.]:[C. Imp.]],$D1089,Imput[[PERIODO Imp.]:[PERIODO Imp.]],CZ$9)</f>
        <v>0</v>
      </c>
      <c r="DA1089" s="693">
        <f>SUMIFS(Imput[[Importe Neto]:[Importe Neto]],Imput[[C. Imp.]:[C. Imp.]],$D1089,Imput[[PERIODO Imp.]:[PERIODO Imp.]],DA$9)</f>
        <v>0</v>
      </c>
      <c r="DB1089" s="693">
        <f>SUMIFS(Imput[[Importe Neto]:[Importe Neto]],Imput[[C. Imp.]:[C. Imp.]],$D1089,Imput[[PERIODO Imp.]:[PERIODO Imp.]],DB$9)</f>
        <v>0</v>
      </c>
      <c r="DC1089" s="693">
        <f>SUMIFS(Imput[[Importe Neto]:[Importe Neto]],Imput[[C. Imp.]:[C. Imp.]],$D1089,Imput[[PERIODO Imp.]:[PERIODO Imp.]],DC$9)</f>
        <v>0</v>
      </c>
      <c r="DD1089" s="693">
        <f>SUMIFS(Imput[[Importe Neto]:[Importe Neto]],Imput[[C. Imp.]:[C. Imp.]],$D1089,Imput[[PERIODO Imp.]:[PERIODO Imp.]],DD$9)</f>
        <v>0</v>
      </c>
      <c r="DE1089" s="693">
        <f>SUMIFS(Imput[[Importe Neto]:[Importe Neto]],Imput[[C. Imp.]:[C. Imp.]],$D1089,Imput[[PERIODO Imp.]:[PERIODO Imp.]],DE$9)</f>
        <v>0</v>
      </c>
      <c r="DF1089" s="693">
        <f>SUMIFS(Imput[[Importe Neto]:[Importe Neto]],Imput[[C. Imp.]:[C. Imp.]],$D1089,Imput[[PERIODO Imp.]:[PERIODO Imp.]],DF$9)</f>
        <v>0</v>
      </c>
      <c r="DG1089" s="693">
        <f>SUMIFS(Imput[[Importe Neto]:[Importe Neto]],Imput[[C. Imp.]:[C. Imp.]],$D1089,Imput[[PERIODO Imp.]:[PERIODO Imp.]],DG$9)</f>
        <v>0</v>
      </c>
      <c r="DH1089" s="694">
        <f>SUMIFS(Imput[[Importe Neto]:[Importe Neto]],Imput[[C. Imp.]:[C. Imp.]],$D1089,Imput[[PERIODO Imp.]:[PERIODO Imp.]],DH$9)</f>
        <v>0</v>
      </c>
    </row>
    <row r="1090" spans="1:112" s="649" customFormat="1" hidden="1" outlineLevel="1" x14ac:dyDescent="0.3">
      <c r="A1090" s="652" t="str">
        <f t="shared" si="361"/>
        <v/>
      </c>
      <c r="B1090" s="652"/>
      <c r="C1090" s="685"/>
      <c r="D1090" s="686"/>
      <c r="E1090" s="686"/>
      <c r="F1090" s="720"/>
      <c r="G1090" s="688"/>
      <c r="H1090" s="689"/>
      <c r="I1090" s="851" t="str">
        <f t="shared" si="362"/>
        <v/>
      </c>
      <c r="J1090" s="850" t="str">
        <f t="shared" si="363"/>
        <v/>
      </c>
      <c r="K1090" s="667"/>
      <c r="L1090" s="858"/>
      <c r="M1090" s="859"/>
      <c r="N1090" s="859"/>
      <c r="O1090" s="859"/>
      <c r="P1090" s="859"/>
      <c r="Q1090" s="859"/>
      <c r="R1090" s="859"/>
      <c r="S1090" s="859"/>
      <c r="T1090" s="859"/>
      <c r="U1090" s="859"/>
      <c r="V1090" s="859"/>
      <c r="W1090" s="859"/>
      <c r="X1090" s="859"/>
      <c r="Y1090" s="859"/>
      <c r="Z1090" s="860"/>
      <c r="AA1090" s="860"/>
      <c r="AB1090" s="860"/>
      <c r="AC1090" s="860"/>
      <c r="AD1090" s="860"/>
      <c r="AE1090" s="860"/>
      <c r="AF1090" s="860"/>
      <c r="AG1090" s="860"/>
      <c r="AH1090" s="860"/>
      <c r="AI1090" s="860"/>
      <c r="AJ1090" s="860"/>
      <c r="AK1090" s="860"/>
      <c r="AL1090" s="860"/>
      <c r="AM1090" s="860"/>
      <c r="AN1090" s="860"/>
      <c r="AO1090" s="860"/>
      <c r="AP1090" s="860"/>
      <c r="AQ1090" s="860"/>
      <c r="AR1090" s="860"/>
      <c r="AS1090" s="860"/>
      <c r="AT1090" s="860"/>
      <c r="AU1090" s="860"/>
      <c r="AV1090" s="860"/>
      <c r="AW1090" s="860"/>
      <c r="AX1090" s="860"/>
      <c r="AY1090" s="860"/>
      <c r="AZ1090" s="860"/>
      <c r="BA1090" s="860"/>
      <c r="BB1090" s="860"/>
      <c r="BC1090" s="860"/>
      <c r="BD1090" s="860"/>
      <c r="BE1090" s="860"/>
      <c r="BF1090" s="860"/>
      <c r="BG1090" s="860"/>
      <c r="BH1090" s="668"/>
      <c r="BI1090" s="667"/>
      <c r="BJ1090" s="690">
        <f t="shared" si="364"/>
        <v>0</v>
      </c>
      <c r="BK1090" s="691">
        <f t="shared" si="365"/>
        <v>0</v>
      </c>
      <c r="BL1090" s="654"/>
      <c r="BM1090" s="692">
        <f>SUMIFS(Imput[[Importe Neto]:[Importe Neto]],Imput[[C. Imp.]:[C. Imp.]],$D1090,Imput[[PERIODO Imp.]:[PERIODO Imp.]],BM$9)</f>
        <v>0</v>
      </c>
      <c r="BN1090" s="693">
        <f>SUMIFS(Imput[[Importe Neto]:[Importe Neto]],Imput[[C. Imp.]:[C. Imp.]],$D1090,Imput[[PERIODO Imp.]:[PERIODO Imp.]],BN$9)</f>
        <v>0</v>
      </c>
      <c r="BO1090" s="693">
        <f>SUMIFS(Imput[[Importe Neto]:[Importe Neto]],Imput[[C. Imp.]:[C. Imp.]],$D1090,Imput[[PERIODO Imp.]:[PERIODO Imp.]],BO$9)</f>
        <v>0</v>
      </c>
      <c r="BP1090" s="693">
        <f>SUMIFS(Imput[[Importe Neto]:[Importe Neto]],Imput[[C. Imp.]:[C. Imp.]],$D1090,Imput[[PERIODO Imp.]:[PERIODO Imp.]],BP$9)</f>
        <v>0</v>
      </c>
      <c r="BQ1090" s="693">
        <f>SUMIFS(Imput[[Importe Neto]:[Importe Neto]],Imput[[C. Imp.]:[C. Imp.]],$D1090,Imput[[PERIODO Imp.]:[PERIODO Imp.]],BQ$9)</f>
        <v>0</v>
      </c>
      <c r="BR1090" s="693">
        <f>SUMIFS(Imput[[Importe Neto]:[Importe Neto]],Imput[[C. Imp.]:[C. Imp.]],$D1090,Imput[[PERIODO Imp.]:[PERIODO Imp.]],BR$9)</f>
        <v>0</v>
      </c>
      <c r="BS1090" s="693">
        <f>SUMIFS(Imput[[Importe Neto]:[Importe Neto]],Imput[[C. Imp.]:[C. Imp.]],$D1090,Imput[[PERIODO Imp.]:[PERIODO Imp.]],BS$9)</f>
        <v>0</v>
      </c>
      <c r="BT1090" s="693">
        <f>SUMIFS(Imput[[Importe Neto]:[Importe Neto]],Imput[[C. Imp.]:[C. Imp.]],$D1090,Imput[[PERIODO Imp.]:[PERIODO Imp.]],BT$9)</f>
        <v>0</v>
      </c>
      <c r="BU1090" s="693">
        <f>SUMIFS(Imput[[Importe Neto]:[Importe Neto]],Imput[[C. Imp.]:[C. Imp.]],$D1090,Imput[[PERIODO Imp.]:[PERIODO Imp.]],BU$9)</f>
        <v>0</v>
      </c>
      <c r="BV1090" s="693">
        <f>SUMIFS(Imput[[Importe Neto]:[Importe Neto]],Imput[[C. Imp.]:[C. Imp.]],$D1090,Imput[[PERIODO Imp.]:[PERIODO Imp.]],BV$9)</f>
        <v>0</v>
      </c>
      <c r="BW1090" s="693">
        <f>SUMIFS(Imput[[Importe Neto]:[Importe Neto]],Imput[[C. Imp.]:[C. Imp.]],$D1090,Imput[[PERIODO Imp.]:[PERIODO Imp.]],BW$9)</f>
        <v>0</v>
      </c>
      <c r="BX1090" s="693">
        <f>SUMIFS(Imput[[Importe Neto]:[Importe Neto]],Imput[[C. Imp.]:[C. Imp.]],$D1090,Imput[[PERIODO Imp.]:[PERIODO Imp.]],BX$9)</f>
        <v>0</v>
      </c>
      <c r="BY1090" s="693">
        <f>SUMIFS(Imput[[Importe Neto]:[Importe Neto]],Imput[[C. Imp.]:[C. Imp.]],$D1090,Imput[[PERIODO Imp.]:[PERIODO Imp.]],BY$9)</f>
        <v>0</v>
      </c>
      <c r="BZ1090" s="693">
        <f>SUMIFS(Imput[[Importe Neto]:[Importe Neto]],Imput[[C. Imp.]:[C. Imp.]],$D1090,Imput[[PERIODO Imp.]:[PERIODO Imp.]],BZ$9)</f>
        <v>0</v>
      </c>
      <c r="CA1090" s="693">
        <f>SUMIFS(Imput[[Importe Neto]:[Importe Neto]],Imput[[C. Imp.]:[C. Imp.]],$D1090,Imput[[PERIODO Imp.]:[PERIODO Imp.]],CA$9)</f>
        <v>0</v>
      </c>
      <c r="CB1090" s="693">
        <f>SUMIFS(Imput[[Importe Neto]:[Importe Neto]],Imput[[C. Imp.]:[C. Imp.]],$D1090,Imput[[PERIODO Imp.]:[PERIODO Imp.]],CB$9)</f>
        <v>0</v>
      </c>
      <c r="CC1090" s="693">
        <f>SUMIFS(Imput[[Importe Neto]:[Importe Neto]],Imput[[C. Imp.]:[C. Imp.]],$D1090,Imput[[PERIODO Imp.]:[PERIODO Imp.]],CC$9)</f>
        <v>0</v>
      </c>
      <c r="CD1090" s="693">
        <f>SUMIFS(Imput[[Importe Neto]:[Importe Neto]],Imput[[C. Imp.]:[C. Imp.]],$D1090,Imput[[PERIODO Imp.]:[PERIODO Imp.]],CD$9)</f>
        <v>0</v>
      </c>
      <c r="CE1090" s="693">
        <f>SUMIFS(Imput[[Importe Neto]:[Importe Neto]],Imput[[C. Imp.]:[C. Imp.]],$D1090,Imput[[PERIODO Imp.]:[PERIODO Imp.]],CE$9)</f>
        <v>0</v>
      </c>
      <c r="CF1090" s="693">
        <f>SUMIFS(Imput[[Importe Neto]:[Importe Neto]],Imput[[C. Imp.]:[C. Imp.]],$D1090,Imput[[PERIODO Imp.]:[PERIODO Imp.]],CF$9)</f>
        <v>0</v>
      </c>
      <c r="CG1090" s="693">
        <f>SUMIFS(Imput[[Importe Neto]:[Importe Neto]],Imput[[C. Imp.]:[C. Imp.]],$D1090,Imput[[PERIODO Imp.]:[PERIODO Imp.]],CG$9)</f>
        <v>0</v>
      </c>
      <c r="CH1090" s="693">
        <f>SUMIFS(Imput[[Importe Neto]:[Importe Neto]],Imput[[C. Imp.]:[C. Imp.]],$D1090,Imput[[PERIODO Imp.]:[PERIODO Imp.]],CH$9)</f>
        <v>0</v>
      </c>
      <c r="CI1090" s="693">
        <f>SUMIFS(Imput[[Importe Neto]:[Importe Neto]],Imput[[C. Imp.]:[C. Imp.]],$D1090,Imput[[PERIODO Imp.]:[PERIODO Imp.]],CI$9)</f>
        <v>0</v>
      </c>
      <c r="CJ1090" s="693">
        <f>SUMIFS(Imput[[Importe Neto]:[Importe Neto]],Imput[[C. Imp.]:[C. Imp.]],$D1090,Imput[[PERIODO Imp.]:[PERIODO Imp.]],CJ$9)</f>
        <v>0</v>
      </c>
      <c r="CK1090" s="693">
        <f>SUMIFS(Imput[[Importe Neto]:[Importe Neto]],Imput[[C. Imp.]:[C. Imp.]],$D1090,Imput[[PERIODO Imp.]:[PERIODO Imp.]],CK$9)</f>
        <v>0</v>
      </c>
      <c r="CL1090" s="693">
        <f>SUMIFS(Imput[[Importe Neto]:[Importe Neto]],Imput[[C. Imp.]:[C. Imp.]],$D1090,Imput[[PERIODO Imp.]:[PERIODO Imp.]],CL$9)</f>
        <v>0</v>
      </c>
      <c r="CM1090" s="693">
        <f>SUMIFS(Imput[[Importe Neto]:[Importe Neto]],Imput[[C. Imp.]:[C. Imp.]],$D1090,Imput[[PERIODO Imp.]:[PERIODO Imp.]],CM$9)</f>
        <v>0</v>
      </c>
      <c r="CN1090" s="693">
        <f>SUMIFS(Imput[[Importe Neto]:[Importe Neto]],Imput[[C. Imp.]:[C. Imp.]],$D1090,Imput[[PERIODO Imp.]:[PERIODO Imp.]],CN$9)</f>
        <v>0</v>
      </c>
      <c r="CO1090" s="693">
        <f>SUMIFS(Imput[[Importe Neto]:[Importe Neto]],Imput[[C. Imp.]:[C. Imp.]],$D1090,Imput[[PERIODO Imp.]:[PERIODO Imp.]],CO$9)</f>
        <v>0</v>
      </c>
      <c r="CP1090" s="693">
        <f>SUMIFS(Imput[[Importe Neto]:[Importe Neto]],Imput[[C. Imp.]:[C. Imp.]],$D1090,Imput[[PERIODO Imp.]:[PERIODO Imp.]],CP$9)</f>
        <v>0</v>
      </c>
      <c r="CQ1090" s="693">
        <f>SUMIFS(Imput[[Importe Neto]:[Importe Neto]],Imput[[C. Imp.]:[C. Imp.]],$D1090,Imput[[PERIODO Imp.]:[PERIODO Imp.]],CQ$9)</f>
        <v>0</v>
      </c>
      <c r="CR1090" s="693">
        <f>SUMIFS(Imput[[Importe Neto]:[Importe Neto]],Imput[[C. Imp.]:[C. Imp.]],$D1090,Imput[[PERIODO Imp.]:[PERIODO Imp.]],CR$9)</f>
        <v>0</v>
      </c>
      <c r="CS1090" s="693">
        <f>SUMIFS(Imput[[Importe Neto]:[Importe Neto]],Imput[[C. Imp.]:[C. Imp.]],$D1090,Imput[[PERIODO Imp.]:[PERIODO Imp.]],CS$9)</f>
        <v>0</v>
      </c>
      <c r="CT1090" s="693">
        <f>SUMIFS(Imput[[Importe Neto]:[Importe Neto]],Imput[[C. Imp.]:[C. Imp.]],$D1090,Imput[[PERIODO Imp.]:[PERIODO Imp.]],CT$9)</f>
        <v>0</v>
      </c>
      <c r="CU1090" s="693">
        <f>SUMIFS(Imput[[Importe Neto]:[Importe Neto]],Imput[[C. Imp.]:[C. Imp.]],$D1090,Imput[[PERIODO Imp.]:[PERIODO Imp.]],CU$9)</f>
        <v>0</v>
      </c>
      <c r="CV1090" s="693">
        <f>SUMIFS(Imput[[Importe Neto]:[Importe Neto]],Imput[[C. Imp.]:[C. Imp.]],$D1090,Imput[[PERIODO Imp.]:[PERIODO Imp.]],CV$9)</f>
        <v>0</v>
      </c>
      <c r="CW1090" s="693">
        <f>SUMIFS(Imput[[Importe Neto]:[Importe Neto]],Imput[[C. Imp.]:[C. Imp.]],$D1090,Imput[[PERIODO Imp.]:[PERIODO Imp.]],CW$9)</f>
        <v>0</v>
      </c>
      <c r="CX1090" s="693">
        <f>SUMIFS(Imput[[Importe Neto]:[Importe Neto]],Imput[[C. Imp.]:[C. Imp.]],$D1090,Imput[[PERIODO Imp.]:[PERIODO Imp.]],CX$9)</f>
        <v>0</v>
      </c>
      <c r="CY1090" s="693">
        <f>SUMIFS(Imput[[Importe Neto]:[Importe Neto]],Imput[[C. Imp.]:[C. Imp.]],$D1090,Imput[[PERIODO Imp.]:[PERIODO Imp.]],CY$9)</f>
        <v>0</v>
      </c>
      <c r="CZ1090" s="693">
        <f>SUMIFS(Imput[[Importe Neto]:[Importe Neto]],Imput[[C. Imp.]:[C. Imp.]],$D1090,Imput[[PERIODO Imp.]:[PERIODO Imp.]],CZ$9)</f>
        <v>0</v>
      </c>
      <c r="DA1090" s="693">
        <f>SUMIFS(Imput[[Importe Neto]:[Importe Neto]],Imput[[C. Imp.]:[C. Imp.]],$D1090,Imput[[PERIODO Imp.]:[PERIODO Imp.]],DA$9)</f>
        <v>0</v>
      </c>
      <c r="DB1090" s="693">
        <f>SUMIFS(Imput[[Importe Neto]:[Importe Neto]],Imput[[C. Imp.]:[C. Imp.]],$D1090,Imput[[PERIODO Imp.]:[PERIODO Imp.]],DB$9)</f>
        <v>0</v>
      </c>
      <c r="DC1090" s="693">
        <f>SUMIFS(Imput[[Importe Neto]:[Importe Neto]],Imput[[C. Imp.]:[C. Imp.]],$D1090,Imput[[PERIODO Imp.]:[PERIODO Imp.]],DC$9)</f>
        <v>0</v>
      </c>
      <c r="DD1090" s="693">
        <f>SUMIFS(Imput[[Importe Neto]:[Importe Neto]],Imput[[C. Imp.]:[C. Imp.]],$D1090,Imput[[PERIODO Imp.]:[PERIODO Imp.]],DD$9)</f>
        <v>0</v>
      </c>
      <c r="DE1090" s="693">
        <f>SUMIFS(Imput[[Importe Neto]:[Importe Neto]],Imput[[C. Imp.]:[C. Imp.]],$D1090,Imput[[PERIODO Imp.]:[PERIODO Imp.]],DE$9)</f>
        <v>0</v>
      </c>
      <c r="DF1090" s="693">
        <f>SUMIFS(Imput[[Importe Neto]:[Importe Neto]],Imput[[C. Imp.]:[C. Imp.]],$D1090,Imput[[PERIODO Imp.]:[PERIODO Imp.]],DF$9)</f>
        <v>0</v>
      </c>
      <c r="DG1090" s="693">
        <f>SUMIFS(Imput[[Importe Neto]:[Importe Neto]],Imput[[C. Imp.]:[C. Imp.]],$D1090,Imput[[PERIODO Imp.]:[PERIODO Imp.]],DG$9)</f>
        <v>0</v>
      </c>
      <c r="DH1090" s="694">
        <f>SUMIFS(Imput[[Importe Neto]:[Importe Neto]],Imput[[C. Imp.]:[C. Imp.]],$D1090,Imput[[PERIODO Imp.]:[PERIODO Imp.]],DH$9)</f>
        <v>0</v>
      </c>
    </row>
    <row r="1091" spans="1:112" s="649" customFormat="1" hidden="1" outlineLevel="1" x14ac:dyDescent="0.3">
      <c r="A1091" s="652" t="str">
        <f t="shared" si="361"/>
        <v/>
      </c>
      <c r="B1091" s="652"/>
      <c r="C1091" s="685"/>
      <c r="D1091" s="686"/>
      <c r="E1091" s="686"/>
      <c r="F1091" s="720"/>
      <c r="G1091" s="688"/>
      <c r="H1091" s="689"/>
      <c r="I1091" s="851" t="str">
        <f t="shared" si="362"/>
        <v/>
      </c>
      <c r="J1091" s="850" t="str">
        <f t="shared" si="363"/>
        <v/>
      </c>
      <c r="K1091" s="667"/>
      <c r="L1091" s="858"/>
      <c r="M1091" s="859"/>
      <c r="N1091" s="859"/>
      <c r="O1091" s="859"/>
      <c r="P1091" s="859"/>
      <c r="Q1091" s="859"/>
      <c r="R1091" s="859"/>
      <c r="S1091" s="859"/>
      <c r="T1091" s="859"/>
      <c r="U1091" s="859"/>
      <c r="V1091" s="859"/>
      <c r="W1091" s="859"/>
      <c r="X1091" s="859"/>
      <c r="Y1091" s="859"/>
      <c r="Z1091" s="860"/>
      <c r="AA1091" s="860"/>
      <c r="AB1091" s="860"/>
      <c r="AC1091" s="860"/>
      <c r="AD1091" s="860"/>
      <c r="AE1091" s="860"/>
      <c r="AF1091" s="860"/>
      <c r="AG1091" s="860"/>
      <c r="AH1091" s="860"/>
      <c r="AI1091" s="860"/>
      <c r="AJ1091" s="860"/>
      <c r="AK1091" s="860"/>
      <c r="AL1091" s="860"/>
      <c r="AM1091" s="860"/>
      <c r="AN1091" s="860"/>
      <c r="AO1091" s="860"/>
      <c r="AP1091" s="860"/>
      <c r="AQ1091" s="860"/>
      <c r="AR1091" s="860"/>
      <c r="AS1091" s="860"/>
      <c r="AT1091" s="860"/>
      <c r="AU1091" s="860"/>
      <c r="AV1091" s="860"/>
      <c r="AW1091" s="860"/>
      <c r="AX1091" s="860"/>
      <c r="AY1091" s="860"/>
      <c r="AZ1091" s="860"/>
      <c r="BA1091" s="860"/>
      <c r="BB1091" s="860"/>
      <c r="BC1091" s="860"/>
      <c r="BD1091" s="860"/>
      <c r="BE1091" s="860"/>
      <c r="BF1091" s="860"/>
      <c r="BG1091" s="860"/>
      <c r="BH1091" s="668"/>
      <c r="BI1091" s="667"/>
      <c r="BJ1091" s="690">
        <f t="shared" si="364"/>
        <v>0</v>
      </c>
      <c r="BK1091" s="691">
        <f t="shared" si="365"/>
        <v>0</v>
      </c>
      <c r="BL1091" s="654"/>
      <c r="BM1091" s="692">
        <f>SUMIFS(Imput[[Importe Neto]:[Importe Neto]],Imput[[C. Imp.]:[C. Imp.]],$D1091,Imput[[PERIODO Imp.]:[PERIODO Imp.]],BM$9)</f>
        <v>0</v>
      </c>
      <c r="BN1091" s="693">
        <f>SUMIFS(Imput[[Importe Neto]:[Importe Neto]],Imput[[C. Imp.]:[C. Imp.]],$D1091,Imput[[PERIODO Imp.]:[PERIODO Imp.]],BN$9)</f>
        <v>0</v>
      </c>
      <c r="BO1091" s="693">
        <f>SUMIFS(Imput[[Importe Neto]:[Importe Neto]],Imput[[C. Imp.]:[C. Imp.]],$D1091,Imput[[PERIODO Imp.]:[PERIODO Imp.]],BO$9)</f>
        <v>0</v>
      </c>
      <c r="BP1091" s="693">
        <f>SUMIFS(Imput[[Importe Neto]:[Importe Neto]],Imput[[C. Imp.]:[C. Imp.]],$D1091,Imput[[PERIODO Imp.]:[PERIODO Imp.]],BP$9)</f>
        <v>0</v>
      </c>
      <c r="BQ1091" s="693">
        <f>SUMIFS(Imput[[Importe Neto]:[Importe Neto]],Imput[[C. Imp.]:[C. Imp.]],$D1091,Imput[[PERIODO Imp.]:[PERIODO Imp.]],BQ$9)</f>
        <v>0</v>
      </c>
      <c r="BR1091" s="693">
        <f>SUMIFS(Imput[[Importe Neto]:[Importe Neto]],Imput[[C. Imp.]:[C. Imp.]],$D1091,Imput[[PERIODO Imp.]:[PERIODO Imp.]],BR$9)</f>
        <v>0</v>
      </c>
      <c r="BS1091" s="693">
        <f>SUMIFS(Imput[[Importe Neto]:[Importe Neto]],Imput[[C. Imp.]:[C. Imp.]],$D1091,Imput[[PERIODO Imp.]:[PERIODO Imp.]],BS$9)</f>
        <v>0</v>
      </c>
      <c r="BT1091" s="693">
        <f>SUMIFS(Imput[[Importe Neto]:[Importe Neto]],Imput[[C. Imp.]:[C. Imp.]],$D1091,Imput[[PERIODO Imp.]:[PERIODO Imp.]],BT$9)</f>
        <v>0</v>
      </c>
      <c r="BU1091" s="693">
        <f>SUMIFS(Imput[[Importe Neto]:[Importe Neto]],Imput[[C. Imp.]:[C. Imp.]],$D1091,Imput[[PERIODO Imp.]:[PERIODO Imp.]],BU$9)</f>
        <v>0</v>
      </c>
      <c r="BV1091" s="693">
        <f>SUMIFS(Imput[[Importe Neto]:[Importe Neto]],Imput[[C. Imp.]:[C. Imp.]],$D1091,Imput[[PERIODO Imp.]:[PERIODO Imp.]],BV$9)</f>
        <v>0</v>
      </c>
      <c r="BW1091" s="693">
        <f>SUMIFS(Imput[[Importe Neto]:[Importe Neto]],Imput[[C. Imp.]:[C. Imp.]],$D1091,Imput[[PERIODO Imp.]:[PERIODO Imp.]],BW$9)</f>
        <v>0</v>
      </c>
      <c r="BX1091" s="693">
        <f>SUMIFS(Imput[[Importe Neto]:[Importe Neto]],Imput[[C. Imp.]:[C. Imp.]],$D1091,Imput[[PERIODO Imp.]:[PERIODO Imp.]],BX$9)</f>
        <v>0</v>
      </c>
      <c r="BY1091" s="693">
        <f>SUMIFS(Imput[[Importe Neto]:[Importe Neto]],Imput[[C. Imp.]:[C. Imp.]],$D1091,Imput[[PERIODO Imp.]:[PERIODO Imp.]],BY$9)</f>
        <v>0</v>
      </c>
      <c r="BZ1091" s="693">
        <f>SUMIFS(Imput[[Importe Neto]:[Importe Neto]],Imput[[C. Imp.]:[C. Imp.]],$D1091,Imput[[PERIODO Imp.]:[PERIODO Imp.]],BZ$9)</f>
        <v>0</v>
      </c>
      <c r="CA1091" s="693">
        <f>SUMIFS(Imput[[Importe Neto]:[Importe Neto]],Imput[[C. Imp.]:[C. Imp.]],$D1091,Imput[[PERIODO Imp.]:[PERIODO Imp.]],CA$9)</f>
        <v>0</v>
      </c>
      <c r="CB1091" s="693">
        <f>SUMIFS(Imput[[Importe Neto]:[Importe Neto]],Imput[[C. Imp.]:[C. Imp.]],$D1091,Imput[[PERIODO Imp.]:[PERIODO Imp.]],CB$9)</f>
        <v>0</v>
      </c>
      <c r="CC1091" s="693">
        <f>SUMIFS(Imput[[Importe Neto]:[Importe Neto]],Imput[[C. Imp.]:[C. Imp.]],$D1091,Imput[[PERIODO Imp.]:[PERIODO Imp.]],CC$9)</f>
        <v>0</v>
      </c>
      <c r="CD1091" s="693">
        <f>SUMIFS(Imput[[Importe Neto]:[Importe Neto]],Imput[[C. Imp.]:[C. Imp.]],$D1091,Imput[[PERIODO Imp.]:[PERIODO Imp.]],CD$9)</f>
        <v>0</v>
      </c>
      <c r="CE1091" s="693">
        <f>SUMIFS(Imput[[Importe Neto]:[Importe Neto]],Imput[[C. Imp.]:[C. Imp.]],$D1091,Imput[[PERIODO Imp.]:[PERIODO Imp.]],CE$9)</f>
        <v>0</v>
      </c>
      <c r="CF1091" s="693">
        <f>SUMIFS(Imput[[Importe Neto]:[Importe Neto]],Imput[[C. Imp.]:[C. Imp.]],$D1091,Imput[[PERIODO Imp.]:[PERIODO Imp.]],CF$9)</f>
        <v>0</v>
      </c>
      <c r="CG1091" s="693">
        <f>SUMIFS(Imput[[Importe Neto]:[Importe Neto]],Imput[[C. Imp.]:[C. Imp.]],$D1091,Imput[[PERIODO Imp.]:[PERIODO Imp.]],CG$9)</f>
        <v>0</v>
      </c>
      <c r="CH1091" s="693">
        <f>SUMIFS(Imput[[Importe Neto]:[Importe Neto]],Imput[[C. Imp.]:[C. Imp.]],$D1091,Imput[[PERIODO Imp.]:[PERIODO Imp.]],CH$9)</f>
        <v>0</v>
      </c>
      <c r="CI1091" s="693">
        <f>SUMIFS(Imput[[Importe Neto]:[Importe Neto]],Imput[[C. Imp.]:[C. Imp.]],$D1091,Imput[[PERIODO Imp.]:[PERIODO Imp.]],CI$9)</f>
        <v>0</v>
      </c>
      <c r="CJ1091" s="693">
        <f>SUMIFS(Imput[[Importe Neto]:[Importe Neto]],Imput[[C. Imp.]:[C. Imp.]],$D1091,Imput[[PERIODO Imp.]:[PERIODO Imp.]],CJ$9)</f>
        <v>0</v>
      </c>
      <c r="CK1091" s="693">
        <f>SUMIFS(Imput[[Importe Neto]:[Importe Neto]],Imput[[C. Imp.]:[C. Imp.]],$D1091,Imput[[PERIODO Imp.]:[PERIODO Imp.]],CK$9)</f>
        <v>0</v>
      </c>
      <c r="CL1091" s="693">
        <f>SUMIFS(Imput[[Importe Neto]:[Importe Neto]],Imput[[C. Imp.]:[C. Imp.]],$D1091,Imput[[PERIODO Imp.]:[PERIODO Imp.]],CL$9)</f>
        <v>0</v>
      </c>
      <c r="CM1091" s="693">
        <f>SUMIFS(Imput[[Importe Neto]:[Importe Neto]],Imput[[C. Imp.]:[C. Imp.]],$D1091,Imput[[PERIODO Imp.]:[PERIODO Imp.]],CM$9)</f>
        <v>0</v>
      </c>
      <c r="CN1091" s="693">
        <f>SUMIFS(Imput[[Importe Neto]:[Importe Neto]],Imput[[C. Imp.]:[C. Imp.]],$D1091,Imput[[PERIODO Imp.]:[PERIODO Imp.]],CN$9)</f>
        <v>0</v>
      </c>
      <c r="CO1091" s="693">
        <f>SUMIFS(Imput[[Importe Neto]:[Importe Neto]],Imput[[C. Imp.]:[C. Imp.]],$D1091,Imput[[PERIODO Imp.]:[PERIODO Imp.]],CO$9)</f>
        <v>0</v>
      </c>
      <c r="CP1091" s="693">
        <f>SUMIFS(Imput[[Importe Neto]:[Importe Neto]],Imput[[C. Imp.]:[C. Imp.]],$D1091,Imput[[PERIODO Imp.]:[PERIODO Imp.]],CP$9)</f>
        <v>0</v>
      </c>
      <c r="CQ1091" s="693">
        <f>SUMIFS(Imput[[Importe Neto]:[Importe Neto]],Imput[[C. Imp.]:[C. Imp.]],$D1091,Imput[[PERIODO Imp.]:[PERIODO Imp.]],CQ$9)</f>
        <v>0</v>
      </c>
      <c r="CR1091" s="693">
        <f>SUMIFS(Imput[[Importe Neto]:[Importe Neto]],Imput[[C. Imp.]:[C. Imp.]],$D1091,Imput[[PERIODO Imp.]:[PERIODO Imp.]],CR$9)</f>
        <v>0</v>
      </c>
      <c r="CS1091" s="693">
        <f>SUMIFS(Imput[[Importe Neto]:[Importe Neto]],Imput[[C. Imp.]:[C. Imp.]],$D1091,Imput[[PERIODO Imp.]:[PERIODO Imp.]],CS$9)</f>
        <v>0</v>
      </c>
      <c r="CT1091" s="693">
        <f>SUMIFS(Imput[[Importe Neto]:[Importe Neto]],Imput[[C. Imp.]:[C. Imp.]],$D1091,Imput[[PERIODO Imp.]:[PERIODO Imp.]],CT$9)</f>
        <v>0</v>
      </c>
      <c r="CU1091" s="693">
        <f>SUMIFS(Imput[[Importe Neto]:[Importe Neto]],Imput[[C. Imp.]:[C. Imp.]],$D1091,Imput[[PERIODO Imp.]:[PERIODO Imp.]],CU$9)</f>
        <v>0</v>
      </c>
      <c r="CV1091" s="693">
        <f>SUMIFS(Imput[[Importe Neto]:[Importe Neto]],Imput[[C. Imp.]:[C. Imp.]],$D1091,Imput[[PERIODO Imp.]:[PERIODO Imp.]],CV$9)</f>
        <v>0</v>
      </c>
      <c r="CW1091" s="693">
        <f>SUMIFS(Imput[[Importe Neto]:[Importe Neto]],Imput[[C. Imp.]:[C. Imp.]],$D1091,Imput[[PERIODO Imp.]:[PERIODO Imp.]],CW$9)</f>
        <v>0</v>
      </c>
      <c r="CX1091" s="693">
        <f>SUMIFS(Imput[[Importe Neto]:[Importe Neto]],Imput[[C. Imp.]:[C. Imp.]],$D1091,Imput[[PERIODO Imp.]:[PERIODO Imp.]],CX$9)</f>
        <v>0</v>
      </c>
      <c r="CY1091" s="693">
        <f>SUMIFS(Imput[[Importe Neto]:[Importe Neto]],Imput[[C. Imp.]:[C. Imp.]],$D1091,Imput[[PERIODO Imp.]:[PERIODO Imp.]],CY$9)</f>
        <v>0</v>
      </c>
      <c r="CZ1091" s="693">
        <f>SUMIFS(Imput[[Importe Neto]:[Importe Neto]],Imput[[C. Imp.]:[C. Imp.]],$D1091,Imput[[PERIODO Imp.]:[PERIODO Imp.]],CZ$9)</f>
        <v>0</v>
      </c>
      <c r="DA1091" s="693">
        <f>SUMIFS(Imput[[Importe Neto]:[Importe Neto]],Imput[[C. Imp.]:[C. Imp.]],$D1091,Imput[[PERIODO Imp.]:[PERIODO Imp.]],DA$9)</f>
        <v>0</v>
      </c>
      <c r="DB1091" s="693">
        <f>SUMIFS(Imput[[Importe Neto]:[Importe Neto]],Imput[[C. Imp.]:[C. Imp.]],$D1091,Imput[[PERIODO Imp.]:[PERIODO Imp.]],DB$9)</f>
        <v>0</v>
      </c>
      <c r="DC1091" s="693">
        <f>SUMIFS(Imput[[Importe Neto]:[Importe Neto]],Imput[[C. Imp.]:[C. Imp.]],$D1091,Imput[[PERIODO Imp.]:[PERIODO Imp.]],DC$9)</f>
        <v>0</v>
      </c>
      <c r="DD1091" s="693">
        <f>SUMIFS(Imput[[Importe Neto]:[Importe Neto]],Imput[[C. Imp.]:[C. Imp.]],$D1091,Imput[[PERIODO Imp.]:[PERIODO Imp.]],DD$9)</f>
        <v>0</v>
      </c>
      <c r="DE1091" s="693">
        <f>SUMIFS(Imput[[Importe Neto]:[Importe Neto]],Imput[[C. Imp.]:[C. Imp.]],$D1091,Imput[[PERIODO Imp.]:[PERIODO Imp.]],DE$9)</f>
        <v>0</v>
      </c>
      <c r="DF1091" s="693">
        <f>SUMIFS(Imput[[Importe Neto]:[Importe Neto]],Imput[[C. Imp.]:[C. Imp.]],$D1091,Imput[[PERIODO Imp.]:[PERIODO Imp.]],DF$9)</f>
        <v>0</v>
      </c>
      <c r="DG1091" s="693">
        <f>SUMIFS(Imput[[Importe Neto]:[Importe Neto]],Imput[[C. Imp.]:[C. Imp.]],$D1091,Imput[[PERIODO Imp.]:[PERIODO Imp.]],DG$9)</f>
        <v>0</v>
      </c>
      <c r="DH1091" s="694">
        <f>SUMIFS(Imput[[Importe Neto]:[Importe Neto]],Imput[[C. Imp.]:[C. Imp.]],$D1091,Imput[[PERIODO Imp.]:[PERIODO Imp.]],DH$9)</f>
        <v>0</v>
      </c>
    </row>
    <row r="1092" spans="1:112" s="649" customFormat="1" hidden="1" outlineLevel="1" x14ac:dyDescent="0.3">
      <c r="A1092" s="652" t="str">
        <f t="shared" si="361"/>
        <v/>
      </c>
      <c r="B1092" s="652"/>
      <c r="C1092" s="685"/>
      <c r="D1092" s="686"/>
      <c r="E1092" s="686"/>
      <c r="F1092" s="720"/>
      <c r="G1092" s="688"/>
      <c r="H1092" s="689"/>
      <c r="I1092" s="851" t="str">
        <f t="shared" si="362"/>
        <v/>
      </c>
      <c r="J1092" s="850" t="str">
        <f t="shared" si="363"/>
        <v/>
      </c>
      <c r="K1092" s="667"/>
      <c r="L1092" s="858"/>
      <c r="M1092" s="859"/>
      <c r="N1092" s="859"/>
      <c r="O1092" s="859"/>
      <c r="P1092" s="859"/>
      <c r="Q1092" s="859"/>
      <c r="R1092" s="859"/>
      <c r="S1092" s="859"/>
      <c r="T1092" s="859"/>
      <c r="U1092" s="859"/>
      <c r="V1092" s="859"/>
      <c r="W1092" s="859"/>
      <c r="X1092" s="859"/>
      <c r="Y1092" s="859"/>
      <c r="Z1092" s="860"/>
      <c r="AA1092" s="860"/>
      <c r="AB1092" s="860"/>
      <c r="AC1092" s="860"/>
      <c r="AD1092" s="860"/>
      <c r="AE1092" s="860"/>
      <c r="AF1092" s="860"/>
      <c r="AG1092" s="860"/>
      <c r="AH1092" s="860"/>
      <c r="AI1092" s="860"/>
      <c r="AJ1092" s="860"/>
      <c r="AK1092" s="860"/>
      <c r="AL1092" s="860"/>
      <c r="AM1092" s="860"/>
      <c r="AN1092" s="860"/>
      <c r="AO1092" s="860"/>
      <c r="AP1092" s="860"/>
      <c r="AQ1092" s="860"/>
      <c r="AR1092" s="860"/>
      <c r="AS1092" s="860"/>
      <c r="AT1092" s="860"/>
      <c r="AU1092" s="860"/>
      <c r="AV1092" s="860"/>
      <c r="AW1092" s="860"/>
      <c r="AX1092" s="860"/>
      <c r="AY1092" s="860"/>
      <c r="AZ1092" s="860"/>
      <c r="BA1092" s="860"/>
      <c r="BB1092" s="860"/>
      <c r="BC1092" s="860"/>
      <c r="BD1092" s="860"/>
      <c r="BE1092" s="860"/>
      <c r="BF1092" s="860"/>
      <c r="BG1092" s="860"/>
      <c r="BH1092" s="668"/>
      <c r="BI1092" s="667"/>
      <c r="BJ1092" s="690">
        <f t="shared" si="364"/>
        <v>0</v>
      </c>
      <c r="BK1092" s="691">
        <f t="shared" si="365"/>
        <v>0</v>
      </c>
      <c r="BL1092" s="654"/>
      <c r="BM1092" s="692">
        <f>SUMIFS(Imput[[Importe Neto]:[Importe Neto]],Imput[[C. Imp.]:[C. Imp.]],$D1092,Imput[[PERIODO Imp.]:[PERIODO Imp.]],BM$9)</f>
        <v>0</v>
      </c>
      <c r="BN1092" s="693">
        <f>SUMIFS(Imput[[Importe Neto]:[Importe Neto]],Imput[[C. Imp.]:[C. Imp.]],$D1092,Imput[[PERIODO Imp.]:[PERIODO Imp.]],BN$9)</f>
        <v>0</v>
      </c>
      <c r="BO1092" s="693">
        <f>SUMIFS(Imput[[Importe Neto]:[Importe Neto]],Imput[[C. Imp.]:[C. Imp.]],$D1092,Imput[[PERIODO Imp.]:[PERIODO Imp.]],BO$9)</f>
        <v>0</v>
      </c>
      <c r="BP1092" s="693">
        <f>SUMIFS(Imput[[Importe Neto]:[Importe Neto]],Imput[[C. Imp.]:[C. Imp.]],$D1092,Imput[[PERIODO Imp.]:[PERIODO Imp.]],BP$9)</f>
        <v>0</v>
      </c>
      <c r="BQ1092" s="693">
        <f>SUMIFS(Imput[[Importe Neto]:[Importe Neto]],Imput[[C. Imp.]:[C. Imp.]],$D1092,Imput[[PERIODO Imp.]:[PERIODO Imp.]],BQ$9)</f>
        <v>0</v>
      </c>
      <c r="BR1092" s="693">
        <f>SUMIFS(Imput[[Importe Neto]:[Importe Neto]],Imput[[C. Imp.]:[C. Imp.]],$D1092,Imput[[PERIODO Imp.]:[PERIODO Imp.]],BR$9)</f>
        <v>0</v>
      </c>
      <c r="BS1092" s="693">
        <f>SUMIFS(Imput[[Importe Neto]:[Importe Neto]],Imput[[C. Imp.]:[C. Imp.]],$D1092,Imput[[PERIODO Imp.]:[PERIODO Imp.]],BS$9)</f>
        <v>0</v>
      </c>
      <c r="BT1092" s="693">
        <f>SUMIFS(Imput[[Importe Neto]:[Importe Neto]],Imput[[C. Imp.]:[C. Imp.]],$D1092,Imput[[PERIODO Imp.]:[PERIODO Imp.]],BT$9)</f>
        <v>0</v>
      </c>
      <c r="BU1092" s="693">
        <f>SUMIFS(Imput[[Importe Neto]:[Importe Neto]],Imput[[C. Imp.]:[C. Imp.]],$D1092,Imput[[PERIODO Imp.]:[PERIODO Imp.]],BU$9)</f>
        <v>0</v>
      </c>
      <c r="BV1092" s="693">
        <f>SUMIFS(Imput[[Importe Neto]:[Importe Neto]],Imput[[C. Imp.]:[C. Imp.]],$D1092,Imput[[PERIODO Imp.]:[PERIODO Imp.]],BV$9)</f>
        <v>0</v>
      </c>
      <c r="BW1092" s="693">
        <f>SUMIFS(Imput[[Importe Neto]:[Importe Neto]],Imput[[C. Imp.]:[C. Imp.]],$D1092,Imput[[PERIODO Imp.]:[PERIODO Imp.]],BW$9)</f>
        <v>0</v>
      </c>
      <c r="BX1092" s="693">
        <f>SUMIFS(Imput[[Importe Neto]:[Importe Neto]],Imput[[C. Imp.]:[C. Imp.]],$D1092,Imput[[PERIODO Imp.]:[PERIODO Imp.]],BX$9)</f>
        <v>0</v>
      </c>
      <c r="BY1092" s="693">
        <f>SUMIFS(Imput[[Importe Neto]:[Importe Neto]],Imput[[C. Imp.]:[C. Imp.]],$D1092,Imput[[PERIODO Imp.]:[PERIODO Imp.]],BY$9)</f>
        <v>0</v>
      </c>
      <c r="BZ1092" s="693">
        <f>SUMIFS(Imput[[Importe Neto]:[Importe Neto]],Imput[[C. Imp.]:[C. Imp.]],$D1092,Imput[[PERIODO Imp.]:[PERIODO Imp.]],BZ$9)</f>
        <v>0</v>
      </c>
      <c r="CA1092" s="693">
        <f>SUMIFS(Imput[[Importe Neto]:[Importe Neto]],Imput[[C. Imp.]:[C. Imp.]],$D1092,Imput[[PERIODO Imp.]:[PERIODO Imp.]],CA$9)</f>
        <v>0</v>
      </c>
      <c r="CB1092" s="693">
        <f>SUMIFS(Imput[[Importe Neto]:[Importe Neto]],Imput[[C. Imp.]:[C. Imp.]],$D1092,Imput[[PERIODO Imp.]:[PERIODO Imp.]],CB$9)</f>
        <v>0</v>
      </c>
      <c r="CC1092" s="693">
        <f>SUMIFS(Imput[[Importe Neto]:[Importe Neto]],Imput[[C. Imp.]:[C. Imp.]],$D1092,Imput[[PERIODO Imp.]:[PERIODO Imp.]],CC$9)</f>
        <v>0</v>
      </c>
      <c r="CD1092" s="693">
        <f>SUMIFS(Imput[[Importe Neto]:[Importe Neto]],Imput[[C. Imp.]:[C. Imp.]],$D1092,Imput[[PERIODO Imp.]:[PERIODO Imp.]],CD$9)</f>
        <v>0</v>
      </c>
      <c r="CE1092" s="693">
        <f>SUMIFS(Imput[[Importe Neto]:[Importe Neto]],Imput[[C. Imp.]:[C. Imp.]],$D1092,Imput[[PERIODO Imp.]:[PERIODO Imp.]],CE$9)</f>
        <v>0</v>
      </c>
      <c r="CF1092" s="693">
        <f>SUMIFS(Imput[[Importe Neto]:[Importe Neto]],Imput[[C. Imp.]:[C. Imp.]],$D1092,Imput[[PERIODO Imp.]:[PERIODO Imp.]],CF$9)</f>
        <v>0</v>
      </c>
      <c r="CG1092" s="693">
        <f>SUMIFS(Imput[[Importe Neto]:[Importe Neto]],Imput[[C. Imp.]:[C. Imp.]],$D1092,Imput[[PERIODO Imp.]:[PERIODO Imp.]],CG$9)</f>
        <v>0</v>
      </c>
      <c r="CH1092" s="693">
        <f>SUMIFS(Imput[[Importe Neto]:[Importe Neto]],Imput[[C. Imp.]:[C. Imp.]],$D1092,Imput[[PERIODO Imp.]:[PERIODO Imp.]],CH$9)</f>
        <v>0</v>
      </c>
      <c r="CI1092" s="693">
        <f>SUMIFS(Imput[[Importe Neto]:[Importe Neto]],Imput[[C. Imp.]:[C. Imp.]],$D1092,Imput[[PERIODO Imp.]:[PERIODO Imp.]],CI$9)</f>
        <v>0</v>
      </c>
      <c r="CJ1092" s="693">
        <f>SUMIFS(Imput[[Importe Neto]:[Importe Neto]],Imput[[C. Imp.]:[C. Imp.]],$D1092,Imput[[PERIODO Imp.]:[PERIODO Imp.]],CJ$9)</f>
        <v>0</v>
      </c>
      <c r="CK1092" s="693">
        <f>SUMIFS(Imput[[Importe Neto]:[Importe Neto]],Imput[[C. Imp.]:[C. Imp.]],$D1092,Imput[[PERIODO Imp.]:[PERIODO Imp.]],CK$9)</f>
        <v>0</v>
      </c>
      <c r="CL1092" s="693">
        <f>SUMIFS(Imput[[Importe Neto]:[Importe Neto]],Imput[[C. Imp.]:[C. Imp.]],$D1092,Imput[[PERIODO Imp.]:[PERIODO Imp.]],CL$9)</f>
        <v>0</v>
      </c>
      <c r="CM1092" s="693">
        <f>SUMIFS(Imput[[Importe Neto]:[Importe Neto]],Imput[[C. Imp.]:[C. Imp.]],$D1092,Imput[[PERIODO Imp.]:[PERIODO Imp.]],CM$9)</f>
        <v>0</v>
      </c>
      <c r="CN1092" s="693">
        <f>SUMIFS(Imput[[Importe Neto]:[Importe Neto]],Imput[[C. Imp.]:[C. Imp.]],$D1092,Imput[[PERIODO Imp.]:[PERIODO Imp.]],CN$9)</f>
        <v>0</v>
      </c>
      <c r="CO1092" s="693">
        <f>SUMIFS(Imput[[Importe Neto]:[Importe Neto]],Imput[[C. Imp.]:[C. Imp.]],$D1092,Imput[[PERIODO Imp.]:[PERIODO Imp.]],CO$9)</f>
        <v>0</v>
      </c>
      <c r="CP1092" s="693">
        <f>SUMIFS(Imput[[Importe Neto]:[Importe Neto]],Imput[[C. Imp.]:[C. Imp.]],$D1092,Imput[[PERIODO Imp.]:[PERIODO Imp.]],CP$9)</f>
        <v>0</v>
      </c>
      <c r="CQ1092" s="693">
        <f>SUMIFS(Imput[[Importe Neto]:[Importe Neto]],Imput[[C. Imp.]:[C. Imp.]],$D1092,Imput[[PERIODO Imp.]:[PERIODO Imp.]],CQ$9)</f>
        <v>0</v>
      </c>
      <c r="CR1092" s="693">
        <f>SUMIFS(Imput[[Importe Neto]:[Importe Neto]],Imput[[C. Imp.]:[C. Imp.]],$D1092,Imput[[PERIODO Imp.]:[PERIODO Imp.]],CR$9)</f>
        <v>0</v>
      </c>
      <c r="CS1092" s="693">
        <f>SUMIFS(Imput[[Importe Neto]:[Importe Neto]],Imput[[C. Imp.]:[C. Imp.]],$D1092,Imput[[PERIODO Imp.]:[PERIODO Imp.]],CS$9)</f>
        <v>0</v>
      </c>
      <c r="CT1092" s="693">
        <f>SUMIFS(Imput[[Importe Neto]:[Importe Neto]],Imput[[C. Imp.]:[C. Imp.]],$D1092,Imput[[PERIODO Imp.]:[PERIODO Imp.]],CT$9)</f>
        <v>0</v>
      </c>
      <c r="CU1092" s="693">
        <f>SUMIFS(Imput[[Importe Neto]:[Importe Neto]],Imput[[C. Imp.]:[C. Imp.]],$D1092,Imput[[PERIODO Imp.]:[PERIODO Imp.]],CU$9)</f>
        <v>0</v>
      </c>
      <c r="CV1092" s="693">
        <f>SUMIFS(Imput[[Importe Neto]:[Importe Neto]],Imput[[C. Imp.]:[C. Imp.]],$D1092,Imput[[PERIODO Imp.]:[PERIODO Imp.]],CV$9)</f>
        <v>0</v>
      </c>
      <c r="CW1092" s="693">
        <f>SUMIFS(Imput[[Importe Neto]:[Importe Neto]],Imput[[C. Imp.]:[C. Imp.]],$D1092,Imput[[PERIODO Imp.]:[PERIODO Imp.]],CW$9)</f>
        <v>0</v>
      </c>
      <c r="CX1092" s="693">
        <f>SUMIFS(Imput[[Importe Neto]:[Importe Neto]],Imput[[C. Imp.]:[C. Imp.]],$D1092,Imput[[PERIODO Imp.]:[PERIODO Imp.]],CX$9)</f>
        <v>0</v>
      </c>
      <c r="CY1092" s="693">
        <f>SUMIFS(Imput[[Importe Neto]:[Importe Neto]],Imput[[C. Imp.]:[C. Imp.]],$D1092,Imput[[PERIODO Imp.]:[PERIODO Imp.]],CY$9)</f>
        <v>0</v>
      </c>
      <c r="CZ1092" s="693">
        <f>SUMIFS(Imput[[Importe Neto]:[Importe Neto]],Imput[[C. Imp.]:[C. Imp.]],$D1092,Imput[[PERIODO Imp.]:[PERIODO Imp.]],CZ$9)</f>
        <v>0</v>
      </c>
      <c r="DA1092" s="693">
        <f>SUMIFS(Imput[[Importe Neto]:[Importe Neto]],Imput[[C. Imp.]:[C. Imp.]],$D1092,Imput[[PERIODO Imp.]:[PERIODO Imp.]],DA$9)</f>
        <v>0</v>
      </c>
      <c r="DB1092" s="693">
        <f>SUMIFS(Imput[[Importe Neto]:[Importe Neto]],Imput[[C. Imp.]:[C. Imp.]],$D1092,Imput[[PERIODO Imp.]:[PERIODO Imp.]],DB$9)</f>
        <v>0</v>
      </c>
      <c r="DC1092" s="693">
        <f>SUMIFS(Imput[[Importe Neto]:[Importe Neto]],Imput[[C. Imp.]:[C. Imp.]],$D1092,Imput[[PERIODO Imp.]:[PERIODO Imp.]],DC$9)</f>
        <v>0</v>
      </c>
      <c r="DD1092" s="693">
        <f>SUMIFS(Imput[[Importe Neto]:[Importe Neto]],Imput[[C. Imp.]:[C. Imp.]],$D1092,Imput[[PERIODO Imp.]:[PERIODO Imp.]],DD$9)</f>
        <v>0</v>
      </c>
      <c r="DE1092" s="693">
        <f>SUMIFS(Imput[[Importe Neto]:[Importe Neto]],Imput[[C. Imp.]:[C. Imp.]],$D1092,Imput[[PERIODO Imp.]:[PERIODO Imp.]],DE$9)</f>
        <v>0</v>
      </c>
      <c r="DF1092" s="693">
        <f>SUMIFS(Imput[[Importe Neto]:[Importe Neto]],Imput[[C. Imp.]:[C. Imp.]],$D1092,Imput[[PERIODO Imp.]:[PERIODO Imp.]],DF$9)</f>
        <v>0</v>
      </c>
      <c r="DG1092" s="693">
        <f>SUMIFS(Imput[[Importe Neto]:[Importe Neto]],Imput[[C. Imp.]:[C. Imp.]],$D1092,Imput[[PERIODO Imp.]:[PERIODO Imp.]],DG$9)</f>
        <v>0</v>
      </c>
      <c r="DH1092" s="694">
        <f>SUMIFS(Imput[[Importe Neto]:[Importe Neto]],Imput[[C. Imp.]:[C. Imp.]],$D1092,Imput[[PERIODO Imp.]:[PERIODO Imp.]],DH$9)</f>
        <v>0</v>
      </c>
    </row>
    <row r="1093" spans="1:112" s="649" customFormat="1" hidden="1" outlineLevel="1" x14ac:dyDescent="0.3">
      <c r="A1093" s="652" t="str">
        <f t="shared" si="361"/>
        <v/>
      </c>
      <c r="B1093" s="652"/>
      <c r="C1093" s="685"/>
      <c r="D1093" s="686"/>
      <c r="E1093" s="686"/>
      <c r="F1093" s="720"/>
      <c r="G1093" s="688"/>
      <c r="H1093" s="689"/>
      <c r="I1093" s="851" t="str">
        <f t="shared" si="362"/>
        <v/>
      </c>
      <c r="J1093" s="850" t="str">
        <f t="shared" si="363"/>
        <v/>
      </c>
      <c r="K1093" s="667"/>
      <c r="L1093" s="858"/>
      <c r="M1093" s="859"/>
      <c r="N1093" s="859"/>
      <c r="O1093" s="859"/>
      <c r="P1093" s="859"/>
      <c r="Q1093" s="859"/>
      <c r="R1093" s="859"/>
      <c r="S1093" s="859"/>
      <c r="T1093" s="859"/>
      <c r="U1093" s="859"/>
      <c r="V1093" s="859"/>
      <c r="W1093" s="859"/>
      <c r="X1093" s="859"/>
      <c r="Y1093" s="859"/>
      <c r="Z1093" s="860"/>
      <c r="AA1093" s="860"/>
      <c r="AB1093" s="860"/>
      <c r="AC1093" s="860"/>
      <c r="AD1093" s="860"/>
      <c r="AE1093" s="860"/>
      <c r="AF1093" s="860"/>
      <c r="AG1093" s="860"/>
      <c r="AH1093" s="860"/>
      <c r="AI1093" s="860"/>
      <c r="AJ1093" s="860"/>
      <c r="AK1093" s="860"/>
      <c r="AL1093" s="860"/>
      <c r="AM1093" s="860"/>
      <c r="AN1093" s="860"/>
      <c r="AO1093" s="860"/>
      <c r="AP1093" s="860"/>
      <c r="AQ1093" s="860"/>
      <c r="AR1093" s="860"/>
      <c r="AS1093" s="860"/>
      <c r="AT1093" s="860"/>
      <c r="AU1093" s="860"/>
      <c r="AV1093" s="860"/>
      <c r="AW1093" s="860"/>
      <c r="AX1093" s="860"/>
      <c r="AY1093" s="860"/>
      <c r="AZ1093" s="860"/>
      <c r="BA1093" s="860"/>
      <c r="BB1093" s="860"/>
      <c r="BC1093" s="860"/>
      <c r="BD1093" s="860"/>
      <c r="BE1093" s="860"/>
      <c r="BF1093" s="860"/>
      <c r="BG1093" s="860"/>
      <c r="BH1093" s="668"/>
      <c r="BI1093" s="667"/>
      <c r="BJ1093" s="690">
        <f t="shared" si="364"/>
        <v>0</v>
      </c>
      <c r="BK1093" s="691">
        <f t="shared" si="365"/>
        <v>0</v>
      </c>
      <c r="BL1093" s="654"/>
      <c r="BM1093" s="692">
        <f>SUMIFS(Imput[[Importe Neto]:[Importe Neto]],Imput[[C. Imp.]:[C. Imp.]],$D1093,Imput[[PERIODO Imp.]:[PERIODO Imp.]],BM$9)</f>
        <v>0</v>
      </c>
      <c r="BN1093" s="693">
        <f>SUMIFS(Imput[[Importe Neto]:[Importe Neto]],Imput[[C. Imp.]:[C. Imp.]],$D1093,Imput[[PERIODO Imp.]:[PERIODO Imp.]],BN$9)</f>
        <v>0</v>
      </c>
      <c r="BO1093" s="693">
        <f>SUMIFS(Imput[[Importe Neto]:[Importe Neto]],Imput[[C. Imp.]:[C. Imp.]],$D1093,Imput[[PERIODO Imp.]:[PERIODO Imp.]],BO$9)</f>
        <v>0</v>
      </c>
      <c r="BP1093" s="693">
        <f>SUMIFS(Imput[[Importe Neto]:[Importe Neto]],Imput[[C. Imp.]:[C. Imp.]],$D1093,Imput[[PERIODO Imp.]:[PERIODO Imp.]],BP$9)</f>
        <v>0</v>
      </c>
      <c r="BQ1093" s="693">
        <f>SUMIFS(Imput[[Importe Neto]:[Importe Neto]],Imput[[C. Imp.]:[C. Imp.]],$D1093,Imput[[PERIODO Imp.]:[PERIODO Imp.]],BQ$9)</f>
        <v>0</v>
      </c>
      <c r="BR1093" s="693">
        <f>SUMIFS(Imput[[Importe Neto]:[Importe Neto]],Imput[[C. Imp.]:[C. Imp.]],$D1093,Imput[[PERIODO Imp.]:[PERIODO Imp.]],BR$9)</f>
        <v>0</v>
      </c>
      <c r="BS1093" s="693">
        <f>SUMIFS(Imput[[Importe Neto]:[Importe Neto]],Imput[[C. Imp.]:[C. Imp.]],$D1093,Imput[[PERIODO Imp.]:[PERIODO Imp.]],BS$9)</f>
        <v>0</v>
      </c>
      <c r="BT1093" s="693">
        <f>SUMIFS(Imput[[Importe Neto]:[Importe Neto]],Imput[[C. Imp.]:[C. Imp.]],$D1093,Imput[[PERIODO Imp.]:[PERIODO Imp.]],BT$9)</f>
        <v>0</v>
      </c>
      <c r="BU1093" s="693">
        <f>SUMIFS(Imput[[Importe Neto]:[Importe Neto]],Imput[[C. Imp.]:[C. Imp.]],$D1093,Imput[[PERIODO Imp.]:[PERIODO Imp.]],BU$9)</f>
        <v>0</v>
      </c>
      <c r="BV1093" s="693">
        <f>SUMIFS(Imput[[Importe Neto]:[Importe Neto]],Imput[[C. Imp.]:[C. Imp.]],$D1093,Imput[[PERIODO Imp.]:[PERIODO Imp.]],BV$9)</f>
        <v>0</v>
      </c>
      <c r="BW1093" s="693">
        <f>SUMIFS(Imput[[Importe Neto]:[Importe Neto]],Imput[[C. Imp.]:[C. Imp.]],$D1093,Imput[[PERIODO Imp.]:[PERIODO Imp.]],BW$9)</f>
        <v>0</v>
      </c>
      <c r="BX1093" s="693">
        <f>SUMIFS(Imput[[Importe Neto]:[Importe Neto]],Imput[[C. Imp.]:[C. Imp.]],$D1093,Imput[[PERIODO Imp.]:[PERIODO Imp.]],BX$9)</f>
        <v>0</v>
      </c>
      <c r="BY1093" s="693">
        <f>SUMIFS(Imput[[Importe Neto]:[Importe Neto]],Imput[[C. Imp.]:[C. Imp.]],$D1093,Imput[[PERIODO Imp.]:[PERIODO Imp.]],BY$9)</f>
        <v>0</v>
      </c>
      <c r="BZ1093" s="693">
        <f>SUMIFS(Imput[[Importe Neto]:[Importe Neto]],Imput[[C. Imp.]:[C. Imp.]],$D1093,Imput[[PERIODO Imp.]:[PERIODO Imp.]],BZ$9)</f>
        <v>0</v>
      </c>
      <c r="CA1093" s="693">
        <f>SUMIFS(Imput[[Importe Neto]:[Importe Neto]],Imput[[C. Imp.]:[C. Imp.]],$D1093,Imput[[PERIODO Imp.]:[PERIODO Imp.]],CA$9)</f>
        <v>0</v>
      </c>
      <c r="CB1093" s="693">
        <f>SUMIFS(Imput[[Importe Neto]:[Importe Neto]],Imput[[C. Imp.]:[C. Imp.]],$D1093,Imput[[PERIODO Imp.]:[PERIODO Imp.]],CB$9)</f>
        <v>0</v>
      </c>
      <c r="CC1093" s="693">
        <f>SUMIFS(Imput[[Importe Neto]:[Importe Neto]],Imput[[C. Imp.]:[C. Imp.]],$D1093,Imput[[PERIODO Imp.]:[PERIODO Imp.]],CC$9)</f>
        <v>0</v>
      </c>
      <c r="CD1093" s="693">
        <f>SUMIFS(Imput[[Importe Neto]:[Importe Neto]],Imput[[C. Imp.]:[C. Imp.]],$D1093,Imput[[PERIODO Imp.]:[PERIODO Imp.]],CD$9)</f>
        <v>0</v>
      </c>
      <c r="CE1093" s="693">
        <f>SUMIFS(Imput[[Importe Neto]:[Importe Neto]],Imput[[C. Imp.]:[C. Imp.]],$D1093,Imput[[PERIODO Imp.]:[PERIODO Imp.]],CE$9)</f>
        <v>0</v>
      </c>
      <c r="CF1093" s="693">
        <f>SUMIFS(Imput[[Importe Neto]:[Importe Neto]],Imput[[C. Imp.]:[C. Imp.]],$D1093,Imput[[PERIODO Imp.]:[PERIODO Imp.]],CF$9)</f>
        <v>0</v>
      </c>
      <c r="CG1093" s="693">
        <f>SUMIFS(Imput[[Importe Neto]:[Importe Neto]],Imput[[C. Imp.]:[C. Imp.]],$D1093,Imput[[PERIODO Imp.]:[PERIODO Imp.]],CG$9)</f>
        <v>0</v>
      </c>
      <c r="CH1093" s="693">
        <f>SUMIFS(Imput[[Importe Neto]:[Importe Neto]],Imput[[C. Imp.]:[C. Imp.]],$D1093,Imput[[PERIODO Imp.]:[PERIODO Imp.]],CH$9)</f>
        <v>0</v>
      </c>
      <c r="CI1093" s="693">
        <f>SUMIFS(Imput[[Importe Neto]:[Importe Neto]],Imput[[C. Imp.]:[C. Imp.]],$D1093,Imput[[PERIODO Imp.]:[PERIODO Imp.]],CI$9)</f>
        <v>0</v>
      </c>
      <c r="CJ1093" s="693">
        <f>SUMIFS(Imput[[Importe Neto]:[Importe Neto]],Imput[[C. Imp.]:[C. Imp.]],$D1093,Imput[[PERIODO Imp.]:[PERIODO Imp.]],CJ$9)</f>
        <v>0</v>
      </c>
      <c r="CK1093" s="693">
        <f>SUMIFS(Imput[[Importe Neto]:[Importe Neto]],Imput[[C. Imp.]:[C. Imp.]],$D1093,Imput[[PERIODO Imp.]:[PERIODO Imp.]],CK$9)</f>
        <v>0</v>
      </c>
      <c r="CL1093" s="693">
        <f>SUMIFS(Imput[[Importe Neto]:[Importe Neto]],Imput[[C. Imp.]:[C. Imp.]],$D1093,Imput[[PERIODO Imp.]:[PERIODO Imp.]],CL$9)</f>
        <v>0</v>
      </c>
      <c r="CM1093" s="693">
        <f>SUMIFS(Imput[[Importe Neto]:[Importe Neto]],Imput[[C. Imp.]:[C. Imp.]],$D1093,Imput[[PERIODO Imp.]:[PERIODO Imp.]],CM$9)</f>
        <v>0</v>
      </c>
      <c r="CN1093" s="693">
        <f>SUMIFS(Imput[[Importe Neto]:[Importe Neto]],Imput[[C. Imp.]:[C. Imp.]],$D1093,Imput[[PERIODO Imp.]:[PERIODO Imp.]],CN$9)</f>
        <v>0</v>
      </c>
      <c r="CO1093" s="693">
        <f>SUMIFS(Imput[[Importe Neto]:[Importe Neto]],Imput[[C. Imp.]:[C. Imp.]],$D1093,Imput[[PERIODO Imp.]:[PERIODO Imp.]],CO$9)</f>
        <v>0</v>
      </c>
      <c r="CP1093" s="693">
        <f>SUMIFS(Imput[[Importe Neto]:[Importe Neto]],Imput[[C. Imp.]:[C. Imp.]],$D1093,Imput[[PERIODO Imp.]:[PERIODO Imp.]],CP$9)</f>
        <v>0</v>
      </c>
      <c r="CQ1093" s="693">
        <f>SUMIFS(Imput[[Importe Neto]:[Importe Neto]],Imput[[C. Imp.]:[C. Imp.]],$D1093,Imput[[PERIODO Imp.]:[PERIODO Imp.]],CQ$9)</f>
        <v>0</v>
      </c>
      <c r="CR1093" s="693">
        <f>SUMIFS(Imput[[Importe Neto]:[Importe Neto]],Imput[[C. Imp.]:[C. Imp.]],$D1093,Imput[[PERIODO Imp.]:[PERIODO Imp.]],CR$9)</f>
        <v>0</v>
      </c>
      <c r="CS1093" s="693">
        <f>SUMIFS(Imput[[Importe Neto]:[Importe Neto]],Imput[[C. Imp.]:[C. Imp.]],$D1093,Imput[[PERIODO Imp.]:[PERIODO Imp.]],CS$9)</f>
        <v>0</v>
      </c>
      <c r="CT1093" s="693">
        <f>SUMIFS(Imput[[Importe Neto]:[Importe Neto]],Imput[[C. Imp.]:[C. Imp.]],$D1093,Imput[[PERIODO Imp.]:[PERIODO Imp.]],CT$9)</f>
        <v>0</v>
      </c>
      <c r="CU1093" s="693">
        <f>SUMIFS(Imput[[Importe Neto]:[Importe Neto]],Imput[[C. Imp.]:[C. Imp.]],$D1093,Imput[[PERIODO Imp.]:[PERIODO Imp.]],CU$9)</f>
        <v>0</v>
      </c>
      <c r="CV1093" s="693">
        <f>SUMIFS(Imput[[Importe Neto]:[Importe Neto]],Imput[[C. Imp.]:[C. Imp.]],$D1093,Imput[[PERIODO Imp.]:[PERIODO Imp.]],CV$9)</f>
        <v>0</v>
      </c>
      <c r="CW1093" s="693">
        <f>SUMIFS(Imput[[Importe Neto]:[Importe Neto]],Imput[[C. Imp.]:[C. Imp.]],$D1093,Imput[[PERIODO Imp.]:[PERIODO Imp.]],CW$9)</f>
        <v>0</v>
      </c>
      <c r="CX1093" s="693">
        <f>SUMIFS(Imput[[Importe Neto]:[Importe Neto]],Imput[[C. Imp.]:[C. Imp.]],$D1093,Imput[[PERIODO Imp.]:[PERIODO Imp.]],CX$9)</f>
        <v>0</v>
      </c>
      <c r="CY1093" s="693">
        <f>SUMIFS(Imput[[Importe Neto]:[Importe Neto]],Imput[[C. Imp.]:[C. Imp.]],$D1093,Imput[[PERIODO Imp.]:[PERIODO Imp.]],CY$9)</f>
        <v>0</v>
      </c>
      <c r="CZ1093" s="693">
        <f>SUMIFS(Imput[[Importe Neto]:[Importe Neto]],Imput[[C. Imp.]:[C. Imp.]],$D1093,Imput[[PERIODO Imp.]:[PERIODO Imp.]],CZ$9)</f>
        <v>0</v>
      </c>
      <c r="DA1093" s="693">
        <f>SUMIFS(Imput[[Importe Neto]:[Importe Neto]],Imput[[C. Imp.]:[C. Imp.]],$D1093,Imput[[PERIODO Imp.]:[PERIODO Imp.]],DA$9)</f>
        <v>0</v>
      </c>
      <c r="DB1093" s="693">
        <f>SUMIFS(Imput[[Importe Neto]:[Importe Neto]],Imput[[C. Imp.]:[C. Imp.]],$D1093,Imput[[PERIODO Imp.]:[PERIODO Imp.]],DB$9)</f>
        <v>0</v>
      </c>
      <c r="DC1093" s="693">
        <f>SUMIFS(Imput[[Importe Neto]:[Importe Neto]],Imput[[C. Imp.]:[C. Imp.]],$D1093,Imput[[PERIODO Imp.]:[PERIODO Imp.]],DC$9)</f>
        <v>0</v>
      </c>
      <c r="DD1093" s="693">
        <f>SUMIFS(Imput[[Importe Neto]:[Importe Neto]],Imput[[C. Imp.]:[C. Imp.]],$D1093,Imput[[PERIODO Imp.]:[PERIODO Imp.]],DD$9)</f>
        <v>0</v>
      </c>
      <c r="DE1093" s="693">
        <f>SUMIFS(Imput[[Importe Neto]:[Importe Neto]],Imput[[C. Imp.]:[C. Imp.]],$D1093,Imput[[PERIODO Imp.]:[PERIODO Imp.]],DE$9)</f>
        <v>0</v>
      </c>
      <c r="DF1093" s="693">
        <f>SUMIFS(Imput[[Importe Neto]:[Importe Neto]],Imput[[C. Imp.]:[C. Imp.]],$D1093,Imput[[PERIODO Imp.]:[PERIODO Imp.]],DF$9)</f>
        <v>0</v>
      </c>
      <c r="DG1093" s="693">
        <f>SUMIFS(Imput[[Importe Neto]:[Importe Neto]],Imput[[C. Imp.]:[C. Imp.]],$D1093,Imput[[PERIODO Imp.]:[PERIODO Imp.]],DG$9)</f>
        <v>0</v>
      </c>
      <c r="DH1093" s="694">
        <f>SUMIFS(Imput[[Importe Neto]:[Importe Neto]],Imput[[C. Imp.]:[C. Imp.]],$D1093,Imput[[PERIODO Imp.]:[PERIODO Imp.]],DH$9)</f>
        <v>0</v>
      </c>
    </row>
    <row r="1094" spans="1:112" s="649" customFormat="1" hidden="1" outlineLevel="1" x14ac:dyDescent="0.3">
      <c r="A1094" s="652" t="str">
        <f t="shared" si="361"/>
        <v/>
      </c>
      <c r="B1094" s="652"/>
      <c r="C1094" s="685"/>
      <c r="D1094" s="686"/>
      <c r="E1094" s="686"/>
      <c r="F1094" s="720"/>
      <c r="G1094" s="688"/>
      <c r="H1094" s="689"/>
      <c r="I1094" s="851" t="str">
        <f t="shared" si="362"/>
        <v/>
      </c>
      <c r="J1094" s="850" t="str">
        <f t="shared" si="363"/>
        <v/>
      </c>
      <c r="K1094" s="667"/>
      <c r="L1094" s="858"/>
      <c r="M1094" s="859"/>
      <c r="N1094" s="859"/>
      <c r="O1094" s="859"/>
      <c r="P1094" s="859"/>
      <c r="Q1094" s="859"/>
      <c r="R1094" s="859"/>
      <c r="S1094" s="859"/>
      <c r="T1094" s="859"/>
      <c r="U1094" s="859"/>
      <c r="V1094" s="859"/>
      <c r="W1094" s="859"/>
      <c r="X1094" s="859"/>
      <c r="Y1094" s="859"/>
      <c r="Z1094" s="860"/>
      <c r="AA1094" s="860"/>
      <c r="AB1094" s="860"/>
      <c r="AC1094" s="860"/>
      <c r="AD1094" s="860"/>
      <c r="AE1094" s="860"/>
      <c r="AF1094" s="860"/>
      <c r="AG1094" s="860"/>
      <c r="AH1094" s="860"/>
      <c r="AI1094" s="860"/>
      <c r="AJ1094" s="860"/>
      <c r="AK1094" s="860"/>
      <c r="AL1094" s="860"/>
      <c r="AM1094" s="860"/>
      <c r="AN1094" s="860"/>
      <c r="AO1094" s="860"/>
      <c r="AP1094" s="860"/>
      <c r="AQ1094" s="860"/>
      <c r="AR1094" s="860"/>
      <c r="AS1094" s="860"/>
      <c r="AT1094" s="860"/>
      <c r="AU1094" s="860"/>
      <c r="AV1094" s="860"/>
      <c r="AW1094" s="860"/>
      <c r="AX1094" s="860"/>
      <c r="AY1094" s="860"/>
      <c r="AZ1094" s="860"/>
      <c r="BA1094" s="860"/>
      <c r="BB1094" s="860"/>
      <c r="BC1094" s="860"/>
      <c r="BD1094" s="860"/>
      <c r="BE1094" s="860"/>
      <c r="BF1094" s="860"/>
      <c r="BG1094" s="860"/>
      <c r="BH1094" s="668"/>
      <c r="BI1094" s="667"/>
      <c r="BJ1094" s="690">
        <f t="shared" si="364"/>
        <v>0</v>
      </c>
      <c r="BK1094" s="691">
        <f t="shared" si="365"/>
        <v>0</v>
      </c>
      <c r="BL1094" s="654"/>
      <c r="BM1094" s="692">
        <f>SUMIFS(Imput[[Importe Neto]:[Importe Neto]],Imput[[C. Imp.]:[C. Imp.]],$D1094,Imput[[PERIODO Imp.]:[PERIODO Imp.]],BM$9)</f>
        <v>0</v>
      </c>
      <c r="BN1094" s="693">
        <f>SUMIFS(Imput[[Importe Neto]:[Importe Neto]],Imput[[C. Imp.]:[C. Imp.]],$D1094,Imput[[PERIODO Imp.]:[PERIODO Imp.]],BN$9)</f>
        <v>0</v>
      </c>
      <c r="BO1094" s="693">
        <f>SUMIFS(Imput[[Importe Neto]:[Importe Neto]],Imput[[C. Imp.]:[C. Imp.]],$D1094,Imput[[PERIODO Imp.]:[PERIODO Imp.]],BO$9)</f>
        <v>0</v>
      </c>
      <c r="BP1094" s="693">
        <f>SUMIFS(Imput[[Importe Neto]:[Importe Neto]],Imput[[C. Imp.]:[C. Imp.]],$D1094,Imput[[PERIODO Imp.]:[PERIODO Imp.]],BP$9)</f>
        <v>0</v>
      </c>
      <c r="BQ1094" s="693">
        <f>SUMIFS(Imput[[Importe Neto]:[Importe Neto]],Imput[[C. Imp.]:[C. Imp.]],$D1094,Imput[[PERIODO Imp.]:[PERIODO Imp.]],BQ$9)</f>
        <v>0</v>
      </c>
      <c r="BR1094" s="693">
        <f>SUMIFS(Imput[[Importe Neto]:[Importe Neto]],Imput[[C. Imp.]:[C. Imp.]],$D1094,Imput[[PERIODO Imp.]:[PERIODO Imp.]],BR$9)</f>
        <v>0</v>
      </c>
      <c r="BS1094" s="693">
        <f>SUMIFS(Imput[[Importe Neto]:[Importe Neto]],Imput[[C. Imp.]:[C. Imp.]],$D1094,Imput[[PERIODO Imp.]:[PERIODO Imp.]],BS$9)</f>
        <v>0</v>
      </c>
      <c r="BT1094" s="693">
        <f>SUMIFS(Imput[[Importe Neto]:[Importe Neto]],Imput[[C. Imp.]:[C. Imp.]],$D1094,Imput[[PERIODO Imp.]:[PERIODO Imp.]],BT$9)</f>
        <v>0</v>
      </c>
      <c r="BU1094" s="693">
        <f>SUMIFS(Imput[[Importe Neto]:[Importe Neto]],Imput[[C. Imp.]:[C. Imp.]],$D1094,Imput[[PERIODO Imp.]:[PERIODO Imp.]],BU$9)</f>
        <v>0</v>
      </c>
      <c r="BV1094" s="693">
        <f>SUMIFS(Imput[[Importe Neto]:[Importe Neto]],Imput[[C. Imp.]:[C. Imp.]],$D1094,Imput[[PERIODO Imp.]:[PERIODO Imp.]],BV$9)</f>
        <v>0</v>
      </c>
      <c r="BW1094" s="693">
        <f>SUMIFS(Imput[[Importe Neto]:[Importe Neto]],Imput[[C. Imp.]:[C. Imp.]],$D1094,Imput[[PERIODO Imp.]:[PERIODO Imp.]],BW$9)</f>
        <v>0</v>
      </c>
      <c r="BX1094" s="693">
        <f>SUMIFS(Imput[[Importe Neto]:[Importe Neto]],Imput[[C. Imp.]:[C. Imp.]],$D1094,Imput[[PERIODO Imp.]:[PERIODO Imp.]],BX$9)</f>
        <v>0</v>
      </c>
      <c r="BY1094" s="693">
        <f>SUMIFS(Imput[[Importe Neto]:[Importe Neto]],Imput[[C. Imp.]:[C. Imp.]],$D1094,Imput[[PERIODO Imp.]:[PERIODO Imp.]],BY$9)</f>
        <v>0</v>
      </c>
      <c r="BZ1094" s="693">
        <f>SUMIFS(Imput[[Importe Neto]:[Importe Neto]],Imput[[C. Imp.]:[C. Imp.]],$D1094,Imput[[PERIODO Imp.]:[PERIODO Imp.]],BZ$9)</f>
        <v>0</v>
      </c>
      <c r="CA1094" s="693">
        <f>SUMIFS(Imput[[Importe Neto]:[Importe Neto]],Imput[[C. Imp.]:[C. Imp.]],$D1094,Imput[[PERIODO Imp.]:[PERIODO Imp.]],CA$9)</f>
        <v>0</v>
      </c>
      <c r="CB1094" s="693">
        <f>SUMIFS(Imput[[Importe Neto]:[Importe Neto]],Imput[[C. Imp.]:[C. Imp.]],$D1094,Imput[[PERIODO Imp.]:[PERIODO Imp.]],CB$9)</f>
        <v>0</v>
      </c>
      <c r="CC1094" s="693">
        <f>SUMIFS(Imput[[Importe Neto]:[Importe Neto]],Imput[[C. Imp.]:[C. Imp.]],$D1094,Imput[[PERIODO Imp.]:[PERIODO Imp.]],CC$9)</f>
        <v>0</v>
      </c>
      <c r="CD1094" s="693">
        <f>SUMIFS(Imput[[Importe Neto]:[Importe Neto]],Imput[[C. Imp.]:[C. Imp.]],$D1094,Imput[[PERIODO Imp.]:[PERIODO Imp.]],CD$9)</f>
        <v>0</v>
      </c>
      <c r="CE1094" s="693">
        <f>SUMIFS(Imput[[Importe Neto]:[Importe Neto]],Imput[[C. Imp.]:[C. Imp.]],$D1094,Imput[[PERIODO Imp.]:[PERIODO Imp.]],CE$9)</f>
        <v>0</v>
      </c>
      <c r="CF1094" s="693">
        <f>SUMIFS(Imput[[Importe Neto]:[Importe Neto]],Imput[[C. Imp.]:[C. Imp.]],$D1094,Imput[[PERIODO Imp.]:[PERIODO Imp.]],CF$9)</f>
        <v>0</v>
      </c>
      <c r="CG1094" s="693">
        <f>SUMIFS(Imput[[Importe Neto]:[Importe Neto]],Imput[[C. Imp.]:[C. Imp.]],$D1094,Imput[[PERIODO Imp.]:[PERIODO Imp.]],CG$9)</f>
        <v>0</v>
      </c>
      <c r="CH1094" s="693">
        <f>SUMIFS(Imput[[Importe Neto]:[Importe Neto]],Imput[[C. Imp.]:[C. Imp.]],$D1094,Imput[[PERIODO Imp.]:[PERIODO Imp.]],CH$9)</f>
        <v>0</v>
      </c>
      <c r="CI1094" s="693">
        <f>SUMIFS(Imput[[Importe Neto]:[Importe Neto]],Imput[[C. Imp.]:[C. Imp.]],$D1094,Imput[[PERIODO Imp.]:[PERIODO Imp.]],CI$9)</f>
        <v>0</v>
      </c>
      <c r="CJ1094" s="693">
        <f>SUMIFS(Imput[[Importe Neto]:[Importe Neto]],Imput[[C. Imp.]:[C. Imp.]],$D1094,Imput[[PERIODO Imp.]:[PERIODO Imp.]],CJ$9)</f>
        <v>0</v>
      </c>
      <c r="CK1094" s="693">
        <f>SUMIFS(Imput[[Importe Neto]:[Importe Neto]],Imput[[C. Imp.]:[C. Imp.]],$D1094,Imput[[PERIODO Imp.]:[PERIODO Imp.]],CK$9)</f>
        <v>0</v>
      </c>
      <c r="CL1094" s="693">
        <f>SUMIFS(Imput[[Importe Neto]:[Importe Neto]],Imput[[C. Imp.]:[C. Imp.]],$D1094,Imput[[PERIODO Imp.]:[PERIODO Imp.]],CL$9)</f>
        <v>0</v>
      </c>
      <c r="CM1094" s="693">
        <f>SUMIFS(Imput[[Importe Neto]:[Importe Neto]],Imput[[C. Imp.]:[C. Imp.]],$D1094,Imput[[PERIODO Imp.]:[PERIODO Imp.]],CM$9)</f>
        <v>0</v>
      </c>
      <c r="CN1094" s="693">
        <f>SUMIFS(Imput[[Importe Neto]:[Importe Neto]],Imput[[C. Imp.]:[C. Imp.]],$D1094,Imput[[PERIODO Imp.]:[PERIODO Imp.]],CN$9)</f>
        <v>0</v>
      </c>
      <c r="CO1094" s="693">
        <f>SUMIFS(Imput[[Importe Neto]:[Importe Neto]],Imput[[C. Imp.]:[C. Imp.]],$D1094,Imput[[PERIODO Imp.]:[PERIODO Imp.]],CO$9)</f>
        <v>0</v>
      </c>
      <c r="CP1094" s="693">
        <f>SUMIFS(Imput[[Importe Neto]:[Importe Neto]],Imput[[C. Imp.]:[C. Imp.]],$D1094,Imput[[PERIODO Imp.]:[PERIODO Imp.]],CP$9)</f>
        <v>0</v>
      </c>
      <c r="CQ1094" s="693">
        <f>SUMIFS(Imput[[Importe Neto]:[Importe Neto]],Imput[[C. Imp.]:[C. Imp.]],$D1094,Imput[[PERIODO Imp.]:[PERIODO Imp.]],CQ$9)</f>
        <v>0</v>
      </c>
      <c r="CR1094" s="693">
        <f>SUMIFS(Imput[[Importe Neto]:[Importe Neto]],Imput[[C. Imp.]:[C. Imp.]],$D1094,Imput[[PERIODO Imp.]:[PERIODO Imp.]],CR$9)</f>
        <v>0</v>
      </c>
      <c r="CS1094" s="693">
        <f>SUMIFS(Imput[[Importe Neto]:[Importe Neto]],Imput[[C. Imp.]:[C. Imp.]],$D1094,Imput[[PERIODO Imp.]:[PERIODO Imp.]],CS$9)</f>
        <v>0</v>
      </c>
      <c r="CT1094" s="693">
        <f>SUMIFS(Imput[[Importe Neto]:[Importe Neto]],Imput[[C. Imp.]:[C. Imp.]],$D1094,Imput[[PERIODO Imp.]:[PERIODO Imp.]],CT$9)</f>
        <v>0</v>
      </c>
      <c r="CU1094" s="693">
        <f>SUMIFS(Imput[[Importe Neto]:[Importe Neto]],Imput[[C. Imp.]:[C. Imp.]],$D1094,Imput[[PERIODO Imp.]:[PERIODO Imp.]],CU$9)</f>
        <v>0</v>
      </c>
      <c r="CV1094" s="693">
        <f>SUMIFS(Imput[[Importe Neto]:[Importe Neto]],Imput[[C. Imp.]:[C. Imp.]],$D1094,Imput[[PERIODO Imp.]:[PERIODO Imp.]],CV$9)</f>
        <v>0</v>
      </c>
      <c r="CW1094" s="693">
        <f>SUMIFS(Imput[[Importe Neto]:[Importe Neto]],Imput[[C. Imp.]:[C. Imp.]],$D1094,Imput[[PERIODO Imp.]:[PERIODO Imp.]],CW$9)</f>
        <v>0</v>
      </c>
      <c r="CX1094" s="693">
        <f>SUMIFS(Imput[[Importe Neto]:[Importe Neto]],Imput[[C. Imp.]:[C. Imp.]],$D1094,Imput[[PERIODO Imp.]:[PERIODO Imp.]],CX$9)</f>
        <v>0</v>
      </c>
      <c r="CY1094" s="693">
        <f>SUMIFS(Imput[[Importe Neto]:[Importe Neto]],Imput[[C. Imp.]:[C. Imp.]],$D1094,Imput[[PERIODO Imp.]:[PERIODO Imp.]],CY$9)</f>
        <v>0</v>
      </c>
      <c r="CZ1094" s="693">
        <f>SUMIFS(Imput[[Importe Neto]:[Importe Neto]],Imput[[C. Imp.]:[C. Imp.]],$D1094,Imput[[PERIODO Imp.]:[PERIODO Imp.]],CZ$9)</f>
        <v>0</v>
      </c>
      <c r="DA1094" s="693">
        <f>SUMIFS(Imput[[Importe Neto]:[Importe Neto]],Imput[[C. Imp.]:[C. Imp.]],$D1094,Imput[[PERIODO Imp.]:[PERIODO Imp.]],DA$9)</f>
        <v>0</v>
      </c>
      <c r="DB1094" s="693">
        <f>SUMIFS(Imput[[Importe Neto]:[Importe Neto]],Imput[[C. Imp.]:[C. Imp.]],$D1094,Imput[[PERIODO Imp.]:[PERIODO Imp.]],DB$9)</f>
        <v>0</v>
      </c>
      <c r="DC1094" s="693">
        <f>SUMIFS(Imput[[Importe Neto]:[Importe Neto]],Imput[[C. Imp.]:[C. Imp.]],$D1094,Imput[[PERIODO Imp.]:[PERIODO Imp.]],DC$9)</f>
        <v>0</v>
      </c>
      <c r="DD1094" s="693">
        <f>SUMIFS(Imput[[Importe Neto]:[Importe Neto]],Imput[[C. Imp.]:[C. Imp.]],$D1094,Imput[[PERIODO Imp.]:[PERIODO Imp.]],DD$9)</f>
        <v>0</v>
      </c>
      <c r="DE1094" s="693">
        <f>SUMIFS(Imput[[Importe Neto]:[Importe Neto]],Imput[[C. Imp.]:[C. Imp.]],$D1094,Imput[[PERIODO Imp.]:[PERIODO Imp.]],DE$9)</f>
        <v>0</v>
      </c>
      <c r="DF1094" s="693">
        <f>SUMIFS(Imput[[Importe Neto]:[Importe Neto]],Imput[[C. Imp.]:[C. Imp.]],$D1094,Imput[[PERIODO Imp.]:[PERIODO Imp.]],DF$9)</f>
        <v>0</v>
      </c>
      <c r="DG1094" s="693">
        <f>SUMIFS(Imput[[Importe Neto]:[Importe Neto]],Imput[[C. Imp.]:[C. Imp.]],$D1094,Imput[[PERIODO Imp.]:[PERIODO Imp.]],DG$9)</f>
        <v>0</v>
      </c>
      <c r="DH1094" s="694">
        <f>SUMIFS(Imput[[Importe Neto]:[Importe Neto]],Imput[[C. Imp.]:[C. Imp.]],$D1094,Imput[[PERIODO Imp.]:[PERIODO Imp.]],DH$9)</f>
        <v>0</v>
      </c>
    </row>
    <row r="1095" spans="1:112" s="649" customFormat="1" hidden="1" outlineLevel="1" x14ac:dyDescent="0.3">
      <c r="A1095" s="652" t="str">
        <f t="shared" si="361"/>
        <v/>
      </c>
      <c r="B1095" s="652"/>
      <c r="C1095" s="685"/>
      <c r="D1095" s="686"/>
      <c r="E1095" s="686"/>
      <c r="F1095" s="720"/>
      <c r="G1095" s="688"/>
      <c r="H1095" s="689"/>
      <c r="I1095" s="851" t="str">
        <f t="shared" si="362"/>
        <v/>
      </c>
      <c r="J1095" s="850" t="str">
        <f t="shared" si="363"/>
        <v/>
      </c>
      <c r="K1095" s="667"/>
      <c r="L1095" s="858"/>
      <c r="M1095" s="859"/>
      <c r="N1095" s="859"/>
      <c r="O1095" s="859"/>
      <c r="P1095" s="859"/>
      <c r="Q1095" s="859"/>
      <c r="R1095" s="859"/>
      <c r="S1095" s="859"/>
      <c r="T1095" s="859"/>
      <c r="U1095" s="859"/>
      <c r="V1095" s="859"/>
      <c r="W1095" s="859"/>
      <c r="X1095" s="859"/>
      <c r="Y1095" s="859"/>
      <c r="Z1095" s="860"/>
      <c r="AA1095" s="860"/>
      <c r="AB1095" s="860"/>
      <c r="AC1095" s="860"/>
      <c r="AD1095" s="860"/>
      <c r="AE1095" s="860"/>
      <c r="AF1095" s="860"/>
      <c r="AG1095" s="860"/>
      <c r="AH1095" s="860"/>
      <c r="AI1095" s="860"/>
      <c r="AJ1095" s="860"/>
      <c r="AK1095" s="860"/>
      <c r="AL1095" s="860"/>
      <c r="AM1095" s="860"/>
      <c r="AN1095" s="860"/>
      <c r="AO1095" s="860"/>
      <c r="AP1095" s="860"/>
      <c r="AQ1095" s="860"/>
      <c r="AR1095" s="860"/>
      <c r="AS1095" s="860"/>
      <c r="AT1095" s="860"/>
      <c r="AU1095" s="860"/>
      <c r="AV1095" s="860"/>
      <c r="AW1095" s="860"/>
      <c r="AX1095" s="860"/>
      <c r="AY1095" s="860"/>
      <c r="AZ1095" s="860"/>
      <c r="BA1095" s="860"/>
      <c r="BB1095" s="860"/>
      <c r="BC1095" s="860"/>
      <c r="BD1095" s="860"/>
      <c r="BE1095" s="860"/>
      <c r="BF1095" s="860"/>
      <c r="BG1095" s="860"/>
      <c r="BH1095" s="668"/>
      <c r="BI1095" s="667"/>
      <c r="BJ1095" s="690">
        <f t="shared" si="364"/>
        <v>0</v>
      </c>
      <c r="BK1095" s="691">
        <f t="shared" si="365"/>
        <v>0</v>
      </c>
      <c r="BL1095" s="654"/>
      <c r="BM1095" s="692">
        <f>SUMIFS(Imput[[Importe Neto]:[Importe Neto]],Imput[[C. Imp.]:[C. Imp.]],$D1095,Imput[[PERIODO Imp.]:[PERIODO Imp.]],BM$9)</f>
        <v>0</v>
      </c>
      <c r="BN1095" s="693">
        <f>SUMIFS(Imput[[Importe Neto]:[Importe Neto]],Imput[[C. Imp.]:[C. Imp.]],$D1095,Imput[[PERIODO Imp.]:[PERIODO Imp.]],BN$9)</f>
        <v>0</v>
      </c>
      <c r="BO1095" s="693">
        <f>SUMIFS(Imput[[Importe Neto]:[Importe Neto]],Imput[[C. Imp.]:[C. Imp.]],$D1095,Imput[[PERIODO Imp.]:[PERIODO Imp.]],BO$9)</f>
        <v>0</v>
      </c>
      <c r="BP1095" s="693">
        <f>SUMIFS(Imput[[Importe Neto]:[Importe Neto]],Imput[[C. Imp.]:[C. Imp.]],$D1095,Imput[[PERIODO Imp.]:[PERIODO Imp.]],BP$9)</f>
        <v>0</v>
      </c>
      <c r="BQ1095" s="693">
        <f>SUMIFS(Imput[[Importe Neto]:[Importe Neto]],Imput[[C. Imp.]:[C. Imp.]],$D1095,Imput[[PERIODO Imp.]:[PERIODO Imp.]],BQ$9)</f>
        <v>0</v>
      </c>
      <c r="BR1095" s="693">
        <f>SUMIFS(Imput[[Importe Neto]:[Importe Neto]],Imput[[C. Imp.]:[C. Imp.]],$D1095,Imput[[PERIODO Imp.]:[PERIODO Imp.]],BR$9)</f>
        <v>0</v>
      </c>
      <c r="BS1095" s="693">
        <f>SUMIFS(Imput[[Importe Neto]:[Importe Neto]],Imput[[C. Imp.]:[C. Imp.]],$D1095,Imput[[PERIODO Imp.]:[PERIODO Imp.]],BS$9)</f>
        <v>0</v>
      </c>
      <c r="BT1095" s="693">
        <f>SUMIFS(Imput[[Importe Neto]:[Importe Neto]],Imput[[C. Imp.]:[C. Imp.]],$D1095,Imput[[PERIODO Imp.]:[PERIODO Imp.]],BT$9)</f>
        <v>0</v>
      </c>
      <c r="BU1095" s="693">
        <f>SUMIFS(Imput[[Importe Neto]:[Importe Neto]],Imput[[C. Imp.]:[C. Imp.]],$D1095,Imput[[PERIODO Imp.]:[PERIODO Imp.]],BU$9)</f>
        <v>0</v>
      </c>
      <c r="BV1095" s="693">
        <f>SUMIFS(Imput[[Importe Neto]:[Importe Neto]],Imput[[C. Imp.]:[C. Imp.]],$D1095,Imput[[PERIODO Imp.]:[PERIODO Imp.]],BV$9)</f>
        <v>0</v>
      </c>
      <c r="BW1095" s="693">
        <f>SUMIFS(Imput[[Importe Neto]:[Importe Neto]],Imput[[C. Imp.]:[C. Imp.]],$D1095,Imput[[PERIODO Imp.]:[PERIODO Imp.]],BW$9)</f>
        <v>0</v>
      </c>
      <c r="BX1095" s="693">
        <f>SUMIFS(Imput[[Importe Neto]:[Importe Neto]],Imput[[C. Imp.]:[C. Imp.]],$D1095,Imput[[PERIODO Imp.]:[PERIODO Imp.]],BX$9)</f>
        <v>0</v>
      </c>
      <c r="BY1095" s="693">
        <f>SUMIFS(Imput[[Importe Neto]:[Importe Neto]],Imput[[C. Imp.]:[C. Imp.]],$D1095,Imput[[PERIODO Imp.]:[PERIODO Imp.]],BY$9)</f>
        <v>0</v>
      </c>
      <c r="BZ1095" s="693">
        <f>SUMIFS(Imput[[Importe Neto]:[Importe Neto]],Imput[[C. Imp.]:[C. Imp.]],$D1095,Imput[[PERIODO Imp.]:[PERIODO Imp.]],BZ$9)</f>
        <v>0</v>
      </c>
      <c r="CA1095" s="693">
        <f>SUMIFS(Imput[[Importe Neto]:[Importe Neto]],Imput[[C. Imp.]:[C. Imp.]],$D1095,Imput[[PERIODO Imp.]:[PERIODO Imp.]],CA$9)</f>
        <v>0</v>
      </c>
      <c r="CB1095" s="693">
        <f>SUMIFS(Imput[[Importe Neto]:[Importe Neto]],Imput[[C. Imp.]:[C. Imp.]],$D1095,Imput[[PERIODO Imp.]:[PERIODO Imp.]],CB$9)</f>
        <v>0</v>
      </c>
      <c r="CC1095" s="693">
        <f>SUMIFS(Imput[[Importe Neto]:[Importe Neto]],Imput[[C. Imp.]:[C. Imp.]],$D1095,Imput[[PERIODO Imp.]:[PERIODO Imp.]],CC$9)</f>
        <v>0</v>
      </c>
      <c r="CD1095" s="693">
        <f>SUMIFS(Imput[[Importe Neto]:[Importe Neto]],Imput[[C. Imp.]:[C. Imp.]],$D1095,Imput[[PERIODO Imp.]:[PERIODO Imp.]],CD$9)</f>
        <v>0</v>
      </c>
      <c r="CE1095" s="693">
        <f>SUMIFS(Imput[[Importe Neto]:[Importe Neto]],Imput[[C. Imp.]:[C. Imp.]],$D1095,Imput[[PERIODO Imp.]:[PERIODO Imp.]],CE$9)</f>
        <v>0</v>
      </c>
      <c r="CF1095" s="693">
        <f>SUMIFS(Imput[[Importe Neto]:[Importe Neto]],Imput[[C. Imp.]:[C. Imp.]],$D1095,Imput[[PERIODO Imp.]:[PERIODO Imp.]],CF$9)</f>
        <v>0</v>
      </c>
      <c r="CG1095" s="693">
        <f>SUMIFS(Imput[[Importe Neto]:[Importe Neto]],Imput[[C. Imp.]:[C. Imp.]],$D1095,Imput[[PERIODO Imp.]:[PERIODO Imp.]],CG$9)</f>
        <v>0</v>
      </c>
      <c r="CH1095" s="693">
        <f>SUMIFS(Imput[[Importe Neto]:[Importe Neto]],Imput[[C. Imp.]:[C. Imp.]],$D1095,Imput[[PERIODO Imp.]:[PERIODO Imp.]],CH$9)</f>
        <v>0</v>
      </c>
      <c r="CI1095" s="693">
        <f>SUMIFS(Imput[[Importe Neto]:[Importe Neto]],Imput[[C. Imp.]:[C. Imp.]],$D1095,Imput[[PERIODO Imp.]:[PERIODO Imp.]],CI$9)</f>
        <v>0</v>
      </c>
      <c r="CJ1095" s="693">
        <f>SUMIFS(Imput[[Importe Neto]:[Importe Neto]],Imput[[C. Imp.]:[C. Imp.]],$D1095,Imput[[PERIODO Imp.]:[PERIODO Imp.]],CJ$9)</f>
        <v>0</v>
      </c>
      <c r="CK1095" s="693">
        <f>SUMIFS(Imput[[Importe Neto]:[Importe Neto]],Imput[[C. Imp.]:[C. Imp.]],$D1095,Imput[[PERIODO Imp.]:[PERIODO Imp.]],CK$9)</f>
        <v>0</v>
      </c>
      <c r="CL1095" s="693">
        <f>SUMIFS(Imput[[Importe Neto]:[Importe Neto]],Imput[[C. Imp.]:[C. Imp.]],$D1095,Imput[[PERIODO Imp.]:[PERIODO Imp.]],CL$9)</f>
        <v>0</v>
      </c>
      <c r="CM1095" s="693">
        <f>SUMIFS(Imput[[Importe Neto]:[Importe Neto]],Imput[[C. Imp.]:[C. Imp.]],$D1095,Imput[[PERIODO Imp.]:[PERIODO Imp.]],CM$9)</f>
        <v>0</v>
      </c>
      <c r="CN1095" s="693">
        <f>SUMIFS(Imput[[Importe Neto]:[Importe Neto]],Imput[[C. Imp.]:[C. Imp.]],$D1095,Imput[[PERIODO Imp.]:[PERIODO Imp.]],CN$9)</f>
        <v>0</v>
      </c>
      <c r="CO1095" s="693">
        <f>SUMIFS(Imput[[Importe Neto]:[Importe Neto]],Imput[[C. Imp.]:[C. Imp.]],$D1095,Imput[[PERIODO Imp.]:[PERIODO Imp.]],CO$9)</f>
        <v>0</v>
      </c>
      <c r="CP1095" s="693">
        <f>SUMIFS(Imput[[Importe Neto]:[Importe Neto]],Imput[[C. Imp.]:[C. Imp.]],$D1095,Imput[[PERIODO Imp.]:[PERIODO Imp.]],CP$9)</f>
        <v>0</v>
      </c>
      <c r="CQ1095" s="693">
        <f>SUMIFS(Imput[[Importe Neto]:[Importe Neto]],Imput[[C. Imp.]:[C. Imp.]],$D1095,Imput[[PERIODO Imp.]:[PERIODO Imp.]],CQ$9)</f>
        <v>0</v>
      </c>
      <c r="CR1095" s="693">
        <f>SUMIFS(Imput[[Importe Neto]:[Importe Neto]],Imput[[C. Imp.]:[C. Imp.]],$D1095,Imput[[PERIODO Imp.]:[PERIODO Imp.]],CR$9)</f>
        <v>0</v>
      </c>
      <c r="CS1095" s="693">
        <f>SUMIFS(Imput[[Importe Neto]:[Importe Neto]],Imput[[C. Imp.]:[C. Imp.]],$D1095,Imput[[PERIODO Imp.]:[PERIODO Imp.]],CS$9)</f>
        <v>0</v>
      </c>
      <c r="CT1095" s="693">
        <f>SUMIFS(Imput[[Importe Neto]:[Importe Neto]],Imput[[C. Imp.]:[C. Imp.]],$D1095,Imput[[PERIODO Imp.]:[PERIODO Imp.]],CT$9)</f>
        <v>0</v>
      </c>
      <c r="CU1095" s="693">
        <f>SUMIFS(Imput[[Importe Neto]:[Importe Neto]],Imput[[C. Imp.]:[C. Imp.]],$D1095,Imput[[PERIODO Imp.]:[PERIODO Imp.]],CU$9)</f>
        <v>0</v>
      </c>
      <c r="CV1095" s="693">
        <f>SUMIFS(Imput[[Importe Neto]:[Importe Neto]],Imput[[C. Imp.]:[C. Imp.]],$D1095,Imput[[PERIODO Imp.]:[PERIODO Imp.]],CV$9)</f>
        <v>0</v>
      </c>
      <c r="CW1095" s="693">
        <f>SUMIFS(Imput[[Importe Neto]:[Importe Neto]],Imput[[C. Imp.]:[C. Imp.]],$D1095,Imput[[PERIODO Imp.]:[PERIODO Imp.]],CW$9)</f>
        <v>0</v>
      </c>
      <c r="CX1095" s="693">
        <f>SUMIFS(Imput[[Importe Neto]:[Importe Neto]],Imput[[C. Imp.]:[C. Imp.]],$D1095,Imput[[PERIODO Imp.]:[PERIODO Imp.]],CX$9)</f>
        <v>0</v>
      </c>
      <c r="CY1095" s="693">
        <f>SUMIFS(Imput[[Importe Neto]:[Importe Neto]],Imput[[C. Imp.]:[C. Imp.]],$D1095,Imput[[PERIODO Imp.]:[PERIODO Imp.]],CY$9)</f>
        <v>0</v>
      </c>
      <c r="CZ1095" s="693">
        <f>SUMIFS(Imput[[Importe Neto]:[Importe Neto]],Imput[[C. Imp.]:[C. Imp.]],$D1095,Imput[[PERIODO Imp.]:[PERIODO Imp.]],CZ$9)</f>
        <v>0</v>
      </c>
      <c r="DA1095" s="693">
        <f>SUMIFS(Imput[[Importe Neto]:[Importe Neto]],Imput[[C. Imp.]:[C. Imp.]],$D1095,Imput[[PERIODO Imp.]:[PERIODO Imp.]],DA$9)</f>
        <v>0</v>
      </c>
      <c r="DB1095" s="693">
        <f>SUMIFS(Imput[[Importe Neto]:[Importe Neto]],Imput[[C. Imp.]:[C. Imp.]],$D1095,Imput[[PERIODO Imp.]:[PERIODO Imp.]],DB$9)</f>
        <v>0</v>
      </c>
      <c r="DC1095" s="693">
        <f>SUMIFS(Imput[[Importe Neto]:[Importe Neto]],Imput[[C. Imp.]:[C. Imp.]],$D1095,Imput[[PERIODO Imp.]:[PERIODO Imp.]],DC$9)</f>
        <v>0</v>
      </c>
      <c r="DD1095" s="693">
        <f>SUMIFS(Imput[[Importe Neto]:[Importe Neto]],Imput[[C. Imp.]:[C. Imp.]],$D1095,Imput[[PERIODO Imp.]:[PERIODO Imp.]],DD$9)</f>
        <v>0</v>
      </c>
      <c r="DE1095" s="693">
        <f>SUMIFS(Imput[[Importe Neto]:[Importe Neto]],Imput[[C. Imp.]:[C. Imp.]],$D1095,Imput[[PERIODO Imp.]:[PERIODO Imp.]],DE$9)</f>
        <v>0</v>
      </c>
      <c r="DF1095" s="693">
        <f>SUMIFS(Imput[[Importe Neto]:[Importe Neto]],Imput[[C. Imp.]:[C. Imp.]],$D1095,Imput[[PERIODO Imp.]:[PERIODO Imp.]],DF$9)</f>
        <v>0</v>
      </c>
      <c r="DG1095" s="693">
        <f>SUMIFS(Imput[[Importe Neto]:[Importe Neto]],Imput[[C. Imp.]:[C. Imp.]],$D1095,Imput[[PERIODO Imp.]:[PERIODO Imp.]],DG$9)</f>
        <v>0</v>
      </c>
      <c r="DH1095" s="694">
        <f>SUMIFS(Imput[[Importe Neto]:[Importe Neto]],Imput[[C. Imp.]:[C. Imp.]],$D1095,Imput[[PERIODO Imp.]:[PERIODO Imp.]],DH$9)</f>
        <v>0</v>
      </c>
    </row>
    <row r="1096" spans="1:112" s="649" customFormat="1" hidden="1" outlineLevel="1" x14ac:dyDescent="0.3">
      <c r="A1096" s="652" t="str">
        <f t="shared" si="361"/>
        <v/>
      </c>
      <c r="B1096" s="652"/>
      <c r="C1096" s="685"/>
      <c r="D1096" s="686"/>
      <c r="E1096" s="686"/>
      <c r="F1096" s="720"/>
      <c r="G1096" s="688"/>
      <c r="H1096" s="689"/>
      <c r="I1096" s="851" t="str">
        <f t="shared" si="362"/>
        <v/>
      </c>
      <c r="J1096" s="850" t="str">
        <f t="shared" si="363"/>
        <v/>
      </c>
      <c r="K1096" s="667"/>
      <c r="L1096" s="858"/>
      <c r="M1096" s="859"/>
      <c r="N1096" s="859"/>
      <c r="O1096" s="859"/>
      <c r="P1096" s="859"/>
      <c r="Q1096" s="859"/>
      <c r="R1096" s="859"/>
      <c r="S1096" s="859"/>
      <c r="T1096" s="859"/>
      <c r="U1096" s="859"/>
      <c r="V1096" s="859"/>
      <c r="W1096" s="859"/>
      <c r="X1096" s="859"/>
      <c r="Y1096" s="859"/>
      <c r="Z1096" s="860"/>
      <c r="AA1096" s="860"/>
      <c r="AB1096" s="860"/>
      <c r="AC1096" s="860"/>
      <c r="AD1096" s="860"/>
      <c r="AE1096" s="860"/>
      <c r="AF1096" s="860"/>
      <c r="AG1096" s="860"/>
      <c r="AH1096" s="860"/>
      <c r="AI1096" s="860"/>
      <c r="AJ1096" s="860"/>
      <c r="AK1096" s="860"/>
      <c r="AL1096" s="860"/>
      <c r="AM1096" s="860"/>
      <c r="AN1096" s="860"/>
      <c r="AO1096" s="860"/>
      <c r="AP1096" s="860"/>
      <c r="AQ1096" s="860"/>
      <c r="AR1096" s="860"/>
      <c r="AS1096" s="860"/>
      <c r="AT1096" s="860"/>
      <c r="AU1096" s="860"/>
      <c r="AV1096" s="860"/>
      <c r="AW1096" s="860"/>
      <c r="AX1096" s="860"/>
      <c r="AY1096" s="860"/>
      <c r="AZ1096" s="860"/>
      <c r="BA1096" s="860"/>
      <c r="BB1096" s="860"/>
      <c r="BC1096" s="860"/>
      <c r="BD1096" s="860"/>
      <c r="BE1096" s="860"/>
      <c r="BF1096" s="860"/>
      <c r="BG1096" s="860"/>
      <c r="BH1096" s="668"/>
      <c r="BI1096" s="667"/>
      <c r="BJ1096" s="690">
        <f t="shared" si="364"/>
        <v>0</v>
      </c>
      <c r="BK1096" s="691">
        <f t="shared" si="365"/>
        <v>0</v>
      </c>
      <c r="BL1096" s="654"/>
      <c r="BM1096" s="692">
        <f>SUMIFS(Imput[[Importe Neto]:[Importe Neto]],Imput[[C. Imp.]:[C. Imp.]],$D1096,Imput[[PERIODO Imp.]:[PERIODO Imp.]],BM$9)</f>
        <v>0</v>
      </c>
      <c r="BN1096" s="693">
        <f>SUMIFS(Imput[[Importe Neto]:[Importe Neto]],Imput[[C. Imp.]:[C. Imp.]],$D1096,Imput[[PERIODO Imp.]:[PERIODO Imp.]],BN$9)</f>
        <v>0</v>
      </c>
      <c r="BO1096" s="693">
        <f>SUMIFS(Imput[[Importe Neto]:[Importe Neto]],Imput[[C. Imp.]:[C. Imp.]],$D1096,Imput[[PERIODO Imp.]:[PERIODO Imp.]],BO$9)</f>
        <v>0</v>
      </c>
      <c r="BP1096" s="693">
        <f>SUMIFS(Imput[[Importe Neto]:[Importe Neto]],Imput[[C. Imp.]:[C. Imp.]],$D1096,Imput[[PERIODO Imp.]:[PERIODO Imp.]],BP$9)</f>
        <v>0</v>
      </c>
      <c r="BQ1096" s="693">
        <f>SUMIFS(Imput[[Importe Neto]:[Importe Neto]],Imput[[C. Imp.]:[C. Imp.]],$D1096,Imput[[PERIODO Imp.]:[PERIODO Imp.]],BQ$9)</f>
        <v>0</v>
      </c>
      <c r="BR1096" s="693">
        <f>SUMIFS(Imput[[Importe Neto]:[Importe Neto]],Imput[[C. Imp.]:[C. Imp.]],$D1096,Imput[[PERIODO Imp.]:[PERIODO Imp.]],BR$9)</f>
        <v>0</v>
      </c>
      <c r="BS1096" s="693">
        <f>SUMIFS(Imput[[Importe Neto]:[Importe Neto]],Imput[[C. Imp.]:[C. Imp.]],$D1096,Imput[[PERIODO Imp.]:[PERIODO Imp.]],BS$9)</f>
        <v>0</v>
      </c>
      <c r="BT1096" s="693">
        <f>SUMIFS(Imput[[Importe Neto]:[Importe Neto]],Imput[[C. Imp.]:[C. Imp.]],$D1096,Imput[[PERIODO Imp.]:[PERIODO Imp.]],BT$9)</f>
        <v>0</v>
      </c>
      <c r="BU1096" s="693">
        <f>SUMIFS(Imput[[Importe Neto]:[Importe Neto]],Imput[[C. Imp.]:[C. Imp.]],$D1096,Imput[[PERIODO Imp.]:[PERIODO Imp.]],BU$9)</f>
        <v>0</v>
      </c>
      <c r="BV1096" s="693">
        <f>SUMIFS(Imput[[Importe Neto]:[Importe Neto]],Imput[[C. Imp.]:[C. Imp.]],$D1096,Imput[[PERIODO Imp.]:[PERIODO Imp.]],BV$9)</f>
        <v>0</v>
      </c>
      <c r="BW1096" s="693">
        <f>SUMIFS(Imput[[Importe Neto]:[Importe Neto]],Imput[[C. Imp.]:[C. Imp.]],$D1096,Imput[[PERIODO Imp.]:[PERIODO Imp.]],BW$9)</f>
        <v>0</v>
      </c>
      <c r="BX1096" s="693">
        <f>SUMIFS(Imput[[Importe Neto]:[Importe Neto]],Imput[[C. Imp.]:[C. Imp.]],$D1096,Imput[[PERIODO Imp.]:[PERIODO Imp.]],BX$9)</f>
        <v>0</v>
      </c>
      <c r="BY1096" s="693">
        <f>SUMIFS(Imput[[Importe Neto]:[Importe Neto]],Imput[[C. Imp.]:[C. Imp.]],$D1096,Imput[[PERIODO Imp.]:[PERIODO Imp.]],BY$9)</f>
        <v>0</v>
      </c>
      <c r="BZ1096" s="693">
        <f>SUMIFS(Imput[[Importe Neto]:[Importe Neto]],Imput[[C. Imp.]:[C. Imp.]],$D1096,Imput[[PERIODO Imp.]:[PERIODO Imp.]],BZ$9)</f>
        <v>0</v>
      </c>
      <c r="CA1096" s="693">
        <f>SUMIFS(Imput[[Importe Neto]:[Importe Neto]],Imput[[C. Imp.]:[C. Imp.]],$D1096,Imput[[PERIODO Imp.]:[PERIODO Imp.]],CA$9)</f>
        <v>0</v>
      </c>
      <c r="CB1096" s="693">
        <f>SUMIFS(Imput[[Importe Neto]:[Importe Neto]],Imput[[C. Imp.]:[C. Imp.]],$D1096,Imput[[PERIODO Imp.]:[PERIODO Imp.]],CB$9)</f>
        <v>0</v>
      </c>
      <c r="CC1096" s="693">
        <f>SUMIFS(Imput[[Importe Neto]:[Importe Neto]],Imput[[C. Imp.]:[C. Imp.]],$D1096,Imput[[PERIODO Imp.]:[PERIODO Imp.]],CC$9)</f>
        <v>0</v>
      </c>
      <c r="CD1096" s="693">
        <f>SUMIFS(Imput[[Importe Neto]:[Importe Neto]],Imput[[C. Imp.]:[C. Imp.]],$D1096,Imput[[PERIODO Imp.]:[PERIODO Imp.]],CD$9)</f>
        <v>0</v>
      </c>
      <c r="CE1096" s="693">
        <f>SUMIFS(Imput[[Importe Neto]:[Importe Neto]],Imput[[C. Imp.]:[C. Imp.]],$D1096,Imput[[PERIODO Imp.]:[PERIODO Imp.]],CE$9)</f>
        <v>0</v>
      </c>
      <c r="CF1096" s="693">
        <f>SUMIFS(Imput[[Importe Neto]:[Importe Neto]],Imput[[C. Imp.]:[C. Imp.]],$D1096,Imput[[PERIODO Imp.]:[PERIODO Imp.]],CF$9)</f>
        <v>0</v>
      </c>
      <c r="CG1096" s="693">
        <f>SUMIFS(Imput[[Importe Neto]:[Importe Neto]],Imput[[C. Imp.]:[C. Imp.]],$D1096,Imput[[PERIODO Imp.]:[PERIODO Imp.]],CG$9)</f>
        <v>0</v>
      </c>
      <c r="CH1096" s="693">
        <f>SUMIFS(Imput[[Importe Neto]:[Importe Neto]],Imput[[C. Imp.]:[C. Imp.]],$D1096,Imput[[PERIODO Imp.]:[PERIODO Imp.]],CH$9)</f>
        <v>0</v>
      </c>
      <c r="CI1096" s="693">
        <f>SUMIFS(Imput[[Importe Neto]:[Importe Neto]],Imput[[C. Imp.]:[C. Imp.]],$D1096,Imput[[PERIODO Imp.]:[PERIODO Imp.]],CI$9)</f>
        <v>0</v>
      </c>
      <c r="CJ1096" s="693">
        <f>SUMIFS(Imput[[Importe Neto]:[Importe Neto]],Imput[[C. Imp.]:[C. Imp.]],$D1096,Imput[[PERIODO Imp.]:[PERIODO Imp.]],CJ$9)</f>
        <v>0</v>
      </c>
      <c r="CK1096" s="693">
        <f>SUMIFS(Imput[[Importe Neto]:[Importe Neto]],Imput[[C. Imp.]:[C. Imp.]],$D1096,Imput[[PERIODO Imp.]:[PERIODO Imp.]],CK$9)</f>
        <v>0</v>
      </c>
      <c r="CL1096" s="693">
        <f>SUMIFS(Imput[[Importe Neto]:[Importe Neto]],Imput[[C. Imp.]:[C. Imp.]],$D1096,Imput[[PERIODO Imp.]:[PERIODO Imp.]],CL$9)</f>
        <v>0</v>
      </c>
      <c r="CM1096" s="693">
        <f>SUMIFS(Imput[[Importe Neto]:[Importe Neto]],Imput[[C. Imp.]:[C. Imp.]],$D1096,Imput[[PERIODO Imp.]:[PERIODO Imp.]],CM$9)</f>
        <v>0</v>
      </c>
      <c r="CN1096" s="693">
        <f>SUMIFS(Imput[[Importe Neto]:[Importe Neto]],Imput[[C. Imp.]:[C. Imp.]],$D1096,Imput[[PERIODO Imp.]:[PERIODO Imp.]],CN$9)</f>
        <v>0</v>
      </c>
      <c r="CO1096" s="693">
        <f>SUMIFS(Imput[[Importe Neto]:[Importe Neto]],Imput[[C. Imp.]:[C. Imp.]],$D1096,Imput[[PERIODO Imp.]:[PERIODO Imp.]],CO$9)</f>
        <v>0</v>
      </c>
      <c r="CP1096" s="693">
        <f>SUMIFS(Imput[[Importe Neto]:[Importe Neto]],Imput[[C. Imp.]:[C. Imp.]],$D1096,Imput[[PERIODO Imp.]:[PERIODO Imp.]],CP$9)</f>
        <v>0</v>
      </c>
      <c r="CQ1096" s="693">
        <f>SUMIFS(Imput[[Importe Neto]:[Importe Neto]],Imput[[C. Imp.]:[C. Imp.]],$D1096,Imput[[PERIODO Imp.]:[PERIODO Imp.]],CQ$9)</f>
        <v>0</v>
      </c>
      <c r="CR1096" s="693">
        <f>SUMIFS(Imput[[Importe Neto]:[Importe Neto]],Imput[[C. Imp.]:[C. Imp.]],$D1096,Imput[[PERIODO Imp.]:[PERIODO Imp.]],CR$9)</f>
        <v>0</v>
      </c>
      <c r="CS1096" s="693">
        <f>SUMIFS(Imput[[Importe Neto]:[Importe Neto]],Imput[[C. Imp.]:[C. Imp.]],$D1096,Imput[[PERIODO Imp.]:[PERIODO Imp.]],CS$9)</f>
        <v>0</v>
      </c>
      <c r="CT1096" s="693">
        <f>SUMIFS(Imput[[Importe Neto]:[Importe Neto]],Imput[[C. Imp.]:[C. Imp.]],$D1096,Imput[[PERIODO Imp.]:[PERIODO Imp.]],CT$9)</f>
        <v>0</v>
      </c>
      <c r="CU1096" s="693">
        <f>SUMIFS(Imput[[Importe Neto]:[Importe Neto]],Imput[[C. Imp.]:[C. Imp.]],$D1096,Imput[[PERIODO Imp.]:[PERIODO Imp.]],CU$9)</f>
        <v>0</v>
      </c>
      <c r="CV1096" s="693">
        <f>SUMIFS(Imput[[Importe Neto]:[Importe Neto]],Imput[[C. Imp.]:[C. Imp.]],$D1096,Imput[[PERIODO Imp.]:[PERIODO Imp.]],CV$9)</f>
        <v>0</v>
      </c>
      <c r="CW1096" s="693">
        <f>SUMIFS(Imput[[Importe Neto]:[Importe Neto]],Imput[[C. Imp.]:[C. Imp.]],$D1096,Imput[[PERIODO Imp.]:[PERIODO Imp.]],CW$9)</f>
        <v>0</v>
      </c>
      <c r="CX1096" s="693">
        <f>SUMIFS(Imput[[Importe Neto]:[Importe Neto]],Imput[[C. Imp.]:[C. Imp.]],$D1096,Imput[[PERIODO Imp.]:[PERIODO Imp.]],CX$9)</f>
        <v>0</v>
      </c>
      <c r="CY1096" s="693">
        <f>SUMIFS(Imput[[Importe Neto]:[Importe Neto]],Imput[[C. Imp.]:[C. Imp.]],$D1096,Imput[[PERIODO Imp.]:[PERIODO Imp.]],CY$9)</f>
        <v>0</v>
      </c>
      <c r="CZ1096" s="693">
        <f>SUMIFS(Imput[[Importe Neto]:[Importe Neto]],Imput[[C. Imp.]:[C. Imp.]],$D1096,Imput[[PERIODO Imp.]:[PERIODO Imp.]],CZ$9)</f>
        <v>0</v>
      </c>
      <c r="DA1096" s="693">
        <f>SUMIFS(Imput[[Importe Neto]:[Importe Neto]],Imput[[C. Imp.]:[C. Imp.]],$D1096,Imput[[PERIODO Imp.]:[PERIODO Imp.]],DA$9)</f>
        <v>0</v>
      </c>
      <c r="DB1096" s="693">
        <f>SUMIFS(Imput[[Importe Neto]:[Importe Neto]],Imput[[C. Imp.]:[C. Imp.]],$D1096,Imput[[PERIODO Imp.]:[PERIODO Imp.]],DB$9)</f>
        <v>0</v>
      </c>
      <c r="DC1096" s="693">
        <f>SUMIFS(Imput[[Importe Neto]:[Importe Neto]],Imput[[C. Imp.]:[C. Imp.]],$D1096,Imput[[PERIODO Imp.]:[PERIODO Imp.]],DC$9)</f>
        <v>0</v>
      </c>
      <c r="DD1096" s="693">
        <f>SUMIFS(Imput[[Importe Neto]:[Importe Neto]],Imput[[C. Imp.]:[C. Imp.]],$D1096,Imput[[PERIODO Imp.]:[PERIODO Imp.]],DD$9)</f>
        <v>0</v>
      </c>
      <c r="DE1096" s="693">
        <f>SUMIFS(Imput[[Importe Neto]:[Importe Neto]],Imput[[C. Imp.]:[C. Imp.]],$D1096,Imput[[PERIODO Imp.]:[PERIODO Imp.]],DE$9)</f>
        <v>0</v>
      </c>
      <c r="DF1096" s="693">
        <f>SUMIFS(Imput[[Importe Neto]:[Importe Neto]],Imput[[C. Imp.]:[C. Imp.]],$D1096,Imput[[PERIODO Imp.]:[PERIODO Imp.]],DF$9)</f>
        <v>0</v>
      </c>
      <c r="DG1096" s="693">
        <f>SUMIFS(Imput[[Importe Neto]:[Importe Neto]],Imput[[C. Imp.]:[C. Imp.]],$D1096,Imput[[PERIODO Imp.]:[PERIODO Imp.]],DG$9)</f>
        <v>0</v>
      </c>
      <c r="DH1096" s="694">
        <f>SUMIFS(Imput[[Importe Neto]:[Importe Neto]],Imput[[C. Imp.]:[C. Imp.]],$D1096,Imput[[PERIODO Imp.]:[PERIODO Imp.]],DH$9)</f>
        <v>0</v>
      </c>
    </row>
    <row r="1097" spans="1:112" s="649" customFormat="1" hidden="1" outlineLevel="1" x14ac:dyDescent="0.3">
      <c r="A1097" s="652" t="str">
        <f t="shared" si="361"/>
        <v/>
      </c>
      <c r="B1097" s="652"/>
      <c r="C1097" s="685"/>
      <c r="D1097" s="686"/>
      <c r="E1097" s="686"/>
      <c r="F1097" s="720"/>
      <c r="G1097" s="688"/>
      <c r="H1097" s="689"/>
      <c r="I1097" s="851" t="str">
        <f t="shared" si="362"/>
        <v/>
      </c>
      <c r="J1097" s="850" t="str">
        <f t="shared" si="363"/>
        <v/>
      </c>
      <c r="K1097" s="667"/>
      <c r="L1097" s="858"/>
      <c r="M1097" s="859"/>
      <c r="N1097" s="859"/>
      <c r="O1097" s="859"/>
      <c r="P1097" s="859"/>
      <c r="Q1097" s="859"/>
      <c r="R1097" s="859"/>
      <c r="S1097" s="859"/>
      <c r="T1097" s="859"/>
      <c r="U1097" s="859"/>
      <c r="V1097" s="859"/>
      <c r="W1097" s="859"/>
      <c r="X1097" s="859"/>
      <c r="Y1097" s="859"/>
      <c r="Z1097" s="860"/>
      <c r="AA1097" s="860"/>
      <c r="AB1097" s="860"/>
      <c r="AC1097" s="860"/>
      <c r="AD1097" s="860"/>
      <c r="AE1097" s="860"/>
      <c r="AF1097" s="860"/>
      <c r="AG1097" s="860"/>
      <c r="AH1097" s="860"/>
      <c r="AI1097" s="860"/>
      <c r="AJ1097" s="860"/>
      <c r="AK1097" s="860"/>
      <c r="AL1097" s="860"/>
      <c r="AM1097" s="860"/>
      <c r="AN1097" s="860"/>
      <c r="AO1097" s="860"/>
      <c r="AP1097" s="860"/>
      <c r="AQ1097" s="860"/>
      <c r="AR1097" s="860"/>
      <c r="AS1097" s="860"/>
      <c r="AT1097" s="860"/>
      <c r="AU1097" s="860"/>
      <c r="AV1097" s="860"/>
      <c r="AW1097" s="860"/>
      <c r="AX1097" s="860"/>
      <c r="AY1097" s="860"/>
      <c r="AZ1097" s="860"/>
      <c r="BA1097" s="860"/>
      <c r="BB1097" s="860"/>
      <c r="BC1097" s="860"/>
      <c r="BD1097" s="860"/>
      <c r="BE1097" s="860"/>
      <c r="BF1097" s="860"/>
      <c r="BG1097" s="860"/>
      <c r="BH1097" s="668"/>
      <c r="BI1097" s="667"/>
      <c r="BJ1097" s="690">
        <f t="shared" si="364"/>
        <v>0</v>
      </c>
      <c r="BK1097" s="691">
        <f t="shared" si="365"/>
        <v>0</v>
      </c>
      <c r="BL1097" s="654"/>
      <c r="BM1097" s="692">
        <f>SUMIFS(Imput[[Importe Neto]:[Importe Neto]],Imput[[C. Imp.]:[C. Imp.]],$D1097,Imput[[PERIODO Imp.]:[PERIODO Imp.]],BM$9)</f>
        <v>0</v>
      </c>
      <c r="BN1097" s="693">
        <f>SUMIFS(Imput[[Importe Neto]:[Importe Neto]],Imput[[C. Imp.]:[C. Imp.]],$D1097,Imput[[PERIODO Imp.]:[PERIODO Imp.]],BN$9)</f>
        <v>0</v>
      </c>
      <c r="BO1097" s="693">
        <f>SUMIFS(Imput[[Importe Neto]:[Importe Neto]],Imput[[C. Imp.]:[C. Imp.]],$D1097,Imput[[PERIODO Imp.]:[PERIODO Imp.]],BO$9)</f>
        <v>0</v>
      </c>
      <c r="BP1097" s="693">
        <f>SUMIFS(Imput[[Importe Neto]:[Importe Neto]],Imput[[C. Imp.]:[C. Imp.]],$D1097,Imput[[PERIODO Imp.]:[PERIODO Imp.]],BP$9)</f>
        <v>0</v>
      </c>
      <c r="BQ1097" s="693">
        <f>SUMIFS(Imput[[Importe Neto]:[Importe Neto]],Imput[[C. Imp.]:[C. Imp.]],$D1097,Imput[[PERIODO Imp.]:[PERIODO Imp.]],BQ$9)</f>
        <v>0</v>
      </c>
      <c r="BR1097" s="693">
        <f>SUMIFS(Imput[[Importe Neto]:[Importe Neto]],Imput[[C. Imp.]:[C. Imp.]],$D1097,Imput[[PERIODO Imp.]:[PERIODO Imp.]],BR$9)</f>
        <v>0</v>
      </c>
      <c r="BS1097" s="693">
        <f>SUMIFS(Imput[[Importe Neto]:[Importe Neto]],Imput[[C. Imp.]:[C. Imp.]],$D1097,Imput[[PERIODO Imp.]:[PERIODO Imp.]],BS$9)</f>
        <v>0</v>
      </c>
      <c r="BT1097" s="693">
        <f>SUMIFS(Imput[[Importe Neto]:[Importe Neto]],Imput[[C. Imp.]:[C. Imp.]],$D1097,Imput[[PERIODO Imp.]:[PERIODO Imp.]],BT$9)</f>
        <v>0</v>
      </c>
      <c r="BU1097" s="693">
        <f>SUMIFS(Imput[[Importe Neto]:[Importe Neto]],Imput[[C. Imp.]:[C. Imp.]],$D1097,Imput[[PERIODO Imp.]:[PERIODO Imp.]],BU$9)</f>
        <v>0</v>
      </c>
      <c r="BV1097" s="693">
        <f>SUMIFS(Imput[[Importe Neto]:[Importe Neto]],Imput[[C. Imp.]:[C. Imp.]],$D1097,Imput[[PERIODO Imp.]:[PERIODO Imp.]],BV$9)</f>
        <v>0</v>
      </c>
      <c r="BW1097" s="693">
        <f>SUMIFS(Imput[[Importe Neto]:[Importe Neto]],Imput[[C. Imp.]:[C. Imp.]],$D1097,Imput[[PERIODO Imp.]:[PERIODO Imp.]],BW$9)</f>
        <v>0</v>
      </c>
      <c r="BX1097" s="693">
        <f>SUMIFS(Imput[[Importe Neto]:[Importe Neto]],Imput[[C. Imp.]:[C. Imp.]],$D1097,Imput[[PERIODO Imp.]:[PERIODO Imp.]],BX$9)</f>
        <v>0</v>
      </c>
      <c r="BY1097" s="693">
        <f>SUMIFS(Imput[[Importe Neto]:[Importe Neto]],Imput[[C. Imp.]:[C. Imp.]],$D1097,Imput[[PERIODO Imp.]:[PERIODO Imp.]],BY$9)</f>
        <v>0</v>
      </c>
      <c r="BZ1097" s="693">
        <f>SUMIFS(Imput[[Importe Neto]:[Importe Neto]],Imput[[C. Imp.]:[C. Imp.]],$D1097,Imput[[PERIODO Imp.]:[PERIODO Imp.]],BZ$9)</f>
        <v>0</v>
      </c>
      <c r="CA1097" s="693">
        <f>SUMIFS(Imput[[Importe Neto]:[Importe Neto]],Imput[[C. Imp.]:[C. Imp.]],$D1097,Imput[[PERIODO Imp.]:[PERIODO Imp.]],CA$9)</f>
        <v>0</v>
      </c>
      <c r="CB1097" s="693">
        <f>SUMIFS(Imput[[Importe Neto]:[Importe Neto]],Imput[[C. Imp.]:[C. Imp.]],$D1097,Imput[[PERIODO Imp.]:[PERIODO Imp.]],CB$9)</f>
        <v>0</v>
      </c>
      <c r="CC1097" s="693">
        <f>SUMIFS(Imput[[Importe Neto]:[Importe Neto]],Imput[[C. Imp.]:[C. Imp.]],$D1097,Imput[[PERIODO Imp.]:[PERIODO Imp.]],CC$9)</f>
        <v>0</v>
      </c>
      <c r="CD1097" s="693">
        <f>SUMIFS(Imput[[Importe Neto]:[Importe Neto]],Imput[[C. Imp.]:[C. Imp.]],$D1097,Imput[[PERIODO Imp.]:[PERIODO Imp.]],CD$9)</f>
        <v>0</v>
      </c>
      <c r="CE1097" s="693">
        <f>SUMIFS(Imput[[Importe Neto]:[Importe Neto]],Imput[[C. Imp.]:[C. Imp.]],$D1097,Imput[[PERIODO Imp.]:[PERIODO Imp.]],CE$9)</f>
        <v>0</v>
      </c>
      <c r="CF1097" s="693">
        <f>SUMIFS(Imput[[Importe Neto]:[Importe Neto]],Imput[[C. Imp.]:[C. Imp.]],$D1097,Imput[[PERIODO Imp.]:[PERIODO Imp.]],CF$9)</f>
        <v>0</v>
      </c>
      <c r="CG1097" s="693">
        <f>SUMIFS(Imput[[Importe Neto]:[Importe Neto]],Imput[[C. Imp.]:[C. Imp.]],$D1097,Imput[[PERIODO Imp.]:[PERIODO Imp.]],CG$9)</f>
        <v>0</v>
      </c>
      <c r="CH1097" s="693">
        <f>SUMIFS(Imput[[Importe Neto]:[Importe Neto]],Imput[[C. Imp.]:[C. Imp.]],$D1097,Imput[[PERIODO Imp.]:[PERIODO Imp.]],CH$9)</f>
        <v>0</v>
      </c>
      <c r="CI1097" s="693">
        <f>SUMIFS(Imput[[Importe Neto]:[Importe Neto]],Imput[[C. Imp.]:[C. Imp.]],$D1097,Imput[[PERIODO Imp.]:[PERIODO Imp.]],CI$9)</f>
        <v>0</v>
      </c>
      <c r="CJ1097" s="693">
        <f>SUMIFS(Imput[[Importe Neto]:[Importe Neto]],Imput[[C. Imp.]:[C. Imp.]],$D1097,Imput[[PERIODO Imp.]:[PERIODO Imp.]],CJ$9)</f>
        <v>0</v>
      </c>
      <c r="CK1097" s="693">
        <f>SUMIFS(Imput[[Importe Neto]:[Importe Neto]],Imput[[C. Imp.]:[C. Imp.]],$D1097,Imput[[PERIODO Imp.]:[PERIODO Imp.]],CK$9)</f>
        <v>0</v>
      </c>
      <c r="CL1097" s="693">
        <f>SUMIFS(Imput[[Importe Neto]:[Importe Neto]],Imput[[C. Imp.]:[C. Imp.]],$D1097,Imput[[PERIODO Imp.]:[PERIODO Imp.]],CL$9)</f>
        <v>0</v>
      </c>
      <c r="CM1097" s="693">
        <f>SUMIFS(Imput[[Importe Neto]:[Importe Neto]],Imput[[C. Imp.]:[C. Imp.]],$D1097,Imput[[PERIODO Imp.]:[PERIODO Imp.]],CM$9)</f>
        <v>0</v>
      </c>
      <c r="CN1097" s="693">
        <f>SUMIFS(Imput[[Importe Neto]:[Importe Neto]],Imput[[C. Imp.]:[C. Imp.]],$D1097,Imput[[PERIODO Imp.]:[PERIODO Imp.]],CN$9)</f>
        <v>0</v>
      </c>
      <c r="CO1097" s="693">
        <f>SUMIFS(Imput[[Importe Neto]:[Importe Neto]],Imput[[C. Imp.]:[C. Imp.]],$D1097,Imput[[PERIODO Imp.]:[PERIODO Imp.]],CO$9)</f>
        <v>0</v>
      </c>
      <c r="CP1097" s="693">
        <f>SUMIFS(Imput[[Importe Neto]:[Importe Neto]],Imput[[C. Imp.]:[C. Imp.]],$D1097,Imput[[PERIODO Imp.]:[PERIODO Imp.]],CP$9)</f>
        <v>0</v>
      </c>
      <c r="CQ1097" s="693">
        <f>SUMIFS(Imput[[Importe Neto]:[Importe Neto]],Imput[[C. Imp.]:[C. Imp.]],$D1097,Imput[[PERIODO Imp.]:[PERIODO Imp.]],CQ$9)</f>
        <v>0</v>
      </c>
      <c r="CR1097" s="693">
        <f>SUMIFS(Imput[[Importe Neto]:[Importe Neto]],Imput[[C. Imp.]:[C. Imp.]],$D1097,Imput[[PERIODO Imp.]:[PERIODO Imp.]],CR$9)</f>
        <v>0</v>
      </c>
      <c r="CS1097" s="693">
        <f>SUMIFS(Imput[[Importe Neto]:[Importe Neto]],Imput[[C. Imp.]:[C. Imp.]],$D1097,Imput[[PERIODO Imp.]:[PERIODO Imp.]],CS$9)</f>
        <v>0</v>
      </c>
      <c r="CT1097" s="693">
        <f>SUMIFS(Imput[[Importe Neto]:[Importe Neto]],Imput[[C. Imp.]:[C. Imp.]],$D1097,Imput[[PERIODO Imp.]:[PERIODO Imp.]],CT$9)</f>
        <v>0</v>
      </c>
      <c r="CU1097" s="693">
        <f>SUMIFS(Imput[[Importe Neto]:[Importe Neto]],Imput[[C. Imp.]:[C. Imp.]],$D1097,Imput[[PERIODO Imp.]:[PERIODO Imp.]],CU$9)</f>
        <v>0</v>
      </c>
      <c r="CV1097" s="693">
        <f>SUMIFS(Imput[[Importe Neto]:[Importe Neto]],Imput[[C. Imp.]:[C. Imp.]],$D1097,Imput[[PERIODO Imp.]:[PERIODO Imp.]],CV$9)</f>
        <v>0</v>
      </c>
      <c r="CW1097" s="693">
        <f>SUMIFS(Imput[[Importe Neto]:[Importe Neto]],Imput[[C. Imp.]:[C. Imp.]],$D1097,Imput[[PERIODO Imp.]:[PERIODO Imp.]],CW$9)</f>
        <v>0</v>
      </c>
      <c r="CX1097" s="693">
        <f>SUMIFS(Imput[[Importe Neto]:[Importe Neto]],Imput[[C. Imp.]:[C. Imp.]],$D1097,Imput[[PERIODO Imp.]:[PERIODO Imp.]],CX$9)</f>
        <v>0</v>
      </c>
      <c r="CY1097" s="693">
        <f>SUMIFS(Imput[[Importe Neto]:[Importe Neto]],Imput[[C. Imp.]:[C. Imp.]],$D1097,Imput[[PERIODO Imp.]:[PERIODO Imp.]],CY$9)</f>
        <v>0</v>
      </c>
      <c r="CZ1097" s="693">
        <f>SUMIFS(Imput[[Importe Neto]:[Importe Neto]],Imput[[C. Imp.]:[C. Imp.]],$D1097,Imput[[PERIODO Imp.]:[PERIODO Imp.]],CZ$9)</f>
        <v>0</v>
      </c>
      <c r="DA1097" s="693">
        <f>SUMIFS(Imput[[Importe Neto]:[Importe Neto]],Imput[[C. Imp.]:[C. Imp.]],$D1097,Imput[[PERIODO Imp.]:[PERIODO Imp.]],DA$9)</f>
        <v>0</v>
      </c>
      <c r="DB1097" s="693">
        <f>SUMIFS(Imput[[Importe Neto]:[Importe Neto]],Imput[[C. Imp.]:[C. Imp.]],$D1097,Imput[[PERIODO Imp.]:[PERIODO Imp.]],DB$9)</f>
        <v>0</v>
      </c>
      <c r="DC1097" s="693">
        <f>SUMIFS(Imput[[Importe Neto]:[Importe Neto]],Imput[[C. Imp.]:[C. Imp.]],$D1097,Imput[[PERIODO Imp.]:[PERIODO Imp.]],DC$9)</f>
        <v>0</v>
      </c>
      <c r="DD1097" s="693">
        <f>SUMIFS(Imput[[Importe Neto]:[Importe Neto]],Imput[[C. Imp.]:[C. Imp.]],$D1097,Imput[[PERIODO Imp.]:[PERIODO Imp.]],DD$9)</f>
        <v>0</v>
      </c>
      <c r="DE1097" s="693">
        <f>SUMIFS(Imput[[Importe Neto]:[Importe Neto]],Imput[[C. Imp.]:[C. Imp.]],$D1097,Imput[[PERIODO Imp.]:[PERIODO Imp.]],DE$9)</f>
        <v>0</v>
      </c>
      <c r="DF1097" s="693">
        <f>SUMIFS(Imput[[Importe Neto]:[Importe Neto]],Imput[[C. Imp.]:[C. Imp.]],$D1097,Imput[[PERIODO Imp.]:[PERIODO Imp.]],DF$9)</f>
        <v>0</v>
      </c>
      <c r="DG1097" s="693">
        <f>SUMIFS(Imput[[Importe Neto]:[Importe Neto]],Imput[[C. Imp.]:[C. Imp.]],$D1097,Imput[[PERIODO Imp.]:[PERIODO Imp.]],DG$9)</f>
        <v>0</v>
      </c>
      <c r="DH1097" s="694">
        <f>SUMIFS(Imput[[Importe Neto]:[Importe Neto]],Imput[[C. Imp.]:[C. Imp.]],$D1097,Imput[[PERIODO Imp.]:[PERIODO Imp.]],DH$9)</f>
        <v>0</v>
      </c>
    </row>
    <row r="1098" spans="1:112" s="649" customFormat="1" hidden="1" outlineLevel="1" x14ac:dyDescent="0.3">
      <c r="A1098" s="652" t="str">
        <f t="shared" si="361"/>
        <v/>
      </c>
      <c r="B1098" s="652"/>
      <c r="C1098" s="685"/>
      <c r="D1098" s="686"/>
      <c r="E1098" s="686"/>
      <c r="F1098" s="720"/>
      <c r="G1098" s="688"/>
      <c r="H1098" s="689"/>
      <c r="I1098" s="851" t="str">
        <f t="shared" si="362"/>
        <v/>
      </c>
      <c r="J1098" s="850" t="str">
        <f t="shared" si="363"/>
        <v/>
      </c>
      <c r="K1098" s="667"/>
      <c r="L1098" s="858"/>
      <c r="M1098" s="859"/>
      <c r="N1098" s="859"/>
      <c r="O1098" s="859"/>
      <c r="P1098" s="859"/>
      <c r="Q1098" s="859"/>
      <c r="R1098" s="859"/>
      <c r="S1098" s="859"/>
      <c r="T1098" s="859"/>
      <c r="U1098" s="859"/>
      <c r="V1098" s="859"/>
      <c r="W1098" s="859"/>
      <c r="X1098" s="859"/>
      <c r="Y1098" s="859"/>
      <c r="Z1098" s="860"/>
      <c r="AA1098" s="860"/>
      <c r="AB1098" s="860"/>
      <c r="AC1098" s="860"/>
      <c r="AD1098" s="860"/>
      <c r="AE1098" s="860"/>
      <c r="AF1098" s="860"/>
      <c r="AG1098" s="860"/>
      <c r="AH1098" s="860"/>
      <c r="AI1098" s="860"/>
      <c r="AJ1098" s="860"/>
      <c r="AK1098" s="860"/>
      <c r="AL1098" s="860"/>
      <c r="AM1098" s="860"/>
      <c r="AN1098" s="860"/>
      <c r="AO1098" s="860"/>
      <c r="AP1098" s="860"/>
      <c r="AQ1098" s="860"/>
      <c r="AR1098" s="860"/>
      <c r="AS1098" s="860"/>
      <c r="AT1098" s="860"/>
      <c r="AU1098" s="860"/>
      <c r="AV1098" s="860"/>
      <c r="AW1098" s="860"/>
      <c r="AX1098" s="860"/>
      <c r="AY1098" s="860"/>
      <c r="AZ1098" s="860"/>
      <c r="BA1098" s="860"/>
      <c r="BB1098" s="860"/>
      <c r="BC1098" s="860"/>
      <c r="BD1098" s="860"/>
      <c r="BE1098" s="860"/>
      <c r="BF1098" s="860"/>
      <c r="BG1098" s="860"/>
      <c r="BH1098" s="668"/>
      <c r="BI1098" s="667"/>
      <c r="BJ1098" s="690">
        <f t="shared" si="364"/>
        <v>0</v>
      </c>
      <c r="BK1098" s="691">
        <f t="shared" si="365"/>
        <v>0</v>
      </c>
      <c r="BL1098" s="654"/>
      <c r="BM1098" s="692">
        <f>SUMIFS(Imput[[Importe Neto]:[Importe Neto]],Imput[[C. Imp.]:[C. Imp.]],$D1098,Imput[[PERIODO Imp.]:[PERIODO Imp.]],BM$9)</f>
        <v>0</v>
      </c>
      <c r="BN1098" s="693">
        <f>SUMIFS(Imput[[Importe Neto]:[Importe Neto]],Imput[[C. Imp.]:[C. Imp.]],$D1098,Imput[[PERIODO Imp.]:[PERIODO Imp.]],BN$9)</f>
        <v>0</v>
      </c>
      <c r="BO1098" s="693">
        <f>SUMIFS(Imput[[Importe Neto]:[Importe Neto]],Imput[[C. Imp.]:[C. Imp.]],$D1098,Imput[[PERIODO Imp.]:[PERIODO Imp.]],BO$9)</f>
        <v>0</v>
      </c>
      <c r="BP1098" s="693">
        <f>SUMIFS(Imput[[Importe Neto]:[Importe Neto]],Imput[[C. Imp.]:[C. Imp.]],$D1098,Imput[[PERIODO Imp.]:[PERIODO Imp.]],BP$9)</f>
        <v>0</v>
      </c>
      <c r="BQ1098" s="693">
        <f>SUMIFS(Imput[[Importe Neto]:[Importe Neto]],Imput[[C. Imp.]:[C. Imp.]],$D1098,Imput[[PERIODO Imp.]:[PERIODO Imp.]],BQ$9)</f>
        <v>0</v>
      </c>
      <c r="BR1098" s="693">
        <f>SUMIFS(Imput[[Importe Neto]:[Importe Neto]],Imput[[C. Imp.]:[C. Imp.]],$D1098,Imput[[PERIODO Imp.]:[PERIODO Imp.]],BR$9)</f>
        <v>0</v>
      </c>
      <c r="BS1098" s="693">
        <f>SUMIFS(Imput[[Importe Neto]:[Importe Neto]],Imput[[C. Imp.]:[C. Imp.]],$D1098,Imput[[PERIODO Imp.]:[PERIODO Imp.]],BS$9)</f>
        <v>0</v>
      </c>
      <c r="BT1098" s="693">
        <f>SUMIFS(Imput[[Importe Neto]:[Importe Neto]],Imput[[C. Imp.]:[C. Imp.]],$D1098,Imput[[PERIODO Imp.]:[PERIODO Imp.]],BT$9)</f>
        <v>0</v>
      </c>
      <c r="BU1098" s="693">
        <f>SUMIFS(Imput[[Importe Neto]:[Importe Neto]],Imput[[C. Imp.]:[C. Imp.]],$D1098,Imput[[PERIODO Imp.]:[PERIODO Imp.]],BU$9)</f>
        <v>0</v>
      </c>
      <c r="BV1098" s="693">
        <f>SUMIFS(Imput[[Importe Neto]:[Importe Neto]],Imput[[C. Imp.]:[C. Imp.]],$D1098,Imput[[PERIODO Imp.]:[PERIODO Imp.]],BV$9)</f>
        <v>0</v>
      </c>
      <c r="BW1098" s="693">
        <f>SUMIFS(Imput[[Importe Neto]:[Importe Neto]],Imput[[C. Imp.]:[C. Imp.]],$D1098,Imput[[PERIODO Imp.]:[PERIODO Imp.]],BW$9)</f>
        <v>0</v>
      </c>
      <c r="BX1098" s="693">
        <f>SUMIFS(Imput[[Importe Neto]:[Importe Neto]],Imput[[C. Imp.]:[C. Imp.]],$D1098,Imput[[PERIODO Imp.]:[PERIODO Imp.]],BX$9)</f>
        <v>0</v>
      </c>
      <c r="BY1098" s="693">
        <f>SUMIFS(Imput[[Importe Neto]:[Importe Neto]],Imput[[C. Imp.]:[C. Imp.]],$D1098,Imput[[PERIODO Imp.]:[PERIODO Imp.]],BY$9)</f>
        <v>0</v>
      </c>
      <c r="BZ1098" s="693">
        <f>SUMIFS(Imput[[Importe Neto]:[Importe Neto]],Imput[[C. Imp.]:[C. Imp.]],$D1098,Imput[[PERIODO Imp.]:[PERIODO Imp.]],BZ$9)</f>
        <v>0</v>
      </c>
      <c r="CA1098" s="693">
        <f>SUMIFS(Imput[[Importe Neto]:[Importe Neto]],Imput[[C. Imp.]:[C. Imp.]],$D1098,Imput[[PERIODO Imp.]:[PERIODO Imp.]],CA$9)</f>
        <v>0</v>
      </c>
      <c r="CB1098" s="693">
        <f>SUMIFS(Imput[[Importe Neto]:[Importe Neto]],Imput[[C. Imp.]:[C. Imp.]],$D1098,Imput[[PERIODO Imp.]:[PERIODO Imp.]],CB$9)</f>
        <v>0</v>
      </c>
      <c r="CC1098" s="693">
        <f>SUMIFS(Imput[[Importe Neto]:[Importe Neto]],Imput[[C. Imp.]:[C. Imp.]],$D1098,Imput[[PERIODO Imp.]:[PERIODO Imp.]],CC$9)</f>
        <v>0</v>
      </c>
      <c r="CD1098" s="693">
        <f>SUMIFS(Imput[[Importe Neto]:[Importe Neto]],Imput[[C. Imp.]:[C. Imp.]],$D1098,Imput[[PERIODO Imp.]:[PERIODO Imp.]],CD$9)</f>
        <v>0</v>
      </c>
      <c r="CE1098" s="693">
        <f>SUMIFS(Imput[[Importe Neto]:[Importe Neto]],Imput[[C. Imp.]:[C. Imp.]],$D1098,Imput[[PERIODO Imp.]:[PERIODO Imp.]],CE$9)</f>
        <v>0</v>
      </c>
      <c r="CF1098" s="693">
        <f>SUMIFS(Imput[[Importe Neto]:[Importe Neto]],Imput[[C. Imp.]:[C. Imp.]],$D1098,Imput[[PERIODO Imp.]:[PERIODO Imp.]],CF$9)</f>
        <v>0</v>
      </c>
      <c r="CG1098" s="693">
        <f>SUMIFS(Imput[[Importe Neto]:[Importe Neto]],Imput[[C. Imp.]:[C. Imp.]],$D1098,Imput[[PERIODO Imp.]:[PERIODO Imp.]],CG$9)</f>
        <v>0</v>
      </c>
      <c r="CH1098" s="693">
        <f>SUMIFS(Imput[[Importe Neto]:[Importe Neto]],Imput[[C. Imp.]:[C. Imp.]],$D1098,Imput[[PERIODO Imp.]:[PERIODO Imp.]],CH$9)</f>
        <v>0</v>
      </c>
      <c r="CI1098" s="693">
        <f>SUMIFS(Imput[[Importe Neto]:[Importe Neto]],Imput[[C. Imp.]:[C. Imp.]],$D1098,Imput[[PERIODO Imp.]:[PERIODO Imp.]],CI$9)</f>
        <v>0</v>
      </c>
      <c r="CJ1098" s="693">
        <f>SUMIFS(Imput[[Importe Neto]:[Importe Neto]],Imput[[C. Imp.]:[C. Imp.]],$D1098,Imput[[PERIODO Imp.]:[PERIODO Imp.]],CJ$9)</f>
        <v>0</v>
      </c>
      <c r="CK1098" s="693">
        <f>SUMIFS(Imput[[Importe Neto]:[Importe Neto]],Imput[[C. Imp.]:[C. Imp.]],$D1098,Imput[[PERIODO Imp.]:[PERIODO Imp.]],CK$9)</f>
        <v>0</v>
      </c>
      <c r="CL1098" s="693">
        <f>SUMIFS(Imput[[Importe Neto]:[Importe Neto]],Imput[[C. Imp.]:[C. Imp.]],$D1098,Imput[[PERIODO Imp.]:[PERIODO Imp.]],CL$9)</f>
        <v>0</v>
      </c>
      <c r="CM1098" s="693">
        <f>SUMIFS(Imput[[Importe Neto]:[Importe Neto]],Imput[[C. Imp.]:[C. Imp.]],$D1098,Imput[[PERIODO Imp.]:[PERIODO Imp.]],CM$9)</f>
        <v>0</v>
      </c>
      <c r="CN1098" s="693">
        <f>SUMIFS(Imput[[Importe Neto]:[Importe Neto]],Imput[[C. Imp.]:[C. Imp.]],$D1098,Imput[[PERIODO Imp.]:[PERIODO Imp.]],CN$9)</f>
        <v>0</v>
      </c>
      <c r="CO1098" s="693">
        <f>SUMIFS(Imput[[Importe Neto]:[Importe Neto]],Imput[[C. Imp.]:[C. Imp.]],$D1098,Imput[[PERIODO Imp.]:[PERIODO Imp.]],CO$9)</f>
        <v>0</v>
      </c>
      <c r="CP1098" s="693">
        <f>SUMIFS(Imput[[Importe Neto]:[Importe Neto]],Imput[[C. Imp.]:[C. Imp.]],$D1098,Imput[[PERIODO Imp.]:[PERIODO Imp.]],CP$9)</f>
        <v>0</v>
      </c>
      <c r="CQ1098" s="693">
        <f>SUMIFS(Imput[[Importe Neto]:[Importe Neto]],Imput[[C. Imp.]:[C. Imp.]],$D1098,Imput[[PERIODO Imp.]:[PERIODO Imp.]],CQ$9)</f>
        <v>0</v>
      </c>
      <c r="CR1098" s="693">
        <f>SUMIFS(Imput[[Importe Neto]:[Importe Neto]],Imput[[C. Imp.]:[C. Imp.]],$D1098,Imput[[PERIODO Imp.]:[PERIODO Imp.]],CR$9)</f>
        <v>0</v>
      </c>
      <c r="CS1098" s="693">
        <f>SUMIFS(Imput[[Importe Neto]:[Importe Neto]],Imput[[C. Imp.]:[C. Imp.]],$D1098,Imput[[PERIODO Imp.]:[PERIODO Imp.]],CS$9)</f>
        <v>0</v>
      </c>
      <c r="CT1098" s="693">
        <f>SUMIFS(Imput[[Importe Neto]:[Importe Neto]],Imput[[C. Imp.]:[C. Imp.]],$D1098,Imput[[PERIODO Imp.]:[PERIODO Imp.]],CT$9)</f>
        <v>0</v>
      </c>
      <c r="CU1098" s="693">
        <f>SUMIFS(Imput[[Importe Neto]:[Importe Neto]],Imput[[C. Imp.]:[C. Imp.]],$D1098,Imput[[PERIODO Imp.]:[PERIODO Imp.]],CU$9)</f>
        <v>0</v>
      </c>
      <c r="CV1098" s="693">
        <f>SUMIFS(Imput[[Importe Neto]:[Importe Neto]],Imput[[C. Imp.]:[C. Imp.]],$D1098,Imput[[PERIODO Imp.]:[PERIODO Imp.]],CV$9)</f>
        <v>0</v>
      </c>
      <c r="CW1098" s="693">
        <f>SUMIFS(Imput[[Importe Neto]:[Importe Neto]],Imput[[C. Imp.]:[C. Imp.]],$D1098,Imput[[PERIODO Imp.]:[PERIODO Imp.]],CW$9)</f>
        <v>0</v>
      </c>
      <c r="CX1098" s="693">
        <f>SUMIFS(Imput[[Importe Neto]:[Importe Neto]],Imput[[C. Imp.]:[C. Imp.]],$D1098,Imput[[PERIODO Imp.]:[PERIODO Imp.]],CX$9)</f>
        <v>0</v>
      </c>
      <c r="CY1098" s="693">
        <f>SUMIFS(Imput[[Importe Neto]:[Importe Neto]],Imput[[C. Imp.]:[C. Imp.]],$D1098,Imput[[PERIODO Imp.]:[PERIODO Imp.]],CY$9)</f>
        <v>0</v>
      </c>
      <c r="CZ1098" s="693">
        <f>SUMIFS(Imput[[Importe Neto]:[Importe Neto]],Imput[[C. Imp.]:[C. Imp.]],$D1098,Imput[[PERIODO Imp.]:[PERIODO Imp.]],CZ$9)</f>
        <v>0</v>
      </c>
      <c r="DA1098" s="693">
        <f>SUMIFS(Imput[[Importe Neto]:[Importe Neto]],Imput[[C. Imp.]:[C. Imp.]],$D1098,Imput[[PERIODO Imp.]:[PERIODO Imp.]],DA$9)</f>
        <v>0</v>
      </c>
      <c r="DB1098" s="693">
        <f>SUMIFS(Imput[[Importe Neto]:[Importe Neto]],Imput[[C. Imp.]:[C. Imp.]],$D1098,Imput[[PERIODO Imp.]:[PERIODO Imp.]],DB$9)</f>
        <v>0</v>
      </c>
      <c r="DC1098" s="693">
        <f>SUMIFS(Imput[[Importe Neto]:[Importe Neto]],Imput[[C. Imp.]:[C. Imp.]],$D1098,Imput[[PERIODO Imp.]:[PERIODO Imp.]],DC$9)</f>
        <v>0</v>
      </c>
      <c r="DD1098" s="693">
        <f>SUMIFS(Imput[[Importe Neto]:[Importe Neto]],Imput[[C. Imp.]:[C. Imp.]],$D1098,Imput[[PERIODO Imp.]:[PERIODO Imp.]],DD$9)</f>
        <v>0</v>
      </c>
      <c r="DE1098" s="693">
        <f>SUMIFS(Imput[[Importe Neto]:[Importe Neto]],Imput[[C. Imp.]:[C. Imp.]],$D1098,Imput[[PERIODO Imp.]:[PERIODO Imp.]],DE$9)</f>
        <v>0</v>
      </c>
      <c r="DF1098" s="693">
        <f>SUMIFS(Imput[[Importe Neto]:[Importe Neto]],Imput[[C. Imp.]:[C. Imp.]],$D1098,Imput[[PERIODO Imp.]:[PERIODO Imp.]],DF$9)</f>
        <v>0</v>
      </c>
      <c r="DG1098" s="693">
        <f>SUMIFS(Imput[[Importe Neto]:[Importe Neto]],Imput[[C. Imp.]:[C. Imp.]],$D1098,Imput[[PERIODO Imp.]:[PERIODO Imp.]],DG$9)</f>
        <v>0</v>
      </c>
      <c r="DH1098" s="694">
        <f>SUMIFS(Imput[[Importe Neto]:[Importe Neto]],Imput[[C. Imp.]:[C. Imp.]],$D1098,Imput[[PERIODO Imp.]:[PERIODO Imp.]],DH$9)</f>
        <v>0</v>
      </c>
    </row>
    <row r="1099" spans="1:112" s="649" customFormat="1" hidden="1" outlineLevel="1" x14ac:dyDescent="0.3">
      <c r="A1099" s="652" t="str">
        <f t="shared" si="361"/>
        <v/>
      </c>
      <c r="B1099" s="652"/>
      <c r="C1099" s="685"/>
      <c r="D1099" s="686"/>
      <c r="E1099" s="686"/>
      <c r="F1099" s="720"/>
      <c r="G1099" s="688"/>
      <c r="H1099" s="689"/>
      <c r="I1099" s="851" t="str">
        <f t="shared" si="362"/>
        <v/>
      </c>
      <c r="J1099" s="850" t="str">
        <f t="shared" si="363"/>
        <v/>
      </c>
      <c r="K1099" s="667"/>
      <c r="L1099" s="858"/>
      <c r="M1099" s="859"/>
      <c r="N1099" s="859"/>
      <c r="O1099" s="859"/>
      <c r="P1099" s="859"/>
      <c r="Q1099" s="859"/>
      <c r="R1099" s="859"/>
      <c r="S1099" s="859"/>
      <c r="T1099" s="859"/>
      <c r="U1099" s="859"/>
      <c r="V1099" s="859"/>
      <c r="W1099" s="859"/>
      <c r="X1099" s="859"/>
      <c r="Y1099" s="859"/>
      <c r="Z1099" s="860"/>
      <c r="AA1099" s="860"/>
      <c r="AB1099" s="860"/>
      <c r="AC1099" s="860"/>
      <c r="AD1099" s="860"/>
      <c r="AE1099" s="860"/>
      <c r="AF1099" s="860"/>
      <c r="AG1099" s="860"/>
      <c r="AH1099" s="860"/>
      <c r="AI1099" s="860"/>
      <c r="AJ1099" s="860"/>
      <c r="AK1099" s="860"/>
      <c r="AL1099" s="860"/>
      <c r="AM1099" s="860"/>
      <c r="AN1099" s="860"/>
      <c r="AO1099" s="860"/>
      <c r="AP1099" s="860"/>
      <c r="AQ1099" s="860"/>
      <c r="AR1099" s="860"/>
      <c r="AS1099" s="860"/>
      <c r="AT1099" s="860"/>
      <c r="AU1099" s="860"/>
      <c r="AV1099" s="860"/>
      <c r="AW1099" s="860"/>
      <c r="AX1099" s="860"/>
      <c r="AY1099" s="860"/>
      <c r="AZ1099" s="860"/>
      <c r="BA1099" s="860"/>
      <c r="BB1099" s="860"/>
      <c r="BC1099" s="860"/>
      <c r="BD1099" s="860"/>
      <c r="BE1099" s="860"/>
      <c r="BF1099" s="860"/>
      <c r="BG1099" s="860"/>
      <c r="BH1099" s="668"/>
      <c r="BI1099" s="667"/>
      <c r="BJ1099" s="690">
        <f t="shared" si="364"/>
        <v>0</v>
      </c>
      <c r="BK1099" s="691">
        <f t="shared" si="365"/>
        <v>0</v>
      </c>
      <c r="BL1099" s="654"/>
      <c r="BM1099" s="692">
        <f>SUMIFS(Imput[[Importe Neto]:[Importe Neto]],Imput[[C. Imp.]:[C. Imp.]],$D1099,Imput[[PERIODO Imp.]:[PERIODO Imp.]],BM$9)</f>
        <v>0</v>
      </c>
      <c r="BN1099" s="693">
        <f>SUMIFS(Imput[[Importe Neto]:[Importe Neto]],Imput[[C. Imp.]:[C. Imp.]],$D1099,Imput[[PERIODO Imp.]:[PERIODO Imp.]],BN$9)</f>
        <v>0</v>
      </c>
      <c r="BO1099" s="693">
        <f>SUMIFS(Imput[[Importe Neto]:[Importe Neto]],Imput[[C. Imp.]:[C. Imp.]],$D1099,Imput[[PERIODO Imp.]:[PERIODO Imp.]],BO$9)</f>
        <v>0</v>
      </c>
      <c r="BP1099" s="693">
        <f>SUMIFS(Imput[[Importe Neto]:[Importe Neto]],Imput[[C. Imp.]:[C. Imp.]],$D1099,Imput[[PERIODO Imp.]:[PERIODO Imp.]],BP$9)</f>
        <v>0</v>
      </c>
      <c r="BQ1099" s="693">
        <f>SUMIFS(Imput[[Importe Neto]:[Importe Neto]],Imput[[C. Imp.]:[C. Imp.]],$D1099,Imput[[PERIODO Imp.]:[PERIODO Imp.]],BQ$9)</f>
        <v>0</v>
      </c>
      <c r="BR1099" s="693">
        <f>SUMIFS(Imput[[Importe Neto]:[Importe Neto]],Imput[[C. Imp.]:[C. Imp.]],$D1099,Imput[[PERIODO Imp.]:[PERIODO Imp.]],BR$9)</f>
        <v>0</v>
      </c>
      <c r="BS1099" s="693">
        <f>SUMIFS(Imput[[Importe Neto]:[Importe Neto]],Imput[[C. Imp.]:[C. Imp.]],$D1099,Imput[[PERIODO Imp.]:[PERIODO Imp.]],BS$9)</f>
        <v>0</v>
      </c>
      <c r="BT1099" s="693">
        <f>SUMIFS(Imput[[Importe Neto]:[Importe Neto]],Imput[[C. Imp.]:[C. Imp.]],$D1099,Imput[[PERIODO Imp.]:[PERIODO Imp.]],BT$9)</f>
        <v>0</v>
      </c>
      <c r="BU1099" s="693">
        <f>SUMIFS(Imput[[Importe Neto]:[Importe Neto]],Imput[[C. Imp.]:[C. Imp.]],$D1099,Imput[[PERIODO Imp.]:[PERIODO Imp.]],BU$9)</f>
        <v>0</v>
      </c>
      <c r="BV1099" s="693">
        <f>SUMIFS(Imput[[Importe Neto]:[Importe Neto]],Imput[[C. Imp.]:[C. Imp.]],$D1099,Imput[[PERIODO Imp.]:[PERIODO Imp.]],BV$9)</f>
        <v>0</v>
      </c>
      <c r="BW1099" s="693">
        <f>SUMIFS(Imput[[Importe Neto]:[Importe Neto]],Imput[[C. Imp.]:[C. Imp.]],$D1099,Imput[[PERIODO Imp.]:[PERIODO Imp.]],BW$9)</f>
        <v>0</v>
      </c>
      <c r="BX1099" s="693">
        <f>SUMIFS(Imput[[Importe Neto]:[Importe Neto]],Imput[[C. Imp.]:[C. Imp.]],$D1099,Imput[[PERIODO Imp.]:[PERIODO Imp.]],BX$9)</f>
        <v>0</v>
      </c>
      <c r="BY1099" s="693">
        <f>SUMIFS(Imput[[Importe Neto]:[Importe Neto]],Imput[[C. Imp.]:[C. Imp.]],$D1099,Imput[[PERIODO Imp.]:[PERIODO Imp.]],BY$9)</f>
        <v>0</v>
      </c>
      <c r="BZ1099" s="693">
        <f>SUMIFS(Imput[[Importe Neto]:[Importe Neto]],Imput[[C. Imp.]:[C. Imp.]],$D1099,Imput[[PERIODO Imp.]:[PERIODO Imp.]],BZ$9)</f>
        <v>0</v>
      </c>
      <c r="CA1099" s="693">
        <f>SUMIFS(Imput[[Importe Neto]:[Importe Neto]],Imput[[C. Imp.]:[C. Imp.]],$D1099,Imput[[PERIODO Imp.]:[PERIODO Imp.]],CA$9)</f>
        <v>0</v>
      </c>
      <c r="CB1099" s="693">
        <f>SUMIFS(Imput[[Importe Neto]:[Importe Neto]],Imput[[C. Imp.]:[C. Imp.]],$D1099,Imput[[PERIODO Imp.]:[PERIODO Imp.]],CB$9)</f>
        <v>0</v>
      </c>
      <c r="CC1099" s="693">
        <f>SUMIFS(Imput[[Importe Neto]:[Importe Neto]],Imput[[C. Imp.]:[C. Imp.]],$D1099,Imput[[PERIODO Imp.]:[PERIODO Imp.]],CC$9)</f>
        <v>0</v>
      </c>
      <c r="CD1099" s="693">
        <f>SUMIFS(Imput[[Importe Neto]:[Importe Neto]],Imput[[C. Imp.]:[C. Imp.]],$D1099,Imput[[PERIODO Imp.]:[PERIODO Imp.]],CD$9)</f>
        <v>0</v>
      </c>
      <c r="CE1099" s="693">
        <f>SUMIFS(Imput[[Importe Neto]:[Importe Neto]],Imput[[C. Imp.]:[C. Imp.]],$D1099,Imput[[PERIODO Imp.]:[PERIODO Imp.]],CE$9)</f>
        <v>0</v>
      </c>
      <c r="CF1099" s="693">
        <f>SUMIFS(Imput[[Importe Neto]:[Importe Neto]],Imput[[C. Imp.]:[C. Imp.]],$D1099,Imput[[PERIODO Imp.]:[PERIODO Imp.]],CF$9)</f>
        <v>0</v>
      </c>
      <c r="CG1099" s="693">
        <f>SUMIFS(Imput[[Importe Neto]:[Importe Neto]],Imput[[C. Imp.]:[C. Imp.]],$D1099,Imput[[PERIODO Imp.]:[PERIODO Imp.]],CG$9)</f>
        <v>0</v>
      </c>
      <c r="CH1099" s="693">
        <f>SUMIFS(Imput[[Importe Neto]:[Importe Neto]],Imput[[C. Imp.]:[C. Imp.]],$D1099,Imput[[PERIODO Imp.]:[PERIODO Imp.]],CH$9)</f>
        <v>0</v>
      </c>
      <c r="CI1099" s="693">
        <f>SUMIFS(Imput[[Importe Neto]:[Importe Neto]],Imput[[C. Imp.]:[C. Imp.]],$D1099,Imput[[PERIODO Imp.]:[PERIODO Imp.]],CI$9)</f>
        <v>0</v>
      </c>
      <c r="CJ1099" s="693">
        <f>SUMIFS(Imput[[Importe Neto]:[Importe Neto]],Imput[[C. Imp.]:[C. Imp.]],$D1099,Imput[[PERIODO Imp.]:[PERIODO Imp.]],CJ$9)</f>
        <v>0</v>
      </c>
      <c r="CK1099" s="693">
        <f>SUMIFS(Imput[[Importe Neto]:[Importe Neto]],Imput[[C. Imp.]:[C. Imp.]],$D1099,Imput[[PERIODO Imp.]:[PERIODO Imp.]],CK$9)</f>
        <v>0</v>
      </c>
      <c r="CL1099" s="693">
        <f>SUMIFS(Imput[[Importe Neto]:[Importe Neto]],Imput[[C. Imp.]:[C. Imp.]],$D1099,Imput[[PERIODO Imp.]:[PERIODO Imp.]],CL$9)</f>
        <v>0</v>
      </c>
      <c r="CM1099" s="693">
        <f>SUMIFS(Imput[[Importe Neto]:[Importe Neto]],Imput[[C. Imp.]:[C. Imp.]],$D1099,Imput[[PERIODO Imp.]:[PERIODO Imp.]],CM$9)</f>
        <v>0</v>
      </c>
      <c r="CN1099" s="693">
        <f>SUMIFS(Imput[[Importe Neto]:[Importe Neto]],Imput[[C. Imp.]:[C. Imp.]],$D1099,Imput[[PERIODO Imp.]:[PERIODO Imp.]],CN$9)</f>
        <v>0</v>
      </c>
      <c r="CO1099" s="693">
        <f>SUMIFS(Imput[[Importe Neto]:[Importe Neto]],Imput[[C. Imp.]:[C. Imp.]],$D1099,Imput[[PERIODO Imp.]:[PERIODO Imp.]],CO$9)</f>
        <v>0</v>
      </c>
      <c r="CP1099" s="693">
        <f>SUMIFS(Imput[[Importe Neto]:[Importe Neto]],Imput[[C. Imp.]:[C. Imp.]],$D1099,Imput[[PERIODO Imp.]:[PERIODO Imp.]],CP$9)</f>
        <v>0</v>
      </c>
      <c r="CQ1099" s="693">
        <f>SUMIFS(Imput[[Importe Neto]:[Importe Neto]],Imput[[C. Imp.]:[C. Imp.]],$D1099,Imput[[PERIODO Imp.]:[PERIODO Imp.]],CQ$9)</f>
        <v>0</v>
      </c>
      <c r="CR1099" s="693">
        <f>SUMIFS(Imput[[Importe Neto]:[Importe Neto]],Imput[[C. Imp.]:[C. Imp.]],$D1099,Imput[[PERIODO Imp.]:[PERIODO Imp.]],CR$9)</f>
        <v>0</v>
      </c>
      <c r="CS1099" s="693">
        <f>SUMIFS(Imput[[Importe Neto]:[Importe Neto]],Imput[[C. Imp.]:[C. Imp.]],$D1099,Imput[[PERIODO Imp.]:[PERIODO Imp.]],CS$9)</f>
        <v>0</v>
      </c>
      <c r="CT1099" s="693">
        <f>SUMIFS(Imput[[Importe Neto]:[Importe Neto]],Imput[[C. Imp.]:[C. Imp.]],$D1099,Imput[[PERIODO Imp.]:[PERIODO Imp.]],CT$9)</f>
        <v>0</v>
      </c>
      <c r="CU1099" s="693">
        <f>SUMIFS(Imput[[Importe Neto]:[Importe Neto]],Imput[[C. Imp.]:[C. Imp.]],$D1099,Imput[[PERIODO Imp.]:[PERIODO Imp.]],CU$9)</f>
        <v>0</v>
      </c>
      <c r="CV1099" s="693">
        <f>SUMIFS(Imput[[Importe Neto]:[Importe Neto]],Imput[[C. Imp.]:[C. Imp.]],$D1099,Imput[[PERIODO Imp.]:[PERIODO Imp.]],CV$9)</f>
        <v>0</v>
      </c>
      <c r="CW1099" s="693">
        <f>SUMIFS(Imput[[Importe Neto]:[Importe Neto]],Imput[[C. Imp.]:[C. Imp.]],$D1099,Imput[[PERIODO Imp.]:[PERIODO Imp.]],CW$9)</f>
        <v>0</v>
      </c>
      <c r="CX1099" s="693">
        <f>SUMIFS(Imput[[Importe Neto]:[Importe Neto]],Imput[[C. Imp.]:[C. Imp.]],$D1099,Imput[[PERIODO Imp.]:[PERIODO Imp.]],CX$9)</f>
        <v>0</v>
      </c>
      <c r="CY1099" s="693">
        <f>SUMIFS(Imput[[Importe Neto]:[Importe Neto]],Imput[[C. Imp.]:[C. Imp.]],$D1099,Imput[[PERIODO Imp.]:[PERIODO Imp.]],CY$9)</f>
        <v>0</v>
      </c>
      <c r="CZ1099" s="693">
        <f>SUMIFS(Imput[[Importe Neto]:[Importe Neto]],Imput[[C. Imp.]:[C. Imp.]],$D1099,Imput[[PERIODO Imp.]:[PERIODO Imp.]],CZ$9)</f>
        <v>0</v>
      </c>
      <c r="DA1099" s="693">
        <f>SUMIFS(Imput[[Importe Neto]:[Importe Neto]],Imput[[C. Imp.]:[C. Imp.]],$D1099,Imput[[PERIODO Imp.]:[PERIODO Imp.]],DA$9)</f>
        <v>0</v>
      </c>
      <c r="DB1099" s="693">
        <f>SUMIFS(Imput[[Importe Neto]:[Importe Neto]],Imput[[C. Imp.]:[C. Imp.]],$D1099,Imput[[PERIODO Imp.]:[PERIODO Imp.]],DB$9)</f>
        <v>0</v>
      </c>
      <c r="DC1099" s="693">
        <f>SUMIFS(Imput[[Importe Neto]:[Importe Neto]],Imput[[C. Imp.]:[C. Imp.]],$D1099,Imput[[PERIODO Imp.]:[PERIODO Imp.]],DC$9)</f>
        <v>0</v>
      </c>
      <c r="DD1099" s="693">
        <f>SUMIFS(Imput[[Importe Neto]:[Importe Neto]],Imput[[C. Imp.]:[C. Imp.]],$D1099,Imput[[PERIODO Imp.]:[PERIODO Imp.]],DD$9)</f>
        <v>0</v>
      </c>
      <c r="DE1099" s="693">
        <f>SUMIFS(Imput[[Importe Neto]:[Importe Neto]],Imput[[C. Imp.]:[C. Imp.]],$D1099,Imput[[PERIODO Imp.]:[PERIODO Imp.]],DE$9)</f>
        <v>0</v>
      </c>
      <c r="DF1099" s="693">
        <f>SUMIFS(Imput[[Importe Neto]:[Importe Neto]],Imput[[C. Imp.]:[C. Imp.]],$D1099,Imput[[PERIODO Imp.]:[PERIODO Imp.]],DF$9)</f>
        <v>0</v>
      </c>
      <c r="DG1099" s="693">
        <f>SUMIFS(Imput[[Importe Neto]:[Importe Neto]],Imput[[C. Imp.]:[C. Imp.]],$D1099,Imput[[PERIODO Imp.]:[PERIODO Imp.]],DG$9)</f>
        <v>0</v>
      </c>
      <c r="DH1099" s="694">
        <f>SUMIFS(Imput[[Importe Neto]:[Importe Neto]],Imput[[C. Imp.]:[C. Imp.]],$D1099,Imput[[PERIODO Imp.]:[PERIODO Imp.]],DH$9)</f>
        <v>0</v>
      </c>
    </row>
    <row r="1100" spans="1:112" s="649" customFormat="1" hidden="1" outlineLevel="1" x14ac:dyDescent="0.3">
      <c r="A1100" s="652" t="str">
        <f t="shared" si="361"/>
        <v/>
      </c>
      <c r="B1100" s="652"/>
      <c r="C1100" s="685"/>
      <c r="D1100" s="686"/>
      <c r="E1100" s="686"/>
      <c r="F1100" s="720"/>
      <c r="G1100" s="688"/>
      <c r="H1100" s="689"/>
      <c r="I1100" s="851" t="str">
        <f t="shared" si="362"/>
        <v/>
      </c>
      <c r="J1100" s="850" t="str">
        <f t="shared" si="363"/>
        <v/>
      </c>
      <c r="K1100" s="667"/>
      <c r="L1100" s="858"/>
      <c r="M1100" s="859"/>
      <c r="N1100" s="859"/>
      <c r="O1100" s="859"/>
      <c r="P1100" s="859"/>
      <c r="Q1100" s="859"/>
      <c r="R1100" s="859"/>
      <c r="S1100" s="859"/>
      <c r="T1100" s="859"/>
      <c r="U1100" s="859"/>
      <c r="V1100" s="859"/>
      <c r="W1100" s="859"/>
      <c r="X1100" s="859"/>
      <c r="Y1100" s="859"/>
      <c r="Z1100" s="860"/>
      <c r="AA1100" s="860"/>
      <c r="AB1100" s="860"/>
      <c r="AC1100" s="860"/>
      <c r="AD1100" s="860"/>
      <c r="AE1100" s="860"/>
      <c r="AF1100" s="860"/>
      <c r="AG1100" s="860"/>
      <c r="AH1100" s="860"/>
      <c r="AI1100" s="860"/>
      <c r="AJ1100" s="860"/>
      <c r="AK1100" s="860"/>
      <c r="AL1100" s="860"/>
      <c r="AM1100" s="860"/>
      <c r="AN1100" s="860"/>
      <c r="AO1100" s="860"/>
      <c r="AP1100" s="860"/>
      <c r="AQ1100" s="860"/>
      <c r="AR1100" s="860"/>
      <c r="AS1100" s="860"/>
      <c r="AT1100" s="860"/>
      <c r="AU1100" s="860"/>
      <c r="AV1100" s="860"/>
      <c r="AW1100" s="860"/>
      <c r="AX1100" s="860"/>
      <c r="AY1100" s="860"/>
      <c r="AZ1100" s="860"/>
      <c r="BA1100" s="860"/>
      <c r="BB1100" s="860"/>
      <c r="BC1100" s="860"/>
      <c r="BD1100" s="860"/>
      <c r="BE1100" s="860"/>
      <c r="BF1100" s="860"/>
      <c r="BG1100" s="860"/>
      <c r="BH1100" s="668"/>
      <c r="BI1100" s="667"/>
      <c r="BJ1100" s="690">
        <f t="shared" si="364"/>
        <v>0</v>
      </c>
      <c r="BK1100" s="691">
        <f t="shared" si="365"/>
        <v>0</v>
      </c>
      <c r="BL1100" s="654"/>
      <c r="BM1100" s="692">
        <f>SUMIFS(Imput[[Importe Neto]:[Importe Neto]],Imput[[C. Imp.]:[C. Imp.]],$D1100,Imput[[PERIODO Imp.]:[PERIODO Imp.]],BM$9)</f>
        <v>0</v>
      </c>
      <c r="BN1100" s="693">
        <f>SUMIFS(Imput[[Importe Neto]:[Importe Neto]],Imput[[C. Imp.]:[C. Imp.]],$D1100,Imput[[PERIODO Imp.]:[PERIODO Imp.]],BN$9)</f>
        <v>0</v>
      </c>
      <c r="BO1100" s="693">
        <f>SUMIFS(Imput[[Importe Neto]:[Importe Neto]],Imput[[C. Imp.]:[C. Imp.]],$D1100,Imput[[PERIODO Imp.]:[PERIODO Imp.]],BO$9)</f>
        <v>0</v>
      </c>
      <c r="BP1100" s="693">
        <f>SUMIFS(Imput[[Importe Neto]:[Importe Neto]],Imput[[C. Imp.]:[C. Imp.]],$D1100,Imput[[PERIODO Imp.]:[PERIODO Imp.]],BP$9)</f>
        <v>0</v>
      </c>
      <c r="BQ1100" s="693">
        <f>SUMIFS(Imput[[Importe Neto]:[Importe Neto]],Imput[[C. Imp.]:[C. Imp.]],$D1100,Imput[[PERIODO Imp.]:[PERIODO Imp.]],BQ$9)</f>
        <v>0</v>
      </c>
      <c r="BR1100" s="693">
        <f>SUMIFS(Imput[[Importe Neto]:[Importe Neto]],Imput[[C. Imp.]:[C. Imp.]],$D1100,Imput[[PERIODO Imp.]:[PERIODO Imp.]],BR$9)</f>
        <v>0</v>
      </c>
      <c r="BS1100" s="693">
        <f>SUMIFS(Imput[[Importe Neto]:[Importe Neto]],Imput[[C. Imp.]:[C. Imp.]],$D1100,Imput[[PERIODO Imp.]:[PERIODO Imp.]],BS$9)</f>
        <v>0</v>
      </c>
      <c r="BT1100" s="693">
        <f>SUMIFS(Imput[[Importe Neto]:[Importe Neto]],Imput[[C. Imp.]:[C. Imp.]],$D1100,Imput[[PERIODO Imp.]:[PERIODO Imp.]],BT$9)</f>
        <v>0</v>
      </c>
      <c r="BU1100" s="693">
        <f>SUMIFS(Imput[[Importe Neto]:[Importe Neto]],Imput[[C. Imp.]:[C. Imp.]],$D1100,Imput[[PERIODO Imp.]:[PERIODO Imp.]],BU$9)</f>
        <v>0</v>
      </c>
      <c r="BV1100" s="693">
        <f>SUMIFS(Imput[[Importe Neto]:[Importe Neto]],Imput[[C. Imp.]:[C. Imp.]],$D1100,Imput[[PERIODO Imp.]:[PERIODO Imp.]],BV$9)</f>
        <v>0</v>
      </c>
      <c r="BW1100" s="693">
        <f>SUMIFS(Imput[[Importe Neto]:[Importe Neto]],Imput[[C. Imp.]:[C. Imp.]],$D1100,Imput[[PERIODO Imp.]:[PERIODO Imp.]],BW$9)</f>
        <v>0</v>
      </c>
      <c r="BX1100" s="693">
        <f>SUMIFS(Imput[[Importe Neto]:[Importe Neto]],Imput[[C. Imp.]:[C. Imp.]],$D1100,Imput[[PERIODO Imp.]:[PERIODO Imp.]],BX$9)</f>
        <v>0</v>
      </c>
      <c r="BY1100" s="693">
        <f>SUMIFS(Imput[[Importe Neto]:[Importe Neto]],Imput[[C. Imp.]:[C. Imp.]],$D1100,Imput[[PERIODO Imp.]:[PERIODO Imp.]],BY$9)</f>
        <v>0</v>
      </c>
      <c r="BZ1100" s="693">
        <f>SUMIFS(Imput[[Importe Neto]:[Importe Neto]],Imput[[C. Imp.]:[C. Imp.]],$D1100,Imput[[PERIODO Imp.]:[PERIODO Imp.]],BZ$9)</f>
        <v>0</v>
      </c>
      <c r="CA1100" s="693">
        <f>SUMIFS(Imput[[Importe Neto]:[Importe Neto]],Imput[[C. Imp.]:[C. Imp.]],$D1100,Imput[[PERIODO Imp.]:[PERIODO Imp.]],CA$9)</f>
        <v>0</v>
      </c>
      <c r="CB1100" s="693">
        <f>SUMIFS(Imput[[Importe Neto]:[Importe Neto]],Imput[[C. Imp.]:[C. Imp.]],$D1100,Imput[[PERIODO Imp.]:[PERIODO Imp.]],CB$9)</f>
        <v>0</v>
      </c>
      <c r="CC1100" s="693">
        <f>SUMIFS(Imput[[Importe Neto]:[Importe Neto]],Imput[[C. Imp.]:[C. Imp.]],$D1100,Imput[[PERIODO Imp.]:[PERIODO Imp.]],CC$9)</f>
        <v>0</v>
      </c>
      <c r="CD1100" s="693">
        <f>SUMIFS(Imput[[Importe Neto]:[Importe Neto]],Imput[[C. Imp.]:[C. Imp.]],$D1100,Imput[[PERIODO Imp.]:[PERIODO Imp.]],CD$9)</f>
        <v>0</v>
      </c>
      <c r="CE1100" s="693">
        <f>SUMIFS(Imput[[Importe Neto]:[Importe Neto]],Imput[[C. Imp.]:[C. Imp.]],$D1100,Imput[[PERIODO Imp.]:[PERIODO Imp.]],CE$9)</f>
        <v>0</v>
      </c>
      <c r="CF1100" s="693">
        <f>SUMIFS(Imput[[Importe Neto]:[Importe Neto]],Imput[[C. Imp.]:[C. Imp.]],$D1100,Imput[[PERIODO Imp.]:[PERIODO Imp.]],CF$9)</f>
        <v>0</v>
      </c>
      <c r="CG1100" s="693">
        <f>SUMIFS(Imput[[Importe Neto]:[Importe Neto]],Imput[[C. Imp.]:[C. Imp.]],$D1100,Imput[[PERIODO Imp.]:[PERIODO Imp.]],CG$9)</f>
        <v>0</v>
      </c>
      <c r="CH1100" s="693">
        <f>SUMIFS(Imput[[Importe Neto]:[Importe Neto]],Imput[[C. Imp.]:[C. Imp.]],$D1100,Imput[[PERIODO Imp.]:[PERIODO Imp.]],CH$9)</f>
        <v>0</v>
      </c>
      <c r="CI1100" s="693">
        <f>SUMIFS(Imput[[Importe Neto]:[Importe Neto]],Imput[[C. Imp.]:[C. Imp.]],$D1100,Imput[[PERIODO Imp.]:[PERIODO Imp.]],CI$9)</f>
        <v>0</v>
      </c>
      <c r="CJ1100" s="693">
        <f>SUMIFS(Imput[[Importe Neto]:[Importe Neto]],Imput[[C. Imp.]:[C. Imp.]],$D1100,Imput[[PERIODO Imp.]:[PERIODO Imp.]],CJ$9)</f>
        <v>0</v>
      </c>
      <c r="CK1100" s="693">
        <f>SUMIFS(Imput[[Importe Neto]:[Importe Neto]],Imput[[C. Imp.]:[C. Imp.]],$D1100,Imput[[PERIODO Imp.]:[PERIODO Imp.]],CK$9)</f>
        <v>0</v>
      </c>
      <c r="CL1100" s="693">
        <f>SUMIFS(Imput[[Importe Neto]:[Importe Neto]],Imput[[C. Imp.]:[C. Imp.]],$D1100,Imput[[PERIODO Imp.]:[PERIODO Imp.]],CL$9)</f>
        <v>0</v>
      </c>
      <c r="CM1100" s="693">
        <f>SUMIFS(Imput[[Importe Neto]:[Importe Neto]],Imput[[C. Imp.]:[C. Imp.]],$D1100,Imput[[PERIODO Imp.]:[PERIODO Imp.]],CM$9)</f>
        <v>0</v>
      </c>
      <c r="CN1100" s="693">
        <f>SUMIFS(Imput[[Importe Neto]:[Importe Neto]],Imput[[C. Imp.]:[C. Imp.]],$D1100,Imput[[PERIODO Imp.]:[PERIODO Imp.]],CN$9)</f>
        <v>0</v>
      </c>
      <c r="CO1100" s="693">
        <f>SUMIFS(Imput[[Importe Neto]:[Importe Neto]],Imput[[C. Imp.]:[C. Imp.]],$D1100,Imput[[PERIODO Imp.]:[PERIODO Imp.]],CO$9)</f>
        <v>0</v>
      </c>
      <c r="CP1100" s="693">
        <f>SUMIFS(Imput[[Importe Neto]:[Importe Neto]],Imput[[C. Imp.]:[C. Imp.]],$D1100,Imput[[PERIODO Imp.]:[PERIODO Imp.]],CP$9)</f>
        <v>0</v>
      </c>
      <c r="CQ1100" s="693">
        <f>SUMIFS(Imput[[Importe Neto]:[Importe Neto]],Imput[[C. Imp.]:[C. Imp.]],$D1100,Imput[[PERIODO Imp.]:[PERIODO Imp.]],CQ$9)</f>
        <v>0</v>
      </c>
      <c r="CR1100" s="693">
        <f>SUMIFS(Imput[[Importe Neto]:[Importe Neto]],Imput[[C. Imp.]:[C. Imp.]],$D1100,Imput[[PERIODO Imp.]:[PERIODO Imp.]],CR$9)</f>
        <v>0</v>
      </c>
      <c r="CS1100" s="693">
        <f>SUMIFS(Imput[[Importe Neto]:[Importe Neto]],Imput[[C. Imp.]:[C. Imp.]],$D1100,Imput[[PERIODO Imp.]:[PERIODO Imp.]],CS$9)</f>
        <v>0</v>
      </c>
      <c r="CT1100" s="693">
        <f>SUMIFS(Imput[[Importe Neto]:[Importe Neto]],Imput[[C. Imp.]:[C. Imp.]],$D1100,Imput[[PERIODO Imp.]:[PERIODO Imp.]],CT$9)</f>
        <v>0</v>
      </c>
      <c r="CU1100" s="693">
        <f>SUMIFS(Imput[[Importe Neto]:[Importe Neto]],Imput[[C. Imp.]:[C. Imp.]],$D1100,Imput[[PERIODO Imp.]:[PERIODO Imp.]],CU$9)</f>
        <v>0</v>
      </c>
      <c r="CV1100" s="693">
        <f>SUMIFS(Imput[[Importe Neto]:[Importe Neto]],Imput[[C. Imp.]:[C. Imp.]],$D1100,Imput[[PERIODO Imp.]:[PERIODO Imp.]],CV$9)</f>
        <v>0</v>
      </c>
      <c r="CW1100" s="693">
        <f>SUMIFS(Imput[[Importe Neto]:[Importe Neto]],Imput[[C. Imp.]:[C. Imp.]],$D1100,Imput[[PERIODO Imp.]:[PERIODO Imp.]],CW$9)</f>
        <v>0</v>
      </c>
      <c r="CX1100" s="693">
        <f>SUMIFS(Imput[[Importe Neto]:[Importe Neto]],Imput[[C. Imp.]:[C. Imp.]],$D1100,Imput[[PERIODO Imp.]:[PERIODO Imp.]],CX$9)</f>
        <v>0</v>
      </c>
      <c r="CY1100" s="693">
        <f>SUMIFS(Imput[[Importe Neto]:[Importe Neto]],Imput[[C. Imp.]:[C. Imp.]],$D1100,Imput[[PERIODO Imp.]:[PERIODO Imp.]],CY$9)</f>
        <v>0</v>
      </c>
      <c r="CZ1100" s="693">
        <f>SUMIFS(Imput[[Importe Neto]:[Importe Neto]],Imput[[C. Imp.]:[C. Imp.]],$D1100,Imput[[PERIODO Imp.]:[PERIODO Imp.]],CZ$9)</f>
        <v>0</v>
      </c>
      <c r="DA1100" s="693">
        <f>SUMIFS(Imput[[Importe Neto]:[Importe Neto]],Imput[[C. Imp.]:[C. Imp.]],$D1100,Imput[[PERIODO Imp.]:[PERIODO Imp.]],DA$9)</f>
        <v>0</v>
      </c>
      <c r="DB1100" s="693">
        <f>SUMIFS(Imput[[Importe Neto]:[Importe Neto]],Imput[[C. Imp.]:[C. Imp.]],$D1100,Imput[[PERIODO Imp.]:[PERIODO Imp.]],DB$9)</f>
        <v>0</v>
      </c>
      <c r="DC1100" s="693">
        <f>SUMIFS(Imput[[Importe Neto]:[Importe Neto]],Imput[[C. Imp.]:[C. Imp.]],$D1100,Imput[[PERIODO Imp.]:[PERIODO Imp.]],DC$9)</f>
        <v>0</v>
      </c>
      <c r="DD1100" s="693">
        <f>SUMIFS(Imput[[Importe Neto]:[Importe Neto]],Imput[[C. Imp.]:[C. Imp.]],$D1100,Imput[[PERIODO Imp.]:[PERIODO Imp.]],DD$9)</f>
        <v>0</v>
      </c>
      <c r="DE1100" s="693">
        <f>SUMIFS(Imput[[Importe Neto]:[Importe Neto]],Imput[[C. Imp.]:[C. Imp.]],$D1100,Imput[[PERIODO Imp.]:[PERIODO Imp.]],DE$9)</f>
        <v>0</v>
      </c>
      <c r="DF1100" s="693">
        <f>SUMIFS(Imput[[Importe Neto]:[Importe Neto]],Imput[[C. Imp.]:[C. Imp.]],$D1100,Imput[[PERIODO Imp.]:[PERIODO Imp.]],DF$9)</f>
        <v>0</v>
      </c>
      <c r="DG1100" s="693">
        <f>SUMIFS(Imput[[Importe Neto]:[Importe Neto]],Imput[[C. Imp.]:[C. Imp.]],$D1100,Imput[[PERIODO Imp.]:[PERIODO Imp.]],DG$9)</f>
        <v>0</v>
      </c>
      <c r="DH1100" s="694">
        <f>SUMIFS(Imput[[Importe Neto]:[Importe Neto]],Imput[[C. Imp.]:[C. Imp.]],$D1100,Imput[[PERIODO Imp.]:[PERIODO Imp.]],DH$9)</f>
        <v>0</v>
      </c>
    </row>
    <row r="1101" spans="1:112" s="649" customFormat="1" hidden="1" outlineLevel="1" x14ac:dyDescent="0.3">
      <c r="A1101" s="652" t="str">
        <f t="shared" si="361"/>
        <v/>
      </c>
      <c r="B1101" s="652"/>
      <c r="C1101" s="685"/>
      <c r="D1101" s="686"/>
      <c r="E1101" s="686"/>
      <c r="F1101" s="720"/>
      <c r="G1101" s="688"/>
      <c r="H1101" s="689"/>
      <c r="I1101" s="851" t="str">
        <f t="shared" si="362"/>
        <v/>
      </c>
      <c r="J1101" s="850" t="str">
        <f t="shared" si="363"/>
        <v/>
      </c>
      <c r="K1101" s="667"/>
      <c r="L1101" s="858"/>
      <c r="M1101" s="859"/>
      <c r="N1101" s="859"/>
      <c r="O1101" s="859"/>
      <c r="P1101" s="859"/>
      <c r="Q1101" s="859"/>
      <c r="R1101" s="859"/>
      <c r="S1101" s="859"/>
      <c r="T1101" s="859"/>
      <c r="U1101" s="859"/>
      <c r="V1101" s="859"/>
      <c r="W1101" s="859"/>
      <c r="X1101" s="859"/>
      <c r="Y1101" s="859"/>
      <c r="Z1101" s="860"/>
      <c r="AA1101" s="860"/>
      <c r="AB1101" s="860"/>
      <c r="AC1101" s="860"/>
      <c r="AD1101" s="860"/>
      <c r="AE1101" s="860"/>
      <c r="AF1101" s="860"/>
      <c r="AG1101" s="860"/>
      <c r="AH1101" s="860"/>
      <c r="AI1101" s="860"/>
      <c r="AJ1101" s="860"/>
      <c r="AK1101" s="860"/>
      <c r="AL1101" s="860"/>
      <c r="AM1101" s="860"/>
      <c r="AN1101" s="860"/>
      <c r="AO1101" s="860"/>
      <c r="AP1101" s="860"/>
      <c r="AQ1101" s="860"/>
      <c r="AR1101" s="860"/>
      <c r="AS1101" s="860"/>
      <c r="AT1101" s="860"/>
      <c r="AU1101" s="860"/>
      <c r="AV1101" s="860"/>
      <c r="AW1101" s="860"/>
      <c r="AX1101" s="860"/>
      <c r="AY1101" s="860"/>
      <c r="AZ1101" s="860"/>
      <c r="BA1101" s="860"/>
      <c r="BB1101" s="860"/>
      <c r="BC1101" s="860"/>
      <c r="BD1101" s="860"/>
      <c r="BE1101" s="860"/>
      <c r="BF1101" s="860"/>
      <c r="BG1101" s="860"/>
      <c r="BH1101" s="668"/>
      <c r="BI1101" s="667"/>
      <c r="BJ1101" s="690">
        <f t="shared" si="364"/>
        <v>0</v>
      </c>
      <c r="BK1101" s="691">
        <f t="shared" si="365"/>
        <v>0</v>
      </c>
      <c r="BL1101" s="654"/>
      <c r="BM1101" s="692">
        <f>SUMIFS(Imput[[Importe Neto]:[Importe Neto]],Imput[[C. Imp.]:[C. Imp.]],$D1101,Imput[[PERIODO Imp.]:[PERIODO Imp.]],BM$9)</f>
        <v>0</v>
      </c>
      <c r="BN1101" s="693">
        <f>SUMIFS(Imput[[Importe Neto]:[Importe Neto]],Imput[[C. Imp.]:[C. Imp.]],$D1101,Imput[[PERIODO Imp.]:[PERIODO Imp.]],BN$9)</f>
        <v>0</v>
      </c>
      <c r="BO1101" s="693">
        <f>SUMIFS(Imput[[Importe Neto]:[Importe Neto]],Imput[[C. Imp.]:[C. Imp.]],$D1101,Imput[[PERIODO Imp.]:[PERIODO Imp.]],BO$9)</f>
        <v>0</v>
      </c>
      <c r="BP1101" s="693">
        <f>SUMIFS(Imput[[Importe Neto]:[Importe Neto]],Imput[[C. Imp.]:[C. Imp.]],$D1101,Imput[[PERIODO Imp.]:[PERIODO Imp.]],BP$9)</f>
        <v>0</v>
      </c>
      <c r="BQ1101" s="693">
        <f>SUMIFS(Imput[[Importe Neto]:[Importe Neto]],Imput[[C. Imp.]:[C. Imp.]],$D1101,Imput[[PERIODO Imp.]:[PERIODO Imp.]],BQ$9)</f>
        <v>0</v>
      </c>
      <c r="BR1101" s="693">
        <f>SUMIFS(Imput[[Importe Neto]:[Importe Neto]],Imput[[C. Imp.]:[C. Imp.]],$D1101,Imput[[PERIODO Imp.]:[PERIODO Imp.]],BR$9)</f>
        <v>0</v>
      </c>
      <c r="BS1101" s="693">
        <f>SUMIFS(Imput[[Importe Neto]:[Importe Neto]],Imput[[C. Imp.]:[C. Imp.]],$D1101,Imput[[PERIODO Imp.]:[PERIODO Imp.]],BS$9)</f>
        <v>0</v>
      </c>
      <c r="BT1101" s="693">
        <f>SUMIFS(Imput[[Importe Neto]:[Importe Neto]],Imput[[C. Imp.]:[C. Imp.]],$D1101,Imput[[PERIODO Imp.]:[PERIODO Imp.]],BT$9)</f>
        <v>0</v>
      </c>
      <c r="BU1101" s="693">
        <f>SUMIFS(Imput[[Importe Neto]:[Importe Neto]],Imput[[C. Imp.]:[C. Imp.]],$D1101,Imput[[PERIODO Imp.]:[PERIODO Imp.]],BU$9)</f>
        <v>0</v>
      </c>
      <c r="BV1101" s="693">
        <f>SUMIFS(Imput[[Importe Neto]:[Importe Neto]],Imput[[C. Imp.]:[C. Imp.]],$D1101,Imput[[PERIODO Imp.]:[PERIODO Imp.]],BV$9)</f>
        <v>0</v>
      </c>
      <c r="BW1101" s="693">
        <f>SUMIFS(Imput[[Importe Neto]:[Importe Neto]],Imput[[C. Imp.]:[C. Imp.]],$D1101,Imput[[PERIODO Imp.]:[PERIODO Imp.]],BW$9)</f>
        <v>0</v>
      </c>
      <c r="BX1101" s="693">
        <f>SUMIFS(Imput[[Importe Neto]:[Importe Neto]],Imput[[C. Imp.]:[C. Imp.]],$D1101,Imput[[PERIODO Imp.]:[PERIODO Imp.]],BX$9)</f>
        <v>0</v>
      </c>
      <c r="BY1101" s="693">
        <f>SUMIFS(Imput[[Importe Neto]:[Importe Neto]],Imput[[C. Imp.]:[C. Imp.]],$D1101,Imput[[PERIODO Imp.]:[PERIODO Imp.]],BY$9)</f>
        <v>0</v>
      </c>
      <c r="BZ1101" s="693">
        <f>SUMIFS(Imput[[Importe Neto]:[Importe Neto]],Imput[[C. Imp.]:[C. Imp.]],$D1101,Imput[[PERIODO Imp.]:[PERIODO Imp.]],BZ$9)</f>
        <v>0</v>
      </c>
      <c r="CA1101" s="693">
        <f>SUMIFS(Imput[[Importe Neto]:[Importe Neto]],Imput[[C. Imp.]:[C. Imp.]],$D1101,Imput[[PERIODO Imp.]:[PERIODO Imp.]],CA$9)</f>
        <v>0</v>
      </c>
      <c r="CB1101" s="693">
        <f>SUMIFS(Imput[[Importe Neto]:[Importe Neto]],Imput[[C. Imp.]:[C. Imp.]],$D1101,Imput[[PERIODO Imp.]:[PERIODO Imp.]],CB$9)</f>
        <v>0</v>
      </c>
      <c r="CC1101" s="693">
        <f>SUMIFS(Imput[[Importe Neto]:[Importe Neto]],Imput[[C. Imp.]:[C. Imp.]],$D1101,Imput[[PERIODO Imp.]:[PERIODO Imp.]],CC$9)</f>
        <v>0</v>
      </c>
      <c r="CD1101" s="693">
        <f>SUMIFS(Imput[[Importe Neto]:[Importe Neto]],Imput[[C. Imp.]:[C. Imp.]],$D1101,Imput[[PERIODO Imp.]:[PERIODO Imp.]],CD$9)</f>
        <v>0</v>
      </c>
      <c r="CE1101" s="693">
        <f>SUMIFS(Imput[[Importe Neto]:[Importe Neto]],Imput[[C. Imp.]:[C. Imp.]],$D1101,Imput[[PERIODO Imp.]:[PERIODO Imp.]],CE$9)</f>
        <v>0</v>
      </c>
      <c r="CF1101" s="693">
        <f>SUMIFS(Imput[[Importe Neto]:[Importe Neto]],Imput[[C. Imp.]:[C. Imp.]],$D1101,Imput[[PERIODO Imp.]:[PERIODO Imp.]],CF$9)</f>
        <v>0</v>
      </c>
      <c r="CG1101" s="693">
        <f>SUMIFS(Imput[[Importe Neto]:[Importe Neto]],Imput[[C. Imp.]:[C. Imp.]],$D1101,Imput[[PERIODO Imp.]:[PERIODO Imp.]],CG$9)</f>
        <v>0</v>
      </c>
      <c r="CH1101" s="693">
        <f>SUMIFS(Imput[[Importe Neto]:[Importe Neto]],Imput[[C. Imp.]:[C. Imp.]],$D1101,Imput[[PERIODO Imp.]:[PERIODO Imp.]],CH$9)</f>
        <v>0</v>
      </c>
      <c r="CI1101" s="693">
        <f>SUMIFS(Imput[[Importe Neto]:[Importe Neto]],Imput[[C. Imp.]:[C. Imp.]],$D1101,Imput[[PERIODO Imp.]:[PERIODO Imp.]],CI$9)</f>
        <v>0</v>
      </c>
      <c r="CJ1101" s="693">
        <f>SUMIFS(Imput[[Importe Neto]:[Importe Neto]],Imput[[C. Imp.]:[C. Imp.]],$D1101,Imput[[PERIODO Imp.]:[PERIODO Imp.]],CJ$9)</f>
        <v>0</v>
      </c>
      <c r="CK1101" s="693">
        <f>SUMIFS(Imput[[Importe Neto]:[Importe Neto]],Imput[[C. Imp.]:[C. Imp.]],$D1101,Imput[[PERIODO Imp.]:[PERIODO Imp.]],CK$9)</f>
        <v>0</v>
      </c>
      <c r="CL1101" s="693">
        <f>SUMIFS(Imput[[Importe Neto]:[Importe Neto]],Imput[[C. Imp.]:[C. Imp.]],$D1101,Imput[[PERIODO Imp.]:[PERIODO Imp.]],CL$9)</f>
        <v>0</v>
      </c>
      <c r="CM1101" s="693">
        <f>SUMIFS(Imput[[Importe Neto]:[Importe Neto]],Imput[[C. Imp.]:[C. Imp.]],$D1101,Imput[[PERIODO Imp.]:[PERIODO Imp.]],CM$9)</f>
        <v>0</v>
      </c>
      <c r="CN1101" s="693">
        <f>SUMIFS(Imput[[Importe Neto]:[Importe Neto]],Imput[[C. Imp.]:[C. Imp.]],$D1101,Imput[[PERIODO Imp.]:[PERIODO Imp.]],CN$9)</f>
        <v>0</v>
      </c>
      <c r="CO1101" s="693">
        <f>SUMIFS(Imput[[Importe Neto]:[Importe Neto]],Imput[[C. Imp.]:[C. Imp.]],$D1101,Imput[[PERIODO Imp.]:[PERIODO Imp.]],CO$9)</f>
        <v>0</v>
      </c>
      <c r="CP1101" s="693">
        <f>SUMIFS(Imput[[Importe Neto]:[Importe Neto]],Imput[[C. Imp.]:[C. Imp.]],$D1101,Imput[[PERIODO Imp.]:[PERIODO Imp.]],CP$9)</f>
        <v>0</v>
      </c>
      <c r="CQ1101" s="693">
        <f>SUMIFS(Imput[[Importe Neto]:[Importe Neto]],Imput[[C. Imp.]:[C. Imp.]],$D1101,Imput[[PERIODO Imp.]:[PERIODO Imp.]],CQ$9)</f>
        <v>0</v>
      </c>
      <c r="CR1101" s="693">
        <f>SUMIFS(Imput[[Importe Neto]:[Importe Neto]],Imput[[C. Imp.]:[C. Imp.]],$D1101,Imput[[PERIODO Imp.]:[PERIODO Imp.]],CR$9)</f>
        <v>0</v>
      </c>
      <c r="CS1101" s="693">
        <f>SUMIFS(Imput[[Importe Neto]:[Importe Neto]],Imput[[C. Imp.]:[C. Imp.]],$D1101,Imput[[PERIODO Imp.]:[PERIODO Imp.]],CS$9)</f>
        <v>0</v>
      </c>
      <c r="CT1101" s="693">
        <f>SUMIFS(Imput[[Importe Neto]:[Importe Neto]],Imput[[C. Imp.]:[C. Imp.]],$D1101,Imput[[PERIODO Imp.]:[PERIODO Imp.]],CT$9)</f>
        <v>0</v>
      </c>
      <c r="CU1101" s="693">
        <f>SUMIFS(Imput[[Importe Neto]:[Importe Neto]],Imput[[C. Imp.]:[C. Imp.]],$D1101,Imput[[PERIODO Imp.]:[PERIODO Imp.]],CU$9)</f>
        <v>0</v>
      </c>
      <c r="CV1101" s="693">
        <f>SUMIFS(Imput[[Importe Neto]:[Importe Neto]],Imput[[C. Imp.]:[C. Imp.]],$D1101,Imput[[PERIODO Imp.]:[PERIODO Imp.]],CV$9)</f>
        <v>0</v>
      </c>
      <c r="CW1101" s="693">
        <f>SUMIFS(Imput[[Importe Neto]:[Importe Neto]],Imput[[C. Imp.]:[C. Imp.]],$D1101,Imput[[PERIODO Imp.]:[PERIODO Imp.]],CW$9)</f>
        <v>0</v>
      </c>
      <c r="CX1101" s="693">
        <f>SUMIFS(Imput[[Importe Neto]:[Importe Neto]],Imput[[C. Imp.]:[C. Imp.]],$D1101,Imput[[PERIODO Imp.]:[PERIODO Imp.]],CX$9)</f>
        <v>0</v>
      </c>
      <c r="CY1101" s="693">
        <f>SUMIFS(Imput[[Importe Neto]:[Importe Neto]],Imput[[C. Imp.]:[C. Imp.]],$D1101,Imput[[PERIODO Imp.]:[PERIODO Imp.]],CY$9)</f>
        <v>0</v>
      </c>
      <c r="CZ1101" s="693">
        <f>SUMIFS(Imput[[Importe Neto]:[Importe Neto]],Imput[[C. Imp.]:[C. Imp.]],$D1101,Imput[[PERIODO Imp.]:[PERIODO Imp.]],CZ$9)</f>
        <v>0</v>
      </c>
      <c r="DA1101" s="693">
        <f>SUMIFS(Imput[[Importe Neto]:[Importe Neto]],Imput[[C. Imp.]:[C. Imp.]],$D1101,Imput[[PERIODO Imp.]:[PERIODO Imp.]],DA$9)</f>
        <v>0</v>
      </c>
      <c r="DB1101" s="693">
        <f>SUMIFS(Imput[[Importe Neto]:[Importe Neto]],Imput[[C. Imp.]:[C. Imp.]],$D1101,Imput[[PERIODO Imp.]:[PERIODO Imp.]],DB$9)</f>
        <v>0</v>
      </c>
      <c r="DC1101" s="693">
        <f>SUMIFS(Imput[[Importe Neto]:[Importe Neto]],Imput[[C. Imp.]:[C. Imp.]],$D1101,Imput[[PERIODO Imp.]:[PERIODO Imp.]],DC$9)</f>
        <v>0</v>
      </c>
      <c r="DD1101" s="693">
        <f>SUMIFS(Imput[[Importe Neto]:[Importe Neto]],Imput[[C. Imp.]:[C. Imp.]],$D1101,Imput[[PERIODO Imp.]:[PERIODO Imp.]],DD$9)</f>
        <v>0</v>
      </c>
      <c r="DE1101" s="693">
        <f>SUMIFS(Imput[[Importe Neto]:[Importe Neto]],Imput[[C. Imp.]:[C. Imp.]],$D1101,Imput[[PERIODO Imp.]:[PERIODO Imp.]],DE$9)</f>
        <v>0</v>
      </c>
      <c r="DF1101" s="693">
        <f>SUMIFS(Imput[[Importe Neto]:[Importe Neto]],Imput[[C. Imp.]:[C. Imp.]],$D1101,Imput[[PERIODO Imp.]:[PERIODO Imp.]],DF$9)</f>
        <v>0</v>
      </c>
      <c r="DG1101" s="693">
        <f>SUMIFS(Imput[[Importe Neto]:[Importe Neto]],Imput[[C. Imp.]:[C. Imp.]],$D1101,Imput[[PERIODO Imp.]:[PERIODO Imp.]],DG$9)</f>
        <v>0</v>
      </c>
      <c r="DH1101" s="694">
        <f>SUMIFS(Imput[[Importe Neto]:[Importe Neto]],Imput[[C. Imp.]:[C. Imp.]],$D1101,Imput[[PERIODO Imp.]:[PERIODO Imp.]],DH$9)</f>
        <v>0</v>
      </c>
    </row>
    <row r="1102" spans="1:112" s="649" customFormat="1" hidden="1" outlineLevel="1" x14ac:dyDescent="0.3">
      <c r="A1102" s="652" t="str">
        <f t="shared" si="361"/>
        <v/>
      </c>
      <c r="B1102" s="652"/>
      <c r="C1102" s="685"/>
      <c r="D1102" s="686"/>
      <c r="E1102" s="686"/>
      <c r="F1102" s="720"/>
      <c r="G1102" s="688"/>
      <c r="H1102" s="689"/>
      <c r="I1102" s="851" t="str">
        <f t="shared" si="362"/>
        <v/>
      </c>
      <c r="J1102" s="850" t="str">
        <f t="shared" si="363"/>
        <v/>
      </c>
      <c r="K1102" s="667"/>
      <c r="L1102" s="858"/>
      <c r="M1102" s="859"/>
      <c r="N1102" s="859"/>
      <c r="O1102" s="859"/>
      <c r="P1102" s="859"/>
      <c r="Q1102" s="859"/>
      <c r="R1102" s="859"/>
      <c r="S1102" s="859"/>
      <c r="T1102" s="859"/>
      <c r="U1102" s="859"/>
      <c r="V1102" s="859"/>
      <c r="W1102" s="859"/>
      <c r="X1102" s="859"/>
      <c r="Y1102" s="859"/>
      <c r="Z1102" s="860"/>
      <c r="AA1102" s="860"/>
      <c r="AB1102" s="860"/>
      <c r="AC1102" s="860"/>
      <c r="AD1102" s="860"/>
      <c r="AE1102" s="860"/>
      <c r="AF1102" s="860"/>
      <c r="AG1102" s="860"/>
      <c r="AH1102" s="860"/>
      <c r="AI1102" s="860"/>
      <c r="AJ1102" s="860"/>
      <c r="AK1102" s="860"/>
      <c r="AL1102" s="860"/>
      <c r="AM1102" s="860"/>
      <c r="AN1102" s="860"/>
      <c r="AO1102" s="860"/>
      <c r="AP1102" s="860"/>
      <c r="AQ1102" s="860"/>
      <c r="AR1102" s="860"/>
      <c r="AS1102" s="860"/>
      <c r="AT1102" s="860"/>
      <c r="AU1102" s="860"/>
      <c r="AV1102" s="860"/>
      <c r="AW1102" s="860"/>
      <c r="AX1102" s="860"/>
      <c r="AY1102" s="860"/>
      <c r="AZ1102" s="860"/>
      <c r="BA1102" s="860"/>
      <c r="BB1102" s="860"/>
      <c r="BC1102" s="860"/>
      <c r="BD1102" s="860"/>
      <c r="BE1102" s="860"/>
      <c r="BF1102" s="860"/>
      <c r="BG1102" s="860"/>
      <c r="BH1102" s="668"/>
      <c r="BI1102" s="667"/>
      <c r="BJ1102" s="690">
        <f t="shared" si="364"/>
        <v>0</v>
      </c>
      <c r="BK1102" s="691">
        <f t="shared" si="365"/>
        <v>0</v>
      </c>
      <c r="BL1102" s="654"/>
      <c r="BM1102" s="692">
        <f>SUMIFS(Imput[[Importe Neto]:[Importe Neto]],Imput[[C. Imp.]:[C. Imp.]],$D1102,Imput[[PERIODO Imp.]:[PERIODO Imp.]],BM$9)</f>
        <v>0</v>
      </c>
      <c r="BN1102" s="693">
        <f>SUMIFS(Imput[[Importe Neto]:[Importe Neto]],Imput[[C. Imp.]:[C. Imp.]],$D1102,Imput[[PERIODO Imp.]:[PERIODO Imp.]],BN$9)</f>
        <v>0</v>
      </c>
      <c r="BO1102" s="693">
        <f>SUMIFS(Imput[[Importe Neto]:[Importe Neto]],Imput[[C. Imp.]:[C. Imp.]],$D1102,Imput[[PERIODO Imp.]:[PERIODO Imp.]],BO$9)</f>
        <v>0</v>
      </c>
      <c r="BP1102" s="693">
        <f>SUMIFS(Imput[[Importe Neto]:[Importe Neto]],Imput[[C. Imp.]:[C. Imp.]],$D1102,Imput[[PERIODO Imp.]:[PERIODO Imp.]],BP$9)</f>
        <v>0</v>
      </c>
      <c r="BQ1102" s="693">
        <f>SUMIFS(Imput[[Importe Neto]:[Importe Neto]],Imput[[C. Imp.]:[C. Imp.]],$D1102,Imput[[PERIODO Imp.]:[PERIODO Imp.]],BQ$9)</f>
        <v>0</v>
      </c>
      <c r="BR1102" s="693">
        <f>SUMIFS(Imput[[Importe Neto]:[Importe Neto]],Imput[[C. Imp.]:[C. Imp.]],$D1102,Imput[[PERIODO Imp.]:[PERIODO Imp.]],BR$9)</f>
        <v>0</v>
      </c>
      <c r="BS1102" s="693">
        <f>SUMIFS(Imput[[Importe Neto]:[Importe Neto]],Imput[[C. Imp.]:[C. Imp.]],$D1102,Imput[[PERIODO Imp.]:[PERIODO Imp.]],BS$9)</f>
        <v>0</v>
      </c>
      <c r="BT1102" s="693">
        <f>SUMIFS(Imput[[Importe Neto]:[Importe Neto]],Imput[[C. Imp.]:[C. Imp.]],$D1102,Imput[[PERIODO Imp.]:[PERIODO Imp.]],BT$9)</f>
        <v>0</v>
      </c>
      <c r="BU1102" s="693">
        <f>SUMIFS(Imput[[Importe Neto]:[Importe Neto]],Imput[[C. Imp.]:[C. Imp.]],$D1102,Imput[[PERIODO Imp.]:[PERIODO Imp.]],BU$9)</f>
        <v>0</v>
      </c>
      <c r="BV1102" s="693">
        <f>SUMIFS(Imput[[Importe Neto]:[Importe Neto]],Imput[[C. Imp.]:[C. Imp.]],$D1102,Imput[[PERIODO Imp.]:[PERIODO Imp.]],BV$9)</f>
        <v>0</v>
      </c>
      <c r="BW1102" s="693">
        <f>SUMIFS(Imput[[Importe Neto]:[Importe Neto]],Imput[[C. Imp.]:[C. Imp.]],$D1102,Imput[[PERIODO Imp.]:[PERIODO Imp.]],BW$9)</f>
        <v>0</v>
      </c>
      <c r="BX1102" s="693">
        <f>SUMIFS(Imput[[Importe Neto]:[Importe Neto]],Imput[[C. Imp.]:[C. Imp.]],$D1102,Imput[[PERIODO Imp.]:[PERIODO Imp.]],BX$9)</f>
        <v>0</v>
      </c>
      <c r="BY1102" s="693">
        <f>SUMIFS(Imput[[Importe Neto]:[Importe Neto]],Imput[[C. Imp.]:[C. Imp.]],$D1102,Imput[[PERIODO Imp.]:[PERIODO Imp.]],BY$9)</f>
        <v>0</v>
      </c>
      <c r="BZ1102" s="693">
        <f>SUMIFS(Imput[[Importe Neto]:[Importe Neto]],Imput[[C. Imp.]:[C. Imp.]],$D1102,Imput[[PERIODO Imp.]:[PERIODO Imp.]],BZ$9)</f>
        <v>0</v>
      </c>
      <c r="CA1102" s="693">
        <f>SUMIFS(Imput[[Importe Neto]:[Importe Neto]],Imput[[C. Imp.]:[C. Imp.]],$D1102,Imput[[PERIODO Imp.]:[PERIODO Imp.]],CA$9)</f>
        <v>0</v>
      </c>
      <c r="CB1102" s="693">
        <f>SUMIFS(Imput[[Importe Neto]:[Importe Neto]],Imput[[C. Imp.]:[C. Imp.]],$D1102,Imput[[PERIODO Imp.]:[PERIODO Imp.]],CB$9)</f>
        <v>0</v>
      </c>
      <c r="CC1102" s="693">
        <f>SUMIFS(Imput[[Importe Neto]:[Importe Neto]],Imput[[C. Imp.]:[C. Imp.]],$D1102,Imput[[PERIODO Imp.]:[PERIODO Imp.]],CC$9)</f>
        <v>0</v>
      </c>
      <c r="CD1102" s="693">
        <f>SUMIFS(Imput[[Importe Neto]:[Importe Neto]],Imput[[C. Imp.]:[C. Imp.]],$D1102,Imput[[PERIODO Imp.]:[PERIODO Imp.]],CD$9)</f>
        <v>0</v>
      </c>
      <c r="CE1102" s="693">
        <f>SUMIFS(Imput[[Importe Neto]:[Importe Neto]],Imput[[C. Imp.]:[C. Imp.]],$D1102,Imput[[PERIODO Imp.]:[PERIODO Imp.]],CE$9)</f>
        <v>0</v>
      </c>
      <c r="CF1102" s="693">
        <f>SUMIFS(Imput[[Importe Neto]:[Importe Neto]],Imput[[C. Imp.]:[C. Imp.]],$D1102,Imput[[PERIODO Imp.]:[PERIODO Imp.]],CF$9)</f>
        <v>0</v>
      </c>
      <c r="CG1102" s="693">
        <f>SUMIFS(Imput[[Importe Neto]:[Importe Neto]],Imput[[C. Imp.]:[C. Imp.]],$D1102,Imput[[PERIODO Imp.]:[PERIODO Imp.]],CG$9)</f>
        <v>0</v>
      </c>
      <c r="CH1102" s="693">
        <f>SUMIFS(Imput[[Importe Neto]:[Importe Neto]],Imput[[C. Imp.]:[C. Imp.]],$D1102,Imput[[PERIODO Imp.]:[PERIODO Imp.]],CH$9)</f>
        <v>0</v>
      </c>
      <c r="CI1102" s="693">
        <f>SUMIFS(Imput[[Importe Neto]:[Importe Neto]],Imput[[C. Imp.]:[C. Imp.]],$D1102,Imput[[PERIODO Imp.]:[PERIODO Imp.]],CI$9)</f>
        <v>0</v>
      </c>
      <c r="CJ1102" s="693">
        <f>SUMIFS(Imput[[Importe Neto]:[Importe Neto]],Imput[[C. Imp.]:[C. Imp.]],$D1102,Imput[[PERIODO Imp.]:[PERIODO Imp.]],CJ$9)</f>
        <v>0</v>
      </c>
      <c r="CK1102" s="693">
        <f>SUMIFS(Imput[[Importe Neto]:[Importe Neto]],Imput[[C. Imp.]:[C. Imp.]],$D1102,Imput[[PERIODO Imp.]:[PERIODO Imp.]],CK$9)</f>
        <v>0</v>
      </c>
      <c r="CL1102" s="693">
        <f>SUMIFS(Imput[[Importe Neto]:[Importe Neto]],Imput[[C. Imp.]:[C. Imp.]],$D1102,Imput[[PERIODO Imp.]:[PERIODO Imp.]],CL$9)</f>
        <v>0</v>
      </c>
      <c r="CM1102" s="693">
        <f>SUMIFS(Imput[[Importe Neto]:[Importe Neto]],Imput[[C. Imp.]:[C. Imp.]],$D1102,Imput[[PERIODO Imp.]:[PERIODO Imp.]],CM$9)</f>
        <v>0</v>
      </c>
      <c r="CN1102" s="693">
        <f>SUMIFS(Imput[[Importe Neto]:[Importe Neto]],Imput[[C. Imp.]:[C. Imp.]],$D1102,Imput[[PERIODO Imp.]:[PERIODO Imp.]],CN$9)</f>
        <v>0</v>
      </c>
      <c r="CO1102" s="693">
        <f>SUMIFS(Imput[[Importe Neto]:[Importe Neto]],Imput[[C. Imp.]:[C. Imp.]],$D1102,Imput[[PERIODO Imp.]:[PERIODO Imp.]],CO$9)</f>
        <v>0</v>
      </c>
      <c r="CP1102" s="693">
        <f>SUMIFS(Imput[[Importe Neto]:[Importe Neto]],Imput[[C. Imp.]:[C. Imp.]],$D1102,Imput[[PERIODO Imp.]:[PERIODO Imp.]],CP$9)</f>
        <v>0</v>
      </c>
      <c r="CQ1102" s="693">
        <f>SUMIFS(Imput[[Importe Neto]:[Importe Neto]],Imput[[C. Imp.]:[C. Imp.]],$D1102,Imput[[PERIODO Imp.]:[PERIODO Imp.]],CQ$9)</f>
        <v>0</v>
      </c>
      <c r="CR1102" s="693">
        <f>SUMIFS(Imput[[Importe Neto]:[Importe Neto]],Imput[[C. Imp.]:[C. Imp.]],$D1102,Imput[[PERIODO Imp.]:[PERIODO Imp.]],CR$9)</f>
        <v>0</v>
      </c>
      <c r="CS1102" s="693">
        <f>SUMIFS(Imput[[Importe Neto]:[Importe Neto]],Imput[[C. Imp.]:[C. Imp.]],$D1102,Imput[[PERIODO Imp.]:[PERIODO Imp.]],CS$9)</f>
        <v>0</v>
      </c>
      <c r="CT1102" s="693">
        <f>SUMIFS(Imput[[Importe Neto]:[Importe Neto]],Imput[[C. Imp.]:[C. Imp.]],$D1102,Imput[[PERIODO Imp.]:[PERIODO Imp.]],CT$9)</f>
        <v>0</v>
      </c>
      <c r="CU1102" s="693">
        <f>SUMIFS(Imput[[Importe Neto]:[Importe Neto]],Imput[[C. Imp.]:[C. Imp.]],$D1102,Imput[[PERIODO Imp.]:[PERIODO Imp.]],CU$9)</f>
        <v>0</v>
      </c>
      <c r="CV1102" s="693">
        <f>SUMIFS(Imput[[Importe Neto]:[Importe Neto]],Imput[[C. Imp.]:[C. Imp.]],$D1102,Imput[[PERIODO Imp.]:[PERIODO Imp.]],CV$9)</f>
        <v>0</v>
      </c>
      <c r="CW1102" s="693">
        <f>SUMIFS(Imput[[Importe Neto]:[Importe Neto]],Imput[[C. Imp.]:[C. Imp.]],$D1102,Imput[[PERIODO Imp.]:[PERIODO Imp.]],CW$9)</f>
        <v>0</v>
      </c>
      <c r="CX1102" s="693">
        <f>SUMIFS(Imput[[Importe Neto]:[Importe Neto]],Imput[[C. Imp.]:[C. Imp.]],$D1102,Imput[[PERIODO Imp.]:[PERIODO Imp.]],CX$9)</f>
        <v>0</v>
      </c>
      <c r="CY1102" s="693">
        <f>SUMIFS(Imput[[Importe Neto]:[Importe Neto]],Imput[[C. Imp.]:[C. Imp.]],$D1102,Imput[[PERIODO Imp.]:[PERIODO Imp.]],CY$9)</f>
        <v>0</v>
      </c>
      <c r="CZ1102" s="693">
        <f>SUMIFS(Imput[[Importe Neto]:[Importe Neto]],Imput[[C. Imp.]:[C. Imp.]],$D1102,Imput[[PERIODO Imp.]:[PERIODO Imp.]],CZ$9)</f>
        <v>0</v>
      </c>
      <c r="DA1102" s="693">
        <f>SUMIFS(Imput[[Importe Neto]:[Importe Neto]],Imput[[C. Imp.]:[C. Imp.]],$D1102,Imput[[PERIODO Imp.]:[PERIODO Imp.]],DA$9)</f>
        <v>0</v>
      </c>
      <c r="DB1102" s="693">
        <f>SUMIFS(Imput[[Importe Neto]:[Importe Neto]],Imput[[C. Imp.]:[C. Imp.]],$D1102,Imput[[PERIODO Imp.]:[PERIODO Imp.]],DB$9)</f>
        <v>0</v>
      </c>
      <c r="DC1102" s="693">
        <f>SUMIFS(Imput[[Importe Neto]:[Importe Neto]],Imput[[C. Imp.]:[C. Imp.]],$D1102,Imput[[PERIODO Imp.]:[PERIODO Imp.]],DC$9)</f>
        <v>0</v>
      </c>
      <c r="DD1102" s="693">
        <f>SUMIFS(Imput[[Importe Neto]:[Importe Neto]],Imput[[C. Imp.]:[C. Imp.]],$D1102,Imput[[PERIODO Imp.]:[PERIODO Imp.]],DD$9)</f>
        <v>0</v>
      </c>
      <c r="DE1102" s="693">
        <f>SUMIFS(Imput[[Importe Neto]:[Importe Neto]],Imput[[C. Imp.]:[C. Imp.]],$D1102,Imput[[PERIODO Imp.]:[PERIODO Imp.]],DE$9)</f>
        <v>0</v>
      </c>
      <c r="DF1102" s="693">
        <f>SUMIFS(Imput[[Importe Neto]:[Importe Neto]],Imput[[C. Imp.]:[C. Imp.]],$D1102,Imput[[PERIODO Imp.]:[PERIODO Imp.]],DF$9)</f>
        <v>0</v>
      </c>
      <c r="DG1102" s="693">
        <f>SUMIFS(Imput[[Importe Neto]:[Importe Neto]],Imput[[C. Imp.]:[C. Imp.]],$D1102,Imput[[PERIODO Imp.]:[PERIODO Imp.]],DG$9)</f>
        <v>0</v>
      </c>
      <c r="DH1102" s="694">
        <f>SUMIFS(Imput[[Importe Neto]:[Importe Neto]],Imput[[C. Imp.]:[C. Imp.]],$D1102,Imput[[PERIODO Imp.]:[PERIODO Imp.]],DH$9)</f>
        <v>0</v>
      </c>
    </row>
    <row r="1103" spans="1:112" s="649" customFormat="1" hidden="1" outlineLevel="1" x14ac:dyDescent="0.3">
      <c r="A1103" s="652" t="str">
        <f t="shared" si="361"/>
        <v/>
      </c>
      <c r="B1103" s="652"/>
      <c r="C1103" s="685"/>
      <c r="D1103" s="686"/>
      <c r="E1103" s="686"/>
      <c r="F1103" s="720"/>
      <c r="G1103" s="688"/>
      <c r="H1103" s="689"/>
      <c r="I1103" s="851" t="str">
        <f t="shared" si="362"/>
        <v/>
      </c>
      <c r="J1103" s="850" t="str">
        <f t="shared" si="363"/>
        <v/>
      </c>
      <c r="K1103" s="667"/>
      <c r="L1103" s="858"/>
      <c r="M1103" s="859"/>
      <c r="N1103" s="859"/>
      <c r="O1103" s="859"/>
      <c r="P1103" s="859"/>
      <c r="Q1103" s="859"/>
      <c r="R1103" s="859"/>
      <c r="S1103" s="859"/>
      <c r="T1103" s="859"/>
      <c r="U1103" s="859"/>
      <c r="V1103" s="859"/>
      <c r="W1103" s="859"/>
      <c r="X1103" s="859"/>
      <c r="Y1103" s="859"/>
      <c r="Z1103" s="860"/>
      <c r="AA1103" s="860"/>
      <c r="AB1103" s="860"/>
      <c r="AC1103" s="860"/>
      <c r="AD1103" s="860"/>
      <c r="AE1103" s="860"/>
      <c r="AF1103" s="860"/>
      <c r="AG1103" s="860"/>
      <c r="AH1103" s="860"/>
      <c r="AI1103" s="860"/>
      <c r="AJ1103" s="860"/>
      <c r="AK1103" s="860"/>
      <c r="AL1103" s="860"/>
      <c r="AM1103" s="860"/>
      <c r="AN1103" s="860"/>
      <c r="AO1103" s="860"/>
      <c r="AP1103" s="860"/>
      <c r="AQ1103" s="860"/>
      <c r="AR1103" s="860"/>
      <c r="AS1103" s="860"/>
      <c r="AT1103" s="860"/>
      <c r="AU1103" s="860"/>
      <c r="AV1103" s="860"/>
      <c r="AW1103" s="860"/>
      <c r="AX1103" s="860"/>
      <c r="AY1103" s="860"/>
      <c r="AZ1103" s="860"/>
      <c r="BA1103" s="860"/>
      <c r="BB1103" s="860"/>
      <c r="BC1103" s="860"/>
      <c r="BD1103" s="860"/>
      <c r="BE1103" s="860"/>
      <c r="BF1103" s="860"/>
      <c r="BG1103" s="860"/>
      <c r="BH1103" s="668"/>
      <c r="BI1103" s="667"/>
      <c r="BJ1103" s="690">
        <f t="shared" si="364"/>
        <v>0</v>
      </c>
      <c r="BK1103" s="691">
        <f t="shared" si="365"/>
        <v>0</v>
      </c>
      <c r="BL1103" s="654"/>
      <c r="BM1103" s="692">
        <f>SUMIFS(Imput[[Importe Neto]:[Importe Neto]],Imput[[C. Imp.]:[C. Imp.]],$D1103,Imput[[PERIODO Imp.]:[PERIODO Imp.]],BM$9)</f>
        <v>0</v>
      </c>
      <c r="BN1103" s="693">
        <f>SUMIFS(Imput[[Importe Neto]:[Importe Neto]],Imput[[C. Imp.]:[C. Imp.]],$D1103,Imput[[PERIODO Imp.]:[PERIODO Imp.]],BN$9)</f>
        <v>0</v>
      </c>
      <c r="BO1103" s="693">
        <f>SUMIFS(Imput[[Importe Neto]:[Importe Neto]],Imput[[C. Imp.]:[C. Imp.]],$D1103,Imput[[PERIODO Imp.]:[PERIODO Imp.]],BO$9)</f>
        <v>0</v>
      </c>
      <c r="BP1103" s="693">
        <f>SUMIFS(Imput[[Importe Neto]:[Importe Neto]],Imput[[C. Imp.]:[C. Imp.]],$D1103,Imput[[PERIODO Imp.]:[PERIODO Imp.]],BP$9)</f>
        <v>0</v>
      </c>
      <c r="BQ1103" s="693">
        <f>SUMIFS(Imput[[Importe Neto]:[Importe Neto]],Imput[[C. Imp.]:[C. Imp.]],$D1103,Imput[[PERIODO Imp.]:[PERIODO Imp.]],BQ$9)</f>
        <v>0</v>
      </c>
      <c r="BR1103" s="693">
        <f>SUMIFS(Imput[[Importe Neto]:[Importe Neto]],Imput[[C. Imp.]:[C. Imp.]],$D1103,Imput[[PERIODO Imp.]:[PERIODO Imp.]],BR$9)</f>
        <v>0</v>
      </c>
      <c r="BS1103" s="693">
        <f>SUMIFS(Imput[[Importe Neto]:[Importe Neto]],Imput[[C. Imp.]:[C. Imp.]],$D1103,Imput[[PERIODO Imp.]:[PERIODO Imp.]],BS$9)</f>
        <v>0</v>
      </c>
      <c r="BT1103" s="693">
        <f>SUMIFS(Imput[[Importe Neto]:[Importe Neto]],Imput[[C. Imp.]:[C. Imp.]],$D1103,Imput[[PERIODO Imp.]:[PERIODO Imp.]],BT$9)</f>
        <v>0</v>
      </c>
      <c r="BU1103" s="693">
        <f>SUMIFS(Imput[[Importe Neto]:[Importe Neto]],Imput[[C. Imp.]:[C. Imp.]],$D1103,Imput[[PERIODO Imp.]:[PERIODO Imp.]],BU$9)</f>
        <v>0</v>
      </c>
      <c r="BV1103" s="693">
        <f>SUMIFS(Imput[[Importe Neto]:[Importe Neto]],Imput[[C. Imp.]:[C. Imp.]],$D1103,Imput[[PERIODO Imp.]:[PERIODO Imp.]],BV$9)</f>
        <v>0</v>
      </c>
      <c r="BW1103" s="693">
        <f>SUMIFS(Imput[[Importe Neto]:[Importe Neto]],Imput[[C. Imp.]:[C. Imp.]],$D1103,Imput[[PERIODO Imp.]:[PERIODO Imp.]],BW$9)</f>
        <v>0</v>
      </c>
      <c r="BX1103" s="693">
        <f>SUMIFS(Imput[[Importe Neto]:[Importe Neto]],Imput[[C. Imp.]:[C. Imp.]],$D1103,Imput[[PERIODO Imp.]:[PERIODO Imp.]],BX$9)</f>
        <v>0</v>
      </c>
      <c r="BY1103" s="693">
        <f>SUMIFS(Imput[[Importe Neto]:[Importe Neto]],Imput[[C. Imp.]:[C. Imp.]],$D1103,Imput[[PERIODO Imp.]:[PERIODO Imp.]],BY$9)</f>
        <v>0</v>
      </c>
      <c r="BZ1103" s="693">
        <f>SUMIFS(Imput[[Importe Neto]:[Importe Neto]],Imput[[C. Imp.]:[C. Imp.]],$D1103,Imput[[PERIODO Imp.]:[PERIODO Imp.]],BZ$9)</f>
        <v>0</v>
      </c>
      <c r="CA1103" s="693">
        <f>SUMIFS(Imput[[Importe Neto]:[Importe Neto]],Imput[[C. Imp.]:[C. Imp.]],$D1103,Imput[[PERIODO Imp.]:[PERIODO Imp.]],CA$9)</f>
        <v>0</v>
      </c>
      <c r="CB1103" s="693">
        <f>SUMIFS(Imput[[Importe Neto]:[Importe Neto]],Imput[[C. Imp.]:[C. Imp.]],$D1103,Imput[[PERIODO Imp.]:[PERIODO Imp.]],CB$9)</f>
        <v>0</v>
      </c>
      <c r="CC1103" s="693">
        <f>SUMIFS(Imput[[Importe Neto]:[Importe Neto]],Imput[[C. Imp.]:[C. Imp.]],$D1103,Imput[[PERIODO Imp.]:[PERIODO Imp.]],CC$9)</f>
        <v>0</v>
      </c>
      <c r="CD1103" s="693">
        <f>SUMIFS(Imput[[Importe Neto]:[Importe Neto]],Imput[[C. Imp.]:[C. Imp.]],$D1103,Imput[[PERIODO Imp.]:[PERIODO Imp.]],CD$9)</f>
        <v>0</v>
      </c>
      <c r="CE1103" s="693">
        <f>SUMIFS(Imput[[Importe Neto]:[Importe Neto]],Imput[[C. Imp.]:[C. Imp.]],$D1103,Imput[[PERIODO Imp.]:[PERIODO Imp.]],CE$9)</f>
        <v>0</v>
      </c>
      <c r="CF1103" s="693">
        <f>SUMIFS(Imput[[Importe Neto]:[Importe Neto]],Imput[[C. Imp.]:[C. Imp.]],$D1103,Imput[[PERIODO Imp.]:[PERIODO Imp.]],CF$9)</f>
        <v>0</v>
      </c>
      <c r="CG1103" s="693">
        <f>SUMIFS(Imput[[Importe Neto]:[Importe Neto]],Imput[[C. Imp.]:[C. Imp.]],$D1103,Imput[[PERIODO Imp.]:[PERIODO Imp.]],CG$9)</f>
        <v>0</v>
      </c>
      <c r="CH1103" s="693">
        <f>SUMIFS(Imput[[Importe Neto]:[Importe Neto]],Imput[[C. Imp.]:[C. Imp.]],$D1103,Imput[[PERIODO Imp.]:[PERIODO Imp.]],CH$9)</f>
        <v>0</v>
      </c>
      <c r="CI1103" s="693">
        <f>SUMIFS(Imput[[Importe Neto]:[Importe Neto]],Imput[[C. Imp.]:[C. Imp.]],$D1103,Imput[[PERIODO Imp.]:[PERIODO Imp.]],CI$9)</f>
        <v>0</v>
      </c>
      <c r="CJ1103" s="693">
        <f>SUMIFS(Imput[[Importe Neto]:[Importe Neto]],Imput[[C. Imp.]:[C. Imp.]],$D1103,Imput[[PERIODO Imp.]:[PERIODO Imp.]],CJ$9)</f>
        <v>0</v>
      </c>
      <c r="CK1103" s="693">
        <f>SUMIFS(Imput[[Importe Neto]:[Importe Neto]],Imput[[C. Imp.]:[C. Imp.]],$D1103,Imput[[PERIODO Imp.]:[PERIODO Imp.]],CK$9)</f>
        <v>0</v>
      </c>
      <c r="CL1103" s="693">
        <f>SUMIFS(Imput[[Importe Neto]:[Importe Neto]],Imput[[C. Imp.]:[C. Imp.]],$D1103,Imput[[PERIODO Imp.]:[PERIODO Imp.]],CL$9)</f>
        <v>0</v>
      </c>
      <c r="CM1103" s="693">
        <f>SUMIFS(Imput[[Importe Neto]:[Importe Neto]],Imput[[C. Imp.]:[C. Imp.]],$D1103,Imput[[PERIODO Imp.]:[PERIODO Imp.]],CM$9)</f>
        <v>0</v>
      </c>
      <c r="CN1103" s="693">
        <f>SUMIFS(Imput[[Importe Neto]:[Importe Neto]],Imput[[C. Imp.]:[C. Imp.]],$D1103,Imput[[PERIODO Imp.]:[PERIODO Imp.]],CN$9)</f>
        <v>0</v>
      </c>
      <c r="CO1103" s="693">
        <f>SUMIFS(Imput[[Importe Neto]:[Importe Neto]],Imput[[C. Imp.]:[C. Imp.]],$D1103,Imput[[PERIODO Imp.]:[PERIODO Imp.]],CO$9)</f>
        <v>0</v>
      </c>
      <c r="CP1103" s="693">
        <f>SUMIFS(Imput[[Importe Neto]:[Importe Neto]],Imput[[C. Imp.]:[C. Imp.]],$D1103,Imput[[PERIODO Imp.]:[PERIODO Imp.]],CP$9)</f>
        <v>0</v>
      </c>
      <c r="CQ1103" s="693">
        <f>SUMIFS(Imput[[Importe Neto]:[Importe Neto]],Imput[[C. Imp.]:[C. Imp.]],$D1103,Imput[[PERIODO Imp.]:[PERIODO Imp.]],CQ$9)</f>
        <v>0</v>
      </c>
      <c r="CR1103" s="693">
        <f>SUMIFS(Imput[[Importe Neto]:[Importe Neto]],Imput[[C. Imp.]:[C. Imp.]],$D1103,Imput[[PERIODO Imp.]:[PERIODO Imp.]],CR$9)</f>
        <v>0</v>
      </c>
      <c r="CS1103" s="693">
        <f>SUMIFS(Imput[[Importe Neto]:[Importe Neto]],Imput[[C. Imp.]:[C. Imp.]],$D1103,Imput[[PERIODO Imp.]:[PERIODO Imp.]],CS$9)</f>
        <v>0</v>
      </c>
      <c r="CT1103" s="693">
        <f>SUMIFS(Imput[[Importe Neto]:[Importe Neto]],Imput[[C. Imp.]:[C. Imp.]],$D1103,Imput[[PERIODO Imp.]:[PERIODO Imp.]],CT$9)</f>
        <v>0</v>
      </c>
      <c r="CU1103" s="693">
        <f>SUMIFS(Imput[[Importe Neto]:[Importe Neto]],Imput[[C. Imp.]:[C. Imp.]],$D1103,Imput[[PERIODO Imp.]:[PERIODO Imp.]],CU$9)</f>
        <v>0</v>
      </c>
      <c r="CV1103" s="693">
        <f>SUMIFS(Imput[[Importe Neto]:[Importe Neto]],Imput[[C. Imp.]:[C. Imp.]],$D1103,Imput[[PERIODO Imp.]:[PERIODO Imp.]],CV$9)</f>
        <v>0</v>
      </c>
      <c r="CW1103" s="693">
        <f>SUMIFS(Imput[[Importe Neto]:[Importe Neto]],Imput[[C. Imp.]:[C. Imp.]],$D1103,Imput[[PERIODO Imp.]:[PERIODO Imp.]],CW$9)</f>
        <v>0</v>
      </c>
      <c r="CX1103" s="693">
        <f>SUMIFS(Imput[[Importe Neto]:[Importe Neto]],Imput[[C. Imp.]:[C. Imp.]],$D1103,Imput[[PERIODO Imp.]:[PERIODO Imp.]],CX$9)</f>
        <v>0</v>
      </c>
      <c r="CY1103" s="693">
        <f>SUMIFS(Imput[[Importe Neto]:[Importe Neto]],Imput[[C. Imp.]:[C. Imp.]],$D1103,Imput[[PERIODO Imp.]:[PERIODO Imp.]],CY$9)</f>
        <v>0</v>
      </c>
      <c r="CZ1103" s="693">
        <f>SUMIFS(Imput[[Importe Neto]:[Importe Neto]],Imput[[C. Imp.]:[C. Imp.]],$D1103,Imput[[PERIODO Imp.]:[PERIODO Imp.]],CZ$9)</f>
        <v>0</v>
      </c>
      <c r="DA1103" s="693">
        <f>SUMIFS(Imput[[Importe Neto]:[Importe Neto]],Imput[[C. Imp.]:[C. Imp.]],$D1103,Imput[[PERIODO Imp.]:[PERIODO Imp.]],DA$9)</f>
        <v>0</v>
      </c>
      <c r="DB1103" s="693">
        <f>SUMIFS(Imput[[Importe Neto]:[Importe Neto]],Imput[[C. Imp.]:[C. Imp.]],$D1103,Imput[[PERIODO Imp.]:[PERIODO Imp.]],DB$9)</f>
        <v>0</v>
      </c>
      <c r="DC1103" s="693">
        <f>SUMIFS(Imput[[Importe Neto]:[Importe Neto]],Imput[[C. Imp.]:[C. Imp.]],$D1103,Imput[[PERIODO Imp.]:[PERIODO Imp.]],DC$9)</f>
        <v>0</v>
      </c>
      <c r="DD1103" s="693">
        <f>SUMIFS(Imput[[Importe Neto]:[Importe Neto]],Imput[[C. Imp.]:[C. Imp.]],$D1103,Imput[[PERIODO Imp.]:[PERIODO Imp.]],DD$9)</f>
        <v>0</v>
      </c>
      <c r="DE1103" s="693">
        <f>SUMIFS(Imput[[Importe Neto]:[Importe Neto]],Imput[[C. Imp.]:[C. Imp.]],$D1103,Imput[[PERIODO Imp.]:[PERIODO Imp.]],DE$9)</f>
        <v>0</v>
      </c>
      <c r="DF1103" s="693">
        <f>SUMIFS(Imput[[Importe Neto]:[Importe Neto]],Imput[[C. Imp.]:[C. Imp.]],$D1103,Imput[[PERIODO Imp.]:[PERIODO Imp.]],DF$9)</f>
        <v>0</v>
      </c>
      <c r="DG1103" s="693">
        <f>SUMIFS(Imput[[Importe Neto]:[Importe Neto]],Imput[[C. Imp.]:[C. Imp.]],$D1103,Imput[[PERIODO Imp.]:[PERIODO Imp.]],DG$9)</f>
        <v>0</v>
      </c>
      <c r="DH1103" s="694">
        <f>SUMIFS(Imput[[Importe Neto]:[Importe Neto]],Imput[[C. Imp.]:[C. Imp.]],$D1103,Imput[[PERIODO Imp.]:[PERIODO Imp.]],DH$9)</f>
        <v>0</v>
      </c>
    </row>
    <row r="1104" spans="1:112" s="649" customFormat="1" hidden="1" outlineLevel="1" x14ac:dyDescent="0.3">
      <c r="A1104" s="652" t="str">
        <f t="shared" si="361"/>
        <v/>
      </c>
      <c r="B1104" s="652"/>
      <c r="C1104" s="685"/>
      <c r="D1104" s="686"/>
      <c r="E1104" s="686"/>
      <c r="F1104" s="720"/>
      <c r="G1104" s="688"/>
      <c r="H1104" s="689"/>
      <c r="I1104" s="851" t="str">
        <f t="shared" si="362"/>
        <v/>
      </c>
      <c r="J1104" s="850" t="str">
        <f t="shared" si="363"/>
        <v/>
      </c>
      <c r="K1104" s="667"/>
      <c r="L1104" s="858"/>
      <c r="M1104" s="859"/>
      <c r="N1104" s="859"/>
      <c r="O1104" s="859"/>
      <c r="P1104" s="859"/>
      <c r="Q1104" s="859"/>
      <c r="R1104" s="859"/>
      <c r="S1104" s="859"/>
      <c r="T1104" s="859"/>
      <c r="U1104" s="859"/>
      <c r="V1104" s="859"/>
      <c r="W1104" s="859"/>
      <c r="X1104" s="859"/>
      <c r="Y1104" s="859"/>
      <c r="Z1104" s="860"/>
      <c r="AA1104" s="860"/>
      <c r="AB1104" s="860"/>
      <c r="AC1104" s="860"/>
      <c r="AD1104" s="860"/>
      <c r="AE1104" s="860"/>
      <c r="AF1104" s="860"/>
      <c r="AG1104" s="860"/>
      <c r="AH1104" s="860"/>
      <c r="AI1104" s="860"/>
      <c r="AJ1104" s="860"/>
      <c r="AK1104" s="860"/>
      <c r="AL1104" s="860"/>
      <c r="AM1104" s="860"/>
      <c r="AN1104" s="860"/>
      <c r="AO1104" s="860"/>
      <c r="AP1104" s="860"/>
      <c r="AQ1104" s="860"/>
      <c r="AR1104" s="860"/>
      <c r="AS1104" s="860"/>
      <c r="AT1104" s="860"/>
      <c r="AU1104" s="860"/>
      <c r="AV1104" s="860"/>
      <c r="AW1104" s="860"/>
      <c r="AX1104" s="860"/>
      <c r="AY1104" s="860"/>
      <c r="AZ1104" s="860"/>
      <c r="BA1104" s="860"/>
      <c r="BB1104" s="860"/>
      <c r="BC1104" s="860"/>
      <c r="BD1104" s="860"/>
      <c r="BE1104" s="860"/>
      <c r="BF1104" s="860"/>
      <c r="BG1104" s="860"/>
      <c r="BH1104" s="668"/>
      <c r="BI1104" s="654"/>
      <c r="BJ1104" s="690">
        <f t="shared" si="364"/>
        <v>0</v>
      </c>
      <c r="BK1104" s="691">
        <f t="shared" si="365"/>
        <v>0</v>
      </c>
      <c r="BL1104" s="654"/>
      <c r="BM1104" s="692">
        <f>SUMIFS(Imput[[Importe Neto]:[Importe Neto]],Imput[[C. Imp.]:[C. Imp.]],$D1104,Imput[[PERIODO Imp.]:[PERIODO Imp.]],BM$9)</f>
        <v>0</v>
      </c>
      <c r="BN1104" s="693">
        <f>SUMIFS(Imput[[Importe Neto]:[Importe Neto]],Imput[[C. Imp.]:[C. Imp.]],$D1104,Imput[[PERIODO Imp.]:[PERIODO Imp.]],BN$9)</f>
        <v>0</v>
      </c>
      <c r="BO1104" s="693">
        <f>SUMIFS(Imput[[Importe Neto]:[Importe Neto]],Imput[[C. Imp.]:[C. Imp.]],$D1104,Imput[[PERIODO Imp.]:[PERIODO Imp.]],BO$9)</f>
        <v>0</v>
      </c>
      <c r="BP1104" s="693">
        <f>SUMIFS(Imput[[Importe Neto]:[Importe Neto]],Imput[[C. Imp.]:[C. Imp.]],$D1104,Imput[[PERIODO Imp.]:[PERIODO Imp.]],BP$9)</f>
        <v>0</v>
      </c>
      <c r="BQ1104" s="693">
        <f>SUMIFS(Imput[[Importe Neto]:[Importe Neto]],Imput[[C. Imp.]:[C. Imp.]],$D1104,Imput[[PERIODO Imp.]:[PERIODO Imp.]],BQ$9)</f>
        <v>0</v>
      </c>
      <c r="BR1104" s="693">
        <f>SUMIFS(Imput[[Importe Neto]:[Importe Neto]],Imput[[C. Imp.]:[C. Imp.]],$D1104,Imput[[PERIODO Imp.]:[PERIODO Imp.]],BR$9)</f>
        <v>0</v>
      </c>
      <c r="BS1104" s="693">
        <f>SUMIFS(Imput[[Importe Neto]:[Importe Neto]],Imput[[C. Imp.]:[C. Imp.]],$D1104,Imput[[PERIODO Imp.]:[PERIODO Imp.]],BS$9)</f>
        <v>0</v>
      </c>
      <c r="BT1104" s="693">
        <f>SUMIFS(Imput[[Importe Neto]:[Importe Neto]],Imput[[C. Imp.]:[C. Imp.]],$D1104,Imput[[PERIODO Imp.]:[PERIODO Imp.]],BT$9)</f>
        <v>0</v>
      </c>
      <c r="BU1104" s="693">
        <f>SUMIFS(Imput[[Importe Neto]:[Importe Neto]],Imput[[C. Imp.]:[C. Imp.]],$D1104,Imput[[PERIODO Imp.]:[PERIODO Imp.]],BU$9)</f>
        <v>0</v>
      </c>
      <c r="BV1104" s="693">
        <f>SUMIFS(Imput[[Importe Neto]:[Importe Neto]],Imput[[C. Imp.]:[C. Imp.]],$D1104,Imput[[PERIODO Imp.]:[PERIODO Imp.]],BV$9)</f>
        <v>0</v>
      </c>
      <c r="BW1104" s="693">
        <f>SUMIFS(Imput[[Importe Neto]:[Importe Neto]],Imput[[C. Imp.]:[C. Imp.]],$D1104,Imput[[PERIODO Imp.]:[PERIODO Imp.]],BW$9)</f>
        <v>0</v>
      </c>
      <c r="BX1104" s="693">
        <f>SUMIFS(Imput[[Importe Neto]:[Importe Neto]],Imput[[C. Imp.]:[C. Imp.]],$D1104,Imput[[PERIODO Imp.]:[PERIODO Imp.]],BX$9)</f>
        <v>0</v>
      </c>
      <c r="BY1104" s="693">
        <f>SUMIFS(Imput[[Importe Neto]:[Importe Neto]],Imput[[C. Imp.]:[C. Imp.]],$D1104,Imput[[PERIODO Imp.]:[PERIODO Imp.]],BY$9)</f>
        <v>0</v>
      </c>
      <c r="BZ1104" s="693">
        <f>SUMIFS(Imput[[Importe Neto]:[Importe Neto]],Imput[[C. Imp.]:[C. Imp.]],$D1104,Imput[[PERIODO Imp.]:[PERIODO Imp.]],BZ$9)</f>
        <v>0</v>
      </c>
      <c r="CA1104" s="693">
        <f>SUMIFS(Imput[[Importe Neto]:[Importe Neto]],Imput[[C. Imp.]:[C. Imp.]],$D1104,Imput[[PERIODO Imp.]:[PERIODO Imp.]],CA$9)</f>
        <v>0</v>
      </c>
      <c r="CB1104" s="693">
        <f>SUMIFS(Imput[[Importe Neto]:[Importe Neto]],Imput[[C. Imp.]:[C. Imp.]],$D1104,Imput[[PERIODO Imp.]:[PERIODO Imp.]],CB$9)</f>
        <v>0</v>
      </c>
      <c r="CC1104" s="693">
        <f>SUMIFS(Imput[[Importe Neto]:[Importe Neto]],Imput[[C. Imp.]:[C. Imp.]],$D1104,Imput[[PERIODO Imp.]:[PERIODO Imp.]],CC$9)</f>
        <v>0</v>
      </c>
      <c r="CD1104" s="693">
        <f>SUMIFS(Imput[[Importe Neto]:[Importe Neto]],Imput[[C. Imp.]:[C. Imp.]],$D1104,Imput[[PERIODO Imp.]:[PERIODO Imp.]],CD$9)</f>
        <v>0</v>
      </c>
      <c r="CE1104" s="693">
        <f>SUMIFS(Imput[[Importe Neto]:[Importe Neto]],Imput[[C. Imp.]:[C. Imp.]],$D1104,Imput[[PERIODO Imp.]:[PERIODO Imp.]],CE$9)</f>
        <v>0</v>
      </c>
      <c r="CF1104" s="693">
        <f>SUMIFS(Imput[[Importe Neto]:[Importe Neto]],Imput[[C. Imp.]:[C. Imp.]],$D1104,Imput[[PERIODO Imp.]:[PERIODO Imp.]],CF$9)</f>
        <v>0</v>
      </c>
      <c r="CG1104" s="693">
        <f>SUMIFS(Imput[[Importe Neto]:[Importe Neto]],Imput[[C. Imp.]:[C. Imp.]],$D1104,Imput[[PERIODO Imp.]:[PERIODO Imp.]],CG$9)</f>
        <v>0</v>
      </c>
      <c r="CH1104" s="693">
        <f>SUMIFS(Imput[[Importe Neto]:[Importe Neto]],Imput[[C. Imp.]:[C. Imp.]],$D1104,Imput[[PERIODO Imp.]:[PERIODO Imp.]],CH$9)</f>
        <v>0</v>
      </c>
      <c r="CI1104" s="693">
        <f>SUMIFS(Imput[[Importe Neto]:[Importe Neto]],Imput[[C. Imp.]:[C. Imp.]],$D1104,Imput[[PERIODO Imp.]:[PERIODO Imp.]],CI$9)</f>
        <v>0</v>
      </c>
      <c r="CJ1104" s="693">
        <f>SUMIFS(Imput[[Importe Neto]:[Importe Neto]],Imput[[C. Imp.]:[C. Imp.]],$D1104,Imput[[PERIODO Imp.]:[PERIODO Imp.]],CJ$9)</f>
        <v>0</v>
      </c>
      <c r="CK1104" s="693">
        <f>SUMIFS(Imput[[Importe Neto]:[Importe Neto]],Imput[[C. Imp.]:[C. Imp.]],$D1104,Imput[[PERIODO Imp.]:[PERIODO Imp.]],CK$9)</f>
        <v>0</v>
      </c>
      <c r="CL1104" s="693">
        <f>SUMIFS(Imput[[Importe Neto]:[Importe Neto]],Imput[[C. Imp.]:[C. Imp.]],$D1104,Imput[[PERIODO Imp.]:[PERIODO Imp.]],CL$9)</f>
        <v>0</v>
      </c>
      <c r="CM1104" s="693">
        <f>SUMIFS(Imput[[Importe Neto]:[Importe Neto]],Imput[[C. Imp.]:[C. Imp.]],$D1104,Imput[[PERIODO Imp.]:[PERIODO Imp.]],CM$9)</f>
        <v>0</v>
      </c>
      <c r="CN1104" s="693">
        <f>SUMIFS(Imput[[Importe Neto]:[Importe Neto]],Imput[[C. Imp.]:[C. Imp.]],$D1104,Imput[[PERIODO Imp.]:[PERIODO Imp.]],CN$9)</f>
        <v>0</v>
      </c>
      <c r="CO1104" s="693">
        <f>SUMIFS(Imput[[Importe Neto]:[Importe Neto]],Imput[[C. Imp.]:[C. Imp.]],$D1104,Imput[[PERIODO Imp.]:[PERIODO Imp.]],CO$9)</f>
        <v>0</v>
      </c>
      <c r="CP1104" s="693">
        <f>SUMIFS(Imput[[Importe Neto]:[Importe Neto]],Imput[[C. Imp.]:[C. Imp.]],$D1104,Imput[[PERIODO Imp.]:[PERIODO Imp.]],CP$9)</f>
        <v>0</v>
      </c>
      <c r="CQ1104" s="693">
        <f>SUMIFS(Imput[[Importe Neto]:[Importe Neto]],Imput[[C. Imp.]:[C. Imp.]],$D1104,Imput[[PERIODO Imp.]:[PERIODO Imp.]],CQ$9)</f>
        <v>0</v>
      </c>
      <c r="CR1104" s="693">
        <f>SUMIFS(Imput[[Importe Neto]:[Importe Neto]],Imput[[C. Imp.]:[C. Imp.]],$D1104,Imput[[PERIODO Imp.]:[PERIODO Imp.]],CR$9)</f>
        <v>0</v>
      </c>
      <c r="CS1104" s="693">
        <f>SUMIFS(Imput[[Importe Neto]:[Importe Neto]],Imput[[C. Imp.]:[C. Imp.]],$D1104,Imput[[PERIODO Imp.]:[PERIODO Imp.]],CS$9)</f>
        <v>0</v>
      </c>
      <c r="CT1104" s="693">
        <f>SUMIFS(Imput[[Importe Neto]:[Importe Neto]],Imput[[C. Imp.]:[C. Imp.]],$D1104,Imput[[PERIODO Imp.]:[PERIODO Imp.]],CT$9)</f>
        <v>0</v>
      </c>
      <c r="CU1104" s="693">
        <f>SUMIFS(Imput[[Importe Neto]:[Importe Neto]],Imput[[C. Imp.]:[C. Imp.]],$D1104,Imput[[PERIODO Imp.]:[PERIODO Imp.]],CU$9)</f>
        <v>0</v>
      </c>
      <c r="CV1104" s="693">
        <f>SUMIFS(Imput[[Importe Neto]:[Importe Neto]],Imput[[C. Imp.]:[C. Imp.]],$D1104,Imput[[PERIODO Imp.]:[PERIODO Imp.]],CV$9)</f>
        <v>0</v>
      </c>
      <c r="CW1104" s="693">
        <f>SUMIFS(Imput[[Importe Neto]:[Importe Neto]],Imput[[C. Imp.]:[C. Imp.]],$D1104,Imput[[PERIODO Imp.]:[PERIODO Imp.]],CW$9)</f>
        <v>0</v>
      </c>
      <c r="CX1104" s="693">
        <f>SUMIFS(Imput[[Importe Neto]:[Importe Neto]],Imput[[C. Imp.]:[C. Imp.]],$D1104,Imput[[PERIODO Imp.]:[PERIODO Imp.]],CX$9)</f>
        <v>0</v>
      </c>
      <c r="CY1104" s="693">
        <f>SUMIFS(Imput[[Importe Neto]:[Importe Neto]],Imput[[C. Imp.]:[C. Imp.]],$D1104,Imput[[PERIODO Imp.]:[PERIODO Imp.]],CY$9)</f>
        <v>0</v>
      </c>
      <c r="CZ1104" s="693">
        <f>SUMIFS(Imput[[Importe Neto]:[Importe Neto]],Imput[[C. Imp.]:[C. Imp.]],$D1104,Imput[[PERIODO Imp.]:[PERIODO Imp.]],CZ$9)</f>
        <v>0</v>
      </c>
      <c r="DA1104" s="693">
        <f>SUMIFS(Imput[[Importe Neto]:[Importe Neto]],Imput[[C. Imp.]:[C. Imp.]],$D1104,Imput[[PERIODO Imp.]:[PERIODO Imp.]],DA$9)</f>
        <v>0</v>
      </c>
      <c r="DB1104" s="693">
        <f>SUMIFS(Imput[[Importe Neto]:[Importe Neto]],Imput[[C. Imp.]:[C. Imp.]],$D1104,Imput[[PERIODO Imp.]:[PERIODO Imp.]],DB$9)</f>
        <v>0</v>
      </c>
      <c r="DC1104" s="693">
        <f>SUMIFS(Imput[[Importe Neto]:[Importe Neto]],Imput[[C. Imp.]:[C. Imp.]],$D1104,Imput[[PERIODO Imp.]:[PERIODO Imp.]],DC$9)</f>
        <v>0</v>
      </c>
      <c r="DD1104" s="693">
        <f>SUMIFS(Imput[[Importe Neto]:[Importe Neto]],Imput[[C. Imp.]:[C. Imp.]],$D1104,Imput[[PERIODO Imp.]:[PERIODO Imp.]],DD$9)</f>
        <v>0</v>
      </c>
      <c r="DE1104" s="693">
        <f>SUMIFS(Imput[[Importe Neto]:[Importe Neto]],Imput[[C. Imp.]:[C. Imp.]],$D1104,Imput[[PERIODO Imp.]:[PERIODO Imp.]],DE$9)</f>
        <v>0</v>
      </c>
      <c r="DF1104" s="693">
        <f>SUMIFS(Imput[[Importe Neto]:[Importe Neto]],Imput[[C. Imp.]:[C. Imp.]],$D1104,Imput[[PERIODO Imp.]:[PERIODO Imp.]],DF$9)</f>
        <v>0</v>
      </c>
      <c r="DG1104" s="693">
        <f>SUMIFS(Imput[[Importe Neto]:[Importe Neto]],Imput[[C. Imp.]:[C. Imp.]],$D1104,Imput[[PERIODO Imp.]:[PERIODO Imp.]],DG$9)</f>
        <v>0</v>
      </c>
      <c r="DH1104" s="694">
        <f>SUMIFS(Imput[[Importe Neto]:[Importe Neto]],Imput[[C. Imp.]:[C. Imp.]],$D1104,Imput[[PERIODO Imp.]:[PERIODO Imp.]],DH$9)</f>
        <v>0</v>
      </c>
    </row>
    <row r="1105" spans="1:112" s="649" customFormat="1" hidden="1" outlineLevel="1" x14ac:dyDescent="0.3">
      <c r="A1105" s="652" t="str">
        <f t="shared" si="361"/>
        <v/>
      </c>
      <c r="B1105" s="652"/>
      <c r="C1105" s="685"/>
      <c r="D1105" s="686"/>
      <c r="E1105" s="686"/>
      <c r="F1105" s="720"/>
      <c r="G1105" s="688"/>
      <c r="H1105" s="689"/>
      <c r="I1105" s="851" t="str">
        <f t="shared" si="362"/>
        <v/>
      </c>
      <c r="J1105" s="850" t="str">
        <f t="shared" si="363"/>
        <v/>
      </c>
      <c r="K1105" s="667"/>
      <c r="L1105" s="858"/>
      <c r="M1105" s="859"/>
      <c r="N1105" s="859"/>
      <c r="O1105" s="859"/>
      <c r="P1105" s="859"/>
      <c r="Q1105" s="859"/>
      <c r="R1105" s="859"/>
      <c r="S1105" s="859"/>
      <c r="T1105" s="859"/>
      <c r="U1105" s="859"/>
      <c r="V1105" s="859"/>
      <c r="W1105" s="859"/>
      <c r="X1105" s="859"/>
      <c r="Y1105" s="859"/>
      <c r="Z1105" s="860"/>
      <c r="AA1105" s="860"/>
      <c r="AB1105" s="860"/>
      <c r="AC1105" s="860"/>
      <c r="AD1105" s="860"/>
      <c r="AE1105" s="860"/>
      <c r="AF1105" s="860"/>
      <c r="AG1105" s="860"/>
      <c r="AH1105" s="860"/>
      <c r="AI1105" s="860"/>
      <c r="AJ1105" s="860"/>
      <c r="AK1105" s="860"/>
      <c r="AL1105" s="860"/>
      <c r="AM1105" s="860"/>
      <c r="AN1105" s="860"/>
      <c r="AO1105" s="860"/>
      <c r="AP1105" s="860"/>
      <c r="AQ1105" s="860"/>
      <c r="AR1105" s="860"/>
      <c r="AS1105" s="860"/>
      <c r="AT1105" s="860"/>
      <c r="AU1105" s="860"/>
      <c r="AV1105" s="860"/>
      <c r="AW1105" s="860"/>
      <c r="AX1105" s="860"/>
      <c r="AY1105" s="860"/>
      <c r="AZ1105" s="860"/>
      <c r="BA1105" s="860"/>
      <c r="BB1105" s="860"/>
      <c r="BC1105" s="860"/>
      <c r="BD1105" s="860"/>
      <c r="BE1105" s="860"/>
      <c r="BF1105" s="860"/>
      <c r="BG1105" s="860"/>
      <c r="BH1105" s="668"/>
      <c r="BI1105" s="654"/>
      <c r="BJ1105" s="690">
        <f t="shared" si="364"/>
        <v>0</v>
      </c>
      <c r="BK1105" s="691">
        <f t="shared" si="365"/>
        <v>0</v>
      </c>
      <c r="BL1105" s="654"/>
      <c r="BM1105" s="692">
        <f>SUMIFS(Imput[[Importe Neto]:[Importe Neto]],Imput[[C. Imp.]:[C. Imp.]],$D1105,Imput[[PERIODO Imp.]:[PERIODO Imp.]],BM$9)</f>
        <v>0</v>
      </c>
      <c r="BN1105" s="693">
        <f>SUMIFS(Imput[[Importe Neto]:[Importe Neto]],Imput[[C. Imp.]:[C. Imp.]],$D1105,Imput[[PERIODO Imp.]:[PERIODO Imp.]],BN$9)</f>
        <v>0</v>
      </c>
      <c r="BO1105" s="693">
        <f>SUMIFS(Imput[[Importe Neto]:[Importe Neto]],Imput[[C. Imp.]:[C. Imp.]],$D1105,Imput[[PERIODO Imp.]:[PERIODO Imp.]],BO$9)</f>
        <v>0</v>
      </c>
      <c r="BP1105" s="693">
        <f>SUMIFS(Imput[[Importe Neto]:[Importe Neto]],Imput[[C. Imp.]:[C. Imp.]],$D1105,Imput[[PERIODO Imp.]:[PERIODO Imp.]],BP$9)</f>
        <v>0</v>
      </c>
      <c r="BQ1105" s="693">
        <f>SUMIFS(Imput[[Importe Neto]:[Importe Neto]],Imput[[C. Imp.]:[C. Imp.]],$D1105,Imput[[PERIODO Imp.]:[PERIODO Imp.]],BQ$9)</f>
        <v>0</v>
      </c>
      <c r="BR1105" s="693">
        <f>SUMIFS(Imput[[Importe Neto]:[Importe Neto]],Imput[[C. Imp.]:[C. Imp.]],$D1105,Imput[[PERIODO Imp.]:[PERIODO Imp.]],BR$9)</f>
        <v>0</v>
      </c>
      <c r="BS1105" s="693">
        <f>SUMIFS(Imput[[Importe Neto]:[Importe Neto]],Imput[[C. Imp.]:[C. Imp.]],$D1105,Imput[[PERIODO Imp.]:[PERIODO Imp.]],BS$9)</f>
        <v>0</v>
      </c>
      <c r="BT1105" s="693">
        <f>SUMIFS(Imput[[Importe Neto]:[Importe Neto]],Imput[[C. Imp.]:[C. Imp.]],$D1105,Imput[[PERIODO Imp.]:[PERIODO Imp.]],BT$9)</f>
        <v>0</v>
      </c>
      <c r="BU1105" s="693">
        <f>SUMIFS(Imput[[Importe Neto]:[Importe Neto]],Imput[[C. Imp.]:[C. Imp.]],$D1105,Imput[[PERIODO Imp.]:[PERIODO Imp.]],BU$9)</f>
        <v>0</v>
      </c>
      <c r="BV1105" s="693">
        <f>SUMIFS(Imput[[Importe Neto]:[Importe Neto]],Imput[[C. Imp.]:[C. Imp.]],$D1105,Imput[[PERIODO Imp.]:[PERIODO Imp.]],BV$9)</f>
        <v>0</v>
      </c>
      <c r="BW1105" s="693">
        <f>SUMIFS(Imput[[Importe Neto]:[Importe Neto]],Imput[[C. Imp.]:[C. Imp.]],$D1105,Imput[[PERIODO Imp.]:[PERIODO Imp.]],BW$9)</f>
        <v>0</v>
      </c>
      <c r="BX1105" s="693">
        <f>SUMIFS(Imput[[Importe Neto]:[Importe Neto]],Imput[[C. Imp.]:[C. Imp.]],$D1105,Imput[[PERIODO Imp.]:[PERIODO Imp.]],BX$9)</f>
        <v>0</v>
      </c>
      <c r="BY1105" s="693">
        <f>SUMIFS(Imput[[Importe Neto]:[Importe Neto]],Imput[[C. Imp.]:[C. Imp.]],$D1105,Imput[[PERIODO Imp.]:[PERIODO Imp.]],BY$9)</f>
        <v>0</v>
      </c>
      <c r="BZ1105" s="693">
        <f>SUMIFS(Imput[[Importe Neto]:[Importe Neto]],Imput[[C. Imp.]:[C. Imp.]],$D1105,Imput[[PERIODO Imp.]:[PERIODO Imp.]],BZ$9)</f>
        <v>0</v>
      </c>
      <c r="CA1105" s="693">
        <f>SUMIFS(Imput[[Importe Neto]:[Importe Neto]],Imput[[C. Imp.]:[C. Imp.]],$D1105,Imput[[PERIODO Imp.]:[PERIODO Imp.]],CA$9)</f>
        <v>0</v>
      </c>
      <c r="CB1105" s="693">
        <f>SUMIFS(Imput[[Importe Neto]:[Importe Neto]],Imput[[C. Imp.]:[C. Imp.]],$D1105,Imput[[PERIODO Imp.]:[PERIODO Imp.]],CB$9)</f>
        <v>0</v>
      </c>
      <c r="CC1105" s="693">
        <f>SUMIFS(Imput[[Importe Neto]:[Importe Neto]],Imput[[C. Imp.]:[C. Imp.]],$D1105,Imput[[PERIODO Imp.]:[PERIODO Imp.]],CC$9)</f>
        <v>0</v>
      </c>
      <c r="CD1105" s="693">
        <f>SUMIFS(Imput[[Importe Neto]:[Importe Neto]],Imput[[C. Imp.]:[C. Imp.]],$D1105,Imput[[PERIODO Imp.]:[PERIODO Imp.]],CD$9)</f>
        <v>0</v>
      </c>
      <c r="CE1105" s="693">
        <f>SUMIFS(Imput[[Importe Neto]:[Importe Neto]],Imput[[C. Imp.]:[C. Imp.]],$D1105,Imput[[PERIODO Imp.]:[PERIODO Imp.]],CE$9)</f>
        <v>0</v>
      </c>
      <c r="CF1105" s="693">
        <f>SUMIFS(Imput[[Importe Neto]:[Importe Neto]],Imput[[C. Imp.]:[C. Imp.]],$D1105,Imput[[PERIODO Imp.]:[PERIODO Imp.]],CF$9)</f>
        <v>0</v>
      </c>
      <c r="CG1105" s="693">
        <f>SUMIFS(Imput[[Importe Neto]:[Importe Neto]],Imput[[C. Imp.]:[C. Imp.]],$D1105,Imput[[PERIODO Imp.]:[PERIODO Imp.]],CG$9)</f>
        <v>0</v>
      </c>
      <c r="CH1105" s="693">
        <f>SUMIFS(Imput[[Importe Neto]:[Importe Neto]],Imput[[C. Imp.]:[C. Imp.]],$D1105,Imput[[PERIODO Imp.]:[PERIODO Imp.]],CH$9)</f>
        <v>0</v>
      </c>
      <c r="CI1105" s="693">
        <f>SUMIFS(Imput[[Importe Neto]:[Importe Neto]],Imput[[C. Imp.]:[C. Imp.]],$D1105,Imput[[PERIODO Imp.]:[PERIODO Imp.]],CI$9)</f>
        <v>0</v>
      </c>
      <c r="CJ1105" s="693">
        <f>SUMIFS(Imput[[Importe Neto]:[Importe Neto]],Imput[[C. Imp.]:[C. Imp.]],$D1105,Imput[[PERIODO Imp.]:[PERIODO Imp.]],CJ$9)</f>
        <v>0</v>
      </c>
      <c r="CK1105" s="693">
        <f>SUMIFS(Imput[[Importe Neto]:[Importe Neto]],Imput[[C. Imp.]:[C. Imp.]],$D1105,Imput[[PERIODO Imp.]:[PERIODO Imp.]],CK$9)</f>
        <v>0</v>
      </c>
      <c r="CL1105" s="693">
        <f>SUMIFS(Imput[[Importe Neto]:[Importe Neto]],Imput[[C. Imp.]:[C. Imp.]],$D1105,Imput[[PERIODO Imp.]:[PERIODO Imp.]],CL$9)</f>
        <v>0</v>
      </c>
      <c r="CM1105" s="693">
        <f>SUMIFS(Imput[[Importe Neto]:[Importe Neto]],Imput[[C. Imp.]:[C. Imp.]],$D1105,Imput[[PERIODO Imp.]:[PERIODO Imp.]],CM$9)</f>
        <v>0</v>
      </c>
      <c r="CN1105" s="693">
        <f>SUMIFS(Imput[[Importe Neto]:[Importe Neto]],Imput[[C. Imp.]:[C. Imp.]],$D1105,Imput[[PERIODO Imp.]:[PERIODO Imp.]],CN$9)</f>
        <v>0</v>
      </c>
      <c r="CO1105" s="693">
        <f>SUMIFS(Imput[[Importe Neto]:[Importe Neto]],Imput[[C. Imp.]:[C. Imp.]],$D1105,Imput[[PERIODO Imp.]:[PERIODO Imp.]],CO$9)</f>
        <v>0</v>
      </c>
      <c r="CP1105" s="693">
        <f>SUMIFS(Imput[[Importe Neto]:[Importe Neto]],Imput[[C. Imp.]:[C. Imp.]],$D1105,Imput[[PERIODO Imp.]:[PERIODO Imp.]],CP$9)</f>
        <v>0</v>
      </c>
      <c r="CQ1105" s="693">
        <f>SUMIFS(Imput[[Importe Neto]:[Importe Neto]],Imput[[C. Imp.]:[C. Imp.]],$D1105,Imput[[PERIODO Imp.]:[PERIODO Imp.]],CQ$9)</f>
        <v>0</v>
      </c>
      <c r="CR1105" s="693">
        <f>SUMIFS(Imput[[Importe Neto]:[Importe Neto]],Imput[[C. Imp.]:[C. Imp.]],$D1105,Imput[[PERIODO Imp.]:[PERIODO Imp.]],CR$9)</f>
        <v>0</v>
      </c>
      <c r="CS1105" s="693">
        <f>SUMIFS(Imput[[Importe Neto]:[Importe Neto]],Imput[[C. Imp.]:[C. Imp.]],$D1105,Imput[[PERIODO Imp.]:[PERIODO Imp.]],CS$9)</f>
        <v>0</v>
      </c>
      <c r="CT1105" s="693">
        <f>SUMIFS(Imput[[Importe Neto]:[Importe Neto]],Imput[[C. Imp.]:[C. Imp.]],$D1105,Imput[[PERIODO Imp.]:[PERIODO Imp.]],CT$9)</f>
        <v>0</v>
      </c>
      <c r="CU1105" s="693">
        <f>SUMIFS(Imput[[Importe Neto]:[Importe Neto]],Imput[[C. Imp.]:[C. Imp.]],$D1105,Imput[[PERIODO Imp.]:[PERIODO Imp.]],CU$9)</f>
        <v>0</v>
      </c>
      <c r="CV1105" s="693">
        <f>SUMIFS(Imput[[Importe Neto]:[Importe Neto]],Imput[[C. Imp.]:[C. Imp.]],$D1105,Imput[[PERIODO Imp.]:[PERIODO Imp.]],CV$9)</f>
        <v>0</v>
      </c>
      <c r="CW1105" s="693">
        <f>SUMIFS(Imput[[Importe Neto]:[Importe Neto]],Imput[[C. Imp.]:[C. Imp.]],$D1105,Imput[[PERIODO Imp.]:[PERIODO Imp.]],CW$9)</f>
        <v>0</v>
      </c>
      <c r="CX1105" s="693">
        <f>SUMIFS(Imput[[Importe Neto]:[Importe Neto]],Imput[[C. Imp.]:[C. Imp.]],$D1105,Imput[[PERIODO Imp.]:[PERIODO Imp.]],CX$9)</f>
        <v>0</v>
      </c>
      <c r="CY1105" s="693">
        <f>SUMIFS(Imput[[Importe Neto]:[Importe Neto]],Imput[[C. Imp.]:[C. Imp.]],$D1105,Imput[[PERIODO Imp.]:[PERIODO Imp.]],CY$9)</f>
        <v>0</v>
      </c>
      <c r="CZ1105" s="693">
        <f>SUMIFS(Imput[[Importe Neto]:[Importe Neto]],Imput[[C. Imp.]:[C. Imp.]],$D1105,Imput[[PERIODO Imp.]:[PERIODO Imp.]],CZ$9)</f>
        <v>0</v>
      </c>
      <c r="DA1105" s="693">
        <f>SUMIFS(Imput[[Importe Neto]:[Importe Neto]],Imput[[C. Imp.]:[C. Imp.]],$D1105,Imput[[PERIODO Imp.]:[PERIODO Imp.]],DA$9)</f>
        <v>0</v>
      </c>
      <c r="DB1105" s="693">
        <f>SUMIFS(Imput[[Importe Neto]:[Importe Neto]],Imput[[C. Imp.]:[C. Imp.]],$D1105,Imput[[PERIODO Imp.]:[PERIODO Imp.]],DB$9)</f>
        <v>0</v>
      </c>
      <c r="DC1105" s="693">
        <f>SUMIFS(Imput[[Importe Neto]:[Importe Neto]],Imput[[C. Imp.]:[C. Imp.]],$D1105,Imput[[PERIODO Imp.]:[PERIODO Imp.]],DC$9)</f>
        <v>0</v>
      </c>
      <c r="DD1105" s="693">
        <f>SUMIFS(Imput[[Importe Neto]:[Importe Neto]],Imput[[C. Imp.]:[C. Imp.]],$D1105,Imput[[PERIODO Imp.]:[PERIODO Imp.]],DD$9)</f>
        <v>0</v>
      </c>
      <c r="DE1105" s="693">
        <f>SUMIFS(Imput[[Importe Neto]:[Importe Neto]],Imput[[C. Imp.]:[C. Imp.]],$D1105,Imput[[PERIODO Imp.]:[PERIODO Imp.]],DE$9)</f>
        <v>0</v>
      </c>
      <c r="DF1105" s="693">
        <f>SUMIFS(Imput[[Importe Neto]:[Importe Neto]],Imput[[C. Imp.]:[C. Imp.]],$D1105,Imput[[PERIODO Imp.]:[PERIODO Imp.]],DF$9)</f>
        <v>0</v>
      </c>
      <c r="DG1105" s="693">
        <f>SUMIFS(Imput[[Importe Neto]:[Importe Neto]],Imput[[C. Imp.]:[C. Imp.]],$D1105,Imput[[PERIODO Imp.]:[PERIODO Imp.]],DG$9)</f>
        <v>0</v>
      </c>
      <c r="DH1105" s="694">
        <f>SUMIFS(Imput[[Importe Neto]:[Importe Neto]],Imput[[C. Imp.]:[C. Imp.]],$D1105,Imput[[PERIODO Imp.]:[PERIODO Imp.]],DH$9)</f>
        <v>0</v>
      </c>
    </row>
    <row r="1106" spans="1:112" s="649" customFormat="1" hidden="1" outlineLevel="1" x14ac:dyDescent="0.3">
      <c r="A1106" s="652" t="str">
        <f t="shared" si="361"/>
        <v/>
      </c>
      <c r="B1106" s="652"/>
      <c r="C1106" s="685"/>
      <c r="D1106" s="686"/>
      <c r="E1106" s="686"/>
      <c r="F1106" s="720"/>
      <c r="G1106" s="688"/>
      <c r="H1106" s="689"/>
      <c r="I1106" s="851" t="str">
        <f t="shared" si="362"/>
        <v/>
      </c>
      <c r="J1106" s="850" t="str">
        <f t="shared" si="363"/>
        <v/>
      </c>
      <c r="K1106" s="667"/>
      <c r="L1106" s="858"/>
      <c r="M1106" s="859"/>
      <c r="N1106" s="859"/>
      <c r="O1106" s="859"/>
      <c r="P1106" s="859"/>
      <c r="Q1106" s="859"/>
      <c r="R1106" s="859"/>
      <c r="S1106" s="859"/>
      <c r="T1106" s="859"/>
      <c r="U1106" s="859"/>
      <c r="V1106" s="859"/>
      <c r="W1106" s="859"/>
      <c r="X1106" s="859"/>
      <c r="Y1106" s="859"/>
      <c r="Z1106" s="860"/>
      <c r="AA1106" s="860"/>
      <c r="AB1106" s="860"/>
      <c r="AC1106" s="860"/>
      <c r="AD1106" s="860"/>
      <c r="AE1106" s="860"/>
      <c r="AF1106" s="860"/>
      <c r="AG1106" s="860"/>
      <c r="AH1106" s="860"/>
      <c r="AI1106" s="860"/>
      <c r="AJ1106" s="860"/>
      <c r="AK1106" s="860"/>
      <c r="AL1106" s="860"/>
      <c r="AM1106" s="860"/>
      <c r="AN1106" s="860"/>
      <c r="AO1106" s="860"/>
      <c r="AP1106" s="860"/>
      <c r="AQ1106" s="860"/>
      <c r="AR1106" s="860"/>
      <c r="AS1106" s="860"/>
      <c r="AT1106" s="860"/>
      <c r="AU1106" s="860"/>
      <c r="AV1106" s="860"/>
      <c r="AW1106" s="860"/>
      <c r="AX1106" s="860"/>
      <c r="AY1106" s="860"/>
      <c r="AZ1106" s="860"/>
      <c r="BA1106" s="860"/>
      <c r="BB1106" s="860"/>
      <c r="BC1106" s="860"/>
      <c r="BD1106" s="860"/>
      <c r="BE1106" s="860"/>
      <c r="BF1106" s="860"/>
      <c r="BG1106" s="860"/>
      <c r="BH1106" s="668"/>
      <c r="BI1106" s="654"/>
      <c r="BJ1106" s="690">
        <f t="shared" si="364"/>
        <v>0</v>
      </c>
      <c r="BK1106" s="691">
        <f t="shared" si="365"/>
        <v>0</v>
      </c>
      <c r="BL1106" s="654"/>
      <c r="BM1106" s="692">
        <f>SUMIFS(Imput[[Importe Neto]:[Importe Neto]],Imput[[C. Imp.]:[C. Imp.]],$D1106,Imput[[PERIODO Imp.]:[PERIODO Imp.]],BM$9)</f>
        <v>0</v>
      </c>
      <c r="BN1106" s="693">
        <f>SUMIFS(Imput[[Importe Neto]:[Importe Neto]],Imput[[C. Imp.]:[C. Imp.]],$D1106,Imput[[PERIODO Imp.]:[PERIODO Imp.]],BN$9)</f>
        <v>0</v>
      </c>
      <c r="BO1106" s="693">
        <f>SUMIFS(Imput[[Importe Neto]:[Importe Neto]],Imput[[C. Imp.]:[C. Imp.]],$D1106,Imput[[PERIODO Imp.]:[PERIODO Imp.]],BO$9)</f>
        <v>0</v>
      </c>
      <c r="BP1106" s="693">
        <f>SUMIFS(Imput[[Importe Neto]:[Importe Neto]],Imput[[C. Imp.]:[C. Imp.]],$D1106,Imput[[PERIODO Imp.]:[PERIODO Imp.]],BP$9)</f>
        <v>0</v>
      </c>
      <c r="BQ1106" s="693">
        <f>SUMIFS(Imput[[Importe Neto]:[Importe Neto]],Imput[[C. Imp.]:[C. Imp.]],$D1106,Imput[[PERIODO Imp.]:[PERIODO Imp.]],BQ$9)</f>
        <v>0</v>
      </c>
      <c r="BR1106" s="693">
        <f>SUMIFS(Imput[[Importe Neto]:[Importe Neto]],Imput[[C. Imp.]:[C. Imp.]],$D1106,Imput[[PERIODO Imp.]:[PERIODO Imp.]],BR$9)</f>
        <v>0</v>
      </c>
      <c r="BS1106" s="693">
        <f>SUMIFS(Imput[[Importe Neto]:[Importe Neto]],Imput[[C. Imp.]:[C. Imp.]],$D1106,Imput[[PERIODO Imp.]:[PERIODO Imp.]],BS$9)</f>
        <v>0</v>
      </c>
      <c r="BT1106" s="693">
        <f>SUMIFS(Imput[[Importe Neto]:[Importe Neto]],Imput[[C. Imp.]:[C. Imp.]],$D1106,Imput[[PERIODO Imp.]:[PERIODO Imp.]],BT$9)</f>
        <v>0</v>
      </c>
      <c r="BU1106" s="693">
        <f>SUMIFS(Imput[[Importe Neto]:[Importe Neto]],Imput[[C. Imp.]:[C. Imp.]],$D1106,Imput[[PERIODO Imp.]:[PERIODO Imp.]],BU$9)</f>
        <v>0</v>
      </c>
      <c r="BV1106" s="693">
        <f>SUMIFS(Imput[[Importe Neto]:[Importe Neto]],Imput[[C. Imp.]:[C. Imp.]],$D1106,Imput[[PERIODO Imp.]:[PERIODO Imp.]],BV$9)</f>
        <v>0</v>
      </c>
      <c r="BW1106" s="693">
        <f>SUMIFS(Imput[[Importe Neto]:[Importe Neto]],Imput[[C. Imp.]:[C. Imp.]],$D1106,Imput[[PERIODO Imp.]:[PERIODO Imp.]],BW$9)</f>
        <v>0</v>
      </c>
      <c r="BX1106" s="693">
        <f>SUMIFS(Imput[[Importe Neto]:[Importe Neto]],Imput[[C. Imp.]:[C. Imp.]],$D1106,Imput[[PERIODO Imp.]:[PERIODO Imp.]],BX$9)</f>
        <v>0</v>
      </c>
      <c r="BY1106" s="693">
        <f>SUMIFS(Imput[[Importe Neto]:[Importe Neto]],Imput[[C. Imp.]:[C. Imp.]],$D1106,Imput[[PERIODO Imp.]:[PERIODO Imp.]],BY$9)</f>
        <v>0</v>
      </c>
      <c r="BZ1106" s="693">
        <f>SUMIFS(Imput[[Importe Neto]:[Importe Neto]],Imput[[C. Imp.]:[C. Imp.]],$D1106,Imput[[PERIODO Imp.]:[PERIODO Imp.]],BZ$9)</f>
        <v>0</v>
      </c>
      <c r="CA1106" s="693">
        <f>SUMIFS(Imput[[Importe Neto]:[Importe Neto]],Imput[[C. Imp.]:[C. Imp.]],$D1106,Imput[[PERIODO Imp.]:[PERIODO Imp.]],CA$9)</f>
        <v>0</v>
      </c>
      <c r="CB1106" s="693">
        <f>SUMIFS(Imput[[Importe Neto]:[Importe Neto]],Imput[[C. Imp.]:[C. Imp.]],$D1106,Imput[[PERIODO Imp.]:[PERIODO Imp.]],CB$9)</f>
        <v>0</v>
      </c>
      <c r="CC1106" s="693">
        <f>SUMIFS(Imput[[Importe Neto]:[Importe Neto]],Imput[[C. Imp.]:[C. Imp.]],$D1106,Imput[[PERIODO Imp.]:[PERIODO Imp.]],CC$9)</f>
        <v>0</v>
      </c>
      <c r="CD1106" s="693">
        <f>SUMIFS(Imput[[Importe Neto]:[Importe Neto]],Imput[[C. Imp.]:[C. Imp.]],$D1106,Imput[[PERIODO Imp.]:[PERIODO Imp.]],CD$9)</f>
        <v>0</v>
      </c>
      <c r="CE1106" s="693">
        <f>SUMIFS(Imput[[Importe Neto]:[Importe Neto]],Imput[[C. Imp.]:[C. Imp.]],$D1106,Imput[[PERIODO Imp.]:[PERIODO Imp.]],CE$9)</f>
        <v>0</v>
      </c>
      <c r="CF1106" s="693">
        <f>SUMIFS(Imput[[Importe Neto]:[Importe Neto]],Imput[[C. Imp.]:[C. Imp.]],$D1106,Imput[[PERIODO Imp.]:[PERIODO Imp.]],CF$9)</f>
        <v>0</v>
      </c>
      <c r="CG1106" s="693">
        <f>SUMIFS(Imput[[Importe Neto]:[Importe Neto]],Imput[[C. Imp.]:[C. Imp.]],$D1106,Imput[[PERIODO Imp.]:[PERIODO Imp.]],CG$9)</f>
        <v>0</v>
      </c>
      <c r="CH1106" s="693">
        <f>SUMIFS(Imput[[Importe Neto]:[Importe Neto]],Imput[[C. Imp.]:[C. Imp.]],$D1106,Imput[[PERIODO Imp.]:[PERIODO Imp.]],CH$9)</f>
        <v>0</v>
      </c>
      <c r="CI1106" s="693">
        <f>SUMIFS(Imput[[Importe Neto]:[Importe Neto]],Imput[[C. Imp.]:[C. Imp.]],$D1106,Imput[[PERIODO Imp.]:[PERIODO Imp.]],CI$9)</f>
        <v>0</v>
      </c>
      <c r="CJ1106" s="693">
        <f>SUMIFS(Imput[[Importe Neto]:[Importe Neto]],Imput[[C. Imp.]:[C. Imp.]],$D1106,Imput[[PERIODO Imp.]:[PERIODO Imp.]],CJ$9)</f>
        <v>0</v>
      </c>
      <c r="CK1106" s="693">
        <f>SUMIFS(Imput[[Importe Neto]:[Importe Neto]],Imput[[C. Imp.]:[C. Imp.]],$D1106,Imput[[PERIODO Imp.]:[PERIODO Imp.]],CK$9)</f>
        <v>0</v>
      </c>
      <c r="CL1106" s="693">
        <f>SUMIFS(Imput[[Importe Neto]:[Importe Neto]],Imput[[C. Imp.]:[C. Imp.]],$D1106,Imput[[PERIODO Imp.]:[PERIODO Imp.]],CL$9)</f>
        <v>0</v>
      </c>
      <c r="CM1106" s="693">
        <f>SUMIFS(Imput[[Importe Neto]:[Importe Neto]],Imput[[C. Imp.]:[C. Imp.]],$D1106,Imput[[PERIODO Imp.]:[PERIODO Imp.]],CM$9)</f>
        <v>0</v>
      </c>
      <c r="CN1106" s="693">
        <f>SUMIFS(Imput[[Importe Neto]:[Importe Neto]],Imput[[C. Imp.]:[C. Imp.]],$D1106,Imput[[PERIODO Imp.]:[PERIODO Imp.]],CN$9)</f>
        <v>0</v>
      </c>
      <c r="CO1106" s="693">
        <f>SUMIFS(Imput[[Importe Neto]:[Importe Neto]],Imput[[C. Imp.]:[C. Imp.]],$D1106,Imput[[PERIODO Imp.]:[PERIODO Imp.]],CO$9)</f>
        <v>0</v>
      </c>
      <c r="CP1106" s="693">
        <f>SUMIFS(Imput[[Importe Neto]:[Importe Neto]],Imput[[C. Imp.]:[C. Imp.]],$D1106,Imput[[PERIODO Imp.]:[PERIODO Imp.]],CP$9)</f>
        <v>0</v>
      </c>
      <c r="CQ1106" s="693">
        <f>SUMIFS(Imput[[Importe Neto]:[Importe Neto]],Imput[[C. Imp.]:[C. Imp.]],$D1106,Imput[[PERIODO Imp.]:[PERIODO Imp.]],CQ$9)</f>
        <v>0</v>
      </c>
      <c r="CR1106" s="693">
        <f>SUMIFS(Imput[[Importe Neto]:[Importe Neto]],Imput[[C. Imp.]:[C. Imp.]],$D1106,Imput[[PERIODO Imp.]:[PERIODO Imp.]],CR$9)</f>
        <v>0</v>
      </c>
      <c r="CS1106" s="693">
        <f>SUMIFS(Imput[[Importe Neto]:[Importe Neto]],Imput[[C. Imp.]:[C. Imp.]],$D1106,Imput[[PERIODO Imp.]:[PERIODO Imp.]],CS$9)</f>
        <v>0</v>
      </c>
      <c r="CT1106" s="693">
        <f>SUMIFS(Imput[[Importe Neto]:[Importe Neto]],Imput[[C. Imp.]:[C. Imp.]],$D1106,Imput[[PERIODO Imp.]:[PERIODO Imp.]],CT$9)</f>
        <v>0</v>
      </c>
      <c r="CU1106" s="693">
        <f>SUMIFS(Imput[[Importe Neto]:[Importe Neto]],Imput[[C. Imp.]:[C. Imp.]],$D1106,Imput[[PERIODO Imp.]:[PERIODO Imp.]],CU$9)</f>
        <v>0</v>
      </c>
      <c r="CV1106" s="693">
        <f>SUMIFS(Imput[[Importe Neto]:[Importe Neto]],Imput[[C. Imp.]:[C. Imp.]],$D1106,Imput[[PERIODO Imp.]:[PERIODO Imp.]],CV$9)</f>
        <v>0</v>
      </c>
      <c r="CW1106" s="693">
        <f>SUMIFS(Imput[[Importe Neto]:[Importe Neto]],Imput[[C. Imp.]:[C. Imp.]],$D1106,Imput[[PERIODO Imp.]:[PERIODO Imp.]],CW$9)</f>
        <v>0</v>
      </c>
      <c r="CX1106" s="693">
        <f>SUMIFS(Imput[[Importe Neto]:[Importe Neto]],Imput[[C. Imp.]:[C. Imp.]],$D1106,Imput[[PERIODO Imp.]:[PERIODO Imp.]],CX$9)</f>
        <v>0</v>
      </c>
      <c r="CY1106" s="693">
        <f>SUMIFS(Imput[[Importe Neto]:[Importe Neto]],Imput[[C. Imp.]:[C. Imp.]],$D1106,Imput[[PERIODO Imp.]:[PERIODO Imp.]],CY$9)</f>
        <v>0</v>
      </c>
      <c r="CZ1106" s="693">
        <f>SUMIFS(Imput[[Importe Neto]:[Importe Neto]],Imput[[C. Imp.]:[C. Imp.]],$D1106,Imput[[PERIODO Imp.]:[PERIODO Imp.]],CZ$9)</f>
        <v>0</v>
      </c>
      <c r="DA1106" s="693">
        <f>SUMIFS(Imput[[Importe Neto]:[Importe Neto]],Imput[[C. Imp.]:[C. Imp.]],$D1106,Imput[[PERIODO Imp.]:[PERIODO Imp.]],DA$9)</f>
        <v>0</v>
      </c>
      <c r="DB1106" s="693">
        <f>SUMIFS(Imput[[Importe Neto]:[Importe Neto]],Imput[[C. Imp.]:[C. Imp.]],$D1106,Imput[[PERIODO Imp.]:[PERIODO Imp.]],DB$9)</f>
        <v>0</v>
      </c>
      <c r="DC1106" s="693">
        <f>SUMIFS(Imput[[Importe Neto]:[Importe Neto]],Imput[[C. Imp.]:[C. Imp.]],$D1106,Imput[[PERIODO Imp.]:[PERIODO Imp.]],DC$9)</f>
        <v>0</v>
      </c>
      <c r="DD1106" s="693">
        <f>SUMIFS(Imput[[Importe Neto]:[Importe Neto]],Imput[[C. Imp.]:[C. Imp.]],$D1106,Imput[[PERIODO Imp.]:[PERIODO Imp.]],DD$9)</f>
        <v>0</v>
      </c>
      <c r="DE1106" s="693">
        <f>SUMIFS(Imput[[Importe Neto]:[Importe Neto]],Imput[[C. Imp.]:[C. Imp.]],$D1106,Imput[[PERIODO Imp.]:[PERIODO Imp.]],DE$9)</f>
        <v>0</v>
      </c>
      <c r="DF1106" s="693">
        <f>SUMIFS(Imput[[Importe Neto]:[Importe Neto]],Imput[[C. Imp.]:[C. Imp.]],$D1106,Imput[[PERIODO Imp.]:[PERIODO Imp.]],DF$9)</f>
        <v>0</v>
      </c>
      <c r="DG1106" s="693">
        <f>SUMIFS(Imput[[Importe Neto]:[Importe Neto]],Imput[[C. Imp.]:[C. Imp.]],$D1106,Imput[[PERIODO Imp.]:[PERIODO Imp.]],DG$9)</f>
        <v>0</v>
      </c>
      <c r="DH1106" s="694">
        <f>SUMIFS(Imput[[Importe Neto]:[Importe Neto]],Imput[[C. Imp.]:[C. Imp.]],$D1106,Imput[[PERIODO Imp.]:[PERIODO Imp.]],DH$9)</f>
        <v>0</v>
      </c>
    </row>
    <row r="1107" spans="1:112" s="649" customFormat="1" hidden="1" outlineLevel="1" x14ac:dyDescent="0.3">
      <c r="A1107" s="652" t="str">
        <f t="shared" si="361"/>
        <v/>
      </c>
      <c r="B1107" s="652"/>
      <c r="C1107" s="685"/>
      <c r="D1107" s="686"/>
      <c r="E1107" s="686"/>
      <c r="F1107" s="720"/>
      <c r="G1107" s="688"/>
      <c r="H1107" s="689"/>
      <c r="I1107" s="851" t="str">
        <f t="shared" si="362"/>
        <v/>
      </c>
      <c r="J1107" s="850" t="str">
        <f t="shared" si="363"/>
        <v/>
      </c>
      <c r="K1107" s="667"/>
      <c r="L1107" s="858"/>
      <c r="M1107" s="859"/>
      <c r="N1107" s="859"/>
      <c r="O1107" s="859"/>
      <c r="P1107" s="859"/>
      <c r="Q1107" s="859"/>
      <c r="R1107" s="859"/>
      <c r="S1107" s="859"/>
      <c r="T1107" s="859"/>
      <c r="U1107" s="859"/>
      <c r="V1107" s="859"/>
      <c r="W1107" s="859"/>
      <c r="X1107" s="859"/>
      <c r="Y1107" s="859"/>
      <c r="Z1107" s="860"/>
      <c r="AA1107" s="860"/>
      <c r="AB1107" s="860"/>
      <c r="AC1107" s="860"/>
      <c r="AD1107" s="860"/>
      <c r="AE1107" s="860"/>
      <c r="AF1107" s="860"/>
      <c r="AG1107" s="860"/>
      <c r="AH1107" s="860"/>
      <c r="AI1107" s="860"/>
      <c r="AJ1107" s="860"/>
      <c r="AK1107" s="860"/>
      <c r="AL1107" s="860"/>
      <c r="AM1107" s="860"/>
      <c r="AN1107" s="860"/>
      <c r="AO1107" s="860"/>
      <c r="AP1107" s="860"/>
      <c r="AQ1107" s="860"/>
      <c r="AR1107" s="860"/>
      <c r="AS1107" s="860"/>
      <c r="AT1107" s="860"/>
      <c r="AU1107" s="860"/>
      <c r="AV1107" s="860"/>
      <c r="AW1107" s="860"/>
      <c r="AX1107" s="860"/>
      <c r="AY1107" s="860"/>
      <c r="AZ1107" s="860"/>
      <c r="BA1107" s="860"/>
      <c r="BB1107" s="860"/>
      <c r="BC1107" s="860"/>
      <c r="BD1107" s="860"/>
      <c r="BE1107" s="860"/>
      <c r="BF1107" s="860"/>
      <c r="BG1107" s="860"/>
      <c r="BH1107" s="668"/>
      <c r="BI1107" s="654"/>
      <c r="BJ1107" s="690">
        <f t="shared" si="364"/>
        <v>0</v>
      </c>
      <c r="BK1107" s="691">
        <f t="shared" si="365"/>
        <v>0</v>
      </c>
      <c r="BL1107" s="654"/>
      <c r="BM1107" s="692">
        <f>SUMIFS(Imput[[Importe Neto]:[Importe Neto]],Imput[[C. Imp.]:[C. Imp.]],$D1107,Imput[[PERIODO Imp.]:[PERIODO Imp.]],BM$9)</f>
        <v>0</v>
      </c>
      <c r="BN1107" s="693">
        <f>SUMIFS(Imput[[Importe Neto]:[Importe Neto]],Imput[[C. Imp.]:[C. Imp.]],$D1107,Imput[[PERIODO Imp.]:[PERIODO Imp.]],BN$9)</f>
        <v>0</v>
      </c>
      <c r="BO1107" s="693">
        <f>SUMIFS(Imput[[Importe Neto]:[Importe Neto]],Imput[[C. Imp.]:[C. Imp.]],$D1107,Imput[[PERIODO Imp.]:[PERIODO Imp.]],BO$9)</f>
        <v>0</v>
      </c>
      <c r="BP1107" s="693">
        <f>SUMIFS(Imput[[Importe Neto]:[Importe Neto]],Imput[[C. Imp.]:[C. Imp.]],$D1107,Imput[[PERIODO Imp.]:[PERIODO Imp.]],BP$9)</f>
        <v>0</v>
      </c>
      <c r="BQ1107" s="693">
        <f>SUMIFS(Imput[[Importe Neto]:[Importe Neto]],Imput[[C. Imp.]:[C. Imp.]],$D1107,Imput[[PERIODO Imp.]:[PERIODO Imp.]],BQ$9)</f>
        <v>0</v>
      </c>
      <c r="BR1107" s="693">
        <f>SUMIFS(Imput[[Importe Neto]:[Importe Neto]],Imput[[C. Imp.]:[C. Imp.]],$D1107,Imput[[PERIODO Imp.]:[PERIODO Imp.]],BR$9)</f>
        <v>0</v>
      </c>
      <c r="BS1107" s="693">
        <f>SUMIFS(Imput[[Importe Neto]:[Importe Neto]],Imput[[C. Imp.]:[C. Imp.]],$D1107,Imput[[PERIODO Imp.]:[PERIODO Imp.]],BS$9)</f>
        <v>0</v>
      </c>
      <c r="BT1107" s="693">
        <f>SUMIFS(Imput[[Importe Neto]:[Importe Neto]],Imput[[C. Imp.]:[C. Imp.]],$D1107,Imput[[PERIODO Imp.]:[PERIODO Imp.]],BT$9)</f>
        <v>0</v>
      </c>
      <c r="BU1107" s="693">
        <f>SUMIFS(Imput[[Importe Neto]:[Importe Neto]],Imput[[C. Imp.]:[C. Imp.]],$D1107,Imput[[PERIODO Imp.]:[PERIODO Imp.]],BU$9)</f>
        <v>0</v>
      </c>
      <c r="BV1107" s="693">
        <f>SUMIFS(Imput[[Importe Neto]:[Importe Neto]],Imput[[C. Imp.]:[C. Imp.]],$D1107,Imput[[PERIODO Imp.]:[PERIODO Imp.]],BV$9)</f>
        <v>0</v>
      </c>
      <c r="BW1107" s="693">
        <f>SUMIFS(Imput[[Importe Neto]:[Importe Neto]],Imput[[C. Imp.]:[C. Imp.]],$D1107,Imput[[PERIODO Imp.]:[PERIODO Imp.]],BW$9)</f>
        <v>0</v>
      </c>
      <c r="BX1107" s="693">
        <f>SUMIFS(Imput[[Importe Neto]:[Importe Neto]],Imput[[C. Imp.]:[C. Imp.]],$D1107,Imput[[PERIODO Imp.]:[PERIODO Imp.]],BX$9)</f>
        <v>0</v>
      </c>
      <c r="BY1107" s="693">
        <f>SUMIFS(Imput[[Importe Neto]:[Importe Neto]],Imput[[C. Imp.]:[C. Imp.]],$D1107,Imput[[PERIODO Imp.]:[PERIODO Imp.]],BY$9)</f>
        <v>0</v>
      </c>
      <c r="BZ1107" s="693">
        <f>SUMIFS(Imput[[Importe Neto]:[Importe Neto]],Imput[[C. Imp.]:[C. Imp.]],$D1107,Imput[[PERIODO Imp.]:[PERIODO Imp.]],BZ$9)</f>
        <v>0</v>
      </c>
      <c r="CA1107" s="693">
        <f>SUMIFS(Imput[[Importe Neto]:[Importe Neto]],Imput[[C. Imp.]:[C. Imp.]],$D1107,Imput[[PERIODO Imp.]:[PERIODO Imp.]],CA$9)</f>
        <v>0</v>
      </c>
      <c r="CB1107" s="693">
        <f>SUMIFS(Imput[[Importe Neto]:[Importe Neto]],Imput[[C. Imp.]:[C. Imp.]],$D1107,Imput[[PERIODO Imp.]:[PERIODO Imp.]],CB$9)</f>
        <v>0</v>
      </c>
      <c r="CC1107" s="693">
        <f>SUMIFS(Imput[[Importe Neto]:[Importe Neto]],Imput[[C. Imp.]:[C. Imp.]],$D1107,Imput[[PERIODO Imp.]:[PERIODO Imp.]],CC$9)</f>
        <v>0</v>
      </c>
      <c r="CD1107" s="693">
        <f>SUMIFS(Imput[[Importe Neto]:[Importe Neto]],Imput[[C. Imp.]:[C. Imp.]],$D1107,Imput[[PERIODO Imp.]:[PERIODO Imp.]],CD$9)</f>
        <v>0</v>
      </c>
      <c r="CE1107" s="693">
        <f>SUMIFS(Imput[[Importe Neto]:[Importe Neto]],Imput[[C. Imp.]:[C. Imp.]],$D1107,Imput[[PERIODO Imp.]:[PERIODO Imp.]],CE$9)</f>
        <v>0</v>
      </c>
      <c r="CF1107" s="693">
        <f>SUMIFS(Imput[[Importe Neto]:[Importe Neto]],Imput[[C. Imp.]:[C. Imp.]],$D1107,Imput[[PERIODO Imp.]:[PERIODO Imp.]],CF$9)</f>
        <v>0</v>
      </c>
      <c r="CG1107" s="693">
        <f>SUMIFS(Imput[[Importe Neto]:[Importe Neto]],Imput[[C. Imp.]:[C. Imp.]],$D1107,Imput[[PERIODO Imp.]:[PERIODO Imp.]],CG$9)</f>
        <v>0</v>
      </c>
      <c r="CH1107" s="693">
        <f>SUMIFS(Imput[[Importe Neto]:[Importe Neto]],Imput[[C. Imp.]:[C. Imp.]],$D1107,Imput[[PERIODO Imp.]:[PERIODO Imp.]],CH$9)</f>
        <v>0</v>
      </c>
      <c r="CI1107" s="693">
        <f>SUMIFS(Imput[[Importe Neto]:[Importe Neto]],Imput[[C. Imp.]:[C. Imp.]],$D1107,Imput[[PERIODO Imp.]:[PERIODO Imp.]],CI$9)</f>
        <v>0</v>
      </c>
      <c r="CJ1107" s="693">
        <f>SUMIFS(Imput[[Importe Neto]:[Importe Neto]],Imput[[C. Imp.]:[C. Imp.]],$D1107,Imput[[PERIODO Imp.]:[PERIODO Imp.]],CJ$9)</f>
        <v>0</v>
      </c>
      <c r="CK1107" s="693">
        <f>SUMIFS(Imput[[Importe Neto]:[Importe Neto]],Imput[[C. Imp.]:[C. Imp.]],$D1107,Imput[[PERIODO Imp.]:[PERIODO Imp.]],CK$9)</f>
        <v>0</v>
      </c>
      <c r="CL1107" s="693">
        <f>SUMIFS(Imput[[Importe Neto]:[Importe Neto]],Imput[[C. Imp.]:[C. Imp.]],$D1107,Imput[[PERIODO Imp.]:[PERIODO Imp.]],CL$9)</f>
        <v>0</v>
      </c>
      <c r="CM1107" s="693">
        <f>SUMIFS(Imput[[Importe Neto]:[Importe Neto]],Imput[[C. Imp.]:[C. Imp.]],$D1107,Imput[[PERIODO Imp.]:[PERIODO Imp.]],CM$9)</f>
        <v>0</v>
      </c>
      <c r="CN1107" s="693">
        <f>SUMIFS(Imput[[Importe Neto]:[Importe Neto]],Imput[[C. Imp.]:[C. Imp.]],$D1107,Imput[[PERIODO Imp.]:[PERIODO Imp.]],CN$9)</f>
        <v>0</v>
      </c>
      <c r="CO1107" s="693">
        <f>SUMIFS(Imput[[Importe Neto]:[Importe Neto]],Imput[[C. Imp.]:[C. Imp.]],$D1107,Imput[[PERIODO Imp.]:[PERIODO Imp.]],CO$9)</f>
        <v>0</v>
      </c>
      <c r="CP1107" s="693">
        <f>SUMIFS(Imput[[Importe Neto]:[Importe Neto]],Imput[[C. Imp.]:[C. Imp.]],$D1107,Imput[[PERIODO Imp.]:[PERIODO Imp.]],CP$9)</f>
        <v>0</v>
      </c>
      <c r="CQ1107" s="693">
        <f>SUMIFS(Imput[[Importe Neto]:[Importe Neto]],Imput[[C. Imp.]:[C. Imp.]],$D1107,Imput[[PERIODO Imp.]:[PERIODO Imp.]],CQ$9)</f>
        <v>0</v>
      </c>
      <c r="CR1107" s="693">
        <f>SUMIFS(Imput[[Importe Neto]:[Importe Neto]],Imput[[C. Imp.]:[C. Imp.]],$D1107,Imput[[PERIODO Imp.]:[PERIODO Imp.]],CR$9)</f>
        <v>0</v>
      </c>
      <c r="CS1107" s="693">
        <f>SUMIFS(Imput[[Importe Neto]:[Importe Neto]],Imput[[C. Imp.]:[C. Imp.]],$D1107,Imput[[PERIODO Imp.]:[PERIODO Imp.]],CS$9)</f>
        <v>0</v>
      </c>
      <c r="CT1107" s="693">
        <f>SUMIFS(Imput[[Importe Neto]:[Importe Neto]],Imput[[C. Imp.]:[C. Imp.]],$D1107,Imput[[PERIODO Imp.]:[PERIODO Imp.]],CT$9)</f>
        <v>0</v>
      </c>
      <c r="CU1107" s="693">
        <f>SUMIFS(Imput[[Importe Neto]:[Importe Neto]],Imput[[C. Imp.]:[C. Imp.]],$D1107,Imput[[PERIODO Imp.]:[PERIODO Imp.]],CU$9)</f>
        <v>0</v>
      </c>
      <c r="CV1107" s="693">
        <f>SUMIFS(Imput[[Importe Neto]:[Importe Neto]],Imput[[C. Imp.]:[C. Imp.]],$D1107,Imput[[PERIODO Imp.]:[PERIODO Imp.]],CV$9)</f>
        <v>0</v>
      </c>
      <c r="CW1107" s="693">
        <f>SUMIFS(Imput[[Importe Neto]:[Importe Neto]],Imput[[C. Imp.]:[C. Imp.]],$D1107,Imput[[PERIODO Imp.]:[PERIODO Imp.]],CW$9)</f>
        <v>0</v>
      </c>
      <c r="CX1107" s="693">
        <f>SUMIFS(Imput[[Importe Neto]:[Importe Neto]],Imput[[C. Imp.]:[C. Imp.]],$D1107,Imput[[PERIODO Imp.]:[PERIODO Imp.]],CX$9)</f>
        <v>0</v>
      </c>
      <c r="CY1107" s="693">
        <f>SUMIFS(Imput[[Importe Neto]:[Importe Neto]],Imput[[C. Imp.]:[C. Imp.]],$D1107,Imput[[PERIODO Imp.]:[PERIODO Imp.]],CY$9)</f>
        <v>0</v>
      </c>
      <c r="CZ1107" s="693">
        <f>SUMIFS(Imput[[Importe Neto]:[Importe Neto]],Imput[[C. Imp.]:[C. Imp.]],$D1107,Imput[[PERIODO Imp.]:[PERIODO Imp.]],CZ$9)</f>
        <v>0</v>
      </c>
      <c r="DA1107" s="693">
        <f>SUMIFS(Imput[[Importe Neto]:[Importe Neto]],Imput[[C. Imp.]:[C. Imp.]],$D1107,Imput[[PERIODO Imp.]:[PERIODO Imp.]],DA$9)</f>
        <v>0</v>
      </c>
      <c r="DB1107" s="693">
        <f>SUMIFS(Imput[[Importe Neto]:[Importe Neto]],Imput[[C. Imp.]:[C. Imp.]],$D1107,Imput[[PERIODO Imp.]:[PERIODO Imp.]],DB$9)</f>
        <v>0</v>
      </c>
      <c r="DC1107" s="693">
        <f>SUMIFS(Imput[[Importe Neto]:[Importe Neto]],Imput[[C. Imp.]:[C. Imp.]],$D1107,Imput[[PERIODO Imp.]:[PERIODO Imp.]],DC$9)</f>
        <v>0</v>
      </c>
      <c r="DD1107" s="693">
        <f>SUMIFS(Imput[[Importe Neto]:[Importe Neto]],Imput[[C. Imp.]:[C. Imp.]],$D1107,Imput[[PERIODO Imp.]:[PERIODO Imp.]],DD$9)</f>
        <v>0</v>
      </c>
      <c r="DE1107" s="693">
        <f>SUMIFS(Imput[[Importe Neto]:[Importe Neto]],Imput[[C. Imp.]:[C. Imp.]],$D1107,Imput[[PERIODO Imp.]:[PERIODO Imp.]],DE$9)</f>
        <v>0</v>
      </c>
      <c r="DF1107" s="693">
        <f>SUMIFS(Imput[[Importe Neto]:[Importe Neto]],Imput[[C. Imp.]:[C. Imp.]],$D1107,Imput[[PERIODO Imp.]:[PERIODO Imp.]],DF$9)</f>
        <v>0</v>
      </c>
      <c r="DG1107" s="693">
        <f>SUMIFS(Imput[[Importe Neto]:[Importe Neto]],Imput[[C. Imp.]:[C. Imp.]],$D1107,Imput[[PERIODO Imp.]:[PERIODO Imp.]],DG$9)</f>
        <v>0</v>
      </c>
      <c r="DH1107" s="694">
        <f>SUMIFS(Imput[[Importe Neto]:[Importe Neto]],Imput[[C. Imp.]:[C. Imp.]],$D1107,Imput[[PERIODO Imp.]:[PERIODO Imp.]],DH$9)</f>
        <v>0</v>
      </c>
    </row>
    <row r="1108" spans="1:112" s="649" customFormat="1" hidden="1" outlineLevel="1" x14ac:dyDescent="0.3">
      <c r="A1108" s="652" t="str">
        <f t="shared" si="361"/>
        <v/>
      </c>
      <c r="B1108" s="652"/>
      <c r="C1108" s="685"/>
      <c r="D1108" s="686"/>
      <c r="E1108" s="686"/>
      <c r="F1108" s="720"/>
      <c r="G1108" s="688"/>
      <c r="H1108" s="689"/>
      <c r="I1108" s="851" t="str">
        <f t="shared" si="362"/>
        <v/>
      </c>
      <c r="J1108" s="850" t="str">
        <f t="shared" si="363"/>
        <v/>
      </c>
      <c r="K1108" s="678"/>
      <c r="L1108" s="858"/>
      <c r="M1108" s="859"/>
      <c r="N1108" s="859"/>
      <c r="O1108" s="859"/>
      <c r="P1108" s="859"/>
      <c r="Q1108" s="859"/>
      <c r="R1108" s="859"/>
      <c r="S1108" s="859"/>
      <c r="T1108" s="859"/>
      <c r="U1108" s="859"/>
      <c r="V1108" s="859"/>
      <c r="W1108" s="859"/>
      <c r="X1108" s="859"/>
      <c r="Y1108" s="859"/>
      <c r="Z1108" s="860"/>
      <c r="AA1108" s="860"/>
      <c r="AB1108" s="860"/>
      <c r="AC1108" s="860"/>
      <c r="AD1108" s="860"/>
      <c r="AE1108" s="860"/>
      <c r="AF1108" s="860"/>
      <c r="AG1108" s="860"/>
      <c r="AH1108" s="860"/>
      <c r="AI1108" s="860"/>
      <c r="AJ1108" s="860"/>
      <c r="AK1108" s="860"/>
      <c r="AL1108" s="860"/>
      <c r="AM1108" s="860"/>
      <c r="AN1108" s="860"/>
      <c r="AO1108" s="860"/>
      <c r="AP1108" s="860"/>
      <c r="AQ1108" s="860"/>
      <c r="AR1108" s="860"/>
      <c r="AS1108" s="860"/>
      <c r="AT1108" s="860"/>
      <c r="AU1108" s="860"/>
      <c r="AV1108" s="860"/>
      <c r="AW1108" s="860"/>
      <c r="AX1108" s="860"/>
      <c r="AY1108" s="860"/>
      <c r="AZ1108" s="860"/>
      <c r="BA1108" s="860"/>
      <c r="BB1108" s="860"/>
      <c r="BC1108" s="860"/>
      <c r="BD1108" s="860"/>
      <c r="BE1108" s="860"/>
      <c r="BF1108" s="860"/>
      <c r="BG1108" s="860"/>
      <c r="BH1108" s="668"/>
      <c r="BI1108" s="654"/>
      <c r="BJ1108" s="690">
        <f t="shared" si="364"/>
        <v>0</v>
      </c>
      <c r="BK1108" s="691">
        <f t="shared" si="365"/>
        <v>0</v>
      </c>
      <c r="BL1108" s="654"/>
      <c r="BM1108" s="692">
        <f>SUMIFS(Imput[[Importe Neto]:[Importe Neto]],Imput[[C. Imp.]:[C. Imp.]],$D1108,Imput[[PERIODO Imp.]:[PERIODO Imp.]],BM$9)</f>
        <v>0</v>
      </c>
      <c r="BN1108" s="693">
        <f>SUMIFS(Imput[[Importe Neto]:[Importe Neto]],Imput[[C. Imp.]:[C. Imp.]],$D1108,Imput[[PERIODO Imp.]:[PERIODO Imp.]],BN$9)</f>
        <v>0</v>
      </c>
      <c r="BO1108" s="693">
        <f>SUMIFS(Imput[[Importe Neto]:[Importe Neto]],Imput[[C. Imp.]:[C. Imp.]],$D1108,Imput[[PERIODO Imp.]:[PERIODO Imp.]],BO$9)</f>
        <v>0</v>
      </c>
      <c r="BP1108" s="693">
        <f>SUMIFS(Imput[[Importe Neto]:[Importe Neto]],Imput[[C. Imp.]:[C. Imp.]],$D1108,Imput[[PERIODO Imp.]:[PERIODO Imp.]],BP$9)</f>
        <v>0</v>
      </c>
      <c r="BQ1108" s="693">
        <f>SUMIFS(Imput[[Importe Neto]:[Importe Neto]],Imput[[C. Imp.]:[C. Imp.]],$D1108,Imput[[PERIODO Imp.]:[PERIODO Imp.]],BQ$9)</f>
        <v>0</v>
      </c>
      <c r="BR1108" s="693">
        <f>SUMIFS(Imput[[Importe Neto]:[Importe Neto]],Imput[[C. Imp.]:[C. Imp.]],$D1108,Imput[[PERIODO Imp.]:[PERIODO Imp.]],BR$9)</f>
        <v>0</v>
      </c>
      <c r="BS1108" s="693">
        <f>SUMIFS(Imput[[Importe Neto]:[Importe Neto]],Imput[[C. Imp.]:[C. Imp.]],$D1108,Imput[[PERIODO Imp.]:[PERIODO Imp.]],BS$9)</f>
        <v>0</v>
      </c>
      <c r="BT1108" s="693">
        <f>SUMIFS(Imput[[Importe Neto]:[Importe Neto]],Imput[[C. Imp.]:[C. Imp.]],$D1108,Imput[[PERIODO Imp.]:[PERIODO Imp.]],BT$9)</f>
        <v>0</v>
      </c>
      <c r="BU1108" s="693">
        <f>SUMIFS(Imput[[Importe Neto]:[Importe Neto]],Imput[[C. Imp.]:[C. Imp.]],$D1108,Imput[[PERIODO Imp.]:[PERIODO Imp.]],BU$9)</f>
        <v>0</v>
      </c>
      <c r="BV1108" s="693">
        <f>SUMIFS(Imput[[Importe Neto]:[Importe Neto]],Imput[[C. Imp.]:[C. Imp.]],$D1108,Imput[[PERIODO Imp.]:[PERIODO Imp.]],BV$9)</f>
        <v>0</v>
      </c>
      <c r="BW1108" s="693">
        <f>SUMIFS(Imput[[Importe Neto]:[Importe Neto]],Imput[[C. Imp.]:[C. Imp.]],$D1108,Imput[[PERIODO Imp.]:[PERIODO Imp.]],BW$9)</f>
        <v>0</v>
      </c>
      <c r="BX1108" s="693">
        <f>SUMIFS(Imput[[Importe Neto]:[Importe Neto]],Imput[[C. Imp.]:[C. Imp.]],$D1108,Imput[[PERIODO Imp.]:[PERIODO Imp.]],BX$9)</f>
        <v>0</v>
      </c>
      <c r="BY1108" s="693">
        <f>SUMIFS(Imput[[Importe Neto]:[Importe Neto]],Imput[[C. Imp.]:[C. Imp.]],$D1108,Imput[[PERIODO Imp.]:[PERIODO Imp.]],BY$9)</f>
        <v>0</v>
      </c>
      <c r="BZ1108" s="693">
        <f>SUMIFS(Imput[[Importe Neto]:[Importe Neto]],Imput[[C. Imp.]:[C. Imp.]],$D1108,Imput[[PERIODO Imp.]:[PERIODO Imp.]],BZ$9)</f>
        <v>0</v>
      </c>
      <c r="CA1108" s="693">
        <f>SUMIFS(Imput[[Importe Neto]:[Importe Neto]],Imput[[C. Imp.]:[C. Imp.]],$D1108,Imput[[PERIODO Imp.]:[PERIODO Imp.]],CA$9)</f>
        <v>0</v>
      </c>
      <c r="CB1108" s="693">
        <f>SUMIFS(Imput[[Importe Neto]:[Importe Neto]],Imput[[C. Imp.]:[C. Imp.]],$D1108,Imput[[PERIODO Imp.]:[PERIODO Imp.]],CB$9)</f>
        <v>0</v>
      </c>
      <c r="CC1108" s="693">
        <f>SUMIFS(Imput[[Importe Neto]:[Importe Neto]],Imput[[C. Imp.]:[C. Imp.]],$D1108,Imput[[PERIODO Imp.]:[PERIODO Imp.]],CC$9)</f>
        <v>0</v>
      </c>
      <c r="CD1108" s="693">
        <f>SUMIFS(Imput[[Importe Neto]:[Importe Neto]],Imput[[C. Imp.]:[C. Imp.]],$D1108,Imput[[PERIODO Imp.]:[PERIODO Imp.]],CD$9)</f>
        <v>0</v>
      </c>
      <c r="CE1108" s="693">
        <f>SUMIFS(Imput[[Importe Neto]:[Importe Neto]],Imput[[C. Imp.]:[C. Imp.]],$D1108,Imput[[PERIODO Imp.]:[PERIODO Imp.]],CE$9)</f>
        <v>0</v>
      </c>
      <c r="CF1108" s="693">
        <f>SUMIFS(Imput[[Importe Neto]:[Importe Neto]],Imput[[C. Imp.]:[C. Imp.]],$D1108,Imput[[PERIODO Imp.]:[PERIODO Imp.]],CF$9)</f>
        <v>0</v>
      </c>
      <c r="CG1108" s="693">
        <f>SUMIFS(Imput[[Importe Neto]:[Importe Neto]],Imput[[C. Imp.]:[C. Imp.]],$D1108,Imput[[PERIODO Imp.]:[PERIODO Imp.]],CG$9)</f>
        <v>0</v>
      </c>
      <c r="CH1108" s="693">
        <f>SUMIFS(Imput[[Importe Neto]:[Importe Neto]],Imput[[C. Imp.]:[C. Imp.]],$D1108,Imput[[PERIODO Imp.]:[PERIODO Imp.]],CH$9)</f>
        <v>0</v>
      </c>
      <c r="CI1108" s="693">
        <f>SUMIFS(Imput[[Importe Neto]:[Importe Neto]],Imput[[C. Imp.]:[C. Imp.]],$D1108,Imput[[PERIODO Imp.]:[PERIODO Imp.]],CI$9)</f>
        <v>0</v>
      </c>
      <c r="CJ1108" s="693">
        <f>SUMIFS(Imput[[Importe Neto]:[Importe Neto]],Imput[[C. Imp.]:[C. Imp.]],$D1108,Imput[[PERIODO Imp.]:[PERIODO Imp.]],CJ$9)</f>
        <v>0</v>
      </c>
      <c r="CK1108" s="693">
        <f>SUMIFS(Imput[[Importe Neto]:[Importe Neto]],Imput[[C. Imp.]:[C. Imp.]],$D1108,Imput[[PERIODO Imp.]:[PERIODO Imp.]],CK$9)</f>
        <v>0</v>
      </c>
      <c r="CL1108" s="693">
        <f>SUMIFS(Imput[[Importe Neto]:[Importe Neto]],Imput[[C. Imp.]:[C. Imp.]],$D1108,Imput[[PERIODO Imp.]:[PERIODO Imp.]],CL$9)</f>
        <v>0</v>
      </c>
      <c r="CM1108" s="693">
        <f>SUMIFS(Imput[[Importe Neto]:[Importe Neto]],Imput[[C. Imp.]:[C. Imp.]],$D1108,Imput[[PERIODO Imp.]:[PERIODO Imp.]],CM$9)</f>
        <v>0</v>
      </c>
      <c r="CN1108" s="693">
        <f>SUMIFS(Imput[[Importe Neto]:[Importe Neto]],Imput[[C. Imp.]:[C. Imp.]],$D1108,Imput[[PERIODO Imp.]:[PERIODO Imp.]],CN$9)</f>
        <v>0</v>
      </c>
      <c r="CO1108" s="693">
        <f>SUMIFS(Imput[[Importe Neto]:[Importe Neto]],Imput[[C. Imp.]:[C. Imp.]],$D1108,Imput[[PERIODO Imp.]:[PERIODO Imp.]],CO$9)</f>
        <v>0</v>
      </c>
      <c r="CP1108" s="693">
        <f>SUMIFS(Imput[[Importe Neto]:[Importe Neto]],Imput[[C. Imp.]:[C. Imp.]],$D1108,Imput[[PERIODO Imp.]:[PERIODO Imp.]],CP$9)</f>
        <v>0</v>
      </c>
      <c r="CQ1108" s="693">
        <f>SUMIFS(Imput[[Importe Neto]:[Importe Neto]],Imput[[C. Imp.]:[C. Imp.]],$D1108,Imput[[PERIODO Imp.]:[PERIODO Imp.]],CQ$9)</f>
        <v>0</v>
      </c>
      <c r="CR1108" s="693">
        <f>SUMIFS(Imput[[Importe Neto]:[Importe Neto]],Imput[[C. Imp.]:[C. Imp.]],$D1108,Imput[[PERIODO Imp.]:[PERIODO Imp.]],CR$9)</f>
        <v>0</v>
      </c>
      <c r="CS1108" s="693">
        <f>SUMIFS(Imput[[Importe Neto]:[Importe Neto]],Imput[[C. Imp.]:[C. Imp.]],$D1108,Imput[[PERIODO Imp.]:[PERIODO Imp.]],CS$9)</f>
        <v>0</v>
      </c>
      <c r="CT1108" s="693">
        <f>SUMIFS(Imput[[Importe Neto]:[Importe Neto]],Imput[[C. Imp.]:[C. Imp.]],$D1108,Imput[[PERIODO Imp.]:[PERIODO Imp.]],CT$9)</f>
        <v>0</v>
      </c>
      <c r="CU1108" s="693">
        <f>SUMIFS(Imput[[Importe Neto]:[Importe Neto]],Imput[[C. Imp.]:[C. Imp.]],$D1108,Imput[[PERIODO Imp.]:[PERIODO Imp.]],CU$9)</f>
        <v>0</v>
      </c>
      <c r="CV1108" s="693">
        <f>SUMIFS(Imput[[Importe Neto]:[Importe Neto]],Imput[[C. Imp.]:[C. Imp.]],$D1108,Imput[[PERIODO Imp.]:[PERIODO Imp.]],CV$9)</f>
        <v>0</v>
      </c>
      <c r="CW1108" s="693">
        <f>SUMIFS(Imput[[Importe Neto]:[Importe Neto]],Imput[[C. Imp.]:[C. Imp.]],$D1108,Imput[[PERIODO Imp.]:[PERIODO Imp.]],CW$9)</f>
        <v>0</v>
      </c>
      <c r="CX1108" s="693">
        <f>SUMIFS(Imput[[Importe Neto]:[Importe Neto]],Imput[[C. Imp.]:[C. Imp.]],$D1108,Imput[[PERIODO Imp.]:[PERIODO Imp.]],CX$9)</f>
        <v>0</v>
      </c>
      <c r="CY1108" s="693">
        <f>SUMIFS(Imput[[Importe Neto]:[Importe Neto]],Imput[[C. Imp.]:[C. Imp.]],$D1108,Imput[[PERIODO Imp.]:[PERIODO Imp.]],CY$9)</f>
        <v>0</v>
      </c>
      <c r="CZ1108" s="693">
        <f>SUMIFS(Imput[[Importe Neto]:[Importe Neto]],Imput[[C. Imp.]:[C. Imp.]],$D1108,Imput[[PERIODO Imp.]:[PERIODO Imp.]],CZ$9)</f>
        <v>0</v>
      </c>
      <c r="DA1108" s="693">
        <f>SUMIFS(Imput[[Importe Neto]:[Importe Neto]],Imput[[C. Imp.]:[C. Imp.]],$D1108,Imput[[PERIODO Imp.]:[PERIODO Imp.]],DA$9)</f>
        <v>0</v>
      </c>
      <c r="DB1108" s="693">
        <f>SUMIFS(Imput[[Importe Neto]:[Importe Neto]],Imput[[C. Imp.]:[C. Imp.]],$D1108,Imput[[PERIODO Imp.]:[PERIODO Imp.]],DB$9)</f>
        <v>0</v>
      </c>
      <c r="DC1108" s="693">
        <f>SUMIFS(Imput[[Importe Neto]:[Importe Neto]],Imput[[C. Imp.]:[C. Imp.]],$D1108,Imput[[PERIODO Imp.]:[PERIODO Imp.]],DC$9)</f>
        <v>0</v>
      </c>
      <c r="DD1108" s="693">
        <f>SUMIFS(Imput[[Importe Neto]:[Importe Neto]],Imput[[C. Imp.]:[C. Imp.]],$D1108,Imput[[PERIODO Imp.]:[PERIODO Imp.]],DD$9)</f>
        <v>0</v>
      </c>
      <c r="DE1108" s="693">
        <f>SUMIFS(Imput[[Importe Neto]:[Importe Neto]],Imput[[C. Imp.]:[C. Imp.]],$D1108,Imput[[PERIODO Imp.]:[PERIODO Imp.]],DE$9)</f>
        <v>0</v>
      </c>
      <c r="DF1108" s="693">
        <f>SUMIFS(Imput[[Importe Neto]:[Importe Neto]],Imput[[C. Imp.]:[C. Imp.]],$D1108,Imput[[PERIODO Imp.]:[PERIODO Imp.]],DF$9)</f>
        <v>0</v>
      </c>
      <c r="DG1108" s="693">
        <f>SUMIFS(Imput[[Importe Neto]:[Importe Neto]],Imput[[C. Imp.]:[C. Imp.]],$D1108,Imput[[PERIODO Imp.]:[PERIODO Imp.]],DG$9)</f>
        <v>0</v>
      </c>
      <c r="DH1108" s="694">
        <f>SUMIFS(Imput[[Importe Neto]:[Importe Neto]],Imput[[C. Imp.]:[C. Imp.]],$D1108,Imput[[PERIODO Imp.]:[PERIODO Imp.]],DH$9)</f>
        <v>0</v>
      </c>
    </row>
    <row r="1109" spans="1:112" s="649" customFormat="1" hidden="1" outlineLevel="1" x14ac:dyDescent="0.3">
      <c r="A1109" s="652" t="str">
        <f t="shared" si="361"/>
        <v/>
      </c>
      <c r="B1109" s="652"/>
      <c r="C1109" s="685"/>
      <c r="D1109" s="686"/>
      <c r="E1109" s="728"/>
      <c r="F1109" s="720"/>
      <c r="G1109" s="688"/>
      <c r="H1109" s="689"/>
      <c r="I1109" s="851" t="str">
        <f t="shared" si="362"/>
        <v/>
      </c>
      <c r="J1109" s="850" t="str">
        <f t="shared" si="363"/>
        <v/>
      </c>
      <c r="K1109" s="667"/>
      <c r="L1109" s="858"/>
      <c r="M1109" s="859"/>
      <c r="N1109" s="859"/>
      <c r="O1109" s="859"/>
      <c r="P1109" s="859"/>
      <c r="Q1109" s="859"/>
      <c r="R1109" s="859"/>
      <c r="S1109" s="859"/>
      <c r="T1109" s="859"/>
      <c r="U1109" s="859"/>
      <c r="V1109" s="859"/>
      <c r="W1109" s="859"/>
      <c r="X1109" s="859"/>
      <c r="Y1109" s="859"/>
      <c r="Z1109" s="860"/>
      <c r="AA1109" s="860"/>
      <c r="AB1109" s="860"/>
      <c r="AC1109" s="860"/>
      <c r="AD1109" s="860"/>
      <c r="AE1109" s="860"/>
      <c r="AF1109" s="860"/>
      <c r="AG1109" s="860"/>
      <c r="AH1109" s="860"/>
      <c r="AI1109" s="860"/>
      <c r="AJ1109" s="860"/>
      <c r="AK1109" s="860"/>
      <c r="AL1109" s="860"/>
      <c r="AM1109" s="860"/>
      <c r="AN1109" s="860"/>
      <c r="AO1109" s="860"/>
      <c r="AP1109" s="860"/>
      <c r="AQ1109" s="860"/>
      <c r="AR1109" s="860"/>
      <c r="AS1109" s="860"/>
      <c r="AT1109" s="860"/>
      <c r="AU1109" s="860"/>
      <c r="AV1109" s="860"/>
      <c r="AW1109" s="860"/>
      <c r="AX1109" s="860"/>
      <c r="AY1109" s="860"/>
      <c r="AZ1109" s="860"/>
      <c r="BA1109" s="860"/>
      <c r="BB1109" s="860"/>
      <c r="BC1109" s="860"/>
      <c r="BD1109" s="860"/>
      <c r="BE1109" s="860"/>
      <c r="BF1109" s="860"/>
      <c r="BG1109" s="860"/>
      <c r="BH1109" s="668"/>
      <c r="BI1109" s="667"/>
      <c r="BJ1109" s="690">
        <f t="shared" si="364"/>
        <v>0</v>
      </c>
      <c r="BK1109" s="691">
        <f t="shared" si="365"/>
        <v>0</v>
      </c>
      <c r="BL1109" s="654"/>
      <c r="BM1109" s="692">
        <f>SUMIFS(Imput[[Importe Neto]:[Importe Neto]],Imput[[C. Imp.]:[C. Imp.]],$D1109,Imput[[PERIODO Imp.]:[PERIODO Imp.]],BM$9)</f>
        <v>0</v>
      </c>
      <c r="BN1109" s="693">
        <f>SUMIFS(Imput[[Importe Neto]:[Importe Neto]],Imput[[C. Imp.]:[C. Imp.]],$D1109,Imput[[PERIODO Imp.]:[PERIODO Imp.]],BN$9)</f>
        <v>0</v>
      </c>
      <c r="BO1109" s="693">
        <f>SUMIFS(Imput[[Importe Neto]:[Importe Neto]],Imput[[C. Imp.]:[C. Imp.]],$D1109,Imput[[PERIODO Imp.]:[PERIODO Imp.]],BO$9)</f>
        <v>0</v>
      </c>
      <c r="BP1109" s="693">
        <f>SUMIFS(Imput[[Importe Neto]:[Importe Neto]],Imput[[C. Imp.]:[C. Imp.]],$D1109,Imput[[PERIODO Imp.]:[PERIODO Imp.]],BP$9)</f>
        <v>0</v>
      </c>
      <c r="BQ1109" s="693">
        <f>SUMIFS(Imput[[Importe Neto]:[Importe Neto]],Imput[[C. Imp.]:[C. Imp.]],$D1109,Imput[[PERIODO Imp.]:[PERIODO Imp.]],BQ$9)</f>
        <v>0</v>
      </c>
      <c r="BR1109" s="693">
        <f>SUMIFS(Imput[[Importe Neto]:[Importe Neto]],Imput[[C. Imp.]:[C. Imp.]],$D1109,Imput[[PERIODO Imp.]:[PERIODO Imp.]],BR$9)</f>
        <v>0</v>
      </c>
      <c r="BS1109" s="693">
        <f>SUMIFS(Imput[[Importe Neto]:[Importe Neto]],Imput[[C. Imp.]:[C. Imp.]],$D1109,Imput[[PERIODO Imp.]:[PERIODO Imp.]],BS$9)</f>
        <v>0</v>
      </c>
      <c r="BT1109" s="693">
        <f>SUMIFS(Imput[[Importe Neto]:[Importe Neto]],Imput[[C. Imp.]:[C. Imp.]],$D1109,Imput[[PERIODO Imp.]:[PERIODO Imp.]],BT$9)</f>
        <v>0</v>
      </c>
      <c r="BU1109" s="693">
        <f>SUMIFS(Imput[[Importe Neto]:[Importe Neto]],Imput[[C. Imp.]:[C. Imp.]],$D1109,Imput[[PERIODO Imp.]:[PERIODO Imp.]],BU$9)</f>
        <v>0</v>
      </c>
      <c r="BV1109" s="693">
        <f>SUMIFS(Imput[[Importe Neto]:[Importe Neto]],Imput[[C. Imp.]:[C. Imp.]],$D1109,Imput[[PERIODO Imp.]:[PERIODO Imp.]],BV$9)</f>
        <v>0</v>
      </c>
      <c r="BW1109" s="693">
        <f>SUMIFS(Imput[[Importe Neto]:[Importe Neto]],Imput[[C. Imp.]:[C. Imp.]],$D1109,Imput[[PERIODO Imp.]:[PERIODO Imp.]],BW$9)</f>
        <v>0</v>
      </c>
      <c r="BX1109" s="693">
        <f>SUMIFS(Imput[[Importe Neto]:[Importe Neto]],Imput[[C. Imp.]:[C. Imp.]],$D1109,Imput[[PERIODO Imp.]:[PERIODO Imp.]],BX$9)</f>
        <v>0</v>
      </c>
      <c r="BY1109" s="693">
        <f>SUMIFS(Imput[[Importe Neto]:[Importe Neto]],Imput[[C. Imp.]:[C. Imp.]],$D1109,Imput[[PERIODO Imp.]:[PERIODO Imp.]],BY$9)</f>
        <v>0</v>
      </c>
      <c r="BZ1109" s="693">
        <f>SUMIFS(Imput[[Importe Neto]:[Importe Neto]],Imput[[C. Imp.]:[C. Imp.]],$D1109,Imput[[PERIODO Imp.]:[PERIODO Imp.]],BZ$9)</f>
        <v>0</v>
      </c>
      <c r="CA1109" s="693">
        <f>SUMIFS(Imput[[Importe Neto]:[Importe Neto]],Imput[[C. Imp.]:[C. Imp.]],$D1109,Imput[[PERIODO Imp.]:[PERIODO Imp.]],CA$9)</f>
        <v>0</v>
      </c>
      <c r="CB1109" s="693">
        <f>SUMIFS(Imput[[Importe Neto]:[Importe Neto]],Imput[[C. Imp.]:[C. Imp.]],$D1109,Imput[[PERIODO Imp.]:[PERIODO Imp.]],CB$9)</f>
        <v>0</v>
      </c>
      <c r="CC1109" s="693">
        <f>SUMIFS(Imput[[Importe Neto]:[Importe Neto]],Imput[[C. Imp.]:[C. Imp.]],$D1109,Imput[[PERIODO Imp.]:[PERIODO Imp.]],CC$9)</f>
        <v>0</v>
      </c>
      <c r="CD1109" s="693">
        <f>SUMIFS(Imput[[Importe Neto]:[Importe Neto]],Imput[[C. Imp.]:[C. Imp.]],$D1109,Imput[[PERIODO Imp.]:[PERIODO Imp.]],CD$9)</f>
        <v>0</v>
      </c>
      <c r="CE1109" s="693">
        <f>SUMIFS(Imput[[Importe Neto]:[Importe Neto]],Imput[[C. Imp.]:[C. Imp.]],$D1109,Imput[[PERIODO Imp.]:[PERIODO Imp.]],CE$9)</f>
        <v>0</v>
      </c>
      <c r="CF1109" s="693">
        <f>SUMIFS(Imput[[Importe Neto]:[Importe Neto]],Imput[[C. Imp.]:[C. Imp.]],$D1109,Imput[[PERIODO Imp.]:[PERIODO Imp.]],CF$9)</f>
        <v>0</v>
      </c>
      <c r="CG1109" s="693">
        <f>SUMIFS(Imput[[Importe Neto]:[Importe Neto]],Imput[[C. Imp.]:[C. Imp.]],$D1109,Imput[[PERIODO Imp.]:[PERIODO Imp.]],CG$9)</f>
        <v>0</v>
      </c>
      <c r="CH1109" s="693">
        <f>SUMIFS(Imput[[Importe Neto]:[Importe Neto]],Imput[[C. Imp.]:[C. Imp.]],$D1109,Imput[[PERIODO Imp.]:[PERIODO Imp.]],CH$9)</f>
        <v>0</v>
      </c>
      <c r="CI1109" s="693">
        <f>SUMIFS(Imput[[Importe Neto]:[Importe Neto]],Imput[[C. Imp.]:[C. Imp.]],$D1109,Imput[[PERIODO Imp.]:[PERIODO Imp.]],CI$9)</f>
        <v>0</v>
      </c>
      <c r="CJ1109" s="693">
        <f>SUMIFS(Imput[[Importe Neto]:[Importe Neto]],Imput[[C. Imp.]:[C. Imp.]],$D1109,Imput[[PERIODO Imp.]:[PERIODO Imp.]],CJ$9)</f>
        <v>0</v>
      </c>
      <c r="CK1109" s="693">
        <f>SUMIFS(Imput[[Importe Neto]:[Importe Neto]],Imput[[C. Imp.]:[C. Imp.]],$D1109,Imput[[PERIODO Imp.]:[PERIODO Imp.]],CK$9)</f>
        <v>0</v>
      </c>
      <c r="CL1109" s="693">
        <f>SUMIFS(Imput[[Importe Neto]:[Importe Neto]],Imput[[C. Imp.]:[C. Imp.]],$D1109,Imput[[PERIODO Imp.]:[PERIODO Imp.]],CL$9)</f>
        <v>0</v>
      </c>
      <c r="CM1109" s="693">
        <f>SUMIFS(Imput[[Importe Neto]:[Importe Neto]],Imput[[C. Imp.]:[C. Imp.]],$D1109,Imput[[PERIODO Imp.]:[PERIODO Imp.]],CM$9)</f>
        <v>0</v>
      </c>
      <c r="CN1109" s="693">
        <f>SUMIFS(Imput[[Importe Neto]:[Importe Neto]],Imput[[C. Imp.]:[C. Imp.]],$D1109,Imput[[PERIODO Imp.]:[PERIODO Imp.]],CN$9)</f>
        <v>0</v>
      </c>
      <c r="CO1109" s="693">
        <f>SUMIFS(Imput[[Importe Neto]:[Importe Neto]],Imput[[C. Imp.]:[C. Imp.]],$D1109,Imput[[PERIODO Imp.]:[PERIODO Imp.]],CO$9)</f>
        <v>0</v>
      </c>
      <c r="CP1109" s="693">
        <f>SUMIFS(Imput[[Importe Neto]:[Importe Neto]],Imput[[C. Imp.]:[C. Imp.]],$D1109,Imput[[PERIODO Imp.]:[PERIODO Imp.]],CP$9)</f>
        <v>0</v>
      </c>
      <c r="CQ1109" s="693">
        <f>SUMIFS(Imput[[Importe Neto]:[Importe Neto]],Imput[[C. Imp.]:[C. Imp.]],$D1109,Imput[[PERIODO Imp.]:[PERIODO Imp.]],CQ$9)</f>
        <v>0</v>
      </c>
      <c r="CR1109" s="693">
        <f>SUMIFS(Imput[[Importe Neto]:[Importe Neto]],Imput[[C. Imp.]:[C. Imp.]],$D1109,Imput[[PERIODO Imp.]:[PERIODO Imp.]],CR$9)</f>
        <v>0</v>
      </c>
      <c r="CS1109" s="693">
        <f>SUMIFS(Imput[[Importe Neto]:[Importe Neto]],Imput[[C. Imp.]:[C. Imp.]],$D1109,Imput[[PERIODO Imp.]:[PERIODO Imp.]],CS$9)</f>
        <v>0</v>
      </c>
      <c r="CT1109" s="693">
        <f>SUMIFS(Imput[[Importe Neto]:[Importe Neto]],Imput[[C. Imp.]:[C. Imp.]],$D1109,Imput[[PERIODO Imp.]:[PERIODO Imp.]],CT$9)</f>
        <v>0</v>
      </c>
      <c r="CU1109" s="693">
        <f>SUMIFS(Imput[[Importe Neto]:[Importe Neto]],Imput[[C. Imp.]:[C. Imp.]],$D1109,Imput[[PERIODO Imp.]:[PERIODO Imp.]],CU$9)</f>
        <v>0</v>
      </c>
      <c r="CV1109" s="693">
        <f>SUMIFS(Imput[[Importe Neto]:[Importe Neto]],Imput[[C. Imp.]:[C. Imp.]],$D1109,Imput[[PERIODO Imp.]:[PERIODO Imp.]],CV$9)</f>
        <v>0</v>
      </c>
      <c r="CW1109" s="693">
        <f>SUMIFS(Imput[[Importe Neto]:[Importe Neto]],Imput[[C. Imp.]:[C. Imp.]],$D1109,Imput[[PERIODO Imp.]:[PERIODO Imp.]],CW$9)</f>
        <v>0</v>
      </c>
      <c r="CX1109" s="693">
        <f>SUMIFS(Imput[[Importe Neto]:[Importe Neto]],Imput[[C. Imp.]:[C. Imp.]],$D1109,Imput[[PERIODO Imp.]:[PERIODO Imp.]],CX$9)</f>
        <v>0</v>
      </c>
      <c r="CY1109" s="693">
        <f>SUMIFS(Imput[[Importe Neto]:[Importe Neto]],Imput[[C. Imp.]:[C. Imp.]],$D1109,Imput[[PERIODO Imp.]:[PERIODO Imp.]],CY$9)</f>
        <v>0</v>
      </c>
      <c r="CZ1109" s="693">
        <f>SUMIFS(Imput[[Importe Neto]:[Importe Neto]],Imput[[C. Imp.]:[C. Imp.]],$D1109,Imput[[PERIODO Imp.]:[PERIODO Imp.]],CZ$9)</f>
        <v>0</v>
      </c>
      <c r="DA1109" s="693">
        <f>SUMIFS(Imput[[Importe Neto]:[Importe Neto]],Imput[[C. Imp.]:[C. Imp.]],$D1109,Imput[[PERIODO Imp.]:[PERIODO Imp.]],DA$9)</f>
        <v>0</v>
      </c>
      <c r="DB1109" s="693">
        <f>SUMIFS(Imput[[Importe Neto]:[Importe Neto]],Imput[[C. Imp.]:[C. Imp.]],$D1109,Imput[[PERIODO Imp.]:[PERIODO Imp.]],DB$9)</f>
        <v>0</v>
      </c>
      <c r="DC1109" s="693">
        <f>SUMIFS(Imput[[Importe Neto]:[Importe Neto]],Imput[[C. Imp.]:[C. Imp.]],$D1109,Imput[[PERIODO Imp.]:[PERIODO Imp.]],DC$9)</f>
        <v>0</v>
      </c>
      <c r="DD1109" s="693">
        <f>SUMIFS(Imput[[Importe Neto]:[Importe Neto]],Imput[[C. Imp.]:[C. Imp.]],$D1109,Imput[[PERIODO Imp.]:[PERIODO Imp.]],DD$9)</f>
        <v>0</v>
      </c>
      <c r="DE1109" s="693">
        <f>SUMIFS(Imput[[Importe Neto]:[Importe Neto]],Imput[[C. Imp.]:[C. Imp.]],$D1109,Imput[[PERIODO Imp.]:[PERIODO Imp.]],DE$9)</f>
        <v>0</v>
      </c>
      <c r="DF1109" s="693">
        <f>SUMIFS(Imput[[Importe Neto]:[Importe Neto]],Imput[[C. Imp.]:[C. Imp.]],$D1109,Imput[[PERIODO Imp.]:[PERIODO Imp.]],DF$9)</f>
        <v>0</v>
      </c>
      <c r="DG1109" s="693">
        <f>SUMIFS(Imput[[Importe Neto]:[Importe Neto]],Imput[[C. Imp.]:[C. Imp.]],$D1109,Imput[[PERIODO Imp.]:[PERIODO Imp.]],DG$9)</f>
        <v>0</v>
      </c>
      <c r="DH1109" s="694">
        <f>SUMIFS(Imput[[Importe Neto]:[Importe Neto]],Imput[[C. Imp.]:[C. Imp.]],$D1109,Imput[[PERIODO Imp.]:[PERIODO Imp.]],DH$9)</f>
        <v>0</v>
      </c>
    </row>
    <row r="1110" spans="1:112" s="649" customFormat="1" hidden="1" outlineLevel="1" x14ac:dyDescent="0.3">
      <c r="A1110" s="652" t="str">
        <f t="shared" si="361"/>
        <v/>
      </c>
      <c r="B1110" s="652"/>
      <c r="C1110" s="685"/>
      <c r="D1110" s="686"/>
      <c r="E1110" s="728"/>
      <c r="F1110" s="720"/>
      <c r="G1110" s="688"/>
      <c r="H1110" s="689"/>
      <c r="I1110" s="851" t="str">
        <f t="shared" si="362"/>
        <v/>
      </c>
      <c r="J1110" s="850" t="str">
        <f t="shared" si="363"/>
        <v/>
      </c>
      <c r="K1110" s="667"/>
      <c r="L1110" s="858"/>
      <c r="M1110" s="859"/>
      <c r="N1110" s="859"/>
      <c r="O1110" s="859"/>
      <c r="P1110" s="859"/>
      <c r="Q1110" s="859"/>
      <c r="R1110" s="859"/>
      <c r="S1110" s="859"/>
      <c r="T1110" s="859"/>
      <c r="U1110" s="859"/>
      <c r="V1110" s="859"/>
      <c r="W1110" s="859"/>
      <c r="X1110" s="859"/>
      <c r="Y1110" s="859"/>
      <c r="Z1110" s="860"/>
      <c r="AA1110" s="860"/>
      <c r="AB1110" s="860"/>
      <c r="AC1110" s="860"/>
      <c r="AD1110" s="860"/>
      <c r="AE1110" s="860"/>
      <c r="AF1110" s="860"/>
      <c r="AG1110" s="860"/>
      <c r="AH1110" s="860"/>
      <c r="AI1110" s="860"/>
      <c r="AJ1110" s="860"/>
      <c r="AK1110" s="860"/>
      <c r="AL1110" s="860"/>
      <c r="AM1110" s="860"/>
      <c r="AN1110" s="860"/>
      <c r="AO1110" s="860"/>
      <c r="AP1110" s="860"/>
      <c r="AQ1110" s="860"/>
      <c r="AR1110" s="860"/>
      <c r="AS1110" s="860"/>
      <c r="AT1110" s="860"/>
      <c r="AU1110" s="860"/>
      <c r="AV1110" s="860"/>
      <c r="AW1110" s="860"/>
      <c r="AX1110" s="860"/>
      <c r="AY1110" s="860"/>
      <c r="AZ1110" s="860"/>
      <c r="BA1110" s="860"/>
      <c r="BB1110" s="860"/>
      <c r="BC1110" s="860"/>
      <c r="BD1110" s="860"/>
      <c r="BE1110" s="860"/>
      <c r="BF1110" s="860"/>
      <c r="BG1110" s="860"/>
      <c r="BH1110" s="668"/>
      <c r="BI1110" s="667"/>
      <c r="BJ1110" s="690">
        <f t="shared" si="364"/>
        <v>0</v>
      </c>
      <c r="BK1110" s="691">
        <f t="shared" si="365"/>
        <v>0</v>
      </c>
      <c r="BL1110" s="654"/>
      <c r="BM1110" s="692">
        <f>SUMIFS(Imput[[Importe Neto]:[Importe Neto]],Imput[[C. Imp.]:[C. Imp.]],$D1110,Imput[[PERIODO Imp.]:[PERIODO Imp.]],BM$9)</f>
        <v>0</v>
      </c>
      <c r="BN1110" s="693">
        <f>SUMIFS(Imput[[Importe Neto]:[Importe Neto]],Imput[[C. Imp.]:[C. Imp.]],$D1110,Imput[[PERIODO Imp.]:[PERIODO Imp.]],BN$9)</f>
        <v>0</v>
      </c>
      <c r="BO1110" s="693">
        <f>SUMIFS(Imput[[Importe Neto]:[Importe Neto]],Imput[[C. Imp.]:[C. Imp.]],$D1110,Imput[[PERIODO Imp.]:[PERIODO Imp.]],BO$9)</f>
        <v>0</v>
      </c>
      <c r="BP1110" s="693">
        <f>SUMIFS(Imput[[Importe Neto]:[Importe Neto]],Imput[[C. Imp.]:[C. Imp.]],$D1110,Imput[[PERIODO Imp.]:[PERIODO Imp.]],BP$9)</f>
        <v>0</v>
      </c>
      <c r="BQ1110" s="693">
        <f>SUMIFS(Imput[[Importe Neto]:[Importe Neto]],Imput[[C. Imp.]:[C. Imp.]],$D1110,Imput[[PERIODO Imp.]:[PERIODO Imp.]],BQ$9)</f>
        <v>0</v>
      </c>
      <c r="BR1110" s="693">
        <f>SUMIFS(Imput[[Importe Neto]:[Importe Neto]],Imput[[C. Imp.]:[C. Imp.]],$D1110,Imput[[PERIODO Imp.]:[PERIODO Imp.]],BR$9)</f>
        <v>0</v>
      </c>
      <c r="BS1110" s="693">
        <f>SUMIFS(Imput[[Importe Neto]:[Importe Neto]],Imput[[C. Imp.]:[C. Imp.]],$D1110,Imput[[PERIODO Imp.]:[PERIODO Imp.]],BS$9)</f>
        <v>0</v>
      </c>
      <c r="BT1110" s="693">
        <f>SUMIFS(Imput[[Importe Neto]:[Importe Neto]],Imput[[C. Imp.]:[C. Imp.]],$D1110,Imput[[PERIODO Imp.]:[PERIODO Imp.]],BT$9)</f>
        <v>0</v>
      </c>
      <c r="BU1110" s="693">
        <f>SUMIFS(Imput[[Importe Neto]:[Importe Neto]],Imput[[C. Imp.]:[C. Imp.]],$D1110,Imput[[PERIODO Imp.]:[PERIODO Imp.]],BU$9)</f>
        <v>0</v>
      </c>
      <c r="BV1110" s="693">
        <f>SUMIFS(Imput[[Importe Neto]:[Importe Neto]],Imput[[C. Imp.]:[C. Imp.]],$D1110,Imput[[PERIODO Imp.]:[PERIODO Imp.]],BV$9)</f>
        <v>0</v>
      </c>
      <c r="BW1110" s="693">
        <f>SUMIFS(Imput[[Importe Neto]:[Importe Neto]],Imput[[C. Imp.]:[C. Imp.]],$D1110,Imput[[PERIODO Imp.]:[PERIODO Imp.]],BW$9)</f>
        <v>0</v>
      </c>
      <c r="BX1110" s="693">
        <f>SUMIFS(Imput[[Importe Neto]:[Importe Neto]],Imput[[C. Imp.]:[C. Imp.]],$D1110,Imput[[PERIODO Imp.]:[PERIODO Imp.]],BX$9)</f>
        <v>0</v>
      </c>
      <c r="BY1110" s="693">
        <f>SUMIFS(Imput[[Importe Neto]:[Importe Neto]],Imput[[C. Imp.]:[C. Imp.]],$D1110,Imput[[PERIODO Imp.]:[PERIODO Imp.]],BY$9)</f>
        <v>0</v>
      </c>
      <c r="BZ1110" s="693">
        <f>SUMIFS(Imput[[Importe Neto]:[Importe Neto]],Imput[[C. Imp.]:[C. Imp.]],$D1110,Imput[[PERIODO Imp.]:[PERIODO Imp.]],BZ$9)</f>
        <v>0</v>
      </c>
      <c r="CA1110" s="693">
        <f>SUMIFS(Imput[[Importe Neto]:[Importe Neto]],Imput[[C. Imp.]:[C. Imp.]],$D1110,Imput[[PERIODO Imp.]:[PERIODO Imp.]],CA$9)</f>
        <v>0</v>
      </c>
      <c r="CB1110" s="693">
        <f>SUMIFS(Imput[[Importe Neto]:[Importe Neto]],Imput[[C. Imp.]:[C. Imp.]],$D1110,Imput[[PERIODO Imp.]:[PERIODO Imp.]],CB$9)</f>
        <v>0</v>
      </c>
      <c r="CC1110" s="693">
        <f>SUMIFS(Imput[[Importe Neto]:[Importe Neto]],Imput[[C. Imp.]:[C. Imp.]],$D1110,Imput[[PERIODO Imp.]:[PERIODO Imp.]],CC$9)</f>
        <v>0</v>
      </c>
      <c r="CD1110" s="693">
        <f>SUMIFS(Imput[[Importe Neto]:[Importe Neto]],Imput[[C. Imp.]:[C. Imp.]],$D1110,Imput[[PERIODO Imp.]:[PERIODO Imp.]],CD$9)</f>
        <v>0</v>
      </c>
      <c r="CE1110" s="693">
        <f>SUMIFS(Imput[[Importe Neto]:[Importe Neto]],Imput[[C. Imp.]:[C. Imp.]],$D1110,Imput[[PERIODO Imp.]:[PERIODO Imp.]],CE$9)</f>
        <v>0</v>
      </c>
      <c r="CF1110" s="693">
        <f>SUMIFS(Imput[[Importe Neto]:[Importe Neto]],Imput[[C. Imp.]:[C. Imp.]],$D1110,Imput[[PERIODO Imp.]:[PERIODO Imp.]],CF$9)</f>
        <v>0</v>
      </c>
      <c r="CG1110" s="693">
        <f>SUMIFS(Imput[[Importe Neto]:[Importe Neto]],Imput[[C. Imp.]:[C. Imp.]],$D1110,Imput[[PERIODO Imp.]:[PERIODO Imp.]],CG$9)</f>
        <v>0</v>
      </c>
      <c r="CH1110" s="693">
        <f>SUMIFS(Imput[[Importe Neto]:[Importe Neto]],Imput[[C. Imp.]:[C. Imp.]],$D1110,Imput[[PERIODO Imp.]:[PERIODO Imp.]],CH$9)</f>
        <v>0</v>
      </c>
      <c r="CI1110" s="693">
        <f>SUMIFS(Imput[[Importe Neto]:[Importe Neto]],Imput[[C. Imp.]:[C. Imp.]],$D1110,Imput[[PERIODO Imp.]:[PERIODO Imp.]],CI$9)</f>
        <v>0</v>
      </c>
      <c r="CJ1110" s="693">
        <f>SUMIFS(Imput[[Importe Neto]:[Importe Neto]],Imput[[C. Imp.]:[C. Imp.]],$D1110,Imput[[PERIODO Imp.]:[PERIODO Imp.]],CJ$9)</f>
        <v>0</v>
      </c>
      <c r="CK1110" s="693">
        <f>SUMIFS(Imput[[Importe Neto]:[Importe Neto]],Imput[[C. Imp.]:[C. Imp.]],$D1110,Imput[[PERIODO Imp.]:[PERIODO Imp.]],CK$9)</f>
        <v>0</v>
      </c>
      <c r="CL1110" s="693">
        <f>SUMIFS(Imput[[Importe Neto]:[Importe Neto]],Imput[[C. Imp.]:[C. Imp.]],$D1110,Imput[[PERIODO Imp.]:[PERIODO Imp.]],CL$9)</f>
        <v>0</v>
      </c>
      <c r="CM1110" s="693">
        <f>SUMIFS(Imput[[Importe Neto]:[Importe Neto]],Imput[[C. Imp.]:[C. Imp.]],$D1110,Imput[[PERIODO Imp.]:[PERIODO Imp.]],CM$9)</f>
        <v>0</v>
      </c>
      <c r="CN1110" s="693">
        <f>SUMIFS(Imput[[Importe Neto]:[Importe Neto]],Imput[[C. Imp.]:[C. Imp.]],$D1110,Imput[[PERIODO Imp.]:[PERIODO Imp.]],CN$9)</f>
        <v>0</v>
      </c>
      <c r="CO1110" s="693">
        <f>SUMIFS(Imput[[Importe Neto]:[Importe Neto]],Imput[[C. Imp.]:[C. Imp.]],$D1110,Imput[[PERIODO Imp.]:[PERIODO Imp.]],CO$9)</f>
        <v>0</v>
      </c>
      <c r="CP1110" s="693">
        <f>SUMIFS(Imput[[Importe Neto]:[Importe Neto]],Imput[[C. Imp.]:[C. Imp.]],$D1110,Imput[[PERIODO Imp.]:[PERIODO Imp.]],CP$9)</f>
        <v>0</v>
      </c>
      <c r="CQ1110" s="693">
        <f>SUMIFS(Imput[[Importe Neto]:[Importe Neto]],Imput[[C. Imp.]:[C. Imp.]],$D1110,Imput[[PERIODO Imp.]:[PERIODO Imp.]],CQ$9)</f>
        <v>0</v>
      </c>
      <c r="CR1110" s="693">
        <f>SUMIFS(Imput[[Importe Neto]:[Importe Neto]],Imput[[C. Imp.]:[C. Imp.]],$D1110,Imput[[PERIODO Imp.]:[PERIODO Imp.]],CR$9)</f>
        <v>0</v>
      </c>
      <c r="CS1110" s="693">
        <f>SUMIFS(Imput[[Importe Neto]:[Importe Neto]],Imput[[C. Imp.]:[C. Imp.]],$D1110,Imput[[PERIODO Imp.]:[PERIODO Imp.]],CS$9)</f>
        <v>0</v>
      </c>
      <c r="CT1110" s="693">
        <f>SUMIFS(Imput[[Importe Neto]:[Importe Neto]],Imput[[C. Imp.]:[C. Imp.]],$D1110,Imput[[PERIODO Imp.]:[PERIODO Imp.]],CT$9)</f>
        <v>0</v>
      </c>
      <c r="CU1110" s="693">
        <f>SUMIFS(Imput[[Importe Neto]:[Importe Neto]],Imput[[C. Imp.]:[C. Imp.]],$D1110,Imput[[PERIODO Imp.]:[PERIODO Imp.]],CU$9)</f>
        <v>0</v>
      </c>
      <c r="CV1110" s="693">
        <f>SUMIFS(Imput[[Importe Neto]:[Importe Neto]],Imput[[C. Imp.]:[C. Imp.]],$D1110,Imput[[PERIODO Imp.]:[PERIODO Imp.]],CV$9)</f>
        <v>0</v>
      </c>
      <c r="CW1110" s="693">
        <f>SUMIFS(Imput[[Importe Neto]:[Importe Neto]],Imput[[C. Imp.]:[C. Imp.]],$D1110,Imput[[PERIODO Imp.]:[PERIODO Imp.]],CW$9)</f>
        <v>0</v>
      </c>
      <c r="CX1110" s="693">
        <f>SUMIFS(Imput[[Importe Neto]:[Importe Neto]],Imput[[C. Imp.]:[C. Imp.]],$D1110,Imput[[PERIODO Imp.]:[PERIODO Imp.]],CX$9)</f>
        <v>0</v>
      </c>
      <c r="CY1110" s="693">
        <f>SUMIFS(Imput[[Importe Neto]:[Importe Neto]],Imput[[C. Imp.]:[C. Imp.]],$D1110,Imput[[PERIODO Imp.]:[PERIODO Imp.]],CY$9)</f>
        <v>0</v>
      </c>
      <c r="CZ1110" s="693">
        <f>SUMIFS(Imput[[Importe Neto]:[Importe Neto]],Imput[[C. Imp.]:[C. Imp.]],$D1110,Imput[[PERIODO Imp.]:[PERIODO Imp.]],CZ$9)</f>
        <v>0</v>
      </c>
      <c r="DA1110" s="693">
        <f>SUMIFS(Imput[[Importe Neto]:[Importe Neto]],Imput[[C. Imp.]:[C. Imp.]],$D1110,Imput[[PERIODO Imp.]:[PERIODO Imp.]],DA$9)</f>
        <v>0</v>
      </c>
      <c r="DB1110" s="693">
        <f>SUMIFS(Imput[[Importe Neto]:[Importe Neto]],Imput[[C. Imp.]:[C. Imp.]],$D1110,Imput[[PERIODO Imp.]:[PERIODO Imp.]],DB$9)</f>
        <v>0</v>
      </c>
      <c r="DC1110" s="693">
        <f>SUMIFS(Imput[[Importe Neto]:[Importe Neto]],Imput[[C. Imp.]:[C. Imp.]],$D1110,Imput[[PERIODO Imp.]:[PERIODO Imp.]],DC$9)</f>
        <v>0</v>
      </c>
      <c r="DD1110" s="693">
        <f>SUMIFS(Imput[[Importe Neto]:[Importe Neto]],Imput[[C. Imp.]:[C. Imp.]],$D1110,Imput[[PERIODO Imp.]:[PERIODO Imp.]],DD$9)</f>
        <v>0</v>
      </c>
      <c r="DE1110" s="693">
        <f>SUMIFS(Imput[[Importe Neto]:[Importe Neto]],Imput[[C. Imp.]:[C. Imp.]],$D1110,Imput[[PERIODO Imp.]:[PERIODO Imp.]],DE$9)</f>
        <v>0</v>
      </c>
      <c r="DF1110" s="693">
        <f>SUMIFS(Imput[[Importe Neto]:[Importe Neto]],Imput[[C. Imp.]:[C. Imp.]],$D1110,Imput[[PERIODO Imp.]:[PERIODO Imp.]],DF$9)</f>
        <v>0</v>
      </c>
      <c r="DG1110" s="693">
        <f>SUMIFS(Imput[[Importe Neto]:[Importe Neto]],Imput[[C. Imp.]:[C. Imp.]],$D1110,Imput[[PERIODO Imp.]:[PERIODO Imp.]],DG$9)</f>
        <v>0</v>
      </c>
      <c r="DH1110" s="694">
        <f>SUMIFS(Imput[[Importe Neto]:[Importe Neto]],Imput[[C. Imp.]:[C. Imp.]],$D1110,Imput[[PERIODO Imp.]:[PERIODO Imp.]],DH$9)</f>
        <v>0</v>
      </c>
    </row>
    <row r="1111" spans="1:112" s="649" customFormat="1" hidden="1" outlineLevel="1" x14ac:dyDescent="0.3">
      <c r="A1111" s="652" t="str">
        <f t="shared" si="361"/>
        <v/>
      </c>
      <c r="B1111" s="652"/>
      <c r="C1111" s="685"/>
      <c r="D1111" s="686"/>
      <c r="E1111" s="728"/>
      <c r="F1111" s="720"/>
      <c r="G1111" s="688"/>
      <c r="H1111" s="689"/>
      <c r="I1111" s="851" t="str">
        <f t="shared" si="362"/>
        <v/>
      </c>
      <c r="J1111" s="850" t="str">
        <f t="shared" si="363"/>
        <v/>
      </c>
      <c r="K1111" s="667"/>
      <c r="L1111" s="858"/>
      <c r="M1111" s="859"/>
      <c r="N1111" s="859"/>
      <c r="O1111" s="859"/>
      <c r="P1111" s="859"/>
      <c r="Q1111" s="859"/>
      <c r="R1111" s="859"/>
      <c r="S1111" s="859"/>
      <c r="T1111" s="859"/>
      <c r="U1111" s="859"/>
      <c r="V1111" s="859"/>
      <c r="W1111" s="859"/>
      <c r="X1111" s="859"/>
      <c r="Y1111" s="859"/>
      <c r="Z1111" s="860"/>
      <c r="AA1111" s="860"/>
      <c r="AB1111" s="860"/>
      <c r="AC1111" s="860"/>
      <c r="AD1111" s="860"/>
      <c r="AE1111" s="860"/>
      <c r="AF1111" s="860"/>
      <c r="AG1111" s="860"/>
      <c r="AH1111" s="860"/>
      <c r="AI1111" s="860"/>
      <c r="AJ1111" s="860"/>
      <c r="AK1111" s="860"/>
      <c r="AL1111" s="860"/>
      <c r="AM1111" s="860"/>
      <c r="AN1111" s="860"/>
      <c r="AO1111" s="860"/>
      <c r="AP1111" s="860"/>
      <c r="AQ1111" s="860"/>
      <c r="AR1111" s="860"/>
      <c r="AS1111" s="860"/>
      <c r="AT1111" s="860"/>
      <c r="AU1111" s="860"/>
      <c r="AV1111" s="860"/>
      <c r="AW1111" s="860"/>
      <c r="AX1111" s="860"/>
      <c r="AY1111" s="860"/>
      <c r="AZ1111" s="860"/>
      <c r="BA1111" s="860"/>
      <c r="BB1111" s="860"/>
      <c r="BC1111" s="860"/>
      <c r="BD1111" s="860"/>
      <c r="BE1111" s="860"/>
      <c r="BF1111" s="860"/>
      <c r="BG1111" s="860"/>
      <c r="BH1111" s="668"/>
      <c r="BI1111" s="667"/>
      <c r="BJ1111" s="690">
        <f t="shared" si="364"/>
        <v>0</v>
      </c>
      <c r="BK1111" s="691">
        <f t="shared" si="365"/>
        <v>0</v>
      </c>
      <c r="BL1111" s="654"/>
      <c r="BM1111" s="692">
        <f>SUMIFS(Imput[[Importe Neto]:[Importe Neto]],Imput[[C. Imp.]:[C. Imp.]],$D1111,Imput[[PERIODO Imp.]:[PERIODO Imp.]],BM$9)</f>
        <v>0</v>
      </c>
      <c r="BN1111" s="693">
        <f>SUMIFS(Imput[[Importe Neto]:[Importe Neto]],Imput[[C. Imp.]:[C. Imp.]],$D1111,Imput[[PERIODO Imp.]:[PERIODO Imp.]],BN$9)</f>
        <v>0</v>
      </c>
      <c r="BO1111" s="693">
        <f>SUMIFS(Imput[[Importe Neto]:[Importe Neto]],Imput[[C. Imp.]:[C. Imp.]],$D1111,Imput[[PERIODO Imp.]:[PERIODO Imp.]],BO$9)</f>
        <v>0</v>
      </c>
      <c r="BP1111" s="693">
        <f>SUMIFS(Imput[[Importe Neto]:[Importe Neto]],Imput[[C. Imp.]:[C. Imp.]],$D1111,Imput[[PERIODO Imp.]:[PERIODO Imp.]],BP$9)</f>
        <v>0</v>
      </c>
      <c r="BQ1111" s="693">
        <f>SUMIFS(Imput[[Importe Neto]:[Importe Neto]],Imput[[C. Imp.]:[C. Imp.]],$D1111,Imput[[PERIODO Imp.]:[PERIODO Imp.]],BQ$9)</f>
        <v>0</v>
      </c>
      <c r="BR1111" s="693">
        <f>SUMIFS(Imput[[Importe Neto]:[Importe Neto]],Imput[[C. Imp.]:[C. Imp.]],$D1111,Imput[[PERIODO Imp.]:[PERIODO Imp.]],BR$9)</f>
        <v>0</v>
      </c>
      <c r="BS1111" s="693">
        <f>SUMIFS(Imput[[Importe Neto]:[Importe Neto]],Imput[[C. Imp.]:[C. Imp.]],$D1111,Imput[[PERIODO Imp.]:[PERIODO Imp.]],BS$9)</f>
        <v>0</v>
      </c>
      <c r="BT1111" s="693">
        <f>SUMIFS(Imput[[Importe Neto]:[Importe Neto]],Imput[[C. Imp.]:[C. Imp.]],$D1111,Imput[[PERIODO Imp.]:[PERIODO Imp.]],BT$9)</f>
        <v>0</v>
      </c>
      <c r="BU1111" s="693">
        <f>SUMIFS(Imput[[Importe Neto]:[Importe Neto]],Imput[[C. Imp.]:[C. Imp.]],$D1111,Imput[[PERIODO Imp.]:[PERIODO Imp.]],BU$9)</f>
        <v>0</v>
      </c>
      <c r="BV1111" s="693">
        <f>SUMIFS(Imput[[Importe Neto]:[Importe Neto]],Imput[[C. Imp.]:[C. Imp.]],$D1111,Imput[[PERIODO Imp.]:[PERIODO Imp.]],BV$9)</f>
        <v>0</v>
      </c>
      <c r="BW1111" s="693">
        <f>SUMIFS(Imput[[Importe Neto]:[Importe Neto]],Imput[[C. Imp.]:[C. Imp.]],$D1111,Imput[[PERIODO Imp.]:[PERIODO Imp.]],BW$9)</f>
        <v>0</v>
      </c>
      <c r="BX1111" s="693">
        <f>SUMIFS(Imput[[Importe Neto]:[Importe Neto]],Imput[[C. Imp.]:[C. Imp.]],$D1111,Imput[[PERIODO Imp.]:[PERIODO Imp.]],BX$9)</f>
        <v>0</v>
      </c>
      <c r="BY1111" s="693">
        <f>SUMIFS(Imput[[Importe Neto]:[Importe Neto]],Imput[[C. Imp.]:[C. Imp.]],$D1111,Imput[[PERIODO Imp.]:[PERIODO Imp.]],BY$9)</f>
        <v>0</v>
      </c>
      <c r="BZ1111" s="693">
        <f>SUMIFS(Imput[[Importe Neto]:[Importe Neto]],Imput[[C. Imp.]:[C. Imp.]],$D1111,Imput[[PERIODO Imp.]:[PERIODO Imp.]],BZ$9)</f>
        <v>0</v>
      </c>
      <c r="CA1111" s="693">
        <f>SUMIFS(Imput[[Importe Neto]:[Importe Neto]],Imput[[C. Imp.]:[C. Imp.]],$D1111,Imput[[PERIODO Imp.]:[PERIODO Imp.]],CA$9)</f>
        <v>0</v>
      </c>
      <c r="CB1111" s="693">
        <f>SUMIFS(Imput[[Importe Neto]:[Importe Neto]],Imput[[C. Imp.]:[C. Imp.]],$D1111,Imput[[PERIODO Imp.]:[PERIODO Imp.]],CB$9)</f>
        <v>0</v>
      </c>
      <c r="CC1111" s="693">
        <f>SUMIFS(Imput[[Importe Neto]:[Importe Neto]],Imput[[C. Imp.]:[C. Imp.]],$D1111,Imput[[PERIODO Imp.]:[PERIODO Imp.]],CC$9)</f>
        <v>0</v>
      </c>
      <c r="CD1111" s="693">
        <f>SUMIFS(Imput[[Importe Neto]:[Importe Neto]],Imput[[C. Imp.]:[C. Imp.]],$D1111,Imput[[PERIODO Imp.]:[PERIODO Imp.]],CD$9)</f>
        <v>0</v>
      </c>
      <c r="CE1111" s="693">
        <f>SUMIFS(Imput[[Importe Neto]:[Importe Neto]],Imput[[C. Imp.]:[C. Imp.]],$D1111,Imput[[PERIODO Imp.]:[PERIODO Imp.]],CE$9)</f>
        <v>0</v>
      </c>
      <c r="CF1111" s="693">
        <f>SUMIFS(Imput[[Importe Neto]:[Importe Neto]],Imput[[C. Imp.]:[C. Imp.]],$D1111,Imput[[PERIODO Imp.]:[PERIODO Imp.]],CF$9)</f>
        <v>0</v>
      </c>
      <c r="CG1111" s="693">
        <f>SUMIFS(Imput[[Importe Neto]:[Importe Neto]],Imput[[C. Imp.]:[C. Imp.]],$D1111,Imput[[PERIODO Imp.]:[PERIODO Imp.]],CG$9)</f>
        <v>0</v>
      </c>
      <c r="CH1111" s="693">
        <f>SUMIFS(Imput[[Importe Neto]:[Importe Neto]],Imput[[C. Imp.]:[C. Imp.]],$D1111,Imput[[PERIODO Imp.]:[PERIODO Imp.]],CH$9)</f>
        <v>0</v>
      </c>
      <c r="CI1111" s="693">
        <f>SUMIFS(Imput[[Importe Neto]:[Importe Neto]],Imput[[C. Imp.]:[C. Imp.]],$D1111,Imput[[PERIODO Imp.]:[PERIODO Imp.]],CI$9)</f>
        <v>0</v>
      </c>
      <c r="CJ1111" s="693">
        <f>SUMIFS(Imput[[Importe Neto]:[Importe Neto]],Imput[[C. Imp.]:[C. Imp.]],$D1111,Imput[[PERIODO Imp.]:[PERIODO Imp.]],CJ$9)</f>
        <v>0</v>
      </c>
      <c r="CK1111" s="693">
        <f>SUMIFS(Imput[[Importe Neto]:[Importe Neto]],Imput[[C. Imp.]:[C. Imp.]],$D1111,Imput[[PERIODO Imp.]:[PERIODO Imp.]],CK$9)</f>
        <v>0</v>
      </c>
      <c r="CL1111" s="693">
        <f>SUMIFS(Imput[[Importe Neto]:[Importe Neto]],Imput[[C. Imp.]:[C. Imp.]],$D1111,Imput[[PERIODO Imp.]:[PERIODO Imp.]],CL$9)</f>
        <v>0</v>
      </c>
      <c r="CM1111" s="693">
        <f>SUMIFS(Imput[[Importe Neto]:[Importe Neto]],Imput[[C. Imp.]:[C. Imp.]],$D1111,Imput[[PERIODO Imp.]:[PERIODO Imp.]],CM$9)</f>
        <v>0</v>
      </c>
      <c r="CN1111" s="693">
        <f>SUMIFS(Imput[[Importe Neto]:[Importe Neto]],Imput[[C. Imp.]:[C. Imp.]],$D1111,Imput[[PERIODO Imp.]:[PERIODO Imp.]],CN$9)</f>
        <v>0</v>
      </c>
      <c r="CO1111" s="693">
        <f>SUMIFS(Imput[[Importe Neto]:[Importe Neto]],Imput[[C. Imp.]:[C. Imp.]],$D1111,Imput[[PERIODO Imp.]:[PERIODO Imp.]],CO$9)</f>
        <v>0</v>
      </c>
      <c r="CP1111" s="693">
        <f>SUMIFS(Imput[[Importe Neto]:[Importe Neto]],Imput[[C. Imp.]:[C. Imp.]],$D1111,Imput[[PERIODO Imp.]:[PERIODO Imp.]],CP$9)</f>
        <v>0</v>
      </c>
      <c r="CQ1111" s="693">
        <f>SUMIFS(Imput[[Importe Neto]:[Importe Neto]],Imput[[C. Imp.]:[C. Imp.]],$D1111,Imput[[PERIODO Imp.]:[PERIODO Imp.]],CQ$9)</f>
        <v>0</v>
      </c>
      <c r="CR1111" s="693">
        <f>SUMIFS(Imput[[Importe Neto]:[Importe Neto]],Imput[[C. Imp.]:[C. Imp.]],$D1111,Imput[[PERIODO Imp.]:[PERIODO Imp.]],CR$9)</f>
        <v>0</v>
      </c>
      <c r="CS1111" s="693">
        <f>SUMIFS(Imput[[Importe Neto]:[Importe Neto]],Imput[[C. Imp.]:[C. Imp.]],$D1111,Imput[[PERIODO Imp.]:[PERIODO Imp.]],CS$9)</f>
        <v>0</v>
      </c>
      <c r="CT1111" s="693">
        <f>SUMIFS(Imput[[Importe Neto]:[Importe Neto]],Imput[[C. Imp.]:[C. Imp.]],$D1111,Imput[[PERIODO Imp.]:[PERIODO Imp.]],CT$9)</f>
        <v>0</v>
      </c>
      <c r="CU1111" s="693">
        <f>SUMIFS(Imput[[Importe Neto]:[Importe Neto]],Imput[[C. Imp.]:[C. Imp.]],$D1111,Imput[[PERIODO Imp.]:[PERIODO Imp.]],CU$9)</f>
        <v>0</v>
      </c>
      <c r="CV1111" s="693">
        <f>SUMIFS(Imput[[Importe Neto]:[Importe Neto]],Imput[[C. Imp.]:[C. Imp.]],$D1111,Imput[[PERIODO Imp.]:[PERIODO Imp.]],CV$9)</f>
        <v>0</v>
      </c>
      <c r="CW1111" s="693">
        <f>SUMIFS(Imput[[Importe Neto]:[Importe Neto]],Imput[[C. Imp.]:[C. Imp.]],$D1111,Imput[[PERIODO Imp.]:[PERIODO Imp.]],CW$9)</f>
        <v>0</v>
      </c>
      <c r="CX1111" s="693">
        <f>SUMIFS(Imput[[Importe Neto]:[Importe Neto]],Imput[[C. Imp.]:[C. Imp.]],$D1111,Imput[[PERIODO Imp.]:[PERIODO Imp.]],CX$9)</f>
        <v>0</v>
      </c>
      <c r="CY1111" s="693">
        <f>SUMIFS(Imput[[Importe Neto]:[Importe Neto]],Imput[[C. Imp.]:[C. Imp.]],$D1111,Imput[[PERIODO Imp.]:[PERIODO Imp.]],CY$9)</f>
        <v>0</v>
      </c>
      <c r="CZ1111" s="693">
        <f>SUMIFS(Imput[[Importe Neto]:[Importe Neto]],Imput[[C. Imp.]:[C. Imp.]],$D1111,Imput[[PERIODO Imp.]:[PERIODO Imp.]],CZ$9)</f>
        <v>0</v>
      </c>
      <c r="DA1111" s="693">
        <f>SUMIFS(Imput[[Importe Neto]:[Importe Neto]],Imput[[C. Imp.]:[C. Imp.]],$D1111,Imput[[PERIODO Imp.]:[PERIODO Imp.]],DA$9)</f>
        <v>0</v>
      </c>
      <c r="DB1111" s="693">
        <f>SUMIFS(Imput[[Importe Neto]:[Importe Neto]],Imput[[C. Imp.]:[C. Imp.]],$D1111,Imput[[PERIODO Imp.]:[PERIODO Imp.]],DB$9)</f>
        <v>0</v>
      </c>
      <c r="DC1111" s="693">
        <f>SUMIFS(Imput[[Importe Neto]:[Importe Neto]],Imput[[C. Imp.]:[C. Imp.]],$D1111,Imput[[PERIODO Imp.]:[PERIODO Imp.]],DC$9)</f>
        <v>0</v>
      </c>
      <c r="DD1111" s="693">
        <f>SUMIFS(Imput[[Importe Neto]:[Importe Neto]],Imput[[C. Imp.]:[C. Imp.]],$D1111,Imput[[PERIODO Imp.]:[PERIODO Imp.]],DD$9)</f>
        <v>0</v>
      </c>
      <c r="DE1111" s="693">
        <f>SUMIFS(Imput[[Importe Neto]:[Importe Neto]],Imput[[C. Imp.]:[C. Imp.]],$D1111,Imput[[PERIODO Imp.]:[PERIODO Imp.]],DE$9)</f>
        <v>0</v>
      </c>
      <c r="DF1111" s="693">
        <f>SUMIFS(Imput[[Importe Neto]:[Importe Neto]],Imput[[C. Imp.]:[C. Imp.]],$D1111,Imput[[PERIODO Imp.]:[PERIODO Imp.]],DF$9)</f>
        <v>0</v>
      </c>
      <c r="DG1111" s="693">
        <f>SUMIFS(Imput[[Importe Neto]:[Importe Neto]],Imput[[C. Imp.]:[C. Imp.]],$D1111,Imput[[PERIODO Imp.]:[PERIODO Imp.]],DG$9)</f>
        <v>0</v>
      </c>
      <c r="DH1111" s="694">
        <f>SUMIFS(Imput[[Importe Neto]:[Importe Neto]],Imput[[C. Imp.]:[C. Imp.]],$D1111,Imput[[PERIODO Imp.]:[PERIODO Imp.]],DH$9)</f>
        <v>0</v>
      </c>
    </row>
    <row r="1112" spans="1:112" s="649" customFormat="1" hidden="1" outlineLevel="1" x14ac:dyDescent="0.3">
      <c r="A1112" s="652" t="str">
        <f t="shared" si="361"/>
        <v/>
      </c>
      <c r="B1112" s="652"/>
      <c r="C1112" s="685"/>
      <c r="D1112" s="686"/>
      <c r="E1112" s="686"/>
      <c r="F1112" s="720"/>
      <c r="G1112" s="688"/>
      <c r="H1112" s="689"/>
      <c r="I1112" s="851" t="str">
        <f t="shared" si="362"/>
        <v/>
      </c>
      <c r="J1112" s="850" t="str">
        <f t="shared" si="363"/>
        <v/>
      </c>
      <c r="K1112" s="667"/>
      <c r="L1112" s="858"/>
      <c r="M1112" s="859"/>
      <c r="N1112" s="859"/>
      <c r="O1112" s="859"/>
      <c r="P1112" s="859"/>
      <c r="Q1112" s="859"/>
      <c r="R1112" s="859"/>
      <c r="S1112" s="859"/>
      <c r="T1112" s="859"/>
      <c r="U1112" s="859"/>
      <c r="V1112" s="859"/>
      <c r="W1112" s="859"/>
      <c r="X1112" s="859"/>
      <c r="Y1112" s="859"/>
      <c r="Z1112" s="860"/>
      <c r="AA1112" s="860"/>
      <c r="AB1112" s="860"/>
      <c r="AC1112" s="860"/>
      <c r="AD1112" s="860"/>
      <c r="AE1112" s="860"/>
      <c r="AF1112" s="860"/>
      <c r="AG1112" s="860"/>
      <c r="AH1112" s="860"/>
      <c r="AI1112" s="860"/>
      <c r="AJ1112" s="860"/>
      <c r="AK1112" s="860"/>
      <c r="AL1112" s="860"/>
      <c r="AM1112" s="860"/>
      <c r="AN1112" s="860"/>
      <c r="AO1112" s="860"/>
      <c r="AP1112" s="860"/>
      <c r="AQ1112" s="860"/>
      <c r="AR1112" s="860"/>
      <c r="AS1112" s="860"/>
      <c r="AT1112" s="860"/>
      <c r="AU1112" s="860"/>
      <c r="AV1112" s="860"/>
      <c r="AW1112" s="860"/>
      <c r="AX1112" s="860"/>
      <c r="AY1112" s="860"/>
      <c r="AZ1112" s="860"/>
      <c r="BA1112" s="860"/>
      <c r="BB1112" s="860"/>
      <c r="BC1112" s="860"/>
      <c r="BD1112" s="860"/>
      <c r="BE1112" s="860"/>
      <c r="BF1112" s="860"/>
      <c r="BG1112" s="860"/>
      <c r="BH1112" s="668"/>
      <c r="BI1112" s="667"/>
      <c r="BJ1112" s="690">
        <f t="shared" si="364"/>
        <v>0</v>
      </c>
      <c r="BK1112" s="691">
        <f t="shared" si="365"/>
        <v>0</v>
      </c>
      <c r="BL1112" s="654"/>
      <c r="BM1112" s="692">
        <f>SUMIFS(Imput[[Importe Neto]:[Importe Neto]],Imput[[C. Imp.]:[C. Imp.]],$D1112,Imput[[PERIODO Imp.]:[PERIODO Imp.]],BM$9)</f>
        <v>0</v>
      </c>
      <c r="BN1112" s="693">
        <f>SUMIFS(Imput[[Importe Neto]:[Importe Neto]],Imput[[C. Imp.]:[C. Imp.]],$D1112,Imput[[PERIODO Imp.]:[PERIODO Imp.]],BN$9)</f>
        <v>0</v>
      </c>
      <c r="BO1112" s="693">
        <f>SUMIFS(Imput[[Importe Neto]:[Importe Neto]],Imput[[C. Imp.]:[C. Imp.]],$D1112,Imput[[PERIODO Imp.]:[PERIODO Imp.]],BO$9)</f>
        <v>0</v>
      </c>
      <c r="BP1112" s="693">
        <f>SUMIFS(Imput[[Importe Neto]:[Importe Neto]],Imput[[C. Imp.]:[C. Imp.]],$D1112,Imput[[PERIODO Imp.]:[PERIODO Imp.]],BP$9)</f>
        <v>0</v>
      </c>
      <c r="BQ1112" s="693">
        <f>SUMIFS(Imput[[Importe Neto]:[Importe Neto]],Imput[[C. Imp.]:[C. Imp.]],$D1112,Imput[[PERIODO Imp.]:[PERIODO Imp.]],BQ$9)</f>
        <v>0</v>
      </c>
      <c r="BR1112" s="693">
        <f>SUMIFS(Imput[[Importe Neto]:[Importe Neto]],Imput[[C. Imp.]:[C. Imp.]],$D1112,Imput[[PERIODO Imp.]:[PERIODO Imp.]],BR$9)</f>
        <v>0</v>
      </c>
      <c r="BS1112" s="693">
        <f>SUMIFS(Imput[[Importe Neto]:[Importe Neto]],Imput[[C. Imp.]:[C. Imp.]],$D1112,Imput[[PERIODO Imp.]:[PERIODO Imp.]],BS$9)</f>
        <v>0</v>
      </c>
      <c r="BT1112" s="693">
        <f>SUMIFS(Imput[[Importe Neto]:[Importe Neto]],Imput[[C. Imp.]:[C. Imp.]],$D1112,Imput[[PERIODO Imp.]:[PERIODO Imp.]],BT$9)</f>
        <v>0</v>
      </c>
      <c r="BU1112" s="693">
        <f>SUMIFS(Imput[[Importe Neto]:[Importe Neto]],Imput[[C. Imp.]:[C. Imp.]],$D1112,Imput[[PERIODO Imp.]:[PERIODO Imp.]],BU$9)</f>
        <v>0</v>
      </c>
      <c r="BV1112" s="693">
        <f>SUMIFS(Imput[[Importe Neto]:[Importe Neto]],Imput[[C. Imp.]:[C. Imp.]],$D1112,Imput[[PERIODO Imp.]:[PERIODO Imp.]],BV$9)</f>
        <v>0</v>
      </c>
      <c r="BW1112" s="693">
        <f>SUMIFS(Imput[[Importe Neto]:[Importe Neto]],Imput[[C. Imp.]:[C. Imp.]],$D1112,Imput[[PERIODO Imp.]:[PERIODO Imp.]],BW$9)</f>
        <v>0</v>
      </c>
      <c r="BX1112" s="693">
        <f>SUMIFS(Imput[[Importe Neto]:[Importe Neto]],Imput[[C. Imp.]:[C. Imp.]],$D1112,Imput[[PERIODO Imp.]:[PERIODO Imp.]],BX$9)</f>
        <v>0</v>
      </c>
      <c r="BY1112" s="693">
        <f>SUMIFS(Imput[[Importe Neto]:[Importe Neto]],Imput[[C. Imp.]:[C. Imp.]],$D1112,Imput[[PERIODO Imp.]:[PERIODO Imp.]],BY$9)</f>
        <v>0</v>
      </c>
      <c r="BZ1112" s="693">
        <f>SUMIFS(Imput[[Importe Neto]:[Importe Neto]],Imput[[C. Imp.]:[C. Imp.]],$D1112,Imput[[PERIODO Imp.]:[PERIODO Imp.]],BZ$9)</f>
        <v>0</v>
      </c>
      <c r="CA1112" s="693">
        <f>SUMIFS(Imput[[Importe Neto]:[Importe Neto]],Imput[[C. Imp.]:[C. Imp.]],$D1112,Imput[[PERIODO Imp.]:[PERIODO Imp.]],CA$9)</f>
        <v>0</v>
      </c>
      <c r="CB1112" s="693">
        <f>SUMIFS(Imput[[Importe Neto]:[Importe Neto]],Imput[[C. Imp.]:[C. Imp.]],$D1112,Imput[[PERIODO Imp.]:[PERIODO Imp.]],CB$9)</f>
        <v>0</v>
      </c>
      <c r="CC1112" s="693">
        <f>SUMIFS(Imput[[Importe Neto]:[Importe Neto]],Imput[[C. Imp.]:[C. Imp.]],$D1112,Imput[[PERIODO Imp.]:[PERIODO Imp.]],CC$9)</f>
        <v>0</v>
      </c>
      <c r="CD1112" s="693">
        <f>SUMIFS(Imput[[Importe Neto]:[Importe Neto]],Imput[[C. Imp.]:[C. Imp.]],$D1112,Imput[[PERIODO Imp.]:[PERIODO Imp.]],CD$9)</f>
        <v>0</v>
      </c>
      <c r="CE1112" s="693">
        <f>SUMIFS(Imput[[Importe Neto]:[Importe Neto]],Imput[[C. Imp.]:[C. Imp.]],$D1112,Imput[[PERIODO Imp.]:[PERIODO Imp.]],CE$9)</f>
        <v>0</v>
      </c>
      <c r="CF1112" s="693">
        <f>SUMIFS(Imput[[Importe Neto]:[Importe Neto]],Imput[[C. Imp.]:[C. Imp.]],$D1112,Imput[[PERIODO Imp.]:[PERIODO Imp.]],CF$9)</f>
        <v>0</v>
      </c>
      <c r="CG1112" s="693">
        <f>SUMIFS(Imput[[Importe Neto]:[Importe Neto]],Imput[[C. Imp.]:[C. Imp.]],$D1112,Imput[[PERIODO Imp.]:[PERIODO Imp.]],CG$9)</f>
        <v>0</v>
      </c>
      <c r="CH1112" s="693">
        <f>SUMIFS(Imput[[Importe Neto]:[Importe Neto]],Imput[[C. Imp.]:[C. Imp.]],$D1112,Imput[[PERIODO Imp.]:[PERIODO Imp.]],CH$9)</f>
        <v>0</v>
      </c>
      <c r="CI1112" s="693">
        <f>SUMIFS(Imput[[Importe Neto]:[Importe Neto]],Imput[[C. Imp.]:[C. Imp.]],$D1112,Imput[[PERIODO Imp.]:[PERIODO Imp.]],CI$9)</f>
        <v>0</v>
      </c>
      <c r="CJ1112" s="693">
        <f>SUMIFS(Imput[[Importe Neto]:[Importe Neto]],Imput[[C. Imp.]:[C. Imp.]],$D1112,Imput[[PERIODO Imp.]:[PERIODO Imp.]],CJ$9)</f>
        <v>0</v>
      </c>
      <c r="CK1112" s="693">
        <f>SUMIFS(Imput[[Importe Neto]:[Importe Neto]],Imput[[C. Imp.]:[C. Imp.]],$D1112,Imput[[PERIODO Imp.]:[PERIODO Imp.]],CK$9)</f>
        <v>0</v>
      </c>
      <c r="CL1112" s="693">
        <f>SUMIFS(Imput[[Importe Neto]:[Importe Neto]],Imput[[C. Imp.]:[C. Imp.]],$D1112,Imput[[PERIODO Imp.]:[PERIODO Imp.]],CL$9)</f>
        <v>0</v>
      </c>
      <c r="CM1112" s="693">
        <f>SUMIFS(Imput[[Importe Neto]:[Importe Neto]],Imput[[C. Imp.]:[C. Imp.]],$D1112,Imput[[PERIODO Imp.]:[PERIODO Imp.]],CM$9)</f>
        <v>0</v>
      </c>
      <c r="CN1112" s="693">
        <f>SUMIFS(Imput[[Importe Neto]:[Importe Neto]],Imput[[C. Imp.]:[C. Imp.]],$D1112,Imput[[PERIODO Imp.]:[PERIODO Imp.]],CN$9)</f>
        <v>0</v>
      </c>
      <c r="CO1112" s="693">
        <f>SUMIFS(Imput[[Importe Neto]:[Importe Neto]],Imput[[C. Imp.]:[C. Imp.]],$D1112,Imput[[PERIODO Imp.]:[PERIODO Imp.]],CO$9)</f>
        <v>0</v>
      </c>
      <c r="CP1112" s="693">
        <f>SUMIFS(Imput[[Importe Neto]:[Importe Neto]],Imput[[C. Imp.]:[C. Imp.]],$D1112,Imput[[PERIODO Imp.]:[PERIODO Imp.]],CP$9)</f>
        <v>0</v>
      </c>
      <c r="CQ1112" s="693">
        <f>SUMIFS(Imput[[Importe Neto]:[Importe Neto]],Imput[[C. Imp.]:[C. Imp.]],$D1112,Imput[[PERIODO Imp.]:[PERIODO Imp.]],CQ$9)</f>
        <v>0</v>
      </c>
      <c r="CR1112" s="693">
        <f>SUMIFS(Imput[[Importe Neto]:[Importe Neto]],Imput[[C. Imp.]:[C. Imp.]],$D1112,Imput[[PERIODO Imp.]:[PERIODO Imp.]],CR$9)</f>
        <v>0</v>
      </c>
      <c r="CS1112" s="693">
        <f>SUMIFS(Imput[[Importe Neto]:[Importe Neto]],Imput[[C. Imp.]:[C. Imp.]],$D1112,Imput[[PERIODO Imp.]:[PERIODO Imp.]],CS$9)</f>
        <v>0</v>
      </c>
      <c r="CT1112" s="693">
        <f>SUMIFS(Imput[[Importe Neto]:[Importe Neto]],Imput[[C. Imp.]:[C. Imp.]],$D1112,Imput[[PERIODO Imp.]:[PERIODO Imp.]],CT$9)</f>
        <v>0</v>
      </c>
      <c r="CU1112" s="693">
        <f>SUMIFS(Imput[[Importe Neto]:[Importe Neto]],Imput[[C. Imp.]:[C. Imp.]],$D1112,Imput[[PERIODO Imp.]:[PERIODO Imp.]],CU$9)</f>
        <v>0</v>
      </c>
      <c r="CV1112" s="693">
        <f>SUMIFS(Imput[[Importe Neto]:[Importe Neto]],Imput[[C. Imp.]:[C. Imp.]],$D1112,Imput[[PERIODO Imp.]:[PERIODO Imp.]],CV$9)</f>
        <v>0</v>
      </c>
      <c r="CW1112" s="693">
        <f>SUMIFS(Imput[[Importe Neto]:[Importe Neto]],Imput[[C. Imp.]:[C. Imp.]],$D1112,Imput[[PERIODO Imp.]:[PERIODO Imp.]],CW$9)</f>
        <v>0</v>
      </c>
      <c r="CX1112" s="693">
        <f>SUMIFS(Imput[[Importe Neto]:[Importe Neto]],Imput[[C. Imp.]:[C. Imp.]],$D1112,Imput[[PERIODO Imp.]:[PERIODO Imp.]],CX$9)</f>
        <v>0</v>
      </c>
      <c r="CY1112" s="693">
        <f>SUMIFS(Imput[[Importe Neto]:[Importe Neto]],Imput[[C. Imp.]:[C. Imp.]],$D1112,Imput[[PERIODO Imp.]:[PERIODO Imp.]],CY$9)</f>
        <v>0</v>
      </c>
      <c r="CZ1112" s="693">
        <f>SUMIFS(Imput[[Importe Neto]:[Importe Neto]],Imput[[C. Imp.]:[C. Imp.]],$D1112,Imput[[PERIODO Imp.]:[PERIODO Imp.]],CZ$9)</f>
        <v>0</v>
      </c>
      <c r="DA1112" s="693">
        <f>SUMIFS(Imput[[Importe Neto]:[Importe Neto]],Imput[[C. Imp.]:[C. Imp.]],$D1112,Imput[[PERIODO Imp.]:[PERIODO Imp.]],DA$9)</f>
        <v>0</v>
      </c>
      <c r="DB1112" s="693">
        <f>SUMIFS(Imput[[Importe Neto]:[Importe Neto]],Imput[[C. Imp.]:[C. Imp.]],$D1112,Imput[[PERIODO Imp.]:[PERIODO Imp.]],DB$9)</f>
        <v>0</v>
      </c>
      <c r="DC1112" s="693">
        <f>SUMIFS(Imput[[Importe Neto]:[Importe Neto]],Imput[[C. Imp.]:[C. Imp.]],$D1112,Imput[[PERIODO Imp.]:[PERIODO Imp.]],DC$9)</f>
        <v>0</v>
      </c>
      <c r="DD1112" s="693">
        <f>SUMIFS(Imput[[Importe Neto]:[Importe Neto]],Imput[[C. Imp.]:[C. Imp.]],$D1112,Imput[[PERIODO Imp.]:[PERIODO Imp.]],DD$9)</f>
        <v>0</v>
      </c>
      <c r="DE1112" s="693">
        <f>SUMIFS(Imput[[Importe Neto]:[Importe Neto]],Imput[[C. Imp.]:[C. Imp.]],$D1112,Imput[[PERIODO Imp.]:[PERIODO Imp.]],DE$9)</f>
        <v>0</v>
      </c>
      <c r="DF1112" s="693">
        <f>SUMIFS(Imput[[Importe Neto]:[Importe Neto]],Imput[[C. Imp.]:[C. Imp.]],$D1112,Imput[[PERIODO Imp.]:[PERIODO Imp.]],DF$9)</f>
        <v>0</v>
      </c>
      <c r="DG1112" s="693">
        <f>SUMIFS(Imput[[Importe Neto]:[Importe Neto]],Imput[[C. Imp.]:[C. Imp.]],$D1112,Imput[[PERIODO Imp.]:[PERIODO Imp.]],DG$9)</f>
        <v>0</v>
      </c>
      <c r="DH1112" s="694">
        <f>SUMIFS(Imput[[Importe Neto]:[Importe Neto]],Imput[[C. Imp.]:[C. Imp.]],$D1112,Imput[[PERIODO Imp.]:[PERIODO Imp.]],DH$9)</f>
        <v>0</v>
      </c>
    </row>
    <row r="1113" spans="1:112" s="649" customFormat="1" hidden="1" outlineLevel="1" x14ac:dyDescent="0.3">
      <c r="A1113" s="652" t="str">
        <f t="shared" si="361"/>
        <v/>
      </c>
      <c r="B1113" s="652"/>
      <c r="C1113" s="685"/>
      <c r="D1113" s="686"/>
      <c r="E1113" s="686"/>
      <c r="F1113" s="720"/>
      <c r="G1113" s="688"/>
      <c r="H1113" s="696"/>
      <c r="I1113" s="851" t="str">
        <f t="shared" si="362"/>
        <v/>
      </c>
      <c r="J1113" s="850" t="str">
        <f t="shared" si="363"/>
        <v/>
      </c>
      <c r="K1113" s="667"/>
      <c r="L1113" s="858"/>
      <c r="M1113" s="859"/>
      <c r="N1113" s="859"/>
      <c r="O1113" s="859"/>
      <c r="P1113" s="859"/>
      <c r="Q1113" s="859"/>
      <c r="R1113" s="859"/>
      <c r="S1113" s="859"/>
      <c r="T1113" s="859"/>
      <c r="U1113" s="859"/>
      <c r="V1113" s="859"/>
      <c r="W1113" s="859"/>
      <c r="X1113" s="859"/>
      <c r="Y1113" s="859"/>
      <c r="Z1113" s="860"/>
      <c r="AA1113" s="860"/>
      <c r="AB1113" s="860"/>
      <c r="AC1113" s="860"/>
      <c r="AD1113" s="860"/>
      <c r="AE1113" s="860"/>
      <c r="AF1113" s="860"/>
      <c r="AG1113" s="860"/>
      <c r="AH1113" s="860"/>
      <c r="AI1113" s="860"/>
      <c r="AJ1113" s="860"/>
      <c r="AK1113" s="860"/>
      <c r="AL1113" s="860"/>
      <c r="AM1113" s="860"/>
      <c r="AN1113" s="860"/>
      <c r="AO1113" s="860"/>
      <c r="AP1113" s="860"/>
      <c r="AQ1113" s="860"/>
      <c r="AR1113" s="860"/>
      <c r="AS1113" s="860"/>
      <c r="AT1113" s="860"/>
      <c r="AU1113" s="860"/>
      <c r="AV1113" s="860"/>
      <c r="AW1113" s="860"/>
      <c r="AX1113" s="860"/>
      <c r="AY1113" s="860"/>
      <c r="AZ1113" s="860"/>
      <c r="BA1113" s="860"/>
      <c r="BB1113" s="860"/>
      <c r="BC1113" s="860"/>
      <c r="BD1113" s="860"/>
      <c r="BE1113" s="860"/>
      <c r="BF1113" s="860"/>
      <c r="BG1113" s="860"/>
      <c r="BH1113" s="668"/>
      <c r="BI1113" s="667"/>
      <c r="BJ1113" s="690">
        <f t="shared" si="364"/>
        <v>0</v>
      </c>
      <c r="BK1113" s="691">
        <f t="shared" si="365"/>
        <v>0</v>
      </c>
      <c r="BL1113" s="654"/>
      <c r="BM1113" s="692">
        <f>SUMIFS(Imput[[Importe Neto]:[Importe Neto]],Imput[[C. Imp.]:[C. Imp.]],$D1113,Imput[[PERIODO Imp.]:[PERIODO Imp.]],BM$9)</f>
        <v>0</v>
      </c>
      <c r="BN1113" s="693">
        <f>SUMIFS(Imput[[Importe Neto]:[Importe Neto]],Imput[[C. Imp.]:[C. Imp.]],$D1113,Imput[[PERIODO Imp.]:[PERIODO Imp.]],BN$9)</f>
        <v>0</v>
      </c>
      <c r="BO1113" s="693">
        <f>SUMIFS(Imput[[Importe Neto]:[Importe Neto]],Imput[[C. Imp.]:[C. Imp.]],$D1113,Imput[[PERIODO Imp.]:[PERIODO Imp.]],BO$9)</f>
        <v>0</v>
      </c>
      <c r="BP1113" s="693">
        <f>SUMIFS(Imput[[Importe Neto]:[Importe Neto]],Imput[[C. Imp.]:[C. Imp.]],$D1113,Imput[[PERIODO Imp.]:[PERIODO Imp.]],BP$9)</f>
        <v>0</v>
      </c>
      <c r="BQ1113" s="693">
        <f>SUMIFS(Imput[[Importe Neto]:[Importe Neto]],Imput[[C. Imp.]:[C. Imp.]],$D1113,Imput[[PERIODO Imp.]:[PERIODO Imp.]],BQ$9)</f>
        <v>0</v>
      </c>
      <c r="BR1113" s="693">
        <f>SUMIFS(Imput[[Importe Neto]:[Importe Neto]],Imput[[C. Imp.]:[C. Imp.]],$D1113,Imput[[PERIODO Imp.]:[PERIODO Imp.]],BR$9)</f>
        <v>0</v>
      </c>
      <c r="BS1113" s="693">
        <f>SUMIFS(Imput[[Importe Neto]:[Importe Neto]],Imput[[C. Imp.]:[C. Imp.]],$D1113,Imput[[PERIODO Imp.]:[PERIODO Imp.]],BS$9)</f>
        <v>0</v>
      </c>
      <c r="BT1113" s="693">
        <f>SUMIFS(Imput[[Importe Neto]:[Importe Neto]],Imput[[C. Imp.]:[C. Imp.]],$D1113,Imput[[PERIODO Imp.]:[PERIODO Imp.]],BT$9)</f>
        <v>0</v>
      </c>
      <c r="BU1113" s="693">
        <f>SUMIFS(Imput[[Importe Neto]:[Importe Neto]],Imput[[C. Imp.]:[C. Imp.]],$D1113,Imput[[PERIODO Imp.]:[PERIODO Imp.]],BU$9)</f>
        <v>0</v>
      </c>
      <c r="BV1113" s="693">
        <f>SUMIFS(Imput[[Importe Neto]:[Importe Neto]],Imput[[C. Imp.]:[C. Imp.]],$D1113,Imput[[PERIODO Imp.]:[PERIODO Imp.]],BV$9)</f>
        <v>0</v>
      </c>
      <c r="BW1113" s="693">
        <f>SUMIFS(Imput[[Importe Neto]:[Importe Neto]],Imput[[C. Imp.]:[C. Imp.]],$D1113,Imput[[PERIODO Imp.]:[PERIODO Imp.]],BW$9)</f>
        <v>0</v>
      </c>
      <c r="BX1113" s="693">
        <f>SUMIFS(Imput[[Importe Neto]:[Importe Neto]],Imput[[C. Imp.]:[C. Imp.]],$D1113,Imput[[PERIODO Imp.]:[PERIODO Imp.]],BX$9)</f>
        <v>0</v>
      </c>
      <c r="BY1113" s="693">
        <f>SUMIFS(Imput[[Importe Neto]:[Importe Neto]],Imput[[C. Imp.]:[C. Imp.]],$D1113,Imput[[PERIODO Imp.]:[PERIODO Imp.]],BY$9)</f>
        <v>0</v>
      </c>
      <c r="BZ1113" s="693">
        <f>SUMIFS(Imput[[Importe Neto]:[Importe Neto]],Imput[[C. Imp.]:[C. Imp.]],$D1113,Imput[[PERIODO Imp.]:[PERIODO Imp.]],BZ$9)</f>
        <v>0</v>
      </c>
      <c r="CA1113" s="693">
        <f>SUMIFS(Imput[[Importe Neto]:[Importe Neto]],Imput[[C. Imp.]:[C. Imp.]],$D1113,Imput[[PERIODO Imp.]:[PERIODO Imp.]],CA$9)</f>
        <v>0</v>
      </c>
      <c r="CB1113" s="693">
        <f>SUMIFS(Imput[[Importe Neto]:[Importe Neto]],Imput[[C. Imp.]:[C. Imp.]],$D1113,Imput[[PERIODO Imp.]:[PERIODO Imp.]],CB$9)</f>
        <v>0</v>
      </c>
      <c r="CC1113" s="693">
        <f>SUMIFS(Imput[[Importe Neto]:[Importe Neto]],Imput[[C. Imp.]:[C. Imp.]],$D1113,Imput[[PERIODO Imp.]:[PERIODO Imp.]],CC$9)</f>
        <v>0</v>
      </c>
      <c r="CD1113" s="693">
        <f>SUMIFS(Imput[[Importe Neto]:[Importe Neto]],Imput[[C. Imp.]:[C. Imp.]],$D1113,Imput[[PERIODO Imp.]:[PERIODO Imp.]],CD$9)</f>
        <v>0</v>
      </c>
      <c r="CE1113" s="693">
        <f>SUMIFS(Imput[[Importe Neto]:[Importe Neto]],Imput[[C. Imp.]:[C. Imp.]],$D1113,Imput[[PERIODO Imp.]:[PERIODO Imp.]],CE$9)</f>
        <v>0</v>
      </c>
      <c r="CF1113" s="693">
        <f>SUMIFS(Imput[[Importe Neto]:[Importe Neto]],Imput[[C. Imp.]:[C. Imp.]],$D1113,Imput[[PERIODO Imp.]:[PERIODO Imp.]],CF$9)</f>
        <v>0</v>
      </c>
      <c r="CG1113" s="693">
        <f>SUMIFS(Imput[[Importe Neto]:[Importe Neto]],Imput[[C. Imp.]:[C. Imp.]],$D1113,Imput[[PERIODO Imp.]:[PERIODO Imp.]],CG$9)</f>
        <v>0</v>
      </c>
      <c r="CH1113" s="693">
        <f>SUMIFS(Imput[[Importe Neto]:[Importe Neto]],Imput[[C. Imp.]:[C. Imp.]],$D1113,Imput[[PERIODO Imp.]:[PERIODO Imp.]],CH$9)</f>
        <v>0</v>
      </c>
      <c r="CI1113" s="693">
        <f>SUMIFS(Imput[[Importe Neto]:[Importe Neto]],Imput[[C. Imp.]:[C. Imp.]],$D1113,Imput[[PERIODO Imp.]:[PERIODO Imp.]],CI$9)</f>
        <v>0</v>
      </c>
      <c r="CJ1113" s="693">
        <f>SUMIFS(Imput[[Importe Neto]:[Importe Neto]],Imput[[C. Imp.]:[C. Imp.]],$D1113,Imput[[PERIODO Imp.]:[PERIODO Imp.]],CJ$9)</f>
        <v>0</v>
      </c>
      <c r="CK1113" s="693">
        <f>SUMIFS(Imput[[Importe Neto]:[Importe Neto]],Imput[[C. Imp.]:[C. Imp.]],$D1113,Imput[[PERIODO Imp.]:[PERIODO Imp.]],CK$9)</f>
        <v>0</v>
      </c>
      <c r="CL1113" s="693">
        <f>SUMIFS(Imput[[Importe Neto]:[Importe Neto]],Imput[[C. Imp.]:[C. Imp.]],$D1113,Imput[[PERIODO Imp.]:[PERIODO Imp.]],CL$9)</f>
        <v>0</v>
      </c>
      <c r="CM1113" s="693">
        <f>SUMIFS(Imput[[Importe Neto]:[Importe Neto]],Imput[[C. Imp.]:[C. Imp.]],$D1113,Imput[[PERIODO Imp.]:[PERIODO Imp.]],CM$9)</f>
        <v>0</v>
      </c>
      <c r="CN1113" s="693">
        <f>SUMIFS(Imput[[Importe Neto]:[Importe Neto]],Imput[[C. Imp.]:[C. Imp.]],$D1113,Imput[[PERIODO Imp.]:[PERIODO Imp.]],CN$9)</f>
        <v>0</v>
      </c>
      <c r="CO1113" s="693">
        <f>SUMIFS(Imput[[Importe Neto]:[Importe Neto]],Imput[[C. Imp.]:[C. Imp.]],$D1113,Imput[[PERIODO Imp.]:[PERIODO Imp.]],CO$9)</f>
        <v>0</v>
      </c>
      <c r="CP1113" s="693">
        <f>SUMIFS(Imput[[Importe Neto]:[Importe Neto]],Imput[[C. Imp.]:[C. Imp.]],$D1113,Imput[[PERIODO Imp.]:[PERIODO Imp.]],CP$9)</f>
        <v>0</v>
      </c>
      <c r="CQ1113" s="693">
        <f>SUMIFS(Imput[[Importe Neto]:[Importe Neto]],Imput[[C. Imp.]:[C. Imp.]],$D1113,Imput[[PERIODO Imp.]:[PERIODO Imp.]],CQ$9)</f>
        <v>0</v>
      </c>
      <c r="CR1113" s="693">
        <f>SUMIFS(Imput[[Importe Neto]:[Importe Neto]],Imput[[C. Imp.]:[C. Imp.]],$D1113,Imput[[PERIODO Imp.]:[PERIODO Imp.]],CR$9)</f>
        <v>0</v>
      </c>
      <c r="CS1113" s="693">
        <f>SUMIFS(Imput[[Importe Neto]:[Importe Neto]],Imput[[C. Imp.]:[C. Imp.]],$D1113,Imput[[PERIODO Imp.]:[PERIODO Imp.]],CS$9)</f>
        <v>0</v>
      </c>
      <c r="CT1113" s="693">
        <f>SUMIFS(Imput[[Importe Neto]:[Importe Neto]],Imput[[C. Imp.]:[C. Imp.]],$D1113,Imput[[PERIODO Imp.]:[PERIODO Imp.]],CT$9)</f>
        <v>0</v>
      </c>
      <c r="CU1113" s="693">
        <f>SUMIFS(Imput[[Importe Neto]:[Importe Neto]],Imput[[C. Imp.]:[C. Imp.]],$D1113,Imput[[PERIODO Imp.]:[PERIODO Imp.]],CU$9)</f>
        <v>0</v>
      </c>
      <c r="CV1113" s="693">
        <f>SUMIFS(Imput[[Importe Neto]:[Importe Neto]],Imput[[C. Imp.]:[C. Imp.]],$D1113,Imput[[PERIODO Imp.]:[PERIODO Imp.]],CV$9)</f>
        <v>0</v>
      </c>
      <c r="CW1113" s="693">
        <f>SUMIFS(Imput[[Importe Neto]:[Importe Neto]],Imput[[C. Imp.]:[C. Imp.]],$D1113,Imput[[PERIODO Imp.]:[PERIODO Imp.]],CW$9)</f>
        <v>0</v>
      </c>
      <c r="CX1113" s="693">
        <f>SUMIFS(Imput[[Importe Neto]:[Importe Neto]],Imput[[C. Imp.]:[C. Imp.]],$D1113,Imput[[PERIODO Imp.]:[PERIODO Imp.]],CX$9)</f>
        <v>0</v>
      </c>
      <c r="CY1113" s="693">
        <f>SUMIFS(Imput[[Importe Neto]:[Importe Neto]],Imput[[C. Imp.]:[C. Imp.]],$D1113,Imput[[PERIODO Imp.]:[PERIODO Imp.]],CY$9)</f>
        <v>0</v>
      </c>
      <c r="CZ1113" s="693">
        <f>SUMIFS(Imput[[Importe Neto]:[Importe Neto]],Imput[[C. Imp.]:[C. Imp.]],$D1113,Imput[[PERIODO Imp.]:[PERIODO Imp.]],CZ$9)</f>
        <v>0</v>
      </c>
      <c r="DA1113" s="693">
        <f>SUMIFS(Imput[[Importe Neto]:[Importe Neto]],Imput[[C. Imp.]:[C. Imp.]],$D1113,Imput[[PERIODO Imp.]:[PERIODO Imp.]],DA$9)</f>
        <v>0</v>
      </c>
      <c r="DB1113" s="693">
        <f>SUMIFS(Imput[[Importe Neto]:[Importe Neto]],Imput[[C. Imp.]:[C. Imp.]],$D1113,Imput[[PERIODO Imp.]:[PERIODO Imp.]],DB$9)</f>
        <v>0</v>
      </c>
      <c r="DC1113" s="693">
        <f>SUMIFS(Imput[[Importe Neto]:[Importe Neto]],Imput[[C. Imp.]:[C. Imp.]],$D1113,Imput[[PERIODO Imp.]:[PERIODO Imp.]],DC$9)</f>
        <v>0</v>
      </c>
      <c r="DD1113" s="693">
        <f>SUMIFS(Imput[[Importe Neto]:[Importe Neto]],Imput[[C. Imp.]:[C. Imp.]],$D1113,Imput[[PERIODO Imp.]:[PERIODO Imp.]],DD$9)</f>
        <v>0</v>
      </c>
      <c r="DE1113" s="693">
        <f>SUMIFS(Imput[[Importe Neto]:[Importe Neto]],Imput[[C. Imp.]:[C. Imp.]],$D1113,Imput[[PERIODO Imp.]:[PERIODO Imp.]],DE$9)</f>
        <v>0</v>
      </c>
      <c r="DF1113" s="693">
        <f>SUMIFS(Imput[[Importe Neto]:[Importe Neto]],Imput[[C. Imp.]:[C. Imp.]],$D1113,Imput[[PERIODO Imp.]:[PERIODO Imp.]],DF$9)</f>
        <v>0</v>
      </c>
      <c r="DG1113" s="693">
        <f>SUMIFS(Imput[[Importe Neto]:[Importe Neto]],Imput[[C. Imp.]:[C. Imp.]],$D1113,Imput[[PERIODO Imp.]:[PERIODO Imp.]],DG$9)</f>
        <v>0</v>
      </c>
      <c r="DH1113" s="694">
        <f>SUMIFS(Imput[[Importe Neto]:[Importe Neto]],Imput[[C. Imp.]:[C. Imp.]],$D1113,Imput[[PERIODO Imp.]:[PERIODO Imp.]],DH$9)</f>
        <v>0</v>
      </c>
    </row>
    <row r="1114" spans="1:112" s="649" customFormat="1" hidden="1" outlineLevel="1" x14ac:dyDescent="0.3">
      <c r="A1114" s="652" t="str">
        <f t="shared" si="361"/>
        <v/>
      </c>
      <c r="B1114" s="652"/>
      <c r="C1114" s="685"/>
      <c r="D1114" s="686"/>
      <c r="E1114" s="686"/>
      <c r="F1114" s="720"/>
      <c r="G1114" s="688"/>
      <c r="H1114" s="696"/>
      <c r="I1114" s="851" t="str">
        <f t="shared" si="362"/>
        <v/>
      </c>
      <c r="J1114" s="850" t="str">
        <f t="shared" si="363"/>
        <v/>
      </c>
      <c r="K1114" s="667"/>
      <c r="L1114" s="858"/>
      <c r="M1114" s="859"/>
      <c r="N1114" s="859"/>
      <c r="O1114" s="859"/>
      <c r="P1114" s="859"/>
      <c r="Q1114" s="859"/>
      <c r="R1114" s="859"/>
      <c r="S1114" s="859"/>
      <c r="T1114" s="859"/>
      <c r="U1114" s="859"/>
      <c r="V1114" s="859"/>
      <c r="W1114" s="859"/>
      <c r="X1114" s="859"/>
      <c r="Y1114" s="859"/>
      <c r="Z1114" s="860"/>
      <c r="AA1114" s="860"/>
      <c r="AB1114" s="860"/>
      <c r="AC1114" s="860"/>
      <c r="AD1114" s="860"/>
      <c r="AE1114" s="860"/>
      <c r="AF1114" s="860"/>
      <c r="AG1114" s="860"/>
      <c r="AH1114" s="860"/>
      <c r="AI1114" s="860"/>
      <c r="AJ1114" s="860"/>
      <c r="AK1114" s="860"/>
      <c r="AL1114" s="860"/>
      <c r="AM1114" s="860"/>
      <c r="AN1114" s="860"/>
      <c r="AO1114" s="860"/>
      <c r="AP1114" s="860"/>
      <c r="AQ1114" s="860"/>
      <c r="AR1114" s="860"/>
      <c r="AS1114" s="860"/>
      <c r="AT1114" s="860"/>
      <c r="AU1114" s="860"/>
      <c r="AV1114" s="860"/>
      <c r="AW1114" s="860"/>
      <c r="AX1114" s="860"/>
      <c r="AY1114" s="860"/>
      <c r="AZ1114" s="860"/>
      <c r="BA1114" s="860"/>
      <c r="BB1114" s="860"/>
      <c r="BC1114" s="860"/>
      <c r="BD1114" s="860"/>
      <c r="BE1114" s="860"/>
      <c r="BF1114" s="860"/>
      <c r="BG1114" s="860"/>
      <c r="BH1114" s="668"/>
      <c r="BI1114" s="667"/>
      <c r="BJ1114" s="690">
        <f t="shared" si="364"/>
        <v>0</v>
      </c>
      <c r="BK1114" s="691">
        <f t="shared" si="365"/>
        <v>0</v>
      </c>
      <c r="BL1114" s="654"/>
      <c r="BM1114" s="692">
        <f>SUMIFS(Imput[[Importe Neto]:[Importe Neto]],Imput[[C. Imp.]:[C. Imp.]],$D1114,Imput[[PERIODO Imp.]:[PERIODO Imp.]],BM$9)</f>
        <v>0</v>
      </c>
      <c r="BN1114" s="693">
        <f>SUMIFS(Imput[[Importe Neto]:[Importe Neto]],Imput[[C. Imp.]:[C. Imp.]],$D1114,Imput[[PERIODO Imp.]:[PERIODO Imp.]],BN$9)</f>
        <v>0</v>
      </c>
      <c r="BO1114" s="693">
        <f>SUMIFS(Imput[[Importe Neto]:[Importe Neto]],Imput[[C. Imp.]:[C. Imp.]],$D1114,Imput[[PERIODO Imp.]:[PERIODO Imp.]],BO$9)</f>
        <v>0</v>
      </c>
      <c r="BP1114" s="693">
        <f>SUMIFS(Imput[[Importe Neto]:[Importe Neto]],Imput[[C. Imp.]:[C. Imp.]],$D1114,Imput[[PERIODO Imp.]:[PERIODO Imp.]],BP$9)</f>
        <v>0</v>
      </c>
      <c r="BQ1114" s="693">
        <f>SUMIFS(Imput[[Importe Neto]:[Importe Neto]],Imput[[C. Imp.]:[C. Imp.]],$D1114,Imput[[PERIODO Imp.]:[PERIODO Imp.]],BQ$9)</f>
        <v>0</v>
      </c>
      <c r="BR1114" s="693">
        <f>SUMIFS(Imput[[Importe Neto]:[Importe Neto]],Imput[[C. Imp.]:[C. Imp.]],$D1114,Imput[[PERIODO Imp.]:[PERIODO Imp.]],BR$9)</f>
        <v>0</v>
      </c>
      <c r="BS1114" s="693">
        <f>SUMIFS(Imput[[Importe Neto]:[Importe Neto]],Imput[[C. Imp.]:[C. Imp.]],$D1114,Imput[[PERIODO Imp.]:[PERIODO Imp.]],BS$9)</f>
        <v>0</v>
      </c>
      <c r="BT1114" s="693">
        <f>SUMIFS(Imput[[Importe Neto]:[Importe Neto]],Imput[[C. Imp.]:[C. Imp.]],$D1114,Imput[[PERIODO Imp.]:[PERIODO Imp.]],BT$9)</f>
        <v>0</v>
      </c>
      <c r="BU1114" s="693">
        <f>SUMIFS(Imput[[Importe Neto]:[Importe Neto]],Imput[[C. Imp.]:[C. Imp.]],$D1114,Imput[[PERIODO Imp.]:[PERIODO Imp.]],BU$9)</f>
        <v>0</v>
      </c>
      <c r="BV1114" s="693">
        <f>SUMIFS(Imput[[Importe Neto]:[Importe Neto]],Imput[[C. Imp.]:[C. Imp.]],$D1114,Imput[[PERIODO Imp.]:[PERIODO Imp.]],BV$9)</f>
        <v>0</v>
      </c>
      <c r="BW1114" s="693">
        <f>SUMIFS(Imput[[Importe Neto]:[Importe Neto]],Imput[[C. Imp.]:[C. Imp.]],$D1114,Imput[[PERIODO Imp.]:[PERIODO Imp.]],BW$9)</f>
        <v>0</v>
      </c>
      <c r="BX1114" s="693">
        <f>SUMIFS(Imput[[Importe Neto]:[Importe Neto]],Imput[[C. Imp.]:[C. Imp.]],$D1114,Imput[[PERIODO Imp.]:[PERIODO Imp.]],BX$9)</f>
        <v>0</v>
      </c>
      <c r="BY1114" s="693">
        <f>SUMIFS(Imput[[Importe Neto]:[Importe Neto]],Imput[[C. Imp.]:[C. Imp.]],$D1114,Imput[[PERIODO Imp.]:[PERIODO Imp.]],BY$9)</f>
        <v>0</v>
      </c>
      <c r="BZ1114" s="693">
        <f>SUMIFS(Imput[[Importe Neto]:[Importe Neto]],Imput[[C. Imp.]:[C. Imp.]],$D1114,Imput[[PERIODO Imp.]:[PERIODO Imp.]],BZ$9)</f>
        <v>0</v>
      </c>
      <c r="CA1114" s="693">
        <f>SUMIFS(Imput[[Importe Neto]:[Importe Neto]],Imput[[C. Imp.]:[C. Imp.]],$D1114,Imput[[PERIODO Imp.]:[PERIODO Imp.]],CA$9)</f>
        <v>0</v>
      </c>
      <c r="CB1114" s="693">
        <f>SUMIFS(Imput[[Importe Neto]:[Importe Neto]],Imput[[C. Imp.]:[C. Imp.]],$D1114,Imput[[PERIODO Imp.]:[PERIODO Imp.]],CB$9)</f>
        <v>0</v>
      </c>
      <c r="CC1114" s="693">
        <f>SUMIFS(Imput[[Importe Neto]:[Importe Neto]],Imput[[C. Imp.]:[C. Imp.]],$D1114,Imput[[PERIODO Imp.]:[PERIODO Imp.]],CC$9)</f>
        <v>0</v>
      </c>
      <c r="CD1114" s="693">
        <f>SUMIFS(Imput[[Importe Neto]:[Importe Neto]],Imput[[C. Imp.]:[C. Imp.]],$D1114,Imput[[PERIODO Imp.]:[PERIODO Imp.]],CD$9)</f>
        <v>0</v>
      </c>
      <c r="CE1114" s="693">
        <f>SUMIFS(Imput[[Importe Neto]:[Importe Neto]],Imput[[C. Imp.]:[C. Imp.]],$D1114,Imput[[PERIODO Imp.]:[PERIODO Imp.]],CE$9)</f>
        <v>0</v>
      </c>
      <c r="CF1114" s="693">
        <f>SUMIFS(Imput[[Importe Neto]:[Importe Neto]],Imput[[C. Imp.]:[C. Imp.]],$D1114,Imput[[PERIODO Imp.]:[PERIODO Imp.]],CF$9)</f>
        <v>0</v>
      </c>
      <c r="CG1114" s="693">
        <f>SUMIFS(Imput[[Importe Neto]:[Importe Neto]],Imput[[C. Imp.]:[C. Imp.]],$D1114,Imput[[PERIODO Imp.]:[PERIODO Imp.]],CG$9)</f>
        <v>0</v>
      </c>
      <c r="CH1114" s="693">
        <f>SUMIFS(Imput[[Importe Neto]:[Importe Neto]],Imput[[C. Imp.]:[C. Imp.]],$D1114,Imput[[PERIODO Imp.]:[PERIODO Imp.]],CH$9)</f>
        <v>0</v>
      </c>
      <c r="CI1114" s="693">
        <f>SUMIFS(Imput[[Importe Neto]:[Importe Neto]],Imput[[C. Imp.]:[C. Imp.]],$D1114,Imput[[PERIODO Imp.]:[PERIODO Imp.]],CI$9)</f>
        <v>0</v>
      </c>
      <c r="CJ1114" s="693">
        <f>SUMIFS(Imput[[Importe Neto]:[Importe Neto]],Imput[[C. Imp.]:[C. Imp.]],$D1114,Imput[[PERIODO Imp.]:[PERIODO Imp.]],CJ$9)</f>
        <v>0</v>
      </c>
      <c r="CK1114" s="693">
        <f>SUMIFS(Imput[[Importe Neto]:[Importe Neto]],Imput[[C. Imp.]:[C. Imp.]],$D1114,Imput[[PERIODO Imp.]:[PERIODO Imp.]],CK$9)</f>
        <v>0</v>
      </c>
      <c r="CL1114" s="693">
        <f>SUMIFS(Imput[[Importe Neto]:[Importe Neto]],Imput[[C. Imp.]:[C. Imp.]],$D1114,Imput[[PERIODO Imp.]:[PERIODO Imp.]],CL$9)</f>
        <v>0</v>
      </c>
      <c r="CM1114" s="693">
        <f>SUMIFS(Imput[[Importe Neto]:[Importe Neto]],Imput[[C. Imp.]:[C. Imp.]],$D1114,Imput[[PERIODO Imp.]:[PERIODO Imp.]],CM$9)</f>
        <v>0</v>
      </c>
      <c r="CN1114" s="693">
        <f>SUMIFS(Imput[[Importe Neto]:[Importe Neto]],Imput[[C. Imp.]:[C. Imp.]],$D1114,Imput[[PERIODO Imp.]:[PERIODO Imp.]],CN$9)</f>
        <v>0</v>
      </c>
      <c r="CO1114" s="693">
        <f>SUMIFS(Imput[[Importe Neto]:[Importe Neto]],Imput[[C. Imp.]:[C. Imp.]],$D1114,Imput[[PERIODO Imp.]:[PERIODO Imp.]],CO$9)</f>
        <v>0</v>
      </c>
      <c r="CP1114" s="693">
        <f>SUMIFS(Imput[[Importe Neto]:[Importe Neto]],Imput[[C. Imp.]:[C. Imp.]],$D1114,Imput[[PERIODO Imp.]:[PERIODO Imp.]],CP$9)</f>
        <v>0</v>
      </c>
      <c r="CQ1114" s="693">
        <f>SUMIFS(Imput[[Importe Neto]:[Importe Neto]],Imput[[C. Imp.]:[C. Imp.]],$D1114,Imput[[PERIODO Imp.]:[PERIODO Imp.]],CQ$9)</f>
        <v>0</v>
      </c>
      <c r="CR1114" s="693">
        <f>SUMIFS(Imput[[Importe Neto]:[Importe Neto]],Imput[[C. Imp.]:[C. Imp.]],$D1114,Imput[[PERIODO Imp.]:[PERIODO Imp.]],CR$9)</f>
        <v>0</v>
      </c>
      <c r="CS1114" s="693">
        <f>SUMIFS(Imput[[Importe Neto]:[Importe Neto]],Imput[[C. Imp.]:[C. Imp.]],$D1114,Imput[[PERIODO Imp.]:[PERIODO Imp.]],CS$9)</f>
        <v>0</v>
      </c>
      <c r="CT1114" s="693">
        <f>SUMIFS(Imput[[Importe Neto]:[Importe Neto]],Imput[[C. Imp.]:[C. Imp.]],$D1114,Imput[[PERIODO Imp.]:[PERIODO Imp.]],CT$9)</f>
        <v>0</v>
      </c>
      <c r="CU1114" s="693">
        <f>SUMIFS(Imput[[Importe Neto]:[Importe Neto]],Imput[[C. Imp.]:[C. Imp.]],$D1114,Imput[[PERIODO Imp.]:[PERIODO Imp.]],CU$9)</f>
        <v>0</v>
      </c>
      <c r="CV1114" s="693">
        <f>SUMIFS(Imput[[Importe Neto]:[Importe Neto]],Imput[[C. Imp.]:[C. Imp.]],$D1114,Imput[[PERIODO Imp.]:[PERIODO Imp.]],CV$9)</f>
        <v>0</v>
      </c>
      <c r="CW1114" s="693">
        <f>SUMIFS(Imput[[Importe Neto]:[Importe Neto]],Imput[[C. Imp.]:[C. Imp.]],$D1114,Imput[[PERIODO Imp.]:[PERIODO Imp.]],CW$9)</f>
        <v>0</v>
      </c>
      <c r="CX1114" s="693">
        <f>SUMIFS(Imput[[Importe Neto]:[Importe Neto]],Imput[[C. Imp.]:[C. Imp.]],$D1114,Imput[[PERIODO Imp.]:[PERIODO Imp.]],CX$9)</f>
        <v>0</v>
      </c>
      <c r="CY1114" s="693">
        <f>SUMIFS(Imput[[Importe Neto]:[Importe Neto]],Imput[[C. Imp.]:[C. Imp.]],$D1114,Imput[[PERIODO Imp.]:[PERIODO Imp.]],CY$9)</f>
        <v>0</v>
      </c>
      <c r="CZ1114" s="693">
        <f>SUMIFS(Imput[[Importe Neto]:[Importe Neto]],Imput[[C. Imp.]:[C. Imp.]],$D1114,Imput[[PERIODO Imp.]:[PERIODO Imp.]],CZ$9)</f>
        <v>0</v>
      </c>
      <c r="DA1114" s="693">
        <f>SUMIFS(Imput[[Importe Neto]:[Importe Neto]],Imput[[C. Imp.]:[C. Imp.]],$D1114,Imput[[PERIODO Imp.]:[PERIODO Imp.]],DA$9)</f>
        <v>0</v>
      </c>
      <c r="DB1114" s="693">
        <f>SUMIFS(Imput[[Importe Neto]:[Importe Neto]],Imput[[C. Imp.]:[C. Imp.]],$D1114,Imput[[PERIODO Imp.]:[PERIODO Imp.]],DB$9)</f>
        <v>0</v>
      </c>
      <c r="DC1114" s="693">
        <f>SUMIFS(Imput[[Importe Neto]:[Importe Neto]],Imput[[C. Imp.]:[C. Imp.]],$D1114,Imput[[PERIODO Imp.]:[PERIODO Imp.]],DC$9)</f>
        <v>0</v>
      </c>
      <c r="DD1114" s="693">
        <f>SUMIFS(Imput[[Importe Neto]:[Importe Neto]],Imput[[C. Imp.]:[C. Imp.]],$D1114,Imput[[PERIODO Imp.]:[PERIODO Imp.]],DD$9)</f>
        <v>0</v>
      </c>
      <c r="DE1114" s="693">
        <f>SUMIFS(Imput[[Importe Neto]:[Importe Neto]],Imput[[C. Imp.]:[C. Imp.]],$D1114,Imput[[PERIODO Imp.]:[PERIODO Imp.]],DE$9)</f>
        <v>0</v>
      </c>
      <c r="DF1114" s="693">
        <f>SUMIFS(Imput[[Importe Neto]:[Importe Neto]],Imput[[C. Imp.]:[C. Imp.]],$D1114,Imput[[PERIODO Imp.]:[PERIODO Imp.]],DF$9)</f>
        <v>0</v>
      </c>
      <c r="DG1114" s="693">
        <f>SUMIFS(Imput[[Importe Neto]:[Importe Neto]],Imput[[C. Imp.]:[C. Imp.]],$D1114,Imput[[PERIODO Imp.]:[PERIODO Imp.]],DG$9)</f>
        <v>0</v>
      </c>
      <c r="DH1114" s="694">
        <f>SUMIFS(Imput[[Importe Neto]:[Importe Neto]],Imput[[C. Imp.]:[C. Imp.]],$D1114,Imput[[PERIODO Imp.]:[PERIODO Imp.]],DH$9)</f>
        <v>0</v>
      </c>
    </row>
    <row r="1115" spans="1:112" s="649" customFormat="1" hidden="1" outlineLevel="1" x14ac:dyDescent="0.3">
      <c r="A1115" s="652" t="str">
        <f t="shared" si="361"/>
        <v/>
      </c>
      <c r="B1115" s="652"/>
      <c r="C1115" s="685"/>
      <c r="D1115" s="686"/>
      <c r="E1115" s="686"/>
      <c r="F1115" s="720"/>
      <c r="G1115" s="688"/>
      <c r="H1115" s="696"/>
      <c r="I1115" s="851" t="str">
        <f t="shared" si="362"/>
        <v/>
      </c>
      <c r="J1115" s="850" t="str">
        <f t="shared" si="363"/>
        <v/>
      </c>
      <c r="K1115" s="678"/>
      <c r="L1115" s="858"/>
      <c r="M1115" s="859"/>
      <c r="N1115" s="859"/>
      <c r="O1115" s="859"/>
      <c r="P1115" s="859"/>
      <c r="Q1115" s="859"/>
      <c r="R1115" s="859"/>
      <c r="S1115" s="859"/>
      <c r="T1115" s="859"/>
      <c r="U1115" s="859"/>
      <c r="V1115" s="859"/>
      <c r="W1115" s="859"/>
      <c r="X1115" s="859"/>
      <c r="Y1115" s="859"/>
      <c r="Z1115" s="860"/>
      <c r="AA1115" s="860"/>
      <c r="AB1115" s="860"/>
      <c r="AC1115" s="860"/>
      <c r="AD1115" s="860"/>
      <c r="AE1115" s="860"/>
      <c r="AF1115" s="860"/>
      <c r="AG1115" s="860"/>
      <c r="AH1115" s="860"/>
      <c r="AI1115" s="860"/>
      <c r="AJ1115" s="860"/>
      <c r="AK1115" s="860"/>
      <c r="AL1115" s="860"/>
      <c r="AM1115" s="860"/>
      <c r="AN1115" s="860"/>
      <c r="AO1115" s="860"/>
      <c r="AP1115" s="860"/>
      <c r="AQ1115" s="860"/>
      <c r="AR1115" s="860"/>
      <c r="AS1115" s="860"/>
      <c r="AT1115" s="860"/>
      <c r="AU1115" s="860"/>
      <c r="AV1115" s="860"/>
      <c r="AW1115" s="860"/>
      <c r="AX1115" s="860"/>
      <c r="AY1115" s="860"/>
      <c r="AZ1115" s="860"/>
      <c r="BA1115" s="860"/>
      <c r="BB1115" s="860"/>
      <c r="BC1115" s="860"/>
      <c r="BD1115" s="860"/>
      <c r="BE1115" s="860"/>
      <c r="BF1115" s="860"/>
      <c r="BG1115" s="860"/>
      <c r="BH1115" s="668"/>
      <c r="BI1115" s="654"/>
      <c r="BJ1115" s="690">
        <f t="shared" si="364"/>
        <v>0</v>
      </c>
      <c r="BK1115" s="691">
        <f t="shared" si="365"/>
        <v>0</v>
      </c>
      <c r="BL1115" s="654"/>
      <c r="BM1115" s="692">
        <f>SUMIFS(Imput[[Importe Neto]:[Importe Neto]],Imput[[C. Imp.]:[C. Imp.]],$D1115,Imput[[PERIODO Imp.]:[PERIODO Imp.]],BM$9)</f>
        <v>0</v>
      </c>
      <c r="BN1115" s="693">
        <f>SUMIFS(Imput[[Importe Neto]:[Importe Neto]],Imput[[C. Imp.]:[C. Imp.]],$D1115,Imput[[PERIODO Imp.]:[PERIODO Imp.]],BN$9)</f>
        <v>0</v>
      </c>
      <c r="BO1115" s="693">
        <f>SUMIFS(Imput[[Importe Neto]:[Importe Neto]],Imput[[C. Imp.]:[C. Imp.]],$D1115,Imput[[PERIODO Imp.]:[PERIODO Imp.]],BO$9)</f>
        <v>0</v>
      </c>
      <c r="BP1115" s="693">
        <f>SUMIFS(Imput[[Importe Neto]:[Importe Neto]],Imput[[C. Imp.]:[C. Imp.]],$D1115,Imput[[PERIODO Imp.]:[PERIODO Imp.]],BP$9)</f>
        <v>0</v>
      </c>
      <c r="BQ1115" s="693">
        <f>SUMIFS(Imput[[Importe Neto]:[Importe Neto]],Imput[[C. Imp.]:[C. Imp.]],$D1115,Imput[[PERIODO Imp.]:[PERIODO Imp.]],BQ$9)</f>
        <v>0</v>
      </c>
      <c r="BR1115" s="693">
        <f>SUMIFS(Imput[[Importe Neto]:[Importe Neto]],Imput[[C. Imp.]:[C. Imp.]],$D1115,Imput[[PERIODO Imp.]:[PERIODO Imp.]],BR$9)</f>
        <v>0</v>
      </c>
      <c r="BS1115" s="693">
        <f>SUMIFS(Imput[[Importe Neto]:[Importe Neto]],Imput[[C. Imp.]:[C. Imp.]],$D1115,Imput[[PERIODO Imp.]:[PERIODO Imp.]],BS$9)</f>
        <v>0</v>
      </c>
      <c r="BT1115" s="693">
        <f>SUMIFS(Imput[[Importe Neto]:[Importe Neto]],Imput[[C. Imp.]:[C. Imp.]],$D1115,Imput[[PERIODO Imp.]:[PERIODO Imp.]],BT$9)</f>
        <v>0</v>
      </c>
      <c r="BU1115" s="693">
        <f>SUMIFS(Imput[[Importe Neto]:[Importe Neto]],Imput[[C. Imp.]:[C. Imp.]],$D1115,Imput[[PERIODO Imp.]:[PERIODO Imp.]],BU$9)</f>
        <v>0</v>
      </c>
      <c r="BV1115" s="693">
        <f>SUMIFS(Imput[[Importe Neto]:[Importe Neto]],Imput[[C. Imp.]:[C. Imp.]],$D1115,Imput[[PERIODO Imp.]:[PERIODO Imp.]],BV$9)</f>
        <v>0</v>
      </c>
      <c r="BW1115" s="693">
        <f>SUMIFS(Imput[[Importe Neto]:[Importe Neto]],Imput[[C. Imp.]:[C. Imp.]],$D1115,Imput[[PERIODO Imp.]:[PERIODO Imp.]],BW$9)</f>
        <v>0</v>
      </c>
      <c r="BX1115" s="693">
        <f>SUMIFS(Imput[[Importe Neto]:[Importe Neto]],Imput[[C. Imp.]:[C. Imp.]],$D1115,Imput[[PERIODO Imp.]:[PERIODO Imp.]],BX$9)</f>
        <v>0</v>
      </c>
      <c r="BY1115" s="693">
        <f>SUMIFS(Imput[[Importe Neto]:[Importe Neto]],Imput[[C. Imp.]:[C. Imp.]],$D1115,Imput[[PERIODO Imp.]:[PERIODO Imp.]],BY$9)</f>
        <v>0</v>
      </c>
      <c r="BZ1115" s="693">
        <f>SUMIFS(Imput[[Importe Neto]:[Importe Neto]],Imput[[C. Imp.]:[C. Imp.]],$D1115,Imput[[PERIODO Imp.]:[PERIODO Imp.]],BZ$9)</f>
        <v>0</v>
      </c>
      <c r="CA1115" s="693">
        <f>SUMIFS(Imput[[Importe Neto]:[Importe Neto]],Imput[[C. Imp.]:[C. Imp.]],$D1115,Imput[[PERIODO Imp.]:[PERIODO Imp.]],CA$9)</f>
        <v>0</v>
      </c>
      <c r="CB1115" s="693">
        <f>SUMIFS(Imput[[Importe Neto]:[Importe Neto]],Imput[[C. Imp.]:[C. Imp.]],$D1115,Imput[[PERIODO Imp.]:[PERIODO Imp.]],CB$9)</f>
        <v>0</v>
      </c>
      <c r="CC1115" s="693">
        <f>SUMIFS(Imput[[Importe Neto]:[Importe Neto]],Imput[[C. Imp.]:[C. Imp.]],$D1115,Imput[[PERIODO Imp.]:[PERIODO Imp.]],CC$9)</f>
        <v>0</v>
      </c>
      <c r="CD1115" s="693">
        <f>SUMIFS(Imput[[Importe Neto]:[Importe Neto]],Imput[[C. Imp.]:[C. Imp.]],$D1115,Imput[[PERIODO Imp.]:[PERIODO Imp.]],CD$9)</f>
        <v>0</v>
      </c>
      <c r="CE1115" s="693">
        <f>SUMIFS(Imput[[Importe Neto]:[Importe Neto]],Imput[[C. Imp.]:[C. Imp.]],$D1115,Imput[[PERIODO Imp.]:[PERIODO Imp.]],CE$9)</f>
        <v>0</v>
      </c>
      <c r="CF1115" s="693">
        <f>SUMIFS(Imput[[Importe Neto]:[Importe Neto]],Imput[[C. Imp.]:[C. Imp.]],$D1115,Imput[[PERIODO Imp.]:[PERIODO Imp.]],CF$9)</f>
        <v>0</v>
      </c>
      <c r="CG1115" s="693">
        <f>SUMIFS(Imput[[Importe Neto]:[Importe Neto]],Imput[[C. Imp.]:[C. Imp.]],$D1115,Imput[[PERIODO Imp.]:[PERIODO Imp.]],CG$9)</f>
        <v>0</v>
      </c>
      <c r="CH1115" s="693">
        <f>SUMIFS(Imput[[Importe Neto]:[Importe Neto]],Imput[[C. Imp.]:[C. Imp.]],$D1115,Imput[[PERIODO Imp.]:[PERIODO Imp.]],CH$9)</f>
        <v>0</v>
      </c>
      <c r="CI1115" s="693">
        <f>SUMIFS(Imput[[Importe Neto]:[Importe Neto]],Imput[[C. Imp.]:[C. Imp.]],$D1115,Imput[[PERIODO Imp.]:[PERIODO Imp.]],CI$9)</f>
        <v>0</v>
      </c>
      <c r="CJ1115" s="693">
        <f>SUMIFS(Imput[[Importe Neto]:[Importe Neto]],Imput[[C. Imp.]:[C. Imp.]],$D1115,Imput[[PERIODO Imp.]:[PERIODO Imp.]],CJ$9)</f>
        <v>0</v>
      </c>
      <c r="CK1115" s="693">
        <f>SUMIFS(Imput[[Importe Neto]:[Importe Neto]],Imput[[C. Imp.]:[C. Imp.]],$D1115,Imput[[PERIODO Imp.]:[PERIODO Imp.]],CK$9)</f>
        <v>0</v>
      </c>
      <c r="CL1115" s="693">
        <f>SUMIFS(Imput[[Importe Neto]:[Importe Neto]],Imput[[C. Imp.]:[C. Imp.]],$D1115,Imput[[PERIODO Imp.]:[PERIODO Imp.]],CL$9)</f>
        <v>0</v>
      </c>
      <c r="CM1115" s="693">
        <f>SUMIFS(Imput[[Importe Neto]:[Importe Neto]],Imput[[C. Imp.]:[C. Imp.]],$D1115,Imput[[PERIODO Imp.]:[PERIODO Imp.]],CM$9)</f>
        <v>0</v>
      </c>
      <c r="CN1115" s="693">
        <f>SUMIFS(Imput[[Importe Neto]:[Importe Neto]],Imput[[C. Imp.]:[C. Imp.]],$D1115,Imput[[PERIODO Imp.]:[PERIODO Imp.]],CN$9)</f>
        <v>0</v>
      </c>
      <c r="CO1115" s="693">
        <f>SUMIFS(Imput[[Importe Neto]:[Importe Neto]],Imput[[C. Imp.]:[C. Imp.]],$D1115,Imput[[PERIODO Imp.]:[PERIODO Imp.]],CO$9)</f>
        <v>0</v>
      </c>
      <c r="CP1115" s="693">
        <f>SUMIFS(Imput[[Importe Neto]:[Importe Neto]],Imput[[C. Imp.]:[C. Imp.]],$D1115,Imput[[PERIODO Imp.]:[PERIODO Imp.]],CP$9)</f>
        <v>0</v>
      </c>
      <c r="CQ1115" s="693">
        <f>SUMIFS(Imput[[Importe Neto]:[Importe Neto]],Imput[[C. Imp.]:[C. Imp.]],$D1115,Imput[[PERIODO Imp.]:[PERIODO Imp.]],CQ$9)</f>
        <v>0</v>
      </c>
      <c r="CR1115" s="693">
        <f>SUMIFS(Imput[[Importe Neto]:[Importe Neto]],Imput[[C. Imp.]:[C. Imp.]],$D1115,Imput[[PERIODO Imp.]:[PERIODO Imp.]],CR$9)</f>
        <v>0</v>
      </c>
      <c r="CS1115" s="693">
        <f>SUMIFS(Imput[[Importe Neto]:[Importe Neto]],Imput[[C. Imp.]:[C. Imp.]],$D1115,Imput[[PERIODO Imp.]:[PERIODO Imp.]],CS$9)</f>
        <v>0</v>
      </c>
      <c r="CT1115" s="693">
        <f>SUMIFS(Imput[[Importe Neto]:[Importe Neto]],Imput[[C. Imp.]:[C. Imp.]],$D1115,Imput[[PERIODO Imp.]:[PERIODO Imp.]],CT$9)</f>
        <v>0</v>
      </c>
      <c r="CU1115" s="693">
        <f>SUMIFS(Imput[[Importe Neto]:[Importe Neto]],Imput[[C. Imp.]:[C. Imp.]],$D1115,Imput[[PERIODO Imp.]:[PERIODO Imp.]],CU$9)</f>
        <v>0</v>
      </c>
      <c r="CV1115" s="693">
        <f>SUMIFS(Imput[[Importe Neto]:[Importe Neto]],Imput[[C. Imp.]:[C. Imp.]],$D1115,Imput[[PERIODO Imp.]:[PERIODO Imp.]],CV$9)</f>
        <v>0</v>
      </c>
      <c r="CW1115" s="693">
        <f>SUMIFS(Imput[[Importe Neto]:[Importe Neto]],Imput[[C. Imp.]:[C. Imp.]],$D1115,Imput[[PERIODO Imp.]:[PERIODO Imp.]],CW$9)</f>
        <v>0</v>
      </c>
      <c r="CX1115" s="693">
        <f>SUMIFS(Imput[[Importe Neto]:[Importe Neto]],Imput[[C. Imp.]:[C. Imp.]],$D1115,Imput[[PERIODO Imp.]:[PERIODO Imp.]],CX$9)</f>
        <v>0</v>
      </c>
      <c r="CY1115" s="693">
        <f>SUMIFS(Imput[[Importe Neto]:[Importe Neto]],Imput[[C. Imp.]:[C. Imp.]],$D1115,Imput[[PERIODO Imp.]:[PERIODO Imp.]],CY$9)</f>
        <v>0</v>
      </c>
      <c r="CZ1115" s="693">
        <f>SUMIFS(Imput[[Importe Neto]:[Importe Neto]],Imput[[C. Imp.]:[C. Imp.]],$D1115,Imput[[PERIODO Imp.]:[PERIODO Imp.]],CZ$9)</f>
        <v>0</v>
      </c>
      <c r="DA1115" s="693">
        <f>SUMIFS(Imput[[Importe Neto]:[Importe Neto]],Imput[[C. Imp.]:[C. Imp.]],$D1115,Imput[[PERIODO Imp.]:[PERIODO Imp.]],DA$9)</f>
        <v>0</v>
      </c>
      <c r="DB1115" s="693">
        <f>SUMIFS(Imput[[Importe Neto]:[Importe Neto]],Imput[[C. Imp.]:[C. Imp.]],$D1115,Imput[[PERIODO Imp.]:[PERIODO Imp.]],DB$9)</f>
        <v>0</v>
      </c>
      <c r="DC1115" s="693">
        <f>SUMIFS(Imput[[Importe Neto]:[Importe Neto]],Imput[[C. Imp.]:[C. Imp.]],$D1115,Imput[[PERIODO Imp.]:[PERIODO Imp.]],DC$9)</f>
        <v>0</v>
      </c>
      <c r="DD1115" s="693">
        <f>SUMIFS(Imput[[Importe Neto]:[Importe Neto]],Imput[[C. Imp.]:[C. Imp.]],$D1115,Imput[[PERIODO Imp.]:[PERIODO Imp.]],DD$9)</f>
        <v>0</v>
      </c>
      <c r="DE1115" s="693">
        <f>SUMIFS(Imput[[Importe Neto]:[Importe Neto]],Imput[[C. Imp.]:[C. Imp.]],$D1115,Imput[[PERIODO Imp.]:[PERIODO Imp.]],DE$9)</f>
        <v>0</v>
      </c>
      <c r="DF1115" s="693">
        <f>SUMIFS(Imput[[Importe Neto]:[Importe Neto]],Imput[[C. Imp.]:[C. Imp.]],$D1115,Imput[[PERIODO Imp.]:[PERIODO Imp.]],DF$9)</f>
        <v>0</v>
      </c>
      <c r="DG1115" s="693">
        <f>SUMIFS(Imput[[Importe Neto]:[Importe Neto]],Imput[[C. Imp.]:[C. Imp.]],$D1115,Imput[[PERIODO Imp.]:[PERIODO Imp.]],DG$9)</f>
        <v>0</v>
      </c>
      <c r="DH1115" s="694">
        <f>SUMIFS(Imput[[Importe Neto]:[Importe Neto]],Imput[[C. Imp.]:[C. Imp.]],$D1115,Imput[[PERIODO Imp.]:[PERIODO Imp.]],DH$9)</f>
        <v>0</v>
      </c>
    </row>
    <row r="1116" spans="1:112" s="649" customFormat="1" hidden="1" outlineLevel="1" x14ac:dyDescent="0.3">
      <c r="A1116" s="652" t="str">
        <f t="shared" si="361"/>
        <v/>
      </c>
      <c r="B1116" s="652"/>
      <c r="C1116" s="685"/>
      <c r="D1116" s="686"/>
      <c r="E1116" s="728"/>
      <c r="F1116" s="720"/>
      <c r="G1116" s="688"/>
      <c r="H1116" s="696"/>
      <c r="I1116" s="851" t="str">
        <f t="shared" si="362"/>
        <v/>
      </c>
      <c r="J1116" s="850" t="str">
        <f t="shared" si="363"/>
        <v/>
      </c>
      <c r="K1116" s="667"/>
      <c r="L1116" s="858"/>
      <c r="M1116" s="859"/>
      <c r="N1116" s="859"/>
      <c r="O1116" s="859"/>
      <c r="P1116" s="859"/>
      <c r="Q1116" s="859"/>
      <c r="R1116" s="859"/>
      <c r="S1116" s="859"/>
      <c r="T1116" s="859"/>
      <c r="U1116" s="859"/>
      <c r="V1116" s="859"/>
      <c r="W1116" s="859"/>
      <c r="X1116" s="859"/>
      <c r="Y1116" s="859"/>
      <c r="Z1116" s="860"/>
      <c r="AA1116" s="860"/>
      <c r="AB1116" s="860"/>
      <c r="AC1116" s="860"/>
      <c r="AD1116" s="860"/>
      <c r="AE1116" s="860"/>
      <c r="AF1116" s="860"/>
      <c r="AG1116" s="860"/>
      <c r="AH1116" s="860"/>
      <c r="AI1116" s="860"/>
      <c r="AJ1116" s="860"/>
      <c r="AK1116" s="860"/>
      <c r="AL1116" s="860"/>
      <c r="AM1116" s="860"/>
      <c r="AN1116" s="860"/>
      <c r="AO1116" s="860"/>
      <c r="AP1116" s="860"/>
      <c r="AQ1116" s="860"/>
      <c r="AR1116" s="860"/>
      <c r="AS1116" s="860"/>
      <c r="AT1116" s="860"/>
      <c r="AU1116" s="860"/>
      <c r="AV1116" s="860"/>
      <c r="AW1116" s="860"/>
      <c r="AX1116" s="860"/>
      <c r="AY1116" s="860"/>
      <c r="AZ1116" s="860"/>
      <c r="BA1116" s="860"/>
      <c r="BB1116" s="860"/>
      <c r="BC1116" s="860"/>
      <c r="BD1116" s="860"/>
      <c r="BE1116" s="860"/>
      <c r="BF1116" s="860"/>
      <c r="BG1116" s="860"/>
      <c r="BH1116" s="668"/>
      <c r="BI1116" s="667"/>
      <c r="BJ1116" s="690">
        <f t="shared" si="364"/>
        <v>0</v>
      </c>
      <c r="BK1116" s="691">
        <f t="shared" si="365"/>
        <v>0</v>
      </c>
      <c r="BL1116" s="654"/>
      <c r="BM1116" s="692">
        <f>SUMIFS(Imput[[Importe Neto]:[Importe Neto]],Imput[[C. Imp.]:[C. Imp.]],$D1116,Imput[[PERIODO Imp.]:[PERIODO Imp.]],BM$9)</f>
        <v>0</v>
      </c>
      <c r="BN1116" s="693">
        <f>SUMIFS(Imput[[Importe Neto]:[Importe Neto]],Imput[[C. Imp.]:[C. Imp.]],$D1116,Imput[[PERIODO Imp.]:[PERIODO Imp.]],BN$9)</f>
        <v>0</v>
      </c>
      <c r="BO1116" s="693">
        <f>SUMIFS(Imput[[Importe Neto]:[Importe Neto]],Imput[[C. Imp.]:[C. Imp.]],$D1116,Imput[[PERIODO Imp.]:[PERIODO Imp.]],BO$9)</f>
        <v>0</v>
      </c>
      <c r="BP1116" s="693">
        <f>SUMIFS(Imput[[Importe Neto]:[Importe Neto]],Imput[[C. Imp.]:[C. Imp.]],$D1116,Imput[[PERIODO Imp.]:[PERIODO Imp.]],BP$9)</f>
        <v>0</v>
      </c>
      <c r="BQ1116" s="693">
        <f>SUMIFS(Imput[[Importe Neto]:[Importe Neto]],Imput[[C. Imp.]:[C. Imp.]],$D1116,Imput[[PERIODO Imp.]:[PERIODO Imp.]],BQ$9)</f>
        <v>0</v>
      </c>
      <c r="BR1116" s="693">
        <f>SUMIFS(Imput[[Importe Neto]:[Importe Neto]],Imput[[C. Imp.]:[C. Imp.]],$D1116,Imput[[PERIODO Imp.]:[PERIODO Imp.]],BR$9)</f>
        <v>0</v>
      </c>
      <c r="BS1116" s="693">
        <f>SUMIFS(Imput[[Importe Neto]:[Importe Neto]],Imput[[C. Imp.]:[C. Imp.]],$D1116,Imput[[PERIODO Imp.]:[PERIODO Imp.]],BS$9)</f>
        <v>0</v>
      </c>
      <c r="BT1116" s="693">
        <f>SUMIFS(Imput[[Importe Neto]:[Importe Neto]],Imput[[C. Imp.]:[C. Imp.]],$D1116,Imput[[PERIODO Imp.]:[PERIODO Imp.]],BT$9)</f>
        <v>0</v>
      </c>
      <c r="BU1116" s="693">
        <f>SUMIFS(Imput[[Importe Neto]:[Importe Neto]],Imput[[C. Imp.]:[C. Imp.]],$D1116,Imput[[PERIODO Imp.]:[PERIODO Imp.]],BU$9)</f>
        <v>0</v>
      </c>
      <c r="BV1116" s="693">
        <f>SUMIFS(Imput[[Importe Neto]:[Importe Neto]],Imput[[C. Imp.]:[C. Imp.]],$D1116,Imput[[PERIODO Imp.]:[PERIODO Imp.]],BV$9)</f>
        <v>0</v>
      </c>
      <c r="BW1116" s="693">
        <f>SUMIFS(Imput[[Importe Neto]:[Importe Neto]],Imput[[C. Imp.]:[C. Imp.]],$D1116,Imput[[PERIODO Imp.]:[PERIODO Imp.]],BW$9)</f>
        <v>0</v>
      </c>
      <c r="BX1116" s="693">
        <f>SUMIFS(Imput[[Importe Neto]:[Importe Neto]],Imput[[C. Imp.]:[C. Imp.]],$D1116,Imput[[PERIODO Imp.]:[PERIODO Imp.]],BX$9)</f>
        <v>0</v>
      </c>
      <c r="BY1116" s="693">
        <f>SUMIFS(Imput[[Importe Neto]:[Importe Neto]],Imput[[C. Imp.]:[C. Imp.]],$D1116,Imput[[PERIODO Imp.]:[PERIODO Imp.]],BY$9)</f>
        <v>0</v>
      </c>
      <c r="BZ1116" s="693">
        <f>SUMIFS(Imput[[Importe Neto]:[Importe Neto]],Imput[[C. Imp.]:[C. Imp.]],$D1116,Imput[[PERIODO Imp.]:[PERIODO Imp.]],BZ$9)</f>
        <v>0</v>
      </c>
      <c r="CA1116" s="693">
        <f>SUMIFS(Imput[[Importe Neto]:[Importe Neto]],Imput[[C. Imp.]:[C. Imp.]],$D1116,Imput[[PERIODO Imp.]:[PERIODO Imp.]],CA$9)</f>
        <v>0</v>
      </c>
      <c r="CB1116" s="693">
        <f>SUMIFS(Imput[[Importe Neto]:[Importe Neto]],Imput[[C. Imp.]:[C. Imp.]],$D1116,Imput[[PERIODO Imp.]:[PERIODO Imp.]],CB$9)</f>
        <v>0</v>
      </c>
      <c r="CC1116" s="693">
        <f>SUMIFS(Imput[[Importe Neto]:[Importe Neto]],Imput[[C. Imp.]:[C. Imp.]],$D1116,Imput[[PERIODO Imp.]:[PERIODO Imp.]],CC$9)</f>
        <v>0</v>
      </c>
      <c r="CD1116" s="693">
        <f>SUMIFS(Imput[[Importe Neto]:[Importe Neto]],Imput[[C. Imp.]:[C. Imp.]],$D1116,Imput[[PERIODO Imp.]:[PERIODO Imp.]],CD$9)</f>
        <v>0</v>
      </c>
      <c r="CE1116" s="693">
        <f>SUMIFS(Imput[[Importe Neto]:[Importe Neto]],Imput[[C. Imp.]:[C. Imp.]],$D1116,Imput[[PERIODO Imp.]:[PERIODO Imp.]],CE$9)</f>
        <v>0</v>
      </c>
      <c r="CF1116" s="693">
        <f>SUMIFS(Imput[[Importe Neto]:[Importe Neto]],Imput[[C. Imp.]:[C. Imp.]],$D1116,Imput[[PERIODO Imp.]:[PERIODO Imp.]],CF$9)</f>
        <v>0</v>
      </c>
      <c r="CG1116" s="693">
        <f>SUMIFS(Imput[[Importe Neto]:[Importe Neto]],Imput[[C. Imp.]:[C. Imp.]],$D1116,Imput[[PERIODO Imp.]:[PERIODO Imp.]],CG$9)</f>
        <v>0</v>
      </c>
      <c r="CH1116" s="693">
        <f>SUMIFS(Imput[[Importe Neto]:[Importe Neto]],Imput[[C. Imp.]:[C. Imp.]],$D1116,Imput[[PERIODO Imp.]:[PERIODO Imp.]],CH$9)</f>
        <v>0</v>
      </c>
      <c r="CI1116" s="693">
        <f>SUMIFS(Imput[[Importe Neto]:[Importe Neto]],Imput[[C. Imp.]:[C. Imp.]],$D1116,Imput[[PERIODO Imp.]:[PERIODO Imp.]],CI$9)</f>
        <v>0</v>
      </c>
      <c r="CJ1116" s="693">
        <f>SUMIFS(Imput[[Importe Neto]:[Importe Neto]],Imput[[C. Imp.]:[C. Imp.]],$D1116,Imput[[PERIODO Imp.]:[PERIODO Imp.]],CJ$9)</f>
        <v>0</v>
      </c>
      <c r="CK1116" s="693">
        <f>SUMIFS(Imput[[Importe Neto]:[Importe Neto]],Imput[[C. Imp.]:[C. Imp.]],$D1116,Imput[[PERIODO Imp.]:[PERIODO Imp.]],CK$9)</f>
        <v>0</v>
      </c>
      <c r="CL1116" s="693">
        <f>SUMIFS(Imput[[Importe Neto]:[Importe Neto]],Imput[[C. Imp.]:[C. Imp.]],$D1116,Imput[[PERIODO Imp.]:[PERIODO Imp.]],CL$9)</f>
        <v>0</v>
      </c>
      <c r="CM1116" s="693">
        <f>SUMIFS(Imput[[Importe Neto]:[Importe Neto]],Imput[[C. Imp.]:[C. Imp.]],$D1116,Imput[[PERIODO Imp.]:[PERIODO Imp.]],CM$9)</f>
        <v>0</v>
      </c>
      <c r="CN1116" s="693">
        <f>SUMIFS(Imput[[Importe Neto]:[Importe Neto]],Imput[[C. Imp.]:[C. Imp.]],$D1116,Imput[[PERIODO Imp.]:[PERIODO Imp.]],CN$9)</f>
        <v>0</v>
      </c>
      <c r="CO1116" s="693">
        <f>SUMIFS(Imput[[Importe Neto]:[Importe Neto]],Imput[[C. Imp.]:[C. Imp.]],$D1116,Imput[[PERIODO Imp.]:[PERIODO Imp.]],CO$9)</f>
        <v>0</v>
      </c>
      <c r="CP1116" s="693">
        <f>SUMIFS(Imput[[Importe Neto]:[Importe Neto]],Imput[[C. Imp.]:[C. Imp.]],$D1116,Imput[[PERIODO Imp.]:[PERIODO Imp.]],CP$9)</f>
        <v>0</v>
      </c>
      <c r="CQ1116" s="693">
        <f>SUMIFS(Imput[[Importe Neto]:[Importe Neto]],Imput[[C. Imp.]:[C. Imp.]],$D1116,Imput[[PERIODO Imp.]:[PERIODO Imp.]],CQ$9)</f>
        <v>0</v>
      </c>
      <c r="CR1116" s="693">
        <f>SUMIFS(Imput[[Importe Neto]:[Importe Neto]],Imput[[C. Imp.]:[C. Imp.]],$D1116,Imput[[PERIODO Imp.]:[PERIODO Imp.]],CR$9)</f>
        <v>0</v>
      </c>
      <c r="CS1116" s="693">
        <f>SUMIFS(Imput[[Importe Neto]:[Importe Neto]],Imput[[C. Imp.]:[C. Imp.]],$D1116,Imput[[PERIODO Imp.]:[PERIODO Imp.]],CS$9)</f>
        <v>0</v>
      </c>
      <c r="CT1116" s="693">
        <f>SUMIFS(Imput[[Importe Neto]:[Importe Neto]],Imput[[C. Imp.]:[C. Imp.]],$D1116,Imput[[PERIODO Imp.]:[PERIODO Imp.]],CT$9)</f>
        <v>0</v>
      </c>
      <c r="CU1116" s="693">
        <f>SUMIFS(Imput[[Importe Neto]:[Importe Neto]],Imput[[C. Imp.]:[C. Imp.]],$D1116,Imput[[PERIODO Imp.]:[PERIODO Imp.]],CU$9)</f>
        <v>0</v>
      </c>
      <c r="CV1116" s="693">
        <f>SUMIFS(Imput[[Importe Neto]:[Importe Neto]],Imput[[C. Imp.]:[C. Imp.]],$D1116,Imput[[PERIODO Imp.]:[PERIODO Imp.]],CV$9)</f>
        <v>0</v>
      </c>
      <c r="CW1116" s="693">
        <f>SUMIFS(Imput[[Importe Neto]:[Importe Neto]],Imput[[C. Imp.]:[C. Imp.]],$D1116,Imput[[PERIODO Imp.]:[PERIODO Imp.]],CW$9)</f>
        <v>0</v>
      </c>
      <c r="CX1116" s="693">
        <f>SUMIFS(Imput[[Importe Neto]:[Importe Neto]],Imput[[C. Imp.]:[C. Imp.]],$D1116,Imput[[PERIODO Imp.]:[PERIODO Imp.]],CX$9)</f>
        <v>0</v>
      </c>
      <c r="CY1116" s="693">
        <f>SUMIFS(Imput[[Importe Neto]:[Importe Neto]],Imput[[C. Imp.]:[C. Imp.]],$D1116,Imput[[PERIODO Imp.]:[PERIODO Imp.]],CY$9)</f>
        <v>0</v>
      </c>
      <c r="CZ1116" s="693">
        <f>SUMIFS(Imput[[Importe Neto]:[Importe Neto]],Imput[[C. Imp.]:[C. Imp.]],$D1116,Imput[[PERIODO Imp.]:[PERIODO Imp.]],CZ$9)</f>
        <v>0</v>
      </c>
      <c r="DA1116" s="693">
        <f>SUMIFS(Imput[[Importe Neto]:[Importe Neto]],Imput[[C. Imp.]:[C. Imp.]],$D1116,Imput[[PERIODO Imp.]:[PERIODO Imp.]],DA$9)</f>
        <v>0</v>
      </c>
      <c r="DB1116" s="693">
        <f>SUMIFS(Imput[[Importe Neto]:[Importe Neto]],Imput[[C. Imp.]:[C. Imp.]],$D1116,Imput[[PERIODO Imp.]:[PERIODO Imp.]],DB$9)</f>
        <v>0</v>
      </c>
      <c r="DC1116" s="693">
        <f>SUMIFS(Imput[[Importe Neto]:[Importe Neto]],Imput[[C. Imp.]:[C. Imp.]],$D1116,Imput[[PERIODO Imp.]:[PERIODO Imp.]],DC$9)</f>
        <v>0</v>
      </c>
      <c r="DD1116" s="693">
        <f>SUMIFS(Imput[[Importe Neto]:[Importe Neto]],Imput[[C. Imp.]:[C. Imp.]],$D1116,Imput[[PERIODO Imp.]:[PERIODO Imp.]],DD$9)</f>
        <v>0</v>
      </c>
      <c r="DE1116" s="693">
        <f>SUMIFS(Imput[[Importe Neto]:[Importe Neto]],Imput[[C. Imp.]:[C. Imp.]],$D1116,Imput[[PERIODO Imp.]:[PERIODO Imp.]],DE$9)</f>
        <v>0</v>
      </c>
      <c r="DF1116" s="693">
        <f>SUMIFS(Imput[[Importe Neto]:[Importe Neto]],Imput[[C. Imp.]:[C. Imp.]],$D1116,Imput[[PERIODO Imp.]:[PERIODO Imp.]],DF$9)</f>
        <v>0</v>
      </c>
      <c r="DG1116" s="693">
        <f>SUMIFS(Imput[[Importe Neto]:[Importe Neto]],Imput[[C. Imp.]:[C. Imp.]],$D1116,Imput[[PERIODO Imp.]:[PERIODO Imp.]],DG$9)</f>
        <v>0</v>
      </c>
      <c r="DH1116" s="694">
        <f>SUMIFS(Imput[[Importe Neto]:[Importe Neto]],Imput[[C. Imp.]:[C. Imp.]],$D1116,Imput[[PERIODO Imp.]:[PERIODO Imp.]],DH$9)</f>
        <v>0</v>
      </c>
    </row>
    <row r="1117" spans="1:112" s="649" customFormat="1" hidden="1" outlineLevel="1" x14ac:dyDescent="0.3">
      <c r="A1117" s="652" t="str">
        <f t="shared" si="361"/>
        <v/>
      </c>
      <c r="B1117" s="652"/>
      <c r="C1117" s="685"/>
      <c r="D1117" s="686"/>
      <c r="E1117" s="728"/>
      <c r="F1117" s="720"/>
      <c r="G1117" s="688"/>
      <c r="H1117" s="696"/>
      <c r="I1117" s="851" t="str">
        <f t="shared" si="362"/>
        <v/>
      </c>
      <c r="J1117" s="850" t="str">
        <f t="shared" si="363"/>
        <v/>
      </c>
      <c r="K1117" s="678"/>
      <c r="L1117" s="858"/>
      <c r="M1117" s="859"/>
      <c r="N1117" s="859"/>
      <c r="O1117" s="859"/>
      <c r="P1117" s="859"/>
      <c r="Q1117" s="859"/>
      <c r="R1117" s="859"/>
      <c r="S1117" s="859"/>
      <c r="T1117" s="859"/>
      <c r="U1117" s="859"/>
      <c r="V1117" s="859"/>
      <c r="W1117" s="859"/>
      <c r="X1117" s="859"/>
      <c r="Y1117" s="859"/>
      <c r="Z1117" s="860"/>
      <c r="AA1117" s="860"/>
      <c r="AB1117" s="860"/>
      <c r="AC1117" s="860"/>
      <c r="AD1117" s="860"/>
      <c r="AE1117" s="860"/>
      <c r="AF1117" s="860"/>
      <c r="AG1117" s="860"/>
      <c r="AH1117" s="860"/>
      <c r="AI1117" s="860"/>
      <c r="AJ1117" s="860"/>
      <c r="AK1117" s="860"/>
      <c r="AL1117" s="860"/>
      <c r="AM1117" s="860"/>
      <c r="AN1117" s="860"/>
      <c r="AO1117" s="860"/>
      <c r="AP1117" s="860"/>
      <c r="AQ1117" s="860"/>
      <c r="AR1117" s="860"/>
      <c r="AS1117" s="860"/>
      <c r="AT1117" s="860"/>
      <c r="AU1117" s="860"/>
      <c r="AV1117" s="860"/>
      <c r="AW1117" s="860"/>
      <c r="AX1117" s="860"/>
      <c r="AY1117" s="860"/>
      <c r="AZ1117" s="860"/>
      <c r="BA1117" s="860"/>
      <c r="BB1117" s="860"/>
      <c r="BC1117" s="860"/>
      <c r="BD1117" s="860"/>
      <c r="BE1117" s="860"/>
      <c r="BF1117" s="860"/>
      <c r="BG1117" s="860"/>
      <c r="BH1117" s="668"/>
      <c r="BI1117" s="654"/>
      <c r="BJ1117" s="690">
        <f t="shared" si="364"/>
        <v>0</v>
      </c>
      <c r="BK1117" s="691">
        <f t="shared" si="365"/>
        <v>0</v>
      </c>
      <c r="BL1117" s="654"/>
      <c r="BM1117" s="692">
        <f>SUMIFS(Imput[[Importe Neto]:[Importe Neto]],Imput[[C. Imp.]:[C. Imp.]],$D1117,Imput[[PERIODO Imp.]:[PERIODO Imp.]],BM$9)</f>
        <v>0</v>
      </c>
      <c r="BN1117" s="693">
        <f>SUMIFS(Imput[[Importe Neto]:[Importe Neto]],Imput[[C. Imp.]:[C. Imp.]],$D1117,Imput[[PERIODO Imp.]:[PERIODO Imp.]],BN$9)</f>
        <v>0</v>
      </c>
      <c r="BO1117" s="693">
        <f>SUMIFS(Imput[[Importe Neto]:[Importe Neto]],Imput[[C. Imp.]:[C. Imp.]],$D1117,Imput[[PERIODO Imp.]:[PERIODO Imp.]],BO$9)</f>
        <v>0</v>
      </c>
      <c r="BP1117" s="693">
        <f>SUMIFS(Imput[[Importe Neto]:[Importe Neto]],Imput[[C. Imp.]:[C. Imp.]],$D1117,Imput[[PERIODO Imp.]:[PERIODO Imp.]],BP$9)</f>
        <v>0</v>
      </c>
      <c r="BQ1117" s="693">
        <f>SUMIFS(Imput[[Importe Neto]:[Importe Neto]],Imput[[C. Imp.]:[C. Imp.]],$D1117,Imput[[PERIODO Imp.]:[PERIODO Imp.]],BQ$9)</f>
        <v>0</v>
      </c>
      <c r="BR1117" s="693">
        <f>SUMIFS(Imput[[Importe Neto]:[Importe Neto]],Imput[[C. Imp.]:[C. Imp.]],$D1117,Imput[[PERIODO Imp.]:[PERIODO Imp.]],BR$9)</f>
        <v>0</v>
      </c>
      <c r="BS1117" s="693">
        <f>SUMIFS(Imput[[Importe Neto]:[Importe Neto]],Imput[[C. Imp.]:[C. Imp.]],$D1117,Imput[[PERIODO Imp.]:[PERIODO Imp.]],BS$9)</f>
        <v>0</v>
      </c>
      <c r="BT1117" s="693">
        <f>SUMIFS(Imput[[Importe Neto]:[Importe Neto]],Imput[[C. Imp.]:[C. Imp.]],$D1117,Imput[[PERIODO Imp.]:[PERIODO Imp.]],BT$9)</f>
        <v>0</v>
      </c>
      <c r="BU1117" s="693">
        <f>SUMIFS(Imput[[Importe Neto]:[Importe Neto]],Imput[[C. Imp.]:[C. Imp.]],$D1117,Imput[[PERIODO Imp.]:[PERIODO Imp.]],BU$9)</f>
        <v>0</v>
      </c>
      <c r="BV1117" s="693">
        <f>SUMIFS(Imput[[Importe Neto]:[Importe Neto]],Imput[[C. Imp.]:[C. Imp.]],$D1117,Imput[[PERIODO Imp.]:[PERIODO Imp.]],BV$9)</f>
        <v>0</v>
      </c>
      <c r="BW1117" s="693">
        <f>SUMIFS(Imput[[Importe Neto]:[Importe Neto]],Imput[[C. Imp.]:[C. Imp.]],$D1117,Imput[[PERIODO Imp.]:[PERIODO Imp.]],BW$9)</f>
        <v>0</v>
      </c>
      <c r="BX1117" s="693">
        <f>SUMIFS(Imput[[Importe Neto]:[Importe Neto]],Imput[[C. Imp.]:[C. Imp.]],$D1117,Imput[[PERIODO Imp.]:[PERIODO Imp.]],BX$9)</f>
        <v>0</v>
      </c>
      <c r="BY1117" s="693">
        <f>SUMIFS(Imput[[Importe Neto]:[Importe Neto]],Imput[[C. Imp.]:[C. Imp.]],$D1117,Imput[[PERIODO Imp.]:[PERIODO Imp.]],BY$9)</f>
        <v>0</v>
      </c>
      <c r="BZ1117" s="693">
        <f>SUMIFS(Imput[[Importe Neto]:[Importe Neto]],Imput[[C. Imp.]:[C. Imp.]],$D1117,Imput[[PERIODO Imp.]:[PERIODO Imp.]],BZ$9)</f>
        <v>0</v>
      </c>
      <c r="CA1117" s="693">
        <f>SUMIFS(Imput[[Importe Neto]:[Importe Neto]],Imput[[C. Imp.]:[C. Imp.]],$D1117,Imput[[PERIODO Imp.]:[PERIODO Imp.]],CA$9)</f>
        <v>0</v>
      </c>
      <c r="CB1117" s="693">
        <f>SUMIFS(Imput[[Importe Neto]:[Importe Neto]],Imput[[C. Imp.]:[C. Imp.]],$D1117,Imput[[PERIODO Imp.]:[PERIODO Imp.]],CB$9)</f>
        <v>0</v>
      </c>
      <c r="CC1117" s="693">
        <f>SUMIFS(Imput[[Importe Neto]:[Importe Neto]],Imput[[C. Imp.]:[C. Imp.]],$D1117,Imput[[PERIODO Imp.]:[PERIODO Imp.]],CC$9)</f>
        <v>0</v>
      </c>
      <c r="CD1117" s="693">
        <f>SUMIFS(Imput[[Importe Neto]:[Importe Neto]],Imput[[C. Imp.]:[C. Imp.]],$D1117,Imput[[PERIODO Imp.]:[PERIODO Imp.]],CD$9)</f>
        <v>0</v>
      </c>
      <c r="CE1117" s="693">
        <f>SUMIFS(Imput[[Importe Neto]:[Importe Neto]],Imput[[C. Imp.]:[C. Imp.]],$D1117,Imput[[PERIODO Imp.]:[PERIODO Imp.]],CE$9)</f>
        <v>0</v>
      </c>
      <c r="CF1117" s="693">
        <f>SUMIFS(Imput[[Importe Neto]:[Importe Neto]],Imput[[C. Imp.]:[C. Imp.]],$D1117,Imput[[PERIODO Imp.]:[PERIODO Imp.]],CF$9)</f>
        <v>0</v>
      </c>
      <c r="CG1117" s="693">
        <f>SUMIFS(Imput[[Importe Neto]:[Importe Neto]],Imput[[C. Imp.]:[C. Imp.]],$D1117,Imput[[PERIODO Imp.]:[PERIODO Imp.]],CG$9)</f>
        <v>0</v>
      </c>
      <c r="CH1117" s="693">
        <f>SUMIFS(Imput[[Importe Neto]:[Importe Neto]],Imput[[C. Imp.]:[C. Imp.]],$D1117,Imput[[PERIODO Imp.]:[PERIODO Imp.]],CH$9)</f>
        <v>0</v>
      </c>
      <c r="CI1117" s="693">
        <f>SUMIFS(Imput[[Importe Neto]:[Importe Neto]],Imput[[C. Imp.]:[C. Imp.]],$D1117,Imput[[PERIODO Imp.]:[PERIODO Imp.]],CI$9)</f>
        <v>0</v>
      </c>
      <c r="CJ1117" s="693">
        <f>SUMIFS(Imput[[Importe Neto]:[Importe Neto]],Imput[[C. Imp.]:[C. Imp.]],$D1117,Imput[[PERIODO Imp.]:[PERIODO Imp.]],CJ$9)</f>
        <v>0</v>
      </c>
      <c r="CK1117" s="693">
        <f>SUMIFS(Imput[[Importe Neto]:[Importe Neto]],Imput[[C. Imp.]:[C. Imp.]],$D1117,Imput[[PERIODO Imp.]:[PERIODO Imp.]],CK$9)</f>
        <v>0</v>
      </c>
      <c r="CL1117" s="693">
        <f>SUMIFS(Imput[[Importe Neto]:[Importe Neto]],Imput[[C. Imp.]:[C. Imp.]],$D1117,Imput[[PERIODO Imp.]:[PERIODO Imp.]],CL$9)</f>
        <v>0</v>
      </c>
      <c r="CM1117" s="693">
        <f>SUMIFS(Imput[[Importe Neto]:[Importe Neto]],Imput[[C. Imp.]:[C. Imp.]],$D1117,Imput[[PERIODO Imp.]:[PERIODO Imp.]],CM$9)</f>
        <v>0</v>
      </c>
      <c r="CN1117" s="693">
        <f>SUMIFS(Imput[[Importe Neto]:[Importe Neto]],Imput[[C. Imp.]:[C. Imp.]],$D1117,Imput[[PERIODO Imp.]:[PERIODO Imp.]],CN$9)</f>
        <v>0</v>
      </c>
      <c r="CO1117" s="693">
        <f>SUMIFS(Imput[[Importe Neto]:[Importe Neto]],Imput[[C. Imp.]:[C. Imp.]],$D1117,Imput[[PERIODO Imp.]:[PERIODO Imp.]],CO$9)</f>
        <v>0</v>
      </c>
      <c r="CP1117" s="693">
        <f>SUMIFS(Imput[[Importe Neto]:[Importe Neto]],Imput[[C. Imp.]:[C. Imp.]],$D1117,Imput[[PERIODO Imp.]:[PERIODO Imp.]],CP$9)</f>
        <v>0</v>
      </c>
      <c r="CQ1117" s="693">
        <f>SUMIFS(Imput[[Importe Neto]:[Importe Neto]],Imput[[C. Imp.]:[C. Imp.]],$D1117,Imput[[PERIODO Imp.]:[PERIODO Imp.]],CQ$9)</f>
        <v>0</v>
      </c>
      <c r="CR1117" s="693">
        <f>SUMIFS(Imput[[Importe Neto]:[Importe Neto]],Imput[[C. Imp.]:[C. Imp.]],$D1117,Imput[[PERIODO Imp.]:[PERIODO Imp.]],CR$9)</f>
        <v>0</v>
      </c>
      <c r="CS1117" s="693">
        <f>SUMIFS(Imput[[Importe Neto]:[Importe Neto]],Imput[[C. Imp.]:[C. Imp.]],$D1117,Imput[[PERIODO Imp.]:[PERIODO Imp.]],CS$9)</f>
        <v>0</v>
      </c>
      <c r="CT1117" s="693">
        <f>SUMIFS(Imput[[Importe Neto]:[Importe Neto]],Imput[[C. Imp.]:[C. Imp.]],$D1117,Imput[[PERIODO Imp.]:[PERIODO Imp.]],CT$9)</f>
        <v>0</v>
      </c>
      <c r="CU1117" s="693">
        <f>SUMIFS(Imput[[Importe Neto]:[Importe Neto]],Imput[[C. Imp.]:[C. Imp.]],$D1117,Imput[[PERIODO Imp.]:[PERIODO Imp.]],CU$9)</f>
        <v>0</v>
      </c>
      <c r="CV1117" s="693">
        <f>SUMIFS(Imput[[Importe Neto]:[Importe Neto]],Imput[[C. Imp.]:[C. Imp.]],$D1117,Imput[[PERIODO Imp.]:[PERIODO Imp.]],CV$9)</f>
        <v>0</v>
      </c>
      <c r="CW1117" s="693">
        <f>SUMIFS(Imput[[Importe Neto]:[Importe Neto]],Imput[[C. Imp.]:[C. Imp.]],$D1117,Imput[[PERIODO Imp.]:[PERIODO Imp.]],CW$9)</f>
        <v>0</v>
      </c>
      <c r="CX1117" s="693">
        <f>SUMIFS(Imput[[Importe Neto]:[Importe Neto]],Imput[[C. Imp.]:[C. Imp.]],$D1117,Imput[[PERIODO Imp.]:[PERIODO Imp.]],CX$9)</f>
        <v>0</v>
      </c>
      <c r="CY1117" s="693">
        <f>SUMIFS(Imput[[Importe Neto]:[Importe Neto]],Imput[[C. Imp.]:[C. Imp.]],$D1117,Imput[[PERIODO Imp.]:[PERIODO Imp.]],CY$9)</f>
        <v>0</v>
      </c>
      <c r="CZ1117" s="693">
        <f>SUMIFS(Imput[[Importe Neto]:[Importe Neto]],Imput[[C. Imp.]:[C. Imp.]],$D1117,Imput[[PERIODO Imp.]:[PERIODO Imp.]],CZ$9)</f>
        <v>0</v>
      </c>
      <c r="DA1117" s="693">
        <f>SUMIFS(Imput[[Importe Neto]:[Importe Neto]],Imput[[C. Imp.]:[C. Imp.]],$D1117,Imput[[PERIODO Imp.]:[PERIODO Imp.]],DA$9)</f>
        <v>0</v>
      </c>
      <c r="DB1117" s="693">
        <f>SUMIFS(Imput[[Importe Neto]:[Importe Neto]],Imput[[C. Imp.]:[C. Imp.]],$D1117,Imput[[PERIODO Imp.]:[PERIODO Imp.]],DB$9)</f>
        <v>0</v>
      </c>
      <c r="DC1117" s="693">
        <f>SUMIFS(Imput[[Importe Neto]:[Importe Neto]],Imput[[C. Imp.]:[C. Imp.]],$D1117,Imput[[PERIODO Imp.]:[PERIODO Imp.]],DC$9)</f>
        <v>0</v>
      </c>
      <c r="DD1117" s="693">
        <f>SUMIFS(Imput[[Importe Neto]:[Importe Neto]],Imput[[C. Imp.]:[C. Imp.]],$D1117,Imput[[PERIODO Imp.]:[PERIODO Imp.]],DD$9)</f>
        <v>0</v>
      </c>
      <c r="DE1117" s="693">
        <f>SUMIFS(Imput[[Importe Neto]:[Importe Neto]],Imput[[C. Imp.]:[C. Imp.]],$D1117,Imput[[PERIODO Imp.]:[PERIODO Imp.]],DE$9)</f>
        <v>0</v>
      </c>
      <c r="DF1117" s="693">
        <f>SUMIFS(Imput[[Importe Neto]:[Importe Neto]],Imput[[C. Imp.]:[C. Imp.]],$D1117,Imput[[PERIODO Imp.]:[PERIODO Imp.]],DF$9)</f>
        <v>0</v>
      </c>
      <c r="DG1117" s="693">
        <f>SUMIFS(Imput[[Importe Neto]:[Importe Neto]],Imput[[C. Imp.]:[C. Imp.]],$D1117,Imput[[PERIODO Imp.]:[PERIODO Imp.]],DG$9)</f>
        <v>0</v>
      </c>
      <c r="DH1117" s="694">
        <f>SUMIFS(Imput[[Importe Neto]:[Importe Neto]],Imput[[C. Imp.]:[C. Imp.]],$D1117,Imput[[PERIODO Imp.]:[PERIODO Imp.]],DH$9)</f>
        <v>0</v>
      </c>
    </row>
    <row r="1118" spans="1:112" s="649" customFormat="1" hidden="1" outlineLevel="1" x14ac:dyDescent="0.3">
      <c r="A1118" s="652" t="str">
        <f t="shared" si="361"/>
        <v/>
      </c>
      <c r="B1118" s="652"/>
      <c r="C1118" s="685"/>
      <c r="D1118" s="686"/>
      <c r="E1118" s="728"/>
      <c r="F1118" s="720"/>
      <c r="G1118" s="688"/>
      <c r="H1118" s="696"/>
      <c r="I1118" s="851" t="str">
        <f t="shared" si="362"/>
        <v/>
      </c>
      <c r="J1118" s="850" t="str">
        <f t="shared" si="363"/>
        <v/>
      </c>
      <c r="K1118" s="667"/>
      <c r="L1118" s="858"/>
      <c r="M1118" s="859"/>
      <c r="N1118" s="859"/>
      <c r="O1118" s="859"/>
      <c r="P1118" s="859"/>
      <c r="Q1118" s="859"/>
      <c r="R1118" s="859"/>
      <c r="S1118" s="859"/>
      <c r="T1118" s="859"/>
      <c r="U1118" s="859"/>
      <c r="V1118" s="859"/>
      <c r="W1118" s="859"/>
      <c r="X1118" s="859"/>
      <c r="Y1118" s="859"/>
      <c r="Z1118" s="860"/>
      <c r="AA1118" s="860"/>
      <c r="AB1118" s="860"/>
      <c r="AC1118" s="860"/>
      <c r="AD1118" s="860"/>
      <c r="AE1118" s="860"/>
      <c r="AF1118" s="860"/>
      <c r="AG1118" s="860"/>
      <c r="AH1118" s="860"/>
      <c r="AI1118" s="860"/>
      <c r="AJ1118" s="860"/>
      <c r="AK1118" s="860"/>
      <c r="AL1118" s="860"/>
      <c r="AM1118" s="860"/>
      <c r="AN1118" s="860"/>
      <c r="AO1118" s="860"/>
      <c r="AP1118" s="860"/>
      <c r="AQ1118" s="860"/>
      <c r="AR1118" s="860"/>
      <c r="AS1118" s="860"/>
      <c r="AT1118" s="860"/>
      <c r="AU1118" s="860"/>
      <c r="AV1118" s="860"/>
      <c r="AW1118" s="860"/>
      <c r="AX1118" s="860"/>
      <c r="AY1118" s="860"/>
      <c r="AZ1118" s="860"/>
      <c r="BA1118" s="860"/>
      <c r="BB1118" s="860"/>
      <c r="BC1118" s="860"/>
      <c r="BD1118" s="860"/>
      <c r="BE1118" s="860"/>
      <c r="BF1118" s="860"/>
      <c r="BG1118" s="860"/>
      <c r="BH1118" s="668"/>
      <c r="BI1118" s="654"/>
      <c r="BJ1118" s="690">
        <f t="shared" si="364"/>
        <v>0</v>
      </c>
      <c r="BK1118" s="691">
        <f t="shared" si="365"/>
        <v>0</v>
      </c>
      <c r="BL1118" s="654"/>
      <c r="BM1118" s="697">
        <f>SUMIFS(Imput[[Importe Neto]:[Importe Neto]],Imput[[C. Imp.]:[C. Imp.]],$D1118,Imput[[PERIODO Imp.]:[PERIODO Imp.]],BM$9)</f>
        <v>0</v>
      </c>
      <c r="BN1118" s="698">
        <f>SUMIFS(Imput[[Importe Neto]:[Importe Neto]],Imput[[C. Imp.]:[C. Imp.]],$D1118,Imput[[PERIODO Imp.]:[PERIODO Imp.]],BN$9)</f>
        <v>0</v>
      </c>
      <c r="BO1118" s="698">
        <f>SUMIFS(Imput[[Importe Neto]:[Importe Neto]],Imput[[C. Imp.]:[C. Imp.]],$D1118,Imput[[PERIODO Imp.]:[PERIODO Imp.]],BO$9)</f>
        <v>0</v>
      </c>
      <c r="BP1118" s="698">
        <f>SUMIFS(Imput[[Importe Neto]:[Importe Neto]],Imput[[C. Imp.]:[C. Imp.]],$D1118,Imput[[PERIODO Imp.]:[PERIODO Imp.]],BP$9)</f>
        <v>0</v>
      </c>
      <c r="BQ1118" s="698">
        <f>SUMIFS(Imput[[Importe Neto]:[Importe Neto]],Imput[[C. Imp.]:[C. Imp.]],$D1118,Imput[[PERIODO Imp.]:[PERIODO Imp.]],BQ$9)</f>
        <v>0</v>
      </c>
      <c r="BR1118" s="698">
        <f>SUMIFS(Imput[[Importe Neto]:[Importe Neto]],Imput[[C. Imp.]:[C. Imp.]],$D1118,Imput[[PERIODO Imp.]:[PERIODO Imp.]],BR$9)</f>
        <v>0</v>
      </c>
      <c r="BS1118" s="698">
        <f>SUMIFS(Imput[[Importe Neto]:[Importe Neto]],Imput[[C. Imp.]:[C. Imp.]],$D1118,Imput[[PERIODO Imp.]:[PERIODO Imp.]],BS$9)</f>
        <v>0</v>
      </c>
      <c r="BT1118" s="698">
        <f>SUMIFS(Imput[[Importe Neto]:[Importe Neto]],Imput[[C. Imp.]:[C. Imp.]],$D1118,Imput[[PERIODO Imp.]:[PERIODO Imp.]],BT$9)</f>
        <v>0</v>
      </c>
      <c r="BU1118" s="698">
        <f>SUMIFS(Imput[[Importe Neto]:[Importe Neto]],Imput[[C. Imp.]:[C. Imp.]],$D1118,Imput[[PERIODO Imp.]:[PERIODO Imp.]],BU$9)</f>
        <v>0</v>
      </c>
      <c r="BV1118" s="698">
        <f>SUMIFS(Imput[[Importe Neto]:[Importe Neto]],Imput[[C. Imp.]:[C. Imp.]],$D1118,Imput[[PERIODO Imp.]:[PERIODO Imp.]],BV$9)</f>
        <v>0</v>
      </c>
      <c r="BW1118" s="698">
        <f>SUMIFS(Imput[[Importe Neto]:[Importe Neto]],Imput[[C. Imp.]:[C. Imp.]],$D1118,Imput[[PERIODO Imp.]:[PERIODO Imp.]],BW$9)</f>
        <v>0</v>
      </c>
      <c r="BX1118" s="698">
        <f>SUMIFS(Imput[[Importe Neto]:[Importe Neto]],Imput[[C. Imp.]:[C. Imp.]],$D1118,Imput[[PERIODO Imp.]:[PERIODO Imp.]],BX$9)</f>
        <v>0</v>
      </c>
      <c r="BY1118" s="698">
        <f>SUMIFS(Imput[[Importe Neto]:[Importe Neto]],Imput[[C. Imp.]:[C. Imp.]],$D1118,Imput[[PERIODO Imp.]:[PERIODO Imp.]],BY$9)</f>
        <v>0</v>
      </c>
      <c r="BZ1118" s="698">
        <f>SUMIFS(Imput[[Importe Neto]:[Importe Neto]],Imput[[C. Imp.]:[C. Imp.]],$D1118,Imput[[PERIODO Imp.]:[PERIODO Imp.]],BZ$9)</f>
        <v>0</v>
      </c>
      <c r="CA1118" s="698">
        <f>SUMIFS(Imput[[Importe Neto]:[Importe Neto]],Imput[[C. Imp.]:[C. Imp.]],$D1118,Imput[[PERIODO Imp.]:[PERIODO Imp.]],CA$9)</f>
        <v>0</v>
      </c>
      <c r="CB1118" s="698">
        <f>SUMIFS(Imput[[Importe Neto]:[Importe Neto]],Imput[[C. Imp.]:[C. Imp.]],$D1118,Imput[[PERIODO Imp.]:[PERIODO Imp.]],CB$9)</f>
        <v>0</v>
      </c>
      <c r="CC1118" s="698">
        <f>SUMIFS(Imput[[Importe Neto]:[Importe Neto]],Imput[[C. Imp.]:[C. Imp.]],$D1118,Imput[[PERIODO Imp.]:[PERIODO Imp.]],CC$9)</f>
        <v>0</v>
      </c>
      <c r="CD1118" s="698">
        <f>SUMIFS(Imput[[Importe Neto]:[Importe Neto]],Imput[[C. Imp.]:[C. Imp.]],$D1118,Imput[[PERIODO Imp.]:[PERIODO Imp.]],CD$9)</f>
        <v>0</v>
      </c>
      <c r="CE1118" s="698">
        <f>SUMIFS(Imput[[Importe Neto]:[Importe Neto]],Imput[[C. Imp.]:[C. Imp.]],$D1118,Imput[[PERIODO Imp.]:[PERIODO Imp.]],CE$9)</f>
        <v>0</v>
      </c>
      <c r="CF1118" s="698">
        <f>SUMIFS(Imput[[Importe Neto]:[Importe Neto]],Imput[[C. Imp.]:[C. Imp.]],$D1118,Imput[[PERIODO Imp.]:[PERIODO Imp.]],CF$9)</f>
        <v>0</v>
      </c>
      <c r="CG1118" s="698">
        <f>SUMIFS(Imput[[Importe Neto]:[Importe Neto]],Imput[[C. Imp.]:[C. Imp.]],$D1118,Imput[[PERIODO Imp.]:[PERIODO Imp.]],CG$9)</f>
        <v>0</v>
      </c>
      <c r="CH1118" s="698">
        <f>SUMIFS(Imput[[Importe Neto]:[Importe Neto]],Imput[[C. Imp.]:[C. Imp.]],$D1118,Imput[[PERIODO Imp.]:[PERIODO Imp.]],CH$9)</f>
        <v>0</v>
      </c>
      <c r="CI1118" s="698">
        <f>SUMIFS(Imput[[Importe Neto]:[Importe Neto]],Imput[[C. Imp.]:[C. Imp.]],$D1118,Imput[[PERIODO Imp.]:[PERIODO Imp.]],CI$9)</f>
        <v>0</v>
      </c>
      <c r="CJ1118" s="698">
        <f>SUMIFS(Imput[[Importe Neto]:[Importe Neto]],Imput[[C. Imp.]:[C. Imp.]],$D1118,Imput[[PERIODO Imp.]:[PERIODO Imp.]],CJ$9)</f>
        <v>0</v>
      </c>
      <c r="CK1118" s="698">
        <f>SUMIFS(Imput[[Importe Neto]:[Importe Neto]],Imput[[C. Imp.]:[C. Imp.]],$D1118,Imput[[PERIODO Imp.]:[PERIODO Imp.]],CK$9)</f>
        <v>0</v>
      </c>
      <c r="CL1118" s="698">
        <f>SUMIFS(Imput[[Importe Neto]:[Importe Neto]],Imput[[C. Imp.]:[C. Imp.]],$D1118,Imput[[PERIODO Imp.]:[PERIODO Imp.]],CL$9)</f>
        <v>0</v>
      </c>
      <c r="CM1118" s="698">
        <f>SUMIFS(Imput[[Importe Neto]:[Importe Neto]],Imput[[C. Imp.]:[C. Imp.]],$D1118,Imput[[PERIODO Imp.]:[PERIODO Imp.]],CM$9)</f>
        <v>0</v>
      </c>
      <c r="CN1118" s="698">
        <f>SUMIFS(Imput[[Importe Neto]:[Importe Neto]],Imput[[C. Imp.]:[C. Imp.]],$D1118,Imput[[PERIODO Imp.]:[PERIODO Imp.]],CN$9)</f>
        <v>0</v>
      </c>
      <c r="CO1118" s="698">
        <f>SUMIFS(Imput[[Importe Neto]:[Importe Neto]],Imput[[C. Imp.]:[C. Imp.]],$D1118,Imput[[PERIODO Imp.]:[PERIODO Imp.]],CO$9)</f>
        <v>0</v>
      </c>
      <c r="CP1118" s="698">
        <f>SUMIFS(Imput[[Importe Neto]:[Importe Neto]],Imput[[C. Imp.]:[C. Imp.]],$D1118,Imput[[PERIODO Imp.]:[PERIODO Imp.]],CP$9)</f>
        <v>0</v>
      </c>
      <c r="CQ1118" s="698">
        <f>SUMIFS(Imput[[Importe Neto]:[Importe Neto]],Imput[[C. Imp.]:[C. Imp.]],$D1118,Imput[[PERIODO Imp.]:[PERIODO Imp.]],CQ$9)</f>
        <v>0</v>
      </c>
      <c r="CR1118" s="698">
        <f>SUMIFS(Imput[[Importe Neto]:[Importe Neto]],Imput[[C. Imp.]:[C. Imp.]],$D1118,Imput[[PERIODO Imp.]:[PERIODO Imp.]],CR$9)</f>
        <v>0</v>
      </c>
      <c r="CS1118" s="698">
        <f>SUMIFS(Imput[[Importe Neto]:[Importe Neto]],Imput[[C. Imp.]:[C. Imp.]],$D1118,Imput[[PERIODO Imp.]:[PERIODO Imp.]],CS$9)</f>
        <v>0</v>
      </c>
      <c r="CT1118" s="698">
        <f>SUMIFS(Imput[[Importe Neto]:[Importe Neto]],Imput[[C. Imp.]:[C. Imp.]],$D1118,Imput[[PERIODO Imp.]:[PERIODO Imp.]],CT$9)</f>
        <v>0</v>
      </c>
      <c r="CU1118" s="698">
        <f>SUMIFS(Imput[[Importe Neto]:[Importe Neto]],Imput[[C. Imp.]:[C. Imp.]],$D1118,Imput[[PERIODO Imp.]:[PERIODO Imp.]],CU$9)</f>
        <v>0</v>
      </c>
      <c r="CV1118" s="698">
        <f>SUMIFS(Imput[[Importe Neto]:[Importe Neto]],Imput[[C. Imp.]:[C. Imp.]],$D1118,Imput[[PERIODO Imp.]:[PERIODO Imp.]],CV$9)</f>
        <v>0</v>
      </c>
      <c r="CW1118" s="698">
        <f>SUMIFS(Imput[[Importe Neto]:[Importe Neto]],Imput[[C. Imp.]:[C. Imp.]],$D1118,Imput[[PERIODO Imp.]:[PERIODO Imp.]],CW$9)</f>
        <v>0</v>
      </c>
      <c r="CX1118" s="698">
        <f>SUMIFS(Imput[[Importe Neto]:[Importe Neto]],Imput[[C. Imp.]:[C. Imp.]],$D1118,Imput[[PERIODO Imp.]:[PERIODO Imp.]],CX$9)</f>
        <v>0</v>
      </c>
      <c r="CY1118" s="698">
        <f>SUMIFS(Imput[[Importe Neto]:[Importe Neto]],Imput[[C. Imp.]:[C. Imp.]],$D1118,Imput[[PERIODO Imp.]:[PERIODO Imp.]],CY$9)</f>
        <v>0</v>
      </c>
      <c r="CZ1118" s="698">
        <f>SUMIFS(Imput[[Importe Neto]:[Importe Neto]],Imput[[C. Imp.]:[C. Imp.]],$D1118,Imput[[PERIODO Imp.]:[PERIODO Imp.]],CZ$9)</f>
        <v>0</v>
      </c>
      <c r="DA1118" s="698">
        <f>SUMIFS(Imput[[Importe Neto]:[Importe Neto]],Imput[[C. Imp.]:[C. Imp.]],$D1118,Imput[[PERIODO Imp.]:[PERIODO Imp.]],DA$9)</f>
        <v>0</v>
      </c>
      <c r="DB1118" s="698">
        <f>SUMIFS(Imput[[Importe Neto]:[Importe Neto]],Imput[[C. Imp.]:[C. Imp.]],$D1118,Imput[[PERIODO Imp.]:[PERIODO Imp.]],DB$9)</f>
        <v>0</v>
      </c>
      <c r="DC1118" s="698">
        <f>SUMIFS(Imput[[Importe Neto]:[Importe Neto]],Imput[[C. Imp.]:[C. Imp.]],$D1118,Imput[[PERIODO Imp.]:[PERIODO Imp.]],DC$9)</f>
        <v>0</v>
      </c>
      <c r="DD1118" s="698">
        <f>SUMIFS(Imput[[Importe Neto]:[Importe Neto]],Imput[[C. Imp.]:[C. Imp.]],$D1118,Imput[[PERIODO Imp.]:[PERIODO Imp.]],DD$9)</f>
        <v>0</v>
      </c>
      <c r="DE1118" s="698">
        <f>SUMIFS(Imput[[Importe Neto]:[Importe Neto]],Imput[[C. Imp.]:[C. Imp.]],$D1118,Imput[[PERIODO Imp.]:[PERIODO Imp.]],DE$9)</f>
        <v>0</v>
      </c>
      <c r="DF1118" s="698">
        <f>SUMIFS(Imput[[Importe Neto]:[Importe Neto]],Imput[[C. Imp.]:[C. Imp.]],$D1118,Imput[[PERIODO Imp.]:[PERIODO Imp.]],DF$9)</f>
        <v>0</v>
      </c>
      <c r="DG1118" s="698">
        <f>SUMIFS(Imput[[Importe Neto]:[Importe Neto]],Imput[[C. Imp.]:[C. Imp.]],$D1118,Imput[[PERIODO Imp.]:[PERIODO Imp.]],DG$9)</f>
        <v>0</v>
      </c>
      <c r="DH1118" s="795">
        <f>SUMIFS(Imput[[Importe Neto]:[Importe Neto]],Imput[[C. Imp.]:[C. Imp.]],$D1118,Imput[[PERIODO Imp.]:[PERIODO Imp.]],DH$9)</f>
        <v>0</v>
      </c>
    </row>
    <row r="1119" spans="1:112" s="649" customFormat="1" ht="14.4" hidden="1" outlineLevel="1" thickBot="1" x14ac:dyDescent="0.35">
      <c r="A1119" s="652" t="str">
        <f>IF(J1067&gt;0,"Imprimir","")</f>
        <v/>
      </c>
      <c r="B1119" s="652"/>
      <c r="C1119" s="699"/>
      <c r="D1119" s="700"/>
      <c r="E1119" s="700"/>
      <c r="F1119" s="701"/>
      <c r="G1119" s="702"/>
      <c r="H1119" s="703"/>
      <c r="I1119" s="704"/>
      <c r="J1119" s="705"/>
      <c r="K1119" s="667"/>
      <c r="L1119" s="706"/>
      <c r="M1119" s="707"/>
      <c r="N1119" s="777"/>
      <c r="O1119" s="777"/>
      <c r="P1119" s="778"/>
      <c r="Q1119" s="778"/>
      <c r="R1119" s="708"/>
      <c r="S1119" s="708"/>
      <c r="T1119" s="779"/>
      <c r="U1119" s="779"/>
      <c r="V1119" s="778"/>
      <c r="W1119" s="778"/>
      <c r="X1119" s="708"/>
      <c r="Y1119" s="708"/>
      <c r="Z1119" s="708"/>
      <c r="AA1119" s="708"/>
      <c r="AB1119" s="708"/>
      <c r="AC1119" s="708"/>
      <c r="AD1119" s="708"/>
      <c r="AE1119" s="708"/>
      <c r="AF1119" s="708"/>
      <c r="AG1119" s="708"/>
      <c r="AH1119" s="708"/>
      <c r="AI1119" s="708"/>
      <c r="AJ1119" s="708"/>
      <c r="AK1119" s="708"/>
      <c r="AL1119" s="708"/>
      <c r="AM1119" s="708"/>
      <c r="AN1119" s="708"/>
      <c r="AO1119" s="708"/>
      <c r="AP1119" s="708"/>
      <c r="AQ1119" s="708"/>
      <c r="AR1119" s="708"/>
      <c r="AS1119" s="708"/>
      <c r="AT1119" s="708"/>
      <c r="AU1119" s="708"/>
      <c r="AV1119" s="708"/>
      <c r="AW1119" s="708"/>
      <c r="AX1119" s="708"/>
      <c r="AY1119" s="708"/>
      <c r="AZ1119" s="708"/>
      <c r="BA1119" s="708"/>
      <c r="BB1119" s="708"/>
      <c r="BC1119" s="708"/>
      <c r="BD1119" s="708"/>
      <c r="BE1119" s="708"/>
      <c r="BF1119" s="708"/>
      <c r="BG1119" s="708"/>
      <c r="BH1119" s="780"/>
      <c r="BI1119" s="654"/>
      <c r="BJ1119" s="709"/>
      <c r="BK1119" s="710"/>
      <c r="BL1119" s="654"/>
      <c r="BM1119" s="731"/>
      <c r="BN1119" s="701"/>
      <c r="BO1119" s="701"/>
      <c r="BP1119" s="701"/>
      <c r="BQ1119" s="701"/>
      <c r="BR1119" s="701"/>
      <c r="BS1119" s="701"/>
      <c r="BT1119" s="701"/>
      <c r="BU1119" s="701"/>
      <c r="BV1119" s="701"/>
      <c r="BW1119" s="701"/>
      <c r="BX1119" s="701"/>
      <c r="BY1119" s="701"/>
      <c r="BZ1119" s="701"/>
      <c r="CA1119" s="701"/>
      <c r="CB1119" s="701"/>
      <c r="CC1119" s="701"/>
      <c r="CD1119" s="701"/>
      <c r="CE1119" s="701"/>
      <c r="CF1119" s="701"/>
      <c r="CG1119" s="701"/>
      <c r="CH1119" s="701"/>
      <c r="CI1119" s="701"/>
      <c r="CJ1119" s="701"/>
      <c r="CK1119" s="701"/>
      <c r="CL1119" s="701"/>
      <c r="CM1119" s="701"/>
      <c r="CN1119" s="701"/>
      <c r="CO1119" s="701"/>
      <c r="CP1119" s="701"/>
      <c r="CQ1119" s="701"/>
      <c r="CR1119" s="701"/>
      <c r="CS1119" s="701"/>
      <c r="CT1119" s="701"/>
      <c r="CU1119" s="701"/>
      <c r="CV1119" s="701"/>
      <c r="CW1119" s="701"/>
      <c r="CX1119" s="701"/>
      <c r="CY1119" s="701"/>
      <c r="CZ1119" s="701"/>
      <c r="DA1119" s="701"/>
      <c r="DB1119" s="701"/>
      <c r="DC1119" s="701"/>
      <c r="DD1119" s="701"/>
      <c r="DE1119" s="701"/>
      <c r="DF1119" s="701"/>
      <c r="DG1119" s="701"/>
      <c r="DH1119" s="710"/>
    </row>
    <row r="1120" spans="1:112" s="649" customFormat="1" hidden="1" collapsed="1" x14ac:dyDescent="0.3">
      <c r="A1120" s="652" t="str">
        <f>IF(J1120&gt;0,"Imprimir","")</f>
        <v/>
      </c>
      <c r="B1120" s="652"/>
      <c r="C1120" s="711"/>
      <c r="D1120" s="712" t="s">
        <v>452</v>
      </c>
      <c r="E1120" s="712" t="s">
        <v>505</v>
      </c>
      <c r="F1120" s="712"/>
      <c r="G1120" s="713"/>
      <c r="H1120" s="712"/>
      <c r="I1120" s="714"/>
      <c r="J1120" s="715">
        <f>SUBTOTAL(9,J1123:J1132)</f>
        <v>0</v>
      </c>
      <c r="K1120" s="658"/>
      <c r="L1120" s="770">
        <f t="shared" ref="L1120:BG1120" si="366">SUMPRODUCT($J1123:$J1132,L1123:L1132)</f>
        <v>0</v>
      </c>
      <c r="M1120" s="771">
        <f t="shared" si="366"/>
        <v>0</v>
      </c>
      <c r="N1120" s="771">
        <f t="shared" si="366"/>
        <v>0</v>
      </c>
      <c r="O1120" s="771">
        <f t="shared" si="366"/>
        <v>0</v>
      </c>
      <c r="P1120" s="771">
        <f t="shared" si="366"/>
        <v>0</v>
      </c>
      <c r="Q1120" s="771">
        <f t="shared" si="366"/>
        <v>0</v>
      </c>
      <c r="R1120" s="771">
        <f t="shared" si="366"/>
        <v>0</v>
      </c>
      <c r="S1120" s="771">
        <f t="shared" si="366"/>
        <v>0</v>
      </c>
      <c r="T1120" s="771">
        <f t="shared" si="366"/>
        <v>0</v>
      </c>
      <c r="U1120" s="771">
        <f t="shared" si="366"/>
        <v>0</v>
      </c>
      <c r="V1120" s="771">
        <f t="shared" si="366"/>
        <v>0</v>
      </c>
      <c r="W1120" s="771">
        <f t="shared" si="366"/>
        <v>0</v>
      </c>
      <c r="X1120" s="771">
        <f t="shared" si="366"/>
        <v>0</v>
      </c>
      <c r="Y1120" s="771">
        <f t="shared" si="366"/>
        <v>0</v>
      </c>
      <c r="Z1120" s="771">
        <f t="shared" si="366"/>
        <v>0</v>
      </c>
      <c r="AA1120" s="771">
        <f t="shared" si="366"/>
        <v>0</v>
      </c>
      <c r="AB1120" s="771">
        <f t="shared" si="366"/>
        <v>0</v>
      </c>
      <c r="AC1120" s="771">
        <f t="shared" si="366"/>
        <v>0</v>
      </c>
      <c r="AD1120" s="771">
        <f t="shared" si="366"/>
        <v>0</v>
      </c>
      <c r="AE1120" s="771">
        <f t="shared" si="366"/>
        <v>0</v>
      </c>
      <c r="AF1120" s="771">
        <f t="shared" si="366"/>
        <v>0</v>
      </c>
      <c r="AG1120" s="771">
        <f t="shared" si="366"/>
        <v>0</v>
      </c>
      <c r="AH1120" s="771">
        <f t="shared" si="366"/>
        <v>0</v>
      </c>
      <c r="AI1120" s="771">
        <f t="shared" si="366"/>
        <v>0</v>
      </c>
      <c r="AJ1120" s="771">
        <f t="shared" si="366"/>
        <v>0</v>
      </c>
      <c r="AK1120" s="771">
        <f t="shared" si="366"/>
        <v>0</v>
      </c>
      <c r="AL1120" s="771">
        <f t="shared" si="366"/>
        <v>0</v>
      </c>
      <c r="AM1120" s="771">
        <f t="shared" si="366"/>
        <v>0</v>
      </c>
      <c r="AN1120" s="771">
        <f t="shared" si="366"/>
        <v>0</v>
      </c>
      <c r="AO1120" s="771">
        <f t="shared" si="366"/>
        <v>0</v>
      </c>
      <c r="AP1120" s="771">
        <f t="shared" si="366"/>
        <v>0</v>
      </c>
      <c r="AQ1120" s="771">
        <f t="shared" si="366"/>
        <v>0</v>
      </c>
      <c r="AR1120" s="771">
        <f t="shared" si="366"/>
        <v>0</v>
      </c>
      <c r="AS1120" s="771">
        <f t="shared" si="366"/>
        <v>0</v>
      </c>
      <c r="AT1120" s="771">
        <f t="shared" si="366"/>
        <v>0</v>
      </c>
      <c r="AU1120" s="771">
        <f t="shared" si="366"/>
        <v>0</v>
      </c>
      <c r="AV1120" s="771">
        <f t="shared" si="366"/>
        <v>0</v>
      </c>
      <c r="AW1120" s="771">
        <f t="shared" si="366"/>
        <v>0</v>
      </c>
      <c r="AX1120" s="771">
        <f t="shared" si="366"/>
        <v>0</v>
      </c>
      <c r="AY1120" s="771">
        <f t="shared" si="366"/>
        <v>0</v>
      </c>
      <c r="AZ1120" s="771">
        <f t="shared" si="366"/>
        <v>0</v>
      </c>
      <c r="BA1120" s="771">
        <f t="shared" si="366"/>
        <v>0</v>
      </c>
      <c r="BB1120" s="771">
        <f t="shared" si="366"/>
        <v>0</v>
      </c>
      <c r="BC1120" s="771">
        <f t="shared" si="366"/>
        <v>0</v>
      </c>
      <c r="BD1120" s="771">
        <f t="shared" si="366"/>
        <v>0</v>
      </c>
      <c r="BE1120" s="771">
        <f t="shared" si="366"/>
        <v>0</v>
      </c>
      <c r="BF1120" s="771">
        <f t="shared" si="366"/>
        <v>0</v>
      </c>
      <c r="BG1120" s="764">
        <f t="shared" si="366"/>
        <v>0</v>
      </c>
      <c r="BH1120" s="776"/>
      <c r="BI1120" s="654"/>
      <c r="BJ1120" s="659">
        <f>IFERROR(BK1120/J1120,0)</f>
        <v>0</v>
      </c>
      <c r="BK1120" s="660">
        <f>SUBTOTAL(9,BK1121:BK1132)</f>
        <v>0</v>
      </c>
      <c r="BL1120" s="654"/>
      <c r="BM1120" s="661">
        <f t="shared" ref="BM1120:DH1120" si="367">SUBTOTAL(9,BM1121:BM1132)</f>
        <v>0</v>
      </c>
      <c r="BN1120" s="662">
        <f t="shared" si="367"/>
        <v>0</v>
      </c>
      <c r="BO1120" s="662">
        <f t="shared" si="367"/>
        <v>0</v>
      </c>
      <c r="BP1120" s="662">
        <f t="shared" si="367"/>
        <v>0</v>
      </c>
      <c r="BQ1120" s="662">
        <f t="shared" si="367"/>
        <v>0</v>
      </c>
      <c r="BR1120" s="662">
        <f t="shared" si="367"/>
        <v>0</v>
      </c>
      <c r="BS1120" s="662">
        <f t="shared" si="367"/>
        <v>0</v>
      </c>
      <c r="BT1120" s="662">
        <f t="shared" si="367"/>
        <v>0</v>
      </c>
      <c r="BU1120" s="662">
        <f t="shared" si="367"/>
        <v>0</v>
      </c>
      <c r="BV1120" s="662">
        <f t="shared" si="367"/>
        <v>0</v>
      </c>
      <c r="BW1120" s="662">
        <f t="shared" si="367"/>
        <v>0</v>
      </c>
      <c r="BX1120" s="662">
        <f t="shared" si="367"/>
        <v>0</v>
      </c>
      <c r="BY1120" s="662">
        <f t="shared" si="367"/>
        <v>0</v>
      </c>
      <c r="BZ1120" s="662">
        <f t="shared" si="367"/>
        <v>0</v>
      </c>
      <c r="CA1120" s="662">
        <f t="shared" si="367"/>
        <v>0</v>
      </c>
      <c r="CB1120" s="662">
        <f t="shared" si="367"/>
        <v>0</v>
      </c>
      <c r="CC1120" s="662">
        <f t="shared" si="367"/>
        <v>0</v>
      </c>
      <c r="CD1120" s="662">
        <f t="shared" si="367"/>
        <v>0</v>
      </c>
      <c r="CE1120" s="662">
        <f t="shared" si="367"/>
        <v>0</v>
      </c>
      <c r="CF1120" s="662">
        <f t="shared" si="367"/>
        <v>0</v>
      </c>
      <c r="CG1120" s="662">
        <f t="shared" si="367"/>
        <v>0</v>
      </c>
      <c r="CH1120" s="662">
        <f t="shared" si="367"/>
        <v>0</v>
      </c>
      <c r="CI1120" s="662">
        <f t="shared" si="367"/>
        <v>0</v>
      </c>
      <c r="CJ1120" s="662">
        <f t="shared" si="367"/>
        <v>0</v>
      </c>
      <c r="CK1120" s="662">
        <f t="shared" si="367"/>
        <v>0</v>
      </c>
      <c r="CL1120" s="662">
        <f t="shared" si="367"/>
        <v>0</v>
      </c>
      <c r="CM1120" s="662">
        <f t="shared" si="367"/>
        <v>0</v>
      </c>
      <c r="CN1120" s="662">
        <f t="shared" si="367"/>
        <v>0</v>
      </c>
      <c r="CO1120" s="662">
        <f t="shared" si="367"/>
        <v>0</v>
      </c>
      <c r="CP1120" s="662">
        <f t="shared" si="367"/>
        <v>0</v>
      </c>
      <c r="CQ1120" s="662">
        <f t="shared" si="367"/>
        <v>0</v>
      </c>
      <c r="CR1120" s="662">
        <f t="shared" si="367"/>
        <v>0</v>
      </c>
      <c r="CS1120" s="662">
        <f t="shared" si="367"/>
        <v>0</v>
      </c>
      <c r="CT1120" s="662">
        <f t="shared" si="367"/>
        <v>0</v>
      </c>
      <c r="CU1120" s="662">
        <f t="shared" si="367"/>
        <v>0</v>
      </c>
      <c r="CV1120" s="662">
        <f t="shared" si="367"/>
        <v>0</v>
      </c>
      <c r="CW1120" s="662">
        <f t="shared" si="367"/>
        <v>0</v>
      </c>
      <c r="CX1120" s="662">
        <f t="shared" si="367"/>
        <v>0</v>
      </c>
      <c r="CY1120" s="662">
        <f t="shared" si="367"/>
        <v>0</v>
      </c>
      <c r="CZ1120" s="662">
        <f t="shared" si="367"/>
        <v>0</v>
      </c>
      <c r="DA1120" s="662">
        <f t="shared" si="367"/>
        <v>0</v>
      </c>
      <c r="DB1120" s="662">
        <f t="shared" si="367"/>
        <v>0</v>
      </c>
      <c r="DC1120" s="662">
        <f t="shared" si="367"/>
        <v>0</v>
      </c>
      <c r="DD1120" s="662">
        <f t="shared" si="367"/>
        <v>0</v>
      </c>
      <c r="DE1120" s="662">
        <f t="shared" si="367"/>
        <v>0</v>
      </c>
      <c r="DF1120" s="662">
        <f t="shared" si="367"/>
        <v>0</v>
      </c>
      <c r="DG1120" s="662">
        <f t="shared" si="367"/>
        <v>0</v>
      </c>
      <c r="DH1120" s="663">
        <f t="shared" si="367"/>
        <v>0</v>
      </c>
    </row>
    <row r="1121" spans="1:112" s="650" customFormat="1" hidden="1" outlineLevel="1" x14ac:dyDescent="0.3">
      <c r="A1121" s="652" t="str">
        <f>IF(J1120&gt;0,"Imprimir","")</f>
        <v/>
      </c>
      <c r="B1121" s="722"/>
      <c r="C1121" s="664"/>
      <c r="D1121" s="665"/>
      <c r="E1121" s="665"/>
      <c r="F1121" s="665" t="s">
        <v>472</v>
      </c>
      <c r="G1121" s="716" t="s">
        <v>2128</v>
      </c>
      <c r="H1121" s="665" t="s">
        <v>98</v>
      </c>
      <c r="I1121" s="665" t="s">
        <v>474</v>
      </c>
      <c r="J1121" s="666" t="s">
        <v>29</v>
      </c>
      <c r="K1121" s="723"/>
      <c r="L1121" s="745"/>
      <c r="M1121" s="741"/>
      <c r="N1121" s="741"/>
      <c r="O1121" s="741"/>
      <c r="P1121" s="741"/>
      <c r="Q1121" s="741"/>
      <c r="R1121" s="741"/>
      <c r="S1121" s="741"/>
      <c r="T1121" s="741"/>
      <c r="U1121" s="741"/>
      <c r="V1121" s="741"/>
      <c r="W1121" s="741"/>
      <c r="X1121" s="741"/>
      <c r="Y1121" s="741"/>
      <c r="Z1121" s="741"/>
      <c r="AA1121" s="741"/>
      <c r="AB1121" s="741"/>
      <c r="AC1121" s="741"/>
      <c r="AD1121" s="741"/>
      <c r="AE1121" s="741"/>
      <c r="AF1121" s="741"/>
      <c r="AG1121" s="741"/>
      <c r="AH1121" s="741"/>
      <c r="AI1121" s="741"/>
      <c r="AJ1121" s="741"/>
      <c r="AK1121" s="741"/>
      <c r="AL1121" s="741"/>
      <c r="AM1121" s="741"/>
      <c r="AN1121" s="741"/>
      <c r="AO1121" s="741"/>
      <c r="AP1121" s="741"/>
      <c r="AQ1121" s="741"/>
      <c r="AR1121" s="741"/>
      <c r="AS1121" s="741"/>
      <c r="AT1121" s="741"/>
      <c r="AU1121" s="741"/>
      <c r="AV1121" s="741"/>
      <c r="AW1121" s="741"/>
      <c r="AX1121" s="741"/>
      <c r="AY1121" s="741"/>
      <c r="AZ1121" s="741"/>
      <c r="BA1121" s="741"/>
      <c r="BB1121" s="741"/>
      <c r="BC1121" s="741"/>
      <c r="BD1121" s="741"/>
      <c r="BE1121" s="741"/>
      <c r="BF1121" s="741"/>
      <c r="BG1121" s="741"/>
      <c r="BH1121" s="724"/>
      <c r="BI1121" s="725"/>
      <c r="BJ1121" s="669"/>
      <c r="BK1121" s="670"/>
      <c r="BL1121" s="725"/>
      <c r="BM1121" s="671"/>
      <c r="BN1121" s="665"/>
      <c r="BO1121" s="665"/>
      <c r="BP1121" s="665"/>
      <c r="BQ1121" s="665"/>
      <c r="BR1121" s="665"/>
      <c r="BS1121" s="665"/>
      <c r="BT1121" s="665"/>
      <c r="BU1121" s="665"/>
      <c r="BV1121" s="665"/>
      <c r="BW1121" s="665"/>
      <c r="BX1121" s="665"/>
      <c r="BY1121" s="665"/>
      <c r="BZ1121" s="665"/>
      <c r="CA1121" s="665"/>
      <c r="CB1121" s="665"/>
      <c r="CC1121" s="665"/>
      <c r="CD1121" s="665"/>
      <c r="CE1121" s="665"/>
      <c r="CF1121" s="665"/>
      <c r="CG1121" s="665"/>
      <c r="CH1121" s="665"/>
      <c r="CI1121" s="665"/>
      <c r="CJ1121" s="665"/>
      <c r="CK1121" s="665"/>
      <c r="CL1121" s="665"/>
      <c r="CM1121" s="665"/>
      <c r="CN1121" s="665"/>
      <c r="CO1121" s="665"/>
      <c r="CP1121" s="665"/>
      <c r="CQ1121" s="665"/>
      <c r="CR1121" s="665"/>
      <c r="CS1121" s="665"/>
      <c r="CT1121" s="665"/>
      <c r="CU1121" s="665"/>
      <c r="CV1121" s="665"/>
      <c r="CW1121" s="665"/>
      <c r="CX1121" s="665"/>
      <c r="CY1121" s="665"/>
      <c r="CZ1121" s="665"/>
      <c r="DA1121" s="665"/>
      <c r="DB1121" s="665"/>
      <c r="DC1121" s="665"/>
      <c r="DD1121" s="665"/>
      <c r="DE1121" s="665"/>
      <c r="DF1121" s="665"/>
      <c r="DG1121" s="665"/>
      <c r="DH1121" s="666"/>
    </row>
    <row r="1122" spans="1:112" s="649" customFormat="1" ht="15.6" hidden="1" outlineLevel="1" x14ac:dyDescent="0.3">
      <c r="A1122" s="652" t="str">
        <f>IF(J1122&gt;0,"Imprimir","")</f>
        <v/>
      </c>
      <c r="B1122" s="652"/>
      <c r="C1122" s="672"/>
      <c r="D1122" s="673"/>
      <c r="E1122" s="674"/>
      <c r="F1122" s="675"/>
      <c r="G1122" s="726"/>
      <c r="H1122" s="676"/>
      <c r="I1122" s="677"/>
      <c r="J1122" s="219">
        <f>SUBTOTAL(9,J1123:J1132)</f>
        <v>0</v>
      </c>
      <c r="K1122" s="678"/>
      <c r="L1122" s="747"/>
      <c r="M1122" s="742"/>
      <c r="N1122" s="742"/>
      <c r="O1122" s="742"/>
      <c r="P1122" s="742"/>
      <c r="Q1122" s="742"/>
      <c r="R1122" s="742"/>
      <c r="S1122" s="742"/>
      <c r="T1122" s="742"/>
      <c r="U1122" s="742"/>
      <c r="V1122" s="742"/>
      <c r="W1122" s="742"/>
      <c r="X1122" s="742"/>
      <c r="Y1122" s="742"/>
      <c r="Z1122" s="742"/>
      <c r="AA1122" s="742"/>
      <c r="AB1122" s="742"/>
      <c r="AC1122" s="742"/>
      <c r="AD1122" s="742"/>
      <c r="AE1122" s="742"/>
      <c r="AF1122" s="742"/>
      <c r="AG1122" s="742"/>
      <c r="AH1122" s="742"/>
      <c r="AI1122" s="742"/>
      <c r="AJ1122" s="742"/>
      <c r="AK1122" s="742"/>
      <c r="AL1122" s="742"/>
      <c r="AM1122" s="742"/>
      <c r="AN1122" s="742"/>
      <c r="AO1122" s="742"/>
      <c r="AP1122" s="742"/>
      <c r="AQ1122" s="742"/>
      <c r="AR1122" s="742"/>
      <c r="AS1122" s="742"/>
      <c r="AT1122" s="742"/>
      <c r="AU1122" s="742"/>
      <c r="AV1122" s="742"/>
      <c r="AW1122" s="742"/>
      <c r="AX1122" s="742"/>
      <c r="AY1122" s="742"/>
      <c r="AZ1122" s="742"/>
      <c r="BA1122" s="742"/>
      <c r="BB1122" s="742"/>
      <c r="BC1122" s="742"/>
      <c r="BD1122" s="742"/>
      <c r="BE1122" s="742"/>
      <c r="BF1122" s="742"/>
      <c r="BG1122" s="742"/>
      <c r="BH1122" s="668"/>
      <c r="BI1122" s="654"/>
      <c r="BJ1122" s="680"/>
      <c r="BK1122" s="681"/>
      <c r="BL1122" s="654"/>
      <c r="BM1122" s="682"/>
      <c r="BN1122" s="683"/>
      <c r="BO1122" s="683"/>
      <c r="BP1122" s="683"/>
      <c r="BQ1122" s="683"/>
      <c r="BR1122" s="683"/>
      <c r="BS1122" s="683"/>
      <c r="BT1122" s="683"/>
      <c r="BU1122" s="683"/>
      <c r="BV1122" s="683"/>
      <c r="BW1122" s="683"/>
      <c r="BX1122" s="683"/>
      <c r="BY1122" s="683"/>
      <c r="BZ1122" s="683"/>
      <c r="CA1122" s="683"/>
      <c r="CB1122" s="683"/>
      <c r="CC1122" s="683"/>
      <c r="CD1122" s="683"/>
      <c r="CE1122" s="683"/>
      <c r="CF1122" s="683"/>
      <c r="CG1122" s="683"/>
      <c r="CH1122" s="683"/>
      <c r="CI1122" s="683"/>
      <c r="CJ1122" s="683"/>
      <c r="CK1122" s="683"/>
      <c r="CL1122" s="683"/>
      <c r="CM1122" s="683"/>
      <c r="CN1122" s="683"/>
      <c r="CO1122" s="683"/>
      <c r="CP1122" s="683"/>
      <c r="CQ1122" s="683"/>
      <c r="CR1122" s="683"/>
      <c r="CS1122" s="683"/>
      <c r="CT1122" s="683"/>
      <c r="CU1122" s="683"/>
      <c r="CV1122" s="683"/>
      <c r="CW1122" s="683"/>
      <c r="CX1122" s="683"/>
      <c r="CY1122" s="683"/>
      <c r="CZ1122" s="683"/>
      <c r="DA1122" s="683"/>
      <c r="DB1122" s="683"/>
      <c r="DC1122" s="683"/>
      <c r="DD1122" s="683"/>
      <c r="DE1122" s="683"/>
      <c r="DF1122" s="683"/>
      <c r="DG1122" s="683"/>
      <c r="DH1122" s="684"/>
    </row>
    <row r="1123" spans="1:112" s="649" customFormat="1" hidden="1" outlineLevel="1" x14ac:dyDescent="0.3">
      <c r="A1123" s="652" t="str">
        <f t="shared" ref="A1123:A1131" si="368">IF(J1123="","",IF(J1123=0,"","Imprimir"))</f>
        <v/>
      </c>
      <c r="B1123" s="652"/>
      <c r="C1123" s="685"/>
      <c r="D1123" s="686"/>
      <c r="E1123" s="686"/>
      <c r="F1123" s="720"/>
      <c r="G1123" s="688"/>
      <c r="H1123" s="689"/>
      <c r="I1123" s="851" t="str">
        <f t="shared" ref="I1123:I1131" si="369">IF(E1123&gt;0,$J$5,"")</f>
        <v/>
      </c>
      <c r="J1123" s="852" t="str">
        <f t="shared" ref="J1123:J1131" si="370">IFERROR(G1123*H1123*I1123,"")</f>
        <v/>
      </c>
      <c r="K1123" s="667"/>
      <c r="L1123" s="858"/>
      <c r="M1123" s="859"/>
      <c r="N1123" s="859"/>
      <c r="O1123" s="859">
        <v>0.25</v>
      </c>
      <c r="P1123" s="859"/>
      <c r="Q1123" s="859"/>
      <c r="R1123" s="859"/>
      <c r="S1123" s="859">
        <v>0.25</v>
      </c>
      <c r="T1123" s="859"/>
      <c r="U1123" s="859"/>
      <c r="V1123" s="859"/>
      <c r="W1123" s="859"/>
      <c r="X1123" s="859"/>
      <c r="Y1123" s="859"/>
      <c r="Z1123" s="860"/>
      <c r="AA1123" s="860"/>
      <c r="AB1123" s="860"/>
      <c r="AC1123" s="860"/>
      <c r="AD1123" s="860"/>
      <c r="AE1123" s="860">
        <v>0.25</v>
      </c>
      <c r="AF1123" s="860"/>
      <c r="AG1123" s="860"/>
      <c r="AH1123" s="860"/>
      <c r="AI1123" s="860">
        <v>0.25</v>
      </c>
      <c r="AJ1123" s="860"/>
      <c r="AK1123" s="860"/>
      <c r="AL1123" s="860"/>
      <c r="AM1123" s="860"/>
      <c r="AN1123" s="860"/>
      <c r="AO1123" s="860"/>
      <c r="AP1123" s="860"/>
      <c r="AQ1123" s="860"/>
      <c r="AR1123" s="860"/>
      <c r="AS1123" s="860"/>
      <c r="AT1123" s="860"/>
      <c r="AU1123" s="860"/>
      <c r="AV1123" s="860"/>
      <c r="AW1123" s="860"/>
      <c r="AX1123" s="860"/>
      <c r="AY1123" s="860"/>
      <c r="AZ1123" s="860"/>
      <c r="BA1123" s="860"/>
      <c r="BB1123" s="860"/>
      <c r="BC1123" s="860"/>
      <c r="BD1123" s="860"/>
      <c r="BE1123" s="860"/>
      <c r="BF1123" s="860"/>
      <c r="BG1123" s="860"/>
      <c r="BH1123" s="668"/>
      <c r="BI1123" s="667"/>
      <c r="BJ1123" s="690">
        <f t="shared" ref="BJ1123:BJ1131" si="371">IFERROR(BK1123/J1123,0)</f>
        <v>0</v>
      </c>
      <c r="BK1123" s="691">
        <f t="shared" ref="BK1123:BK1131" si="372">SUM(BM1123:DH1123)</f>
        <v>0</v>
      </c>
      <c r="BL1123" s="654"/>
      <c r="BM1123" s="692">
        <f>SUMIFS(Imput[[Importe Neto]:[Importe Neto]],Imput[[C. Imp.]:[C. Imp.]],$D1123,Imput[[PERIODO Imp.]:[PERIODO Imp.]],BM$9)</f>
        <v>0</v>
      </c>
      <c r="BN1123" s="693">
        <f>SUMIFS(Imput[[Importe Neto]:[Importe Neto]],Imput[[C. Imp.]:[C. Imp.]],$D1123,Imput[[PERIODO Imp.]:[PERIODO Imp.]],BN$9)</f>
        <v>0</v>
      </c>
      <c r="BO1123" s="693">
        <f>SUMIFS(Imput[[Importe Neto]:[Importe Neto]],Imput[[C. Imp.]:[C. Imp.]],$D1123,Imput[[PERIODO Imp.]:[PERIODO Imp.]],BO$9)</f>
        <v>0</v>
      </c>
      <c r="BP1123" s="693">
        <f>SUMIFS(Imput[[Importe Neto]:[Importe Neto]],Imput[[C. Imp.]:[C. Imp.]],$D1123,Imput[[PERIODO Imp.]:[PERIODO Imp.]],BP$9)</f>
        <v>0</v>
      </c>
      <c r="BQ1123" s="693">
        <f>SUMIFS(Imput[[Importe Neto]:[Importe Neto]],Imput[[C. Imp.]:[C. Imp.]],$D1123,Imput[[PERIODO Imp.]:[PERIODO Imp.]],BQ$9)</f>
        <v>0</v>
      </c>
      <c r="BR1123" s="693">
        <f>SUMIFS(Imput[[Importe Neto]:[Importe Neto]],Imput[[C. Imp.]:[C. Imp.]],$D1123,Imput[[PERIODO Imp.]:[PERIODO Imp.]],BR$9)</f>
        <v>0</v>
      </c>
      <c r="BS1123" s="693">
        <f>SUMIFS(Imput[[Importe Neto]:[Importe Neto]],Imput[[C. Imp.]:[C. Imp.]],$D1123,Imput[[PERIODO Imp.]:[PERIODO Imp.]],BS$9)</f>
        <v>0</v>
      </c>
      <c r="BT1123" s="693">
        <f>SUMIFS(Imput[[Importe Neto]:[Importe Neto]],Imput[[C. Imp.]:[C. Imp.]],$D1123,Imput[[PERIODO Imp.]:[PERIODO Imp.]],BT$9)</f>
        <v>0</v>
      </c>
      <c r="BU1123" s="693">
        <f>SUMIFS(Imput[[Importe Neto]:[Importe Neto]],Imput[[C. Imp.]:[C. Imp.]],$D1123,Imput[[PERIODO Imp.]:[PERIODO Imp.]],BU$9)</f>
        <v>0</v>
      </c>
      <c r="BV1123" s="693">
        <f>SUMIFS(Imput[[Importe Neto]:[Importe Neto]],Imput[[C. Imp.]:[C. Imp.]],$D1123,Imput[[PERIODO Imp.]:[PERIODO Imp.]],BV$9)</f>
        <v>0</v>
      </c>
      <c r="BW1123" s="693">
        <f>SUMIFS(Imput[[Importe Neto]:[Importe Neto]],Imput[[C. Imp.]:[C. Imp.]],$D1123,Imput[[PERIODO Imp.]:[PERIODO Imp.]],BW$9)</f>
        <v>0</v>
      </c>
      <c r="BX1123" s="693">
        <f>SUMIFS(Imput[[Importe Neto]:[Importe Neto]],Imput[[C. Imp.]:[C. Imp.]],$D1123,Imput[[PERIODO Imp.]:[PERIODO Imp.]],BX$9)</f>
        <v>0</v>
      </c>
      <c r="BY1123" s="693">
        <f>SUMIFS(Imput[[Importe Neto]:[Importe Neto]],Imput[[C. Imp.]:[C. Imp.]],$D1123,Imput[[PERIODO Imp.]:[PERIODO Imp.]],BY$9)</f>
        <v>0</v>
      </c>
      <c r="BZ1123" s="693">
        <f>SUMIFS(Imput[[Importe Neto]:[Importe Neto]],Imput[[C. Imp.]:[C. Imp.]],$D1123,Imput[[PERIODO Imp.]:[PERIODO Imp.]],BZ$9)</f>
        <v>0</v>
      </c>
      <c r="CA1123" s="693">
        <f>SUMIFS(Imput[[Importe Neto]:[Importe Neto]],Imput[[C. Imp.]:[C. Imp.]],$D1123,Imput[[PERIODO Imp.]:[PERIODO Imp.]],CA$9)</f>
        <v>0</v>
      </c>
      <c r="CB1123" s="693">
        <f>SUMIFS(Imput[[Importe Neto]:[Importe Neto]],Imput[[C. Imp.]:[C. Imp.]],$D1123,Imput[[PERIODO Imp.]:[PERIODO Imp.]],CB$9)</f>
        <v>0</v>
      </c>
      <c r="CC1123" s="693">
        <f>SUMIFS(Imput[[Importe Neto]:[Importe Neto]],Imput[[C. Imp.]:[C. Imp.]],$D1123,Imput[[PERIODO Imp.]:[PERIODO Imp.]],CC$9)</f>
        <v>0</v>
      </c>
      <c r="CD1123" s="693">
        <f>SUMIFS(Imput[[Importe Neto]:[Importe Neto]],Imput[[C. Imp.]:[C. Imp.]],$D1123,Imput[[PERIODO Imp.]:[PERIODO Imp.]],CD$9)</f>
        <v>0</v>
      </c>
      <c r="CE1123" s="693">
        <f>SUMIFS(Imput[[Importe Neto]:[Importe Neto]],Imput[[C. Imp.]:[C. Imp.]],$D1123,Imput[[PERIODO Imp.]:[PERIODO Imp.]],CE$9)</f>
        <v>0</v>
      </c>
      <c r="CF1123" s="693">
        <f>SUMIFS(Imput[[Importe Neto]:[Importe Neto]],Imput[[C. Imp.]:[C. Imp.]],$D1123,Imput[[PERIODO Imp.]:[PERIODO Imp.]],CF$9)</f>
        <v>0</v>
      </c>
      <c r="CG1123" s="693">
        <f>SUMIFS(Imput[[Importe Neto]:[Importe Neto]],Imput[[C. Imp.]:[C. Imp.]],$D1123,Imput[[PERIODO Imp.]:[PERIODO Imp.]],CG$9)</f>
        <v>0</v>
      </c>
      <c r="CH1123" s="693">
        <f>SUMIFS(Imput[[Importe Neto]:[Importe Neto]],Imput[[C. Imp.]:[C. Imp.]],$D1123,Imput[[PERIODO Imp.]:[PERIODO Imp.]],CH$9)</f>
        <v>0</v>
      </c>
      <c r="CI1123" s="693">
        <f>SUMIFS(Imput[[Importe Neto]:[Importe Neto]],Imput[[C. Imp.]:[C. Imp.]],$D1123,Imput[[PERIODO Imp.]:[PERIODO Imp.]],CI$9)</f>
        <v>0</v>
      </c>
      <c r="CJ1123" s="693">
        <f>SUMIFS(Imput[[Importe Neto]:[Importe Neto]],Imput[[C. Imp.]:[C. Imp.]],$D1123,Imput[[PERIODO Imp.]:[PERIODO Imp.]],CJ$9)</f>
        <v>0</v>
      </c>
      <c r="CK1123" s="693">
        <f>SUMIFS(Imput[[Importe Neto]:[Importe Neto]],Imput[[C. Imp.]:[C. Imp.]],$D1123,Imput[[PERIODO Imp.]:[PERIODO Imp.]],CK$9)</f>
        <v>0</v>
      </c>
      <c r="CL1123" s="693">
        <f>SUMIFS(Imput[[Importe Neto]:[Importe Neto]],Imput[[C. Imp.]:[C. Imp.]],$D1123,Imput[[PERIODO Imp.]:[PERIODO Imp.]],CL$9)</f>
        <v>0</v>
      </c>
      <c r="CM1123" s="693">
        <f>SUMIFS(Imput[[Importe Neto]:[Importe Neto]],Imput[[C. Imp.]:[C. Imp.]],$D1123,Imput[[PERIODO Imp.]:[PERIODO Imp.]],CM$9)</f>
        <v>0</v>
      </c>
      <c r="CN1123" s="693">
        <f>SUMIFS(Imput[[Importe Neto]:[Importe Neto]],Imput[[C. Imp.]:[C. Imp.]],$D1123,Imput[[PERIODO Imp.]:[PERIODO Imp.]],CN$9)</f>
        <v>0</v>
      </c>
      <c r="CO1123" s="693">
        <f>SUMIFS(Imput[[Importe Neto]:[Importe Neto]],Imput[[C. Imp.]:[C. Imp.]],$D1123,Imput[[PERIODO Imp.]:[PERIODO Imp.]],CO$9)</f>
        <v>0</v>
      </c>
      <c r="CP1123" s="693">
        <f>SUMIFS(Imput[[Importe Neto]:[Importe Neto]],Imput[[C. Imp.]:[C. Imp.]],$D1123,Imput[[PERIODO Imp.]:[PERIODO Imp.]],CP$9)</f>
        <v>0</v>
      </c>
      <c r="CQ1123" s="693">
        <f>SUMIFS(Imput[[Importe Neto]:[Importe Neto]],Imput[[C. Imp.]:[C. Imp.]],$D1123,Imput[[PERIODO Imp.]:[PERIODO Imp.]],CQ$9)</f>
        <v>0</v>
      </c>
      <c r="CR1123" s="693">
        <f>SUMIFS(Imput[[Importe Neto]:[Importe Neto]],Imput[[C. Imp.]:[C. Imp.]],$D1123,Imput[[PERIODO Imp.]:[PERIODO Imp.]],CR$9)</f>
        <v>0</v>
      </c>
      <c r="CS1123" s="693">
        <f>SUMIFS(Imput[[Importe Neto]:[Importe Neto]],Imput[[C. Imp.]:[C. Imp.]],$D1123,Imput[[PERIODO Imp.]:[PERIODO Imp.]],CS$9)</f>
        <v>0</v>
      </c>
      <c r="CT1123" s="693">
        <f>SUMIFS(Imput[[Importe Neto]:[Importe Neto]],Imput[[C. Imp.]:[C. Imp.]],$D1123,Imput[[PERIODO Imp.]:[PERIODO Imp.]],CT$9)</f>
        <v>0</v>
      </c>
      <c r="CU1123" s="693">
        <f>SUMIFS(Imput[[Importe Neto]:[Importe Neto]],Imput[[C. Imp.]:[C. Imp.]],$D1123,Imput[[PERIODO Imp.]:[PERIODO Imp.]],CU$9)</f>
        <v>0</v>
      </c>
      <c r="CV1123" s="693">
        <f>SUMIFS(Imput[[Importe Neto]:[Importe Neto]],Imput[[C. Imp.]:[C. Imp.]],$D1123,Imput[[PERIODO Imp.]:[PERIODO Imp.]],CV$9)</f>
        <v>0</v>
      </c>
      <c r="CW1123" s="693">
        <f>SUMIFS(Imput[[Importe Neto]:[Importe Neto]],Imput[[C. Imp.]:[C. Imp.]],$D1123,Imput[[PERIODO Imp.]:[PERIODO Imp.]],CW$9)</f>
        <v>0</v>
      </c>
      <c r="CX1123" s="693">
        <f>SUMIFS(Imput[[Importe Neto]:[Importe Neto]],Imput[[C. Imp.]:[C. Imp.]],$D1123,Imput[[PERIODO Imp.]:[PERIODO Imp.]],CX$9)</f>
        <v>0</v>
      </c>
      <c r="CY1123" s="693">
        <f>SUMIFS(Imput[[Importe Neto]:[Importe Neto]],Imput[[C. Imp.]:[C. Imp.]],$D1123,Imput[[PERIODO Imp.]:[PERIODO Imp.]],CY$9)</f>
        <v>0</v>
      </c>
      <c r="CZ1123" s="693">
        <f>SUMIFS(Imput[[Importe Neto]:[Importe Neto]],Imput[[C. Imp.]:[C. Imp.]],$D1123,Imput[[PERIODO Imp.]:[PERIODO Imp.]],CZ$9)</f>
        <v>0</v>
      </c>
      <c r="DA1123" s="693">
        <f>SUMIFS(Imput[[Importe Neto]:[Importe Neto]],Imput[[C. Imp.]:[C. Imp.]],$D1123,Imput[[PERIODO Imp.]:[PERIODO Imp.]],DA$9)</f>
        <v>0</v>
      </c>
      <c r="DB1123" s="693">
        <f>SUMIFS(Imput[[Importe Neto]:[Importe Neto]],Imput[[C. Imp.]:[C. Imp.]],$D1123,Imput[[PERIODO Imp.]:[PERIODO Imp.]],DB$9)</f>
        <v>0</v>
      </c>
      <c r="DC1123" s="693">
        <f>SUMIFS(Imput[[Importe Neto]:[Importe Neto]],Imput[[C. Imp.]:[C. Imp.]],$D1123,Imput[[PERIODO Imp.]:[PERIODO Imp.]],DC$9)</f>
        <v>0</v>
      </c>
      <c r="DD1123" s="693">
        <f>SUMIFS(Imput[[Importe Neto]:[Importe Neto]],Imput[[C. Imp.]:[C. Imp.]],$D1123,Imput[[PERIODO Imp.]:[PERIODO Imp.]],DD$9)</f>
        <v>0</v>
      </c>
      <c r="DE1123" s="693">
        <f>SUMIFS(Imput[[Importe Neto]:[Importe Neto]],Imput[[C. Imp.]:[C. Imp.]],$D1123,Imput[[PERIODO Imp.]:[PERIODO Imp.]],DE$9)</f>
        <v>0</v>
      </c>
      <c r="DF1123" s="693">
        <f>SUMIFS(Imput[[Importe Neto]:[Importe Neto]],Imput[[C. Imp.]:[C. Imp.]],$D1123,Imput[[PERIODO Imp.]:[PERIODO Imp.]],DF$9)</f>
        <v>0</v>
      </c>
      <c r="DG1123" s="693">
        <f>SUMIFS(Imput[[Importe Neto]:[Importe Neto]],Imput[[C. Imp.]:[C. Imp.]],$D1123,Imput[[PERIODO Imp.]:[PERIODO Imp.]],DG$9)</f>
        <v>0</v>
      </c>
      <c r="DH1123" s="694">
        <f>SUMIFS(Imput[[Importe Neto]:[Importe Neto]],Imput[[C. Imp.]:[C. Imp.]],$D1123,Imput[[PERIODO Imp.]:[PERIODO Imp.]],DH$9)</f>
        <v>0</v>
      </c>
    </row>
    <row r="1124" spans="1:112" s="649" customFormat="1" hidden="1" outlineLevel="1" x14ac:dyDescent="0.3">
      <c r="A1124" s="652" t="str">
        <f t="shared" si="368"/>
        <v/>
      </c>
      <c r="B1124" s="652"/>
      <c r="C1124" s="685"/>
      <c r="D1124" s="686"/>
      <c r="E1124" s="686"/>
      <c r="F1124" s="720"/>
      <c r="G1124" s="688"/>
      <c r="H1124" s="689"/>
      <c r="I1124" s="851" t="str">
        <f t="shared" si="369"/>
        <v/>
      </c>
      <c r="J1124" s="852" t="str">
        <f t="shared" si="370"/>
        <v/>
      </c>
      <c r="K1124" s="667"/>
      <c r="L1124" s="858"/>
      <c r="M1124" s="859"/>
      <c r="N1124" s="859"/>
      <c r="O1124" s="859"/>
      <c r="P1124" s="859"/>
      <c r="Q1124" s="859"/>
      <c r="R1124" s="859"/>
      <c r="S1124" s="859"/>
      <c r="T1124" s="859"/>
      <c r="U1124" s="859"/>
      <c r="V1124" s="859"/>
      <c r="W1124" s="859"/>
      <c r="X1124" s="859"/>
      <c r="Y1124" s="859"/>
      <c r="Z1124" s="860"/>
      <c r="AA1124" s="860"/>
      <c r="AB1124" s="860"/>
      <c r="AC1124" s="860"/>
      <c r="AD1124" s="860"/>
      <c r="AE1124" s="860"/>
      <c r="AF1124" s="860"/>
      <c r="AG1124" s="860"/>
      <c r="AH1124" s="860"/>
      <c r="AI1124" s="860"/>
      <c r="AJ1124" s="860"/>
      <c r="AK1124" s="860"/>
      <c r="AL1124" s="860"/>
      <c r="AM1124" s="860"/>
      <c r="AN1124" s="860"/>
      <c r="AO1124" s="860"/>
      <c r="AP1124" s="860"/>
      <c r="AQ1124" s="860"/>
      <c r="AR1124" s="860"/>
      <c r="AS1124" s="860"/>
      <c r="AT1124" s="860"/>
      <c r="AU1124" s="860"/>
      <c r="AV1124" s="860"/>
      <c r="AW1124" s="860"/>
      <c r="AX1124" s="860"/>
      <c r="AY1124" s="860"/>
      <c r="AZ1124" s="860"/>
      <c r="BA1124" s="860"/>
      <c r="BB1124" s="860"/>
      <c r="BC1124" s="860"/>
      <c r="BD1124" s="860"/>
      <c r="BE1124" s="860"/>
      <c r="BF1124" s="860"/>
      <c r="BG1124" s="860"/>
      <c r="BH1124" s="668"/>
      <c r="BI1124" s="667"/>
      <c r="BJ1124" s="690">
        <f t="shared" si="371"/>
        <v>0</v>
      </c>
      <c r="BK1124" s="691">
        <f t="shared" si="372"/>
        <v>0</v>
      </c>
      <c r="BL1124" s="654"/>
      <c r="BM1124" s="692">
        <f>SUMIFS(Imput[[Importe Neto]:[Importe Neto]],Imput[[C. Imp.]:[C. Imp.]],$D1124,Imput[[PERIODO Imp.]:[PERIODO Imp.]],BM$9)</f>
        <v>0</v>
      </c>
      <c r="BN1124" s="693">
        <f>SUMIFS(Imput[[Importe Neto]:[Importe Neto]],Imput[[C. Imp.]:[C. Imp.]],$D1124,Imput[[PERIODO Imp.]:[PERIODO Imp.]],BN$9)</f>
        <v>0</v>
      </c>
      <c r="BO1124" s="693">
        <f>SUMIFS(Imput[[Importe Neto]:[Importe Neto]],Imput[[C. Imp.]:[C. Imp.]],$D1124,Imput[[PERIODO Imp.]:[PERIODO Imp.]],BO$9)</f>
        <v>0</v>
      </c>
      <c r="BP1124" s="693">
        <f>SUMIFS(Imput[[Importe Neto]:[Importe Neto]],Imput[[C. Imp.]:[C. Imp.]],$D1124,Imput[[PERIODO Imp.]:[PERIODO Imp.]],BP$9)</f>
        <v>0</v>
      </c>
      <c r="BQ1124" s="693">
        <f>SUMIFS(Imput[[Importe Neto]:[Importe Neto]],Imput[[C. Imp.]:[C. Imp.]],$D1124,Imput[[PERIODO Imp.]:[PERIODO Imp.]],BQ$9)</f>
        <v>0</v>
      </c>
      <c r="BR1124" s="693">
        <f>SUMIFS(Imput[[Importe Neto]:[Importe Neto]],Imput[[C. Imp.]:[C. Imp.]],$D1124,Imput[[PERIODO Imp.]:[PERIODO Imp.]],BR$9)</f>
        <v>0</v>
      </c>
      <c r="BS1124" s="693">
        <f>SUMIFS(Imput[[Importe Neto]:[Importe Neto]],Imput[[C. Imp.]:[C. Imp.]],$D1124,Imput[[PERIODO Imp.]:[PERIODO Imp.]],BS$9)</f>
        <v>0</v>
      </c>
      <c r="BT1124" s="693">
        <f>SUMIFS(Imput[[Importe Neto]:[Importe Neto]],Imput[[C. Imp.]:[C. Imp.]],$D1124,Imput[[PERIODO Imp.]:[PERIODO Imp.]],BT$9)</f>
        <v>0</v>
      </c>
      <c r="BU1124" s="693">
        <f>SUMIFS(Imput[[Importe Neto]:[Importe Neto]],Imput[[C. Imp.]:[C. Imp.]],$D1124,Imput[[PERIODO Imp.]:[PERIODO Imp.]],BU$9)</f>
        <v>0</v>
      </c>
      <c r="BV1124" s="693">
        <f>SUMIFS(Imput[[Importe Neto]:[Importe Neto]],Imput[[C. Imp.]:[C. Imp.]],$D1124,Imput[[PERIODO Imp.]:[PERIODO Imp.]],BV$9)</f>
        <v>0</v>
      </c>
      <c r="BW1124" s="693">
        <f>SUMIFS(Imput[[Importe Neto]:[Importe Neto]],Imput[[C. Imp.]:[C. Imp.]],$D1124,Imput[[PERIODO Imp.]:[PERIODO Imp.]],BW$9)</f>
        <v>0</v>
      </c>
      <c r="BX1124" s="693">
        <f>SUMIFS(Imput[[Importe Neto]:[Importe Neto]],Imput[[C. Imp.]:[C. Imp.]],$D1124,Imput[[PERIODO Imp.]:[PERIODO Imp.]],BX$9)</f>
        <v>0</v>
      </c>
      <c r="BY1124" s="693">
        <f>SUMIFS(Imput[[Importe Neto]:[Importe Neto]],Imput[[C. Imp.]:[C. Imp.]],$D1124,Imput[[PERIODO Imp.]:[PERIODO Imp.]],BY$9)</f>
        <v>0</v>
      </c>
      <c r="BZ1124" s="693">
        <f>SUMIFS(Imput[[Importe Neto]:[Importe Neto]],Imput[[C. Imp.]:[C. Imp.]],$D1124,Imput[[PERIODO Imp.]:[PERIODO Imp.]],BZ$9)</f>
        <v>0</v>
      </c>
      <c r="CA1124" s="693">
        <f>SUMIFS(Imput[[Importe Neto]:[Importe Neto]],Imput[[C. Imp.]:[C. Imp.]],$D1124,Imput[[PERIODO Imp.]:[PERIODO Imp.]],CA$9)</f>
        <v>0</v>
      </c>
      <c r="CB1124" s="693">
        <f>SUMIFS(Imput[[Importe Neto]:[Importe Neto]],Imput[[C. Imp.]:[C. Imp.]],$D1124,Imput[[PERIODO Imp.]:[PERIODO Imp.]],CB$9)</f>
        <v>0</v>
      </c>
      <c r="CC1124" s="693">
        <f>SUMIFS(Imput[[Importe Neto]:[Importe Neto]],Imput[[C. Imp.]:[C. Imp.]],$D1124,Imput[[PERIODO Imp.]:[PERIODO Imp.]],CC$9)</f>
        <v>0</v>
      </c>
      <c r="CD1124" s="693">
        <f>SUMIFS(Imput[[Importe Neto]:[Importe Neto]],Imput[[C. Imp.]:[C. Imp.]],$D1124,Imput[[PERIODO Imp.]:[PERIODO Imp.]],CD$9)</f>
        <v>0</v>
      </c>
      <c r="CE1124" s="693">
        <f>SUMIFS(Imput[[Importe Neto]:[Importe Neto]],Imput[[C. Imp.]:[C. Imp.]],$D1124,Imput[[PERIODO Imp.]:[PERIODO Imp.]],CE$9)</f>
        <v>0</v>
      </c>
      <c r="CF1124" s="693">
        <f>SUMIFS(Imput[[Importe Neto]:[Importe Neto]],Imput[[C. Imp.]:[C. Imp.]],$D1124,Imput[[PERIODO Imp.]:[PERIODO Imp.]],CF$9)</f>
        <v>0</v>
      </c>
      <c r="CG1124" s="693">
        <f>SUMIFS(Imput[[Importe Neto]:[Importe Neto]],Imput[[C. Imp.]:[C. Imp.]],$D1124,Imput[[PERIODO Imp.]:[PERIODO Imp.]],CG$9)</f>
        <v>0</v>
      </c>
      <c r="CH1124" s="693">
        <f>SUMIFS(Imput[[Importe Neto]:[Importe Neto]],Imput[[C. Imp.]:[C. Imp.]],$D1124,Imput[[PERIODO Imp.]:[PERIODO Imp.]],CH$9)</f>
        <v>0</v>
      </c>
      <c r="CI1124" s="693">
        <f>SUMIFS(Imput[[Importe Neto]:[Importe Neto]],Imput[[C. Imp.]:[C. Imp.]],$D1124,Imput[[PERIODO Imp.]:[PERIODO Imp.]],CI$9)</f>
        <v>0</v>
      </c>
      <c r="CJ1124" s="693">
        <f>SUMIFS(Imput[[Importe Neto]:[Importe Neto]],Imput[[C. Imp.]:[C. Imp.]],$D1124,Imput[[PERIODO Imp.]:[PERIODO Imp.]],CJ$9)</f>
        <v>0</v>
      </c>
      <c r="CK1124" s="693">
        <f>SUMIFS(Imput[[Importe Neto]:[Importe Neto]],Imput[[C. Imp.]:[C. Imp.]],$D1124,Imput[[PERIODO Imp.]:[PERIODO Imp.]],CK$9)</f>
        <v>0</v>
      </c>
      <c r="CL1124" s="693">
        <f>SUMIFS(Imput[[Importe Neto]:[Importe Neto]],Imput[[C. Imp.]:[C. Imp.]],$D1124,Imput[[PERIODO Imp.]:[PERIODO Imp.]],CL$9)</f>
        <v>0</v>
      </c>
      <c r="CM1124" s="693">
        <f>SUMIFS(Imput[[Importe Neto]:[Importe Neto]],Imput[[C. Imp.]:[C. Imp.]],$D1124,Imput[[PERIODO Imp.]:[PERIODO Imp.]],CM$9)</f>
        <v>0</v>
      </c>
      <c r="CN1124" s="693">
        <f>SUMIFS(Imput[[Importe Neto]:[Importe Neto]],Imput[[C. Imp.]:[C. Imp.]],$D1124,Imput[[PERIODO Imp.]:[PERIODO Imp.]],CN$9)</f>
        <v>0</v>
      </c>
      <c r="CO1124" s="693">
        <f>SUMIFS(Imput[[Importe Neto]:[Importe Neto]],Imput[[C. Imp.]:[C. Imp.]],$D1124,Imput[[PERIODO Imp.]:[PERIODO Imp.]],CO$9)</f>
        <v>0</v>
      </c>
      <c r="CP1124" s="693">
        <f>SUMIFS(Imput[[Importe Neto]:[Importe Neto]],Imput[[C. Imp.]:[C. Imp.]],$D1124,Imput[[PERIODO Imp.]:[PERIODO Imp.]],CP$9)</f>
        <v>0</v>
      </c>
      <c r="CQ1124" s="693">
        <f>SUMIFS(Imput[[Importe Neto]:[Importe Neto]],Imput[[C. Imp.]:[C. Imp.]],$D1124,Imput[[PERIODO Imp.]:[PERIODO Imp.]],CQ$9)</f>
        <v>0</v>
      </c>
      <c r="CR1124" s="693">
        <f>SUMIFS(Imput[[Importe Neto]:[Importe Neto]],Imput[[C. Imp.]:[C. Imp.]],$D1124,Imput[[PERIODO Imp.]:[PERIODO Imp.]],CR$9)</f>
        <v>0</v>
      </c>
      <c r="CS1124" s="693">
        <f>SUMIFS(Imput[[Importe Neto]:[Importe Neto]],Imput[[C. Imp.]:[C. Imp.]],$D1124,Imput[[PERIODO Imp.]:[PERIODO Imp.]],CS$9)</f>
        <v>0</v>
      </c>
      <c r="CT1124" s="693">
        <f>SUMIFS(Imput[[Importe Neto]:[Importe Neto]],Imput[[C. Imp.]:[C. Imp.]],$D1124,Imput[[PERIODO Imp.]:[PERIODO Imp.]],CT$9)</f>
        <v>0</v>
      </c>
      <c r="CU1124" s="693">
        <f>SUMIFS(Imput[[Importe Neto]:[Importe Neto]],Imput[[C. Imp.]:[C. Imp.]],$D1124,Imput[[PERIODO Imp.]:[PERIODO Imp.]],CU$9)</f>
        <v>0</v>
      </c>
      <c r="CV1124" s="693">
        <f>SUMIFS(Imput[[Importe Neto]:[Importe Neto]],Imput[[C. Imp.]:[C. Imp.]],$D1124,Imput[[PERIODO Imp.]:[PERIODO Imp.]],CV$9)</f>
        <v>0</v>
      </c>
      <c r="CW1124" s="693">
        <f>SUMIFS(Imput[[Importe Neto]:[Importe Neto]],Imput[[C. Imp.]:[C. Imp.]],$D1124,Imput[[PERIODO Imp.]:[PERIODO Imp.]],CW$9)</f>
        <v>0</v>
      </c>
      <c r="CX1124" s="693">
        <f>SUMIFS(Imput[[Importe Neto]:[Importe Neto]],Imput[[C. Imp.]:[C. Imp.]],$D1124,Imput[[PERIODO Imp.]:[PERIODO Imp.]],CX$9)</f>
        <v>0</v>
      </c>
      <c r="CY1124" s="693">
        <f>SUMIFS(Imput[[Importe Neto]:[Importe Neto]],Imput[[C. Imp.]:[C. Imp.]],$D1124,Imput[[PERIODO Imp.]:[PERIODO Imp.]],CY$9)</f>
        <v>0</v>
      </c>
      <c r="CZ1124" s="693">
        <f>SUMIFS(Imput[[Importe Neto]:[Importe Neto]],Imput[[C. Imp.]:[C. Imp.]],$D1124,Imput[[PERIODO Imp.]:[PERIODO Imp.]],CZ$9)</f>
        <v>0</v>
      </c>
      <c r="DA1124" s="693">
        <f>SUMIFS(Imput[[Importe Neto]:[Importe Neto]],Imput[[C. Imp.]:[C. Imp.]],$D1124,Imput[[PERIODO Imp.]:[PERIODO Imp.]],DA$9)</f>
        <v>0</v>
      </c>
      <c r="DB1124" s="693">
        <f>SUMIFS(Imput[[Importe Neto]:[Importe Neto]],Imput[[C. Imp.]:[C. Imp.]],$D1124,Imput[[PERIODO Imp.]:[PERIODO Imp.]],DB$9)</f>
        <v>0</v>
      </c>
      <c r="DC1124" s="693">
        <f>SUMIFS(Imput[[Importe Neto]:[Importe Neto]],Imput[[C. Imp.]:[C. Imp.]],$D1124,Imput[[PERIODO Imp.]:[PERIODO Imp.]],DC$9)</f>
        <v>0</v>
      </c>
      <c r="DD1124" s="693">
        <f>SUMIFS(Imput[[Importe Neto]:[Importe Neto]],Imput[[C. Imp.]:[C. Imp.]],$D1124,Imput[[PERIODO Imp.]:[PERIODO Imp.]],DD$9)</f>
        <v>0</v>
      </c>
      <c r="DE1124" s="693">
        <f>SUMIFS(Imput[[Importe Neto]:[Importe Neto]],Imput[[C. Imp.]:[C. Imp.]],$D1124,Imput[[PERIODO Imp.]:[PERIODO Imp.]],DE$9)</f>
        <v>0</v>
      </c>
      <c r="DF1124" s="693">
        <f>SUMIFS(Imput[[Importe Neto]:[Importe Neto]],Imput[[C. Imp.]:[C. Imp.]],$D1124,Imput[[PERIODO Imp.]:[PERIODO Imp.]],DF$9)</f>
        <v>0</v>
      </c>
      <c r="DG1124" s="693">
        <f>SUMIFS(Imput[[Importe Neto]:[Importe Neto]],Imput[[C. Imp.]:[C. Imp.]],$D1124,Imput[[PERIODO Imp.]:[PERIODO Imp.]],DG$9)</f>
        <v>0</v>
      </c>
      <c r="DH1124" s="694">
        <f>SUMIFS(Imput[[Importe Neto]:[Importe Neto]],Imput[[C. Imp.]:[C. Imp.]],$D1124,Imput[[PERIODO Imp.]:[PERIODO Imp.]],DH$9)</f>
        <v>0</v>
      </c>
    </row>
    <row r="1125" spans="1:112" s="649" customFormat="1" hidden="1" outlineLevel="1" x14ac:dyDescent="0.3">
      <c r="A1125" s="652" t="str">
        <f t="shared" si="368"/>
        <v/>
      </c>
      <c r="B1125" s="652"/>
      <c r="C1125" s="685"/>
      <c r="D1125" s="686"/>
      <c r="E1125" s="686"/>
      <c r="F1125" s="720"/>
      <c r="G1125" s="688"/>
      <c r="H1125" s="689"/>
      <c r="I1125" s="851" t="str">
        <f t="shared" si="369"/>
        <v/>
      </c>
      <c r="J1125" s="852" t="str">
        <f t="shared" si="370"/>
        <v/>
      </c>
      <c r="K1125" s="667"/>
      <c r="L1125" s="858"/>
      <c r="M1125" s="859"/>
      <c r="N1125" s="859"/>
      <c r="O1125" s="859"/>
      <c r="P1125" s="859"/>
      <c r="Q1125" s="859"/>
      <c r="R1125" s="859"/>
      <c r="S1125" s="859"/>
      <c r="T1125" s="859"/>
      <c r="U1125" s="859"/>
      <c r="V1125" s="859"/>
      <c r="W1125" s="859"/>
      <c r="X1125" s="859"/>
      <c r="Y1125" s="859"/>
      <c r="Z1125" s="860"/>
      <c r="AA1125" s="860"/>
      <c r="AB1125" s="860"/>
      <c r="AC1125" s="860"/>
      <c r="AD1125" s="860"/>
      <c r="AE1125" s="860"/>
      <c r="AF1125" s="860"/>
      <c r="AG1125" s="860"/>
      <c r="AH1125" s="860"/>
      <c r="AI1125" s="860"/>
      <c r="AJ1125" s="860"/>
      <c r="AK1125" s="860"/>
      <c r="AL1125" s="860"/>
      <c r="AM1125" s="860"/>
      <c r="AN1125" s="860"/>
      <c r="AO1125" s="860"/>
      <c r="AP1125" s="860"/>
      <c r="AQ1125" s="860"/>
      <c r="AR1125" s="860"/>
      <c r="AS1125" s="860"/>
      <c r="AT1125" s="860"/>
      <c r="AU1125" s="860"/>
      <c r="AV1125" s="860"/>
      <c r="AW1125" s="860"/>
      <c r="AX1125" s="860"/>
      <c r="AY1125" s="860"/>
      <c r="AZ1125" s="860"/>
      <c r="BA1125" s="860"/>
      <c r="BB1125" s="860"/>
      <c r="BC1125" s="860"/>
      <c r="BD1125" s="860"/>
      <c r="BE1125" s="860"/>
      <c r="BF1125" s="860"/>
      <c r="BG1125" s="860"/>
      <c r="BH1125" s="668"/>
      <c r="BI1125" s="667"/>
      <c r="BJ1125" s="690">
        <f t="shared" si="371"/>
        <v>0</v>
      </c>
      <c r="BK1125" s="691">
        <f t="shared" si="372"/>
        <v>0</v>
      </c>
      <c r="BL1125" s="654"/>
      <c r="BM1125" s="692">
        <f>SUMIFS(Imput[[Importe Neto]:[Importe Neto]],Imput[[C. Imp.]:[C. Imp.]],$D1125,Imput[[PERIODO Imp.]:[PERIODO Imp.]],BM$9)</f>
        <v>0</v>
      </c>
      <c r="BN1125" s="693">
        <f>SUMIFS(Imput[[Importe Neto]:[Importe Neto]],Imput[[C. Imp.]:[C. Imp.]],$D1125,Imput[[PERIODO Imp.]:[PERIODO Imp.]],BN$9)</f>
        <v>0</v>
      </c>
      <c r="BO1125" s="693">
        <f>SUMIFS(Imput[[Importe Neto]:[Importe Neto]],Imput[[C. Imp.]:[C. Imp.]],$D1125,Imput[[PERIODO Imp.]:[PERIODO Imp.]],BO$9)</f>
        <v>0</v>
      </c>
      <c r="BP1125" s="693">
        <f>SUMIFS(Imput[[Importe Neto]:[Importe Neto]],Imput[[C. Imp.]:[C. Imp.]],$D1125,Imput[[PERIODO Imp.]:[PERIODO Imp.]],BP$9)</f>
        <v>0</v>
      </c>
      <c r="BQ1125" s="693">
        <f>SUMIFS(Imput[[Importe Neto]:[Importe Neto]],Imput[[C. Imp.]:[C. Imp.]],$D1125,Imput[[PERIODO Imp.]:[PERIODO Imp.]],BQ$9)</f>
        <v>0</v>
      </c>
      <c r="BR1125" s="693">
        <f>SUMIFS(Imput[[Importe Neto]:[Importe Neto]],Imput[[C. Imp.]:[C. Imp.]],$D1125,Imput[[PERIODO Imp.]:[PERIODO Imp.]],BR$9)</f>
        <v>0</v>
      </c>
      <c r="BS1125" s="693">
        <f>SUMIFS(Imput[[Importe Neto]:[Importe Neto]],Imput[[C. Imp.]:[C. Imp.]],$D1125,Imput[[PERIODO Imp.]:[PERIODO Imp.]],BS$9)</f>
        <v>0</v>
      </c>
      <c r="BT1125" s="693">
        <f>SUMIFS(Imput[[Importe Neto]:[Importe Neto]],Imput[[C. Imp.]:[C. Imp.]],$D1125,Imput[[PERIODO Imp.]:[PERIODO Imp.]],BT$9)</f>
        <v>0</v>
      </c>
      <c r="BU1125" s="693">
        <f>SUMIFS(Imput[[Importe Neto]:[Importe Neto]],Imput[[C. Imp.]:[C. Imp.]],$D1125,Imput[[PERIODO Imp.]:[PERIODO Imp.]],BU$9)</f>
        <v>0</v>
      </c>
      <c r="BV1125" s="693">
        <f>SUMIFS(Imput[[Importe Neto]:[Importe Neto]],Imput[[C. Imp.]:[C. Imp.]],$D1125,Imput[[PERIODO Imp.]:[PERIODO Imp.]],BV$9)</f>
        <v>0</v>
      </c>
      <c r="BW1125" s="693">
        <f>SUMIFS(Imput[[Importe Neto]:[Importe Neto]],Imput[[C. Imp.]:[C. Imp.]],$D1125,Imput[[PERIODO Imp.]:[PERIODO Imp.]],BW$9)</f>
        <v>0</v>
      </c>
      <c r="BX1125" s="693">
        <f>SUMIFS(Imput[[Importe Neto]:[Importe Neto]],Imput[[C. Imp.]:[C. Imp.]],$D1125,Imput[[PERIODO Imp.]:[PERIODO Imp.]],BX$9)</f>
        <v>0</v>
      </c>
      <c r="BY1125" s="693">
        <f>SUMIFS(Imput[[Importe Neto]:[Importe Neto]],Imput[[C. Imp.]:[C. Imp.]],$D1125,Imput[[PERIODO Imp.]:[PERIODO Imp.]],BY$9)</f>
        <v>0</v>
      </c>
      <c r="BZ1125" s="693">
        <f>SUMIFS(Imput[[Importe Neto]:[Importe Neto]],Imput[[C. Imp.]:[C. Imp.]],$D1125,Imput[[PERIODO Imp.]:[PERIODO Imp.]],BZ$9)</f>
        <v>0</v>
      </c>
      <c r="CA1125" s="693">
        <f>SUMIFS(Imput[[Importe Neto]:[Importe Neto]],Imput[[C. Imp.]:[C. Imp.]],$D1125,Imput[[PERIODO Imp.]:[PERIODO Imp.]],CA$9)</f>
        <v>0</v>
      </c>
      <c r="CB1125" s="693">
        <f>SUMIFS(Imput[[Importe Neto]:[Importe Neto]],Imput[[C. Imp.]:[C. Imp.]],$D1125,Imput[[PERIODO Imp.]:[PERIODO Imp.]],CB$9)</f>
        <v>0</v>
      </c>
      <c r="CC1125" s="693">
        <f>SUMIFS(Imput[[Importe Neto]:[Importe Neto]],Imput[[C. Imp.]:[C. Imp.]],$D1125,Imput[[PERIODO Imp.]:[PERIODO Imp.]],CC$9)</f>
        <v>0</v>
      </c>
      <c r="CD1125" s="693">
        <f>SUMIFS(Imput[[Importe Neto]:[Importe Neto]],Imput[[C. Imp.]:[C. Imp.]],$D1125,Imput[[PERIODO Imp.]:[PERIODO Imp.]],CD$9)</f>
        <v>0</v>
      </c>
      <c r="CE1125" s="693">
        <f>SUMIFS(Imput[[Importe Neto]:[Importe Neto]],Imput[[C. Imp.]:[C. Imp.]],$D1125,Imput[[PERIODO Imp.]:[PERIODO Imp.]],CE$9)</f>
        <v>0</v>
      </c>
      <c r="CF1125" s="693">
        <f>SUMIFS(Imput[[Importe Neto]:[Importe Neto]],Imput[[C. Imp.]:[C. Imp.]],$D1125,Imput[[PERIODO Imp.]:[PERIODO Imp.]],CF$9)</f>
        <v>0</v>
      </c>
      <c r="CG1125" s="693">
        <f>SUMIFS(Imput[[Importe Neto]:[Importe Neto]],Imput[[C. Imp.]:[C. Imp.]],$D1125,Imput[[PERIODO Imp.]:[PERIODO Imp.]],CG$9)</f>
        <v>0</v>
      </c>
      <c r="CH1125" s="693">
        <f>SUMIFS(Imput[[Importe Neto]:[Importe Neto]],Imput[[C. Imp.]:[C. Imp.]],$D1125,Imput[[PERIODO Imp.]:[PERIODO Imp.]],CH$9)</f>
        <v>0</v>
      </c>
      <c r="CI1125" s="693">
        <f>SUMIFS(Imput[[Importe Neto]:[Importe Neto]],Imput[[C. Imp.]:[C. Imp.]],$D1125,Imput[[PERIODO Imp.]:[PERIODO Imp.]],CI$9)</f>
        <v>0</v>
      </c>
      <c r="CJ1125" s="693">
        <f>SUMIFS(Imput[[Importe Neto]:[Importe Neto]],Imput[[C. Imp.]:[C. Imp.]],$D1125,Imput[[PERIODO Imp.]:[PERIODO Imp.]],CJ$9)</f>
        <v>0</v>
      </c>
      <c r="CK1125" s="693">
        <f>SUMIFS(Imput[[Importe Neto]:[Importe Neto]],Imput[[C. Imp.]:[C. Imp.]],$D1125,Imput[[PERIODO Imp.]:[PERIODO Imp.]],CK$9)</f>
        <v>0</v>
      </c>
      <c r="CL1125" s="693">
        <f>SUMIFS(Imput[[Importe Neto]:[Importe Neto]],Imput[[C. Imp.]:[C. Imp.]],$D1125,Imput[[PERIODO Imp.]:[PERIODO Imp.]],CL$9)</f>
        <v>0</v>
      </c>
      <c r="CM1125" s="693">
        <f>SUMIFS(Imput[[Importe Neto]:[Importe Neto]],Imput[[C. Imp.]:[C. Imp.]],$D1125,Imput[[PERIODO Imp.]:[PERIODO Imp.]],CM$9)</f>
        <v>0</v>
      </c>
      <c r="CN1125" s="693">
        <f>SUMIFS(Imput[[Importe Neto]:[Importe Neto]],Imput[[C. Imp.]:[C. Imp.]],$D1125,Imput[[PERIODO Imp.]:[PERIODO Imp.]],CN$9)</f>
        <v>0</v>
      </c>
      <c r="CO1125" s="693">
        <f>SUMIFS(Imput[[Importe Neto]:[Importe Neto]],Imput[[C. Imp.]:[C. Imp.]],$D1125,Imput[[PERIODO Imp.]:[PERIODO Imp.]],CO$9)</f>
        <v>0</v>
      </c>
      <c r="CP1125" s="693">
        <f>SUMIFS(Imput[[Importe Neto]:[Importe Neto]],Imput[[C. Imp.]:[C. Imp.]],$D1125,Imput[[PERIODO Imp.]:[PERIODO Imp.]],CP$9)</f>
        <v>0</v>
      </c>
      <c r="CQ1125" s="693">
        <f>SUMIFS(Imput[[Importe Neto]:[Importe Neto]],Imput[[C. Imp.]:[C. Imp.]],$D1125,Imput[[PERIODO Imp.]:[PERIODO Imp.]],CQ$9)</f>
        <v>0</v>
      </c>
      <c r="CR1125" s="693">
        <f>SUMIFS(Imput[[Importe Neto]:[Importe Neto]],Imput[[C. Imp.]:[C. Imp.]],$D1125,Imput[[PERIODO Imp.]:[PERIODO Imp.]],CR$9)</f>
        <v>0</v>
      </c>
      <c r="CS1125" s="693">
        <f>SUMIFS(Imput[[Importe Neto]:[Importe Neto]],Imput[[C. Imp.]:[C. Imp.]],$D1125,Imput[[PERIODO Imp.]:[PERIODO Imp.]],CS$9)</f>
        <v>0</v>
      </c>
      <c r="CT1125" s="693">
        <f>SUMIFS(Imput[[Importe Neto]:[Importe Neto]],Imput[[C. Imp.]:[C. Imp.]],$D1125,Imput[[PERIODO Imp.]:[PERIODO Imp.]],CT$9)</f>
        <v>0</v>
      </c>
      <c r="CU1125" s="693">
        <f>SUMIFS(Imput[[Importe Neto]:[Importe Neto]],Imput[[C. Imp.]:[C. Imp.]],$D1125,Imput[[PERIODO Imp.]:[PERIODO Imp.]],CU$9)</f>
        <v>0</v>
      </c>
      <c r="CV1125" s="693">
        <f>SUMIFS(Imput[[Importe Neto]:[Importe Neto]],Imput[[C. Imp.]:[C. Imp.]],$D1125,Imput[[PERIODO Imp.]:[PERIODO Imp.]],CV$9)</f>
        <v>0</v>
      </c>
      <c r="CW1125" s="693">
        <f>SUMIFS(Imput[[Importe Neto]:[Importe Neto]],Imput[[C. Imp.]:[C. Imp.]],$D1125,Imput[[PERIODO Imp.]:[PERIODO Imp.]],CW$9)</f>
        <v>0</v>
      </c>
      <c r="CX1125" s="693">
        <f>SUMIFS(Imput[[Importe Neto]:[Importe Neto]],Imput[[C. Imp.]:[C. Imp.]],$D1125,Imput[[PERIODO Imp.]:[PERIODO Imp.]],CX$9)</f>
        <v>0</v>
      </c>
      <c r="CY1125" s="693">
        <f>SUMIFS(Imput[[Importe Neto]:[Importe Neto]],Imput[[C. Imp.]:[C. Imp.]],$D1125,Imput[[PERIODO Imp.]:[PERIODO Imp.]],CY$9)</f>
        <v>0</v>
      </c>
      <c r="CZ1125" s="693">
        <f>SUMIFS(Imput[[Importe Neto]:[Importe Neto]],Imput[[C. Imp.]:[C. Imp.]],$D1125,Imput[[PERIODO Imp.]:[PERIODO Imp.]],CZ$9)</f>
        <v>0</v>
      </c>
      <c r="DA1125" s="693">
        <f>SUMIFS(Imput[[Importe Neto]:[Importe Neto]],Imput[[C. Imp.]:[C. Imp.]],$D1125,Imput[[PERIODO Imp.]:[PERIODO Imp.]],DA$9)</f>
        <v>0</v>
      </c>
      <c r="DB1125" s="693">
        <f>SUMIFS(Imput[[Importe Neto]:[Importe Neto]],Imput[[C. Imp.]:[C. Imp.]],$D1125,Imput[[PERIODO Imp.]:[PERIODO Imp.]],DB$9)</f>
        <v>0</v>
      </c>
      <c r="DC1125" s="693">
        <f>SUMIFS(Imput[[Importe Neto]:[Importe Neto]],Imput[[C. Imp.]:[C. Imp.]],$D1125,Imput[[PERIODO Imp.]:[PERIODO Imp.]],DC$9)</f>
        <v>0</v>
      </c>
      <c r="DD1125" s="693">
        <f>SUMIFS(Imput[[Importe Neto]:[Importe Neto]],Imput[[C. Imp.]:[C. Imp.]],$D1125,Imput[[PERIODO Imp.]:[PERIODO Imp.]],DD$9)</f>
        <v>0</v>
      </c>
      <c r="DE1125" s="693">
        <f>SUMIFS(Imput[[Importe Neto]:[Importe Neto]],Imput[[C. Imp.]:[C. Imp.]],$D1125,Imput[[PERIODO Imp.]:[PERIODO Imp.]],DE$9)</f>
        <v>0</v>
      </c>
      <c r="DF1125" s="693">
        <f>SUMIFS(Imput[[Importe Neto]:[Importe Neto]],Imput[[C. Imp.]:[C. Imp.]],$D1125,Imput[[PERIODO Imp.]:[PERIODO Imp.]],DF$9)</f>
        <v>0</v>
      </c>
      <c r="DG1125" s="693">
        <f>SUMIFS(Imput[[Importe Neto]:[Importe Neto]],Imput[[C. Imp.]:[C. Imp.]],$D1125,Imput[[PERIODO Imp.]:[PERIODO Imp.]],DG$9)</f>
        <v>0</v>
      </c>
      <c r="DH1125" s="694">
        <f>SUMIFS(Imput[[Importe Neto]:[Importe Neto]],Imput[[C. Imp.]:[C. Imp.]],$D1125,Imput[[PERIODO Imp.]:[PERIODO Imp.]],DH$9)</f>
        <v>0</v>
      </c>
    </row>
    <row r="1126" spans="1:112" s="649" customFormat="1" hidden="1" outlineLevel="1" x14ac:dyDescent="0.3">
      <c r="A1126" s="652" t="str">
        <f t="shared" si="368"/>
        <v/>
      </c>
      <c r="B1126" s="652"/>
      <c r="C1126" s="685"/>
      <c r="D1126" s="686"/>
      <c r="E1126" s="686"/>
      <c r="F1126" s="720"/>
      <c r="G1126" s="688"/>
      <c r="H1126" s="696"/>
      <c r="I1126" s="851" t="str">
        <f t="shared" si="369"/>
        <v/>
      </c>
      <c r="J1126" s="517" t="str">
        <f t="shared" si="370"/>
        <v/>
      </c>
      <c r="K1126" s="667"/>
      <c r="L1126" s="858"/>
      <c r="M1126" s="859"/>
      <c r="N1126" s="859"/>
      <c r="O1126" s="859"/>
      <c r="P1126" s="859"/>
      <c r="Q1126" s="859"/>
      <c r="R1126" s="859"/>
      <c r="S1126" s="859"/>
      <c r="T1126" s="859"/>
      <c r="U1126" s="859"/>
      <c r="V1126" s="859"/>
      <c r="W1126" s="859"/>
      <c r="X1126" s="859"/>
      <c r="Y1126" s="859"/>
      <c r="Z1126" s="860"/>
      <c r="AA1126" s="860"/>
      <c r="AB1126" s="860"/>
      <c r="AC1126" s="860"/>
      <c r="AD1126" s="860"/>
      <c r="AE1126" s="860"/>
      <c r="AF1126" s="860"/>
      <c r="AG1126" s="860"/>
      <c r="AH1126" s="860"/>
      <c r="AI1126" s="860"/>
      <c r="AJ1126" s="860"/>
      <c r="AK1126" s="860"/>
      <c r="AL1126" s="860"/>
      <c r="AM1126" s="860"/>
      <c r="AN1126" s="860"/>
      <c r="AO1126" s="860"/>
      <c r="AP1126" s="860"/>
      <c r="AQ1126" s="860"/>
      <c r="AR1126" s="860"/>
      <c r="AS1126" s="860"/>
      <c r="AT1126" s="860"/>
      <c r="AU1126" s="860"/>
      <c r="AV1126" s="860"/>
      <c r="AW1126" s="860"/>
      <c r="AX1126" s="860"/>
      <c r="AY1126" s="860"/>
      <c r="AZ1126" s="860"/>
      <c r="BA1126" s="860"/>
      <c r="BB1126" s="860"/>
      <c r="BC1126" s="860"/>
      <c r="BD1126" s="860"/>
      <c r="BE1126" s="860"/>
      <c r="BF1126" s="860"/>
      <c r="BG1126" s="860"/>
      <c r="BH1126" s="668"/>
      <c r="BI1126" s="654"/>
      <c r="BJ1126" s="690">
        <f t="shared" si="371"/>
        <v>0</v>
      </c>
      <c r="BK1126" s="691">
        <f t="shared" si="372"/>
        <v>0</v>
      </c>
      <c r="BL1126" s="654"/>
      <c r="BM1126" s="692">
        <f>SUMIFS(Imput[[Importe Neto]:[Importe Neto]],Imput[[C. Imp.]:[C. Imp.]],$D1126,Imput[[PERIODO Imp.]:[PERIODO Imp.]],BM$9)</f>
        <v>0</v>
      </c>
      <c r="BN1126" s="693">
        <f>SUMIFS(Imput[[Importe Neto]:[Importe Neto]],Imput[[C. Imp.]:[C. Imp.]],$D1126,Imput[[PERIODO Imp.]:[PERIODO Imp.]],BN$9)</f>
        <v>0</v>
      </c>
      <c r="BO1126" s="693">
        <f>SUMIFS(Imput[[Importe Neto]:[Importe Neto]],Imput[[C. Imp.]:[C. Imp.]],$D1126,Imput[[PERIODO Imp.]:[PERIODO Imp.]],BO$9)</f>
        <v>0</v>
      </c>
      <c r="BP1126" s="693">
        <f>SUMIFS(Imput[[Importe Neto]:[Importe Neto]],Imput[[C. Imp.]:[C. Imp.]],$D1126,Imput[[PERIODO Imp.]:[PERIODO Imp.]],BP$9)</f>
        <v>0</v>
      </c>
      <c r="BQ1126" s="693">
        <f>SUMIFS(Imput[[Importe Neto]:[Importe Neto]],Imput[[C. Imp.]:[C. Imp.]],$D1126,Imput[[PERIODO Imp.]:[PERIODO Imp.]],BQ$9)</f>
        <v>0</v>
      </c>
      <c r="BR1126" s="693">
        <f>SUMIFS(Imput[[Importe Neto]:[Importe Neto]],Imput[[C. Imp.]:[C. Imp.]],$D1126,Imput[[PERIODO Imp.]:[PERIODO Imp.]],BR$9)</f>
        <v>0</v>
      </c>
      <c r="BS1126" s="693">
        <f>SUMIFS(Imput[[Importe Neto]:[Importe Neto]],Imput[[C. Imp.]:[C. Imp.]],$D1126,Imput[[PERIODO Imp.]:[PERIODO Imp.]],BS$9)</f>
        <v>0</v>
      </c>
      <c r="BT1126" s="693">
        <f>SUMIFS(Imput[[Importe Neto]:[Importe Neto]],Imput[[C. Imp.]:[C. Imp.]],$D1126,Imput[[PERIODO Imp.]:[PERIODO Imp.]],BT$9)</f>
        <v>0</v>
      </c>
      <c r="BU1126" s="693">
        <f>SUMIFS(Imput[[Importe Neto]:[Importe Neto]],Imput[[C. Imp.]:[C. Imp.]],$D1126,Imput[[PERIODO Imp.]:[PERIODO Imp.]],BU$9)</f>
        <v>0</v>
      </c>
      <c r="BV1126" s="693">
        <f>SUMIFS(Imput[[Importe Neto]:[Importe Neto]],Imput[[C. Imp.]:[C. Imp.]],$D1126,Imput[[PERIODO Imp.]:[PERIODO Imp.]],BV$9)</f>
        <v>0</v>
      </c>
      <c r="BW1126" s="693">
        <f>SUMIFS(Imput[[Importe Neto]:[Importe Neto]],Imput[[C. Imp.]:[C. Imp.]],$D1126,Imput[[PERIODO Imp.]:[PERIODO Imp.]],BW$9)</f>
        <v>0</v>
      </c>
      <c r="BX1126" s="693">
        <f>SUMIFS(Imput[[Importe Neto]:[Importe Neto]],Imput[[C. Imp.]:[C. Imp.]],$D1126,Imput[[PERIODO Imp.]:[PERIODO Imp.]],BX$9)</f>
        <v>0</v>
      </c>
      <c r="BY1126" s="693">
        <f>SUMIFS(Imput[[Importe Neto]:[Importe Neto]],Imput[[C. Imp.]:[C. Imp.]],$D1126,Imput[[PERIODO Imp.]:[PERIODO Imp.]],BY$9)</f>
        <v>0</v>
      </c>
      <c r="BZ1126" s="693">
        <f>SUMIFS(Imput[[Importe Neto]:[Importe Neto]],Imput[[C. Imp.]:[C. Imp.]],$D1126,Imput[[PERIODO Imp.]:[PERIODO Imp.]],BZ$9)</f>
        <v>0</v>
      </c>
      <c r="CA1126" s="693">
        <f>SUMIFS(Imput[[Importe Neto]:[Importe Neto]],Imput[[C. Imp.]:[C. Imp.]],$D1126,Imput[[PERIODO Imp.]:[PERIODO Imp.]],CA$9)</f>
        <v>0</v>
      </c>
      <c r="CB1126" s="693">
        <f>SUMIFS(Imput[[Importe Neto]:[Importe Neto]],Imput[[C. Imp.]:[C. Imp.]],$D1126,Imput[[PERIODO Imp.]:[PERIODO Imp.]],CB$9)</f>
        <v>0</v>
      </c>
      <c r="CC1126" s="693">
        <f>SUMIFS(Imput[[Importe Neto]:[Importe Neto]],Imput[[C. Imp.]:[C. Imp.]],$D1126,Imput[[PERIODO Imp.]:[PERIODO Imp.]],CC$9)</f>
        <v>0</v>
      </c>
      <c r="CD1126" s="693">
        <f>SUMIFS(Imput[[Importe Neto]:[Importe Neto]],Imput[[C. Imp.]:[C. Imp.]],$D1126,Imput[[PERIODO Imp.]:[PERIODO Imp.]],CD$9)</f>
        <v>0</v>
      </c>
      <c r="CE1126" s="693">
        <f>SUMIFS(Imput[[Importe Neto]:[Importe Neto]],Imput[[C. Imp.]:[C. Imp.]],$D1126,Imput[[PERIODO Imp.]:[PERIODO Imp.]],CE$9)</f>
        <v>0</v>
      </c>
      <c r="CF1126" s="693">
        <f>SUMIFS(Imput[[Importe Neto]:[Importe Neto]],Imput[[C. Imp.]:[C. Imp.]],$D1126,Imput[[PERIODO Imp.]:[PERIODO Imp.]],CF$9)</f>
        <v>0</v>
      </c>
      <c r="CG1126" s="693">
        <f>SUMIFS(Imput[[Importe Neto]:[Importe Neto]],Imput[[C. Imp.]:[C. Imp.]],$D1126,Imput[[PERIODO Imp.]:[PERIODO Imp.]],CG$9)</f>
        <v>0</v>
      </c>
      <c r="CH1126" s="693">
        <f>SUMIFS(Imput[[Importe Neto]:[Importe Neto]],Imput[[C. Imp.]:[C. Imp.]],$D1126,Imput[[PERIODO Imp.]:[PERIODO Imp.]],CH$9)</f>
        <v>0</v>
      </c>
      <c r="CI1126" s="693">
        <f>SUMIFS(Imput[[Importe Neto]:[Importe Neto]],Imput[[C. Imp.]:[C. Imp.]],$D1126,Imput[[PERIODO Imp.]:[PERIODO Imp.]],CI$9)</f>
        <v>0</v>
      </c>
      <c r="CJ1126" s="693">
        <f>SUMIFS(Imput[[Importe Neto]:[Importe Neto]],Imput[[C. Imp.]:[C. Imp.]],$D1126,Imput[[PERIODO Imp.]:[PERIODO Imp.]],CJ$9)</f>
        <v>0</v>
      </c>
      <c r="CK1126" s="693">
        <f>SUMIFS(Imput[[Importe Neto]:[Importe Neto]],Imput[[C. Imp.]:[C. Imp.]],$D1126,Imput[[PERIODO Imp.]:[PERIODO Imp.]],CK$9)</f>
        <v>0</v>
      </c>
      <c r="CL1126" s="693">
        <f>SUMIFS(Imput[[Importe Neto]:[Importe Neto]],Imput[[C. Imp.]:[C. Imp.]],$D1126,Imput[[PERIODO Imp.]:[PERIODO Imp.]],CL$9)</f>
        <v>0</v>
      </c>
      <c r="CM1126" s="693">
        <f>SUMIFS(Imput[[Importe Neto]:[Importe Neto]],Imput[[C. Imp.]:[C. Imp.]],$D1126,Imput[[PERIODO Imp.]:[PERIODO Imp.]],CM$9)</f>
        <v>0</v>
      </c>
      <c r="CN1126" s="693">
        <f>SUMIFS(Imput[[Importe Neto]:[Importe Neto]],Imput[[C. Imp.]:[C. Imp.]],$D1126,Imput[[PERIODO Imp.]:[PERIODO Imp.]],CN$9)</f>
        <v>0</v>
      </c>
      <c r="CO1126" s="693">
        <f>SUMIFS(Imput[[Importe Neto]:[Importe Neto]],Imput[[C. Imp.]:[C. Imp.]],$D1126,Imput[[PERIODO Imp.]:[PERIODO Imp.]],CO$9)</f>
        <v>0</v>
      </c>
      <c r="CP1126" s="693">
        <f>SUMIFS(Imput[[Importe Neto]:[Importe Neto]],Imput[[C. Imp.]:[C. Imp.]],$D1126,Imput[[PERIODO Imp.]:[PERIODO Imp.]],CP$9)</f>
        <v>0</v>
      </c>
      <c r="CQ1126" s="693">
        <f>SUMIFS(Imput[[Importe Neto]:[Importe Neto]],Imput[[C. Imp.]:[C. Imp.]],$D1126,Imput[[PERIODO Imp.]:[PERIODO Imp.]],CQ$9)</f>
        <v>0</v>
      </c>
      <c r="CR1126" s="693">
        <f>SUMIFS(Imput[[Importe Neto]:[Importe Neto]],Imput[[C. Imp.]:[C. Imp.]],$D1126,Imput[[PERIODO Imp.]:[PERIODO Imp.]],CR$9)</f>
        <v>0</v>
      </c>
      <c r="CS1126" s="693">
        <f>SUMIFS(Imput[[Importe Neto]:[Importe Neto]],Imput[[C. Imp.]:[C. Imp.]],$D1126,Imput[[PERIODO Imp.]:[PERIODO Imp.]],CS$9)</f>
        <v>0</v>
      </c>
      <c r="CT1126" s="693">
        <f>SUMIFS(Imput[[Importe Neto]:[Importe Neto]],Imput[[C. Imp.]:[C. Imp.]],$D1126,Imput[[PERIODO Imp.]:[PERIODO Imp.]],CT$9)</f>
        <v>0</v>
      </c>
      <c r="CU1126" s="693">
        <f>SUMIFS(Imput[[Importe Neto]:[Importe Neto]],Imput[[C. Imp.]:[C. Imp.]],$D1126,Imput[[PERIODO Imp.]:[PERIODO Imp.]],CU$9)</f>
        <v>0</v>
      </c>
      <c r="CV1126" s="693">
        <f>SUMIFS(Imput[[Importe Neto]:[Importe Neto]],Imput[[C. Imp.]:[C. Imp.]],$D1126,Imput[[PERIODO Imp.]:[PERIODO Imp.]],CV$9)</f>
        <v>0</v>
      </c>
      <c r="CW1126" s="693">
        <f>SUMIFS(Imput[[Importe Neto]:[Importe Neto]],Imput[[C. Imp.]:[C. Imp.]],$D1126,Imput[[PERIODO Imp.]:[PERIODO Imp.]],CW$9)</f>
        <v>0</v>
      </c>
      <c r="CX1126" s="693">
        <f>SUMIFS(Imput[[Importe Neto]:[Importe Neto]],Imput[[C. Imp.]:[C. Imp.]],$D1126,Imput[[PERIODO Imp.]:[PERIODO Imp.]],CX$9)</f>
        <v>0</v>
      </c>
      <c r="CY1126" s="693">
        <f>SUMIFS(Imput[[Importe Neto]:[Importe Neto]],Imput[[C. Imp.]:[C. Imp.]],$D1126,Imput[[PERIODO Imp.]:[PERIODO Imp.]],CY$9)</f>
        <v>0</v>
      </c>
      <c r="CZ1126" s="693">
        <f>SUMIFS(Imput[[Importe Neto]:[Importe Neto]],Imput[[C. Imp.]:[C. Imp.]],$D1126,Imput[[PERIODO Imp.]:[PERIODO Imp.]],CZ$9)</f>
        <v>0</v>
      </c>
      <c r="DA1126" s="693">
        <f>SUMIFS(Imput[[Importe Neto]:[Importe Neto]],Imput[[C. Imp.]:[C. Imp.]],$D1126,Imput[[PERIODO Imp.]:[PERIODO Imp.]],DA$9)</f>
        <v>0</v>
      </c>
      <c r="DB1126" s="693">
        <f>SUMIFS(Imput[[Importe Neto]:[Importe Neto]],Imput[[C. Imp.]:[C. Imp.]],$D1126,Imput[[PERIODO Imp.]:[PERIODO Imp.]],DB$9)</f>
        <v>0</v>
      </c>
      <c r="DC1126" s="693">
        <f>SUMIFS(Imput[[Importe Neto]:[Importe Neto]],Imput[[C. Imp.]:[C. Imp.]],$D1126,Imput[[PERIODO Imp.]:[PERIODO Imp.]],DC$9)</f>
        <v>0</v>
      </c>
      <c r="DD1126" s="693">
        <f>SUMIFS(Imput[[Importe Neto]:[Importe Neto]],Imput[[C. Imp.]:[C. Imp.]],$D1126,Imput[[PERIODO Imp.]:[PERIODO Imp.]],DD$9)</f>
        <v>0</v>
      </c>
      <c r="DE1126" s="693">
        <f>SUMIFS(Imput[[Importe Neto]:[Importe Neto]],Imput[[C. Imp.]:[C. Imp.]],$D1126,Imput[[PERIODO Imp.]:[PERIODO Imp.]],DE$9)</f>
        <v>0</v>
      </c>
      <c r="DF1126" s="693">
        <f>SUMIFS(Imput[[Importe Neto]:[Importe Neto]],Imput[[C. Imp.]:[C. Imp.]],$D1126,Imput[[PERIODO Imp.]:[PERIODO Imp.]],DF$9)</f>
        <v>0</v>
      </c>
      <c r="DG1126" s="693">
        <f>SUMIFS(Imput[[Importe Neto]:[Importe Neto]],Imput[[C. Imp.]:[C. Imp.]],$D1126,Imput[[PERIODO Imp.]:[PERIODO Imp.]],DG$9)</f>
        <v>0</v>
      </c>
      <c r="DH1126" s="694">
        <f>SUMIFS(Imput[[Importe Neto]:[Importe Neto]],Imput[[C. Imp.]:[C. Imp.]],$D1126,Imput[[PERIODO Imp.]:[PERIODO Imp.]],DH$9)</f>
        <v>0</v>
      </c>
    </row>
    <row r="1127" spans="1:112" s="649" customFormat="1" hidden="1" outlineLevel="1" x14ac:dyDescent="0.3">
      <c r="A1127" s="652" t="str">
        <f t="shared" si="368"/>
        <v/>
      </c>
      <c r="B1127" s="652"/>
      <c r="C1127" s="685"/>
      <c r="D1127" s="686"/>
      <c r="E1127" s="686"/>
      <c r="F1127" s="720"/>
      <c r="G1127" s="688"/>
      <c r="H1127" s="696"/>
      <c r="I1127" s="851" t="str">
        <f t="shared" si="369"/>
        <v/>
      </c>
      <c r="J1127" s="517" t="str">
        <f t="shared" si="370"/>
        <v/>
      </c>
      <c r="K1127" s="667"/>
      <c r="L1127" s="858"/>
      <c r="M1127" s="859"/>
      <c r="N1127" s="859"/>
      <c r="O1127" s="859"/>
      <c r="P1127" s="859"/>
      <c r="Q1127" s="859"/>
      <c r="R1127" s="859"/>
      <c r="S1127" s="859"/>
      <c r="T1127" s="859"/>
      <c r="U1127" s="859"/>
      <c r="V1127" s="859"/>
      <c r="W1127" s="859"/>
      <c r="X1127" s="859"/>
      <c r="Y1127" s="859"/>
      <c r="Z1127" s="860"/>
      <c r="AA1127" s="860"/>
      <c r="AB1127" s="860"/>
      <c r="AC1127" s="860"/>
      <c r="AD1127" s="860"/>
      <c r="AE1127" s="860"/>
      <c r="AF1127" s="860"/>
      <c r="AG1127" s="860"/>
      <c r="AH1127" s="860"/>
      <c r="AI1127" s="860"/>
      <c r="AJ1127" s="860"/>
      <c r="AK1127" s="860"/>
      <c r="AL1127" s="860"/>
      <c r="AM1127" s="860"/>
      <c r="AN1127" s="860"/>
      <c r="AO1127" s="860"/>
      <c r="AP1127" s="860"/>
      <c r="AQ1127" s="860"/>
      <c r="AR1127" s="860"/>
      <c r="AS1127" s="860"/>
      <c r="AT1127" s="860"/>
      <c r="AU1127" s="860"/>
      <c r="AV1127" s="860"/>
      <c r="AW1127" s="860"/>
      <c r="AX1127" s="860"/>
      <c r="AY1127" s="860"/>
      <c r="AZ1127" s="860"/>
      <c r="BA1127" s="860"/>
      <c r="BB1127" s="860"/>
      <c r="BC1127" s="860"/>
      <c r="BD1127" s="860"/>
      <c r="BE1127" s="860"/>
      <c r="BF1127" s="860"/>
      <c r="BG1127" s="860"/>
      <c r="BH1127" s="668"/>
      <c r="BI1127" s="654"/>
      <c r="BJ1127" s="690">
        <f t="shared" si="371"/>
        <v>0</v>
      </c>
      <c r="BK1127" s="691">
        <f t="shared" si="372"/>
        <v>0</v>
      </c>
      <c r="BL1127" s="654"/>
      <c r="BM1127" s="692">
        <f>SUMIFS(Imput[[Importe Neto]:[Importe Neto]],Imput[[C. Imp.]:[C. Imp.]],$D1127,Imput[[PERIODO Imp.]:[PERIODO Imp.]],BM$9)</f>
        <v>0</v>
      </c>
      <c r="BN1127" s="693">
        <f>SUMIFS(Imput[[Importe Neto]:[Importe Neto]],Imput[[C. Imp.]:[C. Imp.]],$D1127,Imput[[PERIODO Imp.]:[PERIODO Imp.]],BN$9)</f>
        <v>0</v>
      </c>
      <c r="BO1127" s="693">
        <f>SUMIFS(Imput[[Importe Neto]:[Importe Neto]],Imput[[C. Imp.]:[C. Imp.]],$D1127,Imput[[PERIODO Imp.]:[PERIODO Imp.]],BO$9)</f>
        <v>0</v>
      </c>
      <c r="BP1127" s="693">
        <f>SUMIFS(Imput[[Importe Neto]:[Importe Neto]],Imput[[C. Imp.]:[C. Imp.]],$D1127,Imput[[PERIODO Imp.]:[PERIODO Imp.]],BP$9)</f>
        <v>0</v>
      </c>
      <c r="BQ1127" s="693">
        <f>SUMIFS(Imput[[Importe Neto]:[Importe Neto]],Imput[[C. Imp.]:[C. Imp.]],$D1127,Imput[[PERIODO Imp.]:[PERIODO Imp.]],BQ$9)</f>
        <v>0</v>
      </c>
      <c r="BR1127" s="693">
        <f>SUMIFS(Imput[[Importe Neto]:[Importe Neto]],Imput[[C. Imp.]:[C. Imp.]],$D1127,Imput[[PERIODO Imp.]:[PERIODO Imp.]],BR$9)</f>
        <v>0</v>
      </c>
      <c r="BS1127" s="693">
        <f>SUMIFS(Imput[[Importe Neto]:[Importe Neto]],Imput[[C. Imp.]:[C. Imp.]],$D1127,Imput[[PERIODO Imp.]:[PERIODO Imp.]],BS$9)</f>
        <v>0</v>
      </c>
      <c r="BT1127" s="693">
        <f>SUMIFS(Imput[[Importe Neto]:[Importe Neto]],Imput[[C. Imp.]:[C. Imp.]],$D1127,Imput[[PERIODO Imp.]:[PERIODO Imp.]],BT$9)</f>
        <v>0</v>
      </c>
      <c r="BU1127" s="693">
        <f>SUMIFS(Imput[[Importe Neto]:[Importe Neto]],Imput[[C. Imp.]:[C. Imp.]],$D1127,Imput[[PERIODO Imp.]:[PERIODO Imp.]],BU$9)</f>
        <v>0</v>
      </c>
      <c r="BV1127" s="693">
        <f>SUMIFS(Imput[[Importe Neto]:[Importe Neto]],Imput[[C. Imp.]:[C. Imp.]],$D1127,Imput[[PERIODO Imp.]:[PERIODO Imp.]],BV$9)</f>
        <v>0</v>
      </c>
      <c r="BW1127" s="693">
        <f>SUMIFS(Imput[[Importe Neto]:[Importe Neto]],Imput[[C. Imp.]:[C. Imp.]],$D1127,Imput[[PERIODO Imp.]:[PERIODO Imp.]],BW$9)</f>
        <v>0</v>
      </c>
      <c r="BX1127" s="693">
        <f>SUMIFS(Imput[[Importe Neto]:[Importe Neto]],Imput[[C. Imp.]:[C. Imp.]],$D1127,Imput[[PERIODO Imp.]:[PERIODO Imp.]],BX$9)</f>
        <v>0</v>
      </c>
      <c r="BY1127" s="693">
        <f>SUMIFS(Imput[[Importe Neto]:[Importe Neto]],Imput[[C. Imp.]:[C. Imp.]],$D1127,Imput[[PERIODO Imp.]:[PERIODO Imp.]],BY$9)</f>
        <v>0</v>
      </c>
      <c r="BZ1127" s="693">
        <f>SUMIFS(Imput[[Importe Neto]:[Importe Neto]],Imput[[C. Imp.]:[C. Imp.]],$D1127,Imput[[PERIODO Imp.]:[PERIODO Imp.]],BZ$9)</f>
        <v>0</v>
      </c>
      <c r="CA1127" s="693">
        <f>SUMIFS(Imput[[Importe Neto]:[Importe Neto]],Imput[[C. Imp.]:[C. Imp.]],$D1127,Imput[[PERIODO Imp.]:[PERIODO Imp.]],CA$9)</f>
        <v>0</v>
      </c>
      <c r="CB1127" s="693">
        <f>SUMIFS(Imput[[Importe Neto]:[Importe Neto]],Imput[[C. Imp.]:[C. Imp.]],$D1127,Imput[[PERIODO Imp.]:[PERIODO Imp.]],CB$9)</f>
        <v>0</v>
      </c>
      <c r="CC1127" s="693">
        <f>SUMIFS(Imput[[Importe Neto]:[Importe Neto]],Imput[[C. Imp.]:[C. Imp.]],$D1127,Imput[[PERIODO Imp.]:[PERIODO Imp.]],CC$9)</f>
        <v>0</v>
      </c>
      <c r="CD1127" s="693">
        <f>SUMIFS(Imput[[Importe Neto]:[Importe Neto]],Imput[[C. Imp.]:[C. Imp.]],$D1127,Imput[[PERIODO Imp.]:[PERIODO Imp.]],CD$9)</f>
        <v>0</v>
      </c>
      <c r="CE1127" s="693">
        <f>SUMIFS(Imput[[Importe Neto]:[Importe Neto]],Imput[[C. Imp.]:[C. Imp.]],$D1127,Imput[[PERIODO Imp.]:[PERIODO Imp.]],CE$9)</f>
        <v>0</v>
      </c>
      <c r="CF1127" s="693">
        <f>SUMIFS(Imput[[Importe Neto]:[Importe Neto]],Imput[[C. Imp.]:[C. Imp.]],$D1127,Imput[[PERIODO Imp.]:[PERIODO Imp.]],CF$9)</f>
        <v>0</v>
      </c>
      <c r="CG1127" s="693">
        <f>SUMIFS(Imput[[Importe Neto]:[Importe Neto]],Imput[[C. Imp.]:[C. Imp.]],$D1127,Imput[[PERIODO Imp.]:[PERIODO Imp.]],CG$9)</f>
        <v>0</v>
      </c>
      <c r="CH1127" s="693">
        <f>SUMIFS(Imput[[Importe Neto]:[Importe Neto]],Imput[[C. Imp.]:[C. Imp.]],$D1127,Imput[[PERIODO Imp.]:[PERIODO Imp.]],CH$9)</f>
        <v>0</v>
      </c>
      <c r="CI1127" s="693">
        <f>SUMIFS(Imput[[Importe Neto]:[Importe Neto]],Imput[[C. Imp.]:[C. Imp.]],$D1127,Imput[[PERIODO Imp.]:[PERIODO Imp.]],CI$9)</f>
        <v>0</v>
      </c>
      <c r="CJ1127" s="693">
        <f>SUMIFS(Imput[[Importe Neto]:[Importe Neto]],Imput[[C. Imp.]:[C. Imp.]],$D1127,Imput[[PERIODO Imp.]:[PERIODO Imp.]],CJ$9)</f>
        <v>0</v>
      </c>
      <c r="CK1127" s="693">
        <f>SUMIFS(Imput[[Importe Neto]:[Importe Neto]],Imput[[C. Imp.]:[C. Imp.]],$D1127,Imput[[PERIODO Imp.]:[PERIODO Imp.]],CK$9)</f>
        <v>0</v>
      </c>
      <c r="CL1127" s="693">
        <f>SUMIFS(Imput[[Importe Neto]:[Importe Neto]],Imput[[C. Imp.]:[C. Imp.]],$D1127,Imput[[PERIODO Imp.]:[PERIODO Imp.]],CL$9)</f>
        <v>0</v>
      </c>
      <c r="CM1127" s="693">
        <f>SUMIFS(Imput[[Importe Neto]:[Importe Neto]],Imput[[C. Imp.]:[C. Imp.]],$D1127,Imput[[PERIODO Imp.]:[PERIODO Imp.]],CM$9)</f>
        <v>0</v>
      </c>
      <c r="CN1127" s="693">
        <f>SUMIFS(Imput[[Importe Neto]:[Importe Neto]],Imput[[C. Imp.]:[C. Imp.]],$D1127,Imput[[PERIODO Imp.]:[PERIODO Imp.]],CN$9)</f>
        <v>0</v>
      </c>
      <c r="CO1127" s="693">
        <f>SUMIFS(Imput[[Importe Neto]:[Importe Neto]],Imput[[C. Imp.]:[C. Imp.]],$D1127,Imput[[PERIODO Imp.]:[PERIODO Imp.]],CO$9)</f>
        <v>0</v>
      </c>
      <c r="CP1127" s="693">
        <f>SUMIFS(Imput[[Importe Neto]:[Importe Neto]],Imput[[C. Imp.]:[C. Imp.]],$D1127,Imput[[PERIODO Imp.]:[PERIODO Imp.]],CP$9)</f>
        <v>0</v>
      </c>
      <c r="CQ1127" s="693">
        <f>SUMIFS(Imput[[Importe Neto]:[Importe Neto]],Imput[[C. Imp.]:[C. Imp.]],$D1127,Imput[[PERIODO Imp.]:[PERIODO Imp.]],CQ$9)</f>
        <v>0</v>
      </c>
      <c r="CR1127" s="693">
        <f>SUMIFS(Imput[[Importe Neto]:[Importe Neto]],Imput[[C. Imp.]:[C. Imp.]],$D1127,Imput[[PERIODO Imp.]:[PERIODO Imp.]],CR$9)</f>
        <v>0</v>
      </c>
      <c r="CS1127" s="693">
        <f>SUMIFS(Imput[[Importe Neto]:[Importe Neto]],Imput[[C. Imp.]:[C. Imp.]],$D1127,Imput[[PERIODO Imp.]:[PERIODO Imp.]],CS$9)</f>
        <v>0</v>
      </c>
      <c r="CT1127" s="693">
        <f>SUMIFS(Imput[[Importe Neto]:[Importe Neto]],Imput[[C. Imp.]:[C. Imp.]],$D1127,Imput[[PERIODO Imp.]:[PERIODO Imp.]],CT$9)</f>
        <v>0</v>
      </c>
      <c r="CU1127" s="693">
        <f>SUMIFS(Imput[[Importe Neto]:[Importe Neto]],Imput[[C. Imp.]:[C. Imp.]],$D1127,Imput[[PERIODO Imp.]:[PERIODO Imp.]],CU$9)</f>
        <v>0</v>
      </c>
      <c r="CV1127" s="693">
        <f>SUMIFS(Imput[[Importe Neto]:[Importe Neto]],Imput[[C. Imp.]:[C. Imp.]],$D1127,Imput[[PERIODO Imp.]:[PERIODO Imp.]],CV$9)</f>
        <v>0</v>
      </c>
      <c r="CW1127" s="693">
        <f>SUMIFS(Imput[[Importe Neto]:[Importe Neto]],Imput[[C. Imp.]:[C. Imp.]],$D1127,Imput[[PERIODO Imp.]:[PERIODO Imp.]],CW$9)</f>
        <v>0</v>
      </c>
      <c r="CX1127" s="693">
        <f>SUMIFS(Imput[[Importe Neto]:[Importe Neto]],Imput[[C. Imp.]:[C. Imp.]],$D1127,Imput[[PERIODO Imp.]:[PERIODO Imp.]],CX$9)</f>
        <v>0</v>
      </c>
      <c r="CY1127" s="693">
        <f>SUMIFS(Imput[[Importe Neto]:[Importe Neto]],Imput[[C. Imp.]:[C. Imp.]],$D1127,Imput[[PERIODO Imp.]:[PERIODO Imp.]],CY$9)</f>
        <v>0</v>
      </c>
      <c r="CZ1127" s="693">
        <f>SUMIFS(Imput[[Importe Neto]:[Importe Neto]],Imput[[C. Imp.]:[C. Imp.]],$D1127,Imput[[PERIODO Imp.]:[PERIODO Imp.]],CZ$9)</f>
        <v>0</v>
      </c>
      <c r="DA1127" s="693">
        <f>SUMIFS(Imput[[Importe Neto]:[Importe Neto]],Imput[[C. Imp.]:[C. Imp.]],$D1127,Imput[[PERIODO Imp.]:[PERIODO Imp.]],DA$9)</f>
        <v>0</v>
      </c>
      <c r="DB1127" s="693">
        <f>SUMIFS(Imput[[Importe Neto]:[Importe Neto]],Imput[[C. Imp.]:[C. Imp.]],$D1127,Imput[[PERIODO Imp.]:[PERIODO Imp.]],DB$9)</f>
        <v>0</v>
      </c>
      <c r="DC1127" s="693">
        <f>SUMIFS(Imput[[Importe Neto]:[Importe Neto]],Imput[[C. Imp.]:[C. Imp.]],$D1127,Imput[[PERIODO Imp.]:[PERIODO Imp.]],DC$9)</f>
        <v>0</v>
      </c>
      <c r="DD1127" s="693">
        <f>SUMIFS(Imput[[Importe Neto]:[Importe Neto]],Imput[[C. Imp.]:[C. Imp.]],$D1127,Imput[[PERIODO Imp.]:[PERIODO Imp.]],DD$9)</f>
        <v>0</v>
      </c>
      <c r="DE1127" s="693">
        <f>SUMIFS(Imput[[Importe Neto]:[Importe Neto]],Imput[[C. Imp.]:[C. Imp.]],$D1127,Imput[[PERIODO Imp.]:[PERIODO Imp.]],DE$9)</f>
        <v>0</v>
      </c>
      <c r="DF1127" s="693">
        <f>SUMIFS(Imput[[Importe Neto]:[Importe Neto]],Imput[[C. Imp.]:[C. Imp.]],$D1127,Imput[[PERIODO Imp.]:[PERIODO Imp.]],DF$9)</f>
        <v>0</v>
      </c>
      <c r="DG1127" s="693">
        <f>SUMIFS(Imput[[Importe Neto]:[Importe Neto]],Imput[[C. Imp.]:[C. Imp.]],$D1127,Imput[[PERIODO Imp.]:[PERIODO Imp.]],DG$9)</f>
        <v>0</v>
      </c>
      <c r="DH1127" s="694">
        <f>SUMIFS(Imput[[Importe Neto]:[Importe Neto]],Imput[[C. Imp.]:[C. Imp.]],$D1127,Imput[[PERIODO Imp.]:[PERIODO Imp.]],DH$9)</f>
        <v>0</v>
      </c>
    </row>
    <row r="1128" spans="1:112" s="649" customFormat="1" hidden="1" outlineLevel="1" x14ac:dyDescent="0.3">
      <c r="A1128" s="652" t="str">
        <f t="shared" si="368"/>
        <v/>
      </c>
      <c r="B1128" s="652"/>
      <c r="C1128" s="685"/>
      <c r="D1128" s="686"/>
      <c r="E1128" s="686"/>
      <c r="F1128" s="720"/>
      <c r="G1128" s="688"/>
      <c r="H1128" s="696"/>
      <c r="I1128" s="851" t="str">
        <f t="shared" si="369"/>
        <v/>
      </c>
      <c r="J1128" s="517" t="str">
        <f t="shared" si="370"/>
        <v/>
      </c>
      <c r="K1128" s="667"/>
      <c r="L1128" s="858"/>
      <c r="M1128" s="859"/>
      <c r="N1128" s="859"/>
      <c r="O1128" s="859"/>
      <c r="P1128" s="859"/>
      <c r="Q1128" s="859"/>
      <c r="R1128" s="859"/>
      <c r="S1128" s="859"/>
      <c r="T1128" s="859"/>
      <c r="U1128" s="859"/>
      <c r="V1128" s="859"/>
      <c r="W1128" s="859"/>
      <c r="X1128" s="859"/>
      <c r="Y1128" s="859"/>
      <c r="Z1128" s="860"/>
      <c r="AA1128" s="860"/>
      <c r="AB1128" s="860"/>
      <c r="AC1128" s="860"/>
      <c r="AD1128" s="860"/>
      <c r="AE1128" s="860"/>
      <c r="AF1128" s="860"/>
      <c r="AG1128" s="860"/>
      <c r="AH1128" s="860"/>
      <c r="AI1128" s="860"/>
      <c r="AJ1128" s="860"/>
      <c r="AK1128" s="860"/>
      <c r="AL1128" s="860"/>
      <c r="AM1128" s="860"/>
      <c r="AN1128" s="860"/>
      <c r="AO1128" s="860"/>
      <c r="AP1128" s="860"/>
      <c r="AQ1128" s="860"/>
      <c r="AR1128" s="860"/>
      <c r="AS1128" s="860"/>
      <c r="AT1128" s="860"/>
      <c r="AU1128" s="860"/>
      <c r="AV1128" s="860"/>
      <c r="AW1128" s="860"/>
      <c r="AX1128" s="860"/>
      <c r="AY1128" s="860"/>
      <c r="AZ1128" s="860"/>
      <c r="BA1128" s="860"/>
      <c r="BB1128" s="860"/>
      <c r="BC1128" s="860"/>
      <c r="BD1128" s="860"/>
      <c r="BE1128" s="860"/>
      <c r="BF1128" s="860"/>
      <c r="BG1128" s="860"/>
      <c r="BH1128" s="668"/>
      <c r="BI1128" s="654"/>
      <c r="BJ1128" s="690">
        <f t="shared" si="371"/>
        <v>0</v>
      </c>
      <c r="BK1128" s="691">
        <f t="shared" si="372"/>
        <v>0</v>
      </c>
      <c r="BL1128" s="654"/>
      <c r="BM1128" s="692">
        <f>SUMIFS(Imput[[Importe Neto]:[Importe Neto]],Imput[[C. Imp.]:[C. Imp.]],$D1128,Imput[[PERIODO Imp.]:[PERIODO Imp.]],BM$9)</f>
        <v>0</v>
      </c>
      <c r="BN1128" s="693">
        <f>SUMIFS(Imput[[Importe Neto]:[Importe Neto]],Imput[[C. Imp.]:[C. Imp.]],$D1128,Imput[[PERIODO Imp.]:[PERIODO Imp.]],BN$9)</f>
        <v>0</v>
      </c>
      <c r="BO1128" s="693">
        <f>SUMIFS(Imput[[Importe Neto]:[Importe Neto]],Imput[[C. Imp.]:[C. Imp.]],$D1128,Imput[[PERIODO Imp.]:[PERIODO Imp.]],BO$9)</f>
        <v>0</v>
      </c>
      <c r="BP1128" s="693">
        <f>SUMIFS(Imput[[Importe Neto]:[Importe Neto]],Imput[[C. Imp.]:[C. Imp.]],$D1128,Imput[[PERIODO Imp.]:[PERIODO Imp.]],BP$9)</f>
        <v>0</v>
      </c>
      <c r="BQ1128" s="693">
        <f>SUMIFS(Imput[[Importe Neto]:[Importe Neto]],Imput[[C. Imp.]:[C. Imp.]],$D1128,Imput[[PERIODO Imp.]:[PERIODO Imp.]],BQ$9)</f>
        <v>0</v>
      </c>
      <c r="BR1128" s="693">
        <f>SUMIFS(Imput[[Importe Neto]:[Importe Neto]],Imput[[C. Imp.]:[C. Imp.]],$D1128,Imput[[PERIODO Imp.]:[PERIODO Imp.]],BR$9)</f>
        <v>0</v>
      </c>
      <c r="BS1128" s="693">
        <f>SUMIFS(Imput[[Importe Neto]:[Importe Neto]],Imput[[C. Imp.]:[C. Imp.]],$D1128,Imput[[PERIODO Imp.]:[PERIODO Imp.]],BS$9)</f>
        <v>0</v>
      </c>
      <c r="BT1128" s="693">
        <f>SUMIFS(Imput[[Importe Neto]:[Importe Neto]],Imput[[C. Imp.]:[C. Imp.]],$D1128,Imput[[PERIODO Imp.]:[PERIODO Imp.]],BT$9)</f>
        <v>0</v>
      </c>
      <c r="BU1128" s="693">
        <f>SUMIFS(Imput[[Importe Neto]:[Importe Neto]],Imput[[C. Imp.]:[C. Imp.]],$D1128,Imput[[PERIODO Imp.]:[PERIODO Imp.]],BU$9)</f>
        <v>0</v>
      </c>
      <c r="BV1128" s="693">
        <f>SUMIFS(Imput[[Importe Neto]:[Importe Neto]],Imput[[C. Imp.]:[C. Imp.]],$D1128,Imput[[PERIODO Imp.]:[PERIODO Imp.]],BV$9)</f>
        <v>0</v>
      </c>
      <c r="BW1128" s="693">
        <f>SUMIFS(Imput[[Importe Neto]:[Importe Neto]],Imput[[C. Imp.]:[C. Imp.]],$D1128,Imput[[PERIODO Imp.]:[PERIODO Imp.]],BW$9)</f>
        <v>0</v>
      </c>
      <c r="BX1128" s="693">
        <f>SUMIFS(Imput[[Importe Neto]:[Importe Neto]],Imput[[C. Imp.]:[C. Imp.]],$D1128,Imput[[PERIODO Imp.]:[PERIODO Imp.]],BX$9)</f>
        <v>0</v>
      </c>
      <c r="BY1128" s="693">
        <f>SUMIFS(Imput[[Importe Neto]:[Importe Neto]],Imput[[C. Imp.]:[C. Imp.]],$D1128,Imput[[PERIODO Imp.]:[PERIODO Imp.]],BY$9)</f>
        <v>0</v>
      </c>
      <c r="BZ1128" s="693">
        <f>SUMIFS(Imput[[Importe Neto]:[Importe Neto]],Imput[[C. Imp.]:[C. Imp.]],$D1128,Imput[[PERIODO Imp.]:[PERIODO Imp.]],BZ$9)</f>
        <v>0</v>
      </c>
      <c r="CA1128" s="693">
        <f>SUMIFS(Imput[[Importe Neto]:[Importe Neto]],Imput[[C. Imp.]:[C. Imp.]],$D1128,Imput[[PERIODO Imp.]:[PERIODO Imp.]],CA$9)</f>
        <v>0</v>
      </c>
      <c r="CB1128" s="693">
        <f>SUMIFS(Imput[[Importe Neto]:[Importe Neto]],Imput[[C. Imp.]:[C. Imp.]],$D1128,Imput[[PERIODO Imp.]:[PERIODO Imp.]],CB$9)</f>
        <v>0</v>
      </c>
      <c r="CC1128" s="693">
        <f>SUMIFS(Imput[[Importe Neto]:[Importe Neto]],Imput[[C. Imp.]:[C. Imp.]],$D1128,Imput[[PERIODO Imp.]:[PERIODO Imp.]],CC$9)</f>
        <v>0</v>
      </c>
      <c r="CD1128" s="693">
        <f>SUMIFS(Imput[[Importe Neto]:[Importe Neto]],Imput[[C. Imp.]:[C. Imp.]],$D1128,Imput[[PERIODO Imp.]:[PERIODO Imp.]],CD$9)</f>
        <v>0</v>
      </c>
      <c r="CE1128" s="693">
        <f>SUMIFS(Imput[[Importe Neto]:[Importe Neto]],Imput[[C. Imp.]:[C. Imp.]],$D1128,Imput[[PERIODO Imp.]:[PERIODO Imp.]],CE$9)</f>
        <v>0</v>
      </c>
      <c r="CF1128" s="693">
        <f>SUMIFS(Imput[[Importe Neto]:[Importe Neto]],Imput[[C. Imp.]:[C. Imp.]],$D1128,Imput[[PERIODO Imp.]:[PERIODO Imp.]],CF$9)</f>
        <v>0</v>
      </c>
      <c r="CG1128" s="693">
        <f>SUMIFS(Imput[[Importe Neto]:[Importe Neto]],Imput[[C. Imp.]:[C. Imp.]],$D1128,Imput[[PERIODO Imp.]:[PERIODO Imp.]],CG$9)</f>
        <v>0</v>
      </c>
      <c r="CH1128" s="693">
        <f>SUMIFS(Imput[[Importe Neto]:[Importe Neto]],Imput[[C. Imp.]:[C. Imp.]],$D1128,Imput[[PERIODO Imp.]:[PERIODO Imp.]],CH$9)</f>
        <v>0</v>
      </c>
      <c r="CI1128" s="693">
        <f>SUMIFS(Imput[[Importe Neto]:[Importe Neto]],Imput[[C. Imp.]:[C. Imp.]],$D1128,Imput[[PERIODO Imp.]:[PERIODO Imp.]],CI$9)</f>
        <v>0</v>
      </c>
      <c r="CJ1128" s="693">
        <f>SUMIFS(Imput[[Importe Neto]:[Importe Neto]],Imput[[C. Imp.]:[C. Imp.]],$D1128,Imput[[PERIODO Imp.]:[PERIODO Imp.]],CJ$9)</f>
        <v>0</v>
      </c>
      <c r="CK1128" s="693">
        <f>SUMIFS(Imput[[Importe Neto]:[Importe Neto]],Imput[[C. Imp.]:[C. Imp.]],$D1128,Imput[[PERIODO Imp.]:[PERIODO Imp.]],CK$9)</f>
        <v>0</v>
      </c>
      <c r="CL1128" s="693">
        <f>SUMIFS(Imput[[Importe Neto]:[Importe Neto]],Imput[[C. Imp.]:[C. Imp.]],$D1128,Imput[[PERIODO Imp.]:[PERIODO Imp.]],CL$9)</f>
        <v>0</v>
      </c>
      <c r="CM1128" s="693">
        <f>SUMIFS(Imput[[Importe Neto]:[Importe Neto]],Imput[[C. Imp.]:[C. Imp.]],$D1128,Imput[[PERIODO Imp.]:[PERIODO Imp.]],CM$9)</f>
        <v>0</v>
      </c>
      <c r="CN1128" s="693">
        <f>SUMIFS(Imput[[Importe Neto]:[Importe Neto]],Imput[[C. Imp.]:[C. Imp.]],$D1128,Imput[[PERIODO Imp.]:[PERIODO Imp.]],CN$9)</f>
        <v>0</v>
      </c>
      <c r="CO1128" s="693">
        <f>SUMIFS(Imput[[Importe Neto]:[Importe Neto]],Imput[[C. Imp.]:[C. Imp.]],$D1128,Imput[[PERIODO Imp.]:[PERIODO Imp.]],CO$9)</f>
        <v>0</v>
      </c>
      <c r="CP1128" s="693">
        <f>SUMIFS(Imput[[Importe Neto]:[Importe Neto]],Imput[[C. Imp.]:[C. Imp.]],$D1128,Imput[[PERIODO Imp.]:[PERIODO Imp.]],CP$9)</f>
        <v>0</v>
      </c>
      <c r="CQ1128" s="693">
        <f>SUMIFS(Imput[[Importe Neto]:[Importe Neto]],Imput[[C. Imp.]:[C. Imp.]],$D1128,Imput[[PERIODO Imp.]:[PERIODO Imp.]],CQ$9)</f>
        <v>0</v>
      </c>
      <c r="CR1128" s="693">
        <f>SUMIFS(Imput[[Importe Neto]:[Importe Neto]],Imput[[C. Imp.]:[C. Imp.]],$D1128,Imput[[PERIODO Imp.]:[PERIODO Imp.]],CR$9)</f>
        <v>0</v>
      </c>
      <c r="CS1128" s="693">
        <f>SUMIFS(Imput[[Importe Neto]:[Importe Neto]],Imput[[C. Imp.]:[C. Imp.]],$D1128,Imput[[PERIODO Imp.]:[PERIODO Imp.]],CS$9)</f>
        <v>0</v>
      </c>
      <c r="CT1128" s="693">
        <f>SUMIFS(Imput[[Importe Neto]:[Importe Neto]],Imput[[C. Imp.]:[C. Imp.]],$D1128,Imput[[PERIODO Imp.]:[PERIODO Imp.]],CT$9)</f>
        <v>0</v>
      </c>
      <c r="CU1128" s="693">
        <f>SUMIFS(Imput[[Importe Neto]:[Importe Neto]],Imput[[C. Imp.]:[C. Imp.]],$D1128,Imput[[PERIODO Imp.]:[PERIODO Imp.]],CU$9)</f>
        <v>0</v>
      </c>
      <c r="CV1128" s="693">
        <f>SUMIFS(Imput[[Importe Neto]:[Importe Neto]],Imput[[C. Imp.]:[C. Imp.]],$D1128,Imput[[PERIODO Imp.]:[PERIODO Imp.]],CV$9)</f>
        <v>0</v>
      </c>
      <c r="CW1128" s="693">
        <f>SUMIFS(Imput[[Importe Neto]:[Importe Neto]],Imput[[C. Imp.]:[C. Imp.]],$D1128,Imput[[PERIODO Imp.]:[PERIODO Imp.]],CW$9)</f>
        <v>0</v>
      </c>
      <c r="CX1128" s="693">
        <f>SUMIFS(Imput[[Importe Neto]:[Importe Neto]],Imput[[C. Imp.]:[C. Imp.]],$D1128,Imput[[PERIODO Imp.]:[PERIODO Imp.]],CX$9)</f>
        <v>0</v>
      </c>
      <c r="CY1128" s="693">
        <f>SUMIFS(Imput[[Importe Neto]:[Importe Neto]],Imput[[C. Imp.]:[C. Imp.]],$D1128,Imput[[PERIODO Imp.]:[PERIODO Imp.]],CY$9)</f>
        <v>0</v>
      </c>
      <c r="CZ1128" s="693">
        <f>SUMIFS(Imput[[Importe Neto]:[Importe Neto]],Imput[[C. Imp.]:[C. Imp.]],$D1128,Imput[[PERIODO Imp.]:[PERIODO Imp.]],CZ$9)</f>
        <v>0</v>
      </c>
      <c r="DA1128" s="693">
        <f>SUMIFS(Imput[[Importe Neto]:[Importe Neto]],Imput[[C. Imp.]:[C. Imp.]],$D1128,Imput[[PERIODO Imp.]:[PERIODO Imp.]],DA$9)</f>
        <v>0</v>
      </c>
      <c r="DB1128" s="693">
        <f>SUMIFS(Imput[[Importe Neto]:[Importe Neto]],Imput[[C. Imp.]:[C. Imp.]],$D1128,Imput[[PERIODO Imp.]:[PERIODO Imp.]],DB$9)</f>
        <v>0</v>
      </c>
      <c r="DC1128" s="693">
        <f>SUMIFS(Imput[[Importe Neto]:[Importe Neto]],Imput[[C. Imp.]:[C. Imp.]],$D1128,Imput[[PERIODO Imp.]:[PERIODO Imp.]],DC$9)</f>
        <v>0</v>
      </c>
      <c r="DD1128" s="693">
        <f>SUMIFS(Imput[[Importe Neto]:[Importe Neto]],Imput[[C. Imp.]:[C. Imp.]],$D1128,Imput[[PERIODO Imp.]:[PERIODO Imp.]],DD$9)</f>
        <v>0</v>
      </c>
      <c r="DE1128" s="693">
        <f>SUMIFS(Imput[[Importe Neto]:[Importe Neto]],Imput[[C. Imp.]:[C. Imp.]],$D1128,Imput[[PERIODO Imp.]:[PERIODO Imp.]],DE$9)</f>
        <v>0</v>
      </c>
      <c r="DF1128" s="693">
        <f>SUMIFS(Imput[[Importe Neto]:[Importe Neto]],Imput[[C. Imp.]:[C. Imp.]],$D1128,Imput[[PERIODO Imp.]:[PERIODO Imp.]],DF$9)</f>
        <v>0</v>
      </c>
      <c r="DG1128" s="693">
        <f>SUMIFS(Imput[[Importe Neto]:[Importe Neto]],Imput[[C. Imp.]:[C. Imp.]],$D1128,Imput[[PERIODO Imp.]:[PERIODO Imp.]],DG$9)</f>
        <v>0</v>
      </c>
      <c r="DH1128" s="694">
        <f>SUMIFS(Imput[[Importe Neto]:[Importe Neto]],Imput[[C. Imp.]:[C. Imp.]],$D1128,Imput[[PERIODO Imp.]:[PERIODO Imp.]],DH$9)</f>
        <v>0</v>
      </c>
    </row>
    <row r="1129" spans="1:112" s="649" customFormat="1" hidden="1" outlineLevel="1" x14ac:dyDescent="0.3">
      <c r="A1129" s="652" t="str">
        <f t="shared" si="368"/>
        <v/>
      </c>
      <c r="B1129" s="652"/>
      <c r="C1129" s="685"/>
      <c r="D1129" s="686"/>
      <c r="E1129" s="686"/>
      <c r="F1129" s="720"/>
      <c r="G1129" s="688"/>
      <c r="H1129" s="696"/>
      <c r="I1129" s="851" t="str">
        <f t="shared" si="369"/>
        <v/>
      </c>
      <c r="J1129" s="517" t="str">
        <f t="shared" si="370"/>
        <v/>
      </c>
      <c r="K1129" s="667"/>
      <c r="L1129" s="858"/>
      <c r="M1129" s="859"/>
      <c r="N1129" s="859"/>
      <c r="O1129" s="859"/>
      <c r="P1129" s="859"/>
      <c r="Q1129" s="859"/>
      <c r="R1129" s="859"/>
      <c r="S1129" s="859"/>
      <c r="T1129" s="859"/>
      <c r="U1129" s="859"/>
      <c r="V1129" s="859"/>
      <c r="W1129" s="859"/>
      <c r="X1129" s="859"/>
      <c r="Y1129" s="859"/>
      <c r="Z1129" s="860"/>
      <c r="AA1129" s="860"/>
      <c r="AB1129" s="860"/>
      <c r="AC1129" s="860"/>
      <c r="AD1129" s="860"/>
      <c r="AE1129" s="860"/>
      <c r="AF1129" s="860"/>
      <c r="AG1129" s="860"/>
      <c r="AH1129" s="860"/>
      <c r="AI1129" s="860"/>
      <c r="AJ1129" s="860"/>
      <c r="AK1129" s="860"/>
      <c r="AL1129" s="860"/>
      <c r="AM1129" s="860"/>
      <c r="AN1129" s="860"/>
      <c r="AO1129" s="860"/>
      <c r="AP1129" s="860"/>
      <c r="AQ1129" s="860"/>
      <c r="AR1129" s="860"/>
      <c r="AS1129" s="860"/>
      <c r="AT1129" s="860"/>
      <c r="AU1129" s="860"/>
      <c r="AV1129" s="860"/>
      <c r="AW1129" s="860"/>
      <c r="AX1129" s="860"/>
      <c r="AY1129" s="860"/>
      <c r="AZ1129" s="860"/>
      <c r="BA1129" s="860"/>
      <c r="BB1129" s="860"/>
      <c r="BC1129" s="860"/>
      <c r="BD1129" s="860"/>
      <c r="BE1129" s="860"/>
      <c r="BF1129" s="860"/>
      <c r="BG1129" s="860"/>
      <c r="BH1129" s="668"/>
      <c r="BI1129" s="654"/>
      <c r="BJ1129" s="690">
        <f t="shared" si="371"/>
        <v>0</v>
      </c>
      <c r="BK1129" s="691">
        <f t="shared" si="372"/>
        <v>0</v>
      </c>
      <c r="BL1129" s="654"/>
      <c r="BM1129" s="692">
        <f>SUMIFS(Imput[[Importe Neto]:[Importe Neto]],Imput[[C. Imp.]:[C. Imp.]],$D1129,Imput[[PERIODO Imp.]:[PERIODO Imp.]],BM$9)</f>
        <v>0</v>
      </c>
      <c r="BN1129" s="693">
        <f>SUMIFS(Imput[[Importe Neto]:[Importe Neto]],Imput[[C. Imp.]:[C. Imp.]],$D1129,Imput[[PERIODO Imp.]:[PERIODO Imp.]],BN$9)</f>
        <v>0</v>
      </c>
      <c r="BO1129" s="693">
        <f>SUMIFS(Imput[[Importe Neto]:[Importe Neto]],Imput[[C. Imp.]:[C. Imp.]],$D1129,Imput[[PERIODO Imp.]:[PERIODO Imp.]],BO$9)</f>
        <v>0</v>
      </c>
      <c r="BP1129" s="693">
        <f>SUMIFS(Imput[[Importe Neto]:[Importe Neto]],Imput[[C. Imp.]:[C. Imp.]],$D1129,Imput[[PERIODO Imp.]:[PERIODO Imp.]],BP$9)</f>
        <v>0</v>
      </c>
      <c r="BQ1129" s="693">
        <f>SUMIFS(Imput[[Importe Neto]:[Importe Neto]],Imput[[C. Imp.]:[C. Imp.]],$D1129,Imput[[PERIODO Imp.]:[PERIODO Imp.]],BQ$9)</f>
        <v>0</v>
      </c>
      <c r="BR1129" s="693">
        <f>SUMIFS(Imput[[Importe Neto]:[Importe Neto]],Imput[[C. Imp.]:[C. Imp.]],$D1129,Imput[[PERIODO Imp.]:[PERIODO Imp.]],BR$9)</f>
        <v>0</v>
      </c>
      <c r="BS1129" s="693">
        <f>SUMIFS(Imput[[Importe Neto]:[Importe Neto]],Imput[[C. Imp.]:[C. Imp.]],$D1129,Imput[[PERIODO Imp.]:[PERIODO Imp.]],BS$9)</f>
        <v>0</v>
      </c>
      <c r="BT1129" s="693">
        <f>SUMIFS(Imput[[Importe Neto]:[Importe Neto]],Imput[[C. Imp.]:[C. Imp.]],$D1129,Imput[[PERIODO Imp.]:[PERIODO Imp.]],BT$9)</f>
        <v>0</v>
      </c>
      <c r="BU1129" s="693">
        <f>SUMIFS(Imput[[Importe Neto]:[Importe Neto]],Imput[[C. Imp.]:[C. Imp.]],$D1129,Imput[[PERIODO Imp.]:[PERIODO Imp.]],BU$9)</f>
        <v>0</v>
      </c>
      <c r="BV1129" s="693">
        <f>SUMIFS(Imput[[Importe Neto]:[Importe Neto]],Imput[[C. Imp.]:[C. Imp.]],$D1129,Imput[[PERIODO Imp.]:[PERIODO Imp.]],BV$9)</f>
        <v>0</v>
      </c>
      <c r="BW1129" s="693">
        <f>SUMIFS(Imput[[Importe Neto]:[Importe Neto]],Imput[[C. Imp.]:[C. Imp.]],$D1129,Imput[[PERIODO Imp.]:[PERIODO Imp.]],BW$9)</f>
        <v>0</v>
      </c>
      <c r="BX1129" s="693">
        <f>SUMIFS(Imput[[Importe Neto]:[Importe Neto]],Imput[[C. Imp.]:[C. Imp.]],$D1129,Imput[[PERIODO Imp.]:[PERIODO Imp.]],BX$9)</f>
        <v>0</v>
      </c>
      <c r="BY1129" s="693">
        <f>SUMIFS(Imput[[Importe Neto]:[Importe Neto]],Imput[[C. Imp.]:[C. Imp.]],$D1129,Imput[[PERIODO Imp.]:[PERIODO Imp.]],BY$9)</f>
        <v>0</v>
      </c>
      <c r="BZ1129" s="693">
        <f>SUMIFS(Imput[[Importe Neto]:[Importe Neto]],Imput[[C. Imp.]:[C. Imp.]],$D1129,Imput[[PERIODO Imp.]:[PERIODO Imp.]],BZ$9)</f>
        <v>0</v>
      </c>
      <c r="CA1129" s="693">
        <f>SUMIFS(Imput[[Importe Neto]:[Importe Neto]],Imput[[C. Imp.]:[C. Imp.]],$D1129,Imput[[PERIODO Imp.]:[PERIODO Imp.]],CA$9)</f>
        <v>0</v>
      </c>
      <c r="CB1129" s="693">
        <f>SUMIFS(Imput[[Importe Neto]:[Importe Neto]],Imput[[C. Imp.]:[C. Imp.]],$D1129,Imput[[PERIODO Imp.]:[PERIODO Imp.]],CB$9)</f>
        <v>0</v>
      </c>
      <c r="CC1129" s="693">
        <f>SUMIFS(Imput[[Importe Neto]:[Importe Neto]],Imput[[C. Imp.]:[C. Imp.]],$D1129,Imput[[PERIODO Imp.]:[PERIODO Imp.]],CC$9)</f>
        <v>0</v>
      </c>
      <c r="CD1129" s="693">
        <f>SUMIFS(Imput[[Importe Neto]:[Importe Neto]],Imput[[C. Imp.]:[C. Imp.]],$D1129,Imput[[PERIODO Imp.]:[PERIODO Imp.]],CD$9)</f>
        <v>0</v>
      </c>
      <c r="CE1129" s="693">
        <f>SUMIFS(Imput[[Importe Neto]:[Importe Neto]],Imput[[C. Imp.]:[C. Imp.]],$D1129,Imput[[PERIODO Imp.]:[PERIODO Imp.]],CE$9)</f>
        <v>0</v>
      </c>
      <c r="CF1129" s="693">
        <f>SUMIFS(Imput[[Importe Neto]:[Importe Neto]],Imput[[C. Imp.]:[C. Imp.]],$D1129,Imput[[PERIODO Imp.]:[PERIODO Imp.]],CF$9)</f>
        <v>0</v>
      </c>
      <c r="CG1129" s="693">
        <f>SUMIFS(Imput[[Importe Neto]:[Importe Neto]],Imput[[C. Imp.]:[C. Imp.]],$D1129,Imput[[PERIODO Imp.]:[PERIODO Imp.]],CG$9)</f>
        <v>0</v>
      </c>
      <c r="CH1129" s="693">
        <f>SUMIFS(Imput[[Importe Neto]:[Importe Neto]],Imput[[C. Imp.]:[C. Imp.]],$D1129,Imput[[PERIODO Imp.]:[PERIODO Imp.]],CH$9)</f>
        <v>0</v>
      </c>
      <c r="CI1129" s="693">
        <f>SUMIFS(Imput[[Importe Neto]:[Importe Neto]],Imput[[C. Imp.]:[C. Imp.]],$D1129,Imput[[PERIODO Imp.]:[PERIODO Imp.]],CI$9)</f>
        <v>0</v>
      </c>
      <c r="CJ1129" s="693">
        <f>SUMIFS(Imput[[Importe Neto]:[Importe Neto]],Imput[[C. Imp.]:[C. Imp.]],$D1129,Imput[[PERIODO Imp.]:[PERIODO Imp.]],CJ$9)</f>
        <v>0</v>
      </c>
      <c r="CK1129" s="693">
        <f>SUMIFS(Imput[[Importe Neto]:[Importe Neto]],Imput[[C. Imp.]:[C. Imp.]],$D1129,Imput[[PERIODO Imp.]:[PERIODO Imp.]],CK$9)</f>
        <v>0</v>
      </c>
      <c r="CL1129" s="693">
        <f>SUMIFS(Imput[[Importe Neto]:[Importe Neto]],Imput[[C. Imp.]:[C. Imp.]],$D1129,Imput[[PERIODO Imp.]:[PERIODO Imp.]],CL$9)</f>
        <v>0</v>
      </c>
      <c r="CM1129" s="693">
        <f>SUMIFS(Imput[[Importe Neto]:[Importe Neto]],Imput[[C. Imp.]:[C. Imp.]],$D1129,Imput[[PERIODO Imp.]:[PERIODO Imp.]],CM$9)</f>
        <v>0</v>
      </c>
      <c r="CN1129" s="693">
        <f>SUMIFS(Imput[[Importe Neto]:[Importe Neto]],Imput[[C. Imp.]:[C. Imp.]],$D1129,Imput[[PERIODO Imp.]:[PERIODO Imp.]],CN$9)</f>
        <v>0</v>
      </c>
      <c r="CO1129" s="693">
        <f>SUMIFS(Imput[[Importe Neto]:[Importe Neto]],Imput[[C. Imp.]:[C. Imp.]],$D1129,Imput[[PERIODO Imp.]:[PERIODO Imp.]],CO$9)</f>
        <v>0</v>
      </c>
      <c r="CP1129" s="693">
        <f>SUMIFS(Imput[[Importe Neto]:[Importe Neto]],Imput[[C. Imp.]:[C. Imp.]],$D1129,Imput[[PERIODO Imp.]:[PERIODO Imp.]],CP$9)</f>
        <v>0</v>
      </c>
      <c r="CQ1129" s="693">
        <f>SUMIFS(Imput[[Importe Neto]:[Importe Neto]],Imput[[C. Imp.]:[C. Imp.]],$D1129,Imput[[PERIODO Imp.]:[PERIODO Imp.]],CQ$9)</f>
        <v>0</v>
      </c>
      <c r="CR1129" s="693">
        <f>SUMIFS(Imput[[Importe Neto]:[Importe Neto]],Imput[[C. Imp.]:[C. Imp.]],$D1129,Imput[[PERIODO Imp.]:[PERIODO Imp.]],CR$9)</f>
        <v>0</v>
      </c>
      <c r="CS1129" s="693">
        <f>SUMIFS(Imput[[Importe Neto]:[Importe Neto]],Imput[[C. Imp.]:[C. Imp.]],$D1129,Imput[[PERIODO Imp.]:[PERIODO Imp.]],CS$9)</f>
        <v>0</v>
      </c>
      <c r="CT1129" s="693">
        <f>SUMIFS(Imput[[Importe Neto]:[Importe Neto]],Imput[[C. Imp.]:[C. Imp.]],$D1129,Imput[[PERIODO Imp.]:[PERIODO Imp.]],CT$9)</f>
        <v>0</v>
      </c>
      <c r="CU1129" s="693">
        <f>SUMIFS(Imput[[Importe Neto]:[Importe Neto]],Imput[[C. Imp.]:[C. Imp.]],$D1129,Imput[[PERIODO Imp.]:[PERIODO Imp.]],CU$9)</f>
        <v>0</v>
      </c>
      <c r="CV1129" s="693">
        <f>SUMIFS(Imput[[Importe Neto]:[Importe Neto]],Imput[[C. Imp.]:[C. Imp.]],$D1129,Imput[[PERIODO Imp.]:[PERIODO Imp.]],CV$9)</f>
        <v>0</v>
      </c>
      <c r="CW1129" s="693">
        <f>SUMIFS(Imput[[Importe Neto]:[Importe Neto]],Imput[[C. Imp.]:[C. Imp.]],$D1129,Imput[[PERIODO Imp.]:[PERIODO Imp.]],CW$9)</f>
        <v>0</v>
      </c>
      <c r="CX1129" s="693">
        <f>SUMIFS(Imput[[Importe Neto]:[Importe Neto]],Imput[[C. Imp.]:[C. Imp.]],$D1129,Imput[[PERIODO Imp.]:[PERIODO Imp.]],CX$9)</f>
        <v>0</v>
      </c>
      <c r="CY1129" s="693">
        <f>SUMIFS(Imput[[Importe Neto]:[Importe Neto]],Imput[[C. Imp.]:[C. Imp.]],$D1129,Imput[[PERIODO Imp.]:[PERIODO Imp.]],CY$9)</f>
        <v>0</v>
      </c>
      <c r="CZ1129" s="693">
        <f>SUMIFS(Imput[[Importe Neto]:[Importe Neto]],Imput[[C. Imp.]:[C. Imp.]],$D1129,Imput[[PERIODO Imp.]:[PERIODO Imp.]],CZ$9)</f>
        <v>0</v>
      </c>
      <c r="DA1129" s="693">
        <f>SUMIFS(Imput[[Importe Neto]:[Importe Neto]],Imput[[C. Imp.]:[C. Imp.]],$D1129,Imput[[PERIODO Imp.]:[PERIODO Imp.]],DA$9)</f>
        <v>0</v>
      </c>
      <c r="DB1129" s="693">
        <f>SUMIFS(Imput[[Importe Neto]:[Importe Neto]],Imput[[C. Imp.]:[C. Imp.]],$D1129,Imput[[PERIODO Imp.]:[PERIODO Imp.]],DB$9)</f>
        <v>0</v>
      </c>
      <c r="DC1129" s="693">
        <f>SUMIFS(Imput[[Importe Neto]:[Importe Neto]],Imput[[C. Imp.]:[C. Imp.]],$D1129,Imput[[PERIODO Imp.]:[PERIODO Imp.]],DC$9)</f>
        <v>0</v>
      </c>
      <c r="DD1129" s="693">
        <f>SUMIFS(Imput[[Importe Neto]:[Importe Neto]],Imput[[C. Imp.]:[C. Imp.]],$D1129,Imput[[PERIODO Imp.]:[PERIODO Imp.]],DD$9)</f>
        <v>0</v>
      </c>
      <c r="DE1129" s="693">
        <f>SUMIFS(Imput[[Importe Neto]:[Importe Neto]],Imput[[C. Imp.]:[C. Imp.]],$D1129,Imput[[PERIODO Imp.]:[PERIODO Imp.]],DE$9)</f>
        <v>0</v>
      </c>
      <c r="DF1129" s="693">
        <f>SUMIFS(Imput[[Importe Neto]:[Importe Neto]],Imput[[C. Imp.]:[C. Imp.]],$D1129,Imput[[PERIODO Imp.]:[PERIODO Imp.]],DF$9)</f>
        <v>0</v>
      </c>
      <c r="DG1129" s="693">
        <f>SUMIFS(Imput[[Importe Neto]:[Importe Neto]],Imput[[C. Imp.]:[C. Imp.]],$D1129,Imput[[PERIODO Imp.]:[PERIODO Imp.]],DG$9)</f>
        <v>0</v>
      </c>
      <c r="DH1129" s="694">
        <f>SUMIFS(Imput[[Importe Neto]:[Importe Neto]],Imput[[C. Imp.]:[C. Imp.]],$D1129,Imput[[PERIODO Imp.]:[PERIODO Imp.]],DH$9)</f>
        <v>0</v>
      </c>
    </row>
    <row r="1130" spans="1:112" s="649" customFormat="1" hidden="1" outlineLevel="1" x14ac:dyDescent="0.3">
      <c r="A1130" s="652" t="str">
        <f t="shared" si="368"/>
        <v/>
      </c>
      <c r="B1130" s="652"/>
      <c r="C1130" s="685"/>
      <c r="D1130" s="686"/>
      <c r="E1130" s="686"/>
      <c r="F1130" s="720"/>
      <c r="G1130" s="688"/>
      <c r="H1130" s="696"/>
      <c r="I1130" s="851" t="str">
        <f t="shared" si="369"/>
        <v/>
      </c>
      <c r="J1130" s="517" t="str">
        <f t="shared" si="370"/>
        <v/>
      </c>
      <c r="K1130" s="667"/>
      <c r="L1130" s="858"/>
      <c r="M1130" s="859"/>
      <c r="N1130" s="859"/>
      <c r="O1130" s="859"/>
      <c r="P1130" s="859"/>
      <c r="Q1130" s="859"/>
      <c r="R1130" s="859"/>
      <c r="S1130" s="859"/>
      <c r="T1130" s="859"/>
      <c r="U1130" s="859"/>
      <c r="V1130" s="859"/>
      <c r="W1130" s="859"/>
      <c r="X1130" s="859"/>
      <c r="Y1130" s="859"/>
      <c r="Z1130" s="860"/>
      <c r="AA1130" s="860"/>
      <c r="AB1130" s="860"/>
      <c r="AC1130" s="860"/>
      <c r="AD1130" s="860"/>
      <c r="AE1130" s="860"/>
      <c r="AF1130" s="860"/>
      <c r="AG1130" s="860"/>
      <c r="AH1130" s="860"/>
      <c r="AI1130" s="860"/>
      <c r="AJ1130" s="860"/>
      <c r="AK1130" s="860"/>
      <c r="AL1130" s="860"/>
      <c r="AM1130" s="860"/>
      <c r="AN1130" s="860"/>
      <c r="AO1130" s="860"/>
      <c r="AP1130" s="860"/>
      <c r="AQ1130" s="860"/>
      <c r="AR1130" s="860"/>
      <c r="AS1130" s="860"/>
      <c r="AT1130" s="860"/>
      <c r="AU1130" s="860"/>
      <c r="AV1130" s="860"/>
      <c r="AW1130" s="860"/>
      <c r="AX1130" s="860"/>
      <c r="AY1130" s="860"/>
      <c r="AZ1130" s="860"/>
      <c r="BA1130" s="860"/>
      <c r="BB1130" s="860"/>
      <c r="BC1130" s="860"/>
      <c r="BD1130" s="860"/>
      <c r="BE1130" s="860"/>
      <c r="BF1130" s="860"/>
      <c r="BG1130" s="860"/>
      <c r="BH1130" s="668"/>
      <c r="BI1130" s="654"/>
      <c r="BJ1130" s="690">
        <f t="shared" si="371"/>
        <v>0</v>
      </c>
      <c r="BK1130" s="691">
        <f t="shared" si="372"/>
        <v>0</v>
      </c>
      <c r="BL1130" s="654"/>
      <c r="BM1130" s="692">
        <f>SUMIFS(Imput[[Importe Neto]:[Importe Neto]],Imput[[C. Imp.]:[C. Imp.]],$D1130,Imput[[PERIODO Imp.]:[PERIODO Imp.]],BM$9)</f>
        <v>0</v>
      </c>
      <c r="BN1130" s="693">
        <f>SUMIFS(Imput[[Importe Neto]:[Importe Neto]],Imput[[C. Imp.]:[C. Imp.]],$D1130,Imput[[PERIODO Imp.]:[PERIODO Imp.]],BN$9)</f>
        <v>0</v>
      </c>
      <c r="BO1130" s="693">
        <f>SUMIFS(Imput[[Importe Neto]:[Importe Neto]],Imput[[C. Imp.]:[C. Imp.]],$D1130,Imput[[PERIODO Imp.]:[PERIODO Imp.]],BO$9)</f>
        <v>0</v>
      </c>
      <c r="BP1130" s="693">
        <f>SUMIFS(Imput[[Importe Neto]:[Importe Neto]],Imput[[C. Imp.]:[C. Imp.]],$D1130,Imput[[PERIODO Imp.]:[PERIODO Imp.]],BP$9)</f>
        <v>0</v>
      </c>
      <c r="BQ1130" s="693">
        <f>SUMIFS(Imput[[Importe Neto]:[Importe Neto]],Imput[[C. Imp.]:[C. Imp.]],$D1130,Imput[[PERIODO Imp.]:[PERIODO Imp.]],BQ$9)</f>
        <v>0</v>
      </c>
      <c r="BR1130" s="693">
        <f>SUMIFS(Imput[[Importe Neto]:[Importe Neto]],Imput[[C. Imp.]:[C. Imp.]],$D1130,Imput[[PERIODO Imp.]:[PERIODO Imp.]],BR$9)</f>
        <v>0</v>
      </c>
      <c r="BS1130" s="693">
        <f>SUMIFS(Imput[[Importe Neto]:[Importe Neto]],Imput[[C. Imp.]:[C. Imp.]],$D1130,Imput[[PERIODO Imp.]:[PERIODO Imp.]],BS$9)</f>
        <v>0</v>
      </c>
      <c r="BT1130" s="693">
        <f>SUMIFS(Imput[[Importe Neto]:[Importe Neto]],Imput[[C. Imp.]:[C. Imp.]],$D1130,Imput[[PERIODO Imp.]:[PERIODO Imp.]],BT$9)</f>
        <v>0</v>
      </c>
      <c r="BU1130" s="693">
        <f>SUMIFS(Imput[[Importe Neto]:[Importe Neto]],Imput[[C. Imp.]:[C. Imp.]],$D1130,Imput[[PERIODO Imp.]:[PERIODO Imp.]],BU$9)</f>
        <v>0</v>
      </c>
      <c r="BV1130" s="693">
        <f>SUMIFS(Imput[[Importe Neto]:[Importe Neto]],Imput[[C. Imp.]:[C. Imp.]],$D1130,Imput[[PERIODO Imp.]:[PERIODO Imp.]],BV$9)</f>
        <v>0</v>
      </c>
      <c r="BW1130" s="693">
        <f>SUMIFS(Imput[[Importe Neto]:[Importe Neto]],Imput[[C. Imp.]:[C. Imp.]],$D1130,Imput[[PERIODO Imp.]:[PERIODO Imp.]],BW$9)</f>
        <v>0</v>
      </c>
      <c r="BX1130" s="693">
        <f>SUMIFS(Imput[[Importe Neto]:[Importe Neto]],Imput[[C. Imp.]:[C. Imp.]],$D1130,Imput[[PERIODO Imp.]:[PERIODO Imp.]],BX$9)</f>
        <v>0</v>
      </c>
      <c r="BY1130" s="693">
        <f>SUMIFS(Imput[[Importe Neto]:[Importe Neto]],Imput[[C. Imp.]:[C. Imp.]],$D1130,Imput[[PERIODO Imp.]:[PERIODO Imp.]],BY$9)</f>
        <v>0</v>
      </c>
      <c r="BZ1130" s="693">
        <f>SUMIFS(Imput[[Importe Neto]:[Importe Neto]],Imput[[C. Imp.]:[C. Imp.]],$D1130,Imput[[PERIODO Imp.]:[PERIODO Imp.]],BZ$9)</f>
        <v>0</v>
      </c>
      <c r="CA1130" s="693">
        <f>SUMIFS(Imput[[Importe Neto]:[Importe Neto]],Imput[[C. Imp.]:[C. Imp.]],$D1130,Imput[[PERIODO Imp.]:[PERIODO Imp.]],CA$9)</f>
        <v>0</v>
      </c>
      <c r="CB1130" s="693">
        <f>SUMIFS(Imput[[Importe Neto]:[Importe Neto]],Imput[[C. Imp.]:[C. Imp.]],$D1130,Imput[[PERIODO Imp.]:[PERIODO Imp.]],CB$9)</f>
        <v>0</v>
      </c>
      <c r="CC1130" s="693">
        <f>SUMIFS(Imput[[Importe Neto]:[Importe Neto]],Imput[[C. Imp.]:[C. Imp.]],$D1130,Imput[[PERIODO Imp.]:[PERIODO Imp.]],CC$9)</f>
        <v>0</v>
      </c>
      <c r="CD1130" s="693">
        <f>SUMIFS(Imput[[Importe Neto]:[Importe Neto]],Imput[[C. Imp.]:[C. Imp.]],$D1130,Imput[[PERIODO Imp.]:[PERIODO Imp.]],CD$9)</f>
        <v>0</v>
      </c>
      <c r="CE1130" s="693">
        <f>SUMIFS(Imput[[Importe Neto]:[Importe Neto]],Imput[[C. Imp.]:[C. Imp.]],$D1130,Imput[[PERIODO Imp.]:[PERIODO Imp.]],CE$9)</f>
        <v>0</v>
      </c>
      <c r="CF1130" s="693">
        <f>SUMIFS(Imput[[Importe Neto]:[Importe Neto]],Imput[[C. Imp.]:[C. Imp.]],$D1130,Imput[[PERIODO Imp.]:[PERIODO Imp.]],CF$9)</f>
        <v>0</v>
      </c>
      <c r="CG1130" s="693">
        <f>SUMIFS(Imput[[Importe Neto]:[Importe Neto]],Imput[[C. Imp.]:[C. Imp.]],$D1130,Imput[[PERIODO Imp.]:[PERIODO Imp.]],CG$9)</f>
        <v>0</v>
      </c>
      <c r="CH1130" s="693">
        <f>SUMIFS(Imput[[Importe Neto]:[Importe Neto]],Imput[[C. Imp.]:[C. Imp.]],$D1130,Imput[[PERIODO Imp.]:[PERIODO Imp.]],CH$9)</f>
        <v>0</v>
      </c>
      <c r="CI1130" s="693">
        <f>SUMIFS(Imput[[Importe Neto]:[Importe Neto]],Imput[[C. Imp.]:[C. Imp.]],$D1130,Imput[[PERIODO Imp.]:[PERIODO Imp.]],CI$9)</f>
        <v>0</v>
      </c>
      <c r="CJ1130" s="693">
        <f>SUMIFS(Imput[[Importe Neto]:[Importe Neto]],Imput[[C. Imp.]:[C. Imp.]],$D1130,Imput[[PERIODO Imp.]:[PERIODO Imp.]],CJ$9)</f>
        <v>0</v>
      </c>
      <c r="CK1130" s="693">
        <f>SUMIFS(Imput[[Importe Neto]:[Importe Neto]],Imput[[C. Imp.]:[C. Imp.]],$D1130,Imput[[PERIODO Imp.]:[PERIODO Imp.]],CK$9)</f>
        <v>0</v>
      </c>
      <c r="CL1130" s="693">
        <f>SUMIFS(Imput[[Importe Neto]:[Importe Neto]],Imput[[C. Imp.]:[C. Imp.]],$D1130,Imput[[PERIODO Imp.]:[PERIODO Imp.]],CL$9)</f>
        <v>0</v>
      </c>
      <c r="CM1130" s="693">
        <f>SUMIFS(Imput[[Importe Neto]:[Importe Neto]],Imput[[C. Imp.]:[C. Imp.]],$D1130,Imput[[PERIODO Imp.]:[PERIODO Imp.]],CM$9)</f>
        <v>0</v>
      </c>
      <c r="CN1130" s="693">
        <f>SUMIFS(Imput[[Importe Neto]:[Importe Neto]],Imput[[C. Imp.]:[C. Imp.]],$D1130,Imput[[PERIODO Imp.]:[PERIODO Imp.]],CN$9)</f>
        <v>0</v>
      </c>
      <c r="CO1130" s="693">
        <f>SUMIFS(Imput[[Importe Neto]:[Importe Neto]],Imput[[C. Imp.]:[C. Imp.]],$D1130,Imput[[PERIODO Imp.]:[PERIODO Imp.]],CO$9)</f>
        <v>0</v>
      </c>
      <c r="CP1130" s="693">
        <f>SUMIFS(Imput[[Importe Neto]:[Importe Neto]],Imput[[C. Imp.]:[C. Imp.]],$D1130,Imput[[PERIODO Imp.]:[PERIODO Imp.]],CP$9)</f>
        <v>0</v>
      </c>
      <c r="CQ1130" s="693">
        <f>SUMIFS(Imput[[Importe Neto]:[Importe Neto]],Imput[[C. Imp.]:[C. Imp.]],$D1130,Imput[[PERIODO Imp.]:[PERIODO Imp.]],CQ$9)</f>
        <v>0</v>
      </c>
      <c r="CR1130" s="693">
        <f>SUMIFS(Imput[[Importe Neto]:[Importe Neto]],Imput[[C. Imp.]:[C. Imp.]],$D1130,Imput[[PERIODO Imp.]:[PERIODO Imp.]],CR$9)</f>
        <v>0</v>
      </c>
      <c r="CS1130" s="693">
        <f>SUMIFS(Imput[[Importe Neto]:[Importe Neto]],Imput[[C. Imp.]:[C. Imp.]],$D1130,Imput[[PERIODO Imp.]:[PERIODO Imp.]],CS$9)</f>
        <v>0</v>
      </c>
      <c r="CT1130" s="693">
        <f>SUMIFS(Imput[[Importe Neto]:[Importe Neto]],Imput[[C. Imp.]:[C. Imp.]],$D1130,Imput[[PERIODO Imp.]:[PERIODO Imp.]],CT$9)</f>
        <v>0</v>
      </c>
      <c r="CU1130" s="693">
        <f>SUMIFS(Imput[[Importe Neto]:[Importe Neto]],Imput[[C. Imp.]:[C. Imp.]],$D1130,Imput[[PERIODO Imp.]:[PERIODO Imp.]],CU$9)</f>
        <v>0</v>
      </c>
      <c r="CV1130" s="693">
        <f>SUMIFS(Imput[[Importe Neto]:[Importe Neto]],Imput[[C. Imp.]:[C. Imp.]],$D1130,Imput[[PERIODO Imp.]:[PERIODO Imp.]],CV$9)</f>
        <v>0</v>
      </c>
      <c r="CW1130" s="693">
        <f>SUMIFS(Imput[[Importe Neto]:[Importe Neto]],Imput[[C. Imp.]:[C. Imp.]],$D1130,Imput[[PERIODO Imp.]:[PERIODO Imp.]],CW$9)</f>
        <v>0</v>
      </c>
      <c r="CX1130" s="693">
        <f>SUMIFS(Imput[[Importe Neto]:[Importe Neto]],Imput[[C. Imp.]:[C. Imp.]],$D1130,Imput[[PERIODO Imp.]:[PERIODO Imp.]],CX$9)</f>
        <v>0</v>
      </c>
      <c r="CY1130" s="693">
        <f>SUMIFS(Imput[[Importe Neto]:[Importe Neto]],Imput[[C. Imp.]:[C. Imp.]],$D1130,Imput[[PERIODO Imp.]:[PERIODO Imp.]],CY$9)</f>
        <v>0</v>
      </c>
      <c r="CZ1130" s="693">
        <f>SUMIFS(Imput[[Importe Neto]:[Importe Neto]],Imput[[C. Imp.]:[C. Imp.]],$D1130,Imput[[PERIODO Imp.]:[PERIODO Imp.]],CZ$9)</f>
        <v>0</v>
      </c>
      <c r="DA1130" s="693">
        <f>SUMIFS(Imput[[Importe Neto]:[Importe Neto]],Imput[[C. Imp.]:[C. Imp.]],$D1130,Imput[[PERIODO Imp.]:[PERIODO Imp.]],DA$9)</f>
        <v>0</v>
      </c>
      <c r="DB1130" s="693">
        <f>SUMIFS(Imput[[Importe Neto]:[Importe Neto]],Imput[[C. Imp.]:[C. Imp.]],$D1130,Imput[[PERIODO Imp.]:[PERIODO Imp.]],DB$9)</f>
        <v>0</v>
      </c>
      <c r="DC1130" s="693">
        <f>SUMIFS(Imput[[Importe Neto]:[Importe Neto]],Imput[[C. Imp.]:[C. Imp.]],$D1130,Imput[[PERIODO Imp.]:[PERIODO Imp.]],DC$9)</f>
        <v>0</v>
      </c>
      <c r="DD1130" s="693">
        <f>SUMIFS(Imput[[Importe Neto]:[Importe Neto]],Imput[[C. Imp.]:[C. Imp.]],$D1130,Imput[[PERIODO Imp.]:[PERIODO Imp.]],DD$9)</f>
        <v>0</v>
      </c>
      <c r="DE1130" s="693">
        <f>SUMIFS(Imput[[Importe Neto]:[Importe Neto]],Imput[[C. Imp.]:[C. Imp.]],$D1130,Imput[[PERIODO Imp.]:[PERIODO Imp.]],DE$9)</f>
        <v>0</v>
      </c>
      <c r="DF1130" s="693">
        <f>SUMIFS(Imput[[Importe Neto]:[Importe Neto]],Imput[[C. Imp.]:[C. Imp.]],$D1130,Imput[[PERIODO Imp.]:[PERIODO Imp.]],DF$9)</f>
        <v>0</v>
      </c>
      <c r="DG1130" s="693">
        <f>SUMIFS(Imput[[Importe Neto]:[Importe Neto]],Imput[[C. Imp.]:[C. Imp.]],$D1130,Imput[[PERIODO Imp.]:[PERIODO Imp.]],DG$9)</f>
        <v>0</v>
      </c>
      <c r="DH1130" s="694">
        <f>SUMIFS(Imput[[Importe Neto]:[Importe Neto]],Imput[[C. Imp.]:[C. Imp.]],$D1130,Imput[[PERIODO Imp.]:[PERIODO Imp.]],DH$9)</f>
        <v>0</v>
      </c>
    </row>
    <row r="1131" spans="1:112" s="649" customFormat="1" hidden="1" outlineLevel="1" x14ac:dyDescent="0.3">
      <c r="A1131" s="652" t="str">
        <f t="shared" si="368"/>
        <v/>
      </c>
      <c r="B1131" s="652"/>
      <c r="C1131" s="685"/>
      <c r="D1131" s="686"/>
      <c r="E1131" s="686"/>
      <c r="F1131" s="720"/>
      <c r="G1131" s="688"/>
      <c r="H1131" s="696"/>
      <c r="I1131" s="851" t="str">
        <f t="shared" si="369"/>
        <v/>
      </c>
      <c r="J1131" s="517" t="str">
        <f t="shared" si="370"/>
        <v/>
      </c>
      <c r="K1131" s="667"/>
      <c r="L1131" s="858"/>
      <c r="M1131" s="859"/>
      <c r="N1131" s="859"/>
      <c r="O1131" s="859"/>
      <c r="P1131" s="859"/>
      <c r="Q1131" s="859"/>
      <c r="R1131" s="859"/>
      <c r="S1131" s="859"/>
      <c r="T1131" s="859"/>
      <c r="U1131" s="859"/>
      <c r="V1131" s="859"/>
      <c r="W1131" s="859"/>
      <c r="X1131" s="859"/>
      <c r="Y1131" s="859"/>
      <c r="Z1131" s="860"/>
      <c r="AA1131" s="860"/>
      <c r="AB1131" s="860"/>
      <c r="AC1131" s="860"/>
      <c r="AD1131" s="860"/>
      <c r="AE1131" s="860"/>
      <c r="AF1131" s="860"/>
      <c r="AG1131" s="860"/>
      <c r="AH1131" s="860"/>
      <c r="AI1131" s="860"/>
      <c r="AJ1131" s="860"/>
      <c r="AK1131" s="860"/>
      <c r="AL1131" s="860"/>
      <c r="AM1131" s="860"/>
      <c r="AN1131" s="860"/>
      <c r="AO1131" s="860"/>
      <c r="AP1131" s="860"/>
      <c r="AQ1131" s="860"/>
      <c r="AR1131" s="860"/>
      <c r="AS1131" s="860"/>
      <c r="AT1131" s="860"/>
      <c r="AU1131" s="860"/>
      <c r="AV1131" s="860"/>
      <c r="AW1131" s="860"/>
      <c r="AX1131" s="860"/>
      <c r="AY1131" s="860"/>
      <c r="AZ1131" s="860"/>
      <c r="BA1131" s="860"/>
      <c r="BB1131" s="860"/>
      <c r="BC1131" s="860"/>
      <c r="BD1131" s="860"/>
      <c r="BE1131" s="860"/>
      <c r="BF1131" s="860"/>
      <c r="BG1131" s="860"/>
      <c r="BH1131" s="668"/>
      <c r="BI1131" s="654"/>
      <c r="BJ1131" s="690">
        <f t="shared" si="371"/>
        <v>0</v>
      </c>
      <c r="BK1131" s="691">
        <f t="shared" si="372"/>
        <v>0</v>
      </c>
      <c r="BL1131" s="654"/>
      <c r="BM1131" s="697">
        <f>SUMIFS(Imput[[Importe Neto]:[Importe Neto]],Imput[[C. Imp.]:[C. Imp.]],$D1131,Imput[[PERIODO Imp.]:[PERIODO Imp.]],BM$9)</f>
        <v>0</v>
      </c>
      <c r="BN1131" s="698">
        <f>SUMIFS(Imput[[Importe Neto]:[Importe Neto]],Imput[[C. Imp.]:[C. Imp.]],$D1131,Imput[[PERIODO Imp.]:[PERIODO Imp.]],BN$9)</f>
        <v>0</v>
      </c>
      <c r="BO1131" s="698">
        <f>SUMIFS(Imput[[Importe Neto]:[Importe Neto]],Imput[[C. Imp.]:[C. Imp.]],$D1131,Imput[[PERIODO Imp.]:[PERIODO Imp.]],BO$9)</f>
        <v>0</v>
      </c>
      <c r="BP1131" s="698">
        <f>SUMIFS(Imput[[Importe Neto]:[Importe Neto]],Imput[[C. Imp.]:[C. Imp.]],$D1131,Imput[[PERIODO Imp.]:[PERIODO Imp.]],BP$9)</f>
        <v>0</v>
      </c>
      <c r="BQ1131" s="698">
        <f>SUMIFS(Imput[[Importe Neto]:[Importe Neto]],Imput[[C. Imp.]:[C. Imp.]],$D1131,Imput[[PERIODO Imp.]:[PERIODO Imp.]],BQ$9)</f>
        <v>0</v>
      </c>
      <c r="BR1131" s="698">
        <f>SUMIFS(Imput[[Importe Neto]:[Importe Neto]],Imput[[C. Imp.]:[C. Imp.]],$D1131,Imput[[PERIODO Imp.]:[PERIODO Imp.]],BR$9)</f>
        <v>0</v>
      </c>
      <c r="BS1131" s="698">
        <f>SUMIFS(Imput[[Importe Neto]:[Importe Neto]],Imput[[C. Imp.]:[C. Imp.]],$D1131,Imput[[PERIODO Imp.]:[PERIODO Imp.]],BS$9)</f>
        <v>0</v>
      </c>
      <c r="BT1131" s="698">
        <f>SUMIFS(Imput[[Importe Neto]:[Importe Neto]],Imput[[C. Imp.]:[C. Imp.]],$D1131,Imput[[PERIODO Imp.]:[PERIODO Imp.]],BT$9)</f>
        <v>0</v>
      </c>
      <c r="BU1131" s="698">
        <f>SUMIFS(Imput[[Importe Neto]:[Importe Neto]],Imput[[C. Imp.]:[C. Imp.]],$D1131,Imput[[PERIODO Imp.]:[PERIODO Imp.]],BU$9)</f>
        <v>0</v>
      </c>
      <c r="BV1131" s="698">
        <f>SUMIFS(Imput[[Importe Neto]:[Importe Neto]],Imput[[C. Imp.]:[C. Imp.]],$D1131,Imput[[PERIODO Imp.]:[PERIODO Imp.]],BV$9)</f>
        <v>0</v>
      </c>
      <c r="BW1131" s="698">
        <f>SUMIFS(Imput[[Importe Neto]:[Importe Neto]],Imput[[C. Imp.]:[C. Imp.]],$D1131,Imput[[PERIODO Imp.]:[PERIODO Imp.]],BW$9)</f>
        <v>0</v>
      </c>
      <c r="BX1131" s="698">
        <f>SUMIFS(Imput[[Importe Neto]:[Importe Neto]],Imput[[C. Imp.]:[C. Imp.]],$D1131,Imput[[PERIODO Imp.]:[PERIODO Imp.]],BX$9)</f>
        <v>0</v>
      </c>
      <c r="BY1131" s="698">
        <f>SUMIFS(Imput[[Importe Neto]:[Importe Neto]],Imput[[C. Imp.]:[C. Imp.]],$D1131,Imput[[PERIODO Imp.]:[PERIODO Imp.]],BY$9)</f>
        <v>0</v>
      </c>
      <c r="BZ1131" s="698">
        <f>SUMIFS(Imput[[Importe Neto]:[Importe Neto]],Imput[[C. Imp.]:[C. Imp.]],$D1131,Imput[[PERIODO Imp.]:[PERIODO Imp.]],BZ$9)</f>
        <v>0</v>
      </c>
      <c r="CA1131" s="698">
        <f>SUMIFS(Imput[[Importe Neto]:[Importe Neto]],Imput[[C. Imp.]:[C. Imp.]],$D1131,Imput[[PERIODO Imp.]:[PERIODO Imp.]],CA$9)</f>
        <v>0</v>
      </c>
      <c r="CB1131" s="698">
        <f>SUMIFS(Imput[[Importe Neto]:[Importe Neto]],Imput[[C. Imp.]:[C. Imp.]],$D1131,Imput[[PERIODO Imp.]:[PERIODO Imp.]],CB$9)</f>
        <v>0</v>
      </c>
      <c r="CC1131" s="698">
        <f>SUMIFS(Imput[[Importe Neto]:[Importe Neto]],Imput[[C. Imp.]:[C. Imp.]],$D1131,Imput[[PERIODO Imp.]:[PERIODO Imp.]],CC$9)</f>
        <v>0</v>
      </c>
      <c r="CD1131" s="698">
        <f>SUMIFS(Imput[[Importe Neto]:[Importe Neto]],Imput[[C. Imp.]:[C. Imp.]],$D1131,Imput[[PERIODO Imp.]:[PERIODO Imp.]],CD$9)</f>
        <v>0</v>
      </c>
      <c r="CE1131" s="698">
        <f>SUMIFS(Imput[[Importe Neto]:[Importe Neto]],Imput[[C. Imp.]:[C. Imp.]],$D1131,Imput[[PERIODO Imp.]:[PERIODO Imp.]],CE$9)</f>
        <v>0</v>
      </c>
      <c r="CF1131" s="698">
        <f>SUMIFS(Imput[[Importe Neto]:[Importe Neto]],Imput[[C. Imp.]:[C. Imp.]],$D1131,Imput[[PERIODO Imp.]:[PERIODO Imp.]],CF$9)</f>
        <v>0</v>
      </c>
      <c r="CG1131" s="698">
        <f>SUMIFS(Imput[[Importe Neto]:[Importe Neto]],Imput[[C. Imp.]:[C. Imp.]],$D1131,Imput[[PERIODO Imp.]:[PERIODO Imp.]],CG$9)</f>
        <v>0</v>
      </c>
      <c r="CH1131" s="698">
        <f>SUMIFS(Imput[[Importe Neto]:[Importe Neto]],Imput[[C. Imp.]:[C. Imp.]],$D1131,Imput[[PERIODO Imp.]:[PERIODO Imp.]],CH$9)</f>
        <v>0</v>
      </c>
      <c r="CI1131" s="698">
        <f>SUMIFS(Imput[[Importe Neto]:[Importe Neto]],Imput[[C. Imp.]:[C. Imp.]],$D1131,Imput[[PERIODO Imp.]:[PERIODO Imp.]],CI$9)</f>
        <v>0</v>
      </c>
      <c r="CJ1131" s="698">
        <f>SUMIFS(Imput[[Importe Neto]:[Importe Neto]],Imput[[C. Imp.]:[C. Imp.]],$D1131,Imput[[PERIODO Imp.]:[PERIODO Imp.]],CJ$9)</f>
        <v>0</v>
      </c>
      <c r="CK1131" s="698">
        <f>SUMIFS(Imput[[Importe Neto]:[Importe Neto]],Imput[[C. Imp.]:[C. Imp.]],$D1131,Imput[[PERIODO Imp.]:[PERIODO Imp.]],CK$9)</f>
        <v>0</v>
      </c>
      <c r="CL1131" s="698">
        <f>SUMIFS(Imput[[Importe Neto]:[Importe Neto]],Imput[[C. Imp.]:[C. Imp.]],$D1131,Imput[[PERIODO Imp.]:[PERIODO Imp.]],CL$9)</f>
        <v>0</v>
      </c>
      <c r="CM1131" s="698">
        <f>SUMIFS(Imput[[Importe Neto]:[Importe Neto]],Imput[[C. Imp.]:[C. Imp.]],$D1131,Imput[[PERIODO Imp.]:[PERIODO Imp.]],CM$9)</f>
        <v>0</v>
      </c>
      <c r="CN1131" s="698">
        <f>SUMIFS(Imput[[Importe Neto]:[Importe Neto]],Imput[[C. Imp.]:[C. Imp.]],$D1131,Imput[[PERIODO Imp.]:[PERIODO Imp.]],CN$9)</f>
        <v>0</v>
      </c>
      <c r="CO1131" s="698">
        <f>SUMIFS(Imput[[Importe Neto]:[Importe Neto]],Imput[[C. Imp.]:[C. Imp.]],$D1131,Imput[[PERIODO Imp.]:[PERIODO Imp.]],CO$9)</f>
        <v>0</v>
      </c>
      <c r="CP1131" s="698">
        <f>SUMIFS(Imput[[Importe Neto]:[Importe Neto]],Imput[[C. Imp.]:[C. Imp.]],$D1131,Imput[[PERIODO Imp.]:[PERIODO Imp.]],CP$9)</f>
        <v>0</v>
      </c>
      <c r="CQ1131" s="698">
        <f>SUMIFS(Imput[[Importe Neto]:[Importe Neto]],Imput[[C. Imp.]:[C. Imp.]],$D1131,Imput[[PERIODO Imp.]:[PERIODO Imp.]],CQ$9)</f>
        <v>0</v>
      </c>
      <c r="CR1131" s="698">
        <f>SUMIFS(Imput[[Importe Neto]:[Importe Neto]],Imput[[C. Imp.]:[C. Imp.]],$D1131,Imput[[PERIODO Imp.]:[PERIODO Imp.]],CR$9)</f>
        <v>0</v>
      </c>
      <c r="CS1131" s="698">
        <f>SUMIFS(Imput[[Importe Neto]:[Importe Neto]],Imput[[C. Imp.]:[C. Imp.]],$D1131,Imput[[PERIODO Imp.]:[PERIODO Imp.]],CS$9)</f>
        <v>0</v>
      </c>
      <c r="CT1131" s="698">
        <f>SUMIFS(Imput[[Importe Neto]:[Importe Neto]],Imput[[C. Imp.]:[C. Imp.]],$D1131,Imput[[PERIODO Imp.]:[PERIODO Imp.]],CT$9)</f>
        <v>0</v>
      </c>
      <c r="CU1131" s="698">
        <f>SUMIFS(Imput[[Importe Neto]:[Importe Neto]],Imput[[C. Imp.]:[C. Imp.]],$D1131,Imput[[PERIODO Imp.]:[PERIODO Imp.]],CU$9)</f>
        <v>0</v>
      </c>
      <c r="CV1131" s="698">
        <f>SUMIFS(Imput[[Importe Neto]:[Importe Neto]],Imput[[C. Imp.]:[C. Imp.]],$D1131,Imput[[PERIODO Imp.]:[PERIODO Imp.]],CV$9)</f>
        <v>0</v>
      </c>
      <c r="CW1131" s="698">
        <f>SUMIFS(Imput[[Importe Neto]:[Importe Neto]],Imput[[C. Imp.]:[C. Imp.]],$D1131,Imput[[PERIODO Imp.]:[PERIODO Imp.]],CW$9)</f>
        <v>0</v>
      </c>
      <c r="CX1131" s="698">
        <f>SUMIFS(Imput[[Importe Neto]:[Importe Neto]],Imput[[C. Imp.]:[C. Imp.]],$D1131,Imput[[PERIODO Imp.]:[PERIODO Imp.]],CX$9)</f>
        <v>0</v>
      </c>
      <c r="CY1131" s="698">
        <f>SUMIFS(Imput[[Importe Neto]:[Importe Neto]],Imput[[C. Imp.]:[C. Imp.]],$D1131,Imput[[PERIODO Imp.]:[PERIODO Imp.]],CY$9)</f>
        <v>0</v>
      </c>
      <c r="CZ1131" s="698">
        <f>SUMIFS(Imput[[Importe Neto]:[Importe Neto]],Imput[[C. Imp.]:[C. Imp.]],$D1131,Imput[[PERIODO Imp.]:[PERIODO Imp.]],CZ$9)</f>
        <v>0</v>
      </c>
      <c r="DA1131" s="698">
        <f>SUMIFS(Imput[[Importe Neto]:[Importe Neto]],Imput[[C. Imp.]:[C. Imp.]],$D1131,Imput[[PERIODO Imp.]:[PERIODO Imp.]],DA$9)</f>
        <v>0</v>
      </c>
      <c r="DB1131" s="698">
        <f>SUMIFS(Imput[[Importe Neto]:[Importe Neto]],Imput[[C. Imp.]:[C. Imp.]],$D1131,Imput[[PERIODO Imp.]:[PERIODO Imp.]],DB$9)</f>
        <v>0</v>
      </c>
      <c r="DC1131" s="698">
        <f>SUMIFS(Imput[[Importe Neto]:[Importe Neto]],Imput[[C. Imp.]:[C. Imp.]],$D1131,Imput[[PERIODO Imp.]:[PERIODO Imp.]],DC$9)</f>
        <v>0</v>
      </c>
      <c r="DD1131" s="698">
        <f>SUMIFS(Imput[[Importe Neto]:[Importe Neto]],Imput[[C. Imp.]:[C. Imp.]],$D1131,Imput[[PERIODO Imp.]:[PERIODO Imp.]],DD$9)</f>
        <v>0</v>
      </c>
      <c r="DE1131" s="698">
        <f>SUMIFS(Imput[[Importe Neto]:[Importe Neto]],Imput[[C. Imp.]:[C. Imp.]],$D1131,Imput[[PERIODO Imp.]:[PERIODO Imp.]],DE$9)</f>
        <v>0</v>
      </c>
      <c r="DF1131" s="698">
        <f>SUMIFS(Imput[[Importe Neto]:[Importe Neto]],Imput[[C. Imp.]:[C. Imp.]],$D1131,Imput[[PERIODO Imp.]:[PERIODO Imp.]],DF$9)</f>
        <v>0</v>
      </c>
      <c r="DG1131" s="698">
        <f>SUMIFS(Imput[[Importe Neto]:[Importe Neto]],Imput[[C. Imp.]:[C. Imp.]],$D1131,Imput[[PERIODO Imp.]:[PERIODO Imp.]],DG$9)</f>
        <v>0</v>
      </c>
      <c r="DH1131" s="795">
        <f>SUMIFS(Imput[[Importe Neto]:[Importe Neto]],Imput[[C. Imp.]:[C. Imp.]],$D1131,Imput[[PERIODO Imp.]:[PERIODO Imp.]],DH$9)</f>
        <v>0</v>
      </c>
    </row>
    <row r="1132" spans="1:112" s="649" customFormat="1" ht="14.4" hidden="1" outlineLevel="1" thickBot="1" x14ac:dyDescent="0.35">
      <c r="A1132" s="652" t="str">
        <f>IF(J1120&gt;0,"Imprimir","")</f>
        <v/>
      </c>
      <c r="B1132" s="652"/>
      <c r="C1132" s="699"/>
      <c r="D1132" s="700"/>
      <c r="E1132" s="700"/>
      <c r="F1132" s="701"/>
      <c r="G1132" s="702"/>
      <c r="H1132" s="703"/>
      <c r="I1132" s="704"/>
      <c r="J1132" s="705"/>
      <c r="K1132" s="667"/>
      <c r="L1132" s="706"/>
      <c r="M1132" s="707"/>
      <c r="N1132" s="777"/>
      <c r="O1132" s="777"/>
      <c r="P1132" s="778"/>
      <c r="Q1132" s="778"/>
      <c r="R1132" s="708"/>
      <c r="S1132" s="708"/>
      <c r="T1132" s="779"/>
      <c r="U1132" s="779"/>
      <c r="V1132" s="778"/>
      <c r="W1132" s="778"/>
      <c r="X1132" s="708"/>
      <c r="Y1132" s="708"/>
      <c r="Z1132" s="708"/>
      <c r="AA1132" s="708"/>
      <c r="AB1132" s="708"/>
      <c r="AC1132" s="708"/>
      <c r="AD1132" s="708"/>
      <c r="AE1132" s="708"/>
      <c r="AF1132" s="708"/>
      <c r="AG1132" s="708"/>
      <c r="AH1132" s="708"/>
      <c r="AI1132" s="708"/>
      <c r="AJ1132" s="708"/>
      <c r="AK1132" s="708"/>
      <c r="AL1132" s="708"/>
      <c r="AM1132" s="708"/>
      <c r="AN1132" s="708"/>
      <c r="AO1132" s="708"/>
      <c r="AP1132" s="708"/>
      <c r="AQ1132" s="708"/>
      <c r="AR1132" s="708"/>
      <c r="AS1132" s="708"/>
      <c r="AT1132" s="708"/>
      <c r="AU1132" s="708"/>
      <c r="AV1132" s="708"/>
      <c r="AW1132" s="708"/>
      <c r="AX1132" s="708"/>
      <c r="AY1132" s="708"/>
      <c r="AZ1132" s="708"/>
      <c r="BA1132" s="708"/>
      <c r="BB1132" s="708"/>
      <c r="BC1132" s="708"/>
      <c r="BD1132" s="708"/>
      <c r="BE1132" s="708"/>
      <c r="BF1132" s="708"/>
      <c r="BG1132" s="708"/>
      <c r="BH1132" s="780"/>
      <c r="BI1132" s="654"/>
      <c r="BJ1132" s="709"/>
      <c r="BK1132" s="710"/>
      <c r="BL1132" s="654"/>
      <c r="BM1132" s="731"/>
      <c r="BN1132" s="701"/>
      <c r="BO1132" s="701"/>
      <c r="BP1132" s="701"/>
      <c r="BQ1132" s="701"/>
      <c r="BR1132" s="701"/>
      <c r="BS1132" s="701"/>
      <c r="BT1132" s="701"/>
      <c r="BU1132" s="701"/>
      <c r="BV1132" s="701"/>
      <c r="BW1132" s="701"/>
      <c r="BX1132" s="701"/>
      <c r="BY1132" s="701"/>
      <c r="BZ1132" s="701"/>
      <c r="CA1132" s="701"/>
      <c r="CB1132" s="701"/>
      <c r="CC1132" s="701"/>
      <c r="CD1132" s="701"/>
      <c r="CE1132" s="701"/>
      <c r="CF1132" s="701"/>
      <c r="CG1132" s="701"/>
      <c r="CH1132" s="701"/>
      <c r="CI1132" s="701"/>
      <c r="CJ1132" s="701"/>
      <c r="CK1132" s="701"/>
      <c r="CL1132" s="701"/>
      <c r="CM1132" s="701"/>
      <c r="CN1132" s="701"/>
      <c r="CO1132" s="701"/>
      <c r="CP1132" s="701"/>
      <c r="CQ1132" s="701"/>
      <c r="CR1132" s="701"/>
      <c r="CS1132" s="701"/>
      <c r="CT1132" s="701"/>
      <c r="CU1132" s="701"/>
      <c r="CV1132" s="701"/>
      <c r="CW1132" s="701"/>
      <c r="CX1132" s="701"/>
      <c r="CY1132" s="701"/>
      <c r="CZ1132" s="701"/>
      <c r="DA1132" s="701"/>
      <c r="DB1132" s="701"/>
      <c r="DC1132" s="701"/>
      <c r="DD1132" s="701"/>
      <c r="DE1132" s="701"/>
      <c r="DF1132" s="701"/>
      <c r="DG1132" s="701"/>
      <c r="DH1132" s="710"/>
    </row>
    <row r="1133" spans="1:112" s="649" customFormat="1" hidden="1" collapsed="1" x14ac:dyDescent="0.3">
      <c r="A1133" s="652" t="str">
        <f>IF(J1133&gt;0,"Imprimir","")</f>
        <v/>
      </c>
      <c r="B1133" s="652"/>
      <c r="C1133" s="711"/>
      <c r="D1133" s="712" t="s">
        <v>453</v>
      </c>
      <c r="E1133" s="712" t="s">
        <v>507</v>
      </c>
      <c r="F1133" s="712"/>
      <c r="G1133" s="713"/>
      <c r="H1133" s="712"/>
      <c r="I1133" s="714"/>
      <c r="J1133" s="715">
        <f>SUBTOTAL(9,J1136:J1155)</f>
        <v>0</v>
      </c>
      <c r="K1133" s="658"/>
      <c r="L1133" s="770">
        <f t="shared" ref="L1133:BG1133" si="373">SUMPRODUCT($J1136:$J1155,L1136:L1155)</f>
        <v>0</v>
      </c>
      <c r="M1133" s="771">
        <f t="shared" si="373"/>
        <v>0</v>
      </c>
      <c r="N1133" s="771">
        <f t="shared" si="373"/>
        <v>0</v>
      </c>
      <c r="O1133" s="771">
        <f t="shared" si="373"/>
        <v>0</v>
      </c>
      <c r="P1133" s="771">
        <f t="shared" si="373"/>
        <v>0</v>
      </c>
      <c r="Q1133" s="771">
        <f t="shared" si="373"/>
        <v>0</v>
      </c>
      <c r="R1133" s="771">
        <f t="shared" si="373"/>
        <v>0</v>
      </c>
      <c r="S1133" s="771">
        <f t="shared" si="373"/>
        <v>0</v>
      </c>
      <c r="T1133" s="771">
        <f t="shared" si="373"/>
        <v>0</v>
      </c>
      <c r="U1133" s="771">
        <f t="shared" si="373"/>
        <v>0</v>
      </c>
      <c r="V1133" s="771">
        <f t="shared" si="373"/>
        <v>0</v>
      </c>
      <c r="W1133" s="771">
        <f t="shared" si="373"/>
        <v>0</v>
      </c>
      <c r="X1133" s="771">
        <f t="shared" si="373"/>
        <v>0</v>
      </c>
      <c r="Y1133" s="771">
        <f t="shared" si="373"/>
        <v>0</v>
      </c>
      <c r="Z1133" s="771">
        <f t="shared" si="373"/>
        <v>0</v>
      </c>
      <c r="AA1133" s="771">
        <f t="shared" si="373"/>
        <v>0</v>
      </c>
      <c r="AB1133" s="771">
        <f t="shared" si="373"/>
        <v>0</v>
      </c>
      <c r="AC1133" s="771">
        <f t="shared" si="373"/>
        <v>0</v>
      </c>
      <c r="AD1133" s="771">
        <f t="shared" si="373"/>
        <v>0</v>
      </c>
      <c r="AE1133" s="771">
        <f t="shared" si="373"/>
        <v>0</v>
      </c>
      <c r="AF1133" s="771">
        <f t="shared" si="373"/>
        <v>0</v>
      </c>
      <c r="AG1133" s="771">
        <f t="shared" si="373"/>
        <v>0</v>
      </c>
      <c r="AH1133" s="771">
        <f t="shared" si="373"/>
        <v>0</v>
      </c>
      <c r="AI1133" s="771">
        <f t="shared" si="373"/>
        <v>0</v>
      </c>
      <c r="AJ1133" s="771">
        <f t="shared" si="373"/>
        <v>0</v>
      </c>
      <c r="AK1133" s="771">
        <f t="shared" si="373"/>
        <v>0</v>
      </c>
      <c r="AL1133" s="771">
        <f t="shared" si="373"/>
        <v>0</v>
      </c>
      <c r="AM1133" s="771">
        <f t="shared" si="373"/>
        <v>0</v>
      </c>
      <c r="AN1133" s="771">
        <f t="shared" si="373"/>
        <v>0</v>
      </c>
      <c r="AO1133" s="771">
        <f t="shared" si="373"/>
        <v>0</v>
      </c>
      <c r="AP1133" s="771">
        <f t="shared" si="373"/>
        <v>0</v>
      </c>
      <c r="AQ1133" s="771">
        <f t="shared" si="373"/>
        <v>0</v>
      </c>
      <c r="AR1133" s="771">
        <f t="shared" si="373"/>
        <v>0</v>
      </c>
      <c r="AS1133" s="771">
        <f t="shared" si="373"/>
        <v>0</v>
      </c>
      <c r="AT1133" s="771">
        <f t="shared" si="373"/>
        <v>0</v>
      </c>
      <c r="AU1133" s="771">
        <f t="shared" si="373"/>
        <v>0</v>
      </c>
      <c r="AV1133" s="771">
        <f t="shared" si="373"/>
        <v>0</v>
      </c>
      <c r="AW1133" s="771">
        <f t="shared" si="373"/>
        <v>0</v>
      </c>
      <c r="AX1133" s="771">
        <f t="shared" si="373"/>
        <v>0</v>
      </c>
      <c r="AY1133" s="771">
        <f t="shared" si="373"/>
        <v>0</v>
      </c>
      <c r="AZ1133" s="771">
        <f t="shared" si="373"/>
        <v>0</v>
      </c>
      <c r="BA1133" s="771">
        <f t="shared" si="373"/>
        <v>0</v>
      </c>
      <c r="BB1133" s="771">
        <f t="shared" si="373"/>
        <v>0</v>
      </c>
      <c r="BC1133" s="771">
        <f t="shared" si="373"/>
        <v>0</v>
      </c>
      <c r="BD1133" s="771">
        <f t="shared" si="373"/>
        <v>0</v>
      </c>
      <c r="BE1133" s="771">
        <f t="shared" si="373"/>
        <v>0</v>
      </c>
      <c r="BF1133" s="771">
        <f t="shared" si="373"/>
        <v>0</v>
      </c>
      <c r="BG1133" s="764">
        <f t="shared" si="373"/>
        <v>0</v>
      </c>
      <c r="BH1133" s="776"/>
      <c r="BI1133" s="654"/>
      <c r="BJ1133" s="659">
        <f>IFERROR(13/J1133,0)</f>
        <v>0</v>
      </c>
      <c r="BK1133" s="660">
        <f>SUBTOTAL(9,BK1134:BK1155)</f>
        <v>0</v>
      </c>
      <c r="BL1133" s="654"/>
      <c r="BM1133" s="661">
        <f t="shared" ref="BM1133:DH1133" si="374">SUBTOTAL(9,BM1134:BM1155)</f>
        <v>0</v>
      </c>
      <c r="BN1133" s="662">
        <f t="shared" si="374"/>
        <v>0</v>
      </c>
      <c r="BO1133" s="662">
        <f t="shared" si="374"/>
        <v>0</v>
      </c>
      <c r="BP1133" s="662">
        <f t="shared" si="374"/>
        <v>0</v>
      </c>
      <c r="BQ1133" s="662">
        <f t="shared" si="374"/>
        <v>0</v>
      </c>
      <c r="BR1133" s="662">
        <f t="shared" si="374"/>
        <v>0</v>
      </c>
      <c r="BS1133" s="662">
        <f t="shared" si="374"/>
        <v>0</v>
      </c>
      <c r="BT1133" s="662">
        <f t="shared" si="374"/>
        <v>0</v>
      </c>
      <c r="BU1133" s="662">
        <f t="shared" si="374"/>
        <v>0</v>
      </c>
      <c r="BV1133" s="662">
        <f t="shared" si="374"/>
        <v>0</v>
      </c>
      <c r="BW1133" s="662">
        <f t="shared" si="374"/>
        <v>0</v>
      </c>
      <c r="BX1133" s="662">
        <f t="shared" si="374"/>
        <v>0</v>
      </c>
      <c r="BY1133" s="662">
        <f t="shared" si="374"/>
        <v>0</v>
      </c>
      <c r="BZ1133" s="662">
        <f t="shared" si="374"/>
        <v>0</v>
      </c>
      <c r="CA1133" s="662">
        <f t="shared" si="374"/>
        <v>0</v>
      </c>
      <c r="CB1133" s="662">
        <f t="shared" si="374"/>
        <v>0</v>
      </c>
      <c r="CC1133" s="662">
        <f t="shared" si="374"/>
        <v>0</v>
      </c>
      <c r="CD1133" s="662">
        <f t="shared" si="374"/>
        <v>0</v>
      </c>
      <c r="CE1133" s="662">
        <f t="shared" si="374"/>
        <v>0</v>
      </c>
      <c r="CF1133" s="662">
        <f t="shared" si="374"/>
        <v>0</v>
      </c>
      <c r="CG1133" s="662">
        <f t="shared" si="374"/>
        <v>0</v>
      </c>
      <c r="CH1133" s="662">
        <f t="shared" si="374"/>
        <v>0</v>
      </c>
      <c r="CI1133" s="662">
        <f t="shared" si="374"/>
        <v>0</v>
      </c>
      <c r="CJ1133" s="662">
        <f t="shared" si="374"/>
        <v>0</v>
      </c>
      <c r="CK1133" s="662">
        <f t="shared" si="374"/>
        <v>0</v>
      </c>
      <c r="CL1133" s="662">
        <f t="shared" si="374"/>
        <v>0</v>
      </c>
      <c r="CM1133" s="662">
        <f t="shared" si="374"/>
        <v>0</v>
      </c>
      <c r="CN1133" s="662">
        <f t="shared" si="374"/>
        <v>0</v>
      </c>
      <c r="CO1133" s="662">
        <f t="shared" si="374"/>
        <v>0</v>
      </c>
      <c r="CP1133" s="662">
        <f t="shared" si="374"/>
        <v>0</v>
      </c>
      <c r="CQ1133" s="662">
        <f t="shared" si="374"/>
        <v>0</v>
      </c>
      <c r="CR1133" s="662">
        <f t="shared" si="374"/>
        <v>0</v>
      </c>
      <c r="CS1133" s="662">
        <f t="shared" si="374"/>
        <v>0</v>
      </c>
      <c r="CT1133" s="662">
        <f t="shared" si="374"/>
        <v>0</v>
      </c>
      <c r="CU1133" s="662">
        <f t="shared" si="374"/>
        <v>0</v>
      </c>
      <c r="CV1133" s="662">
        <f t="shared" si="374"/>
        <v>0</v>
      </c>
      <c r="CW1133" s="662">
        <f t="shared" si="374"/>
        <v>0</v>
      </c>
      <c r="CX1133" s="662">
        <f t="shared" si="374"/>
        <v>0</v>
      </c>
      <c r="CY1133" s="662">
        <f t="shared" si="374"/>
        <v>0</v>
      </c>
      <c r="CZ1133" s="662">
        <f t="shared" si="374"/>
        <v>0</v>
      </c>
      <c r="DA1133" s="662">
        <f t="shared" si="374"/>
        <v>0</v>
      </c>
      <c r="DB1133" s="662">
        <f t="shared" si="374"/>
        <v>0</v>
      </c>
      <c r="DC1133" s="662">
        <f t="shared" si="374"/>
        <v>0</v>
      </c>
      <c r="DD1133" s="662">
        <f t="shared" si="374"/>
        <v>0</v>
      </c>
      <c r="DE1133" s="662">
        <f t="shared" si="374"/>
        <v>0</v>
      </c>
      <c r="DF1133" s="662">
        <f t="shared" si="374"/>
        <v>0</v>
      </c>
      <c r="DG1133" s="662">
        <f t="shared" si="374"/>
        <v>0</v>
      </c>
      <c r="DH1133" s="663">
        <f t="shared" si="374"/>
        <v>0</v>
      </c>
    </row>
    <row r="1134" spans="1:112" s="650" customFormat="1" hidden="1" outlineLevel="1" x14ac:dyDescent="0.3">
      <c r="A1134" s="652" t="str">
        <f>IF(J1133&gt;0,"Imprimir","")</f>
        <v/>
      </c>
      <c r="B1134" s="722"/>
      <c r="C1134" s="664"/>
      <c r="D1134" s="665"/>
      <c r="E1134" s="665"/>
      <c r="F1134" s="665" t="s">
        <v>472</v>
      </c>
      <c r="G1134" s="716" t="s">
        <v>508</v>
      </c>
      <c r="H1134" s="665" t="s">
        <v>98</v>
      </c>
      <c r="I1134" s="665" t="s">
        <v>509</v>
      </c>
      <c r="J1134" s="104" t="s">
        <v>29</v>
      </c>
      <c r="K1134" s="723"/>
      <c r="L1134" s="745"/>
      <c r="M1134" s="741"/>
      <c r="N1134" s="741"/>
      <c r="O1134" s="741"/>
      <c r="P1134" s="741"/>
      <c r="Q1134" s="741"/>
      <c r="R1134" s="741"/>
      <c r="S1134" s="741"/>
      <c r="T1134" s="741"/>
      <c r="U1134" s="741"/>
      <c r="V1134" s="741"/>
      <c r="W1134" s="741"/>
      <c r="X1134" s="741"/>
      <c r="Y1134" s="741"/>
      <c r="Z1134" s="741"/>
      <c r="AA1134" s="741"/>
      <c r="AB1134" s="741"/>
      <c r="AC1134" s="741"/>
      <c r="AD1134" s="741"/>
      <c r="AE1134" s="741"/>
      <c r="AF1134" s="741"/>
      <c r="AG1134" s="741"/>
      <c r="AH1134" s="741"/>
      <c r="AI1134" s="741"/>
      <c r="AJ1134" s="741"/>
      <c r="AK1134" s="741"/>
      <c r="AL1134" s="741"/>
      <c r="AM1134" s="741"/>
      <c r="AN1134" s="741"/>
      <c r="AO1134" s="741"/>
      <c r="AP1134" s="741"/>
      <c r="AQ1134" s="741"/>
      <c r="AR1134" s="741"/>
      <c r="AS1134" s="741"/>
      <c r="AT1134" s="741"/>
      <c r="AU1134" s="741"/>
      <c r="AV1134" s="741"/>
      <c r="AW1134" s="741"/>
      <c r="AX1134" s="741"/>
      <c r="AY1134" s="741"/>
      <c r="AZ1134" s="741"/>
      <c r="BA1134" s="741"/>
      <c r="BB1134" s="741"/>
      <c r="BC1134" s="741"/>
      <c r="BD1134" s="741"/>
      <c r="BE1134" s="741"/>
      <c r="BF1134" s="741"/>
      <c r="BG1134" s="741"/>
      <c r="BH1134" s="724"/>
      <c r="BI1134" s="725"/>
      <c r="BJ1134" s="669"/>
      <c r="BK1134" s="670"/>
      <c r="BL1134" s="725"/>
      <c r="BM1134" s="671"/>
      <c r="BN1134" s="665"/>
      <c r="BO1134" s="665"/>
      <c r="BP1134" s="665"/>
      <c r="BQ1134" s="665"/>
      <c r="BR1134" s="665"/>
      <c r="BS1134" s="665"/>
      <c r="BT1134" s="665"/>
      <c r="BU1134" s="665"/>
      <c r="BV1134" s="665"/>
      <c r="BW1134" s="665"/>
      <c r="BX1134" s="665"/>
      <c r="BY1134" s="665"/>
      <c r="BZ1134" s="665"/>
      <c r="CA1134" s="665"/>
      <c r="CB1134" s="665"/>
      <c r="CC1134" s="665"/>
      <c r="CD1134" s="665"/>
      <c r="CE1134" s="665"/>
      <c r="CF1134" s="665"/>
      <c r="CG1134" s="665"/>
      <c r="CH1134" s="665"/>
      <c r="CI1134" s="665"/>
      <c r="CJ1134" s="665"/>
      <c r="CK1134" s="665"/>
      <c r="CL1134" s="665"/>
      <c r="CM1134" s="665"/>
      <c r="CN1134" s="665"/>
      <c r="CO1134" s="665"/>
      <c r="CP1134" s="665"/>
      <c r="CQ1134" s="665"/>
      <c r="CR1134" s="665"/>
      <c r="CS1134" s="665"/>
      <c r="CT1134" s="665"/>
      <c r="CU1134" s="665"/>
      <c r="CV1134" s="665"/>
      <c r="CW1134" s="665"/>
      <c r="CX1134" s="665"/>
      <c r="CY1134" s="665"/>
      <c r="CZ1134" s="665"/>
      <c r="DA1134" s="665"/>
      <c r="DB1134" s="665"/>
      <c r="DC1134" s="665"/>
      <c r="DD1134" s="665"/>
      <c r="DE1134" s="665"/>
      <c r="DF1134" s="665"/>
      <c r="DG1134" s="665"/>
      <c r="DH1134" s="666"/>
    </row>
    <row r="1135" spans="1:112" s="649" customFormat="1" ht="15.6" hidden="1" outlineLevel="1" x14ac:dyDescent="0.3">
      <c r="A1135" s="652" t="str">
        <f>IF(J1135&gt;0,"Imprimir","")</f>
        <v/>
      </c>
      <c r="B1135" s="652"/>
      <c r="C1135" s="672"/>
      <c r="D1135" s="673"/>
      <c r="E1135" s="674"/>
      <c r="F1135" s="675"/>
      <c r="G1135" s="726"/>
      <c r="H1135" s="676"/>
      <c r="I1135" s="677"/>
      <c r="J1135" s="219">
        <f>SUBTOTAL(9,J1136:J1155)</f>
        <v>0</v>
      </c>
      <c r="K1135" s="678"/>
      <c r="L1135" s="747"/>
      <c r="M1135" s="742"/>
      <c r="N1135" s="742"/>
      <c r="O1135" s="742"/>
      <c r="P1135" s="742"/>
      <c r="Q1135" s="742"/>
      <c r="R1135" s="742"/>
      <c r="S1135" s="742"/>
      <c r="T1135" s="742"/>
      <c r="U1135" s="742"/>
      <c r="V1135" s="742"/>
      <c r="W1135" s="742"/>
      <c r="X1135" s="742"/>
      <c r="Y1135" s="742"/>
      <c r="Z1135" s="742"/>
      <c r="AA1135" s="742"/>
      <c r="AB1135" s="742"/>
      <c r="AC1135" s="742"/>
      <c r="AD1135" s="742"/>
      <c r="AE1135" s="742"/>
      <c r="AF1135" s="742"/>
      <c r="AG1135" s="742"/>
      <c r="AH1135" s="742"/>
      <c r="AI1135" s="742"/>
      <c r="AJ1135" s="742"/>
      <c r="AK1135" s="742"/>
      <c r="AL1135" s="742"/>
      <c r="AM1135" s="742"/>
      <c r="AN1135" s="742"/>
      <c r="AO1135" s="742"/>
      <c r="AP1135" s="742"/>
      <c r="AQ1135" s="742"/>
      <c r="AR1135" s="742"/>
      <c r="AS1135" s="742"/>
      <c r="AT1135" s="742"/>
      <c r="AU1135" s="742"/>
      <c r="AV1135" s="742"/>
      <c r="AW1135" s="742"/>
      <c r="AX1135" s="742"/>
      <c r="AY1135" s="742"/>
      <c r="AZ1135" s="742"/>
      <c r="BA1135" s="742"/>
      <c r="BB1135" s="742"/>
      <c r="BC1135" s="742"/>
      <c r="BD1135" s="742"/>
      <c r="BE1135" s="742"/>
      <c r="BF1135" s="742"/>
      <c r="BG1135" s="742"/>
      <c r="BH1135" s="668"/>
      <c r="BI1135" s="654"/>
      <c r="BJ1135" s="729"/>
      <c r="BK1135" s="681"/>
      <c r="BL1135" s="654"/>
      <c r="BM1135" s="682"/>
      <c r="BN1135" s="683"/>
      <c r="BO1135" s="683"/>
      <c r="BP1135" s="683"/>
      <c r="BQ1135" s="683"/>
      <c r="BR1135" s="683"/>
      <c r="BS1135" s="683"/>
      <c r="BT1135" s="683"/>
      <c r="BU1135" s="683"/>
      <c r="BV1135" s="683"/>
      <c r="BW1135" s="683"/>
      <c r="BX1135" s="683"/>
      <c r="BY1135" s="683"/>
      <c r="BZ1135" s="683"/>
      <c r="CA1135" s="683"/>
      <c r="CB1135" s="683"/>
      <c r="CC1135" s="683"/>
      <c r="CD1135" s="683"/>
      <c r="CE1135" s="683"/>
      <c r="CF1135" s="683"/>
      <c r="CG1135" s="683"/>
      <c r="CH1135" s="683"/>
      <c r="CI1135" s="683"/>
      <c r="CJ1135" s="683"/>
      <c r="CK1135" s="683"/>
      <c r="CL1135" s="683"/>
      <c r="CM1135" s="683"/>
      <c r="CN1135" s="683"/>
      <c r="CO1135" s="683"/>
      <c r="CP1135" s="683"/>
      <c r="CQ1135" s="683"/>
      <c r="CR1135" s="683"/>
      <c r="CS1135" s="683"/>
      <c r="CT1135" s="683"/>
      <c r="CU1135" s="683"/>
      <c r="CV1135" s="683"/>
      <c r="CW1135" s="683"/>
      <c r="CX1135" s="683"/>
      <c r="CY1135" s="683"/>
      <c r="CZ1135" s="683"/>
      <c r="DA1135" s="683"/>
      <c r="DB1135" s="683"/>
      <c r="DC1135" s="683"/>
      <c r="DD1135" s="683"/>
      <c r="DE1135" s="683"/>
      <c r="DF1135" s="683"/>
      <c r="DG1135" s="683"/>
      <c r="DH1135" s="684"/>
    </row>
    <row r="1136" spans="1:112" s="649" customFormat="1" hidden="1" outlineLevel="1" x14ac:dyDescent="0.3">
      <c r="A1136" s="652" t="str">
        <f t="shared" ref="A1136:A1154" si="375">IF(J1136="","",IF(J1136=0,"","Imprimir"))</f>
        <v/>
      </c>
      <c r="B1136" s="652"/>
      <c r="C1136" s="685"/>
      <c r="D1136" s="686"/>
      <c r="E1136" s="686"/>
      <c r="F1136" s="720"/>
      <c r="G1136" s="688"/>
      <c r="H1136" s="689"/>
      <c r="I1136" s="851" t="str">
        <f t="shared" ref="I1136:I1154" si="376">IF(E1136&gt;0,$J$5,"")</f>
        <v/>
      </c>
      <c r="J1136" s="850" t="str">
        <f t="shared" ref="J1136:J1154" si="377">IFERROR(G1136*H1136*I1136,"")</f>
        <v/>
      </c>
      <c r="K1136" s="667"/>
      <c r="L1136" s="858"/>
      <c r="M1136" s="859"/>
      <c r="N1136" s="859"/>
      <c r="O1136" s="859"/>
      <c r="P1136" s="859"/>
      <c r="Q1136" s="859"/>
      <c r="R1136" s="859"/>
      <c r="S1136" s="859"/>
      <c r="T1136" s="859"/>
      <c r="U1136" s="859"/>
      <c r="V1136" s="859"/>
      <c r="W1136" s="859"/>
      <c r="X1136" s="859"/>
      <c r="Y1136" s="859"/>
      <c r="Z1136" s="860"/>
      <c r="AA1136" s="860"/>
      <c r="AB1136" s="860"/>
      <c r="AC1136" s="860"/>
      <c r="AD1136" s="860"/>
      <c r="AE1136" s="860"/>
      <c r="AF1136" s="860"/>
      <c r="AG1136" s="860"/>
      <c r="AH1136" s="860"/>
      <c r="AI1136" s="860"/>
      <c r="AJ1136" s="860"/>
      <c r="AK1136" s="860"/>
      <c r="AL1136" s="860"/>
      <c r="AM1136" s="860"/>
      <c r="AN1136" s="860"/>
      <c r="AO1136" s="860"/>
      <c r="AP1136" s="860"/>
      <c r="AQ1136" s="860"/>
      <c r="AR1136" s="860"/>
      <c r="AS1136" s="860"/>
      <c r="AT1136" s="860"/>
      <c r="AU1136" s="860"/>
      <c r="AV1136" s="860"/>
      <c r="AW1136" s="860"/>
      <c r="AX1136" s="860"/>
      <c r="AY1136" s="860"/>
      <c r="AZ1136" s="860"/>
      <c r="BA1136" s="860"/>
      <c r="BB1136" s="860"/>
      <c r="BC1136" s="860"/>
      <c r="BD1136" s="860"/>
      <c r="BE1136" s="860"/>
      <c r="BF1136" s="860"/>
      <c r="BG1136" s="860"/>
      <c r="BH1136" s="668"/>
      <c r="BI1136" s="667"/>
      <c r="BJ1136" s="690">
        <f t="shared" ref="BJ1136:BJ1154" si="378">IFERROR(BK1136/J1136,0)</f>
        <v>0</v>
      </c>
      <c r="BK1136" s="691">
        <f t="shared" ref="BK1136:BK1154" si="379">SUM(BM1136:DH1136)</f>
        <v>0</v>
      </c>
      <c r="BL1136" s="654"/>
      <c r="BM1136" s="692">
        <f>SUMIFS(Imput[[Importe Neto]:[Importe Neto]],Imput[[C. Imp.]:[C. Imp.]],$D1136,Imput[[PERIODO Imp.]:[PERIODO Imp.]],BM$9)</f>
        <v>0</v>
      </c>
      <c r="BN1136" s="693">
        <f>SUMIFS(Imput[[Importe Neto]:[Importe Neto]],Imput[[C. Imp.]:[C. Imp.]],$D1136,Imput[[PERIODO Imp.]:[PERIODO Imp.]],BN$9)</f>
        <v>0</v>
      </c>
      <c r="BO1136" s="693">
        <f>SUMIFS(Imput[[Importe Neto]:[Importe Neto]],Imput[[C. Imp.]:[C. Imp.]],$D1136,Imput[[PERIODO Imp.]:[PERIODO Imp.]],BO$9)</f>
        <v>0</v>
      </c>
      <c r="BP1136" s="693">
        <f>SUMIFS(Imput[[Importe Neto]:[Importe Neto]],Imput[[C. Imp.]:[C. Imp.]],$D1136,Imput[[PERIODO Imp.]:[PERIODO Imp.]],BP$9)</f>
        <v>0</v>
      </c>
      <c r="BQ1136" s="693">
        <f>SUMIFS(Imput[[Importe Neto]:[Importe Neto]],Imput[[C. Imp.]:[C. Imp.]],$D1136,Imput[[PERIODO Imp.]:[PERIODO Imp.]],BQ$9)</f>
        <v>0</v>
      </c>
      <c r="BR1136" s="693">
        <f>SUMIFS(Imput[[Importe Neto]:[Importe Neto]],Imput[[C. Imp.]:[C. Imp.]],$D1136,Imput[[PERIODO Imp.]:[PERIODO Imp.]],BR$9)</f>
        <v>0</v>
      </c>
      <c r="BS1136" s="693">
        <f>SUMIFS(Imput[[Importe Neto]:[Importe Neto]],Imput[[C. Imp.]:[C. Imp.]],$D1136,Imput[[PERIODO Imp.]:[PERIODO Imp.]],BS$9)</f>
        <v>0</v>
      </c>
      <c r="BT1136" s="693">
        <f>SUMIFS(Imput[[Importe Neto]:[Importe Neto]],Imput[[C. Imp.]:[C. Imp.]],$D1136,Imput[[PERIODO Imp.]:[PERIODO Imp.]],BT$9)</f>
        <v>0</v>
      </c>
      <c r="BU1136" s="693">
        <f>SUMIFS(Imput[[Importe Neto]:[Importe Neto]],Imput[[C. Imp.]:[C. Imp.]],$D1136,Imput[[PERIODO Imp.]:[PERIODO Imp.]],BU$9)</f>
        <v>0</v>
      </c>
      <c r="BV1136" s="693">
        <f>SUMIFS(Imput[[Importe Neto]:[Importe Neto]],Imput[[C. Imp.]:[C. Imp.]],$D1136,Imput[[PERIODO Imp.]:[PERIODO Imp.]],BV$9)</f>
        <v>0</v>
      </c>
      <c r="BW1136" s="693">
        <f>SUMIFS(Imput[[Importe Neto]:[Importe Neto]],Imput[[C. Imp.]:[C. Imp.]],$D1136,Imput[[PERIODO Imp.]:[PERIODO Imp.]],BW$9)</f>
        <v>0</v>
      </c>
      <c r="BX1136" s="693">
        <f>SUMIFS(Imput[[Importe Neto]:[Importe Neto]],Imput[[C. Imp.]:[C. Imp.]],$D1136,Imput[[PERIODO Imp.]:[PERIODO Imp.]],BX$9)</f>
        <v>0</v>
      </c>
      <c r="BY1136" s="693">
        <f>SUMIFS(Imput[[Importe Neto]:[Importe Neto]],Imput[[C. Imp.]:[C. Imp.]],$D1136,Imput[[PERIODO Imp.]:[PERIODO Imp.]],BY$9)</f>
        <v>0</v>
      </c>
      <c r="BZ1136" s="693">
        <f>SUMIFS(Imput[[Importe Neto]:[Importe Neto]],Imput[[C. Imp.]:[C. Imp.]],$D1136,Imput[[PERIODO Imp.]:[PERIODO Imp.]],BZ$9)</f>
        <v>0</v>
      </c>
      <c r="CA1136" s="693">
        <f>SUMIFS(Imput[[Importe Neto]:[Importe Neto]],Imput[[C. Imp.]:[C. Imp.]],$D1136,Imput[[PERIODO Imp.]:[PERIODO Imp.]],CA$9)</f>
        <v>0</v>
      </c>
      <c r="CB1136" s="693">
        <f>SUMIFS(Imput[[Importe Neto]:[Importe Neto]],Imput[[C. Imp.]:[C. Imp.]],$D1136,Imput[[PERIODO Imp.]:[PERIODO Imp.]],CB$9)</f>
        <v>0</v>
      </c>
      <c r="CC1136" s="693">
        <f>SUMIFS(Imput[[Importe Neto]:[Importe Neto]],Imput[[C. Imp.]:[C. Imp.]],$D1136,Imput[[PERIODO Imp.]:[PERIODO Imp.]],CC$9)</f>
        <v>0</v>
      </c>
      <c r="CD1136" s="693">
        <f>SUMIFS(Imput[[Importe Neto]:[Importe Neto]],Imput[[C. Imp.]:[C. Imp.]],$D1136,Imput[[PERIODO Imp.]:[PERIODO Imp.]],CD$9)</f>
        <v>0</v>
      </c>
      <c r="CE1136" s="693">
        <f>SUMIFS(Imput[[Importe Neto]:[Importe Neto]],Imput[[C. Imp.]:[C. Imp.]],$D1136,Imput[[PERIODO Imp.]:[PERIODO Imp.]],CE$9)</f>
        <v>0</v>
      </c>
      <c r="CF1136" s="693">
        <f>SUMIFS(Imput[[Importe Neto]:[Importe Neto]],Imput[[C. Imp.]:[C. Imp.]],$D1136,Imput[[PERIODO Imp.]:[PERIODO Imp.]],CF$9)</f>
        <v>0</v>
      </c>
      <c r="CG1136" s="693">
        <f>SUMIFS(Imput[[Importe Neto]:[Importe Neto]],Imput[[C. Imp.]:[C. Imp.]],$D1136,Imput[[PERIODO Imp.]:[PERIODO Imp.]],CG$9)</f>
        <v>0</v>
      </c>
      <c r="CH1136" s="693">
        <f>SUMIFS(Imput[[Importe Neto]:[Importe Neto]],Imput[[C. Imp.]:[C. Imp.]],$D1136,Imput[[PERIODO Imp.]:[PERIODO Imp.]],CH$9)</f>
        <v>0</v>
      </c>
      <c r="CI1136" s="693">
        <f>SUMIFS(Imput[[Importe Neto]:[Importe Neto]],Imput[[C. Imp.]:[C. Imp.]],$D1136,Imput[[PERIODO Imp.]:[PERIODO Imp.]],CI$9)</f>
        <v>0</v>
      </c>
      <c r="CJ1136" s="693">
        <f>SUMIFS(Imput[[Importe Neto]:[Importe Neto]],Imput[[C. Imp.]:[C. Imp.]],$D1136,Imput[[PERIODO Imp.]:[PERIODO Imp.]],CJ$9)</f>
        <v>0</v>
      </c>
      <c r="CK1136" s="693">
        <f>SUMIFS(Imput[[Importe Neto]:[Importe Neto]],Imput[[C. Imp.]:[C. Imp.]],$D1136,Imput[[PERIODO Imp.]:[PERIODO Imp.]],CK$9)</f>
        <v>0</v>
      </c>
      <c r="CL1136" s="693">
        <f>SUMIFS(Imput[[Importe Neto]:[Importe Neto]],Imput[[C. Imp.]:[C. Imp.]],$D1136,Imput[[PERIODO Imp.]:[PERIODO Imp.]],CL$9)</f>
        <v>0</v>
      </c>
      <c r="CM1136" s="693">
        <f>SUMIFS(Imput[[Importe Neto]:[Importe Neto]],Imput[[C. Imp.]:[C. Imp.]],$D1136,Imput[[PERIODO Imp.]:[PERIODO Imp.]],CM$9)</f>
        <v>0</v>
      </c>
      <c r="CN1136" s="693">
        <f>SUMIFS(Imput[[Importe Neto]:[Importe Neto]],Imput[[C. Imp.]:[C. Imp.]],$D1136,Imput[[PERIODO Imp.]:[PERIODO Imp.]],CN$9)</f>
        <v>0</v>
      </c>
      <c r="CO1136" s="693">
        <f>SUMIFS(Imput[[Importe Neto]:[Importe Neto]],Imput[[C. Imp.]:[C. Imp.]],$D1136,Imput[[PERIODO Imp.]:[PERIODO Imp.]],CO$9)</f>
        <v>0</v>
      </c>
      <c r="CP1136" s="693">
        <f>SUMIFS(Imput[[Importe Neto]:[Importe Neto]],Imput[[C. Imp.]:[C. Imp.]],$D1136,Imput[[PERIODO Imp.]:[PERIODO Imp.]],CP$9)</f>
        <v>0</v>
      </c>
      <c r="CQ1136" s="693">
        <f>SUMIFS(Imput[[Importe Neto]:[Importe Neto]],Imput[[C. Imp.]:[C. Imp.]],$D1136,Imput[[PERIODO Imp.]:[PERIODO Imp.]],CQ$9)</f>
        <v>0</v>
      </c>
      <c r="CR1136" s="693">
        <f>SUMIFS(Imput[[Importe Neto]:[Importe Neto]],Imput[[C. Imp.]:[C. Imp.]],$D1136,Imput[[PERIODO Imp.]:[PERIODO Imp.]],CR$9)</f>
        <v>0</v>
      </c>
      <c r="CS1136" s="693">
        <f>SUMIFS(Imput[[Importe Neto]:[Importe Neto]],Imput[[C. Imp.]:[C. Imp.]],$D1136,Imput[[PERIODO Imp.]:[PERIODO Imp.]],CS$9)</f>
        <v>0</v>
      </c>
      <c r="CT1136" s="693">
        <f>SUMIFS(Imput[[Importe Neto]:[Importe Neto]],Imput[[C. Imp.]:[C. Imp.]],$D1136,Imput[[PERIODO Imp.]:[PERIODO Imp.]],CT$9)</f>
        <v>0</v>
      </c>
      <c r="CU1136" s="693">
        <f>SUMIFS(Imput[[Importe Neto]:[Importe Neto]],Imput[[C. Imp.]:[C. Imp.]],$D1136,Imput[[PERIODO Imp.]:[PERIODO Imp.]],CU$9)</f>
        <v>0</v>
      </c>
      <c r="CV1136" s="693">
        <f>SUMIFS(Imput[[Importe Neto]:[Importe Neto]],Imput[[C. Imp.]:[C. Imp.]],$D1136,Imput[[PERIODO Imp.]:[PERIODO Imp.]],CV$9)</f>
        <v>0</v>
      </c>
      <c r="CW1136" s="693">
        <f>SUMIFS(Imput[[Importe Neto]:[Importe Neto]],Imput[[C. Imp.]:[C. Imp.]],$D1136,Imput[[PERIODO Imp.]:[PERIODO Imp.]],CW$9)</f>
        <v>0</v>
      </c>
      <c r="CX1136" s="693">
        <f>SUMIFS(Imput[[Importe Neto]:[Importe Neto]],Imput[[C. Imp.]:[C. Imp.]],$D1136,Imput[[PERIODO Imp.]:[PERIODO Imp.]],CX$9)</f>
        <v>0</v>
      </c>
      <c r="CY1136" s="693">
        <f>SUMIFS(Imput[[Importe Neto]:[Importe Neto]],Imput[[C. Imp.]:[C. Imp.]],$D1136,Imput[[PERIODO Imp.]:[PERIODO Imp.]],CY$9)</f>
        <v>0</v>
      </c>
      <c r="CZ1136" s="693">
        <f>SUMIFS(Imput[[Importe Neto]:[Importe Neto]],Imput[[C. Imp.]:[C. Imp.]],$D1136,Imput[[PERIODO Imp.]:[PERIODO Imp.]],CZ$9)</f>
        <v>0</v>
      </c>
      <c r="DA1136" s="693">
        <f>SUMIFS(Imput[[Importe Neto]:[Importe Neto]],Imput[[C. Imp.]:[C. Imp.]],$D1136,Imput[[PERIODO Imp.]:[PERIODO Imp.]],DA$9)</f>
        <v>0</v>
      </c>
      <c r="DB1136" s="693">
        <f>SUMIFS(Imput[[Importe Neto]:[Importe Neto]],Imput[[C. Imp.]:[C. Imp.]],$D1136,Imput[[PERIODO Imp.]:[PERIODO Imp.]],DB$9)</f>
        <v>0</v>
      </c>
      <c r="DC1136" s="693">
        <f>SUMIFS(Imput[[Importe Neto]:[Importe Neto]],Imput[[C. Imp.]:[C. Imp.]],$D1136,Imput[[PERIODO Imp.]:[PERIODO Imp.]],DC$9)</f>
        <v>0</v>
      </c>
      <c r="DD1136" s="693">
        <f>SUMIFS(Imput[[Importe Neto]:[Importe Neto]],Imput[[C. Imp.]:[C. Imp.]],$D1136,Imput[[PERIODO Imp.]:[PERIODO Imp.]],DD$9)</f>
        <v>0</v>
      </c>
      <c r="DE1136" s="693">
        <f>SUMIFS(Imput[[Importe Neto]:[Importe Neto]],Imput[[C. Imp.]:[C. Imp.]],$D1136,Imput[[PERIODO Imp.]:[PERIODO Imp.]],DE$9)</f>
        <v>0</v>
      </c>
      <c r="DF1136" s="693">
        <f>SUMIFS(Imput[[Importe Neto]:[Importe Neto]],Imput[[C. Imp.]:[C. Imp.]],$D1136,Imput[[PERIODO Imp.]:[PERIODO Imp.]],DF$9)</f>
        <v>0</v>
      </c>
      <c r="DG1136" s="693">
        <f>SUMIFS(Imput[[Importe Neto]:[Importe Neto]],Imput[[C. Imp.]:[C. Imp.]],$D1136,Imput[[PERIODO Imp.]:[PERIODO Imp.]],DG$9)</f>
        <v>0</v>
      </c>
      <c r="DH1136" s="694">
        <f>SUMIFS(Imput[[Importe Neto]:[Importe Neto]],Imput[[C. Imp.]:[C. Imp.]],$D1136,Imput[[PERIODO Imp.]:[PERIODO Imp.]],DH$9)</f>
        <v>0</v>
      </c>
    </row>
    <row r="1137" spans="1:112" s="649" customFormat="1" hidden="1" outlineLevel="1" x14ac:dyDescent="0.3">
      <c r="A1137" s="652" t="str">
        <f t="shared" si="375"/>
        <v/>
      </c>
      <c r="B1137" s="652"/>
      <c r="C1137" s="685"/>
      <c r="D1137" s="686"/>
      <c r="E1137" s="686"/>
      <c r="F1137" s="720"/>
      <c r="G1137" s="688"/>
      <c r="H1137" s="689"/>
      <c r="I1137" s="851" t="str">
        <f t="shared" si="376"/>
        <v/>
      </c>
      <c r="J1137" s="850" t="str">
        <f t="shared" si="377"/>
        <v/>
      </c>
      <c r="K1137" s="667"/>
      <c r="L1137" s="858"/>
      <c r="M1137" s="859"/>
      <c r="N1137" s="859"/>
      <c r="O1137" s="859"/>
      <c r="P1137" s="859"/>
      <c r="Q1137" s="859"/>
      <c r="R1137" s="859"/>
      <c r="S1137" s="859"/>
      <c r="T1137" s="859"/>
      <c r="U1137" s="859"/>
      <c r="V1137" s="859"/>
      <c r="W1137" s="859"/>
      <c r="X1137" s="859"/>
      <c r="Y1137" s="859"/>
      <c r="Z1137" s="860"/>
      <c r="AA1137" s="860"/>
      <c r="AB1137" s="860"/>
      <c r="AC1137" s="860"/>
      <c r="AD1137" s="860"/>
      <c r="AE1137" s="860"/>
      <c r="AF1137" s="860"/>
      <c r="AG1137" s="860"/>
      <c r="AH1137" s="860"/>
      <c r="AI1137" s="860"/>
      <c r="AJ1137" s="860"/>
      <c r="AK1137" s="860"/>
      <c r="AL1137" s="860"/>
      <c r="AM1137" s="860"/>
      <c r="AN1137" s="860"/>
      <c r="AO1137" s="860"/>
      <c r="AP1137" s="860"/>
      <c r="AQ1137" s="860"/>
      <c r="AR1137" s="860"/>
      <c r="AS1137" s="860"/>
      <c r="AT1137" s="860"/>
      <c r="AU1137" s="860"/>
      <c r="AV1137" s="860"/>
      <c r="AW1137" s="860"/>
      <c r="AX1137" s="860"/>
      <c r="AY1137" s="860"/>
      <c r="AZ1137" s="860"/>
      <c r="BA1137" s="860"/>
      <c r="BB1137" s="860"/>
      <c r="BC1137" s="860"/>
      <c r="BD1137" s="860"/>
      <c r="BE1137" s="860"/>
      <c r="BF1137" s="860"/>
      <c r="BG1137" s="860"/>
      <c r="BH1137" s="668"/>
      <c r="BI1137" s="667"/>
      <c r="BJ1137" s="690">
        <f t="shared" si="378"/>
        <v>0</v>
      </c>
      <c r="BK1137" s="691">
        <f t="shared" si="379"/>
        <v>0</v>
      </c>
      <c r="BL1137" s="654"/>
      <c r="BM1137" s="692">
        <f>SUMIFS(Imput[[Importe Neto]:[Importe Neto]],Imput[[C. Imp.]:[C. Imp.]],$D1137,Imput[[PERIODO Imp.]:[PERIODO Imp.]],BM$9)</f>
        <v>0</v>
      </c>
      <c r="BN1137" s="693">
        <f>SUMIFS(Imput[[Importe Neto]:[Importe Neto]],Imput[[C. Imp.]:[C. Imp.]],$D1137,Imput[[PERIODO Imp.]:[PERIODO Imp.]],BN$9)</f>
        <v>0</v>
      </c>
      <c r="BO1137" s="693">
        <f>SUMIFS(Imput[[Importe Neto]:[Importe Neto]],Imput[[C. Imp.]:[C. Imp.]],$D1137,Imput[[PERIODO Imp.]:[PERIODO Imp.]],BO$9)</f>
        <v>0</v>
      </c>
      <c r="BP1137" s="693">
        <f>SUMIFS(Imput[[Importe Neto]:[Importe Neto]],Imput[[C. Imp.]:[C. Imp.]],$D1137,Imput[[PERIODO Imp.]:[PERIODO Imp.]],BP$9)</f>
        <v>0</v>
      </c>
      <c r="BQ1137" s="693">
        <f>SUMIFS(Imput[[Importe Neto]:[Importe Neto]],Imput[[C. Imp.]:[C. Imp.]],$D1137,Imput[[PERIODO Imp.]:[PERIODO Imp.]],BQ$9)</f>
        <v>0</v>
      </c>
      <c r="BR1137" s="693">
        <f>SUMIFS(Imput[[Importe Neto]:[Importe Neto]],Imput[[C. Imp.]:[C. Imp.]],$D1137,Imput[[PERIODO Imp.]:[PERIODO Imp.]],BR$9)</f>
        <v>0</v>
      </c>
      <c r="BS1137" s="693">
        <f>SUMIFS(Imput[[Importe Neto]:[Importe Neto]],Imput[[C. Imp.]:[C. Imp.]],$D1137,Imput[[PERIODO Imp.]:[PERIODO Imp.]],BS$9)</f>
        <v>0</v>
      </c>
      <c r="BT1137" s="693">
        <f>SUMIFS(Imput[[Importe Neto]:[Importe Neto]],Imput[[C. Imp.]:[C. Imp.]],$D1137,Imput[[PERIODO Imp.]:[PERIODO Imp.]],BT$9)</f>
        <v>0</v>
      </c>
      <c r="BU1137" s="693">
        <f>SUMIFS(Imput[[Importe Neto]:[Importe Neto]],Imput[[C. Imp.]:[C. Imp.]],$D1137,Imput[[PERIODO Imp.]:[PERIODO Imp.]],BU$9)</f>
        <v>0</v>
      </c>
      <c r="BV1137" s="693">
        <f>SUMIFS(Imput[[Importe Neto]:[Importe Neto]],Imput[[C. Imp.]:[C. Imp.]],$D1137,Imput[[PERIODO Imp.]:[PERIODO Imp.]],BV$9)</f>
        <v>0</v>
      </c>
      <c r="BW1137" s="693">
        <f>SUMIFS(Imput[[Importe Neto]:[Importe Neto]],Imput[[C. Imp.]:[C. Imp.]],$D1137,Imput[[PERIODO Imp.]:[PERIODO Imp.]],BW$9)</f>
        <v>0</v>
      </c>
      <c r="BX1137" s="693">
        <f>SUMIFS(Imput[[Importe Neto]:[Importe Neto]],Imput[[C. Imp.]:[C. Imp.]],$D1137,Imput[[PERIODO Imp.]:[PERIODO Imp.]],BX$9)</f>
        <v>0</v>
      </c>
      <c r="BY1137" s="693">
        <f>SUMIFS(Imput[[Importe Neto]:[Importe Neto]],Imput[[C. Imp.]:[C. Imp.]],$D1137,Imput[[PERIODO Imp.]:[PERIODO Imp.]],BY$9)</f>
        <v>0</v>
      </c>
      <c r="BZ1137" s="693">
        <f>SUMIFS(Imput[[Importe Neto]:[Importe Neto]],Imput[[C. Imp.]:[C. Imp.]],$D1137,Imput[[PERIODO Imp.]:[PERIODO Imp.]],BZ$9)</f>
        <v>0</v>
      </c>
      <c r="CA1137" s="693">
        <f>SUMIFS(Imput[[Importe Neto]:[Importe Neto]],Imput[[C. Imp.]:[C. Imp.]],$D1137,Imput[[PERIODO Imp.]:[PERIODO Imp.]],CA$9)</f>
        <v>0</v>
      </c>
      <c r="CB1137" s="693">
        <f>SUMIFS(Imput[[Importe Neto]:[Importe Neto]],Imput[[C. Imp.]:[C. Imp.]],$D1137,Imput[[PERIODO Imp.]:[PERIODO Imp.]],CB$9)</f>
        <v>0</v>
      </c>
      <c r="CC1137" s="693">
        <f>SUMIFS(Imput[[Importe Neto]:[Importe Neto]],Imput[[C. Imp.]:[C. Imp.]],$D1137,Imput[[PERIODO Imp.]:[PERIODO Imp.]],CC$9)</f>
        <v>0</v>
      </c>
      <c r="CD1137" s="693">
        <f>SUMIFS(Imput[[Importe Neto]:[Importe Neto]],Imput[[C. Imp.]:[C. Imp.]],$D1137,Imput[[PERIODO Imp.]:[PERIODO Imp.]],CD$9)</f>
        <v>0</v>
      </c>
      <c r="CE1137" s="693">
        <f>SUMIFS(Imput[[Importe Neto]:[Importe Neto]],Imput[[C. Imp.]:[C. Imp.]],$D1137,Imput[[PERIODO Imp.]:[PERIODO Imp.]],CE$9)</f>
        <v>0</v>
      </c>
      <c r="CF1137" s="693">
        <f>SUMIFS(Imput[[Importe Neto]:[Importe Neto]],Imput[[C. Imp.]:[C. Imp.]],$D1137,Imput[[PERIODO Imp.]:[PERIODO Imp.]],CF$9)</f>
        <v>0</v>
      </c>
      <c r="CG1137" s="693">
        <f>SUMIFS(Imput[[Importe Neto]:[Importe Neto]],Imput[[C. Imp.]:[C. Imp.]],$D1137,Imput[[PERIODO Imp.]:[PERIODO Imp.]],CG$9)</f>
        <v>0</v>
      </c>
      <c r="CH1137" s="693">
        <f>SUMIFS(Imput[[Importe Neto]:[Importe Neto]],Imput[[C. Imp.]:[C. Imp.]],$D1137,Imput[[PERIODO Imp.]:[PERIODO Imp.]],CH$9)</f>
        <v>0</v>
      </c>
      <c r="CI1137" s="693">
        <f>SUMIFS(Imput[[Importe Neto]:[Importe Neto]],Imput[[C. Imp.]:[C. Imp.]],$D1137,Imput[[PERIODO Imp.]:[PERIODO Imp.]],CI$9)</f>
        <v>0</v>
      </c>
      <c r="CJ1137" s="693">
        <f>SUMIFS(Imput[[Importe Neto]:[Importe Neto]],Imput[[C. Imp.]:[C. Imp.]],$D1137,Imput[[PERIODO Imp.]:[PERIODO Imp.]],CJ$9)</f>
        <v>0</v>
      </c>
      <c r="CK1137" s="693">
        <f>SUMIFS(Imput[[Importe Neto]:[Importe Neto]],Imput[[C. Imp.]:[C. Imp.]],$D1137,Imput[[PERIODO Imp.]:[PERIODO Imp.]],CK$9)</f>
        <v>0</v>
      </c>
      <c r="CL1137" s="693">
        <f>SUMIFS(Imput[[Importe Neto]:[Importe Neto]],Imput[[C. Imp.]:[C. Imp.]],$D1137,Imput[[PERIODO Imp.]:[PERIODO Imp.]],CL$9)</f>
        <v>0</v>
      </c>
      <c r="CM1137" s="693">
        <f>SUMIFS(Imput[[Importe Neto]:[Importe Neto]],Imput[[C. Imp.]:[C. Imp.]],$D1137,Imput[[PERIODO Imp.]:[PERIODO Imp.]],CM$9)</f>
        <v>0</v>
      </c>
      <c r="CN1137" s="693">
        <f>SUMIFS(Imput[[Importe Neto]:[Importe Neto]],Imput[[C. Imp.]:[C. Imp.]],$D1137,Imput[[PERIODO Imp.]:[PERIODO Imp.]],CN$9)</f>
        <v>0</v>
      </c>
      <c r="CO1137" s="693">
        <f>SUMIFS(Imput[[Importe Neto]:[Importe Neto]],Imput[[C. Imp.]:[C. Imp.]],$D1137,Imput[[PERIODO Imp.]:[PERIODO Imp.]],CO$9)</f>
        <v>0</v>
      </c>
      <c r="CP1137" s="693">
        <f>SUMIFS(Imput[[Importe Neto]:[Importe Neto]],Imput[[C. Imp.]:[C. Imp.]],$D1137,Imput[[PERIODO Imp.]:[PERIODO Imp.]],CP$9)</f>
        <v>0</v>
      </c>
      <c r="CQ1137" s="693">
        <f>SUMIFS(Imput[[Importe Neto]:[Importe Neto]],Imput[[C. Imp.]:[C. Imp.]],$D1137,Imput[[PERIODO Imp.]:[PERIODO Imp.]],CQ$9)</f>
        <v>0</v>
      </c>
      <c r="CR1137" s="693">
        <f>SUMIFS(Imput[[Importe Neto]:[Importe Neto]],Imput[[C. Imp.]:[C. Imp.]],$D1137,Imput[[PERIODO Imp.]:[PERIODO Imp.]],CR$9)</f>
        <v>0</v>
      </c>
      <c r="CS1137" s="693">
        <f>SUMIFS(Imput[[Importe Neto]:[Importe Neto]],Imput[[C. Imp.]:[C. Imp.]],$D1137,Imput[[PERIODO Imp.]:[PERIODO Imp.]],CS$9)</f>
        <v>0</v>
      </c>
      <c r="CT1137" s="693">
        <f>SUMIFS(Imput[[Importe Neto]:[Importe Neto]],Imput[[C. Imp.]:[C. Imp.]],$D1137,Imput[[PERIODO Imp.]:[PERIODO Imp.]],CT$9)</f>
        <v>0</v>
      </c>
      <c r="CU1137" s="693">
        <f>SUMIFS(Imput[[Importe Neto]:[Importe Neto]],Imput[[C. Imp.]:[C. Imp.]],$D1137,Imput[[PERIODO Imp.]:[PERIODO Imp.]],CU$9)</f>
        <v>0</v>
      </c>
      <c r="CV1137" s="693">
        <f>SUMIFS(Imput[[Importe Neto]:[Importe Neto]],Imput[[C. Imp.]:[C. Imp.]],$D1137,Imput[[PERIODO Imp.]:[PERIODO Imp.]],CV$9)</f>
        <v>0</v>
      </c>
      <c r="CW1137" s="693">
        <f>SUMIFS(Imput[[Importe Neto]:[Importe Neto]],Imput[[C. Imp.]:[C. Imp.]],$D1137,Imput[[PERIODO Imp.]:[PERIODO Imp.]],CW$9)</f>
        <v>0</v>
      </c>
      <c r="CX1137" s="693">
        <f>SUMIFS(Imput[[Importe Neto]:[Importe Neto]],Imput[[C. Imp.]:[C. Imp.]],$D1137,Imput[[PERIODO Imp.]:[PERIODO Imp.]],CX$9)</f>
        <v>0</v>
      </c>
      <c r="CY1137" s="693">
        <f>SUMIFS(Imput[[Importe Neto]:[Importe Neto]],Imput[[C. Imp.]:[C. Imp.]],$D1137,Imput[[PERIODO Imp.]:[PERIODO Imp.]],CY$9)</f>
        <v>0</v>
      </c>
      <c r="CZ1137" s="693">
        <f>SUMIFS(Imput[[Importe Neto]:[Importe Neto]],Imput[[C. Imp.]:[C. Imp.]],$D1137,Imput[[PERIODO Imp.]:[PERIODO Imp.]],CZ$9)</f>
        <v>0</v>
      </c>
      <c r="DA1137" s="693">
        <f>SUMIFS(Imput[[Importe Neto]:[Importe Neto]],Imput[[C. Imp.]:[C. Imp.]],$D1137,Imput[[PERIODO Imp.]:[PERIODO Imp.]],DA$9)</f>
        <v>0</v>
      </c>
      <c r="DB1137" s="693">
        <f>SUMIFS(Imput[[Importe Neto]:[Importe Neto]],Imput[[C. Imp.]:[C. Imp.]],$D1137,Imput[[PERIODO Imp.]:[PERIODO Imp.]],DB$9)</f>
        <v>0</v>
      </c>
      <c r="DC1137" s="693">
        <f>SUMIFS(Imput[[Importe Neto]:[Importe Neto]],Imput[[C. Imp.]:[C. Imp.]],$D1137,Imput[[PERIODO Imp.]:[PERIODO Imp.]],DC$9)</f>
        <v>0</v>
      </c>
      <c r="DD1137" s="693">
        <f>SUMIFS(Imput[[Importe Neto]:[Importe Neto]],Imput[[C. Imp.]:[C. Imp.]],$D1137,Imput[[PERIODO Imp.]:[PERIODO Imp.]],DD$9)</f>
        <v>0</v>
      </c>
      <c r="DE1137" s="693">
        <f>SUMIFS(Imput[[Importe Neto]:[Importe Neto]],Imput[[C. Imp.]:[C. Imp.]],$D1137,Imput[[PERIODO Imp.]:[PERIODO Imp.]],DE$9)</f>
        <v>0</v>
      </c>
      <c r="DF1137" s="693">
        <f>SUMIFS(Imput[[Importe Neto]:[Importe Neto]],Imput[[C. Imp.]:[C. Imp.]],$D1137,Imput[[PERIODO Imp.]:[PERIODO Imp.]],DF$9)</f>
        <v>0</v>
      </c>
      <c r="DG1137" s="693">
        <f>SUMIFS(Imput[[Importe Neto]:[Importe Neto]],Imput[[C. Imp.]:[C. Imp.]],$D1137,Imput[[PERIODO Imp.]:[PERIODO Imp.]],DG$9)</f>
        <v>0</v>
      </c>
      <c r="DH1137" s="694">
        <f>SUMIFS(Imput[[Importe Neto]:[Importe Neto]],Imput[[C. Imp.]:[C. Imp.]],$D1137,Imput[[PERIODO Imp.]:[PERIODO Imp.]],DH$9)</f>
        <v>0</v>
      </c>
    </row>
    <row r="1138" spans="1:112" s="649" customFormat="1" hidden="1" outlineLevel="1" x14ac:dyDescent="0.3">
      <c r="A1138" s="652" t="str">
        <f t="shared" si="375"/>
        <v/>
      </c>
      <c r="B1138" s="652"/>
      <c r="C1138" s="685"/>
      <c r="D1138" s="686"/>
      <c r="E1138" s="686"/>
      <c r="F1138" s="720"/>
      <c r="G1138" s="688"/>
      <c r="H1138" s="689"/>
      <c r="I1138" s="851" t="str">
        <f t="shared" si="376"/>
        <v/>
      </c>
      <c r="J1138" s="850" t="str">
        <f t="shared" si="377"/>
        <v/>
      </c>
      <c r="K1138" s="667"/>
      <c r="L1138" s="858"/>
      <c r="M1138" s="859"/>
      <c r="N1138" s="859"/>
      <c r="O1138" s="859"/>
      <c r="P1138" s="859"/>
      <c r="Q1138" s="859"/>
      <c r="R1138" s="859"/>
      <c r="S1138" s="859"/>
      <c r="T1138" s="859"/>
      <c r="U1138" s="859"/>
      <c r="V1138" s="859"/>
      <c r="W1138" s="859"/>
      <c r="X1138" s="859"/>
      <c r="Y1138" s="859"/>
      <c r="Z1138" s="860"/>
      <c r="AA1138" s="860"/>
      <c r="AB1138" s="860"/>
      <c r="AC1138" s="860"/>
      <c r="AD1138" s="860"/>
      <c r="AE1138" s="860"/>
      <c r="AF1138" s="860"/>
      <c r="AG1138" s="860"/>
      <c r="AH1138" s="860"/>
      <c r="AI1138" s="860"/>
      <c r="AJ1138" s="860"/>
      <c r="AK1138" s="860"/>
      <c r="AL1138" s="860"/>
      <c r="AM1138" s="860"/>
      <c r="AN1138" s="860"/>
      <c r="AO1138" s="860"/>
      <c r="AP1138" s="860"/>
      <c r="AQ1138" s="860"/>
      <c r="AR1138" s="860"/>
      <c r="AS1138" s="860"/>
      <c r="AT1138" s="860"/>
      <c r="AU1138" s="860"/>
      <c r="AV1138" s="860"/>
      <c r="AW1138" s="860"/>
      <c r="AX1138" s="860"/>
      <c r="AY1138" s="860"/>
      <c r="AZ1138" s="860"/>
      <c r="BA1138" s="860"/>
      <c r="BB1138" s="860"/>
      <c r="BC1138" s="860"/>
      <c r="BD1138" s="860"/>
      <c r="BE1138" s="860"/>
      <c r="BF1138" s="860"/>
      <c r="BG1138" s="860"/>
      <c r="BH1138" s="668"/>
      <c r="BI1138" s="667"/>
      <c r="BJ1138" s="690">
        <f t="shared" si="378"/>
        <v>0</v>
      </c>
      <c r="BK1138" s="691">
        <f t="shared" si="379"/>
        <v>0</v>
      </c>
      <c r="BL1138" s="654"/>
      <c r="BM1138" s="692">
        <f>SUMIFS(Imput[[Importe Neto]:[Importe Neto]],Imput[[C. Imp.]:[C. Imp.]],$D1138,Imput[[PERIODO Imp.]:[PERIODO Imp.]],BM$9)</f>
        <v>0</v>
      </c>
      <c r="BN1138" s="693">
        <f>SUMIFS(Imput[[Importe Neto]:[Importe Neto]],Imput[[C. Imp.]:[C. Imp.]],$D1138,Imput[[PERIODO Imp.]:[PERIODO Imp.]],BN$9)</f>
        <v>0</v>
      </c>
      <c r="BO1138" s="693">
        <f>SUMIFS(Imput[[Importe Neto]:[Importe Neto]],Imput[[C. Imp.]:[C. Imp.]],$D1138,Imput[[PERIODO Imp.]:[PERIODO Imp.]],BO$9)</f>
        <v>0</v>
      </c>
      <c r="BP1138" s="693">
        <f>SUMIFS(Imput[[Importe Neto]:[Importe Neto]],Imput[[C. Imp.]:[C. Imp.]],$D1138,Imput[[PERIODO Imp.]:[PERIODO Imp.]],BP$9)</f>
        <v>0</v>
      </c>
      <c r="BQ1138" s="693">
        <f>SUMIFS(Imput[[Importe Neto]:[Importe Neto]],Imput[[C. Imp.]:[C. Imp.]],$D1138,Imput[[PERIODO Imp.]:[PERIODO Imp.]],BQ$9)</f>
        <v>0</v>
      </c>
      <c r="BR1138" s="693">
        <f>SUMIFS(Imput[[Importe Neto]:[Importe Neto]],Imput[[C. Imp.]:[C. Imp.]],$D1138,Imput[[PERIODO Imp.]:[PERIODO Imp.]],BR$9)</f>
        <v>0</v>
      </c>
      <c r="BS1138" s="693">
        <f>SUMIFS(Imput[[Importe Neto]:[Importe Neto]],Imput[[C. Imp.]:[C. Imp.]],$D1138,Imput[[PERIODO Imp.]:[PERIODO Imp.]],BS$9)</f>
        <v>0</v>
      </c>
      <c r="BT1138" s="693">
        <f>SUMIFS(Imput[[Importe Neto]:[Importe Neto]],Imput[[C. Imp.]:[C. Imp.]],$D1138,Imput[[PERIODO Imp.]:[PERIODO Imp.]],BT$9)</f>
        <v>0</v>
      </c>
      <c r="BU1138" s="693">
        <f>SUMIFS(Imput[[Importe Neto]:[Importe Neto]],Imput[[C. Imp.]:[C. Imp.]],$D1138,Imput[[PERIODO Imp.]:[PERIODO Imp.]],BU$9)</f>
        <v>0</v>
      </c>
      <c r="BV1138" s="693">
        <f>SUMIFS(Imput[[Importe Neto]:[Importe Neto]],Imput[[C. Imp.]:[C. Imp.]],$D1138,Imput[[PERIODO Imp.]:[PERIODO Imp.]],BV$9)</f>
        <v>0</v>
      </c>
      <c r="BW1138" s="693">
        <f>SUMIFS(Imput[[Importe Neto]:[Importe Neto]],Imput[[C. Imp.]:[C. Imp.]],$D1138,Imput[[PERIODO Imp.]:[PERIODO Imp.]],BW$9)</f>
        <v>0</v>
      </c>
      <c r="BX1138" s="693">
        <f>SUMIFS(Imput[[Importe Neto]:[Importe Neto]],Imput[[C. Imp.]:[C. Imp.]],$D1138,Imput[[PERIODO Imp.]:[PERIODO Imp.]],BX$9)</f>
        <v>0</v>
      </c>
      <c r="BY1138" s="693">
        <f>SUMIFS(Imput[[Importe Neto]:[Importe Neto]],Imput[[C. Imp.]:[C. Imp.]],$D1138,Imput[[PERIODO Imp.]:[PERIODO Imp.]],BY$9)</f>
        <v>0</v>
      </c>
      <c r="BZ1138" s="693">
        <f>SUMIFS(Imput[[Importe Neto]:[Importe Neto]],Imput[[C. Imp.]:[C. Imp.]],$D1138,Imput[[PERIODO Imp.]:[PERIODO Imp.]],BZ$9)</f>
        <v>0</v>
      </c>
      <c r="CA1138" s="693">
        <f>SUMIFS(Imput[[Importe Neto]:[Importe Neto]],Imput[[C. Imp.]:[C. Imp.]],$D1138,Imput[[PERIODO Imp.]:[PERIODO Imp.]],CA$9)</f>
        <v>0</v>
      </c>
      <c r="CB1138" s="693">
        <f>SUMIFS(Imput[[Importe Neto]:[Importe Neto]],Imput[[C. Imp.]:[C. Imp.]],$D1138,Imput[[PERIODO Imp.]:[PERIODO Imp.]],CB$9)</f>
        <v>0</v>
      </c>
      <c r="CC1138" s="693">
        <f>SUMIFS(Imput[[Importe Neto]:[Importe Neto]],Imput[[C. Imp.]:[C. Imp.]],$D1138,Imput[[PERIODO Imp.]:[PERIODO Imp.]],CC$9)</f>
        <v>0</v>
      </c>
      <c r="CD1138" s="693">
        <f>SUMIFS(Imput[[Importe Neto]:[Importe Neto]],Imput[[C. Imp.]:[C. Imp.]],$D1138,Imput[[PERIODO Imp.]:[PERIODO Imp.]],CD$9)</f>
        <v>0</v>
      </c>
      <c r="CE1138" s="693">
        <f>SUMIFS(Imput[[Importe Neto]:[Importe Neto]],Imput[[C. Imp.]:[C. Imp.]],$D1138,Imput[[PERIODO Imp.]:[PERIODO Imp.]],CE$9)</f>
        <v>0</v>
      </c>
      <c r="CF1138" s="693">
        <f>SUMIFS(Imput[[Importe Neto]:[Importe Neto]],Imput[[C. Imp.]:[C. Imp.]],$D1138,Imput[[PERIODO Imp.]:[PERIODO Imp.]],CF$9)</f>
        <v>0</v>
      </c>
      <c r="CG1138" s="693">
        <f>SUMIFS(Imput[[Importe Neto]:[Importe Neto]],Imput[[C. Imp.]:[C. Imp.]],$D1138,Imput[[PERIODO Imp.]:[PERIODO Imp.]],CG$9)</f>
        <v>0</v>
      </c>
      <c r="CH1138" s="693">
        <f>SUMIFS(Imput[[Importe Neto]:[Importe Neto]],Imput[[C. Imp.]:[C. Imp.]],$D1138,Imput[[PERIODO Imp.]:[PERIODO Imp.]],CH$9)</f>
        <v>0</v>
      </c>
      <c r="CI1138" s="693">
        <f>SUMIFS(Imput[[Importe Neto]:[Importe Neto]],Imput[[C. Imp.]:[C. Imp.]],$D1138,Imput[[PERIODO Imp.]:[PERIODO Imp.]],CI$9)</f>
        <v>0</v>
      </c>
      <c r="CJ1138" s="693">
        <f>SUMIFS(Imput[[Importe Neto]:[Importe Neto]],Imput[[C. Imp.]:[C. Imp.]],$D1138,Imput[[PERIODO Imp.]:[PERIODO Imp.]],CJ$9)</f>
        <v>0</v>
      </c>
      <c r="CK1138" s="693">
        <f>SUMIFS(Imput[[Importe Neto]:[Importe Neto]],Imput[[C. Imp.]:[C. Imp.]],$D1138,Imput[[PERIODO Imp.]:[PERIODO Imp.]],CK$9)</f>
        <v>0</v>
      </c>
      <c r="CL1138" s="693">
        <f>SUMIFS(Imput[[Importe Neto]:[Importe Neto]],Imput[[C. Imp.]:[C. Imp.]],$D1138,Imput[[PERIODO Imp.]:[PERIODO Imp.]],CL$9)</f>
        <v>0</v>
      </c>
      <c r="CM1138" s="693">
        <f>SUMIFS(Imput[[Importe Neto]:[Importe Neto]],Imput[[C. Imp.]:[C. Imp.]],$D1138,Imput[[PERIODO Imp.]:[PERIODO Imp.]],CM$9)</f>
        <v>0</v>
      </c>
      <c r="CN1138" s="693">
        <f>SUMIFS(Imput[[Importe Neto]:[Importe Neto]],Imput[[C. Imp.]:[C. Imp.]],$D1138,Imput[[PERIODO Imp.]:[PERIODO Imp.]],CN$9)</f>
        <v>0</v>
      </c>
      <c r="CO1138" s="693">
        <f>SUMIFS(Imput[[Importe Neto]:[Importe Neto]],Imput[[C. Imp.]:[C. Imp.]],$D1138,Imput[[PERIODO Imp.]:[PERIODO Imp.]],CO$9)</f>
        <v>0</v>
      </c>
      <c r="CP1138" s="693">
        <f>SUMIFS(Imput[[Importe Neto]:[Importe Neto]],Imput[[C. Imp.]:[C. Imp.]],$D1138,Imput[[PERIODO Imp.]:[PERIODO Imp.]],CP$9)</f>
        <v>0</v>
      </c>
      <c r="CQ1138" s="693">
        <f>SUMIFS(Imput[[Importe Neto]:[Importe Neto]],Imput[[C. Imp.]:[C. Imp.]],$D1138,Imput[[PERIODO Imp.]:[PERIODO Imp.]],CQ$9)</f>
        <v>0</v>
      </c>
      <c r="CR1138" s="693">
        <f>SUMIFS(Imput[[Importe Neto]:[Importe Neto]],Imput[[C. Imp.]:[C. Imp.]],$D1138,Imput[[PERIODO Imp.]:[PERIODO Imp.]],CR$9)</f>
        <v>0</v>
      </c>
      <c r="CS1138" s="693">
        <f>SUMIFS(Imput[[Importe Neto]:[Importe Neto]],Imput[[C. Imp.]:[C. Imp.]],$D1138,Imput[[PERIODO Imp.]:[PERIODO Imp.]],CS$9)</f>
        <v>0</v>
      </c>
      <c r="CT1138" s="693">
        <f>SUMIFS(Imput[[Importe Neto]:[Importe Neto]],Imput[[C. Imp.]:[C. Imp.]],$D1138,Imput[[PERIODO Imp.]:[PERIODO Imp.]],CT$9)</f>
        <v>0</v>
      </c>
      <c r="CU1138" s="693">
        <f>SUMIFS(Imput[[Importe Neto]:[Importe Neto]],Imput[[C. Imp.]:[C. Imp.]],$D1138,Imput[[PERIODO Imp.]:[PERIODO Imp.]],CU$9)</f>
        <v>0</v>
      </c>
      <c r="CV1138" s="693">
        <f>SUMIFS(Imput[[Importe Neto]:[Importe Neto]],Imput[[C. Imp.]:[C. Imp.]],$D1138,Imput[[PERIODO Imp.]:[PERIODO Imp.]],CV$9)</f>
        <v>0</v>
      </c>
      <c r="CW1138" s="693">
        <f>SUMIFS(Imput[[Importe Neto]:[Importe Neto]],Imput[[C. Imp.]:[C. Imp.]],$D1138,Imput[[PERIODO Imp.]:[PERIODO Imp.]],CW$9)</f>
        <v>0</v>
      </c>
      <c r="CX1138" s="693">
        <f>SUMIFS(Imput[[Importe Neto]:[Importe Neto]],Imput[[C. Imp.]:[C. Imp.]],$D1138,Imput[[PERIODO Imp.]:[PERIODO Imp.]],CX$9)</f>
        <v>0</v>
      </c>
      <c r="CY1138" s="693">
        <f>SUMIFS(Imput[[Importe Neto]:[Importe Neto]],Imput[[C. Imp.]:[C. Imp.]],$D1138,Imput[[PERIODO Imp.]:[PERIODO Imp.]],CY$9)</f>
        <v>0</v>
      </c>
      <c r="CZ1138" s="693">
        <f>SUMIFS(Imput[[Importe Neto]:[Importe Neto]],Imput[[C. Imp.]:[C. Imp.]],$D1138,Imput[[PERIODO Imp.]:[PERIODO Imp.]],CZ$9)</f>
        <v>0</v>
      </c>
      <c r="DA1138" s="693">
        <f>SUMIFS(Imput[[Importe Neto]:[Importe Neto]],Imput[[C. Imp.]:[C. Imp.]],$D1138,Imput[[PERIODO Imp.]:[PERIODO Imp.]],DA$9)</f>
        <v>0</v>
      </c>
      <c r="DB1138" s="693">
        <f>SUMIFS(Imput[[Importe Neto]:[Importe Neto]],Imput[[C. Imp.]:[C. Imp.]],$D1138,Imput[[PERIODO Imp.]:[PERIODO Imp.]],DB$9)</f>
        <v>0</v>
      </c>
      <c r="DC1138" s="693">
        <f>SUMIFS(Imput[[Importe Neto]:[Importe Neto]],Imput[[C. Imp.]:[C. Imp.]],$D1138,Imput[[PERIODO Imp.]:[PERIODO Imp.]],DC$9)</f>
        <v>0</v>
      </c>
      <c r="DD1138" s="693">
        <f>SUMIFS(Imput[[Importe Neto]:[Importe Neto]],Imput[[C. Imp.]:[C. Imp.]],$D1138,Imput[[PERIODO Imp.]:[PERIODO Imp.]],DD$9)</f>
        <v>0</v>
      </c>
      <c r="DE1138" s="693">
        <f>SUMIFS(Imput[[Importe Neto]:[Importe Neto]],Imput[[C. Imp.]:[C. Imp.]],$D1138,Imput[[PERIODO Imp.]:[PERIODO Imp.]],DE$9)</f>
        <v>0</v>
      </c>
      <c r="DF1138" s="693">
        <f>SUMIFS(Imput[[Importe Neto]:[Importe Neto]],Imput[[C. Imp.]:[C. Imp.]],$D1138,Imput[[PERIODO Imp.]:[PERIODO Imp.]],DF$9)</f>
        <v>0</v>
      </c>
      <c r="DG1138" s="693">
        <f>SUMIFS(Imput[[Importe Neto]:[Importe Neto]],Imput[[C. Imp.]:[C. Imp.]],$D1138,Imput[[PERIODO Imp.]:[PERIODO Imp.]],DG$9)</f>
        <v>0</v>
      </c>
      <c r="DH1138" s="694">
        <f>SUMIFS(Imput[[Importe Neto]:[Importe Neto]],Imput[[C. Imp.]:[C. Imp.]],$D1138,Imput[[PERIODO Imp.]:[PERIODO Imp.]],DH$9)</f>
        <v>0</v>
      </c>
    </row>
    <row r="1139" spans="1:112" s="649" customFormat="1" hidden="1" outlineLevel="1" x14ac:dyDescent="0.3">
      <c r="A1139" s="652" t="str">
        <f t="shared" si="375"/>
        <v/>
      </c>
      <c r="B1139" s="652"/>
      <c r="C1139" s="685"/>
      <c r="D1139" s="686"/>
      <c r="E1139" s="686"/>
      <c r="F1139" s="720"/>
      <c r="G1139" s="688"/>
      <c r="H1139" s="689"/>
      <c r="I1139" s="851" t="str">
        <f t="shared" si="376"/>
        <v/>
      </c>
      <c r="J1139" s="850" t="str">
        <f t="shared" si="377"/>
        <v/>
      </c>
      <c r="K1139" s="667"/>
      <c r="L1139" s="858"/>
      <c r="M1139" s="859"/>
      <c r="N1139" s="859"/>
      <c r="O1139" s="859"/>
      <c r="P1139" s="859"/>
      <c r="Q1139" s="859"/>
      <c r="R1139" s="859"/>
      <c r="S1139" s="859"/>
      <c r="T1139" s="859"/>
      <c r="U1139" s="859"/>
      <c r="V1139" s="859"/>
      <c r="W1139" s="859"/>
      <c r="X1139" s="859"/>
      <c r="Y1139" s="859"/>
      <c r="Z1139" s="860"/>
      <c r="AA1139" s="860"/>
      <c r="AB1139" s="860"/>
      <c r="AC1139" s="860"/>
      <c r="AD1139" s="860"/>
      <c r="AE1139" s="860"/>
      <c r="AF1139" s="860"/>
      <c r="AG1139" s="860"/>
      <c r="AH1139" s="860"/>
      <c r="AI1139" s="860"/>
      <c r="AJ1139" s="860"/>
      <c r="AK1139" s="860"/>
      <c r="AL1139" s="860"/>
      <c r="AM1139" s="860"/>
      <c r="AN1139" s="860"/>
      <c r="AO1139" s="860"/>
      <c r="AP1139" s="860"/>
      <c r="AQ1139" s="860"/>
      <c r="AR1139" s="860"/>
      <c r="AS1139" s="860"/>
      <c r="AT1139" s="860"/>
      <c r="AU1139" s="860"/>
      <c r="AV1139" s="860"/>
      <c r="AW1139" s="860"/>
      <c r="AX1139" s="860"/>
      <c r="AY1139" s="860"/>
      <c r="AZ1139" s="860"/>
      <c r="BA1139" s="860"/>
      <c r="BB1139" s="860"/>
      <c r="BC1139" s="860"/>
      <c r="BD1139" s="860"/>
      <c r="BE1139" s="860"/>
      <c r="BF1139" s="860"/>
      <c r="BG1139" s="860"/>
      <c r="BH1139" s="668"/>
      <c r="BI1139" s="667"/>
      <c r="BJ1139" s="690">
        <f t="shared" si="378"/>
        <v>0</v>
      </c>
      <c r="BK1139" s="691">
        <f t="shared" si="379"/>
        <v>0</v>
      </c>
      <c r="BL1139" s="654"/>
      <c r="BM1139" s="692">
        <f>SUMIFS(Imput[[Importe Neto]:[Importe Neto]],Imput[[C. Imp.]:[C. Imp.]],$D1139,Imput[[PERIODO Imp.]:[PERIODO Imp.]],BM$9)</f>
        <v>0</v>
      </c>
      <c r="BN1139" s="693">
        <f>SUMIFS(Imput[[Importe Neto]:[Importe Neto]],Imput[[C. Imp.]:[C. Imp.]],$D1139,Imput[[PERIODO Imp.]:[PERIODO Imp.]],BN$9)</f>
        <v>0</v>
      </c>
      <c r="BO1139" s="693">
        <f>SUMIFS(Imput[[Importe Neto]:[Importe Neto]],Imput[[C. Imp.]:[C. Imp.]],$D1139,Imput[[PERIODO Imp.]:[PERIODO Imp.]],BO$9)</f>
        <v>0</v>
      </c>
      <c r="BP1139" s="693">
        <f>SUMIFS(Imput[[Importe Neto]:[Importe Neto]],Imput[[C. Imp.]:[C. Imp.]],$D1139,Imput[[PERIODO Imp.]:[PERIODO Imp.]],BP$9)</f>
        <v>0</v>
      </c>
      <c r="BQ1139" s="693">
        <f>SUMIFS(Imput[[Importe Neto]:[Importe Neto]],Imput[[C. Imp.]:[C. Imp.]],$D1139,Imput[[PERIODO Imp.]:[PERIODO Imp.]],BQ$9)</f>
        <v>0</v>
      </c>
      <c r="BR1139" s="693">
        <f>SUMIFS(Imput[[Importe Neto]:[Importe Neto]],Imput[[C. Imp.]:[C. Imp.]],$D1139,Imput[[PERIODO Imp.]:[PERIODO Imp.]],BR$9)</f>
        <v>0</v>
      </c>
      <c r="BS1139" s="693">
        <f>SUMIFS(Imput[[Importe Neto]:[Importe Neto]],Imput[[C. Imp.]:[C. Imp.]],$D1139,Imput[[PERIODO Imp.]:[PERIODO Imp.]],BS$9)</f>
        <v>0</v>
      </c>
      <c r="BT1139" s="693">
        <f>SUMIFS(Imput[[Importe Neto]:[Importe Neto]],Imput[[C. Imp.]:[C. Imp.]],$D1139,Imput[[PERIODO Imp.]:[PERIODO Imp.]],BT$9)</f>
        <v>0</v>
      </c>
      <c r="BU1139" s="693">
        <f>SUMIFS(Imput[[Importe Neto]:[Importe Neto]],Imput[[C. Imp.]:[C. Imp.]],$D1139,Imput[[PERIODO Imp.]:[PERIODO Imp.]],BU$9)</f>
        <v>0</v>
      </c>
      <c r="BV1139" s="693">
        <f>SUMIFS(Imput[[Importe Neto]:[Importe Neto]],Imput[[C. Imp.]:[C. Imp.]],$D1139,Imput[[PERIODO Imp.]:[PERIODO Imp.]],BV$9)</f>
        <v>0</v>
      </c>
      <c r="BW1139" s="693">
        <f>SUMIFS(Imput[[Importe Neto]:[Importe Neto]],Imput[[C. Imp.]:[C. Imp.]],$D1139,Imput[[PERIODO Imp.]:[PERIODO Imp.]],BW$9)</f>
        <v>0</v>
      </c>
      <c r="BX1139" s="693">
        <f>SUMIFS(Imput[[Importe Neto]:[Importe Neto]],Imput[[C. Imp.]:[C. Imp.]],$D1139,Imput[[PERIODO Imp.]:[PERIODO Imp.]],BX$9)</f>
        <v>0</v>
      </c>
      <c r="BY1139" s="693">
        <f>SUMIFS(Imput[[Importe Neto]:[Importe Neto]],Imput[[C. Imp.]:[C. Imp.]],$D1139,Imput[[PERIODO Imp.]:[PERIODO Imp.]],BY$9)</f>
        <v>0</v>
      </c>
      <c r="BZ1139" s="693">
        <f>SUMIFS(Imput[[Importe Neto]:[Importe Neto]],Imput[[C. Imp.]:[C. Imp.]],$D1139,Imput[[PERIODO Imp.]:[PERIODO Imp.]],BZ$9)</f>
        <v>0</v>
      </c>
      <c r="CA1139" s="693">
        <f>SUMIFS(Imput[[Importe Neto]:[Importe Neto]],Imput[[C. Imp.]:[C. Imp.]],$D1139,Imput[[PERIODO Imp.]:[PERIODO Imp.]],CA$9)</f>
        <v>0</v>
      </c>
      <c r="CB1139" s="693">
        <f>SUMIFS(Imput[[Importe Neto]:[Importe Neto]],Imput[[C. Imp.]:[C. Imp.]],$D1139,Imput[[PERIODO Imp.]:[PERIODO Imp.]],CB$9)</f>
        <v>0</v>
      </c>
      <c r="CC1139" s="693">
        <f>SUMIFS(Imput[[Importe Neto]:[Importe Neto]],Imput[[C. Imp.]:[C. Imp.]],$D1139,Imput[[PERIODO Imp.]:[PERIODO Imp.]],CC$9)</f>
        <v>0</v>
      </c>
      <c r="CD1139" s="693">
        <f>SUMIFS(Imput[[Importe Neto]:[Importe Neto]],Imput[[C. Imp.]:[C. Imp.]],$D1139,Imput[[PERIODO Imp.]:[PERIODO Imp.]],CD$9)</f>
        <v>0</v>
      </c>
      <c r="CE1139" s="693">
        <f>SUMIFS(Imput[[Importe Neto]:[Importe Neto]],Imput[[C. Imp.]:[C. Imp.]],$D1139,Imput[[PERIODO Imp.]:[PERIODO Imp.]],CE$9)</f>
        <v>0</v>
      </c>
      <c r="CF1139" s="693">
        <f>SUMIFS(Imput[[Importe Neto]:[Importe Neto]],Imput[[C. Imp.]:[C. Imp.]],$D1139,Imput[[PERIODO Imp.]:[PERIODO Imp.]],CF$9)</f>
        <v>0</v>
      </c>
      <c r="CG1139" s="693">
        <f>SUMIFS(Imput[[Importe Neto]:[Importe Neto]],Imput[[C. Imp.]:[C. Imp.]],$D1139,Imput[[PERIODO Imp.]:[PERIODO Imp.]],CG$9)</f>
        <v>0</v>
      </c>
      <c r="CH1139" s="693">
        <f>SUMIFS(Imput[[Importe Neto]:[Importe Neto]],Imput[[C. Imp.]:[C. Imp.]],$D1139,Imput[[PERIODO Imp.]:[PERIODO Imp.]],CH$9)</f>
        <v>0</v>
      </c>
      <c r="CI1139" s="693">
        <f>SUMIFS(Imput[[Importe Neto]:[Importe Neto]],Imput[[C. Imp.]:[C. Imp.]],$D1139,Imput[[PERIODO Imp.]:[PERIODO Imp.]],CI$9)</f>
        <v>0</v>
      </c>
      <c r="CJ1139" s="693">
        <f>SUMIFS(Imput[[Importe Neto]:[Importe Neto]],Imput[[C. Imp.]:[C. Imp.]],$D1139,Imput[[PERIODO Imp.]:[PERIODO Imp.]],CJ$9)</f>
        <v>0</v>
      </c>
      <c r="CK1139" s="693">
        <f>SUMIFS(Imput[[Importe Neto]:[Importe Neto]],Imput[[C. Imp.]:[C. Imp.]],$D1139,Imput[[PERIODO Imp.]:[PERIODO Imp.]],CK$9)</f>
        <v>0</v>
      </c>
      <c r="CL1139" s="693">
        <f>SUMIFS(Imput[[Importe Neto]:[Importe Neto]],Imput[[C. Imp.]:[C. Imp.]],$D1139,Imput[[PERIODO Imp.]:[PERIODO Imp.]],CL$9)</f>
        <v>0</v>
      </c>
      <c r="CM1139" s="693">
        <f>SUMIFS(Imput[[Importe Neto]:[Importe Neto]],Imput[[C. Imp.]:[C. Imp.]],$D1139,Imput[[PERIODO Imp.]:[PERIODO Imp.]],CM$9)</f>
        <v>0</v>
      </c>
      <c r="CN1139" s="693">
        <f>SUMIFS(Imput[[Importe Neto]:[Importe Neto]],Imput[[C. Imp.]:[C. Imp.]],$D1139,Imput[[PERIODO Imp.]:[PERIODO Imp.]],CN$9)</f>
        <v>0</v>
      </c>
      <c r="CO1139" s="693">
        <f>SUMIFS(Imput[[Importe Neto]:[Importe Neto]],Imput[[C. Imp.]:[C. Imp.]],$D1139,Imput[[PERIODO Imp.]:[PERIODO Imp.]],CO$9)</f>
        <v>0</v>
      </c>
      <c r="CP1139" s="693">
        <f>SUMIFS(Imput[[Importe Neto]:[Importe Neto]],Imput[[C. Imp.]:[C. Imp.]],$D1139,Imput[[PERIODO Imp.]:[PERIODO Imp.]],CP$9)</f>
        <v>0</v>
      </c>
      <c r="CQ1139" s="693">
        <f>SUMIFS(Imput[[Importe Neto]:[Importe Neto]],Imput[[C. Imp.]:[C. Imp.]],$D1139,Imput[[PERIODO Imp.]:[PERIODO Imp.]],CQ$9)</f>
        <v>0</v>
      </c>
      <c r="CR1139" s="693">
        <f>SUMIFS(Imput[[Importe Neto]:[Importe Neto]],Imput[[C. Imp.]:[C. Imp.]],$D1139,Imput[[PERIODO Imp.]:[PERIODO Imp.]],CR$9)</f>
        <v>0</v>
      </c>
      <c r="CS1139" s="693">
        <f>SUMIFS(Imput[[Importe Neto]:[Importe Neto]],Imput[[C. Imp.]:[C. Imp.]],$D1139,Imput[[PERIODO Imp.]:[PERIODO Imp.]],CS$9)</f>
        <v>0</v>
      </c>
      <c r="CT1139" s="693">
        <f>SUMIFS(Imput[[Importe Neto]:[Importe Neto]],Imput[[C. Imp.]:[C. Imp.]],$D1139,Imput[[PERIODO Imp.]:[PERIODO Imp.]],CT$9)</f>
        <v>0</v>
      </c>
      <c r="CU1139" s="693">
        <f>SUMIFS(Imput[[Importe Neto]:[Importe Neto]],Imput[[C. Imp.]:[C. Imp.]],$D1139,Imput[[PERIODO Imp.]:[PERIODO Imp.]],CU$9)</f>
        <v>0</v>
      </c>
      <c r="CV1139" s="693">
        <f>SUMIFS(Imput[[Importe Neto]:[Importe Neto]],Imput[[C. Imp.]:[C. Imp.]],$D1139,Imput[[PERIODO Imp.]:[PERIODO Imp.]],CV$9)</f>
        <v>0</v>
      </c>
      <c r="CW1139" s="693">
        <f>SUMIFS(Imput[[Importe Neto]:[Importe Neto]],Imput[[C. Imp.]:[C. Imp.]],$D1139,Imput[[PERIODO Imp.]:[PERIODO Imp.]],CW$9)</f>
        <v>0</v>
      </c>
      <c r="CX1139" s="693">
        <f>SUMIFS(Imput[[Importe Neto]:[Importe Neto]],Imput[[C. Imp.]:[C. Imp.]],$D1139,Imput[[PERIODO Imp.]:[PERIODO Imp.]],CX$9)</f>
        <v>0</v>
      </c>
      <c r="CY1139" s="693">
        <f>SUMIFS(Imput[[Importe Neto]:[Importe Neto]],Imput[[C. Imp.]:[C. Imp.]],$D1139,Imput[[PERIODO Imp.]:[PERIODO Imp.]],CY$9)</f>
        <v>0</v>
      </c>
      <c r="CZ1139" s="693">
        <f>SUMIFS(Imput[[Importe Neto]:[Importe Neto]],Imput[[C. Imp.]:[C. Imp.]],$D1139,Imput[[PERIODO Imp.]:[PERIODO Imp.]],CZ$9)</f>
        <v>0</v>
      </c>
      <c r="DA1139" s="693">
        <f>SUMIFS(Imput[[Importe Neto]:[Importe Neto]],Imput[[C. Imp.]:[C. Imp.]],$D1139,Imput[[PERIODO Imp.]:[PERIODO Imp.]],DA$9)</f>
        <v>0</v>
      </c>
      <c r="DB1139" s="693">
        <f>SUMIFS(Imput[[Importe Neto]:[Importe Neto]],Imput[[C. Imp.]:[C. Imp.]],$D1139,Imput[[PERIODO Imp.]:[PERIODO Imp.]],DB$9)</f>
        <v>0</v>
      </c>
      <c r="DC1139" s="693">
        <f>SUMIFS(Imput[[Importe Neto]:[Importe Neto]],Imput[[C. Imp.]:[C. Imp.]],$D1139,Imput[[PERIODO Imp.]:[PERIODO Imp.]],DC$9)</f>
        <v>0</v>
      </c>
      <c r="DD1139" s="693">
        <f>SUMIFS(Imput[[Importe Neto]:[Importe Neto]],Imput[[C. Imp.]:[C. Imp.]],$D1139,Imput[[PERIODO Imp.]:[PERIODO Imp.]],DD$9)</f>
        <v>0</v>
      </c>
      <c r="DE1139" s="693">
        <f>SUMIFS(Imput[[Importe Neto]:[Importe Neto]],Imput[[C. Imp.]:[C. Imp.]],$D1139,Imput[[PERIODO Imp.]:[PERIODO Imp.]],DE$9)</f>
        <v>0</v>
      </c>
      <c r="DF1139" s="693">
        <f>SUMIFS(Imput[[Importe Neto]:[Importe Neto]],Imput[[C. Imp.]:[C. Imp.]],$D1139,Imput[[PERIODO Imp.]:[PERIODO Imp.]],DF$9)</f>
        <v>0</v>
      </c>
      <c r="DG1139" s="693">
        <f>SUMIFS(Imput[[Importe Neto]:[Importe Neto]],Imput[[C. Imp.]:[C. Imp.]],$D1139,Imput[[PERIODO Imp.]:[PERIODO Imp.]],DG$9)</f>
        <v>0</v>
      </c>
      <c r="DH1139" s="694">
        <f>SUMIFS(Imput[[Importe Neto]:[Importe Neto]],Imput[[C. Imp.]:[C. Imp.]],$D1139,Imput[[PERIODO Imp.]:[PERIODO Imp.]],DH$9)</f>
        <v>0</v>
      </c>
    </row>
    <row r="1140" spans="1:112" s="649" customFormat="1" hidden="1" outlineLevel="1" x14ac:dyDescent="0.3">
      <c r="A1140" s="652" t="str">
        <f t="shared" si="375"/>
        <v/>
      </c>
      <c r="B1140" s="652"/>
      <c r="C1140" s="685"/>
      <c r="D1140" s="686"/>
      <c r="E1140" s="686"/>
      <c r="F1140" s="720"/>
      <c r="G1140" s="688"/>
      <c r="H1140" s="689"/>
      <c r="I1140" s="851" t="str">
        <f t="shared" si="376"/>
        <v/>
      </c>
      <c r="J1140" s="850" t="str">
        <f t="shared" si="377"/>
        <v/>
      </c>
      <c r="K1140" s="667"/>
      <c r="L1140" s="858"/>
      <c r="M1140" s="859"/>
      <c r="N1140" s="859"/>
      <c r="O1140" s="859"/>
      <c r="P1140" s="859"/>
      <c r="Q1140" s="859"/>
      <c r="R1140" s="859"/>
      <c r="S1140" s="859"/>
      <c r="T1140" s="859"/>
      <c r="U1140" s="859"/>
      <c r="V1140" s="859"/>
      <c r="W1140" s="859"/>
      <c r="X1140" s="859"/>
      <c r="Y1140" s="859"/>
      <c r="Z1140" s="860"/>
      <c r="AA1140" s="860"/>
      <c r="AB1140" s="860"/>
      <c r="AC1140" s="860"/>
      <c r="AD1140" s="860"/>
      <c r="AE1140" s="860"/>
      <c r="AF1140" s="860"/>
      <c r="AG1140" s="860"/>
      <c r="AH1140" s="860"/>
      <c r="AI1140" s="860"/>
      <c r="AJ1140" s="860"/>
      <c r="AK1140" s="860"/>
      <c r="AL1140" s="860"/>
      <c r="AM1140" s="860"/>
      <c r="AN1140" s="860"/>
      <c r="AO1140" s="860"/>
      <c r="AP1140" s="860"/>
      <c r="AQ1140" s="860"/>
      <c r="AR1140" s="860"/>
      <c r="AS1140" s="860"/>
      <c r="AT1140" s="860"/>
      <c r="AU1140" s="860"/>
      <c r="AV1140" s="860"/>
      <c r="AW1140" s="860"/>
      <c r="AX1140" s="860"/>
      <c r="AY1140" s="860"/>
      <c r="AZ1140" s="860"/>
      <c r="BA1140" s="860"/>
      <c r="BB1140" s="860"/>
      <c r="BC1140" s="860"/>
      <c r="BD1140" s="860"/>
      <c r="BE1140" s="860"/>
      <c r="BF1140" s="860"/>
      <c r="BG1140" s="860"/>
      <c r="BH1140" s="668"/>
      <c r="BI1140" s="667"/>
      <c r="BJ1140" s="690">
        <f t="shared" si="378"/>
        <v>0</v>
      </c>
      <c r="BK1140" s="691">
        <f t="shared" si="379"/>
        <v>0</v>
      </c>
      <c r="BL1140" s="654"/>
      <c r="BM1140" s="692">
        <f>SUMIFS(Imput[[Importe Neto]:[Importe Neto]],Imput[[C. Imp.]:[C. Imp.]],$D1140,Imput[[PERIODO Imp.]:[PERIODO Imp.]],BM$9)</f>
        <v>0</v>
      </c>
      <c r="BN1140" s="693">
        <f>SUMIFS(Imput[[Importe Neto]:[Importe Neto]],Imput[[C. Imp.]:[C. Imp.]],$D1140,Imput[[PERIODO Imp.]:[PERIODO Imp.]],BN$9)</f>
        <v>0</v>
      </c>
      <c r="BO1140" s="693">
        <f>SUMIFS(Imput[[Importe Neto]:[Importe Neto]],Imput[[C. Imp.]:[C. Imp.]],$D1140,Imput[[PERIODO Imp.]:[PERIODO Imp.]],BO$9)</f>
        <v>0</v>
      </c>
      <c r="BP1140" s="693">
        <f>SUMIFS(Imput[[Importe Neto]:[Importe Neto]],Imput[[C. Imp.]:[C. Imp.]],$D1140,Imput[[PERIODO Imp.]:[PERIODO Imp.]],BP$9)</f>
        <v>0</v>
      </c>
      <c r="BQ1140" s="693">
        <f>SUMIFS(Imput[[Importe Neto]:[Importe Neto]],Imput[[C. Imp.]:[C. Imp.]],$D1140,Imput[[PERIODO Imp.]:[PERIODO Imp.]],BQ$9)</f>
        <v>0</v>
      </c>
      <c r="BR1140" s="693">
        <f>SUMIFS(Imput[[Importe Neto]:[Importe Neto]],Imput[[C. Imp.]:[C. Imp.]],$D1140,Imput[[PERIODO Imp.]:[PERIODO Imp.]],BR$9)</f>
        <v>0</v>
      </c>
      <c r="BS1140" s="693">
        <f>SUMIFS(Imput[[Importe Neto]:[Importe Neto]],Imput[[C. Imp.]:[C. Imp.]],$D1140,Imput[[PERIODO Imp.]:[PERIODO Imp.]],BS$9)</f>
        <v>0</v>
      </c>
      <c r="BT1140" s="693">
        <f>SUMIFS(Imput[[Importe Neto]:[Importe Neto]],Imput[[C. Imp.]:[C. Imp.]],$D1140,Imput[[PERIODO Imp.]:[PERIODO Imp.]],BT$9)</f>
        <v>0</v>
      </c>
      <c r="BU1140" s="693">
        <f>SUMIFS(Imput[[Importe Neto]:[Importe Neto]],Imput[[C. Imp.]:[C. Imp.]],$D1140,Imput[[PERIODO Imp.]:[PERIODO Imp.]],BU$9)</f>
        <v>0</v>
      </c>
      <c r="BV1140" s="693">
        <f>SUMIFS(Imput[[Importe Neto]:[Importe Neto]],Imput[[C. Imp.]:[C. Imp.]],$D1140,Imput[[PERIODO Imp.]:[PERIODO Imp.]],BV$9)</f>
        <v>0</v>
      </c>
      <c r="BW1140" s="693">
        <f>SUMIFS(Imput[[Importe Neto]:[Importe Neto]],Imput[[C. Imp.]:[C. Imp.]],$D1140,Imput[[PERIODO Imp.]:[PERIODO Imp.]],BW$9)</f>
        <v>0</v>
      </c>
      <c r="BX1140" s="693">
        <f>SUMIFS(Imput[[Importe Neto]:[Importe Neto]],Imput[[C. Imp.]:[C. Imp.]],$D1140,Imput[[PERIODO Imp.]:[PERIODO Imp.]],BX$9)</f>
        <v>0</v>
      </c>
      <c r="BY1140" s="693">
        <f>SUMIFS(Imput[[Importe Neto]:[Importe Neto]],Imput[[C. Imp.]:[C. Imp.]],$D1140,Imput[[PERIODO Imp.]:[PERIODO Imp.]],BY$9)</f>
        <v>0</v>
      </c>
      <c r="BZ1140" s="693">
        <f>SUMIFS(Imput[[Importe Neto]:[Importe Neto]],Imput[[C. Imp.]:[C. Imp.]],$D1140,Imput[[PERIODO Imp.]:[PERIODO Imp.]],BZ$9)</f>
        <v>0</v>
      </c>
      <c r="CA1140" s="693">
        <f>SUMIFS(Imput[[Importe Neto]:[Importe Neto]],Imput[[C. Imp.]:[C. Imp.]],$D1140,Imput[[PERIODO Imp.]:[PERIODO Imp.]],CA$9)</f>
        <v>0</v>
      </c>
      <c r="CB1140" s="693">
        <f>SUMIFS(Imput[[Importe Neto]:[Importe Neto]],Imput[[C. Imp.]:[C. Imp.]],$D1140,Imput[[PERIODO Imp.]:[PERIODO Imp.]],CB$9)</f>
        <v>0</v>
      </c>
      <c r="CC1140" s="693">
        <f>SUMIFS(Imput[[Importe Neto]:[Importe Neto]],Imput[[C. Imp.]:[C. Imp.]],$D1140,Imput[[PERIODO Imp.]:[PERIODO Imp.]],CC$9)</f>
        <v>0</v>
      </c>
      <c r="CD1140" s="693">
        <f>SUMIFS(Imput[[Importe Neto]:[Importe Neto]],Imput[[C. Imp.]:[C. Imp.]],$D1140,Imput[[PERIODO Imp.]:[PERIODO Imp.]],CD$9)</f>
        <v>0</v>
      </c>
      <c r="CE1140" s="693">
        <f>SUMIFS(Imput[[Importe Neto]:[Importe Neto]],Imput[[C. Imp.]:[C. Imp.]],$D1140,Imput[[PERIODO Imp.]:[PERIODO Imp.]],CE$9)</f>
        <v>0</v>
      </c>
      <c r="CF1140" s="693">
        <f>SUMIFS(Imput[[Importe Neto]:[Importe Neto]],Imput[[C. Imp.]:[C. Imp.]],$D1140,Imput[[PERIODO Imp.]:[PERIODO Imp.]],CF$9)</f>
        <v>0</v>
      </c>
      <c r="CG1140" s="693">
        <f>SUMIFS(Imput[[Importe Neto]:[Importe Neto]],Imput[[C. Imp.]:[C. Imp.]],$D1140,Imput[[PERIODO Imp.]:[PERIODO Imp.]],CG$9)</f>
        <v>0</v>
      </c>
      <c r="CH1140" s="693">
        <f>SUMIFS(Imput[[Importe Neto]:[Importe Neto]],Imput[[C. Imp.]:[C. Imp.]],$D1140,Imput[[PERIODO Imp.]:[PERIODO Imp.]],CH$9)</f>
        <v>0</v>
      </c>
      <c r="CI1140" s="693">
        <f>SUMIFS(Imput[[Importe Neto]:[Importe Neto]],Imput[[C. Imp.]:[C. Imp.]],$D1140,Imput[[PERIODO Imp.]:[PERIODO Imp.]],CI$9)</f>
        <v>0</v>
      </c>
      <c r="CJ1140" s="693">
        <f>SUMIFS(Imput[[Importe Neto]:[Importe Neto]],Imput[[C. Imp.]:[C. Imp.]],$D1140,Imput[[PERIODO Imp.]:[PERIODO Imp.]],CJ$9)</f>
        <v>0</v>
      </c>
      <c r="CK1140" s="693">
        <f>SUMIFS(Imput[[Importe Neto]:[Importe Neto]],Imput[[C. Imp.]:[C. Imp.]],$D1140,Imput[[PERIODO Imp.]:[PERIODO Imp.]],CK$9)</f>
        <v>0</v>
      </c>
      <c r="CL1140" s="693">
        <f>SUMIFS(Imput[[Importe Neto]:[Importe Neto]],Imput[[C. Imp.]:[C. Imp.]],$D1140,Imput[[PERIODO Imp.]:[PERIODO Imp.]],CL$9)</f>
        <v>0</v>
      </c>
      <c r="CM1140" s="693">
        <f>SUMIFS(Imput[[Importe Neto]:[Importe Neto]],Imput[[C. Imp.]:[C. Imp.]],$D1140,Imput[[PERIODO Imp.]:[PERIODO Imp.]],CM$9)</f>
        <v>0</v>
      </c>
      <c r="CN1140" s="693">
        <f>SUMIFS(Imput[[Importe Neto]:[Importe Neto]],Imput[[C. Imp.]:[C. Imp.]],$D1140,Imput[[PERIODO Imp.]:[PERIODO Imp.]],CN$9)</f>
        <v>0</v>
      </c>
      <c r="CO1140" s="693">
        <f>SUMIFS(Imput[[Importe Neto]:[Importe Neto]],Imput[[C. Imp.]:[C. Imp.]],$D1140,Imput[[PERIODO Imp.]:[PERIODO Imp.]],CO$9)</f>
        <v>0</v>
      </c>
      <c r="CP1140" s="693">
        <f>SUMIFS(Imput[[Importe Neto]:[Importe Neto]],Imput[[C. Imp.]:[C. Imp.]],$D1140,Imput[[PERIODO Imp.]:[PERIODO Imp.]],CP$9)</f>
        <v>0</v>
      </c>
      <c r="CQ1140" s="693">
        <f>SUMIFS(Imput[[Importe Neto]:[Importe Neto]],Imput[[C. Imp.]:[C. Imp.]],$D1140,Imput[[PERIODO Imp.]:[PERIODO Imp.]],CQ$9)</f>
        <v>0</v>
      </c>
      <c r="CR1140" s="693">
        <f>SUMIFS(Imput[[Importe Neto]:[Importe Neto]],Imput[[C. Imp.]:[C. Imp.]],$D1140,Imput[[PERIODO Imp.]:[PERIODO Imp.]],CR$9)</f>
        <v>0</v>
      </c>
      <c r="CS1140" s="693">
        <f>SUMIFS(Imput[[Importe Neto]:[Importe Neto]],Imput[[C. Imp.]:[C. Imp.]],$D1140,Imput[[PERIODO Imp.]:[PERIODO Imp.]],CS$9)</f>
        <v>0</v>
      </c>
      <c r="CT1140" s="693">
        <f>SUMIFS(Imput[[Importe Neto]:[Importe Neto]],Imput[[C. Imp.]:[C. Imp.]],$D1140,Imput[[PERIODO Imp.]:[PERIODO Imp.]],CT$9)</f>
        <v>0</v>
      </c>
      <c r="CU1140" s="693">
        <f>SUMIFS(Imput[[Importe Neto]:[Importe Neto]],Imput[[C. Imp.]:[C. Imp.]],$D1140,Imput[[PERIODO Imp.]:[PERIODO Imp.]],CU$9)</f>
        <v>0</v>
      </c>
      <c r="CV1140" s="693">
        <f>SUMIFS(Imput[[Importe Neto]:[Importe Neto]],Imput[[C. Imp.]:[C. Imp.]],$D1140,Imput[[PERIODO Imp.]:[PERIODO Imp.]],CV$9)</f>
        <v>0</v>
      </c>
      <c r="CW1140" s="693">
        <f>SUMIFS(Imput[[Importe Neto]:[Importe Neto]],Imput[[C. Imp.]:[C. Imp.]],$D1140,Imput[[PERIODO Imp.]:[PERIODO Imp.]],CW$9)</f>
        <v>0</v>
      </c>
      <c r="CX1140" s="693">
        <f>SUMIFS(Imput[[Importe Neto]:[Importe Neto]],Imput[[C. Imp.]:[C. Imp.]],$D1140,Imput[[PERIODO Imp.]:[PERIODO Imp.]],CX$9)</f>
        <v>0</v>
      </c>
      <c r="CY1140" s="693">
        <f>SUMIFS(Imput[[Importe Neto]:[Importe Neto]],Imput[[C. Imp.]:[C. Imp.]],$D1140,Imput[[PERIODO Imp.]:[PERIODO Imp.]],CY$9)</f>
        <v>0</v>
      </c>
      <c r="CZ1140" s="693">
        <f>SUMIFS(Imput[[Importe Neto]:[Importe Neto]],Imput[[C. Imp.]:[C. Imp.]],$D1140,Imput[[PERIODO Imp.]:[PERIODO Imp.]],CZ$9)</f>
        <v>0</v>
      </c>
      <c r="DA1140" s="693">
        <f>SUMIFS(Imput[[Importe Neto]:[Importe Neto]],Imput[[C. Imp.]:[C. Imp.]],$D1140,Imput[[PERIODO Imp.]:[PERIODO Imp.]],DA$9)</f>
        <v>0</v>
      </c>
      <c r="DB1140" s="693">
        <f>SUMIFS(Imput[[Importe Neto]:[Importe Neto]],Imput[[C. Imp.]:[C. Imp.]],$D1140,Imput[[PERIODO Imp.]:[PERIODO Imp.]],DB$9)</f>
        <v>0</v>
      </c>
      <c r="DC1140" s="693">
        <f>SUMIFS(Imput[[Importe Neto]:[Importe Neto]],Imput[[C. Imp.]:[C. Imp.]],$D1140,Imput[[PERIODO Imp.]:[PERIODO Imp.]],DC$9)</f>
        <v>0</v>
      </c>
      <c r="DD1140" s="693">
        <f>SUMIFS(Imput[[Importe Neto]:[Importe Neto]],Imput[[C. Imp.]:[C. Imp.]],$D1140,Imput[[PERIODO Imp.]:[PERIODO Imp.]],DD$9)</f>
        <v>0</v>
      </c>
      <c r="DE1140" s="693">
        <f>SUMIFS(Imput[[Importe Neto]:[Importe Neto]],Imput[[C. Imp.]:[C. Imp.]],$D1140,Imput[[PERIODO Imp.]:[PERIODO Imp.]],DE$9)</f>
        <v>0</v>
      </c>
      <c r="DF1140" s="693">
        <f>SUMIFS(Imput[[Importe Neto]:[Importe Neto]],Imput[[C. Imp.]:[C. Imp.]],$D1140,Imput[[PERIODO Imp.]:[PERIODO Imp.]],DF$9)</f>
        <v>0</v>
      </c>
      <c r="DG1140" s="693">
        <f>SUMIFS(Imput[[Importe Neto]:[Importe Neto]],Imput[[C. Imp.]:[C. Imp.]],$D1140,Imput[[PERIODO Imp.]:[PERIODO Imp.]],DG$9)</f>
        <v>0</v>
      </c>
      <c r="DH1140" s="694">
        <f>SUMIFS(Imput[[Importe Neto]:[Importe Neto]],Imput[[C. Imp.]:[C. Imp.]],$D1140,Imput[[PERIODO Imp.]:[PERIODO Imp.]],DH$9)</f>
        <v>0</v>
      </c>
    </row>
    <row r="1141" spans="1:112" s="649" customFormat="1" hidden="1" outlineLevel="1" x14ac:dyDescent="0.3">
      <c r="A1141" s="652" t="str">
        <f t="shared" si="375"/>
        <v/>
      </c>
      <c r="B1141" s="652"/>
      <c r="C1141" s="685"/>
      <c r="D1141" s="686"/>
      <c r="E1141" s="686"/>
      <c r="F1141" s="720"/>
      <c r="G1141" s="688"/>
      <c r="H1141" s="689"/>
      <c r="I1141" s="851" t="str">
        <f t="shared" si="376"/>
        <v/>
      </c>
      <c r="J1141" s="850" t="str">
        <f t="shared" si="377"/>
        <v/>
      </c>
      <c r="K1141" s="667"/>
      <c r="L1141" s="858"/>
      <c r="M1141" s="859"/>
      <c r="N1141" s="859"/>
      <c r="O1141" s="859"/>
      <c r="P1141" s="859"/>
      <c r="Q1141" s="859"/>
      <c r="R1141" s="859"/>
      <c r="S1141" s="859"/>
      <c r="T1141" s="859"/>
      <c r="U1141" s="859"/>
      <c r="V1141" s="859"/>
      <c r="W1141" s="859"/>
      <c r="X1141" s="859"/>
      <c r="Y1141" s="859"/>
      <c r="Z1141" s="860"/>
      <c r="AA1141" s="860"/>
      <c r="AB1141" s="860"/>
      <c r="AC1141" s="860"/>
      <c r="AD1141" s="860"/>
      <c r="AE1141" s="860"/>
      <c r="AF1141" s="860"/>
      <c r="AG1141" s="860"/>
      <c r="AH1141" s="860"/>
      <c r="AI1141" s="860"/>
      <c r="AJ1141" s="860"/>
      <c r="AK1141" s="860"/>
      <c r="AL1141" s="860"/>
      <c r="AM1141" s="860"/>
      <c r="AN1141" s="860"/>
      <c r="AO1141" s="860"/>
      <c r="AP1141" s="860"/>
      <c r="AQ1141" s="860"/>
      <c r="AR1141" s="860"/>
      <c r="AS1141" s="860"/>
      <c r="AT1141" s="860"/>
      <c r="AU1141" s="860"/>
      <c r="AV1141" s="860"/>
      <c r="AW1141" s="860"/>
      <c r="AX1141" s="860"/>
      <c r="AY1141" s="860"/>
      <c r="AZ1141" s="860"/>
      <c r="BA1141" s="860"/>
      <c r="BB1141" s="860"/>
      <c r="BC1141" s="860"/>
      <c r="BD1141" s="860"/>
      <c r="BE1141" s="860"/>
      <c r="BF1141" s="860"/>
      <c r="BG1141" s="860"/>
      <c r="BH1141" s="668"/>
      <c r="BI1141" s="667"/>
      <c r="BJ1141" s="690">
        <f t="shared" si="378"/>
        <v>0</v>
      </c>
      <c r="BK1141" s="691">
        <f t="shared" si="379"/>
        <v>0</v>
      </c>
      <c r="BL1141" s="654"/>
      <c r="BM1141" s="692">
        <f>SUMIFS(Imput[[Importe Neto]:[Importe Neto]],Imput[[C. Imp.]:[C. Imp.]],$D1141,Imput[[PERIODO Imp.]:[PERIODO Imp.]],BM$9)</f>
        <v>0</v>
      </c>
      <c r="BN1141" s="693">
        <f>SUMIFS(Imput[[Importe Neto]:[Importe Neto]],Imput[[C. Imp.]:[C. Imp.]],$D1141,Imput[[PERIODO Imp.]:[PERIODO Imp.]],BN$9)</f>
        <v>0</v>
      </c>
      <c r="BO1141" s="693">
        <f>SUMIFS(Imput[[Importe Neto]:[Importe Neto]],Imput[[C. Imp.]:[C. Imp.]],$D1141,Imput[[PERIODO Imp.]:[PERIODO Imp.]],BO$9)</f>
        <v>0</v>
      </c>
      <c r="BP1141" s="693">
        <f>SUMIFS(Imput[[Importe Neto]:[Importe Neto]],Imput[[C. Imp.]:[C. Imp.]],$D1141,Imput[[PERIODO Imp.]:[PERIODO Imp.]],BP$9)</f>
        <v>0</v>
      </c>
      <c r="BQ1141" s="693">
        <f>SUMIFS(Imput[[Importe Neto]:[Importe Neto]],Imput[[C. Imp.]:[C. Imp.]],$D1141,Imput[[PERIODO Imp.]:[PERIODO Imp.]],BQ$9)</f>
        <v>0</v>
      </c>
      <c r="BR1141" s="693">
        <f>SUMIFS(Imput[[Importe Neto]:[Importe Neto]],Imput[[C. Imp.]:[C. Imp.]],$D1141,Imput[[PERIODO Imp.]:[PERIODO Imp.]],BR$9)</f>
        <v>0</v>
      </c>
      <c r="BS1141" s="693">
        <f>SUMIFS(Imput[[Importe Neto]:[Importe Neto]],Imput[[C. Imp.]:[C. Imp.]],$D1141,Imput[[PERIODO Imp.]:[PERIODO Imp.]],BS$9)</f>
        <v>0</v>
      </c>
      <c r="BT1141" s="693">
        <f>SUMIFS(Imput[[Importe Neto]:[Importe Neto]],Imput[[C. Imp.]:[C. Imp.]],$D1141,Imput[[PERIODO Imp.]:[PERIODO Imp.]],BT$9)</f>
        <v>0</v>
      </c>
      <c r="BU1141" s="693">
        <f>SUMIFS(Imput[[Importe Neto]:[Importe Neto]],Imput[[C. Imp.]:[C. Imp.]],$D1141,Imput[[PERIODO Imp.]:[PERIODO Imp.]],BU$9)</f>
        <v>0</v>
      </c>
      <c r="BV1141" s="693">
        <f>SUMIFS(Imput[[Importe Neto]:[Importe Neto]],Imput[[C. Imp.]:[C. Imp.]],$D1141,Imput[[PERIODO Imp.]:[PERIODO Imp.]],BV$9)</f>
        <v>0</v>
      </c>
      <c r="BW1141" s="693">
        <f>SUMIFS(Imput[[Importe Neto]:[Importe Neto]],Imput[[C. Imp.]:[C. Imp.]],$D1141,Imput[[PERIODO Imp.]:[PERIODO Imp.]],BW$9)</f>
        <v>0</v>
      </c>
      <c r="BX1141" s="693">
        <f>SUMIFS(Imput[[Importe Neto]:[Importe Neto]],Imput[[C. Imp.]:[C. Imp.]],$D1141,Imput[[PERIODO Imp.]:[PERIODO Imp.]],BX$9)</f>
        <v>0</v>
      </c>
      <c r="BY1141" s="693">
        <f>SUMIFS(Imput[[Importe Neto]:[Importe Neto]],Imput[[C. Imp.]:[C. Imp.]],$D1141,Imput[[PERIODO Imp.]:[PERIODO Imp.]],BY$9)</f>
        <v>0</v>
      </c>
      <c r="BZ1141" s="693">
        <f>SUMIFS(Imput[[Importe Neto]:[Importe Neto]],Imput[[C. Imp.]:[C. Imp.]],$D1141,Imput[[PERIODO Imp.]:[PERIODO Imp.]],BZ$9)</f>
        <v>0</v>
      </c>
      <c r="CA1141" s="693">
        <f>SUMIFS(Imput[[Importe Neto]:[Importe Neto]],Imput[[C. Imp.]:[C. Imp.]],$D1141,Imput[[PERIODO Imp.]:[PERIODO Imp.]],CA$9)</f>
        <v>0</v>
      </c>
      <c r="CB1141" s="693">
        <f>SUMIFS(Imput[[Importe Neto]:[Importe Neto]],Imput[[C. Imp.]:[C. Imp.]],$D1141,Imput[[PERIODO Imp.]:[PERIODO Imp.]],CB$9)</f>
        <v>0</v>
      </c>
      <c r="CC1141" s="693">
        <f>SUMIFS(Imput[[Importe Neto]:[Importe Neto]],Imput[[C. Imp.]:[C. Imp.]],$D1141,Imput[[PERIODO Imp.]:[PERIODO Imp.]],CC$9)</f>
        <v>0</v>
      </c>
      <c r="CD1141" s="693">
        <f>SUMIFS(Imput[[Importe Neto]:[Importe Neto]],Imput[[C. Imp.]:[C. Imp.]],$D1141,Imput[[PERIODO Imp.]:[PERIODO Imp.]],CD$9)</f>
        <v>0</v>
      </c>
      <c r="CE1141" s="693">
        <f>SUMIFS(Imput[[Importe Neto]:[Importe Neto]],Imput[[C. Imp.]:[C. Imp.]],$D1141,Imput[[PERIODO Imp.]:[PERIODO Imp.]],CE$9)</f>
        <v>0</v>
      </c>
      <c r="CF1141" s="693">
        <f>SUMIFS(Imput[[Importe Neto]:[Importe Neto]],Imput[[C. Imp.]:[C. Imp.]],$D1141,Imput[[PERIODO Imp.]:[PERIODO Imp.]],CF$9)</f>
        <v>0</v>
      </c>
      <c r="CG1141" s="693">
        <f>SUMIFS(Imput[[Importe Neto]:[Importe Neto]],Imput[[C. Imp.]:[C. Imp.]],$D1141,Imput[[PERIODO Imp.]:[PERIODO Imp.]],CG$9)</f>
        <v>0</v>
      </c>
      <c r="CH1141" s="693">
        <f>SUMIFS(Imput[[Importe Neto]:[Importe Neto]],Imput[[C. Imp.]:[C. Imp.]],$D1141,Imput[[PERIODO Imp.]:[PERIODO Imp.]],CH$9)</f>
        <v>0</v>
      </c>
      <c r="CI1141" s="693">
        <f>SUMIFS(Imput[[Importe Neto]:[Importe Neto]],Imput[[C. Imp.]:[C. Imp.]],$D1141,Imput[[PERIODO Imp.]:[PERIODO Imp.]],CI$9)</f>
        <v>0</v>
      </c>
      <c r="CJ1141" s="693">
        <f>SUMIFS(Imput[[Importe Neto]:[Importe Neto]],Imput[[C. Imp.]:[C. Imp.]],$D1141,Imput[[PERIODO Imp.]:[PERIODO Imp.]],CJ$9)</f>
        <v>0</v>
      </c>
      <c r="CK1141" s="693">
        <f>SUMIFS(Imput[[Importe Neto]:[Importe Neto]],Imput[[C. Imp.]:[C. Imp.]],$D1141,Imput[[PERIODO Imp.]:[PERIODO Imp.]],CK$9)</f>
        <v>0</v>
      </c>
      <c r="CL1141" s="693">
        <f>SUMIFS(Imput[[Importe Neto]:[Importe Neto]],Imput[[C. Imp.]:[C. Imp.]],$D1141,Imput[[PERIODO Imp.]:[PERIODO Imp.]],CL$9)</f>
        <v>0</v>
      </c>
      <c r="CM1141" s="693">
        <f>SUMIFS(Imput[[Importe Neto]:[Importe Neto]],Imput[[C. Imp.]:[C. Imp.]],$D1141,Imput[[PERIODO Imp.]:[PERIODO Imp.]],CM$9)</f>
        <v>0</v>
      </c>
      <c r="CN1141" s="693">
        <f>SUMIFS(Imput[[Importe Neto]:[Importe Neto]],Imput[[C. Imp.]:[C. Imp.]],$D1141,Imput[[PERIODO Imp.]:[PERIODO Imp.]],CN$9)</f>
        <v>0</v>
      </c>
      <c r="CO1141" s="693">
        <f>SUMIFS(Imput[[Importe Neto]:[Importe Neto]],Imput[[C. Imp.]:[C. Imp.]],$D1141,Imput[[PERIODO Imp.]:[PERIODO Imp.]],CO$9)</f>
        <v>0</v>
      </c>
      <c r="CP1141" s="693">
        <f>SUMIFS(Imput[[Importe Neto]:[Importe Neto]],Imput[[C. Imp.]:[C. Imp.]],$D1141,Imput[[PERIODO Imp.]:[PERIODO Imp.]],CP$9)</f>
        <v>0</v>
      </c>
      <c r="CQ1141" s="693">
        <f>SUMIFS(Imput[[Importe Neto]:[Importe Neto]],Imput[[C. Imp.]:[C. Imp.]],$D1141,Imput[[PERIODO Imp.]:[PERIODO Imp.]],CQ$9)</f>
        <v>0</v>
      </c>
      <c r="CR1141" s="693">
        <f>SUMIFS(Imput[[Importe Neto]:[Importe Neto]],Imput[[C. Imp.]:[C. Imp.]],$D1141,Imput[[PERIODO Imp.]:[PERIODO Imp.]],CR$9)</f>
        <v>0</v>
      </c>
      <c r="CS1141" s="693">
        <f>SUMIFS(Imput[[Importe Neto]:[Importe Neto]],Imput[[C. Imp.]:[C. Imp.]],$D1141,Imput[[PERIODO Imp.]:[PERIODO Imp.]],CS$9)</f>
        <v>0</v>
      </c>
      <c r="CT1141" s="693">
        <f>SUMIFS(Imput[[Importe Neto]:[Importe Neto]],Imput[[C. Imp.]:[C. Imp.]],$D1141,Imput[[PERIODO Imp.]:[PERIODO Imp.]],CT$9)</f>
        <v>0</v>
      </c>
      <c r="CU1141" s="693">
        <f>SUMIFS(Imput[[Importe Neto]:[Importe Neto]],Imput[[C. Imp.]:[C. Imp.]],$D1141,Imput[[PERIODO Imp.]:[PERIODO Imp.]],CU$9)</f>
        <v>0</v>
      </c>
      <c r="CV1141" s="693">
        <f>SUMIFS(Imput[[Importe Neto]:[Importe Neto]],Imput[[C. Imp.]:[C. Imp.]],$D1141,Imput[[PERIODO Imp.]:[PERIODO Imp.]],CV$9)</f>
        <v>0</v>
      </c>
      <c r="CW1141" s="693">
        <f>SUMIFS(Imput[[Importe Neto]:[Importe Neto]],Imput[[C. Imp.]:[C. Imp.]],$D1141,Imput[[PERIODO Imp.]:[PERIODO Imp.]],CW$9)</f>
        <v>0</v>
      </c>
      <c r="CX1141" s="693">
        <f>SUMIFS(Imput[[Importe Neto]:[Importe Neto]],Imput[[C. Imp.]:[C. Imp.]],$D1141,Imput[[PERIODO Imp.]:[PERIODO Imp.]],CX$9)</f>
        <v>0</v>
      </c>
      <c r="CY1141" s="693">
        <f>SUMIFS(Imput[[Importe Neto]:[Importe Neto]],Imput[[C. Imp.]:[C. Imp.]],$D1141,Imput[[PERIODO Imp.]:[PERIODO Imp.]],CY$9)</f>
        <v>0</v>
      </c>
      <c r="CZ1141" s="693">
        <f>SUMIFS(Imput[[Importe Neto]:[Importe Neto]],Imput[[C. Imp.]:[C. Imp.]],$D1141,Imput[[PERIODO Imp.]:[PERIODO Imp.]],CZ$9)</f>
        <v>0</v>
      </c>
      <c r="DA1141" s="693">
        <f>SUMIFS(Imput[[Importe Neto]:[Importe Neto]],Imput[[C. Imp.]:[C. Imp.]],$D1141,Imput[[PERIODO Imp.]:[PERIODO Imp.]],DA$9)</f>
        <v>0</v>
      </c>
      <c r="DB1141" s="693">
        <f>SUMIFS(Imput[[Importe Neto]:[Importe Neto]],Imput[[C. Imp.]:[C. Imp.]],$D1141,Imput[[PERIODO Imp.]:[PERIODO Imp.]],DB$9)</f>
        <v>0</v>
      </c>
      <c r="DC1141" s="693">
        <f>SUMIFS(Imput[[Importe Neto]:[Importe Neto]],Imput[[C. Imp.]:[C. Imp.]],$D1141,Imput[[PERIODO Imp.]:[PERIODO Imp.]],DC$9)</f>
        <v>0</v>
      </c>
      <c r="DD1141" s="693">
        <f>SUMIFS(Imput[[Importe Neto]:[Importe Neto]],Imput[[C. Imp.]:[C. Imp.]],$D1141,Imput[[PERIODO Imp.]:[PERIODO Imp.]],DD$9)</f>
        <v>0</v>
      </c>
      <c r="DE1141" s="693">
        <f>SUMIFS(Imput[[Importe Neto]:[Importe Neto]],Imput[[C. Imp.]:[C. Imp.]],$D1141,Imput[[PERIODO Imp.]:[PERIODO Imp.]],DE$9)</f>
        <v>0</v>
      </c>
      <c r="DF1141" s="693">
        <f>SUMIFS(Imput[[Importe Neto]:[Importe Neto]],Imput[[C. Imp.]:[C. Imp.]],$D1141,Imput[[PERIODO Imp.]:[PERIODO Imp.]],DF$9)</f>
        <v>0</v>
      </c>
      <c r="DG1141" s="693">
        <f>SUMIFS(Imput[[Importe Neto]:[Importe Neto]],Imput[[C. Imp.]:[C. Imp.]],$D1141,Imput[[PERIODO Imp.]:[PERIODO Imp.]],DG$9)</f>
        <v>0</v>
      </c>
      <c r="DH1141" s="694">
        <f>SUMIFS(Imput[[Importe Neto]:[Importe Neto]],Imput[[C. Imp.]:[C. Imp.]],$D1141,Imput[[PERIODO Imp.]:[PERIODO Imp.]],DH$9)</f>
        <v>0</v>
      </c>
    </row>
    <row r="1142" spans="1:112" s="649" customFormat="1" hidden="1" outlineLevel="1" x14ac:dyDescent="0.3">
      <c r="A1142" s="652" t="str">
        <f t="shared" si="375"/>
        <v/>
      </c>
      <c r="B1142" s="652"/>
      <c r="C1142" s="685"/>
      <c r="D1142" s="686"/>
      <c r="E1142" s="686"/>
      <c r="F1142" s="720"/>
      <c r="G1142" s="688"/>
      <c r="H1142" s="689"/>
      <c r="I1142" s="851" t="str">
        <f t="shared" si="376"/>
        <v/>
      </c>
      <c r="J1142" s="850" t="str">
        <f t="shared" si="377"/>
        <v/>
      </c>
      <c r="K1142" s="667"/>
      <c r="L1142" s="858"/>
      <c r="M1142" s="859"/>
      <c r="N1142" s="859"/>
      <c r="O1142" s="859"/>
      <c r="P1142" s="859"/>
      <c r="Q1142" s="859"/>
      <c r="R1142" s="859"/>
      <c r="S1142" s="859"/>
      <c r="T1142" s="859"/>
      <c r="U1142" s="859"/>
      <c r="V1142" s="859"/>
      <c r="W1142" s="859"/>
      <c r="X1142" s="859"/>
      <c r="Y1142" s="859"/>
      <c r="Z1142" s="860"/>
      <c r="AA1142" s="860"/>
      <c r="AB1142" s="860"/>
      <c r="AC1142" s="860"/>
      <c r="AD1142" s="860"/>
      <c r="AE1142" s="860"/>
      <c r="AF1142" s="860"/>
      <c r="AG1142" s="860"/>
      <c r="AH1142" s="860"/>
      <c r="AI1142" s="860"/>
      <c r="AJ1142" s="860"/>
      <c r="AK1142" s="860"/>
      <c r="AL1142" s="860"/>
      <c r="AM1142" s="860"/>
      <c r="AN1142" s="860"/>
      <c r="AO1142" s="860"/>
      <c r="AP1142" s="860"/>
      <c r="AQ1142" s="860"/>
      <c r="AR1142" s="860"/>
      <c r="AS1142" s="860"/>
      <c r="AT1142" s="860"/>
      <c r="AU1142" s="860"/>
      <c r="AV1142" s="860"/>
      <c r="AW1142" s="860"/>
      <c r="AX1142" s="860"/>
      <c r="AY1142" s="860"/>
      <c r="AZ1142" s="860"/>
      <c r="BA1142" s="860"/>
      <c r="BB1142" s="860"/>
      <c r="BC1142" s="860"/>
      <c r="BD1142" s="860"/>
      <c r="BE1142" s="860"/>
      <c r="BF1142" s="860"/>
      <c r="BG1142" s="860"/>
      <c r="BH1142" s="668"/>
      <c r="BI1142" s="667"/>
      <c r="BJ1142" s="690">
        <f t="shared" si="378"/>
        <v>0</v>
      </c>
      <c r="BK1142" s="691">
        <f t="shared" si="379"/>
        <v>0</v>
      </c>
      <c r="BL1142" s="654"/>
      <c r="BM1142" s="692">
        <f>SUMIFS(Imput[[Importe Neto]:[Importe Neto]],Imput[[C. Imp.]:[C. Imp.]],$D1142,Imput[[PERIODO Imp.]:[PERIODO Imp.]],BM$9)</f>
        <v>0</v>
      </c>
      <c r="BN1142" s="693">
        <f>SUMIFS(Imput[[Importe Neto]:[Importe Neto]],Imput[[C. Imp.]:[C. Imp.]],$D1142,Imput[[PERIODO Imp.]:[PERIODO Imp.]],BN$9)</f>
        <v>0</v>
      </c>
      <c r="BO1142" s="693">
        <f>SUMIFS(Imput[[Importe Neto]:[Importe Neto]],Imput[[C. Imp.]:[C. Imp.]],$D1142,Imput[[PERIODO Imp.]:[PERIODO Imp.]],BO$9)</f>
        <v>0</v>
      </c>
      <c r="BP1142" s="693">
        <f>SUMIFS(Imput[[Importe Neto]:[Importe Neto]],Imput[[C. Imp.]:[C. Imp.]],$D1142,Imput[[PERIODO Imp.]:[PERIODO Imp.]],BP$9)</f>
        <v>0</v>
      </c>
      <c r="BQ1142" s="693">
        <f>SUMIFS(Imput[[Importe Neto]:[Importe Neto]],Imput[[C. Imp.]:[C. Imp.]],$D1142,Imput[[PERIODO Imp.]:[PERIODO Imp.]],BQ$9)</f>
        <v>0</v>
      </c>
      <c r="BR1142" s="693">
        <f>SUMIFS(Imput[[Importe Neto]:[Importe Neto]],Imput[[C. Imp.]:[C. Imp.]],$D1142,Imput[[PERIODO Imp.]:[PERIODO Imp.]],BR$9)</f>
        <v>0</v>
      </c>
      <c r="BS1142" s="693">
        <f>SUMIFS(Imput[[Importe Neto]:[Importe Neto]],Imput[[C. Imp.]:[C. Imp.]],$D1142,Imput[[PERIODO Imp.]:[PERIODO Imp.]],BS$9)</f>
        <v>0</v>
      </c>
      <c r="BT1142" s="693">
        <f>SUMIFS(Imput[[Importe Neto]:[Importe Neto]],Imput[[C. Imp.]:[C. Imp.]],$D1142,Imput[[PERIODO Imp.]:[PERIODO Imp.]],BT$9)</f>
        <v>0</v>
      </c>
      <c r="BU1142" s="693">
        <f>SUMIFS(Imput[[Importe Neto]:[Importe Neto]],Imput[[C. Imp.]:[C. Imp.]],$D1142,Imput[[PERIODO Imp.]:[PERIODO Imp.]],BU$9)</f>
        <v>0</v>
      </c>
      <c r="BV1142" s="693">
        <f>SUMIFS(Imput[[Importe Neto]:[Importe Neto]],Imput[[C. Imp.]:[C. Imp.]],$D1142,Imput[[PERIODO Imp.]:[PERIODO Imp.]],BV$9)</f>
        <v>0</v>
      </c>
      <c r="BW1142" s="693">
        <f>SUMIFS(Imput[[Importe Neto]:[Importe Neto]],Imput[[C. Imp.]:[C. Imp.]],$D1142,Imput[[PERIODO Imp.]:[PERIODO Imp.]],BW$9)</f>
        <v>0</v>
      </c>
      <c r="BX1142" s="693">
        <f>SUMIFS(Imput[[Importe Neto]:[Importe Neto]],Imput[[C. Imp.]:[C. Imp.]],$D1142,Imput[[PERIODO Imp.]:[PERIODO Imp.]],BX$9)</f>
        <v>0</v>
      </c>
      <c r="BY1142" s="693">
        <f>SUMIFS(Imput[[Importe Neto]:[Importe Neto]],Imput[[C. Imp.]:[C. Imp.]],$D1142,Imput[[PERIODO Imp.]:[PERIODO Imp.]],BY$9)</f>
        <v>0</v>
      </c>
      <c r="BZ1142" s="693">
        <f>SUMIFS(Imput[[Importe Neto]:[Importe Neto]],Imput[[C. Imp.]:[C. Imp.]],$D1142,Imput[[PERIODO Imp.]:[PERIODO Imp.]],BZ$9)</f>
        <v>0</v>
      </c>
      <c r="CA1142" s="693">
        <f>SUMIFS(Imput[[Importe Neto]:[Importe Neto]],Imput[[C. Imp.]:[C. Imp.]],$D1142,Imput[[PERIODO Imp.]:[PERIODO Imp.]],CA$9)</f>
        <v>0</v>
      </c>
      <c r="CB1142" s="693">
        <f>SUMIFS(Imput[[Importe Neto]:[Importe Neto]],Imput[[C. Imp.]:[C. Imp.]],$D1142,Imput[[PERIODO Imp.]:[PERIODO Imp.]],CB$9)</f>
        <v>0</v>
      </c>
      <c r="CC1142" s="693">
        <f>SUMIFS(Imput[[Importe Neto]:[Importe Neto]],Imput[[C. Imp.]:[C. Imp.]],$D1142,Imput[[PERIODO Imp.]:[PERIODO Imp.]],CC$9)</f>
        <v>0</v>
      </c>
      <c r="CD1142" s="693">
        <f>SUMIFS(Imput[[Importe Neto]:[Importe Neto]],Imput[[C. Imp.]:[C. Imp.]],$D1142,Imput[[PERIODO Imp.]:[PERIODO Imp.]],CD$9)</f>
        <v>0</v>
      </c>
      <c r="CE1142" s="693">
        <f>SUMIFS(Imput[[Importe Neto]:[Importe Neto]],Imput[[C. Imp.]:[C. Imp.]],$D1142,Imput[[PERIODO Imp.]:[PERIODO Imp.]],CE$9)</f>
        <v>0</v>
      </c>
      <c r="CF1142" s="693">
        <f>SUMIFS(Imput[[Importe Neto]:[Importe Neto]],Imput[[C. Imp.]:[C. Imp.]],$D1142,Imput[[PERIODO Imp.]:[PERIODO Imp.]],CF$9)</f>
        <v>0</v>
      </c>
      <c r="CG1142" s="693">
        <f>SUMIFS(Imput[[Importe Neto]:[Importe Neto]],Imput[[C. Imp.]:[C. Imp.]],$D1142,Imput[[PERIODO Imp.]:[PERIODO Imp.]],CG$9)</f>
        <v>0</v>
      </c>
      <c r="CH1142" s="693">
        <f>SUMIFS(Imput[[Importe Neto]:[Importe Neto]],Imput[[C. Imp.]:[C. Imp.]],$D1142,Imput[[PERIODO Imp.]:[PERIODO Imp.]],CH$9)</f>
        <v>0</v>
      </c>
      <c r="CI1142" s="693">
        <f>SUMIFS(Imput[[Importe Neto]:[Importe Neto]],Imput[[C. Imp.]:[C. Imp.]],$D1142,Imput[[PERIODO Imp.]:[PERIODO Imp.]],CI$9)</f>
        <v>0</v>
      </c>
      <c r="CJ1142" s="693">
        <f>SUMIFS(Imput[[Importe Neto]:[Importe Neto]],Imput[[C. Imp.]:[C. Imp.]],$D1142,Imput[[PERIODO Imp.]:[PERIODO Imp.]],CJ$9)</f>
        <v>0</v>
      </c>
      <c r="CK1142" s="693">
        <f>SUMIFS(Imput[[Importe Neto]:[Importe Neto]],Imput[[C. Imp.]:[C. Imp.]],$D1142,Imput[[PERIODO Imp.]:[PERIODO Imp.]],CK$9)</f>
        <v>0</v>
      </c>
      <c r="CL1142" s="693">
        <f>SUMIFS(Imput[[Importe Neto]:[Importe Neto]],Imput[[C. Imp.]:[C. Imp.]],$D1142,Imput[[PERIODO Imp.]:[PERIODO Imp.]],CL$9)</f>
        <v>0</v>
      </c>
      <c r="CM1142" s="693">
        <f>SUMIFS(Imput[[Importe Neto]:[Importe Neto]],Imput[[C. Imp.]:[C. Imp.]],$D1142,Imput[[PERIODO Imp.]:[PERIODO Imp.]],CM$9)</f>
        <v>0</v>
      </c>
      <c r="CN1142" s="693">
        <f>SUMIFS(Imput[[Importe Neto]:[Importe Neto]],Imput[[C. Imp.]:[C. Imp.]],$D1142,Imput[[PERIODO Imp.]:[PERIODO Imp.]],CN$9)</f>
        <v>0</v>
      </c>
      <c r="CO1142" s="693">
        <f>SUMIFS(Imput[[Importe Neto]:[Importe Neto]],Imput[[C. Imp.]:[C. Imp.]],$D1142,Imput[[PERIODO Imp.]:[PERIODO Imp.]],CO$9)</f>
        <v>0</v>
      </c>
      <c r="CP1142" s="693">
        <f>SUMIFS(Imput[[Importe Neto]:[Importe Neto]],Imput[[C. Imp.]:[C. Imp.]],$D1142,Imput[[PERIODO Imp.]:[PERIODO Imp.]],CP$9)</f>
        <v>0</v>
      </c>
      <c r="CQ1142" s="693">
        <f>SUMIFS(Imput[[Importe Neto]:[Importe Neto]],Imput[[C. Imp.]:[C. Imp.]],$D1142,Imput[[PERIODO Imp.]:[PERIODO Imp.]],CQ$9)</f>
        <v>0</v>
      </c>
      <c r="CR1142" s="693">
        <f>SUMIFS(Imput[[Importe Neto]:[Importe Neto]],Imput[[C. Imp.]:[C. Imp.]],$D1142,Imput[[PERIODO Imp.]:[PERIODO Imp.]],CR$9)</f>
        <v>0</v>
      </c>
      <c r="CS1142" s="693">
        <f>SUMIFS(Imput[[Importe Neto]:[Importe Neto]],Imput[[C. Imp.]:[C. Imp.]],$D1142,Imput[[PERIODO Imp.]:[PERIODO Imp.]],CS$9)</f>
        <v>0</v>
      </c>
      <c r="CT1142" s="693">
        <f>SUMIFS(Imput[[Importe Neto]:[Importe Neto]],Imput[[C. Imp.]:[C. Imp.]],$D1142,Imput[[PERIODO Imp.]:[PERIODO Imp.]],CT$9)</f>
        <v>0</v>
      </c>
      <c r="CU1142" s="693">
        <f>SUMIFS(Imput[[Importe Neto]:[Importe Neto]],Imput[[C. Imp.]:[C. Imp.]],$D1142,Imput[[PERIODO Imp.]:[PERIODO Imp.]],CU$9)</f>
        <v>0</v>
      </c>
      <c r="CV1142" s="693">
        <f>SUMIFS(Imput[[Importe Neto]:[Importe Neto]],Imput[[C. Imp.]:[C. Imp.]],$D1142,Imput[[PERIODO Imp.]:[PERIODO Imp.]],CV$9)</f>
        <v>0</v>
      </c>
      <c r="CW1142" s="693">
        <f>SUMIFS(Imput[[Importe Neto]:[Importe Neto]],Imput[[C. Imp.]:[C. Imp.]],$D1142,Imput[[PERIODO Imp.]:[PERIODO Imp.]],CW$9)</f>
        <v>0</v>
      </c>
      <c r="CX1142" s="693">
        <f>SUMIFS(Imput[[Importe Neto]:[Importe Neto]],Imput[[C. Imp.]:[C. Imp.]],$D1142,Imput[[PERIODO Imp.]:[PERIODO Imp.]],CX$9)</f>
        <v>0</v>
      </c>
      <c r="CY1142" s="693">
        <f>SUMIFS(Imput[[Importe Neto]:[Importe Neto]],Imput[[C. Imp.]:[C. Imp.]],$D1142,Imput[[PERIODO Imp.]:[PERIODO Imp.]],CY$9)</f>
        <v>0</v>
      </c>
      <c r="CZ1142" s="693">
        <f>SUMIFS(Imput[[Importe Neto]:[Importe Neto]],Imput[[C. Imp.]:[C. Imp.]],$D1142,Imput[[PERIODO Imp.]:[PERIODO Imp.]],CZ$9)</f>
        <v>0</v>
      </c>
      <c r="DA1142" s="693">
        <f>SUMIFS(Imput[[Importe Neto]:[Importe Neto]],Imput[[C. Imp.]:[C. Imp.]],$D1142,Imput[[PERIODO Imp.]:[PERIODO Imp.]],DA$9)</f>
        <v>0</v>
      </c>
      <c r="DB1142" s="693">
        <f>SUMIFS(Imput[[Importe Neto]:[Importe Neto]],Imput[[C. Imp.]:[C. Imp.]],$D1142,Imput[[PERIODO Imp.]:[PERIODO Imp.]],DB$9)</f>
        <v>0</v>
      </c>
      <c r="DC1142" s="693">
        <f>SUMIFS(Imput[[Importe Neto]:[Importe Neto]],Imput[[C. Imp.]:[C. Imp.]],$D1142,Imput[[PERIODO Imp.]:[PERIODO Imp.]],DC$9)</f>
        <v>0</v>
      </c>
      <c r="DD1142" s="693">
        <f>SUMIFS(Imput[[Importe Neto]:[Importe Neto]],Imput[[C. Imp.]:[C. Imp.]],$D1142,Imput[[PERIODO Imp.]:[PERIODO Imp.]],DD$9)</f>
        <v>0</v>
      </c>
      <c r="DE1142" s="693">
        <f>SUMIFS(Imput[[Importe Neto]:[Importe Neto]],Imput[[C. Imp.]:[C. Imp.]],$D1142,Imput[[PERIODO Imp.]:[PERIODO Imp.]],DE$9)</f>
        <v>0</v>
      </c>
      <c r="DF1142" s="693">
        <f>SUMIFS(Imput[[Importe Neto]:[Importe Neto]],Imput[[C. Imp.]:[C. Imp.]],$D1142,Imput[[PERIODO Imp.]:[PERIODO Imp.]],DF$9)</f>
        <v>0</v>
      </c>
      <c r="DG1142" s="693">
        <f>SUMIFS(Imput[[Importe Neto]:[Importe Neto]],Imput[[C. Imp.]:[C. Imp.]],$D1142,Imput[[PERIODO Imp.]:[PERIODO Imp.]],DG$9)</f>
        <v>0</v>
      </c>
      <c r="DH1142" s="694">
        <f>SUMIFS(Imput[[Importe Neto]:[Importe Neto]],Imput[[C. Imp.]:[C. Imp.]],$D1142,Imput[[PERIODO Imp.]:[PERIODO Imp.]],DH$9)</f>
        <v>0</v>
      </c>
    </row>
    <row r="1143" spans="1:112" s="649" customFormat="1" hidden="1" outlineLevel="1" x14ac:dyDescent="0.3">
      <c r="A1143" s="652" t="str">
        <f t="shared" si="375"/>
        <v/>
      </c>
      <c r="B1143" s="652"/>
      <c r="C1143" s="685"/>
      <c r="D1143" s="686"/>
      <c r="E1143" s="686"/>
      <c r="F1143" s="720"/>
      <c r="G1143" s="688"/>
      <c r="H1143" s="689"/>
      <c r="I1143" s="851" t="str">
        <f t="shared" si="376"/>
        <v/>
      </c>
      <c r="J1143" s="850" t="str">
        <f t="shared" si="377"/>
        <v/>
      </c>
      <c r="K1143" s="667"/>
      <c r="L1143" s="858"/>
      <c r="M1143" s="859"/>
      <c r="N1143" s="859"/>
      <c r="O1143" s="859"/>
      <c r="P1143" s="859"/>
      <c r="Q1143" s="859"/>
      <c r="R1143" s="859"/>
      <c r="S1143" s="859"/>
      <c r="T1143" s="859"/>
      <c r="U1143" s="859"/>
      <c r="V1143" s="859"/>
      <c r="W1143" s="859"/>
      <c r="X1143" s="859"/>
      <c r="Y1143" s="859"/>
      <c r="Z1143" s="860"/>
      <c r="AA1143" s="860"/>
      <c r="AB1143" s="860"/>
      <c r="AC1143" s="860"/>
      <c r="AD1143" s="860"/>
      <c r="AE1143" s="860"/>
      <c r="AF1143" s="860"/>
      <c r="AG1143" s="860"/>
      <c r="AH1143" s="860"/>
      <c r="AI1143" s="860"/>
      <c r="AJ1143" s="860"/>
      <c r="AK1143" s="860"/>
      <c r="AL1143" s="860"/>
      <c r="AM1143" s="860"/>
      <c r="AN1143" s="860"/>
      <c r="AO1143" s="860"/>
      <c r="AP1143" s="860"/>
      <c r="AQ1143" s="860"/>
      <c r="AR1143" s="860"/>
      <c r="AS1143" s="860"/>
      <c r="AT1143" s="860"/>
      <c r="AU1143" s="860"/>
      <c r="AV1143" s="860"/>
      <c r="AW1143" s="860"/>
      <c r="AX1143" s="860"/>
      <c r="AY1143" s="860"/>
      <c r="AZ1143" s="860"/>
      <c r="BA1143" s="860"/>
      <c r="BB1143" s="860"/>
      <c r="BC1143" s="860"/>
      <c r="BD1143" s="860"/>
      <c r="BE1143" s="860"/>
      <c r="BF1143" s="860"/>
      <c r="BG1143" s="860"/>
      <c r="BH1143" s="668"/>
      <c r="BI1143" s="667"/>
      <c r="BJ1143" s="690">
        <f t="shared" si="378"/>
        <v>0</v>
      </c>
      <c r="BK1143" s="691">
        <f t="shared" si="379"/>
        <v>0</v>
      </c>
      <c r="BL1143" s="654"/>
      <c r="BM1143" s="692">
        <f>SUMIFS(Imput[[Importe Neto]:[Importe Neto]],Imput[[C. Imp.]:[C. Imp.]],$D1143,Imput[[PERIODO Imp.]:[PERIODO Imp.]],BM$9)</f>
        <v>0</v>
      </c>
      <c r="BN1143" s="693">
        <f>SUMIFS(Imput[[Importe Neto]:[Importe Neto]],Imput[[C. Imp.]:[C. Imp.]],$D1143,Imput[[PERIODO Imp.]:[PERIODO Imp.]],BN$9)</f>
        <v>0</v>
      </c>
      <c r="BO1143" s="693">
        <f>SUMIFS(Imput[[Importe Neto]:[Importe Neto]],Imput[[C. Imp.]:[C. Imp.]],$D1143,Imput[[PERIODO Imp.]:[PERIODO Imp.]],BO$9)</f>
        <v>0</v>
      </c>
      <c r="BP1143" s="693">
        <f>SUMIFS(Imput[[Importe Neto]:[Importe Neto]],Imput[[C. Imp.]:[C. Imp.]],$D1143,Imput[[PERIODO Imp.]:[PERIODO Imp.]],BP$9)</f>
        <v>0</v>
      </c>
      <c r="BQ1143" s="693">
        <f>SUMIFS(Imput[[Importe Neto]:[Importe Neto]],Imput[[C. Imp.]:[C. Imp.]],$D1143,Imput[[PERIODO Imp.]:[PERIODO Imp.]],BQ$9)</f>
        <v>0</v>
      </c>
      <c r="BR1143" s="693">
        <f>SUMIFS(Imput[[Importe Neto]:[Importe Neto]],Imput[[C. Imp.]:[C. Imp.]],$D1143,Imput[[PERIODO Imp.]:[PERIODO Imp.]],BR$9)</f>
        <v>0</v>
      </c>
      <c r="BS1143" s="693">
        <f>SUMIFS(Imput[[Importe Neto]:[Importe Neto]],Imput[[C. Imp.]:[C. Imp.]],$D1143,Imput[[PERIODO Imp.]:[PERIODO Imp.]],BS$9)</f>
        <v>0</v>
      </c>
      <c r="BT1143" s="693">
        <f>SUMIFS(Imput[[Importe Neto]:[Importe Neto]],Imput[[C. Imp.]:[C. Imp.]],$D1143,Imput[[PERIODO Imp.]:[PERIODO Imp.]],BT$9)</f>
        <v>0</v>
      </c>
      <c r="BU1143" s="693">
        <f>SUMIFS(Imput[[Importe Neto]:[Importe Neto]],Imput[[C. Imp.]:[C. Imp.]],$D1143,Imput[[PERIODO Imp.]:[PERIODO Imp.]],BU$9)</f>
        <v>0</v>
      </c>
      <c r="BV1143" s="693">
        <f>SUMIFS(Imput[[Importe Neto]:[Importe Neto]],Imput[[C. Imp.]:[C. Imp.]],$D1143,Imput[[PERIODO Imp.]:[PERIODO Imp.]],BV$9)</f>
        <v>0</v>
      </c>
      <c r="BW1143" s="693">
        <f>SUMIFS(Imput[[Importe Neto]:[Importe Neto]],Imput[[C. Imp.]:[C. Imp.]],$D1143,Imput[[PERIODO Imp.]:[PERIODO Imp.]],BW$9)</f>
        <v>0</v>
      </c>
      <c r="BX1143" s="693">
        <f>SUMIFS(Imput[[Importe Neto]:[Importe Neto]],Imput[[C. Imp.]:[C. Imp.]],$D1143,Imput[[PERIODO Imp.]:[PERIODO Imp.]],BX$9)</f>
        <v>0</v>
      </c>
      <c r="BY1143" s="693">
        <f>SUMIFS(Imput[[Importe Neto]:[Importe Neto]],Imput[[C. Imp.]:[C. Imp.]],$D1143,Imput[[PERIODO Imp.]:[PERIODO Imp.]],BY$9)</f>
        <v>0</v>
      </c>
      <c r="BZ1143" s="693">
        <f>SUMIFS(Imput[[Importe Neto]:[Importe Neto]],Imput[[C. Imp.]:[C. Imp.]],$D1143,Imput[[PERIODO Imp.]:[PERIODO Imp.]],BZ$9)</f>
        <v>0</v>
      </c>
      <c r="CA1143" s="693">
        <f>SUMIFS(Imput[[Importe Neto]:[Importe Neto]],Imput[[C. Imp.]:[C. Imp.]],$D1143,Imput[[PERIODO Imp.]:[PERIODO Imp.]],CA$9)</f>
        <v>0</v>
      </c>
      <c r="CB1143" s="693">
        <f>SUMIFS(Imput[[Importe Neto]:[Importe Neto]],Imput[[C. Imp.]:[C. Imp.]],$D1143,Imput[[PERIODO Imp.]:[PERIODO Imp.]],CB$9)</f>
        <v>0</v>
      </c>
      <c r="CC1143" s="693">
        <f>SUMIFS(Imput[[Importe Neto]:[Importe Neto]],Imput[[C. Imp.]:[C. Imp.]],$D1143,Imput[[PERIODO Imp.]:[PERIODO Imp.]],CC$9)</f>
        <v>0</v>
      </c>
      <c r="CD1143" s="693">
        <f>SUMIFS(Imput[[Importe Neto]:[Importe Neto]],Imput[[C. Imp.]:[C. Imp.]],$D1143,Imput[[PERIODO Imp.]:[PERIODO Imp.]],CD$9)</f>
        <v>0</v>
      </c>
      <c r="CE1143" s="693">
        <f>SUMIFS(Imput[[Importe Neto]:[Importe Neto]],Imput[[C. Imp.]:[C. Imp.]],$D1143,Imput[[PERIODO Imp.]:[PERIODO Imp.]],CE$9)</f>
        <v>0</v>
      </c>
      <c r="CF1143" s="693">
        <f>SUMIFS(Imput[[Importe Neto]:[Importe Neto]],Imput[[C. Imp.]:[C. Imp.]],$D1143,Imput[[PERIODO Imp.]:[PERIODO Imp.]],CF$9)</f>
        <v>0</v>
      </c>
      <c r="CG1143" s="693">
        <f>SUMIFS(Imput[[Importe Neto]:[Importe Neto]],Imput[[C. Imp.]:[C. Imp.]],$D1143,Imput[[PERIODO Imp.]:[PERIODO Imp.]],CG$9)</f>
        <v>0</v>
      </c>
      <c r="CH1143" s="693">
        <f>SUMIFS(Imput[[Importe Neto]:[Importe Neto]],Imput[[C. Imp.]:[C. Imp.]],$D1143,Imput[[PERIODO Imp.]:[PERIODO Imp.]],CH$9)</f>
        <v>0</v>
      </c>
      <c r="CI1143" s="693">
        <f>SUMIFS(Imput[[Importe Neto]:[Importe Neto]],Imput[[C. Imp.]:[C. Imp.]],$D1143,Imput[[PERIODO Imp.]:[PERIODO Imp.]],CI$9)</f>
        <v>0</v>
      </c>
      <c r="CJ1143" s="693">
        <f>SUMIFS(Imput[[Importe Neto]:[Importe Neto]],Imput[[C. Imp.]:[C. Imp.]],$D1143,Imput[[PERIODO Imp.]:[PERIODO Imp.]],CJ$9)</f>
        <v>0</v>
      </c>
      <c r="CK1143" s="693">
        <f>SUMIFS(Imput[[Importe Neto]:[Importe Neto]],Imput[[C. Imp.]:[C. Imp.]],$D1143,Imput[[PERIODO Imp.]:[PERIODO Imp.]],CK$9)</f>
        <v>0</v>
      </c>
      <c r="CL1143" s="693">
        <f>SUMIFS(Imput[[Importe Neto]:[Importe Neto]],Imput[[C. Imp.]:[C. Imp.]],$D1143,Imput[[PERIODO Imp.]:[PERIODO Imp.]],CL$9)</f>
        <v>0</v>
      </c>
      <c r="CM1143" s="693">
        <f>SUMIFS(Imput[[Importe Neto]:[Importe Neto]],Imput[[C. Imp.]:[C. Imp.]],$D1143,Imput[[PERIODO Imp.]:[PERIODO Imp.]],CM$9)</f>
        <v>0</v>
      </c>
      <c r="CN1143" s="693">
        <f>SUMIFS(Imput[[Importe Neto]:[Importe Neto]],Imput[[C. Imp.]:[C. Imp.]],$D1143,Imput[[PERIODO Imp.]:[PERIODO Imp.]],CN$9)</f>
        <v>0</v>
      </c>
      <c r="CO1143" s="693">
        <f>SUMIFS(Imput[[Importe Neto]:[Importe Neto]],Imput[[C. Imp.]:[C. Imp.]],$D1143,Imput[[PERIODO Imp.]:[PERIODO Imp.]],CO$9)</f>
        <v>0</v>
      </c>
      <c r="CP1143" s="693">
        <f>SUMIFS(Imput[[Importe Neto]:[Importe Neto]],Imput[[C. Imp.]:[C. Imp.]],$D1143,Imput[[PERIODO Imp.]:[PERIODO Imp.]],CP$9)</f>
        <v>0</v>
      </c>
      <c r="CQ1143" s="693">
        <f>SUMIFS(Imput[[Importe Neto]:[Importe Neto]],Imput[[C. Imp.]:[C. Imp.]],$D1143,Imput[[PERIODO Imp.]:[PERIODO Imp.]],CQ$9)</f>
        <v>0</v>
      </c>
      <c r="CR1143" s="693">
        <f>SUMIFS(Imput[[Importe Neto]:[Importe Neto]],Imput[[C. Imp.]:[C. Imp.]],$D1143,Imput[[PERIODO Imp.]:[PERIODO Imp.]],CR$9)</f>
        <v>0</v>
      </c>
      <c r="CS1143" s="693">
        <f>SUMIFS(Imput[[Importe Neto]:[Importe Neto]],Imput[[C. Imp.]:[C. Imp.]],$D1143,Imput[[PERIODO Imp.]:[PERIODO Imp.]],CS$9)</f>
        <v>0</v>
      </c>
      <c r="CT1143" s="693">
        <f>SUMIFS(Imput[[Importe Neto]:[Importe Neto]],Imput[[C. Imp.]:[C. Imp.]],$D1143,Imput[[PERIODO Imp.]:[PERIODO Imp.]],CT$9)</f>
        <v>0</v>
      </c>
      <c r="CU1143" s="693">
        <f>SUMIFS(Imput[[Importe Neto]:[Importe Neto]],Imput[[C. Imp.]:[C. Imp.]],$D1143,Imput[[PERIODO Imp.]:[PERIODO Imp.]],CU$9)</f>
        <v>0</v>
      </c>
      <c r="CV1143" s="693">
        <f>SUMIFS(Imput[[Importe Neto]:[Importe Neto]],Imput[[C. Imp.]:[C. Imp.]],$D1143,Imput[[PERIODO Imp.]:[PERIODO Imp.]],CV$9)</f>
        <v>0</v>
      </c>
      <c r="CW1143" s="693">
        <f>SUMIFS(Imput[[Importe Neto]:[Importe Neto]],Imput[[C. Imp.]:[C. Imp.]],$D1143,Imput[[PERIODO Imp.]:[PERIODO Imp.]],CW$9)</f>
        <v>0</v>
      </c>
      <c r="CX1143" s="693">
        <f>SUMIFS(Imput[[Importe Neto]:[Importe Neto]],Imput[[C. Imp.]:[C. Imp.]],$D1143,Imput[[PERIODO Imp.]:[PERIODO Imp.]],CX$9)</f>
        <v>0</v>
      </c>
      <c r="CY1143" s="693">
        <f>SUMIFS(Imput[[Importe Neto]:[Importe Neto]],Imput[[C. Imp.]:[C. Imp.]],$D1143,Imput[[PERIODO Imp.]:[PERIODO Imp.]],CY$9)</f>
        <v>0</v>
      </c>
      <c r="CZ1143" s="693">
        <f>SUMIFS(Imput[[Importe Neto]:[Importe Neto]],Imput[[C. Imp.]:[C. Imp.]],$D1143,Imput[[PERIODO Imp.]:[PERIODO Imp.]],CZ$9)</f>
        <v>0</v>
      </c>
      <c r="DA1143" s="693">
        <f>SUMIFS(Imput[[Importe Neto]:[Importe Neto]],Imput[[C. Imp.]:[C. Imp.]],$D1143,Imput[[PERIODO Imp.]:[PERIODO Imp.]],DA$9)</f>
        <v>0</v>
      </c>
      <c r="DB1143" s="693">
        <f>SUMIFS(Imput[[Importe Neto]:[Importe Neto]],Imput[[C. Imp.]:[C. Imp.]],$D1143,Imput[[PERIODO Imp.]:[PERIODO Imp.]],DB$9)</f>
        <v>0</v>
      </c>
      <c r="DC1143" s="693">
        <f>SUMIFS(Imput[[Importe Neto]:[Importe Neto]],Imput[[C. Imp.]:[C. Imp.]],$D1143,Imput[[PERIODO Imp.]:[PERIODO Imp.]],DC$9)</f>
        <v>0</v>
      </c>
      <c r="DD1143" s="693">
        <f>SUMIFS(Imput[[Importe Neto]:[Importe Neto]],Imput[[C. Imp.]:[C. Imp.]],$D1143,Imput[[PERIODO Imp.]:[PERIODO Imp.]],DD$9)</f>
        <v>0</v>
      </c>
      <c r="DE1143" s="693">
        <f>SUMIFS(Imput[[Importe Neto]:[Importe Neto]],Imput[[C. Imp.]:[C. Imp.]],$D1143,Imput[[PERIODO Imp.]:[PERIODO Imp.]],DE$9)</f>
        <v>0</v>
      </c>
      <c r="DF1143" s="693">
        <f>SUMIFS(Imput[[Importe Neto]:[Importe Neto]],Imput[[C. Imp.]:[C. Imp.]],$D1143,Imput[[PERIODO Imp.]:[PERIODO Imp.]],DF$9)</f>
        <v>0</v>
      </c>
      <c r="DG1143" s="693">
        <f>SUMIFS(Imput[[Importe Neto]:[Importe Neto]],Imput[[C. Imp.]:[C. Imp.]],$D1143,Imput[[PERIODO Imp.]:[PERIODO Imp.]],DG$9)</f>
        <v>0</v>
      </c>
      <c r="DH1143" s="694">
        <f>SUMIFS(Imput[[Importe Neto]:[Importe Neto]],Imput[[C. Imp.]:[C. Imp.]],$D1143,Imput[[PERIODO Imp.]:[PERIODO Imp.]],DH$9)</f>
        <v>0</v>
      </c>
    </row>
    <row r="1144" spans="1:112" s="649" customFormat="1" hidden="1" outlineLevel="1" x14ac:dyDescent="0.3">
      <c r="A1144" s="652" t="str">
        <f t="shared" si="375"/>
        <v/>
      </c>
      <c r="B1144" s="652"/>
      <c r="C1144" s="685"/>
      <c r="D1144" s="686"/>
      <c r="E1144" s="686"/>
      <c r="F1144" s="720"/>
      <c r="G1144" s="688"/>
      <c r="H1144" s="689"/>
      <c r="I1144" s="851" t="str">
        <f t="shared" si="376"/>
        <v/>
      </c>
      <c r="J1144" s="850" t="str">
        <f t="shared" si="377"/>
        <v/>
      </c>
      <c r="K1144" s="667"/>
      <c r="L1144" s="858"/>
      <c r="M1144" s="859"/>
      <c r="N1144" s="859"/>
      <c r="O1144" s="859"/>
      <c r="P1144" s="859"/>
      <c r="Q1144" s="859"/>
      <c r="R1144" s="859"/>
      <c r="S1144" s="859"/>
      <c r="T1144" s="859"/>
      <c r="U1144" s="859"/>
      <c r="V1144" s="859"/>
      <c r="W1144" s="859"/>
      <c r="X1144" s="859"/>
      <c r="Y1144" s="859"/>
      <c r="Z1144" s="860"/>
      <c r="AA1144" s="860"/>
      <c r="AB1144" s="860"/>
      <c r="AC1144" s="860"/>
      <c r="AD1144" s="860"/>
      <c r="AE1144" s="860"/>
      <c r="AF1144" s="860"/>
      <c r="AG1144" s="860"/>
      <c r="AH1144" s="860"/>
      <c r="AI1144" s="860"/>
      <c r="AJ1144" s="860"/>
      <c r="AK1144" s="860"/>
      <c r="AL1144" s="860"/>
      <c r="AM1144" s="860"/>
      <c r="AN1144" s="860"/>
      <c r="AO1144" s="860"/>
      <c r="AP1144" s="860"/>
      <c r="AQ1144" s="860"/>
      <c r="AR1144" s="860"/>
      <c r="AS1144" s="860"/>
      <c r="AT1144" s="860"/>
      <c r="AU1144" s="860"/>
      <c r="AV1144" s="860"/>
      <c r="AW1144" s="860"/>
      <c r="AX1144" s="860"/>
      <c r="AY1144" s="860"/>
      <c r="AZ1144" s="860"/>
      <c r="BA1144" s="860"/>
      <c r="BB1144" s="860"/>
      <c r="BC1144" s="860"/>
      <c r="BD1144" s="860"/>
      <c r="BE1144" s="860"/>
      <c r="BF1144" s="860"/>
      <c r="BG1144" s="860"/>
      <c r="BH1144" s="668"/>
      <c r="BI1144" s="667"/>
      <c r="BJ1144" s="690">
        <f t="shared" si="378"/>
        <v>0</v>
      </c>
      <c r="BK1144" s="691">
        <f t="shared" si="379"/>
        <v>0</v>
      </c>
      <c r="BL1144" s="654"/>
      <c r="BM1144" s="692">
        <f>SUMIFS(Imput[[Importe Neto]:[Importe Neto]],Imput[[C. Imp.]:[C. Imp.]],$D1144,Imput[[PERIODO Imp.]:[PERIODO Imp.]],BM$9)</f>
        <v>0</v>
      </c>
      <c r="BN1144" s="693">
        <f>SUMIFS(Imput[[Importe Neto]:[Importe Neto]],Imput[[C. Imp.]:[C. Imp.]],$D1144,Imput[[PERIODO Imp.]:[PERIODO Imp.]],BN$9)</f>
        <v>0</v>
      </c>
      <c r="BO1144" s="693">
        <f>SUMIFS(Imput[[Importe Neto]:[Importe Neto]],Imput[[C. Imp.]:[C. Imp.]],$D1144,Imput[[PERIODO Imp.]:[PERIODO Imp.]],BO$9)</f>
        <v>0</v>
      </c>
      <c r="BP1144" s="693">
        <f>SUMIFS(Imput[[Importe Neto]:[Importe Neto]],Imput[[C. Imp.]:[C. Imp.]],$D1144,Imput[[PERIODO Imp.]:[PERIODO Imp.]],BP$9)</f>
        <v>0</v>
      </c>
      <c r="BQ1144" s="693">
        <f>SUMIFS(Imput[[Importe Neto]:[Importe Neto]],Imput[[C. Imp.]:[C. Imp.]],$D1144,Imput[[PERIODO Imp.]:[PERIODO Imp.]],BQ$9)</f>
        <v>0</v>
      </c>
      <c r="BR1144" s="693">
        <f>SUMIFS(Imput[[Importe Neto]:[Importe Neto]],Imput[[C. Imp.]:[C. Imp.]],$D1144,Imput[[PERIODO Imp.]:[PERIODO Imp.]],BR$9)</f>
        <v>0</v>
      </c>
      <c r="BS1144" s="693">
        <f>SUMIFS(Imput[[Importe Neto]:[Importe Neto]],Imput[[C. Imp.]:[C. Imp.]],$D1144,Imput[[PERIODO Imp.]:[PERIODO Imp.]],BS$9)</f>
        <v>0</v>
      </c>
      <c r="BT1144" s="693">
        <f>SUMIFS(Imput[[Importe Neto]:[Importe Neto]],Imput[[C. Imp.]:[C. Imp.]],$D1144,Imput[[PERIODO Imp.]:[PERIODO Imp.]],BT$9)</f>
        <v>0</v>
      </c>
      <c r="BU1144" s="693">
        <f>SUMIFS(Imput[[Importe Neto]:[Importe Neto]],Imput[[C. Imp.]:[C. Imp.]],$D1144,Imput[[PERIODO Imp.]:[PERIODO Imp.]],BU$9)</f>
        <v>0</v>
      </c>
      <c r="BV1144" s="693">
        <f>SUMIFS(Imput[[Importe Neto]:[Importe Neto]],Imput[[C. Imp.]:[C. Imp.]],$D1144,Imput[[PERIODO Imp.]:[PERIODO Imp.]],BV$9)</f>
        <v>0</v>
      </c>
      <c r="BW1144" s="693">
        <f>SUMIFS(Imput[[Importe Neto]:[Importe Neto]],Imput[[C. Imp.]:[C. Imp.]],$D1144,Imput[[PERIODO Imp.]:[PERIODO Imp.]],BW$9)</f>
        <v>0</v>
      </c>
      <c r="BX1144" s="693">
        <f>SUMIFS(Imput[[Importe Neto]:[Importe Neto]],Imput[[C. Imp.]:[C. Imp.]],$D1144,Imput[[PERIODO Imp.]:[PERIODO Imp.]],BX$9)</f>
        <v>0</v>
      </c>
      <c r="BY1144" s="693">
        <f>SUMIFS(Imput[[Importe Neto]:[Importe Neto]],Imput[[C. Imp.]:[C. Imp.]],$D1144,Imput[[PERIODO Imp.]:[PERIODO Imp.]],BY$9)</f>
        <v>0</v>
      </c>
      <c r="BZ1144" s="693">
        <f>SUMIFS(Imput[[Importe Neto]:[Importe Neto]],Imput[[C. Imp.]:[C. Imp.]],$D1144,Imput[[PERIODO Imp.]:[PERIODO Imp.]],BZ$9)</f>
        <v>0</v>
      </c>
      <c r="CA1144" s="693">
        <f>SUMIFS(Imput[[Importe Neto]:[Importe Neto]],Imput[[C. Imp.]:[C. Imp.]],$D1144,Imput[[PERIODO Imp.]:[PERIODO Imp.]],CA$9)</f>
        <v>0</v>
      </c>
      <c r="CB1144" s="693">
        <f>SUMIFS(Imput[[Importe Neto]:[Importe Neto]],Imput[[C. Imp.]:[C. Imp.]],$D1144,Imput[[PERIODO Imp.]:[PERIODO Imp.]],CB$9)</f>
        <v>0</v>
      </c>
      <c r="CC1144" s="693">
        <f>SUMIFS(Imput[[Importe Neto]:[Importe Neto]],Imput[[C. Imp.]:[C. Imp.]],$D1144,Imput[[PERIODO Imp.]:[PERIODO Imp.]],CC$9)</f>
        <v>0</v>
      </c>
      <c r="CD1144" s="693">
        <f>SUMIFS(Imput[[Importe Neto]:[Importe Neto]],Imput[[C. Imp.]:[C. Imp.]],$D1144,Imput[[PERIODO Imp.]:[PERIODO Imp.]],CD$9)</f>
        <v>0</v>
      </c>
      <c r="CE1144" s="693">
        <f>SUMIFS(Imput[[Importe Neto]:[Importe Neto]],Imput[[C. Imp.]:[C. Imp.]],$D1144,Imput[[PERIODO Imp.]:[PERIODO Imp.]],CE$9)</f>
        <v>0</v>
      </c>
      <c r="CF1144" s="693">
        <f>SUMIFS(Imput[[Importe Neto]:[Importe Neto]],Imput[[C. Imp.]:[C. Imp.]],$D1144,Imput[[PERIODO Imp.]:[PERIODO Imp.]],CF$9)</f>
        <v>0</v>
      </c>
      <c r="CG1144" s="693">
        <f>SUMIFS(Imput[[Importe Neto]:[Importe Neto]],Imput[[C. Imp.]:[C. Imp.]],$D1144,Imput[[PERIODO Imp.]:[PERIODO Imp.]],CG$9)</f>
        <v>0</v>
      </c>
      <c r="CH1144" s="693">
        <f>SUMIFS(Imput[[Importe Neto]:[Importe Neto]],Imput[[C. Imp.]:[C. Imp.]],$D1144,Imput[[PERIODO Imp.]:[PERIODO Imp.]],CH$9)</f>
        <v>0</v>
      </c>
      <c r="CI1144" s="693">
        <f>SUMIFS(Imput[[Importe Neto]:[Importe Neto]],Imput[[C. Imp.]:[C. Imp.]],$D1144,Imput[[PERIODO Imp.]:[PERIODO Imp.]],CI$9)</f>
        <v>0</v>
      </c>
      <c r="CJ1144" s="693">
        <f>SUMIFS(Imput[[Importe Neto]:[Importe Neto]],Imput[[C. Imp.]:[C. Imp.]],$D1144,Imput[[PERIODO Imp.]:[PERIODO Imp.]],CJ$9)</f>
        <v>0</v>
      </c>
      <c r="CK1144" s="693">
        <f>SUMIFS(Imput[[Importe Neto]:[Importe Neto]],Imput[[C. Imp.]:[C. Imp.]],$D1144,Imput[[PERIODO Imp.]:[PERIODO Imp.]],CK$9)</f>
        <v>0</v>
      </c>
      <c r="CL1144" s="693">
        <f>SUMIFS(Imput[[Importe Neto]:[Importe Neto]],Imput[[C. Imp.]:[C. Imp.]],$D1144,Imput[[PERIODO Imp.]:[PERIODO Imp.]],CL$9)</f>
        <v>0</v>
      </c>
      <c r="CM1144" s="693">
        <f>SUMIFS(Imput[[Importe Neto]:[Importe Neto]],Imput[[C. Imp.]:[C. Imp.]],$D1144,Imput[[PERIODO Imp.]:[PERIODO Imp.]],CM$9)</f>
        <v>0</v>
      </c>
      <c r="CN1144" s="693">
        <f>SUMIFS(Imput[[Importe Neto]:[Importe Neto]],Imput[[C. Imp.]:[C. Imp.]],$D1144,Imput[[PERIODO Imp.]:[PERIODO Imp.]],CN$9)</f>
        <v>0</v>
      </c>
      <c r="CO1144" s="693">
        <f>SUMIFS(Imput[[Importe Neto]:[Importe Neto]],Imput[[C. Imp.]:[C. Imp.]],$D1144,Imput[[PERIODO Imp.]:[PERIODO Imp.]],CO$9)</f>
        <v>0</v>
      </c>
      <c r="CP1144" s="693">
        <f>SUMIFS(Imput[[Importe Neto]:[Importe Neto]],Imput[[C. Imp.]:[C. Imp.]],$D1144,Imput[[PERIODO Imp.]:[PERIODO Imp.]],CP$9)</f>
        <v>0</v>
      </c>
      <c r="CQ1144" s="693">
        <f>SUMIFS(Imput[[Importe Neto]:[Importe Neto]],Imput[[C. Imp.]:[C. Imp.]],$D1144,Imput[[PERIODO Imp.]:[PERIODO Imp.]],CQ$9)</f>
        <v>0</v>
      </c>
      <c r="CR1144" s="693">
        <f>SUMIFS(Imput[[Importe Neto]:[Importe Neto]],Imput[[C. Imp.]:[C. Imp.]],$D1144,Imput[[PERIODO Imp.]:[PERIODO Imp.]],CR$9)</f>
        <v>0</v>
      </c>
      <c r="CS1144" s="693">
        <f>SUMIFS(Imput[[Importe Neto]:[Importe Neto]],Imput[[C. Imp.]:[C. Imp.]],$D1144,Imput[[PERIODO Imp.]:[PERIODO Imp.]],CS$9)</f>
        <v>0</v>
      </c>
      <c r="CT1144" s="693">
        <f>SUMIFS(Imput[[Importe Neto]:[Importe Neto]],Imput[[C. Imp.]:[C. Imp.]],$D1144,Imput[[PERIODO Imp.]:[PERIODO Imp.]],CT$9)</f>
        <v>0</v>
      </c>
      <c r="CU1144" s="693">
        <f>SUMIFS(Imput[[Importe Neto]:[Importe Neto]],Imput[[C. Imp.]:[C. Imp.]],$D1144,Imput[[PERIODO Imp.]:[PERIODO Imp.]],CU$9)</f>
        <v>0</v>
      </c>
      <c r="CV1144" s="693">
        <f>SUMIFS(Imput[[Importe Neto]:[Importe Neto]],Imput[[C. Imp.]:[C. Imp.]],$D1144,Imput[[PERIODO Imp.]:[PERIODO Imp.]],CV$9)</f>
        <v>0</v>
      </c>
      <c r="CW1144" s="693">
        <f>SUMIFS(Imput[[Importe Neto]:[Importe Neto]],Imput[[C. Imp.]:[C. Imp.]],$D1144,Imput[[PERIODO Imp.]:[PERIODO Imp.]],CW$9)</f>
        <v>0</v>
      </c>
      <c r="CX1144" s="693">
        <f>SUMIFS(Imput[[Importe Neto]:[Importe Neto]],Imput[[C. Imp.]:[C. Imp.]],$D1144,Imput[[PERIODO Imp.]:[PERIODO Imp.]],CX$9)</f>
        <v>0</v>
      </c>
      <c r="CY1144" s="693">
        <f>SUMIFS(Imput[[Importe Neto]:[Importe Neto]],Imput[[C. Imp.]:[C. Imp.]],$D1144,Imput[[PERIODO Imp.]:[PERIODO Imp.]],CY$9)</f>
        <v>0</v>
      </c>
      <c r="CZ1144" s="693">
        <f>SUMIFS(Imput[[Importe Neto]:[Importe Neto]],Imput[[C. Imp.]:[C. Imp.]],$D1144,Imput[[PERIODO Imp.]:[PERIODO Imp.]],CZ$9)</f>
        <v>0</v>
      </c>
      <c r="DA1144" s="693">
        <f>SUMIFS(Imput[[Importe Neto]:[Importe Neto]],Imput[[C. Imp.]:[C. Imp.]],$D1144,Imput[[PERIODO Imp.]:[PERIODO Imp.]],DA$9)</f>
        <v>0</v>
      </c>
      <c r="DB1144" s="693">
        <f>SUMIFS(Imput[[Importe Neto]:[Importe Neto]],Imput[[C. Imp.]:[C. Imp.]],$D1144,Imput[[PERIODO Imp.]:[PERIODO Imp.]],DB$9)</f>
        <v>0</v>
      </c>
      <c r="DC1144" s="693">
        <f>SUMIFS(Imput[[Importe Neto]:[Importe Neto]],Imput[[C. Imp.]:[C. Imp.]],$D1144,Imput[[PERIODO Imp.]:[PERIODO Imp.]],DC$9)</f>
        <v>0</v>
      </c>
      <c r="DD1144" s="693">
        <f>SUMIFS(Imput[[Importe Neto]:[Importe Neto]],Imput[[C. Imp.]:[C. Imp.]],$D1144,Imput[[PERIODO Imp.]:[PERIODO Imp.]],DD$9)</f>
        <v>0</v>
      </c>
      <c r="DE1144" s="693">
        <f>SUMIFS(Imput[[Importe Neto]:[Importe Neto]],Imput[[C. Imp.]:[C. Imp.]],$D1144,Imput[[PERIODO Imp.]:[PERIODO Imp.]],DE$9)</f>
        <v>0</v>
      </c>
      <c r="DF1144" s="693">
        <f>SUMIFS(Imput[[Importe Neto]:[Importe Neto]],Imput[[C. Imp.]:[C. Imp.]],$D1144,Imput[[PERIODO Imp.]:[PERIODO Imp.]],DF$9)</f>
        <v>0</v>
      </c>
      <c r="DG1144" s="693">
        <f>SUMIFS(Imput[[Importe Neto]:[Importe Neto]],Imput[[C. Imp.]:[C. Imp.]],$D1144,Imput[[PERIODO Imp.]:[PERIODO Imp.]],DG$9)</f>
        <v>0</v>
      </c>
      <c r="DH1144" s="694">
        <f>SUMIFS(Imput[[Importe Neto]:[Importe Neto]],Imput[[C. Imp.]:[C. Imp.]],$D1144,Imput[[PERIODO Imp.]:[PERIODO Imp.]],DH$9)</f>
        <v>0</v>
      </c>
    </row>
    <row r="1145" spans="1:112" s="649" customFormat="1" hidden="1" outlineLevel="1" x14ac:dyDescent="0.3">
      <c r="A1145" s="652" t="str">
        <f t="shared" si="375"/>
        <v/>
      </c>
      <c r="B1145" s="652"/>
      <c r="C1145" s="685"/>
      <c r="D1145" s="686"/>
      <c r="E1145" s="686"/>
      <c r="F1145" s="720"/>
      <c r="G1145" s="688"/>
      <c r="H1145" s="689"/>
      <c r="I1145" s="851" t="str">
        <f t="shared" si="376"/>
        <v/>
      </c>
      <c r="J1145" s="850" t="str">
        <f t="shared" si="377"/>
        <v/>
      </c>
      <c r="K1145" s="667"/>
      <c r="L1145" s="858"/>
      <c r="M1145" s="859"/>
      <c r="N1145" s="859"/>
      <c r="O1145" s="859"/>
      <c r="P1145" s="859"/>
      <c r="Q1145" s="859"/>
      <c r="R1145" s="859"/>
      <c r="S1145" s="859"/>
      <c r="T1145" s="859"/>
      <c r="U1145" s="859"/>
      <c r="V1145" s="859"/>
      <c r="W1145" s="859"/>
      <c r="X1145" s="859"/>
      <c r="Y1145" s="859"/>
      <c r="Z1145" s="860"/>
      <c r="AA1145" s="860"/>
      <c r="AB1145" s="860"/>
      <c r="AC1145" s="860"/>
      <c r="AD1145" s="860"/>
      <c r="AE1145" s="860"/>
      <c r="AF1145" s="860"/>
      <c r="AG1145" s="860"/>
      <c r="AH1145" s="860"/>
      <c r="AI1145" s="860"/>
      <c r="AJ1145" s="860"/>
      <c r="AK1145" s="860"/>
      <c r="AL1145" s="860"/>
      <c r="AM1145" s="860"/>
      <c r="AN1145" s="860"/>
      <c r="AO1145" s="860"/>
      <c r="AP1145" s="860"/>
      <c r="AQ1145" s="860"/>
      <c r="AR1145" s="860"/>
      <c r="AS1145" s="860"/>
      <c r="AT1145" s="860"/>
      <c r="AU1145" s="860"/>
      <c r="AV1145" s="860"/>
      <c r="AW1145" s="860"/>
      <c r="AX1145" s="860"/>
      <c r="AY1145" s="860"/>
      <c r="AZ1145" s="860"/>
      <c r="BA1145" s="860"/>
      <c r="BB1145" s="860"/>
      <c r="BC1145" s="860"/>
      <c r="BD1145" s="860"/>
      <c r="BE1145" s="860"/>
      <c r="BF1145" s="860"/>
      <c r="BG1145" s="860"/>
      <c r="BH1145" s="668"/>
      <c r="BI1145" s="667"/>
      <c r="BJ1145" s="690">
        <f t="shared" si="378"/>
        <v>0</v>
      </c>
      <c r="BK1145" s="691">
        <f t="shared" si="379"/>
        <v>0</v>
      </c>
      <c r="BL1145" s="654"/>
      <c r="BM1145" s="692">
        <f>SUMIFS(Imput[[Importe Neto]:[Importe Neto]],Imput[[C. Imp.]:[C. Imp.]],$D1145,Imput[[PERIODO Imp.]:[PERIODO Imp.]],BM$9)</f>
        <v>0</v>
      </c>
      <c r="BN1145" s="693">
        <f>SUMIFS(Imput[[Importe Neto]:[Importe Neto]],Imput[[C. Imp.]:[C. Imp.]],$D1145,Imput[[PERIODO Imp.]:[PERIODO Imp.]],BN$9)</f>
        <v>0</v>
      </c>
      <c r="BO1145" s="693">
        <f>SUMIFS(Imput[[Importe Neto]:[Importe Neto]],Imput[[C. Imp.]:[C. Imp.]],$D1145,Imput[[PERIODO Imp.]:[PERIODO Imp.]],BO$9)</f>
        <v>0</v>
      </c>
      <c r="BP1145" s="693">
        <f>SUMIFS(Imput[[Importe Neto]:[Importe Neto]],Imput[[C. Imp.]:[C. Imp.]],$D1145,Imput[[PERIODO Imp.]:[PERIODO Imp.]],BP$9)</f>
        <v>0</v>
      </c>
      <c r="BQ1145" s="693">
        <f>SUMIFS(Imput[[Importe Neto]:[Importe Neto]],Imput[[C. Imp.]:[C. Imp.]],$D1145,Imput[[PERIODO Imp.]:[PERIODO Imp.]],BQ$9)</f>
        <v>0</v>
      </c>
      <c r="BR1145" s="693">
        <f>SUMIFS(Imput[[Importe Neto]:[Importe Neto]],Imput[[C. Imp.]:[C. Imp.]],$D1145,Imput[[PERIODO Imp.]:[PERIODO Imp.]],BR$9)</f>
        <v>0</v>
      </c>
      <c r="BS1145" s="693">
        <f>SUMIFS(Imput[[Importe Neto]:[Importe Neto]],Imput[[C. Imp.]:[C. Imp.]],$D1145,Imput[[PERIODO Imp.]:[PERIODO Imp.]],BS$9)</f>
        <v>0</v>
      </c>
      <c r="BT1145" s="693">
        <f>SUMIFS(Imput[[Importe Neto]:[Importe Neto]],Imput[[C. Imp.]:[C. Imp.]],$D1145,Imput[[PERIODO Imp.]:[PERIODO Imp.]],BT$9)</f>
        <v>0</v>
      </c>
      <c r="BU1145" s="693">
        <f>SUMIFS(Imput[[Importe Neto]:[Importe Neto]],Imput[[C. Imp.]:[C. Imp.]],$D1145,Imput[[PERIODO Imp.]:[PERIODO Imp.]],BU$9)</f>
        <v>0</v>
      </c>
      <c r="BV1145" s="693">
        <f>SUMIFS(Imput[[Importe Neto]:[Importe Neto]],Imput[[C. Imp.]:[C. Imp.]],$D1145,Imput[[PERIODO Imp.]:[PERIODO Imp.]],BV$9)</f>
        <v>0</v>
      </c>
      <c r="BW1145" s="693">
        <f>SUMIFS(Imput[[Importe Neto]:[Importe Neto]],Imput[[C. Imp.]:[C. Imp.]],$D1145,Imput[[PERIODO Imp.]:[PERIODO Imp.]],BW$9)</f>
        <v>0</v>
      </c>
      <c r="BX1145" s="693">
        <f>SUMIFS(Imput[[Importe Neto]:[Importe Neto]],Imput[[C. Imp.]:[C. Imp.]],$D1145,Imput[[PERIODO Imp.]:[PERIODO Imp.]],BX$9)</f>
        <v>0</v>
      </c>
      <c r="BY1145" s="693">
        <f>SUMIFS(Imput[[Importe Neto]:[Importe Neto]],Imput[[C. Imp.]:[C. Imp.]],$D1145,Imput[[PERIODO Imp.]:[PERIODO Imp.]],BY$9)</f>
        <v>0</v>
      </c>
      <c r="BZ1145" s="693">
        <f>SUMIFS(Imput[[Importe Neto]:[Importe Neto]],Imput[[C. Imp.]:[C. Imp.]],$D1145,Imput[[PERIODO Imp.]:[PERIODO Imp.]],BZ$9)</f>
        <v>0</v>
      </c>
      <c r="CA1145" s="693">
        <f>SUMIFS(Imput[[Importe Neto]:[Importe Neto]],Imput[[C. Imp.]:[C. Imp.]],$D1145,Imput[[PERIODO Imp.]:[PERIODO Imp.]],CA$9)</f>
        <v>0</v>
      </c>
      <c r="CB1145" s="693">
        <f>SUMIFS(Imput[[Importe Neto]:[Importe Neto]],Imput[[C. Imp.]:[C. Imp.]],$D1145,Imput[[PERIODO Imp.]:[PERIODO Imp.]],CB$9)</f>
        <v>0</v>
      </c>
      <c r="CC1145" s="693">
        <f>SUMIFS(Imput[[Importe Neto]:[Importe Neto]],Imput[[C. Imp.]:[C. Imp.]],$D1145,Imput[[PERIODO Imp.]:[PERIODO Imp.]],CC$9)</f>
        <v>0</v>
      </c>
      <c r="CD1145" s="693">
        <f>SUMIFS(Imput[[Importe Neto]:[Importe Neto]],Imput[[C. Imp.]:[C. Imp.]],$D1145,Imput[[PERIODO Imp.]:[PERIODO Imp.]],CD$9)</f>
        <v>0</v>
      </c>
      <c r="CE1145" s="693">
        <f>SUMIFS(Imput[[Importe Neto]:[Importe Neto]],Imput[[C. Imp.]:[C. Imp.]],$D1145,Imput[[PERIODO Imp.]:[PERIODO Imp.]],CE$9)</f>
        <v>0</v>
      </c>
      <c r="CF1145" s="693">
        <f>SUMIFS(Imput[[Importe Neto]:[Importe Neto]],Imput[[C. Imp.]:[C. Imp.]],$D1145,Imput[[PERIODO Imp.]:[PERIODO Imp.]],CF$9)</f>
        <v>0</v>
      </c>
      <c r="CG1145" s="693">
        <f>SUMIFS(Imput[[Importe Neto]:[Importe Neto]],Imput[[C. Imp.]:[C. Imp.]],$D1145,Imput[[PERIODO Imp.]:[PERIODO Imp.]],CG$9)</f>
        <v>0</v>
      </c>
      <c r="CH1145" s="693">
        <f>SUMIFS(Imput[[Importe Neto]:[Importe Neto]],Imput[[C. Imp.]:[C. Imp.]],$D1145,Imput[[PERIODO Imp.]:[PERIODO Imp.]],CH$9)</f>
        <v>0</v>
      </c>
      <c r="CI1145" s="693">
        <f>SUMIFS(Imput[[Importe Neto]:[Importe Neto]],Imput[[C. Imp.]:[C. Imp.]],$D1145,Imput[[PERIODO Imp.]:[PERIODO Imp.]],CI$9)</f>
        <v>0</v>
      </c>
      <c r="CJ1145" s="693">
        <f>SUMIFS(Imput[[Importe Neto]:[Importe Neto]],Imput[[C. Imp.]:[C. Imp.]],$D1145,Imput[[PERIODO Imp.]:[PERIODO Imp.]],CJ$9)</f>
        <v>0</v>
      </c>
      <c r="CK1145" s="693">
        <f>SUMIFS(Imput[[Importe Neto]:[Importe Neto]],Imput[[C. Imp.]:[C. Imp.]],$D1145,Imput[[PERIODO Imp.]:[PERIODO Imp.]],CK$9)</f>
        <v>0</v>
      </c>
      <c r="CL1145" s="693">
        <f>SUMIFS(Imput[[Importe Neto]:[Importe Neto]],Imput[[C. Imp.]:[C. Imp.]],$D1145,Imput[[PERIODO Imp.]:[PERIODO Imp.]],CL$9)</f>
        <v>0</v>
      </c>
      <c r="CM1145" s="693">
        <f>SUMIFS(Imput[[Importe Neto]:[Importe Neto]],Imput[[C. Imp.]:[C. Imp.]],$D1145,Imput[[PERIODO Imp.]:[PERIODO Imp.]],CM$9)</f>
        <v>0</v>
      </c>
      <c r="CN1145" s="693">
        <f>SUMIFS(Imput[[Importe Neto]:[Importe Neto]],Imput[[C. Imp.]:[C. Imp.]],$D1145,Imput[[PERIODO Imp.]:[PERIODO Imp.]],CN$9)</f>
        <v>0</v>
      </c>
      <c r="CO1145" s="693">
        <f>SUMIFS(Imput[[Importe Neto]:[Importe Neto]],Imput[[C. Imp.]:[C. Imp.]],$D1145,Imput[[PERIODO Imp.]:[PERIODO Imp.]],CO$9)</f>
        <v>0</v>
      </c>
      <c r="CP1145" s="693">
        <f>SUMIFS(Imput[[Importe Neto]:[Importe Neto]],Imput[[C. Imp.]:[C. Imp.]],$D1145,Imput[[PERIODO Imp.]:[PERIODO Imp.]],CP$9)</f>
        <v>0</v>
      </c>
      <c r="CQ1145" s="693">
        <f>SUMIFS(Imput[[Importe Neto]:[Importe Neto]],Imput[[C. Imp.]:[C. Imp.]],$D1145,Imput[[PERIODO Imp.]:[PERIODO Imp.]],CQ$9)</f>
        <v>0</v>
      </c>
      <c r="CR1145" s="693">
        <f>SUMIFS(Imput[[Importe Neto]:[Importe Neto]],Imput[[C. Imp.]:[C. Imp.]],$D1145,Imput[[PERIODO Imp.]:[PERIODO Imp.]],CR$9)</f>
        <v>0</v>
      </c>
      <c r="CS1145" s="693">
        <f>SUMIFS(Imput[[Importe Neto]:[Importe Neto]],Imput[[C. Imp.]:[C. Imp.]],$D1145,Imput[[PERIODO Imp.]:[PERIODO Imp.]],CS$9)</f>
        <v>0</v>
      </c>
      <c r="CT1145" s="693">
        <f>SUMIFS(Imput[[Importe Neto]:[Importe Neto]],Imput[[C. Imp.]:[C. Imp.]],$D1145,Imput[[PERIODO Imp.]:[PERIODO Imp.]],CT$9)</f>
        <v>0</v>
      </c>
      <c r="CU1145" s="693">
        <f>SUMIFS(Imput[[Importe Neto]:[Importe Neto]],Imput[[C. Imp.]:[C. Imp.]],$D1145,Imput[[PERIODO Imp.]:[PERIODO Imp.]],CU$9)</f>
        <v>0</v>
      </c>
      <c r="CV1145" s="693">
        <f>SUMIFS(Imput[[Importe Neto]:[Importe Neto]],Imput[[C. Imp.]:[C. Imp.]],$D1145,Imput[[PERIODO Imp.]:[PERIODO Imp.]],CV$9)</f>
        <v>0</v>
      </c>
      <c r="CW1145" s="693">
        <f>SUMIFS(Imput[[Importe Neto]:[Importe Neto]],Imput[[C. Imp.]:[C. Imp.]],$D1145,Imput[[PERIODO Imp.]:[PERIODO Imp.]],CW$9)</f>
        <v>0</v>
      </c>
      <c r="CX1145" s="693">
        <f>SUMIFS(Imput[[Importe Neto]:[Importe Neto]],Imput[[C. Imp.]:[C. Imp.]],$D1145,Imput[[PERIODO Imp.]:[PERIODO Imp.]],CX$9)</f>
        <v>0</v>
      </c>
      <c r="CY1145" s="693">
        <f>SUMIFS(Imput[[Importe Neto]:[Importe Neto]],Imput[[C. Imp.]:[C. Imp.]],$D1145,Imput[[PERIODO Imp.]:[PERIODO Imp.]],CY$9)</f>
        <v>0</v>
      </c>
      <c r="CZ1145" s="693">
        <f>SUMIFS(Imput[[Importe Neto]:[Importe Neto]],Imput[[C. Imp.]:[C. Imp.]],$D1145,Imput[[PERIODO Imp.]:[PERIODO Imp.]],CZ$9)</f>
        <v>0</v>
      </c>
      <c r="DA1145" s="693">
        <f>SUMIFS(Imput[[Importe Neto]:[Importe Neto]],Imput[[C. Imp.]:[C. Imp.]],$D1145,Imput[[PERIODO Imp.]:[PERIODO Imp.]],DA$9)</f>
        <v>0</v>
      </c>
      <c r="DB1145" s="693">
        <f>SUMIFS(Imput[[Importe Neto]:[Importe Neto]],Imput[[C. Imp.]:[C. Imp.]],$D1145,Imput[[PERIODO Imp.]:[PERIODO Imp.]],DB$9)</f>
        <v>0</v>
      </c>
      <c r="DC1145" s="693">
        <f>SUMIFS(Imput[[Importe Neto]:[Importe Neto]],Imput[[C. Imp.]:[C. Imp.]],$D1145,Imput[[PERIODO Imp.]:[PERIODO Imp.]],DC$9)</f>
        <v>0</v>
      </c>
      <c r="DD1145" s="693">
        <f>SUMIFS(Imput[[Importe Neto]:[Importe Neto]],Imput[[C. Imp.]:[C. Imp.]],$D1145,Imput[[PERIODO Imp.]:[PERIODO Imp.]],DD$9)</f>
        <v>0</v>
      </c>
      <c r="DE1145" s="693">
        <f>SUMIFS(Imput[[Importe Neto]:[Importe Neto]],Imput[[C. Imp.]:[C. Imp.]],$D1145,Imput[[PERIODO Imp.]:[PERIODO Imp.]],DE$9)</f>
        <v>0</v>
      </c>
      <c r="DF1145" s="693">
        <f>SUMIFS(Imput[[Importe Neto]:[Importe Neto]],Imput[[C. Imp.]:[C. Imp.]],$D1145,Imput[[PERIODO Imp.]:[PERIODO Imp.]],DF$9)</f>
        <v>0</v>
      </c>
      <c r="DG1145" s="693">
        <f>SUMIFS(Imput[[Importe Neto]:[Importe Neto]],Imput[[C. Imp.]:[C. Imp.]],$D1145,Imput[[PERIODO Imp.]:[PERIODO Imp.]],DG$9)</f>
        <v>0</v>
      </c>
      <c r="DH1145" s="694">
        <f>SUMIFS(Imput[[Importe Neto]:[Importe Neto]],Imput[[C. Imp.]:[C. Imp.]],$D1145,Imput[[PERIODO Imp.]:[PERIODO Imp.]],DH$9)</f>
        <v>0</v>
      </c>
    </row>
    <row r="1146" spans="1:112" s="649" customFormat="1" hidden="1" outlineLevel="1" x14ac:dyDescent="0.3">
      <c r="A1146" s="652" t="str">
        <f t="shared" si="375"/>
        <v/>
      </c>
      <c r="B1146" s="652"/>
      <c r="C1146" s="685"/>
      <c r="D1146" s="686"/>
      <c r="E1146" s="686"/>
      <c r="F1146" s="720"/>
      <c r="G1146" s="688"/>
      <c r="H1146" s="689"/>
      <c r="I1146" s="851" t="str">
        <f t="shared" si="376"/>
        <v/>
      </c>
      <c r="J1146" s="850" t="str">
        <f t="shared" si="377"/>
        <v/>
      </c>
      <c r="K1146" s="667"/>
      <c r="L1146" s="858"/>
      <c r="M1146" s="859"/>
      <c r="N1146" s="859"/>
      <c r="O1146" s="859"/>
      <c r="P1146" s="859"/>
      <c r="Q1146" s="859"/>
      <c r="R1146" s="859"/>
      <c r="S1146" s="859"/>
      <c r="T1146" s="859"/>
      <c r="U1146" s="859"/>
      <c r="V1146" s="859"/>
      <c r="W1146" s="859"/>
      <c r="X1146" s="859"/>
      <c r="Y1146" s="859"/>
      <c r="Z1146" s="860"/>
      <c r="AA1146" s="860"/>
      <c r="AB1146" s="860"/>
      <c r="AC1146" s="860"/>
      <c r="AD1146" s="860"/>
      <c r="AE1146" s="860"/>
      <c r="AF1146" s="860"/>
      <c r="AG1146" s="860"/>
      <c r="AH1146" s="860"/>
      <c r="AI1146" s="860"/>
      <c r="AJ1146" s="860"/>
      <c r="AK1146" s="860"/>
      <c r="AL1146" s="860"/>
      <c r="AM1146" s="860"/>
      <c r="AN1146" s="860"/>
      <c r="AO1146" s="860"/>
      <c r="AP1146" s="860"/>
      <c r="AQ1146" s="860"/>
      <c r="AR1146" s="860"/>
      <c r="AS1146" s="860"/>
      <c r="AT1146" s="860"/>
      <c r="AU1146" s="860"/>
      <c r="AV1146" s="860"/>
      <c r="AW1146" s="860"/>
      <c r="AX1146" s="860"/>
      <c r="AY1146" s="860"/>
      <c r="AZ1146" s="860"/>
      <c r="BA1146" s="860"/>
      <c r="BB1146" s="860"/>
      <c r="BC1146" s="860"/>
      <c r="BD1146" s="860"/>
      <c r="BE1146" s="860"/>
      <c r="BF1146" s="860"/>
      <c r="BG1146" s="860"/>
      <c r="BH1146" s="668"/>
      <c r="BI1146" s="667"/>
      <c r="BJ1146" s="690">
        <f t="shared" si="378"/>
        <v>0</v>
      </c>
      <c r="BK1146" s="691">
        <f t="shared" si="379"/>
        <v>0</v>
      </c>
      <c r="BL1146" s="654"/>
      <c r="BM1146" s="692">
        <f>SUMIFS(Imput[[Importe Neto]:[Importe Neto]],Imput[[C. Imp.]:[C. Imp.]],$D1146,Imput[[PERIODO Imp.]:[PERIODO Imp.]],BM$9)</f>
        <v>0</v>
      </c>
      <c r="BN1146" s="693">
        <f>SUMIFS(Imput[[Importe Neto]:[Importe Neto]],Imput[[C. Imp.]:[C. Imp.]],$D1146,Imput[[PERIODO Imp.]:[PERIODO Imp.]],BN$9)</f>
        <v>0</v>
      </c>
      <c r="BO1146" s="693">
        <f>SUMIFS(Imput[[Importe Neto]:[Importe Neto]],Imput[[C. Imp.]:[C. Imp.]],$D1146,Imput[[PERIODO Imp.]:[PERIODO Imp.]],BO$9)</f>
        <v>0</v>
      </c>
      <c r="BP1146" s="693">
        <f>SUMIFS(Imput[[Importe Neto]:[Importe Neto]],Imput[[C. Imp.]:[C. Imp.]],$D1146,Imput[[PERIODO Imp.]:[PERIODO Imp.]],BP$9)</f>
        <v>0</v>
      </c>
      <c r="BQ1146" s="693">
        <f>SUMIFS(Imput[[Importe Neto]:[Importe Neto]],Imput[[C. Imp.]:[C. Imp.]],$D1146,Imput[[PERIODO Imp.]:[PERIODO Imp.]],BQ$9)</f>
        <v>0</v>
      </c>
      <c r="BR1146" s="693">
        <f>SUMIFS(Imput[[Importe Neto]:[Importe Neto]],Imput[[C. Imp.]:[C. Imp.]],$D1146,Imput[[PERIODO Imp.]:[PERIODO Imp.]],BR$9)</f>
        <v>0</v>
      </c>
      <c r="BS1146" s="693">
        <f>SUMIFS(Imput[[Importe Neto]:[Importe Neto]],Imput[[C. Imp.]:[C. Imp.]],$D1146,Imput[[PERIODO Imp.]:[PERIODO Imp.]],BS$9)</f>
        <v>0</v>
      </c>
      <c r="BT1146" s="693">
        <f>SUMIFS(Imput[[Importe Neto]:[Importe Neto]],Imput[[C. Imp.]:[C. Imp.]],$D1146,Imput[[PERIODO Imp.]:[PERIODO Imp.]],BT$9)</f>
        <v>0</v>
      </c>
      <c r="BU1146" s="693">
        <f>SUMIFS(Imput[[Importe Neto]:[Importe Neto]],Imput[[C. Imp.]:[C. Imp.]],$D1146,Imput[[PERIODO Imp.]:[PERIODO Imp.]],BU$9)</f>
        <v>0</v>
      </c>
      <c r="BV1146" s="693">
        <f>SUMIFS(Imput[[Importe Neto]:[Importe Neto]],Imput[[C. Imp.]:[C. Imp.]],$D1146,Imput[[PERIODO Imp.]:[PERIODO Imp.]],BV$9)</f>
        <v>0</v>
      </c>
      <c r="BW1146" s="693">
        <f>SUMIFS(Imput[[Importe Neto]:[Importe Neto]],Imput[[C. Imp.]:[C. Imp.]],$D1146,Imput[[PERIODO Imp.]:[PERIODO Imp.]],BW$9)</f>
        <v>0</v>
      </c>
      <c r="BX1146" s="693">
        <f>SUMIFS(Imput[[Importe Neto]:[Importe Neto]],Imput[[C. Imp.]:[C. Imp.]],$D1146,Imput[[PERIODO Imp.]:[PERIODO Imp.]],BX$9)</f>
        <v>0</v>
      </c>
      <c r="BY1146" s="693">
        <f>SUMIFS(Imput[[Importe Neto]:[Importe Neto]],Imput[[C. Imp.]:[C. Imp.]],$D1146,Imput[[PERIODO Imp.]:[PERIODO Imp.]],BY$9)</f>
        <v>0</v>
      </c>
      <c r="BZ1146" s="693">
        <f>SUMIFS(Imput[[Importe Neto]:[Importe Neto]],Imput[[C. Imp.]:[C. Imp.]],$D1146,Imput[[PERIODO Imp.]:[PERIODO Imp.]],BZ$9)</f>
        <v>0</v>
      </c>
      <c r="CA1146" s="693">
        <f>SUMIFS(Imput[[Importe Neto]:[Importe Neto]],Imput[[C. Imp.]:[C. Imp.]],$D1146,Imput[[PERIODO Imp.]:[PERIODO Imp.]],CA$9)</f>
        <v>0</v>
      </c>
      <c r="CB1146" s="693">
        <f>SUMIFS(Imput[[Importe Neto]:[Importe Neto]],Imput[[C. Imp.]:[C. Imp.]],$D1146,Imput[[PERIODO Imp.]:[PERIODO Imp.]],CB$9)</f>
        <v>0</v>
      </c>
      <c r="CC1146" s="693">
        <f>SUMIFS(Imput[[Importe Neto]:[Importe Neto]],Imput[[C. Imp.]:[C. Imp.]],$D1146,Imput[[PERIODO Imp.]:[PERIODO Imp.]],CC$9)</f>
        <v>0</v>
      </c>
      <c r="CD1146" s="693">
        <f>SUMIFS(Imput[[Importe Neto]:[Importe Neto]],Imput[[C. Imp.]:[C. Imp.]],$D1146,Imput[[PERIODO Imp.]:[PERIODO Imp.]],CD$9)</f>
        <v>0</v>
      </c>
      <c r="CE1146" s="693">
        <f>SUMIFS(Imput[[Importe Neto]:[Importe Neto]],Imput[[C. Imp.]:[C. Imp.]],$D1146,Imput[[PERIODO Imp.]:[PERIODO Imp.]],CE$9)</f>
        <v>0</v>
      </c>
      <c r="CF1146" s="693">
        <f>SUMIFS(Imput[[Importe Neto]:[Importe Neto]],Imput[[C. Imp.]:[C. Imp.]],$D1146,Imput[[PERIODO Imp.]:[PERIODO Imp.]],CF$9)</f>
        <v>0</v>
      </c>
      <c r="CG1146" s="693">
        <f>SUMIFS(Imput[[Importe Neto]:[Importe Neto]],Imput[[C. Imp.]:[C. Imp.]],$D1146,Imput[[PERIODO Imp.]:[PERIODO Imp.]],CG$9)</f>
        <v>0</v>
      </c>
      <c r="CH1146" s="693">
        <f>SUMIFS(Imput[[Importe Neto]:[Importe Neto]],Imput[[C. Imp.]:[C. Imp.]],$D1146,Imput[[PERIODO Imp.]:[PERIODO Imp.]],CH$9)</f>
        <v>0</v>
      </c>
      <c r="CI1146" s="693">
        <f>SUMIFS(Imput[[Importe Neto]:[Importe Neto]],Imput[[C. Imp.]:[C. Imp.]],$D1146,Imput[[PERIODO Imp.]:[PERIODO Imp.]],CI$9)</f>
        <v>0</v>
      </c>
      <c r="CJ1146" s="693">
        <f>SUMIFS(Imput[[Importe Neto]:[Importe Neto]],Imput[[C. Imp.]:[C. Imp.]],$D1146,Imput[[PERIODO Imp.]:[PERIODO Imp.]],CJ$9)</f>
        <v>0</v>
      </c>
      <c r="CK1146" s="693">
        <f>SUMIFS(Imput[[Importe Neto]:[Importe Neto]],Imput[[C. Imp.]:[C. Imp.]],$D1146,Imput[[PERIODO Imp.]:[PERIODO Imp.]],CK$9)</f>
        <v>0</v>
      </c>
      <c r="CL1146" s="693">
        <f>SUMIFS(Imput[[Importe Neto]:[Importe Neto]],Imput[[C. Imp.]:[C. Imp.]],$D1146,Imput[[PERIODO Imp.]:[PERIODO Imp.]],CL$9)</f>
        <v>0</v>
      </c>
      <c r="CM1146" s="693">
        <f>SUMIFS(Imput[[Importe Neto]:[Importe Neto]],Imput[[C. Imp.]:[C. Imp.]],$D1146,Imput[[PERIODO Imp.]:[PERIODO Imp.]],CM$9)</f>
        <v>0</v>
      </c>
      <c r="CN1146" s="693">
        <f>SUMIFS(Imput[[Importe Neto]:[Importe Neto]],Imput[[C. Imp.]:[C. Imp.]],$D1146,Imput[[PERIODO Imp.]:[PERIODO Imp.]],CN$9)</f>
        <v>0</v>
      </c>
      <c r="CO1146" s="693">
        <f>SUMIFS(Imput[[Importe Neto]:[Importe Neto]],Imput[[C. Imp.]:[C. Imp.]],$D1146,Imput[[PERIODO Imp.]:[PERIODO Imp.]],CO$9)</f>
        <v>0</v>
      </c>
      <c r="CP1146" s="693">
        <f>SUMIFS(Imput[[Importe Neto]:[Importe Neto]],Imput[[C. Imp.]:[C. Imp.]],$D1146,Imput[[PERIODO Imp.]:[PERIODO Imp.]],CP$9)</f>
        <v>0</v>
      </c>
      <c r="CQ1146" s="693">
        <f>SUMIFS(Imput[[Importe Neto]:[Importe Neto]],Imput[[C. Imp.]:[C. Imp.]],$D1146,Imput[[PERIODO Imp.]:[PERIODO Imp.]],CQ$9)</f>
        <v>0</v>
      </c>
      <c r="CR1146" s="693">
        <f>SUMIFS(Imput[[Importe Neto]:[Importe Neto]],Imput[[C. Imp.]:[C. Imp.]],$D1146,Imput[[PERIODO Imp.]:[PERIODO Imp.]],CR$9)</f>
        <v>0</v>
      </c>
      <c r="CS1146" s="693">
        <f>SUMIFS(Imput[[Importe Neto]:[Importe Neto]],Imput[[C. Imp.]:[C. Imp.]],$D1146,Imput[[PERIODO Imp.]:[PERIODO Imp.]],CS$9)</f>
        <v>0</v>
      </c>
      <c r="CT1146" s="693">
        <f>SUMIFS(Imput[[Importe Neto]:[Importe Neto]],Imput[[C. Imp.]:[C. Imp.]],$D1146,Imput[[PERIODO Imp.]:[PERIODO Imp.]],CT$9)</f>
        <v>0</v>
      </c>
      <c r="CU1146" s="693">
        <f>SUMIFS(Imput[[Importe Neto]:[Importe Neto]],Imput[[C. Imp.]:[C. Imp.]],$D1146,Imput[[PERIODO Imp.]:[PERIODO Imp.]],CU$9)</f>
        <v>0</v>
      </c>
      <c r="CV1146" s="693">
        <f>SUMIFS(Imput[[Importe Neto]:[Importe Neto]],Imput[[C. Imp.]:[C. Imp.]],$D1146,Imput[[PERIODO Imp.]:[PERIODO Imp.]],CV$9)</f>
        <v>0</v>
      </c>
      <c r="CW1146" s="693">
        <f>SUMIFS(Imput[[Importe Neto]:[Importe Neto]],Imput[[C. Imp.]:[C. Imp.]],$D1146,Imput[[PERIODO Imp.]:[PERIODO Imp.]],CW$9)</f>
        <v>0</v>
      </c>
      <c r="CX1146" s="693">
        <f>SUMIFS(Imput[[Importe Neto]:[Importe Neto]],Imput[[C. Imp.]:[C. Imp.]],$D1146,Imput[[PERIODO Imp.]:[PERIODO Imp.]],CX$9)</f>
        <v>0</v>
      </c>
      <c r="CY1146" s="693">
        <f>SUMIFS(Imput[[Importe Neto]:[Importe Neto]],Imput[[C. Imp.]:[C. Imp.]],$D1146,Imput[[PERIODO Imp.]:[PERIODO Imp.]],CY$9)</f>
        <v>0</v>
      </c>
      <c r="CZ1146" s="693">
        <f>SUMIFS(Imput[[Importe Neto]:[Importe Neto]],Imput[[C. Imp.]:[C. Imp.]],$D1146,Imput[[PERIODO Imp.]:[PERIODO Imp.]],CZ$9)</f>
        <v>0</v>
      </c>
      <c r="DA1146" s="693">
        <f>SUMIFS(Imput[[Importe Neto]:[Importe Neto]],Imput[[C. Imp.]:[C. Imp.]],$D1146,Imput[[PERIODO Imp.]:[PERIODO Imp.]],DA$9)</f>
        <v>0</v>
      </c>
      <c r="DB1146" s="693">
        <f>SUMIFS(Imput[[Importe Neto]:[Importe Neto]],Imput[[C. Imp.]:[C. Imp.]],$D1146,Imput[[PERIODO Imp.]:[PERIODO Imp.]],DB$9)</f>
        <v>0</v>
      </c>
      <c r="DC1146" s="693">
        <f>SUMIFS(Imput[[Importe Neto]:[Importe Neto]],Imput[[C. Imp.]:[C. Imp.]],$D1146,Imput[[PERIODO Imp.]:[PERIODO Imp.]],DC$9)</f>
        <v>0</v>
      </c>
      <c r="DD1146" s="693">
        <f>SUMIFS(Imput[[Importe Neto]:[Importe Neto]],Imput[[C. Imp.]:[C. Imp.]],$D1146,Imput[[PERIODO Imp.]:[PERIODO Imp.]],DD$9)</f>
        <v>0</v>
      </c>
      <c r="DE1146" s="693">
        <f>SUMIFS(Imput[[Importe Neto]:[Importe Neto]],Imput[[C. Imp.]:[C. Imp.]],$D1146,Imput[[PERIODO Imp.]:[PERIODO Imp.]],DE$9)</f>
        <v>0</v>
      </c>
      <c r="DF1146" s="693">
        <f>SUMIFS(Imput[[Importe Neto]:[Importe Neto]],Imput[[C. Imp.]:[C. Imp.]],$D1146,Imput[[PERIODO Imp.]:[PERIODO Imp.]],DF$9)</f>
        <v>0</v>
      </c>
      <c r="DG1146" s="693">
        <f>SUMIFS(Imput[[Importe Neto]:[Importe Neto]],Imput[[C. Imp.]:[C. Imp.]],$D1146,Imput[[PERIODO Imp.]:[PERIODO Imp.]],DG$9)</f>
        <v>0</v>
      </c>
      <c r="DH1146" s="694">
        <f>SUMIFS(Imput[[Importe Neto]:[Importe Neto]],Imput[[C. Imp.]:[C. Imp.]],$D1146,Imput[[PERIODO Imp.]:[PERIODO Imp.]],DH$9)</f>
        <v>0</v>
      </c>
    </row>
    <row r="1147" spans="1:112" s="649" customFormat="1" hidden="1" outlineLevel="1" x14ac:dyDescent="0.3">
      <c r="A1147" s="652" t="str">
        <f t="shared" si="375"/>
        <v/>
      </c>
      <c r="B1147" s="652"/>
      <c r="C1147" s="685"/>
      <c r="D1147" s="686"/>
      <c r="E1147" s="686"/>
      <c r="F1147" s="720"/>
      <c r="G1147" s="688"/>
      <c r="H1147" s="689"/>
      <c r="I1147" s="851" t="str">
        <f t="shared" si="376"/>
        <v/>
      </c>
      <c r="J1147" s="850" t="str">
        <f t="shared" si="377"/>
        <v/>
      </c>
      <c r="K1147" s="667"/>
      <c r="L1147" s="858"/>
      <c r="M1147" s="859"/>
      <c r="N1147" s="859"/>
      <c r="O1147" s="859"/>
      <c r="P1147" s="859"/>
      <c r="Q1147" s="859"/>
      <c r="R1147" s="859"/>
      <c r="S1147" s="859"/>
      <c r="T1147" s="859"/>
      <c r="U1147" s="859"/>
      <c r="V1147" s="859"/>
      <c r="W1147" s="859"/>
      <c r="X1147" s="859"/>
      <c r="Y1147" s="859"/>
      <c r="Z1147" s="860"/>
      <c r="AA1147" s="860"/>
      <c r="AB1147" s="860"/>
      <c r="AC1147" s="860"/>
      <c r="AD1147" s="860"/>
      <c r="AE1147" s="860"/>
      <c r="AF1147" s="860"/>
      <c r="AG1147" s="860"/>
      <c r="AH1147" s="860"/>
      <c r="AI1147" s="860"/>
      <c r="AJ1147" s="860"/>
      <c r="AK1147" s="860"/>
      <c r="AL1147" s="860"/>
      <c r="AM1147" s="860"/>
      <c r="AN1147" s="860"/>
      <c r="AO1147" s="860"/>
      <c r="AP1147" s="860"/>
      <c r="AQ1147" s="860"/>
      <c r="AR1147" s="860"/>
      <c r="AS1147" s="860"/>
      <c r="AT1147" s="860"/>
      <c r="AU1147" s="860"/>
      <c r="AV1147" s="860"/>
      <c r="AW1147" s="860"/>
      <c r="AX1147" s="860"/>
      <c r="AY1147" s="860"/>
      <c r="AZ1147" s="860"/>
      <c r="BA1147" s="860"/>
      <c r="BB1147" s="860"/>
      <c r="BC1147" s="860"/>
      <c r="BD1147" s="860"/>
      <c r="BE1147" s="860"/>
      <c r="BF1147" s="860"/>
      <c r="BG1147" s="860"/>
      <c r="BH1147" s="668"/>
      <c r="BI1147" s="667"/>
      <c r="BJ1147" s="690">
        <f t="shared" si="378"/>
        <v>0</v>
      </c>
      <c r="BK1147" s="691">
        <f t="shared" si="379"/>
        <v>0</v>
      </c>
      <c r="BL1147" s="654"/>
      <c r="BM1147" s="692">
        <f>SUMIFS(Imput[[Importe Neto]:[Importe Neto]],Imput[[C. Imp.]:[C. Imp.]],$D1147,Imput[[PERIODO Imp.]:[PERIODO Imp.]],BM$9)</f>
        <v>0</v>
      </c>
      <c r="BN1147" s="693">
        <f>SUMIFS(Imput[[Importe Neto]:[Importe Neto]],Imput[[C. Imp.]:[C. Imp.]],$D1147,Imput[[PERIODO Imp.]:[PERIODO Imp.]],BN$9)</f>
        <v>0</v>
      </c>
      <c r="BO1147" s="693">
        <f>SUMIFS(Imput[[Importe Neto]:[Importe Neto]],Imput[[C. Imp.]:[C. Imp.]],$D1147,Imput[[PERIODO Imp.]:[PERIODO Imp.]],BO$9)</f>
        <v>0</v>
      </c>
      <c r="BP1147" s="693">
        <f>SUMIFS(Imput[[Importe Neto]:[Importe Neto]],Imput[[C. Imp.]:[C. Imp.]],$D1147,Imput[[PERIODO Imp.]:[PERIODO Imp.]],BP$9)</f>
        <v>0</v>
      </c>
      <c r="BQ1147" s="693">
        <f>SUMIFS(Imput[[Importe Neto]:[Importe Neto]],Imput[[C. Imp.]:[C. Imp.]],$D1147,Imput[[PERIODO Imp.]:[PERIODO Imp.]],BQ$9)</f>
        <v>0</v>
      </c>
      <c r="BR1147" s="693">
        <f>SUMIFS(Imput[[Importe Neto]:[Importe Neto]],Imput[[C. Imp.]:[C. Imp.]],$D1147,Imput[[PERIODO Imp.]:[PERIODO Imp.]],BR$9)</f>
        <v>0</v>
      </c>
      <c r="BS1147" s="693">
        <f>SUMIFS(Imput[[Importe Neto]:[Importe Neto]],Imput[[C. Imp.]:[C. Imp.]],$D1147,Imput[[PERIODO Imp.]:[PERIODO Imp.]],BS$9)</f>
        <v>0</v>
      </c>
      <c r="BT1147" s="693">
        <f>SUMIFS(Imput[[Importe Neto]:[Importe Neto]],Imput[[C. Imp.]:[C. Imp.]],$D1147,Imput[[PERIODO Imp.]:[PERIODO Imp.]],BT$9)</f>
        <v>0</v>
      </c>
      <c r="BU1147" s="693">
        <f>SUMIFS(Imput[[Importe Neto]:[Importe Neto]],Imput[[C. Imp.]:[C. Imp.]],$D1147,Imput[[PERIODO Imp.]:[PERIODO Imp.]],BU$9)</f>
        <v>0</v>
      </c>
      <c r="BV1147" s="693">
        <f>SUMIFS(Imput[[Importe Neto]:[Importe Neto]],Imput[[C. Imp.]:[C. Imp.]],$D1147,Imput[[PERIODO Imp.]:[PERIODO Imp.]],BV$9)</f>
        <v>0</v>
      </c>
      <c r="BW1147" s="693">
        <f>SUMIFS(Imput[[Importe Neto]:[Importe Neto]],Imput[[C. Imp.]:[C. Imp.]],$D1147,Imput[[PERIODO Imp.]:[PERIODO Imp.]],BW$9)</f>
        <v>0</v>
      </c>
      <c r="BX1147" s="693">
        <f>SUMIFS(Imput[[Importe Neto]:[Importe Neto]],Imput[[C. Imp.]:[C. Imp.]],$D1147,Imput[[PERIODO Imp.]:[PERIODO Imp.]],BX$9)</f>
        <v>0</v>
      </c>
      <c r="BY1147" s="693">
        <f>SUMIFS(Imput[[Importe Neto]:[Importe Neto]],Imput[[C. Imp.]:[C. Imp.]],$D1147,Imput[[PERIODO Imp.]:[PERIODO Imp.]],BY$9)</f>
        <v>0</v>
      </c>
      <c r="BZ1147" s="693">
        <f>SUMIFS(Imput[[Importe Neto]:[Importe Neto]],Imput[[C. Imp.]:[C. Imp.]],$D1147,Imput[[PERIODO Imp.]:[PERIODO Imp.]],BZ$9)</f>
        <v>0</v>
      </c>
      <c r="CA1147" s="693">
        <f>SUMIFS(Imput[[Importe Neto]:[Importe Neto]],Imput[[C. Imp.]:[C. Imp.]],$D1147,Imput[[PERIODO Imp.]:[PERIODO Imp.]],CA$9)</f>
        <v>0</v>
      </c>
      <c r="CB1147" s="693">
        <f>SUMIFS(Imput[[Importe Neto]:[Importe Neto]],Imput[[C. Imp.]:[C. Imp.]],$D1147,Imput[[PERIODO Imp.]:[PERIODO Imp.]],CB$9)</f>
        <v>0</v>
      </c>
      <c r="CC1147" s="693">
        <f>SUMIFS(Imput[[Importe Neto]:[Importe Neto]],Imput[[C. Imp.]:[C. Imp.]],$D1147,Imput[[PERIODO Imp.]:[PERIODO Imp.]],CC$9)</f>
        <v>0</v>
      </c>
      <c r="CD1147" s="693">
        <f>SUMIFS(Imput[[Importe Neto]:[Importe Neto]],Imput[[C. Imp.]:[C. Imp.]],$D1147,Imput[[PERIODO Imp.]:[PERIODO Imp.]],CD$9)</f>
        <v>0</v>
      </c>
      <c r="CE1147" s="693">
        <f>SUMIFS(Imput[[Importe Neto]:[Importe Neto]],Imput[[C. Imp.]:[C. Imp.]],$D1147,Imput[[PERIODO Imp.]:[PERIODO Imp.]],CE$9)</f>
        <v>0</v>
      </c>
      <c r="CF1147" s="693">
        <f>SUMIFS(Imput[[Importe Neto]:[Importe Neto]],Imput[[C. Imp.]:[C. Imp.]],$D1147,Imput[[PERIODO Imp.]:[PERIODO Imp.]],CF$9)</f>
        <v>0</v>
      </c>
      <c r="CG1147" s="693">
        <f>SUMIFS(Imput[[Importe Neto]:[Importe Neto]],Imput[[C. Imp.]:[C. Imp.]],$D1147,Imput[[PERIODO Imp.]:[PERIODO Imp.]],CG$9)</f>
        <v>0</v>
      </c>
      <c r="CH1147" s="693">
        <f>SUMIFS(Imput[[Importe Neto]:[Importe Neto]],Imput[[C. Imp.]:[C. Imp.]],$D1147,Imput[[PERIODO Imp.]:[PERIODO Imp.]],CH$9)</f>
        <v>0</v>
      </c>
      <c r="CI1147" s="693">
        <f>SUMIFS(Imput[[Importe Neto]:[Importe Neto]],Imput[[C. Imp.]:[C. Imp.]],$D1147,Imput[[PERIODO Imp.]:[PERIODO Imp.]],CI$9)</f>
        <v>0</v>
      </c>
      <c r="CJ1147" s="693">
        <f>SUMIFS(Imput[[Importe Neto]:[Importe Neto]],Imput[[C. Imp.]:[C. Imp.]],$D1147,Imput[[PERIODO Imp.]:[PERIODO Imp.]],CJ$9)</f>
        <v>0</v>
      </c>
      <c r="CK1147" s="693">
        <f>SUMIFS(Imput[[Importe Neto]:[Importe Neto]],Imput[[C. Imp.]:[C. Imp.]],$D1147,Imput[[PERIODO Imp.]:[PERIODO Imp.]],CK$9)</f>
        <v>0</v>
      </c>
      <c r="CL1147" s="693">
        <f>SUMIFS(Imput[[Importe Neto]:[Importe Neto]],Imput[[C. Imp.]:[C. Imp.]],$D1147,Imput[[PERIODO Imp.]:[PERIODO Imp.]],CL$9)</f>
        <v>0</v>
      </c>
      <c r="CM1147" s="693">
        <f>SUMIFS(Imput[[Importe Neto]:[Importe Neto]],Imput[[C. Imp.]:[C. Imp.]],$D1147,Imput[[PERIODO Imp.]:[PERIODO Imp.]],CM$9)</f>
        <v>0</v>
      </c>
      <c r="CN1147" s="693">
        <f>SUMIFS(Imput[[Importe Neto]:[Importe Neto]],Imput[[C. Imp.]:[C. Imp.]],$D1147,Imput[[PERIODO Imp.]:[PERIODO Imp.]],CN$9)</f>
        <v>0</v>
      </c>
      <c r="CO1147" s="693">
        <f>SUMIFS(Imput[[Importe Neto]:[Importe Neto]],Imput[[C. Imp.]:[C. Imp.]],$D1147,Imput[[PERIODO Imp.]:[PERIODO Imp.]],CO$9)</f>
        <v>0</v>
      </c>
      <c r="CP1147" s="693">
        <f>SUMIFS(Imput[[Importe Neto]:[Importe Neto]],Imput[[C. Imp.]:[C. Imp.]],$D1147,Imput[[PERIODO Imp.]:[PERIODO Imp.]],CP$9)</f>
        <v>0</v>
      </c>
      <c r="CQ1147" s="693">
        <f>SUMIFS(Imput[[Importe Neto]:[Importe Neto]],Imput[[C. Imp.]:[C. Imp.]],$D1147,Imput[[PERIODO Imp.]:[PERIODO Imp.]],CQ$9)</f>
        <v>0</v>
      </c>
      <c r="CR1147" s="693">
        <f>SUMIFS(Imput[[Importe Neto]:[Importe Neto]],Imput[[C. Imp.]:[C. Imp.]],$D1147,Imput[[PERIODO Imp.]:[PERIODO Imp.]],CR$9)</f>
        <v>0</v>
      </c>
      <c r="CS1147" s="693">
        <f>SUMIFS(Imput[[Importe Neto]:[Importe Neto]],Imput[[C. Imp.]:[C. Imp.]],$D1147,Imput[[PERIODO Imp.]:[PERIODO Imp.]],CS$9)</f>
        <v>0</v>
      </c>
      <c r="CT1147" s="693">
        <f>SUMIFS(Imput[[Importe Neto]:[Importe Neto]],Imput[[C. Imp.]:[C. Imp.]],$D1147,Imput[[PERIODO Imp.]:[PERIODO Imp.]],CT$9)</f>
        <v>0</v>
      </c>
      <c r="CU1147" s="693">
        <f>SUMIFS(Imput[[Importe Neto]:[Importe Neto]],Imput[[C. Imp.]:[C. Imp.]],$D1147,Imput[[PERIODO Imp.]:[PERIODO Imp.]],CU$9)</f>
        <v>0</v>
      </c>
      <c r="CV1147" s="693">
        <f>SUMIFS(Imput[[Importe Neto]:[Importe Neto]],Imput[[C. Imp.]:[C. Imp.]],$D1147,Imput[[PERIODO Imp.]:[PERIODO Imp.]],CV$9)</f>
        <v>0</v>
      </c>
      <c r="CW1147" s="693">
        <f>SUMIFS(Imput[[Importe Neto]:[Importe Neto]],Imput[[C. Imp.]:[C. Imp.]],$D1147,Imput[[PERIODO Imp.]:[PERIODO Imp.]],CW$9)</f>
        <v>0</v>
      </c>
      <c r="CX1147" s="693">
        <f>SUMIFS(Imput[[Importe Neto]:[Importe Neto]],Imput[[C. Imp.]:[C. Imp.]],$D1147,Imput[[PERIODO Imp.]:[PERIODO Imp.]],CX$9)</f>
        <v>0</v>
      </c>
      <c r="CY1147" s="693">
        <f>SUMIFS(Imput[[Importe Neto]:[Importe Neto]],Imput[[C. Imp.]:[C. Imp.]],$D1147,Imput[[PERIODO Imp.]:[PERIODO Imp.]],CY$9)</f>
        <v>0</v>
      </c>
      <c r="CZ1147" s="693">
        <f>SUMIFS(Imput[[Importe Neto]:[Importe Neto]],Imput[[C. Imp.]:[C. Imp.]],$D1147,Imput[[PERIODO Imp.]:[PERIODO Imp.]],CZ$9)</f>
        <v>0</v>
      </c>
      <c r="DA1147" s="693">
        <f>SUMIFS(Imput[[Importe Neto]:[Importe Neto]],Imput[[C. Imp.]:[C. Imp.]],$D1147,Imput[[PERIODO Imp.]:[PERIODO Imp.]],DA$9)</f>
        <v>0</v>
      </c>
      <c r="DB1147" s="693">
        <f>SUMIFS(Imput[[Importe Neto]:[Importe Neto]],Imput[[C. Imp.]:[C. Imp.]],$D1147,Imput[[PERIODO Imp.]:[PERIODO Imp.]],DB$9)</f>
        <v>0</v>
      </c>
      <c r="DC1147" s="693">
        <f>SUMIFS(Imput[[Importe Neto]:[Importe Neto]],Imput[[C. Imp.]:[C. Imp.]],$D1147,Imput[[PERIODO Imp.]:[PERIODO Imp.]],DC$9)</f>
        <v>0</v>
      </c>
      <c r="DD1147" s="693">
        <f>SUMIFS(Imput[[Importe Neto]:[Importe Neto]],Imput[[C. Imp.]:[C. Imp.]],$D1147,Imput[[PERIODO Imp.]:[PERIODO Imp.]],DD$9)</f>
        <v>0</v>
      </c>
      <c r="DE1147" s="693">
        <f>SUMIFS(Imput[[Importe Neto]:[Importe Neto]],Imput[[C. Imp.]:[C. Imp.]],$D1147,Imput[[PERIODO Imp.]:[PERIODO Imp.]],DE$9)</f>
        <v>0</v>
      </c>
      <c r="DF1147" s="693">
        <f>SUMIFS(Imput[[Importe Neto]:[Importe Neto]],Imput[[C. Imp.]:[C. Imp.]],$D1147,Imput[[PERIODO Imp.]:[PERIODO Imp.]],DF$9)</f>
        <v>0</v>
      </c>
      <c r="DG1147" s="693">
        <f>SUMIFS(Imput[[Importe Neto]:[Importe Neto]],Imput[[C. Imp.]:[C. Imp.]],$D1147,Imput[[PERIODO Imp.]:[PERIODO Imp.]],DG$9)</f>
        <v>0</v>
      </c>
      <c r="DH1147" s="694">
        <f>SUMIFS(Imput[[Importe Neto]:[Importe Neto]],Imput[[C. Imp.]:[C. Imp.]],$D1147,Imput[[PERIODO Imp.]:[PERIODO Imp.]],DH$9)</f>
        <v>0</v>
      </c>
    </row>
    <row r="1148" spans="1:112" s="649" customFormat="1" hidden="1" outlineLevel="1" x14ac:dyDescent="0.3">
      <c r="A1148" s="652" t="str">
        <f t="shared" si="375"/>
        <v/>
      </c>
      <c r="B1148" s="652"/>
      <c r="C1148" s="685"/>
      <c r="D1148" s="686"/>
      <c r="E1148" s="686"/>
      <c r="F1148" s="720"/>
      <c r="G1148" s="688"/>
      <c r="H1148" s="689"/>
      <c r="I1148" s="851" t="str">
        <f t="shared" si="376"/>
        <v/>
      </c>
      <c r="J1148" s="850" t="str">
        <f t="shared" si="377"/>
        <v/>
      </c>
      <c r="K1148" s="667"/>
      <c r="L1148" s="858"/>
      <c r="M1148" s="859"/>
      <c r="N1148" s="859"/>
      <c r="O1148" s="859"/>
      <c r="P1148" s="859"/>
      <c r="Q1148" s="859"/>
      <c r="R1148" s="859"/>
      <c r="S1148" s="859"/>
      <c r="T1148" s="859"/>
      <c r="U1148" s="859"/>
      <c r="V1148" s="859"/>
      <c r="W1148" s="859"/>
      <c r="X1148" s="859"/>
      <c r="Y1148" s="859"/>
      <c r="Z1148" s="860"/>
      <c r="AA1148" s="860"/>
      <c r="AB1148" s="860"/>
      <c r="AC1148" s="860"/>
      <c r="AD1148" s="860"/>
      <c r="AE1148" s="860"/>
      <c r="AF1148" s="860"/>
      <c r="AG1148" s="860"/>
      <c r="AH1148" s="860"/>
      <c r="AI1148" s="860"/>
      <c r="AJ1148" s="860"/>
      <c r="AK1148" s="860"/>
      <c r="AL1148" s="860"/>
      <c r="AM1148" s="860"/>
      <c r="AN1148" s="860"/>
      <c r="AO1148" s="860"/>
      <c r="AP1148" s="860"/>
      <c r="AQ1148" s="860"/>
      <c r="AR1148" s="860"/>
      <c r="AS1148" s="860"/>
      <c r="AT1148" s="860"/>
      <c r="AU1148" s="860"/>
      <c r="AV1148" s="860"/>
      <c r="AW1148" s="860"/>
      <c r="AX1148" s="860"/>
      <c r="AY1148" s="860"/>
      <c r="AZ1148" s="860"/>
      <c r="BA1148" s="860"/>
      <c r="BB1148" s="860"/>
      <c r="BC1148" s="860"/>
      <c r="BD1148" s="860"/>
      <c r="BE1148" s="860"/>
      <c r="BF1148" s="860"/>
      <c r="BG1148" s="860"/>
      <c r="BH1148" s="668"/>
      <c r="BI1148" s="667"/>
      <c r="BJ1148" s="690">
        <f t="shared" si="378"/>
        <v>0</v>
      </c>
      <c r="BK1148" s="691">
        <f t="shared" si="379"/>
        <v>0</v>
      </c>
      <c r="BL1148" s="654"/>
      <c r="BM1148" s="692">
        <f>SUMIFS(Imput[[Importe Neto]:[Importe Neto]],Imput[[C. Imp.]:[C. Imp.]],$D1148,Imput[[PERIODO Imp.]:[PERIODO Imp.]],BM$9)</f>
        <v>0</v>
      </c>
      <c r="BN1148" s="693">
        <f>SUMIFS(Imput[[Importe Neto]:[Importe Neto]],Imput[[C. Imp.]:[C. Imp.]],$D1148,Imput[[PERIODO Imp.]:[PERIODO Imp.]],BN$9)</f>
        <v>0</v>
      </c>
      <c r="BO1148" s="693">
        <f>SUMIFS(Imput[[Importe Neto]:[Importe Neto]],Imput[[C. Imp.]:[C. Imp.]],$D1148,Imput[[PERIODO Imp.]:[PERIODO Imp.]],BO$9)</f>
        <v>0</v>
      </c>
      <c r="BP1148" s="693">
        <f>SUMIFS(Imput[[Importe Neto]:[Importe Neto]],Imput[[C. Imp.]:[C. Imp.]],$D1148,Imput[[PERIODO Imp.]:[PERIODO Imp.]],BP$9)</f>
        <v>0</v>
      </c>
      <c r="BQ1148" s="693">
        <f>SUMIFS(Imput[[Importe Neto]:[Importe Neto]],Imput[[C. Imp.]:[C. Imp.]],$D1148,Imput[[PERIODO Imp.]:[PERIODO Imp.]],BQ$9)</f>
        <v>0</v>
      </c>
      <c r="BR1148" s="693">
        <f>SUMIFS(Imput[[Importe Neto]:[Importe Neto]],Imput[[C. Imp.]:[C. Imp.]],$D1148,Imput[[PERIODO Imp.]:[PERIODO Imp.]],BR$9)</f>
        <v>0</v>
      </c>
      <c r="BS1148" s="693">
        <f>SUMIFS(Imput[[Importe Neto]:[Importe Neto]],Imput[[C. Imp.]:[C. Imp.]],$D1148,Imput[[PERIODO Imp.]:[PERIODO Imp.]],BS$9)</f>
        <v>0</v>
      </c>
      <c r="BT1148" s="693">
        <f>SUMIFS(Imput[[Importe Neto]:[Importe Neto]],Imput[[C. Imp.]:[C. Imp.]],$D1148,Imput[[PERIODO Imp.]:[PERIODO Imp.]],BT$9)</f>
        <v>0</v>
      </c>
      <c r="BU1148" s="693">
        <f>SUMIFS(Imput[[Importe Neto]:[Importe Neto]],Imput[[C. Imp.]:[C. Imp.]],$D1148,Imput[[PERIODO Imp.]:[PERIODO Imp.]],BU$9)</f>
        <v>0</v>
      </c>
      <c r="BV1148" s="693">
        <f>SUMIFS(Imput[[Importe Neto]:[Importe Neto]],Imput[[C. Imp.]:[C. Imp.]],$D1148,Imput[[PERIODO Imp.]:[PERIODO Imp.]],BV$9)</f>
        <v>0</v>
      </c>
      <c r="BW1148" s="693">
        <f>SUMIFS(Imput[[Importe Neto]:[Importe Neto]],Imput[[C. Imp.]:[C. Imp.]],$D1148,Imput[[PERIODO Imp.]:[PERIODO Imp.]],BW$9)</f>
        <v>0</v>
      </c>
      <c r="BX1148" s="693">
        <f>SUMIFS(Imput[[Importe Neto]:[Importe Neto]],Imput[[C. Imp.]:[C. Imp.]],$D1148,Imput[[PERIODO Imp.]:[PERIODO Imp.]],BX$9)</f>
        <v>0</v>
      </c>
      <c r="BY1148" s="693">
        <f>SUMIFS(Imput[[Importe Neto]:[Importe Neto]],Imput[[C. Imp.]:[C. Imp.]],$D1148,Imput[[PERIODO Imp.]:[PERIODO Imp.]],BY$9)</f>
        <v>0</v>
      </c>
      <c r="BZ1148" s="693">
        <f>SUMIFS(Imput[[Importe Neto]:[Importe Neto]],Imput[[C. Imp.]:[C. Imp.]],$D1148,Imput[[PERIODO Imp.]:[PERIODO Imp.]],BZ$9)</f>
        <v>0</v>
      </c>
      <c r="CA1148" s="693">
        <f>SUMIFS(Imput[[Importe Neto]:[Importe Neto]],Imput[[C. Imp.]:[C. Imp.]],$D1148,Imput[[PERIODO Imp.]:[PERIODO Imp.]],CA$9)</f>
        <v>0</v>
      </c>
      <c r="CB1148" s="693">
        <f>SUMIFS(Imput[[Importe Neto]:[Importe Neto]],Imput[[C. Imp.]:[C. Imp.]],$D1148,Imput[[PERIODO Imp.]:[PERIODO Imp.]],CB$9)</f>
        <v>0</v>
      </c>
      <c r="CC1148" s="693">
        <f>SUMIFS(Imput[[Importe Neto]:[Importe Neto]],Imput[[C. Imp.]:[C. Imp.]],$D1148,Imput[[PERIODO Imp.]:[PERIODO Imp.]],CC$9)</f>
        <v>0</v>
      </c>
      <c r="CD1148" s="693">
        <f>SUMIFS(Imput[[Importe Neto]:[Importe Neto]],Imput[[C. Imp.]:[C. Imp.]],$D1148,Imput[[PERIODO Imp.]:[PERIODO Imp.]],CD$9)</f>
        <v>0</v>
      </c>
      <c r="CE1148" s="693">
        <f>SUMIFS(Imput[[Importe Neto]:[Importe Neto]],Imput[[C. Imp.]:[C. Imp.]],$D1148,Imput[[PERIODO Imp.]:[PERIODO Imp.]],CE$9)</f>
        <v>0</v>
      </c>
      <c r="CF1148" s="693">
        <f>SUMIFS(Imput[[Importe Neto]:[Importe Neto]],Imput[[C. Imp.]:[C. Imp.]],$D1148,Imput[[PERIODO Imp.]:[PERIODO Imp.]],CF$9)</f>
        <v>0</v>
      </c>
      <c r="CG1148" s="693">
        <f>SUMIFS(Imput[[Importe Neto]:[Importe Neto]],Imput[[C. Imp.]:[C. Imp.]],$D1148,Imput[[PERIODO Imp.]:[PERIODO Imp.]],CG$9)</f>
        <v>0</v>
      </c>
      <c r="CH1148" s="693">
        <f>SUMIFS(Imput[[Importe Neto]:[Importe Neto]],Imput[[C. Imp.]:[C. Imp.]],$D1148,Imput[[PERIODO Imp.]:[PERIODO Imp.]],CH$9)</f>
        <v>0</v>
      </c>
      <c r="CI1148" s="693">
        <f>SUMIFS(Imput[[Importe Neto]:[Importe Neto]],Imput[[C. Imp.]:[C. Imp.]],$D1148,Imput[[PERIODO Imp.]:[PERIODO Imp.]],CI$9)</f>
        <v>0</v>
      </c>
      <c r="CJ1148" s="693">
        <f>SUMIFS(Imput[[Importe Neto]:[Importe Neto]],Imput[[C. Imp.]:[C. Imp.]],$D1148,Imput[[PERIODO Imp.]:[PERIODO Imp.]],CJ$9)</f>
        <v>0</v>
      </c>
      <c r="CK1148" s="693">
        <f>SUMIFS(Imput[[Importe Neto]:[Importe Neto]],Imput[[C. Imp.]:[C. Imp.]],$D1148,Imput[[PERIODO Imp.]:[PERIODO Imp.]],CK$9)</f>
        <v>0</v>
      </c>
      <c r="CL1148" s="693">
        <f>SUMIFS(Imput[[Importe Neto]:[Importe Neto]],Imput[[C. Imp.]:[C. Imp.]],$D1148,Imput[[PERIODO Imp.]:[PERIODO Imp.]],CL$9)</f>
        <v>0</v>
      </c>
      <c r="CM1148" s="693">
        <f>SUMIFS(Imput[[Importe Neto]:[Importe Neto]],Imput[[C. Imp.]:[C. Imp.]],$D1148,Imput[[PERIODO Imp.]:[PERIODO Imp.]],CM$9)</f>
        <v>0</v>
      </c>
      <c r="CN1148" s="693">
        <f>SUMIFS(Imput[[Importe Neto]:[Importe Neto]],Imput[[C. Imp.]:[C. Imp.]],$D1148,Imput[[PERIODO Imp.]:[PERIODO Imp.]],CN$9)</f>
        <v>0</v>
      </c>
      <c r="CO1148" s="693">
        <f>SUMIFS(Imput[[Importe Neto]:[Importe Neto]],Imput[[C. Imp.]:[C. Imp.]],$D1148,Imput[[PERIODO Imp.]:[PERIODO Imp.]],CO$9)</f>
        <v>0</v>
      </c>
      <c r="CP1148" s="693">
        <f>SUMIFS(Imput[[Importe Neto]:[Importe Neto]],Imput[[C. Imp.]:[C. Imp.]],$D1148,Imput[[PERIODO Imp.]:[PERIODO Imp.]],CP$9)</f>
        <v>0</v>
      </c>
      <c r="CQ1148" s="693">
        <f>SUMIFS(Imput[[Importe Neto]:[Importe Neto]],Imput[[C. Imp.]:[C. Imp.]],$D1148,Imput[[PERIODO Imp.]:[PERIODO Imp.]],CQ$9)</f>
        <v>0</v>
      </c>
      <c r="CR1148" s="693">
        <f>SUMIFS(Imput[[Importe Neto]:[Importe Neto]],Imput[[C. Imp.]:[C. Imp.]],$D1148,Imput[[PERIODO Imp.]:[PERIODO Imp.]],CR$9)</f>
        <v>0</v>
      </c>
      <c r="CS1148" s="693">
        <f>SUMIFS(Imput[[Importe Neto]:[Importe Neto]],Imput[[C. Imp.]:[C. Imp.]],$D1148,Imput[[PERIODO Imp.]:[PERIODO Imp.]],CS$9)</f>
        <v>0</v>
      </c>
      <c r="CT1148" s="693">
        <f>SUMIFS(Imput[[Importe Neto]:[Importe Neto]],Imput[[C. Imp.]:[C. Imp.]],$D1148,Imput[[PERIODO Imp.]:[PERIODO Imp.]],CT$9)</f>
        <v>0</v>
      </c>
      <c r="CU1148" s="693">
        <f>SUMIFS(Imput[[Importe Neto]:[Importe Neto]],Imput[[C. Imp.]:[C. Imp.]],$D1148,Imput[[PERIODO Imp.]:[PERIODO Imp.]],CU$9)</f>
        <v>0</v>
      </c>
      <c r="CV1148" s="693">
        <f>SUMIFS(Imput[[Importe Neto]:[Importe Neto]],Imput[[C. Imp.]:[C. Imp.]],$D1148,Imput[[PERIODO Imp.]:[PERIODO Imp.]],CV$9)</f>
        <v>0</v>
      </c>
      <c r="CW1148" s="693">
        <f>SUMIFS(Imput[[Importe Neto]:[Importe Neto]],Imput[[C. Imp.]:[C. Imp.]],$D1148,Imput[[PERIODO Imp.]:[PERIODO Imp.]],CW$9)</f>
        <v>0</v>
      </c>
      <c r="CX1148" s="693">
        <f>SUMIFS(Imput[[Importe Neto]:[Importe Neto]],Imput[[C. Imp.]:[C. Imp.]],$D1148,Imput[[PERIODO Imp.]:[PERIODO Imp.]],CX$9)</f>
        <v>0</v>
      </c>
      <c r="CY1148" s="693">
        <f>SUMIFS(Imput[[Importe Neto]:[Importe Neto]],Imput[[C. Imp.]:[C. Imp.]],$D1148,Imput[[PERIODO Imp.]:[PERIODO Imp.]],CY$9)</f>
        <v>0</v>
      </c>
      <c r="CZ1148" s="693">
        <f>SUMIFS(Imput[[Importe Neto]:[Importe Neto]],Imput[[C. Imp.]:[C. Imp.]],$D1148,Imput[[PERIODO Imp.]:[PERIODO Imp.]],CZ$9)</f>
        <v>0</v>
      </c>
      <c r="DA1148" s="693">
        <f>SUMIFS(Imput[[Importe Neto]:[Importe Neto]],Imput[[C. Imp.]:[C. Imp.]],$D1148,Imput[[PERIODO Imp.]:[PERIODO Imp.]],DA$9)</f>
        <v>0</v>
      </c>
      <c r="DB1148" s="693">
        <f>SUMIFS(Imput[[Importe Neto]:[Importe Neto]],Imput[[C. Imp.]:[C. Imp.]],$D1148,Imput[[PERIODO Imp.]:[PERIODO Imp.]],DB$9)</f>
        <v>0</v>
      </c>
      <c r="DC1148" s="693">
        <f>SUMIFS(Imput[[Importe Neto]:[Importe Neto]],Imput[[C. Imp.]:[C. Imp.]],$D1148,Imput[[PERIODO Imp.]:[PERIODO Imp.]],DC$9)</f>
        <v>0</v>
      </c>
      <c r="DD1148" s="693">
        <f>SUMIFS(Imput[[Importe Neto]:[Importe Neto]],Imput[[C. Imp.]:[C. Imp.]],$D1148,Imput[[PERIODO Imp.]:[PERIODO Imp.]],DD$9)</f>
        <v>0</v>
      </c>
      <c r="DE1148" s="693">
        <f>SUMIFS(Imput[[Importe Neto]:[Importe Neto]],Imput[[C. Imp.]:[C. Imp.]],$D1148,Imput[[PERIODO Imp.]:[PERIODO Imp.]],DE$9)</f>
        <v>0</v>
      </c>
      <c r="DF1148" s="693">
        <f>SUMIFS(Imput[[Importe Neto]:[Importe Neto]],Imput[[C. Imp.]:[C. Imp.]],$D1148,Imput[[PERIODO Imp.]:[PERIODO Imp.]],DF$9)</f>
        <v>0</v>
      </c>
      <c r="DG1148" s="693">
        <f>SUMIFS(Imput[[Importe Neto]:[Importe Neto]],Imput[[C. Imp.]:[C. Imp.]],$D1148,Imput[[PERIODO Imp.]:[PERIODO Imp.]],DG$9)</f>
        <v>0</v>
      </c>
      <c r="DH1148" s="694">
        <f>SUMIFS(Imput[[Importe Neto]:[Importe Neto]],Imput[[C. Imp.]:[C. Imp.]],$D1148,Imput[[PERIODO Imp.]:[PERIODO Imp.]],DH$9)</f>
        <v>0</v>
      </c>
    </row>
    <row r="1149" spans="1:112" s="649" customFormat="1" hidden="1" outlineLevel="1" x14ac:dyDescent="0.3">
      <c r="A1149" s="652" t="str">
        <f t="shared" si="375"/>
        <v/>
      </c>
      <c r="B1149" s="652"/>
      <c r="C1149" s="685"/>
      <c r="D1149" s="686"/>
      <c r="E1149" s="686"/>
      <c r="F1149" s="720"/>
      <c r="G1149" s="688"/>
      <c r="H1149" s="689"/>
      <c r="I1149" s="851" t="str">
        <f t="shared" si="376"/>
        <v/>
      </c>
      <c r="J1149" s="850" t="str">
        <f t="shared" si="377"/>
        <v/>
      </c>
      <c r="K1149" s="667"/>
      <c r="L1149" s="858"/>
      <c r="M1149" s="859"/>
      <c r="N1149" s="859"/>
      <c r="O1149" s="859"/>
      <c r="P1149" s="859"/>
      <c r="Q1149" s="859"/>
      <c r="R1149" s="859"/>
      <c r="S1149" s="859"/>
      <c r="T1149" s="859"/>
      <c r="U1149" s="859"/>
      <c r="V1149" s="859"/>
      <c r="W1149" s="859"/>
      <c r="X1149" s="859"/>
      <c r="Y1149" s="859"/>
      <c r="Z1149" s="860"/>
      <c r="AA1149" s="860"/>
      <c r="AB1149" s="860"/>
      <c r="AC1149" s="860"/>
      <c r="AD1149" s="860"/>
      <c r="AE1149" s="860"/>
      <c r="AF1149" s="860"/>
      <c r="AG1149" s="860"/>
      <c r="AH1149" s="860"/>
      <c r="AI1149" s="860"/>
      <c r="AJ1149" s="860"/>
      <c r="AK1149" s="860"/>
      <c r="AL1149" s="860"/>
      <c r="AM1149" s="860"/>
      <c r="AN1149" s="860"/>
      <c r="AO1149" s="860"/>
      <c r="AP1149" s="860"/>
      <c r="AQ1149" s="860"/>
      <c r="AR1149" s="860"/>
      <c r="AS1149" s="860"/>
      <c r="AT1149" s="860"/>
      <c r="AU1149" s="860"/>
      <c r="AV1149" s="860"/>
      <c r="AW1149" s="860"/>
      <c r="AX1149" s="860"/>
      <c r="AY1149" s="860"/>
      <c r="AZ1149" s="860"/>
      <c r="BA1149" s="860"/>
      <c r="BB1149" s="860"/>
      <c r="BC1149" s="860"/>
      <c r="BD1149" s="860"/>
      <c r="BE1149" s="860"/>
      <c r="BF1149" s="860"/>
      <c r="BG1149" s="860"/>
      <c r="BH1149" s="668"/>
      <c r="BI1149" s="667"/>
      <c r="BJ1149" s="690">
        <f t="shared" si="378"/>
        <v>0</v>
      </c>
      <c r="BK1149" s="691">
        <f t="shared" si="379"/>
        <v>0</v>
      </c>
      <c r="BL1149" s="654"/>
      <c r="BM1149" s="692">
        <f>SUMIFS(Imput[[Importe Neto]:[Importe Neto]],Imput[[C. Imp.]:[C. Imp.]],$D1149,Imput[[PERIODO Imp.]:[PERIODO Imp.]],BM$9)</f>
        <v>0</v>
      </c>
      <c r="BN1149" s="693">
        <f>SUMIFS(Imput[[Importe Neto]:[Importe Neto]],Imput[[C. Imp.]:[C. Imp.]],$D1149,Imput[[PERIODO Imp.]:[PERIODO Imp.]],BN$9)</f>
        <v>0</v>
      </c>
      <c r="BO1149" s="693">
        <f>SUMIFS(Imput[[Importe Neto]:[Importe Neto]],Imput[[C. Imp.]:[C. Imp.]],$D1149,Imput[[PERIODO Imp.]:[PERIODO Imp.]],BO$9)</f>
        <v>0</v>
      </c>
      <c r="BP1149" s="693">
        <f>SUMIFS(Imput[[Importe Neto]:[Importe Neto]],Imput[[C. Imp.]:[C. Imp.]],$D1149,Imput[[PERIODO Imp.]:[PERIODO Imp.]],BP$9)</f>
        <v>0</v>
      </c>
      <c r="BQ1149" s="693">
        <f>SUMIFS(Imput[[Importe Neto]:[Importe Neto]],Imput[[C. Imp.]:[C. Imp.]],$D1149,Imput[[PERIODO Imp.]:[PERIODO Imp.]],BQ$9)</f>
        <v>0</v>
      </c>
      <c r="BR1149" s="693">
        <f>SUMIFS(Imput[[Importe Neto]:[Importe Neto]],Imput[[C. Imp.]:[C. Imp.]],$D1149,Imput[[PERIODO Imp.]:[PERIODO Imp.]],BR$9)</f>
        <v>0</v>
      </c>
      <c r="BS1149" s="693">
        <f>SUMIFS(Imput[[Importe Neto]:[Importe Neto]],Imput[[C. Imp.]:[C. Imp.]],$D1149,Imput[[PERIODO Imp.]:[PERIODO Imp.]],BS$9)</f>
        <v>0</v>
      </c>
      <c r="BT1149" s="693">
        <f>SUMIFS(Imput[[Importe Neto]:[Importe Neto]],Imput[[C. Imp.]:[C. Imp.]],$D1149,Imput[[PERIODO Imp.]:[PERIODO Imp.]],BT$9)</f>
        <v>0</v>
      </c>
      <c r="BU1149" s="693">
        <f>SUMIFS(Imput[[Importe Neto]:[Importe Neto]],Imput[[C. Imp.]:[C. Imp.]],$D1149,Imput[[PERIODO Imp.]:[PERIODO Imp.]],BU$9)</f>
        <v>0</v>
      </c>
      <c r="BV1149" s="693">
        <f>SUMIFS(Imput[[Importe Neto]:[Importe Neto]],Imput[[C. Imp.]:[C. Imp.]],$D1149,Imput[[PERIODO Imp.]:[PERIODO Imp.]],BV$9)</f>
        <v>0</v>
      </c>
      <c r="BW1149" s="693">
        <f>SUMIFS(Imput[[Importe Neto]:[Importe Neto]],Imput[[C. Imp.]:[C. Imp.]],$D1149,Imput[[PERIODO Imp.]:[PERIODO Imp.]],BW$9)</f>
        <v>0</v>
      </c>
      <c r="BX1149" s="693">
        <f>SUMIFS(Imput[[Importe Neto]:[Importe Neto]],Imput[[C. Imp.]:[C. Imp.]],$D1149,Imput[[PERIODO Imp.]:[PERIODO Imp.]],BX$9)</f>
        <v>0</v>
      </c>
      <c r="BY1149" s="693">
        <f>SUMIFS(Imput[[Importe Neto]:[Importe Neto]],Imput[[C. Imp.]:[C. Imp.]],$D1149,Imput[[PERIODO Imp.]:[PERIODO Imp.]],BY$9)</f>
        <v>0</v>
      </c>
      <c r="BZ1149" s="693">
        <f>SUMIFS(Imput[[Importe Neto]:[Importe Neto]],Imput[[C. Imp.]:[C. Imp.]],$D1149,Imput[[PERIODO Imp.]:[PERIODO Imp.]],BZ$9)</f>
        <v>0</v>
      </c>
      <c r="CA1149" s="693">
        <f>SUMIFS(Imput[[Importe Neto]:[Importe Neto]],Imput[[C. Imp.]:[C. Imp.]],$D1149,Imput[[PERIODO Imp.]:[PERIODO Imp.]],CA$9)</f>
        <v>0</v>
      </c>
      <c r="CB1149" s="693">
        <f>SUMIFS(Imput[[Importe Neto]:[Importe Neto]],Imput[[C. Imp.]:[C. Imp.]],$D1149,Imput[[PERIODO Imp.]:[PERIODO Imp.]],CB$9)</f>
        <v>0</v>
      </c>
      <c r="CC1149" s="693">
        <f>SUMIFS(Imput[[Importe Neto]:[Importe Neto]],Imput[[C. Imp.]:[C. Imp.]],$D1149,Imput[[PERIODO Imp.]:[PERIODO Imp.]],CC$9)</f>
        <v>0</v>
      </c>
      <c r="CD1149" s="693">
        <f>SUMIFS(Imput[[Importe Neto]:[Importe Neto]],Imput[[C. Imp.]:[C. Imp.]],$D1149,Imput[[PERIODO Imp.]:[PERIODO Imp.]],CD$9)</f>
        <v>0</v>
      </c>
      <c r="CE1149" s="693">
        <f>SUMIFS(Imput[[Importe Neto]:[Importe Neto]],Imput[[C. Imp.]:[C. Imp.]],$D1149,Imput[[PERIODO Imp.]:[PERIODO Imp.]],CE$9)</f>
        <v>0</v>
      </c>
      <c r="CF1149" s="693">
        <f>SUMIFS(Imput[[Importe Neto]:[Importe Neto]],Imput[[C. Imp.]:[C. Imp.]],$D1149,Imput[[PERIODO Imp.]:[PERIODO Imp.]],CF$9)</f>
        <v>0</v>
      </c>
      <c r="CG1149" s="693">
        <f>SUMIFS(Imput[[Importe Neto]:[Importe Neto]],Imput[[C. Imp.]:[C. Imp.]],$D1149,Imput[[PERIODO Imp.]:[PERIODO Imp.]],CG$9)</f>
        <v>0</v>
      </c>
      <c r="CH1149" s="693">
        <f>SUMIFS(Imput[[Importe Neto]:[Importe Neto]],Imput[[C. Imp.]:[C. Imp.]],$D1149,Imput[[PERIODO Imp.]:[PERIODO Imp.]],CH$9)</f>
        <v>0</v>
      </c>
      <c r="CI1149" s="693">
        <f>SUMIFS(Imput[[Importe Neto]:[Importe Neto]],Imput[[C. Imp.]:[C. Imp.]],$D1149,Imput[[PERIODO Imp.]:[PERIODO Imp.]],CI$9)</f>
        <v>0</v>
      </c>
      <c r="CJ1149" s="693">
        <f>SUMIFS(Imput[[Importe Neto]:[Importe Neto]],Imput[[C. Imp.]:[C. Imp.]],$D1149,Imput[[PERIODO Imp.]:[PERIODO Imp.]],CJ$9)</f>
        <v>0</v>
      </c>
      <c r="CK1149" s="693">
        <f>SUMIFS(Imput[[Importe Neto]:[Importe Neto]],Imput[[C. Imp.]:[C. Imp.]],$D1149,Imput[[PERIODO Imp.]:[PERIODO Imp.]],CK$9)</f>
        <v>0</v>
      </c>
      <c r="CL1149" s="693">
        <f>SUMIFS(Imput[[Importe Neto]:[Importe Neto]],Imput[[C. Imp.]:[C. Imp.]],$D1149,Imput[[PERIODO Imp.]:[PERIODO Imp.]],CL$9)</f>
        <v>0</v>
      </c>
      <c r="CM1149" s="693">
        <f>SUMIFS(Imput[[Importe Neto]:[Importe Neto]],Imput[[C. Imp.]:[C. Imp.]],$D1149,Imput[[PERIODO Imp.]:[PERIODO Imp.]],CM$9)</f>
        <v>0</v>
      </c>
      <c r="CN1149" s="693">
        <f>SUMIFS(Imput[[Importe Neto]:[Importe Neto]],Imput[[C. Imp.]:[C. Imp.]],$D1149,Imput[[PERIODO Imp.]:[PERIODO Imp.]],CN$9)</f>
        <v>0</v>
      </c>
      <c r="CO1149" s="693">
        <f>SUMIFS(Imput[[Importe Neto]:[Importe Neto]],Imput[[C. Imp.]:[C. Imp.]],$D1149,Imput[[PERIODO Imp.]:[PERIODO Imp.]],CO$9)</f>
        <v>0</v>
      </c>
      <c r="CP1149" s="693">
        <f>SUMIFS(Imput[[Importe Neto]:[Importe Neto]],Imput[[C. Imp.]:[C. Imp.]],$D1149,Imput[[PERIODO Imp.]:[PERIODO Imp.]],CP$9)</f>
        <v>0</v>
      </c>
      <c r="CQ1149" s="693">
        <f>SUMIFS(Imput[[Importe Neto]:[Importe Neto]],Imput[[C. Imp.]:[C. Imp.]],$D1149,Imput[[PERIODO Imp.]:[PERIODO Imp.]],CQ$9)</f>
        <v>0</v>
      </c>
      <c r="CR1149" s="693">
        <f>SUMIFS(Imput[[Importe Neto]:[Importe Neto]],Imput[[C. Imp.]:[C. Imp.]],$D1149,Imput[[PERIODO Imp.]:[PERIODO Imp.]],CR$9)</f>
        <v>0</v>
      </c>
      <c r="CS1149" s="693">
        <f>SUMIFS(Imput[[Importe Neto]:[Importe Neto]],Imput[[C. Imp.]:[C. Imp.]],$D1149,Imput[[PERIODO Imp.]:[PERIODO Imp.]],CS$9)</f>
        <v>0</v>
      </c>
      <c r="CT1149" s="693">
        <f>SUMIFS(Imput[[Importe Neto]:[Importe Neto]],Imput[[C. Imp.]:[C. Imp.]],$D1149,Imput[[PERIODO Imp.]:[PERIODO Imp.]],CT$9)</f>
        <v>0</v>
      </c>
      <c r="CU1149" s="693">
        <f>SUMIFS(Imput[[Importe Neto]:[Importe Neto]],Imput[[C. Imp.]:[C. Imp.]],$D1149,Imput[[PERIODO Imp.]:[PERIODO Imp.]],CU$9)</f>
        <v>0</v>
      </c>
      <c r="CV1149" s="693">
        <f>SUMIFS(Imput[[Importe Neto]:[Importe Neto]],Imput[[C. Imp.]:[C. Imp.]],$D1149,Imput[[PERIODO Imp.]:[PERIODO Imp.]],CV$9)</f>
        <v>0</v>
      </c>
      <c r="CW1149" s="693">
        <f>SUMIFS(Imput[[Importe Neto]:[Importe Neto]],Imput[[C. Imp.]:[C. Imp.]],$D1149,Imput[[PERIODO Imp.]:[PERIODO Imp.]],CW$9)</f>
        <v>0</v>
      </c>
      <c r="CX1149" s="693">
        <f>SUMIFS(Imput[[Importe Neto]:[Importe Neto]],Imput[[C. Imp.]:[C. Imp.]],$D1149,Imput[[PERIODO Imp.]:[PERIODO Imp.]],CX$9)</f>
        <v>0</v>
      </c>
      <c r="CY1149" s="693">
        <f>SUMIFS(Imput[[Importe Neto]:[Importe Neto]],Imput[[C. Imp.]:[C. Imp.]],$D1149,Imput[[PERIODO Imp.]:[PERIODO Imp.]],CY$9)</f>
        <v>0</v>
      </c>
      <c r="CZ1149" s="693">
        <f>SUMIFS(Imput[[Importe Neto]:[Importe Neto]],Imput[[C. Imp.]:[C. Imp.]],$D1149,Imput[[PERIODO Imp.]:[PERIODO Imp.]],CZ$9)</f>
        <v>0</v>
      </c>
      <c r="DA1149" s="693">
        <f>SUMIFS(Imput[[Importe Neto]:[Importe Neto]],Imput[[C. Imp.]:[C. Imp.]],$D1149,Imput[[PERIODO Imp.]:[PERIODO Imp.]],DA$9)</f>
        <v>0</v>
      </c>
      <c r="DB1149" s="693">
        <f>SUMIFS(Imput[[Importe Neto]:[Importe Neto]],Imput[[C. Imp.]:[C. Imp.]],$D1149,Imput[[PERIODO Imp.]:[PERIODO Imp.]],DB$9)</f>
        <v>0</v>
      </c>
      <c r="DC1149" s="693">
        <f>SUMIFS(Imput[[Importe Neto]:[Importe Neto]],Imput[[C. Imp.]:[C. Imp.]],$D1149,Imput[[PERIODO Imp.]:[PERIODO Imp.]],DC$9)</f>
        <v>0</v>
      </c>
      <c r="DD1149" s="693">
        <f>SUMIFS(Imput[[Importe Neto]:[Importe Neto]],Imput[[C. Imp.]:[C. Imp.]],$D1149,Imput[[PERIODO Imp.]:[PERIODO Imp.]],DD$9)</f>
        <v>0</v>
      </c>
      <c r="DE1149" s="693">
        <f>SUMIFS(Imput[[Importe Neto]:[Importe Neto]],Imput[[C. Imp.]:[C. Imp.]],$D1149,Imput[[PERIODO Imp.]:[PERIODO Imp.]],DE$9)</f>
        <v>0</v>
      </c>
      <c r="DF1149" s="693">
        <f>SUMIFS(Imput[[Importe Neto]:[Importe Neto]],Imput[[C. Imp.]:[C. Imp.]],$D1149,Imput[[PERIODO Imp.]:[PERIODO Imp.]],DF$9)</f>
        <v>0</v>
      </c>
      <c r="DG1149" s="693">
        <f>SUMIFS(Imput[[Importe Neto]:[Importe Neto]],Imput[[C. Imp.]:[C. Imp.]],$D1149,Imput[[PERIODO Imp.]:[PERIODO Imp.]],DG$9)</f>
        <v>0</v>
      </c>
      <c r="DH1149" s="694">
        <f>SUMIFS(Imput[[Importe Neto]:[Importe Neto]],Imput[[C. Imp.]:[C. Imp.]],$D1149,Imput[[PERIODO Imp.]:[PERIODO Imp.]],DH$9)</f>
        <v>0</v>
      </c>
    </row>
    <row r="1150" spans="1:112" s="649" customFormat="1" hidden="1" outlineLevel="1" x14ac:dyDescent="0.3">
      <c r="A1150" s="652" t="str">
        <f t="shared" si="375"/>
        <v/>
      </c>
      <c r="B1150" s="652"/>
      <c r="C1150" s="685"/>
      <c r="D1150" s="686"/>
      <c r="E1150" s="686"/>
      <c r="F1150" s="720"/>
      <c r="G1150" s="688"/>
      <c r="H1150" s="689"/>
      <c r="I1150" s="851" t="str">
        <f t="shared" si="376"/>
        <v/>
      </c>
      <c r="J1150" s="850" t="str">
        <f t="shared" si="377"/>
        <v/>
      </c>
      <c r="K1150" s="667"/>
      <c r="L1150" s="858"/>
      <c r="M1150" s="859"/>
      <c r="N1150" s="859"/>
      <c r="O1150" s="859"/>
      <c r="P1150" s="859"/>
      <c r="Q1150" s="859"/>
      <c r="R1150" s="859"/>
      <c r="S1150" s="859"/>
      <c r="T1150" s="859"/>
      <c r="U1150" s="859"/>
      <c r="V1150" s="859"/>
      <c r="W1150" s="859"/>
      <c r="X1150" s="859"/>
      <c r="Y1150" s="859"/>
      <c r="Z1150" s="860"/>
      <c r="AA1150" s="860"/>
      <c r="AB1150" s="860"/>
      <c r="AC1150" s="860"/>
      <c r="AD1150" s="860"/>
      <c r="AE1150" s="860"/>
      <c r="AF1150" s="860"/>
      <c r="AG1150" s="860"/>
      <c r="AH1150" s="860"/>
      <c r="AI1150" s="860"/>
      <c r="AJ1150" s="860"/>
      <c r="AK1150" s="860"/>
      <c r="AL1150" s="860"/>
      <c r="AM1150" s="860"/>
      <c r="AN1150" s="860"/>
      <c r="AO1150" s="860"/>
      <c r="AP1150" s="860"/>
      <c r="AQ1150" s="860"/>
      <c r="AR1150" s="860"/>
      <c r="AS1150" s="860"/>
      <c r="AT1150" s="860"/>
      <c r="AU1150" s="860"/>
      <c r="AV1150" s="860"/>
      <c r="AW1150" s="860"/>
      <c r="AX1150" s="860"/>
      <c r="AY1150" s="860"/>
      <c r="AZ1150" s="860"/>
      <c r="BA1150" s="860"/>
      <c r="BB1150" s="860"/>
      <c r="BC1150" s="860"/>
      <c r="BD1150" s="860"/>
      <c r="BE1150" s="860"/>
      <c r="BF1150" s="860"/>
      <c r="BG1150" s="860"/>
      <c r="BH1150" s="668"/>
      <c r="BI1150" s="667"/>
      <c r="BJ1150" s="690">
        <f t="shared" si="378"/>
        <v>0</v>
      </c>
      <c r="BK1150" s="691">
        <f t="shared" si="379"/>
        <v>0</v>
      </c>
      <c r="BL1150" s="654"/>
      <c r="BM1150" s="692">
        <f>SUMIFS(Imput[[Importe Neto]:[Importe Neto]],Imput[[C. Imp.]:[C. Imp.]],$D1150,Imput[[PERIODO Imp.]:[PERIODO Imp.]],BM$9)</f>
        <v>0</v>
      </c>
      <c r="BN1150" s="693">
        <f>SUMIFS(Imput[[Importe Neto]:[Importe Neto]],Imput[[C. Imp.]:[C. Imp.]],$D1150,Imput[[PERIODO Imp.]:[PERIODO Imp.]],BN$9)</f>
        <v>0</v>
      </c>
      <c r="BO1150" s="693">
        <f>SUMIFS(Imput[[Importe Neto]:[Importe Neto]],Imput[[C. Imp.]:[C. Imp.]],$D1150,Imput[[PERIODO Imp.]:[PERIODO Imp.]],BO$9)</f>
        <v>0</v>
      </c>
      <c r="BP1150" s="693">
        <f>SUMIFS(Imput[[Importe Neto]:[Importe Neto]],Imput[[C. Imp.]:[C. Imp.]],$D1150,Imput[[PERIODO Imp.]:[PERIODO Imp.]],BP$9)</f>
        <v>0</v>
      </c>
      <c r="BQ1150" s="693">
        <f>SUMIFS(Imput[[Importe Neto]:[Importe Neto]],Imput[[C. Imp.]:[C. Imp.]],$D1150,Imput[[PERIODO Imp.]:[PERIODO Imp.]],BQ$9)</f>
        <v>0</v>
      </c>
      <c r="BR1150" s="693">
        <f>SUMIFS(Imput[[Importe Neto]:[Importe Neto]],Imput[[C. Imp.]:[C. Imp.]],$D1150,Imput[[PERIODO Imp.]:[PERIODO Imp.]],BR$9)</f>
        <v>0</v>
      </c>
      <c r="BS1150" s="693">
        <f>SUMIFS(Imput[[Importe Neto]:[Importe Neto]],Imput[[C. Imp.]:[C. Imp.]],$D1150,Imput[[PERIODO Imp.]:[PERIODO Imp.]],BS$9)</f>
        <v>0</v>
      </c>
      <c r="BT1150" s="693">
        <f>SUMIFS(Imput[[Importe Neto]:[Importe Neto]],Imput[[C. Imp.]:[C. Imp.]],$D1150,Imput[[PERIODO Imp.]:[PERIODO Imp.]],BT$9)</f>
        <v>0</v>
      </c>
      <c r="BU1150" s="693">
        <f>SUMIFS(Imput[[Importe Neto]:[Importe Neto]],Imput[[C. Imp.]:[C. Imp.]],$D1150,Imput[[PERIODO Imp.]:[PERIODO Imp.]],BU$9)</f>
        <v>0</v>
      </c>
      <c r="BV1150" s="693">
        <f>SUMIFS(Imput[[Importe Neto]:[Importe Neto]],Imput[[C. Imp.]:[C. Imp.]],$D1150,Imput[[PERIODO Imp.]:[PERIODO Imp.]],BV$9)</f>
        <v>0</v>
      </c>
      <c r="BW1150" s="693">
        <f>SUMIFS(Imput[[Importe Neto]:[Importe Neto]],Imput[[C. Imp.]:[C. Imp.]],$D1150,Imput[[PERIODO Imp.]:[PERIODO Imp.]],BW$9)</f>
        <v>0</v>
      </c>
      <c r="BX1150" s="693">
        <f>SUMIFS(Imput[[Importe Neto]:[Importe Neto]],Imput[[C. Imp.]:[C. Imp.]],$D1150,Imput[[PERIODO Imp.]:[PERIODO Imp.]],BX$9)</f>
        <v>0</v>
      </c>
      <c r="BY1150" s="693">
        <f>SUMIFS(Imput[[Importe Neto]:[Importe Neto]],Imput[[C. Imp.]:[C. Imp.]],$D1150,Imput[[PERIODO Imp.]:[PERIODO Imp.]],BY$9)</f>
        <v>0</v>
      </c>
      <c r="BZ1150" s="693">
        <f>SUMIFS(Imput[[Importe Neto]:[Importe Neto]],Imput[[C. Imp.]:[C. Imp.]],$D1150,Imput[[PERIODO Imp.]:[PERIODO Imp.]],BZ$9)</f>
        <v>0</v>
      </c>
      <c r="CA1150" s="693">
        <f>SUMIFS(Imput[[Importe Neto]:[Importe Neto]],Imput[[C. Imp.]:[C. Imp.]],$D1150,Imput[[PERIODO Imp.]:[PERIODO Imp.]],CA$9)</f>
        <v>0</v>
      </c>
      <c r="CB1150" s="693">
        <f>SUMIFS(Imput[[Importe Neto]:[Importe Neto]],Imput[[C. Imp.]:[C. Imp.]],$D1150,Imput[[PERIODO Imp.]:[PERIODO Imp.]],CB$9)</f>
        <v>0</v>
      </c>
      <c r="CC1150" s="693">
        <f>SUMIFS(Imput[[Importe Neto]:[Importe Neto]],Imput[[C. Imp.]:[C. Imp.]],$D1150,Imput[[PERIODO Imp.]:[PERIODO Imp.]],CC$9)</f>
        <v>0</v>
      </c>
      <c r="CD1150" s="693">
        <f>SUMIFS(Imput[[Importe Neto]:[Importe Neto]],Imput[[C. Imp.]:[C. Imp.]],$D1150,Imput[[PERIODO Imp.]:[PERIODO Imp.]],CD$9)</f>
        <v>0</v>
      </c>
      <c r="CE1150" s="693">
        <f>SUMIFS(Imput[[Importe Neto]:[Importe Neto]],Imput[[C. Imp.]:[C. Imp.]],$D1150,Imput[[PERIODO Imp.]:[PERIODO Imp.]],CE$9)</f>
        <v>0</v>
      </c>
      <c r="CF1150" s="693">
        <f>SUMIFS(Imput[[Importe Neto]:[Importe Neto]],Imput[[C. Imp.]:[C. Imp.]],$D1150,Imput[[PERIODO Imp.]:[PERIODO Imp.]],CF$9)</f>
        <v>0</v>
      </c>
      <c r="CG1150" s="693">
        <f>SUMIFS(Imput[[Importe Neto]:[Importe Neto]],Imput[[C. Imp.]:[C. Imp.]],$D1150,Imput[[PERIODO Imp.]:[PERIODO Imp.]],CG$9)</f>
        <v>0</v>
      </c>
      <c r="CH1150" s="693">
        <f>SUMIFS(Imput[[Importe Neto]:[Importe Neto]],Imput[[C. Imp.]:[C. Imp.]],$D1150,Imput[[PERIODO Imp.]:[PERIODO Imp.]],CH$9)</f>
        <v>0</v>
      </c>
      <c r="CI1150" s="693">
        <f>SUMIFS(Imput[[Importe Neto]:[Importe Neto]],Imput[[C. Imp.]:[C. Imp.]],$D1150,Imput[[PERIODO Imp.]:[PERIODO Imp.]],CI$9)</f>
        <v>0</v>
      </c>
      <c r="CJ1150" s="693">
        <f>SUMIFS(Imput[[Importe Neto]:[Importe Neto]],Imput[[C. Imp.]:[C. Imp.]],$D1150,Imput[[PERIODO Imp.]:[PERIODO Imp.]],CJ$9)</f>
        <v>0</v>
      </c>
      <c r="CK1150" s="693">
        <f>SUMIFS(Imput[[Importe Neto]:[Importe Neto]],Imput[[C. Imp.]:[C. Imp.]],$D1150,Imput[[PERIODO Imp.]:[PERIODO Imp.]],CK$9)</f>
        <v>0</v>
      </c>
      <c r="CL1150" s="693">
        <f>SUMIFS(Imput[[Importe Neto]:[Importe Neto]],Imput[[C. Imp.]:[C. Imp.]],$D1150,Imput[[PERIODO Imp.]:[PERIODO Imp.]],CL$9)</f>
        <v>0</v>
      </c>
      <c r="CM1150" s="693">
        <f>SUMIFS(Imput[[Importe Neto]:[Importe Neto]],Imput[[C. Imp.]:[C. Imp.]],$D1150,Imput[[PERIODO Imp.]:[PERIODO Imp.]],CM$9)</f>
        <v>0</v>
      </c>
      <c r="CN1150" s="693">
        <f>SUMIFS(Imput[[Importe Neto]:[Importe Neto]],Imput[[C. Imp.]:[C. Imp.]],$D1150,Imput[[PERIODO Imp.]:[PERIODO Imp.]],CN$9)</f>
        <v>0</v>
      </c>
      <c r="CO1150" s="693">
        <f>SUMIFS(Imput[[Importe Neto]:[Importe Neto]],Imput[[C. Imp.]:[C. Imp.]],$D1150,Imput[[PERIODO Imp.]:[PERIODO Imp.]],CO$9)</f>
        <v>0</v>
      </c>
      <c r="CP1150" s="693">
        <f>SUMIFS(Imput[[Importe Neto]:[Importe Neto]],Imput[[C. Imp.]:[C. Imp.]],$D1150,Imput[[PERIODO Imp.]:[PERIODO Imp.]],CP$9)</f>
        <v>0</v>
      </c>
      <c r="CQ1150" s="693">
        <f>SUMIFS(Imput[[Importe Neto]:[Importe Neto]],Imput[[C. Imp.]:[C. Imp.]],$D1150,Imput[[PERIODO Imp.]:[PERIODO Imp.]],CQ$9)</f>
        <v>0</v>
      </c>
      <c r="CR1150" s="693">
        <f>SUMIFS(Imput[[Importe Neto]:[Importe Neto]],Imput[[C. Imp.]:[C. Imp.]],$D1150,Imput[[PERIODO Imp.]:[PERIODO Imp.]],CR$9)</f>
        <v>0</v>
      </c>
      <c r="CS1150" s="693">
        <f>SUMIFS(Imput[[Importe Neto]:[Importe Neto]],Imput[[C. Imp.]:[C. Imp.]],$D1150,Imput[[PERIODO Imp.]:[PERIODO Imp.]],CS$9)</f>
        <v>0</v>
      </c>
      <c r="CT1150" s="693">
        <f>SUMIFS(Imput[[Importe Neto]:[Importe Neto]],Imput[[C. Imp.]:[C. Imp.]],$D1150,Imput[[PERIODO Imp.]:[PERIODO Imp.]],CT$9)</f>
        <v>0</v>
      </c>
      <c r="CU1150" s="693">
        <f>SUMIFS(Imput[[Importe Neto]:[Importe Neto]],Imput[[C. Imp.]:[C. Imp.]],$D1150,Imput[[PERIODO Imp.]:[PERIODO Imp.]],CU$9)</f>
        <v>0</v>
      </c>
      <c r="CV1150" s="693">
        <f>SUMIFS(Imput[[Importe Neto]:[Importe Neto]],Imput[[C. Imp.]:[C. Imp.]],$D1150,Imput[[PERIODO Imp.]:[PERIODO Imp.]],CV$9)</f>
        <v>0</v>
      </c>
      <c r="CW1150" s="693">
        <f>SUMIFS(Imput[[Importe Neto]:[Importe Neto]],Imput[[C. Imp.]:[C. Imp.]],$D1150,Imput[[PERIODO Imp.]:[PERIODO Imp.]],CW$9)</f>
        <v>0</v>
      </c>
      <c r="CX1150" s="693">
        <f>SUMIFS(Imput[[Importe Neto]:[Importe Neto]],Imput[[C. Imp.]:[C. Imp.]],$D1150,Imput[[PERIODO Imp.]:[PERIODO Imp.]],CX$9)</f>
        <v>0</v>
      </c>
      <c r="CY1150" s="693">
        <f>SUMIFS(Imput[[Importe Neto]:[Importe Neto]],Imput[[C. Imp.]:[C. Imp.]],$D1150,Imput[[PERIODO Imp.]:[PERIODO Imp.]],CY$9)</f>
        <v>0</v>
      </c>
      <c r="CZ1150" s="693">
        <f>SUMIFS(Imput[[Importe Neto]:[Importe Neto]],Imput[[C. Imp.]:[C. Imp.]],$D1150,Imput[[PERIODO Imp.]:[PERIODO Imp.]],CZ$9)</f>
        <v>0</v>
      </c>
      <c r="DA1150" s="693">
        <f>SUMIFS(Imput[[Importe Neto]:[Importe Neto]],Imput[[C. Imp.]:[C. Imp.]],$D1150,Imput[[PERIODO Imp.]:[PERIODO Imp.]],DA$9)</f>
        <v>0</v>
      </c>
      <c r="DB1150" s="693">
        <f>SUMIFS(Imput[[Importe Neto]:[Importe Neto]],Imput[[C. Imp.]:[C. Imp.]],$D1150,Imput[[PERIODO Imp.]:[PERIODO Imp.]],DB$9)</f>
        <v>0</v>
      </c>
      <c r="DC1150" s="693">
        <f>SUMIFS(Imput[[Importe Neto]:[Importe Neto]],Imput[[C. Imp.]:[C. Imp.]],$D1150,Imput[[PERIODO Imp.]:[PERIODO Imp.]],DC$9)</f>
        <v>0</v>
      </c>
      <c r="DD1150" s="693">
        <f>SUMIFS(Imput[[Importe Neto]:[Importe Neto]],Imput[[C. Imp.]:[C. Imp.]],$D1150,Imput[[PERIODO Imp.]:[PERIODO Imp.]],DD$9)</f>
        <v>0</v>
      </c>
      <c r="DE1150" s="693">
        <f>SUMIFS(Imput[[Importe Neto]:[Importe Neto]],Imput[[C. Imp.]:[C. Imp.]],$D1150,Imput[[PERIODO Imp.]:[PERIODO Imp.]],DE$9)</f>
        <v>0</v>
      </c>
      <c r="DF1150" s="693">
        <f>SUMIFS(Imput[[Importe Neto]:[Importe Neto]],Imput[[C. Imp.]:[C. Imp.]],$D1150,Imput[[PERIODO Imp.]:[PERIODO Imp.]],DF$9)</f>
        <v>0</v>
      </c>
      <c r="DG1150" s="693">
        <f>SUMIFS(Imput[[Importe Neto]:[Importe Neto]],Imput[[C. Imp.]:[C. Imp.]],$D1150,Imput[[PERIODO Imp.]:[PERIODO Imp.]],DG$9)</f>
        <v>0</v>
      </c>
      <c r="DH1150" s="694">
        <f>SUMIFS(Imput[[Importe Neto]:[Importe Neto]],Imput[[C. Imp.]:[C. Imp.]],$D1150,Imput[[PERIODO Imp.]:[PERIODO Imp.]],DH$9)</f>
        <v>0</v>
      </c>
    </row>
    <row r="1151" spans="1:112" s="649" customFormat="1" hidden="1" outlineLevel="1" x14ac:dyDescent="0.3">
      <c r="A1151" s="652" t="str">
        <f t="shared" si="375"/>
        <v/>
      </c>
      <c r="B1151" s="652"/>
      <c r="C1151" s="685"/>
      <c r="D1151" s="686"/>
      <c r="E1151" s="686"/>
      <c r="F1151" s="720"/>
      <c r="G1151" s="688"/>
      <c r="H1151" s="689"/>
      <c r="I1151" s="851" t="str">
        <f t="shared" si="376"/>
        <v/>
      </c>
      <c r="J1151" s="850" t="str">
        <f t="shared" si="377"/>
        <v/>
      </c>
      <c r="K1151" s="667"/>
      <c r="L1151" s="858"/>
      <c r="M1151" s="859"/>
      <c r="N1151" s="859"/>
      <c r="O1151" s="859"/>
      <c r="P1151" s="859"/>
      <c r="Q1151" s="859"/>
      <c r="R1151" s="859"/>
      <c r="S1151" s="859"/>
      <c r="T1151" s="859"/>
      <c r="U1151" s="859"/>
      <c r="V1151" s="859"/>
      <c r="W1151" s="859"/>
      <c r="X1151" s="859"/>
      <c r="Y1151" s="859"/>
      <c r="Z1151" s="860"/>
      <c r="AA1151" s="860"/>
      <c r="AB1151" s="860"/>
      <c r="AC1151" s="860"/>
      <c r="AD1151" s="860"/>
      <c r="AE1151" s="860"/>
      <c r="AF1151" s="860"/>
      <c r="AG1151" s="860"/>
      <c r="AH1151" s="860"/>
      <c r="AI1151" s="860"/>
      <c r="AJ1151" s="860"/>
      <c r="AK1151" s="860"/>
      <c r="AL1151" s="860"/>
      <c r="AM1151" s="860"/>
      <c r="AN1151" s="860"/>
      <c r="AO1151" s="860"/>
      <c r="AP1151" s="860"/>
      <c r="AQ1151" s="860"/>
      <c r="AR1151" s="860"/>
      <c r="AS1151" s="860"/>
      <c r="AT1151" s="860"/>
      <c r="AU1151" s="860"/>
      <c r="AV1151" s="860"/>
      <c r="AW1151" s="860"/>
      <c r="AX1151" s="860"/>
      <c r="AY1151" s="860"/>
      <c r="AZ1151" s="860"/>
      <c r="BA1151" s="860"/>
      <c r="BB1151" s="860"/>
      <c r="BC1151" s="860"/>
      <c r="BD1151" s="860"/>
      <c r="BE1151" s="860"/>
      <c r="BF1151" s="860"/>
      <c r="BG1151" s="860"/>
      <c r="BH1151" s="668"/>
      <c r="BI1151" s="667"/>
      <c r="BJ1151" s="690">
        <f t="shared" si="378"/>
        <v>0</v>
      </c>
      <c r="BK1151" s="691">
        <f t="shared" si="379"/>
        <v>0</v>
      </c>
      <c r="BL1151" s="654"/>
      <c r="BM1151" s="692">
        <f>SUMIFS(Imput[[Importe Neto]:[Importe Neto]],Imput[[C. Imp.]:[C. Imp.]],$D1151,Imput[[PERIODO Imp.]:[PERIODO Imp.]],BM$9)</f>
        <v>0</v>
      </c>
      <c r="BN1151" s="693">
        <f>SUMIFS(Imput[[Importe Neto]:[Importe Neto]],Imput[[C. Imp.]:[C. Imp.]],$D1151,Imput[[PERIODO Imp.]:[PERIODO Imp.]],BN$9)</f>
        <v>0</v>
      </c>
      <c r="BO1151" s="693">
        <f>SUMIFS(Imput[[Importe Neto]:[Importe Neto]],Imput[[C. Imp.]:[C. Imp.]],$D1151,Imput[[PERIODO Imp.]:[PERIODO Imp.]],BO$9)</f>
        <v>0</v>
      </c>
      <c r="BP1151" s="693">
        <f>SUMIFS(Imput[[Importe Neto]:[Importe Neto]],Imput[[C. Imp.]:[C. Imp.]],$D1151,Imput[[PERIODO Imp.]:[PERIODO Imp.]],BP$9)</f>
        <v>0</v>
      </c>
      <c r="BQ1151" s="693">
        <f>SUMIFS(Imput[[Importe Neto]:[Importe Neto]],Imput[[C. Imp.]:[C. Imp.]],$D1151,Imput[[PERIODO Imp.]:[PERIODO Imp.]],BQ$9)</f>
        <v>0</v>
      </c>
      <c r="BR1151" s="693">
        <f>SUMIFS(Imput[[Importe Neto]:[Importe Neto]],Imput[[C. Imp.]:[C. Imp.]],$D1151,Imput[[PERIODO Imp.]:[PERIODO Imp.]],BR$9)</f>
        <v>0</v>
      </c>
      <c r="BS1151" s="693">
        <f>SUMIFS(Imput[[Importe Neto]:[Importe Neto]],Imput[[C. Imp.]:[C. Imp.]],$D1151,Imput[[PERIODO Imp.]:[PERIODO Imp.]],BS$9)</f>
        <v>0</v>
      </c>
      <c r="BT1151" s="693">
        <f>SUMIFS(Imput[[Importe Neto]:[Importe Neto]],Imput[[C. Imp.]:[C. Imp.]],$D1151,Imput[[PERIODO Imp.]:[PERIODO Imp.]],BT$9)</f>
        <v>0</v>
      </c>
      <c r="BU1151" s="693">
        <f>SUMIFS(Imput[[Importe Neto]:[Importe Neto]],Imput[[C. Imp.]:[C. Imp.]],$D1151,Imput[[PERIODO Imp.]:[PERIODO Imp.]],BU$9)</f>
        <v>0</v>
      </c>
      <c r="BV1151" s="693">
        <f>SUMIFS(Imput[[Importe Neto]:[Importe Neto]],Imput[[C. Imp.]:[C. Imp.]],$D1151,Imput[[PERIODO Imp.]:[PERIODO Imp.]],BV$9)</f>
        <v>0</v>
      </c>
      <c r="BW1151" s="693">
        <f>SUMIFS(Imput[[Importe Neto]:[Importe Neto]],Imput[[C. Imp.]:[C. Imp.]],$D1151,Imput[[PERIODO Imp.]:[PERIODO Imp.]],BW$9)</f>
        <v>0</v>
      </c>
      <c r="BX1151" s="693">
        <f>SUMIFS(Imput[[Importe Neto]:[Importe Neto]],Imput[[C. Imp.]:[C. Imp.]],$D1151,Imput[[PERIODO Imp.]:[PERIODO Imp.]],BX$9)</f>
        <v>0</v>
      </c>
      <c r="BY1151" s="693">
        <f>SUMIFS(Imput[[Importe Neto]:[Importe Neto]],Imput[[C. Imp.]:[C. Imp.]],$D1151,Imput[[PERIODO Imp.]:[PERIODO Imp.]],BY$9)</f>
        <v>0</v>
      </c>
      <c r="BZ1151" s="693">
        <f>SUMIFS(Imput[[Importe Neto]:[Importe Neto]],Imput[[C. Imp.]:[C. Imp.]],$D1151,Imput[[PERIODO Imp.]:[PERIODO Imp.]],BZ$9)</f>
        <v>0</v>
      </c>
      <c r="CA1151" s="693">
        <f>SUMIFS(Imput[[Importe Neto]:[Importe Neto]],Imput[[C. Imp.]:[C. Imp.]],$D1151,Imput[[PERIODO Imp.]:[PERIODO Imp.]],CA$9)</f>
        <v>0</v>
      </c>
      <c r="CB1151" s="693">
        <f>SUMIFS(Imput[[Importe Neto]:[Importe Neto]],Imput[[C. Imp.]:[C. Imp.]],$D1151,Imput[[PERIODO Imp.]:[PERIODO Imp.]],CB$9)</f>
        <v>0</v>
      </c>
      <c r="CC1151" s="693">
        <f>SUMIFS(Imput[[Importe Neto]:[Importe Neto]],Imput[[C. Imp.]:[C. Imp.]],$D1151,Imput[[PERIODO Imp.]:[PERIODO Imp.]],CC$9)</f>
        <v>0</v>
      </c>
      <c r="CD1151" s="693">
        <f>SUMIFS(Imput[[Importe Neto]:[Importe Neto]],Imput[[C. Imp.]:[C. Imp.]],$D1151,Imput[[PERIODO Imp.]:[PERIODO Imp.]],CD$9)</f>
        <v>0</v>
      </c>
      <c r="CE1151" s="693">
        <f>SUMIFS(Imput[[Importe Neto]:[Importe Neto]],Imput[[C. Imp.]:[C. Imp.]],$D1151,Imput[[PERIODO Imp.]:[PERIODO Imp.]],CE$9)</f>
        <v>0</v>
      </c>
      <c r="CF1151" s="693">
        <f>SUMIFS(Imput[[Importe Neto]:[Importe Neto]],Imput[[C. Imp.]:[C. Imp.]],$D1151,Imput[[PERIODO Imp.]:[PERIODO Imp.]],CF$9)</f>
        <v>0</v>
      </c>
      <c r="CG1151" s="693">
        <f>SUMIFS(Imput[[Importe Neto]:[Importe Neto]],Imput[[C. Imp.]:[C. Imp.]],$D1151,Imput[[PERIODO Imp.]:[PERIODO Imp.]],CG$9)</f>
        <v>0</v>
      </c>
      <c r="CH1151" s="693">
        <f>SUMIFS(Imput[[Importe Neto]:[Importe Neto]],Imput[[C. Imp.]:[C. Imp.]],$D1151,Imput[[PERIODO Imp.]:[PERIODO Imp.]],CH$9)</f>
        <v>0</v>
      </c>
      <c r="CI1151" s="693">
        <f>SUMIFS(Imput[[Importe Neto]:[Importe Neto]],Imput[[C. Imp.]:[C. Imp.]],$D1151,Imput[[PERIODO Imp.]:[PERIODO Imp.]],CI$9)</f>
        <v>0</v>
      </c>
      <c r="CJ1151" s="693">
        <f>SUMIFS(Imput[[Importe Neto]:[Importe Neto]],Imput[[C. Imp.]:[C. Imp.]],$D1151,Imput[[PERIODO Imp.]:[PERIODO Imp.]],CJ$9)</f>
        <v>0</v>
      </c>
      <c r="CK1151" s="693">
        <f>SUMIFS(Imput[[Importe Neto]:[Importe Neto]],Imput[[C. Imp.]:[C. Imp.]],$D1151,Imput[[PERIODO Imp.]:[PERIODO Imp.]],CK$9)</f>
        <v>0</v>
      </c>
      <c r="CL1151" s="693">
        <f>SUMIFS(Imput[[Importe Neto]:[Importe Neto]],Imput[[C. Imp.]:[C. Imp.]],$D1151,Imput[[PERIODO Imp.]:[PERIODO Imp.]],CL$9)</f>
        <v>0</v>
      </c>
      <c r="CM1151" s="693">
        <f>SUMIFS(Imput[[Importe Neto]:[Importe Neto]],Imput[[C. Imp.]:[C. Imp.]],$D1151,Imput[[PERIODO Imp.]:[PERIODO Imp.]],CM$9)</f>
        <v>0</v>
      </c>
      <c r="CN1151" s="693">
        <f>SUMIFS(Imput[[Importe Neto]:[Importe Neto]],Imput[[C. Imp.]:[C. Imp.]],$D1151,Imput[[PERIODO Imp.]:[PERIODO Imp.]],CN$9)</f>
        <v>0</v>
      </c>
      <c r="CO1151" s="693">
        <f>SUMIFS(Imput[[Importe Neto]:[Importe Neto]],Imput[[C. Imp.]:[C. Imp.]],$D1151,Imput[[PERIODO Imp.]:[PERIODO Imp.]],CO$9)</f>
        <v>0</v>
      </c>
      <c r="CP1151" s="693">
        <f>SUMIFS(Imput[[Importe Neto]:[Importe Neto]],Imput[[C. Imp.]:[C. Imp.]],$D1151,Imput[[PERIODO Imp.]:[PERIODO Imp.]],CP$9)</f>
        <v>0</v>
      </c>
      <c r="CQ1151" s="693">
        <f>SUMIFS(Imput[[Importe Neto]:[Importe Neto]],Imput[[C. Imp.]:[C. Imp.]],$D1151,Imput[[PERIODO Imp.]:[PERIODO Imp.]],CQ$9)</f>
        <v>0</v>
      </c>
      <c r="CR1151" s="693">
        <f>SUMIFS(Imput[[Importe Neto]:[Importe Neto]],Imput[[C. Imp.]:[C. Imp.]],$D1151,Imput[[PERIODO Imp.]:[PERIODO Imp.]],CR$9)</f>
        <v>0</v>
      </c>
      <c r="CS1151" s="693">
        <f>SUMIFS(Imput[[Importe Neto]:[Importe Neto]],Imput[[C. Imp.]:[C. Imp.]],$D1151,Imput[[PERIODO Imp.]:[PERIODO Imp.]],CS$9)</f>
        <v>0</v>
      </c>
      <c r="CT1151" s="693">
        <f>SUMIFS(Imput[[Importe Neto]:[Importe Neto]],Imput[[C. Imp.]:[C. Imp.]],$D1151,Imput[[PERIODO Imp.]:[PERIODO Imp.]],CT$9)</f>
        <v>0</v>
      </c>
      <c r="CU1151" s="693">
        <f>SUMIFS(Imput[[Importe Neto]:[Importe Neto]],Imput[[C. Imp.]:[C. Imp.]],$D1151,Imput[[PERIODO Imp.]:[PERIODO Imp.]],CU$9)</f>
        <v>0</v>
      </c>
      <c r="CV1151" s="693">
        <f>SUMIFS(Imput[[Importe Neto]:[Importe Neto]],Imput[[C. Imp.]:[C. Imp.]],$D1151,Imput[[PERIODO Imp.]:[PERIODO Imp.]],CV$9)</f>
        <v>0</v>
      </c>
      <c r="CW1151" s="693">
        <f>SUMIFS(Imput[[Importe Neto]:[Importe Neto]],Imput[[C. Imp.]:[C. Imp.]],$D1151,Imput[[PERIODO Imp.]:[PERIODO Imp.]],CW$9)</f>
        <v>0</v>
      </c>
      <c r="CX1151" s="693">
        <f>SUMIFS(Imput[[Importe Neto]:[Importe Neto]],Imput[[C. Imp.]:[C. Imp.]],$D1151,Imput[[PERIODO Imp.]:[PERIODO Imp.]],CX$9)</f>
        <v>0</v>
      </c>
      <c r="CY1151" s="693">
        <f>SUMIFS(Imput[[Importe Neto]:[Importe Neto]],Imput[[C. Imp.]:[C. Imp.]],$D1151,Imput[[PERIODO Imp.]:[PERIODO Imp.]],CY$9)</f>
        <v>0</v>
      </c>
      <c r="CZ1151" s="693">
        <f>SUMIFS(Imput[[Importe Neto]:[Importe Neto]],Imput[[C. Imp.]:[C. Imp.]],$D1151,Imput[[PERIODO Imp.]:[PERIODO Imp.]],CZ$9)</f>
        <v>0</v>
      </c>
      <c r="DA1151" s="693">
        <f>SUMIFS(Imput[[Importe Neto]:[Importe Neto]],Imput[[C. Imp.]:[C. Imp.]],$D1151,Imput[[PERIODO Imp.]:[PERIODO Imp.]],DA$9)</f>
        <v>0</v>
      </c>
      <c r="DB1151" s="693">
        <f>SUMIFS(Imput[[Importe Neto]:[Importe Neto]],Imput[[C. Imp.]:[C. Imp.]],$D1151,Imput[[PERIODO Imp.]:[PERIODO Imp.]],DB$9)</f>
        <v>0</v>
      </c>
      <c r="DC1151" s="693">
        <f>SUMIFS(Imput[[Importe Neto]:[Importe Neto]],Imput[[C. Imp.]:[C. Imp.]],$D1151,Imput[[PERIODO Imp.]:[PERIODO Imp.]],DC$9)</f>
        <v>0</v>
      </c>
      <c r="DD1151" s="693">
        <f>SUMIFS(Imput[[Importe Neto]:[Importe Neto]],Imput[[C. Imp.]:[C. Imp.]],$D1151,Imput[[PERIODO Imp.]:[PERIODO Imp.]],DD$9)</f>
        <v>0</v>
      </c>
      <c r="DE1151" s="693">
        <f>SUMIFS(Imput[[Importe Neto]:[Importe Neto]],Imput[[C. Imp.]:[C. Imp.]],$D1151,Imput[[PERIODO Imp.]:[PERIODO Imp.]],DE$9)</f>
        <v>0</v>
      </c>
      <c r="DF1151" s="693">
        <f>SUMIFS(Imput[[Importe Neto]:[Importe Neto]],Imput[[C. Imp.]:[C. Imp.]],$D1151,Imput[[PERIODO Imp.]:[PERIODO Imp.]],DF$9)</f>
        <v>0</v>
      </c>
      <c r="DG1151" s="693">
        <f>SUMIFS(Imput[[Importe Neto]:[Importe Neto]],Imput[[C. Imp.]:[C. Imp.]],$D1151,Imput[[PERIODO Imp.]:[PERIODO Imp.]],DG$9)</f>
        <v>0</v>
      </c>
      <c r="DH1151" s="694">
        <f>SUMIFS(Imput[[Importe Neto]:[Importe Neto]],Imput[[C. Imp.]:[C. Imp.]],$D1151,Imput[[PERIODO Imp.]:[PERIODO Imp.]],DH$9)</f>
        <v>0</v>
      </c>
    </row>
    <row r="1152" spans="1:112" s="649" customFormat="1" hidden="1" outlineLevel="1" x14ac:dyDescent="0.3">
      <c r="A1152" s="652" t="str">
        <f t="shared" si="375"/>
        <v/>
      </c>
      <c r="B1152" s="652"/>
      <c r="C1152" s="685"/>
      <c r="D1152" s="686"/>
      <c r="E1152" s="686"/>
      <c r="F1152" s="720"/>
      <c r="G1152" s="688"/>
      <c r="H1152" s="689"/>
      <c r="I1152" s="851" t="str">
        <f t="shared" si="376"/>
        <v/>
      </c>
      <c r="J1152" s="850" t="str">
        <f t="shared" si="377"/>
        <v/>
      </c>
      <c r="K1152" s="667"/>
      <c r="L1152" s="858"/>
      <c r="M1152" s="859"/>
      <c r="N1152" s="859"/>
      <c r="O1152" s="859"/>
      <c r="P1152" s="859"/>
      <c r="Q1152" s="859"/>
      <c r="R1152" s="859"/>
      <c r="S1152" s="859"/>
      <c r="T1152" s="859"/>
      <c r="U1152" s="859"/>
      <c r="V1152" s="859"/>
      <c r="W1152" s="859"/>
      <c r="X1152" s="859"/>
      <c r="Y1152" s="859"/>
      <c r="Z1152" s="860"/>
      <c r="AA1152" s="860"/>
      <c r="AB1152" s="860"/>
      <c r="AC1152" s="860"/>
      <c r="AD1152" s="860"/>
      <c r="AE1152" s="860"/>
      <c r="AF1152" s="860"/>
      <c r="AG1152" s="860"/>
      <c r="AH1152" s="860"/>
      <c r="AI1152" s="860"/>
      <c r="AJ1152" s="860"/>
      <c r="AK1152" s="860"/>
      <c r="AL1152" s="860"/>
      <c r="AM1152" s="860"/>
      <c r="AN1152" s="860"/>
      <c r="AO1152" s="860"/>
      <c r="AP1152" s="860"/>
      <c r="AQ1152" s="860"/>
      <c r="AR1152" s="860"/>
      <c r="AS1152" s="860"/>
      <c r="AT1152" s="860"/>
      <c r="AU1152" s="860"/>
      <c r="AV1152" s="860"/>
      <c r="AW1152" s="860"/>
      <c r="AX1152" s="860"/>
      <c r="AY1152" s="860"/>
      <c r="AZ1152" s="860"/>
      <c r="BA1152" s="860"/>
      <c r="BB1152" s="860"/>
      <c r="BC1152" s="860"/>
      <c r="BD1152" s="860"/>
      <c r="BE1152" s="860"/>
      <c r="BF1152" s="860"/>
      <c r="BG1152" s="860"/>
      <c r="BH1152" s="668"/>
      <c r="BI1152" s="667"/>
      <c r="BJ1152" s="690">
        <f t="shared" si="378"/>
        <v>0</v>
      </c>
      <c r="BK1152" s="691">
        <f t="shared" si="379"/>
        <v>0</v>
      </c>
      <c r="BL1152" s="654"/>
      <c r="BM1152" s="692">
        <f>SUMIFS(Imput[[Importe Neto]:[Importe Neto]],Imput[[C. Imp.]:[C. Imp.]],$D1152,Imput[[PERIODO Imp.]:[PERIODO Imp.]],BM$9)</f>
        <v>0</v>
      </c>
      <c r="BN1152" s="693">
        <f>SUMIFS(Imput[[Importe Neto]:[Importe Neto]],Imput[[C. Imp.]:[C. Imp.]],$D1152,Imput[[PERIODO Imp.]:[PERIODO Imp.]],BN$9)</f>
        <v>0</v>
      </c>
      <c r="BO1152" s="693">
        <f>SUMIFS(Imput[[Importe Neto]:[Importe Neto]],Imput[[C. Imp.]:[C. Imp.]],$D1152,Imput[[PERIODO Imp.]:[PERIODO Imp.]],BO$9)</f>
        <v>0</v>
      </c>
      <c r="BP1152" s="693">
        <f>SUMIFS(Imput[[Importe Neto]:[Importe Neto]],Imput[[C. Imp.]:[C. Imp.]],$D1152,Imput[[PERIODO Imp.]:[PERIODO Imp.]],BP$9)</f>
        <v>0</v>
      </c>
      <c r="BQ1152" s="693">
        <f>SUMIFS(Imput[[Importe Neto]:[Importe Neto]],Imput[[C. Imp.]:[C. Imp.]],$D1152,Imput[[PERIODO Imp.]:[PERIODO Imp.]],BQ$9)</f>
        <v>0</v>
      </c>
      <c r="BR1152" s="693">
        <f>SUMIFS(Imput[[Importe Neto]:[Importe Neto]],Imput[[C. Imp.]:[C. Imp.]],$D1152,Imput[[PERIODO Imp.]:[PERIODO Imp.]],BR$9)</f>
        <v>0</v>
      </c>
      <c r="BS1152" s="693">
        <f>SUMIFS(Imput[[Importe Neto]:[Importe Neto]],Imput[[C. Imp.]:[C. Imp.]],$D1152,Imput[[PERIODO Imp.]:[PERIODO Imp.]],BS$9)</f>
        <v>0</v>
      </c>
      <c r="BT1152" s="693">
        <f>SUMIFS(Imput[[Importe Neto]:[Importe Neto]],Imput[[C. Imp.]:[C. Imp.]],$D1152,Imput[[PERIODO Imp.]:[PERIODO Imp.]],BT$9)</f>
        <v>0</v>
      </c>
      <c r="BU1152" s="693">
        <f>SUMIFS(Imput[[Importe Neto]:[Importe Neto]],Imput[[C. Imp.]:[C. Imp.]],$D1152,Imput[[PERIODO Imp.]:[PERIODO Imp.]],BU$9)</f>
        <v>0</v>
      </c>
      <c r="BV1152" s="693">
        <f>SUMIFS(Imput[[Importe Neto]:[Importe Neto]],Imput[[C. Imp.]:[C. Imp.]],$D1152,Imput[[PERIODO Imp.]:[PERIODO Imp.]],BV$9)</f>
        <v>0</v>
      </c>
      <c r="BW1152" s="693">
        <f>SUMIFS(Imput[[Importe Neto]:[Importe Neto]],Imput[[C. Imp.]:[C. Imp.]],$D1152,Imput[[PERIODO Imp.]:[PERIODO Imp.]],BW$9)</f>
        <v>0</v>
      </c>
      <c r="BX1152" s="693">
        <f>SUMIFS(Imput[[Importe Neto]:[Importe Neto]],Imput[[C. Imp.]:[C. Imp.]],$D1152,Imput[[PERIODO Imp.]:[PERIODO Imp.]],BX$9)</f>
        <v>0</v>
      </c>
      <c r="BY1152" s="693">
        <f>SUMIFS(Imput[[Importe Neto]:[Importe Neto]],Imput[[C. Imp.]:[C. Imp.]],$D1152,Imput[[PERIODO Imp.]:[PERIODO Imp.]],BY$9)</f>
        <v>0</v>
      </c>
      <c r="BZ1152" s="693">
        <f>SUMIFS(Imput[[Importe Neto]:[Importe Neto]],Imput[[C. Imp.]:[C. Imp.]],$D1152,Imput[[PERIODO Imp.]:[PERIODO Imp.]],BZ$9)</f>
        <v>0</v>
      </c>
      <c r="CA1152" s="693">
        <f>SUMIFS(Imput[[Importe Neto]:[Importe Neto]],Imput[[C. Imp.]:[C. Imp.]],$D1152,Imput[[PERIODO Imp.]:[PERIODO Imp.]],CA$9)</f>
        <v>0</v>
      </c>
      <c r="CB1152" s="693">
        <f>SUMIFS(Imput[[Importe Neto]:[Importe Neto]],Imput[[C. Imp.]:[C. Imp.]],$D1152,Imput[[PERIODO Imp.]:[PERIODO Imp.]],CB$9)</f>
        <v>0</v>
      </c>
      <c r="CC1152" s="693">
        <f>SUMIFS(Imput[[Importe Neto]:[Importe Neto]],Imput[[C. Imp.]:[C. Imp.]],$D1152,Imput[[PERIODO Imp.]:[PERIODO Imp.]],CC$9)</f>
        <v>0</v>
      </c>
      <c r="CD1152" s="693">
        <f>SUMIFS(Imput[[Importe Neto]:[Importe Neto]],Imput[[C. Imp.]:[C. Imp.]],$D1152,Imput[[PERIODO Imp.]:[PERIODO Imp.]],CD$9)</f>
        <v>0</v>
      </c>
      <c r="CE1152" s="693">
        <f>SUMIFS(Imput[[Importe Neto]:[Importe Neto]],Imput[[C. Imp.]:[C. Imp.]],$D1152,Imput[[PERIODO Imp.]:[PERIODO Imp.]],CE$9)</f>
        <v>0</v>
      </c>
      <c r="CF1152" s="693">
        <f>SUMIFS(Imput[[Importe Neto]:[Importe Neto]],Imput[[C. Imp.]:[C. Imp.]],$D1152,Imput[[PERIODO Imp.]:[PERIODO Imp.]],CF$9)</f>
        <v>0</v>
      </c>
      <c r="CG1152" s="693">
        <f>SUMIFS(Imput[[Importe Neto]:[Importe Neto]],Imput[[C. Imp.]:[C. Imp.]],$D1152,Imput[[PERIODO Imp.]:[PERIODO Imp.]],CG$9)</f>
        <v>0</v>
      </c>
      <c r="CH1152" s="693">
        <f>SUMIFS(Imput[[Importe Neto]:[Importe Neto]],Imput[[C. Imp.]:[C. Imp.]],$D1152,Imput[[PERIODO Imp.]:[PERIODO Imp.]],CH$9)</f>
        <v>0</v>
      </c>
      <c r="CI1152" s="693">
        <f>SUMIFS(Imput[[Importe Neto]:[Importe Neto]],Imput[[C. Imp.]:[C. Imp.]],$D1152,Imput[[PERIODO Imp.]:[PERIODO Imp.]],CI$9)</f>
        <v>0</v>
      </c>
      <c r="CJ1152" s="693">
        <f>SUMIFS(Imput[[Importe Neto]:[Importe Neto]],Imput[[C. Imp.]:[C. Imp.]],$D1152,Imput[[PERIODO Imp.]:[PERIODO Imp.]],CJ$9)</f>
        <v>0</v>
      </c>
      <c r="CK1152" s="693">
        <f>SUMIFS(Imput[[Importe Neto]:[Importe Neto]],Imput[[C. Imp.]:[C. Imp.]],$D1152,Imput[[PERIODO Imp.]:[PERIODO Imp.]],CK$9)</f>
        <v>0</v>
      </c>
      <c r="CL1152" s="693">
        <f>SUMIFS(Imput[[Importe Neto]:[Importe Neto]],Imput[[C. Imp.]:[C. Imp.]],$D1152,Imput[[PERIODO Imp.]:[PERIODO Imp.]],CL$9)</f>
        <v>0</v>
      </c>
      <c r="CM1152" s="693">
        <f>SUMIFS(Imput[[Importe Neto]:[Importe Neto]],Imput[[C. Imp.]:[C. Imp.]],$D1152,Imput[[PERIODO Imp.]:[PERIODO Imp.]],CM$9)</f>
        <v>0</v>
      </c>
      <c r="CN1152" s="693">
        <f>SUMIFS(Imput[[Importe Neto]:[Importe Neto]],Imput[[C. Imp.]:[C. Imp.]],$D1152,Imput[[PERIODO Imp.]:[PERIODO Imp.]],CN$9)</f>
        <v>0</v>
      </c>
      <c r="CO1152" s="693">
        <f>SUMIFS(Imput[[Importe Neto]:[Importe Neto]],Imput[[C. Imp.]:[C. Imp.]],$D1152,Imput[[PERIODO Imp.]:[PERIODO Imp.]],CO$9)</f>
        <v>0</v>
      </c>
      <c r="CP1152" s="693">
        <f>SUMIFS(Imput[[Importe Neto]:[Importe Neto]],Imput[[C. Imp.]:[C. Imp.]],$D1152,Imput[[PERIODO Imp.]:[PERIODO Imp.]],CP$9)</f>
        <v>0</v>
      </c>
      <c r="CQ1152" s="693">
        <f>SUMIFS(Imput[[Importe Neto]:[Importe Neto]],Imput[[C. Imp.]:[C. Imp.]],$D1152,Imput[[PERIODO Imp.]:[PERIODO Imp.]],CQ$9)</f>
        <v>0</v>
      </c>
      <c r="CR1152" s="693">
        <f>SUMIFS(Imput[[Importe Neto]:[Importe Neto]],Imput[[C. Imp.]:[C. Imp.]],$D1152,Imput[[PERIODO Imp.]:[PERIODO Imp.]],CR$9)</f>
        <v>0</v>
      </c>
      <c r="CS1152" s="693">
        <f>SUMIFS(Imput[[Importe Neto]:[Importe Neto]],Imput[[C. Imp.]:[C. Imp.]],$D1152,Imput[[PERIODO Imp.]:[PERIODO Imp.]],CS$9)</f>
        <v>0</v>
      </c>
      <c r="CT1152" s="693">
        <f>SUMIFS(Imput[[Importe Neto]:[Importe Neto]],Imput[[C. Imp.]:[C. Imp.]],$D1152,Imput[[PERIODO Imp.]:[PERIODO Imp.]],CT$9)</f>
        <v>0</v>
      </c>
      <c r="CU1152" s="693">
        <f>SUMIFS(Imput[[Importe Neto]:[Importe Neto]],Imput[[C. Imp.]:[C. Imp.]],$D1152,Imput[[PERIODO Imp.]:[PERIODO Imp.]],CU$9)</f>
        <v>0</v>
      </c>
      <c r="CV1152" s="693">
        <f>SUMIFS(Imput[[Importe Neto]:[Importe Neto]],Imput[[C. Imp.]:[C. Imp.]],$D1152,Imput[[PERIODO Imp.]:[PERIODO Imp.]],CV$9)</f>
        <v>0</v>
      </c>
      <c r="CW1152" s="693">
        <f>SUMIFS(Imput[[Importe Neto]:[Importe Neto]],Imput[[C. Imp.]:[C. Imp.]],$D1152,Imput[[PERIODO Imp.]:[PERIODO Imp.]],CW$9)</f>
        <v>0</v>
      </c>
      <c r="CX1152" s="693">
        <f>SUMIFS(Imput[[Importe Neto]:[Importe Neto]],Imput[[C. Imp.]:[C. Imp.]],$D1152,Imput[[PERIODO Imp.]:[PERIODO Imp.]],CX$9)</f>
        <v>0</v>
      </c>
      <c r="CY1152" s="693">
        <f>SUMIFS(Imput[[Importe Neto]:[Importe Neto]],Imput[[C. Imp.]:[C. Imp.]],$D1152,Imput[[PERIODO Imp.]:[PERIODO Imp.]],CY$9)</f>
        <v>0</v>
      </c>
      <c r="CZ1152" s="693">
        <f>SUMIFS(Imput[[Importe Neto]:[Importe Neto]],Imput[[C. Imp.]:[C. Imp.]],$D1152,Imput[[PERIODO Imp.]:[PERIODO Imp.]],CZ$9)</f>
        <v>0</v>
      </c>
      <c r="DA1152" s="693">
        <f>SUMIFS(Imput[[Importe Neto]:[Importe Neto]],Imput[[C. Imp.]:[C. Imp.]],$D1152,Imput[[PERIODO Imp.]:[PERIODO Imp.]],DA$9)</f>
        <v>0</v>
      </c>
      <c r="DB1152" s="693">
        <f>SUMIFS(Imput[[Importe Neto]:[Importe Neto]],Imput[[C. Imp.]:[C. Imp.]],$D1152,Imput[[PERIODO Imp.]:[PERIODO Imp.]],DB$9)</f>
        <v>0</v>
      </c>
      <c r="DC1152" s="693">
        <f>SUMIFS(Imput[[Importe Neto]:[Importe Neto]],Imput[[C. Imp.]:[C. Imp.]],$D1152,Imput[[PERIODO Imp.]:[PERIODO Imp.]],DC$9)</f>
        <v>0</v>
      </c>
      <c r="DD1152" s="693">
        <f>SUMIFS(Imput[[Importe Neto]:[Importe Neto]],Imput[[C. Imp.]:[C. Imp.]],$D1152,Imput[[PERIODO Imp.]:[PERIODO Imp.]],DD$9)</f>
        <v>0</v>
      </c>
      <c r="DE1152" s="693">
        <f>SUMIFS(Imput[[Importe Neto]:[Importe Neto]],Imput[[C. Imp.]:[C. Imp.]],$D1152,Imput[[PERIODO Imp.]:[PERIODO Imp.]],DE$9)</f>
        <v>0</v>
      </c>
      <c r="DF1152" s="693">
        <f>SUMIFS(Imput[[Importe Neto]:[Importe Neto]],Imput[[C. Imp.]:[C. Imp.]],$D1152,Imput[[PERIODO Imp.]:[PERIODO Imp.]],DF$9)</f>
        <v>0</v>
      </c>
      <c r="DG1152" s="693">
        <f>SUMIFS(Imput[[Importe Neto]:[Importe Neto]],Imput[[C. Imp.]:[C. Imp.]],$D1152,Imput[[PERIODO Imp.]:[PERIODO Imp.]],DG$9)</f>
        <v>0</v>
      </c>
      <c r="DH1152" s="694">
        <f>SUMIFS(Imput[[Importe Neto]:[Importe Neto]],Imput[[C. Imp.]:[C. Imp.]],$D1152,Imput[[PERIODO Imp.]:[PERIODO Imp.]],DH$9)</f>
        <v>0</v>
      </c>
    </row>
    <row r="1153" spans="1:112" s="649" customFormat="1" hidden="1" outlineLevel="1" x14ac:dyDescent="0.3">
      <c r="A1153" s="652" t="str">
        <f t="shared" si="375"/>
        <v/>
      </c>
      <c r="B1153" s="652"/>
      <c r="C1153" s="685"/>
      <c r="D1153" s="686"/>
      <c r="E1153" s="686"/>
      <c r="F1153" s="720"/>
      <c r="G1153" s="688"/>
      <c r="H1153" s="689"/>
      <c r="I1153" s="851" t="str">
        <f t="shared" si="376"/>
        <v/>
      </c>
      <c r="J1153" s="850" t="str">
        <f t="shared" si="377"/>
        <v/>
      </c>
      <c r="K1153" s="667"/>
      <c r="L1153" s="858"/>
      <c r="M1153" s="859"/>
      <c r="N1153" s="859"/>
      <c r="O1153" s="859"/>
      <c r="P1153" s="859"/>
      <c r="Q1153" s="859"/>
      <c r="R1153" s="859"/>
      <c r="S1153" s="859"/>
      <c r="T1153" s="859"/>
      <c r="U1153" s="859"/>
      <c r="V1153" s="859"/>
      <c r="W1153" s="859"/>
      <c r="X1153" s="859"/>
      <c r="Y1153" s="859"/>
      <c r="Z1153" s="860"/>
      <c r="AA1153" s="860"/>
      <c r="AB1153" s="860"/>
      <c r="AC1153" s="860"/>
      <c r="AD1153" s="860"/>
      <c r="AE1153" s="860"/>
      <c r="AF1153" s="860"/>
      <c r="AG1153" s="860"/>
      <c r="AH1153" s="860"/>
      <c r="AI1153" s="860"/>
      <c r="AJ1153" s="860"/>
      <c r="AK1153" s="860"/>
      <c r="AL1153" s="860"/>
      <c r="AM1153" s="860"/>
      <c r="AN1153" s="860"/>
      <c r="AO1153" s="860"/>
      <c r="AP1153" s="860"/>
      <c r="AQ1153" s="860"/>
      <c r="AR1153" s="860"/>
      <c r="AS1153" s="860"/>
      <c r="AT1153" s="860"/>
      <c r="AU1153" s="860"/>
      <c r="AV1153" s="860"/>
      <c r="AW1153" s="860"/>
      <c r="AX1153" s="860"/>
      <c r="AY1153" s="860"/>
      <c r="AZ1153" s="860"/>
      <c r="BA1153" s="860"/>
      <c r="BB1153" s="860"/>
      <c r="BC1153" s="860"/>
      <c r="BD1153" s="860"/>
      <c r="BE1153" s="860"/>
      <c r="BF1153" s="860"/>
      <c r="BG1153" s="860"/>
      <c r="BH1153" s="668"/>
      <c r="BI1153" s="667"/>
      <c r="BJ1153" s="690">
        <f t="shared" si="378"/>
        <v>0</v>
      </c>
      <c r="BK1153" s="691">
        <f t="shared" si="379"/>
        <v>0</v>
      </c>
      <c r="BL1153" s="654"/>
      <c r="BM1153" s="692">
        <f>SUMIFS(Imput[[Importe Neto]:[Importe Neto]],Imput[[C. Imp.]:[C. Imp.]],$D1153,Imput[[PERIODO Imp.]:[PERIODO Imp.]],BM$9)</f>
        <v>0</v>
      </c>
      <c r="BN1153" s="693">
        <f>SUMIFS(Imput[[Importe Neto]:[Importe Neto]],Imput[[C. Imp.]:[C. Imp.]],$D1153,Imput[[PERIODO Imp.]:[PERIODO Imp.]],BN$9)</f>
        <v>0</v>
      </c>
      <c r="BO1153" s="693">
        <f>SUMIFS(Imput[[Importe Neto]:[Importe Neto]],Imput[[C. Imp.]:[C. Imp.]],$D1153,Imput[[PERIODO Imp.]:[PERIODO Imp.]],BO$9)</f>
        <v>0</v>
      </c>
      <c r="BP1153" s="693">
        <f>SUMIFS(Imput[[Importe Neto]:[Importe Neto]],Imput[[C. Imp.]:[C. Imp.]],$D1153,Imput[[PERIODO Imp.]:[PERIODO Imp.]],BP$9)</f>
        <v>0</v>
      </c>
      <c r="BQ1153" s="693">
        <f>SUMIFS(Imput[[Importe Neto]:[Importe Neto]],Imput[[C. Imp.]:[C. Imp.]],$D1153,Imput[[PERIODO Imp.]:[PERIODO Imp.]],BQ$9)</f>
        <v>0</v>
      </c>
      <c r="BR1153" s="693">
        <f>SUMIFS(Imput[[Importe Neto]:[Importe Neto]],Imput[[C. Imp.]:[C. Imp.]],$D1153,Imput[[PERIODO Imp.]:[PERIODO Imp.]],BR$9)</f>
        <v>0</v>
      </c>
      <c r="BS1153" s="693">
        <f>SUMIFS(Imput[[Importe Neto]:[Importe Neto]],Imput[[C. Imp.]:[C. Imp.]],$D1153,Imput[[PERIODO Imp.]:[PERIODO Imp.]],BS$9)</f>
        <v>0</v>
      </c>
      <c r="BT1153" s="693">
        <f>SUMIFS(Imput[[Importe Neto]:[Importe Neto]],Imput[[C. Imp.]:[C. Imp.]],$D1153,Imput[[PERIODO Imp.]:[PERIODO Imp.]],BT$9)</f>
        <v>0</v>
      </c>
      <c r="BU1153" s="693">
        <f>SUMIFS(Imput[[Importe Neto]:[Importe Neto]],Imput[[C. Imp.]:[C. Imp.]],$D1153,Imput[[PERIODO Imp.]:[PERIODO Imp.]],BU$9)</f>
        <v>0</v>
      </c>
      <c r="BV1153" s="693">
        <f>SUMIFS(Imput[[Importe Neto]:[Importe Neto]],Imput[[C. Imp.]:[C. Imp.]],$D1153,Imput[[PERIODO Imp.]:[PERIODO Imp.]],BV$9)</f>
        <v>0</v>
      </c>
      <c r="BW1153" s="693">
        <f>SUMIFS(Imput[[Importe Neto]:[Importe Neto]],Imput[[C. Imp.]:[C. Imp.]],$D1153,Imput[[PERIODO Imp.]:[PERIODO Imp.]],BW$9)</f>
        <v>0</v>
      </c>
      <c r="BX1153" s="693">
        <f>SUMIFS(Imput[[Importe Neto]:[Importe Neto]],Imput[[C. Imp.]:[C. Imp.]],$D1153,Imput[[PERIODO Imp.]:[PERIODO Imp.]],BX$9)</f>
        <v>0</v>
      </c>
      <c r="BY1153" s="693">
        <f>SUMIFS(Imput[[Importe Neto]:[Importe Neto]],Imput[[C. Imp.]:[C. Imp.]],$D1153,Imput[[PERIODO Imp.]:[PERIODO Imp.]],BY$9)</f>
        <v>0</v>
      </c>
      <c r="BZ1153" s="693">
        <f>SUMIFS(Imput[[Importe Neto]:[Importe Neto]],Imput[[C. Imp.]:[C. Imp.]],$D1153,Imput[[PERIODO Imp.]:[PERIODO Imp.]],BZ$9)</f>
        <v>0</v>
      </c>
      <c r="CA1153" s="693">
        <f>SUMIFS(Imput[[Importe Neto]:[Importe Neto]],Imput[[C. Imp.]:[C. Imp.]],$D1153,Imput[[PERIODO Imp.]:[PERIODO Imp.]],CA$9)</f>
        <v>0</v>
      </c>
      <c r="CB1153" s="693">
        <f>SUMIFS(Imput[[Importe Neto]:[Importe Neto]],Imput[[C. Imp.]:[C. Imp.]],$D1153,Imput[[PERIODO Imp.]:[PERIODO Imp.]],CB$9)</f>
        <v>0</v>
      </c>
      <c r="CC1153" s="693">
        <f>SUMIFS(Imput[[Importe Neto]:[Importe Neto]],Imput[[C. Imp.]:[C. Imp.]],$D1153,Imput[[PERIODO Imp.]:[PERIODO Imp.]],CC$9)</f>
        <v>0</v>
      </c>
      <c r="CD1153" s="693">
        <f>SUMIFS(Imput[[Importe Neto]:[Importe Neto]],Imput[[C. Imp.]:[C. Imp.]],$D1153,Imput[[PERIODO Imp.]:[PERIODO Imp.]],CD$9)</f>
        <v>0</v>
      </c>
      <c r="CE1153" s="693">
        <f>SUMIFS(Imput[[Importe Neto]:[Importe Neto]],Imput[[C. Imp.]:[C. Imp.]],$D1153,Imput[[PERIODO Imp.]:[PERIODO Imp.]],CE$9)</f>
        <v>0</v>
      </c>
      <c r="CF1153" s="693">
        <f>SUMIFS(Imput[[Importe Neto]:[Importe Neto]],Imput[[C. Imp.]:[C. Imp.]],$D1153,Imput[[PERIODO Imp.]:[PERIODO Imp.]],CF$9)</f>
        <v>0</v>
      </c>
      <c r="CG1153" s="693">
        <f>SUMIFS(Imput[[Importe Neto]:[Importe Neto]],Imput[[C. Imp.]:[C. Imp.]],$D1153,Imput[[PERIODO Imp.]:[PERIODO Imp.]],CG$9)</f>
        <v>0</v>
      </c>
      <c r="CH1153" s="693">
        <f>SUMIFS(Imput[[Importe Neto]:[Importe Neto]],Imput[[C. Imp.]:[C. Imp.]],$D1153,Imput[[PERIODO Imp.]:[PERIODO Imp.]],CH$9)</f>
        <v>0</v>
      </c>
      <c r="CI1153" s="693">
        <f>SUMIFS(Imput[[Importe Neto]:[Importe Neto]],Imput[[C. Imp.]:[C. Imp.]],$D1153,Imput[[PERIODO Imp.]:[PERIODO Imp.]],CI$9)</f>
        <v>0</v>
      </c>
      <c r="CJ1153" s="693">
        <f>SUMIFS(Imput[[Importe Neto]:[Importe Neto]],Imput[[C. Imp.]:[C. Imp.]],$D1153,Imput[[PERIODO Imp.]:[PERIODO Imp.]],CJ$9)</f>
        <v>0</v>
      </c>
      <c r="CK1153" s="693">
        <f>SUMIFS(Imput[[Importe Neto]:[Importe Neto]],Imput[[C. Imp.]:[C. Imp.]],$D1153,Imput[[PERIODO Imp.]:[PERIODO Imp.]],CK$9)</f>
        <v>0</v>
      </c>
      <c r="CL1153" s="693">
        <f>SUMIFS(Imput[[Importe Neto]:[Importe Neto]],Imput[[C. Imp.]:[C. Imp.]],$D1153,Imput[[PERIODO Imp.]:[PERIODO Imp.]],CL$9)</f>
        <v>0</v>
      </c>
      <c r="CM1153" s="693">
        <f>SUMIFS(Imput[[Importe Neto]:[Importe Neto]],Imput[[C. Imp.]:[C. Imp.]],$D1153,Imput[[PERIODO Imp.]:[PERIODO Imp.]],CM$9)</f>
        <v>0</v>
      </c>
      <c r="CN1153" s="693">
        <f>SUMIFS(Imput[[Importe Neto]:[Importe Neto]],Imput[[C. Imp.]:[C. Imp.]],$D1153,Imput[[PERIODO Imp.]:[PERIODO Imp.]],CN$9)</f>
        <v>0</v>
      </c>
      <c r="CO1153" s="693">
        <f>SUMIFS(Imput[[Importe Neto]:[Importe Neto]],Imput[[C. Imp.]:[C. Imp.]],$D1153,Imput[[PERIODO Imp.]:[PERIODO Imp.]],CO$9)</f>
        <v>0</v>
      </c>
      <c r="CP1153" s="693">
        <f>SUMIFS(Imput[[Importe Neto]:[Importe Neto]],Imput[[C. Imp.]:[C. Imp.]],$D1153,Imput[[PERIODO Imp.]:[PERIODO Imp.]],CP$9)</f>
        <v>0</v>
      </c>
      <c r="CQ1153" s="693">
        <f>SUMIFS(Imput[[Importe Neto]:[Importe Neto]],Imput[[C. Imp.]:[C. Imp.]],$D1153,Imput[[PERIODO Imp.]:[PERIODO Imp.]],CQ$9)</f>
        <v>0</v>
      </c>
      <c r="CR1153" s="693">
        <f>SUMIFS(Imput[[Importe Neto]:[Importe Neto]],Imput[[C. Imp.]:[C. Imp.]],$D1153,Imput[[PERIODO Imp.]:[PERIODO Imp.]],CR$9)</f>
        <v>0</v>
      </c>
      <c r="CS1153" s="693">
        <f>SUMIFS(Imput[[Importe Neto]:[Importe Neto]],Imput[[C. Imp.]:[C. Imp.]],$D1153,Imput[[PERIODO Imp.]:[PERIODO Imp.]],CS$9)</f>
        <v>0</v>
      </c>
      <c r="CT1153" s="693">
        <f>SUMIFS(Imput[[Importe Neto]:[Importe Neto]],Imput[[C. Imp.]:[C. Imp.]],$D1153,Imput[[PERIODO Imp.]:[PERIODO Imp.]],CT$9)</f>
        <v>0</v>
      </c>
      <c r="CU1153" s="693">
        <f>SUMIFS(Imput[[Importe Neto]:[Importe Neto]],Imput[[C. Imp.]:[C. Imp.]],$D1153,Imput[[PERIODO Imp.]:[PERIODO Imp.]],CU$9)</f>
        <v>0</v>
      </c>
      <c r="CV1153" s="693">
        <f>SUMIFS(Imput[[Importe Neto]:[Importe Neto]],Imput[[C. Imp.]:[C. Imp.]],$D1153,Imput[[PERIODO Imp.]:[PERIODO Imp.]],CV$9)</f>
        <v>0</v>
      </c>
      <c r="CW1153" s="693">
        <f>SUMIFS(Imput[[Importe Neto]:[Importe Neto]],Imput[[C. Imp.]:[C. Imp.]],$D1153,Imput[[PERIODO Imp.]:[PERIODO Imp.]],CW$9)</f>
        <v>0</v>
      </c>
      <c r="CX1153" s="693">
        <f>SUMIFS(Imput[[Importe Neto]:[Importe Neto]],Imput[[C. Imp.]:[C. Imp.]],$D1153,Imput[[PERIODO Imp.]:[PERIODO Imp.]],CX$9)</f>
        <v>0</v>
      </c>
      <c r="CY1153" s="693">
        <f>SUMIFS(Imput[[Importe Neto]:[Importe Neto]],Imput[[C. Imp.]:[C. Imp.]],$D1153,Imput[[PERIODO Imp.]:[PERIODO Imp.]],CY$9)</f>
        <v>0</v>
      </c>
      <c r="CZ1153" s="693">
        <f>SUMIFS(Imput[[Importe Neto]:[Importe Neto]],Imput[[C. Imp.]:[C. Imp.]],$D1153,Imput[[PERIODO Imp.]:[PERIODO Imp.]],CZ$9)</f>
        <v>0</v>
      </c>
      <c r="DA1153" s="693">
        <f>SUMIFS(Imput[[Importe Neto]:[Importe Neto]],Imput[[C. Imp.]:[C. Imp.]],$D1153,Imput[[PERIODO Imp.]:[PERIODO Imp.]],DA$9)</f>
        <v>0</v>
      </c>
      <c r="DB1153" s="693">
        <f>SUMIFS(Imput[[Importe Neto]:[Importe Neto]],Imput[[C. Imp.]:[C. Imp.]],$D1153,Imput[[PERIODO Imp.]:[PERIODO Imp.]],DB$9)</f>
        <v>0</v>
      </c>
      <c r="DC1153" s="693">
        <f>SUMIFS(Imput[[Importe Neto]:[Importe Neto]],Imput[[C. Imp.]:[C. Imp.]],$D1153,Imput[[PERIODO Imp.]:[PERIODO Imp.]],DC$9)</f>
        <v>0</v>
      </c>
      <c r="DD1153" s="693">
        <f>SUMIFS(Imput[[Importe Neto]:[Importe Neto]],Imput[[C. Imp.]:[C. Imp.]],$D1153,Imput[[PERIODO Imp.]:[PERIODO Imp.]],DD$9)</f>
        <v>0</v>
      </c>
      <c r="DE1153" s="693">
        <f>SUMIFS(Imput[[Importe Neto]:[Importe Neto]],Imput[[C. Imp.]:[C. Imp.]],$D1153,Imput[[PERIODO Imp.]:[PERIODO Imp.]],DE$9)</f>
        <v>0</v>
      </c>
      <c r="DF1153" s="693">
        <f>SUMIFS(Imput[[Importe Neto]:[Importe Neto]],Imput[[C. Imp.]:[C. Imp.]],$D1153,Imput[[PERIODO Imp.]:[PERIODO Imp.]],DF$9)</f>
        <v>0</v>
      </c>
      <c r="DG1153" s="693">
        <f>SUMIFS(Imput[[Importe Neto]:[Importe Neto]],Imput[[C. Imp.]:[C. Imp.]],$D1153,Imput[[PERIODO Imp.]:[PERIODO Imp.]],DG$9)</f>
        <v>0</v>
      </c>
      <c r="DH1153" s="694">
        <f>SUMIFS(Imput[[Importe Neto]:[Importe Neto]],Imput[[C. Imp.]:[C. Imp.]],$D1153,Imput[[PERIODO Imp.]:[PERIODO Imp.]],DH$9)</f>
        <v>0</v>
      </c>
    </row>
    <row r="1154" spans="1:112" s="649" customFormat="1" hidden="1" outlineLevel="1" x14ac:dyDescent="0.3">
      <c r="A1154" s="652" t="str">
        <f t="shared" si="375"/>
        <v/>
      </c>
      <c r="B1154" s="652"/>
      <c r="C1154" s="685"/>
      <c r="D1154" s="686"/>
      <c r="E1154" s="686"/>
      <c r="F1154" s="720"/>
      <c r="G1154" s="688"/>
      <c r="H1154" s="689"/>
      <c r="I1154" s="851" t="str">
        <f t="shared" si="376"/>
        <v/>
      </c>
      <c r="J1154" s="850" t="str">
        <f t="shared" si="377"/>
        <v/>
      </c>
      <c r="K1154" s="667"/>
      <c r="L1154" s="858"/>
      <c r="M1154" s="859"/>
      <c r="N1154" s="859"/>
      <c r="O1154" s="859"/>
      <c r="P1154" s="859"/>
      <c r="Q1154" s="859"/>
      <c r="R1154" s="859"/>
      <c r="S1154" s="859"/>
      <c r="T1154" s="859"/>
      <c r="U1154" s="859"/>
      <c r="V1154" s="859"/>
      <c r="W1154" s="859"/>
      <c r="X1154" s="859"/>
      <c r="Y1154" s="859"/>
      <c r="Z1154" s="860"/>
      <c r="AA1154" s="860"/>
      <c r="AB1154" s="860"/>
      <c r="AC1154" s="860"/>
      <c r="AD1154" s="860"/>
      <c r="AE1154" s="860"/>
      <c r="AF1154" s="860"/>
      <c r="AG1154" s="860"/>
      <c r="AH1154" s="860"/>
      <c r="AI1154" s="860"/>
      <c r="AJ1154" s="860"/>
      <c r="AK1154" s="860"/>
      <c r="AL1154" s="860"/>
      <c r="AM1154" s="860"/>
      <c r="AN1154" s="860"/>
      <c r="AO1154" s="860"/>
      <c r="AP1154" s="860"/>
      <c r="AQ1154" s="860"/>
      <c r="AR1154" s="860"/>
      <c r="AS1154" s="860"/>
      <c r="AT1154" s="860"/>
      <c r="AU1154" s="860"/>
      <c r="AV1154" s="860"/>
      <c r="AW1154" s="860"/>
      <c r="AX1154" s="860"/>
      <c r="AY1154" s="860"/>
      <c r="AZ1154" s="860"/>
      <c r="BA1154" s="860"/>
      <c r="BB1154" s="860"/>
      <c r="BC1154" s="860"/>
      <c r="BD1154" s="860"/>
      <c r="BE1154" s="860"/>
      <c r="BF1154" s="860"/>
      <c r="BG1154" s="860"/>
      <c r="BH1154" s="668"/>
      <c r="BI1154" s="667"/>
      <c r="BJ1154" s="690">
        <f t="shared" si="378"/>
        <v>0</v>
      </c>
      <c r="BK1154" s="691">
        <f t="shared" si="379"/>
        <v>0</v>
      </c>
      <c r="BL1154" s="654"/>
      <c r="BM1154" s="692">
        <f>SUMIFS(Imput[[Importe Neto]:[Importe Neto]],Imput[[C. Imp.]:[C. Imp.]],$D1154,Imput[[PERIODO Imp.]:[PERIODO Imp.]],BM$9)</f>
        <v>0</v>
      </c>
      <c r="BN1154" s="693">
        <f>SUMIFS(Imput[[Importe Neto]:[Importe Neto]],Imput[[C. Imp.]:[C. Imp.]],$D1154,Imput[[PERIODO Imp.]:[PERIODO Imp.]],BN$9)</f>
        <v>0</v>
      </c>
      <c r="BO1154" s="693">
        <f>SUMIFS(Imput[[Importe Neto]:[Importe Neto]],Imput[[C. Imp.]:[C. Imp.]],$D1154,Imput[[PERIODO Imp.]:[PERIODO Imp.]],BO$9)</f>
        <v>0</v>
      </c>
      <c r="BP1154" s="693">
        <f>SUMIFS(Imput[[Importe Neto]:[Importe Neto]],Imput[[C. Imp.]:[C. Imp.]],$D1154,Imput[[PERIODO Imp.]:[PERIODO Imp.]],BP$9)</f>
        <v>0</v>
      </c>
      <c r="BQ1154" s="693">
        <f>SUMIFS(Imput[[Importe Neto]:[Importe Neto]],Imput[[C. Imp.]:[C. Imp.]],$D1154,Imput[[PERIODO Imp.]:[PERIODO Imp.]],BQ$9)</f>
        <v>0</v>
      </c>
      <c r="BR1154" s="693">
        <f>SUMIFS(Imput[[Importe Neto]:[Importe Neto]],Imput[[C. Imp.]:[C. Imp.]],$D1154,Imput[[PERIODO Imp.]:[PERIODO Imp.]],BR$9)</f>
        <v>0</v>
      </c>
      <c r="BS1154" s="693">
        <f>SUMIFS(Imput[[Importe Neto]:[Importe Neto]],Imput[[C. Imp.]:[C. Imp.]],$D1154,Imput[[PERIODO Imp.]:[PERIODO Imp.]],BS$9)</f>
        <v>0</v>
      </c>
      <c r="BT1154" s="693">
        <f>SUMIFS(Imput[[Importe Neto]:[Importe Neto]],Imput[[C. Imp.]:[C. Imp.]],$D1154,Imput[[PERIODO Imp.]:[PERIODO Imp.]],BT$9)</f>
        <v>0</v>
      </c>
      <c r="BU1154" s="693">
        <f>SUMIFS(Imput[[Importe Neto]:[Importe Neto]],Imput[[C. Imp.]:[C. Imp.]],$D1154,Imput[[PERIODO Imp.]:[PERIODO Imp.]],BU$9)</f>
        <v>0</v>
      </c>
      <c r="BV1154" s="693">
        <f>SUMIFS(Imput[[Importe Neto]:[Importe Neto]],Imput[[C. Imp.]:[C. Imp.]],$D1154,Imput[[PERIODO Imp.]:[PERIODO Imp.]],BV$9)</f>
        <v>0</v>
      </c>
      <c r="BW1154" s="693">
        <f>SUMIFS(Imput[[Importe Neto]:[Importe Neto]],Imput[[C. Imp.]:[C. Imp.]],$D1154,Imput[[PERIODO Imp.]:[PERIODO Imp.]],BW$9)</f>
        <v>0</v>
      </c>
      <c r="BX1154" s="693">
        <f>SUMIFS(Imput[[Importe Neto]:[Importe Neto]],Imput[[C. Imp.]:[C. Imp.]],$D1154,Imput[[PERIODO Imp.]:[PERIODO Imp.]],BX$9)</f>
        <v>0</v>
      </c>
      <c r="BY1154" s="693">
        <f>SUMIFS(Imput[[Importe Neto]:[Importe Neto]],Imput[[C. Imp.]:[C. Imp.]],$D1154,Imput[[PERIODO Imp.]:[PERIODO Imp.]],BY$9)</f>
        <v>0</v>
      </c>
      <c r="BZ1154" s="693">
        <f>SUMIFS(Imput[[Importe Neto]:[Importe Neto]],Imput[[C. Imp.]:[C. Imp.]],$D1154,Imput[[PERIODO Imp.]:[PERIODO Imp.]],BZ$9)</f>
        <v>0</v>
      </c>
      <c r="CA1154" s="693">
        <f>SUMIFS(Imput[[Importe Neto]:[Importe Neto]],Imput[[C. Imp.]:[C. Imp.]],$D1154,Imput[[PERIODO Imp.]:[PERIODO Imp.]],CA$9)</f>
        <v>0</v>
      </c>
      <c r="CB1154" s="693">
        <f>SUMIFS(Imput[[Importe Neto]:[Importe Neto]],Imput[[C. Imp.]:[C. Imp.]],$D1154,Imput[[PERIODO Imp.]:[PERIODO Imp.]],CB$9)</f>
        <v>0</v>
      </c>
      <c r="CC1154" s="693">
        <f>SUMIFS(Imput[[Importe Neto]:[Importe Neto]],Imput[[C. Imp.]:[C. Imp.]],$D1154,Imput[[PERIODO Imp.]:[PERIODO Imp.]],CC$9)</f>
        <v>0</v>
      </c>
      <c r="CD1154" s="693">
        <f>SUMIFS(Imput[[Importe Neto]:[Importe Neto]],Imput[[C. Imp.]:[C. Imp.]],$D1154,Imput[[PERIODO Imp.]:[PERIODO Imp.]],CD$9)</f>
        <v>0</v>
      </c>
      <c r="CE1154" s="693">
        <f>SUMIFS(Imput[[Importe Neto]:[Importe Neto]],Imput[[C. Imp.]:[C. Imp.]],$D1154,Imput[[PERIODO Imp.]:[PERIODO Imp.]],CE$9)</f>
        <v>0</v>
      </c>
      <c r="CF1154" s="693">
        <f>SUMIFS(Imput[[Importe Neto]:[Importe Neto]],Imput[[C. Imp.]:[C. Imp.]],$D1154,Imput[[PERIODO Imp.]:[PERIODO Imp.]],CF$9)</f>
        <v>0</v>
      </c>
      <c r="CG1154" s="693">
        <f>SUMIFS(Imput[[Importe Neto]:[Importe Neto]],Imput[[C. Imp.]:[C. Imp.]],$D1154,Imput[[PERIODO Imp.]:[PERIODO Imp.]],CG$9)</f>
        <v>0</v>
      </c>
      <c r="CH1154" s="693">
        <f>SUMIFS(Imput[[Importe Neto]:[Importe Neto]],Imput[[C. Imp.]:[C. Imp.]],$D1154,Imput[[PERIODO Imp.]:[PERIODO Imp.]],CH$9)</f>
        <v>0</v>
      </c>
      <c r="CI1154" s="693">
        <f>SUMIFS(Imput[[Importe Neto]:[Importe Neto]],Imput[[C. Imp.]:[C. Imp.]],$D1154,Imput[[PERIODO Imp.]:[PERIODO Imp.]],CI$9)</f>
        <v>0</v>
      </c>
      <c r="CJ1154" s="693">
        <f>SUMIFS(Imput[[Importe Neto]:[Importe Neto]],Imput[[C. Imp.]:[C. Imp.]],$D1154,Imput[[PERIODO Imp.]:[PERIODO Imp.]],CJ$9)</f>
        <v>0</v>
      </c>
      <c r="CK1154" s="693">
        <f>SUMIFS(Imput[[Importe Neto]:[Importe Neto]],Imput[[C. Imp.]:[C. Imp.]],$D1154,Imput[[PERIODO Imp.]:[PERIODO Imp.]],CK$9)</f>
        <v>0</v>
      </c>
      <c r="CL1154" s="693">
        <f>SUMIFS(Imput[[Importe Neto]:[Importe Neto]],Imput[[C. Imp.]:[C. Imp.]],$D1154,Imput[[PERIODO Imp.]:[PERIODO Imp.]],CL$9)</f>
        <v>0</v>
      </c>
      <c r="CM1154" s="693">
        <f>SUMIFS(Imput[[Importe Neto]:[Importe Neto]],Imput[[C. Imp.]:[C. Imp.]],$D1154,Imput[[PERIODO Imp.]:[PERIODO Imp.]],CM$9)</f>
        <v>0</v>
      </c>
      <c r="CN1154" s="693">
        <f>SUMIFS(Imput[[Importe Neto]:[Importe Neto]],Imput[[C. Imp.]:[C. Imp.]],$D1154,Imput[[PERIODO Imp.]:[PERIODO Imp.]],CN$9)</f>
        <v>0</v>
      </c>
      <c r="CO1154" s="693">
        <f>SUMIFS(Imput[[Importe Neto]:[Importe Neto]],Imput[[C. Imp.]:[C. Imp.]],$D1154,Imput[[PERIODO Imp.]:[PERIODO Imp.]],CO$9)</f>
        <v>0</v>
      </c>
      <c r="CP1154" s="693">
        <f>SUMIFS(Imput[[Importe Neto]:[Importe Neto]],Imput[[C. Imp.]:[C. Imp.]],$D1154,Imput[[PERIODO Imp.]:[PERIODO Imp.]],CP$9)</f>
        <v>0</v>
      </c>
      <c r="CQ1154" s="693">
        <f>SUMIFS(Imput[[Importe Neto]:[Importe Neto]],Imput[[C. Imp.]:[C. Imp.]],$D1154,Imput[[PERIODO Imp.]:[PERIODO Imp.]],CQ$9)</f>
        <v>0</v>
      </c>
      <c r="CR1154" s="693">
        <f>SUMIFS(Imput[[Importe Neto]:[Importe Neto]],Imput[[C. Imp.]:[C. Imp.]],$D1154,Imput[[PERIODO Imp.]:[PERIODO Imp.]],CR$9)</f>
        <v>0</v>
      </c>
      <c r="CS1154" s="693">
        <f>SUMIFS(Imput[[Importe Neto]:[Importe Neto]],Imput[[C. Imp.]:[C. Imp.]],$D1154,Imput[[PERIODO Imp.]:[PERIODO Imp.]],CS$9)</f>
        <v>0</v>
      </c>
      <c r="CT1154" s="693">
        <f>SUMIFS(Imput[[Importe Neto]:[Importe Neto]],Imput[[C. Imp.]:[C. Imp.]],$D1154,Imput[[PERIODO Imp.]:[PERIODO Imp.]],CT$9)</f>
        <v>0</v>
      </c>
      <c r="CU1154" s="693">
        <f>SUMIFS(Imput[[Importe Neto]:[Importe Neto]],Imput[[C. Imp.]:[C. Imp.]],$D1154,Imput[[PERIODO Imp.]:[PERIODO Imp.]],CU$9)</f>
        <v>0</v>
      </c>
      <c r="CV1154" s="693">
        <f>SUMIFS(Imput[[Importe Neto]:[Importe Neto]],Imput[[C. Imp.]:[C. Imp.]],$D1154,Imput[[PERIODO Imp.]:[PERIODO Imp.]],CV$9)</f>
        <v>0</v>
      </c>
      <c r="CW1154" s="693">
        <f>SUMIFS(Imput[[Importe Neto]:[Importe Neto]],Imput[[C. Imp.]:[C. Imp.]],$D1154,Imput[[PERIODO Imp.]:[PERIODO Imp.]],CW$9)</f>
        <v>0</v>
      </c>
      <c r="CX1154" s="693">
        <f>SUMIFS(Imput[[Importe Neto]:[Importe Neto]],Imput[[C. Imp.]:[C. Imp.]],$D1154,Imput[[PERIODO Imp.]:[PERIODO Imp.]],CX$9)</f>
        <v>0</v>
      </c>
      <c r="CY1154" s="693">
        <f>SUMIFS(Imput[[Importe Neto]:[Importe Neto]],Imput[[C. Imp.]:[C. Imp.]],$D1154,Imput[[PERIODO Imp.]:[PERIODO Imp.]],CY$9)</f>
        <v>0</v>
      </c>
      <c r="CZ1154" s="693">
        <f>SUMIFS(Imput[[Importe Neto]:[Importe Neto]],Imput[[C. Imp.]:[C. Imp.]],$D1154,Imput[[PERIODO Imp.]:[PERIODO Imp.]],CZ$9)</f>
        <v>0</v>
      </c>
      <c r="DA1154" s="693">
        <f>SUMIFS(Imput[[Importe Neto]:[Importe Neto]],Imput[[C. Imp.]:[C. Imp.]],$D1154,Imput[[PERIODO Imp.]:[PERIODO Imp.]],DA$9)</f>
        <v>0</v>
      </c>
      <c r="DB1154" s="693">
        <f>SUMIFS(Imput[[Importe Neto]:[Importe Neto]],Imput[[C. Imp.]:[C. Imp.]],$D1154,Imput[[PERIODO Imp.]:[PERIODO Imp.]],DB$9)</f>
        <v>0</v>
      </c>
      <c r="DC1154" s="693">
        <f>SUMIFS(Imput[[Importe Neto]:[Importe Neto]],Imput[[C. Imp.]:[C. Imp.]],$D1154,Imput[[PERIODO Imp.]:[PERIODO Imp.]],DC$9)</f>
        <v>0</v>
      </c>
      <c r="DD1154" s="693">
        <f>SUMIFS(Imput[[Importe Neto]:[Importe Neto]],Imput[[C. Imp.]:[C. Imp.]],$D1154,Imput[[PERIODO Imp.]:[PERIODO Imp.]],DD$9)</f>
        <v>0</v>
      </c>
      <c r="DE1154" s="693">
        <f>SUMIFS(Imput[[Importe Neto]:[Importe Neto]],Imput[[C. Imp.]:[C. Imp.]],$D1154,Imput[[PERIODO Imp.]:[PERIODO Imp.]],DE$9)</f>
        <v>0</v>
      </c>
      <c r="DF1154" s="693">
        <f>SUMIFS(Imput[[Importe Neto]:[Importe Neto]],Imput[[C. Imp.]:[C. Imp.]],$D1154,Imput[[PERIODO Imp.]:[PERIODO Imp.]],DF$9)</f>
        <v>0</v>
      </c>
      <c r="DG1154" s="693">
        <f>SUMIFS(Imput[[Importe Neto]:[Importe Neto]],Imput[[C. Imp.]:[C. Imp.]],$D1154,Imput[[PERIODO Imp.]:[PERIODO Imp.]],DG$9)</f>
        <v>0</v>
      </c>
      <c r="DH1154" s="694">
        <f>SUMIFS(Imput[[Importe Neto]:[Importe Neto]],Imput[[C. Imp.]:[C. Imp.]],$D1154,Imput[[PERIODO Imp.]:[PERIODO Imp.]],DH$9)</f>
        <v>0</v>
      </c>
    </row>
    <row r="1155" spans="1:112" s="649" customFormat="1" ht="14.4" hidden="1" outlineLevel="1" thickBot="1" x14ac:dyDescent="0.35">
      <c r="A1155" s="652" t="str">
        <f>IF(J1133&gt;0,"Imprimir","")</f>
        <v/>
      </c>
      <c r="B1155" s="652"/>
      <c r="C1155" s="699"/>
      <c r="D1155" s="700"/>
      <c r="E1155" s="700"/>
      <c r="F1155" s="701"/>
      <c r="G1155" s="702"/>
      <c r="H1155" s="703"/>
      <c r="I1155" s="704"/>
      <c r="J1155" s="117"/>
      <c r="K1155" s="667"/>
      <c r="L1155" s="706"/>
      <c r="M1155" s="707"/>
      <c r="N1155" s="777"/>
      <c r="O1155" s="777"/>
      <c r="P1155" s="778"/>
      <c r="Q1155" s="778"/>
      <c r="R1155" s="708"/>
      <c r="S1155" s="708"/>
      <c r="T1155" s="779"/>
      <c r="U1155" s="779"/>
      <c r="V1155" s="778"/>
      <c r="W1155" s="778"/>
      <c r="X1155" s="708"/>
      <c r="Y1155" s="708"/>
      <c r="Z1155" s="708"/>
      <c r="AA1155" s="708"/>
      <c r="AB1155" s="708"/>
      <c r="AC1155" s="708"/>
      <c r="AD1155" s="708"/>
      <c r="AE1155" s="708"/>
      <c r="AF1155" s="708"/>
      <c r="AG1155" s="708"/>
      <c r="AH1155" s="708"/>
      <c r="AI1155" s="708"/>
      <c r="AJ1155" s="708"/>
      <c r="AK1155" s="708"/>
      <c r="AL1155" s="708"/>
      <c r="AM1155" s="708"/>
      <c r="AN1155" s="708"/>
      <c r="AO1155" s="708"/>
      <c r="AP1155" s="708"/>
      <c r="AQ1155" s="708"/>
      <c r="AR1155" s="708"/>
      <c r="AS1155" s="708"/>
      <c r="AT1155" s="708"/>
      <c r="AU1155" s="708"/>
      <c r="AV1155" s="708"/>
      <c r="AW1155" s="708"/>
      <c r="AX1155" s="708"/>
      <c r="AY1155" s="708"/>
      <c r="AZ1155" s="708"/>
      <c r="BA1155" s="708"/>
      <c r="BB1155" s="708"/>
      <c r="BC1155" s="708"/>
      <c r="BD1155" s="708"/>
      <c r="BE1155" s="708"/>
      <c r="BF1155" s="708"/>
      <c r="BG1155" s="708"/>
      <c r="BH1155" s="780"/>
      <c r="BI1155" s="654"/>
      <c r="BJ1155" s="709"/>
      <c r="BK1155" s="710"/>
      <c r="BL1155" s="654"/>
      <c r="BM1155" s="731"/>
      <c r="BN1155" s="701"/>
      <c r="BO1155" s="701"/>
      <c r="BP1155" s="701"/>
      <c r="BQ1155" s="701"/>
      <c r="BR1155" s="701"/>
      <c r="BS1155" s="701"/>
      <c r="BT1155" s="701"/>
      <c r="BU1155" s="701"/>
      <c r="BV1155" s="701"/>
      <c r="BW1155" s="701"/>
      <c r="BX1155" s="701"/>
      <c r="BY1155" s="701"/>
      <c r="BZ1155" s="701"/>
      <c r="CA1155" s="701"/>
      <c r="CB1155" s="701"/>
      <c r="CC1155" s="701"/>
      <c r="CD1155" s="701"/>
      <c r="CE1155" s="701"/>
      <c r="CF1155" s="701"/>
      <c r="CG1155" s="701"/>
      <c r="CH1155" s="701"/>
      <c r="CI1155" s="701"/>
      <c r="CJ1155" s="701"/>
      <c r="CK1155" s="701"/>
      <c r="CL1155" s="701"/>
      <c r="CM1155" s="701"/>
      <c r="CN1155" s="701"/>
      <c r="CO1155" s="701"/>
      <c r="CP1155" s="701"/>
      <c r="CQ1155" s="701"/>
      <c r="CR1155" s="701"/>
      <c r="CS1155" s="701"/>
      <c r="CT1155" s="701"/>
      <c r="CU1155" s="701"/>
      <c r="CV1155" s="701"/>
      <c r="CW1155" s="701"/>
      <c r="CX1155" s="701"/>
      <c r="CY1155" s="701"/>
      <c r="CZ1155" s="701"/>
      <c r="DA1155" s="701"/>
      <c r="DB1155" s="701"/>
      <c r="DC1155" s="701"/>
      <c r="DD1155" s="701"/>
      <c r="DE1155" s="701"/>
      <c r="DF1155" s="701"/>
      <c r="DG1155" s="701"/>
      <c r="DH1155" s="710"/>
    </row>
    <row r="1156" spans="1:112" s="649" customFormat="1" hidden="1" collapsed="1" x14ac:dyDescent="0.3">
      <c r="A1156" s="652" t="str">
        <f>IF(J1156&gt;0,"Imprimir","")</f>
        <v/>
      </c>
      <c r="B1156" s="652"/>
      <c r="C1156" s="711"/>
      <c r="D1156" s="712" t="s">
        <v>454</v>
      </c>
      <c r="E1156" s="712" t="s">
        <v>510</v>
      </c>
      <c r="F1156" s="712"/>
      <c r="G1156" s="713"/>
      <c r="H1156" s="712"/>
      <c r="I1156" s="714"/>
      <c r="J1156" s="166">
        <f>SUBTOTAL(9,J1159:J1172)</f>
        <v>0</v>
      </c>
      <c r="K1156" s="658"/>
      <c r="L1156" s="770">
        <f t="shared" ref="L1156:BG1156" si="380">SUMPRODUCT($J1159:$J1172,L1159:L1172)</f>
        <v>0</v>
      </c>
      <c r="M1156" s="771">
        <f t="shared" si="380"/>
        <v>0</v>
      </c>
      <c r="N1156" s="771">
        <f t="shared" si="380"/>
        <v>0</v>
      </c>
      <c r="O1156" s="771">
        <f t="shared" si="380"/>
        <v>0</v>
      </c>
      <c r="P1156" s="771">
        <f t="shared" si="380"/>
        <v>0</v>
      </c>
      <c r="Q1156" s="771">
        <f t="shared" si="380"/>
        <v>0</v>
      </c>
      <c r="R1156" s="771">
        <f t="shared" si="380"/>
        <v>0</v>
      </c>
      <c r="S1156" s="771">
        <f t="shared" si="380"/>
        <v>0</v>
      </c>
      <c r="T1156" s="771">
        <f t="shared" si="380"/>
        <v>0</v>
      </c>
      <c r="U1156" s="771">
        <f t="shared" si="380"/>
        <v>0</v>
      </c>
      <c r="V1156" s="771">
        <f t="shared" si="380"/>
        <v>0</v>
      </c>
      <c r="W1156" s="771">
        <f t="shared" si="380"/>
        <v>0</v>
      </c>
      <c r="X1156" s="771">
        <f t="shared" si="380"/>
        <v>0</v>
      </c>
      <c r="Y1156" s="771">
        <f t="shared" si="380"/>
        <v>0</v>
      </c>
      <c r="Z1156" s="771">
        <f t="shared" si="380"/>
        <v>0</v>
      </c>
      <c r="AA1156" s="771">
        <f t="shared" si="380"/>
        <v>0</v>
      </c>
      <c r="AB1156" s="771">
        <f t="shared" si="380"/>
        <v>0</v>
      </c>
      <c r="AC1156" s="771">
        <f t="shared" si="380"/>
        <v>0</v>
      </c>
      <c r="AD1156" s="771">
        <f t="shared" si="380"/>
        <v>0</v>
      </c>
      <c r="AE1156" s="771">
        <f t="shared" si="380"/>
        <v>0</v>
      </c>
      <c r="AF1156" s="771">
        <f t="shared" si="380"/>
        <v>0</v>
      </c>
      <c r="AG1156" s="771">
        <f t="shared" si="380"/>
        <v>0</v>
      </c>
      <c r="AH1156" s="771">
        <f t="shared" si="380"/>
        <v>0</v>
      </c>
      <c r="AI1156" s="771">
        <f t="shared" si="380"/>
        <v>0</v>
      </c>
      <c r="AJ1156" s="771">
        <f t="shared" si="380"/>
        <v>0</v>
      </c>
      <c r="AK1156" s="771">
        <f t="shared" si="380"/>
        <v>0</v>
      </c>
      <c r="AL1156" s="771">
        <f t="shared" si="380"/>
        <v>0</v>
      </c>
      <c r="AM1156" s="771">
        <f t="shared" si="380"/>
        <v>0</v>
      </c>
      <c r="AN1156" s="771">
        <f t="shared" si="380"/>
        <v>0</v>
      </c>
      <c r="AO1156" s="771">
        <f t="shared" si="380"/>
        <v>0</v>
      </c>
      <c r="AP1156" s="771">
        <f t="shared" si="380"/>
        <v>0</v>
      </c>
      <c r="AQ1156" s="771">
        <f t="shared" si="380"/>
        <v>0</v>
      </c>
      <c r="AR1156" s="771">
        <f t="shared" si="380"/>
        <v>0</v>
      </c>
      <c r="AS1156" s="771">
        <f t="shared" si="380"/>
        <v>0</v>
      </c>
      <c r="AT1156" s="771">
        <f t="shared" si="380"/>
        <v>0</v>
      </c>
      <c r="AU1156" s="771">
        <f t="shared" si="380"/>
        <v>0</v>
      </c>
      <c r="AV1156" s="771">
        <f t="shared" si="380"/>
        <v>0</v>
      </c>
      <c r="AW1156" s="771">
        <f t="shared" si="380"/>
        <v>0</v>
      </c>
      <c r="AX1156" s="771">
        <f t="shared" si="380"/>
        <v>0</v>
      </c>
      <c r="AY1156" s="771">
        <f t="shared" si="380"/>
        <v>0</v>
      </c>
      <c r="AZ1156" s="771">
        <f t="shared" si="380"/>
        <v>0</v>
      </c>
      <c r="BA1156" s="771">
        <f t="shared" si="380"/>
        <v>0</v>
      </c>
      <c r="BB1156" s="771">
        <f t="shared" si="380"/>
        <v>0</v>
      </c>
      <c r="BC1156" s="771">
        <f t="shared" si="380"/>
        <v>0</v>
      </c>
      <c r="BD1156" s="771">
        <f t="shared" si="380"/>
        <v>0</v>
      </c>
      <c r="BE1156" s="771">
        <f t="shared" si="380"/>
        <v>0</v>
      </c>
      <c r="BF1156" s="771">
        <f t="shared" si="380"/>
        <v>0</v>
      </c>
      <c r="BG1156" s="764">
        <f t="shared" si="380"/>
        <v>0</v>
      </c>
      <c r="BH1156" s="776"/>
      <c r="BI1156" s="654"/>
      <c r="BJ1156" s="659">
        <f>IFERROR(13/J1156,0)</f>
        <v>0</v>
      </c>
      <c r="BK1156" s="660">
        <f>SUBTOTAL(9,BK1157:BK1172)</f>
        <v>0</v>
      </c>
      <c r="BL1156" s="654"/>
      <c r="BM1156" s="661">
        <f t="shared" ref="BM1156:DH1156" si="381">SUBTOTAL(9,BM1157:BM1172)</f>
        <v>0</v>
      </c>
      <c r="BN1156" s="662">
        <f t="shared" si="381"/>
        <v>0</v>
      </c>
      <c r="BO1156" s="662">
        <f t="shared" si="381"/>
        <v>0</v>
      </c>
      <c r="BP1156" s="662">
        <f t="shared" si="381"/>
        <v>0</v>
      </c>
      <c r="BQ1156" s="662">
        <f t="shared" si="381"/>
        <v>0</v>
      </c>
      <c r="BR1156" s="662">
        <f t="shared" si="381"/>
        <v>0</v>
      </c>
      <c r="BS1156" s="662">
        <f t="shared" si="381"/>
        <v>0</v>
      </c>
      <c r="BT1156" s="662">
        <f t="shared" si="381"/>
        <v>0</v>
      </c>
      <c r="BU1156" s="662">
        <f t="shared" si="381"/>
        <v>0</v>
      </c>
      <c r="BV1156" s="662">
        <f t="shared" si="381"/>
        <v>0</v>
      </c>
      <c r="BW1156" s="662">
        <f t="shared" si="381"/>
        <v>0</v>
      </c>
      <c r="BX1156" s="662">
        <f t="shared" si="381"/>
        <v>0</v>
      </c>
      <c r="BY1156" s="662">
        <f t="shared" si="381"/>
        <v>0</v>
      </c>
      <c r="BZ1156" s="662">
        <f t="shared" si="381"/>
        <v>0</v>
      </c>
      <c r="CA1156" s="662">
        <f t="shared" si="381"/>
        <v>0</v>
      </c>
      <c r="CB1156" s="662">
        <f t="shared" si="381"/>
        <v>0</v>
      </c>
      <c r="CC1156" s="662">
        <f t="shared" si="381"/>
        <v>0</v>
      </c>
      <c r="CD1156" s="662">
        <f t="shared" si="381"/>
        <v>0</v>
      </c>
      <c r="CE1156" s="662">
        <f t="shared" si="381"/>
        <v>0</v>
      </c>
      <c r="CF1156" s="662">
        <f t="shared" si="381"/>
        <v>0</v>
      </c>
      <c r="CG1156" s="662">
        <f t="shared" si="381"/>
        <v>0</v>
      </c>
      <c r="CH1156" s="662">
        <f t="shared" si="381"/>
        <v>0</v>
      </c>
      <c r="CI1156" s="662">
        <f t="shared" si="381"/>
        <v>0</v>
      </c>
      <c r="CJ1156" s="662">
        <f t="shared" si="381"/>
        <v>0</v>
      </c>
      <c r="CK1156" s="662">
        <f t="shared" si="381"/>
        <v>0</v>
      </c>
      <c r="CL1156" s="662">
        <f t="shared" si="381"/>
        <v>0</v>
      </c>
      <c r="CM1156" s="662">
        <f t="shared" si="381"/>
        <v>0</v>
      </c>
      <c r="CN1156" s="662">
        <f t="shared" si="381"/>
        <v>0</v>
      </c>
      <c r="CO1156" s="662">
        <f t="shared" si="381"/>
        <v>0</v>
      </c>
      <c r="CP1156" s="662">
        <f t="shared" si="381"/>
        <v>0</v>
      </c>
      <c r="CQ1156" s="662">
        <f t="shared" si="381"/>
        <v>0</v>
      </c>
      <c r="CR1156" s="662">
        <f t="shared" si="381"/>
        <v>0</v>
      </c>
      <c r="CS1156" s="662">
        <f t="shared" si="381"/>
        <v>0</v>
      </c>
      <c r="CT1156" s="662">
        <f t="shared" si="381"/>
        <v>0</v>
      </c>
      <c r="CU1156" s="662">
        <f t="shared" si="381"/>
        <v>0</v>
      </c>
      <c r="CV1156" s="662">
        <f t="shared" si="381"/>
        <v>0</v>
      </c>
      <c r="CW1156" s="662">
        <f t="shared" si="381"/>
        <v>0</v>
      </c>
      <c r="CX1156" s="662">
        <f t="shared" si="381"/>
        <v>0</v>
      </c>
      <c r="CY1156" s="662">
        <f t="shared" si="381"/>
        <v>0</v>
      </c>
      <c r="CZ1156" s="662">
        <f t="shared" si="381"/>
        <v>0</v>
      </c>
      <c r="DA1156" s="662">
        <f t="shared" si="381"/>
        <v>0</v>
      </c>
      <c r="DB1156" s="662">
        <f t="shared" si="381"/>
        <v>0</v>
      </c>
      <c r="DC1156" s="662">
        <f t="shared" si="381"/>
        <v>0</v>
      </c>
      <c r="DD1156" s="662">
        <f t="shared" si="381"/>
        <v>0</v>
      </c>
      <c r="DE1156" s="662">
        <f t="shared" si="381"/>
        <v>0</v>
      </c>
      <c r="DF1156" s="662">
        <f t="shared" si="381"/>
        <v>0</v>
      </c>
      <c r="DG1156" s="662">
        <f t="shared" si="381"/>
        <v>0</v>
      </c>
      <c r="DH1156" s="663">
        <f t="shared" si="381"/>
        <v>0</v>
      </c>
    </row>
    <row r="1157" spans="1:112" s="649" customFormat="1" hidden="1" outlineLevel="1" x14ac:dyDescent="0.3">
      <c r="A1157" s="652" t="str">
        <f>IF(J1156&gt;0,"Imprimir","")</f>
        <v/>
      </c>
      <c r="B1157" s="652"/>
      <c r="C1157" s="664"/>
      <c r="D1157" s="665"/>
      <c r="E1157" s="665"/>
      <c r="F1157" s="665" t="s">
        <v>472</v>
      </c>
      <c r="G1157" s="716" t="s">
        <v>463</v>
      </c>
      <c r="H1157" s="665" t="s">
        <v>98</v>
      </c>
      <c r="I1157" s="665" t="s">
        <v>474</v>
      </c>
      <c r="J1157" s="104" t="s">
        <v>29</v>
      </c>
      <c r="K1157" s="667"/>
      <c r="L1157" s="745"/>
      <c r="M1157" s="741"/>
      <c r="N1157" s="741"/>
      <c r="O1157" s="741"/>
      <c r="P1157" s="741"/>
      <c r="Q1157" s="741"/>
      <c r="R1157" s="741"/>
      <c r="S1157" s="741"/>
      <c r="T1157" s="741"/>
      <c r="U1157" s="741"/>
      <c r="V1157" s="741"/>
      <c r="W1157" s="741"/>
      <c r="X1157" s="741"/>
      <c r="Y1157" s="741"/>
      <c r="Z1157" s="741"/>
      <c r="AA1157" s="741"/>
      <c r="AB1157" s="741"/>
      <c r="AC1157" s="741"/>
      <c r="AD1157" s="741"/>
      <c r="AE1157" s="741"/>
      <c r="AF1157" s="741"/>
      <c r="AG1157" s="741"/>
      <c r="AH1157" s="741"/>
      <c r="AI1157" s="741"/>
      <c r="AJ1157" s="741"/>
      <c r="AK1157" s="741"/>
      <c r="AL1157" s="741"/>
      <c r="AM1157" s="741"/>
      <c r="AN1157" s="741"/>
      <c r="AO1157" s="741"/>
      <c r="AP1157" s="741"/>
      <c r="AQ1157" s="741"/>
      <c r="AR1157" s="741"/>
      <c r="AS1157" s="741"/>
      <c r="AT1157" s="741"/>
      <c r="AU1157" s="741"/>
      <c r="AV1157" s="741"/>
      <c r="AW1157" s="741"/>
      <c r="AX1157" s="741"/>
      <c r="AY1157" s="741"/>
      <c r="AZ1157" s="741"/>
      <c r="BA1157" s="741"/>
      <c r="BB1157" s="741"/>
      <c r="BC1157" s="741"/>
      <c r="BD1157" s="741"/>
      <c r="BE1157" s="741"/>
      <c r="BF1157" s="741"/>
      <c r="BG1157" s="741"/>
      <c r="BH1157" s="668"/>
      <c r="BI1157" s="654"/>
      <c r="BJ1157" s="669"/>
      <c r="BK1157" s="670"/>
      <c r="BL1157" s="654"/>
      <c r="BM1157" s="671"/>
      <c r="BN1157" s="665"/>
      <c r="BO1157" s="665"/>
      <c r="BP1157" s="665"/>
      <c r="BQ1157" s="665"/>
      <c r="BR1157" s="665"/>
      <c r="BS1157" s="665"/>
      <c r="BT1157" s="665"/>
      <c r="BU1157" s="665"/>
      <c r="BV1157" s="665"/>
      <c r="BW1157" s="665"/>
      <c r="BX1157" s="665"/>
      <c r="BY1157" s="665"/>
      <c r="BZ1157" s="665"/>
      <c r="CA1157" s="665"/>
      <c r="CB1157" s="665"/>
      <c r="CC1157" s="665"/>
      <c r="CD1157" s="665"/>
      <c r="CE1157" s="665"/>
      <c r="CF1157" s="665"/>
      <c r="CG1157" s="665"/>
      <c r="CH1157" s="665"/>
      <c r="CI1157" s="665"/>
      <c r="CJ1157" s="665"/>
      <c r="CK1157" s="665"/>
      <c r="CL1157" s="665"/>
      <c r="CM1157" s="665"/>
      <c r="CN1157" s="665"/>
      <c r="CO1157" s="665"/>
      <c r="CP1157" s="665"/>
      <c r="CQ1157" s="665"/>
      <c r="CR1157" s="665"/>
      <c r="CS1157" s="665"/>
      <c r="CT1157" s="665"/>
      <c r="CU1157" s="665"/>
      <c r="CV1157" s="665"/>
      <c r="CW1157" s="665"/>
      <c r="CX1157" s="665"/>
      <c r="CY1157" s="665"/>
      <c r="CZ1157" s="665"/>
      <c r="DA1157" s="665"/>
      <c r="DB1157" s="665"/>
      <c r="DC1157" s="665"/>
      <c r="DD1157" s="665"/>
      <c r="DE1157" s="665"/>
      <c r="DF1157" s="665"/>
      <c r="DG1157" s="665"/>
      <c r="DH1157" s="666"/>
    </row>
    <row r="1158" spans="1:112" s="649" customFormat="1" ht="15.6" hidden="1" outlineLevel="1" x14ac:dyDescent="0.3">
      <c r="A1158" s="652" t="str">
        <f>IF(J1158&gt;0,"Imprimir","")</f>
        <v/>
      </c>
      <c r="B1158" s="652"/>
      <c r="C1158" s="672"/>
      <c r="D1158" s="673"/>
      <c r="E1158" s="674"/>
      <c r="F1158" s="675"/>
      <c r="G1158" s="726"/>
      <c r="H1158" s="676"/>
      <c r="I1158" s="677"/>
      <c r="J1158" s="219">
        <f>SUBTOTAL(9,J1159:J1172)</f>
        <v>0</v>
      </c>
      <c r="K1158" s="678"/>
      <c r="L1158" s="747"/>
      <c r="M1158" s="742"/>
      <c r="N1158" s="742"/>
      <c r="O1158" s="742"/>
      <c r="P1158" s="742"/>
      <c r="Q1158" s="742"/>
      <c r="R1158" s="742"/>
      <c r="S1158" s="742"/>
      <c r="T1158" s="742"/>
      <c r="U1158" s="742"/>
      <c r="V1158" s="742"/>
      <c r="W1158" s="742"/>
      <c r="X1158" s="742"/>
      <c r="Y1158" s="742"/>
      <c r="Z1158" s="742"/>
      <c r="AA1158" s="742"/>
      <c r="AB1158" s="742"/>
      <c r="AC1158" s="742"/>
      <c r="AD1158" s="742"/>
      <c r="AE1158" s="742"/>
      <c r="AF1158" s="742"/>
      <c r="AG1158" s="742"/>
      <c r="AH1158" s="742"/>
      <c r="AI1158" s="742"/>
      <c r="AJ1158" s="742"/>
      <c r="AK1158" s="742"/>
      <c r="AL1158" s="742"/>
      <c r="AM1158" s="742"/>
      <c r="AN1158" s="742"/>
      <c r="AO1158" s="742"/>
      <c r="AP1158" s="742"/>
      <c r="AQ1158" s="742"/>
      <c r="AR1158" s="742"/>
      <c r="AS1158" s="742"/>
      <c r="AT1158" s="742"/>
      <c r="AU1158" s="742"/>
      <c r="AV1158" s="742"/>
      <c r="AW1158" s="742"/>
      <c r="AX1158" s="742"/>
      <c r="AY1158" s="742"/>
      <c r="AZ1158" s="742"/>
      <c r="BA1158" s="742"/>
      <c r="BB1158" s="742"/>
      <c r="BC1158" s="742"/>
      <c r="BD1158" s="742"/>
      <c r="BE1158" s="742"/>
      <c r="BF1158" s="742"/>
      <c r="BG1158" s="742"/>
      <c r="BH1158" s="668"/>
      <c r="BI1158" s="654"/>
      <c r="BJ1158" s="729"/>
      <c r="BK1158" s="681"/>
      <c r="BL1158" s="654"/>
      <c r="BM1158" s="682"/>
      <c r="BN1158" s="683"/>
      <c r="BO1158" s="683"/>
      <c r="BP1158" s="683"/>
      <c r="BQ1158" s="683"/>
      <c r="BR1158" s="683"/>
      <c r="BS1158" s="683"/>
      <c r="BT1158" s="683"/>
      <c r="BU1158" s="683"/>
      <c r="BV1158" s="683"/>
      <c r="BW1158" s="683"/>
      <c r="BX1158" s="683"/>
      <c r="BY1158" s="683"/>
      <c r="BZ1158" s="683"/>
      <c r="CA1158" s="683"/>
      <c r="CB1158" s="683"/>
      <c r="CC1158" s="683"/>
      <c r="CD1158" s="683"/>
      <c r="CE1158" s="683"/>
      <c r="CF1158" s="683"/>
      <c r="CG1158" s="683"/>
      <c r="CH1158" s="683"/>
      <c r="CI1158" s="683"/>
      <c r="CJ1158" s="683"/>
      <c r="CK1158" s="683"/>
      <c r="CL1158" s="683"/>
      <c r="CM1158" s="683"/>
      <c r="CN1158" s="683"/>
      <c r="CO1158" s="683"/>
      <c r="CP1158" s="683"/>
      <c r="CQ1158" s="683"/>
      <c r="CR1158" s="683"/>
      <c r="CS1158" s="683"/>
      <c r="CT1158" s="683"/>
      <c r="CU1158" s="683"/>
      <c r="CV1158" s="683"/>
      <c r="CW1158" s="683"/>
      <c r="CX1158" s="683"/>
      <c r="CY1158" s="683"/>
      <c r="CZ1158" s="683"/>
      <c r="DA1158" s="683"/>
      <c r="DB1158" s="683"/>
      <c r="DC1158" s="683"/>
      <c r="DD1158" s="683"/>
      <c r="DE1158" s="683"/>
      <c r="DF1158" s="683"/>
      <c r="DG1158" s="683"/>
      <c r="DH1158" s="684"/>
    </row>
    <row r="1159" spans="1:112" s="649" customFormat="1" hidden="1" outlineLevel="1" x14ac:dyDescent="0.3">
      <c r="A1159" s="652" t="str">
        <f t="shared" ref="A1159:A1171" si="382">IF(J1159="","",IF(J1159=0,"","Imprimir"))</f>
        <v/>
      </c>
      <c r="B1159" s="652"/>
      <c r="C1159" s="685"/>
      <c r="D1159" s="686"/>
      <c r="E1159" s="686"/>
      <c r="F1159" s="720"/>
      <c r="G1159" s="688"/>
      <c r="H1159" s="689"/>
      <c r="I1159" s="851" t="str">
        <f t="shared" ref="I1159:I1171" si="383">IF(E1159&gt;0,$J$5,"")</f>
        <v/>
      </c>
      <c r="J1159" s="517" t="str">
        <f t="shared" ref="J1159:J1171" si="384">IFERROR(G1159*H1159*I1159,"")</f>
        <v/>
      </c>
      <c r="K1159" s="667"/>
      <c r="L1159" s="858"/>
      <c r="M1159" s="859"/>
      <c r="N1159" s="859"/>
      <c r="O1159" s="859"/>
      <c r="P1159" s="859"/>
      <c r="Q1159" s="859"/>
      <c r="R1159" s="859"/>
      <c r="S1159" s="859"/>
      <c r="T1159" s="859"/>
      <c r="U1159" s="859"/>
      <c r="V1159" s="859"/>
      <c r="W1159" s="859"/>
      <c r="X1159" s="859"/>
      <c r="Y1159" s="859"/>
      <c r="Z1159" s="860"/>
      <c r="AA1159" s="860"/>
      <c r="AB1159" s="860"/>
      <c r="AC1159" s="860"/>
      <c r="AD1159" s="860"/>
      <c r="AE1159" s="860"/>
      <c r="AF1159" s="860"/>
      <c r="AG1159" s="860"/>
      <c r="AH1159" s="860"/>
      <c r="AI1159" s="860"/>
      <c r="AJ1159" s="860"/>
      <c r="AK1159" s="860"/>
      <c r="AL1159" s="860"/>
      <c r="AM1159" s="860"/>
      <c r="AN1159" s="860"/>
      <c r="AO1159" s="860"/>
      <c r="AP1159" s="860"/>
      <c r="AQ1159" s="860"/>
      <c r="AR1159" s="860"/>
      <c r="AS1159" s="860"/>
      <c r="AT1159" s="860"/>
      <c r="AU1159" s="860"/>
      <c r="AV1159" s="860"/>
      <c r="AW1159" s="860"/>
      <c r="AX1159" s="860"/>
      <c r="AY1159" s="860"/>
      <c r="AZ1159" s="860"/>
      <c r="BA1159" s="860"/>
      <c r="BB1159" s="860"/>
      <c r="BC1159" s="860"/>
      <c r="BD1159" s="860"/>
      <c r="BE1159" s="860"/>
      <c r="BF1159" s="860"/>
      <c r="BG1159" s="860"/>
      <c r="BH1159" s="668"/>
      <c r="BI1159" s="654"/>
      <c r="BJ1159" s="690">
        <f t="shared" ref="BJ1159:BJ1171" si="385">IFERROR(BK1159/J1159,0)</f>
        <v>0</v>
      </c>
      <c r="BK1159" s="691">
        <f t="shared" ref="BK1159:BK1171" si="386">SUM(BM1159:DH1159)</f>
        <v>0</v>
      </c>
      <c r="BL1159" s="654"/>
      <c r="BM1159" s="692">
        <f>SUMIFS(Imput[[Importe Neto]:[Importe Neto]],Imput[[C. Imp.]:[C. Imp.]],$D1159,Imput[[PERIODO Imp.]:[PERIODO Imp.]],BM$9)</f>
        <v>0</v>
      </c>
      <c r="BN1159" s="693">
        <f>SUMIFS(Imput[[Importe Neto]:[Importe Neto]],Imput[[C. Imp.]:[C. Imp.]],$D1159,Imput[[PERIODO Imp.]:[PERIODO Imp.]],BN$9)</f>
        <v>0</v>
      </c>
      <c r="BO1159" s="693">
        <f>SUMIFS(Imput[[Importe Neto]:[Importe Neto]],Imput[[C. Imp.]:[C. Imp.]],$D1159,Imput[[PERIODO Imp.]:[PERIODO Imp.]],BO$9)</f>
        <v>0</v>
      </c>
      <c r="BP1159" s="693">
        <f>SUMIFS(Imput[[Importe Neto]:[Importe Neto]],Imput[[C. Imp.]:[C. Imp.]],$D1159,Imput[[PERIODO Imp.]:[PERIODO Imp.]],BP$9)</f>
        <v>0</v>
      </c>
      <c r="BQ1159" s="693">
        <f>SUMIFS(Imput[[Importe Neto]:[Importe Neto]],Imput[[C. Imp.]:[C. Imp.]],$D1159,Imput[[PERIODO Imp.]:[PERIODO Imp.]],BQ$9)</f>
        <v>0</v>
      </c>
      <c r="BR1159" s="693">
        <f>SUMIFS(Imput[[Importe Neto]:[Importe Neto]],Imput[[C. Imp.]:[C. Imp.]],$D1159,Imput[[PERIODO Imp.]:[PERIODO Imp.]],BR$9)</f>
        <v>0</v>
      </c>
      <c r="BS1159" s="693">
        <f>SUMIFS(Imput[[Importe Neto]:[Importe Neto]],Imput[[C. Imp.]:[C. Imp.]],$D1159,Imput[[PERIODO Imp.]:[PERIODO Imp.]],BS$9)</f>
        <v>0</v>
      </c>
      <c r="BT1159" s="693">
        <f>SUMIFS(Imput[[Importe Neto]:[Importe Neto]],Imput[[C. Imp.]:[C. Imp.]],$D1159,Imput[[PERIODO Imp.]:[PERIODO Imp.]],BT$9)</f>
        <v>0</v>
      </c>
      <c r="BU1159" s="693">
        <f>SUMIFS(Imput[[Importe Neto]:[Importe Neto]],Imput[[C. Imp.]:[C. Imp.]],$D1159,Imput[[PERIODO Imp.]:[PERIODO Imp.]],BU$9)</f>
        <v>0</v>
      </c>
      <c r="BV1159" s="693">
        <f>SUMIFS(Imput[[Importe Neto]:[Importe Neto]],Imput[[C. Imp.]:[C. Imp.]],$D1159,Imput[[PERIODO Imp.]:[PERIODO Imp.]],BV$9)</f>
        <v>0</v>
      </c>
      <c r="BW1159" s="693">
        <f>SUMIFS(Imput[[Importe Neto]:[Importe Neto]],Imput[[C. Imp.]:[C. Imp.]],$D1159,Imput[[PERIODO Imp.]:[PERIODO Imp.]],BW$9)</f>
        <v>0</v>
      </c>
      <c r="BX1159" s="693">
        <f>SUMIFS(Imput[[Importe Neto]:[Importe Neto]],Imput[[C. Imp.]:[C. Imp.]],$D1159,Imput[[PERIODO Imp.]:[PERIODO Imp.]],BX$9)</f>
        <v>0</v>
      </c>
      <c r="BY1159" s="693">
        <f>SUMIFS(Imput[[Importe Neto]:[Importe Neto]],Imput[[C. Imp.]:[C. Imp.]],$D1159,Imput[[PERIODO Imp.]:[PERIODO Imp.]],BY$9)</f>
        <v>0</v>
      </c>
      <c r="BZ1159" s="693">
        <f>SUMIFS(Imput[[Importe Neto]:[Importe Neto]],Imput[[C. Imp.]:[C. Imp.]],$D1159,Imput[[PERIODO Imp.]:[PERIODO Imp.]],BZ$9)</f>
        <v>0</v>
      </c>
      <c r="CA1159" s="693">
        <f>SUMIFS(Imput[[Importe Neto]:[Importe Neto]],Imput[[C. Imp.]:[C. Imp.]],$D1159,Imput[[PERIODO Imp.]:[PERIODO Imp.]],CA$9)</f>
        <v>0</v>
      </c>
      <c r="CB1159" s="693">
        <f>SUMIFS(Imput[[Importe Neto]:[Importe Neto]],Imput[[C. Imp.]:[C. Imp.]],$D1159,Imput[[PERIODO Imp.]:[PERIODO Imp.]],CB$9)</f>
        <v>0</v>
      </c>
      <c r="CC1159" s="693">
        <f>SUMIFS(Imput[[Importe Neto]:[Importe Neto]],Imput[[C. Imp.]:[C. Imp.]],$D1159,Imput[[PERIODO Imp.]:[PERIODO Imp.]],CC$9)</f>
        <v>0</v>
      </c>
      <c r="CD1159" s="693">
        <f>SUMIFS(Imput[[Importe Neto]:[Importe Neto]],Imput[[C. Imp.]:[C. Imp.]],$D1159,Imput[[PERIODO Imp.]:[PERIODO Imp.]],CD$9)</f>
        <v>0</v>
      </c>
      <c r="CE1159" s="693">
        <f>SUMIFS(Imput[[Importe Neto]:[Importe Neto]],Imput[[C. Imp.]:[C. Imp.]],$D1159,Imput[[PERIODO Imp.]:[PERIODO Imp.]],CE$9)</f>
        <v>0</v>
      </c>
      <c r="CF1159" s="693">
        <f>SUMIFS(Imput[[Importe Neto]:[Importe Neto]],Imput[[C. Imp.]:[C. Imp.]],$D1159,Imput[[PERIODO Imp.]:[PERIODO Imp.]],CF$9)</f>
        <v>0</v>
      </c>
      <c r="CG1159" s="693">
        <f>SUMIFS(Imput[[Importe Neto]:[Importe Neto]],Imput[[C. Imp.]:[C. Imp.]],$D1159,Imput[[PERIODO Imp.]:[PERIODO Imp.]],CG$9)</f>
        <v>0</v>
      </c>
      <c r="CH1159" s="693">
        <f>SUMIFS(Imput[[Importe Neto]:[Importe Neto]],Imput[[C. Imp.]:[C. Imp.]],$D1159,Imput[[PERIODO Imp.]:[PERIODO Imp.]],CH$9)</f>
        <v>0</v>
      </c>
      <c r="CI1159" s="693">
        <f>SUMIFS(Imput[[Importe Neto]:[Importe Neto]],Imput[[C. Imp.]:[C. Imp.]],$D1159,Imput[[PERIODO Imp.]:[PERIODO Imp.]],CI$9)</f>
        <v>0</v>
      </c>
      <c r="CJ1159" s="693">
        <f>SUMIFS(Imput[[Importe Neto]:[Importe Neto]],Imput[[C. Imp.]:[C. Imp.]],$D1159,Imput[[PERIODO Imp.]:[PERIODO Imp.]],CJ$9)</f>
        <v>0</v>
      </c>
      <c r="CK1159" s="693">
        <f>SUMIFS(Imput[[Importe Neto]:[Importe Neto]],Imput[[C. Imp.]:[C. Imp.]],$D1159,Imput[[PERIODO Imp.]:[PERIODO Imp.]],CK$9)</f>
        <v>0</v>
      </c>
      <c r="CL1159" s="693">
        <f>SUMIFS(Imput[[Importe Neto]:[Importe Neto]],Imput[[C. Imp.]:[C. Imp.]],$D1159,Imput[[PERIODO Imp.]:[PERIODO Imp.]],CL$9)</f>
        <v>0</v>
      </c>
      <c r="CM1159" s="693">
        <f>SUMIFS(Imput[[Importe Neto]:[Importe Neto]],Imput[[C. Imp.]:[C. Imp.]],$D1159,Imput[[PERIODO Imp.]:[PERIODO Imp.]],CM$9)</f>
        <v>0</v>
      </c>
      <c r="CN1159" s="693">
        <f>SUMIFS(Imput[[Importe Neto]:[Importe Neto]],Imput[[C. Imp.]:[C. Imp.]],$D1159,Imput[[PERIODO Imp.]:[PERIODO Imp.]],CN$9)</f>
        <v>0</v>
      </c>
      <c r="CO1159" s="693">
        <f>SUMIFS(Imput[[Importe Neto]:[Importe Neto]],Imput[[C. Imp.]:[C. Imp.]],$D1159,Imput[[PERIODO Imp.]:[PERIODO Imp.]],CO$9)</f>
        <v>0</v>
      </c>
      <c r="CP1159" s="693">
        <f>SUMIFS(Imput[[Importe Neto]:[Importe Neto]],Imput[[C. Imp.]:[C. Imp.]],$D1159,Imput[[PERIODO Imp.]:[PERIODO Imp.]],CP$9)</f>
        <v>0</v>
      </c>
      <c r="CQ1159" s="693">
        <f>SUMIFS(Imput[[Importe Neto]:[Importe Neto]],Imput[[C. Imp.]:[C. Imp.]],$D1159,Imput[[PERIODO Imp.]:[PERIODO Imp.]],CQ$9)</f>
        <v>0</v>
      </c>
      <c r="CR1159" s="693">
        <f>SUMIFS(Imput[[Importe Neto]:[Importe Neto]],Imput[[C. Imp.]:[C. Imp.]],$D1159,Imput[[PERIODO Imp.]:[PERIODO Imp.]],CR$9)</f>
        <v>0</v>
      </c>
      <c r="CS1159" s="693">
        <f>SUMIFS(Imput[[Importe Neto]:[Importe Neto]],Imput[[C. Imp.]:[C. Imp.]],$D1159,Imput[[PERIODO Imp.]:[PERIODO Imp.]],CS$9)</f>
        <v>0</v>
      </c>
      <c r="CT1159" s="693">
        <f>SUMIFS(Imput[[Importe Neto]:[Importe Neto]],Imput[[C. Imp.]:[C. Imp.]],$D1159,Imput[[PERIODO Imp.]:[PERIODO Imp.]],CT$9)</f>
        <v>0</v>
      </c>
      <c r="CU1159" s="693">
        <f>SUMIFS(Imput[[Importe Neto]:[Importe Neto]],Imput[[C. Imp.]:[C. Imp.]],$D1159,Imput[[PERIODO Imp.]:[PERIODO Imp.]],CU$9)</f>
        <v>0</v>
      </c>
      <c r="CV1159" s="693">
        <f>SUMIFS(Imput[[Importe Neto]:[Importe Neto]],Imput[[C. Imp.]:[C. Imp.]],$D1159,Imput[[PERIODO Imp.]:[PERIODO Imp.]],CV$9)</f>
        <v>0</v>
      </c>
      <c r="CW1159" s="693">
        <f>SUMIFS(Imput[[Importe Neto]:[Importe Neto]],Imput[[C. Imp.]:[C. Imp.]],$D1159,Imput[[PERIODO Imp.]:[PERIODO Imp.]],CW$9)</f>
        <v>0</v>
      </c>
      <c r="CX1159" s="693">
        <f>SUMIFS(Imput[[Importe Neto]:[Importe Neto]],Imput[[C. Imp.]:[C. Imp.]],$D1159,Imput[[PERIODO Imp.]:[PERIODO Imp.]],CX$9)</f>
        <v>0</v>
      </c>
      <c r="CY1159" s="693">
        <f>SUMIFS(Imput[[Importe Neto]:[Importe Neto]],Imput[[C. Imp.]:[C. Imp.]],$D1159,Imput[[PERIODO Imp.]:[PERIODO Imp.]],CY$9)</f>
        <v>0</v>
      </c>
      <c r="CZ1159" s="693">
        <f>SUMIFS(Imput[[Importe Neto]:[Importe Neto]],Imput[[C. Imp.]:[C. Imp.]],$D1159,Imput[[PERIODO Imp.]:[PERIODO Imp.]],CZ$9)</f>
        <v>0</v>
      </c>
      <c r="DA1159" s="693">
        <f>SUMIFS(Imput[[Importe Neto]:[Importe Neto]],Imput[[C. Imp.]:[C. Imp.]],$D1159,Imput[[PERIODO Imp.]:[PERIODO Imp.]],DA$9)</f>
        <v>0</v>
      </c>
      <c r="DB1159" s="693">
        <f>SUMIFS(Imput[[Importe Neto]:[Importe Neto]],Imput[[C. Imp.]:[C. Imp.]],$D1159,Imput[[PERIODO Imp.]:[PERIODO Imp.]],DB$9)</f>
        <v>0</v>
      </c>
      <c r="DC1159" s="693">
        <f>SUMIFS(Imput[[Importe Neto]:[Importe Neto]],Imput[[C. Imp.]:[C. Imp.]],$D1159,Imput[[PERIODO Imp.]:[PERIODO Imp.]],DC$9)</f>
        <v>0</v>
      </c>
      <c r="DD1159" s="693">
        <f>SUMIFS(Imput[[Importe Neto]:[Importe Neto]],Imput[[C. Imp.]:[C. Imp.]],$D1159,Imput[[PERIODO Imp.]:[PERIODO Imp.]],DD$9)</f>
        <v>0</v>
      </c>
      <c r="DE1159" s="693">
        <f>SUMIFS(Imput[[Importe Neto]:[Importe Neto]],Imput[[C. Imp.]:[C. Imp.]],$D1159,Imput[[PERIODO Imp.]:[PERIODO Imp.]],DE$9)</f>
        <v>0</v>
      </c>
      <c r="DF1159" s="693">
        <f>SUMIFS(Imput[[Importe Neto]:[Importe Neto]],Imput[[C. Imp.]:[C. Imp.]],$D1159,Imput[[PERIODO Imp.]:[PERIODO Imp.]],DF$9)</f>
        <v>0</v>
      </c>
      <c r="DG1159" s="693">
        <f>SUMIFS(Imput[[Importe Neto]:[Importe Neto]],Imput[[C. Imp.]:[C. Imp.]],$D1159,Imput[[PERIODO Imp.]:[PERIODO Imp.]],DG$9)</f>
        <v>0</v>
      </c>
      <c r="DH1159" s="694">
        <f>SUMIFS(Imput[[Importe Neto]:[Importe Neto]],Imput[[C. Imp.]:[C. Imp.]],$D1159,Imput[[PERIODO Imp.]:[PERIODO Imp.]],DH$9)</f>
        <v>0</v>
      </c>
    </row>
    <row r="1160" spans="1:112" s="649" customFormat="1" hidden="1" outlineLevel="1" x14ac:dyDescent="0.3">
      <c r="A1160" s="652" t="str">
        <f t="shared" si="382"/>
        <v/>
      </c>
      <c r="B1160" s="652"/>
      <c r="C1160" s="685"/>
      <c r="D1160" s="686"/>
      <c r="E1160" s="686"/>
      <c r="F1160" s="720"/>
      <c r="G1160" s="688"/>
      <c r="H1160" s="689"/>
      <c r="I1160" s="851" t="str">
        <f t="shared" si="383"/>
        <v/>
      </c>
      <c r="J1160" s="517" t="str">
        <f t="shared" si="384"/>
        <v/>
      </c>
      <c r="K1160" s="667"/>
      <c r="L1160" s="858"/>
      <c r="M1160" s="859"/>
      <c r="N1160" s="859"/>
      <c r="O1160" s="859"/>
      <c r="P1160" s="859"/>
      <c r="Q1160" s="859"/>
      <c r="R1160" s="859"/>
      <c r="S1160" s="859"/>
      <c r="T1160" s="859"/>
      <c r="U1160" s="859"/>
      <c r="V1160" s="859"/>
      <c r="W1160" s="859"/>
      <c r="X1160" s="859"/>
      <c r="Y1160" s="859"/>
      <c r="Z1160" s="860"/>
      <c r="AA1160" s="860"/>
      <c r="AB1160" s="860"/>
      <c r="AC1160" s="860"/>
      <c r="AD1160" s="860"/>
      <c r="AE1160" s="860"/>
      <c r="AF1160" s="860"/>
      <c r="AG1160" s="860"/>
      <c r="AH1160" s="860"/>
      <c r="AI1160" s="860"/>
      <c r="AJ1160" s="860"/>
      <c r="AK1160" s="860"/>
      <c r="AL1160" s="860"/>
      <c r="AM1160" s="860"/>
      <c r="AN1160" s="860"/>
      <c r="AO1160" s="860"/>
      <c r="AP1160" s="860"/>
      <c r="AQ1160" s="860"/>
      <c r="AR1160" s="860"/>
      <c r="AS1160" s="860"/>
      <c r="AT1160" s="860"/>
      <c r="AU1160" s="860"/>
      <c r="AV1160" s="860"/>
      <c r="AW1160" s="860"/>
      <c r="AX1160" s="860"/>
      <c r="AY1160" s="860"/>
      <c r="AZ1160" s="860"/>
      <c r="BA1160" s="860"/>
      <c r="BB1160" s="860"/>
      <c r="BC1160" s="860"/>
      <c r="BD1160" s="860"/>
      <c r="BE1160" s="860"/>
      <c r="BF1160" s="860"/>
      <c r="BG1160" s="860"/>
      <c r="BH1160" s="668"/>
      <c r="BI1160" s="654"/>
      <c r="BJ1160" s="690">
        <f t="shared" si="385"/>
        <v>0</v>
      </c>
      <c r="BK1160" s="691">
        <f t="shared" si="386"/>
        <v>0</v>
      </c>
      <c r="BL1160" s="654"/>
      <c r="BM1160" s="692">
        <f>SUMIFS(Imput[[Importe Neto]:[Importe Neto]],Imput[[C. Imp.]:[C. Imp.]],$D1160,Imput[[PERIODO Imp.]:[PERIODO Imp.]],BM$9)</f>
        <v>0</v>
      </c>
      <c r="BN1160" s="693">
        <f>SUMIFS(Imput[[Importe Neto]:[Importe Neto]],Imput[[C. Imp.]:[C. Imp.]],$D1160,Imput[[PERIODO Imp.]:[PERIODO Imp.]],BN$9)</f>
        <v>0</v>
      </c>
      <c r="BO1160" s="693">
        <f>SUMIFS(Imput[[Importe Neto]:[Importe Neto]],Imput[[C. Imp.]:[C. Imp.]],$D1160,Imput[[PERIODO Imp.]:[PERIODO Imp.]],BO$9)</f>
        <v>0</v>
      </c>
      <c r="BP1160" s="693">
        <f>SUMIFS(Imput[[Importe Neto]:[Importe Neto]],Imput[[C. Imp.]:[C. Imp.]],$D1160,Imput[[PERIODO Imp.]:[PERIODO Imp.]],BP$9)</f>
        <v>0</v>
      </c>
      <c r="BQ1160" s="693">
        <f>SUMIFS(Imput[[Importe Neto]:[Importe Neto]],Imput[[C. Imp.]:[C. Imp.]],$D1160,Imput[[PERIODO Imp.]:[PERIODO Imp.]],BQ$9)</f>
        <v>0</v>
      </c>
      <c r="BR1160" s="693">
        <f>SUMIFS(Imput[[Importe Neto]:[Importe Neto]],Imput[[C. Imp.]:[C. Imp.]],$D1160,Imput[[PERIODO Imp.]:[PERIODO Imp.]],BR$9)</f>
        <v>0</v>
      </c>
      <c r="BS1160" s="693">
        <f>SUMIFS(Imput[[Importe Neto]:[Importe Neto]],Imput[[C. Imp.]:[C. Imp.]],$D1160,Imput[[PERIODO Imp.]:[PERIODO Imp.]],BS$9)</f>
        <v>0</v>
      </c>
      <c r="BT1160" s="693">
        <f>SUMIFS(Imput[[Importe Neto]:[Importe Neto]],Imput[[C. Imp.]:[C. Imp.]],$D1160,Imput[[PERIODO Imp.]:[PERIODO Imp.]],BT$9)</f>
        <v>0</v>
      </c>
      <c r="BU1160" s="693">
        <f>SUMIFS(Imput[[Importe Neto]:[Importe Neto]],Imput[[C. Imp.]:[C. Imp.]],$D1160,Imput[[PERIODO Imp.]:[PERIODO Imp.]],BU$9)</f>
        <v>0</v>
      </c>
      <c r="BV1160" s="693">
        <f>SUMIFS(Imput[[Importe Neto]:[Importe Neto]],Imput[[C. Imp.]:[C. Imp.]],$D1160,Imput[[PERIODO Imp.]:[PERIODO Imp.]],BV$9)</f>
        <v>0</v>
      </c>
      <c r="BW1160" s="693">
        <f>SUMIFS(Imput[[Importe Neto]:[Importe Neto]],Imput[[C. Imp.]:[C. Imp.]],$D1160,Imput[[PERIODO Imp.]:[PERIODO Imp.]],BW$9)</f>
        <v>0</v>
      </c>
      <c r="BX1160" s="693">
        <f>SUMIFS(Imput[[Importe Neto]:[Importe Neto]],Imput[[C. Imp.]:[C. Imp.]],$D1160,Imput[[PERIODO Imp.]:[PERIODO Imp.]],BX$9)</f>
        <v>0</v>
      </c>
      <c r="BY1160" s="693">
        <f>SUMIFS(Imput[[Importe Neto]:[Importe Neto]],Imput[[C. Imp.]:[C. Imp.]],$D1160,Imput[[PERIODO Imp.]:[PERIODO Imp.]],BY$9)</f>
        <v>0</v>
      </c>
      <c r="BZ1160" s="693">
        <f>SUMIFS(Imput[[Importe Neto]:[Importe Neto]],Imput[[C. Imp.]:[C. Imp.]],$D1160,Imput[[PERIODO Imp.]:[PERIODO Imp.]],BZ$9)</f>
        <v>0</v>
      </c>
      <c r="CA1160" s="693">
        <f>SUMIFS(Imput[[Importe Neto]:[Importe Neto]],Imput[[C. Imp.]:[C. Imp.]],$D1160,Imput[[PERIODO Imp.]:[PERIODO Imp.]],CA$9)</f>
        <v>0</v>
      </c>
      <c r="CB1160" s="693">
        <f>SUMIFS(Imput[[Importe Neto]:[Importe Neto]],Imput[[C. Imp.]:[C. Imp.]],$D1160,Imput[[PERIODO Imp.]:[PERIODO Imp.]],CB$9)</f>
        <v>0</v>
      </c>
      <c r="CC1160" s="693">
        <f>SUMIFS(Imput[[Importe Neto]:[Importe Neto]],Imput[[C. Imp.]:[C. Imp.]],$D1160,Imput[[PERIODO Imp.]:[PERIODO Imp.]],CC$9)</f>
        <v>0</v>
      </c>
      <c r="CD1160" s="693">
        <f>SUMIFS(Imput[[Importe Neto]:[Importe Neto]],Imput[[C. Imp.]:[C. Imp.]],$D1160,Imput[[PERIODO Imp.]:[PERIODO Imp.]],CD$9)</f>
        <v>0</v>
      </c>
      <c r="CE1160" s="693">
        <f>SUMIFS(Imput[[Importe Neto]:[Importe Neto]],Imput[[C. Imp.]:[C. Imp.]],$D1160,Imput[[PERIODO Imp.]:[PERIODO Imp.]],CE$9)</f>
        <v>0</v>
      </c>
      <c r="CF1160" s="693">
        <f>SUMIFS(Imput[[Importe Neto]:[Importe Neto]],Imput[[C. Imp.]:[C. Imp.]],$D1160,Imput[[PERIODO Imp.]:[PERIODO Imp.]],CF$9)</f>
        <v>0</v>
      </c>
      <c r="CG1160" s="693">
        <f>SUMIFS(Imput[[Importe Neto]:[Importe Neto]],Imput[[C. Imp.]:[C. Imp.]],$D1160,Imput[[PERIODO Imp.]:[PERIODO Imp.]],CG$9)</f>
        <v>0</v>
      </c>
      <c r="CH1160" s="693">
        <f>SUMIFS(Imput[[Importe Neto]:[Importe Neto]],Imput[[C. Imp.]:[C. Imp.]],$D1160,Imput[[PERIODO Imp.]:[PERIODO Imp.]],CH$9)</f>
        <v>0</v>
      </c>
      <c r="CI1160" s="693">
        <f>SUMIFS(Imput[[Importe Neto]:[Importe Neto]],Imput[[C. Imp.]:[C. Imp.]],$D1160,Imput[[PERIODO Imp.]:[PERIODO Imp.]],CI$9)</f>
        <v>0</v>
      </c>
      <c r="CJ1160" s="693">
        <f>SUMIFS(Imput[[Importe Neto]:[Importe Neto]],Imput[[C. Imp.]:[C. Imp.]],$D1160,Imput[[PERIODO Imp.]:[PERIODO Imp.]],CJ$9)</f>
        <v>0</v>
      </c>
      <c r="CK1160" s="693">
        <f>SUMIFS(Imput[[Importe Neto]:[Importe Neto]],Imput[[C. Imp.]:[C. Imp.]],$D1160,Imput[[PERIODO Imp.]:[PERIODO Imp.]],CK$9)</f>
        <v>0</v>
      </c>
      <c r="CL1160" s="693">
        <f>SUMIFS(Imput[[Importe Neto]:[Importe Neto]],Imput[[C. Imp.]:[C. Imp.]],$D1160,Imput[[PERIODO Imp.]:[PERIODO Imp.]],CL$9)</f>
        <v>0</v>
      </c>
      <c r="CM1160" s="693">
        <f>SUMIFS(Imput[[Importe Neto]:[Importe Neto]],Imput[[C. Imp.]:[C. Imp.]],$D1160,Imput[[PERIODO Imp.]:[PERIODO Imp.]],CM$9)</f>
        <v>0</v>
      </c>
      <c r="CN1160" s="693">
        <f>SUMIFS(Imput[[Importe Neto]:[Importe Neto]],Imput[[C. Imp.]:[C. Imp.]],$D1160,Imput[[PERIODO Imp.]:[PERIODO Imp.]],CN$9)</f>
        <v>0</v>
      </c>
      <c r="CO1160" s="693">
        <f>SUMIFS(Imput[[Importe Neto]:[Importe Neto]],Imput[[C. Imp.]:[C. Imp.]],$D1160,Imput[[PERIODO Imp.]:[PERIODO Imp.]],CO$9)</f>
        <v>0</v>
      </c>
      <c r="CP1160" s="693">
        <f>SUMIFS(Imput[[Importe Neto]:[Importe Neto]],Imput[[C. Imp.]:[C. Imp.]],$D1160,Imput[[PERIODO Imp.]:[PERIODO Imp.]],CP$9)</f>
        <v>0</v>
      </c>
      <c r="CQ1160" s="693">
        <f>SUMIFS(Imput[[Importe Neto]:[Importe Neto]],Imput[[C. Imp.]:[C. Imp.]],$D1160,Imput[[PERIODO Imp.]:[PERIODO Imp.]],CQ$9)</f>
        <v>0</v>
      </c>
      <c r="CR1160" s="693">
        <f>SUMIFS(Imput[[Importe Neto]:[Importe Neto]],Imput[[C. Imp.]:[C. Imp.]],$D1160,Imput[[PERIODO Imp.]:[PERIODO Imp.]],CR$9)</f>
        <v>0</v>
      </c>
      <c r="CS1160" s="693">
        <f>SUMIFS(Imput[[Importe Neto]:[Importe Neto]],Imput[[C. Imp.]:[C. Imp.]],$D1160,Imput[[PERIODO Imp.]:[PERIODO Imp.]],CS$9)</f>
        <v>0</v>
      </c>
      <c r="CT1160" s="693">
        <f>SUMIFS(Imput[[Importe Neto]:[Importe Neto]],Imput[[C. Imp.]:[C. Imp.]],$D1160,Imput[[PERIODO Imp.]:[PERIODO Imp.]],CT$9)</f>
        <v>0</v>
      </c>
      <c r="CU1160" s="693">
        <f>SUMIFS(Imput[[Importe Neto]:[Importe Neto]],Imput[[C. Imp.]:[C. Imp.]],$D1160,Imput[[PERIODO Imp.]:[PERIODO Imp.]],CU$9)</f>
        <v>0</v>
      </c>
      <c r="CV1160" s="693">
        <f>SUMIFS(Imput[[Importe Neto]:[Importe Neto]],Imput[[C. Imp.]:[C. Imp.]],$D1160,Imput[[PERIODO Imp.]:[PERIODO Imp.]],CV$9)</f>
        <v>0</v>
      </c>
      <c r="CW1160" s="693">
        <f>SUMIFS(Imput[[Importe Neto]:[Importe Neto]],Imput[[C. Imp.]:[C. Imp.]],$D1160,Imput[[PERIODO Imp.]:[PERIODO Imp.]],CW$9)</f>
        <v>0</v>
      </c>
      <c r="CX1160" s="693">
        <f>SUMIFS(Imput[[Importe Neto]:[Importe Neto]],Imput[[C. Imp.]:[C. Imp.]],$D1160,Imput[[PERIODO Imp.]:[PERIODO Imp.]],CX$9)</f>
        <v>0</v>
      </c>
      <c r="CY1160" s="693">
        <f>SUMIFS(Imput[[Importe Neto]:[Importe Neto]],Imput[[C. Imp.]:[C. Imp.]],$D1160,Imput[[PERIODO Imp.]:[PERIODO Imp.]],CY$9)</f>
        <v>0</v>
      </c>
      <c r="CZ1160" s="693">
        <f>SUMIFS(Imput[[Importe Neto]:[Importe Neto]],Imput[[C. Imp.]:[C. Imp.]],$D1160,Imput[[PERIODO Imp.]:[PERIODO Imp.]],CZ$9)</f>
        <v>0</v>
      </c>
      <c r="DA1160" s="693">
        <f>SUMIFS(Imput[[Importe Neto]:[Importe Neto]],Imput[[C. Imp.]:[C. Imp.]],$D1160,Imput[[PERIODO Imp.]:[PERIODO Imp.]],DA$9)</f>
        <v>0</v>
      </c>
      <c r="DB1160" s="693">
        <f>SUMIFS(Imput[[Importe Neto]:[Importe Neto]],Imput[[C. Imp.]:[C. Imp.]],$D1160,Imput[[PERIODO Imp.]:[PERIODO Imp.]],DB$9)</f>
        <v>0</v>
      </c>
      <c r="DC1160" s="693">
        <f>SUMIFS(Imput[[Importe Neto]:[Importe Neto]],Imput[[C. Imp.]:[C. Imp.]],$D1160,Imput[[PERIODO Imp.]:[PERIODO Imp.]],DC$9)</f>
        <v>0</v>
      </c>
      <c r="DD1160" s="693">
        <f>SUMIFS(Imput[[Importe Neto]:[Importe Neto]],Imput[[C. Imp.]:[C. Imp.]],$D1160,Imput[[PERIODO Imp.]:[PERIODO Imp.]],DD$9)</f>
        <v>0</v>
      </c>
      <c r="DE1160" s="693">
        <f>SUMIFS(Imput[[Importe Neto]:[Importe Neto]],Imput[[C. Imp.]:[C. Imp.]],$D1160,Imput[[PERIODO Imp.]:[PERIODO Imp.]],DE$9)</f>
        <v>0</v>
      </c>
      <c r="DF1160" s="693">
        <f>SUMIFS(Imput[[Importe Neto]:[Importe Neto]],Imput[[C. Imp.]:[C. Imp.]],$D1160,Imput[[PERIODO Imp.]:[PERIODO Imp.]],DF$9)</f>
        <v>0</v>
      </c>
      <c r="DG1160" s="693">
        <f>SUMIFS(Imput[[Importe Neto]:[Importe Neto]],Imput[[C. Imp.]:[C. Imp.]],$D1160,Imput[[PERIODO Imp.]:[PERIODO Imp.]],DG$9)</f>
        <v>0</v>
      </c>
      <c r="DH1160" s="694">
        <f>SUMIFS(Imput[[Importe Neto]:[Importe Neto]],Imput[[C. Imp.]:[C. Imp.]],$D1160,Imput[[PERIODO Imp.]:[PERIODO Imp.]],DH$9)</f>
        <v>0</v>
      </c>
    </row>
    <row r="1161" spans="1:112" s="649" customFormat="1" hidden="1" outlineLevel="1" x14ac:dyDescent="0.3">
      <c r="A1161" s="652" t="str">
        <f t="shared" si="382"/>
        <v/>
      </c>
      <c r="B1161" s="652"/>
      <c r="C1161" s="685"/>
      <c r="D1161" s="686"/>
      <c r="E1161" s="686"/>
      <c r="F1161" s="720"/>
      <c r="G1161" s="688"/>
      <c r="H1161" s="689"/>
      <c r="I1161" s="851" t="str">
        <f t="shared" si="383"/>
        <v/>
      </c>
      <c r="J1161" s="517" t="str">
        <f t="shared" si="384"/>
        <v/>
      </c>
      <c r="K1161" s="667"/>
      <c r="L1161" s="858"/>
      <c r="M1161" s="859"/>
      <c r="N1161" s="859"/>
      <c r="O1161" s="859"/>
      <c r="P1161" s="859"/>
      <c r="Q1161" s="859"/>
      <c r="R1161" s="859"/>
      <c r="S1161" s="859"/>
      <c r="T1161" s="859"/>
      <c r="U1161" s="859"/>
      <c r="V1161" s="859"/>
      <c r="W1161" s="859"/>
      <c r="X1161" s="859"/>
      <c r="Y1161" s="859"/>
      <c r="Z1161" s="860"/>
      <c r="AA1161" s="860"/>
      <c r="AB1161" s="860"/>
      <c r="AC1161" s="860"/>
      <c r="AD1161" s="860"/>
      <c r="AE1161" s="860"/>
      <c r="AF1161" s="860"/>
      <c r="AG1161" s="860"/>
      <c r="AH1161" s="860"/>
      <c r="AI1161" s="860"/>
      <c r="AJ1161" s="860"/>
      <c r="AK1161" s="860"/>
      <c r="AL1161" s="860"/>
      <c r="AM1161" s="860"/>
      <c r="AN1161" s="860"/>
      <c r="AO1161" s="860"/>
      <c r="AP1161" s="860"/>
      <c r="AQ1161" s="860"/>
      <c r="AR1161" s="860"/>
      <c r="AS1161" s="860"/>
      <c r="AT1161" s="860"/>
      <c r="AU1161" s="860"/>
      <c r="AV1161" s="860"/>
      <c r="AW1161" s="860"/>
      <c r="AX1161" s="860"/>
      <c r="AY1161" s="860"/>
      <c r="AZ1161" s="860"/>
      <c r="BA1161" s="860"/>
      <c r="BB1161" s="860"/>
      <c r="BC1161" s="860"/>
      <c r="BD1161" s="860"/>
      <c r="BE1161" s="860"/>
      <c r="BF1161" s="860"/>
      <c r="BG1161" s="860"/>
      <c r="BH1161" s="668"/>
      <c r="BI1161" s="654"/>
      <c r="BJ1161" s="690">
        <f t="shared" si="385"/>
        <v>0</v>
      </c>
      <c r="BK1161" s="691">
        <f t="shared" si="386"/>
        <v>0</v>
      </c>
      <c r="BL1161" s="654"/>
      <c r="BM1161" s="692">
        <f>SUMIFS(Imput[[Importe Neto]:[Importe Neto]],Imput[[C. Imp.]:[C. Imp.]],$D1161,Imput[[PERIODO Imp.]:[PERIODO Imp.]],BM$9)</f>
        <v>0</v>
      </c>
      <c r="BN1161" s="693">
        <f>SUMIFS(Imput[[Importe Neto]:[Importe Neto]],Imput[[C. Imp.]:[C. Imp.]],$D1161,Imput[[PERIODO Imp.]:[PERIODO Imp.]],BN$9)</f>
        <v>0</v>
      </c>
      <c r="BO1161" s="693">
        <f>SUMIFS(Imput[[Importe Neto]:[Importe Neto]],Imput[[C. Imp.]:[C. Imp.]],$D1161,Imput[[PERIODO Imp.]:[PERIODO Imp.]],BO$9)</f>
        <v>0</v>
      </c>
      <c r="BP1161" s="693">
        <f>SUMIFS(Imput[[Importe Neto]:[Importe Neto]],Imput[[C. Imp.]:[C. Imp.]],$D1161,Imput[[PERIODO Imp.]:[PERIODO Imp.]],BP$9)</f>
        <v>0</v>
      </c>
      <c r="BQ1161" s="693">
        <f>SUMIFS(Imput[[Importe Neto]:[Importe Neto]],Imput[[C. Imp.]:[C. Imp.]],$D1161,Imput[[PERIODO Imp.]:[PERIODO Imp.]],BQ$9)</f>
        <v>0</v>
      </c>
      <c r="BR1161" s="693">
        <f>SUMIFS(Imput[[Importe Neto]:[Importe Neto]],Imput[[C. Imp.]:[C. Imp.]],$D1161,Imput[[PERIODO Imp.]:[PERIODO Imp.]],BR$9)</f>
        <v>0</v>
      </c>
      <c r="BS1161" s="693">
        <f>SUMIFS(Imput[[Importe Neto]:[Importe Neto]],Imput[[C. Imp.]:[C. Imp.]],$D1161,Imput[[PERIODO Imp.]:[PERIODO Imp.]],BS$9)</f>
        <v>0</v>
      </c>
      <c r="BT1161" s="693">
        <f>SUMIFS(Imput[[Importe Neto]:[Importe Neto]],Imput[[C. Imp.]:[C. Imp.]],$D1161,Imput[[PERIODO Imp.]:[PERIODO Imp.]],BT$9)</f>
        <v>0</v>
      </c>
      <c r="BU1161" s="693">
        <f>SUMIFS(Imput[[Importe Neto]:[Importe Neto]],Imput[[C. Imp.]:[C. Imp.]],$D1161,Imput[[PERIODO Imp.]:[PERIODO Imp.]],BU$9)</f>
        <v>0</v>
      </c>
      <c r="BV1161" s="693">
        <f>SUMIFS(Imput[[Importe Neto]:[Importe Neto]],Imput[[C. Imp.]:[C. Imp.]],$D1161,Imput[[PERIODO Imp.]:[PERIODO Imp.]],BV$9)</f>
        <v>0</v>
      </c>
      <c r="BW1161" s="693">
        <f>SUMIFS(Imput[[Importe Neto]:[Importe Neto]],Imput[[C. Imp.]:[C. Imp.]],$D1161,Imput[[PERIODO Imp.]:[PERIODO Imp.]],BW$9)</f>
        <v>0</v>
      </c>
      <c r="BX1161" s="693">
        <f>SUMIFS(Imput[[Importe Neto]:[Importe Neto]],Imput[[C. Imp.]:[C. Imp.]],$D1161,Imput[[PERIODO Imp.]:[PERIODO Imp.]],BX$9)</f>
        <v>0</v>
      </c>
      <c r="BY1161" s="693">
        <f>SUMIFS(Imput[[Importe Neto]:[Importe Neto]],Imput[[C. Imp.]:[C. Imp.]],$D1161,Imput[[PERIODO Imp.]:[PERIODO Imp.]],BY$9)</f>
        <v>0</v>
      </c>
      <c r="BZ1161" s="693">
        <f>SUMIFS(Imput[[Importe Neto]:[Importe Neto]],Imput[[C. Imp.]:[C. Imp.]],$D1161,Imput[[PERIODO Imp.]:[PERIODO Imp.]],BZ$9)</f>
        <v>0</v>
      </c>
      <c r="CA1161" s="693">
        <f>SUMIFS(Imput[[Importe Neto]:[Importe Neto]],Imput[[C. Imp.]:[C. Imp.]],$D1161,Imput[[PERIODO Imp.]:[PERIODO Imp.]],CA$9)</f>
        <v>0</v>
      </c>
      <c r="CB1161" s="693">
        <f>SUMIFS(Imput[[Importe Neto]:[Importe Neto]],Imput[[C. Imp.]:[C. Imp.]],$D1161,Imput[[PERIODO Imp.]:[PERIODO Imp.]],CB$9)</f>
        <v>0</v>
      </c>
      <c r="CC1161" s="693">
        <f>SUMIFS(Imput[[Importe Neto]:[Importe Neto]],Imput[[C. Imp.]:[C. Imp.]],$D1161,Imput[[PERIODO Imp.]:[PERIODO Imp.]],CC$9)</f>
        <v>0</v>
      </c>
      <c r="CD1161" s="693">
        <f>SUMIFS(Imput[[Importe Neto]:[Importe Neto]],Imput[[C. Imp.]:[C. Imp.]],$D1161,Imput[[PERIODO Imp.]:[PERIODO Imp.]],CD$9)</f>
        <v>0</v>
      </c>
      <c r="CE1161" s="693">
        <f>SUMIFS(Imput[[Importe Neto]:[Importe Neto]],Imput[[C. Imp.]:[C. Imp.]],$D1161,Imput[[PERIODO Imp.]:[PERIODO Imp.]],CE$9)</f>
        <v>0</v>
      </c>
      <c r="CF1161" s="693">
        <f>SUMIFS(Imput[[Importe Neto]:[Importe Neto]],Imput[[C. Imp.]:[C. Imp.]],$D1161,Imput[[PERIODO Imp.]:[PERIODO Imp.]],CF$9)</f>
        <v>0</v>
      </c>
      <c r="CG1161" s="693">
        <f>SUMIFS(Imput[[Importe Neto]:[Importe Neto]],Imput[[C. Imp.]:[C. Imp.]],$D1161,Imput[[PERIODO Imp.]:[PERIODO Imp.]],CG$9)</f>
        <v>0</v>
      </c>
      <c r="CH1161" s="693">
        <f>SUMIFS(Imput[[Importe Neto]:[Importe Neto]],Imput[[C. Imp.]:[C. Imp.]],$D1161,Imput[[PERIODO Imp.]:[PERIODO Imp.]],CH$9)</f>
        <v>0</v>
      </c>
      <c r="CI1161" s="693">
        <f>SUMIFS(Imput[[Importe Neto]:[Importe Neto]],Imput[[C. Imp.]:[C. Imp.]],$D1161,Imput[[PERIODO Imp.]:[PERIODO Imp.]],CI$9)</f>
        <v>0</v>
      </c>
      <c r="CJ1161" s="693">
        <f>SUMIFS(Imput[[Importe Neto]:[Importe Neto]],Imput[[C. Imp.]:[C. Imp.]],$D1161,Imput[[PERIODO Imp.]:[PERIODO Imp.]],CJ$9)</f>
        <v>0</v>
      </c>
      <c r="CK1161" s="693">
        <f>SUMIFS(Imput[[Importe Neto]:[Importe Neto]],Imput[[C. Imp.]:[C. Imp.]],$D1161,Imput[[PERIODO Imp.]:[PERIODO Imp.]],CK$9)</f>
        <v>0</v>
      </c>
      <c r="CL1161" s="693">
        <f>SUMIFS(Imput[[Importe Neto]:[Importe Neto]],Imput[[C. Imp.]:[C. Imp.]],$D1161,Imput[[PERIODO Imp.]:[PERIODO Imp.]],CL$9)</f>
        <v>0</v>
      </c>
      <c r="CM1161" s="693">
        <f>SUMIFS(Imput[[Importe Neto]:[Importe Neto]],Imput[[C. Imp.]:[C. Imp.]],$D1161,Imput[[PERIODO Imp.]:[PERIODO Imp.]],CM$9)</f>
        <v>0</v>
      </c>
      <c r="CN1161" s="693">
        <f>SUMIFS(Imput[[Importe Neto]:[Importe Neto]],Imput[[C. Imp.]:[C. Imp.]],$D1161,Imput[[PERIODO Imp.]:[PERIODO Imp.]],CN$9)</f>
        <v>0</v>
      </c>
      <c r="CO1161" s="693">
        <f>SUMIFS(Imput[[Importe Neto]:[Importe Neto]],Imput[[C. Imp.]:[C. Imp.]],$D1161,Imput[[PERIODO Imp.]:[PERIODO Imp.]],CO$9)</f>
        <v>0</v>
      </c>
      <c r="CP1161" s="693">
        <f>SUMIFS(Imput[[Importe Neto]:[Importe Neto]],Imput[[C. Imp.]:[C. Imp.]],$D1161,Imput[[PERIODO Imp.]:[PERIODO Imp.]],CP$9)</f>
        <v>0</v>
      </c>
      <c r="CQ1161" s="693">
        <f>SUMIFS(Imput[[Importe Neto]:[Importe Neto]],Imput[[C. Imp.]:[C. Imp.]],$D1161,Imput[[PERIODO Imp.]:[PERIODO Imp.]],CQ$9)</f>
        <v>0</v>
      </c>
      <c r="CR1161" s="693">
        <f>SUMIFS(Imput[[Importe Neto]:[Importe Neto]],Imput[[C. Imp.]:[C. Imp.]],$D1161,Imput[[PERIODO Imp.]:[PERIODO Imp.]],CR$9)</f>
        <v>0</v>
      </c>
      <c r="CS1161" s="693">
        <f>SUMIFS(Imput[[Importe Neto]:[Importe Neto]],Imput[[C. Imp.]:[C. Imp.]],$D1161,Imput[[PERIODO Imp.]:[PERIODO Imp.]],CS$9)</f>
        <v>0</v>
      </c>
      <c r="CT1161" s="693">
        <f>SUMIFS(Imput[[Importe Neto]:[Importe Neto]],Imput[[C. Imp.]:[C. Imp.]],$D1161,Imput[[PERIODO Imp.]:[PERIODO Imp.]],CT$9)</f>
        <v>0</v>
      </c>
      <c r="CU1161" s="693">
        <f>SUMIFS(Imput[[Importe Neto]:[Importe Neto]],Imput[[C. Imp.]:[C. Imp.]],$D1161,Imput[[PERIODO Imp.]:[PERIODO Imp.]],CU$9)</f>
        <v>0</v>
      </c>
      <c r="CV1161" s="693">
        <f>SUMIFS(Imput[[Importe Neto]:[Importe Neto]],Imput[[C. Imp.]:[C. Imp.]],$D1161,Imput[[PERIODO Imp.]:[PERIODO Imp.]],CV$9)</f>
        <v>0</v>
      </c>
      <c r="CW1161" s="693">
        <f>SUMIFS(Imput[[Importe Neto]:[Importe Neto]],Imput[[C. Imp.]:[C. Imp.]],$D1161,Imput[[PERIODO Imp.]:[PERIODO Imp.]],CW$9)</f>
        <v>0</v>
      </c>
      <c r="CX1161" s="693">
        <f>SUMIFS(Imput[[Importe Neto]:[Importe Neto]],Imput[[C. Imp.]:[C. Imp.]],$D1161,Imput[[PERIODO Imp.]:[PERIODO Imp.]],CX$9)</f>
        <v>0</v>
      </c>
      <c r="CY1161" s="693">
        <f>SUMIFS(Imput[[Importe Neto]:[Importe Neto]],Imput[[C. Imp.]:[C. Imp.]],$D1161,Imput[[PERIODO Imp.]:[PERIODO Imp.]],CY$9)</f>
        <v>0</v>
      </c>
      <c r="CZ1161" s="693">
        <f>SUMIFS(Imput[[Importe Neto]:[Importe Neto]],Imput[[C. Imp.]:[C. Imp.]],$D1161,Imput[[PERIODO Imp.]:[PERIODO Imp.]],CZ$9)</f>
        <v>0</v>
      </c>
      <c r="DA1161" s="693">
        <f>SUMIFS(Imput[[Importe Neto]:[Importe Neto]],Imput[[C. Imp.]:[C. Imp.]],$D1161,Imput[[PERIODO Imp.]:[PERIODO Imp.]],DA$9)</f>
        <v>0</v>
      </c>
      <c r="DB1161" s="693">
        <f>SUMIFS(Imput[[Importe Neto]:[Importe Neto]],Imput[[C. Imp.]:[C. Imp.]],$D1161,Imput[[PERIODO Imp.]:[PERIODO Imp.]],DB$9)</f>
        <v>0</v>
      </c>
      <c r="DC1161" s="693">
        <f>SUMIFS(Imput[[Importe Neto]:[Importe Neto]],Imput[[C. Imp.]:[C. Imp.]],$D1161,Imput[[PERIODO Imp.]:[PERIODO Imp.]],DC$9)</f>
        <v>0</v>
      </c>
      <c r="DD1161" s="693">
        <f>SUMIFS(Imput[[Importe Neto]:[Importe Neto]],Imput[[C. Imp.]:[C. Imp.]],$D1161,Imput[[PERIODO Imp.]:[PERIODO Imp.]],DD$9)</f>
        <v>0</v>
      </c>
      <c r="DE1161" s="693">
        <f>SUMIFS(Imput[[Importe Neto]:[Importe Neto]],Imput[[C. Imp.]:[C. Imp.]],$D1161,Imput[[PERIODO Imp.]:[PERIODO Imp.]],DE$9)</f>
        <v>0</v>
      </c>
      <c r="DF1161" s="693">
        <f>SUMIFS(Imput[[Importe Neto]:[Importe Neto]],Imput[[C. Imp.]:[C. Imp.]],$D1161,Imput[[PERIODO Imp.]:[PERIODO Imp.]],DF$9)</f>
        <v>0</v>
      </c>
      <c r="DG1161" s="693">
        <f>SUMIFS(Imput[[Importe Neto]:[Importe Neto]],Imput[[C. Imp.]:[C. Imp.]],$D1161,Imput[[PERIODO Imp.]:[PERIODO Imp.]],DG$9)</f>
        <v>0</v>
      </c>
      <c r="DH1161" s="694">
        <f>SUMIFS(Imput[[Importe Neto]:[Importe Neto]],Imput[[C. Imp.]:[C. Imp.]],$D1161,Imput[[PERIODO Imp.]:[PERIODO Imp.]],DH$9)</f>
        <v>0</v>
      </c>
    </row>
    <row r="1162" spans="1:112" s="649" customFormat="1" hidden="1" outlineLevel="1" x14ac:dyDescent="0.3">
      <c r="A1162" s="652" t="str">
        <f t="shared" si="382"/>
        <v/>
      </c>
      <c r="B1162" s="652"/>
      <c r="C1162" s="685"/>
      <c r="D1162" s="686"/>
      <c r="E1162" s="686"/>
      <c r="F1162" s="720"/>
      <c r="G1162" s="688"/>
      <c r="H1162" s="689"/>
      <c r="I1162" s="851" t="str">
        <f t="shared" si="383"/>
        <v/>
      </c>
      <c r="J1162" s="517" t="str">
        <f t="shared" si="384"/>
        <v/>
      </c>
      <c r="K1162" s="667"/>
      <c r="L1162" s="858"/>
      <c r="M1162" s="859"/>
      <c r="N1162" s="859"/>
      <c r="O1162" s="859"/>
      <c r="P1162" s="859"/>
      <c r="Q1162" s="859"/>
      <c r="R1162" s="859"/>
      <c r="S1162" s="859"/>
      <c r="T1162" s="859"/>
      <c r="U1162" s="859"/>
      <c r="V1162" s="859"/>
      <c r="W1162" s="859"/>
      <c r="X1162" s="859"/>
      <c r="Y1162" s="859"/>
      <c r="Z1162" s="860"/>
      <c r="AA1162" s="860"/>
      <c r="AB1162" s="860"/>
      <c r="AC1162" s="860"/>
      <c r="AD1162" s="860"/>
      <c r="AE1162" s="860"/>
      <c r="AF1162" s="860"/>
      <c r="AG1162" s="860"/>
      <c r="AH1162" s="860"/>
      <c r="AI1162" s="860"/>
      <c r="AJ1162" s="860"/>
      <c r="AK1162" s="860"/>
      <c r="AL1162" s="860"/>
      <c r="AM1162" s="860"/>
      <c r="AN1162" s="860"/>
      <c r="AO1162" s="860"/>
      <c r="AP1162" s="860"/>
      <c r="AQ1162" s="860"/>
      <c r="AR1162" s="860"/>
      <c r="AS1162" s="860"/>
      <c r="AT1162" s="860"/>
      <c r="AU1162" s="860"/>
      <c r="AV1162" s="860"/>
      <c r="AW1162" s="860"/>
      <c r="AX1162" s="860"/>
      <c r="AY1162" s="860"/>
      <c r="AZ1162" s="860"/>
      <c r="BA1162" s="860"/>
      <c r="BB1162" s="860"/>
      <c r="BC1162" s="860"/>
      <c r="BD1162" s="860"/>
      <c r="BE1162" s="860"/>
      <c r="BF1162" s="860"/>
      <c r="BG1162" s="860"/>
      <c r="BH1162" s="668"/>
      <c r="BI1162" s="654"/>
      <c r="BJ1162" s="690">
        <f t="shared" si="385"/>
        <v>0</v>
      </c>
      <c r="BK1162" s="691">
        <f t="shared" si="386"/>
        <v>0</v>
      </c>
      <c r="BL1162" s="654"/>
      <c r="BM1162" s="692">
        <f>SUMIFS(Imput[[Importe Neto]:[Importe Neto]],Imput[[C. Imp.]:[C. Imp.]],$D1162,Imput[[PERIODO Imp.]:[PERIODO Imp.]],BM$9)</f>
        <v>0</v>
      </c>
      <c r="BN1162" s="693">
        <f>SUMIFS(Imput[[Importe Neto]:[Importe Neto]],Imput[[C. Imp.]:[C. Imp.]],$D1162,Imput[[PERIODO Imp.]:[PERIODO Imp.]],BN$9)</f>
        <v>0</v>
      </c>
      <c r="BO1162" s="693">
        <f>SUMIFS(Imput[[Importe Neto]:[Importe Neto]],Imput[[C. Imp.]:[C. Imp.]],$D1162,Imput[[PERIODO Imp.]:[PERIODO Imp.]],BO$9)</f>
        <v>0</v>
      </c>
      <c r="BP1162" s="693">
        <f>SUMIFS(Imput[[Importe Neto]:[Importe Neto]],Imput[[C. Imp.]:[C. Imp.]],$D1162,Imput[[PERIODO Imp.]:[PERIODO Imp.]],BP$9)</f>
        <v>0</v>
      </c>
      <c r="BQ1162" s="693">
        <f>SUMIFS(Imput[[Importe Neto]:[Importe Neto]],Imput[[C. Imp.]:[C. Imp.]],$D1162,Imput[[PERIODO Imp.]:[PERIODO Imp.]],BQ$9)</f>
        <v>0</v>
      </c>
      <c r="BR1162" s="693">
        <f>SUMIFS(Imput[[Importe Neto]:[Importe Neto]],Imput[[C. Imp.]:[C. Imp.]],$D1162,Imput[[PERIODO Imp.]:[PERIODO Imp.]],BR$9)</f>
        <v>0</v>
      </c>
      <c r="BS1162" s="693">
        <f>SUMIFS(Imput[[Importe Neto]:[Importe Neto]],Imput[[C. Imp.]:[C. Imp.]],$D1162,Imput[[PERIODO Imp.]:[PERIODO Imp.]],BS$9)</f>
        <v>0</v>
      </c>
      <c r="BT1162" s="693">
        <f>SUMIFS(Imput[[Importe Neto]:[Importe Neto]],Imput[[C. Imp.]:[C. Imp.]],$D1162,Imput[[PERIODO Imp.]:[PERIODO Imp.]],BT$9)</f>
        <v>0</v>
      </c>
      <c r="BU1162" s="693">
        <f>SUMIFS(Imput[[Importe Neto]:[Importe Neto]],Imput[[C. Imp.]:[C. Imp.]],$D1162,Imput[[PERIODO Imp.]:[PERIODO Imp.]],BU$9)</f>
        <v>0</v>
      </c>
      <c r="BV1162" s="693">
        <f>SUMIFS(Imput[[Importe Neto]:[Importe Neto]],Imput[[C. Imp.]:[C. Imp.]],$D1162,Imput[[PERIODO Imp.]:[PERIODO Imp.]],BV$9)</f>
        <v>0</v>
      </c>
      <c r="BW1162" s="693">
        <f>SUMIFS(Imput[[Importe Neto]:[Importe Neto]],Imput[[C. Imp.]:[C. Imp.]],$D1162,Imput[[PERIODO Imp.]:[PERIODO Imp.]],BW$9)</f>
        <v>0</v>
      </c>
      <c r="BX1162" s="693">
        <f>SUMIFS(Imput[[Importe Neto]:[Importe Neto]],Imput[[C. Imp.]:[C. Imp.]],$D1162,Imput[[PERIODO Imp.]:[PERIODO Imp.]],BX$9)</f>
        <v>0</v>
      </c>
      <c r="BY1162" s="693">
        <f>SUMIFS(Imput[[Importe Neto]:[Importe Neto]],Imput[[C. Imp.]:[C. Imp.]],$D1162,Imput[[PERIODO Imp.]:[PERIODO Imp.]],BY$9)</f>
        <v>0</v>
      </c>
      <c r="BZ1162" s="693">
        <f>SUMIFS(Imput[[Importe Neto]:[Importe Neto]],Imput[[C. Imp.]:[C. Imp.]],$D1162,Imput[[PERIODO Imp.]:[PERIODO Imp.]],BZ$9)</f>
        <v>0</v>
      </c>
      <c r="CA1162" s="693">
        <f>SUMIFS(Imput[[Importe Neto]:[Importe Neto]],Imput[[C. Imp.]:[C. Imp.]],$D1162,Imput[[PERIODO Imp.]:[PERIODO Imp.]],CA$9)</f>
        <v>0</v>
      </c>
      <c r="CB1162" s="693">
        <f>SUMIFS(Imput[[Importe Neto]:[Importe Neto]],Imput[[C. Imp.]:[C. Imp.]],$D1162,Imput[[PERIODO Imp.]:[PERIODO Imp.]],CB$9)</f>
        <v>0</v>
      </c>
      <c r="CC1162" s="693">
        <f>SUMIFS(Imput[[Importe Neto]:[Importe Neto]],Imput[[C. Imp.]:[C. Imp.]],$D1162,Imput[[PERIODO Imp.]:[PERIODO Imp.]],CC$9)</f>
        <v>0</v>
      </c>
      <c r="CD1162" s="693">
        <f>SUMIFS(Imput[[Importe Neto]:[Importe Neto]],Imput[[C. Imp.]:[C. Imp.]],$D1162,Imput[[PERIODO Imp.]:[PERIODO Imp.]],CD$9)</f>
        <v>0</v>
      </c>
      <c r="CE1162" s="693">
        <f>SUMIFS(Imput[[Importe Neto]:[Importe Neto]],Imput[[C. Imp.]:[C. Imp.]],$D1162,Imput[[PERIODO Imp.]:[PERIODO Imp.]],CE$9)</f>
        <v>0</v>
      </c>
      <c r="CF1162" s="693">
        <f>SUMIFS(Imput[[Importe Neto]:[Importe Neto]],Imput[[C. Imp.]:[C. Imp.]],$D1162,Imput[[PERIODO Imp.]:[PERIODO Imp.]],CF$9)</f>
        <v>0</v>
      </c>
      <c r="CG1162" s="693">
        <f>SUMIFS(Imput[[Importe Neto]:[Importe Neto]],Imput[[C. Imp.]:[C. Imp.]],$D1162,Imput[[PERIODO Imp.]:[PERIODO Imp.]],CG$9)</f>
        <v>0</v>
      </c>
      <c r="CH1162" s="693">
        <f>SUMIFS(Imput[[Importe Neto]:[Importe Neto]],Imput[[C. Imp.]:[C. Imp.]],$D1162,Imput[[PERIODO Imp.]:[PERIODO Imp.]],CH$9)</f>
        <v>0</v>
      </c>
      <c r="CI1162" s="693">
        <f>SUMIFS(Imput[[Importe Neto]:[Importe Neto]],Imput[[C. Imp.]:[C. Imp.]],$D1162,Imput[[PERIODO Imp.]:[PERIODO Imp.]],CI$9)</f>
        <v>0</v>
      </c>
      <c r="CJ1162" s="693">
        <f>SUMIFS(Imput[[Importe Neto]:[Importe Neto]],Imput[[C. Imp.]:[C. Imp.]],$D1162,Imput[[PERIODO Imp.]:[PERIODO Imp.]],CJ$9)</f>
        <v>0</v>
      </c>
      <c r="CK1162" s="693">
        <f>SUMIFS(Imput[[Importe Neto]:[Importe Neto]],Imput[[C. Imp.]:[C. Imp.]],$D1162,Imput[[PERIODO Imp.]:[PERIODO Imp.]],CK$9)</f>
        <v>0</v>
      </c>
      <c r="CL1162" s="693">
        <f>SUMIFS(Imput[[Importe Neto]:[Importe Neto]],Imput[[C. Imp.]:[C. Imp.]],$D1162,Imput[[PERIODO Imp.]:[PERIODO Imp.]],CL$9)</f>
        <v>0</v>
      </c>
      <c r="CM1162" s="693">
        <f>SUMIFS(Imput[[Importe Neto]:[Importe Neto]],Imput[[C. Imp.]:[C. Imp.]],$D1162,Imput[[PERIODO Imp.]:[PERIODO Imp.]],CM$9)</f>
        <v>0</v>
      </c>
      <c r="CN1162" s="693">
        <f>SUMIFS(Imput[[Importe Neto]:[Importe Neto]],Imput[[C. Imp.]:[C. Imp.]],$D1162,Imput[[PERIODO Imp.]:[PERIODO Imp.]],CN$9)</f>
        <v>0</v>
      </c>
      <c r="CO1162" s="693">
        <f>SUMIFS(Imput[[Importe Neto]:[Importe Neto]],Imput[[C. Imp.]:[C. Imp.]],$D1162,Imput[[PERIODO Imp.]:[PERIODO Imp.]],CO$9)</f>
        <v>0</v>
      </c>
      <c r="CP1162" s="693">
        <f>SUMIFS(Imput[[Importe Neto]:[Importe Neto]],Imput[[C. Imp.]:[C. Imp.]],$D1162,Imput[[PERIODO Imp.]:[PERIODO Imp.]],CP$9)</f>
        <v>0</v>
      </c>
      <c r="CQ1162" s="693">
        <f>SUMIFS(Imput[[Importe Neto]:[Importe Neto]],Imput[[C. Imp.]:[C. Imp.]],$D1162,Imput[[PERIODO Imp.]:[PERIODO Imp.]],CQ$9)</f>
        <v>0</v>
      </c>
      <c r="CR1162" s="693">
        <f>SUMIFS(Imput[[Importe Neto]:[Importe Neto]],Imput[[C. Imp.]:[C. Imp.]],$D1162,Imput[[PERIODO Imp.]:[PERIODO Imp.]],CR$9)</f>
        <v>0</v>
      </c>
      <c r="CS1162" s="693">
        <f>SUMIFS(Imput[[Importe Neto]:[Importe Neto]],Imput[[C. Imp.]:[C. Imp.]],$D1162,Imput[[PERIODO Imp.]:[PERIODO Imp.]],CS$9)</f>
        <v>0</v>
      </c>
      <c r="CT1162" s="693">
        <f>SUMIFS(Imput[[Importe Neto]:[Importe Neto]],Imput[[C. Imp.]:[C. Imp.]],$D1162,Imput[[PERIODO Imp.]:[PERIODO Imp.]],CT$9)</f>
        <v>0</v>
      </c>
      <c r="CU1162" s="693">
        <f>SUMIFS(Imput[[Importe Neto]:[Importe Neto]],Imput[[C. Imp.]:[C. Imp.]],$D1162,Imput[[PERIODO Imp.]:[PERIODO Imp.]],CU$9)</f>
        <v>0</v>
      </c>
      <c r="CV1162" s="693">
        <f>SUMIFS(Imput[[Importe Neto]:[Importe Neto]],Imput[[C. Imp.]:[C. Imp.]],$D1162,Imput[[PERIODO Imp.]:[PERIODO Imp.]],CV$9)</f>
        <v>0</v>
      </c>
      <c r="CW1162" s="693">
        <f>SUMIFS(Imput[[Importe Neto]:[Importe Neto]],Imput[[C. Imp.]:[C. Imp.]],$D1162,Imput[[PERIODO Imp.]:[PERIODO Imp.]],CW$9)</f>
        <v>0</v>
      </c>
      <c r="CX1162" s="693">
        <f>SUMIFS(Imput[[Importe Neto]:[Importe Neto]],Imput[[C. Imp.]:[C. Imp.]],$D1162,Imput[[PERIODO Imp.]:[PERIODO Imp.]],CX$9)</f>
        <v>0</v>
      </c>
      <c r="CY1162" s="693">
        <f>SUMIFS(Imput[[Importe Neto]:[Importe Neto]],Imput[[C. Imp.]:[C. Imp.]],$D1162,Imput[[PERIODO Imp.]:[PERIODO Imp.]],CY$9)</f>
        <v>0</v>
      </c>
      <c r="CZ1162" s="693">
        <f>SUMIFS(Imput[[Importe Neto]:[Importe Neto]],Imput[[C. Imp.]:[C. Imp.]],$D1162,Imput[[PERIODO Imp.]:[PERIODO Imp.]],CZ$9)</f>
        <v>0</v>
      </c>
      <c r="DA1162" s="693">
        <f>SUMIFS(Imput[[Importe Neto]:[Importe Neto]],Imput[[C. Imp.]:[C. Imp.]],$D1162,Imput[[PERIODO Imp.]:[PERIODO Imp.]],DA$9)</f>
        <v>0</v>
      </c>
      <c r="DB1162" s="693">
        <f>SUMIFS(Imput[[Importe Neto]:[Importe Neto]],Imput[[C. Imp.]:[C. Imp.]],$D1162,Imput[[PERIODO Imp.]:[PERIODO Imp.]],DB$9)</f>
        <v>0</v>
      </c>
      <c r="DC1162" s="693">
        <f>SUMIFS(Imput[[Importe Neto]:[Importe Neto]],Imput[[C. Imp.]:[C. Imp.]],$D1162,Imput[[PERIODO Imp.]:[PERIODO Imp.]],DC$9)</f>
        <v>0</v>
      </c>
      <c r="DD1162" s="693">
        <f>SUMIFS(Imput[[Importe Neto]:[Importe Neto]],Imput[[C. Imp.]:[C. Imp.]],$D1162,Imput[[PERIODO Imp.]:[PERIODO Imp.]],DD$9)</f>
        <v>0</v>
      </c>
      <c r="DE1162" s="693">
        <f>SUMIFS(Imput[[Importe Neto]:[Importe Neto]],Imput[[C. Imp.]:[C. Imp.]],$D1162,Imput[[PERIODO Imp.]:[PERIODO Imp.]],DE$9)</f>
        <v>0</v>
      </c>
      <c r="DF1162" s="693">
        <f>SUMIFS(Imput[[Importe Neto]:[Importe Neto]],Imput[[C. Imp.]:[C. Imp.]],$D1162,Imput[[PERIODO Imp.]:[PERIODO Imp.]],DF$9)</f>
        <v>0</v>
      </c>
      <c r="DG1162" s="693">
        <f>SUMIFS(Imput[[Importe Neto]:[Importe Neto]],Imput[[C. Imp.]:[C. Imp.]],$D1162,Imput[[PERIODO Imp.]:[PERIODO Imp.]],DG$9)</f>
        <v>0</v>
      </c>
      <c r="DH1162" s="694">
        <f>SUMIFS(Imput[[Importe Neto]:[Importe Neto]],Imput[[C. Imp.]:[C. Imp.]],$D1162,Imput[[PERIODO Imp.]:[PERIODO Imp.]],DH$9)</f>
        <v>0</v>
      </c>
    </row>
    <row r="1163" spans="1:112" s="649" customFormat="1" hidden="1" outlineLevel="1" x14ac:dyDescent="0.3">
      <c r="A1163" s="652" t="str">
        <f t="shared" si="382"/>
        <v/>
      </c>
      <c r="B1163" s="652"/>
      <c r="C1163" s="685"/>
      <c r="D1163" s="686"/>
      <c r="E1163" s="686"/>
      <c r="F1163" s="720"/>
      <c r="G1163" s="688"/>
      <c r="H1163" s="689"/>
      <c r="I1163" s="851" t="str">
        <f t="shared" si="383"/>
        <v/>
      </c>
      <c r="J1163" s="517" t="str">
        <f t="shared" si="384"/>
        <v/>
      </c>
      <c r="K1163" s="667"/>
      <c r="L1163" s="858"/>
      <c r="M1163" s="859"/>
      <c r="N1163" s="859"/>
      <c r="O1163" s="859"/>
      <c r="P1163" s="859"/>
      <c r="Q1163" s="859"/>
      <c r="R1163" s="859"/>
      <c r="S1163" s="859"/>
      <c r="T1163" s="859"/>
      <c r="U1163" s="859"/>
      <c r="V1163" s="859"/>
      <c r="W1163" s="859"/>
      <c r="X1163" s="859"/>
      <c r="Y1163" s="859"/>
      <c r="Z1163" s="860"/>
      <c r="AA1163" s="860"/>
      <c r="AB1163" s="860"/>
      <c r="AC1163" s="860"/>
      <c r="AD1163" s="860"/>
      <c r="AE1163" s="860"/>
      <c r="AF1163" s="860"/>
      <c r="AG1163" s="860"/>
      <c r="AH1163" s="860"/>
      <c r="AI1163" s="860"/>
      <c r="AJ1163" s="860"/>
      <c r="AK1163" s="860"/>
      <c r="AL1163" s="860"/>
      <c r="AM1163" s="860"/>
      <c r="AN1163" s="860"/>
      <c r="AO1163" s="860"/>
      <c r="AP1163" s="860"/>
      <c r="AQ1163" s="860"/>
      <c r="AR1163" s="860"/>
      <c r="AS1163" s="860"/>
      <c r="AT1163" s="860"/>
      <c r="AU1163" s="860"/>
      <c r="AV1163" s="860"/>
      <c r="AW1163" s="860"/>
      <c r="AX1163" s="860"/>
      <c r="AY1163" s="860"/>
      <c r="AZ1163" s="860"/>
      <c r="BA1163" s="860"/>
      <c r="BB1163" s="860"/>
      <c r="BC1163" s="860"/>
      <c r="BD1163" s="860"/>
      <c r="BE1163" s="860"/>
      <c r="BF1163" s="860"/>
      <c r="BG1163" s="860"/>
      <c r="BH1163" s="668"/>
      <c r="BI1163" s="654"/>
      <c r="BJ1163" s="690">
        <f t="shared" si="385"/>
        <v>0</v>
      </c>
      <c r="BK1163" s="691">
        <f t="shared" si="386"/>
        <v>0</v>
      </c>
      <c r="BL1163" s="654"/>
      <c r="BM1163" s="692">
        <f>SUMIFS(Imput[[Importe Neto]:[Importe Neto]],Imput[[C. Imp.]:[C. Imp.]],$D1163,Imput[[PERIODO Imp.]:[PERIODO Imp.]],BM$9)</f>
        <v>0</v>
      </c>
      <c r="BN1163" s="693">
        <f>SUMIFS(Imput[[Importe Neto]:[Importe Neto]],Imput[[C. Imp.]:[C. Imp.]],$D1163,Imput[[PERIODO Imp.]:[PERIODO Imp.]],BN$9)</f>
        <v>0</v>
      </c>
      <c r="BO1163" s="693">
        <f>SUMIFS(Imput[[Importe Neto]:[Importe Neto]],Imput[[C. Imp.]:[C. Imp.]],$D1163,Imput[[PERIODO Imp.]:[PERIODO Imp.]],BO$9)</f>
        <v>0</v>
      </c>
      <c r="BP1163" s="693">
        <f>SUMIFS(Imput[[Importe Neto]:[Importe Neto]],Imput[[C. Imp.]:[C. Imp.]],$D1163,Imput[[PERIODO Imp.]:[PERIODO Imp.]],BP$9)</f>
        <v>0</v>
      </c>
      <c r="BQ1163" s="693">
        <f>SUMIFS(Imput[[Importe Neto]:[Importe Neto]],Imput[[C. Imp.]:[C. Imp.]],$D1163,Imput[[PERIODO Imp.]:[PERIODO Imp.]],BQ$9)</f>
        <v>0</v>
      </c>
      <c r="BR1163" s="693">
        <f>SUMIFS(Imput[[Importe Neto]:[Importe Neto]],Imput[[C. Imp.]:[C. Imp.]],$D1163,Imput[[PERIODO Imp.]:[PERIODO Imp.]],BR$9)</f>
        <v>0</v>
      </c>
      <c r="BS1163" s="693">
        <f>SUMIFS(Imput[[Importe Neto]:[Importe Neto]],Imput[[C. Imp.]:[C. Imp.]],$D1163,Imput[[PERIODO Imp.]:[PERIODO Imp.]],BS$9)</f>
        <v>0</v>
      </c>
      <c r="BT1163" s="693">
        <f>SUMIFS(Imput[[Importe Neto]:[Importe Neto]],Imput[[C. Imp.]:[C. Imp.]],$D1163,Imput[[PERIODO Imp.]:[PERIODO Imp.]],BT$9)</f>
        <v>0</v>
      </c>
      <c r="BU1163" s="693">
        <f>SUMIFS(Imput[[Importe Neto]:[Importe Neto]],Imput[[C. Imp.]:[C. Imp.]],$D1163,Imput[[PERIODO Imp.]:[PERIODO Imp.]],BU$9)</f>
        <v>0</v>
      </c>
      <c r="BV1163" s="693">
        <f>SUMIFS(Imput[[Importe Neto]:[Importe Neto]],Imput[[C. Imp.]:[C. Imp.]],$D1163,Imput[[PERIODO Imp.]:[PERIODO Imp.]],BV$9)</f>
        <v>0</v>
      </c>
      <c r="BW1163" s="693">
        <f>SUMIFS(Imput[[Importe Neto]:[Importe Neto]],Imput[[C. Imp.]:[C. Imp.]],$D1163,Imput[[PERIODO Imp.]:[PERIODO Imp.]],BW$9)</f>
        <v>0</v>
      </c>
      <c r="BX1163" s="693">
        <f>SUMIFS(Imput[[Importe Neto]:[Importe Neto]],Imput[[C. Imp.]:[C. Imp.]],$D1163,Imput[[PERIODO Imp.]:[PERIODO Imp.]],BX$9)</f>
        <v>0</v>
      </c>
      <c r="BY1163" s="693">
        <f>SUMIFS(Imput[[Importe Neto]:[Importe Neto]],Imput[[C. Imp.]:[C. Imp.]],$D1163,Imput[[PERIODO Imp.]:[PERIODO Imp.]],BY$9)</f>
        <v>0</v>
      </c>
      <c r="BZ1163" s="693">
        <f>SUMIFS(Imput[[Importe Neto]:[Importe Neto]],Imput[[C. Imp.]:[C. Imp.]],$D1163,Imput[[PERIODO Imp.]:[PERIODO Imp.]],BZ$9)</f>
        <v>0</v>
      </c>
      <c r="CA1163" s="693">
        <f>SUMIFS(Imput[[Importe Neto]:[Importe Neto]],Imput[[C. Imp.]:[C. Imp.]],$D1163,Imput[[PERIODO Imp.]:[PERIODO Imp.]],CA$9)</f>
        <v>0</v>
      </c>
      <c r="CB1163" s="693">
        <f>SUMIFS(Imput[[Importe Neto]:[Importe Neto]],Imput[[C. Imp.]:[C. Imp.]],$D1163,Imput[[PERIODO Imp.]:[PERIODO Imp.]],CB$9)</f>
        <v>0</v>
      </c>
      <c r="CC1163" s="693">
        <f>SUMIFS(Imput[[Importe Neto]:[Importe Neto]],Imput[[C. Imp.]:[C. Imp.]],$D1163,Imput[[PERIODO Imp.]:[PERIODO Imp.]],CC$9)</f>
        <v>0</v>
      </c>
      <c r="CD1163" s="693">
        <f>SUMIFS(Imput[[Importe Neto]:[Importe Neto]],Imput[[C. Imp.]:[C. Imp.]],$D1163,Imput[[PERIODO Imp.]:[PERIODO Imp.]],CD$9)</f>
        <v>0</v>
      </c>
      <c r="CE1163" s="693">
        <f>SUMIFS(Imput[[Importe Neto]:[Importe Neto]],Imput[[C. Imp.]:[C. Imp.]],$D1163,Imput[[PERIODO Imp.]:[PERIODO Imp.]],CE$9)</f>
        <v>0</v>
      </c>
      <c r="CF1163" s="693">
        <f>SUMIFS(Imput[[Importe Neto]:[Importe Neto]],Imput[[C. Imp.]:[C. Imp.]],$D1163,Imput[[PERIODO Imp.]:[PERIODO Imp.]],CF$9)</f>
        <v>0</v>
      </c>
      <c r="CG1163" s="693">
        <f>SUMIFS(Imput[[Importe Neto]:[Importe Neto]],Imput[[C. Imp.]:[C. Imp.]],$D1163,Imput[[PERIODO Imp.]:[PERIODO Imp.]],CG$9)</f>
        <v>0</v>
      </c>
      <c r="CH1163" s="693">
        <f>SUMIFS(Imput[[Importe Neto]:[Importe Neto]],Imput[[C. Imp.]:[C. Imp.]],$D1163,Imput[[PERIODO Imp.]:[PERIODO Imp.]],CH$9)</f>
        <v>0</v>
      </c>
      <c r="CI1163" s="693">
        <f>SUMIFS(Imput[[Importe Neto]:[Importe Neto]],Imput[[C. Imp.]:[C. Imp.]],$D1163,Imput[[PERIODO Imp.]:[PERIODO Imp.]],CI$9)</f>
        <v>0</v>
      </c>
      <c r="CJ1163" s="693">
        <f>SUMIFS(Imput[[Importe Neto]:[Importe Neto]],Imput[[C. Imp.]:[C. Imp.]],$D1163,Imput[[PERIODO Imp.]:[PERIODO Imp.]],CJ$9)</f>
        <v>0</v>
      </c>
      <c r="CK1163" s="693">
        <f>SUMIFS(Imput[[Importe Neto]:[Importe Neto]],Imput[[C. Imp.]:[C. Imp.]],$D1163,Imput[[PERIODO Imp.]:[PERIODO Imp.]],CK$9)</f>
        <v>0</v>
      </c>
      <c r="CL1163" s="693">
        <f>SUMIFS(Imput[[Importe Neto]:[Importe Neto]],Imput[[C. Imp.]:[C. Imp.]],$D1163,Imput[[PERIODO Imp.]:[PERIODO Imp.]],CL$9)</f>
        <v>0</v>
      </c>
      <c r="CM1163" s="693">
        <f>SUMIFS(Imput[[Importe Neto]:[Importe Neto]],Imput[[C. Imp.]:[C. Imp.]],$D1163,Imput[[PERIODO Imp.]:[PERIODO Imp.]],CM$9)</f>
        <v>0</v>
      </c>
      <c r="CN1163" s="693">
        <f>SUMIFS(Imput[[Importe Neto]:[Importe Neto]],Imput[[C. Imp.]:[C. Imp.]],$D1163,Imput[[PERIODO Imp.]:[PERIODO Imp.]],CN$9)</f>
        <v>0</v>
      </c>
      <c r="CO1163" s="693">
        <f>SUMIFS(Imput[[Importe Neto]:[Importe Neto]],Imput[[C. Imp.]:[C. Imp.]],$D1163,Imput[[PERIODO Imp.]:[PERIODO Imp.]],CO$9)</f>
        <v>0</v>
      </c>
      <c r="CP1163" s="693">
        <f>SUMIFS(Imput[[Importe Neto]:[Importe Neto]],Imput[[C. Imp.]:[C. Imp.]],$D1163,Imput[[PERIODO Imp.]:[PERIODO Imp.]],CP$9)</f>
        <v>0</v>
      </c>
      <c r="CQ1163" s="693">
        <f>SUMIFS(Imput[[Importe Neto]:[Importe Neto]],Imput[[C. Imp.]:[C. Imp.]],$D1163,Imput[[PERIODO Imp.]:[PERIODO Imp.]],CQ$9)</f>
        <v>0</v>
      </c>
      <c r="CR1163" s="693">
        <f>SUMIFS(Imput[[Importe Neto]:[Importe Neto]],Imput[[C. Imp.]:[C. Imp.]],$D1163,Imput[[PERIODO Imp.]:[PERIODO Imp.]],CR$9)</f>
        <v>0</v>
      </c>
      <c r="CS1163" s="693">
        <f>SUMIFS(Imput[[Importe Neto]:[Importe Neto]],Imput[[C. Imp.]:[C. Imp.]],$D1163,Imput[[PERIODO Imp.]:[PERIODO Imp.]],CS$9)</f>
        <v>0</v>
      </c>
      <c r="CT1163" s="693">
        <f>SUMIFS(Imput[[Importe Neto]:[Importe Neto]],Imput[[C. Imp.]:[C. Imp.]],$D1163,Imput[[PERIODO Imp.]:[PERIODO Imp.]],CT$9)</f>
        <v>0</v>
      </c>
      <c r="CU1163" s="693">
        <f>SUMIFS(Imput[[Importe Neto]:[Importe Neto]],Imput[[C. Imp.]:[C. Imp.]],$D1163,Imput[[PERIODO Imp.]:[PERIODO Imp.]],CU$9)</f>
        <v>0</v>
      </c>
      <c r="CV1163" s="693">
        <f>SUMIFS(Imput[[Importe Neto]:[Importe Neto]],Imput[[C. Imp.]:[C. Imp.]],$D1163,Imput[[PERIODO Imp.]:[PERIODO Imp.]],CV$9)</f>
        <v>0</v>
      </c>
      <c r="CW1163" s="693">
        <f>SUMIFS(Imput[[Importe Neto]:[Importe Neto]],Imput[[C. Imp.]:[C. Imp.]],$D1163,Imput[[PERIODO Imp.]:[PERIODO Imp.]],CW$9)</f>
        <v>0</v>
      </c>
      <c r="CX1163" s="693">
        <f>SUMIFS(Imput[[Importe Neto]:[Importe Neto]],Imput[[C. Imp.]:[C. Imp.]],$D1163,Imput[[PERIODO Imp.]:[PERIODO Imp.]],CX$9)</f>
        <v>0</v>
      </c>
      <c r="CY1163" s="693">
        <f>SUMIFS(Imput[[Importe Neto]:[Importe Neto]],Imput[[C. Imp.]:[C. Imp.]],$D1163,Imput[[PERIODO Imp.]:[PERIODO Imp.]],CY$9)</f>
        <v>0</v>
      </c>
      <c r="CZ1163" s="693">
        <f>SUMIFS(Imput[[Importe Neto]:[Importe Neto]],Imput[[C. Imp.]:[C. Imp.]],$D1163,Imput[[PERIODO Imp.]:[PERIODO Imp.]],CZ$9)</f>
        <v>0</v>
      </c>
      <c r="DA1163" s="693">
        <f>SUMIFS(Imput[[Importe Neto]:[Importe Neto]],Imput[[C. Imp.]:[C. Imp.]],$D1163,Imput[[PERIODO Imp.]:[PERIODO Imp.]],DA$9)</f>
        <v>0</v>
      </c>
      <c r="DB1163" s="693">
        <f>SUMIFS(Imput[[Importe Neto]:[Importe Neto]],Imput[[C. Imp.]:[C. Imp.]],$D1163,Imput[[PERIODO Imp.]:[PERIODO Imp.]],DB$9)</f>
        <v>0</v>
      </c>
      <c r="DC1163" s="693">
        <f>SUMIFS(Imput[[Importe Neto]:[Importe Neto]],Imput[[C. Imp.]:[C. Imp.]],$D1163,Imput[[PERIODO Imp.]:[PERIODO Imp.]],DC$9)</f>
        <v>0</v>
      </c>
      <c r="DD1163" s="693">
        <f>SUMIFS(Imput[[Importe Neto]:[Importe Neto]],Imput[[C. Imp.]:[C. Imp.]],$D1163,Imput[[PERIODO Imp.]:[PERIODO Imp.]],DD$9)</f>
        <v>0</v>
      </c>
      <c r="DE1163" s="693">
        <f>SUMIFS(Imput[[Importe Neto]:[Importe Neto]],Imput[[C. Imp.]:[C. Imp.]],$D1163,Imput[[PERIODO Imp.]:[PERIODO Imp.]],DE$9)</f>
        <v>0</v>
      </c>
      <c r="DF1163" s="693">
        <f>SUMIFS(Imput[[Importe Neto]:[Importe Neto]],Imput[[C. Imp.]:[C. Imp.]],$D1163,Imput[[PERIODO Imp.]:[PERIODO Imp.]],DF$9)</f>
        <v>0</v>
      </c>
      <c r="DG1163" s="693">
        <f>SUMIFS(Imput[[Importe Neto]:[Importe Neto]],Imput[[C. Imp.]:[C. Imp.]],$D1163,Imput[[PERIODO Imp.]:[PERIODO Imp.]],DG$9)</f>
        <v>0</v>
      </c>
      <c r="DH1163" s="694">
        <f>SUMIFS(Imput[[Importe Neto]:[Importe Neto]],Imput[[C. Imp.]:[C. Imp.]],$D1163,Imput[[PERIODO Imp.]:[PERIODO Imp.]],DH$9)</f>
        <v>0</v>
      </c>
    </row>
    <row r="1164" spans="1:112" s="649" customFormat="1" hidden="1" outlineLevel="1" x14ac:dyDescent="0.3">
      <c r="A1164" s="652" t="str">
        <f t="shared" si="382"/>
        <v/>
      </c>
      <c r="B1164" s="652"/>
      <c r="C1164" s="685"/>
      <c r="D1164" s="686"/>
      <c r="E1164" s="686"/>
      <c r="F1164" s="720"/>
      <c r="G1164" s="688"/>
      <c r="H1164" s="689"/>
      <c r="I1164" s="851" t="str">
        <f t="shared" si="383"/>
        <v/>
      </c>
      <c r="J1164" s="517" t="str">
        <f t="shared" si="384"/>
        <v/>
      </c>
      <c r="K1164" s="667"/>
      <c r="L1164" s="858"/>
      <c r="M1164" s="859"/>
      <c r="N1164" s="859"/>
      <c r="O1164" s="859"/>
      <c r="P1164" s="859"/>
      <c r="Q1164" s="859"/>
      <c r="R1164" s="859"/>
      <c r="S1164" s="859"/>
      <c r="T1164" s="859"/>
      <c r="U1164" s="859"/>
      <c r="V1164" s="859"/>
      <c r="W1164" s="859"/>
      <c r="X1164" s="859"/>
      <c r="Y1164" s="859"/>
      <c r="Z1164" s="860"/>
      <c r="AA1164" s="860"/>
      <c r="AB1164" s="860"/>
      <c r="AC1164" s="860"/>
      <c r="AD1164" s="860"/>
      <c r="AE1164" s="860"/>
      <c r="AF1164" s="860"/>
      <c r="AG1164" s="860"/>
      <c r="AH1164" s="860"/>
      <c r="AI1164" s="860"/>
      <c r="AJ1164" s="860"/>
      <c r="AK1164" s="860"/>
      <c r="AL1164" s="860"/>
      <c r="AM1164" s="860"/>
      <c r="AN1164" s="860"/>
      <c r="AO1164" s="860"/>
      <c r="AP1164" s="860"/>
      <c r="AQ1164" s="860"/>
      <c r="AR1164" s="860"/>
      <c r="AS1164" s="860"/>
      <c r="AT1164" s="860"/>
      <c r="AU1164" s="860"/>
      <c r="AV1164" s="860"/>
      <c r="AW1164" s="860"/>
      <c r="AX1164" s="860"/>
      <c r="AY1164" s="860"/>
      <c r="AZ1164" s="860"/>
      <c r="BA1164" s="860"/>
      <c r="BB1164" s="860"/>
      <c r="BC1164" s="860"/>
      <c r="BD1164" s="860"/>
      <c r="BE1164" s="860"/>
      <c r="BF1164" s="860"/>
      <c r="BG1164" s="860"/>
      <c r="BH1164" s="668"/>
      <c r="BI1164" s="654"/>
      <c r="BJ1164" s="690">
        <f t="shared" si="385"/>
        <v>0</v>
      </c>
      <c r="BK1164" s="691">
        <f t="shared" si="386"/>
        <v>0</v>
      </c>
      <c r="BL1164" s="654"/>
      <c r="BM1164" s="692">
        <f>SUMIFS(Imput[[Importe Neto]:[Importe Neto]],Imput[[C. Imp.]:[C. Imp.]],$D1164,Imput[[PERIODO Imp.]:[PERIODO Imp.]],BM$9)</f>
        <v>0</v>
      </c>
      <c r="BN1164" s="693">
        <f>SUMIFS(Imput[[Importe Neto]:[Importe Neto]],Imput[[C. Imp.]:[C. Imp.]],$D1164,Imput[[PERIODO Imp.]:[PERIODO Imp.]],BN$9)</f>
        <v>0</v>
      </c>
      <c r="BO1164" s="693">
        <f>SUMIFS(Imput[[Importe Neto]:[Importe Neto]],Imput[[C. Imp.]:[C. Imp.]],$D1164,Imput[[PERIODO Imp.]:[PERIODO Imp.]],BO$9)</f>
        <v>0</v>
      </c>
      <c r="BP1164" s="693">
        <f>SUMIFS(Imput[[Importe Neto]:[Importe Neto]],Imput[[C. Imp.]:[C. Imp.]],$D1164,Imput[[PERIODO Imp.]:[PERIODO Imp.]],BP$9)</f>
        <v>0</v>
      </c>
      <c r="BQ1164" s="693">
        <f>SUMIFS(Imput[[Importe Neto]:[Importe Neto]],Imput[[C. Imp.]:[C. Imp.]],$D1164,Imput[[PERIODO Imp.]:[PERIODO Imp.]],BQ$9)</f>
        <v>0</v>
      </c>
      <c r="BR1164" s="693">
        <f>SUMIFS(Imput[[Importe Neto]:[Importe Neto]],Imput[[C. Imp.]:[C. Imp.]],$D1164,Imput[[PERIODO Imp.]:[PERIODO Imp.]],BR$9)</f>
        <v>0</v>
      </c>
      <c r="BS1164" s="693">
        <f>SUMIFS(Imput[[Importe Neto]:[Importe Neto]],Imput[[C. Imp.]:[C. Imp.]],$D1164,Imput[[PERIODO Imp.]:[PERIODO Imp.]],BS$9)</f>
        <v>0</v>
      </c>
      <c r="BT1164" s="693">
        <f>SUMIFS(Imput[[Importe Neto]:[Importe Neto]],Imput[[C. Imp.]:[C. Imp.]],$D1164,Imput[[PERIODO Imp.]:[PERIODO Imp.]],BT$9)</f>
        <v>0</v>
      </c>
      <c r="BU1164" s="693">
        <f>SUMIFS(Imput[[Importe Neto]:[Importe Neto]],Imput[[C. Imp.]:[C. Imp.]],$D1164,Imput[[PERIODO Imp.]:[PERIODO Imp.]],BU$9)</f>
        <v>0</v>
      </c>
      <c r="BV1164" s="693">
        <f>SUMIFS(Imput[[Importe Neto]:[Importe Neto]],Imput[[C. Imp.]:[C. Imp.]],$D1164,Imput[[PERIODO Imp.]:[PERIODO Imp.]],BV$9)</f>
        <v>0</v>
      </c>
      <c r="BW1164" s="693">
        <f>SUMIFS(Imput[[Importe Neto]:[Importe Neto]],Imput[[C. Imp.]:[C. Imp.]],$D1164,Imput[[PERIODO Imp.]:[PERIODO Imp.]],BW$9)</f>
        <v>0</v>
      </c>
      <c r="BX1164" s="693">
        <f>SUMIFS(Imput[[Importe Neto]:[Importe Neto]],Imput[[C. Imp.]:[C. Imp.]],$D1164,Imput[[PERIODO Imp.]:[PERIODO Imp.]],BX$9)</f>
        <v>0</v>
      </c>
      <c r="BY1164" s="693">
        <f>SUMIFS(Imput[[Importe Neto]:[Importe Neto]],Imput[[C. Imp.]:[C. Imp.]],$D1164,Imput[[PERIODO Imp.]:[PERIODO Imp.]],BY$9)</f>
        <v>0</v>
      </c>
      <c r="BZ1164" s="693">
        <f>SUMIFS(Imput[[Importe Neto]:[Importe Neto]],Imput[[C. Imp.]:[C. Imp.]],$D1164,Imput[[PERIODO Imp.]:[PERIODO Imp.]],BZ$9)</f>
        <v>0</v>
      </c>
      <c r="CA1164" s="693">
        <f>SUMIFS(Imput[[Importe Neto]:[Importe Neto]],Imput[[C. Imp.]:[C. Imp.]],$D1164,Imput[[PERIODO Imp.]:[PERIODO Imp.]],CA$9)</f>
        <v>0</v>
      </c>
      <c r="CB1164" s="693">
        <f>SUMIFS(Imput[[Importe Neto]:[Importe Neto]],Imput[[C. Imp.]:[C. Imp.]],$D1164,Imput[[PERIODO Imp.]:[PERIODO Imp.]],CB$9)</f>
        <v>0</v>
      </c>
      <c r="CC1164" s="693">
        <f>SUMIFS(Imput[[Importe Neto]:[Importe Neto]],Imput[[C. Imp.]:[C. Imp.]],$D1164,Imput[[PERIODO Imp.]:[PERIODO Imp.]],CC$9)</f>
        <v>0</v>
      </c>
      <c r="CD1164" s="693">
        <f>SUMIFS(Imput[[Importe Neto]:[Importe Neto]],Imput[[C. Imp.]:[C. Imp.]],$D1164,Imput[[PERIODO Imp.]:[PERIODO Imp.]],CD$9)</f>
        <v>0</v>
      </c>
      <c r="CE1164" s="693">
        <f>SUMIFS(Imput[[Importe Neto]:[Importe Neto]],Imput[[C. Imp.]:[C. Imp.]],$D1164,Imput[[PERIODO Imp.]:[PERIODO Imp.]],CE$9)</f>
        <v>0</v>
      </c>
      <c r="CF1164" s="693">
        <f>SUMIFS(Imput[[Importe Neto]:[Importe Neto]],Imput[[C. Imp.]:[C. Imp.]],$D1164,Imput[[PERIODO Imp.]:[PERIODO Imp.]],CF$9)</f>
        <v>0</v>
      </c>
      <c r="CG1164" s="693">
        <f>SUMIFS(Imput[[Importe Neto]:[Importe Neto]],Imput[[C. Imp.]:[C. Imp.]],$D1164,Imput[[PERIODO Imp.]:[PERIODO Imp.]],CG$9)</f>
        <v>0</v>
      </c>
      <c r="CH1164" s="693">
        <f>SUMIFS(Imput[[Importe Neto]:[Importe Neto]],Imput[[C. Imp.]:[C. Imp.]],$D1164,Imput[[PERIODO Imp.]:[PERIODO Imp.]],CH$9)</f>
        <v>0</v>
      </c>
      <c r="CI1164" s="693">
        <f>SUMIFS(Imput[[Importe Neto]:[Importe Neto]],Imput[[C. Imp.]:[C. Imp.]],$D1164,Imput[[PERIODO Imp.]:[PERIODO Imp.]],CI$9)</f>
        <v>0</v>
      </c>
      <c r="CJ1164" s="693">
        <f>SUMIFS(Imput[[Importe Neto]:[Importe Neto]],Imput[[C. Imp.]:[C. Imp.]],$D1164,Imput[[PERIODO Imp.]:[PERIODO Imp.]],CJ$9)</f>
        <v>0</v>
      </c>
      <c r="CK1164" s="693">
        <f>SUMIFS(Imput[[Importe Neto]:[Importe Neto]],Imput[[C. Imp.]:[C. Imp.]],$D1164,Imput[[PERIODO Imp.]:[PERIODO Imp.]],CK$9)</f>
        <v>0</v>
      </c>
      <c r="CL1164" s="693">
        <f>SUMIFS(Imput[[Importe Neto]:[Importe Neto]],Imput[[C. Imp.]:[C. Imp.]],$D1164,Imput[[PERIODO Imp.]:[PERIODO Imp.]],CL$9)</f>
        <v>0</v>
      </c>
      <c r="CM1164" s="693">
        <f>SUMIFS(Imput[[Importe Neto]:[Importe Neto]],Imput[[C. Imp.]:[C. Imp.]],$D1164,Imput[[PERIODO Imp.]:[PERIODO Imp.]],CM$9)</f>
        <v>0</v>
      </c>
      <c r="CN1164" s="693">
        <f>SUMIFS(Imput[[Importe Neto]:[Importe Neto]],Imput[[C. Imp.]:[C. Imp.]],$D1164,Imput[[PERIODO Imp.]:[PERIODO Imp.]],CN$9)</f>
        <v>0</v>
      </c>
      <c r="CO1164" s="693">
        <f>SUMIFS(Imput[[Importe Neto]:[Importe Neto]],Imput[[C. Imp.]:[C. Imp.]],$D1164,Imput[[PERIODO Imp.]:[PERIODO Imp.]],CO$9)</f>
        <v>0</v>
      </c>
      <c r="CP1164" s="693">
        <f>SUMIFS(Imput[[Importe Neto]:[Importe Neto]],Imput[[C. Imp.]:[C. Imp.]],$D1164,Imput[[PERIODO Imp.]:[PERIODO Imp.]],CP$9)</f>
        <v>0</v>
      </c>
      <c r="CQ1164" s="693">
        <f>SUMIFS(Imput[[Importe Neto]:[Importe Neto]],Imput[[C. Imp.]:[C. Imp.]],$D1164,Imput[[PERIODO Imp.]:[PERIODO Imp.]],CQ$9)</f>
        <v>0</v>
      </c>
      <c r="CR1164" s="693">
        <f>SUMIFS(Imput[[Importe Neto]:[Importe Neto]],Imput[[C. Imp.]:[C. Imp.]],$D1164,Imput[[PERIODO Imp.]:[PERIODO Imp.]],CR$9)</f>
        <v>0</v>
      </c>
      <c r="CS1164" s="693">
        <f>SUMIFS(Imput[[Importe Neto]:[Importe Neto]],Imput[[C. Imp.]:[C. Imp.]],$D1164,Imput[[PERIODO Imp.]:[PERIODO Imp.]],CS$9)</f>
        <v>0</v>
      </c>
      <c r="CT1164" s="693">
        <f>SUMIFS(Imput[[Importe Neto]:[Importe Neto]],Imput[[C. Imp.]:[C. Imp.]],$D1164,Imput[[PERIODO Imp.]:[PERIODO Imp.]],CT$9)</f>
        <v>0</v>
      </c>
      <c r="CU1164" s="693">
        <f>SUMIFS(Imput[[Importe Neto]:[Importe Neto]],Imput[[C. Imp.]:[C. Imp.]],$D1164,Imput[[PERIODO Imp.]:[PERIODO Imp.]],CU$9)</f>
        <v>0</v>
      </c>
      <c r="CV1164" s="693">
        <f>SUMIFS(Imput[[Importe Neto]:[Importe Neto]],Imput[[C. Imp.]:[C. Imp.]],$D1164,Imput[[PERIODO Imp.]:[PERIODO Imp.]],CV$9)</f>
        <v>0</v>
      </c>
      <c r="CW1164" s="693">
        <f>SUMIFS(Imput[[Importe Neto]:[Importe Neto]],Imput[[C. Imp.]:[C. Imp.]],$D1164,Imput[[PERIODO Imp.]:[PERIODO Imp.]],CW$9)</f>
        <v>0</v>
      </c>
      <c r="CX1164" s="693">
        <f>SUMIFS(Imput[[Importe Neto]:[Importe Neto]],Imput[[C. Imp.]:[C. Imp.]],$D1164,Imput[[PERIODO Imp.]:[PERIODO Imp.]],CX$9)</f>
        <v>0</v>
      </c>
      <c r="CY1164" s="693">
        <f>SUMIFS(Imput[[Importe Neto]:[Importe Neto]],Imput[[C. Imp.]:[C. Imp.]],$D1164,Imput[[PERIODO Imp.]:[PERIODO Imp.]],CY$9)</f>
        <v>0</v>
      </c>
      <c r="CZ1164" s="693">
        <f>SUMIFS(Imput[[Importe Neto]:[Importe Neto]],Imput[[C. Imp.]:[C. Imp.]],$D1164,Imput[[PERIODO Imp.]:[PERIODO Imp.]],CZ$9)</f>
        <v>0</v>
      </c>
      <c r="DA1164" s="693">
        <f>SUMIFS(Imput[[Importe Neto]:[Importe Neto]],Imput[[C. Imp.]:[C. Imp.]],$D1164,Imput[[PERIODO Imp.]:[PERIODO Imp.]],DA$9)</f>
        <v>0</v>
      </c>
      <c r="DB1164" s="693">
        <f>SUMIFS(Imput[[Importe Neto]:[Importe Neto]],Imput[[C. Imp.]:[C. Imp.]],$D1164,Imput[[PERIODO Imp.]:[PERIODO Imp.]],DB$9)</f>
        <v>0</v>
      </c>
      <c r="DC1164" s="693">
        <f>SUMIFS(Imput[[Importe Neto]:[Importe Neto]],Imput[[C. Imp.]:[C. Imp.]],$D1164,Imput[[PERIODO Imp.]:[PERIODO Imp.]],DC$9)</f>
        <v>0</v>
      </c>
      <c r="DD1164" s="693">
        <f>SUMIFS(Imput[[Importe Neto]:[Importe Neto]],Imput[[C. Imp.]:[C. Imp.]],$D1164,Imput[[PERIODO Imp.]:[PERIODO Imp.]],DD$9)</f>
        <v>0</v>
      </c>
      <c r="DE1164" s="693">
        <f>SUMIFS(Imput[[Importe Neto]:[Importe Neto]],Imput[[C. Imp.]:[C. Imp.]],$D1164,Imput[[PERIODO Imp.]:[PERIODO Imp.]],DE$9)</f>
        <v>0</v>
      </c>
      <c r="DF1164" s="693">
        <f>SUMIFS(Imput[[Importe Neto]:[Importe Neto]],Imput[[C. Imp.]:[C. Imp.]],$D1164,Imput[[PERIODO Imp.]:[PERIODO Imp.]],DF$9)</f>
        <v>0</v>
      </c>
      <c r="DG1164" s="693">
        <f>SUMIFS(Imput[[Importe Neto]:[Importe Neto]],Imput[[C. Imp.]:[C. Imp.]],$D1164,Imput[[PERIODO Imp.]:[PERIODO Imp.]],DG$9)</f>
        <v>0</v>
      </c>
      <c r="DH1164" s="694">
        <f>SUMIFS(Imput[[Importe Neto]:[Importe Neto]],Imput[[C. Imp.]:[C. Imp.]],$D1164,Imput[[PERIODO Imp.]:[PERIODO Imp.]],DH$9)</f>
        <v>0</v>
      </c>
    </row>
    <row r="1165" spans="1:112" s="649" customFormat="1" hidden="1" outlineLevel="1" x14ac:dyDescent="0.3">
      <c r="A1165" s="652" t="str">
        <f t="shared" si="382"/>
        <v/>
      </c>
      <c r="B1165" s="652"/>
      <c r="C1165" s="685"/>
      <c r="D1165" s="686"/>
      <c r="E1165" s="686"/>
      <c r="F1165" s="720"/>
      <c r="G1165" s="688"/>
      <c r="H1165" s="689"/>
      <c r="I1165" s="851" t="str">
        <f t="shared" si="383"/>
        <v/>
      </c>
      <c r="J1165" s="517" t="str">
        <f t="shared" si="384"/>
        <v/>
      </c>
      <c r="K1165" s="667"/>
      <c r="L1165" s="858"/>
      <c r="M1165" s="859"/>
      <c r="N1165" s="859"/>
      <c r="O1165" s="859"/>
      <c r="P1165" s="859"/>
      <c r="Q1165" s="859"/>
      <c r="R1165" s="859"/>
      <c r="S1165" s="859"/>
      <c r="T1165" s="859"/>
      <c r="U1165" s="859"/>
      <c r="V1165" s="859"/>
      <c r="W1165" s="859"/>
      <c r="X1165" s="859"/>
      <c r="Y1165" s="859"/>
      <c r="Z1165" s="860"/>
      <c r="AA1165" s="860"/>
      <c r="AB1165" s="860"/>
      <c r="AC1165" s="860"/>
      <c r="AD1165" s="860"/>
      <c r="AE1165" s="860"/>
      <c r="AF1165" s="860"/>
      <c r="AG1165" s="860"/>
      <c r="AH1165" s="860"/>
      <c r="AI1165" s="860"/>
      <c r="AJ1165" s="860"/>
      <c r="AK1165" s="860"/>
      <c r="AL1165" s="860"/>
      <c r="AM1165" s="860"/>
      <c r="AN1165" s="860"/>
      <c r="AO1165" s="860"/>
      <c r="AP1165" s="860"/>
      <c r="AQ1165" s="860"/>
      <c r="AR1165" s="860"/>
      <c r="AS1165" s="860"/>
      <c r="AT1165" s="860"/>
      <c r="AU1165" s="860"/>
      <c r="AV1165" s="860"/>
      <c r="AW1165" s="860"/>
      <c r="AX1165" s="860"/>
      <c r="AY1165" s="860"/>
      <c r="AZ1165" s="860"/>
      <c r="BA1165" s="860"/>
      <c r="BB1165" s="860"/>
      <c r="BC1165" s="860"/>
      <c r="BD1165" s="860"/>
      <c r="BE1165" s="860"/>
      <c r="BF1165" s="860"/>
      <c r="BG1165" s="860"/>
      <c r="BH1165" s="668"/>
      <c r="BI1165" s="654"/>
      <c r="BJ1165" s="690">
        <f t="shared" si="385"/>
        <v>0</v>
      </c>
      <c r="BK1165" s="691">
        <f t="shared" si="386"/>
        <v>0</v>
      </c>
      <c r="BL1165" s="654"/>
      <c r="BM1165" s="692">
        <f>SUMIFS(Imput[[Importe Neto]:[Importe Neto]],Imput[[C. Imp.]:[C. Imp.]],$D1165,Imput[[PERIODO Imp.]:[PERIODO Imp.]],BM$9)</f>
        <v>0</v>
      </c>
      <c r="BN1165" s="693">
        <f>SUMIFS(Imput[[Importe Neto]:[Importe Neto]],Imput[[C. Imp.]:[C. Imp.]],$D1165,Imput[[PERIODO Imp.]:[PERIODO Imp.]],BN$9)</f>
        <v>0</v>
      </c>
      <c r="BO1165" s="693">
        <f>SUMIFS(Imput[[Importe Neto]:[Importe Neto]],Imput[[C. Imp.]:[C. Imp.]],$D1165,Imput[[PERIODO Imp.]:[PERIODO Imp.]],BO$9)</f>
        <v>0</v>
      </c>
      <c r="BP1165" s="693">
        <f>SUMIFS(Imput[[Importe Neto]:[Importe Neto]],Imput[[C. Imp.]:[C. Imp.]],$D1165,Imput[[PERIODO Imp.]:[PERIODO Imp.]],BP$9)</f>
        <v>0</v>
      </c>
      <c r="BQ1165" s="693">
        <f>SUMIFS(Imput[[Importe Neto]:[Importe Neto]],Imput[[C. Imp.]:[C. Imp.]],$D1165,Imput[[PERIODO Imp.]:[PERIODO Imp.]],BQ$9)</f>
        <v>0</v>
      </c>
      <c r="BR1165" s="693">
        <f>SUMIFS(Imput[[Importe Neto]:[Importe Neto]],Imput[[C. Imp.]:[C. Imp.]],$D1165,Imput[[PERIODO Imp.]:[PERIODO Imp.]],BR$9)</f>
        <v>0</v>
      </c>
      <c r="BS1165" s="693">
        <f>SUMIFS(Imput[[Importe Neto]:[Importe Neto]],Imput[[C. Imp.]:[C. Imp.]],$D1165,Imput[[PERIODO Imp.]:[PERIODO Imp.]],BS$9)</f>
        <v>0</v>
      </c>
      <c r="BT1165" s="693">
        <f>SUMIFS(Imput[[Importe Neto]:[Importe Neto]],Imput[[C. Imp.]:[C. Imp.]],$D1165,Imput[[PERIODO Imp.]:[PERIODO Imp.]],BT$9)</f>
        <v>0</v>
      </c>
      <c r="BU1165" s="693">
        <f>SUMIFS(Imput[[Importe Neto]:[Importe Neto]],Imput[[C. Imp.]:[C. Imp.]],$D1165,Imput[[PERIODO Imp.]:[PERIODO Imp.]],BU$9)</f>
        <v>0</v>
      </c>
      <c r="BV1165" s="693">
        <f>SUMIFS(Imput[[Importe Neto]:[Importe Neto]],Imput[[C. Imp.]:[C. Imp.]],$D1165,Imput[[PERIODO Imp.]:[PERIODO Imp.]],BV$9)</f>
        <v>0</v>
      </c>
      <c r="BW1165" s="693">
        <f>SUMIFS(Imput[[Importe Neto]:[Importe Neto]],Imput[[C. Imp.]:[C. Imp.]],$D1165,Imput[[PERIODO Imp.]:[PERIODO Imp.]],BW$9)</f>
        <v>0</v>
      </c>
      <c r="BX1165" s="693">
        <f>SUMIFS(Imput[[Importe Neto]:[Importe Neto]],Imput[[C. Imp.]:[C. Imp.]],$D1165,Imput[[PERIODO Imp.]:[PERIODO Imp.]],BX$9)</f>
        <v>0</v>
      </c>
      <c r="BY1165" s="693">
        <f>SUMIFS(Imput[[Importe Neto]:[Importe Neto]],Imput[[C. Imp.]:[C. Imp.]],$D1165,Imput[[PERIODO Imp.]:[PERIODO Imp.]],BY$9)</f>
        <v>0</v>
      </c>
      <c r="BZ1165" s="693">
        <f>SUMIFS(Imput[[Importe Neto]:[Importe Neto]],Imput[[C. Imp.]:[C. Imp.]],$D1165,Imput[[PERIODO Imp.]:[PERIODO Imp.]],BZ$9)</f>
        <v>0</v>
      </c>
      <c r="CA1165" s="693">
        <f>SUMIFS(Imput[[Importe Neto]:[Importe Neto]],Imput[[C. Imp.]:[C. Imp.]],$D1165,Imput[[PERIODO Imp.]:[PERIODO Imp.]],CA$9)</f>
        <v>0</v>
      </c>
      <c r="CB1165" s="693">
        <f>SUMIFS(Imput[[Importe Neto]:[Importe Neto]],Imput[[C. Imp.]:[C. Imp.]],$D1165,Imput[[PERIODO Imp.]:[PERIODO Imp.]],CB$9)</f>
        <v>0</v>
      </c>
      <c r="CC1165" s="693">
        <f>SUMIFS(Imput[[Importe Neto]:[Importe Neto]],Imput[[C. Imp.]:[C. Imp.]],$D1165,Imput[[PERIODO Imp.]:[PERIODO Imp.]],CC$9)</f>
        <v>0</v>
      </c>
      <c r="CD1165" s="693">
        <f>SUMIFS(Imput[[Importe Neto]:[Importe Neto]],Imput[[C. Imp.]:[C. Imp.]],$D1165,Imput[[PERIODO Imp.]:[PERIODO Imp.]],CD$9)</f>
        <v>0</v>
      </c>
      <c r="CE1165" s="693">
        <f>SUMIFS(Imput[[Importe Neto]:[Importe Neto]],Imput[[C. Imp.]:[C. Imp.]],$D1165,Imput[[PERIODO Imp.]:[PERIODO Imp.]],CE$9)</f>
        <v>0</v>
      </c>
      <c r="CF1165" s="693">
        <f>SUMIFS(Imput[[Importe Neto]:[Importe Neto]],Imput[[C. Imp.]:[C. Imp.]],$D1165,Imput[[PERIODO Imp.]:[PERIODO Imp.]],CF$9)</f>
        <v>0</v>
      </c>
      <c r="CG1165" s="693">
        <f>SUMIFS(Imput[[Importe Neto]:[Importe Neto]],Imput[[C. Imp.]:[C. Imp.]],$D1165,Imput[[PERIODO Imp.]:[PERIODO Imp.]],CG$9)</f>
        <v>0</v>
      </c>
      <c r="CH1165" s="693">
        <f>SUMIFS(Imput[[Importe Neto]:[Importe Neto]],Imput[[C. Imp.]:[C. Imp.]],$D1165,Imput[[PERIODO Imp.]:[PERIODO Imp.]],CH$9)</f>
        <v>0</v>
      </c>
      <c r="CI1165" s="693">
        <f>SUMIFS(Imput[[Importe Neto]:[Importe Neto]],Imput[[C. Imp.]:[C. Imp.]],$D1165,Imput[[PERIODO Imp.]:[PERIODO Imp.]],CI$9)</f>
        <v>0</v>
      </c>
      <c r="CJ1165" s="693">
        <f>SUMIFS(Imput[[Importe Neto]:[Importe Neto]],Imput[[C. Imp.]:[C. Imp.]],$D1165,Imput[[PERIODO Imp.]:[PERIODO Imp.]],CJ$9)</f>
        <v>0</v>
      </c>
      <c r="CK1165" s="693">
        <f>SUMIFS(Imput[[Importe Neto]:[Importe Neto]],Imput[[C. Imp.]:[C. Imp.]],$D1165,Imput[[PERIODO Imp.]:[PERIODO Imp.]],CK$9)</f>
        <v>0</v>
      </c>
      <c r="CL1165" s="693">
        <f>SUMIFS(Imput[[Importe Neto]:[Importe Neto]],Imput[[C. Imp.]:[C. Imp.]],$D1165,Imput[[PERIODO Imp.]:[PERIODO Imp.]],CL$9)</f>
        <v>0</v>
      </c>
      <c r="CM1165" s="693">
        <f>SUMIFS(Imput[[Importe Neto]:[Importe Neto]],Imput[[C. Imp.]:[C. Imp.]],$D1165,Imput[[PERIODO Imp.]:[PERIODO Imp.]],CM$9)</f>
        <v>0</v>
      </c>
      <c r="CN1165" s="693">
        <f>SUMIFS(Imput[[Importe Neto]:[Importe Neto]],Imput[[C. Imp.]:[C. Imp.]],$D1165,Imput[[PERIODO Imp.]:[PERIODO Imp.]],CN$9)</f>
        <v>0</v>
      </c>
      <c r="CO1165" s="693">
        <f>SUMIFS(Imput[[Importe Neto]:[Importe Neto]],Imput[[C. Imp.]:[C. Imp.]],$D1165,Imput[[PERIODO Imp.]:[PERIODO Imp.]],CO$9)</f>
        <v>0</v>
      </c>
      <c r="CP1165" s="693">
        <f>SUMIFS(Imput[[Importe Neto]:[Importe Neto]],Imput[[C. Imp.]:[C. Imp.]],$D1165,Imput[[PERIODO Imp.]:[PERIODO Imp.]],CP$9)</f>
        <v>0</v>
      </c>
      <c r="CQ1165" s="693">
        <f>SUMIFS(Imput[[Importe Neto]:[Importe Neto]],Imput[[C. Imp.]:[C. Imp.]],$D1165,Imput[[PERIODO Imp.]:[PERIODO Imp.]],CQ$9)</f>
        <v>0</v>
      </c>
      <c r="CR1165" s="693">
        <f>SUMIFS(Imput[[Importe Neto]:[Importe Neto]],Imput[[C. Imp.]:[C. Imp.]],$D1165,Imput[[PERIODO Imp.]:[PERIODO Imp.]],CR$9)</f>
        <v>0</v>
      </c>
      <c r="CS1165" s="693">
        <f>SUMIFS(Imput[[Importe Neto]:[Importe Neto]],Imput[[C. Imp.]:[C. Imp.]],$D1165,Imput[[PERIODO Imp.]:[PERIODO Imp.]],CS$9)</f>
        <v>0</v>
      </c>
      <c r="CT1165" s="693">
        <f>SUMIFS(Imput[[Importe Neto]:[Importe Neto]],Imput[[C. Imp.]:[C. Imp.]],$D1165,Imput[[PERIODO Imp.]:[PERIODO Imp.]],CT$9)</f>
        <v>0</v>
      </c>
      <c r="CU1165" s="693">
        <f>SUMIFS(Imput[[Importe Neto]:[Importe Neto]],Imput[[C. Imp.]:[C. Imp.]],$D1165,Imput[[PERIODO Imp.]:[PERIODO Imp.]],CU$9)</f>
        <v>0</v>
      </c>
      <c r="CV1165" s="693">
        <f>SUMIFS(Imput[[Importe Neto]:[Importe Neto]],Imput[[C. Imp.]:[C. Imp.]],$D1165,Imput[[PERIODO Imp.]:[PERIODO Imp.]],CV$9)</f>
        <v>0</v>
      </c>
      <c r="CW1165" s="693">
        <f>SUMIFS(Imput[[Importe Neto]:[Importe Neto]],Imput[[C. Imp.]:[C. Imp.]],$D1165,Imput[[PERIODO Imp.]:[PERIODO Imp.]],CW$9)</f>
        <v>0</v>
      </c>
      <c r="CX1165" s="693">
        <f>SUMIFS(Imput[[Importe Neto]:[Importe Neto]],Imput[[C. Imp.]:[C. Imp.]],$D1165,Imput[[PERIODO Imp.]:[PERIODO Imp.]],CX$9)</f>
        <v>0</v>
      </c>
      <c r="CY1165" s="693">
        <f>SUMIFS(Imput[[Importe Neto]:[Importe Neto]],Imput[[C. Imp.]:[C. Imp.]],$D1165,Imput[[PERIODO Imp.]:[PERIODO Imp.]],CY$9)</f>
        <v>0</v>
      </c>
      <c r="CZ1165" s="693">
        <f>SUMIFS(Imput[[Importe Neto]:[Importe Neto]],Imput[[C. Imp.]:[C. Imp.]],$D1165,Imput[[PERIODO Imp.]:[PERIODO Imp.]],CZ$9)</f>
        <v>0</v>
      </c>
      <c r="DA1165" s="693">
        <f>SUMIFS(Imput[[Importe Neto]:[Importe Neto]],Imput[[C. Imp.]:[C. Imp.]],$D1165,Imput[[PERIODO Imp.]:[PERIODO Imp.]],DA$9)</f>
        <v>0</v>
      </c>
      <c r="DB1165" s="693">
        <f>SUMIFS(Imput[[Importe Neto]:[Importe Neto]],Imput[[C. Imp.]:[C. Imp.]],$D1165,Imput[[PERIODO Imp.]:[PERIODO Imp.]],DB$9)</f>
        <v>0</v>
      </c>
      <c r="DC1165" s="693">
        <f>SUMIFS(Imput[[Importe Neto]:[Importe Neto]],Imput[[C. Imp.]:[C. Imp.]],$D1165,Imput[[PERIODO Imp.]:[PERIODO Imp.]],DC$9)</f>
        <v>0</v>
      </c>
      <c r="DD1165" s="693">
        <f>SUMIFS(Imput[[Importe Neto]:[Importe Neto]],Imput[[C. Imp.]:[C. Imp.]],$D1165,Imput[[PERIODO Imp.]:[PERIODO Imp.]],DD$9)</f>
        <v>0</v>
      </c>
      <c r="DE1165" s="693">
        <f>SUMIFS(Imput[[Importe Neto]:[Importe Neto]],Imput[[C. Imp.]:[C. Imp.]],$D1165,Imput[[PERIODO Imp.]:[PERIODO Imp.]],DE$9)</f>
        <v>0</v>
      </c>
      <c r="DF1165" s="693">
        <f>SUMIFS(Imput[[Importe Neto]:[Importe Neto]],Imput[[C. Imp.]:[C. Imp.]],$D1165,Imput[[PERIODO Imp.]:[PERIODO Imp.]],DF$9)</f>
        <v>0</v>
      </c>
      <c r="DG1165" s="693">
        <f>SUMIFS(Imput[[Importe Neto]:[Importe Neto]],Imput[[C. Imp.]:[C. Imp.]],$D1165,Imput[[PERIODO Imp.]:[PERIODO Imp.]],DG$9)</f>
        <v>0</v>
      </c>
      <c r="DH1165" s="694">
        <f>SUMIFS(Imput[[Importe Neto]:[Importe Neto]],Imput[[C. Imp.]:[C. Imp.]],$D1165,Imput[[PERIODO Imp.]:[PERIODO Imp.]],DH$9)</f>
        <v>0</v>
      </c>
    </row>
    <row r="1166" spans="1:112" s="649" customFormat="1" hidden="1" outlineLevel="1" x14ac:dyDescent="0.3">
      <c r="A1166" s="652" t="str">
        <f t="shared" si="382"/>
        <v/>
      </c>
      <c r="B1166" s="652"/>
      <c r="C1166" s="685"/>
      <c r="D1166" s="686"/>
      <c r="E1166" s="686"/>
      <c r="F1166" s="720"/>
      <c r="G1166" s="688"/>
      <c r="H1166" s="689"/>
      <c r="I1166" s="851" t="str">
        <f t="shared" si="383"/>
        <v/>
      </c>
      <c r="J1166" s="517" t="str">
        <f t="shared" si="384"/>
        <v/>
      </c>
      <c r="K1166" s="667"/>
      <c r="L1166" s="858"/>
      <c r="M1166" s="859"/>
      <c r="N1166" s="859"/>
      <c r="O1166" s="859"/>
      <c r="P1166" s="859"/>
      <c r="Q1166" s="859"/>
      <c r="R1166" s="859"/>
      <c r="S1166" s="859"/>
      <c r="T1166" s="859"/>
      <c r="U1166" s="859"/>
      <c r="V1166" s="859"/>
      <c r="W1166" s="859"/>
      <c r="X1166" s="859"/>
      <c r="Y1166" s="859"/>
      <c r="Z1166" s="860"/>
      <c r="AA1166" s="860"/>
      <c r="AB1166" s="860"/>
      <c r="AC1166" s="860"/>
      <c r="AD1166" s="860"/>
      <c r="AE1166" s="860"/>
      <c r="AF1166" s="860"/>
      <c r="AG1166" s="860"/>
      <c r="AH1166" s="860"/>
      <c r="AI1166" s="860"/>
      <c r="AJ1166" s="860"/>
      <c r="AK1166" s="860"/>
      <c r="AL1166" s="860"/>
      <c r="AM1166" s="860"/>
      <c r="AN1166" s="860"/>
      <c r="AO1166" s="860"/>
      <c r="AP1166" s="860"/>
      <c r="AQ1166" s="860"/>
      <c r="AR1166" s="860"/>
      <c r="AS1166" s="860"/>
      <c r="AT1166" s="860"/>
      <c r="AU1166" s="860"/>
      <c r="AV1166" s="860"/>
      <c r="AW1166" s="860"/>
      <c r="AX1166" s="860"/>
      <c r="AY1166" s="860"/>
      <c r="AZ1166" s="860"/>
      <c r="BA1166" s="860"/>
      <c r="BB1166" s="860"/>
      <c r="BC1166" s="860"/>
      <c r="BD1166" s="860"/>
      <c r="BE1166" s="860"/>
      <c r="BF1166" s="860"/>
      <c r="BG1166" s="860"/>
      <c r="BH1166" s="668"/>
      <c r="BI1166" s="654"/>
      <c r="BJ1166" s="690">
        <f t="shared" si="385"/>
        <v>0</v>
      </c>
      <c r="BK1166" s="691">
        <f t="shared" si="386"/>
        <v>0</v>
      </c>
      <c r="BL1166" s="654"/>
      <c r="BM1166" s="692">
        <f>SUMIFS(Imput[[Importe Neto]:[Importe Neto]],Imput[[C. Imp.]:[C. Imp.]],$D1166,Imput[[PERIODO Imp.]:[PERIODO Imp.]],BM$9)</f>
        <v>0</v>
      </c>
      <c r="BN1166" s="693">
        <f>SUMIFS(Imput[[Importe Neto]:[Importe Neto]],Imput[[C. Imp.]:[C. Imp.]],$D1166,Imput[[PERIODO Imp.]:[PERIODO Imp.]],BN$9)</f>
        <v>0</v>
      </c>
      <c r="BO1166" s="693">
        <f>SUMIFS(Imput[[Importe Neto]:[Importe Neto]],Imput[[C. Imp.]:[C. Imp.]],$D1166,Imput[[PERIODO Imp.]:[PERIODO Imp.]],BO$9)</f>
        <v>0</v>
      </c>
      <c r="BP1166" s="693">
        <f>SUMIFS(Imput[[Importe Neto]:[Importe Neto]],Imput[[C. Imp.]:[C. Imp.]],$D1166,Imput[[PERIODO Imp.]:[PERIODO Imp.]],BP$9)</f>
        <v>0</v>
      </c>
      <c r="BQ1166" s="693">
        <f>SUMIFS(Imput[[Importe Neto]:[Importe Neto]],Imput[[C. Imp.]:[C. Imp.]],$D1166,Imput[[PERIODO Imp.]:[PERIODO Imp.]],BQ$9)</f>
        <v>0</v>
      </c>
      <c r="BR1166" s="693">
        <f>SUMIFS(Imput[[Importe Neto]:[Importe Neto]],Imput[[C. Imp.]:[C. Imp.]],$D1166,Imput[[PERIODO Imp.]:[PERIODO Imp.]],BR$9)</f>
        <v>0</v>
      </c>
      <c r="BS1166" s="693">
        <f>SUMIFS(Imput[[Importe Neto]:[Importe Neto]],Imput[[C. Imp.]:[C. Imp.]],$D1166,Imput[[PERIODO Imp.]:[PERIODO Imp.]],BS$9)</f>
        <v>0</v>
      </c>
      <c r="BT1166" s="693">
        <f>SUMIFS(Imput[[Importe Neto]:[Importe Neto]],Imput[[C. Imp.]:[C. Imp.]],$D1166,Imput[[PERIODO Imp.]:[PERIODO Imp.]],BT$9)</f>
        <v>0</v>
      </c>
      <c r="BU1166" s="693">
        <f>SUMIFS(Imput[[Importe Neto]:[Importe Neto]],Imput[[C. Imp.]:[C. Imp.]],$D1166,Imput[[PERIODO Imp.]:[PERIODO Imp.]],BU$9)</f>
        <v>0</v>
      </c>
      <c r="BV1166" s="693">
        <f>SUMIFS(Imput[[Importe Neto]:[Importe Neto]],Imput[[C. Imp.]:[C. Imp.]],$D1166,Imput[[PERIODO Imp.]:[PERIODO Imp.]],BV$9)</f>
        <v>0</v>
      </c>
      <c r="BW1166" s="693">
        <f>SUMIFS(Imput[[Importe Neto]:[Importe Neto]],Imput[[C. Imp.]:[C. Imp.]],$D1166,Imput[[PERIODO Imp.]:[PERIODO Imp.]],BW$9)</f>
        <v>0</v>
      </c>
      <c r="BX1166" s="693">
        <f>SUMIFS(Imput[[Importe Neto]:[Importe Neto]],Imput[[C. Imp.]:[C. Imp.]],$D1166,Imput[[PERIODO Imp.]:[PERIODO Imp.]],BX$9)</f>
        <v>0</v>
      </c>
      <c r="BY1166" s="693">
        <f>SUMIFS(Imput[[Importe Neto]:[Importe Neto]],Imput[[C. Imp.]:[C. Imp.]],$D1166,Imput[[PERIODO Imp.]:[PERIODO Imp.]],BY$9)</f>
        <v>0</v>
      </c>
      <c r="BZ1166" s="693">
        <f>SUMIFS(Imput[[Importe Neto]:[Importe Neto]],Imput[[C. Imp.]:[C. Imp.]],$D1166,Imput[[PERIODO Imp.]:[PERIODO Imp.]],BZ$9)</f>
        <v>0</v>
      </c>
      <c r="CA1166" s="693">
        <f>SUMIFS(Imput[[Importe Neto]:[Importe Neto]],Imput[[C. Imp.]:[C. Imp.]],$D1166,Imput[[PERIODO Imp.]:[PERIODO Imp.]],CA$9)</f>
        <v>0</v>
      </c>
      <c r="CB1166" s="693">
        <f>SUMIFS(Imput[[Importe Neto]:[Importe Neto]],Imput[[C. Imp.]:[C. Imp.]],$D1166,Imput[[PERIODO Imp.]:[PERIODO Imp.]],CB$9)</f>
        <v>0</v>
      </c>
      <c r="CC1166" s="693">
        <f>SUMIFS(Imput[[Importe Neto]:[Importe Neto]],Imput[[C. Imp.]:[C. Imp.]],$D1166,Imput[[PERIODO Imp.]:[PERIODO Imp.]],CC$9)</f>
        <v>0</v>
      </c>
      <c r="CD1166" s="693">
        <f>SUMIFS(Imput[[Importe Neto]:[Importe Neto]],Imput[[C. Imp.]:[C. Imp.]],$D1166,Imput[[PERIODO Imp.]:[PERIODO Imp.]],CD$9)</f>
        <v>0</v>
      </c>
      <c r="CE1166" s="693">
        <f>SUMIFS(Imput[[Importe Neto]:[Importe Neto]],Imput[[C. Imp.]:[C. Imp.]],$D1166,Imput[[PERIODO Imp.]:[PERIODO Imp.]],CE$9)</f>
        <v>0</v>
      </c>
      <c r="CF1166" s="693">
        <f>SUMIFS(Imput[[Importe Neto]:[Importe Neto]],Imput[[C. Imp.]:[C. Imp.]],$D1166,Imput[[PERIODO Imp.]:[PERIODO Imp.]],CF$9)</f>
        <v>0</v>
      </c>
      <c r="CG1166" s="693">
        <f>SUMIFS(Imput[[Importe Neto]:[Importe Neto]],Imput[[C. Imp.]:[C. Imp.]],$D1166,Imput[[PERIODO Imp.]:[PERIODO Imp.]],CG$9)</f>
        <v>0</v>
      </c>
      <c r="CH1166" s="693">
        <f>SUMIFS(Imput[[Importe Neto]:[Importe Neto]],Imput[[C. Imp.]:[C. Imp.]],$D1166,Imput[[PERIODO Imp.]:[PERIODO Imp.]],CH$9)</f>
        <v>0</v>
      </c>
      <c r="CI1166" s="693">
        <f>SUMIFS(Imput[[Importe Neto]:[Importe Neto]],Imput[[C. Imp.]:[C. Imp.]],$D1166,Imput[[PERIODO Imp.]:[PERIODO Imp.]],CI$9)</f>
        <v>0</v>
      </c>
      <c r="CJ1166" s="693">
        <f>SUMIFS(Imput[[Importe Neto]:[Importe Neto]],Imput[[C. Imp.]:[C. Imp.]],$D1166,Imput[[PERIODO Imp.]:[PERIODO Imp.]],CJ$9)</f>
        <v>0</v>
      </c>
      <c r="CK1166" s="693">
        <f>SUMIFS(Imput[[Importe Neto]:[Importe Neto]],Imput[[C. Imp.]:[C. Imp.]],$D1166,Imput[[PERIODO Imp.]:[PERIODO Imp.]],CK$9)</f>
        <v>0</v>
      </c>
      <c r="CL1166" s="693">
        <f>SUMIFS(Imput[[Importe Neto]:[Importe Neto]],Imput[[C. Imp.]:[C. Imp.]],$D1166,Imput[[PERIODO Imp.]:[PERIODO Imp.]],CL$9)</f>
        <v>0</v>
      </c>
      <c r="CM1166" s="693">
        <f>SUMIFS(Imput[[Importe Neto]:[Importe Neto]],Imput[[C. Imp.]:[C. Imp.]],$D1166,Imput[[PERIODO Imp.]:[PERIODO Imp.]],CM$9)</f>
        <v>0</v>
      </c>
      <c r="CN1166" s="693">
        <f>SUMIFS(Imput[[Importe Neto]:[Importe Neto]],Imput[[C. Imp.]:[C. Imp.]],$D1166,Imput[[PERIODO Imp.]:[PERIODO Imp.]],CN$9)</f>
        <v>0</v>
      </c>
      <c r="CO1166" s="693">
        <f>SUMIFS(Imput[[Importe Neto]:[Importe Neto]],Imput[[C. Imp.]:[C. Imp.]],$D1166,Imput[[PERIODO Imp.]:[PERIODO Imp.]],CO$9)</f>
        <v>0</v>
      </c>
      <c r="CP1166" s="693">
        <f>SUMIFS(Imput[[Importe Neto]:[Importe Neto]],Imput[[C. Imp.]:[C. Imp.]],$D1166,Imput[[PERIODO Imp.]:[PERIODO Imp.]],CP$9)</f>
        <v>0</v>
      </c>
      <c r="CQ1166" s="693">
        <f>SUMIFS(Imput[[Importe Neto]:[Importe Neto]],Imput[[C. Imp.]:[C. Imp.]],$D1166,Imput[[PERIODO Imp.]:[PERIODO Imp.]],CQ$9)</f>
        <v>0</v>
      </c>
      <c r="CR1166" s="693">
        <f>SUMIFS(Imput[[Importe Neto]:[Importe Neto]],Imput[[C. Imp.]:[C. Imp.]],$D1166,Imput[[PERIODO Imp.]:[PERIODO Imp.]],CR$9)</f>
        <v>0</v>
      </c>
      <c r="CS1166" s="693">
        <f>SUMIFS(Imput[[Importe Neto]:[Importe Neto]],Imput[[C. Imp.]:[C. Imp.]],$D1166,Imput[[PERIODO Imp.]:[PERIODO Imp.]],CS$9)</f>
        <v>0</v>
      </c>
      <c r="CT1166" s="693">
        <f>SUMIFS(Imput[[Importe Neto]:[Importe Neto]],Imput[[C. Imp.]:[C. Imp.]],$D1166,Imput[[PERIODO Imp.]:[PERIODO Imp.]],CT$9)</f>
        <v>0</v>
      </c>
      <c r="CU1166" s="693">
        <f>SUMIFS(Imput[[Importe Neto]:[Importe Neto]],Imput[[C. Imp.]:[C. Imp.]],$D1166,Imput[[PERIODO Imp.]:[PERIODO Imp.]],CU$9)</f>
        <v>0</v>
      </c>
      <c r="CV1166" s="693">
        <f>SUMIFS(Imput[[Importe Neto]:[Importe Neto]],Imput[[C. Imp.]:[C. Imp.]],$D1166,Imput[[PERIODO Imp.]:[PERIODO Imp.]],CV$9)</f>
        <v>0</v>
      </c>
      <c r="CW1166" s="693">
        <f>SUMIFS(Imput[[Importe Neto]:[Importe Neto]],Imput[[C. Imp.]:[C. Imp.]],$D1166,Imput[[PERIODO Imp.]:[PERIODO Imp.]],CW$9)</f>
        <v>0</v>
      </c>
      <c r="CX1166" s="693">
        <f>SUMIFS(Imput[[Importe Neto]:[Importe Neto]],Imput[[C. Imp.]:[C. Imp.]],$D1166,Imput[[PERIODO Imp.]:[PERIODO Imp.]],CX$9)</f>
        <v>0</v>
      </c>
      <c r="CY1166" s="693">
        <f>SUMIFS(Imput[[Importe Neto]:[Importe Neto]],Imput[[C. Imp.]:[C. Imp.]],$D1166,Imput[[PERIODO Imp.]:[PERIODO Imp.]],CY$9)</f>
        <v>0</v>
      </c>
      <c r="CZ1166" s="693">
        <f>SUMIFS(Imput[[Importe Neto]:[Importe Neto]],Imput[[C. Imp.]:[C. Imp.]],$D1166,Imput[[PERIODO Imp.]:[PERIODO Imp.]],CZ$9)</f>
        <v>0</v>
      </c>
      <c r="DA1166" s="693">
        <f>SUMIFS(Imput[[Importe Neto]:[Importe Neto]],Imput[[C. Imp.]:[C. Imp.]],$D1166,Imput[[PERIODO Imp.]:[PERIODO Imp.]],DA$9)</f>
        <v>0</v>
      </c>
      <c r="DB1166" s="693">
        <f>SUMIFS(Imput[[Importe Neto]:[Importe Neto]],Imput[[C. Imp.]:[C. Imp.]],$D1166,Imput[[PERIODO Imp.]:[PERIODO Imp.]],DB$9)</f>
        <v>0</v>
      </c>
      <c r="DC1166" s="693">
        <f>SUMIFS(Imput[[Importe Neto]:[Importe Neto]],Imput[[C. Imp.]:[C. Imp.]],$D1166,Imput[[PERIODO Imp.]:[PERIODO Imp.]],DC$9)</f>
        <v>0</v>
      </c>
      <c r="DD1166" s="693">
        <f>SUMIFS(Imput[[Importe Neto]:[Importe Neto]],Imput[[C. Imp.]:[C. Imp.]],$D1166,Imput[[PERIODO Imp.]:[PERIODO Imp.]],DD$9)</f>
        <v>0</v>
      </c>
      <c r="DE1166" s="693">
        <f>SUMIFS(Imput[[Importe Neto]:[Importe Neto]],Imput[[C. Imp.]:[C. Imp.]],$D1166,Imput[[PERIODO Imp.]:[PERIODO Imp.]],DE$9)</f>
        <v>0</v>
      </c>
      <c r="DF1166" s="693">
        <f>SUMIFS(Imput[[Importe Neto]:[Importe Neto]],Imput[[C. Imp.]:[C. Imp.]],$D1166,Imput[[PERIODO Imp.]:[PERIODO Imp.]],DF$9)</f>
        <v>0</v>
      </c>
      <c r="DG1166" s="693">
        <f>SUMIFS(Imput[[Importe Neto]:[Importe Neto]],Imput[[C. Imp.]:[C. Imp.]],$D1166,Imput[[PERIODO Imp.]:[PERIODO Imp.]],DG$9)</f>
        <v>0</v>
      </c>
      <c r="DH1166" s="694">
        <f>SUMIFS(Imput[[Importe Neto]:[Importe Neto]],Imput[[C. Imp.]:[C. Imp.]],$D1166,Imput[[PERIODO Imp.]:[PERIODO Imp.]],DH$9)</f>
        <v>0</v>
      </c>
    </row>
    <row r="1167" spans="1:112" s="649" customFormat="1" hidden="1" outlineLevel="1" x14ac:dyDescent="0.3">
      <c r="A1167" s="652" t="str">
        <f t="shared" si="382"/>
        <v/>
      </c>
      <c r="B1167" s="652"/>
      <c r="C1167" s="685"/>
      <c r="D1167" s="686"/>
      <c r="E1167" s="686"/>
      <c r="F1167" s="720"/>
      <c r="G1167" s="688"/>
      <c r="H1167" s="689"/>
      <c r="I1167" s="851" t="str">
        <f t="shared" si="383"/>
        <v/>
      </c>
      <c r="J1167" s="517" t="str">
        <f t="shared" si="384"/>
        <v/>
      </c>
      <c r="K1167" s="667"/>
      <c r="L1167" s="858"/>
      <c r="M1167" s="859"/>
      <c r="N1167" s="859"/>
      <c r="O1167" s="859"/>
      <c r="P1167" s="859"/>
      <c r="Q1167" s="859"/>
      <c r="R1167" s="859"/>
      <c r="S1167" s="859"/>
      <c r="T1167" s="859"/>
      <c r="U1167" s="859"/>
      <c r="V1167" s="859"/>
      <c r="W1167" s="859"/>
      <c r="X1167" s="859"/>
      <c r="Y1167" s="859"/>
      <c r="Z1167" s="860"/>
      <c r="AA1167" s="860"/>
      <c r="AB1167" s="860"/>
      <c r="AC1167" s="860"/>
      <c r="AD1167" s="860"/>
      <c r="AE1167" s="860"/>
      <c r="AF1167" s="860"/>
      <c r="AG1167" s="860"/>
      <c r="AH1167" s="860"/>
      <c r="AI1167" s="860"/>
      <c r="AJ1167" s="860"/>
      <c r="AK1167" s="860"/>
      <c r="AL1167" s="860"/>
      <c r="AM1167" s="860"/>
      <c r="AN1167" s="860"/>
      <c r="AO1167" s="860"/>
      <c r="AP1167" s="860"/>
      <c r="AQ1167" s="860"/>
      <c r="AR1167" s="860"/>
      <c r="AS1167" s="860"/>
      <c r="AT1167" s="860"/>
      <c r="AU1167" s="860"/>
      <c r="AV1167" s="860"/>
      <c r="AW1167" s="860"/>
      <c r="AX1167" s="860"/>
      <c r="AY1167" s="860"/>
      <c r="AZ1167" s="860"/>
      <c r="BA1167" s="860"/>
      <c r="BB1167" s="860"/>
      <c r="BC1167" s="860"/>
      <c r="BD1167" s="860"/>
      <c r="BE1167" s="860"/>
      <c r="BF1167" s="860"/>
      <c r="BG1167" s="860"/>
      <c r="BH1167" s="668"/>
      <c r="BI1167" s="654"/>
      <c r="BJ1167" s="690">
        <f t="shared" si="385"/>
        <v>0</v>
      </c>
      <c r="BK1167" s="691">
        <f t="shared" si="386"/>
        <v>0</v>
      </c>
      <c r="BL1167" s="654"/>
      <c r="BM1167" s="692">
        <f>SUMIFS(Imput[[Importe Neto]:[Importe Neto]],Imput[[C. Imp.]:[C. Imp.]],$D1167,Imput[[PERIODO Imp.]:[PERIODO Imp.]],BM$9)</f>
        <v>0</v>
      </c>
      <c r="BN1167" s="693">
        <f>SUMIFS(Imput[[Importe Neto]:[Importe Neto]],Imput[[C. Imp.]:[C. Imp.]],$D1167,Imput[[PERIODO Imp.]:[PERIODO Imp.]],BN$9)</f>
        <v>0</v>
      </c>
      <c r="BO1167" s="693">
        <f>SUMIFS(Imput[[Importe Neto]:[Importe Neto]],Imput[[C. Imp.]:[C. Imp.]],$D1167,Imput[[PERIODO Imp.]:[PERIODO Imp.]],BO$9)</f>
        <v>0</v>
      </c>
      <c r="BP1167" s="693">
        <f>SUMIFS(Imput[[Importe Neto]:[Importe Neto]],Imput[[C. Imp.]:[C. Imp.]],$D1167,Imput[[PERIODO Imp.]:[PERIODO Imp.]],BP$9)</f>
        <v>0</v>
      </c>
      <c r="BQ1167" s="693">
        <f>SUMIFS(Imput[[Importe Neto]:[Importe Neto]],Imput[[C. Imp.]:[C. Imp.]],$D1167,Imput[[PERIODO Imp.]:[PERIODO Imp.]],BQ$9)</f>
        <v>0</v>
      </c>
      <c r="BR1167" s="693">
        <f>SUMIFS(Imput[[Importe Neto]:[Importe Neto]],Imput[[C. Imp.]:[C. Imp.]],$D1167,Imput[[PERIODO Imp.]:[PERIODO Imp.]],BR$9)</f>
        <v>0</v>
      </c>
      <c r="BS1167" s="693">
        <f>SUMIFS(Imput[[Importe Neto]:[Importe Neto]],Imput[[C. Imp.]:[C. Imp.]],$D1167,Imput[[PERIODO Imp.]:[PERIODO Imp.]],BS$9)</f>
        <v>0</v>
      </c>
      <c r="BT1167" s="693">
        <f>SUMIFS(Imput[[Importe Neto]:[Importe Neto]],Imput[[C. Imp.]:[C. Imp.]],$D1167,Imput[[PERIODO Imp.]:[PERIODO Imp.]],BT$9)</f>
        <v>0</v>
      </c>
      <c r="BU1167" s="693">
        <f>SUMIFS(Imput[[Importe Neto]:[Importe Neto]],Imput[[C. Imp.]:[C. Imp.]],$D1167,Imput[[PERIODO Imp.]:[PERIODO Imp.]],BU$9)</f>
        <v>0</v>
      </c>
      <c r="BV1167" s="693">
        <f>SUMIFS(Imput[[Importe Neto]:[Importe Neto]],Imput[[C. Imp.]:[C. Imp.]],$D1167,Imput[[PERIODO Imp.]:[PERIODO Imp.]],BV$9)</f>
        <v>0</v>
      </c>
      <c r="BW1167" s="693">
        <f>SUMIFS(Imput[[Importe Neto]:[Importe Neto]],Imput[[C. Imp.]:[C. Imp.]],$D1167,Imput[[PERIODO Imp.]:[PERIODO Imp.]],BW$9)</f>
        <v>0</v>
      </c>
      <c r="BX1167" s="693">
        <f>SUMIFS(Imput[[Importe Neto]:[Importe Neto]],Imput[[C. Imp.]:[C. Imp.]],$D1167,Imput[[PERIODO Imp.]:[PERIODO Imp.]],BX$9)</f>
        <v>0</v>
      </c>
      <c r="BY1167" s="693">
        <f>SUMIFS(Imput[[Importe Neto]:[Importe Neto]],Imput[[C. Imp.]:[C. Imp.]],$D1167,Imput[[PERIODO Imp.]:[PERIODO Imp.]],BY$9)</f>
        <v>0</v>
      </c>
      <c r="BZ1167" s="693">
        <f>SUMIFS(Imput[[Importe Neto]:[Importe Neto]],Imput[[C. Imp.]:[C. Imp.]],$D1167,Imput[[PERIODO Imp.]:[PERIODO Imp.]],BZ$9)</f>
        <v>0</v>
      </c>
      <c r="CA1167" s="693">
        <f>SUMIFS(Imput[[Importe Neto]:[Importe Neto]],Imput[[C. Imp.]:[C. Imp.]],$D1167,Imput[[PERIODO Imp.]:[PERIODO Imp.]],CA$9)</f>
        <v>0</v>
      </c>
      <c r="CB1167" s="693">
        <f>SUMIFS(Imput[[Importe Neto]:[Importe Neto]],Imput[[C. Imp.]:[C. Imp.]],$D1167,Imput[[PERIODO Imp.]:[PERIODO Imp.]],CB$9)</f>
        <v>0</v>
      </c>
      <c r="CC1167" s="693">
        <f>SUMIFS(Imput[[Importe Neto]:[Importe Neto]],Imput[[C. Imp.]:[C. Imp.]],$D1167,Imput[[PERIODO Imp.]:[PERIODO Imp.]],CC$9)</f>
        <v>0</v>
      </c>
      <c r="CD1167" s="693">
        <f>SUMIFS(Imput[[Importe Neto]:[Importe Neto]],Imput[[C. Imp.]:[C. Imp.]],$D1167,Imput[[PERIODO Imp.]:[PERIODO Imp.]],CD$9)</f>
        <v>0</v>
      </c>
      <c r="CE1167" s="693">
        <f>SUMIFS(Imput[[Importe Neto]:[Importe Neto]],Imput[[C. Imp.]:[C. Imp.]],$D1167,Imput[[PERIODO Imp.]:[PERIODO Imp.]],CE$9)</f>
        <v>0</v>
      </c>
      <c r="CF1167" s="693">
        <f>SUMIFS(Imput[[Importe Neto]:[Importe Neto]],Imput[[C. Imp.]:[C. Imp.]],$D1167,Imput[[PERIODO Imp.]:[PERIODO Imp.]],CF$9)</f>
        <v>0</v>
      </c>
      <c r="CG1167" s="693">
        <f>SUMIFS(Imput[[Importe Neto]:[Importe Neto]],Imput[[C. Imp.]:[C. Imp.]],$D1167,Imput[[PERIODO Imp.]:[PERIODO Imp.]],CG$9)</f>
        <v>0</v>
      </c>
      <c r="CH1167" s="693">
        <f>SUMIFS(Imput[[Importe Neto]:[Importe Neto]],Imput[[C. Imp.]:[C. Imp.]],$D1167,Imput[[PERIODO Imp.]:[PERIODO Imp.]],CH$9)</f>
        <v>0</v>
      </c>
      <c r="CI1167" s="693">
        <f>SUMIFS(Imput[[Importe Neto]:[Importe Neto]],Imput[[C. Imp.]:[C. Imp.]],$D1167,Imput[[PERIODO Imp.]:[PERIODO Imp.]],CI$9)</f>
        <v>0</v>
      </c>
      <c r="CJ1167" s="693">
        <f>SUMIFS(Imput[[Importe Neto]:[Importe Neto]],Imput[[C. Imp.]:[C. Imp.]],$D1167,Imput[[PERIODO Imp.]:[PERIODO Imp.]],CJ$9)</f>
        <v>0</v>
      </c>
      <c r="CK1167" s="693">
        <f>SUMIFS(Imput[[Importe Neto]:[Importe Neto]],Imput[[C. Imp.]:[C. Imp.]],$D1167,Imput[[PERIODO Imp.]:[PERIODO Imp.]],CK$9)</f>
        <v>0</v>
      </c>
      <c r="CL1167" s="693">
        <f>SUMIFS(Imput[[Importe Neto]:[Importe Neto]],Imput[[C. Imp.]:[C. Imp.]],$D1167,Imput[[PERIODO Imp.]:[PERIODO Imp.]],CL$9)</f>
        <v>0</v>
      </c>
      <c r="CM1167" s="693">
        <f>SUMIFS(Imput[[Importe Neto]:[Importe Neto]],Imput[[C. Imp.]:[C. Imp.]],$D1167,Imput[[PERIODO Imp.]:[PERIODO Imp.]],CM$9)</f>
        <v>0</v>
      </c>
      <c r="CN1167" s="693">
        <f>SUMIFS(Imput[[Importe Neto]:[Importe Neto]],Imput[[C. Imp.]:[C. Imp.]],$D1167,Imput[[PERIODO Imp.]:[PERIODO Imp.]],CN$9)</f>
        <v>0</v>
      </c>
      <c r="CO1167" s="693">
        <f>SUMIFS(Imput[[Importe Neto]:[Importe Neto]],Imput[[C. Imp.]:[C. Imp.]],$D1167,Imput[[PERIODO Imp.]:[PERIODO Imp.]],CO$9)</f>
        <v>0</v>
      </c>
      <c r="CP1167" s="693">
        <f>SUMIFS(Imput[[Importe Neto]:[Importe Neto]],Imput[[C. Imp.]:[C. Imp.]],$D1167,Imput[[PERIODO Imp.]:[PERIODO Imp.]],CP$9)</f>
        <v>0</v>
      </c>
      <c r="CQ1167" s="693">
        <f>SUMIFS(Imput[[Importe Neto]:[Importe Neto]],Imput[[C. Imp.]:[C. Imp.]],$D1167,Imput[[PERIODO Imp.]:[PERIODO Imp.]],CQ$9)</f>
        <v>0</v>
      </c>
      <c r="CR1167" s="693">
        <f>SUMIFS(Imput[[Importe Neto]:[Importe Neto]],Imput[[C. Imp.]:[C. Imp.]],$D1167,Imput[[PERIODO Imp.]:[PERIODO Imp.]],CR$9)</f>
        <v>0</v>
      </c>
      <c r="CS1167" s="693">
        <f>SUMIFS(Imput[[Importe Neto]:[Importe Neto]],Imput[[C. Imp.]:[C. Imp.]],$D1167,Imput[[PERIODO Imp.]:[PERIODO Imp.]],CS$9)</f>
        <v>0</v>
      </c>
      <c r="CT1167" s="693">
        <f>SUMIFS(Imput[[Importe Neto]:[Importe Neto]],Imput[[C. Imp.]:[C. Imp.]],$D1167,Imput[[PERIODO Imp.]:[PERIODO Imp.]],CT$9)</f>
        <v>0</v>
      </c>
      <c r="CU1167" s="693">
        <f>SUMIFS(Imput[[Importe Neto]:[Importe Neto]],Imput[[C. Imp.]:[C. Imp.]],$D1167,Imput[[PERIODO Imp.]:[PERIODO Imp.]],CU$9)</f>
        <v>0</v>
      </c>
      <c r="CV1167" s="693">
        <f>SUMIFS(Imput[[Importe Neto]:[Importe Neto]],Imput[[C. Imp.]:[C. Imp.]],$D1167,Imput[[PERIODO Imp.]:[PERIODO Imp.]],CV$9)</f>
        <v>0</v>
      </c>
      <c r="CW1167" s="693">
        <f>SUMIFS(Imput[[Importe Neto]:[Importe Neto]],Imput[[C. Imp.]:[C. Imp.]],$D1167,Imput[[PERIODO Imp.]:[PERIODO Imp.]],CW$9)</f>
        <v>0</v>
      </c>
      <c r="CX1167" s="693">
        <f>SUMIFS(Imput[[Importe Neto]:[Importe Neto]],Imput[[C. Imp.]:[C. Imp.]],$D1167,Imput[[PERIODO Imp.]:[PERIODO Imp.]],CX$9)</f>
        <v>0</v>
      </c>
      <c r="CY1167" s="693">
        <f>SUMIFS(Imput[[Importe Neto]:[Importe Neto]],Imput[[C. Imp.]:[C. Imp.]],$D1167,Imput[[PERIODO Imp.]:[PERIODO Imp.]],CY$9)</f>
        <v>0</v>
      </c>
      <c r="CZ1167" s="693">
        <f>SUMIFS(Imput[[Importe Neto]:[Importe Neto]],Imput[[C. Imp.]:[C. Imp.]],$D1167,Imput[[PERIODO Imp.]:[PERIODO Imp.]],CZ$9)</f>
        <v>0</v>
      </c>
      <c r="DA1167" s="693">
        <f>SUMIFS(Imput[[Importe Neto]:[Importe Neto]],Imput[[C. Imp.]:[C. Imp.]],$D1167,Imput[[PERIODO Imp.]:[PERIODO Imp.]],DA$9)</f>
        <v>0</v>
      </c>
      <c r="DB1167" s="693">
        <f>SUMIFS(Imput[[Importe Neto]:[Importe Neto]],Imput[[C. Imp.]:[C. Imp.]],$D1167,Imput[[PERIODO Imp.]:[PERIODO Imp.]],DB$9)</f>
        <v>0</v>
      </c>
      <c r="DC1167" s="693">
        <f>SUMIFS(Imput[[Importe Neto]:[Importe Neto]],Imput[[C. Imp.]:[C. Imp.]],$D1167,Imput[[PERIODO Imp.]:[PERIODO Imp.]],DC$9)</f>
        <v>0</v>
      </c>
      <c r="DD1167" s="693">
        <f>SUMIFS(Imput[[Importe Neto]:[Importe Neto]],Imput[[C. Imp.]:[C. Imp.]],$D1167,Imput[[PERIODO Imp.]:[PERIODO Imp.]],DD$9)</f>
        <v>0</v>
      </c>
      <c r="DE1167" s="693">
        <f>SUMIFS(Imput[[Importe Neto]:[Importe Neto]],Imput[[C. Imp.]:[C. Imp.]],$D1167,Imput[[PERIODO Imp.]:[PERIODO Imp.]],DE$9)</f>
        <v>0</v>
      </c>
      <c r="DF1167" s="693">
        <f>SUMIFS(Imput[[Importe Neto]:[Importe Neto]],Imput[[C. Imp.]:[C. Imp.]],$D1167,Imput[[PERIODO Imp.]:[PERIODO Imp.]],DF$9)</f>
        <v>0</v>
      </c>
      <c r="DG1167" s="693">
        <f>SUMIFS(Imput[[Importe Neto]:[Importe Neto]],Imput[[C. Imp.]:[C. Imp.]],$D1167,Imput[[PERIODO Imp.]:[PERIODO Imp.]],DG$9)</f>
        <v>0</v>
      </c>
      <c r="DH1167" s="694">
        <f>SUMIFS(Imput[[Importe Neto]:[Importe Neto]],Imput[[C. Imp.]:[C. Imp.]],$D1167,Imput[[PERIODO Imp.]:[PERIODO Imp.]],DH$9)</f>
        <v>0</v>
      </c>
    </row>
    <row r="1168" spans="1:112" s="649" customFormat="1" hidden="1" outlineLevel="1" x14ac:dyDescent="0.3">
      <c r="A1168" s="652" t="str">
        <f t="shared" si="382"/>
        <v/>
      </c>
      <c r="B1168" s="652"/>
      <c r="C1168" s="685"/>
      <c r="D1168" s="686"/>
      <c r="E1168" s="686"/>
      <c r="F1168" s="720"/>
      <c r="G1168" s="688"/>
      <c r="H1168" s="689"/>
      <c r="I1168" s="851" t="str">
        <f t="shared" si="383"/>
        <v/>
      </c>
      <c r="J1168" s="517" t="str">
        <f t="shared" si="384"/>
        <v/>
      </c>
      <c r="K1168" s="667"/>
      <c r="L1168" s="858"/>
      <c r="M1168" s="859"/>
      <c r="N1168" s="859"/>
      <c r="O1168" s="859"/>
      <c r="P1168" s="859"/>
      <c r="Q1168" s="859"/>
      <c r="R1168" s="859"/>
      <c r="S1168" s="859"/>
      <c r="T1168" s="859"/>
      <c r="U1168" s="859"/>
      <c r="V1168" s="859"/>
      <c r="W1168" s="859"/>
      <c r="X1168" s="859"/>
      <c r="Y1168" s="859"/>
      <c r="Z1168" s="860"/>
      <c r="AA1168" s="860"/>
      <c r="AB1168" s="860"/>
      <c r="AC1168" s="860"/>
      <c r="AD1168" s="860"/>
      <c r="AE1168" s="860"/>
      <c r="AF1168" s="860"/>
      <c r="AG1168" s="860"/>
      <c r="AH1168" s="860"/>
      <c r="AI1168" s="860"/>
      <c r="AJ1168" s="860"/>
      <c r="AK1168" s="860"/>
      <c r="AL1168" s="860"/>
      <c r="AM1168" s="860"/>
      <c r="AN1168" s="860"/>
      <c r="AO1168" s="860"/>
      <c r="AP1168" s="860"/>
      <c r="AQ1168" s="860"/>
      <c r="AR1168" s="860"/>
      <c r="AS1168" s="860"/>
      <c r="AT1168" s="860"/>
      <c r="AU1168" s="860"/>
      <c r="AV1168" s="860"/>
      <c r="AW1168" s="860"/>
      <c r="AX1168" s="860"/>
      <c r="AY1168" s="860"/>
      <c r="AZ1168" s="860"/>
      <c r="BA1168" s="860"/>
      <c r="BB1168" s="860"/>
      <c r="BC1168" s="860"/>
      <c r="BD1168" s="860"/>
      <c r="BE1168" s="860"/>
      <c r="BF1168" s="860"/>
      <c r="BG1168" s="860"/>
      <c r="BH1168" s="668"/>
      <c r="BI1168" s="654"/>
      <c r="BJ1168" s="690">
        <f t="shared" si="385"/>
        <v>0</v>
      </c>
      <c r="BK1168" s="691">
        <f t="shared" si="386"/>
        <v>0</v>
      </c>
      <c r="BL1168" s="654"/>
      <c r="BM1168" s="692">
        <f>SUMIFS(Imput[[Importe Neto]:[Importe Neto]],Imput[[C. Imp.]:[C. Imp.]],$D1168,Imput[[PERIODO Imp.]:[PERIODO Imp.]],BM$9)</f>
        <v>0</v>
      </c>
      <c r="BN1168" s="693">
        <f>SUMIFS(Imput[[Importe Neto]:[Importe Neto]],Imput[[C. Imp.]:[C. Imp.]],$D1168,Imput[[PERIODO Imp.]:[PERIODO Imp.]],BN$9)</f>
        <v>0</v>
      </c>
      <c r="BO1168" s="693">
        <f>SUMIFS(Imput[[Importe Neto]:[Importe Neto]],Imput[[C. Imp.]:[C. Imp.]],$D1168,Imput[[PERIODO Imp.]:[PERIODO Imp.]],BO$9)</f>
        <v>0</v>
      </c>
      <c r="BP1168" s="693">
        <f>SUMIFS(Imput[[Importe Neto]:[Importe Neto]],Imput[[C. Imp.]:[C. Imp.]],$D1168,Imput[[PERIODO Imp.]:[PERIODO Imp.]],BP$9)</f>
        <v>0</v>
      </c>
      <c r="BQ1168" s="693">
        <f>SUMIFS(Imput[[Importe Neto]:[Importe Neto]],Imput[[C. Imp.]:[C. Imp.]],$D1168,Imput[[PERIODO Imp.]:[PERIODO Imp.]],BQ$9)</f>
        <v>0</v>
      </c>
      <c r="BR1168" s="693">
        <f>SUMIFS(Imput[[Importe Neto]:[Importe Neto]],Imput[[C. Imp.]:[C. Imp.]],$D1168,Imput[[PERIODO Imp.]:[PERIODO Imp.]],BR$9)</f>
        <v>0</v>
      </c>
      <c r="BS1168" s="693">
        <f>SUMIFS(Imput[[Importe Neto]:[Importe Neto]],Imput[[C. Imp.]:[C. Imp.]],$D1168,Imput[[PERIODO Imp.]:[PERIODO Imp.]],BS$9)</f>
        <v>0</v>
      </c>
      <c r="BT1168" s="693">
        <f>SUMIFS(Imput[[Importe Neto]:[Importe Neto]],Imput[[C. Imp.]:[C. Imp.]],$D1168,Imput[[PERIODO Imp.]:[PERIODO Imp.]],BT$9)</f>
        <v>0</v>
      </c>
      <c r="BU1168" s="693">
        <f>SUMIFS(Imput[[Importe Neto]:[Importe Neto]],Imput[[C. Imp.]:[C. Imp.]],$D1168,Imput[[PERIODO Imp.]:[PERIODO Imp.]],BU$9)</f>
        <v>0</v>
      </c>
      <c r="BV1168" s="693">
        <f>SUMIFS(Imput[[Importe Neto]:[Importe Neto]],Imput[[C. Imp.]:[C. Imp.]],$D1168,Imput[[PERIODO Imp.]:[PERIODO Imp.]],BV$9)</f>
        <v>0</v>
      </c>
      <c r="BW1168" s="693">
        <f>SUMIFS(Imput[[Importe Neto]:[Importe Neto]],Imput[[C. Imp.]:[C. Imp.]],$D1168,Imput[[PERIODO Imp.]:[PERIODO Imp.]],BW$9)</f>
        <v>0</v>
      </c>
      <c r="BX1168" s="693">
        <f>SUMIFS(Imput[[Importe Neto]:[Importe Neto]],Imput[[C. Imp.]:[C. Imp.]],$D1168,Imput[[PERIODO Imp.]:[PERIODO Imp.]],BX$9)</f>
        <v>0</v>
      </c>
      <c r="BY1168" s="693">
        <f>SUMIFS(Imput[[Importe Neto]:[Importe Neto]],Imput[[C. Imp.]:[C. Imp.]],$D1168,Imput[[PERIODO Imp.]:[PERIODO Imp.]],BY$9)</f>
        <v>0</v>
      </c>
      <c r="BZ1168" s="693">
        <f>SUMIFS(Imput[[Importe Neto]:[Importe Neto]],Imput[[C. Imp.]:[C. Imp.]],$D1168,Imput[[PERIODO Imp.]:[PERIODO Imp.]],BZ$9)</f>
        <v>0</v>
      </c>
      <c r="CA1168" s="693">
        <f>SUMIFS(Imput[[Importe Neto]:[Importe Neto]],Imput[[C. Imp.]:[C. Imp.]],$D1168,Imput[[PERIODO Imp.]:[PERIODO Imp.]],CA$9)</f>
        <v>0</v>
      </c>
      <c r="CB1168" s="693">
        <f>SUMIFS(Imput[[Importe Neto]:[Importe Neto]],Imput[[C. Imp.]:[C. Imp.]],$D1168,Imput[[PERIODO Imp.]:[PERIODO Imp.]],CB$9)</f>
        <v>0</v>
      </c>
      <c r="CC1168" s="693">
        <f>SUMIFS(Imput[[Importe Neto]:[Importe Neto]],Imput[[C. Imp.]:[C. Imp.]],$D1168,Imput[[PERIODO Imp.]:[PERIODO Imp.]],CC$9)</f>
        <v>0</v>
      </c>
      <c r="CD1168" s="693">
        <f>SUMIFS(Imput[[Importe Neto]:[Importe Neto]],Imput[[C. Imp.]:[C. Imp.]],$D1168,Imput[[PERIODO Imp.]:[PERIODO Imp.]],CD$9)</f>
        <v>0</v>
      </c>
      <c r="CE1168" s="693">
        <f>SUMIFS(Imput[[Importe Neto]:[Importe Neto]],Imput[[C. Imp.]:[C. Imp.]],$D1168,Imput[[PERIODO Imp.]:[PERIODO Imp.]],CE$9)</f>
        <v>0</v>
      </c>
      <c r="CF1168" s="693">
        <f>SUMIFS(Imput[[Importe Neto]:[Importe Neto]],Imput[[C. Imp.]:[C. Imp.]],$D1168,Imput[[PERIODO Imp.]:[PERIODO Imp.]],CF$9)</f>
        <v>0</v>
      </c>
      <c r="CG1168" s="693">
        <f>SUMIFS(Imput[[Importe Neto]:[Importe Neto]],Imput[[C. Imp.]:[C. Imp.]],$D1168,Imput[[PERIODO Imp.]:[PERIODO Imp.]],CG$9)</f>
        <v>0</v>
      </c>
      <c r="CH1168" s="693">
        <f>SUMIFS(Imput[[Importe Neto]:[Importe Neto]],Imput[[C. Imp.]:[C. Imp.]],$D1168,Imput[[PERIODO Imp.]:[PERIODO Imp.]],CH$9)</f>
        <v>0</v>
      </c>
      <c r="CI1168" s="693">
        <f>SUMIFS(Imput[[Importe Neto]:[Importe Neto]],Imput[[C. Imp.]:[C. Imp.]],$D1168,Imput[[PERIODO Imp.]:[PERIODO Imp.]],CI$9)</f>
        <v>0</v>
      </c>
      <c r="CJ1168" s="693">
        <f>SUMIFS(Imput[[Importe Neto]:[Importe Neto]],Imput[[C. Imp.]:[C. Imp.]],$D1168,Imput[[PERIODO Imp.]:[PERIODO Imp.]],CJ$9)</f>
        <v>0</v>
      </c>
      <c r="CK1168" s="693">
        <f>SUMIFS(Imput[[Importe Neto]:[Importe Neto]],Imput[[C. Imp.]:[C. Imp.]],$D1168,Imput[[PERIODO Imp.]:[PERIODO Imp.]],CK$9)</f>
        <v>0</v>
      </c>
      <c r="CL1168" s="693">
        <f>SUMIFS(Imput[[Importe Neto]:[Importe Neto]],Imput[[C. Imp.]:[C. Imp.]],$D1168,Imput[[PERIODO Imp.]:[PERIODO Imp.]],CL$9)</f>
        <v>0</v>
      </c>
      <c r="CM1168" s="693">
        <f>SUMIFS(Imput[[Importe Neto]:[Importe Neto]],Imput[[C. Imp.]:[C. Imp.]],$D1168,Imput[[PERIODO Imp.]:[PERIODO Imp.]],CM$9)</f>
        <v>0</v>
      </c>
      <c r="CN1168" s="693">
        <f>SUMIFS(Imput[[Importe Neto]:[Importe Neto]],Imput[[C. Imp.]:[C. Imp.]],$D1168,Imput[[PERIODO Imp.]:[PERIODO Imp.]],CN$9)</f>
        <v>0</v>
      </c>
      <c r="CO1168" s="693">
        <f>SUMIFS(Imput[[Importe Neto]:[Importe Neto]],Imput[[C. Imp.]:[C. Imp.]],$D1168,Imput[[PERIODO Imp.]:[PERIODO Imp.]],CO$9)</f>
        <v>0</v>
      </c>
      <c r="CP1168" s="693">
        <f>SUMIFS(Imput[[Importe Neto]:[Importe Neto]],Imput[[C. Imp.]:[C. Imp.]],$D1168,Imput[[PERIODO Imp.]:[PERIODO Imp.]],CP$9)</f>
        <v>0</v>
      </c>
      <c r="CQ1168" s="693">
        <f>SUMIFS(Imput[[Importe Neto]:[Importe Neto]],Imput[[C. Imp.]:[C. Imp.]],$D1168,Imput[[PERIODO Imp.]:[PERIODO Imp.]],CQ$9)</f>
        <v>0</v>
      </c>
      <c r="CR1168" s="693">
        <f>SUMIFS(Imput[[Importe Neto]:[Importe Neto]],Imput[[C. Imp.]:[C. Imp.]],$D1168,Imput[[PERIODO Imp.]:[PERIODO Imp.]],CR$9)</f>
        <v>0</v>
      </c>
      <c r="CS1168" s="693">
        <f>SUMIFS(Imput[[Importe Neto]:[Importe Neto]],Imput[[C. Imp.]:[C. Imp.]],$D1168,Imput[[PERIODO Imp.]:[PERIODO Imp.]],CS$9)</f>
        <v>0</v>
      </c>
      <c r="CT1168" s="693">
        <f>SUMIFS(Imput[[Importe Neto]:[Importe Neto]],Imput[[C. Imp.]:[C. Imp.]],$D1168,Imput[[PERIODO Imp.]:[PERIODO Imp.]],CT$9)</f>
        <v>0</v>
      </c>
      <c r="CU1168" s="693">
        <f>SUMIFS(Imput[[Importe Neto]:[Importe Neto]],Imput[[C. Imp.]:[C. Imp.]],$D1168,Imput[[PERIODO Imp.]:[PERIODO Imp.]],CU$9)</f>
        <v>0</v>
      </c>
      <c r="CV1168" s="693">
        <f>SUMIFS(Imput[[Importe Neto]:[Importe Neto]],Imput[[C. Imp.]:[C. Imp.]],$D1168,Imput[[PERIODO Imp.]:[PERIODO Imp.]],CV$9)</f>
        <v>0</v>
      </c>
      <c r="CW1168" s="693">
        <f>SUMIFS(Imput[[Importe Neto]:[Importe Neto]],Imput[[C. Imp.]:[C. Imp.]],$D1168,Imput[[PERIODO Imp.]:[PERIODO Imp.]],CW$9)</f>
        <v>0</v>
      </c>
      <c r="CX1168" s="693">
        <f>SUMIFS(Imput[[Importe Neto]:[Importe Neto]],Imput[[C. Imp.]:[C. Imp.]],$D1168,Imput[[PERIODO Imp.]:[PERIODO Imp.]],CX$9)</f>
        <v>0</v>
      </c>
      <c r="CY1168" s="693">
        <f>SUMIFS(Imput[[Importe Neto]:[Importe Neto]],Imput[[C. Imp.]:[C. Imp.]],$D1168,Imput[[PERIODO Imp.]:[PERIODO Imp.]],CY$9)</f>
        <v>0</v>
      </c>
      <c r="CZ1168" s="693">
        <f>SUMIFS(Imput[[Importe Neto]:[Importe Neto]],Imput[[C. Imp.]:[C. Imp.]],$D1168,Imput[[PERIODO Imp.]:[PERIODO Imp.]],CZ$9)</f>
        <v>0</v>
      </c>
      <c r="DA1168" s="693">
        <f>SUMIFS(Imput[[Importe Neto]:[Importe Neto]],Imput[[C. Imp.]:[C. Imp.]],$D1168,Imput[[PERIODO Imp.]:[PERIODO Imp.]],DA$9)</f>
        <v>0</v>
      </c>
      <c r="DB1168" s="693">
        <f>SUMIFS(Imput[[Importe Neto]:[Importe Neto]],Imput[[C. Imp.]:[C. Imp.]],$D1168,Imput[[PERIODO Imp.]:[PERIODO Imp.]],DB$9)</f>
        <v>0</v>
      </c>
      <c r="DC1168" s="693">
        <f>SUMIFS(Imput[[Importe Neto]:[Importe Neto]],Imput[[C. Imp.]:[C. Imp.]],$D1168,Imput[[PERIODO Imp.]:[PERIODO Imp.]],DC$9)</f>
        <v>0</v>
      </c>
      <c r="DD1168" s="693">
        <f>SUMIFS(Imput[[Importe Neto]:[Importe Neto]],Imput[[C. Imp.]:[C. Imp.]],$D1168,Imput[[PERIODO Imp.]:[PERIODO Imp.]],DD$9)</f>
        <v>0</v>
      </c>
      <c r="DE1168" s="693">
        <f>SUMIFS(Imput[[Importe Neto]:[Importe Neto]],Imput[[C. Imp.]:[C. Imp.]],$D1168,Imput[[PERIODO Imp.]:[PERIODO Imp.]],DE$9)</f>
        <v>0</v>
      </c>
      <c r="DF1168" s="693">
        <f>SUMIFS(Imput[[Importe Neto]:[Importe Neto]],Imput[[C. Imp.]:[C. Imp.]],$D1168,Imput[[PERIODO Imp.]:[PERIODO Imp.]],DF$9)</f>
        <v>0</v>
      </c>
      <c r="DG1168" s="693">
        <f>SUMIFS(Imput[[Importe Neto]:[Importe Neto]],Imput[[C. Imp.]:[C. Imp.]],$D1168,Imput[[PERIODO Imp.]:[PERIODO Imp.]],DG$9)</f>
        <v>0</v>
      </c>
      <c r="DH1168" s="694">
        <f>SUMIFS(Imput[[Importe Neto]:[Importe Neto]],Imput[[C. Imp.]:[C. Imp.]],$D1168,Imput[[PERIODO Imp.]:[PERIODO Imp.]],DH$9)</f>
        <v>0</v>
      </c>
    </row>
    <row r="1169" spans="1:112" s="651" customFormat="1" hidden="1" outlineLevel="1" x14ac:dyDescent="0.3">
      <c r="A1169" s="652" t="str">
        <f t="shared" si="382"/>
        <v/>
      </c>
      <c r="B1169" s="732"/>
      <c r="C1169" s="685"/>
      <c r="D1169" s="686"/>
      <c r="E1169" s="686"/>
      <c r="F1169" s="720"/>
      <c r="G1169" s="688"/>
      <c r="H1169" s="689"/>
      <c r="I1169" s="851" t="str">
        <f t="shared" si="383"/>
        <v/>
      </c>
      <c r="J1169" s="517" t="str">
        <f t="shared" si="384"/>
        <v/>
      </c>
      <c r="K1169" s="678"/>
      <c r="L1169" s="858"/>
      <c r="M1169" s="859"/>
      <c r="N1169" s="859"/>
      <c r="O1169" s="859"/>
      <c r="P1169" s="859"/>
      <c r="Q1169" s="859"/>
      <c r="R1169" s="859"/>
      <c r="S1169" s="859"/>
      <c r="T1169" s="859"/>
      <c r="U1169" s="859"/>
      <c r="V1169" s="859"/>
      <c r="W1169" s="859"/>
      <c r="X1169" s="859"/>
      <c r="Y1169" s="859"/>
      <c r="Z1169" s="860"/>
      <c r="AA1169" s="860"/>
      <c r="AB1169" s="860"/>
      <c r="AC1169" s="860"/>
      <c r="AD1169" s="860"/>
      <c r="AE1169" s="860"/>
      <c r="AF1169" s="860"/>
      <c r="AG1169" s="860"/>
      <c r="AH1169" s="860"/>
      <c r="AI1169" s="860"/>
      <c r="AJ1169" s="860"/>
      <c r="AK1169" s="860"/>
      <c r="AL1169" s="860"/>
      <c r="AM1169" s="860"/>
      <c r="AN1169" s="860"/>
      <c r="AO1169" s="860"/>
      <c r="AP1169" s="860"/>
      <c r="AQ1169" s="860"/>
      <c r="AR1169" s="860"/>
      <c r="AS1169" s="860"/>
      <c r="AT1169" s="860"/>
      <c r="AU1169" s="860"/>
      <c r="AV1169" s="860"/>
      <c r="AW1169" s="860"/>
      <c r="AX1169" s="860"/>
      <c r="AY1169" s="860"/>
      <c r="AZ1169" s="860"/>
      <c r="BA1169" s="860"/>
      <c r="BB1169" s="860"/>
      <c r="BC1169" s="860"/>
      <c r="BD1169" s="860"/>
      <c r="BE1169" s="860"/>
      <c r="BF1169" s="860"/>
      <c r="BG1169" s="860"/>
      <c r="BH1169" s="668"/>
      <c r="BI1169" s="678"/>
      <c r="BJ1169" s="690">
        <f t="shared" si="385"/>
        <v>0</v>
      </c>
      <c r="BK1169" s="691">
        <f t="shared" si="386"/>
        <v>0</v>
      </c>
      <c r="BL1169" s="654"/>
      <c r="BM1169" s="692">
        <f>SUMIFS(Imput[[Importe Neto]:[Importe Neto]],Imput[[C. Imp.]:[C. Imp.]],$D1169,Imput[[PERIODO Imp.]:[PERIODO Imp.]],BM$9)</f>
        <v>0</v>
      </c>
      <c r="BN1169" s="693">
        <f>SUMIFS(Imput[[Importe Neto]:[Importe Neto]],Imput[[C. Imp.]:[C. Imp.]],$D1169,Imput[[PERIODO Imp.]:[PERIODO Imp.]],BN$9)</f>
        <v>0</v>
      </c>
      <c r="BO1169" s="693">
        <f>SUMIFS(Imput[[Importe Neto]:[Importe Neto]],Imput[[C. Imp.]:[C. Imp.]],$D1169,Imput[[PERIODO Imp.]:[PERIODO Imp.]],BO$9)</f>
        <v>0</v>
      </c>
      <c r="BP1169" s="693">
        <f>SUMIFS(Imput[[Importe Neto]:[Importe Neto]],Imput[[C. Imp.]:[C. Imp.]],$D1169,Imput[[PERIODO Imp.]:[PERIODO Imp.]],BP$9)</f>
        <v>0</v>
      </c>
      <c r="BQ1169" s="693">
        <f>SUMIFS(Imput[[Importe Neto]:[Importe Neto]],Imput[[C. Imp.]:[C. Imp.]],$D1169,Imput[[PERIODO Imp.]:[PERIODO Imp.]],BQ$9)</f>
        <v>0</v>
      </c>
      <c r="BR1169" s="693">
        <f>SUMIFS(Imput[[Importe Neto]:[Importe Neto]],Imput[[C. Imp.]:[C. Imp.]],$D1169,Imput[[PERIODO Imp.]:[PERIODO Imp.]],BR$9)</f>
        <v>0</v>
      </c>
      <c r="BS1169" s="693">
        <f>SUMIFS(Imput[[Importe Neto]:[Importe Neto]],Imput[[C. Imp.]:[C. Imp.]],$D1169,Imput[[PERIODO Imp.]:[PERIODO Imp.]],BS$9)</f>
        <v>0</v>
      </c>
      <c r="BT1169" s="693">
        <f>SUMIFS(Imput[[Importe Neto]:[Importe Neto]],Imput[[C. Imp.]:[C. Imp.]],$D1169,Imput[[PERIODO Imp.]:[PERIODO Imp.]],BT$9)</f>
        <v>0</v>
      </c>
      <c r="BU1169" s="693">
        <f>SUMIFS(Imput[[Importe Neto]:[Importe Neto]],Imput[[C. Imp.]:[C. Imp.]],$D1169,Imput[[PERIODO Imp.]:[PERIODO Imp.]],BU$9)</f>
        <v>0</v>
      </c>
      <c r="BV1169" s="693">
        <f>SUMIFS(Imput[[Importe Neto]:[Importe Neto]],Imput[[C. Imp.]:[C. Imp.]],$D1169,Imput[[PERIODO Imp.]:[PERIODO Imp.]],BV$9)</f>
        <v>0</v>
      </c>
      <c r="BW1169" s="693">
        <f>SUMIFS(Imput[[Importe Neto]:[Importe Neto]],Imput[[C. Imp.]:[C. Imp.]],$D1169,Imput[[PERIODO Imp.]:[PERIODO Imp.]],BW$9)</f>
        <v>0</v>
      </c>
      <c r="BX1169" s="693">
        <f>SUMIFS(Imput[[Importe Neto]:[Importe Neto]],Imput[[C. Imp.]:[C. Imp.]],$D1169,Imput[[PERIODO Imp.]:[PERIODO Imp.]],BX$9)</f>
        <v>0</v>
      </c>
      <c r="BY1169" s="693">
        <f>SUMIFS(Imput[[Importe Neto]:[Importe Neto]],Imput[[C. Imp.]:[C. Imp.]],$D1169,Imput[[PERIODO Imp.]:[PERIODO Imp.]],BY$9)</f>
        <v>0</v>
      </c>
      <c r="BZ1169" s="693">
        <f>SUMIFS(Imput[[Importe Neto]:[Importe Neto]],Imput[[C. Imp.]:[C. Imp.]],$D1169,Imput[[PERIODO Imp.]:[PERIODO Imp.]],BZ$9)</f>
        <v>0</v>
      </c>
      <c r="CA1169" s="693">
        <f>SUMIFS(Imput[[Importe Neto]:[Importe Neto]],Imput[[C. Imp.]:[C. Imp.]],$D1169,Imput[[PERIODO Imp.]:[PERIODO Imp.]],CA$9)</f>
        <v>0</v>
      </c>
      <c r="CB1169" s="693">
        <f>SUMIFS(Imput[[Importe Neto]:[Importe Neto]],Imput[[C. Imp.]:[C. Imp.]],$D1169,Imput[[PERIODO Imp.]:[PERIODO Imp.]],CB$9)</f>
        <v>0</v>
      </c>
      <c r="CC1169" s="693">
        <f>SUMIFS(Imput[[Importe Neto]:[Importe Neto]],Imput[[C. Imp.]:[C. Imp.]],$D1169,Imput[[PERIODO Imp.]:[PERIODO Imp.]],CC$9)</f>
        <v>0</v>
      </c>
      <c r="CD1169" s="693">
        <f>SUMIFS(Imput[[Importe Neto]:[Importe Neto]],Imput[[C. Imp.]:[C. Imp.]],$D1169,Imput[[PERIODO Imp.]:[PERIODO Imp.]],CD$9)</f>
        <v>0</v>
      </c>
      <c r="CE1169" s="693">
        <f>SUMIFS(Imput[[Importe Neto]:[Importe Neto]],Imput[[C. Imp.]:[C. Imp.]],$D1169,Imput[[PERIODO Imp.]:[PERIODO Imp.]],CE$9)</f>
        <v>0</v>
      </c>
      <c r="CF1169" s="693">
        <f>SUMIFS(Imput[[Importe Neto]:[Importe Neto]],Imput[[C. Imp.]:[C. Imp.]],$D1169,Imput[[PERIODO Imp.]:[PERIODO Imp.]],CF$9)</f>
        <v>0</v>
      </c>
      <c r="CG1169" s="693">
        <f>SUMIFS(Imput[[Importe Neto]:[Importe Neto]],Imput[[C. Imp.]:[C. Imp.]],$D1169,Imput[[PERIODO Imp.]:[PERIODO Imp.]],CG$9)</f>
        <v>0</v>
      </c>
      <c r="CH1169" s="693">
        <f>SUMIFS(Imput[[Importe Neto]:[Importe Neto]],Imput[[C. Imp.]:[C. Imp.]],$D1169,Imput[[PERIODO Imp.]:[PERIODO Imp.]],CH$9)</f>
        <v>0</v>
      </c>
      <c r="CI1169" s="693">
        <f>SUMIFS(Imput[[Importe Neto]:[Importe Neto]],Imput[[C. Imp.]:[C. Imp.]],$D1169,Imput[[PERIODO Imp.]:[PERIODO Imp.]],CI$9)</f>
        <v>0</v>
      </c>
      <c r="CJ1169" s="693">
        <f>SUMIFS(Imput[[Importe Neto]:[Importe Neto]],Imput[[C. Imp.]:[C. Imp.]],$D1169,Imput[[PERIODO Imp.]:[PERIODO Imp.]],CJ$9)</f>
        <v>0</v>
      </c>
      <c r="CK1169" s="693">
        <f>SUMIFS(Imput[[Importe Neto]:[Importe Neto]],Imput[[C. Imp.]:[C. Imp.]],$D1169,Imput[[PERIODO Imp.]:[PERIODO Imp.]],CK$9)</f>
        <v>0</v>
      </c>
      <c r="CL1169" s="693">
        <f>SUMIFS(Imput[[Importe Neto]:[Importe Neto]],Imput[[C. Imp.]:[C. Imp.]],$D1169,Imput[[PERIODO Imp.]:[PERIODO Imp.]],CL$9)</f>
        <v>0</v>
      </c>
      <c r="CM1169" s="693">
        <f>SUMIFS(Imput[[Importe Neto]:[Importe Neto]],Imput[[C. Imp.]:[C. Imp.]],$D1169,Imput[[PERIODO Imp.]:[PERIODO Imp.]],CM$9)</f>
        <v>0</v>
      </c>
      <c r="CN1169" s="693">
        <f>SUMIFS(Imput[[Importe Neto]:[Importe Neto]],Imput[[C. Imp.]:[C. Imp.]],$D1169,Imput[[PERIODO Imp.]:[PERIODO Imp.]],CN$9)</f>
        <v>0</v>
      </c>
      <c r="CO1169" s="693">
        <f>SUMIFS(Imput[[Importe Neto]:[Importe Neto]],Imput[[C. Imp.]:[C. Imp.]],$D1169,Imput[[PERIODO Imp.]:[PERIODO Imp.]],CO$9)</f>
        <v>0</v>
      </c>
      <c r="CP1169" s="693">
        <f>SUMIFS(Imput[[Importe Neto]:[Importe Neto]],Imput[[C. Imp.]:[C. Imp.]],$D1169,Imput[[PERIODO Imp.]:[PERIODO Imp.]],CP$9)</f>
        <v>0</v>
      </c>
      <c r="CQ1169" s="693">
        <f>SUMIFS(Imput[[Importe Neto]:[Importe Neto]],Imput[[C. Imp.]:[C. Imp.]],$D1169,Imput[[PERIODO Imp.]:[PERIODO Imp.]],CQ$9)</f>
        <v>0</v>
      </c>
      <c r="CR1169" s="693">
        <f>SUMIFS(Imput[[Importe Neto]:[Importe Neto]],Imput[[C. Imp.]:[C. Imp.]],$D1169,Imput[[PERIODO Imp.]:[PERIODO Imp.]],CR$9)</f>
        <v>0</v>
      </c>
      <c r="CS1169" s="693">
        <f>SUMIFS(Imput[[Importe Neto]:[Importe Neto]],Imput[[C. Imp.]:[C. Imp.]],$D1169,Imput[[PERIODO Imp.]:[PERIODO Imp.]],CS$9)</f>
        <v>0</v>
      </c>
      <c r="CT1169" s="693">
        <f>SUMIFS(Imput[[Importe Neto]:[Importe Neto]],Imput[[C. Imp.]:[C. Imp.]],$D1169,Imput[[PERIODO Imp.]:[PERIODO Imp.]],CT$9)</f>
        <v>0</v>
      </c>
      <c r="CU1169" s="693">
        <f>SUMIFS(Imput[[Importe Neto]:[Importe Neto]],Imput[[C. Imp.]:[C. Imp.]],$D1169,Imput[[PERIODO Imp.]:[PERIODO Imp.]],CU$9)</f>
        <v>0</v>
      </c>
      <c r="CV1169" s="693">
        <f>SUMIFS(Imput[[Importe Neto]:[Importe Neto]],Imput[[C. Imp.]:[C. Imp.]],$D1169,Imput[[PERIODO Imp.]:[PERIODO Imp.]],CV$9)</f>
        <v>0</v>
      </c>
      <c r="CW1169" s="693">
        <f>SUMIFS(Imput[[Importe Neto]:[Importe Neto]],Imput[[C. Imp.]:[C. Imp.]],$D1169,Imput[[PERIODO Imp.]:[PERIODO Imp.]],CW$9)</f>
        <v>0</v>
      </c>
      <c r="CX1169" s="693">
        <f>SUMIFS(Imput[[Importe Neto]:[Importe Neto]],Imput[[C. Imp.]:[C. Imp.]],$D1169,Imput[[PERIODO Imp.]:[PERIODO Imp.]],CX$9)</f>
        <v>0</v>
      </c>
      <c r="CY1169" s="693">
        <f>SUMIFS(Imput[[Importe Neto]:[Importe Neto]],Imput[[C. Imp.]:[C. Imp.]],$D1169,Imput[[PERIODO Imp.]:[PERIODO Imp.]],CY$9)</f>
        <v>0</v>
      </c>
      <c r="CZ1169" s="693">
        <f>SUMIFS(Imput[[Importe Neto]:[Importe Neto]],Imput[[C. Imp.]:[C. Imp.]],$D1169,Imput[[PERIODO Imp.]:[PERIODO Imp.]],CZ$9)</f>
        <v>0</v>
      </c>
      <c r="DA1169" s="693">
        <f>SUMIFS(Imput[[Importe Neto]:[Importe Neto]],Imput[[C. Imp.]:[C. Imp.]],$D1169,Imput[[PERIODO Imp.]:[PERIODO Imp.]],DA$9)</f>
        <v>0</v>
      </c>
      <c r="DB1169" s="693">
        <f>SUMIFS(Imput[[Importe Neto]:[Importe Neto]],Imput[[C. Imp.]:[C. Imp.]],$D1169,Imput[[PERIODO Imp.]:[PERIODO Imp.]],DB$9)</f>
        <v>0</v>
      </c>
      <c r="DC1169" s="693">
        <f>SUMIFS(Imput[[Importe Neto]:[Importe Neto]],Imput[[C. Imp.]:[C. Imp.]],$D1169,Imput[[PERIODO Imp.]:[PERIODO Imp.]],DC$9)</f>
        <v>0</v>
      </c>
      <c r="DD1169" s="693">
        <f>SUMIFS(Imput[[Importe Neto]:[Importe Neto]],Imput[[C. Imp.]:[C. Imp.]],$D1169,Imput[[PERIODO Imp.]:[PERIODO Imp.]],DD$9)</f>
        <v>0</v>
      </c>
      <c r="DE1169" s="693">
        <f>SUMIFS(Imput[[Importe Neto]:[Importe Neto]],Imput[[C. Imp.]:[C. Imp.]],$D1169,Imput[[PERIODO Imp.]:[PERIODO Imp.]],DE$9)</f>
        <v>0</v>
      </c>
      <c r="DF1169" s="693">
        <f>SUMIFS(Imput[[Importe Neto]:[Importe Neto]],Imput[[C. Imp.]:[C. Imp.]],$D1169,Imput[[PERIODO Imp.]:[PERIODO Imp.]],DF$9)</f>
        <v>0</v>
      </c>
      <c r="DG1169" s="693">
        <f>SUMIFS(Imput[[Importe Neto]:[Importe Neto]],Imput[[C. Imp.]:[C. Imp.]],$D1169,Imput[[PERIODO Imp.]:[PERIODO Imp.]],DG$9)</f>
        <v>0</v>
      </c>
      <c r="DH1169" s="694">
        <f>SUMIFS(Imput[[Importe Neto]:[Importe Neto]],Imput[[C. Imp.]:[C. Imp.]],$D1169,Imput[[PERIODO Imp.]:[PERIODO Imp.]],DH$9)</f>
        <v>0</v>
      </c>
    </row>
    <row r="1170" spans="1:112" s="651" customFormat="1" hidden="1" outlineLevel="1" x14ac:dyDescent="0.3">
      <c r="A1170" s="652" t="str">
        <f t="shared" si="382"/>
        <v/>
      </c>
      <c r="B1170" s="732"/>
      <c r="C1170" s="685"/>
      <c r="D1170" s="686"/>
      <c r="E1170" s="686"/>
      <c r="F1170" s="720"/>
      <c r="G1170" s="688"/>
      <c r="H1170" s="689"/>
      <c r="I1170" s="851" t="str">
        <f t="shared" si="383"/>
        <v/>
      </c>
      <c r="J1170" s="517" t="str">
        <f t="shared" si="384"/>
        <v/>
      </c>
      <c r="K1170" s="678"/>
      <c r="L1170" s="858"/>
      <c r="M1170" s="859"/>
      <c r="N1170" s="859"/>
      <c r="O1170" s="859"/>
      <c r="P1170" s="859"/>
      <c r="Q1170" s="859"/>
      <c r="R1170" s="859"/>
      <c r="S1170" s="859"/>
      <c r="T1170" s="859"/>
      <c r="U1170" s="859"/>
      <c r="V1170" s="859"/>
      <c r="W1170" s="859"/>
      <c r="X1170" s="859"/>
      <c r="Y1170" s="859"/>
      <c r="Z1170" s="860"/>
      <c r="AA1170" s="860"/>
      <c r="AB1170" s="860"/>
      <c r="AC1170" s="860"/>
      <c r="AD1170" s="860"/>
      <c r="AE1170" s="860"/>
      <c r="AF1170" s="860"/>
      <c r="AG1170" s="860"/>
      <c r="AH1170" s="860"/>
      <c r="AI1170" s="860"/>
      <c r="AJ1170" s="860"/>
      <c r="AK1170" s="860"/>
      <c r="AL1170" s="860"/>
      <c r="AM1170" s="860"/>
      <c r="AN1170" s="860"/>
      <c r="AO1170" s="860"/>
      <c r="AP1170" s="860"/>
      <c r="AQ1170" s="860"/>
      <c r="AR1170" s="860"/>
      <c r="AS1170" s="860"/>
      <c r="AT1170" s="860"/>
      <c r="AU1170" s="860"/>
      <c r="AV1170" s="860"/>
      <c r="AW1170" s="860"/>
      <c r="AX1170" s="860"/>
      <c r="AY1170" s="860"/>
      <c r="AZ1170" s="860"/>
      <c r="BA1170" s="860"/>
      <c r="BB1170" s="860"/>
      <c r="BC1170" s="860"/>
      <c r="BD1170" s="860"/>
      <c r="BE1170" s="860"/>
      <c r="BF1170" s="860"/>
      <c r="BG1170" s="860"/>
      <c r="BH1170" s="668"/>
      <c r="BI1170" s="678"/>
      <c r="BJ1170" s="690">
        <f t="shared" si="385"/>
        <v>0</v>
      </c>
      <c r="BK1170" s="691">
        <f t="shared" si="386"/>
        <v>0</v>
      </c>
      <c r="BL1170" s="654"/>
      <c r="BM1170" s="692">
        <f>SUMIFS(Imput[[Importe Neto]:[Importe Neto]],Imput[[C. Imp.]:[C. Imp.]],$D1170,Imput[[PERIODO Imp.]:[PERIODO Imp.]],BM$9)</f>
        <v>0</v>
      </c>
      <c r="BN1170" s="693">
        <f>SUMIFS(Imput[[Importe Neto]:[Importe Neto]],Imput[[C. Imp.]:[C. Imp.]],$D1170,Imput[[PERIODO Imp.]:[PERIODO Imp.]],BN$9)</f>
        <v>0</v>
      </c>
      <c r="BO1170" s="693">
        <f>SUMIFS(Imput[[Importe Neto]:[Importe Neto]],Imput[[C. Imp.]:[C. Imp.]],$D1170,Imput[[PERIODO Imp.]:[PERIODO Imp.]],BO$9)</f>
        <v>0</v>
      </c>
      <c r="BP1170" s="693">
        <f>SUMIFS(Imput[[Importe Neto]:[Importe Neto]],Imput[[C. Imp.]:[C. Imp.]],$D1170,Imput[[PERIODO Imp.]:[PERIODO Imp.]],BP$9)</f>
        <v>0</v>
      </c>
      <c r="BQ1170" s="693">
        <f>SUMIFS(Imput[[Importe Neto]:[Importe Neto]],Imput[[C. Imp.]:[C. Imp.]],$D1170,Imput[[PERIODO Imp.]:[PERIODO Imp.]],BQ$9)</f>
        <v>0</v>
      </c>
      <c r="BR1170" s="693">
        <f>SUMIFS(Imput[[Importe Neto]:[Importe Neto]],Imput[[C. Imp.]:[C. Imp.]],$D1170,Imput[[PERIODO Imp.]:[PERIODO Imp.]],BR$9)</f>
        <v>0</v>
      </c>
      <c r="BS1170" s="693">
        <f>SUMIFS(Imput[[Importe Neto]:[Importe Neto]],Imput[[C. Imp.]:[C. Imp.]],$D1170,Imput[[PERIODO Imp.]:[PERIODO Imp.]],BS$9)</f>
        <v>0</v>
      </c>
      <c r="BT1170" s="693">
        <f>SUMIFS(Imput[[Importe Neto]:[Importe Neto]],Imput[[C. Imp.]:[C. Imp.]],$D1170,Imput[[PERIODO Imp.]:[PERIODO Imp.]],BT$9)</f>
        <v>0</v>
      </c>
      <c r="BU1170" s="693">
        <f>SUMIFS(Imput[[Importe Neto]:[Importe Neto]],Imput[[C. Imp.]:[C. Imp.]],$D1170,Imput[[PERIODO Imp.]:[PERIODO Imp.]],BU$9)</f>
        <v>0</v>
      </c>
      <c r="BV1170" s="693">
        <f>SUMIFS(Imput[[Importe Neto]:[Importe Neto]],Imput[[C. Imp.]:[C. Imp.]],$D1170,Imput[[PERIODO Imp.]:[PERIODO Imp.]],BV$9)</f>
        <v>0</v>
      </c>
      <c r="BW1170" s="693">
        <f>SUMIFS(Imput[[Importe Neto]:[Importe Neto]],Imput[[C. Imp.]:[C. Imp.]],$D1170,Imput[[PERIODO Imp.]:[PERIODO Imp.]],BW$9)</f>
        <v>0</v>
      </c>
      <c r="BX1170" s="693">
        <f>SUMIFS(Imput[[Importe Neto]:[Importe Neto]],Imput[[C. Imp.]:[C. Imp.]],$D1170,Imput[[PERIODO Imp.]:[PERIODO Imp.]],BX$9)</f>
        <v>0</v>
      </c>
      <c r="BY1170" s="693">
        <f>SUMIFS(Imput[[Importe Neto]:[Importe Neto]],Imput[[C. Imp.]:[C. Imp.]],$D1170,Imput[[PERIODO Imp.]:[PERIODO Imp.]],BY$9)</f>
        <v>0</v>
      </c>
      <c r="BZ1170" s="693">
        <f>SUMIFS(Imput[[Importe Neto]:[Importe Neto]],Imput[[C. Imp.]:[C. Imp.]],$D1170,Imput[[PERIODO Imp.]:[PERIODO Imp.]],BZ$9)</f>
        <v>0</v>
      </c>
      <c r="CA1170" s="693">
        <f>SUMIFS(Imput[[Importe Neto]:[Importe Neto]],Imput[[C. Imp.]:[C. Imp.]],$D1170,Imput[[PERIODO Imp.]:[PERIODO Imp.]],CA$9)</f>
        <v>0</v>
      </c>
      <c r="CB1170" s="693">
        <f>SUMIFS(Imput[[Importe Neto]:[Importe Neto]],Imput[[C. Imp.]:[C. Imp.]],$D1170,Imput[[PERIODO Imp.]:[PERIODO Imp.]],CB$9)</f>
        <v>0</v>
      </c>
      <c r="CC1170" s="693">
        <f>SUMIFS(Imput[[Importe Neto]:[Importe Neto]],Imput[[C. Imp.]:[C. Imp.]],$D1170,Imput[[PERIODO Imp.]:[PERIODO Imp.]],CC$9)</f>
        <v>0</v>
      </c>
      <c r="CD1170" s="693">
        <f>SUMIFS(Imput[[Importe Neto]:[Importe Neto]],Imput[[C. Imp.]:[C. Imp.]],$D1170,Imput[[PERIODO Imp.]:[PERIODO Imp.]],CD$9)</f>
        <v>0</v>
      </c>
      <c r="CE1170" s="693">
        <f>SUMIFS(Imput[[Importe Neto]:[Importe Neto]],Imput[[C. Imp.]:[C. Imp.]],$D1170,Imput[[PERIODO Imp.]:[PERIODO Imp.]],CE$9)</f>
        <v>0</v>
      </c>
      <c r="CF1170" s="693">
        <f>SUMIFS(Imput[[Importe Neto]:[Importe Neto]],Imput[[C. Imp.]:[C. Imp.]],$D1170,Imput[[PERIODO Imp.]:[PERIODO Imp.]],CF$9)</f>
        <v>0</v>
      </c>
      <c r="CG1170" s="693">
        <f>SUMIFS(Imput[[Importe Neto]:[Importe Neto]],Imput[[C. Imp.]:[C. Imp.]],$D1170,Imput[[PERIODO Imp.]:[PERIODO Imp.]],CG$9)</f>
        <v>0</v>
      </c>
      <c r="CH1170" s="693">
        <f>SUMIFS(Imput[[Importe Neto]:[Importe Neto]],Imput[[C. Imp.]:[C. Imp.]],$D1170,Imput[[PERIODO Imp.]:[PERIODO Imp.]],CH$9)</f>
        <v>0</v>
      </c>
      <c r="CI1170" s="693">
        <f>SUMIFS(Imput[[Importe Neto]:[Importe Neto]],Imput[[C. Imp.]:[C. Imp.]],$D1170,Imput[[PERIODO Imp.]:[PERIODO Imp.]],CI$9)</f>
        <v>0</v>
      </c>
      <c r="CJ1170" s="693">
        <f>SUMIFS(Imput[[Importe Neto]:[Importe Neto]],Imput[[C. Imp.]:[C. Imp.]],$D1170,Imput[[PERIODO Imp.]:[PERIODO Imp.]],CJ$9)</f>
        <v>0</v>
      </c>
      <c r="CK1170" s="693">
        <f>SUMIFS(Imput[[Importe Neto]:[Importe Neto]],Imput[[C. Imp.]:[C. Imp.]],$D1170,Imput[[PERIODO Imp.]:[PERIODO Imp.]],CK$9)</f>
        <v>0</v>
      </c>
      <c r="CL1170" s="693">
        <f>SUMIFS(Imput[[Importe Neto]:[Importe Neto]],Imput[[C. Imp.]:[C. Imp.]],$D1170,Imput[[PERIODO Imp.]:[PERIODO Imp.]],CL$9)</f>
        <v>0</v>
      </c>
      <c r="CM1170" s="693">
        <f>SUMIFS(Imput[[Importe Neto]:[Importe Neto]],Imput[[C. Imp.]:[C. Imp.]],$D1170,Imput[[PERIODO Imp.]:[PERIODO Imp.]],CM$9)</f>
        <v>0</v>
      </c>
      <c r="CN1170" s="693">
        <f>SUMIFS(Imput[[Importe Neto]:[Importe Neto]],Imput[[C. Imp.]:[C. Imp.]],$D1170,Imput[[PERIODO Imp.]:[PERIODO Imp.]],CN$9)</f>
        <v>0</v>
      </c>
      <c r="CO1170" s="693">
        <f>SUMIFS(Imput[[Importe Neto]:[Importe Neto]],Imput[[C. Imp.]:[C. Imp.]],$D1170,Imput[[PERIODO Imp.]:[PERIODO Imp.]],CO$9)</f>
        <v>0</v>
      </c>
      <c r="CP1170" s="693">
        <f>SUMIFS(Imput[[Importe Neto]:[Importe Neto]],Imput[[C. Imp.]:[C. Imp.]],$D1170,Imput[[PERIODO Imp.]:[PERIODO Imp.]],CP$9)</f>
        <v>0</v>
      </c>
      <c r="CQ1170" s="693">
        <f>SUMIFS(Imput[[Importe Neto]:[Importe Neto]],Imput[[C. Imp.]:[C. Imp.]],$D1170,Imput[[PERIODO Imp.]:[PERIODO Imp.]],CQ$9)</f>
        <v>0</v>
      </c>
      <c r="CR1170" s="693">
        <f>SUMIFS(Imput[[Importe Neto]:[Importe Neto]],Imput[[C. Imp.]:[C. Imp.]],$D1170,Imput[[PERIODO Imp.]:[PERIODO Imp.]],CR$9)</f>
        <v>0</v>
      </c>
      <c r="CS1170" s="693">
        <f>SUMIFS(Imput[[Importe Neto]:[Importe Neto]],Imput[[C. Imp.]:[C. Imp.]],$D1170,Imput[[PERIODO Imp.]:[PERIODO Imp.]],CS$9)</f>
        <v>0</v>
      </c>
      <c r="CT1170" s="693">
        <f>SUMIFS(Imput[[Importe Neto]:[Importe Neto]],Imput[[C. Imp.]:[C. Imp.]],$D1170,Imput[[PERIODO Imp.]:[PERIODO Imp.]],CT$9)</f>
        <v>0</v>
      </c>
      <c r="CU1170" s="693">
        <f>SUMIFS(Imput[[Importe Neto]:[Importe Neto]],Imput[[C. Imp.]:[C. Imp.]],$D1170,Imput[[PERIODO Imp.]:[PERIODO Imp.]],CU$9)</f>
        <v>0</v>
      </c>
      <c r="CV1170" s="693">
        <f>SUMIFS(Imput[[Importe Neto]:[Importe Neto]],Imput[[C. Imp.]:[C. Imp.]],$D1170,Imput[[PERIODO Imp.]:[PERIODO Imp.]],CV$9)</f>
        <v>0</v>
      </c>
      <c r="CW1170" s="693">
        <f>SUMIFS(Imput[[Importe Neto]:[Importe Neto]],Imput[[C. Imp.]:[C. Imp.]],$D1170,Imput[[PERIODO Imp.]:[PERIODO Imp.]],CW$9)</f>
        <v>0</v>
      </c>
      <c r="CX1170" s="693">
        <f>SUMIFS(Imput[[Importe Neto]:[Importe Neto]],Imput[[C. Imp.]:[C. Imp.]],$D1170,Imput[[PERIODO Imp.]:[PERIODO Imp.]],CX$9)</f>
        <v>0</v>
      </c>
      <c r="CY1170" s="693">
        <f>SUMIFS(Imput[[Importe Neto]:[Importe Neto]],Imput[[C. Imp.]:[C. Imp.]],$D1170,Imput[[PERIODO Imp.]:[PERIODO Imp.]],CY$9)</f>
        <v>0</v>
      </c>
      <c r="CZ1170" s="693">
        <f>SUMIFS(Imput[[Importe Neto]:[Importe Neto]],Imput[[C. Imp.]:[C. Imp.]],$D1170,Imput[[PERIODO Imp.]:[PERIODO Imp.]],CZ$9)</f>
        <v>0</v>
      </c>
      <c r="DA1170" s="693">
        <f>SUMIFS(Imput[[Importe Neto]:[Importe Neto]],Imput[[C. Imp.]:[C. Imp.]],$D1170,Imput[[PERIODO Imp.]:[PERIODO Imp.]],DA$9)</f>
        <v>0</v>
      </c>
      <c r="DB1170" s="693">
        <f>SUMIFS(Imput[[Importe Neto]:[Importe Neto]],Imput[[C. Imp.]:[C. Imp.]],$D1170,Imput[[PERIODO Imp.]:[PERIODO Imp.]],DB$9)</f>
        <v>0</v>
      </c>
      <c r="DC1170" s="693">
        <f>SUMIFS(Imput[[Importe Neto]:[Importe Neto]],Imput[[C. Imp.]:[C. Imp.]],$D1170,Imput[[PERIODO Imp.]:[PERIODO Imp.]],DC$9)</f>
        <v>0</v>
      </c>
      <c r="DD1170" s="693">
        <f>SUMIFS(Imput[[Importe Neto]:[Importe Neto]],Imput[[C. Imp.]:[C. Imp.]],$D1170,Imput[[PERIODO Imp.]:[PERIODO Imp.]],DD$9)</f>
        <v>0</v>
      </c>
      <c r="DE1170" s="693">
        <f>SUMIFS(Imput[[Importe Neto]:[Importe Neto]],Imput[[C. Imp.]:[C. Imp.]],$D1170,Imput[[PERIODO Imp.]:[PERIODO Imp.]],DE$9)</f>
        <v>0</v>
      </c>
      <c r="DF1170" s="693">
        <f>SUMIFS(Imput[[Importe Neto]:[Importe Neto]],Imput[[C. Imp.]:[C. Imp.]],$D1170,Imput[[PERIODO Imp.]:[PERIODO Imp.]],DF$9)</f>
        <v>0</v>
      </c>
      <c r="DG1170" s="693">
        <f>SUMIFS(Imput[[Importe Neto]:[Importe Neto]],Imput[[C. Imp.]:[C. Imp.]],$D1170,Imput[[PERIODO Imp.]:[PERIODO Imp.]],DG$9)</f>
        <v>0</v>
      </c>
      <c r="DH1170" s="694">
        <f>SUMIFS(Imput[[Importe Neto]:[Importe Neto]],Imput[[C. Imp.]:[C. Imp.]],$D1170,Imput[[PERIODO Imp.]:[PERIODO Imp.]],DH$9)</f>
        <v>0</v>
      </c>
    </row>
    <row r="1171" spans="1:112" s="651" customFormat="1" hidden="1" outlineLevel="1" x14ac:dyDescent="0.3">
      <c r="A1171" s="652" t="str">
        <f t="shared" si="382"/>
        <v/>
      </c>
      <c r="B1171" s="732"/>
      <c r="C1171" s="685"/>
      <c r="D1171" s="686"/>
      <c r="E1171" s="733"/>
      <c r="F1171" s="720"/>
      <c r="G1171" s="688"/>
      <c r="H1171" s="734"/>
      <c r="I1171" s="851" t="str">
        <f t="shared" si="383"/>
        <v/>
      </c>
      <c r="J1171" s="517" t="str">
        <f t="shared" si="384"/>
        <v/>
      </c>
      <c r="K1171" s="678"/>
      <c r="L1171" s="858"/>
      <c r="M1171" s="859"/>
      <c r="N1171" s="859"/>
      <c r="O1171" s="859"/>
      <c r="P1171" s="859"/>
      <c r="Q1171" s="859"/>
      <c r="R1171" s="859"/>
      <c r="S1171" s="859"/>
      <c r="T1171" s="859"/>
      <c r="U1171" s="859"/>
      <c r="V1171" s="859"/>
      <c r="W1171" s="859"/>
      <c r="X1171" s="859"/>
      <c r="Y1171" s="859"/>
      <c r="Z1171" s="860"/>
      <c r="AA1171" s="860"/>
      <c r="AB1171" s="860"/>
      <c r="AC1171" s="860"/>
      <c r="AD1171" s="860"/>
      <c r="AE1171" s="860"/>
      <c r="AF1171" s="860"/>
      <c r="AG1171" s="860"/>
      <c r="AH1171" s="860"/>
      <c r="AI1171" s="860"/>
      <c r="AJ1171" s="860"/>
      <c r="AK1171" s="860"/>
      <c r="AL1171" s="860"/>
      <c r="AM1171" s="860"/>
      <c r="AN1171" s="860"/>
      <c r="AO1171" s="860"/>
      <c r="AP1171" s="860"/>
      <c r="AQ1171" s="860"/>
      <c r="AR1171" s="860"/>
      <c r="AS1171" s="860"/>
      <c r="AT1171" s="860"/>
      <c r="AU1171" s="860"/>
      <c r="AV1171" s="860"/>
      <c r="AW1171" s="860"/>
      <c r="AX1171" s="860"/>
      <c r="AY1171" s="860"/>
      <c r="AZ1171" s="860"/>
      <c r="BA1171" s="860"/>
      <c r="BB1171" s="860"/>
      <c r="BC1171" s="860"/>
      <c r="BD1171" s="860"/>
      <c r="BE1171" s="860"/>
      <c r="BF1171" s="860"/>
      <c r="BG1171" s="860"/>
      <c r="BH1171" s="668"/>
      <c r="BI1171" s="678"/>
      <c r="BJ1171" s="690">
        <f t="shared" si="385"/>
        <v>0</v>
      </c>
      <c r="BK1171" s="691">
        <f t="shared" si="386"/>
        <v>0</v>
      </c>
      <c r="BL1171" s="654"/>
      <c r="BM1171" s="692">
        <f>SUMIFS(Imput[[Importe Neto]:[Importe Neto]],Imput[[C. Imp.]:[C. Imp.]],$D1171,Imput[[PERIODO Imp.]:[PERIODO Imp.]],BM$9)</f>
        <v>0</v>
      </c>
      <c r="BN1171" s="693">
        <f>SUMIFS(Imput[[Importe Neto]:[Importe Neto]],Imput[[C. Imp.]:[C. Imp.]],$D1171,Imput[[PERIODO Imp.]:[PERIODO Imp.]],BN$9)</f>
        <v>0</v>
      </c>
      <c r="BO1171" s="693">
        <f>SUMIFS(Imput[[Importe Neto]:[Importe Neto]],Imput[[C. Imp.]:[C. Imp.]],$D1171,Imput[[PERIODO Imp.]:[PERIODO Imp.]],BO$9)</f>
        <v>0</v>
      </c>
      <c r="BP1171" s="693">
        <f>SUMIFS(Imput[[Importe Neto]:[Importe Neto]],Imput[[C. Imp.]:[C. Imp.]],$D1171,Imput[[PERIODO Imp.]:[PERIODO Imp.]],BP$9)</f>
        <v>0</v>
      </c>
      <c r="BQ1171" s="693">
        <f>SUMIFS(Imput[[Importe Neto]:[Importe Neto]],Imput[[C. Imp.]:[C. Imp.]],$D1171,Imput[[PERIODO Imp.]:[PERIODO Imp.]],BQ$9)</f>
        <v>0</v>
      </c>
      <c r="BR1171" s="693">
        <f>SUMIFS(Imput[[Importe Neto]:[Importe Neto]],Imput[[C. Imp.]:[C. Imp.]],$D1171,Imput[[PERIODO Imp.]:[PERIODO Imp.]],BR$9)</f>
        <v>0</v>
      </c>
      <c r="BS1171" s="693">
        <f>SUMIFS(Imput[[Importe Neto]:[Importe Neto]],Imput[[C. Imp.]:[C. Imp.]],$D1171,Imput[[PERIODO Imp.]:[PERIODO Imp.]],BS$9)</f>
        <v>0</v>
      </c>
      <c r="BT1171" s="693">
        <f>SUMIFS(Imput[[Importe Neto]:[Importe Neto]],Imput[[C. Imp.]:[C. Imp.]],$D1171,Imput[[PERIODO Imp.]:[PERIODO Imp.]],BT$9)</f>
        <v>0</v>
      </c>
      <c r="BU1171" s="693">
        <f>SUMIFS(Imput[[Importe Neto]:[Importe Neto]],Imput[[C. Imp.]:[C. Imp.]],$D1171,Imput[[PERIODO Imp.]:[PERIODO Imp.]],BU$9)</f>
        <v>0</v>
      </c>
      <c r="BV1171" s="693">
        <f>SUMIFS(Imput[[Importe Neto]:[Importe Neto]],Imput[[C. Imp.]:[C. Imp.]],$D1171,Imput[[PERIODO Imp.]:[PERIODO Imp.]],BV$9)</f>
        <v>0</v>
      </c>
      <c r="BW1171" s="693">
        <f>SUMIFS(Imput[[Importe Neto]:[Importe Neto]],Imput[[C. Imp.]:[C. Imp.]],$D1171,Imput[[PERIODO Imp.]:[PERIODO Imp.]],BW$9)</f>
        <v>0</v>
      </c>
      <c r="BX1171" s="693">
        <f>SUMIFS(Imput[[Importe Neto]:[Importe Neto]],Imput[[C. Imp.]:[C. Imp.]],$D1171,Imput[[PERIODO Imp.]:[PERIODO Imp.]],BX$9)</f>
        <v>0</v>
      </c>
      <c r="BY1171" s="693">
        <f>SUMIFS(Imput[[Importe Neto]:[Importe Neto]],Imput[[C. Imp.]:[C. Imp.]],$D1171,Imput[[PERIODO Imp.]:[PERIODO Imp.]],BY$9)</f>
        <v>0</v>
      </c>
      <c r="BZ1171" s="693">
        <f>SUMIFS(Imput[[Importe Neto]:[Importe Neto]],Imput[[C. Imp.]:[C. Imp.]],$D1171,Imput[[PERIODO Imp.]:[PERIODO Imp.]],BZ$9)</f>
        <v>0</v>
      </c>
      <c r="CA1171" s="693">
        <f>SUMIFS(Imput[[Importe Neto]:[Importe Neto]],Imput[[C. Imp.]:[C. Imp.]],$D1171,Imput[[PERIODO Imp.]:[PERIODO Imp.]],CA$9)</f>
        <v>0</v>
      </c>
      <c r="CB1171" s="693">
        <f>SUMIFS(Imput[[Importe Neto]:[Importe Neto]],Imput[[C. Imp.]:[C. Imp.]],$D1171,Imput[[PERIODO Imp.]:[PERIODO Imp.]],CB$9)</f>
        <v>0</v>
      </c>
      <c r="CC1171" s="693">
        <f>SUMIFS(Imput[[Importe Neto]:[Importe Neto]],Imput[[C. Imp.]:[C. Imp.]],$D1171,Imput[[PERIODO Imp.]:[PERIODO Imp.]],CC$9)</f>
        <v>0</v>
      </c>
      <c r="CD1171" s="693">
        <f>SUMIFS(Imput[[Importe Neto]:[Importe Neto]],Imput[[C. Imp.]:[C. Imp.]],$D1171,Imput[[PERIODO Imp.]:[PERIODO Imp.]],CD$9)</f>
        <v>0</v>
      </c>
      <c r="CE1171" s="693">
        <f>SUMIFS(Imput[[Importe Neto]:[Importe Neto]],Imput[[C. Imp.]:[C. Imp.]],$D1171,Imput[[PERIODO Imp.]:[PERIODO Imp.]],CE$9)</f>
        <v>0</v>
      </c>
      <c r="CF1171" s="693">
        <f>SUMIFS(Imput[[Importe Neto]:[Importe Neto]],Imput[[C. Imp.]:[C. Imp.]],$D1171,Imput[[PERIODO Imp.]:[PERIODO Imp.]],CF$9)</f>
        <v>0</v>
      </c>
      <c r="CG1171" s="693">
        <f>SUMIFS(Imput[[Importe Neto]:[Importe Neto]],Imput[[C. Imp.]:[C. Imp.]],$D1171,Imput[[PERIODO Imp.]:[PERIODO Imp.]],CG$9)</f>
        <v>0</v>
      </c>
      <c r="CH1171" s="693">
        <f>SUMIFS(Imput[[Importe Neto]:[Importe Neto]],Imput[[C. Imp.]:[C. Imp.]],$D1171,Imput[[PERIODO Imp.]:[PERIODO Imp.]],CH$9)</f>
        <v>0</v>
      </c>
      <c r="CI1171" s="693">
        <f>SUMIFS(Imput[[Importe Neto]:[Importe Neto]],Imput[[C. Imp.]:[C. Imp.]],$D1171,Imput[[PERIODO Imp.]:[PERIODO Imp.]],CI$9)</f>
        <v>0</v>
      </c>
      <c r="CJ1171" s="693">
        <f>SUMIFS(Imput[[Importe Neto]:[Importe Neto]],Imput[[C. Imp.]:[C. Imp.]],$D1171,Imput[[PERIODO Imp.]:[PERIODO Imp.]],CJ$9)</f>
        <v>0</v>
      </c>
      <c r="CK1171" s="693">
        <f>SUMIFS(Imput[[Importe Neto]:[Importe Neto]],Imput[[C. Imp.]:[C. Imp.]],$D1171,Imput[[PERIODO Imp.]:[PERIODO Imp.]],CK$9)</f>
        <v>0</v>
      </c>
      <c r="CL1171" s="693">
        <f>SUMIFS(Imput[[Importe Neto]:[Importe Neto]],Imput[[C. Imp.]:[C. Imp.]],$D1171,Imput[[PERIODO Imp.]:[PERIODO Imp.]],CL$9)</f>
        <v>0</v>
      </c>
      <c r="CM1171" s="693">
        <f>SUMIFS(Imput[[Importe Neto]:[Importe Neto]],Imput[[C. Imp.]:[C. Imp.]],$D1171,Imput[[PERIODO Imp.]:[PERIODO Imp.]],CM$9)</f>
        <v>0</v>
      </c>
      <c r="CN1171" s="693">
        <f>SUMIFS(Imput[[Importe Neto]:[Importe Neto]],Imput[[C. Imp.]:[C. Imp.]],$D1171,Imput[[PERIODO Imp.]:[PERIODO Imp.]],CN$9)</f>
        <v>0</v>
      </c>
      <c r="CO1171" s="693">
        <f>SUMIFS(Imput[[Importe Neto]:[Importe Neto]],Imput[[C. Imp.]:[C. Imp.]],$D1171,Imput[[PERIODO Imp.]:[PERIODO Imp.]],CO$9)</f>
        <v>0</v>
      </c>
      <c r="CP1171" s="693">
        <f>SUMIFS(Imput[[Importe Neto]:[Importe Neto]],Imput[[C. Imp.]:[C. Imp.]],$D1171,Imput[[PERIODO Imp.]:[PERIODO Imp.]],CP$9)</f>
        <v>0</v>
      </c>
      <c r="CQ1171" s="693">
        <f>SUMIFS(Imput[[Importe Neto]:[Importe Neto]],Imput[[C. Imp.]:[C. Imp.]],$D1171,Imput[[PERIODO Imp.]:[PERIODO Imp.]],CQ$9)</f>
        <v>0</v>
      </c>
      <c r="CR1171" s="693">
        <f>SUMIFS(Imput[[Importe Neto]:[Importe Neto]],Imput[[C. Imp.]:[C. Imp.]],$D1171,Imput[[PERIODO Imp.]:[PERIODO Imp.]],CR$9)</f>
        <v>0</v>
      </c>
      <c r="CS1171" s="693">
        <f>SUMIFS(Imput[[Importe Neto]:[Importe Neto]],Imput[[C. Imp.]:[C. Imp.]],$D1171,Imput[[PERIODO Imp.]:[PERIODO Imp.]],CS$9)</f>
        <v>0</v>
      </c>
      <c r="CT1171" s="693">
        <f>SUMIFS(Imput[[Importe Neto]:[Importe Neto]],Imput[[C. Imp.]:[C. Imp.]],$D1171,Imput[[PERIODO Imp.]:[PERIODO Imp.]],CT$9)</f>
        <v>0</v>
      </c>
      <c r="CU1171" s="693">
        <f>SUMIFS(Imput[[Importe Neto]:[Importe Neto]],Imput[[C. Imp.]:[C. Imp.]],$D1171,Imput[[PERIODO Imp.]:[PERIODO Imp.]],CU$9)</f>
        <v>0</v>
      </c>
      <c r="CV1171" s="693">
        <f>SUMIFS(Imput[[Importe Neto]:[Importe Neto]],Imput[[C. Imp.]:[C. Imp.]],$D1171,Imput[[PERIODO Imp.]:[PERIODO Imp.]],CV$9)</f>
        <v>0</v>
      </c>
      <c r="CW1171" s="693">
        <f>SUMIFS(Imput[[Importe Neto]:[Importe Neto]],Imput[[C. Imp.]:[C. Imp.]],$D1171,Imput[[PERIODO Imp.]:[PERIODO Imp.]],CW$9)</f>
        <v>0</v>
      </c>
      <c r="CX1171" s="693">
        <f>SUMIFS(Imput[[Importe Neto]:[Importe Neto]],Imput[[C. Imp.]:[C. Imp.]],$D1171,Imput[[PERIODO Imp.]:[PERIODO Imp.]],CX$9)</f>
        <v>0</v>
      </c>
      <c r="CY1171" s="693">
        <f>SUMIFS(Imput[[Importe Neto]:[Importe Neto]],Imput[[C. Imp.]:[C. Imp.]],$D1171,Imput[[PERIODO Imp.]:[PERIODO Imp.]],CY$9)</f>
        <v>0</v>
      </c>
      <c r="CZ1171" s="693">
        <f>SUMIFS(Imput[[Importe Neto]:[Importe Neto]],Imput[[C. Imp.]:[C. Imp.]],$D1171,Imput[[PERIODO Imp.]:[PERIODO Imp.]],CZ$9)</f>
        <v>0</v>
      </c>
      <c r="DA1171" s="693">
        <f>SUMIFS(Imput[[Importe Neto]:[Importe Neto]],Imput[[C. Imp.]:[C. Imp.]],$D1171,Imput[[PERIODO Imp.]:[PERIODO Imp.]],DA$9)</f>
        <v>0</v>
      </c>
      <c r="DB1171" s="693">
        <f>SUMIFS(Imput[[Importe Neto]:[Importe Neto]],Imput[[C. Imp.]:[C. Imp.]],$D1171,Imput[[PERIODO Imp.]:[PERIODO Imp.]],DB$9)</f>
        <v>0</v>
      </c>
      <c r="DC1171" s="693">
        <f>SUMIFS(Imput[[Importe Neto]:[Importe Neto]],Imput[[C. Imp.]:[C. Imp.]],$D1171,Imput[[PERIODO Imp.]:[PERIODO Imp.]],DC$9)</f>
        <v>0</v>
      </c>
      <c r="DD1171" s="693">
        <f>SUMIFS(Imput[[Importe Neto]:[Importe Neto]],Imput[[C. Imp.]:[C. Imp.]],$D1171,Imput[[PERIODO Imp.]:[PERIODO Imp.]],DD$9)</f>
        <v>0</v>
      </c>
      <c r="DE1171" s="693">
        <f>SUMIFS(Imput[[Importe Neto]:[Importe Neto]],Imput[[C. Imp.]:[C. Imp.]],$D1171,Imput[[PERIODO Imp.]:[PERIODO Imp.]],DE$9)</f>
        <v>0</v>
      </c>
      <c r="DF1171" s="693">
        <f>SUMIFS(Imput[[Importe Neto]:[Importe Neto]],Imput[[C. Imp.]:[C. Imp.]],$D1171,Imput[[PERIODO Imp.]:[PERIODO Imp.]],DF$9)</f>
        <v>0</v>
      </c>
      <c r="DG1171" s="693">
        <f>SUMIFS(Imput[[Importe Neto]:[Importe Neto]],Imput[[C. Imp.]:[C. Imp.]],$D1171,Imput[[PERIODO Imp.]:[PERIODO Imp.]],DG$9)</f>
        <v>0</v>
      </c>
      <c r="DH1171" s="694">
        <f>SUMIFS(Imput[[Importe Neto]:[Importe Neto]],Imput[[C. Imp.]:[C. Imp.]],$D1171,Imput[[PERIODO Imp.]:[PERIODO Imp.]],DH$9)</f>
        <v>0</v>
      </c>
    </row>
    <row r="1172" spans="1:112" s="649" customFormat="1" ht="14.4" hidden="1" outlineLevel="1" thickBot="1" x14ac:dyDescent="0.35">
      <c r="A1172" s="652" t="str">
        <f>IF(J1156&gt;0,"Imprimir","")</f>
        <v/>
      </c>
      <c r="B1172" s="652"/>
      <c r="C1172" s="699"/>
      <c r="D1172" s="700"/>
      <c r="E1172" s="700"/>
      <c r="F1172" s="701"/>
      <c r="G1172" s="702"/>
      <c r="H1172" s="703"/>
      <c r="I1172" s="704"/>
      <c r="J1172" s="117"/>
      <c r="K1172" s="667"/>
      <c r="L1172" s="706"/>
      <c r="M1172" s="707"/>
      <c r="N1172" s="777"/>
      <c r="O1172" s="777"/>
      <c r="P1172" s="778"/>
      <c r="Q1172" s="778"/>
      <c r="R1172" s="708"/>
      <c r="S1172" s="708"/>
      <c r="T1172" s="779"/>
      <c r="U1172" s="779"/>
      <c r="V1172" s="778"/>
      <c r="W1172" s="778"/>
      <c r="X1172" s="708"/>
      <c r="Y1172" s="708"/>
      <c r="Z1172" s="708"/>
      <c r="AA1172" s="708"/>
      <c r="AB1172" s="708"/>
      <c r="AC1172" s="708"/>
      <c r="AD1172" s="708"/>
      <c r="AE1172" s="708"/>
      <c r="AF1172" s="708"/>
      <c r="AG1172" s="708"/>
      <c r="AH1172" s="708"/>
      <c r="AI1172" s="708"/>
      <c r="AJ1172" s="708"/>
      <c r="AK1172" s="708"/>
      <c r="AL1172" s="708"/>
      <c r="AM1172" s="708"/>
      <c r="AN1172" s="708"/>
      <c r="AO1172" s="708"/>
      <c r="AP1172" s="708"/>
      <c r="AQ1172" s="708"/>
      <c r="AR1172" s="708"/>
      <c r="AS1172" s="708"/>
      <c r="AT1172" s="708"/>
      <c r="AU1172" s="708"/>
      <c r="AV1172" s="708"/>
      <c r="AW1172" s="708"/>
      <c r="AX1172" s="708"/>
      <c r="AY1172" s="708"/>
      <c r="AZ1172" s="708"/>
      <c r="BA1172" s="708"/>
      <c r="BB1172" s="708"/>
      <c r="BC1172" s="708"/>
      <c r="BD1172" s="708"/>
      <c r="BE1172" s="708"/>
      <c r="BF1172" s="708"/>
      <c r="BG1172" s="708"/>
      <c r="BH1172" s="780"/>
      <c r="BI1172" s="654"/>
      <c r="BJ1172" s="709"/>
      <c r="BK1172" s="710"/>
      <c r="BL1172" s="654"/>
      <c r="BM1172" s="731"/>
      <c r="BN1172" s="701"/>
      <c r="BO1172" s="701"/>
      <c r="BP1172" s="701"/>
      <c r="BQ1172" s="701"/>
      <c r="BR1172" s="701"/>
      <c r="BS1172" s="701"/>
      <c r="BT1172" s="701"/>
      <c r="BU1172" s="701"/>
      <c r="BV1172" s="701"/>
      <c r="BW1172" s="701"/>
      <c r="BX1172" s="701"/>
      <c r="BY1172" s="701"/>
      <c r="BZ1172" s="701"/>
      <c r="CA1172" s="701"/>
      <c r="CB1172" s="701"/>
      <c r="CC1172" s="701"/>
      <c r="CD1172" s="701"/>
      <c r="CE1172" s="701"/>
      <c r="CF1172" s="701"/>
      <c r="CG1172" s="701"/>
      <c r="CH1172" s="701"/>
      <c r="CI1172" s="701"/>
      <c r="CJ1172" s="701"/>
      <c r="CK1172" s="701"/>
      <c r="CL1172" s="701"/>
      <c r="CM1172" s="701"/>
      <c r="CN1172" s="701"/>
      <c r="CO1172" s="701"/>
      <c r="CP1172" s="701"/>
      <c r="CQ1172" s="701"/>
      <c r="CR1172" s="701"/>
      <c r="CS1172" s="701"/>
      <c r="CT1172" s="701"/>
      <c r="CU1172" s="701"/>
      <c r="CV1172" s="701"/>
      <c r="CW1172" s="701"/>
      <c r="CX1172" s="701"/>
      <c r="CY1172" s="701"/>
      <c r="CZ1172" s="701"/>
      <c r="DA1172" s="701"/>
      <c r="DB1172" s="701"/>
      <c r="DC1172" s="701"/>
      <c r="DD1172" s="701"/>
      <c r="DE1172" s="701"/>
      <c r="DF1172" s="701"/>
      <c r="DG1172" s="701"/>
      <c r="DH1172" s="710"/>
    </row>
    <row r="1173" spans="1:112" s="649" customFormat="1" hidden="1" collapsed="1" x14ac:dyDescent="0.3">
      <c r="A1173" s="652" t="str">
        <f>IF(J1173&gt;0,"Imprimir","")</f>
        <v/>
      </c>
      <c r="B1173" s="652"/>
      <c r="C1173" s="711"/>
      <c r="D1173" s="712" t="s">
        <v>455</v>
      </c>
      <c r="E1173" s="712" t="s">
        <v>511</v>
      </c>
      <c r="F1173" s="712"/>
      <c r="G1173" s="713"/>
      <c r="H1173" s="712"/>
      <c r="I1173" s="714"/>
      <c r="J1173" s="166">
        <f>SUBTOTAL(9,J1176:J1180)</f>
        <v>0</v>
      </c>
      <c r="K1173" s="658"/>
      <c r="L1173" s="770">
        <f t="shared" ref="L1173:BG1173" si="387">SUMPRODUCT($J1176:$J1180,L1176:L1180)</f>
        <v>0</v>
      </c>
      <c r="M1173" s="771">
        <f t="shared" si="387"/>
        <v>0</v>
      </c>
      <c r="N1173" s="771">
        <f t="shared" si="387"/>
        <v>0</v>
      </c>
      <c r="O1173" s="771">
        <f t="shared" si="387"/>
        <v>0</v>
      </c>
      <c r="P1173" s="771">
        <f t="shared" si="387"/>
        <v>0</v>
      </c>
      <c r="Q1173" s="771">
        <f t="shared" si="387"/>
        <v>0</v>
      </c>
      <c r="R1173" s="771">
        <f t="shared" si="387"/>
        <v>0</v>
      </c>
      <c r="S1173" s="771">
        <f t="shared" si="387"/>
        <v>0</v>
      </c>
      <c r="T1173" s="771">
        <f t="shared" si="387"/>
        <v>0</v>
      </c>
      <c r="U1173" s="771">
        <f t="shared" si="387"/>
        <v>0</v>
      </c>
      <c r="V1173" s="771">
        <f t="shared" si="387"/>
        <v>0</v>
      </c>
      <c r="W1173" s="771">
        <f t="shared" si="387"/>
        <v>0</v>
      </c>
      <c r="X1173" s="771">
        <f t="shared" si="387"/>
        <v>0</v>
      </c>
      <c r="Y1173" s="771">
        <f t="shared" si="387"/>
        <v>0</v>
      </c>
      <c r="Z1173" s="771">
        <f t="shared" si="387"/>
        <v>0</v>
      </c>
      <c r="AA1173" s="771">
        <f t="shared" si="387"/>
        <v>0</v>
      </c>
      <c r="AB1173" s="771">
        <f t="shared" si="387"/>
        <v>0</v>
      </c>
      <c r="AC1173" s="771">
        <f t="shared" si="387"/>
        <v>0</v>
      </c>
      <c r="AD1173" s="771">
        <f t="shared" si="387"/>
        <v>0</v>
      </c>
      <c r="AE1173" s="771">
        <f t="shared" si="387"/>
        <v>0</v>
      </c>
      <c r="AF1173" s="771">
        <f t="shared" si="387"/>
        <v>0</v>
      </c>
      <c r="AG1173" s="771">
        <f t="shared" si="387"/>
        <v>0</v>
      </c>
      <c r="AH1173" s="771">
        <f t="shared" si="387"/>
        <v>0</v>
      </c>
      <c r="AI1173" s="771">
        <f t="shared" si="387"/>
        <v>0</v>
      </c>
      <c r="AJ1173" s="771">
        <f t="shared" si="387"/>
        <v>0</v>
      </c>
      <c r="AK1173" s="771">
        <f t="shared" si="387"/>
        <v>0</v>
      </c>
      <c r="AL1173" s="771">
        <f t="shared" si="387"/>
        <v>0</v>
      </c>
      <c r="AM1173" s="771">
        <f t="shared" si="387"/>
        <v>0</v>
      </c>
      <c r="AN1173" s="771">
        <f t="shared" si="387"/>
        <v>0</v>
      </c>
      <c r="AO1173" s="771">
        <f t="shared" si="387"/>
        <v>0</v>
      </c>
      <c r="AP1173" s="771">
        <f t="shared" si="387"/>
        <v>0</v>
      </c>
      <c r="AQ1173" s="771">
        <f t="shared" si="387"/>
        <v>0</v>
      </c>
      <c r="AR1173" s="771">
        <f t="shared" si="387"/>
        <v>0</v>
      </c>
      <c r="AS1173" s="771">
        <f t="shared" si="387"/>
        <v>0</v>
      </c>
      <c r="AT1173" s="771">
        <f t="shared" si="387"/>
        <v>0</v>
      </c>
      <c r="AU1173" s="771">
        <f t="shared" si="387"/>
        <v>0</v>
      </c>
      <c r="AV1173" s="771">
        <f t="shared" si="387"/>
        <v>0</v>
      </c>
      <c r="AW1173" s="771">
        <f t="shared" si="387"/>
        <v>0</v>
      </c>
      <c r="AX1173" s="771">
        <f t="shared" si="387"/>
        <v>0</v>
      </c>
      <c r="AY1173" s="771">
        <f t="shared" si="387"/>
        <v>0</v>
      </c>
      <c r="AZ1173" s="771">
        <f t="shared" si="387"/>
        <v>0</v>
      </c>
      <c r="BA1173" s="771">
        <f t="shared" si="387"/>
        <v>0</v>
      </c>
      <c r="BB1173" s="771">
        <f t="shared" si="387"/>
        <v>0</v>
      </c>
      <c r="BC1173" s="771">
        <f t="shared" si="387"/>
        <v>0</v>
      </c>
      <c r="BD1173" s="771">
        <f t="shared" si="387"/>
        <v>0</v>
      </c>
      <c r="BE1173" s="771">
        <f t="shared" si="387"/>
        <v>0</v>
      </c>
      <c r="BF1173" s="771">
        <f t="shared" si="387"/>
        <v>0</v>
      </c>
      <c r="BG1173" s="764">
        <f t="shared" si="387"/>
        <v>0</v>
      </c>
      <c r="BH1173" s="776"/>
      <c r="BI1173" s="654"/>
      <c r="BJ1173" s="659">
        <f>IFERROR(13/J1173,0)</f>
        <v>0</v>
      </c>
      <c r="BK1173" s="660">
        <f>SUBTOTAL(9,BK1174:BK1180)</f>
        <v>0</v>
      </c>
      <c r="BL1173" s="654"/>
      <c r="BM1173" s="661">
        <f t="shared" ref="BM1173:DH1173" si="388">SUBTOTAL(9,BM1174:BM1180)</f>
        <v>0</v>
      </c>
      <c r="BN1173" s="662">
        <f t="shared" si="388"/>
        <v>0</v>
      </c>
      <c r="BO1173" s="662">
        <f t="shared" si="388"/>
        <v>0</v>
      </c>
      <c r="BP1173" s="662">
        <f t="shared" si="388"/>
        <v>0</v>
      </c>
      <c r="BQ1173" s="662">
        <f t="shared" si="388"/>
        <v>0</v>
      </c>
      <c r="BR1173" s="662">
        <f t="shared" si="388"/>
        <v>0</v>
      </c>
      <c r="BS1173" s="662">
        <f t="shared" si="388"/>
        <v>0</v>
      </c>
      <c r="BT1173" s="662">
        <f t="shared" si="388"/>
        <v>0</v>
      </c>
      <c r="BU1173" s="662">
        <f t="shared" si="388"/>
        <v>0</v>
      </c>
      <c r="BV1173" s="662">
        <f t="shared" si="388"/>
        <v>0</v>
      </c>
      <c r="BW1173" s="662">
        <f t="shared" si="388"/>
        <v>0</v>
      </c>
      <c r="BX1173" s="662">
        <f t="shared" si="388"/>
        <v>0</v>
      </c>
      <c r="BY1173" s="662">
        <f t="shared" si="388"/>
        <v>0</v>
      </c>
      <c r="BZ1173" s="662">
        <f t="shared" si="388"/>
        <v>0</v>
      </c>
      <c r="CA1173" s="662">
        <f t="shared" si="388"/>
        <v>0</v>
      </c>
      <c r="CB1173" s="662">
        <f t="shared" si="388"/>
        <v>0</v>
      </c>
      <c r="CC1173" s="662">
        <f t="shared" si="388"/>
        <v>0</v>
      </c>
      <c r="CD1173" s="662">
        <f t="shared" si="388"/>
        <v>0</v>
      </c>
      <c r="CE1173" s="662">
        <f t="shared" si="388"/>
        <v>0</v>
      </c>
      <c r="CF1173" s="662">
        <f t="shared" si="388"/>
        <v>0</v>
      </c>
      <c r="CG1173" s="662">
        <f t="shared" si="388"/>
        <v>0</v>
      </c>
      <c r="CH1173" s="662">
        <f t="shared" si="388"/>
        <v>0</v>
      </c>
      <c r="CI1173" s="662">
        <f t="shared" si="388"/>
        <v>0</v>
      </c>
      <c r="CJ1173" s="662">
        <f t="shared" si="388"/>
        <v>0</v>
      </c>
      <c r="CK1173" s="662">
        <f t="shared" si="388"/>
        <v>0</v>
      </c>
      <c r="CL1173" s="662">
        <f t="shared" si="388"/>
        <v>0</v>
      </c>
      <c r="CM1173" s="662">
        <f t="shared" si="388"/>
        <v>0</v>
      </c>
      <c r="CN1173" s="662">
        <f t="shared" si="388"/>
        <v>0</v>
      </c>
      <c r="CO1173" s="662">
        <f t="shared" si="388"/>
        <v>0</v>
      </c>
      <c r="CP1173" s="662">
        <f t="shared" si="388"/>
        <v>0</v>
      </c>
      <c r="CQ1173" s="662">
        <f t="shared" si="388"/>
        <v>0</v>
      </c>
      <c r="CR1173" s="662">
        <f t="shared" si="388"/>
        <v>0</v>
      </c>
      <c r="CS1173" s="662">
        <f t="shared" si="388"/>
        <v>0</v>
      </c>
      <c r="CT1173" s="662">
        <f t="shared" si="388"/>
        <v>0</v>
      </c>
      <c r="CU1173" s="662">
        <f t="shared" si="388"/>
        <v>0</v>
      </c>
      <c r="CV1173" s="662">
        <f t="shared" si="388"/>
        <v>0</v>
      </c>
      <c r="CW1173" s="662">
        <f t="shared" si="388"/>
        <v>0</v>
      </c>
      <c r="CX1173" s="662">
        <f t="shared" si="388"/>
        <v>0</v>
      </c>
      <c r="CY1173" s="662">
        <f t="shared" si="388"/>
        <v>0</v>
      </c>
      <c r="CZ1173" s="662">
        <f t="shared" si="388"/>
        <v>0</v>
      </c>
      <c r="DA1173" s="662">
        <f t="shared" si="388"/>
        <v>0</v>
      </c>
      <c r="DB1173" s="662">
        <f t="shared" si="388"/>
        <v>0</v>
      </c>
      <c r="DC1173" s="662">
        <f t="shared" si="388"/>
        <v>0</v>
      </c>
      <c r="DD1173" s="662">
        <f t="shared" si="388"/>
        <v>0</v>
      </c>
      <c r="DE1173" s="662">
        <f t="shared" si="388"/>
        <v>0</v>
      </c>
      <c r="DF1173" s="662">
        <f t="shared" si="388"/>
        <v>0</v>
      </c>
      <c r="DG1173" s="662">
        <f t="shared" si="388"/>
        <v>0</v>
      </c>
      <c r="DH1173" s="663">
        <f t="shared" si="388"/>
        <v>0</v>
      </c>
    </row>
    <row r="1174" spans="1:112" s="649" customFormat="1" hidden="1" outlineLevel="1" x14ac:dyDescent="0.3">
      <c r="A1174" s="652" t="str">
        <f>IF(J1173&gt;0,"Imprimir","")</f>
        <v/>
      </c>
      <c r="B1174" s="652"/>
      <c r="C1174" s="664"/>
      <c r="D1174" s="665"/>
      <c r="E1174" s="665"/>
      <c r="F1174" s="665" t="s">
        <v>472</v>
      </c>
      <c r="G1174" s="716" t="s">
        <v>2128</v>
      </c>
      <c r="H1174" s="665" t="s">
        <v>98</v>
      </c>
      <c r="I1174" s="665" t="s">
        <v>474</v>
      </c>
      <c r="J1174" s="104" t="s">
        <v>29</v>
      </c>
      <c r="K1174" s="667"/>
      <c r="L1174" s="745"/>
      <c r="M1174" s="741"/>
      <c r="N1174" s="741"/>
      <c r="O1174" s="741"/>
      <c r="P1174" s="741"/>
      <c r="Q1174" s="741"/>
      <c r="R1174" s="741"/>
      <c r="S1174" s="741"/>
      <c r="T1174" s="741"/>
      <c r="U1174" s="741"/>
      <c r="V1174" s="741"/>
      <c r="W1174" s="741"/>
      <c r="X1174" s="741"/>
      <c r="Y1174" s="741"/>
      <c r="Z1174" s="741"/>
      <c r="AA1174" s="741"/>
      <c r="AB1174" s="741"/>
      <c r="AC1174" s="741"/>
      <c r="AD1174" s="741"/>
      <c r="AE1174" s="741"/>
      <c r="AF1174" s="741"/>
      <c r="AG1174" s="741"/>
      <c r="AH1174" s="741"/>
      <c r="AI1174" s="741"/>
      <c r="AJ1174" s="741"/>
      <c r="AK1174" s="741"/>
      <c r="AL1174" s="741"/>
      <c r="AM1174" s="741"/>
      <c r="AN1174" s="741"/>
      <c r="AO1174" s="741"/>
      <c r="AP1174" s="741"/>
      <c r="AQ1174" s="741"/>
      <c r="AR1174" s="741"/>
      <c r="AS1174" s="741"/>
      <c r="AT1174" s="741"/>
      <c r="AU1174" s="741"/>
      <c r="AV1174" s="741"/>
      <c r="AW1174" s="741"/>
      <c r="AX1174" s="741"/>
      <c r="AY1174" s="741"/>
      <c r="AZ1174" s="741"/>
      <c r="BA1174" s="741"/>
      <c r="BB1174" s="741"/>
      <c r="BC1174" s="741"/>
      <c r="BD1174" s="741"/>
      <c r="BE1174" s="741"/>
      <c r="BF1174" s="741"/>
      <c r="BG1174" s="741"/>
      <c r="BH1174" s="668"/>
      <c r="BI1174" s="654"/>
      <c r="BJ1174" s="669"/>
      <c r="BK1174" s="670"/>
      <c r="BL1174" s="654"/>
      <c r="BM1174" s="671"/>
      <c r="BN1174" s="665"/>
      <c r="BO1174" s="665"/>
      <c r="BP1174" s="665"/>
      <c r="BQ1174" s="665"/>
      <c r="BR1174" s="665"/>
      <c r="BS1174" s="665"/>
      <c r="BT1174" s="665"/>
      <c r="BU1174" s="665"/>
      <c r="BV1174" s="665"/>
      <c r="BW1174" s="665"/>
      <c r="BX1174" s="665"/>
      <c r="BY1174" s="665"/>
      <c r="BZ1174" s="665"/>
      <c r="CA1174" s="665"/>
      <c r="CB1174" s="665"/>
      <c r="CC1174" s="665"/>
      <c r="CD1174" s="665"/>
      <c r="CE1174" s="665"/>
      <c r="CF1174" s="665"/>
      <c r="CG1174" s="665"/>
      <c r="CH1174" s="665"/>
      <c r="CI1174" s="665"/>
      <c r="CJ1174" s="665"/>
      <c r="CK1174" s="665"/>
      <c r="CL1174" s="665"/>
      <c r="CM1174" s="665"/>
      <c r="CN1174" s="665"/>
      <c r="CO1174" s="665"/>
      <c r="CP1174" s="665"/>
      <c r="CQ1174" s="665"/>
      <c r="CR1174" s="665"/>
      <c r="CS1174" s="665"/>
      <c r="CT1174" s="665"/>
      <c r="CU1174" s="665"/>
      <c r="CV1174" s="665"/>
      <c r="CW1174" s="665"/>
      <c r="CX1174" s="665"/>
      <c r="CY1174" s="665"/>
      <c r="CZ1174" s="665"/>
      <c r="DA1174" s="665"/>
      <c r="DB1174" s="665"/>
      <c r="DC1174" s="665"/>
      <c r="DD1174" s="665"/>
      <c r="DE1174" s="665"/>
      <c r="DF1174" s="665"/>
      <c r="DG1174" s="665"/>
      <c r="DH1174" s="666"/>
    </row>
    <row r="1175" spans="1:112" s="649" customFormat="1" ht="15.6" hidden="1" outlineLevel="1" x14ac:dyDescent="0.3">
      <c r="A1175" s="652" t="str">
        <f>IF(J1175&gt;0,"Imprimir","")</f>
        <v/>
      </c>
      <c r="B1175" s="652"/>
      <c r="C1175" s="672"/>
      <c r="D1175" s="673"/>
      <c r="E1175" s="674"/>
      <c r="F1175" s="675"/>
      <c r="G1175" s="726"/>
      <c r="H1175" s="676"/>
      <c r="I1175" s="677"/>
      <c r="J1175" s="219">
        <f>SUBTOTAL(9,J1176:J1180)</f>
        <v>0</v>
      </c>
      <c r="K1175" s="678"/>
      <c r="L1175" s="747"/>
      <c r="M1175" s="742"/>
      <c r="N1175" s="742"/>
      <c r="O1175" s="742"/>
      <c r="P1175" s="742"/>
      <c r="Q1175" s="742"/>
      <c r="R1175" s="742"/>
      <c r="S1175" s="742"/>
      <c r="T1175" s="742"/>
      <c r="U1175" s="742"/>
      <c r="V1175" s="742"/>
      <c r="W1175" s="742"/>
      <c r="X1175" s="742"/>
      <c r="Y1175" s="742"/>
      <c r="Z1175" s="742"/>
      <c r="AA1175" s="742"/>
      <c r="AB1175" s="742"/>
      <c r="AC1175" s="742"/>
      <c r="AD1175" s="742"/>
      <c r="AE1175" s="742"/>
      <c r="AF1175" s="742"/>
      <c r="AG1175" s="742"/>
      <c r="AH1175" s="742"/>
      <c r="AI1175" s="742"/>
      <c r="AJ1175" s="742"/>
      <c r="AK1175" s="742"/>
      <c r="AL1175" s="742"/>
      <c r="AM1175" s="742"/>
      <c r="AN1175" s="742"/>
      <c r="AO1175" s="742"/>
      <c r="AP1175" s="742"/>
      <c r="AQ1175" s="742"/>
      <c r="AR1175" s="742"/>
      <c r="AS1175" s="742"/>
      <c r="AT1175" s="742"/>
      <c r="AU1175" s="742"/>
      <c r="AV1175" s="742"/>
      <c r="AW1175" s="742"/>
      <c r="AX1175" s="742"/>
      <c r="AY1175" s="742"/>
      <c r="AZ1175" s="742"/>
      <c r="BA1175" s="742"/>
      <c r="BB1175" s="742"/>
      <c r="BC1175" s="742"/>
      <c r="BD1175" s="742"/>
      <c r="BE1175" s="742"/>
      <c r="BF1175" s="742"/>
      <c r="BG1175" s="742"/>
      <c r="BH1175" s="668"/>
      <c r="BI1175" s="654"/>
      <c r="BJ1175" s="729"/>
      <c r="BK1175" s="681"/>
      <c r="BL1175" s="654"/>
      <c r="BM1175" s="682"/>
      <c r="BN1175" s="683"/>
      <c r="BO1175" s="683"/>
      <c r="BP1175" s="683"/>
      <c r="BQ1175" s="683"/>
      <c r="BR1175" s="683"/>
      <c r="BS1175" s="683"/>
      <c r="BT1175" s="683"/>
      <c r="BU1175" s="683"/>
      <c r="BV1175" s="683"/>
      <c r="BW1175" s="683"/>
      <c r="BX1175" s="683"/>
      <c r="BY1175" s="683"/>
      <c r="BZ1175" s="683"/>
      <c r="CA1175" s="683"/>
      <c r="CB1175" s="683"/>
      <c r="CC1175" s="683"/>
      <c r="CD1175" s="683"/>
      <c r="CE1175" s="683"/>
      <c r="CF1175" s="683"/>
      <c r="CG1175" s="683"/>
      <c r="CH1175" s="683"/>
      <c r="CI1175" s="683"/>
      <c r="CJ1175" s="683"/>
      <c r="CK1175" s="683"/>
      <c r="CL1175" s="683"/>
      <c r="CM1175" s="683"/>
      <c r="CN1175" s="683"/>
      <c r="CO1175" s="683"/>
      <c r="CP1175" s="683"/>
      <c r="CQ1175" s="683"/>
      <c r="CR1175" s="683"/>
      <c r="CS1175" s="683"/>
      <c r="CT1175" s="683"/>
      <c r="CU1175" s="683"/>
      <c r="CV1175" s="683"/>
      <c r="CW1175" s="683"/>
      <c r="CX1175" s="683"/>
      <c r="CY1175" s="683"/>
      <c r="CZ1175" s="683"/>
      <c r="DA1175" s="683"/>
      <c r="DB1175" s="683"/>
      <c r="DC1175" s="683"/>
      <c r="DD1175" s="683"/>
      <c r="DE1175" s="683"/>
      <c r="DF1175" s="683"/>
      <c r="DG1175" s="683"/>
      <c r="DH1175" s="684"/>
    </row>
    <row r="1176" spans="1:112" s="649" customFormat="1" hidden="1" outlineLevel="1" x14ac:dyDescent="0.3">
      <c r="A1176" s="652" t="str">
        <f t="shared" ref="A1176:A1179" si="389">IF(J1176="","",IF(J1176=0,"","Imprimir"))</f>
        <v/>
      </c>
      <c r="B1176" s="652"/>
      <c r="C1176" s="685"/>
      <c r="D1176" s="686"/>
      <c r="E1176" s="686"/>
      <c r="F1176" s="720"/>
      <c r="G1176" s="688"/>
      <c r="H1176" s="689"/>
      <c r="I1176" s="851" t="str">
        <f>IF(E1176&gt;0,$J$5,"")</f>
        <v/>
      </c>
      <c r="J1176" s="517" t="str">
        <f t="shared" ref="J1176:J1179" si="390">IFERROR(G1176*H1176*I1176,"")</f>
        <v/>
      </c>
      <c r="K1176" s="667"/>
      <c r="L1176" s="858"/>
      <c r="M1176" s="859"/>
      <c r="N1176" s="859"/>
      <c r="O1176" s="859"/>
      <c r="P1176" s="859"/>
      <c r="Q1176" s="859"/>
      <c r="R1176" s="859"/>
      <c r="S1176" s="859"/>
      <c r="T1176" s="859"/>
      <c r="U1176" s="859"/>
      <c r="V1176" s="859"/>
      <c r="W1176" s="859"/>
      <c r="X1176" s="859"/>
      <c r="Y1176" s="859"/>
      <c r="Z1176" s="860"/>
      <c r="AA1176" s="860"/>
      <c r="AB1176" s="860"/>
      <c r="AC1176" s="860"/>
      <c r="AD1176" s="860"/>
      <c r="AE1176" s="860"/>
      <c r="AF1176" s="860"/>
      <c r="AG1176" s="860"/>
      <c r="AH1176" s="860"/>
      <c r="AI1176" s="860"/>
      <c r="AJ1176" s="860"/>
      <c r="AK1176" s="860"/>
      <c r="AL1176" s="860"/>
      <c r="AM1176" s="860"/>
      <c r="AN1176" s="860"/>
      <c r="AO1176" s="860"/>
      <c r="AP1176" s="860"/>
      <c r="AQ1176" s="860"/>
      <c r="AR1176" s="860"/>
      <c r="AS1176" s="860"/>
      <c r="AT1176" s="860"/>
      <c r="AU1176" s="860"/>
      <c r="AV1176" s="860"/>
      <c r="AW1176" s="860"/>
      <c r="AX1176" s="860"/>
      <c r="AY1176" s="860"/>
      <c r="AZ1176" s="860"/>
      <c r="BA1176" s="860"/>
      <c r="BB1176" s="860"/>
      <c r="BC1176" s="860"/>
      <c r="BD1176" s="860"/>
      <c r="BE1176" s="860"/>
      <c r="BF1176" s="860"/>
      <c r="BG1176" s="860"/>
      <c r="BH1176" s="668"/>
      <c r="BI1176" s="654"/>
      <c r="BJ1176" s="690">
        <f>IFERROR(BK1176/J1176,0)</f>
        <v>0</v>
      </c>
      <c r="BK1176" s="691">
        <f>SUM(BM1176:DH1176)</f>
        <v>0</v>
      </c>
      <c r="BL1176" s="654"/>
      <c r="BM1176" s="692">
        <f>SUMIFS(Imput[[Importe Neto]:[Importe Neto]],Imput[[C. Imp.]:[C. Imp.]],$D1176,Imput[[PERIODO Imp.]:[PERIODO Imp.]],BM$9)</f>
        <v>0</v>
      </c>
      <c r="BN1176" s="693">
        <f>SUMIFS(Imput[[Importe Neto]:[Importe Neto]],Imput[[C. Imp.]:[C. Imp.]],$D1176,Imput[[PERIODO Imp.]:[PERIODO Imp.]],BN$9)</f>
        <v>0</v>
      </c>
      <c r="BO1176" s="693">
        <f>SUMIFS(Imput[[Importe Neto]:[Importe Neto]],Imput[[C. Imp.]:[C. Imp.]],$D1176,Imput[[PERIODO Imp.]:[PERIODO Imp.]],BO$9)</f>
        <v>0</v>
      </c>
      <c r="BP1176" s="693">
        <f>SUMIFS(Imput[[Importe Neto]:[Importe Neto]],Imput[[C. Imp.]:[C. Imp.]],$D1176,Imput[[PERIODO Imp.]:[PERIODO Imp.]],BP$9)</f>
        <v>0</v>
      </c>
      <c r="BQ1176" s="693">
        <f>SUMIFS(Imput[[Importe Neto]:[Importe Neto]],Imput[[C. Imp.]:[C. Imp.]],$D1176,Imput[[PERIODO Imp.]:[PERIODO Imp.]],BQ$9)</f>
        <v>0</v>
      </c>
      <c r="BR1176" s="693">
        <f>SUMIFS(Imput[[Importe Neto]:[Importe Neto]],Imput[[C. Imp.]:[C. Imp.]],$D1176,Imput[[PERIODO Imp.]:[PERIODO Imp.]],BR$9)</f>
        <v>0</v>
      </c>
      <c r="BS1176" s="693">
        <f>SUMIFS(Imput[[Importe Neto]:[Importe Neto]],Imput[[C. Imp.]:[C. Imp.]],$D1176,Imput[[PERIODO Imp.]:[PERIODO Imp.]],BS$9)</f>
        <v>0</v>
      </c>
      <c r="BT1176" s="693">
        <f>SUMIFS(Imput[[Importe Neto]:[Importe Neto]],Imput[[C. Imp.]:[C. Imp.]],$D1176,Imput[[PERIODO Imp.]:[PERIODO Imp.]],BT$9)</f>
        <v>0</v>
      </c>
      <c r="BU1176" s="693">
        <f>SUMIFS(Imput[[Importe Neto]:[Importe Neto]],Imput[[C. Imp.]:[C. Imp.]],$D1176,Imput[[PERIODO Imp.]:[PERIODO Imp.]],BU$9)</f>
        <v>0</v>
      </c>
      <c r="BV1176" s="693">
        <f>SUMIFS(Imput[[Importe Neto]:[Importe Neto]],Imput[[C. Imp.]:[C. Imp.]],$D1176,Imput[[PERIODO Imp.]:[PERIODO Imp.]],BV$9)</f>
        <v>0</v>
      </c>
      <c r="BW1176" s="693">
        <f>SUMIFS(Imput[[Importe Neto]:[Importe Neto]],Imput[[C. Imp.]:[C. Imp.]],$D1176,Imput[[PERIODO Imp.]:[PERIODO Imp.]],BW$9)</f>
        <v>0</v>
      </c>
      <c r="BX1176" s="693">
        <f>SUMIFS(Imput[[Importe Neto]:[Importe Neto]],Imput[[C. Imp.]:[C. Imp.]],$D1176,Imput[[PERIODO Imp.]:[PERIODO Imp.]],BX$9)</f>
        <v>0</v>
      </c>
      <c r="BY1176" s="693">
        <f>SUMIFS(Imput[[Importe Neto]:[Importe Neto]],Imput[[C. Imp.]:[C. Imp.]],$D1176,Imput[[PERIODO Imp.]:[PERIODO Imp.]],BY$9)</f>
        <v>0</v>
      </c>
      <c r="BZ1176" s="693">
        <f>SUMIFS(Imput[[Importe Neto]:[Importe Neto]],Imput[[C. Imp.]:[C. Imp.]],$D1176,Imput[[PERIODO Imp.]:[PERIODO Imp.]],BZ$9)</f>
        <v>0</v>
      </c>
      <c r="CA1176" s="693">
        <f>SUMIFS(Imput[[Importe Neto]:[Importe Neto]],Imput[[C. Imp.]:[C. Imp.]],$D1176,Imput[[PERIODO Imp.]:[PERIODO Imp.]],CA$9)</f>
        <v>0</v>
      </c>
      <c r="CB1176" s="693">
        <f>SUMIFS(Imput[[Importe Neto]:[Importe Neto]],Imput[[C. Imp.]:[C. Imp.]],$D1176,Imput[[PERIODO Imp.]:[PERIODO Imp.]],CB$9)</f>
        <v>0</v>
      </c>
      <c r="CC1176" s="693">
        <f>SUMIFS(Imput[[Importe Neto]:[Importe Neto]],Imput[[C. Imp.]:[C. Imp.]],$D1176,Imput[[PERIODO Imp.]:[PERIODO Imp.]],CC$9)</f>
        <v>0</v>
      </c>
      <c r="CD1176" s="693">
        <f>SUMIFS(Imput[[Importe Neto]:[Importe Neto]],Imput[[C. Imp.]:[C. Imp.]],$D1176,Imput[[PERIODO Imp.]:[PERIODO Imp.]],CD$9)</f>
        <v>0</v>
      </c>
      <c r="CE1176" s="693">
        <f>SUMIFS(Imput[[Importe Neto]:[Importe Neto]],Imput[[C. Imp.]:[C. Imp.]],$D1176,Imput[[PERIODO Imp.]:[PERIODO Imp.]],CE$9)</f>
        <v>0</v>
      </c>
      <c r="CF1176" s="693">
        <f>SUMIFS(Imput[[Importe Neto]:[Importe Neto]],Imput[[C. Imp.]:[C. Imp.]],$D1176,Imput[[PERIODO Imp.]:[PERIODO Imp.]],CF$9)</f>
        <v>0</v>
      </c>
      <c r="CG1176" s="693">
        <f>SUMIFS(Imput[[Importe Neto]:[Importe Neto]],Imput[[C. Imp.]:[C. Imp.]],$D1176,Imput[[PERIODO Imp.]:[PERIODO Imp.]],CG$9)</f>
        <v>0</v>
      </c>
      <c r="CH1176" s="693">
        <f>SUMIFS(Imput[[Importe Neto]:[Importe Neto]],Imput[[C. Imp.]:[C. Imp.]],$D1176,Imput[[PERIODO Imp.]:[PERIODO Imp.]],CH$9)</f>
        <v>0</v>
      </c>
      <c r="CI1176" s="693">
        <f>SUMIFS(Imput[[Importe Neto]:[Importe Neto]],Imput[[C. Imp.]:[C. Imp.]],$D1176,Imput[[PERIODO Imp.]:[PERIODO Imp.]],CI$9)</f>
        <v>0</v>
      </c>
      <c r="CJ1176" s="693">
        <f>SUMIFS(Imput[[Importe Neto]:[Importe Neto]],Imput[[C. Imp.]:[C. Imp.]],$D1176,Imput[[PERIODO Imp.]:[PERIODO Imp.]],CJ$9)</f>
        <v>0</v>
      </c>
      <c r="CK1176" s="693">
        <f>SUMIFS(Imput[[Importe Neto]:[Importe Neto]],Imput[[C. Imp.]:[C. Imp.]],$D1176,Imput[[PERIODO Imp.]:[PERIODO Imp.]],CK$9)</f>
        <v>0</v>
      </c>
      <c r="CL1176" s="693">
        <f>SUMIFS(Imput[[Importe Neto]:[Importe Neto]],Imput[[C. Imp.]:[C. Imp.]],$D1176,Imput[[PERIODO Imp.]:[PERIODO Imp.]],CL$9)</f>
        <v>0</v>
      </c>
      <c r="CM1176" s="693">
        <f>SUMIFS(Imput[[Importe Neto]:[Importe Neto]],Imput[[C. Imp.]:[C. Imp.]],$D1176,Imput[[PERIODO Imp.]:[PERIODO Imp.]],CM$9)</f>
        <v>0</v>
      </c>
      <c r="CN1176" s="693">
        <f>SUMIFS(Imput[[Importe Neto]:[Importe Neto]],Imput[[C. Imp.]:[C. Imp.]],$D1176,Imput[[PERIODO Imp.]:[PERIODO Imp.]],CN$9)</f>
        <v>0</v>
      </c>
      <c r="CO1176" s="693">
        <f>SUMIFS(Imput[[Importe Neto]:[Importe Neto]],Imput[[C. Imp.]:[C. Imp.]],$D1176,Imput[[PERIODO Imp.]:[PERIODO Imp.]],CO$9)</f>
        <v>0</v>
      </c>
      <c r="CP1176" s="693">
        <f>SUMIFS(Imput[[Importe Neto]:[Importe Neto]],Imput[[C. Imp.]:[C. Imp.]],$D1176,Imput[[PERIODO Imp.]:[PERIODO Imp.]],CP$9)</f>
        <v>0</v>
      </c>
      <c r="CQ1176" s="693">
        <f>SUMIFS(Imput[[Importe Neto]:[Importe Neto]],Imput[[C. Imp.]:[C. Imp.]],$D1176,Imput[[PERIODO Imp.]:[PERIODO Imp.]],CQ$9)</f>
        <v>0</v>
      </c>
      <c r="CR1176" s="693">
        <f>SUMIFS(Imput[[Importe Neto]:[Importe Neto]],Imput[[C. Imp.]:[C. Imp.]],$D1176,Imput[[PERIODO Imp.]:[PERIODO Imp.]],CR$9)</f>
        <v>0</v>
      </c>
      <c r="CS1176" s="693">
        <f>SUMIFS(Imput[[Importe Neto]:[Importe Neto]],Imput[[C. Imp.]:[C. Imp.]],$D1176,Imput[[PERIODO Imp.]:[PERIODO Imp.]],CS$9)</f>
        <v>0</v>
      </c>
      <c r="CT1176" s="693">
        <f>SUMIFS(Imput[[Importe Neto]:[Importe Neto]],Imput[[C. Imp.]:[C. Imp.]],$D1176,Imput[[PERIODO Imp.]:[PERIODO Imp.]],CT$9)</f>
        <v>0</v>
      </c>
      <c r="CU1176" s="693">
        <f>SUMIFS(Imput[[Importe Neto]:[Importe Neto]],Imput[[C. Imp.]:[C. Imp.]],$D1176,Imput[[PERIODO Imp.]:[PERIODO Imp.]],CU$9)</f>
        <v>0</v>
      </c>
      <c r="CV1176" s="693">
        <f>SUMIFS(Imput[[Importe Neto]:[Importe Neto]],Imput[[C. Imp.]:[C. Imp.]],$D1176,Imput[[PERIODO Imp.]:[PERIODO Imp.]],CV$9)</f>
        <v>0</v>
      </c>
      <c r="CW1176" s="693">
        <f>SUMIFS(Imput[[Importe Neto]:[Importe Neto]],Imput[[C. Imp.]:[C. Imp.]],$D1176,Imput[[PERIODO Imp.]:[PERIODO Imp.]],CW$9)</f>
        <v>0</v>
      </c>
      <c r="CX1176" s="693">
        <f>SUMIFS(Imput[[Importe Neto]:[Importe Neto]],Imput[[C. Imp.]:[C. Imp.]],$D1176,Imput[[PERIODO Imp.]:[PERIODO Imp.]],CX$9)</f>
        <v>0</v>
      </c>
      <c r="CY1176" s="693">
        <f>SUMIFS(Imput[[Importe Neto]:[Importe Neto]],Imput[[C. Imp.]:[C. Imp.]],$D1176,Imput[[PERIODO Imp.]:[PERIODO Imp.]],CY$9)</f>
        <v>0</v>
      </c>
      <c r="CZ1176" s="693">
        <f>SUMIFS(Imput[[Importe Neto]:[Importe Neto]],Imput[[C. Imp.]:[C. Imp.]],$D1176,Imput[[PERIODO Imp.]:[PERIODO Imp.]],CZ$9)</f>
        <v>0</v>
      </c>
      <c r="DA1176" s="693">
        <f>SUMIFS(Imput[[Importe Neto]:[Importe Neto]],Imput[[C. Imp.]:[C. Imp.]],$D1176,Imput[[PERIODO Imp.]:[PERIODO Imp.]],DA$9)</f>
        <v>0</v>
      </c>
      <c r="DB1176" s="693">
        <f>SUMIFS(Imput[[Importe Neto]:[Importe Neto]],Imput[[C. Imp.]:[C. Imp.]],$D1176,Imput[[PERIODO Imp.]:[PERIODO Imp.]],DB$9)</f>
        <v>0</v>
      </c>
      <c r="DC1176" s="693">
        <f>SUMIFS(Imput[[Importe Neto]:[Importe Neto]],Imput[[C. Imp.]:[C. Imp.]],$D1176,Imput[[PERIODO Imp.]:[PERIODO Imp.]],DC$9)</f>
        <v>0</v>
      </c>
      <c r="DD1176" s="693">
        <f>SUMIFS(Imput[[Importe Neto]:[Importe Neto]],Imput[[C. Imp.]:[C. Imp.]],$D1176,Imput[[PERIODO Imp.]:[PERIODO Imp.]],DD$9)</f>
        <v>0</v>
      </c>
      <c r="DE1176" s="693">
        <f>SUMIFS(Imput[[Importe Neto]:[Importe Neto]],Imput[[C. Imp.]:[C. Imp.]],$D1176,Imput[[PERIODO Imp.]:[PERIODO Imp.]],DE$9)</f>
        <v>0</v>
      </c>
      <c r="DF1176" s="693">
        <f>SUMIFS(Imput[[Importe Neto]:[Importe Neto]],Imput[[C. Imp.]:[C. Imp.]],$D1176,Imput[[PERIODO Imp.]:[PERIODO Imp.]],DF$9)</f>
        <v>0</v>
      </c>
      <c r="DG1176" s="693">
        <f>SUMIFS(Imput[[Importe Neto]:[Importe Neto]],Imput[[C. Imp.]:[C. Imp.]],$D1176,Imput[[PERIODO Imp.]:[PERIODO Imp.]],DG$9)</f>
        <v>0</v>
      </c>
      <c r="DH1176" s="694">
        <f>SUMIFS(Imput[[Importe Neto]:[Importe Neto]],Imput[[C. Imp.]:[C. Imp.]],$D1176,Imput[[PERIODO Imp.]:[PERIODO Imp.]],DH$9)</f>
        <v>0</v>
      </c>
    </row>
    <row r="1177" spans="1:112" s="649" customFormat="1" hidden="1" outlineLevel="1" x14ac:dyDescent="0.3">
      <c r="A1177" s="652" t="str">
        <f t="shared" si="389"/>
        <v/>
      </c>
      <c r="B1177" s="652"/>
      <c r="C1177" s="685"/>
      <c r="D1177" s="686"/>
      <c r="E1177" s="686"/>
      <c r="F1177" s="720"/>
      <c r="G1177" s="688"/>
      <c r="H1177" s="689"/>
      <c r="I1177" s="851" t="str">
        <f>IF(E1177&gt;0,$J$5,"")</f>
        <v/>
      </c>
      <c r="J1177" s="517" t="str">
        <f t="shared" si="390"/>
        <v/>
      </c>
      <c r="K1177" s="667"/>
      <c r="L1177" s="858"/>
      <c r="M1177" s="859"/>
      <c r="N1177" s="859"/>
      <c r="O1177" s="859"/>
      <c r="P1177" s="859"/>
      <c r="Q1177" s="859"/>
      <c r="R1177" s="859"/>
      <c r="S1177" s="859"/>
      <c r="T1177" s="859"/>
      <c r="U1177" s="859"/>
      <c r="V1177" s="859"/>
      <c r="W1177" s="859"/>
      <c r="X1177" s="859"/>
      <c r="Y1177" s="859"/>
      <c r="Z1177" s="860"/>
      <c r="AA1177" s="860"/>
      <c r="AB1177" s="860"/>
      <c r="AC1177" s="860"/>
      <c r="AD1177" s="860"/>
      <c r="AE1177" s="860"/>
      <c r="AF1177" s="860"/>
      <c r="AG1177" s="860"/>
      <c r="AH1177" s="860"/>
      <c r="AI1177" s="860"/>
      <c r="AJ1177" s="860"/>
      <c r="AK1177" s="860"/>
      <c r="AL1177" s="860"/>
      <c r="AM1177" s="860"/>
      <c r="AN1177" s="860"/>
      <c r="AO1177" s="860"/>
      <c r="AP1177" s="860"/>
      <c r="AQ1177" s="860"/>
      <c r="AR1177" s="860"/>
      <c r="AS1177" s="860"/>
      <c r="AT1177" s="860"/>
      <c r="AU1177" s="860"/>
      <c r="AV1177" s="860"/>
      <c r="AW1177" s="860"/>
      <c r="AX1177" s="860"/>
      <c r="AY1177" s="860"/>
      <c r="AZ1177" s="860"/>
      <c r="BA1177" s="860"/>
      <c r="BB1177" s="860"/>
      <c r="BC1177" s="860"/>
      <c r="BD1177" s="860"/>
      <c r="BE1177" s="860"/>
      <c r="BF1177" s="860"/>
      <c r="BG1177" s="860"/>
      <c r="BH1177" s="668"/>
      <c r="BI1177" s="654"/>
      <c r="BJ1177" s="690">
        <f>IFERROR(BK1177/J1177,0)</f>
        <v>0</v>
      </c>
      <c r="BK1177" s="691">
        <f>SUM(BM1177:DH1177)</f>
        <v>0</v>
      </c>
      <c r="BL1177" s="654"/>
      <c r="BM1177" s="692">
        <f>SUMIFS(Imput[[Importe Neto]:[Importe Neto]],Imput[[C. Imp.]:[C. Imp.]],$D1177,Imput[[PERIODO Imp.]:[PERIODO Imp.]],BM$9)</f>
        <v>0</v>
      </c>
      <c r="BN1177" s="693">
        <f>SUMIFS(Imput[[Importe Neto]:[Importe Neto]],Imput[[C. Imp.]:[C. Imp.]],$D1177,Imput[[PERIODO Imp.]:[PERIODO Imp.]],BN$9)</f>
        <v>0</v>
      </c>
      <c r="BO1177" s="693">
        <f>SUMIFS(Imput[[Importe Neto]:[Importe Neto]],Imput[[C. Imp.]:[C. Imp.]],$D1177,Imput[[PERIODO Imp.]:[PERIODO Imp.]],BO$9)</f>
        <v>0</v>
      </c>
      <c r="BP1177" s="693">
        <f>SUMIFS(Imput[[Importe Neto]:[Importe Neto]],Imput[[C. Imp.]:[C. Imp.]],$D1177,Imput[[PERIODO Imp.]:[PERIODO Imp.]],BP$9)</f>
        <v>0</v>
      </c>
      <c r="BQ1177" s="693">
        <f>SUMIFS(Imput[[Importe Neto]:[Importe Neto]],Imput[[C. Imp.]:[C. Imp.]],$D1177,Imput[[PERIODO Imp.]:[PERIODO Imp.]],BQ$9)</f>
        <v>0</v>
      </c>
      <c r="BR1177" s="693">
        <f>SUMIFS(Imput[[Importe Neto]:[Importe Neto]],Imput[[C. Imp.]:[C. Imp.]],$D1177,Imput[[PERIODO Imp.]:[PERIODO Imp.]],BR$9)</f>
        <v>0</v>
      </c>
      <c r="BS1177" s="693">
        <f>SUMIFS(Imput[[Importe Neto]:[Importe Neto]],Imput[[C. Imp.]:[C. Imp.]],$D1177,Imput[[PERIODO Imp.]:[PERIODO Imp.]],BS$9)</f>
        <v>0</v>
      </c>
      <c r="BT1177" s="693">
        <f>SUMIFS(Imput[[Importe Neto]:[Importe Neto]],Imput[[C. Imp.]:[C. Imp.]],$D1177,Imput[[PERIODO Imp.]:[PERIODO Imp.]],BT$9)</f>
        <v>0</v>
      </c>
      <c r="BU1177" s="693">
        <f>SUMIFS(Imput[[Importe Neto]:[Importe Neto]],Imput[[C. Imp.]:[C. Imp.]],$D1177,Imput[[PERIODO Imp.]:[PERIODO Imp.]],BU$9)</f>
        <v>0</v>
      </c>
      <c r="BV1177" s="693">
        <f>SUMIFS(Imput[[Importe Neto]:[Importe Neto]],Imput[[C. Imp.]:[C. Imp.]],$D1177,Imput[[PERIODO Imp.]:[PERIODO Imp.]],BV$9)</f>
        <v>0</v>
      </c>
      <c r="BW1177" s="693">
        <f>SUMIFS(Imput[[Importe Neto]:[Importe Neto]],Imput[[C. Imp.]:[C. Imp.]],$D1177,Imput[[PERIODO Imp.]:[PERIODO Imp.]],BW$9)</f>
        <v>0</v>
      </c>
      <c r="BX1177" s="693">
        <f>SUMIFS(Imput[[Importe Neto]:[Importe Neto]],Imput[[C. Imp.]:[C. Imp.]],$D1177,Imput[[PERIODO Imp.]:[PERIODO Imp.]],BX$9)</f>
        <v>0</v>
      </c>
      <c r="BY1177" s="693">
        <f>SUMIFS(Imput[[Importe Neto]:[Importe Neto]],Imput[[C. Imp.]:[C. Imp.]],$D1177,Imput[[PERIODO Imp.]:[PERIODO Imp.]],BY$9)</f>
        <v>0</v>
      </c>
      <c r="BZ1177" s="693">
        <f>SUMIFS(Imput[[Importe Neto]:[Importe Neto]],Imput[[C. Imp.]:[C. Imp.]],$D1177,Imput[[PERIODO Imp.]:[PERIODO Imp.]],BZ$9)</f>
        <v>0</v>
      </c>
      <c r="CA1177" s="693">
        <f>SUMIFS(Imput[[Importe Neto]:[Importe Neto]],Imput[[C. Imp.]:[C. Imp.]],$D1177,Imput[[PERIODO Imp.]:[PERIODO Imp.]],CA$9)</f>
        <v>0</v>
      </c>
      <c r="CB1177" s="693">
        <f>SUMIFS(Imput[[Importe Neto]:[Importe Neto]],Imput[[C. Imp.]:[C. Imp.]],$D1177,Imput[[PERIODO Imp.]:[PERIODO Imp.]],CB$9)</f>
        <v>0</v>
      </c>
      <c r="CC1177" s="693">
        <f>SUMIFS(Imput[[Importe Neto]:[Importe Neto]],Imput[[C. Imp.]:[C. Imp.]],$D1177,Imput[[PERIODO Imp.]:[PERIODO Imp.]],CC$9)</f>
        <v>0</v>
      </c>
      <c r="CD1177" s="693">
        <f>SUMIFS(Imput[[Importe Neto]:[Importe Neto]],Imput[[C. Imp.]:[C. Imp.]],$D1177,Imput[[PERIODO Imp.]:[PERIODO Imp.]],CD$9)</f>
        <v>0</v>
      </c>
      <c r="CE1177" s="693">
        <f>SUMIFS(Imput[[Importe Neto]:[Importe Neto]],Imput[[C. Imp.]:[C. Imp.]],$D1177,Imput[[PERIODO Imp.]:[PERIODO Imp.]],CE$9)</f>
        <v>0</v>
      </c>
      <c r="CF1177" s="693">
        <f>SUMIFS(Imput[[Importe Neto]:[Importe Neto]],Imput[[C. Imp.]:[C. Imp.]],$D1177,Imput[[PERIODO Imp.]:[PERIODO Imp.]],CF$9)</f>
        <v>0</v>
      </c>
      <c r="CG1177" s="693">
        <f>SUMIFS(Imput[[Importe Neto]:[Importe Neto]],Imput[[C. Imp.]:[C. Imp.]],$D1177,Imput[[PERIODO Imp.]:[PERIODO Imp.]],CG$9)</f>
        <v>0</v>
      </c>
      <c r="CH1177" s="693">
        <f>SUMIFS(Imput[[Importe Neto]:[Importe Neto]],Imput[[C. Imp.]:[C. Imp.]],$D1177,Imput[[PERIODO Imp.]:[PERIODO Imp.]],CH$9)</f>
        <v>0</v>
      </c>
      <c r="CI1177" s="693">
        <f>SUMIFS(Imput[[Importe Neto]:[Importe Neto]],Imput[[C. Imp.]:[C. Imp.]],$D1177,Imput[[PERIODO Imp.]:[PERIODO Imp.]],CI$9)</f>
        <v>0</v>
      </c>
      <c r="CJ1177" s="693">
        <f>SUMIFS(Imput[[Importe Neto]:[Importe Neto]],Imput[[C. Imp.]:[C. Imp.]],$D1177,Imput[[PERIODO Imp.]:[PERIODO Imp.]],CJ$9)</f>
        <v>0</v>
      </c>
      <c r="CK1177" s="693">
        <f>SUMIFS(Imput[[Importe Neto]:[Importe Neto]],Imput[[C. Imp.]:[C. Imp.]],$D1177,Imput[[PERIODO Imp.]:[PERIODO Imp.]],CK$9)</f>
        <v>0</v>
      </c>
      <c r="CL1177" s="693">
        <f>SUMIFS(Imput[[Importe Neto]:[Importe Neto]],Imput[[C. Imp.]:[C. Imp.]],$D1177,Imput[[PERIODO Imp.]:[PERIODO Imp.]],CL$9)</f>
        <v>0</v>
      </c>
      <c r="CM1177" s="693">
        <f>SUMIFS(Imput[[Importe Neto]:[Importe Neto]],Imput[[C. Imp.]:[C. Imp.]],$D1177,Imput[[PERIODO Imp.]:[PERIODO Imp.]],CM$9)</f>
        <v>0</v>
      </c>
      <c r="CN1177" s="693">
        <f>SUMIFS(Imput[[Importe Neto]:[Importe Neto]],Imput[[C. Imp.]:[C. Imp.]],$D1177,Imput[[PERIODO Imp.]:[PERIODO Imp.]],CN$9)</f>
        <v>0</v>
      </c>
      <c r="CO1177" s="693">
        <f>SUMIFS(Imput[[Importe Neto]:[Importe Neto]],Imput[[C. Imp.]:[C. Imp.]],$D1177,Imput[[PERIODO Imp.]:[PERIODO Imp.]],CO$9)</f>
        <v>0</v>
      </c>
      <c r="CP1177" s="693">
        <f>SUMIFS(Imput[[Importe Neto]:[Importe Neto]],Imput[[C. Imp.]:[C. Imp.]],$D1177,Imput[[PERIODO Imp.]:[PERIODO Imp.]],CP$9)</f>
        <v>0</v>
      </c>
      <c r="CQ1177" s="693">
        <f>SUMIFS(Imput[[Importe Neto]:[Importe Neto]],Imput[[C. Imp.]:[C. Imp.]],$D1177,Imput[[PERIODO Imp.]:[PERIODO Imp.]],CQ$9)</f>
        <v>0</v>
      </c>
      <c r="CR1177" s="693">
        <f>SUMIFS(Imput[[Importe Neto]:[Importe Neto]],Imput[[C. Imp.]:[C. Imp.]],$D1177,Imput[[PERIODO Imp.]:[PERIODO Imp.]],CR$9)</f>
        <v>0</v>
      </c>
      <c r="CS1177" s="693">
        <f>SUMIFS(Imput[[Importe Neto]:[Importe Neto]],Imput[[C. Imp.]:[C. Imp.]],$D1177,Imput[[PERIODO Imp.]:[PERIODO Imp.]],CS$9)</f>
        <v>0</v>
      </c>
      <c r="CT1177" s="693">
        <f>SUMIFS(Imput[[Importe Neto]:[Importe Neto]],Imput[[C. Imp.]:[C. Imp.]],$D1177,Imput[[PERIODO Imp.]:[PERIODO Imp.]],CT$9)</f>
        <v>0</v>
      </c>
      <c r="CU1177" s="693">
        <f>SUMIFS(Imput[[Importe Neto]:[Importe Neto]],Imput[[C. Imp.]:[C. Imp.]],$D1177,Imput[[PERIODO Imp.]:[PERIODO Imp.]],CU$9)</f>
        <v>0</v>
      </c>
      <c r="CV1177" s="693">
        <f>SUMIFS(Imput[[Importe Neto]:[Importe Neto]],Imput[[C. Imp.]:[C. Imp.]],$D1177,Imput[[PERIODO Imp.]:[PERIODO Imp.]],CV$9)</f>
        <v>0</v>
      </c>
      <c r="CW1177" s="693">
        <f>SUMIFS(Imput[[Importe Neto]:[Importe Neto]],Imput[[C. Imp.]:[C. Imp.]],$D1177,Imput[[PERIODO Imp.]:[PERIODO Imp.]],CW$9)</f>
        <v>0</v>
      </c>
      <c r="CX1177" s="693">
        <f>SUMIFS(Imput[[Importe Neto]:[Importe Neto]],Imput[[C. Imp.]:[C. Imp.]],$D1177,Imput[[PERIODO Imp.]:[PERIODO Imp.]],CX$9)</f>
        <v>0</v>
      </c>
      <c r="CY1177" s="693">
        <f>SUMIFS(Imput[[Importe Neto]:[Importe Neto]],Imput[[C. Imp.]:[C. Imp.]],$D1177,Imput[[PERIODO Imp.]:[PERIODO Imp.]],CY$9)</f>
        <v>0</v>
      </c>
      <c r="CZ1177" s="693">
        <f>SUMIFS(Imput[[Importe Neto]:[Importe Neto]],Imput[[C. Imp.]:[C. Imp.]],$D1177,Imput[[PERIODO Imp.]:[PERIODO Imp.]],CZ$9)</f>
        <v>0</v>
      </c>
      <c r="DA1177" s="693">
        <f>SUMIFS(Imput[[Importe Neto]:[Importe Neto]],Imput[[C. Imp.]:[C. Imp.]],$D1177,Imput[[PERIODO Imp.]:[PERIODO Imp.]],DA$9)</f>
        <v>0</v>
      </c>
      <c r="DB1177" s="693">
        <f>SUMIFS(Imput[[Importe Neto]:[Importe Neto]],Imput[[C. Imp.]:[C. Imp.]],$D1177,Imput[[PERIODO Imp.]:[PERIODO Imp.]],DB$9)</f>
        <v>0</v>
      </c>
      <c r="DC1177" s="693">
        <f>SUMIFS(Imput[[Importe Neto]:[Importe Neto]],Imput[[C. Imp.]:[C. Imp.]],$D1177,Imput[[PERIODO Imp.]:[PERIODO Imp.]],DC$9)</f>
        <v>0</v>
      </c>
      <c r="DD1177" s="693">
        <f>SUMIFS(Imput[[Importe Neto]:[Importe Neto]],Imput[[C. Imp.]:[C. Imp.]],$D1177,Imput[[PERIODO Imp.]:[PERIODO Imp.]],DD$9)</f>
        <v>0</v>
      </c>
      <c r="DE1177" s="693">
        <f>SUMIFS(Imput[[Importe Neto]:[Importe Neto]],Imput[[C. Imp.]:[C. Imp.]],$D1177,Imput[[PERIODO Imp.]:[PERIODO Imp.]],DE$9)</f>
        <v>0</v>
      </c>
      <c r="DF1177" s="693">
        <f>SUMIFS(Imput[[Importe Neto]:[Importe Neto]],Imput[[C. Imp.]:[C. Imp.]],$D1177,Imput[[PERIODO Imp.]:[PERIODO Imp.]],DF$9)</f>
        <v>0</v>
      </c>
      <c r="DG1177" s="693">
        <f>SUMIFS(Imput[[Importe Neto]:[Importe Neto]],Imput[[C. Imp.]:[C. Imp.]],$D1177,Imput[[PERIODO Imp.]:[PERIODO Imp.]],DG$9)</f>
        <v>0</v>
      </c>
      <c r="DH1177" s="694">
        <f>SUMIFS(Imput[[Importe Neto]:[Importe Neto]],Imput[[C. Imp.]:[C. Imp.]],$D1177,Imput[[PERIODO Imp.]:[PERIODO Imp.]],DH$9)</f>
        <v>0</v>
      </c>
    </row>
    <row r="1178" spans="1:112" s="649" customFormat="1" hidden="1" outlineLevel="1" x14ac:dyDescent="0.3">
      <c r="A1178" s="652" t="str">
        <f t="shared" si="389"/>
        <v/>
      </c>
      <c r="B1178" s="652"/>
      <c r="C1178" s="685"/>
      <c r="D1178" s="686"/>
      <c r="E1178" s="686"/>
      <c r="F1178" s="720"/>
      <c r="G1178" s="688"/>
      <c r="H1178" s="689"/>
      <c r="I1178" s="851" t="str">
        <f>IF(E1178&gt;0,$J$5,"")</f>
        <v/>
      </c>
      <c r="J1178" s="517" t="str">
        <f t="shared" si="390"/>
        <v/>
      </c>
      <c r="K1178" s="667"/>
      <c r="L1178" s="858"/>
      <c r="M1178" s="859"/>
      <c r="N1178" s="859"/>
      <c r="O1178" s="859"/>
      <c r="P1178" s="859"/>
      <c r="Q1178" s="859"/>
      <c r="R1178" s="859"/>
      <c r="S1178" s="859"/>
      <c r="T1178" s="859"/>
      <c r="U1178" s="859"/>
      <c r="V1178" s="859"/>
      <c r="W1178" s="859"/>
      <c r="X1178" s="859"/>
      <c r="Y1178" s="859"/>
      <c r="Z1178" s="860"/>
      <c r="AA1178" s="860"/>
      <c r="AB1178" s="860"/>
      <c r="AC1178" s="860"/>
      <c r="AD1178" s="860"/>
      <c r="AE1178" s="860"/>
      <c r="AF1178" s="860"/>
      <c r="AG1178" s="860"/>
      <c r="AH1178" s="860"/>
      <c r="AI1178" s="860"/>
      <c r="AJ1178" s="860"/>
      <c r="AK1178" s="860"/>
      <c r="AL1178" s="860"/>
      <c r="AM1178" s="860"/>
      <c r="AN1178" s="860"/>
      <c r="AO1178" s="860"/>
      <c r="AP1178" s="860"/>
      <c r="AQ1178" s="860"/>
      <c r="AR1178" s="860"/>
      <c r="AS1178" s="860"/>
      <c r="AT1178" s="860"/>
      <c r="AU1178" s="860"/>
      <c r="AV1178" s="860"/>
      <c r="AW1178" s="860"/>
      <c r="AX1178" s="860"/>
      <c r="AY1178" s="860"/>
      <c r="AZ1178" s="860"/>
      <c r="BA1178" s="860"/>
      <c r="BB1178" s="860"/>
      <c r="BC1178" s="860"/>
      <c r="BD1178" s="860"/>
      <c r="BE1178" s="860"/>
      <c r="BF1178" s="860"/>
      <c r="BG1178" s="860"/>
      <c r="BH1178" s="668"/>
      <c r="BI1178" s="654"/>
      <c r="BJ1178" s="690">
        <f>IFERROR(BK1178/J1178,0)</f>
        <v>0</v>
      </c>
      <c r="BK1178" s="691">
        <f>SUM(BM1178:DH1178)</f>
        <v>0</v>
      </c>
      <c r="BL1178" s="654"/>
      <c r="BM1178" s="692">
        <f>SUMIFS(Imput[[Importe Neto]:[Importe Neto]],Imput[[C. Imp.]:[C. Imp.]],$D1178,Imput[[PERIODO Imp.]:[PERIODO Imp.]],BM$9)</f>
        <v>0</v>
      </c>
      <c r="BN1178" s="693">
        <f>SUMIFS(Imput[[Importe Neto]:[Importe Neto]],Imput[[C. Imp.]:[C. Imp.]],$D1178,Imput[[PERIODO Imp.]:[PERIODO Imp.]],BN$9)</f>
        <v>0</v>
      </c>
      <c r="BO1178" s="693">
        <f>SUMIFS(Imput[[Importe Neto]:[Importe Neto]],Imput[[C. Imp.]:[C. Imp.]],$D1178,Imput[[PERIODO Imp.]:[PERIODO Imp.]],BO$9)</f>
        <v>0</v>
      </c>
      <c r="BP1178" s="693">
        <f>SUMIFS(Imput[[Importe Neto]:[Importe Neto]],Imput[[C. Imp.]:[C. Imp.]],$D1178,Imput[[PERIODO Imp.]:[PERIODO Imp.]],BP$9)</f>
        <v>0</v>
      </c>
      <c r="BQ1178" s="693">
        <f>SUMIFS(Imput[[Importe Neto]:[Importe Neto]],Imput[[C. Imp.]:[C. Imp.]],$D1178,Imput[[PERIODO Imp.]:[PERIODO Imp.]],BQ$9)</f>
        <v>0</v>
      </c>
      <c r="BR1178" s="693">
        <f>SUMIFS(Imput[[Importe Neto]:[Importe Neto]],Imput[[C. Imp.]:[C. Imp.]],$D1178,Imput[[PERIODO Imp.]:[PERIODO Imp.]],BR$9)</f>
        <v>0</v>
      </c>
      <c r="BS1178" s="693">
        <f>SUMIFS(Imput[[Importe Neto]:[Importe Neto]],Imput[[C. Imp.]:[C. Imp.]],$D1178,Imput[[PERIODO Imp.]:[PERIODO Imp.]],BS$9)</f>
        <v>0</v>
      </c>
      <c r="BT1178" s="693">
        <f>SUMIFS(Imput[[Importe Neto]:[Importe Neto]],Imput[[C. Imp.]:[C. Imp.]],$D1178,Imput[[PERIODO Imp.]:[PERIODO Imp.]],BT$9)</f>
        <v>0</v>
      </c>
      <c r="BU1178" s="693">
        <f>SUMIFS(Imput[[Importe Neto]:[Importe Neto]],Imput[[C. Imp.]:[C. Imp.]],$D1178,Imput[[PERIODO Imp.]:[PERIODO Imp.]],BU$9)</f>
        <v>0</v>
      </c>
      <c r="BV1178" s="693">
        <f>SUMIFS(Imput[[Importe Neto]:[Importe Neto]],Imput[[C. Imp.]:[C. Imp.]],$D1178,Imput[[PERIODO Imp.]:[PERIODO Imp.]],BV$9)</f>
        <v>0</v>
      </c>
      <c r="BW1178" s="693">
        <f>SUMIFS(Imput[[Importe Neto]:[Importe Neto]],Imput[[C. Imp.]:[C. Imp.]],$D1178,Imput[[PERIODO Imp.]:[PERIODO Imp.]],BW$9)</f>
        <v>0</v>
      </c>
      <c r="BX1178" s="693">
        <f>SUMIFS(Imput[[Importe Neto]:[Importe Neto]],Imput[[C. Imp.]:[C. Imp.]],$D1178,Imput[[PERIODO Imp.]:[PERIODO Imp.]],BX$9)</f>
        <v>0</v>
      </c>
      <c r="BY1178" s="693">
        <f>SUMIFS(Imput[[Importe Neto]:[Importe Neto]],Imput[[C. Imp.]:[C. Imp.]],$D1178,Imput[[PERIODO Imp.]:[PERIODO Imp.]],BY$9)</f>
        <v>0</v>
      </c>
      <c r="BZ1178" s="693">
        <f>SUMIFS(Imput[[Importe Neto]:[Importe Neto]],Imput[[C. Imp.]:[C. Imp.]],$D1178,Imput[[PERIODO Imp.]:[PERIODO Imp.]],BZ$9)</f>
        <v>0</v>
      </c>
      <c r="CA1178" s="693">
        <f>SUMIFS(Imput[[Importe Neto]:[Importe Neto]],Imput[[C. Imp.]:[C. Imp.]],$D1178,Imput[[PERIODO Imp.]:[PERIODO Imp.]],CA$9)</f>
        <v>0</v>
      </c>
      <c r="CB1178" s="693">
        <f>SUMIFS(Imput[[Importe Neto]:[Importe Neto]],Imput[[C. Imp.]:[C. Imp.]],$D1178,Imput[[PERIODO Imp.]:[PERIODO Imp.]],CB$9)</f>
        <v>0</v>
      </c>
      <c r="CC1178" s="693">
        <f>SUMIFS(Imput[[Importe Neto]:[Importe Neto]],Imput[[C. Imp.]:[C. Imp.]],$D1178,Imput[[PERIODO Imp.]:[PERIODO Imp.]],CC$9)</f>
        <v>0</v>
      </c>
      <c r="CD1178" s="693">
        <f>SUMIFS(Imput[[Importe Neto]:[Importe Neto]],Imput[[C. Imp.]:[C. Imp.]],$D1178,Imput[[PERIODO Imp.]:[PERIODO Imp.]],CD$9)</f>
        <v>0</v>
      </c>
      <c r="CE1178" s="693">
        <f>SUMIFS(Imput[[Importe Neto]:[Importe Neto]],Imput[[C. Imp.]:[C. Imp.]],$D1178,Imput[[PERIODO Imp.]:[PERIODO Imp.]],CE$9)</f>
        <v>0</v>
      </c>
      <c r="CF1178" s="693">
        <f>SUMIFS(Imput[[Importe Neto]:[Importe Neto]],Imput[[C. Imp.]:[C. Imp.]],$D1178,Imput[[PERIODO Imp.]:[PERIODO Imp.]],CF$9)</f>
        <v>0</v>
      </c>
      <c r="CG1178" s="693">
        <f>SUMIFS(Imput[[Importe Neto]:[Importe Neto]],Imput[[C. Imp.]:[C. Imp.]],$D1178,Imput[[PERIODO Imp.]:[PERIODO Imp.]],CG$9)</f>
        <v>0</v>
      </c>
      <c r="CH1178" s="693">
        <f>SUMIFS(Imput[[Importe Neto]:[Importe Neto]],Imput[[C. Imp.]:[C. Imp.]],$D1178,Imput[[PERIODO Imp.]:[PERIODO Imp.]],CH$9)</f>
        <v>0</v>
      </c>
      <c r="CI1178" s="693">
        <f>SUMIFS(Imput[[Importe Neto]:[Importe Neto]],Imput[[C. Imp.]:[C. Imp.]],$D1178,Imput[[PERIODO Imp.]:[PERIODO Imp.]],CI$9)</f>
        <v>0</v>
      </c>
      <c r="CJ1178" s="693">
        <f>SUMIFS(Imput[[Importe Neto]:[Importe Neto]],Imput[[C. Imp.]:[C. Imp.]],$D1178,Imput[[PERIODO Imp.]:[PERIODO Imp.]],CJ$9)</f>
        <v>0</v>
      </c>
      <c r="CK1178" s="693">
        <f>SUMIFS(Imput[[Importe Neto]:[Importe Neto]],Imput[[C. Imp.]:[C. Imp.]],$D1178,Imput[[PERIODO Imp.]:[PERIODO Imp.]],CK$9)</f>
        <v>0</v>
      </c>
      <c r="CL1178" s="693">
        <f>SUMIFS(Imput[[Importe Neto]:[Importe Neto]],Imput[[C. Imp.]:[C. Imp.]],$D1178,Imput[[PERIODO Imp.]:[PERIODO Imp.]],CL$9)</f>
        <v>0</v>
      </c>
      <c r="CM1178" s="693">
        <f>SUMIFS(Imput[[Importe Neto]:[Importe Neto]],Imput[[C. Imp.]:[C. Imp.]],$D1178,Imput[[PERIODO Imp.]:[PERIODO Imp.]],CM$9)</f>
        <v>0</v>
      </c>
      <c r="CN1178" s="693">
        <f>SUMIFS(Imput[[Importe Neto]:[Importe Neto]],Imput[[C. Imp.]:[C. Imp.]],$D1178,Imput[[PERIODO Imp.]:[PERIODO Imp.]],CN$9)</f>
        <v>0</v>
      </c>
      <c r="CO1178" s="693">
        <f>SUMIFS(Imput[[Importe Neto]:[Importe Neto]],Imput[[C. Imp.]:[C. Imp.]],$D1178,Imput[[PERIODO Imp.]:[PERIODO Imp.]],CO$9)</f>
        <v>0</v>
      </c>
      <c r="CP1178" s="693">
        <f>SUMIFS(Imput[[Importe Neto]:[Importe Neto]],Imput[[C. Imp.]:[C. Imp.]],$D1178,Imput[[PERIODO Imp.]:[PERIODO Imp.]],CP$9)</f>
        <v>0</v>
      </c>
      <c r="CQ1178" s="693">
        <f>SUMIFS(Imput[[Importe Neto]:[Importe Neto]],Imput[[C. Imp.]:[C. Imp.]],$D1178,Imput[[PERIODO Imp.]:[PERIODO Imp.]],CQ$9)</f>
        <v>0</v>
      </c>
      <c r="CR1178" s="693">
        <f>SUMIFS(Imput[[Importe Neto]:[Importe Neto]],Imput[[C. Imp.]:[C. Imp.]],$D1178,Imput[[PERIODO Imp.]:[PERIODO Imp.]],CR$9)</f>
        <v>0</v>
      </c>
      <c r="CS1178" s="693">
        <f>SUMIFS(Imput[[Importe Neto]:[Importe Neto]],Imput[[C. Imp.]:[C. Imp.]],$D1178,Imput[[PERIODO Imp.]:[PERIODO Imp.]],CS$9)</f>
        <v>0</v>
      </c>
      <c r="CT1178" s="693">
        <f>SUMIFS(Imput[[Importe Neto]:[Importe Neto]],Imput[[C. Imp.]:[C. Imp.]],$D1178,Imput[[PERIODO Imp.]:[PERIODO Imp.]],CT$9)</f>
        <v>0</v>
      </c>
      <c r="CU1178" s="693">
        <f>SUMIFS(Imput[[Importe Neto]:[Importe Neto]],Imput[[C. Imp.]:[C. Imp.]],$D1178,Imput[[PERIODO Imp.]:[PERIODO Imp.]],CU$9)</f>
        <v>0</v>
      </c>
      <c r="CV1178" s="693">
        <f>SUMIFS(Imput[[Importe Neto]:[Importe Neto]],Imput[[C. Imp.]:[C. Imp.]],$D1178,Imput[[PERIODO Imp.]:[PERIODO Imp.]],CV$9)</f>
        <v>0</v>
      </c>
      <c r="CW1178" s="693">
        <f>SUMIFS(Imput[[Importe Neto]:[Importe Neto]],Imput[[C. Imp.]:[C. Imp.]],$D1178,Imput[[PERIODO Imp.]:[PERIODO Imp.]],CW$9)</f>
        <v>0</v>
      </c>
      <c r="CX1178" s="693">
        <f>SUMIFS(Imput[[Importe Neto]:[Importe Neto]],Imput[[C. Imp.]:[C. Imp.]],$D1178,Imput[[PERIODO Imp.]:[PERIODO Imp.]],CX$9)</f>
        <v>0</v>
      </c>
      <c r="CY1178" s="693">
        <f>SUMIFS(Imput[[Importe Neto]:[Importe Neto]],Imput[[C. Imp.]:[C. Imp.]],$D1178,Imput[[PERIODO Imp.]:[PERIODO Imp.]],CY$9)</f>
        <v>0</v>
      </c>
      <c r="CZ1178" s="693">
        <f>SUMIFS(Imput[[Importe Neto]:[Importe Neto]],Imput[[C. Imp.]:[C. Imp.]],$D1178,Imput[[PERIODO Imp.]:[PERIODO Imp.]],CZ$9)</f>
        <v>0</v>
      </c>
      <c r="DA1178" s="693">
        <f>SUMIFS(Imput[[Importe Neto]:[Importe Neto]],Imput[[C. Imp.]:[C. Imp.]],$D1178,Imput[[PERIODO Imp.]:[PERIODO Imp.]],DA$9)</f>
        <v>0</v>
      </c>
      <c r="DB1178" s="693">
        <f>SUMIFS(Imput[[Importe Neto]:[Importe Neto]],Imput[[C. Imp.]:[C. Imp.]],$D1178,Imput[[PERIODO Imp.]:[PERIODO Imp.]],DB$9)</f>
        <v>0</v>
      </c>
      <c r="DC1178" s="693">
        <f>SUMIFS(Imput[[Importe Neto]:[Importe Neto]],Imput[[C. Imp.]:[C. Imp.]],$D1178,Imput[[PERIODO Imp.]:[PERIODO Imp.]],DC$9)</f>
        <v>0</v>
      </c>
      <c r="DD1178" s="693">
        <f>SUMIFS(Imput[[Importe Neto]:[Importe Neto]],Imput[[C. Imp.]:[C. Imp.]],$D1178,Imput[[PERIODO Imp.]:[PERIODO Imp.]],DD$9)</f>
        <v>0</v>
      </c>
      <c r="DE1178" s="693">
        <f>SUMIFS(Imput[[Importe Neto]:[Importe Neto]],Imput[[C. Imp.]:[C. Imp.]],$D1178,Imput[[PERIODO Imp.]:[PERIODO Imp.]],DE$9)</f>
        <v>0</v>
      </c>
      <c r="DF1178" s="693">
        <f>SUMIFS(Imput[[Importe Neto]:[Importe Neto]],Imput[[C. Imp.]:[C. Imp.]],$D1178,Imput[[PERIODO Imp.]:[PERIODO Imp.]],DF$9)</f>
        <v>0</v>
      </c>
      <c r="DG1178" s="693">
        <f>SUMIFS(Imput[[Importe Neto]:[Importe Neto]],Imput[[C. Imp.]:[C. Imp.]],$D1178,Imput[[PERIODO Imp.]:[PERIODO Imp.]],DG$9)</f>
        <v>0</v>
      </c>
      <c r="DH1178" s="694">
        <f>SUMIFS(Imput[[Importe Neto]:[Importe Neto]],Imput[[C. Imp.]:[C. Imp.]],$D1178,Imput[[PERIODO Imp.]:[PERIODO Imp.]],DH$9)</f>
        <v>0</v>
      </c>
    </row>
    <row r="1179" spans="1:112" s="649" customFormat="1" hidden="1" outlineLevel="1" x14ac:dyDescent="0.3">
      <c r="A1179" s="652" t="str">
        <f t="shared" si="389"/>
        <v/>
      </c>
      <c r="B1179" s="652"/>
      <c r="C1179" s="685"/>
      <c r="D1179" s="686"/>
      <c r="E1179" s="686"/>
      <c r="F1179" s="720"/>
      <c r="G1179" s="688"/>
      <c r="H1179" s="696"/>
      <c r="I1179" s="851" t="str">
        <f>IF(E1179&gt;0,$J$5,"")</f>
        <v/>
      </c>
      <c r="J1179" s="517" t="str">
        <f t="shared" si="390"/>
        <v/>
      </c>
      <c r="K1179" s="667"/>
      <c r="L1179" s="858"/>
      <c r="M1179" s="859"/>
      <c r="N1179" s="859"/>
      <c r="O1179" s="859"/>
      <c r="P1179" s="859"/>
      <c r="Q1179" s="859"/>
      <c r="R1179" s="859"/>
      <c r="S1179" s="859"/>
      <c r="T1179" s="859"/>
      <c r="U1179" s="859"/>
      <c r="V1179" s="859"/>
      <c r="W1179" s="859"/>
      <c r="X1179" s="859"/>
      <c r="Y1179" s="859"/>
      <c r="Z1179" s="860"/>
      <c r="AA1179" s="860"/>
      <c r="AB1179" s="860"/>
      <c r="AC1179" s="860"/>
      <c r="AD1179" s="860"/>
      <c r="AE1179" s="860"/>
      <c r="AF1179" s="860"/>
      <c r="AG1179" s="860"/>
      <c r="AH1179" s="860"/>
      <c r="AI1179" s="860"/>
      <c r="AJ1179" s="860"/>
      <c r="AK1179" s="860"/>
      <c r="AL1179" s="860"/>
      <c r="AM1179" s="860"/>
      <c r="AN1179" s="860"/>
      <c r="AO1179" s="860"/>
      <c r="AP1179" s="860"/>
      <c r="AQ1179" s="860"/>
      <c r="AR1179" s="860"/>
      <c r="AS1179" s="860"/>
      <c r="AT1179" s="860"/>
      <c r="AU1179" s="860"/>
      <c r="AV1179" s="860"/>
      <c r="AW1179" s="860"/>
      <c r="AX1179" s="860"/>
      <c r="AY1179" s="860"/>
      <c r="AZ1179" s="860"/>
      <c r="BA1179" s="860"/>
      <c r="BB1179" s="860"/>
      <c r="BC1179" s="860"/>
      <c r="BD1179" s="860"/>
      <c r="BE1179" s="860"/>
      <c r="BF1179" s="860"/>
      <c r="BG1179" s="860"/>
      <c r="BH1179" s="668"/>
      <c r="BI1179" s="654"/>
      <c r="BJ1179" s="690">
        <f>IFERROR(BK1179/J1179,0)</f>
        <v>0</v>
      </c>
      <c r="BK1179" s="691">
        <f>SUM(BM1179:DH1179)</f>
        <v>0</v>
      </c>
      <c r="BL1179" s="654"/>
      <c r="BM1179" s="692">
        <f>SUMIFS(Imput[[Importe Neto]:[Importe Neto]],Imput[[C. Imp.]:[C. Imp.]],$D1179,Imput[[PERIODO Imp.]:[PERIODO Imp.]],BM$9)</f>
        <v>0</v>
      </c>
      <c r="BN1179" s="693">
        <f>SUMIFS(Imput[[Importe Neto]:[Importe Neto]],Imput[[C. Imp.]:[C. Imp.]],$D1179,Imput[[PERIODO Imp.]:[PERIODO Imp.]],BN$9)</f>
        <v>0</v>
      </c>
      <c r="BO1179" s="693">
        <f>SUMIFS(Imput[[Importe Neto]:[Importe Neto]],Imput[[C. Imp.]:[C. Imp.]],$D1179,Imput[[PERIODO Imp.]:[PERIODO Imp.]],BO$9)</f>
        <v>0</v>
      </c>
      <c r="BP1179" s="693">
        <f>SUMIFS(Imput[[Importe Neto]:[Importe Neto]],Imput[[C. Imp.]:[C. Imp.]],$D1179,Imput[[PERIODO Imp.]:[PERIODO Imp.]],BP$9)</f>
        <v>0</v>
      </c>
      <c r="BQ1179" s="693">
        <f>SUMIFS(Imput[[Importe Neto]:[Importe Neto]],Imput[[C. Imp.]:[C. Imp.]],$D1179,Imput[[PERIODO Imp.]:[PERIODO Imp.]],BQ$9)</f>
        <v>0</v>
      </c>
      <c r="BR1179" s="693">
        <f>SUMIFS(Imput[[Importe Neto]:[Importe Neto]],Imput[[C. Imp.]:[C. Imp.]],$D1179,Imput[[PERIODO Imp.]:[PERIODO Imp.]],BR$9)</f>
        <v>0</v>
      </c>
      <c r="BS1179" s="693">
        <f>SUMIFS(Imput[[Importe Neto]:[Importe Neto]],Imput[[C. Imp.]:[C. Imp.]],$D1179,Imput[[PERIODO Imp.]:[PERIODO Imp.]],BS$9)</f>
        <v>0</v>
      </c>
      <c r="BT1179" s="693">
        <f>SUMIFS(Imput[[Importe Neto]:[Importe Neto]],Imput[[C. Imp.]:[C. Imp.]],$D1179,Imput[[PERIODO Imp.]:[PERIODO Imp.]],BT$9)</f>
        <v>0</v>
      </c>
      <c r="BU1179" s="693">
        <f>SUMIFS(Imput[[Importe Neto]:[Importe Neto]],Imput[[C. Imp.]:[C. Imp.]],$D1179,Imput[[PERIODO Imp.]:[PERIODO Imp.]],BU$9)</f>
        <v>0</v>
      </c>
      <c r="BV1179" s="693">
        <f>SUMIFS(Imput[[Importe Neto]:[Importe Neto]],Imput[[C. Imp.]:[C. Imp.]],$D1179,Imput[[PERIODO Imp.]:[PERIODO Imp.]],BV$9)</f>
        <v>0</v>
      </c>
      <c r="BW1179" s="693">
        <f>SUMIFS(Imput[[Importe Neto]:[Importe Neto]],Imput[[C. Imp.]:[C. Imp.]],$D1179,Imput[[PERIODO Imp.]:[PERIODO Imp.]],BW$9)</f>
        <v>0</v>
      </c>
      <c r="BX1179" s="693">
        <f>SUMIFS(Imput[[Importe Neto]:[Importe Neto]],Imput[[C. Imp.]:[C. Imp.]],$D1179,Imput[[PERIODO Imp.]:[PERIODO Imp.]],BX$9)</f>
        <v>0</v>
      </c>
      <c r="BY1179" s="693">
        <f>SUMIFS(Imput[[Importe Neto]:[Importe Neto]],Imput[[C. Imp.]:[C. Imp.]],$D1179,Imput[[PERIODO Imp.]:[PERIODO Imp.]],BY$9)</f>
        <v>0</v>
      </c>
      <c r="BZ1179" s="693">
        <f>SUMIFS(Imput[[Importe Neto]:[Importe Neto]],Imput[[C. Imp.]:[C. Imp.]],$D1179,Imput[[PERIODO Imp.]:[PERIODO Imp.]],BZ$9)</f>
        <v>0</v>
      </c>
      <c r="CA1179" s="693">
        <f>SUMIFS(Imput[[Importe Neto]:[Importe Neto]],Imput[[C. Imp.]:[C. Imp.]],$D1179,Imput[[PERIODO Imp.]:[PERIODO Imp.]],CA$9)</f>
        <v>0</v>
      </c>
      <c r="CB1179" s="693">
        <f>SUMIFS(Imput[[Importe Neto]:[Importe Neto]],Imput[[C. Imp.]:[C. Imp.]],$D1179,Imput[[PERIODO Imp.]:[PERIODO Imp.]],CB$9)</f>
        <v>0</v>
      </c>
      <c r="CC1179" s="693">
        <f>SUMIFS(Imput[[Importe Neto]:[Importe Neto]],Imput[[C. Imp.]:[C. Imp.]],$D1179,Imput[[PERIODO Imp.]:[PERIODO Imp.]],CC$9)</f>
        <v>0</v>
      </c>
      <c r="CD1179" s="693">
        <f>SUMIFS(Imput[[Importe Neto]:[Importe Neto]],Imput[[C. Imp.]:[C. Imp.]],$D1179,Imput[[PERIODO Imp.]:[PERIODO Imp.]],CD$9)</f>
        <v>0</v>
      </c>
      <c r="CE1179" s="693">
        <f>SUMIFS(Imput[[Importe Neto]:[Importe Neto]],Imput[[C. Imp.]:[C. Imp.]],$D1179,Imput[[PERIODO Imp.]:[PERIODO Imp.]],CE$9)</f>
        <v>0</v>
      </c>
      <c r="CF1179" s="693">
        <f>SUMIFS(Imput[[Importe Neto]:[Importe Neto]],Imput[[C. Imp.]:[C. Imp.]],$D1179,Imput[[PERIODO Imp.]:[PERIODO Imp.]],CF$9)</f>
        <v>0</v>
      </c>
      <c r="CG1179" s="693">
        <f>SUMIFS(Imput[[Importe Neto]:[Importe Neto]],Imput[[C. Imp.]:[C. Imp.]],$D1179,Imput[[PERIODO Imp.]:[PERIODO Imp.]],CG$9)</f>
        <v>0</v>
      </c>
      <c r="CH1179" s="693">
        <f>SUMIFS(Imput[[Importe Neto]:[Importe Neto]],Imput[[C. Imp.]:[C. Imp.]],$D1179,Imput[[PERIODO Imp.]:[PERIODO Imp.]],CH$9)</f>
        <v>0</v>
      </c>
      <c r="CI1179" s="693">
        <f>SUMIFS(Imput[[Importe Neto]:[Importe Neto]],Imput[[C. Imp.]:[C. Imp.]],$D1179,Imput[[PERIODO Imp.]:[PERIODO Imp.]],CI$9)</f>
        <v>0</v>
      </c>
      <c r="CJ1179" s="693">
        <f>SUMIFS(Imput[[Importe Neto]:[Importe Neto]],Imput[[C. Imp.]:[C. Imp.]],$D1179,Imput[[PERIODO Imp.]:[PERIODO Imp.]],CJ$9)</f>
        <v>0</v>
      </c>
      <c r="CK1179" s="693">
        <f>SUMIFS(Imput[[Importe Neto]:[Importe Neto]],Imput[[C. Imp.]:[C. Imp.]],$D1179,Imput[[PERIODO Imp.]:[PERIODO Imp.]],CK$9)</f>
        <v>0</v>
      </c>
      <c r="CL1179" s="693">
        <f>SUMIFS(Imput[[Importe Neto]:[Importe Neto]],Imput[[C. Imp.]:[C. Imp.]],$D1179,Imput[[PERIODO Imp.]:[PERIODO Imp.]],CL$9)</f>
        <v>0</v>
      </c>
      <c r="CM1179" s="693">
        <f>SUMIFS(Imput[[Importe Neto]:[Importe Neto]],Imput[[C. Imp.]:[C. Imp.]],$D1179,Imput[[PERIODO Imp.]:[PERIODO Imp.]],CM$9)</f>
        <v>0</v>
      </c>
      <c r="CN1179" s="693">
        <f>SUMIFS(Imput[[Importe Neto]:[Importe Neto]],Imput[[C. Imp.]:[C. Imp.]],$D1179,Imput[[PERIODO Imp.]:[PERIODO Imp.]],CN$9)</f>
        <v>0</v>
      </c>
      <c r="CO1179" s="693">
        <f>SUMIFS(Imput[[Importe Neto]:[Importe Neto]],Imput[[C. Imp.]:[C. Imp.]],$D1179,Imput[[PERIODO Imp.]:[PERIODO Imp.]],CO$9)</f>
        <v>0</v>
      </c>
      <c r="CP1179" s="693">
        <f>SUMIFS(Imput[[Importe Neto]:[Importe Neto]],Imput[[C. Imp.]:[C. Imp.]],$D1179,Imput[[PERIODO Imp.]:[PERIODO Imp.]],CP$9)</f>
        <v>0</v>
      </c>
      <c r="CQ1179" s="693">
        <f>SUMIFS(Imput[[Importe Neto]:[Importe Neto]],Imput[[C. Imp.]:[C. Imp.]],$D1179,Imput[[PERIODO Imp.]:[PERIODO Imp.]],CQ$9)</f>
        <v>0</v>
      </c>
      <c r="CR1179" s="693">
        <f>SUMIFS(Imput[[Importe Neto]:[Importe Neto]],Imput[[C. Imp.]:[C. Imp.]],$D1179,Imput[[PERIODO Imp.]:[PERIODO Imp.]],CR$9)</f>
        <v>0</v>
      </c>
      <c r="CS1179" s="693">
        <f>SUMIFS(Imput[[Importe Neto]:[Importe Neto]],Imput[[C. Imp.]:[C. Imp.]],$D1179,Imput[[PERIODO Imp.]:[PERIODO Imp.]],CS$9)</f>
        <v>0</v>
      </c>
      <c r="CT1179" s="693">
        <f>SUMIFS(Imput[[Importe Neto]:[Importe Neto]],Imput[[C. Imp.]:[C. Imp.]],$D1179,Imput[[PERIODO Imp.]:[PERIODO Imp.]],CT$9)</f>
        <v>0</v>
      </c>
      <c r="CU1179" s="693">
        <f>SUMIFS(Imput[[Importe Neto]:[Importe Neto]],Imput[[C. Imp.]:[C. Imp.]],$D1179,Imput[[PERIODO Imp.]:[PERIODO Imp.]],CU$9)</f>
        <v>0</v>
      </c>
      <c r="CV1179" s="693">
        <f>SUMIFS(Imput[[Importe Neto]:[Importe Neto]],Imput[[C. Imp.]:[C. Imp.]],$D1179,Imput[[PERIODO Imp.]:[PERIODO Imp.]],CV$9)</f>
        <v>0</v>
      </c>
      <c r="CW1179" s="693">
        <f>SUMIFS(Imput[[Importe Neto]:[Importe Neto]],Imput[[C. Imp.]:[C. Imp.]],$D1179,Imput[[PERIODO Imp.]:[PERIODO Imp.]],CW$9)</f>
        <v>0</v>
      </c>
      <c r="CX1179" s="693">
        <f>SUMIFS(Imput[[Importe Neto]:[Importe Neto]],Imput[[C. Imp.]:[C. Imp.]],$D1179,Imput[[PERIODO Imp.]:[PERIODO Imp.]],CX$9)</f>
        <v>0</v>
      </c>
      <c r="CY1179" s="693">
        <f>SUMIFS(Imput[[Importe Neto]:[Importe Neto]],Imput[[C. Imp.]:[C. Imp.]],$D1179,Imput[[PERIODO Imp.]:[PERIODO Imp.]],CY$9)</f>
        <v>0</v>
      </c>
      <c r="CZ1179" s="693">
        <f>SUMIFS(Imput[[Importe Neto]:[Importe Neto]],Imput[[C. Imp.]:[C. Imp.]],$D1179,Imput[[PERIODO Imp.]:[PERIODO Imp.]],CZ$9)</f>
        <v>0</v>
      </c>
      <c r="DA1179" s="693">
        <f>SUMIFS(Imput[[Importe Neto]:[Importe Neto]],Imput[[C. Imp.]:[C. Imp.]],$D1179,Imput[[PERIODO Imp.]:[PERIODO Imp.]],DA$9)</f>
        <v>0</v>
      </c>
      <c r="DB1179" s="693">
        <f>SUMIFS(Imput[[Importe Neto]:[Importe Neto]],Imput[[C. Imp.]:[C. Imp.]],$D1179,Imput[[PERIODO Imp.]:[PERIODO Imp.]],DB$9)</f>
        <v>0</v>
      </c>
      <c r="DC1179" s="693">
        <f>SUMIFS(Imput[[Importe Neto]:[Importe Neto]],Imput[[C. Imp.]:[C. Imp.]],$D1179,Imput[[PERIODO Imp.]:[PERIODO Imp.]],DC$9)</f>
        <v>0</v>
      </c>
      <c r="DD1179" s="693">
        <f>SUMIFS(Imput[[Importe Neto]:[Importe Neto]],Imput[[C. Imp.]:[C. Imp.]],$D1179,Imput[[PERIODO Imp.]:[PERIODO Imp.]],DD$9)</f>
        <v>0</v>
      </c>
      <c r="DE1179" s="693">
        <f>SUMIFS(Imput[[Importe Neto]:[Importe Neto]],Imput[[C. Imp.]:[C. Imp.]],$D1179,Imput[[PERIODO Imp.]:[PERIODO Imp.]],DE$9)</f>
        <v>0</v>
      </c>
      <c r="DF1179" s="693">
        <f>SUMIFS(Imput[[Importe Neto]:[Importe Neto]],Imput[[C. Imp.]:[C. Imp.]],$D1179,Imput[[PERIODO Imp.]:[PERIODO Imp.]],DF$9)</f>
        <v>0</v>
      </c>
      <c r="DG1179" s="693">
        <f>SUMIFS(Imput[[Importe Neto]:[Importe Neto]],Imput[[C. Imp.]:[C. Imp.]],$D1179,Imput[[PERIODO Imp.]:[PERIODO Imp.]],DG$9)</f>
        <v>0</v>
      </c>
      <c r="DH1179" s="694">
        <f>SUMIFS(Imput[[Importe Neto]:[Importe Neto]],Imput[[C. Imp.]:[C. Imp.]],$D1179,Imput[[PERIODO Imp.]:[PERIODO Imp.]],DH$9)</f>
        <v>0</v>
      </c>
    </row>
    <row r="1180" spans="1:112" s="649" customFormat="1" ht="14.4" hidden="1" outlineLevel="1" thickBot="1" x14ac:dyDescent="0.35">
      <c r="A1180" s="652" t="str">
        <f>IF(J1173&gt;0,"Imprimir","")</f>
        <v/>
      </c>
      <c r="B1180" s="652"/>
      <c r="C1180" s="699"/>
      <c r="D1180" s="700"/>
      <c r="E1180" s="700"/>
      <c r="F1180" s="701"/>
      <c r="G1180" s="702"/>
      <c r="H1180" s="703"/>
      <c r="I1180" s="704"/>
      <c r="J1180" s="120"/>
      <c r="K1180" s="667"/>
      <c r="L1180" s="706"/>
      <c r="M1180" s="707"/>
      <c r="N1180" s="777"/>
      <c r="O1180" s="777"/>
      <c r="P1180" s="778"/>
      <c r="Q1180" s="778"/>
      <c r="R1180" s="708"/>
      <c r="S1180" s="708"/>
      <c r="T1180" s="779"/>
      <c r="U1180" s="779"/>
      <c r="V1180" s="778"/>
      <c r="W1180" s="778"/>
      <c r="X1180" s="708"/>
      <c r="Y1180" s="708"/>
      <c r="Z1180" s="708"/>
      <c r="AA1180" s="708"/>
      <c r="AB1180" s="708"/>
      <c r="AC1180" s="708"/>
      <c r="AD1180" s="708"/>
      <c r="AE1180" s="708"/>
      <c r="AF1180" s="708"/>
      <c r="AG1180" s="708"/>
      <c r="AH1180" s="708"/>
      <c r="AI1180" s="708"/>
      <c r="AJ1180" s="708"/>
      <c r="AK1180" s="708"/>
      <c r="AL1180" s="708"/>
      <c r="AM1180" s="708"/>
      <c r="AN1180" s="708"/>
      <c r="AO1180" s="708"/>
      <c r="AP1180" s="708"/>
      <c r="AQ1180" s="708"/>
      <c r="AR1180" s="708"/>
      <c r="AS1180" s="708"/>
      <c r="AT1180" s="708"/>
      <c r="AU1180" s="708"/>
      <c r="AV1180" s="708"/>
      <c r="AW1180" s="708"/>
      <c r="AX1180" s="708"/>
      <c r="AY1180" s="708"/>
      <c r="AZ1180" s="708"/>
      <c r="BA1180" s="708"/>
      <c r="BB1180" s="708"/>
      <c r="BC1180" s="708"/>
      <c r="BD1180" s="708"/>
      <c r="BE1180" s="708"/>
      <c r="BF1180" s="708"/>
      <c r="BG1180" s="708"/>
      <c r="BH1180" s="780"/>
      <c r="BI1180" s="654"/>
      <c r="BJ1180" s="709"/>
      <c r="BK1180" s="710"/>
      <c r="BL1180" s="654"/>
      <c r="BM1180" s="735"/>
      <c r="BN1180" s="796"/>
      <c r="BO1180" s="796"/>
      <c r="BP1180" s="796"/>
      <c r="BQ1180" s="796"/>
      <c r="BR1180" s="796"/>
      <c r="BS1180" s="796"/>
      <c r="BT1180" s="796"/>
      <c r="BU1180" s="796"/>
      <c r="BV1180" s="796"/>
      <c r="BW1180" s="796"/>
      <c r="BX1180" s="796"/>
      <c r="BY1180" s="796"/>
      <c r="BZ1180" s="796"/>
      <c r="CA1180" s="796"/>
      <c r="CB1180" s="796"/>
      <c r="CC1180" s="796"/>
      <c r="CD1180" s="796"/>
      <c r="CE1180" s="796"/>
      <c r="CF1180" s="796"/>
      <c r="CG1180" s="796"/>
      <c r="CH1180" s="796"/>
      <c r="CI1180" s="796"/>
      <c r="CJ1180" s="796"/>
      <c r="CK1180" s="796"/>
      <c r="CL1180" s="796"/>
      <c r="CM1180" s="796"/>
      <c r="CN1180" s="796"/>
      <c r="CO1180" s="796"/>
      <c r="CP1180" s="796"/>
      <c r="CQ1180" s="796"/>
      <c r="CR1180" s="796"/>
      <c r="CS1180" s="796"/>
      <c r="CT1180" s="796"/>
      <c r="CU1180" s="796"/>
      <c r="CV1180" s="796"/>
      <c r="CW1180" s="796"/>
      <c r="CX1180" s="796"/>
      <c r="CY1180" s="796"/>
      <c r="CZ1180" s="796"/>
      <c r="DA1180" s="796"/>
      <c r="DB1180" s="796"/>
      <c r="DC1180" s="796"/>
      <c r="DD1180" s="796"/>
      <c r="DE1180" s="796"/>
      <c r="DF1180" s="796"/>
      <c r="DG1180" s="796"/>
      <c r="DH1180" s="736"/>
    </row>
    <row r="1181" spans="1:112" s="649" customFormat="1" hidden="1" collapsed="1" x14ac:dyDescent="0.3">
      <c r="A1181" s="652" t="str">
        <f>IF(J1181&gt;0,"Imprimir","")</f>
        <v/>
      </c>
      <c r="B1181" s="652"/>
      <c r="C1181" s="711"/>
      <c r="D1181" s="712" t="s">
        <v>456</v>
      </c>
      <c r="E1181" s="712" t="s">
        <v>512</v>
      </c>
      <c r="F1181" s="712"/>
      <c r="G1181" s="713"/>
      <c r="H1181" s="712"/>
      <c r="I1181" s="714"/>
      <c r="J1181" s="715">
        <f>SUBTOTAL(9,J1184:J1186)</f>
        <v>0</v>
      </c>
      <c r="K1181" s="658"/>
      <c r="L1181" s="770">
        <f t="shared" ref="L1181:BG1181" si="391">SUMPRODUCT($J1184:$J1186,L1184:L1186)</f>
        <v>0</v>
      </c>
      <c r="M1181" s="771">
        <f t="shared" si="391"/>
        <v>0</v>
      </c>
      <c r="N1181" s="771">
        <f t="shared" si="391"/>
        <v>0</v>
      </c>
      <c r="O1181" s="771">
        <f t="shared" si="391"/>
        <v>0</v>
      </c>
      <c r="P1181" s="771">
        <f t="shared" si="391"/>
        <v>0</v>
      </c>
      <c r="Q1181" s="771">
        <f t="shared" si="391"/>
        <v>0</v>
      </c>
      <c r="R1181" s="771">
        <f t="shared" si="391"/>
        <v>0</v>
      </c>
      <c r="S1181" s="771">
        <f t="shared" si="391"/>
        <v>0</v>
      </c>
      <c r="T1181" s="771">
        <f t="shared" si="391"/>
        <v>0</v>
      </c>
      <c r="U1181" s="771">
        <f t="shared" si="391"/>
        <v>0</v>
      </c>
      <c r="V1181" s="771">
        <f t="shared" si="391"/>
        <v>0</v>
      </c>
      <c r="W1181" s="771">
        <f t="shared" si="391"/>
        <v>0</v>
      </c>
      <c r="X1181" s="771">
        <f t="shared" si="391"/>
        <v>0</v>
      </c>
      <c r="Y1181" s="771">
        <f t="shared" si="391"/>
        <v>0</v>
      </c>
      <c r="Z1181" s="771">
        <f t="shared" si="391"/>
        <v>0</v>
      </c>
      <c r="AA1181" s="771">
        <f t="shared" si="391"/>
        <v>0</v>
      </c>
      <c r="AB1181" s="771">
        <f t="shared" si="391"/>
        <v>0</v>
      </c>
      <c r="AC1181" s="771">
        <f t="shared" si="391"/>
        <v>0</v>
      </c>
      <c r="AD1181" s="771">
        <f t="shared" si="391"/>
        <v>0</v>
      </c>
      <c r="AE1181" s="771">
        <f t="shared" si="391"/>
        <v>0</v>
      </c>
      <c r="AF1181" s="771">
        <f t="shared" si="391"/>
        <v>0</v>
      </c>
      <c r="AG1181" s="771">
        <f t="shared" si="391"/>
        <v>0</v>
      </c>
      <c r="AH1181" s="771">
        <f t="shared" si="391"/>
        <v>0</v>
      </c>
      <c r="AI1181" s="771">
        <f t="shared" si="391"/>
        <v>0</v>
      </c>
      <c r="AJ1181" s="771">
        <f t="shared" si="391"/>
        <v>0</v>
      </c>
      <c r="AK1181" s="771">
        <f t="shared" si="391"/>
        <v>0</v>
      </c>
      <c r="AL1181" s="771">
        <f t="shared" si="391"/>
        <v>0</v>
      </c>
      <c r="AM1181" s="771">
        <f t="shared" si="391"/>
        <v>0</v>
      </c>
      <c r="AN1181" s="771">
        <f t="shared" si="391"/>
        <v>0</v>
      </c>
      <c r="AO1181" s="771">
        <f t="shared" si="391"/>
        <v>0</v>
      </c>
      <c r="AP1181" s="771">
        <f t="shared" si="391"/>
        <v>0</v>
      </c>
      <c r="AQ1181" s="771">
        <f t="shared" si="391"/>
        <v>0</v>
      </c>
      <c r="AR1181" s="771">
        <f t="shared" si="391"/>
        <v>0</v>
      </c>
      <c r="AS1181" s="771">
        <f t="shared" si="391"/>
        <v>0</v>
      </c>
      <c r="AT1181" s="771">
        <f t="shared" si="391"/>
        <v>0</v>
      </c>
      <c r="AU1181" s="771">
        <f t="shared" si="391"/>
        <v>0</v>
      </c>
      <c r="AV1181" s="771">
        <f t="shared" si="391"/>
        <v>0</v>
      </c>
      <c r="AW1181" s="771">
        <f t="shared" si="391"/>
        <v>0</v>
      </c>
      <c r="AX1181" s="771">
        <f t="shared" si="391"/>
        <v>0</v>
      </c>
      <c r="AY1181" s="771">
        <f t="shared" si="391"/>
        <v>0</v>
      </c>
      <c r="AZ1181" s="771">
        <f t="shared" si="391"/>
        <v>0</v>
      </c>
      <c r="BA1181" s="771">
        <f t="shared" si="391"/>
        <v>0</v>
      </c>
      <c r="BB1181" s="771">
        <f t="shared" si="391"/>
        <v>0</v>
      </c>
      <c r="BC1181" s="771">
        <f t="shared" si="391"/>
        <v>0</v>
      </c>
      <c r="BD1181" s="771">
        <f t="shared" si="391"/>
        <v>0</v>
      </c>
      <c r="BE1181" s="771">
        <f t="shared" si="391"/>
        <v>0</v>
      </c>
      <c r="BF1181" s="771">
        <f t="shared" si="391"/>
        <v>0</v>
      </c>
      <c r="BG1181" s="764">
        <f t="shared" si="391"/>
        <v>0</v>
      </c>
      <c r="BH1181" s="776"/>
      <c r="BI1181" s="654"/>
      <c r="BJ1181" s="659">
        <f>IFERROR(BK1181/J1181,0)</f>
        <v>0</v>
      </c>
      <c r="BK1181" s="660">
        <f>SUBTOTAL(9,BK1182:BK1186)</f>
        <v>0</v>
      </c>
      <c r="BL1181" s="654"/>
      <c r="BM1181" s="661">
        <f t="shared" ref="BM1181:DH1181" si="392">SUBTOTAL(9,BM1182:BM1186)</f>
        <v>0</v>
      </c>
      <c r="BN1181" s="662">
        <f t="shared" si="392"/>
        <v>0</v>
      </c>
      <c r="BO1181" s="662">
        <f t="shared" si="392"/>
        <v>0</v>
      </c>
      <c r="BP1181" s="662">
        <f t="shared" si="392"/>
        <v>0</v>
      </c>
      <c r="BQ1181" s="662">
        <f t="shared" si="392"/>
        <v>0</v>
      </c>
      <c r="BR1181" s="662">
        <f t="shared" si="392"/>
        <v>0</v>
      </c>
      <c r="BS1181" s="662">
        <f t="shared" si="392"/>
        <v>0</v>
      </c>
      <c r="BT1181" s="662">
        <f t="shared" si="392"/>
        <v>0</v>
      </c>
      <c r="BU1181" s="662">
        <f t="shared" si="392"/>
        <v>0</v>
      </c>
      <c r="BV1181" s="662">
        <f t="shared" si="392"/>
        <v>0</v>
      </c>
      <c r="BW1181" s="662">
        <f t="shared" si="392"/>
        <v>0</v>
      </c>
      <c r="BX1181" s="662">
        <f t="shared" si="392"/>
        <v>0</v>
      </c>
      <c r="BY1181" s="662">
        <f t="shared" si="392"/>
        <v>0</v>
      </c>
      <c r="BZ1181" s="662">
        <f t="shared" si="392"/>
        <v>0</v>
      </c>
      <c r="CA1181" s="662">
        <f t="shared" si="392"/>
        <v>0</v>
      </c>
      <c r="CB1181" s="662">
        <f t="shared" si="392"/>
        <v>0</v>
      </c>
      <c r="CC1181" s="662">
        <f t="shared" si="392"/>
        <v>0</v>
      </c>
      <c r="CD1181" s="662">
        <f t="shared" si="392"/>
        <v>0</v>
      </c>
      <c r="CE1181" s="662">
        <f t="shared" si="392"/>
        <v>0</v>
      </c>
      <c r="CF1181" s="662">
        <f t="shared" si="392"/>
        <v>0</v>
      </c>
      <c r="CG1181" s="662">
        <f t="shared" si="392"/>
        <v>0</v>
      </c>
      <c r="CH1181" s="662">
        <f t="shared" si="392"/>
        <v>0</v>
      </c>
      <c r="CI1181" s="662">
        <f t="shared" si="392"/>
        <v>0</v>
      </c>
      <c r="CJ1181" s="662">
        <f t="shared" si="392"/>
        <v>0</v>
      </c>
      <c r="CK1181" s="662">
        <f t="shared" si="392"/>
        <v>0</v>
      </c>
      <c r="CL1181" s="662">
        <f t="shared" si="392"/>
        <v>0</v>
      </c>
      <c r="CM1181" s="662">
        <f t="shared" si="392"/>
        <v>0</v>
      </c>
      <c r="CN1181" s="662">
        <f t="shared" si="392"/>
        <v>0</v>
      </c>
      <c r="CO1181" s="662">
        <f t="shared" si="392"/>
        <v>0</v>
      </c>
      <c r="CP1181" s="662">
        <f t="shared" si="392"/>
        <v>0</v>
      </c>
      <c r="CQ1181" s="662">
        <f t="shared" si="392"/>
        <v>0</v>
      </c>
      <c r="CR1181" s="662">
        <f t="shared" si="392"/>
        <v>0</v>
      </c>
      <c r="CS1181" s="662">
        <f t="shared" si="392"/>
        <v>0</v>
      </c>
      <c r="CT1181" s="662">
        <f t="shared" si="392"/>
        <v>0</v>
      </c>
      <c r="CU1181" s="662">
        <f t="shared" si="392"/>
        <v>0</v>
      </c>
      <c r="CV1181" s="662">
        <f t="shared" si="392"/>
        <v>0</v>
      </c>
      <c r="CW1181" s="662">
        <f t="shared" si="392"/>
        <v>0</v>
      </c>
      <c r="CX1181" s="662">
        <f t="shared" si="392"/>
        <v>0</v>
      </c>
      <c r="CY1181" s="662">
        <f t="shared" si="392"/>
        <v>0</v>
      </c>
      <c r="CZ1181" s="662">
        <f t="shared" si="392"/>
        <v>0</v>
      </c>
      <c r="DA1181" s="662">
        <f t="shared" si="392"/>
        <v>0</v>
      </c>
      <c r="DB1181" s="662">
        <f t="shared" si="392"/>
        <v>0</v>
      </c>
      <c r="DC1181" s="662">
        <f t="shared" si="392"/>
        <v>0</v>
      </c>
      <c r="DD1181" s="662">
        <f t="shared" si="392"/>
        <v>0</v>
      </c>
      <c r="DE1181" s="662">
        <f t="shared" si="392"/>
        <v>0</v>
      </c>
      <c r="DF1181" s="662">
        <f t="shared" si="392"/>
        <v>0</v>
      </c>
      <c r="DG1181" s="662">
        <f t="shared" si="392"/>
        <v>0</v>
      </c>
      <c r="DH1181" s="663">
        <f t="shared" si="392"/>
        <v>0</v>
      </c>
    </row>
    <row r="1182" spans="1:112" s="649" customFormat="1" hidden="1" outlineLevel="1" x14ac:dyDescent="0.3">
      <c r="A1182" s="652" t="str">
        <f>IF(J1181&gt;0,"Imprimir","")</f>
        <v/>
      </c>
      <c r="B1182" s="652"/>
      <c r="C1182" s="664"/>
      <c r="D1182" s="665"/>
      <c r="E1182" s="665"/>
      <c r="F1182" s="665" t="s">
        <v>472</v>
      </c>
      <c r="G1182" s="716" t="s">
        <v>2128</v>
      </c>
      <c r="H1182" s="665" t="s">
        <v>98</v>
      </c>
      <c r="I1182" s="665" t="s">
        <v>474</v>
      </c>
      <c r="J1182" s="666" t="s">
        <v>29</v>
      </c>
      <c r="K1182" s="667"/>
      <c r="L1182" s="745"/>
      <c r="M1182" s="741"/>
      <c r="N1182" s="741"/>
      <c r="O1182" s="741"/>
      <c r="P1182" s="741"/>
      <c r="Q1182" s="741"/>
      <c r="R1182" s="741"/>
      <c r="S1182" s="741"/>
      <c r="T1182" s="741"/>
      <c r="U1182" s="741"/>
      <c r="V1182" s="741"/>
      <c r="W1182" s="741"/>
      <c r="X1182" s="741"/>
      <c r="Y1182" s="741"/>
      <c r="Z1182" s="741"/>
      <c r="AA1182" s="741"/>
      <c r="AB1182" s="741"/>
      <c r="AC1182" s="741"/>
      <c r="AD1182" s="741"/>
      <c r="AE1182" s="741"/>
      <c r="AF1182" s="741"/>
      <c r="AG1182" s="741"/>
      <c r="AH1182" s="741"/>
      <c r="AI1182" s="741"/>
      <c r="AJ1182" s="741"/>
      <c r="AK1182" s="741"/>
      <c r="AL1182" s="741"/>
      <c r="AM1182" s="741"/>
      <c r="AN1182" s="741"/>
      <c r="AO1182" s="741"/>
      <c r="AP1182" s="741"/>
      <c r="AQ1182" s="741"/>
      <c r="AR1182" s="741"/>
      <c r="AS1182" s="741"/>
      <c r="AT1182" s="741"/>
      <c r="AU1182" s="741"/>
      <c r="AV1182" s="741"/>
      <c r="AW1182" s="741"/>
      <c r="AX1182" s="741"/>
      <c r="AY1182" s="741"/>
      <c r="AZ1182" s="741"/>
      <c r="BA1182" s="741"/>
      <c r="BB1182" s="741"/>
      <c r="BC1182" s="741"/>
      <c r="BD1182" s="741"/>
      <c r="BE1182" s="741"/>
      <c r="BF1182" s="741"/>
      <c r="BG1182" s="741"/>
      <c r="BH1182" s="668"/>
      <c r="BI1182" s="654"/>
      <c r="BJ1182" s="669"/>
      <c r="BK1182" s="670"/>
      <c r="BL1182" s="654"/>
      <c r="BM1182" s="671"/>
      <c r="BN1182" s="665"/>
      <c r="BO1182" s="665"/>
      <c r="BP1182" s="665"/>
      <c r="BQ1182" s="665"/>
      <c r="BR1182" s="665"/>
      <c r="BS1182" s="665"/>
      <c r="BT1182" s="665"/>
      <c r="BU1182" s="665"/>
      <c r="BV1182" s="665"/>
      <c r="BW1182" s="665"/>
      <c r="BX1182" s="665"/>
      <c r="BY1182" s="665"/>
      <c r="BZ1182" s="665"/>
      <c r="CA1182" s="665"/>
      <c r="CB1182" s="665"/>
      <c r="CC1182" s="665"/>
      <c r="CD1182" s="665"/>
      <c r="CE1182" s="665"/>
      <c r="CF1182" s="665"/>
      <c r="CG1182" s="665"/>
      <c r="CH1182" s="665"/>
      <c r="CI1182" s="665"/>
      <c r="CJ1182" s="665"/>
      <c r="CK1182" s="665"/>
      <c r="CL1182" s="665"/>
      <c r="CM1182" s="665"/>
      <c r="CN1182" s="665"/>
      <c r="CO1182" s="665"/>
      <c r="CP1182" s="665"/>
      <c r="CQ1182" s="665"/>
      <c r="CR1182" s="665"/>
      <c r="CS1182" s="665"/>
      <c r="CT1182" s="665"/>
      <c r="CU1182" s="665"/>
      <c r="CV1182" s="665"/>
      <c r="CW1182" s="665"/>
      <c r="CX1182" s="665"/>
      <c r="CY1182" s="665"/>
      <c r="CZ1182" s="665"/>
      <c r="DA1182" s="665"/>
      <c r="DB1182" s="665"/>
      <c r="DC1182" s="665"/>
      <c r="DD1182" s="665"/>
      <c r="DE1182" s="665"/>
      <c r="DF1182" s="665"/>
      <c r="DG1182" s="665"/>
      <c r="DH1182" s="666"/>
    </row>
    <row r="1183" spans="1:112" s="649" customFormat="1" ht="15.6" hidden="1" outlineLevel="1" x14ac:dyDescent="0.3">
      <c r="A1183" s="652" t="str">
        <f>IF(J1183&gt;0,"Imprimir","")</f>
        <v/>
      </c>
      <c r="B1183" s="652"/>
      <c r="C1183" s="672"/>
      <c r="D1183" s="673"/>
      <c r="E1183" s="674"/>
      <c r="F1183" s="675"/>
      <c r="G1183" s="726"/>
      <c r="H1183" s="676"/>
      <c r="I1183" s="677"/>
      <c r="J1183" s="219">
        <f>SUBTOTAL(9,J1184:J1186)</f>
        <v>0</v>
      </c>
      <c r="K1183" s="678"/>
      <c r="L1183" s="747"/>
      <c r="M1183" s="742"/>
      <c r="N1183" s="742"/>
      <c r="O1183" s="742"/>
      <c r="P1183" s="742"/>
      <c r="Q1183" s="742"/>
      <c r="R1183" s="742"/>
      <c r="S1183" s="742"/>
      <c r="T1183" s="742"/>
      <c r="U1183" s="742"/>
      <c r="V1183" s="742"/>
      <c r="W1183" s="742"/>
      <c r="X1183" s="742"/>
      <c r="Y1183" s="742"/>
      <c r="Z1183" s="742"/>
      <c r="AA1183" s="742"/>
      <c r="AB1183" s="742"/>
      <c r="AC1183" s="742"/>
      <c r="AD1183" s="742"/>
      <c r="AE1183" s="742"/>
      <c r="AF1183" s="742"/>
      <c r="AG1183" s="742"/>
      <c r="AH1183" s="742"/>
      <c r="AI1183" s="742"/>
      <c r="AJ1183" s="742"/>
      <c r="AK1183" s="742"/>
      <c r="AL1183" s="742"/>
      <c r="AM1183" s="742"/>
      <c r="AN1183" s="742"/>
      <c r="AO1183" s="742"/>
      <c r="AP1183" s="742"/>
      <c r="AQ1183" s="742"/>
      <c r="AR1183" s="742"/>
      <c r="AS1183" s="742"/>
      <c r="AT1183" s="742"/>
      <c r="AU1183" s="742"/>
      <c r="AV1183" s="742"/>
      <c r="AW1183" s="742"/>
      <c r="AX1183" s="742"/>
      <c r="AY1183" s="742"/>
      <c r="AZ1183" s="742"/>
      <c r="BA1183" s="742"/>
      <c r="BB1183" s="742"/>
      <c r="BC1183" s="742"/>
      <c r="BD1183" s="742"/>
      <c r="BE1183" s="742"/>
      <c r="BF1183" s="742"/>
      <c r="BG1183" s="742"/>
      <c r="BH1183" s="668"/>
      <c r="BI1183" s="654"/>
      <c r="BJ1183" s="729"/>
      <c r="BK1183" s="681"/>
      <c r="BL1183" s="654"/>
      <c r="BM1183" s="682"/>
      <c r="BN1183" s="683"/>
      <c r="BO1183" s="683"/>
      <c r="BP1183" s="683"/>
      <c r="BQ1183" s="683"/>
      <c r="BR1183" s="683"/>
      <c r="BS1183" s="683"/>
      <c r="BT1183" s="683"/>
      <c r="BU1183" s="683"/>
      <c r="BV1183" s="683"/>
      <c r="BW1183" s="683"/>
      <c r="BX1183" s="683"/>
      <c r="BY1183" s="683"/>
      <c r="BZ1183" s="683"/>
      <c r="CA1183" s="683"/>
      <c r="CB1183" s="683"/>
      <c r="CC1183" s="683"/>
      <c r="CD1183" s="683"/>
      <c r="CE1183" s="683"/>
      <c r="CF1183" s="683"/>
      <c r="CG1183" s="683"/>
      <c r="CH1183" s="683"/>
      <c r="CI1183" s="683"/>
      <c r="CJ1183" s="683"/>
      <c r="CK1183" s="683"/>
      <c r="CL1183" s="683"/>
      <c r="CM1183" s="683"/>
      <c r="CN1183" s="683"/>
      <c r="CO1183" s="683"/>
      <c r="CP1183" s="683"/>
      <c r="CQ1183" s="683"/>
      <c r="CR1183" s="683"/>
      <c r="CS1183" s="683"/>
      <c r="CT1183" s="683"/>
      <c r="CU1183" s="683"/>
      <c r="CV1183" s="683"/>
      <c r="CW1183" s="683"/>
      <c r="CX1183" s="683"/>
      <c r="CY1183" s="683"/>
      <c r="CZ1183" s="683"/>
      <c r="DA1183" s="683"/>
      <c r="DB1183" s="683"/>
      <c r="DC1183" s="683"/>
      <c r="DD1183" s="683"/>
      <c r="DE1183" s="683"/>
      <c r="DF1183" s="683"/>
      <c r="DG1183" s="683"/>
      <c r="DH1183" s="684"/>
    </row>
    <row r="1184" spans="1:112" s="649" customFormat="1" hidden="1" outlineLevel="1" x14ac:dyDescent="0.3">
      <c r="A1184" s="652" t="str">
        <f t="shared" ref="A1184:A1185" si="393">IF(J1184="","",IF(J1184=0,"","Imprimir"))</f>
        <v/>
      </c>
      <c r="B1184" s="652"/>
      <c r="C1184" s="685"/>
      <c r="D1184" s="686"/>
      <c r="E1184" s="686" t="s">
        <v>513</v>
      </c>
      <c r="F1184" s="720"/>
      <c r="G1184" s="529">
        <f>SUM(J958,J972,J1014,J1067,J1120,J1133,J1156,J1173)</f>
        <v>130571.42857142857</v>
      </c>
      <c r="H1184" s="846"/>
      <c r="I1184" s="851">
        <v>1</v>
      </c>
      <c r="J1184" s="517">
        <f>G1184*H1184*I1184</f>
        <v>0</v>
      </c>
      <c r="K1184" s="667"/>
      <c r="L1184" s="858">
        <v>0.7</v>
      </c>
      <c r="M1184" s="859"/>
      <c r="N1184" s="859"/>
      <c r="O1184" s="859"/>
      <c r="P1184" s="859"/>
      <c r="Q1184" s="859"/>
      <c r="R1184" s="859"/>
      <c r="S1184" s="859"/>
      <c r="T1184" s="859"/>
      <c r="U1184" s="859"/>
      <c r="V1184" s="859"/>
      <c r="W1184" s="859"/>
      <c r="X1184" s="859"/>
      <c r="Y1184" s="859"/>
      <c r="Z1184" s="860">
        <v>0.3</v>
      </c>
      <c r="AA1184" s="860"/>
      <c r="AB1184" s="860"/>
      <c r="AC1184" s="860"/>
      <c r="AD1184" s="860"/>
      <c r="AE1184" s="860"/>
      <c r="AF1184" s="860"/>
      <c r="AG1184" s="860"/>
      <c r="AH1184" s="860"/>
      <c r="AI1184" s="860"/>
      <c r="AJ1184" s="860"/>
      <c r="AK1184" s="860"/>
      <c r="AL1184" s="860"/>
      <c r="AM1184" s="860"/>
      <c r="AN1184" s="860"/>
      <c r="AO1184" s="860"/>
      <c r="AP1184" s="860"/>
      <c r="AQ1184" s="860"/>
      <c r="AR1184" s="860"/>
      <c r="AS1184" s="860"/>
      <c r="AT1184" s="860"/>
      <c r="AU1184" s="860"/>
      <c r="AV1184" s="860"/>
      <c r="AW1184" s="860"/>
      <c r="AX1184" s="860"/>
      <c r="AY1184" s="860"/>
      <c r="AZ1184" s="860"/>
      <c r="BA1184" s="860"/>
      <c r="BB1184" s="860"/>
      <c r="BC1184" s="860"/>
      <c r="BD1184" s="860"/>
      <c r="BE1184" s="860"/>
      <c r="BF1184" s="860"/>
      <c r="BG1184" s="860"/>
      <c r="BH1184" s="668"/>
      <c r="BI1184" s="654"/>
      <c r="BJ1184" s="690">
        <f>IFERROR(BK1184/J1184,0)</f>
        <v>0</v>
      </c>
      <c r="BK1184" s="691">
        <f>SUM(BM1184:DH1184)</f>
        <v>0</v>
      </c>
      <c r="BL1184" s="654"/>
      <c r="BM1184" s="692">
        <f>SUMIFS(Imput[[Importe Neto]:[Importe Neto]],Imput[[C. Imp.]:[C. Imp.]],$D1184,Imput[[PERIODO Imp.]:[PERIODO Imp.]],BM$9)</f>
        <v>0</v>
      </c>
      <c r="BN1184" s="693">
        <f>SUMIFS(Imput[[Importe Neto]:[Importe Neto]],Imput[[C. Imp.]:[C. Imp.]],$D1184,Imput[[PERIODO Imp.]:[PERIODO Imp.]],BN$9)</f>
        <v>0</v>
      </c>
      <c r="BO1184" s="693">
        <f>SUMIFS(Imput[[Importe Neto]:[Importe Neto]],Imput[[C. Imp.]:[C. Imp.]],$D1184,Imput[[PERIODO Imp.]:[PERIODO Imp.]],BO$9)</f>
        <v>0</v>
      </c>
      <c r="BP1184" s="693">
        <f>SUMIFS(Imput[[Importe Neto]:[Importe Neto]],Imput[[C. Imp.]:[C. Imp.]],$D1184,Imput[[PERIODO Imp.]:[PERIODO Imp.]],BP$9)</f>
        <v>0</v>
      </c>
      <c r="BQ1184" s="693">
        <f>SUMIFS(Imput[[Importe Neto]:[Importe Neto]],Imput[[C. Imp.]:[C. Imp.]],$D1184,Imput[[PERIODO Imp.]:[PERIODO Imp.]],BQ$9)</f>
        <v>0</v>
      </c>
      <c r="BR1184" s="693">
        <f>SUMIFS(Imput[[Importe Neto]:[Importe Neto]],Imput[[C. Imp.]:[C. Imp.]],$D1184,Imput[[PERIODO Imp.]:[PERIODO Imp.]],BR$9)</f>
        <v>0</v>
      </c>
      <c r="BS1184" s="693">
        <f>SUMIFS(Imput[[Importe Neto]:[Importe Neto]],Imput[[C. Imp.]:[C. Imp.]],$D1184,Imput[[PERIODO Imp.]:[PERIODO Imp.]],BS$9)</f>
        <v>0</v>
      </c>
      <c r="BT1184" s="693">
        <f>SUMIFS(Imput[[Importe Neto]:[Importe Neto]],Imput[[C. Imp.]:[C. Imp.]],$D1184,Imput[[PERIODO Imp.]:[PERIODO Imp.]],BT$9)</f>
        <v>0</v>
      </c>
      <c r="BU1184" s="693">
        <f>SUMIFS(Imput[[Importe Neto]:[Importe Neto]],Imput[[C. Imp.]:[C. Imp.]],$D1184,Imput[[PERIODO Imp.]:[PERIODO Imp.]],BU$9)</f>
        <v>0</v>
      </c>
      <c r="BV1184" s="693">
        <f>SUMIFS(Imput[[Importe Neto]:[Importe Neto]],Imput[[C. Imp.]:[C. Imp.]],$D1184,Imput[[PERIODO Imp.]:[PERIODO Imp.]],BV$9)</f>
        <v>0</v>
      </c>
      <c r="BW1184" s="693">
        <f>SUMIFS(Imput[[Importe Neto]:[Importe Neto]],Imput[[C. Imp.]:[C. Imp.]],$D1184,Imput[[PERIODO Imp.]:[PERIODO Imp.]],BW$9)</f>
        <v>0</v>
      </c>
      <c r="BX1184" s="693">
        <f>SUMIFS(Imput[[Importe Neto]:[Importe Neto]],Imput[[C. Imp.]:[C. Imp.]],$D1184,Imput[[PERIODO Imp.]:[PERIODO Imp.]],BX$9)</f>
        <v>0</v>
      </c>
      <c r="BY1184" s="693">
        <f>SUMIFS(Imput[[Importe Neto]:[Importe Neto]],Imput[[C. Imp.]:[C. Imp.]],$D1184,Imput[[PERIODO Imp.]:[PERIODO Imp.]],BY$9)</f>
        <v>0</v>
      </c>
      <c r="BZ1184" s="693">
        <f>SUMIFS(Imput[[Importe Neto]:[Importe Neto]],Imput[[C. Imp.]:[C. Imp.]],$D1184,Imput[[PERIODO Imp.]:[PERIODO Imp.]],BZ$9)</f>
        <v>0</v>
      </c>
      <c r="CA1184" s="693">
        <f>SUMIFS(Imput[[Importe Neto]:[Importe Neto]],Imput[[C. Imp.]:[C. Imp.]],$D1184,Imput[[PERIODO Imp.]:[PERIODO Imp.]],CA$9)</f>
        <v>0</v>
      </c>
      <c r="CB1184" s="693">
        <f>SUMIFS(Imput[[Importe Neto]:[Importe Neto]],Imput[[C. Imp.]:[C. Imp.]],$D1184,Imput[[PERIODO Imp.]:[PERIODO Imp.]],CB$9)</f>
        <v>0</v>
      </c>
      <c r="CC1184" s="693">
        <f>SUMIFS(Imput[[Importe Neto]:[Importe Neto]],Imput[[C. Imp.]:[C. Imp.]],$D1184,Imput[[PERIODO Imp.]:[PERIODO Imp.]],CC$9)</f>
        <v>0</v>
      </c>
      <c r="CD1184" s="693">
        <f>SUMIFS(Imput[[Importe Neto]:[Importe Neto]],Imput[[C. Imp.]:[C. Imp.]],$D1184,Imput[[PERIODO Imp.]:[PERIODO Imp.]],CD$9)</f>
        <v>0</v>
      </c>
      <c r="CE1184" s="693">
        <f>SUMIFS(Imput[[Importe Neto]:[Importe Neto]],Imput[[C. Imp.]:[C. Imp.]],$D1184,Imput[[PERIODO Imp.]:[PERIODO Imp.]],CE$9)</f>
        <v>0</v>
      </c>
      <c r="CF1184" s="693">
        <f>SUMIFS(Imput[[Importe Neto]:[Importe Neto]],Imput[[C. Imp.]:[C. Imp.]],$D1184,Imput[[PERIODO Imp.]:[PERIODO Imp.]],CF$9)</f>
        <v>0</v>
      </c>
      <c r="CG1184" s="693">
        <f>SUMIFS(Imput[[Importe Neto]:[Importe Neto]],Imput[[C. Imp.]:[C. Imp.]],$D1184,Imput[[PERIODO Imp.]:[PERIODO Imp.]],CG$9)</f>
        <v>0</v>
      </c>
      <c r="CH1184" s="693">
        <f>SUMIFS(Imput[[Importe Neto]:[Importe Neto]],Imput[[C. Imp.]:[C. Imp.]],$D1184,Imput[[PERIODO Imp.]:[PERIODO Imp.]],CH$9)</f>
        <v>0</v>
      </c>
      <c r="CI1184" s="693">
        <f>SUMIFS(Imput[[Importe Neto]:[Importe Neto]],Imput[[C. Imp.]:[C. Imp.]],$D1184,Imput[[PERIODO Imp.]:[PERIODO Imp.]],CI$9)</f>
        <v>0</v>
      </c>
      <c r="CJ1184" s="693">
        <f>SUMIFS(Imput[[Importe Neto]:[Importe Neto]],Imput[[C. Imp.]:[C. Imp.]],$D1184,Imput[[PERIODO Imp.]:[PERIODO Imp.]],CJ$9)</f>
        <v>0</v>
      </c>
      <c r="CK1184" s="693">
        <f>SUMIFS(Imput[[Importe Neto]:[Importe Neto]],Imput[[C. Imp.]:[C. Imp.]],$D1184,Imput[[PERIODO Imp.]:[PERIODO Imp.]],CK$9)</f>
        <v>0</v>
      </c>
      <c r="CL1184" s="693">
        <f>SUMIFS(Imput[[Importe Neto]:[Importe Neto]],Imput[[C. Imp.]:[C. Imp.]],$D1184,Imput[[PERIODO Imp.]:[PERIODO Imp.]],CL$9)</f>
        <v>0</v>
      </c>
      <c r="CM1184" s="693">
        <f>SUMIFS(Imput[[Importe Neto]:[Importe Neto]],Imput[[C. Imp.]:[C. Imp.]],$D1184,Imput[[PERIODO Imp.]:[PERIODO Imp.]],CM$9)</f>
        <v>0</v>
      </c>
      <c r="CN1184" s="693">
        <f>SUMIFS(Imput[[Importe Neto]:[Importe Neto]],Imput[[C. Imp.]:[C. Imp.]],$D1184,Imput[[PERIODO Imp.]:[PERIODO Imp.]],CN$9)</f>
        <v>0</v>
      </c>
      <c r="CO1184" s="693">
        <f>SUMIFS(Imput[[Importe Neto]:[Importe Neto]],Imput[[C. Imp.]:[C. Imp.]],$D1184,Imput[[PERIODO Imp.]:[PERIODO Imp.]],CO$9)</f>
        <v>0</v>
      </c>
      <c r="CP1184" s="693">
        <f>SUMIFS(Imput[[Importe Neto]:[Importe Neto]],Imput[[C. Imp.]:[C. Imp.]],$D1184,Imput[[PERIODO Imp.]:[PERIODO Imp.]],CP$9)</f>
        <v>0</v>
      </c>
      <c r="CQ1184" s="693">
        <f>SUMIFS(Imput[[Importe Neto]:[Importe Neto]],Imput[[C. Imp.]:[C. Imp.]],$D1184,Imput[[PERIODO Imp.]:[PERIODO Imp.]],CQ$9)</f>
        <v>0</v>
      </c>
      <c r="CR1184" s="693">
        <f>SUMIFS(Imput[[Importe Neto]:[Importe Neto]],Imput[[C. Imp.]:[C. Imp.]],$D1184,Imput[[PERIODO Imp.]:[PERIODO Imp.]],CR$9)</f>
        <v>0</v>
      </c>
      <c r="CS1184" s="693">
        <f>SUMIFS(Imput[[Importe Neto]:[Importe Neto]],Imput[[C. Imp.]:[C. Imp.]],$D1184,Imput[[PERIODO Imp.]:[PERIODO Imp.]],CS$9)</f>
        <v>0</v>
      </c>
      <c r="CT1184" s="693">
        <f>SUMIFS(Imput[[Importe Neto]:[Importe Neto]],Imput[[C. Imp.]:[C. Imp.]],$D1184,Imput[[PERIODO Imp.]:[PERIODO Imp.]],CT$9)</f>
        <v>0</v>
      </c>
      <c r="CU1184" s="693">
        <f>SUMIFS(Imput[[Importe Neto]:[Importe Neto]],Imput[[C. Imp.]:[C. Imp.]],$D1184,Imput[[PERIODO Imp.]:[PERIODO Imp.]],CU$9)</f>
        <v>0</v>
      </c>
      <c r="CV1184" s="693">
        <f>SUMIFS(Imput[[Importe Neto]:[Importe Neto]],Imput[[C. Imp.]:[C. Imp.]],$D1184,Imput[[PERIODO Imp.]:[PERIODO Imp.]],CV$9)</f>
        <v>0</v>
      </c>
      <c r="CW1184" s="693">
        <f>SUMIFS(Imput[[Importe Neto]:[Importe Neto]],Imput[[C. Imp.]:[C. Imp.]],$D1184,Imput[[PERIODO Imp.]:[PERIODO Imp.]],CW$9)</f>
        <v>0</v>
      </c>
      <c r="CX1184" s="693">
        <f>SUMIFS(Imput[[Importe Neto]:[Importe Neto]],Imput[[C. Imp.]:[C. Imp.]],$D1184,Imput[[PERIODO Imp.]:[PERIODO Imp.]],CX$9)</f>
        <v>0</v>
      </c>
      <c r="CY1184" s="693">
        <f>SUMIFS(Imput[[Importe Neto]:[Importe Neto]],Imput[[C. Imp.]:[C. Imp.]],$D1184,Imput[[PERIODO Imp.]:[PERIODO Imp.]],CY$9)</f>
        <v>0</v>
      </c>
      <c r="CZ1184" s="693">
        <f>SUMIFS(Imput[[Importe Neto]:[Importe Neto]],Imput[[C. Imp.]:[C. Imp.]],$D1184,Imput[[PERIODO Imp.]:[PERIODO Imp.]],CZ$9)</f>
        <v>0</v>
      </c>
      <c r="DA1184" s="693">
        <f>SUMIFS(Imput[[Importe Neto]:[Importe Neto]],Imput[[C. Imp.]:[C. Imp.]],$D1184,Imput[[PERIODO Imp.]:[PERIODO Imp.]],DA$9)</f>
        <v>0</v>
      </c>
      <c r="DB1184" s="693">
        <f>SUMIFS(Imput[[Importe Neto]:[Importe Neto]],Imput[[C. Imp.]:[C. Imp.]],$D1184,Imput[[PERIODO Imp.]:[PERIODO Imp.]],DB$9)</f>
        <v>0</v>
      </c>
      <c r="DC1184" s="693">
        <f>SUMIFS(Imput[[Importe Neto]:[Importe Neto]],Imput[[C. Imp.]:[C. Imp.]],$D1184,Imput[[PERIODO Imp.]:[PERIODO Imp.]],DC$9)</f>
        <v>0</v>
      </c>
      <c r="DD1184" s="693">
        <f>SUMIFS(Imput[[Importe Neto]:[Importe Neto]],Imput[[C. Imp.]:[C. Imp.]],$D1184,Imput[[PERIODO Imp.]:[PERIODO Imp.]],DD$9)</f>
        <v>0</v>
      </c>
      <c r="DE1184" s="693">
        <f>SUMIFS(Imput[[Importe Neto]:[Importe Neto]],Imput[[C. Imp.]:[C. Imp.]],$D1184,Imput[[PERIODO Imp.]:[PERIODO Imp.]],DE$9)</f>
        <v>0</v>
      </c>
      <c r="DF1184" s="693">
        <f>SUMIFS(Imput[[Importe Neto]:[Importe Neto]],Imput[[C. Imp.]:[C. Imp.]],$D1184,Imput[[PERIODO Imp.]:[PERIODO Imp.]],DF$9)</f>
        <v>0</v>
      </c>
      <c r="DG1184" s="693">
        <f>SUMIFS(Imput[[Importe Neto]:[Importe Neto]],Imput[[C. Imp.]:[C. Imp.]],$D1184,Imput[[PERIODO Imp.]:[PERIODO Imp.]],DG$9)</f>
        <v>0</v>
      </c>
      <c r="DH1184" s="694">
        <f>SUMIFS(Imput[[Importe Neto]:[Importe Neto]],Imput[[C. Imp.]:[C. Imp.]],$D1184,Imput[[PERIODO Imp.]:[PERIODO Imp.]],DH$9)</f>
        <v>0</v>
      </c>
    </row>
    <row r="1185" spans="1:139" s="649" customFormat="1" hidden="1" outlineLevel="1" x14ac:dyDescent="0.3">
      <c r="A1185" s="652" t="str">
        <f t="shared" si="393"/>
        <v/>
      </c>
      <c r="B1185" s="652"/>
      <c r="C1185" s="685"/>
      <c r="D1185" s="686"/>
      <c r="E1185" s="686" t="s">
        <v>514</v>
      </c>
      <c r="F1185" s="720"/>
      <c r="G1185" s="529">
        <f>SUM(J958,J972,J1014,J1067,J1120,J1133,J1156,J1173)</f>
        <v>130571.42857142857</v>
      </c>
      <c r="H1185" s="846"/>
      <c r="I1185" s="851">
        <v>1</v>
      </c>
      <c r="J1185" s="517">
        <f>G1185*H1185*I1185</f>
        <v>0</v>
      </c>
      <c r="K1185" s="667"/>
      <c r="L1185" s="858">
        <v>0.7</v>
      </c>
      <c r="M1185" s="859"/>
      <c r="N1185" s="859"/>
      <c r="O1185" s="859"/>
      <c r="P1185" s="859"/>
      <c r="Q1185" s="859"/>
      <c r="R1185" s="859"/>
      <c r="S1185" s="859"/>
      <c r="T1185" s="859"/>
      <c r="U1185" s="859"/>
      <c r="V1185" s="859"/>
      <c r="W1185" s="859"/>
      <c r="X1185" s="859"/>
      <c r="Y1185" s="859"/>
      <c r="Z1185" s="860">
        <v>0.3</v>
      </c>
      <c r="AA1185" s="860"/>
      <c r="AB1185" s="860"/>
      <c r="AC1185" s="860"/>
      <c r="AD1185" s="860"/>
      <c r="AE1185" s="860"/>
      <c r="AF1185" s="860"/>
      <c r="AG1185" s="860"/>
      <c r="AH1185" s="860"/>
      <c r="AI1185" s="860"/>
      <c r="AJ1185" s="860"/>
      <c r="AK1185" s="860"/>
      <c r="AL1185" s="860"/>
      <c r="AM1185" s="860"/>
      <c r="AN1185" s="860"/>
      <c r="AO1185" s="860"/>
      <c r="AP1185" s="860"/>
      <c r="AQ1185" s="860"/>
      <c r="AR1185" s="860"/>
      <c r="AS1185" s="860"/>
      <c r="AT1185" s="860"/>
      <c r="AU1185" s="860"/>
      <c r="AV1185" s="860"/>
      <c r="AW1185" s="860"/>
      <c r="AX1185" s="860"/>
      <c r="AY1185" s="860"/>
      <c r="AZ1185" s="860"/>
      <c r="BA1185" s="860"/>
      <c r="BB1185" s="860"/>
      <c r="BC1185" s="860"/>
      <c r="BD1185" s="860"/>
      <c r="BE1185" s="860"/>
      <c r="BF1185" s="860"/>
      <c r="BG1185" s="860"/>
      <c r="BH1185" s="668"/>
      <c r="BI1185" s="654"/>
      <c r="BJ1185" s="690">
        <f>IFERROR(BK1185/J1185,0)</f>
        <v>0</v>
      </c>
      <c r="BK1185" s="691">
        <f>SUM(BM1185:DH1185)</f>
        <v>0</v>
      </c>
      <c r="BL1185" s="654"/>
      <c r="BM1185" s="692">
        <f>SUMIFS(Imput[[Importe Neto]:[Importe Neto]],Imput[[C. Imp.]:[C. Imp.]],$D1185,Imput[[PERIODO Imp.]:[PERIODO Imp.]],BM$9)</f>
        <v>0</v>
      </c>
      <c r="BN1185" s="693">
        <f>SUMIFS(Imput[[Importe Neto]:[Importe Neto]],Imput[[C. Imp.]:[C. Imp.]],$D1185,Imput[[PERIODO Imp.]:[PERIODO Imp.]],BN$9)</f>
        <v>0</v>
      </c>
      <c r="BO1185" s="693">
        <f>SUMIFS(Imput[[Importe Neto]:[Importe Neto]],Imput[[C. Imp.]:[C. Imp.]],$D1185,Imput[[PERIODO Imp.]:[PERIODO Imp.]],BO$9)</f>
        <v>0</v>
      </c>
      <c r="BP1185" s="693">
        <f>SUMIFS(Imput[[Importe Neto]:[Importe Neto]],Imput[[C. Imp.]:[C. Imp.]],$D1185,Imput[[PERIODO Imp.]:[PERIODO Imp.]],BP$9)</f>
        <v>0</v>
      </c>
      <c r="BQ1185" s="693">
        <f>SUMIFS(Imput[[Importe Neto]:[Importe Neto]],Imput[[C. Imp.]:[C. Imp.]],$D1185,Imput[[PERIODO Imp.]:[PERIODO Imp.]],BQ$9)</f>
        <v>0</v>
      </c>
      <c r="BR1185" s="693">
        <f>SUMIFS(Imput[[Importe Neto]:[Importe Neto]],Imput[[C. Imp.]:[C. Imp.]],$D1185,Imput[[PERIODO Imp.]:[PERIODO Imp.]],BR$9)</f>
        <v>0</v>
      </c>
      <c r="BS1185" s="693">
        <f>SUMIFS(Imput[[Importe Neto]:[Importe Neto]],Imput[[C. Imp.]:[C. Imp.]],$D1185,Imput[[PERIODO Imp.]:[PERIODO Imp.]],BS$9)</f>
        <v>0</v>
      </c>
      <c r="BT1185" s="693">
        <f>SUMIFS(Imput[[Importe Neto]:[Importe Neto]],Imput[[C. Imp.]:[C. Imp.]],$D1185,Imput[[PERIODO Imp.]:[PERIODO Imp.]],BT$9)</f>
        <v>0</v>
      </c>
      <c r="BU1185" s="693">
        <f>SUMIFS(Imput[[Importe Neto]:[Importe Neto]],Imput[[C. Imp.]:[C. Imp.]],$D1185,Imput[[PERIODO Imp.]:[PERIODO Imp.]],BU$9)</f>
        <v>0</v>
      </c>
      <c r="BV1185" s="693">
        <f>SUMIFS(Imput[[Importe Neto]:[Importe Neto]],Imput[[C. Imp.]:[C. Imp.]],$D1185,Imput[[PERIODO Imp.]:[PERIODO Imp.]],BV$9)</f>
        <v>0</v>
      </c>
      <c r="BW1185" s="693">
        <f>SUMIFS(Imput[[Importe Neto]:[Importe Neto]],Imput[[C. Imp.]:[C. Imp.]],$D1185,Imput[[PERIODO Imp.]:[PERIODO Imp.]],BW$9)</f>
        <v>0</v>
      </c>
      <c r="BX1185" s="693">
        <f>SUMIFS(Imput[[Importe Neto]:[Importe Neto]],Imput[[C. Imp.]:[C. Imp.]],$D1185,Imput[[PERIODO Imp.]:[PERIODO Imp.]],BX$9)</f>
        <v>0</v>
      </c>
      <c r="BY1185" s="693">
        <f>SUMIFS(Imput[[Importe Neto]:[Importe Neto]],Imput[[C. Imp.]:[C. Imp.]],$D1185,Imput[[PERIODO Imp.]:[PERIODO Imp.]],BY$9)</f>
        <v>0</v>
      </c>
      <c r="BZ1185" s="693">
        <f>SUMIFS(Imput[[Importe Neto]:[Importe Neto]],Imput[[C. Imp.]:[C. Imp.]],$D1185,Imput[[PERIODO Imp.]:[PERIODO Imp.]],BZ$9)</f>
        <v>0</v>
      </c>
      <c r="CA1185" s="693">
        <f>SUMIFS(Imput[[Importe Neto]:[Importe Neto]],Imput[[C. Imp.]:[C. Imp.]],$D1185,Imput[[PERIODO Imp.]:[PERIODO Imp.]],CA$9)</f>
        <v>0</v>
      </c>
      <c r="CB1185" s="693">
        <f>SUMIFS(Imput[[Importe Neto]:[Importe Neto]],Imput[[C. Imp.]:[C. Imp.]],$D1185,Imput[[PERIODO Imp.]:[PERIODO Imp.]],CB$9)</f>
        <v>0</v>
      </c>
      <c r="CC1185" s="693">
        <f>SUMIFS(Imput[[Importe Neto]:[Importe Neto]],Imput[[C. Imp.]:[C. Imp.]],$D1185,Imput[[PERIODO Imp.]:[PERIODO Imp.]],CC$9)</f>
        <v>0</v>
      </c>
      <c r="CD1185" s="693">
        <f>SUMIFS(Imput[[Importe Neto]:[Importe Neto]],Imput[[C. Imp.]:[C. Imp.]],$D1185,Imput[[PERIODO Imp.]:[PERIODO Imp.]],CD$9)</f>
        <v>0</v>
      </c>
      <c r="CE1185" s="693">
        <f>SUMIFS(Imput[[Importe Neto]:[Importe Neto]],Imput[[C. Imp.]:[C. Imp.]],$D1185,Imput[[PERIODO Imp.]:[PERIODO Imp.]],CE$9)</f>
        <v>0</v>
      </c>
      <c r="CF1185" s="693">
        <f>SUMIFS(Imput[[Importe Neto]:[Importe Neto]],Imput[[C. Imp.]:[C. Imp.]],$D1185,Imput[[PERIODO Imp.]:[PERIODO Imp.]],CF$9)</f>
        <v>0</v>
      </c>
      <c r="CG1185" s="693">
        <f>SUMIFS(Imput[[Importe Neto]:[Importe Neto]],Imput[[C. Imp.]:[C. Imp.]],$D1185,Imput[[PERIODO Imp.]:[PERIODO Imp.]],CG$9)</f>
        <v>0</v>
      </c>
      <c r="CH1185" s="693">
        <f>SUMIFS(Imput[[Importe Neto]:[Importe Neto]],Imput[[C. Imp.]:[C. Imp.]],$D1185,Imput[[PERIODO Imp.]:[PERIODO Imp.]],CH$9)</f>
        <v>0</v>
      </c>
      <c r="CI1185" s="693">
        <f>SUMIFS(Imput[[Importe Neto]:[Importe Neto]],Imput[[C. Imp.]:[C. Imp.]],$D1185,Imput[[PERIODO Imp.]:[PERIODO Imp.]],CI$9)</f>
        <v>0</v>
      </c>
      <c r="CJ1185" s="693">
        <f>SUMIFS(Imput[[Importe Neto]:[Importe Neto]],Imput[[C. Imp.]:[C. Imp.]],$D1185,Imput[[PERIODO Imp.]:[PERIODO Imp.]],CJ$9)</f>
        <v>0</v>
      </c>
      <c r="CK1185" s="693">
        <f>SUMIFS(Imput[[Importe Neto]:[Importe Neto]],Imput[[C. Imp.]:[C. Imp.]],$D1185,Imput[[PERIODO Imp.]:[PERIODO Imp.]],CK$9)</f>
        <v>0</v>
      </c>
      <c r="CL1185" s="693">
        <f>SUMIFS(Imput[[Importe Neto]:[Importe Neto]],Imput[[C. Imp.]:[C. Imp.]],$D1185,Imput[[PERIODO Imp.]:[PERIODO Imp.]],CL$9)</f>
        <v>0</v>
      </c>
      <c r="CM1185" s="693">
        <f>SUMIFS(Imput[[Importe Neto]:[Importe Neto]],Imput[[C. Imp.]:[C. Imp.]],$D1185,Imput[[PERIODO Imp.]:[PERIODO Imp.]],CM$9)</f>
        <v>0</v>
      </c>
      <c r="CN1185" s="693">
        <f>SUMIFS(Imput[[Importe Neto]:[Importe Neto]],Imput[[C. Imp.]:[C. Imp.]],$D1185,Imput[[PERIODO Imp.]:[PERIODO Imp.]],CN$9)</f>
        <v>0</v>
      </c>
      <c r="CO1185" s="693">
        <f>SUMIFS(Imput[[Importe Neto]:[Importe Neto]],Imput[[C. Imp.]:[C. Imp.]],$D1185,Imput[[PERIODO Imp.]:[PERIODO Imp.]],CO$9)</f>
        <v>0</v>
      </c>
      <c r="CP1185" s="693">
        <f>SUMIFS(Imput[[Importe Neto]:[Importe Neto]],Imput[[C. Imp.]:[C. Imp.]],$D1185,Imput[[PERIODO Imp.]:[PERIODO Imp.]],CP$9)</f>
        <v>0</v>
      </c>
      <c r="CQ1185" s="693">
        <f>SUMIFS(Imput[[Importe Neto]:[Importe Neto]],Imput[[C. Imp.]:[C. Imp.]],$D1185,Imput[[PERIODO Imp.]:[PERIODO Imp.]],CQ$9)</f>
        <v>0</v>
      </c>
      <c r="CR1185" s="693">
        <f>SUMIFS(Imput[[Importe Neto]:[Importe Neto]],Imput[[C. Imp.]:[C. Imp.]],$D1185,Imput[[PERIODO Imp.]:[PERIODO Imp.]],CR$9)</f>
        <v>0</v>
      </c>
      <c r="CS1185" s="693">
        <f>SUMIFS(Imput[[Importe Neto]:[Importe Neto]],Imput[[C. Imp.]:[C. Imp.]],$D1185,Imput[[PERIODO Imp.]:[PERIODO Imp.]],CS$9)</f>
        <v>0</v>
      </c>
      <c r="CT1185" s="693">
        <f>SUMIFS(Imput[[Importe Neto]:[Importe Neto]],Imput[[C. Imp.]:[C. Imp.]],$D1185,Imput[[PERIODO Imp.]:[PERIODO Imp.]],CT$9)</f>
        <v>0</v>
      </c>
      <c r="CU1185" s="693">
        <f>SUMIFS(Imput[[Importe Neto]:[Importe Neto]],Imput[[C. Imp.]:[C. Imp.]],$D1185,Imput[[PERIODO Imp.]:[PERIODO Imp.]],CU$9)</f>
        <v>0</v>
      </c>
      <c r="CV1185" s="693">
        <f>SUMIFS(Imput[[Importe Neto]:[Importe Neto]],Imput[[C. Imp.]:[C. Imp.]],$D1185,Imput[[PERIODO Imp.]:[PERIODO Imp.]],CV$9)</f>
        <v>0</v>
      </c>
      <c r="CW1185" s="693">
        <f>SUMIFS(Imput[[Importe Neto]:[Importe Neto]],Imput[[C. Imp.]:[C. Imp.]],$D1185,Imput[[PERIODO Imp.]:[PERIODO Imp.]],CW$9)</f>
        <v>0</v>
      </c>
      <c r="CX1185" s="693">
        <f>SUMIFS(Imput[[Importe Neto]:[Importe Neto]],Imput[[C. Imp.]:[C. Imp.]],$D1185,Imput[[PERIODO Imp.]:[PERIODO Imp.]],CX$9)</f>
        <v>0</v>
      </c>
      <c r="CY1185" s="693">
        <f>SUMIFS(Imput[[Importe Neto]:[Importe Neto]],Imput[[C. Imp.]:[C. Imp.]],$D1185,Imput[[PERIODO Imp.]:[PERIODO Imp.]],CY$9)</f>
        <v>0</v>
      </c>
      <c r="CZ1185" s="693">
        <f>SUMIFS(Imput[[Importe Neto]:[Importe Neto]],Imput[[C. Imp.]:[C. Imp.]],$D1185,Imput[[PERIODO Imp.]:[PERIODO Imp.]],CZ$9)</f>
        <v>0</v>
      </c>
      <c r="DA1185" s="693">
        <f>SUMIFS(Imput[[Importe Neto]:[Importe Neto]],Imput[[C. Imp.]:[C. Imp.]],$D1185,Imput[[PERIODO Imp.]:[PERIODO Imp.]],DA$9)</f>
        <v>0</v>
      </c>
      <c r="DB1185" s="693">
        <f>SUMIFS(Imput[[Importe Neto]:[Importe Neto]],Imput[[C. Imp.]:[C. Imp.]],$D1185,Imput[[PERIODO Imp.]:[PERIODO Imp.]],DB$9)</f>
        <v>0</v>
      </c>
      <c r="DC1185" s="693">
        <f>SUMIFS(Imput[[Importe Neto]:[Importe Neto]],Imput[[C. Imp.]:[C. Imp.]],$D1185,Imput[[PERIODO Imp.]:[PERIODO Imp.]],DC$9)</f>
        <v>0</v>
      </c>
      <c r="DD1185" s="693">
        <f>SUMIFS(Imput[[Importe Neto]:[Importe Neto]],Imput[[C. Imp.]:[C. Imp.]],$D1185,Imput[[PERIODO Imp.]:[PERIODO Imp.]],DD$9)</f>
        <v>0</v>
      </c>
      <c r="DE1185" s="693">
        <f>SUMIFS(Imput[[Importe Neto]:[Importe Neto]],Imput[[C. Imp.]:[C. Imp.]],$D1185,Imput[[PERIODO Imp.]:[PERIODO Imp.]],DE$9)</f>
        <v>0</v>
      </c>
      <c r="DF1185" s="693">
        <f>SUMIFS(Imput[[Importe Neto]:[Importe Neto]],Imput[[C. Imp.]:[C. Imp.]],$D1185,Imput[[PERIODO Imp.]:[PERIODO Imp.]],DF$9)</f>
        <v>0</v>
      </c>
      <c r="DG1185" s="693">
        <f>SUMIFS(Imput[[Importe Neto]:[Importe Neto]],Imput[[C. Imp.]:[C. Imp.]],$D1185,Imput[[PERIODO Imp.]:[PERIODO Imp.]],DG$9)</f>
        <v>0</v>
      </c>
      <c r="DH1185" s="694">
        <f>SUMIFS(Imput[[Importe Neto]:[Importe Neto]],Imput[[C. Imp.]:[C. Imp.]],$D1185,Imput[[PERIODO Imp.]:[PERIODO Imp.]],DH$9)</f>
        <v>0</v>
      </c>
    </row>
    <row r="1186" spans="1:139" s="649" customFormat="1" ht="14.4" hidden="1" outlineLevel="1" thickBot="1" x14ac:dyDescent="0.35">
      <c r="A1186" s="652" t="str">
        <f>IF(J1181&gt;0,"Imprimir","")</f>
        <v/>
      </c>
      <c r="B1186" s="652"/>
      <c r="C1186" s="699"/>
      <c r="D1186" s="700"/>
      <c r="E1186" s="700"/>
      <c r="F1186" s="701"/>
      <c r="G1186" s="702"/>
      <c r="H1186" s="703"/>
      <c r="I1186" s="704"/>
      <c r="J1186" s="120"/>
      <c r="K1186" s="667"/>
      <c r="L1186" s="706"/>
      <c r="M1186" s="707"/>
      <c r="N1186" s="777"/>
      <c r="O1186" s="777"/>
      <c r="P1186" s="778"/>
      <c r="Q1186" s="778"/>
      <c r="R1186" s="708"/>
      <c r="S1186" s="708"/>
      <c r="T1186" s="779"/>
      <c r="U1186" s="779"/>
      <c r="V1186" s="778"/>
      <c r="W1186" s="778"/>
      <c r="X1186" s="708"/>
      <c r="Y1186" s="708"/>
      <c r="Z1186" s="708"/>
      <c r="AA1186" s="708"/>
      <c r="AB1186" s="708"/>
      <c r="AC1186" s="708"/>
      <c r="AD1186" s="708"/>
      <c r="AE1186" s="708"/>
      <c r="AF1186" s="708"/>
      <c r="AG1186" s="708"/>
      <c r="AH1186" s="708"/>
      <c r="AI1186" s="708"/>
      <c r="AJ1186" s="708"/>
      <c r="AK1186" s="708"/>
      <c r="AL1186" s="708"/>
      <c r="AM1186" s="708"/>
      <c r="AN1186" s="708"/>
      <c r="AO1186" s="708"/>
      <c r="AP1186" s="708"/>
      <c r="AQ1186" s="708"/>
      <c r="AR1186" s="708"/>
      <c r="AS1186" s="708"/>
      <c r="AT1186" s="708"/>
      <c r="AU1186" s="708"/>
      <c r="AV1186" s="708"/>
      <c r="AW1186" s="708"/>
      <c r="AX1186" s="708"/>
      <c r="AY1186" s="708"/>
      <c r="AZ1186" s="708"/>
      <c r="BA1186" s="708"/>
      <c r="BB1186" s="708"/>
      <c r="BC1186" s="708"/>
      <c r="BD1186" s="708"/>
      <c r="BE1186" s="708"/>
      <c r="BF1186" s="708"/>
      <c r="BG1186" s="708"/>
      <c r="BH1186" s="780"/>
      <c r="BI1186" s="654"/>
      <c r="BJ1186" s="709"/>
      <c r="BK1186" s="710"/>
      <c r="BL1186" s="654"/>
      <c r="BM1186" s="731"/>
      <c r="BN1186" s="701"/>
      <c r="BO1186" s="701"/>
      <c r="BP1186" s="701"/>
      <c r="BQ1186" s="701"/>
      <c r="BR1186" s="701"/>
      <c r="BS1186" s="701"/>
      <c r="BT1186" s="701"/>
      <c r="BU1186" s="701"/>
      <c r="BV1186" s="701"/>
      <c r="BW1186" s="701"/>
      <c r="BX1186" s="701"/>
      <c r="BY1186" s="701"/>
      <c r="BZ1186" s="701"/>
      <c r="CA1186" s="701"/>
      <c r="CB1186" s="701"/>
      <c r="CC1186" s="701"/>
      <c r="CD1186" s="701"/>
      <c r="CE1186" s="701"/>
      <c r="CF1186" s="701"/>
      <c r="CG1186" s="701"/>
      <c r="CH1186" s="701"/>
      <c r="CI1186" s="701"/>
      <c r="CJ1186" s="701"/>
      <c r="CK1186" s="701"/>
      <c r="CL1186" s="701"/>
      <c r="CM1186" s="701"/>
      <c r="CN1186" s="701"/>
      <c r="CO1186" s="701"/>
      <c r="CP1186" s="701"/>
      <c r="CQ1186" s="701"/>
      <c r="CR1186" s="701"/>
      <c r="CS1186" s="701"/>
      <c r="CT1186" s="701"/>
      <c r="CU1186" s="701"/>
      <c r="CV1186" s="701"/>
      <c r="CW1186" s="701"/>
      <c r="CX1186" s="701"/>
      <c r="CY1186" s="701"/>
      <c r="CZ1186" s="701"/>
      <c r="DA1186" s="701"/>
      <c r="DB1186" s="701"/>
      <c r="DC1186" s="701"/>
      <c r="DD1186" s="701"/>
      <c r="DE1186" s="701"/>
      <c r="DF1186" s="701"/>
      <c r="DG1186" s="701"/>
      <c r="DH1186" s="710"/>
    </row>
    <row r="1187" spans="1:139" s="649" customFormat="1" hidden="1" collapsed="1" x14ac:dyDescent="0.3">
      <c r="A1187" s="652" t="str">
        <f>IF(J1187&gt;0,"Imprimir","")</f>
        <v/>
      </c>
      <c r="B1187" s="652"/>
      <c r="C1187" s="711"/>
      <c r="D1187" s="712" t="s">
        <v>457</v>
      </c>
      <c r="E1187" s="712" t="s">
        <v>515</v>
      </c>
      <c r="F1187" s="712"/>
      <c r="G1187" s="713"/>
      <c r="H1187" s="712"/>
      <c r="I1187" s="714">
        <v>480000</v>
      </c>
      <c r="J1187" s="715">
        <f>SUBTOTAL(9,J1190:J1193)</f>
        <v>0</v>
      </c>
      <c r="K1187" s="658"/>
      <c r="L1187" s="770">
        <f t="shared" ref="L1187:BG1187" si="394">SUMPRODUCT($J1190:$J1193,L1190:L1193)</f>
        <v>0</v>
      </c>
      <c r="M1187" s="771">
        <f t="shared" si="394"/>
        <v>0</v>
      </c>
      <c r="N1187" s="771">
        <f t="shared" si="394"/>
        <v>0</v>
      </c>
      <c r="O1187" s="771">
        <f t="shared" si="394"/>
        <v>0</v>
      </c>
      <c r="P1187" s="771">
        <f t="shared" si="394"/>
        <v>0</v>
      </c>
      <c r="Q1187" s="771">
        <f t="shared" si="394"/>
        <v>0</v>
      </c>
      <c r="R1187" s="771">
        <f t="shared" si="394"/>
        <v>0</v>
      </c>
      <c r="S1187" s="771">
        <f t="shared" si="394"/>
        <v>0</v>
      </c>
      <c r="T1187" s="771">
        <f t="shared" si="394"/>
        <v>0</v>
      </c>
      <c r="U1187" s="771">
        <f t="shared" si="394"/>
        <v>0</v>
      </c>
      <c r="V1187" s="771">
        <f t="shared" si="394"/>
        <v>0</v>
      </c>
      <c r="W1187" s="771">
        <f t="shared" si="394"/>
        <v>0</v>
      </c>
      <c r="X1187" s="771">
        <f t="shared" si="394"/>
        <v>0</v>
      </c>
      <c r="Y1187" s="771">
        <f t="shared" si="394"/>
        <v>0</v>
      </c>
      <c r="Z1187" s="771">
        <f t="shared" si="394"/>
        <v>0</v>
      </c>
      <c r="AA1187" s="771">
        <f t="shared" si="394"/>
        <v>0</v>
      </c>
      <c r="AB1187" s="771">
        <f t="shared" si="394"/>
        <v>0</v>
      </c>
      <c r="AC1187" s="771">
        <f t="shared" si="394"/>
        <v>0</v>
      </c>
      <c r="AD1187" s="771">
        <f t="shared" si="394"/>
        <v>0</v>
      </c>
      <c r="AE1187" s="771">
        <f t="shared" si="394"/>
        <v>0</v>
      </c>
      <c r="AF1187" s="771">
        <f t="shared" si="394"/>
        <v>0</v>
      </c>
      <c r="AG1187" s="771">
        <f t="shared" si="394"/>
        <v>0</v>
      </c>
      <c r="AH1187" s="771">
        <f t="shared" si="394"/>
        <v>0</v>
      </c>
      <c r="AI1187" s="771">
        <f t="shared" si="394"/>
        <v>0</v>
      </c>
      <c r="AJ1187" s="771">
        <f t="shared" si="394"/>
        <v>0</v>
      </c>
      <c r="AK1187" s="771">
        <f t="shared" si="394"/>
        <v>0</v>
      </c>
      <c r="AL1187" s="771">
        <f t="shared" si="394"/>
        <v>0</v>
      </c>
      <c r="AM1187" s="771">
        <f t="shared" si="394"/>
        <v>0</v>
      </c>
      <c r="AN1187" s="771">
        <f t="shared" si="394"/>
        <v>0</v>
      </c>
      <c r="AO1187" s="771">
        <f t="shared" si="394"/>
        <v>0</v>
      </c>
      <c r="AP1187" s="771">
        <f t="shared" si="394"/>
        <v>0</v>
      </c>
      <c r="AQ1187" s="771">
        <f t="shared" si="394"/>
        <v>0</v>
      </c>
      <c r="AR1187" s="771">
        <f t="shared" si="394"/>
        <v>0</v>
      </c>
      <c r="AS1187" s="771">
        <f t="shared" si="394"/>
        <v>0</v>
      </c>
      <c r="AT1187" s="771">
        <f t="shared" si="394"/>
        <v>0</v>
      </c>
      <c r="AU1187" s="771">
        <f t="shared" si="394"/>
        <v>0</v>
      </c>
      <c r="AV1187" s="771">
        <f t="shared" si="394"/>
        <v>0</v>
      </c>
      <c r="AW1187" s="771">
        <f t="shared" si="394"/>
        <v>0</v>
      </c>
      <c r="AX1187" s="771">
        <f t="shared" si="394"/>
        <v>0</v>
      </c>
      <c r="AY1187" s="771">
        <f t="shared" si="394"/>
        <v>0</v>
      </c>
      <c r="AZ1187" s="771">
        <f t="shared" si="394"/>
        <v>0</v>
      </c>
      <c r="BA1187" s="771">
        <f t="shared" si="394"/>
        <v>0</v>
      </c>
      <c r="BB1187" s="771">
        <f t="shared" si="394"/>
        <v>0</v>
      </c>
      <c r="BC1187" s="771">
        <f t="shared" si="394"/>
        <v>0</v>
      </c>
      <c r="BD1187" s="771">
        <f t="shared" si="394"/>
        <v>0</v>
      </c>
      <c r="BE1187" s="771">
        <f t="shared" si="394"/>
        <v>0</v>
      </c>
      <c r="BF1187" s="771">
        <f t="shared" si="394"/>
        <v>0</v>
      </c>
      <c r="BG1187" s="764">
        <f t="shared" si="394"/>
        <v>0</v>
      </c>
      <c r="BH1187" s="776"/>
      <c r="BI1187" s="654"/>
      <c r="BJ1187" s="659">
        <f>IFERROR(13/J1187,0)</f>
        <v>0</v>
      </c>
      <c r="BK1187" s="660">
        <f>SUBTOTAL(9,BK1188:BK1193)</f>
        <v>0</v>
      </c>
      <c r="BL1187" s="654"/>
      <c r="BM1187" s="661">
        <f t="shared" ref="BM1187:DH1187" si="395">SUBTOTAL(9,BM1188:BM1193)</f>
        <v>0</v>
      </c>
      <c r="BN1187" s="662">
        <f t="shared" si="395"/>
        <v>0</v>
      </c>
      <c r="BO1187" s="662">
        <f t="shared" si="395"/>
        <v>0</v>
      </c>
      <c r="BP1187" s="662">
        <f t="shared" si="395"/>
        <v>0</v>
      </c>
      <c r="BQ1187" s="662">
        <f t="shared" si="395"/>
        <v>0</v>
      </c>
      <c r="BR1187" s="662">
        <f t="shared" si="395"/>
        <v>0</v>
      </c>
      <c r="BS1187" s="662">
        <f t="shared" si="395"/>
        <v>0</v>
      </c>
      <c r="BT1187" s="662">
        <f t="shared" si="395"/>
        <v>0</v>
      </c>
      <c r="BU1187" s="662">
        <f t="shared" si="395"/>
        <v>0</v>
      </c>
      <c r="BV1187" s="662">
        <f t="shared" si="395"/>
        <v>0</v>
      </c>
      <c r="BW1187" s="662">
        <f t="shared" si="395"/>
        <v>0</v>
      </c>
      <c r="BX1187" s="662">
        <f t="shared" si="395"/>
        <v>0</v>
      </c>
      <c r="BY1187" s="662">
        <f t="shared" si="395"/>
        <v>0</v>
      </c>
      <c r="BZ1187" s="662">
        <f t="shared" si="395"/>
        <v>0</v>
      </c>
      <c r="CA1187" s="662">
        <f t="shared" si="395"/>
        <v>0</v>
      </c>
      <c r="CB1187" s="662">
        <f t="shared" si="395"/>
        <v>0</v>
      </c>
      <c r="CC1187" s="662">
        <f t="shared" si="395"/>
        <v>0</v>
      </c>
      <c r="CD1187" s="662">
        <f t="shared" si="395"/>
        <v>0</v>
      </c>
      <c r="CE1187" s="662">
        <f t="shared" si="395"/>
        <v>0</v>
      </c>
      <c r="CF1187" s="662">
        <f t="shared" si="395"/>
        <v>0</v>
      </c>
      <c r="CG1187" s="662">
        <f t="shared" si="395"/>
        <v>0</v>
      </c>
      <c r="CH1187" s="662">
        <f t="shared" si="395"/>
        <v>0</v>
      </c>
      <c r="CI1187" s="662">
        <f t="shared" si="395"/>
        <v>0</v>
      </c>
      <c r="CJ1187" s="662">
        <f t="shared" si="395"/>
        <v>0</v>
      </c>
      <c r="CK1187" s="662">
        <f t="shared" si="395"/>
        <v>0</v>
      </c>
      <c r="CL1187" s="662">
        <f t="shared" si="395"/>
        <v>0</v>
      </c>
      <c r="CM1187" s="662">
        <f t="shared" si="395"/>
        <v>0</v>
      </c>
      <c r="CN1187" s="662">
        <f t="shared" si="395"/>
        <v>0</v>
      </c>
      <c r="CO1187" s="662">
        <f t="shared" si="395"/>
        <v>0</v>
      </c>
      <c r="CP1187" s="662">
        <f t="shared" si="395"/>
        <v>0</v>
      </c>
      <c r="CQ1187" s="662">
        <f t="shared" si="395"/>
        <v>0</v>
      </c>
      <c r="CR1187" s="662">
        <f t="shared" si="395"/>
        <v>0</v>
      </c>
      <c r="CS1187" s="662">
        <f t="shared" si="395"/>
        <v>0</v>
      </c>
      <c r="CT1187" s="662">
        <f t="shared" si="395"/>
        <v>0</v>
      </c>
      <c r="CU1187" s="662">
        <f t="shared" si="395"/>
        <v>0</v>
      </c>
      <c r="CV1187" s="662">
        <f t="shared" si="395"/>
        <v>0</v>
      </c>
      <c r="CW1187" s="662">
        <f t="shared" si="395"/>
        <v>0</v>
      </c>
      <c r="CX1187" s="662">
        <f t="shared" si="395"/>
        <v>0</v>
      </c>
      <c r="CY1187" s="662">
        <f t="shared" si="395"/>
        <v>0</v>
      </c>
      <c r="CZ1187" s="662">
        <f t="shared" si="395"/>
        <v>0</v>
      </c>
      <c r="DA1187" s="662">
        <f t="shared" si="395"/>
        <v>0</v>
      </c>
      <c r="DB1187" s="662">
        <f t="shared" si="395"/>
        <v>0</v>
      </c>
      <c r="DC1187" s="662">
        <f t="shared" si="395"/>
        <v>0</v>
      </c>
      <c r="DD1187" s="662">
        <f t="shared" si="395"/>
        <v>0</v>
      </c>
      <c r="DE1187" s="662">
        <f t="shared" si="395"/>
        <v>0</v>
      </c>
      <c r="DF1187" s="662">
        <f t="shared" si="395"/>
        <v>0</v>
      </c>
      <c r="DG1187" s="662">
        <f t="shared" si="395"/>
        <v>0</v>
      </c>
      <c r="DH1187" s="663">
        <f t="shared" si="395"/>
        <v>0</v>
      </c>
    </row>
    <row r="1188" spans="1:139" s="649" customFormat="1" hidden="1" outlineLevel="1" x14ac:dyDescent="0.3">
      <c r="A1188" s="652" t="str">
        <f>IF(J1187&gt;0,"Imprimir","")</f>
        <v/>
      </c>
      <c r="B1188" s="652"/>
      <c r="C1188" s="664"/>
      <c r="D1188" s="665"/>
      <c r="E1188" s="665"/>
      <c r="F1188" s="665" t="s">
        <v>472</v>
      </c>
      <c r="G1188" s="716" t="s">
        <v>2128</v>
      </c>
      <c r="H1188" s="665" t="s">
        <v>98</v>
      </c>
      <c r="I1188" s="665" t="s">
        <v>474</v>
      </c>
      <c r="J1188" s="104" t="s">
        <v>29</v>
      </c>
      <c r="K1188" s="667"/>
      <c r="L1188" s="745"/>
      <c r="M1188" s="741"/>
      <c r="N1188" s="741"/>
      <c r="O1188" s="741"/>
      <c r="P1188" s="741"/>
      <c r="Q1188" s="741"/>
      <c r="R1188" s="741"/>
      <c r="S1188" s="741"/>
      <c r="T1188" s="741"/>
      <c r="U1188" s="741"/>
      <c r="V1188" s="741"/>
      <c r="W1188" s="741"/>
      <c r="X1188" s="741"/>
      <c r="Y1188" s="741"/>
      <c r="Z1188" s="741"/>
      <c r="AA1188" s="741"/>
      <c r="AB1188" s="741"/>
      <c r="AC1188" s="741"/>
      <c r="AD1188" s="741"/>
      <c r="AE1188" s="741"/>
      <c r="AF1188" s="741"/>
      <c r="AG1188" s="741"/>
      <c r="AH1188" s="741"/>
      <c r="AI1188" s="741"/>
      <c r="AJ1188" s="741"/>
      <c r="AK1188" s="741"/>
      <c r="AL1188" s="741"/>
      <c r="AM1188" s="741"/>
      <c r="AN1188" s="741"/>
      <c r="AO1188" s="741"/>
      <c r="AP1188" s="741"/>
      <c r="AQ1188" s="741"/>
      <c r="AR1188" s="741"/>
      <c r="AS1188" s="741"/>
      <c r="AT1188" s="741"/>
      <c r="AU1188" s="741"/>
      <c r="AV1188" s="741"/>
      <c r="AW1188" s="741"/>
      <c r="AX1188" s="741"/>
      <c r="AY1188" s="741"/>
      <c r="AZ1188" s="741"/>
      <c r="BA1188" s="741"/>
      <c r="BB1188" s="741"/>
      <c r="BC1188" s="741"/>
      <c r="BD1188" s="741"/>
      <c r="BE1188" s="741"/>
      <c r="BF1188" s="741"/>
      <c r="BG1188" s="741"/>
      <c r="BH1188" s="668"/>
      <c r="BI1188" s="654"/>
      <c r="BJ1188" s="669"/>
      <c r="BK1188" s="670"/>
      <c r="BL1188" s="654"/>
      <c r="BM1188" s="671"/>
      <c r="BN1188" s="665"/>
      <c r="BO1188" s="665"/>
      <c r="BP1188" s="665"/>
      <c r="BQ1188" s="665"/>
      <c r="BR1188" s="665"/>
      <c r="BS1188" s="665"/>
      <c r="BT1188" s="665"/>
      <c r="BU1188" s="665"/>
      <c r="BV1188" s="665"/>
      <c r="BW1188" s="665"/>
      <c r="BX1188" s="665"/>
      <c r="BY1188" s="665"/>
      <c r="BZ1188" s="665"/>
      <c r="CA1188" s="665"/>
      <c r="CB1188" s="665"/>
      <c r="CC1188" s="665"/>
      <c r="CD1188" s="665"/>
      <c r="CE1188" s="665"/>
      <c r="CF1188" s="665"/>
      <c r="CG1188" s="665"/>
      <c r="CH1188" s="665"/>
      <c r="CI1188" s="665"/>
      <c r="CJ1188" s="665"/>
      <c r="CK1188" s="665"/>
      <c r="CL1188" s="665"/>
      <c r="CM1188" s="665"/>
      <c r="CN1188" s="665"/>
      <c r="CO1188" s="665"/>
      <c r="CP1188" s="665"/>
      <c r="CQ1188" s="665"/>
      <c r="CR1188" s="665"/>
      <c r="CS1188" s="665"/>
      <c r="CT1188" s="665"/>
      <c r="CU1188" s="665"/>
      <c r="CV1188" s="665"/>
      <c r="CW1188" s="665"/>
      <c r="CX1188" s="665"/>
      <c r="CY1188" s="665"/>
      <c r="CZ1188" s="665"/>
      <c r="DA1188" s="665"/>
      <c r="DB1188" s="665"/>
      <c r="DC1188" s="665"/>
      <c r="DD1188" s="665"/>
      <c r="DE1188" s="665"/>
      <c r="DF1188" s="665"/>
      <c r="DG1188" s="665"/>
      <c r="DH1188" s="666"/>
    </row>
    <row r="1189" spans="1:139" s="649" customFormat="1" ht="15.6" hidden="1" outlineLevel="1" x14ac:dyDescent="0.3">
      <c r="A1189" s="652" t="str">
        <f>IF(J1189&gt;0,"Imprimir","")</f>
        <v/>
      </c>
      <c r="B1189" s="652"/>
      <c r="C1189" s="672"/>
      <c r="D1189" s="673"/>
      <c r="E1189" s="674"/>
      <c r="F1189" s="675"/>
      <c r="G1189" s="726"/>
      <c r="H1189" s="676"/>
      <c r="I1189" s="677"/>
      <c r="J1189" s="219">
        <f>SUBTOTAL(9,J1190:J1193)</f>
        <v>0</v>
      </c>
      <c r="K1189" s="678"/>
      <c r="L1189" s="747"/>
      <c r="M1189" s="742"/>
      <c r="N1189" s="742"/>
      <c r="O1189" s="742"/>
      <c r="P1189" s="742"/>
      <c r="Q1189" s="742"/>
      <c r="R1189" s="742"/>
      <c r="S1189" s="742"/>
      <c r="T1189" s="742"/>
      <c r="U1189" s="742"/>
      <c r="V1189" s="742"/>
      <c r="W1189" s="742"/>
      <c r="X1189" s="742"/>
      <c r="Y1189" s="742"/>
      <c r="Z1189" s="742"/>
      <c r="AA1189" s="742"/>
      <c r="AB1189" s="742"/>
      <c r="AC1189" s="742"/>
      <c r="AD1189" s="742"/>
      <c r="AE1189" s="742"/>
      <c r="AF1189" s="742"/>
      <c r="AG1189" s="742"/>
      <c r="AH1189" s="742"/>
      <c r="AI1189" s="742"/>
      <c r="AJ1189" s="742"/>
      <c r="AK1189" s="742"/>
      <c r="AL1189" s="742"/>
      <c r="AM1189" s="742"/>
      <c r="AN1189" s="742"/>
      <c r="AO1189" s="742"/>
      <c r="AP1189" s="742"/>
      <c r="AQ1189" s="742"/>
      <c r="AR1189" s="742"/>
      <c r="AS1189" s="742"/>
      <c r="AT1189" s="742"/>
      <c r="AU1189" s="742"/>
      <c r="AV1189" s="742"/>
      <c r="AW1189" s="742"/>
      <c r="AX1189" s="742"/>
      <c r="AY1189" s="742"/>
      <c r="AZ1189" s="742"/>
      <c r="BA1189" s="742"/>
      <c r="BB1189" s="742"/>
      <c r="BC1189" s="742"/>
      <c r="BD1189" s="742"/>
      <c r="BE1189" s="742"/>
      <c r="BF1189" s="742"/>
      <c r="BG1189" s="742"/>
      <c r="BH1189" s="668"/>
      <c r="BI1189" s="654"/>
      <c r="BJ1189" s="729"/>
      <c r="BK1189" s="681"/>
      <c r="BL1189" s="654"/>
      <c r="BM1189" s="682"/>
      <c r="BN1189" s="683"/>
      <c r="BO1189" s="683"/>
      <c r="BP1189" s="683"/>
      <c r="BQ1189" s="683"/>
      <c r="BR1189" s="683"/>
      <c r="BS1189" s="683"/>
      <c r="BT1189" s="683"/>
      <c r="BU1189" s="683"/>
      <c r="BV1189" s="683"/>
      <c r="BW1189" s="683"/>
      <c r="BX1189" s="683"/>
      <c r="BY1189" s="683"/>
      <c r="BZ1189" s="683"/>
      <c r="CA1189" s="683"/>
      <c r="CB1189" s="683"/>
      <c r="CC1189" s="683"/>
      <c r="CD1189" s="683"/>
      <c r="CE1189" s="683"/>
      <c r="CF1189" s="683"/>
      <c r="CG1189" s="683"/>
      <c r="CH1189" s="683"/>
      <c r="CI1189" s="683"/>
      <c r="CJ1189" s="683"/>
      <c r="CK1189" s="683"/>
      <c r="CL1189" s="683"/>
      <c r="CM1189" s="683"/>
      <c r="CN1189" s="683"/>
      <c r="CO1189" s="683"/>
      <c r="CP1189" s="683"/>
      <c r="CQ1189" s="683"/>
      <c r="CR1189" s="683"/>
      <c r="CS1189" s="683"/>
      <c r="CT1189" s="683"/>
      <c r="CU1189" s="683"/>
      <c r="CV1189" s="683"/>
      <c r="CW1189" s="683"/>
      <c r="CX1189" s="683"/>
      <c r="CY1189" s="683"/>
      <c r="CZ1189" s="683"/>
      <c r="DA1189" s="683"/>
      <c r="DB1189" s="683"/>
      <c r="DC1189" s="683"/>
      <c r="DD1189" s="683"/>
      <c r="DE1189" s="683"/>
      <c r="DF1189" s="683"/>
      <c r="DG1189" s="683"/>
      <c r="DH1189" s="684"/>
    </row>
    <row r="1190" spans="1:139" s="649" customFormat="1" hidden="1" outlineLevel="1" x14ac:dyDescent="0.3">
      <c r="A1190" s="652" t="str">
        <f t="shared" ref="A1190:A1192" si="396">IF(J1190="","",IF(J1190=0,"","Imprimir"))</f>
        <v/>
      </c>
      <c r="B1190" s="652"/>
      <c r="C1190" s="685"/>
      <c r="D1190" s="686"/>
      <c r="E1190" s="686"/>
      <c r="F1190" s="720"/>
      <c r="G1190" s="688"/>
      <c r="H1190" s="689"/>
      <c r="I1190" s="851" t="str">
        <f>IF(E1190&gt;0,$J$5,"")</f>
        <v/>
      </c>
      <c r="J1190" s="517" t="str">
        <f t="shared" ref="J1190:J1192" si="397">IFERROR(G1190*H1190*I1190,"")</f>
        <v/>
      </c>
      <c r="K1190" s="667"/>
      <c r="L1190" s="858"/>
      <c r="M1190" s="859"/>
      <c r="N1190" s="859"/>
      <c r="O1190" s="859"/>
      <c r="P1190" s="859"/>
      <c r="Q1190" s="859"/>
      <c r="R1190" s="859"/>
      <c r="S1190" s="859"/>
      <c r="T1190" s="859"/>
      <c r="U1190" s="859"/>
      <c r="V1190" s="859"/>
      <c r="W1190" s="859"/>
      <c r="X1190" s="859"/>
      <c r="Y1190" s="859"/>
      <c r="Z1190" s="860"/>
      <c r="AA1190" s="860"/>
      <c r="AB1190" s="860"/>
      <c r="AC1190" s="860"/>
      <c r="AD1190" s="860"/>
      <c r="AE1190" s="860"/>
      <c r="AF1190" s="860"/>
      <c r="AG1190" s="860"/>
      <c r="AH1190" s="860"/>
      <c r="AI1190" s="860"/>
      <c r="AJ1190" s="860"/>
      <c r="AK1190" s="860"/>
      <c r="AL1190" s="860"/>
      <c r="AM1190" s="860"/>
      <c r="AN1190" s="860"/>
      <c r="AO1190" s="860"/>
      <c r="AP1190" s="860"/>
      <c r="AQ1190" s="860"/>
      <c r="AR1190" s="860"/>
      <c r="AS1190" s="860"/>
      <c r="AT1190" s="860"/>
      <c r="AU1190" s="860"/>
      <c r="AV1190" s="860"/>
      <c r="AW1190" s="860"/>
      <c r="AX1190" s="860"/>
      <c r="AY1190" s="860"/>
      <c r="AZ1190" s="860"/>
      <c r="BA1190" s="860"/>
      <c r="BB1190" s="860"/>
      <c r="BC1190" s="860"/>
      <c r="BD1190" s="860"/>
      <c r="BE1190" s="860"/>
      <c r="BF1190" s="860"/>
      <c r="BG1190" s="860"/>
      <c r="BH1190" s="668"/>
      <c r="BI1190" s="654"/>
      <c r="BJ1190" s="690">
        <f>IFERROR(BK1190/J1190,0)</f>
        <v>0</v>
      </c>
      <c r="BK1190" s="691">
        <f>SUM(BM1190:DH1190)</f>
        <v>0</v>
      </c>
      <c r="BL1190" s="654"/>
      <c r="BM1190" s="692">
        <f>SUMIFS(Imput[[Importe Neto]:[Importe Neto]],Imput[[C. Imp.]:[C. Imp.]],$D1190,Imput[[PERIODO Imp.]:[PERIODO Imp.]],BM$9)</f>
        <v>0</v>
      </c>
      <c r="BN1190" s="693">
        <f>SUMIFS(Imput[[Importe Neto]:[Importe Neto]],Imput[[C. Imp.]:[C. Imp.]],$D1190,Imput[[PERIODO Imp.]:[PERIODO Imp.]],BN$9)</f>
        <v>0</v>
      </c>
      <c r="BO1190" s="693">
        <f>SUMIFS(Imput[[Importe Neto]:[Importe Neto]],Imput[[C. Imp.]:[C. Imp.]],$D1190,Imput[[PERIODO Imp.]:[PERIODO Imp.]],BO$9)</f>
        <v>0</v>
      </c>
      <c r="BP1190" s="693">
        <f>SUMIFS(Imput[[Importe Neto]:[Importe Neto]],Imput[[C. Imp.]:[C. Imp.]],$D1190,Imput[[PERIODO Imp.]:[PERIODO Imp.]],BP$9)</f>
        <v>0</v>
      </c>
      <c r="BQ1190" s="693">
        <f>SUMIFS(Imput[[Importe Neto]:[Importe Neto]],Imput[[C. Imp.]:[C. Imp.]],$D1190,Imput[[PERIODO Imp.]:[PERIODO Imp.]],BQ$9)</f>
        <v>0</v>
      </c>
      <c r="BR1190" s="693">
        <f>SUMIFS(Imput[[Importe Neto]:[Importe Neto]],Imput[[C. Imp.]:[C. Imp.]],$D1190,Imput[[PERIODO Imp.]:[PERIODO Imp.]],BR$9)</f>
        <v>0</v>
      </c>
      <c r="BS1190" s="693">
        <f>SUMIFS(Imput[[Importe Neto]:[Importe Neto]],Imput[[C. Imp.]:[C. Imp.]],$D1190,Imput[[PERIODO Imp.]:[PERIODO Imp.]],BS$9)</f>
        <v>0</v>
      </c>
      <c r="BT1190" s="693">
        <f>SUMIFS(Imput[[Importe Neto]:[Importe Neto]],Imput[[C. Imp.]:[C. Imp.]],$D1190,Imput[[PERIODO Imp.]:[PERIODO Imp.]],BT$9)</f>
        <v>0</v>
      </c>
      <c r="BU1190" s="693">
        <f>SUMIFS(Imput[[Importe Neto]:[Importe Neto]],Imput[[C. Imp.]:[C. Imp.]],$D1190,Imput[[PERIODO Imp.]:[PERIODO Imp.]],BU$9)</f>
        <v>0</v>
      </c>
      <c r="BV1190" s="693">
        <f>SUMIFS(Imput[[Importe Neto]:[Importe Neto]],Imput[[C. Imp.]:[C. Imp.]],$D1190,Imput[[PERIODO Imp.]:[PERIODO Imp.]],BV$9)</f>
        <v>0</v>
      </c>
      <c r="BW1190" s="693">
        <f>SUMIFS(Imput[[Importe Neto]:[Importe Neto]],Imput[[C. Imp.]:[C. Imp.]],$D1190,Imput[[PERIODO Imp.]:[PERIODO Imp.]],BW$9)</f>
        <v>0</v>
      </c>
      <c r="BX1190" s="693">
        <f>SUMIFS(Imput[[Importe Neto]:[Importe Neto]],Imput[[C. Imp.]:[C. Imp.]],$D1190,Imput[[PERIODO Imp.]:[PERIODO Imp.]],BX$9)</f>
        <v>0</v>
      </c>
      <c r="BY1190" s="693">
        <f>SUMIFS(Imput[[Importe Neto]:[Importe Neto]],Imput[[C. Imp.]:[C. Imp.]],$D1190,Imput[[PERIODO Imp.]:[PERIODO Imp.]],BY$9)</f>
        <v>0</v>
      </c>
      <c r="BZ1190" s="693">
        <f>SUMIFS(Imput[[Importe Neto]:[Importe Neto]],Imput[[C. Imp.]:[C. Imp.]],$D1190,Imput[[PERIODO Imp.]:[PERIODO Imp.]],BZ$9)</f>
        <v>0</v>
      </c>
      <c r="CA1190" s="693">
        <f>SUMIFS(Imput[[Importe Neto]:[Importe Neto]],Imput[[C. Imp.]:[C. Imp.]],$D1190,Imput[[PERIODO Imp.]:[PERIODO Imp.]],CA$9)</f>
        <v>0</v>
      </c>
      <c r="CB1190" s="693">
        <f>SUMIFS(Imput[[Importe Neto]:[Importe Neto]],Imput[[C. Imp.]:[C. Imp.]],$D1190,Imput[[PERIODO Imp.]:[PERIODO Imp.]],CB$9)</f>
        <v>0</v>
      </c>
      <c r="CC1190" s="693">
        <f>SUMIFS(Imput[[Importe Neto]:[Importe Neto]],Imput[[C. Imp.]:[C. Imp.]],$D1190,Imput[[PERIODO Imp.]:[PERIODO Imp.]],CC$9)</f>
        <v>0</v>
      </c>
      <c r="CD1190" s="693">
        <f>SUMIFS(Imput[[Importe Neto]:[Importe Neto]],Imput[[C. Imp.]:[C. Imp.]],$D1190,Imput[[PERIODO Imp.]:[PERIODO Imp.]],CD$9)</f>
        <v>0</v>
      </c>
      <c r="CE1190" s="693">
        <f>SUMIFS(Imput[[Importe Neto]:[Importe Neto]],Imput[[C. Imp.]:[C. Imp.]],$D1190,Imput[[PERIODO Imp.]:[PERIODO Imp.]],CE$9)</f>
        <v>0</v>
      </c>
      <c r="CF1190" s="693">
        <f>SUMIFS(Imput[[Importe Neto]:[Importe Neto]],Imput[[C. Imp.]:[C. Imp.]],$D1190,Imput[[PERIODO Imp.]:[PERIODO Imp.]],CF$9)</f>
        <v>0</v>
      </c>
      <c r="CG1190" s="693">
        <f>SUMIFS(Imput[[Importe Neto]:[Importe Neto]],Imput[[C. Imp.]:[C. Imp.]],$D1190,Imput[[PERIODO Imp.]:[PERIODO Imp.]],CG$9)</f>
        <v>0</v>
      </c>
      <c r="CH1190" s="693">
        <f>SUMIFS(Imput[[Importe Neto]:[Importe Neto]],Imput[[C. Imp.]:[C. Imp.]],$D1190,Imput[[PERIODO Imp.]:[PERIODO Imp.]],CH$9)</f>
        <v>0</v>
      </c>
      <c r="CI1190" s="693">
        <f>SUMIFS(Imput[[Importe Neto]:[Importe Neto]],Imput[[C. Imp.]:[C. Imp.]],$D1190,Imput[[PERIODO Imp.]:[PERIODO Imp.]],CI$9)</f>
        <v>0</v>
      </c>
      <c r="CJ1190" s="693">
        <f>SUMIFS(Imput[[Importe Neto]:[Importe Neto]],Imput[[C. Imp.]:[C. Imp.]],$D1190,Imput[[PERIODO Imp.]:[PERIODO Imp.]],CJ$9)</f>
        <v>0</v>
      </c>
      <c r="CK1190" s="693">
        <f>SUMIFS(Imput[[Importe Neto]:[Importe Neto]],Imput[[C. Imp.]:[C. Imp.]],$D1190,Imput[[PERIODO Imp.]:[PERIODO Imp.]],CK$9)</f>
        <v>0</v>
      </c>
      <c r="CL1190" s="693">
        <f>SUMIFS(Imput[[Importe Neto]:[Importe Neto]],Imput[[C. Imp.]:[C. Imp.]],$D1190,Imput[[PERIODO Imp.]:[PERIODO Imp.]],CL$9)</f>
        <v>0</v>
      </c>
      <c r="CM1190" s="693">
        <f>SUMIFS(Imput[[Importe Neto]:[Importe Neto]],Imput[[C. Imp.]:[C. Imp.]],$D1190,Imput[[PERIODO Imp.]:[PERIODO Imp.]],CM$9)</f>
        <v>0</v>
      </c>
      <c r="CN1190" s="693">
        <f>SUMIFS(Imput[[Importe Neto]:[Importe Neto]],Imput[[C. Imp.]:[C. Imp.]],$D1190,Imput[[PERIODO Imp.]:[PERIODO Imp.]],CN$9)</f>
        <v>0</v>
      </c>
      <c r="CO1190" s="693">
        <f>SUMIFS(Imput[[Importe Neto]:[Importe Neto]],Imput[[C. Imp.]:[C. Imp.]],$D1190,Imput[[PERIODO Imp.]:[PERIODO Imp.]],CO$9)</f>
        <v>0</v>
      </c>
      <c r="CP1190" s="693">
        <f>SUMIFS(Imput[[Importe Neto]:[Importe Neto]],Imput[[C. Imp.]:[C. Imp.]],$D1190,Imput[[PERIODO Imp.]:[PERIODO Imp.]],CP$9)</f>
        <v>0</v>
      </c>
      <c r="CQ1190" s="693">
        <f>SUMIFS(Imput[[Importe Neto]:[Importe Neto]],Imput[[C. Imp.]:[C. Imp.]],$D1190,Imput[[PERIODO Imp.]:[PERIODO Imp.]],CQ$9)</f>
        <v>0</v>
      </c>
      <c r="CR1190" s="693">
        <f>SUMIFS(Imput[[Importe Neto]:[Importe Neto]],Imput[[C. Imp.]:[C. Imp.]],$D1190,Imput[[PERIODO Imp.]:[PERIODO Imp.]],CR$9)</f>
        <v>0</v>
      </c>
      <c r="CS1190" s="693">
        <f>SUMIFS(Imput[[Importe Neto]:[Importe Neto]],Imput[[C. Imp.]:[C. Imp.]],$D1190,Imput[[PERIODO Imp.]:[PERIODO Imp.]],CS$9)</f>
        <v>0</v>
      </c>
      <c r="CT1190" s="693">
        <f>SUMIFS(Imput[[Importe Neto]:[Importe Neto]],Imput[[C. Imp.]:[C. Imp.]],$D1190,Imput[[PERIODO Imp.]:[PERIODO Imp.]],CT$9)</f>
        <v>0</v>
      </c>
      <c r="CU1190" s="693">
        <f>SUMIFS(Imput[[Importe Neto]:[Importe Neto]],Imput[[C. Imp.]:[C. Imp.]],$D1190,Imput[[PERIODO Imp.]:[PERIODO Imp.]],CU$9)</f>
        <v>0</v>
      </c>
      <c r="CV1190" s="693">
        <f>SUMIFS(Imput[[Importe Neto]:[Importe Neto]],Imput[[C. Imp.]:[C. Imp.]],$D1190,Imput[[PERIODO Imp.]:[PERIODO Imp.]],CV$9)</f>
        <v>0</v>
      </c>
      <c r="CW1190" s="693">
        <f>SUMIFS(Imput[[Importe Neto]:[Importe Neto]],Imput[[C. Imp.]:[C. Imp.]],$D1190,Imput[[PERIODO Imp.]:[PERIODO Imp.]],CW$9)</f>
        <v>0</v>
      </c>
      <c r="CX1190" s="693">
        <f>SUMIFS(Imput[[Importe Neto]:[Importe Neto]],Imput[[C. Imp.]:[C. Imp.]],$D1190,Imput[[PERIODO Imp.]:[PERIODO Imp.]],CX$9)</f>
        <v>0</v>
      </c>
      <c r="CY1190" s="693">
        <f>SUMIFS(Imput[[Importe Neto]:[Importe Neto]],Imput[[C. Imp.]:[C. Imp.]],$D1190,Imput[[PERIODO Imp.]:[PERIODO Imp.]],CY$9)</f>
        <v>0</v>
      </c>
      <c r="CZ1190" s="693">
        <f>SUMIFS(Imput[[Importe Neto]:[Importe Neto]],Imput[[C. Imp.]:[C. Imp.]],$D1190,Imput[[PERIODO Imp.]:[PERIODO Imp.]],CZ$9)</f>
        <v>0</v>
      </c>
      <c r="DA1190" s="693">
        <f>SUMIFS(Imput[[Importe Neto]:[Importe Neto]],Imput[[C. Imp.]:[C. Imp.]],$D1190,Imput[[PERIODO Imp.]:[PERIODO Imp.]],DA$9)</f>
        <v>0</v>
      </c>
      <c r="DB1190" s="693">
        <f>SUMIFS(Imput[[Importe Neto]:[Importe Neto]],Imput[[C. Imp.]:[C. Imp.]],$D1190,Imput[[PERIODO Imp.]:[PERIODO Imp.]],DB$9)</f>
        <v>0</v>
      </c>
      <c r="DC1190" s="693">
        <f>SUMIFS(Imput[[Importe Neto]:[Importe Neto]],Imput[[C. Imp.]:[C. Imp.]],$D1190,Imput[[PERIODO Imp.]:[PERIODO Imp.]],DC$9)</f>
        <v>0</v>
      </c>
      <c r="DD1190" s="693">
        <f>SUMIFS(Imput[[Importe Neto]:[Importe Neto]],Imput[[C. Imp.]:[C. Imp.]],$D1190,Imput[[PERIODO Imp.]:[PERIODO Imp.]],DD$9)</f>
        <v>0</v>
      </c>
      <c r="DE1190" s="693">
        <f>SUMIFS(Imput[[Importe Neto]:[Importe Neto]],Imput[[C. Imp.]:[C. Imp.]],$D1190,Imput[[PERIODO Imp.]:[PERIODO Imp.]],DE$9)</f>
        <v>0</v>
      </c>
      <c r="DF1190" s="693">
        <f>SUMIFS(Imput[[Importe Neto]:[Importe Neto]],Imput[[C. Imp.]:[C. Imp.]],$D1190,Imput[[PERIODO Imp.]:[PERIODO Imp.]],DF$9)</f>
        <v>0</v>
      </c>
      <c r="DG1190" s="693">
        <f>SUMIFS(Imput[[Importe Neto]:[Importe Neto]],Imput[[C. Imp.]:[C. Imp.]],$D1190,Imput[[PERIODO Imp.]:[PERIODO Imp.]],DG$9)</f>
        <v>0</v>
      </c>
      <c r="DH1190" s="694">
        <f>SUMIFS(Imput[[Importe Neto]:[Importe Neto]],Imput[[C. Imp.]:[C. Imp.]],$D1190,Imput[[PERIODO Imp.]:[PERIODO Imp.]],DH$9)</f>
        <v>0</v>
      </c>
    </row>
    <row r="1191" spans="1:139" s="649" customFormat="1" hidden="1" outlineLevel="1" x14ac:dyDescent="0.3">
      <c r="A1191" s="652" t="str">
        <f t="shared" si="396"/>
        <v/>
      </c>
      <c r="B1191" s="652"/>
      <c r="C1191" s="685"/>
      <c r="D1191" s="686"/>
      <c r="E1191" s="686"/>
      <c r="F1191" s="720"/>
      <c r="G1191" s="688"/>
      <c r="H1191" s="689"/>
      <c r="I1191" s="851" t="str">
        <f>IF(E1191&gt;0,$J$5,"")</f>
        <v/>
      </c>
      <c r="J1191" s="517" t="str">
        <f t="shared" si="397"/>
        <v/>
      </c>
      <c r="K1191" s="667"/>
      <c r="L1191" s="858"/>
      <c r="M1191" s="859"/>
      <c r="N1191" s="859"/>
      <c r="O1191" s="859"/>
      <c r="P1191" s="859"/>
      <c r="Q1191" s="859"/>
      <c r="R1191" s="859"/>
      <c r="S1191" s="859"/>
      <c r="T1191" s="859"/>
      <c r="U1191" s="859"/>
      <c r="V1191" s="859"/>
      <c r="W1191" s="859"/>
      <c r="X1191" s="859"/>
      <c r="Y1191" s="859"/>
      <c r="Z1191" s="860"/>
      <c r="AA1191" s="860"/>
      <c r="AB1191" s="860"/>
      <c r="AC1191" s="860"/>
      <c r="AD1191" s="860"/>
      <c r="AE1191" s="860"/>
      <c r="AF1191" s="860"/>
      <c r="AG1191" s="860"/>
      <c r="AH1191" s="860"/>
      <c r="AI1191" s="860"/>
      <c r="AJ1191" s="860"/>
      <c r="AK1191" s="860"/>
      <c r="AL1191" s="860"/>
      <c r="AM1191" s="860"/>
      <c r="AN1191" s="860"/>
      <c r="AO1191" s="860"/>
      <c r="AP1191" s="860"/>
      <c r="AQ1191" s="860"/>
      <c r="AR1191" s="860"/>
      <c r="AS1191" s="860"/>
      <c r="AT1191" s="860"/>
      <c r="AU1191" s="860"/>
      <c r="AV1191" s="860"/>
      <c r="AW1191" s="860"/>
      <c r="AX1191" s="860"/>
      <c r="AY1191" s="860"/>
      <c r="AZ1191" s="860"/>
      <c r="BA1191" s="860"/>
      <c r="BB1191" s="860"/>
      <c r="BC1191" s="860"/>
      <c r="BD1191" s="860"/>
      <c r="BE1191" s="860"/>
      <c r="BF1191" s="860"/>
      <c r="BG1191" s="860"/>
      <c r="BH1191" s="668"/>
      <c r="BI1191" s="654"/>
      <c r="BJ1191" s="690">
        <f>IFERROR(BK1191/J1191,0)</f>
        <v>0</v>
      </c>
      <c r="BK1191" s="691">
        <f>SUM(BM1191:DH1191)</f>
        <v>0</v>
      </c>
      <c r="BL1191" s="654"/>
      <c r="BM1191" s="692">
        <f>SUMIFS(Imput[[Importe Neto]:[Importe Neto]],Imput[[C. Imp.]:[C. Imp.]],$D1191,Imput[[PERIODO Imp.]:[PERIODO Imp.]],BM$9)</f>
        <v>0</v>
      </c>
      <c r="BN1191" s="693">
        <f>SUMIFS(Imput[[Importe Neto]:[Importe Neto]],Imput[[C. Imp.]:[C. Imp.]],$D1191,Imput[[PERIODO Imp.]:[PERIODO Imp.]],BN$9)</f>
        <v>0</v>
      </c>
      <c r="BO1191" s="693">
        <f>SUMIFS(Imput[[Importe Neto]:[Importe Neto]],Imput[[C. Imp.]:[C. Imp.]],$D1191,Imput[[PERIODO Imp.]:[PERIODO Imp.]],BO$9)</f>
        <v>0</v>
      </c>
      <c r="BP1191" s="693">
        <f>SUMIFS(Imput[[Importe Neto]:[Importe Neto]],Imput[[C. Imp.]:[C. Imp.]],$D1191,Imput[[PERIODO Imp.]:[PERIODO Imp.]],BP$9)</f>
        <v>0</v>
      </c>
      <c r="BQ1191" s="693">
        <f>SUMIFS(Imput[[Importe Neto]:[Importe Neto]],Imput[[C. Imp.]:[C. Imp.]],$D1191,Imput[[PERIODO Imp.]:[PERIODO Imp.]],BQ$9)</f>
        <v>0</v>
      </c>
      <c r="BR1191" s="693">
        <f>SUMIFS(Imput[[Importe Neto]:[Importe Neto]],Imput[[C. Imp.]:[C. Imp.]],$D1191,Imput[[PERIODO Imp.]:[PERIODO Imp.]],BR$9)</f>
        <v>0</v>
      </c>
      <c r="BS1191" s="693">
        <f>SUMIFS(Imput[[Importe Neto]:[Importe Neto]],Imput[[C. Imp.]:[C. Imp.]],$D1191,Imput[[PERIODO Imp.]:[PERIODO Imp.]],BS$9)</f>
        <v>0</v>
      </c>
      <c r="BT1191" s="693">
        <f>SUMIFS(Imput[[Importe Neto]:[Importe Neto]],Imput[[C. Imp.]:[C. Imp.]],$D1191,Imput[[PERIODO Imp.]:[PERIODO Imp.]],BT$9)</f>
        <v>0</v>
      </c>
      <c r="BU1191" s="693">
        <f>SUMIFS(Imput[[Importe Neto]:[Importe Neto]],Imput[[C. Imp.]:[C. Imp.]],$D1191,Imput[[PERIODO Imp.]:[PERIODO Imp.]],BU$9)</f>
        <v>0</v>
      </c>
      <c r="BV1191" s="693">
        <f>SUMIFS(Imput[[Importe Neto]:[Importe Neto]],Imput[[C. Imp.]:[C. Imp.]],$D1191,Imput[[PERIODO Imp.]:[PERIODO Imp.]],BV$9)</f>
        <v>0</v>
      </c>
      <c r="BW1191" s="693">
        <f>SUMIFS(Imput[[Importe Neto]:[Importe Neto]],Imput[[C. Imp.]:[C. Imp.]],$D1191,Imput[[PERIODO Imp.]:[PERIODO Imp.]],BW$9)</f>
        <v>0</v>
      </c>
      <c r="BX1191" s="693">
        <f>SUMIFS(Imput[[Importe Neto]:[Importe Neto]],Imput[[C. Imp.]:[C. Imp.]],$D1191,Imput[[PERIODO Imp.]:[PERIODO Imp.]],BX$9)</f>
        <v>0</v>
      </c>
      <c r="BY1191" s="693">
        <f>SUMIFS(Imput[[Importe Neto]:[Importe Neto]],Imput[[C. Imp.]:[C. Imp.]],$D1191,Imput[[PERIODO Imp.]:[PERIODO Imp.]],BY$9)</f>
        <v>0</v>
      </c>
      <c r="BZ1191" s="693">
        <f>SUMIFS(Imput[[Importe Neto]:[Importe Neto]],Imput[[C. Imp.]:[C. Imp.]],$D1191,Imput[[PERIODO Imp.]:[PERIODO Imp.]],BZ$9)</f>
        <v>0</v>
      </c>
      <c r="CA1191" s="693">
        <f>SUMIFS(Imput[[Importe Neto]:[Importe Neto]],Imput[[C. Imp.]:[C. Imp.]],$D1191,Imput[[PERIODO Imp.]:[PERIODO Imp.]],CA$9)</f>
        <v>0</v>
      </c>
      <c r="CB1191" s="693">
        <f>SUMIFS(Imput[[Importe Neto]:[Importe Neto]],Imput[[C. Imp.]:[C. Imp.]],$D1191,Imput[[PERIODO Imp.]:[PERIODO Imp.]],CB$9)</f>
        <v>0</v>
      </c>
      <c r="CC1191" s="693">
        <f>SUMIFS(Imput[[Importe Neto]:[Importe Neto]],Imput[[C. Imp.]:[C. Imp.]],$D1191,Imput[[PERIODO Imp.]:[PERIODO Imp.]],CC$9)</f>
        <v>0</v>
      </c>
      <c r="CD1191" s="693">
        <f>SUMIFS(Imput[[Importe Neto]:[Importe Neto]],Imput[[C. Imp.]:[C. Imp.]],$D1191,Imput[[PERIODO Imp.]:[PERIODO Imp.]],CD$9)</f>
        <v>0</v>
      </c>
      <c r="CE1191" s="693">
        <f>SUMIFS(Imput[[Importe Neto]:[Importe Neto]],Imput[[C. Imp.]:[C. Imp.]],$D1191,Imput[[PERIODO Imp.]:[PERIODO Imp.]],CE$9)</f>
        <v>0</v>
      </c>
      <c r="CF1191" s="693">
        <f>SUMIFS(Imput[[Importe Neto]:[Importe Neto]],Imput[[C. Imp.]:[C. Imp.]],$D1191,Imput[[PERIODO Imp.]:[PERIODO Imp.]],CF$9)</f>
        <v>0</v>
      </c>
      <c r="CG1191" s="693">
        <f>SUMIFS(Imput[[Importe Neto]:[Importe Neto]],Imput[[C. Imp.]:[C. Imp.]],$D1191,Imput[[PERIODO Imp.]:[PERIODO Imp.]],CG$9)</f>
        <v>0</v>
      </c>
      <c r="CH1191" s="693">
        <f>SUMIFS(Imput[[Importe Neto]:[Importe Neto]],Imput[[C. Imp.]:[C. Imp.]],$D1191,Imput[[PERIODO Imp.]:[PERIODO Imp.]],CH$9)</f>
        <v>0</v>
      </c>
      <c r="CI1191" s="693">
        <f>SUMIFS(Imput[[Importe Neto]:[Importe Neto]],Imput[[C. Imp.]:[C. Imp.]],$D1191,Imput[[PERIODO Imp.]:[PERIODO Imp.]],CI$9)</f>
        <v>0</v>
      </c>
      <c r="CJ1191" s="693">
        <f>SUMIFS(Imput[[Importe Neto]:[Importe Neto]],Imput[[C. Imp.]:[C. Imp.]],$D1191,Imput[[PERIODO Imp.]:[PERIODO Imp.]],CJ$9)</f>
        <v>0</v>
      </c>
      <c r="CK1191" s="693">
        <f>SUMIFS(Imput[[Importe Neto]:[Importe Neto]],Imput[[C. Imp.]:[C. Imp.]],$D1191,Imput[[PERIODO Imp.]:[PERIODO Imp.]],CK$9)</f>
        <v>0</v>
      </c>
      <c r="CL1191" s="693">
        <f>SUMIFS(Imput[[Importe Neto]:[Importe Neto]],Imput[[C. Imp.]:[C. Imp.]],$D1191,Imput[[PERIODO Imp.]:[PERIODO Imp.]],CL$9)</f>
        <v>0</v>
      </c>
      <c r="CM1191" s="693">
        <f>SUMIFS(Imput[[Importe Neto]:[Importe Neto]],Imput[[C. Imp.]:[C. Imp.]],$D1191,Imput[[PERIODO Imp.]:[PERIODO Imp.]],CM$9)</f>
        <v>0</v>
      </c>
      <c r="CN1191" s="693">
        <f>SUMIFS(Imput[[Importe Neto]:[Importe Neto]],Imput[[C. Imp.]:[C. Imp.]],$D1191,Imput[[PERIODO Imp.]:[PERIODO Imp.]],CN$9)</f>
        <v>0</v>
      </c>
      <c r="CO1191" s="693">
        <f>SUMIFS(Imput[[Importe Neto]:[Importe Neto]],Imput[[C. Imp.]:[C. Imp.]],$D1191,Imput[[PERIODO Imp.]:[PERIODO Imp.]],CO$9)</f>
        <v>0</v>
      </c>
      <c r="CP1191" s="693">
        <f>SUMIFS(Imput[[Importe Neto]:[Importe Neto]],Imput[[C. Imp.]:[C. Imp.]],$D1191,Imput[[PERIODO Imp.]:[PERIODO Imp.]],CP$9)</f>
        <v>0</v>
      </c>
      <c r="CQ1191" s="693">
        <f>SUMIFS(Imput[[Importe Neto]:[Importe Neto]],Imput[[C. Imp.]:[C. Imp.]],$D1191,Imput[[PERIODO Imp.]:[PERIODO Imp.]],CQ$9)</f>
        <v>0</v>
      </c>
      <c r="CR1191" s="693">
        <f>SUMIFS(Imput[[Importe Neto]:[Importe Neto]],Imput[[C. Imp.]:[C. Imp.]],$D1191,Imput[[PERIODO Imp.]:[PERIODO Imp.]],CR$9)</f>
        <v>0</v>
      </c>
      <c r="CS1191" s="693">
        <f>SUMIFS(Imput[[Importe Neto]:[Importe Neto]],Imput[[C. Imp.]:[C. Imp.]],$D1191,Imput[[PERIODO Imp.]:[PERIODO Imp.]],CS$9)</f>
        <v>0</v>
      </c>
      <c r="CT1191" s="693">
        <f>SUMIFS(Imput[[Importe Neto]:[Importe Neto]],Imput[[C. Imp.]:[C. Imp.]],$D1191,Imput[[PERIODO Imp.]:[PERIODO Imp.]],CT$9)</f>
        <v>0</v>
      </c>
      <c r="CU1191" s="693">
        <f>SUMIFS(Imput[[Importe Neto]:[Importe Neto]],Imput[[C. Imp.]:[C. Imp.]],$D1191,Imput[[PERIODO Imp.]:[PERIODO Imp.]],CU$9)</f>
        <v>0</v>
      </c>
      <c r="CV1191" s="693">
        <f>SUMIFS(Imput[[Importe Neto]:[Importe Neto]],Imput[[C. Imp.]:[C. Imp.]],$D1191,Imput[[PERIODO Imp.]:[PERIODO Imp.]],CV$9)</f>
        <v>0</v>
      </c>
      <c r="CW1191" s="693">
        <f>SUMIFS(Imput[[Importe Neto]:[Importe Neto]],Imput[[C. Imp.]:[C. Imp.]],$D1191,Imput[[PERIODO Imp.]:[PERIODO Imp.]],CW$9)</f>
        <v>0</v>
      </c>
      <c r="CX1191" s="693">
        <f>SUMIFS(Imput[[Importe Neto]:[Importe Neto]],Imput[[C. Imp.]:[C. Imp.]],$D1191,Imput[[PERIODO Imp.]:[PERIODO Imp.]],CX$9)</f>
        <v>0</v>
      </c>
      <c r="CY1191" s="693">
        <f>SUMIFS(Imput[[Importe Neto]:[Importe Neto]],Imput[[C. Imp.]:[C. Imp.]],$D1191,Imput[[PERIODO Imp.]:[PERIODO Imp.]],CY$9)</f>
        <v>0</v>
      </c>
      <c r="CZ1191" s="693">
        <f>SUMIFS(Imput[[Importe Neto]:[Importe Neto]],Imput[[C. Imp.]:[C. Imp.]],$D1191,Imput[[PERIODO Imp.]:[PERIODO Imp.]],CZ$9)</f>
        <v>0</v>
      </c>
      <c r="DA1191" s="693">
        <f>SUMIFS(Imput[[Importe Neto]:[Importe Neto]],Imput[[C. Imp.]:[C. Imp.]],$D1191,Imput[[PERIODO Imp.]:[PERIODO Imp.]],DA$9)</f>
        <v>0</v>
      </c>
      <c r="DB1191" s="693">
        <f>SUMIFS(Imput[[Importe Neto]:[Importe Neto]],Imput[[C. Imp.]:[C. Imp.]],$D1191,Imput[[PERIODO Imp.]:[PERIODO Imp.]],DB$9)</f>
        <v>0</v>
      </c>
      <c r="DC1191" s="693">
        <f>SUMIFS(Imput[[Importe Neto]:[Importe Neto]],Imput[[C. Imp.]:[C. Imp.]],$D1191,Imput[[PERIODO Imp.]:[PERIODO Imp.]],DC$9)</f>
        <v>0</v>
      </c>
      <c r="DD1191" s="693">
        <f>SUMIFS(Imput[[Importe Neto]:[Importe Neto]],Imput[[C. Imp.]:[C. Imp.]],$D1191,Imput[[PERIODO Imp.]:[PERIODO Imp.]],DD$9)</f>
        <v>0</v>
      </c>
      <c r="DE1191" s="693">
        <f>SUMIFS(Imput[[Importe Neto]:[Importe Neto]],Imput[[C. Imp.]:[C. Imp.]],$D1191,Imput[[PERIODO Imp.]:[PERIODO Imp.]],DE$9)</f>
        <v>0</v>
      </c>
      <c r="DF1191" s="693">
        <f>SUMIFS(Imput[[Importe Neto]:[Importe Neto]],Imput[[C. Imp.]:[C. Imp.]],$D1191,Imput[[PERIODO Imp.]:[PERIODO Imp.]],DF$9)</f>
        <v>0</v>
      </c>
      <c r="DG1191" s="693">
        <f>SUMIFS(Imput[[Importe Neto]:[Importe Neto]],Imput[[C. Imp.]:[C. Imp.]],$D1191,Imput[[PERIODO Imp.]:[PERIODO Imp.]],DG$9)</f>
        <v>0</v>
      </c>
      <c r="DH1191" s="694">
        <f>SUMIFS(Imput[[Importe Neto]:[Importe Neto]],Imput[[C. Imp.]:[C. Imp.]],$D1191,Imput[[PERIODO Imp.]:[PERIODO Imp.]],DH$9)</f>
        <v>0</v>
      </c>
    </row>
    <row r="1192" spans="1:139" s="649" customFormat="1" hidden="1" outlineLevel="1" x14ac:dyDescent="0.3">
      <c r="A1192" s="652" t="str">
        <f t="shared" si="396"/>
        <v/>
      </c>
      <c r="B1192" s="652"/>
      <c r="C1192" s="685"/>
      <c r="D1192" s="686"/>
      <c r="E1192" s="686"/>
      <c r="F1192" s="737"/>
      <c r="G1192" s="688"/>
      <c r="H1192" s="696"/>
      <c r="I1192" s="851" t="str">
        <f>IF(E1192&gt;0,$J$5,"")</f>
        <v/>
      </c>
      <c r="J1192" s="517" t="str">
        <f t="shared" si="397"/>
        <v/>
      </c>
      <c r="K1192" s="667"/>
      <c r="L1192" s="858"/>
      <c r="M1192" s="859"/>
      <c r="N1192" s="859"/>
      <c r="O1192" s="859"/>
      <c r="P1192" s="859"/>
      <c r="Q1192" s="859"/>
      <c r="R1192" s="859"/>
      <c r="S1192" s="859"/>
      <c r="T1192" s="859"/>
      <c r="U1192" s="859"/>
      <c r="V1192" s="859"/>
      <c r="W1192" s="859"/>
      <c r="X1192" s="859"/>
      <c r="Y1192" s="859"/>
      <c r="Z1192" s="860"/>
      <c r="AA1192" s="860"/>
      <c r="AB1192" s="860"/>
      <c r="AC1192" s="860"/>
      <c r="AD1192" s="860"/>
      <c r="AE1192" s="860"/>
      <c r="AF1192" s="860"/>
      <c r="AG1192" s="860"/>
      <c r="AH1192" s="860"/>
      <c r="AI1192" s="860"/>
      <c r="AJ1192" s="860"/>
      <c r="AK1192" s="860"/>
      <c r="AL1192" s="860"/>
      <c r="AM1192" s="860"/>
      <c r="AN1192" s="860"/>
      <c r="AO1192" s="860"/>
      <c r="AP1192" s="860"/>
      <c r="AQ1192" s="860"/>
      <c r="AR1192" s="860"/>
      <c r="AS1192" s="860"/>
      <c r="AT1192" s="860"/>
      <c r="AU1192" s="860"/>
      <c r="AV1192" s="860"/>
      <c r="AW1192" s="860"/>
      <c r="AX1192" s="860"/>
      <c r="AY1192" s="860"/>
      <c r="AZ1192" s="860"/>
      <c r="BA1192" s="860"/>
      <c r="BB1192" s="860"/>
      <c r="BC1192" s="860"/>
      <c r="BD1192" s="860"/>
      <c r="BE1192" s="860"/>
      <c r="BF1192" s="860"/>
      <c r="BG1192" s="860"/>
      <c r="BH1192" s="668"/>
      <c r="BI1192" s="654"/>
      <c r="BJ1192" s="690">
        <f>IFERROR(BK1192/J1192,0)</f>
        <v>0</v>
      </c>
      <c r="BK1192" s="691">
        <f>SUM(BM1192:DH1192)</f>
        <v>0</v>
      </c>
      <c r="BL1192" s="654"/>
      <c r="BM1192" s="692">
        <f>SUMIFS(Imput[[Importe Neto]:[Importe Neto]],Imput[[C. Imp.]:[C. Imp.]],$D1192,Imput[[PERIODO Imp.]:[PERIODO Imp.]],BM$9)</f>
        <v>0</v>
      </c>
      <c r="BN1192" s="693">
        <f>SUMIFS(Imput[[Importe Neto]:[Importe Neto]],Imput[[C. Imp.]:[C. Imp.]],$D1192,Imput[[PERIODO Imp.]:[PERIODO Imp.]],BN$9)</f>
        <v>0</v>
      </c>
      <c r="BO1192" s="693">
        <f>SUMIFS(Imput[[Importe Neto]:[Importe Neto]],Imput[[C. Imp.]:[C. Imp.]],$D1192,Imput[[PERIODO Imp.]:[PERIODO Imp.]],BO$9)</f>
        <v>0</v>
      </c>
      <c r="BP1192" s="693">
        <f>SUMIFS(Imput[[Importe Neto]:[Importe Neto]],Imput[[C. Imp.]:[C. Imp.]],$D1192,Imput[[PERIODO Imp.]:[PERIODO Imp.]],BP$9)</f>
        <v>0</v>
      </c>
      <c r="BQ1192" s="693">
        <f>SUMIFS(Imput[[Importe Neto]:[Importe Neto]],Imput[[C. Imp.]:[C. Imp.]],$D1192,Imput[[PERIODO Imp.]:[PERIODO Imp.]],BQ$9)</f>
        <v>0</v>
      </c>
      <c r="BR1192" s="693">
        <f>SUMIFS(Imput[[Importe Neto]:[Importe Neto]],Imput[[C. Imp.]:[C. Imp.]],$D1192,Imput[[PERIODO Imp.]:[PERIODO Imp.]],BR$9)</f>
        <v>0</v>
      </c>
      <c r="BS1192" s="693">
        <f>SUMIFS(Imput[[Importe Neto]:[Importe Neto]],Imput[[C. Imp.]:[C. Imp.]],$D1192,Imput[[PERIODO Imp.]:[PERIODO Imp.]],BS$9)</f>
        <v>0</v>
      </c>
      <c r="BT1192" s="693">
        <f>SUMIFS(Imput[[Importe Neto]:[Importe Neto]],Imput[[C. Imp.]:[C. Imp.]],$D1192,Imput[[PERIODO Imp.]:[PERIODO Imp.]],BT$9)</f>
        <v>0</v>
      </c>
      <c r="BU1192" s="693">
        <f>SUMIFS(Imput[[Importe Neto]:[Importe Neto]],Imput[[C. Imp.]:[C. Imp.]],$D1192,Imput[[PERIODO Imp.]:[PERIODO Imp.]],BU$9)</f>
        <v>0</v>
      </c>
      <c r="BV1192" s="693">
        <f>SUMIFS(Imput[[Importe Neto]:[Importe Neto]],Imput[[C. Imp.]:[C. Imp.]],$D1192,Imput[[PERIODO Imp.]:[PERIODO Imp.]],BV$9)</f>
        <v>0</v>
      </c>
      <c r="BW1192" s="693">
        <f>SUMIFS(Imput[[Importe Neto]:[Importe Neto]],Imput[[C. Imp.]:[C. Imp.]],$D1192,Imput[[PERIODO Imp.]:[PERIODO Imp.]],BW$9)</f>
        <v>0</v>
      </c>
      <c r="BX1192" s="693">
        <f>SUMIFS(Imput[[Importe Neto]:[Importe Neto]],Imput[[C. Imp.]:[C. Imp.]],$D1192,Imput[[PERIODO Imp.]:[PERIODO Imp.]],BX$9)</f>
        <v>0</v>
      </c>
      <c r="BY1192" s="693">
        <f>SUMIFS(Imput[[Importe Neto]:[Importe Neto]],Imput[[C. Imp.]:[C. Imp.]],$D1192,Imput[[PERIODO Imp.]:[PERIODO Imp.]],BY$9)</f>
        <v>0</v>
      </c>
      <c r="BZ1192" s="693">
        <f>SUMIFS(Imput[[Importe Neto]:[Importe Neto]],Imput[[C. Imp.]:[C. Imp.]],$D1192,Imput[[PERIODO Imp.]:[PERIODO Imp.]],BZ$9)</f>
        <v>0</v>
      </c>
      <c r="CA1192" s="693">
        <f>SUMIFS(Imput[[Importe Neto]:[Importe Neto]],Imput[[C. Imp.]:[C. Imp.]],$D1192,Imput[[PERIODO Imp.]:[PERIODO Imp.]],CA$9)</f>
        <v>0</v>
      </c>
      <c r="CB1192" s="693">
        <f>SUMIFS(Imput[[Importe Neto]:[Importe Neto]],Imput[[C. Imp.]:[C. Imp.]],$D1192,Imput[[PERIODO Imp.]:[PERIODO Imp.]],CB$9)</f>
        <v>0</v>
      </c>
      <c r="CC1192" s="693">
        <f>SUMIFS(Imput[[Importe Neto]:[Importe Neto]],Imput[[C. Imp.]:[C. Imp.]],$D1192,Imput[[PERIODO Imp.]:[PERIODO Imp.]],CC$9)</f>
        <v>0</v>
      </c>
      <c r="CD1192" s="693">
        <f>SUMIFS(Imput[[Importe Neto]:[Importe Neto]],Imput[[C. Imp.]:[C. Imp.]],$D1192,Imput[[PERIODO Imp.]:[PERIODO Imp.]],CD$9)</f>
        <v>0</v>
      </c>
      <c r="CE1192" s="693">
        <f>SUMIFS(Imput[[Importe Neto]:[Importe Neto]],Imput[[C. Imp.]:[C. Imp.]],$D1192,Imput[[PERIODO Imp.]:[PERIODO Imp.]],CE$9)</f>
        <v>0</v>
      </c>
      <c r="CF1192" s="693">
        <f>SUMIFS(Imput[[Importe Neto]:[Importe Neto]],Imput[[C. Imp.]:[C. Imp.]],$D1192,Imput[[PERIODO Imp.]:[PERIODO Imp.]],CF$9)</f>
        <v>0</v>
      </c>
      <c r="CG1192" s="693">
        <f>SUMIFS(Imput[[Importe Neto]:[Importe Neto]],Imput[[C. Imp.]:[C. Imp.]],$D1192,Imput[[PERIODO Imp.]:[PERIODO Imp.]],CG$9)</f>
        <v>0</v>
      </c>
      <c r="CH1192" s="693">
        <f>SUMIFS(Imput[[Importe Neto]:[Importe Neto]],Imput[[C. Imp.]:[C. Imp.]],$D1192,Imput[[PERIODO Imp.]:[PERIODO Imp.]],CH$9)</f>
        <v>0</v>
      </c>
      <c r="CI1192" s="693">
        <f>SUMIFS(Imput[[Importe Neto]:[Importe Neto]],Imput[[C. Imp.]:[C. Imp.]],$D1192,Imput[[PERIODO Imp.]:[PERIODO Imp.]],CI$9)</f>
        <v>0</v>
      </c>
      <c r="CJ1192" s="693">
        <f>SUMIFS(Imput[[Importe Neto]:[Importe Neto]],Imput[[C. Imp.]:[C. Imp.]],$D1192,Imput[[PERIODO Imp.]:[PERIODO Imp.]],CJ$9)</f>
        <v>0</v>
      </c>
      <c r="CK1192" s="693">
        <f>SUMIFS(Imput[[Importe Neto]:[Importe Neto]],Imput[[C. Imp.]:[C. Imp.]],$D1192,Imput[[PERIODO Imp.]:[PERIODO Imp.]],CK$9)</f>
        <v>0</v>
      </c>
      <c r="CL1192" s="693">
        <f>SUMIFS(Imput[[Importe Neto]:[Importe Neto]],Imput[[C. Imp.]:[C. Imp.]],$D1192,Imput[[PERIODO Imp.]:[PERIODO Imp.]],CL$9)</f>
        <v>0</v>
      </c>
      <c r="CM1192" s="693">
        <f>SUMIFS(Imput[[Importe Neto]:[Importe Neto]],Imput[[C. Imp.]:[C. Imp.]],$D1192,Imput[[PERIODO Imp.]:[PERIODO Imp.]],CM$9)</f>
        <v>0</v>
      </c>
      <c r="CN1192" s="693">
        <f>SUMIFS(Imput[[Importe Neto]:[Importe Neto]],Imput[[C. Imp.]:[C. Imp.]],$D1192,Imput[[PERIODO Imp.]:[PERIODO Imp.]],CN$9)</f>
        <v>0</v>
      </c>
      <c r="CO1192" s="693">
        <f>SUMIFS(Imput[[Importe Neto]:[Importe Neto]],Imput[[C. Imp.]:[C. Imp.]],$D1192,Imput[[PERIODO Imp.]:[PERIODO Imp.]],CO$9)</f>
        <v>0</v>
      </c>
      <c r="CP1192" s="693">
        <f>SUMIFS(Imput[[Importe Neto]:[Importe Neto]],Imput[[C. Imp.]:[C. Imp.]],$D1192,Imput[[PERIODO Imp.]:[PERIODO Imp.]],CP$9)</f>
        <v>0</v>
      </c>
      <c r="CQ1192" s="693">
        <f>SUMIFS(Imput[[Importe Neto]:[Importe Neto]],Imput[[C. Imp.]:[C. Imp.]],$D1192,Imput[[PERIODO Imp.]:[PERIODO Imp.]],CQ$9)</f>
        <v>0</v>
      </c>
      <c r="CR1192" s="693">
        <f>SUMIFS(Imput[[Importe Neto]:[Importe Neto]],Imput[[C. Imp.]:[C. Imp.]],$D1192,Imput[[PERIODO Imp.]:[PERIODO Imp.]],CR$9)</f>
        <v>0</v>
      </c>
      <c r="CS1192" s="693">
        <f>SUMIFS(Imput[[Importe Neto]:[Importe Neto]],Imput[[C. Imp.]:[C. Imp.]],$D1192,Imput[[PERIODO Imp.]:[PERIODO Imp.]],CS$9)</f>
        <v>0</v>
      </c>
      <c r="CT1192" s="693">
        <f>SUMIFS(Imput[[Importe Neto]:[Importe Neto]],Imput[[C. Imp.]:[C. Imp.]],$D1192,Imput[[PERIODO Imp.]:[PERIODO Imp.]],CT$9)</f>
        <v>0</v>
      </c>
      <c r="CU1192" s="693">
        <f>SUMIFS(Imput[[Importe Neto]:[Importe Neto]],Imput[[C. Imp.]:[C. Imp.]],$D1192,Imput[[PERIODO Imp.]:[PERIODO Imp.]],CU$9)</f>
        <v>0</v>
      </c>
      <c r="CV1192" s="693">
        <f>SUMIFS(Imput[[Importe Neto]:[Importe Neto]],Imput[[C. Imp.]:[C. Imp.]],$D1192,Imput[[PERIODO Imp.]:[PERIODO Imp.]],CV$9)</f>
        <v>0</v>
      </c>
      <c r="CW1192" s="693">
        <f>SUMIFS(Imput[[Importe Neto]:[Importe Neto]],Imput[[C. Imp.]:[C. Imp.]],$D1192,Imput[[PERIODO Imp.]:[PERIODO Imp.]],CW$9)</f>
        <v>0</v>
      </c>
      <c r="CX1192" s="693">
        <f>SUMIFS(Imput[[Importe Neto]:[Importe Neto]],Imput[[C. Imp.]:[C. Imp.]],$D1192,Imput[[PERIODO Imp.]:[PERIODO Imp.]],CX$9)</f>
        <v>0</v>
      </c>
      <c r="CY1192" s="693">
        <f>SUMIFS(Imput[[Importe Neto]:[Importe Neto]],Imput[[C. Imp.]:[C. Imp.]],$D1192,Imput[[PERIODO Imp.]:[PERIODO Imp.]],CY$9)</f>
        <v>0</v>
      </c>
      <c r="CZ1192" s="693">
        <f>SUMIFS(Imput[[Importe Neto]:[Importe Neto]],Imput[[C. Imp.]:[C. Imp.]],$D1192,Imput[[PERIODO Imp.]:[PERIODO Imp.]],CZ$9)</f>
        <v>0</v>
      </c>
      <c r="DA1192" s="693">
        <f>SUMIFS(Imput[[Importe Neto]:[Importe Neto]],Imput[[C. Imp.]:[C. Imp.]],$D1192,Imput[[PERIODO Imp.]:[PERIODO Imp.]],DA$9)</f>
        <v>0</v>
      </c>
      <c r="DB1192" s="693">
        <f>SUMIFS(Imput[[Importe Neto]:[Importe Neto]],Imput[[C. Imp.]:[C. Imp.]],$D1192,Imput[[PERIODO Imp.]:[PERIODO Imp.]],DB$9)</f>
        <v>0</v>
      </c>
      <c r="DC1192" s="693">
        <f>SUMIFS(Imput[[Importe Neto]:[Importe Neto]],Imput[[C. Imp.]:[C. Imp.]],$D1192,Imput[[PERIODO Imp.]:[PERIODO Imp.]],DC$9)</f>
        <v>0</v>
      </c>
      <c r="DD1192" s="693">
        <f>SUMIFS(Imput[[Importe Neto]:[Importe Neto]],Imput[[C. Imp.]:[C. Imp.]],$D1192,Imput[[PERIODO Imp.]:[PERIODO Imp.]],DD$9)</f>
        <v>0</v>
      </c>
      <c r="DE1192" s="693">
        <f>SUMIFS(Imput[[Importe Neto]:[Importe Neto]],Imput[[C. Imp.]:[C. Imp.]],$D1192,Imput[[PERIODO Imp.]:[PERIODO Imp.]],DE$9)</f>
        <v>0</v>
      </c>
      <c r="DF1192" s="693">
        <f>SUMIFS(Imput[[Importe Neto]:[Importe Neto]],Imput[[C. Imp.]:[C. Imp.]],$D1192,Imput[[PERIODO Imp.]:[PERIODO Imp.]],DF$9)</f>
        <v>0</v>
      </c>
      <c r="DG1192" s="693">
        <f>SUMIFS(Imput[[Importe Neto]:[Importe Neto]],Imput[[C. Imp.]:[C. Imp.]],$D1192,Imput[[PERIODO Imp.]:[PERIODO Imp.]],DG$9)</f>
        <v>0</v>
      </c>
      <c r="DH1192" s="694">
        <f>SUMIFS(Imput[[Importe Neto]:[Importe Neto]],Imput[[C. Imp.]:[C. Imp.]],$D1192,Imput[[PERIODO Imp.]:[PERIODO Imp.]],DH$9)</f>
        <v>0</v>
      </c>
    </row>
    <row r="1193" spans="1:139" s="649" customFormat="1" ht="14.4" hidden="1" outlineLevel="1" thickBot="1" x14ac:dyDescent="0.35">
      <c r="A1193" s="652" t="str">
        <f>IF(J1187&gt;0,"Imprimir","")</f>
        <v/>
      </c>
      <c r="B1193" s="652"/>
      <c r="C1193" s="699"/>
      <c r="D1193" s="700"/>
      <c r="E1193" s="700"/>
      <c r="F1193" s="701"/>
      <c r="G1193" s="702"/>
      <c r="H1193" s="701"/>
      <c r="I1193" s="704"/>
      <c r="J1193" s="120"/>
      <c r="K1193" s="667"/>
      <c r="L1193" s="706"/>
      <c r="M1193" s="707"/>
      <c r="N1193" s="777"/>
      <c r="O1193" s="777"/>
      <c r="P1193" s="778"/>
      <c r="Q1193" s="778"/>
      <c r="R1193" s="708"/>
      <c r="S1193" s="708"/>
      <c r="T1193" s="779"/>
      <c r="U1193" s="779"/>
      <c r="V1193" s="778"/>
      <c r="W1193" s="778"/>
      <c r="X1193" s="708"/>
      <c r="Y1193" s="708"/>
      <c r="Z1193" s="708"/>
      <c r="AA1193" s="708"/>
      <c r="AB1193" s="708"/>
      <c r="AC1193" s="708"/>
      <c r="AD1193" s="708"/>
      <c r="AE1193" s="708"/>
      <c r="AF1193" s="708"/>
      <c r="AG1193" s="708"/>
      <c r="AH1193" s="708"/>
      <c r="AI1193" s="708"/>
      <c r="AJ1193" s="708"/>
      <c r="AK1193" s="708"/>
      <c r="AL1193" s="708"/>
      <c r="AM1193" s="708"/>
      <c r="AN1193" s="708"/>
      <c r="AO1193" s="708"/>
      <c r="AP1193" s="708"/>
      <c r="AQ1193" s="708"/>
      <c r="AR1193" s="708"/>
      <c r="AS1193" s="708"/>
      <c r="AT1193" s="708"/>
      <c r="AU1193" s="708"/>
      <c r="AV1193" s="708"/>
      <c r="AW1193" s="708"/>
      <c r="AX1193" s="708"/>
      <c r="AY1193" s="708"/>
      <c r="AZ1193" s="708"/>
      <c r="BA1193" s="708"/>
      <c r="BB1193" s="708"/>
      <c r="BC1193" s="708"/>
      <c r="BD1193" s="708"/>
      <c r="BE1193" s="708"/>
      <c r="BF1193" s="708"/>
      <c r="BG1193" s="708"/>
      <c r="BH1193" s="781"/>
      <c r="BI1193" s="654"/>
      <c r="BJ1193" s="709"/>
      <c r="BK1193" s="710"/>
      <c r="BL1193" s="654"/>
      <c r="BM1193" s="731"/>
      <c r="BN1193" s="701"/>
      <c r="BO1193" s="701"/>
      <c r="BP1193" s="701"/>
      <c r="BQ1193" s="701"/>
      <c r="BR1193" s="701"/>
      <c r="BS1193" s="701"/>
      <c r="BT1193" s="701"/>
      <c r="BU1193" s="701"/>
      <c r="BV1193" s="701"/>
      <c r="BW1193" s="701"/>
      <c r="BX1193" s="701"/>
      <c r="BY1193" s="701"/>
      <c r="BZ1193" s="701"/>
      <c r="CA1193" s="701"/>
      <c r="CB1193" s="701"/>
      <c r="CC1193" s="701"/>
      <c r="CD1193" s="701"/>
      <c r="CE1193" s="701"/>
      <c r="CF1193" s="701"/>
      <c r="CG1193" s="701"/>
      <c r="CH1193" s="701"/>
      <c r="CI1193" s="701"/>
      <c r="CJ1193" s="701"/>
      <c r="CK1193" s="701"/>
      <c r="CL1193" s="701"/>
      <c r="CM1193" s="701"/>
      <c r="CN1193" s="701"/>
      <c r="CO1193" s="701"/>
      <c r="CP1193" s="701"/>
      <c r="CQ1193" s="701"/>
      <c r="CR1193" s="701"/>
      <c r="CS1193" s="701"/>
      <c r="CT1193" s="701"/>
      <c r="CU1193" s="701"/>
      <c r="CV1193" s="701"/>
      <c r="CW1193" s="701"/>
      <c r="CX1193" s="701"/>
      <c r="CY1193" s="701"/>
      <c r="CZ1193" s="701"/>
      <c r="DA1193" s="701"/>
      <c r="DB1193" s="701"/>
      <c r="DC1193" s="701"/>
      <c r="DD1193" s="701"/>
      <c r="DE1193" s="701"/>
      <c r="DF1193" s="701"/>
      <c r="DG1193" s="701"/>
      <c r="DH1193" s="710"/>
    </row>
    <row r="1194" spans="1:139" s="66" customFormat="1" collapsed="1" x14ac:dyDescent="0.3">
      <c r="A1194" s="652" t="s">
        <v>516</v>
      </c>
      <c r="B1194" s="652"/>
      <c r="C1194" s="654"/>
      <c r="D1194" s="654"/>
      <c r="E1194" s="654"/>
      <c r="F1194" s="654"/>
      <c r="G1194" s="654"/>
      <c r="H1194" s="654"/>
      <c r="I1194" s="738"/>
      <c r="J1194" s="68"/>
      <c r="K1194" s="667"/>
      <c r="L1194" s="782"/>
      <c r="M1194" s="782"/>
      <c r="N1194" s="782"/>
      <c r="O1194" s="782"/>
      <c r="P1194" s="782"/>
      <c r="Q1194" s="782"/>
      <c r="R1194" s="782"/>
      <c r="S1194" s="782"/>
      <c r="T1194" s="782"/>
      <c r="U1194" s="782"/>
      <c r="V1194" s="782"/>
      <c r="W1194" s="782"/>
      <c r="X1194" s="782"/>
      <c r="Y1194" s="782"/>
      <c r="Z1194" s="782"/>
      <c r="AA1194" s="782"/>
      <c r="AB1194" s="782"/>
      <c r="AC1194" s="782"/>
      <c r="AD1194" s="782"/>
      <c r="AE1194" s="782"/>
      <c r="AF1194" s="782"/>
      <c r="AG1194" s="782"/>
      <c r="AH1194" s="782"/>
      <c r="AI1194" s="782"/>
      <c r="AJ1194" s="782"/>
      <c r="AK1194" s="782"/>
      <c r="AL1194" s="782"/>
      <c r="AM1194" s="782"/>
      <c r="AN1194" s="782"/>
      <c r="AO1194" s="782"/>
      <c r="AP1194" s="782"/>
      <c r="AQ1194" s="782"/>
      <c r="AR1194" s="782"/>
      <c r="AS1194" s="782"/>
      <c r="AT1194" s="782"/>
      <c r="AU1194" s="782"/>
      <c r="AV1194" s="782"/>
      <c r="AW1194" s="782"/>
      <c r="AX1194" s="782"/>
      <c r="AY1194" s="782"/>
      <c r="AZ1194" s="782"/>
      <c r="BA1194" s="782"/>
      <c r="BB1194" s="782"/>
      <c r="BC1194" s="782"/>
      <c r="BD1194" s="782"/>
      <c r="BE1194" s="782"/>
      <c r="BF1194" s="782"/>
      <c r="BG1194" s="782"/>
      <c r="BH1194" s="667"/>
      <c r="BI1194" s="654"/>
      <c r="BJ1194" s="652"/>
      <c r="BK1194" s="652"/>
      <c r="BL1194" s="654"/>
      <c r="BM1194" s="652"/>
      <c r="BN1194" s="652"/>
      <c r="BO1194" s="652"/>
      <c r="BP1194" s="652"/>
      <c r="BQ1194" s="652"/>
      <c r="BR1194" s="652"/>
      <c r="BS1194" s="652"/>
      <c r="BT1194" s="652"/>
      <c r="BU1194" s="652"/>
      <c r="BV1194" s="652"/>
      <c r="BW1194" s="652"/>
      <c r="BX1194" s="652"/>
      <c r="BY1194" s="652"/>
      <c r="BZ1194" s="652"/>
      <c r="CA1194" s="652"/>
      <c r="CB1194" s="652"/>
      <c r="CC1194" s="652"/>
      <c r="CD1194" s="652"/>
      <c r="CE1194" s="652"/>
      <c r="CF1194" s="652"/>
      <c r="CG1194" s="652"/>
      <c r="CH1194" s="652"/>
      <c r="CI1194" s="652"/>
      <c r="CJ1194" s="652"/>
      <c r="CK1194" s="652"/>
      <c r="CL1194" s="652"/>
      <c r="CM1194" s="652"/>
      <c r="CN1194" s="652"/>
      <c r="CO1194" s="652"/>
      <c r="CP1194" s="652"/>
      <c r="CQ1194" s="652"/>
      <c r="CR1194" s="652"/>
      <c r="CS1194" s="652"/>
      <c r="CT1194" s="652"/>
      <c r="CU1194" s="652"/>
      <c r="CV1194" s="652"/>
      <c r="CW1194" s="652"/>
      <c r="CX1194" s="652"/>
      <c r="CY1194" s="652"/>
      <c r="CZ1194" s="652"/>
      <c r="DA1194" s="652"/>
      <c r="DB1194" s="652"/>
      <c r="DC1194" s="652"/>
      <c r="DD1194" s="652"/>
      <c r="DE1194" s="652"/>
      <c r="DF1194" s="652"/>
      <c r="DG1194" s="652"/>
      <c r="DH1194" s="652"/>
    </row>
    <row r="1195" spans="1:139" s="66" customFormat="1" x14ac:dyDescent="0.3">
      <c r="A1195" s="66" t="s">
        <v>516</v>
      </c>
      <c r="C1195" s="124"/>
      <c r="D1195" s="124"/>
      <c r="E1195" s="68"/>
      <c r="F1195" s="68"/>
      <c r="G1195" s="68"/>
      <c r="H1195" s="68"/>
      <c r="I1195" s="125"/>
      <c r="J1195" s="126"/>
      <c r="L1195" s="783">
        <f>SUM(L13,L249,L485,L721,L957)</f>
        <v>1068614.8850387796</v>
      </c>
      <c r="M1195" s="783">
        <f t="shared" ref="M1195:BG1195" si="398">L1195+SUM(M13,M249,M485,M721,M957)</f>
        <v>1091702.9623602082</v>
      </c>
      <c r="N1195" s="783">
        <f t="shared" si="398"/>
        <v>1144212.0025387795</v>
      </c>
      <c r="O1195" s="783">
        <f t="shared" si="398"/>
        <v>1203475.979860208</v>
      </c>
      <c r="P1195" s="783">
        <f t="shared" si="398"/>
        <v>1313691.9374787793</v>
      </c>
      <c r="Q1195" s="783">
        <f t="shared" si="398"/>
        <v>1336780.0148002079</v>
      </c>
      <c r="R1195" s="783">
        <f t="shared" si="398"/>
        <v>1407664.1621216366</v>
      </c>
      <c r="S1195" s="783">
        <f t="shared" si="398"/>
        <v>1455901.139443065</v>
      </c>
      <c r="T1195" s="783">
        <f t="shared" si="398"/>
        <v>1526785.2867644937</v>
      </c>
      <c r="U1195" s="783">
        <f t="shared" si="398"/>
        <v>1549873.3640859223</v>
      </c>
      <c r="V1195" s="783">
        <f t="shared" si="398"/>
        <v>1620757.5114073509</v>
      </c>
      <c r="W1195" s="783">
        <f t="shared" si="398"/>
        <v>1698238.5757047795</v>
      </c>
      <c r="X1195" s="783">
        <f t="shared" si="398"/>
        <v>1769122.7230262081</v>
      </c>
      <c r="Y1195" s="783">
        <f t="shared" si="398"/>
        <v>1792718.7003476366</v>
      </c>
      <c r="Z1195" s="783">
        <f t="shared" si="398"/>
        <v>1902907.6173079878</v>
      </c>
      <c r="AA1195" s="783">
        <f t="shared" si="398"/>
        <v>1923077.4830222735</v>
      </c>
      <c r="AB1195" s="783">
        <f t="shared" si="398"/>
        <v>1979508.5187365592</v>
      </c>
      <c r="AC1195" s="783">
        <f t="shared" si="398"/>
        <v>1988651.384450845</v>
      </c>
      <c r="AD1195" s="783">
        <f t="shared" si="398"/>
        <v>2045082.4201651306</v>
      </c>
      <c r="AE1195" s="783">
        <f t="shared" si="398"/>
        <v>2095978.6858794163</v>
      </c>
      <c r="AF1195" s="783">
        <f t="shared" si="398"/>
        <v>2152409.7215937022</v>
      </c>
      <c r="AG1195" s="783">
        <f t="shared" si="398"/>
        <v>2161552.5873079877</v>
      </c>
      <c r="AH1195" s="783">
        <f t="shared" si="398"/>
        <v>2199608.5158794164</v>
      </c>
      <c r="AI1195" s="783">
        <f t="shared" si="398"/>
        <v>2233392.3815937019</v>
      </c>
      <c r="AJ1195" s="783">
        <f t="shared" si="398"/>
        <v>2367040.4501651302</v>
      </c>
      <c r="AK1195" s="783">
        <f t="shared" si="398"/>
        <v>2367040.4501651302</v>
      </c>
      <c r="AL1195" s="783">
        <f t="shared" si="398"/>
        <v>2367040.4501651302</v>
      </c>
      <c r="AM1195" s="783">
        <f t="shared" si="398"/>
        <v>2367040.4501651302</v>
      </c>
      <c r="AN1195" s="783">
        <f t="shared" si="398"/>
        <v>2367040.4501651302</v>
      </c>
      <c r="AO1195" s="783">
        <f t="shared" si="398"/>
        <v>2367040.4501651302</v>
      </c>
      <c r="AP1195" s="783">
        <f t="shared" si="398"/>
        <v>2367040.4501651302</v>
      </c>
      <c r="AQ1195" s="783">
        <f t="shared" si="398"/>
        <v>2367040.4501651302</v>
      </c>
      <c r="AR1195" s="783">
        <f t="shared" si="398"/>
        <v>2367040.4501651302</v>
      </c>
      <c r="AS1195" s="783">
        <f t="shared" si="398"/>
        <v>2367040.4501651302</v>
      </c>
      <c r="AT1195" s="783">
        <f t="shared" si="398"/>
        <v>2367040.4501651302</v>
      </c>
      <c r="AU1195" s="783">
        <f t="shared" si="398"/>
        <v>2367040.4501651302</v>
      </c>
      <c r="AV1195" s="783">
        <f t="shared" si="398"/>
        <v>2367040.4501651302</v>
      </c>
      <c r="AW1195" s="783">
        <f t="shared" si="398"/>
        <v>2367040.4501651302</v>
      </c>
      <c r="AX1195" s="783">
        <f t="shared" si="398"/>
        <v>2367040.4501651302</v>
      </c>
      <c r="AY1195" s="783">
        <f t="shared" si="398"/>
        <v>2367040.4501651302</v>
      </c>
      <c r="AZ1195" s="783">
        <f t="shared" si="398"/>
        <v>2367040.4501651302</v>
      </c>
      <c r="BA1195" s="783">
        <f t="shared" si="398"/>
        <v>2367040.4501651302</v>
      </c>
      <c r="BB1195" s="783">
        <f t="shared" si="398"/>
        <v>2367040.4501651302</v>
      </c>
      <c r="BC1195" s="783">
        <f t="shared" si="398"/>
        <v>2367040.4501651302</v>
      </c>
      <c r="BD1195" s="783">
        <f t="shared" si="398"/>
        <v>2367040.4501651302</v>
      </c>
      <c r="BE1195" s="783">
        <f t="shared" si="398"/>
        <v>2367040.4501651302</v>
      </c>
      <c r="BF1195" s="783">
        <f t="shared" si="398"/>
        <v>2367040.4501651302</v>
      </c>
      <c r="BG1195" s="783">
        <f t="shared" si="398"/>
        <v>2367040.4501651302</v>
      </c>
      <c r="BH1195" s="70"/>
      <c r="BI1195" s="68"/>
      <c r="BK1195" s="264" t="s">
        <v>517</v>
      </c>
      <c r="BL1195" s="68"/>
      <c r="BM1195" s="254">
        <f>SUM(BM13,BM249,BM485,BM721,BM957)</f>
        <v>0</v>
      </c>
      <c r="BN1195" s="254">
        <f t="shared" ref="BN1195:DH1195" si="399">BM1195+SUM(BN13,BN249,BN485,BN721,BN957)</f>
        <v>104895.59927200001</v>
      </c>
      <c r="BO1195" s="254">
        <f t="shared" si="399"/>
        <v>358481.73814374895</v>
      </c>
      <c r="BP1195" s="254">
        <f t="shared" si="399"/>
        <v>1075146.933376516</v>
      </c>
      <c r="BQ1195" s="254">
        <f t="shared" si="399"/>
        <v>1454132.423221186</v>
      </c>
      <c r="BR1195" s="254">
        <f t="shared" si="399"/>
        <v>1707452.342200306</v>
      </c>
      <c r="BS1195" s="254">
        <f t="shared" si="399"/>
        <v>1735796.831745906</v>
      </c>
      <c r="BT1195" s="254">
        <f t="shared" si="399"/>
        <v>1735796.831745906</v>
      </c>
      <c r="BU1195" s="254">
        <f t="shared" si="399"/>
        <v>1735796.831745906</v>
      </c>
      <c r="BV1195" s="254">
        <f t="shared" si="399"/>
        <v>1735796.831745906</v>
      </c>
      <c r="BW1195" s="254">
        <f t="shared" si="399"/>
        <v>1735796.831745906</v>
      </c>
      <c r="BX1195" s="254">
        <f t="shared" si="399"/>
        <v>1735796.831745906</v>
      </c>
      <c r="BY1195" s="254">
        <f t="shared" si="399"/>
        <v>1735796.831745906</v>
      </c>
      <c r="BZ1195" s="254">
        <f t="shared" si="399"/>
        <v>1735796.831745906</v>
      </c>
      <c r="CA1195" s="254">
        <f t="shared" si="399"/>
        <v>1735796.831745906</v>
      </c>
      <c r="CB1195" s="254">
        <f t="shared" si="399"/>
        <v>1735796.831745906</v>
      </c>
      <c r="CC1195" s="254">
        <f t="shared" si="399"/>
        <v>1758996.831745906</v>
      </c>
      <c r="CD1195" s="254">
        <f t="shared" si="399"/>
        <v>1758996.831745906</v>
      </c>
      <c r="CE1195" s="254">
        <f t="shared" si="399"/>
        <v>1758996.831745906</v>
      </c>
      <c r="CF1195" s="254">
        <f t="shared" si="399"/>
        <v>1758996.831745906</v>
      </c>
      <c r="CG1195" s="254">
        <f t="shared" si="399"/>
        <v>1758996.831745906</v>
      </c>
      <c r="CH1195" s="254">
        <f t="shared" si="399"/>
        <v>1758996.831745906</v>
      </c>
      <c r="CI1195" s="254">
        <f t="shared" si="399"/>
        <v>1758996.831745906</v>
      </c>
      <c r="CJ1195" s="254">
        <f t="shared" si="399"/>
        <v>1758996.831745906</v>
      </c>
      <c r="CK1195" s="254">
        <f t="shared" si="399"/>
        <v>1758996.831745906</v>
      </c>
      <c r="CL1195" s="254">
        <f t="shared" si="399"/>
        <v>1758996.831745906</v>
      </c>
      <c r="CM1195" s="254">
        <f t="shared" si="399"/>
        <v>1758996.831745906</v>
      </c>
      <c r="CN1195" s="254">
        <f t="shared" si="399"/>
        <v>1758996.831745906</v>
      </c>
      <c r="CO1195" s="254">
        <f t="shared" si="399"/>
        <v>1758996.831745906</v>
      </c>
      <c r="CP1195" s="254">
        <f t="shared" si="399"/>
        <v>1758996.831745906</v>
      </c>
      <c r="CQ1195" s="254">
        <f t="shared" si="399"/>
        <v>1758996.831745906</v>
      </c>
      <c r="CR1195" s="254">
        <f t="shared" si="399"/>
        <v>1758996.831745906</v>
      </c>
      <c r="CS1195" s="254">
        <f t="shared" si="399"/>
        <v>1758996.831745906</v>
      </c>
      <c r="CT1195" s="254">
        <f t="shared" si="399"/>
        <v>1758996.831745906</v>
      </c>
      <c r="CU1195" s="254">
        <f t="shared" si="399"/>
        <v>1758996.831745906</v>
      </c>
      <c r="CV1195" s="254">
        <f t="shared" si="399"/>
        <v>1758996.831745906</v>
      </c>
      <c r="CW1195" s="254">
        <f t="shared" si="399"/>
        <v>1758996.831745906</v>
      </c>
      <c r="CX1195" s="254">
        <f t="shared" si="399"/>
        <v>1758996.831745906</v>
      </c>
      <c r="CY1195" s="254">
        <f t="shared" si="399"/>
        <v>1758996.831745906</v>
      </c>
      <c r="CZ1195" s="254">
        <f t="shared" si="399"/>
        <v>1758996.831745906</v>
      </c>
      <c r="DA1195" s="254">
        <f t="shared" si="399"/>
        <v>1758996.831745906</v>
      </c>
      <c r="DB1195" s="254">
        <f t="shared" si="399"/>
        <v>1758996.831745906</v>
      </c>
      <c r="DC1195" s="254">
        <f t="shared" si="399"/>
        <v>1758996.831745906</v>
      </c>
      <c r="DD1195" s="254">
        <f t="shared" si="399"/>
        <v>1758996.831745906</v>
      </c>
      <c r="DE1195" s="254">
        <f t="shared" si="399"/>
        <v>1758996.831745906</v>
      </c>
      <c r="DF1195" s="254">
        <f t="shared" si="399"/>
        <v>1758996.831745906</v>
      </c>
      <c r="DG1195" s="254">
        <f t="shared" si="399"/>
        <v>1758996.831745906</v>
      </c>
      <c r="DH1195" s="254">
        <f t="shared" si="399"/>
        <v>1758996.831745906</v>
      </c>
    </row>
    <row r="1196" spans="1:139" x14ac:dyDescent="0.3">
      <c r="A1196" s="66" t="s">
        <v>516</v>
      </c>
    </row>
    <row r="1197" spans="1:139" s="649" customFormat="1" hidden="1" x14ac:dyDescent="0.3">
      <c r="A1197" s="66" t="str">
        <f>IF(J1197&gt;0,"Imprimir","")</f>
        <v/>
      </c>
      <c r="B1197" s="66"/>
      <c r="C1197" s="98"/>
      <c r="D1197" s="99" t="s">
        <v>2122</v>
      </c>
      <c r="E1197" s="99" t="s">
        <v>2184</v>
      </c>
      <c r="F1197" s="99"/>
      <c r="G1197" s="606"/>
      <c r="H1197" s="99"/>
      <c r="I1197" s="100"/>
      <c r="J1197" s="166">
        <f>SUBTOTAL(9,J1200:J1209)</f>
        <v>0</v>
      </c>
      <c r="K1197" s="265"/>
      <c r="L1197" s="847">
        <f t="shared" ref="L1197:BG1197" si="400">SUMPRODUCT($J1200:$J1210,L1200:L1210)</f>
        <v>0</v>
      </c>
      <c r="M1197" s="848">
        <f t="shared" si="400"/>
        <v>0</v>
      </c>
      <c r="N1197" s="848">
        <f t="shared" si="400"/>
        <v>0</v>
      </c>
      <c r="O1197" s="848">
        <f t="shared" si="400"/>
        <v>0</v>
      </c>
      <c r="P1197" s="848">
        <f t="shared" si="400"/>
        <v>0</v>
      </c>
      <c r="Q1197" s="848">
        <f t="shared" si="400"/>
        <v>0</v>
      </c>
      <c r="R1197" s="848">
        <f t="shared" si="400"/>
        <v>0</v>
      </c>
      <c r="S1197" s="848">
        <f t="shared" si="400"/>
        <v>0</v>
      </c>
      <c r="T1197" s="848">
        <f t="shared" si="400"/>
        <v>0</v>
      </c>
      <c r="U1197" s="848">
        <f t="shared" si="400"/>
        <v>0</v>
      </c>
      <c r="V1197" s="848">
        <f t="shared" si="400"/>
        <v>0</v>
      </c>
      <c r="W1197" s="848">
        <f t="shared" si="400"/>
        <v>0</v>
      </c>
      <c r="X1197" s="848">
        <f t="shared" si="400"/>
        <v>0</v>
      </c>
      <c r="Y1197" s="848">
        <f t="shared" si="400"/>
        <v>0</v>
      </c>
      <c r="Z1197" s="848">
        <f t="shared" si="400"/>
        <v>0</v>
      </c>
      <c r="AA1197" s="848">
        <f t="shared" si="400"/>
        <v>0</v>
      </c>
      <c r="AB1197" s="848">
        <f t="shared" si="400"/>
        <v>0</v>
      </c>
      <c r="AC1197" s="848">
        <f t="shared" si="400"/>
        <v>0</v>
      </c>
      <c r="AD1197" s="848">
        <f t="shared" si="400"/>
        <v>0</v>
      </c>
      <c r="AE1197" s="848">
        <f t="shared" si="400"/>
        <v>0</v>
      </c>
      <c r="AF1197" s="848">
        <f t="shared" si="400"/>
        <v>0</v>
      </c>
      <c r="AG1197" s="848">
        <f t="shared" si="400"/>
        <v>0</v>
      </c>
      <c r="AH1197" s="848">
        <f t="shared" si="400"/>
        <v>0</v>
      </c>
      <c r="AI1197" s="848">
        <f t="shared" si="400"/>
        <v>0</v>
      </c>
      <c r="AJ1197" s="848">
        <f t="shared" si="400"/>
        <v>0</v>
      </c>
      <c r="AK1197" s="848">
        <f t="shared" si="400"/>
        <v>0</v>
      </c>
      <c r="AL1197" s="848">
        <f t="shared" si="400"/>
        <v>0</v>
      </c>
      <c r="AM1197" s="848">
        <f t="shared" si="400"/>
        <v>0</v>
      </c>
      <c r="AN1197" s="848">
        <f t="shared" si="400"/>
        <v>0</v>
      </c>
      <c r="AO1197" s="848">
        <f t="shared" si="400"/>
        <v>0</v>
      </c>
      <c r="AP1197" s="848">
        <f t="shared" si="400"/>
        <v>0</v>
      </c>
      <c r="AQ1197" s="848">
        <f t="shared" si="400"/>
        <v>0</v>
      </c>
      <c r="AR1197" s="848">
        <f t="shared" si="400"/>
        <v>0</v>
      </c>
      <c r="AS1197" s="848">
        <f t="shared" si="400"/>
        <v>0</v>
      </c>
      <c r="AT1197" s="848">
        <f t="shared" si="400"/>
        <v>0</v>
      </c>
      <c r="AU1197" s="848">
        <f t="shared" si="400"/>
        <v>0</v>
      </c>
      <c r="AV1197" s="848">
        <f t="shared" si="400"/>
        <v>0</v>
      </c>
      <c r="AW1197" s="848">
        <f t="shared" si="400"/>
        <v>0</v>
      </c>
      <c r="AX1197" s="848">
        <f t="shared" si="400"/>
        <v>0</v>
      </c>
      <c r="AY1197" s="848">
        <f t="shared" si="400"/>
        <v>0</v>
      </c>
      <c r="AZ1197" s="848">
        <f t="shared" si="400"/>
        <v>0</v>
      </c>
      <c r="BA1197" s="848">
        <f t="shared" si="400"/>
        <v>0</v>
      </c>
      <c r="BB1197" s="848">
        <f t="shared" si="400"/>
        <v>0</v>
      </c>
      <c r="BC1197" s="848">
        <f t="shared" si="400"/>
        <v>0</v>
      </c>
      <c r="BD1197" s="848">
        <f t="shared" si="400"/>
        <v>0</v>
      </c>
      <c r="BE1197" s="848">
        <f t="shared" si="400"/>
        <v>0</v>
      </c>
      <c r="BF1197" s="848">
        <f t="shared" si="400"/>
        <v>0</v>
      </c>
      <c r="BG1197" s="848">
        <f t="shared" si="400"/>
        <v>0</v>
      </c>
      <c r="BH1197" s="772"/>
      <c r="BI1197" s="68"/>
      <c r="BJ1197" s="519">
        <f>IFERROR(BK1197/J1197,0)</f>
        <v>0</v>
      </c>
      <c r="BK1197" s="452">
        <f>SUBTOTAL(9,BK1198:BK1210)</f>
        <v>0</v>
      </c>
      <c r="BL1197" s="68"/>
      <c r="BM1197" s="453">
        <f t="shared" ref="BM1197:DH1197" si="401">SUBTOTAL(9,BM1198:BM1210)</f>
        <v>0</v>
      </c>
      <c r="BN1197" s="454">
        <f t="shared" si="401"/>
        <v>0</v>
      </c>
      <c r="BO1197" s="454">
        <f t="shared" si="401"/>
        <v>0</v>
      </c>
      <c r="BP1197" s="454">
        <f t="shared" si="401"/>
        <v>0</v>
      </c>
      <c r="BQ1197" s="454">
        <f t="shared" si="401"/>
        <v>0</v>
      </c>
      <c r="BR1197" s="454">
        <f t="shared" si="401"/>
        <v>0</v>
      </c>
      <c r="BS1197" s="454">
        <f t="shared" si="401"/>
        <v>0</v>
      </c>
      <c r="BT1197" s="454">
        <f t="shared" si="401"/>
        <v>0</v>
      </c>
      <c r="BU1197" s="454">
        <f t="shared" si="401"/>
        <v>0</v>
      </c>
      <c r="BV1197" s="454">
        <f t="shared" si="401"/>
        <v>0</v>
      </c>
      <c r="BW1197" s="454">
        <f t="shared" si="401"/>
        <v>0</v>
      </c>
      <c r="BX1197" s="454">
        <f t="shared" si="401"/>
        <v>0</v>
      </c>
      <c r="BY1197" s="454">
        <f t="shared" si="401"/>
        <v>0</v>
      </c>
      <c r="BZ1197" s="454">
        <f t="shared" si="401"/>
        <v>0</v>
      </c>
      <c r="CA1197" s="454">
        <f t="shared" si="401"/>
        <v>0</v>
      </c>
      <c r="CB1197" s="454">
        <f t="shared" si="401"/>
        <v>0</v>
      </c>
      <c r="CC1197" s="454">
        <f t="shared" si="401"/>
        <v>0</v>
      </c>
      <c r="CD1197" s="454">
        <f t="shared" si="401"/>
        <v>0</v>
      </c>
      <c r="CE1197" s="454">
        <f t="shared" si="401"/>
        <v>0</v>
      </c>
      <c r="CF1197" s="454">
        <f t="shared" si="401"/>
        <v>0</v>
      </c>
      <c r="CG1197" s="454">
        <f t="shared" si="401"/>
        <v>0</v>
      </c>
      <c r="CH1197" s="454">
        <f t="shared" si="401"/>
        <v>0</v>
      </c>
      <c r="CI1197" s="454">
        <f t="shared" si="401"/>
        <v>0</v>
      </c>
      <c r="CJ1197" s="454">
        <f t="shared" si="401"/>
        <v>0</v>
      </c>
      <c r="CK1197" s="454">
        <f t="shared" si="401"/>
        <v>0</v>
      </c>
      <c r="CL1197" s="454">
        <f t="shared" si="401"/>
        <v>0</v>
      </c>
      <c r="CM1197" s="454">
        <f t="shared" si="401"/>
        <v>0</v>
      </c>
      <c r="CN1197" s="454">
        <f t="shared" si="401"/>
        <v>0</v>
      </c>
      <c r="CO1197" s="454">
        <f t="shared" si="401"/>
        <v>0</v>
      </c>
      <c r="CP1197" s="454">
        <f t="shared" si="401"/>
        <v>0</v>
      </c>
      <c r="CQ1197" s="454">
        <f t="shared" si="401"/>
        <v>0</v>
      </c>
      <c r="CR1197" s="454">
        <f t="shared" si="401"/>
        <v>0</v>
      </c>
      <c r="CS1197" s="454">
        <f t="shared" si="401"/>
        <v>0</v>
      </c>
      <c r="CT1197" s="454">
        <f t="shared" si="401"/>
        <v>0</v>
      </c>
      <c r="CU1197" s="454">
        <f t="shared" si="401"/>
        <v>0</v>
      </c>
      <c r="CV1197" s="454">
        <f t="shared" si="401"/>
        <v>0</v>
      </c>
      <c r="CW1197" s="454">
        <f t="shared" si="401"/>
        <v>0</v>
      </c>
      <c r="CX1197" s="454">
        <f t="shared" si="401"/>
        <v>0</v>
      </c>
      <c r="CY1197" s="454">
        <f t="shared" si="401"/>
        <v>0</v>
      </c>
      <c r="CZ1197" s="454">
        <f t="shared" si="401"/>
        <v>0</v>
      </c>
      <c r="DA1197" s="454">
        <f t="shared" si="401"/>
        <v>0</v>
      </c>
      <c r="DB1197" s="454">
        <f t="shared" si="401"/>
        <v>0</v>
      </c>
      <c r="DC1197" s="454">
        <f t="shared" si="401"/>
        <v>0</v>
      </c>
      <c r="DD1197" s="454">
        <f t="shared" si="401"/>
        <v>0</v>
      </c>
      <c r="DE1197" s="454">
        <f t="shared" si="401"/>
        <v>0</v>
      </c>
      <c r="DF1197" s="454">
        <f t="shared" si="401"/>
        <v>0</v>
      </c>
      <c r="DG1197" s="454">
        <f t="shared" si="401"/>
        <v>0</v>
      </c>
      <c r="DH1197" s="615">
        <f t="shared" si="401"/>
        <v>0</v>
      </c>
      <c r="DI1197" s="18"/>
      <c r="DJ1197" s="18"/>
      <c r="DK1197" s="18"/>
      <c r="DL1197" s="18"/>
      <c r="DM1197" s="18"/>
      <c r="DN1197" s="18"/>
      <c r="DO1197" s="18"/>
      <c r="DP1197" s="18"/>
      <c r="DQ1197" s="18"/>
      <c r="DR1197" s="18"/>
      <c r="DS1197" s="18"/>
      <c r="DT1197" s="18"/>
      <c r="DU1197" s="18"/>
      <c r="DV1197" s="18"/>
      <c r="DW1197" s="18"/>
      <c r="DX1197" s="18"/>
      <c r="DY1197" s="18"/>
      <c r="DZ1197" s="18"/>
      <c r="EA1197" s="18"/>
      <c r="EB1197" s="18"/>
      <c r="EC1197" s="18"/>
      <c r="ED1197" s="18"/>
      <c r="EE1197" s="18"/>
      <c r="EF1197" s="18"/>
      <c r="EG1197" s="18"/>
      <c r="EH1197" s="18"/>
      <c r="EI1197" s="18"/>
    </row>
    <row r="1198" spans="1:139" hidden="1" outlineLevel="1" x14ac:dyDescent="0.3">
      <c r="A1198" s="652" t="str">
        <f>IF(J1197&gt;0,"Imprimir","")</f>
        <v/>
      </c>
      <c r="B1198" s="652"/>
      <c r="C1198" s="664"/>
      <c r="D1198" s="665"/>
      <c r="E1198" s="665"/>
      <c r="F1198" s="665"/>
      <c r="G1198" s="716"/>
      <c r="H1198" s="665"/>
      <c r="I1198" s="665"/>
      <c r="J1198" s="666" t="s">
        <v>29</v>
      </c>
      <c r="K1198" s="667"/>
      <c r="L1198" s="745"/>
      <c r="M1198" s="741"/>
      <c r="N1198" s="741"/>
      <c r="O1198" s="741"/>
      <c r="P1198" s="741"/>
      <c r="Q1198" s="741"/>
      <c r="R1198" s="741"/>
      <c r="S1198" s="741"/>
      <c r="T1198" s="741"/>
      <c r="U1198" s="741"/>
      <c r="V1198" s="741"/>
      <c r="W1198" s="741"/>
      <c r="X1198" s="741"/>
      <c r="Y1198" s="741"/>
      <c r="Z1198" s="741"/>
      <c r="AA1198" s="741"/>
      <c r="AB1198" s="741"/>
      <c r="AC1198" s="741"/>
      <c r="AD1198" s="741"/>
      <c r="AE1198" s="741"/>
      <c r="AF1198" s="741"/>
      <c r="AG1198" s="741"/>
      <c r="AH1198" s="741"/>
      <c r="AI1198" s="741"/>
      <c r="AJ1198" s="741"/>
      <c r="AK1198" s="741"/>
      <c r="AL1198" s="741"/>
      <c r="AM1198" s="741"/>
      <c r="AN1198" s="741"/>
      <c r="AO1198" s="741"/>
      <c r="AP1198" s="741"/>
      <c r="AQ1198" s="741"/>
      <c r="AR1198" s="741"/>
      <c r="AS1198" s="741"/>
      <c r="AT1198" s="741"/>
      <c r="AU1198" s="741"/>
      <c r="AV1198" s="741"/>
      <c r="AW1198" s="741"/>
      <c r="AX1198" s="741"/>
      <c r="AY1198" s="741"/>
      <c r="AZ1198" s="741"/>
      <c r="BA1198" s="741"/>
      <c r="BB1198" s="741"/>
      <c r="BC1198" s="741"/>
      <c r="BD1198" s="741"/>
      <c r="BE1198" s="741"/>
      <c r="BF1198" s="741"/>
      <c r="BG1198" s="746"/>
      <c r="BH1198" s="724"/>
      <c r="BI1198" s="725"/>
      <c r="BJ1198" s="669"/>
      <c r="BK1198" s="670"/>
      <c r="BL1198" s="725"/>
      <c r="BM1198" s="671"/>
      <c r="BN1198" s="665"/>
      <c r="BO1198" s="665"/>
      <c r="BP1198" s="665"/>
      <c r="BQ1198" s="665"/>
      <c r="BR1198" s="665"/>
      <c r="BS1198" s="665"/>
      <c r="BT1198" s="665"/>
      <c r="BU1198" s="665"/>
      <c r="BV1198" s="665"/>
      <c r="BW1198" s="665"/>
      <c r="BX1198" s="665"/>
      <c r="BY1198" s="665"/>
      <c r="BZ1198" s="665"/>
      <c r="CA1198" s="665"/>
      <c r="CB1198" s="665"/>
      <c r="CC1198" s="665"/>
      <c r="CD1198" s="665"/>
      <c r="CE1198" s="665"/>
      <c r="CF1198" s="665"/>
      <c r="CG1198" s="665"/>
      <c r="CH1198" s="665"/>
      <c r="CI1198" s="665"/>
      <c r="CJ1198" s="665"/>
      <c r="CK1198" s="665"/>
      <c r="CL1198" s="665"/>
      <c r="CM1198" s="665"/>
      <c r="CN1198" s="665"/>
      <c r="CO1198" s="665"/>
      <c r="CP1198" s="665"/>
      <c r="CQ1198" s="665"/>
      <c r="CR1198" s="665"/>
      <c r="CS1198" s="665"/>
      <c r="CT1198" s="665"/>
      <c r="CU1198" s="665"/>
      <c r="CV1198" s="665"/>
      <c r="CW1198" s="665"/>
      <c r="CX1198" s="665"/>
      <c r="CY1198" s="665"/>
      <c r="CZ1198" s="665"/>
      <c r="DA1198" s="665"/>
      <c r="DB1198" s="665"/>
      <c r="DC1198" s="665"/>
      <c r="DD1198" s="665"/>
      <c r="DE1198" s="665"/>
      <c r="DF1198" s="665"/>
      <c r="DG1198" s="665"/>
      <c r="DH1198" s="666"/>
    </row>
    <row r="1199" spans="1:139" ht="15.6" hidden="1" outlineLevel="1" x14ac:dyDescent="0.3">
      <c r="A1199" s="652" t="str">
        <f t="shared" ref="A1199" si="402">IF(J1199&gt;0,"Imprimir","")</f>
        <v/>
      </c>
      <c r="B1199" s="652"/>
      <c r="C1199" s="672"/>
      <c r="D1199" s="673"/>
      <c r="E1199" s="674"/>
      <c r="F1199" s="675"/>
      <c r="G1199" s="726"/>
      <c r="H1199" s="676"/>
      <c r="I1199" s="677"/>
      <c r="J1199" s="727"/>
      <c r="K1199" s="678"/>
      <c r="L1199" s="747"/>
      <c r="M1199" s="742"/>
      <c r="N1199" s="742"/>
      <c r="O1199" s="742"/>
      <c r="P1199" s="742"/>
      <c r="Q1199" s="742"/>
      <c r="R1199" s="742"/>
      <c r="S1199" s="742"/>
      <c r="T1199" s="742"/>
      <c r="U1199" s="742"/>
      <c r="V1199" s="742"/>
      <c r="W1199" s="742"/>
      <c r="X1199" s="742"/>
      <c r="Y1199" s="742"/>
      <c r="Z1199" s="742"/>
      <c r="AA1199" s="742"/>
      <c r="AB1199" s="742"/>
      <c r="AC1199" s="742"/>
      <c r="AD1199" s="742"/>
      <c r="AE1199" s="742"/>
      <c r="AF1199" s="742"/>
      <c r="AG1199" s="742"/>
      <c r="AH1199" s="742"/>
      <c r="AI1199" s="742"/>
      <c r="AJ1199" s="742"/>
      <c r="AK1199" s="742"/>
      <c r="AL1199" s="742"/>
      <c r="AM1199" s="742"/>
      <c r="AN1199" s="742"/>
      <c r="AO1199" s="742"/>
      <c r="AP1199" s="742"/>
      <c r="AQ1199" s="742"/>
      <c r="AR1199" s="742"/>
      <c r="AS1199" s="742"/>
      <c r="AT1199" s="742"/>
      <c r="AU1199" s="742"/>
      <c r="AV1199" s="742"/>
      <c r="AW1199" s="742"/>
      <c r="AX1199" s="742"/>
      <c r="AY1199" s="742"/>
      <c r="AZ1199" s="742"/>
      <c r="BA1199" s="742"/>
      <c r="BB1199" s="742"/>
      <c r="BC1199" s="742"/>
      <c r="BD1199" s="742"/>
      <c r="BE1199" s="742"/>
      <c r="BF1199" s="742"/>
      <c r="BG1199" s="748"/>
      <c r="BH1199" s="668"/>
      <c r="BI1199" s="654"/>
      <c r="BJ1199" s="729"/>
      <c r="BK1199" s="681"/>
      <c r="BL1199" s="654"/>
      <c r="BM1199" s="682"/>
      <c r="BN1199" s="683"/>
      <c r="BO1199" s="683"/>
      <c r="BP1199" s="683"/>
      <c r="BQ1199" s="683"/>
      <c r="BR1199" s="683"/>
      <c r="BS1199" s="683"/>
      <c r="BT1199" s="683"/>
      <c r="BU1199" s="683"/>
      <c r="BV1199" s="683"/>
      <c r="BW1199" s="683"/>
      <c r="BX1199" s="683"/>
      <c r="BY1199" s="683"/>
      <c r="BZ1199" s="683"/>
      <c r="CA1199" s="683"/>
      <c r="CB1199" s="683"/>
      <c r="CC1199" s="683"/>
      <c r="CD1199" s="683"/>
      <c r="CE1199" s="683"/>
      <c r="CF1199" s="683"/>
      <c r="CG1199" s="683"/>
      <c r="CH1199" s="683"/>
      <c r="CI1199" s="683"/>
      <c r="CJ1199" s="683"/>
      <c r="CK1199" s="683"/>
      <c r="CL1199" s="683"/>
      <c r="CM1199" s="683"/>
      <c r="CN1199" s="683"/>
      <c r="CO1199" s="683"/>
      <c r="CP1199" s="683"/>
      <c r="CQ1199" s="683"/>
      <c r="CR1199" s="683"/>
      <c r="CS1199" s="683"/>
      <c r="CT1199" s="683"/>
      <c r="CU1199" s="683"/>
      <c r="CV1199" s="683"/>
      <c r="CW1199" s="683"/>
      <c r="CX1199" s="683"/>
      <c r="CY1199" s="683"/>
      <c r="CZ1199" s="683"/>
      <c r="DA1199" s="683"/>
      <c r="DB1199" s="683"/>
      <c r="DC1199" s="683"/>
      <c r="DD1199" s="683"/>
      <c r="DE1199" s="683"/>
      <c r="DF1199" s="683"/>
      <c r="DG1199" s="683"/>
      <c r="DH1199" s="684"/>
    </row>
    <row r="1200" spans="1:139" hidden="1" outlineLevel="1" x14ac:dyDescent="0.3">
      <c r="A1200" s="652" t="str">
        <f t="shared" ref="A1200:A1209" si="403">IF(J1200="","",IF(J1200=0,"","Imprimir"))</f>
        <v/>
      </c>
      <c r="B1200" s="652"/>
      <c r="C1200" s="685"/>
      <c r="D1200" s="686" t="s">
        <v>1129</v>
      </c>
      <c r="E1200" s="686" t="s">
        <v>1130</v>
      </c>
      <c r="F1200" s="720"/>
      <c r="G1200" s="688"/>
      <c r="H1200" s="689"/>
      <c r="I1200" s="851"/>
      <c r="J1200" s="691">
        <f t="shared" ref="J1200:J1209" si="404">IFERROR(G1200*H1200*I1200,"")</f>
        <v>0</v>
      </c>
      <c r="K1200" s="667"/>
      <c r="L1200" s="858"/>
      <c r="M1200" s="859"/>
      <c r="N1200" s="859"/>
      <c r="O1200" s="859"/>
      <c r="P1200" s="859"/>
      <c r="Q1200" s="859"/>
      <c r="R1200" s="859"/>
      <c r="S1200" s="859"/>
      <c r="T1200" s="859"/>
      <c r="U1200" s="859"/>
      <c r="V1200" s="859"/>
      <c r="W1200" s="859"/>
      <c r="X1200" s="859"/>
      <c r="Y1200" s="859"/>
      <c r="Z1200" s="860"/>
      <c r="AA1200" s="860"/>
      <c r="AB1200" s="860"/>
      <c r="AC1200" s="860"/>
      <c r="AD1200" s="860"/>
      <c r="AE1200" s="860"/>
      <c r="AF1200" s="860"/>
      <c r="AG1200" s="860"/>
      <c r="AH1200" s="860"/>
      <c r="AI1200" s="860"/>
      <c r="AJ1200" s="860"/>
      <c r="AK1200" s="860"/>
      <c r="AL1200" s="860"/>
      <c r="AM1200" s="860"/>
      <c r="AN1200" s="860"/>
      <c r="AO1200" s="860"/>
      <c r="AP1200" s="860"/>
      <c r="AQ1200" s="860"/>
      <c r="AR1200" s="860"/>
      <c r="AS1200" s="860"/>
      <c r="AT1200" s="860"/>
      <c r="AU1200" s="860"/>
      <c r="AV1200" s="860"/>
      <c r="AW1200" s="860"/>
      <c r="AX1200" s="860"/>
      <c r="AY1200" s="860"/>
      <c r="AZ1200" s="860"/>
      <c r="BA1200" s="860"/>
      <c r="BB1200" s="860"/>
      <c r="BC1200" s="860"/>
      <c r="BD1200" s="860"/>
      <c r="BE1200" s="860"/>
      <c r="BF1200" s="860"/>
      <c r="BG1200" s="861"/>
      <c r="BH1200" s="668"/>
      <c r="BI1200" s="667"/>
      <c r="BJ1200" s="690">
        <f t="shared" ref="BJ1200:BJ1209" si="405">IFERROR(BK1200/J1200,0)</f>
        <v>0</v>
      </c>
      <c r="BK1200" s="691">
        <f t="shared" ref="BK1200:BK1209" si="406">SUM(BM1200:DH1200)</f>
        <v>0</v>
      </c>
      <c r="BL1200" s="654"/>
      <c r="BM1200" s="692">
        <f>SUMIFS(Imput[Importe Neto],Imput[C. Imp.],$D1200,Imput[PERIODO Imp.],BM$9)</f>
        <v>0</v>
      </c>
      <c r="BN1200" s="693">
        <f>SUMIFS(Imput[Importe Neto],Imput[C. Imp.],$D1200,Imput[PERIODO Imp.],BN$9)</f>
        <v>0</v>
      </c>
      <c r="BO1200" s="693">
        <f>SUMIFS(Imput[Importe Neto],Imput[C. Imp.],$D1200,Imput[PERIODO Imp.],BO$9)</f>
        <v>0</v>
      </c>
      <c r="BP1200" s="693">
        <f>SUMIFS(Imput[Importe Neto],Imput[C. Imp.],$D1200,Imput[PERIODO Imp.],BP$9)</f>
        <v>0</v>
      </c>
      <c r="BQ1200" s="693">
        <f>SUMIFS(Imput[Importe Neto],Imput[C. Imp.],$D1200,Imput[PERIODO Imp.],BQ$9)</f>
        <v>0</v>
      </c>
      <c r="BR1200" s="693">
        <f>SUMIFS(Imput[Importe Neto],Imput[C. Imp.],$D1200,Imput[PERIODO Imp.],BR$9)</f>
        <v>0</v>
      </c>
      <c r="BS1200" s="693">
        <f>SUMIFS(Imput[Importe Neto],Imput[C. Imp.],$D1200,Imput[PERIODO Imp.],BS$9)</f>
        <v>0</v>
      </c>
      <c r="BT1200" s="693">
        <f>SUMIFS(Imput[Importe Neto],Imput[C. Imp.],$D1200,Imput[PERIODO Imp.],BT$9)</f>
        <v>0</v>
      </c>
      <c r="BU1200" s="693">
        <f>SUMIFS(Imput[Importe Neto],Imput[C. Imp.],$D1200,Imput[PERIODO Imp.],BU$9)</f>
        <v>0</v>
      </c>
      <c r="BV1200" s="693">
        <f>SUMIFS(Imput[Importe Neto],Imput[C. Imp.],$D1200,Imput[PERIODO Imp.],BV$9)</f>
        <v>0</v>
      </c>
      <c r="BW1200" s="693">
        <f>SUMIFS(Imput[Importe Neto],Imput[C. Imp.],$D1200,Imput[PERIODO Imp.],BW$9)</f>
        <v>0</v>
      </c>
      <c r="BX1200" s="693">
        <f>SUMIFS(Imput[Importe Neto],Imput[C. Imp.],$D1200,Imput[PERIODO Imp.],BX$9)</f>
        <v>0</v>
      </c>
      <c r="BY1200" s="693">
        <f>SUMIFS(Imput[Importe Neto],Imput[C. Imp.],$D1200,Imput[PERIODO Imp.],BY$9)</f>
        <v>0</v>
      </c>
      <c r="BZ1200" s="693">
        <f>SUMIFS(Imput[Importe Neto],Imput[C. Imp.],$D1200,Imput[PERIODO Imp.],BZ$9)</f>
        <v>0</v>
      </c>
      <c r="CA1200" s="693">
        <f>SUMIFS(Imput[Importe Neto],Imput[C. Imp.],$D1200,Imput[PERIODO Imp.],CA$9)</f>
        <v>0</v>
      </c>
      <c r="CB1200" s="693">
        <f>SUMIFS(Imput[Importe Neto],Imput[C. Imp.],$D1200,Imput[PERIODO Imp.],CB$9)</f>
        <v>0</v>
      </c>
      <c r="CC1200" s="693">
        <f>SUMIFS(Imput[Importe Neto],Imput[C. Imp.],$D1200,Imput[PERIODO Imp.],CC$9)</f>
        <v>0</v>
      </c>
      <c r="CD1200" s="693">
        <f>SUMIFS(Imput[Importe Neto],Imput[C. Imp.],$D1200,Imput[PERIODO Imp.],CD$9)</f>
        <v>0</v>
      </c>
      <c r="CE1200" s="693">
        <f>SUMIFS(Imput[Importe Neto],Imput[C. Imp.],$D1200,Imput[PERIODO Imp.],CE$9)</f>
        <v>0</v>
      </c>
      <c r="CF1200" s="693">
        <f>SUMIFS(Imput[Importe Neto],Imput[C. Imp.],$D1200,Imput[PERIODO Imp.],CF$9)</f>
        <v>0</v>
      </c>
      <c r="CG1200" s="693">
        <f>SUMIFS(Imput[Importe Neto],Imput[C. Imp.],$D1200,Imput[PERIODO Imp.],CG$9)</f>
        <v>0</v>
      </c>
      <c r="CH1200" s="693">
        <f>SUMIFS(Imput[Importe Neto],Imput[C. Imp.],$D1200,Imput[PERIODO Imp.],CH$9)</f>
        <v>0</v>
      </c>
      <c r="CI1200" s="693">
        <f>SUMIFS(Imput[Importe Neto],Imput[C. Imp.],$D1200,Imput[PERIODO Imp.],CI$9)</f>
        <v>0</v>
      </c>
      <c r="CJ1200" s="693">
        <f>SUMIFS(Imput[Importe Neto],Imput[C. Imp.],$D1200,Imput[PERIODO Imp.],CJ$9)</f>
        <v>0</v>
      </c>
      <c r="CK1200" s="693">
        <f>SUMIFS(Imput[Importe Neto],Imput[C. Imp.],$D1200,Imput[PERIODO Imp.],CK$9)</f>
        <v>0</v>
      </c>
      <c r="CL1200" s="693">
        <f>SUMIFS(Imput[Importe Neto],Imput[C. Imp.],$D1200,Imput[PERIODO Imp.],CL$9)</f>
        <v>0</v>
      </c>
      <c r="CM1200" s="693">
        <f>SUMIFS(Imput[Importe Neto],Imput[C. Imp.],$D1200,Imput[PERIODO Imp.],CM$9)</f>
        <v>0</v>
      </c>
      <c r="CN1200" s="693">
        <f>SUMIFS(Imput[Importe Neto],Imput[C. Imp.],$D1200,Imput[PERIODO Imp.],CN$9)</f>
        <v>0</v>
      </c>
      <c r="CO1200" s="693">
        <f>SUMIFS(Imput[Importe Neto],Imput[C. Imp.],$D1200,Imput[PERIODO Imp.],CO$9)</f>
        <v>0</v>
      </c>
      <c r="CP1200" s="693">
        <f>SUMIFS(Imput[Importe Neto],Imput[C. Imp.],$D1200,Imput[PERIODO Imp.],CP$9)</f>
        <v>0</v>
      </c>
      <c r="CQ1200" s="693">
        <f>SUMIFS(Imput[Importe Neto],Imput[C. Imp.],$D1200,Imput[PERIODO Imp.],CQ$9)</f>
        <v>0</v>
      </c>
      <c r="CR1200" s="693">
        <f>SUMIFS(Imput[Importe Neto],Imput[C. Imp.],$D1200,Imput[PERIODO Imp.],CR$9)</f>
        <v>0</v>
      </c>
      <c r="CS1200" s="693">
        <f>SUMIFS(Imput[Importe Neto],Imput[C. Imp.],$D1200,Imput[PERIODO Imp.],CS$9)</f>
        <v>0</v>
      </c>
      <c r="CT1200" s="693">
        <f>SUMIFS(Imput[Importe Neto],Imput[C. Imp.],$D1200,Imput[PERIODO Imp.],CT$9)</f>
        <v>0</v>
      </c>
      <c r="CU1200" s="693">
        <f>SUMIFS(Imput[Importe Neto],Imput[C. Imp.],$D1200,Imput[PERIODO Imp.],CU$9)</f>
        <v>0</v>
      </c>
      <c r="CV1200" s="693">
        <f>SUMIFS(Imput[Importe Neto],Imput[C. Imp.],$D1200,Imput[PERIODO Imp.],CV$9)</f>
        <v>0</v>
      </c>
      <c r="CW1200" s="693">
        <f>SUMIFS(Imput[Importe Neto],Imput[C. Imp.],$D1200,Imput[PERIODO Imp.],CW$9)</f>
        <v>0</v>
      </c>
      <c r="CX1200" s="693">
        <f>SUMIFS(Imput[Importe Neto],Imput[C. Imp.],$D1200,Imput[PERIODO Imp.],CX$9)</f>
        <v>0</v>
      </c>
      <c r="CY1200" s="693">
        <f>SUMIFS(Imput[Importe Neto],Imput[C. Imp.],$D1200,Imput[PERIODO Imp.],CY$9)</f>
        <v>0</v>
      </c>
      <c r="CZ1200" s="693">
        <f>SUMIFS(Imput[Importe Neto],Imput[C. Imp.],$D1200,Imput[PERIODO Imp.],CZ$9)</f>
        <v>0</v>
      </c>
      <c r="DA1200" s="693">
        <f>SUMIFS(Imput[Importe Neto],Imput[C. Imp.],$D1200,Imput[PERIODO Imp.],DA$9)</f>
        <v>0</v>
      </c>
      <c r="DB1200" s="693">
        <f>SUMIFS(Imput[Importe Neto],Imput[C. Imp.],$D1200,Imput[PERIODO Imp.],DB$9)</f>
        <v>0</v>
      </c>
      <c r="DC1200" s="693">
        <f>SUMIFS(Imput[Importe Neto],Imput[C. Imp.],$D1200,Imput[PERIODO Imp.],DC$9)</f>
        <v>0</v>
      </c>
      <c r="DD1200" s="693">
        <f>SUMIFS(Imput[Importe Neto],Imput[C. Imp.],$D1200,Imput[PERIODO Imp.],DD$9)</f>
        <v>0</v>
      </c>
      <c r="DE1200" s="693">
        <f>SUMIFS(Imput[Importe Neto],Imput[C. Imp.],$D1200,Imput[PERIODO Imp.],DE$9)</f>
        <v>0</v>
      </c>
      <c r="DF1200" s="693">
        <f>SUMIFS(Imput[Importe Neto],Imput[C. Imp.],$D1200,Imput[PERIODO Imp.],DF$9)</f>
        <v>0</v>
      </c>
      <c r="DG1200" s="693">
        <f>SUMIFS(Imput[Importe Neto],Imput[C. Imp.],$D1200,Imput[PERIODO Imp.],DG$9)</f>
        <v>0</v>
      </c>
      <c r="DH1200" s="694">
        <f>SUMIFS(Imput[Importe Neto],Imput[C. Imp.],$D1200,Imput[PERIODO Imp.],DH$9)</f>
        <v>0</v>
      </c>
    </row>
    <row r="1201" spans="1:112" hidden="1" outlineLevel="1" x14ac:dyDescent="0.3">
      <c r="A1201" s="652" t="str">
        <f t="shared" si="403"/>
        <v/>
      </c>
      <c r="B1201" s="652"/>
      <c r="C1201" s="685"/>
      <c r="D1201" s="686" t="s">
        <v>1131</v>
      </c>
      <c r="E1201" s="686" t="s">
        <v>1132</v>
      </c>
      <c r="F1201" s="720"/>
      <c r="G1201" s="688"/>
      <c r="H1201" s="689"/>
      <c r="I1201" s="851"/>
      <c r="J1201" s="691">
        <f t="shared" si="404"/>
        <v>0</v>
      </c>
      <c r="K1201" s="667"/>
      <c r="L1201" s="858"/>
      <c r="M1201" s="859"/>
      <c r="N1201" s="859"/>
      <c r="O1201" s="859"/>
      <c r="P1201" s="859"/>
      <c r="Q1201" s="859"/>
      <c r="R1201" s="859"/>
      <c r="S1201" s="859"/>
      <c r="T1201" s="859"/>
      <c r="U1201" s="859"/>
      <c r="V1201" s="859"/>
      <c r="W1201" s="859"/>
      <c r="X1201" s="859"/>
      <c r="Y1201" s="859"/>
      <c r="Z1201" s="860"/>
      <c r="AA1201" s="860"/>
      <c r="AB1201" s="860"/>
      <c r="AC1201" s="860"/>
      <c r="AD1201" s="860"/>
      <c r="AE1201" s="860"/>
      <c r="AF1201" s="860"/>
      <c r="AG1201" s="860"/>
      <c r="AH1201" s="860"/>
      <c r="AI1201" s="860"/>
      <c r="AJ1201" s="860"/>
      <c r="AK1201" s="860"/>
      <c r="AL1201" s="860"/>
      <c r="AM1201" s="860"/>
      <c r="AN1201" s="860"/>
      <c r="AO1201" s="860"/>
      <c r="AP1201" s="860"/>
      <c r="AQ1201" s="860"/>
      <c r="AR1201" s="860"/>
      <c r="AS1201" s="860"/>
      <c r="AT1201" s="860"/>
      <c r="AU1201" s="860"/>
      <c r="AV1201" s="860"/>
      <c r="AW1201" s="860"/>
      <c r="AX1201" s="860"/>
      <c r="AY1201" s="860"/>
      <c r="AZ1201" s="860"/>
      <c r="BA1201" s="860"/>
      <c r="BB1201" s="860"/>
      <c r="BC1201" s="860"/>
      <c r="BD1201" s="860"/>
      <c r="BE1201" s="860"/>
      <c r="BF1201" s="860"/>
      <c r="BG1201" s="861"/>
      <c r="BH1201" s="668"/>
      <c r="BI1201" s="654"/>
      <c r="BJ1201" s="690">
        <f t="shared" si="405"/>
        <v>0</v>
      </c>
      <c r="BK1201" s="691">
        <f t="shared" si="406"/>
        <v>188621.49095474498</v>
      </c>
      <c r="BL1201" s="654"/>
      <c r="BM1201" s="692">
        <f>SUMIFS(Imput[Importe Neto],Imput[C. Imp.],$D1201,Imput[PERIODO Imp.],BM$9)</f>
        <v>0</v>
      </c>
      <c r="BN1201" s="693">
        <f>SUMIFS(Imput[Importe Neto],Imput[C. Imp.],$D1201,Imput[PERIODO Imp.],BN$9)</f>
        <v>0</v>
      </c>
      <c r="BO1201" s="693">
        <f>SUMIFS(Imput[Importe Neto],Imput[C. Imp.],$D1201,Imput[PERIODO Imp.],BO$9)</f>
        <v>0</v>
      </c>
      <c r="BP1201" s="693">
        <f>SUMIFS(Imput[Importe Neto],Imput[C. Imp.],$D1201,Imput[PERIODO Imp.],BP$9)</f>
        <v>103746.04879999996</v>
      </c>
      <c r="BQ1201" s="693">
        <f>SUMIFS(Imput[Importe Neto],Imput[C. Imp.],$D1201,Imput[PERIODO Imp.],BQ$9)</f>
        <v>30560.008154745003</v>
      </c>
      <c r="BR1201" s="693">
        <f>SUMIFS(Imput[Importe Neto],Imput[C. Imp.],$D1201,Imput[PERIODO Imp.],BR$9)</f>
        <v>32299.005200000003</v>
      </c>
      <c r="BS1201" s="693">
        <f>SUMIFS(Imput[Importe Neto],Imput[C. Imp.],$D1201,Imput[PERIODO Imp.],BS$9)</f>
        <v>22016.428800000002</v>
      </c>
      <c r="BT1201" s="693">
        <f>SUMIFS(Imput[Importe Neto],Imput[C. Imp.],$D1201,Imput[PERIODO Imp.],BT$9)</f>
        <v>0</v>
      </c>
      <c r="BU1201" s="693">
        <f>SUMIFS(Imput[Importe Neto],Imput[C. Imp.],$D1201,Imput[PERIODO Imp.],BU$9)</f>
        <v>0</v>
      </c>
      <c r="BV1201" s="693">
        <f>SUMIFS(Imput[Importe Neto],Imput[C. Imp.],$D1201,Imput[PERIODO Imp.],BV$9)</f>
        <v>0</v>
      </c>
      <c r="BW1201" s="693">
        <f>SUMIFS(Imput[Importe Neto],Imput[C. Imp.],$D1201,Imput[PERIODO Imp.],BW$9)</f>
        <v>0</v>
      </c>
      <c r="BX1201" s="693">
        <f>SUMIFS(Imput[Importe Neto],Imput[C. Imp.],$D1201,Imput[PERIODO Imp.],BX$9)</f>
        <v>0</v>
      </c>
      <c r="BY1201" s="693">
        <f>SUMIFS(Imput[Importe Neto],Imput[C. Imp.],$D1201,Imput[PERIODO Imp.],BY$9)</f>
        <v>0</v>
      </c>
      <c r="BZ1201" s="693">
        <f>SUMIFS(Imput[Importe Neto],Imput[C. Imp.],$D1201,Imput[PERIODO Imp.],BZ$9)</f>
        <v>0</v>
      </c>
      <c r="CA1201" s="693">
        <f>SUMIFS(Imput[Importe Neto],Imput[C. Imp.],$D1201,Imput[PERIODO Imp.],CA$9)</f>
        <v>0</v>
      </c>
      <c r="CB1201" s="693">
        <f>SUMIFS(Imput[Importe Neto],Imput[C. Imp.],$D1201,Imput[PERIODO Imp.],CB$9)</f>
        <v>0</v>
      </c>
      <c r="CC1201" s="693">
        <f>SUMIFS(Imput[Importe Neto],Imput[C. Imp.],$D1201,Imput[PERIODO Imp.],CC$9)</f>
        <v>0</v>
      </c>
      <c r="CD1201" s="693">
        <f>SUMIFS(Imput[Importe Neto],Imput[C. Imp.],$D1201,Imput[PERIODO Imp.],CD$9)</f>
        <v>0</v>
      </c>
      <c r="CE1201" s="693">
        <f>SUMIFS(Imput[Importe Neto],Imput[C. Imp.],$D1201,Imput[PERIODO Imp.],CE$9)</f>
        <v>0</v>
      </c>
      <c r="CF1201" s="693">
        <f>SUMIFS(Imput[Importe Neto],Imput[C. Imp.],$D1201,Imput[PERIODO Imp.],CF$9)</f>
        <v>0</v>
      </c>
      <c r="CG1201" s="693">
        <f>SUMIFS(Imput[Importe Neto],Imput[C. Imp.],$D1201,Imput[PERIODO Imp.],CG$9)</f>
        <v>0</v>
      </c>
      <c r="CH1201" s="693">
        <f>SUMIFS(Imput[Importe Neto],Imput[C. Imp.],$D1201,Imput[PERIODO Imp.],CH$9)</f>
        <v>0</v>
      </c>
      <c r="CI1201" s="693">
        <f>SUMIFS(Imput[Importe Neto],Imput[C. Imp.],$D1201,Imput[PERIODO Imp.],CI$9)</f>
        <v>0</v>
      </c>
      <c r="CJ1201" s="693">
        <f>SUMIFS(Imput[Importe Neto],Imput[C. Imp.],$D1201,Imput[PERIODO Imp.],CJ$9)</f>
        <v>0</v>
      </c>
      <c r="CK1201" s="693">
        <f>SUMIFS(Imput[Importe Neto],Imput[C. Imp.],$D1201,Imput[PERIODO Imp.],CK$9)</f>
        <v>0</v>
      </c>
      <c r="CL1201" s="693">
        <f>SUMIFS(Imput[Importe Neto],Imput[C. Imp.],$D1201,Imput[PERIODO Imp.],CL$9)</f>
        <v>0</v>
      </c>
      <c r="CM1201" s="693">
        <f>SUMIFS(Imput[Importe Neto],Imput[C. Imp.],$D1201,Imput[PERIODO Imp.],CM$9)</f>
        <v>0</v>
      </c>
      <c r="CN1201" s="693">
        <f>SUMIFS(Imput[Importe Neto],Imput[C. Imp.],$D1201,Imput[PERIODO Imp.],CN$9)</f>
        <v>0</v>
      </c>
      <c r="CO1201" s="693">
        <f>SUMIFS(Imput[Importe Neto],Imput[C. Imp.],$D1201,Imput[PERIODO Imp.],CO$9)</f>
        <v>0</v>
      </c>
      <c r="CP1201" s="693">
        <f>SUMIFS(Imput[Importe Neto],Imput[C. Imp.],$D1201,Imput[PERIODO Imp.],CP$9)</f>
        <v>0</v>
      </c>
      <c r="CQ1201" s="693">
        <f>SUMIFS(Imput[Importe Neto],Imput[C. Imp.],$D1201,Imput[PERIODO Imp.],CQ$9)</f>
        <v>0</v>
      </c>
      <c r="CR1201" s="693">
        <f>SUMIFS(Imput[Importe Neto],Imput[C. Imp.],$D1201,Imput[PERIODO Imp.],CR$9)</f>
        <v>0</v>
      </c>
      <c r="CS1201" s="693">
        <f>SUMIFS(Imput[Importe Neto],Imput[C. Imp.],$D1201,Imput[PERIODO Imp.],CS$9)</f>
        <v>0</v>
      </c>
      <c r="CT1201" s="693">
        <f>SUMIFS(Imput[Importe Neto],Imput[C. Imp.],$D1201,Imput[PERIODO Imp.],CT$9)</f>
        <v>0</v>
      </c>
      <c r="CU1201" s="693">
        <f>SUMIFS(Imput[Importe Neto],Imput[C. Imp.],$D1201,Imput[PERIODO Imp.],CU$9)</f>
        <v>0</v>
      </c>
      <c r="CV1201" s="693">
        <f>SUMIFS(Imput[Importe Neto],Imput[C. Imp.],$D1201,Imput[PERIODO Imp.],CV$9)</f>
        <v>0</v>
      </c>
      <c r="CW1201" s="693">
        <f>SUMIFS(Imput[Importe Neto],Imput[C. Imp.],$D1201,Imput[PERIODO Imp.],CW$9)</f>
        <v>0</v>
      </c>
      <c r="CX1201" s="693">
        <f>SUMIFS(Imput[Importe Neto],Imput[C. Imp.],$D1201,Imput[PERIODO Imp.],CX$9)</f>
        <v>0</v>
      </c>
      <c r="CY1201" s="693">
        <f>SUMIFS(Imput[Importe Neto],Imput[C. Imp.],$D1201,Imput[PERIODO Imp.],CY$9)</f>
        <v>0</v>
      </c>
      <c r="CZ1201" s="693">
        <f>SUMIFS(Imput[Importe Neto],Imput[C. Imp.],$D1201,Imput[PERIODO Imp.],CZ$9)</f>
        <v>0</v>
      </c>
      <c r="DA1201" s="693">
        <f>SUMIFS(Imput[Importe Neto],Imput[C. Imp.],$D1201,Imput[PERIODO Imp.],DA$9)</f>
        <v>0</v>
      </c>
      <c r="DB1201" s="693">
        <f>SUMIFS(Imput[Importe Neto],Imput[C. Imp.],$D1201,Imput[PERIODO Imp.],DB$9)</f>
        <v>0</v>
      </c>
      <c r="DC1201" s="693">
        <f>SUMIFS(Imput[Importe Neto],Imput[C. Imp.],$D1201,Imput[PERIODO Imp.],DC$9)</f>
        <v>0</v>
      </c>
      <c r="DD1201" s="693">
        <f>SUMIFS(Imput[Importe Neto],Imput[C. Imp.],$D1201,Imput[PERIODO Imp.],DD$9)</f>
        <v>0</v>
      </c>
      <c r="DE1201" s="693">
        <f>SUMIFS(Imput[Importe Neto],Imput[C. Imp.],$D1201,Imput[PERIODO Imp.],DE$9)</f>
        <v>0</v>
      </c>
      <c r="DF1201" s="693">
        <f>SUMIFS(Imput[Importe Neto],Imput[C. Imp.],$D1201,Imput[PERIODO Imp.],DF$9)</f>
        <v>0</v>
      </c>
      <c r="DG1201" s="693">
        <f>SUMIFS(Imput[Importe Neto],Imput[C. Imp.],$D1201,Imput[PERIODO Imp.],DG$9)</f>
        <v>0</v>
      </c>
      <c r="DH1201" s="694">
        <f>SUMIFS(Imput[Importe Neto],Imput[C. Imp.],$D1201,Imput[PERIODO Imp.],DH$9)</f>
        <v>0</v>
      </c>
    </row>
    <row r="1202" spans="1:112" hidden="1" outlineLevel="1" x14ac:dyDescent="0.3">
      <c r="A1202" s="652" t="str">
        <f t="shared" si="403"/>
        <v/>
      </c>
      <c r="B1202" s="652"/>
      <c r="C1202" s="685"/>
      <c r="D1202" s="686" t="s">
        <v>1133</v>
      </c>
      <c r="E1202" s="686" t="s">
        <v>1134</v>
      </c>
      <c r="F1202" s="720"/>
      <c r="G1202" s="688"/>
      <c r="H1202" s="689"/>
      <c r="I1202" s="851"/>
      <c r="J1202" s="691">
        <f t="shared" si="404"/>
        <v>0</v>
      </c>
      <c r="K1202" s="667"/>
      <c r="L1202" s="858"/>
      <c r="M1202" s="859"/>
      <c r="N1202" s="859"/>
      <c r="O1202" s="859"/>
      <c r="P1202" s="859"/>
      <c r="Q1202" s="859"/>
      <c r="R1202" s="859"/>
      <c r="S1202" s="859"/>
      <c r="T1202" s="859"/>
      <c r="U1202" s="859"/>
      <c r="V1202" s="859"/>
      <c r="W1202" s="859"/>
      <c r="X1202" s="859"/>
      <c r="Y1202" s="859"/>
      <c r="Z1202" s="860"/>
      <c r="AA1202" s="860"/>
      <c r="AB1202" s="860"/>
      <c r="AC1202" s="860"/>
      <c r="AD1202" s="860"/>
      <c r="AE1202" s="860"/>
      <c r="AF1202" s="860"/>
      <c r="AG1202" s="860"/>
      <c r="AH1202" s="860"/>
      <c r="AI1202" s="860"/>
      <c r="AJ1202" s="860"/>
      <c r="AK1202" s="860"/>
      <c r="AL1202" s="860"/>
      <c r="AM1202" s="860"/>
      <c r="AN1202" s="860"/>
      <c r="AO1202" s="860"/>
      <c r="AP1202" s="860"/>
      <c r="AQ1202" s="860"/>
      <c r="AR1202" s="860"/>
      <c r="AS1202" s="860"/>
      <c r="AT1202" s="860"/>
      <c r="AU1202" s="860"/>
      <c r="AV1202" s="860"/>
      <c r="AW1202" s="860"/>
      <c r="AX1202" s="860"/>
      <c r="AY1202" s="860"/>
      <c r="AZ1202" s="860"/>
      <c r="BA1202" s="860"/>
      <c r="BB1202" s="860"/>
      <c r="BC1202" s="860"/>
      <c r="BD1202" s="860"/>
      <c r="BE1202" s="860"/>
      <c r="BF1202" s="860"/>
      <c r="BG1202" s="861"/>
      <c r="BH1202" s="668"/>
      <c r="BI1202" s="654"/>
      <c r="BJ1202" s="690">
        <f t="shared" si="405"/>
        <v>0</v>
      </c>
      <c r="BK1202" s="691">
        <f t="shared" si="406"/>
        <v>28620</v>
      </c>
      <c r="BL1202" s="654"/>
      <c r="BM1202" s="692">
        <f>SUMIFS(Imput[Importe Neto],Imput[C. Imp.],$D1202,Imput[PERIODO Imp.],BM$9)</f>
        <v>0</v>
      </c>
      <c r="BN1202" s="693">
        <f>SUMIFS(Imput[Importe Neto],Imput[C. Imp.],$D1202,Imput[PERIODO Imp.],BN$9)</f>
        <v>0</v>
      </c>
      <c r="BO1202" s="693">
        <f>SUMIFS(Imput[Importe Neto],Imput[C. Imp.],$D1202,Imput[PERIODO Imp.],BO$9)</f>
        <v>0</v>
      </c>
      <c r="BP1202" s="693">
        <f>SUMIFS(Imput[Importe Neto],Imput[C. Imp.],$D1202,Imput[PERIODO Imp.],BP$9)</f>
        <v>7020</v>
      </c>
      <c r="BQ1202" s="693">
        <f>SUMIFS(Imput[Importe Neto],Imput[C. Imp.],$D1202,Imput[PERIODO Imp.],BQ$9)</f>
        <v>21600</v>
      </c>
      <c r="BR1202" s="693">
        <f>SUMIFS(Imput[Importe Neto],Imput[C. Imp.],$D1202,Imput[PERIODO Imp.],BR$9)</f>
        <v>0</v>
      </c>
      <c r="BS1202" s="693">
        <f>SUMIFS(Imput[Importe Neto],Imput[C. Imp.],$D1202,Imput[PERIODO Imp.],BS$9)</f>
        <v>0</v>
      </c>
      <c r="BT1202" s="693">
        <f>SUMIFS(Imput[Importe Neto],Imput[C. Imp.],$D1202,Imput[PERIODO Imp.],BT$9)</f>
        <v>0</v>
      </c>
      <c r="BU1202" s="693">
        <f>SUMIFS(Imput[Importe Neto],Imput[C. Imp.],$D1202,Imput[PERIODO Imp.],BU$9)</f>
        <v>0</v>
      </c>
      <c r="BV1202" s="693">
        <f>SUMIFS(Imput[Importe Neto],Imput[C. Imp.],$D1202,Imput[PERIODO Imp.],BV$9)</f>
        <v>0</v>
      </c>
      <c r="BW1202" s="693">
        <f>SUMIFS(Imput[Importe Neto],Imput[C. Imp.],$D1202,Imput[PERIODO Imp.],BW$9)</f>
        <v>0</v>
      </c>
      <c r="BX1202" s="693">
        <f>SUMIFS(Imput[Importe Neto],Imput[C. Imp.],$D1202,Imput[PERIODO Imp.],BX$9)</f>
        <v>0</v>
      </c>
      <c r="BY1202" s="693">
        <f>SUMIFS(Imput[Importe Neto],Imput[C. Imp.],$D1202,Imput[PERIODO Imp.],BY$9)</f>
        <v>0</v>
      </c>
      <c r="BZ1202" s="693">
        <f>SUMIFS(Imput[Importe Neto],Imput[C. Imp.],$D1202,Imput[PERIODO Imp.],BZ$9)</f>
        <v>0</v>
      </c>
      <c r="CA1202" s="693">
        <f>SUMIFS(Imput[Importe Neto],Imput[C. Imp.],$D1202,Imput[PERIODO Imp.],CA$9)</f>
        <v>0</v>
      </c>
      <c r="CB1202" s="693">
        <f>SUMIFS(Imput[Importe Neto],Imput[C. Imp.],$D1202,Imput[PERIODO Imp.],CB$9)</f>
        <v>0</v>
      </c>
      <c r="CC1202" s="693">
        <f>SUMIFS(Imput[Importe Neto],Imput[C. Imp.],$D1202,Imput[PERIODO Imp.],CC$9)</f>
        <v>0</v>
      </c>
      <c r="CD1202" s="693">
        <f>SUMIFS(Imput[Importe Neto],Imput[C. Imp.],$D1202,Imput[PERIODO Imp.],CD$9)</f>
        <v>0</v>
      </c>
      <c r="CE1202" s="693">
        <f>SUMIFS(Imput[Importe Neto],Imput[C. Imp.],$D1202,Imput[PERIODO Imp.],CE$9)</f>
        <v>0</v>
      </c>
      <c r="CF1202" s="693">
        <f>SUMIFS(Imput[Importe Neto],Imput[C. Imp.],$D1202,Imput[PERIODO Imp.],CF$9)</f>
        <v>0</v>
      </c>
      <c r="CG1202" s="693">
        <f>SUMIFS(Imput[Importe Neto],Imput[C. Imp.],$D1202,Imput[PERIODO Imp.],CG$9)</f>
        <v>0</v>
      </c>
      <c r="CH1202" s="693">
        <f>SUMIFS(Imput[Importe Neto],Imput[C. Imp.],$D1202,Imput[PERIODO Imp.],CH$9)</f>
        <v>0</v>
      </c>
      <c r="CI1202" s="693">
        <f>SUMIFS(Imput[Importe Neto],Imput[C. Imp.],$D1202,Imput[PERIODO Imp.],CI$9)</f>
        <v>0</v>
      </c>
      <c r="CJ1202" s="693">
        <f>SUMIFS(Imput[Importe Neto],Imput[C. Imp.],$D1202,Imput[PERIODO Imp.],CJ$9)</f>
        <v>0</v>
      </c>
      <c r="CK1202" s="693">
        <f>SUMIFS(Imput[Importe Neto],Imput[C. Imp.],$D1202,Imput[PERIODO Imp.],CK$9)</f>
        <v>0</v>
      </c>
      <c r="CL1202" s="693">
        <f>SUMIFS(Imput[Importe Neto],Imput[C. Imp.],$D1202,Imput[PERIODO Imp.],CL$9)</f>
        <v>0</v>
      </c>
      <c r="CM1202" s="693">
        <f>SUMIFS(Imput[Importe Neto],Imput[C. Imp.],$D1202,Imput[PERIODO Imp.],CM$9)</f>
        <v>0</v>
      </c>
      <c r="CN1202" s="693">
        <f>SUMIFS(Imput[Importe Neto],Imput[C. Imp.],$D1202,Imput[PERIODO Imp.],CN$9)</f>
        <v>0</v>
      </c>
      <c r="CO1202" s="693">
        <f>SUMIFS(Imput[Importe Neto],Imput[C. Imp.],$D1202,Imput[PERIODO Imp.],CO$9)</f>
        <v>0</v>
      </c>
      <c r="CP1202" s="693">
        <f>SUMIFS(Imput[Importe Neto],Imput[C. Imp.],$D1202,Imput[PERIODO Imp.],CP$9)</f>
        <v>0</v>
      </c>
      <c r="CQ1202" s="693">
        <f>SUMIFS(Imput[Importe Neto],Imput[C. Imp.],$D1202,Imput[PERIODO Imp.],CQ$9)</f>
        <v>0</v>
      </c>
      <c r="CR1202" s="693">
        <f>SUMIFS(Imput[Importe Neto],Imput[C. Imp.],$D1202,Imput[PERIODO Imp.],CR$9)</f>
        <v>0</v>
      </c>
      <c r="CS1202" s="693">
        <f>SUMIFS(Imput[Importe Neto],Imput[C. Imp.],$D1202,Imput[PERIODO Imp.],CS$9)</f>
        <v>0</v>
      </c>
      <c r="CT1202" s="693">
        <f>SUMIFS(Imput[Importe Neto],Imput[C. Imp.],$D1202,Imput[PERIODO Imp.],CT$9)</f>
        <v>0</v>
      </c>
      <c r="CU1202" s="693">
        <f>SUMIFS(Imput[Importe Neto],Imput[C. Imp.],$D1202,Imput[PERIODO Imp.],CU$9)</f>
        <v>0</v>
      </c>
      <c r="CV1202" s="693">
        <f>SUMIFS(Imput[Importe Neto],Imput[C. Imp.],$D1202,Imput[PERIODO Imp.],CV$9)</f>
        <v>0</v>
      </c>
      <c r="CW1202" s="693">
        <f>SUMIFS(Imput[Importe Neto],Imput[C. Imp.],$D1202,Imput[PERIODO Imp.],CW$9)</f>
        <v>0</v>
      </c>
      <c r="CX1202" s="693">
        <f>SUMIFS(Imput[Importe Neto],Imput[C. Imp.],$D1202,Imput[PERIODO Imp.],CX$9)</f>
        <v>0</v>
      </c>
      <c r="CY1202" s="693">
        <f>SUMIFS(Imput[Importe Neto],Imput[C. Imp.],$D1202,Imput[PERIODO Imp.],CY$9)</f>
        <v>0</v>
      </c>
      <c r="CZ1202" s="693">
        <f>SUMIFS(Imput[Importe Neto],Imput[C. Imp.],$D1202,Imput[PERIODO Imp.],CZ$9)</f>
        <v>0</v>
      </c>
      <c r="DA1202" s="693">
        <f>SUMIFS(Imput[Importe Neto],Imput[C. Imp.],$D1202,Imput[PERIODO Imp.],DA$9)</f>
        <v>0</v>
      </c>
      <c r="DB1202" s="693">
        <f>SUMIFS(Imput[Importe Neto],Imput[C. Imp.],$D1202,Imput[PERIODO Imp.],DB$9)</f>
        <v>0</v>
      </c>
      <c r="DC1202" s="693">
        <f>SUMIFS(Imput[Importe Neto],Imput[C. Imp.],$D1202,Imput[PERIODO Imp.],DC$9)</f>
        <v>0</v>
      </c>
      <c r="DD1202" s="693">
        <f>SUMIFS(Imput[Importe Neto],Imput[C. Imp.],$D1202,Imput[PERIODO Imp.],DD$9)</f>
        <v>0</v>
      </c>
      <c r="DE1202" s="693">
        <f>SUMIFS(Imput[Importe Neto],Imput[C. Imp.],$D1202,Imput[PERIODO Imp.],DE$9)</f>
        <v>0</v>
      </c>
      <c r="DF1202" s="693">
        <f>SUMIFS(Imput[Importe Neto],Imput[C. Imp.],$D1202,Imput[PERIODO Imp.],DF$9)</f>
        <v>0</v>
      </c>
      <c r="DG1202" s="693">
        <f>SUMIFS(Imput[Importe Neto],Imput[C. Imp.],$D1202,Imput[PERIODO Imp.],DG$9)</f>
        <v>0</v>
      </c>
      <c r="DH1202" s="694">
        <f>SUMIFS(Imput[Importe Neto],Imput[C. Imp.],$D1202,Imput[PERIODO Imp.],DH$9)</f>
        <v>0</v>
      </c>
    </row>
    <row r="1203" spans="1:112" hidden="1" outlineLevel="1" x14ac:dyDescent="0.3">
      <c r="A1203" s="652" t="str">
        <f t="shared" si="403"/>
        <v/>
      </c>
      <c r="B1203" s="652"/>
      <c r="C1203" s="685"/>
      <c r="D1203" s="686" t="s">
        <v>1135</v>
      </c>
      <c r="E1203" s="686" t="s">
        <v>1136</v>
      </c>
      <c r="F1203" s="720"/>
      <c r="G1203" s="688"/>
      <c r="H1203" s="689"/>
      <c r="I1203" s="851"/>
      <c r="J1203" s="691">
        <f t="shared" si="404"/>
        <v>0</v>
      </c>
      <c r="K1203" s="667"/>
      <c r="L1203" s="858"/>
      <c r="M1203" s="859"/>
      <c r="N1203" s="859"/>
      <c r="O1203" s="859"/>
      <c r="P1203" s="859"/>
      <c r="Q1203" s="859"/>
      <c r="R1203" s="859"/>
      <c r="S1203" s="859"/>
      <c r="T1203" s="859"/>
      <c r="U1203" s="859"/>
      <c r="V1203" s="859"/>
      <c r="W1203" s="859"/>
      <c r="X1203" s="859"/>
      <c r="Y1203" s="859"/>
      <c r="Z1203" s="860"/>
      <c r="AA1203" s="860"/>
      <c r="AB1203" s="860"/>
      <c r="AC1203" s="860"/>
      <c r="AD1203" s="860"/>
      <c r="AE1203" s="860"/>
      <c r="AF1203" s="860"/>
      <c r="AG1203" s="860"/>
      <c r="AH1203" s="860"/>
      <c r="AI1203" s="860"/>
      <c r="AJ1203" s="860"/>
      <c r="AK1203" s="860"/>
      <c r="AL1203" s="860"/>
      <c r="AM1203" s="860"/>
      <c r="AN1203" s="860"/>
      <c r="AO1203" s="860"/>
      <c r="AP1203" s="860"/>
      <c r="AQ1203" s="860"/>
      <c r="AR1203" s="860"/>
      <c r="AS1203" s="860"/>
      <c r="AT1203" s="860"/>
      <c r="AU1203" s="860"/>
      <c r="AV1203" s="860"/>
      <c r="AW1203" s="860"/>
      <c r="AX1203" s="860"/>
      <c r="AY1203" s="860"/>
      <c r="AZ1203" s="860"/>
      <c r="BA1203" s="860"/>
      <c r="BB1203" s="860"/>
      <c r="BC1203" s="860"/>
      <c r="BD1203" s="860"/>
      <c r="BE1203" s="860"/>
      <c r="BF1203" s="860"/>
      <c r="BG1203" s="861"/>
      <c r="BH1203" s="668"/>
      <c r="BI1203" s="654"/>
      <c r="BJ1203" s="690">
        <f t="shared" si="405"/>
        <v>0</v>
      </c>
      <c r="BK1203" s="691">
        <f t="shared" si="406"/>
        <v>0</v>
      </c>
      <c r="BL1203" s="654"/>
      <c r="BM1203" s="692">
        <f>SUMIFS(Imput[Importe Neto],Imput[C. Imp.],$D1203,Imput[PERIODO Imp.],BM$9)</f>
        <v>0</v>
      </c>
      <c r="BN1203" s="693">
        <f>SUMIFS(Imput[Importe Neto],Imput[C. Imp.],$D1203,Imput[PERIODO Imp.],BN$9)</f>
        <v>0</v>
      </c>
      <c r="BO1203" s="693">
        <f>SUMIFS(Imput[Importe Neto],Imput[C. Imp.],$D1203,Imput[PERIODO Imp.],BO$9)</f>
        <v>0</v>
      </c>
      <c r="BP1203" s="693">
        <f>SUMIFS(Imput[Importe Neto],Imput[C. Imp.],$D1203,Imput[PERIODO Imp.],BP$9)</f>
        <v>0</v>
      </c>
      <c r="BQ1203" s="693">
        <f>SUMIFS(Imput[Importe Neto],Imput[C. Imp.],$D1203,Imput[PERIODO Imp.],BQ$9)</f>
        <v>0</v>
      </c>
      <c r="BR1203" s="693">
        <f>SUMIFS(Imput[Importe Neto],Imput[C. Imp.],$D1203,Imput[PERIODO Imp.],BR$9)</f>
        <v>0</v>
      </c>
      <c r="BS1203" s="693">
        <f>SUMIFS(Imput[Importe Neto],Imput[C. Imp.],$D1203,Imput[PERIODO Imp.],BS$9)</f>
        <v>0</v>
      </c>
      <c r="BT1203" s="693">
        <f>SUMIFS(Imput[Importe Neto],Imput[C. Imp.],$D1203,Imput[PERIODO Imp.],BT$9)</f>
        <v>0</v>
      </c>
      <c r="BU1203" s="693">
        <f>SUMIFS(Imput[Importe Neto],Imput[C. Imp.],$D1203,Imput[PERIODO Imp.],BU$9)</f>
        <v>0</v>
      </c>
      <c r="BV1203" s="693">
        <f>SUMIFS(Imput[Importe Neto],Imput[C. Imp.],$D1203,Imput[PERIODO Imp.],BV$9)</f>
        <v>0</v>
      </c>
      <c r="BW1203" s="693">
        <f>SUMIFS(Imput[Importe Neto],Imput[C. Imp.],$D1203,Imput[PERIODO Imp.],BW$9)</f>
        <v>0</v>
      </c>
      <c r="BX1203" s="693">
        <f>SUMIFS(Imput[Importe Neto],Imput[C. Imp.],$D1203,Imput[PERIODO Imp.],BX$9)</f>
        <v>0</v>
      </c>
      <c r="BY1203" s="693">
        <f>SUMIFS(Imput[Importe Neto],Imput[C. Imp.],$D1203,Imput[PERIODO Imp.],BY$9)</f>
        <v>0</v>
      </c>
      <c r="BZ1203" s="693">
        <f>SUMIFS(Imput[Importe Neto],Imput[C. Imp.],$D1203,Imput[PERIODO Imp.],BZ$9)</f>
        <v>0</v>
      </c>
      <c r="CA1203" s="693">
        <f>SUMIFS(Imput[Importe Neto],Imput[C. Imp.],$D1203,Imput[PERIODO Imp.],CA$9)</f>
        <v>0</v>
      </c>
      <c r="CB1203" s="693">
        <f>SUMIFS(Imput[Importe Neto],Imput[C. Imp.],$D1203,Imput[PERIODO Imp.],CB$9)</f>
        <v>0</v>
      </c>
      <c r="CC1203" s="693">
        <f>SUMIFS(Imput[Importe Neto],Imput[C. Imp.],$D1203,Imput[PERIODO Imp.],CC$9)</f>
        <v>0</v>
      </c>
      <c r="CD1203" s="693">
        <f>SUMIFS(Imput[Importe Neto],Imput[C. Imp.],$D1203,Imput[PERIODO Imp.],CD$9)</f>
        <v>0</v>
      </c>
      <c r="CE1203" s="693">
        <f>SUMIFS(Imput[Importe Neto],Imput[C. Imp.],$D1203,Imput[PERIODO Imp.],CE$9)</f>
        <v>0</v>
      </c>
      <c r="CF1203" s="693">
        <f>SUMIFS(Imput[Importe Neto],Imput[C. Imp.],$D1203,Imput[PERIODO Imp.],CF$9)</f>
        <v>0</v>
      </c>
      <c r="CG1203" s="693">
        <f>SUMIFS(Imput[Importe Neto],Imput[C. Imp.],$D1203,Imput[PERIODO Imp.],CG$9)</f>
        <v>0</v>
      </c>
      <c r="CH1203" s="693">
        <f>SUMIFS(Imput[Importe Neto],Imput[C. Imp.],$D1203,Imput[PERIODO Imp.],CH$9)</f>
        <v>0</v>
      </c>
      <c r="CI1203" s="693">
        <f>SUMIFS(Imput[Importe Neto],Imput[C. Imp.],$D1203,Imput[PERIODO Imp.],CI$9)</f>
        <v>0</v>
      </c>
      <c r="CJ1203" s="693">
        <f>SUMIFS(Imput[Importe Neto],Imput[C. Imp.],$D1203,Imput[PERIODO Imp.],CJ$9)</f>
        <v>0</v>
      </c>
      <c r="CK1203" s="693">
        <f>SUMIFS(Imput[Importe Neto],Imput[C. Imp.],$D1203,Imput[PERIODO Imp.],CK$9)</f>
        <v>0</v>
      </c>
      <c r="CL1203" s="693">
        <f>SUMIFS(Imput[Importe Neto],Imput[C. Imp.],$D1203,Imput[PERIODO Imp.],CL$9)</f>
        <v>0</v>
      </c>
      <c r="CM1203" s="693">
        <f>SUMIFS(Imput[Importe Neto],Imput[C. Imp.],$D1203,Imput[PERIODO Imp.],CM$9)</f>
        <v>0</v>
      </c>
      <c r="CN1203" s="693">
        <f>SUMIFS(Imput[Importe Neto],Imput[C. Imp.],$D1203,Imput[PERIODO Imp.],CN$9)</f>
        <v>0</v>
      </c>
      <c r="CO1203" s="693">
        <f>SUMIFS(Imput[Importe Neto],Imput[C. Imp.],$D1203,Imput[PERIODO Imp.],CO$9)</f>
        <v>0</v>
      </c>
      <c r="CP1203" s="693">
        <f>SUMIFS(Imput[Importe Neto],Imput[C. Imp.],$D1203,Imput[PERIODO Imp.],CP$9)</f>
        <v>0</v>
      </c>
      <c r="CQ1203" s="693">
        <f>SUMIFS(Imput[Importe Neto],Imput[C. Imp.],$D1203,Imput[PERIODO Imp.],CQ$9)</f>
        <v>0</v>
      </c>
      <c r="CR1203" s="693">
        <f>SUMIFS(Imput[Importe Neto],Imput[C. Imp.],$D1203,Imput[PERIODO Imp.],CR$9)</f>
        <v>0</v>
      </c>
      <c r="CS1203" s="693">
        <f>SUMIFS(Imput[Importe Neto],Imput[C. Imp.],$D1203,Imput[PERIODO Imp.],CS$9)</f>
        <v>0</v>
      </c>
      <c r="CT1203" s="693">
        <f>SUMIFS(Imput[Importe Neto],Imput[C. Imp.],$D1203,Imput[PERIODO Imp.],CT$9)</f>
        <v>0</v>
      </c>
      <c r="CU1203" s="693">
        <f>SUMIFS(Imput[Importe Neto],Imput[C. Imp.],$D1203,Imput[PERIODO Imp.],CU$9)</f>
        <v>0</v>
      </c>
      <c r="CV1203" s="693">
        <f>SUMIFS(Imput[Importe Neto],Imput[C. Imp.],$D1203,Imput[PERIODO Imp.],CV$9)</f>
        <v>0</v>
      </c>
      <c r="CW1203" s="693">
        <f>SUMIFS(Imput[Importe Neto],Imput[C. Imp.],$D1203,Imput[PERIODO Imp.],CW$9)</f>
        <v>0</v>
      </c>
      <c r="CX1203" s="693">
        <f>SUMIFS(Imput[Importe Neto],Imput[C. Imp.],$D1203,Imput[PERIODO Imp.],CX$9)</f>
        <v>0</v>
      </c>
      <c r="CY1203" s="693">
        <f>SUMIFS(Imput[Importe Neto],Imput[C. Imp.],$D1203,Imput[PERIODO Imp.],CY$9)</f>
        <v>0</v>
      </c>
      <c r="CZ1203" s="693">
        <f>SUMIFS(Imput[Importe Neto],Imput[C. Imp.],$D1203,Imput[PERIODO Imp.],CZ$9)</f>
        <v>0</v>
      </c>
      <c r="DA1203" s="693">
        <f>SUMIFS(Imput[Importe Neto],Imput[C. Imp.],$D1203,Imput[PERIODO Imp.],DA$9)</f>
        <v>0</v>
      </c>
      <c r="DB1203" s="693">
        <f>SUMIFS(Imput[Importe Neto],Imput[C. Imp.],$D1203,Imput[PERIODO Imp.],DB$9)</f>
        <v>0</v>
      </c>
      <c r="DC1203" s="693">
        <f>SUMIFS(Imput[Importe Neto],Imput[C. Imp.],$D1203,Imput[PERIODO Imp.],DC$9)</f>
        <v>0</v>
      </c>
      <c r="DD1203" s="693">
        <f>SUMIFS(Imput[Importe Neto],Imput[C. Imp.],$D1203,Imput[PERIODO Imp.],DD$9)</f>
        <v>0</v>
      </c>
      <c r="DE1203" s="693">
        <f>SUMIFS(Imput[Importe Neto],Imput[C. Imp.],$D1203,Imput[PERIODO Imp.],DE$9)</f>
        <v>0</v>
      </c>
      <c r="DF1203" s="693">
        <f>SUMIFS(Imput[Importe Neto],Imput[C. Imp.],$D1203,Imput[PERIODO Imp.],DF$9)</f>
        <v>0</v>
      </c>
      <c r="DG1203" s="693">
        <f>SUMIFS(Imput[Importe Neto],Imput[C. Imp.],$D1203,Imput[PERIODO Imp.],DG$9)</f>
        <v>0</v>
      </c>
      <c r="DH1203" s="694">
        <f>SUMIFS(Imput[Importe Neto],Imput[C. Imp.],$D1203,Imput[PERIODO Imp.],DH$9)</f>
        <v>0</v>
      </c>
    </row>
    <row r="1204" spans="1:112" hidden="1" outlineLevel="1" x14ac:dyDescent="0.3">
      <c r="A1204" s="652" t="str">
        <f t="shared" si="403"/>
        <v/>
      </c>
      <c r="B1204" s="652"/>
      <c r="C1204" s="685"/>
      <c r="D1204" s="686" t="s">
        <v>1137</v>
      </c>
      <c r="E1204" s="686" t="s">
        <v>1138</v>
      </c>
      <c r="F1204" s="720"/>
      <c r="G1204" s="688"/>
      <c r="H1204" s="689"/>
      <c r="I1204" s="851"/>
      <c r="J1204" s="691">
        <f t="shared" si="404"/>
        <v>0</v>
      </c>
      <c r="K1204" s="667"/>
      <c r="L1204" s="858"/>
      <c r="M1204" s="859"/>
      <c r="N1204" s="859"/>
      <c r="O1204" s="859"/>
      <c r="P1204" s="859"/>
      <c r="Q1204" s="859"/>
      <c r="R1204" s="859"/>
      <c r="S1204" s="859"/>
      <c r="T1204" s="859"/>
      <c r="U1204" s="859"/>
      <c r="V1204" s="859"/>
      <c r="W1204" s="859"/>
      <c r="X1204" s="859"/>
      <c r="Y1204" s="859"/>
      <c r="Z1204" s="860"/>
      <c r="AA1204" s="860"/>
      <c r="AB1204" s="860"/>
      <c r="AC1204" s="860"/>
      <c r="AD1204" s="860"/>
      <c r="AE1204" s="860"/>
      <c r="AF1204" s="860"/>
      <c r="AG1204" s="860"/>
      <c r="AH1204" s="860"/>
      <c r="AI1204" s="860"/>
      <c r="AJ1204" s="860"/>
      <c r="AK1204" s="860"/>
      <c r="AL1204" s="860"/>
      <c r="AM1204" s="860"/>
      <c r="AN1204" s="860"/>
      <c r="AO1204" s="860"/>
      <c r="AP1204" s="860"/>
      <c r="AQ1204" s="860"/>
      <c r="AR1204" s="860"/>
      <c r="AS1204" s="860"/>
      <c r="AT1204" s="860"/>
      <c r="AU1204" s="860"/>
      <c r="AV1204" s="860"/>
      <c r="AW1204" s="860"/>
      <c r="AX1204" s="860"/>
      <c r="AY1204" s="860"/>
      <c r="AZ1204" s="860"/>
      <c r="BA1204" s="860"/>
      <c r="BB1204" s="860"/>
      <c r="BC1204" s="860"/>
      <c r="BD1204" s="860"/>
      <c r="BE1204" s="860"/>
      <c r="BF1204" s="860"/>
      <c r="BG1204" s="861"/>
      <c r="BH1204" s="668"/>
      <c r="BI1204" s="654"/>
      <c r="BJ1204" s="690">
        <f t="shared" si="405"/>
        <v>0</v>
      </c>
      <c r="BK1204" s="691">
        <f t="shared" si="406"/>
        <v>0</v>
      </c>
      <c r="BL1204" s="654"/>
      <c r="BM1204" s="692">
        <f>SUMIFS(Imput[Importe Neto],Imput[C. Imp.],$D1204,Imput[PERIODO Imp.],BM$9)</f>
        <v>0</v>
      </c>
      <c r="BN1204" s="693">
        <f>SUMIFS(Imput[Importe Neto],Imput[C. Imp.],$D1204,Imput[PERIODO Imp.],BN$9)</f>
        <v>0</v>
      </c>
      <c r="BO1204" s="693">
        <f>SUMIFS(Imput[Importe Neto],Imput[C. Imp.],$D1204,Imput[PERIODO Imp.],BO$9)</f>
        <v>0</v>
      </c>
      <c r="BP1204" s="693">
        <f>SUMIFS(Imput[Importe Neto],Imput[C. Imp.],$D1204,Imput[PERIODO Imp.],BP$9)</f>
        <v>0</v>
      </c>
      <c r="BQ1204" s="693">
        <f>SUMIFS(Imput[Importe Neto],Imput[C. Imp.],$D1204,Imput[PERIODO Imp.],BQ$9)</f>
        <v>0</v>
      </c>
      <c r="BR1204" s="693">
        <f>SUMIFS(Imput[Importe Neto],Imput[C. Imp.],$D1204,Imput[PERIODO Imp.],BR$9)</f>
        <v>0</v>
      </c>
      <c r="BS1204" s="693">
        <f>SUMIFS(Imput[Importe Neto],Imput[C. Imp.],$D1204,Imput[PERIODO Imp.],BS$9)</f>
        <v>0</v>
      </c>
      <c r="BT1204" s="693">
        <f>SUMIFS(Imput[Importe Neto],Imput[C. Imp.],$D1204,Imput[PERIODO Imp.],BT$9)</f>
        <v>0</v>
      </c>
      <c r="BU1204" s="693">
        <f>SUMIFS(Imput[Importe Neto],Imput[C. Imp.],$D1204,Imput[PERIODO Imp.],BU$9)</f>
        <v>0</v>
      </c>
      <c r="BV1204" s="693">
        <f>SUMIFS(Imput[Importe Neto],Imput[C. Imp.],$D1204,Imput[PERIODO Imp.],BV$9)</f>
        <v>0</v>
      </c>
      <c r="BW1204" s="693">
        <f>SUMIFS(Imput[Importe Neto],Imput[C. Imp.],$D1204,Imput[PERIODO Imp.],BW$9)</f>
        <v>0</v>
      </c>
      <c r="BX1204" s="693">
        <f>SUMIFS(Imput[Importe Neto],Imput[C. Imp.],$D1204,Imput[PERIODO Imp.],BX$9)</f>
        <v>0</v>
      </c>
      <c r="BY1204" s="693">
        <f>SUMIFS(Imput[Importe Neto],Imput[C. Imp.],$D1204,Imput[PERIODO Imp.],BY$9)</f>
        <v>0</v>
      </c>
      <c r="BZ1204" s="693">
        <f>SUMIFS(Imput[Importe Neto],Imput[C. Imp.],$D1204,Imput[PERIODO Imp.],BZ$9)</f>
        <v>0</v>
      </c>
      <c r="CA1204" s="693">
        <f>SUMIFS(Imput[Importe Neto],Imput[C. Imp.],$D1204,Imput[PERIODO Imp.],CA$9)</f>
        <v>0</v>
      </c>
      <c r="CB1204" s="693">
        <f>SUMIFS(Imput[Importe Neto],Imput[C. Imp.],$D1204,Imput[PERIODO Imp.],CB$9)</f>
        <v>0</v>
      </c>
      <c r="CC1204" s="693">
        <f>SUMIFS(Imput[Importe Neto],Imput[C. Imp.],$D1204,Imput[PERIODO Imp.],CC$9)</f>
        <v>0</v>
      </c>
      <c r="CD1204" s="693">
        <f>SUMIFS(Imput[Importe Neto],Imput[C. Imp.],$D1204,Imput[PERIODO Imp.],CD$9)</f>
        <v>0</v>
      </c>
      <c r="CE1204" s="693">
        <f>SUMIFS(Imput[Importe Neto],Imput[C. Imp.],$D1204,Imput[PERIODO Imp.],CE$9)</f>
        <v>0</v>
      </c>
      <c r="CF1204" s="693">
        <f>SUMIFS(Imput[Importe Neto],Imput[C. Imp.],$D1204,Imput[PERIODO Imp.],CF$9)</f>
        <v>0</v>
      </c>
      <c r="CG1204" s="693">
        <f>SUMIFS(Imput[Importe Neto],Imput[C. Imp.],$D1204,Imput[PERIODO Imp.],CG$9)</f>
        <v>0</v>
      </c>
      <c r="CH1204" s="693">
        <f>SUMIFS(Imput[Importe Neto],Imput[C. Imp.],$D1204,Imput[PERIODO Imp.],CH$9)</f>
        <v>0</v>
      </c>
      <c r="CI1204" s="693">
        <f>SUMIFS(Imput[Importe Neto],Imput[C. Imp.],$D1204,Imput[PERIODO Imp.],CI$9)</f>
        <v>0</v>
      </c>
      <c r="CJ1204" s="693">
        <f>SUMIFS(Imput[Importe Neto],Imput[C. Imp.],$D1204,Imput[PERIODO Imp.],CJ$9)</f>
        <v>0</v>
      </c>
      <c r="CK1204" s="693">
        <f>SUMIFS(Imput[Importe Neto],Imput[C. Imp.],$D1204,Imput[PERIODO Imp.],CK$9)</f>
        <v>0</v>
      </c>
      <c r="CL1204" s="693">
        <f>SUMIFS(Imput[Importe Neto],Imput[C. Imp.],$D1204,Imput[PERIODO Imp.],CL$9)</f>
        <v>0</v>
      </c>
      <c r="CM1204" s="693">
        <f>SUMIFS(Imput[Importe Neto],Imput[C. Imp.],$D1204,Imput[PERIODO Imp.],CM$9)</f>
        <v>0</v>
      </c>
      <c r="CN1204" s="693">
        <f>SUMIFS(Imput[Importe Neto],Imput[C. Imp.],$D1204,Imput[PERIODO Imp.],CN$9)</f>
        <v>0</v>
      </c>
      <c r="CO1204" s="693">
        <f>SUMIFS(Imput[Importe Neto],Imput[C. Imp.],$D1204,Imput[PERIODO Imp.],CO$9)</f>
        <v>0</v>
      </c>
      <c r="CP1204" s="693">
        <f>SUMIFS(Imput[Importe Neto],Imput[C. Imp.],$D1204,Imput[PERIODO Imp.],CP$9)</f>
        <v>0</v>
      </c>
      <c r="CQ1204" s="693">
        <f>SUMIFS(Imput[Importe Neto],Imput[C. Imp.],$D1204,Imput[PERIODO Imp.],CQ$9)</f>
        <v>0</v>
      </c>
      <c r="CR1204" s="693">
        <f>SUMIFS(Imput[Importe Neto],Imput[C. Imp.],$D1204,Imput[PERIODO Imp.],CR$9)</f>
        <v>0</v>
      </c>
      <c r="CS1204" s="693">
        <f>SUMIFS(Imput[Importe Neto],Imput[C. Imp.],$D1204,Imput[PERIODO Imp.],CS$9)</f>
        <v>0</v>
      </c>
      <c r="CT1204" s="693">
        <f>SUMIFS(Imput[Importe Neto],Imput[C. Imp.],$D1204,Imput[PERIODO Imp.],CT$9)</f>
        <v>0</v>
      </c>
      <c r="CU1204" s="693">
        <f>SUMIFS(Imput[Importe Neto],Imput[C. Imp.],$D1204,Imput[PERIODO Imp.],CU$9)</f>
        <v>0</v>
      </c>
      <c r="CV1204" s="693">
        <f>SUMIFS(Imput[Importe Neto],Imput[C. Imp.],$D1204,Imput[PERIODO Imp.],CV$9)</f>
        <v>0</v>
      </c>
      <c r="CW1204" s="693">
        <f>SUMIFS(Imput[Importe Neto],Imput[C. Imp.],$D1204,Imput[PERIODO Imp.],CW$9)</f>
        <v>0</v>
      </c>
      <c r="CX1204" s="693">
        <f>SUMIFS(Imput[Importe Neto],Imput[C. Imp.],$D1204,Imput[PERIODO Imp.],CX$9)</f>
        <v>0</v>
      </c>
      <c r="CY1204" s="693">
        <f>SUMIFS(Imput[Importe Neto],Imput[C. Imp.],$D1204,Imput[PERIODO Imp.],CY$9)</f>
        <v>0</v>
      </c>
      <c r="CZ1204" s="693">
        <f>SUMIFS(Imput[Importe Neto],Imput[C. Imp.],$D1204,Imput[PERIODO Imp.],CZ$9)</f>
        <v>0</v>
      </c>
      <c r="DA1204" s="693">
        <f>SUMIFS(Imput[Importe Neto],Imput[C. Imp.],$D1204,Imput[PERIODO Imp.],DA$9)</f>
        <v>0</v>
      </c>
      <c r="DB1204" s="693">
        <f>SUMIFS(Imput[Importe Neto],Imput[C. Imp.],$D1204,Imput[PERIODO Imp.],DB$9)</f>
        <v>0</v>
      </c>
      <c r="DC1204" s="693">
        <f>SUMIFS(Imput[Importe Neto],Imput[C. Imp.],$D1204,Imput[PERIODO Imp.],DC$9)</f>
        <v>0</v>
      </c>
      <c r="DD1204" s="693">
        <f>SUMIFS(Imput[Importe Neto],Imput[C. Imp.],$D1204,Imput[PERIODO Imp.],DD$9)</f>
        <v>0</v>
      </c>
      <c r="DE1204" s="693">
        <f>SUMIFS(Imput[Importe Neto],Imput[C. Imp.],$D1204,Imput[PERIODO Imp.],DE$9)</f>
        <v>0</v>
      </c>
      <c r="DF1204" s="693">
        <f>SUMIFS(Imput[Importe Neto],Imput[C. Imp.],$D1204,Imput[PERIODO Imp.],DF$9)</f>
        <v>0</v>
      </c>
      <c r="DG1204" s="693">
        <f>SUMIFS(Imput[Importe Neto],Imput[C. Imp.],$D1204,Imput[PERIODO Imp.],DG$9)</f>
        <v>0</v>
      </c>
      <c r="DH1204" s="694">
        <f>SUMIFS(Imput[Importe Neto],Imput[C. Imp.],$D1204,Imput[PERIODO Imp.],DH$9)</f>
        <v>0</v>
      </c>
    </row>
    <row r="1205" spans="1:112" hidden="1" outlineLevel="1" x14ac:dyDescent="0.3">
      <c r="A1205" s="652" t="str">
        <f t="shared" si="403"/>
        <v/>
      </c>
      <c r="B1205" s="652"/>
      <c r="C1205" s="685"/>
      <c r="D1205" s="686" t="s">
        <v>1139</v>
      </c>
      <c r="E1205" s="686" t="s">
        <v>1140</v>
      </c>
      <c r="F1205" s="720"/>
      <c r="G1205" s="688"/>
      <c r="H1205" s="689"/>
      <c r="I1205" s="851"/>
      <c r="J1205" s="691">
        <f t="shared" si="404"/>
        <v>0</v>
      </c>
      <c r="K1205" s="667"/>
      <c r="L1205" s="858"/>
      <c r="M1205" s="859"/>
      <c r="N1205" s="859"/>
      <c r="O1205" s="859"/>
      <c r="P1205" s="859"/>
      <c r="Q1205" s="859"/>
      <c r="R1205" s="859"/>
      <c r="S1205" s="859"/>
      <c r="T1205" s="859"/>
      <c r="U1205" s="859"/>
      <c r="V1205" s="859"/>
      <c r="W1205" s="859"/>
      <c r="X1205" s="859"/>
      <c r="Y1205" s="859"/>
      <c r="Z1205" s="860"/>
      <c r="AA1205" s="860"/>
      <c r="AB1205" s="860"/>
      <c r="AC1205" s="860"/>
      <c r="AD1205" s="860"/>
      <c r="AE1205" s="860"/>
      <c r="AF1205" s="860"/>
      <c r="AG1205" s="860"/>
      <c r="AH1205" s="860"/>
      <c r="AI1205" s="860"/>
      <c r="AJ1205" s="860"/>
      <c r="AK1205" s="860"/>
      <c r="AL1205" s="860"/>
      <c r="AM1205" s="860"/>
      <c r="AN1205" s="860"/>
      <c r="AO1205" s="860"/>
      <c r="AP1205" s="860"/>
      <c r="AQ1205" s="860"/>
      <c r="AR1205" s="860"/>
      <c r="AS1205" s="860"/>
      <c r="AT1205" s="860"/>
      <c r="AU1205" s="860"/>
      <c r="AV1205" s="860"/>
      <c r="AW1205" s="860"/>
      <c r="AX1205" s="860"/>
      <c r="AY1205" s="860"/>
      <c r="AZ1205" s="860"/>
      <c r="BA1205" s="860"/>
      <c r="BB1205" s="860"/>
      <c r="BC1205" s="860"/>
      <c r="BD1205" s="860"/>
      <c r="BE1205" s="860"/>
      <c r="BF1205" s="860"/>
      <c r="BG1205" s="861"/>
      <c r="BH1205" s="668"/>
      <c r="BI1205" s="654"/>
      <c r="BJ1205" s="690">
        <f t="shared" si="405"/>
        <v>0</v>
      </c>
      <c r="BK1205" s="691">
        <f t="shared" si="406"/>
        <v>0</v>
      </c>
      <c r="BL1205" s="654"/>
      <c r="BM1205" s="692">
        <f>SUMIFS(Imput[Importe Neto],Imput[C. Imp.],$D1205,Imput[PERIODO Imp.],BM$9)</f>
        <v>0</v>
      </c>
      <c r="BN1205" s="693">
        <f>SUMIFS(Imput[Importe Neto],Imput[C. Imp.],$D1205,Imput[PERIODO Imp.],BN$9)</f>
        <v>0</v>
      </c>
      <c r="BO1205" s="693">
        <f>SUMIFS(Imput[Importe Neto],Imput[C. Imp.],$D1205,Imput[PERIODO Imp.],BO$9)</f>
        <v>0</v>
      </c>
      <c r="BP1205" s="693">
        <f>SUMIFS(Imput[Importe Neto],Imput[C. Imp.],$D1205,Imput[PERIODO Imp.],BP$9)</f>
        <v>0</v>
      </c>
      <c r="BQ1205" s="693">
        <f>SUMIFS(Imput[Importe Neto],Imput[C. Imp.],$D1205,Imput[PERIODO Imp.],BQ$9)</f>
        <v>0</v>
      </c>
      <c r="BR1205" s="693">
        <f>SUMIFS(Imput[Importe Neto],Imput[C. Imp.],$D1205,Imput[PERIODO Imp.],BR$9)</f>
        <v>0</v>
      </c>
      <c r="BS1205" s="693">
        <f>SUMIFS(Imput[Importe Neto],Imput[C. Imp.],$D1205,Imput[PERIODO Imp.],BS$9)</f>
        <v>0</v>
      </c>
      <c r="BT1205" s="693">
        <f>SUMIFS(Imput[Importe Neto],Imput[C. Imp.],$D1205,Imput[PERIODO Imp.],BT$9)</f>
        <v>0</v>
      </c>
      <c r="BU1205" s="693">
        <f>SUMIFS(Imput[Importe Neto],Imput[C. Imp.],$D1205,Imput[PERIODO Imp.],BU$9)</f>
        <v>0</v>
      </c>
      <c r="BV1205" s="693">
        <f>SUMIFS(Imput[Importe Neto],Imput[C. Imp.],$D1205,Imput[PERIODO Imp.],BV$9)</f>
        <v>0</v>
      </c>
      <c r="BW1205" s="693">
        <f>SUMIFS(Imput[Importe Neto],Imput[C. Imp.],$D1205,Imput[PERIODO Imp.],BW$9)</f>
        <v>0</v>
      </c>
      <c r="BX1205" s="693">
        <f>SUMIFS(Imput[Importe Neto],Imput[C. Imp.],$D1205,Imput[PERIODO Imp.],BX$9)</f>
        <v>0</v>
      </c>
      <c r="BY1205" s="693">
        <f>SUMIFS(Imput[Importe Neto],Imput[C. Imp.],$D1205,Imput[PERIODO Imp.],BY$9)</f>
        <v>0</v>
      </c>
      <c r="BZ1205" s="693">
        <f>SUMIFS(Imput[Importe Neto],Imput[C. Imp.],$D1205,Imput[PERIODO Imp.],BZ$9)</f>
        <v>0</v>
      </c>
      <c r="CA1205" s="693">
        <f>SUMIFS(Imput[Importe Neto],Imput[C. Imp.],$D1205,Imput[PERIODO Imp.],CA$9)</f>
        <v>0</v>
      </c>
      <c r="CB1205" s="693">
        <f>SUMIFS(Imput[Importe Neto],Imput[C. Imp.],$D1205,Imput[PERIODO Imp.],CB$9)</f>
        <v>0</v>
      </c>
      <c r="CC1205" s="693">
        <f>SUMIFS(Imput[Importe Neto],Imput[C. Imp.],$D1205,Imput[PERIODO Imp.],CC$9)</f>
        <v>0</v>
      </c>
      <c r="CD1205" s="693">
        <f>SUMIFS(Imput[Importe Neto],Imput[C. Imp.],$D1205,Imput[PERIODO Imp.],CD$9)</f>
        <v>0</v>
      </c>
      <c r="CE1205" s="693">
        <f>SUMIFS(Imput[Importe Neto],Imput[C. Imp.],$D1205,Imput[PERIODO Imp.],CE$9)</f>
        <v>0</v>
      </c>
      <c r="CF1205" s="693">
        <f>SUMIFS(Imput[Importe Neto],Imput[C. Imp.],$D1205,Imput[PERIODO Imp.],CF$9)</f>
        <v>0</v>
      </c>
      <c r="CG1205" s="693">
        <f>SUMIFS(Imput[Importe Neto],Imput[C. Imp.],$D1205,Imput[PERIODO Imp.],CG$9)</f>
        <v>0</v>
      </c>
      <c r="CH1205" s="693">
        <f>SUMIFS(Imput[Importe Neto],Imput[C. Imp.],$D1205,Imput[PERIODO Imp.],CH$9)</f>
        <v>0</v>
      </c>
      <c r="CI1205" s="693">
        <f>SUMIFS(Imput[Importe Neto],Imput[C. Imp.],$D1205,Imput[PERIODO Imp.],CI$9)</f>
        <v>0</v>
      </c>
      <c r="CJ1205" s="693">
        <f>SUMIFS(Imput[Importe Neto],Imput[C. Imp.],$D1205,Imput[PERIODO Imp.],CJ$9)</f>
        <v>0</v>
      </c>
      <c r="CK1205" s="693">
        <f>SUMIFS(Imput[Importe Neto],Imput[C. Imp.],$D1205,Imput[PERIODO Imp.],CK$9)</f>
        <v>0</v>
      </c>
      <c r="CL1205" s="693">
        <f>SUMIFS(Imput[Importe Neto],Imput[C. Imp.],$D1205,Imput[PERIODO Imp.],CL$9)</f>
        <v>0</v>
      </c>
      <c r="CM1205" s="693">
        <f>SUMIFS(Imput[Importe Neto],Imput[C. Imp.],$D1205,Imput[PERIODO Imp.],CM$9)</f>
        <v>0</v>
      </c>
      <c r="CN1205" s="693">
        <f>SUMIFS(Imput[Importe Neto],Imput[C. Imp.],$D1205,Imput[PERIODO Imp.],CN$9)</f>
        <v>0</v>
      </c>
      <c r="CO1205" s="693">
        <f>SUMIFS(Imput[Importe Neto],Imput[C. Imp.],$D1205,Imput[PERIODO Imp.],CO$9)</f>
        <v>0</v>
      </c>
      <c r="CP1205" s="693">
        <f>SUMIFS(Imput[Importe Neto],Imput[C. Imp.],$D1205,Imput[PERIODO Imp.],CP$9)</f>
        <v>0</v>
      </c>
      <c r="CQ1205" s="693">
        <f>SUMIFS(Imput[Importe Neto],Imput[C. Imp.],$D1205,Imput[PERIODO Imp.],CQ$9)</f>
        <v>0</v>
      </c>
      <c r="CR1205" s="693">
        <f>SUMIFS(Imput[Importe Neto],Imput[C. Imp.],$D1205,Imput[PERIODO Imp.],CR$9)</f>
        <v>0</v>
      </c>
      <c r="CS1205" s="693">
        <f>SUMIFS(Imput[Importe Neto],Imput[C. Imp.],$D1205,Imput[PERIODO Imp.],CS$9)</f>
        <v>0</v>
      </c>
      <c r="CT1205" s="693">
        <f>SUMIFS(Imput[Importe Neto],Imput[C. Imp.],$D1205,Imput[PERIODO Imp.],CT$9)</f>
        <v>0</v>
      </c>
      <c r="CU1205" s="693">
        <f>SUMIFS(Imput[Importe Neto],Imput[C. Imp.],$D1205,Imput[PERIODO Imp.],CU$9)</f>
        <v>0</v>
      </c>
      <c r="CV1205" s="693">
        <f>SUMIFS(Imput[Importe Neto],Imput[C. Imp.],$D1205,Imput[PERIODO Imp.],CV$9)</f>
        <v>0</v>
      </c>
      <c r="CW1205" s="693">
        <f>SUMIFS(Imput[Importe Neto],Imput[C. Imp.],$D1205,Imput[PERIODO Imp.],CW$9)</f>
        <v>0</v>
      </c>
      <c r="CX1205" s="693">
        <f>SUMIFS(Imput[Importe Neto],Imput[C. Imp.],$D1205,Imput[PERIODO Imp.],CX$9)</f>
        <v>0</v>
      </c>
      <c r="CY1205" s="693">
        <f>SUMIFS(Imput[Importe Neto],Imput[C. Imp.],$D1205,Imput[PERIODO Imp.],CY$9)</f>
        <v>0</v>
      </c>
      <c r="CZ1205" s="693">
        <f>SUMIFS(Imput[Importe Neto],Imput[C. Imp.],$D1205,Imput[PERIODO Imp.],CZ$9)</f>
        <v>0</v>
      </c>
      <c r="DA1205" s="693">
        <f>SUMIFS(Imput[Importe Neto],Imput[C. Imp.],$D1205,Imput[PERIODO Imp.],DA$9)</f>
        <v>0</v>
      </c>
      <c r="DB1205" s="693">
        <f>SUMIFS(Imput[Importe Neto],Imput[C. Imp.],$D1205,Imput[PERIODO Imp.],DB$9)</f>
        <v>0</v>
      </c>
      <c r="DC1205" s="693">
        <f>SUMIFS(Imput[Importe Neto],Imput[C. Imp.],$D1205,Imput[PERIODO Imp.],DC$9)</f>
        <v>0</v>
      </c>
      <c r="DD1205" s="693">
        <f>SUMIFS(Imput[Importe Neto],Imput[C. Imp.],$D1205,Imput[PERIODO Imp.],DD$9)</f>
        <v>0</v>
      </c>
      <c r="DE1205" s="693">
        <f>SUMIFS(Imput[Importe Neto],Imput[C. Imp.],$D1205,Imput[PERIODO Imp.],DE$9)</f>
        <v>0</v>
      </c>
      <c r="DF1205" s="693">
        <f>SUMIFS(Imput[Importe Neto],Imput[C. Imp.],$D1205,Imput[PERIODO Imp.],DF$9)</f>
        <v>0</v>
      </c>
      <c r="DG1205" s="693">
        <f>SUMIFS(Imput[Importe Neto],Imput[C. Imp.],$D1205,Imput[PERIODO Imp.],DG$9)</f>
        <v>0</v>
      </c>
      <c r="DH1205" s="694">
        <f>SUMIFS(Imput[Importe Neto],Imput[C. Imp.],$D1205,Imput[PERIODO Imp.],DH$9)</f>
        <v>0</v>
      </c>
    </row>
    <row r="1206" spans="1:112" hidden="1" outlineLevel="1" x14ac:dyDescent="0.3">
      <c r="A1206" s="652" t="str">
        <f t="shared" si="403"/>
        <v/>
      </c>
      <c r="B1206" s="652"/>
      <c r="C1206" s="685"/>
      <c r="D1206" s="686"/>
      <c r="E1206" s="686"/>
      <c r="F1206" s="720"/>
      <c r="G1206" s="688"/>
      <c r="H1206" s="689"/>
      <c r="I1206" s="851"/>
      <c r="J1206" s="691">
        <f t="shared" si="404"/>
        <v>0</v>
      </c>
      <c r="K1206" s="667"/>
      <c r="L1206" s="858"/>
      <c r="M1206" s="859"/>
      <c r="N1206" s="859"/>
      <c r="O1206" s="859"/>
      <c r="P1206" s="859"/>
      <c r="Q1206" s="859"/>
      <c r="R1206" s="859"/>
      <c r="S1206" s="859"/>
      <c r="T1206" s="859"/>
      <c r="U1206" s="859"/>
      <c r="V1206" s="859"/>
      <c r="W1206" s="859"/>
      <c r="X1206" s="859"/>
      <c r="Y1206" s="859"/>
      <c r="Z1206" s="860"/>
      <c r="AA1206" s="860"/>
      <c r="AB1206" s="860"/>
      <c r="AC1206" s="860"/>
      <c r="AD1206" s="860"/>
      <c r="AE1206" s="860"/>
      <c r="AF1206" s="860"/>
      <c r="AG1206" s="860"/>
      <c r="AH1206" s="860"/>
      <c r="AI1206" s="860"/>
      <c r="AJ1206" s="860"/>
      <c r="AK1206" s="860"/>
      <c r="AL1206" s="860"/>
      <c r="AM1206" s="860"/>
      <c r="AN1206" s="860"/>
      <c r="AO1206" s="860"/>
      <c r="AP1206" s="860"/>
      <c r="AQ1206" s="860"/>
      <c r="AR1206" s="860"/>
      <c r="AS1206" s="860"/>
      <c r="AT1206" s="860"/>
      <c r="AU1206" s="860"/>
      <c r="AV1206" s="860"/>
      <c r="AW1206" s="860"/>
      <c r="AX1206" s="860"/>
      <c r="AY1206" s="860"/>
      <c r="AZ1206" s="860"/>
      <c r="BA1206" s="860"/>
      <c r="BB1206" s="860"/>
      <c r="BC1206" s="860"/>
      <c r="BD1206" s="860"/>
      <c r="BE1206" s="860"/>
      <c r="BF1206" s="860"/>
      <c r="BG1206" s="861"/>
      <c r="BH1206" s="668"/>
      <c r="BI1206" s="654"/>
      <c r="BJ1206" s="690">
        <f t="shared" si="405"/>
        <v>0</v>
      </c>
      <c r="BK1206" s="691">
        <f t="shared" si="406"/>
        <v>0</v>
      </c>
      <c r="BL1206" s="654"/>
      <c r="BM1206" s="692">
        <f>SUMIFS(Imput[Importe Neto],Imput[C. Imp.],$D1206,Imput[PERIODO Imp.],BM$9)</f>
        <v>0</v>
      </c>
      <c r="BN1206" s="693">
        <f>SUMIFS(Imput[Importe Neto],Imput[C. Imp.],$D1206,Imput[PERIODO Imp.],BN$9)</f>
        <v>0</v>
      </c>
      <c r="BO1206" s="693">
        <f>SUMIFS(Imput[Importe Neto],Imput[C. Imp.],$D1206,Imput[PERIODO Imp.],BO$9)</f>
        <v>0</v>
      </c>
      <c r="BP1206" s="693">
        <f>SUMIFS(Imput[Importe Neto],Imput[C. Imp.],$D1206,Imput[PERIODO Imp.],BP$9)</f>
        <v>0</v>
      </c>
      <c r="BQ1206" s="693">
        <f>SUMIFS(Imput[Importe Neto],Imput[C. Imp.],$D1206,Imput[PERIODO Imp.],BQ$9)</f>
        <v>0</v>
      </c>
      <c r="BR1206" s="693">
        <f>SUMIFS(Imput[Importe Neto],Imput[C. Imp.],$D1206,Imput[PERIODO Imp.],BR$9)</f>
        <v>0</v>
      </c>
      <c r="BS1206" s="693">
        <f>SUMIFS(Imput[Importe Neto],Imput[C. Imp.],$D1206,Imput[PERIODO Imp.],BS$9)</f>
        <v>0</v>
      </c>
      <c r="BT1206" s="693">
        <f>SUMIFS(Imput[Importe Neto],Imput[C. Imp.],$D1206,Imput[PERIODO Imp.],BT$9)</f>
        <v>0</v>
      </c>
      <c r="BU1206" s="693">
        <f>SUMIFS(Imput[Importe Neto],Imput[C. Imp.],$D1206,Imput[PERIODO Imp.],BU$9)</f>
        <v>0</v>
      </c>
      <c r="BV1206" s="693">
        <f>SUMIFS(Imput[Importe Neto],Imput[C. Imp.],$D1206,Imput[PERIODO Imp.],BV$9)</f>
        <v>0</v>
      </c>
      <c r="BW1206" s="693">
        <f>SUMIFS(Imput[Importe Neto],Imput[C. Imp.],$D1206,Imput[PERIODO Imp.],BW$9)</f>
        <v>0</v>
      </c>
      <c r="BX1206" s="693">
        <f>SUMIFS(Imput[Importe Neto],Imput[C. Imp.],$D1206,Imput[PERIODO Imp.],BX$9)</f>
        <v>0</v>
      </c>
      <c r="BY1206" s="693">
        <f>SUMIFS(Imput[Importe Neto],Imput[C. Imp.],$D1206,Imput[PERIODO Imp.],BY$9)</f>
        <v>0</v>
      </c>
      <c r="BZ1206" s="693">
        <f>SUMIFS(Imput[Importe Neto],Imput[C. Imp.],$D1206,Imput[PERIODO Imp.],BZ$9)</f>
        <v>0</v>
      </c>
      <c r="CA1206" s="693">
        <f>SUMIFS(Imput[Importe Neto],Imput[C. Imp.],$D1206,Imput[PERIODO Imp.],CA$9)</f>
        <v>0</v>
      </c>
      <c r="CB1206" s="693">
        <f>SUMIFS(Imput[Importe Neto],Imput[C. Imp.],$D1206,Imput[PERIODO Imp.],CB$9)</f>
        <v>0</v>
      </c>
      <c r="CC1206" s="693">
        <f>SUMIFS(Imput[Importe Neto],Imput[C. Imp.],$D1206,Imput[PERIODO Imp.],CC$9)</f>
        <v>0</v>
      </c>
      <c r="CD1206" s="693">
        <f>SUMIFS(Imput[Importe Neto],Imput[C. Imp.],$D1206,Imput[PERIODO Imp.],CD$9)</f>
        <v>0</v>
      </c>
      <c r="CE1206" s="693">
        <f>SUMIFS(Imput[Importe Neto],Imput[C. Imp.],$D1206,Imput[PERIODO Imp.],CE$9)</f>
        <v>0</v>
      </c>
      <c r="CF1206" s="693">
        <f>SUMIFS(Imput[Importe Neto],Imput[C. Imp.],$D1206,Imput[PERIODO Imp.],CF$9)</f>
        <v>0</v>
      </c>
      <c r="CG1206" s="693">
        <f>SUMIFS(Imput[Importe Neto],Imput[C. Imp.],$D1206,Imput[PERIODO Imp.],CG$9)</f>
        <v>0</v>
      </c>
      <c r="CH1206" s="693">
        <f>SUMIFS(Imput[Importe Neto],Imput[C. Imp.],$D1206,Imput[PERIODO Imp.],CH$9)</f>
        <v>0</v>
      </c>
      <c r="CI1206" s="693">
        <f>SUMIFS(Imput[Importe Neto],Imput[C. Imp.],$D1206,Imput[PERIODO Imp.],CI$9)</f>
        <v>0</v>
      </c>
      <c r="CJ1206" s="693">
        <f>SUMIFS(Imput[Importe Neto],Imput[C. Imp.],$D1206,Imput[PERIODO Imp.],CJ$9)</f>
        <v>0</v>
      </c>
      <c r="CK1206" s="693">
        <f>SUMIFS(Imput[Importe Neto],Imput[C. Imp.],$D1206,Imput[PERIODO Imp.],CK$9)</f>
        <v>0</v>
      </c>
      <c r="CL1206" s="693">
        <f>SUMIFS(Imput[Importe Neto],Imput[C. Imp.],$D1206,Imput[PERIODO Imp.],CL$9)</f>
        <v>0</v>
      </c>
      <c r="CM1206" s="693">
        <f>SUMIFS(Imput[Importe Neto],Imput[C. Imp.],$D1206,Imput[PERIODO Imp.],CM$9)</f>
        <v>0</v>
      </c>
      <c r="CN1206" s="693">
        <f>SUMIFS(Imput[Importe Neto],Imput[C. Imp.],$D1206,Imput[PERIODO Imp.],CN$9)</f>
        <v>0</v>
      </c>
      <c r="CO1206" s="693">
        <f>SUMIFS(Imput[Importe Neto],Imput[C. Imp.],$D1206,Imput[PERIODO Imp.],CO$9)</f>
        <v>0</v>
      </c>
      <c r="CP1206" s="693">
        <f>SUMIFS(Imput[Importe Neto],Imput[C. Imp.],$D1206,Imput[PERIODO Imp.],CP$9)</f>
        <v>0</v>
      </c>
      <c r="CQ1206" s="693">
        <f>SUMIFS(Imput[Importe Neto],Imput[C. Imp.],$D1206,Imput[PERIODO Imp.],CQ$9)</f>
        <v>0</v>
      </c>
      <c r="CR1206" s="693">
        <f>SUMIFS(Imput[Importe Neto],Imput[C. Imp.],$D1206,Imput[PERIODO Imp.],CR$9)</f>
        <v>0</v>
      </c>
      <c r="CS1206" s="693">
        <f>SUMIFS(Imput[Importe Neto],Imput[C. Imp.],$D1206,Imput[PERIODO Imp.],CS$9)</f>
        <v>0</v>
      </c>
      <c r="CT1206" s="693">
        <f>SUMIFS(Imput[Importe Neto],Imput[C. Imp.],$D1206,Imput[PERIODO Imp.],CT$9)</f>
        <v>0</v>
      </c>
      <c r="CU1206" s="693">
        <f>SUMIFS(Imput[Importe Neto],Imput[C. Imp.],$D1206,Imput[PERIODO Imp.],CU$9)</f>
        <v>0</v>
      </c>
      <c r="CV1206" s="693">
        <f>SUMIFS(Imput[Importe Neto],Imput[C. Imp.],$D1206,Imput[PERIODO Imp.],CV$9)</f>
        <v>0</v>
      </c>
      <c r="CW1206" s="693">
        <f>SUMIFS(Imput[Importe Neto],Imput[C. Imp.],$D1206,Imput[PERIODO Imp.],CW$9)</f>
        <v>0</v>
      </c>
      <c r="CX1206" s="693">
        <f>SUMIFS(Imput[Importe Neto],Imput[C. Imp.],$D1206,Imput[PERIODO Imp.],CX$9)</f>
        <v>0</v>
      </c>
      <c r="CY1206" s="693">
        <f>SUMIFS(Imput[Importe Neto],Imput[C. Imp.],$D1206,Imput[PERIODO Imp.],CY$9)</f>
        <v>0</v>
      </c>
      <c r="CZ1206" s="693">
        <f>SUMIFS(Imput[Importe Neto],Imput[C. Imp.],$D1206,Imput[PERIODO Imp.],CZ$9)</f>
        <v>0</v>
      </c>
      <c r="DA1206" s="693">
        <f>SUMIFS(Imput[Importe Neto],Imput[C. Imp.],$D1206,Imput[PERIODO Imp.],DA$9)</f>
        <v>0</v>
      </c>
      <c r="DB1206" s="693">
        <f>SUMIFS(Imput[Importe Neto],Imput[C. Imp.],$D1206,Imput[PERIODO Imp.],DB$9)</f>
        <v>0</v>
      </c>
      <c r="DC1206" s="693">
        <f>SUMIFS(Imput[Importe Neto],Imput[C. Imp.],$D1206,Imput[PERIODO Imp.],DC$9)</f>
        <v>0</v>
      </c>
      <c r="DD1206" s="693">
        <f>SUMIFS(Imput[Importe Neto],Imput[C. Imp.],$D1206,Imput[PERIODO Imp.],DD$9)</f>
        <v>0</v>
      </c>
      <c r="DE1206" s="693">
        <f>SUMIFS(Imput[Importe Neto],Imput[C. Imp.],$D1206,Imput[PERIODO Imp.],DE$9)</f>
        <v>0</v>
      </c>
      <c r="DF1206" s="693">
        <f>SUMIFS(Imput[Importe Neto],Imput[C. Imp.],$D1206,Imput[PERIODO Imp.],DF$9)</f>
        <v>0</v>
      </c>
      <c r="DG1206" s="693">
        <f>SUMIFS(Imput[Importe Neto],Imput[C. Imp.],$D1206,Imput[PERIODO Imp.],DG$9)</f>
        <v>0</v>
      </c>
      <c r="DH1206" s="694">
        <f>SUMIFS(Imput[Importe Neto],Imput[C. Imp.],$D1206,Imput[PERIODO Imp.],DH$9)</f>
        <v>0</v>
      </c>
    </row>
    <row r="1207" spans="1:112" hidden="1" outlineLevel="1" x14ac:dyDescent="0.3">
      <c r="A1207" s="652" t="str">
        <f t="shared" si="403"/>
        <v/>
      </c>
      <c r="B1207" s="652"/>
      <c r="C1207" s="685"/>
      <c r="D1207" s="686"/>
      <c r="E1207" s="686"/>
      <c r="F1207" s="720"/>
      <c r="G1207" s="688"/>
      <c r="H1207" s="689"/>
      <c r="I1207" s="851"/>
      <c r="J1207" s="691">
        <f t="shared" si="404"/>
        <v>0</v>
      </c>
      <c r="K1207" s="667"/>
      <c r="L1207" s="858"/>
      <c r="M1207" s="859"/>
      <c r="N1207" s="859"/>
      <c r="O1207" s="859"/>
      <c r="P1207" s="859"/>
      <c r="Q1207" s="859"/>
      <c r="R1207" s="859"/>
      <c r="S1207" s="859"/>
      <c r="T1207" s="859"/>
      <c r="U1207" s="859"/>
      <c r="V1207" s="859"/>
      <c r="W1207" s="859"/>
      <c r="X1207" s="859"/>
      <c r="Y1207" s="859"/>
      <c r="Z1207" s="860"/>
      <c r="AA1207" s="860"/>
      <c r="AB1207" s="860"/>
      <c r="AC1207" s="860"/>
      <c r="AD1207" s="860"/>
      <c r="AE1207" s="860"/>
      <c r="AF1207" s="860"/>
      <c r="AG1207" s="860"/>
      <c r="AH1207" s="860"/>
      <c r="AI1207" s="860"/>
      <c r="AJ1207" s="860"/>
      <c r="AK1207" s="860"/>
      <c r="AL1207" s="860"/>
      <c r="AM1207" s="860"/>
      <c r="AN1207" s="860"/>
      <c r="AO1207" s="860"/>
      <c r="AP1207" s="860"/>
      <c r="AQ1207" s="860"/>
      <c r="AR1207" s="860"/>
      <c r="AS1207" s="860"/>
      <c r="AT1207" s="860"/>
      <c r="AU1207" s="860"/>
      <c r="AV1207" s="860"/>
      <c r="AW1207" s="860"/>
      <c r="AX1207" s="860"/>
      <c r="AY1207" s="860"/>
      <c r="AZ1207" s="860"/>
      <c r="BA1207" s="860"/>
      <c r="BB1207" s="860"/>
      <c r="BC1207" s="860"/>
      <c r="BD1207" s="860"/>
      <c r="BE1207" s="860"/>
      <c r="BF1207" s="860"/>
      <c r="BG1207" s="861"/>
      <c r="BH1207" s="668"/>
      <c r="BI1207" s="654"/>
      <c r="BJ1207" s="690">
        <f t="shared" si="405"/>
        <v>0</v>
      </c>
      <c r="BK1207" s="691">
        <f t="shared" si="406"/>
        <v>0</v>
      </c>
      <c r="BL1207" s="654"/>
      <c r="BM1207" s="692">
        <f>SUMIFS(Imput[Importe Neto],Imput[C. Imp.],$D1207,Imput[PERIODO Imp.],BM$9)</f>
        <v>0</v>
      </c>
      <c r="BN1207" s="693">
        <f>SUMIFS(Imput[Importe Neto],Imput[C. Imp.],$D1207,Imput[PERIODO Imp.],BN$9)</f>
        <v>0</v>
      </c>
      <c r="BO1207" s="693">
        <f>SUMIFS(Imput[Importe Neto],Imput[C. Imp.],$D1207,Imput[PERIODO Imp.],BO$9)</f>
        <v>0</v>
      </c>
      <c r="BP1207" s="693">
        <f>SUMIFS(Imput[Importe Neto],Imput[C. Imp.],$D1207,Imput[PERIODO Imp.],BP$9)</f>
        <v>0</v>
      </c>
      <c r="BQ1207" s="693">
        <f>SUMIFS(Imput[Importe Neto],Imput[C. Imp.],$D1207,Imput[PERIODO Imp.],BQ$9)</f>
        <v>0</v>
      </c>
      <c r="BR1207" s="693">
        <f>SUMIFS(Imput[Importe Neto],Imput[C. Imp.],$D1207,Imput[PERIODO Imp.],BR$9)</f>
        <v>0</v>
      </c>
      <c r="BS1207" s="693">
        <f>SUMIFS(Imput[Importe Neto],Imput[C. Imp.],$D1207,Imput[PERIODO Imp.],BS$9)</f>
        <v>0</v>
      </c>
      <c r="BT1207" s="693">
        <f>SUMIFS(Imput[Importe Neto],Imput[C. Imp.],$D1207,Imput[PERIODO Imp.],BT$9)</f>
        <v>0</v>
      </c>
      <c r="BU1207" s="693">
        <f>SUMIFS(Imput[Importe Neto],Imput[C. Imp.],$D1207,Imput[PERIODO Imp.],BU$9)</f>
        <v>0</v>
      </c>
      <c r="BV1207" s="693">
        <f>SUMIFS(Imput[Importe Neto],Imput[C. Imp.],$D1207,Imput[PERIODO Imp.],BV$9)</f>
        <v>0</v>
      </c>
      <c r="BW1207" s="693">
        <f>SUMIFS(Imput[Importe Neto],Imput[C. Imp.],$D1207,Imput[PERIODO Imp.],BW$9)</f>
        <v>0</v>
      </c>
      <c r="BX1207" s="693">
        <f>SUMIFS(Imput[Importe Neto],Imput[C. Imp.],$D1207,Imput[PERIODO Imp.],BX$9)</f>
        <v>0</v>
      </c>
      <c r="BY1207" s="693">
        <f>SUMIFS(Imput[Importe Neto],Imput[C. Imp.],$D1207,Imput[PERIODO Imp.],BY$9)</f>
        <v>0</v>
      </c>
      <c r="BZ1207" s="693">
        <f>SUMIFS(Imput[Importe Neto],Imput[C. Imp.],$D1207,Imput[PERIODO Imp.],BZ$9)</f>
        <v>0</v>
      </c>
      <c r="CA1207" s="693">
        <f>SUMIFS(Imput[Importe Neto],Imput[C. Imp.],$D1207,Imput[PERIODO Imp.],CA$9)</f>
        <v>0</v>
      </c>
      <c r="CB1207" s="693">
        <f>SUMIFS(Imput[Importe Neto],Imput[C. Imp.],$D1207,Imput[PERIODO Imp.],CB$9)</f>
        <v>0</v>
      </c>
      <c r="CC1207" s="693">
        <f>SUMIFS(Imput[Importe Neto],Imput[C. Imp.],$D1207,Imput[PERIODO Imp.],CC$9)</f>
        <v>0</v>
      </c>
      <c r="CD1207" s="693">
        <f>SUMIFS(Imput[Importe Neto],Imput[C. Imp.],$D1207,Imput[PERIODO Imp.],CD$9)</f>
        <v>0</v>
      </c>
      <c r="CE1207" s="693">
        <f>SUMIFS(Imput[Importe Neto],Imput[C. Imp.],$D1207,Imput[PERIODO Imp.],CE$9)</f>
        <v>0</v>
      </c>
      <c r="CF1207" s="693">
        <f>SUMIFS(Imput[Importe Neto],Imput[C. Imp.],$D1207,Imput[PERIODO Imp.],CF$9)</f>
        <v>0</v>
      </c>
      <c r="CG1207" s="693">
        <f>SUMIFS(Imput[Importe Neto],Imput[C. Imp.],$D1207,Imput[PERIODO Imp.],CG$9)</f>
        <v>0</v>
      </c>
      <c r="CH1207" s="693">
        <f>SUMIFS(Imput[Importe Neto],Imput[C. Imp.],$D1207,Imput[PERIODO Imp.],CH$9)</f>
        <v>0</v>
      </c>
      <c r="CI1207" s="693">
        <f>SUMIFS(Imput[Importe Neto],Imput[C. Imp.],$D1207,Imput[PERIODO Imp.],CI$9)</f>
        <v>0</v>
      </c>
      <c r="CJ1207" s="693">
        <f>SUMIFS(Imput[Importe Neto],Imput[C. Imp.],$D1207,Imput[PERIODO Imp.],CJ$9)</f>
        <v>0</v>
      </c>
      <c r="CK1207" s="693">
        <f>SUMIFS(Imput[Importe Neto],Imput[C. Imp.],$D1207,Imput[PERIODO Imp.],CK$9)</f>
        <v>0</v>
      </c>
      <c r="CL1207" s="693">
        <f>SUMIFS(Imput[Importe Neto],Imput[C. Imp.],$D1207,Imput[PERIODO Imp.],CL$9)</f>
        <v>0</v>
      </c>
      <c r="CM1207" s="693">
        <f>SUMIFS(Imput[Importe Neto],Imput[C. Imp.],$D1207,Imput[PERIODO Imp.],CM$9)</f>
        <v>0</v>
      </c>
      <c r="CN1207" s="693">
        <f>SUMIFS(Imput[Importe Neto],Imput[C. Imp.],$D1207,Imput[PERIODO Imp.],CN$9)</f>
        <v>0</v>
      </c>
      <c r="CO1207" s="693">
        <f>SUMIFS(Imput[Importe Neto],Imput[C. Imp.],$D1207,Imput[PERIODO Imp.],CO$9)</f>
        <v>0</v>
      </c>
      <c r="CP1207" s="693">
        <f>SUMIFS(Imput[Importe Neto],Imput[C. Imp.],$D1207,Imput[PERIODO Imp.],CP$9)</f>
        <v>0</v>
      </c>
      <c r="CQ1207" s="693">
        <f>SUMIFS(Imput[Importe Neto],Imput[C. Imp.],$D1207,Imput[PERIODO Imp.],CQ$9)</f>
        <v>0</v>
      </c>
      <c r="CR1207" s="693">
        <f>SUMIFS(Imput[Importe Neto],Imput[C. Imp.],$D1207,Imput[PERIODO Imp.],CR$9)</f>
        <v>0</v>
      </c>
      <c r="CS1207" s="693">
        <f>SUMIFS(Imput[Importe Neto],Imput[C. Imp.],$D1207,Imput[PERIODO Imp.],CS$9)</f>
        <v>0</v>
      </c>
      <c r="CT1207" s="693">
        <f>SUMIFS(Imput[Importe Neto],Imput[C. Imp.],$D1207,Imput[PERIODO Imp.],CT$9)</f>
        <v>0</v>
      </c>
      <c r="CU1207" s="693">
        <f>SUMIFS(Imput[Importe Neto],Imput[C. Imp.],$D1207,Imput[PERIODO Imp.],CU$9)</f>
        <v>0</v>
      </c>
      <c r="CV1207" s="693">
        <f>SUMIFS(Imput[Importe Neto],Imput[C. Imp.],$D1207,Imput[PERIODO Imp.],CV$9)</f>
        <v>0</v>
      </c>
      <c r="CW1207" s="693">
        <f>SUMIFS(Imput[Importe Neto],Imput[C. Imp.],$D1207,Imput[PERIODO Imp.],CW$9)</f>
        <v>0</v>
      </c>
      <c r="CX1207" s="693">
        <f>SUMIFS(Imput[Importe Neto],Imput[C. Imp.],$D1207,Imput[PERIODO Imp.],CX$9)</f>
        <v>0</v>
      </c>
      <c r="CY1207" s="693">
        <f>SUMIFS(Imput[Importe Neto],Imput[C. Imp.],$D1207,Imput[PERIODO Imp.],CY$9)</f>
        <v>0</v>
      </c>
      <c r="CZ1207" s="693">
        <f>SUMIFS(Imput[Importe Neto],Imput[C. Imp.],$D1207,Imput[PERIODO Imp.],CZ$9)</f>
        <v>0</v>
      </c>
      <c r="DA1207" s="693">
        <f>SUMIFS(Imput[Importe Neto],Imput[C. Imp.],$D1207,Imput[PERIODO Imp.],DA$9)</f>
        <v>0</v>
      </c>
      <c r="DB1207" s="693">
        <f>SUMIFS(Imput[Importe Neto],Imput[C. Imp.],$D1207,Imput[PERIODO Imp.],DB$9)</f>
        <v>0</v>
      </c>
      <c r="DC1207" s="693">
        <f>SUMIFS(Imput[Importe Neto],Imput[C. Imp.],$D1207,Imput[PERIODO Imp.],DC$9)</f>
        <v>0</v>
      </c>
      <c r="DD1207" s="693">
        <f>SUMIFS(Imput[Importe Neto],Imput[C. Imp.],$D1207,Imput[PERIODO Imp.],DD$9)</f>
        <v>0</v>
      </c>
      <c r="DE1207" s="693">
        <f>SUMIFS(Imput[Importe Neto],Imput[C. Imp.],$D1207,Imput[PERIODO Imp.],DE$9)</f>
        <v>0</v>
      </c>
      <c r="DF1207" s="693">
        <f>SUMIFS(Imput[Importe Neto],Imput[C. Imp.],$D1207,Imput[PERIODO Imp.],DF$9)</f>
        <v>0</v>
      </c>
      <c r="DG1207" s="693">
        <f>SUMIFS(Imput[Importe Neto],Imput[C. Imp.],$D1207,Imput[PERIODO Imp.],DG$9)</f>
        <v>0</v>
      </c>
      <c r="DH1207" s="694">
        <f>SUMIFS(Imput[Importe Neto],Imput[C. Imp.],$D1207,Imput[PERIODO Imp.],DH$9)</f>
        <v>0</v>
      </c>
    </row>
    <row r="1208" spans="1:112" hidden="1" outlineLevel="1" x14ac:dyDescent="0.3">
      <c r="A1208" s="652" t="str">
        <f t="shared" si="403"/>
        <v/>
      </c>
      <c r="B1208" s="652"/>
      <c r="C1208" s="685"/>
      <c r="D1208" s="686"/>
      <c r="E1208" s="686"/>
      <c r="F1208" s="720"/>
      <c r="G1208" s="688"/>
      <c r="H1208" s="689"/>
      <c r="I1208" s="851"/>
      <c r="J1208" s="691">
        <f t="shared" si="404"/>
        <v>0</v>
      </c>
      <c r="K1208" s="667"/>
      <c r="L1208" s="858"/>
      <c r="M1208" s="859"/>
      <c r="N1208" s="859"/>
      <c r="O1208" s="859"/>
      <c r="P1208" s="859"/>
      <c r="Q1208" s="859"/>
      <c r="R1208" s="859"/>
      <c r="S1208" s="859"/>
      <c r="T1208" s="859"/>
      <c r="U1208" s="859"/>
      <c r="V1208" s="859"/>
      <c r="W1208" s="859"/>
      <c r="X1208" s="859"/>
      <c r="Y1208" s="859"/>
      <c r="Z1208" s="860"/>
      <c r="AA1208" s="860"/>
      <c r="AB1208" s="860"/>
      <c r="AC1208" s="860"/>
      <c r="AD1208" s="860"/>
      <c r="AE1208" s="860"/>
      <c r="AF1208" s="860"/>
      <c r="AG1208" s="860"/>
      <c r="AH1208" s="860"/>
      <c r="AI1208" s="860"/>
      <c r="AJ1208" s="860"/>
      <c r="AK1208" s="860"/>
      <c r="AL1208" s="860"/>
      <c r="AM1208" s="860"/>
      <c r="AN1208" s="860"/>
      <c r="AO1208" s="860"/>
      <c r="AP1208" s="860"/>
      <c r="AQ1208" s="860"/>
      <c r="AR1208" s="860"/>
      <c r="AS1208" s="860"/>
      <c r="AT1208" s="860"/>
      <c r="AU1208" s="860"/>
      <c r="AV1208" s="860"/>
      <c r="AW1208" s="860"/>
      <c r="AX1208" s="860"/>
      <c r="AY1208" s="860"/>
      <c r="AZ1208" s="860"/>
      <c r="BA1208" s="860"/>
      <c r="BB1208" s="860"/>
      <c r="BC1208" s="860"/>
      <c r="BD1208" s="860"/>
      <c r="BE1208" s="860"/>
      <c r="BF1208" s="860"/>
      <c r="BG1208" s="861"/>
      <c r="BH1208" s="668"/>
      <c r="BI1208" s="654"/>
      <c r="BJ1208" s="690">
        <f t="shared" si="405"/>
        <v>0</v>
      </c>
      <c r="BK1208" s="691">
        <f t="shared" si="406"/>
        <v>0</v>
      </c>
      <c r="BL1208" s="654"/>
      <c r="BM1208" s="692">
        <f>SUMIFS(Imput[Importe Neto],Imput[C. Imp.],$D1208,Imput[PERIODO Imp.],BM$9)</f>
        <v>0</v>
      </c>
      <c r="BN1208" s="693">
        <f>SUMIFS(Imput[Importe Neto],Imput[C. Imp.],$D1208,Imput[PERIODO Imp.],BN$9)</f>
        <v>0</v>
      </c>
      <c r="BO1208" s="693">
        <f>SUMIFS(Imput[Importe Neto],Imput[C. Imp.],$D1208,Imput[PERIODO Imp.],BO$9)</f>
        <v>0</v>
      </c>
      <c r="BP1208" s="693">
        <f>SUMIFS(Imput[Importe Neto],Imput[C. Imp.],$D1208,Imput[PERIODO Imp.],BP$9)</f>
        <v>0</v>
      </c>
      <c r="BQ1208" s="693">
        <f>SUMIFS(Imput[Importe Neto],Imput[C. Imp.],$D1208,Imput[PERIODO Imp.],BQ$9)</f>
        <v>0</v>
      </c>
      <c r="BR1208" s="693">
        <f>SUMIFS(Imput[Importe Neto],Imput[C. Imp.],$D1208,Imput[PERIODO Imp.],BR$9)</f>
        <v>0</v>
      </c>
      <c r="BS1208" s="693">
        <f>SUMIFS(Imput[Importe Neto],Imput[C. Imp.],$D1208,Imput[PERIODO Imp.],BS$9)</f>
        <v>0</v>
      </c>
      <c r="BT1208" s="693">
        <f>SUMIFS(Imput[Importe Neto],Imput[C. Imp.],$D1208,Imput[PERIODO Imp.],BT$9)</f>
        <v>0</v>
      </c>
      <c r="BU1208" s="693">
        <f>SUMIFS(Imput[Importe Neto],Imput[C. Imp.],$D1208,Imput[PERIODO Imp.],BU$9)</f>
        <v>0</v>
      </c>
      <c r="BV1208" s="693">
        <f>SUMIFS(Imput[Importe Neto],Imput[C. Imp.],$D1208,Imput[PERIODO Imp.],BV$9)</f>
        <v>0</v>
      </c>
      <c r="BW1208" s="693">
        <f>SUMIFS(Imput[Importe Neto],Imput[C. Imp.],$D1208,Imput[PERIODO Imp.],BW$9)</f>
        <v>0</v>
      </c>
      <c r="BX1208" s="693">
        <f>SUMIFS(Imput[Importe Neto],Imput[C. Imp.],$D1208,Imput[PERIODO Imp.],BX$9)</f>
        <v>0</v>
      </c>
      <c r="BY1208" s="693">
        <f>SUMIFS(Imput[Importe Neto],Imput[C. Imp.],$D1208,Imput[PERIODO Imp.],BY$9)</f>
        <v>0</v>
      </c>
      <c r="BZ1208" s="693">
        <f>SUMIFS(Imput[Importe Neto],Imput[C. Imp.],$D1208,Imput[PERIODO Imp.],BZ$9)</f>
        <v>0</v>
      </c>
      <c r="CA1208" s="693">
        <f>SUMIFS(Imput[Importe Neto],Imput[C. Imp.],$D1208,Imput[PERIODO Imp.],CA$9)</f>
        <v>0</v>
      </c>
      <c r="CB1208" s="693">
        <f>SUMIFS(Imput[Importe Neto],Imput[C. Imp.],$D1208,Imput[PERIODO Imp.],CB$9)</f>
        <v>0</v>
      </c>
      <c r="CC1208" s="693">
        <f>SUMIFS(Imput[Importe Neto],Imput[C. Imp.],$D1208,Imput[PERIODO Imp.],CC$9)</f>
        <v>0</v>
      </c>
      <c r="CD1208" s="693">
        <f>SUMIFS(Imput[Importe Neto],Imput[C. Imp.],$D1208,Imput[PERIODO Imp.],CD$9)</f>
        <v>0</v>
      </c>
      <c r="CE1208" s="693">
        <f>SUMIFS(Imput[Importe Neto],Imput[C. Imp.],$D1208,Imput[PERIODO Imp.],CE$9)</f>
        <v>0</v>
      </c>
      <c r="CF1208" s="693">
        <f>SUMIFS(Imput[Importe Neto],Imput[C. Imp.],$D1208,Imput[PERIODO Imp.],CF$9)</f>
        <v>0</v>
      </c>
      <c r="CG1208" s="693">
        <f>SUMIFS(Imput[Importe Neto],Imput[C. Imp.],$D1208,Imput[PERIODO Imp.],CG$9)</f>
        <v>0</v>
      </c>
      <c r="CH1208" s="693">
        <f>SUMIFS(Imput[Importe Neto],Imput[C. Imp.],$D1208,Imput[PERIODO Imp.],CH$9)</f>
        <v>0</v>
      </c>
      <c r="CI1208" s="693">
        <f>SUMIFS(Imput[Importe Neto],Imput[C. Imp.],$D1208,Imput[PERIODO Imp.],CI$9)</f>
        <v>0</v>
      </c>
      <c r="CJ1208" s="693">
        <f>SUMIFS(Imput[Importe Neto],Imput[C. Imp.],$D1208,Imput[PERIODO Imp.],CJ$9)</f>
        <v>0</v>
      </c>
      <c r="CK1208" s="693">
        <f>SUMIFS(Imput[Importe Neto],Imput[C. Imp.],$D1208,Imput[PERIODO Imp.],CK$9)</f>
        <v>0</v>
      </c>
      <c r="CL1208" s="693">
        <f>SUMIFS(Imput[Importe Neto],Imput[C. Imp.],$D1208,Imput[PERIODO Imp.],CL$9)</f>
        <v>0</v>
      </c>
      <c r="CM1208" s="693">
        <f>SUMIFS(Imput[Importe Neto],Imput[C. Imp.],$D1208,Imput[PERIODO Imp.],CM$9)</f>
        <v>0</v>
      </c>
      <c r="CN1208" s="693">
        <f>SUMIFS(Imput[Importe Neto],Imput[C. Imp.],$D1208,Imput[PERIODO Imp.],CN$9)</f>
        <v>0</v>
      </c>
      <c r="CO1208" s="693">
        <f>SUMIFS(Imput[Importe Neto],Imput[C. Imp.],$D1208,Imput[PERIODO Imp.],CO$9)</f>
        <v>0</v>
      </c>
      <c r="CP1208" s="693">
        <f>SUMIFS(Imput[Importe Neto],Imput[C. Imp.],$D1208,Imput[PERIODO Imp.],CP$9)</f>
        <v>0</v>
      </c>
      <c r="CQ1208" s="693">
        <f>SUMIFS(Imput[Importe Neto],Imput[C. Imp.],$D1208,Imput[PERIODO Imp.],CQ$9)</f>
        <v>0</v>
      </c>
      <c r="CR1208" s="693">
        <f>SUMIFS(Imput[Importe Neto],Imput[C. Imp.],$D1208,Imput[PERIODO Imp.],CR$9)</f>
        <v>0</v>
      </c>
      <c r="CS1208" s="693">
        <f>SUMIFS(Imput[Importe Neto],Imput[C. Imp.],$D1208,Imput[PERIODO Imp.],CS$9)</f>
        <v>0</v>
      </c>
      <c r="CT1208" s="693">
        <f>SUMIFS(Imput[Importe Neto],Imput[C. Imp.],$D1208,Imput[PERIODO Imp.],CT$9)</f>
        <v>0</v>
      </c>
      <c r="CU1208" s="693">
        <f>SUMIFS(Imput[Importe Neto],Imput[C. Imp.],$D1208,Imput[PERIODO Imp.],CU$9)</f>
        <v>0</v>
      </c>
      <c r="CV1208" s="693">
        <f>SUMIFS(Imput[Importe Neto],Imput[C. Imp.],$D1208,Imput[PERIODO Imp.],CV$9)</f>
        <v>0</v>
      </c>
      <c r="CW1208" s="693">
        <f>SUMIFS(Imput[Importe Neto],Imput[C. Imp.],$D1208,Imput[PERIODO Imp.],CW$9)</f>
        <v>0</v>
      </c>
      <c r="CX1208" s="693">
        <f>SUMIFS(Imput[Importe Neto],Imput[C. Imp.],$D1208,Imput[PERIODO Imp.],CX$9)</f>
        <v>0</v>
      </c>
      <c r="CY1208" s="693">
        <f>SUMIFS(Imput[Importe Neto],Imput[C. Imp.],$D1208,Imput[PERIODO Imp.],CY$9)</f>
        <v>0</v>
      </c>
      <c r="CZ1208" s="693">
        <f>SUMIFS(Imput[Importe Neto],Imput[C. Imp.],$D1208,Imput[PERIODO Imp.],CZ$9)</f>
        <v>0</v>
      </c>
      <c r="DA1208" s="693">
        <f>SUMIFS(Imput[Importe Neto],Imput[C. Imp.],$D1208,Imput[PERIODO Imp.],DA$9)</f>
        <v>0</v>
      </c>
      <c r="DB1208" s="693">
        <f>SUMIFS(Imput[Importe Neto],Imput[C. Imp.],$D1208,Imput[PERIODO Imp.],DB$9)</f>
        <v>0</v>
      </c>
      <c r="DC1208" s="693">
        <f>SUMIFS(Imput[Importe Neto],Imput[C. Imp.],$D1208,Imput[PERIODO Imp.],DC$9)</f>
        <v>0</v>
      </c>
      <c r="DD1208" s="693">
        <f>SUMIFS(Imput[Importe Neto],Imput[C. Imp.],$D1208,Imput[PERIODO Imp.],DD$9)</f>
        <v>0</v>
      </c>
      <c r="DE1208" s="693">
        <f>SUMIFS(Imput[Importe Neto],Imput[C. Imp.],$D1208,Imput[PERIODO Imp.],DE$9)</f>
        <v>0</v>
      </c>
      <c r="DF1208" s="693">
        <f>SUMIFS(Imput[Importe Neto],Imput[C. Imp.],$D1208,Imput[PERIODO Imp.],DF$9)</f>
        <v>0</v>
      </c>
      <c r="DG1208" s="693">
        <f>SUMIFS(Imput[Importe Neto],Imput[C. Imp.],$D1208,Imput[PERIODO Imp.],DG$9)</f>
        <v>0</v>
      </c>
      <c r="DH1208" s="694">
        <f>SUMIFS(Imput[Importe Neto],Imput[C. Imp.],$D1208,Imput[PERIODO Imp.],DH$9)</f>
        <v>0</v>
      </c>
    </row>
    <row r="1209" spans="1:112" hidden="1" outlineLevel="1" x14ac:dyDescent="0.3">
      <c r="A1209" s="652" t="str">
        <f t="shared" si="403"/>
        <v/>
      </c>
      <c r="B1209" s="652"/>
      <c r="C1209" s="685"/>
      <c r="D1209" s="686"/>
      <c r="E1209" s="686"/>
      <c r="F1209" s="720"/>
      <c r="G1209" s="688"/>
      <c r="H1209" s="689"/>
      <c r="I1209" s="851"/>
      <c r="J1209" s="691">
        <f t="shared" si="404"/>
        <v>0</v>
      </c>
      <c r="K1209" s="667"/>
      <c r="L1209" s="858"/>
      <c r="M1209" s="859"/>
      <c r="N1209" s="859"/>
      <c r="O1209" s="859"/>
      <c r="P1209" s="859"/>
      <c r="Q1209" s="859"/>
      <c r="R1209" s="859"/>
      <c r="S1209" s="859"/>
      <c r="T1209" s="859"/>
      <c r="U1209" s="859"/>
      <c r="V1209" s="859"/>
      <c r="W1209" s="859"/>
      <c r="X1209" s="859"/>
      <c r="Y1209" s="859"/>
      <c r="Z1209" s="860"/>
      <c r="AA1209" s="860"/>
      <c r="AB1209" s="860"/>
      <c r="AC1209" s="860"/>
      <c r="AD1209" s="860"/>
      <c r="AE1209" s="860"/>
      <c r="AF1209" s="860"/>
      <c r="AG1209" s="860"/>
      <c r="AH1209" s="860"/>
      <c r="AI1209" s="860"/>
      <c r="AJ1209" s="860"/>
      <c r="AK1209" s="860"/>
      <c r="AL1209" s="860"/>
      <c r="AM1209" s="860"/>
      <c r="AN1209" s="860"/>
      <c r="AO1209" s="860"/>
      <c r="AP1209" s="860"/>
      <c r="AQ1209" s="860"/>
      <c r="AR1209" s="860"/>
      <c r="AS1209" s="860"/>
      <c r="AT1209" s="860"/>
      <c r="AU1209" s="860"/>
      <c r="AV1209" s="860"/>
      <c r="AW1209" s="860"/>
      <c r="AX1209" s="860"/>
      <c r="AY1209" s="860"/>
      <c r="AZ1209" s="860"/>
      <c r="BA1209" s="860"/>
      <c r="BB1209" s="860"/>
      <c r="BC1209" s="860"/>
      <c r="BD1209" s="860"/>
      <c r="BE1209" s="860"/>
      <c r="BF1209" s="860"/>
      <c r="BG1209" s="861"/>
      <c r="BH1209" s="668"/>
      <c r="BI1209" s="654"/>
      <c r="BJ1209" s="690">
        <f t="shared" si="405"/>
        <v>0</v>
      </c>
      <c r="BK1209" s="691">
        <f t="shared" si="406"/>
        <v>0</v>
      </c>
      <c r="BL1209" s="654"/>
      <c r="BM1209" s="692">
        <f>SUMIFS(Imput[Importe Neto],Imput[C. Imp.],$D1209,Imput[PERIODO Imp.],BM$9)</f>
        <v>0</v>
      </c>
      <c r="BN1209" s="693">
        <f>SUMIFS(Imput[Importe Neto],Imput[C. Imp.],$D1209,Imput[PERIODO Imp.],BN$9)</f>
        <v>0</v>
      </c>
      <c r="BO1209" s="693">
        <f>SUMIFS(Imput[Importe Neto],Imput[C. Imp.],$D1209,Imput[PERIODO Imp.],BO$9)</f>
        <v>0</v>
      </c>
      <c r="BP1209" s="693">
        <f>SUMIFS(Imput[Importe Neto],Imput[C. Imp.],$D1209,Imput[PERIODO Imp.],BP$9)</f>
        <v>0</v>
      </c>
      <c r="BQ1209" s="693">
        <f>SUMIFS(Imput[Importe Neto],Imput[C. Imp.],$D1209,Imput[PERIODO Imp.],BQ$9)</f>
        <v>0</v>
      </c>
      <c r="BR1209" s="693">
        <f>SUMIFS(Imput[Importe Neto],Imput[C. Imp.],$D1209,Imput[PERIODO Imp.],BR$9)</f>
        <v>0</v>
      </c>
      <c r="BS1209" s="693">
        <f>SUMIFS(Imput[Importe Neto],Imput[C. Imp.],$D1209,Imput[PERIODO Imp.],BS$9)</f>
        <v>0</v>
      </c>
      <c r="BT1209" s="693">
        <f>SUMIFS(Imput[Importe Neto],Imput[C. Imp.],$D1209,Imput[PERIODO Imp.],BT$9)</f>
        <v>0</v>
      </c>
      <c r="BU1209" s="693">
        <f>SUMIFS(Imput[Importe Neto],Imput[C. Imp.],$D1209,Imput[PERIODO Imp.],BU$9)</f>
        <v>0</v>
      </c>
      <c r="BV1209" s="693">
        <f>SUMIFS(Imput[Importe Neto],Imput[C. Imp.],$D1209,Imput[PERIODO Imp.],BV$9)</f>
        <v>0</v>
      </c>
      <c r="BW1209" s="693">
        <f>SUMIFS(Imput[Importe Neto],Imput[C. Imp.],$D1209,Imput[PERIODO Imp.],BW$9)</f>
        <v>0</v>
      </c>
      <c r="BX1209" s="693">
        <f>SUMIFS(Imput[Importe Neto],Imput[C. Imp.],$D1209,Imput[PERIODO Imp.],BX$9)</f>
        <v>0</v>
      </c>
      <c r="BY1209" s="693">
        <f>SUMIFS(Imput[Importe Neto],Imput[C. Imp.],$D1209,Imput[PERIODO Imp.],BY$9)</f>
        <v>0</v>
      </c>
      <c r="BZ1209" s="693">
        <f>SUMIFS(Imput[Importe Neto],Imput[C. Imp.],$D1209,Imput[PERIODO Imp.],BZ$9)</f>
        <v>0</v>
      </c>
      <c r="CA1209" s="693">
        <f>SUMIFS(Imput[Importe Neto],Imput[C. Imp.],$D1209,Imput[PERIODO Imp.],CA$9)</f>
        <v>0</v>
      </c>
      <c r="CB1209" s="693">
        <f>SUMIFS(Imput[Importe Neto],Imput[C. Imp.],$D1209,Imput[PERIODO Imp.],CB$9)</f>
        <v>0</v>
      </c>
      <c r="CC1209" s="693">
        <f>SUMIFS(Imput[Importe Neto],Imput[C. Imp.],$D1209,Imput[PERIODO Imp.],CC$9)</f>
        <v>0</v>
      </c>
      <c r="CD1209" s="693">
        <f>SUMIFS(Imput[Importe Neto],Imput[C. Imp.],$D1209,Imput[PERIODO Imp.],CD$9)</f>
        <v>0</v>
      </c>
      <c r="CE1209" s="693">
        <f>SUMIFS(Imput[Importe Neto],Imput[C. Imp.],$D1209,Imput[PERIODO Imp.],CE$9)</f>
        <v>0</v>
      </c>
      <c r="CF1209" s="693">
        <f>SUMIFS(Imput[Importe Neto],Imput[C. Imp.],$D1209,Imput[PERIODO Imp.],CF$9)</f>
        <v>0</v>
      </c>
      <c r="CG1209" s="693">
        <f>SUMIFS(Imput[Importe Neto],Imput[C. Imp.],$D1209,Imput[PERIODO Imp.],CG$9)</f>
        <v>0</v>
      </c>
      <c r="CH1209" s="693">
        <f>SUMIFS(Imput[Importe Neto],Imput[C. Imp.],$D1209,Imput[PERIODO Imp.],CH$9)</f>
        <v>0</v>
      </c>
      <c r="CI1209" s="693">
        <f>SUMIFS(Imput[Importe Neto],Imput[C. Imp.],$D1209,Imput[PERIODO Imp.],CI$9)</f>
        <v>0</v>
      </c>
      <c r="CJ1209" s="693">
        <f>SUMIFS(Imput[Importe Neto],Imput[C. Imp.],$D1209,Imput[PERIODO Imp.],CJ$9)</f>
        <v>0</v>
      </c>
      <c r="CK1209" s="693">
        <f>SUMIFS(Imput[Importe Neto],Imput[C. Imp.],$D1209,Imput[PERIODO Imp.],CK$9)</f>
        <v>0</v>
      </c>
      <c r="CL1209" s="693">
        <f>SUMIFS(Imput[Importe Neto],Imput[C. Imp.],$D1209,Imput[PERIODO Imp.],CL$9)</f>
        <v>0</v>
      </c>
      <c r="CM1209" s="693">
        <f>SUMIFS(Imput[Importe Neto],Imput[C. Imp.],$D1209,Imput[PERIODO Imp.],CM$9)</f>
        <v>0</v>
      </c>
      <c r="CN1209" s="693">
        <f>SUMIFS(Imput[Importe Neto],Imput[C. Imp.],$D1209,Imput[PERIODO Imp.],CN$9)</f>
        <v>0</v>
      </c>
      <c r="CO1209" s="693">
        <f>SUMIFS(Imput[Importe Neto],Imput[C. Imp.],$D1209,Imput[PERIODO Imp.],CO$9)</f>
        <v>0</v>
      </c>
      <c r="CP1209" s="693">
        <f>SUMIFS(Imput[Importe Neto],Imput[C. Imp.],$D1209,Imput[PERIODO Imp.],CP$9)</f>
        <v>0</v>
      </c>
      <c r="CQ1209" s="693">
        <f>SUMIFS(Imput[Importe Neto],Imput[C. Imp.],$D1209,Imput[PERIODO Imp.],CQ$9)</f>
        <v>0</v>
      </c>
      <c r="CR1209" s="693">
        <f>SUMIFS(Imput[Importe Neto],Imput[C. Imp.],$D1209,Imput[PERIODO Imp.],CR$9)</f>
        <v>0</v>
      </c>
      <c r="CS1209" s="693">
        <f>SUMIFS(Imput[Importe Neto],Imput[C. Imp.],$D1209,Imput[PERIODO Imp.],CS$9)</f>
        <v>0</v>
      </c>
      <c r="CT1209" s="693">
        <f>SUMIFS(Imput[Importe Neto],Imput[C. Imp.],$D1209,Imput[PERIODO Imp.],CT$9)</f>
        <v>0</v>
      </c>
      <c r="CU1209" s="693">
        <f>SUMIFS(Imput[Importe Neto],Imput[C. Imp.],$D1209,Imput[PERIODO Imp.],CU$9)</f>
        <v>0</v>
      </c>
      <c r="CV1209" s="693">
        <f>SUMIFS(Imput[Importe Neto],Imput[C. Imp.],$D1209,Imput[PERIODO Imp.],CV$9)</f>
        <v>0</v>
      </c>
      <c r="CW1209" s="693">
        <f>SUMIFS(Imput[Importe Neto],Imput[C. Imp.],$D1209,Imput[PERIODO Imp.],CW$9)</f>
        <v>0</v>
      </c>
      <c r="CX1209" s="693">
        <f>SUMIFS(Imput[Importe Neto],Imput[C. Imp.],$D1209,Imput[PERIODO Imp.],CX$9)</f>
        <v>0</v>
      </c>
      <c r="CY1209" s="693">
        <f>SUMIFS(Imput[Importe Neto],Imput[C. Imp.],$D1209,Imput[PERIODO Imp.],CY$9)</f>
        <v>0</v>
      </c>
      <c r="CZ1209" s="693">
        <f>SUMIFS(Imput[Importe Neto],Imput[C. Imp.],$D1209,Imput[PERIODO Imp.],CZ$9)</f>
        <v>0</v>
      </c>
      <c r="DA1209" s="693">
        <f>SUMIFS(Imput[Importe Neto],Imput[C. Imp.],$D1209,Imput[PERIODO Imp.],DA$9)</f>
        <v>0</v>
      </c>
      <c r="DB1209" s="693">
        <f>SUMIFS(Imput[Importe Neto],Imput[C. Imp.],$D1209,Imput[PERIODO Imp.],DB$9)</f>
        <v>0</v>
      </c>
      <c r="DC1209" s="693">
        <f>SUMIFS(Imput[Importe Neto],Imput[C. Imp.],$D1209,Imput[PERIODO Imp.],DC$9)</f>
        <v>0</v>
      </c>
      <c r="DD1209" s="693">
        <f>SUMIFS(Imput[Importe Neto],Imput[C. Imp.],$D1209,Imput[PERIODO Imp.],DD$9)</f>
        <v>0</v>
      </c>
      <c r="DE1209" s="693">
        <f>SUMIFS(Imput[Importe Neto],Imput[C. Imp.],$D1209,Imput[PERIODO Imp.],DE$9)</f>
        <v>0</v>
      </c>
      <c r="DF1209" s="693">
        <f>SUMIFS(Imput[Importe Neto],Imput[C. Imp.],$D1209,Imput[PERIODO Imp.],DF$9)</f>
        <v>0</v>
      </c>
      <c r="DG1209" s="693">
        <f>SUMIFS(Imput[Importe Neto],Imput[C. Imp.],$D1209,Imput[PERIODO Imp.],DG$9)</f>
        <v>0</v>
      </c>
      <c r="DH1209" s="694">
        <f>SUMIFS(Imput[Importe Neto],Imput[C. Imp.],$D1209,Imput[PERIODO Imp.],DH$9)</f>
        <v>0</v>
      </c>
    </row>
    <row r="1210" spans="1:112" ht="14.4" hidden="1" outlineLevel="1" thickBot="1" x14ac:dyDescent="0.35">
      <c r="A1210" s="652" t="str">
        <f>IF(J1197&gt;0,"Imprimir","")</f>
        <v/>
      </c>
      <c r="B1210" s="652"/>
      <c r="C1210" s="699"/>
      <c r="D1210" s="700"/>
      <c r="E1210" s="700"/>
      <c r="F1210" s="701"/>
      <c r="G1210" s="702"/>
      <c r="H1210" s="701"/>
      <c r="I1210" s="704"/>
      <c r="J1210" s="730"/>
      <c r="K1210" s="667"/>
      <c r="L1210" s="706"/>
      <c r="M1210" s="707"/>
      <c r="N1210" s="777"/>
      <c r="O1210" s="777"/>
      <c r="P1210" s="778"/>
      <c r="Q1210" s="778"/>
      <c r="R1210" s="708"/>
      <c r="S1210" s="708"/>
      <c r="T1210" s="779"/>
      <c r="U1210" s="779"/>
      <c r="V1210" s="778"/>
      <c r="W1210" s="778"/>
      <c r="X1210" s="708"/>
      <c r="Y1210" s="708"/>
      <c r="Z1210" s="708"/>
      <c r="AA1210" s="708"/>
      <c r="AB1210" s="708"/>
      <c r="AC1210" s="708"/>
      <c r="AD1210" s="708"/>
      <c r="AE1210" s="708"/>
      <c r="AF1210" s="708"/>
      <c r="AG1210" s="708"/>
      <c r="AH1210" s="708"/>
      <c r="AI1210" s="708"/>
      <c r="AJ1210" s="708"/>
      <c r="AK1210" s="708"/>
      <c r="AL1210" s="708"/>
      <c r="AM1210" s="708"/>
      <c r="AN1210" s="708"/>
      <c r="AO1210" s="708"/>
      <c r="AP1210" s="708"/>
      <c r="AQ1210" s="708"/>
      <c r="AR1210" s="708"/>
      <c r="AS1210" s="708"/>
      <c r="AT1210" s="708"/>
      <c r="AU1210" s="708"/>
      <c r="AV1210" s="708"/>
      <c r="AW1210" s="708"/>
      <c r="AX1210" s="708"/>
      <c r="AY1210" s="708"/>
      <c r="AZ1210" s="708"/>
      <c r="BA1210" s="708"/>
      <c r="BB1210" s="708"/>
      <c r="BC1210" s="708"/>
      <c r="BD1210" s="708"/>
      <c r="BE1210" s="708"/>
      <c r="BF1210" s="708"/>
      <c r="BG1210" s="721"/>
      <c r="BH1210" s="781"/>
      <c r="BI1210" s="654"/>
      <c r="BJ1210" s="709"/>
      <c r="BK1210" s="710"/>
      <c r="BL1210" s="654"/>
      <c r="BM1210" s="731"/>
      <c r="BN1210" s="701"/>
      <c r="BO1210" s="701"/>
      <c r="BP1210" s="701"/>
      <c r="BQ1210" s="701"/>
      <c r="BR1210" s="701"/>
      <c r="BS1210" s="701"/>
      <c r="BT1210" s="701"/>
      <c r="BU1210" s="701"/>
      <c r="BV1210" s="701"/>
      <c r="BW1210" s="701"/>
      <c r="BX1210" s="701"/>
      <c r="BY1210" s="701"/>
      <c r="BZ1210" s="701"/>
      <c r="CA1210" s="701"/>
      <c r="CB1210" s="701"/>
      <c r="CC1210" s="701"/>
      <c r="CD1210" s="701"/>
      <c r="CE1210" s="701"/>
      <c r="CF1210" s="701"/>
      <c r="CG1210" s="701"/>
      <c r="CH1210" s="701"/>
      <c r="CI1210" s="701"/>
      <c r="CJ1210" s="701"/>
      <c r="CK1210" s="701"/>
      <c r="CL1210" s="701"/>
      <c r="CM1210" s="701"/>
      <c r="CN1210" s="701"/>
      <c r="CO1210" s="701"/>
      <c r="CP1210" s="701"/>
      <c r="CQ1210" s="701"/>
      <c r="CR1210" s="701"/>
      <c r="CS1210" s="701"/>
      <c r="CT1210" s="701"/>
      <c r="CU1210" s="701"/>
      <c r="CV1210" s="701"/>
      <c r="CW1210" s="701"/>
      <c r="CX1210" s="701"/>
      <c r="CY1210" s="701"/>
      <c r="CZ1210" s="701"/>
      <c r="DA1210" s="701"/>
      <c r="DB1210" s="701"/>
      <c r="DC1210" s="701"/>
      <c r="DD1210" s="701"/>
      <c r="DE1210" s="701"/>
      <c r="DF1210" s="701"/>
      <c r="DG1210" s="701"/>
      <c r="DH1210" s="710"/>
    </row>
    <row r="1211" spans="1:112" collapsed="1" x14ac:dyDescent="0.3"/>
  </sheetData>
  <autoFilter ref="A12:DH1210" xr:uid="{C89D3E86-7745-42DB-B484-ADFF24E2774E}">
    <filterColumn colId="0">
      <customFilters>
        <customFilter operator="notEqual" val=" "/>
      </customFilters>
    </filterColumn>
  </autoFilter>
  <mergeCells count="3">
    <mergeCell ref="T8:V8"/>
    <mergeCell ref="E3:G3"/>
    <mergeCell ref="E4:G4"/>
  </mergeCells>
  <phoneticPr fontId="6" type="noConversion"/>
  <conditionalFormatting sqref="BJ14 BJ26 BJ68 BJ121 BJ174 BJ187 BJ210 BJ227 BJ235 BJ241">
    <cfRule type="cellIs" dxfId="15" priority="17" operator="greaterThanOrEqual">
      <formula>1</formula>
    </cfRule>
  </conditionalFormatting>
  <conditionalFormatting sqref="BJ250 BJ262 BJ304 BJ357 BJ410 BJ423 BJ446 BJ463 BJ471 BJ477">
    <cfRule type="cellIs" dxfId="14" priority="6" operator="greaterThanOrEqual">
      <formula>1</formula>
    </cfRule>
  </conditionalFormatting>
  <conditionalFormatting sqref="BJ486 BJ498 BJ540 BJ593 BJ646 BJ659 BJ682 BJ699 BJ707 BJ713">
    <cfRule type="cellIs" dxfId="13" priority="5" operator="greaterThanOrEqual">
      <formula>1</formula>
    </cfRule>
  </conditionalFormatting>
  <conditionalFormatting sqref="BJ722 BJ734 BJ776 BJ829 BJ882 BJ895 BJ918 BJ935 BJ943 BJ949">
    <cfRule type="cellIs" dxfId="12" priority="4" operator="greaterThanOrEqual">
      <formula>1</formula>
    </cfRule>
  </conditionalFormatting>
  <conditionalFormatting sqref="BJ958 BJ972 BJ1014 BJ1067 BJ1120 BJ1133 BJ1156 BJ1173 BJ1181 BJ1187">
    <cfRule type="cellIs" dxfId="11" priority="2" operator="greaterThanOrEqual">
      <formula>1</formula>
    </cfRule>
  </conditionalFormatting>
  <conditionalFormatting sqref="BJ1197">
    <cfRule type="cellIs" dxfId="10" priority="3" operator="greaterThanOrEqual">
      <formula>1</formula>
    </cfRule>
  </conditionalFormatting>
  <dataValidations disablePrompts="1" count="2">
    <dataValidation type="list" allowBlank="1" showInputMessage="1" showErrorMessage="1" sqref="C144:C153 C124:C141 C71:C88 C157:C161 C172 C163:C168 C170 C91:C100 C29:C46 C104:C108 C119 C213:C225 C230:C233 C238:C239 C190:C208 C62:C66 C17:C24 C49:C58 C244:C246 C110:C115 C117 C380:C389 C360:C377 C307:C324 C393:C397 C408 C399:C404 C406 C327:C336 C265:C282 C340:C344 C355 C449:C461 C466:C469 C474:C475 C426:C444 C298:C302 C253:C260 C285:C294 C480:C482 C346:C351 C353 C616:C625 C596:C613 C543:C560 C629:C633 C644 C635:C640 C642 C563:C572 C501:C518 C576:C580 C591 C685:C697 C702:C705 C710:C711 C662:C680 C534:C538 C489:C496 C521:C530 C716:C718 C582:C587 C589 C852:C861 C832:C849 C779:C796 C865:C869 C880 C871:C876 C878 C799:C808 C737:C754 C812:C816 C827 C921:C933 C938:C941 C946:C947 C898:C916 C770:C774 C725:C732 C757:C766 C952:C954 C818:C823 C825 C1090:C1099 C1070:C1087 C1017:C1034 C1103:C1107 C1118 C1109:C1114 C1116 C1037:C1046 C975:C992 C1050:C1054 C1065 C1159:C1171 C1176:C1179 C1184:C1185 C1136:C1154 C1008:C1012 C1063 C995:C1004 C1190:C1192 C1056:C1061 C961:C970" xr:uid="{29659749-1CE1-48BF-A83E-645571E19949}">
      <formula1>$F$1:$F$3</formula1>
    </dataValidation>
    <dataValidation type="list" allowBlank="1" showInputMessage="1" showErrorMessage="1" sqref="C177:C185 C413:C421 C649:C657 C885:C893 C1123:C1131" xr:uid="{68325A7D-181C-4CA6-8682-CF54FADB3DB9}">
      <formula1>$G$1:$G$3</formula1>
    </dataValidation>
  </dataValidations>
  <pageMargins left="0.7" right="0.7" top="0.75" bottom="0.75" header="0.3" footer="0.3"/>
  <pageSetup orientation="portrait" r:id="rId1"/>
  <ignoredErrors>
    <ignoredError sqref="BK17:BK24 C9:J9 C120:G120 C246 C173:G173 C119 C239 C234:G234 C208 C25:G25 BJ247:DH247 BM9:DH9 C14:D14 F14:G14 C67:D68 F67:G68 C122:F122 C121:D121 F121:G121 C26:D26 F26:G26 C235:D235 F235:G235 C174:D174 F174:G174 C185 C123:D123 F123:G123 BM14:DH246 C16:G16 C28:G28 C70:G70 C176:G176 C186:G189 C209:G212 C226:G229 C237:G237 C240:H243 H14:H16 H74:H123 H33:H70 H178:H189 H142:H176 H209:H237 I14:J69 I209:J211 H190:J208 BK29:BL67 BJ14:BJ237 BM11:DH12 C15:F15 C27:F27 C69:F69 C175:F175 C236:F236 C11:J12 C10:I10 C105 C106 C107 C108 C109 C110 C111 C112 C113 C114 C115 C116 C117 C118 C177 C178 C179 C180 C181 C182 C183 C184 C190 C191 C192 C193 C194 C195 C196 C197 C198 C199 C200 C201 C202 C203 C204 C205 C206 C207 C214 E214:G214 C215 E215:G215 C216 E216:G216 C217 E217:G217 C218 E218:G218 C219 E219:G219 C220 E220:G220 C221 E221:G221 C222 E222:G222 C223 E223:G223 C224 E224:G224 C225 E225:G225 E246:H246 BK69:BL120 BL68 BK122:BL173 BL121 BK175:BL186 BL174 BK188:BL209 BL187 BK211:BL226 BL210 BK228:BL234 BL227 BK236:BL240 BL235 BK242:BL246 BL241 I240:J242 I238 I239 BJ239:BJ246 I236:J236 I235 I71:J122 I70 I124:J175 I123 I177:J188 I176 I189 I213:J228 I212 I230:J234 I229 I237 I244:J247 I243 G961:G970" unlockedFormula="1"/>
    <ignoredError sqref="A14 A26:A28 A68:A69 A121:A123 A174:A176 A187:A189 A210:A212 A227:A229 A235:A237 A241:A242" formula="1"/>
  </ignoredError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A6751-C8EC-470C-88D0-38543CA22661}">
  <sheetPr codeName="Hoja6" filterMode="1">
    <pageSetUpPr fitToPage="1"/>
  </sheetPr>
  <dimension ref="A1:DI434"/>
  <sheetViews>
    <sheetView zoomScale="60" zoomScaleNormal="60" zoomScaleSheetLayoutView="80" workbookViewId="0">
      <pane xSplit="9" ySplit="9" topLeftCell="BU10" activePane="bottomRight" state="frozen"/>
      <selection pane="topRight" activeCell="J1" sqref="J1"/>
      <selection pane="bottomLeft" activeCell="A10" sqref="A10"/>
      <selection pane="bottomRight" activeCell="I379" sqref="I379"/>
    </sheetView>
  </sheetViews>
  <sheetFormatPr baseColWidth="10" defaultColWidth="9.44140625" defaultRowHeight="13.8" outlineLevelRow="1" x14ac:dyDescent="0.3"/>
  <cols>
    <col min="1" max="1" width="7.77734375" style="320" customWidth="1"/>
    <col min="2" max="2" width="1.6640625" style="320" customWidth="1"/>
    <col min="3" max="3" width="12.109375" style="171" customWidth="1"/>
    <col min="4" max="4" width="11.77734375" style="171" bestFit="1" customWidth="1"/>
    <col min="5" max="5" width="56" style="172" customWidth="1"/>
    <col min="6" max="6" width="11" style="172" customWidth="1"/>
    <col min="7" max="8" width="13.77734375" style="172" customWidth="1"/>
    <col min="9" max="9" width="20.6640625" style="172" bestFit="1" customWidth="1"/>
    <col min="10" max="10" width="2.77734375" style="258" customWidth="1"/>
    <col min="11" max="11" width="12.44140625" style="172" customWidth="1"/>
    <col min="12" max="12" width="25.21875" style="172" customWidth="1"/>
    <col min="13" max="13" width="1.5546875" style="244" customWidth="1"/>
    <col min="14" max="39" width="25.44140625" style="172" customWidth="1"/>
    <col min="40" max="61" width="25.44140625" style="172" hidden="1" customWidth="1"/>
    <col min="62" max="62" width="6.44140625" style="244" customWidth="1"/>
    <col min="63" max="63" width="17.44140625" style="172" customWidth="1"/>
    <col min="64" max="64" width="32" style="172" customWidth="1"/>
    <col min="65" max="65" width="1.44140625" style="244" customWidth="1"/>
    <col min="66" max="68" width="19.44140625" style="172" customWidth="1"/>
    <col min="69" max="69" width="21.77734375" style="172" customWidth="1"/>
    <col min="70" max="72" width="19.44140625" style="172" customWidth="1"/>
    <col min="73" max="73" width="23.109375" style="172" customWidth="1"/>
    <col min="74" max="79" width="19.44140625" style="172" customWidth="1"/>
    <col min="80" max="80" width="25.6640625" style="172" bestFit="1" customWidth="1"/>
    <col min="81" max="113" width="19.44140625" style="172" customWidth="1"/>
    <col min="114" max="114" width="0.5546875" style="172" customWidth="1"/>
    <col min="115" max="16384" width="9.44140625" style="172"/>
  </cols>
  <sheetData>
    <row r="1" spans="1:113" ht="15" customHeight="1" x14ac:dyDescent="0.3">
      <c r="C1" s="170"/>
    </row>
    <row r="2" spans="1:113" ht="21" customHeight="1" x14ac:dyDescent="0.3">
      <c r="C2" s="173"/>
      <c r="D2" s="172"/>
      <c r="E2" s="998" t="s">
        <v>647</v>
      </c>
      <c r="F2" s="998"/>
      <c r="G2" s="998"/>
      <c r="H2" s="998"/>
      <c r="I2" s="998"/>
      <c r="J2" s="998"/>
      <c r="K2" s="998"/>
      <c r="L2" s="998"/>
      <c r="M2" s="470"/>
      <c r="N2" s="470"/>
      <c r="O2" s="470"/>
      <c r="P2" s="470"/>
      <c r="Q2" s="470"/>
      <c r="R2" s="470"/>
      <c r="S2" s="470"/>
      <c r="T2" s="470"/>
      <c r="U2" s="470"/>
      <c r="V2" s="470"/>
      <c r="W2" s="470"/>
      <c r="X2" s="470"/>
      <c r="Y2" s="470"/>
      <c r="Z2" s="470"/>
      <c r="AA2" s="470"/>
      <c r="AB2" s="470"/>
      <c r="AC2" s="470"/>
      <c r="AD2" s="470"/>
      <c r="AE2" s="470"/>
      <c r="AF2" s="470"/>
      <c r="AG2" s="470"/>
      <c r="AH2" s="470"/>
      <c r="AI2" s="470"/>
      <c r="AJ2" s="470"/>
      <c r="AK2" s="470"/>
      <c r="AL2" s="470"/>
      <c r="AM2" s="470"/>
      <c r="AN2" s="470"/>
      <c r="AO2" s="470"/>
      <c r="AP2" s="470"/>
      <c r="AQ2" s="470"/>
      <c r="AR2" s="470"/>
      <c r="AS2" s="470"/>
      <c r="AT2" s="470"/>
      <c r="AU2" s="470"/>
      <c r="AV2" s="470"/>
      <c r="AW2" s="470"/>
      <c r="AX2" s="470"/>
      <c r="AY2" s="470"/>
      <c r="AZ2" s="470"/>
      <c r="BA2" s="470"/>
      <c r="BB2" s="470"/>
      <c r="BC2" s="470"/>
      <c r="BD2" s="470"/>
      <c r="BE2" s="470"/>
      <c r="BF2" s="470"/>
      <c r="BG2" s="470"/>
      <c r="BH2" s="470"/>
      <c r="BI2" s="470"/>
      <c r="BJ2" s="470"/>
      <c r="BK2" s="470"/>
      <c r="BL2" s="470"/>
    </row>
    <row r="3" spans="1:113" ht="21" customHeight="1" x14ac:dyDescent="0.3">
      <c r="D3" s="172"/>
      <c r="E3" s="998" t="str">
        <f>CONCATENATE('Resumen Ejecutivo'!C2," ",'Resumen Ejecutivo'!D2)</f>
        <v>PROYECTO: CONSTRUCCIÓN DE 50 PILAS DE CONCRETO ARMADO PARA PMI'S EN EL ESTADO DE TAMAULIPAS (TAMPICO Y MANTE)</v>
      </c>
      <c r="F3" s="998"/>
      <c r="G3" s="998"/>
      <c r="H3" s="998"/>
      <c r="I3" s="998"/>
      <c r="J3" s="998"/>
      <c r="K3" s="998"/>
      <c r="L3" s="998"/>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row>
    <row r="4" spans="1:113" ht="21" customHeight="1" x14ac:dyDescent="0.3">
      <c r="D4" s="172"/>
      <c r="E4" s="998" t="str">
        <f>CONCATENATE('Resumen Ejecutivo'!C3," ",'Resumen Ejecutivo'!D3)</f>
        <v>CLIENTE: SYM KABAT</v>
      </c>
      <c r="F4" s="998"/>
      <c r="G4" s="998"/>
      <c r="H4" s="998"/>
      <c r="I4" s="998"/>
      <c r="J4" s="998"/>
      <c r="K4" s="998"/>
      <c r="L4" s="998"/>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470"/>
      <c r="AW4" s="470"/>
      <c r="AX4" s="470"/>
      <c r="AY4" s="470"/>
      <c r="AZ4" s="470"/>
      <c r="BA4" s="470"/>
      <c r="BB4" s="470"/>
      <c r="BC4" s="470"/>
      <c r="BD4" s="470"/>
      <c r="BE4" s="470"/>
      <c r="BF4" s="470"/>
      <c r="BG4" s="470"/>
      <c r="BH4" s="470"/>
      <c r="BI4" s="470"/>
      <c r="BJ4" s="470"/>
      <c r="BK4" s="470"/>
      <c r="BL4" s="470"/>
    </row>
    <row r="5" spans="1:113" ht="15" customHeight="1" x14ac:dyDescent="0.3">
      <c r="D5" s="172"/>
      <c r="E5" s="174"/>
      <c r="F5" s="174"/>
      <c r="J5" s="244"/>
    </row>
    <row r="6" spans="1:113" ht="30" customHeight="1" x14ac:dyDescent="0.3">
      <c r="G6" s="1001" t="s">
        <v>648</v>
      </c>
      <c r="H6" s="1002"/>
      <c r="I6" s="1003"/>
      <c r="K6" s="999" t="s">
        <v>649</v>
      </c>
      <c r="L6" s="1000"/>
      <c r="M6" s="511"/>
      <c r="N6" s="511"/>
      <c r="O6" s="511"/>
      <c r="P6" s="511"/>
      <c r="Q6" s="511"/>
      <c r="R6" s="511"/>
      <c r="S6" s="511"/>
      <c r="T6" s="511"/>
      <c r="U6" s="511"/>
      <c r="V6" s="511"/>
      <c r="W6" s="511"/>
      <c r="X6" s="511"/>
      <c r="Y6" s="511"/>
      <c r="Z6" s="511"/>
      <c r="AA6" s="511"/>
      <c r="AB6" s="511"/>
      <c r="AC6" s="511"/>
      <c r="AD6" s="511"/>
      <c r="AE6" s="511"/>
      <c r="AF6" s="511"/>
      <c r="AG6" s="511"/>
      <c r="AH6" s="511"/>
      <c r="AI6" s="511"/>
      <c r="AJ6" s="511"/>
      <c r="AK6" s="511"/>
      <c r="AL6" s="511"/>
      <c r="AM6" s="511"/>
      <c r="AN6" s="511"/>
      <c r="AO6" s="511"/>
      <c r="AP6" s="511"/>
      <c r="AQ6" s="511"/>
      <c r="AR6" s="511"/>
      <c r="AS6" s="511"/>
      <c r="AT6" s="511"/>
      <c r="AU6" s="511"/>
      <c r="AV6" s="511"/>
      <c r="AW6" s="511"/>
      <c r="AX6" s="511"/>
      <c r="AY6" s="511"/>
      <c r="AZ6" s="511"/>
      <c r="BA6" s="511"/>
      <c r="BB6" s="511"/>
      <c r="BC6" s="511"/>
      <c r="BD6" s="511"/>
      <c r="BE6" s="511"/>
      <c r="BF6" s="511"/>
      <c r="BG6" s="511"/>
      <c r="BH6" s="511"/>
      <c r="BI6" s="511"/>
      <c r="BJ6" s="545"/>
      <c r="BK6" s="539" t="s">
        <v>650</v>
      </c>
      <c r="BL6" s="471"/>
      <c r="BM6" s="471"/>
      <c r="BN6" s="471"/>
      <c r="BO6" s="471"/>
      <c r="BP6" s="471"/>
      <c r="BQ6" s="471"/>
      <c r="BR6" s="471"/>
      <c r="BS6" s="471"/>
      <c r="BT6" s="471"/>
      <c r="BU6" s="471"/>
      <c r="BV6" s="471"/>
      <c r="BW6" s="471"/>
      <c r="BX6" s="471"/>
      <c r="BY6" s="471"/>
      <c r="BZ6" s="471"/>
      <c r="CA6" s="471"/>
      <c r="CB6" s="471"/>
      <c r="CC6" s="471"/>
      <c r="CD6" s="471"/>
      <c r="CE6" s="471"/>
      <c r="CF6" s="471"/>
      <c r="CG6" s="471"/>
      <c r="CH6" s="471"/>
      <c r="CI6" s="471"/>
      <c r="CJ6" s="471"/>
      <c r="CK6" s="471"/>
      <c r="CL6" s="471"/>
      <c r="CM6" s="471"/>
      <c r="CN6" s="471"/>
      <c r="CO6" s="471"/>
      <c r="CP6" s="471"/>
      <c r="CQ6" s="471"/>
      <c r="CR6" s="471"/>
      <c r="CS6" s="471"/>
      <c r="CT6" s="471"/>
      <c r="CU6" s="471"/>
      <c r="CV6" s="471"/>
      <c r="CW6" s="471"/>
      <c r="CX6" s="471"/>
      <c r="CY6" s="471"/>
      <c r="CZ6" s="471"/>
      <c r="DA6" s="471"/>
      <c r="DB6" s="471"/>
      <c r="DC6" s="471"/>
      <c r="DD6" s="471"/>
      <c r="DE6" s="471"/>
      <c r="DF6" s="471"/>
      <c r="DG6" s="471"/>
      <c r="DH6" s="471"/>
      <c r="DI6" s="617"/>
    </row>
    <row r="7" spans="1:113" s="409" customFormat="1" ht="8.5500000000000007" customHeight="1" x14ac:dyDescent="0.15">
      <c r="A7" s="407"/>
      <c r="B7" s="407"/>
      <c r="C7" s="408"/>
      <c r="D7" s="408"/>
      <c r="G7" s="410"/>
      <c r="H7" s="411"/>
      <c r="I7" s="412"/>
      <c r="J7" s="258"/>
      <c r="K7" s="408"/>
      <c r="L7" s="413"/>
      <c r="M7" s="258"/>
      <c r="BJ7" s="258"/>
      <c r="CQ7" s="414"/>
      <c r="CR7" s="414"/>
      <c r="CS7" s="414"/>
      <c r="CT7" s="414"/>
      <c r="CU7" s="414"/>
      <c r="CV7" s="414"/>
      <c r="CW7" s="414"/>
      <c r="CX7" s="414"/>
      <c r="CY7" s="414"/>
      <c r="CZ7" s="414"/>
      <c r="DA7" s="414"/>
      <c r="DB7" s="414"/>
      <c r="DC7" s="414"/>
      <c r="DD7" s="414"/>
      <c r="DE7" s="414"/>
      <c r="DF7" s="414"/>
      <c r="DG7" s="414"/>
      <c r="DH7" s="414"/>
      <c r="DI7" s="474"/>
    </row>
    <row r="8" spans="1:113" ht="30" customHeight="1" x14ac:dyDescent="0.25">
      <c r="A8" s="480"/>
      <c r="B8" s="449"/>
      <c r="C8" s="450" t="s">
        <v>651</v>
      </c>
      <c r="D8" s="450" t="s">
        <v>652</v>
      </c>
      <c r="E8" s="450" t="s">
        <v>653</v>
      </c>
      <c r="F8" s="450" t="s">
        <v>654</v>
      </c>
      <c r="G8" s="450" t="s">
        <v>655</v>
      </c>
      <c r="H8" s="450" t="s">
        <v>656</v>
      </c>
      <c r="I8" s="300" t="s">
        <v>657</v>
      </c>
      <c r="J8" s="408"/>
      <c r="K8" s="451" t="s">
        <v>658</v>
      </c>
      <c r="L8" s="243" t="s">
        <v>657</v>
      </c>
      <c r="N8" s="547" t="str">
        <f>'Costo Directo'!L9</f>
        <v>JUN 2025 Q1</v>
      </c>
      <c r="O8" s="547" t="str">
        <f>'Costo Directo'!M9</f>
        <v>JUN 2025 Q2</v>
      </c>
      <c r="P8" s="547" t="str">
        <f>'Costo Directo'!N9</f>
        <v>JUL 2025 Q1</v>
      </c>
      <c r="Q8" s="547" t="str">
        <f>'Costo Directo'!O9</f>
        <v>JUL 2025 Q2</v>
      </c>
      <c r="R8" s="547" t="str">
        <f>'Costo Directo'!P9</f>
        <v>AGO 2025 Q1</v>
      </c>
      <c r="S8" s="547" t="str">
        <f>'Costo Directo'!Q9</f>
        <v>AGO 2025 Q2</v>
      </c>
      <c r="T8" s="547" t="str">
        <f>'Costo Directo'!R9</f>
        <v>SEP 2025 Q1</v>
      </c>
      <c r="U8" s="547" t="str">
        <f>'Costo Directo'!S9</f>
        <v>SEP 2025 Q2</v>
      </c>
      <c r="V8" s="547" t="str">
        <f>'Costo Directo'!T9</f>
        <v>OCT 2025 Q1</v>
      </c>
      <c r="W8" s="547" t="str">
        <f>'Costo Directo'!U9</f>
        <v>OCT 2025 Q2</v>
      </c>
      <c r="X8" s="547" t="str">
        <f>'Costo Directo'!V9</f>
        <v>NOV 2025 Q1</v>
      </c>
      <c r="Y8" s="547" t="str">
        <f>'Costo Directo'!W9</f>
        <v>NOV 2025 Q2</v>
      </c>
      <c r="Z8" s="547" t="str">
        <f>'Costo Directo'!X9</f>
        <v>DIC 2025 Q1</v>
      </c>
      <c r="AA8" s="547" t="str">
        <f>'Costo Directo'!Y9</f>
        <v>DIC 2025 Q2</v>
      </c>
      <c r="AB8" s="547" t="str">
        <f>'Costo Directo'!Z9</f>
        <v>ENE 2026 Q1</v>
      </c>
      <c r="AC8" s="547" t="str">
        <f>'Costo Directo'!AA9</f>
        <v>ENE 2026 Q2</v>
      </c>
      <c r="AD8" s="547" t="str">
        <f>'Costo Directo'!AB9</f>
        <v>FEB 2026 Q1</v>
      </c>
      <c r="AE8" s="547" t="str">
        <f>'Costo Directo'!AC9</f>
        <v>FEB 2026 Q2</v>
      </c>
      <c r="AF8" s="547" t="str">
        <f>'Costo Directo'!AD9</f>
        <v>MAR 2026 Q1</v>
      </c>
      <c r="AG8" s="547" t="str">
        <f>'Costo Directo'!AE9</f>
        <v>MAR 2026 Q2</v>
      </c>
      <c r="AH8" s="547" t="str">
        <f>'Costo Directo'!AF9</f>
        <v>ABR 2026 Q1</v>
      </c>
      <c r="AI8" s="547" t="str">
        <f>'Costo Directo'!AG9</f>
        <v>ABR 2026 Q2</v>
      </c>
      <c r="AJ8" s="547" t="str">
        <f>'Costo Directo'!AH9</f>
        <v>MAY 2026 Q1</v>
      </c>
      <c r="AK8" s="547" t="str">
        <f>'Costo Directo'!AI9</f>
        <v>MAY 2026 Q2</v>
      </c>
      <c r="AL8" s="547" t="str">
        <f>'Costo Directo'!AJ9</f>
        <v>JUN 2026 Q1</v>
      </c>
      <c r="AM8" s="547" t="str">
        <f>'Costo Directo'!AK9</f>
        <v>JUN 2026 Q2</v>
      </c>
      <c r="AN8" s="472" t="str">
        <f>'Costo Directo'!AL9</f>
        <v>JUL 2026 Q1</v>
      </c>
      <c r="AO8" s="472" t="str">
        <f>'Costo Directo'!AM9</f>
        <v>JUL 2026 Q2</v>
      </c>
      <c r="AP8" s="472" t="str">
        <f>'Costo Directo'!AN9</f>
        <v>AGO 2026 Q1</v>
      </c>
      <c r="AQ8" s="472" t="str">
        <f>'Costo Directo'!AO9</f>
        <v>AGO 2026 Q2</v>
      </c>
      <c r="AR8" s="472" t="str">
        <f>'Costo Directo'!AP9</f>
        <v>SEP 2026 Q1</v>
      </c>
      <c r="AS8" s="472" t="str">
        <f>'Costo Directo'!AQ9</f>
        <v>SEP 2026 Q2</v>
      </c>
      <c r="AT8" s="472" t="str">
        <f>'Costo Directo'!AR9</f>
        <v>OCT 2026 Q1</v>
      </c>
      <c r="AU8" s="472" t="str">
        <f>'Costo Directo'!AS9</f>
        <v>OCT 2026 Q2</v>
      </c>
      <c r="AV8" s="472" t="str">
        <f>'Costo Directo'!AT9</f>
        <v>NOV 2026 Q1</v>
      </c>
      <c r="AW8" s="472" t="str">
        <f>'Costo Directo'!AU9</f>
        <v>NOV 2026 Q2</v>
      </c>
      <c r="AX8" s="472" t="str">
        <f>'Costo Directo'!AV9</f>
        <v>DIC 2026 Q1</v>
      </c>
      <c r="AY8" s="472" t="str">
        <f>'Costo Directo'!AW9</f>
        <v>DIC 2026 Q2</v>
      </c>
      <c r="AZ8" s="472" t="str">
        <f>'Costo Directo'!AX9</f>
        <v>ENE 2027 Q1</v>
      </c>
      <c r="BA8" s="472" t="str">
        <f>'Costo Directo'!AY9</f>
        <v>ENE 2027 Q2</v>
      </c>
      <c r="BB8" s="472" t="str">
        <f>'Costo Directo'!AZ9</f>
        <v>FEB 2027 Q1</v>
      </c>
      <c r="BC8" s="472" t="str">
        <f>'Costo Directo'!BA9</f>
        <v>FEB 2027 Q2</v>
      </c>
      <c r="BD8" s="472" t="str">
        <f>'Costo Directo'!BB9</f>
        <v>MAR 2027 Q1</v>
      </c>
      <c r="BE8" s="472" t="str">
        <f>'Costo Directo'!BC9</f>
        <v>MAR 2027 Q2</v>
      </c>
      <c r="BF8" s="472" t="str">
        <f>'Costo Directo'!BD9</f>
        <v>ABR 2027 Q1</v>
      </c>
      <c r="BG8" s="472" t="str">
        <f>'Costo Directo'!BE9</f>
        <v>ABR 2027 Q2</v>
      </c>
      <c r="BH8" s="472" t="str">
        <f>'Costo Directo'!BF9</f>
        <v>MAY 2027 Q1</v>
      </c>
      <c r="BI8" s="472" t="str">
        <f>'Costo Directo'!BG9</f>
        <v>MAY 2027 Q2</v>
      </c>
      <c r="BJ8" s="545"/>
      <c r="BK8" s="175" t="s">
        <v>467</v>
      </c>
      <c r="BL8" s="175" t="s">
        <v>468</v>
      </c>
      <c r="BN8" s="473" t="str">
        <f>'Costo Directo'!L9</f>
        <v>JUN 2025 Q1</v>
      </c>
      <c r="BO8" s="473" t="str">
        <f>'Costo Directo'!M9</f>
        <v>JUN 2025 Q2</v>
      </c>
      <c r="BP8" s="473" t="str">
        <f>'Costo Directo'!N9</f>
        <v>JUL 2025 Q1</v>
      </c>
      <c r="BQ8" s="473" t="str">
        <f>'Costo Directo'!O9</f>
        <v>JUL 2025 Q2</v>
      </c>
      <c r="BR8" s="473" t="str">
        <f>'Costo Directo'!P9</f>
        <v>AGO 2025 Q1</v>
      </c>
      <c r="BS8" s="473" t="str">
        <f>'Costo Directo'!Q9</f>
        <v>AGO 2025 Q2</v>
      </c>
      <c r="BT8" s="473" t="str">
        <f>'Costo Directo'!R9</f>
        <v>SEP 2025 Q1</v>
      </c>
      <c r="BU8" s="473" t="str">
        <f>'Costo Directo'!S9</f>
        <v>SEP 2025 Q2</v>
      </c>
      <c r="BV8" s="473" t="str">
        <f>'Costo Directo'!T9</f>
        <v>OCT 2025 Q1</v>
      </c>
      <c r="BW8" s="473" t="str">
        <f>'Costo Directo'!U9</f>
        <v>OCT 2025 Q2</v>
      </c>
      <c r="BX8" s="473" t="str">
        <f>'Costo Directo'!V9</f>
        <v>NOV 2025 Q1</v>
      </c>
      <c r="BY8" s="473" t="str">
        <f>'Costo Directo'!W9</f>
        <v>NOV 2025 Q2</v>
      </c>
      <c r="BZ8" s="473" t="str">
        <f>'Costo Directo'!X9</f>
        <v>DIC 2025 Q1</v>
      </c>
      <c r="CA8" s="473" t="str">
        <f>'Costo Directo'!Y9</f>
        <v>DIC 2025 Q2</v>
      </c>
      <c r="CB8" s="473" t="str">
        <f>'Costo Directo'!Z9</f>
        <v>ENE 2026 Q1</v>
      </c>
      <c r="CC8" s="473" t="str">
        <f>'Costo Directo'!AA9</f>
        <v>ENE 2026 Q2</v>
      </c>
      <c r="CD8" s="473" t="str">
        <f>'Costo Directo'!AB9</f>
        <v>FEB 2026 Q1</v>
      </c>
      <c r="CE8" s="473" t="str">
        <f>'Costo Directo'!AC9</f>
        <v>FEB 2026 Q2</v>
      </c>
      <c r="CF8" s="473" t="str">
        <f>'Costo Directo'!AD9</f>
        <v>MAR 2026 Q1</v>
      </c>
      <c r="CG8" s="473" t="str">
        <f>'Costo Directo'!AE9</f>
        <v>MAR 2026 Q2</v>
      </c>
      <c r="CH8" s="473" t="str">
        <f>'Costo Directo'!AF9</f>
        <v>ABR 2026 Q1</v>
      </c>
      <c r="CI8" s="473" t="str">
        <f>'Costo Directo'!AG9</f>
        <v>ABR 2026 Q2</v>
      </c>
      <c r="CJ8" s="473" t="str">
        <f>'Costo Directo'!AH9</f>
        <v>MAY 2026 Q1</v>
      </c>
      <c r="CK8" s="473" t="str">
        <f>'Costo Directo'!AI9</f>
        <v>MAY 2026 Q2</v>
      </c>
      <c r="CL8" s="473" t="str">
        <f>'Costo Directo'!AJ9</f>
        <v>JUN 2026 Q1</v>
      </c>
      <c r="CM8" s="473" t="str">
        <f>'Costo Directo'!AK9</f>
        <v>JUN 2026 Q2</v>
      </c>
      <c r="CN8" s="473" t="str">
        <f>'Costo Directo'!AL9</f>
        <v>JUL 2026 Q1</v>
      </c>
      <c r="CO8" s="473" t="str">
        <f>'Costo Directo'!AM9</f>
        <v>JUL 2026 Q2</v>
      </c>
      <c r="CP8" s="473" t="str">
        <f>'Costo Directo'!AN9</f>
        <v>AGO 2026 Q1</v>
      </c>
      <c r="CQ8" s="473" t="str">
        <f>'Costo Directo'!AO9</f>
        <v>AGO 2026 Q2</v>
      </c>
      <c r="CR8" s="473" t="str">
        <f>'Costo Directo'!AP9</f>
        <v>SEP 2026 Q1</v>
      </c>
      <c r="CS8" s="473" t="str">
        <f>'Costo Directo'!AQ9</f>
        <v>SEP 2026 Q2</v>
      </c>
      <c r="CT8" s="473" t="str">
        <f>'Costo Directo'!AR9</f>
        <v>OCT 2026 Q1</v>
      </c>
      <c r="CU8" s="473" t="str">
        <f>'Costo Directo'!AS9</f>
        <v>OCT 2026 Q2</v>
      </c>
      <c r="CV8" s="473" t="str">
        <f>'Costo Directo'!AT9</f>
        <v>NOV 2026 Q1</v>
      </c>
      <c r="CW8" s="473" t="str">
        <f>'Costo Directo'!AU9</f>
        <v>NOV 2026 Q2</v>
      </c>
      <c r="CX8" s="473" t="str">
        <f>'Costo Directo'!AV9</f>
        <v>DIC 2026 Q1</v>
      </c>
      <c r="CY8" s="473" t="str">
        <f>'Costo Directo'!AW9</f>
        <v>DIC 2026 Q2</v>
      </c>
      <c r="CZ8" s="473" t="str">
        <f>'Costo Directo'!AX9</f>
        <v>ENE 2027 Q1</v>
      </c>
      <c r="DA8" s="473" t="str">
        <f>'Costo Directo'!AY9</f>
        <v>ENE 2027 Q2</v>
      </c>
      <c r="DB8" s="473" t="str">
        <f>'Costo Directo'!AZ9</f>
        <v>FEB 2027 Q1</v>
      </c>
      <c r="DC8" s="473" t="str">
        <f>'Costo Directo'!BA9</f>
        <v>FEB 2027 Q2</v>
      </c>
      <c r="DD8" s="473" t="str">
        <f>'Costo Directo'!BB9</f>
        <v>MAR 2027 Q1</v>
      </c>
      <c r="DE8" s="473" t="str">
        <f>'Costo Directo'!BC9</f>
        <v>MAR 2027 Q2</v>
      </c>
      <c r="DF8" s="473" t="str">
        <f>'Costo Directo'!BD9</f>
        <v>ABR 2027 Q1</v>
      </c>
      <c r="DG8" s="473" t="str">
        <f>'Costo Directo'!BE9</f>
        <v>ABR 2027 Q2</v>
      </c>
      <c r="DH8" s="473" t="str">
        <f>'Costo Directo'!BF9</f>
        <v>MAY 2027 Q1</v>
      </c>
      <c r="DI8" s="473" t="str">
        <f>'Costo Directo'!BG9</f>
        <v>MAY 2027 Q2</v>
      </c>
    </row>
    <row r="9" spans="1:113" s="220" customFormat="1" ht="40.5" customHeight="1" x14ac:dyDescent="0.3">
      <c r="A9" s="455" t="s">
        <v>516</v>
      </c>
      <c r="B9" s="456"/>
      <c r="C9" s="578"/>
      <c r="D9" s="578"/>
      <c r="E9" s="579" t="str">
        <f>'Resumen Ejecutivo'!D2</f>
        <v>CONSTRUCCIÓN DE 50 PILAS DE CONCRETO ARMADO PARA PMI'S EN EL ESTADO DE TAMAULIPAS (TAMPICO Y MANTE)</v>
      </c>
      <c r="F9" s="580"/>
      <c r="G9" s="580"/>
      <c r="H9" s="577"/>
      <c r="I9" s="577">
        <f>SUM(I10,I143,I254,I366)</f>
        <v>7818391.4547497248</v>
      </c>
      <c r="J9" s="581"/>
      <c r="K9" s="577"/>
      <c r="L9" s="577">
        <f>SUM(L10,L143,L254,L366)</f>
        <v>2147113.4550000001</v>
      </c>
      <c r="M9" s="582"/>
      <c r="N9" s="577">
        <f t="shared" ref="N9:AM9" si="0">SUM(N10,N143,N254,N366)</f>
        <v>42321.076000000001</v>
      </c>
      <c r="O9" s="577">
        <f t="shared" si="0"/>
        <v>143818.38</v>
      </c>
      <c r="P9" s="577">
        <f t="shared" si="0"/>
        <v>158928.23359999998</v>
      </c>
      <c r="Q9" s="577">
        <f t="shared" si="0"/>
        <v>150138.38</v>
      </c>
      <c r="R9" s="577">
        <f t="shared" si="0"/>
        <v>150138.38</v>
      </c>
      <c r="S9" s="577">
        <f t="shared" si="0"/>
        <v>10653.69</v>
      </c>
      <c r="T9" s="577">
        <f t="shared" si="0"/>
        <v>0</v>
      </c>
      <c r="U9" s="577">
        <f t="shared" si="0"/>
        <v>527889.19999999995</v>
      </c>
      <c r="V9" s="577">
        <f t="shared" si="0"/>
        <v>150138.37999999998</v>
      </c>
      <c r="W9" s="577">
        <f t="shared" si="0"/>
        <v>146587.15</v>
      </c>
      <c r="X9" s="577">
        <f t="shared" si="0"/>
        <v>135897.17799999999</v>
      </c>
      <c r="Y9" s="577">
        <f t="shared" si="0"/>
        <v>30027.004000000001</v>
      </c>
      <c r="Z9" s="577">
        <f t="shared" si="0"/>
        <v>0</v>
      </c>
      <c r="AA9" s="577">
        <f t="shared" si="0"/>
        <v>4528.1063999999997</v>
      </c>
      <c r="AB9" s="577">
        <f t="shared" si="0"/>
        <v>115004.1</v>
      </c>
      <c r="AC9" s="577">
        <f t="shared" si="0"/>
        <v>121324.1</v>
      </c>
      <c r="AD9" s="577">
        <f t="shared" si="0"/>
        <v>121324.1</v>
      </c>
      <c r="AE9" s="577">
        <f t="shared" si="0"/>
        <v>106639.754</v>
      </c>
      <c r="AF9" s="577">
        <f t="shared" si="0"/>
        <v>31756.242999999999</v>
      </c>
      <c r="AG9" s="577">
        <f t="shared" si="0"/>
        <v>0</v>
      </c>
      <c r="AH9" s="577">
        <f t="shared" si="0"/>
        <v>0</v>
      </c>
      <c r="AI9" s="577">
        <f t="shared" si="0"/>
        <v>0</v>
      </c>
      <c r="AJ9" s="577">
        <f t="shared" si="0"/>
        <v>0</v>
      </c>
      <c r="AK9" s="577">
        <f t="shared" si="0"/>
        <v>0</v>
      </c>
      <c r="AL9" s="577">
        <f t="shared" si="0"/>
        <v>0</v>
      </c>
      <c r="AM9" s="577">
        <f t="shared" si="0"/>
        <v>0</v>
      </c>
      <c r="AN9" s="577">
        <f t="shared" ref="AN9:BI9" si="1">SUM(AN10,AN143,AN254)</f>
        <v>0</v>
      </c>
      <c r="AO9" s="577">
        <f t="shared" si="1"/>
        <v>0</v>
      </c>
      <c r="AP9" s="577">
        <f t="shared" si="1"/>
        <v>0</v>
      </c>
      <c r="AQ9" s="577">
        <f t="shared" si="1"/>
        <v>0</v>
      </c>
      <c r="AR9" s="577">
        <f t="shared" si="1"/>
        <v>0</v>
      </c>
      <c r="AS9" s="577">
        <f t="shared" si="1"/>
        <v>0</v>
      </c>
      <c r="AT9" s="577">
        <f t="shared" si="1"/>
        <v>0</v>
      </c>
      <c r="AU9" s="577">
        <f t="shared" si="1"/>
        <v>0</v>
      </c>
      <c r="AV9" s="577">
        <f t="shared" si="1"/>
        <v>0</v>
      </c>
      <c r="AW9" s="577">
        <f t="shared" si="1"/>
        <v>0</v>
      </c>
      <c r="AX9" s="577">
        <f t="shared" si="1"/>
        <v>0</v>
      </c>
      <c r="AY9" s="577">
        <f t="shared" si="1"/>
        <v>0</v>
      </c>
      <c r="AZ9" s="577">
        <f t="shared" si="1"/>
        <v>0</v>
      </c>
      <c r="BA9" s="577">
        <f t="shared" si="1"/>
        <v>0</v>
      </c>
      <c r="BB9" s="577">
        <f t="shared" si="1"/>
        <v>0</v>
      </c>
      <c r="BC9" s="577">
        <f t="shared" si="1"/>
        <v>0</v>
      </c>
      <c r="BD9" s="577">
        <f t="shared" si="1"/>
        <v>0</v>
      </c>
      <c r="BE9" s="577">
        <f t="shared" si="1"/>
        <v>0</v>
      </c>
      <c r="BF9" s="577">
        <f t="shared" si="1"/>
        <v>0</v>
      </c>
      <c r="BG9" s="577">
        <f t="shared" si="1"/>
        <v>0</v>
      </c>
      <c r="BH9" s="577">
        <f t="shared" si="1"/>
        <v>0</v>
      </c>
      <c r="BI9" s="583">
        <f t="shared" si="1"/>
        <v>0</v>
      </c>
      <c r="BJ9" s="584"/>
      <c r="BK9" s="585">
        <f>IFERROR(BL9/I9,0)</f>
        <v>0.72604949046794853</v>
      </c>
      <c r="BL9" s="577">
        <f>SUM(BL10,BL143,BL254,BL366)</f>
        <v>5676539.1320000002</v>
      </c>
      <c r="BM9" s="582"/>
      <c r="BN9" s="577">
        <f t="shared" ref="BN9:DI9" si="2">SUM(BN10,BN143,BN254,BN366)</f>
        <v>0</v>
      </c>
      <c r="BO9" s="577">
        <f t="shared" si="2"/>
        <v>0</v>
      </c>
      <c r="BP9" s="577">
        <f t="shared" si="2"/>
        <v>0</v>
      </c>
      <c r="BQ9" s="577">
        <f t="shared" si="2"/>
        <v>0</v>
      </c>
      <c r="BR9" s="577">
        <f t="shared" si="2"/>
        <v>1386220.9787999999</v>
      </c>
      <c r="BS9" s="577">
        <f t="shared" si="2"/>
        <v>383141.65619999997</v>
      </c>
      <c r="BT9" s="577">
        <f t="shared" si="2"/>
        <v>0</v>
      </c>
      <c r="BU9" s="577">
        <f t="shared" si="2"/>
        <v>361534.71</v>
      </c>
      <c r="BV9" s="577">
        <f t="shared" si="2"/>
        <v>909837.97560000012</v>
      </c>
      <c r="BW9" s="577">
        <f t="shared" si="2"/>
        <v>321572.51</v>
      </c>
      <c r="BX9" s="577">
        <f t="shared" si="2"/>
        <v>1434241.7963999999</v>
      </c>
      <c r="BY9" s="577">
        <f t="shared" si="2"/>
        <v>0</v>
      </c>
      <c r="BZ9" s="577">
        <f t="shared" si="2"/>
        <v>709246.43399999989</v>
      </c>
      <c r="CA9" s="577">
        <f t="shared" si="2"/>
        <v>0</v>
      </c>
      <c r="CB9" s="577">
        <f t="shared" si="2"/>
        <v>0</v>
      </c>
      <c r="CC9" s="577">
        <f t="shared" si="2"/>
        <v>0</v>
      </c>
      <c r="CD9" s="577">
        <f t="shared" si="2"/>
        <v>0</v>
      </c>
      <c r="CE9" s="577">
        <f t="shared" si="2"/>
        <v>0</v>
      </c>
      <c r="CF9" s="577">
        <f t="shared" si="2"/>
        <v>0</v>
      </c>
      <c r="CG9" s="577">
        <f t="shared" si="2"/>
        <v>0</v>
      </c>
      <c r="CH9" s="577">
        <f t="shared" si="2"/>
        <v>0</v>
      </c>
      <c r="CI9" s="577">
        <f t="shared" si="2"/>
        <v>0</v>
      </c>
      <c r="CJ9" s="577">
        <f t="shared" si="2"/>
        <v>0</v>
      </c>
      <c r="CK9" s="577">
        <f t="shared" si="2"/>
        <v>0</v>
      </c>
      <c r="CL9" s="577">
        <f t="shared" si="2"/>
        <v>0</v>
      </c>
      <c r="CM9" s="577">
        <f t="shared" si="2"/>
        <v>0</v>
      </c>
      <c r="CN9" s="577">
        <f t="shared" si="2"/>
        <v>0</v>
      </c>
      <c r="CO9" s="577">
        <f t="shared" si="2"/>
        <v>0</v>
      </c>
      <c r="CP9" s="577">
        <f t="shared" si="2"/>
        <v>0</v>
      </c>
      <c r="CQ9" s="577">
        <f t="shared" si="2"/>
        <v>0</v>
      </c>
      <c r="CR9" s="577">
        <f t="shared" si="2"/>
        <v>0</v>
      </c>
      <c r="CS9" s="577">
        <f t="shared" si="2"/>
        <v>0</v>
      </c>
      <c r="CT9" s="577">
        <f t="shared" si="2"/>
        <v>0</v>
      </c>
      <c r="CU9" s="577">
        <f t="shared" si="2"/>
        <v>0</v>
      </c>
      <c r="CV9" s="577">
        <f t="shared" si="2"/>
        <v>0</v>
      </c>
      <c r="CW9" s="577">
        <f t="shared" si="2"/>
        <v>0</v>
      </c>
      <c r="CX9" s="577">
        <f t="shared" si="2"/>
        <v>0</v>
      </c>
      <c r="CY9" s="577">
        <f t="shared" si="2"/>
        <v>0</v>
      </c>
      <c r="CZ9" s="577">
        <f t="shared" si="2"/>
        <v>0</v>
      </c>
      <c r="DA9" s="577">
        <f t="shared" si="2"/>
        <v>0</v>
      </c>
      <c r="DB9" s="577">
        <f t="shared" si="2"/>
        <v>0</v>
      </c>
      <c r="DC9" s="577">
        <f t="shared" si="2"/>
        <v>0</v>
      </c>
      <c r="DD9" s="577">
        <f t="shared" si="2"/>
        <v>0</v>
      </c>
      <c r="DE9" s="577">
        <f t="shared" si="2"/>
        <v>0</v>
      </c>
      <c r="DF9" s="577">
        <f t="shared" si="2"/>
        <v>0</v>
      </c>
      <c r="DG9" s="577">
        <f t="shared" si="2"/>
        <v>0</v>
      </c>
      <c r="DH9" s="577">
        <f t="shared" si="2"/>
        <v>0</v>
      </c>
      <c r="DI9" s="577">
        <f t="shared" si="2"/>
        <v>0</v>
      </c>
    </row>
    <row r="10" spans="1:113" ht="16.05" customHeight="1" x14ac:dyDescent="0.3">
      <c r="A10" s="455" t="str">
        <f>IF(COUNTIF(A11:A142,"Imprimir")&gt;0,"Imprimir","")</f>
        <v>Imprimir</v>
      </c>
      <c r="B10" s="455"/>
      <c r="C10" s="457" t="s">
        <v>659</v>
      </c>
      <c r="D10" s="457"/>
      <c r="E10" s="458" t="s">
        <v>660</v>
      </c>
      <c r="F10" s="458"/>
      <c r="G10" s="458"/>
      <c r="H10" s="467"/>
      <c r="I10" s="467">
        <f>SUBTOTAL(9,I11:I142)</f>
        <v>6371392.1377999997</v>
      </c>
      <c r="J10" s="259"/>
      <c r="K10" s="467"/>
      <c r="L10" s="467">
        <f>SUBTOTAL(9,L11:L142)</f>
        <v>1769362.635</v>
      </c>
      <c r="M10" s="245"/>
      <c r="N10" s="467">
        <f>SUBTOTAL(9,N11,N33,N55,N77,N121)</f>
        <v>42321.076000000001</v>
      </c>
      <c r="O10" s="467">
        <f t="shared" ref="O10:BI10" si="3">SUBTOTAL(9,O11,O33,O55,O77,O121)</f>
        <v>143818.38</v>
      </c>
      <c r="P10" s="467">
        <f t="shared" si="3"/>
        <v>158928.23359999998</v>
      </c>
      <c r="Q10" s="467">
        <f t="shared" si="3"/>
        <v>150138.38</v>
      </c>
      <c r="R10" s="467">
        <f t="shared" si="3"/>
        <v>150138.38</v>
      </c>
      <c r="S10" s="467">
        <f t="shared" si="3"/>
        <v>10653.69</v>
      </c>
      <c r="T10" s="467">
        <f t="shared" si="3"/>
        <v>0</v>
      </c>
      <c r="U10" s="467">
        <f t="shared" si="3"/>
        <v>150138.37999999998</v>
      </c>
      <c r="V10" s="467">
        <f t="shared" si="3"/>
        <v>150138.37999999998</v>
      </c>
      <c r="W10" s="467">
        <f t="shared" si="3"/>
        <v>146587.15</v>
      </c>
      <c r="X10" s="467">
        <f t="shared" si="3"/>
        <v>135897.17799999999</v>
      </c>
      <c r="Y10" s="467">
        <f t="shared" si="3"/>
        <v>30027.004000000001</v>
      </c>
      <c r="Z10" s="467">
        <f t="shared" si="3"/>
        <v>0</v>
      </c>
      <c r="AA10" s="467">
        <f t="shared" si="3"/>
        <v>4528.1063999999997</v>
      </c>
      <c r="AB10" s="467">
        <f t="shared" si="3"/>
        <v>115004.1</v>
      </c>
      <c r="AC10" s="467">
        <f t="shared" si="3"/>
        <v>121324.1</v>
      </c>
      <c r="AD10" s="467">
        <f t="shared" si="3"/>
        <v>121324.1</v>
      </c>
      <c r="AE10" s="467">
        <f t="shared" si="3"/>
        <v>106639.754</v>
      </c>
      <c r="AF10" s="467">
        <f t="shared" si="3"/>
        <v>31756.242999999999</v>
      </c>
      <c r="AG10" s="467">
        <f t="shared" si="3"/>
        <v>0</v>
      </c>
      <c r="AH10" s="467">
        <f t="shared" si="3"/>
        <v>0</v>
      </c>
      <c r="AI10" s="467">
        <f t="shared" si="3"/>
        <v>0</v>
      </c>
      <c r="AJ10" s="467">
        <f t="shared" si="3"/>
        <v>0</v>
      </c>
      <c r="AK10" s="467">
        <f t="shared" si="3"/>
        <v>0</v>
      </c>
      <c r="AL10" s="467">
        <f t="shared" si="3"/>
        <v>0</v>
      </c>
      <c r="AM10" s="467">
        <f t="shared" si="3"/>
        <v>0</v>
      </c>
      <c r="AN10" s="467">
        <f t="shared" si="3"/>
        <v>0</v>
      </c>
      <c r="AO10" s="467">
        <f t="shared" si="3"/>
        <v>0</v>
      </c>
      <c r="AP10" s="467">
        <f t="shared" si="3"/>
        <v>0</v>
      </c>
      <c r="AQ10" s="467">
        <f t="shared" si="3"/>
        <v>0</v>
      </c>
      <c r="AR10" s="467">
        <f t="shared" si="3"/>
        <v>0</v>
      </c>
      <c r="AS10" s="467">
        <f t="shared" si="3"/>
        <v>0</v>
      </c>
      <c r="AT10" s="467">
        <f t="shared" si="3"/>
        <v>0</v>
      </c>
      <c r="AU10" s="467">
        <f t="shared" si="3"/>
        <v>0</v>
      </c>
      <c r="AV10" s="467">
        <f t="shared" si="3"/>
        <v>0</v>
      </c>
      <c r="AW10" s="467">
        <f t="shared" si="3"/>
        <v>0</v>
      </c>
      <c r="AX10" s="467">
        <f t="shared" si="3"/>
        <v>0</v>
      </c>
      <c r="AY10" s="467">
        <f t="shared" si="3"/>
        <v>0</v>
      </c>
      <c r="AZ10" s="467">
        <f t="shared" si="3"/>
        <v>0</v>
      </c>
      <c r="BA10" s="467">
        <f t="shared" si="3"/>
        <v>0</v>
      </c>
      <c r="BB10" s="467">
        <f t="shared" si="3"/>
        <v>0</v>
      </c>
      <c r="BC10" s="467">
        <f t="shared" si="3"/>
        <v>0</v>
      </c>
      <c r="BD10" s="467">
        <f t="shared" si="3"/>
        <v>0</v>
      </c>
      <c r="BE10" s="467">
        <f t="shared" si="3"/>
        <v>0</v>
      </c>
      <c r="BF10" s="467">
        <f t="shared" si="3"/>
        <v>0</v>
      </c>
      <c r="BG10" s="467">
        <f t="shared" si="3"/>
        <v>0</v>
      </c>
      <c r="BH10" s="467">
        <f t="shared" si="3"/>
        <v>0</v>
      </c>
      <c r="BI10" s="542">
        <f t="shared" si="3"/>
        <v>0</v>
      </c>
      <c r="BJ10" s="546"/>
      <c r="BK10" s="476">
        <f t="shared" ref="BK10:BK11" si="4">IFERROR(BL10/I10,0)</f>
        <v>0.73740069523052187</v>
      </c>
      <c r="BL10" s="467">
        <f>SUBTOTAL(9,BL11:BL142)</f>
        <v>4698268.9920000006</v>
      </c>
      <c r="BM10" s="245"/>
      <c r="BN10" s="467">
        <f>SUBTOTAL(9,BN11,BN33,BN55,BN77,BN121)</f>
        <v>0</v>
      </c>
      <c r="BO10" s="467">
        <f t="shared" ref="BO10:DI10" si="5">SUBTOTAL(9,BO11,BO33,BO55,BO77,BO121)</f>
        <v>0</v>
      </c>
      <c r="BP10" s="467">
        <f t="shared" si="5"/>
        <v>0</v>
      </c>
      <c r="BQ10" s="467">
        <f t="shared" si="5"/>
        <v>0</v>
      </c>
      <c r="BR10" s="467">
        <f t="shared" si="5"/>
        <v>1386220.9787999999</v>
      </c>
      <c r="BS10" s="467">
        <f t="shared" si="5"/>
        <v>383141.65619999997</v>
      </c>
      <c r="BT10" s="467">
        <f t="shared" si="5"/>
        <v>0</v>
      </c>
      <c r="BU10" s="467">
        <f t="shared" si="5"/>
        <v>0</v>
      </c>
      <c r="BV10" s="467">
        <f t="shared" si="5"/>
        <v>614675.05560000008</v>
      </c>
      <c r="BW10" s="467">
        <f t="shared" si="5"/>
        <v>0</v>
      </c>
      <c r="BX10" s="467">
        <f t="shared" si="5"/>
        <v>1434241.7963999999</v>
      </c>
      <c r="BY10" s="467">
        <f t="shared" si="5"/>
        <v>0</v>
      </c>
      <c r="BZ10" s="467">
        <f t="shared" si="5"/>
        <v>709246.43399999989</v>
      </c>
      <c r="CA10" s="467">
        <f t="shared" si="5"/>
        <v>0</v>
      </c>
      <c r="CB10" s="467">
        <f t="shared" si="5"/>
        <v>0</v>
      </c>
      <c r="CC10" s="467">
        <f t="shared" si="5"/>
        <v>0</v>
      </c>
      <c r="CD10" s="467">
        <f t="shared" si="5"/>
        <v>0</v>
      </c>
      <c r="CE10" s="467">
        <f t="shared" si="5"/>
        <v>0</v>
      </c>
      <c r="CF10" s="467">
        <f t="shared" si="5"/>
        <v>0</v>
      </c>
      <c r="CG10" s="467">
        <f t="shared" si="5"/>
        <v>0</v>
      </c>
      <c r="CH10" s="467">
        <f t="shared" si="5"/>
        <v>0</v>
      </c>
      <c r="CI10" s="467">
        <f t="shared" si="5"/>
        <v>0</v>
      </c>
      <c r="CJ10" s="467">
        <f t="shared" si="5"/>
        <v>0</v>
      </c>
      <c r="CK10" s="467">
        <f t="shared" si="5"/>
        <v>0</v>
      </c>
      <c r="CL10" s="467">
        <f t="shared" si="5"/>
        <v>0</v>
      </c>
      <c r="CM10" s="467">
        <f t="shared" si="5"/>
        <v>0</v>
      </c>
      <c r="CN10" s="467">
        <f t="shared" si="5"/>
        <v>0</v>
      </c>
      <c r="CO10" s="467">
        <f t="shared" si="5"/>
        <v>0</v>
      </c>
      <c r="CP10" s="467">
        <f t="shared" si="5"/>
        <v>0</v>
      </c>
      <c r="CQ10" s="467">
        <f t="shared" si="5"/>
        <v>0</v>
      </c>
      <c r="CR10" s="467">
        <f t="shared" si="5"/>
        <v>0</v>
      </c>
      <c r="CS10" s="467">
        <f t="shared" si="5"/>
        <v>0</v>
      </c>
      <c r="CT10" s="467">
        <f t="shared" si="5"/>
        <v>0</v>
      </c>
      <c r="CU10" s="467">
        <f t="shared" si="5"/>
        <v>0</v>
      </c>
      <c r="CV10" s="467">
        <f t="shared" si="5"/>
        <v>0</v>
      </c>
      <c r="CW10" s="467">
        <f t="shared" si="5"/>
        <v>0</v>
      </c>
      <c r="CX10" s="467">
        <f t="shared" si="5"/>
        <v>0</v>
      </c>
      <c r="CY10" s="467">
        <f t="shared" si="5"/>
        <v>0</v>
      </c>
      <c r="CZ10" s="467">
        <f t="shared" si="5"/>
        <v>0</v>
      </c>
      <c r="DA10" s="467">
        <f t="shared" si="5"/>
        <v>0</v>
      </c>
      <c r="DB10" s="467">
        <f t="shared" si="5"/>
        <v>0</v>
      </c>
      <c r="DC10" s="467">
        <f t="shared" si="5"/>
        <v>0</v>
      </c>
      <c r="DD10" s="467">
        <f t="shared" si="5"/>
        <v>0</v>
      </c>
      <c r="DE10" s="467">
        <f t="shared" si="5"/>
        <v>0</v>
      </c>
      <c r="DF10" s="467">
        <f t="shared" si="5"/>
        <v>0</v>
      </c>
      <c r="DG10" s="467">
        <f t="shared" si="5"/>
        <v>0</v>
      </c>
      <c r="DH10" s="467">
        <f t="shared" si="5"/>
        <v>0</v>
      </c>
      <c r="DI10" s="467">
        <f t="shared" si="5"/>
        <v>0</v>
      </c>
    </row>
    <row r="11" spans="1:113" ht="16.05" customHeight="1" x14ac:dyDescent="0.3">
      <c r="A11" s="455" t="str">
        <f>IF(COUNTIF(A12:A31,"Imprimir")&gt;0,"Imprimir","")</f>
        <v>Imprimir</v>
      </c>
      <c r="B11" s="455"/>
      <c r="C11" s="459"/>
      <c r="D11" s="459"/>
      <c r="E11" s="460" t="s">
        <v>4317</v>
      </c>
      <c r="F11" s="460"/>
      <c r="G11" s="460"/>
      <c r="H11" s="465"/>
      <c r="I11" s="465">
        <f>SUBTOTAL(9,I12:I32)</f>
        <v>580526.44140000001</v>
      </c>
      <c r="J11" s="259"/>
      <c r="K11" s="465"/>
      <c r="L11" s="465">
        <f>SUBTOTAL(9,L12:L32)</f>
        <v>580526.44140000001</v>
      </c>
      <c r="M11" s="257"/>
      <c r="N11" s="465">
        <f>SUMPRODUCT(N12:N32,$H12:$H32)</f>
        <v>0</v>
      </c>
      <c r="O11" s="465">
        <f>SUMPRODUCT(O12:O32,$H12:$H32)</f>
        <v>0</v>
      </c>
      <c r="P11" s="465">
        <f>SUMPRODUCT(P12:P32,$H12:$H32)</f>
        <v>0</v>
      </c>
      <c r="Q11" s="465">
        <f>SUMPRODUCT(Q12:Q32,$H12:$H32)</f>
        <v>0</v>
      </c>
      <c r="R11" s="465">
        <f t="shared" ref="R11:AJ11" si="6">SUMPRODUCT(R12:R32,$H12:$H32)</f>
        <v>0</v>
      </c>
      <c r="S11" s="465">
        <f>SUMPRODUCT(S12:S32,$H12:$H32)</f>
        <v>0</v>
      </c>
      <c r="T11" s="465">
        <f t="shared" si="6"/>
        <v>0</v>
      </c>
      <c r="U11" s="465">
        <f t="shared" si="6"/>
        <v>21307.38</v>
      </c>
      <c r="V11" s="465">
        <f t="shared" si="6"/>
        <v>21307.38</v>
      </c>
      <c r="W11" s="465">
        <f t="shared" si="6"/>
        <v>17756.150000000001</v>
      </c>
      <c r="X11" s="465">
        <f t="shared" si="6"/>
        <v>0</v>
      </c>
      <c r="Y11" s="465">
        <f t="shared" si="6"/>
        <v>19579.128000000001</v>
      </c>
      <c r="Z11" s="465">
        <f t="shared" si="6"/>
        <v>0</v>
      </c>
      <c r="AA11" s="465">
        <f t="shared" si="6"/>
        <v>4528.1063999999997</v>
      </c>
      <c r="AB11" s="465">
        <f t="shared" si="6"/>
        <v>115004.1</v>
      </c>
      <c r="AC11" s="465">
        <f t="shared" si="6"/>
        <v>121324.1</v>
      </c>
      <c r="AD11" s="465">
        <f t="shared" si="6"/>
        <v>121324.1</v>
      </c>
      <c r="AE11" s="465">
        <f t="shared" si="6"/>
        <v>106639.754</v>
      </c>
      <c r="AF11" s="465">
        <f t="shared" si="6"/>
        <v>31756.242999999999</v>
      </c>
      <c r="AG11" s="465">
        <f t="shared" si="6"/>
        <v>0</v>
      </c>
      <c r="AH11" s="465">
        <f t="shared" si="6"/>
        <v>0</v>
      </c>
      <c r="AI11" s="465">
        <f t="shared" si="6"/>
        <v>0</v>
      </c>
      <c r="AJ11" s="465">
        <f t="shared" si="6"/>
        <v>0</v>
      </c>
      <c r="AK11" s="465">
        <f t="shared" ref="AK11:BI11" si="7">SUMPRODUCT(AK12:AK32,$H12:$H32)</f>
        <v>0</v>
      </c>
      <c r="AL11" s="465">
        <f t="shared" si="7"/>
        <v>0</v>
      </c>
      <c r="AM11" s="465">
        <f t="shared" si="7"/>
        <v>0</v>
      </c>
      <c r="AN11" s="465">
        <f t="shared" si="7"/>
        <v>0</v>
      </c>
      <c r="AO11" s="465">
        <f t="shared" si="7"/>
        <v>0</v>
      </c>
      <c r="AP11" s="465">
        <f t="shared" si="7"/>
        <v>0</v>
      </c>
      <c r="AQ11" s="465">
        <f t="shared" si="7"/>
        <v>0</v>
      </c>
      <c r="AR11" s="465">
        <f t="shared" si="7"/>
        <v>0</v>
      </c>
      <c r="AS11" s="465">
        <f t="shared" si="7"/>
        <v>0</v>
      </c>
      <c r="AT11" s="465">
        <f t="shared" si="7"/>
        <v>0</v>
      </c>
      <c r="AU11" s="465">
        <f t="shared" si="7"/>
        <v>0</v>
      </c>
      <c r="AV11" s="465">
        <f t="shared" si="7"/>
        <v>0</v>
      </c>
      <c r="AW11" s="465">
        <f t="shared" si="7"/>
        <v>0</v>
      </c>
      <c r="AX11" s="465">
        <f t="shared" si="7"/>
        <v>0</v>
      </c>
      <c r="AY11" s="465">
        <f t="shared" si="7"/>
        <v>0</v>
      </c>
      <c r="AZ11" s="465">
        <f t="shared" si="7"/>
        <v>0</v>
      </c>
      <c r="BA11" s="465">
        <f t="shared" si="7"/>
        <v>0</v>
      </c>
      <c r="BB11" s="465">
        <f t="shared" si="7"/>
        <v>0</v>
      </c>
      <c r="BC11" s="465">
        <f t="shared" si="7"/>
        <v>0</v>
      </c>
      <c r="BD11" s="465">
        <f t="shared" si="7"/>
        <v>0</v>
      </c>
      <c r="BE11" s="465">
        <f t="shared" si="7"/>
        <v>0</v>
      </c>
      <c r="BF11" s="465">
        <f t="shared" si="7"/>
        <v>0</v>
      </c>
      <c r="BG11" s="465">
        <f t="shared" si="7"/>
        <v>0</v>
      </c>
      <c r="BH11" s="465">
        <f t="shared" si="7"/>
        <v>0</v>
      </c>
      <c r="BI11" s="543">
        <f t="shared" si="7"/>
        <v>0</v>
      </c>
      <c r="BJ11" s="546"/>
      <c r="BK11" s="475">
        <f t="shared" si="4"/>
        <v>1</v>
      </c>
      <c r="BL11" s="465">
        <f>SUBTOTAL(9,BL12:BL32)</f>
        <v>580526.44140000001</v>
      </c>
      <c r="BM11" s="257"/>
      <c r="BN11" s="465">
        <f>SUMPRODUCT(BN12:BN32,$H12:$H32)</f>
        <v>0</v>
      </c>
      <c r="BO11" s="465">
        <f>SUMPRODUCT(BO12:BO32,$H12:$H32)</f>
        <v>0</v>
      </c>
      <c r="BP11" s="465">
        <f t="shared" ref="BP11" si="8">SUMPRODUCT(BP12:BP32,$H12:$H32)</f>
        <v>0</v>
      </c>
      <c r="BQ11" s="465">
        <f t="shared" ref="BQ11" si="9">SUMPRODUCT(BQ12:BQ32,$H12:$H32)</f>
        <v>0</v>
      </c>
      <c r="BR11" s="465">
        <f t="shared" ref="BR11" si="10">SUMPRODUCT(BR12:BR32,$H12:$H32)</f>
        <v>341486.14199999999</v>
      </c>
      <c r="BS11" s="465">
        <f t="shared" ref="BS11" si="11">SUMPRODUCT(BS12:BS32,$H12:$H32)</f>
        <v>239040.29939999999</v>
      </c>
      <c r="BT11" s="465">
        <f t="shared" ref="BT11" si="12">SUMPRODUCT(BT12:BT32,$H12:$H32)</f>
        <v>0</v>
      </c>
      <c r="BU11" s="465">
        <f t="shared" ref="BU11" si="13">SUMPRODUCT(BU12:BU32,$H12:$H32)</f>
        <v>0</v>
      </c>
      <c r="BV11" s="465">
        <f t="shared" ref="BV11" si="14">SUMPRODUCT(BV12:BV32,$H12:$H32)</f>
        <v>0</v>
      </c>
      <c r="BW11" s="465">
        <f t="shared" ref="BW11" si="15">SUMPRODUCT(BW12:BW32,$H12:$H32)</f>
        <v>0</v>
      </c>
      <c r="BX11" s="465">
        <f t="shared" ref="BX11" si="16">SUMPRODUCT(BX12:BX32,$H12:$H32)</f>
        <v>0</v>
      </c>
      <c r="BY11" s="465">
        <f t="shared" ref="BY11" si="17">SUMPRODUCT(BY12:BY32,$H12:$H32)</f>
        <v>0</v>
      </c>
      <c r="BZ11" s="465">
        <f t="shared" ref="BZ11" si="18">SUMPRODUCT(BZ12:BZ32,$H12:$H32)</f>
        <v>0</v>
      </c>
      <c r="CA11" s="465">
        <f t="shared" ref="CA11" si="19">SUMPRODUCT(CA12:CA32,$H12:$H32)</f>
        <v>0</v>
      </c>
      <c r="CB11" s="465">
        <f t="shared" ref="CB11" si="20">SUMPRODUCT(CB12:CB32,$H12:$H32)</f>
        <v>0</v>
      </c>
      <c r="CC11" s="465">
        <f t="shared" ref="CC11" si="21">SUMPRODUCT(CC12:CC32,$H12:$H32)</f>
        <v>0</v>
      </c>
      <c r="CD11" s="465">
        <f t="shared" ref="CD11" si="22">SUMPRODUCT(CD12:CD32,$H12:$H32)</f>
        <v>0</v>
      </c>
      <c r="CE11" s="465">
        <f t="shared" ref="CE11" si="23">SUMPRODUCT(CE12:CE32,$H12:$H32)</f>
        <v>0</v>
      </c>
      <c r="CF11" s="465">
        <f t="shared" ref="CF11" si="24">SUMPRODUCT(CF12:CF32,$H12:$H32)</f>
        <v>0</v>
      </c>
      <c r="CG11" s="465">
        <f t="shared" ref="CG11" si="25">SUMPRODUCT(CG12:CG32,$H12:$H32)</f>
        <v>0</v>
      </c>
      <c r="CH11" s="465">
        <f t="shared" ref="CH11" si="26">SUMPRODUCT(CH12:CH32,$H12:$H32)</f>
        <v>0</v>
      </c>
      <c r="CI11" s="465">
        <f t="shared" ref="CI11" si="27">SUMPRODUCT(CI12:CI32,$H12:$H32)</f>
        <v>0</v>
      </c>
      <c r="CJ11" s="465">
        <f t="shared" ref="CJ11" si="28">SUMPRODUCT(CJ12:CJ32,$H12:$H32)</f>
        <v>0</v>
      </c>
      <c r="CK11" s="465">
        <f t="shared" ref="CK11" si="29">SUMPRODUCT(CK12:CK32,$H12:$H32)</f>
        <v>0</v>
      </c>
      <c r="CL11" s="465">
        <f t="shared" ref="CL11" si="30">SUMPRODUCT(CL12:CL32,$H12:$H32)</f>
        <v>0</v>
      </c>
      <c r="CM11" s="465">
        <f t="shared" ref="CM11" si="31">SUMPRODUCT(CM12:CM32,$H12:$H32)</f>
        <v>0</v>
      </c>
      <c r="CN11" s="465">
        <f t="shared" ref="CN11" si="32">SUMPRODUCT(CN12:CN32,$H12:$H32)</f>
        <v>0</v>
      </c>
      <c r="CO11" s="465">
        <f t="shared" ref="CO11" si="33">SUMPRODUCT(CO12:CO32,$H12:$H32)</f>
        <v>0</v>
      </c>
      <c r="CP11" s="465">
        <f t="shared" ref="CP11" si="34">SUMPRODUCT(CP12:CP32,$H12:$H32)</f>
        <v>0</v>
      </c>
      <c r="CQ11" s="465">
        <f t="shared" ref="CQ11" si="35">SUMPRODUCT(CQ12:CQ32,$H12:$H32)</f>
        <v>0</v>
      </c>
      <c r="CR11" s="465">
        <f t="shared" ref="CR11" si="36">SUMPRODUCT(CR12:CR32,$H12:$H32)</f>
        <v>0</v>
      </c>
      <c r="CS11" s="465">
        <f t="shared" ref="CS11" si="37">SUMPRODUCT(CS12:CS32,$H12:$H32)</f>
        <v>0</v>
      </c>
      <c r="CT11" s="465">
        <f t="shared" ref="CT11" si="38">SUMPRODUCT(CT12:CT32,$H12:$H32)</f>
        <v>0</v>
      </c>
      <c r="CU11" s="465">
        <f t="shared" ref="CU11" si="39">SUMPRODUCT(CU12:CU32,$H12:$H32)</f>
        <v>0</v>
      </c>
      <c r="CV11" s="465">
        <f t="shared" ref="CV11" si="40">SUMPRODUCT(CV12:CV32,$H12:$H32)</f>
        <v>0</v>
      </c>
      <c r="CW11" s="465">
        <f t="shared" ref="CW11" si="41">SUMPRODUCT(CW12:CW32,$H12:$H32)</f>
        <v>0</v>
      </c>
      <c r="CX11" s="465">
        <f t="shared" ref="CX11" si="42">SUMPRODUCT(CX12:CX32,$H12:$H32)</f>
        <v>0</v>
      </c>
      <c r="CY11" s="465">
        <f t="shared" ref="CY11" si="43">SUMPRODUCT(CY12:CY32,$H12:$H32)</f>
        <v>0</v>
      </c>
      <c r="CZ11" s="465">
        <f t="shared" ref="CZ11" si="44">SUMPRODUCT(CZ12:CZ32,$H12:$H32)</f>
        <v>0</v>
      </c>
      <c r="DA11" s="465">
        <f t="shared" ref="DA11" si="45">SUMPRODUCT(DA12:DA32,$H12:$H32)</f>
        <v>0</v>
      </c>
      <c r="DB11" s="465">
        <f t="shared" ref="DB11" si="46">SUMPRODUCT(DB12:DB32,$H12:$H32)</f>
        <v>0</v>
      </c>
      <c r="DC11" s="465">
        <f t="shared" ref="DC11" si="47">SUMPRODUCT(DC12:DC32,$H12:$H32)</f>
        <v>0</v>
      </c>
      <c r="DD11" s="465">
        <f t="shared" ref="DD11" si="48">SUMPRODUCT(DD12:DD32,$H12:$H32)</f>
        <v>0</v>
      </c>
      <c r="DE11" s="465">
        <f t="shared" ref="DE11" si="49">SUMPRODUCT(DE12:DE32,$H12:$H32)</f>
        <v>0</v>
      </c>
      <c r="DF11" s="465">
        <f t="shared" ref="DF11" si="50">SUMPRODUCT(DF12:DF32,$H12:$H32)</f>
        <v>0</v>
      </c>
      <c r="DG11" s="465">
        <f t="shared" ref="DG11" si="51">SUMPRODUCT(DG12:DG32,$H12:$H32)</f>
        <v>0</v>
      </c>
      <c r="DH11" s="465">
        <f t="shared" ref="DH11" si="52">SUMPRODUCT(DH12:DH32,$H12:$H32)</f>
        <v>0</v>
      </c>
      <c r="DI11" s="465">
        <f t="shared" ref="DI11" si="53">SUMPRODUCT(DI12:DI32,$H12:$H32)</f>
        <v>0</v>
      </c>
    </row>
    <row r="12" spans="1:113" ht="16.05" customHeight="1" outlineLevel="1" x14ac:dyDescent="0.3">
      <c r="A12" s="455" t="str">
        <f t="shared" ref="A12:A141" si="54">IF(E12="","","Imprimir")</f>
        <v>Imprimir</v>
      </c>
      <c r="B12" s="455"/>
      <c r="C12" s="481"/>
      <c r="D12" s="463" t="s">
        <v>661</v>
      </c>
      <c r="E12" s="482" t="s">
        <v>662</v>
      </c>
      <c r="F12" s="483" t="s">
        <v>663</v>
      </c>
      <c r="G12" s="842">
        <v>17</v>
      </c>
      <c r="H12" s="485">
        <v>3551.23</v>
      </c>
      <c r="I12" s="466">
        <f t="shared" ref="I12:I14" si="55">G12*H12</f>
        <v>60370.91</v>
      </c>
      <c r="J12" s="259"/>
      <c r="K12" s="478">
        <f>SUM(N12:BI12)</f>
        <v>17</v>
      </c>
      <c r="L12" s="466">
        <f>K12*$H12</f>
        <v>60370.91</v>
      </c>
      <c r="M12" s="257"/>
      <c r="N12" s="478"/>
      <c r="O12" s="478"/>
      <c r="P12" s="478"/>
      <c r="Q12" s="478"/>
      <c r="R12" s="478"/>
      <c r="S12" s="478"/>
      <c r="T12" s="478"/>
      <c r="U12" s="478">
        <v>6</v>
      </c>
      <c r="V12" s="478">
        <v>6</v>
      </c>
      <c r="W12" s="478">
        <v>5</v>
      </c>
      <c r="X12" s="478"/>
      <c r="Y12" s="478"/>
      <c r="Z12" s="478"/>
      <c r="AA12" s="478"/>
      <c r="AB12" s="478"/>
      <c r="AC12" s="478"/>
      <c r="AD12" s="478"/>
      <c r="AE12" s="478"/>
      <c r="AF12" s="478"/>
      <c r="AG12" s="478"/>
      <c r="AH12" s="478"/>
      <c r="AI12" s="478"/>
      <c r="AJ12" s="478"/>
      <c r="AK12" s="478"/>
      <c r="AL12" s="478"/>
      <c r="AM12" s="478"/>
      <c r="AN12" s="478"/>
      <c r="AO12" s="478"/>
      <c r="AP12" s="478"/>
      <c r="AQ12" s="478"/>
      <c r="AR12" s="478"/>
      <c r="AS12" s="478"/>
      <c r="AT12" s="478"/>
      <c r="AU12" s="478"/>
      <c r="AV12" s="478"/>
      <c r="AW12" s="478"/>
      <c r="AX12" s="478"/>
      <c r="AY12" s="478"/>
      <c r="AZ12" s="478"/>
      <c r="BA12" s="478"/>
      <c r="BB12" s="478"/>
      <c r="BC12" s="478"/>
      <c r="BD12" s="478"/>
      <c r="BE12" s="478"/>
      <c r="BF12" s="478"/>
      <c r="BG12" s="478"/>
      <c r="BH12" s="478"/>
      <c r="BI12" s="544"/>
      <c r="BJ12" s="546"/>
      <c r="BK12" s="477">
        <f>IFERROR(BL12/I12,0)</f>
        <v>1</v>
      </c>
      <c r="BL12" s="466">
        <f>SUM(BN12:DJ12)*$H12</f>
        <v>60370.91</v>
      </c>
      <c r="BM12" s="257"/>
      <c r="BN12" s="478"/>
      <c r="BO12" s="478"/>
      <c r="BP12" s="478"/>
      <c r="BQ12" s="478"/>
      <c r="BR12" s="478">
        <v>10</v>
      </c>
      <c r="BS12" s="478">
        <v>7</v>
      </c>
      <c r="BT12" s="478"/>
      <c r="BU12" s="478"/>
      <c r="BV12" s="478"/>
      <c r="BW12" s="478"/>
      <c r="BX12" s="478"/>
      <c r="BY12" s="478"/>
      <c r="BZ12" s="478"/>
      <c r="CA12" s="478"/>
      <c r="CB12" s="478"/>
      <c r="CC12" s="478"/>
      <c r="CD12" s="478"/>
      <c r="CE12" s="478"/>
      <c r="CF12" s="478"/>
      <c r="CG12" s="478"/>
      <c r="CH12" s="478"/>
      <c r="CI12" s="478"/>
      <c r="CJ12" s="478"/>
      <c r="CK12" s="478"/>
      <c r="CL12" s="478"/>
      <c r="CM12" s="478"/>
      <c r="CN12" s="478"/>
      <c r="CO12" s="478"/>
      <c r="CP12" s="478"/>
      <c r="CQ12" s="478"/>
      <c r="CR12" s="478"/>
      <c r="CS12" s="478"/>
      <c r="CT12" s="478"/>
      <c r="CU12" s="478"/>
      <c r="CV12" s="478"/>
      <c r="CW12" s="478"/>
      <c r="CX12" s="478"/>
      <c r="CY12" s="478"/>
      <c r="CZ12" s="478"/>
      <c r="DA12" s="478"/>
      <c r="DB12" s="478"/>
      <c r="DC12" s="478"/>
      <c r="DD12" s="478"/>
      <c r="DE12" s="478"/>
      <c r="DF12" s="478"/>
      <c r="DG12" s="478"/>
      <c r="DH12" s="478"/>
      <c r="DI12" s="478"/>
    </row>
    <row r="13" spans="1:113" ht="16.05" customHeight="1" outlineLevel="1" x14ac:dyDescent="0.3">
      <c r="A13" s="455" t="str">
        <f t="shared" si="54"/>
        <v>Imprimir</v>
      </c>
      <c r="B13" s="455"/>
      <c r="C13" s="481"/>
      <c r="D13" s="463" t="s">
        <v>664</v>
      </c>
      <c r="E13" s="482" t="s">
        <v>665</v>
      </c>
      <c r="F13" s="483" t="s">
        <v>666</v>
      </c>
      <c r="G13" s="484">
        <f>8*G12</f>
        <v>136</v>
      </c>
      <c r="H13" s="485">
        <v>102.32</v>
      </c>
      <c r="I13" s="466">
        <f t="shared" si="55"/>
        <v>13915.519999999999</v>
      </c>
      <c r="J13" s="259"/>
      <c r="K13" s="478">
        <f t="shared" ref="K13:K20" si="56">SUM(N13:BI13)</f>
        <v>136</v>
      </c>
      <c r="L13" s="466">
        <f t="shared" ref="L13:L31" si="57">K13*$H13</f>
        <v>13915.519999999999</v>
      </c>
      <c r="M13" s="257"/>
      <c r="N13" s="478"/>
      <c r="O13" s="478"/>
      <c r="P13" s="478"/>
      <c r="Q13" s="478"/>
      <c r="R13" s="478"/>
      <c r="S13" s="478"/>
      <c r="T13" s="478"/>
      <c r="U13" s="478"/>
      <c r="V13" s="478"/>
      <c r="W13" s="478"/>
      <c r="X13" s="478"/>
      <c r="Y13" s="478">
        <v>32</v>
      </c>
      <c r="Z13" s="478"/>
      <c r="AA13" s="478"/>
      <c r="AB13" s="478">
        <v>32</v>
      </c>
      <c r="AC13" s="478">
        <v>32</v>
      </c>
      <c r="AD13" s="478">
        <v>32</v>
      </c>
      <c r="AE13" s="478">
        <v>8</v>
      </c>
      <c r="AF13" s="478"/>
      <c r="AG13" s="478"/>
      <c r="AH13" s="478"/>
      <c r="AI13" s="478"/>
      <c r="AJ13" s="478"/>
      <c r="AK13" s="478"/>
      <c r="AL13" s="478"/>
      <c r="AM13" s="478"/>
      <c r="AN13" s="478"/>
      <c r="AO13" s="478"/>
      <c r="AP13" s="478"/>
      <c r="AQ13" s="478"/>
      <c r="AR13" s="478"/>
      <c r="AS13" s="478"/>
      <c r="AT13" s="478"/>
      <c r="AU13" s="478"/>
      <c r="AV13" s="478"/>
      <c r="AW13" s="478"/>
      <c r="AX13" s="478"/>
      <c r="AY13" s="478"/>
      <c r="AZ13" s="478"/>
      <c r="BA13" s="478"/>
      <c r="BB13" s="478"/>
      <c r="BC13" s="478"/>
      <c r="BD13" s="478"/>
      <c r="BE13" s="478"/>
      <c r="BF13" s="478"/>
      <c r="BG13" s="478"/>
      <c r="BH13" s="478"/>
      <c r="BI13" s="544"/>
      <c r="BJ13" s="546"/>
      <c r="BK13" s="477">
        <f t="shared" ref="BK13:BK20" si="58">IFERROR(BL13/I13,0)</f>
        <v>1</v>
      </c>
      <c r="BL13" s="466">
        <f t="shared" ref="BL13:BL20" si="59">SUM(BN13:DJ13)*$H13</f>
        <v>13915.519999999999</v>
      </c>
      <c r="BM13" s="257"/>
      <c r="BN13" s="478">
        <f t="shared" ref="BN13:DI13" si="60">8*BN12</f>
        <v>0</v>
      </c>
      <c r="BO13" s="478">
        <f t="shared" si="60"/>
        <v>0</v>
      </c>
      <c r="BP13" s="478">
        <f t="shared" si="60"/>
        <v>0</v>
      </c>
      <c r="BQ13" s="478">
        <f t="shared" si="60"/>
        <v>0</v>
      </c>
      <c r="BR13" s="478">
        <f t="shared" si="60"/>
        <v>80</v>
      </c>
      <c r="BS13" s="478">
        <f t="shared" si="60"/>
        <v>56</v>
      </c>
      <c r="BT13" s="478">
        <f t="shared" si="60"/>
        <v>0</v>
      </c>
      <c r="BU13" s="478">
        <f t="shared" si="60"/>
        <v>0</v>
      </c>
      <c r="BV13" s="478">
        <f t="shared" si="60"/>
        <v>0</v>
      </c>
      <c r="BW13" s="478">
        <f t="shared" si="60"/>
        <v>0</v>
      </c>
      <c r="BX13" s="478">
        <f t="shared" si="60"/>
        <v>0</v>
      </c>
      <c r="BY13" s="478">
        <f t="shared" si="60"/>
        <v>0</v>
      </c>
      <c r="BZ13" s="478">
        <f t="shared" si="60"/>
        <v>0</v>
      </c>
      <c r="CA13" s="478">
        <f t="shared" si="60"/>
        <v>0</v>
      </c>
      <c r="CB13" s="478">
        <f t="shared" si="60"/>
        <v>0</v>
      </c>
      <c r="CC13" s="478">
        <f t="shared" si="60"/>
        <v>0</v>
      </c>
      <c r="CD13" s="478">
        <f t="shared" si="60"/>
        <v>0</v>
      </c>
      <c r="CE13" s="478">
        <f t="shared" si="60"/>
        <v>0</v>
      </c>
      <c r="CF13" s="478">
        <f t="shared" si="60"/>
        <v>0</v>
      </c>
      <c r="CG13" s="478">
        <f t="shared" si="60"/>
        <v>0</v>
      </c>
      <c r="CH13" s="478">
        <f t="shared" si="60"/>
        <v>0</v>
      </c>
      <c r="CI13" s="478">
        <f t="shared" si="60"/>
        <v>0</v>
      </c>
      <c r="CJ13" s="478">
        <f t="shared" si="60"/>
        <v>0</v>
      </c>
      <c r="CK13" s="478">
        <f t="shared" si="60"/>
        <v>0</v>
      </c>
      <c r="CL13" s="478">
        <f t="shared" si="60"/>
        <v>0</v>
      </c>
      <c r="CM13" s="478">
        <f t="shared" si="60"/>
        <v>0</v>
      </c>
      <c r="CN13" s="478">
        <f t="shared" si="60"/>
        <v>0</v>
      </c>
      <c r="CO13" s="478">
        <f t="shared" si="60"/>
        <v>0</v>
      </c>
      <c r="CP13" s="478">
        <f t="shared" si="60"/>
        <v>0</v>
      </c>
      <c r="CQ13" s="478">
        <f t="shared" si="60"/>
        <v>0</v>
      </c>
      <c r="CR13" s="478">
        <f t="shared" si="60"/>
        <v>0</v>
      </c>
      <c r="CS13" s="478">
        <f t="shared" si="60"/>
        <v>0</v>
      </c>
      <c r="CT13" s="478">
        <f t="shared" si="60"/>
        <v>0</v>
      </c>
      <c r="CU13" s="478">
        <f t="shared" si="60"/>
        <v>0</v>
      </c>
      <c r="CV13" s="478">
        <f t="shared" si="60"/>
        <v>0</v>
      </c>
      <c r="CW13" s="478">
        <f t="shared" si="60"/>
        <v>0</v>
      </c>
      <c r="CX13" s="478">
        <f t="shared" si="60"/>
        <v>0</v>
      </c>
      <c r="CY13" s="478">
        <f t="shared" si="60"/>
        <v>0</v>
      </c>
      <c r="CZ13" s="478">
        <f t="shared" si="60"/>
        <v>0</v>
      </c>
      <c r="DA13" s="478">
        <f t="shared" si="60"/>
        <v>0</v>
      </c>
      <c r="DB13" s="478">
        <f t="shared" si="60"/>
        <v>0</v>
      </c>
      <c r="DC13" s="478">
        <f t="shared" si="60"/>
        <v>0</v>
      </c>
      <c r="DD13" s="478">
        <f t="shared" si="60"/>
        <v>0</v>
      </c>
      <c r="DE13" s="478">
        <f t="shared" si="60"/>
        <v>0</v>
      </c>
      <c r="DF13" s="478">
        <f t="shared" si="60"/>
        <v>0</v>
      </c>
      <c r="DG13" s="478">
        <f t="shared" si="60"/>
        <v>0</v>
      </c>
      <c r="DH13" s="478">
        <f t="shared" si="60"/>
        <v>0</v>
      </c>
      <c r="DI13" s="478">
        <f t="shared" si="60"/>
        <v>0</v>
      </c>
    </row>
    <row r="14" spans="1:113" ht="16.05" customHeight="1" outlineLevel="1" x14ac:dyDescent="0.3">
      <c r="A14" s="455" t="str">
        <f t="shared" si="54"/>
        <v>Imprimir</v>
      </c>
      <c r="B14" s="455"/>
      <c r="C14" s="481"/>
      <c r="D14" s="463" t="s">
        <v>667</v>
      </c>
      <c r="E14" s="482" t="s">
        <v>668</v>
      </c>
      <c r="F14" s="483" t="s">
        <v>669</v>
      </c>
      <c r="G14" s="484">
        <f>1.1*G12</f>
        <v>18.700000000000003</v>
      </c>
      <c r="H14" s="485">
        <v>3586.42</v>
      </c>
      <c r="I14" s="466">
        <f t="shared" si="55"/>
        <v>67066.054000000018</v>
      </c>
      <c r="J14" s="259"/>
      <c r="K14" s="478">
        <f t="shared" si="56"/>
        <v>18.700000000000003</v>
      </c>
      <c r="L14" s="466">
        <f t="shared" si="57"/>
        <v>67066.054000000018</v>
      </c>
      <c r="M14" s="257"/>
      <c r="N14" s="478"/>
      <c r="O14" s="478"/>
      <c r="P14" s="478"/>
      <c r="Q14" s="478"/>
      <c r="R14" s="478"/>
      <c r="S14" s="478"/>
      <c r="T14" s="478"/>
      <c r="U14" s="478"/>
      <c r="V14" s="478"/>
      <c r="W14" s="478"/>
      <c r="X14" s="478"/>
      <c r="Y14" s="478">
        <v>4.4000000000000004</v>
      </c>
      <c r="Z14" s="478"/>
      <c r="AA14" s="478"/>
      <c r="AB14" s="478">
        <v>4.4000000000000004</v>
      </c>
      <c r="AC14" s="478">
        <v>4.4000000000000004</v>
      </c>
      <c r="AD14" s="478">
        <v>4.4000000000000004</v>
      </c>
      <c r="AE14" s="478">
        <v>1.1000000000000001</v>
      </c>
      <c r="AF14" s="478"/>
      <c r="AG14" s="478"/>
      <c r="AH14" s="478"/>
      <c r="AI14" s="478"/>
      <c r="AJ14" s="478"/>
      <c r="AK14" s="478"/>
      <c r="AL14" s="478"/>
      <c r="AM14" s="478"/>
      <c r="AN14" s="478"/>
      <c r="AO14" s="478"/>
      <c r="AP14" s="478"/>
      <c r="AQ14" s="478"/>
      <c r="AR14" s="478"/>
      <c r="AS14" s="478"/>
      <c r="AT14" s="478"/>
      <c r="AU14" s="478"/>
      <c r="AV14" s="478"/>
      <c r="AW14" s="478"/>
      <c r="AX14" s="478"/>
      <c r="AY14" s="478"/>
      <c r="AZ14" s="478"/>
      <c r="BA14" s="478"/>
      <c r="BB14" s="478"/>
      <c r="BC14" s="478"/>
      <c r="BD14" s="478"/>
      <c r="BE14" s="478"/>
      <c r="BF14" s="478"/>
      <c r="BG14" s="478"/>
      <c r="BH14" s="478"/>
      <c r="BI14" s="544"/>
      <c r="BJ14" s="546"/>
      <c r="BK14" s="477">
        <f t="shared" si="58"/>
        <v>1</v>
      </c>
      <c r="BL14" s="466">
        <f t="shared" si="59"/>
        <v>67066.054000000018</v>
      </c>
      <c r="BM14" s="257"/>
      <c r="BN14" s="478">
        <f t="shared" ref="BN14:DI14" si="61">1.1*BN12</f>
        <v>0</v>
      </c>
      <c r="BO14" s="478">
        <f t="shared" si="61"/>
        <v>0</v>
      </c>
      <c r="BP14" s="478">
        <f t="shared" si="61"/>
        <v>0</v>
      </c>
      <c r="BQ14" s="478">
        <f t="shared" si="61"/>
        <v>0</v>
      </c>
      <c r="BR14" s="478">
        <f t="shared" si="61"/>
        <v>11</v>
      </c>
      <c r="BS14" s="478">
        <f t="shared" si="61"/>
        <v>7.7000000000000011</v>
      </c>
      <c r="BT14" s="478">
        <f t="shared" si="61"/>
        <v>0</v>
      </c>
      <c r="BU14" s="478">
        <f t="shared" si="61"/>
        <v>0</v>
      </c>
      <c r="BV14" s="478">
        <f t="shared" si="61"/>
        <v>0</v>
      </c>
      <c r="BW14" s="478">
        <f t="shared" si="61"/>
        <v>0</v>
      </c>
      <c r="BX14" s="478">
        <f t="shared" si="61"/>
        <v>0</v>
      </c>
      <c r="BY14" s="478">
        <f t="shared" si="61"/>
        <v>0</v>
      </c>
      <c r="BZ14" s="478">
        <f t="shared" si="61"/>
        <v>0</v>
      </c>
      <c r="CA14" s="478">
        <f t="shared" si="61"/>
        <v>0</v>
      </c>
      <c r="CB14" s="478">
        <f t="shared" si="61"/>
        <v>0</v>
      </c>
      <c r="CC14" s="478">
        <f t="shared" si="61"/>
        <v>0</v>
      </c>
      <c r="CD14" s="478">
        <f t="shared" si="61"/>
        <v>0</v>
      </c>
      <c r="CE14" s="478">
        <f t="shared" si="61"/>
        <v>0</v>
      </c>
      <c r="CF14" s="478">
        <f t="shared" si="61"/>
        <v>0</v>
      </c>
      <c r="CG14" s="478">
        <f t="shared" si="61"/>
        <v>0</v>
      </c>
      <c r="CH14" s="478">
        <f t="shared" si="61"/>
        <v>0</v>
      </c>
      <c r="CI14" s="478">
        <f t="shared" si="61"/>
        <v>0</v>
      </c>
      <c r="CJ14" s="478">
        <f t="shared" si="61"/>
        <v>0</v>
      </c>
      <c r="CK14" s="478">
        <f t="shared" si="61"/>
        <v>0</v>
      </c>
      <c r="CL14" s="478">
        <f t="shared" si="61"/>
        <v>0</v>
      </c>
      <c r="CM14" s="478">
        <f t="shared" si="61"/>
        <v>0</v>
      </c>
      <c r="CN14" s="478">
        <f t="shared" si="61"/>
        <v>0</v>
      </c>
      <c r="CO14" s="478">
        <f t="shared" si="61"/>
        <v>0</v>
      </c>
      <c r="CP14" s="478">
        <f t="shared" si="61"/>
        <v>0</v>
      </c>
      <c r="CQ14" s="478">
        <f t="shared" si="61"/>
        <v>0</v>
      </c>
      <c r="CR14" s="478">
        <f t="shared" si="61"/>
        <v>0</v>
      </c>
      <c r="CS14" s="478">
        <f t="shared" si="61"/>
        <v>0</v>
      </c>
      <c r="CT14" s="478">
        <f t="shared" si="61"/>
        <v>0</v>
      </c>
      <c r="CU14" s="478">
        <f t="shared" si="61"/>
        <v>0</v>
      </c>
      <c r="CV14" s="478">
        <f t="shared" si="61"/>
        <v>0</v>
      </c>
      <c r="CW14" s="478">
        <f t="shared" si="61"/>
        <v>0</v>
      </c>
      <c r="CX14" s="478">
        <f t="shared" si="61"/>
        <v>0</v>
      </c>
      <c r="CY14" s="478">
        <f t="shared" si="61"/>
        <v>0</v>
      </c>
      <c r="CZ14" s="478">
        <f t="shared" si="61"/>
        <v>0</v>
      </c>
      <c r="DA14" s="478">
        <f t="shared" si="61"/>
        <v>0</v>
      </c>
      <c r="DB14" s="478">
        <f t="shared" si="61"/>
        <v>0</v>
      </c>
      <c r="DC14" s="478">
        <f t="shared" si="61"/>
        <v>0</v>
      </c>
      <c r="DD14" s="478">
        <f t="shared" si="61"/>
        <v>0</v>
      </c>
      <c r="DE14" s="478">
        <f t="shared" si="61"/>
        <v>0</v>
      </c>
      <c r="DF14" s="478">
        <f t="shared" si="61"/>
        <v>0</v>
      </c>
      <c r="DG14" s="478">
        <f t="shared" si="61"/>
        <v>0</v>
      </c>
      <c r="DH14" s="478">
        <f t="shared" si="61"/>
        <v>0</v>
      </c>
      <c r="DI14" s="478">
        <f t="shared" si="61"/>
        <v>0</v>
      </c>
    </row>
    <row r="15" spans="1:113" ht="16.05" customHeight="1" outlineLevel="1" x14ac:dyDescent="0.3">
      <c r="A15" s="455" t="str">
        <f t="shared" si="54"/>
        <v>Imprimir</v>
      </c>
      <c r="B15" s="455"/>
      <c r="C15" s="481"/>
      <c r="D15" s="463" t="s">
        <v>670</v>
      </c>
      <c r="E15" s="482" t="s">
        <v>671</v>
      </c>
      <c r="F15" s="483" t="s">
        <v>669</v>
      </c>
      <c r="G15" s="484">
        <f>0.04*G12</f>
        <v>0.68</v>
      </c>
      <c r="H15" s="485">
        <v>6658.98</v>
      </c>
      <c r="I15" s="466">
        <f>G15*H15</f>
        <v>4528.1063999999997</v>
      </c>
      <c r="J15" s="259"/>
      <c r="K15" s="478">
        <f t="shared" si="56"/>
        <v>0.68</v>
      </c>
      <c r="L15" s="466">
        <f t="shared" si="57"/>
        <v>4528.1063999999997</v>
      </c>
      <c r="M15" s="257"/>
      <c r="N15" s="478"/>
      <c r="O15" s="478"/>
      <c r="P15" s="478"/>
      <c r="Q15" s="478"/>
      <c r="R15" s="478"/>
      <c r="S15" s="478"/>
      <c r="T15" s="478"/>
      <c r="U15" s="478"/>
      <c r="V15" s="478"/>
      <c r="W15" s="478"/>
      <c r="X15" s="478"/>
      <c r="Y15" s="478"/>
      <c r="Z15" s="478"/>
      <c r="AA15" s="478">
        <v>0.68</v>
      </c>
      <c r="AB15" s="478"/>
      <c r="AC15" s="478"/>
      <c r="AD15" s="478"/>
      <c r="AE15" s="478"/>
      <c r="AF15" s="478"/>
      <c r="AG15" s="478"/>
      <c r="AH15" s="478"/>
      <c r="AI15" s="478"/>
      <c r="AJ15" s="478"/>
      <c r="AK15" s="478"/>
      <c r="AL15" s="478"/>
      <c r="AM15" s="478"/>
      <c r="AN15" s="478"/>
      <c r="AO15" s="478"/>
      <c r="AP15" s="478"/>
      <c r="AQ15" s="478"/>
      <c r="AR15" s="478"/>
      <c r="AS15" s="478"/>
      <c r="AT15" s="478"/>
      <c r="AU15" s="478"/>
      <c r="AV15" s="478"/>
      <c r="AW15" s="478"/>
      <c r="AX15" s="478"/>
      <c r="AY15" s="478"/>
      <c r="AZ15" s="478"/>
      <c r="BA15" s="478"/>
      <c r="BB15" s="478"/>
      <c r="BC15" s="478"/>
      <c r="BD15" s="478"/>
      <c r="BE15" s="478"/>
      <c r="BF15" s="478"/>
      <c r="BG15" s="478"/>
      <c r="BH15" s="478"/>
      <c r="BI15" s="544"/>
      <c r="BJ15" s="546"/>
      <c r="BK15" s="477">
        <f t="shared" si="58"/>
        <v>1</v>
      </c>
      <c r="BL15" s="466">
        <f t="shared" si="59"/>
        <v>4528.1063999999997</v>
      </c>
      <c r="BM15" s="257"/>
      <c r="BN15" s="478">
        <f t="shared" ref="BN15:DI15" si="62">0.04*BN12</f>
        <v>0</v>
      </c>
      <c r="BO15" s="478">
        <f t="shared" si="62"/>
        <v>0</v>
      </c>
      <c r="BP15" s="478">
        <f t="shared" si="62"/>
        <v>0</v>
      </c>
      <c r="BQ15" s="478">
        <f t="shared" si="62"/>
        <v>0</v>
      </c>
      <c r="BR15" s="478">
        <f t="shared" si="62"/>
        <v>0.4</v>
      </c>
      <c r="BS15" s="478">
        <f t="shared" si="62"/>
        <v>0.28000000000000003</v>
      </c>
      <c r="BT15" s="478">
        <f t="shared" si="62"/>
        <v>0</v>
      </c>
      <c r="BU15" s="478">
        <f t="shared" si="62"/>
        <v>0</v>
      </c>
      <c r="BV15" s="478">
        <f t="shared" si="62"/>
        <v>0</v>
      </c>
      <c r="BW15" s="478">
        <f t="shared" si="62"/>
        <v>0</v>
      </c>
      <c r="BX15" s="478">
        <f t="shared" si="62"/>
        <v>0</v>
      </c>
      <c r="BY15" s="478">
        <f t="shared" si="62"/>
        <v>0</v>
      </c>
      <c r="BZ15" s="478">
        <f t="shared" si="62"/>
        <v>0</v>
      </c>
      <c r="CA15" s="478">
        <f t="shared" si="62"/>
        <v>0</v>
      </c>
      <c r="CB15" s="478">
        <f t="shared" si="62"/>
        <v>0</v>
      </c>
      <c r="CC15" s="478">
        <f t="shared" si="62"/>
        <v>0</v>
      </c>
      <c r="CD15" s="478">
        <f t="shared" si="62"/>
        <v>0</v>
      </c>
      <c r="CE15" s="478">
        <f t="shared" si="62"/>
        <v>0</v>
      </c>
      <c r="CF15" s="478">
        <f t="shared" si="62"/>
        <v>0</v>
      </c>
      <c r="CG15" s="478">
        <f t="shared" si="62"/>
        <v>0</v>
      </c>
      <c r="CH15" s="478">
        <f t="shared" si="62"/>
        <v>0</v>
      </c>
      <c r="CI15" s="478">
        <f t="shared" si="62"/>
        <v>0</v>
      </c>
      <c r="CJ15" s="478">
        <f t="shared" si="62"/>
        <v>0</v>
      </c>
      <c r="CK15" s="478">
        <f t="shared" si="62"/>
        <v>0</v>
      </c>
      <c r="CL15" s="478">
        <f t="shared" si="62"/>
        <v>0</v>
      </c>
      <c r="CM15" s="478">
        <f t="shared" si="62"/>
        <v>0</v>
      </c>
      <c r="CN15" s="478">
        <f t="shared" si="62"/>
        <v>0</v>
      </c>
      <c r="CO15" s="478">
        <f t="shared" si="62"/>
        <v>0</v>
      </c>
      <c r="CP15" s="478">
        <f t="shared" si="62"/>
        <v>0</v>
      </c>
      <c r="CQ15" s="478">
        <f t="shared" si="62"/>
        <v>0</v>
      </c>
      <c r="CR15" s="478">
        <f t="shared" si="62"/>
        <v>0</v>
      </c>
      <c r="CS15" s="478">
        <f t="shared" si="62"/>
        <v>0</v>
      </c>
      <c r="CT15" s="478">
        <f t="shared" si="62"/>
        <v>0</v>
      </c>
      <c r="CU15" s="478">
        <f t="shared" si="62"/>
        <v>0</v>
      </c>
      <c r="CV15" s="478">
        <f t="shared" si="62"/>
        <v>0</v>
      </c>
      <c r="CW15" s="478">
        <f t="shared" si="62"/>
        <v>0</v>
      </c>
      <c r="CX15" s="478">
        <f t="shared" si="62"/>
        <v>0</v>
      </c>
      <c r="CY15" s="478">
        <f t="shared" si="62"/>
        <v>0</v>
      </c>
      <c r="CZ15" s="478">
        <f t="shared" si="62"/>
        <v>0</v>
      </c>
      <c r="DA15" s="478">
        <f t="shared" si="62"/>
        <v>0</v>
      </c>
      <c r="DB15" s="478">
        <f t="shared" si="62"/>
        <v>0</v>
      </c>
      <c r="DC15" s="478">
        <f t="shared" si="62"/>
        <v>0</v>
      </c>
      <c r="DD15" s="478">
        <f t="shared" si="62"/>
        <v>0</v>
      </c>
      <c r="DE15" s="478">
        <f t="shared" si="62"/>
        <v>0</v>
      </c>
      <c r="DF15" s="478">
        <f t="shared" si="62"/>
        <v>0</v>
      </c>
      <c r="DG15" s="478">
        <f t="shared" si="62"/>
        <v>0</v>
      </c>
      <c r="DH15" s="478">
        <f t="shared" si="62"/>
        <v>0</v>
      </c>
      <c r="DI15" s="478">
        <f t="shared" si="62"/>
        <v>0</v>
      </c>
    </row>
    <row r="16" spans="1:113" ht="16.05" customHeight="1" outlineLevel="1" x14ac:dyDescent="0.3">
      <c r="A16" s="455" t="str">
        <f t="shared" si="54"/>
        <v>Imprimir</v>
      </c>
      <c r="B16" s="455"/>
      <c r="C16" s="481"/>
      <c r="D16" s="463" t="s">
        <v>672</v>
      </c>
      <c r="E16" s="482" t="s">
        <v>673</v>
      </c>
      <c r="F16" s="483" t="s">
        <v>669</v>
      </c>
      <c r="G16" s="484">
        <f>1.1*G12</f>
        <v>18.700000000000003</v>
      </c>
      <c r="H16" s="485">
        <v>2123.23</v>
      </c>
      <c r="I16" s="466">
        <f t="shared" ref="I16:I20" si="63">G16*H16</f>
        <v>39704.401000000005</v>
      </c>
      <c r="J16" s="259"/>
      <c r="K16" s="478">
        <f t="shared" si="56"/>
        <v>18.700000000000003</v>
      </c>
      <c r="L16" s="466">
        <f t="shared" si="57"/>
        <v>39704.401000000005</v>
      </c>
      <c r="M16" s="257"/>
      <c r="N16" s="478"/>
      <c r="O16" s="478"/>
      <c r="P16" s="478"/>
      <c r="Q16" s="478"/>
      <c r="R16" s="478"/>
      <c r="S16" s="478"/>
      <c r="T16" s="478"/>
      <c r="U16" s="478"/>
      <c r="V16" s="478"/>
      <c r="W16" s="478"/>
      <c r="X16" s="478"/>
      <c r="Y16" s="478"/>
      <c r="Z16" s="478"/>
      <c r="AA16" s="478"/>
      <c r="AB16" s="478">
        <v>4.4000000000000004</v>
      </c>
      <c r="AC16" s="478">
        <v>4.4000000000000004</v>
      </c>
      <c r="AD16" s="478">
        <v>4.4000000000000004</v>
      </c>
      <c r="AE16" s="478">
        <v>4.4000000000000004</v>
      </c>
      <c r="AF16" s="478">
        <v>1.1000000000000001</v>
      </c>
      <c r="AG16" s="478"/>
      <c r="AH16" s="478"/>
      <c r="AI16" s="478"/>
      <c r="AJ16" s="478"/>
      <c r="AK16" s="478"/>
      <c r="AL16" s="478"/>
      <c r="AM16" s="478"/>
      <c r="AN16" s="478"/>
      <c r="AO16" s="478"/>
      <c r="AP16" s="478"/>
      <c r="AQ16" s="478"/>
      <c r="AR16" s="478"/>
      <c r="AS16" s="478"/>
      <c r="AT16" s="478"/>
      <c r="AU16" s="478"/>
      <c r="AV16" s="478"/>
      <c r="AW16" s="478"/>
      <c r="AX16" s="478"/>
      <c r="AY16" s="478"/>
      <c r="AZ16" s="478"/>
      <c r="BA16" s="478"/>
      <c r="BB16" s="478"/>
      <c r="BC16" s="478"/>
      <c r="BD16" s="478"/>
      <c r="BE16" s="478"/>
      <c r="BF16" s="478"/>
      <c r="BG16" s="478"/>
      <c r="BH16" s="478"/>
      <c r="BI16" s="544"/>
      <c r="BJ16" s="546"/>
      <c r="BK16" s="477">
        <f t="shared" si="58"/>
        <v>1</v>
      </c>
      <c r="BL16" s="466">
        <f t="shared" si="59"/>
        <v>39704.401000000005</v>
      </c>
      <c r="BM16" s="257"/>
      <c r="BN16" s="478">
        <f t="shared" ref="BN16:DI16" si="64">1.1*BN12</f>
        <v>0</v>
      </c>
      <c r="BO16" s="478">
        <f t="shared" si="64"/>
        <v>0</v>
      </c>
      <c r="BP16" s="478">
        <f t="shared" si="64"/>
        <v>0</v>
      </c>
      <c r="BQ16" s="478">
        <f t="shared" si="64"/>
        <v>0</v>
      </c>
      <c r="BR16" s="478">
        <f t="shared" si="64"/>
        <v>11</v>
      </c>
      <c r="BS16" s="478">
        <f t="shared" si="64"/>
        <v>7.7000000000000011</v>
      </c>
      <c r="BT16" s="478">
        <f t="shared" si="64"/>
        <v>0</v>
      </c>
      <c r="BU16" s="478">
        <f t="shared" si="64"/>
        <v>0</v>
      </c>
      <c r="BV16" s="478">
        <f t="shared" si="64"/>
        <v>0</v>
      </c>
      <c r="BW16" s="478">
        <f t="shared" si="64"/>
        <v>0</v>
      </c>
      <c r="BX16" s="478">
        <f t="shared" si="64"/>
        <v>0</v>
      </c>
      <c r="BY16" s="478">
        <f t="shared" si="64"/>
        <v>0</v>
      </c>
      <c r="BZ16" s="478">
        <f t="shared" si="64"/>
        <v>0</v>
      </c>
      <c r="CA16" s="478">
        <f t="shared" si="64"/>
        <v>0</v>
      </c>
      <c r="CB16" s="478">
        <f t="shared" si="64"/>
        <v>0</v>
      </c>
      <c r="CC16" s="478">
        <f t="shared" si="64"/>
        <v>0</v>
      </c>
      <c r="CD16" s="478">
        <f t="shared" si="64"/>
        <v>0</v>
      </c>
      <c r="CE16" s="478">
        <f t="shared" si="64"/>
        <v>0</v>
      </c>
      <c r="CF16" s="478">
        <f t="shared" si="64"/>
        <v>0</v>
      </c>
      <c r="CG16" s="478">
        <f t="shared" si="64"/>
        <v>0</v>
      </c>
      <c r="CH16" s="478">
        <f t="shared" si="64"/>
        <v>0</v>
      </c>
      <c r="CI16" s="478">
        <f t="shared" si="64"/>
        <v>0</v>
      </c>
      <c r="CJ16" s="478">
        <f t="shared" si="64"/>
        <v>0</v>
      </c>
      <c r="CK16" s="478">
        <f t="shared" si="64"/>
        <v>0</v>
      </c>
      <c r="CL16" s="478">
        <f t="shared" si="64"/>
        <v>0</v>
      </c>
      <c r="CM16" s="478">
        <f t="shared" si="64"/>
        <v>0</v>
      </c>
      <c r="CN16" s="478">
        <f t="shared" si="64"/>
        <v>0</v>
      </c>
      <c r="CO16" s="478">
        <f t="shared" si="64"/>
        <v>0</v>
      </c>
      <c r="CP16" s="478">
        <f t="shared" si="64"/>
        <v>0</v>
      </c>
      <c r="CQ16" s="478">
        <f t="shared" si="64"/>
        <v>0</v>
      </c>
      <c r="CR16" s="478">
        <f t="shared" si="64"/>
        <v>0</v>
      </c>
      <c r="CS16" s="478">
        <f t="shared" si="64"/>
        <v>0</v>
      </c>
      <c r="CT16" s="478">
        <f t="shared" si="64"/>
        <v>0</v>
      </c>
      <c r="CU16" s="478">
        <f t="shared" si="64"/>
        <v>0</v>
      </c>
      <c r="CV16" s="478">
        <f t="shared" si="64"/>
        <v>0</v>
      </c>
      <c r="CW16" s="478">
        <f t="shared" si="64"/>
        <v>0</v>
      </c>
      <c r="CX16" s="478">
        <f t="shared" si="64"/>
        <v>0</v>
      </c>
      <c r="CY16" s="478">
        <f t="shared" si="64"/>
        <v>0</v>
      </c>
      <c r="CZ16" s="478">
        <f t="shared" si="64"/>
        <v>0</v>
      </c>
      <c r="DA16" s="478">
        <f t="shared" si="64"/>
        <v>0</v>
      </c>
      <c r="DB16" s="478">
        <f t="shared" si="64"/>
        <v>0</v>
      </c>
      <c r="DC16" s="478">
        <f t="shared" si="64"/>
        <v>0</v>
      </c>
      <c r="DD16" s="478">
        <f t="shared" si="64"/>
        <v>0</v>
      </c>
      <c r="DE16" s="478">
        <f t="shared" si="64"/>
        <v>0</v>
      </c>
      <c r="DF16" s="478">
        <f t="shared" si="64"/>
        <v>0</v>
      </c>
      <c r="DG16" s="478">
        <f t="shared" si="64"/>
        <v>0</v>
      </c>
      <c r="DH16" s="478">
        <f t="shared" si="64"/>
        <v>0</v>
      </c>
      <c r="DI16" s="478">
        <f t="shared" si="64"/>
        <v>0</v>
      </c>
    </row>
    <row r="17" spans="1:113" ht="16.05" customHeight="1" outlineLevel="1" x14ac:dyDescent="0.3">
      <c r="A17" s="455" t="str">
        <f t="shared" si="54"/>
        <v>Imprimir</v>
      </c>
      <c r="B17" s="455"/>
      <c r="C17" s="481"/>
      <c r="D17" s="463" t="s">
        <v>674</v>
      </c>
      <c r="E17" s="482" t="s">
        <v>675</v>
      </c>
      <c r="F17" s="483" t="s">
        <v>666</v>
      </c>
      <c r="G17" s="484">
        <f>1*G12</f>
        <v>17</v>
      </c>
      <c r="H17" s="485">
        <v>131.16</v>
      </c>
      <c r="I17" s="466">
        <f t="shared" si="63"/>
        <v>2229.7199999999998</v>
      </c>
      <c r="J17" s="259"/>
      <c r="K17" s="478">
        <f t="shared" si="56"/>
        <v>17</v>
      </c>
      <c r="L17" s="466">
        <f t="shared" si="57"/>
        <v>2229.7199999999998</v>
      </c>
      <c r="M17" s="257"/>
      <c r="N17" s="478"/>
      <c r="O17" s="478"/>
      <c r="P17" s="478"/>
      <c r="Q17" s="478"/>
      <c r="R17" s="478"/>
      <c r="S17" s="478"/>
      <c r="T17" s="478"/>
      <c r="U17" s="478"/>
      <c r="V17" s="478"/>
      <c r="W17" s="478"/>
      <c r="X17" s="478"/>
      <c r="Y17" s="478">
        <v>4</v>
      </c>
      <c r="Z17" s="478"/>
      <c r="AA17" s="478"/>
      <c r="AB17" s="478">
        <v>4</v>
      </c>
      <c r="AC17" s="478">
        <v>4</v>
      </c>
      <c r="AD17" s="478">
        <v>4</v>
      </c>
      <c r="AE17" s="478">
        <v>1</v>
      </c>
      <c r="AF17" s="478"/>
      <c r="AG17" s="478"/>
      <c r="AH17" s="478"/>
      <c r="AI17" s="478"/>
      <c r="AJ17" s="478"/>
      <c r="AK17" s="478"/>
      <c r="AL17" s="478"/>
      <c r="AM17" s="478"/>
      <c r="AN17" s="478"/>
      <c r="AO17" s="478"/>
      <c r="AP17" s="478"/>
      <c r="AQ17" s="478"/>
      <c r="AR17" s="478"/>
      <c r="AS17" s="478"/>
      <c r="AT17" s="478"/>
      <c r="AU17" s="478"/>
      <c r="AV17" s="478"/>
      <c r="AW17" s="478"/>
      <c r="AX17" s="478"/>
      <c r="AY17" s="478"/>
      <c r="AZ17" s="478"/>
      <c r="BA17" s="478"/>
      <c r="BB17" s="478"/>
      <c r="BC17" s="478"/>
      <c r="BD17" s="478"/>
      <c r="BE17" s="478"/>
      <c r="BF17" s="478"/>
      <c r="BG17" s="478"/>
      <c r="BH17" s="478"/>
      <c r="BI17" s="544"/>
      <c r="BJ17" s="546"/>
      <c r="BK17" s="477">
        <f t="shared" si="58"/>
        <v>1</v>
      </c>
      <c r="BL17" s="466">
        <f t="shared" si="59"/>
        <v>2229.7199999999998</v>
      </c>
      <c r="BM17" s="257"/>
      <c r="BN17" s="478">
        <f t="shared" ref="BN17:DI17" si="65">1*BN12</f>
        <v>0</v>
      </c>
      <c r="BO17" s="478">
        <f t="shared" si="65"/>
        <v>0</v>
      </c>
      <c r="BP17" s="478">
        <f t="shared" si="65"/>
        <v>0</v>
      </c>
      <c r="BQ17" s="478">
        <f t="shared" si="65"/>
        <v>0</v>
      </c>
      <c r="BR17" s="478">
        <f t="shared" si="65"/>
        <v>10</v>
      </c>
      <c r="BS17" s="478">
        <f t="shared" si="65"/>
        <v>7</v>
      </c>
      <c r="BT17" s="478">
        <f t="shared" si="65"/>
        <v>0</v>
      </c>
      <c r="BU17" s="478">
        <f t="shared" si="65"/>
        <v>0</v>
      </c>
      <c r="BV17" s="478">
        <f t="shared" si="65"/>
        <v>0</v>
      </c>
      <c r="BW17" s="478">
        <f t="shared" si="65"/>
        <v>0</v>
      </c>
      <c r="BX17" s="478">
        <f t="shared" si="65"/>
        <v>0</v>
      </c>
      <c r="BY17" s="478">
        <f t="shared" si="65"/>
        <v>0</v>
      </c>
      <c r="BZ17" s="478">
        <f t="shared" si="65"/>
        <v>0</v>
      </c>
      <c r="CA17" s="478">
        <f t="shared" si="65"/>
        <v>0</v>
      </c>
      <c r="CB17" s="478">
        <f t="shared" si="65"/>
        <v>0</v>
      </c>
      <c r="CC17" s="478">
        <f t="shared" si="65"/>
        <v>0</v>
      </c>
      <c r="CD17" s="478">
        <f t="shared" si="65"/>
        <v>0</v>
      </c>
      <c r="CE17" s="478">
        <f t="shared" si="65"/>
        <v>0</v>
      </c>
      <c r="CF17" s="478">
        <f t="shared" si="65"/>
        <v>0</v>
      </c>
      <c r="CG17" s="478">
        <f t="shared" si="65"/>
        <v>0</v>
      </c>
      <c r="CH17" s="478">
        <f t="shared" si="65"/>
        <v>0</v>
      </c>
      <c r="CI17" s="478">
        <f t="shared" si="65"/>
        <v>0</v>
      </c>
      <c r="CJ17" s="478">
        <f t="shared" si="65"/>
        <v>0</v>
      </c>
      <c r="CK17" s="478">
        <f t="shared" si="65"/>
        <v>0</v>
      </c>
      <c r="CL17" s="478">
        <f t="shared" si="65"/>
        <v>0</v>
      </c>
      <c r="CM17" s="478">
        <f t="shared" si="65"/>
        <v>0</v>
      </c>
      <c r="CN17" s="478">
        <f t="shared" si="65"/>
        <v>0</v>
      </c>
      <c r="CO17" s="478">
        <f t="shared" si="65"/>
        <v>0</v>
      </c>
      <c r="CP17" s="478">
        <f t="shared" si="65"/>
        <v>0</v>
      </c>
      <c r="CQ17" s="478">
        <f t="shared" si="65"/>
        <v>0</v>
      </c>
      <c r="CR17" s="478">
        <f t="shared" si="65"/>
        <v>0</v>
      </c>
      <c r="CS17" s="478">
        <f t="shared" si="65"/>
        <v>0</v>
      </c>
      <c r="CT17" s="478">
        <f t="shared" si="65"/>
        <v>0</v>
      </c>
      <c r="CU17" s="478">
        <f t="shared" si="65"/>
        <v>0</v>
      </c>
      <c r="CV17" s="478">
        <f t="shared" si="65"/>
        <v>0</v>
      </c>
      <c r="CW17" s="478">
        <f t="shared" si="65"/>
        <v>0</v>
      </c>
      <c r="CX17" s="478">
        <f t="shared" si="65"/>
        <v>0</v>
      </c>
      <c r="CY17" s="478">
        <f t="shared" si="65"/>
        <v>0</v>
      </c>
      <c r="CZ17" s="478">
        <f t="shared" si="65"/>
        <v>0</v>
      </c>
      <c r="DA17" s="478">
        <f t="shared" si="65"/>
        <v>0</v>
      </c>
      <c r="DB17" s="478">
        <f t="shared" si="65"/>
        <v>0</v>
      </c>
      <c r="DC17" s="478">
        <f t="shared" si="65"/>
        <v>0</v>
      </c>
      <c r="DD17" s="478">
        <f t="shared" si="65"/>
        <v>0</v>
      </c>
      <c r="DE17" s="478">
        <f t="shared" si="65"/>
        <v>0</v>
      </c>
      <c r="DF17" s="478">
        <f t="shared" si="65"/>
        <v>0</v>
      </c>
      <c r="DG17" s="478">
        <f t="shared" si="65"/>
        <v>0</v>
      </c>
      <c r="DH17" s="478">
        <f t="shared" si="65"/>
        <v>0</v>
      </c>
      <c r="DI17" s="478">
        <f t="shared" si="65"/>
        <v>0</v>
      </c>
    </row>
    <row r="18" spans="1:113" ht="16.05" customHeight="1" outlineLevel="1" x14ac:dyDescent="0.3">
      <c r="A18" s="455" t="str">
        <f t="shared" si="54"/>
        <v>Imprimir</v>
      </c>
      <c r="B18" s="455"/>
      <c r="C18" s="481"/>
      <c r="D18" s="463" t="s">
        <v>676</v>
      </c>
      <c r="E18" s="482" t="s">
        <v>677</v>
      </c>
      <c r="F18" s="483" t="s">
        <v>678</v>
      </c>
      <c r="G18" s="484">
        <f>0.44*G12</f>
        <v>7.48</v>
      </c>
      <c r="H18" s="485">
        <v>250</v>
      </c>
      <c r="I18" s="466">
        <f t="shared" si="63"/>
        <v>1870</v>
      </c>
      <c r="J18" s="259"/>
      <c r="K18" s="478">
        <f t="shared" si="56"/>
        <v>7.48</v>
      </c>
      <c r="L18" s="466">
        <f t="shared" si="57"/>
        <v>1870</v>
      </c>
      <c r="M18" s="257"/>
      <c r="N18" s="478"/>
      <c r="O18" s="478"/>
      <c r="P18" s="478"/>
      <c r="Q18" s="478"/>
      <c r="R18" s="478"/>
      <c r="S18" s="478"/>
      <c r="T18" s="478"/>
      <c r="U18" s="478"/>
      <c r="V18" s="478"/>
      <c r="W18" s="478"/>
      <c r="X18" s="478"/>
      <c r="Y18" s="478"/>
      <c r="Z18" s="478"/>
      <c r="AA18" s="478"/>
      <c r="AB18" s="478">
        <v>1.76</v>
      </c>
      <c r="AC18" s="478">
        <v>1.76</v>
      </c>
      <c r="AD18" s="478">
        <v>1.76</v>
      </c>
      <c r="AE18" s="478">
        <v>1.76</v>
      </c>
      <c r="AF18" s="478">
        <v>0.44</v>
      </c>
      <c r="AG18" s="478"/>
      <c r="AH18" s="478"/>
      <c r="AI18" s="478"/>
      <c r="AJ18" s="478"/>
      <c r="AK18" s="478"/>
      <c r="AL18" s="478"/>
      <c r="AM18" s="478"/>
      <c r="AN18" s="478"/>
      <c r="AO18" s="478"/>
      <c r="AP18" s="478"/>
      <c r="AQ18" s="478"/>
      <c r="AR18" s="478"/>
      <c r="AS18" s="478"/>
      <c r="AT18" s="478"/>
      <c r="AU18" s="478"/>
      <c r="AV18" s="478"/>
      <c r="AW18" s="478"/>
      <c r="AX18" s="478"/>
      <c r="AY18" s="478"/>
      <c r="AZ18" s="478"/>
      <c r="BA18" s="478"/>
      <c r="BB18" s="478"/>
      <c r="BC18" s="478"/>
      <c r="BD18" s="478"/>
      <c r="BE18" s="478"/>
      <c r="BF18" s="478"/>
      <c r="BG18" s="478"/>
      <c r="BH18" s="478"/>
      <c r="BI18" s="544"/>
      <c r="BJ18" s="546"/>
      <c r="BK18" s="477">
        <f t="shared" si="58"/>
        <v>1</v>
      </c>
      <c r="BL18" s="466">
        <f t="shared" si="59"/>
        <v>1870</v>
      </c>
      <c r="BM18" s="257"/>
      <c r="BN18" s="478">
        <f t="shared" ref="BN18:DI18" si="66">0.44*BN12</f>
        <v>0</v>
      </c>
      <c r="BO18" s="478">
        <f t="shared" si="66"/>
        <v>0</v>
      </c>
      <c r="BP18" s="478">
        <f t="shared" si="66"/>
        <v>0</v>
      </c>
      <c r="BQ18" s="478">
        <f t="shared" si="66"/>
        <v>0</v>
      </c>
      <c r="BR18" s="478">
        <f t="shared" si="66"/>
        <v>4.4000000000000004</v>
      </c>
      <c r="BS18" s="478">
        <f t="shared" si="66"/>
        <v>3.08</v>
      </c>
      <c r="BT18" s="478">
        <f t="shared" si="66"/>
        <v>0</v>
      </c>
      <c r="BU18" s="478">
        <f t="shared" si="66"/>
        <v>0</v>
      </c>
      <c r="BV18" s="478">
        <f t="shared" si="66"/>
        <v>0</v>
      </c>
      <c r="BW18" s="478">
        <f t="shared" si="66"/>
        <v>0</v>
      </c>
      <c r="BX18" s="478">
        <f t="shared" si="66"/>
        <v>0</v>
      </c>
      <c r="BY18" s="478">
        <f t="shared" si="66"/>
        <v>0</v>
      </c>
      <c r="BZ18" s="478">
        <f t="shared" si="66"/>
        <v>0</v>
      </c>
      <c r="CA18" s="478">
        <f t="shared" si="66"/>
        <v>0</v>
      </c>
      <c r="CB18" s="478">
        <f t="shared" si="66"/>
        <v>0</v>
      </c>
      <c r="CC18" s="478">
        <f t="shared" si="66"/>
        <v>0</v>
      </c>
      <c r="CD18" s="478">
        <f t="shared" si="66"/>
        <v>0</v>
      </c>
      <c r="CE18" s="478">
        <f t="shared" si="66"/>
        <v>0</v>
      </c>
      <c r="CF18" s="478">
        <f t="shared" si="66"/>
        <v>0</v>
      </c>
      <c r="CG18" s="478">
        <f t="shared" si="66"/>
        <v>0</v>
      </c>
      <c r="CH18" s="478">
        <f t="shared" si="66"/>
        <v>0</v>
      </c>
      <c r="CI18" s="478">
        <f t="shared" si="66"/>
        <v>0</v>
      </c>
      <c r="CJ18" s="478">
        <f t="shared" si="66"/>
        <v>0</v>
      </c>
      <c r="CK18" s="478">
        <f t="shared" si="66"/>
        <v>0</v>
      </c>
      <c r="CL18" s="478">
        <f t="shared" si="66"/>
        <v>0</v>
      </c>
      <c r="CM18" s="478">
        <f t="shared" si="66"/>
        <v>0</v>
      </c>
      <c r="CN18" s="478">
        <f t="shared" si="66"/>
        <v>0</v>
      </c>
      <c r="CO18" s="478">
        <f t="shared" si="66"/>
        <v>0</v>
      </c>
      <c r="CP18" s="478">
        <f t="shared" si="66"/>
        <v>0</v>
      </c>
      <c r="CQ18" s="478">
        <f t="shared" si="66"/>
        <v>0</v>
      </c>
      <c r="CR18" s="478">
        <f t="shared" si="66"/>
        <v>0</v>
      </c>
      <c r="CS18" s="478">
        <f t="shared" si="66"/>
        <v>0</v>
      </c>
      <c r="CT18" s="478">
        <f t="shared" si="66"/>
        <v>0</v>
      </c>
      <c r="CU18" s="478">
        <f t="shared" si="66"/>
        <v>0</v>
      </c>
      <c r="CV18" s="478">
        <f t="shared" si="66"/>
        <v>0</v>
      </c>
      <c r="CW18" s="478">
        <f t="shared" si="66"/>
        <v>0</v>
      </c>
      <c r="CX18" s="478">
        <f t="shared" si="66"/>
        <v>0</v>
      </c>
      <c r="CY18" s="478">
        <f t="shared" si="66"/>
        <v>0</v>
      </c>
      <c r="CZ18" s="478">
        <f t="shared" si="66"/>
        <v>0</v>
      </c>
      <c r="DA18" s="478">
        <f t="shared" si="66"/>
        <v>0</v>
      </c>
      <c r="DB18" s="478">
        <f t="shared" si="66"/>
        <v>0</v>
      </c>
      <c r="DC18" s="478">
        <f t="shared" si="66"/>
        <v>0</v>
      </c>
      <c r="DD18" s="478">
        <f t="shared" si="66"/>
        <v>0</v>
      </c>
      <c r="DE18" s="478">
        <f t="shared" si="66"/>
        <v>0</v>
      </c>
      <c r="DF18" s="478">
        <f t="shared" si="66"/>
        <v>0</v>
      </c>
      <c r="DG18" s="478">
        <f t="shared" si="66"/>
        <v>0</v>
      </c>
      <c r="DH18" s="478">
        <f t="shared" si="66"/>
        <v>0</v>
      </c>
      <c r="DI18" s="478">
        <f t="shared" si="66"/>
        <v>0</v>
      </c>
    </row>
    <row r="19" spans="1:113" ht="16.05" customHeight="1" outlineLevel="1" x14ac:dyDescent="0.3">
      <c r="A19" s="455" t="str">
        <f t="shared" si="54"/>
        <v>Imprimir</v>
      </c>
      <c r="B19" s="455"/>
      <c r="C19" s="481"/>
      <c r="D19" s="463" t="s">
        <v>679</v>
      </c>
      <c r="E19" s="482" t="s">
        <v>680</v>
      </c>
      <c r="F19" s="483" t="s">
        <v>681</v>
      </c>
      <c r="G19" s="484">
        <f>1*G12</f>
        <v>17</v>
      </c>
      <c r="H19" s="485">
        <v>20361.41</v>
      </c>
      <c r="I19" s="466">
        <f t="shared" si="63"/>
        <v>346143.97</v>
      </c>
      <c r="J19" s="259"/>
      <c r="K19" s="478">
        <f t="shared" si="56"/>
        <v>17</v>
      </c>
      <c r="L19" s="466">
        <f t="shared" si="57"/>
        <v>346143.97</v>
      </c>
      <c r="M19" s="257"/>
      <c r="N19" s="478"/>
      <c r="O19" s="478"/>
      <c r="P19" s="478"/>
      <c r="Q19" s="478"/>
      <c r="R19" s="478"/>
      <c r="S19" s="478"/>
      <c r="T19" s="478"/>
      <c r="U19" s="478"/>
      <c r="V19" s="478"/>
      <c r="W19" s="478"/>
      <c r="X19" s="478"/>
      <c r="Y19" s="478"/>
      <c r="Z19" s="478"/>
      <c r="AA19" s="478"/>
      <c r="AB19" s="478">
        <v>4</v>
      </c>
      <c r="AC19" s="478">
        <v>4</v>
      </c>
      <c r="AD19" s="478">
        <v>4</v>
      </c>
      <c r="AE19" s="478">
        <v>4</v>
      </c>
      <c r="AF19" s="478">
        <v>1</v>
      </c>
      <c r="AG19" s="478"/>
      <c r="AH19" s="478"/>
      <c r="AI19" s="478"/>
      <c r="AJ19" s="478"/>
      <c r="AK19" s="478"/>
      <c r="AL19" s="478"/>
      <c r="AM19" s="478"/>
      <c r="AN19" s="478"/>
      <c r="AO19" s="478"/>
      <c r="AP19" s="478"/>
      <c r="AQ19" s="478"/>
      <c r="AR19" s="478"/>
      <c r="AS19" s="478"/>
      <c r="AT19" s="478"/>
      <c r="AU19" s="478"/>
      <c r="AV19" s="478"/>
      <c r="AW19" s="478"/>
      <c r="AX19" s="478"/>
      <c r="AY19" s="478"/>
      <c r="AZ19" s="478"/>
      <c r="BA19" s="478"/>
      <c r="BB19" s="478"/>
      <c r="BC19" s="478"/>
      <c r="BD19" s="478"/>
      <c r="BE19" s="478"/>
      <c r="BF19" s="478"/>
      <c r="BG19" s="478"/>
      <c r="BH19" s="478"/>
      <c r="BI19" s="544"/>
      <c r="BJ19" s="546"/>
      <c r="BK19" s="477">
        <f t="shared" si="58"/>
        <v>1</v>
      </c>
      <c r="BL19" s="466">
        <f t="shared" si="59"/>
        <v>346143.97</v>
      </c>
      <c r="BM19" s="257"/>
      <c r="BN19" s="478">
        <f t="shared" ref="BN19:DI19" si="67">1*BN12</f>
        <v>0</v>
      </c>
      <c r="BO19" s="478">
        <f t="shared" si="67"/>
        <v>0</v>
      </c>
      <c r="BP19" s="478">
        <f t="shared" si="67"/>
        <v>0</v>
      </c>
      <c r="BQ19" s="478">
        <f t="shared" si="67"/>
        <v>0</v>
      </c>
      <c r="BR19" s="478">
        <f t="shared" si="67"/>
        <v>10</v>
      </c>
      <c r="BS19" s="478">
        <f t="shared" si="67"/>
        <v>7</v>
      </c>
      <c r="BT19" s="478">
        <f t="shared" si="67"/>
        <v>0</v>
      </c>
      <c r="BU19" s="478">
        <f t="shared" si="67"/>
        <v>0</v>
      </c>
      <c r="BV19" s="478">
        <f t="shared" si="67"/>
        <v>0</v>
      </c>
      <c r="BW19" s="478">
        <f t="shared" si="67"/>
        <v>0</v>
      </c>
      <c r="BX19" s="478">
        <f t="shared" si="67"/>
        <v>0</v>
      </c>
      <c r="BY19" s="478">
        <f t="shared" si="67"/>
        <v>0</v>
      </c>
      <c r="BZ19" s="478">
        <f t="shared" si="67"/>
        <v>0</v>
      </c>
      <c r="CA19" s="478">
        <f t="shared" si="67"/>
        <v>0</v>
      </c>
      <c r="CB19" s="478">
        <f t="shared" si="67"/>
        <v>0</v>
      </c>
      <c r="CC19" s="478">
        <f t="shared" si="67"/>
        <v>0</v>
      </c>
      <c r="CD19" s="478">
        <f t="shared" si="67"/>
        <v>0</v>
      </c>
      <c r="CE19" s="478">
        <f t="shared" si="67"/>
        <v>0</v>
      </c>
      <c r="CF19" s="478">
        <f t="shared" si="67"/>
        <v>0</v>
      </c>
      <c r="CG19" s="478">
        <f t="shared" si="67"/>
        <v>0</v>
      </c>
      <c r="CH19" s="478">
        <f t="shared" si="67"/>
        <v>0</v>
      </c>
      <c r="CI19" s="478">
        <f t="shared" si="67"/>
        <v>0</v>
      </c>
      <c r="CJ19" s="478">
        <f t="shared" si="67"/>
        <v>0</v>
      </c>
      <c r="CK19" s="478">
        <f t="shared" si="67"/>
        <v>0</v>
      </c>
      <c r="CL19" s="478">
        <f t="shared" si="67"/>
        <v>0</v>
      </c>
      <c r="CM19" s="478">
        <f t="shared" si="67"/>
        <v>0</v>
      </c>
      <c r="CN19" s="478">
        <f t="shared" si="67"/>
        <v>0</v>
      </c>
      <c r="CO19" s="478">
        <f t="shared" si="67"/>
        <v>0</v>
      </c>
      <c r="CP19" s="478">
        <f t="shared" si="67"/>
        <v>0</v>
      </c>
      <c r="CQ19" s="478">
        <f t="shared" si="67"/>
        <v>0</v>
      </c>
      <c r="CR19" s="478">
        <f t="shared" si="67"/>
        <v>0</v>
      </c>
      <c r="CS19" s="478">
        <f t="shared" si="67"/>
        <v>0</v>
      </c>
      <c r="CT19" s="478">
        <f t="shared" si="67"/>
        <v>0</v>
      </c>
      <c r="CU19" s="478">
        <f t="shared" si="67"/>
        <v>0</v>
      </c>
      <c r="CV19" s="478">
        <f t="shared" si="67"/>
        <v>0</v>
      </c>
      <c r="CW19" s="478">
        <f t="shared" si="67"/>
        <v>0</v>
      </c>
      <c r="CX19" s="478">
        <f t="shared" si="67"/>
        <v>0</v>
      </c>
      <c r="CY19" s="478">
        <f t="shared" si="67"/>
        <v>0</v>
      </c>
      <c r="CZ19" s="478">
        <f t="shared" si="67"/>
        <v>0</v>
      </c>
      <c r="DA19" s="478">
        <f t="shared" si="67"/>
        <v>0</v>
      </c>
      <c r="DB19" s="478">
        <f t="shared" si="67"/>
        <v>0</v>
      </c>
      <c r="DC19" s="478">
        <f t="shared" si="67"/>
        <v>0</v>
      </c>
      <c r="DD19" s="478">
        <f t="shared" si="67"/>
        <v>0</v>
      </c>
      <c r="DE19" s="478">
        <f t="shared" si="67"/>
        <v>0</v>
      </c>
      <c r="DF19" s="478">
        <f t="shared" si="67"/>
        <v>0</v>
      </c>
      <c r="DG19" s="478">
        <f t="shared" si="67"/>
        <v>0</v>
      </c>
      <c r="DH19" s="478">
        <f t="shared" si="67"/>
        <v>0</v>
      </c>
      <c r="DI19" s="478">
        <f t="shared" si="67"/>
        <v>0</v>
      </c>
    </row>
    <row r="20" spans="1:113" ht="16.05" customHeight="1" outlineLevel="1" x14ac:dyDescent="0.3">
      <c r="A20" s="455" t="str">
        <f t="shared" si="54"/>
        <v>Imprimir</v>
      </c>
      <c r="B20" s="455"/>
      <c r="C20" s="481"/>
      <c r="D20" s="463" t="s">
        <v>682</v>
      </c>
      <c r="E20" s="482" t="s">
        <v>683</v>
      </c>
      <c r="F20" s="483" t="s">
        <v>663</v>
      </c>
      <c r="G20" s="484">
        <f>6*G12</f>
        <v>102</v>
      </c>
      <c r="H20" s="485">
        <v>174.88</v>
      </c>
      <c r="I20" s="466">
        <f t="shared" si="63"/>
        <v>17837.759999999998</v>
      </c>
      <c r="J20" s="259"/>
      <c r="K20" s="478">
        <f t="shared" si="56"/>
        <v>102</v>
      </c>
      <c r="L20" s="466">
        <f t="shared" si="57"/>
        <v>17837.759999999998</v>
      </c>
      <c r="M20" s="257"/>
      <c r="N20" s="478"/>
      <c r="O20" s="478"/>
      <c r="P20" s="478"/>
      <c r="Q20" s="478"/>
      <c r="R20" s="478"/>
      <c r="S20" s="478"/>
      <c r="T20" s="478"/>
      <c r="U20" s="478"/>
      <c r="V20" s="478"/>
      <c r="W20" s="478"/>
      <c r="X20" s="478"/>
      <c r="Y20" s="478"/>
      <c r="Z20" s="478"/>
      <c r="AA20" s="478"/>
      <c r="AB20" s="478">
        <v>24</v>
      </c>
      <c r="AC20" s="478">
        <v>24</v>
      </c>
      <c r="AD20" s="478">
        <v>24</v>
      </c>
      <c r="AE20" s="478">
        <v>24</v>
      </c>
      <c r="AF20" s="478">
        <v>6</v>
      </c>
      <c r="AG20" s="478"/>
      <c r="AH20" s="478"/>
      <c r="AI20" s="478"/>
      <c r="AJ20" s="478"/>
      <c r="AK20" s="478"/>
      <c r="AL20" s="478"/>
      <c r="AM20" s="478"/>
      <c r="AN20" s="478"/>
      <c r="AO20" s="478"/>
      <c r="AP20" s="478"/>
      <c r="AQ20" s="478"/>
      <c r="AR20" s="478"/>
      <c r="AS20" s="478"/>
      <c r="AT20" s="478"/>
      <c r="AU20" s="478"/>
      <c r="AV20" s="478"/>
      <c r="AW20" s="478"/>
      <c r="AX20" s="478"/>
      <c r="AY20" s="478"/>
      <c r="AZ20" s="478"/>
      <c r="BA20" s="478"/>
      <c r="BB20" s="478"/>
      <c r="BC20" s="478"/>
      <c r="BD20" s="478"/>
      <c r="BE20" s="478"/>
      <c r="BF20" s="478"/>
      <c r="BG20" s="478"/>
      <c r="BH20" s="478"/>
      <c r="BI20" s="544"/>
      <c r="BJ20" s="546"/>
      <c r="BK20" s="477">
        <f t="shared" si="58"/>
        <v>1</v>
      </c>
      <c r="BL20" s="466">
        <f t="shared" si="59"/>
        <v>17837.759999999998</v>
      </c>
      <c r="BM20" s="257"/>
      <c r="BN20" s="478">
        <f t="shared" ref="BN20:DI20" si="68">6*BN12</f>
        <v>0</v>
      </c>
      <c r="BO20" s="478">
        <f t="shared" si="68"/>
        <v>0</v>
      </c>
      <c r="BP20" s="478">
        <f t="shared" si="68"/>
        <v>0</v>
      </c>
      <c r="BQ20" s="478">
        <f t="shared" si="68"/>
        <v>0</v>
      </c>
      <c r="BR20" s="478">
        <f t="shared" si="68"/>
        <v>60</v>
      </c>
      <c r="BS20" s="478">
        <f t="shared" si="68"/>
        <v>42</v>
      </c>
      <c r="BT20" s="478">
        <f t="shared" si="68"/>
        <v>0</v>
      </c>
      <c r="BU20" s="478">
        <f t="shared" si="68"/>
        <v>0</v>
      </c>
      <c r="BV20" s="478">
        <f t="shared" si="68"/>
        <v>0</v>
      </c>
      <c r="BW20" s="478">
        <f t="shared" si="68"/>
        <v>0</v>
      </c>
      <c r="BX20" s="478">
        <f t="shared" si="68"/>
        <v>0</v>
      </c>
      <c r="BY20" s="478">
        <f t="shared" si="68"/>
        <v>0</v>
      </c>
      <c r="BZ20" s="478">
        <f t="shared" si="68"/>
        <v>0</v>
      </c>
      <c r="CA20" s="478">
        <f t="shared" si="68"/>
        <v>0</v>
      </c>
      <c r="CB20" s="478">
        <f t="shared" si="68"/>
        <v>0</v>
      </c>
      <c r="CC20" s="478">
        <f t="shared" si="68"/>
        <v>0</v>
      </c>
      <c r="CD20" s="478">
        <f t="shared" si="68"/>
        <v>0</v>
      </c>
      <c r="CE20" s="478">
        <f t="shared" si="68"/>
        <v>0</v>
      </c>
      <c r="CF20" s="478">
        <f t="shared" si="68"/>
        <v>0</v>
      </c>
      <c r="CG20" s="478">
        <f t="shared" si="68"/>
        <v>0</v>
      </c>
      <c r="CH20" s="478">
        <f t="shared" si="68"/>
        <v>0</v>
      </c>
      <c r="CI20" s="478">
        <f t="shared" si="68"/>
        <v>0</v>
      </c>
      <c r="CJ20" s="478">
        <f t="shared" si="68"/>
        <v>0</v>
      </c>
      <c r="CK20" s="478">
        <f t="shared" si="68"/>
        <v>0</v>
      </c>
      <c r="CL20" s="478">
        <f t="shared" si="68"/>
        <v>0</v>
      </c>
      <c r="CM20" s="478">
        <f t="shared" si="68"/>
        <v>0</v>
      </c>
      <c r="CN20" s="478">
        <f t="shared" si="68"/>
        <v>0</v>
      </c>
      <c r="CO20" s="478">
        <f t="shared" si="68"/>
        <v>0</v>
      </c>
      <c r="CP20" s="478">
        <f t="shared" si="68"/>
        <v>0</v>
      </c>
      <c r="CQ20" s="478">
        <f t="shared" si="68"/>
        <v>0</v>
      </c>
      <c r="CR20" s="478">
        <f t="shared" si="68"/>
        <v>0</v>
      </c>
      <c r="CS20" s="478">
        <f t="shared" si="68"/>
        <v>0</v>
      </c>
      <c r="CT20" s="478">
        <f t="shared" si="68"/>
        <v>0</v>
      </c>
      <c r="CU20" s="478">
        <f t="shared" si="68"/>
        <v>0</v>
      </c>
      <c r="CV20" s="478">
        <f t="shared" si="68"/>
        <v>0</v>
      </c>
      <c r="CW20" s="478">
        <f t="shared" si="68"/>
        <v>0</v>
      </c>
      <c r="CX20" s="478">
        <f t="shared" si="68"/>
        <v>0</v>
      </c>
      <c r="CY20" s="478">
        <f t="shared" si="68"/>
        <v>0</v>
      </c>
      <c r="CZ20" s="478">
        <f t="shared" si="68"/>
        <v>0</v>
      </c>
      <c r="DA20" s="478">
        <f t="shared" si="68"/>
        <v>0</v>
      </c>
      <c r="DB20" s="478">
        <f t="shared" si="68"/>
        <v>0</v>
      </c>
      <c r="DC20" s="478">
        <f t="shared" si="68"/>
        <v>0</v>
      </c>
      <c r="DD20" s="478">
        <f t="shared" si="68"/>
        <v>0</v>
      </c>
      <c r="DE20" s="478">
        <f t="shared" si="68"/>
        <v>0</v>
      </c>
      <c r="DF20" s="478">
        <f t="shared" si="68"/>
        <v>0</v>
      </c>
      <c r="DG20" s="478">
        <f t="shared" si="68"/>
        <v>0</v>
      </c>
      <c r="DH20" s="478">
        <f t="shared" si="68"/>
        <v>0</v>
      </c>
      <c r="DI20" s="478">
        <f t="shared" si="68"/>
        <v>0</v>
      </c>
    </row>
    <row r="21" spans="1:113" ht="16.05" customHeight="1" outlineLevel="1" x14ac:dyDescent="0.3">
      <c r="A21" s="455" t="str">
        <f t="shared" si="54"/>
        <v>Imprimir</v>
      </c>
      <c r="B21" s="455"/>
      <c r="C21" s="481"/>
      <c r="D21" s="463" t="s">
        <v>684</v>
      </c>
      <c r="E21" s="482" t="s">
        <v>685</v>
      </c>
      <c r="F21" s="483" t="s">
        <v>663</v>
      </c>
      <c r="G21" s="484">
        <f>2*G12</f>
        <v>34</v>
      </c>
      <c r="H21" s="485">
        <v>162.32</v>
      </c>
      <c r="I21" s="466">
        <f t="shared" ref="I21:I31" si="69">G21*H21</f>
        <v>5518.88</v>
      </c>
      <c r="J21" s="259"/>
      <c r="K21" s="478">
        <f t="shared" ref="K21:K31" si="70">SUM(N21:BI21)</f>
        <v>34</v>
      </c>
      <c r="L21" s="466">
        <f t="shared" si="57"/>
        <v>5518.88</v>
      </c>
      <c r="M21" s="257"/>
      <c r="N21" s="478"/>
      <c r="O21" s="478"/>
      <c r="P21" s="478"/>
      <c r="Q21" s="478"/>
      <c r="R21" s="478"/>
      <c r="S21" s="478"/>
      <c r="T21" s="478"/>
      <c r="U21" s="478"/>
      <c r="V21" s="478"/>
      <c r="W21" s="478"/>
      <c r="X21" s="478"/>
      <c r="Y21" s="478"/>
      <c r="Z21" s="478"/>
      <c r="AA21" s="478"/>
      <c r="AB21" s="478"/>
      <c r="AC21" s="478">
        <v>8</v>
      </c>
      <c r="AD21" s="478">
        <v>8</v>
      </c>
      <c r="AE21" s="478">
        <v>8</v>
      </c>
      <c r="AF21" s="478">
        <v>10</v>
      </c>
      <c r="AG21" s="478"/>
      <c r="AH21" s="478"/>
      <c r="AI21" s="478"/>
      <c r="AJ21" s="478"/>
      <c r="AK21" s="478"/>
      <c r="AL21" s="478"/>
      <c r="AM21" s="478"/>
      <c r="AN21" s="478"/>
      <c r="AO21" s="478"/>
      <c r="AP21" s="478"/>
      <c r="AQ21" s="478"/>
      <c r="AR21" s="478"/>
      <c r="AS21" s="478"/>
      <c r="AT21" s="478"/>
      <c r="AU21" s="478"/>
      <c r="AV21" s="478"/>
      <c r="AW21" s="478"/>
      <c r="AX21" s="478"/>
      <c r="AY21" s="478"/>
      <c r="AZ21" s="478"/>
      <c r="BA21" s="478"/>
      <c r="BB21" s="478"/>
      <c r="BC21" s="478"/>
      <c r="BD21" s="478"/>
      <c r="BE21" s="478"/>
      <c r="BF21" s="478"/>
      <c r="BG21" s="478"/>
      <c r="BH21" s="478"/>
      <c r="BI21" s="544"/>
      <c r="BJ21" s="546"/>
      <c r="BK21" s="477">
        <f t="shared" ref="BK21:BK31" si="71">IFERROR(BL21/I21,0)</f>
        <v>1</v>
      </c>
      <c r="BL21" s="466">
        <f t="shared" ref="BL21:BL31" si="72">SUM(BN21:DJ21)*$H21</f>
        <v>5518.88</v>
      </c>
      <c r="BM21" s="257"/>
      <c r="BN21" s="478">
        <f t="shared" ref="BN21:DI21" si="73">2*BN12</f>
        <v>0</v>
      </c>
      <c r="BO21" s="478">
        <f t="shared" si="73"/>
        <v>0</v>
      </c>
      <c r="BP21" s="478">
        <f t="shared" si="73"/>
        <v>0</v>
      </c>
      <c r="BQ21" s="478">
        <f t="shared" si="73"/>
        <v>0</v>
      </c>
      <c r="BR21" s="478">
        <f t="shared" si="73"/>
        <v>20</v>
      </c>
      <c r="BS21" s="478">
        <f t="shared" si="73"/>
        <v>14</v>
      </c>
      <c r="BT21" s="478">
        <f t="shared" si="73"/>
        <v>0</v>
      </c>
      <c r="BU21" s="478">
        <f t="shared" si="73"/>
        <v>0</v>
      </c>
      <c r="BV21" s="478">
        <f t="shared" si="73"/>
        <v>0</v>
      </c>
      <c r="BW21" s="478">
        <f t="shared" si="73"/>
        <v>0</v>
      </c>
      <c r="BX21" s="478">
        <f t="shared" si="73"/>
        <v>0</v>
      </c>
      <c r="BY21" s="478">
        <f t="shared" si="73"/>
        <v>0</v>
      </c>
      <c r="BZ21" s="478">
        <f t="shared" si="73"/>
        <v>0</v>
      </c>
      <c r="CA21" s="478">
        <f t="shared" si="73"/>
        <v>0</v>
      </c>
      <c r="CB21" s="478">
        <f t="shared" si="73"/>
        <v>0</v>
      </c>
      <c r="CC21" s="478">
        <f t="shared" si="73"/>
        <v>0</v>
      </c>
      <c r="CD21" s="478">
        <f t="shared" si="73"/>
        <v>0</v>
      </c>
      <c r="CE21" s="478">
        <f t="shared" si="73"/>
        <v>0</v>
      </c>
      <c r="CF21" s="478">
        <f t="shared" si="73"/>
        <v>0</v>
      </c>
      <c r="CG21" s="478">
        <f t="shared" si="73"/>
        <v>0</v>
      </c>
      <c r="CH21" s="478">
        <f t="shared" si="73"/>
        <v>0</v>
      </c>
      <c r="CI21" s="478">
        <f t="shared" si="73"/>
        <v>0</v>
      </c>
      <c r="CJ21" s="478">
        <f t="shared" si="73"/>
        <v>0</v>
      </c>
      <c r="CK21" s="478">
        <f t="shared" si="73"/>
        <v>0</v>
      </c>
      <c r="CL21" s="478">
        <f t="shared" si="73"/>
        <v>0</v>
      </c>
      <c r="CM21" s="478">
        <f t="shared" si="73"/>
        <v>0</v>
      </c>
      <c r="CN21" s="478">
        <f t="shared" si="73"/>
        <v>0</v>
      </c>
      <c r="CO21" s="478">
        <f t="shared" si="73"/>
        <v>0</v>
      </c>
      <c r="CP21" s="478">
        <f t="shared" si="73"/>
        <v>0</v>
      </c>
      <c r="CQ21" s="478">
        <f t="shared" si="73"/>
        <v>0</v>
      </c>
      <c r="CR21" s="478">
        <f t="shared" si="73"/>
        <v>0</v>
      </c>
      <c r="CS21" s="478">
        <f t="shared" si="73"/>
        <v>0</v>
      </c>
      <c r="CT21" s="478">
        <f t="shared" si="73"/>
        <v>0</v>
      </c>
      <c r="CU21" s="478">
        <f t="shared" si="73"/>
        <v>0</v>
      </c>
      <c r="CV21" s="478">
        <f t="shared" si="73"/>
        <v>0</v>
      </c>
      <c r="CW21" s="478">
        <f t="shared" si="73"/>
        <v>0</v>
      </c>
      <c r="CX21" s="478">
        <f t="shared" si="73"/>
        <v>0</v>
      </c>
      <c r="CY21" s="478">
        <f t="shared" si="73"/>
        <v>0</v>
      </c>
      <c r="CZ21" s="478">
        <f t="shared" si="73"/>
        <v>0</v>
      </c>
      <c r="DA21" s="478">
        <f t="shared" si="73"/>
        <v>0</v>
      </c>
      <c r="DB21" s="478">
        <f t="shared" si="73"/>
        <v>0</v>
      </c>
      <c r="DC21" s="478">
        <f t="shared" si="73"/>
        <v>0</v>
      </c>
      <c r="DD21" s="478">
        <f t="shared" si="73"/>
        <v>0</v>
      </c>
      <c r="DE21" s="478">
        <f t="shared" si="73"/>
        <v>0</v>
      </c>
      <c r="DF21" s="478">
        <f t="shared" si="73"/>
        <v>0</v>
      </c>
      <c r="DG21" s="478">
        <f t="shared" si="73"/>
        <v>0</v>
      </c>
      <c r="DH21" s="478">
        <f t="shared" si="73"/>
        <v>0</v>
      </c>
      <c r="DI21" s="478">
        <f t="shared" si="73"/>
        <v>0</v>
      </c>
    </row>
    <row r="22" spans="1:113" ht="16.05" customHeight="1" outlineLevel="1" x14ac:dyDescent="0.3">
      <c r="A22" s="455" t="str">
        <f t="shared" si="54"/>
        <v>Imprimir</v>
      </c>
      <c r="B22" s="455"/>
      <c r="C22" s="481"/>
      <c r="D22" s="463" t="s">
        <v>686</v>
      </c>
      <c r="E22" s="482" t="s">
        <v>687</v>
      </c>
      <c r="F22" s="483" t="s">
        <v>663</v>
      </c>
      <c r="G22" s="484">
        <f>1*G12</f>
        <v>17</v>
      </c>
      <c r="H22" s="485">
        <v>1255.3599999999999</v>
      </c>
      <c r="I22" s="466">
        <f t="shared" si="69"/>
        <v>21341.119999999999</v>
      </c>
      <c r="J22" s="259"/>
      <c r="K22" s="478">
        <f t="shared" si="70"/>
        <v>17</v>
      </c>
      <c r="L22" s="466">
        <f t="shared" si="57"/>
        <v>21341.119999999999</v>
      </c>
      <c r="M22" s="257"/>
      <c r="N22" s="478"/>
      <c r="O22" s="478"/>
      <c r="P22" s="478"/>
      <c r="Q22" s="478"/>
      <c r="R22" s="478"/>
      <c r="S22" s="478"/>
      <c r="T22" s="478"/>
      <c r="U22" s="478"/>
      <c r="V22" s="478"/>
      <c r="W22" s="478"/>
      <c r="X22" s="478"/>
      <c r="Y22" s="478"/>
      <c r="Z22" s="478"/>
      <c r="AA22" s="478"/>
      <c r="AB22" s="478"/>
      <c r="AC22" s="478">
        <v>4</v>
      </c>
      <c r="AD22" s="478">
        <v>4</v>
      </c>
      <c r="AE22" s="478">
        <v>4</v>
      </c>
      <c r="AF22" s="478">
        <v>5</v>
      </c>
      <c r="AG22" s="478"/>
      <c r="AH22" s="478"/>
      <c r="AI22" s="478"/>
      <c r="AJ22" s="478"/>
      <c r="AK22" s="478"/>
      <c r="AL22" s="478"/>
      <c r="AM22" s="478"/>
      <c r="AN22" s="478"/>
      <c r="AO22" s="478"/>
      <c r="AP22" s="478"/>
      <c r="AQ22" s="478"/>
      <c r="AR22" s="478"/>
      <c r="AS22" s="478"/>
      <c r="AT22" s="478"/>
      <c r="AU22" s="478"/>
      <c r="AV22" s="478"/>
      <c r="AW22" s="478"/>
      <c r="AX22" s="478"/>
      <c r="AY22" s="478"/>
      <c r="AZ22" s="478"/>
      <c r="BA22" s="478"/>
      <c r="BB22" s="478"/>
      <c r="BC22" s="478"/>
      <c r="BD22" s="478"/>
      <c r="BE22" s="478"/>
      <c r="BF22" s="478"/>
      <c r="BG22" s="478"/>
      <c r="BH22" s="478"/>
      <c r="BI22" s="544"/>
      <c r="BJ22" s="546"/>
      <c r="BK22" s="477">
        <f t="shared" si="71"/>
        <v>1</v>
      </c>
      <c r="BL22" s="466">
        <f t="shared" si="72"/>
        <v>21341.119999999999</v>
      </c>
      <c r="BM22" s="257"/>
      <c r="BN22" s="478">
        <f t="shared" ref="BN22:DI22" si="74">1*BN12</f>
        <v>0</v>
      </c>
      <c r="BO22" s="478">
        <f t="shared" si="74"/>
        <v>0</v>
      </c>
      <c r="BP22" s="478">
        <f t="shared" si="74"/>
        <v>0</v>
      </c>
      <c r="BQ22" s="478">
        <f t="shared" si="74"/>
        <v>0</v>
      </c>
      <c r="BR22" s="478">
        <f t="shared" si="74"/>
        <v>10</v>
      </c>
      <c r="BS22" s="478">
        <f t="shared" si="74"/>
        <v>7</v>
      </c>
      <c r="BT22" s="478">
        <f t="shared" si="74"/>
        <v>0</v>
      </c>
      <c r="BU22" s="478">
        <f t="shared" si="74"/>
        <v>0</v>
      </c>
      <c r="BV22" s="478">
        <f t="shared" si="74"/>
        <v>0</v>
      </c>
      <c r="BW22" s="478">
        <f t="shared" si="74"/>
        <v>0</v>
      </c>
      <c r="BX22" s="478">
        <f t="shared" si="74"/>
        <v>0</v>
      </c>
      <c r="BY22" s="478">
        <f t="shared" si="74"/>
        <v>0</v>
      </c>
      <c r="BZ22" s="478">
        <f t="shared" si="74"/>
        <v>0</v>
      </c>
      <c r="CA22" s="478">
        <f t="shared" si="74"/>
        <v>0</v>
      </c>
      <c r="CB22" s="478">
        <f t="shared" si="74"/>
        <v>0</v>
      </c>
      <c r="CC22" s="478">
        <f t="shared" si="74"/>
        <v>0</v>
      </c>
      <c r="CD22" s="478">
        <f t="shared" si="74"/>
        <v>0</v>
      </c>
      <c r="CE22" s="478">
        <f t="shared" si="74"/>
        <v>0</v>
      </c>
      <c r="CF22" s="478">
        <f t="shared" si="74"/>
        <v>0</v>
      </c>
      <c r="CG22" s="478">
        <f t="shared" si="74"/>
        <v>0</v>
      </c>
      <c r="CH22" s="478">
        <f t="shared" si="74"/>
        <v>0</v>
      </c>
      <c r="CI22" s="478">
        <f t="shared" si="74"/>
        <v>0</v>
      </c>
      <c r="CJ22" s="478">
        <f t="shared" si="74"/>
        <v>0</v>
      </c>
      <c r="CK22" s="478">
        <f t="shared" si="74"/>
        <v>0</v>
      </c>
      <c r="CL22" s="478">
        <f t="shared" si="74"/>
        <v>0</v>
      </c>
      <c r="CM22" s="478">
        <f t="shared" si="74"/>
        <v>0</v>
      </c>
      <c r="CN22" s="478">
        <f t="shared" si="74"/>
        <v>0</v>
      </c>
      <c r="CO22" s="478">
        <f t="shared" si="74"/>
        <v>0</v>
      </c>
      <c r="CP22" s="478">
        <f t="shared" si="74"/>
        <v>0</v>
      </c>
      <c r="CQ22" s="478">
        <f t="shared" si="74"/>
        <v>0</v>
      </c>
      <c r="CR22" s="478">
        <f t="shared" si="74"/>
        <v>0</v>
      </c>
      <c r="CS22" s="478">
        <f t="shared" si="74"/>
        <v>0</v>
      </c>
      <c r="CT22" s="478">
        <f t="shared" si="74"/>
        <v>0</v>
      </c>
      <c r="CU22" s="478">
        <f t="shared" si="74"/>
        <v>0</v>
      </c>
      <c r="CV22" s="478">
        <f t="shared" si="74"/>
        <v>0</v>
      </c>
      <c r="CW22" s="478">
        <f t="shared" si="74"/>
        <v>0</v>
      </c>
      <c r="CX22" s="478">
        <f t="shared" si="74"/>
        <v>0</v>
      </c>
      <c r="CY22" s="478">
        <f t="shared" si="74"/>
        <v>0</v>
      </c>
      <c r="CZ22" s="478">
        <f t="shared" si="74"/>
        <v>0</v>
      </c>
      <c r="DA22" s="478">
        <f t="shared" si="74"/>
        <v>0</v>
      </c>
      <c r="DB22" s="478">
        <f t="shared" si="74"/>
        <v>0</v>
      </c>
      <c r="DC22" s="478">
        <f t="shared" si="74"/>
        <v>0</v>
      </c>
      <c r="DD22" s="478">
        <f t="shared" si="74"/>
        <v>0</v>
      </c>
      <c r="DE22" s="478">
        <f t="shared" si="74"/>
        <v>0</v>
      </c>
      <c r="DF22" s="478">
        <f t="shared" si="74"/>
        <v>0</v>
      </c>
      <c r="DG22" s="478">
        <f t="shared" si="74"/>
        <v>0</v>
      </c>
      <c r="DH22" s="478">
        <f t="shared" si="74"/>
        <v>0</v>
      </c>
      <c r="DI22" s="478">
        <f t="shared" si="74"/>
        <v>0</v>
      </c>
    </row>
    <row r="23" spans="1:113" ht="16.05" hidden="1" customHeight="1" outlineLevel="1" x14ac:dyDescent="0.3">
      <c r="A23" s="455" t="str">
        <f t="shared" si="54"/>
        <v/>
      </c>
      <c r="B23" s="455"/>
      <c r="C23" s="481"/>
      <c r="D23" s="463" t="s">
        <v>688</v>
      </c>
      <c r="E23" s="482"/>
      <c r="F23" s="483"/>
      <c r="G23" s="484"/>
      <c r="H23" s="485"/>
      <c r="I23" s="466">
        <f t="shared" si="69"/>
        <v>0</v>
      </c>
      <c r="J23" s="259"/>
      <c r="K23" s="478">
        <f t="shared" si="70"/>
        <v>0</v>
      </c>
      <c r="L23" s="466">
        <f t="shared" si="57"/>
        <v>0</v>
      </c>
      <c r="M23" s="257"/>
      <c r="N23" s="478"/>
      <c r="O23" s="478"/>
      <c r="P23" s="478"/>
      <c r="Q23" s="478"/>
      <c r="R23" s="478"/>
      <c r="S23" s="478"/>
      <c r="T23" s="478"/>
      <c r="U23" s="478"/>
      <c r="V23" s="478"/>
      <c r="W23" s="478"/>
      <c r="X23" s="478"/>
      <c r="Y23" s="478"/>
      <c r="Z23" s="478"/>
      <c r="AA23" s="478"/>
      <c r="AB23" s="478"/>
      <c r="AC23" s="478"/>
      <c r="AD23" s="478"/>
      <c r="AE23" s="478"/>
      <c r="AF23" s="478"/>
      <c r="AG23" s="478"/>
      <c r="AH23" s="478"/>
      <c r="AI23" s="478"/>
      <c r="AJ23" s="478"/>
      <c r="AK23" s="478"/>
      <c r="AL23" s="478"/>
      <c r="AM23" s="478"/>
      <c r="AN23" s="478"/>
      <c r="AO23" s="478"/>
      <c r="AP23" s="478"/>
      <c r="AQ23" s="478"/>
      <c r="AR23" s="478"/>
      <c r="AS23" s="478"/>
      <c r="AT23" s="478"/>
      <c r="AU23" s="478"/>
      <c r="AV23" s="478"/>
      <c r="AW23" s="478"/>
      <c r="AX23" s="478"/>
      <c r="AY23" s="478"/>
      <c r="AZ23" s="478"/>
      <c r="BA23" s="478"/>
      <c r="BB23" s="478"/>
      <c r="BC23" s="478"/>
      <c r="BD23" s="478"/>
      <c r="BE23" s="478"/>
      <c r="BF23" s="478"/>
      <c r="BG23" s="478"/>
      <c r="BH23" s="478"/>
      <c r="BI23" s="544"/>
      <c r="BJ23" s="546"/>
      <c r="BK23" s="477">
        <f t="shared" si="71"/>
        <v>0</v>
      </c>
      <c r="BL23" s="466">
        <f t="shared" si="72"/>
        <v>0</v>
      </c>
      <c r="BM23" s="257"/>
      <c r="BN23" s="478"/>
      <c r="BO23" s="478"/>
      <c r="BP23" s="478"/>
      <c r="BQ23" s="478"/>
      <c r="BR23" s="478"/>
      <c r="BS23" s="478"/>
      <c r="BT23" s="478"/>
      <c r="BU23" s="478"/>
      <c r="BV23" s="478"/>
      <c r="BW23" s="478"/>
      <c r="BX23" s="478"/>
      <c r="BY23" s="478"/>
      <c r="BZ23" s="478"/>
      <c r="CA23" s="478"/>
      <c r="CB23" s="478"/>
      <c r="CC23" s="478"/>
      <c r="CD23" s="478"/>
      <c r="CE23" s="478"/>
      <c r="CF23" s="478"/>
      <c r="CG23" s="478"/>
      <c r="CH23" s="478"/>
      <c r="CI23" s="478"/>
      <c r="CJ23" s="478"/>
      <c r="CK23" s="478"/>
      <c r="CL23" s="478"/>
      <c r="CM23" s="478"/>
      <c r="CN23" s="478"/>
      <c r="CO23" s="478"/>
      <c r="CP23" s="478"/>
      <c r="CQ23" s="478"/>
      <c r="CR23" s="478"/>
      <c r="CS23" s="478"/>
      <c r="CT23" s="478"/>
      <c r="CU23" s="478"/>
      <c r="CV23" s="478"/>
      <c r="CW23" s="478"/>
      <c r="CX23" s="478"/>
      <c r="CY23" s="478"/>
      <c r="CZ23" s="478"/>
      <c r="DA23" s="478"/>
      <c r="DB23" s="478"/>
      <c r="DC23" s="478"/>
      <c r="DD23" s="478"/>
      <c r="DE23" s="478"/>
      <c r="DF23" s="478"/>
      <c r="DG23" s="478"/>
      <c r="DH23" s="478"/>
      <c r="DI23" s="478"/>
    </row>
    <row r="24" spans="1:113" ht="16.05" hidden="1" customHeight="1" outlineLevel="1" x14ac:dyDescent="0.3">
      <c r="A24" s="455" t="str">
        <f t="shared" si="54"/>
        <v/>
      </c>
      <c r="B24" s="455"/>
      <c r="C24" s="481"/>
      <c r="D24" s="463" t="s">
        <v>689</v>
      </c>
      <c r="E24" s="482"/>
      <c r="F24" s="483"/>
      <c r="G24" s="484"/>
      <c r="H24" s="485"/>
      <c r="I24" s="466">
        <f t="shared" si="69"/>
        <v>0</v>
      </c>
      <c r="J24" s="259"/>
      <c r="K24" s="478">
        <f t="shared" si="70"/>
        <v>0</v>
      </c>
      <c r="L24" s="466">
        <f t="shared" si="57"/>
        <v>0</v>
      </c>
      <c r="M24" s="257"/>
      <c r="N24" s="478"/>
      <c r="O24" s="478"/>
      <c r="P24" s="478"/>
      <c r="Q24" s="478"/>
      <c r="R24" s="478"/>
      <c r="S24" s="478"/>
      <c r="T24" s="478"/>
      <c r="U24" s="478"/>
      <c r="V24" s="478"/>
      <c r="W24" s="478"/>
      <c r="X24" s="478"/>
      <c r="Y24" s="478"/>
      <c r="Z24" s="478"/>
      <c r="AA24" s="478"/>
      <c r="AB24" s="478"/>
      <c r="AC24" s="478"/>
      <c r="AD24" s="478"/>
      <c r="AE24" s="478"/>
      <c r="AF24" s="478"/>
      <c r="AG24" s="478"/>
      <c r="AH24" s="478"/>
      <c r="AI24" s="478"/>
      <c r="AJ24" s="478"/>
      <c r="AK24" s="478"/>
      <c r="AL24" s="478"/>
      <c r="AM24" s="478"/>
      <c r="AN24" s="478"/>
      <c r="AO24" s="478"/>
      <c r="AP24" s="478"/>
      <c r="AQ24" s="478"/>
      <c r="AR24" s="478"/>
      <c r="AS24" s="478"/>
      <c r="AT24" s="478"/>
      <c r="AU24" s="478"/>
      <c r="AV24" s="478"/>
      <c r="AW24" s="478"/>
      <c r="AX24" s="478"/>
      <c r="AY24" s="478"/>
      <c r="AZ24" s="478"/>
      <c r="BA24" s="478"/>
      <c r="BB24" s="478"/>
      <c r="BC24" s="478"/>
      <c r="BD24" s="478"/>
      <c r="BE24" s="478"/>
      <c r="BF24" s="478"/>
      <c r="BG24" s="478"/>
      <c r="BH24" s="478"/>
      <c r="BI24" s="544"/>
      <c r="BJ24" s="546"/>
      <c r="BK24" s="477">
        <f t="shared" si="71"/>
        <v>0</v>
      </c>
      <c r="BL24" s="466">
        <f t="shared" si="72"/>
        <v>0</v>
      </c>
      <c r="BM24" s="257"/>
      <c r="BN24" s="478"/>
      <c r="BO24" s="478"/>
      <c r="BP24" s="478"/>
      <c r="BQ24" s="478"/>
      <c r="BR24" s="478"/>
      <c r="BS24" s="478"/>
      <c r="BT24" s="478"/>
      <c r="BU24" s="478"/>
      <c r="BV24" s="478"/>
      <c r="BW24" s="478"/>
      <c r="BX24" s="478"/>
      <c r="BY24" s="478"/>
      <c r="BZ24" s="478"/>
      <c r="CA24" s="478"/>
      <c r="CB24" s="478"/>
      <c r="CC24" s="478"/>
      <c r="CD24" s="478"/>
      <c r="CE24" s="478"/>
      <c r="CF24" s="478"/>
      <c r="CG24" s="478"/>
      <c r="CH24" s="478"/>
      <c r="CI24" s="478"/>
      <c r="CJ24" s="478"/>
      <c r="CK24" s="478"/>
      <c r="CL24" s="478"/>
      <c r="CM24" s="478"/>
      <c r="CN24" s="478"/>
      <c r="CO24" s="478"/>
      <c r="CP24" s="478"/>
      <c r="CQ24" s="478"/>
      <c r="CR24" s="478"/>
      <c r="CS24" s="478"/>
      <c r="CT24" s="478"/>
      <c r="CU24" s="478"/>
      <c r="CV24" s="478"/>
      <c r="CW24" s="478"/>
      <c r="CX24" s="478"/>
      <c r="CY24" s="478"/>
      <c r="CZ24" s="478"/>
      <c r="DA24" s="478"/>
      <c r="DB24" s="478"/>
      <c r="DC24" s="478"/>
      <c r="DD24" s="478"/>
      <c r="DE24" s="478"/>
      <c r="DF24" s="478"/>
      <c r="DG24" s="478"/>
      <c r="DH24" s="478"/>
      <c r="DI24" s="478"/>
    </row>
    <row r="25" spans="1:113" ht="16.05" hidden="1" customHeight="1" outlineLevel="1" x14ac:dyDescent="0.3">
      <c r="A25" s="455" t="str">
        <f t="shared" si="54"/>
        <v/>
      </c>
      <c r="B25" s="455"/>
      <c r="C25" s="481"/>
      <c r="D25" s="463" t="s">
        <v>690</v>
      </c>
      <c r="E25" s="482"/>
      <c r="F25" s="483"/>
      <c r="G25" s="484"/>
      <c r="H25" s="485"/>
      <c r="I25" s="466">
        <f t="shared" si="69"/>
        <v>0</v>
      </c>
      <c r="J25" s="259"/>
      <c r="K25" s="478">
        <f t="shared" si="70"/>
        <v>0</v>
      </c>
      <c r="L25" s="466">
        <f t="shared" si="57"/>
        <v>0</v>
      </c>
      <c r="M25" s="257"/>
      <c r="N25" s="478"/>
      <c r="O25" s="478"/>
      <c r="P25" s="478"/>
      <c r="Q25" s="478"/>
      <c r="R25" s="478"/>
      <c r="S25" s="478"/>
      <c r="T25" s="478"/>
      <c r="U25" s="478"/>
      <c r="V25" s="478"/>
      <c r="W25" s="478"/>
      <c r="X25" s="478"/>
      <c r="Y25" s="478"/>
      <c r="Z25" s="478"/>
      <c r="AA25" s="478"/>
      <c r="AB25" s="478"/>
      <c r="AC25" s="478"/>
      <c r="AD25" s="478"/>
      <c r="AE25" s="478"/>
      <c r="AF25" s="478"/>
      <c r="AG25" s="478"/>
      <c r="AH25" s="478"/>
      <c r="AI25" s="478"/>
      <c r="AJ25" s="478"/>
      <c r="AK25" s="478"/>
      <c r="AL25" s="478"/>
      <c r="AM25" s="478"/>
      <c r="AN25" s="478"/>
      <c r="AO25" s="478"/>
      <c r="AP25" s="478"/>
      <c r="AQ25" s="478"/>
      <c r="AR25" s="478"/>
      <c r="AS25" s="478"/>
      <c r="AT25" s="478"/>
      <c r="AU25" s="478"/>
      <c r="AV25" s="478"/>
      <c r="AW25" s="478"/>
      <c r="AX25" s="478"/>
      <c r="AY25" s="478"/>
      <c r="AZ25" s="478"/>
      <c r="BA25" s="478"/>
      <c r="BB25" s="478"/>
      <c r="BC25" s="478"/>
      <c r="BD25" s="478"/>
      <c r="BE25" s="478"/>
      <c r="BF25" s="478"/>
      <c r="BG25" s="478"/>
      <c r="BH25" s="478"/>
      <c r="BI25" s="544"/>
      <c r="BJ25" s="546"/>
      <c r="BK25" s="477">
        <f t="shared" si="71"/>
        <v>0</v>
      </c>
      <c r="BL25" s="466">
        <f t="shared" si="72"/>
        <v>0</v>
      </c>
      <c r="BM25" s="257"/>
      <c r="BN25" s="478"/>
      <c r="BO25" s="478"/>
      <c r="BP25" s="478"/>
      <c r="BQ25" s="478"/>
      <c r="BR25" s="478"/>
      <c r="BS25" s="478"/>
      <c r="BT25" s="478"/>
      <c r="BU25" s="478"/>
      <c r="BV25" s="478"/>
      <c r="BW25" s="478"/>
      <c r="BX25" s="478"/>
      <c r="BY25" s="478"/>
      <c r="BZ25" s="478"/>
      <c r="CA25" s="478"/>
      <c r="CB25" s="478"/>
      <c r="CC25" s="478"/>
      <c r="CD25" s="478"/>
      <c r="CE25" s="478"/>
      <c r="CF25" s="478"/>
      <c r="CG25" s="478"/>
      <c r="CH25" s="478"/>
      <c r="CI25" s="478"/>
      <c r="CJ25" s="478"/>
      <c r="CK25" s="478"/>
      <c r="CL25" s="478"/>
      <c r="CM25" s="478"/>
      <c r="CN25" s="478"/>
      <c r="CO25" s="478"/>
      <c r="CP25" s="478"/>
      <c r="CQ25" s="478"/>
      <c r="CR25" s="478"/>
      <c r="CS25" s="478"/>
      <c r="CT25" s="478"/>
      <c r="CU25" s="478"/>
      <c r="CV25" s="478"/>
      <c r="CW25" s="478"/>
      <c r="CX25" s="478"/>
      <c r="CY25" s="478"/>
      <c r="CZ25" s="478"/>
      <c r="DA25" s="478"/>
      <c r="DB25" s="478"/>
      <c r="DC25" s="478"/>
      <c r="DD25" s="478"/>
      <c r="DE25" s="478"/>
      <c r="DF25" s="478"/>
      <c r="DG25" s="478"/>
      <c r="DH25" s="478"/>
      <c r="DI25" s="478"/>
    </row>
    <row r="26" spans="1:113" ht="16.05" hidden="1" customHeight="1" outlineLevel="1" x14ac:dyDescent="0.3">
      <c r="A26" s="455" t="str">
        <f t="shared" si="54"/>
        <v/>
      </c>
      <c r="B26" s="455"/>
      <c r="C26" s="481"/>
      <c r="D26" s="463" t="s">
        <v>691</v>
      </c>
      <c r="E26" s="482"/>
      <c r="F26" s="483"/>
      <c r="G26" s="484"/>
      <c r="H26" s="485"/>
      <c r="I26" s="466">
        <f t="shared" si="69"/>
        <v>0</v>
      </c>
      <c r="J26" s="259"/>
      <c r="K26" s="478">
        <f t="shared" si="70"/>
        <v>0</v>
      </c>
      <c r="L26" s="466">
        <f t="shared" si="57"/>
        <v>0</v>
      </c>
      <c r="M26" s="257"/>
      <c r="N26" s="478"/>
      <c r="O26" s="478"/>
      <c r="P26" s="478"/>
      <c r="Q26" s="478"/>
      <c r="R26" s="478"/>
      <c r="S26" s="478"/>
      <c r="T26" s="478"/>
      <c r="U26" s="478"/>
      <c r="V26" s="478"/>
      <c r="W26" s="478"/>
      <c r="X26" s="478"/>
      <c r="Y26" s="478"/>
      <c r="Z26" s="478"/>
      <c r="AA26" s="478"/>
      <c r="AB26" s="478"/>
      <c r="AC26" s="478"/>
      <c r="AD26" s="478"/>
      <c r="AE26" s="478"/>
      <c r="AF26" s="478"/>
      <c r="AG26" s="478"/>
      <c r="AH26" s="478"/>
      <c r="AI26" s="478"/>
      <c r="AJ26" s="478"/>
      <c r="AK26" s="478"/>
      <c r="AL26" s="478"/>
      <c r="AM26" s="478"/>
      <c r="AN26" s="478"/>
      <c r="AO26" s="478"/>
      <c r="AP26" s="478"/>
      <c r="AQ26" s="478"/>
      <c r="AR26" s="478"/>
      <c r="AS26" s="478"/>
      <c r="AT26" s="478"/>
      <c r="AU26" s="478"/>
      <c r="AV26" s="478"/>
      <c r="AW26" s="478"/>
      <c r="AX26" s="478"/>
      <c r="AY26" s="478"/>
      <c r="AZ26" s="478"/>
      <c r="BA26" s="478"/>
      <c r="BB26" s="478"/>
      <c r="BC26" s="478"/>
      <c r="BD26" s="478"/>
      <c r="BE26" s="478"/>
      <c r="BF26" s="478"/>
      <c r="BG26" s="478"/>
      <c r="BH26" s="478"/>
      <c r="BI26" s="544"/>
      <c r="BJ26" s="546"/>
      <c r="BK26" s="477">
        <f t="shared" si="71"/>
        <v>0</v>
      </c>
      <c r="BL26" s="466">
        <f t="shared" si="72"/>
        <v>0</v>
      </c>
      <c r="BM26" s="257"/>
      <c r="BN26" s="478"/>
      <c r="BO26" s="478"/>
      <c r="BP26" s="478"/>
      <c r="BQ26" s="478"/>
      <c r="BR26" s="478"/>
      <c r="BS26" s="478"/>
      <c r="BT26" s="478"/>
      <c r="BU26" s="478"/>
      <c r="BV26" s="478"/>
      <c r="BW26" s="478"/>
      <c r="BX26" s="478"/>
      <c r="BY26" s="478"/>
      <c r="BZ26" s="478"/>
      <c r="CA26" s="478"/>
      <c r="CB26" s="478"/>
      <c r="CC26" s="478"/>
      <c r="CD26" s="478"/>
      <c r="CE26" s="478"/>
      <c r="CF26" s="478"/>
      <c r="CG26" s="478"/>
      <c r="CH26" s="478"/>
      <c r="CI26" s="478"/>
      <c r="CJ26" s="478"/>
      <c r="CK26" s="478"/>
      <c r="CL26" s="478"/>
      <c r="CM26" s="478"/>
      <c r="CN26" s="478"/>
      <c r="CO26" s="478"/>
      <c r="CP26" s="478"/>
      <c r="CQ26" s="478"/>
      <c r="CR26" s="478"/>
      <c r="CS26" s="478"/>
      <c r="CT26" s="478"/>
      <c r="CU26" s="478"/>
      <c r="CV26" s="478"/>
      <c r="CW26" s="478"/>
      <c r="CX26" s="478"/>
      <c r="CY26" s="478"/>
      <c r="CZ26" s="478"/>
      <c r="DA26" s="478"/>
      <c r="DB26" s="478"/>
      <c r="DC26" s="478"/>
      <c r="DD26" s="478"/>
      <c r="DE26" s="478"/>
      <c r="DF26" s="478"/>
      <c r="DG26" s="478"/>
      <c r="DH26" s="478"/>
      <c r="DI26" s="478"/>
    </row>
    <row r="27" spans="1:113" ht="16.05" hidden="1" customHeight="1" outlineLevel="1" x14ac:dyDescent="0.3">
      <c r="A27" s="455" t="str">
        <f t="shared" si="54"/>
        <v/>
      </c>
      <c r="B27" s="455"/>
      <c r="C27" s="481"/>
      <c r="D27" s="463" t="s">
        <v>692</v>
      </c>
      <c r="E27" s="482"/>
      <c r="F27" s="483"/>
      <c r="G27" s="484"/>
      <c r="H27" s="485"/>
      <c r="I27" s="466">
        <f t="shared" si="69"/>
        <v>0</v>
      </c>
      <c r="J27" s="259"/>
      <c r="K27" s="478">
        <f t="shared" si="70"/>
        <v>0</v>
      </c>
      <c r="L27" s="466">
        <f t="shared" si="57"/>
        <v>0</v>
      </c>
      <c r="M27" s="257"/>
      <c r="N27" s="478"/>
      <c r="O27" s="478"/>
      <c r="P27" s="478"/>
      <c r="Q27" s="478"/>
      <c r="R27" s="478"/>
      <c r="S27" s="478"/>
      <c r="T27" s="478"/>
      <c r="U27" s="478"/>
      <c r="V27" s="478"/>
      <c r="W27" s="478"/>
      <c r="X27" s="478"/>
      <c r="Y27" s="478"/>
      <c r="Z27" s="478"/>
      <c r="AA27" s="478"/>
      <c r="AB27" s="478"/>
      <c r="AC27" s="478"/>
      <c r="AD27" s="478"/>
      <c r="AE27" s="478"/>
      <c r="AF27" s="478"/>
      <c r="AG27" s="478"/>
      <c r="AH27" s="478"/>
      <c r="AI27" s="478"/>
      <c r="AJ27" s="478"/>
      <c r="AK27" s="478"/>
      <c r="AL27" s="478"/>
      <c r="AM27" s="478"/>
      <c r="AN27" s="478"/>
      <c r="AO27" s="478"/>
      <c r="AP27" s="478"/>
      <c r="AQ27" s="478"/>
      <c r="AR27" s="478"/>
      <c r="AS27" s="478"/>
      <c r="AT27" s="478"/>
      <c r="AU27" s="478"/>
      <c r="AV27" s="478"/>
      <c r="AW27" s="478"/>
      <c r="AX27" s="478"/>
      <c r="AY27" s="478"/>
      <c r="AZ27" s="478"/>
      <c r="BA27" s="478"/>
      <c r="BB27" s="478"/>
      <c r="BC27" s="478"/>
      <c r="BD27" s="478"/>
      <c r="BE27" s="478"/>
      <c r="BF27" s="478"/>
      <c r="BG27" s="478"/>
      <c r="BH27" s="478"/>
      <c r="BI27" s="544"/>
      <c r="BJ27" s="546"/>
      <c r="BK27" s="477">
        <f t="shared" si="71"/>
        <v>0</v>
      </c>
      <c r="BL27" s="466">
        <f t="shared" si="72"/>
        <v>0</v>
      </c>
      <c r="BM27" s="257"/>
      <c r="BN27" s="478"/>
      <c r="BO27" s="478"/>
      <c r="BP27" s="478"/>
      <c r="BQ27" s="478"/>
      <c r="BR27" s="478"/>
      <c r="BS27" s="478"/>
      <c r="BT27" s="478"/>
      <c r="BU27" s="478"/>
      <c r="BV27" s="478"/>
      <c r="BW27" s="478"/>
      <c r="BX27" s="478"/>
      <c r="BY27" s="478"/>
      <c r="BZ27" s="478"/>
      <c r="CA27" s="478"/>
      <c r="CB27" s="478"/>
      <c r="CC27" s="478"/>
      <c r="CD27" s="478"/>
      <c r="CE27" s="478"/>
      <c r="CF27" s="478"/>
      <c r="CG27" s="478"/>
      <c r="CH27" s="478"/>
      <c r="CI27" s="478"/>
      <c r="CJ27" s="478"/>
      <c r="CK27" s="478"/>
      <c r="CL27" s="478"/>
      <c r="CM27" s="478"/>
      <c r="CN27" s="478"/>
      <c r="CO27" s="478"/>
      <c r="CP27" s="478"/>
      <c r="CQ27" s="478"/>
      <c r="CR27" s="478"/>
      <c r="CS27" s="478"/>
      <c r="CT27" s="478"/>
      <c r="CU27" s="478"/>
      <c r="CV27" s="478"/>
      <c r="CW27" s="478"/>
      <c r="CX27" s="478"/>
      <c r="CY27" s="478"/>
      <c r="CZ27" s="478"/>
      <c r="DA27" s="478"/>
      <c r="DB27" s="478"/>
      <c r="DC27" s="478"/>
      <c r="DD27" s="478"/>
      <c r="DE27" s="478"/>
      <c r="DF27" s="478"/>
      <c r="DG27" s="478"/>
      <c r="DH27" s="478"/>
      <c r="DI27" s="478"/>
    </row>
    <row r="28" spans="1:113" ht="16.05" hidden="1" customHeight="1" outlineLevel="1" x14ac:dyDescent="0.3">
      <c r="A28" s="455" t="str">
        <f t="shared" si="54"/>
        <v/>
      </c>
      <c r="B28" s="455"/>
      <c r="C28" s="481"/>
      <c r="D28" s="463" t="s">
        <v>693</v>
      </c>
      <c r="E28" s="482"/>
      <c r="F28" s="483"/>
      <c r="G28" s="484"/>
      <c r="H28" s="485"/>
      <c r="I28" s="466">
        <f t="shared" si="69"/>
        <v>0</v>
      </c>
      <c r="J28" s="259"/>
      <c r="K28" s="478">
        <f t="shared" si="70"/>
        <v>0</v>
      </c>
      <c r="L28" s="466">
        <f t="shared" si="57"/>
        <v>0</v>
      </c>
      <c r="M28" s="257"/>
      <c r="N28" s="478"/>
      <c r="O28" s="478"/>
      <c r="P28" s="478"/>
      <c r="Q28" s="478"/>
      <c r="R28" s="478"/>
      <c r="S28" s="478"/>
      <c r="T28" s="478"/>
      <c r="U28" s="478"/>
      <c r="V28" s="478"/>
      <c r="W28" s="478"/>
      <c r="X28" s="478"/>
      <c r="Y28" s="478"/>
      <c r="Z28" s="478"/>
      <c r="AA28" s="478"/>
      <c r="AB28" s="478"/>
      <c r="AC28" s="478"/>
      <c r="AD28" s="478"/>
      <c r="AE28" s="478"/>
      <c r="AF28" s="478"/>
      <c r="AG28" s="478"/>
      <c r="AH28" s="478"/>
      <c r="AI28" s="478"/>
      <c r="AJ28" s="478"/>
      <c r="AK28" s="478"/>
      <c r="AL28" s="478"/>
      <c r="AM28" s="478"/>
      <c r="AN28" s="478"/>
      <c r="AO28" s="478"/>
      <c r="AP28" s="478"/>
      <c r="AQ28" s="478"/>
      <c r="AR28" s="478"/>
      <c r="AS28" s="478"/>
      <c r="AT28" s="478"/>
      <c r="AU28" s="478"/>
      <c r="AV28" s="478"/>
      <c r="AW28" s="478"/>
      <c r="AX28" s="478"/>
      <c r="AY28" s="478"/>
      <c r="AZ28" s="478"/>
      <c r="BA28" s="478"/>
      <c r="BB28" s="478"/>
      <c r="BC28" s="478"/>
      <c r="BD28" s="478"/>
      <c r="BE28" s="478"/>
      <c r="BF28" s="478"/>
      <c r="BG28" s="478"/>
      <c r="BH28" s="478"/>
      <c r="BI28" s="544"/>
      <c r="BJ28" s="546"/>
      <c r="BK28" s="477">
        <f t="shared" si="71"/>
        <v>0</v>
      </c>
      <c r="BL28" s="466">
        <f t="shared" si="72"/>
        <v>0</v>
      </c>
      <c r="BM28" s="257"/>
      <c r="BN28" s="478"/>
      <c r="BO28" s="478"/>
      <c r="BP28" s="478"/>
      <c r="BQ28" s="478"/>
      <c r="BR28" s="478"/>
      <c r="BS28" s="478"/>
      <c r="BT28" s="478"/>
      <c r="BU28" s="478"/>
      <c r="BV28" s="478"/>
      <c r="BW28" s="478"/>
      <c r="BX28" s="478"/>
      <c r="BY28" s="478"/>
      <c r="BZ28" s="478"/>
      <c r="CA28" s="478"/>
      <c r="CB28" s="478"/>
      <c r="CC28" s="478"/>
      <c r="CD28" s="478"/>
      <c r="CE28" s="478"/>
      <c r="CF28" s="478"/>
      <c r="CG28" s="478"/>
      <c r="CH28" s="478"/>
      <c r="CI28" s="478"/>
      <c r="CJ28" s="478"/>
      <c r="CK28" s="478"/>
      <c r="CL28" s="478"/>
      <c r="CM28" s="478"/>
      <c r="CN28" s="478"/>
      <c r="CO28" s="478"/>
      <c r="CP28" s="478"/>
      <c r="CQ28" s="478"/>
      <c r="CR28" s="478"/>
      <c r="CS28" s="478"/>
      <c r="CT28" s="478"/>
      <c r="CU28" s="478"/>
      <c r="CV28" s="478"/>
      <c r="CW28" s="478"/>
      <c r="CX28" s="478"/>
      <c r="CY28" s="478"/>
      <c r="CZ28" s="478"/>
      <c r="DA28" s="478"/>
      <c r="DB28" s="478"/>
      <c r="DC28" s="478"/>
      <c r="DD28" s="478"/>
      <c r="DE28" s="478"/>
      <c r="DF28" s="478"/>
      <c r="DG28" s="478"/>
      <c r="DH28" s="478"/>
      <c r="DI28" s="478"/>
    </row>
    <row r="29" spans="1:113" ht="16.05" hidden="1" customHeight="1" outlineLevel="1" x14ac:dyDescent="0.3">
      <c r="A29" s="455" t="str">
        <f t="shared" si="54"/>
        <v/>
      </c>
      <c r="B29" s="455"/>
      <c r="C29" s="481"/>
      <c r="D29" s="463" t="s">
        <v>694</v>
      </c>
      <c r="E29" s="482"/>
      <c r="F29" s="483"/>
      <c r="G29" s="484"/>
      <c r="H29" s="485"/>
      <c r="I29" s="466">
        <f t="shared" si="69"/>
        <v>0</v>
      </c>
      <c r="J29" s="259"/>
      <c r="K29" s="478">
        <f t="shared" si="70"/>
        <v>0</v>
      </c>
      <c r="L29" s="466">
        <f t="shared" si="57"/>
        <v>0</v>
      </c>
      <c r="M29" s="257"/>
      <c r="N29" s="478"/>
      <c r="O29" s="478"/>
      <c r="P29" s="478"/>
      <c r="Q29" s="478"/>
      <c r="R29" s="478"/>
      <c r="S29" s="478"/>
      <c r="T29" s="478"/>
      <c r="U29" s="478"/>
      <c r="V29" s="478"/>
      <c r="W29" s="478"/>
      <c r="X29" s="478"/>
      <c r="Y29" s="478"/>
      <c r="Z29" s="478"/>
      <c r="AA29" s="478"/>
      <c r="AB29" s="478"/>
      <c r="AC29" s="478"/>
      <c r="AD29" s="478"/>
      <c r="AE29" s="478"/>
      <c r="AF29" s="478"/>
      <c r="AG29" s="478"/>
      <c r="AH29" s="478"/>
      <c r="AI29" s="478"/>
      <c r="AJ29" s="478"/>
      <c r="AK29" s="478"/>
      <c r="AL29" s="478"/>
      <c r="AM29" s="478"/>
      <c r="AN29" s="478"/>
      <c r="AO29" s="478"/>
      <c r="AP29" s="478"/>
      <c r="AQ29" s="478"/>
      <c r="AR29" s="478"/>
      <c r="AS29" s="478"/>
      <c r="AT29" s="478"/>
      <c r="AU29" s="478"/>
      <c r="AV29" s="478"/>
      <c r="AW29" s="478"/>
      <c r="AX29" s="478"/>
      <c r="AY29" s="478"/>
      <c r="AZ29" s="478"/>
      <c r="BA29" s="478"/>
      <c r="BB29" s="478"/>
      <c r="BC29" s="478"/>
      <c r="BD29" s="478"/>
      <c r="BE29" s="478"/>
      <c r="BF29" s="478"/>
      <c r="BG29" s="478"/>
      <c r="BH29" s="478"/>
      <c r="BI29" s="544"/>
      <c r="BJ29" s="546"/>
      <c r="BK29" s="477">
        <f t="shared" si="71"/>
        <v>0</v>
      </c>
      <c r="BL29" s="466">
        <f t="shared" si="72"/>
        <v>0</v>
      </c>
      <c r="BM29" s="257"/>
      <c r="BN29" s="478"/>
      <c r="BO29" s="478"/>
      <c r="BP29" s="478"/>
      <c r="BQ29" s="478"/>
      <c r="BR29" s="478"/>
      <c r="BS29" s="478"/>
      <c r="BT29" s="478"/>
      <c r="BU29" s="478"/>
      <c r="BV29" s="478"/>
      <c r="BW29" s="478"/>
      <c r="BX29" s="478"/>
      <c r="BY29" s="478"/>
      <c r="BZ29" s="478"/>
      <c r="CA29" s="478"/>
      <c r="CB29" s="478"/>
      <c r="CC29" s="478"/>
      <c r="CD29" s="478"/>
      <c r="CE29" s="478"/>
      <c r="CF29" s="478"/>
      <c r="CG29" s="478"/>
      <c r="CH29" s="478"/>
      <c r="CI29" s="478"/>
      <c r="CJ29" s="478"/>
      <c r="CK29" s="478"/>
      <c r="CL29" s="478"/>
      <c r="CM29" s="478"/>
      <c r="CN29" s="478"/>
      <c r="CO29" s="478"/>
      <c r="CP29" s="478"/>
      <c r="CQ29" s="478"/>
      <c r="CR29" s="478"/>
      <c r="CS29" s="478"/>
      <c r="CT29" s="478"/>
      <c r="CU29" s="478"/>
      <c r="CV29" s="478"/>
      <c r="CW29" s="478"/>
      <c r="CX29" s="478"/>
      <c r="CY29" s="478"/>
      <c r="CZ29" s="478"/>
      <c r="DA29" s="478"/>
      <c r="DB29" s="478"/>
      <c r="DC29" s="478"/>
      <c r="DD29" s="478"/>
      <c r="DE29" s="478"/>
      <c r="DF29" s="478"/>
      <c r="DG29" s="478"/>
      <c r="DH29" s="478"/>
      <c r="DI29" s="478"/>
    </row>
    <row r="30" spans="1:113" ht="16.05" hidden="1" customHeight="1" outlineLevel="1" x14ac:dyDescent="0.3">
      <c r="A30" s="455" t="str">
        <f t="shared" si="54"/>
        <v/>
      </c>
      <c r="B30" s="455"/>
      <c r="C30" s="481"/>
      <c r="D30" s="463" t="s">
        <v>695</v>
      </c>
      <c r="E30" s="482"/>
      <c r="F30" s="483"/>
      <c r="G30" s="484"/>
      <c r="H30" s="485"/>
      <c r="I30" s="466">
        <f t="shared" si="69"/>
        <v>0</v>
      </c>
      <c r="J30" s="259"/>
      <c r="K30" s="478">
        <f t="shared" si="70"/>
        <v>0</v>
      </c>
      <c r="L30" s="466">
        <f t="shared" si="57"/>
        <v>0</v>
      </c>
      <c r="M30" s="257"/>
      <c r="N30" s="478"/>
      <c r="O30" s="478"/>
      <c r="P30" s="478"/>
      <c r="Q30" s="478"/>
      <c r="R30" s="478"/>
      <c r="S30" s="478"/>
      <c r="T30" s="478"/>
      <c r="U30" s="478"/>
      <c r="V30" s="478"/>
      <c r="W30" s="478"/>
      <c r="X30" s="478"/>
      <c r="Y30" s="478"/>
      <c r="Z30" s="478"/>
      <c r="AA30" s="478"/>
      <c r="AB30" s="478"/>
      <c r="AC30" s="478"/>
      <c r="AD30" s="478"/>
      <c r="AE30" s="478"/>
      <c r="AF30" s="478"/>
      <c r="AG30" s="478"/>
      <c r="AH30" s="478"/>
      <c r="AI30" s="478"/>
      <c r="AJ30" s="478"/>
      <c r="AK30" s="478"/>
      <c r="AL30" s="478"/>
      <c r="AM30" s="478"/>
      <c r="AN30" s="478"/>
      <c r="AO30" s="478"/>
      <c r="AP30" s="478"/>
      <c r="AQ30" s="478"/>
      <c r="AR30" s="478"/>
      <c r="AS30" s="478"/>
      <c r="AT30" s="478"/>
      <c r="AU30" s="478"/>
      <c r="AV30" s="478"/>
      <c r="AW30" s="478"/>
      <c r="AX30" s="478"/>
      <c r="AY30" s="478"/>
      <c r="AZ30" s="478"/>
      <c r="BA30" s="478"/>
      <c r="BB30" s="478"/>
      <c r="BC30" s="478"/>
      <c r="BD30" s="478"/>
      <c r="BE30" s="478"/>
      <c r="BF30" s="478"/>
      <c r="BG30" s="478"/>
      <c r="BH30" s="478"/>
      <c r="BI30" s="544"/>
      <c r="BJ30" s="546"/>
      <c r="BK30" s="477">
        <f t="shared" si="71"/>
        <v>0</v>
      </c>
      <c r="BL30" s="466">
        <f t="shared" si="72"/>
        <v>0</v>
      </c>
      <c r="BM30" s="257"/>
      <c r="BN30" s="478"/>
      <c r="BO30" s="478"/>
      <c r="BP30" s="478"/>
      <c r="BQ30" s="478"/>
      <c r="BR30" s="478"/>
      <c r="BS30" s="478"/>
      <c r="BT30" s="478"/>
      <c r="BU30" s="478"/>
      <c r="BV30" s="478"/>
      <c r="BW30" s="478"/>
      <c r="BX30" s="478"/>
      <c r="BY30" s="478"/>
      <c r="BZ30" s="478"/>
      <c r="CA30" s="478"/>
      <c r="CB30" s="478"/>
      <c r="CC30" s="478"/>
      <c r="CD30" s="478"/>
      <c r="CE30" s="478"/>
      <c r="CF30" s="478"/>
      <c r="CG30" s="478"/>
      <c r="CH30" s="478"/>
      <c r="CI30" s="478"/>
      <c r="CJ30" s="478"/>
      <c r="CK30" s="478"/>
      <c r="CL30" s="478"/>
      <c r="CM30" s="478"/>
      <c r="CN30" s="478"/>
      <c r="CO30" s="478"/>
      <c r="CP30" s="478"/>
      <c r="CQ30" s="478"/>
      <c r="CR30" s="478"/>
      <c r="CS30" s="478"/>
      <c r="CT30" s="478"/>
      <c r="CU30" s="478"/>
      <c r="CV30" s="478"/>
      <c r="CW30" s="478"/>
      <c r="CX30" s="478"/>
      <c r="CY30" s="478"/>
      <c r="CZ30" s="478"/>
      <c r="DA30" s="478"/>
      <c r="DB30" s="478"/>
      <c r="DC30" s="478"/>
      <c r="DD30" s="478"/>
      <c r="DE30" s="478"/>
      <c r="DF30" s="478"/>
      <c r="DG30" s="478"/>
      <c r="DH30" s="478"/>
      <c r="DI30" s="478"/>
    </row>
    <row r="31" spans="1:113" ht="16.05" hidden="1" customHeight="1" outlineLevel="1" x14ac:dyDescent="0.3">
      <c r="A31" s="455" t="str">
        <f t="shared" si="54"/>
        <v/>
      </c>
      <c r="B31" s="455"/>
      <c r="C31" s="481"/>
      <c r="D31" s="463" t="s">
        <v>696</v>
      </c>
      <c r="E31" s="482"/>
      <c r="F31" s="483"/>
      <c r="G31" s="484"/>
      <c r="H31" s="485"/>
      <c r="I31" s="466">
        <f t="shared" si="69"/>
        <v>0</v>
      </c>
      <c r="J31" s="259"/>
      <c r="K31" s="478">
        <f t="shared" si="70"/>
        <v>0</v>
      </c>
      <c r="L31" s="466">
        <f t="shared" si="57"/>
        <v>0</v>
      </c>
      <c r="M31" s="257"/>
      <c r="N31" s="478"/>
      <c r="O31" s="478"/>
      <c r="P31" s="478"/>
      <c r="Q31" s="478"/>
      <c r="R31" s="478"/>
      <c r="S31" s="478"/>
      <c r="T31" s="478"/>
      <c r="U31" s="478"/>
      <c r="V31" s="478"/>
      <c r="W31" s="478"/>
      <c r="X31" s="478"/>
      <c r="Y31" s="478"/>
      <c r="Z31" s="478"/>
      <c r="AA31" s="478"/>
      <c r="AB31" s="478"/>
      <c r="AC31" s="478"/>
      <c r="AD31" s="478"/>
      <c r="AE31" s="478"/>
      <c r="AF31" s="478"/>
      <c r="AG31" s="478"/>
      <c r="AH31" s="478"/>
      <c r="AI31" s="478"/>
      <c r="AJ31" s="478"/>
      <c r="AK31" s="478"/>
      <c r="AL31" s="478"/>
      <c r="AM31" s="478"/>
      <c r="AN31" s="478"/>
      <c r="AO31" s="478"/>
      <c r="AP31" s="478"/>
      <c r="AQ31" s="478"/>
      <c r="AR31" s="478"/>
      <c r="AS31" s="478"/>
      <c r="AT31" s="478"/>
      <c r="AU31" s="478"/>
      <c r="AV31" s="478"/>
      <c r="AW31" s="478"/>
      <c r="AX31" s="478"/>
      <c r="AY31" s="478"/>
      <c r="AZ31" s="478"/>
      <c r="BA31" s="478"/>
      <c r="BB31" s="478"/>
      <c r="BC31" s="478"/>
      <c r="BD31" s="478"/>
      <c r="BE31" s="478"/>
      <c r="BF31" s="478"/>
      <c r="BG31" s="478"/>
      <c r="BH31" s="478"/>
      <c r="BI31" s="478"/>
      <c r="BJ31" s="245"/>
      <c r="BK31" s="477">
        <f t="shared" si="71"/>
        <v>0</v>
      </c>
      <c r="BL31" s="466">
        <f t="shared" si="72"/>
        <v>0</v>
      </c>
      <c r="BM31" s="257"/>
      <c r="BN31" s="478"/>
      <c r="BO31" s="478"/>
      <c r="BP31" s="478"/>
      <c r="BQ31" s="478"/>
      <c r="BR31" s="478"/>
      <c r="BS31" s="478"/>
      <c r="BT31" s="478"/>
      <c r="BU31" s="478"/>
      <c r="BV31" s="478"/>
      <c r="BW31" s="478"/>
      <c r="BX31" s="478"/>
      <c r="BY31" s="478"/>
      <c r="BZ31" s="478"/>
      <c r="CA31" s="478"/>
      <c r="CB31" s="478"/>
      <c r="CC31" s="478"/>
      <c r="CD31" s="478"/>
      <c r="CE31" s="478"/>
      <c r="CF31" s="478"/>
      <c r="CG31" s="478"/>
      <c r="CH31" s="478"/>
      <c r="CI31" s="478"/>
      <c r="CJ31" s="478"/>
      <c r="CK31" s="478"/>
      <c r="CL31" s="478"/>
      <c r="CM31" s="478"/>
      <c r="CN31" s="478"/>
      <c r="CO31" s="478"/>
      <c r="CP31" s="478"/>
      <c r="CQ31" s="478"/>
      <c r="CR31" s="478"/>
      <c r="CS31" s="478"/>
      <c r="CT31" s="478"/>
      <c r="CU31" s="478"/>
      <c r="CV31" s="478"/>
      <c r="CW31" s="478"/>
      <c r="CX31" s="478"/>
      <c r="CY31" s="478"/>
      <c r="CZ31" s="478"/>
      <c r="DA31" s="478"/>
      <c r="DB31" s="478"/>
      <c r="DC31" s="478"/>
      <c r="DD31" s="478"/>
      <c r="DE31" s="478"/>
      <c r="DF31" s="478"/>
      <c r="DG31" s="478"/>
      <c r="DH31" s="478"/>
      <c r="DI31" s="478"/>
    </row>
    <row r="32" spans="1:113" ht="8.1" customHeight="1" outlineLevel="1" x14ac:dyDescent="0.3">
      <c r="A32" s="455" t="str">
        <f>IF(COUNTIF(A12:A31,"Imprimir")&gt;0,"Imprimir","")</f>
        <v>Imprimir</v>
      </c>
      <c r="B32" s="455"/>
      <c r="C32" s="464"/>
      <c r="D32" s="461"/>
      <c r="E32" s="462"/>
      <c r="F32" s="462"/>
      <c r="G32" s="461"/>
      <c r="H32" s="461"/>
      <c r="I32" s="461"/>
      <c r="J32" s="259"/>
      <c r="K32" s="255"/>
      <c r="L32" s="256"/>
      <c r="M32" s="257"/>
      <c r="N32" s="255"/>
      <c r="O32" s="255"/>
      <c r="P32" s="255"/>
      <c r="Q32" s="255"/>
      <c r="R32" s="255"/>
      <c r="S32" s="255"/>
      <c r="T32" s="255"/>
      <c r="U32" s="255"/>
      <c r="V32" s="255"/>
      <c r="W32" s="255"/>
      <c r="X32" s="255"/>
      <c r="Y32" s="255"/>
      <c r="Z32" s="255"/>
      <c r="AA32" s="255"/>
      <c r="AB32" s="255"/>
      <c r="AC32" s="255"/>
      <c r="AD32" s="255"/>
      <c r="AE32" s="255"/>
      <c r="AF32" s="255"/>
      <c r="AG32" s="255"/>
      <c r="AH32" s="255"/>
      <c r="AI32" s="255"/>
      <c r="AJ32" s="255"/>
      <c r="AK32" s="255"/>
      <c r="AL32" s="255"/>
      <c r="AM32" s="524"/>
      <c r="AN32" s="255"/>
      <c r="AO32" s="255"/>
      <c r="AP32" s="255"/>
      <c r="AQ32" s="255"/>
      <c r="AR32" s="255"/>
      <c r="AS32" s="255"/>
      <c r="AT32" s="255"/>
      <c r="AU32" s="255"/>
      <c r="AV32" s="255"/>
      <c r="AW32" s="255"/>
      <c r="AX32" s="255"/>
      <c r="AY32" s="255"/>
      <c r="AZ32" s="255"/>
      <c r="BA32" s="255"/>
      <c r="BB32" s="255"/>
      <c r="BC32" s="255"/>
      <c r="BD32" s="255"/>
      <c r="BE32" s="255"/>
      <c r="BF32" s="255"/>
      <c r="BG32" s="255"/>
      <c r="BH32" s="255"/>
      <c r="BI32" s="255"/>
      <c r="BJ32" s="245"/>
      <c r="BK32" s="256"/>
      <c r="BL32" s="256"/>
      <c r="BM32" s="257"/>
      <c r="BN32" s="255"/>
      <c r="BO32" s="255"/>
      <c r="BP32" s="255"/>
      <c r="BQ32" s="255"/>
      <c r="BR32" s="255"/>
      <c r="BS32" s="255"/>
      <c r="BT32" s="255"/>
      <c r="BU32" s="255"/>
      <c r="BV32" s="255"/>
      <c r="BW32" s="255"/>
      <c r="BX32" s="255"/>
      <c r="BY32" s="255"/>
      <c r="BZ32" s="255"/>
      <c r="CA32" s="255"/>
      <c r="CB32" s="255"/>
      <c r="CC32" s="255"/>
      <c r="CD32" s="255"/>
      <c r="CE32" s="255"/>
      <c r="CF32" s="255"/>
      <c r="CG32" s="255"/>
      <c r="CH32" s="255"/>
      <c r="CI32" s="255"/>
      <c r="CJ32" s="255"/>
      <c r="CK32" s="255"/>
      <c r="CL32" s="255"/>
      <c r="CM32" s="255"/>
      <c r="CN32" s="255"/>
      <c r="CO32" s="255"/>
      <c r="CP32" s="255"/>
      <c r="CQ32" s="255"/>
      <c r="CR32" s="255"/>
      <c r="CS32" s="255"/>
      <c r="CT32" s="255"/>
      <c r="CU32" s="255"/>
      <c r="CV32" s="255"/>
      <c r="CW32" s="255"/>
      <c r="CX32" s="255"/>
      <c r="CY32" s="255"/>
      <c r="CZ32" s="255"/>
      <c r="DA32" s="255"/>
      <c r="DB32" s="255"/>
      <c r="DC32" s="255"/>
      <c r="DD32" s="255"/>
      <c r="DE32" s="255"/>
      <c r="DF32" s="255"/>
      <c r="DG32" s="255"/>
      <c r="DH32" s="255"/>
      <c r="DI32" s="524"/>
    </row>
    <row r="33" spans="1:113" ht="16.05" customHeight="1" x14ac:dyDescent="0.3">
      <c r="A33" s="455" t="str">
        <f t="shared" ref="A33" si="75">IF(COUNTIF(A34:A53,"Imprimir")&gt;0,"Imprimir","")</f>
        <v>Imprimir</v>
      </c>
      <c r="B33" s="455"/>
      <c r="C33" s="459"/>
      <c r="D33" s="459"/>
      <c r="E33" s="460" t="s">
        <v>4318</v>
      </c>
      <c r="F33" s="460"/>
      <c r="G33" s="460"/>
      <c r="H33" s="465"/>
      <c r="I33" s="465">
        <f>SUBTOTAL(9,I34:I54)</f>
        <v>1188836.1936000001</v>
      </c>
      <c r="J33" s="259"/>
      <c r="K33" s="465"/>
      <c r="L33" s="465">
        <f>SUBTOTAL(9,L34:L54)</f>
        <v>1188836.1936000001</v>
      </c>
      <c r="M33" s="257"/>
      <c r="N33" s="465">
        <f>SUMPRODUCT(N34:N54,$H34:$H54)</f>
        <v>42321.076000000001</v>
      </c>
      <c r="O33" s="465">
        <f>SUMPRODUCT(O34:O54,$H34:$H54)</f>
        <v>143818.38</v>
      </c>
      <c r="P33" s="465">
        <f t="shared" ref="P33" si="76">SUMPRODUCT(P34:P54,$H34:$H54)</f>
        <v>158928.23359999998</v>
      </c>
      <c r="Q33" s="465">
        <f t="shared" ref="Q33" si="77">SUMPRODUCT(Q34:Q54,$H34:$H54)</f>
        <v>150138.38</v>
      </c>
      <c r="R33" s="465">
        <f t="shared" ref="R33" si="78">SUMPRODUCT(R34:R54,$H34:$H54)</f>
        <v>150138.38</v>
      </c>
      <c r="S33" s="465">
        <f t="shared" ref="S33" si="79">SUMPRODUCT(S34:S54,$H34:$H54)</f>
        <v>10653.69</v>
      </c>
      <c r="T33" s="465">
        <f t="shared" ref="T33" si="80">SUMPRODUCT(T34:T54,$H34:$H54)</f>
        <v>0</v>
      </c>
      <c r="U33" s="465">
        <f t="shared" ref="U33" si="81">SUMPRODUCT(U34:U54,$H34:$H54)</f>
        <v>128830.99999999999</v>
      </c>
      <c r="V33" s="465">
        <f t="shared" ref="V33" si="82">SUMPRODUCT(V34:V54,$H34:$H54)</f>
        <v>128830.99999999999</v>
      </c>
      <c r="W33" s="465">
        <f t="shared" ref="W33" si="83">SUMPRODUCT(W34:W54,$H34:$H54)</f>
        <v>128830.99999999999</v>
      </c>
      <c r="X33" s="465">
        <f t="shared" ref="X33" si="84">SUMPRODUCT(X34:X54,$H34:$H54)</f>
        <v>135897.17799999999</v>
      </c>
      <c r="Y33" s="465">
        <f t="shared" ref="Y33" si="85">SUMPRODUCT(Y34:Y54,$H34:$H54)</f>
        <v>10447.875999999998</v>
      </c>
      <c r="Z33" s="465">
        <f t="shared" ref="Z33" si="86">SUMPRODUCT(Z34:Z54,$H34:$H54)</f>
        <v>0</v>
      </c>
      <c r="AA33" s="465">
        <f t="shared" ref="AA33" si="87">SUMPRODUCT(AA34:AA54,$H34:$H54)</f>
        <v>0</v>
      </c>
      <c r="AB33" s="465">
        <f t="shared" ref="AB33" si="88">SUMPRODUCT(AB34:AB54,$H34:$H54)</f>
        <v>0</v>
      </c>
      <c r="AC33" s="465">
        <f t="shared" ref="AC33" si="89">SUMPRODUCT(AC34:AC54,$H34:$H54)</f>
        <v>0</v>
      </c>
      <c r="AD33" s="465">
        <f t="shared" ref="AD33" si="90">SUMPRODUCT(AD34:AD54,$H34:$H54)</f>
        <v>0</v>
      </c>
      <c r="AE33" s="465">
        <f t="shared" ref="AE33" si="91">SUMPRODUCT(AE34:AE54,$H34:$H54)</f>
        <v>0</v>
      </c>
      <c r="AF33" s="465">
        <f t="shared" ref="AF33" si="92">SUMPRODUCT(AF34:AF54,$H34:$H54)</f>
        <v>0</v>
      </c>
      <c r="AG33" s="465">
        <f t="shared" ref="AG33" si="93">SUMPRODUCT(AG34:AG54,$H34:$H54)</f>
        <v>0</v>
      </c>
      <c r="AH33" s="465">
        <f t="shared" ref="AH33" si="94">SUMPRODUCT(AH34:AH54,$H34:$H54)</f>
        <v>0</v>
      </c>
      <c r="AI33" s="465">
        <f t="shared" ref="AI33" si="95">SUMPRODUCT(AI34:AI54,$H34:$H54)</f>
        <v>0</v>
      </c>
      <c r="AJ33" s="465">
        <f t="shared" ref="AJ33:BI33" si="96">SUMPRODUCT(AJ34:AJ54,$H34:$H54)</f>
        <v>0</v>
      </c>
      <c r="AK33" s="465">
        <f t="shared" si="96"/>
        <v>0</v>
      </c>
      <c r="AL33" s="465">
        <f t="shared" si="96"/>
        <v>0</v>
      </c>
      <c r="AM33" s="465">
        <f t="shared" si="96"/>
        <v>0</v>
      </c>
      <c r="AN33" s="465">
        <f t="shared" si="96"/>
        <v>0</v>
      </c>
      <c r="AO33" s="465">
        <f t="shared" si="96"/>
        <v>0</v>
      </c>
      <c r="AP33" s="465">
        <f t="shared" si="96"/>
        <v>0</v>
      </c>
      <c r="AQ33" s="465">
        <f t="shared" si="96"/>
        <v>0</v>
      </c>
      <c r="AR33" s="465">
        <f t="shared" si="96"/>
        <v>0</v>
      </c>
      <c r="AS33" s="465">
        <f t="shared" si="96"/>
        <v>0</v>
      </c>
      <c r="AT33" s="465">
        <f t="shared" si="96"/>
        <v>0</v>
      </c>
      <c r="AU33" s="465">
        <f t="shared" si="96"/>
        <v>0</v>
      </c>
      <c r="AV33" s="465">
        <f t="shared" si="96"/>
        <v>0</v>
      </c>
      <c r="AW33" s="465">
        <f t="shared" si="96"/>
        <v>0</v>
      </c>
      <c r="AX33" s="465">
        <f t="shared" si="96"/>
        <v>0</v>
      </c>
      <c r="AY33" s="465">
        <f t="shared" si="96"/>
        <v>0</v>
      </c>
      <c r="AZ33" s="465">
        <f t="shared" si="96"/>
        <v>0</v>
      </c>
      <c r="BA33" s="465">
        <f t="shared" si="96"/>
        <v>0</v>
      </c>
      <c r="BB33" s="465">
        <f t="shared" si="96"/>
        <v>0</v>
      </c>
      <c r="BC33" s="465">
        <f t="shared" si="96"/>
        <v>0</v>
      </c>
      <c r="BD33" s="465">
        <f t="shared" si="96"/>
        <v>0</v>
      </c>
      <c r="BE33" s="465">
        <f t="shared" si="96"/>
        <v>0</v>
      </c>
      <c r="BF33" s="465">
        <f t="shared" si="96"/>
        <v>0</v>
      </c>
      <c r="BG33" s="465">
        <f t="shared" si="96"/>
        <v>0</v>
      </c>
      <c r="BH33" s="465">
        <f t="shared" si="96"/>
        <v>0</v>
      </c>
      <c r="BI33" s="543">
        <f t="shared" si="96"/>
        <v>0</v>
      </c>
      <c r="BJ33" s="546"/>
      <c r="BK33" s="475">
        <f t="shared" ref="BK33" si="97">IFERROR(BL33/I33,0)</f>
        <v>1</v>
      </c>
      <c r="BL33" s="465">
        <f>SUBTOTAL(9,BL34:BL54)</f>
        <v>1188836.1936000001</v>
      </c>
      <c r="BM33" s="257"/>
      <c r="BN33" s="465">
        <f>SUMPRODUCT(BN34:BN54,$H34:$H54)</f>
        <v>0</v>
      </c>
      <c r="BO33" s="465">
        <f>SUMPRODUCT(BO34:BO54,$H34:$H54)</f>
        <v>0</v>
      </c>
      <c r="BP33" s="465">
        <f t="shared" ref="BP33" si="98">SUMPRODUCT(BP34:BP54,$H34:$H54)</f>
        <v>0</v>
      </c>
      <c r="BQ33" s="465">
        <f t="shared" ref="BQ33" si="99">SUMPRODUCT(BQ34:BQ54,$H34:$H54)</f>
        <v>0</v>
      </c>
      <c r="BR33" s="465">
        <f t="shared" ref="BR33" si="100">SUMPRODUCT(BR34:BR54,$H34:$H54)</f>
        <v>1044734.8367999999</v>
      </c>
      <c r="BS33" s="465">
        <f t="shared" ref="BS33" si="101">SUMPRODUCT(BS34:BS54,$H34:$H54)</f>
        <v>144101.35679999998</v>
      </c>
      <c r="BT33" s="465">
        <f t="shared" ref="BT33" si="102">SUMPRODUCT(BT34:BT54,$H34:$H54)</f>
        <v>0</v>
      </c>
      <c r="BU33" s="465">
        <f t="shared" ref="BU33" si="103">SUMPRODUCT(BU34:BU54,$H34:$H54)</f>
        <v>0</v>
      </c>
      <c r="BV33" s="465">
        <f t="shared" ref="BV33" si="104">SUMPRODUCT(BV34:BV54,$H34:$H54)</f>
        <v>0</v>
      </c>
      <c r="BW33" s="465">
        <f t="shared" ref="BW33" si="105">SUMPRODUCT(BW34:BW54,$H34:$H54)</f>
        <v>0</v>
      </c>
      <c r="BX33" s="465">
        <f t="shared" ref="BX33" si="106">SUMPRODUCT(BX34:BX54,$H34:$H54)</f>
        <v>0</v>
      </c>
      <c r="BY33" s="465">
        <f t="shared" ref="BY33" si="107">SUMPRODUCT(BY34:BY54,$H34:$H54)</f>
        <v>0</v>
      </c>
      <c r="BZ33" s="465">
        <f t="shared" ref="BZ33" si="108">SUMPRODUCT(BZ34:BZ54,$H34:$H54)</f>
        <v>0</v>
      </c>
      <c r="CA33" s="465">
        <f t="shared" ref="CA33" si="109">SUMPRODUCT(CA34:CA54,$H34:$H54)</f>
        <v>0</v>
      </c>
      <c r="CB33" s="465">
        <f t="shared" ref="CB33" si="110">SUMPRODUCT(CB34:CB54,$H34:$H54)</f>
        <v>0</v>
      </c>
      <c r="CC33" s="465">
        <f t="shared" ref="CC33" si="111">SUMPRODUCT(CC34:CC54,$H34:$H54)</f>
        <v>0</v>
      </c>
      <c r="CD33" s="465">
        <f t="shared" ref="CD33" si="112">SUMPRODUCT(CD34:CD54,$H34:$H54)</f>
        <v>0</v>
      </c>
      <c r="CE33" s="465">
        <f t="shared" ref="CE33" si="113">SUMPRODUCT(CE34:CE54,$H34:$H54)</f>
        <v>0</v>
      </c>
      <c r="CF33" s="465">
        <f t="shared" ref="CF33" si="114">SUMPRODUCT(CF34:CF54,$H34:$H54)</f>
        <v>0</v>
      </c>
      <c r="CG33" s="465">
        <f t="shared" ref="CG33" si="115">SUMPRODUCT(CG34:CG54,$H34:$H54)</f>
        <v>0</v>
      </c>
      <c r="CH33" s="465">
        <f t="shared" ref="CH33" si="116">SUMPRODUCT(CH34:CH54,$H34:$H54)</f>
        <v>0</v>
      </c>
      <c r="CI33" s="465">
        <f t="shared" ref="CI33" si="117">SUMPRODUCT(CI34:CI54,$H34:$H54)</f>
        <v>0</v>
      </c>
      <c r="CJ33" s="465">
        <f t="shared" ref="CJ33" si="118">SUMPRODUCT(CJ34:CJ54,$H34:$H54)</f>
        <v>0</v>
      </c>
      <c r="CK33" s="465">
        <f t="shared" ref="CK33" si="119">SUMPRODUCT(CK34:CK54,$H34:$H54)</f>
        <v>0</v>
      </c>
      <c r="CL33" s="465">
        <f t="shared" ref="CL33" si="120">SUMPRODUCT(CL34:CL54,$H34:$H54)</f>
        <v>0</v>
      </c>
      <c r="CM33" s="465">
        <f t="shared" ref="CM33" si="121">SUMPRODUCT(CM34:CM54,$H34:$H54)</f>
        <v>0</v>
      </c>
      <c r="CN33" s="465">
        <f t="shared" ref="CN33" si="122">SUMPRODUCT(CN34:CN54,$H34:$H54)</f>
        <v>0</v>
      </c>
      <c r="CO33" s="465">
        <f t="shared" ref="CO33" si="123">SUMPRODUCT(CO34:CO54,$H34:$H54)</f>
        <v>0</v>
      </c>
      <c r="CP33" s="465">
        <f t="shared" ref="CP33" si="124">SUMPRODUCT(CP34:CP54,$H34:$H54)</f>
        <v>0</v>
      </c>
      <c r="CQ33" s="465">
        <f t="shared" ref="CQ33" si="125">SUMPRODUCT(CQ34:CQ54,$H34:$H54)</f>
        <v>0</v>
      </c>
      <c r="CR33" s="465">
        <f t="shared" ref="CR33" si="126">SUMPRODUCT(CR34:CR54,$H34:$H54)</f>
        <v>0</v>
      </c>
      <c r="CS33" s="465">
        <f t="shared" ref="CS33" si="127">SUMPRODUCT(CS34:CS54,$H34:$H54)</f>
        <v>0</v>
      </c>
      <c r="CT33" s="465">
        <f t="shared" ref="CT33" si="128">SUMPRODUCT(CT34:CT54,$H34:$H54)</f>
        <v>0</v>
      </c>
      <c r="CU33" s="465">
        <f t="shared" ref="CU33" si="129">SUMPRODUCT(CU34:CU54,$H34:$H54)</f>
        <v>0</v>
      </c>
      <c r="CV33" s="465">
        <f t="shared" ref="CV33" si="130">SUMPRODUCT(CV34:CV54,$H34:$H54)</f>
        <v>0</v>
      </c>
      <c r="CW33" s="465">
        <f t="shared" ref="CW33" si="131">SUMPRODUCT(CW34:CW54,$H34:$H54)</f>
        <v>0</v>
      </c>
      <c r="CX33" s="465">
        <f t="shared" ref="CX33" si="132">SUMPRODUCT(CX34:CX54,$H34:$H54)</f>
        <v>0</v>
      </c>
      <c r="CY33" s="465">
        <f t="shared" ref="CY33" si="133">SUMPRODUCT(CY34:CY54,$H34:$H54)</f>
        <v>0</v>
      </c>
      <c r="CZ33" s="465">
        <f t="shared" ref="CZ33" si="134">SUMPRODUCT(CZ34:CZ54,$H34:$H54)</f>
        <v>0</v>
      </c>
      <c r="DA33" s="465">
        <f t="shared" ref="DA33" si="135">SUMPRODUCT(DA34:DA54,$H34:$H54)</f>
        <v>0</v>
      </c>
      <c r="DB33" s="465">
        <f t="shared" ref="DB33" si="136">SUMPRODUCT(DB34:DB54,$H34:$H54)</f>
        <v>0</v>
      </c>
      <c r="DC33" s="465">
        <f t="shared" ref="DC33" si="137">SUMPRODUCT(DC34:DC54,$H34:$H54)</f>
        <v>0</v>
      </c>
      <c r="DD33" s="465">
        <f t="shared" ref="DD33" si="138">SUMPRODUCT(DD34:DD54,$H34:$H54)</f>
        <v>0</v>
      </c>
      <c r="DE33" s="465">
        <f t="shared" ref="DE33" si="139">SUMPRODUCT(DE34:DE54,$H34:$H54)</f>
        <v>0</v>
      </c>
      <c r="DF33" s="465">
        <f t="shared" ref="DF33" si="140">SUMPRODUCT(DF34:DF54,$H34:$H54)</f>
        <v>0</v>
      </c>
      <c r="DG33" s="465">
        <f t="shared" ref="DG33" si="141">SUMPRODUCT(DG34:DG54,$H34:$H54)</f>
        <v>0</v>
      </c>
      <c r="DH33" s="465">
        <f t="shared" ref="DH33" si="142">SUMPRODUCT(DH34:DH54,$H34:$H54)</f>
        <v>0</v>
      </c>
      <c r="DI33" s="465">
        <f t="shared" ref="DI33" si="143">SUMPRODUCT(DI34:DI54,$H34:$H54)</f>
        <v>0</v>
      </c>
    </row>
    <row r="34" spans="1:113" ht="16.05" customHeight="1" outlineLevel="1" x14ac:dyDescent="0.3">
      <c r="A34" s="455" t="str">
        <f t="shared" si="54"/>
        <v>Imprimir</v>
      </c>
      <c r="B34" s="455"/>
      <c r="C34" s="481"/>
      <c r="D34" s="463" t="s">
        <v>697</v>
      </c>
      <c r="E34" s="482" t="s">
        <v>662</v>
      </c>
      <c r="F34" s="483" t="s">
        <v>663</v>
      </c>
      <c r="G34" s="842">
        <v>33</v>
      </c>
      <c r="H34" s="485">
        <v>3551.23</v>
      </c>
      <c r="I34" s="466">
        <f t="shared" ref="I34:I36" si="144">G34*H34</f>
        <v>117190.59</v>
      </c>
      <c r="J34" s="259"/>
      <c r="K34" s="478">
        <f>SUM(N34:BI34)</f>
        <v>33</v>
      </c>
      <c r="L34" s="466">
        <f>K34*$H34</f>
        <v>117190.59</v>
      </c>
      <c r="M34" s="257"/>
      <c r="N34" s="478">
        <v>6</v>
      </c>
      <c r="O34" s="478">
        <v>6</v>
      </c>
      <c r="P34" s="478">
        <v>6</v>
      </c>
      <c r="Q34" s="478">
        <v>6</v>
      </c>
      <c r="R34" s="478">
        <v>6</v>
      </c>
      <c r="S34" s="478">
        <v>3</v>
      </c>
      <c r="T34" s="478"/>
      <c r="U34" s="478"/>
      <c r="V34" s="478"/>
      <c r="W34" s="478"/>
      <c r="X34" s="478"/>
      <c r="Y34" s="478"/>
      <c r="Z34" s="478"/>
      <c r="AA34" s="478"/>
      <c r="AB34" s="478"/>
      <c r="AC34" s="478"/>
      <c r="AD34" s="478"/>
      <c r="AE34" s="478"/>
      <c r="AF34" s="478"/>
      <c r="AG34" s="478"/>
      <c r="AH34" s="478"/>
      <c r="AI34" s="478"/>
      <c r="AJ34" s="478"/>
      <c r="AK34" s="478"/>
      <c r="AL34" s="478"/>
      <c r="AM34" s="478"/>
      <c r="AN34" s="478"/>
      <c r="AO34" s="478"/>
      <c r="AP34" s="478"/>
      <c r="AQ34" s="478"/>
      <c r="AR34" s="478"/>
      <c r="AS34" s="478"/>
      <c r="AT34" s="478"/>
      <c r="AU34" s="478"/>
      <c r="AV34" s="478"/>
      <c r="AW34" s="478"/>
      <c r="AX34" s="478"/>
      <c r="AY34" s="478"/>
      <c r="AZ34" s="478"/>
      <c r="BA34" s="478"/>
      <c r="BB34" s="478"/>
      <c r="BC34" s="478"/>
      <c r="BD34" s="478"/>
      <c r="BE34" s="478"/>
      <c r="BF34" s="478"/>
      <c r="BG34" s="478"/>
      <c r="BH34" s="478"/>
      <c r="BI34" s="544"/>
      <c r="BJ34" s="546"/>
      <c r="BK34" s="477">
        <f>IFERROR(BL34/I34,0)</f>
        <v>1</v>
      </c>
      <c r="BL34" s="466">
        <f>SUM(BN34:DJ34)*$H34</f>
        <v>117190.59</v>
      </c>
      <c r="BM34" s="257"/>
      <c r="BN34" s="478"/>
      <c r="BO34" s="478"/>
      <c r="BP34" s="478"/>
      <c r="BQ34" s="478"/>
      <c r="BR34" s="478">
        <v>29</v>
      </c>
      <c r="BS34" s="478">
        <v>4</v>
      </c>
      <c r="BT34" s="478"/>
      <c r="BU34" s="478"/>
      <c r="BV34" s="478"/>
      <c r="BW34" s="478"/>
      <c r="BX34" s="478"/>
      <c r="BY34" s="478"/>
      <c r="BZ34" s="478"/>
      <c r="CA34" s="478"/>
      <c r="CB34" s="478"/>
      <c r="CC34" s="478"/>
      <c r="CD34" s="478"/>
      <c r="CE34" s="478"/>
      <c r="CF34" s="478"/>
      <c r="CG34" s="478"/>
      <c r="CH34" s="478"/>
      <c r="CI34" s="478"/>
      <c r="CJ34" s="478"/>
      <c r="CK34" s="478"/>
      <c r="CL34" s="478"/>
      <c r="CM34" s="478"/>
      <c r="CN34" s="478"/>
      <c r="CO34" s="478"/>
      <c r="CP34" s="478"/>
      <c r="CQ34" s="478"/>
      <c r="CR34" s="478"/>
      <c r="CS34" s="478"/>
      <c r="CT34" s="478"/>
      <c r="CU34" s="478"/>
      <c r="CV34" s="478"/>
      <c r="CW34" s="478"/>
      <c r="CX34" s="478"/>
      <c r="CY34" s="478"/>
      <c r="CZ34" s="478"/>
      <c r="DA34" s="478"/>
      <c r="DB34" s="478"/>
      <c r="DC34" s="478"/>
      <c r="DD34" s="478"/>
      <c r="DE34" s="478"/>
      <c r="DF34" s="478"/>
      <c r="DG34" s="478"/>
      <c r="DH34" s="478"/>
      <c r="DI34" s="478"/>
    </row>
    <row r="35" spans="1:113" ht="16.05" customHeight="1" outlineLevel="1" x14ac:dyDescent="0.3">
      <c r="A35" s="455" t="str">
        <f t="shared" si="54"/>
        <v>Imprimir</v>
      </c>
      <c r="B35" s="455"/>
      <c r="C35" s="481"/>
      <c r="D35" s="463" t="s">
        <v>698</v>
      </c>
      <c r="E35" s="482" t="s">
        <v>665</v>
      </c>
      <c r="F35" s="483" t="s">
        <v>666</v>
      </c>
      <c r="G35" s="484">
        <f>8*G34</f>
        <v>264</v>
      </c>
      <c r="H35" s="485">
        <v>102.32</v>
      </c>
      <c r="I35" s="466">
        <f t="shared" si="144"/>
        <v>27012.48</v>
      </c>
      <c r="J35" s="259"/>
      <c r="K35" s="478">
        <f t="shared" ref="K35:K42" si="145">SUM(N35:BI35)</f>
        <v>264</v>
      </c>
      <c r="L35" s="466">
        <f t="shared" ref="L35:L53" si="146">K35*$H35</f>
        <v>27012.48</v>
      </c>
      <c r="M35" s="257"/>
      <c r="N35" s="478">
        <v>32</v>
      </c>
      <c r="O35" s="478">
        <v>32</v>
      </c>
      <c r="P35" s="478">
        <v>32</v>
      </c>
      <c r="Q35" s="478">
        <v>32</v>
      </c>
      <c r="R35" s="478">
        <v>32</v>
      </c>
      <c r="S35" s="478"/>
      <c r="T35" s="478"/>
      <c r="U35" s="478">
        <v>32</v>
      </c>
      <c r="V35" s="478">
        <v>32</v>
      </c>
      <c r="W35" s="478">
        <v>32</v>
      </c>
      <c r="X35" s="478">
        <v>8</v>
      </c>
      <c r="Y35" s="478"/>
      <c r="Z35" s="478"/>
      <c r="AA35" s="478"/>
      <c r="AB35" s="478"/>
      <c r="AC35" s="478"/>
      <c r="AD35" s="478"/>
      <c r="AE35" s="478"/>
      <c r="AF35" s="478"/>
      <c r="AG35" s="478"/>
      <c r="AH35" s="478"/>
      <c r="AI35" s="478"/>
      <c r="AJ35" s="478"/>
      <c r="AK35" s="478"/>
      <c r="AL35" s="478"/>
      <c r="AM35" s="478"/>
      <c r="AN35" s="478"/>
      <c r="AO35" s="478"/>
      <c r="AP35" s="478"/>
      <c r="AQ35" s="478"/>
      <c r="AR35" s="478"/>
      <c r="AS35" s="478"/>
      <c r="AT35" s="478"/>
      <c r="AU35" s="478"/>
      <c r="AV35" s="478"/>
      <c r="AW35" s="478"/>
      <c r="AX35" s="478"/>
      <c r="AY35" s="478"/>
      <c r="AZ35" s="478"/>
      <c r="BA35" s="478"/>
      <c r="BB35" s="478"/>
      <c r="BC35" s="478"/>
      <c r="BD35" s="478"/>
      <c r="BE35" s="478"/>
      <c r="BF35" s="478"/>
      <c r="BG35" s="478"/>
      <c r="BH35" s="478"/>
      <c r="BI35" s="544"/>
      <c r="BJ35" s="546"/>
      <c r="BK35" s="477">
        <f t="shared" ref="BK35:BK42" si="147">IFERROR(BL35/I35,0)</f>
        <v>1</v>
      </c>
      <c r="BL35" s="466">
        <f t="shared" ref="BL35:BL42" si="148">SUM(BN35:DJ35)*$H35</f>
        <v>27012.48</v>
      </c>
      <c r="BM35" s="257"/>
      <c r="BN35" s="478">
        <f t="shared" ref="BN35:DI35" si="149">8*BN34</f>
        <v>0</v>
      </c>
      <c r="BO35" s="478">
        <f t="shared" si="149"/>
        <v>0</v>
      </c>
      <c r="BP35" s="478">
        <f t="shared" si="149"/>
        <v>0</v>
      </c>
      <c r="BQ35" s="478">
        <f t="shared" si="149"/>
        <v>0</v>
      </c>
      <c r="BR35" s="478">
        <f t="shared" si="149"/>
        <v>232</v>
      </c>
      <c r="BS35" s="478">
        <f t="shared" si="149"/>
        <v>32</v>
      </c>
      <c r="BT35" s="478">
        <f t="shared" si="149"/>
        <v>0</v>
      </c>
      <c r="BU35" s="478">
        <f t="shared" si="149"/>
        <v>0</v>
      </c>
      <c r="BV35" s="478">
        <f t="shared" si="149"/>
        <v>0</v>
      </c>
      <c r="BW35" s="478">
        <f t="shared" si="149"/>
        <v>0</v>
      </c>
      <c r="BX35" s="478">
        <f t="shared" si="149"/>
        <v>0</v>
      </c>
      <c r="BY35" s="478">
        <f t="shared" si="149"/>
        <v>0</v>
      </c>
      <c r="BZ35" s="478">
        <f t="shared" si="149"/>
        <v>0</v>
      </c>
      <c r="CA35" s="478">
        <f t="shared" si="149"/>
        <v>0</v>
      </c>
      <c r="CB35" s="478">
        <f t="shared" si="149"/>
        <v>0</v>
      </c>
      <c r="CC35" s="478">
        <f t="shared" si="149"/>
        <v>0</v>
      </c>
      <c r="CD35" s="478">
        <f t="shared" si="149"/>
        <v>0</v>
      </c>
      <c r="CE35" s="478">
        <f t="shared" si="149"/>
        <v>0</v>
      </c>
      <c r="CF35" s="478">
        <f t="shared" si="149"/>
        <v>0</v>
      </c>
      <c r="CG35" s="478">
        <f t="shared" si="149"/>
        <v>0</v>
      </c>
      <c r="CH35" s="478">
        <f t="shared" si="149"/>
        <v>0</v>
      </c>
      <c r="CI35" s="478">
        <f t="shared" si="149"/>
        <v>0</v>
      </c>
      <c r="CJ35" s="478">
        <f t="shared" si="149"/>
        <v>0</v>
      </c>
      <c r="CK35" s="478">
        <f t="shared" si="149"/>
        <v>0</v>
      </c>
      <c r="CL35" s="478">
        <f t="shared" si="149"/>
        <v>0</v>
      </c>
      <c r="CM35" s="478">
        <f t="shared" si="149"/>
        <v>0</v>
      </c>
      <c r="CN35" s="478">
        <f t="shared" si="149"/>
        <v>0</v>
      </c>
      <c r="CO35" s="478">
        <f t="shared" si="149"/>
        <v>0</v>
      </c>
      <c r="CP35" s="478">
        <f t="shared" si="149"/>
        <v>0</v>
      </c>
      <c r="CQ35" s="478">
        <f t="shared" si="149"/>
        <v>0</v>
      </c>
      <c r="CR35" s="478">
        <f t="shared" si="149"/>
        <v>0</v>
      </c>
      <c r="CS35" s="478">
        <f t="shared" si="149"/>
        <v>0</v>
      </c>
      <c r="CT35" s="478">
        <f t="shared" si="149"/>
        <v>0</v>
      </c>
      <c r="CU35" s="478">
        <f t="shared" si="149"/>
        <v>0</v>
      </c>
      <c r="CV35" s="478">
        <f t="shared" si="149"/>
        <v>0</v>
      </c>
      <c r="CW35" s="478">
        <f t="shared" si="149"/>
        <v>0</v>
      </c>
      <c r="CX35" s="478">
        <f t="shared" si="149"/>
        <v>0</v>
      </c>
      <c r="CY35" s="478">
        <f t="shared" si="149"/>
        <v>0</v>
      </c>
      <c r="CZ35" s="478">
        <f t="shared" si="149"/>
        <v>0</v>
      </c>
      <c r="DA35" s="478">
        <f t="shared" si="149"/>
        <v>0</v>
      </c>
      <c r="DB35" s="478">
        <f t="shared" si="149"/>
        <v>0</v>
      </c>
      <c r="DC35" s="478">
        <f t="shared" si="149"/>
        <v>0</v>
      </c>
      <c r="DD35" s="478">
        <f t="shared" si="149"/>
        <v>0</v>
      </c>
      <c r="DE35" s="478">
        <f t="shared" si="149"/>
        <v>0</v>
      </c>
      <c r="DF35" s="478">
        <f t="shared" si="149"/>
        <v>0</v>
      </c>
      <c r="DG35" s="478">
        <f t="shared" si="149"/>
        <v>0</v>
      </c>
      <c r="DH35" s="478">
        <f t="shared" si="149"/>
        <v>0</v>
      </c>
      <c r="DI35" s="478">
        <f t="shared" si="149"/>
        <v>0</v>
      </c>
    </row>
    <row r="36" spans="1:113" ht="16.05" customHeight="1" outlineLevel="1" x14ac:dyDescent="0.3">
      <c r="A36" s="455" t="str">
        <f t="shared" si="54"/>
        <v>Imprimir</v>
      </c>
      <c r="B36" s="455"/>
      <c r="C36" s="481"/>
      <c r="D36" s="463" t="s">
        <v>699</v>
      </c>
      <c r="E36" s="482" t="s">
        <v>700</v>
      </c>
      <c r="F36" s="483" t="s">
        <v>669</v>
      </c>
      <c r="G36" s="484">
        <f>1.2*G34</f>
        <v>39.6</v>
      </c>
      <c r="H36" s="485">
        <v>3586.42</v>
      </c>
      <c r="I36" s="466">
        <f t="shared" si="144"/>
        <v>142022.23200000002</v>
      </c>
      <c r="J36" s="259"/>
      <c r="K36" s="478">
        <f t="shared" si="145"/>
        <v>39.6</v>
      </c>
      <c r="L36" s="466">
        <f t="shared" si="146"/>
        <v>142022.23200000002</v>
      </c>
      <c r="M36" s="257"/>
      <c r="N36" s="478">
        <v>4.8</v>
      </c>
      <c r="O36" s="478">
        <v>4.8</v>
      </c>
      <c r="P36" s="478">
        <v>4.8</v>
      </c>
      <c r="Q36" s="478">
        <v>4.8</v>
      </c>
      <c r="R36" s="478">
        <v>4.8</v>
      </c>
      <c r="S36" s="478"/>
      <c r="T36" s="478"/>
      <c r="U36" s="478">
        <v>4.8</v>
      </c>
      <c r="V36" s="478">
        <v>4.8</v>
      </c>
      <c r="W36" s="478">
        <v>4.8</v>
      </c>
      <c r="X36" s="478">
        <v>1.2</v>
      </c>
      <c r="Y36" s="478"/>
      <c r="Z36" s="478"/>
      <c r="AA36" s="478"/>
      <c r="AB36" s="478"/>
      <c r="AC36" s="478"/>
      <c r="AD36" s="478"/>
      <c r="AE36" s="478"/>
      <c r="AF36" s="478"/>
      <c r="AG36" s="478"/>
      <c r="AH36" s="478"/>
      <c r="AI36" s="478"/>
      <c r="AJ36" s="478"/>
      <c r="AK36" s="478"/>
      <c r="AL36" s="478"/>
      <c r="AM36" s="478"/>
      <c r="AN36" s="478"/>
      <c r="AO36" s="478"/>
      <c r="AP36" s="478"/>
      <c r="AQ36" s="478"/>
      <c r="AR36" s="478"/>
      <c r="AS36" s="478"/>
      <c r="AT36" s="478"/>
      <c r="AU36" s="478"/>
      <c r="AV36" s="478"/>
      <c r="AW36" s="478"/>
      <c r="AX36" s="478"/>
      <c r="AY36" s="478"/>
      <c r="AZ36" s="478"/>
      <c r="BA36" s="478"/>
      <c r="BB36" s="478"/>
      <c r="BC36" s="478"/>
      <c r="BD36" s="478"/>
      <c r="BE36" s="478"/>
      <c r="BF36" s="478"/>
      <c r="BG36" s="478"/>
      <c r="BH36" s="478"/>
      <c r="BI36" s="544"/>
      <c r="BJ36" s="546"/>
      <c r="BK36" s="477">
        <f t="shared" si="147"/>
        <v>0.99999999999999978</v>
      </c>
      <c r="BL36" s="466">
        <f t="shared" si="148"/>
        <v>142022.23199999999</v>
      </c>
      <c r="BM36" s="257"/>
      <c r="BN36" s="478">
        <f t="shared" ref="BN36:DI36" si="150">1.2*BN34</f>
        <v>0</v>
      </c>
      <c r="BO36" s="478">
        <f t="shared" si="150"/>
        <v>0</v>
      </c>
      <c r="BP36" s="478">
        <f t="shared" si="150"/>
        <v>0</v>
      </c>
      <c r="BQ36" s="478">
        <f t="shared" si="150"/>
        <v>0</v>
      </c>
      <c r="BR36" s="478">
        <f t="shared" si="150"/>
        <v>34.799999999999997</v>
      </c>
      <c r="BS36" s="478">
        <f t="shared" si="150"/>
        <v>4.8</v>
      </c>
      <c r="BT36" s="478">
        <f t="shared" si="150"/>
        <v>0</v>
      </c>
      <c r="BU36" s="478">
        <f t="shared" si="150"/>
        <v>0</v>
      </c>
      <c r="BV36" s="478">
        <f t="shared" si="150"/>
        <v>0</v>
      </c>
      <c r="BW36" s="478">
        <f t="shared" si="150"/>
        <v>0</v>
      </c>
      <c r="BX36" s="478">
        <f t="shared" si="150"/>
        <v>0</v>
      </c>
      <c r="BY36" s="478">
        <f t="shared" si="150"/>
        <v>0</v>
      </c>
      <c r="BZ36" s="478">
        <f t="shared" si="150"/>
        <v>0</v>
      </c>
      <c r="CA36" s="478">
        <f t="shared" si="150"/>
        <v>0</v>
      </c>
      <c r="CB36" s="478">
        <f t="shared" si="150"/>
        <v>0</v>
      </c>
      <c r="CC36" s="478">
        <f t="shared" si="150"/>
        <v>0</v>
      </c>
      <c r="CD36" s="478">
        <f t="shared" si="150"/>
        <v>0</v>
      </c>
      <c r="CE36" s="478">
        <f t="shared" si="150"/>
        <v>0</v>
      </c>
      <c r="CF36" s="478">
        <f t="shared" si="150"/>
        <v>0</v>
      </c>
      <c r="CG36" s="478">
        <f t="shared" si="150"/>
        <v>0</v>
      </c>
      <c r="CH36" s="478">
        <f t="shared" si="150"/>
        <v>0</v>
      </c>
      <c r="CI36" s="478">
        <f t="shared" si="150"/>
        <v>0</v>
      </c>
      <c r="CJ36" s="478">
        <f t="shared" si="150"/>
        <v>0</v>
      </c>
      <c r="CK36" s="478">
        <f t="shared" si="150"/>
        <v>0</v>
      </c>
      <c r="CL36" s="478">
        <f t="shared" si="150"/>
        <v>0</v>
      </c>
      <c r="CM36" s="478">
        <f t="shared" si="150"/>
        <v>0</v>
      </c>
      <c r="CN36" s="478">
        <f t="shared" si="150"/>
        <v>0</v>
      </c>
      <c r="CO36" s="478">
        <f t="shared" si="150"/>
        <v>0</v>
      </c>
      <c r="CP36" s="478">
        <f t="shared" si="150"/>
        <v>0</v>
      </c>
      <c r="CQ36" s="478">
        <f t="shared" si="150"/>
        <v>0</v>
      </c>
      <c r="CR36" s="478">
        <f t="shared" si="150"/>
        <v>0</v>
      </c>
      <c r="CS36" s="478">
        <f t="shared" si="150"/>
        <v>0</v>
      </c>
      <c r="CT36" s="478">
        <f t="shared" si="150"/>
        <v>0</v>
      </c>
      <c r="CU36" s="478">
        <f t="shared" si="150"/>
        <v>0</v>
      </c>
      <c r="CV36" s="478">
        <f t="shared" si="150"/>
        <v>0</v>
      </c>
      <c r="CW36" s="478">
        <f t="shared" si="150"/>
        <v>0</v>
      </c>
      <c r="CX36" s="478">
        <f t="shared" si="150"/>
        <v>0</v>
      </c>
      <c r="CY36" s="478">
        <f t="shared" si="150"/>
        <v>0</v>
      </c>
      <c r="CZ36" s="478">
        <f t="shared" si="150"/>
        <v>0</v>
      </c>
      <c r="DA36" s="478">
        <f t="shared" si="150"/>
        <v>0</v>
      </c>
      <c r="DB36" s="478">
        <f t="shared" si="150"/>
        <v>0</v>
      </c>
      <c r="DC36" s="478">
        <f t="shared" si="150"/>
        <v>0</v>
      </c>
      <c r="DD36" s="478">
        <f t="shared" si="150"/>
        <v>0</v>
      </c>
      <c r="DE36" s="478">
        <f t="shared" si="150"/>
        <v>0</v>
      </c>
      <c r="DF36" s="478">
        <f t="shared" si="150"/>
        <v>0</v>
      </c>
      <c r="DG36" s="478">
        <f t="shared" si="150"/>
        <v>0</v>
      </c>
      <c r="DH36" s="478">
        <f t="shared" si="150"/>
        <v>0</v>
      </c>
      <c r="DI36" s="478">
        <f t="shared" si="150"/>
        <v>0</v>
      </c>
    </row>
    <row r="37" spans="1:113" ht="16.05" customHeight="1" outlineLevel="1" x14ac:dyDescent="0.3">
      <c r="A37" s="455" t="str">
        <f t="shared" si="54"/>
        <v>Imprimir</v>
      </c>
      <c r="B37" s="455"/>
      <c r="C37" s="481"/>
      <c r="D37" s="463" t="s">
        <v>701</v>
      </c>
      <c r="E37" s="482" t="s">
        <v>702</v>
      </c>
      <c r="F37" s="483" t="s">
        <v>669</v>
      </c>
      <c r="G37" s="484">
        <f>0.04*G34</f>
        <v>1.32</v>
      </c>
      <c r="H37" s="485">
        <v>6658.98</v>
      </c>
      <c r="I37" s="466">
        <f>G37*H37</f>
        <v>8789.8536000000004</v>
      </c>
      <c r="J37" s="259"/>
      <c r="K37" s="478">
        <f t="shared" si="145"/>
        <v>1.32</v>
      </c>
      <c r="L37" s="466">
        <f t="shared" si="146"/>
        <v>8789.8536000000004</v>
      </c>
      <c r="M37" s="257"/>
      <c r="N37" s="478"/>
      <c r="O37" s="478"/>
      <c r="P37" s="478">
        <v>1.32</v>
      </c>
      <c r="Q37" s="478"/>
      <c r="R37" s="478"/>
      <c r="S37" s="478"/>
      <c r="T37" s="478"/>
      <c r="U37" s="478"/>
      <c r="V37" s="478"/>
      <c r="W37" s="478"/>
      <c r="X37" s="478"/>
      <c r="Y37" s="478"/>
      <c r="Z37" s="478"/>
      <c r="AA37" s="478"/>
      <c r="AB37" s="478"/>
      <c r="AC37" s="478"/>
      <c r="AD37" s="478"/>
      <c r="AE37" s="478"/>
      <c r="AF37" s="478"/>
      <c r="AG37" s="478"/>
      <c r="AH37" s="478"/>
      <c r="AI37" s="478"/>
      <c r="AJ37" s="478"/>
      <c r="AK37" s="478"/>
      <c r="AL37" s="478"/>
      <c r="AM37" s="478"/>
      <c r="AN37" s="478"/>
      <c r="AO37" s="478"/>
      <c r="AP37" s="478"/>
      <c r="AQ37" s="478"/>
      <c r="AR37" s="478"/>
      <c r="AS37" s="478"/>
      <c r="AT37" s="478"/>
      <c r="AU37" s="478"/>
      <c r="AV37" s="478"/>
      <c r="AW37" s="478"/>
      <c r="AX37" s="478"/>
      <c r="AY37" s="478"/>
      <c r="AZ37" s="478"/>
      <c r="BA37" s="478"/>
      <c r="BB37" s="478"/>
      <c r="BC37" s="478"/>
      <c r="BD37" s="478"/>
      <c r="BE37" s="478"/>
      <c r="BF37" s="478"/>
      <c r="BG37" s="478"/>
      <c r="BH37" s="478"/>
      <c r="BI37" s="544"/>
      <c r="BJ37" s="546"/>
      <c r="BK37" s="477">
        <f t="shared" si="147"/>
        <v>0.99999999999999978</v>
      </c>
      <c r="BL37" s="466">
        <f t="shared" si="148"/>
        <v>8789.8535999999986</v>
      </c>
      <c r="BM37" s="257"/>
      <c r="BN37" s="478">
        <f t="shared" ref="BN37:DI37" si="151">0.04*BN34</f>
        <v>0</v>
      </c>
      <c r="BO37" s="478">
        <f t="shared" si="151"/>
        <v>0</v>
      </c>
      <c r="BP37" s="478">
        <f t="shared" si="151"/>
        <v>0</v>
      </c>
      <c r="BQ37" s="478">
        <f t="shared" si="151"/>
        <v>0</v>
      </c>
      <c r="BR37" s="478">
        <f t="shared" si="151"/>
        <v>1.1599999999999999</v>
      </c>
      <c r="BS37" s="478">
        <f t="shared" si="151"/>
        <v>0.16</v>
      </c>
      <c r="BT37" s="478">
        <f t="shared" si="151"/>
        <v>0</v>
      </c>
      <c r="BU37" s="478">
        <f t="shared" si="151"/>
        <v>0</v>
      </c>
      <c r="BV37" s="478">
        <f t="shared" si="151"/>
        <v>0</v>
      </c>
      <c r="BW37" s="478">
        <f t="shared" si="151"/>
        <v>0</v>
      </c>
      <c r="BX37" s="478">
        <f t="shared" si="151"/>
        <v>0</v>
      </c>
      <c r="BY37" s="478">
        <f t="shared" si="151"/>
        <v>0</v>
      </c>
      <c r="BZ37" s="478">
        <f t="shared" si="151"/>
        <v>0</v>
      </c>
      <c r="CA37" s="478">
        <f t="shared" si="151"/>
        <v>0</v>
      </c>
      <c r="CB37" s="478">
        <f t="shared" si="151"/>
        <v>0</v>
      </c>
      <c r="CC37" s="478">
        <f t="shared" si="151"/>
        <v>0</v>
      </c>
      <c r="CD37" s="478">
        <f t="shared" si="151"/>
        <v>0</v>
      </c>
      <c r="CE37" s="478">
        <f t="shared" si="151"/>
        <v>0</v>
      </c>
      <c r="CF37" s="478">
        <f t="shared" si="151"/>
        <v>0</v>
      </c>
      <c r="CG37" s="478">
        <f t="shared" si="151"/>
        <v>0</v>
      </c>
      <c r="CH37" s="478">
        <f t="shared" si="151"/>
        <v>0</v>
      </c>
      <c r="CI37" s="478">
        <f t="shared" si="151"/>
        <v>0</v>
      </c>
      <c r="CJ37" s="478">
        <f t="shared" si="151"/>
        <v>0</v>
      </c>
      <c r="CK37" s="478">
        <f t="shared" si="151"/>
        <v>0</v>
      </c>
      <c r="CL37" s="478">
        <f t="shared" si="151"/>
        <v>0</v>
      </c>
      <c r="CM37" s="478">
        <f t="shared" si="151"/>
        <v>0</v>
      </c>
      <c r="CN37" s="478">
        <f t="shared" si="151"/>
        <v>0</v>
      </c>
      <c r="CO37" s="478">
        <f t="shared" si="151"/>
        <v>0</v>
      </c>
      <c r="CP37" s="478">
        <f t="shared" si="151"/>
        <v>0</v>
      </c>
      <c r="CQ37" s="478">
        <f t="shared" si="151"/>
        <v>0</v>
      </c>
      <c r="CR37" s="478">
        <f t="shared" si="151"/>
        <v>0</v>
      </c>
      <c r="CS37" s="478">
        <f t="shared" si="151"/>
        <v>0</v>
      </c>
      <c r="CT37" s="478">
        <f t="shared" si="151"/>
        <v>0</v>
      </c>
      <c r="CU37" s="478">
        <f t="shared" si="151"/>
        <v>0</v>
      </c>
      <c r="CV37" s="478">
        <f t="shared" si="151"/>
        <v>0</v>
      </c>
      <c r="CW37" s="478">
        <f t="shared" si="151"/>
        <v>0</v>
      </c>
      <c r="CX37" s="478">
        <f t="shared" si="151"/>
        <v>0</v>
      </c>
      <c r="CY37" s="478">
        <f t="shared" si="151"/>
        <v>0</v>
      </c>
      <c r="CZ37" s="478">
        <f t="shared" si="151"/>
        <v>0</v>
      </c>
      <c r="DA37" s="478">
        <f t="shared" si="151"/>
        <v>0</v>
      </c>
      <c r="DB37" s="478">
        <f t="shared" si="151"/>
        <v>0</v>
      </c>
      <c r="DC37" s="478">
        <f t="shared" si="151"/>
        <v>0</v>
      </c>
      <c r="DD37" s="478">
        <f t="shared" si="151"/>
        <v>0</v>
      </c>
      <c r="DE37" s="478">
        <f t="shared" si="151"/>
        <v>0</v>
      </c>
      <c r="DF37" s="478">
        <f t="shared" si="151"/>
        <v>0</v>
      </c>
      <c r="DG37" s="478">
        <f t="shared" si="151"/>
        <v>0</v>
      </c>
      <c r="DH37" s="478">
        <f t="shared" si="151"/>
        <v>0</v>
      </c>
      <c r="DI37" s="478">
        <f t="shared" si="151"/>
        <v>0</v>
      </c>
    </row>
    <row r="38" spans="1:113" ht="16.05" customHeight="1" outlineLevel="1" x14ac:dyDescent="0.3">
      <c r="A38" s="455" t="str">
        <f t="shared" si="54"/>
        <v>Imprimir</v>
      </c>
      <c r="B38" s="455"/>
      <c r="C38" s="481"/>
      <c r="D38" s="463" t="s">
        <v>703</v>
      </c>
      <c r="E38" s="482" t="s">
        <v>673</v>
      </c>
      <c r="F38" s="483" t="s">
        <v>669</v>
      </c>
      <c r="G38" s="484">
        <f>1.2*G34</f>
        <v>39.6</v>
      </c>
      <c r="H38" s="485">
        <v>2123.23</v>
      </c>
      <c r="I38" s="466">
        <f t="shared" ref="I38:I42" si="152">G38*H38</f>
        <v>84079.90800000001</v>
      </c>
      <c r="J38" s="259"/>
      <c r="K38" s="478">
        <f t="shared" si="145"/>
        <v>39.6</v>
      </c>
      <c r="L38" s="466">
        <f t="shared" si="146"/>
        <v>84079.90800000001</v>
      </c>
      <c r="M38" s="257"/>
      <c r="N38" s="478"/>
      <c r="O38" s="478">
        <v>4.8</v>
      </c>
      <c r="P38" s="478">
        <v>4.8</v>
      </c>
      <c r="Q38" s="478">
        <v>4.8</v>
      </c>
      <c r="R38" s="478">
        <v>4.8</v>
      </c>
      <c r="S38" s="478"/>
      <c r="T38" s="478"/>
      <c r="U38" s="478">
        <v>4.8</v>
      </c>
      <c r="V38" s="478">
        <v>4.8</v>
      </c>
      <c r="W38" s="478">
        <v>4.8</v>
      </c>
      <c r="X38" s="478">
        <v>4.8</v>
      </c>
      <c r="Y38" s="478">
        <v>1.2</v>
      </c>
      <c r="Z38" s="478"/>
      <c r="AA38" s="478"/>
      <c r="AB38" s="478"/>
      <c r="AC38" s="478"/>
      <c r="AD38" s="478"/>
      <c r="AE38" s="478"/>
      <c r="AF38" s="478"/>
      <c r="AG38" s="478"/>
      <c r="AH38" s="478"/>
      <c r="AI38" s="478"/>
      <c r="AJ38" s="478"/>
      <c r="AK38" s="478"/>
      <c r="AL38" s="478"/>
      <c r="AM38" s="478"/>
      <c r="AN38" s="478"/>
      <c r="AO38" s="478"/>
      <c r="AP38" s="478"/>
      <c r="AQ38" s="478"/>
      <c r="AR38" s="478"/>
      <c r="AS38" s="478"/>
      <c r="AT38" s="478"/>
      <c r="AU38" s="478"/>
      <c r="AV38" s="478"/>
      <c r="AW38" s="478"/>
      <c r="AX38" s="478"/>
      <c r="AY38" s="478"/>
      <c r="AZ38" s="478"/>
      <c r="BA38" s="478"/>
      <c r="BB38" s="478"/>
      <c r="BC38" s="478"/>
      <c r="BD38" s="478"/>
      <c r="BE38" s="478"/>
      <c r="BF38" s="478"/>
      <c r="BG38" s="478"/>
      <c r="BH38" s="478"/>
      <c r="BI38" s="544"/>
      <c r="BJ38" s="546"/>
      <c r="BK38" s="477">
        <f t="shared" si="147"/>
        <v>0.99999999999999978</v>
      </c>
      <c r="BL38" s="466">
        <f t="shared" si="148"/>
        <v>84079.907999999996</v>
      </c>
      <c r="BM38" s="257"/>
      <c r="BN38" s="478">
        <f t="shared" ref="BN38:DI38" si="153">1.2*BN34</f>
        <v>0</v>
      </c>
      <c r="BO38" s="478">
        <f t="shared" si="153"/>
        <v>0</v>
      </c>
      <c r="BP38" s="478">
        <f t="shared" si="153"/>
        <v>0</v>
      </c>
      <c r="BQ38" s="478">
        <f t="shared" si="153"/>
        <v>0</v>
      </c>
      <c r="BR38" s="478">
        <f t="shared" si="153"/>
        <v>34.799999999999997</v>
      </c>
      <c r="BS38" s="478">
        <f t="shared" si="153"/>
        <v>4.8</v>
      </c>
      <c r="BT38" s="478">
        <f t="shared" si="153"/>
        <v>0</v>
      </c>
      <c r="BU38" s="478">
        <f t="shared" si="153"/>
        <v>0</v>
      </c>
      <c r="BV38" s="478">
        <f t="shared" si="153"/>
        <v>0</v>
      </c>
      <c r="BW38" s="478">
        <f t="shared" si="153"/>
        <v>0</v>
      </c>
      <c r="BX38" s="478">
        <f t="shared" si="153"/>
        <v>0</v>
      </c>
      <c r="BY38" s="478">
        <f t="shared" si="153"/>
        <v>0</v>
      </c>
      <c r="BZ38" s="478">
        <f t="shared" si="153"/>
        <v>0</v>
      </c>
      <c r="CA38" s="478">
        <f t="shared" si="153"/>
        <v>0</v>
      </c>
      <c r="CB38" s="478">
        <f t="shared" si="153"/>
        <v>0</v>
      </c>
      <c r="CC38" s="478">
        <f t="shared" si="153"/>
        <v>0</v>
      </c>
      <c r="CD38" s="478">
        <f t="shared" si="153"/>
        <v>0</v>
      </c>
      <c r="CE38" s="478">
        <f t="shared" si="153"/>
        <v>0</v>
      </c>
      <c r="CF38" s="478">
        <f t="shared" si="153"/>
        <v>0</v>
      </c>
      <c r="CG38" s="478">
        <f t="shared" si="153"/>
        <v>0</v>
      </c>
      <c r="CH38" s="478">
        <f t="shared" si="153"/>
        <v>0</v>
      </c>
      <c r="CI38" s="478">
        <f t="shared" si="153"/>
        <v>0</v>
      </c>
      <c r="CJ38" s="478">
        <f t="shared" si="153"/>
        <v>0</v>
      </c>
      <c r="CK38" s="478">
        <f t="shared" si="153"/>
        <v>0</v>
      </c>
      <c r="CL38" s="478">
        <f t="shared" si="153"/>
        <v>0</v>
      </c>
      <c r="CM38" s="478">
        <f t="shared" si="153"/>
        <v>0</v>
      </c>
      <c r="CN38" s="478">
        <f t="shared" si="153"/>
        <v>0</v>
      </c>
      <c r="CO38" s="478">
        <f t="shared" si="153"/>
        <v>0</v>
      </c>
      <c r="CP38" s="478">
        <f t="shared" si="153"/>
        <v>0</v>
      </c>
      <c r="CQ38" s="478">
        <f t="shared" si="153"/>
        <v>0</v>
      </c>
      <c r="CR38" s="478">
        <f t="shared" si="153"/>
        <v>0</v>
      </c>
      <c r="CS38" s="478">
        <f t="shared" si="153"/>
        <v>0</v>
      </c>
      <c r="CT38" s="478">
        <f t="shared" si="153"/>
        <v>0</v>
      </c>
      <c r="CU38" s="478">
        <f t="shared" si="153"/>
        <v>0</v>
      </c>
      <c r="CV38" s="478">
        <f t="shared" si="153"/>
        <v>0</v>
      </c>
      <c r="CW38" s="478">
        <f t="shared" si="153"/>
        <v>0</v>
      </c>
      <c r="CX38" s="478">
        <f t="shared" si="153"/>
        <v>0</v>
      </c>
      <c r="CY38" s="478">
        <f t="shared" si="153"/>
        <v>0</v>
      </c>
      <c r="CZ38" s="478">
        <f t="shared" si="153"/>
        <v>0</v>
      </c>
      <c r="DA38" s="478">
        <f t="shared" si="153"/>
        <v>0</v>
      </c>
      <c r="DB38" s="478">
        <f t="shared" si="153"/>
        <v>0</v>
      </c>
      <c r="DC38" s="478">
        <f t="shared" si="153"/>
        <v>0</v>
      </c>
      <c r="DD38" s="478">
        <f t="shared" si="153"/>
        <v>0</v>
      </c>
      <c r="DE38" s="478">
        <f t="shared" si="153"/>
        <v>0</v>
      </c>
      <c r="DF38" s="478">
        <f t="shared" si="153"/>
        <v>0</v>
      </c>
      <c r="DG38" s="478">
        <f t="shared" si="153"/>
        <v>0</v>
      </c>
      <c r="DH38" s="478">
        <f t="shared" si="153"/>
        <v>0</v>
      </c>
      <c r="DI38" s="478">
        <f t="shared" si="153"/>
        <v>0</v>
      </c>
    </row>
    <row r="39" spans="1:113" ht="16.05" customHeight="1" outlineLevel="1" x14ac:dyDescent="0.3">
      <c r="A39" s="455" t="str">
        <f t="shared" si="54"/>
        <v>Imprimir</v>
      </c>
      <c r="B39" s="455"/>
      <c r="C39" s="481"/>
      <c r="D39" s="463" t="s">
        <v>704</v>
      </c>
      <c r="E39" s="482" t="s">
        <v>675</v>
      </c>
      <c r="F39" s="483" t="s">
        <v>666</v>
      </c>
      <c r="G39" s="484">
        <f>1*G34</f>
        <v>33</v>
      </c>
      <c r="H39" s="485">
        <v>131.16</v>
      </c>
      <c r="I39" s="466">
        <f t="shared" si="152"/>
        <v>4328.28</v>
      </c>
      <c r="J39" s="259"/>
      <c r="K39" s="478">
        <f t="shared" si="145"/>
        <v>33</v>
      </c>
      <c r="L39" s="466">
        <f t="shared" si="146"/>
        <v>4328.28</v>
      </c>
      <c r="M39" s="257"/>
      <c r="N39" s="478">
        <v>4</v>
      </c>
      <c r="O39" s="478">
        <v>4</v>
      </c>
      <c r="P39" s="478">
        <v>4</v>
      </c>
      <c r="Q39" s="478">
        <v>4</v>
      </c>
      <c r="R39" s="478">
        <v>4</v>
      </c>
      <c r="S39" s="478"/>
      <c r="T39" s="478"/>
      <c r="U39" s="478">
        <v>4</v>
      </c>
      <c r="V39" s="478">
        <v>4</v>
      </c>
      <c r="W39" s="478">
        <v>4</v>
      </c>
      <c r="X39" s="478">
        <v>1</v>
      </c>
      <c r="Y39" s="478"/>
      <c r="Z39" s="478"/>
      <c r="AA39" s="478"/>
      <c r="AB39" s="478"/>
      <c r="AC39" s="478"/>
      <c r="AD39" s="478"/>
      <c r="AE39" s="478"/>
      <c r="AF39" s="478"/>
      <c r="AG39" s="478"/>
      <c r="AH39" s="478"/>
      <c r="AI39" s="478"/>
      <c r="AJ39" s="478"/>
      <c r="AK39" s="478"/>
      <c r="AL39" s="478"/>
      <c r="AM39" s="478"/>
      <c r="AN39" s="478"/>
      <c r="AO39" s="478"/>
      <c r="AP39" s="478"/>
      <c r="AQ39" s="478"/>
      <c r="AR39" s="478"/>
      <c r="AS39" s="478"/>
      <c r="AT39" s="478"/>
      <c r="AU39" s="478"/>
      <c r="AV39" s="478"/>
      <c r="AW39" s="478"/>
      <c r="AX39" s="478"/>
      <c r="AY39" s="478"/>
      <c r="AZ39" s="478"/>
      <c r="BA39" s="478"/>
      <c r="BB39" s="478"/>
      <c r="BC39" s="478"/>
      <c r="BD39" s="478"/>
      <c r="BE39" s="478"/>
      <c r="BF39" s="478"/>
      <c r="BG39" s="478"/>
      <c r="BH39" s="478"/>
      <c r="BI39" s="544"/>
      <c r="BJ39" s="546"/>
      <c r="BK39" s="477">
        <f t="shared" si="147"/>
        <v>1</v>
      </c>
      <c r="BL39" s="466">
        <f t="shared" si="148"/>
        <v>4328.28</v>
      </c>
      <c r="BM39" s="257"/>
      <c r="BN39" s="478">
        <f t="shared" ref="BN39:DI39" si="154">1*BN34</f>
        <v>0</v>
      </c>
      <c r="BO39" s="478">
        <f t="shared" si="154"/>
        <v>0</v>
      </c>
      <c r="BP39" s="478">
        <f t="shared" si="154"/>
        <v>0</v>
      </c>
      <c r="BQ39" s="478">
        <f t="shared" si="154"/>
        <v>0</v>
      </c>
      <c r="BR39" s="478">
        <f t="shared" si="154"/>
        <v>29</v>
      </c>
      <c r="BS39" s="478">
        <f t="shared" si="154"/>
        <v>4</v>
      </c>
      <c r="BT39" s="478">
        <f t="shared" si="154"/>
        <v>0</v>
      </c>
      <c r="BU39" s="478">
        <f t="shared" si="154"/>
        <v>0</v>
      </c>
      <c r="BV39" s="478">
        <f t="shared" si="154"/>
        <v>0</v>
      </c>
      <c r="BW39" s="478">
        <f t="shared" si="154"/>
        <v>0</v>
      </c>
      <c r="BX39" s="478">
        <f t="shared" si="154"/>
        <v>0</v>
      </c>
      <c r="BY39" s="478">
        <f t="shared" si="154"/>
        <v>0</v>
      </c>
      <c r="BZ39" s="478">
        <f t="shared" si="154"/>
        <v>0</v>
      </c>
      <c r="CA39" s="478">
        <f t="shared" si="154"/>
        <v>0</v>
      </c>
      <c r="CB39" s="478">
        <f t="shared" si="154"/>
        <v>0</v>
      </c>
      <c r="CC39" s="478">
        <f t="shared" si="154"/>
        <v>0</v>
      </c>
      <c r="CD39" s="478">
        <f t="shared" si="154"/>
        <v>0</v>
      </c>
      <c r="CE39" s="478">
        <f t="shared" si="154"/>
        <v>0</v>
      </c>
      <c r="CF39" s="478">
        <f t="shared" si="154"/>
        <v>0</v>
      </c>
      <c r="CG39" s="478">
        <f t="shared" si="154"/>
        <v>0</v>
      </c>
      <c r="CH39" s="478">
        <f t="shared" si="154"/>
        <v>0</v>
      </c>
      <c r="CI39" s="478">
        <f t="shared" si="154"/>
        <v>0</v>
      </c>
      <c r="CJ39" s="478">
        <f t="shared" si="154"/>
        <v>0</v>
      </c>
      <c r="CK39" s="478">
        <f t="shared" si="154"/>
        <v>0</v>
      </c>
      <c r="CL39" s="478">
        <f t="shared" si="154"/>
        <v>0</v>
      </c>
      <c r="CM39" s="478">
        <f t="shared" si="154"/>
        <v>0</v>
      </c>
      <c r="CN39" s="478">
        <f t="shared" si="154"/>
        <v>0</v>
      </c>
      <c r="CO39" s="478">
        <f t="shared" si="154"/>
        <v>0</v>
      </c>
      <c r="CP39" s="478">
        <f t="shared" si="154"/>
        <v>0</v>
      </c>
      <c r="CQ39" s="478">
        <f t="shared" si="154"/>
        <v>0</v>
      </c>
      <c r="CR39" s="478">
        <f t="shared" si="154"/>
        <v>0</v>
      </c>
      <c r="CS39" s="478">
        <f t="shared" si="154"/>
        <v>0</v>
      </c>
      <c r="CT39" s="478">
        <f t="shared" si="154"/>
        <v>0</v>
      </c>
      <c r="CU39" s="478">
        <f t="shared" si="154"/>
        <v>0</v>
      </c>
      <c r="CV39" s="478">
        <f t="shared" si="154"/>
        <v>0</v>
      </c>
      <c r="CW39" s="478">
        <f t="shared" si="154"/>
        <v>0</v>
      </c>
      <c r="CX39" s="478">
        <f t="shared" si="154"/>
        <v>0</v>
      </c>
      <c r="CY39" s="478">
        <f t="shared" si="154"/>
        <v>0</v>
      </c>
      <c r="CZ39" s="478">
        <f t="shared" si="154"/>
        <v>0</v>
      </c>
      <c r="DA39" s="478">
        <f t="shared" si="154"/>
        <v>0</v>
      </c>
      <c r="DB39" s="478">
        <f t="shared" si="154"/>
        <v>0</v>
      </c>
      <c r="DC39" s="478">
        <f t="shared" si="154"/>
        <v>0</v>
      </c>
      <c r="DD39" s="478">
        <f t="shared" si="154"/>
        <v>0</v>
      </c>
      <c r="DE39" s="478">
        <f t="shared" si="154"/>
        <v>0</v>
      </c>
      <c r="DF39" s="478">
        <f t="shared" si="154"/>
        <v>0</v>
      </c>
      <c r="DG39" s="478">
        <f t="shared" si="154"/>
        <v>0</v>
      </c>
      <c r="DH39" s="478">
        <f t="shared" si="154"/>
        <v>0</v>
      </c>
      <c r="DI39" s="478">
        <f t="shared" si="154"/>
        <v>0</v>
      </c>
    </row>
    <row r="40" spans="1:113" ht="16.05" customHeight="1" outlineLevel="1" x14ac:dyDescent="0.3">
      <c r="A40" s="455" t="str">
        <f t="shared" si="54"/>
        <v>Imprimir</v>
      </c>
      <c r="B40" s="455"/>
      <c r="C40" s="481"/>
      <c r="D40" s="463" t="s">
        <v>705</v>
      </c>
      <c r="E40" s="482" t="s">
        <v>677</v>
      </c>
      <c r="F40" s="483" t="s">
        <v>678</v>
      </c>
      <c r="G40" s="484">
        <f>0.44*G34</f>
        <v>14.52</v>
      </c>
      <c r="H40" s="485">
        <v>250</v>
      </c>
      <c r="I40" s="466">
        <f t="shared" si="152"/>
        <v>3630</v>
      </c>
      <c r="J40" s="259"/>
      <c r="K40" s="478">
        <f t="shared" si="145"/>
        <v>14.52</v>
      </c>
      <c r="L40" s="466">
        <f t="shared" si="146"/>
        <v>3630</v>
      </c>
      <c r="M40" s="257"/>
      <c r="N40" s="478"/>
      <c r="O40" s="478">
        <v>1.76</v>
      </c>
      <c r="P40" s="478">
        <v>1.76</v>
      </c>
      <c r="Q40" s="478">
        <v>1.76</v>
      </c>
      <c r="R40" s="478">
        <v>1.76</v>
      </c>
      <c r="S40" s="478"/>
      <c r="T40" s="478"/>
      <c r="U40" s="478">
        <v>1.76</v>
      </c>
      <c r="V40" s="478">
        <v>1.76</v>
      </c>
      <c r="W40" s="478">
        <v>1.76</v>
      </c>
      <c r="X40" s="478">
        <v>2.2000000000000002</v>
      </c>
      <c r="Y40" s="478"/>
      <c r="Z40" s="478"/>
      <c r="AA40" s="478"/>
      <c r="AB40" s="478"/>
      <c r="AC40" s="478"/>
      <c r="AD40" s="478"/>
      <c r="AE40" s="478"/>
      <c r="AF40" s="478"/>
      <c r="AG40" s="478"/>
      <c r="AH40" s="478"/>
      <c r="AI40" s="478"/>
      <c r="AJ40" s="478"/>
      <c r="AK40" s="478"/>
      <c r="AL40" s="478"/>
      <c r="AM40" s="478"/>
      <c r="AN40" s="478"/>
      <c r="AO40" s="478"/>
      <c r="AP40" s="478"/>
      <c r="AQ40" s="478"/>
      <c r="AR40" s="478"/>
      <c r="AS40" s="478"/>
      <c r="AT40" s="478"/>
      <c r="AU40" s="478"/>
      <c r="AV40" s="478"/>
      <c r="AW40" s="478"/>
      <c r="AX40" s="478"/>
      <c r="AY40" s="478"/>
      <c r="AZ40" s="478"/>
      <c r="BA40" s="478"/>
      <c r="BB40" s="478"/>
      <c r="BC40" s="478"/>
      <c r="BD40" s="478"/>
      <c r="BE40" s="478"/>
      <c r="BF40" s="478"/>
      <c r="BG40" s="478"/>
      <c r="BH40" s="478"/>
      <c r="BI40" s="544"/>
      <c r="BJ40" s="546"/>
      <c r="BK40" s="477">
        <f t="shared" si="147"/>
        <v>1</v>
      </c>
      <c r="BL40" s="466">
        <f t="shared" si="148"/>
        <v>3630</v>
      </c>
      <c r="BM40" s="257"/>
      <c r="BN40" s="478">
        <f t="shared" ref="BN40:DI40" si="155">0.44*BN34</f>
        <v>0</v>
      </c>
      <c r="BO40" s="478">
        <f t="shared" si="155"/>
        <v>0</v>
      </c>
      <c r="BP40" s="478">
        <f t="shared" si="155"/>
        <v>0</v>
      </c>
      <c r="BQ40" s="478">
        <f t="shared" si="155"/>
        <v>0</v>
      </c>
      <c r="BR40" s="478">
        <f t="shared" si="155"/>
        <v>12.76</v>
      </c>
      <c r="BS40" s="478">
        <f t="shared" si="155"/>
        <v>1.76</v>
      </c>
      <c r="BT40" s="478">
        <f t="shared" si="155"/>
        <v>0</v>
      </c>
      <c r="BU40" s="478">
        <f t="shared" si="155"/>
        <v>0</v>
      </c>
      <c r="BV40" s="478">
        <f t="shared" si="155"/>
        <v>0</v>
      </c>
      <c r="BW40" s="478">
        <f t="shared" si="155"/>
        <v>0</v>
      </c>
      <c r="BX40" s="478">
        <f t="shared" si="155"/>
        <v>0</v>
      </c>
      <c r="BY40" s="478">
        <f t="shared" si="155"/>
        <v>0</v>
      </c>
      <c r="BZ40" s="478">
        <f t="shared" si="155"/>
        <v>0</v>
      </c>
      <c r="CA40" s="478">
        <f t="shared" si="155"/>
        <v>0</v>
      </c>
      <c r="CB40" s="478">
        <f t="shared" si="155"/>
        <v>0</v>
      </c>
      <c r="CC40" s="478">
        <f t="shared" si="155"/>
        <v>0</v>
      </c>
      <c r="CD40" s="478">
        <f t="shared" si="155"/>
        <v>0</v>
      </c>
      <c r="CE40" s="478">
        <f t="shared" si="155"/>
        <v>0</v>
      </c>
      <c r="CF40" s="478">
        <f t="shared" si="155"/>
        <v>0</v>
      </c>
      <c r="CG40" s="478">
        <f t="shared" si="155"/>
        <v>0</v>
      </c>
      <c r="CH40" s="478">
        <f t="shared" si="155"/>
        <v>0</v>
      </c>
      <c r="CI40" s="478">
        <f t="shared" si="155"/>
        <v>0</v>
      </c>
      <c r="CJ40" s="478">
        <f t="shared" si="155"/>
        <v>0</v>
      </c>
      <c r="CK40" s="478">
        <f t="shared" si="155"/>
        <v>0</v>
      </c>
      <c r="CL40" s="478">
        <f t="shared" si="155"/>
        <v>0</v>
      </c>
      <c r="CM40" s="478">
        <f t="shared" si="155"/>
        <v>0</v>
      </c>
      <c r="CN40" s="478">
        <f t="shared" si="155"/>
        <v>0</v>
      </c>
      <c r="CO40" s="478">
        <f t="shared" si="155"/>
        <v>0</v>
      </c>
      <c r="CP40" s="478">
        <f t="shared" si="155"/>
        <v>0</v>
      </c>
      <c r="CQ40" s="478">
        <f t="shared" si="155"/>
        <v>0</v>
      </c>
      <c r="CR40" s="478">
        <f t="shared" si="155"/>
        <v>0</v>
      </c>
      <c r="CS40" s="478">
        <f t="shared" si="155"/>
        <v>0</v>
      </c>
      <c r="CT40" s="478">
        <f t="shared" si="155"/>
        <v>0</v>
      </c>
      <c r="CU40" s="478">
        <f t="shared" si="155"/>
        <v>0</v>
      </c>
      <c r="CV40" s="478">
        <f t="shared" si="155"/>
        <v>0</v>
      </c>
      <c r="CW40" s="478">
        <f t="shared" si="155"/>
        <v>0</v>
      </c>
      <c r="CX40" s="478">
        <f t="shared" si="155"/>
        <v>0</v>
      </c>
      <c r="CY40" s="478">
        <f t="shared" si="155"/>
        <v>0</v>
      </c>
      <c r="CZ40" s="478">
        <f t="shared" si="155"/>
        <v>0</v>
      </c>
      <c r="DA40" s="478">
        <f t="shared" si="155"/>
        <v>0</v>
      </c>
      <c r="DB40" s="478">
        <f t="shared" si="155"/>
        <v>0</v>
      </c>
      <c r="DC40" s="478">
        <f t="shared" si="155"/>
        <v>0</v>
      </c>
      <c r="DD40" s="478">
        <f t="shared" si="155"/>
        <v>0</v>
      </c>
      <c r="DE40" s="478">
        <f t="shared" si="155"/>
        <v>0</v>
      </c>
      <c r="DF40" s="478">
        <f t="shared" si="155"/>
        <v>0</v>
      </c>
      <c r="DG40" s="478">
        <f t="shared" si="155"/>
        <v>0</v>
      </c>
      <c r="DH40" s="478">
        <f t="shared" si="155"/>
        <v>0</v>
      </c>
      <c r="DI40" s="478">
        <f t="shared" si="155"/>
        <v>0</v>
      </c>
    </row>
    <row r="41" spans="1:113" ht="16.05" customHeight="1" outlineLevel="1" x14ac:dyDescent="0.3">
      <c r="A41" s="455" t="str">
        <f t="shared" si="54"/>
        <v>Imprimir</v>
      </c>
      <c r="B41" s="455"/>
      <c r="C41" s="481"/>
      <c r="D41" s="463" t="s">
        <v>706</v>
      </c>
      <c r="E41" s="482" t="s">
        <v>707</v>
      </c>
      <c r="F41" s="483" t="s">
        <v>681</v>
      </c>
      <c r="G41" s="484">
        <f>1*G34</f>
        <v>33</v>
      </c>
      <c r="H41" s="485">
        <v>21667.17</v>
      </c>
      <c r="I41" s="466">
        <f t="shared" si="152"/>
        <v>715016.61</v>
      </c>
      <c r="J41" s="259"/>
      <c r="K41" s="478">
        <f t="shared" si="145"/>
        <v>33</v>
      </c>
      <c r="L41" s="466">
        <f t="shared" si="146"/>
        <v>715016.61</v>
      </c>
      <c r="M41" s="257"/>
      <c r="N41" s="478"/>
      <c r="O41" s="478">
        <v>4</v>
      </c>
      <c r="P41" s="478">
        <v>4</v>
      </c>
      <c r="Q41" s="478">
        <v>4</v>
      </c>
      <c r="R41" s="478">
        <v>4</v>
      </c>
      <c r="S41" s="478"/>
      <c r="T41" s="478"/>
      <c r="U41" s="478">
        <v>4</v>
      </c>
      <c r="V41" s="478">
        <v>4</v>
      </c>
      <c r="W41" s="478">
        <v>4</v>
      </c>
      <c r="X41" s="478">
        <v>5</v>
      </c>
      <c r="Y41" s="478"/>
      <c r="Z41" s="478"/>
      <c r="AA41" s="478"/>
      <c r="AB41" s="478"/>
      <c r="AC41" s="478"/>
      <c r="AD41" s="478"/>
      <c r="AE41" s="478"/>
      <c r="AF41" s="478"/>
      <c r="AG41" s="478"/>
      <c r="AH41" s="478"/>
      <c r="AI41" s="478"/>
      <c r="AJ41" s="478"/>
      <c r="AK41" s="478"/>
      <c r="AL41" s="478"/>
      <c r="AM41" s="478"/>
      <c r="AN41" s="478"/>
      <c r="AO41" s="478"/>
      <c r="AP41" s="478"/>
      <c r="AQ41" s="478"/>
      <c r="AR41" s="478"/>
      <c r="AS41" s="478"/>
      <c r="AT41" s="478"/>
      <c r="AU41" s="478"/>
      <c r="AV41" s="478"/>
      <c r="AW41" s="478"/>
      <c r="AX41" s="478"/>
      <c r="AY41" s="478"/>
      <c r="AZ41" s="478"/>
      <c r="BA41" s="478"/>
      <c r="BB41" s="478"/>
      <c r="BC41" s="478"/>
      <c r="BD41" s="478"/>
      <c r="BE41" s="478"/>
      <c r="BF41" s="478"/>
      <c r="BG41" s="478"/>
      <c r="BH41" s="478"/>
      <c r="BI41" s="544"/>
      <c r="BJ41" s="546"/>
      <c r="BK41" s="477">
        <f t="shared" si="147"/>
        <v>1</v>
      </c>
      <c r="BL41" s="466">
        <f t="shared" si="148"/>
        <v>715016.61</v>
      </c>
      <c r="BM41" s="257"/>
      <c r="BN41" s="478">
        <f t="shared" ref="BN41:DI41" si="156">1*BN34</f>
        <v>0</v>
      </c>
      <c r="BO41" s="478">
        <f t="shared" si="156"/>
        <v>0</v>
      </c>
      <c r="BP41" s="478">
        <f t="shared" si="156"/>
        <v>0</v>
      </c>
      <c r="BQ41" s="478">
        <f t="shared" si="156"/>
        <v>0</v>
      </c>
      <c r="BR41" s="478">
        <f t="shared" si="156"/>
        <v>29</v>
      </c>
      <c r="BS41" s="478">
        <f t="shared" si="156"/>
        <v>4</v>
      </c>
      <c r="BT41" s="478">
        <f t="shared" si="156"/>
        <v>0</v>
      </c>
      <c r="BU41" s="478">
        <f t="shared" si="156"/>
        <v>0</v>
      </c>
      <c r="BV41" s="478">
        <f t="shared" si="156"/>
        <v>0</v>
      </c>
      <c r="BW41" s="478">
        <f t="shared" si="156"/>
        <v>0</v>
      </c>
      <c r="BX41" s="478">
        <f t="shared" si="156"/>
        <v>0</v>
      </c>
      <c r="BY41" s="478">
        <f t="shared" si="156"/>
        <v>0</v>
      </c>
      <c r="BZ41" s="478">
        <f t="shared" si="156"/>
        <v>0</v>
      </c>
      <c r="CA41" s="478">
        <f t="shared" si="156"/>
        <v>0</v>
      </c>
      <c r="CB41" s="478">
        <f t="shared" si="156"/>
        <v>0</v>
      </c>
      <c r="CC41" s="478">
        <f t="shared" si="156"/>
        <v>0</v>
      </c>
      <c r="CD41" s="478">
        <f t="shared" si="156"/>
        <v>0</v>
      </c>
      <c r="CE41" s="478">
        <f t="shared" si="156"/>
        <v>0</v>
      </c>
      <c r="CF41" s="478">
        <f t="shared" si="156"/>
        <v>0</v>
      </c>
      <c r="CG41" s="478">
        <f t="shared" si="156"/>
        <v>0</v>
      </c>
      <c r="CH41" s="478">
        <f t="shared" si="156"/>
        <v>0</v>
      </c>
      <c r="CI41" s="478">
        <f t="shared" si="156"/>
        <v>0</v>
      </c>
      <c r="CJ41" s="478">
        <f t="shared" si="156"/>
        <v>0</v>
      </c>
      <c r="CK41" s="478">
        <f t="shared" si="156"/>
        <v>0</v>
      </c>
      <c r="CL41" s="478">
        <f t="shared" si="156"/>
        <v>0</v>
      </c>
      <c r="CM41" s="478">
        <f t="shared" si="156"/>
        <v>0</v>
      </c>
      <c r="CN41" s="478">
        <f t="shared" si="156"/>
        <v>0</v>
      </c>
      <c r="CO41" s="478">
        <f t="shared" si="156"/>
        <v>0</v>
      </c>
      <c r="CP41" s="478">
        <f t="shared" si="156"/>
        <v>0</v>
      </c>
      <c r="CQ41" s="478">
        <f t="shared" si="156"/>
        <v>0</v>
      </c>
      <c r="CR41" s="478">
        <f t="shared" si="156"/>
        <v>0</v>
      </c>
      <c r="CS41" s="478">
        <f t="shared" si="156"/>
        <v>0</v>
      </c>
      <c r="CT41" s="478">
        <f t="shared" si="156"/>
        <v>0</v>
      </c>
      <c r="CU41" s="478">
        <f t="shared" si="156"/>
        <v>0</v>
      </c>
      <c r="CV41" s="478">
        <f t="shared" si="156"/>
        <v>0</v>
      </c>
      <c r="CW41" s="478">
        <f t="shared" si="156"/>
        <v>0</v>
      </c>
      <c r="CX41" s="478">
        <f t="shared" si="156"/>
        <v>0</v>
      </c>
      <c r="CY41" s="478">
        <f t="shared" si="156"/>
        <v>0</v>
      </c>
      <c r="CZ41" s="478">
        <f t="shared" si="156"/>
        <v>0</v>
      </c>
      <c r="DA41" s="478">
        <f t="shared" si="156"/>
        <v>0</v>
      </c>
      <c r="DB41" s="478">
        <f t="shared" si="156"/>
        <v>0</v>
      </c>
      <c r="DC41" s="478">
        <f t="shared" si="156"/>
        <v>0</v>
      </c>
      <c r="DD41" s="478">
        <f t="shared" si="156"/>
        <v>0</v>
      </c>
      <c r="DE41" s="478">
        <f t="shared" si="156"/>
        <v>0</v>
      </c>
      <c r="DF41" s="478">
        <f t="shared" si="156"/>
        <v>0</v>
      </c>
      <c r="DG41" s="478">
        <f t="shared" si="156"/>
        <v>0</v>
      </c>
      <c r="DH41" s="478">
        <f t="shared" si="156"/>
        <v>0</v>
      </c>
      <c r="DI41" s="478">
        <f t="shared" si="156"/>
        <v>0</v>
      </c>
    </row>
    <row r="42" spans="1:113" ht="16.05" customHeight="1" outlineLevel="1" x14ac:dyDescent="0.3">
      <c r="A42" s="455" t="str">
        <f t="shared" si="54"/>
        <v>Imprimir</v>
      </c>
      <c r="B42" s="455"/>
      <c r="C42" s="481"/>
      <c r="D42" s="463" t="s">
        <v>708</v>
      </c>
      <c r="E42" s="482" t="s">
        <v>683</v>
      </c>
      <c r="F42" s="483" t="s">
        <v>663</v>
      </c>
      <c r="G42" s="484">
        <f>6*G34</f>
        <v>198</v>
      </c>
      <c r="H42" s="485">
        <v>174.88</v>
      </c>
      <c r="I42" s="466">
        <f t="shared" si="152"/>
        <v>34626.239999999998</v>
      </c>
      <c r="J42" s="259"/>
      <c r="K42" s="478">
        <f t="shared" si="145"/>
        <v>198</v>
      </c>
      <c r="L42" s="466">
        <f t="shared" si="146"/>
        <v>34626.239999999998</v>
      </c>
      <c r="M42" s="257"/>
      <c r="N42" s="478"/>
      <c r="O42" s="478">
        <v>24</v>
      </c>
      <c r="P42" s="478">
        <v>24</v>
      </c>
      <c r="Q42" s="478">
        <v>24</v>
      </c>
      <c r="R42" s="478">
        <v>24</v>
      </c>
      <c r="S42" s="478"/>
      <c r="T42" s="478"/>
      <c r="U42" s="478">
        <v>24</v>
      </c>
      <c r="V42" s="478">
        <v>24</v>
      </c>
      <c r="W42" s="478">
        <v>24</v>
      </c>
      <c r="X42" s="478">
        <v>30</v>
      </c>
      <c r="Y42" s="478"/>
      <c r="Z42" s="478"/>
      <c r="AA42" s="478"/>
      <c r="AB42" s="478"/>
      <c r="AC42" s="478"/>
      <c r="AD42" s="478"/>
      <c r="AE42" s="478"/>
      <c r="AF42" s="478"/>
      <c r="AG42" s="478"/>
      <c r="AH42" s="478"/>
      <c r="AI42" s="478"/>
      <c r="AJ42" s="478"/>
      <c r="AK42" s="478"/>
      <c r="AL42" s="478"/>
      <c r="AM42" s="478"/>
      <c r="AN42" s="478"/>
      <c r="AO42" s="478"/>
      <c r="AP42" s="478"/>
      <c r="AQ42" s="478"/>
      <c r="AR42" s="478"/>
      <c r="AS42" s="478"/>
      <c r="AT42" s="478"/>
      <c r="AU42" s="478"/>
      <c r="AV42" s="478"/>
      <c r="AW42" s="478"/>
      <c r="AX42" s="478"/>
      <c r="AY42" s="478"/>
      <c r="AZ42" s="478"/>
      <c r="BA42" s="478"/>
      <c r="BB42" s="478"/>
      <c r="BC42" s="478"/>
      <c r="BD42" s="478"/>
      <c r="BE42" s="478"/>
      <c r="BF42" s="478"/>
      <c r="BG42" s="478"/>
      <c r="BH42" s="478"/>
      <c r="BI42" s="544"/>
      <c r="BJ42" s="546"/>
      <c r="BK42" s="477">
        <f t="shared" si="147"/>
        <v>1</v>
      </c>
      <c r="BL42" s="466">
        <f t="shared" si="148"/>
        <v>34626.239999999998</v>
      </c>
      <c r="BM42" s="257"/>
      <c r="BN42" s="478">
        <f t="shared" ref="BN42:DI42" si="157">6*BN34</f>
        <v>0</v>
      </c>
      <c r="BO42" s="478">
        <f t="shared" si="157"/>
        <v>0</v>
      </c>
      <c r="BP42" s="478">
        <f t="shared" si="157"/>
        <v>0</v>
      </c>
      <c r="BQ42" s="478">
        <f t="shared" si="157"/>
        <v>0</v>
      </c>
      <c r="BR42" s="478">
        <f t="shared" si="157"/>
        <v>174</v>
      </c>
      <c r="BS42" s="478">
        <f t="shared" si="157"/>
        <v>24</v>
      </c>
      <c r="BT42" s="478">
        <f t="shared" si="157"/>
        <v>0</v>
      </c>
      <c r="BU42" s="478">
        <f t="shared" si="157"/>
        <v>0</v>
      </c>
      <c r="BV42" s="478">
        <f t="shared" si="157"/>
        <v>0</v>
      </c>
      <c r="BW42" s="478">
        <f t="shared" si="157"/>
        <v>0</v>
      </c>
      <c r="BX42" s="478">
        <f t="shared" si="157"/>
        <v>0</v>
      </c>
      <c r="BY42" s="478">
        <f t="shared" si="157"/>
        <v>0</v>
      </c>
      <c r="BZ42" s="478">
        <f t="shared" si="157"/>
        <v>0</v>
      </c>
      <c r="CA42" s="478">
        <f t="shared" si="157"/>
        <v>0</v>
      </c>
      <c r="CB42" s="478">
        <f t="shared" si="157"/>
        <v>0</v>
      </c>
      <c r="CC42" s="478">
        <f t="shared" si="157"/>
        <v>0</v>
      </c>
      <c r="CD42" s="478">
        <f t="shared" si="157"/>
        <v>0</v>
      </c>
      <c r="CE42" s="478">
        <f t="shared" si="157"/>
        <v>0</v>
      </c>
      <c r="CF42" s="478">
        <f t="shared" si="157"/>
        <v>0</v>
      </c>
      <c r="CG42" s="478">
        <f t="shared" si="157"/>
        <v>0</v>
      </c>
      <c r="CH42" s="478">
        <f t="shared" si="157"/>
        <v>0</v>
      </c>
      <c r="CI42" s="478">
        <f t="shared" si="157"/>
        <v>0</v>
      </c>
      <c r="CJ42" s="478">
        <f t="shared" si="157"/>
        <v>0</v>
      </c>
      <c r="CK42" s="478">
        <f t="shared" si="157"/>
        <v>0</v>
      </c>
      <c r="CL42" s="478">
        <f t="shared" si="157"/>
        <v>0</v>
      </c>
      <c r="CM42" s="478">
        <f t="shared" si="157"/>
        <v>0</v>
      </c>
      <c r="CN42" s="478">
        <f t="shared" si="157"/>
        <v>0</v>
      </c>
      <c r="CO42" s="478">
        <f t="shared" si="157"/>
        <v>0</v>
      </c>
      <c r="CP42" s="478">
        <f t="shared" si="157"/>
        <v>0</v>
      </c>
      <c r="CQ42" s="478">
        <f t="shared" si="157"/>
        <v>0</v>
      </c>
      <c r="CR42" s="478">
        <f t="shared" si="157"/>
        <v>0</v>
      </c>
      <c r="CS42" s="478">
        <f t="shared" si="157"/>
        <v>0</v>
      </c>
      <c r="CT42" s="478">
        <f t="shared" si="157"/>
        <v>0</v>
      </c>
      <c r="CU42" s="478">
        <f t="shared" si="157"/>
        <v>0</v>
      </c>
      <c r="CV42" s="478">
        <f t="shared" si="157"/>
        <v>0</v>
      </c>
      <c r="CW42" s="478">
        <f t="shared" si="157"/>
        <v>0</v>
      </c>
      <c r="CX42" s="478">
        <f t="shared" si="157"/>
        <v>0</v>
      </c>
      <c r="CY42" s="478">
        <f t="shared" si="157"/>
        <v>0</v>
      </c>
      <c r="CZ42" s="478">
        <f t="shared" si="157"/>
        <v>0</v>
      </c>
      <c r="DA42" s="478">
        <f t="shared" si="157"/>
        <v>0</v>
      </c>
      <c r="DB42" s="478">
        <f t="shared" si="157"/>
        <v>0</v>
      </c>
      <c r="DC42" s="478">
        <f t="shared" si="157"/>
        <v>0</v>
      </c>
      <c r="DD42" s="478">
        <f t="shared" si="157"/>
        <v>0</v>
      </c>
      <c r="DE42" s="478">
        <f t="shared" si="157"/>
        <v>0</v>
      </c>
      <c r="DF42" s="478">
        <f t="shared" si="157"/>
        <v>0</v>
      </c>
      <c r="DG42" s="478">
        <f t="shared" si="157"/>
        <v>0</v>
      </c>
      <c r="DH42" s="478">
        <f t="shared" si="157"/>
        <v>0</v>
      </c>
      <c r="DI42" s="478">
        <f t="shared" si="157"/>
        <v>0</v>
      </c>
    </row>
    <row r="43" spans="1:113" ht="16.05" customHeight="1" outlineLevel="1" x14ac:dyDescent="0.3">
      <c r="A43" s="455" t="str">
        <f t="shared" si="54"/>
        <v>Imprimir</v>
      </c>
      <c r="B43" s="455"/>
      <c r="C43" s="481"/>
      <c r="D43" s="463" t="s">
        <v>709</v>
      </c>
      <c r="E43" s="482" t="s">
        <v>710</v>
      </c>
      <c r="F43" s="483" t="s">
        <v>663</v>
      </c>
      <c r="G43" s="484">
        <f>2*G34</f>
        <v>66</v>
      </c>
      <c r="H43" s="485">
        <v>162.32</v>
      </c>
      <c r="I43" s="466">
        <f t="shared" ref="I43:I53" si="158">G43*H43</f>
        <v>10713.119999999999</v>
      </c>
      <c r="J43" s="259"/>
      <c r="K43" s="478">
        <f t="shared" ref="K43:K53" si="159">SUM(N43:BI43)</f>
        <v>66</v>
      </c>
      <c r="L43" s="466">
        <f t="shared" si="146"/>
        <v>10713.119999999999</v>
      </c>
      <c r="M43" s="257"/>
      <c r="N43" s="478"/>
      <c r="O43" s="478"/>
      <c r="P43" s="478">
        <v>8</v>
      </c>
      <c r="Q43" s="478">
        <v>8</v>
      </c>
      <c r="R43" s="478">
        <v>8</v>
      </c>
      <c r="S43" s="478"/>
      <c r="T43" s="478"/>
      <c r="U43" s="478">
        <v>8</v>
      </c>
      <c r="V43" s="478">
        <v>8</v>
      </c>
      <c r="W43" s="478">
        <v>8</v>
      </c>
      <c r="X43" s="478">
        <v>8</v>
      </c>
      <c r="Y43" s="478">
        <v>10</v>
      </c>
      <c r="Z43" s="478"/>
      <c r="AA43" s="478"/>
      <c r="AB43" s="478"/>
      <c r="AC43" s="478"/>
      <c r="AD43" s="478"/>
      <c r="AE43" s="478"/>
      <c r="AF43" s="478"/>
      <c r="AG43" s="478"/>
      <c r="AH43" s="478"/>
      <c r="AI43" s="478"/>
      <c r="AJ43" s="478"/>
      <c r="AK43" s="478"/>
      <c r="AL43" s="478"/>
      <c r="AM43" s="478"/>
      <c r="AN43" s="478"/>
      <c r="AO43" s="478"/>
      <c r="AP43" s="478"/>
      <c r="AQ43" s="478"/>
      <c r="AR43" s="478"/>
      <c r="AS43" s="478"/>
      <c r="AT43" s="478"/>
      <c r="AU43" s="478"/>
      <c r="AV43" s="478"/>
      <c r="AW43" s="478"/>
      <c r="AX43" s="478"/>
      <c r="AY43" s="478"/>
      <c r="AZ43" s="478"/>
      <c r="BA43" s="478"/>
      <c r="BB43" s="478"/>
      <c r="BC43" s="478"/>
      <c r="BD43" s="478"/>
      <c r="BE43" s="478"/>
      <c r="BF43" s="478"/>
      <c r="BG43" s="478"/>
      <c r="BH43" s="478"/>
      <c r="BI43" s="544"/>
      <c r="BJ43" s="546"/>
      <c r="BK43" s="477">
        <f t="shared" ref="BK43:BK53" si="160">IFERROR(BL43/I43,0)</f>
        <v>1</v>
      </c>
      <c r="BL43" s="466">
        <f t="shared" ref="BL43:BL53" si="161">SUM(BN43:DJ43)*$H43</f>
        <v>10713.119999999999</v>
      </c>
      <c r="BM43" s="257"/>
      <c r="BN43" s="478">
        <f t="shared" ref="BN43:DI43" si="162">2*BN34</f>
        <v>0</v>
      </c>
      <c r="BO43" s="478">
        <f t="shared" si="162"/>
        <v>0</v>
      </c>
      <c r="BP43" s="478">
        <f t="shared" si="162"/>
        <v>0</v>
      </c>
      <c r="BQ43" s="478">
        <f t="shared" si="162"/>
        <v>0</v>
      </c>
      <c r="BR43" s="478">
        <f t="shared" si="162"/>
        <v>58</v>
      </c>
      <c r="BS43" s="478">
        <f t="shared" si="162"/>
        <v>8</v>
      </c>
      <c r="BT43" s="478">
        <f t="shared" si="162"/>
        <v>0</v>
      </c>
      <c r="BU43" s="478">
        <f t="shared" si="162"/>
        <v>0</v>
      </c>
      <c r="BV43" s="478">
        <f t="shared" si="162"/>
        <v>0</v>
      </c>
      <c r="BW43" s="478">
        <f t="shared" si="162"/>
        <v>0</v>
      </c>
      <c r="BX43" s="478">
        <f t="shared" si="162"/>
        <v>0</v>
      </c>
      <c r="BY43" s="478">
        <f t="shared" si="162"/>
        <v>0</v>
      </c>
      <c r="BZ43" s="478">
        <f t="shared" si="162"/>
        <v>0</v>
      </c>
      <c r="CA43" s="478">
        <f t="shared" si="162"/>
        <v>0</v>
      </c>
      <c r="CB43" s="478">
        <f t="shared" si="162"/>
        <v>0</v>
      </c>
      <c r="CC43" s="478">
        <f t="shared" si="162"/>
        <v>0</v>
      </c>
      <c r="CD43" s="478">
        <f t="shared" si="162"/>
        <v>0</v>
      </c>
      <c r="CE43" s="478">
        <f t="shared" si="162"/>
        <v>0</v>
      </c>
      <c r="CF43" s="478">
        <f t="shared" si="162"/>
        <v>0</v>
      </c>
      <c r="CG43" s="478">
        <f t="shared" si="162"/>
        <v>0</v>
      </c>
      <c r="CH43" s="478">
        <f t="shared" si="162"/>
        <v>0</v>
      </c>
      <c r="CI43" s="478">
        <f t="shared" si="162"/>
        <v>0</v>
      </c>
      <c r="CJ43" s="478">
        <f t="shared" si="162"/>
        <v>0</v>
      </c>
      <c r="CK43" s="478">
        <f t="shared" si="162"/>
        <v>0</v>
      </c>
      <c r="CL43" s="478">
        <f t="shared" si="162"/>
        <v>0</v>
      </c>
      <c r="CM43" s="478">
        <f t="shared" si="162"/>
        <v>0</v>
      </c>
      <c r="CN43" s="478">
        <f t="shared" si="162"/>
        <v>0</v>
      </c>
      <c r="CO43" s="478">
        <f t="shared" si="162"/>
        <v>0</v>
      </c>
      <c r="CP43" s="478">
        <f t="shared" si="162"/>
        <v>0</v>
      </c>
      <c r="CQ43" s="478">
        <f t="shared" si="162"/>
        <v>0</v>
      </c>
      <c r="CR43" s="478">
        <f t="shared" si="162"/>
        <v>0</v>
      </c>
      <c r="CS43" s="478">
        <f t="shared" si="162"/>
        <v>0</v>
      </c>
      <c r="CT43" s="478">
        <f t="shared" si="162"/>
        <v>0</v>
      </c>
      <c r="CU43" s="478">
        <f t="shared" si="162"/>
        <v>0</v>
      </c>
      <c r="CV43" s="478">
        <f t="shared" si="162"/>
        <v>0</v>
      </c>
      <c r="CW43" s="478">
        <f t="shared" si="162"/>
        <v>0</v>
      </c>
      <c r="CX43" s="478">
        <f t="shared" si="162"/>
        <v>0</v>
      </c>
      <c r="CY43" s="478">
        <f t="shared" si="162"/>
        <v>0</v>
      </c>
      <c r="CZ43" s="478">
        <f t="shared" si="162"/>
        <v>0</v>
      </c>
      <c r="DA43" s="478">
        <f t="shared" si="162"/>
        <v>0</v>
      </c>
      <c r="DB43" s="478">
        <f t="shared" si="162"/>
        <v>0</v>
      </c>
      <c r="DC43" s="478">
        <f t="shared" si="162"/>
        <v>0</v>
      </c>
      <c r="DD43" s="478">
        <f t="shared" si="162"/>
        <v>0</v>
      </c>
      <c r="DE43" s="478">
        <f t="shared" si="162"/>
        <v>0</v>
      </c>
      <c r="DF43" s="478">
        <f t="shared" si="162"/>
        <v>0</v>
      </c>
      <c r="DG43" s="478">
        <f t="shared" si="162"/>
        <v>0</v>
      </c>
      <c r="DH43" s="478">
        <f t="shared" si="162"/>
        <v>0</v>
      </c>
      <c r="DI43" s="478">
        <f t="shared" si="162"/>
        <v>0</v>
      </c>
    </row>
    <row r="44" spans="1:113" ht="16.05" customHeight="1" outlineLevel="1" x14ac:dyDescent="0.3">
      <c r="A44" s="455" t="str">
        <f t="shared" si="54"/>
        <v>Imprimir</v>
      </c>
      <c r="B44" s="455"/>
      <c r="C44" s="481"/>
      <c r="D44" s="463" t="s">
        <v>711</v>
      </c>
      <c r="E44" s="482" t="s">
        <v>687</v>
      </c>
      <c r="F44" s="483" t="s">
        <v>663</v>
      </c>
      <c r="G44" s="484">
        <f>1*G34</f>
        <v>33</v>
      </c>
      <c r="H44" s="485">
        <v>1255.3599999999999</v>
      </c>
      <c r="I44" s="466">
        <f t="shared" si="158"/>
        <v>41426.879999999997</v>
      </c>
      <c r="J44" s="259"/>
      <c r="K44" s="478">
        <f t="shared" si="159"/>
        <v>33</v>
      </c>
      <c r="L44" s="466">
        <f t="shared" si="146"/>
        <v>41426.879999999997</v>
      </c>
      <c r="M44" s="257"/>
      <c r="N44" s="478"/>
      <c r="O44" s="478"/>
      <c r="P44" s="478">
        <v>4</v>
      </c>
      <c r="Q44" s="478">
        <v>4</v>
      </c>
      <c r="R44" s="478">
        <v>4</v>
      </c>
      <c r="S44" s="478"/>
      <c r="T44" s="478"/>
      <c r="U44" s="478">
        <v>4</v>
      </c>
      <c r="V44" s="478">
        <v>4</v>
      </c>
      <c r="W44" s="478">
        <v>4</v>
      </c>
      <c r="X44" s="478">
        <v>4</v>
      </c>
      <c r="Y44" s="478">
        <v>5</v>
      </c>
      <c r="Z44" s="478"/>
      <c r="AA44" s="478"/>
      <c r="AB44" s="478"/>
      <c r="AC44" s="478"/>
      <c r="AD44" s="478"/>
      <c r="AE44" s="478"/>
      <c r="AF44" s="478"/>
      <c r="AG44" s="478"/>
      <c r="AH44" s="478"/>
      <c r="AI44" s="478"/>
      <c r="AJ44" s="478"/>
      <c r="AK44" s="478"/>
      <c r="AL44" s="478"/>
      <c r="AM44" s="478"/>
      <c r="AN44" s="478"/>
      <c r="AO44" s="478"/>
      <c r="AP44" s="478"/>
      <c r="AQ44" s="478"/>
      <c r="AR44" s="478"/>
      <c r="AS44" s="478"/>
      <c r="AT44" s="478"/>
      <c r="AU44" s="478"/>
      <c r="AV44" s="478"/>
      <c r="AW44" s="478"/>
      <c r="AX44" s="478"/>
      <c r="AY44" s="478"/>
      <c r="AZ44" s="478"/>
      <c r="BA44" s="478"/>
      <c r="BB44" s="478"/>
      <c r="BC44" s="478"/>
      <c r="BD44" s="478"/>
      <c r="BE44" s="478"/>
      <c r="BF44" s="478"/>
      <c r="BG44" s="478"/>
      <c r="BH44" s="478"/>
      <c r="BI44" s="544"/>
      <c r="BJ44" s="546"/>
      <c r="BK44" s="477">
        <f t="shared" si="160"/>
        <v>1</v>
      </c>
      <c r="BL44" s="466">
        <f t="shared" si="161"/>
        <v>41426.879999999997</v>
      </c>
      <c r="BM44" s="257"/>
      <c r="BN44" s="478">
        <f t="shared" ref="BN44:DI44" si="163">1*BN34</f>
        <v>0</v>
      </c>
      <c r="BO44" s="478">
        <f t="shared" si="163"/>
        <v>0</v>
      </c>
      <c r="BP44" s="478">
        <f t="shared" si="163"/>
        <v>0</v>
      </c>
      <c r="BQ44" s="478">
        <f t="shared" si="163"/>
        <v>0</v>
      </c>
      <c r="BR44" s="478">
        <f t="shared" si="163"/>
        <v>29</v>
      </c>
      <c r="BS44" s="478">
        <f t="shared" si="163"/>
        <v>4</v>
      </c>
      <c r="BT44" s="478">
        <f t="shared" si="163"/>
        <v>0</v>
      </c>
      <c r="BU44" s="478">
        <f t="shared" si="163"/>
        <v>0</v>
      </c>
      <c r="BV44" s="478">
        <f t="shared" si="163"/>
        <v>0</v>
      </c>
      <c r="BW44" s="478">
        <f t="shared" si="163"/>
        <v>0</v>
      </c>
      <c r="BX44" s="478">
        <f t="shared" si="163"/>
        <v>0</v>
      </c>
      <c r="BY44" s="478">
        <f t="shared" si="163"/>
        <v>0</v>
      </c>
      <c r="BZ44" s="478">
        <f t="shared" si="163"/>
        <v>0</v>
      </c>
      <c r="CA44" s="478">
        <f t="shared" si="163"/>
        <v>0</v>
      </c>
      <c r="CB44" s="478">
        <f t="shared" si="163"/>
        <v>0</v>
      </c>
      <c r="CC44" s="478">
        <f t="shared" si="163"/>
        <v>0</v>
      </c>
      <c r="CD44" s="478">
        <f t="shared" si="163"/>
        <v>0</v>
      </c>
      <c r="CE44" s="478">
        <f t="shared" si="163"/>
        <v>0</v>
      </c>
      <c r="CF44" s="478">
        <f t="shared" si="163"/>
        <v>0</v>
      </c>
      <c r="CG44" s="478">
        <f t="shared" si="163"/>
        <v>0</v>
      </c>
      <c r="CH44" s="478">
        <f t="shared" si="163"/>
        <v>0</v>
      </c>
      <c r="CI44" s="478">
        <f t="shared" si="163"/>
        <v>0</v>
      </c>
      <c r="CJ44" s="478">
        <f t="shared" si="163"/>
        <v>0</v>
      </c>
      <c r="CK44" s="478">
        <f t="shared" si="163"/>
        <v>0</v>
      </c>
      <c r="CL44" s="478">
        <f t="shared" si="163"/>
        <v>0</v>
      </c>
      <c r="CM44" s="478">
        <f t="shared" si="163"/>
        <v>0</v>
      </c>
      <c r="CN44" s="478">
        <f t="shared" si="163"/>
        <v>0</v>
      </c>
      <c r="CO44" s="478">
        <f t="shared" si="163"/>
        <v>0</v>
      </c>
      <c r="CP44" s="478">
        <f t="shared" si="163"/>
        <v>0</v>
      </c>
      <c r="CQ44" s="478">
        <f t="shared" si="163"/>
        <v>0</v>
      </c>
      <c r="CR44" s="478">
        <f t="shared" si="163"/>
        <v>0</v>
      </c>
      <c r="CS44" s="478">
        <f t="shared" si="163"/>
        <v>0</v>
      </c>
      <c r="CT44" s="478">
        <f t="shared" si="163"/>
        <v>0</v>
      </c>
      <c r="CU44" s="478">
        <f t="shared" si="163"/>
        <v>0</v>
      </c>
      <c r="CV44" s="478">
        <f t="shared" si="163"/>
        <v>0</v>
      </c>
      <c r="CW44" s="478">
        <f t="shared" si="163"/>
        <v>0</v>
      </c>
      <c r="CX44" s="478">
        <f t="shared" si="163"/>
        <v>0</v>
      </c>
      <c r="CY44" s="478">
        <f t="shared" si="163"/>
        <v>0</v>
      </c>
      <c r="CZ44" s="478">
        <f t="shared" si="163"/>
        <v>0</v>
      </c>
      <c r="DA44" s="478">
        <f t="shared" si="163"/>
        <v>0</v>
      </c>
      <c r="DB44" s="478">
        <f t="shared" si="163"/>
        <v>0</v>
      </c>
      <c r="DC44" s="478">
        <f t="shared" si="163"/>
        <v>0</v>
      </c>
      <c r="DD44" s="478">
        <f t="shared" si="163"/>
        <v>0</v>
      </c>
      <c r="DE44" s="478">
        <f t="shared" si="163"/>
        <v>0</v>
      </c>
      <c r="DF44" s="478">
        <f t="shared" si="163"/>
        <v>0</v>
      </c>
      <c r="DG44" s="478">
        <f t="shared" si="163"/>
        <v>0</v>
      </c>
      <c r="DH44" s="478">
        <f t="shared" si="163"/>
        <v>0</v>
      </c>
      <c r="DI44" s="478">
        <f t="shared" si="163"/>
        <v>0</v>
      </c>
    </row>
    <row r="45" spans="1:113" ht="16.05" hidden="1" customHeight="1" outlineLevel="1" x14ac:dyDescent="0.3">
      <c r="A45" s="455" t="str">
        <f t="shared" si="54"/>
        <v/>
      </c>
      <c r="B45" s="455"/>
      <c r="C45" s="481"/>
      <c r="D45" s="463" t="s">
        <v>712</v>
      </c>
      <c r="E45" s="482"/>
      <c r="F45" s="483"/>
      <c r="G45" s="484"/>
      <c r="H45" s="485"/>
      <c r="I45" s="466">
        <f t="shared" si="158"/>
        <v>0</v>
      </c>
      <c r="J45" s="259"/>
      <c r="K45" s="478">
        <f t="shared" si="159"/>
        <v>0</v>
      </c>
      <c r="L45" s="466">
        <f t="shared" si="146"/>
        <v>0</v>
      </c>
      <c r="M45" s="257"/>
      <c r="N45" s="478"/>
      <c r="O45" s="478"/>
      <c r="P45" s="478"/>
      <c r="Q45" s="478"/>
      <c r="R45" s="478"/>
      <c r="S45" s="478"/>
      <c r="T45" s="478"/>
      <c r="U45" s="478"/>
      <c r="V45" s="478"/>
      <c r="W45" s="478"/>
      <c r="X45" s="478"/>
      <c r="Y45" s="478"/>
      <c r="Z45" s="478"/>
      <c r="AA45" s="478"/>
      <c r="AB45" s="478"/>
      <c r="AC45" s="478"/>
      <c r="AD45" s="478"/>
      <c r="AE45" s="478"/>
      <c r="AF45" s="478"/>
      <c r="AG45" s="478"/>
      <c r="AH45" s="478"/>
      <c r="AI45" s="478"/>
      <c r="AJ45" s="478"/>
      <c r="AK45" s="478"/>
      <c r="AL45" s="478"/>
      <c r="AM45" s="478"/>
      <c r="AN45" s="478"/>
      <c r="AO45" s="478"/>
      <c r="AP45" s="478"/>
      <c r="AQ45" s="478"/>
      <c r="AR45" s="478"/>
      <c r="AS45" s="478"/>
      <c r="AT45" s="478"/>
      <c r="AU45" s="478"/>
      <c r="AV45" s="478"/>
      <c r="AW45" s="478"/>
      <c r="AX45" s="478"/>
      <c r="AY45" s="478"/>
      <c r="AZ45" s="478"/>
      <c r="BA45" s="478"/>
      <c r="BB45" s="478"/>
      <c r="BC45" s="478"/>
      <c r="BD45" s="478"/>
      <c r="BE45" s="478"/>
      <c r="BF45" s="478"/>
      <c r="BG45" s="478"/>
      <c r="BH45" s="478"/>
      <c r="BI45" s="478"/>
      <c r="BJ45" s="245"/>
      <c r="BK45" s="477">
        <f t="shared" si="160"/>
        <v>0</v>
      </c>
      <c r="BL45" s="466">
        <f t="shared" si="161"/>
        <v>0</v>
      </c>
      <c r="BM45" s="257"/>
      <c r="BN45" s="478"/>
      <c r="BO45" s="478"/>
      <c r="BP45" s="478"/>
      <c r="BQ45" s="478"/>
      <c r="BR45" s="478"/>
      <c r="BS45" s="478"/>
      <c r="BT45" s="478"/>
      <c r="BU45" s="478"/>
      <c r="BV45" s="478"/>
      <c r="BW45" s="478"/>
      <c r="BX45" s="478"/>
      <c r="BY45" s="478"/>
      <c r="BZ45" s="478"/>
      <c r="CA45" s="478"/>
      <c r="CB45" s="478"/>
      <c r="CC45" s="478"/>
      <c r="CD45" s="478"/>
      <c r="CE45" s="478"/>
      <c r="CF45" s="478"/>
      <c r="CG45" s="478"/>
      <c r="CH45" s="478"/>
      <c r="CI45" s="478"/>
      <c r="CJ45" s="478"/>
      <c r="CK45" s="478"/>
      <c r="CL45" s="478"/>
      <c r="CM45" s="478"/>
      <c r="CN45" s="478"/>
      <c r="CO45" s="478"/>
      <c r="CP45" s="478"/>
      <c r="CQ45" s="478"/>
      <c r="CR45" s="478"/>
      <c r="CS45" s="478"/>
      <c r="CT45" s="478"/>
      <c r="CU45" s="478"/>
      <c r="CV45" s="478"/>
      <c r="CW45" s="478"/>
      <c r="CX45" s="478"/>
      <c r="CY45" s="478"/>
      <c r="CZ45" s="478"/>
      <c r="DA45" s="478"/>
      <c r="DB45" s="478"/>
      <c r="DC45" s="478"/>
      <c r="DD45" s="478"/>
      <c r="DE45" s="478"/>
      <c r="DF45" s="478"/>
      <c r="DG45" s="478"/>
      <c r="DH45" s="478"/>
      <c r="DI45" s="478"/>
    </row>
    <row r="46" spans="1:113" ht="16.05" hidden="1" customHeight="1" outlineLevel="1" x14ac:dyDescent="0.3">
      <c r="A46" s="455" t="str">
        <f t="shared" si="54"/>
        <v/>
      </c>
      <c r="B46" s="455"/>
      <c r="C46" s="481"/>
      <c r="D46" s="463" t="s">
        <v>713</v>
      </c>
      <c r="E46" s="482"/>
      <c r="F46" s="483"/>
      <c r="G46" s="484"/>
      <c r="H46" s="485"/>
      <c r="I46" s="466">
        <f t="shared" si="158"/>
        <v>0</v>
      </c>
      <c r="J46" s="259"/>
      <c r="K46" s="478">
        <f t="shared" si="159"/>
        <v>0</v>
      </c>
      <c r="L46" s="466">
        <f t="shared" si="146"/>
        <v>0</v>
      </c>
      <c r="M46" s="257"/>
      <c r="N46" s="478"/>
      <c r="O46" s="478"/>
      <c r="P46" s="478"/>
      <c r="Q46" s="478"/>
      <c r="R46" s="478"/>
      <c r="S46" s="478"/>
      <c r="T46" s="478"/>
      <c r="U46" s="478"/>
      <c r="V46" s="478"/>
      <c r="W46" s="478"/>
      <c r="X46" s="478"/>
      <c r="Y46" s="478"/>
      <c r="Z46" s="478"/>
      <c r="AA46" s="478"/>
      <c r="AB46" s="478"/>
      <c r="AC46" s="478"/>
      <c r="AD46" s="478"/>
      <c r="AE46" s="478"/>
      <c r="AF46" s="478"/>
      <c r="AG46" s="478"/>
      <c r="AH46" s="478"/>
      <c r="AI46" s="478"/>
      <c r="AJ46" s="478"/>
      <c r="AK46" s="478"/>
      <c r="AL46" s="478"/>
      <c r="AM46" s="478"/>
      <c r="AN46" s="478"/>
      <c r="AO46" s="478"/>
      <c r="AP46" s="478"/>
      <c r="AQ46" s="478"/>
      <c r="AR46" s="478"/>
      <c r="AS46" s="478"/>
      <c r="AT46" s="478"/>
      <c r="AU46" s="478"/>
      <c r="AV46" s="478"/>
      <c r="AW46" s="478"/>
      <c r="AX46" s="478"/>
      <c r="AY46" s="478"/>
      <c r="AZ46" s="478"/>
      <c r="BA46" s="478"/>
      <c r="BB46" s="478"/>
      <c r="BC46" s="478"/>
      <c r="BD46" s="478"/>
      <c r="BE46" s="478"/>
      <c r="BF46" s="478"/>
      <c r="BG46" s="478"/>
      <c r="BH46" s="478"/>
      <c r="BI46" s="478"/>
      <c r="BJ46" s="245"/>
      <c r="BK46" s="477">
        <f t="shared" si="160"/>
        <v>0</v>
      </c>
      <c r="BL46" s="466">
        <f t="shared" si="161"/>
        <v>0</v>
      </c>
      <c r="BM46" s="257"/>
      <c r="BN46" s="478"/>
      <c r="BO46" s="478"/>
      <c r="BP46" s="478"/>
      <c r="BQ46" s="478"/>
      <c r="BR46" s="478"/>
      <c r="BS46" s="478"/>
      <c r="BT46" s="478"/>
      <c r="BU46" s="478"/>
      <c r="BV46" s="478"/>
      <c r="BW46" s="478"/>
      <c r="BX46" s="478"/>
      <c r="BY46" s="478"/>
      <c r="BZ46" s="478"/>
      <c r="CA46" s="478"/>
      <c r="CB46" s="478"/>
      <c r="CC46" s="478"/>
      <c r="CD46" s="478"/>
      <c r="CE46" s="478"/>
      <c r="CF46" s="478"/>
      <c r="CG46" s="478"/>
      <c r="CH46" s="478"/>
      <c r="CI46" s="478"/>
      <c r="CJ46" s="478"/>
      <c r="CK46" s="478"/>
      <c r="CL46" s="478"/>
      <c r="CM46" s="478"/>
      <c r="CN46" s="478"/>
      <c r="CO46" s="478"/>
      <c r="CP46" s="478"/>
      <c r="CQ46" s="478"/>
      <c r="CR46" s="478"/>
      <c r="CS46" s="478"/>
      <c r="CT46" s="478"/>
      <c r="CU46" s="478"/>
      <c r="CV46" s="478"/>
      <c r="CW46" s="478"/>
      <c r="CX46" s="478"/>
      <c r="CY46" s="478"/>
      <c r="CZ46" s="478"/>
      <c r="DA46" s="478"/>
      <c r="DB46" s="478"/>
      <c r="DC46" s="478"/>
      <c r="DD46" s="478"/>
      <c r="DE46" s="478"/>
      <c r="DF46" s="478"/>
      <c r="DG46" s="478"/>
      <c r="DH46" s="478"/>
      <c r="DI46" s="478"/>
    </row>
    <row r="47" spans="1:113" ht="16.05" hidden="1" customHeight="1" outlineLevel="1" x14ac:dyDescent="0.3">
      <c r="A47" s="455" t="str">
        <f t="shared" si="54"/>
        <v/>
      </c>
      <c r="B47" s="455"/>
      <c r="C47" s="481"/>
      <c r="D47" s="463" t="s">
        <v>714</v>
      </c>
      <c r="E47" s="482"/>
      <c r="F47" s="483"/>
      <c r="G47" s="484"/>
      <c r="H47" s="485"/>
      <c r="I47" s="466">
        <f t="shared" si="158"/>
        <v>0</v>
      </c>
      <c r="J47" s="259"/>
      <c r="K47" s="478">
        <f t="shared" si="159"/>
        <v>0</v>
      </c>
      <c r="L47" s="466">
        <f t="shared" si="146"/>
        <v>0</v>
      </c>
      <c r="M47" s="257"/>
      <c r="N47" s="478"/>
      <c r="O47" s="478"/>
      <c r="P47" s="478"/>
      <c r="Q47" s="478"/>
      <c r="R47" s="478"/>
      <c r="S47" s="478"/>
      <c r="T47" s="478"/>
      <c r="U47" s="478"/>
      <c r="V47" s="478"/>
      <c r="W47" s="478"/>
      <c r="X47" s="478"/>
      <c r="Y47" s="478"/>
      <c r="Z47" s="478"/>
      <c r="AA47" s="478"/>
      <c r="AB47" s="478"/>
      <c r="AC47" s="478"/>
      <c r="AD47" s="478"/>
      <c r="AE47" s="478"/>
      <c r="AF47" s="478"/>
      <c r="AG47" s="478"/>
      <c r="AH47" s="478"/>
      <c r="AI47" s="478"/>
      <c r="AJ47" s="478"/>
      <c r="AK47" s="478"/>
      <c r="AL47" s="478"/>
      <c r="AM47" s="478"/>
      <c r="AN47" s="478"/>
      <c r="AO47" s="478"/>
      <c r="AP47" s="478"/>
      <c r="AQ47" s="478"/>
      <c r="AR47" s="478"/>
      <c r="AS47" s="478"/>
      <c r="AT47" s="478"/>
      <c r="AU47" s="478"/>
      <c r="AV47" s="478"/>
      <c r="AW47" s="478"/>
      <c r="AX47" s="478"/>
      <c r="AY47" s="478"/>
      <c r="AZ47" s="478"/>
      <c r="BA47" s="478"/>
      <c r="BB47" s="478"/>
      <c r="BC47" s="478"/>
      <c r="BD47" s="478"/>
      <c r="BE47" s="478"/>
      <c r="BF47" s="478"/>
      <c r="BG47" s="478"/>
      <c r="BH47" s="478"/>
      <c r="BI47" s="478"/>
      <c r="BJ47" s="245"/>
      <c r="BK47" s="477">
        <f t="shared" si="160"/>
        <v>0</v>
      </c>
      <c r="BL47" s="466">
        <f t="shared" si="161"/>
        <v>0</v>
      </c>
      <c r="BM47" s="257"/>
      <c r="BN47" s="478"/>
      <c r="BO47" s="478"/>
      <c r="BP47" s="478"/>
      <c r="BQ47" s="478"/>
      <c r="BR47" s="478"/>
      <c r="BS47" s="478"/>
      <c r="BT47" s="478"/>
      <c r="BU47" s="478"/>
      <c r="BV47" s="478"/>
      <c r="BW47" s="478"/>
      <c r="BX47" s="478"/>
      <c r="BY47" s="478"/>
      <c r="BZ47" s="478"/>
      <c r="CA47" s="478"/>
      <c r="CB47" s="478"/>
      <c r="CC47" s="478"/>
      <c r="CD47" s="478"/>
      <c r="CE47" s="478"/>
      <c r="CF47" s="478"/>
      <c r="CG47" s="478"/>
      <c r="CH47" s="478"/>
      <c r="CI47" s="478"/>
      <c r="CJ47" s="478"/>
      <c r="CK47" s="478"/>
      <c r="CL47" s="478"/>
      <c r="CM47" s="478"/>
      <c r="CN47" s="478"/>
      <c r="CO47" s="478"/>
      <c r="CP47" s="478"/>
      <c r="CQ47" s="478"/>
      <c r="CR47" s="478"/>
      <c r="CS47" s="478"/>
      <c r="CT47" s="478"/>
      <c r="CU47" s="478"/>
      <c r="CV47" s="478"/>
      <c r="CW47" s="478"/>
      <c r="CX47" s="478"/>
      <c r="CY47" s="478"/>
      <c r="CZ47" s="478"/>
      <c r="DA47" s="478"/>
      <c r="DB47" s="478"/>
      <c r="DC47" s="478"/>
      <c r="DD47" s="478"/>
      <c r="DE47" s="478"/>
      <c r="DF47" s="478"/>
      <c r="DG47" s="478"/>
      <c r="DH47" s="478"/>
      <c r="DI47" s="478"/>
    </row>
    <row r="48" spans="1:113" ht="16.05" hidden="1" customHeight="1" outlineLevel="1" x14ac:dyDescent="0.3">
      <c r="A48" s="455" t="str">
        <f t="shared" si="54"/>
        <v/>
      </c>
      <c r="B48" s="455"/>
      <c r="C48" s="481"/>
      <c r="D48" s="463" t="s">
        <v>715</v>
      </c>
      <c r="E48" s="482"/>
      <c r="F48" s="483"/>
      <c r="G48" s="484"/>
      <c r="H48" s="485"/>
      <c r="I48" s="466">
        <f t="shared" si="158"/>
        <v>0</v>
      </c>
      <c r="J48" s="259"/>
      <c r="K48" s="478">
        <f t="shared" si="159"/>
        <v>0</v>
      </c>
      <c r="L48" s="466">
        <f t="shared" si="146"/>
        <v>0</v>
      </c>
      <c r="M48" s="257"/>
      <c r="N48" s="478"/>
      <c r="O48" s="478"/>
      <c r="P48" s="478"/>
      <c r="Q48" s="478"/>
      <c r="R48" s="478"/>
      <c r="S48" s="478"/>
      <c r="T48" s="478"/>
      <c r="U48" s="478"/>
      <c r="V48" s="478"/>
      <c r="W48" s="478"/>
      <c r="X48" s="478"/>
      <c r="Y48" s="478"/>
      <c r="Z48" s="478"/>
      <c r="AA48" s="478"/>
      <c r="AB48" s="478"/>
      <c r="AC48" s="478"/>
      <c r="AD48" s="478"/>
      <c r="AE48" s="478"/>
      <c r="AF48" s="478"/>
      <c r="AG48" s="478"/>
      <c r="AH48" s="478"/>
      <c r="AI48" s="478"/>
      <c r="AJ48" s="478"/>
      <c r="AK48" s="478"/>
      <c r="AL48" s="478"/>
      <c r="AM48" s="478"/>
      <c r="AN48" s="478"/>
      <c r="AO48" s="478"/>
      <c r="AP48" s="478"/>
      <c r="AQ48" s="478"/>
      <c r="AR48" s="478"/>
      <c r="AS48" s="478"/>
      <c r="AT48" s="478"/>
      <c r="AU48" s="478"/>
      <c r="AV48" s="478"/>
      <c r="AW48" s="478"/>
      <c r="AX48" s="478"/>
      <c r="AY48" s="478"/>
      <c r="AZ48" s="478"/>
      <c r="BA48" s="478"/>
      <c r="BB48" s="478"/>
      <c r="BC48" s="478"/>
      <c r="BD48" s="478"/>
      <c r="BE48" s="478"/>
      <c r="BF48" s="478"/>
      <c r="BG48" s="478"/>
      <c r="BH48" s="478"/>
      <c r="BI48" s="478"/>
      <c r="BJ48" s="245"/>
      <c r="BK48" s="477">
        <f t="shared" si="160"/>
        <v>0</v>
      </c>
      <c r="BL48" s="466">
        <f t="shared" si="161"/>
        <v>0</v>
      </c>
      <c r="BM48" s="257"/>
      <c r="BN48" s="478"/>
      <c r="BO48" s="478"/>
      <c r="BP48" s="478"/>
      <c r="BQ48" s="478"/>
      <c r="BR48" s="478"/>
      <c r="BS48" s="478"/>
      <c r="BT48" s="478"/>
      <c r="BU48" s="478"/>
      <c r="BV48" s="478"/>
      <c r="BW48" s="478"/>
      <c r="BX48" s="478"/>
      <c r="BY48" s="478"/>
      <c r="BZ48" s="478"/>
      <c r="CA48" s="478"/>
      <c r="CB48" s="478"/>
      <c r="CC48" s="478"/>
      <c r="CD48" s="478"/>
      <c r="CE48" s="478"/>
      <c r="CF48" s="478"/>
      <c r="CG48" s="478"/>
      <c r="CH48" s="478"/>
      <c r="CI48" s="478"/>
      <c r="CJ48" s="478"/>
      <c r="CK48" s="478"/>
      <c r="CL48" s="478"/>
      <c r="CM48" s="478"/>
      <c r="CN48" s="478"/>
      <c r="CO48" s="478"/>
      <c r="CP48" s="478"/>
      <c r="CQ48" s="478"/>
      <c r="CR48" s="478"/>
      <c r="CS48" s="478"/>
      <c r="CT48" s="478"/>
      <c r="CU48" s="478"/>
      <c r="CV48" s="478"/>
      <c r="CW48" s="478"/>
      <c r="CX48" s="478"/>
      <c r="CY48" s="478"/>
      <c r="CZ48" s="478"/>
      <c r="DA48" s="478"/>
      <c r="DB48" s="478"/>
      <c r="DC48" s="478"/>
      <c r="DD48" s="478"/>
      <c r="DE48" s="478"/>
      <c r="DF48" s="478"/>
      <c r="DG48" s="478"/>
      <c r="DH48" s="478"/>
      <c r="DI48" s="478"/>
    </row>
    <row r="49" spans="1:113" ht="16.05" hidden="1" customHeight="1" outlineLevel="1" x14ac:dyDescent="0.3">
      <c r="A49" s="455" t="str">
        <f t="shared" si="54"/>
        <v/>
      </c>
      <c r="B49" s="455"/>
      <c r="C49" s="481"/>
      <c r="D49" s="463" t="s">
        <v>716</v>
      </c>
      <c r="E49" s="482"/>
      <c r="F49" s="483"/>
      <c r="G49" s="484"/>
      <c r="H49" s="485"/>
      <c r="I49" s="466">
        <f t="shared" si="158"/>
        <v>0</v>
      </c>
      <c r="J49" s="259"/>
      <c r="K49" s="478">
        <f t="shared" si="159"/>
        <v>0</v>
      </c>
      <c r="L49" s="466">
        <f t="shared" si="146"/>
        <v>0</v>
      </c>
      <c r="M49" s="257"/>
      <c r="N49" s="478"/>
      <c r="O49" s="478"/>
      <c r="P49" s="478"/>
      <c r="Q49" s="478"/>
      <c r="R49" s="478"/>
      <c r="S49" s="478"/>
      <c r="T49" s="478"/>
      <c r="U49" s="478"/>
      <c r="V49" s="478"/>
      <c r="W49" s="478"/>
      <c r="X49" s="478"/>
      <c r="Y49" s="478"/>
      <c r="Z49" s="478"/>
      <c r="AA49" s="478"/>
      <c r="AB49" s="478"/>
      <c r="AC49" s="478"/>
      <c r="AD49" s="478"/>
      <c r="AE49" s="478"/>
      <c r="AF49" s="478"/>
      <c r="AG49" s="478"/>
      <c r="AH49" s="478"/>
      <c r="AI49" s="478"/>
      <c r="AJ49" s="478"/>
      <c r="AK49" s="478"/>
      <c r="AL49" s="478"/>
      <c r="AM49" s="478"/>
      <c r="AN49" s="478"/>
      <c r="AO49" s="478"/>
      <c r="AP49" s="478"/>
      <c r="AQ49" s="478"/>
      <c r="AR49" s="478"/>
      <c r="AS49" s="478"/>
      <c r="AT49" s="478"/>
      <c r="AU49" s="478"/>
      <c r="AV49" s="478"/>
      <c r="AW49" s="478"/>
      <c r="AX49" s="478"/>
      <c r="AY49" s="478"/>
      <c r="AZ49" s="478"/>
      <c r="BA49" s="478"/>
      <c r="BB49" s="478"/>
      <c r="BC49" s="478"/>
      <c r="BD49" s="478"/>
      <c r="BE49" s="478"/>
      <c r="BF49" s="478"/>
      <c r="BG49" s="478"/>
      <c r="BH49" s="478"/>
      <c r="BI49" s="478"/>
      <c r="BJ49" s="245"/>
      <c r="BK49" s="477">
        <f t="shared" si="160"/>
        <v>0</v>
      </c>
      <c r="BL49" s="466">
        <f t="shared" si="161"/>
        <v>0</v>
      </c>
      <c r="BM49" s="257"/>
      <c r="BN49" s="478"/>
      <c r="BO49" s="478"/>
      <c r="BP49" s="478"/>
      <c r="BQ49" s="478"/>
      <c r="BR49" s="478"/>
      <c r="BS49" s="478"/>
      <c r="BT49" s="478"/>
      <c r="BU49" s="478"/>
      <c r="BV49" s="478"/>
      <c r="BW49" s="478"/>
      <c r="BX49" s="478"/>
      <c r="BY49" s="478"/>
      <c r="BZ49" s="478"/>
      <c r="CA49" s="478"/>
      <c r="CB49" s="478"/>
      <c r="CC49" s="478"/>
      <c r="CD49" s="478"/>
      <c r="CE49" s="478"/>
      <c r="CF49" s="478"/>
      <c r="CG49" s="478"/>
      <c r="CH49" s="478"/>
      <c r="CI49" s="478"/>
      <c r="CJ49" s="478"/>
      <c r="CK49" s="478"/>
      <c r="CL49" s="478"/>
      <c r="CM49" s="478"/>
      <c r="CN49" s="478"/>
      <c r="CO49" s="478"/>
      <c r="CP49" s="478"/>
      <c r="CQ49" s="478"/>
      <c r="CR49" s="478"/>
      <c r="CS49" s="478"/>
      <c r="CT49" s="478"/>
      <c r="CU49" s="478"/>
      <c r="CV49" s="478"/>
      <c r="CW49" s="478"/>
      <c r="CX49" s="478"/>
      <c r="CY49" s="478"/>
      <c r="CZ49" s="478"/>
      <c r="DA49" s="478"/>
      <c r="DB49" s="478"/>
      <c r="DC49" s="478"/>
      <c r="DD49" s="478"/>
      <c r="DE49" s="478"/>
      <c r="DF49" s="478"/>
      <c r="DG49" s="478"/>
      <c r="DH49" s="478"/>
      <c r="DI49" s="478"/>
    </row>
    <row r="50" spans="1:113" ht="16.05" hidden="1" customHeight="1" outlineLevel="1" x14ac:dyDescent="0.3">
      <c r="A50" s="455" t="str">
        <f t="shared" si="54"/>
        <v/>
      </c>
      <c r="B50" s="455"/>
      <c r="C50" s="481"/>
      <c r="D50" s="463" t="s">
        <v>717</v>
      </c>
      <c r="E50" s="482"/>
      <c r="F50" s="483"/>
      <c r="G50" s="484"/>
      <c r="H50" s="485"/>
      <c r="I50" s="466">
        <f t="shared" si="158"/>
        <v>0</v>
      </c>
      <c r="J50" s="259"/>
      <c r="K50" s="478">
        <f t="shared" si="159"/>
        <v>0</v>
      </c>
      <c r="L50" s="466">
        <f t="shared" si="146"/>
        <v>0</v>
      </c>
      <c r="M50" s="257"/>
      <c r="N50" s="478"/>
      <c r="O50" s="478"/>
      <c r="P50" s="478"/>
      <c r="Q50" s="478"/>
      <c r="R50" s="478"/>
      <c r="S50" s="478"/>
      <c r="T50" s="478"/>
      <c r="U50" s="478"/>
      <c r="V50" s="478"/>
      <c r="W50" s="478"/>
      <c r="X50" s="478"/>
      <c r="Y50" s="478"/>
      <c r="Z50" s="478"/>
      <c r="AA50" s="478"/>
      <c r="AB50" s="478"/>
      <c r="AC50" s="478"/>
      <c r="AD50" s="478"/>
      <c r="AE50" s="478"/>
      <c r="AF50" s="478"/>
      <c r="AG50" s="478"/>
      <c r="AH50" s="478"/>
      <c r="AI50" s="478"/>
      <c r="AJ50" s="478"/>
      <c r="AK50" s="478"/>
      <c r="AL50" s="478"/>
      <c r="AM50" s="478"/>
      <c r="AN50" s="478"/>
      <c r="AO50" s="478"/>
      <c r="AP50" s="478"/>
      <c r="AQ50" s="478"/>
      <c r="AR50" s="478"/>
      <c r="AS50" s="478"/>
      <c r="AT50" s="478"/>
      <c r="AU50" s="478"/>
      <c r="AV50" s="478"/>
      <c r="AW50" s="478"/>
      <c r="AX50" s="478"/>
      <c r="AY50" s="478"/>
      <c r="AZ50" s="478"/>
      <c r="BA50" s="478"/>
      <c r="BB50" s="478"/>
      <c r="BC50" s="478"/>
      <c r="BD50" s="478"/>
      <c r="BE50" s="478"/>
      <c r="BF50" s="478"/>
      <c r="BG50" s="478"/>
      <c r="BH50" s="478"/>
      <c r="BI50" s="478"/>
      <c r="BJ50" s="245"/>
      <c r="BK50" s="477">
        <f t="shared" si="160"/>
        <v>0</v>
      </c>
      <c r="BL50" s="466">
        <f t="shared" si="161"/>
        <v>0</v>
      </c>
      <c r="BM50" s="257"/>
      <c r="BN50" s="478"/>
      <c r="BO50" s="478"/>
      <c r="BP50" s="478"/>
      <c r="BQ50" s="478"/>
      <c r="BR50" s="478"/>
      <c r="BS50" s="478"/>
      <c r="BT50" s="478"/>
      <c r="BU50" s="478"/>
      <c r="BV50" s="478"/>
      <c r="BW50" s="478"/>
      <c r="BX50" s="478"/>
      <c r="BY50" s="478"/>
      <c r="BZ50" s="478"/>
      <c r="CA50" s="478"/>
      <c r="CB50" s="478"/>
      <c r="CC50" s="478"/>
      <c r="CD50" s="478"/>
      <c r="CE50" s="478"/>
      <c r="CF50" s="478"/>
      <c r="CG50" s="478"/>
      <c r="CH50" s="478"/>
      <c r="CI50" s="478"/>
      <c r="CJ50" s="478"/>
      <c r="CK50" s="478"/>
      <c r="CL50" s="478"/>
      <c r="CM50" s="478"/>
      <c r="CN50" s="478"/>
      <c r="CO50" s="478"/>
      <c r="CP50" s="478"/>
      <c r="CQ50" s="478"/>
      <c r="CR50" s="478"/>
      <c r="CS50" s="478"/>
      <c r="CT50" s="478"/>
      <c r="CU50" s="478"/>
      <c r="CV50" s="478"/>
      <c r="CW50" s="478"/>
      <c r="CX50" s="478"/>
      <c r="CY50" s="478"/>
      <c r="CZ50" s="478"/>
      <c r="DA50" s="478"/>
      <c r="DB50" s="478"/>
      <c r="DC50" s="478"/>
      <c r="DD50" s="478"/>
      <c r="DE50" s="478"/>
      <c r="DF50" s="478"/>
      <c r="DG50" s="478"/>
      <c r="DH50" s="478"/>
      <c r="DI50" s="478"/>
    </row>
    <row r="51" spans="1:113" ht="16.05" hidden="1" customHeight="1" outlineLevel="1" x14ac:dyDescent="0.3">
      <c r="A51" s="455" t="str">
        <f t="shared" si="54"/>
        <v/>
      </c>
      <c r="B51" s="455"/>
      <c r="C51" s="481"/>
      <c r="D51" s="463" t="s">
        <v>718</v>
      </c>
      <c r="E51" s="482"/>
      <c r="F51" s="483"/>
      <c r="G51" s="484"/>
      <c r="H51" s="485"/>
      <c r="I51" s="466">
        <f t="shared" si="158"/>
        <v>0</v>
      </c>
      <c r="J51" s="259"/>
      <c r="K51" s="478">
        <f t="shared" si="159"/>
        <v>0</v>
      </c>
      <c r="L51" s="466">
        <f t="shared" si="146"/>
        <v>0</v>
      </c>
      <c r="M51" s="257"/>
      <c r="N51" s="478"/>
      <c r="O51" s="478"/>
      <c r="P51" s="478"/>
      <c r="Q51" s="478"/>
      <c r="R51" s="478"/>
      <c r="S51" s="478"/>
      <c r="T51" s="478"/>
      <c r="U51" s="478"/>
      <c r="V51" s="478"/>
      <c r="W51" s="478"/>
      <c r="X51" s="478"/>
      <c r="Y51" s="478"/>
      <c r="Z51" s="478"/>
      <c r="AA51" s="478"/>
      <c r="AB51" s="478"/>
      <c r="AC51" s="478"/>
      <c r="AD51" s="478"/>
      <c r="AE51" s="478"/>
      <c r="AF51" s="478"/>
      <c r="AG51" s="478"/>
      <c r="AH51" s="478"/>
      <c r="AI51" s="478"/>
      <c r="AJ51" s="478"/>
      <c r="AK51" s="478"/>
      <c r="AL51" s="478"/>
      <c r="AM51" s="478"/>
      <c r="AN51" s="478"/>
      <c r="AO51" s="478"/>
      <c r="AP51" s="478"/>
      <c r="AQ51" s="478"/>
      <c r="AR51" s="478"/>
      <c r="AS51" s="478"/>
      <c r="AT51" s="478"/>
      <c r="AU51" s="478"/>
      <c r="AV51" s="478"/>
      <c r="AW51" s="478"/>
      <c r="AX51" s="478"/>
      <c r="AY51" s="478"/>
      <c r="AZ51" s="478"/>
      <c r="BA51" s="478"/>
      <c r="BB51" s="478"/>
      <c r="BC51" s="478"/>
      <c r="BD51" s="478"/>
      <c r="BE51" s="478"/>
      <c r="BF51" s="478"/>
      <c r="BG51" s="478"/>
      <c r="BH51" s="478"/>
      <c r="BI51" s="478"/>
      <c r="BJ51" s="245"/>
      <c r="BK51" s="477">
        <f t="shared" si="160"/>
        <v>0</v>
      </c>
      <c r="BL51" s="466">
        <f t="shared" si="161"/>
        <v>0</v>
      </c>
      <c r="BM51" s="257"/>
      <c r="BN51" s="478"/>
      <c r="BO51" s="478"/>
      <c r="BP51" s="478"/>
      <c r="BQ51" s="478"/>
      <c r="BR51" s="478"/>
      <c r="BS51" s="478"/>
      <c r="BT51" s="478"/>
      <c r="BU51" s="478"/>
      <c r="BV51" s="478"/>
      <c r="BW51" s="478"/>
      <c r="BX51" s="478"/>
      <c r="BY51" s="478"/>
      <c r="BZ51" s="478"/>
      <c r="CA51" s="478"/>
      <c r="CB51" s="478"/>
      <c r="CC51" s="478"/>
      <c r="CD51" s="478"/>
      <c r="CE51" s="478"/>
      <c r="CF51" s="478"/>
      <c r="CG51" s="478"/>
      <c r="CH51" s="478"/>
      <c r="CI51" s="478"/>
      <c r="CJ51" s="478"/>
      <c r="CK51" s="478"/>
      <c r="CL51" s="478"/>
      <c r="CM51" s="478"/>
      <c r="CN51" s="478"/>
      <c r="CO51" s="478"/>
      <c r="CP51" s="478"/>
      <c r="CQ51" s="478"/>
      <c r="CR51" s="478"/>
      <c r="CS51" s="478"/>
      <c r="CT51" s="478"/>
      <c r="CU51" s="478"/>
      <c r="CV51" s="478"/>
      <c r="CW51" s="478"/>
      <c r="CX51" s="478"/>
      <c r="CY51" s="478"/>
      <c r="CZ51" s="478"/>
      <c r="DA51" s="478"/>
      <c r="DB51" s="478"/>
      <c r="DC51" s="478"/>
      <c r="DD51" s="478"/>
      <c r="DE51" s="478"/>
      <c r="DF51" s="478"/>
      <c r="DG51" s="478"/>
      <c r="DH51" s="478"/>
      <c r="DI51" s="478"/>
    </row>
    <row r="52" spans="1:113" ht="16.05" hidden="1" customHeight="1" outlineLevel="1" x14ac:dyDescent="0.3">
      <c r="A52" s="455" t="str">
        <f t="shared" si="54"/>
        <v/>
      </c>
      <c r="B52" s="455"/>
      <c r="C52" s="481"/>
      <c r="D52" s="463" t="s">
        <v>719</v>
      </c>
      <c r="E52" s="482"/>
      <c r="F52" s="483"/>
      <c r="G52" s="484"/>
      <c r="H52" s="485"/>
      <c r="I52" s="466">
        <f t="shared" si="158"/>
        <v>0</v>
      </c>
      <c r="J52" s="259"/>
      <c r="K52" s="478">
        <f t="shared" si="159"/>
        <v>0</v>
      </c>
      <c r="L52" s="466">
        <f t="shared" si="146"/>
        <v>0</v>
      </c>
      <c r="M52" s="257"/>
      <c r="N52" s="478"/>
      <c r="O52" s="478"/>
      <c r="P52" s="478"/>
      <c r="Q52" s="478"/>
      <c r="R52" s="478"/>
      <c r="S52" s="478"/>
      <c r="T52" s="478"/>
      <c r="U52" s="478"/>
      <c r="V52" s="478"/>
      <c r="W52" s="478"/>
      <c r="X52" s="478"/>
      <c r="Y52" s="478"/>
      <c r="Z52" s="478"/>
      <c r="AA52" s="478"/>
      <c r="AB52" s="478"/>
      <c r="AC52" s="478"/>
      <c r="AD52" s="478"/>
      <c r="AE52" s="478"/>
      <c r="AF52" s="478"/>
      <c r="AG52" s="478"/>
      <c r="AH52" s="478"/>
      <c r="AI52" s="478"/>
      <c r="AJ52" s="478"/>
      <c r="AK52" s="478"/>
      <c r="AL52" s="478"/>
      <c r="AM52" s="478"/>
      <c r="AN52" s="478"/>
      <c r="AO52" s="478"/>
      <c r="AP52" s="478"/>
      <c r="AQ52" s="478"/>
      <c r="AR52" s="478"/>
      <c r="AS52" s="478"/>
      <c r="AT52" s="478"/>
      <c r="AU52" s="478"/>
      <c r="AV52" s="478"/>
      <c r="AW52" s="478"/>
      <c r="AX52" s="478"/>
      <c r="AY52" s="478"/>
      <c r="AZ52" s="478"/>
      <c r="BA52" s="478"/>
      <c r="BB52" s="478"/>
      <c r="BC52" s="478"/>
      <c r="BD52" s="478"/>
      <c r="BE52" s="478"/>
      <c r="BF52" s="478"/>
      <c r="BG52" s="478"/>
      <c r="BH52" s="478"/>
      <c r="BI52" s="478"/>
      <c r="BJ52" s="245"/>
      <c r="BK52" s="477">
        <f t="shared" si="160"/>
        <v>0</v>
      </c>
      <c r="BL52" s="466">
        <f t="shared" si="161"/>
        <v>0</v>
      </c>
      <c r="BM52" s="257"/>
      <c r="BN52" s="478"/>
      <c r="BO52" s="478"/>
      <c r="BP52" s="478"/>
      <c r="BQ52" s="478"/>
      <c r="BR52" s="478"/>
      <c r="BS52" s="478"/>
      <c r="BT52" s="478"/>
      <c r="BU52" s="478"/>
      <c r="BV52" s="478"/>
      <c r="BW52" s="478"/>
      <c r="BX52" s="478"/>
      <c r="BY52" s="478"/>
      <c r="BZ52" s="478"/>
      <c r="CA52" s="478"/>
      <c r="CB52" s="478"/>
      <c r="CC52" s="478"/>
      <c r="CD52" s="478"/>
      <c r="CE52" s="478"/>
      <c r="CF52" s="478"/>
      <c r="CG52" s="478"/>
      <c r="CH52" s="478"/>
      <c r="CI52" s="478"/>
      <c r="CJ52" s="478"/>
      <c r="CK52" s="478"/>
      <c r="CL52" s="478"/>
      <c r="CM52" s="478"/>
      <c r="CN52" s="478"/>
      <c r="CO52" s="478"/>
      <c r="CP52" s="478"/>
      <c r="CQ52" s="478"/>
      <c r="CR52" s="478"/>
      <c r="CS52" s="478"/>
      <c r="CT52" s="478"/>
      <c r="CU52" s="478"/>
      <c r="CV52" s="478"/>
      <c r="CW52" s="478"/>
      <c r="CX52" s="478"/>
      <c r="CY52" s="478"/>
      <c r="CZ52" s="478"/>
      <c r="DA52" s="478"/>
      <c r="DB52" s="478"/>
      <c r="DC52" s="478"/>
      <c r="DD52" s="478"/>
      <c r="DE52" s="478"/>
      <c r="DF52" s="478"/>
      <c r="DG52" s="478"/>
      <c r="DH52" s="478"/>
      <c r="DI52" s="478"/>
    </row>
    <row r="53" spans="1:113" ht="16.05" hidden="1" customHeight="1" outlineLevel="1" x14ac:dyDescent="0.3">
      <c r="A53" s="455" t="str">
        <f t="shared" si="54"/>
        <v/>
      </c>
      <c r="B53" s="455"/>
      <c r="C53" s="481"/>
      <c r="D53" s="463" t="s">
        <v>720</v>
      </c>
      <c r="E53" s="482"/>
      <c r="F53" s="483"/>
      <c r="G53" s="484"/>
      <c r="H53" s="485"/>
      <c r="I53" s="466">
        <f t="shared" si="158"/>
        <v>0</v>
      </c>
      <c r="J53" s="259"/>
      <c r="K53" s="478">
        <f t="shared" si="159"/>
        <v>0</v>
      </c>
      <c r="L53" s="466">
        <f t="shared" si="146"/>
        <v>0</v>
      </c>
      <c r="M53" s="257"/>
      <c r="N53" s="478"/>
      <c r="O53" s="478"/>
      <c r="P53" s="478"/>
      <c r="Q53" s="478"/>
      <c r="R53" s="478"/>
      <c r="S53" s="478"/>
      <c r="T53" s="478"/>
      <c r="U53" s="478"/>
      <c r="V53" s="478"/>
      <c r="W53" s="478"/>
      <c r="X53" s="478"/>
      <c r="Y53" s="478"/>
      <c r="Z53" s="478"/>
      <c r="AA53" s="478"/>
      <c r="AB53" s="478"/>
      <c r="AC53" s="478"/>
      <c r="AD53" s="478"/>
      <c r="AE53" s="478"/>
      <c r="AF53" s="478"/>
      <c r="AG53" s="478"/>
      <c r="AH53" s="478"/>
      <c r="AI53" s="478"/>
      <c r="AJ53" s="478"/>
      <c r="AK53" s="478"/>
      <c r="AL53" s="478"/>
      <c r="AM53" s="478"/>
      <c r="AN53" s="478"/>
      <c r="AO53" s="478"/>
      <c r="AP53" s="478"/>
      <c r="AQ53" s="478"/>
      <c r="AR53" s="478"/>
      <c r="AS53" s="478"/>
      <c r="AT53" s="478"/>
      <c r="AU53" s="478"/>
      <c r="AV53" s="478"/>
      <c r="AW53" s="478"/>
      <c r="AX53" s="478"/>
      <c r="AY53" s="478"/>
      <c r="AZ53" s="478"/>
      <c r="BA53" s="478"/>
      <c r="BB53" s="478"/>
      <c r="BC53" s="478"/>
      <c r="BD53" s="478"/>
      <c r="BE53" s="478"/>
      <c r="BF53" s="478"/>
      <c r="BG53" s="478"/>
      <c r="BH53" s="478"/>
      <c r="BI53" s="478"/>
      <c r="BJ53" s="245"/>
      <c r="BK53" s="477">
        <f t="shared" si="160"/>
        <v>0</v>
      </c>
      <c r="BL53" s="466">
        <f t="shared" si="161"/>
        <v>0</v>
      </c>
      <c r="BM53" s="257"/>
      <c r="BN53" s="478"/>
      <c r="BO53" s="478"/>
      <c r="BP53" s="478"/>
      <c r="BQ53" s="478"/>
      <c r="BR53" s="478"/>
      <c r="BS53" s="478"/>
      <c r="BT53" s="478"/>
      <c r="BU53" s="478"/>
      <c r="BV53" s="478"/>
      <c r="BW53" s="478"/>
      <c r="BX53" s="478"/>
      <c r="BY53" s="478"/>
      <c r="BZ53" s="478"/>
      <c r="CA53" s="478"/>
      <c r="CB53" s="478"/>
      <c r="CC53" s="478"/>
      <c r="CD53" s="478"/>
      <c r="CE53" s="478"/>
      <c r="CF53" s="478"/>
      <c r="CG53" s="478"/>
      <c r="CH53" s="478"/>
      <c r="CI53" s="478"/>
      <c r="CJ53" s="478"/>
      <c r="CK53" s="478"/>
      <c r="CL53" s="478"/>
      <c r="CM53" s="478"/>
      <c r="CN53" s="478"/>
      <c r="CO53" s="478"/>
      <c r="CP53" s="478"/>
      <c r="CQ53" s="478"/>
      <c r="CR53" s="478"/>
      <c r="CS53" s="478"/>
      <c r="CT53" s="478"/>
      <c r="CU53" s="478"/>
      <c r="CV53" s="478"/>
      <c r="CW53" s="478"/>
      <c r="CX53" s="478"/>
      <c r="CY53" s="478"/>
      <c r="CZ53" s="478"/>
      <c r="DA53" s="478"/>
      <c r="DB53" s="478"/>
      <c r="DC53" s="478"/>
      <c r="DD53" s="478"/>
      <c r="DE53" s="478"/>
      <c r="DF53" s="478"/>
      <c r="DG53" s="478"/>
      <c r="DH53" s="478"/>
      <c r="DI53" s="478"/>
    </row>
    <row r="54" spans="1:113" ht="8.1" customHeight="1" outlineLevel="1" x14ac:dyDescent="0.3">
      <c r="A54" s="455" t="str">
        <f t="shared" ref="A54" si="164">IF(COUNTIF(A34:A53,"Imprimir")&gt;0,"Imprimir","")</f>
        <v>Imprimir</v>
      </c>
      <c r="B54" s="455"/>
      <c r="C54" s="464"/>
      <c r="D54" s="461"/>
      <c r="E54" s="462"/>
      <c r="F54" s="462"/>
      <c r="G54" s="461"/>
      <c r="H54" s="461"/>
      <c r="I54" s="461"/>
      <c r="J54" s="259"/>
      <c r="K54" s="255"/>
      <c r="L54" s="256"/>
      <c r="M54" s="257"/>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524"/>
      <c r="AN54" s="255"/>
      <c r="AO54" s="255"/>
      <c r="AP54" s="255"/>
      <c r="AQ54" s="255"/>
      <c r="AR54" s="255"/>
      <c r="AS54" s="255"/>
      <c r="AT54" s="255"/>
      <c r="AU54" s="255"/>
      <c r="AV54" s="255"/>
      <c r="AW54" s="255"/>
      <c r="AX54" s="255"/>
      <c r="AY54" s="255"/>
      <c r="AZ54" s="255"/>
      <c r="BA54" s="255"/>
      <c r="BB54" s="255"/>
      <c r="BC54" s="255"/>
      <c r="BD54" s="255"/>
      <c r="BE54" s="255"/>
      <c r="BF54" s="255"/>
      <c r="BG54" s="255"/>
      <c r="BH54" s="255"/>
      <c r="BI54" s="255"/>
      <c r="BJ54" s="245"/>
      <c r="BK54" s="256"/>
      <c r="BL54" s="256"/>
      <c r="BM54" s="257"/>
      <c r="BN54" s="255"/>
      <c r="BO54" s="255"/>
      <c r="BP54" s="255"/>
      <c r="BQ54" s="255"/>
      <c r="BR54" s="255"/>
      <c r="BS54" s="255"/>
      <c r="BT54" s="255"/>
      <c r="BU54" s="255"/>
      <c r="BV54" s="255"/>
      <c r="BW54" s="255"/>
      <c r="BX54" s="255"/>
      <c r="BY54" s="255"/>
      <c r="BZ54" s="255"/>
      <c r="CA54" s="255"/>
      <c r="CB54" s="255"/>
      <c r="CC54" s="255"/>
      <c r="CD54" s="255"/>
      <c r="CE54" s="255"/>
      <c r="CF54" s="255"/>
      <c r="CG54" s="255"/>
      <c r="CH54" s="255"/>
      <c r="CI54" s="255"/>
      <c r="CJ54" s="255"/>
      <c r="CK54" s="255"/>
      <c r="CL54" s="255"/>
      <c r="CM54" s="255"/>
      <c r="CN54" s="255"/>
      <c r="CO54" s="255"/>
      <c r="CP54" s="255"/>
      <c r="CQ54" s="255"/>
      <c r="CR54" s="255"/>
      <c r="CS54" s="255"/>
      <c r="CT54" s="255"/>
      <c r="CU54" s="255"/>
      <c r="CV54" s="255"/>
      <c r="CW54" s="255"/>
      <c r="CX54" s="255"/>
      <c r="CY54" s="255"/>
      <c r="CZ54" s="255"/>
      <c r="DA54" s="255"/>
      <c r="DB54" s="255"/>
      <c r="DC54" s="255"/>
      <c r="DD54" s="255"/>
      <c r="DE54" s="255"/>
      <c r="DF54" s="255"/>
      <c r="DG54" s="255"/>
      <c r="DH54" s="255"/>
      <c r="DI54" s="524"/>
    </row>
    <row r="55" spans="1:113" ht="16.05" customHeight="1" x14ac:dyDescent="0.3">
      <c r="A55" s="455" t="str">
        <f t="shared" ref="A55" si="165">IF(COUNTIF(A56:A75,"Imprimir")&gt;0,"Imprimir","")</f>
        <v>Imprimir</v>
      </c>
      <c r="B55" s="455"/>
      <c r="C55" s="459"/>
      <c r="D55" s="459"/>
      <c r="E55" s="460" t="s">
        <v>4319</v>
      </c>
      <c r="F55" s="460"/>
      <c r="G55" s="460"/>
      <c r="H55" s="465"/>
      <c r="I55" s="465">
        <f>SUBTOTAL(9,I56:I76)</f>
        <v>2458700.2224000003</v>
      </c>
      <c r="J55" s="259"/>
      <c r="K55" s="465"/>
      <c r="L55" s="465">
        <f>SUBTOTAL(9,L56:L76)</f>
        <v>0</v>
      </c>
      <c r="M55" s="257"/>
      <c r="N55" s="465">
        <f>SUMPRODUCT(N56:N76,$H56:$H76)</f>
        <v>0</v>
      </c>
      <c r="O55" s="465">
        <f>SUMPRODUCT(O56:O76,$H56:$H76)</f>
        <v>0</v>
      </c>
      <c r="P55" s="465">
        <f t="shared" ref="P55" si="166">SUMPRODUCT(P56:P76,$H56:$H76)</f>
        <v>0</v>
      </c>
      <c r="Q55" s="465">
        <f t="shared" ref="Q55" si="167">SUMPRODUCT(Q56:Q76,$H56:$H76)</f>
        <v>0</v>
      </c>
      <c r="R55" s="465">
        <f t="shared" ref="R55" si="168">SUMPRODUCT(R56:R76,$H56:$H76)</f>
        <v>0</v>
      </c>
      <c r="S55" s="465">
        <f t="shared" ref="S55" si="169">SUMPRODUCT(S56:S76,$H56:$H76)</f>
        <v>0</v>
      </c>
      <c r="T55" s="465">
        <f t="shared" ref="T55" si="170">SUMPRODUCT(T56:T76,$H56:$H76)</f>
        <v>0</v>
      </c>
      <c r="U55" s="465">
        <f t="shared" ref="U55" si="171">SUMPRODUCT(U56:U76,$H56:$H76)</f>
        <v>0</v>
      </c>
      <c r="V55" s="465">
        <f t="shared" ref="V55" si="172">SUMPRODUCT(V56:V76,$H56:$H76)</f>
        <v>0</v>
      </c>
      <c r="W55" s="465">
        <f t="shared" ref="W55" si="173">SUMPRODUCT(W56:W76,$H56:$H76)</f>
        <v>0</v>
      </c>
      <c r="X55" s="465">
        <f t="shared" ref="X55" si="174">SUMPRODUCT(X56:X76,$H56:$H76)</f>
        <v>0</v>
      </c>
      <c r="Y55" s="465">
        <f t="shared" ref="Y55" si="175">SUMPRODUCT(Y56:Y76,$H56:$H76)</f>
        <v>0</v>
      </c>
      <c r="Z55" s="465">
        <f t="shared" ref="Z55" si="176">SUMPRODUCT(Z56:Z76,$H56:$H76)</f>
        <v>0</v>
      </c>
      <c r="AA55" s="465">
        <f t="shared" ref="AA55" si="177">SUMPRODUCT(AA56:AA76,$H56:$H76)</f>
        <v>0</v>
      </c>
      <c r="AB55" s="465">
        <f t="shared" ref="AB55" si="178">SUMPRODUCT(AB56:AB76,$H56:$H76)</f>
        <v>0</v>
      </c>
      <c r="AC55" s="465">
        <f t="shared" ref="AC55" si="179">SUMPRODUCT(AC56:AC76,$H56:$H76)</f>
        <v>0</v>
      </c>
      <c r="AD55" s="465">
        <f t="shared" ref="AD55" si="180">SUMPRODUCT(AD56:AD76,$H56:$H76)</f>
        <v>0</v>
      </c>
      <c r="AE55" s="465">
        <f t="shared" ref="AE55" si="181">SUMPRODUCT(AE56:AE76,$H56:$H76)</f>
        <v>0</v>
      </c>
      <c r="AF55" s="465">
        <f t="shared" ref="AF55" si="182">SUMPRODUCT(AF56:AF76,$H56:$H76)</f>
        <v>0</v>
      </c>
      <c r="AG55" s="465">
        <f t="shared" ref="AG55" si="183">SUMPRODUCT(AG56:AG76,$H56:$H76)</f>
        <v>0</v>
      </c>
      <c r="AH55" s="465">
        <f t="shared" ref="AH55" si="184">SUMPRODUCT(AH56:AH76,$H56:$H76)</f>
        <v>0</v>
      </c>
      <c r="AI55" s="465">
        <f t="shared" ref="AI55" si="185">SUMPRODUCT(AI56:AI76,$H56:$H76)</f>
        <v>0</v>
      </c>
      <c r="AJ55" s="465">
        <f t="shared" ref="AJ55:BI55" si="186">SUMPRODUCT(AJ56:AJ76,$H56:$H76)</f>
        <v>0</v>
      </c>
      <c r="AK55" s="465">
        <f t="shared" si="186"/>
        <v>0</v>
      </c>
      <c r="AL55" s="465">
        <f t="shared" si="186"/>
        <v>0</v>
      </c>
      <c r="AM55" s="465">
        <f t="shared" si="186"/>
        <v>0</v>
      </c>
      <c r="AN55" s="465">
        <f t="shared" si="186"/>
        <v>0</v>
      </c>
      <c r="AO55" s="465">
        <f t="shared" si="186"/>
        <v>0</v>
      </c>
      <c r="AP55" s="465">
        <f t="shared" si="186"/>
        <v>0</v>
      </c>
      <c r="AQ55" s="465">
        <f t="shared" si="186"/>
        <v>0</v>
      </c>
      <c r="AR55" s="465">
        <f t="shared" si="186"/>
        <v>0</v>
      </c>
      <c r="AS55" s="465">
        <f t="shared" si="186"/>
        <v>0</v>
      </c>
      <c r="AT55" s="465">
        <f t="shared" si="186"/>
        <v>0</v>
      </c>
      <c r="AU55" s="465">
        <f t="shared" si="186"/>
        <v>0</v>
      </c>
      <c r="AV55" s="465">
        <f t="shared" si="186"/>
        <v>0</v>
      </c>
      <c r="AW55" s="465">
        <f t="shared" si="186"/>
        <v>0</v>
      </c>
      <c r="AX55" s="465">
        <f t="shared" si="186"/>
        <v>0</v>
      </c>
      <c r="AY55" s="465">
        <f t="shared" si="186"/>
        <v>0</v>
      </c>
      <c r="AZ55" s="465">
        <f t="shared" si="186"/>
        <v>0</v>
      </c>
      <c r="BA55" s="465">
        <f t="shared" si="186"/>
        <v>0</v>
      </c>
      <c r="BB55" s="465">
        <f t="shared" si="186"/>
        <v>0</v>
      </c>
      <c r="BC55" s="465">
        <f t="shared" si="186"/>
        <v>0</v>
      </c>
      <c r="BD55" s="465">
        <f t="shared" si="186"/>
        <v>0</v>
      </c>
      <c r="BE55" s="465">
        <f t="shared" si="186"/>
        <v>0</v>
      </c>
      <c r="BF55" s="465">
        <f t="shared" si="186"/>
        <v>0</v>
      </c>
      <c r="BG55" s="465">
        <f t="shared" si="186"/>
        <v>0</v>
      </c>
      <c r="BH55" s="465">
        <f t="shared" si="186"/>
        <v>0</v>
      </c>
      <c r="BI55" s="543">
        <f t="shared" si="186"/>
        <v>0</v>
      </c>
      <c r="BJ55" s="546"/>
      <c r="BK55" s="475">
        <f t="shared" ref="BK55" si="187">IFERROR(BL55/I55,0)</f>
        <v>0.91666666666666663</v>
      </c>
      <c r="BL55" s="465">
        <f>SUBTOTAL(9,BL56:BL76)</f>
        <v>2253808.5372000001</v>
      </c>
      <c r="BM55" s="257"/>
      <c r="BN55" s="465">
        <f>SUMPRODUCT(BN56:BN76,$H56:$H76)</f>
        <v>0</v>
      </c>
      <c r="BO55" s="465">
        <f>SUMPRODUCT(BO56:BO76,$H56:$H76)</f>
        <v>0</v>
      </c>
      <c r="BP55" s="465">
        <f t="shared" ref="BP55" si="188">SUMPRODUCT(BP56:BP76,$H56:$H76)</f>
        <v>0</v>
      </c>
      <c r="BQ55" s="465">
        <f t="shared" ref="BQ55" si="189">SUMPRODUCT(BQ56:BQ76,$H56:$H76)</f>
        <v>0</v>
      </c>
      <c r="BR55" s="465">
        <f t="shared" ref="BR55" si="190">SUMPRODUCT(BR56:BR76,$H56:$H76)</f>
        <v>0</v>
      </c>
      <c r="BS55" s="465">
        <f t="shared" ref="BS55" si="191">SUMPRODUCT(BS56:BS76,$H56:$H76)</f>
        <v>0</v>
      </c>
      <c r="BT55" s="465">
        <f t="shared" ref="BT55" si="192">SUMPRODUCT(BT56:BT76,$H56:$H76)</f>
        <v>0</v>
      </c>
      <c r="BU55" s="465">
        <f t="shared" ref="BU55" si="193">SUMPRODUCT(BU56:BU76,$H56:$H76)</f>
        <v>0</v>
      </c>
      <c r="BV55" s="465">
        <f t="shared" ref="BV55" si="194">SUMPRODUCT(BV56:BV76,$H56:$H76)</f>
        <v>614675.05560000008</v>
      </c>
      <c r="BW55" s="465">
        <f t="shared" ref="BW55" si="195">SUMPRODUCT(BW56:BW76,$H56:$H76)</f>
        <v>0</v>
      </c>
      <c r="BX55" s="465">
        <f t="shared" ref="BX55" si="196">SUMPRODUCT(BX56:BX76,$H56:$H76)</f>
        <v>1434241.7963999999</v>
      </c>
      <c r="BY55" s="465">
        <f t="shared" ref="BY55" si="197">SUMPRODUCT(BY56:BY76,$H56:$H76)</f>
        <v>0</v>
      </c>
      <c r="BZ55" s="465">
        <f t="shared" ref="BZ55" si="198">SUMPRODUCT(BZ56:BZ76,$H56:$H76)</f>
        <v>204891.68520000001</v>
      </c>
      <c r="CA55" s="465">
        <f t="shared" ref="CA55" si="199">SUMPRODUCT(CA56:CA76,$H56:$H76)</f>
        <v>0</v>
      </c>
      <c r="CB55" s="465">
        <f t="shared" ref="CB55" si="200">SUMPRODUCT(CB56:CB76,$H56:$H76)</f>
        <v>0</v>
      </c>
      <c r="CC55" s="465">
        <f t="shared" ref="CC55" si="201">SUMPRODUCT(CC56:CC76,$H56:$H76)</f>
        <v>0</v>
      </c>
      <c r="CD55" s="465">
        <f t="shared" ref="CD55" si="202">SUMPRODUCT(CD56:CD76,$H56:$H76)</f>
        <v>0</v>
      </c>
      <c r="CE55" s="465">
        <f t="shared" ref="CE55" si="203">SUMPRODUCT(CE56:CE76,$H56:$H76)</f>
        <v>0</v>
      </c>
      <c r="CF55" s="465">
        <f t="shared" ref="CF55" si="204">SUMPRODUCT(CF56:CF76,$H56:$H76)</f>
        <v>0</v>
      </c>
      <c r="CG55" s="465">
        <f t="shared" ref="CG55" si="205">SUMPRODUCT(CG56:CG76,$H56:$H76)</f>
        <v>0</v>
      </c>
      <c r="CH55" s="465">
        <f t="shared" ref="CH55" si="206">SUMPRODUCT(CH56:CH76,$H56:$H76)</f>
        <v>0</v>
      </c>
      <c r="CI55" s="465">
        <f t="shared" ref="CI55" si="207">SUMPRODUCT(CI56:CI76,$H56:$H76)</f>
        <v>0</v>
      </c>
      <c r="CJ55" s="465">
        <f t="shared" ref="CJ55" si="208">SUMPRODUCT(CJ56:CJ76,$H56:$H76)</f>
        <v>0</v>
      </c>
      <c r="CK55" s="465">
        <f t="shared" ref="CK55" si="209">SUMPRODUCT(CK56:CK76,$H56:$H76)</f>
        <v>0</v>
      </c>
      <c r="CL55" s="465">
        <f t="shared" ref="CL55" si="210">SUMPRODUCT(CL56:CL76,$H56:$H76)</f>
        <v>0</v>
      </c>
      <c r="CM55" s="465">
        <f t="shared" ref="CM55" si="211">SUMPRODUCT(CM56:CM76,$H56:$H76)</f>
        <v>0</v>
      </c>
      <c r="CN55" s="465">
        <f t="shared" ref="CN55" si="212">SUMPRODUCT(CN56:CN76,$H56:$H76)</f>
        <v>0</v>
      </c>
      <c r="CO55" s="465">
        <f t="shared" ref="CO55" si="213">SUMPRODUCT(CO56:CO76,$H56:$H76)</f>
        <v>0</v>
      </c>
      <c r="CP55" s="465">
        <f t="shared" ref="CP55" si="214">SUMPRODUCT(CP56:CP76,$H56:$H76)</f>
        <v>0</v>
      </c>
      <c r="CQ55" s="465">
        <f t="shared" ref="CQ55" si="215">SUMPRODUCT(CQ56:CQ76,$H56:$H76)</f>
        <v>0</v>
      </c>
      <c r="CR55" s="465">
        <f t="shared" ref="CR55" si="216">SUMPRODUCT(CR56:CR76,$H56:$H76)</f>
        <v>0</v>
      </c>
      <c r="CS55" s="465">
        <f t="shared" ref="CS55" si="217">SUMPRODUCT(CS56:CS76,$H56:$H76)</f>
        <v>0</v>
      </c>
      <c r="CT55" s="465">
        <f t="shared" ref="CT55" si="218">SUMPRODUCT(CT56:CT76,$H56:$H76)</f>
        <v>0</v>
      </c>
      <c r="CU55" s="465">
        <f t="shared" ref="CU55" si="219">SUMPRODUCT(CU56:CU76,$H56:$H76)</f>
        <v>0</v>
      </c>
      <c r="CV55" s="465">
        <f t="shared" ref="CV55" si="220">SUMPRODUCT(CV56:CV76,$H56:$H76)</f>
        <v>0</v>
      </c>
      <c r="CW55" s="465">
        <f t="shared" ref="CW55" si="221">SUMPRODUCT(CW56:CW76,$H56:$H76)</f>
        <v>0</v>
      </c>
      <c r="CX55" s="465">
        <f t="shared" ref="CX55" si="222">SUMPRODUCT(CX56:CX76,$H56:$H76)</f>
        <v>0</v>
      </c>
      <c r="CY55" s="465">
        <f t="shared" ref="CY55" si="223">SUMPRODUCT(CY56:CY76,$H56:$H76)</f>
        <v>0</v>
      </c>
      <c r="CZ55" s="465">
        <f t="shared" ref="CZ55" si="224">SUMPRODUCT(CZ56:CZ76,$H56:$H76)</f>
        <v>0</v>
      </c>
      <c r="DA55" s="465">
        <f t="shared" ref="DA55" si="225">SUMPRODUCT(DA56:DA76,$H56:$H76)</f>
        <v>0</v>
      </c>
      <c r="DB55" s="465">
        <f t="shared" ref="DB55" si="226">SUMPRODUCT(DB56:DB76,$H56:$H76)</f>
        <v>0</v>
      </c>
      <c r="DC55" s="465">
        <f t="shared" ref="DC55" si="227">SUMPRODUCT(DC56:DC76,$H56:$H76)</f>
        <v>0</v>
      </c>
      <c r="DD55" s="465">
        <f t="shared" ref="DD55" si="228">SUMPRODUCT(DD56:DD76,$H56:$H76)</f>
        <v>0</v>
      </c>
      <c r="DE55" s="465">
        <f t="shared" ref="DE55" si="229">SUMPRODUCT(DE56:DE76,$H56:$H76)</f>
        <v>0</v>
      </c>
      <c r="DF55" s="465">
        <f t="shared" ref="DF55" si="230">SUMPRODUCT(DF56:DF76,$H56:$H76)</f>
        <v>0</v>
      </c>
      <c r="DG55" s="465">
        <f t="shared" ref="DG55" si="231">SUMPRODUCT(DG56:DG76,$H56:$H76)</f>
        <v>0</v>
      </c>
      <c r="DH55" s="465">
        <f t="shared" ref="DH55" si="232">SUMPRODUCT(DH56:DH76,$H56:$H76)</f>
        <v>0</v>
      </c>
      <c r="DI55" s="465">
        <f t="shared" ref="DI55" si="233">SUMPRODUCT(DI56:DI76,$H56:$H76)</f>
        <v>0</v>
      </c>
    </row>
    <row r="56" spans="1:113" ht="16.05" customHeight="1" outlineLevel="1" x14ac:dyDescent="0.3">
      <c r="A56" s="455" t="str">
        <f t="shared" si="54"/>
        <v>Imprimir</v>
      </c>
      <c r="B56" s="455"/>
      <c r="C56" s="481"/>
      <c r="D56" s="463" t="s">
        <v>721</v>
      </c>
      <c r="E56" s="482" t="s">
        <v>662</v>
      </c>
      <c r="F56" s="483" t="s">
        <v>663</v>
      </c>
      <c r="G56" s="842">
        <v>72</v>
      </c>
      <c r="H56" s="485">
        <v>3551.23</v>
      </c>
      <c r="I56" s="466">
        <f t="shared" ref="I56:I57" si="234">G56*H56</f>
        <v>255688.56</v>
      </c>
      <c r="J56" s="259"/>
      <c r="K56" s="478">
        <f>SUM(N56:BI56)</f>
        <v>0</v>
      </c>
      <c r="L56" s="466">
        <f>K56*$H56</f>
        <v>0</v>
      </c>
      <c r="M56" s="257"/>
      <c r="N56" s="478"/>
      <c r="O56" s="478"/>
      <c r="P56" s="478"/>
      <c r="Q56" s="478"/>
      <c r="R56" s="478"/>
      <c r="S56" s="478"/>
      <c r="T56" s="478"/>
      <c r="U56" s="478"/>
      <c r="V56" s="478"/>
      <c r="W56" s="478"/>
      <c r="X56" s="478"/>
      <c r="Y56" s="478"/>
      <c r="Z56" s="478"/>
      <c r="AA56" s="478"/>
      <c r="AB56" s="478"/>
      <c r="AC56" s="478"/>
      <c r="AD56" s="478"/>
      <c r="AE56" s="478"/>
      <c r="AF56" s="478"/>
      <c r="AG56" s="478"/>
      <c r="AH56" s="478"/>
      <c r="AI56" s="478"/>
      <c r="AJ56" s="478"/>
      <c r="AK56" s="478"/>
      <c r="AL56" s="478"/>
      <c r="AM56" s="478"/>
      <c r="AN56" s="478"/>
      <c r="AO56" s="478"/>
      <c r="AP56" s="478"/>
      <c r="AQ56" s="478"/>
      <c r="AR56" s="478"/>
      <c r="AS56" s="478"/>
      <c r="AT56" s="478"/>
      <c r="AU56" s="478"/>
      <c r="AV56" s="478"/>
      <c r="AW56" s="478"/>
      <c r="AX56" s="478"/>
      <c r="AY56" s="478"/>
      <c r="AZ56" s="478"/>
      <c r="BA56" s="478"/>
      <c r="BB56" s="478"/>
      <c r="BC56" s="478"/>
      <c r="BD56" s="478"/>
      <c r="BE56" s="478"/>
      <c r="BF56" s="478"/>
      <c r="BG56" s="478"/>
      <c r="BH56" s="478"/>
      <c r="BI56" s="478"/>
      <c r="BJ56" s="245"/>
      <c r="BK56" s="477">
        <f>IFERROR(BL56/I56,0)</f>
        <v>0.91666666666666663</v>
      </c>
      <c r="BL56" s="466">
        <f>SUM(BN56:DJ56)*$H56</f>
        <v>234381.18</v>
      </c>
      <c r="BM56" s="257"/>
      <c r="BN56" s="478"/>
      <c r="BO56" s="478"/>
      <c r="BP56" s="478"/>
      <c r="BQ56" s="478"/>
      <c r="BR56" s="478"/>
      <c r="BS56" s="478"/>
      <c r="BT56" s="478"/>
      <c r="BU56" s="478"/>
      <c r="BV56" s="478">
        <v>18</v>
      </c>
      <c r="BW56" s="478"/>
      <c r="BX56" s="478">
        <v>42</v>
      </c>
      <c r="BY56" s="478"/>
      <c r="BZ56" s="478">
        <v>6</v>
      </c>
      <c r="CA56" s="478"/>
      <c r="CB56" s="478"/>
      <c r="CC56" s="478"/>
      <c r="CD56" s="478"/>
      <c r="CE56" s="478"/>
      <c r="CF56" s="478"/>
      <c r="CG56" s="478"/>
      <c r="CH56" s="478"/>
      <c r="CI56" s="478"/>
      <c r="CJ56" s="478"/>
      <c r="CK56" s="478"/>
      <c r="CL56" s="478"/>
      <c r="CM56" s="478"/>
      <c r="CN56" s="478"/>
      <c r="CO56" s="478"/>
      <c r="CP56" s="478"/>
      <c r="CQ56" s="478"/>
      <c r="CR56" s="478"/>
      <c r="CS56" s="478"/>
      <c r="CT56" s="478"/>
      <c r="CU56" s="478"/>
      <c r="CV56" s="478"/>
      <c r="CW56" s="478"/>
      <c r="CX56" s="478"/>
      <c r="CY56" s="478"/>
      <c r="CZ56" s="478"/>
      <c r="DA56" s="478"/>
      <c r="DB56" s="478"/>
      <c r="DC56" s="478"/>
      <c r="DD56" s="478"/>
      <c r="DE56" s="478"/>
      <c r="DF56" s="478"/>
      <c r="DG56" s="478"/>
      <c r="DH56" s="478"/>
      <c r="DI56" s="478"/>
    </row>
    <row r="57" spans="1:113" ht="16.05" customHeight="1" outlineLevel="1" x14ac:dyDescent="0.3">
      <c r="A57" s="455" t="str">
        <f t="shared" si="54"/>
        <v>Imprimir</v>
      </c>
      <c r="B57" s="455"/>
      <c r="C57" s="481"/>
      <c r="D57" s="463" t="s">
        <v>722</v>
      </c>
      <c r="E57" s="482" t="s">
        <v>665</v>
      </c>
      <c r="F57" s="483" t="s">
        <v>666</v>
      </c>
      <c r="G57" s="484">
        <f>8*G56</f>
        <v>576</v>
      </c>
      <c r="H57" s="485">
        <v>102.32</v>
      </c>
      <c r="I57" s="466">
        <f t="shared" si="234"/>
        <v>58936.319999999992</v>
      </c>
      <c r="J57" s="259"/>
      <c r="K57" s="478">
        <f t="shared" ref="K57" si="235">SUM(N57:BI57)</f>
        <v>0</v>
      </c>
      <c r="L57" s="466">
        <f t="shared" ref="L57:L75" si="236">K57*$H57</f>
        <v>0</v>
      </c>
      <c r="M57" s="257"/>
      <c r="N57" s="478"/>
      <c r="O57" s="478"/>
      <c r="P57" s="478"/>
      <c r="Q57" s="478"/>
      <c r="R57" s="478"/>
      <c r="S57" s="478"/>
      <c r="T57" s="478"/>
      <c r="U57" s="478"/>
      <c r="V57" s="478"/>
      <c r="W57" s="478"/>
      <c r="X57" s="478"/>
      <c r="Y57" s="478"/>
      <c r="Z57" s="478"/>
      <c r="AA57" s="478"/>
      <c r="AB57" s="478"/>
      <c r="AC57" s="478"/>
      <c r="AD57" s="478"/>
      <c r="AE57" s="478"/>
      <c r="AF57" s="478"/>
      <c r="AG57" s="478"/>
      <c r="AH57" s="478"/>
      <c r="AI57" s="478"/>
      <c r="AJ57" s="478"/>
      <c r="AK57" s="478"/>
      <c r="AL57" s="478"/>
      <c r="AM57" s="478"/>
      <c r="AN57" s="478"/>
      <c r="AO57" s="478"/>
      <c r="AP57" s="478"/>
      <c r="AQ57" s="478"/>
      <c r="AR57" s="478"/>
      <c r="AS57" s="478"/>
      <c r="AT57" s="478"/>
      <c r="AU57" s="478"/>
      <c r="AV57" s="478"/>
      <c r="AW57" s="478"/>
      <c r="AX57" s="478"/>
      <c r="AY57" s="478"/>
      <c r="AZ57" s="478"/>
      <c r="BA57" s="478"/>
      <c r="BB57" s="478"/>
      <c r="BC57" s="478"/>
      <c r="BD57" s="478"/>
      <c r="BE57" s="478"/>
      <c r="BF57" s="478"/>
      <c r="BG57" s="478"/>
      <c r="BH57" s="478"/>
      <c r="BI57" s="478"/>
      <c r="BJ57" s="245"/>
      <c r="BK57" s="477">
        <f t="shared" ref="BK57" si="237">IFERROR(BL57/I57,0)</f>
        <v>0.91666666666666674</v>
      </c>
      <c r="BL57" s="466">
        <f t="shared" ref="BL57" si="238">SUM(BN57:DJ57)*$H57</f>
        <v>54024.959999999999</v>
      </c>
      <c r="BM57" s="257"/>
      <c r="BN57" s="478">
        <f t="shared" ref="BN57" si="239">8*BN56</f>
        <v>0</v>
      </c>
      <c r="BO57" s="478">
        <f t="shared" ref="BO57" si="240">8*BO56</f>
        <v>0</v>
      </c>
      <c r="BP57" s="478">
        <f t="shared" ref="BP57" si="241">8*BP56</f>
        <v>0</v>
      </c>
      <c r="BQ57" s="478">
        <f t="shared" ref="BQ57" si="242">8*BQ56</f>
        <v>0</v>
      </c>
      <c r="BR57" s="478">
        <f t="shared" ref="BR57" si="243">8*BR56</f>
        <v>0</v>
      </c>
      <c r="BS57" s="478">
        <f t="shared" ref="BS57" si="244">8*BS56</f>
        <v>0</v>
      </c>
      <c r="BT57" s="478">
        <f t="shared" ref="BT57" si="245">8*BT56</f>
        <v>0</v>
      </c>
      <c r="BU57" s="478">
        <f t="shared" ref="BU57" si="246">8*BU56</f>
        <v>0</v>
      </c>
      <c r="BV57" s="478">
        <f t="shared" ref="BV57" si="247">8*BV56</f>
        <v>144</v>
      </c>
      <c r="BW57" s="478">
        <f t="shared" ref="BW57" si="248">8*BW56</f>
        <v>0</v>
      </c>
      <c r="BX57" s="478">
        <f t="shared" ref="BX57" si="249">8*BX56</f>
        <v>336</v>
      </c>
      <c r="BY57" s="478">
        <f t="shared" ref="BY57" si="250">8*BY56</f>
        <v>0</v>
      </c>
      <c r="BZ57" s="478">
        <f t="shared" ref="BZ57" si="251">8*BZ56</f>
        <v>48</v>
      </c>
      <c r="CA57" s="478">
        <f t="shared" ref="CA57" si="252">8*CA56</f>
        <v>0</v>
      </c>
      <c r="CB57" s="478">
        <f t="shared" ref="CB57" si="253">8*CB56</f>
        <v>0</v>
      </c>
      <c r="CC57" s="478">
        <f t="shared" ref="CC57" si="254">8*CC56</f>
        <v>0</v>
      </c>
      <c r="CD57" s="478">
        <f t="shared" ref="CD57" si="255">8*CD56</f>
        <v>0</v>
      </c>
      <c r="CE57" s="478">
        <f t="shared" ref="CE57" si="256">8*CE56</f>
        <v>0</v>
      </c>
      <c r="CF57" s="478">
        <f t="shared" ref="CF57" si="257">8*CF56</f>
        <v>0</v>
      </c>
      <c r="CG57" s="478">
        <f t="shared" ref="CG57" si="258">8*CG56</f>
        <v>0</v>
      </c>
      <c r="CH57" s="478">
        <f t="shared" ref="CH57" si="259">8*CH56</f>
        <v>0</v>
      </c>
      <c r="CI57" s="478">
        <f t="shared" ref="CI57" si="260">8*CI56</f>
        <v>0</v>
      </c>
      <c r="CJ57" s="478">
        <f t="shared" ref="CJ57" si="261">8*CJ56</f>
        <v>0</v>
      </c>
      <c r="CK57" s="478">
        <f t="shared" ref="CK57" si="262">8*CK56</f>
        <v>0</v>
      </c>
      <c r="CL57" s="478">
        <f t="shared" ref="CL57" si="263">8*CL56</f>
        <v>0</v>
      </c>
      <c r="CM57" s="478">
        <f t="shared" ref="CM57" si="264">8*CM56</f>
        <v>0</v>
      </c>
      <c r="CN57" s="478">
        <f t="shared" ref="CN57" si="265">8*CN56</f>
        <v>0</v>
      </c>
      <c r="CO57" s="478">
        <f t="shared" ref="CO57" si="266">8*CO56</f>
        <v>0</v>
      </c>
      <c r="CP57" s="478">
        <f t="shared" ref="CP57" si="267">8*CP56</f>
        <v>0</v>
      </c>
      <c r="CQ57" s="478">
        <f t="shared" ref="CQ57" si="268">8*CQ56</f>
        <v>0</v>
      </c>
      <c r="CR57" s="478">
        <f t="shared" ref="CR57" si="269">8*CR56</f>
        <v>0</v>
      </c>
      <c r="CS57" s="478">
        <f t="shared" ref="CS57" si="270">8*CS56</f>
        <v>0</v>
      </c>
      <c r="CT57" s="478">
        <f t="shared" ref="CT57" si="271">8*CT56</f>
        <v>0</v>
      </c>
      <c r="CU57" s="478">
        <f t="shared" ref="CU57" si="272">8*CU56</f>
        <v>0</v>
      </c>
      <c r="CV57" s="478">
        <f t="shared" ref="CV57" si="273">8*CV56</f>
        <v>0</v>
      </c>
      <c r="CW57" s="478">
        <f t="shared" ref="CW57" si="274">8*CW56</f>
        <v>0</v>
      </c>
      <c r="CX57" s="478">
        <f t="shared" ref="CX57" si="275">8*CX56</f>
        <v>0</v>
      </c>
      <c r="CY57" s="478">
        <f t="shared" ref="CY57" si="276">8*CY56</f>
        <v>0</v>
      </c>
      <c r="CZ57" s="478">
        <f t="shared" ref="CZ57" si="277">8*CZ56</f>
        <v>0</v>
      </c>
      <c r="DA57" s="478">
        <f t="shared" ref="DA57" si="278">8*DA56</f>
        <v>0</v>
      </c>
      <c r="DB57" s="478">
        <f t="shared" ref="DB57" si="279">8*DB56</f>
        <v>0</v>
      </c>
      <c r="DC57" s="478">
        <f t="shared" ref="DC57" si="280">8*DC56</f>
        <v>0</v>
      </c>
      <c r="DD57" s="478">
        <f t="shared" ref="DD57" si="281">8*DD56</f>
        <v>0</v>
      </c>
      <c r="DE57" s="478">
        <f t="shared" ref="DE57" si="282">8*DE56</f>
        <v>0</v>
      </c>
      <c r="DF57" s="478">
        <f t="shared" ref="DF57" si="283">8*DF56</f>
        <v>0</v>
      </c>
      <c r="DG57" s="478">
        <f t="shared" ref="DG57" si="284">8*DG56</f>
        <v>0</v>
      </c>
      <c r="DH57" s="478">
        <f t="shared" ref="DH57" si="285">8*DH56</f>
        <v>0</v>
      </c>
      <c r="DI57" s="478">
        <f t="shared" ref="DI57" si="286">8*DI56</f>
        <v>0</v>
      </c>
    </row>
    <row r="58" spans="1:113" ht="16.05" customHeight="1" outlineLevel="1" x14ac:dyDescent="0.3">
      <c r="A58" s="455" t="str">
        <f t="shared" si="54"/>
        <v>Imprimir</v>
      </c>
      <c r="B58" s="455"/>
      <c r="C58" s="481"/>
      <c r="D58" s="463" t="s">
        <v>723</v>
      </c>
      <c r="E58" s="482" t="s">
        <v>668</v>
      </c>
      <c r="F58" s="483" t="s">
        <v>669</v>
      </c>
      <c r="G58" s="484">
        <f>1.1*G56</f>
        <v>79.2</v>
      </c>
      <c r="H58" s="485">
        <v>3586.42</v>
      </c>
      <c r="I58" s="466">
        <f t="shared" ref="I58:I75" si="287">G58*H58</f>
        <v>284044.46400000004</v>
      </c>
      <c r="J58" s="259"/>
      <c r="K58" s="478">
        <f t="shared" ref="K58:K75" si="288">SUM(N58:BI58)</f>
        <v>0</v>
      </c>
      <c r="L58" s="466">
        <f t="shared" si="236"/>
        <v>0</v>
      </c>
      <c r="M58" s="257"/>
      <c r="N58" s="478"/>
      <c r="O58" s="478"/>
      <c r="P58" s="478"/>
      <c r="Q58" s="478"/>
      <c r="R58" s="478"/>
      <c r="S58" s="478"/>
      <c r="T58" s="478"/>
      <c r="U58" s="478"/>
      <c r="V58" s="478"/>
      <c r="W58" s="478"/>
      <c r="X58" s="478"/>
      <c r="Y58" s="478"/>
      <c r="Z58" s="478"/>
      <c r="AA58" s="478"/>
      <c r="AB58" s="478"/>
      <c r="AC58" s="478"/>
      <c r="AD58" s="478"/>
      <c r="AE58" s="478"/>
      <c r="AF58" s="478"/>
      <c r="AG58" s="478"/>
      <c r="AH58" s="478"/>
      <c r="AI58" s="478"/>
      <c r="AJ58" s="478"/>
      <c r="AK58" s="478"/>
      <c r="AL58" s="478"/>
      <c r="AM58" s="478"/>
      <c r="AN58" s="478"/>
      <c r="AO58" s="478"/>
      <c r="AP58" s="478"/>
      <c r="AQ58" s="478"/>
      <c r="AR58" s="478"/>
      <c r="AS58" s="478"/>
      <c r="AT58" s="478"/>
      <c r="AU58" s="478"/>
      <c r="AV58" s="478"/>
      <c r="AW58" s="478"/>
      <c r="AX58" s="478"/>
      <c r="AY58" s="478"/>
      <c r="AZ58" s="478"/>
      <c r="BA58" s="478"/>
      <c r="BB58" s="478"/>
      <c r="BC58" s="478"/>
      <c r="BD58" s="478"/>
      <c r="BE58" s="478"/>
      <c r="BF58" s="478"/>
      <c r="BG58" s="478"/>
      <c r="BH58" s="478"/>
      <c r="BI58" s="478"/>
      <c r="BJ58" s="245"/>
      <c r="BK58" s="477">
        <f t="shared" ref="BK58:BK75" si="289">IFERROR(BL58/I58,0)</f>
        <v>0.91666666666666641</v>
      </c>
      <c r="BL58" s="466">
        <f t="shared" ref="BL58:BL75" si="290">SUM(BN58:DJ58)*$H58</f>
        <v>260374.09199999998</v>
      </c>
      <c r="BM58" s="257"/>
      <c r="BN58" s="478">
        <f t="shared" ref="BN58:DI58" si="291">1.1*BN56</f>
        <v>0</v>
      </c>
      <c r="BO58" s="478">
        <f t="shared" si="291"/>
        <v>0</v>
      </c>
      <c r="BP58" s="478">
        <f t="shared" si="291"/>
        <v>0</v>
      </c>
      <c r="BQ58" s="478">
        <f t="shared" si="291"/>
        <v>0</v>
      </c>
      <c r="BR58" s="478">
        <f t="shared" si="291"/>
        <v>0</v>
      </c>
      <c r="BS58" s="478">
        <f t="shared" si="291"/>
        <v>0</v>
      </c>
      <c r="BT58" s="478">
        <f t="shared" si="291"/>
        <v>0</v>
      </c>
      <c r="BU58" s="478">
        <f t="shared" si="291"/>
        <v>0</v>
      </c>
      <c r="BV58" s="478">
        <f t="shared" si="291"/>
        <v>19.8</v>
      </c>
      <c r="BW58" s="478">
        <f t="shared" si="291"/>
        <v>0</v>
      </c>
      <c r="BX58" s="478">
        <f t="shared" si="291"/>
        <v>46.2</v>
      </c>
      <c r="BY58" s="478">
        <f t="shared" si="291"/>
        <v>0</v>
      </c>
      <c r="BZ58" s="478">
        <f t="shared" si="291"/>
        <v>6.6000000000000005</v>
      </c>
      <c r="CA58" s="478">
        <f t="shared" si="291"/>
        <v>0</v>
      </c>
      <c r="CB58" s="478">
        <f t="shared" si="291"/>
        <v>0</v>
      </c>
      <c r="CC58" s="478">
        <f t="shared" si="291"/>
        <v>0</v>
      </c>
      <c r="CD58" s="478">
        <f t="shared" si="291"/>
        <v>0</v>
      </c>
      <c r="CE58" s="478">
        <f t="shared" si="291"/>
        <v>0</v>
      </c>
      <c r="CF58" s="478">
        <f t="shared" si="291"/>
        <v>0</v>
      </c>
      <c r="CG58" s="478">
        <f t="shared" si="291"/>
        <v>0</v>
      </c>
      <c r="CH58" s="478">
        <f t="shared" si="291"/>
        <v>0</v>
      </c>
      <c r="CI58" s="478">
        <f t="shared" si="291"/>
        <v>0</v>
      </c>
      <c r="CJ58" s="478">
        <f t="shared" si="291"/>
        <v>0</v>
      </c>
      <c r="CK58" s="478">
        <f t="shared" si="291"/>
        <v>0</v>
      </c>
      <c r="CL58" s="478">
        <f t="shared" si="291"/>
        <v>0</v>
      </c>
      <c r="CM58" s="478">
        <f t="shared" si="291"/>
        <v>0</v>
      </c>
      <c r="CN58" s="478">
        <f t="shared" si="291"/>
        <v>0</v>
      </c>
      <c r="CO58" s="478">
        <f t="shared" si="291"/>
        <v>0</v>
      </c>
      <c r="CP58" s="478">
        <f t="shared" si="291"/>
        <v>0</v>
      </c>
      <c r="CQ58" s="478">
        <f t="shared" si="291"/>
        <v>0</v>
      </c>
      <c r="CR58" s="478">
        <f t="shared" si="291"/>
        <v>0</v>
      </c>
      <c r="CS58" s="478">
        <f t="shared" si="291"/>
        <v>0</v>
      </c>
      <c r="CT58" s="478">
        <f t="shared" si="291"/>
        <v>0</v>
      </c>
      <c r="CU58" s="478">
        <f t="shared" si="291"/>
        <v>0</v>
      </c>
      <c r="CV58" s="478">
        <f t="shared" si="291"/>
        <v>0</v>
      </c>
      <c r="CW58" s="478">
        <f t="shared" si="291"/>
        <v>0</v>
      </c>
      <c r="CX58" s="478">
        <f t="shared" si="291"/>
        <v>0</v>
      </c>
      <c r="CY58" s="478">
        <f t="shared" si="291"/>
        <v>0</v>
      </c>
      <c r="CZ58" s="478">
        <f t="shared" si="291"/>
        <v>0</v>
      </c>
      <c r="DA58" s="478">
        <f t="shared" si="291"/>
        <v>0</v>
      </c>
      <c r="DB58" s="478">
        <f t="shared" si="291"/>
        <v>0</v>
      </c>
      <c r="DC58" s="478">
        <f t="shared" si="291"/>
        <v>0</v>
      </c>
      <c r="DD58" s="478">
        <f t="shared" si="291"/>
        <v>0</v>
      </c>
      <c r="DE58" s="478">
        <f t="shared" si="291"/>
        <v>0</v>
      </c>
      <c r="DF58" s="478">
        <f t="shared" si="291"/>
        <v>0</v>
      </c>
      <c r="DG58" s="478">
        <f t="shared" si="291"/>
        <v>0</v>
      </c>
      <c r="DH58" s="478">
        <f t="shared" si="291"/>
        <v>0</v>
      </c>
      <c r="DI58" s="478">
        <f t="shared" si="291"/>
        <v>0</v>
      </c>
    </row>
    <row r="59" spans="1:113" ht="16.05" customHeight="1" outlineLevel="1" x14ac:dyDescent="0.3">
      <c r="A59" s="455" t="str">
        <f t="shared" si="54"/>
        <v>Imprimir</v>
      </c>
      <c r="B59" s="455"/>
      <c r="C59" s="481"/>
      <c r="D59" s="463" t="s">
        <v>724</v>
      </c>
      <c r="E59" s="482" t="s">
        <v>671</v>
      </c>
      <c r="F59" s="483" t="s">
        <v>669</v>
      </c>
      <c r="G59" s="484">
        <f>0.04*G56</f>
        <v>2.88</v>
      </c>
      <c r="H59" s="485">
        <v>6658.98</v>
      </c>
      <c r="I59" s="466">
        <f t="shared" si="287"/>
        <v>19177.862399999998</v>
      </c>
      <c r="J59" s="259"/>
      <c r="K59" s="478">
        <f t="shared" si="288"/>
        <v>0</v>
      </c>
      <c r="L59" s="466">
        <f t="shared" si="236"/>
        <v>0</v>
      </c>
      <c r="M59" s="257"/>
      <c r="N59" s="478"/>
      <c r="O59" s="478"/>
      <c r="P59" s="478"/>
      <c r="Q59" s="478"/>
      <c r="R59" s="478"/>
      <c r="S59" s="478"/>
      <c r="T59" s="478"/>
      <c r="U59" s="478"/>
      <c r="V59" s="478"/>
      <c r="W59" s="478"/>
      <c r="X59" s="478"/>
      <c r="Y59" s="478"/>
      <c r="Z59" s="478"/>
      <c r="AA59" s="478"/>
      <c r="AB59" s="478"/>
      <c r="AC59" s="478"/>
      <c r="AD59" s="478"/>
      <c r="AE59" s="478"/>
      <c r="AF59" s="478"/>
      <c r="AG59" s="478"/>
      <c r="AH59" s="478"/>
      <c r="AI59" s="478"/>
      <c r="AJ59" s="478"/>
      <c r="AK59" s="478"/>
      <c r="AL59" s="478"/>
      <c r="AM59" s="478"/>
      <c r="AN59" s="478"/>
      <c r="AO59" s="478"/>
      <c r="AP59" s="478"/>
      <c r="AQ59" s="478"/>
      <c r="AR59" s="478"/>
      <c r="AS59" s="478"/>
      <c r="AT59" s="478"/>
      <c r="AU59" s="478"/>
      <c r="AV59" s="478"/>
      <c r="AW59" s="478"/>
      <c r="AX59" s="478"/>
      <c r="AY59" s="478"/>
      <c r="AZ59" s="478"/>
      <c r="BA59" s="478"/>
      <c r="BB59" s="478"/>
      <c r="BC59" s="478"/>
      <c r="BD59" s="478"/>
      <c r="BE59" s="478"/>
      <c r="BF59" s="478"/>
      <c r="BG59" s="478"/>
      <c r="BH59" s="478"/>
      <c r="BI59" s="478"/>
      <c r="BJ59" s="245"/>
      <c r="BK59" s="477">
        <f t="shared" si="289"/>
        <v>0.91666666666666663</v>
      </c>
      <c r="BL59" s="466">
        <f t="shared" si="290"/>
        <v>17579.707199999997</v>
      </c>
      <c r="BM59" s="257"/>
      <c r="BN59" s="478">
        <f t="shared" ref="BN59:DI59" si="292">0.04*BN56</f>
        <v>0</v>
      </c>
      <c r="BO59" s="478">
        <f t="shared" si="292"/>
        <v>0</v>
      </c>
      <c r="BP59" s="478">
        <f t="shared" si="292"/>
        <v>0</v>
      </c>
      <c r="BQ59" s="478">
        <f t="shared" si="292"/>
        <v>0</v>
      </c>
      <c r="BR59" s="478">
        <f t="shared" si="292"/>
        <v>0</v>
      </c>
      <c r="BS59" s="478">
        <f t="shared" si="292"/>
        <v>0</v>
      </c>
      <c r="BT59" s="478">
        <f t="shared" si="292"/>
        <v>0</v>
      </c>
      <c r="BU59" s="478">
        <f t="shared" si="292"/>
        <v>0</v>
      </c>
      <c r="BV59" s="478">
        <f t="shared" si="292"/>
        <v>0.72</v>
      </c>
      <c r="BW59" s="478">
        <f t="shared" si="292"/>
        <v>0</v>
      </c>
      <c r="BX59" s="478">
        <f t="shared" si="292"/>
        <v>1.68</v>
      </c>
      <c r="BY59" s="478">
        <f t="shared" si="292"/>
        <v>0</v>
      </c>
      <c r="BZ59" s="478">
        <f t="shared" si="292"/>
        <v>0.24</v>
      </c>
      <c r="CA59" s="478">
        <f t="shared" si="292"/>
        <v>0</v>
      </c>
      <c r="CB59" s="478">
        <f t="shared" si="292"/>
        <v>0</v>
      </c>
      <c r="CC59" s="478">
        <f t="shared" si="292"/>
        <v>0</v>
      </c>
      <c r="CD59" s="478">
        <f t="shared" si="292"/>
        <v>0</v>
      </c>
      <c r="CE59" s="478">
        <f t="shared" si="292"/>
        <v>0</v>
      </c>
      <c r="CF59" s="478">
        <f t="shared" si="292"/>
        <v>0</v>
      </c>
      <c r="CG59" s="478">
        <f t="shared" si="292"/>
        <v>0</v>
      </c>
      <c r="CH59" s="478">
        <f t="shared" si="292"/>
        <v>0</v>
      </c>
      <c r="CI59" s="478">
        <f t="shared" si="292"/>
        <v>0</v>
      </c>
      <c r="CJ59" s="478">
        <f t="shared" si="292"/>
        <v>0</v>
      </c>
      <c r="CK59" s="478">
        <f t="shared" si="292"/>
        <v>0</v>
      </c>
      <c r="CL59" s="478">
        <f t="shared" si="292"/>
        <v>0</v>
      </c>
      <c r="CM59" s="478">
        <f t="shared" si="292"/>
        <v>0</v>
      </c>
      <c r="CN59" s="478">
        <f t="shared" si="292"/>
        <v>0</v>
      </c>
      <c r="CO59" s="478">
        <f t="shared" si="292"/>
        <v>0</v>
      </c>
      <c r="CP59" s="478">
        <f t="shared" si="292"/>
        <v>0</v>
      </c>
      <c r="CQ59" s="478">
        <f t="shared" si="292"/>
        <v>0</v>
      </c>
      <c r="CR59" s="478">
        <f t="shared" si="292"/>
        <v>0</v>
      </c>
      <c r="CS59" s="478">
        <f t="shared" si="292"/>
        <v>0</v>
      </c>
      <c r="CT59" s="478">
        <f t="shared" si="292"/>
        <v>0</v>
      </c>
      <c r="CU59" s="478">
        <f t="shared" si="292"/>
        <v>0</v>
      </c>
      <c r="CV59" s="478">
        <f t="shared" si="292"/>
        <v>0</v>
      </c>
      <c r="CW59" s="478">
        <f t="shared" si="292"/>
        <v>0</v>
      </c>
      <c r="CX59" s="478">
        <f t="shared" si="292"/>
        <v>0</v>
      </c>
      <c r="CY59" s="478">
        <f t="shared" si="292"/>
        <v>0</v>
      </c>
      <c r="CZ59" s="478">
        <f t="shared" si="292"/>
        <v>0</v>
      </c>
      <c r="DA59" s="478">
        <f t="shared" si="292"/>
        <v>0</v>
      </c>
      <c r="DB59" s="478">
        <f t="shared" si="292"/>
        <v>0</v>
      </c>
      <c r="DC59" s="478">
        <f t="shared" si="292"/>
        <v>0</v>
      </c>
      <c r="DD59" s="478">
        <f t="shared" si="292"/>
        <v>0</v>
      </c>
      <c r="DE59" s="478">
        <f t="shared" si="292"/>
        <v>0</v>
      </c>
      <c r="DF59" s="478">
        <f t="shared" si="292"/>
        <v>0</v>
      </c>
      <c r="DG59" s="478">
        <f t="shared" si="292"/>
        <v>0</v>
      </c>
      <c r="DH59" s="478">
        <f t="shared" si="292"/>
        <v>0</v>
      </c>
      <c r="DI59" s="478">
        <f t="shared" si="292"/>
        <v>0</v>
      </c>
    </row>
    <row r="60" spans="1:113" ht="16.05" customHeight="1" outlineLevel="1" x14ac:dyDescent="0.3">
      <c r="A60" s="455" t="str">
        <f t="shared" si="54"/>
        <v>Imprimir</v>
      </c>
      <c r="B60" s="455"/>
      <c r="C60" s="481"/>
      <c r="D60" s="463" t="s">
        <v>725</v>
      </c>
      <c r="E60" s="482" t="s">
        <v>673</v>
      </c>
      <c r="F60" s="483" t="s">
        <v>669</v>
      </c>
      <c r="G60" s="484">
        <f>1.1*G56</f>
        <v>79.2</v>
      </c>
      <c r="H60" s="485">
        <v>2123.23</v>
      </c>
      <c r="I60" s="466">
        <f t="shared" si="287"/>
        <v>168159.81600000002</v>
      </c>
      <c r="J60" s="259"/>
      <c r="K60" s="478">
        <f t="shared" si="288"/>
        <v>0</v>
      </c>
      <c r="L60" s="466">
        <f t="shared" si="236"/>
        <v>0</v>
      </c>
      <c r="M60" s="257"/>
      <c r="N60" s="478"/>
      <c r="O60" s="478"/>
      <c r="P60" s="478"/>
      <c r="Q60" s="478"/>
      <c r="R60" s="478"/>
      <c r="S60" s="478"/>
      <c r="T60" s="478"/>
      <c r="U60" s="478"/>
      <c r="V60" s="478"/>
      <c r="W60" s="478"/>
      <c r="X60" s="478"/>
      <c r="Y60" s="478"/>
      <c r="Z60" s="478"/>
      <c r="AA60" s="478"/>
      <c r="AB60" s="478"/>
      <c r="AC60" s="478"/>
      <c r="AD60" s="478"/>
      <c r="AE60" s="478"/>
      <c r="AF60" s="478"/>
      <c r="AG60" s="478"/>
      <c r="AH60" s="478"/>
      <c r="AI60" s="478"/>
      <c r="AJ60" s="478"/>
      <c r="AK60" s="478"/>
      <c r="AL60" s="478"/>
      <c r="AM60" s="478"/>
      <c r="AN60" s="478"/>
      <c r="AO60" s="478"/>
      <c r="AP60" s="478"/>
      <c r="AQ60" s="478"/>
      <c r="AR60" s="478"/>
      <c r="AS60" s="478"/>
      <c r="AT60" s="478"/>
      <c r="AU60" s="478"/>
      <c r="AV60" s="478"/>
      <c r="AW60" s="478"/>
      <c r="AX60" s="478"/>
      <c r="AY60" s="478"/>
      <c r="AZ60" s="478"/>
      <c r="BA60" s="478"/>
      <c r="BB60" s="478"/>
      <c r="BC60" s="478"/>
      <c r="BD60" s="478"/>
      <c r="BE60" s="478"/>
      <c r="BF60" s="478"/>
      <c r="BG60" s="478"/>
      <c r="BH60" s="478"/>
      <c r="BI60" s="478"/>
      <c r="BJ60" s="245"/>
      <c r="BK60" s="477">
        <f t="shared" si="289"/>
        <v>0.91666666666666652</v>
      </c>
      <c r="BL60" s="466">
        <f t="shared" si="290"/>
        <v>154146.49799999999</v>
      </c>
      <c r="BM60" s="257"/>
      <c r="BN60" s="478">
        <f t="shared" ref="BN60:DI60" si="293">1.1*BN56</f>
        <v>0</v>
      </c>
      <c r="BO60" s="478">
        <f t="shared" si="293"/>
        <v>0</v>
      </c>
      <c r="BP60" s="478">
        <f t="shared" si="293"/>
        <v>0</v>
      </c>
      <c r="BQ60" s="478">
        <f t="shared" si="293"/>
        <v>0</v>
      </c>
      <c r="BR60" s="478">
        <f t="shared" si="293"/>
        <v>0</v>
      </c>
      <c r="BS60" s="478">
        <f t="shared" si="293"/>
        <v>0</v>
      </c>
      <c r="BT60" s="478">
        <f t="shared" si="293"/>
        <v>0</v>
      </c>
      <c r="BU60" s="478">
        <f t="shared" si="293"/>
        <v>0</v>
      </c>
      <c r="BV60" s="478">
        <f t="shared" si="293"/>
        <v>19.8</v>
      </c>
      <c r="BW60" s="478">
        <f t="shared" si="293"/>
        <v>0</v>
      </c>
      <c r="BX60" s="478">
        <f t="shared" si="293"/>
        <v>46.2</v>
      </c>
      <c r="BY60" s="478">
        <f t="shared" si="293"/>
        <v>0</v>
      </c>
      <c r="BZ60" s="478">
        <f t="shared" si="293"/>
        <v>6.6000000000000005</v>
      </c>
      <c r="CA60" s="478">
        <f t="shared" si="293"/>
        <v>0</v>
      </c>
      <c r="CB60" s="478">
        <f t="shared" si="293"/>
        <v>0</v>
      </c>
      <c r="CC60" s="478">
        <f t="shared" si="293"/>
        <v>0</v>
      </c>
      <c r="CD60" s="478">
        <f t="shared" si="293"/>
        <v>0</v>
      </c>
      <c r="CE60" s="478">
        <f t="shared" si="293"/>
        <v>0</v>
      </c>
      <c r="CF60" s="478">
        <f t="shared" si="293"/>
        <v>0</v>
      </c>
      <c r="CG60" s="478">
        <f t="shared" si="293"/>
        <v>0</v>
      </c>
      <c r="CH60" s="478">
        <f t="shared" si="293"/>
        <v>0</v>
      </c>
      <c r="CI60" s="478">
        <f t="shared" si="293"/>
        <v>0</v>
      </c>
      <c r="CJ60" s="478">
        <f t="shared" si="293"/>
        <v>0</v>
      </c>
      <c r="CK60" s="478">
        <f t="shared" si="293"/>
        <v>0</v>
      </c>
      <c r="CL60" s="478">
        <f t="shared" si="293"/>
        <v>0</v>
      </c>
      <c r="CM60" s="478">
        <f t="shared" si="293"/>
        <v>0</v>
      </c>
      <c r="CN60" s="478">
        <f t="shared" si="293"/>
        <v>0</v>
      </c>
      <c r="CO60" s="478">
        <f t="shared" si="293"/>
        <v>0</v>
      </c>
      <c r="CP60" s="478">
        <f t="shared" si="293"/>
        <v>0</v>
      </c>
      <c r="CQ60" s="478">
        <f t="shared" si="293"/>
        <v>0</v>
      </c>
      <c r="CR60" s="478">
        <f t="shared" si="293"/>
        <v>0</v>
      </c>
      <c r="CS60" s="478">
        <f t="shared" si="293"/>
        <v>0</v>
      </c>
      <c r="CT60" s="478">
        <f t="shared" si="293"/>
        <v>0</v>
      </c>
      <c r="CU60" s="478">
        <f t="shared" si="293"/>
        <v>0</v>
      </c>
      <c r="CV60" s="478">
        <f t="shared" si="293"/>
        <v>0</v>
      </c>
      <c r="CW60" s="478">
        <f t="shared" si="293"/>
        <v>0</v>
      </c>
      <c r="CX60" s="478">
        <f t="shared" si="293"/>
        <v>0</v>
      </c>
      <c r="CY60" s="478">
        <f t="shared" si="293"/>
        <v>0</v>
      </c>
      <c r="CZ60" s="478">
        <f t="shared" si="293"/>
        <v>0</v>
      </c>
      <c r="DA60" s="478">
        <f t="shared" si="293"/>
        <v>0</v>
      </c>
      <c r="DB60" s="478">
        <f t="shared" si="293"/>
        <v>0</v>
      </c>
      <c r="DC60" s="478">
        <f t="shared" si="293"/>
        <v>0</v>
      </c>
      <c r="DD60" s="478">
        <f t="shared" si="293"/>
        <v>0</v>
      </c>
      <c r="DE60" s="478">
        <f t="shared" si="293"/>
        <v>0</v>
      </c>
      <c r="DF60" s="478">
        <f t="shared" si="293"/>
        <v>0</v>
      </c>
      <c r="DG60" s="478">
        <f t="shared" si="293"/>
        <v>0</v>
      </c>
      <c r="DH60" s="478">
        <f t="shared" si="293"/>
        <v>0</v>
      </c>
      <c r="DI60" s="478">
        <f t="shared" si="293"/>
        <v>0</v>
      </c>
    </row>
    <row r="61" spans="1:113" ht="16.05" customHeight="1" outlineLevel="1" x14ac:dyDescent="0.3">
      <c r="A61" s="455" t="str">
        <f t="shared" si="54"/>
        <v>Imprimir</v>
      </c>
      <c r="B61" s="455"/>
      <c r="C61" s="481"/>
      <c r="D61" s="463" t="s">
        <v>726</v>
      </c>
      <c r="E61" s="482" t="s">
        <v>675</v>
      </c>
      <c r="F61" s="483" t="s">
        <v>666</v>
      </c>
      <c r="G61" s="484">
        <f>1*G56</f>
        <v>72</v>
      </c>
      <c r="H61" s="485">
        <v>131.16</v>
      </c>
      <c r="I61" s="466">
        <f t="shared" si="287"/>
        <v>9443.52</v>
      </c>
      <c r="J61" s="259"/>
      <c r="K61" s="478">
        <f t="shared" si="288"/>
        <v>0</v>
      </c>
      <c r="L61" s="466">
        <f t="shared" si="236"/>
        <v>0</v>
      </c>
      <c r="M61" s="257"/>
      <c r="N61" s="478"/>
      <c r="O61" s="478"/>
      <c r="P61" s="478"/>
      <c r="Q61" s="478"/>
      <c r="R61" s="478"/>
      <c r="S61" s="478"/>
      <c r="T61" s="478"/>
      <c r="U61" s="478"/>
      <c r="V61" s="478"/>
      <c r="W61" s="478"/>
      <c r="X61" s="478"/>
      <c r="Y61" s="478"/>
      <c r="Z61" s="478"/>
      <c r="AA61" s="478"/>
      <c r="AB61" s="478"/>
      <c r="AC61" s="478"/>
      <c r="AD61" s="478"/>
      <c r="AE61" s="478"/>
      <c r="AF61" s="478"/>
      <c r="AG61" s="478"/>
      <c r="AH61" s="478"/>
      <c r="AI61" s="478"/>
      <c r="AJ61" s="478"/>
      <c r="AK61" s="478"/>
      <c r="AL61" s="478"/>
      <c r="AM61" s="478"/>
      <c r="AN61" s="478"/>
      <c r="AO61" s="478"/>
      <c r="AP61" s="478"/>
      <c r="AQ61" s="478"/>
      <c r="AR61" s="478"/>
      <c r="AS61" s="478"/>
      <c r="AT61" s="478"/>
      <c r="AU61" s="478"/>
      <c r="AV61" s="478"/>
      <c r="AW61" s="478"/>
      <c r="AX61" s="478"/>
      <c r="AY61" s="478"/>
      <c r="AZ61" s="478"/>
      <c r="BA61" s="478"/>
      <c r="BB61" s="478"/>
      <c r="BC61" s="478"/>
      <c r="BD61" s="478"/>
      <c r="BE61" s="478"/>
      <c r="BF61" s="478"/>
      <c r="BG61" s="478"/>
      <c r="BH61" s="478"/>
      <c r="BI61" s="478"/>
      <c r="BJ61" s="245"/>
      <c r="BK61" s="477">
        <f t="shared" si="289"/>
        <v>0.91666666666666652</v>
      </c>
      <c r="BL61" s="466">
        <f t="shared" si="290"/>
        <v>8656.56</v>
      </c>
      <c r="BM61" s="257"/>
      <c r="BN61" s="478">
        <f t="shared" ref="BN61:DI61" si="294">1*BN56</f>
        <v>0</v>
      </c>
      <c r="BO61" s="478">
        <f t="shared" si="294"/>
        <v>0</v>
      </c>
      <c r="BP61" s="478">
        <f t="shared" si="294"/>
        <v>0</v>
      </c>
      <c r="BQ61" s="478">
        <f t="shared" si="294"/>
        <v>0</v>
      </c>
      <c r="BR61" s="478">
        <f t="shared" si="294"/>
        <v>0</v>
      </c>
      <c r="BS61" s="478">
        <f t="shared" si="294"/>
        <v>0</v>
      </c>
      <c r="BT61" s="478">
        <f t="shared" si="294"/>
        <v>0</v>
      </c>
      <c r="BU61" s="478">
        <f t="shared" si="294"/>
        <v>0</v>
      </c>
      <c r="BV61" s="478">
        <f t="shared" si="294"/>
        <v>18</v>
      </c>
      <c r="BW61" s="478">
        <f t="shared" si="294"/>
        <v>0</v>
      </c>
      <c r="BX61" s="478">
        <f t="shared" si="294"/>
        <v>42</v>
      </c>
      <c r="BY61" s="478">
        <f t="shared" si="294"/>
        <v>0</v>
      </c>
      <c r="BZ61" s="478">
        <f t="shared" si="294"/>
        <v>6</v>
      </c>
      <c r="CA61" s="478">
        <f t="shared" si="294"/>
        <v>0</v>
      </c>
      <c r="CB61" s="478">
        <f t="shared" si="294"/>
        <v>0</v>
      </c>
      <c r="CC61" s="478">
        <f t="shared" si="294"/>
        <v>0</v>
      </c>
      <c r="CD61" s="478">
        <f t="shared" si="294"/>
        <v>0</v>
      </c>
      <c r="CE61" s="478">
        <f t="shared" si="294"/>
        <v>0</v>
      </c>
      <c r="CF61" s="478">
        <f t="shared" si="294"/>
        <v>0</v>
      </c>
      <c r="CG61" s="478">
        <f t="shared" si="294"/>
        <v>0</v>
      </c>
      <c r="CH61" s="478">
        <f t="shared" si="294"/>
        <v>0</v>
      </c>
      <c r="CI61" s="478">
        <f t="shared" si="294"/>
        <v>0</v>
      </c>
      <c r="CJ61" s="478">
        <f t="shared" si="294"/>
        <v>0</v>
      </c>
      <c r="CK61" s="478">
        <f t="shared" si="294"/>
        <v>0</v>
      </c>
      <c r="CL61" s="478">
        <f t="shared" si="294"/>
        <v>0</v>
      </c>
      <c r="CM61" s="478">
        <f t="shared" si="294"/>
        <v>0</v>
      </c>
      <c r="CN61" s="478">
        <f t="shared" si="294"/>
        <v>0</v>
      </c>
      <c r="CO61" s="478">
        <f t="shared" si="294"/>
        <v>0</v>
      </c>
      <c r="CP61" s="478">
        <f t="shared" si="294"/>
        <v>0</v>
      </c>
      <c r="CQ61" s="478">
        <f t="shared" si="294"/>
        <v>0</v>
      </c>
      <c r="CR61" s="478">
        <f t="shared" si="294"/>
        <v>0</v>
      </c>
      <c r="CS61" s="478">
        <f t="shared" si="294"/>
        <v>0</v>
      </c>
      <c r="CT61" s="478">
        <f t="shared" si="294"/>
        <v>0</v>
      </c>
      <c r="CU61" s="478">
        <f t="shared" si="294"/>
        <v>0</v>
      </c>
      <c r="CV61" s="478">
        <f t="shared" si="294"/>
        <v>0</v>
      </c>
      <c r="CW61" s="478">
        <f t="shared" si="294"/>
        <v>0</v>
      </c>
      <c r="CX61" s="478">
        <f t="shared" si="294"/>
        <v>0</v>
      </c>
      <c r="CY61" s="478">
        <f t="shared" si="294"/>
        <v>0</v>
      </c>
      <c r="CZ61" s="478">
        <f t="shared" si="294"/>
        <v>0</v>
      </c>
      <c r="DA61" s="478">
        <f t="shared" si="294"/>
        <v>0</v>
      </c>
      <c r="DB61" s="478">
        <f t="shared" si="294"/>
        <v>0</v>
      </c>
      <c r="DC61" s="478">
        <f t="shared" si="294"/>
        <v>0</v>
      </c>
      <c r="DD61" s="478">
        <f t="shared" si="294"/>
        <v>0</v>
      </c>
      <c r="DE61" s="478">
        <f t="shared" si="294"/>
        <v>0</v>
      </c>
      <c r="DF61" s="478">
        <f t="shared" si="294"/>
        <v>0</v>
      </c>
      <c r="DG61" s="478">
        <f t="shared" si="294"/>
        <v>0</v>
      </c>
      <c r="DH61" s="478">
        <f t="shared" si="294"/>
        <v>0</v>
      </c>
      <c r="DI61" s="478">
        <f t="shared" si="294"/>
        <v>0</v>
      </c>
    </row>
    <row r="62" spans="1:113" ht="16.05" customHeight="1" outlineLevel="1" x14ac:dyDescent="0.3">
      <c r="A62" s="455" t="str">
        <f t="shared" si="54"/>
        <v>Imprimir</v>
      </c>
      <c r="B62" s="455"/>
      <c r="C62" s="481"/>
      <c r="D62" s="463" t="s">
        <v>727</v>
      </c>
      <c r="E62" s="482" t="s">
        <v>677</v>
      </c>
      <c r="F62" s="483" t="s">
        <v>678</v>
      </c>
      <c r="G62" s="484">
        <f>0.44*G56</f>
        <v>31.68</v>
      </c>
      <c r="H62" s="485">
        <v>250</v>
      </c>
      <c r="I62" s="466">
        <f t="shared" si="287"/>
        <v>7920</v>
      </c>
      <c r="J62" s="259"/>
      <c r="K62" s="478">
        <f t="shared" si="288"/>
        <v>0</v>
      </c>
      <c r="L62" s="466">
        <f t="shared" si="236"/>
        <v>0</v>
      </c>
      <c r="M62" s="257"/>
      <c r="N62" s="478"/>
      <c r="O62" s="478"/>
      <c r="P62" s="478"/>
      <c r="Q62" s="478"/>
      <c r="R62" s="478"/>
      <c r="S62" s="478"/>
      <c r="T62" s="478"/>
      <c r="U62" s="478"/>
      <c r="V62" s="478"/>
      <c r="W62" s="478"/>
      <c r="X62" s="478"/>
      <c r="Y62" s="478"/>
      <c r="Z62" s="478"/>
      <c r="AA62" s="478"/>
      <c r="AB62" s="478"/>
      <c r="AC62" s="478"/>
      <c r="AD62" s="478"/>
      <c r="AE62" s="478"/>
      <c r="AF62" s="478"/>
      <c r="AG62" s="478"/>
      <c r="AH62" s="478"/>
      <c r="AI62" s="478"/>
      <c r="AJ62" s="478"/>
      <c r="AK62" s="478"/>
      <c r="AL62" s="478"/>
      <c r="AM62" s="478"/>
      <c r="AN62" s="478"/>
      <c r="AO62" s="478"/>
      <c r="AP62" s="478"/>
      <c r="AQ62" s="478"/>
      <c r="AR62" s="478"/>
      <c r="AS62" s="478"/>
      <c r="AT62" s="478"/>
      <c r="AU62" s="478"/>
      <c r="AV62" s="478"/>
      <c r="AW62" s="478"/>
      <c r="AX62" s="478"/>
      <c r="AY62" s="478"/>
      <c r="AZ62" s="478"/>
      <c r="BA62" s="478"/>
      <c r="BB62" s="478"/>
      <c r="BC62" s="478"/>
      <c r="BD62" s="478"/>
      <c r="BE62" s="478"/>
      <c r="BF62" s="478"/>
      <c r="BG62" s="478"/>
      <c r="BH62" s="478"/>
      <c r="BI62" s="478"/>
      <c r="BJ62" s="245"/>
      <c r="BK62" s="477">
        <f t="shared" si="289"/>
        <v>0.91666666666666663</v>
      </c>
      <c r="BL62" s="466">
        <f t="shared" si="290"/>
        <v>7260</v>
      </c>
      <c r="BM62" s="257"/>
      <c r="BN62" s="478">
        <f t="shared" ref="BN62:DI62" si="295">0.44*BN56</f>
        <v>0</v>
      </c>
      <c r="BO62" s="478">
        <f t="shared" si="295"/>
        <v>0</v>
      </c>
      <c r="BP62" s="478">
        <f t="shared" si="295"/>
        <v>0</v>
      </c>
      <c r="BQ62" s="478">
        <f t="shared" si="295"/>
        <v>0</v>
      </c>
      <c r="BR62" s="478">
        <f t="shared" si="295"/>
        <v>0</v>
      </c>
      <c r="BS62" s="478">
        <f t="shared" si="295"/>
        <v>0</v>
      </c>
      <c r="BT62" s="478">
        <f t="shared" si="295"/>
        <v>0</v>
      </c>
      <c r="BU62" s="478">
        <f t="shared" si="295"/>
        <v>0</v>
      </c>
      <c r="BV62" s="478">
        <f t="shared" si="295"/>
        <v>7.92</v>
      </c>
      <c r="BW62" s="478">
        <f t="shared" si="295"/>
        <v>0</v>
      </c>
      <c r="BX62" s="478">
        <f t="shared" si="295"/>
        <v>18.48</v>
      </c>
      <c r="BY62" s="478">
        <f t="shared" si="295"/>
        <v>0</v>
      </c>
      <c r="BZ62" s="478">
        <f t="shared" si="295"/>
        <v>2.64</v>
      </c>
      <c r="CA62" s="478">
        <f t="shared" si="295"/>
        <v>0</v>
      </c>
      <c r="CB62" s="478">
        <f t="shared" si="295"/>
        <v>0</v>
      </c>
      <c r="CC62" s="478">
        <f t="shared" si="295"/>
        <v>0</v>
      </c>
      <c r="CD62" s="478">
        <f t="shared" si="295"/>
        <v>0</v>
      </c>
      <c r="CE62" s="478">
        <f t="shared" si="295"/>
        <v>0</v>
      </c>
      <c r="CF62" s="478">
        <f t="shared" si="295"/>
        <v>0</v>
      </c>
      <c r="CG62" s="478">
        <f t="shared" si="295"/>
        <v>0</v>
      </c>
      <c r="CH62" s="478">
        <f t="shared" si="295"/>
        <v>0</v>
      </c>
      <c r="CI62" s="478">
        <f t="shared" si="295"/>
        <v>0</v>
      </c>
      <c r="CJ62" s="478">
        <f t="shared" si="295"/>
        <v>0</v>
      </c>
      <c r="CK62" s="478">
        <f t="shared" si="295"/>
        <v>0</v>
      </c>
      <c r="CL62" s="478">
        <f t="shared" si="295"/>
        <v>0</v>
      </c>
      <c r="CM62" s="478">
        <f t="shared" si="295"/>
        <v>0</v>
      </c>
      <c r="CN62" s="478">
        <f t="shared" si="295"/>
        <v>0</v>
      </c>
      <c r="CO62" s="478">
        <f t="shared" si="295"/>
        <v>0</v>
      </c>
      <c r="CP62" s="478">
        <f t="shared" si="295"/>
        <v>0</v>
      </c>
      <c r="CQ62" s="478">
        <f t="shared" si="295"/>
        <v>0</v>
      </c>
      <c r="CR62" s="478">
        <f t="shared" si="295"/>
        <v>0</v>
      </c>
      <c r="CS62" s="478">
        <f t="shared" si="295"/>
        <v>0</v>
      </c>
      <c r="CT62" s="478">
        <f t="shared" si="295"/>
        <v>0</v>
      </c>
      <c r="CU62" s="478">
        <f t="shared" si="295"/>
        <v>0</v>
      </c>
      <c r="CV62" s="478">
        <f t="shared" si="295"/>
        <v>0</v>
      </c>
      <c r="CW62" s="478">
        <f t="shared" si="295"/>
        <v>0</v>
      </c>
      <c r="CX62" s="478">
        <f t="shared" si="295"/>
        <v>0</v>
      </c>
      <c r="CY62" s="478">
        <f t="shared" si="295"/>
        <v>0</v>
      </c>
      <c r="CZ62" s="478">
        <f t="shared" si="295"/>
        <v>0</v>
      </c>
      <c r="DA62" s="478">
        <f t="shared" si="295"/>
        <v>0</v>
      </c>
      <c r="DB62" s="478">
        <f t="shared" si="295"/>
        <v>0</v>
      </c>
      <c r="DC62" s="478">
        <f t="shared" si="295"/>
        <v>0</v>
      </c>
      <c r="DD62" s="478">
        <f t="shared" si="295"/>
        <v>0</v>
      </c>
      <c r="DE62" s="478">
        <f t="shared" si="295"/>
        <v>0</v>
      </c>
      <c r="DF62" s="478">
        <f t="shared" si="295"/>
        <v>0</v>
      </c>
      <c r="DG62" s="478">
        <f t="shared" si="295"/>
        <v>0</v>
      </c>
      <c r="DH62" s="478">
        <f t="shared" si="295"/>
        <v>0</v>
      </c>
      <c r="DI62" s="478">
        <f t="shared" si="295"/>
        <v>0</v>
      </c>
    </row>
    <row r="63" spans="1:113" ht="16.05" customHeight="1" outlineLevel="1" x14ac:dyDescent="0.3">
      <c r="A63" s="455" t="str">
        <f t="shared" si="54"/>
        <v>Imprimir</v>
      </c>
      <c r="B63" s="455"/>
      <c r="C63" s="481"/>
      <c r="D63" s="463" t="s">
        <v>728</v>
      </c>
      <c r="E63" s="482" t="s">
        <v>680</v>
      </c>
      <c r="F63" s="483" t="s">
        <v>681</v>
      </c>
      <c r="G63" s="484">
        <f>1*G56</f>
        <v>72</v>
      </c>
      <c r="H63" s="485">
        <v>20361.41</v>
      </c>
      <c r="I63" s="466">
        <f t="shared" si="287"/>
        <v>1466021.52</v>
      </c>
      <c r="J63" s="259"/>
      <c r="K63" s="478">
        <f t="shared" si="288"/>
        <v>0</v>
      </c>
      <c r="L63" s="466">
        <f t="shared" si="236"/>
        <v>0</v>
      </c>
      <c r="M63" s="257"/>
      <c r="N63" s="478"/>
      <c r="O63" s="478"/>
      <c r="P63" s="478"/>
      <c r="Q63" s="478"/>
      <c r="R63" s="478"/>
      <c r="S63" s="478"/>
      <c r="T63" s="478"/>
      <c r="U63" s="478"/>
      <c r="V63" s="478"/>
      <c r="W63" s="478"/>
      <c r="X63" s="478"/>
      <c r="Y63" s="478"/>
      <c r="Z63" s="478"/>
      <c r="AA63" s="478"/>
      <c r="AB63" s="478"/>
      <c r="AC63" s="478"/>
      <c r="AD63" s="478"/>
      <c r="AE63" s="478"/>
      <c r="AF63" s="478"/>
      <c r="AG63" s="478"/>
      <c r="AH63" s="478"/>
      <c r="AI63" s="478"/>
      <c r="AJ63" s="478"/>
      <c r="AK63" s="478"/>
      <c r="AL63" s="478"/>
      <c r="AM63" s="478"/>
      <c r="AN63" s="478"/>
      <c r="AO63" s="478"/>
      <c r="AP63" s="478"/>
      <c r="AQ63" s="478"/>
      <c r="AR63" s="478"/>
      <c r="AS63" s="478"/>
      <c r="AT63" s="478"/>
      <c r="AU63" s="478"/>
      <c r="AV63" s="478"/>
      <c r="AW63" s="478"/>
      <c r="AX63" s="478"/>
      <c r="AY63" s="478"/>
      <c r="AZ63" s="478"/>
      <c r="BA63" s="478"/>
      <c r="BB63" s="478"/>
      <c r="BC63" s="478"/>
      <c r="BD63" s="478"/>
      <c r="BE63" s="478"/>
      <c r="BF63" s="478"/>
      <c r="BG63" s="478"/>
      <c r="BH63" s="478"/>
      <c r="BI63" s="478"/>
      <c r="BJ63" s="245"/>
      <c r="BK63" s="477">
        <f t="shared" si="289"/>
        <v>0.91666666666666674</v>
      </c>
      <c r="BL63" s="466">
        <f t="shared" si="290"/>
        <v>1343853.06</v>
      </c>
      <c r="BM63" s="257"/>
      <c r="BN63" s="478">
        <f t="shared" ref="BN63:DI63" si="296">1*BN56</f>
        <v>0</v>
      </c>
      <c r="BO63" s="478">
        <f t="shared" si="296"/>
        <v>0</v>
      </c>
      <c r="BP63" s="478">
        <f t="shared" si="296"/>
        <v>0</v>
      </c>
      <c r="BQ63" s="478">
        <f t="shared" si="296"/>
        <v>0</v>
      </c>
      <c r="BR63" s="478">
        <f t="shared" si="296"/>
        <v>0</v>
      </c>
      <c r="BS63" s="478">
        <f t="shared" si="296"/>
        <v>0</v>
      </c>
      <c r="BT63" s="478">
        <f t="shared" si="296"/>
        <v>0</v>
      </c>
      <c r="BU63" s="478">
        <f t="shared" si="296"/>
        <v>0</v>
      </c>
      <c r="BV63" s="478">
        <f t="shared" si="296"/>
        <v>18</v>
      </c>
      <c r="BW63" s="478">
        <f t="shared" si="296"/>
        <v>0</v>
      </c>
      <c r="BX63" s="478">
        <f t="shared" si="296"/>
        <v>42</v>
      </c>
      <c r="BY63" s="478">
        <f t="shared" si="296"/>
        <v>0</v>
      </c>
      <c r="BZ63" s="478">
        <f t="shared" si="296"/>
        <v>6</v>
      </c>
      <c r="CA63" s="478">
        <f t="shared" si="296"/>
        <v>0</v>
      </c>
      <c r="CB63" s="478">
        <f t="shared" si="296"/>
        <v>0</v>
      </c>
      <c r="CC63" s="478">
        <f t="shared" si="296"/>
        <v>0</v>
      </c>
      <c r="CD63" s="478">
        <f t="shared" si="296"/>
        <v>0</v>
      </c>
      <c r="CE63" s="478">
        <f t="shared" si="296"/>
        <v>0</v>
      </c>
      <c r="CF63" s="478">
        <f t="shared" si="296"/>
        <v>0</v>
      </c>
      <c r="CG63" s="478">
        <f t="shared" si="296"/>
        <v>0</v>
      </c>
      <c r="CH63" s="478">
        <f t="shared" si="296"/>
        <v>0</v>
      </c>
      <c r="CI63" s="478">
        <f t="shared" si="296"/>
        <v>0</v>
      </c>
      <c r="CJ63" s="478">
        <f t="shared" si="296"/>
        <v>0</v>
      </c>
      <c r="CK63" s="478">
        <f t="shared" si="296"/>
        <v>0</v>
      </c>
      <c r="CL63" s="478">
        <f t="shared" si="296"/>
        <v>0</v>
      </c>
      <c r="CM63" s="478">
        <f t="shared" si="296"/>
        <v>0</v>
      </c>
      <c r="CN63" s="478">
        <f t="shared" si="296"/>
        <v>0</v>
      </c>
      <c r="CO63" s="478">
        <f t="shared" si="296"/>
        <v>0</v>
      </c>
      <c r="CP63" s="478">
        <f t="shared" si="296"/>
        <v>0</v>
      </c>
      <c r="CQ63" s="478">
        <f t="shared" si="296"/>
        <v>0</v>
      </c>
      <c r="CR63" s="478">
        <f t="shared" si="296"/>
        <v>0</v>
      </c>
      <c r="CS63" s="478">
        <f t="shared" si="296"/>
        <v>0</v>
      </c>
      <c r="CT63" s="478">
        <f t="shared" si="296"/>
        <v>0</v>
      </c>
      <c r="CU63" s="478">
        <f t="shared" si="296"/>
        <v>0</v>
      </c>
      <c r="CV63" s="478">
        <f t="shared" si="296"/>
        <v>0</v>
      </c>
      <c r="CW63" s="478">
        <f t="shared" si="296"/>
        <v>0</v>
      </c>
      <c r="CX63" s="478">
        <f t="shared" si="296"/>
        <v>0</v>
      </c>
      <c r="CY63" s="478">
        <f t="shared" si="296"/>
        <v>0</v>
      </c>
      <c r="CZ63" s="478">
        <f t="shared" si="296"/>
        <v>0</v>
      </c>
      <c r="DA63" s="478">
        <f t="shared" si="296"/>
        <v>0</v>
      </c>
      <c r="DB63" s="478">
        <f t="shared" si="296"/>
        <v>0</v>
      </c>
      <c r="DC63" s="478">
        <f t="shared" si="296"/>
        <v>0</v>
      </c>
      <c r="DD63" s="478">
        <f t="shared" si="296"/>
        <v>0</v>
      </c>
      <c r="DE63" s="478">
        <f t="shared" si="296"/>
        <v>0</v>
      </c>
      <c r="DF63" s="478">
        <f t="shared" si="296"/>
        <v>0</v>
      </c>
      <c r="DG63" s="478">
        <f t="shared" si="296"/>
        <v>0</v>
      </c>
      <c r="DH63" s="478">
        <f t="shared" si="296"/>
        <v>0</v>
      </c>
      <c r="DI63" s="478">
        <f t="shared" si="296"/>
        <v>0</v>
      </c>
    </row>
    <row r="64" spans="1:113" ht="16.05" customHeight="1" outlineLevel="1" x14ac:dyDescent="0.3">
      <c r="A64" s="455" t="str">
        <f t="shared" si="54"/>
        <v>Imprimir</v>
      </c>
      <c r="B64" s="455"/>
      <c r="C64" s="481"/>
      <c r="D64" s="463" t="s">
        <v>729</v>
      </c>
      <c r="E64" s="482" t="s">
        <v>683</v>
      </c>
      <c r="F64" s="483" t="s">
        <v>663</v>
      </c>
      <c r="G64" s="484">
        <f>6*G56</f>
        <v>432</v>
      </c>
      <c r="H64" s="485">
        <v>174.88</v>
      </c>
      <c r="I64" s="466">
        <f t="shared" si="287"/>
        <v>75548.160000000003</v>
      </c>
      <c r="J64" s="259"/>
      <c r="K64" s="478">
        <f t="shared" si="288"/>
        <v>0</v>
      </c>
      <c r="L64" s="466">
        <f t="shared" si="236"/>
        <v>0</v>
      </c>
      <c r="M64" s="257"/>
      <c r="N64" s="478"/>
      <c r="O64" s="478"/>
      <c r="P64" s="478"/>
      <c r="Q64" s="478"/>
      <c r="R64" s="478"/>
      <c r="S64" s="478"/>
      <c r="T64" s="478"/>
      <c r="U64" s="478"/>
      <c r="V64" s="478"/>
      <c r="W64" s="478"/>
      <c r="X64" s="478"/>
      <c r="Y64" s="478"/>
      <c r="Z64" s="478"/>
      <c r="AA64" s="478"/>
      <c r="AB64" s="478"/>
      <c r="AC64" s="478"/>
      <c r="AD64" s="478"/>
      <c r="AE64" s="478"/>
      <c r="AF64" s="478"/>
      <c r="AG64" s="478"/>
      <c r="AH64" s="478"/>
      <c r="AI64" s="478"/>
      <c r="AJ64" s="478"/>
      <c r="AK64" s="478"/>
      <c r="AL64" s="478"/>
      <c r="AM64" s="478"/>
      <c r="AN64" s="478"/>
      <c r="AO64" s="478"/>
      <c r="AP64" s="478"/>
      <c r="AQ64" s="478"/>
      <c r="AR64" s="478"/>
      <c r="AS64" s="478"/>
      <c r="AT64" s="478"/>
      <c r="AU64" s="478"/>
      <c r="AV64" s="478"/>
      <c r="AW64" s="478"/>
      <c r="AX64" s="478"/>
      <c r="AY64" s="478"/>
      <c r="AZ64" s="478"/>
      <c r="BA64" s="478"/>
      <c r="BB64" s="478"/>
      <c r="BC64" s="478"/>
      <c r="BD64" s="478"/>
      <c r="BE64" s="478"/>
      <c r="BF64" s="478"/>
      <c r="BG64" s="478"/>
      <c r="BH64" s="478"/>
      <c r="BI64" s="478"/>
      <c r="BJ64" s="245"/>
      <c r="BK64" s="477">
        <f t="shared" si="289"/>
        <v>0.91666666666666652</v>
      </c>
      <c r="BL64" s="466">
        <f t="shared" si="290"/>
        <v>69252.479999999996</v>
      </c>
      <c r="BM64" s="257"/>
      <c r="BN64" s="478">
        <f t="shared" ref="BN64:DI64" si="297">6*BN56</f>
        <v>0</v>
      </c>
      <c r="BO64" s="478">
        <f t="shared" si="297"/>
        <v>0</v>
      </c>
      <c r="BP64" s="478">
        <f t="shared" si="297"/>
        <v>0</v>
      </c>
      <c r="BQ64" s="478">
        <f t="shared" si="297"/>
        <v>0</v>
      </c>
      <c r="BR64" s="478">
        <f t="shared" si="297"/>
        <v>0</v>
      </c>
      <c r="BS64" s="478">
        <f t="shared" si="297"/>
        <v>0</v>
      </c>
      <c r="BT64" s="478">
        <f t="shared" si="297"/>
        <v>0</v>
      </c>
      <c r="BU64" s="478">
        <f t="shared" si="297"/>
        <v>0</v>
      </c>
      <c r="BV64" s="478">
        <f t="shared" si="297"/>
        <v>108</v>
      </c>
      <c r="BW64" s="478">
        <f t="shared" si="297"/>
        <v>0</v>
      </c>
      <c r="BX64" s="478">
        <f t="shared" si="297"/>
        <v>252</v>
      </c>
      <c r="BY64" s="478">
        <f t="shared" si="297"/>
        <v>0</v>
      </c>
      <c r="BZ64" s="478">
        <f t="shared" si="297"/>
        <v>36</v>
      </c>
      <c r="CA64" s="478">
        <f t="shared" si="297"/>
        <v>0</v>
      </c>
      <c r="CB64" s="478">
        <f t="shared" si="297"/>
        <v>0</v>
      </c>
      <c r="CC64" s="478">
        <f t="shared" si="297"/>
        <v>0</v>
      </c>
      <c r="CD64" s="478">
        <f t="shared" si="297"/>
        <v>0</v>
      </c>
      <c r="CE64" s="478">
        <f t="shared" si="297"/>
        <v>0</v>
      </c>
      <c r="CF64" s="478">
        <f t="shared" si="297"/>
        <v>0</v>
      </c>
      <c r="CG64" s="478">
        <f t="shared" si="297"/>
        <v>0</v>
      </c>
      <c r="CH64" s="478">
        <f t="shared" si="297"/>
        <v>0</v>
      </c>
      <c r="CI64" s="478">
        <f t="shared" si="297"/>
        <v>0</v>
      </c>
      <c r="CJ64" s="478">
        <f t="shared" si="297"/>
        <v>0</v>
      </c>
      <c r="CK64" s="478">
        <f t="shared" si="297"/>
        <v>0</v>
      </c>
      <c r="CL64" s="478">
        <f t="shared" si="297"/>
        <v>0</v>
      </c>
      <c r="CM64" s="478">
        <f t="shared" si="297"/>
        <v>0</v>
      </c>
      <c r="CN64" s="478">
        <f t="shared" si="297"/>
        <v>0</v>
      </c>
      <c r="CO64" s="478">
        <f t="shared" si="297"/>
        <v>0</v>
      </c>
      <c r="CP64" s="478">
        <f t="shared" si="297"/>
        <v>0</v>
      </c>
      <c r="CQ64" s="478">
        <f t="shared" si="297"/>
        <v>0</v>
      </c>
      <c r="CR64" s="478">
        <f t="shared" si="297"/>
        <v>0</v>
      </c>
      <c r="CS64" s="478">
        <f t="shared" si="297"/>
        <v>0</v>
      </c>
      <c r="CT64" s="478">
        <f t="shared" si="297"/>
        <v>0</v>
      </c>
      <c r="CU64" s="478">
        <f t="shared" si="297"/>
        <v>0</v>
      </c>
      <c r="CV64" s="478">
        <f t="shared" si="297"/>
        <v>0</v>
      </c>
      <c r="CW64" s="478">
        <f t="shared" si="297"/>
        <v>0</v>
      </c>
      <c r="CX64" s="478">
        <f t="shared" si="297"/>
        <v>0</v>
      </c>
      <c r="CY64" s="478">
        <f t="shared" si="297"/>
        <v>0</v>
      </c>
      <c r="CZ64" s="478">
        <f t="shared" si="297"/>
        <v>0</v>
      </c>
      <c r="DA64" s="478">
        <f t="shared" si="297"/>
        <v>0</v>
      </c>
      <c r="DB64" s="478">
        <f t="shared" si="297"/>
        <v>0</v>
      </c>
      <c r="DC64" s="478">
        <f t="shared" si="297"/>
        <v>0</v>
      </c>
      <c r="DD64" s="478">
        <f t="shared" si="297"/>
        <v>0</v>
      </c>
      <c r="DE64" s="478">
        <f t="shared" si="297"/>
        <v>0</v>
      </c>
      <c r="DF64" s="478">
        <f t="shared" si="297"/>
        <v>0</v>
      </c>
      <c r="DG64" s="478">
        <f t="shared" si="297"/>
        <v>0</v>
      </c>
      <c r="DH64" s="478">
        <f t="shared" si="297"/>
        <v>0</v>
      </c>
      <c r="DI64" s="478">
        <f t="shared" si="297"/>
        <v>0</v>
      </c>
    </row>
    <row r="65" spans="1:113" ht="16.05" customHeight="1" outlineLevel="1" x14ac:dyDescent="0.3">
      <c r="A65" s="455" t="str">
        <f t="shared" si="54"/>
        <v>Imprimir</v>
      </c>
      <c r="B65" s="455"/>
      <c r="C65" s="481"/>
      <c r="D65" s="463" t="s">
        <v>730</v>
      </c>
      <c r="E65" s="482" t="s">
        <v>685</v>
      </c>
      <c r="F65" s="483" t="s">
        <v>663</v>
      </c>
      <c r="G65" s="484">
        <f>2*G56</f>
        <v>144</v>
      </c>
      <c r="H65" s="485">
        <v>162.32</v>
      </c>
      <c r="I65" s="466">
        <f t="shared" si="287"/>
        <v>23374.079999999998</v>
      </c>
      <c r="J65" s="259"/>
      <c r="K65" s="478">
        <f t="shared" si="288"/>
        <v>0</v>
      </c>
      <c r="L65" s="466">
        <f t="shared" si="236"/>
        <v>0</v>
      </c>
      <c r="M65" s="257"/>
      <c r="N65" s="478"/>
      <c r="O65" s="478"/>
      <c r="P65" s="478"/>
      <c r="Q65" s="478"/>
      <c r="R65" s="478"/>
      <c r="S65" s="478"/>
      <c r="T65" s="478"/>
      <c r="U65" s="478"/>
      <c r="V65" s="478"/>
      <c r="W65" s="478"/>
      <c r="X65" s="478"/>
      <c r="Y65" s="478"/>
      <c r="Z65" s="478"/>
      <c r="AA65" s="478"/>
      <c r="AB65" s="478"/>
      <c r="AC65" s="478"/>
      <c r="AD65" s="478"/>
      <c r="AE65" s="478"/>
      <c r="AF65" s="478"/>
      <c r="AG65" s="478"/>
      <c r="AH65" s="478"/>
      <c r="AI65" s="478"/>
      <c r="AJ65" s="478"/>
      <c r="AK65" s="478"/>
      <c r="AL65" s="478"/>
      <c r="AM65" s="478"/>
      <c r="AN65" s="478"/>
      <c r="AO65" s="478"/>
      <c r="AP65" s="478"/>
      <c r="AQ65" s="478"/>
      <c r="AR65" s="478"/>
      <c r="AS65" s="478"/>
      <c r="AT65" s="478"/>
      <c r="AU65" s="478"/>
      <c r="AV65" s="478"/>
      <c r="AW65" s="478"/>
      <c r="AX65" s="478"/>
      <c r="AY65" s="478"/>
      <c r="AZ65" s="478"/>
      <c r="BA65" s="478"/>
      <c r="BB65" s="478"/>
      <c r="BC65" s="478"/>
      <c r="BD65" s="478"/>
      <c r="BE65" s="478"/>
      <c r="BF65" s="478"/>
      <c r="BG65" s="478"/>
      <c r="BH65" s="478"/>
      <c r="BI65" s="478"/>
      <c r="BJ65" s="245"/>
      <c r="BK65" s="477">
        <f t="shared" si="289"/>
        <v>0.91666666666666663</v>
      </c>
      <c r="BL65" s="466">
        <f t="shared" si="290"/>
        <v>21426.239999999998</v>
      </c>
      <c r="BM65" s="257"/>
      <c r="BN65" s="478">
        <f t="shared" ref="BN65:DI65" si="298">2*BN56</f>
        <v>0</v>
      </c>
      <c r="BO65" s="478">
        <f t="shared" si="298"/>
        <v>0</v>
      </c>
      <c r="BP65" s="478">
        <f t="shared" si="298"/>
        <v>0</v>
      </c>
      <c r="BQ65" s="478">
        <f t="shared" si="298"/>
        <v>0</v>
      </c>
      <c r="BR65" s="478">
        <f t="shared" si="298"/>
        <v>0</v>
      </c>
      <c r="BS65" s="478">
        <f t="shared" si="298"/>
        <v>0</v>
      </c>
      <c r="BT65" s="478">
        <f t="shared" si="298"/>
        <v>0</v>
      </c>
      <c r="BU65" s="478">
        <f t="shared" si="298"/>
        <v>0</v>
      </c>
      <c r="BV65" s="478">
        <f t="shared" si="298"/>
        <v>36</v>
      </c>
      <c r="BW65" s="478">
        <f t="shared" si="298"/>
        <v>0</v>
      </c>
      <c r="BX65" s="478">
        <f t="shared" si="298"/>
        <v>84</v>
      </c>
      <c r="BY65" s="478">
        <f t="shared" si="298"/>
        <v>0</v>
      </c>
      <c r="BZ65" s="478">
        <f t="shared" si="298"/>
        <v>12</v>
      </c>
      <c r="CA65" s="478">
        <f t="shared" si="298"/>
        <v>0</v>
      </c>
      <c r="CB65" s="478">
        <f t="shared" si="298"/>
        <v>0</v>
      </c>
      <c r="CC65" s="478">
        <f t="shared" si="298"/>
        <v>0</v>
      </c>
      <c r="CD65" s="478">
        <f t="shared" si="298"/>
        <v>0</v>
      </c>
      <c r="CE65" s="478">
        <f t="shared" si="298"/>
        <v>0</v>
      </c>
      <c r="CF65" s="478">
        <f t="shared" si="298"/>
        <v>0</v>
      </c>
      <c r="CG65" s="478">
        <f t="shared" si="298"/>
        <v>0</v>
      </c>
      <c r="CH65" s="478">
        <f t="shared" si="298"/>
        <v>0</v>
      </c>
      <c r="CI65" s="478">
        <f t="shared" si="298"/>
        <v>0</v>
      </c>
      <c r="CJ65" s="478">
        <f t="shared" si="298"/>
        <v>0</v>
      </c>
      <c r="CK65" s="478">
        <f t="shared" si="298"/>
        <v>0</v>
      </c>
      <c r="CL65" s="478">
        <f t="shared" si="298"/>
        <v>0</v>
      </c>
      <c r="CM65" s="478">
        <f t="shared" si="298"/>
        <v>0</v>
      </c>
      <c r="CN65" s="478">
        <f t="shared" si="298"/>
        <v>0</v>
      </c>
      <c r="CO65" s="478">
        <f t="shared" si="298"/>
        <v>0</v>
      </c>
      <c r="CP65" s="478">
        <f t="shared" si="298"/>
        <v>0</v>
      </c>
      <c r="CQ65" s="478">
        <f t="shared" si="298"/>
        <v>0</v>
      </c>
      <c r="CR65" s="478">
        <f t="shared" si="298"/>
        <v>0</v>
      </c>
      <c r="CS65" s="478">
        <f t="shared" si="298"/>
        <v>0</v>
      </c>
      <c r="CT65" s="478">
        <f t="shared" si="298"/>
        <v>0</v>
      </c>
      <c r="CU65" s="478">
        <f t="shared" si="298"/>
        <v>0</v>
      </c>
      <c r="CV65" s="478">
        <f t="shared" si="298"/>
        <v>0</v>
      </c>
      <c r="CW65" s="478">
        <f t="shared" si="298"/>
        <v>0</v>
      </c>
      <c r="CX65" s="478">
        <f t="shared" si="298"/>
        <v>0</v>
      </c>
      <c r="CY65" s="478">
        <f t="shared" si="298"/>
        <v>0</v>
      </c>
      <c r="CZ65" s="478">
        <f t="shared" si="298"/>
        <v>0</v>
      </c>
      <c r="DA65" s="478">
        <f t="shared" si="298"/>
        <v>0</v>
      </c>
      <c r="DB65" s="478">
        <f t="shared" si="298"/>
        <v>0</v>
      </c>
      <c r="DC65" s="478">
        <f t="shared" si="298"/>
        <v>0</v>
      </c>
      <c r="DD65" s="478">
        <f t="shared" si="298"/>
        <v>0</v>
      </c>
      <c r="DE65" s="478">
        <f t="shared" si="298"/>
        <v>0</v>
      </c>
      <c r="DF65" s="478">
        <f t="shared" si="298"/>
        <v>0</v>
      </c>
      <c r="DG65" s="478">
        <f t="shared" si="298"/>
        <v>0</v>
      </c>
      <c r="DH65" s="478">
        <f t="shared" si="298"/>
        <v>0</v>
      </c>
      <c r="DI65" s="478">
        <f t="shared" si="298"/>
        <v>0</v>
      </c>
    </row>
    <row r="66" spans="1:113" ht="16.05" customHeight="1" outlineLevel="1" x14ac:dyDescent="0.3">
      <c r="A66" s="455" t="str">
        <f t="shared" si="54"/>
        <v>Imprimir</v>
      </c>
      <c r="B66" s="455"/>
      <c r="C66" s="481"/>
      <c r="D66" s="463" t="s">
        <v>731</v>
      </c>
      <c r="E66" s="482" t="s">
        <v>687</v>
      </c>
      <c r="F66" s="483" t="s">
        <v>663</v>
      </c>
      <c r="G66" s="484">
        <f>1*G56</f>
        <v>72</v>
      </c>
      <c r="H66" s="485">
        <v>1255.3599999999999</v>
      </c>
      <c r="I66" s="466">
        <f t="shared" si="287"/>
        <v>90385.919999999998</v>
      </c>
      <c r="J66" s="259"/>
      <c r="K66" s="478">
        <f t="shared" si="288"/>
        <v>0</v>
      </c>
      <c r="L66" s="466">
        <f t="shared" si="236"/>
        <v>0</v>
      </c>
      <c r="M66" s="257"/>
      <c r="N66" s="478"/>
      <c r="O66" s="478"/>
      <c r="P66" s="478"/>
      <c r="Q66" s="478"/>
      <c r="R66" s="478"/>
      <c r="S66" s="478"/>
      <c r="T66" s="478"/>
      <c r="U66" s="478"/>
      <c r="V66" s="478"/>
      <c r="W66" s="478"/>
      <c r="X66" s="478"/>
      <c r="Y66" s="478"/>
      <c r="Z66" s="478"/>
      <c r="AA66" s="478"/>
      <c r="AB66" s="478"/>
      <c r="AC66" s="478"/>
      <c r="AD66" s="478"/>
      <c r="AE66" s="478"/>
      <c r="AF66" s="478"/>
      <c r="AG66" s="478"/>
      <c r="AH66" s="478"/>
      <c r="AI66" s="478"/>
      <c r="AJ66" s="478"/>
      <c r="AK66" s="478"/>
      <c r="AL66" s="478"/>
      <c r="AM66" s="478"/>
      <c r="AN66" s="478"/>
      <c r="AO66" s="478"/>
      <c r="AP66" s="478"/>
      <c r="AQ66" s="478"/>
      <c r="AR66" s="478"/>
      <c r="AS66" s="478"/>
      <c r="AT66" s="478"/>
      <c r="AU66" s="478"/>
      <c r="AV66" s="478"/>
      <c r="AW66" s="478"/>
      <c r="AX66" s="478"/>
      <c r="AY66" s="478"/>
      <c r="AZ66" s="478"/>
      <c r="BA66" s="478"/>
      <c r="BB66" s="478"/>
      <c r="BC66" s="478"/>
      <c r="BD66" s="478"/>
      <c r="BE66" s="478"/>
      <c r="BF66" s="478"/>
      <c r="BG66" s="478"/>
      <c r="BH66" s="478"/>
      <c r="BI66" s="478"/>
      <c r="BJ66" s="245"/>
      <c r="BK66" s="477">
        <f t="shared" si="289"/>
        <v>0.91666666666666663</v>
      </c>
      <c r="BL66" s="466">
        <f t="shared" si="290"/>
        <v>82853.759999999995</v>
      </c>
      <c r="BM66" s="257"/>
      <c r="BN66" s="478">
        <f t="shared" ref="BN66:DI66" si="299">1*BN56</f>
        <v>0</v>
      </c>
      <c r="BO66" s="478">
        <f t="shared" si="299"/>
        <v>0</v>
      </c>
      <c r="BP66" s="478">
        <f t="shared" si="299"/>
        <v>0</v>
      </c>
      <c r="BQ66" s="478">
        <f t="shared" si="299"/>
        <v>0</v>
      </c>
      <c r="BR66" s="478">
        <f t="shared" si="299"/>
        <v>0</v>
      </c>
      <c r="BS66" s="478">
        <f t="shared" si="299"/>
        <v>0</v>
      </c>
      <c r="BT66" s="478">
        <f t="shared" si="299"/>
        <v>0</v>
      </c>
      <c r="BU66" s="478">
        <f t="shared" si="299"/>
        <v>0</v>
      </c>
      <c r="BV66" s="478">
        <f t="shared" si="299"/>
        <v>18</v>
      </c>
      <c r="BW66" s="478">
        <f t="shared" si="299"/>
        <v>0</v>
      </c>
      <c r="BX66" s="478">
        <f t="shared" si="299"/>
        <v>42</v>
      </c>
      <c r="BY66" s="478">
        <f t="shared" si="299"/>
        <v>0</v>
      </c>
      <c r="BZ66" s="478">
        <f t="shared" si="299"/>
        <v>6</v>
      </c>
      <c r="CA66" s="478">
        <f t="shared" si="299"/>
        <v>0</v>
      </c>
      <c r="CB66" s="478">
        <f t="shared" si="299"/>
        <v>0</v>
      </c>
      <c r="CC66" s="478">
        <f t="shared" si="299"/>
        <v>0</v>
      </c>
      <c r="CD66" s="478">
        <f t="shared" si="299"/>
        <v>0</v>
      </c>
      <c r="CE66" s="478">
        <f t="shared" si="299"/>
        <v>0</v>
      </c>
      <c r="CF66" s="478">
        <f t="shared" si="299"/>
        <v>0</v>
      </c>
      <c r="CG66" s="478">
        <f t="shared" si="299"/>
        <v>0</v>
      </c>
      <c r="CH66" s="478">
        <f t="shared" si="299"/>
        <v>0</v>
      </c>
      <c r="CI66" s="478">
        <f t="shared" si="299"/>
        <v>0</v>
      </c>
      <c r="CJ66" s="478">
        <f t="shared" si="299"/>
        <v>0</v>
      </c>
      <c r="CK66" s="478">
        <f t="shared" si="299"/>
        <v>0</v>
      </c>
      <c r="CL66" s="478">
        <f t="shared" si="299"/>
        <v>0</v>
      </c>
      <c r="CM66" s="478">
        <f t="shared" si="299"/>
        <v>0</v>
      </c>
      <c r="CN66" s="478">
        <f t="shared" si="299"/>
        <v>0</v>
      </c>
      <c r="CO66" s="478">
        <f t="shared" si="299"/>
        <v>0</v>
      </c>
      <c r="CP66" s="478">
        <f t="shared" si="299"/>
        <v>0</v>
      </c>
      <c r="CQ66" s="478">
        <f t="shared" si="299"/>
        <v>0</v>
      </c>
      <c r="CR66" s="478">
        <f t="shared" si="299"/>
        <v>0</v>
      </c>
      <c r="CS66" s="478">
        <f t="shared" si="299"/>
        <v>0</v>
      </c>
      <c r="CT66" s="478">
        <f t="shared" si="299"/>
        <v>0</v>
      </c>
      <c r="CU66" s="478">
        <f t="shared" si="299"/>
        <v>0</v>
      </c>
      <c r="CV66" s="478">
        <f t="shared" si="299"/>
        <v>0</v>
      </c>
      <c r="CW66" s="478">
        <f t="shared" si="299"/>
        <v>0</v>
      </c>
      <c r="CX66" s="478">
        <f t="shared" si="299"/>
        <v>0</v>
      </c>
      <c r="CY66" s="478">
        <f t="shared" si="299"/>
        <v>0</v>
      </c>
      <c r="CZ66" s="478">
        <f t="shared" si="299"/>
        <v>0</v>
      </c>
      <c r="DA66" s="478">
        <f t="shared" si="299"/>
        <v>0</v>
      </c>
      <c r="DB66" s="478">
        <f t="shared" si="299"/>
        <v>0</v>
      </c>
      <c r="DC66" s="478">
        <f t="shared" si="299"/>
        <v>0</v>
      </c>
      <c r="DD66" s="478">
        <f t="shared" si="299"/>
        <v>0</v>
      </c>
      <c r="DE66" s="478">
        <f t="shared" si="299"/>
        <v>0</v>
      </c>
      <c r="DF66" s="478">
        <f t="shared" si="299"/>
        <v>0</v>
      </c>
      <c r="DG66" s="478">
        <f t="shared" si="299"/>
        <v>0</v>
      </c>
      <c r="DH66" s="478">
        <f t="shared" si="299"/>
        <v>0</v>
      </c>
      <c r="DI66" s="478">
        <f t="shared" si="299"/>
        <v>0</v>
      </c>
    </row>
    <row r="67" spans="1:113" ht="16.05" hidden="1" customHeight="1" outlineLevel="1" x14ac:dyDescent="0.3">
      <c r="A67" s="455" t="str">
        <f t="shared" si="54"/>
        <v/>
      </c>
      <c r="B67" s="455"/>
      <c r="C67" s="481"/>
      <c r="D67" s="463" t="s">
        <v>732</v>
      </c>
      <c r="E67" s="482"/>
      <c r="F67" s="483"/>
      <c r="G67" s="484"/>
      <c r="H67" s="485"/>
      <c r="I67" s="466">
        <f t="shared" si="287"/>
        <v>0</v>
      </c>
      <c r="J67" s="259"/>
      <c r="K67" s="478">
        <f t="shared" si="288"/>
        <v>0</v>
      </c>
      <c r="L67" s="466">
        <f t="shared" si="236"/>
        <v>0</v>
      </c>
      <c r="M67" s="257"/>
      <c r="N67" s="478"/>
      <c r="O67" s="478"/>
      <c r="P67" s="478"/>
      <c r="Q67" s="478"/>
      <c r="R67" s="478"/>
      <c r="S67" s="478"/>
      <c r="T67" s="478"/>
      <c r="U67" s="478"/>
      <c r="V67" s="478"/>
      <c r="W67" s="478"/>
      <c r="X67" s="478"/>
      <c r="Y67" s="478"/>
      <c r="Z67" s="478"/>
      <c r="AA67" s="478"/>
      <c r="AB67" s="478"/>
      <c r="AC67" s="478"/>
      <c r="AD67" s="478"/>
      <c r="AE67" s="478"/>
      <c r="AF67" s="478"/>
      <c r="AG67" s="478"/>
      <c r="AH67" s="478"/>
      <c r="AI67" s="478"/>
      <c r="AJ67" s="478"/>
      <c r="AK67" s="478"/>
      <c r="AL67" s="478"/>
      <c r="AM67" s="478"/>
      <c r="AN67" s="478"/>
      <c r="AO67" s="478"/>
      <c r="AP67" s="478"/>
      <c r="AQ67" s="478"/>
      <c r="AR67" s="478"/>
      <c r="AS67" s="478"/>
      <c r="AT67" s="478"/>
      <c r="AU67" s="478"/>
      <c r="AV67" s="478"/>
      <c r="AW67" s="478"/>
      <c r="AX67" s="478"/>
      <c r="AY67" s="478"/>
      <c r="AZ67" s="478"/>
      <c r="BA67" s="478"/>
      <c r="BB67" s="478"/>
      <c r="BC67" s="478"/>
      <c r="BD67" s="478"/>
      <c r="BE67" s="478"/>
      <c r="BF67" s="478"/>
      <c r="BG67" s="478"/>
      <c r="BH67" s="478"/>
      <c r="BI67" s="478"/>
      <c r="BJ67" s="245"/>
      <c r="BK67" s="477">
        <f t="shared" si="289"/>
        <v>0</v>
      </c>
      <c r="BL67" s="466">
        <f t="shared" si="290"/>
        <v>0</v>
      </c>
      <c r="BM67" s="257"/>
      <c r="BN67" s="478"/>
      <c r="BO67" s="478"/>
      <c r="BP67" s="478"/>
      <c r="BQ67" s="478"/>
      <c r="BR67" s="478"/>
      <c r="BS67" s="478"/>
      <c r="BT67" s="478"/>
      <c r="BU67" s="478"/>
      <c r="BV67" s="478"/>
      <c r="BW67" s="478"/>
      <c r="BX67" s="478"/>
      <c r="BY67" s="478"/>
      <c r="BZ67" s="478"/>
      <c r="CA67" s="478"/>
      <c r="CB67" s="478"/>
      <c r="CC67" s="478"/>
      <c r="CD67" s="478"/>
      <c r="CE67" s="478"/>
      <c r="CF67" s="478"/>
      <c r="CG67" s="478"/>
      <c r="CH67" s="478"/>
      <c r="CI67" s="478"/>
      <c r="CJ67" s="478"/>
      <c r="CK67" s="478"/>
      <c r="CL67" s="478"/>
      <c r="CM67" s="478"/>
      <c r="CN67" s="478"/>
      <c r="CO67" s="478"/>
      <c r="CP67" s="478"/>
      <c r="CQ67" s="478"/>
      <c r="CR67" s="478"/>
      <c r="CS67" s="478"/>
      <c r="CT67" s="478"/>
      <c r="CU67" s="478"/>
      <c r="CV67" s="478"/>
      <c r="CW67" s="478"/>
      <c r="CX67" s="478"/>
      <c r="CY67" s="478"/>
      <c r="CZ67" s="478"/>
      <c r="DA67" s="478"/>
      <c r="DB67" s="478"/>
      <c r="DC67" s="478"/>
      <c r="DD67" s="478"/>
      <c r="DE67" s="478"/>
      <c r="DF67" s="478"/>
      <c r="DG67" s="478"/>
      <c r="DH67" s="478"/>
      <c r="DI67" s="478"/>
    </row>
    <row r="68" spans="1:113" ht="16.05" hidden="1" customHeight="1" outlineLevel="1" x14ac:dyDescent="0.3">
      <c r="A68" s="455" t="str">
        <f t="shared" si="54"/>
        <v/>
      </c>
      <c r="B68" s="455"/>
      <c r="C68" s="481"/>
      <c r="D68" s="463" t="s">
        <v>733</v>
      </c>
      <c r="E68" s="482"/>
      <c r="F68" s="483"/>
      <c r="G68" s="484"/>
      <c r="H68" s="485"/>
      <c r="I68" s="466">
        <f t="shared" si="287"/>
        <v>0</v>
      </c>
      <c r="J68" s="259"/>
      <c r="K68" s="478">
        <f t="shared" si="288"/>
        <v>0</v>
      </c>
      <c r="L68" s="466">
        <f t="shared" si="236"/>
        <v>0</v>
      </c>
      <c r="M68" s="257"/>
      <c r="N68" s="478"/>
      <c r="O68" s="478"/>
      <c r="P68" s="478"/>
      <c r="Q68" s="478"/>
      <c r="R68" s="478"/>
      <c r="S68" s="478"/>
      <c r="T68" s="478"/>
      <c r="U68" s="478"/>
      <c r="V68" s="478"/>
      <c r="W68" s="478"/>
      <c r="X68" s="478"/>
      <c r="Y68" s="478"/>
      <c r="Z68" s="478"/>
      <c r="AA68" s="478"/>
      <c r="AB68" s="478"/>
      <c r="AC68" s="478"/>
      <c r="AD68" s="478"/>
      <c r="AE68" s="478"/>
      <c r="AF68" s="478"/>
      <c r="AG68" s="478"/>
      <c r="AH68" s="478"/>
      <c r="AI68" s="478"/>
      <c r="AJ68" s="478"/>
      <c r="AK68" s="478"/>
      <c r="AL68" s="478"/>
      <c r="AM68" s="478"/>
      <c r="AN68" s="478"/>
      <c r="AO68" s="478"/>
      <c r="AP68" s="478"/>
      <c r="AQ68" s="478"/>
      <c r="AR68" s="478"/>
      <c r="AS68" s="478"/>
      <c r="AT68" s="478"/>
      <c r="AU68" s="478"/>
      <c r="AV68" s="478"/>
      <c r="AW68" s="478"/>
      <c r="AX68" s="478"/>
      <c r="AY68" s="478"/>
      <c r="AZ68" s="478"/>
      <c r="BA68" s="478"/>
      <c r="BB68" s="478"/>
      <c r="BC68" s="478"/>
      <c r="BD68" s="478"/>
      <c r="BE68" s="478"/>
      <c r="BF68" s="478"/>
      <c r="BG68" s="478"/>
      <c r="BH68" s="478"/>
      <c r="BI68" s="478"/>
      <c r="BJ68" s="245"/>
      <c r="BK68" s="477">
        <f t="shared" si="289"/>
        <v>0</v>
      </c>
      <c r="BL68" s="466">
        <f t="shared" si="290"/>
        <v>0</v>
      </c>
      <c r="BM68" s="257"/>
      <c r="BN68" s="478"/>
      <c r="BO68" s="478"/>
      <c r="BP68" s="478"/>
      <c r="BQ68" s="478"/>
      <c r="BR68" s="478"/>
      <c r="BS68" s="478"/>
      <c r="BT68" s="478"/>
      <c r="BU68" s="478"/>
      <c r="BV68" s="478"/>
      <c r="BW68" s="478"/>
      <c r="BX68" s="478"/>
      <c r="BY68" s="478"/>
      <c r="BZ68" s="478"/>
      <c r="CA68" s="478"/>
      <c r="CB68" s="478"/>
      <c r="CC68" s="478"/>
      <c r="CD68" s="478"/>
      <c r="CE68" s="478"/>
      <c r="CF68" s="478"/>
      <c r="CG68" s="478"/>
      <c r="CH68" s="478"/>
      <c r="CI68" s="478"/>
      <c r="CJ68" s="478"/>
      <c r="CK68" s="478"/>
      <c r="CL68" s="478"/>
      <c r="CM68" s="478"/>
      <c r="CN68" s="478"/>
      <c r="CO68" s="478"/>
      <c r="CP68" s="478"/>
      <c r="CQ68" s="478"/>
      <c r="CR68" s="478"/>
      <c r="CS68" s="478"/>
      <c r="CT68" s="478"/>
      <c r="CU68" s="478"/>
      <c r="CV68" s="478"/>
      <c r="CW68" s="478"/>
      <c r="CX68" s="478"/>
      <c r="CY68" s="478"/>
      <c r="CZ68" s="478"/>
      <c r="DA68" s="478"/>
      <c r="DB68" s="478"/>
      <c r="DC68" s="478"/>
      <c r="DD68" s="478"/>
      <c r="DE68" s="478"/>
      <c r="DF68" s="478"/>
      <c r="DG68" s="478"/>
      <c r="DH68" s="478"/>
      <c r="DI68" s="478"/>
    </row>
    <row r="69" spans="1:113" ht="16.05" hidden="1" customHeight="1" outlineLevel="1" x14ac:dyDescent="0.3">
      <c r="A69" s="455" t="str">
        <f t="shared" si="54"/>
        <v/>
      </c>
      <c r="B69" s="455"/>
      <c r="C69" s="481"/>
      <c r="D69" s="463" t="s">
        <v>734</v>
      </c>
      <c r="E69" s="482"/>
      <c r="F69" s="483"/>
      <c r="G69" s="484"/>
      <c r="H69" s="485"/>
      <c r="I69" s="466">
        <f t="shared" si="287"/>
        <v>0</v>
      </c>
      <c r="J69" s="259"/>
      <c r="K69" s="478">
        <f t="shared" si="288"/>
        <v>0</v>
      </c>
      <c r="L69" s="466">
        <f t="shared" si="236"/>
        <v>0</v>
      </c>
      <c r="M69" s="257"/>
      <c r="N69" s="478"/>
      <c r="O69" s="478"/>
      <c r="P69" s="478"/>
      <c r="Q69" s="478"/>
      <c r="R69" s="478"/>
      <c r="S69" s="478"/>
      <c r="T69" s="478"/>
      <c r="U69" s="478"/>
      <c r="V69" s="478"/>
      <c r="W69" s="478"/>
      <c r="X69" s="478"/>
      <c r="Y69" s="478"/>
      <c r="Z69" s="478"/>
      <c r="AA69" s="478"/>
      <c r="AB69" s="478"/>
      <c r="AC69" s="478"/>
      <c r="AD69" s="478"/>
      <c r="AE69" s="478"/>
      <c r="AF69" s="478"/>
      <c r="AG69" s="478"/>
      <c r="AH69" s="478"/>
      <c r="AI69" s="478"/>
      <c r="AJ69" s="478"/>
      <c r="AK69" s="478"/>
      <c r="AL69" s="478"/>
      <c r="AM69" s="478"/>
      <c r="AN69" s="478"/>
      <c r="AO69" s="478"/>
      <c r="AP69" s="478"/>
      <c r="AQ69" s="478"/>
      <c r="AR69" s="478"/>
      <c r="AS69" s="478"/>
      <c r="AT69" s="478"/>
      <c r="AU69" s="478"/>
      <c r="AV69" s="478"/>
      <c r="AW69" s="478"/>
      <c r="AX69" s="478"/>
      <c r="AY69" s="478"/>
      <c r="AZ69" s="478"/>
      <c r="BA69" s="478"/>
      <c r="BB69" s="478"/>
      <c r="BC69" s="478"/>
      <c r="BD69" s="478"/>
      <c r="BE69" s="478"/>
      <c r="BF69" s="478"/>
      <c r="BG69" s="478"/>
      <c r="BH69" s="478"/>
      <c r="BI69" s="478"/>
      <c r="BJ69" s="245"/>
      <c r="BK69" s="477">
        <f t="shared" si="289"/>
        <v>0</v>
      </c>
      <c r="BL69" s="466">
        <f t="shared" si="290"/>
        <v>0</v>
      </c>
      <c r="BM69" s="257"/>
      <c r="BN69" s="478"/>
      <c r="BO69" s="478"/>
      <c r="BP69" s="478"/>
      <c r="BQ69" s="478"/>
      <c r="BR69" s="478"/>
      <c r="BS69" s="478"/>
      <c r="BT69" s="478"/>
      <c r="BU69" s="478"/>
      <c r="BV69" s="478"/>
      <c r="BW69" s="478"/>
      <c r="BX69" s="478"/>
      <c r="BY69" s="478"/>
      <c r="BZ69" s="478"/>
      <c r="CA69" s="478"/>
      <c r="CB69" s="478"/>
      <c r="CC69" s="478"/>
      <c r="CD69" s="478"/>
      <c r="CE69" s="478"/>
      <c r="CF69" s="478"/>
      <c r="CG69" s="478"/>
      <c r="CH69" s="478"/>
      <c r="CI69" s="478"/>
      <c r="CJ69" s="478"/>
      <c r="CK69" s="478"/>
      <c r="CL69" s="478"/>
      <c r="CM69" s="478"/>
      <c r="CN69" s="478"/>
      <c r="CO69" s="478"/>
      <c r="CP69" s="478"/>
      <c r="CQ69" s="478"/>
      <c r="CR69" s="478"/>
      <c r="CS69" s="478"/>
      <c r="CT69" s="478"/>
      <c r="CU69" s="478"/>
      <c r="CV69" s="478"/>
      <c r="CW69" s="478"/>
      <c r="CX69" s="478"/>
      <c r="CY69" s="478"/>
      <c r="CZ69" s="478"/>
      <c r="DA69" s="478"/>
      <c r="DB69" s="478"/>
      <c r="DC69" s="478"/>
      <c r="DD69" s="478"/>
      <c r="DE69" s="478"/>
      <c r="DF69" s="478"/>
      <c r="DG69" s="478"/>
      <c r="DH69" s="478"/>
      <c r="DI69" s="478"/>
    </row>
    <row r="70" spans="1:113" ht="16.05" hidden="1" customHeight="1" outlineLevel="1" x14ac:dyDescent="0.3">
      <c r="A70" s="455" t="str">
        <f t="shared" si="54"/>
        <v/>
      </c>
      <c r="B70" s="455"/>
      <c r="C70" s="481"/>
      <c r="D70" s="463" t="s">
        <v>735</v>
      </c>
      <c r="E70" s="482"/>
      <c r="F70" s="483"/>
      <c r="G70" s="484"/>
      <c r="H70" s="485"/>
      <c r="I70" s="466">
        <f t="shared" si="287"/>
        <v>0</v>
      </c>
      <c r="J70" s="259"/>
      <c r="K70" s="478">
        <f t="shared" si="288"/>
        <v>0</v>
      </c>
      <c r="L70" s="466">
        <f t="shared" si="236"/>
        <v>0</v>
      </c>
      <c r="M70" s="257"/>
      <c r="N70" s="478"/>
      <c r="O70" s="478"/>
      <c r="P70" s="478"/>
      <c r="Q70" s="478"/>
      <c r="R70" s="478"/>
      <c r="S70" s="478"/>
      <c r="T70" s="478"/>
      <c r="U70" s="478"/>
      <c r="V70" s="478"/>
      <c r="W70" s="478"/>
      <c r="X70" s="478"/>
      <c r="Y70" s="478"/>
      <c r="Z70" s="478"/>
      <c r="AA70" s="478"/>
      <c r="AB70" s="478"/>
      <c r="AC70" s="478"/>
      <c r="AD70" s="478"/>
      <c r="AE70" s="478"/>
      <c r="AF70" s="478"/>
      <c r="AG70" s="478"/>
      <c r="AH70" s="478"/>
      <c r="AI70" s="478"/>
      <c r="AJ70" s="478"/>
      <c r="AK70" s="478"/>
      <c r="AL70" s="478"/>
      <c r="AM70" s="478"/>
      <c r="AN70" s="478"/>
      <c r="AO70" s="478"/>
      <c r="AP70" s="478"/>
      <c r="AQ70" s="478"/>
      <c r="AR70" s="478"/>
      <c r="AS70" s="478"/>
      <c r="AT70" s="478"/>
      <c r="AU70" s="478"/>
      <c r="AV70" s="478"/>
      <c r="AW70" s="478"/>
      <c r="AX70" s="478"/>
      <c r="AY70" s="478"/>
      <c r="AZ70" s="478"/>
      <c r="BA70" s="478"/>
      <c r="BB70" s="478"/>
      <c r="BC70" s="478"/>
      <c r="BD70" s="478"/>
      <c r="BE70" s="478"/>
      <c r="BF70" s="478"/>
      <c r="BG70" s="478"/>
      <c r="BH70" s="478"/>
      <c r="BI70" s="478"/>
      <c r="BJ70" s="245"/>
      <c r="BK70" s="477">
        <f t="shared" si="289"/>
        <v>0</v>
      </c>
      <c r="BL70" s="466">
        <f t="shared" si="290"/>
        <v>0</v>
      </c>
      <c r="BM70" s="257"/>
      <c r="BN70" s="478"/>
      <c r="BO70" s="478"/>
      <c r="BP70" s="478"/>
      <c r="BQ70" s="478"/>
      <c r="BR70" s="478"/>
      <c r="BS70" s="478"/>
      <c r="BT70" s="478"/>
      <c r="BU70" s="478"/>
      <c r="BV70" s="478"/>
      <c r="BW70" s="478"/>
      <c r="BX70" s="478"/>
      <c r="BY70" s="478"/>
      <c r="BZ70" s="478"/>
      <c r="CA70" s="478"/>
      <c r="CB70" s="478"/>
      <c r="CC70" s="478"/>
      <c r="CD70" s="478"/>
      <c r="CE70" s="478"/>
      <c r="CF70" s="478"/>
      <c r="CG70" s="478"/>
      <c r="CH70" s="478"/>
      <c r="CI70" s="478"/>
      <c r="CJ70" s="478"/>
      <c r="CK70" s="478"/>
      <c r="CL70" s="478"/>
      <c r="CM70" s="478"/>
      <c r="CN70" s="478"/>
      <c r="CO70" s="478"/>
      <c r="CP70" s="478"/>
      <c r="CQ70" s="478"/>
      <c r="CR70" s="478"/>
      <c r="CS70" s="478"/>
      <c r="CT70" s="478"/>
      <c r="CU70" s="478"/>
      <c r="CV70" s="478"/>
      <c r="CW70" s="478"/>
      <c r="CX70" s="478"/>
      <c r="CY70" s="478"/>
      <c r="CZ70" s="478"/>
      <c r="DA70" s="478"/>
      <c r="DB70" s="478"/>
      <c r="DC70" s="478"/>
      <c r="DD70" s="478"/>
      <c r="DE70" s="478"/>
      <c r="DF70" s="478"/>
      <c r="DG70" s="478"/>
      <c r="DH70" s="478"/>
      <c r="DI70" s="478"/>
    </row>
    <row r="71" spans="1:113" ht="16.05" hidden="1" customHeight="1" outlineLevel="1" x14ac:dyDescent="0.3">
      <c r="A71" s="455" t="str">
        <f t="shared" si="54"/>
        <v/>
      </c>
      <c r="B71" s="455"/>
      <c r="C71" s="481"/>
      <c r="D71" s="463" t="s">
        <v>736</v>
      </c>
      <c r="E71" s="482"/>
      <c r="F71" s="483"/>
      <c r="G71" s="484"/>
      <c r="H71" s="485"/>
      <c r="I71" s="466">
        <f t="shared" si="287"/>
        <v>0</v>
      </c>
      <c r="J71" s="259"/>
      <c r="K71" s="478">
        <f t="shared" si="288"/>
        <v>0</v>
      </c>
      <c r="L71" s="466">
        <f t="shared" si="236"/>
        <v>0</v>
      </c>
      <c r="M71" s="257"/>
      <c r="N71" s="478"/>
      <c r="O71" s="478"/>
      <c r="P71" s="478"/>
      <c r="Q71" s="478"/>
      <c r="R71" s="478"/>
      <c r="S71" s="478"/>
      <c r="T71" s="478"/>
      <c r="U71" s="478"/>
      <c r="V71" s="478"/>
      <c r="W71" s="478"/>
      <c r="X71" s="478"/>
      <c r="Y71" s="478"/>
      <c r="Z71" s="478"/>
      <c r="AA71" s="478"/>
      <c r="AB71" s="478"/>
      <c r="AC71" s="478"/>
      <c r="AD71" s="478"/>
      <c r="AE71" s="478"/>
      <c r="AF71" s="478"/>
      <c r="AG71" s="478"/>
      <c r="AH71" s="478"/>
      <c r="AI71" s="478"/>
      <c r="AJ71" s="478"/>
      <c r="AK71" s="478"/>
      <c r="AL71" s="478"/>
      <c r="AM71" s="478"/>
      <c r="AN71" s="478"/>
      <c r="AO71" s="478"/>
      <c r="AP71" s="478"/>
      <c r="AQ71" s="478"/>
      <c r="AR71" s="478"/>
      <c r="AS71" s="478"/>
      <c r="AT71" s="478"/>
      <c r="AU71" s="478"/>
      <c r="AV71" s="478"/>
      <c r="AW71" s="478"/>
      <c r="AX71" s="478"/>
      <c r="AY71" s="478"/>
      <c r="AZ71" s="478"/>
      <c r="BA71" s="478"/>
      <c r="BB71" s="478"/>
      <c r="BC71" s="478"/>
      <c r="BD71" s="478"/>
      <c r="BE71" s="478"/>
      <c r="BF71" s="478"/>
      <c r="BG71" s="478"/>
      <c r="BH71" s="478"/>
      <c r="BI71" s="478"/>
      <c r="BJ71" s="245"/>
      <c r="BK71" s="477">
        <f t="shared" si="289"/>
        <v>0</v>
      </c>
      <c r="BL71" s="466">
        <f t="shared" si="290"/>
        <v>0</v>
      </c>
      <c r="BM71" s="257"/>
      <c r="BN71" s="478"/>
      <c r="BO71" s="478"/>
      <c r="BP71" s="478"/>
      <c r="BQ71" s="478"/>
      <c r="BR71" s="478"/>
      <c r="BS71" s="478"/>
      <c r="BT71" s="478"/>
      <c r="BU71" s="478"/>
      <c r="BV71" s="478"/>
      <c r="BW71" s="478"/>
      <c r="BX71" s="478"/>
      <c r="BY71" s="478"/>
      <c r="BZ71" s="478"/>
      <c r="CA71" s="478"/>
      <c r="CB71" s="478"/>
      <c r="CC71" s="478"/>
      <c r="CD71" s="478"/>
      <c r="CE71" s="478"/>
      <c r="CF71" s="478"/>
      <c r="CG71" s="478"/>
      <c r="CH71" s="478"/>
      <c r="CI71" s="478"/>
      <c r="CJ71" s="478"/>
      <c r="CK71" s="478"/>
      <c r="CL71" s="478"/>
      <c r="CM71" s="478"/>
      <c r="CN71" s="478"/>
      <c r="CO71" s="478"/>
      <c r="CP71" s="478"/>
      <c r="CQ71" s="478"/>
      <c r="CR71" s="478"/>
      <c r="CS71" s="478"/>
      <c r="CT71" s="478"/>
      <c r="CU71" s="478"/>
      <c r="CV71" s="478"/>
      <c r="CW71" s="478"/>
      <c r="CX71" s="478"/>
      <c r="CY71" s="478"/>
      <c r="CZ71" s="478"/>
      <c r="DA71" s="478"/>
      <c r="DB71" s="478"/>
      <c r="DC71" s="478"/>
      <c r="DD71" s="478"/>
      <c r="DE71" s="478"/>
      <c r="DF71" s="478"/>
      <c r="DG71" s="478"/>
      <c r="DH71" s="478"/>
      <c r="DI71" s="478"/>
    </row>
    <row r="72" spans="1:113" ht="16.05" hidden="1" customHeight="1" outlineLevel="1" x14ac:dyDescent="0.3">
      <c r="A72" s="455" t="str">
        <f t="shared" si="54"/>
        <v/>
      </c>
      <c r="B72" s="455"/>
      <c r="C72" s="481"/>
      <c r="D72" s="463" t="s">
        <v>737</v>
      </c>
      <c r="E72" s="482"/>
      <c r="F72" s="483"/>
      <c r="G72" s="484"/>
      <c r="H72" s="485"/>
      <c r="I72" s="466">
        <f t="shared" si="287"/>
        <v>0</v>
      </c>
      <c r="J72" s="259"/>
      <c r="K72" s="478">
        <f t="shared" si="288"/>
        <v>0</v>
      </c>
      <c r="L72" s="466">
        <f t="shared" si="236"/>
        <v>0</v>
      </c>
      <c r="M72" s="257"/>
      <c r="N72" s="478"/>
      <c r="O72" s="478"/>
      <c r="P72" s="478"/>
      <c r="Q72" s="478"/>
      <c r="R72" s="478"/>
      <c r="S72" s="478"/>
      <c r="T72" s="478"/>
      <c r="U72" s="478"/>
      <c r="V72" s="478"/>
      <c r="W72" s="478"/>
      <c r="X72" s="478"/>
      <c r="Y72" s="478"/>
      <c r="Z72" s="478"/>
      <c r="AA72" s="478"/>
      <c r="AB72" s="478"/>
      <c r="AC72" s="478"/>
      <c r="AD72" s="478"/>
      <c r="AE72" s="478"/>
      <c r="AF72" s="478"/>
      <c r="AG72" s="478"/>
      <c r="AH72" s="478"/>
      <c r="AI72" s="478"/>
      <c r="AJ72" s="478"/>
      <c r="AK72" s="478"/>
      <c r="AL72" s="478"/>
      <c r="AM72" s="478"/>
      <c r="AN72" s="478"/>
      <c r="AO72" s="478"/>
      <c r="AP72" s="478"/>
      <c r="AQ72" s="478"/>
      <c r="AR72" s="478"/>
      <c r="AS72" s="478"/>
      <c r="AT72" s="478"/>
      <c r="AU72" s="478"/>
      <c r="AV72" s="478"/>
      <c r="AW72" s="478"/>
      <c r="AX72" s="478"/>
      <c r="AY72" s="478"/>
      <c r="AZ72" s="478"/>
      <c r="BA72" s="478"/>
      <c r="BB72" s="478"/>
      <c r="BC72" s="478"/>
      <c r="BD72" s="478"/>
      <c r="BE72" s="478"/>
      <c r="BF72" s="478"/>
      <c r="BG72" s="478"/>
      <c r="BH72" s="478"/>
      <c r="BI72" s="478"/>
      <c r="BJ72" s="245"/>
      <c r="BK72" s="477">
        <f t="shared" si="289"/>
        <v>0</v>
      </c>
      <c r="BL72" s="466">
        <f t="shared" si="290"/>
        <v>0</v>
      </c>
      <c r="BM72" s="257"/>
      <c r="BN72" s="478"/>
      <c r="BO72" s="478"/>
      <c r="BP72" s="478"/>
      <c r="BQ72" s="478"/>
      <c r="BR72" s="478"/>
      <c r="BS72" s="478"/>
      <c r="BT72" s="478"/>
      <c r="BU72" s="478"/>
      <c r="BV72" s="478"/>
      <c r="BW72" s="478"/>
      <c r="BX72" s="478"/>
      <c r="BY72" s="478"/>
      <c r="BZ72" s="478"/>
      <c r="CA72" s="478"/>
      <c r="CB72" s="478"/>
      <c r="CC72" s="478"/>
      <c r="CD72" s="478"/>
      <c r="CE72" s="478"/>
      <c r="CF72" s="478"/>
      <c r="CG72" s="478"/>
      <c r="CH72" s="478"/>
      <c r="CI72" s="478"/>
      <c r="CJ72" s="478"/>
      <c r="CK72" s="478"/>
      <c r="CL72" s="478"/>
      <c r="CM72" s="478"/>
      <c r="CN72" s="478"/>
      <c r="CO72" s="478"/>
      <c r="CP72" s="478"/>
      <c r="CQ72" s="478"/>
      <c r="CR72" s="478"/>
      <c r="CS72" s="478"/>
      <c r="CT72" s="478"/>
      <c r="CU72" s="478"/>
      <c r="CV72" s="478"/>
      <c r="CW72" s="478"/>
      <c r="CX72" s="478"/>
      <c r="CY72" s="478"/>
      <c r="CZ72" s="478"/>
      <c r="DA72" s="478"/>
      <c r="DB72" s="478"/>
      <c r="DC72" s="478"/>
      <c r="DD72" s="478"/>
      <c r="DE72" s="478"/>
      <c r="DF72" s="478"/>
      <c r="DG72" s="478"/>
      <c r="DH72" s="478"/>
      <c r="DI72" s="478"/>
    </row>
    <row r="73" spans="1:113" ht="16.05" hidden="1" customHeight="1" outlineLevel="1" x14ac:dyDescent="0.3">
      <c r="A73" s="455" t="str">
        <f t="shared" si="54"/>
        <v/>
      </c>
      <c r="B73" s="455"/>
      <c r="C73" s="481"/>
      <c r="D73" s="463" t="s">
        <v>738</v>
      </c>
      <c r="E73" s="482"/>
      <c r="F73" s="483"/>
      <c r="G73" s="484"/>
      <c r="H73" s="485"/>
      <c r="I73" s="466">
        <f t="shared" si="287"/>
        <v>0</v>
      </c>
      <c r="J73" s="259"/>
      <c r="K73" s="478">
        <f t="shared" si="288"/>
        <v>0</v>
      </c>
      <c r="L73" s="466">
        <f t="shared" si="236"/>
        <v>0</v>
      </c>
      <c r="M73" s="257"/>
      <c r="N73" s="478"/>
      <c r="O73" s="478"/>
      <c r="P73" s="478"/>
      <c r="Q73" s="478"/>
      <c r="R73" s="478"/>
      <c r="S73" s="478"/>
      <c r="T73" s="478"/>
      <c r="U73" s="478"/>
      <c r="V73" s="478"/>
      <c r="W73" s="478"/>
      <c r="X73" s="478"/>
      <c r="Y73" s="478"/>
      <c r="Z73" s="478"/>
      <c r="AA73" s="478"/>
      <c r="AB73" s="478"/>
      <c r="AC73" s="478"/>
      <c r="AD73" s="478"/>
      <c r="AE73" s="478"/>
      <c r="AF73" s="478"/>
      <c r="AG73" s="478"/>
      <c r="AH73" s="478"/>
      <c r="AI73" s="478"/>
      <c r="AJ73" s="478"/>
      <c r="AK73" s="478"/>
      <c r="AL73" s="478"/>
      <c r="AM73" s="478"/>
      <c r="AN73" s="478"/>
      <c r="AO73" s="478"/>
      <c r="AP73" s="478"/>
      <c r="AQ73" s="478"/>
      <c r="AR73" s="478"/>
      <c r="AS73" s="478"/>
      <c r="AT73" s="478"/>
      <c r="AU73" s="478"/>
      <c r="AV73" s="478"/>
      <c r="AW73" s="478"/>
      <c r="AX73" s="478"/>
      <c r="AY73" s="478"/>
      <c r="AZ73" s="478"/>
      <c r="BA73" s="478"/>
      <c r="BB73" s="478"/>
      <c r="BC73" s="478"/>
      <c r="BD73" s="478"/>
      <c r="BE73" s="478"/>
      <c r="BF73" s="478"/>
      <c r="BG73" s="478"/>
      <c r="BH73" s="478"/>
      <c r="BI73" s="478"/>
      <c r="BJ73" s="245"/>
      <c r="BK73" s="477">
        <f t="shared" si="289"/>
        <v>0</v>
      </c>
      <c r="BL73" s="466">
        <f t="shared" si="290"/>
        <v>0</v>
      </c>
      <c r="BM73" s="257"/>
      <c r="BN73" s="478"/>
      <c r="BO73" s="478"/>
      <c r="BP73" s="478"/>
      <c r="BQ73" s="478"/>
      <c r="BR73" s="478"/>
      <c r="BS73" s="478"/>
      <c r="BT73" s="478"/>
      <c r="BU73" s="478"/>
      <c r="BV73" s="478"/>
      <c r="BW73" s="478"/>
      <c r="BX73" s="478"/>
      <c r="BY73" s="478"/>
      <c r="BZ73" s="478"/>
      <c r="CA73" s="478"/>
      <c r="CB73" s="478"/>
      <c r="CC73" s="478"/>
      <c r="CD73" s="478"/>
      <c r="CE73" s="478"/>
      <c r="CF73" s="478"/>
      <c r="CG73" s="478"/>
      <c r="CH73" s="478"/>
      <c r="CI73" s="478"/>
      <c r="CJ73" s="478"/>
      <c r="CK73" s="478"/>
      <c r="CL73" s="478"/>
      <c r="CM73" s="478"/>
      <c r="CN73" s="478"/>
      <c r="CO73" s="478"/>
      <c r="CP73" s="478"/>
      <c r="CQ73" s="478"/>
      <c r="CR73" s="478"/>
      <c r="CS73" s="478"/>
      <c r="CT73" s="478"/>
      <c r="CU73" s="478"/>
      <c r="CV73" s="478"/>
      <c r="CW73" s="478"/>
      <c r="CX73" s="478"/>
      <c r="CY73" s="478"/>
      <c r="CZ73" s="478"/>
      <c r="DA73" s="478"/>
      <c r="DB73" s="478"/>
      <c r="DC73" s="478"/>
      <c r="DD73" s="478"/>
      <c r="DE73" s="478"/>
      <c r="DF73" s="478"/>
      <c r="DG73" s="478"/>
      <c r="DH73" s="478"/>
      <c r="DI73" s="478"/>
    </row>
    <row r="74" spans="1:113" ht="16.05" hidden="1" customHeight="1" outlineLevel="1" x14ac:dyDescent="0.3">
      <c r="A74" s="455" t="str">
        <f t="shared" si="54"/>
        <v/>
      </c>
      <c r="B74" s="455"/>
      <c r="C74" s="481"/>
      <c r="D74" s="463" t="s">
        <v>739</v>
      </c>
      <c r="E74" s="482"/>
      <c r="F74" s="483"/>
      <c r="G74" s="484"/>
      <c r="H74" s="485"/>
      <c r="I74" s="466">
        <f t="shared" si="287"/>
        <v>0</v>
      </c>
      <c r="J74" s="259"/>
      <c r="K74" s="478">
        <f t="shared" si="288"/>
        <v>0</v>
      </c>
      <c r="L74" s="466">
        <f t="shared" si="236"/>
        <v>0</v>
      </c>
      <c r="M74" s="257"/>
      <c r="N74" s="478"/>
      <c r="O74" s="478"/>
      <c r="P74" s="478"/>
      <c r="Q74" s="478"/>
      <c r="R74" s="478"/>
      <c r="S74" s="478"/>
      <c r="T74" s="478"/>
      <c r="U74" s="478"/>
      <c r="V74" s="478"/>
      <c r="W74" s="478"/>
      <c r="X74" s="478"/>
      <c r="Y74" s="478"/>
      <c r="Z74" s="478"/>
      <c r="AA74" s="478"/>
      <c r="AB74" s="478"/>
      <c r="AC74" s="478"/>
      <c r="AD74" s="478"/>
      <c r="AE74" s="478"/>
      <c r="AF74" s="478"/>
      <c r="AG74" s="478"/>
      <c r="AH74" s="478"/>
      <c r="AI74" s="478"/>
      <c r="AJ74" s="478"/>
      <c r="AK74" s="478"/>
      <c r="AL74" s="478"/>
      <c r="AM74" s="478"/>
      <c r="AN74" s="478"/>
      <c r="AO74" s="478"/>
      <c r="AP74" s="478"/>
      <c r="AQ74" s="478"/>
      <c r="AR74" s="478"/>
      <c r="AS74" s="478"/>
      <c r="AT74" s="478"/>
      <c r="AU74" s="478"/>
      <c r="AV74" s="478"/>
      <c r="AW74" s="478"/>
      <c r="AX74" s="478"/>
      <c r="AY74" s="478"/>
      <c r="AZ74" s="478"/>
      <c r="BA74" s="478"/>
      <c r="BB74" s="478"/>
      <c r="BC74" s="478"/>
      <c r="BD74" s="478"/>
      <c r="BE74" s="478"/>
      <c r="BF74" s="478"/>
      <c r="BG74" s="478"/>
      <c r="BH74" s="478"/>
      <c r="BI74" s="478"/>
      <c r="BJ74" s="245"/>
      <c r="BK74" s="477">
        <f t="shared" si="289"/>
        <v>0</v>
      </c>
      <c r="BL74" s="466">
        <f t="shared" si="290"/>
        <v>0</v>
      </c>
      <c r="BM74" s="257"/>
      <c r="BN74" s="478"/>
      <c r="BO74" s="478"/>
      <c r="BP74" s="478"/>
      <c r="BQ74" s="478"/>
      <c r="BR74" s="478"/>
      <c r="BS74" s="478"/>
      <c r="BT74" s="478"/>
      <c r="BU74" s="478"/>
      <c r="BV74" s="478"/>
      <c r="BW74" s="478"/>
      <c r="BX74" s="478"/>
      <c r="BY74" s="478"/>
      <c r="BZ74" s="478"/>
      <c r="CA74" s="478"/>
      <c r="CB74" s="478"/>
      <c r="CC74" s="478"/>
      <c r="CD74" s="478"/>
      <c r="CE74" s="478"/>
      <c r="CF74" s="478"/>
      <c r="CG74" s="478"/>
      <c r="CH74" s="478"/>
      <c r="CI74" s="478"/>
      <c r="CJ74" s="478"/>
      <c r="CK74" s="478"/>
      <c r="CL74" s="478"/>
      <c r="CM74" s="478"/>
      <c r="CN74" s="478"/>
      <c r="CO74" s="478"/>
      <c r="CP74" s="478"/>
      <c r="CQ74" s="478"/>
      <c r="CR74" s="478"/>
      <c r="CS74" s="478"/>
      <c r="CT74" s="478"/>
      <c r="CU74" s="478"/>
      <c r="CV74" s="478"/>
      <c r="CW74" s="478"/>
      <c r="CX74" s="478"/>
      <c r="CY74" s="478"/>
      <c r="CZ74" s="478"/>
      <c r="DA74" s="478"/>
      <c r="DB74" s="478"/>
      <c r="DC74" s="478"/>
      <c r="DD74" s="478"/>
      <c r="DE74" s="478"/>
      <c r="DF74" s="478"/>
      <c r="DG74" s="478"/>
      <c r="DH74" s="478"/>
      <c r="DI74" s="478"/>
    </row>
    <row r="75" spans="1:113" ht="16.05" hidden="1" customHeight="1" outlineLevel="1" x14ac:dyDescent="0.3">
      <c r="A75" s="455" t="str">
        <f t="shared" si="54"/>
        <v/>
      </c>
      <c r="B75" s="455"/>
      <c r="C75" s="481"/>
      <c r="D75" s="463" t="s">
        <v>740</v>
      </c>
      <c r="E75" s="482"/>
      <c r="F75" s="483"/>
      <c r="G75" s="484"/>
      <c r="H75" s="485"/>
      <c r="I75" s="466">
        <f t="shared" si="287"/>
        <v>0</v>
      </c>
      <c r="J75" s="259"/>
      <c r="K75" s="478">
        <f t="shared" si="288"/>
        <v>0</v>
      </c>
      <c r="L75" s="466">
        <f t="shared" si="236"/>
        <v>0</v>
      </c>
      <c r="M75" s="257"/>
      <c r="N75" s="478"/>
      <c r="O75" s="478"/>
      <c r="P75" s="478"/>
      <c r="Q75" s="478"/>
      <c r="R75" s="478"/>
      <c r="S75" s="478"/>
      <c r="T75" s="478"/>
      <c r="U75" s="478"/>
      <c r="V75" s="478"/>
      <c r="W75" s="478"/>
      <c r="X75" s="478"/>
      <c r="Y75" s="478"/>
      <c r="Z75" s="478"/>
      <c r="AA75" s="478"/>
      <c r="AB75" s="478"/>
      <c r="AC75" s="478"/>
      <c r="AD75" s="478"/>
      <c r="AE75" s="478"/>
      <c r="AF75" s="478"/>
      <c r="AG75" s="478"/>
      <c r="AH75" s="478"/>
      <c r="AI75" s="478"/>
      <c r="AJ75" s="478"/>
      <c r="AK75" s="478"/>
      <c r="AL75" s="478"/>
      <c r="AM75" s="478"/>
      <c r="AN75" s="478"/>
      <c r="AO75" s="478"/>
      <c r="AP75" s="478"/>
      <c r="AQ75" s="478"/>
      <c r="AR75" s="478"/>
      <c r="AS75" s="478"/>
      <c r="AT75" s="478"/>
      <c r="AU75" s="478"/>
      <c r="AV75" s="478"/>
      <c r="AW75" s="478"/>
      <c r="AX75" s="478"/>
      <c r="AY75" s="478"/>
      <c r="AZ75" s="478"/>
      <c r="BA75" s="478"/>
      <c r="BB75" s="478"/>
      <c r="BC75" s="478"/>
      <c r="BD75" s="478"/>
      <c r="BE75" s="478"/>
      <c r="BF75" s="478"/>
      <c r="BG75" s="478"/>
      <c r="BH75" s="478"/>
      <c r="BI75" s="478"/>
      <c r="BJ75" s="245"/>
      <c r="BK75" s="477">
        <f t="shared" si="289"/>
        <v>0</v>
      </c>
      <c r="BL75" s="466">
        <f t="shared" si="290"/>
        <v>0</v>
      </c>
      <c r="BM75" s="257"/>
      <c r="BN75" s="478"/>
      <c r="BO75" s="478"/>
      <c r="BP75" s="478"/>
      <c r="BQ75" s="478"/>
      <c r="BR75" s="478"/>
      <c r="BS75" s="478"/>
      <c r="BT75" s="478"/>
      <c r="BU75" s="478"/>
      <c r="BV75" s="478"/>
      <c r="BW75" s="478"/>
      <c r="BX75" s="478"/>
      <c r="BY75" s="478"/>
      <c r="BZ75" s="478"/>
      <c r="CA75" s="478"/>
      <c r="CB75" s="478"/>
      <c r="CC75" s="478"/>
      <c r="CD75" s="478"/>
      <c r="CE75" s="478"/>
      <c r="CF75" s="478"/>
      <c r="CG75" s="478"/>
      <c r="CH75" s="478"/>
      <c r="CI75" s="478"/>
      <c r="CJ75" s="478"/>
      <c r="CK75" s="478"/>
      <c r="CL75" s="478"/>
      <c r="CM75" s="478"/>
      <c r="CN75" s="478"/>
      <c r="CO75" s="478"/>
      <c r="CP75" s="478"/>
      <c r="CQ75" s="478"/>
      <c r="CR75" s="478"/>
      <c r="CS75" s="478"/>
      <c r="CT75" s="478"/>
      <c r="CU75" s="478"/>
      <c r="CV75" s="478"/>
      <c r="CW75" s="478"/>
      <c r="CX75" s="478"/>
      <c r="CY75" s="478"/>
      <c r="CZ75" s="478"/>
      <c r="DA75" s="478"/>
      <c r="DB75" s="478"/>
      <c r="DC75" s="478"/>
      <c r="DD75" s="478"/>
      <c r="DE75" s="478"/>
      <c r="DF75" s="478"/>
      <c r="DG75" s="478"/>
      <c r="DH75" s="478"/>
      <c r="DI75" s="478"/>
    </row>
    <row r="76" spans="1:113" ht="8.1" customHeight="1" outlineLevel="1" x14ac:dyDescent="0.3">
      <c r="A76" s="455" t="str">
        <f t="shared" ref="A76" si="300">IF(COUNTIF(A56:A75,"Imprimir")&gt;0,"Imprimir","")</f>
        <v>Imprimir</v>
      </c>
      <c r="B76" s="455"/>
      <c r="C76" s="464"/>
      <c r="D76" s="461"/>
      <c r="E76" s="462"/>
      <c r="F76" s="462"/>
      <c r="G76" s="461"/>
      <c r="H76" s="461"/>
      <c r="I76" s="461"/>
      <c r="J76" s="259"/>
      <c r="K76" s="255"/>
      <c r="L76" s="256"/>
      <c r="M76" s="257"/>
      <c r="N76" s="255"/>
      <c r="O76" s="255"/>
      <c r="P76" s="255"/>
      <c r="Q76" s="255"/>
      <c r="R76" s="255"/>
      <c r="S76" s="255"/>
      <c r="T76" s="255"/>
      <c r="U76" s="255"/>
      <c r="V76" s="255"/>
      <c r="W76" s="255"/>
      <c r="X76" s="255"/>
      <c r="Y76" s="255"/>
      <c r="Z76" s="255"/>
      <c r="AA76" s="255"/>
      <c r="AB76" s="255"/>
      <c r="AC76" s="255"/>
      <c r="AD76" s="255"/>
      <c r="AE76" s="255"/>
      <c r="AF76" s="255"/>
      <c r="AG76" s="255"/>
      <c r="AH76" s="255"/>
      <c r="AI76" s="255"/>
      <c r="AJ76" s="255"/>
      <c r="AK76" s="255"/>
      <c r="AL76" s="255"/>
      <c r="AM76" s="524"/>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45"/>
      <c r="BK76" s="256"/>
      <c r="BL76" s="256"/>
      <c r="BM76" s="257"/>
      <c r="BN76" s="255"/>
      <c r="BO76" s="255"/>
      <c r="BP76" s="255"/>
      <c r="BQ76" s="255"/>
      <c r="BR76" s="255"/>
      <c r="BS76" s="255"/>
      <c r="BT76" s="255"/>
      <c r="BU76" s="255"/>
      <c r="BV76" s="255"/>
      <c r="BW76" s="255"/>
      <c r="BX76" s="255"/>
      <c r="BY76" s="255"/>
      <c r="BZ76" s="255"/>
      <c r="CA76" s="255"/>
      <c r="CB76" s="255"/>
      <c r="CC76" s="255"/>
      <c r="CD76" s="255"/>
      <c r="CE76" s="255"/>
      <c r="CF76" s="255"/>
      <c r="CG76" s="255"/>
      <c r="CH76" s="255"/>
      <c r="CI76" s="255"/>
      <c r="CJ76" s="255"/>
      <c r="CK76" s="255"/>
      <c r="CL76" s="255"/>
      <c r="CM76" s="255"/>
      <c r="CN76" s="255"/>
      <c r="CO76" s="255"/>
      <c r="CP76" s="255"/>
      <c r="CQ76" s="255"/>
      <c r="CR76" s="255"/>
      <c r="CS76" s="255"/>
      <c r="CT76" s="255"/>
      <c r="CU76" s="255"/>
      <c r="CV76" s="255"/>
      <c r="CW76" s="255"/>
      <c r="CX76" s="255"/>
      <c r="CY76" s="255"/>
      <c r="CZ76" s="255"/>
      <c r="DA76" s="255"/>
      <c r="DB76" s="255"/>
      <c r="DC76" s="255"/>
      <c r="DD76" s="255"/>
      <c r="DE76" s="255"/>
      <c r="DF76" s="255"/>
      <c r="DG76" s="255"/>
      <c r="DH76" s="255"/>
      <c r="DI76" s="524"/>
    </row>
    <row r="77" spans="1:113" ht="16.05" customHeight="1" x14ac:dyDescent="0.3">
      <c r="A77" s="455" t="str">
        <f t="shared" ref="A77" si="301">IF(COUNTIF(A78:A97,"Imprimir")&gt;0,"Imprimir","")</f>
        <v>Imprimir</v>
      </c>
      <c r="B77" s="455"/>
      <c r="C77" s="459"/>
      <c r="D77" s="459"/>
      <c r="E77" s="460" t="s">
        <v>4325</v>
      </c>
      <c r="F77" s="460"/>
      <c r="G77" s="460"/>
      <c r="H77" s="465"/>
      <c r="I77" s="465">
        <f>SUBTOTAL(9,I78:I98)</f>
        <v>106363.1226</v>
      </c>
      <c r="J77" s="259"/>
      <c r="K77" s="465"/>
      <c r="L77" s="465">
        <f>SUBTOTAL(9,L78:L98)</f>
        <v>0</v>
      </c>
      <c r="M77" s="257"/>
      <c r="N77" s="465">
        <f>SUMPRODUCT(N78:N98,$H78:$H98)</f>
        <v>0</v>
      </c>
      <c r="O77" s="465">
        <f>SUMPRODUCT(O78:O98,$H78:$H98)</f>
        <v>0</v>
      </c>
      <c r="P77" s="465">
        <f t="shared" ref="P77" si="302">SUMPRODUCT(P78:P98,$H78:$H98)</f>
        <v>0</v>
      </c>
      <c r="Q77" s="465">
        <f t="shared" ref="Q77" si="303">SUMPRODUCT(Q78:Q98,$H78:$H98)</f>
        <v>0</v>
      </c>
      <c r="R77" s="465">
        <f t="shared" ref="R77" si="304">SUMPRODUCT(R78:R98,$H78:$H98)</f>
        <v>0</v>
      </c>
      <c r="S77" s="465">
        <f t="shared" ref="S77" si="305">SUMPRODUCT(S78:S98,$H78:$H98)</f>
        <v>0</v>
      </c>
      <c r="T77" s="465">
        <f t="shared" ref="T77" si="306">SUMPRODUCT(T78:T98,$H78:$H98)</f>
        <v>0</v>
      </c>
      <c r="U77" s="465">
        <f t="shared" ref="U77" si="307">SUMPRODUCT(U78:U98,$H78:$H98)</f>
        <v>0</v>
      </c>
      <c r="V77" s="465">
        <f t="shared" ref="V77" si="308">SUMPRODUCT(V78:V98,$H78:$H98)</f>
        <v>0</v>
      </c>
      <c r="W77" s="465">
        <f t="shared" ref="W77" si="309">SUMPRODUCT(W78:W98,$H78:$H98)</f>
        <v>0</v>
      </c>
      <c r="X77" s="465">
        <f t="shared" ref="X77" si="310">SUMPRODUCT(X78:X98,$H78:$H98)</f>
        <v>0</v>
      </c>
      <c r="Y77" s="465">
        <f t="shared" ref="Y77" si="311">SUMPRODUCT(Y78:Y98,$H78:$H98)</f>
        <v>0</v>
      </c>
      <c r="Z77" s="465">
        <f t="shared" ref="Z77" si="312">SUMPRODUCT(Z78:Z98,$H78:$H98)</f>
        <v>0</v>
      </c>
      <c r="AA77" s="465">
        <f t="shared" ref="AA77" si="313">SUMPRODUCT(AA78:AA98,$H78:$H98)</f>
        <v>0</v>
      </c>
      <c r="AB77" s="465">
        <f t="shared" ref="AB77" si="314">SUMPRODUCT(AB78:AB98,$H78:$H98)</f>
        <v>0</v>
      </c>
      <c r="AC77" s="465">
        <f t="shared" ref="AC77" si="315">SUMPRODUCT(AC78:AC98,$H78:$H98)</f>
        <v>0</v>
      </c>
      <c r="AD77" s="465">
        <f t="shared" ref="AD77" si="316">SUMPRODUCT(AD78:AD98,$H78:$H98)</f>
        <v>0</v>
      </c>
      <c r="AE77" s="465">
        <f t="shared" ref="AE77" si="317">SUMPRODUCT(AE78:AE98,$H78:$H98)</f>
        <v>0</v>
      </c>
      <c r="AF77" s="465">
        <f t="shared" ref="AF77" si="318">SUMPRODUCT(AF78:AF98,$H78:$H98)</f>
        <v>0</v>
      </c>
      <c r="AG77" s="465">
        <f t="shared" ref="AG77" si="319">SUMPRODUCT(AG78:AG98,$H78:$H98)</f>
        <v>0</v>
      </c>
      <c r="AH77" s="465">
        <f t="shared" ref="AH77" si="320">SUMPRODUCT(AH78:AH98,$H78:$H98)</f>
        <v>0</v>
      </c>
      <c r="AI77" s="465">
        <f t="shared" ref="AI77" si="321">SUMPRODUCT(AI78:AI98,$H78:$H98)</f>
        <v>0</v>
      </c>
      <c r="AJ77" s="465">
        <f t="shared" ref="AJ77:BI77" si="322">SUMPRODUCT(AJ78:AJ98,$H78:$H98)</f>
        <v>0</v>
      </c>
      <c r="AK77" s="465">
        <f t="shared" si="322"/>
        <v>0</v>
      </c>
      <c r="AL77" s="465">
        <f t="shared" si="322"/>
        <v>0</v>
      </c>
      <c r="AM77" s="465">
        <f t="shared" si="322"/>
        <v>0</v>
      </c>
      <c r="AN77" s="465">
        <f t="shared" si="322"/>
        <v>0</v>
      </c>
      <c r="AO77" s="465">
        <f t="shared" si="322"/>
        <v>0</v>
      </c>
      <c r="AP77" s="465">
        <f t="shared" si="322"/>
        <v>0</v>
      </c>
      <c r="AQ77" s="465">
        <f t="shared" si="322"/>
        <v>0</v>
      </c>
      <c r="AR77" s="465">
        <f t="shared" si="322"/>
        <v>0</v>
      </c>
      <c r="AS77" s="465">
        <f t="shared" si="322"/>
        <v>0</v>
      </c>
      <c r="AT77" s="465">
        <f t="shared" si="322"/>
        <v>0</v>
      </c>
      <c r="AU77" s="465">
        <f t="shared" si="322"/>
        <v>0</v>
      </c>
      <c r="AV77" s="465">
        <f t="shared" si="322"/>
        <v>0</v>
      </c>
      <c r="AW77" s="465">
        <f t="shared" si="322"/>
        <v>0</v>
      </c>
      <c r="AX77" s="465">
        <f t="shared" si="322"/>
        <v>0</v>
      </c>
      <c r="AY77" s="465">
        <f t="shared" si="322"/>
        <v>0</v>
      </c>
      <c r="AZ77" s="465">
        <f t="shared" si="322"/>
        <v>0</v>
      </c>
      <c r="BA77" s="465">
        <f t="shared" si="322"/>
        <v>0</v>
      </c>
      <c r="BB77" s="465">
        <f t="shared" si="322"/>
        <v>0</v>
      </c>
      <c r="BC77" s="465">
        <f t="shared" si="322"/>
        <v>0</v>
      </c>
      <c r="BD77" s="465">
        <f t="shared" si="322"/>
        <v>0</v>
      </c>
      <c r="BE77" s="465">
        <f t="shared" si="322"/>
        <v>0</v>
      </c>
      <c r="BF77" s="465">
        <f t="shared" si="322"/>
        <v>0</v>
      </c>
      <c r="BG77" s="465">
        <f t="shared" si="322"/>
        <v>0</v>
      </c>
      <c r="BH77" s="465">
        <f t="shared" si="322"/>
        <v>0</v>
      </c>
      <c r="BI77" s="543">
        <f t="shared" si="322"/>
        <v>0</v>
      </c>
      <c r="BJ77" s="546"/>
      <c r="BK77" s="475">
        <f t="shared" ref="BK77" si="323">IFERROR(BL77/I77,0)</f>
        <v>0.338701406271049</v>
      </c>
      <c r="BL77" s="465">
        <f>SUBTOTAL(9,BL78:BL98)</f>
        <v>36025.339199999995</v>
      </c>
      <c r="BM77" s="257"/>
      <c r="BN77" s="465">
        <f>SUMPRODUCT(BN78:BN98,$H78:$H98)</f>
        <v>0</v>
      </c>
      <c r="BO77" s="465">
        <f>SUMPRODUCT(BO78:BO98,$H78:$H98)</f>
        <v>0</v>
      </c>
      <c r="BP77" s="465">
        <f t="shared" ref="BP77" si="324">SUMPRODUCT(BP78:BP98,$H78:$H98)</f>
        <v>0</v>
      </c>
      <c r="BQ77" s="465">
        <f t="shared" ref="BQ77" si="325">SUMPRODUCT(BQ78:BQ98,$H78:$H98)</f>
        <v>0</v>
      </c>
      <c r="BR77" s="465">
        <f t="shared" ref="BR77" si="326">SUMPRODUCT(BR78:BR98,$H78:$H98)</f>
        <v>0</v>
      </c>
      <c r="BS77" s="465">
        <f t="shared" ref="BS77" si="327">SUMPRODUCT(BS78:BS98,$H78:$H98)</f>
        <v>0</v>
      </c>
      <c r="BT77" s="465">
        <f t="shared" ref="BT77" si="328">SUMPRODUCT(BT78:BT98,$H78:$H98)</f>
        <v>0</v>
      </c>
      <c r="BU77" s="465">
        <f t="shared" ref="BU77" si="329">SUMPRODUCT(BU78:BU98,$H78:$H98)</f>
        <v>0</v>
      </c>
      <c r="BV77" s="465">
        <f t="shared" ref="BV77" si="330">SUMPRODUCT(BV78:BV98,$H78:$H98)</f>
        <v>0</v>
      </c>
      <c r="BW77" s="465">
        <f t="shared" ref="BW77" si="331">SUMPRODUCT(BW78:BW98,$H78:$H98)</f>
        <v>0</v>
      </c>
      <c r="BX77" s="465">
        <f t="shared" ref="BX77" si="332">SUMPRODUCT(BX78:BX98,$H78:$H98)</f>
        <v>0</v>
      </c>
      <c r="BY77" s="465">
        <f t="shared" ref="BY77" si="333">SUMPRODUCT(BY78:BY98,$H78:$H98)</f>
        <v>0</v>
      </c>
      <c r="BZ77" s="465">
        <f t="shared" ref="BZ77" si="334">SUMPRODUCT(BZ78:BZ98,$H78:$H98)</f>
        <v>36025.339199999995</v>
      </c>
      <c r="CA77" s="465">
        <f t="shared" ref="CA77" si="335">SUMPRODUCT(CA78:CA98,$H78:$H98)</f>
        <v>0</v>
      </c>
      <c r="CB77" s="465">
        <f t="shared" ref="CB77" si="336">SUMPRODUCT(CB78:CB98,$H78:$H98)</f>
        <v>0</v>
      </c>
      <c r="CC77" s="465">
        <f t="shared" ref="CC77" si="337">SUMPRODUCT(CC78:CC98,$H78:$H98)</f>
        <v>0</v>
      </c>
      <c r="CD77" s="465">
        <f t="shared" ref="CD77" si="338">SUMPRODUCT(CD78:CD98,$H78:$H98)</f>
        <v>0</v>
      </c>
      <c r="CE77" s="465">
        <f t="shared" ref="CE77" si="339">SUMPRODUCT(CE78:CE98,$H78:$H98)</f>
        <v>0</v>
      </c>
      <c r="CF77" s="465">
        <f t="shared" ref="CF77" si="340">SUMPRODUCT(CF78:CF98,$H78:$H98)</f>
        <v>0</v>
      </c>
      <c r="CG77" s="465">
        <f t="shared" ref="CG77" si="341">SUMPRODUCT(CG78:CG98,$H78:$H98)</f>
        <v>0</v>
      </c>
      <c r="CH77" s="465">
        <f t="shared" ref="CH77" si="342">SUMPRODUCT(CH78:CH98,$H78:$H98)</f>
        <v>0</v>
      </c>
      <c r="CI77" s="465">
        <f t="shared" ref="CI77" si="343">SUMPRODUCT(CI78:CI98,$H78:$H98)</f>
        <v>0</v>
      </c>
      <c r="CJ77" s="465">
        <f t="shared" ref="CJ77" si="344">SUMPRODUCT(CJ78:CJ98,$H78:$H98)</f>
        <v>0</v>
      </c>
      <c r="CK77" s="465">
        <f t="shared" ref="CK77" si="345">SUMPRODUCT(CK78:CK98,$H78:$H98)</f>
        <v>0</v>
      </c>
      <c r="CL77" s="465">
        <f t="shared" ref="CL77" si="346">SUMPRODUCT(CL78:CL98,$H78:$H98)</f>
        <v>0</v>
      </c>
      <c r="CM77" s="465">
        <f t="shared" ref="CM77" si="347">SUMPRODUCT(CM78:CM98,$H78:$H98)</f>
        <v>0</v>
      </c>
      <c r="CN77" s="465">
        <f t="shared" ref="CN77" si="348">SUMPRODUCT(CN78:CN98,$H78:$H98)</f>
        <v>0</v>
      </c>
      <c r="CO77" s="465">
        <f t="shared" ref="CO77" si="349">SUMPRODUCT(CO78:CO98,$H78:$H98)</f>
        <v>0</v>
      </c>
      <c r="CP77" s="465">
        <f t="shared" ref="CP77" si="350">SUMPRODUCT(CP78:CP98,$H78:$H98)</f>
        <v>0</v>
      </c>
      <c r="CQ77" s="465">
        <f t="shared" ref="CQ77" si="351">SUMPRODUCT(CQ78:CQ98,$H78:$H98)</f>
        <v>0</v>
      </c>
      <c r="CR77" s="465">
        <f t="shared" ref="CR77" si="352">SUMPRODUCT(CR78:CR98,$H78:$H98)</f>
        <v>0</v>
      </c>
      <c r="CS77" s="465">
        <f t="shared" ref="CS77" si="353">SUMPRODUCT(CS78:CS98,$H78:$H98)</f>
        <v>0</v>
      </c>
      <c r="CT77" s="465">
        <f t="shared" ref="CT77" si="354">SUMPRODUCT(CT78:CT98,$H78:$H98)</f>
        <v>0</v>
      </c>
      <c r="CU77" s="465">
        <f t="shared" ref="CU77" si="355">SUMPRODUCT(CU78:CU98,$H78:$H98)</f>
        <v>0</v>
      </c>
      <c r="CV77" s="465">
        <f t="shared" ref="CV77" si="356">SUMPRODUCT(CV78:CV98,$H78:$H98)</f>
        <v>0</v>
      </c>
      <c r="CW77" s="465">
        <f t="shared" ref="CW77" si="357">SUMPRODUCT(CW78:CW98,$H78:$H98)</f>
        <v>0</v>
      </c>
      <c r="CX77" s="465">
        <f t="shared" ref="CX77" si="358">SUMPRODUCT(CX78:CX98,$H78:$H98)</f>
        <v>0</v>
      </c>
      <c r="CY77" s="465">
        <f t="shared" ref="CY77" si="359">SUMPRODUCT(CY78:CY98,$H78:$H98)</f>
        <v>0</v>
      </c>
      <c r="CZ77" s="465">
        <f t="shared" ref="CZ77" si="360">SUMPRODUCT(CZ78:CZ98,$H78:$H98)</f>
        <v>0</v>
      </c>
      <c r="DA77" s="465">
        <f t="shared" ref="DA77" si="361">SUMPRODUCT(DA78:DA98,$H78:$H98)</f>
        <v>0</v>
      </c>
      <c r="DB77" s="465">
        <f t="shared" ref="DB77" si="362">SUMPRODUCT(DB78:DB98,$H78:$H98)</f>
        <v>0</v>
      </c>
      <c r="DC77" s="465">
        <f t="shared" ref="DC77" si="363">SUMPRODUCT(DC78:DC98,$H78:$H98)</f>
        <v>0</v>
      </c>
      <c r="DD77" s="465">
        <f t="shared" ref="DD77" si="364">SUMPRODUCT(DD78:DD98,$H78:$H98)</f>
        <v>0</v>
      </c>
      <c r="DE77" s="465">
        <f t="shared" ref="DE77" si="365">SUMPRODUCT(DE78:DE98,$H78:$H98)</f>
        <v>0</v>
      </c>
      <c r="DF77" s="465">
        <f t="shared" ref="DF77" si="366">SUMPRODUCT(DF78:DF98,$H78:$H98)</f>
        <v>0</v>
      </c>
      <c r="DG77" s="465">
        <f t="shared" ref="DG77" si="367">SUMPRODUCT(DG78:DG98,$H78:$H98)</f>
        <v>0</v>
      </c>
      <c r="DH77" s="465">
        <f t="shared" ref="DH77" si="368">SUMPRODUCT(DH78:DH98,$H78:$H98)</f>
        <v>0</v>
      </c>
      <c r="DI77" s="465">
        <f t="shared" ref="DI77" si="369">SUMPRODUCT(DI78:DI98,$H78:$H98)</f>
        <v>0</v>
      </c>
    </row>
    <row r="78" spans="1:113" ht="16.05" customHeight="1" outlineLevel="1" x14ac:dyDescent="0.3">
      <c r="A78" s="455" t="str">
        <f t="shared" si="54"/>
        <v>Imprimir</v>
      </c>
      <c r="B78" s="455"/>
      <c r="C78" s="481"/>
      <c r="D78" s="463" t="s">
        <v>741</v>
      </c>
      <c r="E78" s="482" t="s">
        <v>662</v>
      </c>
      <c r="F78" s="483" t="s">
        <v>663</v>
      </c>
      <c r="G78" s="842">
        <v>3</v>
      </c>
      <c r="H78" s="485">
        <v>3551.23</v>
      </c>
      <c r="I78" s="466">
        <f t="shared" ref="I78:I79" si="370">G78*H78</f>
        <v>10653.69</v>
      </c>
      <c r="J78" s="259"/>
      <c r="K78" s="478">
        <f>SUM(N78:BI78)</f>
        <v>0</v>
      </c>
      <c r="L78" s="466">
        <f>K78*$H78</f>
        <v>0</v>
      </c>
      <c r="M78" s="257"/>
      <c r="N78" s="478"/>
      <c r="O78" s="478"/>
      <c r="P78" s="478"/>
      <c r="Q78" s="478"/>
      <c r="R78" s="478"/>
      <c r="S78" s="478"/>
      <c r="T78" s="478"/>
      <c r="U78" s="478"/>
      <c r="V78" s="478"/>
      <c r="W78" s="478"/>
      <c r="X78" s="478"/>
      <c r="Y78" s="478"/>
      <c r="Z78" s="478"/>
      <c r="AA78" s="478"/>
      <c r="AB78" s="478"/>
      <c r="AC78" s="478"/>
      <c r="AD78" s="478"/>
      <c r="AE78" s="478"/>
      <c r="AF78" s="478"/>
      <c r="AG78" s="478"/>
      <c r="AH78" s="478"/>
      <c r="AI78" s="478"/>
      <c r="AJ78" s="478"/>
      <c r="AK78" s="478"/>
      <c r="AL78" s="478"/>
      <c r="AM78" s="478"/>
      <c r="AN78" s="478"/>
      <c r="AO78" s="478"/>
      <c r="AP78" s="478"/>
      <c r="AQ78" s="478"/>
      <c r="AR78" s="478"/>
      <c r="AS78" s="478"/>
      <c r="AT78" s="478"/>
      <c r="AU78" s="478"/>
      <c r="AV78" s="478"/>
      <c r="AW78" s="478"/>
      <c r="AX78" s="478"/>
      <c r="AY78" s="478"/>
      <c r="AZ78" s="478"/>
      <c r="BA78" s="478"/>
      <c r="BB78" s="478"/>
      <c r="BC78" s="478"/>
      <c r="BD78" s="478"/>
      <c r="BE78" s="478"/>
      <c r="BF78" s="478"/>
      <c r="BG78" s="478"/>
      <c r="BH78" s="478"/>
      <c r="BI78" s="478"/>
      <c r="BJ78" s="245"/>
      <c r="BK78" s="477">
        <f>IFERROR(BL78/I78,0)</f>
        <v>0.33333333333333331</v>
      </c>
      <c r="BL78" s="466">
        <f>SUM(BN78:DJ78)*$H78</f>
        <v>3551.23</v>
      </c>
      <c r="BM78" s="257"/>
      <c r="BN78" s="478"/>
      <c r="BO78" s="478"/>
      <c r="BP78" s="478"/>
      <c r="BQ78" s="478"/>
      <c r="BR78" s="478"/>
      <c r="BS78" s="478"/>
      <c r="BT78" s="478"/>
      <c r="BU78" s="478"/>
      <c r="BV78" s="478"/>
      <c r="BW78" s="478"/>
      <c r="BX78" s="478"/>
      <c r="BY78" s="478"/>
      <c r="BZ78" s="478">
        <v>1</v>
      </c>
      <c r="CA78" s="478"/>
      <c r="CB78" s="478"/>
      <c r="CC78" s="478"/>
      <c r="CD78" s="478"/>
      <c r="CE78" s="478"/>
      <c r="CF78" s="478"/>
      <c r="CG78" s="478"/>
      <c r="CH78" s="478"/>
      <c r="CI78" s="478"/>
      <c r="CJ78" s="478"/>
      <c r="CK78" s="478"/>
      <c r="CL78" s="478"/>
      <c r="CM78" s="478"/>
      <c r="CN78" s="478"/>
      <c r="CO78" s="478"/>
      <c r="CP78" s="478"/>
      <c r="CQ78" s="478"/>
      <c r="CR78" s="478"/>
      <c r="CS78" s="478"/>
      <c r="CT78" s="478"/>
      <c r="CU78" s="478"/>
      <c r="CV78" s="478"/>
      <c r="CW78" s="478"/>
      <c r="CX78" s="478"/>
      <c r="CY78" s="478"/>
      <c r="CZ78" s="478"/>
      <c r="DA78" s="478"/>
      <c r="DB78" s="478"/>
      <c r="DC78" s="478"/>
      <c r="DD78" s="478"/>
      <c r="DE78" s="478"/>
      <c r="DF78" s="478"/>
      <c r="DG78" s="478"/>
      <c r="DH78" s="478"/>
      <c r="DI78" s="478"/>
    </row>
    <row r="79" spans="1:113" ht="16.05" customHeight="1" outlineLevel="1" x14ac:dyDescent="0.3">
      <c r="A79" s="455" t="str">
        <f t="shared" si="54"/>
        <v>Imprimir</v>
      </c>
      <c r="B79" s="455"/>
      <c r="C79" s="481"/>
      <c r="D79" s="463" t="s">
        <v>742</v>
      </c>
      <c r="E79" s="482" t="s">
        <v>665</v>
      </c>
      <c r="F79" s="483" t="s">
        <v>666</v>
      </c>
      <c r="G79" s="484">
        <f>8*G78</f>
        <v>24</v>
      </c>
      <c r="H79" s="485">
        <v>102.32</v>
      </c>
      <c r="I79" s="466">
        <f t="shared" si="370"/>
        <v>2455.6799999999998</v>
      </c>
      <c r="J79" s="259"/>
      <c r="K79" s="478">
        <f t="shared" ref="K79" si="371">SUM(N79:BI79)</f>
        <v>0</v>
      </c>
      <c r="L79" s="466">
        <f t="shared" ref="L79:L97" si="372">K79*$H79</f>
        <v>0</v>
      </c>
      <c r="M79" s="257"/>
      <c r="N79" s="478"/>
      <c r="O79" s="478"/>
      <c r="P79" s="478"/>
      <c r="Q79" s="478"/>
      <c r="R79" s="478"/>
      <c r="S79" s="478"/>
      <c r="T79" s="478"/>
      <c r="U79" s="478"/>
      <c r="V79" s="478"/>
      <c r="W79" s="478"/>
      <c r="X79" s="478"/>
      <c r="Y79" s="478"/>
      <c r="Z79" s="478"/>
      <c r="AA79" s="478"/>
      <c r="AB79" s="478"/>
      <c r="AC79" s="478"/>
      <c r="AD79" s="478"/>
      <c r="AE79" s="478"/>
      <c r="AF79" s="478"/>
      <c r="AG79" s="478"/>
      <c r="AH79" s="478"/>
      <c r="AI79" s="478"/>
      <c r="AJ79" s="478"/>
      <c r="AK79" s="478"/>
      <c r="AL79" s="478"/>
      <c r="AM79" s="478"/>
      <c r="AN79" s="478"/>
      <c r="AO79" s="478"/>
      <c r="AP79" s="478"/>
      <c r="AQ79" s="478"/>
      <c r="AR79" s="478"/>
      <c r="AS79" s="478"/>
      <c r="AT79" s="478"/>
      <c r="AU79" s="478"/>
      <c r="AV79" s="478"/>
      <c r="AW79" s="478"/>
      <c r="AX79" s="478"/>
      <c r="AY79" s="478"/>
      <c r="AZ79" s="478"/>
      <c r="BA79" s="478"/>
      <c r="BB79" s="478"/>
      <c r="BC79" s="478"/>
      <c r="BD79" s="478"/>
      <c r="BE79" s="478"/>
      <c r="BF79" s="478"/>
      <c r="BG79" s="478"/>
      <c r="BH79" s="478"/>
      <c r="BI79" s="478"/>
      <c r="BJ79" s="245"/>
      <c r="BK79" s="477">
        <f t="shared" ref="BK79" si="373">IFERROR(BL79/I79,0)</f>
        <v>0.33333333333333331</v>
      </c>
      <c r="BL79" s="466">
        <f t="shared" ref="BL79" si="374">SUM(BN79:DJ79)*$H79</f>
        <v>818.56</v>
      </c>
      <c r="BM79" s="257"/>
      <c r="BN79" s="478">
        <f t="shared" ref="BN79" si="375">8*BN78</f>
        <v>0</v>
      </c>
      <c r="BO79" s="478">
        <f t="shared" ref="BO79" si="376">8*BO78</f>
        <v>0</v>
      </c>
      <c r="BP79" s="478">
        <f t="shared" ref="BP79" si="377">8*BP78</f>
        <v>0</v>
      </c>
      <c r="BQ79" s="478">
        <f t="shared" ref="BQ79" si="378">8*BQ78</f>
        <v>0</v>
      </c>
      <c r="BR79" s="478">
        <f t="shared" ref="BR79" si="379">8*BR78</f>
        <v>0</v>
      </c>
      <c r="BS79" s="478">
        <f t="shared" ref="BS79" si="380">8*BS78</f>
        <v>0</v>
      </c>
      <c r="BT79" s="478">
        <f t="shared" ref="BT79" si="381">8*BT78</f>
        <v>0</v>
      </c>
      <c r="BU79" s="478">
        <f t="shared" ref="BU79" si="382">8*BU78</f>
        <v>0</v>
      </c>
      <c r="BV79" s="478">
        <f t="shared" ref="BV79" si="383">8*BV78</f>
        <v>0</v>
      </c>
      <c r="BW79" s="478">
        <f t="shared" ref="BW79" si="384">8*BW78</f>
        <v>0</v>
      </c>
      <c r="BX79" s="478">
        <f t="shared" ref="BX79" si="385">8*BX78</f>
        <v>0</v>
      </c>
      <c r="BY79" s="478">
        <f t="shared" ref="BY79" si="386">8*BY78</f>
        <v>0</v>
      </c>
      <c r="BZ79" s="478">
        <f t="shared" ref="BZ79" si="387">8*BZ78</f>
        <v>8</v>
      </c>
      <c r="CA79" s="478">
        <f t="shared" ref="CA79" si="388">8*CA78</f>
        <v>0</v>
      </c>
      <c r="CB79" s="478">
        <f t="shared" ref="CB79" si="389">8*CB78</f>
        <v>0</v>
      </c>
      <c r="CC79" s="478">
        <f t="shared" ref="CC79" si="390">8*CC78</f>
        <v>0</v>
      </c>
      <c r="CD79" s="478">
        <f t="shared" ref="CD79" si="391">8*CD78</f>
        <v>0</v>
      </c>
      <c r="CE79" s="478">
        <f t="shared" ref="CE79" si="392">8*CE78</f>
        <v>0</v>
      </c>
      <c r="CF79" s="478">
        <f t="shared" ref="CF79" si="393">8*CF78</f>
        <v>0</v>
      </c>
      <c r="CG79" s="478">
        <f t="shared" ref="CG79" si="394">8*CG78</f>
        <v>0</v>
      </c>
      <c r="CH79" s="478">
        <f t="shared" ref="CH79" si="395">8*CH78</f>
        <v>0</v>
      </c>
      <c r="CI79" s="478">
        <f t="shared" ref="CI79" si="396">8*CI78</f>
        <v>0</v>
      </c>
      <c r="CJ79" s="478">
        <f t="shared" ref="CJ79" si="397">8*CJ78</f>
        <v>0</v>
      </c>
      <c r="CK79" s="478">
        <f t="shared" ref="CK79" si="398">8*CK78</f>
        <v>0</v>
      </c>
      <c r="CL79" s="478">
        <f t="shared" ref="CL79" si="399">8*CL78</f>
        <v>0</v>
      </c>
      <c r="CM79" s="478">
        <f t="shared" ref="CM79" si="400">8*CM78</f>
        <v>0</v>
      </c>
      <c r="CN79" s="478">
        <f t="shared" ref="CN79" si="401">8*CN78</f>
        <v>0</v>
      </c>
      <c r="CO79" s="478">
        <f t="shared" ref="CO79" si="402">8*CO78</f>
        <v>0</v>
      </c>
      <c r="CP79" s="478">
        <f t="shared" ref="CP79" si="403">8*CP78</f>
        <v>0</v>
      </c>
      <c r="CQ79" s="478">
        <f t="shared" ref="CQ79" si="404">8*CQ78</f>
        <v>0</v>
      </c>
      <c r="CR79" s="478">
        <f t="shared" ref="CR79" si="405">8*CR78</f>
        <v>0</v>
      </c>
      <c r="CS79" s="478">
        <f t="shared" ref="CS79" si="406">8*CS78</f>
        <v>0</v>
      </c>
      <c r="CT79" s="478">
        <f t="shared" ref="CT79" si="407">8*CT78</f>
        <v>0</v>
      </c>
      <c r="CU79" s="478">
        <f t="shared" ref="CU79" si="408">8*CU78</f>
        <v>0</v>
      </c>
      <c r="CV79" s="478">
        <f t="shared" ref="CV79" si="409">8*CV78</f>
        <v>0</v>
      </c>
      <c r="CW79" s="478">
        <f t="shared" ref="CW79" si="410">8*CW78</f>
        <v>0</v>
      </c>
      <c r="CX79" s="478">
        <f t="shared" ref="CX79" si="411">8*CX78</f>
        <v>0</v>
      </c>
      <c r="CY79" s="478">
        <f t="shared" ref="CY79" si="412">8*CY78</f>
        <v>0</v>
      </c>
      <c r="CZ79" s="478">
        <f t="shared" ref="CZ79" si="413">8*CZ78</f>
        <v>0</v>
      </c>
      <c r="DA79" s="478">
        <f t="shared" ref="DA79" si="414">8*DA78</f>
        <v>0</v>
      </c>
      <c r="DB79" s="478">
        <f t="shared" ref="DB79" si="415">8*DB78</f>
        <v>0</v>
      </c>
      <c r="DC79" s="478">
        <f t="shared" ref="DC79" si="416">8*DC78</f>
        <v>0</v>
      </c>
      <c r="DD79" s="478">
        <f t="shared" ref="DD79" si="417">8*DD78</f>
        <v>0</v>
      </c>
      <c r="DE79" s="478">
        <f t="shared" ref="DE79" si="418">8*DE78</f>
        <v>0</v>
      </c>
      <c r="DF79" s="478">
        <f t="shared" ref="DF79" si="419">8*DF78</f>
        <v>0</v>
      </c>
      <c r="DG79" s="478">
        <f t="shared" ref="DG79" si="420">8*DG78</f>
        <v>0</v>
      </c>
      <c r="DH79" s="478">
        <f t="shared" ref="DH79" si="421">8*DH78</f>
        <v>0</v>
      </c>
      <c r="DI79" s="478">
        <f t="shared" ref="DI79" si="422">8*DI78</f>
        <v>0</v>
      </c>
    </row>
    <row r="80" spans="1:113" ht="16.05" customHeight="1" outlineLevel="1" x14ac:dyDescent="0.3">
      <c r="A80" s="455" t="str">
        <f t="shared" si="54"/>
        <v>Imprimir</v>
      </c>
      <c r="B80" s="455"/>
      <c r="C80" s="481"/>
      <c r="D80" s="463" t="s">
        <v>743</v>
      </c>
      <c r="E80" s="482" t="s">
        <v>668</v>
      </c>
      <c r="F80" s="483" t="s">
        <v>669</v>
      </c>
      <c r="G80" s="484">
        <f>1.1*G78</f>
        <v>3.3000000000000003</v>
      </c>
      <c r="H80" s="485">
        <v>3586.42</v>
      </c>
      <c r="I80" s="466">
        <f t="shared" ref="I80:I97" si="423">G80*H80</f>
        <v>11835.186000000002</v>
      </c>
      <c r="J80" s="259"/>
      <c r="K80" s="478">
        <f t="shared" ref="K80:K97" si="424">SUM(N80:BI80)</f>
        <v>0</v>
      </c>
      <c r="L80" s="466">
        <f t="shared" si="372"/>
        <v>0</v>
      </c>
      <c r="M80" s="257"/>
      <c r="N80" s="478"/>
      <c r="O80" s="478"/>
      <c r="P80" s="478"/>
      <c r="Q80" s="478"/>
      <c r="R80" s="478"/>
      <c r="S80" s="478"/>
      <c r="T80" s="478"/>
      <c r="U80" s="478"/>
      <c r="V80" s="478"/>
      <c r="W80" s="478"/>
      <c r="X80" s="478"/>
      <c r="Y80" s="478"/>
      <c r="Z80" s="478"/>
      <c r="AA80" s="478"/>
      <c r="AB80" s="478"/>
      <c r="AC80" s="478"/>
      <c r="AD80" s="478"/>
      <c r="AE80" s="478"/>
      <c r="AF80" s="478"/>
      <c r="AG80" s="478"/>
      <c r="AH80" s="478"/>
      <c r="AI80" s="478"/>
      <c r="AJ80" s="478"/>
      <c r="AK80" s="478"/>
      <c r="AL80" s="478"/>
      <c r="AM80" s="478"/>
      <c r="AN80" s="478"/>
      <c r="AO80" s="478"/>
      <c r="AP80" s="478"/>
      <c r="AQ80" s="478"/>
      <c r="AR80" s="478"/>
      <c r="AS80" s="478"/>
      <c r="AT80" s="478"/>
      <c r="AU80" s="478"/>
      <c r="AV80" s="478"/>
      <c r="AW80" s="478"/>
      <c r="AX80" s="478"/>
      <c r="AY80" s="478"/>
      <c r="AZ80" s="478"/>
      <c r="BA80" s="478"/>
      <c r="BB80" s="478"/>
      <c r="BC80" s="478"/>
      <c r="BD80" s="478"/>
      <c r="BE80" s="478"/>
      <c r="BF80" s="478"/>
      <c r="BG80" s="478"/>
      <c r="BH80" s="478"/>
      <c r="BI80" s="478"/>
      <c r="BJ80" s="245"/>
      <c r="BK80" s="477">
        <f t="shared" ref="BK80:BK97" si="425">IFERROR(BL80/I80,0)</f>
        <v>0.36363636363636359</v>
      </c>
      <c r="BL80" s="466">
        <f t="shared" ref="BL80:BL97" si="426">SUM(BN80:DJ80)*$H80</f>
        <v>4303.7039999999997</v>
      </c>
      <c r="BM80" s="257"/>
      <c r="BN80" s="478">
        <f t="shared" ref="BN80:DI80" si="427">1.2*BN78</f>
        <v>0</v>
      </c>
      <c r="BO80" s="478">
        <f t="shared" si="427"/>
        <v>0</v>
      </c>
      <c r="BP80" s="478">
        <f t="shared" si="427"/>
        <v>0</v>
      </c>
      <c r="BQ80" s="478">
        <f t="shared" si="427"/>
        <v>0</v>
      </c>
      <c r="BR80" s="478">
        <f t="shared" si="427"/>
        <v>0</v>
      </c>
      <c r="BS80" s="478">
        <f t="shared" si="427"/>
        <v>0</v>
      </c>
      <c r="BT80" s="478">
        <f t="shared" si="427"/>
        <v>0</v>
      </c>
      <c r="BU80" s="478">
        <f t="shared" si="427"/>
        <v>0</v>
      </c>
      <c r="BV80" s="478">
        <f t="shared" si="427"/>
        <v>0</v>
      </c>
      <c r="BW80" s="478">
        <f t="shared" si="427"/>
        <v>0</v>
      </c>
      <c r="BX80" s="478">
        <f t="shared" si="427"/>
        <v>0</v>
      </c>
      <c r="BY80" s="478">
        <f t="shared" si="427"/>
        <v>0</v>
      </c>
      <c r="BZ80" s="478">
        <f t="shared" si="427"/>
        <v>1.2</v>
      </c>
      <c r="CA80" s="478">
        <f t="shared" si="427"/>
        <v>0</v>
      </c>
      <c r="CB80" s="478">
        <f t="shared" si="427"/>
        <v>0</v>
      </c>
      <c r="CC80" s="478">
        <f t="shared" si="427"/>
        <v>0</v>
      </c>
      <c r="CD80" s="478">
        <f t="shared" si="427"/>
        <v>0</v>
      </c>
      <c r="CE80" s="478">
        <f t="shared" si="427"/>
        <v>0</v>
      </c>
      <c r="CF80" s="478">
        <f t="shared" si="427"/>
        <v>0</v>
      </c>
      <c r="CG80" s="478">
        <f t="shared" si="427"/>
        <v>0</v>
      </c>
      <c r="CH80" s="478">
        <f t="shared" si="427"/>
        <v>0</v>
      </c>
      <c r="CI80" s="478">
        <f t="shared" si="427"/>
        <v>0</v>
      </c>
      <c r="CJ80" s="478">
        <f t="shared" si="427"/>
        <v>0</v>
      </c>
      <c r="CK80" s="478">
        <f t="shared" si="427"/>
        <v>0</v>
      </c>
      <c r="CL80" s="478">
        <f t="shared" si="427"/>
        <v>0</v>
      </c>
      <c r="CM80" s="478">
        <f t="shared" si="427"/>
        <v>0</v>
      </c>
      <c r="CN80" s="478">
        <f t="shared" si="427"/>
        <v>0</v>
      </c>
      <c r="CO80" s="478">
        <f t="shared" si="427"/>
        <v>0</v>
      </c>
      <c r="CP80" s="478">
        <f t="shared" si="427"/>
        <v>0</v>
      </c>
      <c r="CQ80" s="478">
        <f t="shared" si="427"/>
        <v>0</v>
      </c>
      <c r="CR80" s="478">
        <f t="shared" si="427"/>
        <v>0</v>
      </c>
      <c r="CS80" s="478">
        <f t="shared" si="427"/>
        <v>0</v>
      </c>
      <c r="CT80" s="478">
        <f t="shared" si="427"/>
        <v>0</v>
      </c>
      <c r="CU80" s="478">
        <f t="shared" si="427"/>
        <v>0</v>
      </c>
      <c r="CV80" s="478">
        <f t="shared" si="427"/>
        <v>0</v>
      </c>
      <c r="CW80" s="478">
        <f t="shared" si="427"/>
        <v>0</v>
      </c>
      <c r="CX80" s="478">
        <f t="shared" si="427"/>
        <v>0</v>
      </c>
      <c r="CY80" s="478">
        <f t="shared" si="427"/>
        <v>0</v>
      </c>
      <c r="CZ80" s="478">
        <f t="shared" si="427"/>
        <v>0</v>
      </c>
      <c r="DA80" s="478">
        <f t="shared" si="427"/>
        <v>0</v>
      </c>
      <c r="DB80" s="478">
        <f t="shared" si="427"/>
        <v>0</v>
      </c>
      <c r="DC80" s="478">
        <f t="shared" si="427"/>
        <v>0</v>
      </c>
      <c r="DD80" s="478">
        <f t="shared" si="427"/>
        <v>0</v>
      </c>
      <c r="DE80" s="478">
        <f t="shared" si="427"/>
        <v>0</v>
      </c>
      <c r="DF80" s="478">
        <f t="shared" si="427"/>
        <v>0</v>
      </c>
      <c r="DG80" s="478">
        <f t="shared" si="427"/>
        <v>0</v>
      </c>
      <c r="DH80" s="478">
        <f t="shared" si="427"/>
        <v>0</v>
      </c>
      <c r="DI80" s="478">
        <f t="shared" si="427"/>
        <v>0</v>
      </c>
    </row>
    <row r="81" spans="1:113" ht="16.05" customHeight="1" outlineLevel="1" x14ac:dyDescent="0.3">
      <c r="A81" s="455" t="str">
        <f t="shared" si="54"/>
        <v>Imprimir</v>
      </c>
      <c r="B81" s="455"/>
      <c r="C81" s="481"/>
      <c r="D81" s="463" t="s">
        <v>744</v>
      </c>
      <c r="E81" s="482" t="s">
        <v>671</v>
      </c>
      <c r="F81" s="483" t="s">
        <v>669</v>
      </c>
      <c r="G81" s="484">
        <f>0.04*G78</f>
        <v>0.12</v>
      </c>
      <c r="H81" s="485">
        <v>6658.98</v>
      </c>
      <c r="I81" s="466">
        <f t="shared" si="423"/>
        <v>799.07759999999996</v>
      </c>
      <c r="J81" s="259"/>
      <c r="K81" s="478">
        <f t="shared" si="424"/>
        <v>0</v>
      </c>
      <c r="L81" s="466">
        <f t="shared" si="372"/>
        <v>0</v>
      </c>
      <c r="M81" s="257"/>
      <c r="N81" s="478"/>
      <c r="O81" s="478"/>
      <c r="P81" s="478"/>
      <c r="Q81" s="478"/>
      <c r="R81" s="478"/>
      <c r="S81" s="478"/>
      <c r="T81" s="478"/>
      <c r="U81" s="478"/>
      <c r="V81" s="478"/>
      <c r="W81" s="478"/>
      <c r="X81" s="478"/>
      <c r="Y81" s="478"/>
      <c r="Z81" s="478"/>
      <c r="AA81" s="478"/>
      <c r="AB81" s="478"/>
      <c r="AC81" s="478"/>
      <c r="AD81" s="478"/>
      <c r="AE81" s="478"/>
      <c r="AF81" s="478"/>
      <c r="AG81" s="478"/>
      <c r="AH81" s="478"/>
      <c r="AI81" s="478"/>
      <c r="AJ81" s="478"/>
      <c r="AK81" s="478"/>
      <c r="AL81" s="478"/>
      <c r="AM81" s="478"/>
      <c r="AN81" s="478"/>
      <c r="AO81" s="478"/>
      <c r="AP81" s="478"/>
      <c r="AQ81" s="478"/>
      <c r="AR81" s="478"/>
      <c r="AS81" s="478"/>
      <c r="AT81" s="478"/>
      <c r="AU81" s="478"/>
      <c r="AV81" s="478"/>
      <c r="AW81" s="478"/>
      <c r="AX81" s="478"/>
      <c r="AY81" s="478"/>
      <c r="AZ81" s="478"/>
      <c r="BA81" s="478"/>
      <c r="BB81" s="478"/>
      <c r="BC81" s="478"/>
      <c r="BD81" s="478"/>
      <c r="BE81" s="478"/>
      <c r="BF81" s="478"/>
      <c r="BG81" s="478"/>
      <c r="BH81" s="478"/>
      <c r="BI81" s="478"/>
      <c r="BJ81" s="245"/>
      <c r="BK81" s="477">
        <f t="shared" si="425"/>
        <v>0.33333333333333331</v>
      </c>
      <c r="BL81" s="466">
        <f t="shared" si="426"/>
        <v>266.35919999999999</v>
      </c>
      <c r="BM81" s="257"/>
      <c r="BN81" s="478">
        <f t="shared" ref="BN81:DI81" si="428">0.04*BN78</f>
        <v>0</v>
      </c>
      <c r="BO81" s="478">
        <f t="shared" si="428"/>
        <v>0</v>
      </c>
      <c r="BP81" s="478">
        <f t="shared" si="428"/>
        <v>0</v>
      </c>
      <c r="BQ81" s="478">
        <f t="shared" si="428"/>
        <v>0</v>
      </c>
      <c r="BR81" s="478">
        <f t="shared" si="428"/>
        <v>0</v>
      </c>
      <c r="BS81" s="478">
        <f t="shared" si="428"/>
        <v>0</v>
      </c>
      <c r="BT81" s="478">
        <f t="shared" si="428"/>
        <v>0</v>
      </c>
      <c r="BU81" s="478">
        <f t="shared" si="428"/>
        <v>0</v>
      </c>
      <c r="BV81" s="478">
        <f t="shared" si="428"/>
        <v>0</v>
      </c>
      <c r="BW81" s="478">
        <f t="shared" si="428"/>
        <v>0</v>
      </c>
      <c r="BX81" s="478">
        <f t="shared" si="428"/>
        <v>0</v>
      </c>
      <c r="BY81" s="478">
        <f t="shared" si="428"/>
        <v>0</v>
      </c>
      <c r="BZ81" s="478">
        <f t="shared" si="428"/>
        <v>0.04</v>
      </c>
      <c r="CA81" s="478">
        <f t="shared" si="428"/>
        <v>0</v>
      </c>
      <c r="CB81" s="478">
        <f t="shared" si="428"/>
        <v>0</v>
      </c>
      <c r="CC81" s="478">
        <f t="shared" si="428"/>
        <v>0</v>
      </c>
      <c r="CD81" s="478">
        <f t="shared" si="428"/>
        <v>0</v>
      </c>
      <c r="CE81" s="478">
        <f t="shared" si="428"/>
        <v>0</v>
      </c>
      <c r="CF81" s="478">
        <f t="shared" si="428"/>
        <v>0</v>
      </c>
      <c r="CG81" s="478">
        <f t="shared" si="428"/>
        <v>0</v>
      </c>
      <c r="CH81" s="478">
        <f t="shared" si="428"/>
        <v>0</v>
      </c>
      <c r="CI81" s="478">
        <f t="shared" si="428"/>
        <v>0</v>
      </c>
      <c r="CJ81" s="478">
        <f t="shared" si="428"/>
        <v>0</v>
      </c>
      <c r="CK81" s="478">
        <f t="shared" si="428"/>
        <v>0</v>
      </c>
      <c r="CL81" s="478">
        <f t="shared" si="428"/>
        <v>0</v>
      </c>
      <c r="CM81" s="478">
        <f t="shared" si="428"/>
        <v>0</v>
      </c>
      <c r="CN81" s="478">
        <f t="shared" si="428"/>
        <v>0</v>
      </c>
      <c r="CO81" s="478">
        <f t="shared" si="428"/>
        <v>0</v>
      </c>
      <c r="CP81" s="478">
        <f t="shared" si="428"/>
        <v>0</v>
      </c>
      <c r="CQ81" s="478">
        <f t="shared" si="428"/>
        <v>0</v>
      </c>
      <c r="CR81" s="478">
        <f t="shared" si="428"/>
        <v>0</v>
      </c>
      <c r="CS81" s="478">
        <f t="shared" si="428"/>
        <v>0</v>
      </c>
      <c r="CT81" s="478">
        <f t="shared" si="428"/>
        <v>0</v>
      </c>
      <c r="CU81" s="478">
        <f t="shared" si="428"/>
        <v>0</v>
      </c>
      <c r="CV81" s="478">
        <f t="shared" si="428"/>
        <v>0</v>
      </c>
      <c r="CW81" s="478">
        <f t="shared" si="428"/>
        <v>0</v>
      </c>
      <c r="CX81" s="478">
        <f t="shared" si="428"/>
        <v>0</v>
      </c>
      <c r="CY81" s="478">
        <f t="shared" si="428"/>
        <v>0</v>
      </c>
      <c r="CZ81" s="478">
        <f t="shared" si="428"/>
        <v>0</v>
      </c>
      <c r="DA81" s="478">
        <f t="shared" si="428"/>
        <v>0</v>
      </c>
      <c r="DB81" s="478">
        <f t="shared" si="428"/>
        <v>0</v>
      </c>
      <c r="DC81" s="478">
        <f t="shared" si="428"/>
        <v>0</v>
      </c>
      <c r="DD81" s="478">
        <f t="shared" si="428"/>
        <v>0</v>
      </c>
      <c r="DE81" s="478">
        <f t="shared" si="428"/>
        <v>0</v>
      </c>
      <c r="DF81" s="478">
        <f t="shared" si="428"/>
        <v>0</v>
      </c>
      <c r="DG81" s="478">
        <f t="shared" si="428"/>
        <v>0</v>
      </c>
      <c r="DH81" s="478">
        <f t="shared" si="428"/>
        <v>0</v>
      </c>
      <c r="DI81" s="478">
        <f t="shared" si="428"/>
        <v>0</v>
      </c>
    </row>
    <row r="82" spans="1:113" ht="16.05" customHeight="1" outlineLevel="1" x14ac:dyDescent="0.3">
      <c r="A82" s="455" t="str">
        <f t="shared" si="54"/>
        <v>Imprimir</v>
      </c>
      <c r="B82" s="455"/>
      <c r="C82" s="481"/>
      <c r="D82" s="463" t="s">
        <v>745</v>
      </c>
      <c r="E82" s="482" t="s">
        <v>673</v>
      </c>
      <c r="F82" s="483" t="s">
        <v>669</v>
      </c>
      <c r="G82" s="484">
        <f>1.1*G78</f>
        <v>3.3000000000000003</v>
      </c>
      <c r="H82" s="485">
        <v>2123.23</v>
      </c>
      <c r="I82" s="466">
        <f t="shared" si="423"/>
        <v>7006.6590000000006</v>
      </c>
      <c r="J82" s="259"/>
      <c r="K82" s="478">
        <f t="shared" si="424"/>
        <v>0</v>
      </c>
      <c r="L82" s="466">
        <f t="shared" si="372"/>
        <v>0</v>
      </c>
      <c r="M82" s="257"/>
      <c r="N82" s="478"/>
      <c r="O82" s="478"/>
      <c r="P82" s="478"/>
      <c r="Q82" s="478"/>
      <c r="R82" s="478"/>
      <c r="S82" s="478"/>
      <c r="T82" s="478"/>
      <c r="U82" s="478"/>
      <c r="V82" s="478"/>
      <c r="W82" s="478"/>
      <c r="X82" s="478"/>
      <c r="Y82" s="478"/>
      <c r="Z82" s="478"/>
      <c r="AA82" s="478"/>
      <c r="AB82" s="478"/>
      <c r="AC82" s="478"/>
      <c r="AD82" s="478"/>
      <c r="AE82" s="478"/>
      <c r="AF82" s="478"/>
      <c r="AG82" s="478"/>
      <c r="AH82" s="478"/>
      <c r="AI82" s="478"/>
      <c r="AJ82" s="478"/>
      <c r="AK82" s="478"/>
      <c r="AL82" s="478"/>
      <c r="AM82" s="478"/>
      <c r="AN82" s="478"/>
      <c r="AO82" s="478"/>
      <c r="AP82" s="478"/>
      <c r="AQ82" s="478"/>
      <c r="AR82" s="478"/>
      <c r="AS82" s="478"/>
      <c r="AT82" s="478"/>
      <c r="AU82" s="478"/>
      <c r="AV82" s="478"/>
      <c r="AW82" s="478"/>
      <c r="AX82" s="478"/>
      <c r="AY82" s="478"/>
      <c r="AZ82" s="478"/>
      <c r="BA82" s="478"/>
      <c r="BB82" s="478"/>
      <c r="BC82" s="478"/>
      <c r="BD82" s="478"/>
      <c r="BE82" s="478"/>
      <c r="BF82" s="478"/>
      <c r="BG82" s="478"/>
      <c r="BH82" s="478"/>
      <c r="BI82" s="478"/>
      <c r="BJ82" s="245"/>
      <c r="BK82" s="477">
        <f t="shared" si="425"/>
        <v>0.36363636363636359</v>
      </c>
      <c r="BL82" s="466">
        <f t="shared" si="426"/>
        <v>2547.8759999999997</v>
      </c>
      <c r="BM82" s="257"/>
      <c r="BN82" s="478">
        <f t="shared" ref="BN82:DI82" si="429">1.2*BN78</f>
        <v>0</v>
      </c>
      <c r="BO82" s="478">
        <f t="shared" si="429"/>
        <v>0</v>
      </c>
      <c r="BP82" s="478">
        <f t="shared" si="429"/>
        <v>0</v>
      </c>
      <c r="BQ82" s="478">
        <f t="shared" si="429"/>
        <v>0</v>
      </c>
      <c r="BR82" s="478">
        <f t="shared" si="429"/>
        <v>0</v>
      </c>
      <c r="BS82" s="478">
        <f t="shared" si="429"/>
        <v>0</v>
      </c>
      <c r="BT82" s="478">
        <f t="shared" si="429"/>
        <v>0</v>
      </c>
      <c r="BU82" s="478">
        <f t="shared" si="429"/>
        <v>0</v>
      </c>
      <c r="BV82" s="478">
        <f t="shared" si="429"/>
        <v>0</v>
      </c>
      <c r="BW82" s="478">
        <f t="shared" si="429"/>
        <v>0</v>
      </c>
      <c r="BX82" s="478">
        <f t="shared" si="429"/>
        <v>0</v>
      </c>
      <c r="BY82" s="478">
        <f t="shared" si="429"/>
        <v>0</v>
      </c>
      <c r="BZ82" s="478">
        <f t="shared" si="429"/>
        <v>1.2</v>
      </c>
      <c r="CA82" s="478">
        <f t="shared" si="429"/>
        <v>0</v>
      </c>
      <c r="CB82" s="478">
        <f t="shared" si="429"/>
        <v>0</v>
      </c>
      <c r="CC82" s="478">
        <f t="shared" si="429"/>
        <v>0</v>
      </c>
      <c r="CD82" s="478">
        <f t="shared" si="429"/>
        <v>0</v>
      </c>
      <c r="CE82" s="478">
        <f t="shared" si="429"/>
        <v>0</v>
      </c>
      <c r="CF82" s="478">
        <f t="shared" si="429"/>
        <v>0</v>
      </c>
      <c r="CG82" s="478">
        <f t="shared" si="429"/>
        <v>0</v>
      </c>
      <c r="CH82" s="478">
        <f t="shared" si="429"/>
        <v>0</v>
      </c>
      <c r="CI82" s="478">
        <f t="shared" si="429"/>
        <v>0</v>
      </c>
      <c r="CJ82" s="478">
        <f t="shared" si="429"/>
        <v>0</v>
      </c>
      <c r="CK82" s="478">
        <f t="shared" si="429"/>
        <v>0</v>
      </c>
      <c r="CL82" s="478">
        <f t="shared" si="429"/>
        <v>0</v>
      </c>
      <c r="CM82" s="478">
        <f t="shared" si="429"/>
        <v>0</v>
      </c>
      <c r="CN82" s="478">
        <f t="shared" si="429"/>
        <v>0</v>
      </c>
      <c r="CO82" s="478">
        <f t="shared" si="429"/>
        <v>0</v>
      </c>
      <c r="CP82" s="478">
        <f t="shared" si="429"/>
        <v>0</v>
      </c>
      <c r="CQ82" s="478">
        <f t="shared" si="429"/>
        <v>0</v>
      </c>
      <c r="CR82" s="478">
        <f t="shared" si="429"/>
        <v>0</v>
      </c>
      <c r="CS82" s="478">
        <f t="shared" si="429"/>
        <v>0</v>
      </c>
      <c r="CT82" s="478">
        <f t="shared" si="429"/>
        <v>0</v>
      </c>
      <c r="CU82" s="478">
        <f t="shared" si="429"/>
        <v>0</v>
      </c>
      <c r="CV82" s="478">
        <f t="shared" si="429"/>
        <v>0</v>
      </c>
      <c r="CW82" s="478">
        <f t="shared" si="429"/>
        <v>0</v>
      </c>
      <c r="CX82" s="478">
        <f t="shared" si="429"/>
        <v>0</v>
      </c>
      <c r="CY82" s="478">
        <f t="shared" si="429"/>
        <v>0</v>
      </c>
      <c r="CZ82" s="478">
        <f t="shared" si="429"/>
        <v>0</v>
      </c>
      <c r="DA82" s="478">
        <f t="shared" si="429"/>
        <v>0</v>
      </c>
      <c r="DB82" s="478">
        <f t="shared" si="429"/>
        <v>0</v>
      </c>
      <c r="DC82" s="478">
        <f t="shared" si="429"/>
        <v>0</v>
      </c>
      <c r="DD82" s="478">
        <f t="shared" si="429"/>
        <v>0</v>
      </c>
      <c r="DE82" s="478">
        <f t="shared" si="429"/>
        <v>0</v>
      </c>
      <c r="DF82" s="478">
        <f t="shared" si="429"/>
        <v>0</v>
      </c>
      <c r="DG82" s="478">
        <f t="shared" si="429"/>
        <v>0</v>
      </c>
      <c r="DH82" s="478">
        <f t="shared" si="429"/>
        <v>0</v>
      </c>
      <c r="DI82" s="478">
        <f t="shared" si="429"/>
        <v>0</v>
      </c>
    </row>
    <row r="83" spans="1:113" ht="16.05" customHeight="1" outlineLevel="1" x14ac:dyDescent="0.3">
      <c r="A83" s="455" t="str">
        <f t="shared" si="54"/>
        <v>Imprimir</v>
      </c>
      <c r="B83" s="455"/>
      <c r="C83" s="481"/>
      <c r="D83" s="463" t="s">
        <v>746</v>
      </c>
      <c r="E83" s="482" t="s">
        <v>675</v>
      </c>
      <c r="F83" s="483" t="s">
        <v>666</v>
      </c>
      <c r="G83" s="484">
        <f>1*G78</f>
        <v>3</v>
      </c>
      <c r="H83" s="485">
        <v>131.16</v>
      </c>
      <c r="I83" s="466">
        <f t="shared" si="423"/>
        <v>393.48</v>
      </c>
      <c r="J83" s="259"/>
      <c r="K83" s="478">
        <f t="shared" si="424"/>
        <v>0</v>
      </c>
      <c r="L83" s="466">
        <f t="shared" si="372"/>
        <v>0</v>
      </c>
      <c r="M83" s="257"/>
      <c r="N83" s="478"/>
      <c r="O83" s="478"/>
      <c r="P83" s="478"/>
      <c r="Q83" s="478"/>
      <c r="R83" s="478"/>
      <c r="S83" s="478"/>
      <c r="T83" s="478"/>
      <c r="U83" s="478"/>
      <c r="V83" s="478"/>
      <c r="W83" s="478"/>
      <c r="X83" s="478"/>
      <c r="Y83" s="478"/>
      <c r="Z83" s="478"/>
      <c r="AA83" s="478"/>
      <c r="AB83" s="478"/>
      <c r="AC83" s="478"/>
      <c r="AD83" s="478"/>
      <c r="AE83" s="478"/>
      <c r="AF83" s="478"/>
      <c r="AG83" s="478"/>
      <c r="AH83" s="478"/>
      <c r="AI83" s="478"/>
      <c r="AJ83" s="478"/>
      <c r="AK83" s="478"/>
      <c r="AL83" s="478"/>
      <c r="AM83" s="478"/>
      <c r="AN83" s="478"/>
      <c r="AO83" s="478"/>
      <c r="AP83" s="478"/>
      <c r="AQ83" s="478"/>
      <c r="AR83" s="478"/>
      <c r="AS83" s="478"/>
      <c r="AT83" s="478"/>
      <c r="AU83" s="478"/>
      <c r="AV83" s="478"/>
      <c r="AW83" s="478"/>
      <c r="AX83" s="478"/>
      <c r="AY83" s="478"/>
      <c r="AZ83" s="478"/>
      <c r="BA83" s="478"/>
      <c r="BB83" s="478"/>
      <c r="BC83" s="478"/>
      <c r="BD83" s="478"/>
      <c r="BE83" s="478"/>
      <c r="BF83" s="478"/>
      <c r="BG83" s="478"/>
      <c r="BH83" s="478"/>
      <c r="BI83" s="478"/>
      <c r="BJ83" s="245"/>
      <c r="BK83" s="477">
        <f t="shared" si="425"/>
        <v>0.33333333333333331</v>
      </c>
      <c r="BL83" s="466">
        <f t="shared" si="426"/>
        <v>131.16</v>
      </c>
      <c r="BM83" s="257"/>
      <c r="BN83" s="478">
        <f t="shared" ref="BN83:DI83" si="430">1*BN78</f>
        <v>0</v>
      </c>
      <c r="BO83" s="478">
        <f t="shared" si="430"/>
        <v>0</v>
      </c>
      <c r="BP83" s="478">
        <f t="shared" si="430"/>
        <v>0</v>
      </c>
      <c r="BQ83" s="478">
        <f t="shared" si="430"/>
        <v>0</v>
      </c>
      <c r="BR83" s="478">
        <f t="shared" si="430"/>
        <v>0</v>
      </c>
      <c r="BS83" s="478">
        <f t="shared" si="430"/>
        <v>0</v>
      </c>
      <c r="BT83" s="478">
        <f t="shared" si="430"/>
        <v>0</v>
      </c>
      <c r="BU83" s="478">
        <f t="shared" si="430"/>
        <v>0</v>
      </c>
      <c r="BV83" s="478">
        <f t="shared" si="430"/>
        <v>0</v>
      </c>
      <c r="BW83" s="478">
        <f t="shared" si="430"/>
        <v>0</v>
      </c>
      <c r="BX83" s="478">
        <f t="shared" si="430"/>
        <v>0</v>
      </c>
      <c r="BY83" s="478">
        <f t="shared" si="430"/>
        <v>0</v>
      </c>
      <c r="BZ83" s="478">
        <f t="shared" si="430"/>
        <v>1</v>
      </c>
      <c r="CA83" s="478">
        <f t="shared" si="430"/>
        <v>0</v>
      </c>
      <c r="CB83" s="478">
        <f t="shared" si="430"/>
        <v>0</v>
      </c>
      <c r="CC83" s="478">
        <f t="shared" si="430"/>
        <v>0</v>
      </c>
      <c r="CD83" s="478">
        <f t="shared" si="430"/>
        <v>0</v>
      </c>
      <c r="CE83" s="478">
        <f t="shared" si="430"/>
        <v>0</v>
      </c>
      <c r="CF83" s="478">
        <f t="shared" si="430"/>
        <v>0</v>
      </c>
      <c r="CG83" s="478">
        <f t="shared" si="430"/>
        <v>0</v>
      </c>
      <c r="CH83" s="478">
        <f t="shared" si="430"/>
        <v>0</v>
      </c>
      <c r="CI83" s="478">
        <f t="shared" si="430"/>
        <v>0</v>
      </c>
      <c r="CJ83" s="478">
        <f t="shared" si="430"/>
        <v>0</v>
      </c>
      <c r="CK83" s="478">
        <f t="shared" si="430"/>
        <v>0</v>
      </c>
      <c r="CL83" s="478">
        <f t="shared" si="430"/>
        <v>0</v>
      </c>
      <c r="CM83" s="478">
        <f t="shared" si="430"/>
        <v>0</v>
      </c>
      <c r="CN83" s="478">
        <f t="shared" si="430"/>
        <v>0</v>
      </c>
      <c r="CO83" s="478">
        <f t="shared" si="430"/>
        <v>0</v>
      </c>
      <c r="CP83" s="478">
        <f t="shared" si="430"/>
        <v>0</v>
      </c>
      <c r="CQ83" s="478">
        <f t="shared" si="430"/>
        <v>0</v>
      </c>
      <c r="CR83" s="478">
        <f t="shared" si="430"/>
        <v>0</v>
      </c>
      <c r="CS83" s="478">
        <f t="shared" si="430"/>
        <v>0</v>
      </c>
      <c r="CT83" s="478">
        <f t="shared" si="430"/>
        <v>0</v>
      </c>
      <c r="CU83" s="478">
        <f t="shared" si="430"/>
        <v>0</v>
      </c>
      <c r="CV83" s="478">
        <f t="shared" si="430"/>
        <v>0</v>
      </c>
      <c r="CW83" s="478">
        <f t="shared" si="430"/>
        <v>0</v>
      </c>
      <c r="CX83" s="478">
        <f t="shared" si="430"/>
        <v>0</v>
      </c>
      <c r="CY83" s="478">
        <f t="shared" si="430"/>
        <v>0</v>
      </c>
      <c r="CZ83" s="478">
        <f t="shared" si="430"/>
        <v>0</v>
      </c>
      <c r="DA83" s="478">
        <f t="shared" si="430"/>
        <v>0</v>
      </c>
      <c r="DB83" s="478">
        <f t="shared" si="430"/>
        <v>0</v>
      </c>
      <c r="DC83" s="478">
        <f t="shared" si="430"/>
        <v>0</v>
      </c>
      <c r="DD83" s="478">
        <f t="shared" si="430"/>
        <v>0</v>
      </c>
      <c r="DE83" s="478">
        <f t="shared" si="430"/>
        <v>0</v>
      </c>
      <c r="DF83" s="478">
        <f t="shared" si="430"/>
        <v>0</v>
      </c>
      <c r="DG83" s="478">
        <f t="shared" si="430"/>
        <v>0</v>
      </c>
      <c r="DH83" s="478">
        <f t="shared" si="430"/>
        <v>0</v>
      </c>
      <c r="DI83" s="478">
        <f t="shared" si="430"/>
        <v>0</v>
      </c>
    </row>
    <row r="84" spans="1:113" ht="16.05" customHeight="1" outlineLevel="1" x14ac:dyDescent="0.3">
      <c r="A84" s="455" t="str">
        <f t="shared" si="54"/>
        <v>Imprimir</v>
      </c>
      <c r="B84" s="455"/>
      <c r="C84" s="481"/>
      <c r="D84" s="463" t="s">
        <v>747</v>
      </c>
      <c r="E84" s="482" t="s">
        <v>677</v>
      </c>
      <c r="F84" s="483" t="s">
        <v>678</v>
      </c>
      <c r="G84" s="484">
        <f>0.44*G78</f>
        <v>1.32</v>
      </c>
      <c r="H84" s="485">
        <v>250</v>
      </c>
      <c r="I84" s="466">
        <f t="shared" si="423"/>
        <v>330</v>
      </c>
      <c r="J84" s="259"/>
      <c r="K84" s="478">
        <f t="shared" si="424"/>
        <v>0</v>
      </c>
      <c r="L84" s="466">
        <f t="shared" si="372"/>
        <v>0</v>
      </c>
      <c r="M84" s="257"/>
      <c r="N84" s="478"/>
      <c r="O84" s="478"/>
      <c r="P84" s="478"/>
      <c r="Q84" s="478"/>
      <c r="R84" s="478"/>
      <c r="S84" s="478"/>
      <c r="T84" s="478"/>
      <c r="U84" s="478"/>
      <c r="V84" s="478"/>
      <c r="W84" s="478"/>
      <c r="X84" s="478"/>
      <c r="Y84" s="478"/>
      <c r="Z84" s="478"/>
      <c r="AA84" s="478"/>
      <c r="AB84" s="478"/>
      <c r="AC84" s="478"/>
      <c r="AD84" s="478"/>
      <c r="AE84" s="478"/>
      <c r="AF84" s="478"/>
      <c r="AG84" s="478"/>
      <c r="AH84" s="478"/>
      <c r="AI84" s="478"/>
      <c r="AJ84" s="478"/>
      <c r="AK84" s="478"/>
      <c r="AL84" s="478"/>
      <c r="AM84" s="478"/>
      <c r="AN84" s="478"/>
      <c r="AO84" s="478"/>
      <c r="AP84" s="478"/>
      <c r="AQ84" s="478"/>
      <c r="AR84" s="478"/>
      <c r="AS84" s="478"/>
      <c r="AT84" s="478"/>
      <c r="AU84" s="478"/>
      <c r="AV84" s="478"/>
      <c r="AW84" s="478"/>
      <c r="AX84" s="478"/>
      <c r="AY84" s="478"/>
      <c r="AZ84" s="478"/>
      <c r="BA84" s="478"/>
      <c r="BB84" s="478"/>
      <c r="BC84" s="478"/>
      <c r="BD84" s="478"/>
      <c r="BE84" s="478"/>
      <c r="BF84" s="478"/>
      <c r="BG84" s="478"/>
      <c r="BH84" s="478"/>
      <c r="BI84" s="478"/>
      <c r="BJ84" s="245"/>
      <c r="BK84" s="477">
        <f t="shared" si="425"/>
        <v>0.33333333333333331</v>
      </c>
      <c r="BL84" s="466">
        <f t="shared" si="426"/>
        <v>110</v>
      </c>
      <c r="BM84" s="257"/>
      <c r="BN84" s="478">
        <f t="shared" ref="BN84:DI84" si="431">0.44*BN78</f>
        <v>0</v>
      </c>
      <c r="BO84" s="478">
        <f t="shared" si="431"/>
        <v>0</v>
      </c>
      <c r="BP84" s="478">
        <f t="shared" si="431"/>
        <v>0</v>
      </c>
      <c r="BQ84" s="478">
        <f t="shared" si="431"/>
        <v>0</v>
      </c>
      <c r="BR84" s="478">
        <f t="shared" si="431"/>
        <v>0</v>
      </c>
      <c r="BS84" s="478">
        <f t="shared" si="431"/>
        <v>0</v>
      </c>
      <c r="BT84" s="478">
        <f t="shared" si="431"/>
        <v>0</v>
      </c>
      <c r="BU84" s="478">
        <f t="shared" si="431"/>
        <v>0</v>
      </c>
      <c r="BV84" s="478">
        <f t="shared" si="431"/>
        <v>0</v>
      </c>
      <c r="BW84" s="478">
        <f t="shared" si="431"/>
        <v>0</v>
      </c>
      <c r="BX84" s="478">
        <f t="shared" si="431"/>
        <v>0</v>
      </c>
      <c r="BY84" s="478">
        <f t="shared" si="431"/>
        <v>0</v>
      </c>
      <c r="BZ84" s="478">
        <f t="shared" si="431"/>
        <v>0.44</v>
      </c>
      <c r="CA84" s="478">
        <f t="shared" si="431"/>
        <v>0</v>
      </c>
      <c r="CB84" s="478">
        <f t="shared" si="431"/>
        <v>0</v>
      </c>
      <c r="CC84" s="478">
        <f t="shared" si="431"/>
        <v>0</v>
      </c>
      <c r="CD84" s="478">
        <f t="shared" si="431"/>
        <v>0</v>
      </c>
      <c r="CE84" s="478">
        <f t="shared" si="431"/>
        <v>0</v>
      </c>
      <c r="CF84" s="478">
        <f t="shared" si="431"/>
        <v>0</v>
      </c>
      <c r="CG84" s="478">
        <f t="shared" si="431"/>
        <v>0</v>
      </c>
      <c r="CH84" s="478">
        <f t="shared" si="431"/>
        <v>0</v>
      </c>
      <c r="CI84" s="478">
        <f t="shared" si="431"/>
        <v>0</v>
      </c>
      <c r="CJ84" s="478">
        <f t="shared" si="431"/>
        <v>0</v>
      </c>
      <c r="CK84" s="478">
        <f t="shared" si="431"/>
        <v>0</v>
      </c>
      <c r="CL84" s="478">
        <f t="shared" si="431"/>
        <v>0</v>
      </c>
      <c r="CM84" s="478">
        <f t="shared" si="431"/>
        <v>0</v>
      </c>
      <c r="CN84" s="478">
        <f t="shared" si="431"/>
        <v>0</v>
      </c>
      <c r="CO84" s="478">
        <f t="shared" si="431"/>
        <v>0</v>
      </c>
      <c r="CP84" s="478">
        <f t="shared" si="431"/>
        <v>0</v>
      </c>
      <c r="CQ84" s="478">
        <f t="shared" si="431"/>
        <v>0</v>
      </c>
      <c r="CR84" s="478">
        <f t="shared" si="431"/>
        <v>0</v>
      </c>
      <c r="CS84" s="478">
        <f t="shared" si="431"/>
        <v>0</v>
      </c>
      <c r="CT84" s="478">
        <f t="shared" si="431"/>
        <v>0</v>
      </c>
      <c r="CU84" s="478">
        <f t="shared" si="431"/>
        <v>0</v>
      </c>
      <c r="CV84" s="478">
        <f t="shared" si="431"/>
        <v>0</v>
      </c>
      <c r="CW84" s="478">
        <f t="shared" si="431"/>
        <v>0</v>
      </c>
      <c r="CX84" s="478">
        <f t="shared" si="431"/>
        <v>0</v>
      </c>
      <c r="CY84" s="478">
        <f t="shared" si="431"/>
        <v>0</v>
      </c>
      <c r="CZ84" s="478">
        <f t="shared" si="431"/>
        <v>0</v>
      </c>
      <c r="DA84" s="478">
        <f t="shared" si="431"/>
        <v>0</v>
      </c>
      <c r="DB84" s="478">
        <f t="shared" si="431"/>
        <v>0</v>
      </c>
      <c r="DC84" s="478">
        <f t="shared" si="431"/>
        <v>0</v>
      </c>
      <c r="DD84" s="478">
        <f t="shared" si="431"/>
        <v>0</v>
      </c>
      <c r="DE84" s="478">
        <f t="shared" si="431"/>
        <v>0</v>
      </c>
      <c r="DF84" s="478">
        <f t="shared" si="431"/>
        <v>0</v>
      </c>
      <c r="DG84" s="478">
        <f t="shared" si="431"/>
        <v>0</v>
      </c>
      <c r="DH84" s="478">
        <f t="shared" si="431"/>
        <v>0</v>
      </c>
      <c r="DI84" s="478">
        <f t="shared" si="431"/>
        <v>0</v>
      </c>
    </row>
    <row r="85" spans="1:113" ht="16.05" customHeight="1" outlineLevel="1" x14ac:dyDescent="0.3">
      <c r="A85" s="455" t="str">
        <f t="shared" si="54"/>
        <v>Imprimir</v>
      </c>
      <c r="B85" s="455"/>
      <c r="C85" s="481"/>
      <c r="D85" s="463" t="s">
        <v>748</v>
      </c>
      <c r="E85" s="482" t="s">
        <v>680</v>
      </c>
      <c r="F85" s="483" t="s">
        <v>681</v>
      </c>
      <c r="G85" s="484">
        <f>1*G78</f>
        <v>3</v>
      </c>
      <c r="H85" s="485">
        <v>21667.17</v>
      </c>
      <c r="I85" s="466">
        <f t="shared" si="423"/>
        <v>65001.509999999995</v>
      </c>
      <c r="J85" s="259"/>
      <c r="K85" s="478">
        <f t="shared" si="424"/>
        <v>0</v>
      </c>
      <c r="L85" s="466">
        <f t="shared" si="372"/>
        <v>0</v>
      </c>
      <c r="M85" s="257"/>
      <c r="N85" s="478"/>
      <c r="O85" s="478"/>
      <c r="P85" s="478"/>
      <c r="Q85" s="478"/>
      <c r="R85" s="478"/>
      <c r="S85" s="478"/>
      <c r="T85" s="478"/>
      <c r="U85" s="478"/>
      <c r="V85" s="478"/>
      <c r="W85" s="478"/>
      <c r="X85" s="478"/>
      <c r="Y85" s="478"/>
      <c r="Z85" s="478"/>
      <c r="AA85" s="478"/>
      <c r="AB85" s="478"/>
      <c r="AC85" s="478"/>
      <c r="AD85" s="478"/>
      <c r="AE85" s="478"/>
      <c r="AF85" s="478"/>
      <c r="AG85" s="478"/>
      <c r="AH85" s="478"/>
      <c r="AI85" s="478"/>
      <c r="AJ85" s="478"/>
      <c r="AK85" s="478"/>
      <c r="AL85" s="478"/>
      <c r="AM85" s="478"/>
      <c r="AN85" s="478"/>
      <c r="AO85" s="478"/>
      <c r="AP85" s="478"/>
      <c r="AQ85" s="478"/>
      <c r="AR85" s="478"/>
      <c r="AS85" s="478"/>
      <c r="AT85" s="478"/>
      <c r="AU85" s="478"/>
      <c r="AV85" s="478"/>
      <c r="AW85" s="478"/>
      <c r="AX85" s="478"/>
      <c r="AY85" s="478"/>
      <c r="AZ85" s="478"/>
      <c r="BA85" s="478"/>
      <c r="BB85" s="478"/>
      <c r="BC85" s="478"/>
      <c r="BD85" s="478"/>
      <c r="BE85" s="478"/>
      <c r="BF85" s="478"/>
      <c r="BG85" s="478"/>
      <c r="BH85" s="478"/>
      <c r="BI85" s="478"/>
      <c r="BJ85" s="245"/>
      <c r="BK85" s="477">
        <f t="shared" si="425"/>
        <v>0.33333333333333331</v>
      </c>
      <c r="BL85" s="466">
        <f t="shared" si="426"/>
        <v>21667.17</v>
      </c>
      <c r="BM85" s="257"/>
      <c r="BN85" s="478">
        <f t="shared" ref="BN85:DI85" si="432">1*BN78</f>
        <v>0</v>
      </c>
      <c r="BO85" s="478">
        <f t="shared" si="432"/>
        <v>0</v>
      </c>
      <c r="BP85" s="478">
        <f t="shared" si="432"/>
        <v>0</v>
      </c>
      <c r="BQ85" s="478">
        <f t="shared" si="432"/>
        <v>0</v>
      </c>
      <c r="BR85" s="478">
        <f t="shared" si="432"/>
        <v>0</v>
      </c>
      <c r="BS85" s="478">
        <f t="shared" si="432"/>
        <v>0</v>
      </c>
      <c r="BT85" s="478">
        <f t="shared" si="432"/>
        <v>0</v>
      </c>
      <c r="BU85" s="478">
        <f t="shared" si="432"/>
        <v>0</v>
      </c>
      <c r="BV85" s="478">
        <f t="shared" si="432"/>
        <v>0</v>
      </c>
      <c r="BW85" s="478">
        <f t="shared" si="432"/>
        <v>0</v>
      </c>
      <c r="BX85" s="478">
        <f t="shared" si="432"/>
        <v>0</v>
      </c>
      <c r="BY85" s="478">
        <f t="shared" si="432"/>
        <v>0</v>
      </c>
      <c r="BZ85" s="478">
        <f t="shared" si="432"/>
        <v>1</v>
      </c>
      <c r="CA85" s="478">
        <f t="shared" si="432"/>
        <v>0</v>
      </c>
      <c r="CB85" s="478">
        <f t="shared" si="432"/>
        <v>0</v>
      </c>
      <c r="CC85" s="478">
        <f t="shared" si="432"/>
        <v>0</v>
      </c>
      <c r="CD85" s="478">
        <f t="shared" si="432"/>
        <v>0</v>
      </c>
      <c r="CE85" s="478">
        <f t="shared" si="432"/>
        <v>0</v>
      </c>
      <c r="CF85" s="478">
        <f t="shared" si="432"/>
        <v>0</v>
      </c>
      <c r="CG85" s="478">
        <f t="shared" si="432"/>
        <v>0</v>
      </c>
      <c r="CH85" s="478">
        <f t="shared" si="432"/>
        <v>0</v>
      </c>
      <c r="CI85" s="478">
        <f t="shared" si="432"/>
        <v>0</v>
      </c>
      <c r="CJ85" s="478">
        <f t="shared" si="432"/>
        <v>0</v>
      </c>
      <c r="CK85" s="478">
        <f t="shared" si="432"/>
        <v>0</v>
      </c>
      <c r="CL85" s="478">
        <f t="shared" si="432"/>
        <v>0</v>
      </c>
      <c r="CM85" s="478">
        <f t="shared" si="432"/>
        <v>0</v>
      </c>
      <c r="CN85" s="478">
        <f t="shared" si="432"/>
        <v>0</v>
      </c>
      <c r="CO85" s="478">
        <f t="shared" si="432"/>
        <v>0</v>
      </c>
      <c r="CP85" s="478">
        <f t="shared" si="432"/>
        <v>0</v>
      </c>
      <c r="CQ85" s="478">
        <f t="shared" si="432"/>
        <v>0</v>
      </c>
      <c r="CR85" s="478">
        <f t="shared" si="432"/>
        <v>0</v>
      </c>
      <c r="CS85" s="478">
        <f t="shared" si="432"/>
        <v>0</v>
      </c>
      <c r="CT85" s="478">
        <f t="shared" si="432"/>
        <v>0</v>
      </c>
      <c r="CU85" s="478">
        <f t="shared" si="432"/>
        <v>0</v>
      </c>
      <c r="CV85" s="478">
        <f t="shared" si="432"/>
        <v>0</v>
      </c>
      <c r="CW85" s="478">
        <f t="shared" si="432"/>
        <v>0</v>
      </c>
      <c r="CX85" s="478">
        <f t="shared" si="432"/>
        <v>0</v>
      </c>
      <c r="CY85" s="478">
        <f t="shared" si="432"/>
        <v>0</v>
      </c>
      <c r="CZ85" s="478">
        <f t="shared" si="432"/>
        <v>0</v>
      </c>
      <c r="DA85" s="478">
        <f t="shared" si="432"/>
        <v>0</v>
      </c>
      <c r="DB85" s="478">
        <f t="shared" si="432"/>
        <v>0</v>
      </c>
      <c r="DC85" s="478">
        <f t="shared" si="432"/>
        <v>0</v>
      </c>
      <c r="DD85" s="478">
        <f t="shared" si="432"/>
        <v>0</v>
      </c>
      <c r="DE85" s="478">
        <f t="shared" si="432"/>
        <v>0</v>
      </c>
      <c r="DF85" s="478">
        <f t="shared" si="432"/>
        <v>0</v>
      </c>
      <c r="DG85" s="478">
        <f t="shared" si="432"/>
        <v>0</v>
      </c>
      <c r="DH85" s="478">
        <f t="shared" si="432"/>
        <v>0</v>
      </c>
      <c r="DI85" s="478">
        <f t="shared" si="432"/>
        <v>0</v>
      </c>
    </row>
    <row r="86" spans="1:113" ht="16.05" customHeight="1" outlineLevel="1" x14ac:dyDescent="0.3">
      <c r="A86" s="455" t="str">
        <f t="shared" si="54"/>
        <v>Imprimir</v>
      </c>
      <c r="B86" s="455"/>
      <c r="C86" s="481"/>
      <c r="D86" s="463" t="s">
        <v>749</v>
      </c>
      <c r="E86" s="482" t="s">
        <v>683</v>
      </c>
      <c r="F86" s="483" t="s">
        <v>663</v>
      </c>
      <c r="G86" s="484">
        <f>6*G78</f>
        <v>18</v>
      </c>
      <c r="H86" s="485">
        <v>174.88</v>
      </c>
      <c r="I86" s="466">
        <f t="shared" si="423"/>
        <v>3147.84</v>
      </c>
      <c r="J86" s="259"/>
      <c r="K86" s="478">
        <f t="shared" si="424"/>
        <v>0</v>
      </c>
      <c r="L86" s="466">
        <f t="shared" si="372"/>
        <v>0</v>
      </c>
      <c r="M86" s="257"/>
      <c r="N86" s="478"/>
      <c r="O86" s="478"/>
      <c r="P86" s="478"/>
      <c r="Q86" s="478"/>
      <c r="R86" s="478"/>
      <c r="S86" s="478"/>
      <c r="T86" s="478"/>
      <c r="U86" s="478"/>
      <c r="V86" s="478"/>
      <c r="W86" s="478"/>
      <c r="X86" s="478"/>
      <c r="Y86" s="478"/>
      <c r="Z86" s="478"/>
      <c r="AA86" s="478"/>
      <c r="AB86" s="478"/>
      <c r="AC86" s="478"/>
      <c r="AD86" s="478"/>
      <c r="AE86" s="478"/>
      <c r="AF86" s="478"/>
      <c r="AG86" s="478"/>
      <c r="AH86" s="478"/>
      <c r="AI86" s="478"/>
      <c r="AJ86" s="478"/>
      <c r="AK86" s="478"/>
      <c r="AL86" s="478"/>
      <c r="AM86" s="478"/>
      <c r="AN86" s="478"/>
      <c r="AO86" s="478"/>
      <c r="AP86" s="478"/>
      <c r="AQ86" s="478"/>
      <c r="AR86" s="478"/>
      <c r="AS86" s="478"/>
      <c r="AT86" s="478"/>
      <c r="AU86" s="478"/>
      <c r="AV86" s="478"/>
      <c r="AW86" s="478"/>
      <c r="AX86" s="478"/>
      <c r="AY86" s="478"/>
      <c r="AZ86" s="478"/>
      <c r="BA86" s="478"/>
      <c r="BB86" s="478"/>
      <c r="BC86" s="478"/>
      <c r="BD86" s="478"/>
      <c r="BE86" s="478"/>
      <c r="BF86" s="478"/>
      <c r="BG86" s="478"/>
      <c r="BH86" s="478"/>
      <c r="BI86" s="478"/>
      <c r="BJ86" s="245"/>
      <c r="BK86" s="477">
        <f t="shared" si="425"/>
        <v>0.33333333333333331</v>
      </c>
      <c r="BL86" s="466">
        <f t="shared" si="426"/>
        <v>1049.28</v>
      </c>
      <c r="BM86" s="257"/>
      <c r="BN86" s="478">
        <f t="shared" ref="BN86:DI86" si="433">6*BN78</f>
        <v>0</v>
      </c>
      <c r="BO86" s="478">
        <f t="shared" si="433"/>
        <v>0</v>
      </c>
      <c r="BP86" s="478">
        <f t="shared" si="433"/>
        <v>0</v>
      </c>
      <c r="BQ86" s="478">
        <f t="shared" si="433"/>
        <v>0</v>
      </c>
      <c r="BR86" s="478">
        <f t="shared" si="433"/>
        <v>0</v>
      </c>
      <c r="BS86" s="478">
        <f t="shared" si="433"/>
        <v>0</v>
      </c>
      <c r="BT86" s="478">
        <f t="shared" si="433"/>
        <v>0</v>
      </c>
      <c r="BU86" s="478">
        <f t="shared" si="433"/>
        <v>0</v>
      </c>
      <c r="BV86" s="478">
        <f t="shared" si="433"/>
        <v>0</v>
      </c>
      <c r="BW86" s="478">
        <f t="shared" si="433"/>
        <v>0</v>
      </c>
      <c r="BX86" s="478">
        <f t="shared" si="433"/>
        <v>0</v>
      </c>
      <c r="BY86" s="478">
        <f t="shared" si="433"/>
        <v>0</v>
      </c>
      <c r="BZ86" s="478">
        <f t="shared" si="433"/>
        <v>6</v>
      </c>
      <c r="CA86" s="478">
        <f t="shared" si="433"/>
        <v>0</v>
      </c>
      <c r="CB86" s="478">
        <f t="shared" si="433"/>
        <v>0</v>
      </c>
      <c r="CC86" s="478">
        <f t="shared" si="433"/>
        <v>0</v>
      </c>
      <c r="CD86" s="478">
        <f t="shared" si="433"/>
        <v>0</v>
      </c>
      <c r="CE86" s="478">
        <f t="shared" si="433"/>
        <v>0</v>
      </c>
      <c r="CF86" s="478">
        <f t="shared" si="433"/>
        <v>0</v>
      </c>
      <c r="CG86" s="478">
        <f t="shared" si="433"/>
        <v>0</v>
      </c>
      <c r="CH86" s="478">
        <f t="shared" si="433"/>
        <v>0</v>
      </c>
      <c r="CI86" s="478">
        <f t="shared" si="433"/>
        <v>0</v>
      </c>
      <c r="CJ86" s="478">
        <f t="shared" si="433"/>
        <v>0</v>
      </c>
      <c r="CK86" s="478">
        <f t="shared" si="433"/>
        <v>0</v>
      </c>
      <c r="CL86" s="478">
        <f t="shared" si="433"/>
        <v>0</v>
      </c>
      <c r="CM86" s="478">
        <f t="shared" si="433"/>
        <v>0</v>
      </c>
      <c r="CN86" s="478">
        <f t="shared" si="433"/>
        <v>0</v>
      </c>
      <c r="CO86" s="478">
        <f t="shared" si="433"/>
        <v>0</v>
      </c>
      <c r="CP86" s="478">
        <f t="shared" si="433"/>
        <v>0</v>
      </c>
      <c r="CQ86" s="478">
        <f t="shared" si="433"/>
        <v>0</v>
      </c>
      <c r="CR86" s="478">
        <f t="shared" si="433"/>
        <v>0</v>
      </c>
      <c r="CS86" s="478">
        <f t="shared" si="433"/>
        <v>0</v>
      </c>
      <c r="CT86" s="478">
        <f t="shared" si="433"/>
        <v>0</v>
      </c>
      <c r="CU86" s="478">
        <f t="shared" si="433"/>
        <v>0</v>
      </c>
      <c r="CV86" s="478">
        <f t="shared" si="433"/>
        <v>0</v>
      </c>
      <c r="CW86" s="478">
        <f t="shared" si="433"/>
        <v>0</v>
      </c>
      <c r="CX86" s="478">
        <f t="shared" si="433"/>
        <v>0</v>
      </c>
      <c r="CY86" s="478">
        <f t="shared" si="433"/>
        <v>0</v>
      </c>
      <c r="CZ86" s="478">
        <f t="shared" si="433"/>
        <v>0</v>
      </c>
      <c r="DA86" s="478">
        <f t="shared" si="433"/>
        <v>0</v>
      </c>
      <c r="DB86" s="478">
        <f t="shared" si="433"/>
        <v>0</v>
      </c>
      <c r="DC86" s="478">
        <f t="shared" si="433"/>
        <v>0</v>
      </c>
      <c r="DD86" s="478">
        <f t="shared" si="433"/>
        <v>0</v>
      </c>
      <c r="DE86" s="478">
        <f t="shared" si="433"/>
        <v>0</v>
      </c>
      <c r="DF86" s="478">
        <f t="shared" si="433"/>
        <v>0</v>
      </c>
      <c r="DG86" s="478">
        <f t="shared" si="433"/>
        <v>0</v>
      </c>
      <c r="DH86" s="478">
        <f t="shared" si="433"/>
        <v>0</v>
      </c>
      <c r="DI86" s="478">
        <f t="shared" si="433"/>
        <v>0</v>
      </c>
    </row>
    <row r="87" spans="1:113" ht="16.05" customHeight="1" outlineLevel="1" x14ac:dyDescent="0.3">
      <c r="A87" s="455" t="str">
        <f t="shared" si="54"/>
        <v>Imprimir</v>
      </c>
      <c r="B87" s="455"/>
      <c r="C87" s="481"/>
      <c r="D87" s="463" t="s">
        <v>750</v>
      </c>
      <c r="E87" s="482" t="s">
        <v>685</v>
      </c>
      <c r="F87" s="483" t="s">
        <v>663</v>
      </c>
      <c r="G87" s="484">
        <f>2*G78</f>
        <v>6</v>
      </c>
      <c r="H87" s="485">
        <v>162.32</v>
      </c>
      <c r="I87" s="466">
        <f t="shared" si="423"/>
        <v>973.92</v>
      </c>
      <c r="J87" s="259"/>
      <c r="K87" s="478">
        <f t="shared" si="424"/>
        <v>0</v>
      </c>
      <c r="L87" s="466">
        <f t="shared" si="372"/>
        <v>0</v>
      </c>
      <c r="M87" s="257"/>
      <c r="N87" s="478"/>
      <c r="O87" s="478"/>
      <c r="P87" s="478"/>
      <c r="Q87" s="478"/>
      <c r="R87" s="478"/>
      <c r="S87" s="478"/>
      <c r="T87" s="478"/>
      <c r="U87" s="478"/>
      <c r="V87" s="478"/>
      <c r="W87" s="478"/>
      <c r="X87" s="478"/>
      <c r="Y87" s="478"/>
      <c r="Z87" s="478"/>
      <c r="AA87" s="478"/>
      <c r="AB87" s="478"/>
      <c r="AC87" s="478"/>
      <c r="AD87" s="478"/>
      <c r="AE87" s="478"/>
      <c r="AF87" s="478"/>
      <c r="AG87" s="478"/>
      <c r="AH87" s="478"/>
      <c r="AI87" s="478"/>
      <c r="AJ87" s="478"/>
      <c r="AK87" s="478"/>
      <c r="AL87" s="478"/>
      <c r="AM87" s="478"/>
      <c r="AN87" s="478"/>
      <c r="AO87" s="478"/>
      <c r="AP87" s="478"/>
      <c r="AQ87" s="478"/>
      <c r="AR87" s="478"/>
      <c r="AS87" s="478"/>
      <c r="AT87" s="478"/>
      <c r="AU87" s="478"/>
      <c r="AV87" s="478"/>
      <c r="AW87" s="478"/>
      <c r="AX87" s="478"/>
      <c r="AY87" s="478"/>
      <c r="AZ87" s="478"/>
      <c r="BA87" s="478"/>
      <c r="BB87" s="478"/>
      <c r="BC87" s="478"/>
      <c r="BD87" s="478"/>
      <c r="BE87" s="478"/>
      <c r="BF87" s="478"/>
      <c r="BG87" s="478"/>
      <c r="BH87" s="478"/>
      <c r="BI87" s="478"/>
      <c r="BJ87" s="245"/>
      <c r="BK87" s="477">
        <f t="shared" si="425"/>
        <v>0.33333333333333331</v>
      </c>
      <c r="BL87" s="466">
        <f t="shared" si="426"/>
        <v>324.64</v>
      </c>
      <c r="BM87" s="257"/>
      <c r="BN87" s="478">
        <f t="shared" ref="BN87:DI87" si="434">2*BN78</f>
        <v>0</v>
      </c>
      <c r="BO87" s="478">
        <f t="shared" si="434"/>
        <v>0</v>
      </c>
      <c r="BP87" s="478">
        <f t="shared" si="434"/>
        <v>0</v>
      </c>
      <c r="BQ87" s="478">
        <f t="shared" si="434"/>
        <v>0</v>
      </c>
      <c r="BR87" s="478">
        <f t="shared" si="434"/>
        <v>0</v>
      </c>
      <c r="BS87" s="478">
        <f t="shared" si="434"/>
        <v>0</v>
      </c>
      <c r="BT87" s="478">
        <f t="shared" si="434"/>
        <v>0</v>
      </c>
      <c r="BU87" s="478">
        <f t="shared" si="434"/>
        <v>0</v>
      </c>
      <c r="BV87" s="478">
        <f t="shared" si="434"/>
        <v>0</v>
      </c>
      <c r="BW87" s="478">
        <f t="shared" si="434"/>
        <v>0</v>
      </c>
      <c r="BX87" s="478">
        <f t="shared" si="434"/>
        <v>0</v>
      </c>
      <c r="BY87" s="478">
        <f t="shared" si="434"/>
        <v>0</v>
      </c>
      <c r="BZ87" s="478">
        <f t="shared" si="434"/>
        <v>2</v>
      </c>
      <c r="CA87" s="478">
        <f t="shared" si="434"/>
        <v>0</v>
      </c>
      <c r="CB87" s="478">
        <f t="shared" si="434"/>
        <v>0</v>
      </c>
      <c r="CC87" s="478">
        <f t="shared" si="434"/>
        <v>0</v>
      </c>
      <c r="CD87" s="478">
        <f t="shared" si="434"/>
        <v>0</v>
      </c>
      <c r="CE87" s="478">
        <f t="shared" si="434"/>
        <v>0</v>
      </c>
      <c r="CF87" s="478">
        <f t="shared" si="434"/>
        <v>0</v>
      </c>
      <c r="CG87" s="478">
        <f t="shared" si="434"/>
        <v>0</v>
      </c>
      <c r="CH87" s="478">
        <f t="shared" si="434"/>
        <v>0</v>
      </c>
      <c r="CI87" s="478">
        <f t="shared" si="434"/>
        <v>0</v>
      </c>
      <c r="CJ87" s="478">
        <f t="shared" si="434"/>
        <v>0</v>
      </c>
      <c r="CK87" s="478">
        <f t="shared" si="434"/>
        <v>0</v>
      </c>
      <c r="CL87" s="478">
        <f t="shared" si="434"/>
        <v>0</v>
      </c>
      <c r="CM87" s="478">
        <f t="shared" si="434"/>
        <v>0</v>
      </c>
      <c r="CN87" s="478">
        <f t="shared" si="434"/>
        <v>0</v>
      </c>
      <c r="CO87" s="478">
        <f t="shared" si="434"/>
        <v>0</v>
      </c>
      <c r="CP87" s="478">
        <f t="shared" si="434"/>
        <v>0</v>
      </c>
      <c r="CQ87" s="478">
        <f t="shared" si="434"/>
        <v>0</v>
      </c>
      <c r="CR87" s="478">
        <f t="shared" si="434"/>
        <v>0</v>
      </c>
      <c r="CS87" s="478">
        <f t="shared" si="434"/>
        <v>0</v>
      </c>
      <c r="CT87" s="478">
        <f t="shared" si="434"/>
        <v>0</v>
      </c>
      <c r="CU87" s="478">
        <f t="shared" si="434"/>
        <v>0</v>
      </c>
      <c r="CV87" s="478">
        <f t="shared" si="434"/>
        <v>0</v>
      </c>
      <c r="CW87" s="478">
        <f t="shared" si="434"/>
        <v>0</v>
      </c>
      <c r="CX87" s="478">
        <f t="shared" si="434"/>
        <v>0</v>
      </c>
      <c r="CY87" s="478">
        <f t="shared" si="434"/>
        <v>0</v>
      </c>
      <c r="CZ87" s="478">
        <f t="shared" si="434"/>
        <v>0</v>
      </c>
      <c r="DA87" s="478">
        <f t="shared" si="434"/>
        <v>0</v>
      </c>
      <c r="DB87" s="478">
        <f t="shared" si="434"/>
        <v>0</v>
      </c>
      <c r="DC87" s="478">
        <f t="shared" si="434"/>
        <v>0</v>
      </c>
      <c r="DD87" s="478">
        <f t="shared" si="434"/>
        <v>0</v>
      </c>
      <c r="DE87" s="478">
        <f t="shared" si="434"/>
        <v>0</v>
      </c>
      <c r="DF87" s="478">
        <f t="shared" si="434"/>
        <v>0</v>
      </c>
      <c r="DG87" s="478">
        <f t="shared" si="434"/>
        <v>0</v>
      </c>
      <c r="DH87" s="478">
        <f t="shared" si="434"/>
        <v>0</v>
      </c>
      <c r="DI87" s="478">
        <f t="shared" si="434"/>
        <v>0</v>
      </c>
    </row>
    <row r="88" spans="1:113" ht="16.05" customHeight="1" outlineLevel="1" x14ac:dyDescent="0.3">
      <c r="A88" s="455" t="str">
        <f t="shared" si="54"/>
        <v>Imprimir</v>
      </c>
      <c r="B88" s="455"/>
      <c r="C88" s="481"/>
      <c r="D88" s="463" t="s">
        <v>751</v>
      </c>
      <c r="E88" s="482" t="s">
        <v>687</v>
      </c>
      <c r="F88" s="483" t="s">
        <v>663</v>
      </c>
      <c r="G88" s="484">
        <f>1*G78</f>
        <v>3</v>
      </c>
      <c r="H88" s="485">
        <v>1255.3599999999999</v>
      </c>
      <c r="I88" s="466">
        <f t="shared" si="423"/>
        <v>3766.08</v>
      </c>
      <c r="J88" s="259"/>
      <c r="K88" s="478">
        <f t="shared" si="424"/>
        <v>0</v>
      </c>
      <c r="L88" s="466">
        <f t="shared" si="372"/>
        <v>0</v>
      </c>
      <c r="M88" s="257"/>
      <c r="N88" s="478"/>
      <c r="O88" s="478"/>
      <c r="P88" s="478"/>
      <c r="Q88" s="478"/>
      <c r="R88" s="478"/>
      <c r="S88" s="478"/>
      <c r="T88" s="478"/>
      <c r="U88" s="478"/>
      <c r="V88" s="478"/>
      <c r="W88" s="478"/>
      <c r="X88" s="478"/>
      <c r="Y88" s="478"/>
      <c r="Z88" s="478"/>
      <c r="AA88" s="478"/>
      <c r="AB88" s="478"/>
      <c r="AC88" s="478"/>
      <c r="AD88" s="478"/>
      <c r="AE88" s="478"/>
      <c r="AF88" s="478"/>
      <c r="AG88" s="478"/>
      <c r="AH88" s="478"/>
      <c r="AI88" s="478"/>
      <c r="AJ88" s="478"/>
      <c r="AK88" s="478"/>
      <c r="AL88" s="478"/>
      <c r="AM88" s="478"/>
      <c r="AN88" s="478"/>
      <c r="AO88" s="478"/>
      <c r="AP88" s="478"/>
      <c r="AQ88" s="478"/>
      <c r="AR88" s="478"/>
      <c r="AS88" s="478"/>
      <c r="AT88" s="478"/>
      <c r="AU88" s="478"/>
      <c r="AV88" s="478"/>
      <c r="AW88" s="478"/>
      <c r="AX88" s="478"/>
      <c r="AY88" s="478"/>
      <c r="AZ88" s="478"/>
      <c r="BA88" s="478"/>
      <c r="BB88" s="478"/>
      <c r="BC88" s="478"/>
      <c r="BD88" s="478"/>
      <c r="BE88" s="478"/>
      <c r="BF88" s="478"/>
      <c r="BG88" s="478"/>
      <c r="BH88" s="478"/>
      <c r="BI88" s="478"/>
      <c r="BJ88" s="245"/>
      <c r="BK88" s="477">
        <f t="shared" si="425"/>
        <v>0.33333333333333331</v>
      </c>
      <c r="BL88" s="466">
        <f t="shared" si="426"/>
        <v>1255.3599999999999</v>
      </c>
      <c r="BM88" s="257"/>
      <c r="BN88" s="478">
        <f t="shared" ref="BN88:DI88" si="435">1*BN78</f>
        <v>0</v>
      </c>
      <c r="BO88" s="478">
        <f t="shared" si="435"/>
        <v>0</v>
      </c>
      <c r="BP88" s="478">
        <f t="shared" si="435"/>
        <v>0</v>
      </c>
      <c r="BQ88" s="478">
        <f t="shared" si="435"/>
        <v>0</v>
      </c>
      <c r="BR88" s="478">
        <f t="shared" si="435"/>
        <v>0</v>
      </c>
      <c r="BS88" s="478">
        <f t="shared" si="435"/>
        <v>0</v>
      </c>
      <c r="BT88" s="478">
        <f t="shared" si="435"/>
        <v>0</v>
      </c>
      <c r="BU88" s="478">
        <f t="shared" si="435"/>
        <v>0</v>
      </c>
      <c r="BV88" s="478">
        <f t="shared" si="435"/>
        <v>0</v>
      </c>
      <c r="BW88" s="478">
        <f t="shared" si="435"/>
        <v>0</v>
      </c>
      <c r="BX88" s="478">
        <f t="shared" si="435"/>
        <v>0</v>
      </c>
      <c r="BY88" s="478">
        <f t="shared" si="435"/>
        <v>0</v>
      </c>
      <c r="BZ88" s="478">
        <f t="shared" si="435"/>
        <v>1</v>
      </c>
      <c r="CA88" s="478">
        <f t="shared" si="435"/>
        <v>0</v>
      </c>
      <c r="CB88" s="478">
        <f t="shared" si="435"/>
        <v>0</v>
      </c>
      <c r="CC88" s="478">
        <f t="shared" si="435"/>
        <v>0</v>
      </c>
      <c r="CD88" s="478">
        <f t="shared" si="435"/>
        <v>0</v>
      </c>
      <c r="CE88" s="478">
        <f t="shared" si="435"/>
        <v>0</v>
      </c>
      <c r="CF88" s="478">
        <f t="shared" si="435"/>
        <v>0</v>
      </c>
      <c r="CG88" s="478">
        <f t="shared" si="435"/>
        <v>0</v>
      </c>
      <c r="CH88" s="478">
        <f t="shared" si="435"/>
        <v>0</v>
      </c>
      <c r="CI88" s="478">
        <f t="shared" si="435"/>
        <v>0</v>
      </c>
      <c r="CJ88" s="478">
        <f t="shared" si="435"/>
        <v>0</v>
      </c>
      <c r="CK88" s="478">
        <f t="shared" si="435"/>
        <v>0</v>
      </c>
      <c r="CL88" s="478">
        <f t="shared" si="435"/>
        <v>0</v>
      </c>
      <c r="CM88" s="478">
        <f t="shared" si="435"/>
        <v>0</v>
      </c>
      <c r="CN88" s="478">
        <f t="shared" si="435"/>
        <v>0</v>
      </c>
      <c r="CO88" s="478">
        <f t="shared" si="435"/>
        <v>0</v>
      </c>
      <c r="CP88" s="478">
        <f t="shared" si="435"/>
        <v>0</v>
      </c>
      <c r="CQ88" s="478">
        <f t="shared" si="435"/>
        <v>0</v>
      </c>
      <c r="CR88" s="478">
        <f t="shared" si="435"/>
        <v>0</v>
      </c>
      <c r="CS88" s="478">
        <f t="shared" si="435"/>
        <v>0</v>
      </c>
      <c r="CT88" s="478">
        <f t="shared" si="435"/>
        <v>0</v>
      </c>
      <c r="CU88" s="478">
        <f t="shared" si="435"/>
        <v>0</v>
      </c>
      <c r="CV88" s="478">
        <f t="shared" si="435"/>
        <v>0</v>
      </c>
      <c r="CW88" s="478">
        <f t="shared" si="435"/>
        <v>0</v>
      </c>
      <c r="CX88" s="478">
        <f t="shared" si="435"/>
        <v>0</v>
      </c>
      <c r="CY88" s="478">
        <f t="shared" si="435"/>
        <v>0</v>
      </c>
      <c r="CZ88" s="478">
        <f t="shared" si="435"/>
        <v>0</v>
      </c>
      <c r="DA88" s="478">
        <f t="shared" si="435"/>
        <v>0</v>
      </c>
      <c r="DB88" s="478">
        <f t="shared" si="435"/>
        <v>0</v>
      </c>
      <c r="DC88" s="478">
        <f t="shared" si="435"/>
        <v>0</v>
      </c>
      <c r="DD88" s="478">
        <f t="shared" si="435"/>
        <v>0</v>
      </c>
      <c r="DE88" s="478">
        <f t="shared" si="435"/>
        <v>0</v>
      </c>
      <c r="DF88" s="478">
        <f t="shared" si="435"/>
        <v>0</v>
      </c>
      <c r="DG88" s="478">
        <f t="shared" si="435"/>
        <v>0</v>
      </c>
      <c r="DH88" s="478">
        <f t="shared" si="435"/>
        <v>0</v>
      </c>
      <c r="DI88" s="478">
        <f t="shared" si="435"/>
        <v>0</v>
      </c>
    </row>
    <row r="89" spans="1:113" ht="16.05" hidden="1" customHeight="1" outlineLevel="1" x14ac:dyDescent="0.3">
      <c r="A89" s="455" t="str">
        <f t="shared" si="54"/>
        <v/>
      </c>
      <c r="B89" s="455"/>
      <c r="C89" s="481"/>
      <c r="D89" s="463" t="s">
        <v>752</v>
      </c>
      <c r="E89" s="482"/>
      <c r="F89" s="483"/>
      <c r="G89" s="484"/>
      <c r="H89" s="485"/>
      <c r="I89" s="466">
        <f t="shared" si="423"/>
        <v>0</v>
      </c>
      <c r="J89" s="259"/>
      <c r="K89" s="478">
        <f t="shared" si="424"/>
        <v>0</v>
      </c>
      <c r="L89" s="466">
        <f t="shared" si="372"/>
        <v>0</v>
      </c>
      <c r="M89" s="257"/>
      <c r="N89" s="478"/>
      <c r="O89" s="478"/>
      <c r="P89" s="478"/>
      <c r="Q89" s="478"/>
      <c r="R89" s="478"/>
      <c r="S89" s="478"/>
      <c r="T89" s="478"/>
      <c r="U89" s="478"/>
      <c r="V89" s="478"/>
      <c r="W89" s="478"/>
      <c r="X89" s="478"/>
      <c r="Y89" s="478"/>
      <c r="Z89" s="478"/>
      <c r="AA89" s="478"/>
      <c r="AB89" s="478"/>
      <c r="AC89" s="478"/>
      <c r="AD89" s="478"/>
      <c r="AE89" s="478"/>
      <c r="AF89" s="478"/>
      <c r="AG89" s="478"/>
      <c r="AH89" s="478"/>
      <c r="AI89" s="478"/>
      <c r="AJ89" s="478"/>
      <c r="AK89" s="478"/>
      <c r="AL89" s="478"/>
      <c r="AM89" s="478"/>
      <c r="AN89" s="478"/>
      <c r="AO89" s="478"/>
      <c r="AP89" s="478"/>
      <c r="AQ89" s="478"/>
      <c r="AR89" s="478"/>
      <c r="AS89" s="478"/>
      <c r="AT89" s="478"/>
      <c r="AU89" s="478"/>
      <c r="AV89" s="478"/>
      <c r="AW89" s="478"/>
      <c r="AX89" s="478"/>
      <c r="AY89" s="478"/>
      <c r="AZ89" s="478"/>
      <c r="BA89" s="478"/>
      <c r="BB89" s="478"/>
      <c r="BC89" s="478"/>
      <c r="BD89" s="478"/>
      <c r="BE89" s="478"/>
      <c r="BF89" s="478"/>
      <c r="BG89" s="478"/>
      <c r="BH89" s="478"/>
      <c r="BI89" s="478"/>
      <c r="BJ89" s="245"/>
      <c r="BK89" s="477">
        <f t="shared" si="425"/>
        <v>0</v>
      </c>
      <c r="BL89" s="466">
        <f t="shared" si="426"/>
        <v>0</v>
      </c>
      <c r="BM89" s="257"/>
      <c r="BN89" s="478"/>
      <c r="BO89" s="478"/>
      <c r="BP89" s="478"/>
      <c r="BQ89" s="478"/>
      <c r="BR89" s="478"/>
      <c r="BS89" s="478"/>
      <c r="BT89" s="478"/>
      <c r="BU89" s="478"/>
      <c r="BV89" s="478"/>
      <c r="BW89" s="478"/>
      <c r="BX89" s="478"/>
      <c r="BY89" s="478"/>
      <c r="BZ89" s="478"/>
      <c r="CA89" s="478"/>
      <c r="CB89" s="478"/>
      <c r="CC89" s="478"/>
      <c r="CD89" s="478"/>
      <c r="CE89" s="478"/>
      <c r="CF89" s="478"/>
      <c r="CG89" s="478"/>
      <c r="CH89" s="478"/>
      <c r="CI89" s="478"/>
      <c r="CJ89" s="478"/>
      <c r="CK89" s="478"/>
      <c r="CL89" s="478"/>
      <c r="CM89" s="478"/>
      <c r="CN89" s="478"/>
      <c r="CO89" s="478"/>
      <c r="CP89" s="478"/>
      <c r="CQ89" s="478"/>
      <c r="CR89" s="478"/>
      <c r="CS89" s="478"/>
      <c r="CT89" s="478"/>
      <c r="CU89" s="478"/>
      <c r="CV89" s="478"/>
      <c r="CW89" s="478"/>
      <c r="CX89" s="478"/>
      <c r="CY89" s="478"/>
      <c r="CZ89" s="478"/>
      <c r="DA89" s="478"/>
      <c r="DB89" s="478"/>
      <c r="DC89" s="478"/>
      <c r="DD89" s="478"/>
      <c r="DE89" s="478"/>
      <c r="DF89" s="478"/>
      <c r="DG89" s="478"/>
      <c r="DH89" s="478"/>
      <c r="DI89" s="478"/>
    </row>
    <row r="90" spans="1:113" ht="16.05" hidden="1" customHeight="1" outlineLevel="1" x14ac:dyDescent="0.3">
      <c r="A90" s="455" t="str">
        <f t="shared" si="54"/>
        <v/>
      </c>
      <c r="B90" s="455"/>
      <c r="C90" s="481"/>
      <c r="D90" s="463" t="s">
        <v>753</v>
      </c>
      <c r="E90" s="482"/>
      <c r="F90" s="483"/>
      <c r="G90" s="484"/>
      <c r="H90" s="485"/>
      <c r="I90" s="466">
        <f t="shared" si="423"/>
        <v>0</v>
      </c>
      <c r="J90" s="259"/>
      <c r="K90" s="478">
        <f t="shared" si="424"/>
        <v>0</v>
      </c>
      <c r="L90" s="466">
        <f t="shared" si="372"/>
        <v>0</v>
      </c>
      <c r="M90" s="257"/>
      <c r="N90" s="478"/>
      <c r="O90" s="478"/>
      <c r="P90" s="478"/>
      <c r="Q90" s="478"/>
      <c r="R90" s="478"/>
      <c r="S90" s="478"/>
      <c r="T90" s="478"/>
      <c r="U90" s="478"/>
      <c r="V90" s="478"/>
      <c r="W90" s="478"/>
      <c r="X90" s="478"/>
      <c r="Y90" s="478"/>
      <c r="Z90" s="478"/>
      <c r="AA90" s="478"/>
      <c r="AB90" s="478"/>
      <c r="AC90" s="478"/>
      <c r="AD90" s="478"/>
      <c r="AE90" s="478"/>
      <c r="AF90" s="478"/>
      <c r="AG90" s="478"/>
      <c r="AH90" s="478"/>
      <c r="AI90" s="478"/>
      <c r="AJ90" s="478"/>
      <c r="AK90" s="478"/>
      <c r="AL90" s="478"/>
      <c r="AM90" s="478"/>
      <c r="AN90" s="478"/>
      <c r="AO90" s="478"/>
      <c r="AP90" s="478"/>
      <c r="AQ90" s="478"/>
      <c r="AR90" s="478"/>
      <c r="AS90" s="478"/>
      <c r="AT90" s="478"/>
      <c r="AU90" s="478"/>
      <c r="AV90" s="478"/>
      <c r="AW90" s="478"/>
      <c r="AX90" s="478"/>
      <c r="AY90" s="478"/>
      <c r="AZ90" s="478"/>
      <c r="BA90" s="478"/>
      <c r="BB90" s="478"/>
      <c r="BC90" s="478"/>
      <c r="BD90" s="478"/>
      <c r="BE90" s="478"/>
      <c r="BF90" s="478"/>
      <c r="BG90" s="478"/>
      <c r="BH90" s="478"/>
      <c r="BI90" s="478"/>
      <c r="BJ90" s="245"/>
      <c r="BK90" s="477">
        <f t="shared" si="425"/>
        <v>0</v>
      </c>
      <c r="BL90" s="466">
        <f t="shared" si="426"/>
        <v>0</v>
      </c>
      <c r="BM90" s="257"/>
      <c r="BN90" s="478"/>
      <c r="BO90" s="478"/>
      <c r="BP90" s="478"/>
      <c r="BQ90" s="478"/>
      <c r="BR90" s="478"/>
      <c r="BS90" s="478"/>
      <c r="BT90" s="478"/>
      <c r="BU90" s="478"/>
      <c r="BV90" s="478"/>
      <c r="BW90" s="478"/>
      <c r="BX90" s="478"/>
      <c r="BY90" s="478"/>
      <c r="BZ90" s="478"/>
      <c r="CA90" s="478"/>
      <c r="CB90" s="478"/>
      <c r="CC90" s="478"/>
      <c r="CD90" s="478"/>
      <c r="CE90" s="478"/>
      <c r="CF90" s="478"/>
      <c r="CG90" s="478"/>
      <c r="CH90" s="478"/>
      <c r="CI90" s="478"/>
      <c r="CJ90" s="478"/>
      <c r="CK90" s="478"/>
      <c r="CL90" s="478"/>
      <c r="CM90" s="478"/>
      <c r="CN90" s="478"/>
      <c r="CO90" s="478"/>
      <c r="CP90" s="478"/>
      <c r="CQ90" s="478"/>
      <c r="CR90" s="478"/>
      <c r="CS90" s="478"/>
      <c r="CT90" s="478"/>
      <c r="CU90" s="478"/>
      <c r="CV90" s="478"/>
      <c r="CW90" s="478"/>
      <c r="CX90" s="478"/>
      <c r="CY90" s="478"/>
      <c r="CZ90" s="478"/>
      <c r="DA90" s="478"/>
      <c r="DB90" s="478"/>
      <c r="DC90" s="478"/>
      <c r="DD90" s="478"/>
      <c r="DE90" s="478"/>
      <c r="DF90" s="478"/>
      <c r="DG90" s="478"/>
      <c r="DH90" s="478"/>
      <c r="DI90" s="478"/>
    </row>
    <row r="91" spans="1:113" ht="16.05" hidden="1" customHeight="1" outlineLevel="1" x14ac:dyDescent="0.3">
      <c r="A91" s="455" t="str">
        <f t="shared" si="54"/>
        <v/>
      </c>
      <c r="B91" s="455"/>
      <c r="C91" s="481"/>
      <c r="D91" s="463" t="s">
        <v>754</v>
      </c>
      <c r="E91" s="482"/>
      <c r="F91" s="483"/>
      <c r="G91" s="484"/>
      <c r="H91" s="485"/>
      <c r="I91" s="466">
        <f t="shared" si="423"/>
        <v>0</v>
      </c>
      <c r="J91" s="259"/>
      <c r="K91" s="478">
        <f t="shared" si="424"/>
        <v>0</v>
      </c>
      <c r="L91" s="466">
        <f t="shared" si="372"/>
        <v>0</v>
      </c>
      <c r="M91" s="257"/>
      <c r="N91" s="478"/>
      <c r="O91" s="478"/>
      <c r="P91" s="478"/>
      <c r="Q91" s="478"/>
      <c r="R91" s="478"/>
      <c r="S91" s="478"/>
      <c r="T91" s="478"/>
      <c r="U91" s="478"/>
      <c r="V91" s="478"/>
      <c r="W91" s="478"/>
      <c r="X91" s="478"/>
      <c r="Y91" s="478"/>
      <c r="Z91" s="478"/>
      <c r="AA91" s="478"/>
      <c r="AB91" s="478"/>
      <c r="AC91" s="478"/>
      <c r="AD91" s="478"/>
      <c r="AE91" s="478"/>
      <c r="AF91" s="478"/>
      <c r="AG91" s="478"/>
      <c r="AH91" s="478"/>
      <c r="AI91" s="478"/>
      <c r="AJ91" s="478"/>
      <c r="AK91" s="478"/>
      <c r="AL91" s="478"/>
      <c r="AM91" s="478"/>
      <c r="AN91" s="478"/>
      <c r="AO91" s="478"/>
      <c r="AP91" s="478"/>
      <c r="AQ91" s="478"/>
      <c r="AR91" s="478"/>
      <c r="AS91" s="478"/>
      <c r="AT91" s="478"/>
      <c r="AU91" s="478"/>
      <c r="AV91" s="478"/>
      <c r="AW91" s="478"/>
      <c r="AX91" s="478"/>
      <c r="AY91" s="478"/>
      <c r="AZ91" s="478"/>
      <c r="BA91" s="478"/>
      <c r="BB91" s="478"/>
      <c r="BC91" s="478"/>
      <c r="BD91" s="478"/>
      <c r="BE91" s="478"/>
      <c r="BF91" s="478"/>
      <c r="BG91" s="478"/>
      <c r="BH91" s="478"/>
      <c r="BI91" s="478"/>
      <c r="BJ91" s="245"/>
      <c r="BK91" s="477">
        <f t="shared" si="425"/>
        <v>0</v>
      </c>
      <c r="BL91" s="466">
        <f t="shared" si="426"/>
        <v>0</v>
      </c>
      <c r="BM91" s="257"/>
      <c r="BN91" s="478"/>
      <c r="BO91" s="478"/>
      <c r="BP91" s="478"/>
      <c r="BQ91" s="478"/>
      <c r="BR91" s="478"/>
      <c r="BS91" s="478"/>
      <c r="BT91" s="478"/>
      <c r="BU91" s="478"/>
      <c r="BV91" s="478"/>
      <c r="BW91" s="478"/>
      <c r="BX91" s="478"/>
      <c r="BY91" s="478"/>
      <c r="BZ91" s="478"/>
      <c r="CA91" s="478"/>
      <c r="CB91" s="478"/>
      <c r="CC91" s="478"/>
      <c r="CD91" s="478"/>
      <c r="CE91" s="478"/>
      <c r="CF91" s="478"/>
      <c r="CG91" s="478"/>
      <c r="CH91" s="478"/>
      <c r="CI91" s="478"/>
      <c r="CJ91" s="478"/>
      <c r="CK91" s="478"/>
      <c r="CL91" s="478"/>
      <c r="CM91" s="478"/>
      <c r="CN91" s="478"/>
      <c r="CO91" s="478"/>
      <c r="CP91" s="478"/>
      <c r="CQ91" s="478"/>
      <c r="CR91" s="478"/>
      <c r="CS91" s="478"/>
      <c r="CT91" s="478"/>
      <c r="CU91" s="478"/>
      <c r="CV91" s="478"/>
      <c r="CW91" s="478"/>
      <c r="CX91" s="478"/>
      <c r="CY91" s="478"/>
      <c r="CZ91" s="478"/>
      <c r="DA91" s="478"/>
      <c r="DB91" s="478"/>
      <c r="DC91" s="478"/>
      <c r="DD91" s="478"/>
      <c r="DE91" s="478"/>
      <c r="DF91" s="478"/>
      <c r="DG91" s="478"/>
      <c r="DH91" s="478"/>
      <c r="DI91" s="478"/>
    </row>
    <row r="92" spans="1:113" ht="16.05" hidden="1" customHeight="1" outlineLevel="1" x14ac:dyDescent="0.3">
      <c r="A92" s="455" t="str">
        <f t="shared" si="54"/>
        <v/>
      </c>
      <c r="B92" s="455"/>
      <c r="C92" s="481"/>
      <c r="D92" s="463" t="s">
        <v>755</v>
      </c>
      <c r="E92" s="482"/>
      <c r="F92" s="483"/>
      <c r="G92" s="484"/>
      <c r="H92" s="485"/>
      <c r="I92" s="466">
        <f t="shared" si="423"/>
        <v>0</v>
      </c>
      <c r="J92" s="259"/>
      <c r="K92" s="478">
        <f t="shared" si="424"/>
        <v>0</v>
      </c>
      <c r="L92" s="466">
        <f t="shared" si="372"/>
        <v>0</v>
      </c>
      <c r="M92" s="257"/>
      <c r="N92" s="478"/>
      <c r="O92" s="478"/>
      <c r="P92" s="478"/>
      <c r="Q92" s="478"/>
      <c r="R92" s="478"/>
      <c r="S92" s="478"/>
      <c r="T92" s="478"/>
      <c r="U92" s="478"/>
      <c r="V92" s="478"/>
      <c r="W92" s="478"/>
      <c r="X92" s="478"/>
      <c r="Y92" s="478"/>
      <c r="Z92" s="478"/>
      <c r="AA92" s="478"/>
      <c r="AB92" s="478"/>
      <c r="AC92" s="478"/>
      <c r="AD92" s="478"/>
      <c r="AE92" s="478"/>
      <c r="AF92" s="478"/>
      <c r="AG92" s="478"/>
      <c r="AH92" s="478"/>
      <c r="AI92" s="478"/>
      <c r="AJ92" s="478"/>
      <c r="AK92" s="478"/>
      <c r="AL92" s="478"/>
      <c r="AM92" s="478"/>
      <c r="AN92" s="478"/>
      <c r="AO92" s="478"/>
      <c r="AP92" s="478"/>
      <c r="AQ92" s="478"/>
      <c r="AR92" s="478"/>
      <c r="AS92" s="478"/>
      <c r="AT92" s="478"/>
      <c r="AU92" s="478"/>
      <c r="AV92" s="478"/>
      <c r="AW92" s="478"/>
      <c r="AX92" s="478"/>
      <c r="AY92" s="478"/>
      <c r="AZ92" s="478"/>
      <c r="BA92" s="478"/>
      <c r="BB92" s="478"/>
      <c r="BC92" s="478"/>
      <c r="BD92" s="478"/>
      <c r="BE92" s="478"/>
      <c r="BF92" s="478"/>
      <c r="BG92" s="478"/>
      <c r="BH92" s="478"/>
      <c r="BI92" s="478"/>
      <c r="BJ92" s="245"/>
      <c r="BK92" s="477">
        <f t="shared" si="425"/>
        <v>0</v>
      </c>
      <c r="BL92" s="466">
        <f t="shared" si="426"/>
        <v>0</v>
      </c>
      <c r="BM92" s="257"/>
      <c r="BN92" s="478"/>
      <c r="BO92" s="478"/>
      <c r="BP92" s="478"/>
      <c r="BQ92" s="478"/>
      <c r="BR92" s="478"/>
      <c r="BS92" s="478"/>
      <c r="BT92" s="478"/>
      <c r="BU92" s="478"/>
      <c r="BV92" s="478"/>
      <c r="BW92" s="478"/>
      <c r="BX92" s="478"/>
      <c r="BY92" s="478"/>
      <c r="BZ92" s="478"/>
      <c r="CA92" s="478"/>
      <c r="CB92" s="478"/>
      <c r="CC92" s="478"/>
      <c r="CD92" s="478"/>
      <c r="CE92" s="478"/>
      <c r="CF92" s="478"/>
      <c r="CG92" s="478"/>
      <c r="CH92" s="478"/>
      <c r="CI92" s="478"/>
      <c r="CJ92" s="478"/>
      <c r="CK92" s="478"/>
      <c r="CL92" s="478"/>
      <c r="CM92" s="478"/>
      <c r="CN92" s="478"/>
      <c r="CO92" s="478"/>
      <c r="CP92" s="478"/>
      <c r="CQ92" s="478"/>
      <c r="CR92" s="478"/>
      <c r="CS92" s="478"/>
      <c r="CT92" s="478"/>
      <c r="CU92" s="478"/>
      <c r="CV92" s="478"/>
      <c r="CW92" s="478"/>
      <c r="CX92" s="478"/>
      <c r="CY92" s="478"/>
      <c r="CZ92" s="478"/>
      <c r="DA92" s="478"/>
      <c r="DB92" s="478"/>
      <c r="DC92" s="478"/>
      <c r="DD92" s="478"/>
      <c r="DE92" s="478"/>
      <c r="DF92" s="478"/>
      <c r="DG92" s="478"/>
      <c r="DH92" s="478"/>
      <c r="DI92" s="478"/>
    </row>
    <row r="93" spans="1:113" ht="16.05" hidden="1" customHeight="1" outlineLevel="1" x14ac:dyDescent="0.3">
      <c r="A93" s="455" t="str">
        <f t="shared" si="54"/>
        <v/>
      </c>
      <c r="B93" s="455"/>
      <c r="C93" s="481"/>
      <c r="D93" s="463" t="s">
        <v>756</v>
      </c>
      <c r="E93" s="482"/>
      <c r="F93" s="483"/>
      <c r="G93" s="484"/>
      <c r="H93" s="485"/>
      <c r="I93" s="466">
        <f t="shared" si="423"/>
        <v>0</v>
      </c>
      <c r="J93" s="259"/>
      <c r="K93" s="478">
        <f t="shared" si="424"/>
        <v>0</v>
      </c>
      <c r="L93" s="466">
        <f t="shared" si="372"/>
        <v>0</v>
      </c>
      <c r="M93" s="257"/>
      <c r="N93" s="478"/>
      <c r="O93" s="478"/>
      <c r="P93" s="478"/>
      <c r="Q93" s="478"/>
      <c r="R93" s="478"/>
      <c r="S93" s="478"/>
      <c r="T93" s="478"/>
      <c r="U93" s="478"/>
      <c r="V93" s="478"/>
      <c r="W93" s="478"/>
      <c r="X93" s="478"/>
      <c r="Y93" s="478"/>
      <c r="Z93" s="478"/>
      <c r="AA93" s="478"/>
      <c r="AB93" s="478"/>
      <c r="AC93" s="478"/>
      <c r="AD93" s="478"/>
      <c r="AE93" s="478"/>
      <c r="AF93" s="478"/>
      <c r="AG93" s="478"/>
      <c r="AH93" s="478"/>
      <c r="AI93" s="478"/>
      <c r="AJ93" s="478"/>
      <c r="AK93" s="478"/>
      <c r="AL93" s="478"/>
      <c r="AM93" s="478"/>
      <c r="AN93" s="478"/>
      <c r="AO93" s="478"/>
      <c r="AP93" s="478"/>
      <c r="AQ93" s="478"/>
      <c r="AR93" s="478"/>
      <c r="AS93" s="478"/>
      <c r="AT93" s="478"/>
      <c r="AU93" s="478"/>
      <c r="AV93" s="478"/>
      <c r="AW93" s="478"/>
      <c r="AX93" s="478"/>
      <c r="AY93" s="478"/>
      <c r="AZ93" s="478"/>
      <c r="BA93" s="478"/>
      <c r="BB93" s="478"/>
      <c r="BC93" s="478"/>
      <c r="BD93" s="478"/>
      <c r="BE93" s="478"/>
      <c r="BF93" s="478"/>
      <c r="BG93" s="478"/>
      <c r="BH93" s="478"/>
      <c r="BI93" s="478"/>
      <c r="BJ93" s="245"/>
      <c r="BK93" s="477">
        <f t="shared" si="425"/>
        <v>0</v>
      </c>
      <c r="BL93" s="466">
        <f t="shared" si="426"/>
        <v>0</v>
      </c>
      <c r="BM93" s="257"/>
      <c r="BN93" s="478"/>
      <c r="BO93" s="478"/>
      <c r="BP93" s="478"/>
      <c r="BQ93" s="478"/>
      <c r="BR93" s="478"/>
      <c r="BS93" s="478"/>
      <c r="BT93" s="478"/>
      <c r="BU93" s="478"/>
      <c r="BV93" s="478"/>
      <c r="BW93" s="478"/>
      <c r="BX93" s="478"/>
      <c r="BY93" s="478"/>
      <c r="BZ93" s="478"/>
      <c r="CA93" s="478"/>
      <c r="CB93" s="478"/>
      <c r="CC93" s="478"/>
      <c r="CD93" s="478"/>
      <c r="CE93" s="478"/>
      <c r="CF93" s="478"/>
      <c r="CG93" s="478"/>
      <c r="CH93" s="478"/>
      <c r="CI93" s="478"/>
      <c r="CJ93" s="478"/>
      <c r="CK93" s="478"/>
      <c r="CL93" s="478"/>
      <c r="CM93" s="478"/>
      <c r="CN93" s="478"/>
      <c r="CO93" s="478"/>
      <c r="CP93" s="478"/>
      <c r="CQ93" s="478"/>
      <c r="CR93" s="478"/>
      <c r="CS93" s="478"/>
      <c r="CT93" s="478"/>
      <c r="CU93" s="478"/>
      <c r="CV93" s="478"/>
      <c r="CW93" s="478"/>
      <c r="CX93" s="478"/>
      <c r="CY93" s="478"/>
      <c r="CZ93" s="478"/>
      <c r="DA93" s="478"/>
      <c r="DB93" s="478"/>
      <c r="DC93" s="478"/>
      <c r="DD93" s="478"/>
      <c r="DE93" s="478"/>
      <c r="DF93" s="478"/>
      <c r="DG93" s="478"/>
      <c r="DH93" s="478"/>
      <c r="DI93" s="478"/>
    </row>
    <row r="94" spans="1:113" ht="16.05" hidden="1" customHeight="1" outlineLevel="1" x14ac:dyDescent="0.3">
      <c r="A94" s="455" t="str">
        <f t="shared" si="54"/>
        <v/>
      </c>
      <c r="B94" s="455"/>
      <c r="C94" s="481"/>
      <c r="D94" s="463" t="s">
        <v>757</v>
      </c>
      <c r="E94" s="482"/>
      <c r="F94" s="483"/>
      <c r="G94" s="484"/>
      <c r="H94" s="485"/>
      <c r="I94" s="466">
        <f t="shared" si="423"/>
        <v>0</v>
      </c>
      <c r="J94" s="259"/>
      <c r="K94" s="478">
        <f t="shared" si="424"/>
        <v>0</v>
      </c>
      <c r="L94" s="466">
        <f t="shared" si="372"/>
        <v>0</v>
      </c>
      <c r="M94" s="257"/>
      <c r="N94" s="478"/>
      <c r="O94" s="478"/>
      <c r="P94" s="478"/>
      <c r="Q94" s="478"/>
      <c r="R94" s="478"/>
      <c r="S94" s="478"/>
      <c r="T94" s="478"/>
      <c r="U94" s="478"/>
      <c r="V94" s="478"/>
      <c r="W94" s="478"/>
      <c r="X94" s="478"/>
      <c r="Y94" s="478"/>
      <c r="Z94" s="478"/>
      <c r="AA94" s="478"/>
      <c r="AB94" s="478"/>
      <c r="AC94" s="478"/>
      <c r="AD94" s="478"/>
      <c r="AE94" s="478"/>
      <c r="AF94" s="478"/>
      <c r="AG94" s="478"/>
      <c r="AH94" s="478"/>
      <c r="AI94" s="478"/>
      <c r="AJ94" s="478"/>
      <c r="AK94" s="478"/>
      <c r="AL94" s="478"/>
      <c r="AM94" s="478"/>
      <c r="AN94" s="478"/>
      <c r="AO94" s="478"/>
      <c r="AP94" s="478"/>
      <c r="AQ94" s="478"/>
      <c r="AR94" s="478"/>
      <c r="AS94" s="478"/>
      <c r="AT94" s="478"/>
      <c r="AU94" s="478"/>
      <c r="AV94" s="478"/>
      <c r="AW94" s="478"/>
      <c r="AX94" s="478"/>
      <c r="AY94" s="478"/>
      <c r="AZ94" s="478"/>
      <c r="BA94" s="478"/>
      <c r="BB94" s="478"/>
      <c r="BC94" s="478"/>
      <c r="BD94" s="478"/>
      <c r="BE94" s="478"/>
      <c r="BF94" s="478"/>
      <c r="BG94" s="478"/>
      <c r="BH94" s="478"/>
      <c r="BI94" s="478"/>
      <c r="BJ94" s="245"/>
      <c r="BK94" s="477">
        <f t="shared" si="425"/>
        <v>0</v>
      </c>
      <c r="BL94" s="466">
        <f t="shared" si="426"/>
        <v>0</v>
      </c>
      <c r="BM94" s="257"/>
      <c r="BN94" s="478"/>
      <c r="BO94" s="478"/>
      <c r="BP94" s="478"/>
      <c r="BQ94" s="478"/>
      <c r="BR94" s="478"/>
      <c r="BS94" s="478"/>
      <c r="BT94" s="478"/>
      <c r="BU94" s="478"/>
      <c r="BV94" s="478"/>
      <c r="BW94" s="478"/>
      <c r="BX94" s="478"/>
      <c r="BY94" s="478"/>
      <c r="BZ94" s="478"/>
      <c r="CA94" s="478"/>
      <c r="CB94" s="478"/>
      <c r="CC94" s="478"/>
      <c r="CD94" s="478"/>
      <c r="CE94" s="478"/>
      <c r="CF94" s="478"/>
      <c r="CG94" s="478"/>
      <c r="CH94" s="478"/>
      <c r="CI94" s="478"/>
      <c r="CJ94" s="478"/>
      <c r="CK94" s="478"/>
      <c r="CL94" s="478"/>
      <c r="CM94" s="478"/>
      <c r="CN94" s="478"/>
      <c r="CO94" s="478"/>
      <c r="CP94" s="478"/>
      <c r="CQ94" s="478"/>
      <c r="CR94" s="478"/>
      <c r="CS94" s="478"/>
      <c r="CT94" s="478"/>
      <c r="CU94" s="478"/>
      <c r="CV94" s="478"/>
      <c r="CW94" s="478"/>
      <c r="CX94" s="478"/>
      <c r="CY94" s="478"/>
      <c r="CZ94" s="478"/>
      <c r="DA94" s="478"/>
      <c r="DB94" s="478"/>
      <c r="DC94" s="478"/>
      <c r="DD94" s="478"/>
      <c r="DE94" s="478"/>
      <c r="DF94" s="478"/>
      <c r="DG94" s="478"/>
      <c r="DH94" s="478"/>
      <c r="DI94" s="478"/>
    </row>
    <row r="95" spans="1:113" ht="16.05" hidden="1" customHeight="1" outlineLevel="1" x14ac:dyDescent="0.3">
      <c r="A95" s="455" t="str">
        <f t="shared" si="54"/>
        <v/>
      </c>
      <c r="B95" s="455"/>
      <c r="C95" s="481"/>
      <c r="D95" s="463" t="s">
        <v>758</v>
      </c>
      <c r="E95" s="482"/>
      <c r="F95" s="483"/>
      <c r="G95" s="484"/>
      <c r="H95" s="485"/>
      <c r="I95" s="466">
        <f t="shared" si="423"/>
        <v>0</v>
      </c>
      <c r="J95" s="259"/>
      <c r="K95" s="478">
        <f t="shared" si="424"/>
        <v>0</v>
      </c>
      <c r="L95" s="466">
        <f t="shared" si="372"/>
        <v>0</v>
      </c>
      <c r="M95" s="257"/>
      <c r="N95" s="478"/>
      <c r="O95" s="478"/>
      <c r="P95" s="478"/>
      <c r="Q95" s="478"/>
      <c r="R95" s="478"/>
      <c r="S95" s="478"/>
      <c r="T95" s="478"/>
      <c r="U95" s="478"/>
      <c r="V95" s="478"/>
      <c r="W95" s="478"/>
      <c r="X95" s="478"/>
      <c r="Y95" s="478"/>
      <c r="Z95" s="478"/>
      <c r="AA95" s="478"/>
      <c r="AB95" s="478"/>
      <c r="AC95" s="478"/>
      <c r="AD95" s="478"/>
      <c r="AE95" s="478"/>
      <c r="AF95" s="478"/>
      <c r="AG95" s="478"/>
      <c r="AH95" s="478"/>
      <c r="AI95" s="478"/>
      <c r="AJ95" s="478"/>
      <c r="AK95" s="478"/>
      <c r="AL95" s="478"/>
      <c r="AM95" s="478"/>
      <c r="AN95" s="478"/>
      <c r="AO95" s="478"/>
      <c r="AP95" s="478"/>
      <c r="AQ95" s="478"/>
      <c r="AR95" s="478"/>
      <c r="AS95" s="478"/>
      <c r="AT95" s="478"/>
      <c r="AU95" s="478"/>
      <c r="AV95" s="478"/>
      <c r="AW95" s="478"/>
      <c r="AX95" s="478"/>
      <c r="AY95" s="478"/>
      <c r="AZ95" s="478"/>
      <c r="BA95" s="478"/>
      <c r="BB95" s="478"/>
      <c r="BC95" s="478"/>
      <c r="BD95" s="478"/>
      <c r="BE95" s="478"/>
      <c r="BF95" s="478"/>
      <c r="BG95" s="478"/>
      <c r="BH95" s="478"/>
      <c r="BI95" s="478"/>
      <c r="BJ95" s="245"/>
      <c r="BK95" s="477">
        <f t="shared" si="425"/>
        <v>0</v>
      </c>
      <c r="BL95" s="466">
        <f t="shared" si="426"/>
        <v>0</v>
      </c>
      <c r="BM95" s="257"/>
      <c r="BN95" s="478"/>
      <c r="BO95" s="478"/>
      <c r="BP95" s="478"/>
      <c r="BQ95" s="478"/>
      <c r="BR95" s="478"/>
      <c r="BS95" s="478"/>
      <c r="BT95" s="478"/>
      <c r="BU95" s="478"/>
      <c r="BV95" s="478"/>
      <c r="BW95" s="478"/>
      <c r="BX95" s="478"/>
      <c r="BY95" s="478"/>
      <c r="BZ95" s="478"/>
      <c r="CA95" s="478"/>
      <c r="CB95" s="478"/>
      <c r="CC95" s="478"/>
      <c r="CD95" s="478"/>
      <c r="CE95" s="478"/>
      <c r="CF95" s="478"/>
      <c r="CG95" s="478"/>
      <c r="CH95" s="478"/>
      <c r="CI95" s="478"/>
      <c r="CJ95" s="478"/>
      <c r="CK95" s="478"/>
      <c r="CL95" s="478"/>
      <c r="CM95" s="478"/>
      <c r="CN95" s="478"/>
      <c r="CO95" s="478"/>
      <c r="CP95" s="478"/>
      <c r="CQ95" s="478"/>
      <c r="CR95" s="478"/>
      <c r="CS95" s="478"/>
      <c r="CT95" s="478"/>
      <c r="CU95" s="478"/>
      <c r="CV95" s="478"/>
      <c r="CW95" s="478"/>
      <c r="CX95" s="478"/>
      <c r="CY95" s="478"/>
      <c r="CZ95" s="478"/>
      <c r="DA95" s="478"/>
      <c r="DB95" s="478"/>
      <c r="DC95" s="478"/>
      <c r="DD95" s="478"/>
      <c r="DE95" s="478"/>
      <c r="DF95" s="478"/>
      <c r="DG95" s="478"/>
      <c r="DH95" s="478"/>
      <c r="DI95" s="478"/>
    </row>
    <row r="96" spans="1:113" ht="16.05" hidden="1" customHeight="1" outlineLevel="1" x14ac:dyDescent="0.3">
      <c r="A96" s="455" t="str">
        <f t="shared" si="54"/>
        <v/>
      </c>
      <c r="B96" s="455"/>
      <c r="C96" s="481"/>
      <c r="D96" s="463" t="s">
        <v>759</v>
      </c>
      <c r="E96" s="482"/>
      <c r="F96" s="483"/>
      <c r="G96" s="484"/>
      <c r="H96" s="485"/>
      <c r="I96" s="466">
        <f t="shared" si="423"/>
        <v>0</v>
      </c>
      <c r="J96" s="259"/>
      <c r="K96" s="478">
        <f t="shared" si="424"/>
        <v>0</v>
      </c>
      <c r="L96" s="466">
        <f t="shared" si="372"/>
        <v>0</v>
      </c>
      <c r="M96" s="257"/>
      <c r="N96" s="478"/>
      <c r="O96" s="478"/>
      <c r="P96" s="478"/>
      <c r="Q96" s="478"/>
      <c r="R96" s="478"/>
      <c r="S96" s="478"/>
      <c r="T96" s="478"/>
      <c r="U96" s="478"/>
      <c r="V96" s="478"/>
      <c r="W96" s="478"/>
      <c r="X96" s="478"/>
      <c r="Y96" s="478"/>
      <c r="Z96" s="478"/>
      <c r="AA96" s="478"/>
      <c r="AB96" s="478"/>
      <c r="AC96" s="478"/>
      <c r="AD96" s="478"/>
      <c r="AE96" s="478"/>
      <c r="AF96" s="478"/>
      <c r="AG96" s="478"/>
      <c r="AH96" s="478"/>
      <c r="AI96" s="478"/>
      <c r="AJ96" s="478"/>
      <c r="AK96" s="478"/>
      <c r="AL96" s="478"/>
      <c r="AM96" s="478"/>
      <c r="AN96" s="478"/>
      <c r="AO96" s="478"/>
      <c r="AP96" s="478"/>
      <c r="AQ96" s="478"/>
      <c r="AR96" s="478"/>
      <c r="AS96" s="478"/>
      <c r="AT96" s="478"/>
      <c r="AU96" s="478"/>
      <c r="AV96" s="478"/>
      <c r="AW96" s="478"/>
      <c r="AX96" s="478"/>
      <c r="AY96" s="478"/>
      <c r="AZ96" s="478"/>
      <c r="BA96" s="478"/>
      <c r="BB96" s="478"/>
      <c r="BC96" s="478"/>
      <c r="BD96" s="478"/>
      <c r="BE96" s="478"/>
      <c r="BF96" s="478"/>
      <c r="BG96" s="478"/>
      <c r="BH96" s="478"/>
      <c r="BI96" s="478"/>
      <c r="BJ96" s="245"/>
      <c r="BK96" s="477">
        <f t="shared" si="425"/>
        <v>0</v>
      </c>
      <c r="BL96" s="466">
        <f t="shared" si="426"/>
        <v>0</v>
      </c>
      <c r="BM96" s="257"/>
      <c r="BN96" s="478"/>
      <c r="BO96" s="478"/>
      <c r="BP96" s="478"/>
      <c r="BQ96" s="478"/>
      <c r="BR96" s="478"/>
      <c r="BS96" s="478"/>
      <c r="BT96" s="478"/>
      <c r="BU96" s="478"/>
      <c r="BV96" s="478"/>
      <c r="BW96" s="478"/>
      <c r="BX96" s="478"/>
      <c r="BY96" s="478"/>
      <c r="BZ96" s="478"/>
      <c r="CA96" s="478"/>
      <c r="CB96" s="478"/>
      <c r="CC96" s="478"/>
      <c r="CD96" s="478"/>
      <c r="CE96" s="478"/>
      <c r="CF96" s="478"/>
      <c r="CG96" s="478"/>
      <c r="CH96" s="478"/>
      <c r="CI96" s="478"/>
      <c r="CJ96" s="478"/>
      <c r="CK96" s="478"/>
      <c r="CL96" s="478"/>
      <c r="CM96" s="478"/>
      <c r="CN96" s="478"/>
      <c r="CO96" s="478"/>
      <c r="CP96" s="478"/>
      <c r="CQ96" s="478"/>
      <c r="CR96" s="478"/>
      <c r="CS96" s="478"/>
      <c r="CT96" s="478"/>
      <c r="CU96" s="478"/>
      <c r="CV96" s="478"/>
      <c r="CW96" s="478"/>
      <c r="CX96" s="478"/>
      <c r="CY96" s="478"/>
      <c r="CZ96" s="478"/>
      <c r="DA96" s="478"/>
      <c r="DB96" s="478"/>
      <c r="DC96" s="478"/>
      <c r="DD96" s="478"/>
      <c r="DE96" s="478"/>
      <c r="DF96" s="478"/>
      <c r="DG96" s="478"/>
      <c r="DH96" s="478"/>
      <c r="DI96" s="478"/>
    </row>
    <row r="97" spans="1:113" ht="16.05" hidden="1" customHeight="1" outlineLevel="1" x14ac:dyDescent="0.3">
      <c r="A97" s="455" t="str">
        <f t="shared" si="54"/>
        <v/>
      </c>
      <c r="B97" s="455"/>
      <c r="C97" s="481"/>
      <c r="D97" s="463" t="s">
        <v>760</v>
      </c>
      <c r="E97" s="482"/>
      <c r="F97" s="483"/>
      <c r="G97" s="484"/>
      <c r="H97" s="485"/>
      <c r="I97" s="466">
        <f t="shared" si="423"/>
        <v>0</v>
      </c>
      <c r="J97" s="259"/>
      <c r="K97" s="478">
        <f t="shared" si="424"/>
        <v>0</v>
      </c>
      <c r="L97" s="466">
        <f t="shared" si="372"/>
        <v>0</v>
      </c>
      <c r="M97" s="257"/>
      <c r="N97" s="478"/>
      <c r="O97" s="478"/>
      <c r="P97" s="478"/>
      <c r="Q97" s="478"/>
      <c r="R97" s="478"/>
      <c r="S97" s="478"/>
      <c r="T97" s="478"/>
      <c r="U97" s="478"/>
      <c r="V97" s="478"/>
      <c r="W97" s="478"/>
      <c r="X97" s="478"/>
      <c r="Y97" s="478"/>
      <c r="Z97" s="478"/>
      <c r="AA97" s="478"/>
      <c r="AB97" s="478"/>
      <c r="AC97" s="478"/>
      <c r="AD97" s="478"/>
      <c r="AE97" s="478"/>
      <c r="AF97" s="478"/>
      <c r="AG97" s="478"/>
      <c r="AH97" s="478"/>
      <c r="AI97" s="478"/>
      <c r="AJ97" s="478"/>
      <c r="AK97" s="478"/>
      <c r="AL97" s="478"/>
      <c r="AM97" s="478"/>
      <c r="AN97" s="478"/>
      <c r="AO97" s="478"/>
      <c r="AP97" s="478"/>
      <c r="AQ97" s="478"/>
      <c r="AR97" s="478"/>
      <c r="AS97" s="478"/>
      <c r="AT97" s="478"/>
      <c r="AU97" s="478"/>
      <c r="AV97" s="478"/>
      <c r="AW97" s="478"/>
      <c r="AX97" s="478"/>
      <c r="AY97" s="478"/>
      <c r="AZ97" s="478"/>
      <c r="BA97" s="478"/>
      <c r="BB97" s="478"/>
      <c r="BC97" s="478"/>
      <c r="BD97" s="478"/>
      <c r="BE97" s="478"/>
      <c r="BF97" s="478"/>
      <c r="BG97" s="478"/>
      <c r="BH97" s="478"/>
      <c r="BI97" s="478"/>
      <c r="BJ97" s="245"/>
      <c r="BK97" s="477">
        <f t="shared" si="425"/>
        <v>0</v>
      </c>
      <c r="BL97" s="466">
        <f t="shared" si="426"/>
        <v>0</v>
      </c>
      <c r="BM97" s="257"/>
      <c r="BN97" s="478"/>
      <c r="BO97" s="478"/>
      <c r="BP97" s="478"/>
      <c r="BQ97" s="478"/>
      <c r="BR97" s="478"/>
      <c r="BS97" s="478"/>
      <c r="BT97" s="478"/>
      <c r="BU97" s="478"/>
      <c r="BV97" s="478"/>
      <c r="BW97" s="478"/>
      <c r="BX97" s="478"/>
      <c r="BY97" s="478"/>
      <c r="BZ97" s="478"/>
      <c r="CA97" s="478"/>
      <c r="CB97" s="478"/>
      <c r="CC97" s="478"/>
      <c r="CD97" s="478"/>
      <c r="CE97" s="478"/>
      <c r="CF97" s="478"/>
      <c r="CG97" s="478"/>
      <c r="CH97" s="478"/>
      <c r="CI97" s="478"/>
      <c r="CJ97" s="478"/>
      <c r="CK97" s="478"/>
      <c r="CL97" s="478"/>
      <c r="CM97" s="478"/>
      <c r="CN97" s="478"/>
      <c r="CO97" s="478"/>
      <c r="CP97" s="478"/>
      <c r="CQ97" s="478"/>
      <c r="CR97" s="478"/>
      <c r="CS97" s="478"/>
      <c r="CT97" s="478"/>
      <c r="CU97" s="478"/>
      <c r="CV97" s="478"/>
      <c r="CW97" s="478"/>
      <c r="CX97" s="478"/>
      <c r="CY97" s="478"/>
      <c r="CZ97" s="478"/>
      <c r="DA97" s="478"/>
      <c r="DB97" s="478"/>
      <c r="DC97" s="478"/>
      <c r="DD97" s="478"/>
      <c r="DE97" s="478"/>
      <c r="DF97" s="478"/>
      <c r="DG97" s="478"/>
      <c r="DH97" s="478"/>
      <c r="DI97" s="478"/>
    </row>
    <row r="98" spans="1:113" ht="8.1" customHeight="1" outlineLevel="1" x14ac:dyDescent="0.3">
      <c r="A98" s="455" t="str">
        <f t="shared" ref="A98" si="436">IF(COUNTIF(A78:A97,"Imprimir")&gt;0,"Imprimir","")</f>
        <v>Imprimir</v>
      </c>
      <c r="B98" s="455"/>
      <c r="C98" s="464"/>
      <c r="D98" s="461"/>
      <c r="E98" s="462"/>
      <c r="F98" s="462"/>
      <c r="G98" s="461"/>
      <c r="H98" s="461"/>
      <c r="I98" s="461"/>
      <c r="J98" s="259"/>
      <c r="K98" s="255"/>
      <c r="L98" s="256"/>
      <c r="M98" s="257"/>
      <c r="N98" s="255"/>
      <c r="O98" s="255"/>
      <c r="P98" s="255"/>
      <c r="Q98" s="255"/>
      <c r="R98" s="255"/>
      <c r="S98" s="255"/>
      <c r="T98" s="255"/>
      <c r="U98" s="255"/>
      <c r="V98" s="255"/>
      <c r="W98" s="255"/>
      <c r="X98" s="255"/>
      <c r="Y98" s="255"/>
      <c r="Z98" s="255"/>
      <c r="AA98" s="255"/>
      <c r="AB98" s="255"/>
      <c r="AC98" s="255"/>
      <c r="AD98" s="255"/>
      <c r="AE98" s="255"/>
      <c r="AF98" s="255"/>
      <c r="AG98" s="255"/>
      <c r="AH98" s="255"/>
      <c r="AI98" s="255"/>
      <c r="AJ98" s="255"/>
      <c r="AK98" s="255"/>
      <c r="AL98" s="255"/>
      <c r="AM98" s="524"/>
      <c r="AN98" s="255"/>
      <c r="AO98" s="255"/>
      <c r="AP98" s="255"/>
      <c r="AQ98" s="255"/>
      <c r="AR98" s="255"/>
      <c r="AS98" s="255"/>
      <c r="AT98" s="255"/>
      <c r="AU98" s="255"/>
      <c r="AV98" s="255"/>
      <c r="AW98" s="255"/>
      <c r="AX98" s="255"/>
      <c r="AY98" s="255"/>
      <c r="AZ98" s="255"/>
      <c r="BA98" s="255"/>
      <c r="BB98" s="255"/>
      <c r="BC98" s="255"/>
      <c r="BD98" s="255"/>
      <c r="BE98" s="255"/>
      <c r="BF98" s="255"/>
      <c r="BG98" s="255"/>
      <c r="BH98" s="255"/>
      <c r="BI98" s="255"/>
      <c r="BJ98" s="245"/>
      <c r="BK98" s="256"/>
      <c r="BL98" s="256"/>
      <c r="BM98" s="257"/>
      <c r="BN98" s="255"/>
      <c r="BO98" s="255"/>
      <c r="BP98" s="255"/>
      <c r="BQ98" s="255"/>
      <c r="BR98" s="255"/>
      <c r="BS98" s="255"/>
      <c r="BT98" s="255"/>
      <c r="BU98" s="255"/>
      <c r="BV98" s="255"/>
      <c r="BW98" s="255"/>
      <c r="BX98" s="255"/>
      <c r="BY98" s="255"/>
      <c r="BZ98" s="255"/>
      <c r="CA98" s="255"/>
      <c r="CB98" s="255"/>
      <c r="CC98" s="255"/>
      <c r="CD98" s="255"/>
      <c r="CE98" s="255"/>
      <c r="CF98" s="255"/>
      <c r="CG98" s="255"/>
      <c r="CH98" s="255"/>
      <c r="CI98" s="255"/>
      <c r="CJ98" s="255"/>
      <c r="CK98" s="255"/>
      <c r="CL98" s="255"/>
      <c r="CM98" s="255"/>
      <c r="CN98" s="255"/>
      <c r="CO98" s="255"/>
      <c r="CP98" s="255"/>
      <c r="CQ98" s="255"/>
      <c r="CR98" s="255"/>
      <c r="CS98" s="255"/>
      <c r="CT98" s="255"/>
      <c r="CU98" s="255"/>
      <c r="CV98" s="255"/>
      <c r="CW98" s="255"/>
      <c r="CX98" s="255"/>
      <c r="CY98" s="255"/>
      <c r="CZ98" s="255"/>
      <c r="DA98" s="255"/>
      <c r="DB98" s="255"/>
      <c r="DC98" s="255"/>
      <c r="DD98" s="255"/>
      <c r="DE98" s="255"/>
      <c r="DF98" s="255"/>
      <c r="DG98" s="255"/>
      <c r="DH98" s="255"/>
      <c r="DI98" s="524"/>
    </row>
    <row r="99" spans="1:113" ht="16.05" customHeight="1" x14ac:dyDescent="0.3">
      <c r="A99" s="455" t="str">
        <f t="shared" ref="A99" si="437">IF(COUNTIF(A100:A119,"Imprimir")&gt;0,"Imprimir","")</f>
        <v>Imprimir</v>
      </c>
      <c r="B99" s="455"/>
      <c r="C99" s="459"/>
      <c r="D99" s="459"/>
      <c r="E99" s="460" t="s">
        <v>3823</v>
      </c>
      <c r="F99" s="460"/>
      <c r="G99" s="460"/>
      <c r="H99" s="465"/>
      <c r="I99" s="465">
        <f>SUBTOTAL(9,I100:I120)</f>
        <v>1434241.7963999999</v>
      </c>
      <c r="J99" s="259"/>
      <c r="K99" s="465"/>
      <c r="L99" s="465">
        <f>SUBTOTAL(9,L100:L120)</f>
        <v>0</v>
      </c>
      <c r="M99" s="257"/>
      <c r="N99" s="465">
        <f>SUMPRODUCT(N100:N120,$H100:$H120)</f>
        <v>0</v>
      </c>
      <c r="O99" s="465">
        <f>SUMPRODUCT(O100:O120,$H100:$H120)</f>
        <v>0</v>
      </c>
      <c r="P99" s="465">
        <f t="shared" ref="P99:BI99" si="438">SUMPRODUCT(P100:P120,$H100:$H120)</f>
        <v>0</v>
      </c>
      <c r="Q99" s="465">
        <f t="shared" si="438"/>
        <v>0</v>
      </c>
      <c r="R99" s="465">
        <f t="shared" si="438"/>
        <v>0</v>
      </c>
      <c r="S99" s="465">
        <f t="shared" si="438"/>
        <v>0</v>
      </c>
      <c r="T99" s="465">
        <f t="shared" si="438"/>
        <v>0</v>
      </c>
      <c r="U99" s="465">
        <f t="shared" si="438"/>
        <v>0</v>
      </c>
      <c r="V99" s="465">
        <f t="shared" si="438"/>
        <v>0</v>
      </c>
      <c r="W99" s="465">
        <f t="shared" si="438"/>
        <v>0</v>
      </c>
      <c r="X99" s="465">
        <f t="shared" si="438"/>
        <v>0</v>
      </c>
      <c r="Y99" s="465">
        <f t="shared" si="438"/>
        <v>0</v>
      </c>
      <c r="Z99" s="465">
        <f t="shared" si="438"/>
        <v>0</v>
      </c>
      <c r="AA99" s="465">
        <f t="shared" si="438"/>
        <v>0</v>
      </c>
      <c r="AB99" s="465">
        <f t="shared" si="438"/>
        <v>0</v>
      </c>
      <c r="AC99" s="465">
        <f t="shared" si="438"/>
        <v>0</v>
      </c>
      <c r="AD99" s="465">
        <f t="shared" si="438"/>
        <v>0</v>
      </c>
      <c r="AE99" s="465">
        <f t="shared" si="438"/>
        <v>0</v>
      </c>
      <c r="AF99" s="465">
        <f t="shared" si="438"/>
        <v>0</v>
      </c>
      <c r="AG99" s="465">
        <f t="shared" si="438"/>
        <v>0</v>
      </c>
      <c r="AH99" s="465">
        <f t="shared" si="438"/>
        <v>0</v>
      </c>
      <c r="AI99" s="465">
        <f t="shared" si="438"/>
        <v>0</v>
      </c>
      <c r="AJ99" s="465">
        <f t="shared" si="438"/>
        <v>0</v>
      </c>
      <c r="AK99" s="465">
        <f t="shared" si="438"/>
        <v>0</v>
      </c>
      <c r="AL99" s="465">
        <f t="shared" si="438"/>
        <v>0</v>
      </c>
      <c r="AM99" s="465">
        <f t="shared" si="438"/>
        <v>0</v>
      </c>
      <c r="AN99" s="465">
        <f t="shared" si="438"/>
        <v>0</v>
      </c>
      <c r="AO99" s="465">
        <f t="shared" si="438"/>
        <v>0</v>
      </c>
      <c r="AP99" s="465">
        <f t="shared" si="438"/>
        <v>0</v>
      </c>
      <c r="AQ99" s="465">
        <f t="shared" si="438"/>
        <v>0</v>
      </c>
      <c r="AR99" s="465">
        <f t="shared" si="438"/>
        <v>0</v>
      </c>
      <c r="AS99" s="465">
        <f t="shared" si="438"/>
        <v>0</v>
      </c>
      <c r="AT99" s="465">
        <f t="shared" si="438"/>
        <v>0</v>
      </c>
      <c r="AU99" s="465">
        <f t="shared" si="438"/>
        <v>0</v>
      </c>
      <c r="AV99" s="465">
        <f t="shared" si="438"/>
        <v>0</v>
      </c>
      <c r="AW99" s="465">
        <f t="shared" si="438"/>
        <v>0</v>
      </c>
      <c r="AX99" s="465">
        <f t="shared" si="438"/>
        <v>0</v>
      </c>
      <c r="AY99" s="465">
        <f t="shared" si="438"/>
        <v>0</v>
      </c>
      <c r="AZ99" s="465">
        <f t="shared" si="438"/>
        <v>0</v>
      </c>
      <c r="BA99" s="465">
        <f t="shared" si="438"/>
        <v>0</v>
      </c>
      <c r="BB99" s="465">
        <f t="shared" si="438"/>
        <v>0</v>
      </c>
      <c r="BC99" s="465">
        <f t="shared" si="438"/>
        <v>0</v>
      </c>
      <c r="BD99" s="465">
        <f t="shared" si="438"/>
        <v>0</v>
      </c>
      <c r="BE99" s="465">
        <f t="shared" si="438"/>
        <v>0</v>
      </c>
      <c r="BF99" s="465">
        <f t="shared" si="438"/>
        <v>0</v>
      </c>
      <c r="BG99" s="465">
        <f t="shared" si="438"/>
        <v>0</v>
      </c>
      <c r="BH99" s="465">
        <f t="shared" si="438"/>
        <v>0</v>
      </c>
      <c r="BI99" s="543">
        <f t="shared" si="438"/>
        <v>0</v>
      </c>
      <c r="BJ99" s="546"/>
      <c r="BK99" s="475">
        <f t="shared" ref="BK99" si="439">IFERROR(BL99/I99,0)</f>
        <v>0.11904761904761905</v>
      </c>
      <c r="BL99" s="465">
        <f>SUBTOTAL(9,BL100:BL120)</f>
        <v>170743.071</v>
      </c>
      <c r="BM99" s="257"/>
      <c r="BN99" s="465">
        <f>SUMPRODUCT(BN100:BN120,$H100:$H120)</f>
        <v>0</v>
      </c>
      <c r="BO99" s="465">
        <f>SUMPRODUCT(BO100:BO120,$H100:$H120)</f>
        <v>0</v>
      </c>
      <c r="BP99" s="465">
        <f t="shared" ref="BP99:DI99" si="440">SUMPRODUCT(BP100:BP120,$H100:$H120)</f>
        <v>0</v>
      </c>
      <c r="BQ99" s="465">
        <f t="shared" si="440"/>
        <v>0</v>
      </c>
      <c r="BR99" s="465">
        <f t="shared" si="440"/>
        <v>0</v>
      </c>
      <c r="BS99" s="465">
        <f t="shared" si="440"/>
        <v>0</v>
      </c>
      <c r="BT99" s="465">
        <f t="shared" si="440"/>
        <v>0</v>
      </c>
      <c r="BU99" s="465">
        <f t="shared" si="440"/>
        <v>0</v>
      </c>
      <c r="BV99" s="465">
        <f t="shared" si="440"/>
        <v>0</v>
      </c>
      <c r="BW99" s="465">
        <f t="shared" si="440"/>
        <v>0</v>
      </c>
      <c r="BX99" s="465">
        <f t="shared" si="440"/>
        <v>0</v>
      </c>
      <c r="BY99" s="465">
        <f t="shared" si="440"/>
        <v>0</v>
      </c>
      <c r="BZ99" s="465">
        <f t="shared" si="440"/>
        <v>170743.071</v>
      </c>
      <c r="CA99" s="465">
        <f t="shared" si="440"/>
        <v>0</v>
      </c>
      <c r="CB99" s="465">
        <f t="shared" si="440"/>
        <v>0</v>
      </c>
      <c r="CC99" s="465">
        <f t="shared" si="440"/>
        <v>0</v>
      </c>
      <c r="CD99" s="465">
        <f t="shared" si="440"/>
        <v>0</v>
      </c>
      <c r="CE99" s="465">
        <f t="shared" si="440"/>
        <v>0</v>
      </c>
      <c r="CF99" s="465">
        <f t="shared" si="440"/>
        <v>0</v>
      </c>
      <c r="CG99" s="465">
        <f t="shared" si="440"/>
        <v>0</v>
      </c>
      <c r="CH99" s="465">
        <f t="shared" si="440"/>
        <v>0</v>
      </c>
      <c r="CI99" s="465">
        <f t="shared" si="440"/>
        <v>0</v>
      </c>
      <c r="CJ99" s="465">
        <f t="shared" si="440"/>
        <v>0</v>
      </c>
      <c r="CK99" s="465">
        <f t="shared" si="440"/>
        <v>0</v>
      </c>
      <c r="CL99" s="465">
        <f t="shared" si="440"/>
        <v>0</v>
      </c>
      <c r="CM99" s="465">
        <f t="shared" si="440"/>
        <v>0</v>
      </c>
      <c r="CN99" s="465">
        <f t="shared" si="440"/>
        <v>0</v>
      </c>
      <c r="CO99" s="465">
        <f t="shared" si="440"/>
        <v>0</v>
      </c>
      <c r="CP99" s="465">
        <f t="shared" si="440"/>
        <v>0</v>
      </c>
      <c r="CQ99" s="465">
        <f t="shared" si="440"/>
        <v>0</v>
      </c>
      <c r="CR99" s="465">
        <f t="shared" si="440"/>
        <v>0</v>
      </c>
      <c r="CS99" s="465">
        <f t="shared" si="440"/>
        <v>0</v>
      </c>
      <c r="CT99" s="465">
        <f t="shared" si="440"/>
        <v>0</v>
      </c>
      <c r="CU99" s="465">
        <f t="shared" si="440"/>
        <v>0</v>
      </c>
      <c r="CV99" s="465">
        <f t="shared" si="440"/>
        <v>0</v>
      </c>
      <c r="CW99" s="465">
        <f t="shared" si="440"/>
        <v>0</v>
      </c>
      <c r="CX99" s="465">
        <f t="shared" si="440"/>
        <v>0</v>
      </c>
      <c r="CY99" s="465">
        <f t="shared" si="440"/>
        <v>0</v>
      </c>
      <c r="CZ99" s="465">
        <f t="shared" si="440"/>
        <v>0</v>
      </c>
      <c r="DA99" s="465">
        <f t="shared" si="440"/>
        <v>0</v>
      </c>
      <c r="DB99" s="465">
        <f t="shared" si="440"/>
        <v>0</v>
      </c>
      <c r="DC99" s="465">
        <f t="shared" si="440"/>
        <v>0</v>
      </c>
      <c r="DD99" s="465">
        <f t="shared" si="440"/>
        <v>0</v>
      </c>
      <c r="DE99" s="465">
        <f t="shared" si="440"/>
        <v>0</v>
      </c>
      <c r="DF99" s="465">
        <f t="shared" si="440"/>
        <v>0</v>
      </c>
      <c r="DG99" s="465">
        <f t="shared" si="440"/>
        <v>0</v>
      </c>
      <c r="DH99" s="465">
        <f t="shared" si="440"/>
        <v>0</v>
      </c>
      <c r="DI99" s="465">
        <f t="shared" si="440"/>
        <v>0</v>
      </c>
    </row>
    <row r="100" spans="1:113" ht="16.05" customHeight="1" outlineLevel="1" x14ac:dyDescent="0.3">
      <c r="A100" s="455" t="str">
        <f t="shared" ref="A100:A119" si="441">IF(E100="","","Imprimir")</f>
        <v>Imprimir</v>
      </c>
      <c r="B100" s="455"/>
      <c r="C100" s="481"/>
      <c r="D100" s="463" t="s">
        <v>761</v>
      </c>
      <c r="E100" s="482" t="s">
        <v>662</v>
      </c>
      <c r="F100" s="483" t="s">
        <v>663</v>
      </c>
      <c r="G100" s="842">
        <f>2+5+6+7+3+3+5+9+2</f>
        <v>42</v>
      </c>
      <c r="H100" s="485">
        <v>3551.23</v>
      </c>
      <c r="I100" s="466">
        <f t="shared" ref="I100:I119" si="442">G100*H100</f>
        <v>149151.66</v>
      </c>
      <c r="J100" s="259"/>
      <c r="K100" s="478">
        <f>SUM(N100:BI100)</f>
        <v>0</v>
      </c>
      <c r="L100" s="466">
        <f>K100*$H100</f>
        <v>0</v>
      </c>
      <c r="M100" s="257"/>
      <c r="N100" s="478"/>
      <c r="O100" s="478"/>
      <c r="P100" s="478"/>
      <c r="Q100" s="478"/>
      <c r="R100" s="478"/>
      <c r="S100" s="478"/>
      <c r="T100" s="478"/>
      <c r="U100" s="478"/>
      <c r="V100" s="478"/>
      <c r="W100" s="478"/>
      <c r="X100" s="478"/>
      <c r="Y100" s="478"/>
      <c r="Z100" s="478"/>
      <c r="AA100" s="478"/>
      <c r="AB100" s="478"/>
      <c r="AC100" s="478"/>
      <c r="AD100" s="478"/>
      <c r="AE100" s="478"/>
      <c r="AF100" s="478"/>
      <c r="AG100" s="478"/>
      <c r="AH100" s="478"/>
      <c r="AI100" s="478"/>
      <c r="AJ100" s="478"/>
      <c r="AK100" s="478"/>
      <c r="AL100" s="478"/>
      <c r="AM100" s="478"/>
      <c r="AN100" s="478"/>
      <c r="AO100" s="478"/>
      <c r="AP100" s="478"/>
      <c r="AQ100" s="478"/>
      <c r="AR100" s="478"/>
      <c r="AS100" s="478"/>
      <c r="AT100" s="478"/>
      <c r="AU100" s="478"/>
      <c r="AV100" s="478"/>
      <c r="AW100" s="478"/>
      <c r="AX100" s="478"/>
      <c r="AY100" s="478"/>
      <c r="AZ100" s="478"/>
      <c r="BA100" s="478"/>
      <c r="BB100" s="478"/>
      <c r="BC100" s="478"/>
      <c r="BD100" s="478"/>
      <c r="BE100" s="478"/>
      <c r="BF100" s="478"/>
      <c r="BG100" s="478"/>
      <c r="BH100" s="478"/>
      <c r="BI100" s="478"/>
      <c r="BJ100" s="245"/>
      <c r="BK100" s="477">
        <f>IFERROR(BL100/I100,0)</f>
        <v>0.11904761904761905</v>
      </c>
      <c r="BL100" s="466">
        <f>SUM(BN100:DJ100)*$H100</f>
        <v>17756.150000000001</v>
      </c>
      <c r="BM100" s="257"/>
      <c r="BN100" s="478"/>
      <c r="BO100" s="478"/>
      <c r="BP100" s="478"/>
      <c r="BQ100" s="478"/>
      <c r="BR100" s="478"/>
      <c r="BS100" s="478"/>
      <c r="BT100" s="478"/>
      <c r="BU100" s="478"/>
      <c r="BV100" s="478"/>
      <c r="BW100" s="478"/>
      <c r="BX100" s="478"/>
      <c r="BY100" s="478"/>
      <c r="BZ100" s="478">
        <v>5</v>
      </c>
      <c r="CA100" s="478"/>
      <c r="CB100" s="478"/>
      <c r="CC100" s="478"/>
      <c r="CD100" s="478"/>
      <c r="CE100" s="478"/>
      <c r="CF100" s="478"/>
      <c r="CG100" s="478"/>
      <c r="CH100" s="478"/>
      <c r="CI100" s="478"/>
      <c r="CJ100" s="478"/>
      <c r="CK100" s="478"/>
      <c r="CL100" s="478"/>
      <c r="CM100" s="478"/>
      <c r="CN100" s="478"/>
      <c r="CO100" s="478"/>
      <c r="CP100" s="478"/>
      <c r="CQ100" s="478"/>
      <c r="CR100" s="478"/>
      <c r="CS100" s="478"/>
      <c r="CT100" s="478"/>
      <c r="CU100" s="478"/>
      <c r="CV100" s="478"/>
      <c r="CW100" s="478"/>
      <c r="CX100" s="478"/>
      <c r="CY100" s="478"/>
      <c r="CZ100" s="478"/>
      <c r="DA100" s="478"/>
      <c r="DB100" s="478"/>
      <c r="DC100" s="478"/>
      <c r="DD100" s="478"/>
      <c r="DE100" s="478"/>
      <c r="DF100" s="478"/>
      <c r="DG100" s="478"/>
      <c r="DH100" s="478"/>
      <c r="DI100" s="478"/>
    </row>
    <row r="101" spans="1:113" ht="16.05" customHeight="1" outlineLevel="1" x14ac:dyDescent="0.3">
      <c r="A101" s="455" t="str">
        <f t="shared" si="441"/>
        <v>Imprimir</v>
      </c>
      <c r="B101" s="455"/>
      <c r="C101" s="481"/>
      <c r="D101" s="463" t="s">
        <v>762</v>
      </c>
      <c r="E101" s="482" t="s">
        <v>665</v>
      </c>
      <c r="F101" s="483" t="s">
        <v>666</v>
      </c>
      <c r="G101" s="484">
        <f>8*G100</f>
        <v>336</v>
      </c>
      <c r="H101" s="485">
        <v>102.32</v>
      </c>
      <c r="I101" s="466">
        <f t="shared" si="442"/>
        <v>34379.519999999997</v>
      </c>
      <c r="J101" s="259"/>
      <c r="K101" s="478">
        <f t="shared" ref="K101" si="443">SUM(N101:BI101)</f>
        <v>0</v>
      </c>
      <c r="L101" s="466">
        <f t="shared" ref="L101:L119" si="444">K101*$H101</f>
        <v>0</v>
      </c>
      <c r="M101" s="257"/>
      <c r="N101" s="478"/>
      <c r="O101" s="478"/>
      <c r="P101" s="478"/>
      <c r="Q101" s="478"/>
      <c r="R101" s="478"/>
      <c r="S101" s="478"/>
      <c r="T101" s="478"/>
      <c r="U101" s="478"/>
      <c r="V101" s="478"/>
      <c r="W101" s="478"/>
      <c r="X101" s="478"/>
      <c r="Y101" s="478"/>
      <c r="Z101" s="478"/>
      <c r="AA101" s="478"/>
      <c r="AB101" s="478"/>
      <c r="AC101" s="478"/>
      <c r="AD101" s="478"/>
      <c r="AE101" s="478"/>
      <c r="AF101" s="478"/>
      <c r="AG101" s="478"/>
      <c r="AH101" s="478"/>
      <c r="AI101" s="478"/>
      <c r="AJ101" s="478"/>
      <c r="AK101" s="478"/>
      <c r="AL101" s="478"/>
      <c r="AM101" s="478"/>
      <c r="AN101" s="478"/>
      <c r="AO101" s="478"/>
      <c r="AP101" s="478"/>
      <c r="AQ101" s="478"/>
      <c r="AR101" s="478"/>
      <c r="AS101" s="478"/>
      <c r="AT101" s="478"/>
      <c r="AU101" s="478"/>
      <c r="AV101" s="478"/>
      <c r="AW101" s="478"/>
      <c r="AX101" s="478"/>
      <c r="AY101" s="478"/>
      <c r="AZ101" s="478"/>
      <c r="BA101" s="478"/>
      <c r="BB101" s="478"/>
      <c r="BC101" s="478"/>
      <c r="BD101" s="478"/>
      <c r="BE101" s="478"/>
      <c r="BF101" s="478"/>
      <c r="BG101" s="478"/>
      <c r="BH101" s="478"/>
      <c r="BI101" s="478"/>
      <c r="BJ101" s="245"/>
      <c r="BK101" s="477">
        <f t="shared" ref="BK101:BK119" si="445">IFERROR(BL101/I101,0)</f>
        <v>0.11904761904761905</v>
      </c>
      <c r="BL101" s="466">
        <f t="shared" ref="BL101:BL119" si="446">SUM(BN101:DJ101)*$H101</f>
        <v>4092.7999999999997</v>
      </c>
      <c r="BM101" s="257"/>
      <c r="BN101" s="478">
        <f t="shared" ref="BN101" si="447">8*BN100</f>
        <v>0</v>
      </c>
      <c r="BO101" s="478">
        <f t="shared" ref="BO101" si="448">8*BO100</f>
        <v>0</v>
      </c>
      <c r="BP101" s="478">
        <f t="shared" ref="BP101" si="449">8*BP100</f>
        <v>0</v>
      </c>
      <c r="BQ101" s="478">
        <f t="shared" ref="BQ101" si="450">8*BQ100</f>
        <v>0</v>
      </c>
      <c r="BR101" s="478">
        <f t="shared" ref="BR101" si="451">8*BR100</f>
        <v>0</v>
      </c>
      <c r="BS101" s="478">
        <f t="shared" ref="BS101" si="452">8*BS100</f>
        <v>0</v>
      </c>
      <c r="BT101" s="478">
        <f t="shared" ref="BT101" si="453">8*BT100</f>
        <v>0</v>
      </c>
      <c r="BU101" s="478">
        <f t="shared" ref="BU101" si="454">8*BU100</f>
        <v>0</v>
      </c>
      <c r="BV101" s="478">
        <f t="shared" ref="BV101" si="455">8*BV100</f>
        <v>0</v>
      </c>
      <c r="BW101" s="478">
        <f t="shared" ref="BW101" si="456">8*BW100</f>
        <v>0</v>
      </c>
      <c r="BX101" s="478">
        <f t="shared" ref="BX101" si="457">8*BX100</f>
        <v>0</v>
      </c>
      <c r="BY101" s="478">
        <f t="shared" ref="BY101" si="458">8*BY100</f>
        <v>0</v>
      </c>
      <c r="BZ101" s="478">
        <f t="shared" ref="BZ101" si="459">8*BZ100</f>
        <v>40</v>
      </c>
      <c r="CA101" s="478">
        <f t="shared" ref="CA101" si="460">8*CA100</f>
        <v>0</v>
      </c>
      <c r="CB101" s="478">
        <f t="shared" ref="CB101" si="461">8*CB100</f>
        <v>0</v>
      </c>
      <c r="CC101" s="478">
        <f t="shared" ref="CC101" si="462">8*CC100</f>
        <v>0</v>
      </c>
      <c r="CD101" s="478">
        <f t="shared" ref="CD101" si="463">8*CD100</f>
        <v>0</v>
      </c>
      <c r="CE101" s="478">
        <f t="shared" ref="CE101" si="464">8*CE100</f>
        <v>0</v>
      </c>
      <c r="CF101" s="478">
        <f t="shared" ref="CF101" si="465">8*CF100</f>
        <v>0</v>
      </c>
      <c r="CG101" s="478">
        <f t="shared" ref="CG101" si="466">8*CG100</f>
        <v>0</v>
      </c>
      <c r="CH101" s="478">
        <f t="shared" ref="CH101" si="467">8*CH100</f>
        <v>0</v>
      </c>
      <c r="CI101" s="478">
        <f t="shared" ref="CI101" si="468">8*CI100</f>
        <v>0</v>
      </c>
      <c r="CJ101" s="478">
        <f t="shared" ref="CJ101" si="469">8*CJ100</f>
        <v>0</v>
      </c>
      <c r="CK101" s="478">
        <f t="shared" ref="CK101" si="470">8*CK100</f>
        <v>0</v>
      </c>
      <c r="CL101" s="478">
        <f t="shared" ref="CL101" si="471">8*CL100</f>
        <v>0</v>
      </c>
      <c r="CM101" s="478">
        <f t="shared" ref="CM101" si="472">8*CM100</f>
        <v>0</v>
      </c>
      <c r="CN101" s="478">
        <f t="shared" ref="CN101" si="473">8*CN100</f>
        <v>0</v>
      </c>
      <c r="CO101" s="478">
        <f t="shared" ref="CO101" si="474">8*CO100</f>
        <v>0</v>
      </c>
      <c r="CP101" s="478">
        <f t="shared" ref="CP101" si="475">8*CP100</f>
        <v>0</v>
      </c>
      <c r="CQ101" s="478">
        <f t="shared" ref="CQ101" si="476">8*CQ100</f>
        <v>0</v>
      </c>
      <c r="CR101" s="478">
        <f t="shared" ref="CR101" si="477">8*CR100</f>
        <v>0</v>
      </c>
      <c r="CS101" s="478">
        <f t="shared" ref="CS101" si="478">8*CS100</f>
        <v>0</v>
      </c>
      <c r="CT101" s="478">
        <f t="shared" ref="CT101" si="479">8*CT100</f>
        <v>0</v>
      </c>
      <c r="CU101" s="478">
        <f t="shared" ref="CU101" si="480">8*CU100</f>
        <v>0</v>
      </c>
      <c r="CV101" s="478">
        <f t="shared" ref="CV101" si="481">8*CV100</f>
        <v>0</v>
      </c>
      <c r="CW101" s="478">
        <f t="shared" ref="CW101" si="482">8*CW100</f>
        <v>0</v>
      </c>
      <c r="CX101" s="478">
        <f t="shared" ref="CX101" si="483">8*CX100</f>
        <v>0</v>
      </c>
      <c r="CY101" s="478">
        <f t="shared" ref="CY101" si="484">8*CY100</f>
        <v>0</v>
      </c>
      <c r="CZ101" s="478">
        <f t="shared" ref="CZ101" si="485">8*CZ100</f>
        <v>0</v>
      </c>
      <c r="DA101" s="478">
        <f t="shared" ref="DA101" si="486">8*DA100</f>
        <v>0</v>
      </c>
      <c r="DB101" s="478">
        <f t="shared" ref="DB101" si="487">8*DB100</f>
        <v>0</v>
      </c>
      <c r="DC101" s="478">
        <f t="shared" ref="DC101" si="488">8*DC100</f>
        <v>0</v>
      </c>
      <c r="DD101" s="478">
        <f t="shared" ref="DD101" si="489">8*DD100</f>
        <v>0</v>
      </c>
      <c r="DE101" s="478">
        <f t="shared" ref="DE101" si="490">8*DE100</f>
        <v>0</v>
      </c>
      <c r="DF101" s="478">
        <f t="shared" ref="DF101" si="491">8*DF100</f>
        <v>0</v>
      </c>
      <c r="DG101" s="478">
        <f t="shared" ref="DG101" si="492">8*DG100</f>
        <v>0</v>
      </c>
      <c r="DH101" s="478">
        <f t="shared" ref="DH101" si="493">8*DH100</f>
        <v>0</v>
      </c>
      <c r="DI101" s="478">
        <f t="shared" ref="DI101" si="494">8*DI100</f>
        <v>0</v>
      </c>
    </row>
    <row r="102" spans="1:113" ht="16.05" customHeight="1" outlineLevel="1" x14ac:dyDescent="0.3">
      <c r="A102" s="455" t="str">
        <f t="shared" si="441"/>
        <v>Imprimir</v>
      </c>
      <c r="B102" s="455"/>
      <c r="C102" s="481"/>
      <c r="D102" s="463" t="s">
        <v>763</v>
      </c>
      <c r="E102" s="482" t="s">
        <v>668</v>
      </c>
      <c r="F102" s="483" t="s">
        <v>669</v>
      </c>
      <c r="G102" s="484">
        <f>1.1*G100</f>
        <v>46.2</v>
      </c>
      <c r="H102" s="485">
        <v>3586.42</v>
      </c>
      <c r="I102" s="466">
        <f t="shared" si="442"/>
        <v>165692.60400000002</v>
      </c>
      <c r="J102" s="259"/>
      <c r="K102" s="478">
        <f t="shared" ref="K102:K119" si="495">SUM(N102:BI102)</f>
        <v>0</v>
      </c>
      <c r="L102" s="466">
        <f t="shared" si="444"/>
        <v>0</v>
      </c>
      <c r="M102" s="257"/>
      <c r="N102" s="478"/>
      <c r="O102" s="478"/>
      <c r="P102" s="478"/>
      <c r="Q102" s="478"/>
      <c r="R102" s="478"/>
      <c r="S102" s="478"/>
      <c r="T102" s="478"/>
      <c r="U102" s="478"/>
      <c r="V102" s="478"/>
      <c r="W102" s="478"/>
      <c r="X102" s="478"/>
      <c r="Y102" s="478"/>
      <c r="Z102" s="478"/>
      <c r="AA102" s="478"/>
      <c r="AB102" s="478"/>
      <c r="AC102" s="478"/>
      <c r="AD102" s="478"/>
      <c r="AE102" s="478"/>
      <c r="AF102" s="478"/>
      <c r="AG102" s="478"/>
      <c r="AH102" s="478"/>
      <c r="AI102" s="478"/>
      <c r="AJ102" s="478"/>
      <c r="AK102" s="478"/>
      <c r="AL102" s="478"/>
      <c r="AM102" s="478"/>
      <c r="AN102" s="478"/>
      <c r="AO102" s="478"/>
      <c r="AP102" s="478"/>
      <c r="AQ102" s="478"/>
      <c r="AR102" s="478"/>
      <c r="AS102" s="478"/>
      <c r="AT102" s="478"/>
      <c r="AU102" s="478"/>
      <c r="AV102" s="478"/>
      <c r="AW102" s="478"/>
      <c r="AX102" s="478"/>
      <c r="AY102" s="478"/>
      <c r="AZ102" s="478"/>
      <c r="BA102" s="478"/>
      <c r="BB102" s="478"/>
      <c r="BC102" s="478"/>
      <c r="BD102" s="478"/>
      <c r="BE102" s="478"/>
      <c r="BF102" s="478"/>
      <c r="BG102" s="478"/>
      <c r="BH102" s="478"/>
      <c r="BI102" s="478"/>
      <c r="BJ102" s="245"/>
      <c r="BK102" s="477">
        <f t="shared" si="445"/>
        <v>0.11904761904761904</v>
      </c>
      <c r="BL102" s="466">
        <f t="shared" si="446"/>
        <v>19725.310000000001</v>
      </c>
      <c r="BM102" s="257"/>
      <c r="BN102" s="478">
        <f t="shared" ref="BN102:DI102" si="496">1.1*BN100</f>
        <v>0</v>
      </c>
      <c r="BO102" s="478">
        <f t="shared" si="496"/>
        <v>0</v>
      </c>
      <c r="BP102" s="478">
        <f t="shared" si="496"/>
        <v>0</v>
      </c>
      <c r="BQ102" s="478">
        <f t="shared" si="496"/>
        <v>0</v>
      </c>
      <c r="BR102" s="478">
        <f t="shared" si="496"/>
        <v>0</v>
      </c>
      <c r="BS102" s="478">
        <f t="shared" si="496"/>
        <v>0</v>
      </c>
      <c r="BT102" s="478">
        <f t="shared" si="496"/>
        <v>0</v>
      </c>
      <c r="BU102" s="478">
        <f t="shared" si="496"/>
        <v>0</v>
      </c>
      <c r="BV102" s="478">
        <f t="shared" si="496"/>
        <v>0</v>
      </c>
      <c r="BW102" s="478">
        <f t="shared" si="496"/>
        <v>0</v>
      </c>
      <c r="BX102" s="478">
        <f t="shared" si="496"/>
        <v>0</v>
      </c>
      <c r="BY102" s="478">
        <f t="shared" si="496"/>
        <v>0</v>
      </c>
      <c r="BZ102" s="478">
        <f t="shared" si="496"/>
        <v>5.5</v>
      </c>
      <c r="CA102" s="478">
        <f t="shared" si="496"/>
        <v>0</v>
      </c>
      <c r="CB102" s="478">
        <f t="shared" si="496"/>
        <v>0</v>
      </c>
      <c r="CC102" s="478">
        <f t="shared" si="496"/>
        <v>0</v>
      </c>
      <c r="CD102" s="478">
        <f t="shared" si="496"/>
        <v>0</v>
      </c>
      <c r="CE102" s="478">
        <f t="shared" si="496"/>
        <v>0</v>
      </c>
      <c r="CF102" s="478">
        <f t="shared" si="496"/>
        <v>0</v>
      </c>
      <c r="CG102" s="478">
        <f t="shared" si="496"/>
        <v>0</v>
      </c>
      <c r="CH102" s="478">
        <f t="shared" si="496"/>
        <v>0</v>
      </c>
      <c r="CI102" s="478">
        <f t="shared" si="496"/>
        <v>0</v>
      </c>
      <c r="CJ102" s="478">
        <f t="shared" si="496"/>
        <v>0</v>
      </c>
      <c r="CK102" s="478">
        <f t="shared" si="496"/>
        <v>0</v>
      </c>
      <c r="CL102" s="478">
        <f t="shared" si="496"/>
        <v>0</v>
      </c>
      <c r="CM102" s="478">
        <f t="shared" si="496"/>
        <v>0</v>
      </c>
      <c r="CN102" s="478">
        <f t="shared" si="496"/>
        <v>0</v>
      </c>
      <c r="CO102" s="478">
        <f t="shared" si="496"/>
        <v>0</v>
      </c>
      <c r="CP102" s="478">
        <f t="shared" si="496"/>
        <v>0</v>
      </c>
      <c r="CQ102" s="478">
        <f t="shared" si="496"/>
        <v>0</v>
      </c>
      <c r="CR102" s="478">
        <f t="shared" si="496"/>
        <v>0</v>
      </c>
      <c r="CS102" s="478">
        <f t="shared" si="496"/>
        <v>0</v>
      </c>
      <c r="CT102" s="478">
        <f t="shared" si="496"/>
        <v>0</v>
      </c>
      <c r="CU102" s="478">
        <f t="shared" si="496"/>
        <v>0</v>
      </c>
      <c r="CV102" s="478">
        <f t="shared" si="496"/>
        <v>0</v>
      </c>
      <c r="CW102" s="478">
        <f t="shared" si="496"/>
        <v>0</v>
      </c>
      <c r="CX102" s="478">
        <f t="shared" si="496"/>
        <v>0</v>
      </c>
      <c r="CY102" s="478">
        <f t="shared" si="496"/>
        <v>0</v>
      </c>
      <c r="CZ102" s="478">
        <f t="shared" si="496"/>
        <v>0</v>
      </c>
      <c r="DA102" s="478">
        <f t="shared" si="496"/>
        <v>0</v>
      </c>
      <c r="DB102" s="478">
        <f t="shared" si="496"/>
        <v>0</v>
      </c>
      <c r="DC102" s="478">
        <f t="shared" si="496"/>
        <v>0</v>
      </c>
      <c r="DD102" s="478">
        <f t="shared" si="496"/>
        <v>0</v>
      </c>
      <c r="DE102" s="478">
        <f t="shared" si="496"/>
        <v>0</v>
      </c>
      <c r="DF102" s="478">
        <f t="shared" si="496"/>
        <v>0</v>
      </c>
      <c r="DG102" s="478">
        <f t="shared" si="496"/>
        <v>0</v>
      </c>
      <c r="DH102" s="478">
        <f t="shared" si="496"/>
        <v>0</v>
      </c>
      <c r="DI102" s="478">
        <f t="shared" si="496"/>
        <v>0</v>
      </c>
    </row>
    <row r="103" spans="1:113" ht="16.05" customHeight="1" outlineLevel="1" x14ac:dyDescent="0.3">
      <c r="A103" s="455" t="str">
        <f t="shared" si="441"/>
        <v>Imprimir</v>
      </c>
      <c r="B103" s="455"/>
      <c r="C103" s="481"/>
      <c r="D103" s="463" t="s">
        <v>764</v>
      </c>
      <c r="E103" s="482" t="s">
        <v>671</v>
      </c>
      <c r="F103" s="483" t="s">
        <v>669</v>
      </c>
      <c r="G103" s="484">
        <f>0.04*G100</f>
        <v>1.68</v>
      </c>
      <c r="H103" s="485">
        <v>6658.98</v>
      </c>
      <c r="I103" s="466">
        <f t="shared" si="442"/>
        <v>11187.086399999998</v>
      </c>
      <c r="J103" s="259"/>
      <c r="K103" s="478">
        <f t="shared" si="495"/>
        <v>0</v>
      </c>
      <c r="L103" s="466">
        <f t="shared" si="444"/>
        <v>0</v>
      </c>
      <c r="M103" s="257"/>
      <c r="N103" s="478"/>
      <c r="O103" s="478"/>
      <c r="P103" s="478"/>
      <c r="Q103" s="478"/>
      <c r="R103" s="478"/>
      <c r="S103" s="478"/>
      <c r="T103" s="478"/>
      <c r="U103" s="478"/>
      <c r="V103" s="478"/>
      <c r="W103" s="478"/>
      <c r="X103" s="478"/>
      <c r="Y103" s="478"/>
      <c r="Z103" s="478"/>
      <c r="AA103" s="478"/>
      <c r="AB103" s="478"/>
      <c r="AC103" s="478"/>
      <c r="AD103" s="478"/>
      <c r="AE103" s="478"/>
      <c r="AF103" s="478"/>
      <c r="AG103" s="478"/>
      <c r="AH103" s="478"/>
      <c r="AI103" s="478"/>
      <c r="AJ103" s="478"/>
      <c r="AK103" s="478"/>
      <c r="AL103" s="478"/>
      <c r="AM103" s="478"/>
      <c r="AN103" s="478"/>
      <c r="AO103" s="478"/>
      <c r="AP103" s="478"/>
      <c r="AQ103" s="478"/>
      <c r="AR103" s="478"/>
      <c r="AS103" s="478"/>
      <c r="AT103" s="478"/>
      <c r="AU103" s="478"/>
      <c r="AV103" s="478"/>
      <c r="AW103" s="478"/>
      <c r="AX103" s="478"/>
      <c r="AY103" s="478"/>
      <c r="AZ103" s="478"/>
      <c r="BA103" s="478"/>
      <c r="BB103" s="478"/>
      <c r="BC103" s="478"/>
      <c r="BD103" s="478"/>
      <c r="BE103" s="478"/>
      <c r="BF103" s="478"/>
      <c r="BG103" s="478"/>
      <c r="BH103" s="478"/>
      <c r="BI103" s="478"/>
      <c r="BJ103" s="245"/>
      <c r="BK103" s="477">
        <f t="shared" si="445"/>
        <v>0.11904761904761907</v>
      </c>
      <c r="BL103" s="466">
        <f t="shared" si="446"/>
        <v>1331.796</v>
      </c>
      <c r="BM103" s="257"/>
      <c r="BN103" s="478">
        <f t="shared" ref="BN103:DI103" si="497">0.04*BN100</f>
        <v>0</v>
      </c>
      <c r="BO103" s="478">
        <f t="shared" si="497"/>
        <v>0</v>
      </c>
      <c r="BP103" s="478">
        <f t="shared" si="497"/>
        <v>0</v>
      </c>
      <c r="BQ103" s="478">
        <f t="shared" si="497"/>
        <v>0</v>
      </c>
      <c r="BR103" s="478">
        <f t="shared" si="497"/>
        <v>0</v>
      </c>
      <c r="BS103" s="478">
        <f t="shared" si="497"/>
        <v>0</v>
      </c>
      <c r="BT103" s="478">
        <f t="shared" si="497"/>
        <v>0</v>
      </c>
      <c r="BU103" s="478">
        <f t="shared" si="497"/>
        <v>0</v>
      </c>
      <c r="BV103" s="478">
        <f t="shared" si="497"/>
        <v>0</v>
      </c>
      <c r="BW103" s="478">
        <f t="shared" si="497"/>
        <v>0</v>
      </c>
      <c r="BX103" s="478">
        <f t="shared" si="497"/>
        <v>0</v>
      </c>
      <c r="BY103" s="478">
        <f t="shared" si="497"/>
        <v>0</v>
      </c>
      <c r="BZ103" s="478">
        <f t="shared" si="497"/>
        <v>0.2</v>
      </c>
      <c r="CA103" s="478">
        <f t="shared" si="497"/>
        <v>0</v>
      </c>
      <c r="CB103" s="478">
        <f t="shared" si="497"/>
        <v>0</v>
      </c>
      <c r="CC103" s="478">
        <f t="shared" si="497"/>
        <v>0</v>
      </c>
      <c r="CD103" s="478">
        <f t="shared" si="497"/>
        <v>0</v>
      </c>
      <c r="CE103" s="478">
        <f t="shared" si="497"/>
        <v>0</v>
      </c>
      <c r="CF103" s="478">
        <f t="shared" si="497"/>
        <v>0</v>
      </c>
      <c r="CG103" s="478">
        <f t="shared" si="497"/>
        <v>0</v>
      </c>
      <c r="CH103" s="478">
        <f t="shared" si="497"/>
        <v>0</v>
      </c>
      <c r="CI103" s="478">
        <f t="shared" si="497"/>
        <v>0</v>
      </c>
      <c r="CJ103" s="478">
        <f t="shared" si="497"/>
        <v>0</v>
      </c>
      <c r="CK103" s="478">
        <f t="shared" si="497"/>
        <v>0</v>
      </c>
      <c r="CL103" s="478">
        <f t="shared" si="497"/>
        <v>0</v>
      </c>
      <c r="CM103" s="478">
        <f t="shared" si="497"/>
        <v>0</v>
      </c>
      <c r="CN103" s="478">
        <f t="shared" si="497"/>
        <v>0</v>
      </c>
      <c r="CO103" s="478">
        <f t="shared" si="497"/>
        <v>0</v>
      </c>
      <c r="CP103" s="478">
        <f t="shared" si="497"/>
        <v>0</v>
      </c>
      <c r="CQ103" s="478">
        <f t="shared" si="497"/>
        <v>0</v>
      </c>
      <c r="CR103" s="478">
        <f t="shared" si="497"/>
        <v>0</v>
      </c>
      <c r="CS103" s="478">
        <f t="shared" si="497"/>
        <v>0</v>
      </c>
      <c r="CT103" s="478">
        <f t="shared" si="497"/>
        <v>0</v>
      </c>
      <c r="CU103" s="478">
        <f t="shared" si="497"/>
        <v>0</v>
      </c>
      <c r="CV103" s="478">
        <f t="shared" si="497"/>
        <v>0</v>
      </c>
      <c r="CW103" s="478">
        <f t="shared" si="497"/>
        <v>0</v>
      </c>
      <c r="CX103" s="478">
        <f t="shared" si="497"/>
        <v>0</v>
      </c>
      <c r="CY103" s="478">
        <f t="shared" si="497"/>
        <v>0</v>
      </c>
      <c r="CZ103" s="478">
        <f t="shared" si="497"/>
        <v>0</v>
      </c>
      <c r="DA103" s="478">
        <f t="shared" si="497"/>
        <v>0</v>
      </c>
      <c r="DB103" s="478">
        <f t="shared" si="497"/>
        <v>0</v>
      </c>
      <c r="DC103" s="478">
        <f t="shared" si="497"/>
        <v>0</v>
      </c>
      <c r="DD103" s="478">
        <f t="shared" si="497"/>
        <v>0</v>
      </c>
      <c r="DE103" s="478">
        <f t="shared" si="497"/>
        <v>0</v>
      </c>
      <c r="DF103" s="478">
        <f t="shared" si="497"/>
        <v>0</v>
      </c>
      <c r="DG103" s="478">
        <f t="shared" si="497"/>
        <v>0</v>
      </c>
      <c r="DH103" s="478">
        <f t="shared" si="497"/>
        <v>0</v>
      </c>
      <c r="DI103" s="478">
        <f t="shared" si="497"/>
        <v>0</v>
      </c>
    </row>
    <row r="104" spans="1:113" ht="16.05" customHeight="1" outlineLevel="1" x14ac:dyDescent="0.3">
      <c r="A104" s="455" t="str">
        <f t="shared" si="441"/>
        <v>Imprimir</v>
      </c>
      <c r="B104" s="455"/>
      <c r="C104" s="481"/>
      <c r="D104" s="463" t="s">
        <v>765</v>
      </c>
      <c r="E104" s="482" t="s">
        <v>673</v>
      </c>
      <c r="F104" s="483" t="s">
        <v>669</v>
      </c>
      <c r="G104" s="484">
        <f>1.1*G100</f>
        <v>46.2</v>
      </c>
      <c r="H104" s="485">
        <v>2123.23</v>
      </c>
      <c r="I104" s="466">
        <f t="shared" si="442"/>
        <v>98093.22600000001</v>
      </c>
      <c r="J104" s="259"/>
      <c r="K104" s="478">
        <f t="shared" si="495"/>
        <v>0</v>
      </c>
      <c r="L104" s="466">
        <f t="shared" si="444"/>
        <v>0</v>
      </c>
      <c r="M104" s="257"/>
      <c r="N104" s="478"/>
      <c r="O104" s="478"/>
      <c r="P104" s="478"/>
      <c r="Q104" s="478"/>
      <c r="R104" s="478"/>
      <c r="S104" s="478"/>
      <c r="T104" s="478"/>
      <c r="U104" s="478"/>
      <c r="V104" s="478"/>
      <c r="W104" s="478"/>
      <c r="X104" s="478"/>
      <c r="Y104" s="478"/>
      <c r="Z104" s="478"/>
      <c r="AA104" s="478"/>
      <c r="AB104" s="478"/>
      <c r="AC104" s="478"/>
      <c r="AD104" s="478"/>
      <c r="AE104" s="478"/>
      <c r="AF104" s="478"/>
      <c r="AG104" s="478"/>
      <c r="AH104" s="478"/>
      <c r="AI104" s="478"/>
      <c r="AJ104" s="478"/>
      <c r="AK104" s="478"/>
      <c r="AL104" s="478"/>
      <c r="AM104" s="478"/>
      <c r="AN104" s="478"/>
      <c r="AO104" s="478"/>
      <c r="AP104" s="478"/>
      <c r="AQ104" s="478"/>
      <c r="AR104" s="478"/>
      <c r="AS104" s="478"/>
      <c r="AT104" s="478"/>
      <c r="AU104" s="478"/>
      <c r="AV104" s="478"/>
      <c r="AW104" s="478"/>
      <c r="AX104" s="478"/>
      <c r="AY104" s="478"/>
      <c r="AZ104" s="478"/>
      <c r="BA104" s="478"/>
      <c r="BB104" s="478"/>
      <c r="BC104" s="478"/>
      <c r="BD104" s="478"/>
      <c r="BE104" s="478"/>
      <c r="BF104" s="478"/>
      <c r="BG104" s="478"/>
      <c r="BH104" s="478"/>
      <c r="BI104" s="478"/>
      <c r="BJ104" s="245"/>
      <c r="BK104" s="477">
        <f t="shared" si="445"/>
        <v>0.11904761904761903</v>
      </c>
      <c r="BL104" s="466">
        <f t="shared" si="446"/>
        <v>11677.764999999999</v>
      </c>
      <c r="BM104" s="257"/>
      <c r="BN104" s="478">
        <f t="shared" ref="BN104:DI104" si="498">1.1*BN100</f>
        <v>0</v>
      </c>
      <c r="BO104" s="478">
        <f t="shared" si="498"/>
        <v>0</v>
      </c>
      <c r="BP104" s="478">
        <f t="shared" si="498"/>
        <v>0</v>
      </c>
      <c r="BQ104" s="478">
        <f t="shared" si="498"/>
        <v>0</v>
      </c>
      <c r="BR104" s="478">
        <f t="shared" si="498"/>
        <v>0</v>
      </c>
      <c r="BS104" s="478">
        <f t="shared" si="498"/>
        <v>0</v>
      </c>
      <c r="BT104" s="478">
        <f t="shared" si="498"/>
        <v>0</v>
      </c>
      <c r="BU104" s="478">
        <f t="shared" si="498"/>
        <v>0</v>
      </c>
      <c r="BV104" s="478">
        <f t="shared" si="498"/>
        <v>0</v>
      </c>
      <c r="BW104" s="478">
        <f t="shared" si="498"/>
        <v>0</v>
      </c>
      <c r="BX104" s="478">
        <f t="shared" si="498"/>
        <v>0</v>
      </c>
      <c r="BY104" s="478">
        <f t="shared" si="498"/>
        <v>0</v>
      </c>
      <c r="BZ104" s="478">
        <f t="shared" si="498"/>
        <v>5.5</v>
      </c>
      <c r="CA104" s="478">
        <f t="shared" si="498"/>
        <v>0</v>
      </c>
      <c r="CB104" s="478">
        <f t="shared" si="498"/>
        <v>0</v>
      </c>
      <c r="CC104" s="478">
        <f t="shared" si="498"/>
        <v>0</v>
      </c>
      <c r="CD104" s="478">
        <f t="shared" si="498"/>
        <v>0</v>
      </c>
      <c r="CE104" s="478">
        <f t="shared" si="498"/>
        <v>0</v>
      </c>
      <c r="CF104" s="478">
        <f t="shared" si="498"/>
        <v>0</v>
      </c>
      <c r="CG104" s="478">
        <f t="shared" si="498"/>
        <v>0</v>
      </c>
      <c r="CH104" s="478">
        <f t="shared" si="498"/>
        <v>0</v>
      </c>
      <c r="CI104" s="478">
        <f t="shared" si="498"/>
        <v>0</v>
      </c>
      <c r="CJ104" s="478">
        <f t="shared" si="498"/>
        <v>0</v>
      </c>
      <c r="CK104" s="478">
        <f t="shared" si="498"/>
        <v>0</v>
      </c>
      <c r="CL104" s="478">
        <f t="shared" si="498"/>
        <v>0</v>
      </c>
      <c r="CM104" s="478">
        <f t="shared" si="498"/>
        <v>0</v>
      </c>
      <c r="CN104" s="478">
        <f t="shared" si="498"/>
        <v>0</v>
      </c>
      <c r="CO104" s="478">
        <f t="shared" si="498"/>
        <v>0</v>
      </c>
      <c r="CP104" s="478">
        <f t="shared" si="498"/>
        <v>0</v>
      </c>
      <c r="CQ104" s="478">
        <f t="shared" si="498"/>
        <v>0</v>
      </c>
      <c r="CR104" s="478">
        <f t="shared" si="498"/>
        <v>0</v>
      </c>
      <c r="CS104" s="478">
        <f t="shared" si="498"/>
        <v>0</v>
      </c>
      <c r="CT104" s="478">
        <f t="shared" si="498"/>
        <v>0</v>
      </c>
      <c r="CU104" s="478">
        <f t="shared" si="498"/>
        <v>0</v>
      </c>
      <c r="CV104" s="478">
        <f t="shared" si="498"/>
        <v>0</v>
      </c>
      <c r="CW104" s="478">
        <f t="shared" si="498"/>
        <v>0</v>
      </c>
      <c r="CX104" s="478">
        <f t="shared" si="498"/>
        <v>0</v>
      </c>
      <c r="CY104" s="478">
        <f t="shared" si="498"/>
        <v>0</v>
      </c>
      <c r="CZ104" s="478">
        <f t="shared" si="498"/>
        <v>0</v>
      </c>
      <c r="DA104" s="478">
        <f t="shared" si="498"/>
        <v>0</v>
      </c>
      <c r="DB104" s="478">
        <f t="shared" si="498"/>
        <v>0</v>
      </c>
      <c r="DC104" s="478">
        <f t="shared" si="498"/>
        <v>0</v>
      </c>
      <c r="DD104" s="478">
        <f t="shared" si="498"/>
        <v>0</v>
      </c>
      <c r="DE104" s="478">
        <f t="shared" si="498"/>
        <v>0</v>
      </c>
      <c r="DF104" s="478">
        <f t="shared" si="498"/>
        <v>0</v>
      </c>
      <c r="DG104" s="478">
        <f t="shared" si="498"/>
        <v>0</v>
      </c>
      <c r="DH104" s="478">
        <f t="shared" si="498"/>
        <v>0</v>
      </c>
      <c r="DI104" s="478">
        <f t="shared" si="498"/>
        <v>0</v>
      </c>
    </row>
    <row r="105" spans="1:113" ht="16.05" customHeight="1" outlineLevel="1" x14ac:dyDescent="0.3">
      <c r="A105" s="455" t="str">
        <f t="shared" si="441"/>
        <v>Imprimir</v>
      </c>
      <c r="B105" s="455"/>
      <c r="C105" s="481"/>
      <c r="D105" s="463" t="s">
        <v>766</v>
      </c>
      <c r="E105" s="482" t="s">
        <v>675</v>
      </c>
      <c r="F105" s="483" t="s">
        <v>666</v>
      </c>
      <c r="G105" s="484">
        <f>1*G100</f>
        <v>42</v>
      </c>
      <c r="H105" s="485">
        <v>131.16</v>
      </c>
      <c r="I105" s="466">
        <f t="shared" si="442"/>
        <v>5508.72</v>
      </c>
      <c r="J105" s="259"/>
      <c r="K105" s="478">
        <f t="shared" si="495"/>
        <v>0</v>
      </c>
      <c r="L105" s="466">
        <f t="shared" si="444"/>
        <v>0</v>
      </c>
      <c r="M105" s="257"/>
      <c r="N105" s="478"/>
      <c r="O105" s="478"/>
      <c r="P105" s="478"/>
      <c r="Q105" s="478"/>
      <c r="R105" s="478"/>
      <c r="S105" s="478"/>
      <c r="T105" s="478"/>
      <c r="U105" s="478"/>
      <c r="V105" s="478"/>
      <c r="W105" s="478"/>
      <c r="X105" s="478"/>
      <c r="Y105" s="478"/>
      <c r="Z105" s="478"/>
      <c r="AA105" s="478"/>
      <c r="AB105" s="478"/>
      <c r="AC105" s="478"/>
      <c r="AD105" s="478"/>
      <c r="AE105" s="478"/>
      <c r="AF105" s="478"/>
      <c r="AG105" s="478"/>
      <c r="AH105" s="478"/>
      <c r="AI105" s="478"/>
      <c r="AJ105" s="478"/>
      <c r="AK105" s="478"/>
      <c r="AL105" s="478"/>
      <c r="AM105" s="478"/>
      <c r="AN105" s="478"/>
      <c r="AO105" s="478"/>
      <c r="AP105" s="478"/>
      <c r="AQ105" s="478"/>
      <c r="AR105" s="478"/>
      <c r="AS105" s="478"/>
      <c r="AT105" s="478"/>
      <c r="AU105" s="478"/>
      <c r="AV105" s="478"/>
      <c r="AW105" s="478"/>
      <c r="AX105" s="478"/>
      <c r="AY105" s="478"/>
      <c r="AZ105" s="478"/>
      <c r="BA105" s="478"/>
      <c r="BB105" s="478"/>
      <c r="BC105" s="478"/>
      <c r="BD105" s="478"/>
      <c r="BE105" s="478"/>
      <c r="BF105" s="478"/>
      <c r="BG105" s="478"/>
      <c r="BH105" s="478"/>
      <c r="BI105" s="478"/>
      <c r="BJ105" s="245"/>
      <c r="BK105" s="477">
        <f t="shared" si="445"/>
        <v>0.11904761904761903</v>
      </c>
      <c r="BL105" s="466">
        <f t="shared" si="446"/>
        <v>655.8</v>
      </c>
      <c r="BM105" s="257"/>
      <c r="BN105" s="478">
        <f t="shared" ref="BN105:DI105" si="499">1*BN100</f>
        <v>0</v>
      </c>
      <c r="BO105" s="478">
        <f t="shared" si="499"/>
        <v>0</v>
      </c>
      <c r="BP105" s="478">
        <f t="shared" si="499"/>
        <v>0</v>
      </c>
      <c r="BQ105" s="478">
        <f t="shared" si="499"/>
        <v>0</v>
      </c>
      <c r="BR105" s="478">
        <f t="shared" si="499"/>
        <v>0</v>
      </c>
      <c r="BS105" s="478">
        <f t="shared" si="499"/>
        <v>0</v>
      </c>
      <c r="BT105" s="478">
        <f t="shared" si="499"/>
        <v>0</v>
      </c>
      <c r="BU105" s="478">
        <f t="shared" si="499"/>
        <v>0</v>
      </c>
      <c r="BV105" s="478">
        <f t="shared" si="499"/>
        <v>0</v>
      </c>
      <c r="BW105" s="478">
        <f t="shared" si="499"/>
        <v>0</v>
      </c>
      <c r="BX105" s="478">
        <f t="shared" si="499"/>
        <v>0</v>
      </c>
      <c r="BY105" s="478">
        <f t="shared" si="499"/>
        <v>0</v>
      </c>
      <c r="BZ105" s="478">
        <f t="shared" si="499"/>
        <v>5</v>
      </c>
      <c r="CA105" s="478">
        <f t="shared" si="499"/>
        <v>0</v>
      </c>
      <c r="CB105" s="478">
        <f t="shared" si="499"/>
        <v>0</v>
      </c>
      <c r="CC105" s="478">
        <f t="shared" si="499"/>
        <v>0</v>
      </c>
      <c r="CD105" s="478">
        <f t="shared" si="499"/>
        <v>0</v>
      </c>
      <c r="CE105" s="478">
        <f t="shared" si="499"/>
        <v>0</v>
      </c>
      <c r="CF105" s="478">
        <f t="shared" si="499"/>
        <v>0</v>
      </c>
      <c r="CG105" s="478">
        <f t="shared" si="499"/>
        <v>0</v>
      </c>
      <c r="CH105" s="478">
        <f t="shared" si="499"/>
        <v>0</v>
      </c>
      <c r="CI105" s="478">
        <f t="shared" si="499"/>
        <v>0</v>
      </c>
      <c r="CJ105" s="478">
        <f t="shared" si="499"/>
        <v>0</v>
      </c>
      <c r="CK105" s="478">
        <f t="shared" si="499"/>
        <v>0</v>
      </c>
      <c r="CL105" s="478">
        <f t="shared" si="499"/>
        <v>0</v>
      </c>
      <c r="CM105" s="478">
        <f t="shared" si="499"/>
        <v>0</v>
      </c>
      <c r="CN105" s="478">
        <f t="shared" si="499"/>
        <v>0</v>
      </c>
      <c r="CO105" s="478">
        <f t="shared" si="499"/>
        <v>0</v>
      </c>
      <c r="CP105" s="478">
        <f t="shared" si="499"/>
        <v>0</v>
      </c>
      <c r="CQ105" s="478">
        <f t="shared" si="499"/>
        <v>0</v>
      </c>
      <c r="CR105" s="478">
        <f t="shared" si="499"/>
        <v>0</v>
      </c>
      <c r="CS105" s="478">
        <f t="shared" si="499"/>
        <v>0</v>
      </c>
      <c r="CT105" s="478">
        <f t="shared" si="499"/>
        <v>0</v>
      </c>
      <c r="CU105" s="478">
        <f t="shared" si="499"/>
        <v>0</v>
      </c>
      <c r="CV105" s="478">
        <f t="shared" si="499"/>
        <v>0</v>
      </c>
      <c r="CW105" s="478">
        <f t="shared" si="499"/>
        <v>0</v>
      </c>
      <c r="CX105" s="478">
        <f t="shared" si="499"/>
        <v>0</v>
      </c>
      <c r="CY105" s="478">
        <f t="shared" si="499"/>
        <v>0</v>
      </c>
      <c r="CZ105" s="478">
        <f t="shared" si="499"/>
        <v>0</v>
      </c>
      <c r="DA105" s="478">
        <f t="shared" si="499"/>
        <v>0</v>
      </c>
      <c r="DB105" s="478">
        <f t="shared" si="499"/>
        <v>0</v>
      </c>
      <c r="DC105" s="478">
        <f t="shared" si="499"/>
        <v>0</v>
      </c>
      <c r="DD105" s="478">
        <f t="shared" si="499"/>
        <v>0</v>
      </c>
      <c r="DE105" s="478">
        <f t="shared" si="499"/>
        <v>0</v>
      </c>
      <c r="DF105" s="478">
        <f t="shared" si="499"/>
        <v>0</v>
      </c>
      <c r="DG105" s="478">
        <f t="shared" si="499"/>
        <v>0</v>
      </c>
      <c r="DH105" s="478">
        <f t="shared" si="499"/>
        <v>0</v>
      </c>
      <c r="DI105" s="478">
        <f t="shared" si="499"/>
        <v>0</v>
      </c>
    </row>
    <row r="106" spans="1:113" ht="16.05" customHeight="1" outlineLevel="1" x14ac:dyDescent="0.3">
      <c r="A106" s="455" t="str">
        <f t="shared" si="441"/>
        <v>Imprimir</v>
      </c>
      <c r="B106" s="455"/>
      <c r="C106" s="481"/>
      <c r="D106" s="463" t="s">
        <v>767</v>
      </c>
      <c r="E106" s="482" t="s">
        <v>677</v>
      </c>
      <c r="F106" s="483" t="s">
        <v>678</v>
      </c>
      <c r="G106" s="484">
        <f>0.44*G100</f>
        <v>18.48</v>
      </c>
      <c r="H106" s="485">
        <v>250</v>
      </c>
      <c r="I106" s="466">
        <f t="shared" si="442"/>
        <v>4620</v>
      </c>
      <c r="J106" s="259"/>
      <c r="K106" s="478">
        <f t="shared" si="495"/>
        <v>0</v>
      </c>
      <c r="L106" s="466">
        <f t="shared" si="444"/>
        <v>0</v>
      </c>
      <c r="M106" s="257"/>
      <c r="N106" s="478"/>
      <c r="O106" s="478"/>
      <c r="P106" s="478"/>
      <c r="Q106" s="478"/>
      <c r="R106" s="478"/>
      <c r="S106" s="478"/>
      <c r="T106" s="478"/>
      <c r="U106" s="478"/>
      <c r="V106" s="478"/>
      <c r="W106" s="478"/>
      <c r="X106" s="478"/>
      <c r="Y106" s="478"/>
      <c r="Z106" s="478"/>
      <c r="AA106" s="478"/>
      <c r="AB106" s="478"/>
      <c r="AC106" s="478"/>
      <c r="AD106" s="478"/>
      <c r="AE106" s="478"/>
      <c r="AF106" s="478"/>
      <c r="AG106" s="478"/>
      <c r="AH106" s="478"/>
      <c r="AI106" s="478"/>
      <c r="AJ106" s="478"/>
      <c r="AK106" s="478"/>
      <c r="AL106" s="478"/>
      <c r="AM106" s="478"/>
      <c r="AN106" s="478"/>
      <c r="AO106" s="478"/>
      <c r="AP106" s="478"/>
      <c r="AQ106" s="478"/>
      <c r="AR106" s="478"/>
      <c r="AS106" s="478"/>
      <c r="AT106" s="478"/>
      <c r="AU106" s="478"/>
      <c r="AV106" s="478"/>
      <c r="AW106" s="478"/>
      <c r="AX106" s="478"/>
      <c r="AY106" s="478"/>
      <c r="AZ106" s="478"/>
      <c r="BA106" s="478"/>
      <c r="BB106" s="478"/>
      <c r="BC106" s="478"/>
      <c r="BD106" s="478"/>
      <c r="BE106" s="478"/>
      <c r="BF106" s="478"/>
      <c r="BG106" s="478"/>
      <c r="BH106" s="478"/>
      <c r="BI106" s="478"/>
      <c r="BJ106" s="245"/>
      <c r="BK106" s="477">
        <f t="shared" si="445"/>
        <v>0.11904761904761904</v>
      </c>
      <c r="BL106" s="466">
        <f t="shared" si="446"/>
        <v>550</v>
      </c>
      <c r="BM106" s="257"/>
      <c r="BN106" s="478">
        <f t="shared" ref="BN106:DI106" si="500">0.44*BN100</f>
        <v>0</v>
      </c>
      <c r="BO106" s="478">
        <f t="shared" si="500"/>
        <v>0</v>
      </c>
      <c r="BP106" s="478">
        <f t="shared" si="500"/>
        <v>0</v>
      </c>
      <c r="BQ106" s="478">
        <f t="shared" si="500"/>
        <v>0</v>
      </c>
      <c r="BR106" s="478">
        <f t="shared" si="500"/>
        <v>0</v>
      </c>
      <c r="BS106" s="478">
        <f t="shared" si="500"/>
        <v>0</v>
      </c>
      <c r="BT106" s="478">
        <f t="shared" si="500"/>
        <v>0</v>
      </c>
      <c r="BU106" s="478">
        <f t="shared" si="500"/>
        <v>0</v>
      </c>
      <c r="BV106" s="478">
        <f t="shared" si="500"/>
        <v>0</v>
      </c>
      <c r="BW106" s="478">
        <f t="shared" si="500"/>
        <v>0</v>
      </c>
      <c r="BX106" s="478">
        <f t="shared" si="500"/>
        <v>0</v>
      </c>
      <c r="BY106" s="478">
        <f t="shared" si="500"/>
        <v>0</v>
      </c>
      <c r="BZ106" s="478">
        <f t="shared" si="500"/>
        <v>2.2000000000000002</v>
      </c>
      <c r="CA106" s="478">
        <f t="shared" si="500"/>
        <v>0</v>
      </c>
      <c r="CB106" s="478">
        <f t="shared" si="500"/>
        <v>0</v>
      </c>
      <c r="CC106" s="478">
        <f t="shared" si="500"/>
        <v>0</v>
      </c>
      <c r="CD106" s="478">
        <f t="shared" si="500"/>
        <v>0</v>
      </c>
      <c r="CE106" s="478">
        <f t="shared" si="500"/>
        <v>0</v>
      </c>
      <c r="CF106" s="478">
        <f t="shared" si="500"/>
        <v>0</v>
      </c>
      <c r="CG106" s="478">
        <f t="shared" si="500"/>
        <v>0</v>
      </c>
      <c r="CH106" s="478">
        <f t="shared" si="500"/>
        <v>0</v>
      </c>
      <c r="CI106" s="478">
        <f t="shared" si="500"/>
        <v>0</v>
      </c>
      <c r="CJ106" s="478">
        <f t="shared" si="500"/>
        <v>0</v>
      </c>
      <c r="CK106" s="478">
        <f t="shared" si="500"/>
        <v>0</v>
      </c>
      <c r="CL106" s="478">
        <f t="shared" si="500"/>
        <v>0</v>
      </c>
      <c r="CM106" s="478">
        <f t="shared" si="500"/>
        <v>0</v>
      </c>
      <c r="CN106" s="478">
        <f t="shared" si="500"/>
        <v>0</v>
      </c>
      <c r="CO106" s="478">
        <f t="shared" si="500"/>
        <v>0</v>
      </c>
      <c r="CP106" s="478">
        <f t="shared" si="500"/>
        <v>0</v>
      </c>
      <c r="CQ106" s="478">
        <f t="shared" si="500"/>
        <v>0</v>
      </c>
      <c r="CR106" s="478">
        <f t="shared" si="500"/>
        <v>0</v>
      </c>
      <c r="CS106" s="478">
        <f t="shared" si="500"/>
        <v>0</v>
      </c>
      <c r="CT106" s="478">
        <f t="shared" si="500"/>
        <v>0</v>
      </c>
      <c r="CU106" s="478">
        <f t="shared" si="500"/>
        <v>0</v>
      </c>
      <c r="CV106" s="478">
        <f t="shared" si="500"/>
        <v>0</v>
      </c>
      <c r="CW106" s="478">
        <f t="shared" si="500"/>
        <v>0</v>
      </c>
      <c r="CX106" s="478">
        <f t="shared" si="500"/>
        <v>0</v>
      </c>
      <c r="CY106" s="478">
        <f t="shared" si="500"/>
        <v>0</v>
      </c>
      <c r="CZ106" s="478">
        <f t="shared" si="500"/>
        <v>0</v>
      </c>
      <c r="DA106" s="478">
        <f t="shared" si="500"/>
        <v>0</v>
      </c>
      <c r="DB106" s="478">
        <f t="shared" si="500"/>
        <v>0</v>
      </c>
      <c r="DC106" s="478">
        <f t="shared" si="500"/>
        <v>0</v>
      </c>
      <c r="DD106" s="478">
        <f t="shared" si="500"/>
        <v>0</v>
      </c>
      <c r="DE106" s="478">
        <f t="shared" si="500"/>
        <v>0</v>
      </c>
      <c r="DF106" s="478">
        <f t="shared" si="500"/>
        <v>0</v>
      </c>
      <c r="DG106" s="478">
        <f t="shared" si="500"/>
        <v>0</v>
      </c>
      <c r="DH106" s="478">
        <f t="shared" si="500"/>
        <v>0</v>
      </c>
      <c r="DI106" s="478">
        <f t="shared" si="500"/>
        <v>0</v>
      </c>
    </row>
    <row r="107" spans="1:113" ht="16.05" customHeight="1" outlineLevel="1" x14ac:dyDescent="0.3">
      <c r="A107" s="455" t="str">
        <f t="shared" si="441"/>
        <v>Imprimir</v>
      </c>
      <c r="B107" s="455"/>
      <c r="C107" s="481"/>
      <c r="D107" s="463" t="s">
        <v>768</v>
      </c>
      <c r="E107" s="482" t="s">
        <v>680</v>
      </c>
      <c r="F107" s="483" t="s">
        <v>681</v>
      </c>
      <c r="G107" s="484">
        <f>1*G100</f>
        <v>42</v>
      </c>
      <c r="H107" s="485">
        <v>20361.41</v>
      </c>
      <c r="I107" s="466">
        <f t="shared" si="442"/>
        <v>855179.22</v>
      </c>
      <c r="J107" s="259"/>
      <c r="K107" s="478">
        <f t="shared" si="495"/>
        <v>0</v>
      </c>
      <c r="L107" s="466">
        <f t="shared" si="444"/>
        <v>0</v>
      </c>
      <c r="M107" s="257"/>
      <c r="N107" s="478"/>
      <c r="O107" s="478"/>
      <c r="P107" s="478"/>
      <c r="Q107" s="478"/>
      <c r="R107" s="478"/>
      <c r="S107" s="478"/>
      <c r="T107" s="478"/>
      <c r="U107" s="478"/>
      <c r="V107" s="478"/>
      <c r="W107" s="478"/>
      <c r="X107" s="478"/>
      <c r="Y107" s="478"/>
      <c r="Z107" s="478"/>
      <c r="AA107" s="478"/>
      <c r="AB107" s="478"/>
      <c r="AC107" s="478"/>
      <c r="AD107" s="478"/>
      <c r="AE107" s="478"/>
      <c r="AF107" s="478"/>
      <c r="AG107" s="478"/>
      <c r="AH107" s="478"/>
      <c r="AI107" s="478"/>
      <c r="AJ107" s="478"/>
      <c r="AK107" s="478"/>
      <c r="AL107" s="478"/>
      <c r="AM107" s="478"/>
      <c r="AN107" s="478"/>
      <c r="AO107" s="478"/>
      <c r="AP107" s="478"/>
      <c r="AQ107" s="478"/>
      <c r="AR107" s="478"/>
      <c r="AS107" s="478"/>
      <c r="AT107" s="478"/>
      <c r="AU107" s="478"/>
      <c r="AV107" s="478"/>
      <c r="AW107" s="478"/>
      <c r="AX107" s="478"/>
      <c r="AY107" s="478"/>
      <c r="AZ107" s="478"/>
      <c r="BA107" s="478"/>
      <c r="BB107" s="478"/>
      <c r="BC107" s="478"/>
      <c r="BD107" s="478"/>
      <c r="BE107" s="478"/>
      <c r="BF107" s="478"/>
      <c r="BG107" s="478"/>
      <c r="BH107" s="478"/>
      <c r="BI107" s="478"/>
      <c r="BJ107" s="245"/>
      <c r="BK107" s="477">
        <f t="shared" si="445"/>
        <v>0.11904761904761905</v>
      </c>
      <c r="BL107" s="466">
        <f t="shared" si="446"/>
        <v>101807.05</v>
      </c>
      <c r="BM107" s="257"/>
      <c r="BN107" s="478">
        <f t="shared" ref="BN107:DI107" si="501">1*BN100</f>
        <v>0</v>
      </c>
      <c r="BO107" s="478">
        <f t="shared" si="501"/>
        <v>0</v>
      </c>
      <c r="BP107" s="478">
        <f t="shared" si="501"/>
        <v>0</v>
      </c>
      <c r="BQ107" s="478">
        <f t="shared" si="501"/>
        <v>0</v>
      </c>
      <c r="BR107" s="478">
        <f t="shared" si="501"/>
        <v>0</v>
      </c>
      <c r="BS107" s="478">
        <f t="shared" si="501"/>
        <v>0</v>
      </c>
      <c r="BT107" s="478">
        <f t="shared" si="501"/>
        <v>0</v>
      </c>
      <c r="BU107" s="478">
        <f t="shared" si="501"/>
        <v>0</v>
      </c>
      <c r="BV107" s="478">
        <f t="shared" si="501"/>
        <v>0</v>
      </c>
      <c r="BW107" s="478">
        <f t="shared" si="501"/>
        <v>0</v>
      </c>
      <c r="BX107" s="478">
        <f t="shared" si="501"/>
        <v>0</v>
      </c>
      <c r="BY107" s="478">
        <f t="shared" si="501"/>
        <v>0</v>
      </c>
      <c r="BZ107" s="478">
        <f t="shared" si="501"/>
        <v>5</v>
      </c>
      <c r="CA107" s="478">
        <f t="shared" si="501"/>
        <v>0</v>
      </c>
      <c r="CB107" s="478">
        <f t="shared" si="501"/>
        <v>0</v>
      </c>
      <c r="CC107" s="478">
        <f t="shared" si="501"/>
        <v>0</v>
      </c>
      <c r="CD107" s="478">
        <f t="shared" si="501"/>
        <v>0</v>
      </c>
      <c r="CE107" s="478">
        <f t="shared" si="501"/>
        <v>0</v>
      </c>
      <c r="CF107" s="478">
        <f t="shared" si="501"/>
        <v>0</v>
      </c>
      <c r="CG107" s="478">
        <f t="shared" si="501"/>
        <v>0</v>
      </c>
      <c r="CH107" s="478">
        <f t="shared" si="501"/>
        <v>0</v>
      </c>
      <c r="CI107" s="478">
        <f t="shared" si="501"/>
        <v>0</v>
      </c>
      <c r="CJ107" s="478">
        <f t="shared" si="501"/>
        <v>0</v>
      </c>
      <c r="CK107" s="478">
        <f t="shared" si="501"/>
        <v>0</v>
      </c>
      <c r="CL107" s="478">
        <f t="shared" si="501"/>
        <v>0</v>
      </c>
      <c r="CM107" s="478">
        <f t="shared" si="501"/>
        <v>0</v>
      </c>
      <c r="CN107" s="478">
        <f t="shared" si="501"/>
        <v>0</v>
      </c>
      <c r="CO107" s="478">
        <f t="shared" si="501"/>
        <v>0</v>
      </c>
      <c r="CP107" s="478">
        <f t="shared" si="501"/>
        <v>0</v>
      </c>
      <c r="CQ107" s="478">
        <f t="shared" si="501"/>
        <v>0</v>
      </c>
      <c r="CR107" s="478">
        <f t="shared" si="501"/>
        <v>0</v>
      </c>
      <c r="CS107" s="478">
        <f t="shared" si="501"/>
        <v>0</v>
      </c>
      <c r="CT107" s="478">
        <f t="shared" si="501"/>
        <v>0</v>
      </c>
      <c r="CU107" s="478">
        <f t="shared" si="501"/>
        <v>0</v>
      </c>
      <c r="CV107" s="478">
        <f t="shared" si="501"/>
        <v>0</v>
      </c>
      <c r="CW107" s="478">
        <f t="shared" si="501"/>
        <v>0</v>
      </c>
      <c r="CX107" s="478">
        <f t="shared" si="501"/>
        <v>0</v>
      </c>
      <c r="CY107" s="478">
        <f t="shared" si="501"/>
        <v>0</v>
      </c>
      <c r="CZ107" s="478">
        <f t="shared" si="501"/>
        <v>0</v>
      </c>
      <c r="DA107" s="478">
        <f t="shared" si="501"/>
        <v>0</v>
      </c>
      <c r="DB107" s="478">
        <f t="shared" si="501"/>
        <v>0</v>
      </c>
      <c r="DC107" s="478">
        <f t="shared" si="501"/>
        <v>0</v>
      </c>
      <c r="DD107" s="478">
        <f t="shared" si="501"/>
        <v>0</v>
      </c>
      <c r="DE107" s="478">
        <f t="shared" si="501"/>
        <v>0</v>
      </c>
      <c r="DF107" s="478">
        <f t="shared" si="501"/>
        <v>0</v>
      </c>
      <c r="DG107" s="478">
        <f t="shared" si="501"/>
        <v>0</v>
      </c>
      <c r="DH107" s="478">
        <f t="shared" si="501"/>
        <v>0</v>
      </c>
      <c r="DI107" s="478">
        <f t="shared" si="501"/>
        <v>0</v>
      </c>
    </row>
    <row r="108" spans="1:113" ht="16.05" customHeight="1" outlineLevel="1" x14ac:dyDescent="0.3">
      <c r="A108" s="455" t="str">
        <f t="shared" si="441"/>
        <v>Imprimir</v>
      </c>
      <c r="B108" s="455"/>
      <c r="C108" s="481"/>
      <c r="D108" s="463" t="s">
        <v>769</v>
      </c>
      <c r="E108" s="482" t="s">
        <v>683</v>
      </c>
      <c r="F108" s="483" t="s">
        <v>663</v>
      </c>
      <c r="G108" s="484">
        <f>6*G100</f>
        <v>252</v>
      </c>
      <c r="H108" s="485">
        <v>174.88</v>
      </c>
      <c r="I108" s="466">
        <f t="shared" si="442"/>
        <v>44069.760000000002</v>
      </c>
      <c r="J108" s="259"/>
      <c r="K108" s="478">
        <f t="shared" si="495"/>
        <v>0</v>
      </c>
      <c r="L108" s="466">
        <f t="shared" si="444"/>
        <v>0</v>
      </c>
      <c r="M108" s="257"/>
      <c r="N108" s="478"/>
      <c r="O108" s="478"/>
      <c r="P108" s="478"/>
      <c r="Q108" s="478"/>
      <c r="R108" s="478"/>
      <c r="S108" s="478"/>
      <c r="T108" s="478"/>
      <c r="U108" s="478"/>
      <c r="V108" s="478"/>
      <c r="W108" s="478"/>
      <c r="X108" s="478"/>
      <c r="Y108" s="478"/>
      <c r="Z108" s="478"/>
      <c r="AA108" s="478"/>
      <c r="AB108" s="478"/>
      <c r="AC108" s="478"/>
      <c r="AD108" s="478"/>
      <c r="AE108" s="478"/>
      <c r="AF108" s="478"/>
      <c r="AG108" s="478"/>
      <c r="AH108" s="478"/>
      <c r="AI108" s="478"/>
      <c r="AJ108" s="478"/>
      <c r="AK108" s="478"/>
      <c r="AL108" s="478"/>
      <c r="AM108" s="478"/>
      <c r="AN108" s="478"/>
      <c r="AO108" s="478"/>
      <c r="AP108" s="478"/>
      <c r="AQ108" s="478"/>
      <c r="AR108" s="478"/>
      <c r="AS108" s="478"/>
      <c r="AT108" s="478"/>
      <c r="AU108" s="478"/>
      <c r="AV108" s="478"/>
      <c r="AW108" s="478"/>
      <c r="AX108" s="478"/>
      <c r="AY108" s="478"/>
      <c r="AZ108" s="478"/>
      <c r="BA108" s="478"/>
      <c r="BB108" s="478"/>
      <c r="BC108" s="478"/>
      <c r="BD108" s="478"/>
      <c r="BE108" s="478"/>
      <c r="BF108" s="478"/>
      <c r="BG108" s="478"/>
      <c r="BH108" s="478"/>
      <c r="BI108" s="478"/>
      <c r="BJ108" s="245"/>
      <c r="BK108" s="477">
        <f t="shared" si="445"/>
        <v>0.11904761904761903</v>
      </c>
      <c r="BL108" s="466">
        <f t="shared" si="446"/>
        <v>5246.4</v>
      </c>
      <c r="BM108" s="257"/>
      <c r="BN108" s="478">
        <f t="shared" ref="BN108:DI108" si="502">6*BN100</f>
        <v>0</v>
      </c>
      <c r="BO108" s="478">
        <f t="shared" si="502"/>
        <v>0</v>
      </c>
      <c r="BP108" s="478">
        <f t="shared" si="502"/>
        <v>0</v>
      </c>
      <c r="BQ108" s="478">
        <f t="shared" si="502"/>
        <v>0</v>
      </c>
      <c r="BR108" s="478">
        <f t="shared" si="502"/>
        <v>0</v>
      </c>
      <c r="BS108" s="478">
        <f t="shared" si="502"/>
        <v>0</v>
      </c>
      <c r="BT108" s="478">
        <f t="shared" si="502"/>
        <v>0</v>
      </c>
      <c r="BU108" s="478">
        <f t="shared" si="502"/>
        <v>0</v>
      </c>
      <c r="BV108" s="478">
        <f t="shared" si="502"/>
        <v>0</v>
      </c>
      <c r="BW108" s="478">
        <f t="shared" si="502"/>
        <v>0</v>
      </c>
      <c r="BX108" s="478">
        <f t="shared" si="502"/>
        <v>0</v>
      </c>
      <c r="BY108" s="478">
        <f t="shared" si="502"/>
        <v>0</v>
      </c>
      <c r="BZ108" s="478">
        <f t="shared" si="502"/>
        <v>30</v>
      </c>
      <c r="CA108" s="478">
        <f t="shared" si="502"/>
        <v>0</v>
      </c>
      <c r="CB108" s="478">
        <f t="shared" si="502"/>
        <v>0</v>
      </c>
      <c r="CC108" s="478">
        <f t="shared" si="502"/>
        <v>0</v>
      </c>
      <c r="CD108" s="478">
        <f t="shared" si="502"/>
        <v>0</v>
      </c>
      <c r="CE108" s="478">
        <f t="shared" si="502"/>
        <v>0</v>
      </c>
      <c r="CF108" s="478">
        <f t="shared" si="502"/>
        <v>0</v>
      </c>
      <c r="CG108" s="478">
        <f t="shared" si="502"/>
        <v>0</v>
      </c>
      <c r="CH108" s="478">
        <f t="shared" si="502"/>
        <v>0</v>
      </c>
      <c r="CI108" s="478">
        <f t="shared" si="502"/>
        <v>0</v>
      </c>
      <c r="CJ108" s="478">
        <f t="shared" si="502"/>
        <v>0</v>
      </c>
      <c r="CK108" s="478">
        <f t="shared" si="502"/>
        <v>0</v>
      </c>
      <c r="CL108" s="478">
        <f t="shared" si="502"/>
        <v>0</v>
      </c>
      <c r="CM108" s="478">
        <f t="shared" si="502"/>
        <v>0</v>
      </c>
      <c r="CN108" s="478">
        <f t="shared" si="502"/>
        <v>0</v>
      </c>
      <c r="CO108" s="478">
        <f t="shared" si="502"/>
        <v>0</v>
      </c>
      <c r="CP108" s="478">
        <f t="shared" si="502"/>
        <v>0</v>
      </c>
      <c r="CQ108" s="478">
        <f t="shared" si="502"/>
        <v>0</v>
      </c>
      <c r="CR108" s="478">
        <f t="shared" si="502"/>
        <v>0</v>
      </c>
      <c r="CS108" s="478">
        <f t="shared" si="502"/>
        <v>0</v>
      </c>
      <c r="CT108" s="478">
        <f t="shared" si="502"/>
        <v>0</v>
      </c>
      <c r="CU108" s="478">
        <f t="shared" si="502"/>
        <v>0</v>
      </c>
      <c r="CV108" s="478">
        <f t="shared" si="502"/>
        <v>0</v>
      </c>
      <c r="CW108" s="478">
        <f t="shared" si="502"/>
        <v>0</v>
      </c>
      <c r="CX108" s="478">
        <f t="shared" si="502"/>
        <v>0</v>
      </c>
      <c r="CY108" s="478">
        <f t="shared" si="502"/>
        <v>0</v>
      </c>
      <c r="CZ108" s="478">
        <f t="shared" si="502"/>
        <v>0</v>
      </c>
      <c r="DA108" s="478">
        <f t="shared" si="502"/>
        <v>0</v>
      </c>
      <c r="DB108" s="478">
        <f t="shared" si="502"/>
        <v>0</v>
      </c>
      <c r="DC108" s="478">
        <f t="shared" si="502"/>
        <v>0</v>
      </c>
      <c r="DD108" s="478">
        <f t="shared" si="502"/>
        <v>0</v>
      </c>
      <c r="DE108" s="478">
        <f t="shared" si="502"/>
        <v>0</v>
      </c>
      <c r="DF108" s="478">
        <f t="shared" si="502"/>
        <v>0</v>
      </c>
      <c r="DG108" s="478">
        <f t="shared" si="502"/>
        <v>0</v>
      </c>
      <c r="DH108" s="478">
        <f t="shared" si="502"/>
        <v>0</v>
      </c>
      <c r="DI108" s="478">
        <f t="shared" si="502"/>
        <v>0</v>
      </c>
    </row>
    <row r="109" spans="1:113" ht="16.05" customHeight="1" outlineLevel="1" x14ac:dyDescent="0.3">
      <c r="A109" s="455" t="str">
        <f t="shared" si="441"/>
        <v>Imprimir</v>
      </c>
      <c r="B109" s="455"/>
      <c r="C109" s="481"/>
      <c r="D109" s="463" t="s">
        <v>770</v>
      </c>
      <c r="E109" s="482" t="s">
        <v>685</v>
      </c>
      <c r="F109" s="483" t="s">
        <v>663</v>
      </c>
      <c r="G109" s="484">
        <f>2*G100</f>
        <v>84</v>
      </c>
      <c r="H109" s="485">
        <v>162.32</v>
      </c>
      <c r="I109" s="466">
        <f t="shared" si="442"/>
        <v>13634.88</v>
      </c>
      <c r="J109" s="259"/>
      <c r="K109" s="478">
        <f t="shared" si="495"/>
        <v>0</v>
      </c>
      <c r="L109" s="466">
        <f t="shared" si="444"/>
        <v>0</v>
      </c>
      <c r="M109" s="257"/>
      <c r="N109" s="478"/>
      <c r="O109" s="478"/>
      <c r="P109" s="478"/>
      <c r="Q109" s="478"/>
      <c r="R109" s="478"/>
      <c r="S109" s="478"/>
      <c r="T109" s="478"/>
      <c r="U109" s="478"/>
      <c r="V109" s="478"/>
      <c r="W109" s="478"/>
      <c r="X109" s="478"/>
      <c r="Y109" s="478"/>
      <c r="Z109" s="478"/>
      <c r="AA109" s="478"/>
      <c r="AB109" s="478"/>
      <c r="AC109" s="478"/>
      <c r="AD109" s="478"/>
      <c r="AE109" s="478"/>
      <c r="AF109" s="478"/>
      <c r="AG109" s="478"/>
      <c r="AH109" s="478"/>
      <c r="AI109" s="478"/>
      <c r="AJ109" s="478"/>
      <c r="AK109" s="478"/>
      <c r="AL109" s="478"/>
      <c r="AM109" s="478"/>
      <c r="AN109" s="478"/>
      <c r="AO109" s="478"/>
      <c r="AP109" s="478"/>
      <c r="AQ109" s="478"/>
      <c r="AR109" s="478"/>
      <c r="AS109" s="478"/>
      <c r="AT109" s="478"/>
      <c r="AU109" s="478"/>
      <c r="AV109" s="478"/>
      <c r="AW109" s="478"/>
      <c r="AX109" s="478"/>
      <c r="AY109" s="478"/>
      <c r="AZ109" s="478"/>
      <c r="BA109" s="478"/>
      <c r="BB109" s="478"/>
      <c r="BC109" s="478"/>
      <c r="BD109" s="478"/>
      <c r="BE109" s="478"/>
      <c r="BF109" s="478"/>
      <c r="BG109" s="478"/>
      <c r="BH109" s="478"/>
      <c r="BI109" s="478"/>
      <c r="BJ109" s="245"/>
      <c r="BK109" s="477">
        <f t="shared" si="445"/>
        <v>0.11904761904761904</v>
      </c>
      <c r="BL109" s="466">
        <f t="shared" si="446"/>
        <v>1623.1999999999998</v>
      </c>
      <c r="BM109" s="257"/>
      <c r="BN109" s="478">
        <f t="shared" ref="BN109:DI109" si="503">2*BN100</f>
        <v>0</v>
      </c>
      <c r="BO109" s="478">
        <f t="shared" si="503"/>
        <v>0</v>
      </c>
      <c r="BP109" s="478">
        <f t="shared" si="503"/>
        <v>0</v>
      </c>
      <c r="BQ109" s="478">
        <f t="shared" si="503"/>
        <v>0</v>
      </c>
      <c r="BR109" s="478">
        <f t="shared" si="503"/>
        <v>0</v>
      </c>
      <c r="BS109" s="478">
        <f t="shared" si="503"/>
        <v>0</v>
      </c>
      <c r="BT109" s="478">
        <f t="shared" si="503"/>
        <v>0</v>
      </c>
      <c r="BU109" s="478">
        <f t="shared" si="503"/>
        <v>0</v>
      </c>
      <c r="BV109" s="478">
        <f t="shared" si="503"/>
        <v>0</v>
      </c>
      <c r="BW109" s="478">
        <f t="shared" si="503"/>
        <v>0</v>
      </c>
      <c r="BX109" s="478">
        <f t="shared" si="503"/>
        <v>0</v>
      </c>
      <c r="BY109" s="478">
        <f t="shared" si="503"/>
        <v>0</v>
      </c>
      <c r="BZ109" s="478">
        <f t="shared" si="503"/>
        <v>10</v>
      </c>
      <c r="CA109" s="478">
        <f t="shared" si="503"/>
        <v>0</v>
      </c>
      <c r="CB109" s="478">
        <f t="shared" si="503"/>
        <v>0</v>
      </c>
      <c r="CC109" s="478">
        <f t="shared" si="503"/>
        <v>0</v>
      </c>
      <c r="CD109" s="478">
        <f t="shared" si="503"/>
        <v>0</v>
      </c>
      <c r="CE109" s="478">
        <f t="shared" si="503"/>
        <v>0</v>
      </c>
      <c r="CF109" s="478">
        <f t="shared" si="503"/>
        <v>0</v>
      </c>
      <c r="CG109" s="478">
        <f t="shared" si="503"/>
        <v>0</v>
      </c>
      <c r="CH109" s="478">
        <f t="shared" si="503"/>
        <v>0</v>
      </c>
      <c r="CI109" s="478">
        <f t="shared" si="503"/>
        <v>0</v>
      </c>
      <c r="CJ109" s="478">
        <f t="shared" si="503"/>
        <v>0</v>
      </c>
      <c r="CK109" s="478">
        <f t="shared" si="503"/>
        <v>0</v>
      </c>
      <c r="CL109" s="478">
        <f t="shared" si="503"/>
        <v>0</v>
      </c>
      <c r="CM109" s="478">
        <f t="shared" si="503"/>
        <v>0</v>
      </c>
      <c r="CN109" s="478">
        <f t="shared" si="503"/>
        <v>0</v>
      </c>
      <c r="CO109" s="478">
        <f t="shared" si="503"/>
        <v>0</v>
      </c>
      <c r="CP109" s="478">
        <f t="shared" si="503"/>
        <v>0</v>
      </c>
      <c r="CQ109" s="478">
        <f t="shared" si="503"/>
        <v>0</v>
      </c>
      <c r="CR109" s="478">
        <f t="shared" si="503"/>
        <v>0</v>
      </c>
      <c r="CS109" s="478">
        <f t="shared" si="503"/>
        <v>0</v>
      </c>
      <c r="CT109" s="478">
        <f t="shared" si="503"/>
        <v>0</v>
      </c>
      <c r="CU109" s="478">
        <f t="shared" si="503"/>
        <v>0</v>
      </c>
      <c r="CV109" s="478">
        <f t="shared" si="503"/>
        <v>0</v>
      </c>
      <c r="CW109" s="478">
        <f t="shared" si="503"/>
        <v>0</v>
      </c>
      <c r="CX109" s="478">
        <f t="shared" si="503"/>
        <v>0</v>
      </c>
      <c r="CY109" s="478">
        <f t="shared" si="503"/>
        <v>0</v>
      </c>
      <c r="CZ109" s="478">
        <f t="shared" si="503"/>
        <v>0</v>
      </c>
      <c r="DA109" s="478">
        <f t="shared" si="503"/>
        <v>0</v>
      </c>
      <c r="DB109" s="478">
        <f t="shared" si="503"/>
        <v>0</v>
      </c>
      <c r="DC109" s="478">
        <f t="shared" si="503"/>
        <v>0</v>
      </c>
      <c r="DD109" s="478">
        <f t="shared" si="503"/>
        <v>0</v>
      </c>
      <c r="DE109" s="478">
        <f t="shared" si="503"/>
        <v>0</v>
      </c>
      <c r="DF109" s="478">
        <f t="shared" si="503"/>
        <v>0</v>
      </c>
      <c r="DG109" s="478">
        <f t="shared" si="503"/>
        <v>0</v>
      </c>
      <c r="DH109" s="478">
        <f t="shared" si="503"/>
        <v>0</v>
      </c>
      <c r="DI109" s="478">
        <f t="shared" si="503"/>
        <v>0</v>
      </c>
    </row>
    <row r="110" spans="1:113" ht="16.05" customHeight="1" outlineLevel="1" x14ac:dyDescent="0.3">
      <c r="A110" s="455" t="str">
        <f t="shared" si="441"/>
        <v>Imprimir</v>
      </c>
      <c r="B110" s="455"/>
      <c r="C110" s="481"/>
      <c r="D110" s="463" t="s">
        <v>771</v>
      </c>
      <c r="E110" s="482" t="s">
        <v>687</v>
      </c>
      <c r="F110" s="483" t="s">
        <v>663</v>
      </c>
      <c r="G110" s="484">
        <f>1*G100</f>
        <v>42</v>
      </c>
      <c r="H110" s="485">
        <v>1255.3599999999999</v>
      </c>
      <c r="I110" s="466">
        <f t="shared" si="442"/>
        <v>52725.119999999995</v>
      </c>
      <c r="J110" s="259"/>
      <c r="K110" s="478">
        <f t="shared" si="495"/>
        <v>0</v>
      </c>
      <c r="L110" s="466">
        <f t="shared" si="444"/>
        <v>0</v>
      </c>
      <c r="M110" s="257"/>
      <c r="N110" s="478"/>
      <c r="O110" s="478"/>
      <c r="P110" s="478"/>
      <c r="Q110" s="478"/>
      <c r="R110" s="478"/>
      <c r="S110" s="478"/>
      <c r="T110" s="478"/>
      <c r="U110" s="478"/>
      <c r="V110" s="478"/>
      <c r="W110" s="478"/>
      <c r="X110" s="478"/>
      <c r="Y110" s="478"/>
      <c r="Z110" s="478"/>
      <c r="AA110" s="478"/>
      <c r="AB110" s="478"/>
      <c r="AC110" s="478"/>
      <c r="AD110" s="478"/>
      <c r="AE110" s="478"/>
      <c r="AF110" s="478"/>
      <c r="AG110" s="478"/>
      <c r="AH110" s="478"/>
      <c r="AI110" s="478"/>
      <c r="AJ110" s="478"/>
      <c r="AK110" s="478"/>
      <c r="AL110" s="478"/>
      <c r="AM110" s="478"/>
      <c r="AN110" s="478"/>
      <c r="AO110" s="478"/>
      <c r="AP110" s="478"/>
      <c r="AQ110" s="478"/>
      <c r="AR110" s="478"/>
      <c r="AS110" s="478"/>
      <c r="AT110" s="478"/>
      <c r="AU110" s="478"/>
      <c r="AV110" s="478"/>
      <c r="AW110" s="478"/>
      <c r="AX110" s="478"/>
      <c r="AY110" s="478"/>
      <c r="AZ110" s="478"/>
      <c r="BA110" s="478"/>
      <c r="BB110" s="478"/>
      <c r="BC110" s="478"/>
      <c r="BD110" s="478"/>
      <c r="BE110" s="478"/>
      <c r="BF110" s="478"/>
      <c r="BG110" s="478"/>
      <c r="BH110" s="478"/>
      <c r="BI110" s="478"/>
      <c r="BJ110" s="245"/>
      <c r="BK110" s="477">
        <f t="shared" si="445"/>
        <v>0.11904761904761904</v>
      </c>
      <c r="BL110" s="466">
        <f t="shared" si="446"/>
        <v>6276.7999999999993</v>
      </c>
      <c r="BM110" s="257"/>
      <c r="BN110" s="478">
        <f t="shared" ref="BN110:DI110" si="504">1*BN100</f>
        <v>0</v>
      </c>
      <c r="BO110" s="478">
        <f t="shared" si="504"/>
        <v>0</v>
      </c>
      <c r="BP110" s="478">
        <f t="shared" si="504"/>
        <v>0</v>
      </c>
      <c r="BQ110" s="478">
        <f t="shared" si="504"/>
        <v>0</v>
      </c>
      <c r="BR110" s="478">
        <f t="shared" si="504"/>
        <v>0</v>
      </c>
      <c r="BS110" s="478">
        <f t="shared" si="504"/>
        <v>0</v>
      </c>
      <c r="BT110" s="478">
        <f t="shared" si="504"/>
        <v>0</v>
      </c>
      <c r="BU110" s="478">
        <f t="shared" si="504"/>
        <v>0</v>
      </c>
      <c r="BV110" s="478">
        <f t="shared" si="504"/>
        <v>0</v>
      </c>
      <c r="BW110" s="478">
        <f t="shared" si="504"/>
        <v>0</v>
      </c>
      <c r="BX110" s="478">
        <f t="shared" si="504"/>
        <v>0</v>
      </c>
      <c r="BY110" s="478">
        <f t="shared" si="504"/>
        <v>0</v>
      </c>
      <c r="BZ110" s="478">
        <f t="shared" si="504"/>
        <v>5</v>
      </c>
      <c r="CA110" s="478">
        <f t="shared" si="504"/>
        <v>0</v>
      </c>
      <c r="CB110" s="478">
        <f t="shared" si="504"/>
        <v>0</v>
      </c>
      <c r="CC110" s="478">
        <f t="shared" si="504"/>
        <v>0</v>
      </c>
      <c r="CD110" s="478">
        <f t="shared" si="504"/>
        <v>0</v>
      </c>
      <c r="CE110" s="478">
        <f t="shared" si="504"/>
        <v>0</v>
      </c>
      <c r="CF110" s="478">
        <f t="shared" si="504"/>
        <v>0</v>
      </c>
      <c r="CG110" s="478">
        <f t="shared" si="504"/>
        <v>0</v>
      </c>
      <c r="CH110" s="478">
        <f t="shared" si="504"/>
        <v>0</v>
      </c>
      <c r="CI110" s="478">
        <f t="shared" si="504"/>
        <v>0</v>
      </c>
      <c r="CJ110" s="478">
        <f t="shared" si="504"/>
        <v>0</v>
      </c>
      <c r="CK110" s="478">
        <f t="shared" si="504"/>
        <v>0</v>
      </c>
      <c r="CL110" s="478">
        <f t="shared" si="504"/>
        <v>0</v>
      </c>
      <c r="CM110" s="478">
        <f t="shared" si="504"/>
        <v>0</v>
      </c>
      <c r="CN110" s="478">
        <f t="shared" si="504"/>
        <v>0</v>
      </c>
      <c r="CO110" s="478">
        <f t="shared" si="504"/>
        <v>0</v>
      </c>
      <c r="CP110" s="478">
        <f t="shared" si="504"/>
        <v>0</v>
      </c>
      <c r="CQ110" s="478">
        <f t="shared" si="504"/>
        <v>0</v>
      </c>
      <c r="CR110" s="478">
        <f t="shared" si="504"/>
        <v>0</v>
      </c>
      <c r="CS110" s="478">
        <f t="shared" si="504"/>
        <v>0</v>
      </c>
      <c r="CT110" s="478">
        <f t="shared" si="504"/>
        <v>0</v>
      </c>
      <c r="CU110" s="478">
        <f t="shared" si="504"/>
        <v>0</v>
      </c>
      <c r="CV110" s="478">
        <f t="shared" si="504"/>
        <v>0</v>
      </c>
      <c r="CW110" s="478">
        <f t="shared" si="504"/>
        <v>0</v>
      </c>
      <c r="CX110" s="478">
        <f t="shared" si="504"/>
        <v>0</v>
      </c>
      <c r="CY110" s="478">
        <f t="shared" si="504"/>
        <v>0</v>
      </c>
      <c r="CZ110" s="478">
        <f t="shared" si="504"/>
        <v>0</v>
      </c>
      <c r="DA110" s="478">
        <f t="shared" si="504"/>
        <v>0</v>
      </c>
      <c r="DB110" s="478">
        <f t="shared" si="504"/>
        <v>0</v>
      </c>
      <c r="DC110" s="478">
        <f t="shared" si="504"/>
        <v>0</v>
      </c>
      <c r="DD110" s="478">
        <f t="shared" si="504"/>
        <v>0</v>
      </c>
      <c r="DE110" s="478">
        <f t="shared" si="504"/>
        <v>0</v>
      </c>
      <c r="DF110" s="478">
        <f t="shared" si="504"/>
        <v>0</v>
      </c>
      <c r="DG110" s="478">
        <f t="shared" si="504"/>
        <v>0</v>
      </c>
      <c r="DH110" s="478">
        <f t="shared" si="504"/>
        <v>0</v>
      </c>
      <c r="DI110" s="478">
        <f t="shared" si="504"/>
        <v>0</v>
      </c>
    </row>
    <row r="111" spans="1:113" ht="16.05" hidden="1" customHeight="1" outlineLevel="1" x14ac:dyDescent="0.3">
      <c r="A111" s="455" t="str">
        <f t="shared" si="441"/>
        <v/>
      </c>
      <c r="B111" s="455"/>
      <c r="C111" s="481"/>
      <c r="D111" s="463" t="s">
        <v>772</v>
      </c>
      <c r="E111" s="482"/>
      <c r="F111" s="483"/>
      <c r="G111" s="484"/>
      <c r="H111" s="485"/>
      <c r="I111" s="466">
        <f t="shared" si="442"/>
        <v>0</v>
      </c>
      <c r="J111" s="259"/>
      <c r="K111" s="478">
        <f t="shared" si="495"/>
        <v>0</v>
      </c>
      <c r="L111" s="466">
        <f t="shared" si="444"/>
        <v>0</v>
      </c>
      <c r="M111" s="257"/>
      <c r="N111" s="478"/>
      <c r="O111" s="478"/>
      <c r="P111" s="478"/>
      <c r="Q111" s="478"/>
      <c r="R111" s="478"/>
      <c r="S111" s="478"/>
      <c r="T111" s="478"/>
      <c r="U111" s="478"/>
      <c r="V111" s="478"/>
      <c r="W111" s="478"/>
      <c r="X111" s="478"/>
      <c r="Y111" s="478"/>
      <c r="Z111" s="478"/>
      <c r="AA111" s="478"/>
      <c r="AB111" s="478"/>
      <c r="AC111" s="478"/>
      <c r="AD111" s="478"/>
      <c r="AE111" s="478"/>
      <c r="AF111" s="478"/>
      <c r="AG111" s="478"/>
      <c r="AH111" s="478"/>
      <c r="AI111" s="478"/>
      <c r="AJ111" s="478"/>
      <c r="AK111" s="478"/>
      <c r="AL111" s="478"/>
      <c r="AM111" s="478"/>
      <c r="AN111" s="478"/>
      <c r="AO111" s="478"/>
      <c r="AP111" s="478"/>
      <c r="AQ111" s="478"/>
      <c r="AR111" s="478"/>
      <c r="AS111" s="478"/>
      <c r="AT111" s="478"/>
      <c r="AU111" s="478"/>
      <c r="AV111" s="478"/>
      <c r="AW111" s="478"/>
      <c r="AX111" s="478"/>
      <c r="AY111" s="478"/>
      <c r="AZ111" s="478"/>
      <c r="BA111" s="478"/>
      <c r="BB111" s="478"/>
      <c r="BC111" s="478"/>
      <c r="BD111" s="478"/>
      <c r="BE111" s="478"/>
      <c r="BF111" s="478"/>
      <c r="BG111" s="478"/>
      <c r="BH111" s="478"/>
      <c r="BI111" s="478"/>
      <c r="BJ111" s="245"/>
      <c r="BK111" s="477">
        <f t="shared" si="445"/>
        <v>0</v>
      </c>
      <c r="BL111" s="466">
        <f t="shared" si="446"/>
        <v>0</v>
      </c>
      <c r="BM111" s="257"/>
      <c r="BN111" s="478"/>
      <c r="BO111" s="478"/>
      <c r="BP111" s="478"/>
      <c r="BQ111" s="478"/>
      <c r="BR111" s="478"/>
      <c r="BS111" s="478"/>
      <c r="BT111" s="478"/>
      <c r="BU111" s="478"/>
      <c r="BV111" s="478"/>
      <c r="BW111" s="478"/>
      <c r="BX111" s="478"/>
      <c r="BY111" s="478"/>
      <c r="BZ111" s="478"/>
      <c r="CA111" s="478"/>
      <c r="CB111" s="478"/>
      <c r="CC111" s="478"/>
      <c r="CD111" s="478"/>
      <c r="CE111" s="478"/>
      <c r="CF111" s="478"/>
      <c r="CG111" s="478"/>
      <c r="CH111" s="478"/>
      <c r="CI111" s="478"/>
      <c r="CJ111" s="478"/>
      <c r="CK111" s="478"/>
      <c r="CL111" s="478"/>
      <c r="CM111" s="478"/>
      <c r="CN111" s="478"/>
      <c r="CO111" s="478"/>
      <c r="CP111" s="478"/>
      <c r="CQ111" s="478"/>
      <c r="CR111" s="478"/>
      <c r="CS111" s="478"/>
      <c r="CT111" s="478"/>
      <c r="CU111" s="478"/>
      <c r="CV111" s="478"/>
      <c r="CW111" s="478"/>
      <c r="CX111" s="478"/>
      <c r="CY111" s="478"/>
      <c r="CZ111" s="478"/>
      <c r="DA111" s="478"/>
      <c r="DB111" s="478"/>
      <c r="DC111" s="478"/>
      <c r="DD111" s="478"/>
      <c r="DE111" s="478"/>
      <c r="DF111" s="478"/>
      <c r="DG111" s="478"/>
      <c r="DH111" s="478"/>
      <c r="DI111" s="478"/>
    </row>
    <row r="112" spans="1:113" ht="16.05" hidden="1" customHeight="1" outlineLevel="1" x14ac:dyDescent="0.3">
      <c r="A112" s="455" t="str">
        <f t="shared" si="441"/>
        <v/>
      </c>
      <c r="B112" s="455"/>
      <c r="C112" s="481"/>
      <c r="D112" s="463" t="s">
        <v>773</v>
      </c>
      <c r="E112" s="482"/>
      <c r="F112" s="483"/>
      <c r="G112" s="484"/>
      <c r="H112" s="485"/>
      <c r="I112" s="466">
        <f t="shared" si="442"/>
        <v>0</v>
      </c>
      <c r="J112" s="259"/>
      <c r="K112" s="478">
        <f t="shared" si="495"/>
        <v>0</v>
      </c>
      <c r="L112" s="466">
        <f t="shared" si="444"/>
        <v>0</v>
      </c>
      <c r="M112" s="257"/>
      <c r="N112" s="478"/>
      <c r="O112" s="478"/>
      <c r="P112" s="478"/>
      <c r="Q112" s="478"/>
      <c r="R112" s="478"/>
      <c r="S112" s="478"/>
      <c r="T112" s="478"/>
      <c r="U112" s="478"/>
      <c r="V112" s="478"/>
      <c r="W112" s="478"/>
      <c r="X112" s="478"/>
      <c r="Y112" s="478"/>
      <c r="Z112" s="478"/>
      <c r="AA112" s="478"/>
      <c r="AB112" s="478"/>
      <c r="AC112" s="478"/>
      <c r="AD112" s="478"/>
      <c r="AE112" s="478"/>
      <c r="AF112" s="478"/>
      <c r="AG112" s="478"/>
      <c r="AH112" s="478"/>
      <c r="AI112" s="478"/>
      <c r="AJ112" s="478"/>
      <c r="AK112" s="478"/>
      <c r="AL112" s="478"/>
      <c r="AM112" s="478"/>
      <c r="AN112" s="478"/>
      <c r="AO112" s="478"/>
      <c r="AP112" s="478"/>
      <c r="AQ112" s="478"/>
      <c r="AR112" s="478"/>
      <c r="AS112" s="478"/>
      <c r="AT112" s="478"/>
      <c r="AU112" s="478"/>
      <c r="AV112" s="478"/>
      <c r="AW112" s="478"/>
      <c r="AX112" s="478"/>
      <c r="AY112" s="478"/>
      <c r="AZ112" s="478"/>
      <c r="BA112" s="478"/>
      <c r="BB112" s="478"/>
      <c r="BC112" s="478"/>
      <c r="BD112" s="478"/>
      <c r="BE112" s="478"/>
      <c r="BF112" s="478"/>
      <c r="BG112" s="478"/>
      <c r="BH112" s="478"/>
      <c r="BI112" s="478"/>
      <c r="BJ112" s="245"/>
      <c r="BK112" s="477">
        <f t="shared" si="445"/>
        <v>0</v>
      </c>
      <c r="BL112" s="466">
        <f t="shared" si="446"/>
        <v>0</v>
      </c>
      <c r="BM112" s="257"/>
      <c r="BN112" s="478"/>
      <c r="BO112" s="478"/>
      <c r="BP112" s="478"/>
      <c r="BQ112" s="478"/>
      <c r="BR112" s="478"/>
      <c r="BS112" s="478"/>
      <c r="BT112" s="478"/>
      <c r="BU112" s="478"/>
      <c r="BV112" s="478"/>
      <c r="BW112" s="478"/>
      <c r="BX112" s="478"/>
      <c r="BY112" s="478"/>
      <c r="BZ112" s="478"/>
      <c r="CA112" s="478"/>
      <c r="CB112" s="478"/>
      <c r="CC112" s="478"/>
      <c r="CD112" s="478"/>
      <c r="CE112" s="478"/>
      <c r="CF112" s="478"/>
      <c r="CG112" s="478"/>
      <c r="CH112" s="478"/>
      <c r="CI112" s="478"/>
      <c r="CJ112" s="478"/>
      <c r="CK112" s="478"/>
      <c r="CL112" s="478"/>
      <c r="CM112" s="478"/>
      <c r="CN112" s="478"/>
      <c r="CO112" s="478"/>
      <c r="CP112" s="478"/>
      <c r="CQ112" s="478"/>
      <c r="CR112" s="478"/>
      <c r="CS112" s="478"/>
      <c r="CT112" s="478"/>
      <c r="CU112" s="478"/>
      <c r="CV112" s="478"/>
      <c r="CW112" s="478"/>
      <c r="CX112" s="478"/>
      <c r="CY112" s="478"/>
      <c r="CZ112" s="478"/>
      <c r="DA112" s="478"/>
      <c r="DB112" s="478"/>
      <c r="DC112" s="478"/>
      <c r="DD112" s="478"/>
      <c r="DE112" s="478"/>
      <c r="DF112" s="478"/>
      <c r="DG112" s="478"/>
      <c r="DH112" s="478"/>
      <c r="DI112" s="478"/>
    </row>
    <row r="113" spans="1:113" ht="16.05" hidden="1" customHeight="1" outlineLevel="1" x14ac:dyDescent="0.3">
      <c r="A113" s="455" t="str">
        <f t="shared" si="441"/>
        <v/>
      </c>
      <c r="B113" s="455"/>
      <c r="C113" s="481"/>
      <c r="D113" s="463" t="s">
        <v>774</v>
      </c>
      <c r="E113" s="482"/>
      <c r="F113" s="483"/>
      <c r="G113" s="484"/>
      <c r="H113" s="485"/>
      <c r="I113" s="466">
        <f t="shared" si="442"/>
        <v>0</v>
      </c>
      <c r="J113" s="259"/>
      <c r="K113" s="478">
        <f t="shared" si="495"/>
        <v>0</v>
      </c>
      <c r="L113" s="466">
        <f t="shared" si="444"/>
        <v>0</v>
      </c>
      <c r="M113" s="257"/>
      <c r="N113" s="478"/>
      <c r="O113" s="478"/>
      <c r="P113" s="478"/>
      <c r="Q113" s="478"/>
      <c r="R113" s="478"/>
      <c r="S113" s="478"/>
      <c r="T113" s="478"/>
      <c r="U113" s="478"/>
      <c r="V113" s="478"/>
      <c r="W113" s="478"/>
      <c r="X113" s="478"/>
      <c r="Y113" s="478"/>
      <c r="Z113" s="478"/>
      <c r="AA113" s="478"/>
      <c r="AB113" s="478"/>
      <c r="AC113" s="478"/>
      <c r="AD113" s="478"/>
      <c r="AE113" s="478"/>
      <c r="AF113" s="478"/>
      <c r="AG113" s="478"/>
      <c r="AH113" s="478"/>
      <c r="AI113" s="478"/>
      <c r="AJ113" s="478"/>
      <c r="AK113" s="478"/>
      <c r="AL113" s="478"/>
      <c r="AM113" s="478"/>
      <c r="AN113" s="478"/>
      <c r="AO113" s="478"/>
      <c r="AP113" s="478"/>
      <c r="AQ113" s="478"/>
      <c r="AR113" s="478"/>
      <c r="AS113" s="478"/>
      <c r="AT113" s="478"/>
      <c r="AU113" s="478"/>
      <c r="AV113" s="478"/>
      <c r="AW113" s="478"/>
      <c r="AX113" s="478"/>
      <c r="AY113" s="478"/>
      <c r="AZ113" s="478"/>
      <c r="BA113" s="478"/>
      <c r="BB113" s="478"/>
      <c r="BC113" s="478"/>
      <c r="BD113" s="478"/>
      <c r="BE113" s="478"/>
      <c r="BF113" s="478"/>
      <c r="BG113" s="478"/>
      <c r="BH113" s="478"/>
      <c r="BI113" s="478"/>
      <c r="BJ113" s="245"/>
      <c r="BK113" s="477">
        <f t="shared" si="445"/>
        <v>0</v>
      </c>
      <c r="BL113" s="466">
        <f t="shared" si="446"/>
        <v>0</v>
      </c>
      <c r="BM113" s="257"/>
      <c r="BN113" s="478"/>
      <c r="BO113" s="478"/>
      <c r="BP113" s="478"/>
      <c r="BQ113" s="478"/>
      <c r="BR113" s="478"/>
      <c r="BS113" s="478"/>
      <c r="BT113" s="478"/>
      <c r="BU113" s="478"/>
      <c r="BV113" s="478"/>
      <c r="BW113" s="478"/>
      <c r="BX113" s="478"/>
      <c r="BY113" s="478"/>
      <c r="BZ113" s="478"/>
      <c r="CA113" s="478"/>
      <c r="CB113" s="478"/>
      <c r="CC113" s="478"/>
      <c r="CD113" s="478"/>
      <c r="CE113" s="478"/>
      <c r="CF113" s="478"/>
      <c r="CG113" s="478"/>
      <c r="CH113" s="478"/>
      <c r="CI113" s="478"/>
      <c r="CJ113" s="478"/>
      <c r="CK113" s="478"/>
      <c r="CL113" s="478"/>
      <c r="CM113" s="478"/>
      <c r="CN113" s="478"/>
      <c r="CO113" s="478"/>
      <c r="CP113" s="478"/>
      <c r="CQ113" s="478"/>
      <c r="CR113" s="478"/>
      <c r="CS113" s="478"/>
      <c r="CT113" s="478"/>
      <c r="CU113" s="478"/>
      <c r="CV113" s="478"/>
      <c r="CW113" s="478"/>
      <c r="CX113" s="478"/>
      <c r="CY113" s="478"/>
      <c r="CZ113" s="478"/>
      <c r="DA113" s="478"/>
      <c r="DB113" s="478"/>
      <c r="DC113" s="478"/>
      <c r="DD113" s="478"/>
      <c r="DE113" s="478"/>
      <c r="DF113" s="478"/>
      <c r="DG113" s="478"/>
      <c r="DH113" s="478"/>
      <c r="DI113" s="478"/>
    </row>
    <row r="114" spans="1:113" ht="16.05" hidden="1" customHeight="1" outlineLevel="1" x14ac:dyDescent="0.3">
      <c r="A114" s="455" t="str">
        <f t="shared" si="441"/>
        <v/>
      </c>
      <c r="B114" s="455"/>
      <c r="C114" s="481"/>
      <c r="D114" s="463" t="s">
        <v>775</v>
      </c>
      <c r="E114" s="482"/>
      <c r="F114" s="483"/>
      <c r="G114" s="484"/>
      <c r="H114" s="485"/>
      <c r="I114" s="466">
        <f t="shared" si="442"/>
        <v>0</v>
      </c>
      <c r="J114" s="259"/>
      <c r="K114" s="478">
        <f t="shared" si="495"/>
        <v>0</v>
      </c>
      <c r="L114" s="466">
        <f t="shared" si="444"/>
        <v>0</v>
      </c>
      <c r="M114" s="257"/>
      <c r="N114" s="478"/>
      <c r="O114" s="478"/>
      <c r="P114" s="478"/>
      <c r="Q114" s="478"/>
      <c r="R114" s="478"/>
      <c r="S114" s="478"/>
      <c r="T114" s="478"/>
      <c r="U114" s="478"/>
      <c r="V114" s="478"/>
      <c r="W114" s="478"/>
      <c r="X114" s="478"/>
      <c r="Y114" s="478"/>
      <c r="Z114" s="478"/>
      <c r="AA114" s="478"/>
      <c r="AB114" s="478"/>
      <c r="AC114" s="478"/>
      <c r="AD114" s="478"/>
      <c r="AE114" s="478"/>
      <c r="AF114" s="478"/>
      <c r="AG114" s="478"/>
      <c r="AH114" s="478"/>
      <c r="AI114" s="478"/>
      <c r="AJ114" s="478"/>
      <c r="AK114" s="478"/>
      <c r="AL114" s="478"/>
      <c r="AM114" s="478"/>
      <c r="AN114" s="478"/>
      <c r="AO114" s="478"/>
      <c r="AP114" s="478"/>
      <c r="AQ114" s="478"/>
      <c r="AR114" s="478"/>
      <c r="AS114" s="478"/>
      <c r="AT114" s="478"/>
      <c r="AU114" s="478"/>
      <c r="AV114" s="478"/>
      <c r="AW114" s="478"/>
      <c r="AX114" s="478"/>
      <c r="AY114" s="478"/>
      <c r="AZ114" s="478"/>
      <c r="BA114" s="478"/>
      <c r="BB114" s="478"/>
      <c r="BC114" s="478"/>
      <c r="BD114" s="478"/>
      <c r="BE114" s="478"/>
      <c r="BF114" s="478"/>
      <c r="BG114" s="478"/>
      <c r="BH114" s="478"/>
      <c r="BI114" s="478"/>
      <c r="BJ114" s="245"/>
      <c r="BK114" s="477">
        <f t="shared" si="445"/>
        <v>0</v>
      </c>
      <c r="BL114" s="466">
        <f t="shared" si="446"/>
        <v>0</v>
      </c>
      <c r="BM114" s="257"/>
      <c r="BN114" s="478"/>
      <c r="BO114" s="478"/>
      <c r="BP114" s="478"/>
      <c r="BQ114" s="478"/>
      <c r="BR114" s="478"/>
      <c r="BS114" s="478"/>
      <c r="BT114" s="478"/>
      <c r="BU114" s="478"/>
      <c r="BV114" s="478"/>
      <c r="BW114" s="478"/>
      <c r="BX114" s="478"/>
      <c r="BY114" s="478"/>
      <c r="BZ114" s="478"/>
      <c r="CA114" s="478"/>
      <c r="CB114" s="478"/>
      <c r="CC114" s="478"/>
      <c r="CD114" s="478"/>
      <c r="CE114" s="478"/>
      <c r="CF114" s="478"/>
      <c r="CG114" s="478"/>
      <c r="CH114" s="478"/>
      <c r="CI114" s="478"/>
      <c r="CJ114" s="478"/>
      <c r="CK114" s="478"/>
      <c r="CL114" s="478"/>
      <c r="CM114" s="478"/>
      <c r="CN114" s="478"/>
      <c r="CO114" s="478"/>
      <c r="CP114" s="478"/>
      <c r="CQ114" s="478"/>
      <c r="CR114" s="478"/>
      <c r="CS114" s="478"/>
      <c r="CT114" s="478"/>
      <c r="CU114" s="478"/>
      <c r="CV114" s="478"/>
      <c r="CW114" s="478"/>
      <c r="CX114" s="478"/>
      <c r="CY114" s="478"/>
      <c r="CZ114" s="478"/>
      <c r="DA114" s="478"/>
      <c r="DB114" s="478"/>
      <c r="DC114" s="478"/>
      <c r="DD114" s="478"/>
      <c r="DE114" s="478"/>
      <c r="DF114" s="478"/>
      <c r="DG114" s="478"/>
      <c r="DH114" s="478"/>
      <c r="DI114" s="478"/>
    </row>
    <row r="115" spans="1:113" ht="16.05" hidden="1" customHeight="1" outlineLevel="1" x14ac:dyDescent="0.3">
      <c r="A115" s="455" t="str">
        <f t="shared" si="441"/>
        <v/>
      </c>
      <c r="B115" s="455"/>
      <c r="C115" s="481"/>
      <c r="D115" s="463" t="s">
        <v>776</v>
      </c>
      <c r="E115" s="482"/>
      <c r="F115" s="483"/>
      <c r="G115" s="484"/>
      <c r="H115" s="485"/>
      <c r="I115" s="466">
        <f t="shared" si="442"/>
        <v>0</v>
      </c>
      <c r="J115" s="259"/>
      <c r="K115" s="478">
        <f t="shared" si="495"/>
        <v>0</v>
      </c>
      <c r="L115" s="466">
        <f t="shared" si="444"/>
        <v>0</v>
      </c>
      <c r="M115" s="257"/>
      <c r="N115" s="478"/>
      <c r="O115" s="478"/>
      <c r="P115" s="478"/>
      <c r="Q115" s="478"/>
      <c r="R115" s="478"/>
      <c r="S115" s="478"/>
      <c r="T115" s="478"/>
      <c r="U115" s="478"/>
      <c r="V115" s="478"/>
      <c r="W115" s="478"/>
      <c r="X115" s="478"/>
      <c r="Y115" s="478"/>
      <c r="Z115" s="478"/>
      <c r="AA115" s="478"/>
      <c r="AB115" s="478"/>
      <c r="AC115" s="478"/>
      <c r="AD115" s="478"/>
      <c r="AE115" s="478"/>
      <c r="AF115" s="478"/>
      <c r="AG115" s="478"/>
      <c r="AH115" s="478"/>
      <c r="AI115" s="478"/>
      <c r="AJ115" s="478"/>
      <c r="AK115" s="478"/>
      <c r="AL115" s="478"/>
      <c r="AM115" s="478"/>
      <c r="AN115" s="478"/>
      <c r="AO115" s="478"/>
      <c r="AP115" s="478"/>
      <c r="AQ115" s="478"/>
      <c r="AR115" s="478"/>
      <c r="AS115" s="478"/>
      <c r="AT115" s="478"/>
      <c r="AU115" s="478"/>
      <c r="AV115" s="478"/>
      <c r="AW115" s="478"/>
      <c r="AX115" s="478"/>
      <c r="AY115" s="478"/>
      <c r="AZ115" s="478"/>
      <c r="BA115" s="478"/>
      <c r="BB115" s="478"/>
      <c r="BC115" s="478"/>
      <c r="BD115" s="478"/>
      <c r="BE115" s="478"/>
      <c r="BF115" s="478"/>
      <c r="BG115" s="478"/>
      <c r="BH115" s="478"/>
      <c r="BI115" s="478"/>
      <c r="BJ115" s="245"/>
      <c r="BK115" s="477">
        <f t="shared" si="445"/>
        <v>0</v>
      </c>
      <c r="BL115" s="466">
        <f t="shared" si="446"/>
        <v>0</v>
      </c>
      <c r="BM115" s="257"/>
      <c r="BN115" s="478"/>
      <c r="BO115" s="478"/>
      <c r="BP115" s="478"/>
      <c r="BQ115" s="478"/>
      <c r="BR115" s="478"/>
      <c r="BS115" s="478"/>
      <c r="BT115" s="478"/>
      <c r="BU115" s="478"/>
      <c r="BV115" s="478"/>
      <c r="BW115" s="478"/>
      <c r="BX115" s="478"/>
      <c r="BY115" s="478"/>
      <c r="BZ115" s="478"/>
      <c r="CA115" s="478"/>
      <c r="CB115" s="478"/>
      <c r="CC115" s="478"/>
      <c r="CD115" s="478"/>
      <c r="CE115" s="478"/>
      <c r="CF115" s="478"/>
      <c r="CG115" s="478"/>
      <c r="CH115" s="478"/>
      <c r="CI115" s="478"/>
      <c r="CJ115" s="478"/>
      <c r="CK115" s="478"/>
      <c r="CL115" s="478"/>
      <c r="CM115" s="478"/>
      <c r="CN115" s="478"/>
      <c r="CO115" s="478"/>
      <c r="CP115" s="478"/>
      <c r="CQ115" s="478"/>
      <c r="CR115" s="478"/>
      <c r="CS115" s="478"/>
      <c r="CT115" s="478"/>
      <c r="CU115" s="478"/>
      <c r="CV115" s="478"/>
      <c r="CW115" s="478"/>
      <c r="CX115" s="478"/>
      <c r="CY115" s="478"/>
      <c r="CZ115" s="478"/>
      <c r="DA115" s="478"/>
      <c r="DB115" s="478"/>
      <c r="DC115" s="478"/>
      <c r="DD115" s="478"/>
      <c r="DE115" s="478"/>
      <c r="DF115" s="478"/>
      <c r="DG115" s="478"/>
      <c r="DH115" s="478"/>
      <c r="DI115" s="478"/>
    </row>
    <row r="116" spans="1:113" ht="16.05" hidden="1" customHeight="1" outlineLevel="1" x14ac:dyDescent="0.3">
      <c r="A116" s="455" t="str">
        <f t="shared" si="441"/>
        <v/>
      </c>
      <c r="B116" s="455"/>
      <c r="C116" s="481"/>
      <c r="D116" s="463" t="s">
        <v>777</v>
      </c>
      <c r="E116" s="482"/>
      <c r="F116" s="483"/>
      <c r="G116" s="484"/>
      <c r="H116" s="485"/>
      <c r="I116" s="466">
        <f t="shared" si="442"/>
        <v>0</v>
      </c>
      <c r="J116" s="259"/>
      <c r="K116" s="478">
        <f t="shared" si="495"/>
        <v>0</v>
      </c>
      <c r="L116" s="466">
        <f t="shared" si="444"/>
        <v>0</v>
      </c>
      <c r="M116" s="257"/>
      <c r="N116" s="478"/>
      <c r="O116" s="478"/>
      <c r="P116" s="478"/>
      <c r="Q116" s="478"/>
      <c r="R116" s="478"/>
      <c r="S116" s="478"/>
      <c r="T116" s="478"/>
      <c r="U116" s="478"/>
      <c r="V116" s="478"/>
      <c r="W116" s="478"/>
      <c r="X116" s="478"/>
      <c r="Y116" s="478"/>
      <c r="Z116" s="478"/>
      <c r="AA116" s="478"/>
      <c r="AB116" s="478"/>
      <c r="AC116" s="478"/>
      <c r="AD116" s="478"/>
      <c r="AE116" s="478"/>
      <c r="AF116" s="478"/>
      <c r="AG116" s="478"/>
      <c r="AH116" s="478"/>
      <c r="AI116" s="478"/>
      <c r="AJ116" s="478"/>
      <c r="AK116" s="478"/>
      <c r="AL116" s="478"/>
      <c r="AM116" s="478"/>
      <c r="AN116" s="478"/>
      <c r="AO116" s="478"/>
      <c r="AP116" s="478"/>
      <c r="AQ116" s="478"/>
      <c r="AR116" s="478"/>
      <c r="AS116" s="478"/>
      <c r="AT116" s="478"/>
      <c r="AU116" s="478"/>
      <c r="AV116" s="478"/>
      <c r="AW116" s="478"/>
      <c r="AX116" s="478"/>
      <c r="AY116" s="478"/>
      <c r="AZ116" s="478"/>
      <c r="BA116" s="478"/>
      <c r="BB116" s="478"/>
      <c r="BC116" s="478"/>
      <c r="BD116" s="478"/>
      <c r="BE116" s="478"/>
      <c r="BF116" s="478"/>
      <c r="BG116" s="478"/>
      <c r="BH116" s="478"/>
      <c r="BI116" s="478"/>
      <c r="BJ116" s="245"/>
      <c r="BK116" s="477">
        <f t="shared" si="445"/>
        <v>0</v>
      </c>
      <c r="BL116" s="466">
        <f t="shared" si="446"/>
        <v>0</v>
      </c>
      <c r="BM116" s="257"/>
      <c r="BN116" s="478"/>
      <c r="BO116" s="478"/>
      <c r="BP116" s="478"/>
      <c r="BQ116" s="478"/>
      <c r="BR116" s="478"/>
      <c r="BS116" s="478"/>
      <c r="BT116" s="478"/>
      <c r="BU116" s="478"/>
      <c r="BV116" s="478"/>
      <c r="BW116" s="478"/>
      <c r="BX116" s="478"/>
      <c r="BY116" s="478"/>
      <c r="BZ116" s="478"/>
      <c r="CA116" s="478"/>
      <c r="CB116" s="478"/>
      <c r="CC116" s="478"/>
      <c r="CD116" s="478"/>
      <c r="CE116" s="478"/>
      <c r="CF116" s="478"/>
      <c r="CG116" s="478"/>
      <c r="CH116" s="478"/>
      <c r="CI116" s="478"/>
      <c r="CJ116" s="478"/>
      <c r="CK116" s="478"/>
      <c r="CL116" s="478"/>
      <c r="CM116" s="478"/>
      <c r="CN116" s="478"/>
      <c r="CO116" s="478"/>
      <c r="CP116" s="478"/>
      <c r="CQ116" s="478"/>
      <c r="CR116" s="478"/>
      <c r="CS116" s="478"/>
      <c r="CT116" s="478"/>
      <c r="CU116" s="478"/>
      <c r="CV116" s="478"/>
      <c r="CW116" s="478"/>
      <c r="CX116" s="478"/>
      <c r="CY116" s="478"/>
      <c r="CZ116" s="478"/>
      <c r="DA116" s="478"/>
      <c r="DB116" s="478"/>
      <c r="DC116" s="478"/>
      <c r="DD116" s="478"/>
      <c r="DE116" s="478"/>
      <c r="DF116" s="478"/>
      <c r="DG116" s="478"/>
      <c r="DH116" s="478"/>
      <c r="DI116" s="478"/>
    </row>
    <row r="117" spans="1:113" ht="16.05" hidden="1" customHeight="1" outlineLevel="1" x14ac:dyDescent="0.3">
      <c r="A117" s="455" t="str">
        <f t="shared" si="441"/>
        <v/>
      </c>
      <c r="B117" s="455"/>
      <c r="C117" s="481"/>
      <c r="D117" s="463" t="s">
        <v>778</v>
      </c>
      <c r="E117" s="482"/>
      <c r="F117" s="483"/>
      <c r="G117" s="484"/>
      <c r="H117" s="485"/>
      <c r="I117" s="466">
        <f t="shared" si="442"/>
        <v>0</v>
      </c>
      <c r="J117" s="259"/>
      <c r="K117" s="478">
        <f t="shared" si="495"/>
        <v>0</v>
      </c>
      <c r="L117" s="466">
        <f t="shared" si="444"/>
        <v>0</v>
      </c>
      <c r="M117" s="257"/>
      <c r="N117" s="478"/>
      <c r="O117" s="478"/>
      <c r="P117" s="478"/>
      <c r="Q117" s="478"/>
      <c r="R117" s="478"/>
      <c r="S117" s="478"/>
      <c r="T117" s="478"/>
      <c r="U117" s="478"/>
      <c r="V117" s="478"/>
      <c r="W117" s="478"/>
      <c r="X117" s="478"/>
      <c r="Y117" s="478"/>
      <c r="Z117" s="478"/>
      <c r="AA117" s="478"/>
      <c r="AB117" s="478"/>
      <c r="AC117" s="478"/>
      <c r="AD117" s="478"/>
      <c r="AE117" s="478"/>
      <c r="AF117" s="478"/>
      <c r="AG117" s="478"/>
      <c r="AH117" s="478"/>
      <c r="AI117" s="478"/>
      <c r="AJ117" s="478"/>
      <c r="AK117" s="478"/>
      <c r="AL117" s="478"/>
      <c r="AM117" s="478"/>
      <c r="AN117" s="478"/>
      <c r="AO117" s="478"/>
      <c r="AP117" s="478"/>
      <c r="AQ117" s="478"/>
      <c r="AR117" s="478"/>
      <c r="AS117" s="478"/>
      <c r="AT117" s="478"/>
      <c r="AU117" s="478"/>
      <c r="AV117" s="478"/>
      <c r="AW117" s="478"/>
      <c r="AX117" s="478"/>
      <c r="AY117" s="478"/>
      <c r="AZ117" s="478"/>
      <c r="BA117" s="478"/>
      <c r="BB117" s="478"/>
      <c r="BC117" s="478"/>
      <c r="BD117" s="478"/>
      <c r="BE117" s="478"/>
      <c r="BF117" s="478"/>
      <c r="BG117" s="478"/>
      <c r="BH117" s="478"/>
      <c r="BI117" s="478"/>
      <c r="BJ117" s="245"/>
      <c r="BK117" s="477">
        <f t="shared" si="445"/>
        <v>0</v>
      </c>
      <c r="BL117" s="466">
        <f t="shared" si="446"/>
        <v>0</v>
      </c>
      <c r="BM117" s="257"/>
      <c r="BN117" s="478"/>
      <c r="BO117" s="478"/>
      <c r="BP117" s="478"/>
      <c r="BQ117" s="478"/>
      <c r="BR117" s="478"/>
      <c r="BS117" s="478"/>
      <c r="BT117" s="478"/>
      <c r="BU117" s="478"/>
      <c r="BV117" s="478"/>
      <c r="BW117" s="478"/>
      <c r="BX117" s="478"/>
      <c r="BY117" s="478"/>
      <c r="BZ117" s="478"/>
      <c r="CA117" s="478"/>
      <c r="CB117" s="478"/>
      <c r="CC117" s="478"/>
      <c r="CD117" s="478"/>
      <c r="CE117" s="478"/>
      <c r="CF117" s="478"/>
      <c r="CG117" s="478"/>
      <c r="CH117" s="478"/>
      <c r="CI117" s="478"/>
      <c r="CJ117" s="478"/>
      <c r="CK117" s="478"/>
      <c r="CL117" s="478"/>
      <c r="CM117" s="478"/>
      <c r="CN117" s="478"/>
      <c r="CO117" s="478"/>
      <c r="CP117" s="478"/>
      <c r="CQ117" s="478"/>
      <c r="CR117" s="478"/>
      <c r="CS117" s="478"/>
      <c r="CT117" s="478"/>
      <c r="CU117" s="478"/>
      <c r="CV117" s="478"/>
      <c r="CW117" s="478"/>
      <c r="CX117" s="478"/>
      <c r="CY117" s="478"/>
      <c r="CZ117" s="478"/>
      <c r="DA117" s="478"/>
      <c r="DB117" s="478"/>
      <c r="DC117" s="478"/>
      <c r="DD117" s="478"/>
      <c r="DE117" s="478"/>
      <c r="DF117" s="478"/>
      <c r="DG117" s="478"/>
      <c r="DH117" s="478"/>
      <c r="DI117" s="478"/>
    </row>
    <row r="118" spans="1:113" ht="16.05" hidden="1" customHeight="1" outlineLevel="1" x14ac:dyDescent="0.3">
      <c r="A118" s="455" t="str">
        <f t="shared" si="441"/>
        <v/>
      </c>
      <c r="B118" s="455"/>
      <c r="C118" s="481"/>
      <c r="D118" s="463" t="s">
        <v>779</v>
      </c>
      <c r="E118" s="482"/>
      <c r="F118" s="483"/>
      <c r="G118" s="484"/>
      <c r="H118" s="485"/>
      <c r="I118" s="466">
        <f t="shared" si="442"/>
        <v>0</v>
      </c>
      <c r="J118" s="259"/>
      <c r="K118" s="478">
        <f t="shared" si="495"/>
        <v>0</v>
      </c>
      <c r="L118" s="466">
        <f t="shared" si="444"/>
        <v>0</v>
      </c>
      <c r="M118" s="257"/>
      <c r="N118" s="478"/>
      <c r="O118" s="478"/>
      <c r="P118" s="478"/>
      <c r="Q118" s="478"/>
      <c r="R118" s="478"/>
      <c r="S118" s="478"/>
      <c r="T118" s="478"/>
      <c r="U118" s="478"/>
      <c r="V118" s="478"/>
      <c r="W118" s="478"/>
      <c r="X118" s="478"/>
      <c r="Y118" s="478"/>
      <c r="Z118" s="478"/>
      <c r="AA118" s="478"/>
      <c r="AB118" s="478"/>
      <c r="AC118" s="478"/>
      <c r="AD118" s="478"/>
      <c r="AE118" s="478"/>
      <c r="AF118" s="478"/>
      <c r="AG118" s="478"/>
      <c r="AH118" s="478"/>
      <c r="AI118" s="478"/>
      <c r="AJ118" s="478"/>
      <c r="AK118" s="478"/>
      <c r="AL118" s="478"/>
      <c r="AM118" s="478"/>
      <c r="AN118" s="478"/>
      <c r="AO118" s="478"/>
      <c r="AP118" s="478"/>
      <c r="AQ118" s="478"/>
      <c r="AR118" s="478"/>
      <c r="AS118" s="478"/>
      <c r="AT118" s="478"/>
      <c r="AU118" s="478"/>
      <c r="AV118" s="478"/>
      <c r="AW118" s="478"/>
      <c r="AX118" s="478"/>
      <c r="AY118" s="478"/>
      <c r="AZ118" s="478"/>
      <c r="BA118" s="478"/>
      <c r="BB118" s="478"/>
      <c r="BC118" s="478"/>
      <c r="BD118" s="478"/>
      <c r="BE118" s="478"/>
      <c r="BF118" s="478"/>
      <c r="BG118" s="478"/>
      <c r="BH118" s="478"/>
      <c r="BI118" s="478"/>
      <c r="BJ118" s="245"/>
      <c r="BK118" s="477">
        <f t="shared" si="445"/>
        <v>0</v>
      </c>
      <c r="BL118" s="466">
        <f t="shared" si="446"/>
        <v>0</v>
      </c>
      <c r="BM118" s="257"/>
      <c r="BN118" s="478"/>
      <c r="BO118" s="478"/>
      <c r="BP118" s="478"/>
      <c r="BQ118" s="478"/>
      <c r="BR118" s="478"/>
      <c r="BS118" s="478"/>
      <c r="BT118" s="478"/>
      <c r="BU118" s="478"/>
      <c r="BV118" s="478"/>
      <c r="BW118" s="478"/>
      <c r="BX118" s="478"/>
      <c r="BY118" s="478"/>
      <c r="BZ118" s="478"/>
      <c r="CA118" s="478"/>
      <c r="CB118" s="478"/>
      <c r="CC118" s="478"/>
      <c r="CD118" s="478"/>
      <c r="CE118" s="478"/>
      <c r="CF118" s="478"/>
      <c r="CG118" s="478"/>
      <c r="CH118" s="478"/>
      <c r="CI118" s="478"/>
      <c r="CJ118" s="478"/>
      <c r="CK118" s="478"/>
      <c r="CL118" s="478"/>
      <c r="CM118" s="478"/>
      <c r="CN118" s="478"/>
      <c r="CO118" s="478"/>
      <c r="CP118" s="478"/>
      <c r="CQ118" s="478"/>
      <c r="CR118" s="478"/>
      <c r="CS118" s="478"/>
      <c r="CT118" s="478"/>
      <c r="CU118" s="478"/>
      <c r="CV118" s="478"/>
      <c r="CW118" s="478"/>
      <c r="CX118" s="478"/>
      <c r="CY118" s="478"/>
      <c r="CZ118" s="478"/>
      <c r="DA118" s="478"/>
      <c r="DB118" s="478"/>
      <c r="DC118" s="478"/>
      <c r="DD118" s="478"/>
      <c r="DE118" s="478"/>
      <c r="DF118" s="478"/>
      <c r="DG118" s="478"/>
      <c r="DH118" s="478"/>
      <c r="DI118" s="478"/>
    </row>
    <row r="119" spans="1:113" ht="16.05" hidden="1" customHeight="1" outlineLevel="1" x14ac:dyDescent="0.3">
      <c r="A119" s="455" t="str">
        <f t="shared" si="441"/>
        <v/>
      </c>
      <c r="B119" s="455"/>
      <c r="C119" s="481"/>
      <c r="D119" s="463" t="s">
        <v>780</v>
      </c>
      <c r="E119" s="482"/>
      <c r="F119" s="483"/>
      <c r="G119" s="484"/>
      <c r="H119" s="485"/>
      <c r="I119" s="466">
        <f t="shared" si="442"/>
        <v>0</v>
      </c>
      <c r="J119" s="259"/>
      <c r="K119" s="478">
        <f t="shared" si="495"/>
        <v>0</v>
      </c>
      <c r="L119" s="466">
        <f t="shared" si="444"/>
        <v>0</v>
      </c>
      <c r="M119" s="257"/>
      <c r="N119" s="478"/>
      <c r="O119" s="478"/>
      <c r="P119" s="478"/>
      <c r="Q119" s="478"/>
      <c r="R119" s="478"/>
      <c r="S119" s="478"/>
      <c r="T119" s="478"/>
      <c r="U119" s="478"/>
      <c r="V119" s="478"/>
      <c r="W119" s="478"/>
      <c r="X119" s="478"/>
      <c r="Y119" s="478"/>
      <c r="Z119" s="478"/>
      <c r="AA119" s="478"/>
      <c r="AB119" s="478"/>
      <c r="AC119" s="478"/>
      <c r="AD119" s="478"/>
      <c r="AE119" s="478"/>
      <c r="AF119" s="478"/>
      <c r="AG119" s="478"/>
      <c r="AH119" s="478"/>
      <c r="AI119" s="478"/>
      <c r="AJ119" s="478"/>
      <c r="AK119" s="478"/>
      <c r="AL119" s="478"/>
      <c r="AM119" s="478"/>
      <c r="AN119" s="478"/>
      <c r="AO119" s="478"/>
      <c r="AP119" s="478"/>
      <c r="AQ119" s="478"/>
      <c r="AR119" s="478"/>
      <c r="AS119" s="478"/>
      <c r="AT119" s="478"/>
      <c r="AU119" s="478"/>
      <c r="AV119" s="478"/>
      <c r="AW119" s="478"/>
      <c r="AX119" s="478"/>
      <c r="AY119" s="478"/>
      <c r="AZ119" s="478"/>
      <c r="BA119" s="478"/>
      <c r="BB119" s="478"/>
      <c r="BC119" s="478"/>
      <c r="BD119" s="478"/>
      <c r="BE119" s="478"/>
      <c r="BF119" s="478"/>
      <c r="BG119" s="478"/>
      <c r="BH119" s="478"/>
      <c r="BI119" s="478"/>
      <c r="BJ119" s="245"/>
      <c r="BK119" s="477">
        <f t="shared" si="445"/>
        <v>0</v>
      </c>
      <c r="BL119" s="466">
        <f t="shared" si="446"/>
        <v>0</v>
      </c>
      <c r="BM119" s="257"/>
      <c r="BN119" s="478"/>
      <c r="BO119" s="478"/>
      <c r="BP119" s="478"/>
      <c r="BQ119" s="478"/>
      <c r="BR119" s="478"/>
      <c r="BS119" s="478"/>
      <c r="BT119" s="478"/>
      <c r="BU119" s="478"/>
      <c r="BV119" s="478"/>
      <c r="BW119" s="478"/>
      <c r="BX119" s="478"/>
      <c r="BY119" s="478"/>
      <c r="BZ119" s="478"/>
      <c r="CA119" s="478"/>
      <c r="CB119" s="478"/>
      <c r="CC119" s="478"/>
      <c r="CD119" s="478"/>
      <c r="CE119" s="478"/>
      <c r="CF119" s="478"/>
      <c r="CG119" s="478"/>
      <c r="CH119" s="478"/>
      <c r="CI119" s="478"/>
      <c r="CJ119" s="478"/>
      <c r="CK119" s="478"/>
      <c r="CL119" s="478"/>
      <c r="CM119" s="478"/>
      <c r="CN119" s="478"/>
      <c r="CO119" s="478"/>
      <c r="CP119" s="478"/>
      <c r="CQ119" s="478"/>
      <c r="CR119" s="478"/>
      <c r="CS119" s="478"/>
      <c r="CT119" s="478"/>
      <c r="CU119" s="478"/>
      <c r="CV119" s="478"/>
      <c r="CW119" s="478"/>
      <c r="CX119" s="478"/>
      <c r="CY119" s="478"/>
      <c r="CZ119" s="478"/>
      <c r="DA119" s="478"/>
      <c r="DB119" s="478"/>
      <c r="DC119" s="478"/>
      <c r="DD119" s="478"/>
      <c r="DE119" s="478"/>
      <c r="DF119" s="478"/>
      <c r="DG119" s="478"/>
      <c r="DH119" s="478"/>
      <c r="DI119" s="478"/>
    </row>
    <row r="120" spans="1:113" ht="8.1" customHeight="1" outlineLevel="1" x14ac:dyDescent="0.3">
      <c r="A120" s="455" t="str">
        <f t="shared" ref="A120" si="505">IF(COUNTIF(A100:A119,"Imprimir")&gt;0,"Imprimir","")</f>
        <v>Imprimir</v>
      </c>
      <c r="B120" s="455"/>
      <c r="C120" s="464"/>
      <c r="D120" s="461"/>
      <c r="E120" s="462"/>
      <c r="F120" s="462"/>
      <c r="G120" s="461"/>
      <c r="H120" s="461"/>
      <c r="I120" s="461"/>
      <c r="J120" s="259"/>
      <c r="K120" s="255"/>
      <c r="L120" s="256"/>
      <c r="M120" s="257"/>
      <c r="N120" s="255"/>
      <c r="O120" s="255"/>
      <c r="P120" s="255"/>
      <c r="Q120" s="255"/>
      <c r="R120" s="255"/>
      <c r="S120" s="255"/>
      <c r="T120" s="255"/>
      <c r="U120" s="255"/>
      <c r="V120" s="255"/>
      <c r="W120" s="255"/>
      <c r="X120" s="255"/>
      <c r="Y120" s="255"/>
      <c r="Z120" s="255"/>
      <c r="AA120" s="255"/>
      <c r="AB120" s="255"/>
      <c r="AC120" s="255"/>
      <c r="AD120" s="255"/>
      <c r="AE120" s="255"/>
      <c r="AF120" s="255"/>
      <c r="AG120" s="255"/>
      <c r="AH120" s="255"/>
      <c r="AI120" s="255"/>
      <c r="AJ120" s="255"/>
      <c r="AK120" s="255"/>
      <c r="AL120" s="255"/>
      <c r="AM120" s="524"/>
      <c r="AN120" s="255"/>
      <c r="AO120" s="255"/>
      <c r="AP120" s="255"/>
      <c r="AQ120" s="255"/>
      <c r="AR120" s="255"/>
      <c r="AS120" s="255"/>
      <c r="AT120" s="255"/>
      <c r="AU120" s="255"/>
      <c r="AV120" s="255"/>
      <c r="AW120" s="255"/>
      <c r="AX120" s="255"/>
      <c r="AY120" s="255"/>
      <c r="AZ120" s="255"/>
      <c r="BA120" s="255"/>
      <c r="BB120" s="255"/>
      <c r="BC120" s="255"/>
      <c r="BD120" s="255"/>
      <c r="BE120" s="255"/>
      <c r="BF120" s="255"/>
      <c r="BG120" s="255"/>
      <c r="BH120" s="255"/>
      <c r="BI120" s="255"/>
      <c r="BJ120" s="245"/>
      <c r="BK120" s="256"/>
      <c r="BL120" s="256"/>
      <c r="BM120" s="257"/>
      <c r="BN120" s="255"/>
      <c r="BO120" s="255"/>
      <c r="BP120" s="255"/>
      <c r="BQ120" s="255"/>
      <c r="BR120" s="255"/>
      <c r="BS120" s="255"/>
      <c r="BT120" s="255"/>
      <c r="BU120" s="255"/>
      <c r="BV120" s="255"/>
      <c r="BW120" s="255"/>
      <c r="BX120" s="255"/>
      <c r="BY120" s="255"/>
      <c r="BZ120" s="255"/>
      <c r="CA120" s="255"/>
      <c r="CB120" s="255"/>
      <c r="CC120" s="255"/>
      <c r="CD120" s="255"/>
      <c r="CE120" s="255"/>
      <c r="CF120" s="255"/>
      <c r="CG120" s="255"/>
      <c r="CH120" s="255"/>
      <c r="CI120" s="255"/>
      <c r="CJ120" s="255"/>
      <c r="CK120" s="255"/>
      <c r="CL120" s="255"/>
      <c r="CM120" s="255"/>
      <c r="CN120" s="255"/>
      <c r="CO120" s="255"/>
      <c r="CP120" s="255"/>
      <c r="CQ120" s="255"/>
      <c r="CR120" s="255"/>
      <c r="CS120" s="255"/>
      <c r="CT120" s="255"/>
      <c r="CU120" s="255"/>
      <c r="CV120" s="255"/>
      <c r="CW120" s="255"/>
      <c r="CX120" s="255"/>
      <c r="CY120" s="255"/>
      <c r="CZ120" s="255"/>
      <c r="DA120" s="255"/>
      <c r="DB120" s="255"/>
      <c r="DC120" s="255"/>
      <c r="DD120" s="255"/>
      <c r="DE120" s="255"/>
      <c r="DF120" s="255"/>
      <c r="DG120" s="255"/>
      <c r="DH120" s="255"/>
      <c r="DI120" s="524"/>
    </row>
    <row r="121" spans="1:113" ht="16.05" customHeight="1" x14ac:dyDescent="0.3">
      <c r="A121" s="455" t="str">
        <f t="shared" ref="A121" si="506">IF(COUNTIF(A122:A141,"Imprimir")&gt;0,"Imprimir","")</f>
        <v>Imprimir</v>
      </c>
      <c r="B121" s="455"/>
      <c r="C121" s="459"/>
      <c r="D121" s="459"/>
      <c r="E121" s="460" t="s">
        <v>3824</v>
      </c>
      <c r="F121" s="460"/>
      <c r="G121" s="460"/>
      <c r="H121" s="465"/>
      <c r="I121" s="465">
        <f>SUBTOTAL(9,I122:I142)</f>
        <v>602724.36140000005</v>
      </c>
      <c r="J121" s="259"/>
      <c r="K121" s="465"/>
      <c r="L121" s="465">
        <f>SUBTOTAL(9,L122:L142)</f>
        <v>0</v>
      </c>
      <c r="M121" s="257"/>
      <c r="N121" s="465">
        <f>SUMPRODUCT(N122:N142,$H122:$H142)</f>
        <v>0</v>
      </c>
      <c r="O121" s="465">
        <f>SUMPRODUCT(O122:O142,$H122:$H142)</f>
        <v>0</v>
      </c>
      <c r="P121" s="465">
        <f t="shared" ref="P121" si="507">SUMPRODUCT(P122:P142,$H122:$H142)</f>
        <v>0</v>
      </c>
      <c r="Q121" s="465">
        <f t="shared" ref="Q121" si="508">SUMPRODUCT(Q122:Q142,$H122:$H142)</f>
        <v>0</v>
      </c>
      <c r="R121" s="465">
        <f t="shared" ref="R121" si="509">SUMPRODUCT(R122:R142,$H122:$H142)</f>
        <v>0</v>
      </c>
      <c r="S121" s="465">
        <f t="shared" ref="S121" si="510">SUMPRODUCT(S122:S142,$H122:$H142)</f>
        <v>0</v>
      </c>
      <c r="T121" s="465">
        <f t="shared" ref="T121" si="511">SUMPRODUCT(T122:T142,$H122:$H142)</f>
        <v>0</v>
      </c>
      <c r="U121" s="465">
        <f t="shared" ref="U121" si="512">SUMPRODUCT(U122:U142,$H122:$H142)</f>
        <v>0</v>
      </c>
      <c r="V121" s="465">
        <f t="shared" ref="V121" si="513">SUMPRODUCT(V122:V142,$H122:$H142)</f>
        <v>0</v>
      </c>
      <c r="W121" s="465">
        <f t="shared" ref="W121" si="514">SUMPRODUCT(W122:W142,$H122:$H142)</f>
        <v>0</v>
      </c>
      <c r="X121" s="465">
        <f t="shared" ref="X121" si="515">SUMPRODUCT(X122:X142,$H122:$H142)</f>
        <v>0</v>
      </c>
      <c r="Y121" s="465">
        <f t="shared" ref="Y121" si="516">SUMPRODUCT(Y122:Y142,$H122:$H142)</f>
        <v>0</v>
      </c>
      <c r="Z121" s="465">
        <f t="shared" ref="Z121" si="517">SUMPRODUCT(Z122:Z142,$H122:$H142)</f>
        <v>0</v>
      </c>
      <c r="AA121" s="465">
        <f t="shared" ref="AA121" si="518">SUMPRODUCT(AA122:AA142,$H122:$H142)</f>
        <v>0</v>
      </c>
      <c r="AB121" s="465">
        <f t="shared" ref="AB121" si="519">SUMPRODUCT(AB122:AB142,$H122:$H142)</f>
        <v>0</v>
      </c>
      <c r="AC121" s="465">
        <f t="shared" ref="AC121" si="520">SUMPRODUCT(AC122:AC142,$H122:$H142)</f>
        <v>0</v>
      </c>
      <c r="AD121" s="465">
        <f t="shared" ref="AD121" si="521">SUMPRODUCT(AD122:AD142,$H122:$H142)</f>
        <v>0</v>
      </c>
      <c r="AE121" s="465">
        <f t="shared" ref="AE121" si="522">SUMPRODUCT(AE122:AE142,$H122:$H142)</f>
        <v>0</v>
      </c>
      <c r="AF121" s="465">
        <f t="shared" ref="AF121" si="523">SUMPRODUCT(AF122:AF142,$H122:$H142)</f>
        <v>0</v>
      </c>
      <c r="AG121" s="465">
        <f t="shared" ref="AG121" si="524">SUMPRODUCT(AG122:AG142,$H122:$H142)</f>
        <v>0</v>
      </c>
      <c r="AH121" s="465">
        <f t="shared" ref="AH121" si="525">SUMPRODUCT(AH122:AH142,$H122:$H142)</f>
        <v>0</v>
      </c>
      <c r="AI121" s="465">
        <f t="shared" ref="AI121" si="526">SUMPRODUCT(AI122:AI142,$H122:$H142)</f>
        <v>0</v>
      </c>
      <c r="AJ121" s="465">
        <f t="shared" ref="AJ121:BI121" si="527">SUMPRODUCT(AJ122:AJ142,$H122:$H142)</f>
        <v>0</v>
      </c>
      <c r="AK121" s="465">
        <f t="shared" si="527"/>
        <v>0</v>
      </c>
      <c r="AL121" s="465">
        <f t="shared" si="527"/>
        <v>0</v>
      </c>
      <c r="AM121" s="465">
        <f t="shared" si="527"/>
        <v>0</v>
      </c>
      <c r="AN121" s="465">
        <f t="shared" si="527"/>
        <v>0</v>
      </c>
      <c r="AO121" s="465">
        <f t="shared" si="527"/>
        <v>0</v>
      </c>
      <c r="AP121" s="465">
        <f t="shared" si="527"/>
        <v>0</v>
      </c>
      <c r="AQ121" s="465">
        <f t="shared" si="527"/>
        <v>0</v>
      </c>
      <c r="AR121" s="465">
        <f t="shared" si="527"/>
        <v>0</v>
      </c>
      <c r="AS121" s="465">
        <f t="shared" si="527"/>
        <v>0</v>
      </c>
      <c r="AT121" s="465">
        <f t="shared" si="527"/>
        <v>0</v>
      </c>
      <c r="AU121" s="465">
        <f t="shared" si="527"/>
        <v>0</v>
      </c>
      <c r="AV121" s="465">
        <f t="shared" si="527"/>
        <v>0</v>
      </c>
      <c r="AW121" s="465">
        <f t="shared" si="527"/>
        <v>0</v>
      </c>
      <c r="AX121" s="465">
        <f t="shared" si="527"/>
        <v>0</v>
      </c>
      <c r="AY121" s="465">
        <f t="shared" si="527"/>
        <v>0</v>
      </c>
      <c r="AZ121" s="465">
        <f t="shared" si="527"/>
        <v>0</v>
      </c>
      <c r="BA121" s="465">
        <f t="shared" si="527"/>
        <v>0</v>
      </c>
      <c r="BB121" s="465">
        <f t="shared" si="527"/>
        <v>0</v>
      </c>
      <c r="BC121" s="465">
        <f t="shared" si="527"/>
        <v>0</v>
      </c>
      <c r="BD121" s="465">
        <f t="shared" si="527"/>
        <v>0</v>
      </c>
      <c r="BE121" s="465">
        <f t="shared" si="527"/>
        <v>0</v>
      </c>
      <c r="BF121" s="465">
        <f t="shared" si="527"/>
        <v>0</v>
      </c>
      <c r="BG121" s="465">
        <f t="shared" si="527"/>
        <v>0</v>
      </c>
      <c r="BH121" s="465">
        <f t="shared" si="527"/>
        <v>0</v>
      </c>
      <c r="BI121" s="543">
        <f t="shared" si="527"/>
        <v>0</v>
      </c>
      <c r="BJ121" s="546"/>
      <c r="BK121" s="475">
        <f t="shared" ref="BK121" si="528">IFERROR(BL121/I121,0)</f>
        <v>0.77702087321005353</v>
      </c>
      <c r="BL121" s="465">
        <f>SUBTOTAL(9,BL122:BL142)</f>
        <v>468329.40959999996</v>
      </c>
      <c r="BM121" s="257"/>
      <c r="BN121" s="465">
        <f>SUMPRODUCT(BN122:BN142,$H122:$H142)</f>
        <v>0</v>
      </c>
      <c r="BO121" s="465">
        <f>SUMPRODUCT(BO122:BO142,$H122:$H142)</f>
        <v>0</v>
      </c>
      <c r="BP121" s="465">
        <f t="shared" ref="BP121" si="529">SUMPRODUCT(BP122:BP142,$H122:$H142)</f>
        <v>0</v>
      </c>
      <c r="BQ121" s="465">
        <f t="shared" ref="BQ121" si="530">SUMPRODUCT(BQ122:BQ142,$H122:$H142)</f>
        <v>0</v>
      </c>
      <c r="BR121" s="465">
        <f t="shared" ref="BR121" si="531">SUMPRODUCT(BR122:BR142,$H122:$H142)</f>
        <v>0</v>
      </c>
      <c r="BS121" s="465">
        <f t="shared" ref="BS121" si="532">SUMPRODUCT(BS122:BS142,$H122:$H142)</f>
        <v>0</v>
      </c>
      <c r="BT121" s="465">
        <f t="shared" ref="BT121" si="533">SUMPRODUCT(BT122:BT142,$H122:$H142)</f>
        <v>0</v>
      </c>
      <c r="BU121" s="465">
        <f t="shared" ref="BU121" si="534">SUMPRODUCT(BU122:BU142,$H122:$H142)</f>
        <v>0</v>
      </c>
      <c r="BV121" s="465">
        <f t="shared" ref="BV121" si="535">SUMPRODUCT(BV122:BV142,$H122:$H142)</f>
        <v>0</v>
      </c>
      <c r="BW121" s="465">
        <f t="shared" ref="BW121" si="536">SUMPRODUCT(BW122:BW142,$H122:$H142)</f>
        <v>0</v>
      </c>
      <c r="BX121" s="465">
        <f t="shared" ref="BX121" si="537">SUMPRODUCT(BX122:BX142,$H122:$H142)</f>
        <v>0</v>
      </c>
      <c r="BY121" s="465">
        <f t="shared" ref="BY121" si="538">SUMPRODUCT(BY122:BY142,$H122:$H142)</f>
        <v>0</v>
      </c>
      <c r="BZ121" s="465">
        <f t="shared" ref="BZ121" si="539">SUMPRODUCT(BZ122:BZ142,$H122:$H142)</f>
        <v>468329.40959999996</v>
      </c>
      <c r="CA121" s="465">
        <f t="shared" ref="CA121" si="540">SUMPRODUCT(CA122:CA142,$H122:$H142)</f>
        <v>0</v>
      </c>
      <c r="CB121" s="465">
        <f t="shared" ref="CB121" si="541">SUMPRODUCT(CB122:CB142,$H122:$H142)</f>
        <v>0</v>
      </c>
      <c r="CC121" s="465">
        <f t="shared" ref="CC121" si="542">SUMPRODUCT(CC122:CC142,$H122:$H142)</f>
        <v>0</v>
      </c>
      <c r="CD121" s="465">
        <f t="shared" ref="CD121" si="543">SUMPRODUCT(CD122:CD142,$H122:$H142)</f>
        <v>0</v>
      </c>
      <c r="CE121" s="465">
        <f t="shared" ref="CE121" si="544">SUMPRODUCT(CE122:CE142,$H122:$H142)</f>
        <v>0</v>
      </c>
      <c r="CF121" s="465">
        <f t="shared" ref="CF121" si="545">SUMPRODUCT(CF122:CF142,$H122:$H142)</f>
        <v>0</v>
      </c>
      <c r="CG121" s="465">
        <f t="shared" ref="CG121" si="546">SUMPRODUCT(CG122:CG142,$H122:$H142)</f>
        <v>0</v>
      </c>
      <c r="CH121" s="465">
        <f t="shared" ref="CH121" si="547">SUMPRODUCT(CH122:CH142,$H122:$H142)</f>
        <v>0</v>
      </c>
      <c r="CI121" s="465">
        <f t="shared" ref="CI121" si="548">SUMPRODUCT(CI122:CI142,$H122:$H142)</f>
        <v>0</v>
      </c>
      <c r="CJ121" s="465">
        <f t="shared" ref="CJ121" si="549">SUMPRODUCT(CJ122:CJ142,$H122:$H142)</f>
        <v>0</v>
      </c>
      <c r="CK121" s="465">
        <f t="shared" ref="CK121" si="550">SUMPRODUCT(CK122:CK142,$H122:$H142)</f>
        <v>0</v>
      </c>
      <c r="CL121" s="465">
        <f t="shared" ref="CL121" si="551">SUMPRODUCT(CL122:CL142,$H122:$H142)</f>
        <v>0</v>
      </c>
      <c r="CM121" s="465">
        <f t="shared" ref="CM121" si="552">SUMPRODUCT(CM122:CM142,$H122:$H142)</f>
        <v>0</v>
      </c>
      <c r="CN121" s="465">
        <f t="shared" ref="CN121" si="553">SUMPRODUCT(CN122:CN142,$H122:$H142)</f>
        <v>0</v>
      </c>
      <c r="CO121" s="465">
        <f t="shared" ref="CO121" si="554">SUMPRODUCT(CO122:CO142,$H122:$H142)</f>
        <v>0</v>
      </c>
      <c r="CP121" s="465">
        <f t="shared" ref="CP121" si="555">SUMPRODUCT(CP122:CP142,$H122:$H142)</f>
        <v>0</v>
      </c>
      <c r="CQ121" s="465">
        <f t="shared" ref="CQ121" si="556">SUMPRODUCT(CQ122:CQ142,$H122:$H142)</f>
        <v>0</v>
      </c>
      <c r="CR121" s="465">
        <f t="shared" ref="CR121" si="557">SUMPRODUCT(CR122:CR142,$H122:$H142)</f>
        <v>0</v>
      </c>
      <c r="CS121" s="465">
        <f t="shared" ref="CS121" si="558">SUMPRODUCT(CS122:CS142,$H122:$H142)</f>
        <v>0</v>
      </c>
      <c r="CT121" s="465">
        <f t="shared" ref="CT121" si="559">SUMPRODUCT(CT122:CT142,$H122:$H142)</f>
        <v>0</v>
      </c>
      <c r="CU121" s="465">
        <f t="shared" ref="CU121" si="560">SUMPRODUCT(CU122:CU142,$H122:$H142)</f>
        <v>0</v>
      </c>
      <c r="CV121" s="465">
        <f t="shared" ref="CV121" si="561">SUMPRODUCT(CV122:CV142,$H122:$H142)</f>
        <v>0</v>
      </c>
      <c r="CW121" s="465">
        <f t="shared" ref="CW121" si="562">SUMPRODUCT(CW122:CW142,$H122:$H142)</f>
        <v>0</v>
      </c>
      <c r="CX121" s="465">
        <f t="shared" ref="CX121" si="563">SUMPRODUCT(CX122:CX142,$H122:$H142)</f>
        <v>0</v>
      </c>
      <c r="CY121" s="465">
        <f t="shared" ref="CY121" si="564">SUMPRODUCT(CY122:CY142,$H122:$H142)</f>
        <v>0</v>
      </c>
      <c r="CZ121" s="465">
        <f t="shared" ref="CZ121" si="565">SUMPRODUCT(CZ122:CZ142,$H122:$H142)</f>
        <v>0</v>
      </c>
      <c r="DA121" s="465">
        <f t="shared" ref="DA121" si="566">SUMPRODUCT(DA122:DA142,$H122:$H142)</f>
        <v>0</v>
      </c>
      <c r="DB121" s="465">
        <f t="shared" ref="DB121" si="567">SUMPRODUCT(DB122:DB142,$H122:$H142)</f>
        <v>0</v>
      </c>
      <c r="DC121" s="465">
        <f t="shared" ref="DC121" si="568">SUMPRODUCT(DC122:DC142,$H122:$H142)</f>
        <v>0</v>
      </c>
      <c r="DD121" s="465">
        <f t="shared" ref="DD121" si="569">SUMPRODUCT(DD122:DD142,$H122:$H142)</f>
        <v>0</v>
      </c>
      <c r="DE121" s="465">
        <f t="shared" ref="DE121" si="570">SUMPRODUCT(DE122:DE142,$H122:$H142)</f>
        <v>0</v>
      </c>
      <c r="DF121" s="465">
        <f t="shared" ref="DF121" si="571">SUMPRODUCT(DF122:DF142,$H122:$H142)</f>
        <v>0</v>
      </c>
      <c r="DG121" s="465">
        <f t="shared" ref="DG121" si="572">SUMPRODUCT(DG122:DG142,$H122:$H142)</f>
        <v>0</v>
      </c>
      <c r="DH121" s="465">
        <f t="shared" ref="DH121" si="573">SUMPRODUCT(DH122:DH142,$H122:$H142)</f>
        <v>0</v>
      </c>
      <c r="DI121" s="465">
        <f t="shared" ref="DI121" si="574">SUMPRODUCT(DI122:DI142,$H122:$H142)</f>
        <v>0</v>
      </c>
    </row>
    <row r="122" spans="1:113" ht="16.05" customHeight="1" outlineLevel="1" x14ac:dyDescent="0.3">
      <c r="A122" s="455" t="str">
        <f t="shared" si="54"/>
        <v>Imprimir</v>
      </c>
      <c r="B122" s="455"/>
      <c r="C122" s="481"/>
      <c r="D122" s="463" t="s">
        <v>761</v>
      </c>
      <c r="E122" s="482" t="s">
        <v>662</v>
      </c>
      <c r="F122" s="483" t="s">
        <v>663</v>
      </c>
      <c r="G122" s="842">
        <f>7+5+5</f>
        <v>17</v>
      </c>
      <c r="H122" s="485">
        <v>3551.23</v>
      </c>
      <c r="I122" s="466">
        <f t="shared" ref="I122:I123" si="575">G122*H122</f>
        <v>60370.91</v>
      </c>
      <c r="J122" s="259"/>
      <c r="K122" s="478">
        <f>SUM(N122:BI122)</f>
        <v>0</v>
      </c>
      <c r="L122" s="466">
        <f>K122*$H122</f>
        <v>0</v>
      </c>
      <c r="M122" s="257"/>
      <c r="N122" s="478"/>
      <c r="O122" s="478"/>
      <c r="P122" s="478"/>
      <c r="Q122" s="478"/>
      <c r="R122" s="478"/>
      <c r="S122" s="478"/>
      <c r="T122" s="478"/>
      <c r="U122" s="478"/>
      <c r="V122" s="478"/>
      <c r="W122" s="478"/>
      <c r="X122" s="478"/>
      <c r="Y122" s="478"/>
      <c r="Z122" s="478"/>
      <c r="AA122" s="478"/>
      <c r="AB122" s="478"/>
      <c r="AC122" s="478"/>
      <c r="AD122" s="478"/>
      <c r="AE122" s="478"/>
      <c r="AF122" s="478"/>
      <c r="AG122" s="478"/>
      <c r="AH122" s="478"/>
      <c r="AI122" s="478"/>
      <c r="AJ122" s="478"/>
      <c r="AK122" s="478"/>
      <c r="AL122" s="478"/>
      <c r="AM122" s="478"/>
      <c r="AN122" s="478"/>
      <c r="AO122" s="478"/>
      <c r="AP122" s="478"/>
      <c r="AQ122" s="478"/>
      <c r="AR122" s="478"/>
      <c r="AS122" s="478"/>
      <c r="AT122" s="478"/>
      <c r="AU122" s="478"/>
      <c r="AV122" s="478"/>
      <c r="AW122" s="478"/>
      <c r="AX122" s="478"/>
      <c r="AY122" s="478"/>
      <c r="AZ122" s="478"/>
      <c r="BA122" s="478"/>
      <c r="BB122" s="478"/>
      <c r="BC122" s="478"/>
      <c r="BD122" s="478"/>
      <c r="BE122" s="478"/>
      <c r="BF122" s="478"/>
      <c r="BG122" s="478"/>
      <c r="BH122" s="478"/>
      <c r="BI122" s="478"/>
      <c r="BJ122" s="245"/>
      <c r="BK122" s="477">
        <f>IFERROR(BL122/I122,0)</f>
        <v>0.76470588235294112</v>
      </c>
      <c r="BL122" s="466">
        <f>SUM(BN122:DJ122)*$H122</f>
        <v>46165.99</v>
      </c>
      <c r="BM122" s="257"/>
      <c r="BN122" s="478"/>
      <c r="BO122" s="478"/>
      <c r="BP122" s="478"/>
      <c r="BQ122" s="478"/>
      <c r="BR122" s="478"/>
      <c r="BS122" s="478"/>
      <c r="BT122" s="478"/>
      <c r="BU122" s="478"/>
      <c r="BV122" s="478"/>
      <c r="BW122" s="478"/>
      <c r="BX122" s="478"/>
      <c r="BY122" s="478"/>
      <c r="BZ122" s="478">
        <v>13</v>
      </c>
      <c r="CA122" s="478"/>
      <c r="CB122" s="478"/>
      <c r="CC122" s="478"/>
      <c r="CD122" s="478"/>
      <c r="CE122" s="478"/>
      <c r="CF122" s="478"/>
      <c r="CG122" s="478"/>
      <c r="CH122" s="478"/>
      <c r="CI122" s="478"/>
      <c r="CJ122" s="478"/>
      <c r="CK122" s="478"/>
      <c r="CL122" s="478"/>
      <c r="CM122" s="478"/>
      <c r="CN122" s="478"/>
      <c r="CO122" s="478"/>
      <c r="CP122" s="478"/>
      <c r="CQ122" s="478"/>
      <c r="CR122" s="478"/>
      <c r="CS122" s="478"/>
      <c r="CT122" s="478"/>
      <c r="CU122" s="478"/>
      <c r="CV122" s="478"/>
      <c r="CW122" s="478"/>
      <c r="CX122" s="478"/>
      <c r="CY122" s="478"/>
      <c r="CZ122" s="478"/>
      <c r="DA122" s="478"/>
      <c r="DB122" s="478"/>
      <c r="DC122" s="478"/>
      <c r="DD122" s="478"/>
      <c r="DE122" s="478"/>
      <c r="DF122" s="478"/>
      <c r="DG122" s="478"/>
      <c r="DH122" s="478"/>
      <c r="DI122" s="478"/>
    </row>
    <row r="123" spans="1:113" ht="16.05" customHeight="1" outlineLevel="1" x14ac:dyDescent="0.3">
      <c r="A123" s="455" t="str">
        <f t="shared" si="54"/>
        <v>Imprimir</v>
      </c>
      <c r="B123" s="455"/>
      <c r="C123" s="481"/>
      <c r="D123" s="463" t="s">
        <v>762</v>
      </c>
      <c r="E123" s="482" t="s">
        <v>665</v>
      </c>
      <c r="F123" s="483" t="s">
        <v>666</v>
      </c>
      <c r="G123" s="484">
        <f>8*G122</f>
        <v>136</v>
      </c>
      <c r="H123" s="485">
        <v>102.32</v>
      </c>
      <c r="I123" s="466">
        <f t="shared" si="575"/>
        <v>13915.519999999999</v>
      </c>
      <c r="J123" s="259"/>
      <c r="K123" s="478">
        <f t="shared" ref="K123" si="576">SUM(N123:BI123)</f>
        <v>0</v>
      </c>
      <c r="L123" s="466">
        <f t="shared" ref="L123:L141" si="577">K123*$H123</f>
        <v>0</v>
      </c>
      <c r="M123" s="257"/>
      <c r="N123" s="478"/>
      <c r="O123" s="478"/>
      <c r="P123" s="478"/>
      <c r="Q123" s="478"/>
      <c r="R123" s="478"/>
      <c r="S123" s="478"/>
      <c r="T123" s="478"/>
      <c r="U123" s="478"/>
      <c r="V123" s="478"/>
      <c r="W123" s="478"/>
      <c r="X123" s="478"/>
      <c r="Y123" s="478"/>
      <c r="Z123" s="478"/>
      <c r="AA123" s="478"/>
      <c r="AB123" s="478"/>
      <c r="AC123" s="478"/>
      <c r="AD123" s="478"/>
      <c r="AE123" s="478"/>
      <c r="AF123" s="478"/>
      <c r="AG123" s="478"/>
      <c r="AH123" s="478"/>
      <c r="AI123" s="478"/>
      <c r="AJ123" s="478"/>
      <c r="AK123" s="478"/>
      <c r="AL123" s="478"/>
      <c r="AM123" s="478"/>
      <c r="AN123" s="478"/>
      <c r="AO123" s="478"/>
      <c r="AP123" s="478"/>
      <c r="AQ123" s="478"/>
      <c r="AR123" s="478"/>
      <c r="AS123" s="478"/>
      <c r="AT123" s="478"/>
      <c r="AU123" s="478"/>
      <c r="AV123" s="478"/>
      <c r="AW123" s="478"/>
      <c r="AX123" s="478"/>
      <c r="AY123" s="478"/>
      <c r="AZ123" s="478"/>
      <c r="BA123" s="478"/>
      <c r="BB123" s="478"/>
      <c r="BC123" s="478"/>
      <c r="BD123" s="478"/>
      <c r="BE123" s="478"/>
      <c r="BF123" s="478"/>
      <c r="BG123" s="478"/>
      <c r="BH123" s="478"/>
      <c r="BI123" s="478"/>
      <c r="BJ123" s="245"/>
      <c r="BK123" s="477">
        <f t="shared" ref="BK123" si="578">IFERROR(BL123/I123,0)</f>
        <v>0.76470588235294112</v>
      </c>
      <c r="BL123" s="466">
        <f t="shared" ref="BL123" si="579">SUM(BN123:DJ123)*$H123</f>
        <v>10641.279999999999</v>
      </c>
      <c r="BM123" s="257"/>
      <c r="BN123" s="478">
        <f t="shared" ref="BN123" si="580">8*BN122</f>
        <v>0</v>
      </c>
      <c r="BO123" s="478">
        <f t="shared" ref="BO123" si="581">8*BO122</f>
        <v>0</v>
      </c>
      <c r="BP123" s="478">
        <f t="shared" ref="BP123" si="582">8*BP122</f>
        <v>0</v>
      </c>
      <c r="BQ123" s="478">
        <f t="shared" ref="BQ123" si="583">8*BQ122</f>
        <v>0</v>
      </c>
      <c r="BR123" s="478">
        <f t="shared" ref="BR123" si="584">8*BR122</f>
        <v>0</v>
      </c>
      <c r="BS123" s="478">
        <f t="shared" ref="BS123" si="585">8*BS122</f>
        <v>0</v>
      </c>
      <c r="BT123" s="478">
        <f t="shared" ref="BT123" si="586">8*BT122</f>
        <v>0</v>
      </c>
      <c r="BU123" s="478">
        <f t="shared" ref="BU123" si="587">8*BU122</f>
        <v>0</v>
      </c>
      <c r="BV123" s="478">
        <f t="shared" ref="BV123" si="588">8*BV122</f>
        <v>0</v>
      </c>
      <c r="BW123" s="478">
        <f t="shared" ref="BW123" si="589">8*BW122</f>
        <v>0</v>
      </c>
      <c r="BX123" s="478">
        <f t="shared" ref="BX123" si="590">8*BX122</f>
        <v>0</v>
      </c>
      <c r="BY123" s="478">
        <f t="shared" ref="BY123" si="591">8*BY122</f>
        <v>0</v>
      </c>
      <c r="BZ123" s="478">
        <f t="shared" ref="BZ123" si="592">8*BZ122</f>
        <v>104</v>
      </c>
      <c r="CA123" s="478">
        <f t="shared" ref="CA123" si="593">8*CA122</f>
        <v>0</v>
      </c>
      <c r="CB123" s="478">
        <f t="shared" ref="CB123" si="594">8*CB122</f>
        <v>0</v>
      </c>
      <c r="CC123" s="478">
        <f t="shared" ref="CC123" si="595">8*CC122</f>
        <v>0</v>
      </c>
      <c r="CD123" s="478">
        <f t="shared" ref="CD123" si="596">8*CD122</f>
        <v>0</v>
      </c>
      <c r="CE123" s="478">
        <f t="shared" ref="CE123" si="597">8*CE122</f>
        <v>0</v>
      </c>
      <c r="CF123" s="478">
        <f t="shared" ref="CF123" si="598">8*CF122</f>
        <v>0</v>
      </c>
      <c r="CG123" s="478">
        <f t="shared" ref="CG123" si="599">8*CG122</f>
        <v>0</v>
      </c>
      <c r="CH123" s="478">
        <f t="shared" ref="CH123" si="600">8*CH122</f>
        <v>0</v>
      </c>
      <c r="CI123" s="478">
        <f t="shared" ref="CI123" si="601">8*CI122</f>
        <v>0</v>
      </c>
      <c r="CJ123" s="478">
        <f t="shared" ref="CJ123" si="602">8*CJ122</f>
        <v>0</v>
      </c>
      <c r="CK123" s="478">
        <f t="shared" ref="CK123" si="603">8*CK122</f>
        <v>0</v>
      </c>
      <c r="CL123" s="478">
        <f t="shared" ref="CL123" si="604">8*CL122</f>
        <v>0</v>
      </c>
      <c r="CM123" s="478">
        <f t="shared" ref="CM123" si="605">8*CM122</f>
        <v>0</v>
      </c>
      <c r="CN123" s="478">
        <f t="shared" ref="CN123" si="606">8*CN122</f>
        <v>0</v>
      </c>
      <c r="CO123" s="478">
        <f t="shared" ref="CO123" si="607">8*CO122</f>
        <v>0</v>
      </c>
      <c r="CP123" s="478">
        <f t="shared" ref="CP123" si="608">8*CP122</f>
        <v>0</v>
      </c>
      <c r="CQ123" s="478">
        <f t="shared" ref="CQ123" si="609">8*CQ122</f>
        <v>0</v>
      </c>
      <c r="CR123" s="478">
        <f t="shared" ref="CR123" si="610">8*CR122</f>
        <v>0</v>
      </c>
      <c r="CS123" s="478">
        <f t="shared" ref="CS123" si="611">8*CS122</f>
        <v>0</v>
      </c>
      <c r="CT123" s="478">
        <f t="shared" ref="CT123" si="612">8*CT122</f>
        <v>0</v>
      </c>
      <c r="CU123" s="478">
        <f t="shared" ref="CU123" si="613">8*CU122</f>
        <v>0</v>
      </c>
      <c r="CV123" s="478">
        <f t="shared" ref="CV123" si="614">8*CV122</f>
        <v>0</v>
      </c>
      <c r="CW123" s="478">
        <f t="shared" ref="CW123" si="615">8*CW122</f>
        <v>0</v>
      </c>
      <c r="CX123" s="478">
        <f t="shared" ref="CX123" si="616">8*CX122</f>
        <v>0</v>
      </c>
      <c r="CY123" s="478">
        <f t="shared" ref="CY123" si="617">8*CY122</f>
        <v>0</v>
      </c>
      <c r="CZ123" s="478">
        <f t="shared" ref="CZ123" si="618">8*CZ122</f>
        <v>0</v>
      </c>
      <c r="DA123" s="478">
        <f t="shared" ref="DA123" si="619">8*DA122</f>
        <v>0</v>
      </c>
      <c r="DB123" s="478">
        <f t="shared" ref="DB123" si="620">8*DB122</f>
        <v>0</v>
      </c>
      <c r="DC123" s="478">
        <f t="shared" ref="DC123" si="621">8*DC122</f>
        <v>0</v>
      </c>
      <c r="DD123" s="478">
        <f t="shared" ref="DD123" si="622">8*DD122</f>
        <v>0</v>
      </c>
      <c r="DE123" s="478">
        <f t="shared" ref="DE123" si="623">8*DE122</f>
        <v>0</v>
      </c>
      <c r="DF123" s="478">
        <f t="shared" ref="DF123" si="624">8*DF122</f>
        <v>0</v>
      </c>
      <c r="DG123" s="478">
        <f t="shared" ref="DG123" si="625">8*DG122</f>
        <v>0</v>
      </c>
      <c r="DH123" s="478">
        <f t="shared" ref="DH123" si="626">8*DH122</f>
        <v>0</v>
      </c>
      <c r="DI123" s="478">
        <f t="shared" ref="DI123" si="627">8*DI122</f>
        <v>0</v>
      </c>
    </row>
    <row r="124" spans="1:113" ht="16.05" customHeight="1" outlineLevel="1" x14ac:dyDescent="0.3">
      <c r="A124" s="455" t="str">
        <f t="shared" si="54"/>
        <v>Imprimir</v>
      </c>
      <c r="B124" s="455"/>
      <c r="C124" s="481"/>
      <c r="D124" s="463" t="s">
        <v>763</v>
      </c>
      <c r="E124" s="482" t="s">
        <v>668</v>
      </c>
      <c r="F124" s="483" t="s">
        <v>669</v>
      </c>
      <c r="G124" s="484">
        <f>1.1*G122</f>
        <v>18.700000000000003</v>
      </c>
      <c r="H124" s="485">
        <v>3586.42</v>
      </c>
      <c r="I124" s="466">
        <f t="shared" ref="I124:I141" si="628">G124*H124</f>
        <v>67066.054000000018</v>
      </c>
      <c r="J124" s="259"/>
      <c r="K124" s="478">
        <f t="shared" ref="K124:K141" si="629">SUM(N124:BI124)</f>
        <v>0</v>
      </c>
      <c r="L124" s="466">
        <f t="shared" si="577"/>
        <v>0</v>
      </c>
      <c r="M124" s="257"/>
      <c r="N124" s="478"/>
      <c r="O124" s="478"/>
      <c r="P124" s="478"/>
      <c r="Q124" s="478"/>
      <c r="R124" s="478"/>
      <c r="S124" s="478"/>
      <c r="T124" s="478"/>
      <c r="U124" s="478"/>
      <c r="V124" s="478"/>
      <c r="W124" s="478"/>
      <c r="X124" s="478"/>
      <c r="Y124" s="478"/>
      <c r="Z124" s="478"/>
      <c r="AA124" s="478"/>
      <c r="AB124" s="478"/>
      <c r="AC124" s="478"/>
      <c r="AD124" s="478"/>
      <c r="AE124" s="478"/>
      <c r="AF124" s="478"/>
      <c r="AG124" s="478"/>
      <c r="AH124" s="478"/>
      <c r="AI124" s="478"/>
      <c r="AJ124" s="478"/>
      <c r="AK124" s="478"/>
      <c r="AL124" s="478"/>
      <c r="AM124" s="478"/>
      <c r="AN124" s="478"/>
      <c r="AO124" s="478"/>
      <c r="AP124" s="478"/>
      <c r="AQ124" s="478"/>
      <c r="AR124" s="478"/>
      <c r="AS124" s="478"/>
      <c r="AT124" s="478"/>
      <c r="AU124" s="478"/>
      <c r="AV124" s="478"/>
      <c r="AW124" s="478"/>
      <c r="AX124" s="478"/>
      <c r="AY124" s="478"/>
      <c r="AZ124" s="478"/>
      <c r="BA124" s="478"/>
      <c r="BB124" s="478"/>
      <c r="BC124" s="478"/>
      <c r="BD124" s="478"/>
      <c r="BE124" s="478"/>
      <c r="BF124" s="478"/>
      <c r="BG124" s="478"/>
      <c r="BH124" s="478"/>
      <c r="BI124" s="478"/>
      <c r="BJ124" s="245"/>
      <c r="BK124" s="477">
        <f t="shared" ref="BK124:BK141" si="630">IFERROR(BL124/I124,0)</f>
        <v>0.83422459893048106</v>
      </c>
      <c r="BL124" s="466">
        <f t="shared" ref="BL124:BL141" si="631">SUM(BN124:DJ124)*$H124</f>
        <v>55948.152000000002</v>
      </c>
      <c r="BM124" s="257"/>
      <c r="BN124" s="478">
        <f t="shared" ref="BN124:DI124" si="632">1.2*BN122</f>
        <v>0</v>
      </c>
      <c r="BO124" s="478">
        <f t="shared" si="632"/>
        <v>0</v>
      </c>
      <c r="BP124" s="478">
        <f t="shared" si="632"/>
        <v>0</v>
      </c>
      <c r="BQ124" s="478">
        <f t="shared" si="632"/>
        <v>0</v>
      </c>
      <c r="BR124" s="478">
        <f t="shared" si="632"/>
        <v>0</v>
      </c>
      <c r="BS124" s="478">
        <f t="shared" si="632"/>
        <v>0</v>
      </c>
      <c r="BT124" s="478">
        <f t="shared" si="632"/>
        <v>0</v>
      </c>
      <c r="BU124" s="478">
        <f t="shared" si="632"/>
        <v>0</v>
      </c>
      <c r="BV124" s="478">
        <f t="shared" si="632"/>
        <v>0</v>
      </c>
      <c r="BW124" s="478">
        <f t="shared" si="632"/>
        <v>0</v>
      </c>
      <c r="BX124" s="478">
        <f t="shared" si="632"/>
        <v>0</v>
      </c>
      <c r="BY124" s="478">
        <f t="shared" si="632"/>
        <v>0</v>
      </c>
      <c r="BZ124" s="478">
        <f t="shared" si="632"/>
        <v>15.6</v>
      </c>
      <c r="CA124" s="478">
        <f t="shared" si="632"/>
        <v>0</v>
      </c>
      <c r="CB124" s="478">
        <f t="shared" si="632"/>
        <v>0</v>
      </c>
      <c r="CC124" s="478">
        <f t="shared" si="632"/>
        <v>0</v>
      </c>
      <c r="CD124" s="478">
        <f t="shared" si="632"/>
        <v>0</v>
      </c>
      <c r="CE124" s="478">
        <f t="shared" si="632"/>
        <v>0</v>
      </c>
      <c r="CF124" s="478">
        <f t="shared" si="632"/>
        <v>0</v>
      </c>
      <c r="CG124" s="478">
        <f t="shared" si="632"/>
        <v>0</v>
      </c>
      <c r="CH124" s="478">
        <f t="shared" si="632"/>
        <v>0</v>
      </c>
      <c r="CI124" s="478">
        <f t="shared" si="632"/>
        <v>0</v>
      </c>
      <c r="CJ124" s="478">
        <f t="shared" si="632"/>
        <v>0</v>
      </c>
      <c r="CK124" s="478">
        <f t="shared" si="632"/>
        <v>0</v>
      </c>
      <c r="CL124" s="478">
        <f t="shared" si="632"/>
        <v>0</v>
      </c>
      <c r="CM124" s="478">
        <f t="shared" si="632"/>
        <v>0</v>
      </c>
      <c r="CN124" s="478">
        <f t="shared" si="632"/>
        <v>0</v>
      </c>
      <c r="CO124" s="478">
        <f t="shared" si="632"/>
        <v>0</v>
      </c>
      <c r="CP124" s="478">
        <f t="shared" si="632"/>
        <v>0</v>
      </c>
      <c r="CQ124" s="478">
        <f t="shared" si="632"/>
        <v>0</v>
      </c>
      <c r="CR124" s="478">
        <f t="shared" si="632"/>
        <v>0</v>
      </c>
      <c r="CS124" s="478">
        <f t="shared" si="632"/>
        <v>0</v>
      </c>
      <c r="CT124" s="478">
        <f t="shared" si="632"/>
        <v>0</v>
      </c>
      <c r="CU124" s="478">
        <f t="shared" si="632"/>
        <v>0</v>
      </c>
      <c r="CV124" s="478">
        <f t="shared" si="632"/>
        <v>0</v>
      </c>
      <c r="CW124" s="478">
        <f t="shared" si="632"/>
        <v>0</v>
      </c>
      <c r="CX124" s="478">
        <f t="shared" si="632"/>
        <v>0</v>
      </c>
      <c r="CY124" s="478">
        <f t="shared" si="632"/>
        <v>0</v>
      </c>
      <c r="CZ124" s="478">
        <f t="shared" si="632"/>
        <v>0</v>
      </c>
      <c r="DA124" s="478">
        <f t="shared" si="632"/>
        <v>0</v>
      </c>
      <c r="DB124" s="478">
        <f t="shared" si="632"/>
        <v>0</v>
      </c>
      <c r="DC124" s="478">
        <f t="shared" si="632"/>
        <v>0</v>
      </c>
      <c r="DD124" s="478">
        <f t="shared" si="632"/>
        <v>0</v>
      </c>
      <c r="DE124" s="478">
        <f t="shared" si="632"/>
        <v>0</v>
      </c>
      <c r="DF124" s="478">
        <f t="shared" si="632"/>
        <v>0</v>
      </c>
      <c r="DG124" s="478">
        <f t="shared" si="632"/>
        <v>0</v>
      </c>
      <c r="DH124" s="478">
        <f t="shared" si="632"/>
        <v>0</v>
      </c>
      <c r="DI124" s="478">
        <f t="shared" si="632"/>
        <v>0</v>
      </c>
    </row>
    <row r="125" spans="1:113" ht="16.05" customHeight="1" outlineLevel="1" x14ac:dyDescent="0.3">
      <c r="A125" s="455" t="str">
        <f t="shared" si="54"/>
        <v>Imprimir</v>
      </c>
      <c r="B125" s="455"/>
      <c r="C125" s="481"/>
      <c r="D125" s="463" t="s">
        <v>764</v>
      </c>
      <c r="E125" s="482" t="s">
        <v>671</v>
      </c>
      <c r="F125" s="483" t="s">
        <v>669</v>
      </c>
      <c r="G125" s="484">
        <f>0.04*G122</f>
        <v>0.68</v>
      </c>
      <c r="H125" s="485">
        <v>6658.98</v>
      </c>
      <c r="I125" s="466">
        <f t="shared" si="628"/>
        <v>4528.1063999999997</v>
      </c>
      <c r="J125" s="259"/>
      <c r="K125" s="478">
        <f t="shared" si="629"/>
        <v>0</v>
      </c>
      <c r="L125" s="466">
        <f t="shared" si="577"/>
        <v>0</v>
      </c>
      <c r="M125" s="257"/>
      <c r="N125" s="478"/>
      <c r="O125" s="478"/>
      <c r="P125" s="478"/>
      <c r="Q125" s="478"/>
      <c r="R125" s="478"/>
      <c r="S125" s="478"/>
      <c r="T125" s="478"/>
      <c r="U125" s="478"/>
      <c r="V125" s="478"/>
      <c r="W125" s="478"/>
      <c r="X125" s="478"/>
      <c r="Y125" s="478"/>
      <c r="Z125" s="478"/>
      <c r="AA125" s="478"/>
      <c r="AB125" s="478"/>
      <c r="AC125" s="478"/>
      <c r="AD125" s="478"/>
      <c r="AE125" s="478"/>
      <c r="AF125" s="478"/>
      <c r="AG125" s="478"/>
      <c r="AH125" s="478"/>
      <c r="AI125" s="478"/>
      <c r="AJ125" s="478"/>
      <c r="AK125" s="478"/>
      <c r="AL125" s="478"/>
      <c r="AM125" s="478"/>
      <c r="AN125" s="478"/>
      <c r="AO125" s="478"/>
      <c r="AP125" s="478"/>
      <c r="AQ125" s="478"/>
      <c r="AR125" s="478"/>
      <c r="AS125" s="478"/>
      <c r="AT125" s="478"/>
      <c r="AU125" s="478"/>
      <c r="AV125" s="478"/>
      <c r="AW125" s="478"/>
      <c r="AX125" s="478"/>
      <c r="AY125" s="478"/>
      <c r="AZ125" s="478"/>
      <c r="BA125" s="478"/>
      <c r="BB125" s="478"/>
      <c r="BC125" s="478"/>
      <c r="BD125" s="478"/>
      <c r="BE125" s="478"/>
      <c r="BF125" s="478"/>
      <c r="BG125" s="478"/>
      <c r="BH125" s="478"/>
      <c r="BI125" s="478"/>
      <c r="BJ125" s="245"/>
      <c r="BK125" s="477">
        <f t="shared" si="630"/>
        <v>0.76470588235294112</v>
      </c>
      <c r="BL125" s="466">
        <f t="shared" si="631"/>
        <v>3462.6695999999997</v>
      </c>
      <c r="BM125" s="257"/>
      <c r="BN125" s="478">
        <f t="shared" ref="BN125:DI125" si="633">0.04*BN122</f>
        <v>0</v>
      </c>
      <c r="BO125" s="478">
        <f t="shared" si="633"/>
        <v>0</v>
      </c>
      <c r="BP125" s="478">
        <f t="shared" si="633"/>
        <v>0</v>
      </c>
      <c r="BQ125" s="478">
        <f t="shared" si="633"/>
        <v>0</v>
      </c>
      <c r="BR125" s="478">
        <f t="shared" si="633"/>
        <v>0</v>
      </c>
      <c r="BS125" s="478">
        <f t="shared" si="633"/>
        <v>0</v>
      </c>
      <c r="BT125" s="478">
        <f t="shared" si="633"/>
        <v>0</v>
      </c>
      <c r="BU125" s="478">
        <f t="shared" si="633"/>
        <v>0</v>
      </c>
      <c r="BV125" s="478">
        <f t="shared" si="633"/>
        <v>0</v>
      </c>
      <c r="BW125" s="478">
        <f t="shared" si="633"/>
        <v>0</v>
      </c>
      <c r="BX125" s="478">
        <f t="shared" si="633"/>
        <v>0</v>
      </c>
      <c r="BY125" s="478">
        <f t="shared" si="633"/>
        <v>0</v>
      </c>
      <c r="BZ125" s="478">
        <f t="shared" si="633"/>
        <v>0.52</v>
      </c>
      <c r="CA125" s="478">
        <f t="shared" si="633"/>
        <v>0</v>
      </c>
      <c r="CB125" s="478">
        <f t="shared" si="633"/>
        <v>0</v>
      </c>
      <c r="CC125" s="478">
        <f t="shared" si="633"/>
        <v>0</v>
      </c>
      <c r="CD125" s="478">
        <f t="shared" si="633"/>
        <v>0</v>
      </c>
      <c r="CE125" s="478">
        <f t="shared" si="633"/>
        <v>0</v>
      </c>
      <c r="CF125" s="478">
        <f t="shared" si="633"/>
        <v>0</v>
      </c>
      <c r="CG125" s="478">
        <f t="shared" si="633"/>
        <v>0</v>
      </c>
      <c r="CH125" s="478">
        <f t="shared" si="633"/>
        <v>0</v>
      </c>
      <c r="CI125" s="478">
        <f t="shared" si="633"/>
        <v>0</v>
      </c>
      <c r="CJ125" s="478">
        <f t="shared" si="633"/>
        <v>0</v>
      </c>
      <c r="CK125" s="478">
        <f t="shared" si="633"/>
        <v>0</v>
      </c>
      <c r="CL125" s="478">
        <f t="shared" si="633"/>
        <v>0</v>
      </c>
      <c r="CM125" s="478">
        <f t="shared" si="633"/>
        <v>0</v>
      </c>
      <c r="CN125" s="478">
        <f t="shared" si="633"/>
        <v>0</v>
      </c>
      <c r="CO125" s="478">
        <f t="shared" si="633"/>
        <v>0</v>
      </c>
      <c r="CP125" s="478">
        <f t="shared" si="633"/>
        <v>0</v>
      </c>
      <c r="CQ125" s="478">
        <f t="shared" si="633"/>
        <v>0</v>
      </c>
      <c r="CR125" s="478">
        <f t="shared" si="633"/>
        <v>0</v>
      </c>
      <c r="CS125" s="478">
        <f t="shared" si="633"/>
        <v>0</v>
      </c>
      <c r="CT125" s="478">
        <f t="shared" si="633"/>
        <v>0</v>
      </c>
      <c r="CU125" s="478">
        <f t="shared" si="633"/>
        <v>0</v>
      </c>
      <c r="CV125" s="478">
        <f t="shared" si="633"/>
        <v>0</v>
      </c>
      <c r="CW125" s="478">
        <f t="shared" si="633"/>
        <v>0</v>
      </c>
      <c r="CX125" s="478">
        <f t="shared" si="633"/>
        <v>0</v>
      </c>
      <c r="CY125" s="478">
        <f t="shared" si="633"/>
        <v>0</v>
      </c>
      <c r="CZ125" s="478">
        <f t="shared" si="633"/>
        <v>0</v>
      </c>
      <c r="DA125" s="478">
        <f t="shared" si="633"/>
        <v>0</v>
      </c>
      <c r="DB125" s="478">
        <f t="shared" si="633"/>
        <v>0</v>
      </c>
      <c r="DC125" s="478">
        <f t="shared" si="633"/>
        <v>0</v>
      </c>
      <c r="DD125" s="478">
        <f t="shared" si="633"/>
        <v>0</v>
      </c>
      <c r="DE125" s="478">
        <f t="shared" si="633"/>
        <v>0</v>
      </c>
      <c r="DF125" s="478">
        <f t="shared" si="633"/>
        <v>0</v>
      </c>
      <c r="DG125" s="478">
        <f t="shared" si="633"/>
        <v>0</v>
      </c>
      <c r="DH125" s="478">
        <f t="shared" si="633"/>
        <v>0</v>
      </c>
      <c r="DI125" s="478">
        <f t="shared" si="633"/>
        <v>0</v>
      </c>
    </row>
    <row r="126" spans="1:113" ht="16.05" customHeight="1" outlineLevel="1" x14ac:dyDescent="0.3">
      <c r="A126" s="455" t="str">
        <f t="shared" si="54"/>
        <v>Imprimir</v>
      </c>
      <c r="B126" s="455"/>
      <c r="C126" s="481"/>
      <c r="D126" s="463" t="s">
        <v>765</v>
      </c>
      <c r="E126" s="482" t="s">
        <v>673</v>
      </c>
      <c r="F126" s="483" t="s">
        <v>669</v>
      </c>
      <c r="G126" s="484">
        <f>1.1*G122</f>
        <v>18.700000000000003</v>
      </c>
      <c r="H126" s="485">
        <v>2123.23</v>
      </c>
      <c r="I126" s="466">
        <f t="shared" si="628"/>
        <v>39704.401000000005</v>
      </c>
      <c r="J126" s="259"/>
      <c r="K126" s="478">
        <f t="shared" si="629"/>
        <v>0</v>
      </c>
      <c r="L126" s="466">
        <f t="shared" si="577"/>
        <v>0</v>
      </c>
      <c r="M126" s="257"/>
      <c r="N126" s="478"/>
      <c r="O126" s="478"/>
      <c r="P126" s="478"/>
      <c r="Q126" s="478"/>
      <c r="R126" s="478"/>
      <c r="S126" s="478"/>
      <c r="T126" s="478"/>
      <c r="U126" s="478"/>
      <c r="V126" s="478"/>
      <c r="W126" s="478"/>
      <c r="X126" s="478"/>
      <c r="Y126" s="478"/>
      <c r="Z126" s="478"/>
      <c r="AA126" s="478"/>
      <c r="AB126" s="478"/>
      <c r="AC126" s="478"/>
      <c r="AD126" s="478"/>
      <c r="AE126" s="478"/>
      <c r="AF126" s="478"/>
      <c r="AG126" s="478"/>
      <c r="AH126" s="478"/>
      <c r="AI126" s="478"/>
      <c r="AJ126" s="478"/>
      <c r="AK126" s="478"/>
      <c r="AL126" s="478"/>
      <c r="AM126" s="478"/>
      <c r="AN126" s="478"/>
      <c r="AO126" s="478"/>
      <c r="AP126" s="478"/>
      <c r="AQ126" s="478"/>
      <c r="AR126" s="478"/>
      <c r="AS126" s="478"/>
      <c r="AT126" s="478"/>
      <c r="AU126" s="478"/>
      <c r="AV126" s="478"/>
      <c r="AW126" s="478"/>
      <c r="AX126" s="478"/>
      <c r="AY126" s="478"/>
      <c r="AZ126" s="478"/>
      <c r="BA126" s="478"/>
      <c r="BB126" s="478"/>
      <c r="BC126" s="478"/>
      <c r="BD126" s="478"/>
      <c r="BE126" s="478"/>
      <c r="BF126" s="478"/>
      <c r="BG126" s="478"/>
      <c r="BH126" s="478"/>
      <c r="BI126" s="478"/>
      <c r="BJ126" s="245"/>
      <c r="BK126" s="477">
        <f t="shared" si="630"/>
        <v>0.83422459893048118</v>
      </c>
      <c r="BL126" s="466">
        <f t="shared" si="631"/>
        <v>33122.387999999999</v>
      </c>
      <c r="BM126" s="257"/>
      <c r="BN126" s="478">
        <f t="shared" ref="BN126:DI126" si="634">1.2*BN122</f>
        <v>0</v>
      </c>
      <c r="BO126" s="478">
        <f t="shared" si="634"/>
        <v>0</v>
      </c>
      <c r="BP126" s="478">
        <f t="shared" si="634"/>
        <v>0</v>
      </c>
      <c r="BQ126" s="478">
        <f t="shared" si="634"/>
        <v>0</v>
      </c>
      <c r="BR126" s="478">
        <f t="shared" si="634"/>
        <v>0</v>
      </c>
      <c r="BS126" s="478">
        <f t="shared" si="634"/>
        <v>0</v>
      </c>
      <c r="BT126" s="478">
        <f t="shared" si="634"/>
        <v>0</v>
      </c>
      <c r="BU126" s="478">
        <f t="shared" si="634"/>
        <v>0</v>
      </c>
      <c r="BV126" s="478">
        <f t="shared" si="634"/>
        <v>0</v>
      </c>
      <c r="BW126" s="478">
        <f t="shared" si="634"/>
        <v>0</v>
      </c>
      <c r="BX126" s="478">
        <f t="shared" si="634"/>
        <v>0</v>
      </c>
      <c r="BY126" s="478">
        <f t="shared" si="634"/>
        <v>0</v>
      </c>
      <c r="BZ126" s="478">
        <f t="shared" si="634"/>
        <v>15.6</v>
      </c>
      <c r="CA126" s="478">
        <f t="shared" si="634"/>
        <v>0</v>
      </c>
      <c r="CB126" s="478">
        <f t="shared" si="634"/>
        <v>0</v>
      </c>
      <c r="CC126" s="478">
        <f t="shared" si="634"/>
        <v>0</v>
      </c>
      <c r="CD126" s="478">
        <f t="shared" si="634"/>
        <v>0</v>
      </c>
      <c r="CE126" s="478">
        <f t="shared" si="634"/>
        <v>0</v>
      </c>
      <c r="CF126" s="478">
        <f t="shared" si="634"/>
        <v>0</v>
      </c>
      <c r="CG126" s="478">
        <f t="shared" si="634"/>
        <v>0</v>
      </c>
      <c r="CH126" s="478">
        <f t="shared" si="634"/>
        <v>0</v>
      </c>
      <c r="CI126" s="478">
        <f t="shared" si="634"/>
        <v>0</v>
      </c>
      <c r="CJ126" s="478">
        <f t="shared" si="634"/>
        <v>0</v>
      </c>
      <c r="CK126" s="478">
        <f t="shared" si="634"/>
        <v>0</v>
      </c>
      <c r="CL126" s="478">
        <f t="shared" si="634"/>
        <v>0</v>
      </c>
      <c r="CM126" s="478">
        <f t="shared" si="634"/>
        <v>0</v>
      </c>
      <c r="CN126" s="478">
        <f t="shared" si="634"/>
        <v>0</v>
      </c>
      <c r="CO126" s="478">
        <f t="shared" si="634"/>
        <v>0</v>
      </c>
      <c r="CP126" s="478">
        <f t="shared" si="634"/>
        <v>0</v>
      </c>
      <c r="CQ126" s="478">
        <f t="shared" si="634"/>
        <v>0</v>
      </c>
      <c r="CR126" s="478">
        <f t="shared" si="634"/>
        <v>0</v>
      </c>
      <c r="CS126" s="478">
        <f t="shared" si="634"/>
        <v>0</v>
      </c>
      <c r="CT126" s="478">
        <f t="shared" si="634"/>
        <v>0</v>
      </c>
      <c r="CU126" s="478">
        <f t="shared" si="634"/>
        <v>0</v>
      </c>
      <c r="CV126" s="478">
        <f t="shared" si="634"/>
        <v>0</v>
      </c>
      <c r="CW126" s="478">
        <f t="shared" si="634"/>
        <v>0</v>
      </c>
      <c r="CX126" s="478">
        <f t="shared" si="634"/>
        <v>0</v>
      </c>
      <c r="CY126" s="478">
        <f t="shared" si="634"/>
        <v>0</v>
      </c>
      <c r="CZ126" s="478">
        <f t="shared" si="634"/>
        <v>0</v>
      </c>
      <c r="DA126" s="478">
        <f t="shared" si="634"/>
        <v>0</v>
      </c>
      <c r="DB126" s="478">
        <f t="shared" si="634"/>
        <v>0</v>
      </c>
      <c r="DC126" s="478">
        <f t="shared" si="634"/>
        <v>0</v>
      </c>
      <c r="DD126" s="478">
        <f t="shared" si="634"/>
        <v>0</v>
      </c>
      <c r="DE126" s="478">
        <f t="shared" si="634"/>
        <v>0</v>
      </c>
      <c r="DF126" s="478">
        <f t="shared" si="634"/>
        <v>0</v>
      </c>
      <c r="DG126" s="478">
        <f t="shared" si="634"/>
        <v>0</v>
      </c>
      <c r="DH126" s="478">
        <f t="shared" si="634"/>
        <v>0</v>
      </c>
      <c r="DI126" s="478">
        <f t="shared" si="634"/>
        <v>0</v>
      </c>
    </row>
    <row r="127" spans="1:113" ht="16.05" customHeight="1" outlineLevel="1" x14ac:dyDescent="0.3">
      <c r="A127" s="455" t="str">
        <f t="shared" si="54"/>
        <v>Imprimir</v>
      </c>
      <c r="B127" s="455"/>
      <c r="C127" s="481"/>
      <c r="D127" s="463" t="s">
        <v>766</v>
      </c>
      <c r="E127" s="482" t="s">
        <v>675</v>
      </c>
      <c r="F127" s="483" t="s">
        <v>666</v>
      </c>
      <c r="G127" s="484">
        <f>1*G122</f>
        <v>17</v>
      </c>
      <c r="H127" s="485">
        <v>131.16</v>
      </c>
      <c r="I127" s="466">
        <f t="shared" si="628"/>
        <v>2229.7199999999998</v>
      </c>
      <c r="J127" s="259"/>
      <c r="K127" s="478">
        <f t="shared" si="629"/>
        <v>0</v>
      </c>
      <c r="L127" s="466">
        <f t="shared" si="577"/>
        <v>0</v>
      </c>
      <c r="M127" s="257"/>
      <c r="N127" s="478"/>
      <c r="O127" s="478"/>
      <c r="P127" s="478"/>
      <c r="Q127" s="478"/>
      <c r="R127" s="478"/>
      <c r="S127" s="478"/>
      <c r="T127" s="478"/>
      <c r="U127" s="478"/>
      <c r="V127" s="478"/>
      <c r="W127" s="478"/>
      <c r="X127" s="478"/>
      <c r="Y127" s="478"/>
      <c r="Z127" s="478"/>
      <c r="AA127" s="478"/>
      <c r="AB127" s="478"/>
      <c r="AC127" s="478"/>
      <c r="AD127" s="478"/>
      <c r="AE127" s="478"/>
      <c r="AF127" s="478"/>
      <c r="AG127" s="478"/>
      <c r="AH127" s="478"/>
      <c r="AI127" s="478"/>
      <c r="AJ127" s="478"/>
      <c r="AK127" s="478"/>
      <c r="AL127" s="478"/>
      <c r="AM127" s="478"/>
      <c r="AN127" s="478"/>
      <c r="AO127" s="478"/>
      <c r="AP127" s="478"/>
      <c r="AQ127" s="478"/>
      <c r="AR127" s="478"/>
      <c r="AS127" s="478"/>
      <c r="AT127" s="478"/>
      <c r="AU127" s="478"/>
      <c r="AV127" s="478"/>
      <c r="AW127" s="478"/>
      <c r="AX127" s="478"/>
      <c r="AY127" s="478"/>
      <c r="AZ127" s="478"/>
      <c r="BA127" s="478"/>
      <c r="BB127" s="478"/>
      <c r="BC127" s="478"/>
      <c r="BD127" s="478"/>
      <c r="BE127" s="478"/>
      <c r="BF127" s="478"/>
      <c r="BG127" s="478"/>
      <c r="BH127" s="478"/>
      <c r="BI127" s="478"/>
      <c r="BJ127" s="245"/>
      <c r="BK127" s="477">
        <f t="shared" si="630"/>
        <v>0.76470588235294124</v>
      </c>
      <c r="BL127" s="466">
        <f t="shared" si="631"/>
        <v>1705.08</v>
      </c>
      <c r="BM127" s="257"/>
      <c r="BN127" s="478">
        <f t="shared" ref="BN127:DI127" si="635">1*BN122</f>
        <v>0</v>
      </c>
      <c r="BO127" s="478">
        <f t="shared" si="635"/>
        <v>0</v>
      </c>
      <c r="BP127" s="478">
        <f t="shared" si="635"/>
        <v>0</v>
      </c>
      <c r="BQ127" s="478">
        <f t="shared" si="635"/>
        <v>0</v>
      </c>
      <c r="BR127" s="478">
        <f t="shared" si="635"/>
        <v>0</v>
      </c>
      <c r="BS127" s="478">
        <f t="shared" si="635"/>
        <v>0</v>
      </c>
      <c r="BT127" s="478">
        <f t="shared" si="635"/>
        <v>0</v>
      </c>
      <c r="BU127" s="478">
        <f t="shared" si="635"/>
        <v>0</v>
      </c>
      <c r="BV127" s="478">
        <f t="shared" si="635"/>
        <v>0</v>
      </c>
      <c r="BW127" s="478">
        <f t="shared" si="635"/>
        <v>0</v>
      </c>
      <c r="BX127" s="478">
        <f t="shared" si="635"/>
        <v>0</v>
      </c>
      <c r="BY127" s="478">
        <f t="shared" si="635"/>
        <v>0</v>
      </c>
      <c r="BZ127" s="478">
        <f t="shared" si="635"/>
        <v>13</v>
      </c>
      <c r="CA127" s="478">
        <f t="shared" si="635"/>
        <v>0</v>
      </c>
      <c r="CB127" s="478">
        <f t="shared" si="635"/>
        <v>0</v>
      </c>
      <c r="CC127" s="478">
        <f t="shared" si="635"/>
        <v>0</v>
      </c>
      <c r="CD127" s="478">
        <f t="shared" si="635"/>
        <v>0</v>
      </c>
      <c r="CE127" s="478">
        <f t="shared" si="635"/>
        <v>0</v>
      </c>
      <c r="CF127" s="478">
        <f t="shared" si="635"/>
        <v>0</v>
      </c>
      <c r="CG127" s="478">
        <f t="shared" si="635"/>
        <v>0</v>
      </c>
      <c r="CH127" s="478">
        <f t="shared" si="635"/>
        <v>0</v>
      </c>
      <c r="CI127" s="478">
        <f t="shared" si="635"/>
        <v>0</v>
      </c>
      <c r="CJ127" s="478">
        <f t="shared" si="635"/>
        <v>0</v>
      </c>
      <c r="CK127" s="478">
        <f t="shared" si="635"/>
        <v>0</v>
      </c>
      <c r="CL127" s="478">
        <f t="shared" si="635"/>
        <v>0</v>
      </c>
      <c r="CM127" s="478">
        <f t="shared" si="635"/>
        <v>0</v>
      </c>
      <c r="CN127" s="478">
        <f t="shared" si="635"/>
        <v>0</v>
      </c>
      <c r="CO127" s="478">
        <f t="shared" si="635"/>
        <v>0</v>
      </c>
      <c r="CP127" s="478">
        <f t="shared" si="635"/>
        <v>0</v>
      </c>
      <c r="CQ127" s="478">
        <f t="shared" si="635"/>
        <v>0</v>
      </c>
      <c r="CR127" s="478">
        <f t="shared" si="635"/>
        <v>0</v>
      </c>
      <c r="CS127" s="478">
        <f t="shared" si="635"/>
        <v>0</v>
      </c>
      <c r="CT127" s="478">
        <f t="shared" si="635"/>
        <v>0</v>
      </c>
      <c r="CU127" s="478">
        <f t="shared" si="635"/>
        <v>0</v>
      </c>
      <c r="CV127" s="478">
        <f t="shared" si="635"/>
        <v>0</v>
      </c>
      <c r="CW127" s="478">
        <f t="shared" si="635"/>
        <v>0</v>
      </c>
      <c r="CX127" s="478">
        <f t="shared" si="635"/>
        <v>0</v>
      </c>
      <c r="CY127" s="478">
        <f t="shared" si="635"/>
        <v>0</v>
      </c>
      <c r="CZ127" s="478">
        <f t="shared" si="635"/>
        <v>0</v>
      </c>
      <c r="DA127" s="478">
        <f t="shared" si="635"/>
        <v>0</v>
      </c>
      <c r="DB127" s="478">
        <f t="shared" si="635"/>
        <v>0</v>
      </c>
      <c r="DC127" s="478">
        <f t="shared" si="635"/>
        <v>0</v>
      </c>
      <c r="DD127" s="478">
        <f t="shared" si="635"/>
        <v>0</v>
      </c>
      <c r="DE127" s="478">
        <f t="shared" si="635"/>
        <v>0</v>
      </c>
      <c r="DF127" s="478">
        <f t="shared" si="635"/>
        <v>0</v>
      </c>
      <c r="DG127" s="478">
        <f t="shared" si="635"/>
        <v>0</v>
      </c>
      <c r="DH127" s="478">
        <f t="shared" si="635"/>
        <v>0</v>
      </c>
      <c r="DI127" s="478">
        <f t="shared" si="635"/>
        <v>0</v>
      </c>
    </row>
    <row r="128" spans="1:113" ht="16.05" customHeight="1" outlineLevel="1" x14ac:dyDescent="0.3">
      <c r="A128" s="455" t="str">
        <f t="shared" si="54"/>
        <v>Imprimir</v>
      </c>
      <c r="B128" s="455"/>
      <c r="C128" s="481"/>
      <c r="D128" s="463" t="s">
        <v>767</v>
      </c>
      <c r="E128" s="482" t="s">
        <v>677</v>
      </c>
      <c r="F128" s="483" t="s">
        <v>678</v>
      </c>
      <c r="G128" s="484">
        <f>0.44*G122</f>
        <v>7.48</v>
      </c>
      <c r="H128" s="485">
        <v>250</v>
      </c>
      <c r="I128" s="466">
        <f t="shared" si="628"/>
        <v>1870</v>
      </c>
      <c r="J128" s="259"/>
      <c r="K128" s="478">
        <f t="shared" si="629"/>
        <v>0</v>
      </c>
      <c r="L128" s="466">
        <f t="shared" si="577"/>
        <v>0</v>
      </c>
      <c r="M128" s="257"/>
      <c r="N128" s="478"/>
      <c r="O128" s="478"/>
      <c r="P128" s="478"/>
      <c r="Q128" s="478"/>
      <c r="R128" s="478"/>
      <c r="S128" s="478"/>
      <c r="T128" s="478"/>
      <c r="U128" s="478"/>
      <c r="V128" s="478"/>
      <c r="W128" s="478"/>
      <c r="X128" s="478"/>
      <c r="Y128" s="478"/>
      <c r="Z128" s="478"/>
      <c r="AA128" s="478"/>
      <c r="AB128" s="478"/>
      <c r="AC128" s="478"/>
      <c r="AD128" s="478"/>
      <c r="AE128" s="478"/>
      <c r="AF128" s="478"/>
      <c r="AG128" s="478"/>
      <c r="AH128" s="478"/>
      <c r="AI128" s="478"/>
      <c r="AJ128" s="478"/>
      <c r="AK128" s="478"/>
      <c r="AL128" s="478"/>
      <c r="AM128" s="478"/>
      <c r="AN128" s="478"/>
      <c r="AO128" s="478"/>
      <c r="AP128" s="478"/>
      <c r="AQ128" s="478"/>
      <c r="AR128" s="478"/>
      <c r="AS128" s="478"/>
      <c r="AT128" s="478"/>
      <c r="AU128" s="478"/>
      <c r="AV128" s="478"/>
      <c r="AW128" s="478"/>
      <c r="AX128" s="478"/>
      <c r="AY128" s="478"/>
      <c r="AZ128" s="478"/>
      <c r="BA128" s="478"/>
      <c r="BB128" s="478"/>
      <c r="BC128" s="478"/>
      <c r="BD128" s="478"/>
      <c r="BE128" s="478"/>
      <c r="BF128" s="478"/>
      <c r="BG128" s="478"/>
      <c r="BH128" s="478"/>
      <c r="BI128" s="478"/>
      <c r="BJ128" s="245"/>
      <c r="BK128" s="477">
        <f t="shared" si="630"/>
        <v>0.76470588235294112</v>
      </c>
      <c r="BL128" s="466">
        <f t="shared" si="631"/>
        <v>1430</v>
      </c>
      <c r="BM128" s="257"/>
      <c r="BN128" s="478">
        <f t="shared" ref="BN128:DI128" si="636">0.44*BN122</f>
        <v>0</v>
      </c>
      <c r="BO128" s="478">
        <f t="shared" si="636"/>
        <v>0</v>
      </c>
      <c r="BP128" s="478">
        <f t="shared" si="636"/>
        <v>0</v>
      </c>
      <c r="BQ128" s="478">
        <f t="shared" si="636"/>
        <v>0</v>
      </c>
      <c r="BR128" s="478">
        <f t="shared" si="636"/>
        <v>0</v>
      </c>
      <c r="BS128" s="478">
        <f t="shared" si="636"/>
        <v>0</v>
      </c>
      <c r="BT128" s="478">
        <f t="shared" si="636"/>
        <v>0</v>
      </c>
      <c r="BU128" s="478">
        <f t="shared" si="636"/>
        <v>0</v>
      </c>
      <c r="BV128" s="478">
        <f t="shared" si="636"/>
        <v>0</v>
      </c>
      <c r="BW128" s="478">
        <f t="shared" si="636"/>
        <v>0</v>
      </c>
      <c r="BX128" s="478">
        <f t="shared" si="636"/>
        <v>0</v>
      </c>
      <c r="BY128" s="478">
        <f t="shared" si="636"/>
        <v>0</v>
      </c>
      <c r="BZ128" s="478">
        <f t="shared" si="636"/>
        <v>5.72</v>
      </c>
      <c r="CA128" s="478">
        <f t="shared" si="636"/>
        <v>0</v>
      </c>
      <c r="CB128" s="478">
        <f t="shared" si="636"/>
        <v>0</v>
      </c>
      <c r="CC128" s="478">
        <f t="shared" si="636"/>
        <v>0</v>
      </c>
      <c r="CD128" s="478">
        <f t="shared" si="636"/>
        <v>0</v>
      </c>
      <c r="CE128" s="478">
        <f t="shared" si="636"/>
        <v>0</v>
      </c>
      <c r="CF128" s="478">
        <f t="shared" si="636"/>
        <v>0</v>
      </c>
      <c r="CG128" s="478">
        <f t="shared" si="636"/>
        <v>0</v>
      </c>
      <c r="CH128" s="478">
        <f t="shared" si="636"/>
        <v>0</v>
      </c>
      <c r="CI128" s="478">
        <f t="shared" si="636"/>
        <v>0</v>
      </c>
      <c r="CJ128" s="478">
        <f t="shared" si="636"/>
        <v>0</v>
      </c>
      <c r="CK128" s="478">
        <f t="shared" si="636"/>
        <v>0</v>
      </c>
      <c r="CL128" s="478">
        <f t="shared" si="636"/>
        <v>0</v>
      </c>
      <c r="CM128" s="478">
        <f t="shared" si="636"/>
        <v>0</v>
      </c>
      <c r="CN128" s="478">
        <f t="shared" si="636"/>
        <v>0</v>
      </c>
      <c r="CO128" s="478">
        <f t="shared" si="636"/>
        <v>0</v>
      </c>
      <c r="CP128" s="478">
        <f t="shared" si="636"/>
        <v>0</v>
      </c>
      <c r="CQ128" s="478">
        <f t="shared" si="636"/>
        <v>0</v>
      </c>
      <c r="CR128" s="478">
        <f t="shared" si="636"/>
        <v>0</v>
      </c>
      <c r="CS128" s="478">
        <f t="shared" si="636"/>
        <v>0</v>
      </c>
      <c r="CT128" s="478">
        <f t="shared" si="636"/>
        <v>0</v>
      </c>
      <c r="CU128" s="478">
        <f t="shared" si="636"/>
        <v>0</v>
      </c>
      <c r="CV128" s="478">
        <f t="shared" si="636"/>
        <v>0</v>
      </c>
      <c r="CW128" s="478">
        <f t="shared" si="636"/>
        <v>0</v>
      </c>
      <c r="CX128" s="478">
        <f t="shared" si="636"/>
        <v>0</v>
      </c>
      <c r="CY128" s="478">
        <f t="shared" si="636"/>
        <v>0</v>
      </c>
      <c r="CZ128" s="478">
        <f t="shared" si="636"/>
        <v>0</v>
      </c>
      <c r="DA128" s="478">
        <f t="shared" si="636"/>
        <v>0</v>
      </c>
      <c r="DB128" s="478">
        <f t="shared" si="636"/>
        <v>0</v>
      </c>
      <c r="DC128" s="478">
        <f t="shared" si="636"/>
        <v>0</v>
      </c>
      <c r="DD128" s="478">
        <f t="shared" si="636"/>
        <v>0</v>
      </c>
      <c r="DE128" s="478">
        <f t="shared" si="636"/>
        <v>0</v>
      </c>
      <c r="DF128" s="478">
        <f t="shared" si="636"/>
        <v>0</v>
      </c>
      <c r="DG128" s="478">
        <f t="shared" si="636"/>
        <v>0</v>
      </c>
      <c r="DH128" s="478">
        <f t="shared" si="636"/>
        <v>0</v>
      </c>
      <c r="DI128" s="478">
        <f t="shared" si="636"/>
        <v>0</v>
      </c>
    </row>
    <row r="129" spans="1:113" ht="16.05" customHeight="1" outlineLevel="1" x14ac:dyDescent="0.3">
      <c r="A129" s="455" t="str">
        <f t="shared" si="54"/>
        <v>Imprimir</v>
      </c>
      <c r="B129" s="455"/>
      <c r="C129" s="481"/>
      <c r="D129" s="463" t="s">
        <v>768</v>
      </c>
      <c r="E129" s="482" t="s">
        <v>680</v>
      </c>
      <c r="F129" s="483" t="s">
        <v>681</v>
      </c>
      <c r="G129" s="484">
        <f>1*G122</f>
        <v>17</v>
      </c>
      <c r="H129" s="485">
        <v>21667.17</v>
      </c>
      <c r="I129" s="466">
        <f t="shared" si="628"/>
        <v>368341.88999999996</v>
      </c>
      <c r="J129" s="259"/>
      <c r="K129" s="478">
        <f t="shared" si="629"/>
        <v>0</v>
      </c>
      <c r="L129" s="466">
        <f t="shared" si="577"/>
        <v>0</v>
      </c>
      <c r="M129" s="257"/>
      <c r="N129" s="478"/>
      <c r="O129" s="478"/>
      <c r="P129" s="478"/>
      <c r="Q129" s="478"/>
      <c r="R129" s="478"/>
      <c r="S129" s="478"/>
      <c r="T129" s="478"/>
      <c r="U129" s="478"/>
      <c r="V129" s="478"/>
      <c r="W129" s="478"/>
      <c r="X129" s="478"/>
      <c r="Y129" s="478"/>
      <c r="Z129" s="478"/>
      <c r="AA129" s="478"/>
      <c r="AB129" s="478"/>
      <c r="AC129" s="478"/>
      <c r="AD129" s="478"/>
      <c r="AE129" s="478"/>
      <c r="AF129" s="478"/>
      <c r="AG129" s="478"/>
      <c r="AH129" s="478"/>
      <c r="AI129" s="478"/>
      <c r="AJ129" s="478"/>
      <c r="AK129" s="478"/>
      <c r="AL129" s="478"/>
      <c r="AM129" s="478"/>
      <c r="AN129" s="478"/>
      <c r="AO129" s="478"/>
      <c r="AP129" s="478"/>
      <c r="AQ129" s="478"/>
      <c r="AR129" s="478"/>
      <c r="AS129" s="478"/>
      <c r="AT129" s="478"/>
      <c r="AU129" s="478"/>
      <c r="AV129" s="478"/>
      <c r="AW129" s="478"/>
      <c r="AX129" s="478"/>
      <c r="AY129" s="478"/>
      <c r="AZ129" s="478"/>
      <c r="BA129" s="478"/>
      <c r="BB129" s="478"/>
      <c r="BC129" s="478"/>
      <c r="BD129" s="478"/>
      <c r="BE129" s="478"/>
      <c r="BF129" s="478"/>
      <c r="BG129" s="478"/>
      <c r="BH129" s="478"/>
      <c r="BI129" s="478"/>
      <c r="BJ129" s="245"/>
      <c r="BK129" s="477">
        <f t="shared" si="630"/>
        <v>0.76470588235294112</v>
      </c>
      <c r="BL129" s="466">
        <f t="shared" si="631"/>
        <v>281673.20999999996</v>
      </c>
      <c r="BM129" s="257"/>
      <c r="BN129" s="478">
        <f t="shared" ref="BN129:DI129" si="637">1*BN122</f>
        <v>0</v>
      </c>
      <c r="BO129" s="478">
        <f t="shared" si="637"/>
        <v>0</v>
      </c>
      <c r="BP129" s="478">
        <f t="shared" si="637"/>
        <v>0</v>
      </c>
      <c r="BQ129" s="478">
        <f t="shared" si="637"/>
        <v>0</v>
      </c>
      <c r="BR129" s="478">
        <f t="shared" si="637"/>
        <v>0</v>
      </c>
      <c r="BS129" s="478">
        <f t="shared" si="637"/>
        <v>0</v>
      </c>
      <c r="BT129" s="478">
        <f t="shared" si="637"/>
        <v>0</v>
      </c>
      <c r="BU129" s="478">
        <f t="shared" si="637"/>
        <v>0</v>
      </c>
      <c r="BV129" s="478">
        <f t="shared" si="637"/>
        <v>0</v>
      </c>
      <c r="BW129" s="478">
        <f t="shared" si="637"/>
        <v>0</v>
      </c>
      <c r="BX129" s="478">
        <f t="shared" si="637"/>
        <v>0</v>
      </c>
      <c r="BY129" s="478">
        <f t="shared" si="637"/>
        <v>0</v>
      </c>
      <c r="BZ129" s="478">
        <f t="shared" si="637"/>
        <v>13</v>
      </c>
      <c r="CA129" s="478">
        <f t="shared" si="637"/>
        <v>0</v>
      </c>
      <c r="CB129" s="478">
        <f t="shared" si="637"/>
        <v>0</v>
      </c>
      <c r="CC129" s="478">
        <f t="shared" si="637"/>
        <v>0</v>
      </c>
      <c r="CD129" s="478">
        <f t="shared" si="637"/>
        <v>0</v>
      </c>
      <c r="CE129" s="478">
        <f t="shared" si="637"/>
        <v>0</v>
      </c>
      <c r="CF129" s="478">
        <f t="shared" si="637"/>
        <v>0</v>
      </c>
      <c r="CG129" s="478">
        <f t="shared" si="637"/>
        <v>0</v>
      </c>
      <c r="CH129" s="478">
        <f t="shared" si="637"/>
        <v>0</v>
      </c>
      <c r="CI129" s="478">
        <f t="shared" si="637"/>
        <v>0</v>
      </c>
      <c r="CJ129" s="478">
        <f t="shared" si="637"/>
        <v>0</v>
      </c>
      <c r="CK129" s="478">
        <f t="shared" si="637"/>
        <v>0</v>
      </c>
      <c r="CL129" s="478">
        <f t="shared" si="637"/>
        <v>0</v>
      </c>
      <c r="CM129" s="478">
        <f t="shared" si="637"/>
        <v>0</v>
      </c>
      <c r="CN129" s="478">
        <f t="shared" si="637"/>
        <v>0</v>
      </c>
      <c r="CO129" s="478">
        <f t="shared" si="637"/>
        <v>0</v>
      </c>
      <c r="CP129" s="478">
        <f t="shared" si="637"/>
        <v>0</v>
      </c>
      <c r="CQ129" s="478">
        <f t="shared" si="637"/>
        <v>0</v>
      </c>
      <c r="CR129" s="478">
        <f t="shared" si="637"/>
        <v>0</v>
      </c>
      <c r="CS129" s="478">
        <f t="shared" si="637"/>
        <v>0</v>
      </c>
      <c r="CT129" s="478">
        <f t="shared" si="637"/>
        <v>0</v>
      </c>
      <c r="CU129" s="478">
        <f t="shared" si="637"/>
        <v>0</v>
      </c>
      <c r="CV129" s="478">
        <f t="shared" si="637"/>
        <v>0</v>
      </c>
      <c r="CW129" s="478">
        <f t="shared" si="637"/>
        <v>0</v>
      </c>
      <c r="CX129" s="478">
        <f t="shared" si="637"/>
        <v>0</v>
      </c>
      <c r="CY129" s="478">
        <f t="shared" si="637"/>
        <v>0</v>
      </c>
      <c r="CZ129" s="478">
        <f t="shared" si="637"/>
        <v>0</v>
      </c>
      <c r="DA129" s="478">
        <f t="shared" si="637"/>
        <v>0</v>
      </c>
      <c r="DB129" s="478">
        <f t="shared" si="637"/>
        <v>0</v>
      </c>
      <c r="DC129" s="478">
        <f t="shared" si="637"/>
        <v>0</v>
      </c>
      <c r="DD129" s="478">
        <f t="shared" si="637"/>
        <v>0</v>
      </c>
      <c r="DE129" s="478">
        <f t="shared" si="637"/>
        <v>0</v>
      </c>
      <c r="DF129" s="478">
        <f t="shared" si="637"/>
        <v>0</v>
      </c>
      <c r="DG129" s="478">
        <f t="shared" si="637"/>
        <v>0</v>
      </c>
      <c r="DH129" s="478">
        <f t="shared" si="637"/>
        <v>0</v>
      </c>
      <c r="DI129" s="478">
        <f t="shared" si="637"/>
        <v>0</v>
      </c>
    </row>
    <row r="130" spans="1:113" ht="16.05" customHeight="1" outlineLevel="1" x14ac:dyDescent="0.3">
      <c r="A130" s="455" t="str">
        <f t="shared" si="54"/>
        <v>Imprimir</v>
      </c>
      <c r="B130" s="455"/>
      <c r="C130" s="481"/>
      <c r="D130" s="463" t="s">
        <v>769</v>
      </c>
      <c r="E130" s="482" t="s">
        <v>683</v>
      </c>
      <c r="F130" s="483" t="s">
        <v>663</v>
      </c>
      <c r="G130" s="484">
        <f>6*G122</f>
        <v>102</v>
      </c>
      <c r="H130" s="485">
        <v>174.88</v>
      </c>
      <c r="I130" s="466">
        <f t="shared" si="628"/>
        <v>17837.759999999998</v>
      </c>
      <c r="J130" s="259"/>
      <c r="K130" s="478">
        <f t="shared" si="629"/>
        <v>0</v>
      </c>
      <c r="L130" s="466">
        <f t="shared" si="577"/>
        <v>0</v>
      </c>
      <c r="M130" s="257"/>
      <c r="N130" s="478"/>
      <c r="O130" s="478"/>
      <c r="P130" s="478"/>
      <c r="Q130" s="478"/>
      <c r="R130" s="478"/>
      <c r="S130" s="478"/>
      <c r="T130" s="478"/>
      <c r="U130" s="478"/>
      <c r="V130" s="478"/>
      <c r="W130" s="478"/>
      <c r="X130" s="478"/>
      <c r="Y130" s="478"/>
      <c r="Z130" s="478"/>
      <c r="AA130" s="478"/>
      <c r="AB130" s="478"/>
      <c r="AC130" s="478"/>
      <c r="AD130" s="478"/>
      <c r="AE130" s="478"/>
      <c r="AF130" s="478"/>
      <c r="AG130" s="478"/>
      <c r="AH130" s="478"/>
      <c r="AI130" s="478"/>
      <c r="AJ130" s="478"/>
      <c r="AK130" s="478"/>
      <c r="AL130" s="478"/>
      <c r="AM130" s="478"/>
      <c r="AN130" s="478"/>
      <c r="AO130" s="478"/>
      <c r="AP130" s="478"/>
      <c r="AQ130" s="478"/>
      <c r="AR130" s="478"/>
      <c r="AS130" s="478"/>
      <c r="AT130" s="478"/>
      <c r="AU130" s="478"/>
      <c r="AV130" s="478"/>
      <c r="AW130" s="478"/>
      <c r="AX130" s="478"/>
      <c r="AY130" s="478"/>
      <c r="AZ130" s="478"/>
      <c r="BA130" s="478"/>
      <c r="BB130" s="478"/>
      <c r="BC130" s="478"/>
      <c r="BD130" s="478"/>
      <c r="BE130" s="478"/>
      <c r="BF130" s="478"/>
      <c r="BG130" s="478"/>
      <c r="BH130" s="478"/>
      <c r="BI130" s="478"/>
      <c r="BJ130" s="245"/>
      <c r="BK130" s="477">
        <f t="shared" si="630"/>
        <v>0.76470588235294124</v>
      </c>
      <c r="BL130" s="466">
        <f t="shared" si="631"/>
        <v>13640.64</v>
      </c>
      <c r="BM130" s="257"/>
      <c r="BN130" s="478">
        <f t="shared" ref="BN130:DI130" si="638">6*BN122</f>
        <v>0</v>
      </c>
      <c r="BO130" s="478">
        <f t="shared" si="638"/>
        <v>0</v>
      </c>
      <c r="BP130" s="478">
        <f t="shared" si="638"/>
        <v>0</v>
      </c>
      <c r="BQ130" s="478">
        <f t="shared" si="638"/>
        <v>0</v>
      </c>
      <c r="BR130" s="478">
        <f t="shared" si="638"/>
        <v>0</v>
      </c>
      <c r="BS130" s="478">
        <f t="shared" si="638"/>
        <v>0</v>
      </c>
      <c r="BT130" s="478">
        <f t="shared" si="638"/>
        <v>0</v>
      </c>
      <c r="BU130" s="478">
        <f t="shared" si="638"/>
        <v>0</v>
      </c>
      <c r="BV130" s="478">
        <f t="shared" si="638"/>
        <v>0</v>
      </c>
      <c r="BW130" s="478">
        <f t="shared" si="638"/>
        <v>0</v>
      </c>
      <c r="BX130" s="478">
        <f t="shared" si="638"/>
        <v>0</v>
      </c>
      <c r="BY130" s="478">
        <f t="shared" si="638"/>
        <v>0</v>
      </c>
      <c r="BZ130" s="478">
        <f t="shared" si="638"/>
        <v>78</v>
      </c>
      <c r="CA130" s="478">
        <f t="shared" si="638"/>
        <v>0</v>
      </c>
      <c r="CB130" s="478">
        <f t="shared" si="638"/>
        <v>0</v>
      </c>
      <c r="CC130" s="478">
        <f t="shared" si="638"/>
        <v>0</v>
      </c>
      <c r="CD130" s="478">
        <f t="shared" si="638"/>
        <v>0</v>
      </c>
      <c r="CE130" s="478">
        <f t="shared" si="638"/>
        <v>0</v>
      </c>
      <c r="CF130" s="478">
        <f t="shared" si="638"/>
        <v>0</v>
      </c>
      <c r="CG130" s="478">
        <f t="shared" si="638"/>
        <v>0</v>
      </c>
      <c r="CH130" s="478">
        <f t="shared" si="638"/>
        <v>0</v>
      </c>
      <c r="CI130" s="478">
        <f t="shared" si="638"/>
        <v>0</v>
      </c>
      <c r="CJ130" s="478">
        <f t="shared" si="638"/>
        <v>0</v>
      </c>
      <c r="CK130" s="478">
        <f t="shared" si="638"/>
        <v>0</v>
      </c>
      <c r="CL130" s="478">
        <f t="shared" si="638"/>
        <v>0</v>
      </c>
      <c r="CM130" s="478">
        <f t="shared" si="638"/>
        <v>0</v>
      </c>
      <c r="CN130" s="478">
        <f t="shared" si="638"/>
        <v>0</v>
      </c>
      <c r="CO130" s="478">
        <f t="shared" si="638"/>
        <v>0</v>
      </c>
      <c r="CP130" s="478">
        <f t="shared" si="638"/>
        <v>0</v>
      </c>
      <c r="CQ130" s="478">
        <f t="shared" si="638"/>
        <v>0</v>
      </c>
      <c r="CR130" s="478">
        <f t="shared" si="638"/>
        <v>0</v>
      </c>
      <c r="CS130" s="478">
        <f t="shared" si="638"/>
        <v>0</v>
      </c>
      <c r="CT130" s="478">
        <f t="shared" si="638"/>
        <v>0</v>
      </c>
      <c r="CU130" s="478">
        <f t="shared" si="638"/>
        <v>0</v>
      </c>
      <c r="CV130" s="478">
        <f t="shared" si="638"/>
        <v>0</v>
      </c>
      <c r="CW130" s="478">
        <f t="shared" si="638"/>
        <v>0</v>
      </c>
      <c r="CX130" s="478">
        <f t="shared" si="638"/>
        <v>0</v>
      </c>
      <c r="CY130" s="478">
        <f t="shared" si="638"/>
        <v>0</v>
      </c>
      <c r="CZ130" s="478">
        <f t="shared" si="638"/>
        <v>0</v>
      </c>
      <c r="DA130" s="478">
        <f t="shared" si="638"/>
        <v>0</v>
      </c>
      <c r="DB130" s="478">
        <f t="shared" si="638"/>
        <v>0</v>
      </c>
      <c r="DC130" s="478">
        <f t="shared" si="638"/>
        <v>0</v>
      </c>
      <c r="DD130" s="478">
        <f t="shared" si="638"/>
        <v>0</v>
      </c>
      <c r="DE130" s="478">
        <f t="shared" si="638"/>
        <v>0</v>
      </c>
      <c r="DF130" s="478">
        <f t="shared" si="638"/>
        <v>0</v>
      </c>
      <c r="DG130" s="478">
        <f t="shared" si="638"/>
        <v>0</v>
      </c>
      <c r="DH130" s="478">
        <f t="shared" si="638"/>
        <v>0</v>
      </c>
      <c r="DI130" s="478">
        <f t="shared" si="638"/>
        <v>0</v>
      </c>
    </row>
    <row r="131" spans="1:113" ht="16.05" customHeight="1" outlineLevel="1" x14ac:dyDescent="0.3">
      <c r="A131" s="455" t="str">
        <f t="shared" si="54"/>
        <v>Imprimir</v>
      </c>
      <c r="B131" s="455"/>
      <c r="C131" s="481"/>
      <c r="D131" s="463" t="s">
        <v>770</v>
      </c>
      <c r="E131" s="482" t="s">
        <v>685</v>
      </c>
      <c r="F131" s="483" t="s">
        <v>663</v>
      </c>
      <c r="G131" s="484">
        <f>2*G122</f>
        <v>34</v>
      </c>
      <c r="H131" s="485">
        <v>162.32</v>
      </c>
      <c r="I131" s="466">
        <f t="shared" si="628"/>
        <v>5518.88</v>
      </c>
      <c r="J131" s="259"/>
      <c r="K131" s="478">
        <f t="shared" si="629"/>
        <v>0</v>
      </c>
      <c r="L131" s="466">
        <f t="shared" si="577"/>
        <v>0</v>
      </c>
      <c r="M131" s="257"/>
      <c r="N131" s="478"/>
      <c r="O131" s="478"/>
      <c r="P131" s="478"/>
      <c r="Q131" s="478"/>
      <c r="R131" s="478"/>
      <c r="S131" s="478"/>
      <c r="T131" s="478"/>
      <c r="U131" s="478"/>
      <c r="V131" s="478"/>
      <c r="W131" s="478"/>
      <c r="X131" s="478"/>
      <c r="Y131" s="478"/>
      <c r="Z131" s="478"/>
      <c r="AA131" s="478"/>
      <c r="AB131" s="478"/>
      <c r="AC131" s="478"/>
      <c r="AD131" s="478"/>
      <c r="AE131" s="478"/>
      <c r="AF131" s="478"/>
      <c r="AG131" s="478"/>
      <c r="AH131" s="478"/>
      <c r="AI131" s="478"/>
      <c r="AJ131" s="478"/>
      <c r="AK131" s="478"/>
      <c r="AL131" s="478"/>
      <c r="AM131" s="478"/>
      <c r="AN131" s="478"/>
      <c r="AO131" s="478"/>
      <c r="AP131" s="478"/>
      <c r="AQ131" s="478"/>
      <c r="AR131" s="478"/>
      <c r="AS131" s="478"/>
      <c r="AT131" s="478"/>
      <c r="AU131" s="478"/>
      <c r="AV131" s="478"/>
      <c r="AW131" s="478"/>
      <c r="AX131" s="478"/>
      <c r="AY131" s="478"/>
      <c r="AZ131" s="478"/>
      <c r="BA131" s="478"/>
      <c r="BB131" s="478"/>
      <c r="BC131" s="478"/>
      <c r="BD131" s="478"/>
      <c r="BE131" s="478"/>
      <c r="BF131" s="478"/>
      <c r="BG131" s="478"/>
      <c r="BH131" s="478"/>
      <c r="BI131" s="478"/>
      <c r="BJ131" s="245"/>
      <c r="BK131" s="477">
        <f t="shared" si="630"/>
        <v>0.76470588235294112</v>
      </c>
      <c r="BL131" s="466">
        <f t="shared" si="631"/>
        <v>4220.32</v>
      </c>
      <c r="BM131" s="257"/>
      <c r="BN131" s="478">
        <f t="shared" ref="BN131:DI131" si="639">2*BN122</f>
        <v>0</v>
      </c>
      <c r="BO131" s="478">
        <f t="shared" si="639"/>
        <v>0</v>
      </c>
      <c r="BP131" s="478">
        <f t="shared" si="639"/>
        <v>0</v>
      </c>
      <c r="BQ131" s="478">
        <f t="shared" si="639"/>
        <v>0</v>
      </c>
      <c r="BR131" s="478">
        <f t="shared" si="639"/>
        <v>0</v>
      </c>
      <c r="BS131" s="478">
        <f t="shared" si="639"/>
        <v>0</v>
      </c>
      <c r="BT131" s="478">
        <f t="shared" si="639"/>
        <v>0</v>
      </c>
      <c r="BU131" s="478">
        <f t="shared" si="639"/>
        <v>0</v>
      </c>
      <c r="BV131" s="478">
        <f t="shared" si="639"/>
        <v>0</v>
      </c>
      <c r="BW131" s="478">
        <f t="shared" si="639"/>
        <v>0</v>
      </c>
      <c r="BX131" s="478">
        <f t="shared" si="639"/>
        <v>0</v>
      </c>
      <c r="BY131" s="478">
        <f t="shared" si="639"/>
        <v>0</v>
      </c>
      <c r="BZ131" s="478">
        <f t="shared" si="639"/>
        <v>26</v>
      </c>
      <c r="CA131" s="478">
        <f t="shared" si="639"/>
        <v>0</v>
      </c>
      <c r="CB131" s="478">
        <f t="shared" si="639"/>
        <v>0</v>
      </c>
      <c r="CC131" s="478">
        <f t="shared" si="639"/>
        <v>0</v>
      </c>
      <c r="CD131" s="478">
        <f t="shared" si="639"/>
        <v>0</v>
      </c>
      <c r="CE131" s="478">
        <f t="shared" si="639"/>
        <v>0</v>
      </c>
      <c r="CF131" s="478">
        <f t="shared" si="639"/>
        <v>0</v>
      </c>
      <c r="CG131" s="478">
        <f t="shared" si="639"/>
        <v>0</v>
      </c>
      <c r="CH131" s="478">
        <f t="shared" si="639"/>
        <v>0</v>
      </c>
      <c r="CI131" s="478">
        <f t="shared" si="639"/>
        <v>0</v>
      </c>
      <c r="CJ131" s="478">
        <f t="shared" si="639"/>
        <v>0</v>
      </c>
      <c r="CK131" s="478">
        <f t="shared" si="639"/>
        <v>0</v>
      </c>
      <c r="CL131" s="478">
        <f t="shared" si="639"/>
        <v>0</v>
      </c>
      <c r="CM131" s="478">
        <f t="shared" si="639"/>
        <v>0</v>
      </c>
      <c r="CN131" s="478">
        <f t="shared" si="639"/>
        <v>0</v>
      </c>
      <c r="CO131" s="478">
        <f t="shared" si="639"/>
        <v>0</v>
      </c>
      <c r="CP131" s="478">
        <f t="shared" si="639"/>
        <v>0</v>
      </c>
      <c r="CQ131" s="478">
        <f t="shared" si="639"/>
        <v>0</v>
      </c>
      <c r="CR131" s="478">
        <f t="shared" si="639"/>
        <v>0</v>
      </c>
      <c r="CS131" s="478">
        <f t="shared" si="639"/>
        <v>0</v>
      </c>
      <c r="CT131" s="478">
        <f t="shared" si="639"/>
        <v>0</v>
      </c>
      <c r="CU131" s="478">
        <f t="shared" si="639"/>
        <v>0</v>
      </c>
      <c r="CV131" s="478">
        <f t="shared" si="639"/>
        <v>0</v>
      </c>
      <c r="CW131" s="478">
        <f t="shared" si="639"/>
        <v>0</v>
      </c>
      <c r="CX131" s="478">
        <f t="shared" si="639"/>
        <v>0</v>
      </c>
      <c r="CY131" s="478">
        <f t="shared" si="639"/>
        <v>0</v>
      </c>
      <c r="CZ131" s="478">
        <f t="shared" si="639"/>
        <v>0</v>
      </c>
      <c r="DA131" s="478">
        <f t="shared" si="639"/>
        <v>0</v>
      </c>
      <c r="DB131" s="478">
        <f t="shared" si="639"/>
        <v>0</v>
      </c>
      <c r="DC131" s="478">
        <f t="shared" si="639"/>
        <v>0</v>
      </c>
      <c r="DD131" s="478">
        <f t="shared" si="639"/>
        <v>0</v>
      </c>
      <c r="DE131" s="478">
        <f t="shared" si="639"/>
        <v>0</v>
      </c>
      <c r="DF131" s="478">
        <f t="shared" si="639"/>
        <v>0</v>
      </c>
      <c r="DG131" s="478">
        <f t="shared" si="639"/>
        <v>0</v>
      </c>
      <c r="DH131" s="478">
        <f t="shared" si="639"/>
        <v>0</v>
      </c>
      <c r="DI131" s="478">
        <f t="shared" si="639"/>
        <v>0</v>
      </c>
    </row>
    <row r="132" spans="1:113" ht="16.05" customHeight="1" outlineLevel="1" x14ac:dyDescent="0.3">
      <c r="A132" s="455" t="str">
        <f t="shared" si="54"/>
        <v>Imprimir</v>
      </c>
      <c r="B132" s="455"/>
      <c r="C132" s="481"/>
      <c r="D132" s="463" t="s">
        <v>771</v>
      </c>
      <c r="E132" s="482" t="s">
        <v>687</v>
      </c>
      <c r="F132" s="483" t="s">
        <v>663</v>
      </c>
      <c r="G132" s="484">
        <f>1*G122</f>
        <v>17</v>
      </c>
      <c r="H132" s="485">
        <v>1255.3599999999999</v>
      </c>
      <c r="I132" s="466">
        <f t="shared" si="628"/>
        <v>21341.119999999999</v>
      </c>
      <c r="J132" s="259"/>
      <c r="K132" s="478">
        <f t="shared" si="629"/>
        <v>0</v>
      </c>
      <c r="L132" s="466">
        <f t="shared" si="577"/>
        <v>0</v>
      </c>
      <c r="M132" s="257"/>
      <c r="N132" s="478"/>
      <c r="O132" s="478"/>
      <c r="P132" s="478"/>
      <c r="Q132" s="478"/>
      <c r="R132" s="478"/>
      <c r="S132" s="478"/>
      <c r="T132" s="478"/>
      <c r="U132" s="478"/>
      <c r="V132" s="478"/>
      <c r="W132" s="478"/>
      <c r="X132" s="478"/>
      <c r="Y132" s="478"/>
      <c r="Z132" s="478"/>
      <c r="AA132" s="478"/>
      <c r="AB132" s="478"/>
      <c r="AC132" s="478"/>
      <c r="AD132" s="478"/>
      <c r="AE132" s="478"/>
      <c r="AF132" s="478"/>
      <c r="AG132" s="478"/>
      <c r="AH132" s="478"/>
      <c r="AI132" s="478"/>
      <c r="AJ132" s="478"/>
      <c r="AK132" s="478"/>
      <c r="AL132" s="478"/>
      <c r="AM132" s="478"/>
      <c r="AN132" s="478"/>
      <c r="AO132" s="478"/>
      <c r="AP132" s="478"/>
      <c r="AQ132" s="478"/>
      <c r="AR132" s="478"/>
      <c r="AS132" s="478"/>
      <c r="AT132" s="478"/>
      <c r="AU132" s="478"/>
      <c r="AV132" s="478"/>
      <c r="AW132" s="478"/>
      <c r="AX132" s="478"/>
      <c r="AY132" s="478"/>
      <c r="AZ132" s="478"/>
      <c r="BA132" s="478"/>
      <c r="BB132" s="478"/>
      <c r="BC132" s="478"/>
      <c r="BD132" s="478"/>
      <c r="BE132" s="478"/>
      <c r="BF132" s="478"/>
      <c r="BG132" s="478"/>
      <c r="BH132" s="478"/>
      <c r="BI132" s="478"/>
      <c r="BJ132" s="245"/>
      <c r="BK132" s="477">
        <f t="shared" si="630"/>
        <v>0.76470588235294112</v>
      </c>
      <c r="BL132" s="466">
        <f t="shared" si="631"/>
        <v>16319.679999999998</v>
      </c>
      <c r="BM132" s="257"/>
      <c r="BN132" s="478">
        <f t="shared" ref="BN132:DI132" si="640">1*BN122</f>
        <v>0</v>
      </c>
      <c r="BO132" s="478">
        <f t="shared" si="640"/>
        <v>0</v>
      </c>
      <c r="BP132" s="478">
        <f t="shared" si="640"/>
        <v>0</v>
      </c>
      <c r="BQ132" s="478">
        <f t="shared" si="640"/>
        <v>0</v>
      </c>
      <c r="BR132" s="478">
        <f t="shared" si="640"/>
        <v>0</v>
      </c>
      <c r="BS132" s="478">
        <f t="shared" si="640"/>
        <v>0</v>
      </c>
      <c r="BT132" s="478">
        <f t="shared" si="640"/>
        <v>0</v>
      </c>
      <c r="BU132" s="478">
        <f t="shared" si="640"/>
        <v>0</v>
      </c>
      <c r="BV132" s="478">
        <f t="shared" si="640"/>
        <v>0</v>
      </c>
      <c r="BW132" s="478">
        <f t="shared" si="640"/>
        <v>0</v>
      </c>
      <c r="BX132" s="478">
        <f t="shared" si="640"/>
        <v>0</v>
      </c>
      <c r="BY132" s="478">
        <f t="shared" si="640"/>
        <v>0</v>
      </c>
      <c r="BZ132" s="478">
        <f t="shared" si="640"/>
        <v>13</v>
      </c>
      <c r="CA132" s="478">
        <f t="shared" si="640"/>
        <v>0</v>
      </c>
      <c r="CB132" s="478">
        <f t="shared" si="640"/>
        <v>0</v>
      </c>
      <c r="CC132" s="478">
        <f t="shared" si="640"/>
        <v>0</v>
      </c>
      <c r="CD132" s="478">
        <f t="shared" si="640"/>
        <v>0</v>
      </c>
      <c r="CE132" s="478">
        <f t="shared" si="640"/>
        <v>0</v>
      </c>
      <c r="CF132" s="478">
        <f t="shared" si="640"/>
        <v>0</v>
      </c>
      <c r="CG132" s="478">
        <f t="shared" si="640"/>
        <v>0</v>
      </c>
      <c r="CH132" s="478">
        <f t="shared" si="640"/>
        <v>0</v>
      </c>
      <c r="CI132" s="478">
        <f t="shared" si="640"/>
        <v>0</v>
      </c>
      <c r="CJ132" s="478">
        <f t="shared" si="640"/>
        <v>0</v>
      </c>
      <c r="CK132" s="478">
        <f t="shared" si="640"/>
        <v>0</v>
      </c>
      <c r="CL132" s="478">
        <f t="shared" si="640"/>
        <v>0</v>
      </c>
      <c r="CM132" s="478">
        <f t="shared" si="640"/>
        <v>0</v>
      </c>
      <c r="CN132" s="478">
        <f t="shared" si="640"/>
        <v>0</v>
      </c>
      <c r="CO132" s="478">
        <f t="shared" si="640"/>
        <v>0</v>
      </c>
      <c r="CP132" s="478">
        <f t="shared" si="640"/>
        <v>0</v>
      </c>
      <c r="CQ132" s="478">
        <f t="shared" si="640"/>
        <v>0</v>
      </c>
      <c r="CR132" s="478">
        <f t="shared" si="640"/>
        <v>0</v>
      </c>
      <c r="CS132" s="478">
        <f t="shared" si="640"/>
        <v>0</v>
      </c>
      <c r="CT132" s="478">
        <f t="shared" si="640"/>
        <v>0</v>
      </c>
      <c r="CU132" s="478">
        <f t="shared" si="640"/>
        <v>0</v>
      </c>
      <c r="CV132" s="478">
        <f t="shared" si="640"/>
        <v>0</v>
      </c>
      <c r="CW132" s="478">
        <f t="shared" si="640"/>
        <v>0</v>
      </c>
      <c r="CX132" s="478">
        <f t="shared" si="640"/>
        <v>0</v>
      </c>
      <c r="CY132" s="478">
        <f t="shared" si="640"/>
        <v>0</v>
      </c>
      <c r="CZ132" s="478">
        <f t="shared" si="640"/>
        <v>0</v>
      </c>
      <c r="DA132" s="478">
        <f t="shared" si="640"/>
        <v>0</v>
      </c>
      <c r="DB132" s="478">
        <f t="shared" si="640"/>
        <v>0</v>
      </c>
      <c r="DC132" s="478">
        <f t="shared" si="640"/>
        <v>0</v>
      </c>
      <c r="DD132" s="478">
        <f t="shared" si="640"/>
        <v>0</v>
      </c>
      <c r="DE132" s="478">
        <f t="shared" si="640"/>
        <v>0</v>
      </c>
      <c r="DF132" s="478">
        <f t="shared" si="640"/>
        <v>0</v>
      </c>
      <c r="DG132" s="478">
        <f t="shared" si="640"/>
        <v>0</v>
      </c>
      <c r="DH132" s="478">
        <f t="shared" si="640"/>
        <v>0</v>
      </c>
      <c r="DI132" s="478">
        <f t="shared" si="640"/>
        <v>0</v>
      </c>
    </row>
    <row r="133" spans="1:113" ht="16.05" hidden="1" customHeight="1" outlineLevel="1" x14ac:dyDescent="0.3">
      <c r="A133" s="455" t="str">
        <f t="shared" si="54"/>
        <v/>
      </c>
      <c r="B133" s="455"/>
      <c r="C133" s="481"/>
      <c r="D133" s="463" t="s">
        <v>772</v>
      </c>
      <c r="E133" s="482"/>
      <c r="F133" s="483"/>
      <c r="G133" s="484"/>
      <c r="H133" s="485"/>
      <c r="I133" s="466">
        <f t="shared" si="628"/>
        <v>0</v>
      </c>
      <c r="J133" s="259"/>
      <c r="K133" s="478">
        <f t="shared" si="629"/>
        <v>0</v>
      </c>
      <c r="L133" s="466">
        <f t="shared" si="577"/>
        <v>0</v>
      </c>
      <c r="M133" s="257"/>
      <c r="N133" s="478"/>
      <c r="O133" s="478"/>
      <c r="P133" s="478"/>
      <c r="Q133" s="478"/>
      <c r="R133" s="478"/>
      <c r="S133" s="478"/>
      <c r="T133" s="478"/>
      <c r="U133" s="478"/>
      <c r="V133" s="478"/>
      <c r="W133" s="478"/>
      <c r="X133" s="478"/>
      <c r="Y133" s="478"/>
      <c r="Z133" s="478"/>
      <c r="AA133" s="478"/>
      <c r="AB133" s="478"/>
      <c r="AC133" s="478"/>
      <c r="AD133" s="478"/>
      <c r="AE133" s="478"/>
      <c r="AF133" s="478"/>
      <c r="AG133" s="478"/>
      <c r="AH133" s="478"/>
      <c r="AI133" s="478"/>
      <c r="AJ133" s="478"/>
      <c r="AK133" s="478"/>
      <c r="AL133" s="478"/>
      <c r="AM133" s="478"/>
      <c r="AN133" s="478"/>
      <c r="AO133" s="478"/>
      <c r="AP133" s="478"/>
      <c r="AQ133" s="478"/>
      <c r="AR133" s="478"/>
      <c r="AS133" s="478"/>
      <c r="AT133" s="478"/>
      <c r="AU133" s="478"/>
      <c r="AV133" s="478"/>
      <c r="AW133" s="478"/>
      <c r="AX133" s="478"/>
      <c r="AY133" s="478"/>
      <c r="AZ133" s="478"/>
      <c r="BA133" s="478"/>
      <c r="BB133" s="478"/>
      <c r="BC133" s="478"/>
      <c r="BD133" s="478"/>
      <c r="BE133" s="478"/>
      <c r="BF133" s="478"/>
      <c r="BG133" s="478"/>
      <c r="BH133" s="478"/>
      <c r="BI133" s="478"/>
      <c r="BJ133" s="245"/>
      <c r="BK133" s="477">
        <f t="shared" si="630"/>
        <v>0</v>
      </c>
      <c r="BL133" s="466">
        <f t="shared" si="631"/>
        <v>0</v>
      </c>
      <c r="BM133" s="257"/>
      <c r="BN133" s="478"/>
      <c r="BO133" s="478"/>
      <c r="BP133" s="478"/>
      <c r="BQ133" s="478"/>
      <c r="BR133" s="478"/>
      <c r="BS133" s="478"/>
      <c r="BT133" s="478"/>
      <c r="BU133" s="478"/>
      <c r="BV133" s="478"/>
      <c r="BW133" s="478"/>
      <c r="BX133" s="478"/>
      <c r="BY133" s="478"/>
      <c r="BZ133" s="478"/>
      <c r="CA133" s="478"/>
      <c r="CB133" s="478"/>
      <c r="CC133" s="478"/>
      <c r="CD133" s="478"/>
      <c r="CE133" s="478"/>
      <c r="CF133" s="478"/>
      <c r="CG133" s="478"/>
      <c r="CH133" s="478"/>
      <c r="CI133" s="478"/>
      <c r="CJ133" s="478"/>
      <c r="CK133" s="478"/>
      <c r="CL133" s="478"/>
      <c r="CM133" s="478"/>
      <c r="CN133" s="478"/>
      <c r="CO133" s="478"/>
      <c r="CP133" s="478"/>
      <c r="CQ133" s="478"/>
      <c r="CR133" s="478"/>
      <c r="CS133" s="478"/>
      <c r="CT133" s="478"/>
      <c r="CU133" s="478"/>
      <c r="CV133" s="478"/>
      <c r="CW133" s="478"/>
      <c r="CX133" s="478"/>
      <c r="CY133" s="478"/>
      <c r="CZ133" s="478"/>
      <c r="DA133" s="478"/>
      <c r="DB133" s="478"/>
      <c r="DC133" s="478"/>
      <c r="DD133" s="478"/>
      <c r="DE133" s="478"/>
      <c r="DF133" s="478"/>
      <c r="DG133" s="478"/>
      <c r="DH133" s="478"/>
      <c r="DI133" s="478"/>
    </row>
    <row r="134" spans="1:113" ht="16.05" hidden="1" customHeight="1" outlineLevel="1" x14ac:dyDescent="0.3">
      <c r="A134" s="455" t="str">
        <f t="shared" si="54"/>
        <v/>
      </c>
      <c r="B134" s="455"/>
      <c r="C134" s="481"/>
      <c r="D134" s="463" t="s">
        <v>773</v>
      </c>
      <c r="E134" s="482"/>
      <c r="F134" s="483"/>
      <c r="G134" s="484"/>
      <c r="H134" s="485"/>
      <c r="I134" s="466">
        <f t="shared" si="628"/>
        <v>0</v>
      </c>
      <c r="J134" s="259"/>
      <c r="K134" s="478">
        <f t="shared" si="629"/>
        <v>0</v>
      </c>
      <c r="L134" s="466">
        <f t="shared" si="577"/>
        <v>0</v>
      </c>
      <c r="M134" s="257"/>
      <c r="N134" s="478"/>
      <c r="O134" s="478"/>
      <c r="P134" s="478"/>
      <c r="Q134" s="478"/>
      <c r="R134" s="478"/>
      <c r="S134" s="478"/>
      <c r="T134" s="478"/>
      <c r="U134" s="478"/>
      <c r="V134" s="478"/>
      <c r="W134" s="478"/>
      <c r="X134" s="478"/>
      <c r="Y134" s="478"/>
      <c r="Z134" s="478"/>
      <c r="AA134" s="478"/>
      <c r="AB134" s="478"/>
      <c r="AC134" s="478"/>
      <c r="AD134" s="478"/>
      <c r="AE134" s="478"/>
      <c r="AF134" s="478"/>
      <c r="AG134" s="478"/>
      <c r="AH134" s="478"/>
      <c r="AI134" s="478"/>
      <c r="AJ134" s="478"/>
      <c r="AK134" s="478"/>
      <c r="AL134" s="478"/>
      <c r="AM134" s="478"/>
      <c r="AN134" s="478"/>
      <c r="AO134" s="478"/>
      <c r="AP134" s="478"/>
      <c r="AQ134" s="478"/>
      <c r="AR134" s="478"/>
      <c r="AS134" s="478"/>
      <c r="AT134" s="478"/>
      <c r="AU134" s="478"/>
      <c r="AV134" s="478"/>
      <c r="AW134" s="478"/>
      <c r="AX134" s="478"/>
      <c r="AY134" s="478"/>
      <c r="AZ134" s="478"/>
      <c r="BA134" s="478"/>
      <c r="BB134" s="478"/>
      <c r="BC134" s="478"/>
      <c r="BD134" s="478"/>
      <c r="BE134" s="478"/>
      <c r="BF134" s="478"/>
      <c r="BG134" s="478"/>
      <c r="BH134" s="478"/>
      <c r="BI134" s="478"/>
      <c r="BJ134" s="245"/>
      <c r="BK134" s="477">
        <f t="shared" si="630"/>
        <v>0</v>
      </c>
      <c r="BL134" s="466">
        <f t="shared" si="631"/>
        <v>0</v>
      </c>
      <c r="BM134" s="257"/>
      <c r="BN134" s="478"/>
      <c r="BO134" s="478"/>
      <c r="BP134" s="478"/>
      <c r="BQ134" s="478"/>
      <c r="BR134" s="478"/>
      <c r="BS134" s="478"/>
      <c r="BT134" s="478"/>
      <c r="BU134" s="478"/>
      <c r="BV134" s="478"/>
      <c r="BW134" s="478"/>
      <c r="BX134" s="478"/>
      <c r="BY134" s="478"/>
      <c r="BZ134" s="478"/>
      <c r="CA134" s="478"/>
      <c r="CB134" s="478"/>
      <c r="CC134" s="478"/>
      <c r="CD134" s="478"/>
      <c r="CE134" s="478"/>
      <c r="CF134" s="478"/>
      <c r="CG134" s="478"/>
      <c r="CH134" s="478"/>
      <c r="CI134" s="478"/>
      <c r="CJ134" s="478"/>
      <c r="CK134" s="478"/>
      <c r="CL134" s="478"/>
      <c r="CM134" s="478"/>
      <c r="CN134" s="478"/>
      <c r="CO134" s="478"/>
      <c r="CP134" s="478"/>
      <c r="CQ134" s="478"/>
      <c r="CR134" s="478"/>
      <c r="CS134" s="478"/>
      <c r="CT134" s="478"/>
      <c r="CU134" s="478"/>
      <c r="CV134" s="478"/>
      <c r="CW134" s="478"/>
      <c r="CX134" s="478"/>
      <c r="CY134" s="478"/>
      <c r="CZ134" s="478"/>
      <c r="DA134" s="478"/>
      <c r="DB134" s="478"/>
      <c r="DC134" s="478"/>
      <c r="DD134" s="478"/>
      <c r="DE134" s="478"/>
      <c r="DF134" s="478"/>
      <c r="DG134" s="478"/>
      <c r="DH134" s="478"/>
      <c r="DI134" s="478"/>
    </row>
    <row r="135" spans="1:113" ht="16.05" hidden="1" customHeight="1" outlineLevel="1" x14ac:dyDescent="0.3">
      <c r="A135" s="455" t="str">
        <f t="shared" si="54"/>
        <v/>
      </c>
      <c r="B135" s="455"/>
      <c r="C135" s="481"/>
      <c r="D135" s="463" t="s">
        <v>774</v>
      </c>
      <c r="E135" s="482"/>
      <c r="F135" s="483"/>
      <c r="G135" s="484"/>
      <c r="H135" s="485"/>
      <c r="I135" s="466">
        <f t="shared" si="628"/>
        <v>0</v>
      </c>
      <c r="J135" s="259"/>
      <c r="K135" s="478">
        <f t="shared" si="629"/>
        <v>0</v>
      </c>
      <c r="L135" s="466">
        <f t="shared" si="577"/>
        <v>0</v>
      </c>
      <c r="M135" s="257"/>
      <c r="N135" s="478"/>
      <c r="O135" s="478"/>
      <c r="P135" s="478"/>
      <c r="Q135" s="478"/>
      <c r="R135" s="478"/>
      <c r="S135" s="478"/>
      <c r="T135" s="478"/>
      <c r="U135" s="478"/>
      <c r="V135" s="478"/>
      <c r="W135" s="478"/>
      <c r="X135" s="478"/>
      <c r="Y135" s="478"/>
      <c r="Z135" s="478"/>
      <c r="AA135" s="478"/>
      <c r="AB135" s="478"/>
      <c r="AC135" s="478"/>
      <c r="AD135" s="478"/>
      <c r="AE135" s="478"/>
      <c r="AF135" s="478"/>
      <c r="AG135" s="478"/>
      <c r="AH135" s="478"/>
      <c r="AI135" s="478"/>
      <c r="AJ135" s="478"/>
      <c r="AK135" s="478"/>
      <c r="AL135" s="478"/>
      <c r="AM135" s="478"/>
      <c r="AN135" s="478"/>
      <c r="AO135" s="478"/>
      <c r="AP135" s="478"/>
      <c r="AQ135" s="478"/>
      <c r="AR135" s="478"/>
      <c r="AS135" s="478"/>
      <c r="AT135" s="478"/>
      <c r="AU135" s="478"/>
      <c r="AV135" s="478"/>
      <c r="AW135" s="478"/>
      <c r="AX135" s="478"/>
      <c r="AY135" s="478"/>
      <c r="AZ135" s="478"/>
      <c r="BA135" s="478"/>
      <c r="BB135" s="478"/>
      <c r="BC135" s="478"/>
      <c r="BD135" s="478"/>
      <c r="BE135" s="478"/>
      <c r="BF135" s="478"/>
      <c r="BG135" s="478"/>
      <c r="BH135" s="478"/>
      <c r="BI135" s="478"/>
      <c r="BJ135" s="245"/>
      <c r="BK135" s="477">
        <f t="shared" si="630"/>
        <v>0</v>
      </c>
      <c r="BL135" s="466">
        <f t="shared" si="631"/>
        <v>0</v>
      </c>
      <c r="BM135" s="257"/>
      <c r="BN135" s="478"/>
      <c r="BO135" s="478"/>
      <c r="BP135" s="478"/>
      <c r="BQ135" s="478"/>
      <c r="BR135" s="478"/>
      <c r="BS135" s="478"/>
      <c r="BT135" s="478"/>
      <c r="BU135" s="478"/>
      <c r="BV135" s="478"/>
      <c r="BW135" s="478"/>
      <c r="BX135" s="478"/>
      <c r="BY135" s="478"/>
      <c r="BZ135" s="478"/>
      <c r="CA135" s="478"/>
      <c r="CB135" s="478"/>
      <c r="CC135" s="478"/>
      <c r="CD135" s="478"/>
      <c r="CE135" s="478"/>
      <c r="CF135" s="478"/>
      <c r="CG135" s="478"/>
      <c r="CH135" s="478"/>
      <c r="CI135" s="478"/>
      <c r="CJ135" s="478"/>
      <c r="CK135" s="478"/>
      <c r="CL135" s="478"/>
      <c r="CM135" s="478"/>
      <c r="CN135" s="478"/>
      <c r="CO135" s="478"/>
      <c r="CP135" s="478"/>
      <c r="CQ135" s="478"/>
      <c r="CR135" s="478"/>
      <c r="CS135" s="478"/>
      <c r="CT135" s="478"/>
      <c r="CU135" s="478"/>
      <c r="CV135" s="478"/>
      <c r="CW135" s="478"/>
      <c r="CX135" s="478"/>
      <c r="CY135" s="478"/>
      <c r="CZ135" s="478"/>
      <c r="DA135" s="478"/>
      <c r="DB135" s="478"/>
      <c r="DC135" s="478"/>
      <c r="DD135" s="478"/>
      <c r="DE135" s="478"/>
      <c r="DF135" s="478"/>
      <c r="DG135" s="478"/>
      <c r="DH135" s="478"/>
      <c r="DI135" s="478"/>
    </row>
    <row r="136" spans="1:113" ht="16.05" hidden="1" customHeight="1" outlineLevel="1" x14ac:dyDescent="0.3">
      <c r="A136" s="455" t="str">
        <f t="shared" si="54"/>
        <v/>
      </c>
      <c r="B136" s="455"/>
      <c r="C136" s="481"/>
      <c r="D136" s="463" t="s">
        <v>775</v>
      </c>
      <c r="E136" s="482"/>
      <c r="F136" s="483"/>
      <c r="G136" s="484"/>
      <c r="H136" s="485"/>
      <c r="I136" s="466">
        <f t="shared" si="628"/>
        <v>0</v>
      </c>
      <c r="J136" s="259"/>
      <c r="K136" s="478">
        <f t="shared" si="629"/>
        <v>0</v>
      </c>
      <c r="L136" s="466">
        <f t="shared" si="577"/>
        <v>0</v>
      </c>
      <c r="M136" s="257"/>
      <c r="N136" s="478"/>
      <c r="O136" s="478"/>
      <c r="P136" s="478"/>
      <c r="Q136" s="478"/>
      <c r="R136" s="478"/>
      <c r="S136" s="478"/>
      <c r="T136" s="478"/>
      <c r="U136" s="478"/>
      <c r="V136" s="478"/>
      <c r="W136" s="478"/>
      <c r="X136" s="478"/>
      <c r="Y136" s="478"/>
      <c r="Z136" s="478"/>
      <c r="AA136" s="478"/>
      <c r="AB136" s="478"/>
      <c r="AC136" s="478"/>
      <c r="AD136" s="478"/>
      <c r="AE136" s="478"/>
      <c r="AF136" s="478"/>
      <c r="AG136" s="478"/>
      <c r="AH136" s="478"/>
      <c r="AI136" s="478"/>
      <c r="AJ136" s="478"/>
      <c r="AK136" s="478"/>
      <c r="AL136" s="478"/>
      <c r="AM136" s="478"/>
      <c r="AN136" s="478"/>
      <c r="AO136" s="478"/>
      <c r="AP136" s="478"/>
      <c r="AQ136" s="478"/>
      <c r="AR136" s="478"/>
      <c r="AS136" s="478"/>
      <c r="AT136" s="478"/>
      <c r="AU136" s="478"/>
      <c r="AV136" s="478"/>
      <c r="AW136" s="478"/>
      <c r="AX136" s="478"/>
      <c r="AY136" s="478"/>
      <c r="AZ136" s="478"/>
      <c r="BA136" s="478"/>
      <c r="BB136" s="478"/>
      <c r="BC136" s="478"/>
      <c r="BD136" s="478"/>
      <c r="BE136" s="478"/>
      <c r="BF136" s="478"/>
      <c r="BG136" s="478"/>
      <c r="BH136" s="478"/>
      <c r="BI136" s="478"/>
      <c r="BJ136" s="245"/>
      <c r="BK136" s="477">
        <f t="shared" si="630"/>
        <v>0</v>
      </c>
      <c r="BL136" s="466">
        <f t="shared" si="631"/>
        <v>0</v>
      </c>
      <c r="BM136" s="257"/>
      <c r="BN136" s="478"/>
      <c r="BO136" s="478"/>
      <c r="BP136" s="478"/>
      <c r="BQ136" s="478"/>
      <c r="BR136" s="478"/>
      <c r="BS136" s="478"/>
      <c r="BT136" s="478"/>
      <c r="BU136" s="478"/>
      <c r="BV136" s="478"/>
      <c r="BW136" s="478"/>
      <c r="BX136" s="478"/>
      <c r="BY136" s="478"/>
      <c r="BZ136" s="478"/>
      <c r="CA136" s="478"/>
      <c r="CB136" s="478"/>
      <c r="CC136" s="478"/>
      <c r="CD136" s="478"/>
      <c r="CE136" s="478"/>
      <c r="CF136" s="478"/>
      <c r="CG136" s="478"/>
      <c r="CH136" s="478"/>
      <c r="CI136" s="478"/>
      <c r="CJ136" s="478"/>
      <c r="CK136" s="478"/>
      <c r="CL136" s="478"/>
      <c r="CM136" s="478"/>
      <c r="CN136" s="478"/>
      <c r="CO136" s="478"/>
      <c r="CP136" s="478"/>
      <c r="CQ136" s="478"/>
      <c r="CR136" s="478"/>
      <c r="CS136" s="478"/>
      <c r="CT136" s="478"/>
      <c r="CU136" s="478"/>
      <c r="CV136" s="478"/>
      <c r="CW136" s="478"/>
      <c r="CX136" s="478"/>
      <c r="CY136" s="478"/>
      <c r="CZ136" s="478"/>
      <c r="DA136" s="478"/>
      <c r="DB136" s="478"/>
      <c r="DC136" s="478"/>
      <c r="DD136" s="478"/>
      <c r="DE136" s="478"/>
      <c r="DF136" s="478"/>
      <c r="DG136" s="478"/>
      <c r="DH136" s="478"/>
      <c r="DI136" s="478"/>
    </row>
    <row r="137" spans="1:113" ht="16.05" hidden="1" customHeight="1" outlineLevel="1" x14ac:dyDescent="0.3">
      <c r="A137" s="455" t="str">
        <f t="shared" si="54"/>
        <v/>
      </c>
      <c r="B137" s="455"/>
      <c r="C137" s="481"/>
      <c r="D137" s="463" t="s">
        <v>776</v>
      </c>
      <c r="E137" s="482"/>
      <c r="F137" s="483"/>
      <c r="G137" s="484"/>
      <c r="H137" s="485"/>
      <c r="I137" s="466">
        <f t="shared" si="628"/>
        <v>0</v>
      </c>
      <c r="J137" s="259"/>
      <c r="K137" s="478">
        <f t="shared" si="629"/>
        <v>0</v>
      </c>
      <c r="L137" s="466">
        <f t="shared" si="577"/>
        <v>0</v>
      </c>
      <c r="M137" s="257"/>
      <c r="N137" s="478"/>
      <c r="O137" s="478"/>
      <c r="P137" s="478"/>
      <c r="Q137" s="478"/>
      <c r="R137" s="478"/>
      <c r="S137" s="478"/>
      <c r="T137" s="478"/>
      <c r="U137" s="478"/>
      <c r="V137" s="478"/>
      <c r="W137" s="478"/>
      <c r="X137" s="478"/>
      <c r="Y137" s="478"/>
      <c r="Z137" s="478"/>
      <c r="AA137" s="478"/>
      <c r="AB137" s="478"/>
      <c r="AC137" s="478"/>
      <c r="AD137" s="478"/>
      <c r="AE137" s="478"/>
      <c r="AF137" s="478"/>
      <c r="AG137" s="478"/>
      <c r="AH137" s="478"/>
      <c r="AI137" s="478"/>
      <c r="AJ137" s="478"/>
      <c r="AK137" s="478"/>
      <c r="AL137" s="478"/>
      <c r="AM137" s="478"/>
      <c r="AN137" s="478"/>
      <c r="AO137" s="478"/>
      <c r="AP137" s="478"/>
      <c r="AQ137" s="478"/>
      <c r="AR137" s="478"/>
      <c r="AS137" s="478"/>
      <c r="AT137" s="478"/>
      <c r="AU137" s="478"/>
      <c r="AV137" s="478"/>
      <c r="AW137" s="478"/>
      <c r="AX137" s="478"/>
      <c r="AY137" s="478"/>
      <c r="AZ137" s="478"/>
      <c r="BA137" s="478"/>
      <c r="BB137" s="478"/>
      <c r="BC137" s="478"/>
      <c r="BD137" s="478"/>
      <c r="BE137" s="478"/>
      <c r="BF137" s="478"/>
      <c r="BG137" s="478"/>
      <c r="BH137" s="478"/>
      <c r="BI137" s="478"/>
      <c r="BJ137" s="245"/>
      <c r="BK137" s="477">
        <f t="shared" si="630"/>
        <v>0</v>
      </c>
      <c r="BL137" s="466">
        <f t="shared" si="631"/>
        <v>0</v>
      </c>
      <c r="BM137" s="257"/>
      <c r="BN137" s="478"/>
      <c r="BO137" s="478"/>
      <c r="BP137" s="478"/>
      <c r="BQ137" s="478"/>
      <c r="BR137" s="478"/>
      <c r="BS137" s="478"/>
      <c r="BT137" s="478"/>
      <c r="BU137" s="478"/>
      <c r="BV137" s="478"/>
      <c r="BW137" s="478"/>
      <c r="BX137" s="478"/>
      <c r="BY137" s="478"/>
      <c r="BZ137" s="478"/>
      <c r="CA137" s="478"/>
      <c r="CB137" s="478"/>
      <c r="CC137" s="478"/>
      <c r="CD137" s="478"/>
      <c r="CE137" s="478"/>
      <c r="CF137" s="478"/>
      <c r="CG137" s="478"/>
      <c r="CH137" s="478"/>
      <c r="CI137" s="478"/>
      <c r="CJ137" s="478"/>
      <c r="CK137" s="478"/>
      <c r="CL137" s="478"/>
      <c r="CM137" s="478"/>
      <c r="CN137" s="478"/>
      <c r="CO137" s="478"/>
      <c r="CP137" s="478"/>
      <c r="CQ137" s="478"/>
      <c r="CR137" s="478"/>
      <c r="CS137" s="478"/>
      <c r="CT137" s="478"/>
      <c r="CU137" s="478"/>
      <c r="CV137" s="478"/>
      <c r="CW137" s="478"/>
      <c r="CX137" s="478"/>
      <c r="CY137" s="478"/>
      <c r="CZ137" s="478"/>
      <c r="DA137" s="478"/>
      <c r="DB137" s="478"/>
      <c r="DC137" s="478"/>
      <c r="DD137" s="478"/>
      <c r="DE137" s="478"/>
      <c r="DF137" s="478"/>
      <c r="DG137" s="478"/>
      <c r="DH137" s="478"/>
      <c r="DI137" s="478"/>
    </row>
    <row r="138" spans="1:113" ht="16.05" hidden="1" customHeight="1" outlineLevel="1" x14ac:dyDescent="0.3">
      <c r="A138" s="455" t="str">
        <f t="shared" si="54"/>
        <v/>
      </c>
      <c r="B138" s="455"/>
      <c r="C138" s="481"/>
      <c r="D138" s="463" t="s">
        <v>777</v>
      </c>
      <c r="E138" s="482"/>
      <c r="F138" s="483"/>
      <c r="G138" s="484"/>
      <c r="H138" s="485"/>
      <c r="I138" s="466">
        <f t="shared" si="628"/>
        <v>0</v>
      </c>
      <c r="J138" s="259"/>
      <c r="K138" s="478">
        <f t="shared" si="629"/>
        <v>0</v>
      </c>
      <c r="L138" s="466">
        <f t="shared" si="577"/>
        <v>0</v>
      </c>
      <c r="M138" s="257"/>
      <c r="N138" s="478"/>
      <c r="O138" s="478"/>
      <c r="P138" s="478"/>
      <c r="Q138" s="478"/>
      <c r="R138" s="478"/>
      <c r="S138" s="478"/>
      <c r="T138" s="478"/>
      <c r="U138" s="478"/>
      <c r="V138" s="478"/>
      <c r="W138" s="478"/>
      <c r="X138" s="478"/>
      <c r="Y138" s="478"/>
      <c r="Z138" s="478"/>
      <c r="AA138" s="478"/>
      <c r="AB138" s="478"/>
      <c r="AC138" s="478"/>
      <c r="AD138" s="478"/>
      <c r="AE138" s="478"/>
      <c r="AF138" s="478"/>
      <c r="AG138" s="478"/>
      <c r="AH138" s="478"/>
      <c r="AI138" s="478"/>
      <c r="AJ138" s="478"/>
      <c r="AK138" s="478"/>
      <c r="AL138" s="478"/>
      <c r="AM138" s="478"/>
      <c r="AN138" s="478"/>
      <c r="AO138" s="478"/>
      <c r="AP138" s="478"/>
      <c r="AQ138" s="478"/>
      <c r="AR138" s="478"/>
      <c r="AS138" s="478"/>
      <c r="AT138" s="478"/>
      <c r="AU138" s="478"/>
      <c r="AV138" s="478"/>
      <c r="AW138" s="478"/>
      <c r="AX138" s="478"/>
      <c r="AY138" s="478"/>
      <c r="AZ138" s="478"/>
      <c r="BA138" s="478"/>
      <c r="BB138" s="478"/>
      <c r="BC138" s="478"/>
      <c r="BD138" s="478"/>
      <c r="BE138" s="478"/>
      <c r="BF138" s="478"/>
      <c r="BG138" s="478"/>
      <c r="BH138" s="478"/>
      <c r="BI138" s="478"/>
      <c r="BJ138" s="245"/>
      <c r="BK138" s="477">
        <f t="shared" si="630"/>
        <v>0</v>
      </c>
      <c r="BL138" s="466">
        <f t="shared" si="631"/>
        <v>0</v>
      </c>
      <c r="BM138" s="257"/>
      <c r="BN138" s="478"/>
      <c r="BO138" s="478"/>
      <c r="BP138" s="478"/>
      <c r="BQ138" s="478"/>
      <c r="BR138" s="478"/>
      <c r="BS138" s="478"/>
      <c r="BT138" s="478"/>
      <c r="BU138" s="478"/>
      <c r="BV138" s="478"/>
      <c r="BW138" s="478"/>
      <c r="BX138" s="478"/>
      <c r="BY138" s="478"/>
      <c r="BZ138" s="478"/>
      <c r="CA138" s="478"/>
      <c r="CB138" s="478"/>
      <c r="CC138" s="478"/>
      <c r="CD138" s="478"/>
      <c r="CE138" s="478"/>
      <c r="CF138" s="478"/>
      <c r="CG138" s="478"/>
      <c r="CH138" s="478"/>
      <c r="CI138" s="478"/>
      <c r="CJ138" s="478"/>
      <c r="CK138" s="478"/>
      <c r="CL138" s="478"/>
      <c r="CM138" s="478"/>
      <c r="CN138" s="478"/>
      <c r="CO138" s="478"/>
      <c r="CP138" s="478"/>
      <c r="CQ138" s="478"/>
      <c r="CR138" s="478"/>
      <c r="CS138" s="478"/>
      <c r="CT138" s="478"/>
      <c r="CU138" s="478"/>
      <c r="CV138" s="478"/>
      <c r="CW138" s="478"/>
      <c r="CX138" s="478"/>
      <c r="CY138" s="478"/>
      <c r="CZ138" s="478"/>
      <c r="DA138" s="478"/>
      <c r="DB138" s="478"/>
      <c r="DC138" s="478"/>
      <c r="DD138" s="478"/>
      <c r="DE138" s="478"/>
      <c r="DF138" s="478"/>
      <c r="DG138" s="478"/>
      <c r="DH138" s="478"/>
      <c r="DI138" s="478"/>
    </row>
    <row r="139" spans="1:113" ht="16.05" hidden="1" customHeight="1" outlineLevel="1" x14ac:dyDescent="0.3">
      <c r="A139" s="455" t="str">
        <f t="shared" si="54"/>
        <v/>
      </c>
      <c r="B139" s="455"/>
      <c r="C139" s="481"/>
      <c r="D139" s="463" t="s">
        <v>778</v>
      </c>
      <c r="E139" s="482"/>
      <c r="F139" s="483"/>
      <c r="G139" s="484"/>
      <c r="H139" s="485"/>
      <c r="I139" s="466">
        <f t="shared" si="628"/>
        <v>0</v>
      </c>
      <c r="J139" s="259"/>
      <c r="K139" s="478">
        <f t="shared" si="629"/>
        <v>0</v>
      </c>
      <c r="L139" s="466">
        <f t="shared" si="577"/>
        <v>0</v>
      </c>
      <c r="M139" s="257"/>
      <c r="N139" s="478"/>
      <c r="O139" s="478"/>
      <c r="P139" s="478"/>
      <c r="Q139" s="478"/>
      <c r="R139" s="478"/>
      <c r="S139" s="478"/>
      <c r="T139" s="478"/>
      <c r="U139" s="478"/>
      <c r="V139" s="478"/>
      <c r="W139" s="478"/>
      <c r="X139" s="478"/>
      <c r="Y139" s="478"/>
      <c r="Z139" s="478"/>
      <c r="AA139" s="478"/>
      <c r="AB139" s="478"/>
      <c r="AC139" s="478"/>
      <c r="AD139" s="478"/>
      <c r="AE139" s="478"/>
      <c r="AF139" s="478"/>
      <c r="AG139" s="478"/>
      <c r="AH139" s="478"/>
      <c r="AI139" s="478"/>
      <c r="AJ139" s="478"/>
      <c r="AK139" s="478"/>
      <c r="AL139" s="478"/>
      <c r="AM139" s="478"/>
      <c r="AN139" s="478"/>
      <c r="AO139" s="478"/>
      <c r="AP139" s="478"/>
      <c r="AQ139" s="478"/>
      <c r="AR139" s="478"/>
      <c r="AS139" s="478"/>
      <c r="AT139" s="478"/>
      <c r="AU139" s="478"/>
      <c r="AV139" s="478"/>
      <c r="AW139" s="478"/>
      <c r="AX139" s="478"/>
      <c r="AY139" s="478"/>
      <c r="AZ139" s="478"/>
      <c r="BA139" s="478"/>
      <c r="BB139" s="478"/>
      <c r="BC139" s="478"/>
      <c r="BD139" s="478"/>
      <c r="BE139" s="478"/>
      <c r="BF139" s="478"/>
      <c r="BG139" s="478"/>
      <c r="BH139" s="478"/>
      <c r="BI139" s="478"/>
      <c r="BJ139" s="245"/>
      <c r="BK139" s="477">
        <f t="shared" si="630"/>
        <v>0</v>
      </c>
      <c r="BL139" s="466">
        <f t="shared" si="631"/>
        <v>0</v>
      </c>
      <c r="BM139" s="257"/>
      <c r="BN139" s="478"/>
      <c r="BO139" s="478"/>
      <c r="BP139" s="478"/>
      <c r="BQ139" s="478"/>
      <c r="BR139" s="478"/>
      <c r="BS139" s="478"/>
      <c r="BT139" s="478"/>
      <c r="BU139" s="478"/>
      <c r="BV139" s="478"/>
      <c r="BW139" s="478"/>
      <c r="BX139" s="478"/>
      <c r="BY139" s="478"/>
      <c r="BZ139" s="478"/>
      <c r="CA139" s="478"/>
      <c r="CB139" s="478"/>
      <c r="CC139" s="478"/>
      <c r="CD139" s="478"/>
      <c r="CE139" s="478"/>
      <c r="CF139" s="478"/>
      <c r="CG139" s="478"/>
      <c r="CH139" s="478"/>
      <c r="CI139" s="478"/>
      <c r="CJ139" s="478"/>
      <c r="CK139" s="478"/>
      <c r="CL139" s="478"/>
      <c r="CM139" s="478"/>
      <c r="CN139" s="478"/>
      <c r="CO139" s="478"/>
      <c r="CP139" s="478"/>
      <c r="CQ139" s="478"/>
      <c r="CR139" s="478"/>
      <c r="CS139" s="478"/>
      <c r="CT139" s="478"/>
      <c r="CU139" s="478"/>
      <c r="CV139" s="478"/>
      <c r="CW139" s="478"/>
      <c r="CX139" s="478"/>
      <c r="CY139" s="478"/>
      <c r="CZ139" s="478"/>
      <c r="DA139" s="478"/>
      <c r="DB139" s="478"/>
      <c r="DC139" s="478"/>
      <c r="DD139" s="478"/>
      <c r="DE139" s="478"/>
      <c r="DF139" s="478"/>
      <c r="DG139" s="478"/>
      <c r="DH139" s="478"/>
      <c r="DI139" s="478"/>
    </row>
    <row r="140" spans="1:113" ht="16.05" hidden="1" customHeight="1" outlineLevel="1" x14ac:dyDescent="0.3">
      <c r="A140" s="455" t="str">
        <f t="shared" si="54"/>
        <v/>
      </c>
      <c r="B140" s="455"/>
      <c r="C140" s="481"/>
      <c r="D140" s="463" t="s">
        <v>779</v>
      </c>
      <c r="E140" s="482"/>
      <c r="F140" s="483"/>
      <c r="G140" s="484"/>
      <c r="H140" s="485"/>
      <c r="I140" s="466">
        <f t="shared" si="628"/>
        <v>0</v>
      </c>
      <c r="J140" s="259"/>
      <c r="K140" s="478">
        <f t="shared" si="629"/>
        <v>0</v>
      </c>
      <c r="L140" s="466">
        <f t="shared" si="577"/>
        <v>0</v>
      </c>
      <c r="M140" s="257"/>
      <c r="N140" s="478"/>
      <c r="O140" s="478"/>
      <c r="P140" s="478"/>
      <c r="Q140" s="478"/>
      <c r="R140" s="478"/>
      <c r="S140" s="478"/>
      <c r="T140" s="478"/>
      <c r="U140" s="478"/>
      <c r="V140" s="478"/>
      <c r="W140" s="478"/>
      <c r="X140" s="478"/>
      <c r="Y140" s="478"/>
      <c r="Z140" s="478"/>
      <c r="AA140" s="478"/>
      <c r="AB140" s="478"/>
      <c r="AC140" s="478"/>
      <c r="AD140" s="478"/>
      <c r="AE140" s="478"/>
      <c r="AF140" s="478"/>
      <c r="AG140" s="478"/>
      <c r="AH140" s="478"/>
      <c r="AI140" s="478"/>
      <c r="AJ140" s="478"/>
      <c r="AK140" s="478"/>
      <c r="AL140" s="478"/>
      <c r="AM140" s="478"/>
      <c r="AN140" s="478"/>
      <c r="AO140" s="478"/>
      <c r="AP140" s="478"/>
      <c r="AQ140" s="478"/>
      <c r="AR140" s="478"/>
      <c r="AS140" s="478"/>
      <c r="AT140" s="478"/>
      <c r="AU140" s="478"/>
      <c r="AV140" s="478"/>
      <c r="AW140" s="478"/>
      <c r="AX140" s="478"/>
      <c r="AY140" s="478"/>
      <c r="AZ140" s="478"/>
      <c r="BA140" s="478"/>
      <c r="BB140" s="478"/>
      <c r="BC140" s="478"/>
      <c r="BD140" s="478"/>
      <c r="BE140" s="478"/>
      <c r="BF140" s="478"/>
      <c r="BG140" s="478"/>
      <c r="BH140" s="478"/>
      <c r="BI140" s="478"/>
      <c r="BJ140" s="245"/>
      <c r="BK140" s="477">
        <f t="shared" si="630"/>
        <v>0</v>
      </c>
      <c r="BL140" s="466">
        <f t="shared" si="631"/>
        <v>0</v>
      </c>
      <c r="BM140" s="257"/>
      <c r="BN140" s="478"/>
      <c r="BO140" s="478"/>
      <c r="BP140" s="478"/>
      <c r="BQ140" s="478"/>
      <c r="BR140" s="478"/>
      <c r="BS140" s="478"/>
      <c r="BT140" s="478"/>
      <c r="BU140" s="478"/>
      <c r="BV140" s="478"/>
      <c r="BW140" s="478"/>
      <c r="BX140" s="478"/>
      <c r="BY140" s="478"/>
      <c r="BZ140" s="478"/>
      <c r="CA140" s="478"/>
      <c r="CB140" s="478"/>
      <c r="CC140" s="478"/>
      <c r="CD140" s="478"/>
      <c r="CE140" s="478"/>
      <c r="CF140" s="478"/>
      <c r="CG140" s="478"/>
      <c r="CH140" s="478"/>
      <c r="CI140" s="478"/>
      <c r="CJ140" s="478"/>
      <c r="CK140" s="478"/>
      <c r="CL140" s="478"/>
      <c r="CM140" s="478"/>
      <c r="CN140" s="478"/>
      <c r="CO140" s="478"/>
      <c r="CP140" s="478"/>
      <c r="CQ140" s="478"/>
      <c r="CR140" s="478"/>
      <c r="CS140" s="478"/>
      <c r="CT140" s="478"/>
      <c r="CU140" s="478"/>
      <c r="CV140" s="478"/>
      <c r="CW140" s="478"/>
      <c r="CX140" s="478"/>
      <c r="CY140" s="478"/>
      <c r="CZ140" s="478"/>
      <c r="DA140" s="478"/>
      <c r="DB140" s="478"/>
      <c r="DC140" s="478"/>
      <c r="DD140" s="478"/>
      <c r="DE140" s="478"/>
      <c r="DF140" s="478"/>
      <c r="DG140" s="478"/>
      <c r="DH140" s="478"/>
      <c r="DI140" s="478"/>
    </row>
    <row r="141" spans="1:113" ht="16.05" hidden="1" customHeight="1" outlineLevel="1" x14ac:dyDescent="0.3">
      <c r="A141" s="455" t="str">
        <f t="shared" si="54"/>
        <v/>
      </c>
      <c r="B141" s="455"/>
      <c r="C141" s="481"/>
      <c r="D141" s="463" t="s">
        <v>780</v>
      </c>
      <c r="E141" s="482"/>
      <c r="F141" s="483"/>
      <c r="G141" s="484"/>
      <c r="H141" s="485"/>
      <c r="I141" s="466">
        <f t="shared" si="628"/>
        <v>0</v>
      </c>
      <c r="J141" s="259"/>
      <c r="K141" s="478">
        <f t="shared" si="629"/>
        <v>0</v>
      </c>
      <c r="L141" s="466">
        <f t="shared" si="577"/>
        <v>0</v>
      </c>
      <c r="M141" s="257"/>
      <c r="N141" s="478"/>
      <c r="O141" s="478"/>
      <c r="P141" s="478"/>
      <c r="Q141" s="478"/>
      <c r="R141" s="478"/>
      <c r="S141" s="478"/>
      <c r="T141" s="478"/>
      <c r="U141" s="478"/>
      <c r="V141" s="478"/>
      <c r="W141" s="478"/>
      <c r="X141" s="478"/>
      <c r="Y141" s="478"/>
      <c r="Z141" s="478"/>
      <c r="AA141" s="478"/>
      <c r="AB141" s="478"/>
      <c r="AC141" s="478"/>
      <c r="AD141" s="478"/>
      <c r="AE141" s="478"/>
      <c r="AF141" s="478"/>
      <c r="AG141" s="478"/>
      <c r="AH141" s="478"/>
      <c r="AI141" s="478"/>
      <c r="AJ141" s="478"/>
      <c r="AK141" s="478"/>
      <c r="AL141" s="478"/>
      <c r="AM141" s="478"/>
      <c r="AN141" s="478"/>
      <c r="AO141" s="478"/>
      <c r="AP141" s="478"/>
      <c r="AQ141" s="478"/>
      <c r="AR141" s="478"/>
      <c r="AS141" s="478"/>
      <c r="AT141" s="478"/>
      <c r="AU141" s="478"/>
      <c r="AV141" s="478"/>
      <c r="AW141" s="478"/>
      <c r="AX141" s="478"/>
      <c r="AY141" s="478"/>
      <c r="AZ141" s="478"/>
      <c r="BA141" s="478"/>
      <c r="BB141" s="478"/>
      <c r="BC141" s="478"/>
      <c r="BD141" s="478"/>
      <c r="BE141" s="478"/>
      <c r="BF141" s="478"/>
      <c r="BG141" s="478"/>
      <c r="BH141" s="478"/>
      <c r="BI141" s="478"/>
      <c r="BJ141" s="245"/>
      <c r="BK141" s="477">
        <f t="shared" si="630"/>
        <v>0</v>
      </c>
      <c r="BL141" s="466">
        <f t="shared" si="631"/>
        <v>0</v>
      </c>
      <c r="BM141" s="257"/>
      <c r="BN141" s="478"/>
      <c r="BO141" s="478"/>
      <c r="BP141" s="478"/>
      <c r="BQ141" s="478"/>
      <c r="BR141" s="478"/>
      <c r="BS141" s="478"/>
      <c r="BT141" s="478"/>
      <c r="BU141" s="478"/>
      <c r="BV141" s="478"/>
      <c r="BW141" s="478"/>
      <c r="BX141" s="478"/>
      <c r="BY141" s="478"/>
      <c r="BZ141" s="478"/>
      <c r="CA141" s="478"/>
      <c r="CB141" s="478"/>
      <c r="CC141" s="478"/>
      <c r="CD141" s="478"/>
      <c r="CE141" s="478"/>
      <c r="CF141" s="478"/>
      <c r="CG141" s="478"/>
      <c r="CH141" s="478"/>
      <c r="CI141" s="478"/>
      <c r="CJ141" s="478"/>
      <c r="CK141" s="478"/>
      <c r="CL141" s="478"/>
      <c r="CM141" s="478"/>
      <c r="CN141" s="478"/>
      <c r="CO141" s="478"/>
      <c r="CP141" s="478"/>
      <c r="CQ141" s="478"/>
      <c r="CR141" s="478"/>
      <c r="CS141" s="478"/>
      <c r="CT141" s="478"/>
      <c r="CU141" s="478"/>
      <c r="CV141" s="478"/>
      <c r="CW141" s="478"/>
      <c r="CX141" s="478"/>
      <c r="CY141" s="478"/>
      <c r="CZ141" s="478"/>
      <c r="DA141" s="478"/>
      <c r="DB141" s="478"/>
      <c r="DC141" s="478"/>
      <c r="DD141" s="478"/>
      <c r="DE141" s="478"/>
      <c r="DF141" s="478"/>
      <c r="DG141" s="478"/>
      <c r="DH141" s="478"/>
      <c r="DI141" s="478"/>
    </row>
    <row r="142" spans="1:113" ht="8.1" customHeight="1" outlineLevel="1" x14ac:dyDescent="0.3">
      <c r="A142" s="455" t="str">
        <f t="shared" ref="A142" si="641">IF(COUNTIF(A122:A141,"Imprimir")&gt;0,"Imprimir","")</f>
        <v>Imprimir</v>
      </c>
      <c r="B142" s="455"/>
      <c r="C142" s="464"/>
      <c r="D142" s="461"/>
      <c r="E142" s="462"/>
      <c r="F142" s="462"/>
      <c r="G142" s="461"/>
      <c r="H142" s="461"/>
      <c r="I142" s="461"/>
      <c r="J142" s="259"/>
      <c r="K142" s="255"/>
      <c r="L142" s="256"/>
      <c r="M142" s="257"/>
      <c r="N142" s="255"/>
      <c r="O142" s="255"/>
      <c r="P142" s="255"/>
      <c r="Q142" s="255"/>
      <c r="R142" s="255"/>
      <c r="S142" s="255"/>
      <c r="T142" s="255"/>
      <c r="U142" s="255"/>
      <c r="V142" s="255"/>
      <c r="W142" s="255"/>
      <c r="X142" s="255"/>
      <c r="Y142" s="255"/>
      <c r="Z142" s="255"/>
      <c r="AA142" s="255"/>
      <c r="AB142" s="255"/>
      <c r="AC142" s="255"/>
      <c r="AD142" s="255"/>
      <c r="AE142" s="255"/>
      <c r="AF142" s="255"/>
      <c r="AG142" s="255"/>
      <c r="AH142" s="255"/>
      <c r="AI142" s="255"/>
      <c r="AJ142" s="255"/>
      <c r="AK142" s="255"/>
      <c r="AL142" s="255"/>
      <c r="AM142" s="524"/>
      <c r="AN142" s="255"/>
      <c r="AO142" s="255"/>
      <c r="AP142" s="255"/>
      <c r="AQ142" s="255"/>
      <c r="AR142" s="255"/>
      <c r="AS142" s="255"/>
      <c r="AT142" s="255"/>
      <c r="AU142" s="255"/>
      <c r="AV142" s="255"/>
      <c r="AW142" s="255"/>
      <c r="AX142" s="255"/>
      <c r="AY142" s="255"/>
      <c r="AZ142" s="255"/>
      <c r="BA142" s="255"/>
      <c r="BB142" s="255"/>
      <c r="BC142" s="255"/>
      <c r="BD142" s="255"/>
      <c r="BE142" s="255"/>
      <c r="BF142" s="255"/>
      <c r="BG142" s="255"/>
      <c r="BH142" s="255"/>
      <c r="BI142" s="255"/>
      <c r="BJ142" s="245"/>
      <c r="BK142" s="256"/>
      <c r="BL142" s="256"/>
      <c r="BM142" s="257"/>
      <c r="BN142" s="255"/>
      <c r="BO142" s="255"/>
      <c r="BP142" s="255"/>
      <c r="BQ142" s="255"/>
      <c r="BR142" s="255"/>
      <c r="BS142" s="255"/>
      <c r="BT142" s="255"/>
      <c r="BU142" s="255"/>
      <c r="BV142" s="255"/>
      <c r="BW142" s="255"/>
      <c r="BX142" s="255"/>
      <c r="BY142" s="255"/>
      <c r="BZ142" s="255"/>
      <c r="CA142" s="255"/>
      <c r="CB142" s="255"/>
      <c r="CC142" s="255"/>
      <c r="CD142" s="255"/>
      <c r="CE142" s="255"/>
      <c r="CF142" s="255"/>
      <c r="CG142" s="255"/>
      <c r="CH142" s="255"/>
      <c r="CI142" s="255"/>
      <c r="CJ142" s="255"/>
      <c r="CK142" s="255"/>
      <c r="CL142" s="255"/>
      <c r="CM142" s="255"/>
      <c r="CN142" s="255"/>
      <c r="CO142" s="255"/>
      <c r="CP142" s="255"/>
      <c r="CQ142" s="255"/>
      <c r="CR142" s="255"/>
      <c r="CS142" s="255"/>
      <c r="CT142" s="255"/>
      <c r="CU142" s="255"/>
      <c r="CV142" s="255"/>
      <c r="CW142" s="255"/>
      <c r="CX142" s="255"/>
      <c r="CY142" s="255"/>
      <c r="CZ142" s="255"/>
      <c r="DA142" s="255"/>
      <c r="DB142" s="255"/>
      <c r="DC142" s="255"/>
      <c r="DD142" s="255"/>
      <c r="DE142" s="255"/>
      <c r="DF142" s="255"/>
      <c r="DG142" s="255"/>
      <c r="DH142" s="255"/>
      <c r="DI142" s="524"/>
    </row>
    <row r="143" spans="1:113" ht="16.05" customHeight="1" x14ac:dyDescent="0.3">
      <c r="A143" s="455" t="str">
        <f>IF(COUNTIF(A144:A253,"Imprimir")&gt;0,"Imprimir","")</f>
        <v>Imprimir</v>
      </c>
      <c r="B143" s="455"/>
      <c r="C143" s="457" t="s">
        <v>781</v>
      </c>
      <c r="D143" s="457"/>
      <c r="E143" s="458" t="s">
        <v>3305</v>
      </c>
      <c r="F143" s="458"/>
      <c r="G143" s="458"/>
      <c r="H143" s="467"/>
      <c r="I143" s="467">
        <f>SUBTOTAL(9,I144:I253)</f>
        <v>991424.59000000008</v>
      </c>
      <c r="J143" s="259"/>
      <c r="K143" s="467"/>
      <c r="L143" s="467">
        <f>SUBTOTAL(9,L144:L253)</f>
        <v>0</v>
      </c>
      <c r="M143" s="245"/>
      <c r="N143" s="467">
        <f>SUBTOTAL(9,N144,N166,N188,N210,N232)</f>
        <v>0</v>
      </c>
      <c r="O143" s="467">
        <f t="shared" ref="O143:BI143" si="642">SUBTOTAL(9,O144,O166,O188,O210,O232)</f>
        <v>0</v>
      </c>
      <c r="P143" s="467">
        <f t="shared" si="642"/>
        <v>0</v>
      </c>
      <c r="Q143" s="467">
        <f t="shared" si="642"/>
        <v>0</v>
      </c>
      <c r="R143" s="467">
        <f t="shared" si="642"/>
        <v>0</v>
      </c>
      <c r="S143" s="467">
        <f t="shared" si="642"/>
        <v>0</v>
      </c>
      <c r="T143" s="467">
        <f t="shared" si="642"/>
        <v>0</v>
      </c>
      <c r="U143" s="467">
        <f t="shared" si="642"/>
        <v>0</v>
      </c>
      <c r="V143" s="467">
        <f t="shared" si="642"/>
        <v>0</v>
      </c>
      <c r="W143" s="467">
        <f t="shared" si="642"/>
        <v>0</v>
      </c>
      <c r="X143" s="467">
        <f t="shared" si="642"/>
        <v>0</v>
      </c>
      <c r="Y143" s="467">
        <f t="shared" si="642"/>
        <v>0</v>
      </c>
      <c r="Z143" s="467">
        <f t="shared" si="642"/>
        <v>0</v>
      </c>
      <c r="AA143" s="467">
        <f t="shared" si="642"/>
        <v>0</v>
      </c>
      <c r="AB143" s="467">
        <f t="shared" si="642"/>
        <v>0</v>
      </c>
      <c r="AC143" s="467">
        <f t="shared" si="642"/>
        <v>0</v>
      </c>
      <c r="AD143" s="467">
        <f t="shared" si="642"/>
        <v>0</v>
      </c>
      <c r="AE143" s="467">
        <f t="shared" si="642"/>
        <v>0</v>
      </c>
      <c r="AF143" s="467">
        <f t="shared" si="642"/>
        <v>0</v>
      </c>
      <c r="AG143" s="467">
        <f t="shared" si="642"/>
        <v>0</v>
      </c>
      <c r="AH143" s="467">
        <f t="shared" si="642"/>
        <v>0</v>
      </c>
      <c r="AI143" s="467">
        <f t="shared" si="642"/>
        <v>0</v>
      </c>
      <c r="AJ143" s="467">
        <f t="shared" si="642"/>
        <v>0</v>
      </c>
      <c r="AK143" s="467">
        <f t="shared" si="642"/>
        <v>0</v>
      </c>
      <c r="AL143" s="467">
        <f t="shared" si="642"/>
        <v>0</v>
      </c>
      <c r="AM143" s="467">
        <f t="shared" si="642"/>
        <v>0</v>
      </c>
      <c r="AN143" s="467">
        <f t="shared" si="642"/>
        <v>0</v>
      </c>
      <c r="AO143" s="467">
        <f t="shared" si="642"/>
        <v>0</v>
      </c>
      <c r="AP143" s="467">
        <f t="shared" si="642"/>
        <v>0</v>
      </c>
      <c r="AQ143" s="467">
        <f t="shared" si="642"/>
        <v>0</v>
      </c>
      <c r="AR143" s="467">
        <f t="shared" si="642"/>
        <v>0</v>
      </c>
      <c r="AS143" s="467">
        <f t="shared" si="642"/>
        <v>0</v>
      </c>
      <c r="AT143" s="467">
        <f t="shared" si="642"/>
        <v>0</v>
      </c>
      <c r="AU143" s="467">
        <f t="shared" si="642"/>
        <v>0</v>
      </c>
      <c r="AV143" s="467">
        <f t="shared" si="642"/>
        <v>0</v>
      </c>
      <c r="AW143" s="467">
        <f t="shared" si="642"/>
        <v>0</v>
      </c>
      <c r="AX143" s="467">
        <f t="shared" si="642"/>
        <v>0</v>
      </c>
      <c r="AY143" s="467">
        <f t="shared" si="642"/>
        <v>0</v>
      </c>
      <c r="AZ143" s="467">
        <f t="shared" si="642"/>
        <v>0</v>
      </c>
      <c r="BA143" s="467">
        <f t="shared" si="642"/>
        <v>0</v>
      </c>
      <c r="BB143" s="467">
        <f t="shared" si="642"/>
        <v>0</v>
      </c>
      <c r="BC143" s="467">
        <f t="shared" si="642"/>
        <v>0</v>
      </c>
      <c r="BD143" s="467">
        <f t="shared" si="642"/>
        <v>0</v>
      </c>
      <c r="BE143" s="467">
        <f t="shared" si="642"/>
        <v>0</v>
      </c>
      <c r="BF143" s="467">
        <f t="shared" si="642"/>
        <v>0</v>
      </c>
      <c r="BG143" s="467">
        <f t="shared" si="642"/>
        <v>0</v>
      </c>
      <c r="BH143" s="467">
        <f t="shared" si="642"/>
        <v>0</v>
      </c>
      <c r="BI143" s="542">
        <f t="shared" si="642"/>
        <v>0</v>
      </c>
      <c r="BJ143" s="546"/>
      <c r="BK143" s="476">
        <f t="shared" ref="BK143:BK144" si="643">IFERROR(BL143/I143,0)</f>
        <v>0.62206993473906069</v>
      </c>
      <c r="BL143" s="467">
        <f>SUBTOTAL(9,BL144:BL253)</f>
        <v>616735.43000000005</v>
      </c>
      <c r="BM143" s="245"/>
      <c r="BN143" s="467">
        <f>SUBTOTAL(9,BN144,BN166,BN188,BN210,BN232)</f>
        <v>0</v>
      </c>
      <c r="BO143" s="467">
        <f t="shared" ref="BO143:DI143" si="644">SUBTOTAL(9,BO144,BO166,BO188,BO210,BO232)</f>
        <v>0</v>
      </c>
      <c r="BP143" s="467">
        <f t="shared" si="644"/>
        <v>0</v>
      </c>
      <c r="BQ143" s="467">
        <f t="shared" si="644"/>
        <v>0</v>
      </c>
      <c r="BR143" s="467">
        <f t="shared" si="644"/>
        <v>0</v>
      </c>
      <c r="BS143" s="467">
        <f t="shared" si="644"/>
        <v>0</v>
      </c>
      <c r="BT143" s="467">
        <f t="shared" si="644"/>
        <v>0</v>
      </c>
      <c r="BU143" s="467">
        <f t="shared" si="644"/>
        <v>0</v>
      </c>
      <c r="BV143" s="467">
        <f t="shared" si="644"/>
        <v>295162.92000000004</v>
      </c>
      <c r="BW143" s="467">
        <f t="shared" si="644"/>
        <v>321572.51</v>
      </c>
      <c r="BX143" s="467">
        <f t="shared" si="644"/>
        <v>0</v>
      </c>
      <c r="BY143" s="467">
        <f t="shared" si="644"/>
        <v>0</v>
      </c>
      <c r="BZ143" s="467">
        <f t="shared" si="644"/>
        <v>0</v>
      </c>
      <c r="CA143" s="467">
        <f t="shared" si="644"/>
        <v>0</v>
      </c>
      <c r="CB143" s="467">
        <f t="shared" si="644"/>
        <v>0</v>
      </c>
      <c r="CC143" s="467">
        <f t="shared" si="644"/>
        <v>0</v>
      </c>
      <c r="CD143" s="467">
        <f t="shared" si="644"/>
        <v>0</v>
      </c>
      <c r="CE143" s="467">
        <f t="shared" si="644"/>
        <v>0</v>
      </c>
      <c r="CF143" s="467">
        <f t="shared" si="644"/>
        <v>0</v>
      </c>
      <c r="CG143" s="467">
        <f t="shared" si="644"/>
        <v>0</v>
      </c>
      <c r="CH143" s="467">
        <f t="shared" si="644"/>
        <v>0</v>
      </c>
      <c r="CI143" s="467">
        <f t="shared" si="644"/>
        <v>0</v>
      </c>
      <c r="CJ143" s="467">
        <f t="shared" si="644"/>
        <v>0</v>
      </c>
      <c r="CK143" s="467">
        <f t="shared" si="644"/>
        <v>0</v>
      </c>
      <c r="CL143" s="467">
        <f t="shared" si="644"/>
        <v>0</v>
      </c>
      <c r="CM143" s="467">
        <f t="shared" si="644"/>
        <v>0</v>
      </c>
      <c r="CN143" s="467">
        <f t="shared" si="644"/>
        <v>0</v>
      </c>
      <c r="CO143" s="467">
        <f t="shared" si="644"/>
        <v>0</v>
      </c>
      <c r="CP143" s="467">
        <f t="shared" si="644"/>
        <v>0</v>
      </c>
      <c r="CQ143" s="467">
        <f t="shared" si="644"/>
        <v>0</v>
      </c>
      <c r="CR143" s="467">
        <f t="shared" si="644"/>
        <v>0</v>
      </c>
      <c r="CS143" s="467">
        <f t="shared" si="644"/>
        <v>0</v>
      </c>
      <c r="CT143" s="467">
        <f t="shared" si="644"/>
        <v>0</v>
      </c>
      <c r="CU143" s="467">
        <f t="shared" si="644"/>
        <v>0</v>
      </c>
      <c r="CV143" s="467">
        <f t="shared" si="644"/>
        <v>0</v>
      </c>
      <c r="CW143" s="467">
        <f t="shared" si="644"/>
        <v>0</v>
      </c>
      <c r="CX143" s="467">
        <f t="shared" si="644"/>
        <v>0</v>
      </c>
      <c r="CY143" s="467">
        <f t="shared" si="644"/>
        <v>0</v>
      </c>
      <c r="CZ143" s="467">
        <f t="shared" si="644"/>
        <v>0</v>
      </c>
      <c r="DA143" s="467">
        <f t="shared" si="644"/>
        <v>0</v>
      </c>
      <c r="DB143" s="467">
        <f t="shared" si="644"/>
        <v>0</v>
      </c>
      <c r="DC143" s="467">
        <f t="shared" si="644"/>
        <v>0</v>
      </c>
      <c r="DD143" s="467">
        <f t="shared" si="644"/>
        <v>0</v>
      </c>
      <c r="DE143" s="467">
        <f t="shared" si="644"/>
        <v>0</v>
      </c>
      <c r="DF143" s="467">
        <f t="shared" si="644"/>
        <v>0</v>
      </c>
      <c r="DG143" s="467">
        <f t="shared" si="644"/>
        <v>0</v>
      </c>
      <c r="DH143" s="467">
        <f t="shared" si="644"/>
        <v>0</v>
      </c>
      <c r="DI143" s="467">
        <f t="shared" si="644"/>
        <v>0</v>
      </c>
    </row>
    <row r="144" spans="1:113" ht="16.05" customHeight="1" x14ac:dyDescent="0.3">
      <c r="A144" s="455" t="str">
        <f t="shared" ref="A144" si="645">IF(COUNTIF(A145:A164,"Imprimir")&gt;0,"Imprimir","")</f>
        <v>Imprimir</v>
      </c>
      <c r="B144" s="455"/>
      <c r="C144" s="459"/>
      <c r="D144" s="459"/>
      <c r="E144" s="460" t="s">
        <v>3306</v>
      </c>
      <c r="F144" s="460"/>
      <c r="G144" s="460"/>
      <c r="H144" s="465"/>
      <c r="I144" s="465">
        <f>SUBTOTAL(9,I145:I165)</f>
        <v>674791.49000000011</v>
      </c>
      <c r="J144" s="259"/>
      <c r="K144" s="465"/>
      <c r="L144" s="465">
        <f>SUBTOTAL(9,L145:L155)</f>
        <v>0</v>
      </c>
      <c r="M144" s="257"/>
      <c r="N144" s="465">
        <f>SUMPRODUCT(N145:N155,$H145:$H155)</f>
        <v>0</v>
      </c>
      <c r="O144" s="465">
        <f>SUMPRODUCT(O145:O155,$H145:$H155)</f>
        <v>0</v>
      </c>
      <c r="P144" s="465">
        <f t="shared" ref="P144" si="646">SUMPRODUCT(P145:P155,$H145:$H155)</f>
        <v>0</v>
      </c>
      <c r="Q144" s="465">
        <f t="shared" ref="Q144" si="647">SUMPRODUCT(Q145:Q155,$H145:$H155)</f>
        <v>0</v>
      </c>
      <c r="R144" s="465">
        <f t="shared" ref="R144" si="648">SUMPRODUCT(R145:R155,$H145:$H155)</f>
        <v>0</v>
      </c>
      <c r="S144" s="465">
        <f t="shared" ref="S144" si="649">SUMPRODUCT(S145:S155,$H145:$H155)</f>
        <v>0</v>
      </c>
      <c r="T144" s="465">
        <f t="shared" ref="T144" si="650">SUMPRODUCT(T145:T155,$H145:$H155)</f>
        <v>0</v>
      </c>
      <c r="U144" s="465">
        <f t="shared" ref="U144" si="651">SUMPRODUCT(U145:U155,$H145:$H155)</f>
        <v>0</v>
      </c>
      <c r="V144" s="465">
        <f t="shared" ref="V144" si="652">SUMPRODUCT(V145:V155,$H145:$H155)</f>
        <v>0</v>
      </c>
      <c r="W144" s="465">
        <f t="shared" ref="W144" si="653">SUMPRODUCT(W145:W155,$H145:$H155)</f>
        <v>0</v>
      </c>
      <c r="X144" s="465">
        <f t="shared" ref="X144" si="654">SUMPRODUCT(X145:X155,$H145:$H155)</f>
        <v>0</v>
      </c>
      <c r="Y144" s="465">
        <f t="shared" ref="Y144" si="655">SUMPRODUCT(Y145:Y155,$H145:$H155)</f>
        <v>0</v>
      </c>
      <c r="Z144" s="465">
        <f t="shared" ref="Z144" si="656">SUMPRODUCT(Z145:Z155,$H145:$H155)</f>
        <v>0</v>
      </c>
      <c r="AA144" s="465">
        <f t="shared" ref="AA144" si="657">SUMPRODUCT(AA145:AA155,$H145:$H155)</f>
        <v>0</v>
      </c>
      <c r="AB144" s="465">
        <f t="shared" ref="AB144" si="658">SUMPRODUCT(AB145:AB155,$H145:$H155)</f>
        <v>0</v>
      </c>
      <c r="AC144" s="465">
        <f t="shared" ref="AC144" si="659">SUMPRODUCT(AC145:AC155,$H145:$H155)</f>
        <v>0</v>
      </c>
      <c r="AD144" s="465">
        <f t="shared" ref="AD144" si="660">SUMPRODUCT(AD145:AD155,$H145:$H155)</f>
        <v>0</v>
      </c>
      <c r="AE144" s="465">
        <f t="shared" ref="AE144" si="661">SUMPRODUCT(AE145:AE155,$H145:$H155)</f>
        <v>0</v>
      </c>
      <c r="AF144" s="465">
        <f t="shared" ref="AF144" si="662">SUMPRODUCT(AF145:AF155,$H145:$H155)</f>
        <v>0</v>
      </c>
      <c r="AG144" s="465">
        <f t="shared" ref="AG144" si="663">SUMPRODUCT(AG145:AG155,$H145:$H155)</f>
        <v>0</v>
      </c>
      <c r="AH144" s="465">
        <f t="shared" ref="AH144" si="664">SUMPRODUCT(AH145:AH155,$H145:$H155)</f>
        <v>0</v>
      </c>
      <c r="AI144" s="465">
        <f t="shared" ref="AI144" si="665">SUMPRODUCT(AI145:AI155,$H145:$H155)</f>
        <v>0</v>
      </c>
      <c r="AJ144" s="465">
        <f t="shared" ref="AJ144:BI144" si="666">SUMPRODUCT(AJ145:AJ155,$H145:$H155)</f>
        <v>0</v>
      </c>
      <c r="AK144" s="465">
        <f t="shared" si="666"/>
        <v>0</v>
      </c>
      <c r="AL144" s="465">
        <f t="shared" si="666"/>
        <v>0</v>
      </c>
      <c r="AM144" s="465">
        <f t="shared" si="666"/>
        <v>0</v>
      </c>
      <c r="AN144" s="465">
        <f t="shared" si="666"/>
        <v>0</v>
      </c>
      <c r="AO144" s="465">
        <f t="shared" si="666"/>
        <v>0</v>
      </c>
      <c r="AP144" s="465">
        <f t="shared" si="666"/>
        <v>0</v>
      </c>
      <c r="AQ144" s="465">
        <f t="shared" si="666"/>
        <v>0</v>
      </c>
      <c r="AR144" s="465">
        <f t="shared" si="666"/>
        <v>0</v>
      </c>
      <c r="AS144" s="465">
        <f t="shared" si="666"/>
        <v>0</v>
      </c>
      <c r="AT144" s="465">
        <f t="shared" si="666"/>
        <v>0</v>
      </c>
      <c r="AU144" s="465">
        <f t="shared" si="666"/>
        <v>0</v>
      </c>
      <c r="AV144" s="465">
        <f t="shared" si="666"/>
        <v>0</v>
      </c>
      <c r="AW144" s="465">
        <f t="shared" si="666"/>
        <v>0</v>
      </c>
      <c r="AX144" s="465">
        <f t="shared" si="666"/>
        <v>0</v>
      </c>
      <c r="AY144" s="465">
        <f t="shared" si="666"/>
        <v>0</v>
      </c>
      <c r="AZ144" s="465">
        <f t="shared" si="666"/>
        <v>0</v>
      </c>
      <c r="BA144" s="465">
        <f t="shared" si="666"/>
        <v>0</v>
      </c>
      <c r="BB144" s="465">
        <f t="shared" si="666"/>
        <v>0</v>
      </c>
      <c r="BC144" s="465">
        <f t="shared" si="666"/>
        <v>0</v>
      </c>
      <c r="BD144" s="465">
        <f t="shared" si="666"/>
        <v>0</v>
      </c>
      <c r="BE144" s="465">
        <f t="shared" si="666"/>
        <v>0</v>
      </c>
      <c r="BF144" s="465">
        <f t="shared" si="666"/>
        <v>0</v>
      </c>
      <c r="BG144" s="465">
        <f t="shared" si="666"/>
        <v>0</v>
      </c>
      <c r="BH144" s="465">
        <f t="shared" si="666"/>
        <v>0</v>
      </c>
      <c r="BI144" s="543">
        <f t="shared" si="666"/>
        <v>0</v>
      </c>
      <c r="BJ144" s="546"/>
      <c r="BK144" s="475">
        <f t="shared" si="643"/>
        <v>0.61231593184436861</v>
      </c>
      <c r="BL144" s="465">
        <f>SUBTOTAL(9,BL145:BL155)</f>
        <v>413185.58</v>
      </c>
      <c r="BM144" s="257"/>
      <c r="BN144" s="465">
        <f>SUMPRODUCT(BN145:BN155,$H145:$H155)</f>
        <v>0</v>
      </c>
      <c r="BO144" s="465">
        <f>SUMPRODUCT(BO145:BO155,$H145:$H155)</f>
        <v>0</v>
      </c>
      <c r="BP144" s="465">
        <f t="shared" ref="BP144" si="667">SUMPRODUCT(BP145:BP155,$H145:$H155)</f>
        <v>0</v>
      </c>
      <c r="BQ144" s="465">
        <f t="shared" ref="BQ144" si="668">SUMPRODUCT(BQ145:BQ155,$H145:$H155)</f>
        <v>0</v>
      </c>
      <c r="BR144" s="465">
        <f t="shared" ref="BR144" si="669">SUMPRODUCT(BR145:BR155,$H145:$H155)</f>
        <v>0</v>
      </c>
      <c r="BS144" s="465">
        <f t="shared" ref="BS144" si="670">SUMPRODUCT(BS145:BS155,$H145:$H155)</f>
        <v>0</v>
      </c>
      <c r="BT144" s="465">
        <f t="shared" ref="BT144" si="671">SUMPRODUCT(BT145:BT155,$H145:$H155)</f>
        <v>0</v>
      </c>
      <c r="BU144" s="465">
        <f t="shared" ref="BU144" si="672">SUMPRODUCT(BU145:BU155,$H145:$H155)</f>
        <v>0</v>
      </c>
      <c r="BV144" s="465">
        <f t="shared" ref="BV144" si="673">SUMPRODUCT(BV145:BV155,$H145:$H155)</f>
        <v>182079.67</v>
      </c>
      <c r="BW144" s="465">
        <f t="shared" ref="BW144" si="674">SUMPRODUCT(BW145:BW155,$H145:$H155)</f>
        <v>231105.91</v>
      </c>
      <c r="BX144" s="465">
        <f t="shared" ref="BX144" si="675">SUMPRODUCT(BX145:BX155,$H145:$H155)</f>
        <v>0</v>
      </c>
      <c r="BY144" s="465">
        <f t="shared" ref="BY144" si="676">SUMPRODUCT(BY145:BY155,$H145:$H155)</f>
        <v>0</v>
      </c>
      <c r="BZ144" s="465">
        <f t="shared" ref="BZ144" si="677">SUMPRODUCT(BZ145:BZ155,$H145:$H155)</f>
        <v>0</v>
      </c>
      <c r="CA144" s="465">
        <f t="shared" ref="CA144" si="678">SUMPRODUCT(CA145:CA155,$H145:$H155)</f>
        <v>0</v>
      </c>
      <c r="CB144" s="465">
        <f t="shared" ref="CB144" si="679">SUMPRODUCT(CB145:CB155,$H145:$H155)</f>
        <v>0</v>
      </c>
      <c r="CC144" s="465">
        <f t="shared" ref="CC144" si="680">SUMPRODUCT(CC145:CC155,$H145:$H155)</f>
        <v>0</v>
      </c>
      <c r="CD144" s="465">
        <f t="shared" ref="CD144" si="681">SUMPRODUCT(CD145:CD155,$H145:$H155)</f>
        <v>0</v>
      </c>
      <c r="CE144" s="465">
        <f t="shared" ref="CE144" si="682">SUMPRODUCT(CE145:CE155,$H145:$H155)</f>
        <v>0</v>
      </c>
      <c r="CF144" s="465">
        <f t="shared" ref="CF144" si="683">SUMPRODUCT(CF145:CF155,$H145:$H155)</f>
        <v>0</v>
      </c>
      <c r="CG144" s="465">
        <f t="shared" ref="CG144" si="684">SUMPRODUCT(CG145:CG155,$H145:$H155)</f>
        <v>0</v>
      </c>
      <c r="CH144" s="465">
        <f t="shared" ref="CH144" si="685">SUMPRODUCT(CH145:CH155,$H145:$H155)</f>
        <v>0</v>
      </c>
      <c r="CI144" s="465">
        <f t="shared" ref="CI144" si="686">SUMPRODUCT(CI145:CI155,$H145:$H155)</f>
        <v>0</v>
      </c>
      <c r="CJ144" s="465">
        <f t="shared" ref="CJ144" si="687">SUMPRODUCT(CJ145:CJ155,$H145:$H155)</f>
        <v>0</v>
      </c>
      <c r="CK144" s="465">
        <f t="shared" ref="CK144" si="688">SUMPRODUCT(CK145:CK155,$H145:$H155)</f>
        <v>0</v>
      </c>
      <c r="CL144" s="465">
        <f t="shared" ref="CL144" si="689">SUMPRODUCT(CL145:CL155,$H145:$H155)</f>
        <v>0</v>
      </c>
      <c r="CM144" s="465">
        <f t="shared" ref="CM144" si="690">SUMPRODUCT(CM145:CM155,$H145:$H155)</f>
        <v>0</v>
      </c>
      <c r="CN144" s="465">
        <f t="shared" ref="CN144" si="691">SUMPRODUCT(CN145:CN155,$H145:$H155)</f>
        <v>0</v>
      </c>
      <c r="CO144" s="465">
        <f t="shared" ref="CO144" si="692">SUMPRODUCT(CO145:CO155,$H145:$H155)</f>
        <v>0</v>
      </c>
      <c r="CP144" s="465">
        <f t="shared" ref="CP144" si="693">SUMPRODUCT(CP145:CP155,$H145:$H155)</f>
        <v>0</v>
      </c>
      <c r="CQ144" s="465">
        <f t="shared" ref="CQ144" si="694">SUMPRODUCT(CQ145:CQ155,$H145:$H155)</f>
        <v>0</v>
      </c>
      <c r="CR144" s="465">
        <f t="shared" ref="CR144" si="695">SUMPRODUCT(CR145:CR155,$H145:$H155)</f>
        <v>0</v>
      </c>
      <c r="CS144" s="465">
        <f t="shared" ref="CS144" si="696">SUMPRODUCT(CS145:CS155,$H145:$H155)</f>
        <v>0</v>
      </c>
      <c r="CT144" s="465">
        <f t="shared" ref="CT144" si="697">SUMPRODUCT(CT145:CT155,$H145:$H155)</f>
        <v>0</v>
      </c>
      <c r="CU144" s="465">
        <f t="shared" ref="CU144" si="698">SUMPRODUCT(CU145:CU155,$H145:$H155)</f>
        <v>0</v>
      </c>
      <c r="CV144" s="465">
        <f t="shared" ref="CV144" si="699">SUMPRODUCT(CV145:CV155,$H145:$H155)</f>
        <v>0</v>
      </c>
      <c r="CW144" s="465">
        <f t="shared" ref="CW144" si="700">SUMPRODUCT(CW145:CW155,$H145:$H155)</f>
        <v>0</v>
      </c>
      <c r="CX144" s="465">
        <f t="shared" ref="CX144" si="701">SUMPRODUCT(CX145:CX155,$H145:$H155)</f>
        <v>0</v>
      </c>
      <c r="CY144" s="465">
        <f t="shared" ref="CY144" si="702">SUMPRODUCT(CY145:CY155,$H145:$H155)</f>
        <v>0</v>
      </c>
      <c r="CZ144" s="465">
        <f t="shared" ref="CZ144" si="703">SUMPRODUCT(CZ145:CZ155,$H145:$H155)</f>
        <v>0</v>
      </c>
      <c r="DA144" s="465">
        <f t="shared" ref="DA144" si="704">SUMPRODUCT(DA145:DA155,$H145:$H155)</f>
        <v>0</v>
      </c>
      <c r="DB144" s="465">
        <f t="shared" ref="DB144" si="705">SUMPRODUCT(DB145:DB155,$H145:$H155)</f>
        <v>0</v>
      </c>
      <c r="DC144" s="465">
        <f t="shared" ref="DC144" si="706">SUMPRODUCT(DC145:DC155,$H145:$H155)</f>
        <v>0</v>
      </c>
      <c r="DD144" s="465">
        <f t="shared" ref="DD144" si="707">SUMPRODUCT(DD145:DD155,$H145:$H155)</f>
        <v>0</v>
      </c>
      <c r="DE144" s="465">
        <f t="shared" ref="DE144" si="708">SUMPRODUCT(DE145:DE155,$H145:$H155)</f>
        <v>0</v>
      </c>
      <c r="DF144" s="465">
        <f t="shared" ref="DF144" si="709">SUMPRODUCT(DF145:DF155,$H145:$H155)</f>
        <v>0</v>
      </c>
      <c r="DG144" s="465">
        <f t="shared" ref="DG144" si="710">SUMPRODUCT(DG145:DG155,$H145:$H155)</f>
        <v>0</v>
      </c>
      <c r="DH144" s="465">
        <f t="shared" ref="DH144" si="711">SUMPRODUCT(DH145:DH155,$H145:$H155)</f>
        <v>0</v>
      </c>
      <c r="DI144" s="465">
        <f t="shared" ref="DI144" si="712">SUMPRODUCT(DI145:DI155,$H145:$H155)</f>
        <v>0</v>
      </c>
    </row>
    <row r="145" spans="1:113" ht="16.05" customHeight="1" outlineLevel="1" x14ac:dyDescent="0.3">
      <c r="A145" s="455" t="str">
        <f t="shared" ref="A145:A208" si="713">IF(E145="","","Imprimir")</f>
        <v>Imprimir</v>
      </c>
      <c r="B145" s="455"/>
      <c r="C145" s="481">
        <v>25081030</v>
      </c>
      <c r="D145" s="463" t="s">
        <v>782</v>
      </c>
      <c r="E145" s="482" t="s">
        <v>3554</v>
      </c>
      <c r="F145" s="483" t="s">
        <v>3308</v>
      </c>
      <c r="G145" s="484">
        <v>1</v>
      </c>
      <c r="H145" s="485">
        <v>45233.3</v>
      </c>
      <c r="I145" s="466">
        <f t="shared" ref="I145:I147" si="714">G145*H145</f>
        <v>45233.3</v>
      </c>
      <c r="J145" s="259"/>
      <c r="K145" s="478">
        <f>SUM(N145:BI145)</f>
        <v>0</v>
      </c>
      <c r="L145" s="466">
        <f>K145*$H145</f>
        <v>0</v>
      </c>
      <c r="M145" s="257"/>
      <c r="N145" s="478"/>
      <c r="O145" s="478"/>
      <c r="P145" s="478"/>
      <c r="Q145" s="478"/>
      <c r="R145" s="478"/>
      <c r="S145" s="478"/>
      <c r="T145" s="478"/>
      <c r="U145" s="478"/>
      <c r="V145" s="478"/>
      <c r="W145" s="478"/>
      <c r="X145" s="478"/>
      <c r="Y145" s="478"/>
      <c r="Z145" s="478"/>
      <c r="AA145" s="478"/>
      <c r="AB145" s="478"/>
      <c r="AC145" s="478"/>
      <c r="AD145" s="478"/>
      <c r="AE145" s="478"/>
      <c r="AF145" s="478"/>
      <c r="AG145" s="478"/>
      <c r="AH145" s="478"/>
      <c r="AI145" s="478"/>
      <c r="AJ145" s="478"/>
      <c r="AK145" s="478"/>
      <c r="AL145" s="478"/>
      <c r="AM145" s="478"/>
      <c r="AN145" s="478"/>
      <c r="AO145" s="478"/>
      <c r="AP145" s="478"/>
      <c r="AQ145" s="478"/>
      <c r="AR145" s="478"/>
      <c r="AS145" s="478"/>
      <c r="AT145" s="478"/>
      <c r="AU145" s="478"/>
      <c r="AV145" s="478"/>
      <c r="AW145" s="478"/>
      <c r="AX145" s="478"/>
      <c r="AY145" s="478"/>
      <c r="AZ145" s="478"/>
      <c r="BA145" s="478"/>
      <c r="BB145" s="478"/>
      <c r="BC145" s="478"/>
      <c r="BD145" s="478"/>
      <c r="BE145" s="478"/>
      <c r="BF145" s="478"/>
      <c r="BG145" s="478"/>
      <c r="BH145" s="478"/>
      <c r="BI145" s="544"/>
      <c r="BJ145" s="546"/>
      <c r="BK145" s="477">
        <f>IFERROR(BL145/I145,0)</f>
        <v>1</v>
      </c>
      <c r="BL145" s="466">
        <f>SUM(BN145:DJ145)*$H145</f>
        <v>45233.3</v>
      </c>
      <c r="BM145" s="257"/>
      <c r="BN145" s="478"/>
      <c r="BO145" s="478"/>
      <c r="BP145" s="478"/>
      <c r="BQ145" s="478"/>
      <c r="BR145" s="478"/>
      <c r="BS145" s="478"/>
      <c r="BT145" s="478"/>
      <c r="BU145" s="478"/>
      <c r="BV145" s="478">
        <v>1</v>
      </c>
      <c r="BW145" s="478"/>
      <c r="BX145" s="478"/>
      <c r="BY145" s="478"/>
      <c r="BZ145" s="478"/>
      <c r="CA145" s="478"/>
      <c r="CB145" s="478"/>
      <c r="CC145" s="478"/>
      <c r="CD145" s="478"/>
      <c r="CE145" s="478"/>
      <c r="CF145" s="478"/>
      <c r="CG145" s="478"/>
      <c r="CH145" s="478"/>
      <c r="CI145" s="478"/>
      <c r="CJ145" s="478"/>
      <c r="CK145" s="478"/>
      <c r="CL145" s="478"/>
      <c r="CM145" s="478"/>
      <c r="CN145" s="478"/>
      <c r="CO145" s="478"/>
      <c r="CP145" s="478"/>
      <c r="CQ145" s="478"/>
      <c r="CR145" s="478"/>
      <c r="CS145" s="478"/>
      <c r="CT145" s="478"/>
      <c r="CU145" s="478"/>
      <c r="CV145" s="478"/>
      <c r="CW145" s="478"/>
      <c r="CX145" s="478"/>
      <c r="CY145" s="478"/>
      <c r="CZ145" s="478"/>
      <c r="DA145" s="478"/>
      <c r="DB145" s="478"/>
      <c r="DC145" s="478"/>
      <c r="DD145" s="478"/>
      <c r="DE145" s="478"/>
      <c r="DF145" s="478"/>
      <c r="DG145" s="478"/>
      <c r="DH145" s="478"/>
      <c r="DI145" s="478"/>
    </row>
    <row r="146" spans="1:113" ht="16.05" customHeight="1" outlineLevel="1" x14ac:dyDescent="0.3">
      <c r="A146" s="455" t="str">
        <f t="shared" si="713"/>
        <v>Imprimir</v>
      </c>
      <c r="B146" s="455"/>
      <c r="C146" s="481">
        <v>25081030</v>
      </c>
      <c r="D146" s="463" t="s">
        <v>783</v>
      </c>
      <c r="E146" s="482" t="s">
        <v>3366</v>
      </c>
      <c r="F146" s="483" t="s">
        <v>3308</v>
      </c>
      <c r="G146" s="484">
        <v>1</v>
      </c>
      <c r="H146" s="485">
        <v>45233.3</v>
      </c>
      <c r="I146" s="466">
        <f t="shared" si="714"/>
        <v>45233.3</v>
      </c>
      <c r="J146" s="259"/>
      <c r="K146" s="478">
        <f t="shared" ref="K146:K164" si="715">SUM(N146:BI146)</f>
        <v>0</v>
      </c>
      <c r="L146" s="466">
        <f t="shared" ref="L146:L164" si="716">K146*$H146</f>
        <v>0</v>
      </c>
      <c r="M146" s="257"/>
      <c r="N146" s="478"/>
      <c r="O146" s="478"/>
      <c r="P146" s="478"/>
      <c r="Q146" s="478"/>
      <c r="R146" s="478"/>
      <c r="S146" s="478"/>
      <c r="T146" s="478"/>
      <c r="U146" s="478"/>
      <c r="V146" s="478"/>
      <c r="W146" s="478"/>
      <c r="X146" s="478"/>
      <c r="Y146" s="478"/>
      <c r="Z146" s="478"/>
      <c r="AA146" s="478"/>
      <c r="AB146" s="478"/>
      <c r="AC146" s="478"/>
      <c r="AD146" s="478"/>
      <c r="AE146" s="478"/>
      <c r="AF146" s="478"/>
      <c r="AG146" s="478"/>
      <c r="AH146" s="478"/>
      <c r="AI146" s="478"/>
      <c r="AJ146" s="478"/>
      <c r="AK146" s="478"/>
      <c r="AL146" s="478"/>
      <c r="AM146" s="478"/>
      <c r="AN146" s="478"/>
      <c r="AO146" s="478"/>
      <c r="AP146" s="478"/>
      <c r="AQ146" s="478"/>
      <c r="AR146" s="478"/>
      <c r="AS146" s="478"/>
      <c r="AT146" s="478"/>
      <c r="AU146" s="478"/>
      <c r="AV146" s="478"/>
      <c r="AW146" s="478"/>
      <c r="AX146" s="478"/>
      <c r="AY146" s="478"/>
      <c r="AZ146" s="478"/>
      <c r="BA146" s="478"/>
      <c r="BB146" s="478"/>
      <c r="BC146" s="478"/>
      <c r="BD146" s="478"/>
      <c r="BE146" s="478"/>
      <c r="BF146" s="478"/>
      <c r="BG146" s="478"/>
      <c r="BH146" s="478"/>
      <c r="BI146" s="544"/>
      <c r="BJ146" s="546"/>
      <c r="BK146" s="477">
        <f t="shared" ref="BK146:BK164" si="717">IFERROR(BL146/I146,0)</f>
        <v>1</v>
      </c>
      <c r="BL146" s="466">
        <f t="shared" ref="BL146:BL164" si="718">SUM(BN146:DJ146)*$H146</f>
        <v>45233.3</v>
      </c>
      <c r="BM146" s="257"/>
      <c r="BN146" s="478"/>
      <c r="BO146" s="478"/>
      <c r="BP146" s="478"/>
      <c r="BQ146" s="478"/>
      <c r="BR146" s="478"/>
      <c r="BS146" s="478"/>
      <c r="BT146" s="478"/>
      <c r="BU146" s="478"/>
      <c r="BV146" s="478">
        <v>1</v>
      </c>
      <c r="BW146" s="478"/>
      <c r="BX146" s="478"/>
      <c r="BY146" s="478"/>
      <c r="BZ146" s="478"/>
      <c r="CA146" s="478"/>
      <c r="CB146" s="478"/>
      <c r="CC146" s="478"/>
      <c r="CD146" s="478"/>
      <c r="CE146" s="478"/>
      <c r="CF146" s="478"/>
      <c r="CG146" s="478"/>
      <c r="CH146" s="478"/>
      <c r="CI146" s="478"/>
      <c r="CJ146" s="478"/>
      <c r="CK146" s="478"/>
      <c r="CL146" s="478"/>
      <c r="CM146" s="478"/>
      <c r="CN146" s="478"/>
      <c r="CO146" s="478"/>
      <c r="CP146" s="478"/>
      <c r="CQ146" s="478"/>
      <c r="CR146" s="478"/>
      <c r="CS146" s="478"/>
      <c r="CT146" s="478"/>
      <c r="CU146" s="478"/>
      <c r="CV146" s="478"/>
      <c r="CW146" s="478"/>
      <c r="CX146" s="478"/>
      <c r="CY146" s="478"/>
      <c r="CZ146" s="478"/>
      <c r="DA146" s="478"/>
      <c r="DB146" s="478"/>
      <c r="DC146" s="478"/>
      <c r="DD146" s="478"/>
      <c r="DE146" s="478"/>
      <c r="DF146" s="478"/>
      <c r="DG146" s="478"/>
      <c r="DH146" s="478"/>
      <c r="DI146" s="478"/>
    </row>
    <row r="147" spans="1:113" ht="16.05" customHeight="1" outlineLevel="1" x14ac:dyDescent="0.3">
      <c r="A147" s="455" t="str">
        <f t="shared" si="713"/>
        <v>Imprimir</v>
      </c>
      <c r="B147" s="455"/>
      <c r="C147" s="481">
        <v>25091067</v>
      </c>
      <c r="D147" s="463" t="s">
        <v>784</v>
      </c>
      <c r="E147" s="482" t="s">
        <v>3555</v>
      </c>
      <c r="F147" s="483" t="s">
        <v>3308</v>
      </c>
      <c r="G147" s="484">
        <v>1</v>
      </c>
      <c r="H147" s="485">
        <v>45233.3</v>
      </c>
      <c r="I147" s="466">
        <f t="shared" si="714"/>
        <v>45233.3</v>
      </c>
      <c r="J147" s="259"/>
      <c r="K147" s="478">
        <f t="shared" si="715"/>
        <v>0</v>
      </c>
      <c r="L147" s="466">
        <f t="shared" si="716"/>
        <v>0</v>
      </c>
      <c r="M147" s="257"/>
      <c r="N147" s="478"/>
      <c r="O147" s="478"/>
      <c r="P147" s="478"/>
      <c r="Q147" s="478"/>
      <c r="R147" s="478"/>
      <c r="S147" s="478"/>
      <c r="T147" s="478"/>
      <c r="U147" s="478"/>
      <c r="V147" s="478"/>
      <c r="W147" s="478"/>
      <c r="X147" s="478"/>
      <c r="Y147" s="478"/>
      <c r="Z147" s="478"/>
      <c r="AA147" s="478"/>
      <c r="AB147" s="478"/>
      <c r="AC147" s="478"/>
      <c r="AD147" s="478"/>
      <c r="AE147" s="478"/>
      <c r="AF147" s="478"/>
      <c r="AG147" s="478"/>
      <c r="AH147" s="478"/>
      <c r="AI147" s="478"/>
      <c r="AJ147" s="478"/>
      <c r="AK147" s="478"/>
      <c r="AL147" s="478"/>
      <c r="AM147" s="478"/>
      <c r="AN147" s="478"/>
      <c r="AO147" s="478"/>
      <c r="AP147" s="478"/>
      <c r="AQ147" s="478"/>
      <c r="AR147" s="478"/>
      <c r="AS147" s="478"/>
      <c r="AT147" s="478"/>
      <c r="AU147" s="478"/>
      <c r="AV147" s="478"/>
      <c r="AW147" s="478"/>
      <c r="AX147" s="478"/>
      <c r="AY147" s="478"/>
      <c r="AZ147" s="478"/>
      <c r="BA147" s="478"/>
      <c r="BB147" s="478"/>
      <c r="BC147" s="478"/>
      <c r="BD147" s="478"/>
      <c r="BE147" s="478"/>
      <c r="BF147" s="478"/>
      <c r="BG147" s="478"/>
      <c r="BH147" s="478"/>
      <c r="BI147" s="544"/>
      <c r="BJ147" s="546"/>
      <c r="BK147" s="477">
        <f t="shared" si="717"/>
        <v>1</v>
      </c>
      <c r="BL147" s="466">
        <f t="shared" si="718"/>
        <v>45233.3</v>
      </c>
      <c r="BM147" s="257"/>
      <c r="BN147" s="478"/>
      <c r="BO147" s="478"/>
      <c r="BP147" s="478"/>
      <c r="BQ147" s="478"/>
      <c r="BR147" s="478"/>
      <c r="BS147" s="478"/>
      <c r="BT147" s="478"/>
      <c r="BU147" s="478"/>
      <c r="BV147" s="478">
        <v>1</v>
      </c>
      <c r="BW147" s="478"/>
      <c r="BX147" s="478"/>
      <c r="BY147" s="478"/>
      <c r="BZ147" s="478"/>
      <c r="CA147" s="478"/>
      <c r="CB147" s="478"/>
      <c r="CC147" s="478"/>
      <c r="CD147" s="478"/>
      <c r="CE147" s="478"/>
      <c r="CF147" s="478"/>
      <c r="CG147" s="478"/>
      <c r="CH147" s="478"/>
      <c r="CI147" s="478"/>
      <c r="CJ147" s="478"/>
      <c r="CK147" s="478"/>
      <c r="CL147" s="478"/>
      <c r="CM147" s="478"/>
      <c r="CN147" s="478"/>
      <c r="CO147" s="478"/>
      <c r="CP147" s="478"/>
      <c r="CQ147" s="478"/>
      <c r="CR147" s="478"/>
      <c r="CS147" s="478"/>
      <c r="CT147" s="478"/>
      <c r="CU147" s="478"/>
      <c r="CV147" s="478"/>
      <c r="CW147" s="478"/>
      <c r="CX147" s="478"/>
      <c r="CY147" s="478"/>
      <c r="CZ147" s="478"/>
      <c r="DA147" s="478"/>
      <c r="DB147" s="478"/>
      <c r="DC147" s="478"/>
      <c r="DD147" s="478"/>
      <c r="DE147" s="478"/>
      <c r="DF147" s="478"/>
      <c r="DG147" s="478"/>
      <c r="DH147" s="478"/>
      <c r="DI147" s="478"/>
    </row>
    <row r="148" spans="1:113" ht="16.05" customHeight="1" outlineLevel="1" x14ac:dyDescent="0.3">
      <c r="A148" s="455" t="str">
        <f t="shared" si="713"/>
        <v>Imprimir</v>
      </c>
      <c r="B148" s="455"/>
      <c r="C148" s="481">
        <v>25091067</v>
      </c>
      <c r="D148" s="463" t="s">
        <v>785</v>
      </c>
      <c r="E148" s="482" t="s">
        <v>3365</v>
      </c>
      <c r="F148" s="483" t="s">
        <v>3308</v>
      </c>
      <c r="G148" s="484">
        <v>1</v>
      </c>
      <c r="H148" s="485">
        <v>46379.77</v>
      </c>
      <c r="I148" s="466">
        <f>G148*H148</f>
        <v>46379.77</v>
      </c>
      <c r="J148" s="259"/>
      <c r="K148" s="478">
        <f t="shared" si="715"/>
        <v>0</v>
      </c>
      <c r="L148" s="466">
        <f t="shared" si="716"/>
        <v>0</v>
      </c>
      <c r="M148" s="257"/>
      <c r="N148" s="478"/>
      <c r="O148" s="478"/>
      <c r="P148" s="478"/>
      <c r="Q148" s="478"/>
      <c r="R148" s="478"/>
      <c r="S148" s="478"/>
      <c r="T148" s="478"/>
      <c r="U148" s="478"/>
      <c r="V148" s="478"/>
      <c r="W148" s="478"/>
      <c r="X148" s="478"/>
      <c r="Y148" s="478"/>
      <c r="Z148" s="478"/>
      <c r="AA148" s="478"/>
      <c r="AB148" s="478"/>
      <c r="AC148" s="478"/>
      <c r="AD148" s="478"/>
      <c r="AE148" s="478"/>
      <c r="AF148" s="478"/>
      <c r="AG148" s="478"/>
      <c r="AH148" s="478"/>
      <c r="AI148" s="478"/>
      <c r="AJ148" s="478"/>
      <c r="AK148" s="478"/>
      <c r="AL148" s="478"/>
      <c r="AM148" s="478"/>
      <c r="AN148" s="478"/>
      <c r="AO148" s="478"/>
      <c r="AP148" s="478"/>
      <c r="AQ148" s="478"/>
      <c r="AR148" s="478"/>
      <c r="AS148" s="478"/>
      <c r="AT148" s="478"/>
      <c r="AU148" s="478"/>
      <c r="AV148" s="478"/>
      <c r="AW148" s="478"/>
      <c r="AX148" s="478"/>
      <c r="AY148" s="478"/>
      <c r="AZ148" s="478"/>
      <c r="BA148" s="478"/>
      <c r="BB148" s="478"/>
      <c r="BC148" s="478"/>
      <c r="BD148" s="478"/>
      <c r="BE148" s="478"/>
      <c r="BF148" s="478"/>
      <c r="BG148" s="478"/>
      <c r="BH148" s="478"/>
      <c r="BI148" s="544"/>
      <c r="BJ148" s="546"/>
      <c r="BK148" s="477">
        <f t="shared" si="717"/>
        <v>1</v>
      </c>
      <c r="BL148" s="466">
        <f t="shared" si="718"/>
        <v>46379.77</v>
      </c>
      <c r="BM148" s="257"/>
      <c r="BN148" s="478"/>
      <c r="BO148" s="478"/>
      <c r="BP148" s="478"/>
      <c r="BQ148" s="478"/>
      <c r="BR148" s="478"/>
      <c r="BS148" s="478"/>
      <c r="BT148" s="478"/>
      <c r="BU148" s="478"/>
      <c r="BV148" s="478">
        <v>1</v>
      </c>
      <c r="BW148" s="478"/>
      <c r="BX148" s="478"/>
      <c r="BY148" s="478"/>
      <c r="BZ148" s="478"/>
      <c r="CA148" s="478"/>
      <c r="CB148" s="478"/>
      <c r="CC148" s="478"/>
      <c r="CD148" s="478"/>
      <c r="CE148" s="478"/>
      <c r="CF148" s="478"/>
      <c r="CG148" s="478"/>
      <c r="CH148" s="478"/>
      <c r="CI148" s="478"/>
      <c r="CJ148" s="478"/>
      <c r="CK148" s="478"/>
      <c r="CL148" s="478"/>
      <c r="CM148" s="478"/>
      <c r="CN148" s="478"/>
      <c r="CO148" s="478"/>
      <c r="CP148" s="478"/>
      <c r="CQ148" s="478"/>
      <c r="CR148" s="478"/>
      <c r="CS148" s="478"/>
      <c r="CT148" s="478"/>
      <c r="CU148" s="478"/>
      <c r="CV148" s="478"/>
      <c r="CW148" s="478"/>
      <c r="CX148" s="478"/>
      <c r="CY148" s="478"/>
      <c r="CZ148" s="478"/>
      <c r="DA148" s="478"/>
      <c r="DB148" s="478"/>
      <c r="DC148" s="478"/>
      <c r="DD148" s="478"/>
      <c r="DE148" s="478"/>
      <c r="DF148" s="478"/>
      <c r="DG148" s="478"/>
      <c r="DH148" s="478"/>
      <c r="DI148" s="478"/>
    </row>
    <row r="149" spans="1:113" ht="16.05" customHeight="1" outlineLevel="1" x14ac:dyDescent="0.3">
      <c r="A149" s="455" t="str">
        <f t="shared" si="713"/>
        <v>Imprimir</v>
      </c>
      <c r="B149" s="455"/>
      <c r="C149" s="481">
        <v>25091067</v>
      </c>
      <c r="D149" s="463" t="s">
        <v>786</v>
      </c>
      <c r="E149" s="482" t="s">
        <v>3367</v>
      </c>
      <c r="F149" s="483" t="s">
        <v>3308</v>
      </c>
      <c r="G149" s="484">
        <v>1</v>
      </c>
      <c r="H149" s="485">
        <v>46379.77</v>
      </c>
      <c r="I149" s="466">
        <f t="shared" ref="I149:I164" si="719">G149*H149</f>
        <v>46379.77</v>
      </c>
      <c r="J149" s="259"/>
      <c r="K149" s="478">
        <f t="shared" si="715"/>
        <v>0</v>
      </c>
      <c r="L149" s="466">
        <f t="shared" si="716"/>
        <v>0</v>
      </c>
      <c r="M149" s="257"/>
      <c r="N149" s="478"/>
      <c r="O149" s="478"/>
      <c r="P149" s="478"/>
      <c r="Q149" s="478"/>
      <c r="R149" s="478"/>
      <c r="S149" s="478"/>
      <c r="T149" s="478"/>
      <c r="U149" s="478"/>
      <c r="V149" s="478"/>
      <c r="W149" s="478"/>
      <c r="X149" s="478"/>
      <c r="Y149" s="478"/>
      <c r="Z149" s="478"/>
      <c r="AA149" s="478"/>
      <c r="AB149" s="478"/>
      <c r="AC149" s="478"/>
      <c r="AD149" s="478"/>
      <c r="AE149" s="478"/>
      <c r="AF149" s="478"/>
      <c r="AG149" s="478"/>
      <c r="AH149" s="478"/>
      <c r="AI149" s="478"/>
      <c r="AJ149" s="478"/>
      <c r="AK149" s="478"/>
      <c r="AL149" s="478"/>
      <c r="AM149" s="478"/>
      <c r="AN149" s="478"/>
      <c r="AO149" s="478"/>
      <c r="AP149" s="478"/>
      <c r="AQ149" s="478"/>
      <c r="AR149" s="478"/>
      <c r="AS149" s="478"/>
      <c r="AT149" s="478"/>
      <c r="AU149" s="478"/>
      <c r="AV149" s="478"/>
      <c r="AW149" s="478"/>
      <c r="AX149" s="478"/>
      <c r="AY149" s="478"/>
      <c r="AZ149" s="478"/>
      <c r="BA149" s="478"/>
      <c r="BB149" s="478"/>
      <c r="BC149" s="478"/>
      <c r="BD149" s="478"/>
      <c r="BE149" s="478"/>
      <c r="BF149" s="478"/>
      <c r="BG149" s="478"/>
      <c r="BH149" s="478"/>
      <c r="BI149" s="544"/>
      <c r="BJ149" s="546"/>
      <c r="BK149" s="477">
        <f t="shared" si="717"/>
        <v>1</v>
      </c>
      <c r="BL149" s="466">
        <f t="shared" si="718"/>
        <v>46379.77</v>
      </c>
      <c r="BM149" s="257"/>
      <c r="BN149" s="478"/>
      <c r="BO149" s="478"/>
      <c r="BP149" s="478"/>
      <c r="BQ149" s="478"/>
      <c r="BR149" s="478"/>
      <c r="BS149" s="478"/>
      <c r="BT149" s="478"/>
      <c r="BU149" s="478"/>
      <c r="BV149" s="478"/>
      <c r="BW149" s="478">
        <v>1</v>
      </c>
      <c r="BX149" s="478"/>
      <c r="BY149" s="478"/>
      <c r="BZ149" s="478"/>
      <c r="CA149" s="478"/>
      <c r="CB149" s="478"/>
      <c r="CC149" s="478"/>
      <c r="CD149" s="478"/>
      <c r="CE149" s="478"/>
      <c r="CF149" s="478"/>
      <c r="CG149" s="478"/>
      <c r="CH149" s="478"/>
      <c r="CI149" s="478"/>
      <c r="CJ149" s="478"/>
      <c r="CK149" s="478"/>
      <c r="CL149" s="478"/>
      <c r="CM149" s="478"/>
      <c r="CN149" s="478"/>
      <c r="CO149" s="478"/>
      <c r="CP149" s="478"/>
      <c r="CQ149" s="478"/>
      <c r="CR149" s="478"/>
      <c r="CS149" s="478"/>
      <c r="CT149" s="478"/>
      <c r="CU149" s="478"/>
      <c r="CV149" s="478"/>
      <c r="CW149" s="478"/>
      <c r="CX149" s="478"/>
      <c r="CY149" s="478"/>
      <c r="CZ149" s="478"/>
      <c r="DA149" s="478"/>
      <c r="DB149" s="478"/>
      <c r="DC149" s="478"/>
      <c r="DD149" s="478"/>
      <c r="DE149" s="478"/>
      <c r="DF149" s="478"/>
      <c r="DG149" s="478"/>
      <c r="DH149" s="478"/>
      <c r="DI149" s="478"/>
    </row>
    <row r="150" spans="1:113" ht="16.05" customHeight="1" outlineLevel="1" x14ac:dyDescent="0.3">
      <c r="A150" s="455" t="str">
        <f t="shared" si="713"/>
        <v>Imprimir</v>
      </c>
      <c r="B150" s="455"/>
      <c r="C150" s="481">
        <v>25091067</v>
      </c>
      <c r="D150" s="463" t="s">
        <v>787</v>
      </c>
      <c r="E150" s="482" t="s">
        <v>3369</v>
      </c>
      <c r="F150" s="483" t="s">
        <v>3308</v>
      </c>
      <c r="G150" s="484">
        <v>1</v>
      </c>
      <c r="H150" s="485">
        <v>47879.77</v>
      </c>
      <c r="I150" s="466">
        <f t="shared" si="719"/>
        <v>47879.77</v>
      </c>
      <c r="J150" s="259"/>
      <c r="K150" s="478">
        <f t="shared" si="715"/>
        <v>0</v>
      </c>
      <c r="L150" s="466">
        <f t="shared" si="716"/>
        <v>0</v>
      </c>
      <c r="M150" s="257"/>
      <c r="N150" s="478"/>
      <c r="O150" s="478"/>
      <c r="P150" s="478"/>
      <c r="Q150" s="478"/>
      <c r="R150" s="478"/>
      <c r="S150" s="478"/>
      <c r="T150" s="478"/>
      <c r="U150" s="478"/>
      <c r="V150" s="478"/>
      <c r="W150" s="478"/>
      <c r="X150" s="478"/>
      <c r="Y150" s="478"/>
      <c r="Z150" s="478"/>
      <c r="AA150" s="478"/>
      <c r="AB150" s="478"/>
      <c r="AC150" s="478"/>
      <c r="AD150" s="478"/>
      <c r="AE150" s="478"/>
      <c r="AF150" s="478"/>
      <c r="AG150" s="478"/>
      <c r="AH150" s="478"/>
      <c r="AI150" s="478"/>
      <c r="AJ150" s="478"/>
      <c r="AK150" s="478"/>
      <c r="AL150" s="478"/>
      <c r="AM150" s="478"/>
      <c r="AN150" s="478"/>
      <c r="AO150" s="478"/>
      <c r="AP150" s="478"/>
      <c r="AQ150" s="478"/>
      <c r="AR150" s="478"/>
      <c r="AS150" s="478"/>
      <c r="AT150" s="478"/>
      <c r="AU150" s="478"/>
      <c r="AV150" s="478"/>
      <c r="AW150" s="478"/>
      <c r="AX150" s="478"/>
      <c r="AY150" s="478"/>
      <c r="AZ150" s="478"/>
      <c r="BA150" s="478"/>
      <c r="BB150" s="478"/>
      <c r="BC150" s="478"/>
      <c r="BD150" s="478"/>
      <c r="BE150" s="478"/>
      <c r="BF150" s="478"/>
      <c r="BG150" s="478"/>
      <c r="BH150" s="478"/>
      <c r="BI150" s="544"/>
      <c r="BJ150" s="546"/>
      <c r="BK150" s="477">
        <f t="shared" si="717"/>
        <v>1</v>
      </c>
      <c r="BL150" s="466">
        <f t="shared" si="718"/>
        <v>47879.77</v>
      </c>
      <c r="BM150" s="257"/>
      <c r="BN150" s="478"/>
      <c r="BO150" s="478"/>
      <c r="BP150" s="478"/>
      <c r="BQ150" s="478"/>
      <c r="BR150" s="478"/>
      <c r="BS150" s="478"/>
      <c r="BT150" s="478"/>
      <c r="BU150" s="478"/>
      <c r="BV150" s="478"/>
      <c r="BW150" s="478">
        <v>1</v>
      </c>
      <c r="BX150" s="478"/>
      <c r="BY150" s="478"/>
      <c r="BZ150" s="478"/>
      <c r="CA150" s="478"/>
      <c r="CB150" s="478"/>
      <c r="CC150" s="478"/>
      <c r="CD150" s="478"/>
      <c r="CE150" s="478"/>
      <c r="CF150" s="478"/>
      <c r="CG150" s="478"/>
      <c r="CH150" s="478"/>
      <c r="CI150" s="478"/>
      <c r="CJ150" s="478"/>
      <c r="CK150" s="478"/>
      <c r="CL150" s="478"/>
      <c r="CM150" s="478"/>
      <c r="CN150" s="478"/>
      <c r="CO150" s="478"/>
      <c r="CP150" s="478"/>
      <c r="CQ150" s="478"/>
      <c r="CR150" s="478"/>
      <c r="CS150" s="478"/>
      <c r="CT150" s="478"/>
      <c r="CU150" s="478"/>
      <c r="CV150" s="478"/>
      <c r="CW150" s="478"/>
      <c r="CX150" s="478"/>
      <c r="CY150" s="478"/>
      <c r="CZ150" s="478"/>
      <c r="DA150" s="478"/>
      <c r="DB150" s="478"/>
      <c r="DC150" s="478"/>
      <c r="DD150" s="478"/>
      <c r="DE150" s="478"/>
      <c r="DF150" s="478"/>
      <c r="DG150" s="478"/>
      <c r="DH150" s="478"/>
      <c r="DI150" s="478"/>
    </row>
    <row r="151" spans="1:113" ht="16.05" customHeight="1" outlineLevel="1" x14ac:dyDescent="0.3">
      <c r="A151" s="455" t="str">
        <f t="shared" si="713"/>
        <v>Imprimir</v>
      </c>
      <c r="B151" s="455"/>
      <c r="C151" s="481">
        <v>25081030</v>
      </c>
      <c r="D151" s="463" t="s">
        <v>788</v>
      </c>
      <c r="E151" s="482" t="s">
        <v>3368</v>
      </c>
      <c r="F151" s="483" t="s">
        <v>3308</v>
      </c>
      <c r="G151" s="484">
        <v>1</v>
      </c>
      <c r="H151" s="485">
        <v>45233.3</v>
      </c>
      <c r="I151" s="466">
        <f t="shared" si="719"/>
        <v>45233.3</v>
      </c>
      <c r="J151" s="259"/>
      <c r="K151" s="478">
        <f t="shared" si="715"/>
        <v>0</v>
      </c>
      <c r="L151" s="466">
        <f t="shared" si="716"/>
        <v>0</v>
      </c>
      <c r="M151" s="257"/>
      <c r="N151" s="478"/>
      <c r="O151" s="478"/>
      <c r="P151" s="478"/>
      <c r="Q151" s="478"/>
      <c r="R151" s="478"/>
      <c r="S151" s="478"/>
      <c r="T151" s="478"/>
      <c r="U151" s="478"/>
      <c r="V151" s="478"/>
      <c r="W151" s="478"/>
      <c r="X151" s="478"/>
      <c r="Y151" s="478"/>
      <c r="Z151" s="478"/>
      <c r="AA151" s="478"/>
      <c r="AB151" s="478"/>
      <c r="AC151" s="478"/>
      <c r="AD151" s="478"/>
      <c r="AE151" s="478"/>
      <c r="AF151" s="478"/>
      <c r="AG151" s="478"/>
      <c r="AH151" s="478"/>
      <c r="AI151" s="478"/>
      <c r="AJ151" s="478"/>
      <c r="AK151" s="478"/>
      <c r="AL151" s="478"/>
      <c r="AM151" s="478"/>
      <c r="AN151" s="478"/>
      <c r="AO151" s="478"/>
      <c r="AP151" s="478"/>
      <c r="AQ151" s="478"/>
      <c r="AR151" s="478"/>
      <c r="AS151" s="478"/>
      <c r="AT151" s="478"/>
      <c r="AU151" s="478"/>
      <c r="AV151" s="478"/>
      <c r="AW151" s="478"/>
      <c r="AX151" s="478"/>
      <c r="AY151" s="478"/>
      <c r="AZ151" s="478"/>
      <c r="BA151" s="478"/>
      <c r="BB151" s="478"/>
      <c r="BC151" s="478"/>
      <c r="BD151" s="478"/>
      <c r="BE151" s="478"/>
      <c r="BF151" s="478"/>
      <c r="BG151" s="478"/>
      <c r="BH151" s="478"/>
      <c r="BI151" s="544"/>
      <c r="BJ151" s="546"/>
      <c r="BK151" s="477">
        <f t="shared" si="717"/>
        <v>1</v>
      </c>
      <c r="BL151" s="466">
        <f t="shared" si="718"/>
        <v>45233.3</v>
      </c>
      <c r="BM151" s="257"/>
      <c r="BN151" s="478"/>
      <c r="BO151" s="478"/>
      <c r="BP151" s="478"/>
      <c r="BQ151" s="478"/>
      <c r="BR151" s="478"/>
      <c r="BS151" s="478"/>
      <c r="BT151" s="478"/>
      <c r="BU151" s="478"/>
      <c r="BV151" s="478"/>
      <c r="BW151" s="478">
        <v>1</v>
      </c>
      <c r="BX151" s="478"/>
      <c r="BY151" s="478"/>
      <c r="BZ151" s="478"/>
      <c r="CA151" s="478"/>
      <c r="CB151" s="478"/>
      <c r="CC151" s="478"/>
      <c r="CD151" s="478"/>
      <c r="CE151" s="478"/>
      <c r="CF151" s="478"/>
      <c r="CG151" s="478"/>
      <c r="CH151" s="478"/>
      <c r="CI151" s="478"/>
      <c r="CJ151" s="478"/>
      <c r="CK151" s="478"/>
      <c r="CL151" s="478"/>
      <c r="CM151" s="478"/>
      <c r="CN151" s="478"/>
      <c r="CO151" s="478"/>
      <c r="CP151" s="478"/>
      <c r="CQ151" s="478"/>
      <c r="CR151" s="478"/>
      <c r="CS151" s="478"/>
      <c r="CT151" s="478"/>
      <c r="CU151" s="478"/>
      <c r="CV151" s="478"/>
      <c r="CW151" s="478"/>
      <c r="CX151" s="478"/>
      <c r="CY151" s="478"/>
      <c r="CZ151" s="478"/>
      <c r="DA151" s="478"/>
      <c r="DB151" s="478"/>
      <c r="DC151" s="478"/>
      <c r="DD151" s="478"/>
      <c r="DE151" s="478"/>
      <c r="DF151" s="478"/>
      <c r="DG151" s="478"/>
      <c r="DH151" s="478"/>
      <c r="DI151" s="478"/>
    </row>
    <row r="152" spans="1:113" ht="16.05" customHeight="1" outlineLevel="1" x14ac:dyDescent="0.3">
      <c r="A152" s="455" t="str">
        <f t="shared" si="713"/>
        <v>Imprimir</v>
      </c>
      <c r="B152" s="455"/>
      <c r="C152" s="871">
        <v>25091088</v>
      </c>
      <c r="D152" s="463" t="s">
        <v>789</v>
      </c>
      <c r="E152" s="482" t="s">
        <v>3752</v>
      </c>
      <c r="F152" s="483" t="s">
        <v>3308</v>
      </c>
      <c r="G152" s="484">
        <v>1</v>
      </c>
      <c r="H152" s="485">
        <v>46379.77</v>
      </c>
      <c r="I152" s="466">
        <f t="shared" si="719"/>
        <v>46379.77</v>
      </c>
      <c r="J152" s="259"/>
      <c r="K152" s="478">
        <f t="shared" si="715"/>
        <v>0</v>
      </c>
      <c r="L152" s="466">
        <f t="shared" si="716"/>
        <v>0</v>
      </c>
      <c r="M152" s="257"/>
      <c r="N152" s="478"/>
      <c r="O152" s="478"/>
      <c r="P152" s="478"/>
      <c r="Q152" s="478"/>
      <c r="R152" s="478"/>
      <c r="S152" s="478"/>
      <c r="T152" s="478"/>
      <c r="U152" s="478"/>
      <c r="V152" s="478"/>
      <c r="W152" s="478"/>
      <c r="X152" s="478"/>
      <c r="Y152" s="478"/>
      <c r="Z152" s="478"/>
      <c r="AA152" s="478"/>
      <c r="AB152" s="478"/>
      <c r="AC152" s="478"/>
      <c r="AD152" s="478"/>
      <c r="AE152" s="478"/>
      <c r="AF152" s="478"/>
      <c r="AG152" s="478"/>
      <c r="AH152" s="478"/>
      <c r="AI152" s="478"/>
      <c r="AJ152" s="478"/>
      <c r="AK152" s="478"/>
      <c r="AL152" s="478"/>
      <c r="AM152" s="478"/>
      <c r="AN152" s="478"/>
      <c r="AO152" s="478"/>
      <c r="AP152" s="478"/>
      <c r="AQ152" s="478"/>
      <c r="AR152" s="478"/>
      <c r="AS152" s="478"/>
      <c r="AT152" s="478"/>
      <c r="AU152" s="478"/>
      <c r="AV152" s="478"/>
      <c r="AW152" s="478"/>
      <c r="AX152" s="478"/>
      <c r="AY152" s="478"/>
      <c r="AZ152" s="478"/>
      <c r="BA152" s="478"/>
      <c r="BB152" s="478"/>
      <c r="BC152" s="478"/>
      <c r="BD152" s="478"/>
      <c r="BE152" s="478"/>
      <c r="BF152" s="478"/>
      <c r="BG152" s="478"/>
      <c r="BH152" s="478"/>
      <c r="BI152" s="544"/>
      <c r="BJ152" s="546"/>
      <c r="BK152" s="477">
        <f t="shared" si="717"/>
        <v>0</v>
      </c>
      <c r="BL152" s="466">
        <f t="shared" si="718"/>
        <v>0</v>
      </c>
      <c r="BM152" s="257"/>
      <c r="BN152" s="478"/>
      <c r="BO152" s="478"/>
      <c r="BP152" s="478"/>
      <c r="BQ152" s="478"/>
      <c r="BR152" s="478"/>
      <c r="BS152" s="478"/>
      <c r="BT152" s="478"/>
      <c r="BU152" s="478"/>
      <c r="BV152" s="478"/>
      <c r="BW152" s="478"/>
      <c r="BX152" s="478"/>
      <c r="BY152" s="478"/>
      <c r="BZ152" s="478"/>
      <c r="CA152" s="478"/>
      <c r="CB152" s="478"/>
      <c r="CC152" s="478"/>
      <c r="CD152" s="478"/>
      <c r="CE152" s="478"/>
      <c r="CF152" s="478"/>
      <c r="CG152" s="478"/>
      <c r="CH152" s="478"/>
      <c r="CI152" s="478"/>
      <c r="CJ152" s="478"/>
      <c r="CK152" s="478"/>
      <c r="CL152" s="478"/>
      <c r="CM152" s="478"/>
      <c r="CN152" s="478"/>
      <c r="CO152" s="478"/>
      <c r="CP152" s="478"/>
      <c r="CQ152" s="478"/>
      <c r="CR152" s="478"/>
      <c r="CS152" s="478"/>
      <c r="CT152" s="478"/>
      <c r="CU152" s="478"/>
      <c r="CV152" s="478"/>
      <c r="CW152" s="478"/>
      <c r="CX152" s="478"/>
      <c r="CY152" s="478"/>
      <c r="CZ152" s="478"/>
      <c r="DA152" s="478"/>
      <c r="DB152" s="478"/>
      <c r="DC152" s="478"/>
      <c r="DD152" s="478"/>
      <c r="DE152" s="478"/>
      <c r="DF152" s="478"/>
      <c r="DG152" s="478"/>
      <c r="DH152" s="478"/>
      <c r="DI152" s="478"/>
    </row>
    <row r="153" spans="1:113" ht="16.05" customHeight="1" outlineLevel="1" x14ac:dyDescent="0.3">
      <c r="A153" s="455" t="str">
        <f t="shared" si="713"/>
        <v>Imprimir</v>
      </c>
      <c r="B153" s="455"/>
      <c r="C153" s="871">
        <v>25091088</v>
      </c>
      <c r="D153" s="463" t="s">
        <v>790</v>
      </c>
      <c r="E153" s="482" t="s">
        <v>3753</v>
      </c>
      <c r="F153" s="483" t="s">
        <v>3308</v>
      </c>
      <c r="G153" s="484">
        <v>1</v>
      </c>
      <c r="H153" s="485">
        <v>45233.3</v>
      </c>
      <c r="I153" s="466">
        <f t="shared" si="719"/>
        <v>45233.3</v>
      </c>
      <c r="J153" s="259"/>
      <c r="K153" s="478">
        <f t="shared" si="715"/>
        <v>0</v>
      </c>
      <c r="L153" s="466">
        <f t="shared" si="716"/>
        <v>0</v>
      </c>
      <c r="M153" s="257"/>
      <c r="N153" s="478"/>
      <c r="O153" s="478"/>
      <c r="P153" s="478"/>
      <c r="Q153" s="478"/>
      <c r="R153" s="478"/>
      <c r="S153" s="478"/>
      <c r="T153" s="478"/>
      <c r="U153" s="478"/>
      <c r="V153" s="478"/>
      <c r="W153" s="478"/>
      <c r="X153" s="478"/>
      <c r="Y153" s="478"/>
      <c r="Z153" s="478"/>
      <c r="AA153" s="478"/>
      <c r="AB153" s="478"/>
      <c r="AC153" s="478"/>
      <c r="AD153" s="478"/>
      <c r="AE153" s="478"/>
      <c r="AF153" s="478"/>
      <c r="AG153" s="478"/>
      <c r="AH153" s="478"/>
      <c r="AI153" s="478"/>
      <c r="AJ153" s="478"/>
      <c r="AK153" s="478"/>
      <c r="AL153" s="478"/>
      <c r="AM153" s="478"/>
      <c r="AN153" s="478"/>
      <c r="AO153" s="478"/>
      <c r="AP153" s="478"/>
      <c r="AQ153" s="478"/>
      <c r="AR153" s="478"/>
      <c r="AS153" s="478"/>
      <c r="AT153" s="478"/>
      <c r="AU153" s="478"/>
      <c r="AV153" s="478"/>
      <c r="AW153" s="478"/>
      <c r="AX153" s="478"/>
      <c r="AY153" s="478"/>
      <c r="AZ153" s="478"/>
      <c r="BA153" s="478"/>
      <c r="BB153" s="478"/>
      <c r="BC153" s="478"/>
      <c r="BD153" s="478"/>
      <c r="BE153" s="478"/>
      <c r="BF153" s="478"/>
      <c r="BG153" s="478"/>
      <c r="BH153" s="478"/>
      <c r="BI153" s="544"/>
      <c r="BJ153" s="546"/>
      <c r="BK153" s="477">
        <f t="shared" si="717"/>
        <v>1</v>
      </c>
      <c r="BL153" s="466">
        <f t="shared" si="718"/>
        <v>45233.3</v>
      </c>
      <c r="BM153" s="257"/>
      <c r="BN153" s="478"/>
      <c r="BO153" s="478"/>
      <c r="BP153" s="478"/>
      <c r="BQ153" s="478"/>
      <c r="BR153" s="478"/>
      <c r="BS153" s="478"/>
      <c r="BT153" s="478"/>
      <c r="BU153" s="478"/>
      <c r="BV153" s="478"/>
      <c r="BW153" s="478">
        <v>1</v>
      </c>
      <c r="BX153" s="478"/>
      <c r="BY153" s="478"/>
      <c r="BZ153" s="478"/>
      <c r="CA153" s="478"/>
      <c r="CB153" s="478"/>
      <c r="CC153" s="478"/>
      <c r="CD153" s="478"/>
      <c r="CE153" s="478"/>
      <c r="CF153" s="478"/>
      <c r="CG153" s="478"/>
      <c r="CH153" s="478"/>
      <c r="CI153" s="478"/>
      <c r="CJ153" s="478"/>
      <c r="CK153" s="478"/>
      <c r="CL153" s="478"/>
      <c r="CM153" s="478"/>
      <c r="CN153" s="478"/>
      <c r="CO153" s="478"/>
      <c r="CP153" s="478"/>
      <c r="CQ153" s="478"/>
      <c r="CR153" s="478"/>
      <c r="CS153" s="478"/>
      <c r="CT153" s="478"/>
      <c r="CU153" s="478"/>
      <c r="CV153" s="478"/>
      <c r="CW153" s="478"/>
      <c r="CX153" s="478"/>
      <c r="CY153" s="478"/>
      <c r="CZ153" s="478"/>
      <c r="DA153" s="478"/>
      <c r="DB153" s="478"/>
      <c r="DC153" s="478"/>
      <c r="DD153" s="478"/>
      <c r="DE153" s="478"/>
      <c r="DF153" s="478"/>
      <c r="DG153" s="478"/>
      <c r="DH153" s="478"/>
      <c r="DI153" s="478"/>
    </row>
    <row r="154" spans="1:113" ht="16.05" customHeight="1" outlineLevel="1" x14ac:dyDescent="0.3">
      <c r="A154" s="455" t="str">
        <f t="shared" si="713"/>
        <v>Imprimir</v>
      </c>
      <c r="B154" s="455"/>
      <c r="C154" s="871">
        <v>25091088</v>
      </c>
      <c r="D154" s="463" t="s">
        <v>791</v>
      </c>
      <c r="E154" s="482" t="s">
        <v>3754</v>
      </c>
      <c r="F154" s="483" t="s">
        <v>3308</v>
      </c>
      <c r="G154" s="484">
        <v>1</v>
      </c>
      <c r="H154" s="485">
        <v>46379.77</v>
      </c>
      <c r="I154" s="466">
        <f t="shared" si="719"/>
        <v>46379.77</v>
      </c>
      <c r="J154" s="259"/>
      <c r="K154" s="478">
        <f t="shared" si="715"/>
        <v>0</v>
      </c>
      <c r="L154" s="466">
        <f t="shared" si="716"/>
        <v>0</v>
      </c>
      <c r="M154" s="257"/>
      <c r="N154" s="478"/>
      <c r="O154" s="478"/>
      <c r="P154" s="478"/>
      <c r="Q154" s="478"/>
      <c r="R154" s="478"/>
      <c r="S154" s="478"/>
      <c r="T154" s="478"/>
      <c r="U154" s="478"/>
      <c r="V154" s="478"/>
      <c r="W154" s="478"/>
      <c r="X154" s="478"/>
      <c r="Y154" s="478"/>
      <c r="Z154" s="478"/>
      <c r="AA154" s="478"/>
      <c r="AB154" s="478"/>
      <c r="AC154" s="478"/>
      <c r="AD154" s="478"/>
      <c r="AE154" s="478"/>
      <c r="AF154" s="478"/>
      <c r="AG154" s="478"/>
      <c r="AH154" s="478"/>
      <c r="AI154" s="478"/>
      <c r="AJ154" s="478"/>
      <c r="AK154" s="478"/>
      <c r="AL154" s="478"/>
      <c r="AM154" s="478"/>
      <c r="AN154" s="478"/>
      <c r="AO154" s="478"/>
      <c r="AP154" s="478"/>
      <c r="AQ154" s="478"/>
      <c r="AR154" s="478"/>
      <c r="AS154" s="478"/>
      <c r="AT154" s="478"/>
      <c r="AU154" s="478"/>
      <c r="AV154" s="478"/>
      <c r="AW154" s="478"/>
      <c r="AX154" s="478"/>
      <c r="AY154" s="478"/>
      <c r="AZ154" s="478"/>
      <c r="BA154" s="478"/>
      <c r="BB154" s="478"/>
      <c r="BC154" s="478"/>
      <c r="BD154" s="478"/>
      <c r="BE154" s="478"/>
      <c r="BF154" s="478"/>
      <c r="BG154" s="478"/>
      <c r="BH154" s="478"/>
      <c r="BI154" s="544"/>
      <c r="BJ154" s="546"/>
      <c r="BK154" s="477">
        <f t="shared" si="717"/>
        <v>1</v>
      </c>
      <c r="BL154" s="466">
        <f t="shared" si="718"/>
        <v>46379.77</v>
      </c>
      <c r="BM154" s="257"/>
      <c r="BN154" s="478"/>
      <c r="BO154" s="478"/>
      <c r="BP154" s="478"/>
      <c r="BQ154" s="478"/>
      <c r="BR154" s="478"/>
      <c r="BS154" s="478"/>
      <c r="BT154" s="478"/>
      <c r="BU154" s="478"/>
      <c r="BV154" s="478"/>
      <c r="BW154" s="478">
        <v>1</v>
      </c>
      <c r="BX154" s="478"/>
      <c r="BY154" s="478"/>
      <c r="BZ154" s="478"/>
      <c r="CA154" s="478"/>
      <c r="CB154" s="478"/>
      <c r="CC154" s="478"/>
      <c r="CD154" s="478"/>
      <c r="CE154" s="478"/>
      <c r="CF154" s="478"/>
      <c r="CG154" s="478"/>
      <c r="CH154" s="478"/>
      <c r="CI154" s="478"/>
      <c r="CJ154" s="478"/>
      <c r="CK154" s="478"/>
      <c r="CL154" s="478"/>
      <c r="CM154" s="478"/>
      <c r="CN154" s="478"/>
      <c r="CO154" s="478"/>
      <c r="CP154" s="478"/>
      <c r="CQ154" s="478"/>
      <c r="CR154" s="478"/>
      <c r="CS154" s="478"/>
      <c r="CT154" s="478"/>
      <c r="CU154" s="478"/>
      <c r="CV154" s="478"/>
      <c r="CW154" s="478"/>
      <c r="CX154" s="478"/>
      <c r="CY154" s="478"/>
      <c r="CZ154" s="478"/>
      <c r="DA154" s="478"/>
      <c r="DB154" s="478"/>
      <c r="DC154" s="478"/>
      <c r="DD154" s="478"/>
      <c r="DE154" s="478"/>
      <c r="DF154" s="478"/>
      <c r="DG154" s="478"/>
      <c r="DH154" s="478"/>
      <c r="DI154" s="478"/>
    </row>
    <row r="155" spans="1:113" ht="16.05" customHeight="1" outlineLevel="1" x14ac:dyDescent="0.3">
      <c r="A155" s="455" t="str">
        <f t="shared" si="713"/>
        <v>Imprimir</v>
      </c>
      <c r="B155" s="455"/>
      <c r="C155" s="481">
        <v>25101251</v>
      </c>
      <c r="D155" s="463" t="s">
        <v>792</v>
      </c>
      <c r="E155" s="482" t="s">
        <v>3755</v>
      </c>
      <c r="F155" s="483" t="s">
        <v>3308</v>
      </c>
      <c r="G155" s="484">
        <v>1</v>
      </c>
      <c r="H155" s="485">
        <v>46379.77</v>
      </c>
      <c r="I155" s="466">
        <f t="shared" si="719"/>
        <v>46379.77</v>
      </c>
      <c r="J155" s="259"/>
      <c r="K155" s="478">
        <f t="shared" si="715"/>
        <v>0</v>
      </c>
      <c r="L155" s="466">
        <f t="shared" si="716"/>
        <v>0</v>
      </c>
      <c r="M155" s="257"/>
      <c r="N155" s="478"/>
      <c r="O155" s="478"/>
      <c r="P155" s="478"/>
      <c r="Q155" s="478"/>
      <c r="R155" s="478"/>
      <c r="S155" s="478"/>
      <c r="T155" s="478"/>
      <c r="U155" s="478"/>
      <c r="V155" s="478"/>
      <c r="W155" s="478"/>
      <c r="X155" s="478"/>
      <c r="Y155" s="478"/>
      <c r="Z155" s="478"/>
      <c r="AA155" s="478"/>
      <c r="AB155" s="478"/>
      <c r="AC155" s="478"/>
      <c r="AD155" s="478"/>
      <c r="AE155" s="478"/>
      <c r="AF155" s="478"/>
      <c r="AG155" s="478"/>
      <c r="AH155" s="478"/>
      <c r="AI155" s="478"/>
      <c r="AJ155" s="478"/>
      <c r="AK155" s="478"/>
      <c r="AL155" s="478"/>
      <c r="AM155" s="478"/>
      <c r="AN155" s="478"/>
      <c r="AO155" s="478"/>
      <c r="AP155" s="478"/>
      <c r="AQ155" s="478"/>
      <c r="AR155" s="478"/>
      <c r="AS155" s="478"/>
      <c r="AT155" s="478"/>
      <c r="AU155" s="478"/>
      <c r="AV155" s="478"/>
      <c r="AW155" s="478"/>
      <c r="AX155" s="478"/>
      <c r="AY155" s="478"/>
      <c r="AZ155" s="478"/>
      <c r="BA155" s="478"/>
      <c r="BB155" s="478"/>
      <c r="BC155" s="478"/>
      <c r="BD155" s="478"/>
      <c r="BE155" s="478"/>
      <c r="BF155" s="478"/>
      <c r="BG155" s="478"/>
      <c r="BH155" s="478"/>
      <c r="BI155" s="544"/>
      <c r="BJ155" s="546"/>
      <c r="BK155" s="477">
        <f t="shared" si="717"/>
        <v>0</v>
      </c>
      <c r="BL155" s="466">
        <f t="shared" si="718"/>
        <v>0</v>
      </c>
      <c r="BM155" s="257"/>
      <c r="BN155" s="478"/>
      <c r="BO155" s="478"/>
      <c r="BP155" s="478"/>
      <c r="BQ155" s="478"/>
      <c r="BR155" s="478"/>
      <c r="BS155" s="478"/>
      <c r="BT155" s="478"/>
      <c r="BU155" s="478"/>
      <c r="BV155" s="478"/>
      <c r="BW155" s="478"/>
      <c r="BX155" s="478"/>
      <c r="BY155" s="478"/>
      <c r="BZ155" s="478"/>
      <c r="CA155" s="478"/>
      <c r="CB155" s="478"/>
      <c r="CC155" s="478"/>
      <c r="CD155" s="478"/>
      <c r="CE155" s="478"/>
      <c r="CF155" s="478"/>
      <c r="CG155" s="478"/>
      <c r="CH155" s="478"/>
      <c r="CI155" s="478"/>
      <c r="CJ155" s="478"/>
      <c r="CK155" s="478"/>
      <c r="CL155" s="478"/>
      <c r="CM155" s="478"/>
      <c r="CN155" s="478"/>
      <c r="CO155" s="478"/>
      <c r="CP155" s="478"/>
      <c r="CQ155" s="478"/>
      <c r="CR155" s="478"/>
      <c r="CS155" s="478"/>
      <c r="CT155" s="478"/>
      <c r="CU155" s="478"/>
      <c r="CV155" s="478"/>
      <c r="CW155" s="478"/>
      <c r="CX155" s="478"/>
      <c r="CY155" s="478"/>
      <c r="CZ155" s="478"/>
      <c r="DA155" s="478"/>
      <c r="DB155" s="478"/>
      <c r="DC155" s="478"/>
      <c r="DD155" s="478"/>
      <c r="DE155" s="478"/>
      <c r="DF155" s="478"/>
      <c r="DG155" s="478"/>
      <c r="DH155" s="478"/>
      <c r="DI155" s="478"/>
    </row>
    <row r="156" spans="1:113" ht="16.05" customHeight="1" outlineLevel="1" x14ac:dyDescent="0.3">
      <c r="A156" s="455" t="str">
        <f t="shared" si="713"/>
        <v>Imprimir</v>
      </c>
      <c r="B156" s="455"/>
      <c r="C156" s="481">
        <v>25101251</v>
      </c>
      <c r="D156" s="463" t="s">
        <v>793</v>
      </c>
      <c r="E156" s="482" t="s">
        <v>3756</v>
      </c>
      <c r="F156" s="483" t="s">
        <v>3308</v>
      </c>
      <c r="G156" s="484">
        <v>1</v>
      </c>
      <c r="H156" s="485">
        <v>47879.77</v>
      </c>
      <c r="I156" s="466">
        <f t="shared" si="719"/>
        <v>47879.77</v>
      </c>
      <c r="J156" s="259"/>
      <c r="K156" s="478">
        <f t="shared" si="715"/>
        <v>0</v>
      </c>
      <c r="L156" s="466">
        <f t="shared" si="716"/>
        <v>0</v>
      </c>
      <c r="M156" s="257"/>
      <c r="N156" s="478"/>
      <c r="O156" s="478"/>
      <c r="P156" s="478"/>
      <c r="Q156" s="478"/>
      <c r="R156" s="478"/>
      <c r="S156" s="478"/>
      <c r="T156" s="478"/>
      <c r="U156" s="478"/>
      <c r="V156" s="478"/>
      <c r="W156" s="478"/>
      <c r="X156" s="478"/>
      <c r="Y156" s="478"/>
      <c r="Z156" s="478"/>
      <c r="AA156" s="478"/>
      <c r="AB156" s="478"/>
      <c r="AC156" s="478"/>
      <c r="AD156" s="478"/>
      <c r="AE156" s="478"/>
      <c r="AF156" s="478"/>
      <c r="AG156" s="478"/>
      <c r="AH156" s="478"/>
      <c r="AI156" s="478"/>
      <c r="AJ156" s="478"/>
      <c r="AK156" s="478"/>
      <c r="AL156" s="478"/>
      <c r="AM156" s="478"/>
      <c r="AN156" s="478"/>
      <c r="AO156" s="478"/>
      <c r="AP156" s="478"/>
      <c r="AQ156" s="478"/>
      <c r="AR156" s="478"/>
      <c r="AS156" s="478"/>
      <c r="AT156" s="478"/>
      <c r="AU156" s="478"/>
      <c r="AV156" s="478"/>
      <c r="AW156" s="478"/>
      <c r="AX156" s="478"/>
      <c r="AY156" s="478"/>
      <c r="AZ156" s="478"/>
      <c r="BA156" s="478"/>
      <c r="BB156" s="478"/>
      <c r="BC156" s="478"/>
      <c r="BD156" s="478"/>
      <c r="BE156" s="478"/>
      <c r="BF156" s="478"/>
      <c r="BG156" s="478"/>
      <c r="BH156" s="478"/>
      <c r="BI156" s="544"/>
      <c r="BJ156" s="546"/>
      <c r="BK156" s="477">
        <f t="shared" si="717"/>
        <v>0</v>
      </c>
      <c r="BL156" s="466">
        <f t="shared" si="718"/>
        <v>0</v>
      </c>
      <c r="BM156" s="257"/>
      <c r="BN156" s="478"/>
      <c r="BO156" s="478"/>
      <c r="BP156" s="478"/>
      <c r="BQ156" s="478"/>
      <c r="BR156" s="478"/>
      <c r="BS156" s="478"/>
      <c r="BT156" s="478"/>
      <c r="BU156" s="478"/>
      <c r="BV156" s="478"/>
      <c r="BW156" s="478"/>
      <c r="BX156" s="478"/>
      <c r="BY156" s="478"/>
      <c r="BZ156" s="478"/>
      <c r="CA156" s="478"/>
      <c r="CB156" s="478"/>
      <c r="CC156" s="478"/>
      <c r="CD156" s="478"/>
      <c r="CE156" s="478"/>
      <c r="CF156" s="478"/>
      <c r="CG156" s="478"/>
      <c r="CH156" s="478"/>
      <c r="CI156" s="478"/>
      <c r="CJ156" s="478"/>
      <c r="CK156" s="478"/>
      <c r="CL156" s="478"/>
      <c r="CM156" s="478"/>
      <c r="CN156" s="478"/>
      <c r="CO156" s="478"/>
      <c r="CP156" s="478"/>
      <c r="CQ156" s="478"/>
      <c r="CR156" s="478"/>
      <c r="CS156" s="478"/>
      <c r="CT156" s="478"/>
      <c r="CU156" s="478"/>
      <c r="CV156" s="478"/>
      <c r="CW156" s="478"/>
      <c r="CX156" s="478"/>
      <c r="CY156" s="478"/>
      <c r="CZ156" s="478"/>
      <c r="DA156" s="478"/>
      <c r="DB156" s="478"/>
      <c r="DC156" s="478"/>
      <c r="DD156" s="478"/>
      <c r="DE156" s="478"/>
      <c r="DF156" s="478"/>
      <c r="DG156" s="478"/>
      <c r="DH156" s="478"/>
      <c r="DI156" s="478"/>
    </row>
    <row r="157" spans="1:113" ht="16.05" customHeight="1" outlineLevel="1" x14ac:dyDescent="0.3">
      <c r="A157" s="455" t="str">
        <f t="shared" si="713"/>
        <v>Imprimir</v>
      </c>
      <c r="B157" s="455"/>
      <c r="C157" s="481">
        <v>25101251</v>
      </c>
      <c r="D157" s="463" t="s">
        <v>794</v>
      </c>
      <c r="E157" s="482" t="s">
        <v>3757</v>
      </c>
      <c r="F157" s="483" t="s">
        <v>3308</v>
      </c>
      <c r="G157" s="484">
        <v>1</v>
      </c>
      <c r="H157" s="485">
        <v>45233.3</v>
      </c>
      <c r="I157" s="466">
        <f t="shared" si="719"/>
        <v>45233.3</v>
      </c>
      <c r="J157" s="259"/>
      <c r="K157" s="478">
        <f t="shared" si="715"/>
        <v>0</v>
      </c>
      <c r="L157" s="466">
        <f t="shared" si="716"/>
        <v>0</v>
      </c>
      <c r="M157" s="257"/>
      <c r="N157" s="478"/>
      <c r="O157" s="478"/>
      <c r="P157" s="478"/>
      <c r="Q157" s="478"/>
      <c r="R157" s="478"/>
      <c r="S157" s="478"/>
      <c r="T157" s="478"/>
      <c r="U157" s="478"/>
      <c r="V157" s="478"/>
      <c r="W157" s="478"/>
      <c r="X157" s="478"/>
      <c r="Y157" s="478"/>
      <c r="Z157" s="478"/>
      <c r="AA157" s="478"/>
      <c r="AB157" s="478"/>
      <c r="AC157" s="478"/>
      <c r="AD157" s="478"/>
      <c r="AE157" s="478"/>
      <c r="AF157" s="478"/>
      <c r="AG157" s="478"/>
      <c r="AH157" s="478"/>
      <c r="AI157" s="478"/>
      <c r="AJ157" s="478"/>
      <c r="AK157" s="478"/>
      <c r="AL157" s="478"/>
      <c r="AM157" s="478"/>
      <c r="AN157" s="478"/>
      <c r="AO157" s="478"/>
      <c r="AP157" s="478"/>
      <c r="AQ157" s="478"/>
      <c r="AR157" s="478"/>
      <c r="AS157" s="478"/>
      <c r="AT157" s="478"/>
      <c r="AU157" s="478"/>
      <c r="AV157" s="478"/>
      <c r="AW157" s="478"/>
      <c r="AX157" s="478"/>
      <c r="AY157" s="478"/>
      <c r="AZ157" s="478"/>
      <c r="BA157" s="478"/>
      <c r="BB157" s="478"/>
      <c r="BC157" s="478"/>
      <c r="BD157" s="478"/>
      <c r="BE157" s="478"/>
      <c r="BF157" s="478"/>
      <c r="BG157" s="478"/>
      <c r="BH157" s="478"/>
      <c r="BI157" s="478"/>
      <c r="BJ157" s="245"/>
      <c r="BK157" s="477">
        <f t="shared" si="717"/>
        <v>0</v>
      </c>
      <c r="BL157" s="466">
        <f t="shared" si="718"/>
        <v>0</v>
      </c>
      <c r="BM157" s="257"/>
      <c r="BN157" s="478"/>
      <c r="BO157" s="478"/>
      <c r="BP157" s="478"/>
      <c r="BQ157" s="478"/>
      <c r="BR157" s="478"/>
      <c r="BS157" s="478"/>
      <c r="BT157" s="478"/>
      <c r="BU157" s="478"/>
      <c r="BV157" s="478"/>
      <c r="BW157" s="478"/>
      <c r="BX157" s="478"/>
      <c r="BY157" s="478"/>
      <c r="BZ157" s="478"/>
      <c r="CA157" s="478"/>
      <c r="CB157" s="478"/>
      <c r="CC157" s="478"/>
      <c r="CD157" s="478"/>
      <c r="CE157" s="478"/>
      <c r="CF157" s="478"/>
      <c r="CG157" s="478"/>
      <c r="CH157" s="478"/>
      <c r="CI157" s="478"/>
      <c r="CJ157" s="478"/>
      <c r="CK157" s="478"/>
      <c r="CL157" s="478"/>
      <c r="CM157" s="478"/>
      <c r="CN157" s="478"/>
      <c r="CO157" s="478"/>
      <c r="CP157" s="478"/>
      <c r="CQ157" s="478"/>
      <c r="CR157" s="478"/>
      <c r="CS157" s="478"/>
      <c r="CT157" s="478"/>
      <c r="CU157" s="478"/>
      <c r="CV157" s="478"/>
      <c r="CW157" s="478"/>
      <c r="CX157" s="478"/>
      <c r="CY157" s="478"/>
      <c r="CZ157" s="478"/>
      <c r="DA157" s="478"/>
      <c r="DB157" s="478"/>
      <c r="DC157" s="478"/>
      <c r="DD157" s="478"/>
      <c r="DE157" s="478"/>
      <c r="DF157" s="478"/>
      <c r="DG157" s="478"/>
      <c r="DH157" s="478"/>
      <c r="DI157" s="478"/>
    </row>
    <row r="158" spans="1:113" ht="16.05" customHeight="1" outlineLevel="1" x14ac:dyDescent="0.3">
      <c r="A158" s="455" t="str">
        <f t="shared" si="713"/>
        <v>Imprimir</v>
      </c>
      <c r="B158" s="455"/>
      <c r="C158" s="481">
        <v>25101251</v>
      </c>
      <c r="D158" s="463" t="s">
        <v>795</v>
      </c>
      <c r="E158" s="887" t="s">
        <v>3758</v>
      </c>
      <c r="F158" s="483" t="s">
        <v>3308</v>
      </c>
      <c r="G158" s="484">
        <v>1</v>
      </c>
      <c r="H158" s="485">
        <v>45233.3</v>
      </c>
      <c r="I158" s="466">
        <f t="shared" si="719"/>
        <v>45233.3</v>
      </c>
      <c r="J158" s="259"/>
      <c r="K158" s="478">
        <f t="shared" si="715"/>
        <v>0</v>
      </c>
      <c r="L158" s="466">
        <f t="shared" si="716"/>
        <v>0</v>
      </c>
      <c r="M158" s="257"/>
      <c r="N158" s="478"/>
      <c r="O158" s="478"/>
      <c r="P158" s="478"/>
      <c r="Q158" s="478"/>
      <c r="R158" s="478"/>
      <c r="S158" s="478"/>
      <c r="T158" s="478"/>
      <c r="U158" s="478"/>
      <c r="V158" s="478"/>
      <c r="W158" s="478"/>
      <c r="X158" s="478"/>
      <c r="Y158" s="478"/>
      <c r="Z158" s="478"/>
      <c r="AA158" s="478"/>
      <c r="AB158" s="478"/>
      <c r="AC158" s="478"/>
      <c r="AD158" s="478"/>
      <c r="AE158" s="478"/>
      <c r="AF158" s="478"/>
      <c r="AG158" s="478"/>
      <c r="AH158" s="478"/>
      <c r="AI158" s="478"/>
      <c r="AJ158" s="478"/>
      <c r="AK158" s="478"/>
      <c r="AL158" s="478"/>
      <c r="AM158" s="478"/>
      <c r="AN158" s="478"/>
      <c r="AO158" s="478"/>
      <c r="AP158" s="478"/>
      <c r="AQ158" s="478"/>
      <c r="AR158" s="478"/>
      <c r="AS158" s="478"/>
      <c r="AT158" s="478"/>
      <c r="AU158" s="478"/>
      <c r="AV158" s="478"/>
      <c r="AW158" s="478"/>
      <c r="AX158" s="478"/>
      <c r="AY158" s="478"/>
      <c r="AZ158" s="478"/>
      <c r="BA158" s="478"/>
      <c r="BB158" s="478"/>
      <c r="BC158" s="478"/>
      <c r="BD158" s="478"/>
      <c r="BE158" s="478"/>
      <c r="BF158" s="478"/>
      <c r="BG158" s="478"/>
      <c r="BH158" s="478"/>
      <c r="BI158" s="478"/>
      <c r="BJ158" s="245"/>
      <c r="BK158" s="477">
        <f t="shared" si="717"/>
        <v>0</v>
      </c>
      <c r="BL158" s="466">
        <f t="shared" si="718"/>
        <v>0</v>
      </c>
      <c r="BM158" s="257"/>
      <c r="BN158" s="478"/>
      <c r="BO158" s="478"/>
      <c r="BP158" s="478"/>
      <c r="BQ158" s="478"/>
      <c r="BR158" s="478"/>
      <c r="BS158" s="478"/>
      <c r="BT158" s="478"/>
      <c r="BU158" s="478"/>
      <c r="BV158" s="478"/>
      <c r="BW158" s="478"/>
      <c r="BX158" s="478"/>
      <c r="BY158" s="478"/>
      <c r="BZ158" s="478"/>
      <c r="CA158" s="478"/>
      <c r="CB158" s="478"/>
      <c r="CC158" s="478"/>
      <c r="CD158" s="478"/>
      <c r="CE158" s="478"/>
      <c r="CF158" s="478"/>
      <c r="CG158" s="478"/>
      <c r="CH158" s="478"/>
      <c r="CI158" s="478"/>
      <c r="CJ158" s="478"/>
      <c r="CK158" s="478"/>
      <c r="CL158" s="478"/>
      <c r="CM158" s="478"/>
      <c r="CN158" s="478"/>
      <c r="CO158" s="478"/>
      <c r="CP158" s="478"/>
      <c r="CQ158" s="478"/>
      <c r="CR158" s="478"/>
      <c r="CS158" s="478"/>
      <c r="CT158" s="478"/>
      <c r="CU158" s="478"/>
      <c r="CV158" s="478"/>
      <c r="CW158" s="478"/>
      <c r="CX158" s="478"/>
      <c r="CY158" s="478"/>
      <c r="CZ158" s="478"/>
      <c r="DA158" s="478"/>
      <c r="DB158" s="478"/>
      <c r="DC158" s="478"/>
      <c r="DD158" s="478"/>
      <c r="DE158" s="478"/>
      <c r="DF158" s="478"/>
      <c r="DG158" s="478"/>
      <c r="DH158" s="478"/>
      <c r="DI158" s="478"/>
    </row>
    <row r="159" spans="1:113" ht="16.05" customHeight="1" outlineLevel="1" x14ac:dyDescent="0.3">
      <c r="A159" s="455" t="str">
        <f t="shared" si="713"/>
        <v>Imprimir</v>
      </c>
      <c r="B159" s="455"/>
      <c r="C159" s="481">
        <v>25091066</v>
      </c>
      <c r="D159" s="463" t="s">
        <v>796</v>
      </c>
      <c r="E159" s="482" t="s">
        <v>3759</v>
      </c>
      <c r="F159" s="483" t="s">
        <v>3308</v>
      </c>
      <c r="G159" s="484">
        <v>1</v>
      </c>
      <c r="H159" s="485">
        <v>30500</v>
      </c>
      <c r="I159" s="466">
        <f t="shared" si="719"/>
        <v>30500</v>
      </c>
      <c r="J159" s="259"/>
      <c r="K159" s="478">
        <f t="shared" si="715"/>
        <v>0</v>
      </c>
      <c r="L159" s="466">
        <f t="shared" si="716"/>
        <v>0</v>
      </c>
      <c r="M159" s="257"/>
      <c r="N159" s="478"/>
      <c r="O159" s="478"/>
      <c r="P159" s="478"/>
      <c r="Q159" s="478"/>
      <c r="R159" s="478"/>
      <c r="S159" s="478"/>
      <c r="T159" s="478"/>
      <c r="U159" s="478"/>
      <c r="V159" s="478"/>
      <c r="W159" s="478"/>
      <c r="X159" s="478"/>
      <c r="Y159" s="478"/>
      <c r="Z159" s="478"/>
      <c r="AA159" s="478"/>
      <c r="AB159" s="478"/>
      <c r="AC159" s="478"/>
      <c r="AD159" s="478"/>
      <c r="AE159" s="478"/>
      <c r="AF159" s="478"/>
      <c r="AG159" s="478"/>
      <c r="AH159" s="478"/>
      <c r="AI159" s="478"/>
      <c r="AJ159" s="478"/>
      <c r="AK159" s="478"/>
      <c r="AL159" s="478"/>
      <c r="AM159" s="478"/>
      <c r="AN159" s="478"/>
      <c r="AO159" s="478"/>
      <c r="AP159" s="478"/>
      <c r="AQ159" s="478"/>
      <c r="AR159" s="478"/>
      <c r="AS159" s="478"/>
      <c r="AT159" s="478"/>
      <c r="AU159" s="478"/>
      <c r="AV159" s="478"/>
      <c r="AW159" s="478"/>
      <c r="AX159" s="478"/>
      <c r="AY159" s="478"/>
      <c r="AZ159" s="478"/>
      <c r="BA159" s="478"/>
      <c r="BB159" s="478"/>
      <c r="BC159" s="478"/>
      <c r="BD159" s="478"/>
      <c r="BE159" s="478"/>
      <c r="BF159" s="478"/>
      <c r="BG159" s="478"/>
      <c r="BH159" s="478"/>
      <c r="BI159" s="478"/>
      <c r="BJ159" s="245"/>
      <c r="BK159" s="477">
        <f t="shared" si="717"/>
        <v>0</v>
      </c>
      <c r="BL159" s="466">
        <f t="shared" si="718"/>
        <v>0</v>
      </c>
      <c r="BM159" s="257"/>
      <c r="BN159" s="478"/>
      <c r="BO159" s="478"/>
      <c r="BP159" s="478"/>
      <c r="BQ159" s="478"/>
      <c r="BR159" s="478"/>
      <c r="BS159" s="478"/>
      <c r="BT159" s="478"/>
      <c r="BU159" s="478"/>
      <c r="BV159" s="478"/>
      <c r="BW159" s="478"/>
      <c r="BX159" s="478"/>
      <c r="BY159" s="478"/>
      <c r="BZ159" s="478"/>
      <c r="CA159" s="478"/>
      <c r="CB159" s="478"/>
      <c r="CC159" s="478"/>
      <c r="CD159" s="478"/>
      <c r="CE159" s="478"/>
      <c r="CF159" s="478"/>
      <c r="CG159" s="478"/>
      <c r="CH159" s="478"/>
      <c r="CI159" s="478"/>
      <c r="CJ159" s="478"/>
      <c r="CK159" s="478"/>
      <c r="CL159" s="478"/>
      <c r="CM159" s="478"/>
      <c r="CN159" s="478"/>
      <c r="CO159" s="478"/>
      <c r="CP159" s="478"/>
      <c r="CQ159" s="478"/>
      <c r="CR159" s="478"/>
      <c r="CS159" s="478"/>
      <c r="CT159" s="478"/>
      <c r="CU159" s="478"/>
      <c r="CV159" s="478"/>
      <c r="CW159" s="478"/>
      <c r="CX159" s="478"/>
      <c r="CY159" s="478"/>
      <c r="CZ159" s="478"/>
      <c r="DA159" s="478"/>
      <c r="DB159" s="478"/>
      <c r="DC159" s="478"/>
      <c r="DD159" s="478"/>
      <c r="DE159" s="478"/>
      <c r="DF159" s="478"/>
      <c r="DG159" s="478"/>
      <c r="DH159" s="478"/>
      <c r="DI159" s="478"/>
    </row>
    <row r="160" spans="1:113" ht="16.05" hidden="1" customHeight="1" outlineLevel="1" x14ac:dyDescent="0.3">
      <c r="A160" s="455" t="str">
        <f t="shared" si="713"/>
        <v/>
      </c>
      <c r="B160" s="455"/>
      <c r="C160" s="481"/>
      <c r="D160" s="463" t="s">
        <v>797</v>
      </c>
      <c r="E160" s="482"/>
      <c r="F160" s="483"/>
      <c r="G160" s="484"/>
      <c r="H160" s="485"/>
      <c r="I160" s="466">
        <f t="shared" si="719"/>
        <v>0</v>
      </c>
      <c r="J160" s="259"/>
      <c r="K160" s="478">
        <f t="shared" si="715"/>
        <v>0</v>
      </c>
      <c r="L160" s="466">
        <f t="shared" si="716"/>
        <v>0</v>
      </c>
      <c r="M160" s="257"/>
      <c r="N160" s="478"/>
      <c r="O160" s="478"/>
      <c r="P160" s="478"/>
      <c r="Q160" s="478"/>
      <c r="R160" s="478"/>
      <c r="S160" s="478"/>
      <c r="T160" s="478"/>
      <c r="U160" s="478"/>
      <c r="V160" s="478"/>
      <c r="W160" s="478"/>
      <c r="X160" s="478"/>
      <c r="Y160" s="478"/>
      <c r="Z160" s="478"/>
      <c r="AA160" s="478"/>
      <c r="AB160" s="478"/>
      <c r="AC160" s="478"/>
      <c r="AD160" s="478"/>
      <c r="AE160" s="478"/>
      <c r="AF160" s="478"/>
      <c r="AG160" s="478"/>
      <c r="AH160" s="478"/>
      <c r="AI160" s="478"/>
      <c r="AJ160" s="478"/>
      <c r="AK160" s="478"/>
      <c r="AL160" s="478"/>
      <c r="AM160" s="478"/>
      <c r="AN160" s="478"/>
      <c r="AO160" s="478"/>
      <c r="AP160" s="478"/>
      <c r="AQ160" s="478"/>
      <c r="AR160" s="478"/>
      <c r="AS160" s="478"/>
      <c r="AT160" s="478"/>
      <c r="AU160" s="478"/>
      <c r="AV160" s="478"/>
      <c r="AW160" s="478"/>
      <c r="AX160" s="478"/>
      <c r="AY160" s="478"/>
      <c r="AZ160" s="478"/>
      <c r="BA160" s="478"/>
      <c r="BB160" s="478"/>
      <c r="BC160" s="478"/>
      <c r="BD160" s="478"/>
      <c r="BE160" s="478"/>
      <c r="BF160" s="478"/>
      <c r="BG160" s="478"/>
      <c r="BH160" s="478"/>
      <c r="BI160" s="478"/>
      <c r="BJ160" s="245"/>
      <c r="BK160" s="477">
        <f t="shared" si="717"/>
        <v>0</v>
      </c>
      <c r="BL160" s="466">
        <f t="shared" si="718"/>
        <v>0</v>
      </c>
      <c r="BM160" s="257"/>
      <c r="BN160" s="478"/>
      <c r="BO160" s="478"/>
      <c r="BP160" s="478"/>
      <c r="BQ160" s="478"/>
      <c r="BR160" s="478"/>
      <c r="BS160" s="478"/>
      <c r="BT160" s="478"/>
      <c r="BU160" s="478"/>
      <c r="BV160" s="478"/>
      <c r="BW160" s="478"/>
      <c r="BX160" s="478"/>
      <c r="BY160" s="478"/>
      <c r="BZ160" s="478"/>
      <c r="CA160" s="478"/>
      <c r="CB160" s="478"/>
      <c r="CC160" s="478"/>
      <c r="CD160" s="478"/>
      <c r="CE160" s="478"/>
      <c r="CF160" s="478"/>
      <c r="CG160" s="478"/>
      <c r="CH160" s="478"/>
      <c r="CI160" s="478"/>
      <c r="CJ160" s="478"/>
      <c r="CK160" s="478"/>
      <c r="CL160" s="478"/>
      <c r="CM160" s="478"/>
      <c r="CN160" s="478"/>
      <c r="CO160" s="478"/>
      <c r="CP160" s="478"/>
      <c r="CQ160" s="478"/>
      <c r="CR160" s="478"/>
      <c r="CS160" s="478"/>
      <c r="CT160" s="478"/>
      <c r="CU160" s="478"/>
      <c r="CV160" s="478"/>
      <c r="CW160" s="478"/>
      <c r="CX160" s="478"/>
      <c r="CY160" s="478"/>
      <c r="CZ160" s="478"/>
      <c r="DA160" s="478"/>
      <c r="DB160" s="478"/>
      <c r="DC160" s="478"/>
      <c r="DD160" s="478"/>
      <c r="DE160" s="478"/>
      <c r="DF160" s="478"/>
      <c r="DG160" s="478"/>
      <c r="DH160" s="478"/>
      <c r="DI160" s="478"/>
    </row>
    <row r="161" spans="1:113" ht="16.05" hidden="1" customHeight="1" outlineLevel="1" x14ac:dyDescent="0.3">
      <c r="A161" s="455" t="str">
        <f t="shared" si="713"/>
        <v/>
      </c>
      <c r="B161" s="455"/>
      <c r="C161" s="481"/>
      <c r="D161" s="463" t="s">
        <v>798</v>
      </c>
      <c r="E161" s="482"/>
      <c r="F161" s="483"/>
      <c r="G161" s="484"/>
      <c r="H161" s="485"/>
      <c r="I161" s="466">
        <f t="shared" si="719"/>
        <v>0</v>
      </c>
      <c r="J161" s="259"/>
      <c r="K161" s="478">
        <f t="shared" si="715"/>
        <v>0</v>
      </c>
      <c r="L161" s="466">
        <f t="shared" si="716"/>
        <v>0</v>
      </c>
      <c r="M161" s="257"/>
      <c r="N161" s="478"/>
      <c r="O161" s="478"/>
      <c r="P161" s="478"/>
      <c r="Q161" s="478"/>
      <c r="R161" s="478"/>
      <c r="S161" s="478"/>
      <c r="T161" s="478"/>
      <c r="U161" s="478"/>
      <c r="V161" s="478"/>
      <c r="W161" s="478"/>
      <c r="X161" s="478"/>
      <c r="Y161" s="478"/>
      <c r="Z161" s="478"/>
      <c r="AA161" s="478"/>
      <c r="AB161" s="478"/>
      <c r="AC161" s="478"/>
      <c r="AD161" s="478"/>
      <c r="AE161" s="478"/>
      <c r="AF161" s="478"/>
      <c r="AG161" s="478"/>
      <c r="AH161" s="478"/>
      <c r="AI161" s="478"/>
      <c r="AJ161" s="478"/>
      <c r="AK161" s="478"/>
      <c r="AL161" s="478"/>
      <c r="AM161" s="478"/>
      <c r="AN161" s="478"/>
      <c r="AO161" s="478"/>
      <c r="AP161" s="478"/>
      <c r="AQ161" s="478"/>
      <c r="AR161" s="478"/>
      <c r="AS161" s="478"/>
      <c r="AT161" s="478"/>
      <c r="AU161" s="478"/>
      <c r="AV161" s="478"/>
      <c r="AW161" s="478"/>
      <c r="AX161" s="478"/>
      <c r="AY161" s="478"/>
      <c r="AZ161" s="478"/>
      <c r="BA161" s="478"/>
      <c r="BB161" s="478"/>
      <c r="BC161" s="478"/>
      <c r="BD161" s="478"/>
      <c r="BE161" s="478"/>
      <c r="BF161" s="478"/>
      <c r="BG161" s="478"/>
      <c r="BH161" s="478"/>
      <c r="BI161" s="478"/>
      <c r="BJ161" s="245"/>
      <c r="BK161" s="477">
        <f t="shared" si="717"/>
        <v>0</v>
      </c>
      <c r="BL161" s="466">
        <f t="shared" si="718"/>
        <v>0</v>
      </c>
      <c r="BM161" s="257"/>
      <c r="BN161" s="478"/>
      <c r="BO161" s="478"/>
      <c r="BP161" s="478"/>
      <c r="BQ161" s="478"/>
      <c r="BR161" s="478"/>
      <c r="BS161" s="478"/>
      <c r="BT161" s="478"/>
      <c r="BU161" s="478"/>
      <c r="BV161" s="478"/>
      <c r="BW161" s="478"/>
      <c r="BX161" s="478"/>
      <c r="BY161" s="478"/>
      <c r="BZ161" s="478"/>
      <c r="CA161" s="478"/>
      <c r="CB161" s="478"/>
      <c r="CC161" s="478"/>
      <c r="CD161" s="478"/>
      <c r="CE161" s="478"/>
      <c r="CF161" s="478"/>
      <c r="CG161" s="478"/>
      <c r="CH161" s="478"/>
      <c r="CI161" s="478"/>
      <c r="CJ161" s="478"/>
      <c r="CK161" s="478"/>
      <c r="CL161" s="478"/>
      <c r="CM161" s="478"/>
      <c r="CN161" s="478"/>
      <c r="CO161" s="478"/>
      <c r="CP161" s="478"/>
      <c r="CQ161" s="478"/>
      <c r="CR161" s="478"/>
      <c r="CS161" s="478"/>
      <c r="CT161" s="478"/>
      <c r="CU161" s="478"/>
      <c r="CV161" s="478"/>
      <c r="CW161" s="478"/>
      <c r="CX161" s="478"/>
      <c r="CY161" s="478"/>
      <c r="CZ161" s="478"/>
      <c r="DA161" s="478"/>
      <c r="DB161" s="478"/>
      <c r="DC161" s="478"/>
      <c r="DD161" s="478"/>
      <c r="DE161" s="478"/>
      <c r="DF161" s="478"/>
      <c r="DG161" s="478"/>
      <c r="DH161" s="478"/>
      <c r="DI161" s="478"/>
    </row>
    <row r="162" spans="1:113" ht="16.05" hidden="1" customHeight="1" outlineLevel="1" x14ac:dyDescent="0.3">
      <c r="A162" s="455" t="str">
        <f t="shared" si="713"/>
        <v/>
      </c>
      <c r="B162" s="455"/>
      <c r="C162" s="481"/>
      <c r="D162" s="463" t="s">
        <v>799</v>
      </c>
      <c r="E162" s="482"/>
      <c r="F162" s="483"/>
      <c r="G162" s="484"/>
      <c r="H162" s="485"/>
      <c r="I162" s="466">
        <f t="shared" si="719"/>
        <v>0</v>
      </c>
      <c r="J162" s="259"/>
      <c r="K162" s="478">
        <f t="shared" si="715"/>
        <v>0</v>
      </c>
      <c r="L162" s="466">
        <f t="shared" si="716"/>
        <v>0</v>
      </c>
      <c r="M162" s="257"/>
      <c r="N162" s="478"/>
      <c r="O162" s="478"/>
      <c r="P162" s="478"/>
      <c r="Q162" s="478"/>
      <c r="R162" s="478"/>
      <c r="S162" s="478"/>
      <c r="T162" s="478"/>
      <c r="U162" s="478"/>
      <c r="V162" s="478"/>
      <c r="W162" s="478"/>
      <c r="X162" s="478"/>
      <c r="Y162" s="478"/>
      <c r="Z162" s="478"/>
      <c r="AA162" s="478"/>
      <c r="AB162" s="478"/>
      <c r="AC162" s="478"/>
      <c r="AD162" s="478"/>
      <c r="AE162" s="478"/>
      <c r="AF162" s="478"/>
      <c r="AG162" s="478"/>
      <c r="AH162" s="478"/>
      <c r="AI162" s="478"/>
      <c r="AJ162" s="478"/>
      <c r="AK162" s="478"/>
      <c r="AL162" s="478"/>
      <c r="AM162" s="478"/>
      <c r="AN162" s="478"/>
      <c r="AO162" s="478"/>
      <c r="AP162" s="478"/>
      <c r="AQ162" s="478"/>
      <c r="AR162" s="478"/>
      <c r="AS162" s="478"/>
      <c r="AT162" s="478"/>
      <c r="AU162" s="478"/>
      <c r="AV162" s="478"/>
      <c r="AW162" s="478"/>
      <c r="AX162" s="478"/>
      <c r="AY162" s="478"/>
      <c r="AZ162" s="478"/>
      <c r="BA162" s="478"/>
      <c r="BB162" s="478"/>
      <c r="BC162" s="478"/>
      <c r="BD162" s="478"/>
      <c r="BE162" s="478"/>
      <c r="BF162" s="478"/>
      <c r="BG162" s="478"/>
      <c r="BH162" s="478"/>
      <c r="BI162" s="478"/>
      <c r="BJ162" s="245"/>
      <c r="BK162" s="477">
        <f t="shared" si="717"/>
        <v>0</v>
      </c>
      <c r="BL162" s="466">
        <f t="shared" si="718"/>
        <v>0</v>
      </c>
      <c r="BM162" s="257"/>
      <c r="BN162" s="478"/>
      <c r="BO162" s="478"/>
      <c r="BP162" s="478"/>
      <c r="BQ162" s="478"/>
      <c r="BR162" s="478"/>
      <c r="BS162" s="478"/>
      <c r="BT162" s="478"/>
      <c r="BU162" s="478"/>
      <c r="BV162" s="478"/>
      <c r="BW162" s="478"/>
      <c r="BX162" s="478"/>
      <c r="BY162" s="478"/>
      <c r="BZ162" s="478"/>
      <c r="CA162" s="478"/>
      <c r="CB162" s="478"/>
      <c r="CC162" s="478"/>
      <c r="CD162" s="478"/>
      <c r="CE162" s="478"/>
      <c r="CF162" s="478"/>
      <c r="CG162" s="478"/>
      <c r="CH162" s="478"/>
      <c r="CI162" s="478"/>
      <c r="CJ162" s="478"/>
      <c r="CK162" s="478"/>
      <c r="CL162" s="478"/>
      <c r="CM162" s="478"/>
      <c r="CN162" s="478"/>
      <c r="CO162" s="478"/>
      <c r="CP162" s="478"/>
      <c r="CQ162" s="478"/>
      <c r="CR162" s="478"/>
      <c r="CS162" s="478"/>
      <c r="CT162" s="478"/>
      <c r="CU162" s="478"/>
      <c r="CV162" s="478"/>
      <c r="CW162" s="478"/>
      <c r="CX162" s="478"/>
      <c r="CY162" s="478"/>
      <c r="CZ162" s="478"/>
      <c r="DA162" s="478"/>
      <c r="DB162" s="478"/>
      <c r="DC162" s="478"/>
      <c r="DD162" s="478"/>
      <c r="DE162" s="478"/>
      <c r="DF162" s="478"/>
      <c r="DG162" s="478"/>
      <c r="DH162" s="478"/>
      <c r="DI162" s="478"/>
    </row>
    <row r="163" spans="1:113" ht="16.05" hidden="1" customHeight="1" outlineLevel="1" x14ac:dyDescent="0.3">
      <c r="A163" s="455" t="str">
        <f t="shared" si="713"/>
        <v/>
      </c>
      <c r="B163" s="455"/>
      <c r="C163" s="481"/>
      <c r="D163" s="463" t="s">
        <v>800</v>
      </c>
      <c r="E163" s="482"/>
      <c r="F163" s="483"/>
      <c r="G163" s="484"/>
      <c r="H163" s="485"/>
      <c r="I163" s="466">
        <f t="shared" si="719"/>
        <v>0</v>
      </c>
      <c r="J163" s="259"/>
      <c r="K163" s="478">
        <f t="shared" si="715"/>
        <v>0</v>
      </c>
      <c r="L163" s="466">
        <f t="shared" si="716"/>
        <v>0</v>
      </c>
      <c r="M163" s="257"/>
      <c r="N163" s="478"/>
      <c r="O163" s="478"/>
      <c r="P163" s="478"/>
      <c r="Q163" s="478"/>
      <c r="R163" s="478"/>
      <c r="S163" s="478"/>
      <c r="T163" s="478"/>
      <c r="U163" s="478"/>
      <c r="V163" s="478"/>
      <c r="W163" s="478"/>
      <c r="X163" s="478"/>
      <c r="Y163" s="478"/>
      <c r="Z163" s="478"/>
      <c r="AA163" s="478"/>
      <c r="AB163" s="478"/>
      <c r="AC163" s="478"/>
      <c r="AD163" s="478"/>
      <c r="AE163" s="478"/>
      <c r="AF163" s="478"/>
      <c r="AG163" s="478"/>
      <c r="AH163" s="478"/>
      <c r="AI163" s="478"/>
      <c r="AJ163" s="478"/>
      <c r="AK163" s="478"/>
      <c r="AL163" s="478"/>
      <c r="AM163" s="478"/>
      <c r="AN163" s="478"/>
      <c r="AO163" s="478"/>
      <c r="AP163" s="478"/>
      <c r="AQ163" s="478"/>
      <c r="AR163" s="478"/>
      <c r="AS163" s="478"/>
      <c r="AT163" s="478"/>
      <c r="AU163" s="478"/>
      <c r="AV163" s="478"/>
      <c r="AW163" s="478"/>
      <c r="AX163" s="478"/>
      <c r="AY163" s="478"/>
      <c r="AZ163" s="478"/>
      <c r="BA163" s="478"/>
      <c r="BB163" s="478"/>
      <c r="BC163" s="478"/>
      <c r="BD163" s="478"/>
      <c r="BE163" s="478"/>
      <c r="BF163" s="478"/>
      <c r="BG163" s="478"/>
      <c r="BH163" s="478"/>
      <c r="BI163" s="478"/>
      <c r="BJ163" s="245"/>
      <c r="BK163" s="477">
        <f t="shared" si="717"/>
        <v>0</v>
      </c>
      <c r="BL163" s="466">
        <f t="shared" si="718"/>
        <v>0</v>
      </c>
      <c r="BM163" s="257"/>
      <c r="BN163" s="478"/>
      <c r="BO163" s="478"/>
      <c r="BP163" s="478"/>
      <c r="BQ163" s="478"/>
      <c r="BR163" s="478"/>
      <c r="BS163" s="478"/>
      <c r="BT163" s="478"/>
      <c r="BU163" s="478"/>
      <c r="BV163" s="478"/>
      <c r="BW163" s="478"/>
      <c r="BX163" s="478"/>
      <c r="BY163" s="478"/>
      <c r="BZ163" s="478"/>
      <c r="CA163" s="478"/>
      <c r="CB163" s="478"/>
      <c r="CC163" s="478"/>
      <c r="CD163" s="478"/>
      <c r="CE163" s="478"/>
      <c r="CF163" s="478"/>
      <c r="CG163" s="478"/>
      <c r="CH163" s="478"/>
      <c r="CI163" s="478"/>
      <c r="CJ163" s="478"/>
      <c r="CK163" s="478"/>
      <c r="CL163" s="478"/>
      <c r="CM163" s="478"/>
      <c r="CN163" s="478"/>
      <c r="CO163" s="478"/>
      <c r="CP163" s="478"/>
      <c r="CQ163" s="478"/>
      <c r="CR163" s="478"/>
      <c r="CS163" s="478"/>
      <c r="CT163" s="478"/>
      <c r="CU163" s="478"/>
      <c r="CV163" s="478"/>
      <c r="CW163" s="478"/>
      <c r="CX163" s="478"/>
      <c r="CY163" s="478"/>
      <c r="CZ163" s="478"/>
      <c r="DA163" s="478"/>
      <c r="DB163" s="478"/>
      <c r="DC163" s="478"/>
      <c r="DD163" s="478"/>
      <c r="DE163" s="478"/>
      <c r="DF163" s="478"/>
      <c r="DG163" s="478"/>
      <c r="DH163" s="478"/>
      <c r="DI163" s="478"/>
    </row>
    <row r="164" spans="1:113" ht="16.05" hidden="1" customHeight="1" outlineLevel="1" x14ac:dyDescent="0.3">
      <c r="A164" s="455" t="str">
        <f t="shared" si="713"/>
        <v/>
      </c>
      <c r="B164" s="455"/>
      <c r="C164" s="481"/>
      <c r="D164" s="463" t="s">
        <v>801</v>
      </c>
      <c r="E164" s="482"/>
      <c r="F164" s="483"/>
      <c r="G164" s="484"/>
      <c r="H164" s="485"/>
      <c r="I164" s="466">
        <f t="shared" si="719"/>
        <v>0</v>
      </c>
      <c r="J164" s="259"/>
      <c r="K164" s="478">
        <f t="shared" si="715"/>
        <v>0</v>
      </c>
      <c r="L164" s="466">
        <f t="shared" si="716"/>
        <v>0</v>
      </c>
      <c r="M164" s="257"/>
      <c r="N164" s="478"/>
      <c r="O164" s="478"/>
      <c r="P164" s="478"/>
      <c r="Q164" s="478"/>
      <c r="R164" s="478"/>
      <c r="S164" s="478"/>
      <c r="T164" s="478"/>
      <c r="U164" s="478"/>
      <c r="V164" s="478"/>
      <c r="W164" s="478"/>
      <c r="X164" s="478"/>
      <c r="Y164" s="478"/>
      <c r="Z164" s="478"/>
      <c r="AA164" s="478"/>
      <c r="AB164" s="478"/>
      <c r="AC164" s="478"/>
      <c r="AD164" s="478"/>
      <c r="AE164" s="478"/>
      <c r="AF164" s="478"/>
      <c r="AG164" s="478"/>
      <c r="AH164" s="478"/>
      <c r="AI164" s="478"/>
      <c r="AJ164" s="478"/>
      <c r="AK164" s="478"/>
      <c r="AL164" s="478"/>
      <c r="AM164" s="478"/>
      <c r="AN164" s="478"/>
      <c r="AO164" s="478"/>
      <c r="AP164" s="478"/>
      <c r="AQ164" s="478"/>
      <c r="AR164" s="478"/>
      <c r="AS164" s="478"/>
      <c r="AT164" s="478"/>
      <c r="AU164" s="478"/>
      <c r="AV164" s="478"/>
      <c r="AW164" s="478"/>
      <c r="AX164" s="478"/>
      <c r="AY164" s="478"/>
      <c r="AZ164" s="478"/>
      <c r="BA164" s="478"/>
      <c r="BB164" s="478"/>
      <c r="BC164" s="478"/>
      <c r="BD164" s="478"/>
      <c r="BE164" s="478"/>
      <c r="BF164" s="478"/>
      <c r="BG164" s="478"/>
      <c r="BH164" s="478"/>
      <c r="BI164" s="478"/>
      <c r="BJ164" s="245"/>
      <c r="BK164" s="477">
        <f t="shared" si="717"/>
        <v>0</v>
      </c>
      <c r="BL164" s="466">
        <f t="shared" si="718"/>
        <v>0</v>
      </c>
      <c r="BM164" s="257"/>
      <c r="BN164" s="478"/>
      <c r="BO164" s="478"/>
      <c r="BP164" s="478"/>
      <c r="BQ164" s="478"/>
      <c r="BR164" s="478"/>
      <c r="BS164" s="478"/>
      <c r="BT164" s="478"/>
      <c r="BU164" s="478"/>
      <c r="BV164" s="478"/>
      <c r="BW164" s="478"/>
      <c r="BX164" s="478"/>
      <c r="BY164" s="478"/>
      <c r="BZ164" s="478"/>
      <c r="CA164" s="478"/>
      <c r="CB164" s="478"/>
      <c r="CC164" s="478"/>
      <c r="CD164" s="478"/>
      <c r="CE164" s="478"/>
      <c r="CF164" s="478"/>
      <c r="CG164" s="478"/>
      <c r="CH164" s="478"/>
      <c r="CI164" s="478"/>
      <c r="CJ164" s="478"/>
      <c r="CK164" s="478"/>
      <c r="CL164" s="478"/>
      <c r="CM164" s="478"/>
      <c r="CN164" s="478"/>
      <c r="CO164" s="478"/>
      <c r="CP164" s="478"/>
      <c r="CQ164" s="478"/>
      <c r="CR164" s="478"/>
      <c r="CS164" s="478"/>
      <c r="CT164" s="478"/>
      <c r="CU164" s="478"/>
      <c r="CV164" s="478"/>
      <c r="CW164" s="478"/>
      <c r="CX164" s="478"/>
      <c r="CY164" s="478"/>
      <c r="CZ164" s="478"/>
      <c r="DA164" s="478"/>
      <c r="DB164" s="478"/>
      <c r="DC164" s="478"/>
      <c r="DD164" s="478"/>
      <c r="DE164" s="478"/>
      <c r="DF164" s="478"/>
      <c r="DG164" s="478"/>
      <c r="DH164" s="478"/>
      <c r="DI164" s="478"/>
    </row>
    <row r="165" spans="1:113" ht="8.1" customHeight="1" outlineLevel="1" x14ac:dyDescent="0.3">
      <c r="A165" s="455" t="str">
        <f t="shared" ref="A165" si="720">IF(COUNTIF(A145:A164,"Imprimir")&gt;0,"Imprimir","")</f>
        <v>Imprimir</v>
      </c>
      <c r="B165" s="455"/>
      <c r="C165" s="464"/>
      <c r="D165" s="461"/>
      <c r="E165" s="462"/>
      <c r="F165" s="462"/>
      <c r="G165" s="461"/>
      <c r="H165" s="461"/>
      <c r="I165" s="461"/>
      <c r="J165" s="259"/>
      <c r="K165" s="255"/>
      <c r="L165" s="256"/>
      <c r="M165" s="257"/>
      <c r="N165" s="255"/>
      <c r="O165" s="255"/>
      <c r="P165" s="255"/>
      <c r="Q165" s="255"/>
      <c r="R165" s="255"/>
      <c r="S165" s="255"/>
      <c r="T165" s="255"/>
      <c r="U165" s="255"/>
      <c r="V165" s="255"/>
      <c r="W165" s="255"/>
      <c r="X165" s="255"/>
      <c r="Y165" s="255"/>
      <c r="Z165" s="255"/>
      <c r="AA165" s="255"/>
      <c r="AB165" s="255"/>
      <c r="AC165" s="255"/>
      <c r="AD165" s="255"/>
      <c r="AE165" s="255"/>
      <c r="AF165" s="255"/>
      <c r="AG165" s="255"/>
      <c r="AH165" s="255"/>
      <c r="AI165" s="255"/>
      <c r="AJ165" s="255"/>
      <c r="AK165" s="255"/>
      <c r="AL165" s="255"/>
      <c r="AM165" s="524"/>
      <c r="AN165" s="255"/>
      <c r="AO165" s="255"/>
      <c r="AP165" s="255"/>
      <c r="AQ165" s="255"/>
      <c r="AR165" s="255"/>
      <c r="AS165" s="255"/>
      <c r="AT165" s="255"/>
      <c r="AU165" s="255"/>
      <c r="AV165" s="255"/>
      <c r="AW165" s="255"/>
      <c r="AX165" s="255"/>
      <c r="AY165" s="255"/>
      <c r="AZ165" s="255"/>
      <c r="BA165" s="255"/>
      <c r="BB165" s="255"/>
      <c r="BC165" s="255"/>
      <c r="BD165" s="255"/>
      <c r="BE165" s="255"/>
      <c r="BF165" s="255"/>
      <c r="BG165" s="255"/>
      <c r="BH165" s="255"/>
      <c r="BI165" s="255"/>
      <c r="BJ165" s="245"/>
      <c r="BK165" s="256"/>
      <c r="BL165" s="256"/>
      <c r="BM165" s="257"/>
      <c r="BN165" s="255"/>
      <c r="BO165" s="255"/>
      <c r="BP165" s="255"/>
      <c r="BQ165" s="255"/>
      <c r="BR165" s="255"/>
      <c r="BS165" s="255"/>
      <c r="BT165" s="255"/>
      <c r="BU165" s="255"/>
      <c r="BV165" s="255"/>
      <c r="BW165" s="255"/>
      <c r="BX165" s="255"/>
      <c r="BY165" s="255"/>
      <c r="BZ165" s="255"/>
      <c r="CA165" s="255"/>
      <c r="CB165" s="255"/>
      <c r="CC165" s="255"/>
      <c r="CD165" s="255"/>
      <c r="CE165" s="255"/>
      <c r="CF165" s="255"/>
      <c r="CG165" s="255"/>
      <c r="CH165" s="255"/>
      <c r="CI165" s="255"/>
      <c r="CJ165" s="255"/>
      <c r="CK165" s="255"/>
      <c r="CL165" s="255"/>
      <c r="CM165" s="255"/>
      <c r="CN165" s="255"/>
      <c r="CO165" s="255"/>
      <c r="CP165" s="255"/>
      <c r="CQ165" s="255"/>
      <c r="CR165" s="255"/>
      <c r="CS165" s="255"/>
      <c r="CT165" s="255"/>
      <c r="CU165" s="255"/>
      <c r="CV165" s="255"/>
      <c r="CW165" s="255"/>
      <c r="CX165" s="255"/>
      <c r="CY165" s="255"/>
      <c r="CZ165" s="255"/>
      <c r="DA165" s="255"/>
      <c r="DB165" s="255"/>
      <c r="DC165" s="255"/>
      <c r="DD165" s="255"/>
      <c r="DE165" s="255"/>
      <c r="DF165" s="255"/>
      <c r="DG165" s="255"/>
      <c r="DH165" s="255"/>
      <c r="DI165" s="524"/>
    </row>
    <row r="166" spans="1:113" ht="16.05" customHeight="1" x14ac:dyDescent="0.3">
      <c r="A166" s="455" t="str">
        <f t="shared" ref="A166" si="721">IF(COUNTIF(A167:A186,"Imprimir")&gt;0,"Imprimir","")</f>
        <v>Imprimir</v>
      </c>
      <c r="B166" s="455"/>
      <c r="C166" s="459"/>
      <c r="D166" s="459"/>
      <c r="E166" s="460" t="s">
        <v>3307</v>
      </c>
      <c r="F166" s="460"/>
      <c r="G166" s="460"/>
      <c r="H166" s="465"/>
      <c r="I166" s="465">
        <f>SUBTOTAL(9,I167:I187)</f>
        <v>316633.10000000003</v>
      </c>
      <c r="J166" s="259"/>
      <c r="K166" s="465"/>
      <c r="L166" s="465">
        <f>SUBTOTAL(9,L167:L187)</f>
        <v>0</v>
      </c>
      <c r="M166" s="257"/>
      <c r="N166" s="465">
        <f>SUMPRODUCT(N167:N187,$H167:$H187)</f>
        <v>0</v>
      </c>
      <c r="O166" s="465">
        <f>SUMPRODUCT(O167:O187,$H167:$H187)</f>
        <v>0</v>
      </c>
      <c r="P166" s="465">
        <f t="shared" ref="P166" si="722">SUMPRODUCT(P167:P187,$H167:$H187)</f>
        <v>0</v>
      </c>
      <c r="Q166" s="465">
        <f t="shared" ref="Q166" si="723">SUMPRODUCT(Q167:Q187,$H167:$H187)</f>
        <v>0</v>
      </c>
      <c r="R166" s="465">
        <f t="shared" ref="R166" si="724">SUMPRODUCT(R167:R187,$H167:$H187)</f>
        <v>0</v>
      </c>
      <c r="S166" s="465">
        <f t="shared" ref="S166" si="725">SUMPRODUCT(S167:S187,$H167:$H187)</f>
        <v>0</v>
      </c>
      <c r="T166" s="465">
        <f t="shared" ref="T166" si="726">SUMPRODUCT(T167:T187,$H167:$H187)</f>
        <v>0</v>
      </c>
      <c r="U166" s="465">
        <f t="shared" ref="U166" si="727">SUMPRODUCT(U167:U187,$H167:$H187)</f>
        <v>0</v>
      </c>
      <c r="V166" s="465">
        <f t="shared" ref="V166" si="728">SUMPRODUCT(V167:V187,$H167:$H187)</f>
        <v>0</v>
      </c>
      <c r="W166" s="465">
        <f t="shared" ref="W166" si="729">SUMPRODUCT(W167:W187,$H167:$H187)</f>
        <v>0</v>
      </c>
      <c r="X166" s="465">
        <f t="shared" ref="X166" si="730">SUMPRODUCT(X167:X187,$H167:$H187)</f>
        <v>0</v>
      </c>
      <c r="Y166" s="465">
        <f t="shared" ref="Y166" si="731">SUMPRODUCT(Y167:Y187,$H167:$H187)</f>
        <v>0</v>
      </c>
      <c r="Z166" s="465">
        <f t="shared" ref="Z166" si="732">SUMPRODUCT(Z167:Z187,$H167:$H187)</f>
        <v>0</v>
      </c>
      <c r="AA166" s="465">
        <f t="shared" ref="AA166" si="733">SUMPRODUCT(AA167:AA187,$H167:$H187)</f>
        <v>0</v>
      </c>
      <c r="AB166" s="465">
        <f t="shared" ref="AB166" si="734">SUMPRODUCT(AB167:AB187,$H167:$H187)</f>
        <v>0</v>
      </c>
      <c r="AC166" s="465">
        <f t="shared" ref="AC166" si="735">SUMPRODUCT(AC167:AC187,$H167:$H187)</f>
        <v>0</v>
      </c>
      <c r="AD166" s="465">
        <f t="shared" ref="AD166" si="736">SUMPRODUCT(AD167:AD187,$H167:$H187)</f>
        <v>0</v>
      </c>
      <c r="AE166" s="465">
        <f t="shared" ref="AE166" si="737">SUMPRODUCT(AE167:AE187,$H167:$H187)</f>
        <v>0</v>
      </c>
      <c r="AF166" s="465">
        <f t="shared" ref="AF166" si="738">SUMPRODUCT(AF167:AF187,$H167:$H187)</f>
        <v>0</v>
      </c>
      <c r="AG166" s="465">
        <f t="shared" ref="AG166" si="739">SUMPRODUCT(AG167:AG187,$H167:$H187)</f>
        <v>0</v>
      </c>
      <c r="AH166" s="465">
        <f t="shared" ref="AH166" si="740">SUMPRODUCT(AH167:AH187,$H167:$H187)</f>
        <v>0</v>
      </c>
      <c r="AI166" s="465">
        <f t="shared" ref="AI166" si="741">SUMPRODUCT(AI167:AI187,$H167:$H187)</f>
        <v>0</v>
      </c>
      <c r="AJ166" s="465">
        <f t="shared" ref="AJ166:BI166" si="742">SUMPRODUCT(AJ167:AJ187,$H167:$H187)</f>
        <v>0</v>
      </c>
      <c r="AK166" s="465">
        <f t="shared" si="742"/>
        <v>0</v>
      </c>
      <c r="AL166" s="465">
        <f t="shared" si="742"/>
        <v>0</v>
      </c>
      <c r="AM166" s="465">
        <f t="shared" si="742"/>
        <v>0</v>
      </c>
      <c r="AN166" s="465">
        <f t="shared" si="742"/>
        <v>0</v>
      </c>
      <c r="AO166" s="465">
        <f t="shared" si="742"/>
        <v>0</v>
      </c>
      <c r="AP166" s="465">
        <f t="shared" si="742"/>
        <v>0</v>
      </c>
      <c r="AQ166" s="465">
        <f t="shared" si="742"/>
        <v>0</v>
      </c>
      <c r="AR166" s="465">
        <f t="shared" si="742"/>
        <v>0</v>
      </c>
      <c r="AS166" s="465">
        <f t="shared" si="742"/>
        <v>0</v>
      </c>
      <c r="AT166" s="465">
        <f t="shared" si="742"/>
        <v>0</v>
      </c>
      <c r="AU166" s="465">
        <f t="shared" si="742"/>
        <v>0</v>
      </c>
      <c r="AV166" s="465">
        <f t="shared" si="742"/>
        <v>0</v>
      </c>
      <c r="AW166" s="465">
        <f t="shared" si="742"/>
        <v>0</v>
      </c>
      <c r="AX166" s="465">
        <f t="shared" si="742"/>
        <v>0</v>
      </c>
      <c r="AY166" s="465">
        <f t="shared" si="742"/>
        <v>0</v>
      </c>
      <c r="AZ166" s="465">
        <f t="shared" si="742"/>
        <v>0</v>
      </c>
      <c r="BA166" s="465">
        <f t="shared" si="742"/>
        <v>0</v>
      </c>
      <c r="BB166" s="465">
        <f t="shared" si="742"/>
        <v>0</v>
      </c>
      <c r="BC166" s="465">
        <f t="shared" si="742"/>
        <v>0</v>
      </c>
      <c r="BD166" s="465">
        <f t="shared" si="742"/>
        <v>0</v>
      </c>
      <c r="BE166" s="465">
        <f t="shared" si="742"/>
        <v>0</v>
      </c>
      <c r="BF166" s="465">
        <f t="shared" si="742"/>
        <v>0</v>
      </c>
      <c r="BG166" s="465">
        <f t="shared" si="742"/>
        <v>0</v>
      </c>
      <c r="BH166" s="465">
        <f t="shared" si="742"/>
        <v>0</v>
      </c>
      <c r="BI166" s="543">
        <f t="shared" si="742"/>
        <v>0</v>
      </c>
      <c r="BJ166" s="546"/>
      <c r="BK166" s="475">
        <f t="shared" ref="BK166" si="743">IFERROR(BL166/I166,0)</f>
        <v>0.64285714285714279</v>
      </c>
      <c r="BL166" s="465">
        <f>SUBTOTAL(9,BL167:BL187)</f>
        <v>203549.85</v>
      </c>
      <c r="BM166" s="257"/>
      <c r="BN166" s="465">
        <f>SUMPRODUCT(BN167:BN187,$H167:$H187)</f>
        <v>0</v>
      </c>
      <c r="BO166" s="465">
        <f>SUMPRODUCT(BO167:BO187,$H167:$H187)</f>
        <v>0</v>
      </c>
      <c r="BP166" s="465">
        <f t="shared" ref="BP166" si="744">SUMPRODUCT(BP167:BP187,$H167:$H187)</f>
        <v>0</v>
      </c>
      <c r="BQ166" s="465">
        <f t="shared" ref="BQ166" si="745">SUMPRODUCT(BQ167:BQ187,$H167:$H187)</f>
        <v>0</v>
      </c>
      <c r="BR166" s="465">
        <f t="shared" ref="BR166" si="746">SUMPRODUCT(BR167:BR187,$H167:$H187)</f>
        <v>0</v>
      </c>
      <c r="BS166" s="465">
        <f t="shared" ref="BS166" si="747">SUMPRODUCT(BS167:BS187,$H167:$H187)</f>
        <v>0</v>
      </c>
      <c r="BT166" s="465">
        <f t="shared" ref="BT166" si="748">SUMPRODUCT(BT167:BT187,$H167:$H187)</f>
        <v>0</v>
      </c>
      <c r="BU166" s="465">
        <f t="shared" ref="BU166" si="749">SUMPRODUCT(BU167:BU187,$H167:$H187)</f>
        <v>0</v>
      </c>
      <c r="BV166" s="465">
        <f t="shared" ref="BV166" si="750">SUMPRODUCT(BV167:BV187,$H167:$H187)</f>
        <v>113083.25</v>
      </c>
      <c r="BW166" s="465">
        <f t="shared" ref="BW166" si="751">SUMPRODUCT(BW167:BW187,$H167:$H187)</f>
        <v>90466.6</v>
      </c>
      <c r="BX166" s="465">
        <f t="shared" ref="BX166" si="752">SUMPRODUCT(BX167:BX187,$H167:$H187)</f>
        <v>0</v>
      </c>
      <c r="BY166" s="465">
        <f t="shared" ref="BY166" si="753">SUMPRODUCT(BY167:BY187,$H167:$H187)</f>
        <v>0</v>
      </c>
      <c r="BZ166" s="465">
        <f t="shared" ref="BZ166" si="754">SUMPRODUCT(BZ167:BZ187,$H167:$H187)</f>
        <v>0</v>
      </c>
      <c r="CA166" s="465">
        <f t="shared" ref="CA166" si="755">SUMPRODUCT(CA167:CA187,$H167:$H187)</f>
        <v>0</v>
      </c>
      <c r="CB166" s="465">
        <f t="shared" ref="CB166" si="756">SUMPRODUCT(CB167:CB187,$H167:$H187)</f>
        <v>0</v>
      </c>
      <c r="CC166" s="465">
        <f t="shared" ref="CC166" si="757">SUMPRODUCT(CC167:CC187,$H167:$H187)</f>
        <v>0</v>
      </c>
      <c r="CD166" s="465">
        <f t="shared" ref="CD166" si="758">SUMPRODUCT(CD167:CD187,$H167:$H187)</f>
        <v>0</v>
      </c>
      <c r="CE166" s="465">
        <f t="shared" ref="CE166" si="759">SUMPRODUCT(CE167:CE187,$H167:$H187)</f>
        <v>0</v>
      </c>
      <c r="CF166" s="465">
        <f t="shared" ref="CF166" si="760">SUMPRODUCT(CF167:CF187,$H167:$H187)</f>
        <v>0</v>
      </c>
      <c r="CG166" s="465">
        <f t="shared" ref="CG166" si="761">SUMPRODUCT(CG167:CG187,$H167:$H187)</f>
        <v>0</v>
      </c>
      <c r="CH166" s="465">
        <f t="shared" ref="CH166" si="762">SUMPRODUCT(CH167:CH187,$H167:$H187)</f>
        <v>0</v>
      </c>
      <c r="CI166" s="465">
        <f t="shared" ref="CI166" si="763">SUMPRODUCT(CI167:CI187,$H167:$H187)</f>
        <v>0</v>
      </c>
      <c r="CJ166" s="465">
        <f t="shared" ref="CJ166" si="764">SUMPRODUCT(CJ167:CJ187,$H167:$H187)</f>
        <v>0</v>
      </c>
      <c r="CK166" s="465">
        <f t="shared" ref="CK166" si="765">SUMPRODUCT(CK167:CK187,$H167:$H187)</f>
        <v>0</v>
      </c>
      <c r="CL166" s="465">
        <f t="shared" ref="CL166" si="766">SUMPRODUCT(CL167:CL187,$H167:$H187)</f>
        <v>0</v>
      </c>
      <c r="CM166" s="465">
        <f t="shared" ref="CM166" si="767">SUMPRODUCT(CM167:CM187,$H167:$H187)</f>
        <v>0</v>
      </c>
      <c r="CN166" s="465">
        <f t="shared" ref="CN166" si="768">SUMPRODUCT(CN167:CN187,$H167:$H187)</f>
        <v>0</v>
      </c>
      <c r="CO166" s="465">
        <f t="shared" ref="CO166" si="769">SUMPRODUCT(CO167:CO187,$H167:$H187)</f>
        <v>0</v>
      </c>
      <c r="CP166" s="465">
        <f t="shared" ref="CP166" si="770">SUMPRODUCT(CP167:CP187,$H167:$H187)</f>
        <v>0</v>
      </c>
      <c r="CQ166" s="465">
        <f t="shared" ref="CQ166" si="771">SUMPRODUCT(CQ167:CQ187,$H167:$H187)</f>
        <v>0</v>
      </c>
      <c r="CR166" s="465">
        <f t="shared" ref="CR166" si="772">SUMPRODUCT(CR167:CR187,$H167:$H187)</f>
        <v>0</v>
      </c>
      <c r="CS166" s="465">
        <f t="shared" ref="CS166" si="773">SUMPRODUCT(CS167:CS187,$H167:$H187)</f>
        <v>0</v>
      </c>
      <c r="CT166" s="465">
        <f t="shared" ref="CT166" si="774">SUMPRODUCT(CT167:CT187,$H167:$H187)</f>
        <v>0</v>
      </c>
      <c r="CU166" s="465">
        <f t="shared" ref="CU166" si="775">SUMPRODUCT(CU167:CU187,$H167:$H187)</f>
        <v>0</v>
      </c>
      <c r="CV166" s="465">
        <f t="shared" ref="CV166" si="776">SUMPRODUCT(CV167:CV187,$H167:$H187)</f>
        <v>0</v>
      </c>
      <c r="CW166" s="465">
        <f t="shared" ref="CW166" si="777">SUMPRODUCT(CW167:CW187,$H167:$H187)</f>
        <v>0</v>
      </c>
      <c r="CX166" s="465">
        <f t="shared" ref="CX166" si="778">SUMPRODUCT(CX167:CX187,$H167:$H187)</f>
        <v>0</v>
      </c>
      <c r="CY166" s="465">
        <f t="shared" ref="CY166" si="779">SUMPRODUCT(CY167:CY187,$H167:$H187)</f>
        <v>0</v>
      </c>
      <c r="CZ166" s="465">
        <f t="shared" ref="CZ166" si="780">SUMPRODUCT(CZ167:CZ187,$H167:$H187)</f>
        <v>0</v>
      </c>
      <c r="DA166" s="465">
        <f t="shared" ref="DA166" si="781">SUMPRODUCT(DA167:DA187,$H167:$H187)</f>
        <v>0</v>
      </c>
      <c r="DB166" s="465">
        <f t="shared" ref="DB166" si="782">SUMPRODUCT(DB167:DB187,$H167:$H187)</f>
        <v>0</v>
      </c>
      <c r="DC166" s="465">
        <f t="shared" ref="DC166" si="783">SUMPRODUCT(DC167:DC187,$H167:$H187)</f>
        <v>0</v>
      </c>
      <c r="DD166" s="465">
        <f t="shared" ref="DD166" si="784">SUMPRODUCT(DD167:DD187,$H167:$H187)</f>
        <v>0</v>
      </c>
      <c r="DE166" s="465">
        <f t="shared" ref="DE166" si="785">SUMPRODUCT(DE167:DE187,$H167:$H187)</f>
        <v>0</v>
      </c>
      <c r="DF166" s="465">
        <f t="shared" ref="DF166" si="786">SUMPRODUCT(DF167:DF187,$H167:$H187)</f>
        <v>0</v>
      </c>
      <c r="DG166" s="465">
        <f t="shared" ref="DG166" si="787">SUMPRODUCT(DG167:DG187,$H167:$H187)</f>
        <v>0</v>
      </c>
      <c r="DH166" s="465">
        <f t="shared" ref="DH166" si="788">SUMPRODUCT(DH167:DH187,$H167:$H187)</f>
        <v>0</v>
      </c>
      <c r="DI166" s="465">
        <f t="shared" ref="DI166" si="789">SUMPRODUCT(DI167:DI187,$H167:$H187)</f>
        <v>0</v>
      </c>
    </row>
    <row r="167" spans="1:113" ht="16.05" customHeight="1" outlineLevel="1" x14ac:dyDescent="0.3">
      <c r="A167" s="455" t="str">
        <f t="shared" si="713"/>
        <v>Imprimir</v>
      </c>
      <c r="B167" s="455"/>
      <c r="C167" s="481"/>
      <c r="D167" s="463" t="s">
        <v>802</v>
      </c>
      <c r="E167" s="482" t="s">
        <v>3370</v>
      </c>
      <c r="F167" s="483" t="s">
        <v>3308</v>
      </c>
      <c r="G167" s="484">
        <v>14</v>
      </c>
      <c r="H167" s="485">
        <v>22616.65</v>
      </c>
      <c r="I167" s="466">
        <f t="shared" ref="I167:I169" si="790">G167*H167</f>
        <v>316633.10000000003</v>
      </c>
      <c r="J167" s="259"/>
      <c r="K167" s="478">
        <f>SUM(N167:BI167)</f>
        <v>0</v>
      </c>
      <c r="L167" s="466">
        <f>K167*$H167</f>
        <v>0</v>
      </c>
      <c r="M167" s="257"/>
      <c r="N167" s="478"/>
      <c r="O167" s="478"/>
      <c r="P167" s="478"/>
      <c r="Q167" s="478"/>
      <c r="R167" s="478"/>
      <c r="S167" s="478"/>
      <c r="T167" s="478"/>
      <c r="U167" s="478"/>
      <c r="V167" s="478"/>
      <c r="W167" s="478"/>
      <c r="X167" s="478"/>
      <c r="Y167" s="478"/>
      <c r="Z167" s="478"/>
      <c r="AA167" s="478"/>
      <c r="AB167" s="478"/>
      <c r="AC167" s="478"/>
      <c r="AD167" s="478"/>
      <c r="AE167" s="478"/>
      <c r="AF167" s="478"/>
      <c r="AG167" s="478"/>
      <c r="AH167" s="478"/>
      <c r="AI167" s="478"/>
      <c r="AJ167" s="478"/>
      <c r="AK167" s="478"/>
      <c r="AL167" s="478"/>
      <c r="AM167" s="478"/>
      <c r="AN167" s="478"/>
      <c r="AO167" s="478"/>
      <c r="AP167" s="478"/>
      <c r="AQ167" s="478"/>
      <c r="AR167" s="478"/>
      <c r="AS167" s="478"/>
      <c r="AT167" s="478"/>
      <c r="AU167" s="478"/>
      <c r="AV167" s="478"/>
      <c r="AW167" s="478"/>
      <c r="AX167" s="478"/>
      <c r="AY167" s="478"/>
      <c r="AZ167" s="478"/>
      <c r="BA167" s="478"/>
      <c r="BB167" s="478"/>
      <c r="BC167" s="478"/>
      <c r="BD167" s="478"/>
      <c r="BE167" s="478"/>
      <c r="BF167" s="478"/>
      <c r="BG167" s="478"/>
      <c r="BH167" s="478"/>
      <c r="BI167" s="478"/>
      <c r="BJ167" s="245"/>
      <c r="BK167" s="477">
        <f>IFERROR(BL167/I167,0)</f>
        <v>0.64285714285714279</v>
      </c>
      <c r="BL167" s="466">
        <f>SUM(BN167:DJ167)*$H167</f>
        <v>203549.85</v>
      </c>
      <c r="BM167" s="257"/>
      <c r="BN167" s="478"/>
      <c r="BO167" s="478"/>
      <c r="BP167" s="478"/>
      <c r="BQ167" s="478"/>
      <c r="BR167" s="478"/>
      <c r="BS167" s="478"/>
      <c r="BT167" s="478"/>
      <c r="BU167" s="478"/>
      <c r="BV167" s="478">
        <v>5</v>
      </c>
      <c r="BW167" s="478">
        <v>4</v>
      </c>
      <c r="BX167" s="478"/>
      <c r="BY167" s="478"/>
      <c r="BZ167" s="478"/>
      <c r="CA167" s="478"/>
      <c r="CB167" s="478"/>
      <c r="CC167" s="478"/>
      <c r="CD167" s="478"/>
      <c r="CE167" s="478"/>
      <c r="CF167" s="478"/>
      <c r="CG167" s="478"/>
      <c r="CH167" s="478"/>
      <c r="CI167" s="478"/>
      <c r="CJ167" s="478"/>
      <c r="CK167" s="478"/>
      <c r="CL167" s="478"/>
      <c r="CM167" s="478"/>
      <c r="CN167" s="478"/>
      <c r="CO167" s="478"/>
      <c r="CP167" s="478"/>
      <c r="CQ167" s="478"/>
      <c r="CR167" s="478"/>
      <c r="CS167" s="478"/>
      <c r="CT167" s="478"/>
      <c r="CU167" s="478"/>
      <c r="CV167" s="478"/>
      <c r="CW167" s="478"/>
      <c r="CX167" s="478"/>
      <c r="CY167" s="478"/>
      <c r="CZ167" s="478"/>
      <c r="DA167" s="478"/>
      <c r="DB167" s="478"/>
      <c r="DC167" s="478"/>
      <c r="DD167" s="478"/>
      <c r="DE167" s="478"/>
      <c r="DF167" s="478"/>
      <c r="DG167" s="478"/>
      <c r="DH167" s="478"/>
      <c r="DI167" s="478"/>
    </row>
    <row r="168" spans="1:113" ht="16.05" hidden="1" customHeight="1" outlineLevel="1" x14ac:dyDescent="0.3">
      <c r="A168" s="455" t="str">
        <f t="shared" si="713"/>
        <v/>
      </c>
      <c r="B168" s="455"/>
      <c r="C168" s="481"/>
      <c r="D168" s="463" t="s">
        <v>803</v>
      </c>
      <c r="E168" s="482"/>
      <c r="F168" s="483"/>
      <c r="G168" s="484"/>
      <c r="H168" s="485"/>
      <c r="I168" s="466">
        <f t="shared" si="790"/>
        <v>0</v>
      </c>
      <c r="J168" s="259"/>
      <c r="K168" s="478">
        <f t="shared" ref="K168:K186" si="791">SUM(N168:BI168)</f>
        <v>0</v>
      </c>
      <c r="L168" s="466">
        <f t="shared" ref="L168:L186" si="792">K168*$H168</f>
        <v>0</v>
      </c>
      <c r="M168" s="257"/>
      <c r="N168" s="478"/>
      <c r="O168" s="478"/>
      <c r="P168" s="478"/>
      <c r="Q168" s="478"/>
      <c r="R168" s="478"/>
      <c r="S168" s="478"/>
      <c r="T168" s="478"/>
      <c r="U168" s="478"/>
      <c r="V168" s="478"/>
      <c r="W168" s="478"/>
      <c r="X168" s="478"/>
      <c r="Y168" s="478"/>
      <c r="Z168" s="478"/>
      <c r="AA168" s="478"/>
      <c r="AB168" s="478"/>
      <c r="AC168" s="478"/>
      <c r="AD168" s="478"/>
      <c r="AE168" s="478"/>
      <c r="AF168" s="478"/>
      <c r="AG168" s="478"/>
      <c r="AH168" s="478"/>
      <c r="AI168" s="478"/>
      <c r="AJ168" s="478"/>
      <c r="AK168" s="478"/>
      <c r="AL168" s="478"/>
      <c r="AM168" s="478"/>
      <c r="AN168" s="478"/>
      <c r="AO168" s="478"/>
      <c r="AP168" s="478"/>
      <c r="AQ168" s="478"/>
      <c r="AR168" s="478"/>
      <c r="AS168" s="478"/>
      <c r="AT168" s="478"/>
      <c r="AU168" s="478"/>
      <c r="AV168" s="478"/>
      <c r="AW168" s="478"/>
      <c r="AX168" s="478"/>
      <c r="AY168" s="478"/>
      <c r="AZ168" s="478"/>
      <c r="BA168" s="478"/>
      <c r="BB168" s="478"/>
      <c r="BC168" s="478"/>
      <c r="BD168" s="478"/>
      <c r="BE168" s="478"/>
      <c r="BF168" s="478"/>
      <c r="BG168" s="478"/>
      <c r="BH168" s="478"/>
      <c r="BI168" s="478"/>
      <c r="BJ168" s="245"/>
      <c r="BK168" s="477">
        <f t="shared" ref="BK168:BK186" si="793">IFERROR(BL168/I168,0)</f>
        <v>0</v>
      </c>
      <c r="BL168" s="466">
        <f t="shared" ref="BL168:BL186" si="794">SUM(BN168:DJ168)*$H168</f>
        <v>0</v>
      </c>
      <c r="BM168" s="257"/>
      <c r="BN168" s="478"/>
      <c r="BO168" s="478"/>
      <c r="BP168" s="478"/>
      <c r="BQ168" s="478"/>
      <c r="BR168" s="478"/>
      <c r="BS168" s="478"/>
      <c r="BT168" s="478"/>
      <c r="BU168" s="478"/>
      <c r="BV168" s="478"/>
      <c r="BW168" s="478"/>
      <c r="BX168" s="478"/>
      <c r="BY168" s="478"/>
      <c r="BZ168" s="478"/>
      <c r="CA168" s="478"/>
      <c r="CB168" s="478"/>
      <c r="CC168" s="478"/>
      <c r="CD168" s="478"/>
      <c r="CE168" s="478"/>
      <c r="CF168" s="478"/>
      <c r="CG168" s="478"/>
      <c r="CH168" s="478"/>
      <c r="CI168" s="478"/>
      <c r="CJ168" s="478"/>
      <c r="CK168" s="478"/>
      <c r="CL168" s="478"/>
      <c r="CM168" s="478"/>
      <c r="CN168" s="478"/>
      <c r="CO168" s="478"/>
      <c r="CP168" s="478"/>
      <c r="CQ168" s="478"/>
      <c r="CR168" s="478"/>
      <c r="CS168" s="478"/>
      <c r="CT168" s="478"/>
      <c r="CU168" s="478"/>
      <c r="CV168" s="478"/>
      <c r="CW168" s="478"/>
      <c r="CX168" s="478"/>
      <c r="CY168" s="478"/>
      <c r="CZ168" s="478"/>
      <c r="DA168" s="478"/>
      <c r="DB168" s="478"/>
      <c r="DC168" s="478"/>
      <c r="DD168" s="478"/>
      <c r="DE168" s="478"/>
      <c r="DF168" s="478"/>
      <c r="DG168" s="478"/>
      <c r="DH168" s="478"/>
      <c r="DI168" s="478"/>
    </row>
    <row r="169" spans="1:113" ht="16.05" hidden="1" customHeight="1" outlineLevel="1" x14ac:dyDescent="0.3">
      <c r="A169" s="455" t="str">
        <f t="shared" si="713"/>
        <v/>
      </c>
      <c r="B169" s="455"/>
      <c r="C169" s="481"/>
      <c r="D169" s="463" t="s">
        <v>804</v>
      </c>
      <c r="E169" s="482"/>
      <c r="F169" s="483"/>
      <c r="G169" s="484"/>
      <c r="H169" s="485"/>
      <c r="I169" s="466">
        <f t="shared" si="790"/>
        <v>0</v>
      </c>
      <c r="J169" s="259"/>
      <c r="K169" s="478">
        <f t="shared" si="791"/>
        <v>0</v>
      </c>
      <c r="L169" s="466">
        <f t="shared" si="792"/>
        <v>0</v>
      </c>
      <c r="M169" s="257"/>
      <c r="N169" s="478"/>
      <c r="O169" s="478"/>
      <c r="P169" s="478"/>
      <c r="Q169" s="478"/>
      <c r="R169" s="478"/>
      <c r="S169" s="478"/>
      <c r="T169" s="478"/>
      <c r="U169" s="478"/>
      <c r="V169" s="478"/>
      <c r="W169" s="478"/>
      <c r="X169" s="478"/>
      <c r="Y169" s="478"/>
      <c r="Z169" s="478"/>
      <c r="AA169" s="478"/>
      <c r="AB169" s="478"/>
      <c r="AC169" s="478"/>
      <c r="AD169" s="478"/>
      <c r="AE169" s="478"/>
      <c r="AF169" s="478"/>
      <c r="AG169" s="478"/>
      <c r="AH169" s="478"/>
      <c r="AI169" s="478"/>
      <c r="AJ169" s="478"/>
      <c r="AK169" s="478"/>
      <c r="AL169" s="478"/>
      <c r="AM169" s="478"/>
      <c r="AN169" s="478"/>
      <c r="AO169" s="478"/>
      <c r="AP169" s="478"/>
      <c r="AQ169" s="478"/>
      <c r="AR169" s="478"/>
      <c r="AS169" s="478"/>
      <c r="AT169" s="478"/>
      <c r="AU169" s="478"/>
      <c r="AV169" s="478"/>
      <c r="AW169" s="478"/>
      <c r="AX169" s="478"/>
      <c r="AY169" s="478"/>
      <c r="AZ169" s="478"/>
      <c r="BA169" s="478"/>
      <c r="BB169" s="478"/>
      <c r="BC169" s="478"/>
      <c r="BD169" s="478"/>
      <c r="BE169" s="478"/>
      <c r="BF169" s="478"/>
      <c r="BG169" s="478"/>
      <c r="BH169" s="478"/>
      <c r="BI169" s="478"/>
      <c r="BJ169" s="245"/>
      <c r="BK169" s="477">
        <f t="shared" si="793"/>
        <v>0</v>
      </c>
      <c r="BL169" s="466">
        <f t="shared" si="794"/>
        <v>0</v>
      </c>
      <c r="BM169" s="257"/>
      <c r="BN169" s="478"/>
      <c r="BO169" s="478"/>
      <c r="BP169" s="478"/>
      <c r="BQ169" s="478"/>
      <c r="BR169" s="478"/>
      <c r="BS169" s="478"/>
      <c r="BT169" s="478"/>
      <c r="BU169" s="478"/>
      <c r="BV169" s="478"/>
      <c r="BW169" s="478"/>
      <c r="BX169" s="478"/>
      <c r="BY169" s="478"/>
      <c r="BZ169" s="478"/>
      <c r="CA169" s="478"/>
      <c r="CB169" s="478"/>
      <c r="CC169" s="478"/>
      <c r="CD169" s="478"/>
      <c r="CE169" s="478"/>
      <c r="CF169" s="478"/>
      <c r="CG169" s="478"/>
      <c r="CH169" s="478"/>
      <c r="CI169" s="478"/>
      <c r="CJ169" s="478"/>
      <c r="CK169" s="478"/>
      <c r="CL169" s="478"/>
      <c r="CM169" s="478"/>
      <c r="CN169" s="478"/>
      <c r="CO169" s="478"/>
      <c r="CP169" s="478"/>
      <c r="CQ169" s="478"/>
      <c r="CR169" s="478"/>
      <c r="CS169" s="478"/>
      <c r="CT169" s="478"/>
      <c r="CU169" s="478"/>
      <c r="CV169" s="478"/>
      <c r="CW169" s="478"/>
      <c r="CX169" s="478"/>
      <c r="CY169" s="478"/>
      <c r="CZ169" s="478"/>
      <c r="DA169" s="478"/>
      <c r="DB169" s="478"/>
      <c r="DC169" s="478"/>
      <c r="DD169" s="478"/>
      <c r="DE169" s="478"/>
      <c r="DF169" s="478"/>
      <c r="DG169" s="478"/>
      <c r="DH169" s="478"/>
      <c r="DI169" s="478"/>
    </row>
    <row r="170" spans="1:113" ht="16.05" hidden="1" customHeight="1" outlineLevel="1" x14ac:dyDescent="0.3">
      <c r="A170" s="455" t="str">
        <f t="shared" si="713"/>
        <v/>
      </c>
      <c r="B170" s="455"/>
      <c r="C170" s="481"/>
      <c r="D170" s="463" t="s">
        <v>805</v>
      </c>
      <c r="E170" s="482"/>
      <c r="F170" s="483"/>
      <c r="G170" s="484"/>
      <c r="H170" s="485"/>
      <c r="I170" s="466">
        <f>G170*H170</f>
        <v>0</v>
      </c>
      <c r="J170" s="259"/>
      <c r="K170" s="478">
        <f t="shared" si="791"/>
        <v>0</v>
      </c>
      <c r="L170" s="466">
        <f t="shared" si="792"/>
        <v>0</v>
      </c>
      <c r="M170" s="257"/>
      <c r="N170" s="478"/>
      <c r="O170" s="478"/>
      <c r="P170" s="478"/>
      <c r="Q170" s="478"/>
      <c r="R170" s="478"/>
      <c r="S170" s="478"/>
      <c r="T170" s="478"/>
      <c r="U170" s="478"/>
      <c r="V170" s="478"/>
      <c r="W170" s="478"/>
      <c r="X170" s="478"/>
      <c r="Y170" s="478"/>
      <c r="Z170" s="478"/>
      <c r="AA170" s="478"/>
      <c r="AB170" s="478"/>
      <c r="AC170" s="478"/>
      <c r="AD170" s="478"/>
      <c r="AE170" s="478"/>
      <c r="AF170" s="478"/>
      <c r="AG170" s="478"/>
      <c r="AH170" s="478"/>
      <c r="AI170" s="478"/>
      <c r="AJ170" s="478"/>
      <c r="AK170" s="478"/>
      <c r="AL170" s="478"/>
      <c r="AM170" s="478"/>
      <c r="AN170" s="478"/>
      <c r="AO170" s="478"/>
      <c r="AP170" s="478"/>
      <c r="AQ170" s="478"/>
      <c r="AR170" s="478"/>
      <c r="AS170" s="478"/>
      <c r="AT170" s="478"/>
      <c r="AU170" s="478"/>
      <c r="AV170" s="478"/>
      <c r="AW170" s="478"/>
      <c r="AX170" s="478"/>
      <c r="AY170" s="478"/>
      <c r="AZ170" s="478"/>
      <c r="BA170" s="478"/>
      <c r="BB170" s="478"/>
      <c r="BC170" s="478"/>
      <c r="BD170" s="478"/>
      <c r="BE170" s="478"/>
      <c r="BF170" s="478"/>
      <c r="BG170" s="478"/>
      <c r="BH170" s="478"/>
      <c r="BI170" s="478"/>
      <c r="BJ170" s="245"/>
      <c r="BK170" s="477">
        <f t="shared" si="793"/>
        <v>0</v>
      </c>
      <c r="BL170" s="466">
        <f t="shared" si="794"/>
        <v>0</v>
      </c>
      <c r="BM170" s="257"/>
      <c r="BN170" s="478"/>
      <c r="BO170" s="478"/>
      <c r="BP170" s="478"/>
      <c r="BQ170" s="478"/>
      <c r="BR170" s="478"/>
      <c r="BS170" s="478"/>
      <c r="BT170" s="478"/>
      <c r="BU170" s="478"/>
      <c r="BV170" s="478"/>
      <c r="BW170" s="478"/>
      <c r="BX170" s="478"/>
      <c r="BY170" s="478"/>
      <c r="BZ170" s="478"/>
      <c r="CA170" s="478"/>
      <c r="CB170" s="478"/>
      <c r="CC170" s="478"/>
      <c r="CD170" s="478"/>
      <c r="CE170" s="478"/>
      <c r="CF170" s="478"/>
      <c r="CG170" s="478"/>
      <c r="CH170" s="478"/>
      <c r="CI170" s="478"/>
      <c r="CJ170" s="478"/>
      <c r="CK170" s="478"/>
      <c r="CL170" s="478"/>
      <c r="CM170" s="478"/>
      <c r="CN170" s="478"/>
      <c r="CO170" s="478"/>
      <c r="CP170" s="478"/>
      <c r="CQ170" s="478"/>
      <c r="CR170" s="478"/>
      <c r="CS170" s="478"/>
      <c r="CT170" s="478"/>
      <c r="CU170" s="478"/>
      <c r="CV170" s="478"/>
      <c r="CW170" s="478"/>
      <c r="CX170" s="478"/>
      <c r="CY170" s="478"/>
      <c r="CZ170" s="478"/>
      <c r="DA170" s="478"/>
      <c r="DB170" s="478"/>
      <c r="DC170" s="478"/>
      <c r="DD170" s="478"/>
      <c r="DE170" s="478"/>
      <c r="DF170" s="478"/>
      <c r="DG170" s="478"/>
      <c r="DH170" s="478"/>
      <c r="DI170" s="478"/>
    </row>
    <row r="171" spans="1:113" ht="16.05" hidden="1" customHeight="1" outlineLevel="1" x14ac:dyDescent="0.3">
      <c r="A171" s="455" t="str">
        <f t="shared" si="713"/>
        <v/>
      </c>
      <c r="B171" s="455"/>
      <c r="C171" s="481"/>
      <c r="D171" s="463" t="s">
        <v>806</v>
      </c>
      <c r="E171" s="482"/>
      <c r="F171" s="483"/>
      <c r="G171" s="484"/>
      <c r="H171" s="485"/>
      <c r="I171" s="466">
        <f t="shared" ref="I171:I186" si="795">G171*H171</f>
        <v>0</v>
      </c>
      <c r="J171" s="259"/>
      <c r="K171" s="478">
        <f t="shared" si="791"/>
        <v>0</v>
      </c>
      <c r="L171" s="466">
        <f t="shared" si="792"/>
        <v>0</v>
      </c>
      <c r="M171" s="257"/>
      <c r="N171" s="478"/>
      <c r="O171" s="478"/>
      <c r="P171" s="478"/>
      <c r="Q171" s="478"/>
      <c r="R171" s="478"/>
      <c r="S171" s="478"/>
      <c r="T171" s="478"/>
      <c r="U171" s="478"/>
      <c r="V171" s="478"/>
      <c r="W171" s="478"/>
      <c r="X171" s="478"/>
      <c r="Y171" s="478"/>
      <c r="Z171" s="478"/>
      <c r="AA171" s="478"/>
      <c r="AB171" s="478"/>
      <c r="AC171" s="478"/>
      <c r="AD171" s="478"/>
      <c r="AE171" s="478"/>
      <c r="AF171" s="478"/>
      <c r="AG171" s="478"/>
      <c r="AH171" s="478"/>
      <c r="AI171" s="478"/>
      <c r="AJ171" s="478"/>
      <c r="AK171" s="478"/>
      <c r="AL171" s="478"/>
      <c r="AM171" s="478"/>
      <c r="AN171" s="478"/>
      <c r="AO171" s="478"/>
      <c r="AP171" s="478"/>
      <c r="AQ171" s="478"/>
      <c r="AR171" s="478"/>
      <c r="AS171" s="478"/>
      <c r="AT171" s="478"/>
      <c r="AU171" s="478"/>
      <c r="AV171" s="478"/>
      <c r="AW171" s="478"/>
      <c r="AX171" s="478"/>
      <c r="AY171" s="478"/>
      <c r="AZ171" s="478"/>
      <c r="BA171" s="478"/>
      <c r="BB171" s="478"/>
      <c r="BC171" s="478"/>
      <c r="BD171" s="478"/>
      <c r="BE171" s="478"/>
      <c r="BF171" s="478"/>
      <c r="BG171" s="478"/>
      <c r="BH171" s="478"/>
      <c r="BI171" s="478"/>
      <c r="BJ171" s="245"/>
      <c r="BK171" s="477">
        <f t="shared" si="793"/>
        <v>0</v>
      </c>
      <c r="BL171" s="466">
        <f t="shared" si="794"/>
        <v>0</v>
      </c>
      <c r="BM171" s="257"/>
      <c r="BN171" s="478"/>
      <c r="BO171" s="478"/>
      <c r="BP171" s="478"/>
      <c r="BQ171" s="478"/>
      <c r="BR171" s="478"/>
      <c r="BS171" s="478"/>
      <c r="BT171" s="478"/>
      <c r="BU171" s="478"/>
      <c r="BV171" s="478"/>
      <c r="BW171" s="478"/>
      <c r="BX171" s="478"/>
      <c r="BY171" s="478"/>
      <c r="BZ171" s="478"/>
      <c r="CA171" s="478"/>
      <c r="CB171" s="478"/>
      <c r="CC171" s="478"/>
      <c r="CD171" s="478"/>
      <c r="CE171" s="478"/>
      <c r="CF171" s="478"/>
      <c r="CG171" s="478"/>
      <c r="CH171" s="478"/>
      <c r="CI171" s="478"/>
      <c r="CJ171" s="478"/>
      <c r="CK171" s="478"/>
      <c r="CL171" s="478"/>
      <c r="CM171" s="478"/>
      <c r="CN171" s="478"/>
      <c r="CO171" s="478"/>
      <c r="CP171" s="478"/>
      <c r="CQ171" s="478"/>
      <c r="CR171" s="478"/>
      <c r="CS171" s="478"/>
      <c r="CT171" s="478"/>
      <c r="CU171" s="478"/>
      <c r="CV171" s="478"/>
      <c r="CW171" s="478"/>
      <c r="CX171" s="478"/>
      <c r="CY171" s="478"/>
      <c r="CZ171" s="478"/>
      <c r="DA171" s="478"/>
      <c r="DB171" s="478"/>
      <c r="DC171" s="478"/>
      <c r="DD171" s="478"/>
      <c r="DE171" s="478"/>
      <c r="DF171" s="478"/>
      <c r="DG171" s="478"/>
      <c r="DH171" s="478"/>
      <c r="DI171" s="478"/>
    </row>
    <row r="172" spans="1:113" ht="16.05" hidden="1" customHeight="1" outlineLevel="1" x14ac:dyDescent="0.3">
      <c r="A172" s="455" t="str">
        <f t="shared" si="713"/>
        <v/>
      </c>
      <c r="B172" s="455"/>
      <c r="C172" s="481"/>
      <c r="D172" s="463" t="s">
        <v>807</v>
      </c>
      <c r="E172" s="482"/>
      <c r="F172" s="483"/>
      <c r="G172" s="484"/>
      <c r="H172" s="485"/>
      <c r="I172" s="466">
        <f t="shared" si="795"/>
        <v>0</v>
      </c>
      <c r="J172" s="259"/>
      <c r="K172" s="478">
        <f t="shared" si="791"/>
        <v>0</v>
      </c>
      <c r="L172" s="466">
        <f t="shared" si="792"/>
        <v>0</v>
      </c>
      <c r="M172" s="257"/>
      <c r="N172" s="478"/>
      <c r="O172" s="478"/>
      <c r="P172" s="478"/>
      <c r="Q172" s="478"/>
      <c r="R172" s="478"/>
      <c r="S172" s="478"/>
      <c r="T172" s="478"/>
      <c r="U172" s="478"/>
      <c r="V172" s="478"/>
      <c r="W172" s="478"/>
      <c r="X172" s="478"/>
      <c r="Y172" s="478"/>
      <c r="Z172" s="478"/>
      <c r="AA172" s="478"/>
      <c r="AB172" s="478"/>
      <c r="AC172" s="478"/>
      <c r="AD172" s="478"/>
      <c r="AE172" s="478"/>
      <c r="AF172" s="478"/>
      <c r="AG172" s="478"/>
      <c r="AH172" s="478"/>
      <c r="AI172" s="478"/>
      <c r="AJ172" s="478"/>
      <c r="AK172" s="478"/>
      <c r="AL172" s="478"/>
      <c r="AM172" s="478"/>
      <c r="AN172" s="478"/>
      <c r="AO172" s="478"/>
      <c r="AP172" s="478"/>
      <c r="AQ172" s="478"/>
      <c r="AR172" s="478"/>
      <c r="AS172" s="478"/>
      <c r="AT172" s="478"/>
      <c r="AU172" s="478"/>
      <c r="AV172" s="478"/>
      <c r="AW172" s="478"/>
      <c r="AX172" s="478"/>
      <c r="AY172" s="478"/>
      <c r="AZ172" s="478"/>
      <c r="BA172" s="478"/>
      <c r="BB172" s="478"/>
      <c r="BC172" s="478"/>
      <c r="BD172" s="478"/>
      <c r="BE172" s="478"/>
      <c r="BF172" s="478"/>
      <c r="BG172" s="478"/>
      <c r="BH172" s="478"/>
      <c r="BI172" s="478"/>
      <c r="BJ172" s="245"/>
      <c r="BK172" s="477">
        <f t="shared" si="793"/>
        <v>0</v>
      </c>
      <c r="BL172" s="466">
        <f t="shared" si="794"/>
        <v>0</v>
      </c>
      <c r="BM172" s="257"/>
      <c r="BN172" s="478"/>
      <c r="BO172" s="478"/>
      <c r="BP172" s="478"/>
      <c r="BQ172" s="478"/>
      <c r="BR172" s="478"/>
      <c r="BS172" s="478"/>
      <c r="BT172" s="478"/>
      <c r="BU172" s="478"/>
      <c r="BV172" s="478"/>
      <c r="BW172" s="478"/>
      <c r="BX172" s="478"/>
      <c r="BY172" s="478"/>
      <c r="BZ172" s="478"/>
      <c r="CA172" s="478"/>
      <c r="CB172" s="478"/>
      <c r="CC172" s="478"/>
      <c r="CD172" s="478"/>
      <c r="CE172" s="478"/>
      <c r="CF172" s="478"/>
      <c r="CG172" s="478"/>
      <c r="CH172" s="478"/>
      <c r="CI172" s="478"/>
      <c r="CJ172" s="478"/>
      <c r="CK172" s="478"/>
      <c r="CL172" s="478"/>
      <c r="CM172" s="478"/>
      <c r="CN172" s="478"/>
      <c r="CO172" s="478"/>
      <c r="CP172" s="478"/>
      <c r="CQ172" s="478"/>
      <c r="CR172" s="478"/>
      <c r="CS172" s="478"/>
      <c r="CT172" s="478"/>
      <c r="CU172" s="478"/>
      <c r="CV172" s="478"/>
      <c r="CW172" s="478"/>
      <c r="CX172" s="478"/>
      <c r="CY172" s="478"/>
      <c r="CZ172" s="478"/>
      <c r="DA172" s="478"/>
      <c r="DB172" s="478"/>
      <c r="DC172" s="478"/>
      <c r="DD172" s="478"/>
      <c r="DE172" s="478"/>
      <c r="DF172" s="478"/>
      <c r="DG172" s="478"/>
      <c r="DH172" s="478"/>
      <c r="DI172" s="478"/>
    </row>
    <row r="173" spans="1:113" ht="16.05" hidden="1" customHeight="1" outlineLevel="1" x14ac:dyDescent="0.3">
      <c r="A173" s="455" t="str">
        <f t="shared" si="713"/>
        <v/>
      </c>
      <c r="B173" s="455"/>
      <c r="C173" s="481"/>
      <c r="D173" s="463" t="s">
        <v>808</v>
      </c>
      <c r="E173" s="482"/>
      <c r="F173" s="483"/>
      <c r="G173" s="484"/>
      <c r="H173" s="485"/>
      <c r="I173" s="466">
        <f t="shared" si="795"/>
        <v>0</v>
      </c>
      <c r="J173" s="259"/>
      <c r="K173" s="478">
        <f t="shared" si="791"/>
        <v>0</v>
      </c>
      <c r="L173" s="466">
        <f t="shared" si="792"/>
        <v>0</v>
      </c>
      <c r="M173" s="257"/>
      <c r="N173" s="478"/>
      <c r="O173" s="478"/>
      <c r="P173" s="478"/>
      <c r="Q173" s="478"/>
      <c r="R173" s="478"/>
      <c r="S173" s="478"/>
      <c r="T173" s="478"/>
      <c r="U173" s="478"/>
      <c r="V173" s="478"/>
      <c r="W173" s="478"/>
      <c r="X173" s="478"/>
      <c r="Y173" s="478"/>
      <c r="Z173" s="478"/>
      <c r="AA173" s="478"/>
      <c r="AB173" s="478"/>
      <c r="AC173" s="478"/>
      <c r="AD173" s="478"/>
      <c r="AE173" s="478"/>
      <c r="AF173" s="478"/>
      <c r="AG173" s="478"/>
      <c r="AH173" s="478"/>
      <c r="AI173" s="478"/>
      <c r="AJ173" s="478"/>
      <c r="AK173" s="478"/>
      <c r="AL173" s="478"/>
      <c r="AM173" s="478"/>
      <c r="AN173" s="478"/>
      <c r="AO173" s="478"/>
      <c r="AP173" s="478"/>
      <c r="AQ173" s="478"/>
      <c r="AR173" s="478"/>
      <c r="AS173" s="478"/>
      <c r="AT173" s="478"/>
      <c r="AU173" s="478"/>
      <c r="AV173" s="478"/>
      <c r="AW173" s="478"/>
      <c r="AX173" s="478"/>
      <c r="AY173" s="478"/>
      <c r="AZ173" s="478"/>
      <c r="BA173" s="478"/>
      <c r="BB173" s="478"/>
      <c r="BC173" s="478"/>
      <c r="BD173" s="478"/>
      <c r="BE173" s="478"/>
      <c r="BF173" s="478"/>
      <c r="BG173" s="478"/>
      <c r="BH173" s="478"/>
      <c r="BI173" s="478"/>
      <c r="BJ173" s="245"/>
      <c r="BK173" s="477">
        <f t="shared" si="793"/>
        <v>0</v>
      </c>
      <c r="BL173" s="466">
        <f t="shared" si="794"/>
        <v>0</v>
      </c>
      <c r="BM173" s="257"/>
      <c r="BN173" s="478"/>
      <c r="BO173" s="478"/>
      <c r="BP173" s="478"/>
      <c r="BQ173" s="478"/>
      <c r="BR173" s="478"/>
      <c r="BS173" s="478"/>
      <c r="BT173" s="478"/>
      <c r="BU173" s="478"/>
      <c r="BV173" s="478"/>
      <c r="BW173" s="478"/>
      <c r="BX173" s="478"/>
      <c r="BY173" s="478"/>
      <c r="BZ173" s="478"/>
      <c r="CA173" s="478"/>
      <c r="CB173" s="478"/>
      <c r="CC173" s="478"/>
      <c r="CD173" s="478"/>
      <c r="CE173" s="478"/>
      <c r="CF173" s="478"/>
      <c r="CG173" s="478"/>
      <c r="CH173" s="478"/>
      <c r="CI173" s="478"/>
      <c r="CJ173" s="478"/>
      <c r="CK173" s="478"/>
      <c r="CL173" s="478"/>
      <c r="CM173" s="478"/>
      <c r="CN173" s="478"/>
      <c r="CO173" s="478"/>
      <c r="CP173" s="478"/>
      <c r="CQ173" s="478"/>
      <c r="CR173" s="478"/>
      <c r="CS173" s="478"/>
      <c r="CT173" s="478"/>
      <c r="CU173" s="478"/>
      <c r="CV173" s="478"/>
      <c r="CW173" s="478"/>
      <c r="CX173" s="478"/>
      <c r="CY173" s="478"/>
      <c r="CZ173" s="478"/>
      <c r="DA173" s="478"/>
      <c r="DB173" s="478"/>
      <c r="DC173" s="478"/>
      <c r="DD173" s="478"/>
      <c r="DE173" s="478"/>
      <c r="DF173" s="478"/>
      <c r="DG173" s="478"/>
      <c r="DH173" s="478"/>
      <c r="DI173" s="478"/>
    </row>
    <row r="174" spans="1:113" ht="16.05" hidden="1" customHeight="1" outlineLevel="1" x14ac:dyDescent="0.3">
      <c r="A174" s="455" t="str">
        <f t="shared" si="713"/>
        <v/>
      </c>
      <c r="B174" s="455"/>
      <c r="C174" s="481"/>
      <c r="D174" s="463" t="s">
        <v>809</v>
      </c>
      <c r="E174" s="482"/>
      <c r="F174" s="483"/>
      <c r="G174" s="484"/>
      <c r="H174" s="485"/>
      <c r="I174" s="466">
        <f t="shared" si="795"/>
        <v>0</v>
      </c>
      <c r="J174" s="259"/>
      <c r="K174" s="478">
        <f t="shared" si="791"/>
        <v>0</v>
      </c>
      <c r="L174" s="466">
        <f t="shared" si="792"/>
        <v>0</v>
      </c>
      <c r="M174" s="257"/>
      <c r="N174" s="478"/>
      <c r="O174" s="478"/>
      <c r="P174" s="478"/>
      <c r="Q174" s="478"/>
      <c r="R174" s="478"/>
      <c r="S174" s="478"/>
      <c r="T174" s="478"/>
      <c r="U174" s="478"/>
      <c r="V174" s="478"/>
      <c r="W174" s="478"/>
      <c r="X174" s="478"/>
      <c r="Y174" s="478"/>
      <c r="Z174" s="478"/>
      <c r="AA174" s="478"/>
      <c r="AB174" s="478"/>
      <c r="AC174" s="478"/>
      <c r="AD174" s="478"/>
      <c r="AE174" s="478"/>
      <c r="AF174" s="478"/>
      <c r="AG174" s="478"/>
      <c r="AH174" s="478"/>
      <c r="AI174" s="478"/>
      <c r="AJ174" s="478"/>
      <c r="AK174" s="478"/>
      <c r="AL174" s="478"/>
      <c r="AM174" s="478"/>
      <c r="AN174" s="478"/>
      <c r="AO174" s="478"/>
      <c r="AP174" s="478"/>
      <c r="AQ174" s="478"/>
      <c r="AR174" s="478"/>
      <c r="AS174" s="478"/>
      <c r="AT174" s="478"/>
      <c r="AU174" s="478"/>
      <c r="AV174" s="478"/>
      <c r="AW174" s="478"/>
      <c r="AX174" s="478"/>
      <c r="AY174" s="478"/>
      <c r="AZ174" s="478"/>
      <c r="BA174" s="478"/>
      <c r="BB174" s="478"/>
      <c r="BC174" s="478"/>
      <c r="BD174" s="478"/>
      <c r="BE174" s="478"/>
      <c r="BF174" s="478"/>
      <c r="BG174" s="478"/>
      <c r="BH174" s="478"/>
      <c r="BI174" s="478"/>
      <c r="BJ174" s="245"/>
      <c r="BK174" s="477">
        <f t="shared" si="793"/>
        <v>0</v>
      </c>
      <c r="BL174" s="466">
        <f t="shared" si="794"/>
        <v>0</v>
      </c>
      <c r="BM174" s="257"/>
      <c r="BN174" s="478"/>
      <c r="BO174" s="478"/>
      <c r="BP174" s="478"/>
      <c r="BQ174" s="478"/>
      <c r="BR174" s="478"/>
      <c r="BS174" s="478"/>
      <c r="BT174" s="478"/>
      <c r="BU174" s="478"/>
      <c r="BV174" s="478"/>
      <c r="BW174" s="478"/>
      <c r="BX174" s="478"/>
      <c r="BY174" s="478"/>
      <c r="BZ174" s="478"/>
      <c r="CA174" s="478"/>
      <c r="CB174" s="478"/>
      <c r="CC174" s="478"/>
      <c r="CD174" s="478"/>
      <c r="CE174" s="478"/>
      <c r="CF174" s="478"/>
      <c r="CG174" s="478"/>
      <c r="CH174" s="478"/>
      <c r="CI174" s="478"/>
      <c r="CJ174" s="478"/>
      <c r="CK174" s="478"/>
      <c r="CL174" s="478"/>
      <c r="CM174" s="478"/>
      <c r="CN174" s="478"/>
      <c r="CO174" s="478"/>
      <c r="CP174" s="478"/>
      <c r="CQ174" s="478"/>
      <c r="CR174" s="478"/>
      <c r="CS174" s="478"/>
      <c r="CT174" s="478"/>
      <c r="CU174" s="478"/>
      <c r="CV174" s="478"/>
      <c r="CW174" s="478"/>
      <c r="CX174" s="478"/>
      <c r="CY174" s="478"/>
      <c r="CZ174" s="478"/>
      <c r="DA174" s="478"/>
      <c r="DB174" s="478"/>
      <c r="DC174" s="478"/>
      <c r="DD174" s="478"/>
      <c r="DE174" s="478"/>
      <c r="DF174" s="478"/>
      <c r="DG174" s="478"/>
      <c r="DH174" s="478"/>
      <c r="DI174" s="478"/>
    </row>
    <row r="175" spans="1:113" ht="16.05" hidden="1" customHeight="1" outlineLevel="1" x14ac:dyDescent="0.3">
      <c r="A175" s="455" t="str">
        <f t="shared" si="713"/>
        <v/>
      </c>
      <c r="B175" s="455"/>
      <c r="C175" s="481"/>
      <c r="D175" s="463" t="s">
        <v>810</v>
      </c>
      <c r="E175" s="482"/>
      <c r="F175" s="483"/>
      <c r="G175" s="484"/>
      <c r="H175" s="485"/>
      <c r="I175" s="466">
        <f t="shared" si="795"/>
        <v>0</v>
      </c>
      <c r="J175" s="259"/>
      <c r="K175" s="478">
        <f t="shared" si="791"/>
        <v>0</v>
      </c>
      <c r="L175" s="466">
        <f t="shared" si="792"/>
        <v>0</v>
      </c>
      <c r="M175" s="257"/>
      <c r="N175" s="478"/>
      <c r="O175" s="478"/>
      <c r="P175" s="478"/>
      <c r="Q175" s="478"/>
      <c r="R175" s="478"/>
      <c r="S175" s="478"/>
      <c r="T175" s="478"/>
      <c r="U175" s="478"/>
      <c r="V175" s="478"/>
      <c r="W175" s="478"/>
      <c r="X175" s="478"/>
      <c r="Y175" s="478"/>
      <c r="Z175" s="478"/>
      <c r="AA175" s="478"/>
      <c r="AB175" s="478"/>
      <c r="AC175" s="478"/>
      <c r="AD175" s="478"/>
      <c r="AE175" s="478"/>
      <c r="AF175" s="478"/>
      <c r="AG175" s="478"/>
      <c r="AH175" s="478"/>
      <c r="AI175" s="478"/>
      <c r="AJ175" s="478"/>
      <c r="AK175" s="478"/>
      <c r="AL175" s="478"/>
      <c r="AM175" s="478"/>
      <c r="AN175" s="478"/>
      <c r="AO175" s="478"/>
      <c r="AP175" s="478"/>
      <c r="AQ175" s="478"/>
      <c r="AR175" s="478"/>
      <c r="AS175" s="478"/>
      <c r="AT175" s="478"/>
      <c r="AU175" s="478"/>
      <c r="AV175" s="478"/>
      <c r="AW175" s="478"/>
      <c r="AX175" s="478"/>
      <c r="AY175" s="478"/>
      <c r="AZ175" s="478"/>
      <c r="BA175" s="478"/>
      <c r="BB175" s="478"/>
      <c r="BC175" s="478"/>
      <c r="BD175" s="478"/>
      <c r="BE175" s="478"/>
      <c r="BF175" s="478"/>
      <c r="BG175" s="478"/>
      <c r="BH175" s="478"/>
      <c r="BI175" s="478"/>
      <c r="BJ175" s="245"/>
      <c r="BK175" s="477">
        <f t="shared" si="793"/>
        <v>0</v>
      </c>
      <c r="BL175" s="466">
        <f t="shared" si="794"/>
        <v>0</v>
      </c>
      <c r="BM175" s="257"/>
      <c r="BN175" s="478"/>
      <c r="BO175" s="478"/>
      <c r="BP175" s="478"/>
      <c r="BQ175" s="478"/>
      <c r="BR175" s="478"/>
      <c r="BS175" s="478"/>
      <c r="BT175" s="478"/>
      <c r="BU175" s="478"/>
      <c r="BV175" s="478"/>
      <c r="BW175" s="478"/>
      <c r="BX175" s="478"/>
      <c r="BY175" s="478"/>
      <c r="BZ175" s="478"/>
      <c r="CA175" s="478"/>
      <c r="CB175" s="478"/>
      <c r="CC175" s="478"/>
      <c r="CD175" s="478"/>
      <c r="CE175" s="478"/>
      <c r="CF175" s="478"/>
      <c r="CG175" s="478"/>
      <c r="CH175" s="478"/>
      <c r="CI175" s="478"/>
      <c r="CJ175" s="478"/>
      <c r="CK175" s="478"/>
      <c r="CL175" s="478"/>
      <c r="CM175" s="478"/>
      <c r="CN175" s="478"/>
      <c r="CO175" s="478"/>
      <c r="CP175" s="478"/>
      <c r="CQ175" s="478"/>
      <c r="CR175" s="478"/>
      <c r="CS175" s="478"/>
      <c r="CT175" s="478"/>
      <c r="CU175" s="478"/>
      <c r="CV175" s="478"/>
      <c r="CW175" s="478"/>
      <c r="CX175" s="478"/>
      <c r="CY175" s="478"/>
      <c r="CZ175" s="478"/>
      <c r="DA175" s="478"/>
      <c r="DB175" s="478"/>
      <c r="DC175" s="478"/>
      <c r="DD175" s="478"/>
      <c r="DE175" s="478"/>
      <c r="DF175" s="478"/>
      <c r="DG175" s="478"/>
      <c r="DH175" s="478"/>
      <c r="DI175" s="478"/>
    </row>
    <row r="176" spans="1:113" ht="16.05" hidden="1" customHeight="1" outlineLevel="1" x14ac:dyDescent="0.3">
      <c r="A176" s="455" t="str">
        <f t="shared" si="713"/>
        <v/>
      </c>
      <c r="B176" s="455"/>
      <c r="C176" s="481"/>
      <c r="D176" s="463" t="s">
        <v>811</v>
      </c>
      <c r="E176" s="482"/>
      <c r="F176" s="483"/>
      <c r="G176" s="484"/>
      <c r="H176" s="485"/>
      <c r="I176" s="466">
        <f t="shared" si="795"/>
        <v>0</v>
      </c>
      <c r="J176" s="259"/>
      <c r="K176" s="478">
        <f t="shared" si="791"/>
        <v>0</v>
      </c>
      <c r="L176" s="466">
        <f t="shared" si="792"/>
        <v>0</v>
      </c>
      <c r="M176" s="257"/>
      <c r="N176" s="478"/>
      <c r="O176" s="478"/>
      <c r="P176" s="478"/>
      <c r="Q176" s="478"/>
      <c r="R176" s="478"/>
      <c r="S176" s="478"/>
      <c r="T176" s="478"/>
      <c r="U176" s="478"/>
      <c r="V176" s="478"/>
      <c r="W176" s="478"/>
      <c r="X176" s="478"/>
      <c r="Y176" s="478"/>
      <c r="Z176" s="478"/>
      <c r="AA176" s="478"/>
      <c r="AB176" s="478"/>
      <c r="AC176" s="478"/>
      <c r="AD176" s="478"/>
      <c r="AE176" s="478"/>
      <c r="AF176" s="478"/>
      <c r="AG176" s="478"/>
      <c r="AH176" s="478"/>
      <c r="AI176" s="478"/>
      <c r="AJ176" s="478"/>
      <c r="AK176" s="478"/>
      <c r="AL176" s="478"/>
      <c r="AM176" s="478"/>
      <c r="AN176" s="478"/>
      <c r="AO176" s="478"/>
      <c r="AP176" s="478"/>
      <c r="AQ176" s="478"/>
      <c r="AR176" s="478"/>
      <c r="AS176" s="478"/>
      <c r="AT176" s="478"/>
      <c r="AU176" s="478"/>
      <c r="AV176" s="478"/>
      <c r="AW176" s="478"/>
      <c r="AX176" s="478"/>
      <c r="AY176" s="478"/>
      <c r="AZ176" s="478"/>
      <c r="BA176" s="478"/>
      <c r="BB176" s="478"/>
      <c r="BC176" s="478"/>
      <c r="BD176" s="478"/>
      <c r="BE176" s="478"/>
      <c r="BF176" s="478"/>
      <c r="BG176" s="478"/>
      <c r="BH176" s="478"/>
      <c r="BI176" s="478"/>
      <c r="BJ176" s="245"/>
      <c r="BK176" s="477">
        <f t="shared" si="793"/>
        <v>0</v>
      </c>
      <c r="BL176" s="466">
        <f t="shared" si="794"/>
        <v>0</v>
      </c>
      <c r="BM176" s="257"/>
      <c r="BN176" s="478"/>
      <c r="BO176" s="478"/>
      <c r="BP176" s="478"/>
      <c r="BQ176" s="478"/>
      <c r="BR176" s="478"/>
      <c r="BS176" s="478"/>
      <c r="BT176" s="478"/>
      <c r="BU176" s="478"/>
      <c r="BV176" s="478"/>
      <c r="BW176" s="478"/>
      <c r="BX176" s="478"/>
      <c r="BY176" s="478"/>
      <c r="BZ176" s="478"/>
      <c r="CA176" s="478"/>
      <c r="CB176" s="478"/>
      <c r="CC176" s="478"/>
      <c r="CD176" s="478"/>
      <c r="CE176" s="478"/>
      <c r="CF176" s="478"/>
      <c r="CG176" s="478"/>
      <c r="CH176" s="478"/>
      <c r="CI176" s="478"/>
      <c r="CJ176" s="478"/>
      <c r="CK176" s="478"/>
      <c r="CL176" s="478"/>
      <c r="CM176" s="478"/>
      <c r="CN176" s="478"/>
      <c r="CO176" s="478"/>
      <c r="CP176" s="478"/>
      <c r="CQ176" s="478"/>
      <c r="CR176" s="478"/>
      <c r="CS176" s="478"/>
      <c r="CT176" s="478"/>
      <c r="CU176" s="478"/>
      <c r="CV176" s="478"/>
      <c r="CW176" s="478"/>
      <c r="CX176" s="478"/>
      <c r="CY176" s="478"/>
      <c r="CZ176" s="478"/>
      <c r="DA176" s="478"/>
      <c r="DB176" s="478"/>
      <c r="DC176" s="478"/>
      <c r="DD176" s="478"/>
      <c r="DE176" s="478"/>
      <c r="DF176" s="478"/>
      <c r="DG176" s="478"/>
      <c r="DH176" s="478"/>
      <c r="DI176" s="478"/>
    </row>
    <row r="177" spans="1:113" ht="16.05" hidden="1" customHeight="1" outlineLevel="1" x14ac:dyDescent="0.3">
      <c r="A177" s="455" t="str">
        <f t="shared" si="713"/>
        <v/>
      </c>
      <c r="B177" s="455"/>
      <c r="C177" s="481"/>
      <c r="D177" s="463" t="s">
        <v>812</v>
      </c>
      <c r="E177" s="482"/>
      <c r="F177" s="483"/>
      <c r="G177" s="484"/>
      <c r="H177" s="485"/>
      <c r="I177" s="466">
        <f t="shared" si="795"/>
        <v>0</v>
      </c>
      <c r="J177" s="259"/>
      <c r="K177" s="478">
        <f t="shared" si="791"/>
        <v>0</v>
      </c>
      <c r="L177" s="466">
        <f t="shared" si="792"/>
        <v>0</v>
      </c>
      <c r="M177" s="257"/>
      <c r="N177" s="478"/>
      <c r="O177" s="478"/>
      <c r="P177" s="478"/>
      <c r="Q177" s="478"/>
      <c r="R177" s="478"/>
      <c r="S177" s="478"/>
      <c r="T177" s="478"/>
      <c r="U177" s="478"/>
      <c r="V177" s="478"/>
      <c r="W177" s="478"/>
      <c r="X177" s="478"/>
      <c r="Y177" s="478"/>
      <c r="Z177" s="478"/>
      <c r="AA177" s="478"/>
      <c r="AB177" s="478"/>
      <c r="AC177" s="478"/>
      <c r="AD177" s="478"/>
      <c r="AE177" s="478"/>
      <c r="AF177" s="478"/>
      <c r="AG177" s="478"/>
      <c r="AH177" s="478"/>
      <c r="AI177" s="478"/>
      <c r="AJ177" s="478"/>
      <c r="AK177" s="478"/>
      <c r="AL177" s="478"/>
      <c r="AM177" s="478"/>
      <c r="AN177" s="478"/>
      <c r="AO177" s="478"/>
      <c r="AP177" s="478"/>
      <c r="AQ177" s="478"/>
      <c r="AR177" s="478"/>
      <c r="AS177" s="478"/>
      <c r="AT177" s="478"/>
      <c r="AU177" s="478"/>
      <c r="AV177" s="478"/>
      <c r="AW177" s="478"/>
      <c r="AX177" s="478"/>
      <c r="AY177" s="478"/>
      <c r="AZ177" s="478"/>
      <c r="BA177" s="478"/>
      <c r="BB177" s="478"/>
      <c r="BC177" s="478"/>
      <c r="BD177" s="478"/>
      <c r="BE177" s="478"/>
      <c r="BF177" s="478"/>
      <c r="BG177" s="478"/>
      <c r="BH177" s="478"/>
      <c r="BI177" s="478"/>
      <c r="BJ177" s="245"/>
      <c r="BK177" s="477">
        <f t="shared" si="793"/>
        <v>0</v>
      </c>
      <c r="BL177" s="466">
        <f t="shared" si="794"/>
        <v>0</v>
      </c>
      <c r="BM177" s="257"/>
      <c r="BN177" s="478"/>
      <c r="BO177" s="478"/>
      <c r="BP177" s="478"/>
      <c r="BQ177" s="478"/>
      <c r="BR177" s="478"/>
      <c r="BS177" s="478"/>
      <c r="BT177" s="478"/>
      <c r="BU177" s="478"/>
      <c r="BV177" s="478"/>
      <c r="BW177" s="478"/>
      <c r="BX177" s="478"/>
      <c r="BY177" s="478"/>
      <c r="BZ177" s="478"/>
      <c r="CA177" s="478"/>
      <c r="CB177" s="478"/>
      <c r="CC177" s="478"/>
      <c r="CD177" s="478"/>
      <c r="CE177" s="478"/>
      <c r="CF177" s="478"/>
      <c r="CG177" s="478"/>
      <c r="CH177" s="478"/>
      <c r="CI177" s="478"/>
      <c r="CJ177" s="478"/>
      <c r="CK177" s="478"/>
      <c r="CL177" s="478"/>
      <c r="CM177" s="478"/>
      <c r="CN177" s="478"/>
      <c r="CO177" s="478"/>
      <c r="CP177" s="478"/>
      <c r="CQ177" s="478"/>
      <c r="CR177" s="478"/>
      <c r="CS177" s="478"/>
      <c r="CT177" s="478"/>
      <c r="CU177" s="478"/>
      <c r="CV177" s="478"/>
      <c r="CW177" s="478"/>
      <c r="CX177" s="478"/>
      <c r="CY177" s="478"/>
      <c r="CZ177" s="478"/>
      <c r="DA177" s="478"/>
      <c r="DB177" s="478"/>
      <c r="DC177" s="478"/>
      <c r="DD177" s="478"/>
      <c r="DE177" s="478"/>
      <c r="DF177" s="478"/>
      <c r="DG177" s="478"/>
      <c r="DH177" s="478"/>
      <c r="DI177" s="478"/>
    </row>
    <row r="178" spans="1:113" ht="16.05" hidden="1" customHeight="1" outlineLevel="1" x14ac:dyDescent="0.3">
      <c r="A178" s="455" t="str">
        <f t="shared" si="713"/>
        <v/>
      </c>
      <c r="B178" s="455"/>
      <c r="C178" s="481"/>
      <c r="D178" s="463" t="s">
        <v>813</v>
      </c>
      <c r="E178" s="482"/>
      <c r="F178" s="483"/>
      <c r="G178" s="484"/>
      <c r="H178" s="485"/>
      <c r="I178" s="466">
        <f t="shared" si="795"/>
        <v>0</v>
      </c>
      <c r="J178" s="259"/>
      <c r="K178" s="478">
        <f t="shared" si="791"/>
        <v>0</v>
      </c>
      <c r="L178" s="466">
        <f t="shared" si="792"/>
        <v>0</v>
      </c>
      <c r="M178" s="257"/>
      <c r="N178" s="478"/>
      <c r="O178" s="478"/>
      <c r="P178" s="478"/>
      <c r="Q178" s="478"/>
      <c r="R178" s="478"/>
      <c r="S178" s="478"/>
      <c r="T178" s="478"/>
      <c r="U178" s="478"/>
      <c r="V178" s="478"/>
      <c r="W178" s="478"/>
      <c r="X178" s="478"/>
      <c r="Y178" s="478"/>
      <c r="Z178" s="478"/>
      <c r="AA178" s="478"/>
      <c r="AB178" s="478"/>
      <c r="AC178" s="478"/>
      <c r="AD178" s="478"/>
      <c r="AE178" s="478"/>
      <c r="AF178" s="478"/>
      <c r="AG178" s="478"/>
      <c r="AH178" s="478"/>
      <c r="AI178" s="478"/>
      <c r="AJ178" s="478"/>
      <c r="AK178" s="478"/>
      <c r="AL178" s="478"/>
      <c r="AM178" s="478"/>
      <c r="AN178" s="478"/>
      <c r="AO178" s="478"/>
      <c r="AP178" s="478"/>
      <c r="AQ178" s="478"/>
      <c r="AR178" s="478"/>
      <c r="AS178" s="478"/>
      <c r="AT178" s="478"/>
      <c r="AU178" s="478"/>
      <c r="AV178" s="478"/>
      <c r="AW178" s="478"/>
      <c r="AX178" s="478"/>
      <c r="AY178" s="478"/>
      <c r="AZ178" s="478"/>
      <c r="BA178" s="478"/>
      <c r="BB178" s="478"/>
      <c r="BC178" s="478"/>
      <c r="BD178" s="478"/>
      <c r="BE178" s="478"/>
      <c r="BF178" s="478"/>
      <c r="BG178" s="478"/>
      <c r="BH178" s="478"/>
      <c r="BI178" s="478"/>
      <c r="BJ178" s="245"/>
      <c r="BK178" s="477">
        <f t="shared" si="793"/>
        <v>0</v>
      </c>
      <c r="BL178" s="466">
        <f t="shared" si="794"/>
        <v>0</v>
      </c>
      <c r="BM178" s="257"/>
      <c r="BN178" s="478"/>
      <c r="BO178" s="478"/>
      <c r="BP178" s="478"/>
      <c r="BQ178" s="478"/>
      <c r="BR178" s="478"/>
      <c r="BS178" s="478"/>
      <c r="BT178" s="478"/>
      <c r="BU178" s="478"/>
      <c r="BV178" s="478"/>
      <c r="BW178" s="478"/>
      <c r="BX178" s="478"/>
      <c r="BY178" s="478"/>
      <c r="BZ178" s="478"/>
      <c r="CA178" s="478"/>
      <c r="CB178" s="478"/>
      <c r="CC178" s="478"/>
      <c r="CD178" s="478"/>
      <c r="CE178" s="478"/>
      <c r="CF178" s="478"/>
      <c r="CG178" s="478"/>
      <c r="CH178" s="478"/>
      <c r="CI178" s="478"/>
      <c r="CJ178" s="478"/>
      <c r="CK178" s="478"/>
      <c r="CL178" s="478"/>
      <c r="CM178" s="478"/>
      <c r="CN178" s="478"/>
      <c r="CO178" s="478"/>
      <c r="CP178" s="478"/>
      <c r="CQ178" s="478"/>
      <c r="CR178" s="478"/>
      <c r="CS178" s="478"/>
      <c r="CT178" s="478"/>
      <c r="CU178" s="478"/>
      <c r="CV178" s="478"/>
      <c r="CW178" s="478"/>
      <c r="CX178" s="478"/>
      <c r="CY178" s="478"/>
      <c r="CZ178" s="478"/>
      <c r="DA178" s="478"/>
      <c r="DB178" s="478"/>
      <c r="DC178" s="478"/>
      <c r="DD178" s="478"/>
      <c r="DE178" s="478"/>
      <c r="DF178" s="478"/>
      <c r="DG178" s="478"/>
      <c r="DH178" s="478"/>
      <c r="DI178" s="478"/>
    </row>
    <row r="179" spans="1:113" ht="16.05" hidden="1" customHeight="1" outlineLevel="1" x14ac:dyDescent="0.3">
      <c r="A179" s="455" t="str">
        <f t="shared" si="713"/>
        <v/>
      </c>
      <c r="B179" s="455"/>
      <c r="C179" s="481"/>
      <c r="D179" s="463" t="s">
        <v>814</v>
      </c>
      <c r="E179" s="482"/>
      <c r="F179" s="483"/>
      <c r="G179" s="484"/>
      <c r="H179" s="485"/>
      <c r="I179" s="466">
        <f t="shared" si="795"/>
        <v>0</v>
      </c>
      <c r="J179" s="259"/>
      <c r="K179" s="478">
        <f t="shared" si="791"/>
        <v>0</v>
      </c>
      <c r="L179" s="466">
        <f t="shared" si="792"/>
        <v>0</v>
      </c>
      <c r="M179" s="257"/>
      <c r="N179" s="478"/>
      <c r="O179" s="478"/>
      <c r="P179" s="478"/>
      <c r="Q179" s="478"/>
      <c r="R179" s="478"/>
      <c r="S179" s="478"/>
      <c r="T179" s="478"/>
      <c r="U179" s="478"/>
      <c r="V179" s="478"/>
      <c r="W179" s="478"/>
      <c r="X179" s="478"/>
      <c r="Y179" s="478"/>
      <c r="Z179" s="478"/>
      <c r="AA179" s="478"/>
      <c r="AB179" s="478"/>
      <c r="AC179" s="478"/>
      <c r="AD179" s="478"/>
      <c r="AE179" s="478"/>
      <c r="AF179" s="478"/>
      <c r="AG179" s="478"/>
      <c r="AH179" s="478"/>
      <c r="AI179" s="478"/>
      <c r="AJ179" s="478"/>
      <c r="AK179" s="478"/>
      <c r="AL179" s="478"/>
      <c r="AM179" s="478"/>
      <c r="AN179" s="478"/>
      <c r="AO179" s="478"/>
      <c r="AP179" s="478"/>
      <c r="AQ179" s="478"/>
      <c r="AR179" s="478"/>
      <c r="AS179" s="478"/>
      <c r="AT179" s="478"/>
      <c r="AU179" s="478"/>
      <c r="AV179" s="478"/>
      <c r="AW179" s="478"/>
      <c r="AX179" s="478"/>
      <c r="AY179" s="478"/>
      <c r="AZ179" s="478"/>
      <c r="BA179" s="478"/>
      <c r="BB179" s="478"/>
      <c r="BC179" s="478"/>
      <c r="BD179" s="478"/>
      <c r="BE179" s="478"/>
      <c r="BF179" s="478"/>
      <c r="BG179" s="478"/>
      <c r="BH179" s="478"/>
      <c r="BI179" s="478"/>
      <c r="BJ179" s="245"/>
      <c r="BK179" s="477">
        <f t="shared" si="793"/>
        <v>0</v>
      </c>
      <c r="BL179" s="466">
        <f t="shared" si="794"/>
        <v>0</v>
      </c>
      <c r="BM179" s="257"/>
      <c r="BN179" s="478"/>
      <c r="BO179" s="478"/>
      <c r="BP179" s="478"/>
      <c r="BQ179" s="478"/>
      <c r="BR179" s="478"/>
      <c r="BS179" s="478"/>
      <c r="BT179" s="478"/>
      <c r="BU179" s="478"/>
      <c r="BV179" s="478"/>
      <c r="BW179" s="478"/>
      <c r="BX179" s="478"/>
      <c r="BY179" s="478"/>
      <c r="BZ179" s="478"/>
      <c r="CA179" s="478"/>
      <c r="CB179" s="478"/>
      <c r="CC179" s="478"/>
      <c r="CD179" s="478"/>
      <c r="CE179" s="478"/>
      <c r="CF179" s="478"/>
      <c r="CG179" s="478"/>
      <c r="CH179" s="478"/>
      <c r="CI179" s="478"/>
      <c r="CJ179" s="478"/>
      <c r="CK179" s="478"/>
      <c r="CL179" s="478"/>
      <c r="CM179" s="478"/>
      <c r="CN179" s="478"/>
      <c r="CO179" s="478"/>
      <c r="CP179" s="478"/>
      <c r="CQ179" s="478"/>
      <c r="CR179" s="478"/>
      <c r="CS179" s="478"/>
      <c r="CT179" s="478"/>
      <c r="CU179" s="478"/>
      <c r="CV179" s="478"/>
      <c r="CW179" s="478"/>
      <c r="CX179" s="478"/>
      <c r="CY179" s="478"/>
      <c r="CZ179" s="478"/>
      <c r="DA179" s="478"/>
      <c r="DB179" s="478"/>
      <c r="DC179" s="478"/>
      <c r="DD179" s="478"/>
      <c r="DE179" s="478"/>
      <c r="DF179" s="478"/>
      <c r="DG179" s="478"/>
      <c r="DH179" s="478"/>
      <c r="DI179" s="478"/>
    </row>
    <row r="180" spans="1:113" ht="16.05" hidden="1" customHeight="1" outlineLevel="1" x14ac:dyDescent="0.3">
      <c r="A180" s="455" t="str">
        <f t="shared" si="713"/>
        <v/>
      </c>
      <c r="B180" s="455"/>
      <c r="C180" s="481"/>
      <c r="D180" s="463" t="s">
        <v>815</v>
      </c>
      <c r="E180" s="482"/>
      <c r="F180" s="483"/>
      <c r="G180" s="484"/>
      <c r="H180" s="485"/>
      <c r="I180" s="466">
        <f t="shared" si="795"/>
        <v>0</v>
      </c>
      <c r="J180" s="259"/>
      <c r="K180" s="478">
        <f t="shared" si="791"/>
        <v>0</v>
      </c>
      <c r="L180" s="466">
        <f t="shared" si="792"/>
        <v>0</v>
      </c>
      <c r="M180" s="257"/>
      <c r="N180" s="478"/>
      <c r="O180" s="478"/>
      <c r="P180" s="478"/>
      <c r="Q180" s="478"/>
      <c r="R180" s="478"/>
      <c r="S180" s="478"/>
      <c r="T180" s="478"/>
      <c r="U180" s="478"/>
      <c r="V180" s="478"/>
      <c r="W180" s="478"/>
      <c r="X180" s="478"/>
      <c r="Y180" s="478"/>
      <c r="Z180" s="478"/>
      <c r="AA180" s="478"/>
      <c r="AB180" s="478"/>
      <c r="AC180" s="478"/>
      <c r="AD180" s="478"/>
      <c r="AE180" s="478"/>
      <c r="AF180" s="478"/>
      <c r="AG180" s="478"/>
      <c r="AH180" s="478"/>
      <c r="AI180" s="478"/>
      <c r="AJ180" s="478"/>
      <c r="AK180" s="478"/>
      <c r="AL180" s="478"/>
      <c r="AM180" s="478"/>
      <c r="AN180" s="478"/>
      <c r="AO180" s="478"/>
      <c r="AP180" s="478"/>
      <c r="AQ180" s="478"/>
      <c r="AR180" s="478"/>
      <c r="AS180" s="478"/>
      <c r="AT180" s="478"/>
      <c r="AU180" s="478"/>
      <c r="AV180" s="478"/>
      <c r="AW180" s="478"/>
      <c r="AX180" s="478"/>
      <c r="AY180" s="478"/>
      <c r="AZ180" s="478"/>
      <c r="BA180" s="478"/>
      <c r="BB180" s="478"/>
      <c r="BC180" s="478"/>
      <c r="BD180" s="478"/>
      <c r="BE180" s="478"/>
      <c r="BF180" s="478"/>
      <c r="BG180" s="478"/>
      <c r="BH180" s="478"/>
      <c r="BI180" s="478"/>
      <c r="BJ180" s="245"/>
      <c r="BK180" s="477">
        <f t="shared" si="793"/>
        <v>0</v>
      </c>
      <c r="BL180" s="466">
        <f t="shared" si="794"/>
        <v>0</v>
      </c>
      <c r="BM180" s="257"/>
      <c r="BN180" s="478"/>
      <c r="BO180" s="478"/>
      <c r="BP180" s="478"/>
      <c r="BQ180" s="478"/>
      <c r="BR180" s="478"/>
      <c r="BS180" s="478"/>
      <c r="BT180" s="478"/>
      <c r="BU180" s="478"/>
      <c r="BV180" s="478"/>
      <c r="BW180" s="478"/>
      <c r="BX180" s="478"/>
      <c r="BY180" s="478"/>
      <c r="BZ180" s="478"/>
      <c r="CA180" s="478"/>
      <c r="CB180" s="478"/>
      <c r="CC180" s="478"/>
      <c r="CD180" s="478"/>
      <c r="CE180" s="478"/>
      <c r="CF180" s="478"/>
      <c r="CG180" s="478"/>
      <c r="CH180" s="478"/>
      <c r="CI180" s="478"/>
      <c r="CJ180" s="478"/>
      <c r="CK180" s="478"/>
      <c r="CL180" s="478"/>
      <c r="CM180" s="478"/>
      <c r="CN180" s="478"/>
      <c r="CO180" s="478"/>
      <c r="CP180" s="478"/>
      <c r="CQ180" s="478"/>
      <c r="CR180" s="478"/>
      <c r="CS180" s="478"/>
      <c r="CT180" s="478"/>
      <c r="CU180" s="478"/>
      <c r="CV180" s="478"/>
      <c r="CW180" s="478"/>
      <c r="CX180" s="478"/>
      <c r="CY180" s="478"/>
      <c r="CZ180" s="478"/>
      <c r="DA180" s="478"/>
      <c r="DB180" s="478"/>
      <c r="DC180" s="478"/>
      <c r="DD180" s="478"/>
      <c r="DE180" s="478"/>
      <c r="DF180" s="478"/>
      <c r="DG180" s="478"/>
      <c r="DH180" s="478"/>
      <c r="DI180" s="478"/>
    </row>
    <row r="181" spans="1:113" ht="16.05" hidden="1" customHeight="1" outlineLevel="1" x14ac:dyDescent="0.3">
      <c r="A181" s="455" t="str">
        <f t="shared" si="713"/>
        <v/>
      </c>
      <c r="B181" s="455"/>
      <c r="C181" s="481"/>
      <c r="D181" s="463" t="s">
        <v>816</v>
      </c>
      <c r="E181" s="482"/>
      <c r="F181" s="483"/>
      <c r="G181" s="484"/>
      <c r="H181" s="485"/>
      <c r="I181" s="466">
        <f t="shared" si="795"/>
        <v>0</v>
      </c>
      <c r="J181" s="259"/>
      <c r="K181" s="478">
        <f t="shared" si="791"/>
        <v>0</v>
      </c>
      <c r="L181" s="466">
        <f t="shared" si="792"/>
        <v>0</v>
      </c>
      <c r="M181" s="257"/>
      <c r="N181" s="478"/>
      <c r="O181" s="478"/>
      <c r="P181" s="478"/>
      <c r="Q181" s="478"/>
      <c r="R181" s="478"/>
      <c r="S181" s="478"/>
      <c r="T181" s="478"/>
      <c r="U181" s="478"/>
      <c r="V181" s="478"/>
      <c r="W181" s="478"/>
      <c r="X181" s="478"/>
      <c r="Y181" s="478"/>
      <c r="Z181" s="478"/>
      <c r="AA181" s="478"/>
      <c r="AB181" s="478"/>
      <c r="AC181" s="478"/>
      <c r="AD181" s="478"/>
      <c r="AE181" s="478"/>
      <c r="AF181" s="478"/>
      <c r="AG181" s="478"/>
      <c r="AH181" s="478"/>
      <c r="AI181" s="478"/>
      <c r="AJ181" s="478"/>
      <c r="AK181" s="478"/>
      <c r="AL181" s="478"/>
      <c r="AM181" s="478"/>
      <c r="AN181" s="478"/>
      <c r="AO181" s="478"/>
      <c r="AP181" s="478"/>
      <c r="AQ181" s="478"/>
      <c r="AR181" s="478"/>
      <c r="AS181" s="478"/>
      <c r="AT181" s="478"/>
      <c r="AU181" s="478"/>
      <c r="AV181" s="478"/>
      <c r="AW181" s="478"/>
      <c r="AX181" s="478"/>
      <c r="AY181" s="478"/>
      <c r="AZ181" s="478"/>
      <c r="BA181" s="478"/>
      <c r="BB181" s="478"/>
      <c r="BC181" s="478"/>
      <c r="BD181" s="478"/>
      <c r="BE181" s="478"/>
      <c r="BF181" s="478"/>
      <c r="BG181" s="478"/>
      <c r="BH181" s="478"/>
      <c r="BI181" s="478"/>
      <c r="BJ181" s="245"/>
      <c r="BK181" s="477">
        <f t="shared" si="793"/>
        <v>0</v>
      </c>
      <c r="BL181" s="466">
        <f t="shared" si="794"/>
        <v>0</v>
      </c>
      <c r="BM181" s="257"/>
      <c r="BN181" s="478"/>
      <c r="BO181" s="478"/>
      <c r="BP181" s="478"/>
      <c r="BQ181" s="478"/>
      <c r="BR181" s="478"/>
      <c r="BS181" s="478"/>
      <c r="BT181" s="478"/>
      <c r="BU181" s="478"/>
      <c r="BV181" s="478"/>
      <c r="BW181" s="478"/>
      <c r="BX181" s="478"/>
      <c r="BY181" s="478"/>
      <c r="BZ181" s="478"/>
      <c r="CA181" s="478"/>
      <c r="CB181" s="478"/>
      <c r="CC181" s="478"/>
      <c r="CD181" s="478"/>
      <c r="CE181" s="478"/>
      <c r="CF181" s="478"/>
      <c r="CG181" s="478"/>
      <c r="CH181" s="478"/>
      <c r="CI181" s="478"/>
      <c r="CJ181" s="478"/>
      <c r="CK181" s="478"/>
      <c r="CL181" s="478"/>
      <c r="CM181" s="478"/>
      <c r="CN181" s="478"/>
      <c r="CO181" s="478"/>
      <c r="CP181" s="478"/>
      <c r="CQ181" s="478"/>
      <c r="CR181" s="478"/>
      <c r="CS181" s="478"/>
      <c r="CT181" s="478"/>
      <c r="CU181" s="478"/>
      <c r="CV181" s="478"/>
      <c r="CW181" s="478"/>
      <c r="CX181" s="478"/>
      <c r="CY181" s="478"/>
      <c r="CZ181" s="478"/>
      <c r="DA181" s="478"/>
      <c r="DB181" s="478"/>
      <c r="DC181" s="478"/>
      <c r="DD181" s="478"/>
      <c r="DE181" s="478"/>
      <c r="DF181" s="478"/>
      <c r="DG181" s="478"/>
      <c r="DH181" s="478"/>
      <c r="DI181" s="478"/>
    </row>
    <row r="182" spans="1:113" ht="16.05" hidden="1" customHeight="1" outlineLevel="1" x14ac:dyDescent="0.3">
      <c r="A182" s="455" t="str">
        <f t="shared" si="713"/>
        <v/>
      </c>
      <c r="B182" s="455"/>
      <c r="C182" s="481"/>
      <c r="D182" s="463" t="s">
        <v>817</v>
      </c>
      <c r="E182" s="482"/>
      <c r="F182" s="483"/>
      <c r="G182" s="484"/>
      <c r="H182" s="485"/>
      <c r="I182" s="466">
        <f t="shared" si="795"/>
        <v>0</v>
      </c>
      <c r="J182" s="259"/>
      <c r="K182" s="478">
        <f t="shared" si="791"/>
        <v>0</v>
      </c>
      <c r="L182" s="466">
        <f t="shared" si="792"/>
        <v>0</v>
      </c>
      <c r="M182" s="257"/>
      <c r="N182" s="478"/>
      <c r="O182" s="478"/>
      <c r="P182" s="478"/>
      <c r="Q182" s="478"/>
      <c r="R182" s="478"/>
      <c r="S182" s="478"/>
      <c r="T182" s="478"/>
      <c r="U182" s="478"/>
      <c r="V182" s="478"/>
      <c r="W182" s="478"/>
      <c r="X182" s="478"/>
      <c r="Y182" s="478"/>
      <c r="Z182" s="478"/>
      <c r="AA182" s="478"/>
      <c r="AB182" s="478"/>
      <c r="AC182" s="478"/>
      <c r="AD182" s="478"/>
      <c r="AE182" s="478"/>
      <c r="AF182" s="478"/>
      <c r="AG182" s="478"/>
      <c r="AH182" s="478"/>
      <c r="AI182" s="478"/>
      <c r="AJ182" s="478"/>
      <c r="AK182" s="478"/>
      <c r="AL182" s="478"/>
      <c r="AM182" s="478"/>
      <c r="AN182" s="478"/>
      <c r="AO182" s="478"/>
      <c r="AP182" s="478"/>
      <c r="AQ182" s="478"/>
      <c r="AR182" s="478"/>
      <c r="AS182" s="478"/>
      <c r="AT182" s="478"/>
      <c r="AU182" s="478"/>
      <c r="AV182" s="478"/>
      <c r="AW182" s="478"/>
      <c r="AX182" s="478"/>
      <c r="AY182" s="478"/>
      <c r="AZ182" s="478"/>
      <c r="BA182" s="478"/>
      <c r="BB182" s="478"/>
      <c r="BC182" s="478"/>
      <c r="BD182" s="478"/>
      <c r="BE182" s="478"/>
      <c r="BF182" s="478"/>
      <c r="BG182" s="478"/>
      <c r="BH182" s="478"/>
      <c r="BI182" s="478"/>
      <c r="BJ182" s="245"/>
      <c r="BK182" s="477">
        <f t="shared" si="793"/>
        <v>0</v>
      </c>
      <c r="BL182" s="466">
        <f t="shared" si="794"/>
        <v>0</v>
      </c>
      <c r="BM182" s="257"/>
      <c r="BN182" s="478"/>
      <c r="BO182" s="478"/>
      <c r="BP182" s="478"/>
      <c r="BQ182" s="478"/>
      <c r="BR182" s="478"/>
      <c r="BS182" s="478"/>
      <c r="BT182" s="478"/>
      <c r="BU182" s="478"/>
      <c r="BV182" s="478"/>
      <c r="BW182" s="478"/>
      <c r="BX182" s="478"/>
      <c r="BY182" s="478"/>
      <c r="BZ182" s="478"/>
      <c r="CA182" s="478"/>
      <c r="CB182" s="478"/>
      <c r="CC182" s="478"/>
      <c r="CD182" s="478"/>
      <c r="CE182" s="478"/>
      <c r="CF182" s="478"/>
      <c r="CG182" s="478"/>
      <c r="CH182" s="478"/>
      <c r="CI182" s="478"/>
      <c r="CJ182" s="478"/>
      <c r="CK182" s="478"/>
      <c r="CL182" s="478"/>
      <c r="CM182" s="478"/>
      <c r="CN182" s="478"/>
      <c r="CO182" s="478"/>
      <c r="CP182" s="478"/>
      <c r="CQ182" s="478"/>
      <c r="CR182" s="478"/>
      <c r="CS182" s="478"/>
      <c r="CT182" s="478"/>
      <c r="CU182" s="478"/>
      <c r="CV182" s="478"/>
      <c r="CW182" s="478"/>
      <c r="CX182" s="478"/>
      <c r="CY182" s="478"/>
      <c r="CZ182" s="478"/>
      <c r="DA182" s="478"/>
      <c r="DB182" s="478"/>
      <c r="DC182" s="478"/>
      <c r="DD182" s="478"/>
      <c r="DE182" s="478"/>
      <c r="DF182" s="478"/>
      <c r="DG182" s="478"/>
      <c r="DH182" s="478"/>
      <c r="DI182" s="478"/>
    </row>
    <row r="183" spans="1:113" ht="16.05" hidden="1" customHeight="1" outlineLevel="1" x14ac:dyDescent="0.3">
      <c r="A183" s="455" t="str">
        <f t="shared" si="713"/>
        <v/>
      </c>
      <c r="B183" s="455"/>
      <c r="C183" s="481"/>
      <c r="D183" s="463" t="s">
        <v>818</v>
      </c>
      <c r="E183" s="482"/>
      <c r="F183" s="483"/>
      <c r="G183" s="484"/>
      <c r="H183" s="485"/>
      <c r="I183" s="466">
        <f t="shared" si="795"/>
        <v>0</v>
      </c>
      <c r="J183" s="259"/>
      <c r="K183" s="478">
        <f t="shared" si="791"/>
        <v>0</v>
      </c>
      <c r="L183" s="466">
        <f t="shared" si="792"/>
        <v>0</v>
      </c>
      <c r="M183" s="257"/>
      <c r="N183" s="478"/>
      <c r="O183" s="478"/>
      <c r="P183" s="478"/>
      <c r="Q183" s="478"/>
      <c r="R183" s="478"/>
      <c r="S183" s="478"/>
      <c r="T183" s="478"/>
      <c r="U183" s="478"/>
      <c r="V183" s="478"/>
      <c r="W183" s="478"/>
      <c r="X183" s="478"/>
      <c r="Y183" s="478"/>
      <c r="Z183" s="478"/>
      <c r="AA183" s="478"/>
      <c r="AB183" s="478"/>
      <c r="AC183" s="478"/>
      <c r="AD183" s="478"/>
      <c r="AE183" s="478"/>
      <c r="AF183" s="478"/>
      <c r="AG183" s="478"/>
      <c r="AH183" s="478"/>
      <c r="AI183" s="478"/>
      <c r="AJ183" s="478"/>
      <c r="AK183" s="478"/>
      <c r="AL183" s="478"/>
      <c r="AM183" s="478"/>
      <c r="AN183" s="478"/>
      <c r="AO183" s="478"/>
      <c r="AP183" s="478"/>
      <c r="AQ183" s="478"/>
      <c r="AR183" s="478"/>
      <c r="AS183" s="478"/>
      <c r="AT183" s="478"/>
      <c r="AU183" s="478"/>
      <c r="AV183" s="478"/>
      <c r="AW183" s="478"/>
      <c r="AX183" s="478"/>
      <c r="AY183" s="478"/>
      <c r="AZ183" s="478"/>
      <c r="BA183" s="478"/>
      <c r="BB183" s="478"/>
      <c r="BC183" s="478"/>
      <c r="BD183" s="478"/>
      <c r="BE183" s="478"/>
      <c r="BF183" s="478"/>
      <c r="BG183" s="478"/>
      <c r="BH183" s="478"/>
      <c r="BI183" s="478"/>
      <c r="BJ183" s="245"/>
      <c r="BK183" s="477">
        <f t="shared" si="793"/>
        <v>0</v>
      </c>
      <c r="BL183" s="466">
        <f t="shared" si="794"/>
        <v>0</v>
      </c>
      <c r="BM183" s="257"/>
      <c r="BN183" s="478"/>
      <c r="BO183" s="478"/>
      <c r="BP183" s="478"/>
      <c r="BQ183" s="478"/>
      <c r="BR183" s="478"/>
      <c r="BS183" s="478"/>
      <c r="BT183" s="478"/>
      <c r="BU183" s="478"/>
      <c r="BV183" s="478"/>
      <c r="BW183" s="478"/>
      <c r="BX183" s="478"/>
      <c r="BY183" s="478"/>
      <c r="BZ183" s="478"/>
      <c r="CA183" s="478"/>
      <c r="CB183" s="478"/>
      <c r="CC183" s="478"/>
      <c r="CD183" s="478"/>
      <c r="CE183" s="478"/>
      <c r="CF183" s="478"/>
      <c r="CG183" s="478"/>
      <c r="CH183" s="478"/>
      <c r="CI183" s="478"/>
      <c r="CJ183" s="478"/>
      <c r="CK183" s="478"/>
      <c r="CL183" s="478"/>
      <c r="CM183" s="478"/>
      <c r="CN183" s="478"/>
      <c r="CO183" s="478"/>
      <c r="CP183" s="478"/>
      <c r="CQ183" s="478"/>
      <c r="CR183" s="478"/>
      <c r="CS183" s="478"/>
      <c r="CT183" s="478"/>
      <c r="CU183" s="478"/>
      <c r="CV183" s="478"/>
      <c r="CW183" s="478"/>
      <c r="CX183" s="478"/>
      <c r="CY183" s="478"/>
      <c r="CZ183" s="478"/>
      <c r="DA183" s="478"/>
      <c r="DB183" s="478"/>
      <c r="DC183" s="478"/>
      <c r="DD183" s="478"/>
      <c r="DE183" s="478"/>
      <c r="DF183" s="478"/>
      <c r="DG183" s="478"/>
      <c r="DH183" s="478"/>
      <c r="DI183" s="478"/>
    </row>
    <row r="184" spans="1:113" ht="16.05" hidden="1" customHeight="1" outlineLevel="1" x14ac:dyDescent="0.3">
      <c r="A184" s="455" t="str">
        <f t="shared" si="713"/>
        <v/>
      </c>
      <c r="B184" s="455"/>
      <c r="C184" s="481"/>
      <c r="D184" s="463" t="s">
        <v>819</v>
      </c>
      <c r="E184" s="482"/>
      <c r="F184" s="483"/>
      <c r="G184" s="484"/>
      <c r="H184" s="485"/>
      <c r="I184" s="466">
        <f t="shared" si="795"/>
        <v>0</v>
      </c>
      <c r="J184" s="259"/>
      <c r="K184" s="478">
        <f t="shared" si="791"/>
        <v>0</v>
      </c>
      <c r="L184" s="466">
        <f t="shared" si="792"/>
        <v>0</v>
      </c>
      <c r="M184" s="257"/>
      <c r="N184" s="478"/>
      <c r="O184" s="478"/>
      <c r="P184" s="478"/>
      <c r="Q184" s="478"/>
      <c r="R184" s="478"/>
      <c r="S184" s="478"/>
      <c r="T184" s="478"/>
      <c r="U184" s="478"/>
      <c r="V184" s="478"/>
      <c r="W184" s="478"/>
      <c r="X184" s="478"/>
      <c r="Y184" s="478"/>
      <c r="Z184" s="478"/>
      <c r="AA184" s="478"/>
      <c r="AB184" s="478"/>
      <c r="AC184" s="478"/>
      <c r="AD184" s="478"/>
      <c r="AE184" s="478"/>
      <c r="AF184" s="478"/>
      <c r="AG184" s="478"/>
      <c r="AH184" s="478"/>
      <c r="AI184" s="478"/>
      <c r="AJ184" s="478"/>
      <c r="AK184" s="478"/>
      <c r="AL184" s="478"/>
      <c r="AM184" s="478"/>
      <c r="AN184" s="478"/>
      <c r="AO184" s="478"/>
      <c r="AP184" s="478"/>
      <c r="AQ184" s="478"/>
      <c r="AR184" s="478"/>
      <c r="AS184" s="478"/>
      <c r="AT184" s="478"/>
      <c r="AU184" s="478"/>
      <c r="AV184" s="478"/>
      <c r="AW184" s="478"/>
      <c r="AX184" s="478"/>
      <c r="AY184" s="478"/>
      <c r="AZ184" s="478"/>
      <c r="BA184" s="478"/>
      <c r="BB184" s="478"/>
      <c r="BC184" s="478"/>
      <c r="BD184" s="478"/>
      <c r="BE184" s="478"/>
      <c r="BF184" s="478"/>
      <c r="BG184" s="478"/>
      <c r="BH184" s="478"/>
      <c r="BI184" s="478"/>
      <c r="BJ184" s="245"/>
      <c r="BK184" s="477">
        <f t="shared" si="793"/>
        <v>0</v>
      </c>
      <c r="BL184" s="466">
        <f t="shared" si="794"/>
        <v>0</v>
      </c>
      <c r="BM184" s="257"/>
      <c r="BN184" s="478"/>
      <c r="BO184" s="478"/>
      <c r="BP184" s="478"/>
      <c r="BQ184" s="478"/>
      <c r="BR184" s="478"/>
      <c r="BS184" s="478"/>
      <c r="BT184" s="478"/>
      <c r="BU184" s="478"/>
      <c r="BV184" s="478"/>
      <c r="BW184" s="478"/>
      <c r="BX184" s="478"/>
      <c r="BY184" s="478"/>
      <c r="BZ184" s="478"/>
      <c r="CA184" s="478"/>
      <c r="CB184" s="478"/>
      <c r="CC184" s="478"/>
      <c r="CD184" s="478"/>
      <c r="CE184" s="478"/>
      <c r="CF184" s="478"/>
      <c r="CG184" s="478"/>
      <c r="CH184" s="478"/>
      <c r="CI184" s="478"/>
      <c r="CJ184" s="478"/>
      <c r="CK184" s="478"/>
      <c r="CL184" s="478"/>
      <c r="CM184" s="478"/>
      <c r="CN184" s="478"/>
      <c r="CO184" s="478"/>
      <c r="CP184" s="478"/>
      <c r="CQ184" s="478"/>
      <c r="CR184" s="478"/>
      <c r="CS184" s="478"/>
      <c r="CT184" s="478"/>
      <c r="CU184" s="478"/>
      <c r="CV184" s="478"/>
      <c r="CW184" s="478"/>
      <c r="CX184" s="478"/>
      <c r="CY184" s="478"/>
      <c r="CZ184" s="478"/>
      <c r="DA184" s="478"/>
      <c r="DB184" s="478"/>
      <c r="DC184" s="478"/>
      <c r="DD184" s="478"/>
      <c r="DE184" s="478"/>
      <c r="DF184" s="478"/>
      <c r="DG184" s="478"/>
      <c r="DH184" s="478"/>
      <c r="DI184" s="478"/>
    </row>
    <row r="185" spans="1:113" ht="16.05" hidden="1" customHeight="1" outlineLevel="1" x14ac:dyDescent="0.3">
      <c r="A185" s="455" t="str">
        <f t="shared" si="713"/>
        <v/>
      </c>
      <c r="B185" s="455"/>
      <c r="C185" s="481"/>
      <c r="D185" s="463" t="s">
        <v>820</v>
      </c>
      <c r="E185" s="482"/>
      <c r="F185" s="483"/>
      <c r="G185" s="484"/>
      <c r="H185" s="485"/>
      <c r="I185" s="466">
        <f t="shared" si="795"/>
        <v>0</v>
      </c>
      <c r="J185" s="259"/>
      <c r="K185" s="478">
        <f t="shared" si="791"/>
        <v>0</v>
      </c>
      <c r="L185" s="466">
        <f t="shared" si="792"/>
        <v>0</v>
      </c>
      <c r="M185" s="257"/>
      <c r="N185" s="478"/>
      <c r="O185" s="478"/>
      <c r="P185" s="478"/>
      <c r="Q185" s="478"/>
      <c r="R185" s="478"/>
      <c r="S185" s="478"/>
      <c r="T185" s="478"/>
      <c r="U185" s="478"/>
      <c r="V185" s="478"/>
      <c r="W185" s="478"/>
      <c r="X185" s="478"/>
      <c r="Y185" s="478"/>
      <c r="Z185" s="478"/>
      <c r="AA185" s="478"/>
      <c r="AB185" s="478"/>
      <c r="AC185" s="478"/>
      <c r="AD185" s="478"/>
      <c r="AE185" s="478"/>
      <c r="AF185" s="478"/>
      <c r="AG185" s="478"/>
      <c r="AH185" s="478"/>
      <c r="AI185" s="478"/>
      <c r="AJ185" s="478"/>
      <c r="AK185" s="478"/>
      <c r="AL185" s="478"/>
      <c r="AM185" s="478"/>
      <c r="AN185" s="478"/>
      <c r="AO185" s="478"/>
      <c r="AP185" s="478"/>
      <c r="AQ185" s="478"/>
      <c r="AR185" s="478"/>
      <c r="AS185" s="478"/>
      <c r="AT185" s="478"/>
      <c r="AU185" s="478"/>
      <c r="AV185" s="478"/>
      <c r="AW185" s="478"/>
      <c r="AX185" s="478"/>
      <c r="AY185" s="478"/>
      <c r="AZ185" s="478"/>
      <c r="BA185" s="478"/>
      <c r="BB185" s="478"/>
      <c r="BC185" s="478"/>
      <c r="BD185" s="478"/>
      <c r="BE185" s="478"/>
      <c r="BF185" s="478"/>
      <c r="BG185" s="478"/>
      <c r="BH185" s="478"/>
      <c r="BI185" s="478"/>
      <c r="BJ185" s="245"/>
      <c r="BK185" s="477">
        <f t="shared" si="793"/>
        <v>0</v>
      </c>
      <c r="BL185" s="466">
        <f t="shared" si="794"/>
        <v>0</v>
      </c>
      <c r="BM185" s="257"/>
      <c r="BN185" s="478"/>
      <c r="BO185" s="478"/>
      <c r="BP185" s="478"/>
      <c r="BQ185" s="478"/>
      <c r="BR185" s="478"/>
      <c r="BS185" s="478"/>
      <c r="BT185" s="478"/>
      <c r="BU185" s="478"/>
      <c r="BV185" s="478"/>
      <c r="BW185" s="478"/>
      <c r="BX185" s="478"/>
      <c r="BY185" s="478"/>
      <c r="BZ185" s="478"/>
      <c r="CA185" s="478"/>
      <c r="CB185" s="478"/>
      <c r="CC185" s="478"/>
      <c r="CD185" s="478"/>
      <c r="CE185" s="478"/>
      <c r="CF185" s="478"/>
      <c r="CG185" s="478"/>
      <c r="CH185" s="478"/>
      <c r="CI185" s="478"/>
      <c r="CJ185" s="478"/>
      <c r="CK185" s="478"/>
      <c r="CL185" s="478"/>
      <c r="CM185" s="478"/>
      <c r="CN185" s="478"/>
      <c r="CO185" s="478"/>
      <c r="CP185" s="478"/>
      <c r="CQ185" s="478"/>
      <c r="CR185" s="478"/>
      <c r="CS185" s="478"/>
      <c r="CT185" s="478"/>
      <c r="CU185" s="478"/>
      <c r="CV185" s="478"/>
      <c r="CW185" s="478"/>
      <c r="CX185" s="478"/>
      <c r="CY185" s="478"/>
      <c r="CZ185" s="478"/>
      <c r="DA185" s="478"/>
      <c r="DB185" s="478"/>
      <c r="DC185" s="478"/>
      <c r="DD185" s="478"/>
      <c r="DE185" s="478"/>
      <c r="DF185" s="478"/>
      <c r="DG185" s="478"/>
      <c r="DH185" s="478"/>
      <c r="DI185" s="478"/>
    </row>
    <row r="186" spans="1:113" ht="16.05" hidden="1" customHeight="1" outlineLevel="1" x14ac:dyDescent="0.3">
      <c r="A186" s="455" t="str">
        <f t="shared" si="713"/>
        <v/>
      </c>
      <c r="B186" s="455"/>
      <c r="C186" s="481"/>
      <c r="D186" s="463" t="s">
        <v>821</v>
      </c>
      <c r="E186" s="482"/>
      <c r="F186" s="483"/>
      <c r="G186" s="484"/>
      <c r="H186" s="485"/>
      <c r="I186" s="466">
        <f t="shared" si="795"/>
        <v>0</v>
      </c>
      <c r="J186" s="259"/>
      <c r="K186" s="478">
        <f t="shared" si="791"/>
        <v>0</v>
      </c>
      <c r="L186" s="466">
        <f t="shared" si="792"/>
        <v>0</v>
      </c>
      <c r="M186" s="257"/>
      <c r="N186" s="478"/>
      <c r="O186" s="478"/>
      <c r="P186" s="478"/>
      <c r="Q186" s="478"/>
      <c r="R186" s="478"/>
      <c r="S186" s="478"/>
      <c r="T186" s="478"/>
      <c r="U186" s="478"/>
      <c r="V186" s="478"/>
      <c r="W186" s="478"/>
      <c r="X186" s="478"/>
      <c r="Y186" s="478"/>
      <c r="Z186" s="478"/>
      <c r="AA186" s="478"/>
      <c r="AB186" s="478"/>
      <c r="AC186" s="478"/>
      <c r="AD186" s="478"/>
      <c r="AE186" s="478"/>
      <c r="AF186" s="478"/>
      <c r="AG186" s="478"/>
      <c r="AH186" s="478"/>
      <c r="AI186" s="478"/>
      <c r="AJ186" s="478"/>
      <c r="AK186" s="478"/>
      <c r="AL186" s="478"/>
      <c r="AM186" s="478"/>
      <c r="AN186" s="478"/>
      <c r="AO186" s="478"/>
      <c r="AP186" s="478"/>
      <c r="AQ186" s="478"/>
      <c r="AR186" s="478"/>
      <c r="AS186" s="478"/>
      <c r="AT186" s="478"/>
      <c r="AU186" s="478"/>
      <c r="AV186" s="478"/>
      <c r="AW186" s="478"/>
      <c r="AX186" s="478"/>
      <c r="AY186" s="478"/>
      <c r="AZ186" s="478"/>
      <c r="BA186" s="478"/>
      <c r="BB186" s="478"/>
      <c r="BC186" s="478"/>
      <c r="BD186" s="478"/>
      <c r="BE186" s="478"/>
      <c r="BF186" s="478"/>
      <c r="BG186" s="478"/>
      <c r="BH186" s="478"/>
      <c r="BI186" s="478"/>
      <c r="BJ186" s="245"/>
      <c r="BK186" s="477">
        <f t="shared" si="793"/>
        <v>0</v>
      </c>
      <c r="BL186" s="466">
        <f t="shared" si="794"/>
        <v>0</v>
      </c>
      <c r="BM186" s="257"/>
      <c r="BN186" s="478"/>
      <c r="BO186" s="478"/>
      <c r="BP186" s="478"/>
      <c r="BQ186" s="478"/>
      <c r="BR186" s="478"/>
      <c r="BS186" s="478"/>
      <c r="BT186" s="478"/>
      <c r="BU186" s="478"/>
      <c r="BV186" s="478"/>
      <c r="BW186" s="478"/>
      <c r="BX186" s="478"/>
      <c r="BY186" s="478"/>
      <c r="BZ186" s="478"/>
      <c r="CA186" s="478"/>
      <c r="CB186" s="478"/>
      <c r="CC186" s="478"/>
      <c r="CD186" s="478"/>
      <c r="CE186" s="478"/>
      <c r="CF186" s="478"/>
      <c r="CG186" s="478"/>
      <c r="CH186" s="478"/>
      <c r="CI186" s="478"/>
      <c r="CJ186" s="478"/>
      <c r="CK186" s="478"/>
      <c r="CL186" s="478"/>
      <c r="CM186" s="478"/>
      <c r="CN186" s="478"/>
      <c r="CO186" s="478"/>
      <c r="CP186" s="478"/>
      <c r="CQ186" s="478"/>
      <c r="CR186" s="478"/>
      <c r="CS186" s="478"/>
      <c r="CT186" s="478"/>
      <c r="CU186" s="478"/>
      <c r="CV186" s="478"/>
      <c r="CW186" s="478"/>
      <c r="CX186" s="478"/>
      <c r="CY186" s="478"/>
      <c r="CZ186" s="478"/>
      <c r="DA186" s="478"/>
      <c r="DB186" s="478"/>
      <c r="DC186" s="478"/>
      <c r="DD186" s="478"/>
      <c r="DE186" s="478"/>
      <c r="DF186" s="478"/>
      <c r="DG186" s="478"/>
      <c r="DH186" s="478"/>
      <c r="DI186" s="478"/>
    </row>
    <row r="187" spans="1:113" ht="8.1" customHeight="1" outlineLevel="1" x14ac:dyDescent="0.3">
      <c r="A187" s="455" t="str">
        <f t="shared" ref="A187" si="796">IF(COUNTIF(A167:A186,"Imprimir")&gt;0,"Imprimir","")</f>
        <v>Imprimir</v>
      </c>
      <c r="B187" s="455"/>
      <c r="C187" s="464"/>
      <c r="D187" s="461"/>
      <c r="E187" s="462"/>
      <c r="F187" s="462"/>
      <c r="G187" s="461"/>
      <c r="H187" s="461"/>
      <c r="I187" s="461"/>
      <c r="J187" s="259"/>
      <c r="K187" s="255"/>
      <c r="L187" s="256"/>
      <c r="M187" s="257"/>
      <c r="N187" s="255"/>
      <c r="O187" s="255"/>
      <c r="P187" s="255"/>
      <c r="Q187" s="255"/>
      <c r="R187" s="255"/>
      <c r="S187" s="255"/>
      <c r="T187" s="255"/>
      <c r="U187" s="255"/>
      <c r="V187" s="255"/>
      <c r="W187" s="255"/>
      <c r="X187" s="255"/>
      <c r="Y187" s="255"/>
      <c r="Z187" s="255"/>
      <c r="AA187" s="255"/>
      <c r="AB187" s="255"/>
      <c r="AC187" s="255"/>
      <c r="AD187" s="255"/>
      <c r="AE187" s="255"/>
      <c r="AF187" s="255"/>
      <c r="AG187" s="255"/>
      <c r="AH187" s="255"/>
      <c r="AI187" s="255"/>
      <c r="AJ187" s="255"/>
      <c r="AK187" s="255"/>
      <c r="AL187" s="255"/>
      <c r="AM187" s="524"/>
      <c r="AN187" s="255"/>
      <c r="AO187" s="255"/>
      <c r="AP187" s="255"/>
      <c r="AQ187" s="255"/>
      <c r="AR187" s="255"/>
      <c r="AS187" s="255"/>
      <c r="AT187" s="255"/>
      <c r="AU187" s="255"/>
      <c r="AV187" s="255"/>
      <c r="AW187" s="255"/>
      <c r="AX187" s="255"/>
      <c r="AY187" s="255"/>
      <c r="AZ187" s="255"/>
      <c r="BA187" s="255"/>
      <c r="BB187" s="255"/>
      <c r="BC187" s="255"/>
      <c r="BD187" s="255"/>
      <c r="BE187" s="255"/>
      <c r="BF187" s="255"/>
      <c r="BG187" s="255"/>
      <c r="BH187" s="255"/>
      <c r="BI187" s="255"/>
      <c r="BJ187" s="245"/>
      <c r="BK187" s="256"/>
      <c r="BL187" s="256"/>
      <c r="BM187" s="257"/>
      <c r="BN187" s="255"/>
      <c r="BO187" s="255"/>
      <c r="BP187" s="255"/>
      <c r="BQ187" s="255"/>
      <c r="BR187" s="255"/>
      <c r="BS187" s="255"/>
      <c r="BT187" s="255"/>
      <c r="BU187" s="255"/>
      <c r="BV187" s="255"/>
      <c r="BW187" s="255"/>
      <c r="BX187" s="255"/>
      <c r="BY187" s="255"/>
      <c r="BZ187" s="255"/>
      <c r="CA187" s="255"/>
      <c r="CB187" s="255"/>
      <c r="CC187" s="255"/>
      <c r="CD187" s="255"/>
      <c r="CE187" s="255"/>
      <c r="CF187" s="255"/>
      <c r="CG187" s="255"/>
      <c r="CH187" s="255"/>
      <c r="CI187" s="255"/>
      <c r="CJ187" s="255"/>
      <c r="CK187" s="255"/>
      <c r="CL187" s="255"/>
      <c r="CM187" s="255"/>
      <c r="CN187" s="255"/>
      <c r="CO187" s="255"/>
      <c r="CP187" s="255"/>
      <c r="CQ187" s="255"/>
      <c r="CR187" s="255"/>
      <c r="CS187" s="255"/>
      <c r="CT187" s="255"/>
      <c r="CU187" s="255"/>
      <c r="CV187" s="255"/>
      <c r="CW187" s="255"/>
      <c r="CX187" s="255"/>
      <c r="CY187" s="255"/>
      <c r="CZ187" s="255"/>
      <c r="DA187" s="255"/>
      <c r="DB187" s="255"/>
      <c r="DC187" s="255"/>
      <c r="DD187" s="255"/>
      <c r="DE187" s="255"/>
      <c r="DF187" s="255"/>
      <c r="DG187" s="255"/>
      <c r="DH187" s="255"/>
      <c r="DI187" s="524"/>
    </row>
    <row r="188" spans="1:113" ht="16.05" hidden="1" customHeight="1" x14ac:dyDescent="0.3">
      <c r="A188" s="455" t="str">
        <f t="shared" ref="A188" si="797">IF(COUNTIF(A189:A208,"Imprimir")&gt;0,"Imprimir","")</f>
        <v/>
      </c>
      <c r="B188" s="455"/>
      <c r="C188" s="459"/>
      <c r="D188" s="459"/>
      <c r="E188" s="460" t="s">
        <v>822</v>
      </c>
      <c r="F188" s="460"/>
      <c r="G188" s="460"/>
      <c r="H188" s="465"/>
      <c r="I188" s="465">
        <f>SUBTOTAL(9,I189:I209)</f>
        <v>0</v>
      </c>
      <c r="J188" s="259"/>
      <c r="K188" s="465"/>
      <c r="L188" s="465">
        <f>SUBTOTAL(9,L189:L209)</f>
        <v>0</v>
      </c>
      <c r="M188" s="257"/>
      <c r="N188" s="465">
        <f>SUMPRODUCT(N189:N209,$H189:$H209)</f>
        <v>0</v>
      </c>
      <c r="O188" s="465">
        <f>SUMPRODUCT(O189:O209,$H189:$H209)</f>
        <v>0</v>
      </c>
      <c r="P188" s="465">
        <f t="shared" ref="P188" si="798">SUMPRODUCT(P189:P209,$H189:$H209)</f>
        <v>0</v>
      </c>
      <c r="Q188" s="465">
        <f t="shared" ref="Q188" si="799">SUMPRODUCT(Q189:Q209,$H189:$H209)</f>
        <v>0</v>
      </c>
      <c r="R188" s="465">
        <f t="shared" ref="R188" si="800">SUMPRODUCT(R189:R209,$H189:$H209)</f>
        <v>0</v>
      </c>
      <c r="S188" s="465">
        <f t="shared" ref="S188" si="801">SUMPRODUCT(S189:S209,$H189:$H209)</f>
        <v>0</v>
      </c>
      <c r="T188" s="465">
        <f t="shared" ref="T188" si="802">SUMPRODUCT(T189:T209,$H189:$H209)</f>
        <v>0</v>
      </c>
      <c r="U188" s="465">
        <f t="shared" ref="U188" si="803">SUMPRODUCT(U189:U209,$H189:$H209)</f>
        <v>0</v>
      </c>
      <c r="V188" s="465">
        <f t="shared" ref="V188" si="804">SUMPRODUCT(V189:V209,$H189:$H209)</f>
        <v>0</v>
      </c>
      <c r="W188" s="465">
        <f t="shared" ref="W188" si="805">SUMPRODUCT(W189:W209,$H189:$H209)</f>
        <v>0</v>
      </c>
      <c r="X188" s="465">
        <f t="shared" ref="X188" si="806">SUMPRODUCT(X189:X209,$H189:$H209)</f>
        <v>0</v>
      </c>
      <c r="Y188" s="465">
        <f t="shared" ref="Y188" si="807">SUMPRODUCT(Y189:Y209,$H189:$H209)</f>
        <v>0</v>
      </c>
      <c r="Z188" s="465">
        <f t="shared" ref="Z188" si="808">SUMPRODUCT(Z189:Z209,$H189:$H209)</f>
        <v>0</v>
      </c>
      <c r="AA188" s="465">
        <f t="shared" ref="AA188" si="809">SUMPRODUCT(AA189:AA209,$H189:$H209)</f>
        <v>0</v>
      </c>
      <c r="AB188" s="465">
        <f t="shared" ref="AB188" si="810">SUMPRODUCT(AB189:AB209,$H189:$H209)</f>
        <v>0</v>
      </c>
      <c r="AC188" s="465">
        <f t="shared" ref="AC188" si="811">SUMPRODUCT(AC189:AC209,$H189:$H209)</f>
        <v>0</v>
      </c>
      <c r="AD188" s="465">
        <f t="shared" ref="AD188" si="812">SUMPRODUCT(AD189:AD209,$H189:$H209)</f>
        <v>0</v>
      </c>
      <c r="AE188" s="465">
        <f t="shared" ref="AE188" si="813">SUMPRODUCT(AE189:AE209,$H189:$H209)</f>
        <v>0</v>
      </c>
      <c r="AF188" s="465">
        <f t="shared" ref="AF188" si="814">SUMPRODUCT(AF189:AF209,$H189:$H209)</f>
        <v>0</v>
      </c>
      <c r="AG188" s="465">
        <f t="shared" ref="AG188" si="815">SUMPRODUCT(AG189:AG209,$H189:$H209)</f>
        <v>0</v>
      </c>
      <c r="AH188" s="465">
        <f t="shared" ref="AH188" si="816">SUMPRODUCT(AH189:AH209,$H189:$H209)</f>
        <v>0</v>
      </c>
      <c r="AI188" s="465">
        <f t="shared" ref="AI188" si="817">SUMPRODUCT(AI189:AI209,$H189:$H209)</f>
        <v>0</v>
      </c>
      <c r="AJ188" s="465">
        <f t="shared" ref="AJ188:BI188" si="818">SUMPRODUCT(AJ189:AJ209,$H189:$H209)</f>
        <v>0</v>
      </c>
      <c r="AK188" s="465">
        <f t="shared" si="818"/>
        <v>0</v>
      </c>
      <c r="AL188" s="465">
        <f t="shared" si="818"/>
        <v>0</v>
      </c>
      <c r="AM188" s="465">
        <f t="shared" si="818"/>
        <v>0</v>
      </c>
      <c r="AN188" s="465">
        <f t="shared" si="818"/>
        <v>0</v>
      </c>
      <c r="AO188" s="465">
        <f t="shared" si="818"/>
        <v>0</v>
      </c>
      <c r="AP188" s="465">
        <f t="shared" si="818"/>
        <v>0</v>
      </c>
      <c r="AQ188" s="465">
        <f t="shared" si="818"/>
        <v>0</v>
      </c>
      <c r="AR188" s="465">
        <f t="shared" si="818"/>
        <v>0</v>
      </c>
      <c r="AS188" s="465">
        <f t="shared" si="818"/>
        <v>0</v>
      </c>
      <c r="AT188" s="465">
        <f t="shared" si="818"/>
        <v>0</v>
      </c>
      <c r="AU188" s="465">
        <f t="shared" si="818"/>
        <v>0</v>
      </c>
      <c r="AV188" s="465">
        <f t="shared" si="818"/>
        <v>0</v>
      </c>
      <c r="AW188" s="465">
        <f t="shared" si="818"/>
        <v>0</v>
      </c>
      <c r="AX188" s="465">
        <f t="shared" si="818"/>
        <v>0</v>
      </c>
      <c r="AY188" s="465">
        <f t="shared" si="818"/>
        <v>0</v>
      </c>
      <c r="AZ188" s="465">
        <f t="shared" si="818"/>
        <v>0</v>
      </c>
      <c r="BA188" s="465">
        <f t="shared" si="818"/>
        <v>0</v>
      </c>
      <c r="BB188" s="465">
        <f t="shared" si="818"/>
        <v>0</v>
      </c>
      <c r="BC188" s="465">
        <f t="shared" si="818"/>
        <v>0</v>
      </c>
      <c r="BD188" s="465">
        <f t="shared" si="818"/>
        <v>0</v>
      </c>
      <c r="BE188" s="465">
        <f t="shared" si="818"/>
        <v>0</v>
      </c>
      <c r="BF188" s="465">
        <f t="shared" si="818"/>
        <v>0</v>
      </c>
      <c r="BG188" s="465">
        <f t="shared" si="818"/>
        <v>0</v>
      </c>
      <c r="BH188" s="465">
        <f t="shared" si="818"/>
        <v>0</v>
      </c>
      <c r="BI188" s="543">
        <f t="shared" si="818"/>
        <v>0</v>
      </c>
      <c r="BJ188" s="546"/>
      <c r="BK188" s="475">
        <f t="shared" ref="BK188" si="819">IFERROR(BL188/I188,0)</f>
        <v>0</v>
      </c>
      <c r="BL188" s="465">
        <f>SUBTOTAL(9,BL189:BL209)</f>
        <v>0</v>
      </c>
      <c r="BM188" s="257"/>
      <c r="BN188" s="465">
        <f>SUMPRODUCT(BN189:BN209,$H189:$H209)</f>
        <v>0</v>
      </c>
      <c r="BO188" s="465">
        <f>SUMPRODUCT(BO189:BO209,$H189:$H209)</f>
        <v>0</v>
      </c>
      <c r="BP188" s="465">
        <f t="shared" ref="BP188" si="820">SUMPRODUCT(BP189:BP209,$H189:$H209)</f>
        <v>0</v>
      </c>
      <c r="BQ188" s="465">
        <f t="shared" ref="BQ188" si="821">SUMPRODUCT(BQ189:BQ209,$H189:$H209)</f>
        <v>0</v>
      </c>
      <c r="BR188" s="465">
        <f t="shared" ref="BR188" si="822">SUMPRODUCT(BR189:BR209,$H189:$H209)</f>
        <v>0</v>
      </c>
      <c r="BS188" s="465">
        <f t="shared" ref="BS188" si="823">SUMPRODUCT(BS189:BS209,$H189:$H209)</f>
        <v>0</v>
      </c>
      <c r="BT188" s="465">
        <f t="shared" ref="BT188" si="824">SUMPRODUCT(BT189:BT209,$H189:$H209)</f>
        <v>0</v>
      </c>
      <c r="BU188" s="465">
        <f t="shared" ref="BU188" si="825">SUMPRODUCT(BU189:BU209,$H189:$H209)</f>
        <v>0</v>
      </c>
      <c r="BV188" s="465">
        <f t="shared" ref="BV188" si="826">SUMPRODUCT(BV189:BV209,$H189:$H209)</f>
        <v>0</v>
      </c>
      <c r="BW188" s="465">
        <f t="shared" ref="BW188" si="827">SUMPRODUCT(BW189:BW209,$H189:$H209)</f>
        <v>0</v>
      </c>
      <c r="BX188" s="465">
        <f t="shared" ref="BX188" si="828">SUMPRODUCT(BX189:BX209,$H189:$H209)</f>
        <v>0</v>
      </c>
      <c r="BY188" s="465">
        <f t="shared" ref="BY188" si="829">SUMPRODUCT(BY189:BY209,$H189:$H209)</f>
        <v>0</v>
      </c>
      <c r="BZ188" s="465">
        <f t="shared" ref="BZ188" si="830">SUMPRODUCT(BZ189:BZ209,$H189:$H209)</f>
        <v>0</v>
      </c>
      <c r="CA188" s="465">
        <f t="shared" ref="CA188" si="831">SUMPRODUCT(CA189:CA209,$H189:$H209)</f>
        <v>0</v>
      </c>
      <c r="CB188" s="465">
        <f t="shared" ref="CB188" si="832">SUMPRODUCT(CB189:CB209,$H189:$H209)</f>
        <v>0</v>
      </c>
      <c r="CC188" s="465">
        <f t="shared" ref="CC188" si="833">SUMPRODUCT(CC189:CC209,$H189:$H209)</f>
        <v>0</v>
      </c>
      <c r="CD188" s="465">
        <f t="shared" ref="CD188" si="834">SUMPRODUCT(CD189:CD209,$H189:$H209)</f>
        <v>0</v>
      </c>
      <c r="CE188" s="465">
        <f t="shared" ref="CE188" si="835">SUMPRODUCT(CE189:CE209,$H189:$H209)</f>
        <v>0</v>
      </c>
      <c r="CF188" s="465">
        <f t="shared" ref="CF188" si="836">SUMPRODUCT(CF189:CF209,$H189:$H209)</f>
        <v>0</v>
      </c>
      <c r="CG188" s="465">
        <f t="shared" ref="CG188" si="837">SUMPRODUCT(CG189:CG209,$H189:$H209)</f>
        <v>0</v>
      </c>
      <c r="CH188" s="465">
        <f t="shared" ref="CH188" si="838">SUMPRODUCT(CH189:CH209,$H189:$H209)</f>
        <v>0</v>
      </c>
      <c r="CI188" s="465">
        <f t="shared" ref="CI188" si="839">SUMPRODUCT(CI189:CI209,$H189:$H209)</f>
        <v>0</v>
      </c>
      <c r="CJ188" s="465">
        <f t="shared" ref="CJ188" si="840">SUMPRODUCT(CJ189:CJ209,$H189:$H209)</f>
        <v>0</v>
      </c>
      <c r="CK188" s="465">
        <f t="shared" ref="CK188" si="841">SUMPRODUCT(CK189:CK209,$H189:$H209)</f>
        <v>0</v>
      </c>
      <c r="CL188" s="465">
        <f t="shared" ref="CL188" si="842">SUMPRODUCT(CL189:CL209,$H189:$H209)</f>
        <v>0</v>
      </c>
      <c r="CM188" s="465">
        <f t="shared" ref="CM188" si="843">SUMPRODUCT(CM189:CM209,$H189:$H209)</f>
        <v>0</v>
      </c>
      <c r="CN188" s="465">
        <f t="shared" ref="CN188" si="844">SUMPRODUCT(CN189:CN209,$H189:$H209)</f>
        <v>0</v>
      </c>
      <c r="CO188" s="465">
        <f t="shared" ref="CO188" si="845">SUMPRODUCT(CO189:CO209,$H189:$H209)</f>
        <v>0</v>
      </c>
      <c r="CP188" s="465">
        <f t="shared" ref="CP188" si="846">SUMPRODUCT(CP189:CP209,$H189:$H209)</f>
        <v>0</v>
      </c>
      <c r="CQ188" s="465">
        <f t="shared" ref="CQ188" si="847">SUMPRODUCT(CQ189:CQ209,$H189:$H209)</f>
        <v>0</v>
      </c>
      <c r="CR188" s="465">
        <f t="shared" ref="CR188" si="848">SUMPRODUCT(CR189:CR209,$H189:$H209)</f>
        <v>0</v>
      </c>
      <c r="CS188" s="465">
        <f t="shared" ref="CS188" si="849">SUMPRODUCT(CS189:CS209,$H189:$H209)</f>
        <v>0</v>
      </c>
      <c r="CT188" s="465">
        <f t="shared" ref="CT188" si="850">SUMPRODUCT(CT189:CT209,$H189:$H209)</f>
        <v>0</v>
      </c>
      <c r="CU188" s="465">
        <f t="shared" ref="CU188" si="851">SUMPRODUCT(CU189:CU209,$H189:$H209)</f>
        <v>0</v>
      </c>
      <c r="CV188" s="465">
        <f t="shared" ref="CV188" si="852">SUMPRODUCT(CV189:CV209,$H189:$H209)</f>
        <v>0</v>
      </c>
      <c r="CW188" s="465">
        <f t="shared" ref="CW188" si="853">SUMPRODUCT(CW189:CW209,$H189:$H209)</f>
        <v>0</v>
      </c>
      <c r="CX188" s="465">
        <f t="shared" ref="CX188" si="854">SUMPRODUCT(CX189:CX209,$H189:$H209)</f>
        <v>0</v>
      </c>
      <c r="CY188" s="465">
        <f t="shared" ref="CY188" si="855">SUMPRODUCT(CY189:CY209,$H189:$H209)</f>
        <v>0</v>
      </c>
      <c r="CZ188" s="465">
        <f t="shared" ref="CZ188" si="856">SUMPRODUCT(CZ189:CZ209,$H189:$H209)</f>
        <v>0</v>
      </c>
      <c r="DA188" s="465">
        <f t="shared" ref="DA188" si="857">SUMPRODUCT(DA189:DA209,$H189:$H209)</f>
        <v>0</v>
      </c>
      <c r="DB188" s="465">
        <f t="shared" ref="DB188" si="858">SUMPRODUCT(DB189:DB209,$H189:$H209)</f>
        <v>0</v>
      </c>
      <c r="DC188" s="465">
        <f t="shared" ref="DC188" si="859">SUMPRODUCT(DC189:DC209,$H189:$H209)</f>
        <v>0</v>
      </c>
      <c r="DD188" s="465">
        <f t="shared" ref="DD188" si="860">SUMPRODUCT(DD189:DD209,$H189:$H209)</f>
        <v>0</v>
      </c>
      <c r="DE188" s="465">
        <f t="shared" ref="DE188" si="861">SUMPRODUCT(DE189:DE209,$H189:$H209)</f>
        <v>0</v>
      </c>
      <c r="DF188" s="465">
        <f t="shared" ref="DF188" si="862">SUMPRODUCT(DF189:DF209,$H189:$H209)</f>
        <v>0</v>
      </c>
      <c r="DG188" s="465">
        <f t="shared" ref="DG188" si="863">SUMPRODUCT(DG189:DG209,$H189:$H209)</f>
        <v>0</v>
      </c>
      <c r="DH188" s="465">
        <f t="shared" ref="DH188" si="864">SUMPRODUCT(DH189:DH209,$H189:$H209)</f>
        <v>0</v>
      </c>
      <c r="DI188" s="465">
        <f t="shared" ref="DI188" si="865">SUMPRODUCT(DI189:DI209,$H189:$H209)</f>
        <v>0</v>
      </c>
    </row>
    <row r="189" spans="1:113" ht="16.05" hidden="1" customHeight="1" outlineLevel="1" x14ac:dyDescent="0.3">
      <c r="A189" s="455" t="str">
        <f t="shared" si="713"/>
        <v/>
      </c>
      <c r="B189" s="455"/>
      <c r="C189" s="481"/>
      <c r="D189" s="463" t="s">
        <v>823</v>
      </c>
      <c r="E189" s="482"/>
      <c r="F189" s="483"/>
      <c r="G189" s="484"/>
      <c r="H189" s="485"/>
      <c r="I189" s="466">
        <f t="shared" ref="I189:I208" si="866">G189*H189</f>
        <v>0</v>
      </c>
      <c r="J189" s="259"/>
      <c r="K189" s="478">
        <f>SUM(N189:BI189)</f>
        <v>0</v>
      </c>
      <c r="L189" s="466">
        <f>K189*$H189</f>
        <v>0</v>
      </c>
      <c r="M189" s="257"/>
      <c r="N189" s="478"/>
      <c r="O189" s="478"/>
      <c r="P189" s="478"/>
      <c r="Q189" s="478"/>
      <c r="R189" s="478"/>
      <c r="S189" s="478"/>
      <c r="T189" s="478"/>
      <c r="U189" s="478"/>
      <c r="V189" s="478"/>
      <c r="W189" s="478"/>
      <c r="X189" s="478"/>
      <c r="Y189" s="478"/>
      <c r="Z189" s="478"/>
      <c r="AA189" s="478"/>
      <c r="AB189" s="478"/>
      <c r="AC189" s="478"/>
      <c r="AD189" s="478"/>
      <c r="AE189" s="478"/>
      <c r="AF189" s="478"/>
      <c r="AG189" s="478"/>
      <c r="AH189" s="478"/>
      <c r="AI189" s="478"/>
      <c r="AJ189" s="478"/>
      <c r="AK189" s="478"/>
      <c r="AL189" s="478"/>
      <c r="AM189" s="478"/>
      <c r="AN189" s="478"/>
      <c r="AO189" s="478"/>
      <c r="AP189" s="478"/>
      <c r="AQ189" s="478"/>
      <c r="AR189" s="478"/>
      <c r="AS189" s="478"/>
      <c r="AT189" s="478"/>
      <c r="AU189" s="478"/>
      <c r="AV189" s="478"/>
      <c r="AW189" s="478"/>
      <c r="AX189" s="478"/>
      <c r="AY189" s="478"/>
      <c r="AZ189" s="478"/>
      <c r="BA189" s="478"/>
      <c r="BB189" s="478"/>
      <c r="BC189" s="478"/>
      <c r="BD189" s="478"/>
      <c r="BE189" s="478"/>
      <c r="BF189" s="478"/>
      <c r="BG189" s="478"/>
      <c r="BH189" s="478"/>
      <c r="BI189" s="478"/>
      <c r="BJ189" s="245"/>
      <c r="BK189" s="477">
        <f>IFERROR(BL189/I189,0)</f>
        <v>0</v>
      </c>
      <c r="BL189" s="466">
        <f>SUM(BN189:DJ189)*$H189</f>
        <v>0</v>
      </c>
      <c r="BM189" s="257"/>
      <c r="BN189" s="478"/>
      <c r="BO189" s="478"/>
      <c r="BP189" s="478"/>
      <c r="BQ189" s="478"/>
      <c r="BR189" s="478"/>
      <c r="BS189" s="478"/>
      <c r="BT189" s="478"/>
      <c r="BU189" s="478"/>
      <c r="BV189" s="478"/>
      <c r="BW189" s="478"/>
      <c r="BX189" s="478"/>
      <c r="BY189" s="478"/>
      <c r="BZ189" s="478"/>
      <c r="CA189" s="478"/>
      <c r="CB189" s="478"/>
      <c r="CC189" s="478"/>
      <c r="CD189" s="478"/>
      <c r="CE189" s="478"/>
      <c r="CF189" s="478"/>
      <c r="CG189" s="478"/>
      <c r="CH189" s="478"/>
      <c r="CI189" s="478"/>
      <c r="CJ189" s="478"/>
      <c r="CK189" s="478"/>
      <c r="CL189" s="478"/>
      <c r="CM189" s="478"/>
      <c r="CN189" s="478"/>
      <c r="CO189" s="478"/>
      <c r="CP189" s="478"/>
      <c r="CQ189" s="478"/>
      <c r="CR189" s="478"/>
      <c r="CS189" s="478"/>
      <c r="CT189" s="478"/>
      <c r="CU189" s="478"/>
      <c r="CV189" s="478"/>
      <c r="CW189" s="478"/>
      <c r="CX189" s="478"/>
      <c r="CY189" s="478"/>
      <c r="CZ189" s="478"/>
      <c r="DA189" s="478"/>
      <c r="DB189" s="478"/>
      <c r="DC189" s="478"/>
      <c r="DD189" s="478"/>
      <c r="DE189" s="478"/>
      <c r="DF189" s="478"/>
      <c r="DG189" s="478"/>
      <c r="DH189" s="478"/>
      <c r="DI189" s="478"/>
    </row>
    <row r="190" spans="1:113" ht="16.05" hidden="1" customHeight="1" outlineLevel="1" x14ac:dyDescent="0.3">
      <c r="A190" s="455" t="str">
        <f t="shared" si="713"/>
        <v/>
      </c>
      <c r="B190" s="455"/>
      <c r="C190" s="481"/>
      <c r="D190" s="463" t="s">
        <v>824</v>
      </c>
      <c r="E190" s="482"/>
      <c r="F190" s="483"/>
      <c r="G190" s="484"/>
      <c r="H190" s="485"/>
      <c r="I190" s="466">
        <f t="shared" si="866"/>
        <v>0</v>
      </c>
      <c r="J190" s="259"/>
      <c r="K190" s="478">
        <f t="shared" ref="K190:K208" si="867">SUM(N190:BI190)</f>
        <v>0</v>
      </c>
      <c r="L190" s="466">
        <f t="shared" ref="L190:L208" si="868">K190*$H190</f>
        <v>0</v>
      </c>
      <c r="M190" s="257"/>
      <c r="N190" s="478"/>
      <c r="O190" s="478"/>
      <c r="P190" s="478"/>
      <c r="Q190" s="478"/>
      <c r="R190" s="478"/>
      <c r="S190" s="478"/>
      <c r="T190" s="478"/>
      <c r="U190" s="478"/>
      <c r="V190" s="478"/>
      <c r="W190" s="478"/>
      <c r="X190" s="478"/>
      <c r="Y190" s="478"/>
      <c r="Z190" s="478"/>
      <c r="AA190" s="478"/>
      <c r="AB190" s="478"/>
      <c r="AC190" s="478"/>
      <c r="AD190" s="478"/>
      <c r="AE190" s="478"/>
      <c r="AF190" s="478"/>
      <c r="AG190" s="478"/>
      <c r="AH190" s="478"/>
      <c r="AI190" s="478"/>
      <c r="AJ190" s="478"/>
      <c r="AK190" s="478"/>
      <c r="AL190" s="478"/>
      <c r="AM190" s="478"/>
      <c r="AN190" s="478"/>
      <c r="AO190" s="478"/>
      <c r="AP190" s="478"/>
      <c r="AQ190" s="478"/>
      <c r="AR190" s="478"/>
      <c r="AS190" s="478"/>
      <c r="AT190" s="478"/>
      <c r="AU190" s="478"/>
      <c r="AV190" s="478"/>
      <c r="AW190" s="478"/>
      <c r="AX190" s="478"/>
      <c r="AY190" s="478"/>
      <c r="AZ190" s="478"/>
      <c r="BA190" s="478"/>
      <c r="BB190" s="478"/>
      <c r="BC190" s="478"/>
      <c r="BD190" s="478"/>
      <c r="BE190" s="478"/>
      <c r="BF190" s="478"/>
      <c r="BG190" s="478"/>
      <c r="BH190" s="478"/>
      <c r="BI190" s="478"/>
      <c r="BJ190" s="245"/>
      <c r="BK190" s="477">
        <f t="shared" ref="BK190:BK208" si="869">IFERROR(BL190/I190,0)</f>
        <v>0</v>
      </c>
      <c r="BL190" s="466">
        <f t="shared" ref="BL190:BL208" si="870">SUM(BN190:DJ190)*$H190</f>
        <v>0</v>
      </c>
      <c r="BM190" s="257"/>
      <c r="BN190" s="478"/>
      <c r="BO190" s="478"/>
      <c r="BP190" s="478"/>
      <c r="BQ190" s="478"/>
      <c r="BR190" s="478"/>
      <c r="BS190" s="478"/>
      <c r="BT190" s="478"/>
      <c r="BU190" s="478"/>
      <c r="BV190" s="478"/>
      <c r="BW190" s="478"/>
      <c r="BX190" s="478"/>
      <c r="BY190" s="478"/>
      <c r="BZ190" s="478"/>
      <c r="CA190" s="478"/>
      <c r="CB190" s="478"/>
      <c r="CC190" s="478"/>
      <c r="CD190" s="478"/>
      <c r="CE190" s="478"/>
      <c r="CF190" s="478"/>
      <c r="CG190" s="478"/>
      <c r="CH190" s="478"/>
      <c r="CI190" s="478"/>
      <c r="CJ190" s="478"/>
      <c r="CK190" s="478"/>
      <c r="CL190" s="478"/>
      <c r="CM190" s="478"/>
      <c r="CN190" s="478"/>
      <c r="CO190" s="478"/>
      <c r="CP190" s="478"/>
      <c r="CQ190" s="478"/>
      <c r="CR190" s="478"/>
      <c r="CS190" s="478"/>
      <c r="CT190" s="478"/>
      <c r="CU190" s="478"/>
      <c r="CV190" s="478"/>
      <c r="CW190" s="478"/>
      <c r="CX190" s="478"/>
      <c r="CY190" s="478"/>
      <c r="CZ190" s="478"/>
      <c r="DA190" s="478"/>
      <c r="DB190" s="478"/>
      <c r="DC190" s="478"/>
      <c r="DD190" s="478"/>
      <c r="DE190" s="478"/>
      <c r="DF190" s="478"/>
      <c r="DG190" s="478"/>
      <c r="DH190" s="478"/>
      <c r="DI190" s="478"/>
    </row>
    <row r="191" spans="1:113" ht="16.05" hidden="1" customHeight="1" outlineLevel="1" x14ac:dyDescent="0.3">
      <c r="A191" s="455" t="str">
        <f t="shared" si="713"/>
        <v/>
      </c>
      <c r="B191" s="455"/>
      <c r="C191" s="481"/>
      <c r="D191" s="463" t="s">
        <v>825</v>
      </c>
      <c r="E191" s="482"/>
      <c r="F191" s="483"/>
      <c r="G191" s="484"/>
      <c r="H191" s="485"/>
      <c r="I191" s="466">
        <f t="shared" si="866"/>
        <v>0</v>
      </c>
      <c r="J191" s="259"/>
      <c r="K191" s="478">
        <f t="shared" si="867"/>
        <v>0</v>
      </c>
      <c r="L191" s="466">
        <f t="shared" si="868"/>
        <v>0</v>
      </c>
      <c r="M191" s="257"/>
      <c r="N191" s="478"/>
      <c r="O191" s="478"/>
      <c r="P191" s="478"/>
      <c r="Q191" s="478"/>
      <c r="R191" s="478"/>
      <c r="S191" s="478"/>
      <c r="T191" s="478"/>
      <c r="U191" s="478"/>
      <c r="V191" s="478"/>
      <c r="W191" s="478"/>
      <c r="X191" s="478"/>
      <c r="Y191" s="478"/>
      <c r="Z191" s="478"/>
      <c r="AA191" s="478"/>
      <c r="AB191" s="478"/>
      <c r="AC191" s="478"/>
      <c r="AD191" s="478"/>
      <c r="AE191" s="478"/>
      <c r="AF191" s="478"/>
      <c r="AG191" s="478"/>
      <c r="AH191" s="478"/>
      <c r="AI191" s="478"/>
      <c r="AJ191" s="478"/>
      <c r="AK191" s="478"/>
      <c r="AL191" s="478"/>
      <c r="AM191" s="478"/>
      <c r="AN191" s="478"/>
      <c r="AO191" s="478"/>
      <c r="AP191" s="478"/>
      <c r="AQ191" s="478"/>
      <c r="AR191" s="478"/>
      <c r="AS191" s="478"/>
      <c r="AT191" s="478"/>
      <c r="AU191" s="478"/>
      <c r="AV191" s="478"/>
      <c r="AW191" s="478"/>
      <c r="AX191" s="478"/>
      <c r="AY191" s="478"/>
      <c r="AZ191" s="478"/>
      <c r="BA191" s="478"/>
      <c r="BB191" s="478"/>
      <c r="BC191" s="478"/>
      <c r="BD191" s="478"/>
      <c r="BE191" s="478"/>
      <c r="BF191" s="478"/>
      <c r="BG191" s="478"/>
      <c r="BH191" s="478"/>
      <c r="BI191" s="478"/>
      <c r="BJ191" s="245"/>
      <c r="BK191" s="477">
        <f t="shared" si="869"/>
        <v>0</v>
      </c>
      <c r="BL191" s="466">
        <f t="shared" si="870"/>
        <v>0</v>
      </c>
      <c r="BM191" s="257"/>
      <c r="BN191" s="478"/>
      <c r="BO191" s="478"/>
      <c r="BP191" s="478"/>
      <c r="BQ191" s="478"/>
      <c r="BR191" s="478"/>
      <c r="BS191" s="478"/>
      <c r="BT191" s="478"/>
      <c r="BU191" s="478"/>
      <c r="BV191" s="478"/>
      <c r="BW191" s="478"/>
      <c r="BX191" s="478"/>
      <c r="BY191" s="478"/>
      <c r="BZ191" s="478"/>
      <c r="CA191" s="478"/>
      <c r="CB191" s="478"/>
      <c r="CC191" s="478"/>
      <c r="CD191" s="478"/>
      <c r="CE191" s="478"/>
      <c r="CF191" s="478"/>
      <c r="CG191" s="478"/>
      <c r="CH191" s="478"/>
      <c r="CI191" s="478"/>
      <c r="CJ191" s="478"/>
      <c r="CK191" s="478"/>
      <c r="CL191" s="478"/>
      <c r="CM191" s="478"/>
      <c r="CN191" s="478"/>
      <c r="CO191" s="478"/>
      <c r="CP191" s="478"/>
      <c r="CQ191" s="478"/>
      <c r="CR191" s="478"/>
      <c r="CS191" s="478"/>
      <c r="CT191" s="478"/>
      <c r="CU191" s="478"/>
      <c r="CV191" s="478"/>
      <c r="CW191" s="478"/>
      <c r="CX191" s="478"/>
      <c r="CY191" s="478"/>
      <c r="CZ191" s="478"/>
      <c r="DA191" s="478"/>
      <c r="DB191" s="478"/>
      <c r="DC191" s="478"/>
      <c r="DD191" s="478"/>
      <c r="DE191" s="478"/>
      <c r="DF191" s="478"/>
      <c r="DG191" s="478"/>
      <c r="DH191" s="478"/>
      <c r="DI191" s="478"/>
    </row>
    <row r="192" spans="1:113" ht="16.05" hidden="1" customHeight="1" outlineLevel="1" x14ac:dyDescent="0.3">
      <c r="A192" s="455" t="str">
        <f t="shared" si="713"/>
        <v/>
      </c>
      <c r="B192" s="455"/>
      <c r="C192" s="481"/>
      <c r="D192" s="463" t="s">
        <v>826</v>
      </c>
      <c r="E192" s="482"/>
      <c r="F192" s="483"/>
      <c r="G192" s="484"/>
      <c r="H192" s="485"/>
      <c r="I192" s="466">
        <f t="shared" si="866"/>
        <v>0</v>
      </c>
      <c r="J192" s="259"/>
      <c r="K192" s="478">
        <f t="shared" si="867"/>
        <v>0</v>
      </c>
      <c r="L192" s="466">
        <f t="shared" si="868"/>
        <v>0</v>
      </c>
      <c r="M192" s="257"/>
      <c r="N192" s="478"/>
      <c r="O192" s="478"/>
      <c r="P192" s="478"/>
      <c r="Q192" s="478"/>
      <c r="R192" s="478"/>
      <c r="S192" s="478"/>
      <c r="T192" s="478"/>
      <c r="U192" s="478"/>
      <c r="V192" s="478"/>
      <c r="W192" s="478"/>
      <c r="X192" s="478"/>
      <c r="Y192" s="478"/>
      <c r="Z192" s="478"/>
      <c r="AA192" s="478"/>
      <c r="AB192" s="478"/>
      <c r="AC192" s="478"/>
      <c r="AD192" s="478"/>
      <c r="AE192" s="478"/>
      <c r="AF192" s="478"/>
      <c r="AG192" s="478"/>
      <c r="AH192" s="478"/>
      <c r="AI192" s="478"/>
      <c r="AJ192" s="478"/>
      <c r="AK192" s="478"/>
      <c r="AL192" s="478"/>
      <c r="AM192" s="478"/>
      <c r="AN192" s="478"/>
      <c r="AO192" s="478"/>
      <c r="AP192" s="478"/>
      <c r="AQ192" s="478"/>
      <c r="AR192" s="478"/>
      <c r="AS192" s="478"/>
      <c r="AT192" s="478"/>
      <c r="AU192" s="478"/>
      <c r="AV192" s="478"/>
      <c r="AW192" s="478"/>
      <c r="AX192" s="478"/>
      <c r="AY192" s="478"/>
      <c r="AZ192" s="478"/>
      <c r="BA192" s="478"/>
      <c r="BB192" s="478"/>
      <c r="BC192" s="478"/>
      <c r="BD192" s="478"/>
      <c r="BE192" s="478"/>
      <c r="BF192" s="478"/>
      <c r="BG192" s="478"/>
      <c r="BH192" s="478"/>
      <c r="BI192" s="478"/>
      <c r="BJ192" s="245"/>
      <c r="BK192" s="477">
        <f t="shared" si="869"/>
        <v>0</v>
      </c>
      <c r="BL192" s="466">
        <f t="shared" si="870"/>
        <v>0</v>
      </c>
      <c r="BM192" s="257"/>
      <c r="BN192" s="478"/>
      <c r="BO192" s="478"/>
      <c r="BP192" s="478"/>
      <c r="BQ192" s="478"/>
      <c r="BR192" s="478"/>
      <c r="BS192" s="478"/>
      <c r="BT192" s="478"/>
      <c r="BU192" s="478"/>
      <c r="BV192" s="478"/>
      <c r="BW192" s="478"/>
      <c r="BX192" s="478"/>
      <c r="BY192" s="478"/>
      <c r="BZ192" s="478"/>
      <c r="CA192" s="478"/>
      <c r="CB192" s="478"/>
      <c r="CC192" s="478"/>
      <c r="CD192" s="478"/>
      <c r="CE192" s="478"/>
      <c r="CF192" s="478"/>
      <c r="CG192" s="478"/>
      <c r="CH192" s="478"/>
      <c r="CI192" s="478"/>
      <c r="CJ192" s="478"/>
      <c r="CK192" s="478"/>
      <c r="CL192" s="478"/>
      <c r="CM192" s="478"/>
      <c r="CN192" s="478"/>
      <c r="CO192" s="478"/>
      <c r="CP192" s="478"/>
      <c r="CQ192" s="478"/>
      <c r="CR192" s="478"/>
      <c r="CS192" s="478"/>
      <c r="CT192" s="478"/>
      <c r="CU192" s="478"/>
      <c r="CV192" s="478"/>
      <c r="CW192" s="478"/>
      <c r="CX192" s="478"/>
      <c r="CY192" s="478"/>
      <c r="CZ192" s="478"/>
      <c r="DA192" s="478"/>
      <c r="DB192" s="478"/>
      <c r="DC192" s="478"/>
      <c r="DD192" s="478"/>
      <c r="DE192" s="478"/>
      <c r="DF192" s="478"/>
      <c r="DG192" s="478"/>
      <c r="DH192" s="478"/>
      <c r="DI192" s="478"/>
    </row>
    <row r="193" spans="1:113" ht="16.05" hidden="1" customHeight="1" outlineLevel="1" x14ac:dyDescent="0.3">
      <c r="A193" s="455" t="str">
        <f t="shared" si="713"/>
        <v/>
      </c>
      <c r="B193" s="455"/>
      <c r="C193" s="481"/>
      <c r="D193" s="463" t="s">
        <v>827</v>
      </c>
      <c r="E193" s="482"/>
      <c r="F193" s="483"/>
      <c r="G193" s="484"/>
      <c r="H193" s="485"/>
      <c r="I193" s="466">
        <f t="shared" si="866"/>
        <v>0</v>
      </c>
      <c r="J193" s="259"/>
      <c r="K193" s="478">
        <f t="shared" si="867"/>
        <v>0</v>
      </c>
      <c r="L193" s="466">
        <f t="shared" si="868"/>
        <v>0</v>
      </c>
      <c r="M193" s="257"/>
      <c r="N193" s="478"/>
      <c r="O193" s="478"/>
      <c r="P193" s="478"/>
      <c r="Q193" s="478"/>
      <c r="R193" s="478"/>
      <c r="S193" s="478"/>
      <c r="T193" s="478"/>
      <c r="U193" s="478"/>
      <c r="V193" s="478"/>
      <c r="W193" s="478"/>
      <c r="X193" s="478"/>
      <c r="Y193" s="478"/>
      <c r="Z193" s="478"/>
      <c r="AA193" s="478"/>
      <c r="AB193" s="478"/>
      <c r="AC193" s="478"/>
      <c r="AD193" s="478"/>
      <c r="AE193" s="478"/>
      <c r="AF193" s="478"/>
      <c r="AG193" s="478"/>
      <c r="AH193" s="478"/>
      <c r="AI193" s="478"/>
      <c r="AJ193" s="478"/>
      <c r="AK193" s="478"/>
      <c r="AL193" s="478"/>
      <c r="AM193" s="478"/>
      <c r="AN193" s="478"/>
      <c r="AO193" s="478"/>
      <c r="AP193" s="478"/>
      <c r="AQ193" s="478"/>
      <c r="AR193" s="478"/>
      <c r="AS193" s="478"/>
      <c r="AT193" s="478"/>
      <c r="AU193" s="478"/>
      <c r="AV193" s="478"/>
      <c r="AW193" s="478"/>
      <c r="AX193" s="478"/>
      <c r="AY193" s="478"/>
      <c r="AZ193" s="478"/>
      <c r="BA193" s="478"/>
      <c r="BB193" s="478"/>
      <c r="BC193" s="478"/>
      <c r="BD193" s="478"/>
      <c r="BE193" s="478"/>
      <c r="BF193" s="478"/>
      <c r="BG193" s="478"/>
      <c r="BH193" s="478"/>
      <c r="BI193" s="478"/>
      <c r="BJ193" s="245"/>
      <c r="BK193" s="477">
        <f t="shared" si="869"/>
        <v>0</v>
      </c>
      <c r="BL193" s="466">
        <f t="shared" si="870"/>
        <v>0</v>
      </c>
      <c r="BM193" s="257"/>
      <c r="BN193" s="478"/>
      <c r="BO193" s="478"/>
      <c r="BP193" s="478"/>
      <c r="BQ193" s="478"/>
      <c r="BR193" s="478"/>
      <c r="BS193" s="478"/>
      <c r="BT193" s="478"/>
      <c r="BU193" s="478"/>
      <c r="BV193" s="478"/>
      <c r="BW193" s="478"/>
      <c r="BX193" s="478"/>
      <c r="BY193" s="478"/>
      <c r="BZ193" s="478"/>
      <c r="CA193" s="478"/>
      <c r="CB193" s="478"/>
      <c r="CC193" s="478"/>
      <c r="CD193" s="478"/>
      <c r="CE193" s="478"/>
      <c r="CF193" s="478"/>
      <c r="CG193" s="478"/>
      <c r="CH193" s="478"/>
      <c r="CI193" s="478"/>
      <c r="CJ193" s="478"/>
      <c r="CK193" s="478"/>
      <c r="CL193" s="478"/>
      <c r="CM193" s="478"/>
      <c r="CN193" s="478"/>
      <c r="CO193" s="478"/>
      <c r="CP193" s="478"/>
      <c r="CQ193" s="478"/>
      <c r="CR193" s="478"/>
      <c r="CS193" s="478"/>
      <c r="CT193" s="478"/>
      <c r="CU193" s="478"/>
      <c r="CV193" s="478"/>
      <c r="CW193" s="478"/>
      <c r="CX193" s="478"/>
      <c r="CY193" s="478"/>
      <c r="CZ193" s="478"/>
      <c r="DA193" s="478"/>
      <c r="DB193" s="478"/>
      <c r="DC193" s="478"/>
      <c r="DD193" s="478"/>
      <c r="DE193" s="478"/>
      <c r="DF193" s="478"/>
      <c r="DG193" s="478"/>
      <c r="DH193" s="478"/>
      <c r="DI193" s="478"/>
    </row>
    <row r="194" spans="1:113" ht="16.05" hidden="1" customHeight="1" outlineLevel="1" x14ac:dyDescent="0.3">
      <c r="A194" s="455" t="str">
        <f t="shared" si="713"/>
        <v/>
      </c>
      <c r="B194" s="455"/>
      <c r="C194" s="481"/>
      <c r="D194" s="463" t="s">
        <v>828</v>
      </c>
      <c r="E194" s="482"/>
      <c r="F194" s="483"/>
      <c r="G194" s="484"/>
      <c r="H194" s="485"/>
      <c r="I194" s="466">
        <f t="shared" si="866"/>
        <v>0</v>
      </c>
      <c r="J194" s="259"/>
      <c r="K194" s="478">
        <f t="shared" si="867"/>
        <v>0</v>
      </c>
      <c r="L194" s="466">
        <f t="shared" si="868"/>
        <v>0</v>
      </c>
      <c r="M194" s="257"/>
      <c r="N194" s="478"/>
      <c r="O194" s="478"/>
      <c r="P194" s="478"/>
      <c r="Q194" s="478"/>
      <c r="R194" s="478"/>
      <c r="S194" s="478"/>
      <c r="T194" s="478"/>
      <c r="U194" s="478"/>
      <c r="V194" s="478"/>
      <c r="W194" s="478"/>
      <c r="X194" s="478"/>
      <c r="Y194" s="478"/>
      <c r="Z194" s="478"/>
      <c r="AA194" s="478"/>
      <c r="AB194" s="478"/>
      <c r="AC194" s="478"/>
      <c r="AD194" s="478"/>
      <c r="AE194" s="478"/>
      <c r="AF194" s="478"/>
      <c r="AG194" s="478"/>
      <c r="AH194" s="478"/>
      <c r="AI194" s="478"/>
      <c r="AJ194" s="478"/>
      <c r="AK194" s="478"/>
      <c r="AL194" s="478"/>
      <c r="AM194" s="478"/>
      <c r="AN194" s="478"/>
      <c r="AO194" s="478"/>
      <c r="AP194" s="478"/>
      <c r="AQ194" s="478"/>
      <c r="AR194" s="478"/>
      <c r="AS194" s="478"/>
      <c r="AT194" s="478"/>
      <c r="AU194" s="478"/>
      <c r="AV194" s="478"/>
      <c r="AW194" s="478"/>
      <c r="AX194" s="478"/>
      <c r="AY194" s="478"/>
      <c r="AZ194" s="478"/>
      <c r="BA194" s="478"/>
      <c r="BB194" s="478"/>
      <c r="BC194" s="478"/>
      <c r="BD194" s="478"/>
      <c r="BE194" s="478"/>
      <c r="BF194" s="478"/>
      <c r="BG194" s="478"/>
      <c r="BH194" s="478"/>
      <c r="BI194" s="478"/>
      <c r="BJ194" s="245"/>
      <c r="BK194" s="477">
        <f t="shared" si="869"/>
        <v>0</v>
      </c>
      <c r="BL194" s="466">
        <f t="shared" si="870"/>
        <v>0</v>
      </c>
      <c r="BM194" s="257"/>
      <c r="BN194" s="478"/>
      <c r="BO194" s="478"/>
      <c r="BP194" s="478"/>
      <c r="BQ194" s="478"/>
      <c r="BR194" s="478"/>
      <c r="BS194" s="478"/>
      <c r="BT194" s="478"/>
      <c r="BU194" s="478"/>
      <c r="BV194" s="478"/>
      <c r="BW194" s="478"/>
      <c r="BX194" s="478"/>
      <c r="BY194" s="478"/>
      <c r="BZ194" s="478"/>
      <c r="CA194" s="478"/>
      <c r="CB194" s="478"/>
      <c r="CC194" s="478"/>
      <c r="CD194" s="478"/>
      <c r="CE194" s="478"/>
      <c r="CF194" s="478"/>
      <c r="CG194" s="478"/>
      <c r="CH194" s="478"/>
      <c r="CI194" s="478"/>
      <c r="CJ194" s="478"/>
      <c r="CK194" s="478"/>
      <c r="CL194" s="478"/>
      <c r="CM194" s="478"/>
      <c r="CN194" s="478"/>
      <c r="CO194" s="478"/>
      <c r="CP194" s="478"/>
      <c r="CQ194" s="478"/>
      <c r="CR194" s="478"/>
      <c r="CS194" s="478"/>
      <c r="CT194" s="478"/>
      <c r="CU194" s="478"/>
      <c r="CV194" s="478"/>
      <c r="CW194" s="478"/>
      <c r="CX194" s="478"/>
      <c r="CY194" s="478"/>
      <c r="CZ194" s="478"/>
      <c r="DA194" s="478"/>
      <c r="DB194" s="478"/>
      <c r="DC194" s="478"/>
      <c r="DD194" s="478"/>
      <c r="DE194" s="478"/>
      <c r="DF194" s="478"/>
      <c r="DG194" s="478"/>
      <c r="DH194" s="478"/>
      <c r="DI194" s="478"/>
    </row>
    <row r="195" spans="1:113" ht="16.05" hidden="1" customHeight="1" outlineLevel="1" x14ac:dyDescent="0.3">
      <c r="A195" s="455" t="str">
        <f t="shared" si="713"/>
        <v/>
      </c>
      <c r="B195" s="455"/>
      <c r="C195" s="481"/>
      <c r="D195" s="463" t="s">
        <v>829</v>
      </c>
      <c r="E195" s="482"/>
      <c r="F195" s="483"/>
      <c r="G195" s="484"/>
      <c r="H195" s="485"/>
      <c r="I195" s="466">
        <f t="shared" si="866"/>
        <v>0</v>
      </c>
      <c r="J195" s="259"/>
      <c r="K195" s="478">
        <f t="shared" si="867"/>
        <v>0</v>
      </c>
      <c r="L195" s="466">
        <f t="shared" si="868"/>
        <v>0</v>
      </c>
      <c r="M195" s="257"/>
      <c r="N195" s="478"/>
      <c r="O195" s="478"/>
      <c r="P195" s="478"/>
      <c r="Q195" s="478"/>
      <c r="R195" s="478"/>
      <c r="S195" s="478"/>
      <c r="T195" s="478"/>
      <c r="U195" s="478"/>
      <c r="V195" s="478"/>
      <c r="W195" s="478"/>
      <c r="X195" s="478"/>
      <c r="Y195" s="478"/>
      <c r="Z195" s="478"/>
      <c r="AA195" s="478"/>
      <c r="AB195" s="478"/>
      <c r="AC195" s="478"/>
      <c r="AD195" s="478"/>
      <c r="AE195" s="478"/>
      <c r="AF195" s="478"/>
      <c r="AG195" s="478"/>
      <c r="AH195" s="478"/>
      <c r="AI195" s="478"/>
      <c r="AJ195" s="478"/>
      <c r="AK195" s="478"/>
      <c r="AL195" s="478"/>
      <c r="AM195" s="478"/>
      <c r="AN195" s="478"/>
      <c r="AO195" s="478"/>
      <c r="AP195" s="478"/>
      <c r="AQ195" s="478"/>
      <c r="AR195" s="478"/>
      <c r="AS195" s="478"/>
      <c r="AT195" s="478"/>
      <c r="AU195" s="478"/>
      <c r="AV195" s="478"/>
      <c r="AW195" s="478"/>
      <c r="AX195" s="478"/>
      <c r="AY195" s="478"/>
      <c r="AZ195" s="478"/>
      <c r="BA195" s="478"/>
      <c r="BB195" s="478"/>
      <c r="BC195" s="478"/>
      <c r="BD195" s="478"/>
      <c r="BE195" s="478"/>
      <c r="BF195" s="478"/>
      <c r="BG195" s="478"/>
      <c r="BH195" s="478"/>
      <c r="BI195" s="478"/>
      <c r="BJ195" s="245"/>
      <c r="BK195" s="477">
        <f t="shared" si="869"/>
        <v>0</v>
      </c>
      <c r="BL195" s="466">
        <f t="shared" si="870"/>
        <v>0</v>
      </c>
      <c r="BM195" s="257"/>
      <c r="BN195" s="478"/>
      <c r="BO195" s="478"/>
      <c r="BP195" s="478"/>
      <c r="BQ195" s="478"/>
      <c r="BR195" s="478"/>
      <c r="BS195" s="478"/>
      <c r="BT195" s="478"/>
      <c r="BU195" s="478"/>
      <c r="BV195" s="478"/>
      <c r="BW195" s="478"/>
      <c r="BX195" s="478"/>
      <c r="BY195" s="478"/>
      <c r="BZ195" s="478"/>
      <c r="CA195" s="478"/>
      <c r="CB195" s="478"/>
      <c r="CC195" s="478"/>
      <c r="CD195" s="478"/>
      <c r="CE195" s="478"/>
      <c r="CF195" s="478"/>
      <c r="CG195" s="478"/>
      <c r="CH195" s="478"/>
      <c r="CI195" s="478"/>
      <c r="CJ195" s="478"/>
      <c r="CK195" s="478"/>
      <c r="CL195" s="478"/>
      <c r="CM195" s="478"/>
      <c r="CN195" s="478"/>
      <c r="CO195" s="478"/>
      <c r="CP195" s="478"/>
      <c r="CQ195" s="478"/>
      <c r="CR195" s="478"/>
      <c r="CS195" s="478"/>
      <c r="CT195" s="478"/>
      <c r="CU195" s="478"/>
      <c r="CV195" s="478"/>
      <c r="CW195" s="478"/>
      <c r="CX195" s="478"/>
      <c r="CY195" s="478"/>
      <c r="CZ195" s="478"/>
      <c r="DA195" s="478"/>
      <c r="DB195" s="478"/>
      <c r="DC195" s="478"/>
      <c r="DD195" s="478"/>
      <c r="DE195" s="478"/>
      <c r="DF195" s="478"/>
      <c r="DG195" s="478"/>
      <c r="DH195" s="478"/>
      <c r="DI195" s="478"/>
    </row>
    <row r="196" spans="1:113" ht="16.05" hidden="1" customHeight="1" outlineLevel="1" x14ac:dyDescent="0.3">
      <c r="A196" s="455" t="str">
        <f t="shared" si="713"/>
        <v/>
      </c>
      <c r="B196" s="455"/>
      <c r="C196" s="481"/>
      <c r="D196" s="463" t="s">
        <v>830</v>
      </c>
      <c r="E196" s="482"/>
      <c r="F196" s="483"/>
      <c r="G196" s="484"/>
      <c r="H196" s="485"/>
      <c r="I196" s="466">
        <f t="shared" si="866"/>
        <v>0</v>
      </c>
      <c r="J196" s="259"/>
      <c r="K196" s="478">
        <f t="shared" si="867"/>
        <v>0</v>
      </c>
      <c r="L196" s="466">
        <f t="shared" si="868"/>
        <v>0</v>
      </c>
      <c r="M196" s="257"/>
      <c r="N196" s="478"/>
      <c r="O196" s="478"/>
      <c r="P196" s="478"/>
      <c r="Q196" s="478"/>
      <c r="R196" s="478"/>
      <c r="S196" s="478"/>
      <c r="T196" s="478"/>
      <c r="U196" s="478"/>
      <c r="V196" s="478"/>
      <c r="W196" s="478"/>
      <c r="X196" s="478"/>
      <c r="Y196" s="478"/>
      <c r="Z196" s="478"/>
      <c r="AA196" s="478"/>
      <c r="AB196" s="478"/>
      <c r="AC196" s="478"/>
      <c r="AD196" s="478"/>
      <c r="AE196" s="478"/>
      <c r="AF196" s="478"/>
      <c r="AG196" s="478"/>
      <c r="AH196" s="478"/>
      <c r="AI196" s="478"/>
      <c r="AJ196" s="478"/>
      <c r="AK196" s="478"/>
      <c r="AL196" s="478"/>
      <c r="AM196" s="478"/>
      <c r="AN196" s="478"/>
      <c r="AO196" s="478"/>
      <c r="AP196" s="478"/>
      <c r="AQ196" s="478"/>
      <c r="AR196" s="478"/>
      <c r="AS196" s="478"/>
      <c r="AT196" s="478"/>
      <c r="AU196" s="478"/>
      <c r="AV196" s="478"/>
      <c r="AW196" s="478"/>
      <c r="AX196" s="478"/>
      <c r="AY196" s="478"/>
      <c r="AZ196" s="478"/>
      <c r="BA196" s="478"/>
      <c r="BB196" s="478"/>
      <c r="BC196" s="478"/>
      <c r="BD196" s="478"/>
      <c r="BE196" s="478"/>
      <c r="BF196" s="478"/>
      <c r="BG196" s="478"/>
      <c r="BH196" s="478"/>
      <c r="BI196" s="478"/>
      <c r="BJ196" s="245"/>
      <c r="BK196" s="477">
        <f t="shared" si="869"/>
        <v>0</v>
      </c>
      <c r="BL196" s="466">
        <f t="shared" si="870"/>
        <v>0</v>
      </c>
      <c r="BM196" s="257"/>
      <c r="BN196" s="478"/>
      <c r="BO196" s="478"/>
      <c r="BP196" s="478"/>
      <c r="BQ196" s="478"/>
      <c r="BR196" s="478"/>
      <c r="BS196" s="478"/>
      <c r="BT196" s="478"/>
      <c r="BU196" s="478"/>
      <c r="BV196" s="478"/>
      <c r="BW196" s="478"/>
      <c r="BX196" s="478"/>
      <c r="BY196" s="478"/>
      <c r="BZ196" s="478"/>
      <c r="CA196" s="478"/>
      <c r="CB196" s="478"/>
      <c r="CC196" s="478"/>
      <c r="CD196" s="478"/>
      <c r="CE196" s="478"/>
      <c r="CF196" s="478"/>
      <c r="CG196" s="478"/>
      <c r="CH196" s="478"/>
      <c r="CI196" s="478"/>
      <c r="CJ196" s="478"/>
      <c r="CK196" s="478"/>
      <c r="CL196" s="478"/>
      <c r="CM196" s="478"/>
      <c r="CN196" s="478"/>
      <c r="CO196" s="478"/>
      <c r="CP196" s="478"/>
      <c r="CQ196" s="478"/>
      <c r="CR196" s="478"/>
      <c r="CS196" s="478"/>
      <c r="CT196" s="478"/>
      <c r="CU196" s="478"/>
      <c r="CV196" s="478"/>
      <c r="CW196" s="478"/>
      <c r="CX196" s="478"/>
      <c r="CY196" s="478"/>
      <c r="CZ196" s="478"/>
      <c r="DA196" s="478"/>
      <c r="DB196" s="478"/>
      <c r="DC196" s="478"/>
      <c r="DD196" s="478"/>
      <c r="DE196" s="478"/>
      <c r="DF196" s="478"/>
      <c r="DG196" s="478"/>
      <c r="DH196" s="478"/>
      <c r="DI196" s="478"/>
    </row>
    <row r="197" spans="1:113" ht="16.05" hidden="1" customHeight="1" outlineLevel="1" x14ac:dyDescent="0.3">
      <c r="A197" s="455" t="str">
        <f t="shared" si="713"/>
        <v/>
      </c>
      <c r="B197" s="455"/>
      <c r="C197" s="481"/>
      <c r="D197" s="463" t="s">
        <v>831</v>
      </c>
      <c r="E197" s="482"/>
      <c r="F197" s="483"/>
      <c r="G197" s="484"/>
      <c r="H197" s="485"/>
      <c r="I197" s="466">
        <f t="shared" si="866"/>
        <v>0</v>
      </c>
      <c r="J197" s="259"/>
      <c r="K197" s="478">
        <f t="shared" si="867"/>
        <v>0</v>
      </c>
      <c r="L197" s="466">
        <f t="shared" si="868"/>
        <v>0</v>
      </c>
      <c r="M197" s="257"/>
      <c r="N197" s="478"/>
      <c r="O197" s="478"/>
      <c r="P197" s="478"/>
      <c r="Q197" s="478"/>
      <c r="R197" s="478"/>
      <c r="S197" s="478"/>
      <c r="T197" s="478"/>
      <c r="U197" s="478"/>
      <c r="V197" s="478"/>
      <c r="W197" s="478"/>
      <c r="X197" s="478"/>
      <c r="Y197" s="478"/>
      <c r="Z197" s="478"/>
      <c r="AA197" s="478"/>
      <c r="AB197" s="478"/>
      <c r="AC197" s="478"/>
      <c r="AD197" s="478"/>
      <c r="AE197" s="478"/>
      <c r="AF197" s="478"/>
      <c r="AG197" s="478"/>
      <c r="AH197" s="478"/>
      <c r="AI197" s="478"/>
      <c r="AJ197" s="478"/>
      <c r="AK197" s="478"/>
      <c r="AL197" s="478"/>
      <c r="AM197" s="478"/>
      <c r="AN197" s="478"/>
      <c r="AO197" s="478"/>
      <c r="AP197" s="478"/>
      <c r="AQ197" s="478"/>
      <c r="AR197" s="478"/>
      <c r="AS197" s="478"/>
      <c r="AT197" s="478"/>
      <c r="AU197" s="478"/>
      <c r="AV197" s="478"/>
      <c r="AW197" s="478"/>
      <c r="AX197" s="478"/>
      <c r="AY197" s="478"/>
      <c r="AZ197" s="478"/>
      <c r="BA197" s="478"/>
      <c r="BB197" s="478"/>
      <c r="BC197" s="478"/>
      <c r="BD197" s="478"/>
      <c r="BE197" s="478"/>
      <c r="BF197" s="478"/>
      <c r="BG197" s="478"/>
      <c r="BH197" s="478"/>
      <c r="BI197" s="478"/>
      <c r="BJ197" s="245"/>
      <c r="BK197" s="477">
        <f t="shared" si="869"/>
        <v>0</v>
      </c>
      <c r="BL197" s="466">
        <f t="shared" si="870"/>
        <v>0</v>
      </c>
      <c r="BM197" s="257"/>
      <c r="BN197" s="478"/>
      <c r="BO197" s="478"/>
      <c r="BP197" s="478"/>
      <c r="BQ197" s="478"/>
      <c r="BR197" s="478"/>
      <c r="BS197" s="478"/>
      <c r="BT197" s="478"/>
      <c r="BU197" s="478"/>
      <c r="BV197" s="478"/>
      <c r="BW197" s="478"/>
      <c r="BX197" s="478"/>
      <c r="BY197" s="478"/>
      <c r="BZ197" s="478"/>
      <c r="CA197" s="478"/>
      <c r="CB197" s="478"/>
      <c r="CC197" s="478"/>
      <c r="CD197" s="478"/>
      <c r="CE197" s="478"/>
      <c r="CF197" s="478"/>
      <c r="CG197" s="478"/>
      <c r="CH197" s="478"/>
      <c r="CI197" s="478"/>
      <c r="CJ197" s="478"/>
      <c r="CK197" s="478"/>
      <c r="CL197" s="478"/>
      <c r="CM197" s="478"/>
      <c r="CN197" s="478"/>
      <c r="CO197" s="478"/>
      <c r="CP197" s="478"/>
      <c r="CQ197" s="478"/>
      <c r="CR197" s="478"/>
      <c r="CS197" s="478"/>
      <c r="CT197" s="478"/>
      <c r="CU197" s="478"/>
      <c r="CV197" s="478"/>
      <c r="CW197" s="478"/>
      <c r="CX197" s="478"/>
      <c r="CY197" s="478"/>
      <c r="CZ197" s="478"/>
      <c r="DA197" s="478"/>
      <c r="DB197" s="478"/>
      <c r="DC197" s="478"/>
      <c r="DD197" s="478"/>
      <c r="DE197" s="478"/>
      <c r="DF197" s="478"/>
      <c r="DG197" s="478"/>
      <c r="DH197" s="478"/>
      <c r="DI197" s="478"/>
    </row>
    <row r="198" spans="1:113" ht="16.05" hidden="1" customHeight="1" outlineLevel="1" x14ac:dyDescent="0.3">
      <c r="A198" s="455" t="str">
        <f t="shared" si="713"/>
        <v/>
      </c>
      <c r="B198" s="455"/>
      <c r="C198" s="481"/>
      <c r="D198" s="463" t="s">
        <v>832</v>
      </c>
      <c r="E198" s="482"/>
      <c r="F198" s="483"/>
      <c r="G198" s="484"/>
      <c r="H198" s="485"/>
      <c r="I198" s="466">
        <f t="shared" si="866"/>
        <v>0</v>
      </c>
      <c r="J198" s="259"/>
      <c r="K198" s="478">
        <f t="shared" si="867"/>
        <v>0</v>
      </c>
      <c r="L198" s="466">
        <f t="shared" si="868"/>
        <v>0</v>
      </c>
      <c r="M198" s="257"/>
      <c r="N198" s="478"/>
      <c r="O198" s="478"/>
      <c r="P198" s="478"/>
      <c r="Q198" s="478"/>
      <c r="R198" s="478"/>
      <c r="S198" s="478"/>
      <c r="T198" s="478"/>
      <c r="U198" s="478"/>
      <c r="V198" s="478"/>
      <c r="W198" s="478"/>
      <c r="X198" s="478"/>
      <c r="Y198" s="478"/>
      <c r="Z198" s="478"/>
      <c r="AA198" s="478"/>
      <c r="AB198" s="478"/>
      <c r="AC198" s="478"/>
      <c r="AD198" s="478"/>
      <c r="AE198" s="478"/>
      <c r="AF198" s="478"/>
      <c r="AG198" s="478"/>
      <c r="AH198" s="478"/>
      <c r="AI198" s="478"/>
      <c r="AJ198" s="478"/>
      <c r="AK198" s="478"/>
      <c r="AL198" s="478"/>
      <c r="AM198" s="478"/>
      <c r="AN198" s="478"/>
      <c r="AO198" s="478"/>
      <c r="AP198" s="478"/>
      <c r="AQ198" s="478"/>
      <c r="AR198" s="478"/>
      <c r="AS198" s="478"/>
      <c r="AT198" s="478"/>
      <c r="AU198" s="478"/>
      <c r="AV198" s="478"/>
      <c r="AW198" s="478"/>
      <c r="AX198" s="478"/>
      <c r="AY198" s="478"/>
      <c r="AZ198" s="478"/>
      <c r="BA198" s="478"/>
      <c r="BB198" s="478"/>
      <c r="BC198" s="478"/>
      <c r="BD198" s="478"/>
      <c r="BE198" s="478"/>
      <c r="BF198" s="478"/>
      <c r="BG198" s="478"/>
      <c r="BH198" s="478"/>
      <c r="BI198" s="478"/>
      <c r="BJ198" s="245"/>
      <c r="BK198" s="477">
        <f t="shared" si="869"/>
        <v>0</v>
      </c>
      <c r="BL198" s="466">
        <f t="shared" si="870"/>
        <v>0</v>
      </c>
      <c r="BM198" s="257"/>
      <c r="BN198" s="478"/>
      <c r="BO198" s="478"/>
      <c r="BP198" s="478"/>
      <c r="BQ198" s="478"/>
      <c r="BR198" s="478"/>
      <c r="BS198" s="478"/>
      <c r="BT198" s="478"/>
      <c r="BU198" s="478"/>
      <c r="BV198" s="478"/>
      <c r="BW198" s="478"/>
      <c r="BX198" s="478"/>
      <c r="BY198" s="478"/>
      <c r="BZ198" s="478"/>
      <c r="CA198" s="478"/>
      <c r="CB198" s="478"/>
      <c r="CC198" s="478"/>
      <c r="CD198" s="478"/>
      <c r="CE198" s="478"/>
      <c r="CF198" s="478"/>
      <c r="CG198" s="478"/>
      <c r="CH198" s="478"/>
      <c r="CI198" s="478"/>
      <c r="CJ198" s="478"/>
      <c r="CK198" s="478"/>
      <c r="CL198" s="478"/>
      <c r="CM198" s="478"/>
      <c r="CN198" s="478"/>
      <c r="CO198" s="478"/>
      <c r="CP198" s="478"/>
      <c r="CQ198" s="478"/>
      <c r="CR198" s="478"/>
      <c r="CS198" s="478"/>
      <c r="CT198" s="478"/>
      <c r="CU198" s="478"/>
      <c r="CV198" s="478"/>
      <c r="CW198" s="478"/>
      <c r="CX198" s="478"/>
      <c r="CY198" s="478"/>
      <c r="CZ198" s="478"/>
      <c r="DA198" s="478"/>
      <c r="DB198" s="478"/>
      <c r="DC198" s="478"/>
      <c r="DD198" s="478"/>
      <c r="DE198" s="478"/>
      <c r="DF198" s="478"/>
      <c r="DG198" s="478"/>
      <c r="DH198" s="478"/>
      <c r="DI198" s="478"/>
    </row>
    <row r="199" spans="1:113" ht="16.05" hidden="1" customHeight="1" outlineLevel="1" x14ac:dyDescent="0.3">
      <c r="A199" s="455" t="str">
        <f t="shared" si="713"/>
        <v/>
      </c>
      <c r="B199" s="455"/>
      <c r="C199" s="481"/>
      <c r="D199" s="463" t="s">
        <v>833</v>
      </c>
      <c r="E199" s="482"/>
      <c r="F199" s="483"/>
      <c r="G199" s="484"/>
      <c r="H199" s="485"/>
      <c r="I199" s="466">
        <f t="shared" si="866"/>
        <v>0</v>
      </c>
      <c r="J199" s="259"/>
      <c r="K199" s="478">
        <f t="shared" si="867"/>
        <v>0</v>
      </c>
      <c r="L199" s="466">
        <f t="shared" si="868"/>
        <v>0</v>
      </c>
      <c r="M199" s="257"/>
      <c r="N199" s="478"/>
      <c r="O199" s="478"/>
      <c r="P199" s="478"/>
      <c r="Q199" s="478"/>
      <c r="R199" s="478"/>
      <c r="S199" s="478"/>
      <c r="T199" s="478"/>
      <c r="U199" s="478"/>
      <c r="V199" s="478"/>
      <c r="W199" s="478"/>
      <c r="X199" s="478"/>
      <c r="Y199" s="478"/>
      <c r="Z199" s="478"/>
      <c r="AA199" s="478"/>
      <c r="AB199" s="478"/>
      <c r="AC199" s="478"/>
      <c r="AD199" s="478"/>
      <c r="AE199" s="478"/>
      <c r="AF199" s="478"/>
      <c r="AG199" s="478"/>
      <c r="AH199" s="478"/>
      <c r="AI199" s="478"/>
      <c r="AJ199" s="478"/>
      <c r="AK199" s="478"/>
      <c r="AL199" s="478"/>
      <c r="AM199" s="478"/>
      <c r="AN199" s="478"/>
      <c r="AO199" s="478"/>
      <c r="AP199" s="478"/>
      <c r="AQ199" s="478"/>
      <c r="AR199" s="478"/>
      <c r="AS199" s="478"/>
      <c r="AT199" s="478"/>
      <c r="AU199" s="478"/>
      <c r="AV199" s="478"/>
      <c r="AW199" s="478"/>
      <c r="AX199" s="478"/>
      <c r="AY199" s="478"/>
      <c r="AZ199" s="478"/>
      <c r="BA199" s="478"/>
      <c r="BB199" s="478"/>
      <c r="BC199" s="478"/>
      <c r="BD199" s="478"/>
      <c r="BE199" s="478"/>
      <c r="BF199" s="478"/>
      <c r="BG199" s="478"/>
      <c r="BH199" s="478"/>
      <c r="BI199" s="478"/>
      <c r="BJ199" s="245"/>
      <c r="BK199" s="477">
        <f t="shared" si="869"/>
        <v>0</v>
      </c>
      <c r="BL199" s="466">
        <f t="shared" si="870"/>
        <v>0</v>
      </c>
      <c r="BM199" s="257"/>
      <c r="BN199" s="478"/>
      <c r="BO199" s="478"/>
      <c r="BP199" s="478"/>
      <c r="BQ199" s="478"/>
      <c r="BR199" s="478"/>
      <c r="BS199" s="478"/>
      <c r="BT199" s="478"/>
      <c r="BU199" s="478"/>
      <c r="BV199" s="478"/>
      <c r="BW199" s="478"/>
      <c r="BX199" s="478"/>
      <c r="BY199" s="478"/>
      <c r="BZ199" s="478"/>
      <c r="CA199" s="478"/>
      <c r="CB199" s="478"/>
      <c r="CC199" s="478"/>
      <c r="CD199" s="478"/>
      <c r="CE199" s="478"/>
      <c r="CF199" s="478"/>
      <c r="CG199" s="478"/>
      <c r="CH199" s="478"/>
      <c r="CI199" s="478"/>
      <c r="CJ199" s="478"/>
      <c r="CK199" s="478"/>
      <c r="CL199" s="478"/>
      <c r="CM199" s="478"/>
      <c r="CN199" s="478"/>
      <c r="CO199" s="478"/>
      <c r="CP199" s="478"/>
      <c r="CQ199" s="478"/>
      <c r="CR199" s="478"/>
      <c r="CS199" s="478"/>
      <c r="CT199" s="478"/>
      <c r="CU199" s="478"/>
      <c r="CV199" s="478"/>
      <c r="CW199" s="478"/>
      <c r="CX199" s="478"/>
      <c r="CY199" s="478"/>
      <c r="CZ199" s="478"/>
      <c r="DA199" s="478"/>
      <c r="DB199" s="478"/>
      <c r="DC199" s="478"/>
      <c r="DD199" s="478"/>
      <c r="DE199" s="478"/>
      <c r="DF199" s="478"/>
      <c r="DG199" s="478"/>
      <c r="DH199" s="478"/>
      <c r="DI199" s="478"/>
    </row>
    <row r="200" spans="1:113" ht="16.05" hidden="1" customHeight="1" outlineLevel="1" x14ac:dyDescent="0.3">
      <c r="A200" s="455" t="str">
        <f t="shared" si="713"/>
        <v/>
      </c>
      <c r="B200" s="455"/>
      <c r="C200" s="481"/>
      <c r="D200" s="463" t="s">
        <v>834</v>
      </c>
      <c r="E200" s="482"/>
      <c r="F200" s="483"/>
      <c r="G200" s="484"/>
      <c r="H200" s="485"/>
      <c r="I200" s="466">
        <f t="shared" si="866"/>
        <v>0</v>
      </c>
      <c r="J200" s="259"/>
      <c r="K200" s="478">
        <f t="shared" si="867"/>
        <v>0</v>
      </c>
      <c r="L200" s="466">
        <f t="shared" si="868"/>
        <v>0</v>
      </c>
      <c r="M200" s="257"/>
      <c r="N200" s="478"/>
      <c r="O200" s="478"/>
      <c r="P200" s="478"/>
      <c r="Q200" s="478"/>
      <c r="R200" s="478"/>
      <c r="S200" s="478"/>
      <c r="T200" s="478"/>
      <c r="U200" s="478"/>
      <c r="V200" s="478"/>
      <c r="W200" s="478"/>
      <c r="X200" s="478"/>
      <c r="Y200" s="478"/>
      <c r="Z200" s="478"/>
      <c r="AA200" s="478"/>
      <c r="AB200" s="478"/>
      <c r="AC200" s="478"/>
      <c r="AD200" s="478"/>
      <c r="AE200" s="478"/>
      <c r="AF200" s="478"/>
      <c r="AG200" s="478"/>
      <c r="AH200" s="478"/>
      <c r="AI200" s="478"/>
      <c r="AJ200" s="478"/>
      <c r="AK200" s="478"/>
      <c r="AL200" s="478"/>
      <c r="AM200" s="478"/>
      <c r="AN200" s="478"/>
      <c r="AO200" s="478"/>
      <c r="AP200" s="478"/>
      <c r="AQ200" s="478"/>
      <c r="AR200" s="478"/>
      <c r="AS200" s="478"/>
      <c r="AT200" s="478"/>
      <c r="AU200" s="478"/>
      <c r="AV200" s="478"/>
      <c r="AW200" s="478"/>
      <c r="AX200" s="478"/>
      <c r="AY200" s="478"/>
      <c r="AZ200" s="478"/>
      <c r="BA200" s="478"/>
      <c r="BB200" s="478"/>
      <c r="BC200" s="478"/>
      <c r="BD200" s="478"/>
      <c r="BE200" s="478"/>
      <c r="BF200" s="478"/>
      <c r="BG200" s="478"/>
      <c r="BH200" s="478"/>
      <c r="BI200" s="478"/>
      <c r="BJ200" s="245"/>
      <c r="BK200" s="477">
        <f t="shared" si="869"/>
        <v>0</v>
      </c>
      <c r="BL200" s="466">
        <f t="shared" si="870"/>
        <v>0</v>
      </c>
      <c r="BM200" s="257"/>
      <c r="BN200" s="478"/>
      <c r="BO200" s="478"/>
      <c r="BP200" s="478"/>
      <c r="BQ200" s="478"/>
      <c r="BR200" s="478"/>
      <c r="BS200" s="478"/>
      <c r="BT200" s="478"/>
      <c r="BU200" s="478"/>
      <c r="BV200" s="478"/>
      <c r="BW200" s="478"/>
      <c r="BX200" s="478"/>
      <c r="BY200" s="478"/>
      <c r="BZ200" s="478"/>
      <c r="CA200" s="478"/>
      <c r="CB200" s="478"/>
      <c r="CC200" s="478"/>
      <c r="CD200" s="478"/>
      <c r="CE200" s="478"/>
      <c r="CF200" s="478"/>
      <c r="CG200" s="478"/>
      <c r="CH200" s="478"/>
      <c r="CI200" s="478"/>
      <c r="CJ200" s="478"/>
      <c r="CK200" s="478"/>
      <c r="CL200" s="478"/>
      <c r="CM200" s="478"/>
      <c r="CN200" s="478"/>
      <c r="CO200" s="478"/>
      <c r="CP200" s="478"/>
      <c r="CQ200" s="478"/>
      <c r="CR200" s="478"/>
      <c r="CS200" s="478"/>
      <c r="CT200" s="478"/>
      <c r="CU200" s="478"/>
      <c r="CV200" s="478"/>
      <c r="CW200" s="478"/>
      <c r="CX200" s="478"/>
      <c r="CY200" s="478"/>
      <c r="CZ200" s="478"/>
      <c r="DA200" s="478"/>
      <c r="DB200" s="478"/>
      <c r="DC200" s="478"/>
      <c r="DD200" s="478"/>
      <c r="DE200" s="478"/>
      <c r="DF200" s="478"/>
      <c r="DG200" s="478"/>
      <c r="DH200" s="478"/>
      <c r="DI200" s="478"/>
    </row>
    <row r="201" spans="1:113" ht="16.05" hidden="1" customHeight="1" outlineLevel="1" x14ac:dyDescent="0.3">
      <c r="A201" s="455" t="str">
        <f t="shared" si="713"/>
        <v/>
      </c>
      <c r="B201" s="455"/>
      <c r="C201" s="481"/>
      <c r="D201" s="463" t="s">
        <v>835</v>
      </c>
      <c r="E201" s="482"/>
      <c r="F201" s="483"/>
      <c r="G201" s="484"/>
      <c r="H201" s="485"/>
      <c r="I201" s="466">
        <f t="shared" si="866"/>
        <v>0</v>
      </c>
      <c r="J201" s="259"/>
      <c r="K201" s="478">
        <f t="shared" si="867"/>
        <v>0</v>
      </c>
      <c r="L201" s="466">
        <f t="shared" si="868"/>
        <v>0</v>
      </c>
      <c r="M201" s="257"/>
      <c r="N201" s="478"/>
      <c r="O201" s="478"/>
      <c r="P201" s="478"/>
      <c r="Q201" s="478"/>
      <c r="R201" s="478"/>
      <c r="S201" s="478"/>
      <c r="T201" s="478"/>
      <c r="U201" s="478"/>
      <c r="V201" s="478"/>
      <c r="W201" s="478"/>
      <c r="X201" s="478"/>
      <c r="Y201" s="478"/>
      <c r="Z201" s="478"/>
      <c r="AA201" s="478"/>
      <c r="AB201" s="478"/>
      <c r="AC201" s="478"/>
      <c r="AD201" s="478"/>
      <c r="AE201" s="478"/>
      <c r="AF201" s="478"/>
      <c r="AG201" s="478"/>
      <c r="AH201" s="478"/>
      <c r="AI201" s="478"/>
      <c r="AJ201" s="478"/>
      <c r="AK201" s="478"/>
      <c r="AL201" s="478"/>
      <c r="AM201" s="478"/>
      <c r="AN201" s="478"/>
      <c r="AO201" s="478"/>
      <c r="AP201" s="478"/>
      <c r="AQ201" s="478"/>
      <c r="AR201" s="478"/>
      <c r="AS201" s="478"/>
      <c r="AT201" s="478"/>
      <c r="AU201" s="478"/>
      <c r="AV201" s="478"/>
      <c r="AW201" s="478"/>
      <c r="AX201" s="478"/>
      <c r="AY201" s="478"/>
      <c r="AZ201" s="478"/>
      <c r="BA201" s="478"/>
      <c r="BB201" s="478"/>
      <c r="BC201" s="478"/>
      <c r="BD201" s="478"/>
      <c r="BE201" s="478"/>
      <c r="BF201" s="478"/>
      <c r="BG201" s="478"/>
      <c r="BH201" s="478"/>
      <c r="BI201" s="478"/>
      <c r="BJ201" s="245"/>
      <c r="BK201" s="477">
        <f t="shared" si="869"/>
        <v>0</v>
      </c>
      <c r="BL201" s="466">
        <f t="shared" si="870"/>
        <v>0</v>
      </c>
      <c r="BM201" s="257"/>
      <c r="BN201" s="478"/>
      <c r="BO201" s="478"/>
      <c r="BP201" s="478"/>
      <c r="BQ201" s="478"/>
      <c r="BR201" s="478"/>
      <c r="BS201" s="478"/>
      <c r="BT201" s="478"/>
      <c r="BU201" s="478"/>
      <c r="BV201" s="478"/>
      <c r="BW201" s="478"/>
      <c r="BX201" s="478"/>
      <c r="BY201" s="478"/>
      <c r="BZ201" s="478"/>
      <c r="CA201" s="478"/>
      <c r="CB201" s="478"/>
      <c r="CC201" s="478"/>
      <c r="CD201" s="478"/>
      <c r="CE201" s="478"/>
      <c r="CF201" s="478"/>
      <c r="CG201" s="478"/>
      <c r="CH201" s="478"/>
      <c r="CI201" s="478"/>
      <c r="CJ201" s="478"/>
      <c r="CK201" s="478"/>
      <c r="CL201" s="478"/>
      <c r="CM201" s="478"/>
      <c r="CN201" s="478"/>
      <c r="CO201" s="478"/>
      <c r="CP201" s="478"/>
      <c r="CQ201" s="478"/>
      <c r="CR201" s="478"/>
      <c r="CS201" s="478"/>
      <c r="CT201" s="478"/>
      <c r="CU201" s="478"/>
      <c r="CV201" s="478"/>
      <c r="CW201" s="478"/>
      <c r="CX201" s="478"/>
      <c r="CY201" s="478"/>
      <c r="CZ201" s="478"/>
      <c r="DA201" s="478"/>
      <c r="DB201" s="478"/>
      <c r="DC201" s="478"/>
      <c r="DD201" s="478"/>
      <c r="DE201" s="478"/>
      <c r="DF201" s="478"/>
      <c r="DG201" s="478"/>
      <c r="DH201" s="478"/>
      <c r="DI201" s="478"/>
    </row>
    <row r="202" spans="1:113" ht="16.05" hidden="1" customHeight="1" outlineLevel="1" x14ac:dyDescent="0.3">
      <c r="A202" s="455" t="str">
        <f t="shared" si="713"/>
        <v/>
      </c>
      <c r="B202" s="455"/>
      <c r="C202" s="481"/>
      <c r="D202" s="463" t="s">
        <v>836</v>
      </c>
      <c r="E202" s="482"/>
      <c r="F202" s="483"/>
      <c r="G202" s="484"/>
      <c r="H202" s="485"/>
      <c r="I202" s="466">
        <f t="shared" si="866"/>
        <v>0</v>
      </c>
      <c r="J202" s="259"/>
      <c r="K202" s="478">
        <f t="shared" si="867"/>
        <v>0</v>
      </c>
      <c r="L202" s="466">
        <f t="shared" si="868"/>
        <v>0</v>
      </c>
      <c r="M202" s="257"/>
      <c r="N202" s="478"/>
      <c r="O202" s="478"/>
      <c r="P202" s="478"/>
      <c r="Q202" s="478"/>
      <c r="R202" s="478"/>
      <c r="S202" s="478"/>
      <c r="T202" s="478"/>
      <c r="U202" s="478"/>
      <c r="V202" s="478"/>
      <c r="W202" s="478"/>
      <c r="X202" s="478"/>
      <c r="Y202" s="478"/>
      <c r="Z202" s="478"/>
      <c r="AA202" s="478"/>
      <c r="AB202" s="478"/>
      <c r="AC202" s="478"/>
      <c r="AD202" s="478"/>
      <c r="AE202" s="478"/>
      <c r="AF202" s="478"/>
      <c r="AG202" s="478"/>
      <c r="AH202" s="478"/>
      <c r="AI202" s="478"/>
      <c r="AJ202" s="478"/>
      <c r="AK202" s="478"/>
      <c r="AL202" s="478"/>
      <c r="AM202" s="478"/>
      <c r="AN202" s="478"/>
      <c r="AO202" s="478"/>
      <c r="AP202" s="478"/>
      <c r="AQ202" s="478"/>
      <c r="AR202" s="478"/>
      <c r="AS202" s="478"/>
      <c r="AT202" s="478"/>
      <c r="AU202" s="478"/>
      <c r="AV202" s="478"/>
      <c r="AW202" s="478"/>
      <c r="AX202" s="478"/>
      <c r="AY202" s="478"/>
      <c r="AZ202" s="478"/>
      <c r="BA202" s="478"/>
      <c r="BB202" s="478"/>
      <c r="BC202" s="478"/>
      <c r="BD202" s="478"/>
      <c r="BE202" s="478"/>
      <c r="BF202" s="478"/>
      <c r="BG202" s="478"/>
      <c r="BH202" s="478"/>
      <c r="BI202" s="478"/>
      <c r="BJ202" s="245"/>
      <c r="BK202" s="477">
        <f t="shared" si="869"/>
        <v>0</v>
      </c>
      <c r="BL202" s="466">
        <f t="shared" si="870"/>
        <v>0</v>
      </c>
      <c r="BM202" s="257"/>
      <c r="BN202" s="478"/>
      <c r="BO202" s="478"/>
      <c r="BP202" s="478"/>
      <c r="BQ202" s="478"/>
      <c r="BR202" s="478"/>
      <c r="BS202" s="478"/>
      <c r="BT202" s="478"/>
      <c r="BU202" s="478"/>
      <c r="BV202" s="478"/>
      <c r="BW202" s="478"/>
      <c r="BX202" s="478"/>
      <c r="BY202" s="478"/>
      <c r="BZ202" s="478"/>
      <c r="CA202" s="478"/>
      <c r="CB202" s="478"/>
      <c r="CC202" s="478"/>
      <c r="CD202" s="478"/>
      <c r="CE202" s="478"/>
      <c r="CF202" s="478"/>
      <c r="CG202" s="478"/>
      <c r="CH202" s="478"/>
      <c r="CI202" s="478"/>
      <c r="CJ202" s="478"/>
      <c r="CK202" s="478"/>
      <c r="CL202" s="478"/>
      <c r="CM202" s="478"/>
      <c r="CN202" s="478"/>
      <c r="CO202" s="478"/>
      <c r="CP202" s="478"/>
      <c r="CQ202" s="478"/>
      <c r="CR202" s="478"/>
      <c r="CS202" s="478"/>
      <c r="CT202" s="478"/>
      <c r="CU202" s="478"/>
      <c r="CV202" s="478"/>
      <c r="CW202" s="478"/>
      <c r="CX202" s="478"/>
      <c r="CY202" s="478"/>
      <c r="CZ202" s="478"/>
      <c r="DA202" s="478"/>
      <c r="DB202" s="478"/>
      <c r="DC202" s="478"/>
      <c r="DD202" s="478"/>
      <c r="DE202" s="478"/>
      <c r="DF202" s="478"/>
      <c r="DG202" s="478"/>
      <c r="DH202" s="478"/>
      <c r="DI202" s="478"/>
    </row>
    <row r="203" spans="1:113" ht="16.05" hidden="1" customHeight="1" outlineLevel="1" x14ac:dyDescent="0.3">
      <c r="A203" s="455" t="str">
        <f t="shared" si="713"/>
        <v/>
      </c>
      <c r="B203" s="455"/>
      <c r="C203" s="481"/>
      <c r="D203" s="463" t="s">
        <v>837</v>
      </c>
      <c r="E203" s="482"/>
      <c r="F203" s="483"/>
      <c r="G203" s="484"/>
      <c r="H203" s="485"/>
      <c r="I203" s="466">
        <f t="shared" si="866"/>
        <v>0</v>
      </c>
      <c r="J203" s="259"/>
      <c r="K203" s="478">
        <f t="shared" si="867"/>
        <v>0</v>
      </c>
      <c r="L203" s="466">
        <f t="shared" si="868"/>
        <v>0</v>
      </c>
      <c r="M203" s="257"/>
      <c r="N203" s="478"/>
      <c r="O203" s="478"/>
      <c r="P203" s="478"/>
      <c r="Q203" s="478"/>
      <c r="R203" s="478"/>
      <c r="S203" s="478"/>
      <c r="T203" s="478"/>
      <c r="U203" s="478"/>
      <c r="V203" s="478"/>
      <c r="W203" s="478"/>
      <c r="X203" s="478"/>
      <c r="Y203" s="478"/>
      <c r="Z203" s="478"/>
      <c r="AA203" s="478"/>
      <c r="AB203" s="478"/>
      <c r="AC203" s="478"/>
      <c r="AD203" s="478"/>
      <c r="AE203" s="478"/>
      <c r="AF203" s="478"/>
      <c r="AG203" s="478"/>
      <c r="AH203" s="478"/>
      <c r="AI203" s="478"/>
      <c r="AJ203" s="478"/>
      <c r="AK203" s="478"/>
      <c r="AL203" s="478"/>
      <c r="AM203" s="478"/>
      <c r="AN203" s="478"/>
      <c r="AO203" s="478"/>
      <c r="AP203" s="478"/>
      <c r="AQ203" s="478"/>
      <c r="AR203" s="478"/>
      <c r="AS203" s="478"/>
      <c r="AT203" s="478"/>
      <c r="AU203" s="478"/>
      <c r="AV203" s="478"/>
      <c r="AW203" s="478"/>
      <c r="AX203" s="478"/>
      <c r="AY203" s="478"/>
      <c r="AZ203" s="478"/>
      <c r="BA203" s="478"/>
      <c r="BB203" s="478"/>
      <c r="BC203" s="478"/>
      <c r="BD203" s="478"/>
      <c r="BE203" s="478"/>
      <c r="BF203" s="478"/>
      <c r="BG203" s="478"/>
      <c r="BH203" s="478"/>
      <c r="BI203" s="478"/>
      <c r="BJ203" s="245"/>
      <c r="BK203" s="477">
        <f t="shared" si="869"/>
        <v>0</v>
      </c>
      <c r="BL203" s="466">
        <f t="shared" si="870"/>
        <v>0</v>
      </c>
      <c r="BM203" s="257"/>
      <c r="BN203" s="478"/>
      <c r="BO203" s="478"/>
      <c r="BP203" s="478"/>
      <c r="BQ203" s="478"/>
      <c r="BR203" s="478"/>
      <c r="BS203" s="478"/>
      <c r="BT203" s="478"/>
      <c r="BU203" s="478"/>
      <c r="BV203" s="478"/>
      <c r="BW203" s="478"/>
      <c r="BX203" s="478"/>
      <c r="BY203" s="478"/>
      <c r="BZ203" s="478"/>
      <c r="CA203" s="478"/>
      <c r="CB203" s="478"/>
      <c r="CC203" s="478"/>
      <c r="CD203" s="478"/>
      <c r="CE203" s="478"/>
      <c r="CF203" s="478"/>
      <c r="CG203" s="478"/>
      <c r="CH203" s="478"/>
      <c r="CI203" s="478"/>
      <c r="CJ203" s="478"/>
      <c r="CK203" s="478"/>
      <c r="CL203" s="478"/>
      <c r="CM203" s="478"/>
      <c r="CN203" s="478"/>
      <c r="CO203" s="478"/>
      <c r="CP203" s="478"/>
      <c r="CQ203" s="478"/>
      <c r="CR203" s="478"/>
      <c r="CS203" s="478"/>
      <c r="CT203" s="478"/>
      <c r="CU203" s="478"/>
      <c r="CV203" s="478"/>
      <c r="CW203" s="478"/>
      <c r="CX203" s="478"/>
      <c r="CY203" s="478"/>
      <c r="CZ203" s="478"/>
      <c r="DA203" s="478"/>
      <c r="DB203" s="478"/>
      <c r="DC203" s="478"/>
      <c r="DD203" s="478"/>
      <c r="DE203" s="478"/>
      <c r="DF203" s="478"/>
      <c r="DG203" s="478"/>
      <c r="DH203" s="478"/>
      <c r="DI203" s="478"/>
    </row>
    <row r="204" spans="1:113" ht="16.05" hidden="1" customHeight="1" outlineLevel="1" x14ac:dyDescent="0.3">
      <c r="A204" s="455" t="str">
        <f t="shared" si="713"/>
        <v/>
      </c>
      <c r="B204" s="455"/>
      <c r="C204" s="481"/>
      <c r="D204" s="463" t="s">
        <v>838</v>
      </c>
      <c r="E204" s="482"/>
      <c r="F204" s="483"/>
      <c r="G204" s="484"/>
      <c r="H204" s="485"/>
      <c r="I204" s="466">
        <f t="shared" si="866"/>
        <v>0</v>
      </c>
      <c r="J204" s="259"/>
      <c r="K204" s="478">
        <f t="shared" si="867"/>
        <v>0</v>
      </c>
      <c r="L204" s="466">
        <f t="shared" si="868"/>
        <v>0</v>
      </c>
      <c r="M204" s="257"/>
      <c r="N204" s="478"/>
      <c r="O204" s="478"/>
      <c r="P204" s="478"/>
      <c r="Q204" s="478"/>
      <c r="R204" s="478"/>
      <c r="S204" s="478"/>
      <c r="T204" s="478"/>
      <c r="U204" s="478"/>
      <c r="V204" s="478"/>
      <c r="W204" s="478"/>
      <c r="X204" s="478"/>
      <c r="Y204" s="478"/>
      <c r="Z204" s="478"/>
      <c r="AA204" s="478"/>
      <c r="AB204" s="478"/>
      <c r="AC204" s="478"/>
      <c r="AD204" s="478"/>
      <c r="AE204" s="478"/>
      <c r="AF204" s="478"/>
      <c r="AG204" s="478"/>
      <c r="AH204" s="478"/>
      <c r="AI204" s="478"/>
      <c r="AJ204" s="478"/>
      <c r="AK204" s="478"/>
      <c r="AL204" s="478"/>
      <c r="AM204" s="478"/>
      <c r="AN204" s="478"/>
      <c r="AO204" s="478"/>
      <c r="AP204" s="478"/>
      <c r="AQ204" s="478"/>
      <c r="AR204" s="478"/>
      <c r="AS204" s="478"/>
      <c r="AT204" s="478"/>
      <c r="AU204" s="478"/>
      <c r="AV204" s="478"/>
      <c r="AW204" s="478"/>
      <c r="AX204" s="478"/>
      <c r="AY204" s="478"/>
      <c r="AZ204" s="478"/>
      <c r="BA204" s="478"/>
      <c r="BB204" s="478"/>
      <c r="BC204" s="478"/>
      <c r="BD204" s="478"/>
      <c r="BE204" s="478"/>
      <c r="BF204" s="478"/>
      <c r="BG204" s="478"/>
      <c r="BH204" s="478"/>
      <c r="BI204" s="478"/>
      <c r="BJ204" s="245"/>
      <c r="BK204" s="477">
        <f t="shared" si="869"/>
        <v>0</v>
      </c>
      <c r="BL204" s="466">
        <f t="shared" si="870"/>
        <v>0</v>
      </c>
      <c r="BM204" s="257"/>
      <c r="BN204" s="478"/>
      <c r="BO204" s="478"/>
      <c r="BP204" s="478"/>
      <c r="BQ204" s="478"/>
      <c r="BR204" s="478"/>
      <c r="BS204" s="478"/>
      <c r="BT204" s="478"/>
      <c r="BU204" s="478"/>
      <c r="BV204" s="478"/>
      <c r="BW204" s="478"/>
      <c r="BX204" s="478"/>
      <c r="BY204" s="478"/>
      <c r="BZ204" s="478"/>
      <c r="CA204" s="478"/>
      <c r="CB204" s="478"/>
      <c r="CC204" s="478"/>
      <c r="CD204" s="478"/>
      <c r="CE204" s="478"/>
      <c r="CF204" s="478"/>
      <c r="CG204" s="478"/>
      <c r="CH204" s="478"/>
      <c r="CI204" s="478"/>
      <c r="CJ204" s="478"/>
      <c r="CK204" s="478"/>
      <c r="CL204" s="478"/>
      <c r="CM204" s="478"/>
      <c r="CN204" s="478"/>
      <c r="CO204" s="478"/>
      <c r="CP204" s="478"/>
      <c r="CQ204" s="478"/>
      <c r="CR204" s="478"/>
      <c r="CS204" s="478"/>
      <c r="CT204" s="478"/>
      <c r="CU204" s="478"/>
      <c r="CV204" s="478"/>
      <c r="CW204" s="478"/>
      <c r="CX204" s="478"/>
      <c r="CY204" s="478"/>
      <c r="CZ204" s="478"/>
      <c r="DA204" s="478"/>
      <c r="DB204" s="478"/>
      <c r="DC204" s="478"/>
      <c r="DD204" s="478"/>
      <c r="DE204" s="478"/>
      <c r="DF204" s="478"/>
      <c r="DG204" s="478"/>
      <c r="DH204" s="478"/>
      <c r="DI204" s="478"/>
    </row>
    <row r="205" spans="1:113" ht="16.05" hidden="1" customHeight="1" outlineLevel="1" x14ac:dyDescent="0.3">
      <c r="A205" s="455" t="str">
        <f t="shared" si="713"/>
        <v/>
      </c>
      <c r="B205" s="455"/>
      <c r="C205" s="481"/>
      <c r="D205" s="463" t="s">
        <v>839</v>
      </c>
      <c r="E205" s="482"/>
      <c r="F205" s="483"/>
      <c r="G205" s="484"/>
      <c r="H205" s="485"/>
      <c r="I205" s="466">
        <f t="shared" si="866"/>
        <v>0</v>
      </c>
      <c r="J205" s="259"/>
      <c r="K205" s="478">
        <f t="shared" si="867"/>
        <v>0</v>
      </c>
      <c r="L205" s="466">
        <f t="shared" si="868"/>
        <v>0</v>
      </c>
      <c r="M205" s="257"/>
      <c r="N205" s="478"/>
      <c r="O205" s="478"/>
      <c r="P205" s="478"/>
      <c r="Q205" s="478"/>
      <c r="R205" s="478"/>
      <c r="S205" s="478"/>
      <c r="T205" s="478"/>
      <c r="U205" s="478"/>
      <c r="V205" s="478"/>
      <c r="W205" s="478"/>
      <c r="X205" s="478"/>
      <c r="Y205" s="478"/>
      <c r="Z205" s="478"/>
      <c r="AA205" s="478"/>
      <c r="AB205" s="478"/>
      <c r="AC205" s="478"/>
      <c r="AD205" s="478"/>
      <c r="AE205" s="478"/>
      <c r="AF205" s="478"/>
      <c r="AG205" s="478"/>
      <c r="AH205" s="478"/>
      <c r="AI205" s="478"/>
      <c r="AJ205" s="478"/>
      <c r="AK205" s="478"/>
      <c r="AL205" s="478"/>
      <c r="AM205" s="478"/>
      <c r="AN205" s="478"/>
      <c r="AO205" s="478"/>
      <c r="AP205" s="478"/>
      <c r="AQ205" s="478"/>
      <c r="AR205" s="478"/>
      <c r="AS205" s="478"/>
      <c r="AT205" s="478"/>
      <c r="AU205" s="478"/>
      <c r="AV205" s="478"/>
      <c r="AW205" s="478"/>
      <c r="AX205" s="478"/>
      <c r="AY205" s="478"/>
      <c r="AZ205" s="478"/>
      <c r="BA205" s="478"/>
      <c r="BB205" s="478"/>
      <c r="BC205" s="478"/>
      <c r="BD205" s="478"/>
      <c r="BE205" s="478"/>
      <c r="BF205" s="478"/>
      <c r="BG205" s="478"/>
      <c r="BH205" s="478"/>
      <c r="BI205" s="478"/>
      <c r="BJ205" s="245"/>
      <c r="BK205" s="477">
        <f t="shared" si="869"/>
        <v>0</v>
      </c>
      <c r="BL205" s="466">
        <f t="shared" si="870"/>
        <v>0</v>
      </c>
      <c r="BM205" s="257"/>
      <c r="BN205" s="478"/>
      <c r="BO205" s="478"/>
      <c r="BP205" s="478"/>
      <c r="BQ205" s="478"/>
      <c r="BR205" s="478"/>
      <c r="BS205" s="478"/>
      <c r="BT205" s="478"/>
      <c r="BU205" s="478"/>
      <c r="BV205" s="478"/>
      <c r="BW205" s="478"/>
      <c r="BX205" s="478"/>
      <c r="BY205" s="478"/>
      <c r="BZ205" s="478"/>
      <c r="CA205" s="478"/>
      <c r="CB205" s="478"/>
      <c r="CC205" s="478"/>
      <c r="CD205" s="478"/>
      <c r="CE205" s="478"/>
      <c r="CF205" s="478"/>
      <c r="CG205" s="478"/>
      <c r="CH205" s="478"/>
      <c r="CI205" s="478"/>
      <c r="CJ205" s="478"/>
      <c r="CK205" s="478"/>
      <c r="CL205" s="478"/>
      <c r="CM205" s="478"/>
      <c r="CN205" s="478"/>
      <c r="CO205" s="478"/>
      <c r="CP205" s="478"/>
      <c r="CQ205" s="478"/>
      <c r="CR205" s="478"/>
      <c r="CS205" s="478"/>
      <c r="CT205" s="478"/>
      <c r="CU205" s="478"/>
      <c r="CV205" s="478"/>
      <c r="CW205" s="478"/>
      <c r="CX205" s="478"/>
      <c r="CY205" s="478"/>
      <c r="CZ205" s="478"/>
      <c r="DA205" s="478"/>
      <c r="DB205" s="478"/>
      <c r="DC205" s="478"/>
      <c r="DD205" s="478"/>
      <c r="DE205" s="478"/>
      <c r="DF205" s="478"/>
      <c r="DG205" s="478"/>
      <c r="DH205" s="478"/>
      <c r="DI205" s="478"/>
    </row>
    <row r="206" spans="1:113" ht="16.05" hidden="1" customHeight="1" outlineLevel="1" x14ac:dyDescent="0.3">
      <c r="A206" s="455" t="str">
        <f t="shared" si="713"/>
        <v/>
      </c>
      <c r="B206" s="455"/>
      <c r="C206" s="481"/>
      <c r="D206" s="463" t="s">
        <v>840</v>
      </c>
      <c r="E206" s="482"/>
      <c r="F206" s="483"/>
      <c r="G206" s="484"/>
      <c r="H206" s="485"/>
      <c r="I206" s="466">
        <f t="shared" si="866"/>
        <v>0</v>
      </c>
      <c r="J206" s="259"/>
      <c r="K206" s="478">
        <f t="shared" si="867"/>
        <v>0</v>
      </c>
      <c r="L206" s="466">
        <f t="shared" si="868"/>
        <v>0</v>
      </c>
      <c r="M206" s="257"/>
      <c r="N206" s="478"/>
      <c r="O206" s="478"/>
      <c r="P206" s="478"/>
      <c r="Q206" s="478"/>
      <c r="R206" s="478"/>
      <c r="S206" s="478"/>
      <c r="T206" s="478"/>
      <c r="U206" s="478"/>
      <c r="V206" s="478"/>
      <c r="W206" s="478"/>
      <c r="X206" s="478"/>
      <c r="Y206" s="478"/>
      <c r="Z206" s="478"/>
      <c r="AA206" s="478"/>
      <c r="AB206" s="478"/>
      <c r="AC206" s="478"/>
      <c r="AD206" s="478"/>
      <c r="AE206" s="478"/>
      <c r="AF206" s="478"/>
      <c r="AG206" s="478"/>
      <c r="AH206" s="478"/>
      <c r="AI206" s="478"/>
      <c r="AJ206" s="478"/>
      <c r="AK206" s="478"/>
      <c r="AL206" s="478"/>
      <c r="AM206" s="478"/>
      <c r="AN206" s="478"/>
      <c r="AO206" s="478"/>
      <c r="AP206" s="478"/>
      <c r="AQ206" s="478"/>
      <c r="AR206" s="478"/>
      <c r="AS206" s="478"/>
      <c r="AT206" s="478"/>
      <c r="AU206" s="478"/>
      <c r="AV206" s="478"/>
      <c r="AW206" s="478"/>
      <c r="AX206" s="478"/>
      <c r="AY206" s="478"/>
      <c r="AZ206" s="478"/>
      <c r="BA206" s="478"/>
      <c r="BB206" s="478"/>
      <c r="BC206" s="478"/>
      <c r="BD206" s="478"/>
      <c r="BE206" s="478"/>
      <c r="BF206" s="478"/>
      <c r="BG206" s="478"/>
      <c r="BH206" s="478"/>
      <c r="BI206" s="478"/>
      <c r="BJ206" s="245"/>
      <c r="BK206" s="477">
        <f t="shared" si="869"/>
        <v>0</v>
      </c>
      <c r="BL206" s="466">
        <f t="shared" si="870"/>
        <v>0</v>
      </c>
      <c r="BM206" s="257"/>
      <c r="BN206" s="478"/>
      <c r="BO206" s="478"/>
      <c r="BP206" s="478"/>
      <c r="BQ206" s="478"/>
      <c r="BR206" s="478"/>
      <c r="BS206" s="478"/>
      <c r="BT206" s="478"/>
      <c r="BU206" s="478"/>
      <c r="BV206" s="478"/>
      <c r="BW206" s="478"/>
      <c r="BX206" s="478"/>
      <c r="BY206" s="478"/>
      <c r="BZ206" s="478"/>
      <c r="CA206" s="478"/>
      <c r="CB206" s="478"/>
      <c r="CC206" s="478"/>
      <c r="CD206" s="478"/>
      <c r="CE206" s="478"/>
      <c r="CF206" s="478"/>
      <c r="CG206" s="478"/>
      <c r="CH206" s="478"/>
      <c r="CI206" s="478"/>
      <c r="CJ206" s="478"/>
      <c r="CK206" s="478"/>
      <c r="CL206" s="478"/>
      <c r="CM206" s="478"/>
      <c r="CN206" s="478"/>
      <c r="CO206" s="478"/>
      <c r="CP206" s="478"/>
      <c r="CQ206" s="478"/>
      <c r="CR206" s="478"/>
      <c r="CS206" s="478"/>
      <c r="CT206" s="478"/>
      <c r="CU206" s="478"/>
      <c r="CV206" s="478"/>
      <c r="CW206" s="478"/>
      <c r="CX206" s="478"/>
      <c r="CY206" s="478"/>
      <c r="CZ206" s="478"/>
      <c r="DA206" s="478"/>
      <c r="DB206" s="478"/>
      <c r="DC206" s="478"/>
      <c r="DD206" s="478"/>
      <c r="DE206" s="478"/>
      <c r="DF206" s="478"/>
      <c r="DG206" s="478"/>
      <c r="DH206" s="478"/>
      <c r="DI206" s="478"/>
    </row>
    <row r="207" spans="1:113" ht="16.05" hidden="1" customHeight="1" outlineLevel="1" x14ac:dyDescent="0.3">
      <c r="A207" s="455" t="str">
        <f t="shared" si="713"/>
        <v/>
      </c>
      <c r="B207" s="455"/>
      <c r="C207" s="481"/>
      <c r="D207" s="463" t="s">
        <v>841</v>
      </c>
      <c r="E207" s="482"/>
      <c r="F207" s="483"/>
      <c r="G207" s="484"/>
      <c r="H207" s="485"/>
      <c r="I207" s="466">
        <f t="shared" si="866"/>
        <v>0</v>
      </c>
      <c r="J207" s="259"/>
      <c r="K207" s="478">
        <f t="shared" si="867"/>
        <v>0</v>
      </c>
      <c r="L207" s="466">
        <f t="shared" si="868"/>
        <v>0</v>
      </c>
      <c r="M207" s="257"/>
      <c r="N207" s="478"/>
      <c r="O207" s="478"/>
      <c r="P207" s="478"/>
      <c r="Q207" s="478"/>
      <c r="R207" s="478"/>
      <c r="S207" s="478"/>
      <c r="T207" s="478"/>
      <c r="U207" s="478"/>
      <c r="V207" s="478"/>
      <c r="W207" s="478"/>
      <c r="X207" s="478"/>
      <c r="Y207" s="478"/>
      <c r="Z207" s="478"/>
      <c r="AA207" s="478"/>
      <c r="AB207" s="478"/>
      <c r="AC207" s="478"/>
      <c r="AD207" s="478"/>
      <c r="AE207" s="478"/>
      <c r="AF207" s="478"/>
      <c r="AG207" s="478"/>
      <c r="AH207" s="478"/>
      <c r="AI207" s="478"/>
      <c r="AJ207" s="478"/>
      <c r="AK207" s="478"/>
      <c r="AL207" s="478"/>
      <c r="AM207" s="478"/>
      <c r="AN207" s="478"/>
      <c r="AO207" s="478"/>
      <c r="AP207" s="478"/>
      <c r="AQ207" s="478"/>
      <c r="AR207" s="478"/>
      <c r="AS207" s="478"/>
      <c r="AT207" s="478"/>
      <c r="AU207" s="478"/>
      <c r="AV207" s="478"/>
      <c r="AW207" s="478"/>
      <c r="AX207" s="478"/>
      <c r="AY207" s="478"/>
      <c r="AZ207" s="478"/>
      <c r="BA207" s="478"/>
      <c r="BB207" s="478"/>
      <c r="BC207" s="478"/>
      <c r="BD207" s="478"/>
      <c r="BE207" s="478"/>
      <c r="BF207" s="478"/>
      <c r="BG207" s="478"/>
      <c r="BH207" s="478"/>
      <c r="BI207" s="478"/>
      <c r="BJ207" s="245"/>
      <c r="BK207" s="477">
        <f t="shared" si="869"/>
        <v>0</v>
      </c>
      <c r="BL207" s="466">
        <f t="shared" si="870"/>
        <v>0</v>
      </c>
      <c r="BM207" s="257"/>
      <c r="BN207" s="478"/>
      <c r="BO207" s="478"/>
      <c r="BP207" s="478"/>
      <c r="BQ207" s="478"/>
      <c r="BR207" s="478"/>
      <c r="BS207" s="478"/>
      <c r="BT207" s="478"/>
      <c r="BU207" s="478"/>
      <c r="BV207" s="478"/>
      <c r="BW207" s="478"/>
      <c r="BX207" s="478"/>
      <c r="BY207" s="478"/>
      <c r="BZ207" s="478"/>
      <c r="CA207" s="478"/>
      <c r="CB207" s="478"/>
      <c r="CC207" s="478"/>
      <c r="CD207" s="478"/>
      <c r="CE207" s="478"/>
      <c r="CF207" s="478"/>
      <c r="CG207" s="478"/>
      <c r="CH207" s="478"/>
      <c r="CI207" s="478"/>
      <c r="CJ207" s="478"/>
      <c r="CK207" s="478"/>
      <c r="CL207" s="478"/>
      <c r="CM207" s="478"/>
      <c r="CN207" s="478"/>
      <c r="CO207" s="478"/>
      <c r="CP207" s="478"/>
      <c r="CQ207" s="478"/>
      <c r="CR207" s="478"/>
      <c r="CS207" s="478"/>
      <c r="CT207" s="478"/>
      <c r="CU207" s="478"/>
      <c r="CV207" s="478"/>
      <c r="CW207" s="478"/>
      <c r="CX207" s="478"/>
      <c r="CY207" s="478"/>
      <c r="CZ207" s="478"/>
      <c r="DA207" s="478"/>
      <c r="DB207" s="478"/>
      <c r="DC207" s="478"/>
      <c r="DD207" s="478"/>
      <c r="DE207" s="478"/>
      <c r="DF207" s="478"/>
      <c r="DG207" s="478"/>
      <c r="DH207" s="478"/>
      <c r="DI207" s="478"/>
    </row>
    <row r="208" spans="1:113" ht="16.05" hidden="1" customHeight="1" outlineLevel="1" x14ac:dyDescent="0.3">
      <c r="A208" s="455" t="str">
        <f t="shared" si="713"/>
        <v/>
      </c>
      <c r="B208" s="455"/>
      <c r="C208" s="481"/>
      <c r="D208" s="463" t="s">
        <v>842</v>
      </c>
      <c r="E208" s="482"/>
      <c r="F208" s="483"/>
      <c r="G208" s="484"/>
      <c r="H208" s="485"/>
      <c r="I208" s="466">
        <f t="shared" si="866"/>
        <v>0</v>
      </c>
      <c r="J208" s="259"/>
      <c r="K208" s="478">
        <f t="shared" si="867"/>
        <v>0</v>
      </c>
      <c r="L208" s="466">
        <f t="shared" si="868"/>
        <v>0</v>
      </c>
      <c r="M208" s="257"/>
      <c r="N208" s="478"/>
      <c r="O208" s="478"/>
      <c r="P208" s="478"/>
      <c r="Q208" s="478"/>
      <c r="R208" s="478"/>
      <c r="S208" s="478"/>
      <c r="T208" s="478"/>
      <c r="U208" s="478"/>
      <c r="V208" s="478"/>
      <c r="W208" s="478"/>
      <c r="X208" s="478"/>
      <c r="Y208" s="478"/>
      <c r="Z208" s="478"/>
      <c r="AA208" s="478"/>
      <c r="AB208" s="478"/>
      <c r="AC208" s="478"/>
      <c r="AD208" s="478"/>
      <c r="AE208" s="478"/>
      <c r="AF208" s="478"/>
      <c r="AG208" s="478"/>
      <c r="AH208" s="478"/>
      <c r="AI208" s="478"/>
      <c r="AJ208" s="478"/>
      <c r="AK208" s="478"/>
      <c r="AL208" s="478"/>
      <c r="AM208" s="478"/>
      <c r="AN208" s="478"/>
      <c r="AO208" s="478"/>
      <c r="AP208" s="478"/>
      <c r="AQ208" s="478"/>
      <c r="AR208" s="478"/>
      <c r="AS208" s="478"/>
      <c r="AT208" s="478"/>
      <c r="AU208" s="478"/>
      <c r="AV208" s="478"/>
      <c r="AW208" s="478"/>
      <c r="AX208" s="478"/>
      <c r="AY208" s="478"/>
      <c r="AZ208" s="478"/>
      <c r="BA208" s="478"/>
      <c r="BB208" s="478"/>
      <c r="BC208" s="478"/>
      <c r="BD208" s="478"/>
      <c r="BE208" s="478"/>
      <c r="BF208" s="478"/>
      <c r="BG208" s="478"/>
      <c r="BH208" s="478"/>
      <c r="BI208" s="478"/>
      <c r="BJ208" s="245"/>
      <c r="BK208" s="477">
        <f t="shared" si="869"/>
        <v>0</v>
      </c>
      <c r="BL208" s="466">
        <f t="shared" si="870"/>
        <v>0</v>
      </c>
      <c r="BM208" s="257"/>
      <c r="BN208" s="478"/>
      <c r="BO208" s="478"/>
      <c r="BP208" s="478"/>
      <c r="BQ208" s="478"/>
      <c r="BR208" s="478"/>
      <c r="BS208" s="478"/>
      <c r="BT208" s="478"/>
      <c r="BU208" s="478"/>
      <c r="BV208" s="478"/>
      <c r="BW208" s="478"/>
      <c r="BX208" s="478"/>
      <c r="BY208" s="478"/>
      <c r="BZ208" s="478"/>
      <c r="CA208" s="478"/>
      <c r="CB208" s="478"/>
      <c r="CC208" s="478"/>
      <c r="CD208" s="478"/>
      <c r="CE208" s="478"/>
      <c r="CF208" s="478"/>
      <c r="CG208" s="478"/>
      <c r="CH208" s="478"/>
      <c r="CI208" s="478"/>
      <c r="CJ208" s="478"/>
      <c r="CK208" s="478"/>
      <c r="CL208" s="478"/>
      <c r="CM208" s="478"/>
      <c r="CN208" s="478"/>
      <c r="CO208" s="478"/>
      <c r="CP208" s="478"/>
      <c r="CQ208" s="478"/>
      <c r="CR208" s="478"/>
      <c r="CS208" s="478"/>
      <c r="CT208" s="478"/>
      <c r="CU208" s="478"/>
      <c r="CV208" s="478"/>
      <c r="CW208" s="478"/>
      <c r="CX208" s="478"/>
      <c r="CY208" s="478"/>
      <c r="CZ208" s="478"/>
      <c r="DA208" s="478"/>
      <c r="DB208" s="478"/>
      <c r="DC208" s="478"/>
      <c r="DD208" s="478"/>
      <c r="DE208" s="478"/>
      <c r="DF208" s="478"/>
      <c r="DG208" s="478"/>
      <c r="DH208" s="478"/>
      <c r="DI208" s="478"/>
    </row>
    <row r="209" spans="1:113" ht="8.1" hidden="1" customHeight="1" outlineLevel="1" x14ac:dyDescent="0.3">
      <c r="A209" s="455" t="str">
        <f t="shared" ref="A209" si="871">IF(COUNTIF(A189:A208,"Imprimir")&gt;0,"Imprimir","")</f>
        <v/>
      </c>
      <c r="B209" s="455"/>
      <c r="C209" s="464"/>
      <c r="D209" s="461"/>
      <c r="E209" s="462"/>
      <c r="F209" s="462"/>
      <c r="G209" s="461"/>
      <c r="H209" s="461"/>
      <c r="I209" s="461"/>
      <c r="J209" s="259"/>
      <c r="K209" s="255"/>
      <c r="L209" s="256"/>
      <c r="M209" s="257"/>
      <c r="N209" s="255"/>
      <c r="O209" s="255"/>
      <c r="P209" s="255"/>
      <c r="Q209" s="255"/>
      <c r="R209" s="255"/>
      <c r="S209" s="255"/>
      <c r="T209" s="255"/>
      <c r="U209" s="255"/>
      <c r="V209" s="255"/>
      <c r="W209" s="255"/>
      <c r="X209" s="255"/>
      <c r="Y209" s="255"/>
      <c r="Z209" s="255"/>
      <c r="AA209" s="255"/>
      <c r="AB209" s="255"/>
      <c r="AC209" s="255"/>
      <c r="AD209" s="255"/>
      <c r="AE209" s="255"/>
      <c r="AF209" s="255"/>
      <c r="AG209" s="255"/>
      <c r="AH209" s="255"/>
      <c r="AI209" s="255"/>
      <c r="AJ209" s="255"/>
      <c r="AK209" s="255"/>
      <c r="AL209" s="255"/>
      <c r="AM209" s="524"/>
      <c r="AN209" s="255"/>
      <c r="AO209" s="255"/>
      <c r="AP209" s="255"/>
      <c r="AQ209" s="255"/>
      <c r="AR209" s="255"/>
      <c r="AS209" s="255"/>
      <c r="AT209" s="255"/>
      <c r="AU209" s="255"/>
      <c r="AV209" s="255"/>
      <c r="AW209" s="255"/>
      <c r="AX209" s="255"/>
      <c r="AY209" s="255"/>
      <c r="AZ209" s="255"/>
      <c r="BA209" s="255"/>
      <c r="BB209" s="255"/>
      <c r="BC209" s="255"/>
      <c r="BD209" s="255"/>
      <c r="BE209" s="255"/>
      <c r="BF209" s="255"/>
      <c r="BG209" s="255"/>
      <c r="BH209" s="255"/>
      <c r="BI209" s="255"/>
      <c r="BJ209" s="245"/>
      <c r="BK209" s="256"/>
      <c r="BL209" s="256"/>
      <c r="BM209" s="257"/>
      <c r="BN209" s="255"/>
      <c r="BO209" s="255"/>
      <c r="BP209" s="255"/>
      <c r="BQ209" s="255"/>
      <c r="BR209" s="255"/>
      <c r="BS209" s="255"/>
      <c r="BT209" s="255"/>
      <c r="BU209" s="255"/>
      <c r="BV209" s="255"/>
      <c r="BW209" s="255"/>
      <c r="BX209" s="255"/>
      <c r="BY209" s="255"/>
      <c r="BZ209" s="255"/>
      <c r="CA209" s="255"/>
      <c r="CB209" s="255"/>
      <c r="CC209" s="255"/>
      <c r="CD209" s="255"/>
      <c r="CE209" s="255"/>
      <c r="CF209" s="255"/>
      <c r="CG209" s="255"/>
      <c r="CH209" s="255"/>
      <c r="CI209" s="255"/>
      <c r="CJ209" s="255"/>
      <c r="CK209" s="255"/>
      <c r="CL209" s="255"/>
      <c r="CM209" s="255"/>
      <c r="CN209" s="255"/>
      <c r="CO209" s="255"/>
      <c r="CP209" s="255"/>
      <c r="CQ209" s="255"/>
      <c r="CR209" s="255"/>
      <c r="CS209" s="255"/>
      <c r="CT209" s="255"/>
      <c r="CU209" s="255"/>
      <c r="CV209" s="255"/>
      <c r="CW209" s="255"/>
      <c r="CX209" s="255"/>
      <c r="CY209" s="255"/>
      <c r="CZ209" s="255"/>
      <c r="DA209" s="255"/>
      <c r="DB209" s="255"/>
      <c r="DC209" s="255"/>
      <c r="DD209" s="255"/>
      <c r="DE209" s="255"/>
      <c r="DF209" s="255"/>
      <c r="DG209" s="255"/>
      <c r="DH209" s="255"/>
      <c r="DI209" s="524"/>
    </row>
    <row r="210" spans="1:113" ht="16.05" hidden="1" customHeight="1" collapsed="1" x14ac:dyDescent="0.3">
      <c r="A210" s="455" t="str">
        <f t="shared" ref="A210" si="872">IF(COUNTIF(A211:A230,"Imprimir")&gt;0,"Imprimir","")</f>
        <v/>
      </c>
      <c r="B210" s="455"/>
      <c r="C210" s="459"/>
      <c r="D210" s="459"/>
      <c r="E210" s="460" t="s">
        <v>843</v>
      </c>
      <c r="F210" s="460"/>
      <c r="G210" s="460"/>
      <c r="H210" s="465"/>
      <c r="I210" s="465">
        <f>SUBTOTAL(9,I211:I231)</f>
        <v>0</v>
      </c>
      <c r="J210" s="259"/>
      <c r="K210" s="465"/>
      <c r="L210" s="465">
        <f>SUBTOTAL(9,L211:L231)</f>
        <v>0</v>
      </c>
      <c r="M210" s="257"/>
      <c r="N210" s="465">
        <f>SUMPRODUCT(N211:N231,$H211:$H231)</f>
        <v>0</v>
      </c>
      <c r="O210" s="465">
        <f>SUMPRODUCT(O211:O231,$H211:$H231)</f>
        <v>0</v>
      </c>
      <c r="P210" s="465">
        <f t="shared" ref="P210" si="873">SUMPRODUCT(P211:P231,$H211:$H231)</f>
        <v>0</v>
      </c>
      <c r="Q210" s="465">
        <f t="shared" ref="Q210" si="874">SUMPRODUCT(Q211:Q231,$H211:$H231)</f>
        <v>0</v>
      </c>
      <c r="R210" s="465">
        <f t="shared" ref="R210" si="875">SUMPRODUCT(R211:R231,$H211:$H231)</f>
        <v>0</v>
      </c>
      <c r="S210" s="465">
        <f t="shared" ref="S210" si="876">SUMPRODUCT(S211:S231,$H211:$H231)</f>
        <v>0</v>
      </c>
      <c r="T210" s="465">
        <f t="shared" ref="T210" si="877">SUMPRODUCT(T211:T231,$H211:$H231)</f>
        <v>0</v>
      </c>
      <c r="U210" s="465">
        <f t="shared" ref="U210" si="878">SUMPRODUCT(U211:U231,$H211:$H231)</f>
        <v>0</v>
      </c>
      <c r="V210" s="465">
        <f t="shared" ref="V210" si="879">SUMPRODUCT(V211:V231,$H211:$H231)</f>
        <v>0</v>
      </c>
      <c r="W210" s="465">
        <f t="shared" ref="W210" si="880">SUMPRODUCT(W211:W231,$H211:$H231)</f>
        <v>0</v>
      </c>
      <c r="X210" s="465">
        <f t="shared" ref="X210" si="881">SUMPRODUCT(X211:X231,$H211:$H231)</f>
        <v>0</v>
      </c>
      <c r="Y210" s="465">
        <f t="shared" ref="Y210" si="882">SUMPRODUCT(Y211:Y231,$H211:$H231)</f>
        <v>0</v>
      </c>
      <c r="Z210" s="465">
        <f t="shared" ref="Z210" si="883">SUMPRODUCT(Z211:Z231,$H211:$H231)</f>
        <v>0</v>
      </c>
      <c r="AA210" s="465">
        <f t="shared" ref="AA210" si="884">SUMPRODUCT(AA211:AA231,$H211:$H231)</f>
        <v>0</v>
      </c>
      <c r="AB210" s="465">
        <f t="shared" ref="AB210" si="885">SUMPRODUCT(AB211:AB231,$H211:$H231)</f>
        <v>0</v>
      </c>
      <c r="AC210" s="465">
        <f t="shared" ref="AC210" si="886">SUMPRODUCT(AC211:AC231,$H211:$H231)</f>
        <v>0</v>
      </c>
      <c r="AD210" s="465">
        <f t="shared" ref="AD210" si="887">SUMPRODUCT(AD211:AD231,$H211:$H231)</f>
        <v>0</v>
      </c>
      <c r="AE210" s="465">
        <f t="shared" ref="AE210" si="888">SUMPRODUCT(AE211:AE231,$H211:$H231)</f>
        <v>0</v>
      </c>
      <c r="AF210" s="465">
        <f t="shared" ref="AF210" si="889">SUMPRODUCT(AF211:AF231,$H211:$H231)</f>
        <v>0</v>
      </c>
      <c r="AG210" s="465">
        <f t="shared" ref="AG210" si="890">SUMPRODUCT(AG211:AG231,$H211:$H231)</f>
        <v>0</v>
      </c>
      <c r="AH210" s="465">
        <f t="shared" ref="AH210" si="891">SUMPRODUCT(AH211:AH231,$H211:$H231)</f>
        <v>0</v>
      </c>
      <c r="AI210" s="465">
        <f t="shared" ref="AI210" si="892">SUMPRODUCT(AI211:AI231,$H211:$H231)</f>
        <v>0</v>
      </c>
      <c r="AJ210" s="465">
        <f t="shared" ref="AJ210:BI210" si="893">SUMPRODUCT(AJ211:AJ231,$H211:$H231)</f>
        <v>0</v>
      </c>
      <c r="AK210" s="465">
        <f t="shared" si="893"/>
        <v>0</v>
      </c>
      <c r="AL210" s="465">
        <f t="shared" si="893"/>
        <v>0</v>
      </c>
      <c r="AM210" s="465">
        <f t="shared" si="893"/>
        <v>0</v>
      </c>
      <c r="AN210" s="465">
        <f t="shared" si="893"/>
        <v>0</v>
      </c>
      <c r="AO210" s="465">
        <f t="shared" si="893"/>
        <v>0</v>
      </c>
      <c r="AP210" s="465">
        <f t="shared" si="893"/>
        <v>0</v>
      </c>
      <c r="AQ210" s="465">
        <f t="shared" si="893"/>
        <v>0</v>
      </c>
      <c r="AR210" s="465">
        <f t="shared" si="893"/>
        <v>0</v>
      </c>
      <c r="AS210" s="465">
        <f t="shared" si="893"/>
        <v>0</v>
      </c>
      <c r="AT210" s="465">
        <f t="shared" si="893"/>
        <v>0</v>
      </c>
      <c r="AU210" s="465">
        <f t="shared" si="893"/>
        <v>0</v>
      </c>
      <c r="AV210" s="465">
        <f t="shared" si="893"/>
        <v>0</v>
      </c>
      <c r="AW210" s="465">
        <f t="shared" si="893"/>
        <v>0</v>
      </c>
      <c r="AX210" s="465">
        <f t="shared" si="893"/>
        <v>0</v>
      </c>
      <c r="AY210" s="465">
        <f t="shared" si="893"/>
        <v>0</v>
      </c>
      <c r="AZ210" s="465">
        <f t="shared" si="893"/>
        <v>0</v>
      </c>
      <c r="BA210" s="465">
        <f t="shared" si="893"/>
        <v>0</v>
      </c>
      <c r="BB210" s="465">
        <f t="shared" si="893"/>
        <v>0</v>
      </c>
      <c r="BC210" s="465">
        <f t="shared" si="893"/>
        <v>0</v>
      </c>
      <c r="BD210" s="465">
        <f t="shared" si="893"/>
        <v>0</v>
      </c>
      <c r="BE210" s="465">
        <f t="shared" si="893"/>
        <v>0</v>
      </c>
      <c r="BF210" s="465">
        <f t="shared" si="893"/>
        <v>0</v>
      </c>
      <c r="BG210" s="465">
        <f t="shared" si="893"/>
        <v>0</v>
      </c>
      <c r="BH210" s="465">
        <f t="shared" si="893"/>
        <v>0</v>
      </c>
      <c r="BI210" s="543">
        <f t="shared" si="893"/>
        <v>0</v>
      </c>
      <c r="BJ210" s="546"/>
      <c r="BK210" s="475">
        <f t="shared" ref="BK210" si="894">IFERROR(BL210/I210,0)</f>
        <v>0</v>
      </c>
      <c r="BL210" s="465">
        <f>SUBTOTAL(9,BL211:BL231)</f>
        <v>0</v>
      </c>
      <c r="BM210" s="257"/>
      <c r="BN210" s="465">
        <f>SUMPRODUCT(BN211:BN231,$H211:$H231)</f>
        <v>0</v>
      </c>
      <c r="BO210" s="465">
        <f>SUMPRODUCT(BO211:BO231,$H211:$H231)</f>
        <v>0</v>
      </c>
      <c r="BP210" s="465">
        <f t="shared" ref="BP210" si="895">SUMPRODUCT(BP211:BP231,$H211:$H231)</f>
        <v>0</v>
      </c>
      <c r="BQ210" s="465">
        <f t="shared" ref="BQ210" si="896">SUMPRODUCT(BQ211:BQ231,$H211:$H231)</f>
        <v>0</v>
      </c>
      <c r="BR210" s="465">
        <f t="shared" ref="BR210" si="897">SUMPRODUCT(BR211:BR231,$H211:$H231)</f>
        <v>0</v>
      </c>
      <c r="BS210" s="465">
        <f t="shared" ref="BS210" si="898">SUMPRODUCT(BS211:BS231,$H211:$H231)</f>
        <v>0</v>
      </c>
      <c r="BT210" s="465">
        <f t="shared" ref="BT210" si="899">SUMPRODUCT(BT211:BT231,$H211:$H231)</f>
        <v>0</v>
      </c>
      <c r="BU210" s="465">
        <f t="shared" ref="BU210" si="900">SUMPRODUCT(BU211:BU231,$H211:$H231)</f>
        <v>0</v>
      </c>
      <c r="BV210" s="465">
        <f t="shared" ref="BV210" si="901">SUMPRODUCT(BV211:BV231,$H211:$H231)</f>
        <v>0</v>
      </c>
      <c r="BW210" s="465">
        <f t="shared" ref="BW210" si="902">SUMPRODUCT(BW211:BW231,$H211:$H231)</f>
        <v>0</v>
      </c>
      <c r="BX210" s="465">
        <f t="shared" ref="BX210" si="903">SUMPRODUCT(BX211:BX231,$H211:$H231)</f>
        <v>0</v>
      </c>
      <c r="BY210" s="465">
        <f t="shared" ref="BY210" si="904">SUMPRODUCT(BY211:BY231,$H211:$H231)</f>
        <v>0</v>
      </c>
      <c r="BZ210" s="465">
        <f t="shared" ref="BZ210" si="905">SUMPRODUCT(BZ211:BZ231,$H211:$H231)</f>
        <v>0</v>
      </c>
      <c r="CA210" s="465">
        <f t="shared" ref="CA210" si="906">SUMPRODUCT(CA211:CA231,$H211:$H231)</f>
        <v>0</v>
      </c>
      <c r="CB210" s="465">
        <f t="shared" ref="CB210" si="907">SUMPRODUCT(CB211:CB231,$H211:$H231)</f>
        <v>0</v>
      </c>
      <c r="CC210" s="465">
        <f t="shared" ref="CC210" si="908">SUMPRODUCT(CC211:CC231,$H211:$H231)</f>
        <v>0</v>
      </c>
      <c r="CD210" s="465">
        <f t="shared" ref="CD210" si="909">SUMPRODUCT(CD211:CD231,$H211:$H231)</f>
        <v>0</v>
      </c>
      <c r="CE210" s="465">
        <f t="shared" ref="CE210" si="910">SUMPRODUCT(CE211:CE231,$H211:$H231)</f>
        <v>0</v>
      </c>
      <c r="CF210" s="465">
        <f t="shared" ref="CF210" si="911">SUMPRODUCT(CF211:CF231,$H211:$H231)</f>
        <v>0</v>
      </c>
      <c r="CG210" s="465">
        <f t="shared" ref="CG210" si="912">SUMPRODUCT(CG211:CG231,$H211:$H231)</f>
        <v>0</v>
      </c>
      <c r="CH210" s="465">
        <f t="shared" ref="CH210" si="913">SUMPRODUCT(CH211:CH231,$H211:$H231)</f>
        <v>0</v>
      </c>
      <c r="CI210" s="465">
        <f t="shared" ref="CI210" si="914">SUMPRODUCT(CI211:CI231,$H211:$H231)</f>
        <v>0</v>
      </c>
      <c r="CJ210" s="465">
        <f t="shared" ref="CJ210" si="915">SUMPRODUCT(CJ211:CJ231,$H211:$H231)</f>
        <v>0</v>
      </c>
      <c r="CK210" s="465">
        <f t="shared" ref="CK210" si="916">SUMPRODUCT(CK211:CK231,$H211:$H231)</f>
        <v>0</v>
      </c>
      <c r="CL210" s="465">
        <f t="shared" ref="CL210" si="917">SUMPRODUCT(CL211:CL231,$H211:$H231)</f>
        <v>0</v>
      </c>
      <c r="CM210" s="465">
        <f t="shared" ref="CM210" si="918">SUMPRODUCT(CM211:CM231,$H211:$H231)</f>
        <v>0</v>
      </c>
      <c r="CN210" s="465">
        <f t="shared" ref="CN210" si="919">SUMPRODUCT(CN211:CN231,$H211:$H231)</f>
        <v>0</v>
      </c>
      <c r="CO210" s="465">
        <f t="shared" ref="CO210" si="920">SUMPRODUCT(CO211:CO231,$H211:$H231)</f>
        <v>0</v>
      </c>
      <c r="CP210" s="465">
        <f t="shared" ref="CP210" si="921">SUMPRODUCT(CP211:CP231,$H211:$H231)</f>
        <v>0</v>
      </c>
      <c r="CQ210" s="465">
        <f t="shared" ref="CQ210" si="922">SUMPRODUCT(CQ211:CQ231,$H211:$H231)</f>
        <v>0</v>
      </c>
      <c r="CR210" s="465">
        <f t="shared" ref="CR210" si="923">SUMPRODUCT(CR211:CR231,$H211:$H231)</f>
        <v>0</v>
      </c>
      <c r="CS210" s="465">
        <f t="shared" ref="CS210" si="924">SUMPRODUCT(CS211:CS231,$H211:$H231)</f>
        <v>0</v>
      </c>
      <c r="CT210" s="465">
        <f t="shared" ref="CT210" si="925">SUMPRODUCT(CT211:CT231,$H211:$H231)</f>
        <v>0</v>
      </c>
      <c r="CU210" s="465">
        <f t="shared" ref="CU210" si="926">SUMPRODUCT(CU211:CU231,$H211:$H231)</f>
        <v>0</v>
      </c>
      <c r="CV210" s="465">
        <f t="shared" ref="CV210" si="927">SUMPRODUCT(CV211:CV231,$H211:$H231)</f>
        <v>0</v>
      </c>
      <c r="CW210" s="465">
        <f t="shared" ref="CW210" si="928">SUMPRODUCT(CW211:CW231,$H211:$H231)</f>
        <v>0</v>
      </c>
      <c r="CX210" s="465">
        <f t="shared" ref="CX210" si="929">SUMPRODUCT(CX211:CX231,$H211:$H231)</f>
        <v>0</v>
      </c>
      <c r="CY210" s="465">
        <f t="shared" ref="CY210" si="930">SUMPRODUCT(CY211:CY231,$H211:$H231)</f>
        <v>0</v>
      </c>
      <c r="CZ210" s="465">
        <f t="shared" ref="CZ210" si="931">SUMPRODUCT(CZ211:CZ231,$H211:$H231)</f>
        <v>0</v>
      </c>
      <c r="DA210" s="465">
        <f t="shared" ref="DA210" si="932">SUMPRODUCT(DA211:DA231,$H211:$H231)</f>
        <v>0</v>
      </c>
      <c r="DB210" s="465">
        <f t="shared" ref="DB210" si="933">SUMPRODUCT(DB211:DB231,$H211:$H231)</f>
        <v>0</v>
      </c>
      <c r="DC210" s="465">
        <f t="shared" ref="DC210" si="934">SUMPRODUCT(DC211:DC231,$H211:$H231)</f>
        <v>0</v>
      </c>
      <c r="DD210" s="465">
        <f t="shared" ref="DD210" si="935">SUMPRODUCT(DD211:DD231,$H211:$H231)</f>
        <v>0</v>
      </c>
      <c r="DE210" s="465">
        <f t="shared" ref="DE210" si="936">SUMPRODUCT(DE211:DE231,$H211:$H231)</f>
        <v>0</v>
      </c>
      <c r="DF210" s="465">
        <f t="shared" ref="DF210" si="937">SUMPRODUCT(DF211:DF231,$H211:$H231)</f>
        <v>0</v>
      </c>
      <c r="DG210" s="465">
        <f t="shared" ref="DG210" si="938">SUMPRODUCT(DG211:DG231,$H211:$H231)</f>
        <v>0</v>
      </c>
      <c r="DH210" s="465">
        <f t="shared" ref="DH210" si="939">SUMPRODUCT(DH211:DH231,$H211:$H231)</f>
        <v>0</v>
      </c>
      <c r="DI210" s="465">
        <f t="shared" ref="DI210" si="940">SUMPRODUCT(DI211:DI231,$H211:$H231)</f>
        <v>0</v>
      </c>
    </row>
    <row r="211" spans="1:113" ht="16.05" hidden="1" customHeight="1" outlineLevel="1" x14ac:dyDescent="0.3">
      <c r="A211" s="455" t="str">
        <f t="shared" ref="A211:A252" si="941">IF(E211="","","Imprimir")</f>
        <v/>
      </c>
      <c r="B211" s="455"/>
      <c r="C211" s="481"/>
      <c r="D211" s="463" t="s">
        <v>844</v>
      </c>
      <c r="E211" s="482"/>
      <c r="F211" s="483"/>
      <c r="G211" s="484"/>
      <c r="H211" s="485"/>
      <c r="I211" s="466">
        <f t="shared" ref="I211:I230" si="942">G211*H211</f>
        <v>0</v>
      </c>
      <c r="J211" s="259"/>
      <c r="K211" s="478">
        <f>SUM(N211:BI211)</f>
        <v>0</v>
      </c>
      <c r="L211" s="466">
        <f>K211*$H211</f>
        <v>0</v>
      </c>
      <c r="M211" s="257"/>
      <c r="N211" s="478"/>
      <c r="O211" s="478"/>
      <c r="P211" s="478"/>
      <c r="Q211" s="478"/>
      <c r="R211" s="478"/>
      <c r="S211" s="478"/>
      <c r="T211" s="478"/>
      <c r="U211" s="478"/>
      <c r="V211" s="478"/>
      <c r="W211" s="478"/>
      <c r="X211" s="478"/>
      <c r="Y211" s="478"/>
      <c r="Z211" s="478"/>
      <c r="AA211" s="478"/>
      <c r="AB211" s="478"/>
      <c r="AC211" s="478"/>
      <c r="AD211" s="478"/>
      <c r="AE211" s="478"/>
      <c r="AF211" s="478"/>
      <c r="AG211" s="478"/>
      <c r="AH211" s="478"/>
      <c r="AI211" s="478"/>
      <c r="AJ211" s="478"/>
      <c r="AK211" s="478"/>
      <c r="AL211" s="478"/>
      <c r="AM211" s="478"/>
      <c r="AN211" s="478"/>
      <c r="AO211" s="478"/>
      <c r="AP211" s="478"/>
      <c r="AQ211" s="478"/>
      <c r="AR211" s="478"/>
      <c r="AS211" s="478"/>
      <c r="AT211" s="478"/>
      <c r="AU211" s="478"/>
      <c r="AV211" s="478"/>
      <c r="AW211" s="478"/>
      <c r="AX211" s="478"/>
      <c r="AY211" s="478"/>
      <c r="AZ211" s="478"/>
      <c r="BA211" s="478"/>
      <c r="BB211" s="478"/>
      <c r="BC211" s="478"/>
      <c r="BD211" s="478"/>
      <c r="BE211" s="478"/>
      <c r="BF211" s="478"/>
      <c r="BG211" s="478"/>
      <c r="BH211" s="478"/>
      <c r="BI211" s="478"/>
      <c r="BJ211" s="245"/>
      <c r="BK211" s="477">
        <f>IFERROR(BL211/I211,0)</f>
        <v>0</v>
      </c>
      <c r="BL211" s="466">
        <f>SUM(BN211:DJ211)*$H211</f>
        <v>0</v>
      </c>
      <c r="BM211" s="257"/>
      <c r="BN211" s="478"/>
      <c r="BO211" s="478"/>
      <c r="BP211" s="478"/>
      <c r="BQ211" s="478"/>
      <c r="BR211" s="478"/>
      <c r="BS211" s="478"/>
      <c r="BT211" s="478"/>
      <c r="BU211" s="478"/>
      <c r="BV211" s="478"/>
      <c r="BW211" s="478"/>
      <c r="BX211" s="478"/>
      <c r="BY211" s="478"/>
      <c r="BZ211" s="478"/>
      <c r="CA211" s="478"/>
      <c r="CB211" s="478"/>
      <c r="CC211" s="478"/>
      <c r="CD211" s="478"/>
      <c r="CE211" s="478"/>
      <c r="CF211" s="478"/>
      <c r="CG211" s="478"/>
      <c r="CH211" s="478"/>
      <c r="CI211" s="478"/>
      <c r="CJ211" s="478"/>
      <c r="CK211" s="478"/>
      <c r="CL211" s="478"/>
      <c r="CM211" s="478"/>
      <c r="CN211" s="478"/>
      <c r="CO211" s="478"/>
      <c r="CP211" s="478"/>
      <c r="CQ211" s="478"/>
      <c r="CR211" s="478"/>
      <c r="CS211" s="478"/>
      <c r="CT211" s="478"/>
      <c r="CU211" s="478"/>
      <c r="CV211" s="478"/>
      <c r="CW211" s="478"/>
      <c r="CX211" s="478"/>
      <c r="CY211" s="478"/>
      <c r="CZ211" s="478"/>
      <c r="DA211" s="478"/>
      <c r="DB211" s="478"/>
      <c r="DC211" s="478"/>
      <c r="DD211" s="478"/>
      <c r="DE211" s="478"/>
      <c r="DF211" s="478"/>
      <c r="DG211" s="478"/>
      <c r="DH211" s="478"/>
      <c r="DI211" s="478"/>
    </row>
    <row r="212" spans="1:113" ht="16.05" hidden="1" customHeight="1" outlineLevel="1" x14ac:dyDescent="0.3">
      <c r="A212" s="455" t="str">
        <f t="shared" si="941"/>
        <v/>
      </c>
      <c r="B212" s="455"/>
      <c r="C212" s="481"/>
      <c r="D212" s="463" t="s">
        <v>845</v>
      </c>
      <c r="E212" s="482"/>
      <c r="F212" s="483"/>
      <c r="G212" s="484"/>
      <c r="H212" s="485"/>
      <c r="I212" s="466">
        <f t="shared" si="942"/>
        <v>0</v>
      </c>
      <c r="J212" s="259"/>
      <c r="K212" s="478">
        <f t="shared" ref="K212:K230" si="943">SUM(N212:BI212)</f>
        <v>0</v>
      </c>
      <c r="L212" s="466">
        <f t="shared" ref="L212:L230" si="944">K212*$H212</f>
        <v>0</v>
      </c>
      <c r="M212" s="257"/>
      <c r="N212" s="478"/>
      <c r="O212" s="478"/>
      <c r="P212" s="478"/>
      <c r="Q212" s="478"/>
      <c r="R212" s="478"/>
      <c r="S212" s="478"/>
      <c r="T212" s="478"/>
      <c r="U212" s="478"/>
      <c r="V212" s="478"/>
      <c r="W212" s="478"/>
      <c r="X212" s="478"/>
      <c r="Y212" s="478"/>
      <c r="Z212" s="478"/>
      <c r="AA212" s="478"/>
      <c r="AB212" s="478"/>
      <c r="AC212" s="478"/>
      <c r="AD212" s="478"/>
      <c r="AE212" s="478"/>
      <c r="AF212" s="478"/>
      <c r="AG212" s="478"/>
      <c r="AH212" s="478"/>
      <c r="AI212" s="478"/>
      <c r="AJ212" s="478"/>
      <c r="AK212" s="478"/>
      <c r="AL212" s="478"/>
      <c r="AM212" s="478"/>
      <c r="AN212" s="478"/>
      <c r="AO212" s="478"/>
      <c r="AP212" s="478"/>
      <c r="AQ212" s="478"/>
      <c r="AR212" s="478"/>
      <c r="AS212" s="478"/>
      <c r="AT212" s="478"/>
      <c r="AU212" s="478"/>
      <c r="AV212" s="478"/>
      <c r="AW212" s="478"/>
      <c r="AX212" s="478"/>
      <c r="AY212" s="478"/>
      <c r="AZ212" s="478"/>
      <c r="BA212" s="478"/>
      <c r="BB212" s="478"/>
      <c r="BC212" s="478"/>
      <c r="BD212" s="478"/>
      <c r="BE212" s="478"/>
      <c r="BF212" s="478"/>
      <c r="BG212" s="478"/>
      <c r="BH212" s="478"/>
      <c r="BI212" s="478"/>
      <c r="BJ212" s="245"/>
      <c r="BK212" s="477">
        <f t="shared" ref="BK212:BK230" si="945">IFERROR(BL212/I212,0)</f>
        <v>0</v>
      </c>
      <c r="BL212" s="466">
        <f t="shared" ref="BL212:BL230" si="946">SUM(BN212:DJ212)*$H212</f>
        <v>0</v>
      </c>
      <c r="BM212" s="257"/>
      <c r="BN212" s="478"/>
      <c r="BO212" s="478"/>
      <c r="BP212" s="478"/>
      <c r="BQ212" s="478"/>
      <c r="BR212" s="478"/>
      <c r="BS212" s="478"/>
      <c r="BT212" s="478"/>
      <c r="BU212" s="478"/>
      <c r="BV212" s="478"/>
      <c r="BW212" s="478"/>
      <c r="BX212" s="478"/>
      <c r="BY212" s="478"/>
      <c r="BZ212" s="478"/>
      <c r="CA212" s="478"/>
      <c r="CB212" s="478"/>
      <c r="CC212" s="478"/>
      <c r="CD212" s="478"/>
      <c r="CE212" s="478"/>
      <c r="CF212" s="478"/>
      <c r="CG212" s="478"/>
      <c r="CH212" s="478"/>
      <c r="CI212" s="478"/>
      <c r="CJ212" s="478"/>
      <c r="CK212" s="478"/>
      <c r="CL212" s="478"/>
      <c r="CM212" s="478"/>
      <c r="CN212" s="478"/>
      <c r="CO212" s="478"/>
      <c r="CP212" s="478"/>
      <c r="CQ212" s="478"/>
      <c r="CR212" s="478"/>
      <c r="CS212" s="478"/>
      <c r="CT212" s="478"/>
      <c r="CU212" s="478"/>
      <c r="CV212" s="478"/>
      <c r="CW212" s="478"/>
      <c r="CX212" s="478"/>
      <c r="CY212" s="478"/>
      <c r="CZ212" s="478"/>
      <c r="DA212" s="478"/>
      <c r="DB212" s="478"/>
      <c r="DC212" s="478"/>
      <c r="DD212" s="478"/>
      <c r="DE212" s="478"/>
      <c r="DF212" s="478"/>
      <c r="DG212" s="478"/>
      <c r="DH212" s="478"/>
      <c r="DI212" s="478"/>
    </row>
    <row r="213" spans="1:113" ht="16.05" hidden="1" customHeight="1" outlineLevel="1" x14ac:dyDescent="0.3">
      <c r="A213" s="455" t="str">
        <f t="shared" si="941"/>
        <v/>
      </c>
      <c r="B213" s="455"/>
      <c r="C213" s="481"/>
      <c r="D213" s="463" t="s">
        <v>846</v>
      </c>
      <c r="E213" s="482"/>
      <c r="F213" s="483"/>
      <c r="G213" s="484"/>
      <c r="H213" s="485"/>
      <c r="I213" s="466">
        <f t="shared" si="942"/>
        <v>0</v>
      </c>
      <c r="J213" s="259"/>
      <c r="K213" s="478">
        <f t="shared" si="943"/>
        <v>0</v>
      </c>
      <c r="L213" s="466">
        <f t="shared" si="944"/>
        <v>0</v>
      </c>
      <c r="M213" s="257"/>
      <c r="N213" s="478"/>
      <c r="O213" s="478"/>
      <c r="P213" s="478"/>
      <c r="Q213" s="478"/>
      <c r="R213" s="478"/>
      <c r="S213" s="478"/>
      <c r="T213" s="478"/>
      <c r="U213" s="478"/>
      <c r="V213" s="478"/>
      <c r="W213" s="478"/>
      <c r="X213" s="478"/>
      <c r="Y213" s="478"/>
      <c r="Z213" s="478"/>
      <c r="AA213" s="478"/>
      <c r="AB213" s="478"/>
      <c r="AC213" s="478"/>
      <c r="AD213" s="478"/>
      <c r="AE213" s="478"/>
      <c r="AF213" s="478"/>
      <c r="AG213" s="478"/>
      <c r="AH213" s="478"/>
      <c r="AI213" s="478"/>
      <c r="AJ213" s="478"/>
      <c r="AK213" s="478"/>
      <c r="AL213" s="478"/>
      <c r="AM213" s="478"/>
      <c r="AN213" s="478"/>
      <c r="AO213" s="478"/>
      <c r="AP213" s="478"/>
      <c r="AQ213" s="478"/>
      <c r="AR213" s="478"/>
      <c r="AS213" s="478"/>
      <c r="AT213" s="478"/>
      <c r="AU213" s="478"/>
      <c r="AV213" s="478"/>
      <c r="AW213" s="478"/>
      <c r="AX213" s="478"/>
      <c r="AY213" s="478"/>
      <c r="AZ213" s="478"/>
      <c r="BA213" s="478"/>
      <c r="BB213" s="478"/>
      <c r="BC213" s="478"/>
      <c r="BD213" s="478"/>
      <c r="BE213" s="478"/>
      <c r="BF213" s="478"/>
      <c r="BG213" s="478"/>
      <c r="BH213" s="478"/>
      <c r="BI213" s="478"/>
      <c r="BJ213" s="245"/>
      <c r="BK213" s="477">
        <f t="shared" si="945"/>
        <v>0</v>
      </c>
      <c r="BL213" s="466">
        <f t="shared" si="946"/>
        <v>0</v>
      </c>
      <c r="BM213" s="257"/>
      <c r="BN213" s="478"/>
      <c r="BO213" s="478"/>
      <c r="BP213" s="478"/>
      <c r="BQ213" s="478"/>
      <c r="BR213" s="478"/>
      <c r="BS213" s="478"/>
      <c r="BT213" s="478"/>
      <c r="BU213" s="478"/>
      <c r="BV213" s="478"/>
      <c r="BW213" s="478"/>
      <c r="BX213" s="478"/>
      <c r="BY213" s="478"/>
      <c r="BZ213" s="478"/>
      <c r="CA213" s="478"/>
      <c r="CB213" s="478"/>
      <c r="CC213" s="478"/>
      <c r="CD213" s="478"/>
      <c r="CE213" s="478"/>
      <c r="CF213" s="478"/>
      <c r="CG213" s="478"/>
      <c r="CH213" s="478"/>
      <c r="CI213" s="478"/>
      <c r="CJ213" s="478"/>
      <c r="CK213" s="478"/>
      <c r="CL213" s="478"/>
      <c r="CM213" s="478"/>
      <c r="CN213" s="478"/>
      <c r="CO213" s="478"/>
      <c r="CP213" s="478"/>
      <c r="CQ213" s="478"/>
      <c r="CR213" s="478"/>
      <c r="CS213" s="478"/>
      <c r="CT213" s="478"/>
      <c r="CU213" s="478"/>
      <c r="CV213" s="478"/>
      <c r="CW213" s="478"/>
      <c r="CX213" s="478"/>
      <c r="CY213" s="478"/>
      <c r="CZ213" s="478"/>
      <c r="DA213" s="478"/>
      <c r="DB213" s="478"/>
      <c r="DC213" s="478"/>
      <c r="DD213" s="478"/>
      <c r="DE213" s="478"/>
      <c r="DF213" s="478"/>
      <c r="DG213" s="478"/>
      <c r="DH213" s="478"/>
      <c r="DI213" s="478"/>
    </row>
    <row r="214" spans="1:113" ht="16.05" hidden="1" customHeight="1" outlineLevel="1" x14ac:dyDescent="0.3">
      <c r="A214" s="455" t="str">
        <f t="shared" si="941"/>
        <v/>
      </c>
      <c r="B214" s="455"/>
      <c r="C214" s="481"/>
      <c r="D214" s="463" t="s">
        <v>847</v>
      </c>
      <c r="E214" s="482"/>
      <c r="F214" s="483"/>
      <c r="G214" s="484"/>
      <c r="H214" s="485"/>
      <c r="I214" s="466">
        <f t="shared" si="942"/>
        <v>0</v>
      </c>
      <c r="J214" s="259"/>
      <c r="K214" s="478">
        <f t="shared" si="943"/>
        <v>0</v>
      </c>
      <c r="L214" s="466">
        <f t="shared" si="944"/>
        <v>0</v>
      </c>
      <c r="M214" s="257"/>
      <c r="N214" s="478"/>
      <c r="O214" s="478"/>
      <c r="P214" s="478"/>
      <c r="Q214" s="478"/>
      <c r="R214" s="478"/>
      <c r="S214" s="478"/>
      <c r="T214" s="478"/>
      <c r="U214" s="478"/>
      <c r="V214" s="478"/>
      <c r="W214" s="478"/>
      <c r="X214" s="478"/>
      <c r="Y214" s="478"/>
      <c r="Z214" s="478"/>
      <c r="AA214" s="478"/>
      <c r="AB214" s="478"/>
      <c r="AC214" s="478"/>
      <c r="AD214" s="478"/>
      <c r="AE214" s="478"/>
      <c r="AF214" s="478"/>
      <c r="AG214" s="478"/>
      <c r="AH214" s="478"/>
      <c r="AI214" s="478"/>
      <c r="AJ214" s="478"/>
      <c r="AK214" s="478"/>
      <c r="AL214" s="478"/>
      <c r="AM214" s="478"/>
      <c r="AN214" s="478"/>
      <c r="AO214" s="478"/>
      <c r="AP214" s="478"/>
      <c r="AQ214" s="478"/>
      <c r="AR214" s="478"/>
      <c r="AS214" s="478"/>
      <c r="AT214" s="478"/>
      <c r="AU214" s="478"/>
      <c r="AV214" s="478"/>
      <c r="AW214" s="478"/>
      <c r="AX214" s="478"/>
      <c r="AY214" s="478"/>
      <c r="AZ214" s="478"/>
      <c r="BA214" s="478"/>
      <c r="BB214" s="478"/>
      <c r="BC214" s="478"/>
      <c r="BD214" s="478"/>
      <c r="BE214" s="478"/>
      <c r="BF214" s="478"/>
      <c r="BG214" s="478"/>
      <c r="BH214" s="478"/>
      <c r="BI214" s="478"/>
      <c r="BJ214" s="245"/>
      <c r="BK214" s="477">
        <f t="shared" si="945"/>
        <v>0</v>
      </c>
      <c r="BL214" s="466">
        <f t="shared" si="946"/>
        <v>0</v>
      </c>
      <c r="BM214" s="257"/>
      <c r="BN214" s="478"/>
      <c r="BO214" s="478"/>
      <c r="BP214" s="478"/>
      <c r="BQ214" s="478"/>
      <c r="BR214" s="478"/>
      <c r="BS214" s="478"/>
      <c r="BT214" s="478"/>
      <c r="BU214" s="478"/>
      <c r="BV214" s="478"/>
      <c r="BW214" s="478"/>
      <c r="BX214" s="478"/>
      <c r="BY214" s="478"/>
      <c r="BZ214" s="478"/>
      <c r="CA214" s="478"/>
      <c r="CB214" s="478"/>
      <c r="CC214" s="478"/>
      <c r="CD214" s="478"/>
      <c r="CE214" s="478"/>
      <c r="CF214" s="478"/>
      <c r="CG214" s="478"/>
      <c r="CH214" s="478"/>
      <c r="CI214" s="478"/>
      <c r="CJ214" s="478"/>
      <c r="CK214" s="478"/>
      <c r="CL214" s="478"/>
      <c r="CM214" s="478"/>
      <c r="CN214" s="478"/>
      <c r="CO214" s="478"/>
      <c r="CP214" s="478"/>
      <c r="CQ214" s="478"/>
      <c r="CR214" s="478"/>
      <c r="CS214" s="478"/>
      <c r="CT214" s="478"/>
      <c r="CU214" s="478"/>
      <c r="CV214" s="478"/>
      <c r="CW214" s="478"/>
      <c r="CX214" s="478"/>
      <c r="CY214" s="478"/>
      <c r="CZ214" s="478"/>
      <c r="DA214" s="478"/>
      <c r="DB214" s="478"/>
      <c r="DC214" s="478"/>
      <c r="DD214" s="478"/>
      <c r="DE214" s="478"/>
      <c r="DF214" s="478"/>
      <c r="DG214" s="478"/>
      <c r="DH214" s="478"/>
      <c r="DI214" s="478"/>
    </row>
    <row r="215" spans="1:113" ht="16.05" hidden="1" customHeight="1" outlineLevel="1" x14ac:dyDescent="0.3">
      <c r="A215" s="455" t="str">
        <f t="shared" si="941"/>
        <v/>
      </c>
      <c r="B215" s="455"/>
      <c r="C215" s="481"/>
      <c r="D215" s="463" t="s">
        <v>848</v>
      </c>
      <c r="E215" s="482"/>
      <c r="F215" s="483"/>
      <c r="G215" s="484"/>
      <c r="H215" s="485"/>
      <c r="I215" s="466">
        <f t="shared" si="942"/>
        <v>0</v>
      </c>
      <c r="J215" s="259"/>
      <c r="K215" s="478">
        <f t="shared" si="943"/>
        <v>0</v>
      </c>
      <c r="L215" s="466">
        <f t="shared" si="944"/>
        <v>0</v>
      </c>
      <c r="M215" s="257"/>
      <c r="N215" s="478"/>
      <c r="O215" s="478"/>
      <c r="P215" s="478"/>
      <c r="Q215" s="478"/>
      <c r="R215" s="478"/>
      <c r="S215" s="478"/>
      <c r="T215" s="478"/>
      <c r="U215" s="478"/>
      <c r="V215" s="478"/>
      <c r="W215" s="478"/>
      <c r="X215" s="478"/>
      <c r="Y215" s="478"/>
      <c r="Z215" s="478"/>
      <c r="AA215" s="478"/>
      <c r="AB215" s="478"/>
      <c r="AC215" s="478"/>
      <c r="AD215" s="478"/>
      <c r="AE215" s="478"/>
      <c r="AF215" s="478"/>
      <c r="AG215" s="478"/>
      <c r="AH215" s="478"/>
      <c r="AI215" s="478"/>
      <c r="AJ215" s="478"/>
      <c r="AK215" s="478"/>
      <c r="AL215" s="478"/>
      <c r="AM215" s="478"/>
      <c r="AN215" s="478"/>
      <c r="AO215" s="478"/>
      <c r="AP215" s="478"/>
      <c r="AQ215" s="478"/>
      <c r="AR215" s="478"/>
      <c r="AS215" s="478"/>
      <c r="AT215" s="478"/>
      <c r="AU215" s="478"/>
      <c r="AV215" s="478"/>
      <c r="AW215" s="478"/>
      <c r="AX215" s="478"/>
      <c r="AY215" s="478"/>
      <c r="AZ215" s="478"/>
      <c r="BA215" s="478"/>
      <c r="BB215" s="478"/>
      <c r="BC215" s="478"/>
      <c r="BD215" s="478"/>
      <c r="BE215" s="478"/>
      <c r="BF215" s="478"/>
      <c r="BG215" s="478"/>
      <c r="BH215" s="478"/>
      <c r="BI215" s="478"/>
      <c r="BJ215" s="245"/>
      <c r="BK215" s="477">
        <f t="shared" si="945"/>
        <v>0</v>
      </c>
      <c r="BL215" s="466">
        <f t="shared" si="946"/>
        <v>0</v>
      </c>
      <c r="BM215" s="257"/>
      <c r="BN215" s="478"/>
      <c r="BO215" s="478"/>
      <c r="BP215" s="478"/>
      <c r="BQ215" s="478"/>
      <c r="BR215" s="478"/>
      <c r="BS215" s="478"/>
      <c r="BT215" s="478"/>
      <c r="BU215" s="478"/>
      <c r="BV215" s="478"/>
      <c r="BW215" s="478"/>
      <c r="BX215" s="478"/>
      <c r="BY215" s="478"/>
      <c r="BZ215" s="478"/>
      <c r="CA215" s="478"/>
      <c r="CB215" s="478"/>
      <c r="CC215" s="478"/>
      <c r="CD215" s="478"/>
      <c r="CE215" s="478"/>
      <c r="CF215" s="478"/>
      <c r="CG215" s="478"/>
      <c r="CH215" s="478"/>
      <c r="CI215" s="478"/>
      <c r="CJ215" s="478"/>
      <c r="CK215" s="478"/>
      <c r="CL215" s="478"/>
      <c r="CM215" s="478"/>
      <c r="CN215" s="478"/>
      <c r="CO215" s="478"/>
      <c r="CP215" s="478"/>
      <c r="CQ215" s="478"/>
      <c r="CR215" s="478"/>
      <c r="CS215" s="478"/>
      <c r="CT215" s="478"/>
      <c r="CU215" s="478"/>
      <c r="CV215" s="478"/>
      <c r="CW215" s="478"/>
      <c r="CX215" s="478"/>
      <c r="CY215" s="478"/>
      <c r="CZ215" s="478"/>
      <c r="DA215" s="478"/>
      <c r="DB215" s="478"/>
      <c r="DC215" s="478"/>
      <c r="DD215" s="478"/>
      <c r="DE215" s="478"/>
      <c r="DF215" s="478"/>
      <c r="DG215" s="478"/>
      <c r="DH215" s="478"/>
      <c r="DI215" s="478"/>
    </row>
    <row r="216" spans="1:113" ht="16.05" hidden="1" customHeight="1" outlineLevel="1" x14ac:dyDescent="0.3">
      <c r="A216" s="455" t="str">
        <f t="shared" si="941"/>
        <v/>
      </c>
      <c r="B216" s="455"/>
      <c r="C216" s="481"/>
      <c r="D216" s="463" t="s">
        <v>849</v>
      </c>
      <c r="E216" s="482"/>
      <c r="F216" s="483"/>
      <c r="G216" s="484"/>
      <c r="H216" s="485"/>
      <c r="I216" s="466">
        <f t="shared" si="942"/>
        <v>0</v>
      </c>
      <c r="J216" s="259"/>
      <c r="K216" s="478">
        <f t="shared" si="943"/>
        <v>0</v>
      </c>
      <c r="L216" s="466">
        <f t="shared" si="944"/>
        <v>0</v>
      </c>
      <c r="M216" s="257"/>
      <c r="N216" s="478"/>
      <c r="O216" s="478"/>
      <c r="P216" s="478"/>
      <c r="Q216" s="478"/>
      <c r="R216" s="478"/>
      <c r="S216" s="478"/>
      <c r="T216" s="478"/>
      <c r="U216" s="478"/>
      <c r="V216" s="478"/>
      <c r="W216" s="478"/>
      <c r="X216" s="478"/>
      <c r="Y216" s="478"/>
      <c r="Z216" s="478"/>
      <c r="AA216" s="478"/>
      <c r="AB216" s="478"/>
      <c r="AC216" s="478"/>
      <c r="AD216" s="478"/>
      <c r="AE216" s="478"/>
      <c r="AF216" s="478"/>
      <c r="AG216" s="478"/>
      <c r="AH216" s="478"/>
      <c r="AI216" s="478"/>
      <c r="AJ216" s="478"/>
      <c r="AK216" s="478"/>
      <c r="AL216" s="478"/>
      <c r="AM216" s="478"/>
      <c r="AN216" s="478"/>
      <c r="AO216" s="478"/>
      <c r="AP216" s="478"/>
      <c r="AQ216" s="478"/>
      <c r="AR216" s="478"/>
      <c r="AS216" s="478"/>
      <c r="AT216" s="478"/>
      <c r="AU216" s="478"/>
      <c r="AV216" s="478"/>
      <c r="AW216" s="478"/>
      <c r="AX216" s="478"/>
      <c r="AY216" s="478"/>
      <c r="AZ216" s="478"/>
      <c r="BA216" s="478"/>
      <c r="BB216" s="478"/>
      <c r="BC216" s="478"/>
      <c r="BD216" s="478"/>
      <c r="BE216" s="478"/>
      <c r="BF216" s="478"/>
      <c r="BG216" s="478"/>
      <c r="BH216" s="478"/>
      <c r="BI216" s="478"/>
      <c r="BJ216" s="245"/>
      <c r="BK216" s="477">
        <f t="shared" si="945"/>
        <v>0</v>
      </c>
      <c r="BL216" s="466">
        <f t="shared" si="946"/>
        <v>0</v>
      </c>
      <c r="BM216" s="257"/>
      <c r="BN216" s="478"/>
      <c r="BO216" s="478"/>
      <c r="BP216" s="478"/>
      <c r="BQ216" s="478"/>
      <c r="BR216" s="478"/>
      <c r="BS216" s="478"/>
      <c r="BT216" s="478"/>
      <c r="BU216" s="478"/>
      <c r="BV216" s="478"/>
      <c r="BW216" s="478"/>
      <c r="BX216" s="478"/>
      <c r="BY216" s="478"/>
      <c r="BZ216" s="478"/>
      <c r="CA216" s="478"/>
      <c r="CB216" s="478"/>
      <c r="CC216" s="478"/>
      <c r="CD216" s="478"/>
      <c r="CE216" s="478"/>
      <c r="CF216" s="478"/>
      <c r="CG216" s="478"/>
      <c r="CH216" s="478"/>
      <c r="CI216" s="478"/>
      <c r="CJ216" s="478"/>
      <c r="CK216" s="478"/>
      <c r="CL216" s="478"/>
      <c r="CM216" s="478"/>
      <c r="CN216" s="478"/>
      <c r="CO216" s="478"/>
      <c r="CP216" s="478"/>
      <c r="CQ216" s="478"/>
      <c r="CR216" s="478"/>
      <c r="CS216" s="478"/>
      <c r="CT216" s="478"/>
      <c r="CU216" s="478"/>
      <c r="CV216" s="478"/>
      <c r="CW216" s="478"/>
      <c r="CX216" s="478"/>
      <c r="CY216" s="478"/>
      <c r="CZ216" s="478"/>
      <c r="DA216" s="478"/>
      <c r="DB216" s="478"/>
      <c r="DC216" s="478"/>
      <c r="DD216" s="478"/>
      <c r="DE216" s="478"/>
      <c r="DF216" s="478"/>
      <c r="DG216" s="478"/>
      <c r="DH216" s="478"/>
      <c r="DI216" s="478"/>
    </row>
    <row r="217" spans="1:113" ht="16.05" hidden="1" customHeight="1" outlineLevel="1" x14ac:dyDescent="0.3">
      <c r="A217" s="455" t="str">
        <f t="shared" si="941"/>
        <v/>
      </c>
      <c r="B217" s="455"/>
      <c r="C217" s="481"/>
      <c r="D217" s="463" t="s">
        <v>850</v>
      </c>
      <c r="E217" s="482"/>
      <c r="F217" s="483"/>
      <c r="G217" s="484"/>
      <c r="H217" s="485"/>
      <c r="I217" s="466">
        <f t="shared" si="942"/>
        <v>0</v>
      </c>
      <c r="J217" s="259"/>
      <c r="K217" s="478">
        <f t="shared" si="943"/>
        <v>0</v>
      </c>
      <c r="L217" s="466">
        <f t="shared" si="944"/>
        <v>0</v>
      </c>
      <c r="M217" s="257"/>
      <c r="N217" s="478"/>
      <c r="O217" s="478"/>
      <c r="P217" s="478"/>
      <c r="Q217" s="478"/>
      <c r="R217" s="478"/>
      <c r="S217" s="478"/>
      <c r="T217" s="478"/>
      <c r="U217" s="478"/>
      <c r="V217" s="478"/>
      <c r="W217" s="478"/>
      <c r="X217" s="478"/>
      <c r="Y217" s="478"/>
      <c r="Z217" s="478"/>
      <c r="AA217" s="478"/>
      <c r="AB217" s="478"/>
      <c r="AC217" s="478"/>
      <c r="AD217" s="478"/>
      <c r="AE217" s="478"/>
      <c r="AF217" s="478"/>
      <c r="AG217" s="478"/>
      <c r="AH217" s="478"/>
      <c r="AI217" s="478"/>
      <c r="AJ217" s="478"/>
      <c r="AK217" s="478"/>
      <c r="AL217" s="478"/>
      <c r="AM217" s="478"/>
      <c r="AN217" s="478"/>
      <c r="AO217" s="478"/>
      <c r="AP217" s="478"/>
      <c r="AQ217" s="478"/>
      <c r="AR217" s="478"/>
      <c r="AS217" s="478"/>
      <c r="AT217" s="478"/>
      <c r="AU217" s="478"/>
      <c r="AV217" s="478"/>
      <c r="AW217" s="478"/>
      <c r="AX217" s="478"/>
      <c r="AY217" s="478"/>
      <c r="AZ217" s="478"/>
      <c r="BA217" s="478"/>
      <c r="BB217" s="478"/>
      <c r="BC217" s="478"/>
      <c r="BD217" s="478"/>
      <c r="BE217" s="478"/>
      <c r="BF217" s="478"/>
      <c r="BG217" s="478"/>
      <c r="BH217" s="478"/>
      <c r="BI217" s="478"/>
      <c r="BJ217" s="245"/>
      <c r="BK217" s="477">
        <f t="shared" si="945"/>
        <v>0</v>
      </c>
      <c r="BL217" s="466">
        <f t="shared" si="946"/>
        <v>0</v>
      </c>
      <c r="BM217" s="257"/>
      <c r="BN217" s="478"/>
      <c r="BO217" s="478"/>
      <c r="BP217" s="478"/>
      <c r="BQ217" s="478"/>
      <c r="BR217" s="478"/>
      <c r="BS217" s="478"/>
      <c r="BT217" s="478"/>
      <c r="BU217" s="478"/>
      <c r="BV217" s="478"/>
      <c r="BW217" s="478"/>
      <c r="BX217" s="478"/>
      <c r="BY217" s="478"/>
      <c r="BZ217" s="478"/>
      <c r="CA217" s="478"/>
      <c r="CB217" s="478"/>
      <c r="CC217" s="478"/>
      <c r="CD217" s="478"/>
      <c r="CE217" s="478"/>
      <c r="CF217" s="478"/>
      <c r="CG217" s="478"/>
      <c r="CH217" s="478"/>
      <c r="CI217" s="478"/>
      <c r="CJ217" s="478"/>
      <c r="CK217" s="478"/>
      <c r="CL217" s="478"/>
      <c r="CM217" s="478"/>
      <c r="CN217" s="478"/>
      <c r="CO217" s="478"/>
      <c r="CP217" s="478"/>
      <c r="CQ217" s="478"/>
      <c r="CR217" s="478"/>
      <c r="CS217" s="478"/>
      <c r="CT217" s="478"/>
      <c r="CU217" s="478"/>
      <c r="CV217" s="478"/>
      <c r="CW217" s="478"/>
      <c r="CX217" s="478"/>
      <c r="CY217" s="478"/>
      <c r="CZ217" s="478"/>
      <c r="DA217" s="478"/>
      <c r="DB217" s="478"/>
      <c r="DC217" s="478"/>
      <c r="DD217" s="478"/>
      <c r="DE217" s="478"/>
      <c r="DF217" s="478"/>
      <c r="DG217" s="478"/>
      <c r="DH217" s="478"/>
      <c r="DI217" s="478"/>
    </row>
    <row r="218" spans="1:113" ht="16.05" hidden="1" customHeight="1" outlineLevel="1" x14ac:dyDescent="0.3">
      <c r="A218" s="455" t="str">
        <f t="shared" si="941"/>
        <v/>
      </c>
      <c r="B218" s="455"/>
      <c r="C218" s="481"/>
      <c r="D218" s="463" t="s">
        <v>851</v>
      </c>
      <c r="E218" s="482"/>
      <c r="F218" s="483"/>
      <c r="G218" s="484"/>
      <c r="H218" s="485"/>
      <c r="I218" s="466">
        <f t="shared" si="942"/>
        <v>0</v>
      </c>
      <c r="J218" s="259"/>
      <c r="K218" s="478">
        <f t="shared" si="943"/>
        <v>0</v>
      </c>
      <c r="L218" s="466">
        <f t="shared" si="944"/>
        <v>0</v>
      </c>
      <c r="M218" s="257"/>
      <c r="N218" s="478"/>
      <c r="O218" s="478"/>
      <c r="P218" s="478"/>
      <c r="Q218" s="478"/>
      <c r="R218" s="478"/>
      <c r="S218" s="478"/>
      <c r="T218" s="478"/>
      <c r="U218" s="478"/>
      <c r="V218" s="478"/>
      <c r="W218" s="478"/>
      <c r="X218" s="478"/>
      <c r="Y218" s="478"/>
      <c r="Z218" s="478"/>
      <c r="AA218" s="478"/>
      <c r="AB218" s="478"/>
      <c r="AC218" s="478"/>
      <c r="AD218" s="478"/>
      <c r="AE218" s="478"/>
      <c r="AF218" s="478"/>
      <c r="AG218" s="478"/>
      <c r="AH218" s="478"/>
      <c r="AI218" s="478"/>
      <c r="AJ218" s="478"/>
      <c r="AK218" s="478"/>
      <c r="AL218" s="478"/>
      <c r="AM218" s="478"/>
      <c r="AN218" s="478"/>
      <c r="AO218" s="478"/>
      <c r="AP218" s="478"/>
      <c r="AQ218" s="478"/>
      <c r="AR218" s="478"/>
      <c r="AS218" s="478"/>
      <c r="AT218" s="478"/>
      <c r="AU218" s="478"/>
      <c r="AV218" s="478"/>
      <c r="AW218" s="478"/>
      <c r="AX218" s="478"/>
      <c r="AY218" s="478"/>
      <c r="AZ218" s="478"/>
      <c r="BA218" s="478"/>
      <c r="BB218" s="478"/>
      <c r="BC218" s="478"/>
      <c r="BD218" s="478"/>
      <c r="BE218" s="478"/>
      <c r="BF218" s="478"/>
      <c r="BG218" s="478"/>
      <c r="BH218" s="478"/>
      <c r="BI218" s="478"/>
      <c r="BJ218" s="245"/>
      <c r="BK218" s="477">
        <f t="shared" si="945"/>
        <v>0</v>
      </c>
      <c r="BL218" s="466">
        <f t="shared" si="946"/>
        <v>0</v>
      </c>
      <c r="BM218" s="257"/>
      <c r="BN218" s="478"/>
      <c r="BO218" s="478"/>
      <c r="BP218" s="478"/>
      <c r="BQ218" s="478"/>
      <c r="BR218" s="478"/>
      <c r="BS218" s="478"/>
      <c r="BT218" s="478"/>
      <c r="BU218" s="478"/>
      <c r="BV218" s="478"/>
      <c r="BW218" s="478"/>
      <c r="BX218" s="478"/>
      <c r="BY218" s="478"/>
      <c r="BZ218" s="478"/>
      <c r="CA218" s="478"/>
      <c r="CB218" s="478"/>
      <c r="CC218" s="478"/>
      <c r="CD218" s="478"/>
      <c r="CE218" s="478"/>
      <c r="CF218" s="478"/>
      <c r="CG218" s="478"/>
      <c r="CH218" s="478"/>
      <c r="CI218" s="478"/>
      <c r="CJ218" s="478"/>
      <c r="CK218" s="478"/>
      <c r="CL218" s="478"/>
      <c r="CM218" s="478"/>
      <c r="CN218" s="478"/>
      <c r="CO218" s="478"/>
      <c r="CP218" s="478"/>
      <c r="CQ218" s="478"/>
      <c r="CR218" s="478"/>
      <c r="CS218" s="478"/>
      <c r="CT218" s="478"/>
      <c r="CU218" s="478"/>
      <c r="CV218" s="478"/>
      <c r="CW218" s="478"/>
      <c r="CX218" s="478"/>
      <c r="CY218" s="478"/>
      <c r="CZ218" s="478"/>
      <c r="DA218" s="478"/>
      <c r="DB218" s="478"/>
      <c r="DC218" s="478"/>
      <c r="DD218" s="478"/>
      <c r="DE218" s="478"/>
      <c r="DF218" s="478"/>
      <c r="DG218" s="478"/>
      <c r="DH218" s="478"/>
      <c r="DI218" s="478"/>
    </row>
    <row r="219" spans="1:113" ht="16.05" hidden="1" customHeight="1" outlineLevel="1" x14ac:dyDescent="0.3">
      <c r="A219" s="455" t="str">
        <f t="shared" si="941"/>
        <v/>
      </c>
      <c r="B219" s="455"/>
      <c r="C219" s="481"/>
      <c r="D219" s="463" t="s">
        <v>852</v>
      </c>
      <c r="E219" s="482"/>
      <c r="F219" s="483"/>
      <c r="G219" s="484"/>
      <c r="H219" s="485"/>
      <c r="I219" s="466">
        <f t="shared" si="942"/>
        <v>0</v>
      </c>
      <c r="J219" s="259"/>
      <c r="K219" s="478">
        <f t="shared" si="943"/>
        <v>0</v>
      </c>
      <c r="L219" s="466">
        <f t="shared" si="944"/>
        <v>0</v>
      </c>
      <c r="M219" s="257"/>
      <c r="N219" s="478"/>
      <c r="O219" s="478"/>
      <c r="P219" s="478"/>
      <c r="Q219" s="478"/>
      <c r="R219" s="478"/>
      <c r="S219" s="478"/>
      <c r="T219" s="478"/>
      <c r="U219" s="478"/>
      <c r="V219" s="478"/>
      <c r="W219" s="478"/>
      <c r="X219" s="478"/>
      <c r="Y219" s="478"/>
      <c r="Z219" s="478"/>
      <c r="AA219" s="478"/>
      <c r="AB219" s="478"/>
      <c r="AC219" s="478"/>
      <c r="AD219" s="478"/>
      <c r="AE219" s="478"/>
      <c r="AF219" s="478"/>
      <c r="AG219" s="478"/>
      <c r="AH219" s="478"/>
      <c r="AI219" s="478"/>
      <c r="AJ219" s="478"/>
      <c r="AK219" s="478"/>
      <c r="AL219" s="478"/>
      <c r="AM219" s="478"/>
      <c r="AN219" s="478"/>
      <c r="AO219" s="478"/>
      <c r="AP219" s="478"/>
      <c r="AQ219" s="478"/>
      <c r="AR219" s="478"/>
      <c r="AS219" s="478"/>
      <c r="AT219" s="478"/>
      <c r="AU219" s="478"/>
      <c r="AV219" s="478"/>
      <c r="AW219" s="478"/>
      <c r="AX219" s="478"/>
      <c r="AY219" s="478"/>
      <c r="AZ219" s="478"/>
      <c r="BA219" s="478"/>
      <c r="BB219" s="478"/>
      <c r="BC219" s="478"/>
      <c r="BD219" s="478"/>
      <c r="BE219" s="478"/>
      <c r="BF219" s="478"/>
      <c r="BG219" s="478"/>
      <c r="BH219" s="478"/>
      <c r="BI219" s="478"/>
      <c r="BJ219" s="245"/>
      <c r="BK219" s="477">
        <f t="shared" si="945"/>
        <v>0</v>
      </c>
      <c r="BL219" s="466">
        <f t="shared" si="946"/>
        <v>0</v>
      </c>
      <c r="BM219" s="257"/>
      <c r="BN219" s="478"/>
      <c r="BO219" s="478"/>
      <c r="BP219" s="478"/>
      <c r="BQ219" s="478"/>
      <c r="BR219" s="478"/>
      <c r="BS219" s="478"/>
      <c r="BT219" s="478"/>
      <c r="BU219" s="478"/>
      <c r="BV219" s="478"/>
      <c r="BW219" s="478"/>
      <c r="BX219" s="478"/>
      <c r="BY219" s="478"/>
      <c r="BZ219" s="478"/>
      <c r="CA219" s="478"/>
      <c r="CB219" s="478"/>
      <c r="CC219" s="478"/>
      <c r="CD219" s="478"/>
      <c r="CE219" s="478"/>
      <c r="CF219" s="478"/>
      <c r="CG219" s="478"/>
      <c r="CH219" s="478"/>
      <c r="CI219" s="478"/>
      <c r="CJ219" s="478"/>
      <c r="CK219" s="478"/>
      <c r="CL219" s="478"/>
      <c r="CM219" s="478"/>
      <c r="CN219" s="478"/>
      <c r="CO219" s="478"/>
      <c r="CP219" s="478"/>
      <c r="CQ219" s="478"/>
      <c r="CR219" s="478"/>
      <c r="CS219" s="478"/>
      <c r="CT219" s="478"/>
      <c r="CU219" s="478"/>
      <c r="CV219" s="478"/>
      <c r="CW219" s="478"/>
      <c r="CX219" s="478"/>
      <c r="CY219" s="478"/>
      <c r="CZ219" s="478"/>
      <c r="DA219" s="478"/>
      <c r="DB219" s="478"/>
      <c r="DC219" s="478"/>
      <c r="DD219" s="478"/>
      <c r="DE219" s="478"/>
      <c r="DF219" s="478"/>
      <c r="DG219" s="478"/>
      <c r="DH219" s="478"/>
      <c r="DI219" s="478"/>
    </row>
    <row r="220" spans="1:113" ht="16.05" hidden="1" customHeight="1" outlineLevel="1" x14ac:dyDescent="0.3">
      <c r="A220" s="455" t="str">
        <f t="shared" si="941"/>
        <v/>
      </c>
      <c r="B220" s="455"/>
      <c r="C220" s="481"/>
      <c r="D220" s="463" t="s">
        <v>853</v>
      </c>
      <c r="E220" s="482"/>
      <c r="F220" s="483"/>
      <c r="G220" s="484"/>
      <c r="H220" s="485"/>
      <c r="I220" s="466">
        <f t="shared" si="942"/>
        <v>0</v>
      </c>
      <c r="J220" s="259"/>
      <c r="K220" s="478">
        <f t="shared" si="943"/>
        <v>0</v>
      </c>
      <c r="L220" s="466">
        <f t="shared" si="944"/>
        <v>0</v>
      </c>
      <c r="M220" s="257"/>
      <c r="N220" s="478"/>
      <c r="O220" s="478"/>
      <c r="P220" s="478"/>
      <c r="Q220" s="478"/>
      <c r="R220" s="478"/>
      <c r="S220" s="478"/>
      <c r="T220" s="478"/>
      <c r="U220" s="478"/>
      <c r="V220" s="478"/>
      <c r="W220" s="478"/>
      <c r="X220" s="478"/>
      <c r="Y220" s="478"/>
      <c r="Z220" s="478"/>
      <c r="AA220" s="478"/>
      <c r="AB220" s="478"/>
      <c r="AC220" s="478"/>
      <c r="AD220" s="478"/>
      <c r="AE220" s="478"/>
      <c r="AF220" s="478"/>
      <c r="AG220" s="478"/>
      <c r="AH220" s="478"/>
      <c r="AI220" s="478"/>
      <c r="AJ220" s="478"/>
      <c r="AK220" s="478"/>
      <c r="AL220" s="478"/>
      <c r="AM220" s="478"/>
      <c r="AN220" s="478"/>
      <c r="AO220" s="478"/>
      <c r="AP220" s="478"/>
      <c r="AQ220" s="478"/>
      <c r="AR220" s="478"/>
      <c r="AS220" s="478"/>
      <c r="AT220" s="478"/>
      <c r="AU220" s="478"/>
      <c r="AV220" s="478"/>
      <c r="AW220" s="478"/>
      <c r="AX220" s="478"/>
      <c r="AY220" s="478"/>
      <c r="AZ220" s="478"/>
      <c r="BA220" s="478"/>
      <c r="BB220" s="478"/>
      <c r="BC220" s="478"/>
      <c r="BD220" s="478"/>
      <c r="BE220" s="478"/>
      <c r="BF220" s="478"/>
      <c r="BG220" s="478"/>
      <c r="BH220" s="478"/>
      <c r="BI220" s="478"/>
      <c r="BJ220" s="245"/>
      <c r="BK220" s="477">
        <f t="shared" si="945"/>
        <v>0</v>
      </c>
      <c r="BL220" s="466">
        <f t="shared" si="946"/>
        <v>0</v>
      </c>
      <c r="BM220" s="257"/>
      <c r="BN220" s="478"/>
      <c r="BO220" s="478"/>
      <c r="BP220" s="478"/>
      <c r="BQ220" s="478"/>
      <c r="BR220" s="478"/>
      <c r="BS220" s="478"/>
      <c r="BT220" s="478"/>
      <c r="BU220" s="478"/>
      <c r="BV220" s="478"/>
      <c r="BW220" s="478"/>
      <c r="BX220" s="478"/>
      <c r="BY220" s="478"/>
      <c r="BZ220" s="478"/>
      <c r="CA220" s="478"/>
      <c r="CB220" s="478"/>
      <c r="CC220" s="478"/>
      <c r="CD220" s="478"/>
      <c r="CE220" s="478"/>
      <c r="CF220" s="478"/>
      <c r="CG220" s="478"/>
      <c r="CH220" s="478"/>
      <c r="CI220" s="478"/>
      <c r="CJ220" s="478"/>
      <c r="CK220" s="478"/>
      <c r="CL220" s="478"/>
      <c r="CM220" s="478"/>
      <c r="CN220" s="478"/>
      <c r="CO220" s="478"/>
      <c r="CP220" s="478"/>
      <c r="CQ220" s="478"/>
      <c r="CR220" s="478"/>
      <c r="CS220" s="478"/>
      <c r="CT220" s="478"/>
      <c r="CU220" s="478"/>
      <c r="CV220" s="478"/>
      <c r="CW220" s="478"/>
      <c r="CX220" s="478"/>
      <c r="CY220" s="478"/>
      <c r="CZ220" s="478"/>
      <c r="DA220" s="478"/>
      <c r="DB220" s="478"/>
      <c r="DC220" s="478"/>
      <c r="DD220" s="478"/>
      <c r="DE220" s="478"/>
      <c r="DF220" s="478"/>
      <c r="DG220" s="478"/>
      <c r="DH220" s="478"/>
      <c r="DI220" s="478"/>
    </row>
    <row r="221" spans="1:113" ht="16.05" hidden="1" customHeight="1" outlineLevel="1" x14ac:dyDescent="0.3">
      <c r="A221" s="455" t="str">
        <f t="shared" si="941"/>
        <v/>
      </c>
      <c r="B221" s="455"/>
      <c r="C221" s="481"/>
      <c r="D221" s="463" t="s">
        <v>854</v>
      </c>
      <c r="E221" s="482"/>
      <c r="F221" s="483"/>
      <c r="G221" s="484"/>
      <c r="H221" s="485"/>
      <c r="I221" s="466">
        <f t="shared" si="942"/>
        <v>0</v>
      </c>
      <c r="J221" s="259"/>
      <c r="K221" s="478">
        <f t="shared" si="943"/>
        <v>0</v>
      </c>
      <c r="L221" s="466">
        <f t="shared" si="944"/>
        <v>0</v>
      </c>
      <c r="M221" s="257"/>
      <c r="N221" s="478"/>
      <c r="O221" s="478"/>
      <c r="P221" s="478"/>
      <c r="Q221" s="478"/>
      <c r="R221" s="478"/>
      <c r="S221" s="478"/>
      <c r="T221" s="478"/>
      <c r="U221" s="478"/>
      <c r="V221" s="478"/>
      <c r="W221" s="478"/>
      <c r="X221" s="478"/>
      <c r="Y221" s="478"/>
      <c r="Z221" s="478"/>
      <c r="AA221" s="478"/>
      <c r="AB221" s="478"/>
      <c r="AC221" s="478"/>
      <c r="AD221" s="478"/>
      <c r="AE221" s="478"/>
      <c r="AF221" s="478"/>
      <c r="AG221" s="478"/>
      <c r="AH221" s="478"/>
      <c r="AI221" s="478"/>
      <c r="AJ221" s="478"/>
      <c r="AK221" s="478"/>
      <c r="AL221" s="478"/>
      <c r="AM221" s="478"/>
      <c r="AN221" s="478"/>
      <c r="AO221" s="478"/>
      <c r="AP221" s="478"/>
      <c r="AQ221" s="478"/>
      <c r="AR221" s="478"/>
      <c r="AS221" s="478"/>
      <c r="AT221" s="478"/>
      <c r="AU221" s="478"/>
      <c r="AV221" s="478"/>
      <c r="AW221" s="478"/>
      <c r="AX221" s="478"/>
      <c r="AY221" s="478"/>
      <c r="AZ221" s="478"/>
      <c r="BA221" s="478"/>
      <c r="BB221" s="478"/>
      <c r="BC221" s="478"/>
      <c r="BD221" s="478"/>
      <c r="BE221" s="478"/>
      <c r="BF221" s="478"/>
      <c r="BG221" s="478"/>
      <c r="BH221" s="478"/>
      <c r="BI221" s="478"/>
      <c r="BJ221" s="245"/>
      <c r="BK221" s="477">
        <f t="shared" si="945"/>
        <v>0</v>
      </c>
      <c r="BL221" s="466">
        <f t="shared" si="946"/>
        <v>0</v>
      </c>
      <c r="BM221" s="257"/>
      <c r="BN221" s="478"/>
      <c r="BO221" s="478"/>
      <c r="BP221" s="478"/>
      <c r="BQ221" s="478"/>
      <c r="BR221" s="478"/>
      <c r="BS221" s="478"/>
      <c r="BT221" s="478"/>
      <c r="BU221" s="478"/>
      <c r="BV221" s="478"/>
      <c r="BW221" s="478"/>
      <c r="BX221" s="478"/>
      <c r="BY221" s="478"/>
      <c r="BZ221" s="478"/>
      <c r="CA221" s="478"/>
      <c r="CB221" s="478"/>
      <c r="CC221" s="478"/>
      <c r="CD221" s="478"/>
      <c r="CE221" s="478"/>
      <c r="CF221" s="478"/>
      <c r="CG221" s="478"/>
      <c r="CH221" s="478"/>
      <c r="CI221" s="478"/>
      <c r="CJ221" s="478"/>
      <c r="CK221" s="478"/>
      <c r="CL221" s="478"/>
      <c r="CM221" s="478"/>
      <c r="CN221" s="478"/>
      <c r="CO221" s="478"/>
      <c r="CP221" s="478"/>
      <c r="CQ221" s="478"/>
      <c r="CR221" s="478"/>
      <c r="CS221" s="478"/>
      <c r="CT221" s="478"/>
      <c r="CU221" s="478"/>
      <c r="CV221" s="478"/>
      <c r="CW221" s="478"/>
      <c r="CX221" s="478"/>
      <c r="CY221" s="478"/>
      <c r="CZ221" s="478"/>
      <c r="DA221" s="478"/>
      <c r="DB221" s="478"/>
      <c r="DC221" s="478"/>
      <c r="DD221" s="478"/>
      <c r="DE221" s="478"/>
      <c r="DF221" s="478"/>
      <c r="DG221" s="478"/>
      <c r="DH221" s="478"/>
      <c r="DI221" s="478"/>
    </row>
    <row r="222" spans="1:113" ht="16.05" hidden="1" customHeight="1" outlineLevel="1" x14ac:dyDescent="0.3">
      <c r="A222" s="455" t="str">
        <f t="shared" si="941"/>
        <v/>
      </c>
      <c r="B222" s="455"/>
      <c r="C222" s="481"/>
      <c r="D222" s="463" t="s">
        <v>855</v>
      </c>
      <c r="E222" s="482"/>
      <c r="F222" s="483"/>
      <c r="G222" s="484"/>
      <c r="H222" s="485"/>
      <c r="I222" s="466">
        <f t="shared" si="942"/>
        <v>0</v>
      </c>
      <c r="J222" s="259"/>
      <c r="K222" s="478">
        <f t="shared" si="943"/>
        <v>0</v>
      </c>
      <c r="L222" s="466">
        <f t="shared" si="944"/>
        <v>0</v>
      </c>
      <c r="M222" s="257"/>
      <c r="N222" s="478"/>
      <c r="O222" s="478"/>
      <c r="P222" s="478"/>
      <c r="Q222" s="478"/>
      <c r="R222" s="478"/>
      <c r="S222" s="478"/>
      <c r="T222" s="478"/>
      <c r="U222" s="478"/>
      <c r="V222" s="478"/>
      <c r="W222" s="478"/>
      <c r="X222" s="478"/>
      <c r="Y222" s="478"/>
      <c r="Z222" s="478"/>
      <c r="AA222" s="478"/>
      <c r="AB222" s="478"/>
      <c r="AC222" s="478"/>
      <c r="AD222" s="478"/>
      <c r="AE222" s="478"/>
      <c r="AF222" s="478"/>
      <c r="AG222" s="478"/>
      <c r="AH222" s="478"/>
      <c r="AI222" s="478"/>
      <c r="AJ222" s="478"/>
      <c r="AK222" s="478"/>
      <c r="AL222" s="478"/>
      <c r="AM222" s="478"/>
      <c r="AN222" s="478"/>
      <c r="AO222" s="478"/>
      <c r="AP222" s="478"/>
      <c r="AQ222" s="478"/>
      <c r="AR222" s="478"/>
      <c r="AS222" s="478"/>
      <c r="AT222" s="478"/>
      <c r="AU222" s="478"/>
      <c r="AV222" s="478"/>
      <c r="AW222" s="478"/>
      <c r="AX222" s="478"/>
      <c r="AY222" s="478"/>
      <c r="AZ222" s="478"/>
      <c r="BA222" s="478"/>
      <c r="BB222" s="478"/>
      <c r="BC222" s="478"/>
      <c r="BD222" s="478"/>
      <c r="BE222" s="478"/>
      <c r="BF222" s="478"/>
      <c r="BG222" s="478"/>
      <c r="BH222" s="478"/>
      <c r="BI222" s="478"/>
      <c r="BJ222" s="245"/>
      <c r="BK222" s="477">
        <f t="shared" si="945"/>
        <v>0</v>
      </c>
      <c r="BL222" s="466">
        <f t="shared" si="946"/>
        <v>0</v>
      </c>
      <c r="BM222" s="257"/>
      <c r="BN222" s="478"/>
      <c r="BO222" s="478"/>
      <c r="BP222" s="478"/>
      <c r="BQ222" s="478"/>
      <c r="BR222" s="478"/>
      <c r="BS222" s="478"/>
      <c r="BT222" s="478"/>
      <c r="BU222" s="478"/>
      <c r="BV222" s="478"/>
      <c r="BW222" s="478"/>
      <c r="BX222" s="478"/>
      <c r="BY222" s="478"/>
      <c r="BZ222" s="478"/>
      <c r="CA222" s="478"/>
      <c r="CB222" s="478"/>
      <c r="CC222" s="478"/>
      <c r="CD222" s="478"/>
      <c r="CE222" s="478"/>
      <c r="CF222" s="478"/>
      <c r="CG222" s="478"/>
      <c r="CH222" s="478"/>
      <c r="CI222" s="478"/>
      <c r="CJ222" s="478"/>
      <c r="CK222" s="478"/>
      <c r="CL222" s="478"/>
      <c r="CM222" s="478"/>
      <c r="CN222" s="478"/>
      <c r="CO222" s="478"/>
      <c r="CP222" s="478"/>
      <c r="CQ222" s="478"/>
      <c r="CR222" s="478"/>
      <c r="CS222" s="478"/>
      <c r="CT222" s="478"/>
      <c r="CU222" s="478"/>
      <c r="CV222" s="478"/>
      <c r="CW222" s="478"/>
      <c r="CX222" s="478"/>
      <c r="CY222" s="478"/>
      <c r="CZ222" s="478"/>
      <c r="DA222" s="478"/>
      <c r="DB222" s="478"/>
      <c r="DC222" s="478"/>
      <c r="DD222" s="478"/>
      <c r="DE222" s="478"/>
      <c r="DF222" s="478"/>
      <c r="DG222" s="478"/>
      <c r="DH222" s="478"/>
      <c r="DI222" s="478"/>
    </row>
    <row r="223" spans="1:113" ht="16.05" hidden="1" customHeight="1" outlineLevel="1" x14ac:dyDescent="0.3">
      <c r="A223" s="455" t="str">
        <f t="shared" si="941"/>
        <v/>
      </c>
      <c r="B223" s="455"/>
      <c r="C223" s="481"/>
      <c r="D223" s="463" t="s">
        <v>856</v>
      </c>
      <c r="E223" s="482"/>
      <c r="F223" s="483"/>
      <c r="G223" s="484"/>
      <c r="H223" s="485"/>
      <c r="I223" s="466">
        <f t="shared" si="942"/>
        <v>0</v>
      </c>
      <c r="J223" s="259"/>
      <c r="K223" s="478">
        <f t="shared" si="943"/>
        <v>0</v>
      </c>
      <c r="L223" s="466">
        <f t="shared" si="944"/>
        <v>0</v>
      </c>
      <c r="M223" s="257"/>
      <c r="N223" s="478"/>
      <c r="O223" s="478"/>
      <c r="P223" s="478"/>
      <c r="Q223" s="478"/>
      <c r="R223" s="478"/>
      <c r="S223" s="478"/>
      <c r="T223" s="478"/>
      <c r="U223" s="478"/>
      <c r="V223" s="478"/>
      <c r="W223" s="478"/>
      <c r="X223" s="478"/>
      <c r="Y223" s="478"/>
      <c r="Z223" s="478"/>
      <c r="AA223" s="478"/>
      <c r="AB223" s="478"/>
      <c r="AC223" s="478"/>
      <c r="AD223" s="478"/>
      <c r="AE223" s="478"/>
      <c r="AF223" s="478"/>
      <c r="AG223" s="478"/>
      <c r="AH223" s="478"/>
      <c r="AI223" s="478"/>
      <c r="AJ223" s="478"/>
      <c r="AK223" s="478"/>
      <c r="AL223" s="478"/>
      <c r="AM223" s="478"/>
      <c r="AN223" s="478"/>
      <c r="AO223" s="478"/>
      <c r="AP223" s="478"/>
      <c r="AQ223" s="478"/>
      <c r="AR223" s="478"/>
      <c r="AS223" s="478"/>
      <c r="AT223" s="478"/>
      <c r="AU223" s="478"/>
      <c r="AV223" s="478"/>
      <c r="AW223" s="478"/>
      <c r="AX223" s="478"/>
      <c r="AY223" s="478"/>
      <c r="AZ223" s="478"/>
      <c r="BA223" s="478"/>
      <c r="BB223" s="478"/>
      <c r="BC223" s="478"/>
      <c r="BD223" s="478"/>
      <c r="BE223" s="478"/>
      <c r="BF223" s="478"/>
      <c r="BG223" s="478"/>
      <c r="BH223" s="478"/>
      <c r="BI223" s="478"/>
      <c r="BJ223" s="245"/>
      <c r="BK223" s="477">
        <f t="shared" si="945"/>
        <v>0</v>
      </c>
      <c r="BL223" s="466">
        <f t="shared" si="946"/>
        <v>0</v>
      </c>
      <c r="BM223" s="257"/>
      <c r="BN223" s="478"/>
      <c r="BO223" s="478"/>
      <c r="BP223" s="478"/>
      <c r="BQ223" s="478"/>
      <c r="BR223" s="478"/>
      <c r="BS223" s="478"/>
      <c r="BT223" s="478"/>
      <c r="BU223" s="478"/>
      <c r="BV223" s="478"/>
      <c r="BW223" s="478"/>
      <c r="BX223" s="478"/>
      <c r="BY223" s="478"/>
      <c r="BZ223" s="478"/>
      <c r="CA223" s="478"/>
      <c r="CB223" s="478"/>
      <c r="CC223" s="478"/>
      <c r="CD223" s="478"/>
      <c r="CE223" s="478"/>
      <c r="CF223" s="478"/>
      <c r="CG223" s="478"/>
      <c r="CH223" s="478"/>
      <c r="CI223" s="478"/>
      <c r="CJ223" s="478"/>
      <c r="CK223" s="478"/>
      <c r="CL223" s="478"/>
      <c r="CM223" s="478"/>
      <c r="CN223" s="478"/>
      <c r="CO223" s="478"/>
      <c r="CP223" s="478"/>
      <c r="CQ223" s="478"/>
      <c r="CR223" s="478"/>
      <c r="CS223" s="478"/>
      <c r="CT223" s="478"/>
      <c r="CU223" s="478"/>
      <c r="CV223" s="478"/>
      <c r="CW223" s="478"/>
      <c r="CX223" s="478"/>
      <c r="CY223" s="478"/>
      <c r="CZ223" s="478"/>
      <c r="DA223" s="478"/>
      <c r="DB223" s="478"/>
      <c r="DC223" s="478"/>
      <c r="DD223" s="478"/>
      <c r="DE223" s="478"/>
      <c r="DF223" s="478"/>
      <c r="DG223" s="478"/>
      <c r="DH223" s="478"/>
      <c r="DI223" s="478"/>
    </row>
    <row r="224" spans="1:113" ht="16.05" hidden="1" customHeight="1" outlineLevel="1" x14ac:dyDescent="0.3">
      <c r="A224" s="455" t="str">
        <f t="shared" si="941"/>
        <v/>
      </c>
      <c r="B224" s="455"/>
      <c r="C224" s="481"/>
      <c r="D224" s="463" t="s">
        <v>857</v>
      </c>
      <c r="E224" s="482"/>
      <c r="F224" s="483"/>
      <c r="G224" s="484"/>
      <c r="H224" s="485"/>
      <c r="I224" s="466">
        <f t="shared" si="942"/>
        <v>0</v>
      </c>
      <c r="J224" s="259"/>
      <c r="K224" s="478">
        <f t="shared" si="943"/>
        <v>0</v>
      </c>
      <c r="L224" s="466">
        <f t="shared" si="944"/>
        <v>0</v>
      </c>
      <c r="M224" s="257"/>
      <c r="N224" s="478"/>
      <c r="O224" s="478"/>
      <c r="P224" s="478"/>
      <c r="Q224" s="478"/>
      <c r="R224" s="478"/>
      <c r="S224" s="478"/>
      <c r="T224" s="478"/>
      <c r="U224" s="478"/>
      <c r="V224" s="478"/>
      <c r="W224" s="478"/>
      <c r="X224" s="478"/>
      <c r="Y224" s="478"/>
      <c r="Z224" s="478"/>
      <c r="AA224" s="478"/>
      <c r="AB224" s="478"/>
      <c r="AC224" s="478"/>
      <c r="AD224" s="478"/>
      <c r="AE224" s="478"/>
      <c r="AF224" s="478"/>
      <c r="AG224" s="478"/>
      <c r="AH224" s="478"/>
      <c r="AI224" s="478"/>
      <c r="AJ224" s="478"/>
      <c r="AK224" s="478"/>
      <c r="AL224" s="478"/>
      <c r="AM224" s="478"/>
      <c r="AN224" s="478"/>
      <c r="AO224" s="478"/>
      <c r="AP224" s="478"/>
      <c r="AQ224" s="478"/>
      <c r="AR224" s="478"/>
      <c r="AS224" s="478"/>
      <c r="AT224" s="478"/>
      <c r="AU224" s="478"/>
      <c r="AV224" s="478"/>
      <c r="AW224" s="478"/>
      <c r="AX224" s="478"/>
      <c r="AY224" s="478"/>
      <c r="AZ224" s="478"/>
      <c r="BA224" s="478"/>
      <c r="BB224" s="478"/>
      <c r="BC224" s="478"/>
      <c r="BD224" s="478"/>
      <c r="BE224" s="478"/>
      <c r="BF224" s="478"/>
      <c r="BG224" s="478"/>
      <c r="BH224" s="478"/>
      <c r="BI224" s="478"/>
      <c r="BJ224" s="245"/>
      <c r="BK224" s="477">
        <f t="shared" si="945"/>
        <v>0</v>
      </c>
      <c r="BL224" s="466">
        <f t="shared" si="946"/>
        <v>0</v>
      </c>
      <c r="BM224" s="257"/>
      <c r="BN224" s="478"/>
      <c r="BO224" s="478"/>
      <c r="BP224" s="478"/>
      <c r="BQ224" s="478"/>
      <c r="BR224" s="478"/>
      <c r="BS224" s="478"/>
      <c r="BT224" s="478"/>
      <c r="BU224" s="478"/>
      <c r="BV224" s="478"/>
      <c r="BW224" s="478"/>
      <c r="BX224" s="478"/>
      <c r="BY224" s="478"/>
      <c r="BZ224" s="478"/>
      <c r="CA224" s="478"/>
      <c r="CB224" s="478"/>
      <c r="CC224" s="478"/>
      <c r="CD224" s="478"/>
      <c r="CE224" s="478"/>
      <c r="CF224" s="478"/>
      <c r="CG224" s="478"/>
      <c r="CH224" s="478"/>
      <c r="CI224" s="478"/>
      <c r="CJ224" s="478"/>
      <c r="CK224" s="478"/>
      <c r="CL224" s="478"/>
      <c r="CM224" s="478"/>
      <c r="CN224" s="478"/>
      <c r="CO224" s="478"/>
      <c r="CP224" s="478"/>
      <c r="CQ224" s="478"/>
      <c r="CR224" s="478"/>
      <c r="CS224" s="478"/>
      <c r="CT224" s="478"/>
      <c r="CU224" s="478"/>
      <c r="CV224" s="478"/>
      <c r="CW224" s="478"/>
      <c r="CX224" s="478"/>
      <c r="CY224" s="478"/>
      <c r="CZ224" s="478"/>
      <c r="DA224" s="478"/>
      <c r="DB224" s="478"/>
      <c r="DC224" s="478"/>
      <c r="DD224" s="478"/>
      <c r="DE224" s="478"/>
      <c r="DF224" s="478"/>
      <c r="DG224" s="478"/>
      <c r="DH224" s="478"/>
      <c r="DI224" s="478"/>
    </row>
    <row r="225" spans="1:113" ht="16.05" hidden="1" customHeight="1" outlineLevel="1" x14ac:dyDescent="0.3">
      <c r="A225" s="455" t="str">
        <f t="shared" si="941"/>
        <v/>
      </c>
      <c r="B225" s="455"/>
      <c r="C225" s="481"/>
      <c r="D225" s="463" t="s">
        <v>858</v>
      </c>
      <c r="E225" s="482"/>
      <c r="F225" s="483"/>
      <c r="G225" s="484"/>
      <c r="H225" s="485"/>
      <c r="I225" s="466">
        <f t="shared" si="942"/>
        <v>0</v>
      </c>
      <c r="J225" s="259"/>
      <c r="K225" s="478">
        <f t="shared" si="943"/>
        <v>0</v>
      </c>
      <c r="L225" s="466">
        <f t="shared" si="944"/>
        <v>0</v>
      </c>
      <c r="M225" s="257"/>
      <c r="N225" s="478"/>
      <c r="O225" s="478"/>
      <c r="P225" s="478"/>
      <c r="Q225" s="478"/>
      <c r="R225" s="478"/>
      <c r="S225" s="478"/>
      <c r="T225" s="478"/>
      <c r="U225" s="478"/>
      <c r="V225" s="478"/>
      <c r="W225" s="478"/>
      <c r="X225" s="478"/>
      <c r="Y225" s="478"/>
      <c r="Z225" s="478"/>
      <c r="AA225" s="478"/>
      <c r="AB225" s="478"/>
      <c r="AC225" s="478"/>
      <c r="AD225" s="478"/>
      <c r="AE225" s="478"/>
      <c r="AF225" s="478"/>
      <c r="AG225" s="478"/>
      <c r="AH225" s="478"/>
      <c r="AI225" s="478"/>
      <c r="AJ225" s="478"/>
      <c r="AK225" s="478"/>
      <c r="AL225" s="478"/>
      <c r="AM225" s="478"/>
      <c r="AN225" s="478"/>
      <c r="AO225" s="478"/>
      <c r="AP225" s="478"/>
      <c r="AQ225" s="478"/>
      <c r="AR225" s="478"/>
      <c r="AS225" s="478"/>
      <c r="AT225" s="478"/>
      <c r="AU225" s="478"/>
      <c r="AV225" s="478"/>
      <c r="AW225" s="478"/>
      <c r="AX225" s="478"/>
      <c r="AY225" s="478"/>
      <c r="AZ225" s="478"/>
      <c r="BA225" s="478"/>
      <c r="BB225" s="478"/>
      <c r="BC225" s="478"/>
      <c r="BD225" s="478"/>
      <c r="BE225" s="478"/>
      <c r="BF225" s="478"/>
      <c r="BG225" s="478"/>
      <c r="BH225" s="478"/>
      <c r="BI225" s="478"/>
      <c r="BJ225" s="245"/>
      <c r="BK225" s="477">
        <f t="shared" si="945"/>
        <v>0</v>
      </c>
      <c r="BL225" s="466">
        <f t="shared" si="946"/>
        <v>0</v>
      </c>
      <c r="BM225" s="257"/>
      <c r="BN225" s="478"/>
      <c r="BO225" s="478"/>
      <c r="BP225" s="478"/>
      <c r="BQ225" s="478"/>
      <c r="BR225" s="478"/>
      <c r="BS225" s="478"/>
      <c r="BT225" s="478"/>
      <c r="BU225" s="478"/>
      <c r="BV225" s="478"/>
      <c r="BW225" s="478"/>
      <c r="BX225" s="478"/>
      <c r="BY225" s="478"/>
      <c r="BZ225" s="478"/>
      <c r="CA225" s="478"/>
      <c r="CB225" s="478"/>
      <c r="CC225" s="478"/>
      <c r="CD225" s="478"/>
      <c r="CE225" s="478"/>
      <c r="CF225" s="478"/>
      <c r="CG225" s="478"/>
      <c r="CH225" s="478"/>
      <c r="CI225" s="478"/>
      <c r="CJ225" s="478"/>
      <c r="CK225" s="478"/>
      <c r="CL225" s="478"/>
      <c r="CM225" s="478"/>
      <c r="CN225" s="478"/>
      <c r="CO225" s="478"/>
      <c r="CP225" s="478"/>
      <c r="CQ225" s="478"/>
      <c r="CR225" s="478"/>
      <c r="CS225" s="478"/>
      <c r="CT225" s="478"/>
      <c r="CU225" s="478"/>
      <c r="CV225" s="478"/>
      <c r="CW225" s="478"/>
      <c r="CX225" s="478"/>
      <c r="CY225" s="478"/>
      <c r="CZ225" s="478"/>
      <c r="DA225" s="478"/>
      <c r="DB225" s="478"/>
      <c r="DC225" s="478"/>
      <c r="DD225" s="478"/>
      <c r="DE225" s="478"/>
      <c r="DF225" s="478"/>
      <c r="DG225" s="478"/>
      <c r="DH225" s="478"/>
      <c r="DI225" s="478"/>
    </row>
    <row r="226" spans="1:113" ht="16.05" hidden="1" customHeight="1" outlineLevel="1" x14ac:dyDescent="0.3">
      <c r="A226" s="455" t="str">
        <f t="shared" si="941"/>
        <v/>
      </c>
      <c r="B226" s="455"/>
      <c r="C226" s="481"/>
      <c r="D226" s="463" t="s">
        <v>859</v>
      </c>
      <c r="E226" s="482"/>
      <c r="F226" s="483"/>
      <c r="G226" s="484"/>
      <c r="H226" s="485"/>
      <c r="I226" s="466">
        <f t="shared" si="942"/>
        <v>0</v>
      </c>
      <c r="J226" s="259"/>
      <c r="K226" s="478">
        <f t="shared" si="943"/>
        <v>0</v>
      </c>
      <c r="L226" s="466">
        <f t="shared" si="944"/>
        <v>0</v>
      </c>
      <c r="M226" s="257"/>
      <c r="N226" s="478"/>
      <c r="O226" s="478"/>
      <c r="P226" s="478"/>
      <c r="Q226" s="478"/>
      <c r="R226" s="478"/>
      <c r="S226" s="478"/>
      <c r="T226" s="478"/>
      <c r="U226" s="478"/>
      <c r="V226" s="478"/>
      <c r="W226" s="478"/>
      <c r="X226" s="478"/>
      <c r="Y226" s="478"/>
      <c r="Z226" s="478"/>
      <c r="AA226" s="478"/>
      <c r="AB226" s="478"/>
      <c r="AC226" s="478"/>
      <c r="AD226" s="478"/>
      <c r="AE226" s="478"/>
      <c r="AF226" s="478"/>
      <c r="AG226" s="478"/>
      <c r="AH226" s="478"/>
      <c r="AI226" s="478"/>
      <c r="AJ226" s="478"/>
      <c r="AK226" s="478"/>
      <c r="AL226" s="478"/>
      <c r="AM226" s="478"/>
      <c r="AN226" s="478"/>
      <c r="AO226" s="478"/>
      <c r="AP226" s="478"/>
      <c r="AQ226" s="478"/>
      <c r="AR226" s="478"/>
      <c r="AS226" s="478"/>
      <c r="AT226" s="478"/>
      <c r="AU226" s="478"/>
      <c r="AV226" s="478"/>
      <c r="AW226" s="478"/>
      <c r="AX226" s="478"/>
      <c r="AY226" s="478"/>
      <c r="AZ226" s="478"/>
      <c r="BA226" s="478"/>
      <c r="BB226" s="478"/>
      <c r="BC226" s="478"/>
      <c r="BD226" s="478"/>
      <c r="BE226" s="478"/>
      <c r="BF226" s="478"/>
      <c r="BG226" s="478"/>
      <c r="BH226" s="478"/>
      <c r="BI226" s="478"/>
      <c r="BJ226" s="245"/>
      <c r="BK226" s="477">
        <f t="shared" si="945"/>
        <v>0</v>
      </c>
      <c r="BL226" s="466">
        <f t="shared" si="946"/>
        <v>0</v>
      </c>
      <c r="BM226" s="257"/>
      <c r="BN226" s="478"/>
      <c r="BO226" s="478"/>
      <c r="BP226" s="478"/>
      <c r="BQ226" s="478"/>
      <c r="BR226" s="478"/>
      <c r="BS226" s="478"/>
      <c r="BT226" s="478"/>
      <c r="BU226" s="478"/>
      <c r="BV226" s="478"/>
      <c r="BW226" s="478"/>
      <c r="BX226" s="478"/>
      <c r="BY226" s="478"/>
      <c r="BZ226" s="478"/>
      <c r="CA226" s="478"/>
      <c r="CB226" s="478"/>
      <c r="CC226" s="478"/>
      <c r="CD226" s="478"/>
      <c r="CE226" s="478"/>
      <c r="CF226" s="478"/>
      <c r="CG226" s="478"/>
      <c r="CH226" s="478"/>
      <c r="CI226" s="478"/>
      <c r="CJ226" s="478"/>
      <c r="CK226" s="478"/>
      <c r="CL226" s="478"/>
      <c r="CM226" s="478"/>
      <c r="CN226" s="478"/>
      <c r="CO226" s="478"/>
      <c r="CP226" s="478"/>
      <c r="CQ226" s="478"/>
      <c r="CR226" s="478"/>
      <c r="CS226" s="478"/>
      <c r="CT226" s="478"/>
      <c r="CU226" s="478"/>
      <c r="CV226" s="478"/>
      <c r="CW226" s="478"/>
      <c r="CX226" s="478"/>
      <c r="CY226" s="478"/>
      <c r="CZ226" s="478"/>
      <c r="DA226" s="478"/>
      <c r="DB226" s="478"/>
      <c r="DC226" s="478"/>
      <c r="DD226" s="478"/>
      <c r="DE226" s="478"/>
      <c r="DF226" s="478"/>
      <c r="DG226" s="478"/>
      <c r="DH226" s="478"/>
      <c r="DI226" s="478"/>
    </row>
    <row r="227" spans="1:113" ht="16.05" hidden="1" customHeight="1" outlineLevel="1" x14ac:dyDescent="0.3">
      <c r="A227" s="455" t="str">
        <f t="shared" si="941"/>
        <v/>
      </c>
      <c r="B227" s="455"/>
      <c r="C227" s="481"/>
      <c r="D227" s="463" t="s">
        <v>860</v>
      </c>
      <c r="E227" s="482"/>
      <c r="F227" s="483"/>
      <c r="G227" s="484"/>
      <c r="H227" s="485"/>
      <c r="I227" s="466">
        <f t="shared" si="942"/>
        <v>0</v>
      </c>
      <c r="J227" s="259"/>
      <c r="K227" s="478">
        <f t="shared" si="943"/>
        <v>0</v>
      </c>
      <c r="L227" s="466">
        <f t="shared" si="944"/>
        <v>0</v>
      </c>
      <c r="M227" s="257"/>
      <c r="N227" s="478"/>
      <c r="O227" s="478"/>
      <c r="P227" s="478"/>
      <c r="Q227" s="478"/>
      <c r="R227" s="478"/>
      <c r="S227" s="478"/>
      <c r="T227" s="478"/>
      <c r="U227" s="478"/>
      <c r="V227" s="478"/>
      <c r="W227" s="478"/>
      <c r="X227" s="478"/>
      <c r="Y227" s="478"/>
      <c r="Z227" s="478"/>
      <c r="AA227" s="478"/>
      <c r="AB227" s="478"/>
      <c r="AC227" s="478"/>
      <c r="AD227" s="478"/>
      <c r="AE227" s="478"/>
      <c r="AF227" s="478"/>
      <c r="AG227" s="478"/>
      <c r="AH227" s="478"/>
      <c r="AI227" s="478"/>
      <c r="AJ227" s="478"/>
      <c r="AK227" s="478"/>
      <c r="AL227" s="478"/>
      <c r="AM227" s="478"/>
      <c r="AN227" s="478"/>
      <c r="AO227" s="478"/>
      <c r="AP227" s="478"/>
      <c r="AQ227" s="478"/>
      <c r="AR227" s="478"/>
      <c r="AS227" s="478"/>
      <c r="AT227" s="478"/>
      <c r="AU227" s="478"/>
      <c r="AV227" s="478"/>
      <c r="AW227" s="478"/>
      <c r="AX227" s="478"/>
      <c r="AY227" s="478"/>
      <c r="AZ227" s="478"/>
      <c r="BA227" s="478"/>
      <c r="BB227" s="478"/>
      <c r="BC227" s="478"/>
      <c r="BD227" s="478"/>
      <c r="BE227" s="478"/>
      <c r="BF227" s="478"/>
      <c r="BG227" s="478"/>
      <c r="BH227" s="478"/>
      <c r="BI227" s="478"/>
      <c r="BJ227" s="245"/>
      <c r="BK227" s="477">
        <f t="shared" si="945"/>
        <v>0</v>
      </c>
      <c r="BL227" s="466">
        <f t="shared" si="946"/>
        <v>0</v>
      </c>
      <c r="BM227" s="257"/>
      <c r="BN227" s="478"/>
      <c r="BO227" s="478"/>
      <c r="BP227" s="478"/>
      <c r="BQ227" s="478"/>
      <c r="BR227" s="478"/>
      <c r="BS227" s="478"/>
      <c r="BT227" s="478"/>
      <c r="BU227" s="478"/>
      <c r="BV227" s="478"/>
      <c r="BW227" s="478"/>
      <c r="BX227" s="478"/>
      <c r="BY227" s="478"/>
      <c r="BZ227" s="478"/>
      <c r="CA227" s="478"/>
      <c r="CB227" s="478"/>
      <c r="CC227" s="478"/>
      <c r="CD227" s="478"/>
      <c r="CE227" s="478"/>
      <c r="CF227" s="478"/>
      <c r="CG227" s="478"/>
      <c r="CH227" s="478"/>
      <c r="CI227" s="478"/>
      <c r="CJ227" s="478"/>
      <c r="CK227" s="478"/>
      <c r="CL227" s="478"/>
      <c r="CM227" s="478"/>
      <c r="CN227" s="478"/>
      <c r="CO227" s="478"/>
      <c r="CP227" s="478"/>
      <c r="CQ227" s="478"/>
      <c r="CR227" s="478"/>
      <c r="CS227" s="478"/>
      <c r="CT227" s="478"/>
      <c r="CU227" s="478"/>
      <c r="CV227" s="478"/>
      <c r="CW227" s="478"/>
      <c r="CX227" s="478"/>
      <c r="CY227" s="478"/>
      <c r="CZ227" s="478"/>
      <c r="DA227" s="478"/>
      <c r="DB227" s="478"/>
      <c r="DC227" s="478"/>
      <c r="DD227" s="478"/>
      <c r="DE227" s="478"/>
      <c r="DF227" s="478"/>
      <c r="DG227" s="478"/>
      <c r="DH227" s="478"/>
      <c r="DI227" s="478"/>
    </row>
    <row r="228" spans="1:113" ht="16.05" hidden="1" customHeight="1" outlineLevel="1" x14ac:dyDescent="0.3">
      <c r="A228" s="455" t="str">
        <f t="shared" si="941"/>
        <v/>
      </c>
      <c r="B228" s="455"/>
      <c r="C228" s="481"/>
      <c r="D228" s="463" t="s">
        <v>861</v>
      </c>
      <c r="E228" s="482"/>
      <c r="F228" s="483"/>
      <c r="G228" s="484"/>
      <c r="H228" s="485"/>
      <c r="I228" s="466">
        <f t="shared" si="942"/>
        <v>0</v>
      </c>
      <c r="J228" s="259"/>
      <c r="K228" s="478">
        <f t="shared" si="943"/>
        <v>0</v>
      </c>
      <c r="L228" s="466">
        <f t="shared" si="944"/>
        <v>0</v>
      </c>
      <c r="M228" s="257"/>
      <c r="N228" s="478"/>
      <c r="O228" s="478"/>
      <c r="P228" s="478"/>
      <c r="Q228" s="478"/>
      <c r="R228" s="478"/>
      <c r="S228" s="478"/>
      <c r="T228" s="478"/>
      <c r="U228" s="478"/>
      <c r="V228" s="478"/>
      <c r="W228" s="478"/>
      <c r="X228" s="478"/>
      <c r="Y228" s="478"/>
      <c r="Z228" s="478"/>
      <c r="AA228" s="478"/>
      <c r="AB228" s="478"/>
      <c r="AC228" s="478"/>
      <c r="AD228" s="478"/>
      <c r="AE228" s="478"/>
      <c r="AF228" s="478"/>
      <c r="AG228" s="478"/>
      <c r="AH228" s="478"/>
      <c r="AI228" s="478"/>
      <c r="AJ228" s="478"/>
      <c r="AK228" s="478"/>
      <c r="AL228" s="478"/>
      <c r="AM228" s="478"/>
      <c r="AN228" s="478"/>
      <c r="AO228" s="478"/>
      <c r="AP228" s="478"/>
      <c r="AQ228" s="478"/>
      <c r="AR228" s="478"/>
      <c r="AS228" s="478"/>
      <c r="AT228" s="478"/>
      <c r="AU228" s="478"/>
      <c r="AV228" s="478"/>
      <c r="AW228" s="478"/>
      <c r="AX228" s="478"/>
      <c r="AY228" s="478"/>
      <c r="AZ228" s="478"/>
      <c r="BA228" s="478"/>
      <c r="BB228" s="478"/>
      <c r="BC228" s="478"/>
      <c r="BD228" s="478"/>
      <c r="BE228" s="478"/>
      <c r="BF228" s="478"/>
      <c r="BG228" s="478"/>
      <c r="BH228" s="478"/>
      <c r="BI228" s="478"/>
      <c r="BJ228" s="245"/>
      <c r="BK228" s="477">
        <f t="shared" si="945"/>
        <v>0</v>
      </c>
      <c r="BL228" s="466">
        <f t="shared" si="946"/>
        <v>0</v>
      </c>
      <c r="BM228" s="257"/>
      <c r="BN228" s="478"/>
      <c r="BO228" s="478"/>
      <c r="BP228" s="478"/>
      <c r="BQ228" s="478"/>
      <c r="BR228" s="478"/>
      <c r="BS228" s="478"/>
      <c r="BT228" s="478"/>
      <c r="BU228" s="478"/>
      <c r="BV228" s="478"/>
      <c r="BW228" s="478"/>
      <c r="BX228" s="478"/>
      <c r="BY228" s="478"/>
      <c r="BZ228" s="478"/>
      <c r="CA228" s="478"/>
      <c r="CB228" s="478"/>
      <c r="CC228" s="478"/>
      <c r="CD228" s="478"/>
      <c r="CE228" s="478"/>
      <c r="CF228" s="478"/>
      <c r="CG228" s="478"/>
      <c r="CH228" s="478"/>
      <c r="CI228" s="478"/>
      <c r="CJ228" s="478"/>
      <c r="CK228" s="478"/>
      <c r="CL228" s="478"/>
      <c r="CM228" s="478"/>
      <c r="CN228" s="478"/>
      <c r="CO228" s="478"/>
      <c r="CP228" s="478"/>
      <c r="CQ228" s="478"/>
      <c r="CR228" s="478"/>
      <c r="CS228" s="478"/>
      <c r="CT228" s="478"/>
      <c r="CU228" s="478"/>
      <c r="CV228" s="478"/>
      <c r="CW228" s="478"/>
      <c r="CX228" s="478"/>
      <c r="CY228" s="478"/>
      <c r="CZ228" s="478"/>
      <c r="DA228" s="478"/>
      <c r="DB228" s="478"/>
      <c r="DC228" s="478"/>
      <c r="DD228" s="478"/>
      <c r="DE228" s="478"/>
      <c r="DF228" s="478"/>
      <c r="DG228" s="478"/>
      <c r="DH228" s="478"/>
      <c r="DI228" s="478"/>
    </row>
    <row r="229" spans="1:113" ht="16.05" hidden="1" customHeight="1" outlineLevel="1" x14ac:dyDescent="0.3">
      <c r="A229" s="455" t="str">
        <f t="shared" si="941"/>
        <v/>
      </c>
      <c r="B229" s="455"/>
      <c r="C229" s="481"/>
      <c r="D229" s="463" t="s">
        <v>862</v>
      </c>
      <c r="E229" s="482"/>
      <c r="F229" s="483"/>
      <c r="G229" s="484"/>
      <c r="H229" s="485"/>
      <c r="I229" s="466">
        <f t="shared" si="942"/>
        <v>0</v>
      </c>
      <c r="J229" s="259"/>
      <c r="K229" s="478">
        <f t="shared" si="943"/>
        <v>0</v>
      </c>
      <c r="L229" s="466">
        <f t="shared" si="944"/>
        <v>0</v>
      </c>
      <c r="M229" s="257"/>
      <c r="N229" s="478"/>
      <c r="O229" s="478"/>
      <c r="P229" s="478"/>
      <c r="Q229" s="478"/>
      <c r="R229" s="478"/>
      <c r="S229" s="478"/>
      <c r="T229" s="478"/>
      <c r="U229" s="478"/>
      <c r="V229" s="478"/>
      <c r="W229" s="478"/>
      <c r="X229" s="478"/>
      <c r="Y229" s="478"/>
      <c r="Z229" s="478"/>
      <c r="AA229" s="478"/>
      <c r="AB229" s="478"/>
      <c r="AC229" s="478"/>
      <c r="AD229" s="478"/>
      <c r="AE229" s="478"/>
      <c r="AF229" s="478"/>
      <c r="AG229" s="478"/>
      <c r="AH229" s="478"/>
      <c r="AI229" s="478"/>
      <c r="AJ229" s="478"/>
      <c r="AK229" s="478"/>
      <c r="AL229" s="478"/>
      <c r="AM229" s="478"/>
      <c r="AN229" s="478"/>
      <c r="AO229" s="478"/>
      <c r="AP229" s="478"/>
      <c r="AQ229" s="478"/>
      <c r="AR229" s="478"/>
      <c r="AS229" s="478"/>
      <c r="AT229" s="478"/>
      <c r="AU229" s="478"/>
      <c r="AV229" s="478"/>
      <c r="AW229" s="478"/>
      <c r="AX229" s="478"/>
      <c r="AY229" s="478"/>
      <c r="AZ229" s="478"/>
      <c r="BA229" s="478"/>
      <c r="BB229" s="478"/>
      <c r="BC229" s="478"/>
      <c r="BD229" s="478"/>
      <c r="BE229" s="478"/>
      <c r="BF229" s="478"/>
      <c r="BG229" s="478"/>
      <c r="BH229" s="478"/>
      <c r="BI229" s="478"/>
      <c r="BJ229" s="245"/>
      <c r="BK229" s="477">
        <f t="shared" si="945"/>
        <v>0</v>
      </c>
      <c r="BL229" s="466">
        <f t="shared" si="946"/>
        <v>0</v>
      </c>
      <c r="BM229" s="257"/>
      <c r="BN229" s="478"/>
      <c r="BO229" s="478"/>
      <c r="BP229" s="478"/>
      <c r="BQ229" s="478"/>
      <c r="BR229" s="478"/>
      <c r="BS229" s="478"/>
      <c r="BT229" s="478"/>
      <c r="BU229" s="478"/>
      <c r="BV229" s="478"/>
      <c r="BW229" s="478"/>
      <c r="BX229" s="478"/>
      <c r="BY229" s="478"/>
      <c r="BZ229" s="478"/>
      <c r="CA229" s="478"/>
      <c r="CB229" s="478"/>
      <c r="CC229" s="478"/>
      <c r="CD229" s="478"/>
      <c r="CE229" s="478"/>
      <c r="CF229" s="478"/>
      <c r="CG229" s="478"/>
      <c r="CH229" s="478"/>
      <c r="CI229" s="478"/>
      <c r="CJ229" s="478"/>
      <c r="CK229" s="478"/>
      <c r="CL229" s="478"/>
      <c r="CM229" s="478"/>
      <c r="CN229" s="478"/>
      <c r="CO229" s="478"/>
      <c r="CP229" s="478"/>
      <c r="CQ229" s="478"/>
      <c r="CR229" s="478"/>
      <c r="CS229" s="478"/>
      <c r="CT229" s="478"/>
      <c r="CU229" s="478"/>
      <c r="CV229" s="478"/>
      <c r="CW229" s="478"/>
      <c r="CX229" s="478"/>
      <c r="CY229" s="478"/>
      <c r="CZ229" s="478"/>
      <c r="DA229" s="478"/>
      <c r="DB229" s="478"/>
      <c r="DC229" s="478"/>
      <c r="DD229" s="478"/>
      <c r="DE229" s="478"/>
      <c r="DF229" s="478"/>
      <c r="DG229" s="478"/>
      <c r="DH229" s="478"/>
      <c r="DI229" s="478"/>
    </row>
    <row r="230" spans="1:113" ht="16.05" hidden="1" customHeight="1" outlineLevel="1" x14ac:dyDescent="0.3">
      <c r="A230" s="455" t="str">
        <f t="shared" si="941"/>
        <v/>
      </c>
      <c r="B230" s="455"/>
      <c r="C230" s="481"/>
      <c r="D230" s="463" t="s">
        <v>863</v>
      </c>
      <c r="E230" s="482"/>
      <c r="F230" s="483"/>
      <c r="G230" s="484"/>
      <c r="H230" s="485"/>
      <c r="I230" s="466">
        <f t="shared" si="942"/>
        <v>0</v>
      </c>
      <c r="J230" s="259"/>
      <c r="K230" s="478">
        <f t="shared" si="943"/>
        <v>0</v>
      </c>
      <c r="L230" s="466">
        <f t="shared" si="944"/>
        <v>0</v>
      </c>
      <c r="M230" s="257"/>
      <c r="N230" s="478"/>
      <c r="O230" s="478"/>
      <c r="P230" s="478"/>
      <c r="Q230" s="478"/>
      <c r="R230" s="478"/>
      <c r="S230" s="478"/>
      <c r="T230" s="478"/>
      <c r="U230" s="478"/>
      <c r="V230" s="478"/>
      <c r="W230" s="478"/>
      <c r="X230" s="478"/>
      <c r="Y230" s="478"/>
      <c r="Z230" s="478"/>
      <c r="AA230" s="478"/>
      <c r="AB230" s="478"/>
      <c r="AC230" s="478"/>
      <c r="AD230" s="478"/>
      <c r="AE230" s="478"/>
      <c r="AF230" s="478"/>
      <c r="AG230" s="478"/>
      <c r="AH230" s="478"/>
      <c r="AI230" s="478"/>
      <c r="AJ230" s="478"/>
      <c r="AK230" s="478"/>
      <c r="AL230" s="478"/>
      <c r="AM230" s="478"/>
      <c r="AN230" s="478"/>
      <c r="AO230" s="478"/>
      <c r="AP230" s="478"/>
      <c r="AQ230" s="478"/>
      <c r="AR230" s="478"/>
      <c r="AS230" s="478"/>
      <c r="AT230" s="478"/>
      <c r="AU230" s="478"/>
      <c r="AV230" s="478"/>
      <c r="AW230" s="478"/>
      <c r="AX230" s="478"/>
      <c r="AY230" s="478"/>
      <c r="AZ230" s="478"/>
      <c r="BA230" s="478"/>
      <c r="BB230" s="478"/>
      <c r="BC230" s="478"/>
      <c r="BD230" s="478"/>
      <c r="BE230" s="478"/>
      <c r="BF230" s="478"/>
      <c r="BG230" s="478"/>
      <c r="BH230" s="478"/>
      <c r="BI230" s="478"/>
      <c r="BJ230" s="245"/>
      <c r="BK230" s="477">
        <f t="shared" si="945"/>
        <v>0</v>
      </c>
      <c r="BL230" s="466">
        <f t="shared" si="946"/>
        <v>0</v>
      </c>
      <c r="BM230" s="257"/>
      <c r="BN230" s="478"/>
      <c r="BO230" s="478"/>
      <c r="BP230" s="478"/>
      <c r="BQ230" s="478"/>
      <c r="BR230" s="478"/>
      <c r="BS230" s="478"/>
      <c r="BT230" s="478"/>
      <c r="BU230" s="478"/>
      <c r="BV230" s="478"/>
      <c r="BW230" s="478"/>
      <c r="BX230" s="478"/>
      <c r="BY230" s="478"/>
      <c r="BZ230" s="478"/>
      <c r="CA230" s="478"/>
      <c r="CB230" s="478"/>
      <c r="CC230" s="478"/>
      <c r="CD230" s="478"/>
      <c r="CE230" s="478"/>
      <c r="CF230" s="478"/>
      <c r="CG230" s="478"/>
      <c r="CH230" s="478"/>
      <c r="CI230" s="478"/>
      <c r="CJ230" s="478"/>
      <c r="CK230" s="478"/>
      <c r="CL230" s="478"/>
      <c r="CM230" s="478"/>
      <c r="CN230" s="478"/>
      <c r="CO230" s="478"/>
      <c r="CP230" s="478"/>
      <c r="CQ230" s="478"/>
      <c r="CR230" s="478"/>
      <c r="CS230" s="478"/>
      <c r="CT230" s="478"/>
      <c r="CU230" s="478"/>
      <c r="CV230" s="478"/>
      <c r="CW230" s="478"/>
      <c r="CX230" s="478"/>
      <c r="CY230" s="478"/>
      <c r="CZ230" s="478"/>
      <c r="DA230" s="478"/>
      <c r="DB230" s="478"/>
      <c r="DC230" s="478"/>
      <c r="DD230" s="478"/>
      <c r="DE230" s="478"/>
      <c r="DF230" s="478"/>
      <c r="DG230" s="478"/>
      <c r="DH230" s="478"/>
      <c r="DI230" s="478"/>
    </row>
    <row r="231" spans="1:113" ht="8.1" hidden="1" customHeight="1" outlineLevel="1" x14ac:dyDescent="0.3">
      <c r="A231" s="455" t="str">
        <f t="shared" ref="A231" si="947">IF(COUNTIF(A211:A230,"Imprimir")&gt;0,"Imprimir","")</f>
        <v/>
      </c>
      <c r="B231" s="455"/>
      <c r="C231" s="464"/>
      <c r="D231" s="461"/>
      <c r="E231" s="462"/>
      <c r="F231" s="462"/>
      <c r="G231" s="461"/>
      <c r="H231" s="461"/>
      <c r="I231" s="461"/>
      <c r="J231" s="259"/>
      <c r="K231" s="255"/>
      <c r="L231" s="256"/>
      <c r="M231" s="257"/>
      <c r="N231" s="255"/>
      <c r="O231" s="255"/>
      <c r="P231" s="255"/>
      <c r="Q231" s="255"/>
      <c r="R231" s="255"/>
      <c r="S231" s="255"/>
      <c r="T231" s="255"/>
      <c r="U231" s="255"/>
      <c r="V231" s="255"/>
      <c r="W231" s="255"/>
      <c r="X231" s="255"/>
      <c r="Y231" s="255"/>
      <c r="Z231" s="255"/>
      <c r="AA231" s="255"/>
      <c r="AB231" s="255"/>
      <c r="AC231" s="255"/>
      <c r="AD231" s="255"/>
      <c r="AE231" s="255"/>
      <c r="AF231" s="255"/>
      <c r="AG231" s="255"/>
      <c r="AH231" s="255"/>
      <c r="AI231" s="255"/>
      <c r="AJ231" s="255"/>
      <c r="AK231" s="255"/>
      <c r="AL231" s="255"/>
      <c r="AM231" s="524"/>
      <c r="AN231" s="255"/>
      <c r="AO231" s="255"/>
      <c r="AP231" s="255"/>
      <c r="AQ231" s="255"/>
      <c r="AR231" s="255"/>
      <c r="AS231" s="255"/>
      <c r="AT231" s="255"/>
      <c r="AU231" s="255"/>
      <c r="AV231" s="255"/>
      <c r="AW231" s="255"/>
      <c r="AX231" s="255"/>
      <c r="AY231" s="255"/>
      <c r="AZ231" s="255"/>
      <c r="BA231" s="255"/>
      <c r="BB231" s="255"/>
      <c r="BC231" s="255"/>
      <c r="BD231" s="255"/>
      <c r="BE231" s="255"/>
      <c r="BF231" s="255"/>
      <c r="BG231" s="255"/>
      <c r="BH231" s="255"/>
      <c r="BI231" s="255"/>
      <c r="BJ231" s="245"/>
      <c r="BK231" s="256"/>
      <c r="BL231" s="256"/>
      <c r="BM231" s="257"/>
      <c r="BN231" s="255"/>
      <c r="BO231" s="255"/>
      <c r="BP231" s="255"/>
      <c r="BQ231" s="255"/>
      <c r="BR231" s="255"/>
      <c r="BS231" s="255"/>
      <c r="BT231" s="255"/>
      <c r="BU231" s="255"/>
      <c r="BV231" s="255"/>
      <c r="BW231" s="255"/>
      <c r="BX231" s="255"/>
      <c r="BY231" s="255"/>
      <c r="BZ231" s="255"/>
      <c r="CA231" s="255"/>
      <c r="CB231" s="255"/>
      <c r="CC231" s="255"/>
      <c r="CD231" s="255"/>
      <c r="CE231" s="255"/>
      <c r="CF231" s="255"/>
      <c r="CG231" s="255"/>
      <c r="CH231" s="255"/>
      <c r="CI231" s="255"/>
      <c r="CJ231" s="255"/>
      <c r="CK231" s="255"/>
      <c r="CL231" s="255"/>
      <c r="CM231" s="255"/>
      <c r="CN231" s="255"/>
      <c r="CO231" s="255"/>
      <c r="CP231" s="255"/>
      <c r="CQ231" s="255"/>
      <c r="CR231" s="255"/>
      <c r="CS231" s="255"/>
      <c r="CT231" s="255"/>
      <c r="CU231" s="255"/>
      <c r="CV231" s="255"/>
      <c r="CW231" s="255"/>
      <c r="CX231" s="255"/>
      <c r="CY231" s="255"/>
      <c r="CZ231" s="255"/>
      <c r="DA231" s="255"/>
      <c r="DB231" s="255"/>
      <c r="DC231" s="255"/>
      <c r="DD231" s="255"/>
      <c r="DE231" s="255"/>
      <c r="DF231" s="255"/>
      <c r="DG231" s="255"/>
      <c r="DH231" s="255"/>
      <c r="DI231" s="524"/>
    </row>
    <row r="232" spans="1:113" ht="16.05" hidden="1" customHeight="1" collapsed="1" x14ac:dyDescent="0.3">
      <c r="A232" s="455" t="str">
        <f t="shared" ref="A232" si="948">IF(COUNTIF(A233:A252,"Imprimir")&gt;0,"Imprimir","")</f>
        <v/>
      </c>
      <c r="B232" s="455"/>
      <c r="C232" s="459"/>
      <c r="D232" s="459"/>
      <c r="E232" s="460" t="s">
        <v>864</v>
      </c>
      <c r="F232" s="460"/>
      <c r="G232" s="460"/>
      <c r="H232" s="465"/>
      <c r="I232" s="465">
        <f>SUBTOTAL(9,I233:I253)</f>
        <v>0</v>
      </c>
      <c r="J232" s="259"/>
      <c r="K232" s="465"/>
      <c r="L232" s="465">
        <f>SUBTOTAL(9,L233:L253)</f>
        <v>0</v>
      </c>
      <c r="M232" s="257"/>
      <c r="N232" s="465">
        <f>SUMPRODUCT(N233:N253,$H233:$H253)</f>
        <v>0</v>
      </c>
      <c r="O232" s="465">
        <f>SUMPRODUCT(O233:O253,$H233:$H253)</f>
        <v>0</v>
      </c>
      <c r="P232" s="465">
        <f t="shared" ref="P232" si="949">SUMPRODUCT(P233:P253,$H233:$H253)</f>
        <v>0</v>
      </c>
      <c r="Q232" s="465">
        <f t="shared" ref="Q232" si="950">SUMPRODUCT(Q233:Q253,$H233:$H253)</f>
        <v>0</v>
      </c>
      <c r="R232" s="465">
        <f t="shared" ref="R232" si="951">SUMPRODUCT(R233:R253,$H233:$H253)</f>
        <v>0</v>
      </c>
      <c r="S232" s="465">
        <f t="shared" ref="S232" si="952">SUMPRODUCT(S233:S253,$H233:$H253)</f>
        <v>0</v>
      </c>
      <c r="T232" s="465">
        <f t="shared" ref="T232" si="953">SUMPRODUCT(T233:T253,$H233:$H253)</f>
        <v>0</v>
      </c>
      <c r="U232" s="465">
        <f t="shared" ref="U232" si="954">SUMPRODUCT(U233:U253,$H233:$H253)</f>
        <v>0</v>
      </c>
      <c r="V232" s="465">
        <f t="shared" ref="V232" si="955">SUMPRODUCT(V233:V253,$H233:$H253)</f>
        <v>0</v>
      </c>
      <c r="W232" s="465">
        <f t="shared" ref="W232" si="956">SUMPRODUCT(W233:W253,$H233:$H253)</f>
        <v>0</v>
      </c>
      <c r="X232" s="465">
        <f t="shared" ref="X232" si="957">SUMPRODUCT(X233:X253,$H233:$H253)</f>
        <v>0</v>
      </c>
      <c r="Y232" s="465">
        <f t="shared" ref="Y232" si="958">SUMPRODUCT(Y233:Y253,$H233:$H253)</f>
        <v>0</v>
      </c>
      <c r="Z232" s="465">
        <f t="shared" ref="Z232" si="959">SUMPRODUCT(Z233:Z253,$H233:$H253)</f>
        <v>0</v>
      </c>
      <c r="AA232" s="465">
        <f t="shared" ref="AA232" si="960">SUMPRODUCT(AA233:AA253,$H233:$H253)</f>
        <v>0</v>
      </c>
      <c r="AB232" s="465">
        <f t="shared" ref="AB232" si="961">SUMPRODUCT(AB233:AB253,$H233:$H253)</f>
        <v>0</v>
      </c>
      <c r="AC232" s="465">
        <f t="shared" ref="AC232" si="962">SUMPRODUCT(AC233:AC253,$H233:$H253)</f>
        <v>0</v>
      </c>
      <c r="AD232" s="465">
        <f t="shared" ref="AD232" si="963">SUMPRODUCT(AD233:AD253,$H233:$H253)</f>
        <v>0</v>
      </c>
      <c r="AE232" s="465">
        <f t="shared" ref="AE232" si="964">SUMPRODUCT(AE233:AE253,$H233:$H253)</f>
        <v>0</v>
      </c>
      <c r="AF232" s="465">
        <f t="shared" ref="AF232" si="965">SUMPRODUCT(AF233:AF253,$H233:$H253)</f>
        <v>0</v>
      </c>
      <c r="AG232" s="465">
        <f t="shared" ref="AG232" si="966">SUMPRODUCT(AG233:AG253,$H233:$H253)</f>
        <v>0</v>
      </c>
      <c r="AH232" s="465">
        <f t="shared" ref="AH232" si="967">SUMPRODUCT(AH233:AH253,$H233:$H253)</f>
        <v>0</v>
      </c>
      <c r="AI232" s="465">
        <f t="shared" ref="AI232" si="968">SUMPRODUCT(AI233:AI253,$H233:$H253)</f>
        <v>0</v>
      </c>
      <c r="AJ232" s="465">
        <f t="shared" ref="AJ232:BI232" si="969">SUMPRODUCT(AJ233:AJ253,$H233:$H253)</f>
        <v>0</v>
      </c>
      <c r="AK232" s="465">
        <f t="shared" si="969"/>
        <v>0</v>
      </c>
      <c r="AL232" s="465">
        <f t="shared" si="969"/>
        <v>0</v>
      </c>
      <c r="AM232" s="465">
        <f t="shared" si="969"/>
        <v>0</v>
      </c>
      <c r="AN232" s="465">
        <f t="shared" si="969"/>
        <v>0</v>
      </c>
      <c r="AO232" s="465">
        <f t="shared" si="969"/>
        <v>0</v>
      </c>
      <c r="AP232" s="465">
        <f t="shared" si="969"/>
        <v>0</v>
      </c>
      <c r="AQ232" s="465">
        <f t="shared" si="969"/>
        <v>0</v>
      </c>
      <c r="AR232" s="465">
        <f t="shared" si="969"/>
        <v>0</v>
      </c>
      <c r="AS232" s="465">
        <f t="shared" si="969"/>
        <v>0</v>
      </c>
      <c r="AT232" s="465">
        <f t="shared" si="969"/>
        <v>0</v>
      </c>
      <c r="AU232" s="465">
        <f t="shared" si="969"/>
        <v>0</v>
      </c>
      <c r="AV232" s="465">
        <f t="shared" si="969"/>
        <v>0</v>
      </c>
      <c r="AW232" s="465">
        <f t="shared" si="969"/>
        <v>0</v>
      </c>
      <c r="AX232" s="465">
        <f t="shared" si="969"/>
        <v>0</v>
      </c>
      <c r="AY232" s="465">
        <f t="shared" si="969"/>
        <v>0</v>
      </c>
      <c r="AZ232" s="465">
        <f t="shared" si="969"/>
        <v>0</v>
      </c>
      <c r="BA232" s="465">
        <f t="shared" si="969"/>
        <v>0</v>
      </c>
      <c r="BB232" s="465">
        <f t="shared" si="969"/>
        <v>0</v>
      </c>
      <c r="BC232" s="465">
        <f t="shared" si="969"/>
        <v>0</v>
      </c>
      <c r="BD232" s="465">
        <f t="shared" si="969"/>
        <v>0</v>
      </c>
      <c r="BE232" s="465">
        <f t="shared" si="969"/>
        <v>0</v>
      </c>
      <c r="BF232" s="465">
        <f t="shared" si="969"/>
        <v>0</v>
      </c>
      <c r="BG232" s="465">
        <f t="shared" si="969"/>
        <v>0</v>
      </c>
      <c r="BH232" s="465">
        <f t="shared" si="969"/>
        <v>0</v>
      </c>
      <c r="BI232" s="543">
        <f t="shared" si="969"/>
        <v>0</v>
      </c>
      <c r="BJ232" s="546"/>
      <c r="BK232" s="475">
        <f t="shared" ref="BK232" si="970">IFERROR(BL232/I232,0)</f>
        <v>0</v>
      </c>
      <c r="BL232" s="465">
        <f>SUBTOTAL(9,BL233:BL253)</f>
        <v>0</v>
      </c>
      <c r="BM232" s="257"/>
      <c r="BN232" s="465">
        <f>SUMPRODUCT(BN233:BN253,$H233:$H253)</f>
        <v>0</v>
      </c>
      <c r="BO232" s="465">
        <f>SUMPRODUCT(BO233:BO253,$H233:$H253)</f>
        <v>0</v>
      </c>
      <c r="BP232" s="465">
        <f t="shared" ref="BP232" si="971">SUMPRODUCT(BP233:BP253,$H233:$H253)</f>
        <v>0</v>
      </c>
      <c r="BQ232" s="465">
        <f t="shared" ref="BQ232" si="972">SUMPRODUCT(BQ233:BQ253,$H233:$H253)</f>
        <v>0</v>
      </c>
      <c r="BR232" s="465">
        <f t="shared" ref="BR232" si="973">SUMPRODUCT(BR233:BR253,$H233:$H253)</f>
        <v>0</v>
      </c>
      <c r="BS232" s="465">
        <f t="shared" ref="BS232" si="974">SUMPRODUCT(BS233:BS253,$H233:$H253)</f>
        <v>0</v>
      </c>
      <c r="BT232" s="465">
        <f t="shared" ref="BT232" si="975">SUMPRODUCT(BT233:BT253,$H233:$H253)</f>
        <v>0</v>
      </c>
      <c r="BU232" s="465">
        <f t="shared" ref="BU232" si="976">SUMPRODUCT(BU233:BU253,$H233:$H253)</f>
        <v>0</v>
      </c>
      <c r="BV232" s="465">
        <f t="shared" ref="BV232" si="977">SUMPRODUCT(BV233:BV253,$H233:$H253)</f>
        <v>0</v>
      </c>
      <c r="BW232" s="465">
        <f t="shared" ref="BW232" si="978">SUMPRODUCT(BW233:BW253,$H233:$H253)</f>
        <v>0</v>
      </c>
      <c r="BX232" s="465">
        <f t="shared" ref="BX232" si="979">SUMPRODUCT(BX233:BX253,$H233:$H253)</f>
        <v>0</v>
      </c>
      <c r="BY232" s="465">
        <f t="shared" ref="BY232" si="980">SUMPRODUCT(BY233:BY253,$H233:$H253)</f>
        <v>0</v>
      </c>
      <c r="BZ232" s="465">
        <f t="shared" ref="BZ232" si="981">SUMPRODUCT(BZ233:BZ253,$H233:$H253)</f>
        <v>0</v>
      </c>
      <c r="CA232" s="465">
        <f t="shared" ref="CA232" si="982">SUMPRODUCT(CA233:CA253,$H233:$H253)</f>
        <v>0</v>
      </c>
      <c r="CB232" s="465">
        <f t="shared" ref="CB232" si="983">SUMPRODUCT(CB233:CB253,$H233:$H253)</f>
        <v>0</v>
      </c>
      <c r="CC232" s="465">
        <f t="shared" ref="CC232" si="984">SUMPRODUCT(CC233:CC253,$H233:$H253)</f>
        <v>0</v>
      </c>
      <c r="CD232" s="465">
        <f t="shared" ref="CD232" si="985">SUMPRODUCT(CD233:CD253,$H233:$H253)</f>
        <v>0</v>
      </c>
      <c r="CE232" s="465">
        <f t="shared" ref="CE232" si="986">SUMPRODUCT(CE233:CE253,$H233:$H253)</f>
        <v>0</v>
      </c>
      <c r="CF232" s="465">
        <f t="shared" ref="CF232" si="987">SUMPRODUCT(CF233:CF253,$H233:$H253)</f>
        <v>0</v>
      </c>
      <c r="CG232" s="465">
        <f t="shared" ref="CG232" si="988">SUMPRODUCT(CG233:CG253,$H233:$H253)</f>
        <v>0</v>
      </c>
      <c r="CH232" s="465">
        <f t="shared" ref="CH232" si="989">SUMPRODUCT(CH233:CH253,$H233:$H253)</f>
        <v>0</v>
      </c>
      <c r="CI232" s="465">
        <f t="shared" ref="CI232" si="990">SUMPRODUCT(CI233:CI253,$H233:$H253)</f>
        <v>0</v>
      </c>
      <c r="CJ232" s="465">
        <f t="shared" ref="CJ232" si="991">SUMPRODUCT(CJ233:CJ253,$H233:$H253)</f>
        <v>0</v>
      </c>
      <c r="CK232" s="465">
        <f t="shared" ref="CK232" si="992">SUMPRODUCT(CK233:CK253,$H233:$H253)</f>
        <v>0</v>
      </c>
      <c r="CL232" s="465">
        <f t="shared" ref="CL232" si="993">SUMPRODUCT(CL233:CL253,$H233:$H253)</f>
        <v>0</v>
      </c>
      <c r="CM232" s="465">
        <f t="shared" ref="CM232" si="994">SUMPRODUCT(CM233:CM253,$H233:$H253)</f>
        <v>0</v>
      </c>
      <c r="CN232" s="465">
        <f t="shared" ref="CN232" si="995">SUMPRODUCT(CN233:CN253,$H233:$H253)</f>
        <v>0</v>
      </c>
      <c r="CO232" s="465">
        <f t="shared" ref="CO232" si="996">SUMPRODUCT(CO233:CO253,$H233:$H253)</f>
        <v>0</v>
      </c>
      <c r="CP232" s="465">
        <f t="shared" ref="CP232" si="997">SUMPRODUCT(CP233:CP253,$H233:$H253)</f>
        <v>0</v>
      </c>
      <c r="CQ232" s="465">
        <f t="shared" ref="CQ232" si="998">SUMPRODUCT(CQ233:CQ253,$H233:$H253)</f>
        <v>0</v>
      </c>
      <c r="CR232" s="465">
        <f t="shared" ref="CR232" si="999">SUMPRODUCT(CR233:CR253,$H233:$H253)</f>
        <v>0</v>
      </c>
      <c r="CS232" s="465">
        <f t="shared" ref="CS232" si="1000">SUMPRODUCT(CS233:CS253,$H233:$H253)</f>
        <v>0</v>
      </c>
      <c r="CT232" s="465">
        <f t="shared" ref="CT232" si="1001">SUMPRODUCT(CT233:CT253,$H233:$H253)</f>
        <v>0</v>
      </c>
      <c r="CU232" s="465">
        <f t="shared" ref="CU232" si="1002">SUMPRODUCT(CU233:CU253,$H233:$H253)</f>
        <v>0</v>
      </c>
      <c r="CV232" s="465">
        <f t="shared" ref="CV232" si="1003">SUMPRODUCT(CV233:CV253,$H233:$H253)</f>
        <v>0</v>
      </c>
      <c r="CW232" s="465">
        <f t="shared" ref="CW232" si="1004">SUMPRODUCT(CW233:CW253,$H233:$H253)</f>
        <v>0</v>
      </c>
      <c r="CX232" s="465">
        <f t="shared" ref="CX232" si="1005">SUMPRODUCT(CX233:CX253,$H233:$H253)</f>
        <v>0</v>
      </c>
      <c r="CY232" s="465">
        <f t="shared" ref="CY232" si="1006">SUMPRODUCT(CY233:CY253,$H233:$H253)</f>
        <v>0</v>
      </c>
      <c r="CZ232" s="465">
        <f t="shared" ref="CZ232" si="1007">SUMPRODUCT(CZ233:CZ253,$H233:$H253)</f>
        <v>0</v>
      </c>
      <c r="DA232" s="465">
        <f t="shared" ref="DA232" si="1008">SUMPRODUCT(DA233:DA253,$H233:$H253)</f>
        <v>0</v>
      </c>
      <c r="DB232" s="465">
        <f t="shared" ref="DB232" si="1009">SUMPRODUCT(DB233:DB253,$H233:$H253)</f>
        <v>0</v>
      </c>
      <c r="DC232" s="465">
        <f t="shared" ref="DC232" si="1010">SUMPRODUCT(DC233:DC253,$H233:$H253)</f>
        <v>0</v>
      </c>
      <c r="DD232" s="465">
        <f t="shared" ref="DD232" si="1011">SUMPRODUCT(DD233:DD253,$H233:$H253)</f>
        <v>0</v>
      </c>
      <c r="DE232" s="465">
        <f t="shared" ref="DE232" si="1012">SUMPRODUCT(DE233:DE253,$H233:$H253)</f>
        <v>0</v>
      </c>
      <c r="DF232" s="465">
        <f t="shared" ref="DF232" si="1013">SUMPRODUCT(DF233:DF253,$H233:$H253)</f>
        <v>0</v>
      </c>
      <c r="DG232" s="465">
        <f t="shared" ref="DG232" si="1014">SUMPRODUCT(DG233:DG253,$H233:$H253)</f>
        <v>0</v>
      </c>
      <c r="DH232" s="465">
        <f t="shared" ref="DH232" si="1015">SUMPRODUCT(DH233:DH253,$H233:$H253)</f>
        <v>0</v>
      </c>
      <c r="DI232" s="465">
        <f t="shared" ref="DI232" si="1016">SUMPRODUCT(DI233:DI253,$H233:$H253)</f>
        <v>0</v>
      </c>
    </row>
    <row r="233" spans="1:113" ht="16.05" hidden="1" customHeight="1" outlineLevel="1" x14ac:dyDescent="0.3">
      <c r="A233" s="455" t="str">
        <f t="shared" si="941"/>
        <v/>
      </c>
      <c r="B233" s="455"/>
      <c r="C233" s="481"/>
      <c r="D233" s="463" t="s">
        <v>865</v>
      </c>
      <c r="E233" s="482"/>
      <c r="F233" s="483"/>
      <c r="G233" s="484"/>
      <c r="H233" s="485"/>
      <c r="I233" s="466">
        <f t="shared" ref="I233:I252" si="1017">G233*H233</f>
        <v>0</v>
      </c>
      <c r="J233" s="259"/>
      <c r="K233" s="478">
        <f>SUM(N233:BI233)</f>
        <v>0</v>
      </c>
      <c r="L233" s="466">
        <f>K233*$H233</f>
        <v>0</v>
      </c>
      <c r="M233" s="257"/>
      <c r="N233" s="478"/>
      <c r="O233" s="478"/>
      <c r="P233" s="478"/>
      <c r="Q233" s="478"/>
      <c r="R233" s="478"/>
      <c r="S233" s="478"/>
      <c r="T233" s="478"/>
      <c r="U233" s="478"/>
      <c r="V233" s="478"/>
      <c r="W233" s="478"/>
      <c r="X233" s="478"/>
      <c r="Y233" s="478"/>
      <c r="Z233" s="478"/>
      <c r="AA233" s="478"/>
      <c r="AB233" s="478"/>
      <c r="AC233" s="478"/>
      <c r="AD233" s="478"/>
      <c r="AE233" s="478"/>
      <c r="AF233" s="478"/>
      <c r="AG233" s="478"/>
      <c r="AH233" s="478"/>
      <c r="AI233" s="478"/>
      <c r="AJ233" s="478"/>
      <c r="AK233" s="478"/>
      <c r="AL233" s="478"/>
      <c r="AM233" s="478"/>
      <c r="AN233" s="478"/>
      <c r="AO233" s="478"/>
      <c r="AP233" s="478"/>
      <c r="AQ233" s="478"/>
      <c r="AR233" s="478"/>
      <c r="AS233" s="478"/>
      <c r="AT233" s="478"/>
      <c r="AU233" s="478"/>
      <c r="AV233" s="478"/>
      <c r="AW233" s="478"/>
      <c r="AX233" s="478"/>
      <c r="AY233" s="478"/>
      <c r="AZ233" s="478"/>
      <c r="BA233" s="478"/>
      <c r="BB233" s="478"/>
      <c r="BC233" s="478"/>
      <c r="BD233" s="478"/>
      <c r="BE233" s="478"/>
      <c r="BF233" s="478"/>
      <c r="BG233" s="478"/>
      <c r="BH233" s="478"/>
      <c r="BI233" s="478"/>
      <c r="BJ233" s="245"/>
      <c r="BK233" s="477">
        <f>IFERROR(BL233/I233,0)</f>
        <v>0</v>
      </c>
      <c r="BL233" s="466">
        <f>SUM(BN233:DJ233)*$H233</f>
        <v>0</v>
      </c>
      <c r="BM233" s="257"/>
      <c r="BN233" s="478"/>
      <c r="BO233" s="478"/>
      <c r="BP233" s="478"/>
      <c r="BQ233" s="478"/>
      <c r="BR233" s="478"/>
      <c r="BS233" s="478"/>
      <c r="BT233" s="478"/>
      <c r="BU233" s="478"/>
      <c r="BV233" s="478"/>
      <c r="BW233" s="478"/>
      <c r="BX233" s="478"/>
      <c r="BY233" s="478"/>
      <c r="BZ233" s="478"/>
      <c r="CA233" s="478"/>
      <c r="CB233" s="478"/>
      <c r="CC233" s="478"/>
      <c r="CD233" s="478"/>
      <c r="CE233" s="478"/>
      <c r="CF233" s="478"/>
      <c r="CG233" s="478"/>
      <c r="CH233" s="478"/>
      <c r="CI233" s="478"/>
      <c r="CJ233" s="478"/>
      <c r="CK233" s="478"/>
      <c r="CL233" s="478"/>
      <c r="CM233" s="478"/>
      <c r="CN233" s="478"/>
      <c r="CO233" s="478"/>
      <c r="CP233" s="478"/>
      <c r="CQ233" s="478"/>
      <c r="CR233" s="478"/>
      <c r="CS233" s="478"/>
      <c r="CT233" s="478"/>
      <c r="CU233" s="478"/>
      <c r="CV233" s="478"/>
      <c r="CW233" s="478"/>
      <c r="CX233" s="478"/>
      <c r="CY233" s="478"/>
      <c r="CZ233" s="478"/>
      <c r="DA233" s="478"/>
      <c r="DB233" s="478"/>
      <c r="DC233" s="478"/>
      <c r="DD233" s="478"/>
      <c r="DE233" s="478"/>
      <c r="DF233" s="478"/>
      <c r="DG233" s="478"/>
      <c r="DH233" s="478"/>
      <c r="DI233" s="478"/>
    </row>
    <row r="234" spans="1:113" ht="16.05" hidden="1" customHeight="1" outlineLevel="1" x14ac:dyDescent="0.3">
      <c r="A234" s="455" t="str">
        <f t="shared" si="941"/>
        <v/>
      </c>
      <c r="B234" s="455"/>
      <c r="C234" s="481"/>
      <c r="D234" s="463" t="s">
        <v>866</v>
      </c>
      <c r="E234" s="482"/>
      <c r="F234" s="483"/>
      <c r="G234" s="484"/>
      <c r="H234" s="485"/>
      <c r="I234" s="466">
        <f t="shared" si="1017"/>
        <v>0</v>
      </c>
      <c r="J234" s="259"/>
      <c r="K234" s="478">
        <f t="shared" ref="K234:K252" si="1018">SUM(N234:BI234)</f>
        <v>0</v>
      </c>
      <c r="L234" s="466">
        <f t="shared" ref="L234:L252" si="1019">K234*$H234</f>
        <v>0</v>
      </c>
      <c r="M234" s="257"/>
      <c r="N234" s="478"/>
      <c r="O234" s="478"/>
      <c r="P234" s="478"/>
      <c r="Q234" s="478"/>
      <c r="R234" s="478"/>
      <c r="S234" s="478"/>
      <c r="T234" s="478"/>
      <c r="U234" s="478"/>
      <c r="V234" s="478"/>
      <c r="W234" s="478"/>
      <c r="X234" s="478"/>
      <c r="Y234" s="478"/>
      <c r="Z234" s="478"/>
      <c r="AA234" s="478"/>
      <c r="AB234" s="478"/>
      <c r="AC234" s="478"/>
      <c r="AD234" s="478"/>
      <c r="AE234" s="478"/>
      <c r="AF234" s="478"/>
      <c r="AG234" s="478"/>
      <c r="AH234" s="478"/>
      <c r="AI234" s="478"/>
      <c r="AJ234" s="478"/>
      <c r="AK234" s="478"/>
      <c r="AL234" s="478"/>
      <c r="AM234" s="478"/>
      <c r="AN234" s="478"/>
      <c r="AO234" s="478"/>
      <c r="AP234" s="478"/>
      <c r="AQ234" s="478"/>
      <c r="AR234" s="478"/>
      <c r="AS234" s="478"/>
      <c r="AT234" s="478"/>
      <c r="AU234" s="478"/>
      <c r="AV234" s="478"/>
      <c r="AW234" s="478"/>
      <c r="AX234" s="478"/>
      <c r="AY234" s="478"/>
      <c r="AZ234" s="478"/>
      <c r="BA234" s="478"/>
      <c r="BB234" s="478"/>
      <c r="BC234" s="478"/>
      <c r="BD234" s="478"/>
      <c r="BE234" s="478"/>
      <c r="BF234" s="478"/>
      <c r="BG234" s="478"/>
      <c r="BH234" s="478"/>
      <c r="BI234" s="478"/>
      <c r="BJ234" s="245"/>
      <c r="BK234" s="477">
        <f t="shared" ref="BK234:BK252" si="1020">IFERROR(BL234/I234,0)</f>
        <v>0</v>
      </c>
      <c r="BL234" s="466">
        <f t="shared" ref="BL234:BL252" si="1021">SUM(BN234:DJ234)*$H234</f>
        <v>0</v>
      </c>
      <c r="BM234" s="257"/>
      <c r="BN234" s="478"/>
      <c r="BO234" s="478"/>
      <c r="BP234" s="478"/>
      <c r="BQ234" s="478"/>
      <c r="BR234" s="478"/>
      <c r="BS234" s="478"/>
      <c r="BT234" s="478"/>
      <c r="BU234" s="478"/>
      <c r="BV234" s="478"/>
      <c r="BW234" s="478"/>
      <c r="BX234" s="478"/>
      <c r="BY234" s="478"/>
      <c r="BZ234" s="478"/>
      <c r="CA234" s="478"/>
      <c r="CB234" s="478"/>
      <c r="CC234" s="478"/>
      <c r="CD234" s="478"/>
      <c r="CE234" s="478"/>
      <c r="CF234" s="478"/>
      <c r="CG234" s="478"/>
      <c r="CH234" s="478"/>
      <c r="CI234" s="478"/>
      <c r="CJ234" s="478"/>
      <c r="CK234" s="478"/>
      <c r="CL234" s="478"/>
      <c r="CM234" s="478"/>
      <c r="CN234" s="478"/>
      <c r="CO234" s="478"/>
      <c r="CP234" s="478"/>
      <c r="CQ234" s="478"/>
      <c r="CR234" s="478"/>
      <c r="CS234" s="478"/>
      <c r="CT234" s="478"/>
      <c r="CU234" s="478"/>
      <c r="CV234" s="478"/>
      <c r="CW234" s="478"/>
      <c r="CX234" s="478"/>
      <c r="CY234" s="478"/>
      <c r="CZ234" s="478"/>
      <c r="DA234" s="478"/>
      <c r="DB234" s="478"/>
      <c r="DC234" s="478"/>
      <c r="DD234" s="478"/>
      <c r="DE234" s="478"/>
      <c r="DF234" s="478"/>
      <c r="DG234" s="478"/>
      <c r="DH234" s="478"/>
      <c r="DI234" s="478"/>
    </row>
    <row r="235" spans="1:113" ht="16.05" hidden="1" customHeight="1" outlineLevel="1" x14ac:dyDescent="0.3">
      <c r="A235" s="455" t="str">
        <f t="shared" si="941"/>
        <v/>
      </c>
      <c r="B235" s="455"/>
      <c r="C235" s="481"/>
      <c r="D235" s="463" t="s">
        <v>867</v>
      </c>
      <c r="E235" s="482"/>
      <c r="F235" s="483"/>
      <c r="G235" s="484"/>
      <c r="H235" s="485"/>
      <c r="I235" s="466">
        <f t="shared" si="1017"/>
        <v>0</v>
      </c>
      <c r="J235" s="259"/>
      <c r="K235" s="478">
        <f t="shared" si="1018"/>
        <v>0</v>
      </c>
      <c r="L235" s="466">
        <f t="shared" si="1019"/>
        <v>0</v>
      </c>
      <c r="M235" s="257"/>
      <c r="N235" s="478"/>
      <c r="O235" s="478"/>
      <c r="P235" s="478"/>
      <c r="Q235" s="478"/>
      <c r="R235" s="478"/>
      <c r="S235" s="478"/>
      <c r="T235" s="478"/>
      <c r="U235" s="478"/>
      <c r="V235" s="478"/>
      <c r="W235" s="478"/>
      <c r="X235" s="478"/>
      <c r="Y235" s="478"/>
      <c r="Z235" s="478"/>
      <c r="AA235" s="478"/>
      <c r="AB235" s="478"/>
      <c r="AC235" s="478"/>
      <c r="AD235" s="478"/>
      <c r="AE235" s="478"/>
      <c r="AF235" s="478"/>
      <c r="AG235" s="478"/>
      <c r="AH235" s="478"/>
      <c r="AI235" s="478"/>
      <c r="AJ235" s="478"/>
      <c r="AK235" s="478"/>
      <c r="AL235" s="478"/>
      <c r="AM235" s="478"/>
      <c r="AN235" s="478"/>
      <c r="AO235" s="478"/>
      <c r="AP235" s="478"/>
      <c r="AQ235" s="478"/>
      <c r="AR235" s="478"/>
      <c r="AS235" s="478"/>
      <c r="AT235" s="478"/>
      <c r="AU235" s="478"/>
      <c r="AV235" s="478"/>
      <c r="AW235" s="478"/>
      <c r="AX235" s="478"/>
      <c r="AY235" s="478"/>
      <c r="AZ235" s="478"/>
      <c r="BA235" s="478"/>
      <c r="BB235" s="478"/>
      <c r="BC235" s="478"/>
      <c r="BD235" s="478"/>
      <c r="BE235" s="478"/>
      <c r="BF235" s="478"/>
      <c r="BG235" s="478"/>
      <c r="BH235" s="478"/>
      <c r="BI235" s="478"/>
      <c r="BJ235" s="245"/>
      <c r="BK235" s="477">
        <f t="shared" si="1020"/>
        <v>0</v>
      </c>
      <c r="BL235" s="466">
        <f t="shared" si="1021"/>
        <v>0</v>
      </c>
      <c r="BM235" s="257"/>
      <c r="BN235" s="478"/>
      <c r="BO235" s="478"/>
      <c r="BP235" s="478"/>
      <c r="BQ235" s="478"/>
      <c r="BR235" s="478"/>
      <c r="BS235" s="478"/>
      <c r="BT235" s="478"/>
      <c r="BU235" s="478"/>
      <c r="BV235" s="478"/>
      <c r="BW235" s="478"/>
      <c r="BX235" s="478"/>
      <c r="BY235" s="478"/>
      <c r="BZ235" s="478"/>
      <c r="CA235" s="478"/>
      <c r="CB235" s="478"/>
      <c r="CC235" s="478"/>
      <c r="CD235" s="478"/>
      <c r="CE235" s="478"/>
      <c r="CF235" s="478"/>
      <c r="CG235" s="478"/>
      <c r="CH235" s="478"/>
      <c r="CI235" s="478"/>
      <c r="CJ235" s="478"/>
      <c r="CK235" s="478"/>
      <c r="CL235" s="478"/>
      <c r="CM235" s="478"/>
      <c r="CN235" s="478"/>
      <c r="CO235" s="478"/>
      <c r="CP235" s="478"/>
      <c r="CQ235" s="478"/>
      <c r="CR235" s="478"/>
      <c r="CS235" s="478"/>
      <c r="CT235" s="478"/>
      <c r="CU235" s="478"/>
      <c r="CV235" s="478"/>
      <c r="CW235" s="478"/>
      <c r="CX235" s="478"/>
      <c r="CY235" s="478"/>
      <c r="CZ235" s="478"/>
      <c r="DA235" s="478"/>
      <c r="DB235" s="478"/>
      <c r="DC235" s="478"/>
      <c r="DD235" s="478"/>
      <c r="DE235" s="478"/>
      <c r="DF235" s="478"/>
      <c r="DG235" s="478"/>
      <c r="DH235" s="478"/>
      <c r="DI235" s="478"/>
    </row>
    <row r="236" spans="1:113" ht="16.05" hidden="1" customHeight="1" outlineLevel="1" x14ac:dyDescent="0.3">
      <c r="A236" s="455" t="str">
        <f t="shared" si="941"/>
        <v/>
      </c>
      <c r="B236" s="455"/>
      <c r="C236" s="481"/>
      <c r="D236" s="463" t="s">
        <v>868</v>
      </c>
      <c r="E236" s="482"/>
      <c r="F236" s="483"/>
      <c r="G236" s="484"/>
      <c r="H236" s="485"/>
      <c r="I236" s="466">
        <f t="shared" si="1017"/>
        <v>0</v>
      </c>
      <c r="J236" s="259"/>
      <c r="K236" s="478">
        <f t="shared" si="1018"/>
        <v>0</v>
      </c>
      <c r="L236" s="466">
        <f t="shared" si="1019"/>
        <v>0</v>
      </c>
      <c r="M236" s="257"/>
      <c r="N236" s="478"/>
      <c r="O236" s="478"/>
      <c r="P236" s="478"/>
      <c r="Q236" s="478"/>
      <c r="R236" s="478"/>
      <c r="S236" s="478"/>
      <c r="T236" s="478"/>
      <c r="U236" s="478"/>
      <c r="V236" s="478"/>
      <c r="W236" s="478"/>
      <c r="X236" s="478"/>
      <c r="Y236" s="478"/>
      <c r="Z236" s="478"/>
      <c r="AA236" s="478"/>
      <c r="AB236" s="478"/>
      <c r="AC236" s="478"/>
      <c r="AD236" s="478"/>
      <c r="AE236" s="478"/>
      <c r="AF236" s="478"/>
      <c r="AG236" s="478"/>
      <c r="AH236" s="478"/>
      <c r="AI236" s="478"/>
      <c r="AJ236" s="478"/>
      <c r="AK236" s="478"/>
      <c r="AL236" s="478"/>
      <c r="AM236" s="478"/>
      <c r="AN236" s="478"/>
      <c r="AO236" s="478"/>
      <c r="AP236" s="478"/>
      <c r="AQ236" s="478"/>
      <c r="AR236" s="478"/>
      <c r="AS236" s="478"/>
      <c r="AT236" s="478"/>
      <c r="AU236" s="478"/>
      <c r="AV236" s="478"/>
      <c r="AW236" s="478"/>
      <c r="AX236" s="478"/>
      <c r="AY236" s="478"/>
      <c r="AZ236" s="478"/>
      <c r="BA236" s="478"/>
      <c r="BB236" s="478"/>
      <c r="BC236" s="478"/>
      <c r="BD236" s="478"/>
      <c r="BE236" s="478"/>
      <c r="BF236" s="478"/>
      <c r="BG236" s="478"/>
      <c r="BH236" s="478"/>
      <c r="BI236" s="478"/>
      <c r="BJ236" s="245"/>
      <c r="BK236" s="477">
        <f t="shared" si="1020"/>
        <v>0</v>
      </c>
      <c r="BL236" s="466">
        <f t="shared" si="1021"/>
        <v>0</v>
      </c>
      <c r="BM236" s="257"/>
      <c r="BN236" s="478"/>
      <c r="BO236" s="478"/>
      <c r="BP236" s="478"/>
      <c r="BQ236" s="478"/>
      <c r="BR236" s="478"/>
      <c r="BS236" s="478"/>
      <c r="BT236" s="478"/>
      <c r="BU236" s="478"/>
      <c r="BV236" s="478"/>
      <c r="BW236" s="478"/>
      <c r="BX236" s="478"/>
      <c r="BY236" s="478"/>
      <c r="BZ236" s="478"/>
      <c r="CA236" s="478"/>
      <c r="CB236" s="478"/>
      <c r="CC236" s="478"/>
      <c r="CD236" s="478"/>
      <c r="CE236" s="478"/>
      <c r="CF236" s="478"/>
      <c r="CG236" s="478"/>
      <c r="CH236" s="478"/>
      <c r="CI236" s="478"/>
      <c r="CJ236" s="478"/>
      <c r="CK236" s="478"/>
      <c r="CL236" s="478"/>
      <c r="CM236" s="478"/>
      <c r="CN236" s="478"/>
      <c r="CO236" s="478"/>
      <c r="CP236" s="478"/>
      <c r="CQ236" s="478"/>
      <c r="CR236" s="478"/>
      <c r="CS236" s="478"/>
      <c r="CT236" s="478"/>
      <c r="CU236" s="478"/>
      <c r="CV236" s="478"/>
      <c r="CW236" s="478"/>
      <c r="CX236" s="478"/>
      <c r="CY236" s="478"/>
      <c r="CZ236" s="478"/>
      <c r="DA236" s="478"/>
      <c r="DB236" s="478"/>
      <c r="DC236" s="478"/>
      <c r="DD236" s="478"/>
      <c r="DE236" s="478"/>
      <c r="DF236" s="478"/>
      <c r="DG236" s="478"/>
      <c r="DH236" s="478"/>
      <c r="DI236" s="478"/>
    </row>
    <row r="237" spans="1:113" ht="16.05" hidden="1" customHeight="1" outlineLevel="1" x14ac:dyDescent="0.3">
      <c r="A237" s="455" t="str">
        <f t="shared" si="941"/>
        <v/>
      </c>
      <c r="B237" s="455"/>
      <c r="C237" s="481"/>
      <c r="D237" s="463" t="s">
        <v>869</v>
      </c>
      <c r="E237" s="482"/>
      <c r="F237" s="483"/>
      <c r="G237" s="484"/>
      <c r="H237" s="485"/>
      <c r="I237" s="466">
        <f t="shared" si="1017"/>
        <v>0</v>
      </c>
      <c r="J237" s="259"/>
      <c r="K237" s="478">
        <f t="shared" si="1018"/>
        <v>0</v>
      </c>
      <c r="L237" s="466">
        <f t="shared" si="1019"/>
        <v>0</v>
      </c>
      <c r="M237" s="257"/>
      <c r="N237" s="478"/>
      <c r="O237" s="478"/>
      <c r="P237" s="478"/>
      <c r="Q237" s="478"/>
      <c r="R237" s="478"/>
      <c r="S237" s="478"/>
      <c r="T237" s="478"/>
      <c r="U237" s="478"/>
      <c r="V237" s="478"/>
      <c r="W237" s="478"/>
      <c r="X237" s="478"/>
      <c r="Y237" s="478"/>
      <c r="Z237" s="478"/>
      <c r="AA237" s="478"/>
      <c r="AB237" s="478"/>
      <c r="AC237" s="478"/>
      <c r="AD237" s="478"/>
      <c r="AE237" s="478"/>
      <c r="AF237" s="478"/>
      <c r="AG237" s="478"/>
      <c r="AH237" s="478"/>
      <c r="AI237" s="478"/>
      <c r="AJ237" s="478"/>
      <c r="AK237" s="478"/>
      <c r="AL237" s="478"/>
      <c r="AM237" s="478"/>
      <c r="AN237" s="478"/>
      <c r="AO237" s="478"/>
      <c r="AP237" s="478"/>
      <c r="AQ237" s="478"/>
      <c r="AR237" s="478"/>
      <c r="AS237" s="478"/>
      <c r="AT237" s="478"/>
      <c r="AU237" s="478"/>
      <c r="AV237" s="478"/>
      <c r="AW237" s="478"/>
      <c r="AX237" s="478"/>
      <c r="AY237" s="478"/>
      <c r="AZ237" s="478"/>
      <c r="BA237" s="478"/>
      <c r="BB237" s="478"/>
      <c r="BC237" s="478"/>
      <c r="BD237" s="478"/>
      <c r="BE237" s="478"/>
      <c r="BF237" s="478"/>
      <c r="BG237" s="478"/>
      <c r="BH237" s="478"/>
      <c r="BI237" s="478"/>
      <c r="BJ237" s="245"/>
      <c r="BK237" s="477">
        <f t="shared" si="1020"/>
        <v>0</v>
      </c>
      <c r="BL237" s="466">
        <f t="shared" si="1021"/>
        <v>0</v>
      </c>
      <c r="BM237" s="257"/>
      <c r="BN237" s="478"/>
      <c r="BO237" s="478"/>
      <c r="BP237" s="478"/>
      <c r="BQ237" s="478"/>
      <c r="BR237" s="478"/>
      <c r="BS237" s="478"/>
      <c r="BT237" s="478"/>
      <c r="BU237" s="478"/>
      <c r="BV237" s="478"/>
      <c r="BW237" s="478"/>
      <c r="BX237" s="478"/>
      <c r="BY237" s="478"/>
      <c r="BZ237" s="478"/>
      <c r="CA237" s="478"/>
      <c r="CB237" s="478"/>
      <c r="CC237" s="478"/>
      <c r="CD237" s="478"/>
      <c r="CE237" s="478"/>
      <c r="CF237" s="478"/>
      <c r="CG237" s="478"/>
      <c r="CH237" s="478"/>
      <c r="CI237" s="478"/>
      <c r="CJ237" s="478"/>
      <c r="CK237" s="478"/>
      <c r="CL237" s="478"/>
      <c r="CM237" s="478"/>
      <c r="CN237" s="478"/>
      <c r="CO237" s="478"/>
      <c r="CP237" s="478"/>
      <c r="CQ237" s="478"/>
      <c r="CR237" s="478"/>
      <c r="CS237" s="478"/>
      <c r="CT237" s="478"/>
      <c r="CU237" s="478"/>
      <c r="CV237" s="478"/>
      <c r="CW237" s="478"/>
      <c r="CX237" s="478"/>
      <c r="CY237" s="478"/>
      <c r="CZ237" s="478"/>
      <c r="DA237" s="478"/>
      <c r="DB237" s="478"/>
      <c r="DC237" s="478"/>
      <c r="DD237" s="478"/>
      <c r="DE237" s="478"/>
      <c r="DF237" s="478"/>
      <c r="DG237" s="478"/>
      <c r="DH237" s="478"/>
      <c r="DI237" s="478"/>
    </row>
    <row r="238" spans="1:113" ht="16.05" hidden="1" customHeight="1" outlineLevel="1" x14ac:dyDescent="0.3">
      <c r="A238" s="455" t="str">
        <f t="shared" si="941"/>
        <v/>
      </c>
      <c r="B238" s="455"/>
      <c r="C238" s="481"/>
      <c r="D238" s="463" t="s">
        <v>870</v>
      </c>
      <c r="E238" s="482"/>
      <c r="F238" s="483"/>
      <c r="G238" s="484"/>
      <c r="H238" s="485"/>
      <c r="I238" s="466">
        <f t="shared" si="1017"/>
        <v>0</v>
      </c>
      <c r="J238" s="259"/>
      <c r="K238" s="478">
        <f t="shared" si="1018"/>
        <v>0</v>
      </c>
      <c r="L238" s="466">
        <f t="shared" si="1019"/>
        <v>0</v>
      </c>
      <c r="M238" s="257"/>
      <c r="N238" s="478"/>
      <c r="O238" s="478"/>
      <c r="P238" s="478"/>
      <c r="Q238" s="478"/>
      <c r="R238" s="478"/>
      <c r="S238" s="478"/>
      <c r="T238" s="478"/>
      <c r="U238" s="478"/>
      <c r="V238" s="478"/>
      <c r="W238" s="478"/>
      <c r="X238" s="478"/>
      <c r="Y238" s="478"/>
      <c r="Z238" s="478"/>
      <c r="AA238" s="478"/>
      <c r="AB238" s="478"/>
      <c r="AC238" s="478"/>
      <c r="AD238" s="478"/>
      <c r="AE238" s="478"/>
      <c r="AF238" s="478"/>
      <c r="AG238" s="478"/>
      <c r="AH238" s="478"/>
      <c r="AI238" s="478"/>
      <c r="AJ238" s="478"/>
      <c r="AK238" s="478"/>
      <c r="AL238" s="478"/>
      <c r="AM238" s="478"/>
      <c r="AN238" s="478"/>
      <c r="AO238" s="478"/>
      <c r="AP238" s="478"/>
      <c r="AQ238" s="478"/>
      <c r="AR238" s="478"/>
      <c r="AS238" s="478"/>
      <c r="AT238" s="478"/>
      <c r="AU238" s="478"/>
      <c r="AV238" s="478"/>
      <c r="AW238" s="478"/>
      <c r="AX238" s="478"/>
      <c r="AY238" s="478"/>
      <c r="AZ238" s="478"/>
      <c r="BA238" s="478"/>
      <c r="BB238" s="478"/>
      <c r="BC238" s="478"/>
      <c r="BD238" s="478"/>
      <c r="BE238" s="478"/>
      <c r="BF238" s="478"/>
      <c r="BG238" s="478"/>
      <c r="BH238" s="478"/>
      <c r="BI238" s="478"/>
      <c r="BJ238" s="245"/>
      <c r="BK238" s="477">
        <f t="shared" si="1020"/>
        <v>0</v>
      </c>
      <c r="BL238" s="466">
        <f t="shared" si="1021"/>
        <v>0</v>
      </c>
      <c r="BM238" s="257"/>
      <c r="BN238" s="478"/>
      <c r="BO238" s="478"/>
      <c r="BP238" s="478"/>
      <c r="BQ238" s="478"/>
      <c r="BR238" s="478"/>
      <c r="BS238" s="478"/>
      <c r="BT238" s="478"/>
      <c r="BU238" s="478"/>
      <c r="BV238" s="478"/>
      <c r="BW238" s="478"/>
      <c r="BX238" s="478"/>
      <c r="BY238" s="478"/>
      <c r="BZ238" s="478"/>
      <c r="CA238" s="478"/>
      <c r="CB238" s="478"/>
      <c r="CC238" s="478"/>
      <c r="CD238" s="478"/>
      <c r="CE238" s="478"/>
      <c r="CF238" s="478"/>
      <c r="CG238" s="478"/>
      <c r="CH238" s="478"/>
      <c r="CI238" s="478"/>
      <c r="CJ238" s="478"/>
      <c r="CK238" s="478"/>
      <c r="CL238" s="478"/>
      <c r="CM238" s="478"/>
      <c r="CN238" s="478"/>
      <c r="CO238" s="478"/>
      <c r="CP238" s="478"/>
      <c r="CQ238" s="478"/>
      <c r="CR238" s="478"/>
      <c r="CS238" s="478"/>
      <c r="CT238" s="478"/>
      <c r="CU238" s="478"/>
      <c r="CV238" s="478"/>
      <c r="CW238" s="478"/>
      <c r="CX238" s="478"/>
      <c r="CY238" s="478"/>
      <c r="CZ238" s="478"/>
      <c r="DA238" s="478"/>
      <c r="DB238" s="478"/>
      <c r="DC238" s="478"/>
      <c r="DD238" s="478"/>
      <c r="DE238" s="478"/>
      <c r="DF238" s="478"/>
      <c r="DG238" s="478"/>
      <c r="DH238" s="478"/>
      <c r="DI238" s="478"/>
    </row>
    <row r="239" spans="1:113" ht="16.05" hidden="1" customHeight="1" outlineLevel="1" x14ac:dyDescent="0.3">
      <c r="A239" s="455" t="str">
        <f t="shared" si="941"/>
        <v/>
      </c>
      <c r="B239" s="455"/>
      <c r="C239" s="481"/>
      <c r="D239" s="463" t="s">
        <v>871</v>
      </c>
      <c r="E239" s="482"/>
      <c r="F239" s="483"/>
      <c r="G239" s="484"/>
      <c r="H239" s="485"/>
      <c r="I239" s="466">
        <f t="shared" si="1017"/>
        <v>0</v>
      </c>
      <c r="J239" s="259"/>
      <c r="K239" s="478">
        <f t="shared" si="1018"/>
        <v>0</v>
      </c>
      <c r="L239" s="466">
        <f t="shared" si="1019"/>
        <v>0</v>
      </c>
      <c r="M239" s="257"/>
      <c r="N239" s="478"/>
      <c r="O239" s="478"/>
      <c r="P239" s="478"/>
      <c r="Q239" s="478"/>
      <c r="R239" s="478"/>
      <c r="S239" s="478"/>
      <c r="T239" s="478"/>
      <c r="U239" s="478"/>
      <c r="V239" s="478"/>
      <c r="W239" s="478"/>
      <c r="X239" s="478"/>
      <c r="Y239" s="478"/>
      <c r="Z239" s="478"/>
      <c r="AA239" s="478"/>
      <c r="AB239" s="478"/>
      <c r="AC239" s="478"/>
      <c r="AD239" s="478"/>
      <c r="AE239" s="478"/>
      <c r="AF239" s="478"/>
      <c r="AG239" s="478"/>
      <c r="AH239" s="478"/>
      <c r="AI239" s="478"/>
      <c r="AJ239" s="478"/>
      <c r="AK239" s="478"/>
      <c r="AL239" s="478"/>
      <c r="AM239" s="478"/>
      <c r="AN239" s="478"/>
      <c r="AO239" s="478"/>
      <c r="AP239" s="478"/>
      <c r="AQ239" s="478"/>
      <c r="AR239" s="478"/>
      <c r="AS239" s="478"/>
      <c r="AT239" s="478"/>
      <c r="AU239" s="478"/>
      <c r="AV239" s="478"/>
      <c r="AW239" s="478"/>
      <c r="AX239" s="478"/>
      <c r="AY239" s="478"/>
      <c r="AZ239" s="478"/>
      <c r="BA239" s="478"/>
      <c r="BB239" s="478"/>
      <c r="BC239" s="478"/>
      <c r="BD239" s="478"/>
      <c r="BE239" s="478"/>
      <c r="BF239" s="478"/>
      <c r="BG239" s="478"/>
      <c r="BH239" s="478"/>
      <c r="BI239" s="478"/>
      <c r="BJ239" s="245"/>
      <c r="BK239" s="477">
        <f t="shared" si="1020"/>
        <v>0</v>
      </c>
      <c r="BL239" s="466">
        <f t="shared" si="1021"/>
        <v>0</v>
      </c>
      <c r="BM239" s="257"/>
      <c r="BN239" s="478"/>
      <c r="BO239" s="478"/>
      <c r="BP239" s="478"/>
      <c r="BQ239" s="478"/>
      <c r="BR239" s="478"/>
      <c r="BS239" s="478"/>
      <c r="BT239" s="478"/>
      <c r="BU239" s="478"/>
      <c r="BV239" s="478"/>
      <c r="BW239" s="478"/>
      <c r="BX239" s="478"/>
      <c r="BY239" s="478"/>
      <c r="BZ239" s="478"/>
      <c r="CA239" s="478"/>
      <c r="CB239" s="478"/>
      <c r="CC239" s="478"/>
      <c r="CD239" s="478"/>
      <c r="CE239" s="478"/>
      <c r="CF239" s="478"/>
      <c r="CG239" s="478"/>
      <c r="CH239" s="478"/>
      <c r="CI239" s="478"/>
      <c r="CJ239" s="478"/>
      <c r="CK239" s="478"/>
      <c r="CL239" s="478"/>
      <c r="CM239" s="478"/>
      <c r="CN239" s="478"/>
      <c r="CO239" s="478"/>
      <c r="CP239" s="478"/>
      <c r="CQ239" s="478"/>
      <c r="CR239" s="478"/>
      <c r="CS239" s="478"/>
      <c r="CT239" s="478"/>
      <c r="CU239" s="478"/>
      <c r="CV239" s="478"/>
      <c r="CW239" s="478"/>
      <c r="CX239" s="478"/>
      <c r="CY239" s="478"/>
      <c r="CZ239" s="478"/>
      <c r="DA239" s="478"/>
      <c r="DB239" s="478"/>
      <c r="DC239" s="478"/>
      <c r="DD239" s="478"/>
      <c r="DE239" s="478"/>
      <c r="DF239" s="478"/>
      <c r="DG239" s="478"/>
      <c r="DH239" s="478"/>
      <c r="DI239" s="478"/>
    </row>
    <row r="240" spans="1:113" ht="16.05" hidden="1" customHeight="1" outlineLevel="1" x14ac:dyDescent="0.3">
      <c r="A240" s="455" t="str">
        <f t="shared" si="941"/>
        <v/>
      </c>
      <c r="B240" s="455"/>
      <c r="C240" s="481"/>
      <c r="D240" s="463" t="s">
        <v>872</v>
      </c>
      <c r="E240" s="482"/>
      <c r="F240" s="483"/>
      <c r="G240" s="484"/>
      <c r="H240" s="485"/>
      <c r="I240" s="466">
        <f t="shared" si="1017"/>
        <v>0</v>
      </c>
      <c r="J240" s="259"/>
      <c r="K240" s="478">
        <f t="shared" si="1018"/>
        <v>0</v>
      </c>
      <c r="L240" s="466">
        <f t="shared" si="1019"/>
        <v>0</v>
      </c>
      <c r="M240" s="257"/>
      <c r="N240" s="478"/>
      <c r="O240" s="478"/>
      <c r="P240" s="478"/>
      <c r="Q240" s="478"/>
      <c r="R240" s="478"/>
      <c r="S240" s="478"/>
      <c r="T240" s="478"/>
      <c r="U240" s="478"/>
      <c r="V240" s="478"/>
      <c r="W240" s="478"/>
      <c r="X240" s="478"/>
      <c r="Y240" s="478"/>
      <c r="Z240" s="478"/>
      <c r="AA240" s="478"/>
      <c r="AB240" s="478"/>
      <c r="AC240" s="478"/>
      <c r="AD240" s="478"/>
      <c r="AE240" s="478"/>
      <c r="AF240" s="478"/>
      <c r="AG240" s="478"/>
      <c r="AH240" s="478"/>
      <c r="AI240" s="478"/>
      <c r="AJ240" s="478"/>
      <c r="AK240" s="478"/>
      <c r="AL240" s="478"/>
      <c r="AM240" s="478"/>
      <c r="AN240" s="478"/>
      <c r="AO240" s="478"/>
      <c r="AP240" s="478"/>
      <c r="AQ240" s="478"/>
      <c r="AR240" s="478"/>
      <c r="AS240" s="478"/>
      <c r="AT240" s="478"/>
      <c r="AU240" s="478"/>
      <c r="AV240" s="478"/>
      <c r="AW240" s="478"/>
      <c r="AX240" s="478"/>
      <c r="AY240" s="478"/>
      <c r="AZ240" s="478"/>
      <c r="BA240" s="478"/>
      <c r="BB240" s="478"/>
      <c r="BC240" s="478"/>
      <c r="BD240" s="478"/>
      <c r="BE240" s="478"/>
      <c r="BF240" s="478"/>
      <c r="BG240" s="478"/>
      <c r="BH240" s="478"/>
      <c r="BI240" s="478"/>
      <c r="BJ240" s="245"/>
      <c r="BK240" s="477">
        <f t="shared" si="1020"/>
        <v>0</v>
      </c>
      <c r="BL240" s="466">
        <f t="shared" si="1021"/>
        <v>0</v>
      </c>
      <c r="BM240" s="257"/>
      <c r="BN240" s="478"/>
      <c r="BO240" s="478"/>
      <c r="BP240" s="478"/>
      <c r="BQ240" s="478"/>
      <c r="BR240" s="478"/>
      <c r="BS240" s="478"/>
      <c r="BT240" s="478"/>
      <c r="BU240" s="478"/>
      <c r="BV240" s="478"/>
      <c r="BW240" s="478"/>
      <c r="BX240" s="478"/>
      <c r="BY240" s="478"/>
      <c r="BZ240" s="478"/>
      <c r="CA240" s="478"/>
      <c r="CB240" s="478"/>
      <c r="CC240" s="478"/>
      <c r="CD240" s="478"/>
      <c r="CE240" s="478"/>
      <c r="CF240" s="478"/>
      <c r="CG240" s="478"/>
      <c r="CH240" s="478"/>
      <c r="CI240" s="478"/>
      <c r="CJ240" s="478"/>
      <c r="CK240" s="478"/>
      <c r="CL240" s="478"/>
      <c r="CM240" s="478"/>
      <c r="CN240" s="478"/>
      <c r="CO240" s="478"/>
      <c r="CP240" s="478"/>
      <c r="CQ240" s="478"/>
      <c r="CR240" s="478"/>
      <c r="CS240" s="478"/>
      <c r="CT240" s="478"/>
      <c r="CU240" s="478"/>
      <c r="CV240" s="478"/>
      <c r="CW240" s="478"/>
      <c r="CX240" s="478"/>
      <c r="CY240" s="478"/>
      <c r="CZ240" s="478"/>
      <c r="DA240" s="478"/>
      <c r="DB240" s="478"/>
      <c r="DC240" s="478"/>
      <c r="DD240" s="478"/>
      <c r="DE240" s="478"/>
      <c r="DF240" s="478"/>
      <c r="DG240" s="478"/>
      <c r="DH240" s="478"/>
      <c r="DI240" s="478"/>
    </row>
    <row r="241" spans="1:113" ht="16.05" hidden="1" customHeight="1" outlineLevel="1" x14ac:dyDescent="0.3">
      <c r="A241" s="455" t="str">
        <f t="shared" si="941"/>
        <v/>
      </c>
      <c r="B241" s="455"/>
      <c r="C241" s="481"/>
      <c r="D241" s="463" t="s">
        <v>873</v>
      </c>
      <c r="E241" s="482"/>
      <c r="F241" s="483"/>
      <c r="G241" s="484"/>
      <c r="H241" s="485"/>
      <c r="I241" s="466">
        <f t="shared" si="1017"/>
        <v>0</v>
      </c>
      <c r="J241" s="259"/>
      <c r="K241" s="478">
        <f t="shared" si="1018"/>
        <v>0</v>
      </c>
      <c r="L241" s="466">
        <f t="shared" si="1019"/>
        <v>0</v>
      </c>
      <c r="M241" s="257"/>
      <c r="N241" s="478"/>
      <c r="O241" s="478"/>
      <c r="P241" s="478"/>
      <c r="Q241" s="478"/>
      <c r="R241" s="478"/>
      <c r="S241" s="478"/>
      <c r="T241" s="478"/>
      <c r="U241" s="478"/>
      <c r="V241" s="478"/>
      <c r="W241" s="478"/>
      <c r="X241" s="478"/>
      <c r="Y241" s="478"/>
      <c r="Z241" s="478"/>
      <c r="AA241" s="478"/>
      <c r="AB241" s="478"/>
      <c r="AC241" s="478"/>
      <c r="AD241" s="478"/>
      <c r="AE241" s="478"/>
      <c r="AF241" s="478"/>
      <c r="AG241" s="478"/>
      <c r="AH241" s="478"/>
      <c r="AI241" s="478"/>
      <c r="AJ241" s="478"/>
      <c r="AK241" s="478"/>
      <c r="AL241" s="478"/>
      <c r="AM241" s="478"/>
      <c r="AN241" s="478"/>
      <c r="AO241" s="478"/>
      <c r="AP241" s="478"/>
      <c r="AQ241" s="478"/>
      <c r="AR241" s="478"/>
      <c r="AS241" s="478"/>
      <c r="AT241" s="478"/>
      <c r="AU241" s="478"/>
      <c r="AV241" s="478"/>
      <c r="AW241" s="478"/>
      <c r="AX241" s="478"/>
      <c r="AY241" s="478"/>
      <c r="AZ241" s="478"/>
      <c r="BA241" s="478"/>
      <c r="BB241" s="478"/>
      <c r="BC241" s="478"/>
      <c r="BD241" s="478"/>
      <c r="BE241" s="478"/>
      <c r="BF241" s="478"/>
      <c r="BG241" s="478"/>
      <c r="BH241" s="478"/>
      <c r="BI241" s="478"/>
      <c r="BJ241" s="245"/>
      <c r="BK241" s="477">
        <f t="shared" si="1020"/>
        <v>0</v>
      </c>
      <c r="BL241" s="466">
        <f t="shared" si="1021"/>
        <v>0</v>
      </c>
      <c r="BM241" s="257"/>
      <c r="BN241" s="478"/>
      <c r="BO241" s="478"/>
      <c r="BP241" s="478"/>
      <c r="BQ241" s="478"/>
      <c r="BR241" s="478"/>
      <c r="BS241" s="478"/>
      <c r="BT241" s="478"/>
      <c r="BU241" s="478"/>
      <c r="BV241" s="478"/>
      <c r="BW241" s="478"/>
      <c r="BX241" s="478"/>
      <c r="BY241" s="478"/>
      <c r="BZ241" s="478"/>
      <c r="CA241" s="478"/>
      <c r="CB241" s="478"/>
      <c r="CC241" s="478"/>
      <c r="CD241" s="478"/>
      <c r="CE241" s="478"/>
      <c r="CF241" s="478"/>
      <c r="CG241" s="478"/>
      <c r="CH241" s="478"/>
      <c r="CI241" s="478"/>
      <c r="CJ241" s="478"/>
      <c r="CK241" s="478"/>
      <c r="CL241" s="478"/>
      <c r="CM241" s="478"/>
      <c r="CN241" s="478"/>
      <c r="CO241" s="478"/>
      <c r="CP241" s="478"/>
      <c r="CQ241" s="478"/>
      <c r="CR241" s="478"/>
      <c r="CS241" s="478"/>
      <c r="CT241" s="478"/>
      <c r="CU241" s="478"/>
      <c r="CV241" s="478"/>
      <c r="CW241" s="478"/>
      <c r="CX241" s="478"/>
      <c r="CY241" s="478"/>
      <c r="CZ241" s="478"/>
      <c r="DA241" s="478"/>
      <c r="DB241" s="478"/>
      <c r="DC241" s="478"/>
      <c r="DD241" s="478"/>
      <c r="DE241" s="478"/>
      <c r="DF241" s="478"/>
      <c r="DG241" s="478"/>
      <c r="DH241" s="478"/>
      <c r="DI241" s="478"/>
    </row>
    <row r="242" spans="1:113" ht="16.05" hidden="1" customHeight="1" outlineLevel="1" x14ac:dyDescent="0.3">
      <c r="A242" s="455" t="str">
        <f t="shared" si="941"/>
        <v/>
      </c>
      <c r="B242" s="455"/>
      <c r="C242" s="481"/>
      <c r="D242" s="463" t="s">
        <v>874</v>
      </c>
      <c r="E242" s="482"/>
      <c r="F242" s="483"/>
      <c r="G242" s="484"/>
      <c r="H242" s="485"/>
      <c r="I242" s="466">
        <f t="shared" si="1017"/>
        <v>0</v>
      </c>
      <c r="J242" s="259"/>
      <c r="K242" s="478">
        <f t="shared" si="1018"/>
        <v>0</v>
      </c>
      <c r="L242" s="466">
        <f t="shared" si="1019"/>
        <v>0</v>
      </c>
      <c r="M242" s="257"/>
      <c r="N242" s="478"/>
      <c r="O242" s="478"/>
      <c r="P242" s="478"/>
      <c r="Q242" s="478"/>
      <c r="R242" s="478"/>
      <c r="S242" s="478"/>
      <c r="T242" s="478"/>
      <c r="U242" s="478"/>
      <c r="V242" s="478"/>
      <c r="W242" s="478"/>
      <c r="X242" s="478"/>
      <c r="Y242" s="478"/>
      <c r="Z242" s="478"/>
      <c r="AA242" s="478"/>
      <c r="AB242" s="478"/>
      <c r="AC242" s="478"/>
      <c r="AD242" s="478"/>
      <c r="AE242" s="478"/>
      <c r="AF242" s="478"/>
      <c r="AG242" s="478"/>
      <c r="AH242" s="478"/>
      <c r="AI242" s="478"/>
      <c r="AJ242" s="478"/>
      <c r="AK242" s="478"/>
      <c r="AL242" s="478"/>
      <c r="AM242" s="478"/>
      <c r="AN242" s="478"/>
      <c r="AO242" s="478"/>
      <c r="AP242" s="478"/>
      <c r="AQ242" s="478"/>
      <c r="AR242" s="478"/>
      <c r="AS242" s="478"/>
      <c r="AT242" s="478"/>
      <c r="AU242" s="478"/>
      <c r="AV242" s="478"/>
      <c r="AW242" s="478"/>
      <c r="AX242" s="478"/>
      <c r="AY242" s="478"/>
      <c r="AZ242" s="478"/>
      <c r="BA242" s="478"/>
      <c r="BB242" s="478"/>
      <c r="BC242" s="478"/>
      <c r="BD242" s="478"/>
      <c r="BE242" s="478"/>
      <c r="BF242" s="478"/>
      <c r="BG242" s="478"/>
      <c r="BH242" s="478"/>
      <c r="BI242" s="478"/>
      <c r="BJ242" s="245"/>
      <c r="BK242" s="477">
        <f t="shared" si="1020"/>
        <v>0</v>
      </c>
      <c r="BL242" s="466">
        <f t="shared" si="1021"/>
        <v>0</v>
      </c>
      <c r="BM242" s="257"/>
      <c r="BN242" s="478"/>
      <c r="BO242" s="478"/>
      <c r="BP242" s="478"/>
      <c r="BQ242" s="478"/>
      <c r="BR242" s="478"/>
      <c r="BS242" s="478"/>
      <c r="BT242" s="478"/>
      <c r="BU242" s="478"/>
      <c r="BV242" s="478"/>
      <c r="BW242" s="478"/>
      <c r="BX242" s="478"/>
      <c r="BY242" s="478"/>
      <c r="BZ242" s="478"/>
      <c r="CA242" s="478"/>
      <c r="CB242" s="478"/>
      <c r="CC242" s="478"/>
      <c r="CD242" s="478"/>
      <c r="CE242" s="478"/>
      <c r="CF242" s="478"/>
      <c r="CG242" s="478"/>
      <c r="CH242" s="478"/>
      <c r="CI242" s="478"/>
      <c r="CJ242" s="478"/>
      <c r="CK242" s="478"/>
      <c r="CL242" s="478"/>
      <c r="CM242" s="478"/>
      <c r="CN242" s="478"/>
      <c r="CO242" s="478"/>
      <c r="CP242" s="478"/>
      <c r="CQ242" s="478"/>
      <c r="CR242" s="478"/>
      <c r="CS242" s="478"/>
      <c r="CT242" s="478"/>
      <c r="CU242" s="478"/>
      <c r="CV242" s="478"/>
      <c r="CW242" s="478"/>
      <c r="CX242" s="478"/>
      <c r="CY242" s="478"/>
      <c r="CZ242" s="478"/>
      <c r="DA242" s="478"/>
      <c r="DB242" s="478"/>
      <c r="DC242" s="478"/>
      <c r="DD242" s="478"/>
      <c r="DE242" s="478"/>
      <c r="DF242" s="478"/>
      <c r="DG242" s="478"/>
      <c r="DH242" s="478"/>
      <c r="DI242" s="478"/>
    </row>
    <row r="243" spans="1:113" ht="16.05" hidden="1" customHeight="1" outlineLevel="1" x14ac:dyDescent="0.3">
      <c r="A243" s="455" t="str">
        <f t="shared" si="941"/>
        <v/>
      </c>
      <c r="B243" s="455"/>
      <c r="C243" s="481"/>
      <c r="D243" s="463" t="s">
        <v>875</v>
      </c>
      <c r="E243" s="482"/>
      <c r="F243" s="483"/>
      <c r="G243" s="484"/>
      <c r="H243" s="485"/>
      <c r="I243" s="466">
        <f t="shared" si="1017"/>
        <v>0</v>
      </c>
      <c r="J243" s="259"/>
      <c r="K243" s="478">
        <f t="shared" si="1018"/>
        <v>0</v>
      </c>
      <c r="L243" s="466">
        <f t="shared" si="1019"/>
        <v>0</v>
      </c>
      <c r="M243" s="257"/>
      <c r="N243" s="478"/>
      <c r="O243" s="478"/>
      <c r="P243" s="478"/>
      <c r="Q243" s="478"/>
      <c r="R243" s="478"/>
      <c r="S243" s="478"/>
      <c r="T243" s="478"/>
      <c r="U243" s="478"/>
      <c r="V243" s="478"/>
      <c r="W243" s="478"/>
      <c r="X243" s="478"/>
      <c r="Y243" s="478"/>
      <c r="Z243" s="478"/>
      <c r="AA243" s="478"/>
      <c r="AB243" s="478"/>
      <c r="AC243" s="478"/>
      <c r="AD243" s="478"/>
      <c r="AE243" s="478"/>
      <c r="AF243" s="478"/>
      <c r="AG243" s="478"/>
      <c r="AH243" s="478"/>
      <c r="AI243" s="478"/>
      <c r="AJ243" s="478"/>
      <c r="AK243" s="478"/>
      <c r="AL243" s="478"/>
      <c r="AM243" s="478"/>
      <c r="AN243" s="478"/>
      <c r="AO243" s="478"/>
      <c r="AP243" s="478"/>
      <c r="AQ243" s="478"/>
      <c r="AR243" s="478"/>
      <c r="AS243" s="478"/>
      <c r="AT243" s="478"/>
      <c r="AU243" s="478"/>
      <c r="AV243" s="478"/>
      <c r="AW243" s="478"/>
      <c r="AX243" s="478"/>
      <c r="AY243" s="478"/>
      <c r="AZ243" s="478"/>
      <c r="BA243" s="478"/>
      <c r="BB243" s="478"/>
      <c r="BC243" s="478"/>
      <c r="BD243" s="478"/>
      <c r="BE243" s="478"/>
      <c r="BF243" s="478"/>
      <c r="BG243" s="478"/>
      <c r="BH243" s="478"/>
      <c r="BI243" s="478"/>
      <c r="BJ243" s="245"/>
      <c r="BK243" s="477">
        <f t="shared" si="1020"/>
        <v>0</v>
      </c>
      <c r="BL243" s="466">
        <f t="shared" si="1021"/>
        <v>0</v>
      </c>
      <c r="BM243" s="257"/>
      <c r="BN243" s="478"/>
      <c r="BO243" s="478"/>
      <c r="BP243" s="478"/>
      <c r="BQ243" s="478"/>
      <c r="BR243" s="478"/>
      <c r="BS243" s="478"/>
      <c r="BT243" s="478"/>
      <c r="BU243" s="478"/>
      <c r="BV243" s="478"/>
      <c r="BW243" s="478"/>
      <c r="BX243" s="478"/>
      <c r="BY243" s="478"/>
      <c r="BZ243" s="478"/>
      <c r="CA243" s="478"/>
      <c r="CB243" s="478"/>
      <c r="CC243" s="478"/>
      <c r="CD243" s="478"/>
      <c r="CE243" s="478"/>
      <c r="CF243" s="478"/>
      <c r="CG243" s="478"/>
      <c r="CH243" s="478"/>
      <c r="CI243" s="478"/>
      <c r="CJ243" s="478"/>
      <c r="CK243" s="478"/>
      <c r="CL243" s="478"/>
      <c r="CM243" s="478"/>
      <c r="CN243" s="478"/>
      <c r="CO243" s="478"/>
      <c r="CP243" s="478"/>
      <c r="CQ243" s="478"/>
      <c r="CR243" s="478"/>
      <c r="CS243" s="478"/>
      <c r="CT243" s="478"/>
      <c r="CU243" s="478"/>
      <c r="CV243" s="478"/>
      <c r="CW243" s="478"/>
      <c r="CX243" s="478"/>
      <c r="CY243" s="478"/>
      <c r="CZ243" s="478"/>
      <c r="DA243" s="478"/>
      <c r="DB243" s="478"/>
      <c r="DC243" s="478"/>
      <c r="DD243" s="478"/>
      <c r="DE243" s="478"/>
      <c r="DF243" s="478"/>
      <c r="DG243" s="478"/>
      <c r="DH243" s="478"/>
      <c r="DI243" s="478"/>
    </row>
    <row r="244" spans="1:113" ht="16.05" hidden="1" customHeight="1" outlineLevel="1" x14ac:dyDescent="0.3">
      <c r="A244" s="455" t="str">
        <f t="shared" si="941"/>
        <v/>
      </c>
      <c r="B244" s="455"/>
      <c r="C244" s="481"/>
      <c r="D244" s="463" t="s">
        <v>876</v>
      </c>
      <c r="E244" s="482"/>
      <c r="F244" s="483"/>
      <c r="G244" s="484"/>
      <c r="H244" s="485"/>
      <c r="I244" s="466">
        <f t="shared" si="1017"/>
        <v>0</v>
      </c>
      <c r="J244" s="259"/>
      <c r="K244" s="478">
        <f t="shared" si="1018"/>
        <v>0</v>
      </c>
      <c r="L244" s="466">
        <f t="shared" si="1019"/>
        <v>0</v>
      </c>
      <c r="M244" s="257"/>
      <c r="N244" s="478"/>
      <c r="O244" s="478"/>
      <c r="P244" s="478"/>
      <c r="Q244" s="478"/>
      <c r="R244" s="478"/>
      <c r="S244" s="478"/>
      <c r="T244" s="478"/>
      <c r="U244" s="478"/>
      <c r="V244" s="478"/>
      <c r="W244" s="478"/>
      <c r="X244" s="478"/>
      <c r="Y244" s="478"/>
      <c r="Z244" s="478"/>
      <c r="AA244" s="478"/>
      <c r="AB244" s="478"/>
      <c r="AC244" s="478"/>
      <c r="AD244" s="478"/>
      <c r="AE244" s="478"/>
      <c r="AF244" s="478"/>
      <c r="AG244" s="478"/>
      <c r="AH244" s="478"/>
      <c r="AI244" s="478"/>
      <c r="AJ244" s="478"/>
      <c r="AK244" s="478"/>
      <c r="AL244" s="478"/>
      <c r="AM244" s="478"/>
      <c r="AN244" s="478"/>
      <c r="AO244" s="478"/>
      <c r="AP244" s="478"/>
      <c r="AQ244" s="478"/>
      <c r="AR244" s="478"/>
      <c r="AS244" s="478"/>
      <c r="AT244" s="478"/>
      <c r="AU244" s="478"/>
      <c r="AV244" s="478"/>
      <c r="AW244" s="478"/>
      <c r="AX244" s="478"/>
      <c r="AY244" s="478"/>
      <c r="AZ244" s="478"/>
      <c r="BA244" s="478"/>
      <c r="BB244" s="478"/>
      <c r="BC244" s="478"/>
      <c r="BD244" s="478"/>
      <c r="BE244" s="478"/>
      <c r="BF244" s="478"/>
      <c r="BG244" s="478"/>
      <c r="BH244" s="478"/>
      <c r="BI244" s="478"/>
      <c r="BJ244" s="245"/>
      <c r="BK244" s="477">
        <f t="shared" si="1020"/>
        <v>0</v>
      </c>
      <c r="BL244" s="466">
        <f t="shared" si="1021"/>
        <v>0</v>
      </c>
      <c r="BM244" s="257"/>
      <c r="BN244" s="478"/>
      <c r="BO244" s="478"/>
      <c r="BP244" s="478"/>
      <c r="BQ244" s="478"/>
      <c r="BR244" s="478"/>
      <c r="BS244" s="478"/>
      <c r="BT244" s="478"/>
      <c r="BU244" s="478"/>
      <c r="BV244" s="478"/>
      <c r="BW244" s="478"/>
      <c r="BX244" s="478"/>
      <c r="BY244" s="478"/>
      <c r="BZ244" s="478"/>
      <c r="CA244" s="478"/>
      <c r="CB244" s="478"/>
      <c r="CC244" s="478"/>
      <c r="CD244" s="478"/>
      <c r="CE244" s="478"/>
      <c r="CF244" s="478"/>
      <c r="CG244" s="478"/>
      <c r="CH244" s="478"/>
      <c r="CI244" s="478"/>
      <c r="CJ244" s="478"/>
      <c r="CK244" s="478"/>
      <c r="CL244" s="478"/>
      <c r="CM244" s="478"/>
      <c r="CN244" s="478"/>
      <c r="CO244" s="478"/>
      <c r="CP244" s="478"/>
      <c r="CQ244" s="478"/>
      <c r="CR244" s="478"/>
      <c r="CS244" s="478"/>
      <c r="CT244" s="478"/>
      <c r="CU244" s="478"/>
      <c r="CV244" s="478"/>
      <c r="CW244" s="478"/>
      <c r="CX244" s="478"/>
      <c r="CY244" s="478"/>
      <c r="CZ244" s="478"/>
      <c r="DA244" s="478"/>
      <c r="DB244" s="478"/>
      <c r="DC244" s="478"/>
      <c r="DD244" s="478"/>
      <c r="DE244" s="478"/>
      <c r="DF244" s="478"/>
      <c r="DG244" s="478"/>
      <c r="DH244" s="478"/>
      <c r="DI244" s="478"/>
    </row>
    <row r="245" spans="1:113" ht="16.05" hidden="1" customHeight="1" outlineLevel="1" x14ac:dyDescent="0.3">
      <c r="A245" s="455" t="str">
        <f t="shared" si="941"/>
        <v/>
      </c>
      <c r="B245" s="455"/>
      <c r="C245" s="481"/>
      <c r="D245" s="463" t="s">
        <v>877</v>
      </c>
      <c r="E245" s="482"/>
      <c r="F245" s="483"/>
      <c r="G245" s="484"/>
      <c r="H245" s="485"/>
      <c r="I245" s="466">
        <f t="shared" si="1017"/>
        <v>0</v>
      </c>
      <c r="J245" s="259"/>
      <c r="K245" s="478">
        <f t="shared" si="1018"/>
        <v>0</v>
      </c>
      <c r="L245" s="466">
        <f t="shared" si="1019"/>
        <v>0</v>
      </c>
      <c r="M245" s="257"/>
      <c r="N245" s="478"/>
      <c r="O245" s="478"/>
      <c r="P245" s="478"/>
      <c r="Q245" s="478"/>
      <c r="R245" s="478"/>
      <c r="S245" s="478"/>
      <c r="T245" s="478"/>
      <c r="U245" s="478"/>
      <c r="V245" s="478"/>
      <c r="W245" s="478"/>
      <c r="X245" s="478"/>
      <c r="Y245" s="478"/>
      <c r="Z245" s="478"/>
      <c r="AA245" s="478"/>
      <c r="AB245" s="478"/>
      <c r="AC245" s="478"/>
      <c r="AD245" s="478"/>
      <c r="AE245" s="478"/>
      <c r="AF245" s="478"/>
      <c r="AG245" s="478"/>
      <c r="AH245" s="478"/>
      <c r="AI245" s="478"/>
      <c r="AJ245" s="478"/>
      <c r="AK245" s="478"/>
      <c r="AL245" s="478"/>
      <c r="AM245" s="478"/>
      <c r="AN245" s="478"/>
      <c r="AO245" s="478"/>
      <c r="AP245" s="478"/>
      <c r="AQ245" s="478"/>
      <c r="AR245" s="478"/>
      <c r="AS245" s="478"/>
      <c r="AT245" s="478"/>
      <c r="AU245" s="478"/>
      <c r="AV245" s="478"/>
      <c r="AW245" s="478"/>
      <c r="AX245" s="478"/>
      <c r="AY245" s="478"/>
      <c r="AZ245" s="478"/>
      <c r="BA245" s="478"/>
      <c r="BB245" s="478"/>
      <c r="BC245" s="478"/>
      <c r="BD245" s="478"/>
      <c r="BE245" s="478"/>
      <c r="BF245" s="478"/>
      <c r="BG245" s="478"/>
      <c r="BH245" s="478"/>
      <c r="BI245" s="478"/>
      <c r="BJ245" s="245"/>
      <c r="BK245" s="477">
        <f t="shared" si="1020"/>
        <v>0</v>
      </c>
      <c r="BL245" s="466">
        <f t="shared" si="1021"/>
        <v>0</v>
      </c>
      <c r="BM245" s="257"/>
      <c r="BN245" s="478"/>
      <c r="BO245" s="478"/>
      <c r="BP245" s="478"/>
      <c r="BQ245" s="478"/>
      <c r="BR245" s="478"/>
      <c r="BS245" s="478"/>
      <c r="BT245" s="478"/>
      <c r="BU245" s="478"/>
      <c r="BV245" s="478"/>
      <c r="BW245" s="478"/>
      <c r="BX245" s="478"/>
      <c r="BY245" s="478"/>
      <c r="BZ245" s="478"/>
      <c r="CA245" s="478"/>
      <c r="CB245" s="478"/>
      <c r="CC245" s="478"/>
      <c r="CD245" s="478"/>
      <c r="CE245" s="478"/>
      <c r="CF245" s="478"/>
      <c r="CG245" s="478"/>
      <c r="CH245" s="478"/>
      <c r="CI245" s="478"/>
      <c r="CJ245" s="478"/>
      <c r="CK245" s="478"/>
      <c r="CL245" s="478"/>
      <c r="CM245" s="478"/>
      <c r="CN245" s="478"/>
      <c r="CO245" s="478"/>
      <c r="CP245" s="478"/>
      <c r="CQ245" s="478"/>
      <c r="CR245" s="478"/>
      <c r="CS245" s="478"/>
      <c r="CT245" s="478"/>
      <c r="CU245" s="478"/>
      <c r="CV245" s="478"/>
      <c r="CW245" s="478"/>
      <c r="CX245" s="478"/>
      <c r="CY245" s="478"/>
      <c r="CZ245" s="478"/>
      <c r="DA245" s="478"/>
      <c r="DB245" s="478"/>
      <c r="DC245" s="478"/>
      <c r="DD245" s="478"/>
      <c r="DE245" s="478"/>
      <c r="DF245" s="478"/>
      <c r="DG245" s="478"/>
      <c r="DH245" s="478"/>
      <c r="DI245" s="478"/>
    </row>
    <row r="246" spans="1:113" ht="16.05" hidden="1" customHeight="1" outlineLevel="1" x14ac:dyDescent="0.3">
      <c r="A246" s="455" t="str">
        <f t="shared" si="941"/>
        <v/>
      </c>
      <c r="B246" s="455"/>
      <c r="C246" s="481"/>
      <c r="D246" s="463" t="s">
        <v>878</v>
      </c>
      <c r="E246" s="482"/>
      <c r="F246" s="483"/>
      <c r="G246" s="484"/>
      <c r="H246" s="485"/>
      <c r="I246" s="466">
        <f t="shared" si="1017"/>
        <v>0</v>
      </c>
      <c r="J246" s="259"/>
      <c r="K246" s="478">
        <f t="shared" si="1018"/>
        <v>0</v>
      </c>
      <c r="L246" s="466">
        <f t="shared" si="1019"/>
        <v>0</v>
      </c>
      <c r="M246" s="257"/>
      <c r="N246" s="478"/>
      <c r="O246" s="478"/>
      <c r="P246" s="478"/>
      <c r="Q246" s="478"/>
      <c r="R246" s="478"/>
      <c r="S246" s="478"/>
      <c r="T246" s="478"/>
      <c r="U246" s="478"/>
      <c r="V246" s="478"/>
      <c r="W246" s="478"/>
      <c r="X246" s="478"/>
      <c r="Y246" s="478"/>
      <c r="Z246" s="478"/>
      <c r="AA246" s="478"/>
      <c r="AB246" s="478"/>
      <c r="AC246" s="478"/>
      <c r="AD246" s="478"/>
      <c r="AE246" s="478"/>
      <c r="AF246" s="478"/>
      <c r="AG246" s="478"/>
      <c r="AH246" s="478"/>
      <c r="AI246" s="478"/>
      <c r="AJ246" s="478"/>
      <c r="AK246" s="478"/>
      <c r="AL246" s="478"/>
      <c r="AM246" s="478"/>
      <c r="AN246" s="478"/>
      <c r="AO246" s="478"/>
      <c r="AP246" s="478"/>
      <c r="AQ246" s="478"/>
      <c r="AR246" s="478"/>
      <c r="AS246" s="478"/>
      <c r="AT246" s="478"/>
      <c r="AU246" s="478"/>
      <c r="AV246" s="478"/>
      <c r="AW246" s="478"/>
      <c r="AX246" s="478"/>
      <c r="AY246" s="478"/>
      <c r="AZ246" s="478"/>
      <c r="BA246" s="478"/>
      <c r="BB246" s="478"/>
      <c r="BC246" s="478"/>
      <c r="BD246" s="478"/>
      <c r="BE246" s="478"/>
      <c r="BF246" s="478"/>
      <c r="BG246" s="478"/>
      <c r="BH246" s="478"/>
      <c r="BI246" s="478"/>
      <c r="BJ246" s="245"/>
      <c r="BK246" s="477">
        <f t="shared" si="1020"/>
        <v>0</v>
      </c>
      <c r="BL246" s="466">
        <f t="shared" si="1021"/>
        <v>0</v>
      </c>
      <c r="BM246" s="257"/>
      <c r="BN246" s="478"/>
      <c r="BO246" s="478"/>
      <c r="BP246" s="478"/>
      <c r="BQ246" s="478"/>
      <c r="BR246" s="478"/>
      <c r="BS246" s="478"/>
      <c r="BT246" s="478"/>
      <c r="BU246" s="478"/>
      <c r="BV246" s="478"/>
      <c r="BW246" s="478"/>
      <c r="BX246" s="478"/>
      <c r="BY246" s="478"/>
      <c r="BZ246" s="478"/>
      <c r="CA246" s="478"/>
      <c r="CB246" s="478"/>
      <c r="CC246" s="478"/>
      <c r="CD246" s="478"/>
      <c r="CE246" s="478"/>
      <c r="CF246" s="478"/>
      <c r="CG246" s="478"/>
      <c r="CH246" s="478"/>
      <c r="CI246" s="478"/>
      <c r="CJ246" s="478"/>
      <c r="CK246" s="478"/>
      <c r="CL246" s="478"/>
      <c r="CM246" s="478"/>
      <c r="CN246" s="478"/>
      <c r="CO246" s="478"/>
      <c r="CP246" s="478"/>
      <c r="CQ246" s="478"/>
      <c r="CR246" s="478"/>
      <c r="CS246" s="478"/>
      <c r="CT246" s="478"/>
      <c r="CU246" s="478"/>
      <c r="CV246" s="478"/>
      <c r="CW246" s="478"/>
      <c r="CX246" s="478"/>
      <c r="CY246" s="478"/>
      <c r="CZ246" s="478"/>
      <c r="DA246" s="478"/>
      <c r="DB246" s="478"/>
      <c r="DC246" s="478"/>
      <c r="DD246" s="478"/>
      <c r="DE246" s="478"/>
      <c r="DF246" s="478"/>
      <c r="DG246" s="478"/>
      <c r="DH246" s="478"/>
      <c r="DI246" s="478"/>
    </row>
    <row r="247" spans="1:113" ht="16.05" hidden="1" customHeight="1" outlineLevel="1" x14ac:dyDescent="0.3">
      <c r="A247" s="455" t="str">
        <f t="shared" si="941"/>
        <v/>
      </c>
      <c r="B247" s="455"/>
      <c r="C247" s="481"/>
      <c r="D247" s="463" t="s">
        <v>879</v>
      </c>
      <c r="E247" s="482"/>
      <c r="F247" s="483"/>
      <c r="G247" s="484"/>
      <c r="H247" s="485"/>
      <c r="I247" s="466">
        <f t="shared" si="1017"/>
        <v>0</v>
      </c>
      <c r="J247" s="259"/>
      <c r="K247" s="478">
        <f t="shared" si="1018"/>
        <v>0</v>
      </c>
      <c r="L247" s="466">
        <f t="shared" si="1019"/>
        <v>0</v>
      </c>
      <c r="M247" s="257"/>
      <c r="N247" s="478"/>
      <c r="O247" s="478"/>
      <c r="P247" s="478"/>
      <c r="Q247" s="478"/>
      <c r="R247" s="478"/>
      <c r="S247" s="478"/>
      <c r="T247" s="478"/>
      <c r="U247" s="478"/>
      <c r="V247" s="478"/>
      <c r="W247" s="478"/>
      <c r="X247" s="478"/>
      <c r="Y247" s="478"/>
      <c r="Z247" s="478"/>
      <c r="AA247" s="478"/>
      <c r="AB247" s="478"/>
      <c r="AC247" s="478"/>
      <c r="AD247" s="478"/>
      <c r="AE247" s="478"/>
      <c r="AF247" s="478"/>
      <c r="AG247" s="478"/>
      <c r="AH247" s="478"/>
      <c r="AI247" s="478"/>
      <c r="AJ247" s="478"/>
      <c r="AK247" s="478"/>
      <c r="AL247" s="478"/>
      <c r="AM247" s="478"/>
      <c r="AN247" s="478"/>
      <c r="AO247" s="478"/>
      <c r="AP247" s="478"/>
      <c r="AQ247" s="478"/>
      <c r="AR247" s="478"/>
      <c r="AS247" s="478"/>
      <c r="AT247" s="478"/>
      <c r="AU247" s="478"/>
      <c r="AV247" s="478"/>
      <c r="AW247" s="478"/>
      <c r="AX247" s="478"/>
      <c r="AY247" s="478"/>
      <c r="AZ247" s="478"/>
      <c r="BA247" s="478"/>
      <c r="BB247" s="478"/>
      <c r="BC247" s="478"/>
      <c r="BD247" s="478"/>
      <c r="BE247" s="478"/>
      <c r="BF247" s="478"/>
      <c r="BG247" s="478"/>
      <c r="BH247" s="478"/>
      <c r="BI247" s="478"/>
      <c r="BJ247" s="245"/>
      <c r="BK247" s="477">
        <f t="shared" si="1020"/>
        <v>0</v>
      </c>
      <c r="BL247" s="466">
        <f t="shared" si="1021"/>
        <v>0</v>
      </c>
      <c r="BM247" s="257"/>
      <c r="BN247" s="478"/>
      <c r="BO247" s="478"/>
      <c r="BP247" s="478"/>
      <c r="BQ247" s="478"/>
      <c r="BR247" s="478"/>
      <c r="BS247" s="478"/>
      <c r="BT247" s="478"/>
      <c r="BU247" s="478"/>
      <c r="BV247" s="478"/>
      <c r="BW247" s="478"/>
      <c r="BX247" s="478"/>
      <c r="BY247" s="478"/>
      <c r="BZ247" s="478"/>
      <c r="CA247" s="478"/>
      <c r="CB247" s="478"/>
      <c r="CC247" s="478"/>
      <c r="CD247" s="478"/>
      <c r="CE247" s="478"/>
      <c r="CF247" s="478"/>
      <c r="CG247" s="478"/>
      <c r="CH247" s="478"/>
      <c r="CI247" s="478"/>
      <c r="CJ247" s="478"/>
      <c r="CK247" s="478"/>
      <c r="CL247" s="478"/>
      <c r="CM247" s="478"/>
      <c r="CN247" s="478"/>
      <c r="CO247" s="478"/>
      <c r="CP247" s="478"/>
      <c r="CQ247" s="478"/>
      <c r="CR247" s="478"/>
      <c r="CS247" s="478"/>
      <c r="CT247" s="478"/>
      <c r="CU247" s="478"/>
      <c r="CV247" s="478"/>
      <c r="CW247" s="478"/>
      <c r="CX247" s="478"/>
      <c r="CY247" s="478"/>
      <c r="CZ247" s="478"/>
      <c r="DA247" s="478"/>
      <c r="DB247" s="478"/>
      <c r="DC247" s="478"/>
      <c r="DD247" s="478"/>
      <c r="DE247" s="478"/>
      <c r="DF247" s="478"/>
      <c r="DG247" s="478"/>
      <c r="DH247" s="478"/>
      <c r="DI247" s="478"/>
    </row>
    <row r="248" spans="1:113" ht="16.05" hidden="1" customHeight="1" outlineLevel="1" x14ac:dyDescent="0.3">
      <c r="A248" s="455" t="str">
        <f t="shared" si="941"/>
        <v/>
      </c>
      <c r="B248" s="455"/>
      <c r="C248" s="481"/>
      <c r="D248" s="463" t="s">
        <v>880</v>
      </c>
      <c r="E248" s="482"/>
      <c r="F248" s="483"/>
      <c r="G248" s="484"/>
      <c r="H248" s="485"/>
      <c r="I248" s="466">
        <f t="shared" si="1017"/>
        <v>0</v>
      </c>
      <c r="J248" s="259"/>
      <c r="K248" s="478">
        <f t="shared" si="1018"/>
        <v>0</v>
      </c>
      <c r="L248" s="466">
        <f t="shared" si="1019"/>
        <v>0</v>
      </c>
      <c r="M248" s="257"/>
      <c r="N248" s="478"/>
      <c r="O248" s="478"/>
      <c r="P248" s="478"/>
      <c r="Q248" s="478"/>
      <c r="R248" s="478"/>
      <c r="S248" s="478"/>
      <c r="T248" s="478"/>
      <c r="U248" s="478"/>
      <c r="V248" s="478"/>
      <c r="W248" s="478"/>
      <c r="X248" s="478"/>
      <c r="Y248" s="478"/>
      <c r="Z248" s="478"/>
      <c r="AA248" s="478"/>
      <c r="AB248" s="478"/>
      <c r="AC248" s="478"/>
      <c r="AD248" s="478"/>
      <c r="AE248" s="478"/>
      <c r="AF248" s="478"/>
      <c r="AG248" s="478"/>
      <c r="AH248" s="478"/>
      <c r="AI248" s="478"/>
      <c r="AJ248" s="478"/>
      <c r="AK248" s="478"/>
      <c r="AL248" s="478"/>
      <c r="AM248" s="478"/>
      <c r="AN248" s="478"/>
      <c r="AO248" s="478"/>
      <c r="AP248" s="478"/>
      <c r="AQ248" s="478"/>
      <c r="AR248" s="478"/>
      <c r="AS248" s="478"/>
      <c r="AT248" s="478"/>
      <c r="AU248" s="478"/>
      <c r="AV248" s="478"/>
      <c r="AW248" s="478"/>
      <c r="AX248" s="478"/>
      <c r="AY248" s="478"/>
      <c r="AZ248" s="478"/>
      <c r="BA248" s="478"/>
      <c r="BB248" s="478"/>
      <c r="BC248" s="478"/>
      <c r="BD248" s="478"/>
      <c r="BE248" s="478"/>
      <c r="BF248" s="478"/>
      <c r="BG248" s="478"/>
      <c r="BH248" s="478"/>
      <c r="BI248" s="478"/>
      <c r="BJ248" s="245"/>
      <c r="BK248" s="477">
        <f t="shared" si="1020"/>
        <v>0</v>
      </c>
      <c r="BL248" s="466">
        <f t="shared" si="1021"/>
        <v>0</v>
      </c>
      <c r="BM248" s="257"/>
      <c r="BN248" s="478"/>
      <c r="BO248" s="478"/>
      <c r="BP248" s="478"/>
      <c r="BQ248" s="478"/>
      <c r="BR248" s="478"/>
      <c r="BS248" s="478"/>
      <c r="BT248" s="478"/>
      <c r="BU248" s="478"/>
      <c r="BV248" s="478"/>
      <c r="BW248" s="478"/>
      <c r="BX248" s="478"/>
      <c r="BY248" s="478"/>
      <c r="BZ248" s="478"/>
      <c r="CA248" s="478"/>
      <c r="CB248" s="478"/>
      <c r="CC248" s="478"/>
      <c r="CD248" s="478"/>
      <c r="CE248" s="478"/>
      <c r="CF248" s="478"/>
      <c r="CG248" s="478"/>
      <c r="CH248" s="478"/>
      <c r="CI248" s="478"/>
      <c r="CJ248" s="478"/>
      <c r="CK248" s="478"/>
      <c r="CL248" s="478"/>
      <c r="CM248" s="478"/>
      <c r="CN248" s="478"/>
      <c r="CO248" s="478"/>
      <c r="CP248" s="478"/>
      <c r="CQ248" s="478"/>
      <c r="CR248" s="478"/>
      <c r="CS248" s="478"/>
      <c r="CT248" s="478"/>
      <c r="CU248" s="478"/>
      <c r="CV248" s="478"/>
      <c r="CW248" s="478"/>
      <c r="CX248" s="478"/>
      <c r="CY248" s="478"/>
      <c r="CZ248" s="478"/>
      <c r="DA248" s="478"/>
      <c r="DB248" s="478"/>
      <c r="DC248" s="478"/>
      <c r="DD248" s="478"/>
      <c r="DE248" s="478"/>
      <c r="DF248" s="478"/>
      <c r="DG248" s="478"/>
      <c r="DH248" s="478"/>
      <c r="DI248" s="478"/>
    </row>
    <row r="249" spans="1:113" ht="16.05" hidden="1" customHeight="1" outlineLevel="1" x14ac:dyDescent="0.3">
      <c r="A249" s="455" t="str">
        <f t="shared" si="941"/>
        <v/>
      </c>
      <c r="B249" s="455"/>
      <c r="C249" s="481"/>
      <c r="D249" s="463" t="s">
        <v>881</v>
      </c>
      <c r="E249" s="482"/>
      <c r="F249" s="483"/>
      <c r="G249" s="484"/>
      <c r="H249" s="485"/>
      <c r="I249" s="466">
        <f t="shared" si="1017"/>
        <v>0</v>
      </c>
      <c r="J249" s="259"/>
      <c r="K249" s="478">
        <f t="shared" si="1018"/>
        <v>0</v>
      </c>
      <c r="L249" s="466">
        <f t="shared" si="1019"/>
        <v>0</v>
      </c>
      <c r="M249" s="257"/>
      <c r="N249" s="478"/>
      <c r="O249" s="478"/>
      <c r="P249" s="478"/>
      <c r="Q249" s="478"/>
      <c r="R249" s="478"/>
      <c r="S249" s="478"/>
      <c r="T249" s="478"/>
      <c r="U249" s="478"/>
      <c r="V249" s="478"/>
      <c r="W249" s="478"/>
      <c r="X249" s="478"/>
      <c r="Y249" s="478"/>
      <c r="Z249" s="478"/>
      <c r="AA249" s="478"/>
      <c r="AB249" s="478"/>
      <c r="AC249" s="478"/>
      <c r="AD249" s="478"/>
      <c r="AE249" s="478"/>
      <c r="AF249" s="478"/>
      <c r="AG249" s="478"/>
      <c r="AH249" s="478"/>
      <c r="AI249" s="478"/>
      <c r="AJ249" s="478"/>
      <c r="AK249" s="478"/>
      <c r="AL249" s="478"/>
      <c r="AM249" s="478"/>
      <c r="AN249" s="478"/>
      <c r="AO249" s="478"/>
      <c r="AP249" s="478"/>
      <c r="AQ249" s="478"/>
      <c r="AR249" s="478"/>
      <c r="AS249" s="478"/>
      <c r="AT249" s="478"/>
      <c r="AU249" s="478"/>
      <c r="AV249" s="478"/>
      <c r="AW249" s="478"/>
      <c r="AX249" s="478"/>
      <c r="AY249" s="478"/>
      <c r="AZ249" s="478"/>
      <c r="BA249" s="478"/>
      <c r="BB249" s="478"/>
      <c r="BC249" s="478"/>
      <c r="BD249" s="478"/>
      <c r="BE249" s="478"/>
      <c r="BF249" s="478"/>
      <c r="BG249" s="478"/>
      <c r="BH249" s="478"/>
      <c r="BI249" s="478"/>
      <c r="BJ249" s="245"/>
      <c r="BK249" s="477">
        <f t="shared" si="1020"/>
        <v>0</v>
      </c>
      <c r="BL249" s="466">
        <f t="shared" si="1021"/>
        <v>0</v>
      </c>
      <c r="BM249" s="257"/>
      <c r="BN249" s="478"/>
      <c r="BO249" s="478"/>
      <c r="BP249" s="478"/>
      <c r="BQ249" s="478"/>
      <c r="BR249" s="478"/>
      <c r="BS249" s="478"/>
      <c r="BT249" s="478"/>
      <c r="BU249" s="478"/>
      <c r="BV249" s="478"/>
      <c r="BW249" s="478"/>
      <c r="BX249" s="478"/>
      <c r="BY249" s="478"/>
      <c r="BZ249" s="478"/>
      <c r="CA249" s="478"/>
      <c r="CB249" s="478"/>
      <c r="CC249" s="478"/>
      <c r="CD249" s="478"/>
      <c r="CE249" s="478"/>
      <c r="CF249" s="478"/>
      <c r="CG249" s="478"/>
      <c r="CH249" s="478"/>
      <c r="CI249" s="478"/>
      <c r="CJ249" s="478"/>
      <c r="CK249" s="478"/>
      <c r="CL249" s="478"/>
      <c r="CM249" s="478"/>
      <c r="CN249" s="478"/>
      <c r="CO249" s="478"/>
      <c r="CP249" s="478"/>
      <c r="CQ249" s="478"/>
      <c r="CR249" s="478"/>
      <c r="CS249" s="478"/>
      <c r="CT249" s="478"/>
      <c r="CU249" s="478"/>
      <c r="CV249" s="478"/>
      <c r="CW249" s="478"/>
      <c r="CX249" s="478"/>
      <c r="CY249" s="478"/>
      <c r="CZ249" s="478"/>
      <c r="DA249" s="478"/>
      <c r="DB249" s="478"/>
      <c r="DC249" s="478"/>
      <c r="DD249" s="478"/>
      <c r="DE249" s="478"/>
      <c r="DF249" s="478"/>
      <c r="DG249" s="478"/>
      <c r="DH249" s="478"/>
      <c r="DI249" s="478"/>
    </row>
    <row r="250" spans="1:113" ht="16.05" hidden="1" customHeight="1" outlineLevel="1" x14ac:dyDescent="0.3">
      <c r="A250" s="455" t="str">
        <f t="shared" si="941"/>
        <v/>
      </c>
      <c r="B250" s="455"/>
      <c r="C250" s="481"/>
      <c r="D250" s="463" t="s">
        <v>882</v>
      </c>
      <c r="E250" s="482"/>
      <c r="F250" s="483"/>
      <c r="G250" s="484"/>
      <c r="H250" s="485"/>
      <c r="I250" s="466">
        <f t="shared" si="1017"/>
        <v>0</v>
      </c>
      <c r="J250" s="259"/>
      <c r="K250" s="478">
        <f t="shared" si="1018"/>
        <v>0</v>
      </c>
      <c r="L250" s="466">
        <f t="shared" si="1019"/>
        <v>0</v>
      </c>
      <c r="M250" s="257"/>
      <c r="N250" s="478"/>
      <c r="O250" s="478"/>
      <c r="P250" s="478"/>
      <c r="Q250" s="478"/>
      <c r="R250" s="478"/>
      <c r="S250" s="478"/>
      <c r="T250" s="478"/>
      <c r="U250" s="478"/>
      <c r="V250" s="478"/>
      <c r="W250" s="478"/>
      <c r="X250" s="478"/>
      <c r="Y250" s="478"/>
      <c r="Z250" s="478"/>
      <c r="AA250" s="478"/>
      <c r="AB250" s="478"/>
      <c r="AC250" s="478"/>
      <c r="AD250" s="478"/>
      <c r="AE250" s="478"/>
      <c r="AF250" s="478"/>
      <c r="AG250" s="478"/>
      <c r="AH250" s="478"/>
      <c r="AI250" s="478"/>
      <c r="AJ250" s="478"/>
      <c r="AK250" s="478"/>
      <c r="AL250" s="478"/>
      <c r="AM250" s="478"/>
      <c r="AN250" s="478"/>
      <c r="AO250" s="478"/>
      <c r="AP250" s="478"/>
      <c r="AQ250" s="478"/>
      <c r="AR250" s="478"/>
      <c r="AS250" s="478"/>
      <c r="AT250" s="478"/>
      <c r="AU250" s="478"/>
      <c r="AV250" s="478"/>
      <c r="AW250" s="478"/>
      <c r="AX250" s="478"/>
      <c r="AY250" s="478"/>
      <c r="AZ250" s="478"/>
      <c r="BA250" s="478"/>
      <c r="BB250" s="478"/>
      <c r="BC250" s="478"/>
      <c r="BD250" s="478"/>
      <c r="BE250" s="478"/>
      <c r="BF250" s="478"/>
      <c r="BG250" s="478"/>
      <c r="BH250" s="478"/>
      <c r="BI250" s="478"/>
      <c r="BJ250" s="245"/>
      <c r="BK250" s="477">
        <f t="shared" si="1020"/>
        <v>0</v>
      </c>
      <c r="BL250" s="466">
        <f t="shared" si="1021"/>
        <v>0</v>
      </c>
      <c r="BM250" s="257"/>
      <c r="BN250" s="478"/>
      <c r="BO250" s="478"/>
      <c r="BP250" s="478"/>
      <c r="BQ250" s="478"/>
      <c r="BR250" s="478"/>
      <c r="BS250" s="478"/>
      <c r="BT250" s="478"/>
      <c r="BU250" s="478"/>
      <c r="BV250" s="478"/>
      <c r="BW250" s="478"/>
      <c r="BX250" s="478"/>
      <c r="BY250" s="478"/>
      <c r="BZ250" s="478"/>
      <c r="CA250" s="478"/>
      <c r="CB250" s="478"/>
      <c r="CC250" s="478"/>
      <c r="CD250" s="478"/>
      <c r="CE250" s="478"/>
      <c r="CF250" s="478"/>
      <c r="CG250" s="478"/>
      <c r="CH250" s="478"/>
      <c r="CI250" s="478"/>
      <c r="CJ250" s="478"/>
      <c r="CK250" s="478"/>
      <c r="CL250" s="478"/>
      <c r="CM250" s="478"/>
      <c r="CN250" s="478"/>
      <c r="CO250" s="478"/>
      <c r="CP250" s="478"/>
      <c r="CQ250" s="478"/>
      <c r="CR250" s="478"/>
      <c r="CS250" s="478"/>
      <c r="CT250" s="478"/>
      <c r="CU250" s="478"/>
      <c r="CV250" s="478"/>
      <c r="CW250" s="478"/>
      <c r="CX250" s="478"/>
      <c r="CY250" s="478"/>
      <c r="CZ250" s="478"/>
      <c r="DA250" s="478"/>
      <c r="DB250" s="478"/>
      <c r="DC250" s="478"/>
      <c r="DD250" s="478"/>
      <c r="DE250" s="478"/>
      <c r="DF250" s="478"/>
      <c r="DG250" s="478"/>
      <c r="DH250" s="478"/>
      <c r="DI250" s="478"/>
    </row>
    <row r="251" spans="1:113" ht="16.05" hidden="1" customHeight="1" outlineLevel="1" x14ac:dyDescent="0.3">
      <c r="A251" s="455" t="str">
        <f t="shared" si="941"/>
        <v/>
      </c>
      <c r="B251" s="455"/>
      <c r="C251" s="481"/>
      <c r="D251" s="463" t="s">
        <v>883</v>
      </c>
      <c r="E251" s="482"/>
      <c r="F251" s="483"/>
      <c r="G251" s="484"/>
      <c r="H251" s="485"/>
      <c r="I251" s="466">
        <f t="shared" si="1017"/>
        <v>0</v>
      </c>
      <c r="J251" s="259"/>
      <c r="K251" s="478">
        <f t="shared" si="1018"/>
        <v>0</v>
      </c>
      <c r="L251" s="466">
        <f t="shared" si="1019"/>
        <v>0</v>
      </c>
      <c r="M251" s="257"/>
      <c r="N251" s="478"/>
      <c r="O251" s="478"/>
      <c r="P251" s="478"/>
      <c r="Q251" s="478"/>
      <c r="R251" s="478"/>
      <c r="S251" s="478"/>
      <c r="T251" s="478"/>
      <c r="U251" s="478"/>
      <c r="V251" s="478"/>
      <c r="W251" s="478"/>
      <c r="X251" s="478"/>
      <c r="Y251" s="478"/>
      <c r="Z251" s="478"/>
      <c r="AA251" s="478"/>
      <c r="AB251" s="478"/>
      <c r="AC251" s="478"/>
      <c r="AD251" s="478"/>
      <c r="AE251" s="478"/>
      <c r="AF251" s="478"/>
      <c r="AG251" s="478"/>
      <c r="AH251" s="478"/>
      <c r="AI251" s="478"/>
      <c r="AJ251" s="478"/>
      <c r="AK251" s="478"/>
      <c r="AL251" s="478"/>
      <c r="AM251" s="478"/>
      <c r="AN251" s="478"/>
      <c r="AO251" s="478"/>
      <c r="AP251" s="478"/>
      <c r="AQ251" s="478"/>
      <c r="AR251" s="478"/>
      <c r="AS251" s="478"/>
      <c r="AT251" s="478"/>
      <c r="AU251" s="478"/>
      <c r="AV251" s="478"/>
      <c r="AW251" s="478"/>
      <c r="AX251" s="478"/>
      <c r="AY251" s="478"/>
      <c r="AZ251" s="478"/>
      <c r="BA251" s="478"/>
      <c r="BB251" s="478"/>
      <c r="BC251" s="478"/>
      <c r="BD251" s="478"/>
      <c r="BE251" s="478"/>
      <c r="BF251" s="478"/>
      <c r="BG251" s="478"/>
      <c r="BH251" s="478"/>
      <c r="BI251" s="478"/>
      <c r="BJ251" s="245"/>
      <c r="BK251" s="477">
        <f t="shared" si="1020"/>
        <v>0</v>
      </c>
      <c r="BL251" s="466">
        <f t="shared" si="1021"/>
        <v>0</v>
      </c>
      <c r="BM251" s="257"/>
      <c r="BN251" s="478"/>
      <c r="BO251" s="478"/>
      <c r="BP251" s="478"/>
      <c r="BQ251" s="478"/>
      <c r="BR251" s="478"/>
      <c r="BS251" s="478"/>
      <c r="BT251" s="478"/>
      <c r="BU251" s="478"/>
      <c r="BV251" s="478"/>
      <c r="BW251" s="478"/>
      <c r="BX251" s="478"/>
      <c r="BY251" s="478"/>
      <c r="BZ251" s="478"/>
      <c r="CA251" s="478"/>
      <c r="CB251" s="478"/>
      <c r="CC251" s="478"/>
      <c r="CD251" s="478"/>
      <c r="CE251" s="478"/>
      <c r="CF251" s="478"/>
      <c r="CG251" s="478"/>
      <c r="CH251" s="478"/>
      <c r="CI251" s="478"/>
      <c r="CJ251" s="478"/>
      <c r="CK251" s="478"/>
      <c r="CL251" s="478"/>
      <c r="CM251" s="478"/>
      <c r="CN251" s="478"/>
      <c r="CO251" s="478"/>
      <c r="CP251" s="478"/>
      <c r="CQ251" s="478"/>
      <c r="CR251" s="478"/>
      <c r="CS251" s="478"/>
      <c r="CT251" s="478"/>
      <c r="CU251" s="478"/>
      <c r="CV251" s="478"/>
      <c r="CW251" s="478"/>
      <c r="CX251" s="478"/>
      <c r="CY251" s="478"/>
      <c r="CZ251" s="478"/>
      <c r="DA251" s="478"/>
      <c r="DB251" s="478"/>
      <c r="DC251" s="478"/>
      <c r="DD251" s="478"/>
      <c r="DE251" s="478"/>
      <c r="DF251" s="478"/>
      <c r="DG251" s="478"/>
      <c r="DH251" s="478"/>
      <c r="DI251" s="478"/>
    </row>
    <row r="252" spans="1:113" ht="16.05" hidden="1" customHeight="1" outlineLevel="1" x14ac:dyDescent="0.3">
      <c r="A252" s="455" t="str">
        <f t="shared" si="941"/>
        <v/>
      </c>
      <c r="B252" s="455"/>
      <c r="C252" s="481"/>
      <c r="D252" s="463" t="s">
        <v>884</v>
      </c>
      <c r="E252" s="482"/>
      <c r="F252" s="483"/>
      <c r="G252" s="484"/>
      <c r="H252" s="485"/>
      <c r="I252" s="466">
        <f t="shared" si="1017"/>
        <v>0</v>
      </c>
      <c r="J252" s="259"/>
      <c r="K252" s="478">
        <f t="shared" si="1018"/>
        <v>0</v>
      </c>
      <c r="L252" s="466">
        <f t="shared" si="1019"/>
        <v>0</v>
      </c>
      <c r="M252" s="257"/>
      <c r="N252" s="478"/>
      <c r="O252" s="478"/>
      <c r="P252" s="478"/>
      <c r="Q252" s="478"/>
      <c r="R252" s="478"/>
      <c r="S252" s="478"/>
      <c r="T252" s="478"/>
      <c r="U252" s="478"/>
      <c r="V252" s="478"/>
      <c r="W252" s="478"/>
      <c r="X252" s="478"/>
      <c r="Y252" s="478"/>
      <c r="Z252" s="478"/>
      <c r="AA252" s="478"/>
      <c r="AB252" s="478"/>
      <c r="AC252" s="478"/>
      <c r="AD252" s="478"/>
      <c r="AE252" s="478"/>
      <c r="AF252" s="478"/>
      <c r="AG252" s="478"/>
      <c r="AH252" s="478"/>
      <c r="AI252" s="478"/>
      <c r="AJ252" s="478"/>
      <c r="AK252" s="478"/>
      <c r="AL252" s="478"/>
      <c r="AM252" s="478"/>
      <c r="AN252" s="478"/>
      <c r="AO252" s="478"/>
      <c r="AP252" s="478"/>
      <c r="AQ252" s="478"/>
      <c r="AR252" s="478"/>
      <c r="AS252" s="478"/>
      <c r="AT252" s="478"/>
      <c r="AU252" s="478"/>
      <c r="AV252" s="478"/>
      <c r="AW252" s="478"/>
      <c r="AX252" s="478"/>
      <c r="AY252" s="478"/>
      <c r="AZ252" s="478"/>
      <c r="BA252" s="478"/>
      <c r="BB252" s="478"/>
      <c r="BC252" s="478"/>
      <c r="BD252" s="478"/>
      <c r="BE252" s="478"/>
      <c r="BF252" s="478"/>
      <c r="BG252" s="478"/>
      <c r="BH252" s="478"/>
      <c r="BI252" s="478"/>
      <c r="BJ252" s="245"/>
      <c r="BK252" s="477">
        <f t="shared" si="1020"/>
        <v>0</v>
      </c>
      <c r="BL252" s="466">
        <f t="shared" si="1021"/>
        <v>0</v>
      </c>
      <c r="BM252" s="257"/>
      <c r="BN252" s="478"/>
      <c r="BO252" s="478"/>
      <c r="BP252" s="478"/>
      <c r="BQ252" s="478"/>
      <c r="BR252" s="478"/>
      <c r="BS252" s="478"/>
      <c r="BT252" s="478"/>
      <c r="BU252" s="478"/>
      <c r="BV252" s="478"/>
      <c r="BW252" s="478"/>
      <c r="BX252" s="478"/>
      <c r="BY252" s="478"/>
      <c r="BZ252" s="478"/>
      <c r="CA252" s="478"/>
      <c r="CB252" s="478"/>
      <c r="CC252" s="478"/>
      <c r="CD252" s="478"/>
      <c r="CE252" s="478"/>
      <c r="CF252" s="478"/>
      <c r="CG252" s="478"/>
      <c r="CH252" s="478"/>
      <c r="CI252" s="478"/>
      <c r="CJ252" s="478"/>
      <c r="CK252" s="478"/>
      <c r="CL252" s="478"/>
      <c r="CM252" s="478"/>
      <c r="CN252" s="478"/>
      <c r="CO252" s="478"/>
      <c r="CP252" s="478"/>
      <c r="CQ252" s="478"/>
      <c r="CR252" s="478"/>
      <c r="CS252" s="478"/>
      <c r="CT252" s="478"/>
      <c r="CU252" s="478"/>
      <c r="CV252" s="478"/>
      <c r="CW252" s="478"/>
      <c r="CX252" s="478"/>
      <c r="CY252" s="478"/>
      <c r="CZ252" s="478"/>
      <c r="DA252" s="478"/>
      <c r="DB252" s="478"/>
      <c r="DC252" s="478"/>
      <c r="DD252" s="478"/>
      <c r="DE252" s="478"/>
      <c r="DF252" s="478"/>
      <c r="DG252" s="478"/>
      <c r="DH252" s="478"/>
      <c r="DI252" s="478"/>
    </row>
    <row r="253" spans="1:113" ht="8.1" hidden="1" customHeight="1" outlineLevel="1" x14ac:dyDescent="0.3">
      <c r="A253" s="455" t="str">
        <f t="shared" ref="A253" si="1022">IF(COUNTIF(A233:A252,"Imprimir")&gt;0,"Imprimir","")</f>
        <v/>
      </c>
      <c r="B253" s="455"/>
      <c r="C253" s="464"/>
      <c r="D253" s="461"/>
      <c r="E253" s="462"/>
      <c r="F253" s="462"/>
      <c r="G253" s="461"/>
      <c r="H253" s="461"/>
      <c r="I253" s="461"/>
      <c r="J253" s="259"/>
      <c r="K253" s="255"/>
      <c r="L253" s="256"/>
      <c r="M253" s="257"/>
      <c r="N253" s="255"/>
      <c r="O253" s="255"/>
      <c r="P253" s="255"/>
      <c r="Q253" s="255"/>
      <c r="R253" s="255"/>
      <c r="S253" s="255"/>
      <c r="T253" s="255"/>
      <c r="U253" s="255"/>
      <c r="V253" s="255"/>
      <c r="W253" s="255"/>
      <c r="X253" s="255"/>
      <c r="Y253" s="255"/>
      <c r="Z253" s="255"/>
      <c r="AA253" s="255"/>
      <c r="AB253" s="255"/>
      <c r="AC253" s="255"/>
      <c r="AD253" s="255"/>
      <c r="AE253" s="255"/>
      <c r="AF253" s="255"/>
      <c r="AG253" s="255"/>
      <c r="AH253" s="255"/>
      <c r="AI253" s="255"/>
      <c r="AJ253" s="255"/>
      <c r="AK253" s="255"/>
      <c r="AL253" s="255"/>
      <c r="AM253" s="524"/>
      <c r="AN253" s="255"/>
      <c r="AO253" s="255"/>
      <c r="AP253" s="255"/>
      <c r="AQ253" s="255"/>
      <c r="AR253" s="255"/>
      <c r="AS253" s="255"/>
      <c r="AT253" s="255"/>
      <c r="AU253" s="255"/>
      <c r="AV253" s="255"/>
      <c r="AW253" s="255"/>
      <c r="AX253" s="255"/>
      <c r="AY253" s="255"/>
      <c r="AZ253" s="255"/>
      <c r="BA253" s="255"/>
      <c r="BB253" s="255"/>
      <c r="BC253" s="255"/>
      <c r="BD253" s="255"/>
      <c r="BE253" s="255"/>
      <c r="BF253" s="255"/>
      <c r="BG253" s="255"/>
      <c r="BH253" s="255"/>
      <c r="BI253" s="255"/>
      <c r="BJ253" s="245"/>
      <c r="BK253" s="256"/>
      <c r="BL253" s="256"/>
      <c r="BM253" s="257"/>
      <c r="BN253" s="255"/>
      <c r="BO253" s="255"/>
      <c r="BP253" s="255"/>
      <c r="BQ253" s="255"/>
      <c r="BR253" s="255"/>
      <c r="BS253" s="255"/>
      <c r="BT253" s="255"/>
      <c r="BU253" s="255"/>
      <c r="BV253" s="255"/>
      <c r="BW253" s="255"/>
      <c r="BX253" s="255"/>
      <c r="BY253" s="255"/>
      <c r="BZ253" s="255"/>
      <c r="CA253" s="255"/>
      <c r="CB253" s="255"/>
      <c r="CC253" s="255"/>
      <c r="CD253" s="255"/>
      <c r="CE253" s="255"/>
      <c r="CF253" s="255"/>
      <c r="CG253" s="255"/>
      <c r="CH253" s="255"/>
      <c r="CI253" s="255"/>
      <c r="CJ253" s="255"/>
      <c r="CK253" s="255"/>
      <c r="CL253" s="255"/>
      <c r="CM253" s="255"/>
      <c r="CN253" s="255"/>
      <c r="CO253" s="255"/>
      <c r="CP253" s="255"/>
      <c r="CQ253" s="255"/>
      <c r="CR253" s="255"/>
      <c r="CS253" s="255"/>
      <c r="CT253" s="255"/>
      <c r="CU253" s="255"/>
      <c r="CV253" s="255"/>
      <c r="CW253" s="255"/>
      <c r="CX253" s="255"/>
      <c r="CY253" s="255"/>
      <c r="CZ253" s="255"/>
      <c r="DA253" s="255"/>
      <c r="DB253" s="255"/>
      <c r="DC253" s="255"/>
      <c r="DD253" s="255"/>
      <c r="DE253" s="255"/>
      <c r="DF253" s="255"/>
      <c r="DG253" s="255"/>
      <c r="DH253" s="255"/>
      <c r="DI253" s="524"/>
    </row>
    <row r="254" spans="1:113" ht="16.05" customHeight="1" collapsed="1" x14ac:dyDescent="0.3">
      <c r="A254" s="455" t="str">
        <f>IF(COUNTIF(A255:A364,"Imprimir")&gt;0,"Imprimir","")</f>
        <v>Imprimir</v>
      </c>
      <c r="B254" s="455"/>
      <c r="C254" s="457" t="s">
        <v>885</v>
      </c>
      <c r="D254" s="457"/>
      <c r="E254" s="458" t="s">
        <v>3714</v>
      </c>
      <c r="F254" s="458"/>
      <c r="G254" s="458"/>
      <c r="H254" s="467"/>
      <c r="I254" s="467">
        <f>SUBTOTAL(9,I255:I364)</f>
        <v>377750.82</v>
      </c>
      <c r="J254" s="259"/>
      <c r="K254" s="467"/>
      <c r="L254" s="467">
        <f>SUBTOTAL(9,L255:L364)</f>
        <v>377750.82</v>
      </c>
      <c r="M254" s="245"/>
      <c r="N254" s="467">
        <f>SUBTOTAL(9,N255,N277,N299,N321,N343)</f>
        <v>0</v>
      </c>
      <c r="O254" s="467">
        <f t="shared" ref="O254:BI254" si="1023">SUBTOTAL(9,O255,O277,O299,O321,O343)</f>
        <v>0</v>
      </c>
      <c r="P254" s="467">
        <f t="shared" si="1023"/>
        <v>0</v>
      </c>
      <c r="Q254" s="467">
        <f t="shared" si="1023"/>
        <v>0</v>
      </c>
      <c r="R254" s="467">
        <f t="shared" si="1023"/>
        <v>0</v>
      </c>
      <c r="S254" s="467">
        <f t="shared" si="1023"/>
        <v>0</v>
      </c>
      <c r="T254" s="467">
        <f t="shared" si="1023"/>
        <v>0</v>
      </c>
      <c r="U254" s="467">
        <f t="shared" si="1023"/>
        <v>377750.82</v>
      </c>
      <c r="V254" s="467">
        <f t="shared" si="1023"/>
        <v>0</v>
      </c>
      <c r="W254" s="467">
        <f t="shared" si="1023"/>
        <v>0</v>
      </c>
      <c r="X254" s="467">
        <f t="shared" si="1023"/>
        <v>0</v>
      </c>
      <c r="Y254" s="467">
        <f t="shared" si="1023"/>
        <v>0</v>
      </c>
      <c r="Z254" s="467">
        <f t="shared" si="1023"/>
        <v>0</v>
      </c>
      <c r="AA254" s="467">
        <f t="shared" si="1023"/>
        <v>0</v>
      </c>
      <c r="AB254" s="467">
        <f t="shared" si="1023"/>
        <v>0</v>
      </c>
      <c r="AC254" s="467">
        <f t="shared" si="1023"/>
        <v>0</v>
      </c>
      <c r="AD254" s="467">
        <f t="shared" si="1023"/>
        <v>0</v>
      </c>
      <c r="AE254" s="467">
        <f t="shared" si="1023"/>
        <v>0</v>
      </c>
      <c r="AF254" s="467">
        <f t="shared" si="1023"/>
        <v>0</v>
      </c>
      <c r="AG254" s="467">
        <f t="shared" si="1023"/>
        <v>0</v>
      </c>
      <c r="AH254" s="467">
        <f t="shared" si="1023"/>
        <v>0</v>
      </c>
      <c r="AI254" s="467">
        <f t="shared" si="1023"/>
        <v>0</v>
      </c>
      <c r="AJ254" s="467">
        <f t="shared" si="1023"/>
        <v>0</v>
      </c>
      <c r="AK254" s="467">
        <f t="shared" si="1023"/>
        <v>0</v>
      </c>
      <c r="AL254" s="467">
        <f t="shared" si="1023"/>
        <v>0</v>
      </c>
      <c r="AM254" s="467">
        <f t="shared" si="1023"/>
        <v>0</v>
      </c>
      <c r="AN254" s="467">
        <f t="shared" si="1023"/>
        <v>0</v>
      </c>
      <c r="AO254" s="467">
        <f t="shared" si="1023"/>
        <v>0</v>
      </c>
      <c r="AP254" s="467">
        <f t="shared" si="1023"/>
        <v>0</v>
      </c>
      <c r="AQ254" s="467">
        <f t="shared" si="1023"/>
        <v>0</v>
      </c>
      <c r="AR254" s="467">
        <f t="shared" si="1023"/>
        <v>0</v>
      </c>
      <c r="AS254" s="467">
        <f t="shared" si="1023"/>
        <v>0</v>
      </c>
      <c r="AT254" s="467">
        <f t="shared" si="1023"/>
        <v>0</v>
      </c>
      <c r="AU254" s="467">
        <f t="shared" si="1023"/>
        <v>0</v>
      </c>
      <c r="AV254" s="467">
        <f t="shared" si="1023"/>
        <v>0</v>
      </c>
      <c r="AW254" s="467">
        <f t="shared" si="1023"/>
        <v>0</v>
      </c>
      <c r="AX254" s="467">
        <f t="shared" si="1023"/>
        <v>0</v>
      </c>
      <c r="AY254" s="467">
        <f t="shared" si="1023"/>
        <v>0</v>
      </c>
      <c r="AZ254" s="467">
        <f t="shared" si="1023"/>
        <v>0</v>
      </c>
      <c r="BA254" s="467">
        <f t="shared" si="1023"/>
        <v>0</v>
      </c>
      <c r="BB254" s="467">
        <f t="shared" si="1023"/>
        <v>0</v>
      </c>
      <c r="BC254" s="467">
        <f t="shared" si="1023"/>
        <v>0</v>
      </c>
      <c r="BD254" s="467">
        <f t="shared" si="1023"/>
        <v>0</v>
      </c>
      <c r="BE254" s="467">
        <f t="shared" si="1023"/>
        <v>0</v>
      </c>
      <c r="BF254" s="467">
        <f t="shared" si="1023"/>
        <v>0</v>
      </c>
      <c r="BG254" s="467">
        <f t="shared" si="1023"/>
        <v>0</v>
      </c>
      <c r="BH254" s="467">
        <f t="shared" si="1023"/>
        <v>0</v>
      </c>
      <c r="BI254" s="542">
        <f t="shared" si="1023"/>
        <v>0</v>
      </c>
      <c r="BJ254" s="546"/>
      <c r="BK254" s="476">
        <f t="shared" ref="BK254:BK255" si="1024">IFERROR(BL254/I254,0)</f>
        <v>0.95707193964529325</v>
      </c>
      <c r="BL254" s="467">
        <f>SUBTOTAL(9,BL255:BL364)</f>
        <v>361534.71</v>
      </c>
      <c r="BM254" s="245"/>
      <c r="BN254" s="467">
        <f>SUBTOTAL(9,BN255,BN277,BN299,BN321,BN343)</f>
        <v>0</v>
      </c>
      <c r="BO254" s="467">
        <f t="shared" ref="BO254:DI254" si="1025">SUBTOTAL(9,BO255,BO277,BO299,BO321,BO343)</f>
        <v>0</v>
      </c>
      <c r="BP254" s="467">
        <f t="shared" si="1025"/>
        <v>0</v>
      </c>
      <c r="BQ254" s="467">
        <f t="shared" si="1025"/>
        <v>0</v>
      </c>
      <c r="BR254" s="467">
        <f t="shared" si="1025"/>
        <v>0</v>
      </c>
      <c r="BS254" s="467">
        <f t="shared" si="1025"/>
        <v>0</v>
      </c>
      <c r="BT254" s="467">
        <f t="shared" si="1025"/>
        <v>0</v>
      </c>
      <c r="BU254" s="467">
        <f t="shared" si="1025"/>
        <v>361534.71</v>
      </c>
      <c r="BV254" s="467">
        <f t="shared" si="1025"/>
        <v>0</v>
      </c>
      <c r="BW254" s="467">
        <f t="shared" si="1025"/>
        <v>0</v>
      </c>
      <c r="BX254" s="467">
        <f t="shared" si="1025"/>
        <v>0</v>
      </c>
      <c r="BY254" s="467">
        <f t="shared" si="1025"/>
        <v>0</v>
      </c>
      <c r="BZ254" s="467">
        <f t="shared" si="1025"/>
        <v>0</v>
      </c>
      <c r="CA254" s="467">
        <f t="shared" si="1025"/>
        <v>0</v>
      </c>
      <c r="CB254" s="467">
        <f t="shared" si="1025"/>
        <v>0</v>
      </c>
      <c r="CC254" s="467">
        <f t="shared" si="1025"/>
        <v>0</v>
      </c>
      <c r="CD254" s="467">
        <f t="shared" si="1025"/>
        <v>0</v>
      </c>
      <c r="CE254" s="467">
        <f t="shared" si="1025"/>
        <v>0</v>
      </c>
      <c r="CF254" s="467">
        <f t="shared" si="1025"/>
        <v>0</v>
      </c>
      <c r="CG254" s="467">
        <f t="shared" si="1025"/>
        <v>0</v>
      </c>
      <c r="CH254" s="467">
        <f t="shared" si="1025"/>
        <v>0</v>
      </c>
      <c r="CI254" s="467">
        <f t="shared" si="1025"/>
        <v>0</v>
      </c>
      <c r="CJ254" s="467">
        <f t="shared" si="1025"/>
        <v>0</v>
      </c>
      <c r="CK254" s="467">
        <f t="shared" si="1025"/>
        <v>0</v>
      </c>
      <c r="CL254" s="467">
        <f t="shared" si="1025"/>
        <v>0</v>
      </c>
      <c r="CM254" s="467">
        <f t="shared" si="1025"/>
        <v>0</v>
      </c>
      <c r="CN254" s="467">
        <f t="shared" si="1025"/>
        <v>0</v>
      </c>
      <c r="CO254" s="467">
        <f t="shared" si="1025"/>
        <v>0</v>
      </c>
      <c r="CP254" s="467">
        <f t="shared" si="1025"/>
        <v>0</v>
      </c>
      <c r="CQ254" s="467">
        <f t="shared" si="1025"/>
        <v>0</v>
      </c>
      <c r="CR254" s="467">
        <f t="shared" si="1025"/>
        <v>0</v>
      </c>
      <c r="CS254" s="467">
        <f t="shared" si="1025"/>
        <v>0</v>
      </c>
      <c r="CT254" s="467">
        <f t="shared" si="1025"/>
        <v>0</v>
      </c>
      <c r="CU254" s="467">
        <f t="shared" si="1025"/>
        <v>0</v>
      </c>
      <c r="CV254" s="467">
        <f t="shared" si="1025"/>
        <v>0</v>
      </c>
      <c r="CW254" s="467">
        <f t="shared" si="1025"/>
        <v>0</v>
      </c>
      <c r="CX254" s="467">
        <f t="shared" si="1025"/>
        <v>0</v>
      </c>
      <c r="CY254" s="467">
        <f t="shared" si="1025"/>
        <v>0</v>
      </c>
      <c r="CZ254" s="467">
        <f t="shared" si="1025"/>
        <v>0</v>
      </c>
      <c r="DA254" s="467">
        <f t="shared" si="1025"/>
        <v>0</v>
      </c>
      <c r="DB254" s="467">
        <f t="shared" si="1025"/>
        <v>0</v>
      </c>
      <c r="DC254" s="467">
        <f t="shared" si="1025"/>
        <v>0</v>
      </c>
      <c r="DD254" s="467">
        <f t="shared" si="1025"/>
        <v>0</v>
      </c>
      <c r="DE254" s="467">
        <f t="shared" si="1025"/>
        <v>0</v>
      </c>
      <c r="DF254" s="467">
        <f t="shared" si="1025"/>
        <v>0</v>
      </c>
      <c r="DG254" s="467">
        <f t="shared" si="1025"/>
        <v>0</v>
      </c>
      <c r="DH254" s="467">
        <f t="shared" si="1025"/>
        <v>0</v>
      </c>
      <c r="DI254" s="467">
        <f t="shared" si="1025"/>
        <v>0</v>
      </c>
    </row>
    <row r="255" spans="1:113" ht="16.05" customHeight="1" x14ac:dyDescent="0.3">
      <c r="A255" s="455" t="str">
        <f t="shared" ref="A255" si="1026">IF(COUNTIF(A256:A275,"Imprimir")&gt;0,"Imprimir","")</f>
        <v>Imprimir</v>
      </c>
      <c r="B255" s="455"/>
      <c r="C255" s="459"/>
      <c r="D255" s="459"/>
      <c r="E255" s="460" t="s">
        <v>3715</v>
      </c>
      <c r="F255" s="460"/>
      <c r="G255" s="460"/>
      <c r="H255" s="465"/>
      <c r="I255" s="465">
        <f>SUBTOTAL(9,I256:I276)</f>
        <v>377750.82</v>
      </c>
      <c r="J255" s="259"/>
      <c r="K255" s="465"/>
      <c r="L255" s="465">
        <f>SUBTOTAL(9,L256:L276)</f>
        <v>377750.82</v>
      </c>
      <c r="M255" s="257"/>
      <c r="N255" s="465">
        <f>SUMPRODUCT(N256:N276,$H256:$H276)</f>
        <v>0</v>
      </c>
      <c r="O255" s="465">
        <f>SUMPRODUCT(O256:O276,$H256:$H276)</f>
        <v>0</v>
      </c>
      <c r="P255" s="465">
        <f>SUMPRODUCT(P256:P276,$H256:$H276)</f>
        <v>0</v>
      </c>
      <c r="Q255" s="465">
        <f>SUMPRODUCT(Q256:Q276,$H256:$H276)</f>
        <v>0</v>
      </c>
      <c r="R255" s="465">
        <f t="shared" ref="R255" si="1027">SUMPRODUCT(R256:R276,$H256:$H276)</f>
        <v>0</v>
      </c>
      <c r="S255" s="465">
        <f>SUMPRODUCT(S256:S276,$H256:$H276)</f>
        <v>0</v>
      </c>
      <c r="T255" s="465">
        <f t="shared" ref="T255" si="1028">SUMPRODUCT(T256:T276,$H256:$H276)</f>
        <v>0</v>
      </c>
      <c r="U255" s="465">
        <f t="shared" ref="U255" si="1029">SUMPRODUCT(U256:U276,$H256:$H276)</f>
        <v>377750.82</v>
      </c>
      <c r="V255" s="465">
        <f t="shared" ref="V255" si="1030">SUMPRODUCT(V256:V276,$H256:$H276)</f>
        <v>0</v>
      </c>
      <c r="W255" s="465">
        <f t="shared" ref="W255" si="1031">SUMPRODUCT(W256:W276,$H256:$H276)</f>
        <v>0</v>
      </c>
      <c r="X255" s="465">
        <f t="shared" ref="X255" si="1032">SUMPRODUCT(X256:X276,$H256:$H276)</f>
        <v>0</v>
      </c>
      <c r="Y255" s="465">
        <f t="shared" ref="Y255" si="1033">SUMPRODUCT(Y256:Y276,$H256:$H276)</f>
        <v>0</v>
      </c>
      <c r="Z255" s="465">
        <f t="shared" ref="Z255" si="1034">SUMPRODUCT(Z256:Z276,$H256:$H276)</f>
        <v>0</v>
      </c>
      <c r="AA255" s="465">
        <f t="shared" ref="AA255" si="1035">SUMPRODUCT(AA256:AA276,$H256:$H276)</f>
        <v>0</v>
      </c>
      <c r="AB255" s="465">
        <f t="shared" ref="AB255" si="1036">SUMPRODUCT(AB256:AB276,$H256:$H276)</f>
        <v>0</v>
      </c>
      <c r="AC255" s="465">
        <f t="shared" ref="AC255" si="1037">SUMPRODUCT(AC256:AC276,$H256:$H276)</f>
        <v>0</v>
      </c>
      <c r="AD255" s="465">
        <f t="shared" ref="AD255" si="1038">SUMPRODUCT(AD256:AD276,$H256:$H276)</f>
        <v>0</v>
      </c>
      <c r="AE255" s="465">
        <f t="shared" ref="AE255" si="1039">SUMPRODUCT(AE256:AE276,$H256:$H276)</f>
        <v>0</v>
      </c>
      <c r="AF255" s="465">
        <f t="shared" ref="AF255" si="1040">SUMPRODUCT(AF256:AF276,$H256:$H276)</f>
        <v>0</v>
      </c>
      <c r="AG255" s="465">
        <f t="shared" ref="AG255" si="1041">SUMPRODUCT(AG256:AG276,$H256:$H276)</f>
        <v>0</v>
      </c>
      <c r="AH255" s="465">
        <f t="shared" ref="AH255" si="1042">SUMPRODUCT(AH256:AH276,$H256:$H276)</f>
        <v>0</v>
      </c>
      <c r="AI255" s="465">
        <f t="shared" ref="AI255" si="1043">SUMPRODUCT(AI256:AI276,$H256:$H276)</f>
        <v>0</v>
      </c>
      <c r="AJ255" s="465">
        <f t="shared" ref="AJ255:BI255" si="1044">SUMPRODUCT(AJ256:AJ276,$H256:$H276)</f>
        <v>0</v>
      </c>
      <c r="AK255" s="465">
        <f t="shared" si="1044"/>
        <v>0</v>
      </c>
      <c r="AL255" s="465">
        <f t="shared" si="1044"/>
        <v>0</v>
      </c>
      <c r="AM255" s="465">
        <f t="shared" si="1044"/>
        <v>0</v>
      </c>
      <c r="AN255" s="465">
        <f t="shared" si="1044"/>
        <v>0</v>
      </c>
      <c r="AO255" s="465">
        <f t="shared" si="1044"/>
        <v>0</v>
      </c>
      <c r="AP255" s="465">
        <f t="shared" si="1044"/>
        <v>0</v>
      </c>
      <c r="AQ255" s="465">
        <f t="shared" si="1044"/>
        <v>0</v>
      </c>
      <c r="AR255" s="465">
        <f t="shared" si="1044"/>
        <v>0</v>
      </c>
      <c r="AS255" s="465">
        <f t="shared" si="1044"/>
        <v>0</v>
      </c>
      <c r="AT255" s="465">
        <f t="shared" si="1044"/>
        <v>0</v>
      </c>
      <c r="AU255" s="465">
        <f t="shared" si="1044"/>
        <v>0</v>
      </c>
      <c r="AV255" s="465">
        <f t="shared" si="1044"/>
        <v>0</v>
      </c>
      <c r="AW255" s="465">
        <f t="shared" si="1044"/>
        <v>0</v>
      </c>
      <c r="AX255" s="465">
        <f t="shared" si="1044"/>
        <v>0</v>
      </c>
      <c r="AY255" s="465">
        <f t="shared" si="1044"/>
        <v>0</v>
      </c>
      <c r="AZ255" s="465">
        <f t="shared" si="1044"/>
        <v>0</v>
      </c>
      <c r="BA255" s="465">
        <f t="shared" si="1044"/>
        <v>0</v>
      </c>
      <c r="BB255" s="465">
        <f t="shared" si="1044"/>
        <v>0</v>
      </c>
      <c r="BC255" s="465">
        <f t="shared" si="1044"/>
        <v>0</v>
      </c>
      <c r="BD255" s="465">
        <f t="shared" si="1044"/>
        <v>0</v>
      </c>
      <c r="BE255" s="465">
        <f t="shared" si="1044"/>
        <v>0</v>
      </c>
      <c r="BF255" s="465">
        <f t="shared" si="1044"/>
        <v>0</v>
      </c>
      <c r="BG255" s="465">
        <f t="shared" si="1044"/>
        <v>0</v>
      </c>
      <c r="BH255" s="465">
        <f t="shared" si="1044"/>
        <v>0</v>
      </c>
      <c r="BI255" s="543">
        <f t="shared" si="1044"/>
        <v>0</v>
      </c>
      <c r="BJ255" s="546"/>
      <c r="BK255" s="475">
        <f t="shared" si="1024"/>
        <v>0.95707193964529325</v>
      </c>
      <c r="BL255" s="465">
        <f>SUBTOTAL(9,BL256:BL276)</f>
        <v>361534.71</v>
      </c>
      <c r="BM255" s="257"/>
      <c r="BN255" s="465">
        <f>SUMPRODUCT(BN256:BN276,$H256:$H276)</f>
        <v>0</v>
      </c>
      <c r="BO255" s="465">
        <f>SUMPRODUCT(BO256:BO276,$H256:$H276)</f>
        <v>0</v>
      </c>
      <c r="BP255" s="465">
        <f t="shared" ref="BP255" si="1045">SUMPRODUCT(BP256:BP276,$H256:$H276)</f>
        <v>0</v>
      </c>
      <c r="BQ255" s="465">
        <f t="shared" ref="BQ255" si="1046">SUMPRODUCT(BQ256:BQ276,$H256:$H276)</f>
        <v>0</v>
      </c>
      <c r="BR255" s="465">
        <f t="shared" ref="BR255" si="1047">SUMPRODUCT(BR256:BR276,$H256:$H276)</f>
        <v>0</v>
      </c>
      <c r="BS255" s="465">
        <f t="shared" ref="BS255" si="1048">SUMPRODUCT(BS256:BS276,$H256:$H276)</f>
        <v>0</v>
      </c>
      <c r="BT255" s="465">
        <f t="shared" ref="BT255" si="1049">SUMPRODUCT(BT256:BT276,$H256:$H276)</f>
        <v>0</v>
      </c>
      <c r="BU255" s="465">
        <f t="shared" ref="BU255" si="1050">SUMPRODUCT(BU256:BU276,$H256:$H276)</f>
        <v>361534.71</v>
      </c>
      <c r="BV255" s="465">
        <f t="shared" ref="BV255" si="1051">SUMPRODUCT(BV256:BV276,$H256:$H276)</f>
        <v>0</v>
      </c>
      <c r="BW255" s="465">
        <f t="shared" ref="BW255" si="1052">SUMPRODUCT(BW256:BW276,$H256:$H276)</f>
        <v>0</v>
      </c>
      <c r="BX255" s="465">
        <f t="shared" ref="BX255" si="1053">SUMPRODUCT(BX256:BX276,$H256:$H276)</f>
        <v>0</v>
      </c>
      <c r="BY255" s="465">
        <f t="shared" ref="BY255" si="1054">SUMPRODUCT(BY256:BY276,$H256:$H276)</f>
        <v>0</v>
      </c>
      <c r="BZ255" s="465">
        <f t="shared" ref="BZ255" si="1055">SUMPRODUCT(BZ256:BZ276,$H256:$H276)</f>
        <v>0</v>
      </c>
      <c r="CA255" s="465">
        <f t="shared" ref="CA255" si="1056">SUMPRODUCT(CA256:CA276,$H256:$H276)</f>
        <v>0</v>
      </c>
      <c r="CB255" s="465">
        <f t="shared" ref="CB255" si="1057">SUMPRODUCT(CB256:CB276,$H256:$H276)</f>
        <v>0</v>
      </c>
      <c r="CC255" s="465">
        <f t="shared" ref="CC255" si="1058">SUMPRODUCT(CC256:CC276,$H256:$H276)</f>
        <v>0</v>
      </c>
      <c r="CD255" s="465">
        <f t="shared" ref="CD255" si="1059">SUMPRODUCT(CD256:CD276,$H256:$H276)</f>
        <v>0</v>
      </c>
      <c r="CE255" s="465">
        <f t="shared" ref="CE255" si="1060">SUMPRODUCT(CE256:CE276,$H256:$H276)</f>
        <v>0</v>
      </c>
      <c r="CF255" s="465">
        <f t="shared" ref="CF255" si="1061">SUMPRODUCT(CF256:CF276,$H256:$H276)</f>
        <v>0</v>
      </c>
      <c r="CG255" s="465">
        <f t="shared" ref="CG255" si="1062">SUMPRODUCT(CG256:CG276,$H256:$H276)</f>
        <v>0</v>
      </c>
      <c r="CH255" s="465">
        <f t="shared" ref="CH255" si="1063">SUMPRODUCT(CH256:CH276,$H256:$H276)</f>
        <v>0</v>
      </c>
      <c r="CI255" s="465">
        <f t="shared" ref="CI255" si="1064">SUMPRODUCT(CI256:CI276,$H256:$H276)</f>
        <v>0</v>
      </c>
      <c r="CJ255" s="465">
        <f t="shared" ref="CJ255" si="1065">SUMPRODUCT(CJ256:CJ276,$H256:$H276)</f>
        <v>0</v>
      </c>
      <c r="CK255" s="465">
        <f t="shared" ref="CK255" si="1066">SUMPRODUCT(CK256:CK276,$H256:$H276)</f>
        <v>0</v>
      </c>
      <c r="CL255" s="465">
        <f t="shared" ref="CL255" si="1067">SUMPRODUCT(CL256:CL276,$H256:$H276)</f>
        <v>0</v>
      </c>
      <c r="CM255" s="465">
        <f t="shared" ref="CM255" si="1068">SUMPRODUCT(CM256:CM276,$H256:$H276)</f>
        <v>0</v>
      </c>
      <c r="CN255" s="465">
        <f t="shared" ref="CN255" si="1069">SUMPRODUCT(CN256:CN276,$H256:$H276)</f>
        <v>0</v>
      </c>
      <c r="CO255" s="465">
        <f t="shared" ref="CO255" si="1070">SUMPRODUCT(CO256:CO276,$H256:$H276)</f>
        <v>0</v>
      </c>
      <c r="CP255" s="465">
        <f t="shared" ref="CP255" si="1071">SUMPRODUCT(CP256:CP276,$H256:$H276)</f>
        <v>0</v>
      </c>
      <c r="CQ255" s="465">
        <f t="shared" ref="CQ255" si="1072">SUMPRODUCT(CQ256:CQ276,$H256:$H276)</f>
        <v>0</v>
      </c>
      <c r="CR255" s="465">
        <f t="shared" ref="CR255" si="1073">SUMPRODUCT(CR256:CR276,$H256:$H276)</f>
        <v>0</v>
      </c>
      <c r="CS255" s="465">
        <f t="shared" ref="CS255" si="1074">SUMPRODUCT(CS256:CS276,$H256:$H276)</f>
        <v>0</v>
      </c>
      <c r="CT255" s="465">
        <f t="shared" ref="CT255" si="1075">SUMPRODUCT(CT256:CT276,$H256:$H276)</f>
        <v>0</v>
      </c>
      <c r="CU255" s="465">
        <f t="shared" ref="CU255" si="1076">SUMPRODUCT(CU256:CU276,$H256:$H276)</f>
        <v>0</v>
      </c>
      <c r="CV255" s="465">
        <f t="shared" ref="CV255" si="1077">SUMPRODUCT(CV256:CV276,$H256:$H276)</f>
        <v>0</v>
      </c>
      <c r="CW255" s="465">
        <f t="shared" ref="CW255" si="1078">SUMPRODUCT(CW256:CW276,$H256:$H276)</f>
        <v>0</v>
      </c>
      <c r="CX255" s="465">
        <f t="shared" ref="CX255" si="1079">SUMPRODUCT(CX256:CX276,$H256:$H276)</f>
        <v>0</v>
      </c>
      <c r="CY255" s="465">
        <f t="shared" ref="CY255" si="1080">SUMPRODUCT(CY256:CY276,$H256:$H276)</f>
        <v>0</v>
      </c>
      <c r="CZ255" s="465">
        <f t="shared" ref="CZ255" si="1081">SUMPRODUCT(CZ256:CZ276,$H256:$H276)</f>
        <v>0</v>
      </c>
      <c r="DA255" s="465">
        <f t="shared" ref="DA255" si="1082">SUMPRODUCT(DA256:DA276,$H256:$H276)</f>
        <v>0</v>
      </c>
      <c r="DB255" s="465">
        <f t="shared" ref="DB255" si="1083">SUMPRODUCT(DB256:DB276,$H256:$H276)</f>
        <v>0</v>
      </c>
      <c r="DC255" s="465">
        <f t="shared" ref="DC255" si="1084">SUMPRODUCT(DC256:DC276,$H256:$H276)</f>
        <v>0</v>
      </c>
      <c r="DD255" s="465">
        <f t="shared" ref="DD255" si="1085">SUMPRODUCT(DD256:DD276,$H256:$H276)</f>
        <v>0</v>
      </c>
      <c r="DE255" s="465">
        <f t="shared" ref="DE255" si="1086">SUMPRODUCT(DE256:DE276,$H256:$H276)</f>
        <v>0</v>
      </c>
      <c r="DF255" s="465">
        <f t="shared" ref="DF255" si="1087">SUMPRODUCT(DF256:DF276,$H256:$H276)</f>
        <v>0</v>
      </c>
      <c r="DG255" s="465">
        <f t="shared" ref="DG255" si="1088">SUMPRODUCT(DG256:DG276,$H256:$H276)</f>
        <v>0</v>
      </c>
      <c r="DH255" s="465">
        <f t="shared" ref="DH255" si="1089">SUMPRODUCT(DH256:DH276,$H256:$H276)</f>
        <v>0</v>
      </c>
      <c r="DI255" s="465">
        <f t="shared" ref="DI255" si="1090">SUMPRODUCT(DI256:DI276,$H256:$H276)</f>
        <v>0</v>
      </c>
    </row>
    <row r="256" spans="1:113" ht="16.05" customHeight="1" outlineLevel="1" x14ac:dyDescent="0.3">
      <c r="A256" s="455" t="str">
        <f t="shared" ref="A256:A319" si="1091">IF(E256="","","Imprimir")</f>
        <v>Imprimir</v>
      </c>
      <c r="B256" s="455"/>
      <c r="C256" s="481"/>
      <c r="D256" s="463" t="s">
        <v>525</v>
      </c>
      <c r="E256" s="482" t="s">
        <v>3716</v>
      </c>
      <c r="F256" s="483" t="s">
        <v>3308</v>
      </c>
      <c r="G256" s="484">
        <v>1</v>
      </c>
      <c r="H256" s="485">
        <v>377750.82</v>
      </c>
      <c r="I256" s="466">
        <f t="shared" ref="I256:I258" si="1092">G256*H256</f>
        <v>377750.82</v>
      </c>
      <c r="J256" s="259"/>
      <c r="K256" s="478">
        <f>SUM(N256:BI256)</f>
        <v>1</v>
      </c>
      <c r="L256" s="466">
        <f>K256*$H256</f>
        <v>377750.82</v>
      </c>
      <c r="M256" s="257"/>
      <c r="N256" s="478"/>
      <c r="O256" s="478"/>
      <c r="P256" s="478"/>
      <c r="Q256" s="478"/>
      <c r="R256" s="478"/>
      <c r="S256" s="478"/>
      <c r="T256" s="478"/>
      <c r="U256" s="478">
        <v>1</v>
      </c>
      <c r="V256" s="478"/>
      <c r="W256" s="478"/>
      <c r="X256" s="478"/>
      <c r="Y256" s="478"/>
      <c r="Z256" s="478"/>
      <c r="AA256" s="478"/>
      <c r="AB256" s="478"/>
      <c r="AC256" s="478"/>
      <c r="AD256" s="478"/>
      <c r="AE256" s="478"/>
      <c r="AF256" s="478"/>
      <c r="AG256" s="478"/>
      <c r="AH256" s="478"/>
      <c r="AI256" s="478"/>
      <c r="AJ256" s="478"/>
      <c r="AK256" s="478"/>
      <c r="AL256" s="478"/>
      <c r="AM256" s="478"/>
      <c r="AN256" s="478"/>
      <c r="AO256" s="478"/>
      <c r="AP256" s="478"/>
      <c r="AQ256" s="478"/>
      <c r="AR256" s="478"/>
      <c r="AS256" s="478"/>
      <c r="AT256" s="478"/>
      <c r="AU256" s="478"/>
      <c r="AV256" s="478"/>
      <c r="AW256" s="478"/>
      <c r="AX256" s="478"/>
      <c r="AY256" s="478"/>
      <c r="AZ256" s="478"/>
      <c r="BA256" s="478"/>
      <c r="BB256" s="478"/>
      <c r="BC256" s="478"/>
      <c r="BD256" s="478"/>
      <c r="BE256" s="478"/>
      <c r="BF256" s="478"/>
      <c r="BG256" s="478"/>
      <c r="BH256" s="478"/>
      <c r="BI256" s="478"/>
      <c r="BJ256" s="245"/>
      <c r="BK256" s="477">
        <f>IFERROR(BL256/I256,0)</f>
        <v>0.95707193964529325</v>
      </c>
      <c r="BL256" s="466">
        <f>SUM(BN256:DJ256)*$H256</f>
        <v>361534.71</v>
      </c>
      <c r="BM256" s="257"/>
      <c r="BN256" s="478"/>
      <c r="BO256" s="478"/>
      <c r="BP256" s="478"/>
      <c r="BQ256" s="478"/>
      <c r="BR256" s="478"/>
      <c r="BS256" s="478"/>
      <c r="BT256" s="478"/>
      <c r="BU256" s="478">
        <f>361534.71/H256</f>
        <v>0.95707193964529325</v>
      </c>
      <c r="BV256" s="478"/>
      <c r="BW256" s="478"/>
      <c r="BX256" s="478"/>
      <c r="BY256" s="478"/>
      <c r="BZ256" s="478"/>
      <c r="CA256" s="478"/>
      <c r="CB256" s="478"/>
      <c r="CC256" s="478"/>
      <c r="CD256" s="478"/>
      <c r="CE256" s="478"/>
      <c r="CF256" s="478"/>
      <c r="CG256" s="478"/>
      <c r="CH256" s="478"/>
      <c r="CI256" s="478"/>
      <c r="CJ256" s="478"/>
      <c r="CK256" s="478"/>
      <c r="CL256" s="478"/>
      <c r="CM256" s="478"/>
      <c r="CN256" s="478"/>
      <c r="CO256" s="478"/>
      <c r="CP256" s="478"/>
      <c r="CQ256" s="478"/>
      <c r="CR256" s="478"/>
      <c r="CS256" s="478"/>
      <c r="CT256" s="478"/>
      <c r="CU256" s="478"/>
      <c r="CV256" s="478"/>
      <c r="CW256" s="478"/>
      <c r="CX256" s="478"/>
      <c r="CY256" s="478"/>
      <c r="CZ256" s="478"/>
      <c r="DA256" s="478"/>
      <c r="DB256" s="478"/>
      <c r="DC256" s="478"/>
      <c r="DD256" s="478"/>
      <c r="DE256" s="478"/>
      <c r="DF256" s="478"/>
      <c r="DG256" s="478"/>
      <c r="DH256" s="478"/>
      <c r="DI256" s="478"/>
    </row>
    <row r="257" spans="1:113" ht="16.05" hidden="1" customHeight="1" outlineLevel="1" x14ac:dyDescent="0.3">
      <c r="A257" s="455" t="str">
        <f t="shared" si="1091"/>
        <v/>
      </c>
      <c r="B257" s="455"/>
      <c r="C257" s="481"/>
      <c r="D257" s="463" t="s">
        <v>130</v>
      </c>
      <c r="E257" s="482"/>
      <c r="F257" s="483"/>
      <c r="G257" s="484"/>
      <c r="H257" s="485"/>
      <c r="I257" s="466">
        <f t="shared" si="1092"/>
        <v>0</v>
      </c>
      <c r="J257" s="259"/>
      <c r="K257" s="478">
        <f t="shared" ref="K257:K275" si="1093">SUM(N257:BI257)</f>
        <v>0</v>
      </c>
      <c r="L257" s="466">
        <f t="shared" ref="L257:L275" si="1094">K257*$H257</f>
        <v>0</v>
      </c>
      <c r="M257" s="257"/>
      <c r="N257" s="478"/>
      <c r="O257" s="478"/>
      <c r="P257" s="478"/>
      <c r="Q257" s="478"/>
      <c r="R257" s="478"/>
      <c r="S257" s="478"/>
      <c r="T257" s="478"/>
      <c r="U257" s="478"/>
      <c r="V257" s="478"/>
      <c r="W257" s="478"/>
      <c r="X257" s="478"/>
      <c r="Y257" s="478"/>
      <c r="Z257" s="478"/>
      <c r="AA257" s="478"/>
      <c r="AB257" s="478"/>
      <c r="AC257" s="478"/>
      <c r="AD257" s="478"/>
      <c r="AE257" s="478"/>
      <c r="AF257" s="478"/>
      <c r="AG257" s="478"/>
      <c r="AH257" s="478"/>
      <c r="AI257" s="478"/>
      <c r="AJ257" s="478"/>
      <c r="AK257" s="478"/>
      <c r="AL257" s="478"/>
      <c r="AM257" s="478"/>
      <c r="AN257" s="478"/>
      <c r="AO257" s="478"/>
      <c r="AP257" s="478"/>
      <c r="AQ257" s="478"/>
      <c r="AR257" s="478"/>
      <c r="AS257" s="478"/>
      <c r="AT257" s="478"/>
      <c r="AU257" s="478"/>
      <c r="AV257" s="478"/>
      <c r="AW257" s="478"/>
      <c r="AX257" s="478"/>
      <c r="AY257" s="478"/>
      <c r="AZ257" s="478"/>
      <c r="BA257" s="478"/>
      <c r="BB257" s="478"/>
      <c r="BC257" s="478"/>
      <c r="BD257" s="478"/>
      <c r="BE257" s="478"/>
      <c r="BF257" s="478"/>
      <c r="BG257" s="478"/>
      <c r="BH257" s="478"/>
      <c r="BI257" s="478"/>
      <c r="BJ257" s="245"/>
      <c r="BK257" s="477">
        <f t="shared" ref="BK257:BK275" si="1095">IFERROR(BL257/I257,0)</f>
        <v>0</v>
      </c>
      <c r="BL257" s="466">
        <f t="shared" ref="BL257:BL275" si="1096">SUM(BN257:DJ257)*$H257</f>
        <v>0</v>
      </c>
      <c r="BM257" s="257"/>
      <c r="BN257" s="478"/>
      <c r="BO257" s="478"/>
      <c r="BP257" s="478"/>
      <c r="BQ257" s="478"/>
      <c r="BR257" s="478"/>
      <c r="BS257" s="478"/>
      <c r="BT257" s="478"/>
      <c r="BU257" s="478"/>
      <c r="BV257" s="478"/>
      <c r="BW257" s="478"/>
      <c r="BX257" s="478"/>
      <c r="BY257" s="478"/>
      <c r="BZ257" s="478"/>
      <c r="CA257" s="478"/>
      <c r="CB257" s="478"/>
      <c r="CC257" s="478"/>
      <c r="CD257" s="478"/>
      <c r="CE257" s="478"/>
      <c r="CF257" s="478"/>
      <c r="CG257" s="478"/>
      <c r="CH257" s="478"/>
      <c r="CI257" s="478"/>
      <c r="CJ257" s="478"/>
      <c r="CK257" s="478"/>
      <c r="CL257" s="478"/>
      <c r="CM257" s="478"/>
      <c r="CN257" s="478"/>
      <c r="CO257" s="478"/>
      <c r="CP257" s="478"/>
      <c r="CQ257" s="478"/>
      <c r="CR257" s="478"/>
      <c r="CS257" s="478"/>
      <c r="CT257" s="478"/>
      <c r="CU257" s="478"/>
      <c r="CV257" s="478"/>
      <c r="CW257" s="478"/>
      <c r="CX257" s="478"/>
      <c r="CY257" s="478"/>
      <c r="CZ257" s="478"/>
      <c r="DA257" s="478"/>
      <c r="DB257" s="478"/>
      <c r="DC257" s="478"/>
      <c r="DD257" s="478"/>
      <c r="DE257" s="478"/>
      <c r="DF257" s="478"/>
      <c r="DG257" s="478"/>
      <c r="DH257" s="478"/>
      <c r="DI257" s="478"/>
    </row>
    <row r="258" spans="1:113" ht="16.05" hidden="1" customHeight="1" outlineLevel="1" x14ac:dyDescent="0.3">
      <c r="A258" s="455" t="str">
        <f t="shared" si="1091"/>
        <v/>
      </c>
      <c r="B258" s="455"/>
      <c r="C258" s="481"/>
      <c r="D258" s="463" t="s">
        <v>574</v>
      </c>
      <c r="E258" s="482"/>
      <c r="F258" s="483"/>
      <c r="G258" s="484"/>
      <c r="H258" s="485"/>
      <c r="I258" s="466">
        <f t="shared" si="1092"/>
        <v>0</v>
      </c>
      <c r="J258" s="259"/>
      <c r="K258" s="478">
        <f t="shared" si="1093"/>
        <v>0</v>
      </c>
      <c r="L258" s="466">
        <f t="shared" si="1094"/>
        <v>0</v>
      </c>
      <c r="M258" s="257"/>
      <c r="N258" s="478"/>
      <c r="O258" s="478"/>
      <c r="P258" s="478"/>
      <c r="Q258" s="478"/>
      <c r="R258" s="478"/>
      <c r="S258" s="478"/>
      <c r="T258" s="478"/>
      <c r="U258" s="478"/>
      <c r="V258" s="478"/>
      <c r="W258" s="478"/>
      <c r="X258" s="478"/>
      <c r="Y258" s="478"/>
      <c r="Z258" s="478"/>
      <c r="AA258" s="478"/>
      <c r="AB258" s="478"/>
      <c r="AC258" s="478"/>
      <c r="AD258" s="478"/>
      <c r="AE258" s="478"/>
      <c r="AF258" s="478"/>
      <c r="AG258" s="478"/>
      <c r="AH258" s="478"/>
      <c r="AI258" s="478"/>
      <c r="AJ258" s="478"/>
      <c r="AK258" s="478"/>
      <c r="AL258" s="478"/>
      <c r="AM258" s="478"/>
      <c r="AN258" s="478"/>
      <c r="AO258" s="478"/>
      <c r="AP258" s="478"/>
      <c r="AQ258" s="478"/>
      <c r="AR258" s="478"/>
      <c r="AS258" s="478"/>
      <c r="AT258" s="478"/>
      <c r="AU258" s="478"/>
      <c r="AV258" s="478"/>
      <c r="AW258" s="478"/>
      <c r="AX258" s="478"/>
      <c r="AY258" s="478"/>
      <c r="AZ258" s="478"/>
      <c r="BA258" s="478"/>
      <c r="BB258" s="478"/>
      <c r="BC258" s="478"/>
      <c r="BD258" s="478"/>
      <c r="BE258" s="478"/>
      <c r="BF258" s="478"/>
      <c r="BG258" s="478"/>
      <c r="BH258" s="478"/>
      <c r="BI258" s="478"/>
      <c r="BJ258" s="245"/>
      <c r="BK258" s="477">
        <f t="shared" si="1095"/>
        <v>0</v>
      </c>
      <c r="BL258" s="466">
        <f t="shared" si="1096"/>
        <v>0</v>
      </c>
      <c r="BM258" s="257"/>
      <c r="BN258" s="478"/>
      <c r="BO258" s="478"/>
      <c r="BP258" s="478"/>
      <c r="BQ258" s="478"/>
      <c r="BR258" s="478"/>
      <c r="BS258" s="478"/>
      <c r="BT258" s="478"/>
      <c r="BU258" s="478"/>
      <c r="BV258" s="478"/>
      <c r="BW258" s="478"/>
      <c r="BX258" s="478"/>
      <c r="BY258" s="478"/>
      <c r="BZ258" s="478"/>
      <c r="CA258" s="478"/>
      <c r="CB258" s="478"/>
      <c r="CC258" s="478"/>
      <c r="CD258" s="478"/>
      <c r="CE258" s="478"/>
      <c r="CF258" s="478"/>
      <c r="CG258" s="478"/>
      <c r="CH258" s="478"/>
      <c r="CI258" s="478"/>
      <c r="CJ258" s="478"/>
      <c r="CK258" s="478"/>
      <c r="CL258" s="478"/>
      <c r="CM258" s="478"/>
      <c r="CN258" s="478"/>
      <c r="CO258" s="478"/>
      <c r="CP258" s="478"/>
      <c r="CQ258" s="478"/>
      <c r="CR258" s="478"/>
      <c r="CS258" s="478"/>
      <c r="CT258" s="478"/>
      <c r="CU258" s="478"/>
      <c r="CV258" s="478"/>
      <c r="CW258" s="478"/>
      <c r="CX258" s="478"/>
      <c r="CY258" s="478"/>
      <c r="CZ258" s="478"/>
      <c r="DA258" s="478"/>
      <c r="DB258" s="478"/>
      <c r="DC258" s="478"/>
      <c r="DD258" s="478"/>
      <c r="DE258" s="478"/>
      <c r="DF258" s="478"/>
      <c r="DG258" s="478"/>
      <c r="DH258" s="478"/>
      <c r="DI258" s="478"/>
    </row>
    <row r="259" spans="1:113" ht="16.05" hidden="1" customHeight="1" outlineLevel="1" x14ac:dyDescent="0.3">
      <c r="A259" s="455" t="str">
        <f t="shared" si="1091"/>
        <v/>
      </c>
      <c r="B259" s="455"/>
      <c r="C259" s="481"/>
      <c r="D259" s="463" t="s">
        <v>120</v>
      </c>
      <c r="E259" s="482"/>
      <c r="F259" s="483"/>
      <c r="G259" s="484"/>
      <c r="H259" s="485"/>
      <c r="I259" s="466">
        <f>G259*H259</f>
        <v>0</v>
      </c>
      <c r="J259" s="259"/>
      <c r="K259" s="478">
        <f t="shared" si="1093"/>
        <v>0</v>
      </c>
      <c r="L259" s="466">
        <f t="shared" si="1094"/>
        <v>0</v>
      </c>
      <c r="M259" s="257"/>
      <c r="N259" s="478"/>
      <c r="O259" s="478"/>
      <c r="P259" s="478"/>
      <c r="Q259" s="478"/>
      <c r="R259" s="478"/>
      <c r="S259" s="478"/>
      <c r="T259" s="478"/>
      <c r="U259" s="478"/>
      <c r="V259" s="478"/>
      <c r="W259" s="478"/>
      <c r="X259" s="478"/>
      <c r="Y259" s="478"/>
      <c r="Z259" s="478"/>
      <c r="AA259" s="478"/>
      <c r="AB259" s="478"/>
      <c r="AC259" s="478"/>
      <c r="AD259" s="478"/>
      <c r="AE259" s="478"/>
      <c r="AF259" s="478"/>
      <c r="AG259" s="478"/>
      <c r="AH259" s="478"/>
      <c r="AI259" s="478"/>
      <c r="AJ259" s="478"/>
      <c r="AK259" s="478"/>
      <c r="AL259" s="478"/>
      <c r="AM259" s="478"/>
      <c r="AN259" s="478"/>
      <c r="AO259" s="478"/>
      <c r="AP259" s="478"/>
      <c r="AQ259" s="478"/>
      <c r="AR259" s="478"/>
      <c r="AS259" s="478"/>
      <c r="AT259" s="478"/>
      <c r="AU259" s="478"/>
      <c r="AV259" s="478"/>
      <c r="AW259" s="478"/>
      <c r="AX259" s="478"/>
      <c r="AY259" s="478"/>
      <c r="AZ259" s="478"/>
      <c r="BA259" s="478"/>
      <c r="BB259" s="478"/>
      <c r="BC259" s="478"/>
      <c r="BD259" s="478"/>
      <c r="BE259" s="478"/>
      <c r="BF259" s="478"/>
      <c r="BG259" s="478"/>
      <c r="BH259" s="478"/>
      <c r="BI259" s="478"/>
      <c r="BJ259" s="245"/>
      <c r="BK259" s="477">
        <f t="shared" si="1095"/>
        <v>0</v>
      </c>
      <c r="BL259" s="466">
        <f t="shared" si="1096"/>
        <v>0</v>
      </c>
      <c r="BM259" s="257"/>
      <c r="BN259" s="478"/>
      <c r="BO259" s="478"/>
      <c r="BP259" s="478"/>
      <c r="BQ259" s="478"/>
      <c r="BR259" s="478"/>
      <c r="BS259" s="478"/>
      <c r="BT259" s="478"/>
      <c r="BU259" s="478"/>
      <c r="BV259" s="478"/>
      <c r="BW259" s="478"/>
      <c r="BX259" s="478"/>
      <c r="BY259" s="478"/>
      <c r="BZ259" s="478"/>
      <c r="CA259" s="478"/>
      <c r="CB259" s="478"/>
      <c r="CC259" s="478"/>
      <c r="CD259" s="478"/>
      <c r="CE259" s="478"/>
      <c r="CF259" s="478"/>
      <c r="CG259" s="478"/>
      <c r="CH259" s="478"/>
      <c r="CI259" s="478"/>
      <c r="CJ259" s="478"/>
      <c r="CK259" s="478"/>
      <c r="CL259" s="478"/>
      <c r="CM259" s="478"/>
      <c r="CN259" s="478"/>
      <c r="CO259" s="478"/>
      <c r="CP259" s="478"/>
      <c r="CQ259" s="478"/>
      <c r="CR259" s="478"/>
      <c r="CS259" s="478"/>
      <c r="CT259" s="478"/>
      <c r="CU259" s="478"/>
      <c r="CV259" s="478"/>
      <c r="CW259" s="478"/>
      <c r="CX259" s="478"/>
      <c r="CY259" s="478"/>
      <c r="CZ259" s="478"/>
      <c r="DA259" s="478"/>
      <c r="DB259" s="478"/>
      <c r="DC259" s="478"/>
      <c r="DD259" s="478"/>
      <c r="DE259" s="478"/>
      <c r="DF259" s="478"/>
      <c r="DG259" s="478"/>
      <c r="DH259" s="478"/>
      <c r="DI259" s="478"/>
    </row>
    <row r="260" spans="1:113" ht="16.05" hidden="1" customHeight="1" outlineLevel="1" x14ac:dyDescent="0.3">
      <c r="A260" s="455" t="str">
        <f t="shared" si="1091"/>
        <v/>
      </c>
      <c r="B260" s="455"/>
      <c r="C260" s="481"/>
      <c r="D260" s="463" t="s">
        <v>586</v>
      </c>
      <c r="E260" s="482"/>
      <c r="F260" s="483"/>
      <c r="G260" s="484"/>
      <c r="H260" s="485"/>
      <c r="I260" s="466">
        <f t="shared" ref="I260:I275" si="1097">G260*H260</f>
        <v>0</v>
      </c>
      <c r="J260" s="259"/>
      <c r="K260" s="478">
        <f t="shared" si="1093"/>
        <v>0</v>
      </c>
      <c r="L260" s="466">
        <f t="shared" si="1094"/>
        <v>0</v>
      </c>
      <c r="M260" s="257"/>
      <c r="N260" s="478"/>
      <c r="O260" s="478"/>
      <c r="P260" s="478"/>
      <c r="Q260" s="478"/>
      <c r="R260" s="478"/>
      <c r="S260" s="478"/>
      <c r="T260" s="478"/>
      <c r="U260" s="478"/>
      <c r="V260" s="478"/>
      <c r="W260" s="478"/>
      <c r="X260" s="478"/>
      <c r="Y260" s="478"/>
      <c r="Z260" s="478"/>
      <c r="AA260" s="478"/>
      <c r="AB260" s="478"/>
      <c r="AC260" s="478"/>
      <c r="AD260" s="478"/>
      <c r="AE260" s="478"/>
      <c r="AF260" s="478"/>
      <c r="AG260" s="478"/>
      <c r="AH260" s="478"/>
      <c r="AI260" s="478"/>
      <c r="AJ260" s="478"/>
      <c r="AK260" s="478"/>
      <c r="AL260" s="478"/>
      <c r="AM260" s="478"/>
      <c r="AN260" s="478"/>
      <c r="AO260" s="478"/>
      <c r="AP260" s="478"/>
      <c r="AQ260" s="478"/>
      <c r="AR260" s="478"/>
      <c r="AS260" s="478"/>
      <c r="AT260" s="478"/>
      <c r="AU260" s="478"/>
      <c r="AV260" s="478"/>
      <c r="AW260" s="478"/>
      <c r="AX260" s="478"/>
      <c r="AY260" s="478"/>
      <c r="AZ260" s="478"/>
      <c r="BA260" s="478"/>
      <c r="BB260" s="478"/>
      <c r="BC260" s="478"/>
      <c r="BD260" s="478"/>
      <c r="BE260" s="478"/>
      <c r="BF260" s="478"/>
      <c r="BG260" s="478"/>
      <c r="BH260" s="478"/>
      <c r="BI260" s="478"/>
      <c r="BJ260" s="245"/>
      <c r="BK260" s="477">
        <f t="shared" si="1095"/>
        <v>0</v>
      </c>
      <c r="BL260" s="466">
        <f t="shared" si="1096"/>
        <v>0</v>
      </c>
      <c r="BM260" s="257"/>
      <c r="BN260" s="478"/>
      <c r="BO260" s="478"/>
      <c r="BP260" s="478"/>
      <c r="BQ260" s="478"/>
      <c r="BR260" s="478"/>
      <c r="BS260" s="478"/>
      <c r="BT260" s="478"/>
      <c r="BU260" s="478"/>
      <c r="BV260" s="478"/>
      <c r="BW260" s="478"/>
      <c r="BX260" s="478"/>
      <c r="BY260" s="478"/>
      <c r="BZ260" s="478"/>
      <c r="CA260" s="478"/>
      <c r="CB260" s="478"/>
      <c r="CC260" s="478"/>
      <c r="CD260" s="478"/>
      <c r="CE260" s="478"/>
      <c r="CF260" s="478"/>
      <c r="CG260" s="478"/>
      <c r="CH260" s="478"/>
      <c r="CI260" s="478"/>
      <c r="CJ260" s="478"/>
      <c r="CK260" s="478"/>
      <c r="CL260" s="478"/>
      <c r="CM260" s="478"/>
      <c r="CN260" s="478"/>
      <c r="CO260" s="478"/>
      <c r="CP260" s="478"/>
      <c r="CQ260" s="478"/>
      <c r="CR260" s="478"/>
      <c r="CS260" s="478"/>
      <c r="CT260" s="478"/>
      <c r="CU260" s="478"/>
      <c r="CV260" s="478"/>
      <c r="CW260" s="478"/>
      <c r="CX260" s="478"/>
      <c r="CY260" s="478"/>
      <c r="CZ260" s="478"/>
      <c r="DA260" s="478"/>
      <c r="DB260" s="478"/>
      <c r="DC260" s="478"/>
      <c r="DD260" s="478"/>
      <c r="DE260" s="478"/>
      <c r="DF260" s="478"/>
      <c r="DG260" s="478"/>
      <c r="DH260" s="478"/>
      <c r="DI260" s="478"/>
    </row>
    <row r="261" spans="1:113" ht="16.05" hidden="1" customHeight="1" outlineLevel="1" x14ac:dyDescent="0.3">
      <c r="A261" s="455" t="str">
        <f t="shared" si="1091"/>
        <v/>
      </c>
      <c r="B261" s="455"/>
      <c r="C261" s="481"/>
      <c r="D261" s="463" t="s">
        <v>147</v>
      </c>
      <c r="E261" s="482"/>
      <c r="F261" s="483"/>
      <c r="G261" s="484"/>
      <c r="H261" s="485"/>
      <c r="I261" s="466">
        <f t="shared" si="1097"/>
        <v>0</v>
      </c>
      <c r="J261" s="259"/>
      <c r="K261" s="478">
        <f t="shared" si="1093"/>
        <v>0</v>
      </c>
      <c r="L261" s="466">
        <f t="shared" si="1094"/>
        <v>0</v>
      </c>
      <c r="M261" s="257"/>
      <c r="N261" s="478"/>
      <c r="O261" s="478"/>
      <c r="P261" s="478"/>
      <c r="Q261" s="478"/>
      <c r="R261" s="478"/>
      <c r="S261" s="478"/>
      <c r="T261" s="478"/>
      <c r="U261" s="478"/>
      <c r="V261" s="478"/>
      <c r="W261" s="478"/>
      <c r="X261" s="478"/>
      <c r="Y261" s="478"/>
      <c r="Z261" s="478"/>
      <c r="AA261" s="478"/>
      <c r="AB261" s="478"/>
      <c r="AC261" s="478"/>
      <c r="AD261" s="478"/>
      <c r="AE261" s="478"/>
      <c r="AF261" s="478"/>
      <c r="AG261" s="478"/>
      <c r="AH261" s="478"/>
      <c r="AI261" s="478"/>
      <c r="AJ261" s="478"/>
      <c r="AK261" s="478"/>
      <c r="AL261" s="478"/>
      <c r="AM261" s="478"/>
      <c r="AN261" s="478"/>
      <c r="AO261" s="478"/>
      <c r="AP261" s="478"/>
      <c r="AQ261" s="478"/>
      <c r="AR261" s="478"/>
      <c r="AS261" s="478"/>
      <c r="AT261" s="478"/>
      <c r="AU261" s="478"/>
      <c r="AV261" s="478"/>
      <c r="AW261" s="478"/>
      <c r="AX261" s="478"/>
      <c r="AY261" s="478"/>
      <c r="AZ261" s="478"/>
      <c r="BA261" s="478"/>
      <c r="BB261" s="478"/>
      <c r="BC261" s="478"/>
      <c r="BD261" s="478"/>
      <c r="BE261" s="478"/>
      <c r="BF261" s="478"/>
      <c r="BG261" s="478"/>
      <c r="BH261" s="478"/>
      <c r="BI261" s="478"/>
      <c r="BJ261" s="245"/>
      <c r="BK261" s="477">
        <f t="shared" si="1095"/>
        <v>0</v>
      </c>
      <c r="BL261" s="466">
        <f t="shared" si="1096"/>
        <v>0</v>
      </c>
      <c r="BM261" s="257"/>
      <c r="BN261" s="478"/>
      <c r="BO261" s="478"/>
      <c r="BP261" s="478"/>
      <c r="BQ261" s="478"/>
      <c r="BR261" s="478"/>
      <c r="BS261" s="478"/>
      <c r="BT261" s="478"/>
      <c r="BU261" s="478"/>
      <c r="BV261" s="478"/>
      <c r="BW261" s="478"/>
      <c r="BX261" s="478"/>
      <c r="BY261" s="478"/>
      <c r="BZ261" s="478"/>
      <c r="CA261" s="478"/>
      <c r="CB261" s="478"/>
      <c r="CC261" s="478"/>
      <c r="CD261" s="478"/>
      <c r="CE261" s="478"/>
      <c r="CF261" s="478"/>
      <c r="CG261" s="478"/>
      <c r="CH261" s="478"/>
      <c r="CI261" s="478"/>
      <c r="CJ261" s="478"/>
      <c r="CK261" s="478"/>
      <c r="CL261" s="478"/>
      <c r="CM261" s="478"/>
      <c r="CN261" s="478"/>
      <c r="CO261" s="478"/>
      <c r="CP261" s="478"/>
      <c r="CQ261" s="478"/>
      <c r="CR261" s="478"/>
      <c r="CS261" s="478"/>
      <c r="CT261" s="478"/>
      <c r="CU261" s="478"/>
      <c r="CV261" s="478"/>
      <c r="CW261" s="478"/>
      <c r="CX261" s="478"/>
      <c r="CY261" s="478"/>
      <c r="CZ261" s="478"/>
      <c r="DA261" s="478"/>
      <c r="DB261" s="478"/>
      <c r="DC261" s="478"/>
      <c r="DD261" s="478"/>
      <c r="DE261" s="478"/>
      <c r="DF261" s="478"/>
      <c r="DG261" s="478"/>
      <c r="DH261" s="478"/>
      <c r="DI261" s="478"/>
    </row>
    <row r="262" spans="1:113" ht="16.05" hidden="1" customHeight="1" outlineLevel="1" x14ac:dyDescent="0.3">
      <c r="A262" s="455" t="str">
        <f t="shared" si="1091"/>
        <v/>
      </c>
      <c r="B262" s="455"/>
      <c r="C262" s="481"/>
      <c r="D262" s="463" t="s">
        <v>620</v>
      </c>
      <c r="E262" s="482"/>
      <c r="F262" s="483"/>
      <c r="G262" s="484"/>
      <c r="H262" s="485"/>
      <c r="I262" s="466">
        <f t="shared" si="1097"/>
        <v>0</v>
      </c>
      <c r="J262" s="259"/>
      <c r="K262" s="478">
        <f t="shared" si="1093"/>
        <v>0</v>
      </c>
      <c r="L262" s="466">
        <f t="shared" si="1094"/>
        <v>0</v>
      </c>
      <c r="M262" s="257"/>
      <c r="N262" s="478"/>
      <c r="O262" s="478"/>
      <c r="P262" s="478"/>
      <c r="Q262" s="478"/>
      <c r="R262" s="478"/>
      <c r="S262" s="478"/>
      <c r="T262" s="478"/>
      <c r="U262" s="478"/>
      <c r="V262" s="478"/>
      <c r="W262" s="478"/>
      <c r="X262" s="478"/>
      <c r="Y262" s="478"/>
      <c r="Z262" s="478"/>
      <c r="AA262" s="478"/>
      <c r="AB262" s="478"/>
      <c r="AC262" s="478"/>
      <c r="AD262" s="478"/>
      <c r="AE262" s="478"/>
      <c r="AF262" s="478"/>
      <c r="AG262" s="478"/>
      <c r="AH262" s="478"/>
      <c r="AI262" s="478"/>
      <c r="AJ262" s="478"/>
      <c r="AK262" s="478"/>
      <c r="AL262" s="478"/>
      <c r="AM262" s="478"/>
      <c r="AN262" s="478"/>
      <c r="AO262" s="478"/>
      <c r="AP262" s="478"/>
      <c r="AQ262" s="478"/>
      <c r="AR262" s="478"/>
      <c r="AS262" s="478"/>
      <c r="AT262" s="478"/>
      <c r="AU262" s="478"/>
      <c r="AV262" s="478"/>
      <c r="AW262" s="478"/>
      <c r="AX262" s="478"/>
      <c r="AY262" s="478"/>
      <c r="AZ262" s="478"/>
      <c r="BA262" s="478"/>
      <c r="BB262" s="478"/>
      <c r="BC262" s="478"/>
      <c r="BD262" s="478"/>
      <c r="BE262" s="478"/>
      <c r="BF262" s="478"/>
      <c r="BG262" s="478"/>
      <c r="BH262" s="478"/>
      <c r="BI262" s="478"/>
      <c r="BJ262" s="245"/>
      <c r="BK262" s="477">
        <f t="shared" si="1095"/>
        <v>0</v>
      </c>
      <c r="BL262" s="466">
        <f t="shared" si="1096"/>
        <v>0</v>
      </c>
      <c r="BM262" s="257"/>
      <c r="BN262" s="478"/>
      <c r="BO262" s="478"/>
      <c r="BP262" s="478"/>
      <c r="BQ262" s="478"/>
      <c r="BR262" s="478"/>
      <c r="BS262" s="478"/>
      <c r="BT262" s="478"/>
      <c r="BU262" s="478"/>
      <c r="BV262" s="478"/>
      <c r="BW262" s="478"/>
      <c r="BX262" s="478"/>
      <c r="BY262" s="478"/>
      <c r="BZ262" s="478"/>
      <c r="CA262" s="478"/>
      <c r="CB262" s="478"/>
      <c r="CC262" s="478"/>
      <c r="CD262" s="478"/>
      <c r="CE262" s="478"/>
      <c r="CF262" s="478"/>
      <c r="CG262" s="478"/>
      <c r="CH262" s="478"/>
      <c r="CI262" s="478"/>
      <c r="CJ262" s="478"/>
      <c r="CK262" s="478"/>
      <c r="CL262" s="478"/>
      <c r="CM262" s="478"/>
      <c r="CN262" s="478"/>
      <c r="CO262" s="478"/>
      <c r="CP262" s="478"/>
      <c r="CQ262" s="478"/>
      <c r="CR262" s="478"/>
      <c r="CS262" s="478"/>
      <c r="CT262" s="478"/>
      <c r="CU262" s="478"/>
      <c r="CV262" s="478"/>
      <c r="CW262" s="478"/>
      <c r="CX262" s="478"/>
      <c r="CY262" s="478"/>
      <c r="CZ262" s="478"/>
      <c r="DA262" s="478"/>
      <c r="DB262" s="478"/>
      <c r="DC262" s="478"/>
      <c r="DD262" s="478"/>
      <c r="DE262" s="478"/>
      <c r="DF262" s="478"/>
      <c r="DG262" s="478"/>
      <c r="DH262" s="478"/>
      <c r="DI262" s="478"/>
    </row>
    <row r="263" spans="1:113" ht="16.05" hidden="1" customHeight="1" outlineLevel="1" x14ac:dyDescent="0.3">
      <c r="A263" s="455" t="str">
        <f t="shared" si="1091"/>
        <v/>
      </c>
      <c r="B263" s="455"/>
      <c r="C263" s="481"/>
      <c r="D263" s="463" t="s">
        <v>637</v>
      </c>
      <c r="E263" s="482"/>
      <c r="F263" s="483"/>
      <c r="G263" s="484"/>
      <c r="H263" s="485"/>
      <c r="I263" s="466">
        <f t="shared" si="1097"/>
        <v>0</v>
      </c>
      <c r="J263" s="259"/>
      <c r="K263" s="478">
        <f t="shared" si="1093"/>
        <v>0</v>
      </c>
      <c r="L263" s="466">
        <f t="shared" si="1094"/>
        <v>0</v>
      </c>
      <c r="M263" s="257"/>
      <c r="N263" s="478"/>
      <c r="O263" s="478"/>
      <c r="P263" s="478"/>
      <c r="Q263" s="478"/>
      <c r="R263" s="478"/>
      <c r="S263" s="478"/>
      <c r="T263" s="478"/>
      <c r="U263" s="478"/>
      <c r="V263" s="478"/>
      <c r="W263" s="478"/>
      <c r="X263" s="478"/>
      <c r="Y263" s="478"/>
      <c r="Z263" s="478"/>
      <c r="AA263" s="478"/>
      <c r="AB263" s="478"/>
      <c r="AC263" s="478"/>
      <c r="AD263" s="478"/>
      <c r="AE263" s="478"/>
      <c r="AF263" s="478"/>
      <c r="AG263" s="478"/>
      <c r="AH263" s="478"/>
      <c r="AI263" s="478"/>
      <c r="AJ263" s="478"/>
      <c r="AK263" s="478"/>
      <c r="AL263" s="478"/>
      <c r="AM263" s="478"/>
      <c r="AN263" s="478"/>
      <c r="AO263" s="478"/>
      <c r="AP263" s="478"/>
      <c r="AQ263" s="478"/>
      <c r="AR263" s="478"/>
      <c r="AS263" s="478"/>
      <c r="AT263" s="478"/>
      <c r="AU263" s="478"/>
      <c r="AV263" s="478"/>
      <c r="AW263" s="478"/>
      <c r="AX263" s="478"/>
      <c r="AY263" s="478"/>
      <c r="AZ263" s="478"/>
      <c r="BA263" s="478"/>
      <c r="BB263" s="478"/>
      <c r="BC263" s="478"/>
      <c r="BD263" s="478"/>
      <c r="BE263" s="478"/>
      <c r="BF263" s="478"/>
      <c r="BG263" s="478"/>
      <c r="BH263" s="478"/>
      <c r="BI263" s="478"/>
      <c r="BJ263" s="245"/>
      <c r="BK263" s="477">
        <f t="shared" si="1095"/>
        <v>0</v>
      </c>
      <c r="BL263" s="466">
        <f t="shared" si="1096"/>
        <v>0</v>
      </c>
      <c r="BM263" s="257"/>
      <c r="BN263" s="478"/>
      <c r="BO263" s="478"/>
      <c r="BP263" s="478"/>
      <c r="BQ263" s="478"/>
      <c r="BR263" s="478"/>
      <c r="BS263" s="478"/>
      <c r="BT263" s="478"/>
      <c r="BU263" s="478"/>
      <c r="BV263" s="478"/>
      <c r="BW263" s="478"/>
      <c r="BX263" s="478"/>
      <c r="BY263" s="478"/>
      <c r="BZ263" s="478"/>
      <c r="CA263" s="478"/>
      <c r="CB263" s="478"/>
      <c r="CC263" s="478"/>
      <c r="CD263" s="478"/>
      <c r="CE263" s="478"/>
      <c r="CF263" s="478"/>
      <c r="CG263" s="478"/>
      <c r="CH263" s="478"/>
      <c r="CI263" s="478"/>
      <c r="CJ263" s="478"/>
      <c r="CK263" s="478"/>
      <c r="CL263" s="478"/>
      <c r="CM263" s="478"/>
      <c r="CN263" s="478"/>
      <c r="CO263" s="478"/>
      <c r="CP263" s="478"/>
      <c r="CQ263" s="478"/>
      <c r="CR263" s="478"/>
      <c r="CS263" s="478"/>
      <c r="CT263" s="478"/>
      <c r="CU263" s="478"/>
      <c r="CV263" s="478"/>
      <c r="CW263" s="478"/>
      <c r="CX263" s="478"/>
      <c r="CY263" s="478"/>
      <c r="CZ263" s="478"/>
      <c r="DA263" s="478"/>
      <c r="DB263" s="478"/>
      <c r="DC263" s="478"/>
      <c r="DD263" s="478"/>
      <c r="DE263" s="478"/>
      <c r="DF263" s="478"/>
      <c r="DG263" s="478"/>
      <c r="DH263" s="478"/>
      <c r="DI263" s="478"/>
    </row>
    <row r="264" spans="1:113" ht="16.05" hidden="1" customHeight="1" outlineLevel="1" x14ac:dyDescent="0.3">
      <c r="A264" s="455" t="str">
        <f t="shared" si="1091"/>
        <v/>
      </c>
      <c r="B264" s="455"/>
      <c r="C264" s="481"/>
      <c r="D264" s="463" t="s">
        <v>886</v>
      </c>
      <c r="E264" s="482"/>
      <c r="F264" s="483"/>
      <c r="G264" s="484"/>
      <c r="H264" s="485"/>
      <c r="I264" s="466">
        <f t="shared" si="1097"/>
        <v>0</v>
      </c>
      <c r="J264" s="259"/>
      <c r="K264" s="478">
        <f t="shared" si="1093"/>
        <v>0</v>
      </c>
      <c r="L264" s="466">
        <f t="shared" si="1094"/>
        <v>0</v>
      </c>
      <c r="M264" s="257"/>
      <c r="N264" s="478"/>
      <c r="O264" s="478"/>
      <c r="P264" s="478"/>
      <c r="Q264" s="478"/>
      <c r="R264" s="478"/>
      <c r="S264" s="478"/>
      <c r="T264" s="478"/>
      <c r="U264" s="478"/>
      <c r="V264" s="478"/>
      <c r="W264" s="478"/>
      <c r="X264" s="478"/>
      <c r="Y264" s="478"/>
      <c r="Z264" s="478"/>
      <c r="AA264" s="478"/>
      <c r="AB264" s="478"/>
      <c r="AC264" s="478"/>
      <c r="AD264" s="478"/>
      <c r="AE264" s="478"/>
      <c r="AF264" s="478"/>
      <c r="AG264" s="478"/>
      <c r="AH264" s="478"/>
      <c r="AI264" s="478"/>
      <c r="AJ264" s="478"/>
      <c r="AK264" s="478"/>
      <c r="AL264" s="478"/>
      <c r="AM264" s="478"/>
      <c r="AN264" s="478"/>
      <c r="AO264" s="478"/>
      <c r="AP264" s="478"/>
      <c r="AQ264" s="478"/>
      <c r="AR264" s="478"/>
      <c r="AS264" s="478"/>
      <c r="AT264" s="478"/>
      <c r="AU264" s="478"/>
      <c r="AV264" s="478"/>
      <c r="AW264" s="478"/>
      <c r="AX264" s="478"/>
      <c r="AY264" s="478"/>
      <c r="AZ264" s="478"/>
      <c r="BA264" s="478"/>
      <c r="BB264" s="478"/>
      <c r="BC264" s="478"/>
      <c r="BD264" s="478"/>
      <c r="BE264" s="478"/>
      <c r="BF264" s="478"/>
      <c r="BG264" s="478"/>
      <c r="BH264" s="478"/>
      <c r="BI264" s="478"/>
      <c r="BJ264" s="245"/>
      <c r="BK264" s="477">
        <f t="shared" si="1095"/>
        <v>0</v>
      </c>
      <c r="BL264" s="466">
        <f t="shared" si="1096"/>
        <v>0</v>
      </c>
      <c r="BM264" s="257"/>
      <c r="BN264" s="478"/>
      <c r="BO264" s="478"/>
      <c r="BP264" s="478"/>
      <c r="BQ264" s="478"/>
      <c r="BR264" s="478"/>
      <c r="BS264" s="478"/>
      <c r="BT264" s="478"/>
      <c r="BU264" s="478"/>
      <c r="BV264" s="478"/>
      <c r="BW264" s="478"/>
      <c r="BX264" s="478"/>
      <c r="BY264" s="478"/>
      <c r="BZ264" s="478"/>
      <c r="CA264" s="478"/>
      <c r="CB264" s="478"/>
      <c r="CC264" s="478"/>
      <c r="CD264" s="478"/>
      <c r="CE264" s="478"/>
      <c r="CF264" s="478"/>
      <c r="CG264" s="478"/>
      <c r="CH264" s="478"/>
      <c r="CI264" s="478"/>
      <c r="CJ264" s="478"/>
      <c r="CK264" s="478"/>
      <c r="CL264" s="478"/>
      <c r="CM264" s="478"/>
      <c r="CN264" s="478"/>
      <c r="CO264" s="478"/>
      <c r="CP264" s="478"/>
      <c r="CQ264" s="478"/>
      <c r="CR264" s="478"/>
      <c r="CS264" s="478"/>
      <c r="CT264" s="478"/>
      <c r="CU264" s="478"/>
      <c r="CV264" s="478"/>
      <c r="CW264" s="478"/>
      <c r="CX264" s="478"/>
      <c r="CY264" s="478"/>
      <c r="CZ264" s="478"/>
      <c r="DA264" s="478"/>
      <c r="DB264" s="478"/>
      <c r="DC264" s="478"/>
      <c r="DD264" s="478"/>
      <c r="DE264" s="478"/>
      <c r="DF264" s="478"/>
      <c r="DG264" s="478"/>
      <c r="DH264" s="478"/>
      <c r="DI264" s="478"/>
    </row>
    <row r="265" spans="1:113" ht="16.05" hidden="1" customHeight="1" outlineLevel="1" x14ac:dyDescent="0.3">
      <c r="A265" s="455" t="str">
        <f t="shared" si="1091"/>
        <v/>
      </c>
      <c r="B265" s="455"/>
      <c r="C265" s="481"/>
      <c r="D265" s="463" t="s">
        <v>887</v>
      </c>
      <c r="E265" s="482"/>
      <c r="F265" s="483"/>
      <c r="G265" s="484"/>
      <c r="H265" s="485"/>
      <c r="I265" s="466">
        <f t="shared" si="1097"/>
        <v>0</v>
      </c>
      <c r="J265" s="259"/>
      <c r="K265" s="478">
        <f t="shared" si="1093"/>
        <v>0</v>
      </c>
      <c r="L265" s="466">
        <f t="shared" si="1094"/>
        <v>0</v>
      </c>
      <c r="M265" s="257"/>
      <c r="N265" s="478"/>
      <c r="O265" s="478"/>
      <c r="P265" s="478"/>
      <c r="Q265" s="478"/>
      <c r="R265" s="478"/>
      <c r="S265" s="478"/>
      <c r="T265" s="478"/>
      <c r="U265" s="478"/>
      <c r="V265" s="478"/>
      <c r="W265" s="478"/>
      <c r="X265" s="478"/>
      <c r="Y265" s="478"/>
      <c r="Z265" s="478"/>
      <c r="AA265" s="478"/>
      <c r="AB265" s="478"/>
      <c r="AC265" s="478"/>
      <c r="AD265" s="478"/>
      <c r="AE265" s="478"/>
      <c r="AF265" s="478"/>
      <c r="AG265" s="478"/>
      <c r="AH265" s="478"/>
      <c r="AI265" s="478"/>
      <c r="AJ265" s="478"/>
      <c r="AK265" s="478"/>
      <c r="AL265" s="478"/>
      <c r="AM265" s="478"/>
      <c r="AN265" s="478"/>
      <c r="AO265" s="478"/>
      <c r="AP265" s="478"/>
      <c r="AQ265" s="478"/>
      <c r="AR265" s="478"/>
      <c r="AS265" s="478"/>
      <c r="AT265" s="478"/>
      <c r="AU265" s="478"/>
      <c r="AV265" s="478"/>
      <c r="AW265" s="478"/>
      <c r="AX265" s="478"/>
      <c r="AY265" s="478"/>
      <c r="AZ265" s="478"/>
      <c r="BA265" s="478"/>
      <c r="BB265" s="478"/>
      <c r="BC265" s="478"/>
      <c r="BD265" s="478"/>
      <c r="BE265" s="478"/>
      <c r="BF265" s="478"/>
      <c r="BG265" s="478"/>
      <c r="BH265" s="478"/>
      <c r="BI265" s="478"/>
      <c r="BJ265" s="245"/>
      <c r="BK265" s="477">
        <f t="shared" si="1095"/>
        <v>0</v>
      </c>
      <c r="BL265" s="466">
        <f t="shared" si="1096"/>
        <v>0</v>
      </c>
      <c r="BM265" s="257"/>
      <c r="BN265" s="478"/>
      <c r="BO265" s="478"/>
      <c r="BP265" s="478"/>
      <c r="BQ265" s="478"/>
      <c r="BR265" s="478"/>
      <c r="BS265" s="478"/>
      <c r="BT265" s="478"/>
      <c r="BU265" s="478"/>
      <c r="BV265" s="478"/>
      <c r="BW265" s="478"/>
      <c r="BX265" s="478"/>
      <c r="BY265" s="478"/>
      <c r="BZ265" s="478"/>
      <c r="CA265" s="478"/>
      <c r="CB265" s="478"/>
      <c r="CC265" s="478"/>
      <c r="CD265" s="478"/>
      <c r="CE265" s="478"/>
      <c r="CF265" s="478"/>
      <c r="CG265" s="478"/>
      <c r="CH265" s="478"/>
      <c r="CI265" s="478"/>
      <c r="CJ265" s="478"/>
      <c r="CK265" s="478"/>
      <c r="CL265" s="478"/>
      <c r="CM265" s="478"/>
      <c r="CN265" s="478"/>
      <c r="CO265" s="478"/>
      <c r="CP265" s="478"/>
      <c r="CQ265" s="478"/>
      <c r="CR265" s="478"/>
      <c r="CS265" s="478"/>
      <c r="CT265" s="478"/>
      <c r="CU265" s="478"/>
      <c r="CV265" s="478"/>
      <c r="CW265" s="478"/>
      <c r="CX265" s="478"/>
      <c r="CY265" s="478"/>
      <c r="CZ265" s="478"/>
      <c r="DA265" s="478"/>
      <c r="DB265" s="478"/>
      <c r="DC265" s="478"/>
      <c r="DD265" s="478"/>
      <c r="DE265" s="478"/>
      <c r="DF265" s="478"/>
      <c r="DG265" s="478"/>
      <c r="DH265" s="478"/>
      <c r="DI265" s="478"/>
    </row>
    <row r="266" spans="1:113" ht="16.05" hidden="1" customHeight="1" outlineLevel="1" x14ac:dyDescent="0.3">
      <c r="A266" s="455" t="str">
        <f t="shared" si="1091"/>
        <v/>
      </c>
      <c r="B266" s="455"/>
      <c r="C266" s="481"/>
      <c r="D266" s="463" t="s">
        <v>888</v>
      </c>
      <c r="E266" s="482"/>
      <c r="F266" s="483"/>
      <c r="G266" s="484"/>
      <c r="H266" s="485"/>
      <c r="I266" s="466">
        <f t="shared" si="1097"/>
        <v>0</v>
      </c>
      <c r="J266" s="259"/>
      <c r="K266" s="478">
        <f t="shared" si="1093"/>
        <v>0</v>
      </c>
      <c r="L266" s="466">
        <f t="shared" si="1094"/>
        <v>0</v>
      </c>
      <c r="M266" s="257"/>
      <c r="N266" s="478"/>
      <c r="O266" s="478"/>
      <c r="P266" s="478"/>
      <c r="Q266" s="478"/>
      <c r="R266" s="478"/>
      <c r="S266" s="478"/>
      <c r="T266" s="478"/>
      <c r="U266" s="478"/>
      <c r="V266" s="478"/>
      <c r="W266" s="478"/>
      <c r="X266" s="478"/>
      <c r="Y266" s="478"/>
      <c r="Z266" s="478"/>
      <c r="AA266" s="478"/>
      <c r="AB266" s="478"/>
      <c r="AC266" s="478"/>
      <c r="AD266" s="478"/>
      <c r="AE266" s="478"/>
      <c r="AF266" s="478"/>
      <c r="AG266" s="478"/>
      <c r="AH266" s="478"/>
      <c r="AI266" s="478"/>
      <c r="AJ266" s="478"/>
      <c r="AK266" s="478"/>
      <c r="AL266" s="478"/>
      <c r="AM266" s="478"/>
      <c r="AN266" s="478"/>
      <c r="AO266" s="478"/>
      <c r="AP266" s="478"/>
      <c r="AQ266" s="478"/>
      <c r="AR266" s="478"/>
      <c r="AS266" s="478"/>
      <c r="AT266" s="478"/>
      <c r="AU266" s="478"/>
      <c r="AV266" s="478"/>
      <c r="AW266" s="478"/>
      <c r="AX266" s="478"/>
      <c r="AY266" s="478"/>
      <c r="AZ266" s="478"/>
      <c r="BA266" s="478"/>
      <c r="BB266" s="478"/>
      <c r="BC266" s="478"/>
      <c r="BD266" s="478"/>
      <c r="BE266" s="478"/>
      <c r="BF266" s="478"/>
      <c r="BG266" s="478"/>
      <c r="BH266" s="478"/>
      <c r="BI266" s="478"/>
      <c r="BJ266" s="245"/>
      <c r="BK266" s="477">
        <f t="shared" si="1095"/>
        <v>0</v>
      </c>
      <c r="BL266" s="466">
        <f t="shared" si="1096"/>
        <v>0</v>
      </c>
      <c r="BM266" s="257"/>
      <c r="BN266" s="478"/>
      <c r="BO266" s="478"/>
      <c r="BP266" s="478"/>
      <c r="BQ266" s="478"/>
      <c r="BR266" s="478"/>
      <c r="BS266" s="478"/>
      <c r="BT266" s="478"/>
      <c r="BU266" s="478"/>
      <c r="BV266" s="478"/>
      <c r="BW266" s="478"/>
      <c r="BX266" s="478"/>
      <c r="BY266" s="478"/>
      <c r="BZ266" s="478"/>
      <c r="CA266" s="478"/>
      <c r="CB266" s="478"/>
      <c r="CC266" s="478"/>
      <c r="CD266" s="478"/>
      <c r="CE266" s="478"/>
      <c r="CF266" s="478"/>
      <c r="CG266" s="478"/>
      <c r="CH266" s="478"/>
      <c r="CI266" s="478"/>
      <c r="CJ266" s="478"/>
      <c r="CK266" s="478"/>
      <c r="CL266" s="478"/>
      <c r="CM266" s="478"/>
      <c r="CN266" s="478"/>
      <c r="CO266" s="478"/>
      <c r="CP266" s="478"/>
      <c r="CQ266" s="478"/>
      <c r="CR266" s="478"/>
      <c r="CS266" s="478"/>
      <c r="CT266" s="478"/>
      <c r="CU266" s="478"/>
      <c r="CV266" s="478"/>
      <c r="CW266" s="478"/>
      <c r="CX266" s="478"/>
      <c r="CY266" s="478"/>
      <c r="CZ266" s="478"/>
      <c r="DA266" s="478"/>
      <c r="DB266" s="478"/>
      <c r="DC266" s="478"/>
      <c r="DD266" s="478"/>
      <c r="DE266" s="478"/>
      <c r="DF266" s="478"/>
      <c r="DG266" s="478"/>
      <c r="DH266" s="478"/>
      <c r="DI266" s="478"/>
    </row>
    <row r="267" spans="1:113" ht="16.05" hidden="1" customHeight="1" outlineLevel="1" x14ac:dyDescent="0.3">
      <c r="A267" s="455" t="str">
        <f t="shared" si="1091"/>
        <v/>
      </c>
      <c r="B267" s="455"/>
      <c r="C267" s="481"/>
      <c r="D267" s="463" t="s">
        <v>889</v>
      </c>
      <c r="E267" s="482"/>
      <c r="F267" s="483"/>
      <c r="G267" s="484"/>
      <c r="H267" s="485"/>
      <c r="I267" s="466">
        <f t="shared" si="1097"/>
        <v>0</v>
      </c>
      <c r="J267" s="259"/>
      <c r="K267" s="478">
        <f t="shared" si="1093"/>
        <v>0</v>
      </c>
      <c r="L267" s="466">
        <f t="shared" si="1094"/>
        <v>0</v>
      </c>
      <c r="M267" s="257"/>
      <c r="N267" s="478"/>
      <c r="O267" s="478"/>
      <c r="P267" s="478"/>
      <c r="Q267" s="478"/>
      <c r="R267" s="478"/>
      <c r="S267" s="478"/>
      <c r="T267" s="478"/>
      <c r="U267" s="478"/>
      <c r="V267" s="478"/>
      <c r="W267" s="478"/>
      <c r="X267" s="478"/>
      <c r="Y267" s="478"/>
      <c r="Z267" s="478"/>
      <c r="AA267" s="478"/>
      <c r="AB267" s="478"/>
      <c r="AC267" s="478"/>
      <c r="AD267" s="478"/>
      <c r="AE267" s="478"/>
      <c r="AF267" s="478"/>
      <c r="AG267" s="478"/>
      <c r="AH267" s="478"/>
      <c r="AI267" s="478"/>
      <c r="AJ267" s="478"/>
      <c r="AK267" s="478"/>
      <c r="AL267" s="478"/>
      <c r="AM267" s="478"/>
      <c r="AN267" s="478"/>
      <c r="AO267" s="478"/>
      <c r="AP267" s="478"/>
      <c r="AQ267" s="478"/>
      <c r="AR267" s="478"/>
      <c r="AS267" s="478"/>
      <c r="AT267" s="478"/>
      <c r="AU267" s="478"/>
      <c r="AV267" s="478"/>
      <c r="AW267" s="478"/>
      <c r="AX267" s="478"/>
      <c r="AY267" s="478"/>
      <c r="AZ267" s="478"/>
      <c r="BA267" s="478"/>
      <c r="BB267" s="478"/>
      <c r="BC267" s="478"/>
      <c r="BD267" s="478"/>
      <c r="BE267" s="478"/>
      <c r="BF267" s="478"/>
      <c r="BG267" s="478"/>
      <c r="BH267" s="478"/>
      <c r="BI267" s="478"/>
      <c r="BJ267" s="245"/>
      <c r="BK267" s="477">
        <f t="shared" si="1095"/>
        <v>0</v>
      </c>
      <c r="BL267" s="466">
        <f t="shared" si="1096"/>
        <v>0</v>
      </c>
      <c r="BM267" s="257"/>
      <c r="BN267" s="478"/>
      <c r="BO267" s="478"/>
      <c r="BP267" s="478"/>
      <c r="BQ267" s="478"/>
      <c r="BR267" s="478"/>
      <c r="BS267" s="478"/>
      <c r="BT267" s="478"/>
      <c r="BU267" s="478"/>
      <c r="BV267" s="478"/>
      <c r="BW267" s="478"/>
      <c r="BX267" s="478"/>
      <c r="BY267" s="478"/>
      <c r="BZ267" s="478"/>
      <c r="CA267" s="478"/>
      <c r="CB267" s="478"/>
      <c r="CC267" s="478"/>
      <c r="CD267" s="478"/>
      <c r="CE267" s="478"/>
      <c r="CF267" s="478"/>
      <c r="CG267" s="478"/>
      <c r="CH267" s="478"/>
      <c r="CI267" s="478"/>
      <c r="CJ267" s="478"/>
      <c r="CK267" s="478"/>
      <c r="CL267" s="478"/>
      <c r="CM267" s="478"/>
      <c r="CN267" s="478"/>
      <c r="CO267" s="478"/>
      <c r="CP267" s="478"/>
      <c r="CQ267" s="478"/>
      <c r="CR267" s="478"/>
      <c r="CS267" s="478"/>
      <c r="CT267" s="478"/>
      <c r="CU267" s="478"/>
      <c r="CV267" s="478"/>
      <c r="CW267" s="478"/>
      <c r="CX267" s="478"/>
      <c r="CY267" s="478"/>
      <c r="CZ267" s="478"/>
      <c r="DA267" s="478"/>
      <c r="DB267" s="478"/>
      <c r="DC267" s="478"/>
      <c r="DD267" s="478"/>
      <c r="DE267" s="478"/>
      <c r="DF267" s="478"/>
      <c r="DG267" s="478"/>
      <c r="DH267" s="478"/>
      <c r="DI267" s="478"/>
    </row>
    <row r="268" spans="1:113" ht="16.05" hidden="1" customHeight="1" outlineLevel="1" x14ac:dyDescent="0.3">
      <c r="A268" s="455" t="str">
        <f t="shared" si="1091"/>
        <v/>
      </c>
      <c r="B268" s="455"/>
      <c r="C268" s="481"/>
      <c r="D268" s="463" t="s">
        <v>890</v>
      </c>
      <c r="E268" s="482"/>
      <c r="F268" s="483"/>
      <c r="G268" s="484"/>
      <c r="H268" s="485"/>
      <c r="I268" s="466">
        <f t="shared" si="1097"/>
        <v>0</v>
      </c>
      <c r="J268" s="259"/>
      <c r="K268" s="478">
        <f t="shared" si="1093"/>
        <v>0</v>
      </c>
      <c r="L268" s="466">
        <f t="shared" si="1094"/>
        <v>0</v>
      </c>
      <c r="M268" s="257"/>
      <c r="N268" s="478"/>
      <c r="O268" s="478"/>
      <c r="P268" s="478"/>
      <c r="Q268" s="478"/>
      <c r="R268" s="478"/>
      <c r="S268" s="478"/>
      <c r="T268" s="478"/>
      <c r="U268" s="478"/>
      <c r="V268" s="478"/>
      <c r="W268" s="478"/>
      <c r="X268" s="478"/>
      <c r="Y268" s="478"/>
      <c r="Z268" s="478"/>
      <c r="AA268" s="478"/>
      <c r="AB268" s="478"/>
      <c r="AC268" s="478"/>
      <c r="AD268" s="478"/>
      <c r="AE268" s="478"/>
      <c r="AF268" s="478"/>
      <c r="AG268" s="478"/>
      <c r="AH268" s="478"/>
      <c r="AI268" s="478"/>
      <c r="AJ268" s="478"/>
      <c r="AK268" s="478"/>
      <c r="AL268" s="478"/>
      <c r="AM268" s="478"/>
      <c r="AN268" s="478"/>
      <c r="AO268" s="478"/>
      <c r="AP268" s="478"/>
      <c r="AQ268" s="478"/>
      <c r="AR268" s="478"/>
      <c r="AS268" s="478"/>
      <c r="AT268" s="478"/>
      <c r="AU268" s="478"/>
      <c r="AV268" s="478"/>
      <c r="AW268" s="478"/>
      <c r="AX268" s="478"/>
      <c r="AY268" s="478"/>
      <c r="AZ268" s="478"/>
      <c r="BA268" s="478"/>
      <c r="BB268" s="478"/>
      <c r="BC268" s="478"/>
      <c r="BD268" s="478"/>
      <c r="BE268" s="478"/>
      <c r="BF268" s="478"/>
      <c r="BG268" s="478"/>
      <c r="BH268" s="478"/>
      <c r="BI268" s="478"/>
      <c r="BJ268" s="245"/>
      <c r="BK268" s="477">
        <f t="shared" si="1095"/>
        <v>0</v>
      </c>
      <c r="BL268" s="466">
        <f t="shared" si="1096"/>
        <v>0</v>
      </c>
      <c r="BM268" s="257"/>
      <c r="BN268" s="478"/>
      <c r="BO268" s="478"/>
      <c r="BP268" s="478"/>
      <c r="BQ268" s="478"/>
      <c r="BR268" s="478"/>
      <c r="BS268" s="478"/>
      <c r="BT268" s="478"/>
      <c r="BU268" s="478"/>
      <c r="BV268" s="478"/>
      <c r="BW268" s="478"/>
      <c r="BX268" s="478"/>
      <c r="BY268" s="478"/>
      <c r="BZ268" s="478"/>
      <c r="CA268" s="478"/>
      <c r="CB268" s="478"/>
      <c r="CC268" s="478"/>
      <c r="CD268" s="478"/>
      <c r="CE268" s="478"/>
      <c r="CF268" s="478"/>
      <c r="CG268" s="478"/>
      <c r="CH268" s="478"/>
      <c r="CI268" s="478"/>
      <c r="CJ268" s="478"/>
      <c r="CK268" s="478"/>
      <c r="CL268" s="478"/>
      <c r="CM268" s="478"/>
      <c r="CN268" s="478"/>
      <c r="CO268" s="478"/>
      <c r="CP268" s="478"/>
      <c r="CQ268" s="478"/>
      <c r="CR268" s="478"/>
      <c r="CS268" s="478"/>
      <c r="CT268" s="478"/>
      <c r="CU268" s="478"/>
      <c r="CV268" s="478"/>
      <c r="CW268" s="478"/>
      <c r="CX268" s="478"/>
      <c r="CY268" s="478"/>
      <c r="CZ268" s="478"/>
      <c r="DA268" s="478"/>
      <c r="DB268" s="478"/>
      <c r="DC268" s="478"/>
      <c r="DD268" s="478"/>
      <c r="DE268" s="478"/>
      <c r="DF268" s="478"/>
      <c r="DG268" s="478"/>
      <c r="DH268" s="478"/>
      <c r="DI268" s="478"/>
    </row>
    <row r="269" spans="1:113" ht="16.05" hidden="1" customHeight="1" outlineLevel="1" x14ac:dyDescent="0.3">
      <c r="A269" s="455" t="str">
        <f t="shared" si="1091"/>
        <v/>
      </c>
      <c r="B269" s="455"/>
      <c r="C269" s="481"/>
      <c r="D269" s="463" t="s">
        <v>891</v>
      </c>
      <c r="E269" s="482"/>
      <c r="F269" s="483"/>
      <c r="G269" s="484"/>
      <c r="H269" s="485"/>
      <c r="I269" s="466">
        <f t="shared" si="1097"/>
        <v>0</v>
      </c>
      <c r="J269" s="259"/>
      <c r="K269" s="478">
        <f t="shared" si="1093"/>
        <v>0</v>
      </c>
      <c r="L269" s="466">
        <f t="shared" si="1094"/>
        <v>0</v>
      </c>
      <c r="M269" s="257"/>
      <c r="N269" s="478"/>
      <c r="O269" s="478"/>
      <c r="P269" s="478"/>
      <c r="Q269" s="478"/>
      <c r="R269" s="478"/>
      <c r="S269" s="478"/>
      <c r="T269" s="478"/>
      <c r="U269" s="478"/>
      <c r="V269" s="478"/>
      <c r="W269" s="478"/>
      <c r="X269" s="478"/>
      <c r="Y269" s="478"/>
      <c r="Z269" s="478"/>
      <c r="AA269" s="478"/>
      <c r="AB269" s="478"/>
      <c r="AC269" s="478"/>
      <c r="AD269" s="478"/>
      <c r="AE269" s="478"/>
      <c r="AF269" s="478"/>
      <c r="AG269" s="478"/>
      <c r="AH269" s="478"/>
      <c r="AI269" s="478"/>
      <c r="AJ269" s="478"/>
      <c r="AK269" s="478"/>
      <c r="AL269" s="478"/>
      <c r="AM269" s="478"/>
      <c r="AN269" s="478"/>
      <c r="AO269" s="478"/>
      <c r="AP269" s="478"/>
      <c r="AQ269" s="478"/>
      <c r="AR269" s="478"/>
      <c r="AS269" s="478"/>
      <c r="AT269" s="478"/>
      <c r="AU269" s="478"/>
      <c r="AV269" s="478"/>
      <c r="AW269" s="478"/>
      <c r="AX269" s="478"/>
      <c r="AY269" s="478"/>
      <c r="AZ269" s="478"/>
      <c r="BA269" s="478"/>
      <c r="BB269" s="478"/>
      <c r="BC269" s="478"/>
      <c r="BD269" s="478"/>
      <c r="BE269" s="478"/>
      <c r="BF269" s="478"/>
      <c r="BG269" s="478"/>
      <c r="BH269" s="478"/>
      <c r="BI269" s="478"/>
      <c r="BJ269" s="245"/>
      <c r="BK269" s="477">
        <f t="shared" si="1095"/>
        <v>0</v>
      </c>
      <c r="BL269" s="466">
        <f t="shared" si="1096"/>
        <v>0</v>
      </c>
      <c r="BM269" s="257"/>
      <c r="BN269" s="478"/>
      <c r="BO269" s="478"/>
      <c r="BP269" s="478"/>
      <c r="BQ269" s="478"/>
      <c r="BR269" s="478"/>
      <c r="BS269" s="478"/>
      <c r="BT269" s="478"/>
      <c r="BU269" s="478"/>
      <c r="BV269" s="478"/>
      <c r="BW269" s="478"/>
      <c r="BX269" s="478"/>
      <c r="BY269" s="478"/>
      <c r="BZ269" s="478"/>
      <c r="CA269" s="478"/>
      <c r="CB269" s="478"/>
      <c r="CC269" s="478"/>
      <c r="CD269" s="478"/>
      <c r="CE269" s="478"/>
      <c r="CF269" s="478"/>
      <c r="CG269" s="478"/>
      <c r="CH269" s="478"/>
      <c r="CI269" s="478"/>
      <c r="CJ269" s="478"/>
      <c r="CK269" s="478"/>
      <c r="CL269" s="478"/>
      <c r="CM269" s="478"/>
      <c r="CN269" s="478"/>
      <c r="CO269" s="478"/>
      <c r="CP269" s="478"/>
      <c r="CQ269" s="478"/>
      <c r="CR269" s="478"/>
      <c r="CS269" s="478"/>
      <c r="CT269" s="478"/>
      <c r="CU269" s="478"/>
      <c r="CV269" s="478"/>
      <c r="CW269" s="478"/>
      <c r="CX269" s="478"/>
      <c r="CY269" s="478"/>
      <c r="CZ269" s="478"/>
      <c r="DA269" s="478"/>
      <c r="DB269" s="478"/>
      <c r="DC269" s="478"/>
      <c r="DD269" s="478"/>
      <c r="DE269" s="478"/>
      <c r="DF269" s="478"/>
      <c r="DG269" s="478"/>
      <c r="DH269" s="478"/>
      <c r="DI269" s="478"/>
    </row>
    <row r="270" spans="1:113" ht="16.05" hidden="1" customHeight="1" outlineLevel="1" x14ac:dyDescent="0.3">
      <c r="A270" s="455" t="str">
        <f t="shared" si="1091"/>
        <v/>
      </c>
      <c r="B270" s="455"/>
      <c r="C270" s="481"/>
      <c r="D270" s="463" t="s">
        <v>892</v>
      </c>
      <c r="E270" s="482"/>
      <c r="F270" s="483"/>
      <c r="G270" s="484"/>
      <c r="H270" s="485"/>
      <c r="I270" s="466">
        <f t="shared" si="1097"/>
        <v>0</v>
      </c>
      <c r="J270" s="259"/>
      <c r="K270" s="478">
        <f t="shared" si="1093"/>
        <v>0</v>
      </c>
      <c r="L270" s="466">
        <f t="shared" si="1094"/>
        <v>0</v>
      </c>
      <c r="M270" s="257"/>
      <c r="N270" s="478"/>
      <c r="O270" s="478"/>
      <c r="P270" s="478"/>
      <c r="Q270" s="478"/>
      <c r="R270" s="478"/>
      <c r="S270" s="478"/>
      <c r="T270" s="478"/>
      <c r="U270" s="478"/>
      <c r="V270" s="478"/>
      <c r="W270" s="478"/>
      <c r="X270" s="478"/>
      <c r="Y270" s="478"/>
      <c r="Z270" s="478"/>
      <c r="AA270" s="478"/>
      <c r="AB270" s="478"/>
      <c r="AC270" s="478"/>
      <c r="AD270" s="478"/>
      <c r="AE270" s="478"/>
      <c r="AF270" s="478"/>
      <c r="AG270" s="478"/>
      <c r="AH270" s="478"/>
      <c r="AI270" s="478"/>
      <c r="AJ270" s="478"/>
      <c r="AK270" s="478"/>
      <c r="AL270" s="478"/>
      <c r="AM270" s="478"/>
      <c r="AN270" s="478"/>
      <c r="AO270" s="478"/>
      <c r="AP270" s="478"/>
      <c r="AQ270" s="478"/>
      <c r="AR270" s="478"/>
      <c r="AS270" s="478"/>
      <c r="AT270" s="478"/>
      <c r="AU270" s="478"/>
      <c r="AV270" s="478"/>
      <c r="AW270" s="478"/>
      <c r="AX270" s="478"/>
      <c r="AY270" s="478"/>
      <c r="AZ270" s="478"/>
      <c r="BA270" s="478"/>
      <c r="BB270" s="478"/>
      <c r="BC270" s="478"/>
      <c r="BD270" s="478"/>
      <c r="BE270" s="478"/>
      <c r="BF270" s="478"/>
      <c r="BG270" s="478"/>
      <c r="BH270" s="478"/>
      <c r="BI270" s="478"/>
      <c r="BJ270" s="245"/>
      <c r="BK270" s="477">
        <f t="shared" si="1095"/>
        <v>0</v>
      </c>
      <c r="BL270" s="466">
        <f t="shared" si="1096"/>
        <v>0</v>
      </c>
      <c r="BM270" s="257"/>
      <c r="BN270" s="478"/>
      <c r="BO270" s="478"/>
      <c r="BP270" s="478"/>
      <c r="BQ270" s="478"/>
      <c r="BR270" s="478"/>
      <c r="BS270" s="478"/>
      <c r="BT270" s="478"/>
      <c r="BU270" s="478"/>
      <c r="BV270" s="478"/>
      <c r="BW270" s="478"/>
      <c r="BX270" s="478"/>
      <c r="BY270" s="478"/>
      <c r="BZ270" s="478"/>
      <c r="CA270" s="478"/>
      <c r="CB270" s="478"/>
      <c r="CC270" s="478"/>
      <c r="CD270" s="478"/>
      <c r="CE270" s="478"/>
      <c r="CF270" s="478"/>
      <c r="CG270" s="478"/>
      <c r="CH270" s="478"/>
      <c r="CI270" s="478"/>
      <c r="CJ270" s="478"/>
      <c r="CK270" s="478"/>
      <c r="CL270" s="478"/>
      <c r="CM270" s="478"/>
      <c r="CN270" s="478"/>
      <c r="CO270" s="478"/>
      <c r="CP270" s="478"/>
      <c r="CQ270" s="478"/>
      <c r="CR270" s="478"/>
      <c r="CS270" s="478"/>
      <c r="CT270" s="478"/>
      <c r="CU270" s="478"/>
      <c r="CV270" s="478"/>
      <c r="CW270" s="478"/>
      <c r="CX270" s="478"/>
      <c r="CY270" s="478"/>
      <c r="CZ270" s="478"/>
      <c r="DA270" s="478"/>
      <c r="DB270" s="478"/>
      <c r="DC270" s="478"/>
      <c r="DD270" s="478"/>
      <c r="DE270" s="478"/>
      <c r="DF270" s="478"/>
      <c r="DG270" s="478"/>
      <c r="DH270" s="478"/>
      <c r="DI270" s="478"/>
    </row>
    <row r="271" spans="1:113" ht="16.05" hidden="1" customHeight="1" outlineLevel="1" x14ac:dyDescent="0.3">
      <c r="A271" s="455" t="str">
        <f t="shared" si="1091"/>
        <v/>
      </c>
      <c r="B271" s="455"/>
      <c r="C271" s="481"/>
      <c r="D271" s="463" t="s">
        <v>893</v>
      </c>
      <c r="E271" s="482"/>
      <c r="F271" s="483"/>
      <c r="G271" s="484"/>
      <c r="H271" s="485"/>
      <c r="I271" s="466">
        <f t="shared" si="1097"/>
        <v>0</v>
      </c>
      <c r="J271" s="259"/>
      <c r="K271" s="478">
        <f t="shared" si="1093"/>
        <v>0</v>
      </c>
      <c r="L271" s="466">
        <f t="shared" si="1094"/>
        <v>0</v>
      </c>
      <c r="M271" s="257"/>
      <c r="N271" s="478"/>
      <c r="O271" s="478"/>
      <c r="P271" s="478"/>
      <c r="Q271" s="478"/>
      <c r="R271" s="478"/>
      <c r="S271" s="478"/>
      <c r="T271" s="478"/>
      <c r="U271" s="478"/>
      <c r="V271" s="478"/>
      <c r="W271" s="478"/>
      <c r="X271" s="478"/>
      <c r="Y271" s="478"/>
      <c r="Z271" s="478"/>
      <c r="AA271" s="478"/>
      <c r="AB271" s="478"/>
      <c r="AC271" s="478"/>
      <c r="AD271" s="478"/>
      <c r="AE271" s="478"/>
      <c r="AF271" s="478"/>
      <c r="AG271" s="478"/>
      <c r="AH271" s="478"/>
      <c r="AI271" s="478"/>
      <c r="AJ271" s="478"/>
      <c r="AK271" s="478"/>
      <c r="AL271" s="478"/>
      <c r="AM271" s="478"/>
      <c r="AN271" s="478"/>
      <c r="AO271" s="478"/>
      <c r="AP271" s="478"/>
      <c r="AQ271" s="478"/>
      <c r="AR271" s="478"/>
      <c r="AS271" s="478"/>
      <c r="AT271" s="478"/>
      <c r="AU271" s="478"/>
      <c r="AV271" s="478"/>
      <c r="AW271" s="478"/>
      <c r="AX271" s="478"/>
      <c r="AY271" s="478"/>
      <c r="AZ271" s="478"/>
      <c r="BA271" s="478"/>
      <c r="BB271" s="478"/>
      <c r="BC271" s="478"/>
      <c r="BD271" s="478"/>
      <c r="BE271" s="478"/>
      <c r="BF271" s="478"/>
      <c r="BG271" s="478"/>
      <c r="BH271" s="478"/>
      <c r="BI271" s="478"/>
      <c r="BJ271" s="245"/>
      <c r="BK271" s="477">
        <f t="shared" si="1095"/>
        <v>0</v>
      </c>
      <c r="BL271" s="466">
        <f t="shared" si="1096"/>
        <v>0</v>
      </c>
      <c r="BM271" s="257"/>
      <c r="BN271" s="478"/>
      <c r="BO271" s="478"/>
      <c r="BP271" s="478"/>
      <c r="BQ271" s="478"/>
      <c r="BR271" s="478"/>
      <c r="BS271" s="478"/>
      <c r="BT271" s="478"/>
      <c r="BU271" s="478"/>
      <c r="BV271" s="478"/>
      <c r="BW271" s="478"/>
      <c r="BX271" s="478"/>
      <c r="BY271" s="478"/>
      <c r="BZ271" s="478"/>
      <c r="CA271" s="478"/>
      <c r="CB271" s="478"/>
      <c r="CC271" s="478"/>
      <c r="CD271" s="478"/>
      <c r="CE271" s="478"/>
      <c r="CF271" s="478"/>
      <c r="CG271" s="478"/>
      <c r="CH271" s="478"/>
      <c r="CI271" s="478"/>
      <c r="CJ271" s="478"/>
      <c r="CK271" s="478"/>
      <c r="CL271" s="478"/>
      <c r="CM271" s="478"/>
      <c r="CN271" s="478"/>
      <c r="CO271" s="478"/>
      <c r="CP271" s="478"/>
      <c r="CQ271" s="478"/>
      <c r="CR271" s="478"/>
      <c r="CS271" s="478"/>
      <c r="CT271" s="478"/>
      <c r="CU271" s="478"/>
      <c r="CV271" s="478"/>
      <c r="CW271" s="478"/>
      <c r="CX271" s="478"/>
      <c r="CY271" s="478"/>
      <c r="CZ271" s="478"/>
      <c r="DA271" s="478"/>
      <c r="DB271" s="478"/>
      <c r="DC271" s="478"/>
      <c r="DD271" s="478"/>
      <c r="DE271" s="478"/>
      <c r="DF271" s="478"/>
      <c r="DG271" s="478"/>
      <c r="DH271" s="478"/>
      <c r="DI271" s="478"/>
    </row>
    <row r="272" spans="1:113" ht="16.05" hidden="1" customHeight="1" outlineLevel="1" x14ac:dyDescent="0.3">
      <c r="A272" s="455" t="str">
        <f t="shared" si="1091"/>
        <v/>
      </c>
      <c r="B272" s="455"/>
      <c r="C272" s="481"/>
      <c r="D272" s="463" t="s">
        <v>894</v>
      </c>
      <c r="E272" s="482"/>
      <c r="F272" s="483"/>
      <c r="G272" s="484"/>
      <c r="H272" s="485"/>
      <c r="I272" s="466">
        <f t="shared" si="1097"/>
        <v>0</v>
      </c>
      <c r="J272" s="259"/>
      <c r="K272" s="478">
        <f t="shared" si="1093"/>
        <v>0</v>
      </c>
      <c r="L272" s="466">
        <f t="shared" si="1094"/>
        <v>0</v>
      </c>
      <c r="M272" s="257"/>
      <c r="N272" s="478"/>
      <c r="O272" s="478"/>
      <c r="P272" s="478"/>
      <c r="Q272" s="478"/>
      <c r="R272" s="478"/>
      <c r="S272" s="478"/>
      <c r="T272" s="478"/>
      <c r="U272" s="478"/>
      <c r="V272" s="478"/>
      <c r="W272" s="478"/>
      <c r="X272" s="478"/>
      <c r="Y272" s="478"/>
      <c r="Z272" s="478"/>
      <c r="AA272" s="478"/>
      <c r="AB272" s="478"/>
      <c r="AC272" s="478"/>
      <c r="AD272" s="478"/>
      <c r="AE272" s="478"/>
      <c r="AF272" s="478"/>
      <c r="AG272" s="478"/>
      <c r="AH272" s="478"/>
      <c r="AI272" s="478"/>
      <c r="AJ272" s="478"/>
      <c r="AK272" s="478"/>
      <c r="AL272" s="478"/>
      <c r="AM272" s="478"/>
      <c r="AN272" s="478"/>
      <c r="AO272" s="478"/>
      <c r="AP272" s="478"/>
      <c r="AQ272" s="478"/>
      <c r="AR272" s="478"/>
      <c r="AS272" s="478"/>
      <c r="AT272" s="478"/>
      <c r="AU272" s="478"/>
      <c r="AV272" s="478"/>
      <c r="AW272" s="478"/>
      <c r="AX272" s="478"/>
      <c r="AY272" s="478"/>
      <c r="AZ272" s="478"/>
      <c r="BA272" s="478"/>
      <c r="BB272" s="478"/>
      <c r="BC272" s="478"/>
      <c r="BD272" s="478"/>
      <c r="BE272" s="478"/>
      <c r="BF272" s="478"/>
      <c r="BG272" s="478"/>
      <c r="BH272" s="478"/>
      <c r="BI272" s="478"/>
      <c r="BJ272" s="245"/>
      <c r="BK272" s="477">
        <f t="shared" si="1095"/>
        <v>0</v>
      </c>
      <c r="BL272" s="466">
        <f t="shared" si="1096"/>
        <v>0</v>
      </c>
      <c r="BM272" s="257"/>
      <c r="BN272" s="478"/>
      <c r="BO272" s="478"/>
      <c r="BP272" s="478"/>
      <c r="BQ272" s="478"/>
      <c r="BR272" s="478"/>
      <c r="BS272" s="478"/>
      <c r="BT272" s="478"/>
      <c r="BU272" s="478"/>
      <c r="BV272" s="478"/>
      <c r="BW272" s="478"/>
      <c r="BX272" s="478"/>
      <c r="BY272" s="478"/>
      <c r="BZ272" s="478"/>
      <c r="CA272" s="478"/>
      <c r="CB272" s="478"/>
      <c r="CC272" s="478"/>
      <c r="CD272" s="478"/>
      <c r="CE272" s="478"/>
      <c r="CF272" s="478"/>
      <c r="CG272" s="478"/>
      <c r="CH272" s="478"/>
      <c r="CI272" s="478"/>
      <c r="CJ272" s="478"/>
      <c r="CK272" s="478"/>
      <c r="CL272" s="478"/>
      <c r="CM272" s="478"/>
      <c r="CN272" s="478"/>
      <c r="CO272" s="478"/>
      <c r="CP272" s="478"/>
      <c r="CQ272" s="478"/>
      <c r="CR272" s="478"/>
      <c r="CS272" s="478"/>
      <c r="CT272" s="478"/>
      <c r="CU272" s="478"/>
      <c r="CV272" s="478"/>
      <c r="CW272" s="478"/>
      <c r="CX272" s="478"/>
      <c r="CY272" s="478"/>
      <c r="CZ272" s="478"/>
      <c r="DA272" s="478"/>
      <c r="DB272" s="478"/>
      <c r="DC272" s="478"/>
      <c r="DD272" s="478"/>
      <c r="DE272" s="478"/>
      <c r="DF272" s="478"/>
      <c r="DG272" s="478"/>
      <c r="DH272" s="478"/>
      <c r="DI272" s="478"/>
    </row>
    <row r="273" spans="1:113" ht="16.05" hidden="1" customHeight="1" outlineLevel="1" x14ac:dyDescent="0.3">
      <c r="A273" s="455" t="str">
        <f t="shared" si="1091"/>
        <v/>
      </c>
      <c r="B273" s="455"/>
      <c r="C273" s="481"/>
      <c r="D273" s="463" t="s">
        <v>895</v>
      </c>
      <c r="E273" s="482"/>
      <c r="F273" s="483"/>
      <c r="G273" s="484"/>
      <c r="H273" s="485"/>
      <c r="I273" s="466">
        <f t="shared" si="1097"/>
        <v>0</v>
      </c>
      <c r="J273" s="259"/>
      <c r="K273" s="478">
        <f t="shared" si="1093"/>
        <v>0</v>
      </c>
      <c r="L273" s="466">
        <f t="shared" si="1094"/>
        <v>0</v>
      </c>
      <c r="M273" s="257"/>
      <c r="N273" s="478"/>
      <c r="O273" s="478"/>
      <c r="P273" s="478"/>
      <c r="Q273" s="478"/>
      <c r="R273" s="478"/>
      <c r="S273" s="478"/>
      <c r="T273" s="478"/>
      <c r="U273" s="478"/>
      <c r="V273" s="478"/>
      <c r="W273" s="478"/>
      <c r="X273" s="478"/>
      <c r="Y273" s="478"/>
      <c r="Z273" s="478"/>
      <c r="AA273" s="478"/>
      <c r="AB273" s="478"/>
      <c r="AC273" s="478"/>
      <c r="AD273" s="478"/>
      <c r="AE273" s="478"/>
      <c r="AF273" s="478"/>
      <c r="AG273" s="478"/>
      <c r="AH273" s="478"/>
      <c r="AI273" s="478"/>
      <c r="AJ273" s="478"/>
      <c r="AK273" s="478"/>
      <c r="AL273" s="478"/>
      <c r="AM273" s="478"/>
      <c r="AN273" s="478"/>
      <c r="AO273" s="478"/>
      <c r="AP273" s="478"/>
      <c r="AQ273" s="478"/>
      <c r="AR273" s="478"/>
      <c r="AS273" s="478"/>
      <c r="AT273" s="478"/>
      <c r="AU273" s="478"/>
      <c r="AV273" s="478"/>
      <c r="AW273" s="478"/>
      <c r="AX273" s="478"/>
      <c r="AY273" s="478"/>
      <c r="AZ273" s="478"/>
      <c r="BA273" s="478"/>
      <c r="BB273" s="478"/>
      <c r="BC273" s="478"/>
      <c r="BD273" s="478"/>
      <c r="BE273" s="478"/>
      <c r="BF273" s="478"/>
      <c r="BG273" s="478"/>
      <c r="BH273" s="478"/>
      <c r="BI273" s="478"/>
      <c r="BJ273" s="245"/>
      <c r="BK273" s="477">
        <f t="shared" si="1095"/>
        <v>0</v>
      </c>
      <c r="BL273" s="466">
        <f t="shared" si="1096"/>
        <v>0</v>
      </c>
      <c r="BM273" s="257"/>
      <c r="BN273" s="478"/>
      <c r="BO273" s="478"/>
      <c r="BP273" s="478"/>
      <c r="BQ273" s="478"/>
      <c r="BR273" s="478"/>
      <c r="BS273" s="478"/>
      <c r="BT273" s="478"/>
      <c r="BU273" s="478"/>
      <c r="BV273" s="478"/>
      <c r="BW273" s="478"/>
      <c r="BX273" s="478"/>
      <c r="BY273" s="478"/>
      <c r="BZ273" s="478"/>
      <c r="CA273" s="478"/>
      <c r="CB273" s="478"/>
      <c r="CC273" s="478"/>
      <c r="CD273" s="478"/>
      <c r="CE273" s="478"/>
      <c r="CF273" s="478"/>
      <c r="CG273" s="478"/>
      <c r="CH273" s="478"/>
      <c r="CI273" s="478"/>
      <c r="CJ273" s="478"/>
      <c r="CK273" s="478"/>
      <c r="CL273" s="478"/>
      <c r="CM273" s="478"/>
      <c r="CN273" s="478"/>
      <c r="CO273" s="478"/>
      <c r="CP273" s="478"/>
      <c r="CQ273" s="478"/>
      <c r="CR273" s="478"/>
      <c r="CS273" s="478"/>
      <c r="CT273" s="478"/>
      <c r="CU273" s="478"/>
      <c r="CV273" s="478"/>
      <c r="CW273" s="478"/>
      <c r="CX273" s="478"/>
      <c r="CY273" s="478"/>
      <c r="CZ273" s="478"/>
      <c r="DA273" s="478"/>
      <c r="DB273" s="478"/>
      <c r="DC273" s="478"/>
      <c r="DD273" s="478"/>
      <c r="DE273" s="478"/>
      <c r="DF273" s="478"/>
      <c r="DG273" s="478"/>
      <c r="DH273" s="478"/>
      <c r="DI273" s="478"/>
    </row>
    <row r="274" spans="1:113" ht="16.05" hidden="1" customHeight="1" outlineLevel="1" x14ac:dyDescent="0.3">
      <c r="A274" s="455" t="str">
        <f t="shared" si="1091"/>
        <v/>
      </c>
      <c r="B274" s="455"/>
      <c r="C274" s="481"/>
      <c r="D274" s="463" t="s">
        <v>896</v>
      </c>
      <c r="E274" s="482"/>
      <c r="F274" s="483"/>
      <c r="G274" s="484"/>
      <c r="H274" s="485"/>
      <c r="I274" s="466">
        <f t="shared" si="1097"/>
        <v>0</v>
      </c>
      <c r="J274" s="259"/>
      <c r="K274" s="478">
        <f t="shared" si="1093"/>
        <v>0</v>
      </c>
      <c r="L274" s="466">
        <f t="shared" si="1094"/>
        <v>0</v>
      </c>
      <c r="M274" s="257"/>
      <c r="N274" s="478"/>
      <c r="O274" s="478"/>
      <c r="P274" s="478"/>
      <c r="Q274" s="478"/>
      <c r="R274" s="478"/>
      <c r="S274" s="478"/>
      <c r="T274" s="478"/>
      <c r="U274" s="478"/>
      <c r="V274" s="478"/>
      <c r="W274" s="478"/>
      <c r="X274" s="478"/>
      <c r="Y274" s="478"/>
      <c r="Z274" s="478"/>
      <c r="AA274" s="478"/>
      <c r="AB274" s="478"/>
      <c r="AC274" s="478"/>
      <c r="AD274" s="478"/>
      <c r="AE274" s="478"/>
      <c r="AF274" s="478"/>
      <c r="AG274" s="478"/>
      <c r="AH274" s="478"/>
      <c r="AI274" s="478"/>
      <c r="AJ274" s="478"/>
      <c r="AK274" s="478"/>
      <c r="AL274" s="478"/>
      <c r="AM274" s="478"/>
      <c r="AN274" s="478"/>
      <c r="AO274" s="478"/>
      <c r="AP274" s="478"/>
      <c r="AQ274" s="478"/>
      <c r="AR274" s="478"/>
      <c r="AS274" s="478"/>
      <c r="AT274" s="478"/>
      <c r="AU274" s="478"/>
      <c r="AV274" s="478"/>
      <c r="AW274" s="478"/>
      <c r="AX274" s="478"/>
      <c r="AY274" s="478"/>
      <c r="AZ274" s="478"/>
      <c r="BA274" s="478"/>
      <c r="BB274" s="478"/>
      <c r="BC274" s="478"/>
      <c r="BD274" s="478"/>
      <c r="BE274" s="478"/>
      <c r="BF274" s="478"/>
      <c r="BG274" s="478"/>
      <c r="BH274" s="478"/>
      <c r="BI274" s="478"/>
      <c r="BJ274" s="245"/>
      <c r="BK274" s="477">
        <f t="shared" si="1095"/>
        <v>0</v>
      </c>
      <c r="BL274" s="466">
        <f t="shared" si="1096"/>
        <v>0</v>
      </c>
      <c r="BM274" s="257"/>
      <c r="BN274" s="478"/>
      <c r="BO274" s="478"/>
      <c r="BP274" s="478"/>
      <c r="BQ274" s="478"/>
      <c r="BR274" s="478"/>
      <c r="BS274" s="478"/>
      <c r="BT274" s="478"/>
      <c r="BU274" s="478"/>
      <c r="BV274" s="478"/>
      <c r="BW274" s="478"/>
      <c r="BX274" s="478"/>
      <c r="BY274" s="478"/>
      <c r="BZ274" s="478"/>
      <c r="CA274" s="478"/>
      <c r="CB274" s="478"/>
      <c r="CC274" s="478"/>
      <c r="CD274" s="478"/>
      <c r="CE274" s="478"/>
      <c r="CF274" s="478"/>
      <c r="CG274" s="478"/>
      <c r="CH274" s="478"/>
      <c r="CI274" s="478"/>
      <c r="CJ274" s="478"/>
      <c r="CK274" s="478"/>
      <c r="CL274" s="478"/>
      <c r="CM274" s="478"/>
      <c r="CN274" s="478"/>
      <c r="CO274" s="478"/>
      <c r="CP274" s="478"/>
      <c r="CQ274" s="478"/>
      <c r="CR274" s="478"/>
      <c r="CS274" s="478"/>
      <c r="CT274" s="478"/>
      <c r="CU274" s="478"/>
      <c r="CV274" s="478"/>
      <c r="CW274" s="478"/>
      <c r="CX274" s="478"/>
      <c r="CY274" s="478"/>
      <c r="CZ274" s="478"/>
      <c r="DA274" s="478"/>
      <c r="DB274" s="478"/>
      <c r="DC274" s="478"/>
      <c r="DD274" s="478"/>
      <c r="DE274" s="478"/>
      <c r="DF274" s="478"/>
      <c r="DG274" s="478"/>
      <c r="DH274" s="478"/>
      <c r="DI274" s="478"/>
    </row>
    <row r="275" spans="1:113" ht="16.05" hidden="1" customHeight="1" outlineLevel="1" x14ac:dyDescent="0.3">
      <c r="A275" s="455" t="str">
        <f t="shared" si="1091"/>
        <v/>
      </c>
      <c r="B275" s="455"/>
      <c r="C275" s="481"/>
      <c r="D275" s="463" t="s">
        <v>897</v>
      </c>
      <c r="E275" s="482"/>
      <c r="F275" s="483"/>
      <c r="G275" s="484"/>
      <c r="H275" s="485"/>
      <c r="I275" s="466">
        <f t="shared" si="1097"/>
        <v>0</v>
      </c>
      <c r="J275" s="259"/>
      <c r="K275" s="478">
        <f t="shared" si="1093"/>
        <v>0</v>
      </c>
      <c r="L275" s="466">
        <f t="shared" si="1094"/>
        <v>0</v>
      </c>
      <c r="M275" s="257"/>
      <c r="N275" s="478"/>
      <c r="O275" s="478"/>
      <c r="P275" s="478"/>
      <c r="Q275" s="478"/>
      <c r="R275" s="478"/>
      <c r="S275" s="478"/>
      <c r="T275" s="478"/>
      <c r="U275" s="478"/>
      <c r="V275" s="478"/>
      <c r="W275" s="478"/>
      <c r="X275" s="478"/>
      <c r="Y275" s="478"/>
      <c r="Z275" s="478"/>
      <c r="AA275" s="478"/>
      <c r="AB275" s="478"/>
      <c r="AC275" s="478"/>
      <c r="AD275" s="478"/>
      <c r="AE275" s="478"/>
      <c r="AF275" s="478"/>
      <c r="AG275" s="478"/>
      <c r="AH275" s="478"/>
      <c r="AI275" s="478"/>
      <c r="AJ275" s="478"/>
      <c r="AK275" s="478"/>
      <c r="AL275" s="478"/>
      <c r="AM275" s="478"/>
      <c r="AN275" s="478"/>
      <c r="AO275" s="478"/>
      <c r="AP275" s="478"/>
      <c r="AQ275" s="478"/>
      <c r="AR275" s="478"/>
      <c r="AS275" s="478"/>
      <c r="AT275" s="478"/>
      <c r="AU275" s="478"/>
      <c r="AV275" s="478"/>
      <c r="AW275" s="478"/>
      <c r="AX275" s="478"/>
      <c r="AY275" s="478"/>
      <c r="AZ275" s="478"/>
      <c r="BA275" s="478"/>
      <c r="BB275" s="478"/>
      <c r="BC275" s="478"/>
      <c r="BD275" s="478"/>
      <c r="BE275" s="478"/>
      <c r="BF275" s="478"/>
      <c r="BG275" s="478"/>
      <c r="BH275" s="478"/>
      <c r="BI275" s="478"/>
      <c r="BJ275" s="245"/>
      <c r="BK275" s="477">
        <f t="shared" si="1095"/>
        <v>0</v>
      </c>
      <c r="BL275" s="466">
        <f t="shared" si="1096"/>
        <v>0</v>
      </c>
      <c r="BM275" s="257"/>
      <c r="BN275" s="478"/>
      <c r="BO275" s="478"/>
      <c r="BP275" s="478"/>
      <c r="BQ275" s="478"/>
      <c r="BR275" s="478"/>
      <c r="BS275" s="478"/>
      <c r="BT275" s="478"/>
      <c r="BU275" s="478"/>
      <c r="BV275" s="478"/>
      <c r="BW275" s="478"/>
      <c r="BX275" s="478"/>
      <c r="BY275" s="478"/>
      <c r="BZ275" s="478"/>
      <c r="CA275" s="478"/>
      <c r="CB275" s="478"/>
      <c r="CC275" s="478"/>
      <c r="CD275" s="478"/>
      <c r="CE275" s="478"/>
      <c r="CF275" s="478"/>
      <c r="CG275" s="478"/>
      <c r="CH275" s="478"/>
      <c r="CI275" s="478"/>
      <c r="CJ275" s="478"/>
      <c r="CK275" s="478"/>
      <c r="CL275" s="478"/>
      <c r="CM275" s="478"/>
      <c r="CN275" s="478"/>
      <c r="CO275" s="478"/>
      <c r="CP275" s="478"/>
      <c r="CQ275" s="478"/>
      <c r="CR275" s="478"/>
      <c r="CS275" s="478"/>
      <c r="CT275" s="478"/>
      <c r="CU275" s="478"/>
      <c r="CV275" s="478"/>
      <c r="CW275" s="478"/>
      <c r="CX275" s="478"/>
      <c r="CY275" s="478"/>
      <c r="CZ275" s="478"/>
      <c r="DA275" s="478"/>
      <c r="DB275" s="478"/>
      <c r="DC275" s="478"/>
      <c r="DD275" s="478"/>
      <c r="DE275" s="478"/>
      <c r="DF275" s="478"/>
      <c r="DG275" s="478"/>
      <c r="DH275" s="478"/>
      <c r="DI275" s="478"/>
    </row>
    <row r="276" spans="1:113" ht="8.1" customHeight="1" outlineLevel="1" x14ac:dyDescent="0.3">
      <c r="A276" s="455" t="str">
        <f t="shared" ref="A276" si="1098">IF(COUNTIF(A256:A275,"Imprimir")&gt;0,"Imprimir","")</f>
        <v>Imprimir</v>
      </c>
      <c r="B276" s="455"/>
      <c r="C276" s="464"/>
      <c r="D276" s="461"/>
      <c r="E276" s="462"/>
      <c r="F276" s="462"/>
      <c r="G276" s="461"/>
      <c r="H276" s="461"/>
      <c r="I276" s="461"/>
      <c r="J276" s="259"/>
      <c r="K276" s="255"/>
      <c r="L276" s="256"/>
      <c r="M276" s="257"/>
      <c r="N276" s="255"/>
      <c r="O276" s="255"/>
      <c r="P276" s="255"/>
      <c r="Q276" s="255"/>
      <c r="R276" s="255"/>
      <c r="S276" s="255"/>
      <c r="T276" s="255"/>
      <c r="U276" s="255"/>
      <c r="V276" s="255"/>
      <c r="W276" s="255"/>
      <c r="X276" s="255"/>
      <c r="Y276" s="255"/>
      <c r="Z276" s="255"/>
      <c r="AA276" s="255"/>
      <c r="AB276" s="255"/>
      <c r="AC276" s="255"/>
      <c r="AD276" s="255"/>
      <c r="AE276" s="255"/>
      <c r="AF276" s="255"/>
      <c r="AG276" s="255"/>
      <c r="AH276" s="255"/>
      <c r="AI276" s="255"/>
      <c r="AJ276" s="255"/>
      <c r="AK276" s="255"/>
      <c r="AL276" s="255"/>
      <c r="AM276" s="524"/>
      <c r="AN276" s="255"/>
      <c r="AO276" s="255"/>
      <c r="AP276" s="255"/>
      <c r="AQ276" s="255"/>
      <c r="AR276" s="255"/>
      <c r="AS276" s="255"/>
      <c r="AT276" s="255"/>
      <c r="AU276" s="255"/>
      <c r="AV276" s="255"/>
      <c r="AW276" s="255"/>
      <c r="AX276" s="255"/>
      <c r="AY276" s="255"/>
      <c r="AZ276" s="255"/>
      <c r="BA276" s="255"/>
      <c r="BB276" s="255"/>
      <c r="BC276" s="255"/>
      <c r="BD276" s="255"/>
      <c r="BE276" s="255"/>
      <c r="BF276" s="255"/>
      <c r="BG276" s="255"/>
      <c r="BH276" s="255"/>
      <c r="BI276" s="255"/>
      <c r="BJ276" s="245"/>
      <c r="BK276" s="256"/>
      <c r="BL276" s="256"/>
      <c r="BM276" s="257"/>
      <c r="BN276" s="255"/>
      <c r="BO276" s="255"/>
      <c r="BP276" s="255"/>
      <c r="BQ276" s="255"/>
      <c r="BR276" s="255"/>
      <c r="BS276" s="255"/>
      <c r="BT276" s="255"/>
      <c r="BU276" s="255"/>
      <c r="BV276" s="255"/>
      <c r="BW276" s="255"/>
      <c r="BX276" s="255"/>
      <c r="BY276" s="255"/>
      <c r="BZ276" s="255"/>
      <c r="CA276" s="255"/>
      <c r="CB276" s="255"/>
      <c r="CC276" s="255"/>
      <c r="CD276" s="255"/>
      <c r="CE276" s="255"/>
      <c r="CF276" s="255"/>
      <c r="CG276" s="255"/>
      <c r="CH276" s="255"/>
      <c r="CI276" s="255"/>
      <c r="CJ276" s="255"/>
      <c r="CK276" s="255"/>
      <c r="CL276" s="255"/>
      <c r="CM276" s="255"/>
      <c r="CN276" s="255"/>
      <c r="CO276" s="255"/>
      <c r="CP276" s="255"/>
      <c r="CQ276" s="255"/>
      <c r="CR276" s="255"/>
      <c r="CS276" s="255"/>
      <c r="CT276" s="255"/>
      <c r="CU276" s="255"/>
      <c r="CV276" s="255"/>
      <c r="CW276" s="255"/>
      <c r="CX276" s="255"/>
      <c r="CY276" s="255"/>
      <c r="CZ276" s="255"/>
      <c r="DA276" s="255"/>
      <c r="DB276" s="255"/>
      <c r="DC276" s="255"/>
      <c r="DD276" s="255"/>
      <c r="DE276" s="255"/>
      <c r="DF276" s="255"/>
      <c r="DG276" s="255"/>
      <c r="DH276" s="255"/>
      <c r="DI276" s="524"/>
    </row>
    <row r="277" spans="1:113" ht="16.05" hidden="1" customHeight="1" x14ac:dyDescent="0.3">
      <c r="A277" s="455" t="str">
        <f t="shared" ref="A277" si="1099">IF(COUNTIF(A278:A297,"Imprimir")&gt;0,"Imprimir","")</f>
        <v/>
      </c>
      <c r="B277" s="455"/>
      <c r="C277" s="459"/>
      <c r="D277" s="459"/>
      <c r="E277" s="460" t="s">
        <v>898</v>
      </c>
      <c r="F277" s="460"/>
      <c r="G277" s="460"/>
      <c r="H277" s="465"/>
      <c r="I277" s="465">
        <f>SUBTOTAL(9,I278:I298)</f>
        <v>0</v>
      </c>
      <c r="J277" s="259"/>
      <c r="K277" s="465"/>
      <c r="L277" s="465">
        <f>SUBTOTAL(9,L278:L298)</f>
        <v>0</v>
      </c>
      <c r="M277" s="257"/>
      <c r="N277" s="465">
        <f>SUMPRODUCT(N278:N298,$H278:$H298)</f>
        <v>0</v>
      </c>
      <c r="O277" s="465">
        <f>SUMPRODUCT(O278:O298,$H278:$H298)</f>
        <v>0</v>
      </c>
      <c r="P277" s="465">
        <f t="shared" ref="P277" si="1100">SUMPRODUCT(P278:P298,$H278:$H298)</f>
        <v>0</v>
      </c>
      <c r="Q277" s="465">
        <f t="shared" ref="Q277" si="1101">SUMPRODUCT(Q278:Q298,$H278:$H298)</f>
        <v>0</v>
      </c>
      <c r="R277" s="465">
        <f t="shared" ref="R277" si="1102">SUMPRODUCT(R278:R298,$H278:$H298)</f>
        <v>0</v>
      </c>
      <c r="S277" s="465">
        <f t="shared" ref="S277" si="1103">SUMPRODUCT(S278:S298,$H278:$H298)</f>
        <v>0</v>
      </c>
      <c r="T277" s="465">
        <f t="shared" ref="T277" si="1104">SUMPRODUCT(T278:T298,$H278:$H298)</f>
        <v>0</v>
      </c>
      <c r="U277" s="465">
        <f t="shared" ref="U277" si="1105">SUMPRODUCT(U278:U298,$H278:$H298)</f>
        <v>0</v>
      </c>
      <c r="V277" s="465">
        <f t="shared" ref="V277" si="1106">SUMPRODUCT(V278:V298,$H278:$H298)</f>
        <v>0</v>
      </c>
      <c r="W277" s="465">
        <f t="shared" ref="W277" si="1107">SUMPRODUCT(W278:W298,$H278:$H298)</f>
        <v>0</v>
      </c>
      <c r="X277" s="465">
        <f t="shared" ref="X277" si="1108">SUMPRODUCT(X278:X298,$H278:$H298)</f>
        <v>0</v>
      </c>
      <c r="Y277" s="465">
        <f t="shared" ref="Y277" si="1109">SUMPRODUCT(Y278:Y298,$H278:$H298)</f>
        <v>0</v>
      </c>
      <c r="Z277" s="465">
        <f t="shared" ref="Z277" si="1110">SUMPRODUCT(Z278:Z298,$H278:$H298)</f>
        <v>0</v>
      </c>
      <c r="AA277" s="465">
        <f t="shared" ref="AA277" si="1111">SUMPRODUCT(AA278:AA298,$H278:$H298)</f>
        <v>0</v>
      </c>
      <c r="AB277" s="465">
        <f t="shared" ref="AB277" si="1112">SUMPRODUCT(AB278:AB298,$H278:$H298)</f>
        <v>0</v>
      </c>
      <c r="AC277" s="465">
        <f t="shared" ref="AC277" si="1113">SUMPRODUCT(AC278:AC298,$H278:$H298)</f>
        <v>0</v>
      </c>
      <c r="AD277" s="465">
        <f t="shared" ref="AD277" si="1114">SUMPRODUCT(AD278:AD298,$H278:$H298)</f>
        <v>0</v>
      </c>
      <c r="AE277" s="465">
        <f t="shared" ref="AE277" si="1115">SUMPRODUCT(AE278:AE298,$H278:$H298)</f>
        <v>0</v>
      </c>
      <c r="AF277" s="465">
        <f t="shared" ref="AF277" si="1116">SUMPRODUCT(AF278:AF298,$H278:$H298)</f>
        <v>0</v>
      </c>
      <c r="AG277" s="465">
        <f t="shared" ref="AG277" si="1117">SUMPRODUCT(AG278:AG298,$H278:$H298)</f>
        <v>0</v>
      </c>
      <c r="AH277" s="465">
        <f t="shared" ref="AH277" si="1118">SUMPRODUCT(AH278:AH298,$H278:$H298)</f>
        <v>0</v>
      </c>
      <c r="AI277" s="465">
        <f t="shared" ref="AI277" si="1119">SUMPRODUCT(AI278:AI298,$H278:$H298)</f>
        <v>0</v>
      </c>
      <c r="AJ277" s="465">
        <f t="shared" ref="AJ277:BI277" si="1120">SUMPRODUCT(AJ278:AJ298,$H278:$H298)</f>
        <v>0</v>
      </c>
      <c r="AK277" s="465">
        <f t="shared" si="1120"/>
        <v>0</v>
      </c>
      <c r="AL277" s="465">
        <f t="shared" si="1120"/>
        <v>0</v>
      </c>
      <c r="AM277" s="465">
        <f t="shared" si="1120"/>
        <v>0</v>
      </c>
      <c r="AN277" s="465">
        <f t="shared" si="1120"/>
        <v>0</v>
      </c>
      <c r="AO277" s="465">
        <f t="shared" si="1120"/>
        <v>0</v>
      </c>
      <c r="AP277" s="465">
        <f t="shared" si="1120"/>
        <v>0</v>
      </c>
      <c r="AQ277" s="465">
        <f t="shared" si="1120"/>
        <v>0</v>
      </c>
      <c r="AR277" s="465">
        <f t="shared" si="1120"/>
        <v>0</v>
      </c>
      <c r="AS277" s="465">
        <f t="shared" si="1120"/>
        <v>0</v>
      </c>
      <c r="AT277" s="465">
        <f t="shared" si="1120"/>
        <v>0</v>
      </c>
      <c r="AU277" s="465">
        <f t="shared" si="1120"/>
        <v>0</v>
      </c>
      <c r="AV277" s="465">
        <f t="shared" si="1120"/>
        <v>0</v>
      </c>
      <c r="AW277" s="465">
        <f t="shared" si="1120"/>
        <v>0</v>
      </c>
      <c r="AX277" s="465">
        <f t="shared" si="1120"/>
        <v>0</v>
      </c>
      <c r="AY277" s="465">
        <f t="shared" si="1120"/>
        <v>0</v>
      </c>
      <c r="AZ277" s="465">
        <f t="shared" si="1120"/>
        <v>0</v>
      </c>
      <c r="BA277" s="465">
        <f t="shared" si="1120"/>
        <v>0</v>
      </c>
      <c r="BB277" s="465">
        <f t="shared" si="1120"/>
        <v>0</v>
      </c>
      <c r="BC277" s="465">
        <f t="shared" si="1120"/>
        <v>0</v>
      </c>
      <c r="BD277" s="465">
        <f t="shared" si="1120"/>
        <v>0</v>
      </c>
      <c r="BE277" s="465">
        <f t="shared" si="1120"/>
        <v>0</v>
      </c>
      <c r="BF277" s="465">
        <f t="shared" si="1120"/>
        <v>0</v>
      </c>
      <c r="BG277" s="465">
        <f t="shared" si="1120"/>
        <v>0</v>
      </c>
      <c r="BH277" s="465">
        <f t="shared" si="1120"/>
        <v>0</v>
      </c>
      <c r="BI277" s="543">
        <f t="shared" si="1120"/>
        <v>0</v>
      </c>
      <c r="BJ277" s="546"/>
      <c r="BK277" s="475">
        <f t="shared" ref="BK277" si="1121">IFERROR(BL277/I277,0)</f>
        <v>0</v>
      </c>
      <c r="BL277" s="465">
        <f>SUBTOTAL(9,BL278:BL298)</f>
        <v>0</v>
      </c>
      <c r="BM277" s="257"/>
      <c r="BN277" s="465">
        <f>SUMPRODUCT(BN278:BN298,$H278:$H298)</f>
        <v>0</v>
      </c>
      <c r="BO277" s="465">
        <f>SUMPRODUCT(BO278:BO298,$H278:$H298)</f>
        <v>0</v>
      </c>
      <c r="BP277" s="465">
        <f t="shared" ref="BP277" si="1122">SUMPRODUCT(BP278:BP298,$H278:$H298)</f>
        <v>0</v>
      </c>
      <c r="BQ277" s="465">
        <f t="shared" ref="BQ277" si="1123">SUMPRODUCT(BQ278:BQ298,$H278:$H298)</f>
        <v>0</v>
      </c>
      <c r="BR277" s="465">
        <f t="shared" ref="BR277" si="1124">SUMPRODUCT(BR278:BR298,$H278:$H298)</f>
        <v>0</v>
      </c>
      <c r="BS277" s="465">
        <f t="shared" ref="BS277" si="1125">SUMPRODUCT(BS278:BS298,$H278:$H298)</f>
        <v>0</v>
      </c>
      <c r="BT277" s="465">
        <f t="shared" ref="BT277" si="1126">SUMPRODUCT(BT278:BT298,$H278:$H298)</f>
        <v>0</v>
      </c>
      <c r="BU277" s="465">
        <f t="shared" ref="BU277" si="1127">SUMPRODUCT(BU278:BU298,$H278:$H298)</f>
        <v>0</v>
      </c>
      <c r="BV277" s="465">
        <f t="shared" ref="BV277" si="1128">SUMPRODUCT(BV278:BV298,$H278:$H298)</f>
        <v>0</v>
      </c>
      <c r="BW277" s="465">
        <f t="shared" ref="BW277" si="1129">SUMPRODUCT(BW278:BW298,$H278:$H298)</f>
        <v>0</v>
      </c>
      <c r="BX277" s="465">
        <f t="shared" ref="BX277" si="1130">SUMPRODUCT(BX278:BX298,$H278:$H298)</f>
        <v>0</v>
      </c>
      <c r="BY277" s="465">
        <f t="shared" ref="BY277" si="1131">SUMPRODUCT(BY278:BY298,$H278:$H298)</f>
        <v>0</v>
      </c>
      <c r="BZ277" s="465">
        <f t="shared" ref="BZ277" si="1132">SUMPRODUCT(BZ278:BZ298,$H278:$H298)</f>
        <v>0</v>
      </c>
      <c r="CA277" s="465">
        <f t="shared" ref="CA277" si="1133">SUMPRODUCT(CA278:CA298,$H278:$H298)</f>
        <v>0</v>
      </c>
      <c r="CB277" s="465">
        <f t="shared" ref="CB277" si="1134">SUMPRODUCT(CB278:CB298,$H278:$H298)</f>
        <v>0</v>
      </c>
      <c r="CC277" s="465">
        <f t="shared" ref="CC277" si="1135">SUMPRODUCT(CC278:CC298,$H278:$H298)</f>
        <v>0</v>
      </c>
      <c r="CD277" s="465">
        <f t="shared" ref="CD277" si="1136">SUMPRODUCT(CD278:CD298,$H278:$H298)</f>
        <v>0</v>
      </c>
      <c r="CE277" s="465">
        <f t="shared" ref="CE277" si="1137">SUMPRODUCT(CE278:CE298,$H278:$H298)</f>
        <v>0</v>
      </c>
      <c r="CF277" s="465">
        <f t="shared" ref="CF277" si="1138">SUMPRODUCT(CF278:CF298,$H278:$H298)</f>
        <v>0</v>
      </c>
      <c r="CG277" s="465">
        <f t="shared" ref="CG277" si="1139">SUMPRODUCT(CG278:CG298,$H278:$H298)</f>
        <v>0</v>
      </c>
      <c r="CH277" s="465">
        <f t="shared" ref="CH277" si="1140">SUMPRODUCT(CH278:CH298,$H278:$H298)</f>
        <v>0</v>
      </c>
      <c r="CI277" s="465">
        <f t="shared" ref="CI277" si="1141">SUMPRODUCT(CI278:CI298,$H278:$H298)</f>
        <v>0</v>
      </c>
      <c r="CJ277" s="465">
        <f t="shared" ref="CJ277" si="1142">SUMPRODUCT(CJ278:CJ298,$H278:$H298)</f>
        <v>0</v>
      </c>
      <c r="CK277" s="465">
        <f t="shared" ref="CK277" si="1143">SUMPRODUCT(CK278:CK298,$H278:$H298)</f>
        <v>0</v>
      </c>
      <c r="CL277" s="465">
        <f t="shared" ref="CL277" si="1144">SUMPRODUCT(CL278:CL298,$H278:$H298)</f>
        <v>0</v>
      </c>
      <c r="CM277" s="465">
        <f t="shared" ref="CM277" si="1145">SUMPRODUCT(CM278:CM298,$H278:$H298)</f>
        <v>0</v>
      </c>
      <c r="CN277" s="465">
        <f t="shared" ref="CN277" si="1146">SUMPRODUCT(CN278:CN298,$H278:$H298)</f>
        <v>0</v>
      </c>
      <c r="CO277" s="465">
        <f t="shared" ref="CO277" si="1147">SUMPRODUCT(CO278:CO298,$H278:$H298)</f>
        <v>0</v>
      </c>
      <c r="CP277" s="465">
        <f t="shared" ref="CP277" si="1148">SUMPRODUCT(CP278:CP298,$H278:$H298)</f>
        <v>0</v>
      </c>
      <c r="CQ277" s="465">
        <f t="shared" ref="CQ277" si="1149">SUMPRODUCT(CQ278:CQ298,$H278:$H298)</f>
        <v>0</v>
      </c>
      <c r="CR277" s="465">
        <f t="shared" ref="CR277" si="1150">SUMPRODUCT(CR278:CR298,$H278:$H298)</f>
        <v>0</v>
      </c>
      <c r="CS277" s="465">
        <f t="shared" ref="CS277" si="1151">SUMPRODUCT(CS278:CS298,$H278:$H298)</f>
        <v>0</v>
      </c>
      <c r="CT277" s="465">
        <f t="shared" ref="CT277" si="1152">SUMPRODUCT(CT278:CT298,$H278:$H298)</f>
        <v>0</v>
      </c>
      <c r="CU277" s="465">
        <f t="shared" ref="CU277" si="1153">SUMPRODUCT(CU278:CU298,$H278:$H298)</f>
        <v>0</v>
      </c>
      <c r="CV277" s="465">
        <f t="shared" ref="CV277" si="1154">SUMPRODUCT(CV278:CV298,$H278:$H298)</f>
        <v>0</v>
      </c>
      <c r="CW277" s="465">
        <f t="shared" ref="CW277" si="1155">SUMPRODUCT(CW278:CW298,$H278:$H298)</f>
        <v>0</v>
      </c>
      <c r="CX277" s="465">
        <f t="shared" ref="CX277" si="1156">SUMPRODUCT(CX278:CX298,$H278:$H298)</f>
        <v>0</v>
      </c>
      <c r="CY277" s="465">
        <f t="shared" ref="CY277" si="1157">SUMPRODUCT(CY278:CY298,$H278:$H298)</f>
        <v>0</v>
      </c>
      <c r="CZ277" s="465">
        <f t="shared" ref="CZ277" si="1158">SUMPRODUCT(CZ278:CZ298,$H278:$H298)</f>
        <v>0</v>
      </c>
      <c r="DA277" s="465">
        <f t="shared" ref="DA277" si="1159">SUMPRODUCT(DA278:DA298,$H278:$H298)</f>
        <v>0</v>
      </c>
      <c r="DB277" s="465">
        <f t="shared" ref="DB277" si="1160">SUMPRODUCT(DB278:DB298,$H278:$H298)</f>
        <v>0</v>
      </c>
      <c r="DC277" s="465">
        <f t="shared" ref="DC277" si="1161">SUMPRODUCT(DC278:DC298,$H278:$H298)</f>
        <v>0</v>
      </c>
      <c r="DD277" s="465">
        <f t="shared" ref="DD277" si="1162">SUMPRODUCT(DD278:DD298,$H278:$H298)</f>
        <v>0</v>
      </c>
      <c r="DE277" s="465">
        <f t="shared" ref="DE277" si="1163">SUMPRODUCT(DE278:DE298,$H278:$H298)</f>
        <v>0</v>
      </c>
      <c r="DF277" s="465">
        <f t="shared" ref="DF277" si="1164">SUMPRODUCT(DF278:DF298,$H278:$H298)</f>
        <v>0</v>
      </c>
      <c r="DG277" s="465">
        <f t="shared" ref="DG277" si="1165">SUMPRODUCT(DG278:DG298,$H278:$H298)</f>
        <v>0</v>
      </c>
      <c r="DH277" s="465">
        <f t="shared" ref="DH277" si="1166">SUMPRODUCT(DH278:DH298,$H278:$H298)</f>
        <v>0</v>
      </c>
      <c r="DI277" s="465">
        <f t="shared" ref="DI277" si="1167">SUMPRODUCT(DI278:DI298,$H278:$H298)</f>
        <v>0</v>
      </c>
    </row>
    <row r="278" spans="1:113" ht="16.05" hidden="1" customHeight="1" outlineLevel="1" x14ac:dyDescent="0.3">
      <c r="A278" s="455" t="str">
        <f t="shared" si="1091"/>
        <v/>
      </c>
      <c r="B278" s="455"/>
      <c r="C278" s="481"/>
      <c r="D278" s="463" t="s">
        <v>899</v>
      </c>
      <c r="E278" s="482"/>
      <c r="F278" s="483"/>
      <c r="G278" s="484"/>
      <c r="H278" s="485"/>
      <c r="I278" s="466">
        <f t="shared" ref="I278:I280" si="1168">G278*H278</f>
        <v>0</v>
      </c>
      <c r="J278" s="259"/>
      <c r="K278" s="478">
        <f>SUM(N278:BI278)</f>
        <v>0</v>
      </c>
      <c r="L278" s="466">
        <f>K278*$H278</f>
        <v>0</v>
      </c>
      <c r="M278" s="257"/>
      <c r="N278" s="478"/>
      <c r="O278" s="478"/>
      <c r="P278" s="478"/>
      <c r="Q278" s="478"/>
      <c r="R278" s="478"/>
      <c r="S278" s="478"/>
      <c r="T278" s="478"/>
      <c r="U278" s="478"/>
      <c r="V278" s="478"/>
      <c r="W278" s="478"/>
      <c r="X278" s="478"/>
      <c r="Y278" s="478"/>
      <c r="Z278" s="478"/>
      <c r="AA278" s="478"/>
      <c r="AB278" s="478"/>
      <c r="AC278" s="478"/>
      <c r="AD278" s="478"/>
      <c r="AE278" s="478"/>
      <c r="AF278" s="478"/>
      <c r="AG278" s="478"/>
      <c r="AH278" s="478"/>
      <c r="AI278" s="478"/>
      <c r="AJ278" s="478"/>
      <c r="AK278" s="478"/>
      <c r="AL278" s="478"/>
      <c r="AM278" s="478"/>
      <c r="AN278" s="478"/>
      <c r="AO278" s="478"/>
      <c r="AP278" s="478"/>
      <c r="AQ278" s="478"/>
      <c r="AR278" s="478"/>
      <c r="AS278" s="478"/>
      <c r="AT278" s="478"/>
      <c r="AU278" s="478"/>
      <c r="AV278" s="478"/>
      <c r="AW278" s="478"/>
      <c r="AX278" s="478"/>
      <c r="AY278" s="478"/>
      <c r="AZ278" s="478"/>
      <c r="BA278" s="478"/>
      <c r="BB278" s="478"/>
      <c r="BC278" s="478"/>
      <c r="BD278" s="478"/>
      <c r="BE278" s="478"/>
      <c r="BF278" s="478"/>
      <c r="BG278" s="478"/>
      <c r="BH278" s="478"/>
      <c r="BI278" s="478"/>
      <c r="BJ278" s="245"/>
      <c r="BK278" s="477">
        <f>IFERROR(BL278/I278,0)</f>
        <v>0</v>
      </c>
      <c r="BL278" s="466">
        <f>SUM(BN278:DJ278)*$H278</f>
        <v>0</v>
      </c>
      <c r="BM278" s="257"/>
      <c r="BN278" s="478"/>
      <c r="BO278" s="478"/>
      <c r="BP278" s="478"/>
      <c r="BQ278" s="478"/>
      <c r="BR278" s="478"/>
      <c r="BS278" s="478"/>
      <c r="BT278" s="478"/>
      <c r="BU278" s="478"/>
      <c r="BV278" s="478"/>
      <c r="BW278" s="478"/>
      <c r="BX278" s="478"/>
      <c r="BY278" s="478"/>
      <c r="BZ278" s="478"/>
      <c r="CA278" s="478"/>
      <c r="CB278" s="478"/>
      <c r="CC278" s="478"/>
      <c r="CD278" s="478"/>
      <c r="CE278" s="478"/>
      <c r="CF278" s="478"/>
      <c r="CG278" s="478"/>
      <c r="CH278" s="478"/>
      <c r="CI278" s="478"/>
      <c r="CJ278" s="478"/>
      <c r="CK278" s="478"/>
      <c r="CL278" s="478"/>
      <c r="CM278" s="478"/>
      <c r="CN278" s="478"/>
      <c r="CO278" s="478"/>
      <c r="CP278" s="478"/>
      <c r="CQ278" s="478"/>
      <c r="CR278" s="478"/>
      <c r="CS278" s="478"/>
      <c r="CT278" s="478"/>
      <c r="CU278" s="478"/>
      <c r="CV278" s="478"/>
      <c r="CW278" s="478"/>
      <c r="CX278" s="478"/>
      <c r="CY278" s="478"/>
      <c r="CZ278" s="478"/>
      <c r="DA278" s="478"/>
      <c r="DB278" s="478"/>
      <c r="DC278" s="478"/>
      <c r="DD278" s="478"/>
      <c r="DE278" s="478"/>
      <c r="DF278" s="478"/>
      <c r="DG278" s="478"/>
      <c r="DH278" s="478"/>
      <c r="DI278" s="478"/>
    </row>
    <row r="279" spans="1:113" ht="16.05" hidden="1" customHeight="1" outlineLevel="1" x14ac:dyDescent="0.3">
      <c r="A279" s="455" t="str">
        <f t="shared" si="1091"/>
        <v/>
      </c>
      <c r="B279" s="455"/>
      <c r="C279" s="481"/>
      <c r="D279" s="463" t="s">
        <v>900</v>
      </c>
      <c r="E279" s="482"/>
      <c r="F279" s="483"/>
      <c r="G279" s="484"/>
      <c r="H279" s="485"/>
      <c r="I279" s="466">
        <f t="shared" si="1168"/>
        <v>0</v>
      </c>
      <c r="J279" s="259"/>
      <c r="K279" s="478">
        <f t="shared" ref="K279:K297" si="1169">SUM(N279:BI279)</f>
        <v>0</v>
      </c>
      <c r="L279" s="466">
        <f t="shared" ref="L279:L297" si="1170">K279*$H279</f>
        <v>0</v>
      </c>
      <c r="M279" s="257"/>
      <c r="N279" s="478"/>
      <c r="O279" s="478"/>
      <c r="P279" s="478"/>
      <c r="Q279" s="478"/>
      <c r="R279" s="478"/>
      <c r="S279" s="478"/>
      <c r="T279" s="478"/>
      <c r="U279" s="478"/>
      <c r="V279" s="478"/>
      <c r="W279" s="478"/>
      <c r="X279" s="478"/>
      <c r="Y279" s="478"/>
      <c r="Z279" s="478"/>
      <c r="AA279" s="478"/>
      <c r="AB279" s="478"/>
      <c r="AC279" s="478"/>
      <c r="AD279" s="478"/>
      <c r="AE279" s="478"/>
      <c r="AF279" s="478"/>
      <c r="AG279" s="478"/>
      <c r="AH279" s="478"/>
      <c r="AI279" s="478"/>
      <c r="AJ279" s="478"/>
      <c r="AK279" s="478"/>
      <c r="AL279" s="478"/>
      <c r="AM279" s="478"/>
      <c r="AN279" s="478"/>
      <c r="AO279" s="478"/>
      <c r="AP279" s="478"/>
      <c r="AQ279" s="478"/>
      <c r="AR279" s="478"/>
      <c r="AS279" s="478"/>
      <c r="AT279" s="478"/>
      <c r="AU279" s="478"/>
      <c r="AV279" s="478"/>
      <c r="AW279" s="478"/>
      <c r="AX279" s="478"/>
      <c r="AY279" s="478"/>
      <c r="AZ279" s="478"/>
      <c r="BA279" s="478"/>
      <c r="BB279" s="478"/>
      <c r="BC279" s="478"/>
      <c r="BD279" s="478"/>
      <c r="BE279" s="478"/>
      <c r="BF279" s="478"/>
      <c r="BG279" s="478"/>
      <c r="BH279" s="478"/>
      <c r="BI279" s="478"/>
      <c r="BJ279" s="245"/>
      <c r="BK279" s="477">
        <f t="shared" ref="BK279:BK297" si="1171">IFERROR(BL279/I279,0)</f>
        <v>0</v>
      </c>
      <c r="BL279" s="466">
        <f t="shared" ref="BL279:BL297" si="1172">SUM(BN279:DJ279)*$H279</f>
        <v>0</v>
      </c>
      <c r="BM279" s="257"/>
      <c r="BN279" s="478"/>
      <c r="BO279" s="478"/>
      <c r="BP279" s="478"/>
      <c r="BQ279" s="478"/>
      <c r="BR279" s="478"/>
      <c r="BS279" s="478"/>
      <c r="BT279" s="478"/>
      <c r="BU279" s="478"/>
      <c r="BV279" s="478"/>
      <c r="BW279" s="478"/>
      <c r="BX279" s="478"/>
      <c r="BY279" s="478"/>
      <c r="BZ279" s="478"/>
      <c r="CA279" s="478"/>
      <c r="CB279" s="478"/>
      <c r="CC279" s="478"/>
      <c r="CD279" s="478"/>
      <c r="CE279" s="478"/>
      <c r="CF279" s="478"/>
      <c r="CG279" s="478"/>
      <c r="CH279" s="478"/>
      <c r="CI279" s="478"/>
      <c r="CJ279" s="478"/>
      <c r="CK279" s="478"/>
      <c r="CL279" s="478"/>
      <c r="CM279" s="478"/>
      <c r="CN279" s="478"/>
      <c r="CO279" s="478"/>
      <c r="CP279" s="478"/>
      <c r="CQ279" s="478"/>
      <c r="CR279" s="478"/>
      <c r="CS279" s="478"/>
      <c r="CT279" s="478"/>
      <c r="CU279" s="478"/>
      <c r="CV279" s="478"/>
      <c r="CW279" s="478"/>
      <c r="CX279" s="478"/>
      <c r="CY279" s="478"/>
      <c r="CZ279" s="478"/>
      <c r="DA279" s="478"/>
      <c r="DB279" s="478"/>
      <c r="DC279" s="478"/>
      <c r="DD279" s="478"/>
      <c r="DE279" s="478"/>
      <c r="DF279" s="478"/>
      <c r="DG279" s="478"/>
      <c r="DH279" s="478"/>
      <c r="DI279" s="478"/>
    </row>
    <row r="280" spans="1:113" ht="16.05" hidden="1" customHeight="1" outlineLevel="1" x14ac:dyDescent="0.3">
      <c r="A280" s="455" t="str">
        <f t="shared" si="1091"/>
        <v/>
      </c>
      <c r="B280" s="455"/>
      <c r="C280" s="481"/>
      <c r="D280" s="463" t="s">
        <v>901</v>
      </c>
      <c r="E280" s="482"/>
      <c r="F280" s="483"/>
      <c r="G280" s="484"/>
      <c r="H280" s="485"/>
      <c r="I280" s="466">
        <f t="shared" si="1168"/>
        <v>0</v>
      </c>
      <c r="J280" s="259"/>
      <c r="K280" s="478">
        <f t="shared" si="1169"/>
        <v>0</v>
      </c>
      <c r="L280" s="466">
        <f t="shared" si="1170"/>
        <v>0</v>
      </c>
      <c r="M280" s="257"/>
      <c r="N280" s="478"/>
      <c r="O280" s="478"/>
      <c r="P280" s="478"/>
      <c r="Q280" s="478"/>
      <c r="R280" s="478"/>
      <c r="S280" s="478"/>
      <c r="T280" s="478"/>
      <c r="U280" s="478"/>
      <c r="V280" s="478"/>
      <c r="W280" s="478"/>
      <c r="X280" s="478"/>
      <c r="Y280" s="478"/>
      <c r="Z280" s="478"/>
      <c r="AA280" s="478"/>
      <c r="AB280" s="478"/>
      <c r="AC280" s="478"/>
      <c r="AD280" s="478"/>
      <c r="AE280" s="478"/>
      <c r="AF280" s="478"/>
      <c r="AG280" s="478"/>
      <c r="AH280" s="478"/>
      <c r="AI280" s="478"/>
      <c r="AJ280" s="478"/>
      <c r="AK280" s="478"/>
      <c r="AL280" s="478"/>
      <c r="AM280" s="478"/>
      <c r="AN280" s="478"/>
      <c r="AO280" s="478"/>
      <c r="AP280" s="478"/>
      <c r="AQ280" s="478"/>
      <c r="AR280" s="478"/>
      <c r="AS280" s="478"/>
      <c r="AT280" s="478"/>
      <c r="AU280" s="478"/>
      <c r="AV280" s="478"/>
      <c r="AW280" s="478"/>
      <c r="AX280" s="478"/>
      <c r="AY280" s="478"/>
      <c r="AZ280" s="478"/>
      <c r="BA280" s="478"/>
      <c r="BB280" s="478"/>
      <c r="BC280" s="478"/>
      <c r="BD280" s="478"/>
      <c r="BE280" s="478"/>
      <c r="BF280" s="478"/>
      <c r="BG280" s="478"/>
      <c r="BH280" s="478"/>
      <c r="BI280" s="478"/>
      <c r="BJ280" s="245"/>
      <c r="BK280" s="477">
        <f t="shared" si="1171"/>
        <v>0</v>
      </c>
      <c r="BL280" s="466">
        <f t="shared" si="1172"/>
        <v>0</v>
      </c>
      <c r="BM280" s="257"/>
      <c r="BN280" s="478"/>
      <c r="BO280" s="478"/>
      <c r="BP280" s="478"/>
      <c r="BQ280" s="478"/>
      <c r="BR280" s="478"/>
      <c r="BS280" s="478"/>
      <c r="BT280" s="478"/>
      <c r="BU280" s="478"/>
      <c r="BV280" s="478"/>
      <c r="BW280" s="478"/>
      <c r="BX280" s="478"/>
      <c r="BY280" s="478"/>
      <c r="BZ280" s="478"/>
      <c r="CA280" s="478"/>
      <c r="CB280" s="478"/>
      <c r="CC280" s="478"/>
      <c r="CD280" s="478"/>
      <c r="CE280" s="478"/>
      <c r="CF280" s="478"/>
      <c r="CG280" s="478"/>
      <c r="CH280" s="478"/>
      <c r="CI280" s="478"/>
      <c r="CJ280" s="478"/>
      <c r="CK280" s="478"/>
      <c r="CL280" s="478"/>
      <c r="CM280" s="478"/>
      <c r="CN280" s="478"/>
      <c r="CO280" s="478"/>
      <c r="CP280" s="478"/>
      <c r="CQ280" s="478"/>
      <c r="CR280" s="478"/>
      <c r="CS280" s="478"/>
      <c r="CT280" s="478"/>
      <c r="CU280" s="478"/>
      <c r="CV280" s="478"/>
      <c r="CW280" s="478"/>
      <c r="CX280" s="478"/>
      <c r="CY280" s="478"/>
      <c r="CZ280" s="478"/>
      <c r="DA280" s="478"/>
      <c r="DB280" s="478"/>
      <c r="DC280" s="478"/>
      <c r="DD280" s="478"/>
      <c r="DE280" s="478"/>
      <c r="DF280" s="478"/>
      <c r="DG280" s="478"/>
      <c r="DH280" s="478"/>
      <c r="DI280" s="478"/>
    </row>
    <row r="281" spans="1:113" ht="16.05" hidden="1" customHeight="1" outlineLevel="1" x14ac:dyDescent="0.3">
      <c r="A281" s="455" t="str">
        <f t="shared" si="1091"/>
        <v/>
      </c>
      <c r="B281" s="455"/>
      <c r="C281" s="481"/>
      <c r="D281" s="463" t="s">
        <v>902</v>
      </c>
      <c r="E281" s="482"/>
      <c r="F281" s="483"/>
      <c r="G281" s="484"/>
      <c r="H281" s="485"/>
      <c r="I281" s="466">
        <f>G281*H281</f>
        <v>0</v>
      </c>
      <c r="J281" s="259"/>
      <c r="K281" s="478">
        <f t="shared" si="1169"/>
        <v>0</v>
      </c>
      <c r="L281" s="466">
        <f t="shared" si="1170"/>
        <v>0</v>
      </c>
      <c r="M281" s="257"/>
      <c r="N281" s="478"/>
      <c r="O281" s="478"/>
      <c r="P281" s="478"/>
      <c r="Q281" s="478"/>
      <c r="R281" s="478"/>
      <c r="S281" s="478"/>
      <c r="T281" s="478"/>
      <c r="U281" s="478"/>
      <c r="V281" s="478"/>
      <c r="W281" s="478"/>
      <c r="X281" s="478"/>
      <c r="Y281" s="478"/>
      <c r="Z281" s="478"/>
      <c r="AA281" s="478"/>
      <c r="AB281" s="478"/>
      <c r="AC281" s="478"/>
      <c r="AD281" s="478"/>
      <c r="AE281" s="478"/>
      <c r="AF281" s="478"/>
      <c r="AG281" s="478"/>
      <c r="AH281" s="478"/>
      <c r="AI281" s="478"/>
      <c r="AJ281" s="478"/>
      <c r="AK281" s="478"/>
      <c r="AL281" s="478"/>
      <c r="AM281" s="478"/>
      <c r="AN281" s="478"/>
      <c r="AO281" s="478"/>
      <c r="AP281" s="478"/>
      <c r="AQ281" s="478"/>
      <c r="AR281" s="478"/>
      <c r="AS281" s="478"/>
      <c r="AT281" s="478"/>
      <c r="AU281" s="478"/>
      <c r="AV281" s="478"/>
      <c r="AW281" s="478"/>
      <c r="AX281" s="478"/>
      <c r="AY281" s="478"/>
      <c r="AZ281" s="478"/>
      <c r="BA281" s="478"/>
      <c r="BB281" s="478"/>
      <c r="BC281" s="478"/>
      <c r="BD281" s="478"/>
      <c r="BE281" s="478"/>
      <c r="BF281" s="478"/>
      <c r="BG281" s="478"/>
      <c r="BH281" s="478"/>
      <c r="BI281" s="478"/>
      <c r="BJ281" s="245"/>
      <c r="BK281" s="477">
        <f t="shared" si="1171"/>
        <v>0</v>
      </c>
      <c r="BL281" s="466">
        <f t="shared" si="1172"/>
        <v>0</v>
      </c>
      <c r="BM281" s="257"/>
      <c r="BN281" s="478"/>
      <c r="BO281" s="478"/>
      <c r="BP281" s="478"/>
      <c r="BQ281" s="478"/>
      <c r="BR281" s="478"/>
      <c r="BS281" s="478"/>
      <c r="BT281" s="478"/>
      <c r="BU281" s="478"/>
      <c r="BV281" s="478"/>
      <c r="BW281" s="478"/>
      <c r="BX281" s="478"/>
      <c r="BY281" s="478"/>
      <c r="BZ281" s="478"/>
      <c r="CA281" s="478"/>
      <c r="CB281" s="478"/>
      <c r="CC281" s="478"/>
      <c r="CD281" s="478"/>
      <c r="CE281" s="478"/>
      <c r="CF281" s="478"/>
      <c r="CG281" s="478"/>
      <c r="CH281" s="478"/>
      <c r="CI281" s="478"/>
      <c r="CJ281" s="478"/>
      <c r="CK281" s="478"/>
      <c r="CL281" s="478"/>
      <c r="CM281" s="478"/>
      <c r="CN281" s="478"/>
      <c r="CO281" s="478"/>
      <c r="CP281" s="478"/>
      <c r="CQ281" s="478"/>
      <c r="CR281" s="478"/>
      <c r="CS281" s="478"/>
      <c r="CT281" s="478"/>
      <c r="CU281" s="478"/>
      <c r="CV281" s="478"/>
      <c r="CW281" s="478"/>
      <c r="CX281" s="478"/>
      <c r="CY281" s="478"/>
      <c r="CZ281" s="478"/>
      <c r="DA281" s="478"/>
      <c r="DB281" s="478"/>
      <c r="DC281" s="478"/>
      <c r="DD281" s="478"/>
      <c r="DE281" s="478"/>
      <c r="DF281" s="478"/>
      <c r="DG281" s="478"/>
      <c r="DH281" s="478"/>
      <c r="DI281" s="478"/>
    </row>
    <row r="282" spans="1:113" ht="16.05" hidden="1" customHeight="1" outlineLevel="1" x14ac:dyDescent="0.3">
      <c r="A282" s="455" t="str">
        <f t="shared" si="1091"/>
        <v/>
      </c>
      <c r="B282" s="455"/>
      <c r="C282" s="481"/>
      <c r="D282" s="463" t="s">
        <v>903</v>
      </c>
      <c r="E282" s="482"/>
      <c r="F282" s="483"/>
      <c r="G282" s="484"/>
      <c r="H282" s="485"/>
      <c r="I282" s="466">
        <f t="shared" ref="I282:I297" si="1173">G282*H282</f>
        <v>0</v>
      </c>
      <c r="J282" s="259"/>
      <c r="K282" s="478">
        <f t="shared" si="1169"/>
        <v>0</v>
      </c>
      <c r="L282" s="466">
        <f t="shared" si="1170"/>
        <v>0</v>
      </c>
      <c r="M282" s="257"/>
      <c r="N282" s="478"/>
      <c r="O282" s="478"/>
      <c r="P282" s="478"/>
      <c r="Q282" s="478"/>
      <c r="R282" s="478"/>
      <c r="S282" s="478"/>
      <c r="T282" s="478"/>
      <c r="U282" s="478"/>
      <c r="V282" s="478"/>
      <c r="W282" s="478"/>
      <c r="X282" s="478"/>
      <c r="Y282" s="478"/>
      <c r="Z282" s="478"/>
      <c r="AA282" s="478"/>
      <c r="AB282" s="478"/>
      <c r="AC282" s="478"/>
      <c r="AD282" s="478"/>
      <c r="AE282" s="478"/>
      <c r="AF282" s="478"/>
      <c r="AG282" s="478"/>
      <c r="AH282" s="478"/>
      <c r="AI282" s="478"/>
      <c r="AJ282" s="478"/>
      <c r="AK282" s="478"/>
      <c r="AL282" s="478"/>
      <c r="AM282" s="478"/>
      <c r="AN282" s="478"/>
      <c r="AO282" s="478"/>
      <c r="AP282" s="478"/>
      <c r="AQ282" s="478"/>
      <c r="AR282" s="478"/>
      <c r="AS282" s="478"/>
      <c r="AT282" s="478"/>
      <c r="AU282" s="478"/>
      <c r="AV282" s="478"/>
      <c r="AW282" s="478"/>
      <c r="AX282" s="478"/>
      <c r="AY282" s="478"/>
      <c r="AZ282" s="478"/>
      <c r="BA282" s="478"/>
      <c r="BB282" s="478"/>
      <c r="BC282" s="478"/>
      <c r="BD282" s="478"/>
      <c r="BE282" s="478"/>
      <c r="BF282" s="478"/>
      <c r="BG282" s="478"/>
      <c r="BH282" s="478"/>
      <c r="BI282" s="478"/>
      <c r="BJ282" s="245"/>
      <c r="BK282" s="477">
        <f t="shared" si="1171"/>
        <v>0</v>
      </c>
      <c r="BL282" s="466">
        <f t="shared" si="1172"/>
        <v>0</v>
      </c>
      <c r="BM282" s="257"/>
      <c r="BN282" s="478"/>
      <c r="BO282" s="478"/>
      <c r="BP282" s="478"/>
      <c r="BQ282" s="478"/>
      <c r="BR282" s="478"/>
      <c r="BS282" s="478"/>
      <c r="BT282" s="478"/>
      <c r="BU282" s="478"/>
      <c r="BV282" s="478"/>
      <c r="BW282" s="478"/>
      <c r="BX282" s="478"/>
      <c r="BY282" s="478"/>
      <c r="BZ282" s="478"/>
      <c r="CA282" s="478"/>
      <c r="CB282" s="478"/>
      <c r="CC282" s="478"/>
      <c r="CD282" s="478"/>
      <c r="CE282" s="478"/>
      <c r="CF282" s="478"/>
      <c r="CG282" s="478"/>
      <c r="CH282" s="478"/>
      <c r="CI282" s="478"/>
      <c r="CJ282" s="478"/>
      <c r="CK282" s="478"/>
      <c r="CL282" s="478"/>
      <c r="CM282" s="478"/>
      <c r="CN282" s="478"/>
      <c r="CO282" s="478"/>
      <c r="CP282" s="478"/>
      <c r="CQ282" s="478"/>
      <c r="CR282" s="478"/>
      <c r="CS282" s="478"/>
      <c r="CT282" s="478"/>
      <c r="CU282" s="478"/>
      <c r="CV282" s="478"/>
      <c r="CW282" s="478"/>
      <c r="CX282" s="478"/>
      <c r="CY282" s="478"/>
      <c r="CZ282" s="478"/>
      <c r="DA282" s="478"/>
      <c r="DB282" s="478"/>
      <c r="DC282" s="478"/>
      <c r="DD282" s="478"/>
      <c r="DE282" s="478"/>
      <c r="DF282" s="478"/>
      <c r="DG282" s="478"/>
      <c r="DH282" s="478"/>
      <c r="DI282" s="478"/>
    </row>
    <row r="283" spans="1:113" ht="16.05" hidden="1" customHeight="1" outlineLevel="1" x14ac:dyDescent="0.3">
      <c r="A283" s="455" t="str">
        <f t="shared" si="1091"/>
        <v/>
      </c>
      <c r="B283" s="455"/>
      <c r="C283" s="481"/>
      <c r="D283" s="463" t="s">
        <v>904</v>
      </c>
      <c r="E283" s="482"/>
      <c r="F283" s="483"/>
      <c r="G283" s="484"/>
      <c r="H283" s="485"/>
      <c r="I283" s="466">
        <f t="shared" si="1173"/>
        <v>0</v>
      </c>
      <c r="J283" s="259"/>
      <c r="K283" s="478">
        <f t="shared" si="1169"/>
        <v>0</v>
      </c>
      <c r="L283" s="466">
        <f t="shared" si="1170"/>
        <v>0</v>
      </c>
      <c r="M283" s="257"/>
      <c r="N283" s="478"/>
      <c r="O283" s="478"/>
      <c r="P283" s="478"/>
      <c r="Q283" s="478"/>
      <c r="R283" s="478"/>
      <c r="S283" s="478"/>
      <c r="T283" s="478"/>
      <c r="U283" s="478"/>
      <c r="V283" s="478"/>
      <c r="W283" s="478"/>
      <c r="X283" s="478"/>
      <c r="Y283" s="478"/>
      <c r="Z283" s="478"/>
      <c r="AA283" s="478"/>
      <c r="AB283" s="478"/>
      <c r="AC283" s="478"/>
      <c r="AD283" s="478"/>
      <c r="AE283" s="478"/>
      <c r="AF283" s="478"/>
      <c r="AG283" s="478"/>
      <c r="AH283" s="478"/>
      <c r="AI283" s="478"/>
      <c r="AJ283" s="478"/>
      <c r="AK283" s="478"/>
      <c r="AL283" s="478"/>
      <c r="AM283" s="478"/>
      <c r="AN283" s="478"/>
      <c r="AO283" s="478"/>
      <c r="AP283" s="478"/>
      <c r="AQ283" s="478"/>
      <c r="AR283" s="478"/>
      <c r="AS283" s="478"/>
      <c r="AT283" s="478"/>
      <c r="AU283" s="478"/>
      <c r="AV283" s="478"/>
      <c r="AW283" s="478"/>
      <c r="AX283" s="478"/>
      <c r="AY283" s="478"/>
      <c r="AZ283" s="478"/>
      <c r="BA283" s="478"/>
      <c r="BB283" s="478"/>
      <c r="BC283" s="478"/>
      <c r="BD283" s="478"/>
      <c r="BE283" s="478"/>
      <c r="BF283" s="478"/>
      <c r="BG283" s="478"/>
      <c r="BH283" s="478"/>
      <c r="BI283" s="478"/>
      <c r="BJ283" s="245"/>
      <c r="BK283" s="477">
        <f t="shared" si="1171"/>
        <v>0</v>
      </c>
      <c r="BL283" s="466">
        <f t="shared" si="1172"/>
        <v>0</v>
      </c>
      <c r="BM283" s="257"/>
      <c r="BN283" s="478"/>
      <c r="BO283" s="478"/>
      <c r="BP283" s="478"/>
      <c r="BQ283" s="478"/>
      <c r="BR283" s="478"/>
      <c r="BS283" s="478"/>
      <c r="BT283" s="478"/>
      <c r="BU283" s="478"/>
      <c r="BV283" s="478"/>
      <c r="BW283" s="478"/>
      <c r="BX283" s="478"/>
      <c r="BY283" s="478"/>
      <c r="BZ283" s="478"/>
      <c r="CA283" s="478"/>
      <c r="CB283" s="478"/>
      <c r="CC283" s="478"/>
      <c r="CD283" s="478"/>
      <c r="CE283" s="478"/>
      <c r="CF283" s="478"/>
      <c r="CG283" s="478"/>
      <c r="CH283" s="478"/>
      <c r="CI283" s="478"/>
      <c r="CJ283" s="478"/>
      <c r="CK283" s="478"/>
      <c r="CL283" s="478"/>
      <c r="CM283" s="478"/>
      <c r="CN283" s="478"/>
      <c r="CO283" s="478"/>
      <c r="CP283" s="478"/>
      <c r="CQ283" s="478"/>
      <c r="CR283" s="478"/>
      <c r="CS283" s="478"/>
      <c r="CT283" s="478"/>
      <c r="CU283" s="478"/>
      <c r="CV283" s="478"/>
      <c r="CW283" s="478"/>
      <c r="CX283" s="478"/>
      <c r="CY283" s="478"/>
      <c r="CZ283" s="478"/>
      <c r="DA283" s="478"/>
      <c r="DB283" s="478"/>
      <c r="DC283" s="478"/>
      <c r="DD283" s="478"/>
      <c r="DE283" s="478"/>
      <c r="DF283" s="478"/>
      <c r="DG283" s="478"/>
      <c r="DH283" s="478"/>
      <c r="DI283" s="478"/>
    </row>
    <row r="284" spans="1:113" ht="16.05" hidden="1" customHeight="1" outlineLevel="1" x14ac:dyDescent="0.3">
      <c r="A284" s="455" t="str">
        <f t="shared" si="1091"/>
        <v/>
      </c>
      <c r="B284" s="455"/>
      <c r="C284" s="481"/>
      <c r="D284" s="463" t="s">
        <v>905</v>
      </c>
      <c r="E284" s="482"/>
      <c r="F284" s="483"/>
      <c r="G284" s="484"/>
      <c r="H284" s="485"/>
      <c r="I284" s="466">
        <f t="shared" si="1173"/>
        <v>0</v>
      </c>
      <c r="J284" s="259"/>
      <c r="K284" s="478">
        <f t="shared" si="1169"/>
        <v>0</v>
      </c>
      <c r="L284" s="466">
        <f t="shared" si="1170"/>
        <v>0</v>
      </c>
      <c r="M284" s="257"/>
      <c r="N284" s="478"/>
      <c r="O284" s="478"/>
      <c r="P284" s="478"/>
      <c r="Q284" s="478"/>
      <c r="R284" s="478"/>
      <c r="S284" s="478"/>
      <c r="T284" s="478"/>
      <c r="U284" s="478"/>
      <c r="V284" s="478"/>
      <c r="W284" s="478"/>
      <c r="X284" s="478"/>
      <c r="Y284" s="478"/>
      <c r="Z284" s="478"/>
      <c r="AA284" s="478"/>
      <c r="AB284" s="478"/>
      <c r="AC284" s="478"/>
      <c r="AD284" s="478"/>
      <c r="AE284" s="478"/>
      <c r="AF284" s="478"/>
      <c r="AG284" s="478"/>
      <c r="AH284" s="478"/>
      <c r="AI284" s="478"/>
      <c r="AJ284" s="478"/>
      <c r="AK284" s="478"/>
      <c r="AL284" s="478"/>
      <c r="AM284" s="478"/>
      <c r="AN284" s="478"/>
      <c r="AO284" s="478"/>
      <c r="AP284" s="478"/>
      <c r="AQ284" s="478"/>
      <c r="AR284" s="478"/>
      <c r="AS284" s="478"/>
      <c r="AT284" s="478"/>
      <c r="AU284" s="478"/>
      <c r="AV284" s="478"/>
      <c r="AW284" s="478"/>
      <c r="AX284" s="478"/>
      <c r="AY284" s="478"/>
      <c r="AZ284" s="478"/>
      <c r="BA284" s="478"/>
      <c r="BB284" s="478"/>
      <c r="BC284" s="478"/>
      <c r="BD284" s="478"/>
      <c r="BE284" s="478"/>
      <c r="BF284" s="478"/>
      <c r="BG284" s="478"/>
      <c r="BH284" s="478"/>
      <c r="BI284" s="478"/>
      <c r="BJ284" s="245"/>
      <c r="BK284" s="477">
        <f t="shared" si="1171"/>
        <v>0</v>
      </c>
      <c r="BL284" s="466">
        <f t="shared" si="1172"/>
        <v>0</v>
      </c>
      <c r="BM284" s="257"/>
      <c r="BN284" s="478"/>
      <c r="BO284" s="478"/>
      <c r="BP284" s="478"/>
      <c r="BQ284" s="478"/>
      <c r="BR284" s="478"/>
      <c r="BS284" s="478"/>
      <c r="BT284" s="478"/>
      <c r="BU284" s="478"/>
      <c r="BV284" s="478"/>
      <c r="BW284" s="478"/>
      <c r="BX284" s="478"/>
      <c r="BY284" s="478"/>
      <c r="BZ284" s="478"/>
      <c r="CA284" s="478"/>
      <c r="CB284" s="478"/>
      <c r="CC284" s="478"/>
      <c r="CD284" s="478"/>
      <c r="CE284" s="478"/>
      <c r="CF284" s="478"/>
      <c r="CG284" s="478"/>
      <c r="CH284" s="478"/>
      <c r="CI284" s="478"/>
      <c r="CJ284" s="478"/>
      <c r="CK284" s="478"/>
      <c r="CL284" s="478"/>
      <c r="CM284" s="478"/>
      <c r="CN284" s="478"/>
      <c r="CO284" s="478"/>
      <c r="CP284" s="478"/>
      <c r="CQ284" s="478"/>
      <c r="CR284" s="478"/>
      <c r="CS284" s="478"/>
      <c r="CT284" s="478"/>
      <c r="CU284" s="478"/>
      <c r="CV284" s="478"/>
      <c r="CW284" s="478"/>
      <c r="CX284" s="478"/>
      <c r="CY284" s="478"/>
      <c r="CZ284" s="478"/>
      <c r="DA284" s="478"/>
      <c r="DB284" s="478"/>
      <c r="DC284" s="478"/>
      <c r="DD284" s="478"/>
      <c r="DE284" s="478"/>
      <c r="DF284" s="478"/>
      <c r="DG284" s="478"/>
      <c r="DH284" s="478"/>
      <c r="DI284" s="478"/>
    </row>
    <row r="285" spans="1:113" ht="16.05" hidden="1" customHeight="1" outlineLevel="1" x14ac:dyDescent="0.3">
      <c r="A285" s="455" t="str">
        <f t="shared" si="1091"/>
        <v/>
      </c>
      <c r="B285" s="455"/>
      <c r="C285" s="481"/>
      <c r="D285" s="463" t="s">
        <v>906</v>
      </c>
      <c r="E285" s="482"/>
      <c r="F285" s="483"/>
      <c r="G285" s="484"/>
      <c r="H285" s="485"/>
      <c r="I285" s="466">
        <f t="shared" si="1173"/>
        <v>0</v>
      </c>
      <c r="J285" s="259"/>
      <c r="K285" s="478">
        <f t="shared" si="1169"/>
        <v>0</v>
      </c>
      <c r="L285" s="466">
        <f t="shared" si="1170"/>
        <v>0</v>
      </c>
      <c r="M285" s="257"/>
      <c r="N285" s="478"/>
      <c r="O285" s="478"/>
      <c r="P285" s="478"/>
      <c r="Q285" s="478"/>
      <c r="R285" s="478"/>
      <c r="S285" s="478"/>
      <c r="T285" s="478"/>
      <c r="U285" s="478"/>
      <c r="V285" s="478"/>
      <c r="W285" s="478"/>
      <c r="X285" s="478"/>
      <c r="Y285" s="478"/>
      <c r="Z285" s="478"/>
      <c r="AA285" s="478"/>
      <c r="AB285" s="478"/>
      <c r="AC285" s="478"/>
      <c r="AD285" s="478"/>
      <c r="AE285" s="478"/>
      <c r="AF285" s="478"/>
      <c r="AG285" s="478"/>
      <c r="AH285" s="478"/>
      <c r="AI285" s="478"/>
      <c r="AJ285" s="478"/>
      <c r="AK285" s="478"/>
      <c r="AL285" s="478"/>
      <c r="AM285" s="478"/>
      <c r="AN285" s="478"/>
      <c r="AO285" s="478"/>
      <c r="AP285" s="478"/>
      <c r="AQ285" s="478"/>
      <c r="AR285" s="478"/>
      <c r="AS285" s="478"/>
      <c r="AT285" s="478"/>
      <c r="AU285" s="478"/>
      <c r="AV285" s="478"/>
      <c r="AW285" s="478"/>
      <c r="AX285" s="478"/>
      <c r="AY285" s="478"/>
      <c r="AZ285" s="478"/>
      <c r="BA285" s="478"/>
      <c r="BB285" s="478"/>
      <c r="BC285" s="478"/>
      <c r="BD285" s="478"/>
      <c r="BE285" s="478"/>
      <c r="BF285" s="478"/>
      <c r="BG285" s="478"/>
      <c r="BH285" s="478"/>
      <c r="BI285" s="478"/>
      <c r="BJ285" s="245"/>
      <c r="BK285" s="477">
        <f t="shared" si="1171"/>
        <v>0</v>
      </c>
      <c r="BL285" s="466">
        <f t="shared" si="1172"/>
        <v>0</v>
      </c>
      <c r="BM285" s="257"/>
      <c r="BN285" s="478"/>
      <c r="BO285" s="478"/>
      <c r="BP285" s="478"/>
      <c r="BQ285" s="478"/>
      <c r="BR285" s="478"/>
      <c r="BS285" s="478"/>
      <c r="BT285" s="478"/>
      <c r="BU285" s="478"/>
      <c r="BV285" s="478"/>
      <c r="BW285" s="478"/>
      <c r="BX285" s="478"/>
      <c r="BY285" s="478"/>
      <c r="BZ285" s="478"/>
      <c r="CA285" s="478"/>
      <c r="CB285" s="478"/>
      <c r="CC285" s="478"/>
      <c r="CD285" s="478"/>
      <c r="CE285" s="478"/>
      <c r="CF285" s="478"/>
      <c r="CG285" s="478"/>
      <c r="CH285" s="478"/>
      <c r="CI285" s="478"/>
      <c r="CJ285" s="478"/>
      <c r="CK285" s="478"/>
      <c r="CL285" s="478"/>
      <c r="CM285" s="478"/>
      <c r="CN285" s="478"/>
      <c r="CO285" s="478"/>
      <c r="CP285" s="478"/>
      <c r="CQ285" s="478"/>
      <c r="CR285" s="478"/>
      <c r="CS285" s="478"/>
      <c r="CT285" s="478"/>
      <c r="CU285" s="478"/>
      <c r="CV285" s="478"/>
      <c r="CW285" s="478"/>
      <c r="CX285" s="478"/>
      <c r="CY285" s="478"/>
      <c r="CZ285" s="478"/>
      <c r="DA285" s="478"/>
      <c r="DB285" s="478"/>
      <c r="DC285" s="478"/>
      <c r="DD285" s="478"/>
      <c r="DE285" s="478"/>
      <c r="DF285" s="478"/>
      <c r="DG285" s="478"/>
      <c r="DH285" s="478"/>
      <c r="DI285" s="478"/>
    </row>
    <row r="286" spans="1:113" ht="16.05" hidden="1" customHeight="1" outlineLevel="1" x14ac:dyDescent="0.3">
      <c r="A286" s="455" t="str">
        <f t="shared" si="1091"/>
        <v/>
      </c>
      <c r="B286" s="455"/>
      <c r="C286" s="481"/>
      <c r="D286" s="463" t="s">
        <v>907</v>
      </c>
      <c r="E286" s="482"/>
      <c r="F286" s="483"/>
      <c r="G286" s="484"/>
      <c r="H286" s="485"/>
      <c r="I286" s="466">
        <f t="shared" si="1173"/>
        <v>0</v>
      </c>
      <c r="J286" s="259"/>
      <c r="K286" s="478">
        <f t="shared" si="1169"/>
        <v>0</v>
      </c>
      <c r="L286" s="466">
        <f t="shared" si="1170"/>
        <v>0</v>
      </c>
      <c r="M286" s="257"/>
      <c r="N286" s="478"/>
      <c r="O286" s="478"/>
      <c r="P286" s="478"/>
      <c r="Q286" s="478"/>
      <c r="R286" s="478"/>
      <c r="S286" s="478"/>
      <c r="T286" s="478"/>
      <c r="U286" s="478"/>
      <c r="V286" s="478"/>
      <c r="W286" s="478"/>
      <c r="X286" s="478"/>
      <c r="Y286" s="478"/>
      <c r="Z286" s="478"/>
      <c r="AA286" s="478"/>
      <c r="AB286" s="478"/>
      <c r="AC286" s="478"/>
      <c r="AD286" s="478"/>
      <c r="AE286" s="478"/>
      <c r="AF286" s="478"/>
      <c r="AG286" s="478"/>
      <c r="AH286" s="478"/>
      <c r="AI286" s="478"/>
      <c r="AJ286" s="478"/>
      <c r="AK286" s="478"/>
      <c r="AL286" s="478"/>
      <c r="AM286" s="478"/>
      <c r="AN286" s="478"/>
      <c r="AO286" s="478"/>
      <c r="AP286" s="478"/>
      <c r="AQ286" s="478"/>
      <c r="AR286" s="478"/>
      <c r="AS286" s="478"/>
      <c r="AT286" s="478"/>
      <c r="AU286" s="478"/>
      <c r="AV286" s="478"/>
      <c r="AW286" s="478"/>
      <c r="AX286" s="478"/>
      <c r="AY286" s="478"/>
      <c r="AZ286" s="478"/>
      <c r="BA286" s="478"/>
      <c r="BB286" s="478"/>
      <c r="BC286" s="478"/>
      <c r="BD286" s="478"/>
      <c r="BE286" s="478"/>
      <c r="BF286" s="478"/>
      <c r="BG286" s="478"/>
      <c r="BH286" s="478"/>
      <c r="BI286" s="478"/>
      <c r="BJ286" s="245"/>
      <c r="BK286" s="477">
        <f t="shared" si="1171"/>
        <v>0</v>
      </c>
      <c r="BL286" s="466">
        <f t="shared" si="1172"/>
        <v>0</v>
      </c>
      <c r="BM286" s="257"/>
      <c r="BN286" s="478"/>
      <c r="BO286" s="478"/>
      <c r="BP286" s="478"/>
      <c r="BQ286" s="478"/>
      <c r="BR286" s="478"/>
      <c r="BS286" s="478"/>
      <c r="BT286" s="478"/>
      <c r="BU286" s="478"/>
      <c r="BV286" s="478"/>
      <c r="BW286" s="478"/>
      <c r="BX286" s="478"/>
      <c r="BY286" s="478"/>
      <c r="BZ286" s="478"/>
      <c r="CA286" s="478"/>
      <c r="CB286" s="478"/>
      <c r="CC286" s="478"/>
      <c r="CD286" s="478"/>
      <c r="CE286" s="478"/>
      <c r="CF286" s="478"/>
      <c r="CG286" s="478"/>
      <c r="CH286" s="478"/>
      <c r="CI286" s="478"/>
      <c r="CJ286" s="478"/>
      <c r="CK286" s="478"/>
      <c r="CL286" s="478"/>
      <c r="CM286" s="478"/>
      <c r="CN286" s="478"/>
      <c r="CO286" s="478"/>
      <c r="CP286" s="478"/>
      <c r="CQ286" s="478"/>
      <c r="CR286" s="478"/>
      <c r="CS286" s="478"/>
      <c r="CT286" s="478"/>
      <c r="CU286" s="478"/>
      <c r="CV286" s="478"/>
      <c r="CW286" s="478"/>
      <c r="CX286" s="478"/>
      <c r="CY286" s="478"/>
      <c r="CZ286" s="478"/>
      <c r="DA286" s="478"/>
      <c r="DB286" s="478"/>
      <c r="DC286" s="478"/>
      <c r="DD286" s="478"/>
      <c r="DE286" s="478"/>
      <c r="DF286" s="478"/>
      <c r="DG286" s="478"/>
      <c r="DH286" s="478"/>
      <c r="DI286" s="478"/>
    </row>
    <row r="287" spans="1:113" ht="16.05" hidden="1" customHeight="1" outlineLevel="1" x14ac:dyDescent="0.3">
      <c r="A287" s="455" t="str">
        <f t="shared" si="1091"/>
        <v/>
      </c>
      <c r="B287" s="455"/>
      <c r="C287" s="481"/>
      <c r="D287" s="463" t="s">
        <v>908</v>
      </c>
      <c r="E287" s="482"/>
      <c r="F287" s="483"/>
      <c r="G287" s="484"/>
      <c r="H287" s="485"/>
      <c r="I287" s="466">
        <f t="shared" si="1173"/>
        <v>0</v>
      </c>
      <c r="J287" s="259"/>
      <c r="K287" s="478">
        <f t="shared" si="1169"/>
        <v>0</v>
      </c>
      <c r="L287" s="466">
        <f t="shared" si="1170"/>
        <v>0</v>
      </c>
      <c r="M287" s="257"/>
      <c r="N287" s="478"/>
      <c r="O287" s="478"/>
      <c r="P287" s="478"/>
      <c r="Q287" s="478"/>
      <c r="R287" s="478"/>
      <c r="S287" s="478"/>
      <c r="T287" s="478"/>
      <c r="U287" s="478"/>
      <c r="V287" s="478"/>
      <c r="W287" s="478"/>
      <c r="X287" s="478"/>
      <c r="Y287" s="478"/>
      <c r="Z287" s="478"/>
      <c r="AA287" s="478"/>
      <c r="AB287" s="478"/>
      <c r="AC287" s="478"/>
      <c r="AD287" s="478"/>
      <c r="AE287" s="478"/>
      <c r="AF287" s="478"/>
      <c r="AG287" s="478"/>
      <c r="AH287" s="478"/>
      <c r="AI287" s="478"/>
      <c r="AJ287" s="478"/>
      <c r="AK287" s="478"/>
      <c r="AL287" s="478"/>
      <c r="AM287" s="478"/>
      <c r="AN287" s="478"/>
      <c r="AO287" s="478"/>
      <c r="AP287" s="478"/>
      <c r="AQ287" s="478"/>
      <c r="AR287" s="478"/>
      <c r="AS287" s="478"/>
      <c r="AT287" s="478"/>
      <c r="AU287" s="478"/>
      <c r="AV287" s="478"/>
      <c r="AW287" s="478"/>
      <c r="AX287" s="478"/>
      <c r="AY287" s="478"/>
      <c r="AZ287" s="478"/>
      <c r="BA287" s="478"/>
      <c r="BB287" s="478"/>
      <c r="BC287" s="478"/>
      <c r="BD287" s="478"/>
      <c r="BE287" s="478"/>
      <c r="BF287" s="478"/>
      <c r="BG287" s="478"/>
      <c r="BH287" s="478"/>
      <c r="BI287" s="478"/>
      <c r="BJ287" s="245"/>
      <c r="BK287" s="477">
        <f t="shared" si="1171"/>
        <v>0</v>
      </c>
      <c r="BL287" s="466">
        <f t="shared" si="1172"/>
        <v>0</v>
      </c>
      <c r="BM287" s="257"/>
      <c r="BN287" s="478"/>
      <c r="BO287" s="478"/>
      <c r="BP287" s="478"/>
      <c r="BQ287" s="478"/>
      <c r="BR287" s="478"/>
      <c r="BS287" s="478"/>
      <c r="BT287" s="478"/>
      <c r="BU287" s="478"/>
      <c r="BV287" s="478"/>
      <c r="BW287" s="478"/>
      <c r="BX287" s="478"/>
      <c r="BY287" s="478"/>
      <c r="BZ287" s="478"/>
      <c r="CA287" s="478"/>
      <c r="CB287" s="478"/>
      <c r="CC287" s="478"/>
      <c r="CD287" s="478"/>
      <c r="CE287" s="478"/>
      <c r="CF287" s="478"/>
      <c r="CG287" s="478"/>
      <c r="CH287" s="478"/>
      <c r="CI287" s="478"/>
      <c r="CJ287" s="478"/>
      <c r="CK287" s="478"/>
      <c r="CL287" s="478"/>
      <c r="CM287" s="478"/>
      <c r="CN287" s="478"/>
      <c r="CO287" s="478"/>
      <c r="CP287" s="478"/>
      <c r="CQ287" s="478"/>
      <c r="CR287" s="478"/>
      <c r="CS287" s="478"/>
      <c r="CT287" s="478"/>
      <c r="CU287" s="478"/>
      <c r="CV287" s="478"/>
      <c r="CW287" s="478"/>
      <c r="CX287" s="478"/>
      <c r="CY287" s="478"/>
      <c r="CZ287" s="478"/>
      <c r="DA287" s="478"/>
      <c r="DB287" s="478"/>
      <c r="DC287" s="478"/>
      <c r="DD287" s="478"/>
      <c r="DE287" s="478"/>
      <c r="DF287" s="478"/>
      <c r="DG287" s="478"/>
      <c r="DH287" s="478"/>
      <c r="DI287" s="478"/>
    </row>
    <row r="288" spans="1:113" ht="16.05" hidden="1" customHeight="1" outlineLevel="1" x14ac:dyDescent="0.3">
      <c r="A288" s="455" t="str">
        <f t="shared" si="1091"/>
        <v/>
      </c>
      <c r="B288" s="455"/>
      <c r="C288" s="481"/>
      <c r="D288" s="463" t="s">
        <v>909</v>
      </c>
      <c r="E288" s="482"/>
      <c r="F288" s="483"/>
      <c r="G288" s="484"/>
      <c r="H288" s="485"/>
      <c r="I288" s="466">
        <f t="shared" si="1173"/>
        <v>0</v>
      </c>
      <c r="J288" s="259"/>
      <c r="K288" s="478">
        <f t="shared" si="1169"/>
        <v>0</v>
      </c>
      <c r="L288" s="466">
        <f t="shared" si="1170"/>
        <v>0</v>
      </c>
      <c r="M288" s="257"/>
      <c r="N288" s="478"/>
      <c r="O288" s="478"/>
      <c r="P288" s="478"/>
      <c r="Q288" s="478"/>
      <c r="R288" s="478"/>
      <c r="S288" s="478"/>
      <c r="T288" s="478"/>
      <c r="U288" s="478"/>
      <c r="V288" s="478"/>
      <c r="W288" s="478"/>
      <c r="X288" s="478"/>
      <c r="Y288" s="478"/>
      <c r="Z288" s="478"/>
      <c r="AA288" s="478"/>
      <c r="AB288" s="478"/>
      <c r="AC288" s="478"/>
      <c r="AD288" s="478"/>
      <c r="AE288" s="478"/>
      <c r="AF288" s="478"/>
      <c r="AG288" s="478"/>
      <c r="AH288" s="478"/>
      <c r="AI288" s="478"/>
      <c r="AJ288" s="478"/>
      <c r="AK288" s="478"/>
      <c r="AL288" s="478"/>
      <c r="AM288" s="478"/>
      <c r="AN288" s="478"/>
      <c r="AO288" s="478"/>
      <c r="AP288" s="478"/>
      <c r="AQ288" s="478"/>
      <c r="AR288" s="478"/>
      <c r="AS288" s="478"/>
      <c r="AT288" s="478"/>
      <c r="AU288" s="478"/>
      <c r="AV288" s="478"/>
      <c r="AW288" s="478"/>
      <c r="AX288" s="478"/>
      <c r="AY288" s="478"/>
      <c r="AZ288" s="478"/>
      <c r="BA288" s="478"/>
      <c r="BB288" s="478"/>
      <c r="BC288" s="478"/>
      <c r="BD288" s="478"/>
      <c r="BE288" s="478"/>
      <c r="BF288" s="478"/>
      <c r="BG288" s="478"/>
      <c r="BH288" s="478"/>
      <c r="BI288" s="478"/>
      <c r="BJ288" s="245"/>
      <c r="BK288" s="477">
        <f t="shared" si="1171"/>
        <v>0</v>
      </c>
      <c r="BL288" s="466">
        <f t="shared" si="1172"/>
        <v>0</v>
      </c>
      <c r="BM288" s="257"/>
      <c r="BN288" s="478"/>
      <c r="BO288" s="478"/>
      <c r="BP288" s="478"/>
      <c r="BQ288" s="478"/>
      <c r="BR288" s="478"/>
      <c r="BS288" s="478"/>
      <c r="BT288" s="478"/>
      <c r="BU288" s="478"/>
      <c r="BV288" s="478"/>
      <c r="BW288" s="478"/>
      <c r="BX288" s="478"/>
      <c r="BY288" s="478"/>
      <c r="BZ288" s="478"/>
      <c r="CA288" s="478"/>
      <c r="CB288" s="478"/>
      <c r="CC288" s="478"/>
      <c r="CD288" s="478"/>
      <c r="CE288" s="478"/>
      <c r="CF288" s="478"/>
      <c r="CG288" s="478"/>
      <c r="CH288" s="478"/>
      <c r="CI288" s="478"/>
      <c r="CJ288" s="478"/>
      <c r="CK288" s="478"/>
      <c r="CL288" s="478"/>
      <c r="CM288" s="478"/>
      <c r="CN288" s="478"/>
      <c r="CO288" s="478"/>
      <c r="CP288" s="478"/>
      <c r="CQ288" s="478"/>
      <c r="CR288" s="478"/>
      <c r="CS288" s="478"/>
      <c r="CT288" s="478"/>
      <c r="CU288" s="478"/>
      <c r="CV288" s="478"/>
      <c r="CW288" s="478"/>
      <c r="CX288" s="478"/>
      <c r="CY288" s="478"/>
      <c r="CZ288" s="478"/>
      <c r="DA288" s="478"/>
      <c r="DB288" s="478"/>
      <c r="DC288" s="478"/>
      <c r="DD288" s="478"/>
      <c r="DE288" s="478"/>
      <c r="DF288" s="478"/>
      <c r="DG288" s="478"/>
      <c r="DH288" s="478"/>
      <c r="DI288" s="478"/>
    </row>
    <row r="289" spans="1:113" ht="16.05" hidden="1" customHeight="1" outlineLevel="1" x14ac:dyDescent="0.3">
      <c r="A289" s="455" t="str">
        <f t="shared" si="1091"/>
        <v/>
      </c>
      <c r="B289" s="455"/>
      <c r="C289" s="481"/>
      <c r="D289" s="463" t="s">
        <v>910</v>
      </c>
      <c r="E289" s="482"/>
      <c r="F289" s="483"/>
      <c r="G289" s="484"/>
      <c r="H289" s="485"/>
      <c r="I289" s="466">
        <f t="shared" si="1173"/>
        <v>0</v>
      </c>
      <c r="J289" s="259"/>
      <c r="K289" s="478">
        <f t="shared" si="1169"/>
        <v>0</v>
      </c>
      <c r="L289" s="466">
        <f t="shared" si="1170"/>
        <v>0</v>
      </c>
      <c r="M289" s="257"/>
      <c r="N289" s="478"/>
      <c r="O289" s="478"/>
      <c r="P289" s="478"/>
      <c r="Q289" s="478"/>
      <c r="R289" s="478"/>
      <c r="S289" s="478"/>
      <c r="T289" s="478"/>
      <c r="U289" s="478"/>
      <c r="V289" s="478"/>
      <c r="W289" s="478"/>
      <c r="X289" s="478"/>
      <c r="Y289" s="478"/>
      <c r="Z289" s="478"/>
      <c r="AA289" s="478"/>
      <c r="AB289" s="478"/>
      <c r="AC289" s="478"/>
      <c r="AD289" s="478"/>
      <c r="AE289" s="478"/>
      <c r="AF289" s="478"/>
      <c r="AG289" s="478"/>
      <c r="AH289" s="478"/>
      <c r="AI289" s="478"/>
      <c r="AJ289" s="478"/>
      <c r="AK289" s="478"/>
      <c r="AL289" s="478"/>
      <c r="AM289" s="478"/>
      <c r="AN289" s="478"/>
      <c r="AO289" s="478"/>
      <c r="AP289" s="478"/>
      <c r="AQ289" s="478"/>
      <c r="AR289" s="478"/>
      <c r="AS289" s="478"/>
      <c r="AT289" s="478"/>
      <c r="AU289" s="478"/>
      <c r="AV289" s="478"/>
      <c r="AW289" s="478"/>
      <c r="AX289" s="478"/>
      <c r="AY289" s="478"/>
      <c r="AZ289" s="478"/>
      <c r="BA289" s="478"/>
      <c r="BB289" s="478"/>
      <c r="BC289" s="478"/>
      <c r="BD289" s="478"/>
      <c r="BE289" s="478"/>
      <c r="BF289" s="478"/>
      <c r="BG289" s="478"/>
      <c r="BH289" s="478"/>
      <c r="BI289" s="478"/>
      <c r="BJ289" s="245"/>
      <c r="BK289" s="477">
        <f t="shared" si="1171"/>
        <v>0</v>
      </c>
      <c r="BL289" s="466">
        <f t="shared" si="1172"/>
        <v>0</v>
      </c>
      <c r="BM289" s="257"/>
      <c r="BN289" s="478"/>
      <c r="BO289" s="478"/>
      <c r="BP289" s="478"/>
      <c r="BQ289" s="478"/>
      <c r="BR289" s="478"/>
      <c r="BS289" s="478"/>
      <c r="BT289" s="478"/>
      <c r="BU289" s="478"/>
      <c r="BV289" s="478"/>
      <c r="BW289" s="478"/>
      <c r="BX289" s="478"/>
      <c r="BY289" s="478"/>
      <c r="BZ289" s="478"/>
      <c r="CA289" s="478"/>
      <c r="CB289" s="478"/>
      <c r="CC289" s="478"/>
      <c r="CD289" s="478"/>
      <c r="CE289" s="478"/>
      <c r="CF289" s="478"/>
      <c r="CG289" s="478"/>
      <c r="CH289" s="478"/>
      <c r="CI289" s="478"/>
      <c r="CJ289" s="478"/>
      <c r="CK289" s="478"/>
      <c r="CL289" s="478"/>
      <c r="CM289" s="478"/>
      <c r="CN289" s="478"/>
      <c r="CO289" s="478"/>
      <c r="CP289" s="478"/>
      <c r="CQ289" s="478"/>
      <c r="CR289" s="478"/>
      <c r="CS289" s="478"/>
      <c r="CT289" s="478"/>
      <c r="CU289" s="478"/>
      <c r="CV289" s="478"/>
      <c r="CW289" s="478"/>
      <c r="CX289" s="478"/>
      <c r="CY289" s="478"/>
      <c r="CZ289" s="478"/>
      <c r="DA289" s="478"/>
      <c r="DB289" s="478"/>
      <c r="DC289" s="478"/>
      <c r="DD289" s="478"/>
      <c r="DE289" s="478"/>
      <c r="DF289" s="478"/>
      <c r="DG289" s="478"/>
      <c r="DH289" s="478"/>
      <c r="DI289" s="478"/>
    </row>
    <row r="290" spans="1:113" ht="16.05" hidden="1" customHeight="1" outlineLevel="1" x14ac:dyDescent="0.3">
      <c r="A290" s="455" t="str">
        <f t="shared" si="1091"/>
        <v/>
      </c>
      <c r="B290" s="455"/>
      <c r="C290" s="481"/>
      <c r="D290" s="463" t="s">
        <v>911</v>
      </c>
      <c r="E290" s="482"/>
      <c r="F290" s="483"/>
      <c r="G290" s="484"/>
      <c r="H290" s="485"/>
      <c r="I290" s="466">
        <f t="shared" si="1173"/>
        <v>0</v>
      </c>
      <c r="J290" s="259"/>
      <c r="K290" s="478">
        <f t="shared" si="1169"/>
        <v>0</v>
      </c>
      <c r="L290" s="466">
        <f t="shared" si="1170"/>
        <v>0</v>
      </c>
      <c r="M290" s="257"/>
      <c r="N290" s="478"/>
      <c r="O290" s="478"/>
      <c r="P290" s="478"/>
      <c r="Q290" s="478"/>
      <c r="R290" s="478"/>
      <c r="S290" s="478"/>
      <c r="T290" s="478"/>
      <c r="U290" s="478"/>
      <c r="V290" s="478"/>
      <c r="W290" s="478"/>
      <c r="X290" s="478"/>
      <c r="Y290" s="478"/>
      <c r="Z290" s="478"/>
      <c r="AA290" s="478"/>
      <c r="AB290" s="478"/>
      <c r="AC290" s="478"/>
      <c r="AD290" s="478"/>
      <c r="AE290" s="478"/>
      <c r="AF290" s="478"/>
      <c r="AG290" s="478"/>
      <c r="AH290" s="478"/>
      <c r="AI290" s="478"/>
      <c r="AJ290" s="478"/>
      <c r="AK290" s="478"/>
      <c r="AL290" s="478"/>
      <c r="AM290" s="478"/>
      <c r="AN290" s="478"/>
      <c r="AO290" s="478"/>
      <c r="AP290" s="478"/>
      <c r="AQ290" s="478"/>
      <c r="AR290" s="478"/>
      <c r="AS290" s="478"/>
      <c r="AT290" s="478"/>
      <c r="AU290" s="478"/>
      <c r="AV290" s="478"/>
      <c r="AW290" s="478"/>
      <c r="AX290" s="478"/>
      <c r="AY290" s="478"/>
      <c r="AZ290" s="478"/>
      <c r="BA290" s="478"/>
      <c r="BB290" s="478"/>
      <c r="BC290" s="478"/>
      <c r="BD290" s="478"/>
      <c r="BE290" s="478"/>
      <c r="BF290" s="478"/>
      <c r="BG290" s="478"/>
      <c r="BH290" s="478"/>
      <c r="BI290" s="478"/>
      <c r="BJ290" s="245"/>
      <c r="BK290" s="477">
        <f t="shared" si="1171"/>
        <v>0</v>
      </c>
      <c r="BL290" s="466">
        <f t="shared" si="1172"/>
        <v>0</v>
      </c>
      <c r="BM290" s="257"/>
      <c r="BN290" s="478"/>
      <c r="BO290" s="478"/>
      <c r="BP290" s="478"/>
      <c r="BQ290" s="478"/>
      <c r="BR290" s="478"/>
      <c r="BS290" s="478"/>
      <c r="BT290" s="478"/>
      <c r="BU290" s="478"/>
      <c r="BV290" s="478"/>
      <c r="BW290" s="478"/>
      <c r="BX290" s="478"/>
      <c r="BY290" s="478"/>
      <c r="BZ290" s="478"/>
      <c r="CA290" s="478"/>
      <c r="CB290" s="478"/>
      <c r="CC290" s="478"/>
      <c r="CD290" s="478"/>
      <c r="CE290" s="478"/>
      <c r="CF290" s="478"/>
      <c r="CG290" s="478"/>
      <c r="CH290" s="478"/>
      <c r="CI290" s="478"/>
      <c r="CJ290" s="478"/>
      <c r="CK290" s="478"/>
      <c r="CL290" s="478"/>
      <c r="CM290" s="478"/>
      <c r="CN290" s="478"/>
      <c r="CO290" s="478"/>
      <c r="CP290" s="478"/>
      <c r="CQ290" s="478"/>
      <c r="CR290" s="478"/>
      <c r="CS290" s="478"/>
      <c r="CT290" s="478"/>
      <c r="CU290" s="478"/>
      <c r="CV290" s="478"/>
      <c r="CW290" s="478"/>
      <c r="CX290" s="478"/>
      <c r="CY290" s="478"/>
      <c r="CZ290" s="478"/>
      <c r="DA290" s="478"/>
      <c r="DB290" s="478"/>
      <c r="DC290" s="478"/>
      <c r="DD290" s="478"/>
      <c r="DE290" s="478"/>
      <c r="DF290" s="478"/>
      <c r="DG290" s="478"/>
      <c r="DH290" s="478"/>
      <c r="DI290" s="478"/>
    </row>
    <row r="291" spans="1:113" ht="16.05" hidden="1" customHeight="1" outlineLevel="1" x14ac:dyDescent="0.3">
      <c r="A291" s="455" t="str">
        <f t="shared" si="1091"/>
        <v/>
      </c>
      <c r="B291" s="455"/>
      <c r="C291" s="481"/>
      <c r="D291" s="463" t="s">
        <v>912</v>
      </c>
      <c r="E291" s="482"/>
      <c r="F291" s="483"/>
      <c r="G291" s="484"/>
      <c r="H291" s="485"/>
      <c r="I291" s="466">
        <f t="shared" si="1173"/>
        <v>0</v>
      </c>
      <c r="J291" s="259"/>
      <c r="K291" s="478">
        <f t="shared" si="1169"/>
        <v>0</v>
      </c>
      <c r="L291" s="466">
        <f t="shared" si="1170"/>
        <v>0</v>
      </c>
      <c r="M291" s="257"/>
      <c r="N291" s="478"/>
      <c r="O291" s="478"/>
      <c r="P291" s="478"/>
      <c r="Q291" s="478"/>
      <c r="R291" s="478"/>
      <c r="S291" s="478"/>
      <c r="T291" s="478"/>
      <c r="U291" s="478"/>
      <c r="V291" s="478"/>
      <c r="W291" s="478"/>
      <c r="X291" s="478"/>
      <c r="Y291" s="478"/>
      <c r="Z291" s="478"/>
      <c r="AA291" s="478"/>
      <c r="AB291" s="478"/>
      <c r="AC291" s="478"/>
      <c r="AD291" s="478"/>
      <c r="AE291" s="478"/>
      <c r="AF291" s="478"/>
      <c r="AG291" s="478"/>
      <c r="AH291" s="478"/>
      <c r="AI291" s="478"/>
      <c r="AJ291" s="478"/>
      <c r="AK291" s="478"/>
      <c r="AL291" s="478"/>
      <c r="AM291" s="478"/>
      <c r="AN291" s="478"/>
      <c r="AO291" s="478"/>
      <c r="AP291" s="478"/>
      <c r="AQ291" s="478"/>
      <c r="AR291" s="478"/>
      <c r="AS291" s="478"/>
      <c r="AT291" s="478"/>
      <c r="AU291" s="478"/>
      <c r="AV291" s="478"/>
      <c r="AW291" s="478"/>
      <c r="AX291" s="478"/>
      <c r="AY291" s="478"/>
      <c r="AZ291" s="478"/>
      <c r="BA291" s="478"/>
      <c r="BB291" s="478"/>
      <c r="BC291" s="478"/>
      <c r="BD291" s="478"/>
      <c r="BE291" s="478"/>
      <c r="BF291" s="478"/>
      <c r="BG291" s="478"/>
      <c r="BH291" s="478"/>
      <c r="BI291" s="478"/>
      <c r="BJ291" s="245"/>
      <c r="BK291" s="477">
        <f t="shared" si="1171"/>
        <v>0</v>
      </c>
      <c r="BL291" s="466">
        <f t="shared" si="1172"/>
        <v>0</v>
      </c>
      <c r="BM291" s="257"/>
      <c r="BN291" s="478"/>
      <c r="BO291" s="478"/>
      <c r="BP291" s="478"/>
      <c r="BQ291" s="478"/>
      <c r="BR291" s="478"/>
      <c r="BS291" s="478"/>
      <c r="BT291" s="478"/>
      <c r="BU291" s="478"/>
      <c r="BV291" s="478"/>
      <c r="BW291" s="478"/>
      <c r="BX291" s="478"/>
      <c r="BY291" s="478"/>
      <c r="BZ291" s="478"/>
      <c r="CA291" s="478"/>
      <c r="CB291" s="478"/>
      <c r="CC291" s="478"/>
      <c r="CD291" s="478"/>
      <c r="CE291" s="478"/>
      <c r="CF291" s="478"/>
      <c r="CG291" s="478"/>
      <c r="CH291" s="478"/>
      <c r="CI291" s="478"/>
      <c r="CJ291" s="478"/>
      <c r="CK291" s="478"/>
      <c r="CL291" s="478"/>
      <c r="CM291" s="478"/>
      <c r="CN291" s="478"/>
      <c r="CO291" s="478"/>
      <c r="CP291" s="478"/>
      <c r="CQ291" s="478"/>
      <c r="CR291" s="478"/>
      <c r="CS291" s="478"/>
      <c r="CT291" s="478"/>
      <c r="CU291" s="478"/>
      <c r="CV291" s="478"/>
      <c r="CW291" s="478"/>
      <c r="CX291" s="478"/>
      <c r="CY291" s="478"/>
      <c r="CZ291" s="478"/>
      <c r="DA291" s="478"/>
      <c r="DB291" s="478"/>
      <c r="DC291" s="478"/>
      <c r="DD291" s="478"/>
      <c r="DE291" s="478"/>
      <c r="DF291" s="478"/>
      <c r="DG291" s="478"/>
      <c r="DH291" s="478"/>
      <c r="DI291" s="478"/>
    </row>
    <row r="292" spans="1:113" ht="16.05" hidden="1" customHeight="1" outlineLevel="1" x14ac:dyDescent="0.3">
      <c r="A292" s="455" t="str">
        <f t="shared" si="1091"/>
        <v/>
      </c>
      <c r="B292" s="455"/>
      <c r="C292" s="481"/>
      <c r="D292" s="463" t="s">
        <v>913</v>
      </c>
      <c r="E292" s="482"/>
      <c r="F292" s="483"/>
      <c r="G292" s="484"/>
      <c r="H292" s="485"/>
      <c r="I292" s="466">
        <f t="shared" si="1173"/>
        <v>0</v>
      </c>
      <c r="J292" s="259"/>
      <c r="K292" s="478">
        <f t="shared" si="1169"/>
        <v>0</v>
      </c>
      <c r="L292" s="466">
        <f t="shared" si="1170"/>
        <v>0</v>
      </c>
      <c r="M292" s="257"/>
      <c r="N292" s="478"/>
      <c r="O292" s="478"/>
      <c r="P292" s="478"/>
      <c r="Q292" s="478"/>
      <c r="R292" s="478"/>
      <c r="S292" s="478"/>
      <c r="T292" s="478"/>
      <c r="U292" s="478"/>
      <c r="V292" s="478"/>
      <c r="W292" s="478"/>
      <c r="X292" s="478"/>
      <c r="Y292" s="478"/>
      <c r="Z292" s="478"/>
      <c r="AA292" s="478"/>
      <c r="AB292" s="478"/>
      <c r="AC292" s="478"/>
      <c r="AD292" s="478"/>
      <c r="AE292" s="478"/>
      <c r="AF292" s="478"/>
      <c r="AG292" s="478"/>
      <c r="AH292" s="478"/>
      <c r="AI292" s="478"/>
      <c r="AJ292" s="478"/>
      <c r="AK292" s="478"/>
      <c r="AL292" s="478"/>
      <c r="AM292" s="478"/>
      <c r="AN292" s="478"/>
      <c r="AO292" s="478"/>
      <c r="AP292" s="478"/>
      <c r="AQ292" s="478"/>
      <c r="AR292" s="478"/>
      <c r="AS292" s="478"/>
      <c r="AT292" s="478"/>
      <c r="AU292" s="478"/>
      <c r="AV292" s="478"/>
      <c r="AW292" s="478"/>
      <c r="AX292" s="478"/>
      <c r="AY292" s="478"/>
      <c r="AZ292" s="478"/>
      <c r="BA292" s="478"/>
      <c r="BB292" s="478"/>
      <c r="BC292" s="478"/>
      <c r="BD292" s="478"/>
      <c r="BE292" s="478"/>
      <c r="BF292" s="478"/>
      <c r="BG292" s="478"/>
      <c r="BH292" s="478"/>
      <c r="BI292" s="478"/>
      <c r="BJ292" s="245"/>
      <c r="BK292" s="477">
        <f t="shared" si="1171"/>
        <v>0</v>
      </c>
      <c r="BL292" s="466">
        <f t="shared" si="1172"/>
        <v>0</v>
      </c>
      <c r="BM292" s="257"/>
      <c r="BN292" s="478"/>
      <c r="BO292" s="478"/>
      <c r="BP292" s="478"/>
      <c r="BQ292" s="478"/>
      <c r="BR292" s="478"/>
      <c r="BS292" s="478"/>
      <c r="BT292" s="478"/>
      <c r="BU292" s="478"/>
      <c r="BV292" s="478"/>
      <c r="BW292" s="478"/>
      <c r="BX292" s="478"/>
      <c r="BY292" s="478"/>
      <c r="BZ292" s="478"/>
      <c r="CA292" s="478"/>
      <c r="CB292" s="478"/>
      <c r="CC292" s="478"/>
      <c r="CD292" s="478"/>
      <c r="CE292" s="478"/>
      <c r="CF292" s="478"/>
      <c r="CG292" s="478"/>
      <c r="CH292" s="478"/>
      <c r="CI292" s="478"/>
      <c r="CJ292" s="478"/>
      <c r="CK292" s="478"/>
      <c r="CL292" s="478"/>
      <c r="CM292" s="478"/>
      <c r="CN292" s="478"/>
      <c r="CO292" s="478"/>
      <c r="CP292" s="478"/>
      <c r="CQ292" s="478"/>
      <c r="CR292" s="478"/>
      <c r="CS292" s="478"/>
      <c r="CT292" s="478"/>
      <c r="CU292" s="478"/>
      <c r="CV292" s="478"/>
      <c r="CW292" s="478"/>
      <c r="CX292" s="478"/>
      <c r="CY292" s="478"/>
      <c r="CZ292" s="478"/>
      <c r="DA292" s="478"/>
      <c r="DB292" s="478"/>
      <c r="DC292" s="478"/>
      <c r="DD292" s="478"/>
      <c r="DE292" s="478"/>
      <c r="DF292" s="478"/>
      <c r="DG292" s="478"/>
      <c r="DH292" s="478"/>
      <c r="DI292" s="478"/>
    </row>
    <row r="293" spans="1:113" ht="16.05" hidden="1" customHeight="1" outlineLevel="1" x14ac:dyDescent="0.3">
      <c r="A293" s="455" t="str">
        <f t="shared" si="1091"/>
        <v/>
      </c>
      <c r="B293" s="455"/>
      <c r="C293" s="481"/>
      <c r="D293" s="463" t="s">
        <v>914</v>
      </c>
      <c r="E293" s="482"/>
      <c r="F293" s="483"/>
      <c r="G293" s="484"/>
      <c r="H293" s="485"/>
      <c r="I293" s="466">
        <f t="shared" si="1173"/>
        <v>0</v>
      </c>
      <c r="J293" s="259"/>
      <c r="K293" s="478">
        <f t="shared" si="1169"/>
        <v>0</v>
      </c>
      <c r="L293" s="466">
        <f t="shared" si="1170"/>
        <v>0</v>
      </c>
      <c r="M293" s="257"/>
      <c r="N293" s="478"/>
      <c r="O293" s="478"/>
      <c r="P293" s="478"/>
      <c r="Q293" s="478"/>
      <c r="R293" s="478"/>
      <c r="S293" s="478"/>
      <c r="T293" s="478"/>
      <c r="U293" s="478"/>
      <c r="V293" s="478"/>
      <c r="W293" s="478"/>
      <c r="X293" s="478"/>
      <c r="Y293" s="478"/>
      <c r="Z293" s="478"/>
      <c r="AA293" s="478"/>
      <c r="AB293" s="478"/>
      <c r="AC293" s="478"/>
      <c r="AD293" s="478"/>
      <c r="AE293" s="478"/>
      <c r="AF293" s="478"/>
      <c r="AG293" s="478"/>
      <c r="AH293" s="478"/>
      <c r="AI293" s="478"/>
      <c r="AJ293" s="478"/>
      <c r="AK293" s="478"/>
      <c r="AL293" s="478"/>
      <c r="AM293" s="478"/>
      <c r="AN293" s="478"/>
      <c r="AO293" s="478"/>
      <c r="AP293" s="478"/>
      <c r="AQ293" s="478"/>
      <c r="AR293" s="478"/>
      <c r="AS293" s="478"/>
      <c r="AT293" s="478"/>
      <c r="AU293" s="478"/>
      <c r="AV293" s="478"/>
      <c r="AW293" s="478"/>
      <c r="AX293" s="478"/>
      <c r="AY293" s="478"/>
      <c r="AZ293" s="478"/>
      <c r="BA293" s="478"/>
      <c r="BB293" s="478"/>
      <c r="BC293" s="478"/>
      <c r="BD293" s="478"/>
      <c r="BE293" s="478"/>
      <c r="BF293" s="478"/>
      <c r="BG293" s="478"/>
      <c r="BH293" s="478"/>
      <c r="BI293" s="478"/>
      <c r="BJ293" s="245"/>
      <c r="BK293" s="477">
        <f t="shared" si="1171"/>
        <v>0</v>
      </c>
      <c r="BL293" s="466">
        <f t="shared" si="1172"/>
        <v>0</v>
      </c>
      <c r="BM293" s="257"/>
      <c r="BN293" s="478"/>
      <c r="BO293" s="478"/>
      <c r="BP293" s="478"/>
      <c r="BQ293" s="478"/>
      <c r="BR293" s="478"/>
      <c r="BS293" s="478"/>
      <c r="BT293" s="478"/>
      <c r="BU293" s="478"/>
      <c r="BV293" s="478"/>
      <c r="BW293" s="478"/>
      <c r="BX293" s="478"/>
      <c r="BY293" s="478"/>
      <c r="BZ293" s="478"/>
      <c r="CA293" s="478"/>
      <c r="CB293" s="478"/>
      <c r="CC293" s="478"/>
      <c r="CD293" s="478"/>
      <c r="CE293" s="478"/>
      <c r="CF293" s="478"/>
      <c r="CG293" s="478"/>
      <c r="CH293" s="478"/>
      <c r="CI293" s="478"/>
      <c r="CJ293" s="478"/>
      <c r="CK293" s="478"/>
      <c r="CL293" s="478"/>
      <c r="CM293" s="478"/>
      <c r="CN293" s="478"/>
      <c r="CO293" s="478"/>
      <c r="CP293" s="478"/>
      <c r="CQ293" s="478"/>
      <c r="CR293" s="478"/>
      <c r="CS293" s="478"/>
      <c r="CT293" s="478"/>
      <c r="CU293" s="478"/>
      <c r="CV293" s="478"/>
      <c r="CW293" s="478"/>
      <c r="CX293" s="478"/>
      <c r="CY293" s="478"/>
      <c r="CZ293" s="478"/>
      <c r="DA293" s="478"/>
      <c r="DB293" s="478"/>
      <c r="DC293" s="478"/>
      <c r="DD293" s="478"/>
      <c r="DE293" s="478"/>
      <c r="DF293" s="478"/>
      <c r="DG293" s="478"/>
      <c r="DH293" s="478"/>
      <c r="DI293" s="478"/>
    </row>
    <row r="294" spans="1:113" ht="16.05" hidden="1" customHeight="1" outlineLevel="1" x14ac:dyDescent="0.3">
      <c r="A294" s="455" t="str">
        <f t="shared" si="1091"/>
        <v/>
      </c>
      <c r="B294" s="455"/>
      <c r="C294" s="481"/>
      <c r="D294" s="463" t="s">
        <v>915</v>
      </c>
      <c r="E294" s="482"/>
      <c r="F294" s="483"/>
      <c r="G294" s="484"/>
      <c r="H294" s="485"/>
      <c r="I294" s="466">
        <f t="shared" si="1173"/>
        <v>0</v>
      </c>
      <c r="J294" s="259"/>
      <c r="K294" s="478">
        <f t="shared" si="1169"/>
        <v>0</v>
      </c>
      <c r="L294" s="466">
        <f t="shared" si="1170"/>
        <v>0</v>
      </c>
      <c r="M294" s="257"/>
      <c r="N294" s="478"/>
      <c r="O294" s="478"/>
      <c r="P294" s="478"/>
      <c r="Q294" s="478"/>
      <c r="R294" s="478"/>
      <c r="S294" s="478"/>
      <c r="T294" s="478"/>
      <c r="U294" s="478"/>
      <c r="V294" s="478"/>
      <c r="W294" s="478"/>
      <c r="X294" s="478"/>
      <c r="Y294" s="478"/>
      <c r="Z294" s="478"/>
      <c r="AA294" s="478"/>
      <c r="AB294" s="478"/>
      <c r="AC294" s="478"/>
      <c r="AD294" s="478"/>
      <c r="AE294" s="478"/>
      <c r="AF294" s="478"/>
      <c r="AG294" s="478"/>
      <c r="AH294" s="478"/>
      <c r="AI294" s="478"/>
      <c r="AJ294" s="478"/>
      <c r="AK294" s="478"/>
      <c r="AL294" s="478"/>
      <c r="AM294" s="478"/>
      <c r="AN294" s="478"/>
      <c r="AO294" s="478"/>
      <c r="AP294" s="478"/>
      <c r="AQ294" s="478"/>
      <c r="AR294" s="478"/>
      <c r="AS294" s="478"/>
      <c r="AT294" s="478"/>
      <c r="AU294" s="478"/>
      <c r="AV294" s="478"/>
      <c r="AW294" s="478"/>
      <c r="AX294" s="478"/>
      <c r="AY294" s="478"/>
      <c r="AZ294" s="478"/>
      <c r="BA294" s="478"/>
      <c r="BB294" s="478"/>
      <c r="BC294" s="478"/>
      <c r="BD294" s="478"/>
      <c r="BE294" s="478"/>
      <c r="BF294" s="478"/>
      <c r="BG294" s="478"/>
      <c r="BH294" s="478"/>
      <c r="BI294" s="478"/>
      <c r="BJ294" s="245"/>
      <c r="BK294" s="477">
        <f t="shared" si="1171"/>
        <v>0</v>
      </c>
      <c r="BL294" s="466">
        <f t="shared" si="1172"/>
        <v>0</v>
      </c>
      <c r="BM294" s="257"/>
      <c r="BN294" s="478"/>
      <c r="BO294" s="478"/>
      <c r="BP294" s="478"/>
      <c r="BQ294" s="478"/>
      <c r="BR294" s="478"/>
      <c r="BS294" s="478"/>
      <c r="BT294" s="478"/>
      <c r="BU294" s="478"/>
      <c r="BV294" s="478"/>
      <c r="BW294" s="478"/>
      <c r="BX294" s="478"/>
      <c r="BY294" s="478"/>
      <c r="BZ294" s="478"/>
      <c r="CA294" s="478"/>
      <c r="CB294" s="478"/>
      <c r="CC294" s="478"/>
      <c r="CD294" s="478"/>
      <c r="CE294" s="478"/>
      <c r="CF294" s="478"/>
      <c r="CG294" s="478"/>
      <c r="CH294" s="478"/>
      <c r="CI294" s="478"/>
      <c r="CJ294" s="478"/>
      <c r="CK294" s="478"/>
      <c r="CL294" s="478"/>
      <c r="CM294" s="478"/>
      <c r="CN294" s="478"/>
      <c r="CO294" s="478"/>
      <c r="CP294" s="478"/>
      <c r="CQ294" s="478"/>
      <c r="CR294" s="478"/>
      <c r="CS294" s="478"/>
      <c r="CT294" s="478"/>
      <c r="CU294" s="478"/>
      <c r="CV294" s="478"/>
      <c r="CW294" s="478"/>
      <c r="CX294" s="478"/>
      <c r="CY294" s="478"/>
      <c r="CZ294" s="478"/>
      <c r="DA294" s="478"/>
      <c r="DB294" s="478"/>
      <c r="DC294" s="478"/>
      <c r="DD294" s="478"/>
      <c r="DE294" s="478"/>
      <c r="DF294" s="478"/>
      <c r="DG294" s="478"/>
      <c r="DH294" s="478"/>
      <c r="DI294" s="478"/>
    </row>
    <row r="295" spans="1:113" ht="16.05" hidden="1" customHeight="1" outlineLevel="1" x14ac:dyDescent="0.3">
      <c r="A295" s="455" t="str">
        <f t="shared" si="1091"/>
        <v/>
      </c>
      <c r="B295" s="455"/>
      <c r="C295" s="481"/>
      <c r="D295" s="463" t="s">
        <v>916</v>
      </c>
      <c r="E295" s="482"/>
      <c r="F295" s="483"/>
      <c r="G295" s="484"/>
      <c r="H295" s="485"/>
      <c r="I295" s="466">
        <f t="shared" si="1173"/>
        <v>0</v>
      </c>
      <c r="J295" s="259"/>
      <c r="K295" s="478">
        <f t="shared" si="1169"/>
        <v>0</v>
      </c>
      <c r="L295" s="466">
        <f t="shared" si="1170"/>
        <v>0</v>
      </c>
      <c r="M295" s="257"/>
      <c r="N295" s="478"/>
      <c r="O295" s="478"/>
      <c r="P295" s="478"/>
      <c r="Q295" s="478"/>
      <c r="R295" s="478"/>
      <c r="S295" s="478"/>
      <c r="T295" s="478"/>
      <c r="U295" s="478"/>
      <c r="V295" s="478"/>
      <c r="W295" s="478"/>
      <c r="X295" s="478"/>
      <c r="Y295" s="478"/>
      <c r="Z295" s="478"/>
      <c r="AA295" s="478"/>
      <c r="AB295" s="478"/>
      <c r="AC295" s="478"/>
      <c r="AD295" s="478"/>
      <c r="AE295" s="478"/>
      <c r="AF295" s="478"/>
      <c r="AG295" s="478"/>
      <c r="AH295" s="478"/>
      <c r="AI295" s="478"/>
      <c r="AJ295" s="478"/>
      <c r="AK295" s="478"/>
      <c r="AL295" s="478"/>
      <c r="AM295" s="478"/>
      <c r="AN295" s="478"/>
      <c r="AO295" s="478"/>
      <c r="AP295" s="478"/>
      <c r="AQ295" s="478"/>
      <c r="AR295" s="478"/>
      <c r="AS295" s="478"/>
      <c r="AT295" s="478"/>
      <c r="AU295" s="478"/>
      <c r="AV295" s="478"/>
      <c r="AW295" s="478"/>
      <c r="AX295" s="478"/>
      <c r="AY295" s="478"/>
      <c r="AZ295" s="478"/>
      <c r="BA295" s="478"/>
      <c r="BB295" s="478"/>
      <c r="BC295" s="478"/>
      <c r="BD295" s="478"/>
      <c r="BE295" s="478"/>
      <c r="BF295" s="478"/>
      <c r="BG295" s="478"/>
      <c r="BH295" s="478"/>
      <c r="BI295" s="478"/>
      <c r="BJ295" s="245"/>
      <c r="BK295" s="477">
        <f t="shared" si="1171"/>
        <v>0</v>
      </c>
      <c r="BL295" s="466">
        <f t="shared" si="1172"/>
        <v>0</v>
      </c>
      <c r="BM295" s="257"/>
      <c r="BN295" s="478"/>
      <c r="BO295" s="478"/>
      <c r="BP295" s="478"/>
      <c r="BQ295" s="478"/>
      <c r="BR295" s="478"/>
      <c r="BS295" s="478"/>
      <c r="BT295" s="478"/>
      <c r="BU295" s="478"/>
      <c r="BV295" s="478"/>
      <c r="BW295" s="478"/>
      <c r="BX295" s="478"/>
      <c r="BY295" s="478"/>
      <c r="BZ295" s="478"/>
      <c r="CA295" s="478"/>
      <c r="CB295" s="478"/>
      <c r="CC295" s="478"/>
      <c r="CD295" s="478"/>
      <c r="CE295" s="478"/>
      <c r="CF295" s="478"/>
      <c r="CG295" s="478"/>
      <c r="CH295" s="478"/>
      <c r="CI295" s="478"/>
      <c r="CJ295" s="478"/>
      <c r="CK295" s="478"/>
      <c r="CL295" s="478"/>
      <c r="CM295" s="478"/>
      <c r="CN295" s="478"/>
      <c r="CO295" s="478"/>
      <c r="CP295" s="478"/>
      <c r="CQ295" s="478"/>
      <c r="CR295" s="478"/>
      <c r="CS295" s="478"/>
      <c r="CT295" s="478"/>
      <c r="CU295" s="478"/>
      <c r="CV295" s="478"/>
      <c r="CW295" s="478"/>
      <c r="CX295" s="478"/>
      <c r="CY295" s="478"/>
      <c r="CZ295" s="478"/>
      <c r="DA295" s="478"/>
      <c r="DB295" s="478"/>
      <c r="DC295" s="478"/>
      <c r="DD295" s="478"/>
      <c r="DE295" s="478"/>
      <c r="DF295" s="478"/>
      <c r="DG295" s="478"/>
      <c r="DH295" s="478"/>
      <c r="DI295" s="478"/>
    </row>
    <row r="296" spans="1:113" ht="16.05" hidden="1" customHeight="1" outlineLevel="1" x14ac:dyDescent="0.3">
      <c r="A296" s="455" t="str">
        <f t="shared" si="1091"/>
        <v/>
      </c>
      <c r="B296" s="455"/>
      <c r="C296" s="481"/>
      <c r="D296" s="463" t="s">
        <v>917</v>
      </c>
      <c r="E296" s="482"/>
      <c r="F296" s="483"/>
      <c r="G296" s="484"/>
      <c r="H296" s="485"/>
      <c r="I296" s="466">
        <f t="shared" si="1173"/>
        <v>0</v>
      </c>
      <c r="J296" s="259"/>
      <c r="K296" s="478">
        <f t="shared" si="1169"/>
        <v>0</v>
      </c>
      <c r="L296" s="466">
        <f t="shared" si="1170"/>
        <v>0</v>
      </c>
      <c r="M296" s="257"/>
      <c r="N296" s="478"/>
      <c r="O296" s="478"/>
      <c r="P296" s="478"/>
      <c r="Q296" s="478"/>
      <c r="R296" s="478"/>
      <c r="S296" s="478"/>
      <c r="T296" s="478"/>
      <c r="U296" s="478"/>
      <c r="V296" s="478"/>
      <c r="W296" s="478"/>
      <c r="X296" s="478"/>
      <c r="Y296" s="478"/>
      <c r="Z296" s="478"/>
      <c r="AA296" s="478"/>
      <c r="AB296" s="478"/>
      <c r="AC296" s="478"/>
      <c r="AD296" s="478"/>
      <c r="AE296" s="478"/>
      <c r="AF296" s="478"/>
      <c r="AG296" s="478"/>
      <c r="AH296" s="478"/>
      <c r="AI296" s="478"/>
      <c r="AJ296" s="478"/>
      <c r="AK296" s="478"/>
      <c r="AL296" s="478"/>
      <c r="AM296" s="478"/>
      <c r="AN296" s="478"/>
      <c r="AO296" s="478"/>
      <c r="AP296" s="478"/>
      <c r="AQ296" s="478"/>
      <c r="AR296" s="478"/>
      <c r="AS296" s="478"/>
      <c r="AT296" s="478"/>
      <c r="AU296" s="478"/>
      <c r="AV296" s="478"/>
      <c r="AW296" s="478"/>
      <c r="AX296" s="478"/>
      <c r="AY296" s="478"/>
      <c r="AZ296" s="478"/>
      <c r="BA296" s="478"/>
      <c r="BB296" s="478"/>
      <c r="BC296" s="478"/>
      <c r="BD296" s="478"/>
      <c r="BE296" s="478"/>
      <c r="BF296" s="478"/>
      <c r="BG296" s="478"/>
      <c r="BH296" s="478"/>
      <c r="BI296" s="478"/>
      <c r="BJ296" s="245"/>
      <c r="BK296" s="477">
        <f t="shared" si="1171"/>
        <v>0</v>
      </c>
      <c r="BL296" s="466">
        <f t="shared" si="1172"/>
        <v>0</v>
      </c>
      <c r="BM296" s="257"/>
      <c r="BN296" s="478"/>
      <c r="BO296" s="478"/>
      <c r="BP296" s="478"/>
      <c r="BQ296" s="478"/>
      <c r="BR296" s="478"/>
      <c r="BS296" s="478"/>
      <c r="BT296" s="478"/>
      <c r="BU296" s="478"/>
      <c r="BV296" s="478"/>
      <c r="BW296" s="478"/>
      <c r="BX296" s="478"/>
      <c r="BY296" s="478"/>
      <c r="BZ296" s="478"/>
      <c r="CA296" s="478"/>
      <c r="CB296" s="478"/>
      <c r="CC296" s="478"/>
      <c r="CD296" s="478"/>
      <c r="CE296" s="478"/>
      <c r="CF296" s="478"/>
      <c r="CG296" s="478"/>
      <c r="CH296" s="478"/>
      <c r="CI296" s="478"/>
      <c r="CJ296" s="478"/>
      <c r="CK296" s="478"/>
      <c r="CL296" s="478"/>
      <c r="CM296" s="478"/>
      <c r="CN296" s="478"/>
      <c r="CO296" s="478"/>
      <c r="CP296" s="478"/>
      <c r="CQ296" s="478"/>
      <c r="CR296" s="478"/>
      <c r="CS296" s="478"/>
      <c r="CT296" s="478"/>
      <c r="CU296" s="478"/>
      <c r="CV296" s="478"/>
      <c r="CW296" s="478"/>
      <c r="CX296" s="478"/>
      <c r="CY296" s="478"/>
      <c r="CZ296" s="478"/>
      <c r="DA296" s="478"/>
      <c r="DB296" s="478"/>
      <c r="DC296" s="478"/>
      <c r="DD296" s="478"/>
      <c r="DE296" s="478"/>
      <c r="DF296" s="478"/>
      <c r="DG296" s="478"/>
      <c r="DH296" s="478"/>
      <c r="DI296" s="478"/>
    </row>
    <row r="297" spans="1:113" ht="16.05" hidden="1" customHeight="1" outlineLevel="1" x14ac:dyDescent="0.3">
      <c r="A297" s="455" t="str">
        <f t="shared" si="1091"/>
        <v/>
      </c>
      <c r="B297" s="455"/>
      <c r="C297" s="481"/>
      <c r="D297" s="463" t="s">
        <v>918</v>
      </c>
      <c r="E297" s="482"/>
      <c r="F297" s="483"/>
      <c r="G297" s="484"/>
      <c r="H297" s="485"/>
      <c r="I297" s="466">
        <f t="shared" si="1173"/>
        <v>0</v>
      </c>
      <c r="J297" s="259"/>
      <c r="K297" s="478">
        <f t="shared" si="1169"/>
        <v>0</v>
      </c>
      <c r="L297" s="466">
        <f t="shared" si="1170"/>
        <v>0</v>
      </c>
      <c r="M297" s="257"/>
      <c r="N297" s="478"/>
      <c r="O297" s="478"/>
      <c r="P297" s="478"/>
      <c r="Q297" s="478"/>
      <c r="R297" s="478"/>
      <c r="S297" s="478"/>
      <c r="T297" s="478"/>
      <c r="U297" s="478"/>
      <c r="V297" s="478"/>
      <c r="W297" s="478"/>
      <c r="X297" s="478"/>
      <c r="Y297" s="478"/>
      <c r="Z297" s="478"/>
      <c r="AA297" s="478"/>
      <c r="AB297" s="478"/>
      <c r="AC297" s="478"/>
      <c r="AD297" s="478"/>
      <c r="AE297" s="478"/>
      <c r="AF297" s="478"/>
      <c r="AG297" s="478"/>
      <c r="AH297" s="478"/>
      <c r="AI297" s="478"/>
      <c r="AJ297" s="478"/>
      <c r="AK297" s="478"/>
      <c r="AL297" s="478"/>
      <c r="AM297" s="478"/>
      <c r="AN297" s="478"/>
      <c r="AO297" s="478"/>
      <c r="AP297" s="478"/>
      <c r="AQ297" s="478"/>
      <c r="AR297" s="478"/>
      <c r="AS297" s="478"/>
      <c r="AT297" s="478"/>
      <c r="AU297" s="478"/>
      <c r="AV297" s="478"/>
      <c r="AW297" s="478"/>
      <c r="AX297" s="478"/>
      <c r="AY297" s="478"/>
      <c r="AZ297" s="478"/>
      <c r="BA297" s="478"/>
      <c r="BB297" s="478"/>
      <c r="BC297" s="478"/>
      <c r="BD297" s="478"/>
      <c r="BE297" s="478"/>
      <c r="BF297" s="478"/>
      <c r="BG297" s="478"/>
      <c r="BH297" s="478"/>
      <c r="BI297" s="478"/>
      <c r="BJ297" s="245"/>
      <c r="BK297" s="477">
        <f t="shared" si="1171"/>
        <v>0</v>
      </c>
      <c r="BL297" s="466">
        <f t="shared" si="1172"/>
        <v>0</v>
      </c>
      <c r="BM297" s="257"/>
      <c r="BN297" s="478"/>
      <c r="BO297" s="478"/>
      <c r="BP297" s="478"/>
      <c r="BQ297" s="478"/>
      <c r="BR297" s="478"/>
      <c r="BS297" s="478"/>
      <c r="BT297" s="478"/>
      <c r="BU297" s="478"/>
      <c r="BV297" s="478"/>
      <c r="BW297" s="478"/>
      <c r="BX297" s="478"/>
      <c r="BY297" s="478"/>
      <c r="BZ297" s="478"/>
      <c r="CA297" s="478"/>
      <c r="CB297" s="478"/>
      <c r="CC297" s="478"/>
      <c r="CD297" s="478"/>
      <c r="CE297" s="478"/>
      <c r="CF297" s="478"/>
      <c r="CG297" s="478"/>
      <c r="CH297" s="478"/>
      <c r="CI297" s="478"/>
      <c r="CJ297" s="478"/>
      <c r="CK297" s="478"/>
      <c r="CL297" s="478"/>
      <c r="CM297" s="478"/>
      <c r="CN297" s="478"/>
      <c r="CO297" s="478"/>
      <c r="CP297" s="478"/>
      <c r="CQ297" s="478"/>
      <c r="CR297" s="478"/>
      <c r="CS297" s="478"/>
      <c r="CT297" s="478"/>
      <c r="CU297" s="478"/>
      <c r="CV297" s="478"/>
      <c r="CW297" s="478"/>
      <c r="CX297" s="478"/>
      <c r="CY297" s="478"/>
      <c r="CZ297" s="478"/>
      <c r="DA297" s="478"/>
      <c r="DB297" s="478"/>
      <c r="DC297" s="478"/>
      <c r="DD297" s="478"/>
      <c r="DE297" s="478"/>
      <c r="DF297" s="478"/>
      <c r="DG297" s="478"/>
      <c r="DH297" s="478"/>
      <c r="DI297" s="478"/>
    </row>
    <row r="298" spans="1:113" ht="8.1" hidden="1" customHeight="1" outlineLevel="1" x14ac:dyDescent="0.3">
      <c r="A298" s="455" t="str">
        <f t="shared" ref="A298" si="1174">IF(COUNTIF(A278:A297,"Imprimir")&gt;0,"Imprimir","")</f>
        <v/>
      </c>
      <c r="B298" s="455"/>
      <c r="C298" s="464"/>
      <c r="D298" s="461"/>
      <c r="E298" s="462"/>
      <c r="F298" s="462"/>
      <c r="G298" s="461"/>
      <c r="H298" s="461"/>
      <c r="I298" s="461"/>
      <c r="J298" s="259"/>
      <c r="K298" s="255"/>
      <c r="L298" s="256"/>
      <c r="M298" s="257"/>
      <c r="N298" s="255"/>
      <c r="O298" s="255"/>
      <c r="P298" s="255"/>
      <c r="Q298" s="255"/>
      <c r="R298" s="255"/>
      <c r="S298" s="255"/>
      <c r="T298" s="255"/>
      <c r="U298" s="255"/>
      <c r="V298" s="255"/>
      <c r="W298" s="255"/>
      <c r="X298" s="255"/>
      <c r="Y298" s="255"/>
      <c r="Z298" s="255"/>
      <c r="AA298" s="255"/>
      <c r="AB298" s="255"/>
      <c r="AC298" s="255"/>
      <c r="AD298" s="255"/>
      <c r="AE298" s="255"/>
      <c r="AF298" s="255"/>
      <c r="AG298" s="255"/>
      <c r="AH298" s="255"/>
      <c r="AI298" s="255"/>
      <c r="AJ298" s="255"/>
      <c r="AK298" s="255"/>
      <c r="AL298" s="255"/>
      <c r="AM298" s="524"/>
      <c r="AN298" s="255"/>
      <c r="AO298" s="255"/>
      <c r="AP298" s="255"/>
      <c r="AQ298" s="255"/>
      <c r="AR298" s="255"/>
      <c r="AS298" s="255"/>
      <c r="AT298" s="255"/>
      <c r="AU298" s="255"/>
      <c r="AV298" s="255"/>
      <c r="AW298" s="255"/>
      <c r="AX298" s="255"/>
      <c r="AY298" s="255"/>
      <c r="AZ298" s="255"/>
      <c r="BA298" s="255"/>
      <c r="BB298" s="255"/>
      <c r="BC298" s="255"/>
      <c r="BD298" s="255"/>
      <c r="BE298" s="255"/>
      <c r="BF298" s="255"/>
      <c r="BG298" s="255"/>
      <c r="BH298" s="255"/>
      <c r="BI298" s="255"/>
      <c r="BJ298" s="245"/>
      <c r="BK298" s="256"/>
      <c r="BL298" s="256"/>
      <c r="BM298" s="257"/>
      <c r="BN298" s="255"/>
      <c r="BO298" s="255"/>
      <c r="BP298" s="255"/>
      <c r="BQ298" s="255"/>
      <c r="BR298" s="255"/>
      <c r="BS298" s="255"/>
      <c r="BT298" s="255"/>
      <c r="BU298" s="255"/>
      <c r="BV298" s="255"/>
      <c r="BW298" s="255"/>
      <c r="BX298" s="255"/>
      <c r="BY298" s="255"/>
      <c r="BZ298" s="255"/>
      <c r="CA298" s="255"/>
      <c r="CB298" s="255"/>
      <c r="CC298" s="255"/>
      <c r="CD298" s="255"/>
      <c r="CE298" s="255"/>
      <c r="CF298" s="255"/>
      <c r="CG298" s="255"/>
      <c r="CH298" s="255"/>
      <c r="CI298" s="255"/>
      <c r="CJ298" s="255"/>
      <c r="CK298" s="255"/>
      <c r="CL298" s="255"/>
      <c r="CM298" s="255"/>
      <c r="CN298" s="255"/>
      <c r="CO298" s="255"/>
      <c r="CP298" s="255"/>
      <c r="CQ298" s="255"/>
      <c r="CR298" s="255"/>
      <c r="CS298" s="255"/>
      <c r="CT298" s="255"/>
      <c r="CU298" s="255"/>
      <c r="CV298" s="255"/>
      <c r="CW298" s="255"/>
      <c r="CX298" s="255"/>
      <c r="CY298" s="255"/>
      <c r="CZ298" s="255"/>
      <c r="DA298" s="255"/>
      <c r="DB298" s="255"/>
      <c r="DC298" s="255"/>
      <c r="DD298" s="255"/>
      <c r="DE298" s="255"/>
      <c r="DF298" s="255"/>
      <c r="DG298" s="255"/>
      <c r="DH298" s="255"/>
      <c r="DI298" s="524"/>
    </row>
    <row r="299" spans="1:113" ht="16.05" hidden="1" customHeight="1" collapsed="1" x14ac:dyDescent="0.3">
      <c r="A299" s="455" t="str">
        <f t="shared" ref="A299" si="1175">IF(COUNTIF(A300:A319,"Imprimir")&gt;0,"Imprimir","")</f>
        <v/>
      </c>
      <c r="B299" s="455"/>
      <c r="C299" s="459"/>
      <c r="D299" s="459"/>
      <c r="E299" s="460" t="s">
        <v>919</v>
      </c>
      <c r="F299" s="460"/>
      <c r="G299" s="460"/>
      <c r="H299" s="465"/>
      <c r="I299" s="465">
        <f>SUBTOTAL(9,I300:I320)</f>
        <v>0</v>
      </c>
      <c r="J299" s="259"/>
      <c r="K299" s="465"/>
      <c r="L299" s="465">
        <f>SUBTOTAL(9,L300:L320)</f>
        <v>0</v>
      </c>
      <c r="M299" s="257"/>
      <c r="N299" s="465">
        <f>SUMPRODUCT(N300:N320,$H300:$H320)</f>
        <v>0</v>
      </c>
      <c r="O299" s="465">
        <f>SUMPRODUCT(O300:O320,$H300:$H320)</f>
        <v>0</v>
      </c>
      <c r="P299" s="465">
        <f t="shared" ref="P299" si="1176">SUMPRODUCT(P300:P320,$H300:$H320)</f>
        <v>0</v>
      </c>
      <c r="Q299" s="465">
        <f t="shared" ref="Q299" si="1177">SUMPRODUCT(Q300:Q320,$H300:$H320)</f>
        <v>0</v>
      </c>
      <c r="R299" s="465">
        <f t="shared" ref="R299" si="1178">SUMPRODUCT(R300:R320,$H300:$H320)</f>
        <v>0</v>
      </c>
      <c r="S299" s="465">
        <f t="shared" ref="S299" si="1179">SUMPRODUCT(S300:S320,$H300:$H320)</f>
        <v>0</v>
      </c>
      <c r="T299" s="465">
        <f t="shared" ref="T299" si="1180">SUMPRODUCT(T300:T320,$H300:$H320)</f>
        <v>0</v>
      </c>
      <c r="U299" s="465">
        <f t="shared" ref="U299" si="1181">SUMPRODUCT(U300:U320,$H300:$H320)</f>
        <v>0</v>
      </c>
      <c r="V299" s="465">
        <f t="shared" ref="V299" si="1182">SUMPRODUCT(V300:V320,$H300:$H320)</f>
        <v>0</v>
      </c>
      <c r="W299" s="465">
        <f t="shared" ref="W299" si="1183">SUMPRODUCT(W300:W320,$H300:$H320)</f>
        <v>0</v>
      </c>
      <c r="X299" s="465">
        <f t="shared" ref="X299" si="1184">SUMPRODUCT(X300:X320,$H300:$H320)</f>
        <v>0</v>
      </c>
      <c r="Y299" s="465">
        <f t="shared" ref="Y299" si="1185">SUMPRODUCT(Y300:Y320,$H300:$H320)</f>
        <v>0</v>
      </c>
      <c r="Z299" s="465">
        <f t="shared" ref="Z299" si="1186">SUMPRODUCT(Z300:Z320,$H300:$H320)</f>
        <v>0</v>
      </c>
      <c r="AA299" s="465">
        <f t="shared" ref="AA299" si="1187">SUMPRODUCT(AA300:AA320,$H300:$H320)</f>
        <v>0</v>
      </c>
      <c r="AB299" s="465">
        <f t="shared" ref="AB299" si="1188">SUMPRODUCT(AB300:AB320,$H300:$H320)</f>
        <v>0</v>
      </c>
      <c r="AC299" s="465">
        <f t="shared" ref="AC299" si="1189">SUMPRODUCT(AC300:AC320,$H300:$H320)</f>
        <v>0</v>
      </c>
      <c r="AD299" s="465">
        <f t="shared" ref="AD299" si="1190">SUMPRODUCT(AD300:AD320,$H300:$H320)</f>
        <v>0</v>
      </c>
      <c r="AE299" s="465">
        <f t="shared" ref="AE299" si="1191">SUMPRODUCT(AE300:AE320,$H300:$H320)</f>
        <v>0</v>
      </c>
      <c r="AF299" s="465">
        <f t="shared" ref="AF299" si="1192">SUMPRODUCT(AF300:AF320,$H300:$H320)</f>
        <v>0</v>
      </c>
      <c r="AG299" s="465">
        <f t="shared" ref="AG299" si="1193">SUMPRODUCT(AG300:AG320,$H300:$H320)</f>
        <v>0</v>
      </c>
      <c r="AH299" s="465">
        <f t="shared" ref="AH299" si="1194">SUMPRODUCT(AH300:AH320,$H300:$H320)</f>
        <v>0</v>
      </c>
      <c r="AI299" s="465">
        <f t="shared" ref="AI299" si="1195">SUMPRODUCT(AI300:AI320,$H300:$H320)</f>
        <v>0</v>
      </c>
      <c r="AJ299" s="465">
        <f t="shared" ref="AJ299:BI299" si="1196">SUMPRODUCT(AJ300:AJ320,$H300:$H320)</f>
        <v>0</v>
      </c>
      <c r="AK299" s="465">
        <f t="shared" si="1196"/>
        <v>0</v>
      </c>
      <c r="AL299" s="465">
        <f t="shared" si="1196"/>
        <v>0</v>
      </c>
      <c r="AM299" s="465">
        <f t="shared" si="1196"/>
        <v>0</v>
      </c>
      <c r="AN299" s="465">
        <f t="shared" si="1196"/>
        <v>0</v>
      </c>
      <c r="AO299" s="465">
        <f t="shared" si="1196"/>
        <v>0</v>
      </c>
      <c r="AP299" s="465">
        <f t="shared" si="1196"/>
        <v>0</v>
      </c>
      <c r="AQ299" s="465">
        <f t="shared" si="1196"/>
        <v>0</v>
      </c>
      <c r="AR299" s="465">
        <f t="shared" si="1196"/>
        <v>0</v>
      </c>
      <c r="AS299" s="465">
        <f t="shared" si="1196"/>
        <v>0</v>
      </c>
      <c r="AT299" s="465">
        <f t="shared" si="1196"/>
        <v>0</v>
      </c>
      <c r="AU299" s="465">
        <f t="shared" si="1196"/>
        <v>0</v>
      </c>
      <c r="AV299" s="465">
        <f t="shared" si="1196"/>
        <v>0</v>
      </c>
      <c r="AW299" s="465">
        <f t="shared" si="1196"/>
        <v>0</v>
      </c>
      <c r="AX299" s="465">
        <f t="shared" si="1196"/>
        <v>0</v>
      </c>
      <c r="AY299" s="465">
        <f t="shared" si="1196"/>
        <v>0</v>
      </c>
      <c r="AZ299" s="465">
        <f t="shared" si="1196"/>
        <v>0</v>
      </c>
      <c r="BA299" s="465">
        <f t="shared" si="1196"/>
        <v>0</v>
      </c>
      <c r="BB299" s="465">
        <f t="shared" si="1196"/>
        <v>0</v>
      </c>
      <c r="BC299" s="465">
        <f t="shared" si="1196"/>
        <v>0</v>
      </c>
      <c r="BD299" s="465">
        <f t="shared" si="1196"/>
        <v>0</v>
      </c>
      <c r="BE299" s="465">
        <f t="shared" si="1196"/>
        <v>0</v>
      </c>
      <c r="BF299" s="465">
        <f t="shared" si="1196"/>
        <v>0</v>
      </c>
      <c r="BG299" s="465">
        <f t="shared" si="1196"/>
        <v>0</v>
      </c>
      <c r="BH299" s="465">
        <f t="shared" si="1196"/>
        <v>0</v>
      </c>
      <c r="BI299" s="543">
        <f t="shared" si="1196"/>
        <v>0</v>
      </c>
      <c r="BJ299" s="546"/>
      <c r="BK299" s="475">
        <f t="shared" ref="BK299" si="1197">IFERROR(BL299/I299,0)</f>
        <v>0</v>
      </c>
      <c r="BL299" s="465">
        <f>SUBTOTAL(9,BL300:BL320)</f>
        <v>0</v>
      </c>
      <c r="BM299" s="257"/>
      <c r="BN299" s="465">
        <f>SUMPRODUCT(BN300:BN320,$H300:$H320)</f>
        <v>0</v>
      </c>
      <c r="BO299" s="465">
        <f>SUMPRODUCT(BO300:BO320,$H300:$H320)</f>
        <v>0</v>
      </c>
      <c r="BP299" s="465">
        <f t="shared" ref="BP299" si="1198">SUMPRODUCT(BP300:BP320,$H300:$H320)</f>
        <v>0</v>
      </c>
      <c r="BQ299" s="465">
        <f t="shared" ref="BQ299" si="1199">SUMPRODUCT(BQ300:BQ320,$H300:$H320)</f>
        <v>0</v>
      </c>
      <c r="BR299" s="465">
        <f t="shared" ref="BR299" si="1200">SUMPRODUCT(BR300:BR320,$H300:$H320)</f>
        <v>0</v>
      </c>
      <c r="BS299" s="465">
        <f t="shared" ref="BS299" si="1201">SUMPRODUCT(BS300:BS320,$H300:$H320)</f>
        <v>0</v>
      </c>
      <c r="BT299" s="465">
        <f t="shared" ref="BT299" si="1202">SUMPRODUCT(BT300:BT320,$H300:$H320)</f>
        <v>0</v>
      </c>
      <c r="BU299" s="465">
        <f t="shared" ref="BU299" si="1203">SUMPRODUCT(BU300:BU320,$H300:$H320)</f>
        <v>0</v>
      </c>
      <c r="BV299" s="465">
        <f t="shared" ref="BV299" si="1204">SUMPRODUCT(BV300:BV320,$H300:$H320)</f>
        <v>0</v>
      </c>
      <c r="BW299" s="465">
        <f t="shared" ref="BW299" si="1205">SUMPRODUCT(BW300:BW320,$H300:$H320)</f>
        <v>0</v>
      </c>
      <c r="BX299" s="465">
        <f t="shared" ref="BX299" si="1206">SUMPRODUCT(BX300:BX320,$H300:$H320)</f>
        <v>0</v>
      </c>
      <c r="BY299" s="465">
        <f t="shared" ref="BY299" si="1207">SUMPRODUCT(BY300:BY320,$H300:$H320)</f>
        <v>0</v>
      </c>
      <c r="BZ299" s="465">
        <f t="shared" ref="BZ299" si="1208">SUMPRODUCT(BZ300:BZ320,$H300:$H320)</f>
        <v>0</v>
      </c>
      <c r="CA299" s="465">
        <f t="shared" ref="CA299" si="1209">SUMPRODUCT(CA300:CA320,$H300:$H320)</f>
        <v>0</v>
      </c>
      <c r="CB299" s="465">
        <f t="shared" ref="CB299" si="1210">SUMPRODUCT(CB300:CB320,$H300:$H320)</f>
        <v>0</v>
      </c>
      <c r="CC299" s="465">
        <f t="shared" ref="CC299" si="1211">SUMPRODUCT(CC300:CC320,$H300:$H320)</f>
        <v>0</v>
      </c>
      <c r="CD299" s="465">
        <f t="shared" ref="CD299" si="1212">SUMPRODUCT(CD300:CD320,$H300:$H320)</f>
        <v>0</v>
      </c>
      <c r="CE299" s="465">
        <f t="shared" ref="CE299" si="1213">SUMPRODUCT(CE300:CE320,$H300:$H320)</f>
        <v>0</v>
      </c>
      <c r="CF299" s="465">
        <f t="shared" ref="CF299" si="1214">SUMPRODUCT(CF300:CF320,$H300:$H320)</f>
        <v>0</v>
      </c>
      <c r="CG299" s="465">
        <f t="shared" ref="CG299" si="1215">SUMPRODUCT(CG300:CG320,$H300:$H320)</f>
        <v>0</v>
      </c>
      <c r="CH299" s="465">
        <f t="shared" ref="CH299" si="1216">SUMPRODUCT(CH300:CH320,$H300:$H320)</f>
        <v>0</v>
      </c>
      <c r="CI299" s="465">
        <f t="shared" ref="CI299" si="1217">SUMPRODUCT(CI300:CI320,$H300:$H320)</f>
        <v>0</v>
      </c>
      <c r="CJ299" s="465">
        <f t="shared" ref="CJ299" si="1218">SUMPRODUCT(CJ300:CJ320,$H300:$H320)</f>
        <v>0</v>
      </c>
      <c r="CK299" s="465">
        <f t="shared" ref="CK299" si="1219">SUMPRODUCT(CK300:CK320,$H300:$H320)</f>
        <v>0</v>
      </c>
      <c r="CL299" s="465">
        <f t="shared" ref="CL299" si="1220">SUMPRODUCT(CL300:CL320,$H300:$H320)</f>
        <v>0</v>
      </c>
      <c r="CM299" s="465">
        <f t="shared" ref="CM299" si="1221">SUMPRODUCT(CM300:CM320,$H300:$H320)</f>
        <v>0</v>
      </c>
      <c r="CN299" s="465">
        <f t="shared" ref="CN299" si="1222">SUMPRODUCT(CN300:CN320,$H300:$H320)</f>
        <v>0</v>
      </c>
      <c r="CO299" s="465">
        <f t="shared" ref="CO299" si="1223">SUMPRODUCT(CO300:CO320,$H300:$H320)</f>
        <v>0</v>
      </c>
      <c r="CP299" s="465">
        <f t="shared" ref="CP299" si="1224">SUMPRODUCT(CP300:CP320,$H300:$H320)</f>
        <v>0</v>
      </c>
      <c r="CQ299" s="465">
        <f t="shared" ref="CQ299" si="1225">SUMPRODUCT(CQ300:CQ320,$H300:$H320)</f>
        <v>0</v>
      </c>
      <c r="CR299" s="465">
        <f t="shared" ref="CR299" si="1226">SUMPRODUCT(CR300:CR320,$H300:$H320)</f>
        <v>0</v>
      </c>
      <c r="CS299" s="465">
        <f t="shared" ref="CS299" si="1227">SUMPRODUCT(CS300:CS320,$H300:$H320)</f>
        <v>0</v>
      </c>
      <c r="CT299" s="465">
        <f t="shared" ref="CT299" si="1228">SUMPRODUCT(CT300:CT320,$H300:$H320)</f>
        <v>0</v>
      </c>
      <c r="CU299" s="465">
        <f t="shared" ref="CU299" si="1229">SUMPRODUCT(CU300:CU320,$H300:$H320)</f>
        <v>0</v>
      </c>
      <c r="CV299" s="465">
        <f t="shared" ref="CV299" si="1230">SUMPRODUCT(CV300:CV320,$H300:$H320)</f>
        <v>0</v>
      </c>
      <c r="CW299" s="465">
        <f t="shared" ref="CW299" si="1231">SUMPRODUCT(CW300:CW320,$H300:$H320)</f>
        <v>0</v>
      </c>
      <c r="CX299" s="465">
        <f t="shared" ref="CX299" si="1232">SUMPRODUCT(CX300:CX320,$H300:$H320)</f>
        <v>0</v>
      </c>
      <c r="CY299" s="465">
        <f t="shared" ref="CY299" si="1233">SUMPRODUCT(CY300:CY320,$H300:$H320)</f>
        <v>0</v>
      </c>
      <c r="CZ299" s="465">
        <f t="shared" ref="CZ299" si="1234">SUMPRODUCT(CZ300:CZ320,$H300:$H320)</f>
        <v>0</v>
      </c>
      <c r="DA299" s="465">
        <f t="shared" ref="DA299" si="1235">SUMPRODUCT(DA300:DA320,$H300:$H320)</f>
        <v>0</v>
      </c>
      <c r="DB299" s="465">
        <f t="shared" ref="DB299" si="1236">SUMPRODUCT(DB300:DB320,$H300:$H320)</f>
        <v>0</v>
      </c>
      <c r="DC299" s="465">
        <f t="shared" ref="DC299" si="1237">SUMPRODUCT(DC300:DC320,$H300:$H320)</f>
        <v>0</v>
      </c>
      <c r="DD299" s="465">
        <f t="shared" ref="DD299" si="1238">SUMPRODUCT(DD300:DD320,$H300:$H320)</f>
        <v>0</v>
      </c>
      <c r="DE299" s="465">
        <f t="shared" ref="DE299" si="1239">SUMPRODUCT(DE300:DE320,$H300:$H320)</f>
        <v>0</v>
      </c>
      <c r="DF299" s="465">
        <f t="shared" ref="DF299" si="1240">SUMPRODUCT(DF300:DF320,$H300:$H320)</f>
        <v>0</v>
      </c>
      <c r="DG299" s="465">
        <f t="shared" ref="DG299" si="1241">SUMPRODUCT(DG300:DG320,$H300:$H320)</f>
        <v>0</v>
      </c>
      <c r="DH299" s="465">
        <f t="shared" ref="DH299" si="1242">SUMPRODUCT(DH300:DH320,$H300:$H320)</f>
        <v>0</v>
      </c>
      <c r="DI299" s="465">
        <f t="shared" ref="DI299" si="1243">SUMPRODUCT(DI300:DI320,$H300:$H320)</f>
        <v>0</v>
      </c>
    </row>
    <row r="300" spans="1:113" ht="16.05" hidden="1" customHeight="1" outlineLevel="1" x14ac:dyDescent="0.3">
      <c r="A300" s="455" t="str">
        <f t="shared" si="1091"/>
        <v/>
      </c>
      <c r="B300" s="455"/>
      <c r="C300" s="481"/>
      <c r="D300" s="463" t="s">
        <v>920</v>
      </c>
      <c r="E300" s="482"/>
      <c r="F300" s="483"/>
      <c r="G300" s="484"/>
      <c r="H300" s="485"/>
      <c r="I300" s="466">
        <f t="shared" ref="I300:I319" si="1244">G300*H300</f>
        <v>0</v>
      </c>
      <c r="J300" s="259"/>
      <c r="K300" s="478">
        <f>SUM(N300:BI300)</f>
        <v>0</v>
      </c>
      <c r="L300" s="466">
        <f>K300*$H300</f>
        <v>0</v>
      </c>
      <c r="M300" s="257"/>
      <c r="N300" s="478"/>
      <c r="O300" s="478"/>
      <c r="P300" s="478"/>
      <c r="Q300" s="478"/>
      <c r="R300" s="478"/>
      <c r="S300" s="478"/>
      <c r="T300" s="478"/>
      <c r="U300" s="478"/>
      <c r="V300" s="478"/>
      <c r="W300" s="478"/>
      <c r="X300" s="478"/>
      <c r="Y300" s="478"/>
      <c r="Z300" s="478"/>
      <c r="AA300" s="478"/>
      <c r="AB300" s="478"/>
      <c r="AC300" s="478"/>
      <c r="AD300" s="478"/>
      <c r="AE300" s="478"/>
      <c r="AF300" s="478"/>
      <c r="AG300" s="478"/>
      <c r="AH300" s="478"/>
      <c r="AI300" s="478"/>
      <c r="AJ300" s="478"/>
      <c r="AK300" s="478"/>
      <c r="AL300" s="478"/>
      <c r="AM300" s="478"/>
      <c r="AN300" s="478"/>
      <c r="AO300" s="478"/>
      <c r="AP300" s="478"/>
      <c r="AQ300" s="478"/>
      <c r="AR300" s="478"/>
      <c r="AS300" s="478"/>
      <c r="AT300" s="478"/>
      <c r="AU300" s="478"/>
      <c r="AV300" s="478"/>
      <c r="AW300" s="478"/>
      <c r="AX300" s="478"/>
      <c r="AY300" s="478"/>
      <c r="AZ300" s="478"/>
      <c r="BA300" s="478"/>
      <c r="BB300" s="478"/>
      <c r="BC300" s="478"/>
      <c r="BD300" s="478"/>
      <c r="BE300" s="478"/>
      <c r="BF300" s="478"/>
      <c r="BG300" s="478"/>
      <c r="BH300" s="478"/>
      <c r="BI300" s="478"/>
      <c r="BJ300" s="245"/>
      <c r="BK300" s="477">
        <f>IFERROR(BL300/I300,0)</f>
        <v>0</v>
      </c>
      <c r="BL300" s="466">
        <f>SUM(BN300:DJ300)*$H300</f>
        <v>0</v>
      </c>
      <c r="BM300" s="257"/>
      <c r="BN300" s="478"/>
      <c r="BO300" s="478"/>
      <c r="BP300" s="478"/>
      <c r="BQ300" s="478"/>
      <c r="BR300" s="478"/>
      <c r="BS300" s="478"/>
      <c r="BT300" s="478"/>
      <c r="BU300" s="478"/>
      <c r="BV300" s="478"/>
      <c r="BW300" s="478"/>
      <c r="BX300" s="478"/>
      <c r="BY300" s="478"/>
      <c r="BZ300" s="478"/>
      <c r="CA300" s="478"/>
      <c r="CB300" s="478"/>
      <c r="CC300" s="478"/>
      <c r="CD300" s="478"/>
      <c r="CE300" s="478"/>
      <c r="CF300" s="478"/>
      <c r="CG300" s="478"/>
      <c r="CH300" s="478"/>
      <c r="CI300" s="478"/>
      <c r="CJ300" s="478"/>
      <c r="CK300" s="478"/>
      <c r="CL300" s="478"/>
      <c r="CM300" s="478"/>
      <c r="CN300" s="478"/>
      <c r="CO300" s="478"/>
      <c r="CP300" s="478"/>
      <c r="CQ300" s="478"/>
      <c r="CR300" s="478"/>
      <c r="CS300" s="478"/>
      <c r="CT300" s="478"/>
      <c r="CU300" s="478"/>
      <c r="CV300" s="478"/>
      <c r="CW300" s="478"/>
      <c r="CX300" s="478"/>
      <c r="CY300" s="478"/>
      <c r="CZ300" s="478"/>
      <c r="DA300" s="478"/>
      <c r="DB300" s="478"/>
      <c r="DC300" s="478"/>
      <c r="DD300" s="478"/>
      <c r="DE300" s="478"/>
      <c r="DF300" s="478"/>
      <c r="DG300" s="478"/>
      <c r="DH300" s="478"/>
      <c r="DI300" s="478"/>
    </row>
    <row r="301" spans="1:113" ht="16.05" hidden="1" customHeight="1" outlineLevel="1" x14ac:dyDescent="0.3">
      <c r="A301" s="455" t="str">
        <f t="shared" si="1091"/>
        <v/>
      </c>
      <c r="B301" s="455"/>
      <c r="C301" s="481"/>
      <c r="D301" s="463" t="s">
        <v>921</v>
      </c>
      <c r="E301" s="482"/>
      <c r="F301" s="483"/>
      <c r="G301" s="484"/>
      <c r="H301" s="485"/>
      <c r="I301" s="466">
        <f t="shared" si="1244"/>
        <v>0</v>
      </c>
      <c r="J301" s="259"/>
      <c r="K301" s="478">
        <f t="shared" ref="K301:K319" si="1245">SUM(N301:BI301)</f>
        <v>0</v>
      </c>
      <c r="L301" s="466">
        <f t="shared" ref="L301:L319" si="1246">K301*$H301</f>
        <v>0</v>
      </c>
      <c r="M301" s="257"/>
      <c r="N301" s="478"/>
      <c r="O301" s="478"/>
      <c r="P301" s="478"/>
      <c r="Q301" s="478"/>
      <c r="R301" s="478"/>
      <c r="S301" s="478"/>
      <c r="T301" s="478"/>
      <c r="U301" s="478"/>
      <c r="V301" s="478"/>
      <c r="W301" s="478"/>
      <c r="X301" s="478"/>
      <c r="Y301" s="478"/>
      <c r="Z301" s="478"/>
      <c r="AA301" s="478"/>
      <c r="AB301" s="478"/>
      <c r="AC301" s="478"/>
      <c r="AD301" s="478"/>
      <c r="AE301" s="478"/>
      <c r="AF301" s="478"/>
      <c r="AG301" s="478"/>
      <c r="AH301" s="478"/>
      <c r="AI301" s="478"/>
      <c r="AJ301" s="478"/>
      <c r="AK301" s="478"/>
      <c r="AL301" s="478"/>
      <c r="AM301" s="478"/>
      <c r="AN301" s="478"/>
      <c r="AO301" s="478"/>
      <c r="AP301" s="478"/>
      <c r="AQ301" s="478"/>
      <c r="AR301" s="478"/>
      <c r="AS301" s="478"/>
      <c r="AT301" s="478"/>
      <c r="AU301" s="478"/>
      <c r="AV301" s="478"/>
      <c r="AW301" s="478"/>
      <c r="AX301" s="478"/>
      <c r="AY301" s="478"/>
      <c r="AZ301" s="478"/>
      <c r="BA301" s="478"/>
      <c r="BB301" s="478"/>
      <c r="BC301" s="478"/>
      <c r="BD301" s="478"/>
      <c r="BE301" s="478"/>
      <c r="BF301" s="478"/>
      <c r="BG301" s="478"/>
      <c r="BH301" s="478"/>
      <c r="BI301" s="478"/>
      <c r="BJ301" s="245"/>
      <c r="BK301" s="477">
        <f t="shared" ref="BK301:BK319" si="1247">IFERROR(BL301/I301,0)</f>
        <v>0</v>
      </c>
      <c r="BL301" s="466">
        <f t="shared" ref="BL301:BL319" si="1248">SUM(BN301:DJ301)*$H301</f>
        <v>0</v>
      </c>
      <c r="BM301" s="257"/>
      <c r="BN301" s="478"/>
      <c r="BO301" s="478"/>
      <c r="BP301" s="478"/>
      <c r="BQ301" s="478"/>
      <c r="BR301" s="478"/>
      <c r="BS301" s="478"/>
      <c r="BT301" s="478"/>
      <c r="BU301" s="478"/>
      <c r="BV301" s="478"/>
      <c r="BW301" s="478"/>
      <c r="BX301" s="478"/>
      <c r="BY301" s="478"/>
      <c r="BZ301" s="478"/>
      <c r="CA301" s="478"/>
      <c r="CB301" s="478"/>
      <c r="CC301" s="478"/>
      <c r="CD301" s="478"/>
      <c r="CE301" s="478"/>
      <c r="CF301" s="478"/>
      <c r="CG301" s="478"/>
      <c r="CH301" s="478"/>
      <c r="CI301" s="478"/>
      <c r="CJ301" s="478"/>
      <c r="CK301" s="478"/>
      <c r="CL301" s="478"/>
      <c r="CM301" s="478"/>
      <c r="CN301" s="478"/>
      <c r="CO301" s="478"/>
      <c r="CP301" s="478"/>
      <c r="CQ301" s="478"/>
      <c r="CR301" s="478"/>
      <c r="CS301" s="478"/>
      <c r="CT301" s="478"/>
      <c r="CU301" s="478"/>
      <c r="CV301" s="478"/>
      <c r="CW301" s="478"/>
      <c r="CX301" s="478"/>
      <c r="CY301" s="478"/>
      <c r="CZ301" s="478"/>
      <c r="DA301" s="478"/>
      <c r="DB301" s="478"/>
      <c r="DC301" s="478"/>
      <c r="DD301" s="478"/>
      <c r="DE301" s="478"/>
      <c r="DF301" s="478"/>
      <c r="DG301" s="478"/>
      <c r="DH301" s="478"/>
      <c r="DI301" s="478"/>
    </row>
    <row r="302" spans="1:113" ht="16.05" hidden="1" customHeight="1" outlineLevel="1" x14ac:dyDescent="0.3">
      <c r="A302" s="455" t="str">
        <f t="shared" si="1091"/>
        <v/>
      </c>
      <c r="B302" s="455"/>
      <c r="C302" s="481"/>
      <c r="D302" s="463" t="s">
        <v>922</v>
      </c>
      <c r="E302" s="482"/>
      <c r="F302" s="483"/>
      <c r="G302" s="484"/>
      <c r="H302" s="485"/>
      <c r="I302" s="466">
        <f t="shared" si="1244"/>
        <v>0</v>
      </c>
      <c r="J302" s="259"/>
      <c r="K302" s="478">
        <f t="shared" si="1245"/>
        <v>0</v>
      </c>
      <c r="L302" s="466">
        <f t="shared" si="1246"/>
        <v>0</v>
      </c>
      <c r="M302" s="257"/>
      <c r="N302" s="478"/>
      <c r="O302" s="478"/>
      <c r="P302" s="478"/>
      <c r="Q302" s="478"/>
      <c r="R302" s="478"/>
      <c r="S302" s="478"/>
      <c r="T302" s="478"/>
      <c r="U302" s="478"/>
      <c r="V302" s="478"/>
      <c r="W302" s="478"/>
      <c r="X302" s="478"/>
      <c r="Y302" s="478"/>
      <c r="Z302" s="478"/>
      <c r="AA302" s="478"/>
      <c r="AB302" s="478"/>
      <c r="AC302" s="478"/>
      <c r="AD302" s="478"/>
      <c r="AE302" s="478"/>
      <c r="AF302" s="478"/>
      <c r="AG302" s="478"/>
      <c r="AH302" s="478"/>
      <c r="AI302" s="478"/>
      <c r="AJ302" s="478"/>
      <c r="AK302" s="478"/>
      <c r="AL302" s="478"/>
      <c r="AM302" s="478"/>
      <c r="AN302" s="478"/>
      <c r="AO302" s="478"/>
      <c r="AP302" s="478"/>
      <c r="AQ302" s="478"/>
      <c r="AR302" s="478"/>
      <c r="AS302" s="478"/>
      <c r="AT302" s="478"/>
      <c r="AU302" s="478"/>
      <c r="AV302" s="478"/>
      <c r="AW302" s="478"/>
      <c r="AX302" s="478"/>
      <c r="AY302" s="478"/>
      <c r="AZ302" s="478"/>
      <c r="BA302" s="478"/>
      <c r="BB302" s="478"/>
      <c r="BC302" s="478"/>
      <c r="BD302" s="478"/>
      <c r="BE302" s="478"/>
      <c r="BF302" s="478"/>
      <c r="BG302" s="478"/>
      <c r="BH302" s="478"/>
      <c r="BI302" s="478"/>
      <c r="BJ302" s="245"/>
      <c r="BK302" s="477">
        <f t="shared" si="1247"/>
        <v>0</v>
      </c>
      <c r="BL302" s="466">
        <f t="shared" si="1248"/>
        <v>0</v>
      </c>
      <c r="BM302" s="257"/>
      <c r="BN302" s="478"/>
      <c r="BO302" s="478"/>
      <c r="BP302" s="478"/>
      <c r="BQ302" s="478"/>
      <c r="BR302" s="478"/>
      <c r="BS302" s="478"/>
      <c r="BT302" s="478"/>
      <c r="BU302" s="478"/>
      <c r="BV302" s="478"/>
      <c r="BW302" s="478"/>
      <c r="BX302" s="478"/>
      <c r="BY302" s="478"/>
      <c r="BZ302" s="478"/>
      <c r="CA302" s="478"/>
      <c r="CB302" s="478"/>
      <c r="CC302" s="478"/>
      <c r="CD302" s="478"/>
      <c r="CE302" s="478"/>
      <c r="CF302" s="478"/>
      <c r="CG302" s="478"/>
      <c r="CH302" s="478"/>
      <c r="CI302" s="478"/>
      <c r="CJ302" s="478"/>
      <c r="CK302" s="478"/>
      <c r="CL302" s="478"/>
      <c r="CM302" s="478"/>
      <c r="CN302" s="478"/>
      <c r="CO302" s="478"/>
      <c r="CP302" s="478"/>
      <c r="CQ302" s="478"/>
      <c r="CR302" s="478"/>
      <c r="CS302" s="478"/>
      <c r="CT302" s="478"/>
      <c r="CU302" s="478"/>
      <c r="CV302" s="478"/>
      <c r="CW302" s="478"/>
      <c r="CX302" s="478"/>
      <c r="CY302" s="478"/>
      <c r="CZ302" s="478"/>
      <c r="DA302" s="478"/>
      <c r="DB302" s="478"/>
      <c r="DC302" s="478"/>
      <c r="DD302" s="478"/>
      <c r="DE302" s="478"/>
      <c r="DF302" s="478"/>
      <c r="DG302" s="478"/>
      <c r="DH302" s="478"/>
      <c r="DI302" s="478"/>
    </row>
    <row r="303" spans="1:113" ht="16.05" hidden="1" customHeight="1" outlineLevel="1" x14ac:dyDescent="0.3">
      <c r="A303" s="455" t="str">
        <f t="shared" si="1091"/>
        <v/>
      </c>
      <c r="B303" s="455"/>
      <c r="C303" s="481"/>
      <c r="D303" s="463" t="s">
        <v>923</v>
      </c>
      <c r="E303" s="482"/>
      <c r="F303" s="483"/>
      <c r="G303" s="484"/>
      <c r="H303" s="485"/>
      <c r="I303" s="466">
        <f t="shared" si="1244"/>
        <v>0</v>
      </c>
      <c r="J303" s="259"/>
      <c r="K303" s="478">
        <f t="shared" si="1245"/>
        <v>0</v>
      </c>
      <c r="L303" s="466">
        <f t="shared" si="1246"/>
        <v>0</v>
      </c>
      <c r="M303" s="257"/>
      <c r="N303" s="478"/>
      <c r="O303" s="478"/>
      <c r="P303" s="478"/>
      <c r="Q303" s="478"/>
      <c r="R303" s="478"/>
      <c r="S303" s="478"/>
      <c r="T303" s="478"/>
      <c r="U303" s="478"/>
      <c r="V303" s="478"/>
      <c r="W303" s="478"/>
      <c r="X303" s="478"/>
      <c r="Y303" s="478"/>
      <c r="Z303" s="478"/>
      <c r="AA303" s="478"/>
      <c r="AB303" s="478"/>
      <c r="AC303" s="478"/>
      <c r="AD303" s="478"/>
      <c r="AE303" s="478"/>
      <c r="AF303" s="478"/>
      <c r="AG303" s="478"/>
      <c r="AH303" s="478"/>
      <c r="AI303" s="478"/>
      <c r="AJ303" s="478"/>
      <c r="AK303" s="478"/>
      <c r="AL303" s="478"/>
      <c r="AM303" s="478"/>
      <c r="AN303" s="478"/>
      <c r="AO303" s="478"/>
      <c r="AP303" s="478"/>
      <c r="AQ303" s="478"/>
      <c r="AR303" s="478"/>
      <c r="AS303" s="478"/>
      <c r="AT303" s="478"/>
      <c r="AU303" s="478"/>
      <c r="AV303" s="478"/>
      <c r="AW303" s="478"/>
      <c r="AX303" s="478"/>
      <c r="AY303" s="478"/>
      <c r="AZ303" s="478"/>
      <c r="BA303" s="478"/>
      <c r="BB303" s="478"/>
      <c r="BC303" s="478"/>
      <c r="BD303" s="478"/>
      <c r="BE303" s="478"/>
      <c r="BF303" s="478"/>
      <c r="BG303" s="478"/>
      <c r="BH303" s="478"/>
      <c r="BI303" s="478"/>
      <c r="BJ303" s="245"/>
      <c r="BK303" s="477">
        <f t="shared" si="1247"/>
        <v>0</v>
      </c>
      <c r="BL303" s="466">
        <f t="shared" si="1248"/>
        <v>0</v>
      </c>
      <c r="BM303" s="257"/>
      <c r="BN303" s="478"/>
      <c r="BO303" s="478"/>
      <c r="BP303" s="478"/>
      <c r="BQ303" s="478"/>
      <c r="BR303" s="478"/>
      <c r="BS303" s="478"/>
      <c r="BT303" s="478"/>
      <c r="BU303" s="478"/>
      <c r="BV303" s="478"/>
      <c r="BW303" s="478"/>
      <c r="BX303" s="478"/>
      <c r="BY303" s="478"/>
      <c r="BZ303" s="478"/>
      <c r="CA303" s="478"/>
      <c r="CB303" s="478"/>
      <c r="CC303" s="478"/>
      <c r="CD303" s="478"/>
      <c r="CE303" s="478"/>
      <c r="CF303" s="478"/>
      <c r="CG303" s="478"/>
      <c r="CH303" s="478"/>
      <c r="CI303" s="478"/>
      <c r="CJ303" s="478"/>
      <c r="CK303" s="478"/>
      <c r="CL303" s="478"/>
      <c r="CM303" s="478"/>
      <c r="CN303" s="478"/>
      <c r="CO303" s="478"/>
      <c r="CP303" s="478"/>
      <c r="CQ303" s="478"/>
      <c r="CR303" s="478"/>
      <c r="CS303" s="478"/>
      <c r="CT303" s="478"/>
      <c r="CU303" s="478"/>
      <c r="CV303" s="478"/>
      <c r="CW303" s="478"/>
      <c r="CX303" s="478"/>
      <c r="CY303" s="478"/>
      <c r="CZ303" s="478"/>
      <c r="DA303" s="478"/>
      <c r="DB303" s="478"/>
      <c r="DC303" s="478"/>
      <c r="DD303" s="478"/>
      <c r="DE303" s="478"/>
      <c r="DF303" s="478"/>
      <c r="DG303" s="478"/>
      <c r="DH303" s="478"/>
      <c r="DI303" s="478"/>
    </row>
    <row r="304" spans="1:113" ht="16.05" hidden="1" customHeight="1" outlineLevel="1" x14ac:dyDescent="0.3">
      <c r="A304" s="455" t="str">
        <f t="shared" si="1091"/>
        <v/>
      </c>
      <c r="B304" s="455"/>
      <c r="C304" s="481"/>
      <c r="D304" s="463" t="s">
        <v>924</v>
      </c>
      <c r="E304" s="482"/>
      <c r="F304" s="483"/>
      <c r="G304" s="484"/>
      <c r="H304" s="485"/>
      <c r="I304" s="466">
        <f t="shared" si="1244"/>
        <v>0</v>
      </c>
      <c r="J304" s="259"/>
      <c r="K304" s="478">
        <f t="shared" si="1245"/>
        <v>0</v>
      </c>
      <c r="L304" s="466">
        <f t="shared" si="1246"/>
        <v>0</v>
      </c>
      <c r="M304" s="257"/>
      <c r="N304" s="478"/>
      <c r="O304" s="478"/>
      <c r="P304" s="478"/>
      <c r="Q304" s="478"/>
      <c r="R304" s="478"/>
      <c r="S304" s="478"/>
      <c r="T304" s="478"/>
      <c r="U304" s="478"/>
      <c r="V304" s="478"/>
      <c r="W304" s="478"/>
      <c r="X304" s="478"/>
      <c r="Y304" s="478"/>
      <c r="Z304" s="478"/>
      <c r="AA304" s="478"/>
      <c r="AB304" s="478"/>
      <c r="AC304" s="478"/>
      <c r="AD304" s="478"/>
      <c r="AE304" s="478"/>
      <c r="AF304" s="478"/>
      <c r="AG304" s="478"/>
      <c r="AH304" s="478"/>
      <c r="AI304" s="478"/>
      <c r="AJ304" s="478"/>
      <c r="AK304" s="478"/>
      <c r="AL304" s="478"/>
      <c r="AM304" s="478"/>
      <c r="AN304" s="478"/>
      <c r="AO304" s="478"/>
      <c r="AP304" s="478"/>
      <c r="AQ304" s="478"/>
      <c r="AR304" s="478"/>
      <c r="AS304" s="478"/>
      <c r="AT304" s="478"/>
      <c r="AU304" s="478"/>
      <c r="AV304" s="478"/>
      <c r="AW304" s="478"/>
      <c r="AX304" s="478"/>
      <c r="AY304" s="478"/>
      <c r="AZ304" s="478"/>
      <c r="BA304" s="478"/>
      <c r="BB304" s="478"/>
      <c r="BC304" s="478"/>
      <c r="BD304" s="478"/>
      <c r="BE304" s="478"/>
      <c r="BF304" s="478"/>
      <c r="BG304" s="478"/>
      <c r="BH304" s="478"/>
      <c r="BI304" s="478"/>
      <c r="BJ304" s="245"/>
      <c r="BK304" s="477">
        <f t="shared" si="1247"/>
        <v>0</v>
      </c>
      <c r="BL304" s="466">
        <f t="shared" si="1248"/>
        <v>0</v>
      </c>
      <c r="BM304" s="257"/>
      <c r="BN304" s="478"/>
      <c r="BO304" s="478"/>
      <c r="BP304" s="478"/>
      <c r="BQ304" s="478"/>
      <c r="BR304" s="478"/>
      <c r="BS304" s="478"/>
      <c r="BT304" s="478"/>
      <c r="BU304" s="478"/>
      <c r="BV304" s="478"/>
      <c r="BW304" s="478"/>
      <c r="BX304" s="478"/>
      <c r="BY304" s="478"/>
      <c r="BZ304" s="478"/>
      <c r="CA304" s="478"/>
      <c r="CB304" s="478"/>
      <c r="CC304" s="478"/>
      <c r="CD304" s="478"/>
      <c r="CE304" s="478"/>
      <c r="CF304" s="478"/>
      <c r="CG304" s="478"/>
      <c r="CH304" s="478"/>
      <c r="CI304" s="478"/>
      <c r="CJ304" s="478"/>
      <c r="CK304" s="478"/>
      <c r="CL304" s="478"/>
      <c r="CM304" s="478"/>
      <c r="CN304" s="478"/>
      <c r="CO304" s="478"/>
      <c r="CP304" s="478"/>
      <c r="CQ304" s="478"/>
      <c r="CR304" s="478"/>
      <c r="CS304" s="478"/>
      <c r="CT304" s="478"/>
      <c r="CU304" s="478"/>
      <c r="CV304" s="478"/>
      <c r="CW304" s="478"/>
      <c r="CX304" s="478"/>
      <c r="CY304" s="478"/>
      <c r="CZ304" s="478"/>
      <c r="DA304" s="478"/>
      <c r="DB304" s="478"/>
      <c r="DC304" s="478"/>
      <c r="DD304" s="478"/>
      <c r="DE304" s="478"/>
      <c r="DF304" s="478"/>
      <c r="DG304" s="478"/>
      <c r="DH304" s="478"/>
      <c r="DI304" s="478"/>
    </row>
    <row r="305" spans="1:113" ht="16.05" hidden="1" customHeight="1" outlineLevel="1" x14ac:dyDescent="0.3">
      <c r="A305" s="455" t="str">
        <f t="shared" si="1091"/>
        <v/>
      </c>
      <c r="B305" s="455"/>
      <c r="C305" s="481"/>
      <c r="D305" s="463" t="s">
        <v>925</v>
      </c>
      <c r="E305" s="482"/>
      <c r="F305" s="483"/>
      <c r="G305" s="484"/>
      <c r="H305" s="485"/>
      <c r="I305" s="466">
        <f t="shared" si="1244"/>
        <v>0</v>
      </c>
      <c r="J305" s="259"/>
      <c r="K305" s="478">
        <f t="shared" si="1245"/>
        <v>0</v>
      </c>
      <c r="L305" s="466">
        <f t="shared" si="1246"/>
        <v>0</v>
      </c>
      <c r="M305" s="257"/>
      <c r="N305" s="478"/>
      <c r="O305" s="478"/>
      <c r="P305" s="478"/>
      <c r="Q305" s="478"/>
      <c r="R305" s="478"/>
      <c r="S305" s="478"/>
      <c r="T305" s="478"/>
      <c r="U305" s="478"/>
      <c r="V305" s="478"/>
      <c r="W305" s="478"/>
      <c r="X305" s="478"/>
      <c r="Y305" s="478"/>
      <c r="Z305" s="478"/>
      <c r="AA305" s="478"/>
      <c r="AB305" s="478"/>
      <c r="AC305" s="478"/>
      <c r="AD305" s="478"/>
      <c r="AE305" s="478"/>
      <c r="AF305" s="478"/>
      <c r="AG305" s="478"/>
      <c r="AH305" s="478"/>
      <c r="AI305" s="478"/>
      <c r="AJ305" s="478"/>
      <c r="AK305" s="478"/>
      <c r="AL305" s="478"/>
      <c r="AM305" s="478"/>
      <c r="AN305" s="478"/>
      <c r="AO305" s="478"/>
      <c r="AP305" s="478"/>
      <c r="AQ305" s="478"/>
      <c r="AR305" s="478"/>
      <c r="AS305" s="478"/>
      <c r="AT305" s="478"/>
      <c r="AU305" s="478"/>
      <c r="AV305" s="478"/>
      <c r="AW305" s="478"/>
      <c r="AX305" s="478"/>
      <c r="AY305" s="478"/>
      <c r="AZ305" s="478"/>
      <c r="BA305" s="478"/>
      <c r="BB305" s="478"/>
      <c r="BC305" s="478"/>
      <c r="BD305" s="478"/>
      <c r="BE305" s="478"/>
      <c r="BF305" s="478"/>
      <c r="BG305" s="478"/>
      <c r="BH305" s="478"/>
      <c r="BI305" s="478"/>
      <c r="BJ305" s="245"/>
      <c r="BK305" s="477">
        <f t="shared" si="1247"/>
        <v>0</v>
      </c>
      <c r="BL305" s="466">
        <f t="shared" si="1248"/>
        <v>0</v>
      </c>
      <c r="BM305" s="257"/>
      <c r="BN305" s="478"/>
      <c r="BO305" s="478"/>
      <c r="BP305" s="478"/>
      <c r="BQ305" s="478"/>
      <c r="BR305" s="478"/>
      <c r="BS305" s="478"/>
      <c r="BT305" s="478"/>
      <c r="BU305" s="478"/>
      <c r="BV305" s="478"/>
      <c r="BW305" s="478"/>
      <c r="BX305" s="478"/>
      <c r="BY305" s="478"/>
      <c r="BZ305" s="478"/>
      <c r="CA305" s="478"/>
      <c r="CB305" s="478"/>
      <c r="CC305" s="478"/>
      <c r="CD305" s="478"/>
      <c r="CE305" s="478"/>
      <c r="CF305" s="478"/>
      <c r="CG305" s="478"/>
      <c r="CH305" s="478"/>
      <c r="CI305" s="478"/>
      <c r="CJ305" s="478"/>
      <c r="CK305" s="478"/>
      <c r="CL305" s="478"/>
      <c r="CM305" s="478"/>
      <c r="CN305" s="478"/>
      <c r="CO305" s="478"/>
      <c r="CP305" s="478"/>
      <c r="CQ305" s="478"/>
      <c r="CR305" s="478"/>
      <c r="CS305" s="478"/>
      <c r="CT305" s="478"/>
      <c r="CU305" s="478"/>
      <c r="CV305" s="478"/>
      <c r="CW305" s="478"/>
      <c r="CX305" s="478"/>
      <c r="CY305" s="478"/>
      <c r="CZ305" s="478"/>
      <c r="DA305" s="478"/>
      <c r="DB305" s="478"/>
      <c r="DC305" s="478"/>
      <c r="DD305" s="478"/>
      <c r="DE305" s="478"/>
      <c r="DF305" s="478"/>
      <c r="DG305" s="478"/>
      <c r="DH305" s="478"/>
      <c r="DI305" s="478"/>
    </row>
    <row r="306" spans="1:113" ht="16.05" hidden="1" customHeight="1" outlineLevel="1" x14ac:dyDescent="0.3">
      <c r="A306" s="455" t="str">
        <f t="shared" si="1091"/>
        <v/>
      </c>
      <c r="B306" s="455"/>
      <c r="C306" s="481"/>
      <c r="D306" s="463" t="s">
        <v>926</v>
      </c>
      <c r="E306" s="482"/>
      <c r="F306" s="483"/>
      <c r="G306" s="484"/>
      <c r="H306" s="485"/>
      <c r="I306" s="466">
        <f t="shared" si="1244"/>
        <v>0</v>
      </c>
      <c r="J306" s="259"/>
      <c r="K306" s="478">
        <f t="shared" si="1245"/>
        <v>0</v>
      </c>
      <c r="L306" s="466">
        <f t="shared" si="1246"/>
        <v>0</v>
      </c>
      <c r="M306" s="257"/>
      <c r="N306" s="478"/>
      <c r="O306" s="478"/>
      <c r="P306" s="478"/>
      <c r="Q306" s="478"/>
      <c r="R306" s="478"/>
      <c r="S306" s="478"/>
      <c r="T306" s="478"/>
      <c r="U306" s="478"/>
      <c r="V306" s="478"/>
      <c r="W306" s="478"/>
      <c r="X306" s="478"/>
      <c r="Y306" s="478"/>
      <c r="Z306" s="478"/>
      <c r="AA306" s="478"/>
      <c r="AB306" s="478"/>
      <c r="AC306" s="478"/>
      <c r="AD306" s="478"/>
      <c r="AE306" s="478"/>
      <c r="AF306" s="478"/>
      <c r="AG306" s="478"/>
      <c r="AH306" s="478"/>
      <c r="AI306" s="478"/>
      <c r="AJ306" s="478"/>
      <c r="AK306" s="478"/>
      <c r="AL306" s="478"/>
      <c r="AM306" s="478"/>
      <c r="AN306" s="478"/>
      <c r="AO306" s="478"/>
      <c r="AP306" s="478"/>
      <c r="AQ306" s="478"/>
      <c r="AR306" s="478"/>
      <c r="AS306" s="478"/>
      <c r="AT306" s="478"/>
      <c r="AU306" s="478"/>
      <c r="AV306" s="478"/>
      <c r="AW306" s="478"/>
      <c r="AX306" s="478"/>
      <c r="AY306" s="478"/>
      <c r="AZ306" s="478"/>
      <c r="BA306" s="478"/>
      <c r="BB306" s="478"/>
      <c r="BC306" s="478"/>
      <c r="BD306" s="478"/>
      <c r="BE306" s="478"/>
      <c r="BF306" s="478"/>
      <c r="BG306" s="478"/>
      <c r="BH306" s="478"/>
      <c r="BI306" s="478"/>
      <c r="BJ306" s="245"/>
      <c r="BK306" s="477">
        <f t="shared" si="1247"/>
        <v>0</v>
      </c>
      <c r="BL306" s="466">
        <f t="shared" si="1248"/>
        <v>0</v>
      </c>
      <c r="BM306" s="257"/>
      <c r="BN306" s="478"/>
      <c r="BO306" s="478"/>
      <c r="BP306" s="478"/>
      <c r="BQ306" s="478"/>
      <c r="BR306" s="478"/>
      <c r="BS306" s="478"/>
      <c r="BT306" s="478"/>
      <c r="BU306" s="478"/>
      <c r="BV306" s="478"/>
      <c r="BW306" s="478"/>
      <c r="BX306" s="478"/>
      <c r="BY306" s="478"/>
      <c r="BZ306" s="478"/>
      <c r="CA306" s="478"/>
      <c r="CB306" s="478"/>
      <c r="CC306" s="478"/>
      <c r="CD306" s="478"/>
      <c r="CE306" s="478"/>
      <c r="CF306" s="478"/>
      <c r="CG306" s="478"/>
      <c r="CH306" s="478"/>
      <c r="CI306" s="478"/>
      <c r="CJ306" s="478"/>
      <c r="CK306" s="478"/>
      <c r="CL306" s="478"/>
      <c r="CM306" s="478"/>
      <c r="CN306" s="478"/>
      <c r="CO306" s="478"/>
      <c r="CP306" s="478"/>
      <c r="CQ306" s="478"/>
      <c r="CR306" s="478"/>
      <c r="CS306" s="478"/>
      <c r="CT306" s="478"/>
      <c r="CU306" s="478"/>
      <c r="CV306" s="478"/>
      <c r="CW306" s="478"/>
      <c r="CX306" s="478"/>
      <c r="CY306" s="478"/>
      <c r="CZ306" s="478"/>
      <c r="DA306" s="478"/>
      <c r="DB306" s="478"/>
      <c r="DC306" s="478"/>
      <c r="DD306" s="478"/>
      <c r="DE306" s="478"/>
      <c r="DF306" s="478"/>
      <c r="DG306" s="478"/>
      <c r="DH306" s="478"/>
      <c r="DI306" s="478"/>
    </row>
    <row r="307" spans="1:113" ht="16.05" hidden="1" customHeight="1" outlineLevel="1" x14ac:dyDescent="0.3">
      <c r="A307" s="455" t="str">
        <f t="shared" si="1091"/>
        <v/>
      </c>
      <c r="B307" s="455"/>
      <c r="C307" s="481"/>
      <c r="D307" s="463" t="s">
        <v>927</v>
      </c>
      <c r="E307" s="482"/>
      <c r="F307" s="483"/>
      <c r="G307" s="484"/>
      <c r="H307" s="485"/>
      <c r="I307" s="466">
        <f t="shared" si="1244"/>
        <v>0</v>
      </c>
      <c r="J307" s="259"/>
      <c r="K307" s="478">
        <f t="shared" si="1245"/>
        <v>0</v>
      </c>
      <c r="L307" s="466">
        <f t="shared" si="1246"/>
        <v>0</v>
      </c>
      <c r="M307" s="257"/>
      <c r="N307" s="478"/>
      <c r="O307" s="478"/>
      <c r="P307" s="478"/>
      <c r="Q307" s="478"/>
      <c r="R307" s="478"/>
      <c r="S307" s="478"/>
      <c r="T307" s="478"/>
      <c r="U307" s="478"/>
      <c r="V307" s="478"/>
      <c r="W307" s="478"/>
      <c r="X307" s="478"/>
      <c r="Y307" s="478"/>
      <c r="Z307" s="478"/>
      <c r="AA307" s="478"/>
      <c r="AB307" s="478"/>
      <c r="AC307" s="478"/>
      <c r="AD307" s="478"/>
      <c r="AE307" s="478"/>
      <c r="AF307" s="478"/>
      <c r="AG307" s="478"/>
      <c r="AH307" s="478"/>
      <c r="AI307" s="478"/>
      <c r="AJ307" s="478"/>
      <c r="AK307" s="478"/>
      <c r="AL307" s="478"/>
      <c r="AM307" s="478"/>
      <c r="AN307" s="478"/>
      <c r="AO307" s="478"/>
      <c r="AP307" s="478"/>
      <c r="AQ307" s="478"/>
      <c r="AR307" s="478"/>
      <c r="AS307" s="478"/>
      <c r="AT307" s="478"/>
      <c r="AU307" s="478"/>
      <c r="AV307" s="478"/>
      <c r="AW307" s="478"/>
      <c r="AX307" s="478"/>
      <c r="AY307" s="478"/>
      <c r="AZ307" s="478"/>
      <c r="BA307" s="478"/>
      <c r="BB307" s="478"/>
      <c r="BC307" s="478"/>
      <c r="BD307" s="478"/>
      <c r="BE307" s="478"/>
      <c r="BF307" s="478"/>
      <c r="BG307" s="478"/>
      <c r="BH307" s="478"/>
      <c r="BI307" s="478"/>
      <c r="BJ307" s="245"/>
      <c r="BK307" s="477">
        <f t="shared" si="1247"/>
        <v>0</v>
      </c>
      <c r="BL307" s="466">
        <f t="shared" si="1248"/>
        <v>0</v>
      </c>
      <c r="BM307" s="257"/>
      <c r="BN307" s="478"/>
      <c r="BO307" s="478"/>
      <c r="BP307" s="478"/>
      <c r="BQ307" s="478"/>
      <c r="BR307" s="478"/>
      <c r="BS307" s="478"/>
      <c r="BT307" s="478"/>
      <c r="BU307" s="478"/>
      <c r="BV307" s="478"/>
      <c r="BW307" s="478"/>
      <c r="BX307" s="478"/>
      <c r="BY307" s="478"/>
      <c r="BZ307" s="478"/>
      <c r="CA307" s="478"/>
      <c r="CB307" s="478"/>
      <c r="CC307" s="478"/>
      <c r="CD307" s="478"/>
      <c r="CE307" s="478"/>
      <c r="CF307" s="478"/>
      <c r="CG307" s="478"/>
      <c r="CH307" s="478"/>
      <c r="CI307" s="478"/>
      <c r="CJ307" s="478"/>
      <c r="CK307" s="478"/>
      <c r="CL307" s="478"/>
      <c r="CM307" s="478"/>
      <c r="CN307" s="478"/>
      <c r="CO307" s="478"/>
      <c r="CP307" s="478"/>
      <c r="CQ307" s="478"/>
      <c r="CR307" s="478"/>
      <c r="CS307" s="478"/>
      <c r="CT307" s="478"/>
      <c r="CU307" s="478"/>
      <c r="CV307" s="478"/>
      <c r="CW307" s="478"/>
      <c r="CX307" s="478"/>
      <c r="CY307" s="478"/>
      <c r="CZ307" s="478"/>
      <c r="DA307" s="478"/>
      <c r="DB307" s="478"/>
      <c r="DC307" s="478"/>
      <c r="DD307" s="478"/>
      <c r="DE307" s="478"/>
      <c r="DF307" s="478"/>
      <c r="DG307" s="478"/>
      <c r="DH307" s="478"/>
      <c r="DI307" s="478"/>
    </row>
    <row r="308" spans="1:113" ht="16.05" hidden="1" customHeight="1" outlineLevel="1" x14ac:dyDescent="0.3">
      <c r="A308" s="455" t="str">
        <f t="shared" si="1091"/>
        <v/>
      </c>
      <c r="B308" s="455"/>
      <c r="C308" s="481"/>
      <c r="D308" s="463" t="s">
        <v>928</v>
      </c>
      <c r="E308" s="482"/>
      <c r="F308" s="483"/>
      <c r="G308" s="484"/>
      <c r="H308" s="485"/>
      <c r="I308" s="466">
        <f t="shared" si="1244"/>
        <v>0</v>
      </c>
      <c r="J308" s="259"/>
      <c r="K308" s="478">
        <f t="shared" si="1245"/>
        <v>0</v>
      </c>
      <c r="L308" s="466">
        <f t="shared" si="1246"/>
        <v>0</v>
      </c>
      <c r="M308" s="257"/>
      <c r="N308" s="478"/>
      <c r="O308" s="478"/>
      <c r="P308" s="478"/>
      <c r="Q308" s="478"/>
      <c r="R308" s="478"/>
      <c r="S308" s="478"/>
      <c r="T308" s="478"/>
      <c r="U308" s="478"/>
      <c r="V308" s="478"/>
      <c r="W308" s="478"/>
      <c r="X308" s="478"/>
      <c r="Y308" s="478"/>
      <c r="Z308" s="478"/>
      <c r="AA308" s="478"/>
      <c r="AB308" s="478"/>
      <c r="AC308" s="478"/>
      <c r="AD308" s="478"/>
      <c r="AE308" s="478"/>
      <c r="AF308" s="478"/>
      <c r="AG308" s="478"/>
      <c r="AH308" s="478"/>
      <c r="AI308" s="478"/>
      <c r="AJ308" s="478"/>
      <c r="AK308" s="478"/>
      <c r="AL308" s="478"/>
      <c r="AM308" s="478"/>
      <c r="AN308" s="478"/>
      <c r="AO308" s="478"/>
      <c r="AP308" s="478"/>
      <c r="AQ308" s="478"/>
      <c r="AR308" s="478"/>
      <c r="AS308" s="478"/>
      <c r="AT308" s="478"/>
      <c r="AU308" s="478"/>
      <c r="AV308" s="478"/>
      <c r="AW308" s="478"/>
      <c r="AX308" s="478"/>
      <c r="AY308" s="478"/>
      <c r="AZ308" s="478"/>
      <c r="BA308" s="478"/>
      <c r="BB308" s="478"/>
      <c r="BC308" s="478"/>
      <c r="BD308" s="478"/>
      <c r="BE308" s="478"/>
      <c r="BF308" s="478"/>
      <c r="BG308" s="478"/>
      <c r="BH308" s="478"/>
      <c r="BI308" s="478"/>
      <c r="BJ308" s="245"/>
      <c r="BK308" s="477">
        <f t="shared" si="1247"/>
        <v>0</v>
      </c>
      <c r="BL308" s="466">
        <f t="shared" si="1248"/>
        <v>0</v>
      </c>
      <c r="BM308" s="257"/>
      <c r="BN308" s="478"/>
      <c r="BO308" s="478"/>
      <c r="BP308" s="478"/>
      <c r="BQ308" s="478"/>
      <c r="BR308" s="478"/>
      <c r="BS308" s="478"/>
      <c r="BT308" s="478"/>
      <c r="BU308" s="478"/>
      <c r="BV308" s="478"/>
      <c r="BW308" s="478"/>
      <c r="BX308" s="478"/>
      <c r="BY308" s="478"/>
      <c r="BZ308" s="478"/>
      <c r="CA308" s="478"/>
      <c r="CB308" s="478"/>
      <c r="CC308" s="478"/>
      <c r="CD308" s="478"/>
      <c r="CE308" s="478"/>
      <c r="CF308" s="478"/>
      <c r="CG308" s="478"/>
      <c r="CH308" s="478"/>
      <c r="CI308" s="478"/>
      <c r="CJ308" s="478"/>
      <c r="CK308" s="478"/>
      <c r="CL308" s="478"/>
      <c r="CM308" s="478"/>
      <c r="CN308" s="478"/>
      <c r="CO308" s="478"/>
      <c r="CP308" s="478"/>
      <c r="CQ308" s="478"/>
      <c r="CR308" s="478"/>
      <c r="CS308" s="478"/>
      <c r="CT308" s="478"/>
      <c r="CU308" s="478"/>
      <c r="CV308" s="478"/>
      <c r="CW308" s="478"/>
      <c r="CX308" s="478"/>
      <c r="CY308" s="478"/>
      <c r="CZ308" s="478"/>
      <c r="DA308" s="478"/>
      <c r="DB308" s="478"/>
      <c r="DC308" s="478"/>
      <c r="DD308" s="478"/>
      <c r="DE308" s="478"/>
      <c r="DF308" s="478"/>
      <c r="DG308" s="478"/>
      <c r="DH308" s="478"/>
      <c r="DI308" s="478"/>
    </row>
    <row r="309" spans="1:113" ht="16.05" hidden="1" customHeight="1" outlineLevel="1" x14ac:dyDescent="0.3">
      <c r="A309" s="455" t="str">
        <f t="shared" si="1091"/>
        <v/>
      </c>
      <c r="B309" s="455"/>
      <c r="C309" s="481"/>
      <c r="D309" s="463" t="s">
        <v>929</v>
      </c>
      <c r="E309" s="482"/>
      <c r="F309" s="483"/>
      <c r="G309" s="484"/>
      <c r="H309" s="485"/>
      <c r="I309" s="466">
        <f t="shared" si="1244"/>
        <v>0</v>
      </c>
      <c r="J309" s="259"/>
      <c r="K309" s="478">
        <f t="shared" si="1245"/>
        <v>0</v>
      </c>
      <c r="L309" s="466">
        <f t="shared" si="1246"/>
        <v>0</v>
      </c>
      <c r="M309" s="257"/>
      <c r="N309" s="478"/>
      <c r="O309" s="478"/>
      <c r="P309" s="478"/>
      <c r="Q309" s="478"/>
      <c r="R309" s="478"/>
      <c r="S309" s="478"/>
      <c r="T309" s="478"/>
      <c r="U309" s="478"/>
      <c r="V309" s="478"/>
      <c r="W309" s="478"/>
      <c r="X309" s="478"/>
      <c r="Y309" s="478"/>
      <c r="Z309" s="478"/>
      <c r="AA309" s="478"/>
      <c r="AB309" s="478"/>
      <c r="AC309" s="478"/>
      <c r="AD309" s="478"/>
      <c r="AE309" s="478"/>
      <c r="AF309" s="478"/>
      <c r="AG309" s="478"/>
      <c r="AH309" s="478"/>
      <c r="AI309" s="478"/>
      <c r="AJ309" s="478"/>
      <c r="AK309" s="478"/>
      <c r="AL309" s="478"/>
      <c r="AM309" s="478"/>
      <c r="AN309" s="478"/>
      <c r="AO309" s="478"/>
      <c r="AP309" s="478"/>
      <c r="AQ309" s="478"/>
      <c r="AR309" s="478"/>
      <c r="AS309" s="478"/>
      <c r="AT309" s="478"/>
      <c r="AU309" s="478"/>
      <c r="AV309" s="478"/>
      <c r="AW309" s="478"/>
      <c r="AX309" s="478"/>
      <c r="AY309" s="478"/>
      <c r="AZ309" s="478"/>
      <c r="BA309" s="478"/>
      <c r="BB309" s="478"/>
      <c r="BC309" s="478"/>
      <c r="BD309" s="478"/>
      <c r="BE309" s="478"/>
      <c r="BF309" s="478"/>
      <c r="BG309" s="478"/>
      <c r="BH309" s="478"/>
      <c r="BI309" s="478"/>
      <c r="BJ309" s="245"/>
      <c r="BK309" s="477">
        <f t="shared" si="1247"/>
        <v>0</v>
      </c>
      <c r="BL309" s="466">
        <f t="shared" si="1248"/>
        <v>0</v>
      </c>
      <c r="BM309" s="257"/>
      <c r="BN309" s="478"/>
      <c r="BO309" s="478"/>
      <c r="BP309" s="478"/>
      <c r="BQ309" s="478"/>
      <c r="BR309" s="478"/>
      <c r="BS309" s="478"/>
      <c r="BT309" s="478"/>
      <c r="BU309" s="478"/>
      <c r="BV309" s="478"/>
      <c r="BW309" s="478"/>
      <c r="BX309" s="478"/>
      <c r="BY309" s="478"/>
      <c r="BZ309" s="478"/>
      <c r="CA309" s="478"/>
      <c r="CB309" s="478"/>
      <c r="CC309" s="478"/>
      <c r="CD309" s="478"/>
      <c r="CE309" s="478"/>
      <c r="CF309" s="478"/>
      <c r="CG309" s="478"/>
      <c r="CH309" s="478"/>
      <c r="CI309" s="478"/>
      <c r="CJ309" s="478"/>
      <c r="CK309" s="478"/>
      <c r="CL309" s="478"/>
      <c r="CM309" s="478"/>
      <c r="CN309" s="478"/>
      <c r="CO309" s="478"/>
      <c r="CP309" s="478"/>
      <c r="CQ309" s="478"/>
      <c r="CR309" s="478"/>
      <c r="CS309" s="478"/>
      <c r="CT309" s="478"/>
      <c r="CU309" s="478"/>
      <c r="CV309" s="478"/>
      <c r="CW309" s="478"/>
      <c r="CX309" s="478"/>
      <c r="CY309" s="478"/>
      <c r="CZ309" s="478"/>
      <c r="DA309" s="478"/>
      <c r="DB309" s="478"/>
      <c r="DC309" s="478"/>
      <c r="DD309" s="478"/>
      <c r="DE309" s="478"/>
      <c r="DF309" s="478"/>
      <c r="DG309" s="478"/>
      <c r="DH309" s="478"/>
      <c r="DI309" s="478"/>
    </row>
    <row r="310" spans="1:113" ht="16.05" hidden="1" customHeight="1" outlineLevel="1" x14ac:dyDescent="0.3">
      <c r="A310" s="455" t="str">
        <f t="shared" si="1091"/>
        <v/>
      </c>
      <c r="B310" s="455"/>
      <c r="C310" s="481"/>
      <c r="D310" s="463" t="s">
        <v>930</v>
      </c>
      <c r="E310" s="482"/>
      <c r="F310" s="483"/>
      <c r="G310" s="484"/>
      <c r="H310" s="485"/>
      <c r="I310" s="466">
        <f t="shared" si="1244"/>
        <v>0</v>
      </c>
      <c r="J310" s="259"/>
      <c r="K310" s="478">
        <f t="shared" si="1245"/>
        <v>0</v>
      </c>
      <c r="L310" s="466">
        <f t="shared" si="1246"/>
        <v>0</v>
      </c>
      <c r="M310" s="257"/>
      <c r="N310" s="478"/>
      <c r="O310" s="478"/>
      <c r="P310" s="478"/>
      <c r="Q310" s="478"/>
      <c r="R310" s="478"/>
      <c r="S310" s="478"/>
      <c r="T310" s="478"/>
      <c r="U310" s="478"/>
      <c r="V310" s="478"/>
      <c r="W310" s="478"/>
      <c r="X310" s="478"/>
      <c r="Y310" s="478"/>
      <c r="Z310" s="478"/>
      <c r="AA310" s="478"/>
      <c r="AB310" s="478"/>
      <c r="AC310" s="478"/>
      <c r="AD310" s="478"/>
      <c r="AE310" s="478"/>
      <c r="AF310" s="478"/>
      <c r="AG310" s="478"/>
      <c r="AH310" s="478"/>
      <c r="AI310" s="478"/>
      <c r="AJ310" s="478"/>
      <c r="AK310" s="478"/>
      <c r="AL310" s="478"/>
      <c r="AM310" s="478"/>
      <c r="AN310" s="478"/>
      <c r="AO310" s="478"/>
      <c r="AP310" s="478"/>
      <c r="AQ310" s="478"/>
      <c r="AR310" s="478"/>
      <c r="AS310" s="478"/>
      <c r="AT310" s="478"/>
      <c r="AU310" s="478"/>
      <c r="AV310" s="478"/>
      <c r="AW310" s="478"/>
      <c r="AX310" s="478"/>
      <c r="AY310" s="478"/>
      <c r="AZ310" s="478"/>
      <c r="BA310" s="478"/>
      <c r="BB310" s="478"/>
      <c r="BC310" s="478"/>
      <c r="BD310" s="478"/>
      <c r="BE310" s="478"/>
      <c r="BF310" s="478"/>
      <c r="BG310" s="478"/>
      <c r="BH310" s="478"/>
      <c r="BI310" s="478"/>
      <c r="BJ310" s="245"/>
      <c r="BK310" s="477">
        <f t="shared" si="1247"/>
        <v>0</v>
      </c>
      <c r="BL310" s="466">
        <f t="shared" si="1248"/>
        <v>0</v>
      </c>
      <c r="BM310" s="257"/>
      <c r="BN310" s="478"/>
      <c r="BO310" s="478"/>
      <c r="BP310" s="478"/>
      <c r="BQ310" s="478"/>
      <c r="BR310" s="478"/>
      <c r="BS310" s="478"/>
      <c r="BT310" s="478"/>
      <c r="BU310" s="478"/>
      <c r="BV310" s="478"/>
      <c r="BW310" s="478"/>
      <c r="BX310" s="478"/>
      <c r="BY310" s="478"/>
      <c r="BZ310" s="478"/>
      <c r="CA310" s="478"/>
      <c r="CB310" s="478"/>
      <c r="CC310" s="478"/>
      <c r="CD310" s="478"/>
      <c r="CE310" s="478"/>
      <c r="CF310" s="478"/>
      <c r="CG310" s="478"/>
      <c r="CH310" s="478"/>
      <c r="CI310" s="478"/>
      <c r="CJ310" s="478"/>
      <c r="CK310" s="478"/>
      <c r="CL310" s="478"/>
      <c r="CM310" s="478"/>
      <c r="CN310" s="478"/>
      <c r="CO310" s="478"/>
      <c r="CP310" s="478"/>
      <c r="CQ310" s="478"/>
      <c r="CR310" s="478"/>
      <c r="CS310" s="478"/>
      <c r="CT310" s="478"/>
      <c r="CU310" s="478"/>
      <c r="CV310" s="478"/>
      <c r="CW310" s="478"/>
      <c r="CX310" s="478"/>
      <c r="CY310" s="478"/>
      <c r="CZ310" s="478"/>
      <c r="DA310" s="478"/>
      <c r="DB310" s="478"/>
      <c r="DC310" s="478"/>
      <c r="DD310" s="478"/>
      <c r="DE310" s="478"/>
      <c r="DF310" s="478"/>
      <c r="DG310" s="478"/>
      <c r="DH310" s="478"/>
      <c r="DI310" s="478"/>
    </row>
    <row r="311" spans="1:113" ht="16.05" hidden="1" customHeight="1" outlineLevel="1" x14ac:dyDescent="0.3">
      <c r="A311" s="455" t="str">
        <f t="shared" si="1091"/>
        <v/>
      </c>
      <c r="B311" s="455"/>
      <c r="C311" s="481"/>
      <c r="D311" s="463" t="s">
        <v>931</v>
      </c>
      <c r="E311" s="482"/>
      <c r="F311" s="483"/>
      <c r="G311" s="484"/>
      <c r="H311" s="485"/>
      <c r="I311" s="466">
        <f t="shared" si="1244"/>
        <v>0</v>
      </c>
      <c r="J311" s="259"/>
      <c r="K311" s="478">
        <f t="shared" si="1245"/>
        <v>0</v>
      </c>
      <c r="L311" s="466">
        <f t="shared" si="1246"/>
        <v>0</v>
      </c>
      <c r="M311" s="257"/>
      <c r="N311" s="478"/>
      <c r="O311" s="478"/>
      <c r="P311" s="478"/>
      <c r="Q311" s="478"/>
      <c r="R311" s="478"/>
      <c r="S311" s="478"/>
      <c r="T311" s="478"/>
      <c r="U311" s="478"/>
      <c r="V311" s="478"/>
      <c r="W311" s="478"/>
      <c r="X311" s="478"/>
      <c r="Y311" s="478"/>
      <c r="Z311" s="478"/>
      <c r="AA311" s="478"/>
      <c r="AB311" s="478"/>
      <c r="AC311" s="478"/>
      <c r="AD311" s="478"/>
      <c r="AE311" s="478"/>
      <c r="AF311" s="478"/>
      <c r="AG311" s="478"/>
      <c r="AH311" s="478"/>
      <c r="AI311" s="478"/>
      <c r="AJ311" s="478"/>
      <c r="AK311" s="478"/>
      <c r="AL311" s="478"/>
      <c r="AM311" s="478"/>
      <c r="AN311" s="478"/>
      <c r="AO311" s="478"/>
      <c r="AP311" s="478"/>
      <c r="AQ311" s="478"/>
      <c r="AR311" s="478"/>
      <c r="AS311" s="478"/>
      <c r="AT311" s="478"/>
      <c r="AU311" s="478"/>
      <c r="AV311" s="478"/>
      <c r="AW311" s="478"/>
      <c r="AX311" s="478"/>
      <c r="AY311" s="478"/>
      <c r="AZ311" s="478"/>
      <c r="BA311" s="478"/>
      <c r="BB311" s="478"/>
      <c r="BC311" s="478"/>
      <c r="BD311" s="478"/>
      <c r="BE311" s="478"/>
      <c r="BF311" s="478"/>
      <c r="BG311" s="478"/>
      <c r="BH311" s="478"/>
      <c r="BI311" s="478"/>
      <c r="BJ311" s="245"/>
      <c r="BK311" s="477">
        <f t="shared" si="1247"/>
        <v>0</v>
      </c>
      <c r="BL311" s="466">
        <f t="shared" si="1248"/>
        <v>0</v>
      </c>
      <c r="BM311" s="257"/>
      <c r="BN311" s="478"/>
      <c r="BO311" s="478"/>
      <c r="BP311" s="478"/>
      <c r="BQ311" s="478"/>
      <c r="BR311" s="478"/>
      <c r="BS311" s="478"/>
      <c r="BT311" s="478"/>
      <c r="BU311" s="478"/>
      <c r="BV311" s="478"/>
      <c r="BW311" s="478"/>
      <c r="BX311" s="478"/>
      <c r="BY311" s="478"/>
      <c r="BZ311" s="478"/>
      <c r="CA311" s="478"/>
      <c r="CB311" s="478"/>
      <c r="CC311" s="478"/>
      <c r="CD311" s="478"/>
      <c r="CE311" s="478"/>
      <c r="CF311" s="478"/>
      <c r="CG311" s="478"/>
      <c r="CH311" s="478"/>
      <c r="CI311" s="478"/>
      <c r="CJ311" s="478"/>
      <c r="CK311" s="478"/>
      <c r="CL311" s="478"/>
      <c r="CM311" s="478"/>
      <c r="CN311" s="478"/>
      <c r="CO311" s="478"/>
      <c r="CP311" s="478"/>
      <c r="CQ311" s="478"/>
      <c r="CR311" s="478"/>
      <c r="CS311" s="478"/>
      <c r="CT311" s="478"/>
      <c r="CU311" s="478"/>
      <c r="CV311" s="478"/>
      <c r="CW311" s="478"/>
      <c r="CX311" s="478"/>
      <c r="CY311" s="478"/>
      <c r="CZ311" s="478"/>
      <c r="DA311" s="478"/>
      <c r="DB311" s="478"/>
      <c r="DC311" s="478"/>
      <c r="DD311" s="478"/>
      <c r="DE311" s="478"/>
      <c r="DF311" s="478"/>
      <c r="DG311" s="478"/>
      <c r="DH311" s="478"/>
      <c r="DI311" s="478"/>
    </row>
    <row r="312" spans="1:113" ht="16.05" hidden="1" customHeight="1" outlineLevel="1" x14ac:dyDescent="0.3">
      <c r="A312" s="455" t="str">
        <f t="shared" si="1091"/>
        <v/>
      </c>
      <c r="B312" s="455"/>
      <c r="C312" s="481"/>
      <c r="D312" s="463" t="s">
        <v>932</v>
      </c>
      <c r="E312" s="482"/>
      <c r="F312" s="483"/>
      <c r="G312" s="484"/>
      <c r="H312" s="485"/>
      <c r="I312" s="466">
        <f t="shared" si="1244"/>
        <v>0</v>
      </c>
      <c r="J312" s="259"/>
      <c r="K312" s="478">
        <f t="shared" si="1245"/>
        <v>0</v>
      </c>
      <c r="L312" s="466">
        <f t="shared" si="1246"/>
        <v>0</v>
      </c>
      <c r="M312" s="257"/>
      <c r="N312" s="478"/>
      <c r="O312" s="478"/>
      <c r="P312" s="478"/>
      <c r="Q312" s="478"/>
      <c r="R312" s="478"/>
      <c r="S312" s="478"/>
      <c r="T312" s="478"/>
      <c r="U312" s="478"/>
      <c r="V312" s="478"/>
      <c r="W312" s="478"/>
      <c r="X312" s="478"/>
      <c r="Y312" s="478"/>
      <c r="Z312" s="478"/>
      <c r="AA312" s="478"/>
      <c r="AB312" s="478"/>
      <c r="AC312" s="478"/>
      <c r="AD312" s="478"/>
      <c r="AE312" s="478"/>
      <c r="AF312" s="478"/>
      <c r="AG312" s="478"/>
      <c r="AH312" s="478"/>
      <c r="AI312" s="478"/>
      <c r="AJ312" s="478"/>
      <c r="AK312" s="478"/>
      <c r="AL312" s="478"/>
      <c r="AM312" s="478"/>
      <c r="AN312" s="478"/>
      <c r="AO312" s="478"/>
      <c r="AP312" s="478"/>
      <c r="AQ312" s="478"/>
      <c r="AR312" s="478"/>
      <c r="AS312" s="478"/>
      <c r="AT312" s="478"/>
      <c r="AU312" s="478"/>
      <c r="AV312" s="478"/>
      <c r="AW312" s="478"/>
      <c r="AX312" s="478"/>
      <c r="AY312" s="478"/>
      <c r="AZ312" s="478"/>
      <c r="BA312" s="478"/>
      <c r="BB312" s="478"/>
      <c r="BC312" s="478"/>
      <c r="BD312" s="478"/>
      <c r="BE312" s="478"/>
      <c r="BF312" s="478"/>
      <c r="BG312" s="478"/>
      <c r="BH312" s="478"/>
      <c r="BI312" s="478"/>
      <c r="BJ312" s="245"/>
      <c r="BK312" s="477">
        <f t="shared" si="1247"/>
        <v>0</v>
      </c>
      <c r="BL312" s="466">
        <f t="shared" si="1248"/>
        <v>0</v>
      </c>
      <c r="BM312" s="257"/>
      <c r="BN312" s="478"/>
      <c r="BO312" s="478"/>
      <c r="BP312" s="478"/>
      <c r="BQ312" s="478"/>
      <c r="BR312" s="478"/>
      <c r="BS312" s="478"/>
      <c r="BT312" s="478"/>
      <c r="BU312" s="478"/>
      <c r="BV312" s="478"/>
      <c r="BW312" s="478"/>
      <c r="BX312" s="478"/>
      <c r="BY312" s="478"/>
      <c r="BZ312" s="478"/>
      <c r="CA312" s="478"/>
      <c r="CB312" s="478"/>
      <c r="CC312" s="478"/>
      <c r="CD312" s="478"/>
      <c r="CE312" s="478"/>
      <c r="CF312" s="478"/>
      <c r="CG312" s="478"/>
      <c r="CH312" s="478"/>
      <c r="CI312" s="478"/>
      <c r="CJ312" s="478"/>
      <c r="CK312" s="478"/>
      <c r="CL312" s="478"/>
      <c r="CM312" s="478"/>
      <c r="CN312" s="478"/>
      <c r="CO312" s="478"/>
      <c r="CP312" s="478"/>
      <c r="CQ312" s="478"/>
      <c r="CR312" s="478"/>
      <c r="CS312" s="478"/>
      <c r="CT312" s="478"/>
      <c r="CU312" s="478"/>
      <c r="CV312" s="478"/>
      <c r="CW312" s="478"/>
      <c r="CX312" s="478"/>
      <c r="CY312" s="478"/>
      <c r="CZ312" s="478"/>
      <c r="DA312" s="478"/>
      <c r="DB312" s="478"/>
      <c r="DC312" s="478"/>
      <c r="DD312" s="478"/>
      <c r="DE312" s="478"/>
      <c r="DF312" s="478"/>
      <c r="DG312" s="478"/>
      <c r="DH312" s="478"/>
      <c r="DI312" s="478"/>
    </row>
    <row r="313" spans="1:113" ht="16.05" hidden="1" customHeight="1" outlineLevel="1" x14ac:dyDescent="0.3">
      <c r="A313" s="455" t="str">
        <f t="shared" si="1091"/>
        <v/>
      </c>
      <c r="B313" s="455"/>
      <c r="C313" s="481"/>
      <c r="D313" s="463" t="s">
        <v>933</v>
      </c>
      <c r="E313" s="482"/>
      <c r="F313" s="483"/>
      <c r="G313" s="484"/>
      <c r="H313" s="485"/>
      <c r="I313" s="466">
        <f t="shared" si="1244"/>
        <v>0</v>
      </c>
      <c r="J313" s="259"/>
      <c r="K313" s="478">
        <f t="shared" si="1245"/>
        <v>0</v>
      </c>
      <c r="L313" s="466">
        <f t="shared" si="1246"/>
        <v>0</v>
      </c>
      <c r="M313" s="257"/>
      <c r="N313" s="478"/>
      <c r="O313" s="478"/>
      <c r="P313" s="478"/>
      <c r="Q313" s="478"/>
      <c r="R313" s="478"/>
      <c r="S313" s="478"/>
      <c r="T313" s="478"/>
      <c r="U313" s="478"/>
      <c r="V313" s="478"/>
      <c r="W313" s="478"/>
      <c r="X313" s="478"/>
      <c r="Y313" s="478"/>
      <c r="Z313" s="478"/>
      <c r="AA313" s="478"/>
      <c r="AB313" s="478"/>
      <c r="AC313" s="478"/>
      <c r="AD313" s="478"/>
      <c r="AE313" s="478"/>
      <c r="AF313" s="478"/>
      <c r="AG313" s="478"/>
      <c r="AH313" s="478"/>
      <c r="AI313" s="478"/>
      <c r="AJ313" s="478"/>
      <c r="AK313" s="478"/>
      <c r="AL313" s="478"/>
      <c r="AM313" s="478"/>
      <c r="AN313" s="478"/>
      <c r="AO313" s="478"/>
      <c r="AP313" s="478"/>
      <c r="AQ313" s="478"/>
      <c r="AR313" s="478"/>
      <c r="AS313" s="478"/>
      <c r="AT313" s="478"/>
      <c r="AU313" s="478"/>
      <c r="AV313" s="478"/>
      <c r="AW313" s="478"/>
      <c r="AX313" s="478"/>
      <c r="AY313" s="478"/>
      <c r="AZ313" s="478"/>
      <c r="BA313" s="478"/>
      <c r="BB313" s="478"/>
      <c r="BC313" s="478"/>
      <c r="BD313" s="478"/>
      <c r="BE313" s="478"/>
      <c r="BF313" s="478"/>
      <c r="BG313" s="478"/>
      <c r="BH313" s="478"/>
      <c r="BI313" s="478"/>
      <c r="BJ313" s="245"/>
      <c r="BK313" s="477">
        <f t="shared" si="1247"/>
        <v>0</v>
      </c>
      <c r="BL313" s="466">
        <f t="shared" si="1248"/>
        <v>0</v>
      </c>
      <c r="BM313" s="257"/>
      <c r="BN313" s="478"/>
      <c r="BO313" s="478"/>
      <c r="BP313" s="478"/>
      <c r="BQ313" s="478"/>
      <c r="BR313" s="478"/>
      <c r="BS313" s="478"/>
      <c r="BT313" s="478"/>
      <c r="BU313" s="478"/>
      <c r="BV313" s="478"/>
      <c r="BW313" s="478"/>
      <c r="BX313" s="478"/>
      <c r="BY313" s="478"/>
      <c r="BZ313" s="478"/>
      <c r="CA313" s="478"/>
      <c r="CB313" s="478"/>
      <c r="CC313" s="478"/>
      <c r="CD313" s="478"/>
      <c r="CE313" s="478"/>
      <c r="CF313" s="478"/>
      <c r="CG313" s="478"/>
      <c r="CH313" s="478"/>
      <c r="CI313" s="478"/>
      <c r="CJ313" s="478"/>
      <c r="CK313" s="478"/>
      <c r="CL313" s="478"/>
      <c r="CM313" s="478"/>
      <c r="CN313" s="478"/>
      <c r="CO313" s="478"/>
      <c r="CP313" s="478"/>
      <c r="CQ313" s="478"/>
      <c r="CR313" s="478"/>
      <c r="CS313" s="478"/>
      <c r="CT313" s="478"/>
      <c r="CU313" s="478"/>
      <c r="CV313" s="478"/>
      <c r="CW313" s="478"/>
      <c r="CX313" s="478"/>
      <c r="CY313" s="478"/>
      <c r="CZ313" s="478"/>
      <c r="DA313" s="478"/>
      <c r="DB313" s="478"/>
      <c r="DC313" s="478"/>
      <c r="DD313" s="478"/>
      <c r="DE313" s="478"/>
      <c r="DF313" s="478"/>
      <c r="DG313" s="478"/>
      <c r="DH313" s="478"/>
      <c r="DI313" s="478"/>
    </row>
    <row r="314" spans="1:113" ht="16.05" hidden="1" customHeight="1" outlineLevel="1" x14ac:dyDescent="0.3">
      <c r="A314" s="455" t="str">
        <f t="shared" si="1091"/>
        <v/>
      </c>
      <c r="B314" s="455"/>
      <c r="C314" s="481"/>
      <c r="D314" s="463" t="s">
        <v>934</v>
      </c>
      <c r="E314" s="482"/>
      <c r="F314" s="483"/>
      <c r="G314" s="484"/>
      <c r="H314" s="485"/>
      <c r="I314" s="466">
        <f t="shared" si="1244"/>
        <v>0</v>
      </c>
      <c r="J314" s="259"/>
      <c r="K314" s="478">
        <f t="shared" si="1245"/>
        <v>0</v>
      </c>
      <c r="L314" s="466">
        <f t="shared" si="1246"/>
        <v>0</v>
      </c>
      <c r="M314" s="257"/>
      <c r="N314" s="478"/>
      <c r="O314" s="478"/>
      <c r="P314" s="478"/>
      <c r="Q314" s="478"/>
      <c r="R314" s="478"/>
      <c r="S314" s="478"/>
      <c r="T314" s="478"/>
      <c r="U314" s="478"/>
      <c r="V314" s="478"/>
      <c r="W314" s="478"/>
      <c r="X314" s="478"/>
      <c r="Y314" s="478"/>
      <c r="Z314" s="478"/>
      <c r="AA314" s="478"/>
      <c r="AB314" s="478"/>
      <c r="AC314" s="478"/>
      <c r="AD314" s="478"/>
      <c r="AE314" s="478"/>
      <c r="AF314" s="478"/>
      <c r="AG314" s="478"/>
      <c r="AH314" s="478"/>
      <c r="AI314" s="478"/>
      <c r="AJ314" s="478"/>
      <c r="AK314" s="478"/>
      <c r="AL314" s="478"/>
      <c r="AM314" s="478"/>
      <c r="AN314" s="478"/>
      <c r="AO314" s="478"/>
      <c r="AP314" s="478"/>
      <c r="AQ314" s="478"/>
      <c r="AR314" s="478"/>
      <c r="AS314" s="478"/>
      <c r="AT314" s="478"/>
      <c r="AU314" s="478"/>
      <c r="AV314" s="478"/>
      <c r="AW314" s="478"/>
      <c r="AX314" s="478"/>
      <c r="AY314" s="478"/>
      <c r="AZ314" s="478"/>
      <c r="BA314" s="478"/>
      <c r="BB314" s="478"/>
      <c r="BC314" s="478"/>
      <c r="BD314" s="478"/>
      <c r="BE314" s="478"/>
      <c r="BF314" s="478"/>
      <c r="BG314" s="478"/>
      <c r="BH314" s="478"/>
      <c r="BI314" s="478"/>
      <c r="BJ314" s="245"/>
      <c r="BK314" s="477">
        <f t="shared" si="1247"/>
        <v>0</v>
      </c>
      <c r="BL314" s="466">
        <f t="shared" si="1248"/>
        <v>0</v>
      </c>
      <c r="BM314" s="257"/>
      <c r="BN314" s="478"/>
      <c r="BO314" s="478"/>
      <c r="BP314" s="478"/>
      <c r="BQ314" s="478"/>
      <c r="BR314" s="478"/>
      <c r="BS314" s="478"/>
      <c r="BT314" s="478"/>
      <c r="BU314" s="478"/>
      <c r="BV314" s="478"/>
      <c r="BW314" s="478"/>
      <c r="BX314" s="478"/>
      <c r="BY314" s="478"/>
      <c r="BZ314" s="478"/>
      <c r="CA314" s="478"/>
      <c r="CB314" s="478"/>
      <c r="CC314" s="478"/>
      <c r="CD314" s="478"/>
      <c r="CE314" s="478"/>
      <c r="CF314" s="478"/>
      <c r="CG314" s="478"/>
      <c r="CH314" s="478"/>
      <c r="CI314" s="478"/>
      <c r="CJ314" s="478"/>
      <c r="CK314" s="478"/>
      <c r="CL314" s="478"/>
      <c r="CM314" s="478"/>
      <c r="CN314" s="478"/>
      <c r="CO314" s="478"/>
      <c r="CP314" s="478"/>
      <c r="CQ314" s="478"/>
      <c r="CR314" s="478"/>
      <c r="CS314" s="478"/>
      <c r="CT314" s="478"/>
      <c r="CU314" s="478"/>
      <c r="CV314" s="478"/>
      <c r="CW314" s="478"/>
      <c r="CX314" s="478"/>
      <c r="CY314" s="478"/>
      <c r="CZ314" s="478"/>
      <c r="DA314" s="478"/>
      <c r="DB314" s="478"/>
      <c r="DC314" s="478"/>
      <c r="DD314" s="478"/>
      <c r="DE314" s="478"/>
      <c r="DF314" s="478"/>
      <c r="DG314" s="478"/>
      <c r="DH314" s="478"/>
      <c r="DI314" s="478"/>
    </row>
    <row r="315" spans="1:113" ht="16.05" hidden="1" customHeight="1" outlineLevel="1" x14ac:dyDescent="0.3">
      <c r="A315" s="455" t="str">
        <f t="shared" si="1091"/>
        <v/>
      </c>
      <c r="B315" s="455"/>
      <c r="C315" s="481"/>
      <c r="D315" s="463" t="s">
        <v>935</v>
      </c>
      <c r="E315" s="482"/>
      <c r="F315" s="483"/>
      <c r="G315" s="484"/>
      <c r="H315" s="485"/>
      <c r="I315" s="466">
        <f t="shared" si="1244"/>
        <v>0</v>
      </c>
      <c r="J315" s="259"/>
      <c r="K315" s="478">
        <f t="shared" si="1245"/>
        <v>0</v>
      </c>
      <c r="L315" s="466">
        <f t="shared" si="1246"/>
        <v>0</v>
      </c>
      <c r="M315" s="257"/>
      <c r="N315" s="478"/>
      <c r="O315" s="478"/>
      <c r="P315" s="478"/>
      <c r="Q315" s="478"/>
      <c r="R315" s="478"/>
      <c r="S315" s="478"/>
      <c r="T315" s="478"/>
      <c r="U315" s="478"/>
      <c r="V315" s="478"/>
      <c r="W315" s="478"/>
      <c r="X315" s="478"/>
      <c r="Y315" s="478"/>
      <c r="Z315" s="478"/>
      <c r="AA315" s="478"/>
      <c r="AB315" s="478"/>
      <c r="AC315" s="478"/>
      <c r="AD315" s="478"/>
      <c r="AE315" s="478"/>
      <c r="AF315" s="478"/>
      <c r="AG315" s="478"/>
      <c r="AH315" s="478"/>
      <c r="AI315" s="478"/>
      <c r="AJ315" s="478"/>
      <c r="AK315" s="478"/>
      <c r="AL315" s="478"/>
      <c r="AM315" s="478"/>
      <c r="AN315" s="478"/>
      <c r="AO315" s="478"/>
      <c r="AP315" s="478"/>
      <c r="AQ315" s="478"/>
      <c r="AR315" s="478"/>
      <c r="AS315" s="478"/>
      <c r="AT315" s="478"/>
      <c r="AU315" s="478"/>
      <c r="AV315" s="478"/>
      <c r="AW315" s="478"/>
      <c r="AX315" s="478"/>
      <c r="AY315" s="478"/>
      <c r="AZ315" s="478"/>
      <c r="BA315" s="478"/>
      <c r="BB315" s="478"/>
      <c r="BC315" s="478"/>
      <c r="BD315" s="478"/>
      <c r="BE315" s="478"/>
      <c r="BF315" s="478"/>
      <c r="BG315" s="478"/>
      <c r="BH315" s="478"/>
      <c r="BI315" s="478"/>
      <c r="BJ315" s="245"/>
      <c r="BK315" s="477">
        <f t="shared" si="1247"/>
        <v>0</v>
      </c>
      <c r="BL315" s="466">
        <f t="shared" si="1248"/>
        <v>0</v>
      </c>
      <c r="BM315" s="257"/>
      <c r="BN315" s="478"/>
      <c r="BO315" s="478"/>
      <c r="BP315" s="478"/>
      <c r="BQ315" s="478"/>
      <c r="BR315" s="478"/>
      <c r="BS315" s="478"/>
      <c r="BT315" s="478"/>
      <c r="BU315" s="478"/>
      <c r="BV315" s="478"/>
      <c r="BW315" s="478"/>
      <c r="BX315" s="478"/>
      <c r="BY315" s="478"/>
      <c r="BZ315" s="478"/>
      <c r="CA315" s="478"/>
      <c r="CB315" s="478"/>
      <c r="CC315" s="478"/>
      <c r="CD315" s="478"/>
      <c r="CE315" s="478"/>
      <c r="CF315" s="478"/>
      <c r="CG315" s="478"/>
      <c r="CH315" s="478"/>
      <c r="CI315" s="478"/>
      <c r="CJ315" s="478"/>
      <c r="CK315" s="478"/>
      <c r="CL315" s="478"/>
      <c r="CM315" s="478"/>
      <c r="CN315" s="478"/>
      <c r="CO315" s="478"/>
      <c r="CP315" s="478"/>
      <c r="CQ315" s="478"/>
      <c r="CR315" s="478"/>
      <c r="CS315" s="478"/>
      <c r="CT315" s="478"/>
      <c r="CU315" s="478"/>
      <c r="CV315" s="478"/>
      <c r="CW315" s="478"/>
      <c r="CX315" s="478"/>
      <c r="CY315" s="478"/>
      <c r="CZ315" s="478"/>
      <c r="DA315" s="478"/>
      <c r="DB315" s="478"/>
      <c r="DC315" s="478"/>
      <c r="DD315" s="478"/>
      <c r="DE315" s="478"/>
      <c r="DF315" s="478"/>
      <c r="DG315" s="478"/>
      <c r="DH315" s="478"/>
      <c r="DI315" s="478"/>
    </row>
    <row r="316" spans="1:113" ht="16.05" hidden="1" customHeight="1" outlineLevel="1" x14ac:dyDescent="0.3">
      <c r="A316" s="455" t="str">
        <f t="shared" si="1091"/>
        <v/>
      </c>
      <c r="B316" s="455"/>
      <c r="C316" s="481"/>
      <c r="D316" s="463" t="s">
        <v>936</v>
      </c>
      <c r="E316" s="482"/>
      <c r="F316" s="483"/>
      <c r="G316" s="484"/>
      <c r="H316" s="485"/>
      <c r="I316" s="466">
        <f t="shared" si="1244"/>
        <v>0</v>
      </c>
      <c r="J316" s="259"/>
      <c r="K316" s="478">
        <f t="shared" si="1245"/>
        <v>0</v>
      </c>
      <c r="L316" s="466">
        <f t="shared" si="1246"/>
        <v>0</v>
      </c>
      <c r="M316" s="257"/>
      <c r="N316" s="478"/>
      <c r="O316" s="478"/>
      <c r="P316" s="478"/>
      <c r="Q316" s="478"/>
      <c r="R316" s="478"/>
      <c r="S316" s="478"/>
      <c r="T316" s="478"/>
      <c r="U316" s="478"/>
      <c r="V316" s="478"/>
      <c r="W316" s="478"/>
      <c r="X316" s="478"/>
      <c r="Y316" s="478"/>
      <c r="Z316" s="478"/>
      <c r="AA316" s="478"/>
      <c r="AB316" s="478"/>
      <c r="AC316" s="478"/>
      <c r="AD316" s="478"/>
      <c r="AE316" s="478"/>
      <c r="AF316" s="478"/>
      <c r="AG316" s="478"/>
      <c r="AH316" s="478"/>
      <c r="AI316" s="478"/>
      <c r="AJ316" s="478"/>
      <c r="AK316" s="478"/>
      <c r="AL316" s="478"/>
      <c r="AM316" s="478"/>
      <c r="AN316" s="478"/>
      <c r="AO316" s="478"/>
      <c r="AP316" s="478"/>
      <c r="AQ316" s="478"/>
      <c r="AR316" s="478"/>
      <c r="AS316" s="478"/>
      <c r="AT316" s="478"/>
      <c r="AU316" s="478"/>
      <c r="AV316" s="478"/>
      <c r="AW316" s="478"/>
      <c r="AX316" s="478"/>
      <c r="AY316" s="478"/>
      <c r="AZ316" s="478"/>
      <c r="BA316" s="478"/>
      <c r="BB316" s="478"/>
      <c r="BC316" s="478"/>
      <c r="BD316" s="478"/>
      <c r="BE316" s="478"/>
      <c r="BF316" s="478"/>
      <c r="BG316" s="478"/>
      <c r="BH316" s="478"/>
      <c r="BI316" s="478"/>
      <c r="BJ316" s="245"/>
      <c r="BK316" s="477">
        <f t="shared" si="1247"/>
        <v>0</v>
      </c>
      <c r="BL316" s="466">
        <f t="shared" si="1248"/>
        <v>0</v>
      </c>
      <c r="BM316" s="257"/>
      <c r="BN316" s="478"/>
      <c r="BO316" s="478"/>
      <c r="BP316" s="478"/>
      <c r="BQ316" s="478"/>
      <c r="BR316" s="478"/>
      <c r="BS316" s="478"/>
      <c r="BT316" s="478"/>
      <c r="BU316" s="478"/>
      <c r="BV316" s="478"/>
      <c r="BW316" s="478"/>
      <c r="BX316" s="478"/>
      <c r="BY316" s="478"/>
      <c r="BZ316" s="478"/>
      <c r="CA316" s="478"/>
      <c r="CB316" s="478"/>
      <c r="CC316" s="478"/>
      <c r="CD316" s="478"/>
      <c r="CE316" s="478"/>
      <c r="CF316" s="478"/>
      <c r="CG316" s="478"/>
      <c r="CH316" s="478"/>
      <c r="CI316" s="478"/>
      <c r="CJ316" s="478"/>
      <c r="CK316" s="478"/>
      <c r="CL316" s="478"/>
      <c r="CM316" s="478"/>
      <c r="CN316" s="478"/>
      <c r="CO316" s="478"/>
      <c r="CP316" s="478"/>
      <c r="CQ316" s="478"/>
      <c r="CR316" s="478"/>
      <c r="CS316" s="478"/>
      <c r="CT316" s="478"/>
      <c r="CU316" s="478"/>
      <c r="CV316" s="478"/>
      <c r="CW316" s="478"/>
      <c r="CX316" s="478"/>
      <c r="CY316" s="478"/>
      <c r="CZ316" s="478"/>
      <c r="DA316" s="478"/>
      <c r="DB316" s="478"/>
      <c r="DC316" s="478"/>
      <c r="DD316" s="478"/>
      <c r="DE316" s="478"/>
      <c r="DF316" s="478"/>
      <c r="DG316" s="478"/>
      <c r="DH316" s="478"/>
      <c r="DI316" s="478"/>
    </row>
    <row r="317" spans="1:113" ht="16.05" hidden="1" customHeight="1" outlineLevel="1" x14ac:dyDescent="0.3">
      <c r="A317" s="455" t="str">
        <f t="shared" si="1091"/>
        <v/>
      </c>
      <c r="B317" s="455"/>
      <c r="C317" s="481"/>
      <c r="D317" s="463" t="s">
        <v>937</v>
      </c>
      <c r="E317" s="482"/>
      <c r="F317" s="483"/>
      <c r="G317" s="484"/>
      <c r="H317" s="485"/>
      <c r="I317" s="466">
        <f t="shared" si="1244"/>
        <v>0</v>
      </c>
      <c r="J317" s="259"/>
      <c r="K317" s="478">
        <f t="shared" si="1245"/>
        <v>0</v>
      </c>
      <c r="L317" s="466">
        <f t="shared" si="1246"/>
        <v>0</v>
      </c>
      <c r="M317" s="257"/>
      <c r="N317" s="478"/>
      <c r="O317" s="478"/>
      <c r="P317" s="478"/>
      <c r="Q317" s="478"/>
      <c r="R317" s="478"/>
      <c r="S317" s="478"/>
      <c r="T317" s="478"/>
      <c r="U317" s="478"/>
      <c r="V317" s="478"/>
      <c r="W317" s="478"/>
      <c r="X317" s="478"/>
      <c r="Y317" s="478"/>
      <c r="Z317" s="478"/>
      <c r="AA317" s="478"/>
      <c r="AB317" s="478"/>
      <c r="AC317" s="478"/>
      <c r="AD317" s="478"/>
      <c r="AE317" s="478"/>
      <c r="AF317" s="478"/>
      <c r="AG317" s="478"/>
      <c r="AH317" s="478"/>
      <c r="AI317" s="478"/>
      <c r="AJ317" s="478"/>
      <c r="AK317" s="478"/>
      <c r="AL317" s="478"/>
      <c r="AM317" s="478"/>
      <c r="AN317" s="478"/>
      <c r="AO317" s="478"/>
      <c r="AP317" s="478"/>
      <c r="AQ317" s="478"/>
      <c r="AR317" s="478"/>
      <c r="AS317" s="478"/>
      <c r="AT317" s="478"/>
      <c r="AU317" s="478"/>
      <c r="AV317" s="478"/>
      <c r="AW317" s="478"/>
      <c r="AX317" s="478"/>
      <c r="AY317" s="478"/>
      <c r="AZ317" s="478"/>
      <c r="BA317" s="478"/>
      <c r="BB317" s="478"/>
      <c r="BC317" s="478"/>
      <c r="BD317" s="478"/>
      <c r="BE317" s="478"/>
      <c r="BF317" s="478"/>
      <c r="BG317" s="478"/>
      <c r="BH317" s="478"/>
      <c r="BI317" s="478"/>
      <c r="BJ317" s="245"/>
      <c r="BK317" s="477">
        <f t="shared" si="1247"/>
        <v>0</v>
      </c>
      <c r="BL317" s="466">
        <f t="shared" si="1248"/>
        <v>0</v>
      </c>
      <c r="BM317" s="257"/>
      <c r="BN317" s="478"/>
      <c r="BO317" s="478"/>
      <c r="BP317" s="478"/>
      <c r="BQ317" s="478"/>
      <c r="BR317" s="478"/>
      <c r="BS317" s="478"/>
      <c r="BT317" s="478"/>
      <c r="BU317" s="478"/>
      <c r="BV317" s="478"/>
      <c r="BW317" s="478"/>
      <c r="BX317" s="478"/>
      <c r="BY317" s="478"/>
      <c r="BZ317" s="478"/>
      <c r="CA317" s="478"/>
      <c r="CB317" s="478"/>
      <c r="CC317" s="478"/>
      <c r="CD317" s="478"/>
      <c r="CE317" s="478"/>
      <c r="CF317" s="478"/>
      <c r="CG317" s="478"/>
      <c r="CH317" s="478"/>
      <c r="CI317" s="478"/>
      <c r="CJ317" s="478"/>
      <c r="CK317" s="478"/>
      <c r="CL317" s="478"/>
      <c r="CM317" s="478"/>
      <c r="CN317" s="478"/>
      <c r="CO317" s="478"/>
      <c r="CP317" s="478"/>
      <c r="CQ317" s="478"/>
      <c r="CR317" s="478"/>
      <c r="CS317" s="478"/>
      <c r="CT317" s="478"/>
      <c r="CU317" s="478"/>
      <c r="CV317" s="478"/>
      <c r="CW317" s="478"/>
      <c r="CX317" s="478"/>
      <c r="CY317" s="478"/>
      <c r="CZ317" s="478"/>
      <c r="DA317" s="478"/>
      <c r="DB317" s="478"/>
      <c r="DC317" s="478"/>
      <c r="DD317" s="478"/>
      <c r="DE317" s="478"/>
      <c r="DF317" s="478"/>
      <c r="DG317" s="478"/>
      <c r="DH317" s="478"/>
      <c r="DI317" s="478"/>
    </row>
    <row r="318" spans="1:113" ht="16.05" hidden="1" customHeight="1" outlineLevel="1" x14ac:dyDescent="0.3">
      <c r="A318" s="455" t="str">
        <f t="shared" si="1091"/>
        <v/>
      </c>
      <c r="B318" s="455"/>
      <c r="C318" s="481"/>
      <c r="D318" s="463" t="s">
        <v>938</v>
      </c>
      <c r="E318" s="482"/>
      <c r="F318" s="483"/>
      <c r="G318" s="484"/>
      <c r="H318" s="485"/>
      <c r="I318" s="466">
        <f t="shared" si="1244"/>
        <v>0</v>
      </c>
      <c r="J318" s="259"/>
      <c r="K318" s="478">
        <f t="shared" si="1245"/>
        <v>0</v>
      </c>
      <c r="L318" s="466">
        <f t="shared" si="1246"/>
        <v>0</v>
      </c>
      <c r="M318" s="257"/>
      <c r="N318" s="478"/>
      <c r="O318" s="478"/>
      <c r="P318" s="478"/>
      <c r="Q318" s="478"/>
      <c r="R318" s="478"/>
      <c r="S318" s="478"/>
      <c r="T318" s="478"/>
      <c r="U318" s="478"/>
      <c r="V318" s="478"/>
      <c r="W318" s="478"/>
      <c r="X318" s="478"/>
      <c r="Y318" s="478"/>
      <c r="Z318" s="478"/>
      <c r="AA318" s="478"/>
      <c r="AB318" s="478"/>
      <c r="AC318" s="478"/>
      <c r="AD318" s="478"/>
      <c r="AE318" s="478"/>
      <c r="AF318" s="478"/>
      <c r="AG318" s="478"/>
      <c r="AH318" s="478"/>
      <c r="AI318" s="478"/>
      <c r="AJ318" s="478"/>
      <c r="AK318" s="478"/>
      <c r="AL318" s="478"/>
      <c r="AM318" s="478"/>
      <c r="AN318" s="478"/>
      <c r="AO318" s="478"/>
      <c r="AP318" s="478"/>
      <c r="AQ318" s="478"/>
      <c r="AR318" s="478"/>
      <c r="AS318" s="478"/>
      <c r="AT318" s="478"/>
      <c r="AU318" s="478"/>
      <c r="AV318" s="478"/>
      <c r="AW318" s="478"/>
      <c r="AX318" s="478"/>
      <c r="AY318" s="478"/>
      <c r="AZ318" s="478"/>
      <c r="BA318" s="478"/>
      <c r="BB318" s="478"/>
      <c r="BC318" s="478"/>
      <c r="BD318" s="478"/>
      <c r="BE318" s="478"/>
      <c r="BF318" s="478"/>
      <c r="BG318" s="478"/>
      <c r="BH318" s="478"/>
      <c r="BI318" s="478"/>
      <c r="BJ318" s="245"/>
      <c r="BK318" s="477">
        <f t="shared" si="1247"/>
        <v>0</v>
      </c>
      <c r="BL318" s="466">
        <f t="shared" si="1248"/>
        <v>0</v>
      </c>
      <c r="BM318" s="257"/>
      <c r="BN318" s="478"/>
      <c r="BO318" s="478"/>
      <c r="BP318" s="478"/>
      <c r="BQ318" s="478"/>
      <c r="BR318" s="478"/>
      <c r="BS318" s="478"/>
      <c r="BT318" s="478"/>
      <c r="BU318" s="478"/>
      <c r="BV318" s="478"/>
      <c r="BW318" s="478"/>
      <c r="BX318" s="478"/>
      <c r="BY318" s="478"/>
      <c r="BZ318" s="478"/>
      <c r="CA318" s="478"/>
      <c r="CB318" s="478"/>
      <c r="CC318" s="478"/>
      <c r="CD318" s="478"/>
      <c r="CE318" s="478"/>
      <c r="CF318" s="478"/>
      <c r="CG318" s="478"/>
      <c r="CH318" s="478"/>
      <c r="CI318" s="478"/>
      <c r="CJ318" s="478"/>
      <c r="CK318" s="478"/>
      <c r="CL318" s="478"/>
      <c r="CM318" s="478"/>
      <c r="CN318" s="478"/>
      <c r="CO318" s="478"/>
      <c r="CP318" s="478"/>
      <c r="CQ318" s="478"/>
      <c r="CR318" s="478"/>
      <c r="CS318" s="478"/>
      <c r="CT318" s="478"/>
      <c r="CU318" s="478"/>
      <c r="CV318" s="478"/>
      <c r="CW318" s="478"/>
      <c r="CX318" s="478"/>
      <c r="CY318" s="478"/>
      <c r="CZ318" s="478"/>
      <c r="DA318" s="478"/>
      <c r="DB318" s="478"/>
      <c r="DC318" s="478"/>
      <c r="DD318" s="478"/>
      <c r="DE318" s="478"/>
      <c r="DF318" s="478"/>
      <c r="DG318" s="478"/>
      <c r="DH318" s="478"/>
      <c r="DI318" s="478"/>
    </row>
    <row r="319" spans="1:113" ht="16.05" hidden="1" customHeight="1" outlineLevel="1" x14ac:dyDescent="0.3">
      <c r="A319" s="455" t="str">
        <f t="shared" si="1091"/>
        <v/>
      </c>
      <c r="B319" s="455"/>
      <c r="C319" s="481"/>
      <c r="D319" s="463" t="s">
        <v>939</v>
      </c>
      <c r="E319" s="482"/>
      <c r="F319" s="483"/>
      <c r="G319" s="484"/>
      <c r="H319" s="485"/>
      <c r="I319" s="466">
        <f t="shared" si="1244"/>
        <v>0</v>
      </c>
      <c r="J319" s="259"/>
      <c r="K319" s="478">
        <f t="shared" si="1245"/>
        <v>0</v>
      </c>
      <c r="L319" s="466">
        <f t="shared" si="1246"/>
        <v>0</v>
      </c>
      <c r="M319" s="257"/>
      <c r="N319" s="478"/>
      <c r="O319" s="478"/>
      <c r="P319" s="478"/>
      <c r="Q319" s="478"/>
      <c r="R319" s="478"/>
      <c r="S319" s="478"/>
      <c r="T319" s="478"/>
      <c r="U319" s="478"/>
      <c r="V319" s="478"/>
      <c r="W319" s="478"/>
      <c r="X319" s="478"/>
      <c r="Y319" s="478"/>
      <c r="Z319" s="478"/>
      <c r="AA319" s="478"/>
      <c r="AB319" s="478"/>
      <c r="AC319" s="478"/>
      <c r="AD319" s="478"/>
      <c r="AE319" s="478"/>
      <c r="AF319" s="478"/>
      <c r="AG319" s="478"/>
      <c r="AH319" s="478"/>
      <c r="AI319" s="478"/>
      <c r="AJ319" s="478"/>
      <c r="AK319" s="478"/>
      <c r="AL319" s="478"/>
      <c r="AM319" s="478"/>
      <c r="AN319" s="478"/>
      <c r="AO319" s="478"/>
      <c r="AP319" s="478"/>
      <c r="AQ319" s="478"/>
      <c r="AR319" s="478"/>
      <c r="AS319" s="478"/>
      <c r="AT319" s="478"/>
      <c r="AU319" s="478"/>
      <c r="AV319" s="478"/>
      <c r="AW319" s="478"/>
      <c r="AX319" s="478"/>
      <c r="AY319" s="478"/>
      <c r="AZ319" s="478"/>
      <c r="BA319" s="478"/>
      <c r="BB319" s="478"/>
      <c r="BC319" s="478"/>
      <c r="BD319" s="478"/>
      <c r="BE319" s="478"/>
      <c r="BF319" s="478"/>
      <c r="BG319" s="478"/>
      <c r="BH319" s="478"/>
      <c r="BI319" s="478"/>
      <c r="BJ319" s="245"/>
      <c r="BK319" s="477">
        <f t="shared" si="1247"/>
        <v>0</v>
      </c>
      <c r="BL319" s="466">
        <f t="shared" si="1248"/>
        <v>0</v>
      </c>
      <c r="BM319" s="257"/>
      <c r="BN319" s="478"/>
      <c r="BO319" s="478"/>
      <c r="BP319" s="478"/>
      <c r="BQ319" s="478"/>
      <c r="BR319" s="478"/>
      <c r="BS319" s="478"/>
      <c r="BT319" s="478"/>
      <c r="BU319" s="478"/>
      <c r="BV319" s="478"/>
      <c r="BW319" s="478"/>
      <c r="BX319" s="478"/>
      <c r="BY319" s="478"/>
      <c r="BZ319" s="478"/>
      <c r="CA319" s="478"/>
      <c r="CB319" s="478"/>
      <c r="CC319" s="478"/>
      <c r="CD319" s="478"/>
      <c r="CE319" s="478"/>
      <c r="CF319" s="478"/>
      <c r="CG319" s="478"/>
      <c r="CH319" s="478"/>
      <c r="CI319" s="478"/>
      <c r="CJ319" s="478"/>
      <c r="CK319" s="478"/>
      <c r="CL319" s="478"/>
      <c r="CM319" s="478"/>
      <c r="CN319" s="478"/>
      <c r="CO319" s="478"/>
      <c r="CP319" s="478"/>
      <c r="CQ319" s="478"/>
      <c r="CR319" s="478"/>
      <c r="CS319" s="478"/>
      <c r="CT319" s="478"/>
      <c r="CU319" s="478"/>
      <c r="CV319" s="478"/>
      <c r="CW319" s="478"/>
      <c r="CX319" s="478"/>
      <c r="CY319" s="478"/>
      <c r="CZ319" s="478"/>
      <c r="DA319" s="478"/>
      <c r="DB319" s="478"/>
      <c r="DC319" s="478"/>
      <c r="DD319" s="478"/>
      <c r="DE319" s="478"/>
      <c r="DF319" s="478"/>
      <c r="DG319" s="478"/>
      <c r="DH319" s="478"/>
      <c r="DI319" s="478"/>
    </row>
    <row r="320" spans="1:113" ht="8.1" hidden="1" customHeight="1" outlineLevel="1" x14ac:dyDescent="0.3">
      <c r="A320" s="455" t="str">
        <f t="shared" ref="A320" si="1249">IF(COUNTIF(A300:A319,"Imprimir")&gt;0,"Imprimir","")</f>
        <v/>
      </c>
      <c r="B320" s="455"/>
      <c r="C320" s="464"/>
      <c r="D320" s="461"/>
      <c r="E320" s="462"/>
      <c r="F320" s="462"/>
      <c r="G320" s="461"/>
      <c r="H320" s="461"/>
      <c r="I320" s="461"/>
      <c r="J320" s="259"/>
      <c r="K320" s="255"/>
      <c r="L320" s="256"/>
      <c r="M320" s="257"/>
      <c r="N320" s="255"/>
      <c r="O320" s="255"/>
      <c r="P320" s="255"/>
      <c r="Q320" s="255"/>
      <c r="R320" s="255"/>
      <c r="S320" s="255"/>
      <c r="T320" s="255"/>
      <c r="U320" s="255"/>
      <c r="V320" s="255"/>
      <c r="W320" s="255"/>
      <c r="X320" s="255"/>
      <c r="Y320" s="255"/>
      <c r="Z320" s="255"/>
      <c r="AA320" s="255"/>
      <c r="AB320" s="255"/>
      <c r="AC320" s="255"/>
      <c r="AD320" s="255"/>
      <c r="AE320" s="255"/>
      <c r="AF320" s="255"/>
      <c r="AG320" s="255"/>
      <c r="AH320" s="255"/>
      <c r="AI320" s="255"/>
      <c r="AJ320" s="255"/>
      <c r="AK320" s="255"/>
      <c r="AL320" s="255"/>
      <c r="AM320" s="524"/>
      <c r="AN320" s="255"/>
      <c r="AO320" s="255"/>
      <c r="AP320" s="255"/>
      <c r="AQ320" s="255"/>
      <c r="AR320" s="255"/>
      <c r="AS320" s="255"/>
      <c r="AT320" s="255"/>
      <c r="AU320" s="255"/>
      <c r="AV320" s="255"/>
      <c r="AW320" s="255"/>
      <c r="AX320" s="255"/>
      <c r="AY320" s="255"/>
      <c r="AZ320" s="255"/>
      <c r="BA320" s="255"/>
      <c r="BB320" s="255"/>
      <c r="BC320" s="255"/>
      <c r="BD320" s="255"/>
      <c r="BE320" s="255"/>
      <c r="BF320" s="255"/>
      <c r="BG320" s="255"/>
      <c r="BH320" s="255"/>
      <c r="BI320" s="255"/>
      <c r="BJ320" s="245"/>
      <c r="BK320" s="256"/>
      <c r="BL320" s="256"/>
      <c r="BM320" s="257"/>
      <c r="BN320" s="255"/>
      <c r="BO320" s="255"/>
      <c r="BP320" s="255"/>
      <c r="BQ320" s="255"/>
      <c r="BR320" s="255"/>
      <c r="BS320" s="255"/>
      <c r="BT320" s="255"/>
      <c r="BU320" s="255"/>
      <c r="BV320" s="255"/>
      <c r="BW320" s="255"/>
      <c r="BX320" s="255"/>
      <c r="BY320" s="255"/>
      <c r="BZ320" s="255"/>
      <c r="CA320" s="255"/>
      <c r="CB320" s="255"/>
      <c r="CC320" s="255"/>
      <c r="CD320" s="255"/>
      <c r="CE320" s="255"/>
      <c r="CF320" s="255"/>
      <c r="CG320" s="255"/>
      <c r="CH320" s="255"/>
      <c r="CI320" s="255"/>
      <c r="CJ320" s="255"/>
      <c r="CK320" s="255"/>
      <c r="CL320" s="255"/>
      <c r="CM320" s="255"/>
      <c r="CN320" s="255"/>
      <c r="CO320" s="255"/>
      <c r="CP320" s="255"/>
      <c r="CQ320" s="255"/>
      <c r="CR320" s="255"/>
      <c r="CS320" s="255"/>
      <c r="CT320" s="255"/>
      <c r="CU320" s="255"/>
      <c r="CV320" s="255"/>
      <c r="CW320" s="255"/>
      <c r="CX320" s="255"/>
      <c r="CY320" s="255"/>
      <c r="CZ320" s="255"/>
      <c r="DA320" s="255"/>
      <c r="DB320" s="255"/>
      <c r="DC320" s="255"/>
      <c r="DD320" s="255"/>
      <c r="DE320" s="255"/>
      <c r="DF320" s="255"/>
      <c r="DG320" s="255"/>
      <c r="DH320" s="255"/>
      <c r="DI320" s="524"/>
    </row>
    <row r="321" spans="1:113" ht="16.05" hidden="1" customHeight="1" collapsed="1" x14ac:dyDescent="0.3">
      <c r="A321" s="455" t="str">
        <f t="shared" ref="A321" si="1250">IF(COUNTIF(A322:A341,"Imprimir")&gt;0,"Imprimir","")</f>
        <v/>
      </c>
      <c r="B321" s="455"/>
      <c r="C321" s="459"/>
      <c r="D321" s="459"/>
      <c r="E321" s="460" t="s">
        <v>940</v>
      </c>
      <c r="F321" s="460"/>
      <c r="G321" s="460"/>
      <c r="H321" s="465"/>
      <c r="I321" s="465">
        <f>SUBTOTAL(9,I322:I342)</f>
        <v>0</v>
      </c>
      <c r="J321" s="259"/>
      <c r="K321" s="465"/>
      <c r="L321" s="465">
        <f>SUBTOTAL(9,L322:L342)</f>
        <v>0</v>
      </c>
      <c r="M321" s="257"/>
      <c r="N321" s="465">
        <f>SUMPRODUCT(N322:N342,$H322:$H342)</f>
        <v>0</v>
      </c>
      <c r="O321" s="465">
        <f>SUMPRODUCT(O322:O342,$H322:$H342)</f>
        <v>0</v>
      </c>
      <c r="P321" s="465">
        <f t="shared" ref="P321" si="1251">SUMPRODUCT(P322:P342,$H322:$H342)</f>
        <v>0</v>
      </c>
      <c r="Q321" s="465">
        <f t="shared" ref="Q321" si="1252">SUMPRODUCT(Q322:Q342,$H322:$H342)</f>
        <v>0</v>
      </c>
      <c r="R321" s="465">
        <f t="shared" ref="R321" si="1253">SUMPRODUCT(R322:R342,$H322:$H342)</f>
        <v>0</v>
      </c>
      <c r="S321" s="465">
        <f t="shared" ref="S321" si="1254">SUMPRODUCT(S322:S342,$H322:$H342)</f>
        <v>0</v>
      </c>
      <c r="T321" s="465">
        <f t="shared" ref="T321" si="1255">SUMPRODUCT(T322:T342,$H322:$H342)</f>
        <v>0</v>
      </c>
      <c r="U321" s="465">
        <f t="shared" ref="U321" si="1256">SUMPRODUCT(U322:U342,$H322:$H342)</f>
        <v>0</v>
      </c>
      <c r="V321" s="465">
        <f t="shared" ref="V321" si="1257">SUMPRODUCT(V322:V342,$H322:$H342)</f>
        <v>0</v>
      </c>
      <c r="W321" s="465">
        <f t="shared" ref="W321" si="1258">SUMPRODUCT(W322:W342,$H322:$H342)</f>
        <v>0</v>
      </c>
      <c r="X321" s="465">
        <f t="shared" ref="X321" si="1259">SUMPRODUCT(X322:X342,$H322:$H342)</f>
        <v>0</v>
      </c>
      <c r="Y321" s="465">
        <f t="shared" ref="Y321" si="1260">SUMPRODUCT(Y322:Y342,$H322:$H342)</f>
        <v>0</v>
      </c>
      <c r="Z321" s="465">
        <f t="shared" ref="Z321" si="1261">SUMPRODUCT(Z322:Z342,$H322:$H342)</f>
        <v>0</v>
      </c>
      <c r="AA321" s="465">
        <f t="shared" ref="AA321" si="1262">SUMPRODUCT(AA322:AA342,$H322:$H342)</f>
        <v>0</v>
      </c>
      <c r="AB321" s="465">
        <f t="shared" ref="AB321" si="1263">SUMPRODUCT(AB322:AB342,$H322:$H342)</f>
        <v>0</v>
      </c>
      <c r="AC321" s="465">
        <f t="shared" ref="AC321" si="1264">SUMPRODUCT(AC322:AC342,$H322:$H342)</f>
        <v>0</v>
      </c>
      <c r="AD321" s="465">
        <f t="shared" ref="AD321" si="1265">SUMPRODUCT(AD322:AD342,$H322:$H342)</f>
        <v>0</v>
      </c>
      <c r="AE321" s="465">
        <f t="shared" ref="AE321" si="1266">SUMPRODUCT(AE322:AE342,$H322:$H342)</f>
        <v>0</v>
      </c>
      <c r="AF321" s="465">
        <f t="shared" ref="AF321" si="1267">SUMPRODUCT(AF322:AF342,$H322:$H342)</f>
        <v>0</v>
      </c>
      <c r="AG321" s="465">
        <f t="shared" ref="AG321" si="1268">SUMPRODUCT(AG322:AG342,$H322:$H342)</f>
        <v>0</v>
      </c>
      <c r="AH321" s="465">
        <f t="shared" ref="AH321" si="1269">SUMPRODUCT(AH322:AH342,$H322:$H342)</f>
        <v>0</v>
      </c>
      <c r="AI321" s="465">
        <f t="shared" ref="AI321" si="1270">SUMPRODUCT(AI322:AI342,$H322:$H342)</f>
        <v>0</v>
      </c>
      <c r="AJ321" s="465">
        <f t="shared" ref="AJ321:BI321" si="1271">SUMPRODUCT(AJ322:AJ342,$H322:$H342)</f>
        <v>0</v>
      </c>
      <c r="AK321" s="465">
        <f t="shared" si="1271"/>
        <v>0</v>
      </c>
      <c r="AL321" s="465">
        <f t="shared" si="1271"/>
        <v>0</v>
      </c>
      <c r="AM321" s="465">
        <f t="shared" si="1271"/>
        <v>0</v>
      </c>
      <c r="AN321" s="465">
        <f t="shared" si="1271"/>
        <v>0</v>
      </c>
      <c r="AO321" s="465">
        <f t="shared" si="1271"/>
        <v>0</v>
      </c>
      <c r="AP321" s="465">
        <f t="shared" si="1271"/>
        <v>0</v>
      </c>
      <c r="AQ321" s="465">
        <f t="shared" si="1271"/>
        <v>0</v>
      </c>
      <c r="AR321" s="465">
        <f t="shared" si="1271"/>
        <v>0</v>
      </c>
      <c r="AS321" s="465">
        <f t="shared" si="1271"/>
        <v>0</v>
      </c>
      <c r="AT321" s="465">
        <f t="shared" si="1271"/>
        <v>0</v>
      </c>
      <c r="AU321" s="465">
        <f t="shared" si="1271"/>
        <v>0</v>
      </c>
      <c r="AV321" s="465">
        <f t="shared" si="1271"/>
        <v>0</v>
      </c>
      <c r="AW321" s="465">
        <f t="shared" si="1271"/>
        <v>0</v>
      </c>
      <c r="AX321" s="465">
        <f t="shared" si="1271"/>
        <v>0</v>
      </c>
      <c r="AY321" s="465">
        <f t="shared" si="1271"/>
        <v>0</v>
      </c>
      <c r="AZ321" s="465">
        <f t="shared" si="1271"/>
        <v>0</v>
      </c>
      <c r="BA321" s="465">
        <f t="shared" si="1271"/>
        <v>0</v>
      </c>
      <c r="BB321" s="465">
        <f t="shared" si="1271"/>
        <v>0</v>
      </c>
      <c r="BC321" s="465">
        <f t="shared" si="1271"/>
        <v>0</v>
      </c>
      <c r="BD321" s="465">
        <f t="shared" si="1271"/>
        <v>0</v>
      </c>
      <c r="BE321" s="465">
        <f t="shared" si="1271"/>
        <v>0</v>
      </c>
      <c r="BF321" s="465">
        <f t="shared" si="1271"/>
        <v>0</v>
      </c>
      <c r="BG321" s="465">
        <f t="shared" si="1271"/>
        <v>0</v>
      </c>
      <c r="BH321" s="465">
        <f t="shared" si="1271"/>
        <v>0</v>
      </c>
      <c r="BI321" s="543">
        <f t="shared" si="1271"/>
        <v>0</v>
      </c>
      <c r="BJ321" s="546"/>
      <c r="BK321" s="475">
        <f t="shared" ref="BK321" si="1272">IFERROR(BL321/I321,0)</f>
        <v>0</v>
      </c>
      <c r="BL321" s="465">
        <f>SUBTOTAL(9,BL322:BL342)</f>
        <v>0</v>
      </c>
      <c r="BM321" s="257"/>
      <c r="BN321" s="465">
        <f>SUMPRODUCT(BN322:BN342,$H322:$H342)</f>
        <v>0</v>
      </c>
      <c r="BO321" s="465">
        <f>SUMPRODUCT(BO322:BO342,$H322:$H342)</f>
        <v>0</v>
      </c>
      <c r="BP321" s="465">
        <f t="shared" ref="BP321" si="1273">SUMPRODUCT(BP322:BP342,$H322:$H342)</f>
        <v>0</v>
      </c>
      <c r="BQ321" s="465">
        <f t="shared" ref="BQ321" si="1274">SUMPRODUCT(BQ322:BQ342,$H322:$H342)</f>
        <v>0</v>
      </c>
      <c r="BR321" s="465">
        <f t="shared" ref="BR321" si="1275">SUMPRODUCT(BR322:BR342,$H322:$H342)</f>
        <v>0</v>
      </c>
      <c r="BS321" s="465">
        <f t="shared" ref="BS321" si="1276">SUMPRODUCT(BS322:BS342,$H322:$H342)</f>
        <v>0</v>
      </c>
      <c r="BT321" s="465">
        <f t="shared" ref="BT321" si="1277">SUMPRODUCT(BT322:BT342,$H322:$H342)</f>
        <v>0</v>
      </c>
      <c r="BU321" s="465">
        <f t="shared" ref="BU321" si="1278">SUMPRODUCT(BU322:BU342,$H322:$H342)</f>
        <v>0</v>
      </c>
      <c r="BV321" s="465">
        <f t="shared" ref="BV321" si="1279">SUMPRODUCT(BV322:BV342,$H322:$H342)</f>
        <v>0</v>
      </c>
      <c r="BW321" s="465">
        <f t="shared" ref="BW321" si="1280">SUMPRODUCT(BW322:BW342,$H322:$H342)</f>
        <v>0</v>
      </c>
      <c r="BX321" s="465">
        <f t="shared" ref="BX321" si="1281">SUMPRODUCT(BX322:BX342,$H322:$H342)</f>
        <v>0</v>
      </c>
      <c r="BY321" s="465">
        <f t="shared" ref="BY321" si="1282">SUMPRODUCT(BY322:BY342,$H322:$H342)</f>
        <v>0</v>
      </c>
      <c r="BZ321" s="465">
        <f t="shared" ref="BZ321" si="1283">SUMPRODUCT(BZ322:BZ342,$H322:$H342)</f>
        <v>0</v>
      </c>
      <c r="CA321" s="465">
        <f t="shared" ref="CA321" si="1284">SUMPRODUCT(CA322:CA342,$H322:$H342)</f>
        <v>0</v>
      </c>
      <c r="CB321" s="465">
        <f t="shared" ref="CB321" si="1285">SUMPRODUCT(CB322:CB342,$H322:$H342)</f>
        <v>0</v>
      </c>
      <c r="CC321" s="465">
        <f t="shared" ref="CC321" si="1286">SUMPRODUCT(CC322:CC342,$H322:$H342)</f>
        <v>0</v>
      </c>
      <c r="CD321" s="465">
        <f t="shared" ref="CD321" si="1287">SUMPRODUCT(CD322:CD342,$H322:$H342)</f>
        <v>0</v>
      </c>
      <c r="CE321" s="465">
        <f t="shared" ref="CE321" si="1288">SUMPRODUCT(CE322:CE342,$H322:$H342)</f>
        <v>0</v>
      </c>
      <c r="CF321" s="465">
        <f t="shared" ref="CF321" si="1289">SUMPRODUCT(CF322:CF342,$H322:$H342)</f>
        <v>0</v>
      </c>
      <c r="CG321" s="465">
        <f t="shared" ref="CG321" si="1290">SUMPRODUCT(CG322:CG342,$H322:$H342)</f>
        <v>0</v>
      </c>
      <c r="CH321" s="465">
        <f t="shared" ref="CH321" si="1291">SUMPRODUCT(CH322:CH342,$H322:$H342)</f>
        <v>0</v>
      </c>
      <c r="CI321" s="465">
        <f t="shared" ref="CI321" si="1292">SUMPRODUCT(CI322:CI342,$H322:$H342)</f>
        <v>0</v>
      </c>
      <c r="CJ321" s="465">
        <f t="shared" ref="CJ321" si="1293">SUMPRODUCT(CJ322:CJ342,$H322:$H342)</f>
        <v>0</v>
      </c>
      <c r="CK321" s="465">
        <f t="shared" ref="CK321" si="1294">SUMPRODUCT(CK322:CK342,$H322:$H342)</f>
        <v>0</v>
      </c>
      <c r="CL321" s="465">
        <f t="shared" ref="CL321" si="1295">SUMPRODUCT(CL322:CL342,$H322:$H342)</f>
        <v>0</v>
      </c>
      <c r="CM321" s="465">
        <f t="shared" ref="CM321" si="1296">SUMPRODUCT(CM322:CM342,$H322:$H342)</f>
        <v>0</v>
      </c>
      <c r="CN321" s="465">
        <f t="shared" ref="CN321" si="1297">SUMPRODUCT(CN322:CN342,$H322:$H342)</f>
        <v>0</v>
      </c>
      <c r="CO321" s="465">
        <f t="shared" ref="CO321" si="1298">SUMPRODUCT(CO322:CO342,$H322:$H342)</f>
        <v>0</v>
      </c>
      <c r="CP321" s="465">
        <f t="shared" ref="CP321" si="1299">SUMPRODUCT(CP322:CP342,$H322:$H342)</f>
        <v>0</v>
      </c>
      <c r="CQ321" s="465">
        <f t="shared" ref="CQ321" si="1300">SUMPRODUCT(CQ322:CQ342,$H322:$H342)</f>
        <v>0</v>
      </c>
      <c r="CR321" s="465">
        <f t="shared" ref="CR321" si="1301">SUMPRODUCT(CR322:CR342,$H322:$H342)</f>
        <v>0</v>
      </c>
      <c r="CS321" s="465">
        <f t="shared" ref="CS321" si="1302">SUMPRODUCT(CS322:CS342,$H322:$H342)</f>
        <v>0</v>
      </c>
      <c r="CT321" s="465">
        <f t="shared" ref="CT321" si="1303">SUMPRODUCT(CT322:CT342,$H322:$H342)</f>
        <v>0</v>
      </c>
      <c r="CU321" s="465">
        <f t="shared" ref="CU321" si="1304">SUMPRODUCT(CU322:CU342,$H322:$H342)</f>
        <v>0</v>
      </c>
      <c r="CV321" s="465">
        <f t="shared" ref="CV321" si="1305">SUMPRODUCT(CV322:CV342,$H322:$H342)</f>
        <v>0</v>
      </c>
      <c r="CW321" s="465">
        <f t="shared" ref="CW321" si="1306">SUMPRODUCT(CW322:CW342,$H322:$H342)</f>
        <v>0</v>
      </c>
      <c r="CX321" s="465">
        <f t="shared" ref="CX321" si="1307">SUMPRODUCT(CX322:CX342,$H322:$H342)</f>
        <v>0</v>
      </c>
      <c r="CY321" s="465">
        <f t="shared" ref="CY321" si="1308">SUMPRODUCT(CY322:CY342,$H322:$H342)</f>
        <v>0</v>
      </c>
      <c r="CZ321" s="465">
        <f t="shared" ref="CZ321" si="1309">SUMPRODUCT(CZ322:CZ342,$H322:$H342)</f>
        <v>0</v>
      </c>
      <c r="DA321" s="465">
        <f t="shared" ref="DA321" si="1310">SUMPRODUCT(DA322:DA342,$H322:$H342)</f>
        <v>0</v>
      </c>
      <c r="DB321" s="465">
        <f t="shared" ref="DB321" si="1311">SUMPRODUCT(DB322:DB342,$H322:$H342)</f>
        <v>0</v>
      </c>
      <c r="DC321" s="465">
        <f t="shared" ref="DC321" si="1312">SUMPRODUCT(DC322:DC342,$H322:$H342)</f>
        <v>0</v>
      </c>
      <c r="DD321" s="465">
        <f t="shared" ref="DD321" si="1313">SUMPRODUCT(DD322:DD342,$H322:$H342)</f>
        <v>0</v>
      </c>
      <c r="DE321" s="465">
        <f t="shared" ref="DE321" si="1314">SUMPRODUCT(DE322:DE342,$H322:$H342)</f>
        <v>0</v>
      </c>
      <c r="DF321" s="465">
        <f t="shared" ref="DF321" si="1315">SUMPRODUCT(DF322:DF342,$H322:$H342)</f>
        <v>0</v>
      </c>
      <c r="DG321" s="465">
        <f t="shared" ref="DG321" si="1316">SUMPRODUCT(DG322:DG342,$H322:$H342)</f>
        <v>0</v>
      </c>
      <c r="DH321" s="465">
        <f t="shared" ref="DH321" si="1317">SUMPRODUCT(DH322:DH342,$H322:$H342)</f>
        <v>0</v>
      </c>
      <c r="DI321" s="465">
        <f t="shared" ref="DI321" si="1318">SUMPRODUCT(DI322:DI342,$H322:$H342)</f>
        <v>0</v>
      </c>
    </row>
    <row r="322" spans="1:113" ht="16.05" hidden="1" customHeight="1" outlineLevel="1" x14ac:dyDescent="0.3">
      <c r="A322" s="455" t="str">
        <f t="shared" ref="A322:A363" si="1319">IF(E322="","","Imprimir")</f>
        <v/>
      </c>
      <c r="B322" s="455"/>
      <c r="C322" s="481"/>
      <c r="D322" s="463" t="s">
        <v>941</v>
      </c>
      <c r="E322" s="482"/>
      <c r="F322" s="483"/>
      <c r="G322" s="484"/>
      <c r="H322" s="485"/>
      <c r="I322" s="466">
        <f t="shared" ref="I322:I341" si="1320">G322*H322</f>
        <v>0</v>
      </c>
      <c r="J322" s="259"/>
      <c r="K322" s="478">
        <f>SUM(N322:BI322)</f>
        <v>0</v>
      </c>
      <c r="L322" s="466">
        <f>K322*$H322</f>
        <v>0</v>
      </c>
      <c r="M322" s="257"/>
      <c r="N322" s="478"/>
      <c r="O322" s="478"/>
      <c r="P322" s="478"/>
      <c r="Q322" s="478"/>
      <c r="R322" s="478"/>
      <c r="S322" s="478"/>
      <c r="T322" s="478"/>
      <c r="U322" s="478"/>
      <c r="V322" s="478"/>
      <c r="W322" s="478"/>
      <c r="X322" s="478"/>
      <c r="Y322" s="478"/>
      <c r="Z322" s="478"/>
      <c r="AA322" s="478"/>
      <c r="AB322" s="478"/>
      <c r="AC322" s="478"/>
      <c r="AD322" s="478"/>
      <c r="AE322" s="478"/>
      <c r="AF322" s="478"/>
      <c r="AG322" s="478"/>
      <c r="AH322" s="478"/>
      <c r="AI322" s="478"/>
      <c r="AJ322" s="478"/>
      <c r="AK322" s="478"/>
      <c r="AL322" s="478"/>
      <c r="AM322" s="478"/>
      <c r="AN322" s="478"/>
      <c r="AO322" s="478"/>
      <c r="AP322" s="478"/>
      <c r="AQ322" s="478"/>
      <c r="AR322" s="478"/>
      <c r="AS322" s="478"/>
      <c r="AT322" s="478"/>
      <c r="AU322" s="478"/>
      <c r="AV322" s="478"/>
      <c r="AW322" s="478"/>
      <c r="AX322" s="478"/>
      <c r="AY322" s="478"/>
      <c r="AZ322" s="478"/>
      <c r="BA322" s="478"/>
      <c r="BB322" s="478"/>
      <c r="BC322" s="478"/>
      <c r="BD322" s="478"/>
      <c r="BE322" s="478"/>
      <c r="BF322" s="478"/>
      <c r="BG322" s="478"/>
      <c r="BH322" s="478"/>
      <c r="BI322" s="478"/>
      <c r="BJ322" s="245"/>
      <c r="BK322" s="477">
        <f>IFERROR(BL322/I322,0)</f>
        <v>0</v>
      </c>
      <c r="BL322" s="466">
        <f>SUM(BN322:DJ322)*$H322</f>
        <v>0</v>
      </c>
      <c r="BM322" s="257"/>
      <c r="BN322" s="478"/>
      <c r="BO322" s="478"/>
      <c r="BP322" s="478"/>
      <c r="BQ322" s="478"/>
      <c r="BR322" s="478"/>
      <c r="BS322" s="478"/>
      <c r="BT322" s="478"/>
      <c r="BU322" s="478"/>
      <c r="BV322" s="478"/>
      <c r="BW322" s="478"/>
      <c r="BX322" s="478"/>
      <c r="BY322" s="478"/>
      <c r="BZ322" s="478"/>
      <c r="CA322" s="478"/>
      <c r="CB322" s="478"/>
      <c r="CC322" s="478"/>
      <c r="CD322" s="478"/>
      <c r="CE322" s="478"/>
      <c r="CF322" s="478"/>
      <c r="CG322" s="478"/>
      <c r="CH322" s="478"/>
      <c r="CI322" s="478"/>
      <c r="CJ322" s="478"/>
      <c r="CK322" s="478"/>
      <c r="CL322" s="478"/>
      <c r="CM322" s="478"/>
      <c r="CN322" s="478"/>
      <c r="CO322" s="478"/>
      <c r="CP322" s="478"/>
      <c r="CQ322" s="478"/>
      <c r="CR322" s="478"/>
      <c r="CS322" s="478"/>
      <c r="CT322" s="478"/>
      <c r="CU322" s="478"/>
      <c r="CV322" s="478"/>
      <c r="CW322" s="478"/>
      <c r="CX322" s="478"/>
      <c r="CY322" s="478"/>
      <c r="CZ322" s="478"/>
      <c r="DA322" s="478"/>
      <c r="DB322" s="478"/>
      <c r="DC322" s="478"/>
      <c r="DD322" s="478"/>
      <c r="DE322" s="478"/>
      <c r="DF322" s="478"/>
      <c r="DG322" s="478"/>
      <c r="DH322" s="478"/>
      <c r="DI322" s="478"/>
    </row>
    <row r="323" spans="1:113" ht="16.05" hidden="1" customHeight="1" outlineLevel="1" x14ac:dyDescent="0.3">
      <c r="A323" s="455" t="str">
        <f t="shared" si="1319"/>
        <v/>
      </c>
      <c r="B323" s="455"/>
      <c r="C323" s="481"/>
      <c r="D323" s="463" t="s">
        <v>942</v>
      </c>
      <c r="E323" s="482"/>
      <c r="F323" s="483"/>
      <c r="G323" s="484"/>
      <c r="H323" s="485"/>
      <c r="I323" s="466">
        <f t="shared" si="1320"/>
        <v>0</v>
      </c>
      <c r="J323" s="259"/>
      <c r="K323" s="478">
        <f t="shared" ref="K323:K341" si="1321">SUM(N323:BI323)</f>
        <v>0</v>
      </c>
      <c r="L323" s="466">
        <f t="shared" ref="L323:L341" si="1322">K323*$H323</f>
        <v>0</v>
      </c>
      <c r="M323" s="257"/>
      <c r="N323" s="478"/>
      <c r="O323" s="478"/>
      <c r="P323" s="478"/>
      <c r="Q323" s="478"/>
      <c r="R323" s="478"/>
      <c r="S323" s="478"/>
      <c r="T323" s="478"/>
      <c r="U323" s="478"/>
      <c r="V323" s="478"/>
      <c r="W323" s="478"/>
      <c r="X323" s="478"/>
      <c r="Y323" s="478"/>
      <c r="Z323" s="478"/>
      <c r="AA323" s="478"/>
      <c r="AB323" s="478"/>
      <c r="AC323" s="478"/>
      <c r="AD323" s="478"/>
      <c r="AE323" s="478"/>
      <c r="AF323" s="478"/>
      <c r="AG323" s="478"/>
      <c r="AH323" s="478"/>
      <c r="AI323" s="478"/>
      <c r="AJ323" s="478"/>
      <c r="AK323" s="478"/>
      <c r="AL323" s="478"/>
      <c r="AM323" s="478"/>
      <c r="AN323" s="478"/>
      <c r="AO323" s="478"/>
      <c r="AP323" s="478"/>
      <c r="AQ323" s="478"/>
      <c r="AR323" s="478"/>
      <c r="AS323" s="478"/>
      <c r="AT323" s="478"/>
      <c r="AU323" s="478"/>
      <c r="AV323" s="478"/>
      <c r="AW323" s="478"/>
      <c r="AX323" s="478"/>
      <c r="AY323" s="478"/>
      <c r="AZ323" s="478"/>
      <c r="BA323" s="478"/>
      <c r="BB323" s="478"/>
      <c r="BC323" s="478"/>
      <c r="BD323" s="478"/>
      <c r="BE323" s="478"/>
      <c r="BF323" s="478"/>
      <c r="BG323" s="478"/>
      <c r="BH323" s="478"/>
      <c r="BI323" s="478"/>
      <c r="BJ323" s="245"/>
      <c r="BK323" s="477">
        <f t="shared" ref="BK323:BK341" si="1323">IFERROR(BL323/I323,0)</f>
        <v>0</v>
      </c>
      <c r="BL323" s="466">
        <f t="shared" ref="BL323:BL341" si="1324">SUM(BN323:DJ323)*$H323</f>
        <v>0</v>
      </c>
      <c r="BM323" s="257"/>
      <c r="BN323" s="478"/>
      <c r="BO323" s="478"/>
      <c r="BP323" s="478"/>
      <c r="BQ323" s="478"/>
      <c r="BR323" s="478"/>
      <c r="BS323" s="478"/>
      <c r="BT323" s="478"/>
      <c r="BU323" s="478"/>
      <c r="BV323" s="478"/>
      <c r="BW323" s="478"/>
      <c r="BX323" s="478"/>
      <c r="BY323" s="478"/>
      <c r="BZ323" s="478"/>
      <c r="CA323" s="478"/>
      <c r="CB323" s="478"/>
      <c r="CC323" s="478"/>
      <c r="CD323" s="478"/>
      <c r="CE323" s="478"/>
      <c r="CF323" s="478"/>
      <c r="CG323" s="478"/>
      <c r="CH323" s="478"/>
      <c r="CI323" s="478"/>
      <c r="CJ323" s="478"/>
      <c r="CK323" s="478"/>
      <c r="CL323" s="478"/>
      <c r="CM323" s="478"/>
      <c r="CN323" s="478"/>
      <c r="CO323" s="478"/>
      <c r="CP323" s="478"/>
      <c r="CQ323" s="478"/>
      <c r="CR323" s="478"/>
      <c r="CS323" s="478"/>
      <c r="CT323" s="478"/>
      <c r="CU323" s="478"/>
      <c r="CV323" s="478"/>
      <c r="CW323" s="478"/>
      <c r="CX323" s="478"/>
      <c r="CY323" s="478"/>
      <c r="CZ323" s="478"/>
      <c r="DA323" s="478"/>
      <c r="DB323" s="478"/>
      <c r="DC323" s="478"/>
      <c r="DD323" s="478"/>
      <c r="DE323" s="478"/>
      <c r="DF323" s="478"/>
      <c r="DG323" s="478"/>
      <c r="DH323" s="478"/>
      <c r="DI323" s="478"/>
    </row>
    <row r="324" spans="1:113" ht="16.05" hidden="1" customHeight="1" outlineLevel="1" x14ac:dyDescent="0.3">
      <c r="A324" s="455" t="str">
        <f t="shared" si="1319"/>
        <v/>
      </c>
      <c r="B324" s="455"/>
      <c r="C324" s="481"/>
      <c r="D324" s="463" t="s">
        <v>943</v>
      </c>
      <c r="E324" s="482"/>
      <c r="F324" s="483"/>
      <c r="G324" s="484"/>
      <c r="H324" s="485"/>
      <c r="I324" s="466">
        <f t="shared" si="1320"/>
        <v>0</v>
      </c>
      <c r="J324" s="259"/>
      <c r="K324" s="478">
        <f t="shared" si="1321"/>
        <v>0</v>
      </c>
      <c r="L324" s="466">
        <f t="shared" si="1322"/>
        <v>0</v>
      </c>
      <c r="M324" s="257"/>
      <c r="N324" s="478"/>
      <c r="O324" s="478"/>
      <c r="P324" s="478"/>
      <c r="Q324" s="478"/>
      <c r="R324" s="478"/>
      <c r="S324" s="478"/>
      <c r="T324" s="478"/>
      <c r="U324" s="478"/>
      <c r="V324" s="478"/>
      <c r="W324" s="478"/>
      <c r="X324" s="478"/>
      <c r="Y324" s="478"/>
      <c r="Z324" s="478"/>
      <c r="AA324" s="478"/>
      <c r="AB324" s="478"/>
      <c r="AC324" s="478"/>
      <c r="AD324" s="478"/>
      <c r="AE324" s="478"/>
      <c r="AF324" s="478"/>
      <c r="AG324" s="478"/>
      <c r="AH324" s="478"/>
      <c r="AI324" s="478"/>
      <c r="AJ324" s="478"/>
      <c r="AK324" s="478"/>
      <c r="AL324" s="478"/>
      <c r="AM324" s="478"/>
      <c r="AN324" s="478"/>
      <c r="AO324" s="478"/>
      <c r="AP324" s="478"/>
      <c r="AQ324" s="478"/>
      <c r="AR324" s="478"/>
      <c r="AS324" s="478"/>
      <c r="AT324" s="478"/>
      <c r="AU324" s="478"/>
      <c r="AV324" s="478"/>
      <c r="AW324" s="478"/>
      <c r="AX324" s="478"/>
      <c r="AY324" s="478"/>
      <c r="AZ324" s="478"/>
      <c r="BA324" s="478"/>
      <c r="BB324" s="478"/>
      <c r="BC324" s="478"/>
      <c r="BD324" s="478"/>
      <c r="BE324" s="478"/>
      <c r="BF324" s="478"/>
      <c r="BG324" s="478"/>
      <c r="BH324" s="478"/>
      <c r="BI324" s="478"/>
      <c r="BJ324" s="245"/>
      <c r="BK324" s="477">
        <f t="shared" si="1323"/>
        <v>0</v>
      </c>
      <c r="BL324" s="466">
        <f t="shared" si="1324"/>
        <v>0</v>
      </c>
      <c r="BM324" s="257"/>
      <c r="BN324" s="478"/>
      <c r="BO324" s="478"/>
      <c r="BP324" s="478"/>
      <c r="BQ324" s="478"/>
      <c r="BR324" s="478"/>
      <c r="BS324" s="478"/>
      <c r="BT324" s="478"/>
      <c r="BU324" s="478"/>
      <c r="BV324" s="478"/>
      <c r="BW324" s="478"/>
      <c r="BX324" s="478"/>
      <c r="BY324" s="478"/>
      <c r="BZ324" s="478"/>
      <c r="CA324" s="478"/>
      <c r="CB324" s="478"/>
      <c r="CC324" s="478"/>
      <c r="CD324" s="478"/>
      <c r="CE324" s="478"/>
      <c r="CF324" s="478"/>
      <c r="CG324" s="478"/>
      <c r="CH324" s="478"/>
      <c r="CI324" s="478"/>
      <c r="CJ324" s="478"/>
      <c r="CK324" s="478"/>
      <c r="CL324" s="478"/>
      <c r="CM324" s="478"/>
      <c r="CN324" s="478"/>
      <c r="CO324" s="478"/>
      <c r="CP324" s="478"/>
      <c r="CQ324" s="478"/>
      <c r="CR324" s="478"/>
      <c r="CS324" s="478"/>
      <c r="CT324" s="478"/>
      <c r="CU324" s="478"/>
      <c r="CV324" s="478"/>
      <c r="CW324" s="478"/>
      <c r="CX324" s="478"/>
      <c r="CY324" s="478"/>
      <c r="CZ324" s="478"/>
      <c r="DA324" s="478"/>
      <c r="DB324" s="478"/>
      <c r="DC324" s="478"/>
      <c r="DD324" s="478"/>
      <c r="DE324" s="478"/>
      <c r="DF324" s="478"/>
      <c r="DG324" s="478"/>
      <c r="DH324" s="478"/>
      <c r="DI324" s="478"/>
    </row>
    <row r="325" spans="1:113" ht="16.05" hidden="1" customHeight="1" outlineLevel="1" x14ac:dyDescent="0.3">
      <c r="A325" s="455" t="str">
        <f t="shared" si="1319"/>
        <v/>
      </c>
      <c r="B325" s="455"/>
      <c r="C325" s="481"/>
      <c r="D325" s="463" t="s">
        <v>944</v>
      </c>
      <c r="E325" s="482"/>
      <c r="F325" s="483"/>
      <c r="G325" s="484"/>
      <c r="H325" s="485"/>
      <c r="I325" s="466">
        <f t="shared" si="1320"/>
        <v>0</v>
      </c>
      <c r="J325" s="259"/>
      <c r="K325" s="478">
        <f t="shared" si="1321"/>
        <v>0</v>
      </c>
      <c r="L325" s="466">
        <f t="shared" si="1322"/>
        <v>0</v>
      </c>
      <c r="M325" s="257"/>
      <c r="N325" s="478"/>
      <c r="O325" s="478"/>
      <c r="P325" s="478"/>
      <c r="Q325" s="478"/>
      <c r="R325" s="478"/>
      <c r="S325" s="478"/>
      <c r="T325" s="478"/>
      <c r="U325" s="478"/>
      <c r="V325" s="478"/>
      <c r="W325" s="478"/>
      <c r="X325" s="478"/>
      <c r="Y325" s="478"/>
      <c r="Z325" s="478"/>
      <c r="AA325" s="478"/>
      <c r="AB325" s="478"/>
      <c r="AC325" s="478"/>
      <c r="AD325" s="478"/>
      <c r="AE325" s="478"/>
      <c r="AF325" s="478"/>
      <c r="AG325" s="478"/>
      <c r="AH325" s="478"/>
      <c r="AI325" s="478"/>
      <c r="AJ325" s="478"/>
      <c r="AK325" s="478"/>
      <c r="AL325" s="478"/>
      <c r="AM325" s="478"/>
      <c r="AN325" s="478"/>
      <c r="AO325" s="478"/>
      <c r="AP325" s="478"/>
      <c r="AQ325" s="478"/>
      <c r="AR325" s="478"/>
      <c r="AS325" s="478"/>
      <c r="AT325" s="478"/>
      <c r="AU325" s="478"/>
      <c r="AV325" s="478"/>
      <c r="AW325" s="478"/>
      <c r="AX325" s="478"/>
      <c r="AY325" s="478"/>
      <c r="AZ325" s="478"/>
      <c r="BA325" s="478"/>
      <c r="BB325" s="478"/>
      <c r="BC325" s="478"/>
      <c r="BD325" s="478"/>
      <c r="BE325" s="478"/>
      <c r="BF325" s="478"/>
      <c r="BG325" s="478"/>
      <c r="BH325" s="478"/>
      <c r="BI325" s="478"/>
      <c r="BJ325" s="245"/>
      <c r="BK325" s="477">
        <f t="shared" si="1323"/>
        <v>0</v>
      </c>
      <c r="BL325" s="466">
        <f t="shared" si="1324"/>
        <v>0</v>
      </c>
      <c r="BM325" s="257"/>
      <c r="BN325" s="478"/>
      <c r="BO325" s="478"/>
      <c r="BP325" s="478"/>
      <c r="BQ325" s="478"/>
      <c r="BR325" s="478"/>
      <c r="BS325" s="478"/>
      <c r="BT325" s="478"/>
      <c r="BU325" s="478"/>
      <c r="BV325" s="478"/>
      <c r="BW325" s="478"/>
      <c r="BX325" s="478"/>
      <c r="BY325" s="478"/>
      <c r="BZ325" s="478"/>
      <c r="CA325" s="478"/>
      <c r="CB325" s="478"/>
      <c r="CC325" s="478"/>
      <c r="CD325" s="478"/>
      <c r="CE325" s="478"/>
      <c r="CF325" s="478"/>
      <c r="CG325" s="478"/>
      <c r="CH325" s="478"/>
      <c r="CI325" s="478"/>
      <c r="CJ325" s="478"/>
      <c r="CK325" s="478"/>
      <c r="CL325" s="478"/>
      <c r="CM325" s="478"/>
      <c r="CN325" s="478"/>
      <c r="CO325" s="478"/>
      <c r="CP325" s="478"/>
      <c r="CQ325" s="478"/>
      <c r="CR325" s="478"/>
      <c r="CS325" s="478"/>
      <c r="CT325" s="478"/>
      <c r="CU325" s="478"/>
      <c r="CV325" s="478"/>
      <c r="CW325" s="478"/>
      <c r="CX325" s="478"/>
      <c r="CY325" s="478"/>
      <c r="CZ325" s="478"/>
      <c r="DA325" s="478"/>
      <c r="DB325" s="478"/>
      <c r="DC325" s="478"/>
      <c r="DD325" s="478"/>
      <c r="DE325" s="478"/>
      <c r="DF325" s="478"/>
      <c r="DG325" s="478"/>
      <c r="DH325" s="478"/>
      <c r="DI325" s="478"/>
    </row>
    <row r="326" spans="1:113" ht="16.05" hidden="1" customHeight="1" outlineLevel="1" x14ac:dyDescent="0.3">
      <c r="A326" s="455" t="str">
        <f t="shared" si="1319"/>
        <v/>
      </c>
      <c r="B326" s="455"/>
      <c r="C326" s="481"/>
      <c r="D326" s="463" t="s">
        <v>945</v>
      </c>
      <c r="E326" s="482"/>
      <c r="F326" s="483"/>
      <c r="G326" s="484"/>
      <c r="H326" s="485"/>
      <c r="I326" s="466">
        <f t="shared" si="1320"/>
        <v>0</v>
      </c>
      <c r="J326" s="259"/>
      <c r="K326" s="478">
        <f t="shared" si="1321"/>
        <v>0</v>
      </c>
      <c r="L326" s="466">
        <f t="shared" si="1322"/>
        <v>0</v>
      </c>
      <c r="M326" s="257"/>
      <c r="N326" s="478"/>
      <c r="O326" s="478"/>
      <c r="P326" s="478"/>
      <c r="Q326" s="478"/>
      <c r="R326" s="478"/>
      <c r="S326" s="478"/>
      <c r="T326" s="478"/>
      <c r="U326" s="478"/>
      <c r="V326" s="478"/>
      <c r="W326" s="478"/>
      <c r="X326" s="478"/>
      <c r="Y326" s="478"/>
      <c r="Z326" s="478"/>
      <c r="AA326" s="478"/>
      <c r="AB326" s="478"/>
      <c r="AC326" s="478"/>
      <c r="AD326" s="478"/>
      <c r="AE326" s="478"/>
      <c r="AF326" s="478"/>
      <c r="AG326" s="478"/>
      <c r="AH326" s="478"/>
      <c r="AI326" s="478"/>
      <c r="AJ326" s="478"/>
      <c r="AK326" s="478"/>
      <c r="AL326" s="478"/>
      <c r="AM326" s="478"/>
      <c r="AN326" s="478"/>
      <c r="AO326" s="478"/>
      <c r="AP326" s="478"/>
      <c r="AQ326" s="478"/>
      <c r="AR326" s="478"/>
      <c r="AS326" s="478"/>
      <c r="AT326" s="478"/>
      <c r="AU326" s="478"/>
      <c r="AV326" s="478"/>
      <c r="AW326" s="478"/>
      <c r="AX326" s="478"/>
      <c r="AY326" s="478"/>
      <c r="AZ326" s="478"/>
      <c r="BA326" s="478"/>
      <c r="BB326" s="478"/>
      <c r="BC326" s="478"/>
      <c r="BD326" s="478"/>
      <c r="BE326" s="478"/>
      <c r="BF326" s="478"/>
      <c r="BG326" s="478"/>
      <c r="BH326" s="478"/>
      <c r="BI326" s="478"/>
      <c r="BJ326" s="245"/>
      <c r="BK326" s="477">
        <f t="shared" si="1323"/>
        <v>0</v>
      </c>
      <c r="BL326" s="466">
        <f t="shared" si="1324"/>
        <v>0</v>
      </c>
      <c r="BM326" s="257"/>
      <c r="BN326" s="478"/>
      <c r="BO326" s="478"/>
      <c r="BP326" s="478"/>
      <c r="BQ326" s="478"/>
      <c r="BR326" s="478"/>
      <c r="BS326" s="478"/>
      <c r="BT326" s="478"/>
      <c r="BU326" s="478"/>
      <c r="BV326" s="478"/>
      <c r="BW326" s="478"/>
      <c r="BX326" s="478"/>
      <c r="BY326" s="478"/>
      <c r="BZ326" s="478"/>
      <c r="CA326" s="478"/>
      <c r="CB326" s="478"/>
      <c r="CC326" s="478"/>
      <c r="CD326" s="478"/>
      <c r="CE326" s="478"/>
      <c r="CF326" s="478"/>
      <c r="CG326" s="478"/>
      <c r="CH326" s="478"/>
      <c r="CI326" s="478"/>
      <c r="CJ326" s="478"/>
      <c r="CK326" s="478"/>
      <c r="CL326" s="478"/>
      <c r="CM326" s="478"/>
      <c r="CN326" s="478"/>
      <c r="CO326" s="478"/>
      <c r="CP326" s="478"/>
      <c r="CQ326" s="478"/>
      <c r="CR326" s="478"/>
      <c r="CS326" s="478"/>
      <c r="CT326" s="478"/>
      <c r="CU326" s="478"/>
      <c r="CV326" s="478"/>
      <c r="CW326" s="478"/>
      <c r="CX326" s="478"/>
      <c r="CY326" s="478"/>
      <c r="CZ326" s="478"/>
      <c r="DA326" s="478"/>
      <c r="DB326" s="478"/>
      <c r="DC326" s="478"/>
      <c r="DD326" s="478"/>
      <c r="DE326" s="478"/>
      <c r="DF326" s="478"/>
      <c r="DG326" s="478"/>
      <c r="DH326" s="478"/>
      <c r="DI326" s="478"/>
    </row>
    <row r="327" spans="1:113" ht="16.05" hidden="1" customHeight="1" outlineLevel="1" x14ac:dyDescent="0.3">
      <c r="A327" s="455" t="str">
        <f t="shared" si="1319"/>
        <v/>
      </c>
      <c r="B327" s="455"/>
      <c r="C327" s="481"/>
      <c r="D327" s="463" t="s">
        <v>946</v>
      </c>
      <c r="E327" s="482"/>
      <c r="F327" s="483"/>
      <c r="G327" s="484"/>
      <c r="H327" s="485"/>
      <c r="I327" s="466">
        <f t="shared" si="1320"/>
        <v>0</v>
      </c>
      <c r="J327" s="259"/>
      <c r="K327" s="478">
        <f t="shared" si="1321"/>
        <v>0</v>
      </c>
      <c r="L327" s="466">
        <f t="shared" si="1322"/>
        <v>0</v>
      </c>
      <c r="M327" s="257"/>
      <c r="N327" s="478"/>
      <c r="O327" s="478"/>
      <c r="P327" s="478"/>
      <c r="Q327" s="478"/>
      <c r="R327" s="478"/>
      <c r="S327" s="478"/>
      <c r="T327" s="478"/>
      <c r="U327" s="478"/>
      <c r="V327" s="478"/>
      <c r="W327" s="478"/>
      <c r="X327" s="478"/>
      <c r="Y327" s="478"/>
      <c r="Z327" s="478"/>
      <c r="AA327" s="478"/>
      <c r="AB327" s="478"/>
      <c r="AC327" s="478"/>
      <c r="AD327" s="478"/>
      <c r="AE327" s="478"/>
      <c r="AF327" s="478"/>
      <c r="AG327" s="478"/>
      <c r="AH327" s="478"/>
      <c r="AI327" s="478"/>
      <c r="AJ327" s="478"/>
      <c r="AK327" s="478"/>
      <c r="AL327" s="478"/>
      <c r="AM327" s="478"/>
      <c r="AN327" s="478"/>
      <c r="AO327" s="478"/>
      <c r="AP327" s="478"/>
      <c r="AQ327" s="478"/>
      <c r="AR327" s="478"/>
      <c r="AS327" s="478"/>
      <c r="AT327" s="478"/>
      <c r="AU327" s="478"/>
      <c r="AV327" s="478"/>
      <c r="AW327" s="478"/>
      <c r="AX327" s="478"/>
      <c r="AY327" s="478"/>
      <c r="AZ327" s="478"/>
      <c r="BA327" s="478"/>
      <c r="BB327" s="478"/>
      <c r="BC327" s="478"/>
      <c r="BD327" s="478"/>
      <c r="BE327" s="478"/>
      <c r="BF327" s="478"/>
      <c r="BG327" s="478"/>
      <c r="BH327" s="478"/>
      <c r="BI327" s="478"/>
      <c r="BJ327" s="245"/>
      <c r="BK327" s="477">
        <f t="shared" si="1323"/>
        <v>0</v>
      </c>
      <c r="BL327" s="466">
        <f t="shared" si="1324"/>
        <v>0</v>
      </c>
      <c r="BM327" s="257"/>
      <c r="BN327" s="478"/>
      <c r="BO327" s="478"/>
      <c r="BP327" s="478"/>
      <c r="BQ327" s="478"/>
      <c r="BR327" s="478"/>
      <c r="BS327" s="478"/>
      <c r="BT327" s="478"/>
      <c r="BU327" s="478"/>
      <c r="BV327" s="478"/>
      <c r="BW327" s="478"/>
      <c r="BX327" s="478"/>
      <c r="BY327" s="478"/>
      <c r="BZ327" s="478"/>
      <c r="CA327" s="478"/>
      <c r="CB327" s="478"/>
      <c r="CC327" s="478"/>
      <c r="CD327" s="478"/>
      <c r="CE327" s="478"/>
      <c r="CF327" s="478"/>
      <c r="CG327" s="478"/>
      <c r="CH327" s="478"/>
      <c r="CI327" s="478"/>
      <c r="CJ327" s="478"/>
      <c r="CK327" s="478"/>
      <c r="CL327" s="478"/>
      <c r="CM327" s="478"/>
      <c r="CN327" s="478"/>
      <c r="CO327" s="478"/>
      <c r="CP327" s="478"/>
      <c r="CQ327" s="478"/>
      <c r="CR327" s="478"/>
      <c r="CS327" s="478"/>
      <c r="CT327" s="478"/>
      <c r="CU327" s="478"/>
      <c r="CV327" s="478"/>
      <c r="CW327" s="478"/>
      <c r="CX327" s="478"/>
      <c r="CY327" s="478"/>
      <c r="CZ327" s="478"/>
      <c r="DA327" s="478"/>
      <c r="DB327" s="478"/>
      <c r="DC327" s="478"/>
      <c r="DD327" s="478"/>
      <c r="DE327" s="478"/>
      <c r="DF327" s="478"/>
      <c r="DG327" s="478"/>
      <c r="DH327" s="478"/>
      <c r="DI327" s="478"/>
    </row>
    <row r="328" spans="1:113" ht="16.05" hidden="1" customHeight="1" outlineLevel="1" x14ac:dyDescent="0.3">
      <c r="A328" s="455" t="str">
        <f t="shared" si="1319"/>
        <v/>
      </c>
      <c r="B328" s="455"/>
      <c r="C328" s="481"/>
      <c r="D328" s="463" t="s">
        <v>947</v>
      </c>
      <c r="E328" s="482"/>
      <c r="F328" s="483"/>
      <c r="G328" s="484"/>
      <c r="H328" s="485"/>
      <c r="I328" s="466">
        <f t="shared" si="1320"/>
        <v>0</v>
      </c>
      <c r="J328" s="259"/>
      <c r="K328" s="478">
        <f t="shared" si="1321"/>
        <v>0</v>
      </c>
      <c r="L328" s="466">
        <f t="shared" si="1322"/>
        <v>0</v>
      </c>
      <c r="M328" s="257"/>
      <c r="N328" s="478"/>
      <c r="O328" s="478"/>
      <c r="P328" s="478"/>
      <c r="Q328" s="478"/>
      <c r="R328" s="478"/>
      <c r="S328" s="478"/>
      <c r="T328" s="478"/>
      <c r="U328" s="478"/>
      <c r="V328" s="478"/>
      <c r="W328" s="478"/>
      <c r="X328" s="478"/>
      <c r="Y328" s="478"/>
      <c r="Z328" s="478"/>
      <c r="AA328" s="478"/>
      <c r="AB328" s="478"/>
      <c r="AC328" s="478"/>
      <c r="AD328" s="478"/>
      <c r="AE328" s="478"/>
      <c r="AF328" s="478"/>
      <c r="AG328" s="478"/>
      <c r="AH328" s="478"/>
      <c r="AI328" s="478"/>
      <c r="AJ328" s="478"/>
      <c r="AK328" s="478"/>
      <c r="AL328" s="478"/>
      <c r="AM328" s="478"/>
      <c r="AN328" s="478"/>
      <c r="AO328" s="478"/>
      <c r="AP328" s="478"/>
      <c r="AQ328" s="478"/>
      <c r="AR328" s="478"/>
      <c r="AS328" s="478"/>
      <c r="AT328" s="478"/>
      <c r="AU328" s="478"/>
      <c r="AV328" s="478"/>
      <c r="AW328" s="478"/>
      <c r="AX328" s="478"/>
      <c r="AY328" s="478"/>
      <c r="AZ328" s="478"/>
      <c r="BA328" s="478"/>
      <c r="BB328" s="478"/>
      <c r="BC328" s="478"/>
      <c r="BD328" s="478"/>
      <c r="BE328" s="478"/>
      <c r="BF328" s="478"/>
      <c r="BG328" s="478"/>
      <c r="BH328" s="478"/>
      <c r="BI328" s="478"/>
      <c r="BJ328" s="245"/>
      <c r="BK328" s="477">
        <f t="shared" si="1323"/>
        <v>0</v>
      </c>
      <c r="BL328" s="466">
        <f t="shared" si="1324"/>
        <v>0</v>
      </c>
      <c r="BM328" s="257"/>
      <c r="BN328" s="478"/>
      <c r="BO328" s="478"/>
      <c r="BP328" s="478"/>
      <c r="BQ328" s="478"/>
      <c r="BR328" s="478"/>
      <c r="BS328" s="478"/>
      <c r="BT328" s="478"/>
      <c r="BU328" s="478"/>
      <c r="BV328" s="478"/>
      <c r="BW328" s="478"/>
      <c r="BX328" s="478"/>
      <c r="BY328" s="478"/>
      <c r="BZ328" s="478"/>
      <c r="CA328" s="478"/>
      <c r="CB328" s="478"/>
      <c r="CC328" s="478"/>
      <c r="CD328" s="478"/>
      <c r="CE328" s="478"/>
      <c r="CF328" s="478"/>
      <c r="CG328" s="478"/>
      <c r="CH328" s="478"/>
      <c r="CI328" s="478"/>
      <c r="CJ328" s="478"/>
      <c r="CK328" s="478"/>
      <c r="CL328" s="478"/>
      <c r="CM328" s="478"/>
      <c r="CN328" s="478"/>
      <c r="CO328" s="478"/>
      <c r="CP328" s="478"/>
      <c r="CQ328" s="478"/>
      <c r="CR328" s="478"/>
      <c r="CS328" s="478"/>
      <c r="CT328" s="478"/>
      <c r="CU328" s="478"/>
      <c r="CV328" s="478"/>
      <c r="CW328" s="478"/>
      <c r="CX328" s="478"/>
      <c r="CY328" s="478"/>
      <c r="CZ328" s="478"/>
      <c r="DA328" s="478"/>
      <c r="DB328" s="478"/>
      <c r="DC328" s="478"/>
      <c r="DD328" s="478"/>
      <c r="DE328" s="478"/>
      <c r="DF328" s="478"/>
      <c r="DG328" s="478"/>
      <c r="DH328" s="478"/>
      <c r="DI328" s="478"/>
    </row>
    <row r="329" spans="1:113" ht="16.05" hidden="1" customHeight="1" outlineLevel="1" x14ac:dyDescent="0.3">
      <c r="A329" s="455" t="str">
        <f t="shared" si="1319"/>
        <v/>
      </c>
      <c r="B329" s="455"/>
      <c r="C329" s="481"/>
      <c r="D329" s="463" t="s">
        <v>948</v>
      </c>
      <c r="E329" s="482"/>
      <c r="F329" s="483"/>
      <c r="G329" s="484"/>
      <c r="H329" s="485"/>
      <c r="I329" s="466">
        <f t="shared" si="1320"/>
        <v>0</v>
      </c>
      <c r="J329" s="259"/>
      <c r="K329" s="478">
        <f t="shared" si="1321"/>
        <v>0</v>
      </c>
      <c r="L329" s="466">
        <f t="shared" si="1322"/>
        <v>0</v>
      </c>
      <c r="M329" s="257"/>
      <c r="N329" s="478"/>
      <c r="O329" s="478"/>
      <c r="P329" s="478"/>
      <c r="Q329" s="478"/>
      <c r="R329" s="478"/>
      <c r="S329" s="478"/>
      <c r="T329" s="478"/>
      <c r="U329" s="478"/>
      <c r="V329" s="478"/>
      <c r="W329" s="478"/>
      <c r="X329" s="478"/>
      <c r="Y329" s="478"/>
      <c r="Z329" s="478"/>
      <c r="AA329" s="478"/>
      <c r="AB329" s="478"/>
      <c r="AC329" s="478"/>
      <c r="AD329" s="478"/>
      <c r="AE329" s="478"/>
      <c r="AF329" s="478"/>
      <c r="AG329" s="478"/>
      <c r="AH329" s="478"/>
      <c r="AI329" s="478"/>
      <c r="AJ329" s="478"/>
      <c r="AK329" s="478"/>
      <c r="AL329" s="478"/>
      <c r="AM329" s="478"/>
      <c r="AN329" s="478"/>
      <c r="AO329" s="478"/>
      <c r="AP329" s="478"/>
      <c r="AQ329" s="478"/>
      <c r="AR329" s="478"/>
      <c r="AS329" s="478"/>
      <c r="AT329" s="478"/>
      <c r="AU329" s="478"/>
      <c r="AV329" s="478"/>
      <c r="AW329" s="478"/>
      <c r="AX329" s="478"/>
      <c r="AY329" s="478"/>
      <c r="AZ329" s="478"/>
      <c r="BA329" s="478"/>
      <c r="BB329" s="478"/>
      <c r="BC329" s="478"/>
      <c r="BD329" s="478"/>
      <c r="BE329" s="478"/>
      <c r="BF329" s="478"/>
      <c r="BG329" s="478"/>
      <c r="BH329" s="478"/>
      <c r="BI329" s="478"/>
      <c r="BJ329" s="245"/>
      <c r="BK329" s="477">
        <f t="shared" si="1323"/>
        <v>0</v>
      </c>
      <c r="BL329" s="466">
        <f t="shared" si="1324"/>
        <v>0</v>
      </c>
      <c r="BM329" s="257"/>
      <c r="BN329" s="478"/>
      <c r="BO329" s="478"/>
      <c r="BP329" s="478"/>
      <c r="BQ329" s="478"/>
      <c r="BR329" s="478"/>
      <c r="BS329" s="478"/>
      <c r="BT329" s="478"/>
      <c r="BU329" s="478"/>
      <c r="BV329" s="478"/>
      <c r="BW329" s="478"/>
      <c r="BX329" s="478"/>
      <c r="BY329" s="478"/>
      <c r="BZ329" s="478"/>
      <c r="CA329" s="478"/>
      <c r="CB329" s="478"/>
      <c r="CC329" s="478"/>
      <c r="CD329" s="478"/>
      <c r="CE329" s="478"/>
      <c r="CF329" s="478"/>
      <c r="CG329" s="478"/>
      <c r="CH329" s="478"/>
      <c r="CI329" s="478"/>
      <c r="CJ329" s="478"/>
      <c r="CK329" s="478"/>
      <c r="CL329" s="478"/>
      <c r="CM329" s="478"/>
      <c r="CN329" s="478"/>
      <c r="CO329" s="478"/>
      <c r="CP329" s="478"/>
      <c r="CQ329" s="478"/>
      <c r="CR329" s="478"/>
      <c r="CS329" s="478"/>
      <c r="CT329" s="478"/>
      <c r="CU329" s="478"/>
      <c r="CV329" s="478"/>
      <c r="CW329" s="478"/>
      <c r="CX329" s="478"/>
      <c r="CY329" s="478"/>
      <c r="CZ329" s="478"/>
      <c r="DA329" s="478"/>
      <c r="DB329" s="478"/>
      <c r="DC329" s="478"/>
      <c r="DD329" s="478"/>
      <c r="DE329" s="478"/>
      <c r="DF329" s="478"/>
      <c r="DG329" s="478"/>
      <c r="DH329" s="478"/>
      <c r="DI329" s="478"/>
    </row>
    <row r="330" spans="1:113" ht="16.05" hidden="1" customHeight="1" outlineLevel="1" x14ac:dyDescent="0.3">
      <c r="A330" s="455" t="str">
        <f t="shared" si="1319"/>
        <v/>
      </c>
      <c r="B330" s="455"/>
      <c r="C330" s="481"/>
      <c r="D330" s="463" t="s">
        <v>949</v>
      </c>
      <c r="E330" s="482"/>
      <c r="F330" s="483"/>
      <c r="G330" s="484"/>
      <c r="H330" s="485"/>
      <c r="I330" s="466">
        <f t="shared" si="1320"/>
        <v>0</v>
      </c>
      <c r="J330" s="259"/>
      <c r="K330" s="478">
        <f t="shared" si="1321"/>
        <v>0</v>
      </c>
      <c r="L330" s="466">
        <f t="shared" si="1322"/>
        <v>0</v>
      </c>
      <c r="M330" s="257"/>
      <c r="N330" s="478"/>
      <c r="O330" s="478"/>
      <c r="P330" s="478"/>
      <c r="Q330" s="478"/>
      <c r="R330" s="478"/>
      <c r="S330" s="478"/>
      <c r="T330" s="478"/>
      <c r="U330" s="478"/>
      <c r="V330" s="478"/>
      <c r="W330" s="478"/>
      <c r="X330" s="478"/>
      <c r="Y330" s="478"/>
      <c r="Z330" s="478"/>
      <c r="AA330" s="478"/>
      <c r="AB330" s="478"/>
      <c r="AC330" s="478"/>
      <c r="AD330" s="478"/>
      <c r="AE330" s="478"/>
      <c r="AF330" s="478"/>
      <c r="AG330" s="478"/>
      <c r="AH330" s="478"/>
      <c r="AI330" s="478"/>
      <c r="AJ330" s="478"/>
      <c r="AK330" s="478"/>
      <c r="AL330" s="478"/>
      <c r="AM330" s="478"/>
      <c r="AN330" s="478"/>
      <c r="AO330" s="478"/>
      <c r="AP330" s="478"/>
      <c r="AQ330" s="478"/>
      <c r="AR330" s="478"/>
      <c r="AS330" s="478"/>
      <c r="AT330" s="478"/>
      <c r="AU330" s="478"/>
      <c r="AV330" s="478"/>
      <c r="AW330" s="478"/>
      <c r="AX330" s="478"/>
      <c r="AY330" s="478"/>
      <c r="AZ330" s="478"/>
      <c r="BA330" s="478"/>
      <c r="BB330" s="478"/>
      <c r="BC330" s="478"/>
      <c r="BD330" s="478"/>
      <c r="BE330" s="478"/>
      <c r="BF330" s="478"/>
      <c r="BG330" s="478"/>
      <c r="BH330" s="478"/>
      <c r="BI330" s="478"/>
      <c r="BJ330" s="245"/>
      <c r="BK330" s="477">
        <f t="shared" si="1323"/>
        <v>0</v>
      </c>
      <c r="BL330" s="466">
        <f t="shared" si="1324"/>
        <v>0</v>
      </c>
      <c r="BM330" s="257"/>
      <c r="BN330" s="478"/>
      <c r="BO330" s="478"/>
      <c r="BP330" s="478"/>
      <c r="BQ330" s="478"/>
      <c r="BR330" s="478"/>
      <c r="BS330" s="478"/>
      <c r="BT330" s="478"/>
      <c r="BU330" s="478"/>
      <c r="BV330" s="478"/>
      <c r="BW330" s="478"/>
      <c r="BX330" s="478"/>
      <c r="BY330" s="478"/>
      <c r="BZ330" s="478"/>
      <c r="CA330" s="478"/>
      <c r="CB330" s="478"/>
      <c r="CC330" s="478"/>
      <c r="CD330" s="478"/>
      <c r="CE330" s="478"/>
      <c r="CF330" s="478"/>
      <c r="CG330" s="478"/>
      <c r="CH330" s="478"/>
      <c r="CI330" s="478"/>
      <c r="CJ330" s="478"/>
      <c r="CK330" s="478"/>
      <c r="CL330" s="478"/>
      <c r="CM330" s="478"/>
      <c r="CN330" s="478"/>
      <c r="CO330" s="478"/>
      <c r="CP330" s="478"/>
      <c r="CQ330" s="478"/>
      <c r="CR330" s="478"/>
      <c r="CS330" s="478"/>
      <c r="CT330" s="478"/>
      <c r="CU330" s="478"/>
      <c r="CV330" s="478"/>
      <c r="CW330" s="478"/>
      <c r="CX330" s="478"/>
      <c r="CY330" s="478"/>
      <c r="CZ330" s="478"/>
      <c r="DA330" s="478"/>
      <c r="DB330" s="478"/>
      <c r="DC330" s="478"/>
      <c r="DD330" s="478"/>
      <c r="DE330" s="478"/>
      <c r="DF330" s="478"/>
      <c r="DG330" s="478"/>
      <c r="DH330" s="478"/>
      <c r="DI330" s="478"/>
    </row>
    <row r="331" spans="1:113" ht="16.05" hidden="1" customHeight="1" outlineLevel="1" x14ac:dyDescent="0.3">
      <c r="A331" s="455" t="str">
        <f t="shared" si="1319"/>
        <v/>
      </c>
      <c r="B331" s="455"/>
      <c r="C331" s="481"/>
      <c r="D331" s="463" t="s">
        <v>950</v>
      </c>
      <c r="E331" s="482"/>
      <c r="F331" s="483"/>
      <c r="G331" s="484"/>
      <c r="H331" s="485"/>
      <c r="I331" s="466">
        <f t="shared" si="1320"/>
        <v>0</v>
      </c>
      <c r="J331" s="259"/>
      <c r="K331" s="478">
        <f t="shared" si="1321"/>
        <v>0</v>
      </c>
      <c r="L331" s="466">
        <f t="shared" si="1322"/>
        <v>0</v>
      </c>
      <c r="M331" s="257"/>
      <c r="N331" s="478"/>
      <c r="O331" s="478"/>
      <c r="P331" s="478"/>
      <c r="Q331" s="478"/>
      <c r="R331" s="478"/>
      <c r="S331" s="478"/>
      <c r="T331" s="478"/>
      <c r="U331" s="478"/>
      <c r="V331" s="478"/>
      <c r="W331" s="478"/>
      <c r="X331" s="478"/>
      <c r="Y331" s="478"/>
      <c r="Z331" s="478"/>
      <c r="AA331" s="478"/>
      <c r="AB331" s="478"/>
      <c r="AC331" s="478"/>
      <c r="AD331" s="478"/>
      <c r="AE331" s="478"/>
      <c r="AF331" s="478"/>
      <c r="AG331" s="478"/>
      <c r="AH331" s="478"/>
      <c r="AI331" s="478"/>
      <c r="AJ331" s="478"/>
      <c r="AK331" s="478"/>
      <c r="AL331" s="478"/>
      <c r="AM331" s="478"/>
      <c r="AN331" s="478"/>
      <c r="AO331" s="478"/>
      <c r="AP331" s="478"/>
      <c r="AQ331" s="478"/>
      <c r="AR331" s="478"/>
      <c r="AS331" s="478"/>
      <c r="AT331" s="478"/>
      <c r="AU331" s="478"/>
      <c r="AV331" s="478"/>
      <c r="AW331" s="478"/>
      <c r="AX331" s="478"/>
      <c r="AY331" s="478"/>
      <c r="AZ331" s="478"/>
      <c r="BA331" s="478"/>
      <c r="BB331" s="478"/>
      <c r="BC331" s="478"/>
      <c r="BD331" s="478"/>
      <c r="BE331" s="478"/>
      <c r="BF331" s="478"/>
      <c r="BG331" s="478"/>
      <c r="BH331" s="478"/>
      <c r="BI331" s="478"/>
      <c r="BJ331" s="245"/>
      <c r="BK331" s="477">
        <f t="shared" si="1323"/>
        <v>0</v>
      </c>
      <c r="BL331" s="466">
        <f t="shared" si="1324"/>
        <v>0</v>
      </c>
      <c r="BM331" s="257"/>
      <c r="BN331" s="478"/>
      <c r="BO331" s="478"/>
      <c r="BP331" s="478"/>
      <c r="BQ331" s="478"/>
      <c r="BR331" s="478"/>
      <c r="BS331" s="478"/>
      <c r="BT331" s="478"/>
      <c r="BU331" s="478"/>
      <c r="BV331" s="478"/>
      <c r="BW331" s="478"/>
      <c r="BX331" s="478"/>
      <c r="BY331" s="478"/>
      <c r="BZ331" s="478"/>
      <c r="CA331" s="478"/>
      <c r="CB331" s="478"/>
      <c r="CC331" s="478"/>
      <c r="CD331" s="478"/>
      <c r="CE331" s="478"/>
      <c r="CF331" s="478"/>
      <c r="CG331" s="478"/>
      <c r="CH331" s="478"/>
      <c r="CI331" s="478"/>
      <c r="CJ331" s="478"/>
      <c r="CK331" s="478"/>
      <c r="CL331" s="478"/>
      <c r="CM331" s="478"/>
      <c r="CN331" s="478"/>
      <c r="CO331" s="478"/>
      <c r="CP331" s="478"/>
      <c r="CQ331" s="478"/>
      <c r="CR331" s="478"/>
      <c r="CS331" s="478"/>
      <c r="CT331" s="478"/>
      <c r="CU331" s="478"/>
      <c r="CV331" s="478"/>
      <c r="CW331" s="478"/>
      <c r="CX331" s="478"/>
      <c r="CY331" s="478"/>
      <c r="CZ331" s="478"/>
      <c r="DA331" s="478"/>
      <c r="DB331" s="478"/>
      <c r="DC331" s="478"/>
      <c r="DD331" s="478"/>
      <c r="DE331" s="478"/>
      <c r="DF331" s="478"/>
      <c r="DG331" s="478"/>
      <c r="DH331" s="478"/>
      <c r="DI331" s="478"/>
    </row>
    <row r="332" spans="1:113" ht="16.05" hidden="1" customHeight="1" outlineLevel="1" x14ac:dyDescent="0.3">
      <c r="A332" s="455" t="str">
        <f t="shared" si="1319"/>
        <v/>
      </c>
      <c r="B332" s="455"/>
      <c r="C332" s="481"/>
      <c r="D332" s="463" t="s">
        <v>951</v>
      </c>
      <c r="E332" s="482"/>
      <c r="F332" s="483"/>
      <c r="G332" s="484"/>
      <c r="H332" s="485"/>
      <c r="I332" s="466">
        <f t="shared" si="1320"/>
        <v>0</v>
      </c>
      <c r="J332" s="259"/>
      <c r="K332" s="478">
        <f t="shared" si="1321"/>
        <v>0</v>
      </c>
      <c r="L332" s="466">
        <f t="shared" si="1322"/>
        <v>0</v>
      </c>
      <c r="M332" s="257"/>
      <c r="N332" s="478"/>
      <c r="O332" s="478"/>
      <c r="P332" s="478"/>
      <c r="Q332" s="478"/>
      <c r="R332" s="478"/>
      <c r="S332" s="478"/>
      <c r="T332" s="478"/>
      <c r="U332" s="478"/>
      <c r="V332" s="478"/>
      <c r="W332" s="478"/>
      <c r="X332" s="478"/>
      <c r="Y332" s="478"/>
      <c r="Z332" s="478"/>
      <c r="AA332" s="478"/>
      <c r="AB332" s="478"/>
      <c r="AC332" s="478"/>
      <c r="AD332" s="478"/>
      <c r="AE332" s="478"/>
      <c r="AF332" s="478"/>
      <c r="AG332" s="478"/>
      <c r="AH332" s="478"/>
      <c r="AI332" s="478"/>
      <c r="AJ332" s="478"/>
      <c r="AK332" s="478"/>
      <c r="AL332" s="478"/>
      <c r="AM332" s="478"/>
      <c r="AN332" s="478"/>
      <c r="AO332" s="478"/>
      <c r="AP332" s="478"/>
      <c r="AQ332" s="478"/>
      <c r="AR332" s="478"/>
      <c r="AS332" s="478"/>
      <c r="AT332" s="478"/>
      <c r="AU332" s="478"/>
      <c r="AV332" s="478"/>
      <c r="AW332" s="478"/>
      <c r="AX332" s="478"/>
      <c r="AY332" s="478"/>
      <c r="AZ332" s="478"/>
      <c r="BA332" s="478"/>
      <c r="BB332" s="478"/>
      <c r="BC332" s="478"/>
      <c r="BD332" s="478"/>
      <c r="BE332" s="478"/>
      <c r="BF332" s="478"/>
      <c r="BG332" s="478"/>
      <c r="BH332" s="478"/>
      <c r="BI332" s="478"/>
      <c r="BJ332" s="245"/>
      <c r="BK332" s="477">
        <f t="shared" si="1323"/>
        <v>0</v>
      </c>
      <c r="BL332" s="466">
        <f t="shared" si="1324"/>
        <v>0</v>
      </c>
      <c r="BM332" s="257"/>
      <c r="BN332" s="478"/>
      <c r="BO332" s="478"/>
      <c r="BP332" s="478"/>
      <c r="BQ332" s="478"/>
      <c r="BR332" s="478"/>
      <c r="BS332" s="478"/>
      <c r="BT332" s="478"/>
      <c r="BU332" s="478"/>
      <c r="BV332" s="478"/>
      <c r="BW332" s="478"/>
      <c r="BX332" s="478"/>
      <c r="BY332" s="478"/>
      <c r="BZ332" s="478"/>
      <c r="CA332" s="478"/>
      <c r="CB332" s="478"/>
      <c r="CC332" s="478"/>
      <c r="CD332" s="478"/>
      <c r="CE332" s="478"/>
      <c r="CF332" s="478"/>
      <c r="CG332" s="478"/>
      <c r="CH332" s="478"/>
      <c r="CI332" s="478"/>
      <c r="CJ332" s="478"/>
      <c r="CK332" s="478"/>
      <c r="CL332" s="478"/>
      <c r="CM332" s="478"/>
      <c r="CN332" s="478"/>
      <c r="CO332" s="478"/>
      <c r="CP332" s="478"/>
      <c r="CQ332" s="478"/>
      <c r="CR332" s="478"/>
      <c r="CS332" s="478"/>
      <c r="CT332" s="478"/>
      <c r="CU332" s="478"/>
      <c r="CV332" s="478"/>
      <c r="CW332" s="478"/>
      <c r="CX332" s="478"/>
      <c r="CY332" s="478"/>
      <c r="CZ332" s="478"/>
      <c r="DA332" s="478"/>
      <c r="DB332" s="478"/>
      <c r="DC332" s="478"/>
      <c r="DD332" s="478"/>
      <c r="DE332" s="478"/>
      <c r="DF332" s="478"/>
      <c r="DG332" s="478"/>
      <c r="DH332" s="478"/>
      <c r="DI332" s="478"/>
    </row>
    <row r="333" spans="1:113" ht="16.05" hidden="1" customHeight="1" outlineLevel="1" x14ac:dyDescent="0.3">
      <c r="A333" s="455" t="str">
        <f t="shared" si="1319"/>
        <v/>
      </c>
      <c r="B333" s="455"/>
      <c r="C333" s="481"/>
      <c r="D333" s="463" t="s">
        <v>952</v>
      </c>
      <c r="E333" s="482"/>
      <c r="F333" s="483"/>
      <c r="G333" s="484"/>
      <c r="H333" s="485"/>
      <c r="I333" s="466">
        <f t="shared" si="1320"/>
        <v>0</v>
      </c>
      <c r="J333" s="259"/>
      <c r="K333" s="478">
        <f t="shared" si="1321"/>
        <v>0</v>
      </c>
      <c r="L333" s="466">
        <f t="shared" si="1322"/>
        <v>0</v>
      </c>
      <c r="M333" s="257"/>
      <c r="N333" s="478"/>
      <c r="O333" s="478"/>
      <c r="P333" s="478"/>
      <c r="Q333" s="478"/>
      <c r="R333" s="478"/>
      <c r="S333" s="478"/>
      <c r="T333" s="478"/>
      <c r="U333" s="478"/>
      <c r="V333" s="478"/>
      <c r="W333" s="478"/>
      <c r="X333" s="478"/>
      <c r="Y333" s="478"/>
      <c r="Z333" s="478"/>
      <c r="AA333" s="478"/>
      <c r="AB333" s="478"/>
      <c r="AC333" s="478"/>
      <c r="AD333" s="478"/>
      <c r="AE333" s="478"/>
      <c r="AF333" s="478"/>
      <c r="AG333" s="478"/>
      <c r="AH333" s="478"/>
      <c r="AI333" s="478"/>
      <c r="AJ333" s="478"/>
      <c r="AK333" s="478"/>
      <c r="AL333" s="478"/>
      <c r="AM333" s="478"/>
      <c r="AN333" s="478"/>
      <c r="AO333" s="478"/>
      <c r="AP333" s="478"/>
      <c r="AQ333" s="478"/>
      <c r="AR333" s="478"/>
      <c r="AS333" s="478"/>
      <c r="AT333" s="478"/>
      <c r="AU333" s="478"/>
      <c r="AV333" s="478"/>
      <c r="AW333" s="478"/>
      <c r="AX333" s="478"/>
      <c r="AY333" s="478"/>
      <c r="AZ333" s="478"/>
      <c r="BA333" s="478"/>
      <c r="BB333" s="478"/>
      <c r="BC333" s="478"/>
      <c r="BD333" s="478"/>
      <c r="BE333" s="478"/>
      <c r="BF333" s="478"/>
      <c r="BG333" s="478"/>
      <c r="BH333" s="478"/>
      <c r="BI333" s="478"/>
      <c r="BJ333" s="245"/>
      <c r="BK333" s="477">
        <f t="shared" si="1323"/>
        <v>0</v>
      </c>
      <c r="BL333" s="466">
        <f t="shared" si="1324"/>
        <v>0</v>
      </c>
      <c r="BM333" s="257"/>
      <c r="BN333" s="478"/>
      <c r="BO333" s="478"/>
      <c r="BP333" s="478"/>
      <c r="BQ333" s="478"/>
      <c r="BR333" s="478"/>
      <c r="BS333" s="478"/>
      <c r="BT333" s="478"/>
      <c r="BU333" s="478"/>
      <c r="BV333" s="478"/>
      <c r="BW333" s="478"/>
      <c r="BX333" s="478"/>
      <c r="BY333" s="478"/>
      <c r="BZ333" s="478"/>
      <c r="CA333" s="478"/>
      <c r="CB333" s="478"/>
      <c r="CC333" s="478"/>
      <c r="CD333" s="478"/>
      <c r="CE333" s="478"/>
      <c r="CF333" s="478"/>
      <c r="CG333" s="478"/>
      <c r="CH333" s="478"/>
      <c r="CI333" s="478"/>
      <c r="CJ333" s="478"/>
      <c r="CK333" s="478"/>
      <c r="CL333" s="478"/>
      <c r="CM333" s="478"/>
      <c r="CN333" s="478"/>
      <c r="CO333" s="478"/>
      <c r="CP333" s="478"/>
      <c r="CQ333" s="478"/>
      <c r="CR333" s="478"/>
      <c r="CS333" s="478"/>
      <c r="CT333" s="478"/>
      <c r="CU333" s="478"/>
      <c r="CV333" s="478"/>
      <c r="CW333" s="478"/>
      <c r="CX333" s="478"/>
      <c r="CY333" s="478"/>
      <c r="CZ333" s="478"/>
      <c r="DA333" s="478"/>
      <c r="DB333" s="478"/>
      <c r="DC333" s="478"/>
      <c r="DD333" s="478"/>
      <c r="DE333" s="478"/>
      <c r="DF333" s="478"/>
      <c r="DG333" s="478"/>
      <c r="DH333" s="478"/>
      <c r="DI333" s="478"/>
    </row>
    <row r="334" spans="1:113" ht="16.05" hidden="1" customHeight="1" outlineLevel="1" x14ac:dyDescent="0.3">
      <c r="A334" s="455" t="str">
        <f t="shared" si="1319"/>
        <v/>
      </c>
      <c r="B334" s="455"/>
      <c r="C334" s="481"/>
      <c r="D334" s="463" t="s">
        <v>953</v>
      </c>
      <c r="E334" s="482"/>
      <c r="F334" s="483"/>
      <c r="G334" s="484"/>
      <c r="H334" s="485"/>
      <c r="I334" s="466">
        <f t="shared" si="1320"/>
        <v>0</v>
      </c>
      <c r="J334" s="259"/>
      <c r="K334" s="478">
        <f t="shared" si="1321"/>
        <v>0</v>
      </c>
      <c r="L334" s="466">
        <f t="shared" si="1322"/>
        <v>0</v>
      </c>
      <c r="M334" s="257"/>
      <c r="N334" s="478"/>
      <c r="O334" s="478"/>
      <c r="P334" s="478"/>
      <c r="Q334" s="478"/>
      <c r="R334" s="478"/>
      <c r="S334" s="478"/>
      <c r="T334" s="478"/>
      <c r="U334" s="478"/>
      <c r="V334" s="478"/>
      <c r="W334" s="478"/>
      <c r="X334" s="478"/>
      <c r="Y334" s="478"/>
      <c r="Z334" s="478"/>
      <c r="AA334" s="478"/>
      <c r="AB334" s="478"/>
      <c r="AC334" s="478"/>
      <c r="AD334" s="478"/>
      <c r="AE334" s="478"/>
      <c r="AF334" s="478"/>
      <c r="AG334" s="478"/>
      <c r="AH334" s="478"/>
      <c r="AI334" s="478"/>
      <c r="AJ334" s="478"/>
      <c r="AK334" s="478"/>
      <c r="AL334" s="478"/>
      <c r="AM334" s="478"/>
      <c r="AN334" s="478"/>
      <c r="AO334" s="478"/>
      <c r="AP334" s="478"/>
      <c r="AQ334" s="478"/>
      <c r="AR334" s="478"/>
      <c r="AS334" s="478"/>
      <c r="AT334" s="478"/>
      <c r="AU334" s="478"/>
      <c r="AV334" s="478"/>
      <c r="AW334" s="478"/>
      <c r="AX334" s="478"/>
      <c r="AY334" s="478"/>
      <c r="AZ334" s="478"/>
      <c r="BA334" s="478"/>
      <c r="BB334" s="478"/>
      <c r="BC334" s="478"/>
      <c r="BD334" s="478"/>
      <c r="BE334" s="478"/>
      <c r="BF334" s="478"/>
      <c r="BG334" s="478"/>
      <c r="BH334" s="478"/>
      <c r="BI334" s="478"/>
      <c r="BJ334" s="245"/>
      <c r="BK334" s="477">
        <f t="shared" si="1323"/>
        <v>0</v>
      </c>
      <c r="BL334" s="466">
        <f t="shared" si="1324"/>
        <v>0</v>
      </c>
      <c r="BM334" s="257"/>
      <c r="BN334" s="478"/>
      <c r="BO334" s="478"/>
      <c r="BP334" s="478"/>
      <c r="BQ334" s="478"/>
      <c r="BR334" s="478"/>
      <c r="BS334" s="478"/>
      <c r="BT334" s="478"/>
      <c r="BU334" s="478"/>
      <c r="BV334" s="478"/>
      <c r="BW334" s="478"/>
      <c r="BX334" s="478"/>
      <c r="BY334" s="478"/>
      <c r="BZ334" s="478"/>
      <c r="CA334" s="478"/>
      <c r="CB334" s="478"/>
      <c r="CC334" s="478"/>
      <c r="CD334" s="478"/>
      <c r="CE334" s="478"/>
      <c r="CF334" s="478"/>
      <c r="CG334" s="478"/>
      <c r="CH334" s="478"/>
      <c r="CI334" s="478"/>
      <c r="CJ334" s="478"/>
      <c r="CK334" s="478"/>
      <c r="CL334" s="478"/>
      <c r="CM334" s="478"/>
      <c r="CN334" s="478"/>
      <c r="CO334" s="478"/>
      <c r="CP334" s="478"/>
      <c r="CQ334" s="478"/>
      <c r="CR334" s="478"/>
      <c r="CS334" s="478"/>
      <c r="CT334" s="478"/>
      <c r="CU334" s="478"/>
      <c r="CV334" s="478"/>
      <c r="CW334" s="478"/>
      <c r="CX334" s="478"/>
      <c r="CY334" s="478"/>
      <c r="CZ334" s="478"/>
      <c r="DA334" s="478"/>
      <c r="DB334" s="478"/>
      <c r="DC334" s="478"/>
      <c r="DD334" s="478"/>
      <c r="DE334" s="478"/>
      <c r="DF334" s="478"/>
      <c r="DG334" s="478"/>
      <c r="DH334" s="478"/>
      <c r="DI334" s="478"/>
    </row>
    <row r="335" spans="1:113" ht="16.05" hidden="1" customHeight="1" outlineLevel="1" x14ac:dyDescent="0.3">
      <c r="A335" s="455" t="str">
        <f t="shared" si="1319"/>
        <v/>
      </c>
      <c r="B335" s="455"/>
      <c r="C335" s="481"/>
      <c r="D335" s="463" t="s">
        <v>954</v>
      </c>
      <c r="E335" s="482"/>
      <c r="F335" s="483"/>
      <c r="G335" s="484"/>
      <c r="H335" s="485"/>
      <c r="I335" s="466">
        <f t="shared" si="1320"/>
        <v>0</v>
      </c>
      <c r="J335" s="259"/>
      <c r="K335" s="478">
        <f t="shared" si="1321"/>
        <v>0</v>
      </c>
      <c r="L335" s="466">
        <f t="shared" si="1322"/>
        <v>0</v>
      </c>
      <c r="M335" s="257"/>
      <c r="N335" s="478"/>
      <c r="O335" s="478"/>
      <c r="P335" s="478"/>
      <c r="Q335" s="478"/>
      <c r="R335" s="478"/>
      <c r="S335" s="478"/>
      <c r="T335" s="478"/>
      <c r="U335" s="478"/>
      <c r="V335" s="478"/>
      <c r="W335" s="478"/>
      <c r="X335" s="478"/>
      <c r="Y335" s="478"/>
      <c r="Z335" s="478"/>
      <c r="AA335" s="478"/>
      <c r="AB335" s="478"/>
      <c r="AC335" s="478"/>
      <c r="AD335" s="478"/>
      <c r="AE335" s="478"/>
      <c r="AF335" s="478"/>
      <c r="AG335" s="478"/>
      <c r="AH335" s="478"/>
      <c r="AI335" s="478"/>
      <c r="AJ335" s="478"/>
      <c r="AK335" s="478"/>
      <c r="AL335" s="478"/>
      <c r="AM335" s="478"/>
      <c r="AN335" s="478"/>
      <c r="AO335" s="478"/>
      <c r="AP335" s="478"/>
      <c r="AQ335" s="478"/>
      <c r="AR335" s="478"/>
      <c r="AS335" s="478"/>
      <c r="AT335" s="478"/>
      <c r="AU335" s="478"/>
      <c r="AV335" s="478"/>
      <c r="AW335" s="478"/>
      <c r="AX335" s="478"/>
      <c r="AY335" s="478"/>
      <c r="AZ335" s="478"/>
      <c r="BA335" s="478"/>
      <c r="BB335" s="478"/>
      <c r="BC335" s="478"/>
      <c r="BD335" s="478"/>
      <c r="BE335" s="478"/>
      <c r="BF335" s="478"/>
      <c r="BG335" s="478"/>
      <c r="BH335" s="478"/>
      <c r="BI335" s="478"/>
      <c r="BJ335" s="245"/>
      <c r="BK335" s="477">
        <f t="shared" si="1323"/>
        <v>0</v>
      </c>
      <c r="BL335" s="466">
        <f t="shared" si="1324"/>
        <v>0</v>
      </c>
      <c r="BM335" s="257"/>
      <c r="BN335" s="478"/>
      <c r="BO335" s="478"/>
      <c r="BP335" s="478"/>
      <c r="BQ335" s="478"/>
      <c r="BR335" s="478"/>
      <c r="BS335" s="478"/>
      <c r="BT335" s="478"/>
      <c r="BU335" s="478"/>
      <c r="BV335" s="478"/>
      <c r="BW335" s="478"/>
      <c r="BX335" s="478"/>
      <c r="BY335" s="478"/>
      <c r="BZ335" s="478"/>
      <c r="CA335" s="478"/>
      <c r="CB335" s="478"/>
      <c r="CC335" s="478"/>
      <c r="CD335" s="478"/>
      <c r="CE335" s="478"/>
      <c r="CF335" s="478"/>
      <c r="CG335" s="478"/>
      <c r="CH335" s="478"/>
      <c r="CI335" s="478"/>
      <c r="CJ335" s="478"/>
      <c r="CK335" s="478"/>
      <c r="CL335" s="478"/>
      <c r="CM335" s="478"/>
      <c r="CN335" s="478"/>
      <c r="CO335" s="478"/>
      <c r="CP335" s="478"/>
      <c r="CQ335" s="478"/>
      <c r="CR335" s="478"/>
      <c r="CS335" s="478"/>
      <c r="CT335" s="478"/>
      <c r="CU335" s="478"/>
      <c r="CV335" s="478"/>
      <c r="CW335" s="478"/>
      <c r="CX335" s="478"/>
      <c r="CY335" s="478"/>
      <c r="CZ335" s="478"/>
      <c r="DA335" s="478"/>
      <c r="DB335" s="478"/>
      <c r="DC335" s="478"/>
      <c r="DD335" s="478"/>
      <c r="DE335" s="478"/>
      <c r="DF335" s="478"/>
      <c r="DG335" s="478"/>
      <c r="DH335" s="478"/>
      <c r="DI335" s="478"/>
    </row>
    <row r="336" spans="1:113" ht="16.05" hidden="1" customHeight="1" outlineLevel="1" x14ac:dyDescent="0.3">
      <c r="A336" s="455" t="str">
        <f t="shared" si="1319"/>
        <v/>
      </c>
      <c r="B336" s="455"/>
      <c r="C336" s="481"/>
      <c r="D336" s="463" t="s">
        <v>955</v>
      </c>
      <c r="E336" s="482"/>
      <c r="F336" s="483"/>
      <c r="G336" s="484"/>
      <c r="H336" s="485"/>
      <c r="I336" s="466">
        <f t="shared" si="1320"/>
        <v>0</v>
      </c>
      <c r="J336" s="259"/>
      <c r="K336" s="478">
        <f t="shared" si="1321"/>
        <v>0</v>
      </c>
      <c r="L336" s="466">
        <f t="shared" si="1322"/>
        <v>0</v>
      </c>
      <c r="M336" s="257"/>
      <c r="N336" s="478"/>
      <c r="O336" s="478"/>
      <c r="P336" s="478"/>
      <c r="Q336" s="478"/>
      <c r="R336" s="478"/>
      <c r="S336" s="478"/>
      <c r="T336" s="478"/>
      <c r="U336" s="478"/>
      <c r="V336" s="478"/>
      <c r="W336" s="478"/>
      <c r="X336" s="478"/>
      <c r="Y336" s="478"/>
      <c r="Z336" s="478"/>
      <c r="AA336" s="478"/>
      <c r="AB336" s="478"/>
      <c r="AC336" s="478"/>
      <c r="AD336" s="478"/>
      <c r="AE336" s="478"/>
      <c r="AF336" s="478"/>
      <c r="AG336" s="478"/>
      <c r="AH336" s="478"/>
      <c r="AI336" s="478"/>
      <c r="AJ336" s="478"/>
      <c r="AK336" s="478"/>
      <c r="AL336" s="478"/>
      <c r="AM336" s="478"/>
      <c r="AN336" s="478"/>
      <c r="AO336" s="478"/>
      <c r="AP336" s="478"/>
      <c r="AQ336" s="478"/>
      <c r="AR336" s="478"/>
      <c r="AS336" s="478"/>
      <c r="AT336" s="478"/>
      <c r="AU336" s="478"/>
      <c r="AV336" s="478"/>
      <c r="AW336" s="478"/>
      <c r="AX336" s="478"/>
      <c r="AY336" s="478"/>
      <c r="AZ336" s="478"/>
      <c r="BA336" s="478"/>
      <c r="BB336" s="478"/>
      <c r="BC336" s="478"/>
      <c r="BD336" s="478"/>
      <c r="BE336" s="478"/>
      <c r="BF336" s="478"/>
      <c r="BG336" s="478"/>
      <c r="BH336" s="478"/>
      <c r="BI336" s="478"/>
      <c r="BJ336" s="245"/>
      <c r="BK336" s="477">
        <f t="shared" si="1323"/>
        <v>0</v>
      </c>
      <c r="BL336" s="466">
        <f t="shared" si="1324"/>
        <v>0</v>
      </c>
      <c r="BM336" s="257"/>
      <c r="BN336" s="478"/>
      <c r="BO336" s="478"/>
      <c r="BP336" s="478"/>
      <c r="BQ336" s="478"/>
      <c r="BR336" s="478"/>
      <c r="BS336" s="478"/>
      <c r="BT336" s="478"/>
      <c r="BU336" s="478"/>
      <c r="BV336" s="478"/>
      <c r="BW336" s="478"/>
      <c r="BX336" s="478"/>
      <c r="BY336" s="478"/>
      <c r="BZ336" s="478"/>
      <c r="CA336" s="478"/>
      <c r="CB336" s="478"/>
      <c r="CC336" s="478"/>
      <c r="CD336" s="478"/>
      <c r="CE336" s="478"/>
      <c r="CF336" s="478"/>
      <c r="CG336" s="478"/>
      <c r="CH336" s="478"/>
      <c r="CI336" s="478"/>
      <c r="CJ336" s="478"/>
      <c r="CK336" s="478"/>
      <c r="CL336" s="478"/>
      <c r="CM336" s="478"/>
      <c r="CN336" s="478"/>
      <c r="CO336" s="478"/>
      <c r="CP336" s="478"/>
      <c r="CQ336" s="478"/>
      <c r="CR336" s="478"/>
      <c r="CS336" s="478"/>
      <c r="CT336" s="478"/>
      <c r="CU336" s="478"/>
      <c r="CV336" s="478"/>
      <c r="CW336" s="478"/>
      <c r="CX336" s="478"/>
      <c r="CY336" s="478"/>
      <c r="CZ336" s="478"/>
      <c r="DA336" s="478"/>
      <c r="DB336" s="478"/>
      <c r="DC336" s="478"/>
      <c r="DD336" s="478"/>
      <c r="DE336" s="478"/>
      <c r="DF336" s="478"/>
      <c r="DG336" s="478"/>
      <c r="DH336" s="478"/>
      <c r="DI336" s="478"/>
    </row>
    <row r="337" spans="1:113" ht="16.05" hidden="1" customHeight="1" outlineLevel="1" x14ac:dyDescent="0.3">
      <c r="A337" s="455" t="str">
        <f t="shared" si="1319"/>
        <v/>
      </c>
      <c r="B337" s="455"/>
      <c r="C337" s="481"/>
      <c r="D337" s="463" t="s">
        <v>956</v>
      </c>
      <c r="E337" s="482"/>
      <c r="F337" s="483"/>
      <c r="G337" s="484"/>
      <c r="H337" s="485"/>
      <c r="I337" s="466">
        <f t="shared" si="1320"/>
        <v>0</v>
      </c>
      <c r="J337" s="259"/>
      <c r="K337" s="478">
        <f t="shared" si="1321"/>
        <v>0</v>
      </c>
      <c r="L337" s="466">
        <f t="shared" si="1322"/>
        <v>0</v>
      </c>
      <c r="M337" s="257"/>
      <c r="N337" s="478"/>
      <c r="O337" s="478"/>
      <c r="P337" s="478"/>
      <c r="Q337" s="478"/>
      <c r="R337" s="478"/>
      <c r="S337" s="478"/>
      <c r="T337" s="478"/>
      <c r="U337" s="478"/>
      <c r="V337" s="478"/>
      <c r="W337" s="478"/>
      <c r="X337" s="478"/>
      <c r="Y337" s="478"/>
      <c r="Z337" s="478"/>
      <c r="AA337" s="478"/>
      <c r="AB337" s="478"/>
      <c r="AC337" s="478"/>
      <c r="AD337" s="478"/>
      <c r="AE337" s="478"/>
      <c r="AF337" s="478"/>
      <c r="AG337" s="478"/>
      <c r="AH337" s="478"/>
      <c r="AI337" s="478"/>
      <c r="AJ337" s="478"/>
      <c r="AK337" s="478"/>
      <c r="AL337" s="478"/>
      <c r="AM337" s="478"/>
      <c r="AN337" s="478"/>
      <c r="AO337" s="478"/>
      <c r="AP337" s="478"/>
      <c r="AQ337" s="478"/>
      <c r="AR337" s="478"/>
      <c r="AS337" s="478"/>
      <c r="AT337" s="478"/>
      <c r="AU337" s="478"/>
      <c r="AV337" s="478"/>
      <c r="AW337" s="478"/>
      <c r="AX337" s="478"/>
      <c r="AY337" s="478"/>
      <c r="AZ337" s="478"/>
      <c r="BA337" s="478"/>
      <c r="BB337" s="478"/>
      <c r="BC337" s="478"/>
      <c r="BD337" s="478"/>
      <c r="BE337" s="478"/>
      <c r="BF337" s="478"/>
      <c r="BG337" s="478"/>
      <c r="BH337" s="478"/>
      <c r="BI337" s="478"/>
      <c r="BJ337" s="245"/>
      <c r="BK337" s="477">
        <f t="shared" si="1323"/>
        <v>0</v>
      </c>
      <c r="BL337" s="466">
        <f t="shared" si="1324"/>
        <v>0</v>
      </c>
      <c r="BM337" s="257"/>
      <c r="BN337" s="478"/>
      <c r="BO337" s="478"/>
      <c r="BP337" s="478"/>
      <c r="BQ337" s="478"/>
      <c r="BR337" s="478"/>
      <c r="BS337" s="478"/>
      <c r="BT337" s="478"/>
      <c r="BU337" s="478"/>
      <c r="BV337" s="478"/>
      <c r="BW337" s="478"/>
      <c r="BX337" s="478"/>
      <c r="BY337" s="478"/>
      <c r="BZ337" s="478"/>
      <c r="CA337" s="478"/>
      <c r="CB337" s="478"/>
      <c r="CC337" s="478"/>
      <c r="CD337" s="478"/>
      <c r="CE337" s="478"/>
      <c r="CF337" s="478"/>
      <c r="CG337" s="478"/>
      <c r="CH337" s="478"/>
      <c r="CI337" s="478"/>
      <c r="CJ337" s="478"/>
      <c r="CK337" s="478"/>
      <c r="CL337" s="478"/>
      <c r="CM337" s="478"/>
      <c r="CN337" s="478"/>
      <c r="CO337" s="478"/>
      <c r="CP337" s="478"/>
      <c r="CQ337" s="478"/>
      <c r="CR337" s="478"/>
      <c r="CS337" s="478"/>
      <c r="CT337" s="478"/>
      <c r="CU337" s="478"/>
      <c r="CV337" s="478"/>
      <c r="CW337" s="478"/>
      <c r="CX337" s="478"/>
      <c r="CY337" s="478"/>
      <c r="CZ337" s="478"/>
      <c r="DA337" s="478"/>
      <c r="DB337" s="478"/>
      <c r="DC337" s="478"/>
      <c r="DD337" s="478"/>
      <c r="DE337" s="478"/>
      <c r="DF337" s="478"/>
      <c r="DG337" s="478"/>
      <c r="DH337" s="478"/>
      <c r="DI337" s="478"/>
    </row>
    <row r="338" spans="1:113" ht="16.05" hidden="1" customHeight="1" outlineLevel="1" x14ac:dyDescent="0.3">
      <c r="A338" s="455" t="str">
        <f t="shared" si="1319"/>
        <v/>
      </c>
      <c r="B338" s="455"/>
      <c r="C338" s="481"/>
      <c r="D338" s="463" t="s">
        <v>957</v>
      </c>
      <c r="E338" s="482"/>
      <c r="F338" s="483"/>
      <c r="G338" s="484"/>
      <c r="H338" s="485"/>
      <c r="I338" s="466">
        <f t="shared" si="1320"/>
        <v>0</v>
      </c>
      <c r="J338" s="259"/>
      <c r="K338" s="478">
        <f t="shared" si="1321"/>
        <v>0</v>
      </c>
      <c r="L338" s="466">
        <f t="shared" si="1322"/>
        <v>0</v>
      </c>
      <c r="M338" s="257"/>
      <c r="N338" s="478"/>
      <c r="O338" s="478"/>
      <c r="P338" s="478"/>
      <c r="Q338" s="478"/>
      <c r="R338" s="478"/>
      <c r="S338" s="478"/>
      <c r="T338" s="478"/>
      <c r="U338" s="478"/>
      <c r="V338" s="478"/>
      <c r="W338" s="478"/>
      <c r="X338" s="478"/>
      <c r="Y338" s="478"/>
      <c r="Z338" s="478"/>
      <c r="AA338" s="478"/>
      <c r="AB338" s="478"/>
      <c r="AC338" s="478"/>
      <c r="AD338" s="478"/>
      <c r="AE338" s="478"/>
      <c r="AF338" s="478"/>
      <c r="AG338" s="478"/>
      <c r="AH338" s="478"/>
      <c r="AI338" s="478"/>
      <c r="AJ338" s="478"/>
      <c r="AK338" s="478"/>
      <c r="AL338" s="478"/>
      <c r="AM338" s="478"/>
      <c r="AN338" s="478"/>
      <c r="AO338" s="478"/>
      <c r="AP338" s="478"/>
      <c r="AQ338" s="478"/>
      <c r="AR338" s="478"/>
      <c r="AS338" s="478"/>
      <c r="AT338" s="478"/>
      <c r="AU338" s="478"/>
      <c r="AV338" s="478"/>
      <c r="AW338" s="478"/>
      <c r="AX338" s="478"/>
      <c r="AY338" s="478"/>
      <c r="AZ338" s="478"/>
      <c r="BA338" s="478"/>
      <c r="BB338" s="478"/>
      <c r="BC338" s="478"/>
      <c r="BD338" s="478"/>
      <c r="BE338" s="478"/>
      <c r="BF338" s="478"/>
      <c r="BG338" s="478"/>
      <c r="BH338" s="478"/>
      <c r="BI338" s="478"/>
      <c r="BJ338" s="245"/>
      <c r="BK338" s="477">
        <f t="shared" si="1323"/>
        <v>0</v>
      </c>
      <c r="BL338" s="466">
        <f t="shared" si="1324"/>
        <v>0</v>
      </c>
      <c r="BM338" s="257"/>
      <c r="BN338" s="478"/>
      <c r="BO338" s="478"/>
      <c r="BP338" s="478"/>
      <c r="BQ338" s="478"/>
      <c r="BR338" s="478"/>
      <c r="BS338" s="478"/>
      <c r="BT338" s="478"/>
      <c r="BU338" s="478"/>
      <c r="BV338" s="478"/>
      <c r="BW338" s="478"/>
      <c r="BX338" s="478"/>
      <c r="BY338" s="478"/>
      <c r="BZ338" s="478"/>
      <c r="CA338" s="478"/>
      <c r="CB338" s="478"/>
      <c r="CC338" s="478"/>
      <c r="CD338" s="478"/>
      <c r="CE338" s="478"/>
      <c r="CF338" s="478"/>
      <c r="CG338" s="478"/>
      <c r="CH338" s="478"/>
      <c r="CI338" s="478"/>
      <c r="CJ338" s="478"/>
      <c r="CK338" s="478"/>
      <c r="CL338" s="478"/>
      <c r="CM338" s="478"/>
      <c r="CN338" s="478"/>
      <c r="CO338" s="478"/>
      <c r="CP338" s="478"/>
      <c r="CQ338" s="478"/>
      <c r="CR338" s="478"/>
      <c r="CS338" s="478"/>
      <c r="CT338" s="478"/>
      <c r="CU338" s="478"/>
      <c r="CV338" s="478"/>
      <c r="CW338" s="478"/>
      <c r="CX338" s="478"/>
      <c r="CY338" s="478"/>
      <c r="CZ338" s="478"/>
      <c r="DA338" s="478"/>
      <c r="DB338" s="478"/>
      <c r="DC338" s="478"/>
      <c r="DD338" s="478"/>
      <c r="DE338" s="478"/>
      <c r="DF338" s="478"/>
      <c r="DG338" s="478"/>
      <c r="DH338" s="478"/>
      <c r="DI338" s="478"/>
    </row>
    <row r="339" spans="1:113" ht="16.05" hidden="1" customHeight="1" outlineLevel="1" x14ac:dyDescent="0.3">
      <c r="A339" s="455" t="str">
        <f t="shared" si="1319"/>
        <v/>
      </c>
      <c r="B339" s="455"/>
      <c r="C339" s="481"/>
      <c r="D339" s="463" t="s">
        <v>958</v>
      </c>
      <c r="E339" s="482"/>
      <c r="F339" s="483"/>
      <c r="G339" s="484"/>
      <c r="H339" s="485"/>
      <c r="I339" s="466">
        <f t="shared" si="1320"/>
        <v>0</v>
      </c>
      <c r="J339" s="259"/>
      <c r="K339" s="478">
        <f t="shared" si="1321"/>
        <v>0</v>
      </c>
      <c r="L339" s="466">
        <f t="shared" si="1322"/>
        <v>0</v>
      </c>
      <c r="M339" s="257"/>
      <c r="N339" s="478"/>
      <c r="O339" s="478"/>
      <c r="P339" s="478"/>
      <c r="Q339" s="478"/>
      <c r="R339" s="478"/>
      <c r="S339" s="478"/>
      <c r="T339" s="478"/>
      <c r="U339" s="478"/>
      <c r="V339" s="478"/>
      <c r="W339" s="478"/>
      <c r="X339" s="478"/>
      <c r="Y339" s="478"/>
      <c r="Z339" s="478"/>
      <c r="AA339" s="478"/>
      <c r="AB339" s="478"/>
      <c r="AC339" s="478"/>
      <c r="AD339" s="478"/>
      <c r="AE339" s="478"/>
      <c r="AF339" s="478"/>
      <c r="AG339" s="478"/>
      <c r="AH339" s="478"/>
      <c r="AI339" s="478"/>
      <c r="AJ339" s="478"/>
      <c r="AK339" s="478"/>
      <c r="AL339" s="478"/>
      <c r="AM339" s="478"/>
      <c r="AN339" s="478"/>
      <c r="AO339" s="478"/>
      <c r="AP339" s="478"/>
      <c r="AQ339" s="478"/>
      <c r="AR339" s="478"/>
      <c r="AS339" s="478"/>
      <c r="AT339" s="478"/>
      <c r="AU339" s="478"/>
      <c r="AV339" s="478"/>
      <c r="AW339" s="478"/>
      <c r="AX339" s="478"/>
      <c r="AY339" s="478"/>
      <c r="AZ339" s="478"/>
      <c r="BA339" s="478"/>
      <c r="BB339" s="478"/>
      <c r="BC339" s="478"/>
      <c r="BD339" s="478"/>
      <c r="BE339" s="478"/>
      <c r="BF339" s="478"/>
      <c r="BG339" s="478"/>
      <c r="BH339" s="478"/>
      <c r="BI339" s="478"/>
      <c r="BJ339" s="245"/>
      <c r="BK339" s="477">
        <f t="shared" si="1323"/>
        <v>0</v>
      </c>
      <c r="BL339" s="466">
        <f t="shared" si="1324"/>
        <v>0</v>
      </c>
      <c r="BM339" s="257"/>
      <c r="BN339" s="478"/>
      <c r="BO339" s="478"/>
      <c r="BP339" s="478"/>
      <c r="BQ339" s="478"/>
      <c r="BR339" s="478"/>
      <c r="BS339" s="478"/>
      <c r="BT339" s="478"/>
      <c r="BU339" s="478"/>
      <c r="BV339" s="478"/>
      <c r="BW339" s="478"/>
      <c r="BX339" s="478"/>
      <c r="BY339" s="478"/>
      <c r="BZ339" s="478"/>
      <c r="CA339" s="478"/>
      <c r="CB339" s="478"/>
      <c r="CC339" s="478"/>
      <c r="CD339" s="478"/>
      <c r="CE339" s="478"/>
      <c r="CF339" s="478"/>
      <c r="CG339" s="478"/>
      <c r="CH339" s="478"/>
      <c r="CI339" s="478"/>
      <c r="CJ339" s="478"/>
      <c r="CK339" s="478"/>
      <c r="CL339" s="478"/>
      <c r="CM339" s="478"/>
      <c r="CN339" s="478"/>
      <c r="CO339" s="478"/>
      <c r="CP339" s="478"/>
      <c r="CQ339" s="478"/>
      <c r="CR339" s="478"/>
      <c r="CS339" s="478"/>
      <c r="CT339" s="478"/>
      <c r="CU339" s="478"/>
      <c r="CV339" s="478"/>
      <c r="CW339" s="478"/>
      <c r="CX339" s="478"/>
      <c r="CY339" s="478"/>
      <c r="CZ339" s="478"/>
      <c r="DA339" s="478"/>
      <c r="DB339" s="478"/>
      <c r="DC339" s="478"/>
      <c r="DD339" s="478"/>
      <c r="DE339" s="478"/>
      <c r="DF339" s="478"/>
      <c r="DG339" s="478"/>
      <c r="DH339" s="478"/>
      <c r="DI339" s="478"/>
    </row>
    <row r="340" spans="1:113" ht="16.05" hidden="1" customHeight="1" outlineLevel="1" x14ac:dyDescent="0.3">
      <c r="A340" s="455" t="str">
        <f t="shared" si="1319"/>
        <v/>
      </c>
      <c r="B340" s="455"/>
      <c r="C340" s="481"/>
      <c r="D340" s="463" t="s">
        <v>959</v>
      </c>
      <c r="E340" s="482"/>
      <c r="F340" s="483"/>
      <c r="G340" s="484"/>
      <c r="H340" s="485"/>
      <c r="I340" s="466">
        <f t="shared" si="1320"/>
        <v>0</v>
      </c>
      <c r="J340" s="259"/>
      <c r="K340" s="478">
        <f t="shared" si="1321"/>
        <v>0</v>
      </c>
      <c r="L340" s="466">
        <f t="shared" si="1322"/>
        <v>0</v>
      </c>
      <c r="M340" s="257"/>
      <c r="N340" s="478"/>
      <c r="O340" s="478"/>
      <c r="P340" s="478"/>
      <c r="Q340" s="478"/>
      <c r="R340" s="478"/>
      <c r="S340" s="478"/>
      <c r="T340" s="478"/>
      <c r="U340" s="478"/>
      <c r="V340" s="478"/>
      <c r="W340" s="478"/>
      <c r="X340" s="478"/>
      <c r="Y340" s="478"/>
      <c r="Z340" s="478"/>
      <c r="AA340" s="478"/>
      <c r="AB340" s="478"/>
      <c r="AC340" s="478"/>
      <c r="AD340" s="478"/>
      <c r="AE340" s="478"/>
      <c r="AF340" s="478"/>
      <c r="AG340" s="478"/>
      <c r="AH340" s="478"/>
      <c r="AI340" s="478"/>
      <c r="AJ340" s="478"/>
      <c r="AK340" s="478"/>
      <c r="AL340" s="478"/>
      <c r="AM340" s="478"/>
      <c r="AN340" s="478"/>
      <c r="AO340" s="478"/>
      <c r="AP340" s="478"/>
      <c r="AQ340" s="478"/>
      <c r="AR340" s="478"/>
      <c r="AS340" s="478"/>
      <c r="AT340" s="478"/>
      <c r="AU340" s="478"/>
      <c r="AV340" s="478"/>
      <c r="AW340" s="478"/>
      <c r="AX340" s="478"/>
      <c r="AY340" s="478"/>
      <c r="AZ340" s="478"/>
      <c r="BA340" s="478"/>
      <c r="BB340" s="478"/>
      <c r="BC340" s="478"/>
      <c r="BD340" s="478"/>
      <c r="BE340" s="478"/>
      <c r="BF340" s="478"/>
      <c r="BG340" s="478"/>
      <c r="BH340" s="478"/>
      <c r="BI340" s="478"/>
      <c r="BJ340" s="245"/>
      <c r="BK340" s="477">
        <f t="shared" si="1323"/>
        <v>0</v>
      </c>
      <c r="BL340" s="466">
        <f t="shared" si="1324"/>
        <v>0</v>
      </c>
      <c r="BM340" s="257"/>
      <c r="BN340" s="478"/>
      <c r="BO340" s="478"/>
      <c r="BP340" s="478"/>
      <c r="BQ340" s="478"/>
      <c r="BR340" s="478"/>
      <c r="BS340" s="478"/>
      <c r="BT340" s="478"/>
      <c r="BU340" s="478"/>
      <c r="BV340" s="478"/>
      <c r="BW340" s="478"/>
      <c r="BX340" s="478"/>
      <c r="BY340" s="478"/>
      <c r="BZ340" s="478"/>
      <c r="CA340" s="478"/>
      <c r="CB340" s="478"/>
      <c r="CC340" s="478"/>
      <c r="CD340" s="478"/>
      <c r="CE340" s="478"/>
      <c r="CF340" s="478"/>
      <c r="CG340" s="478"/>
      <c r="CH340" s="478"/>
      <c r="CI340" s="478"/>
      <c r="CJ340" s="478"/>
      <c r="CK340" s="478"/>
      <c r="CL340" s="478"/>
      <c r="CM340" s="478"/>
      <c r="CN340" s="478"/>
      <c r="CO340" s="478"/>
      <c r="CP340" s="478"/>
      <c r="CQ340" s="478"/>
      <c r="CR340" s="478"/>
      <c r="CS340" s="478"/>
      <c r="CT340" s="478"/>
      <c r="CU340" s="478"/>
      <c r="CV340" s="478"/>
      <c r="CW340" s="478"/>
      <c r="CX340" s="478"/>
      <c r="CY340" s="478"/>
      <c r="CZ340" s="478"/>
      <c r="DA340" s="478"/>
      <c r="DB340" s="478"/>
      <c r="DC340" s="478"/>
      <c r="DD340" s="478"/>
      <c r="DE340" s="478"/>
      <c r="DF340" s="478"/>
      <c r="DG340" s="478"/>
      <c r="DH340" s="478"/>
      <c r="DI340" s="478"/>
    </row>
    <row r="341" spans="1:113" ht="16.05" hidden="1" customHeight="1" outlineLevel="1" x14ac:dyDescent="0.3">
      <c r="A341" s="455" t="str">
        <f t="shared" si="1319"/>
        <v/>
      </c>
      <c r="B341" s="455"/>
      <c r="C341" s="481"/>
      <c r="D341" s="463" t="s">
        <v>960</v>
      </c>
      <c r="E341" s="482"/>
      <c r="F341" s="483"/>
      <c r="G341" s="484"/>
      <c r="H341" s="485"/>
      <c r="I341" s="466">
        <f t="shared" si="1320"/>
        <v>0</v>
      </c>
      <c r="J341" s="259"/>
      <c r="K341" s="478">
        <f t="shared" si="1321"/>
        <v>0</v>
      </c>
      <c r="L341" s="466">
        <f t="shared" si="1322"/>
        <v>0</v>
      </c>
      <c r="M341" s="257"/>
      <c r="N341" s="478"/>
      <c r="O341" s="478"/>
      <c r="P341" s="478"/>
      <c r="Q341" s="478"/>
      <c r="R341" s="478"/>
      <c r="S341" s="478"/>
      <c r="T341" s="478"/>
      <c r="U341" s="478"/>
      <c r="V341" s="478"/>
      <c r="W341" s="478"/>
      <c r="X341" s="478"/>
      <c r="Y341" s="478"/>
      <c r="Z341" s="478"/>
      <c r="AA341" s="478"/>
      <c r="AB341" s="478"/>
      <c r="AC341" s="478"/>
      <c r="AD341" s="478"/>
      <c r="AE341" s="478"/>
      <c r="AF341" s="478"/>
      <c r="AG341" s="478"/>
      <c r="AH341" s="478"/>
      <c r="AI341" s="478"/>
      <c r="AJ341" s="478"/>
      <c r="AK341" s="478"/>
      <c r="AL341" s="478"/>
      <c r="AM341" s="478"/>
      <c r="AN341" s="478"/>
      <c r="AO341" s="478"/>
      <c r="AP341" s="478"/>
      <c r="AQ341" s="478"/>
      <c r="AR341" s="478"/>
      <c r="AS341" s="478"/>
      <c r="AT341" s="478"/>
      <c r="AU341" s="478"/>
      <c r="AV341" s="478"/>
      <c r="AW341" s="478"/>
      <c r="AX341" s="478"/>
      <c r="AY341" s="478"/>
      <c r="AZ341" s="478"/>
      <c r="BA341" s="478"/>
      <c r="BB341" s="478"/>
      <c r="BC341" s="478"/>
      <c r="BD341" s="478"/>
      <c r="BE341" s="478"/>
      <c r="BF341" s="478"/>
      <c r="BG341" s="478"/>
      <c r="BH341" s="478"/>
      <c r="BI341" s="478"/>
      <c r="BJ341" s="245"/>
      <c r="BK341" s="477">
        <f t="shared" si="1323"/>
        <v>0</v>
      </c>
      <c r="BL341" s="466">
        <f t="shared" si="1324"/>
        <v>0</v>
      </c>
      <c r="BM341" s="257"/>
      <c r="BN341" s="478"/>
      <c r="BO341" s="478"/>
      <c r="BP341" s="478"/>
      <c r="BQ341" s="478"/>
      <c r="BR341" s="478"/>
      <c r="BS341" s="478"/>
      <c r="BT341" s="478"/>
      <c r="BU341" s="478"/>
      <c r="BV341" s="478"/>
      <c r="BW341" s="478"/>
      <c r="BX341" s="478"/>
      <c r="BY341" s="478"/>
      <c r="BZ341" s="478"/>
      <c r="CA341" s="478"/>
      <c r="CB341" s="478"/>
      <c r="CC341" s="478"/>
      <c r="CD341" s="478"/>
      <c r="CE341" s="478"/>
      <c r="CF341" s="478"/>
      <c r="CG341" s="478"/>
      <c r="CH341" s="478"/>
      <c r="CI341" s="478"/>
      <c r="CJ341" s="478"/>
      <c r="CK341" s="478"/>
      <c r="CL341" s="478"/>
      <c r="CM341" s="478"/>
      <c r="CN341" s="478"/>
      <c r="CO341" s="478"/>
      <c r="CP341" s="478"/>
      <c r="CQ341" s="478"/>
      <c r="CR341" s="478"/>
      <c r="CS341" s="478"/>
      <c r="CT341" s="478"/>
      <c r="CU341" s="478"/>
      <c r="CV341" s="478"/>
      <c r="CW341" s="478"/>
      <c r="CX341" s="478"/>
      <c r="CY341" s="478"/>
      <c r="CZ341" s="478"/>
      <c r="DA341" s="478"/>
      <c r="DB341" s="478"/>
      <c r="DC341" s="478"/>
      <c r="DD341" s="478"/>
      <c r="DE341" s="478"/>
      <c r="DF341" s="478"/>
      <c r="DG341" s="478"/>
      <c r="DH341" s="478"/>
      <c r="DI341" s="478"/>
    </row>
    <row r="342" spans="1:113" ht="8.1" hidden="1" customHeight="1" outlineLevel="1" x14ac:dyDescent="0.3">
      <c r="A342" s="455" t="str">
        <f t="shared" ref="A342" si="1325">IF(COUNTIF(A322:A341,"Imprimir")&gt;0,"Imprimir","")</f>
        <v/>
      </c>
      <c r="B342" s="455"/>
      <c r="C342" s="464"/>
      <c r="D342" s="461"/>
      <c r="E342" s="462"/>
      <c r="F342" s="462"/>
      <c r="G342" s="461"/>
      <c r="H342" s="461"/>
      <c r="I342" s="461"/>
      <c r="J342" s="259"/>
      <c r="K342" s="255"/>
      <c r="L342" s="256"/>
      <c r="M342" s="257"/>
      <c r="N342" s="255"/>
      <c r="O342" s="255"/>
      <c r="P342" s="255"/>
      <c r="Q342" s="255"/>
      <c r="R342" s="255"/>
      <c r="S342" s="255"/>
      <c r="T342" s="255"/>
      <c r="U342" s="255"/>
      <c r="V342" s="255"/>
      <c r="W342" s="255"/>
      <c r="X342" s="255"/>
      <c r="Y342" s="255"/>
      <c r="Z342" s="255"/>
      <c r="AA342" s="255"/>
      <c r="AB342" s="255"/>
      <c r="AC342" s="255"/>
      <c r="AD342" s="255"/>
      <c r="AE342" s="255"/>
      <c r="AF342" s="255"/>
      <c r="AG342" s="255"/>
      <c r="AH342" s="255"/>
      <c r="AI342" s="255"/>
      <c r="AJ342" s="255"/>
      <c r="AK342" s="255"/>
      <c r="AL342" s="255"/>
      <c r="AM342" s="524"/>
      <c r="AN342" s="255"/>
      <c r="AO342" s="255"/>
      <c r="AP342" s="255"/>
      <c r="AQ342" s="255"/>
      <c r="AR342" s="255"/>
      <c r="AS342" s="255"/>
      <c r="AT342" s="255"/>
      <c r="AU342" s="255"/>
      <c r="AV342" s="255"/>
      <c r="AW342" s="255"/>
      <c r="AX342" s="255"/>
      <c r="AY342" s="255"/>
      <c r="AZ342" s="255"/>
      <c r="BA342" s="255"/>
      <c r="BB342" s="255"/>
      <c r="BC342" s="255"/>
      <c r="BD342" s="255"/>
      <c r="BE342" s="255"/>
      <c r="BF342" s="255"/>
      <c r="BG342" s="255"/>
      <c r="BH342" s="255"/>
      <c r="BI342" s="255"/>
      <c r="BJ342" s="245"/>
      <c r="BK342" s="256"/>
      <c r="BL342" s="256"/>
      <c r="BM342" s="257"/>
      <c r="BN342" s="255"/>
      <c r="BO342" s="255"/>
      <c r="BP342" s="255"/>
      <c r="BQ342" s="255"/>
      <c r="BR342" s="255"/>
      <c r="BS342" s="255"/>
      <c r="BT342" s="255"/>
      <c r="BU342" s="255"/>
      <c r="BV342" s="255"/>
      <c r="BW342" s="255"/>
      <c r="BX342" s="255"/>
      <c r="BY342" s="255"/>
      <c r="BZ342" s="255"/>
      <c r="CA342" s="255"/>
      <c r="CB342" s="255"/>
      <c r="CC342" s="255"/>
      <c r="CD342" s="255"/>
      <c r="CE342" s="255"/>
      <c r="CF342" s="255"/>
      <c r="CG342" s="255"/>
      <c r="CH342" s="255"/>
      <c r="CI342" s="255"/>
      <c r="CJ342" s="255"/>
      <c r="CK342" s="255"/>
      <c r="CL342" s="255"/>
      <c r="CM342" s="255"/>
      <c r="CN342" s="255"/>
      <c r="CO342" s="255"/>
      <c r="CP342" s="255"/>
      <c r="CQ342" s="255"/>
      <c r="CR342" s="255"/>
      <c r="CS342" s="255"/>
      <c r="CT342" s="255"/>
      <c r="CU342" s="255"/>
      <c r="CV342" s="255"/>
      <c r="CW342" s="255"/>
      <c r="CX342" s="255"/>
      <c r="CY342" s="255"/>
      <c r="CZ342" s="255"/>
      <c r="DA342" s="255"/>
      <c r="DB342" s="255"/>
      <c r="DC342" s="255"/>
      <c r="DD342" s="255"/>
      <c r="DE342" s="255"/>
      <c r="DF342" s="255"/>
      <c r="DG342" s="255"/>
      <c r="DH342" s="255"/>
      <c r="DI342" s="524"/>
    </row>
    <row r="343" spans="1:113" ht="16.05" hidden="1" customHeight="1" collapsed="1" x14ac:dyDescent="0.3">
      <c r="A343" s="455" t="str">
        <f t="shared" ref="A343" si="1326">IF(COUNTIF(A344:A363,"Imprimir")&gt;0,"Imprimir","")</f>
        <v/>
      </c>
      <c r="B343" s="455"/>
      <c r="C343" s="459"/>
      <c r="D343" s="459"/>
      <c r="E343" s="460" t="s">
        <v>961</v>
      </c>
      <c r="F343" s="460"/>
      <c r="G343" s="460"/>
      <c r="H343" s="465"/>
      <c r="I343" s="465">
        <f>SUBTOTAL(9,I344:I364)</f>
        <v>0</v>
      </c>
      <c r="J343" s="259"/>
      <c r="K343" s="465"/>
      <c r="L343" s="465">
        <f>SUBTOTAL(9,L344:L364)</f>
        <v>0</v>
      </c>
      <c r="M343" s="257"/>
      <c r="N343" s="465">
        <f>SUMPRODUCT(N344:N364,$H344:$H364)</f>
        <v>0</v>
      </c>
      <c r="O343" s="465">
        <f>SUMPRODUCT(O344:O364,$H344:$H364)</f>
        <v>0</v>
      </c>
      <c r="P343" s="465">
        <f t="shared" ref="P343" si="1327">SUMPRODUCT(P344:P364,$H344:$H364)</f>
        <v>0</v>
      </c>
      <c r="Q343" s="465">
        <f t="shared" ref="Q343" si="1328">SUMPRODUCT(Q344:Q364,$H344:$H364)</f>
        <v>0</v>
      </c>
      <c r="R343" s="465">
        <f t="shared" ref="R343" si="1329">SUMPRODUCT(R344:R364,$H344:$H364)</f>
        <v>0</v>
      </c>
      <c r="S343" s="465">
        <f t="shared" ref="S343" si="1330">SUMPRODUCT(S344:S364,$H344:$H364)</f>
        <v>0</v>
      </c>
      <c r="T343" s="465">
        <f t="shared" ref="T343" si="1331">SUMPRODUCT(T344:T364,$H344:$H364)</f>
        <v>0</v>
      </c>
      <c r="U343" s="465">
        <f t="shared" ref="U343" si="1332">SUMPRODUCT(U344:U364,$H344:$H364)</f>
        <v>0</v>
      </c>
      <c r="V343" s="465">
        <f t="shared" ref="V343" si="1333">SUMPRODUCT(V344:V364,$H344:$H364)</f>
        <v>0</v>
      </c>
      <c r="W343" s="465">
        <f t="shared" ref="W343" si="1334">SUMPRODUCT(W344:W364,$H344:$H364)</f>
        <v>0</v>
      </c>
      <c r="X343" s="465">
        <f t="shared" ref="X343" si="1335">SUMPRODUCT(X344:X364,$H344:$H364)</f>
        <v>0</v>
      </c>
      <c r="Y343" s="465">
        <f t="shared" ref="Y343" si="1336">SUMPRODUCT(Y344:Y364,$H344:$H364)</f>
        <v>0</v>
      </c>
      <c r="Z343" s="465">
        <f t="shared" ref="Z343" si="1337">SUMPRODUCT(Z344:Z364,$H344:$H364)</f>
        <v>0</v>
      </c>
      <c r="AA343" s="465">
        <f t="shared" ref="AA343" si="1338">SUMPRODUCT(AA344:AA364,$H344:$H364)</f>
        <v>0</v>
      </c>
      <c r="AB343" s="465">
        <f t="shared" ref="AB343" si="1339">SUMPRODUCT(AB344:AB364,$H344:$H364)</f>
        <v>0</v>
      </c>
      <c r="AC343" s="465">
        <f t="shared" ref="AC343" si="1340">SUMPRODUCT(AC344:AC364,$H344:$H364)</f>
        <v>0</v>
      </c>
      <c r="AD343" s="465">
        <f t="shared" ref="AD343" si="1341">SUMPRODUCT(AD344:AD364,$H344:$H364)</f>
        <v>0</v>
      </c>
      <c r="AE343" s="465">
        <f t="shared" ref="AE343" si="1342">SUMPRODUCT(AE344:AE364,$H344:$H364)</f>
        <v>0</v>
      </c>
      <c r="AF343" s="465">
        <f t="shared" ref="AF343" si="1343">SUMPRODUCT(AF344:AF364,$H344:$H364)</f>
        <v>0</v>
      </c>
      <c r="AG343" s="465">
        <f t="shared" ref="AG343" si="1344">SUMPRODUCT(AG344:AG364,$H344:$H364)</f>
        <v>0</v>
      </c>
      <c r="AH343" s="465">
        <f t="shared" ref="AH343" si="1345">SUMPRODUCT(AH344:AH364,$H344:$H364)</f>
        <v>0</v>
      </c>
      <c r="AI343" s="465">
        <f t="shared" ref="AI343" si="1346">SUMPRODUCT(AI344:AI364,$H344:$H364)</f>
        <v>0</v>
      </c>
      <c r="AJ343" s="465">
        <f t="shared" ref="AJ343:BI343" si="1347">SUMPRODUCT(AJ344:AJ364,$H344:$H364)</f>
        <v>0</v>
      </c>
      <c r="AK343" s="465">
        <f t="shared" si="1347"/>
        <v>0</v>
      </c>
      <c r="AL343" s="465">
        <f t="shared" si="1347"/>
        <v>0</v>
      </c>
      <c r="AM343" s="465">
        <f t="shared" si="1347"/>
        <v>0</v>
      </c>
      <c r="AN343" s="465">
        <f t="shared" si="1347"/>
        <v>0</v>
      </c>
      <c r="AO343" s="465">
        <f t="shared" si="1347"/>
        <v>0</v>
      </c>
      <c r="AP343" s="465">
        <f t="shared" si="1347"/>
        <v>0</v>
      </c>
      <c r="AQ343" s="465">
        <f t="shared" si="1347"/>
        <v>0</v>
      </c>
      <c r="AR343" s="465">
        <f t="shared" si="1347"/>
        <v>0</v>
      </c>
      <c r="AS343" s="465">
        <f t="shared" si="1347"/>
        <v>0</v>
      </c>
      <c r="AT343" s="465">
        <f t="shared" si="1347"/>
        <v>0</v>
      </c>
      <c r="AU343" s="465">
        <f t="shared" si="1347"/>
        <v>0</v>
      </c>
      <c r="AV343" s="465">
        <f t="shared" si="1347"/>
        <v>0</v>
      </c>
      <c r="AW343" s="465">
        <f t="shared" si="1347"/>
        <v>0</v>
      </c>
      <c r="AX343" s="465">
        <f t="shared" si="1347"/>
        <v>0</v>
      </c>
      <c r="AY343" s="465">
        <f t="shared" si="1347"/>
        <v>0</v>
      </c>
      <c r="AZ343" s="465">
        <f t="shared" si="1347"/>
        <v>0</v>
      </c>
      <c r="BA343" s="465">
        <f t="shared" si="1347"/>
        <v>0</v>
      </c>
      <c r="BB343" s="465">
        <f t="shared" si="1347"/>
        <v>0</v>
      </c>
      <c r="BC343" s="465">
        <f t="shared" si="1347"/>
        <v>0</v>
      </c>
      <c r="BD343" s="465">
        <f t="shared" si="1347"/>
        <v>0</v>
      </c>
      <c r="BE343" s="465">
        <f t="shared" si="1347"/>
        <v>0</v>
      </c>
      <c r="BF343" s="465">
        <f t="shared" si="1347"/>
        <v>0</v>
      </c>
      <c r="BG343" s="465">
        <f t="shared" si="1347"/>
        <v>0</v>
      </c>
      <c r="BH343" s="465">
        <f t="shared" si="1347"/>
        <v>0</v>
      </c>
      <c r="BI343" s="543">
        <f t="shared" si="1347"/>
        <v>0</v>
      </c>
      <c r="BJ343" s="546"/>
      <c r="BK343" s="475">
        <f t="shared" ref="BK343" si="1348">IFERROR(BL343/I343,0)</f>
        <v>0</v>
      </c>
      <c r="BL343" s="465">
        <f>SUBTOTAL(9,BL344:BL364)</f>
        <v>0</v>
      </c>
      <c r="BM343" s="257"/>
      <c r="BN343" s="465">
        <f>SUMPRODUCT(BN344:BN364,$H344:$H364)</f>
        <v>0</v>
      </c>
      <c r="BO343" s="465">
        <f>SUMPRODUCT(BO344:BO364,$H344:$H364)</f>
        <v>0</v>
      </c>
      <c r="BP343" s="465">
        <f t="shared" ref="BP343" si="1349">SUMPRODUCT(BP344:BP364,$H344:$H364)</f>
        <v>0</v>
      </c>
      <c r="BQ343" s="465">
        <f t="shared" ref="BQ343" si="1350">SUMPRODUCT(BQ344:BQ364,$H344:$H364)</f>
        <v>0</v>
      </c>
      <c r="BR343" s="465">
        <f t="shared" ref="BR343" si="1351">SUMPRODUCT(BR344:BR364,$H344:$H364)</f>
        <v>0</v>
      </c>
      <c r="BS343" s="465">
        <f t="shared" ref="BS343" si="1352">SUMPRODUCT(BS344:BS364,$H344:$H364)</f>
        <v>0</v>
      </c>
      <c r="BT343" s="465">
        <f t="shared" ref="BT343" si="1353">SUMPRODUCT(BT344:BT364,$H344:$H364)</f>
        <v>0</v>
      </c>
      <c r="BU343" s="465">
        <f t="shared" ref="BU343" si="1354">SUMPRODUCT(BU344:BU364,$H344:$H364)</f>
        <v>0</v>
      </c>
      <c r="BV343" s="465">
        <f t="shared" ref="BV343" si="1355">SUMPRODUCT(BV344:BV364,$H344:$H364)</f>
        <v>0</v>
      </c>
      <c r="BW343" s="465">
        <f t="shared" ref="BW343" si="1356">SUMPRODUCT(BW344:BW364,$H344:$H364)</f>
        <v>0</v>
      </c>
      <c r="BX343" s="465">
        <f t="shared" ref="BX343" si="1357">SUMPRODUCT(BX344:BX364,$H344:$H364)</f>
        <v>0</v>
      </c>
      <c r="BY343" s="465">
        <f t="shared" ref="BY343" si="1358">SUMPRODUCT(BY344:BY364,$H344:$H364)</f>
        <v>0</v>
      </c>
      <c r="BZ343" s="465">
        <f t="shared" ref="BZ343" si="1359">SUMPRODUCT(BZ344:BZ364,$H344:$H364)</f>
        <v>0</v>
      </c>
      <c r="CA343" s="465">
        <f t="shared" ref="CA343" si="1360">SUMPRODUCT(CA344:CA364,$H344:$H364)</f>
        <v>0</v>
      </c>
      <c r="CB343" s="465">
        <f t="shared" ref="CB343" si="1361">SUMPRODUCT(CB344:CB364,$H344:$H364)</f>
        <v>0</v>
      </c>
      <c r="CC343" s="465">
        <f t="shared" ref="CC343" si="1362">SUMPRODUCT(CC344:CC364,$H344:$H364)</f>
        <v>0</v>
      </c>
      <c r="CD343" s="465">
        <f t="shared" ref="CD343" si="1363">SUMPRODUCT(CD344:CD364,$H344:$H364)</f>
        <v>0</v>
      </c>
      <c r="CE343" s="465">
        <f t="shared" ref="CE343" si="1364">SUMPRODUCT(CE344:CE364,$H344:$H364)</f>
        <v>0</v>
      </c>
      <c r="CF343" s="465">
        <f t="shared" ref="CF343" si="1365">SUMPRODUCT(CF344:CF364,$H344:$H364)</f>
        <v>0</v>
      </c>
      <c r="CG343" s="465">
        <f t="shared" ref="CG343" si="1366">SUMPRODUCT(CG344:CG364,$H344:$H364)</f>
        <v>0</v>
      </c>
      <c r="CH343" s="465">
        <f t="shared" ref="CH343" si="1367">SUMPRODUCT(CH344:CH364,$H344:$H364)</f>
        <v>0</v>
      </c>
      <c r="CI343" s="465">
        <f t="shared" ref="CI343" si="1368">SUMPRODUCT(CI344:CI364,$H344:$H364)</f>
        <v>0</v>
      </c>
      <c r="CJ343" s="465">
        <f t="shared" ref="CJ343" si="1369">SUMPRODUCT(CJ344:CJ364,$H344:$H364)</f>
        <v>0</v>
      </c>
      <c r="CK343" s="465">
        <f t="shared" ref="CK343" si="1370">SUMPRODUCT(CK344:CK364,$H344:$H364)</f>
        <v>0</v>
      </c>
      <c r="CL343" s="465">
        <f t="shared" ref="CL343" si="1371">SUMPRODUCT(CL344:CL364,$H344:$H364)</f>
        <v>0</v>
      </c>
      <c r="CM343" s="465">
        <f t="shared" ref="CM343" si="1372">SUMPRODUCT(CM344:CM364,$H344:$H364)</f>
        <v>0</v>
      </c>
      <c r="CN343" s="465">
        <f t="shared" ref="CN343" si="1373">SUMPRODUCT(CN344:CN364,$H344:$H364)</f>
        <v>0</v>
      </c>
      <c r="CO343" s="465">
        <f t="shared" ref="CO343" si="1374">SUMPRODUCT(CO344:CO364,$H344:$H364)</f>
        <v>0</v>
      </c>
      <c r="CP343" s="465">
        <f t="shared" ref="CP343" si="1375">SUMPRODUCT(CP344:CP364,$H344:$H364)</f>
        <v>0</v>
      </c>
      <c r="CQ343" s="465">
        <f t="shared" ref="CQ343" si="1376">SUMPRODUCT(CQ344:CQ364,$H344:$H364)</f>
        <v>0</v>
      </c>
      <c r="CR343" s="465">
        <f t="shared" ref="CR343" si="1377">SUMPRODUCT(CR344:CR364,$H344:$H364)</f>
        <v>0</v>
      </c>
      <c r="CS343" s="465">
        <f t="shared" ref="CS343" si="1378">SUMPRODUCT(CS344:CS364,$H344:$H364)</f>
        <v>0</v>
      </c>
      <c r="CT343" s="465">
        <f t="shared" ref="CT343" si="1379">SUMPRODUCT(CT344:CT364,$H344:$H364)</f>
        <v>0</v>
      </c>
      <c r="CU343" s="465">
        <f t="shared" ref="CU343" si="1380">SUMPRODUCT(CU344:CU364,$H344:$H364)</f>
        <v>0</v>
      </c>
      <c r="CV343" s="465">
        <f t="shared" ref="CV343" si="1381">SUMPRODUCT(CV344:CV364,$H344:$H364)</f>
        <v>0</v>
      </c>
      <c r="CW343" s="465">
        <f t="shared" ref="CW343" si="1382">SUMPRODUCT(CW344:CW364,$H344:$H364)</f>
        <v>0</v>
      </c>
      <c r="CX343" s="465">
        <f t="shared" ref="CX343" si="1383">SUMPRODUCT(CX344:CX364,$H344:$H364)</f>
        <v>0</v>
      </c>
      <c r="CY343" s="465">
        <f t="shared" ref="CY343" si="1384">SUMPRODUCT(CY344:CY364,$H344:$H364)</f>
        <v>0</v>
      </c>
      <c r="CZ343" s="465">
        <f t="shared" ref="CZ343" si="1385">SUMPRODUCT(CZ344:CZ364,$H344:$H364)</f>
        <v>0</v>
      </c>
      <c r="DA343" s="465">
        <f t="shared" ref="DA343" si="1386">SUMPRODUCT(DA344:DA364,$H344:$H364)</f>
        <v>0</v>
      </c>
      <c r="DB343" s="465">
        <f t="shared" ref="DB343" si="1387">SUMPRODUCT(DB344:DB364,$H344:$H364)</f>
        <v>0</v>
      </c>
      <c r="DC343" s="465">
        <f t="shared" ref="DC343" si="1388">SUMPRODUCT(DC344:DC364,$H344:$H364)</f>
        <v>0</v>
      </c>
      <c r="DD343" s="465">
        <f t="shared" ref="DD343" si="1389">SUMPRODUCT(DD344:DD364,$H344:$H364)</f>
        <v>0</v>
      </c>
      <c r="DE343" s="465">
        <f t="shared" ref="DE343" si="1390">SUMPRODUCT(DE344:DE364,$H344:$H364)</f>
        <v>0</v>
      </c>
      <c r="DF343" s="465">
        <f t="shared" ref="DF343" si="1391">SUMPRODUCT(DF344:DF364,$H344:$H364)</f>
        <v>0</v>
      </c>
      <c r="DG343" s="465">
        <f t="shared" ref="DG343" si="1392">SUMPRODUCT(DG344:DG364,$H344:$H364)</f>
        <v>0</v>
      </c>
      <c r="DH343" s="465">
        <f t="shared" ref="DH343" si="1393">SUMPRODUCT(DH344:DH364,$H344:$H364)</f>
        <v>0</v>
      </c>
      <c r="DI343" s="465">
        <f t="shared" ref="DI343" si="1394">SUMPRODUCT(DI344:DI364,$H344:$H364)</f>
        <v>0</v>
      </c>
    </row>
    <row r="344" spans="1:113" ht="16.05" hidden="1" customHeight="1" outlineLevel="1" x14ac:dyDescent="0.3">
      <c r="A344" s="455" t="str">
        <f t="shared" si="1319"/>
        <v/>
      </c>
      <c r="B344" s="455"/>
      <c r="C344" s="481"/>
      <c r="D344" s="463" t="s">
        <v>962</v>
      </c>
      <c r="E344" s="482"/>
      <c r="F344" s="483"/>
      <c r="G344" s="484"/>
      <c r="H344" s="485"/>
      <c r="I344" s="466">
        <f t="shared" ref="I344:I363" si="1395">G344*H344</f>
        <v>0</v>
      </c>
      <c r="J344" s="259"/>
      <c r="K344" s="478">
        <f>SUM(N344:BI344)</f>
        <v>0</v>
      </c>
      <c r="L344" s="466">
        <f>K344*$H344</f>
        <v>0</v>
      </c>
      <c r="M344" s="257"/>
      <c r="N344" s="478"/>
      <c r="O344" s="478"/>
      <c r="P344" s="478"/>
      <c r="Q344" s="478"/>
      <c r="R344" s="478"/>
      <c r="S344" s="478"/>
      <c r="T344" s="478"/>
      <c r="U344" s="478"/>
      <c r="V344" s="478"/>
      <c r="W344" s="478"/>
      <c r="X344" s="478"/>
      <c r="Y344" s="478"/>
      <c r="Z344" s="478"/>
      <c r="AA344" s="478"/>
      <c r="AB344" s="478"/>
      <c r="AC344" s="478"/>
      <c r="AD344" s="478"/>
      <c r="AE344" s="478"/>
      <c r="AF344" s="478"/>
      <c r="AG344" s="478"/>
      <c r="AH344" s="478"/>
      <c r="AI344" s="478"/>
      <c r="AJ344" s="478"/>
      <c r="AK344" s="478"/>
      <c r="AL344" s="478"/>
      <c r="AM344" s="478"/>
      <c r="AN344" s="478"/>
      <c r="AO344" s="478"/>
      <c r="AP344" s="478"/>
      <c r="AQ344" s="478"/>
      <c r="AR344" s="478"/>
      <c r="AS344" s="478"/>
      <c r="AT344" s="478"/>
      <c r="AU344" s="478"/>
      <c r="AV344" s="478"/>
      <c r="AW344" s="478"/>
      <c r="AX344" s="478"/>
      <c r="AY344" s="478"/>
      <c r="AZ344" s="478"/>
      <c r="BA344" s="478"/>
      <c r="BB344" s="478"/>
      <c r="BC344" s="478"/>
      <c r="BD344" s="478"/>
      <c r="BE344" s="478"/>
      <c r="BF344" s="478"/>
      <c r="BG344" s="478"/>
      <c r="BH344" s="478"/>
      <c r="BI344" s="478"/>
      <c r="BJ344" s="245"/>
      <c r="BK344" s="477">
        <f>IFERROR(BL344/I344,0)</f>
        <v>0</v>
      </c>
      <c r="BL344" s="466">
        <f>SUM(BN344:DJ344)*$H344</f>
        <v>0</v>
      </c>
      <c r="BM344" s="257"/>
      <c r="BN344" s="478"/>
      <c r="BO344" s="478"/>
      <c r="BP344" s="478"/>
      <c r="BQ344" s="478"/>
      <c r="BR344" s="478"/>
      <c r="BS344" s="478"/>
      <c r="BT344" s="478"/>
      <c r="BU344" s="478"/>
      <c r="BV344" s="478"/>
      <c r="BW344" s="478"/>
      <c r="BX344" s="478"/>
      <c r="BY344" s="478"/>
      <c r="BZ344" s="478"/>
      <c r="CA344" s="478"/>
      <c r="CB344" s="478"/>
      <c r="CC344" s="478"/>
      <c r="CD344" s="478"/>
      <c r="CE344" s="478"/>
      <c r="CF344" s="478"/>
      <c r="CG344" s="478"/>
      <c r="CH344" s="478"/>
      <c r="CI344" s="478"/>
      <c r="CJ344" s="478"/>
      <c r="CK344" s="478"/>
      <c r="CL344" s="478"/>
      <c r="CM344" s="478"/>
      <c r="CN344" s="478"/>
      <c r="CO344" s="478"/>
      <c r="CP344" s="478"/>
      <c r="CQ344" s="478"/>
      <c r="CR344" s="478"/>
      <c r="CS344" s="478"/>
      <c r="CT344" s="478"/>
      <c r="CU344" s="478"/>
      <c r="CV344" s="478"/>
      <c r="CW344" s="478"/>
      <c r="CX344" s="478"/>
      <c r="CY344" s="478"/>
      <c r="CZ344" s="478"/>
      <c r="DA344" s="478"/>
      <c r="DB344" s="478"/>
      <c r="DC344" s="478"/>
      <c r="DD344" s="478"/>
      <c r="DE344" s="478"/>
      <c r="DF344" s="478"/>
      <c r="DG344" s="478"/>
      <c r="DH344" s="478"/>
      <c r="DI344" s="478"/>
    </row>
    <row r="345" spans="1:113" ht="16.05" hidden="1" customHeight="1" outlineLevel="1" x14ac:dyDescent="0.3">
      <c r="A345" s="455" t="str">
        <f t="shared" si="1319"/>
        <v/>
      </c>
      <c r="B345" s="455"/>
      <c r="C345" s="481"/>
      <c r="D345" s="463" t="s">
        <v>963</v>
      </c>
      <c r="E345" s="482"/>
      <c r="F345" s="483"/>
      <c r="G345" s="484"/>
      <c r="H345" s="485"/>
      <c r="I345" s="466">
        <f t="shared" si="1395"/>
        <v>0</v>
      </c>
      <c r="J345" s="259"/>
      <c r="K345" s="478">
        <f t="shared" ref="K345:K363" si="1396">SUM(N345:BI345)</f>
        <v>0</v>
      </c>
      <c r="L345" s="466">
        <f t="shared" ref="L345:L363" si="1397">K345*$H345</f>
        <v>0</v>
      </c>
      <c r="M345" s="257"/>
      <c r="N345" s="478"/>
      <c r="O345" s="478"/>
      <c r="P345" s="478"/>
      <c r="Q345" s="478"/>
      <c r="R345" s="478"/>
      <c r="S345" s="478"/>
      <c r="T345" s="478"/>
      <c r="U345" s="478"/>
      <c r="V345" s="478"/>
      <c r="W345" s="478"/>
      <c r="X345" s="478"/>
      <c r="Y345" s="478"/>
      <c r="Z345" s="478"/>
      <c r="AA345" s="478"/>
      <c r="AB345" s="478"/>
      <c r="AC345" s="478"/>
      <c r="AD345" s="478"/>
      <c r="AE345" s="478"/>
      <c r="AF345" s="478"/>
      <c r="AG345" s="478"/>
      <c r="AH345" s="478"/>
      <c r="AI345" s="478"/>
      <c r="AJ345" s="478"/>
      <c r="AK345" s="478"/>
      <c r="AL345" s="478"/>
      <c r="AM345" s="478"/>
      <c r="AN345" s="478"/>
      <c r="AO345" s="478"/>
      <c r="AP345" s="478"/>
      <c r="AQ345" s="478"/>
      <c r="AR345" s="478"/>
      <c r="AS345" s="478"/>
      <c r="AT345" s="478"/>
      <c r="AU345" s="478"/>
      <c r="AV345" s="478"/>
      <c r="AW345" s="478"/>
      <c r="AX345" s="478"/>
      <c r="AY345" s="478"/>
      <c r="AZ345" s="478"/>
      <c r="BA345" s="478"/>
      <c r="BB345" s="478"/>
      <c r="BC345" s="478"/>
      <c r="BD345" s="478"/>
      <c r="BE345" s="478"/>
      <c r="BF345" s="478"/>
      <c r="BG345" s="478"/>
      <c r="BH345" s="478"/>
      <c r="BI345" s="478"/>
      <c r="BJ345" s="245"/>
      <c r="BK345" s="477">
        <f t="shared" ref="BK345:BK363" si="1398">IFERROR(BL345/I345,0)</f>
        <v>0</v>
      </c>
      <c r="BL345" s="466">
        <f t="shared" ref="BL345:BL363" si="1399">SUM(BN345:DJ345)*$H345</f>
        <v>0</v>
      </c>
      <c r="BM345" s="257"/>
      <c r="BN345" s="478"/>
      <c r="BO345" s="478"/>
      <c r="BP345" s="478"/>
      <c r="BQ345" s="478"/>
      <c r="BR345" s="478"/>
      <c r="BS345" s="478"/>
      <c r="BT345" s="478"/>
      <c r="BU345" s="478"/>
      <c r="BV345" s="478"/>
      <c r="BW345" s="478"/>
      <c r="BX345" s="478"/>
      <c r="BY345" s="478"/>
      <c r="BZ345" s="478"/>
      <c r="CA345" s="478"/>
      <c r="CB345" s="478"/>
      <c r="CC345" s="478"/>
      <c r="CD345" s="478"/>
      <c r="CE345" s="478"/>
      <c r="CF345" s="478"/>
      <c r="CG345" s="478"/>
      <c r="CH345" s="478"/>
      <c r="CI345" s="478"/>
      <c r="CJ345" s="478"/>
      <c r="CK345" s="478"/>
      <c r="CL345" s="478"/>
      <c r="CM345" s="478"/>
      <c r="CN345" s="478"/>
      <c r="CO345" s="478"/>
      <c r="CP345" s="478"/>
      <c r="CQ345" s="478"/>
      <c r="CR345" s="478"/>
      <c r="CS345" s="478"/>
      <c r="CT345" s="478"/>
      <c r="CU345" s="478"/>
      <c r="CV345" s="478"/>
      <c r="CW345" s="478"/>
      <c r="CX345" s="478"/>
      <c r="CY345" s="478"/>
      <c r="CZ345" s="478"/>
      <c r="DA345" s="478"/>
      <c r="DB345" s="478"/>
      <c r="DC345" s="478"/>
      <c r="DD345" s="478"/>
      <c r="DE345" s="478"/>
      <c r="DF345" s="478"/>
      <c r="DG345" s="478"/>
      <c r="DH345" s="478"/>
      <c r="DI345" s="478"/>
    </row>
    <row r="346" spans="1:113" ht="16.05" hidden="1" customHeight="1" outlineLevel="1" x14ac:dyDescent="0.3">
      <c r="A346" s="455" t="str">
        <f t="shared" si="1319"/>
        <v/>
      </c>
      <c r="B346" s="455"/>
      <c r="C346" s="481"/>
      <c r="D346" s="463" t="s">
        <v>964</v>
      </c>
      <c r="E346" s="482"/>
      <c r="F346" s="483"/>
      <c r="G346" s="484"/>
      <c r="H346" s="485"/>
      <c r="I346" s="466">
        <f t="shared" si="1395"/>
        <v>0</v>
      </c>
      <c r="J346" s="259"/>
      <c r="K346" s="478">
        <f t="shared" si="1396"/>
        <v>0</v>
      </c>
      <c r="L346" s="466">
        <f t="shared" si="1397"/>
        <v>0</v>
      </c>
      <c r="M346" s="257"/>
      <c r="N346" s="478"/>
      <c r="O346" s="478"/>
      <c r="P346" s="478"/>
      <c r="Q346" s="478"/>
      <c r="R346" s="478"/>
      <c r="S346" s="478"/>
      <c r="T346" s="478"/>
      <c r="U346" s="478"/>
      <c r="V346" s="478"/>
      <c r="W346" s="478"/>
      <c r="X346" s="478"/>
      <c r="Y346" s="478"/>
      <c r="Z346" s="478"/>
      <c r="AA346" s="478"/>
      <c r="AB346" s="478"/>
      <c r="AC346" s="478"/>
      <c r="AD346" s="478"/>
      <c r="AE346" s="478"/>
      <c r="AF346" s="478"/>
      <c r="AG346" s="478"/>
      <c r="AH346" s="478"/>
      <c r="AI346" s="478"/>
      <c r="AJ346" s="478"/>
      <c r="AK346" s="478"/>
      <c r="AL346" s="478"/>
      <c r="AM346" s="478"/>
      <c r="AN346" s="478"/>
      <c r="AO346" s="478"/>
      <c r="AP346" s="478"/>
      <c r="AQ346" s="478"/>
      <c r="AR346" s="478"/>
      <c r="AS346" s="478"/>
      <c r="AT346" s="478"/>
      <c r="AU346" s="478"/>
      <c r="AV346" s="478"/>
      <c r="AW346" s="478"/>
      <c r="AX346" s="478"/>
      <c r="AY346" s="478"/>
      <c r="AZ346" s="478"/>
      <c r="BA346" s="478"/>
      <c r="BB346" s="478"/>
      <c r="BC346" s="478"/>
      <c r="BD346" s="478"/>
      <c r="BE346" s="478"/>
      <c r="BF346" s="478"/>
      <c r="BG346" s="478"/>
      <c r="BH346" s="478"/>
      <c r="BI346" s="478"/>
      <c r="BJ346" s="245"/>
      <c r="BK346" s="477">
        <f t="shared" si="1398"/>
        <v>0</v>
      </c>
      <c r="BL346" s="466">
        <f t="shared" si="1399"/>
        <v>0</v>
      </c>
      <c r="BM346" s="257"/>
      <c r="BN346" s="478"/>
      <c r="BO346" s="478"/>
      <c r="BP346" s="478"/>
      <c r="BQ346" s="478"/>
      <c r="BR346" s="478"/>
      <c r="BS346" s="478"/>
      <c r="BT346" s="478"/>
      <c r="BU346" s="478"/>
      <c r="BV346" s="478"/>
      <c r="BW346" s="478"/>
      <c r="BX346" s="478"/>
      <c r="BY346" s="478"/>
      <c r="BZ346" s="478"/>
      <c r="CA346" s="478"/>
      <c r="CB346" s="478"/>
      <c r="CC346" s="478"/>
      <c r="CD346" s="478"/>
      <c r="CE346" s="478"/>
      <c r="CF346" s="478"/>
      <c r="CG346" s="478"/>
      <c r="CH346" s="478"/>
      <c r="CI346" s="478"/>
      <c r="CJ346" s="478"/>
      <c r="CK346" s="478"/>
      <c r="CL346" s="478"/>
      <c r="CM346" s="478"/>
      <c r="CN346" s="478"/>
      <c r="CO346" s="478"/>
      <c r="CP346" s="478"/>
      <c r="CQ346" s="478"/>
      <c r="CR346" s="478"/>
      <c r="CS346" s="478"/>
      <c r="CT346" s="478"/>
      <c r="CU346" s="478"/>
      <c r="CV346" s="478"/>
      <c r="CW346" s="478"/>
      <c r="CX346" s="478"/>
      <c r="CY346" s="478"/>
      <c r="CZ346" s="478"/>
      <c r="DA346" s="478"/>
      <c r="DB346" s="478"/>
      <c r="DC346" s="478"/>
      <c r="DD346" s="478"/>
      <c r="DE346" s="478"/>
      <c r="DF346" s="478"/>
      <c r="DG346" s="478"/>
      <c r="DH346" s="478"/>
      <c r="DI346" s="478"/>
    </row>
    <row r="347" spans="1:113" ht="16.05" hidden="1" customHeight="1" outlineLevel="1" x14ac:dyDescent="0.3">
      <c r="A347" s="455" t="str">
        <f t="shared" si="1319"/>
        <v/>
      </c>
      <c r="B347" s="455"/>
      <c r="C347" s="481"/>
      <c r="D347" s="463" t="s">
        <v>965</v>
      </c>
      <c r="E347" s="482"/>
      <c r="F347" s="483"/>
      <c r="G347" s="484"/>
      <c r="H347" s="485"/>
      <c r="I347" s="466">
        <f t="shared" si="1395"/>
        <v>0</v>
      </c>
      <c r="J347" s="259"/>
      <c r="K347" s="478">
        <f t="shared" si="1396"/>
        <v>0</v>
      </c>
      <c r="L347" s="466">
        <f t="shared" si="1397"/>
        <v>0</v>
      </c>
      <c r="M347" s="257"/>
      <c r="N347" s="478"/>
      <c r="O347" s="478"/>
      <c r="P347" s="478"/>
      <c r="Q347" s="478"/>
      <c r="R347" s="478"/>
      <c r="S347" s="478"/>
      <c r="T347" s="478"/>
      <c r="U347" s="478"/>
      <c r="V347" s="478"/>
      <c r="W347" s="478"/>
      <c r="X347" s="478"/>
      <c r="Y347" s="478"/>
      <c r="Z347" s="478"/>
      <c r="AA347" s="478"/>
      <c r="AB347" s="478"/>
      <c r="AC347" s="478"/>
      <c r="AD347" s="478"/>
      <c r="AE347" s="478"/>
      <c r="AF347" s="478"/>
      <c r="AG347" s="478"/>
      <c r="AH347" s="478"/>
      <c r="AI347" s="478"/>
      <c r="AJ347" s="478"/>
      <c r="AK347" s="478"/>
      <c r="AL347" s="478"/>
      <c r="AM347" s="478"/>
      <c r="AN347" s="478"/>
      <c r="AO347" s="478"/>
      <c r="AP347" s="478"/>
      <c r="AQ347" s="478"/>
      <c r="AR347" s="478"/>
      <c r="AS347" s="478"/>
      <c r="AT347" s="478"/>
      <c r="AU347" s="478"/>
      <c r="AV347" s="478"/>
      <c r="AW347" s="478"/>
      <c r="AX347" s="478"/>
      <c r="AY347" s="478"/>
      <c r="AZ347" s="478"/>
      <c r="BA347" s="478"/>
      <c r="BB347" s="478"/>
      <c r="BC347" s="478"/>
      <c r="BD347" s="478"/>
      <c r="BE347" s="478"/>
      <c r="BF347" s="478"/>
      <c r="BG347" s="478"/>
      <c r="BH347" s="478"/>
      <c r="BI347" s="478"/>
      <c r="BJ347" s="245"/>
      <c r="BK347" s="477">
        <f t="shared" si="1398"/>
        <v>0</v>
      </c>
      <c r="BL347" s="466">
        <f t="shared" si="1399"/>
        <v>0</v>
      </c>
      <c r="BM347" s="257"/>
      <c r="BN347" s="478"/>
      <c r="BO347" s="478"/>
      <c r="BP347" s="478"/>
      <c r="BQ347" s="478"/>
      <c r="BR347" s="478"/>
      <c r="BS347" s="478"/>
      <c r="BT347" s="478"/>
      <c r="BU347" s="478"/>
      <c r="BV347" s="478"/>
      <c r="BW347" s="478"/>
      <c r="BX347" s="478"/>
      <c r="BY347" s="478"/>
      <c r="BZ347" s="478"/>
      <c r="CA347" s="478"/>
      <c r="CB347" s="478"/>
      <c r="CC347" s="478"/>
      <c r="CD347" s="478"/>
      <c r="CE347" s="478"/>
      <c r="CF347" s="478"/>
      <c r="CG347" s="478"/>
      <c r="CH347" s="478"/>
      <c r="CI347" s="478"/>
      <c r="CJ347" s="478"/>
      <c r="CK347" s="478"/>
      <c r="CL347" s="478"/>
      <c r="CM347" s="478"/>
      <c r="CN347" s="478"/>
      <c r="CO347" s="478"/>
      <c r="CP347" s="478"/>
      <c r="CQ347" s="478"/>
      <c r="CR347" s="478"/>
      <c r="CS347" s="478"/>
      <c r="CT347" s="478"/>
      <c r="CU347" s="478"/>
      <c r="CV347" s="478"/>
      <c r="CW347" s="478"/>
      <c r="CX347" s="478"/>
      <c r="CY347" s="478"/>
      <c r="CZ347" s="478"/>
      <c r="DA347" s="478"/>
      <c r="DB347" s="478"/>
      <c r="DC347" s="478"/>
      <c r="DD347" s="478"/>
      <c r="DE347" s="478"/>
      <c r="DF347" s="478"/>
      <c r="DG347" s="478"/>
      <c r="DH347" s="478"/>
      <c r="DI347" s="478"/>
    </row>
    <row r="348" spans="1:113" ht="16.05" hidden="1" customHeight="1" outlineLevel="1" x14ac:dyDescent="0.3">
      <c r="A348" s="455" t="str">
        <f t="shared" si="1319"/>
        <v/>
      </c>
      <c r="B348" s="455"/>
      <c r="C348" s="481"/>
      <c r="D348" s="463" t="s">
        <v>966</v>
      </c>
      <c r="E348" s="482"/>
      <c r="F348" s="483"/>
      <c r="G348" s="484"/>
      <c r="H348" s="485"/>
      <c r="I348" s="466">
        <f t="shared" si="1395"/>
        <v>0</v>
      </c>
      <c r="J348" s="259"/>
      <c r="K348" s="478">
        <f t="shared" si="1396"/>
        <v>0</v>
      </c>
      <c r="L348" s="466">
        <f t="shared" si="1397"/>
        <v>0</v>
      </c>
      <c r="M348" s="257"/>
      <c r="N348" s="478"/>
      <c r="O348" s="478"/>
      <c r="P348" s="478"/>
      <c r="Q348" s="478"/>
      <c r="R348" s="478"/>
      <c r="S348" s="478"/>
      <c r="T348" s="478"/>
      <c r="U348" s="478"/>
      <c r="V348" s="478"/>
      <c r="W348" s="478"/>
      <c r="X348" s="478"/>
      <c r="Y348" s="478"/>
      <c r="Z348" s="478"/>
      <c r="AA348" s="478"/>
      <c r="AB348" s="478"/>
      <c r="AC348" s="478"/>
      <c r="AD348" s="478"/>
      <c r="AE348" s="478"/>
      <c r="AF348" s="478"/>
      <c r="AG348" s="478"/>
      <c r="AH348" s="478"/>
      <c r="AI348" s="478"/>
      <c r="AJ348" s="478"/>
      <c r="AK348" s="478"/>
      <c r="AL348" s="478"/>
      <c r="AM348" s="478"/>
      <c r="AN348" s="478"/>
      <c r="AO348" s="478"/>
      <c r="AP348" s="478"/>
      <c r="AQ348" s="478"/>
      <c r="AR348" s="478"/>
      <c r="AS348" s="478"/>
      <c r="AT348" s="478"/>
      <c r="AU348" s="478"/>
      <c r="AV348" s="478"/>
      <c r="AW348" s="478"/>
      <c r="AX348" s="478"/>
      <c r="AY348" s="478"/>
      <c r="AZ348" s="478"/>
      <c r="BA348" s="478"/>
      <c r="BB348" s="478"/>
      <c r="BC348" s="478"/>
      <c r="BD348" s="478"/>
      <c r="BE348" s="478"/>
      <c r="BF348" s="478"/>
      <c r="BG348" s="478"/>
      <c r="BH348" s="478"/>
      <c r="BI348" s="478"/>
      <c r="BJ348" s="245"/>
      <c r="BK348" s="477">
        <f t="shared" si="1398"/>
        <v>0</v>
      </c>
      <c r="BL348" s="466">
        <f t="shared" si="1399"/>
        <v>0</v>
      </c>
      <c r="BM348" s="257"/>
      <c r="BN348" s="478"/>
      <c r="BO348" s="478"/>
      <c r="BP348" s="478"/>
      <c r="BQ348" s="478"/>
      <c r="BR348" s="478"/>
      <c r="BS348" s="478"/>
      <c r="BT348" s="478"/>
      <c r="BU348" s="478"/>
      <c r="BV348" s="478"/>
      <c r="BW348" s="478"/>
      <c r="BX348" s="478"/>
      <c r="BY348" s="478"/>
      <c r="BZ348" s="478"/>
      <c r="CA348" s="478"/>
      <c r="CB348" s="478"/>
      <c r="CC348" s="478"/>
      <c r="CD348" s="478"/>
      <c r="CE348" s="478"/>
      <c r="CF348" s="478"/>
      <c r="CG348" s="478"/>
      <c r="CH348" s="478"/>
      <c r="CI348" s="478"/>
      <c r="CJ348" s="478"/>
      <c r="CK348" s="478"/>
      <c r="CL348" s="478"/>
      <c r="CM348" s="478"/>
      <c r="CN348" s="478"/>
      <c r="CO348" s="478"/>
      <c r="CP348" s="478"/>
      <c r="CQ348" s="478"/>
      <c r="CR348" s="478"/>
      <c r="CS348" s="478"/>
      <c r="CT348" s="478"/>
      <c r="CU348" s="478"/>
      <c r="CV348" s="478"/>
      <c r="CW348" s="478"/>
      <c r="CX348" s="478"/>
      <c r="CY348" s="478"/>
      <c r="CZ348" s="478"/>
      <c r="DA348" s="478"/>
      <c r="DB348" s="478"/>
      <c r="DC348" s="478"/>
      <c r="DD348" s="478"/>
      <c r="DE348" s="478"/>
      <c r="DF348" s="478"/>
      <c r="DG348" s="478"/>
      <c r="DH348" s="478"/>
      <c r="DI348" s="478"/>
    </row>
    <row r="349" spans="1:113" ht="16.05" hidden="1" customHeight="1" outlineLevel="1" x14ac:dyDescent="0.3">
      <c r="A349" s="455" t="str">
        <f t="shared" si="1319"/>
        <v/>
      </c>
      <c r="B349" s="455"/>
      <c r="C349" s="481"/>
      <c r="D349" s="463" t="s">
        <v>967</v>
      </c>
      <c r="E349" s="482"/>
      <c r="F349" s="483"/>
      <c r="G349" s="484"/>
      <c r="H349" s="485"/>
      <c r="I349" s="466">
        <f t="shared" si="1395"/>
        <v>0</v>
      </c>
      <c r="J349" s="259"/>
      <c r="K349" s="478">
        <f t="shared" si="1396"/>
        <v>0</v>
      </c>
      <c r="L349" s="466">
        <f t="shared" si="1397"/>
        <v>0</v>
      </c>
      <c r="M349" s="257"/>
      <c r="N349" s="478"/>
      <c r="O349" s="478"/>
      <c r="P349" s="478"/>
      <c r="Q349" s="478"/>
      <c r="R349" s="478"/>
      <c r="S349" s="478"/>
      <c r="T349" s="478"/>
      <c r="U349" s="478"/>
      <c r="V349" s="478"/>
      <c r="W349" s="478"/>
      <c r="X349" s="478"/>
      <c r="Y349" s="478"/>
      <c r="Z349" s="478"/>
      <c r="AA349" s="478"/>
      <c r="AB349" s="478"/>
      <c r="AC349" s="478"/>
      <c r="AD349" s="478"/>
      <c r="AE349" s="478"/>
      <c r="AF349" s="478"/>
      <c r="AG349" s="478"/>
      <c r="AH349" s="478"/>
      <c r="AI349" s="478"/>
      <c r="AJ349" s="478"/>
      <c r="AK349" s="478"/>
      <c r="AL349" s="478"/>
      <c r="AM349" s="478"/>
      <c r="AN349" s="478"/>
      <c r="AO349" s="478"/>
      <c r="AP349" s="478"/>
      <c r="AQ349" s="478"/>
      <c r="AR349" s="478"/>
      <c r="AS349" s="478"/>
      <c r="AT349" s="478"/>
      <c r="AU349" s="478"/>
      <c r="AV349" s="478"/>
      <c r="AW349" s="478"/>
      <c r="AX349" s="478"/>
      <c r="AY349" s="478"/>
      <c r="AZ349" s="478"/>
      <c r="BA349" s="478"/>
      <c r="BB349" s="478"/>
      <c r="BC349" s="478"/>
      <c r="BD349" s="478"/>
      <c r="BE349" s="478"/>
      <c r="BF349" s="478"/>
      <c r="BG349" s="478"/>
      <c r="BH349" s="478"/>
      <c r="BI349" s="478"/>
      <c r="BJ349" s="245"/>
      <c r="BK349" s="477">
        <f t="shared" si="1398"/>
        <v>0</v>
      </c>
      <c r="BL349" s="466">
        <f t="shared" si="1399"/>
        <v>0</v>
      </c>
      <c r="BM349" s="257"/>
      <c r="BN349" s="478"/>
      <c r="BO349" s="478"/>
      <c r="BP349" s="478"/>
      <c r="BQ349" s="478"/>
      <c r="BR349" s="478"/>
      <c r="BS349" s="478"/>
      <c r="BT349" s="478"/>
      <c r="BU349" s="478"/>
      <c r="BV349" s="478"/>
      <c r="BW349" s="478"/>
      <c r="BX349" s="478"/>
      <c r="BY349" s="478"/>
      <c r="BZ349" s="478"/>
      <c r="CA349" s="478"/>
      <c r="CB349" s="478"/>
      <c r="CC349" s="478"/>
      <c r="CD349" s="478"/>
      <c r="CE349" s="478"/>
      <c r="CF349" s="478"/>
      <c r="CG349" s="478"/>
      <c r="CH349" s="478"/>
      <c r="CI349" s="478"/>
      <c r="CJ349" s="478"/>
      <c r="CK349" s="478"/>
      <c r="CL349" s="478"/>
      <c r="CM349" s="478"/>
      <c r="CN349" s="478"/>
      <c r="CO349" s="478"/>
      <c r="CP349" s="478"/>
      <c r="CQ349" s="478"/>
      <c r="CR349" s="478"/>
      <c r="CS349" s="478"/>
      <c r="CT349" s="478"/>
      <c r="CU349" s="478"/>
      <c r="CV349" s="478"/>
      <c r="CW349" s="478"/>
      <c r="CX349" s="478"/>
      <c r="CY349" s="478"/>
      <c r="CZ349" s="478"/>
      <c r="DA349" s="478"/>
      <c r="DB349" s="478"/>
      <c r="DC349" s="478"/>
      <c r="DD349" s="478"/>
      <c r="DE349" s="478"/>
      <c r="DF349" s="478"/>
      <c r="DG349" s="478"/>
      <c r="DH349" s="478"/>
      <c r="DI349" s="478"/>
    </row>
    <row r="350" spans="1:113" ht="16.05" hidden="1" customHeight="1" outlineLevel="1" x14ac:dyDescent="0.3">
      <c r="A350" s="455" t="str">
        <f t="shared" si="1319"/>
        <v/>
      </c>
      <c r="B350" s="455"/>
      <c r="C350" s="481"/>
      <c r="D350" s="463" t="s">
        <v>968</v>
      </c>
      <c r="E350" s="482"/>
      <c r="F350" s="483"/>
      <c r="G350" s="484"/>
      <c r="H350" s="485"/>
      <c r="I350" s="466">
        <f t="shared" si="1395"/>
        <v>0</v>
      </c>
      <c r="J350" s="259"/>
      <c r="K350" s="478">
        <f t="shared" si="1396"/>
        <v>0</v>
      </c>
      <c r="L350" s="466">
        <f t="shared" si="1397"/>
        <v>0</v>
      </c>
      <c r="M350" s="257"/>
      <c r="N350" s="478"/>
      <c r="O350" s="478"/>
      <c r="P350" s="478"/>
      <c r="Q350" s="478"/>
      <c r="R350" s="478"/>
      <c r="S350" s="478"/>
      <c r="T350" s="478"/>
      <c r="U350" s="478"/>
      <c r="V350" s="478"/>
      <c r="W350" s="478"/>
      <c r="X350" s="478"/>
      <c r="Y350" s="478"/>
      <c r="Z350" s="478"/>
      <c r="AA350" s="478"/>
      <c r="AB350" s="478"/>
      <c r="AC350" s="478"/>
      <c r="AD350" s="478"/>
      <c r="AE350" s="478"/>
      <c r="AF350" s="478"/>
      <c r="AG350" s="478"/>
      <c r="AH350" s="478"/>
      <c r="AI350" s="478"/>
      <c r="AJ350" s="478"/>
      <c r="AK350" s="478"/>
      <c r="AL350" s="478"/>
      <c r="AM350" s="478"/>
      <c r="AN350" s="478"/>
      <c r="AO350" s="478"/>
      <c r="AP350" s="478"/>
      <c r="AQ350" s="478"/>
      <c r="AR350" s="478"/>
      <c r="AS350" s="478"/>
      <c r="AT350" s="478"/>
      <c r="AU350" s="478"/>
      <c r="AV350" s="478"/>
      <c r="AW350" s="478"/>
      <c r="AX350" s="478"/>
      <c r="AY350" s="478"/>
      <c r="AZ350" s="478"/>
      <c r="BA350" s="478"/>
      <c r="BB350" s="478"/>
      <c r="BC350" s="478"/>
      <c r="BD350" s="478"/>
      <c r="BE350" s="478"/>
      <c r="BF350" s="478"/>
      <c r="BG350" s="478"/>
      <c r="BH350" s="478"/>
      <c r="BI350" s="478"/>
      <c r="BJ350" s="245"/>
      <c r="BK350" s="477">
        <f t="shared" si="1398"/>
        <v>0</v>
      </c>
      <c r="BL350" s="466">
        <f t="shared" si="1399"/>
        <v>0</v>
      </c>
      <c r="BM350" s="257"/>
      <c r="BN350" s="478"/>
      <c r="BO350" s="478"/>
      <c r="BP350" s="478"/>
      <c r="BQ350" s="478"/>
      <c r="BR350" s="478"/>
      <c r="BS350" s="478"/>
      <c r="BT350" s="478"/>
      <c r="BU350" s="478"/>
      <c r="BV350" s="478"/>
      <c r="BW350" s="478"/>
      <c r="BX350" s="478"/>
      <c r="BY350" s="478"/>
      <c r="BZ350" s="478"/>
      <c r="CA350" s="478"/>
      <c r="CB350" s="478"/>
      <c r="CC350" s="478"/>
      <c r="CD350" s="478"/>
      <c r="CE350" s="478"/>
      <c r="CF350" s="478"/>
      <c r="CG350" s="478"/>
      <c r="CH350" s="478"/>
      <c r="CI350" s="478"/>
      <c r="CJ350" s="478"/>
      <c r="CK350" s="478"/>
      <c r="CL350" s="478"/>
      <c r="CM350" s="478"/>
      <c r="CN350" s="478"/>
      <c r="CO350" s="478"/>
      <c r="CP350" s="478"/>
      <c r="CQ350" s="478"/>
      <c r="CR350" s="478"/>
      <c r="CS350" s="478"/>
      <c r="CT350" s="478"/>
      <c r="CU350" s="478"/>
      <c r="CV350" s="478"/>
      <c r="CW350" s="478"/>
      <c r="CX350" s="478"/>
      <c r="CY350" s="478"/>
      <c r="CZ350" s="478"/>
      <c r="DA350" s="478"/>
      <c r="DB350" s="478"/>
      <c r="DC350" s="478"/>
      <c r="DD350" s="478"/>
      <c r="DE350" s="478"/>
      <c r="DF350" s="478"/>
      <c r="DG350" s="478"/>
      <c r="DH350" s="478"/>
      <c r="DI350" s="478"/>
    </row>
    <row r="351" spans="1:113" ht="16.05" hidden="1" customHeight="1" outlineLevel="1" x14ac:dyDescent="0.3">
      <c r="A351" s="455" t="str">
        <f t="shared" si="1319"/>
        <v/>
      </c>
      <c r="B351" s="455"/>
      <c r="C351" s="481"/>
      <c r="D351" s="463" t="s">
        <v>969</v>
      </c>
      <c r="E351" s="482"/>
      <c r="F351" s="483"/>
      <c r="G351" s="484"/>
      <c r="H351" s="485"/>
      <c r="I351" s="466">
        <f t="shared" si="1395"/>
        <v>0</v>
      </c>
      <c r="J351" s="259"/>
      <c r="K351" s="478">
        <f t="shared" si="1396"/>
        <v>0</v>
      </c>
      <c r="L351" s="466">
        <f t="shared" si="1397"/>
        <v>0</v>
      </c>
      <c r="M351" s="257"/>
      <c r="N351" s="478"/>
      <c r="O351" s="478"/>
      <c r="P351" s="478"/>
      <c r="Q351" s="478"/>
      <c r="R351" s="478"/>
      <c r="S351" s="478"/>
      <c r="T351" s="478"/>
      <c r="U351" s="478"/>
      <c r="V351" s="478"/>
      <c r="W351" s="478"/>
      <c r="X351" s="478"/>
      <c r="Y351" s="478"/>
      <c r="Z351" s="478"/>
      <c r="AA351" s="478"/>
      <c r="AB351" s="478"/>
      <c r="AC351" s="478"/>
      <c r="AD351" s="478"/>
      <c r="AE351" s="478"/>
      <c r="AF351" s="478"/>
      <c r="AG351" s="478"/>
      <c r="AH351" s="478"/>
      <c r="AI351" s="478"/>
      <c r="AJ351" s="478"/>
      <c r="AK351" s="478"/>
      <c r="AL351" s="478"/>
      <c r="AM351" s="478"/>
      <c r="AN351" s="478"/>
      <c r="AO351" s="478"/>
      <c r="AP351" s="478"/>
      <c r="AQ351" s="478"/>
      <c r="AR351" s="478"/>
      <c r="AS351" s="478"/>
      <c r="AT351" s="478"/>
      <c r="AU351" s="478"/>
      <c r="AV351" s="478"/>
      <c r="AW351" s="478"/>
      <c r="AX351" s="478"/>
      <c r="AY351" s="478"/>
      <c r="AZ351" s="478"/>
      <c r="BA351" s="478"/>
      <c r="BB351" s="478"/>
      <c r="BC351" s="478"/>
      <c r="BD351" s="478"/>
      <c r="BE351" s="478"/>
      <c r="BF351" s="478"/>
      <c r="BG351" s="478"/>
      <c r="BH351" s="478"/>
      <c r="BI351" s="478"/>
      <c r="BJ351" s="245"/>
      <c r="BK351" s="477">
        <f t="shared" si="1398"/>
        <v>0</v>
      </c>
      <c r="BL351" s="466">
        <f t="shared" si="1399"/>
        <v>0</v>
      </c>
      <c r="BM351" s="257"/>
      <c r="BN351" s="478"/>
      <c r="BO351" s="478"/>
      <c r="BP351" s="478"/>
      <c r="BQ351" s="478"/>
      <c r="BR351" s="478"/>
      <c r="BS351" s="478"/>
      <c r="BT351" s="478"/>
      <c r="BU351" s="478"/>
      <c r="BV351" s="478"/>
      <c r="BW351" s="478"/>
      <c r="BX351" s="478"/>
      <c r="BY351" s="478"/>
      <c r="BZ351" s="478"/>
      <c r="CA351" s="478"/>
      <c r="CB351" s="478"/>
      <c r="CC351" s="478"/>
      <c r="CD351" s="478"/>
      <c r="CE351" s="478"/>
      <c r="CF351" s="478"/>
      <c r="CG351" s="478"/>
      <c r="CH351" s="478"/>
      <c r="CI351" s="478"/>
      <c r="CJ351" s="478"/>
      <c r="CK351" s="478"/>
      <c r="CL351" s="478"/>
      <c r="CM351" s="478"/>
      <c r="CN351" s="478"/>
      <c r="CO351" s="478"/>
      <c r="CP351" s="478"/>
      <c r="CQ351" s="478"/>
      <c r="CR351" s="478"/>
      <c r="CS351" s="478"/>
      <c r="CT351" s="478"/>
      <c r="CU351" s="478"/>
      <c r="CV351" s="478"/>
      <c r="CW351" s="478"/>
      <c r="CX351" s="478"/>
      <c r="CY351" s="478"/>
      <c r="CZ351" s="478"/>
      <c r="DA351" s="478"/>
      <c r="DB351" s="478"/>
      <c r="DC351" s="478"/>
      <c r="DD351" s="478"/>
      <c r="DE351" s="478"/>
      <c r="DF351" s="478"/>
      <c r="DG351" s="478"/>
      <c r="DH351" s="478"/>
      <c r="DI351" s="478"/>
    </row>
    <row r="352" spans="1:113" ht="16.05" hidden="1" customHeight="1" outlineLevel="1" x14ac:dyDescent="0.3">
      <c r="A352" s="455" t="str">
        <f t="shared" si="1319"/>
        <v/>
      </c>
      <c r="B352" s="455"/>
      <c r="C352" s="481"/>
      <c r="D352" s="463" t="s">
        <v>970</v>
      </c>
      <c r="E352" s="482"/>
      <c r="F352" s="483"/>
      <c r="G352" s="484"/>
      <c r="H352" s="485"/>
      <c r="I352" s="466">
        <f t="shared" si="1395"/>
        <v>0</v>
      </c>
      <c r="J352" s="259"/>
      <c r="K352" s="478">
        <f t="shared" si="1396"/>
        <v>0</v>
      </c>
      <c r="L352" s="466">
        <f t="shared" si="1397"/>
        <v>0</v>
      </c>
      <c r="M352" s="257"/>
      <c r="N352" s="478"/>
      <c r="O352" s="478"/>
      <c r="P352" s="478"/>
      <c r="Q352" s="478"/>
      <c r="R352" s="478"/>
      <c r="S352" s="478"/>
      <c r="T352" s="478"/>
      <c r="U352" s="478"/>
      <c r="V352" s="478"/>
      <c r="W352" s="478"/>
      <c r="X352" s="478"/>
      <c r="Y352" s="478"/>
      <c r="Z352" s="478"/>
      <c r="AA352" s="478"/>
      <c r="AB352" s="478"/>
      <c r="AC352" s="478"/>
      <c r="AD352" s="478"/>
      <c r="AE352" s="478"/>
      <c r="AF352" s="478"/>
      <c r="AG352" s="478"/>
      <c r="AH352" s="478"/>
      <c r="AI352" s="478"/>
      <c r="AJ352" s="478"/>
      <c r="AK352" s="478"/>
      <c r="AL352" s="478"/>
      <c r="AM352" s="478"/>
      <c r="AN352" s="478"/>
      <c r="AO352" s="478"/>
      <c r="AP352" s="478"/>
      <c r="AQ352" s="478"/>
      <c r="AR352" s="478"/>
      <c r="AS352" s="478"/>
      <c r="AT352" s="478"/>
      <c r="AU352" s="478"/>
      <c r="AV352" s="478"/>
      <c r="AW352" s="478"/>
      <c r="AX352" s="478"/>
      <c r="AY352" s="478"/>
      <c r="AZ352" s="478"/>
      <c r="BA352" s="478"/>
      <c r="BB352" s="478"/>
      <c r="BC352" s="478"/>
      <c r="BD352" s="478"/>
      <c r="BE352" s="478"/>
      <c r="BF352" s="478"/>
      <c r="BG352" s="478"/>
      <c r="BH352" s="478"/>
      <c r="BI352" s="478"/>
      <c r="BJ352" s="245"/>
      <c r="BK352" s="477">
        <f t="shared" si="1398"/>
        <v>0</v>
      </c>
      <c r="BL352" s="466">
        <f t="shared" si="1399"/>
        <v>0</v>
      </c>
      <c r="BM352" s="257"/>
      <c r="BN352" s="478"/>
      <c r="BO352" s="478"/>
      <c r="BP352" s="478"/>
      <c r="BQ352" s="478"/>
      <c r="BR352" s="478"/>
      <c r="BS352" s="478"/>
      <c r="BT352" s="478"/>
      <c r="BU352" s="478"/>
      <c r="BV352" s="478"/>
      <c r="BW352" s="478"/>
      <c r="BX352" s="478"/>
      <c r="BY352" s="478"/>
      <c r="BZ352" s="478"/>
      <c r="CA352" s="478"/>
      <c r="CB352" s="478"/>
      <c r="CC352" s="478"/>
      <c r="CD352" s="478"/>
      <c r="CE352" s="478"/>
      <c r="CF352" s="478"/>
      <c r="CG352" s="478"/>
      <c r="CH352" s="478"/>
      <c r="CI352" s="478"/>
      <c r="CJ352" s="478"/>
      <c r="CK352" s="478"/>
      <c r="CL352" s="478"/>
      <c r="CM352" s="478"/>
      <c r="CN352" s="478"/>
      <c r="CO352" s="478"/>
      <c r="CP352" s="478"/>
      <c r="CQ352" s="478"/>
      <c r="CR352" s="478"/>
      <c r="CS352" s="478"/>
      <c r="CT352" s="478"/>
      <c r="CU352" s="478"/>
      <c r="CV352" s="478"/>
      <c r="CW352" s="478"/>
      <c r="CX352" s="478"/>
      <c r="CY352" s="478"/>
      <c r="CZ352" s="478"/>
      <c r="DA352" s="478"/>
      <c r="DB352" s="478"/>
      <c r="DC352" s="478"/>
      <c r="DD352" s="478"/>
      <c r="DE352" s="478"/>
      <c r="DF352" s="478"/>
      <c r="DG352" s="478"/>
      <c r="DH352" s="478"/>
      <c r="DI352" s="478"/>
    </row>
    <row r="353" spans="1:113" ht="16.05" hidden="1" customHeight="1" outlineLevel="1" x14ac:dyDescent="0.3">
      <c r="A353" s="455" t="str">
        <f t="shared" si="1319"/>
        <v/>
      </c>
      <c r="B353" s="455"/>
      <c r="C353" s="481"/>
      <c r="D353" s="463" t="s">
        <v>971</v>
      </c>
      <c r="E353" s="482"/>
      <c r="F353" s="483"/>
      <c r="G353" s="484"/>
      <c r="H353" s="485"/>
      <c r="I353" s="466">
        <f t="shared" si="1395"/>
        <v>0</v>
      </c>
      <c r="J353" s="259"/>
      <c r="K353" s="478">
        <f t="shared" si="1396"/>
        <v>0</v>
      </c>
      <c r="L353" s="466">
        <f t="shared" si="1397"/>
        <v>0</v>
      </c>
      <c r="M353" s="257"/>
      <c r="N353" s="478"/>
      <c r="O353" s="478"/>
      <c r="P353" s="478"/>
      <c r="Q353" s="478"/>
      <c r="R353" s="478"/>
      <c r="S353" s="478"/>
      <c r="T353" s="478"/>
      <c r="U353" s="478"/>
      <c r="V353" s="478"/>
      <c r="W353" s="478"/>
      <c r="X353" s="478"/>
      <c r="Y353" s="478"/>
      <c r="Z353" s="478"/>
      <c r="AA353" s="478"/>
      <c r="AB353" s="478"/>
      <c r="AC353" s="478"/>
      <c r="AD353" s="478"/>
      <c r="AE353" s="478"/>
      <c r="AF353" s="478"/>
      <c r="AG353" s="478"/>
      <c r="AH353" s="478"/>
      <c r="AI353" s="478"/>
      <c r="AJ353" s="478"/>
      <c r="AK353" s="478"/>
      <c r="AL353" s="478"/>
      <c r="AM353" s="478"/>
      <c r="AN353" s="478"/>
      <c r="AO353" s="478"/>
      <c r="AP353" s="478"/>
      <c r="AQ353" s="478"/>
      <c r="AR353" s="478"/>
      <c r="AS353" s="478"/>
      <c r="AT353" s="478"/>
      <c r="AU353" s="478"/>
      <c r="AV353" s="478"/>
      <c r="AW353" s="478"/>
      <c r="AX353" s="478"/>
      <c r="AY353" s="478"/>
      <c r="AZ353" s="478"/>
      <c r="BA353" s="478"/>
      <c r="BB353" s="478"/>
      <c r="BC353" s="478"/>
      <c r="BD353" s="478"/>
      <c r="BE353" s="478"/>
      <c r="BF353" s="478"/>
      <c r="BG353" s="478"/>
      <c r="BH353" s="478"/>
      <c r="BI353" s="478"/>
      <c r="BJ353" s="245"/>
      <c r="BK353" s="477">
        <f t="shared" si="1398"/>
        <v>0</v>
      </c>
      <c r="BL353" s="466">
        <f t="shared" si="1399"/>
        <v>0</v>
      </c>
      <c r="BM353" s="257"/>
      <c r="BN353" s="478"/>
      <c r="BO353" s="478"/>
      <c r="BP353" s="478"/>
      <c r="BQ353" s="478"/>
      <c r="BR353" s="478"/>
      <c r="BS353" s="478"/>
      <c r="BT353" s="478"/>
      <c r="BU353" s="478"/>
      <c r="BV353" s="478"/>
      <c r="BW353" s="478"/>
      <c r="BX353" s="478"/>
      <c r="BY353" s="478"/>
      <c r="BZ353" s="478"/>
      <c r="CA353" s="478"/>
      <c r="CB353" s="478"/>
      <c r="CC353" s="478"/>
      <c r="CD353" s="478"/>
      <c r="CE353" s="478"/>
      <c r="CF353" s="478"/>
      <c r="CG353" s="478"/>
      <c r="CH353" s="478"/>
      <c r="CI353" s="478"/>
      <c r="CJ353" s="478"/>
      <c r="CK353" s="478"/>
      <c r="CL353" s="478"/>
      <c r="CM353" s="478"/>
      <c r="CN353" s="478"/>
      <c r="CO353" s="478"/>
      <c r="CP353" s="478"/>
      <c r="CQ353" s="478"/>
      <c r="CR353" s="478"/>
      <c r="CS353" s="478"/>
      <c r="CT353" s="478"/>
      <c r="CU353" s="478"/>
      <c r="CV353" s="478"/>
      <c r="CW353" s="478"/>
      <c r="CX353" s="478"/>
      <c r="CY353" s="478"/>
      <c r="CZ353" s="478"/>
      <c r="DA353" s="478"/>
      <c r="DB353" s="478"/>
      <c r="DC353" s="478"/>
      <c r="DD353" s="478"/>
      <c r="DE353" s="478"/>
      <c r="DF353" s="478"/>
      <c r="DG353" s="478"/>
      <c r="DH353" s="478"/>
      <c r="DI353" s="478"/>
    </row>
    <row r="354" spans="1:113" ht="16.05" hidden="1" customHeight="1" outlineLevel="1" x14ac:dyDescent="0.3">
      <c r="A354" s="455" t="str">
        <f t="shared" si="1319"/>
        <v/>
      </c>
      <c r="B354" s="455"/>
      <c r="C354" s="481"/>
      <c r="D354" s="463" t="s">
        <v>972</v>
      </c>
      <c r="E354" s="482"/>
      <c r="F354" s="483"/>
      <c r="G354" s="484"/>
      <c r="H354" s="485"/>
      <c r="I354" s="466">
        <f t="shared" si="1395"/>
        <v>0</v>
      </c>
      <c r="J354" s="259"/>
      <c r="K354" s="478">
        <f t="shared" si="1396"/>
        <v>0</v>
      </c>
      <c r="L354" s="466">
        <f t="shared" si="1397"/>
        <v>0</v>
      </c>
      <c r="M354" s="257"/>
      <c r="N354" s="478"/>
      <c r="O354" s="478"/>
      <c r="P354" s="478"/>
      <c r="Q354" s="478"/>
      <c r="R354" s="478"/>
      <c r="S354" s="478"/>
      <c r="T354" s="478"/>
      <c r="U354" s="478"/>
      <c r="V354" s="478"/>
      <c r="W354" s="478"/>
      <c r="X354" s="478"/>
      <c r="Y354" s="478"/>
      <c r="Z354" s="478"/>
      <c r="AA354" s="478"/>
      <c r="AB354" s="478"/>
      <c r="AC354" s="478"/>
      <c r="AD354" s="478"/>
      <c r="AE354" s="478"/>
      <c r="AF354" s="478"/>
      <c r="AG354" s="478"/>
      <c r="AH354" s="478"/>
      <c r="AI354" s="478"/>
      <c r="AJ354" s="478"/>
      <c r="AK354" s="478"/>
      <c r="AL354" s="478"/>
      <c r="AM354" s="478"/>
      <c r="AN354" s="478"/>
      <c r="AO354" s="478"/>
      <c r="AP354" s="478"/>
      <c r="AQ354" s="478"/>
      <c r="AR354" s="478"/>
      <c r="AS354" s="478"/>
      <c r="AT354" s="478"/>
      <c r="AU354" s="478"/>
      <c r="AV354" s="478"/>
      <c r="AW354" s="478"/>
      <c r="AX354" s="478"/>
      <c r="AY354" s="478"/>
      <c r="AZ354" s="478"/>
      <c r="BA354" s="478"/>
      <c r="BB354" s="478"/>
      <c r="BC354" s="478"/>
      <c r="BD354" s="478"/>
      <c r="BE354" s="478"/>
      <c r="BF354" s="478"/>
      <c r="BG354" s="478"/>
      <c r="BH354" s="478"/>
      <c r="BI354" s="478"/>
      <c r="BJ354" s="245"/>
      <c r="BK354" s="477">
        <f t="shared" si="1398"/>
        <v>0</v>
      </c>
      <c r="BL354" s="466">
        <f t="shared" si="1399"/>
        <v>0</v>
      </c>
      <c r="BM354" s="257"/>
      <c r="BN354" s="478"/>
      <c r="BO354" s="478"/>
      <c r="BP354" s="478"/>
      <c r="BQ354" s="478"/>
      <c r="BR354" s="478"/>
      <c r="BS354" s="478"/>
      <c r="BT354" s="478"/>
      <c r="BU354" s="478"/>
      <c r="BV354" s="478"/>
      <c r="BW354" s="478"/>
      <c r="BX354" s="478"/>
      <c r="BY354" s="478"/>
      <c r="BZ354" s="478"/>
      <c r="CA354" s="478"/>
      <c r="CB354" s="478"/>
      <c r="CC354" s="478"/>
      <c r="CD354" s="478"/>
      <c r="CE354" s="478"/>
      <c r="CF354" s="478"/>
      <c r="CG354" s="478"/>
      <c r="CH354" s="478"/>
      <c r="CI354" s="478"/>
      <c r="CJ354" s="478"/>
      <c r="CK354" s="478"/>
      <c r="CL354" s="478"/>
      <c r="CM354" s="478"/>
      <c r="CN354" s="478"/>
      <c r="CO354" s="478"/>
      <c r="CP354" s="478"/>
      <c r="CQ354" s="478"/>
      <c r="CR354" s="478"/>
      <c r="CS354" s="478"/>
      <c r="CT354" s="478"/>
      <c r="CU354" s="478"/>
      <c r="CV354" s="478"/>
      <c r="CW354" s="478"/>
      <c r="CX354" s="478"/>
      <c r="CY354" s="478"/>
      <c r="CZ354" s="478"/>
      <c r="DA354" s="478"/>
      <c r="DB354" s="478"/>
      <c r="DC354" s="478"/>
      <c r="DD354" s="478"/>
      <c r="DE354" s="478"/>
      <c r="DF354" s="478"/>
      <c r="DG354" s="478"/>
      <c r="DH354" s="478"/>
      <c r="DI354" s="478"/>
    </row>
    <row r="355" spans="1:113" ht="16.05" hidden="1" customHeight="1" outlineLevel="1" x14ac:dyDescent="0.3">
      <c r="A355" s="455" t="str">
        <f t="shared" si="1319"/>
        <v/>
      </c>
      <c r="B355" s="455"/>
      <c r="C355" s="481"/>
      <c r="D355" s="463" t="s">
        <v>973</v>
      </c>
      <c r="E355" s="482"/>
      <c r="F355" s="483"/>
      <c r="G355" s="484"/>
      <c r="H355" s="485"/>
      <c r="I355" s="466">
        <f t="shared" si="1395"/>
        <v>0</v>
      </c>
      <c r="J355" s="259"/>
      <c r="K355" s="478">
        <f t="shared" si="1396"/>
        <v>0</v>
      </c>
      <c r="L355" s="466">
        <f t="shared" si="1397"/>
        <v>0</v>
      </c>
      <c r="M355" s="257"/>
      <c r="N355" s="478"/>
      <c r="O355" s="478"/>
      <c r="P355" s="478"/>
      <c r="Q355" s="478"/>
      <c r="R355" s="478"/>
      <c r="S355" s="478"/>
      <c r="T355" s="478"/>
      <c r="U355" s="478"/>
      <c r="V355" s="478"/>
      <c r="W355" s="478"/>
      <c r="X355" s="478"/>
      <c r="Y355" s="478"/>
      <c r="Z355" s="478"/>
      <c r="AA355" s="478"/>
      <c r="AB355" s="478"/>
      <c r="AC355" s="478"/>
      <c r="AD355" s="478"/>
      <c r="AE355" s="478"/>
      <c r="AF355" s="478"/>
      <c r="AG355" s="478"/>
      <c r="AH355" s="478"/>
      <c r="AI355" s="478"/>
      <c r="AJ355" s="478"/>
      <c r="AK355" s="478"/>
      <c r="AL355" s="478"/>
      <c r="AM355" s="478"/>
      <c r="AN355" s="478"/>
      <c r="AO355" s="478"/>
      <c r="AP355" s="478"/>
      <c r="AQ355" s="478"/>
      <c r="AR355" s="478"/>
      <c r="AS355" s="478"/>
      <c r="AT355" s="478"/>
      <c r="AU355" s="478"/>
      <c r="AV355" s="478"/>
      <c r="AW355" s="478"/>
      <c r="AX355" s="478"/>
      <c r="AY355" s="478"/>
      <c r="AZ355" s="478"/>
      <c r="BA355" s="478"/>
      <c r="BB355" s="478"/>
      <c r="BC355" s="478"/>
      <c r="BD355" s="478"/>
      <c r="BE355" s="478"/>
      <c r="BF355" s="478"/>
      <c r="BG355" s="478"/>
      <c r="BH355" s="478"/>
      <c r="BI355" s="478"/>
      <c r="BJ355" s="245"/>
      <c r="BK355" s="477">
        <f t="shared" si="1398"/>
        <v>0</v>
      </c>
      <c r="BL355" s="466">
        <f t="shared" si="1399"/>
        <v>0</v>
      </c>
      <c r="BM355" s="257"/>
      <c r="BN355" s="478"/>
      <c r="BO355" s="478"/>
      <c r="BP355" s="478"/>
      <c r="BQ355" s="478"/>
      <c r="BR355" s="478"/>
      <c r="BS355" s="478"/>
      <c r="BT355" s="478"/>
      <c r="BU355" s="478"/>
      <c r="BV355" s="478"/>
      <c r="BW355" s="478"/>
      <c r="BX355" s="478"/>
      <c r="BY355" s="478"/>
      <c r="BZ355" s="478"/>
      <c r="CA355" s="478"/>
      <c r="CB355" s="478"/>
      <c r="CC355" s="478"/>
      <c r="CD355" s="478"/>
      <c r="CE355" s="478"/>
      <c r="CF355" s="478"/>
      <c r="CG355" s="478"/>
      <c r="CH355" s="478"/>
      <c r="CI355" s="478"/>
      <c r="CJ355" s="478"/>
      <c r="CK355" s="478"/>
      <c r="CL355" s="478"/>
      <c r="CM355" s="478"/>
      <c r="CN355" s="478"/>
      <c r="CO355" s="478"/>
      <c r="CP355" s="478"/>
      <c r="CQ355" s="478"/>
      <c r="CR355" s="478"/>
      <c r="CS355" s="478"/>
      <c r="CT355" s="478"/>
      <c r="CU355" s="478"/>
      <c r="CV355" s="478"/>
      <c r="CW355" s="478"/>
      <c r="CX355" s="478"/>
      <c r="CY355" s="478"/>
      <c r="CZ355" s="478"/>
      <c r="DA355" s="478"/>
      <c r="DB355" s="478"/>
      <c r="DC355" s="478"/>
      <c r="DD355" s="478"/>
      <c r="DE355" s="478"/>
      <c r="DF355" s="478"/>
      <c r="DG355" s="478"/>
      <c r="DH355" s="478"/>
      <c r="DI355" s="478"/>
    </row>
    <row r="356" spans="1:113" ht="16.05" hidden="1" customHeight="1" outlineLevel="1" x14ac:dyDescent="0.3">
      <c r="A356" s="455" t="str">
        <f t="shared" si="1319"/>
        <v/>
      </c>
      <c r="B356" s="455"/>
      <c r="C356" s="481"/>
      <c r="D356" s="463" t="s">
        <v>974</v>
      </c>
      <c r="E356" s="482"/>
      <c r="F356" s="483"/>
      <c r="G356" s="484"/>
      <c r="H356" s="485"/>
      <c r="I356" s="466">
        <f t="shared" si="1395"/>
        <v>0</v>
      </c>
      <c r="J356" s="259"/>
      <c r="K356" s="478">
        <f t="shared" si="1396"/>
        <v>0</v>
      </c>
      <c r="L356" s="466">
        <f t="shared" si="1397"/>
        <v>0</v>
      </c>
      <c r="M356" s="257"/>
      <c r="N356" s="478"/>
      <c r="O356" s="478"/>
      <c r="P356" s="478"/>
      <c r="Q356" s="478"/>
      <c r="R356" s="478"/>
      <c r="S356" s="478"/>
      <c r="T356" s="478"/>
      <c r="U356" s="478"/>
      <c r="V356" s="478"/>
      <c r="W356" s="478"/>
      <c r="X356" s="478"/>
      <c r="Y356" s="478"/>
      <c r="Z356" s="478"/>
      <c r="AA356" s="478"/>
      <c r="AB356" s="478"/>
      <c r="AC356" s="478"/>
      <c r="AD356" s="478"/>
      <c r="AE356" s="478"/>
      <c r="AF356" s="478"/>
      <c r="AG356" s="478"/>
      <c r="AH356" s="478"/>
      <c r="AI356" s="478"/>
      <c r="AJ356" s="478"/>
      <c r="AK356" s="478"/>
      <c r="AL356" s="478"/>
      <c r="AM356" s="478"/>
      <c r="AN356" s="478"/>
      <c r="AO356" s="478"/>
      <c r="AP356" s="478"/>
      <c r="AQ356" s="478"/>
      <c r="AR356" s="478"/>
      <c r="AS356" s="478"/>
      <c r="AT356" s="478"/>
      <c r="AU356" s="478"/>
      <c r="AV356" s="478"/>
      <c r="AW356" s="478"/>
      <c r="AX356" s="478"/>
      <c r="AY356" s="478"/>
      <c r="AZ356" s="478"/>
      <c r="BA356" s="478"/>
      <c r="BB356" s="478"/>
      <c r="BC356" s="478"/>
      <c r="BD356" s="478"/>
      <c r="BE356" s="478"/>
      <c r="BF356" s="478"/>
      <c r="BG356" s="478"/>
      <c r="BH356" s="478"/>
      <c r="BI356" s="478"/>
      <c r="BJ356" s="245"/>
      <c r="BK356" s="477">
        <f t="shared" si="1398"/>
        <v>0</v>
      </c>
      <c r="BL356" s="466">
        <f t="shared" si="1399"/>
        <v>0</v>
      </c>
      <c r="BM356" s="257"/>
      <c r="BN356" s="478"/>
      <c r="BO356" s="478"/>
      <c r="BP356" s="478"/>
      <c r="BQ356" s="478"/>
      <c r="BR356" s="478"/>
      <c r="BS356" s="478"/>
      <c r="BT356" s="478"/>
      <c r="BU356" s="478"/>
      <c r="BV356" s="478"/>
      <c r="BW356" s="478"/>
      <c r="BX356" s="478"/>
      <c r="BY356" s="478"/>
      <c r="BZ356" s="478"/>
      <c r="CA356" s="478"/>
      <c r="CB356" s="478"/>
      <c r="CC356" s="478"/>
      <c r="CD356" s="478"/>
      <c r="CE356" s="478"/>
      <c r="CF356" s="478"/>
      <c r="CG356" s="478"/>
      <c r="CH356" s="478"/>
      <c r="CI356" s="478"/>
      <c r="CJ356" s="478"/>
      <c r="CK356" s="478"/>
      <c r="CL356" s="478"/>
      <c r="CM356" s="478"/>
      <c r="CN356" s="478"/>
      <c r="CO356" s="478"/>
      <c r="CP356" s="478"/>
      <c r="CQ356" s="478"/>
      <c r="CR356" s="478"/>
      <c r="CS356" s="478"/>
      <c r="CT356" s="478"/>
      <c r="CU356" s="478"/>
      <c r="CV356" s="478"/>
      <c r="CW356" s="478"/>
      <c r="CX356" s="478"/>
      <c r="CY356" s="478"/>
      <c r="CZ356" s="478"/>
      <c r="DA356" s="478"/>
      <c r="DB356" s="478"/>
      <c r="DC356" s="478"/>
      <c r="DD356" s="478"/>
      <c r="DE356" s="478"/>
      <c r="DF356" s="478"/>
      <c r="DG356" s="478"/>
      <c r="DH356" s="478"/>
      <c r="DI356" s="478"/>
    </row>
    <row r="357" spans="1:113" ht="16.05" hidden="1" customHeight="1" outlineLevel="1" x14ac:dyDescent="0.3">
      <c r="A357" s="455" t="str">
        <f t="shared" si="1319"/>
        <v/>
      </c>
      <c r="B357" s="455"/>
      <c r="C357" s="481"/>
      <c r="D357" s="463" t="s">
        <v>975</v>
      </c>
      <c r="E357" s="482"/>
      <c r="F357" s="483"/>
      <c r="G357" s="484"/>
      <c r="H357" s="485"/>
      <c r="I357" s="466">
        <f t="shared" si="1395"/>
        <v>0</v>
      </c>
      <c r="J357" s="259"/>
      <c r="K357" s="478">
        <f t="shared" si="1396"/>
        <v>0</v>
      </c>
      <c r="L357" s="466">
        <f t="shared" si="1397"/>
        <v>0</v>
      </c>
      <c r="M357" s="257"/>
      <c r="N357" s="478"/>
      <c r="O357" s="478"/>
      <c r="P357" s="478"/>
      <c r="Q357" s="478"/>
      <c r="R357" s="478"/>
      <c r="S357" s="478"/>
      <c r="T357" s="478"/>
      <c r="U357" s="478"/>
      <c r="V357" s="478"/>
      <c r="W357" s="478"/>
      <c r="X357" s="478"/>
      <c r="Y357" s="478"/>
      <c r="Z357" s="478"/>
      <c r="AA357" s="478"/>
      <c r="AB357" s="478"/>
      <c r="AC357" s="478"/>
      <c r="AD357" s="478"/>
      <c r="AE357" s="478"/>
      <c r="AF357" s="478"/>
      <c r="AG357" s="478"/>
      <c r="AH357" s="478"/>
      <c r="AI357" s="478"/>
      <c r="AJ357" s="478"/>
      <c r="AK357" s="478"/>
      <c r="AL357" s="478"/>
      <c r="AM357" s="478"/>
      <c r="AN357" s="478"/>
      <c r="AO357" s="478"/>
      <c r="AP357" s="478"/>
      <c r="AQ357" s="478"/>
      <c r="AR357" s="478"/>
      <c r="AS357" s="478"/>
      <c r="AT357" s="478"/>
      <c r="AU357" s="478"/>
      <c r="AV357" s="478"/>
      <c r="AW357" s="478"/>
      <c r="AX357" s="478"/>
      <c r="AY357" s="478"/>
      <c r="AZ357" s="478"/>
      <c r="BA357" s="478"/>
      <c r="BB357" s="478"/>
      <c r="BC357" s="478"/>
      <c r="BD357" s="478"/>
      <c r="BE357" s="478"/>
      <c r="BF357" s="478"/>
      <c r="BG357" s="478"/>
      <c r="BH357" s="478"/>
      <c r="BI357" s="478"/>
      <c r="BJ357" s="245"/>
      <c r="BK357" s="477">
        <f t="shared" si="1398"/>
        <v>0</v>
      </c>
      <c r="BL357" s="466">
        <f t="shared" si="1399"/>
        <v>0</v>
      </c>
      <c r="BM357" s="257"/>
      <c r="BN357" s="478"/>
      <c r="BO357" s="478"/>
      <c r="BP357" s="478"/>
      <c r="BQ357" s="478"/>
      <c r="BR357" s="478"/>
      <c r="BS357" s="478"/>
      <c r="BT357" s="478"/>
      <c r="BU357" s="478"/>
      <c r="BV357" s="478"/>
      <c r="BW357" s="478"/>
      <c r="BX357" s="478"/>
      <c r="BY357" s="478"/>
      <c r="BZ357" s="478"/>
      <c r="CA357" s="478"/>
      <c r="CB357" s="478"/>
      <c r="CC357" s="478"/>
      <c r="CD357" s="478"/>
      <c r="CE357" s="478"/>
      <c r="CF357" s="478"/>
      <c r="CG357" s="478"/>
      <c r="CH357" s="478"/>
      <c r="CI357" s="478"/>
      <c r="CJ357" s="478"/>
      <c r="CK357" s="478"/>
      <c r="CL357" s="478"/>
      <c r="CM357" s="478"/>
      <c r="CN357" s="478"/>
      <c r="CO357" s="478"/>
      <c r="CP357" s="478"/>
      <c r="CQ357" s="478"/>
      <c r="CR357" s="478"/>
      <c r="CS357" s="478"/>
      <c r="CT357" s="478"/>
      <c r="CU357" s="478"/>
      <c r="CV357" s="478"/>
      <c r="CW357" s="478"/>
      <c r="CX357" s="478"/>
      <c r="CY357" s="478"/>
      <c r="CZ357" s="478"/>
      <c r="DA357" s="478"/>
      <c r="DB357" s="478"/>
      <c r="DC357" s="478"/>
      <c r="DD357" s="478"/>
      <c r="DE357" s="478"/>
      <c r="DF357" s="478"/>
      <c r="DG357" s="478"/>
      <c r="DH357" s="478"/>
      <c r="DI357" s="478"/>
    </row>
    <row r="358" spans="1:113" ht="16.05" hidden="1" customHeight="1" outlineLevel="1" x14ac:dyDescent="0.3">
      <c r="A358" s="455" t="str">
        <f t="shared" si="1319"/>
        <v/>
      </c>
      <c r="B358" s="455"/>
      <c r="C358" s="481"/>
      <c r="D358" s="463" t="s">
        <v>976</v>
      </c>
      <c r="E358" s="482"/>
      <c r="F358" s="483"/>
      <c r="G358" s="484"/>
      <c r="H358" s="485"/>
      <c r="I358" s="466">
        <f t="shared" si="1395"/>
        <v>0</v>
      </c>
      <c r="J358" s="259"/>
      <c r="K358" s="478">
        <f t="shared" si="1396"/>
        <v>0</v>
      </c>
      <c r="L358" s="466">
        <f t="shared" si="1397"/>
        <v>0</v>
      </c>
      <c r="M358" s="257"/>
      <c r="N358" s="478"/>
      <c r="O358" s="478"/>
      <c r="P358" s="478"/>
      <c r="Q358" s="478"/>
      <c r="R358" s="478"/>
      <c r="S358" s="478"/>
      <c r="T358" s="478"/>
      <c r="U358" s="478"/>
      <c r="V358" s="478"/>
      <c r="W358" s="478"/>
      <c r="X358" s="478"/>
      <c r="Y358" s="478"/>
      <c r="Z358" s="478"/>
      <c r="AA358" s="478"/>
      <c r="AB358" s="478"/>
      <c r="AC358" s="478"/>
      <c r="AD358" s="478"/>
      <c r="AE358" s="478"/>
      <c r="AF358" s="478"/>
      <c r="AG358" s="478"/>
      <c r="AH358" s="478"/>
      <c r="AI358" s="478"/>
      <c r="AJ358" s="478"/>
      <c r="AK358" s="478"/>
      <c r="AL358" s="478"/>
      <c r="AM358" s="478"/>
      <c r="AN358" s="478"/>
      <c r="AO358" s="478"/>
      <c r="AP358" s="478"/>
      <c r="AQ358" s="478"/>
      <c r="AR358" s="478"/>
      <c r="AS358" s="478"/>
      <c r="AT358" s="478"/>
      <c r="AU358" s="478"/>
      <c r="AV358" s="478"/>
      <c r="AW358" s="478"/>
      <c r="AX358" s="478"/>
      <c r="AY358" s="478"/>
      <c r="AZ358" s="478"/>
      <c r="BA358" s="478"/>
      <c r="BB358" s="478"/>
      <c r="BC358" s="478"/>
      <c r="BD358" s="478"/>
      <c r="BE358" s="478"/>
      <c r="BF358" s="478"/>
      <c r="BG358" s="478"/>
      <c r="BH358" s="478"/>
      <c r="BI358" s="478"/>
      <c r="BJ358" s="245"/>
      <c r="BK358" s="477">
        <f t="shared" si="1398"/>
        <v>0</v>
      </c>
      <c r="BL358" s="466">
        <f t="shared" si="1399"/>
        <v>0</v>
      </c>
      <c r="BM358" s="257"/>
      <c r="BN358" s="478"/>
      <c r="BO358" s="478"/>
      <c r="BP358" s="478"/>
      <c r="BQ358" s="478"/>
      <c r="BR358" s="478"/>
      <c r="BS358" s="478"/>
      <c r="BT358" s="478"/>
      <c r="BU358" s="478"/>
      <c r="BV358" s="478"/>
      <c r="BW358" s="478"/>
      <c r="BX358" s="478"/>
      <c r="BY358" s="478"/>
      <c r="BZ358" s="478"/>
      <c r="CA358" s="478"/>
      <c r="CB358" s="478"/>
      <c r="CC358" s="478"/>
      <c r="CD358" s="478"/>
      <c r="CE358" s="478"/>
      <c r="CF358" s="478"/>
      <c r="CG358" s="478"/>
      <c r="CH358" s="478"/>
      <c r="CI358" s="478"/>
      <c r="CJ358" s="478"/>
      <c r="CK358" s="478"/>
      <c r="CL358" s="478"/>
      <c r="CM358" s="478"/>
      <c r="CN358" s="478"/>
      <c r="CO358" s="478"/>
      <c r="CP358" s="478"/>
      <c r="CQ358" s="478"/>
      <c r="CR358" s="478"/>
      <c r="CS358" s="478"/>
      <c r="CT358" s="478"/>
      <c r="CU358" s="478"/>
      <c r="CV358" s="478"/>
      <c r="CW358" s="478"/>
      <c r="CX358" s="478"/>
      <c r="CY358" s="478"/>
      <c r="CZ358" s="478"/>
      <c r="DA358" s="478"/>
      <c r="DB358" s="478"/>
      <c r="DC358" s="478"/>
      <c r="DD358" s="478"/>
      <c r="DE358" s="478"/>
      <c r="DF358" s="478"/>
      <c r="DG358" s="478"/>
      <c r="DH358" s="478"/>
      <c r="DI358" s="478"/>
    </row>
    <row r="359" spans="1:113" ht="16.05" hidden="1" customHeight="1" outlineLevel="1" x14ac:dyDescent="0.3">
      <c r="A359" s="455" t="str">
        <f t="shared" si="1319"/>
        <v/>
      </c>
      <c r="B359" s="455"/>
      <c r="C359" s="481"/>
      <c r="D359" s="463" t="s">
        <v>977</v>
      </c>
      <c r="E359" s="482"/>
      <c r="F359" s="483"/>
      <c r="G359" s="484"/>
      <c r="H359" s="485"/>
      <c r="I359" s="466">
        <f t="shared" si="1395"/>
        <v>0</v>
      </c>
      <c r="J359" s="259"/>
      <c r="K359" s="478">
        <f t="shared" si="1396"/>
        <v>0</v>
      </c>
      <c r="L359" s="466">
        <f t="shared" si="1397"/>
        <v>0</v>
      </c>
      <c r="M359" s="257"/>
      <c r="N359" s="478"/>
      <c r="O359" s="478"/>
      <c r="P359" s="478"/>
      <c r="Q359" s="478"/>
      <c r="R359" s="478"/>
      <c r="S359" s="478"/>
      <c r="T359" s="478"/>
      <c r="U359" s="478"/>
      <c r="V359" s="478"/>
      <c r="W359" s="478"/>
      <c r="X359" s="478"/>
      <c r="Y359" s="478"/>
      <c r="Z359" s="478"/>
      <c r="AA359" s="478"/>
      <c r="AB359" s="478"/>
      <c r="AC359" s="478"/>
      <c r="AD359" s="478"/>
      <c r="AE359" s="478"/>
      <c r="AF359" s="478"/>
      <c r="AG359" s="478"/>
      <c r="AH359" s="478"/>
      <c r="AI359" s="478"/>
      <c r="AJ359" s="478"/>
      <c r="AK359" s="478"/>
      <c r="AL359" s="478"/>
      <c r="AM359" s="478"/>
      <c r="AN359" s="478"/>
      <c r="AO359" s="478"/>
      <c r="AP359" s="478"/>
      <c r="AQ359" s="478"/>
      <c r="AR359" s="478"/>
      <c r="AS359" s="478"/>
      <c r="AT359" s="478"/>
      <c r="AU359" s="478"/>
      <c r="AV359" s="478"/>
      <c r="AW359" s="478"/>
      <c r="AX359" s="478"/>
      <c r="AY359" s="478"/>
      <c r="AZ359" s="478"/>
      <c r="BA359" s="478"/>
      <c r="BB359" s="478"/>
      <c r="BC359" s="478"/>
      <c r="BD359" s="478"/>
      <c r="BE359" s="478"/>
      <c r="BF359" s="478"/>
      <c r="BG359" s="478"/>
      <c r="BH359" s="478"/>
      <c r="BI359" s="478"/>
      <c r="BJ359" s="245"/>
      <c r="BK359" s="477">
        <f t="shared" si="1398"/>
        <v>0</v>
      </c>
      <c r="BL359" s="466">
        <f t="shared" si="1399"/>
        <v>0</v>
      </c>
      <c r="BM359" s="257"/>
      <c r="BN359" s="478"/>
      <c r="BO359" s="478"/>
      <c r="BP359" s="478"/>
      <c r="BQ359" s="478"/>
      <c r="BR359" s="478"/>
      <c r="BS359" s="478"/>
      <c r="BT359" s="478"/>
      <c r="BU359" s="478"/>
      <c r="BV359" s="478"/>
      <c r="BW359" s="478"/>
      <c r="BX359" s="478"/>
      <c r="BY359" s="478"/>
      <c r="BZ359" s="478"/>
      <c r="CA359" s="478"/>
      <c r="CB359" s="478"/>
      <c r="CC359" s="478"/>
      <c r="CD359" s="478"/>
      <c r="CE359" s="478"/>
      <c r="CF359" s="478"/>
      <c r="CG359" s="478"/>
      <c r="CH359" s="478"/>
      <c r="CI359" s="478"/>
      <c r="CJ359" s="478"/>
      <c r="CK359" s="478"/>
      <c r="CL359" s="478"/>
      <c r="CM359" s="478"/>
      <c r="CN359" s="478"/>
      <c r="CO359" s="478"/>
      <c r="CP359" s="478"/>
      <c r="CQ359" s="478"/>
      <c r="CR359" s="478"/>
      <c r="CS359" s="478"/>
      <c r="CT359" s="478"/>
      <c r="CU359" s="478"/>
      <c r="CV359" s="478"/>
      <c r="CW359" s="478"/>
      <c r="CX359" s="478"/>
      <c r="CY359" s="478"/>
      <c r="CZ359" s="478"/>
      <c r="DA359" s="478"/>
      <c r="DB359" s="478"/>
      <c r="DC359" s="478"/>
      <c r="DD359" s="478"/>
      <c r="DE359" s="478"/>
      <c r="DF359" s="478"/>
      <c r="DG359" s="478"/>
      <c r="DH359" s="478"/>
      <c r="DI359" s="478"/>
    </row>
    <row r="360" spans="1:113" ht="16.05" hidden="1" customHeight="1" outlineLevel="1" x14ac:dyDescent="0.3">
      <c r="A360" s="455" t="str">
        <f t="shared" si="1319"/>
        <v/>
      </c>
      <c r="B360" s="455"/>
      <c r="C360" s="481"/>
      <c r="D360" s="463" t="s">
        <v>978</v>
      </c>
      <c r="E360" s="482"/>
      <c r="F360" s="483"/>
      <c r="G360" s="484"/>
      <c r="H360" s="485"/>
      <c r="I360" s="466">
        <f t="shared" si="1395"/>
        <v>0</v>
      </c>
      <c r="J360" s="259"/>
      <c r="K360" s="478">
        <f t="shared" si="1396"/>
        <v>0</v>
      </c>
      <c r="L360" s="466">
        <f t="shared" si="1397"/>
        <v>0</v>
      </c>
      <c r="M360" s="257"/>
      <c r="N360" s="478"/>
      <c r="O360" s="478"/>
      <c r="P360" s="478"/>
      <c r="Q360" s="478"/>
      <c r="R360" s="478"/>
      <c r="S360" s="478"/>
      <c r="T360" s="478"/>
      <c r="U360" s="478"/>
      <c r="V360" s="478"/>
      <c r="W360" s="478"/>
      <c r="X360" s="478"/>
      <c r="Y360" s="478"/>
      <c r="Z360" s="478"/>
      <c r="AA360" s="478"/>
      <c r="AB360" s="478"/>
      <c r="AC360" s="478"/>
      <c r="AD360" s="478"/>
      <c r="AE360" s="478"/>
      <c r="AF360" s="478"/>
      <c r="AG360" s="478"/>
      <c r="AH360" s="478"/>
      <c r="AI360" s="478"/>
      <c r="AJ360" s="478"/>
      <c r="AK360" s="478"/>
      <c r="AL360" s="478"/>
      <c r="AM360" s="478"/>
      <c r="AN360" s="478"/>
      <c r="AO360" s="478"/>
      <c r="AP360" s="478"/>
      <c r="AQ360" s="478"/>
      <c r="AR360" s="478"/>
      <c r="AS360" s="478"/>
      <c r="AT360" s="478"/>
      <c r="AU360" s="478"/>
      <c r="AV360" s="478"/>
      <c r="AW360" s="478"/>
      <c r="AX360" s="478"/>
      <c r="AY360" s="478"/>
      <c r="AZ360" s="478"/>
      <c r="BA360" s="478"/>
      <c r="BB360" s="478"/>
      <c r="BC360" s="478"/>
      <c r="BD360" s="478"/>
      <c r="BE360" s="478"/>
      <c r="BF360" s="478"/>
      <c r="BG360" s="478"/>
      <c r="BH360" s="478"/>
      <c r="BI360" s="478"/>
      <c r="BJ360" s="245"/>
      <c r="BK360" s="477">
        <f t="shared" si="1398"/>
        <v>0</v>
      </c>
      <c r="BL360" s="466">
        <f t="shared" si="1399"/>
        <v>0</v>
      </c>
      <c r="BM360" s="257"/>
      <c r="BN360" s="478"/>
      <c r="BO360" s="478"/>
      <c r="BP360" s="478"/>
      <c r="BQ360" s="478"/>
      <c r="BR360" s="478"/>
      <c r="BS360" s="478"/>
      <c r="BT360" s="478"/>
      <c r="BU360" s="478"/>
      <c r="BV360" s="478"/>
      <c r="BW360" s="478"/>
      <c r="BX360" s="478"/>
      <c r="BY360" s="478"/>
      <c r="BZ360" s="478"/>
      <c r="CA360" s="478"/>
      <c r="CB360" s="478"/>
      <c r="CC360" s="478"/>
      <c r="CD360" s="478"/>
      <c r="CE360" s="478"/>
      <c r="CF360" s="478"/>
      <c r="CG360" s="478"/>
      <c r="CH360" s="478"/>
      <c r="CI360" s="478"/>
      <c r="CJ360" s="478"/>
      <c r="CK360" s="478"/>
      <c r="CL360" s="478"/>
      <c r="CM360" s="478"/>
      <c r="CN360" s="478"/>
      <c r="CO360" s="478"/>
      <c r="CP360" s="478"/>
      <c r="CQ360" s="478"/>
      <c r="CR360" s="478"/>
      <c r="CS360" s="478"/>
      <c r="CT360" s="478"/>
      <c r="CU360" s="478"/>
      <c r="CV360" s="478"/>
      <c r="CW360" s="478"/>
      <c r="CX360" s="478"/>
      <c r="CY360" s="478"/>
      <c r="CZ360" s="478"/>
      <c r="DA360" s="478"/>
      <c r="DB360" s="478"/>
      <c r="DC360" s="478"/>
      <c r="DD360" s="478"/>
      <c r="DE360" s="478"/>
      <c r="DF360" s="478"/>
      <c r="DG360" s="478"/>
      <c r="DH360" s="478"/>
      <c r="DI360" s="478"/>
    </row>
    <row r="361" spans="1:113" ht="15.6" hidden="1" customHeight="1" outlineLevel="1" x14ac:dyDescent="0.3">
      <c r="A361" s="455" t="str">
        <f t="shared" si="1319"/>
        <v/>
      </c>
      <c r="B361" s="455"/>
      <c r="C361" s="481"/>
      <c r="D361" s="463" t="s">
        <v>979</v>
      </c>
      <c r="E361" s="482"/>
      <c r="F361" s="483"/>
      <c r="G361" s="484"/>
      <c r="H361" s="485"/>
      <c r="I361" s="466">
        <f t="shared" si="1395"/>
        <v>0</v>
      </c>
      <c r="J361" s="259"/>
      <c r="K361" s="478">
        <f t="shared" si="1396"/>
        <v>0</v>
      </c>
      <c r="L361" s="466">
        <f t="shared" si="1397"/>
        <v>0</v>
      </c>
      <c r="M361" s="257"/>
      <c r="N361" s="478"/>
      <c r="O361" s="478"/>
      <c r="P361" s="478"/>
      <c r="Q361" s="478"/>
      <c r="R361" s="478"/>
      <c r="S361" s="478"/>
      <c r="T361" s="478"/>
      <c r="U361" s="478"/>
      <c r="V361" s="478"/>
      <c r="W361" s="478"/>
      <c r="X361" s="478"/>
      <c r="Y361" s="478"/>
      <c r="Z361" s="478"/>
      <c r="AA361" s="478"/>
      <c r="AB361" s="478"/>
      <c r="AC361" s="478"/>
      <c r="AD361" s="478"/>
      <c r="AE361" s="478"/>
      <c r="AF361" s="478"/>
      <c r="AG361" s="478"/>
      <c r="AH361" s="478"/>
      <c r="AI361" s="478"/>
      <c r="AJ361" s="478"/>
      <c r="AK361" s="478"/>
      <c r="AL361" s="478"/>
      <c r="AM361" s="478"/>
      <c r="AN361" s="478"/>
      <c r="AO361" s="478"/>
      <c r="AP361" s="478"/>
      <c r="AQ361" s="478"/>
      <c r="AR361" s="478"/>
      <c r="AS361" s="478"/>
      <c r="AT361" s="478"/>
      <c r="AU361" s="478"/>
      <c r="AV361" s="478"/>
      <c r="AW361" s="478"/>
      <c r="AX361" s="478"/>
      <c r="AY361" s="478"/>
      <c r="AZ361" s="478"/>
      <c r="BA361" s="478"/>
      <c r="BB361" s="478"/>
      <c r="BC361" s="478"/>
      <c r="BD361" s="478"/>
      <c r="BE361" s="478"/>
      <c r="BF361" s="478"/>
      <c r="BG361" s="478"/>
      <c r="BH361" s="478"/>
      <c r="BI361" s="478"/>
      <c r="BJ361" s="245"/>
      <c r="BK361" s="477">
        <f t="shared" si="1398"/>
        <v>0</v>
      </c>
      <c r="BL361" s="466">
        <f t="shared" si="1399"/>
        <v>0</v>
      </c>
      <c r="BM361" s="257"/>
      <c r="BN361" s="478"/>
      <c r="BO361" s="478"/>
      <c r="BP361" s="478"/>
      <c r="BQ361" s="478"/>
      <c r="BR361" s="478"/>
      <c r="BS361" s="478"/>
      <c r="BT361" s="478"/>
      <c r="BU361" s="478"/>
      <c r="BV361" s="478"/>
      <c r="BW361" s="478"/>
      <c r="BX361" s="478"/>
      <c r="BY361" s="478"/>
      <c r="BZ361" s="478"/>
      <c r="CA361" s="478"/>
      <c r="CB361" s="478"/>
      <c r="CC361" s="478"/>
      <c r="CD361" s="478"/>
      <c r="CE361" s="478"/>
      <c r="CF361" s="478"/>
      <c r="CG361" s="478"/>
      <c r="CH361" s="478"/>
      <c r="CI361" s="478"/>
      <c r="CJ361" s="478"/>
      <c r="CK361" s="478"/>
      <c r="CL361" s="478"/>
      <c r="CM361" s="478"/>
      <c r="CN361" s="478"/>
      <c r="CO361" s="478"/>
      <c r="CP361" s="478"/>
      <c r="CQ361" s="478"/>
      <c r="CR361" s="478"/>
      <c r="CS361" s="478"/>
      <c r="CT361" s="478"/>
      <c r="CU361" s="478"/>
      <c r="CV361" s="478"/>
      <c r="CW361" s="478"/>
      <c r="CX361" s="478"/>
      <c r="CY361" s="478"/>
      <c r="CZ361" s="478"/>
      <c r="DA361" s="478"/>
      <c r="DB361" s="478"/>
      <c r="DC361" s="478"/>
      <c r="DD361" s="478"/>
      <c r="DE361" s="478"/>
      <c r="DF361" s="478"/>
      <c r="DG361" s="478"/>
      <c r="DH361" s="478"/>
      <c r="DI361" s="478"/>
    </row>
    <row r="362" spans="1:113" ht="16.05" hidden="1" customHeight="1" outlineLevel="1" x14ac:dyDescent="0.3">
      <c r="A362" s="455" t="str">
        <f t="shared" si="1319"/>
        <v/>
      </c>
      <c r="B362" s="455"/>
      <c r="C362" s="481"/>
      <c r="D362" s="463" t="s">
        <v>980</v>
      </c>
      <c r="E362" s="482"/>
      <c r="F362" s="483"/>
      <c r="G362" s="484"/>
      <c r="H362" s="485"/>
      <c r="I362" s="466">
        <f t="shared" si="1395"/>
        <v>0</v>
      </c>
      <c r="J362" s="259"/>
      <c r="K362" s="478">
        <f t="shared" si="1396"/>
        <v>0</v>
      </c>
      <c r="L362" s="466">
        <f t="shared" si="1397"/>
        <v>0</v>
      </c>
      <c r="M362" s="257"/>
      <c r="N362" s="478"/>
      <c r="O362" s="478"/>
      <c r="P362" s="478"/>
      <c r="Q362" s="478"/>
      <c r="R362" s="478"/>
      <c r="S362" s="478"/>
      <c r="T362" s="478"/>
      <c r="U362" s="478"/>
      <c r="V362" s="478"/>
      <c r="W362" s="478"/>
      <c r="X362" s="478"/>
      <c r="Y362" s="478"/>
      <c r="Z362" s="478"/>
      <c r="AA362" s="478"/>
      <c r="AB362" s="478"/>
      <c r="AC362" s="478"/>
      <c r="AD362" s="478"/>
      <c r="AE362" s="478"/>
      <c r="AF362" s="478"/>
      <c r="AG362" s="478"/>
      <c r="AH362" s="478"/>
      <c r="AI362" s="478"/>
      <c r="AJ362" s="478"/>
      <c r="AK362" s="478"/>
      <c r="AL362" s="478"/>
      <c r="AM362" s="478"/>
      <c r="AN362" s="478"/>
      <c r="AO362" s="478"/>
      <c r="AP362" s="478"/>
      <c r="AQ362" s="478"/>
      <c r="AR362" s="478"/>
      <c r="AS362" s="478"/>
      <c r="AT362" s="478"/>
      <c r="AU362" s="478"/>
      <c r="AV362" s="478"/>
      <c r="AW362" s="478"/>
      <c r="AX362" s="478"/>
      <c r="AY362" s="478"/>
      <c r="AZ362" s="478"/>
      <c r="BA362" s="478"/>
      <c r="BB362" s="478"/>
      <c r="BC362" s="478"/>
      <c r="BD362" s="478"/>
      <c r="BE362" s="478"/>
      <c r="BF362" s="478"/>
      <c r="BG362" s="478"/>
      <c r="BH362" s="478"/>
      <c r="BI362" s="478"/>
      <c r="BJ362" s="245"/>
      <c r="BK362" s="477">
        <f t="shared" si="1398"/>
        <v>0</v>
      </c>
      <c r="BL362" s="466">
        <f t="shared" si="1399"/>
        <v>0</v>
      </c>
      <c r="BM362" s="257"/>
      <c r="BN362" s="478"/>
      <c r="BO362" s="478"/>
      <c r="BP362" s="478"/>
      <c r="BQ362" s="478"/>
      <c r="BR362" s="478"/>
      <c r="BS362" s="478"/>
      <c r="BT362" s="478"/>
      <c r="BU362" s="478"/>
      <c r="BV362" s="478"/>
      <c r="BW362" s="478"/>
      <c r="BX362" s="478"/>
      <c r="BY362" s="478"/>
      <c r="BZ362" s="478"/>
      <c r="CA362" s="478"/>
      <c r="CB362" s="478"/>
      <c r="CC362" s="478"/>
      <c r="CD362" s="478"/>
      <c r="CE362" s="478"/>
      <c r="CF362" s="478"/>
      <c r="CG362" s="478"/>
      <c r="CH362" s="478"/>
      <c r="CI362" s="478"/>
      <c r="CJ362" s="478"/>
      <c r="CK362" s="478"/>
      <c r="CL362" s="478"/>
      <c r="CM362" s="478"/>
      <c r="CN362" s="478"/>
      <c r="CO362" s="478"/>
      <c r="CP362" s="478"/>
      <c r="CQ362" s="478"/>
      <c r="CR362" s="478"/>
      <c r="CS362" s="478"/>
      <c r="CT362" s="478"/>
      <c r="CU362" s="478"/>
      <c r="CV362" s="478"/>
      <c r="CW362" s="478"/>
      <c r="CX362" s="478"/>
      <c r="CY362" s="478"/>
      <c r="CZ362" s="478"/>
      <c r="DA362" s="478"/>
      <c r="DB362" s="478"/>
      <c r="DC362" s="478"/>
      <c r="DD362" s="478"/>
      <c r="DE362" s="478"/>
      <c r="DF362" s="478"/>
      <c r="DG362" s="478"/>
      <c r="DH362" s="478"/>
      <c r="DI362" s="478"/>
    </row>
    <row r="363" spans="1:113" ht="15.6" hidden="1" customHeight="1" outlineLevel="1" x14ac:dyDescent="0.3">
      <c r="A363" s="455" t="str">
        <f t="shared" si="1319"/>
        <v/>
      </c>
      <c r="B363" s="455"/>
      <c r="C363" s="481"/>
      <c r="D363" s="463" t="s">
        <v>981</v>
      </c>
      <c r="E363" s="482"/>
      <c r="F363" s="483"/>
      <c r="G363" s="484"/>
      <c r="H363" s="485"/>
      <c r="I363" s="466">
        <f t="shared" si="1395"/>
        <v>0</v>
      </c>
      <c r="J363" s="259"/>
      <c r="K363" s="478">
        <f t="shared" si="1396"/>
        <v>0</v>
      </c>
      <c r="L363" s="466">
        <f t="shared" si="1397"/>
        <v>0</v>
      </c>
      <c r="M363" s="257"/>
      <c r="N363" s="478"/>
      <c r="O363" s="478"/>
      <c r="P363" s="478"/>
      <c r="Q363" s="478"/>
      <c r="R363" s="478"/>
      <c r="S363" s="478"/>
      <c r="T363" s="478"/>
      <c r="U363" s="478"/>
      <c r="V363" s="478"/>
      <c r="W363" s="478"/>
      <c r="X363" s="478"/>
      <c r="Y363" s="478"/>
      <c r="Z363" s="478"/>
      <c r="AA363" s="478"/>
      <c r="AB363" s="478"/>
      <c r="AC363" s="478"/>
      <c r="AD363" s="478"/>
      <c r="AE363" s="478"/>
      <c r="AF363" s="478"/>
      <c r="AG363" s="478"/>
      <c r="AH363" s="478"/>
      <c r="AI363" s="478"/>
      <c r="AJ363" s="478"/>
      <c r="AK363" s="478"/>
      <c r="AL363" s="478"/>
      <c r="AM363" s="478"/>
      <c r="AN363" s="478"/>
      <c r="AO363" s="478"/>
      <c r="AP363" s="478"/>
      <c r="AQ363" s="478"/>
      <c r="AR363" s="478"/>
      <c r="AS363" s="478"/>
      <c r="AT363" s="478"/>
      <c r="AU363" s="478"/>
      <c r="AV363" s="478"/>
      <c r="AW363" s="478"/>
      <c r="AX363" s="478"/>
      <c r="AY363" s="478"/>
      <c r="AZ363" s="478"/>
      <c r="BA363" s="478"/>
      <c r="BB363" s="478"/>
      <c r="BC363" s="478"/>
      <c r="BD363" s="478"/>
      <c r="BE363" s="478"/>
      <c r="BF363" s="478"/>
      <c r="BG363" s="478"/>
      <c r="BH363" s="478"/>
      <c r="BI363" s="478"/>
      <c r="BJ363" s="245"/>
      <c r="BK363" s="477">
        <f t="shared" si="1398"/>
        <v>0</v>
      </c>
      <c r="BL363" s="466">
        <f t="shared" si="1399"/>
        <v>0</v>
      </c>
      <c r="BM363" s="257"/>
      <c r="BN363" s="478"/>
      <c r="BO363" s="478"/>
      <c r="BP363" s="478"/>
      <c r="BQ363" s="478"/>
      <c r="BR363" s="478"/>
      <c r="BS363" s="478"/>
      <c r="BT363" s="478"/>
      <c r="BU363" s="478"/>
      <c r="BV363" s="478"/>
      <c r="BW363" s="478"/>
      <c r="BX363" s="478"/>
      <c r="BY363" s="478"/>
      <c r="BZ363" s="478"/>
      <c r="CA363" s="478"/>
      <c r="CB363" s="478"/>
      <c r="CC363" s="478"/>
      <c r="CD363" s="478"/>
      <c r="CE363" s="478"/>
      <c r="CF363" s="478"/>
      <c r="CG363" s="478"/>
      <c r="CH363" s="478"/>
      <c r="CI363" s="478"/>
      <c r="CJ363" s="478"/>
      <c r="CK363" s="478"/>
      <c r="CL363" s="478"/>
      <c r="CM363" s="478"/>
      <c r="CN363" s="478"/>
      <c r="CO363" s="478"/>
      <c r="CP363" s="478"/>
      <c r="CQ363" s="478"/>
      <c r="CR363" s="478"/>
      <c r="CS363" s="478"/>
      <c r="CT363" s="478"/>
      <c r="CU363" s="478"/>
      <c r="CV363" s="478"/>
      <c r="CW363" s="478"/>
      <c r="CX363" s="478"/>
      <c r="CY363" s="478"/>
      <c r="CZ363" s="478"/>
      <c r="DA363" s="478"/>
      <c r="DB363" s="478"/>
      <c r="DC363" s="478"/>
      <c r="DD363" s="478"/>
      <c r="DE363" s="478"/>
      <c r="DF363" s="478"/>
      <c r="DG363" s="478"/>
      <c r="DH363" s="478"/>
      <c r="DI363" s="478"/>
    </row>
    <row r="364" spans="1:113" ht="8.1" hidden="1" customHeight="1" outlineLevel="1" x14ac:dyDescent="0.3">
      <c r="A364" s="455" t="str">
        <f t="shared" ref="A364" si="1400">IF(COUNTIF(A344:A363,"Imprimir")&gt;0,"Imprimir","")</f>
        <v/>
      </c>
      <c r="B364" s="455"/>
      <c r="C364" s="464"/>
      <c r="D364" s="461"/>
      <c r="E364" s="462"/>
      <c r="F364" s="462"/>
      <c r="G364" s="461"/>
      <c r="H364" s="461"/>
      <c r="I364" s="461"/>
      <c r="J364" s="259"/>
      <c r="K364" s="255"/>
      <c r="L364" s="256"/>
      <c r="M364" s="257"/>
      <c r="N364" s="255"/>
      <c r="O364" s="255"/>
      <c r="P364" s="255"/>
      <c r="Q364" s="255"/>
      <c r="R364" s="255"/>
      <c r="S364" s="255"/>
      <c r="T364" s="255"/>
      <c r="U364" s="255"/>
      <c r="V364" s="255"/>
      <c r="W364" s="255"/>
      <c r="X364" s="255"/>
      <c r="Y364" s="255"/>
      <c r="Z364" s="255"/>
      <c r="AA364" s="255"/>
      <c r="AB364" s="255"/>
      <c r="AC364" s="255"/>
      <c r="AD364" s="255"/>
      <c r="AE364" s="255"/>
      <c r="AF364" s="255"/>
      <c r="AG364" s="255"/>
      <c r="AH364" s="255"/>
      <c r="AI364" s="255"/>
      <c r="AJ364" s="255"/>
      <c r="AK364" s="255"/>
      <c r="AL364" s="255"/>
      <c r="AM364" s="524"/>
      <c r="AN364" s="255"/>
      <c r="AO364" s="255"/>
      <c r="AP364" s="255"/>
      <c r="AQ364" s="255"/>
      <c r="AR364" s="255"/>
      <c r="AS364" s="255"/>
      <c r="AT364" s="255"/>
      <c r="AU364" s="255"/>
      <c r="AV364" s="255"/>
      <c r="AW364" s="255"/>
      <c r="AX364" s="255"/>
      <c r="AY364" s="255"/>
      <c r="AZ364" s="255"/>
      <c r="BA364" s="255"/>
      <c r="BB364" s="255"/>
      <c r="BC364" s="255"/>
      <c r="BD364" s="255"/>
      <c r="BE364" s="255"/>
      <c r="BF364" s="255"/>
      <c r="BG364" s="255"/>
      <c r="BH364" s="255"/>
      <c r="BI364" s="255"/>
      <c r="BJ364" s="245"/>
      <c r="BK364" s="256"/>
      <c r="BL364" s="256"/>
      <c r="BM364" s="257"/>
      <c r="BN364" s="255"/>
      <c r="BO364" s="255"/>
      <c r="BP364" s="255"/>
      <c r="BQ364" s="255"/>
      <c r="BR364" s="255"/>
      <c r="BS364" s="255"/>
      <c r="BT364" s="255"/>
      <c r="BU364" s="255"/>
      <c r="BV364" s="255"/>
      <c r="BW364" s="255"/>
      <c r="BX364" s="255"/>
      <c r="BY364" s="255"/>
      <c r="BZ364" s="255"/>
      <c r="CA364" s="255"/>
      <c r="CB364" s="255"/>
      <c r="CC364" s="255"/>
      <c r="CD364" s="255"/>
      <c r="CE364" s="255"/>
      <c r="CF364" s="255"/>
      <c r="CG364" s="255"/>
      <c r="CH364" s="255"/>
      <c r="CI364" s="255"/>
      <c r="CJ364" s="255"/>
      <c r="CK364" s="255"/>
      <c r="CL364" s="255"/>
      <c r="CM364" s="255"/>
      <c r="CN364" s="255"/>
      <c r="CO364" s="255"/>
      <c r="CP364" s="255"/>
      <c r="CQ364" s="255"/>
      <c r="CR364" s="255"/>
      <c r="CS364" s="255"/>
      <c r="CT364" s="255"/>
      <c r="CU364" s="255"/>
      <c r="CV364" s="255"/>
      <c r="CW364" s="255"/>
      <c r="CX364" s="255"/>
      <c r="CY364" s="255"/>
      <c r="CZ364" s="255"/>
      <c r="DA364" s="255"/>
      <c r="DB364" s="255"/>
      <c r="DC364" s="255"/>
      <c r="DD364" s="255"/>
      <c r="DE364" s="255"/>
      <c r="DF364" s="255"/>
      <c r="DG364" s="255"/>
      <c r="DH364" s="255"/>
      <c r="DI364" s="524"/>
    </row>
    <row r="365" spans="1:113" ht="6.6" customHeight="1" collapsed="1" x14ac:dyDescent="0.3">
      <c r="A365" s="320" t="s">
        <v>516</v>
      </c>
      <c r="M365" s="468"/>
    </row>
    <row r="366" spans="1:113" ht="16.05" customHeight="1" collapsed="1" x14ac:dyDescent="0.3">
      <c r="A366" s="455" t="s">
        <v>516</v>
      </c>
      <c r="B366" s="455"/>
      <c r="C366" s="457"/>
      <c r="D366" s="457"/>
      <c r="E366" s="458" t="s">
        <v>2004</v>
      </c>
      <c r="F366" s="458"/>
      <c r="G366" s="458"/>
      <c r="H366" s="467"/>
      <c r="I366" s="467">
        <f>SUBTOTAL(9,I367:I427)</f>
        <v>77823.906949724987</v>
      </c>
      <c r="J366" s="259"/>
      <c r="K366" s="467"/>
      <c r="L366" s="467">
        <f>SUBTOTAL(9,L367:L427)</f>
        <v>0</v>
      </c>
      <c r="M366" s="245"/>
      <c r="N366" s="467">
        <f t="shared" ref="N366:AM366" si="1401">SUM(N367,N380,N392,N404,N416)</f>
        <v>0</v>
      </c>
      <c r="O366" s="467">
        <f t="shared" si="1401"/>
        <v>0</v>
      </c>
      <c r="P366" s="467">
        <f t="shared" si="1401"/>
        <v>0</v>
      </c>
      <c r="Q366" s="467">
        <f t="shared" si="1401"/>
        <v>0</v>
      </c>
      <c r="R366" s="467">
        <f t="shared" si="1401"/>
        <v>0</v>
      </c>
      <c r="S366" s="467">
        <f t="shared" si="1401"/>
        <v>0</v>
      </c>
      <c r="T366" s="467">
        <f t="shared" si="1401"/>
        <v>0</v>
      </c>
      <c r="U366" s="467">
        <f t="shared" si="1401"/>
        <v>0</v>
      </c>
      <c r="V366" s="467">
        <f t="shared" si="1401"/>
        <v>0</v>
      </c>
      <c r="W366" s="467">
        <f t="shared" si="1401"/>
        <v>0</v>
      </c>
      <c r="X366" s="467">
        <f t="shared" si="1401"/>
        <v>0</v>
      </c>
      <c r="Y366" s="467">
        <f t="shared" si="1401"/>
        <v>0</v>
      </c>
      <c r="Z366" s="467">
        <f t="shared" si="1401"/>
        <v>0</v>
      </c>
      <c r="AA366" s="467">
        <f t="shared" si="1401"/>
        <v>0</v>
      </c>
      <c r="AB366" s="467">
        <f t="shared" si="1401"/>
        <v>0</v>
      </c>
      <c r="AC366" s="467">
        <f t="shared" si="1401"/>
        <v>0</v>
      </c>
      <c r="AD366" s="467">
        <f t="shared" si="1401"/>
        <v>0</v>
      </c>
      <c r="AE366" s="467">
        <f t="shared" si="1401"/>
        <v>0</v>
      </c>
      <c r="AF366" s="467">
        <f t="shared" si="1401"/>
        <v>0</v>
      </c>
      <c r="AG366" s="467">
        <f t="shared" si="1401"/>
        <v>0</v>
      </c>
      <c r="AH366" s="467">
        <f t="shared" si="1401"/>
        <v>0</v>
      </c>
      <c r="AI366" s="467">
        <f t="shared" si="1401"/>
        <v>0</v>
      </c>
      <c r="AJ366" s="467">
        <f t="shared" si="1401"/>
        <v>0</v>
      </c>
      <c r="AK366" s="467">
        <f t="shared" si="1401"/>
        <v>0</v>
      </c>
      <c r="AL366" s="467">
        <f t="shared" si="1401"/>
        <v>0</v>
      </c>
      <c r="AM366" s="467">
        <f t="shared" si="1401"/>
        <v>0</v>
      </c>
      <c r="AN366" s="467"/>
      <c r="AO366" s="467"/>
      <c r="AP366" s="467"/>
      <c r="AQ366" s="467"/>
      <c r="AR366" s="467"/>
      <c r="AS366" s="467"/>
      <c r="AT366" s="467"/>
      <c r="AU366" s="467"/>
      <c r="AV366" s="467"/>
      <c r="AW366" s="467"/>
      <c r="AX366" s="467"/>
      <c r="AY366" s="467"/>
      <c r="AZ366" s="467"/>
      <c r="BA366" s="467"/>
      <c r="BB366" s="467"/>
      <c r="BC366" s="467"/>
      <c r="BD366" s="467"/>
      <c r="BE366" s="467"/>
      <c r="BF366" s="467"/>
      <c r="BG366" s="467"/>
      <c r="BH366" s="467"/>
      <c r="BI366" s="542"/>
      <c r="BJ366" s="546"/>
      <c r="BK366" s="476">
        <f>IFERROR(BL366/I366,0)</f>
        <v>0</v>
      </c>
      <c r="BL366" s="467">
        <f>SUBTOTAL(9,BL367:BL427)</f>
        <v>0</v>
      </c>
      <c r="BM366" s="245"/>
      <c r="BN366" s="467">
        <f t="shared" ref="BN366:DI366" si="1402">SUM(BN367,BN380,BN392,BN404,BN416)</f>
        <v>0</v>
      </c>
      <c r="BO366" s="467">
        <f t="shared" si="1402"/>
        <v>0</v>
      </c>
      <c r="BP366" s="467">
        <f t="shared" si="1402"/>
        <v>0</v>
      </c>
      <c r="BQ366" s="467">
        <f t="shared" si="1402"/>
        <v>0</v>
      </c>
      <c r="BR366" s="467">
        <f t="shared" si="1402"/>
        <v>0</v>
      </c>
      <c r="BS366" s="467">
        <f t="shared" si="1402"/>
        <v>0</v>
      </c>
      <c r="BT366" s="467">
        <f t="shared" si="1402"/>
        <v>0</v>
      </c>
      <c r="BU366" s="467">
        <f t="shared" si="1402"/>
        <v>0</v>
      </c>
      <c r="BV366" s="467">
        <f t="shared" si="1402"/>
        <v>0</v>
      </c>
      <c r="BW366" s="467">
        <f t="shared" si="1402"/>
        <v>0</v>
      </c>
      <c r="BX366" s="467">
        <f t="shared" si="1402"/>
        <v>0</v>
      </c>
      <c r="BY366" s="467">
        <f t="shared" si="1402"/>
        <v>0</v>
      </c>
      <c r="BZ366" s="467">
        <f t="shared" si="1402"/>
        <v>0</v>
      </c>
      <c r="CA366" s="467">
        <f t="shared" si="1402"/>
        <v>0</v>
      </c>
      <c r="CB366" s="467">
        <f t="shared" si="1402"/>
        <v>0</v>
      </c>
      <c r="CC366" s="467">
        <f t="shared" si="1402"/>
        <v>0</v>
      </c>
      <c r="CD366" s="467">
        <f t="shared" si="1402"/>
        <v>0</v>
      </c>
      <c r="CE366" s="467">
        <f t="shared" si="1402"/>
        <v>0</v>
      </c>
      <c r="CF366" s="467">
        <f t="shared" si="1402"/>
        <v>0</v>
      </c>
      <c r="CG366" s="467">
        <f t="shared" si="1402"/>
        <v>0</v>
      </c>
      <c r="CH366" s="467">
        <f t="shared" si="1402"/>
        <v>0</v>
      </c>
      <c r="CI366" s="467">
        <f t="shared" si="1402"/>
        <v>0</v>
      </c>
      <c r="CJ366" s="467">
        <f t="shared" si="1402"/>
        <v>0</v>
      </c>
      <c r="CK366" s="467">
        <f t="shared" si="1402"/>
        <v>0</v>
      </c>
      <c r="CL366" s="467">
        <f t="shared" si="1402"/>
        <v>0</v>
      </c>
      <c r="CM366" s="467">
        <f t="shared" si="1402"/>
        <v>0</v>
      </c>
      <c r="CN366" s="467">
        <f t="shared" si="1402"/>
        <v>0</v>
      </c>
      <c r="CO366" s="467">
        <f t="shared" si="1402"/>
        <v>0</v>
      </c>
      <c r="CP366" s="467">
        <f t="shared" si="1402"/>
        <v>0</v>
      </c>
      <c r="CQ366" s="467">
        <f t="shared" si="1402"/>
        <v>0</v>
      </c>
      <c r="CR366" s="467">
        <f t="shared" si="1402"/>
        <v>0</v>
      </c>
      <c r="CS366" s="467">
        <f t="shared" si="1402"/>
        <v>0</v>
      </c>
      <c r="CT366" s="467">
        <f t="shared" si="1402"/>
        <v>0</v>
      </c>
      <c r="CU366" s="467">
        <f t="shared" si="1402"/>
        <v>0</v>
      </c>
      <c r="CV366" s="467">
        <f t="shared" si="1402"/>
        <v>0</v>
      </c>
      <c r="CW366" s="467">
        <f t="shared" si="1402"/>
        <v>0</v>
      </c>
      <c r="CX366" s="467">
        <f t="shared" si="1402"/>
        <v>0</v>
      </c>
      <c r="CY366" s="467">
        <f t="shared" si="1402"/>
        <v>0</v>
      </c>
      <c r="CZ366" s="467">
        <f t="shared" si="1402"/>
        <v>0</v>
      </c>
      <c r="DA366" s="467">
        <f t="shared" si="1402"/>
        <v>0</v>
      </c>
      <c r="DB366" s="467">
        <f t="shared" si="1402"/>
        <v>0</v>
      </c>
      <c r="DC366" s="467">
        <f t="shared" si="1402"/>
        <v>0</v>
      </c>
      <c r="DD366" s="467">
        <f t="shared" si="1402"/>
        <v>0</v>
      </c>
      <c r="DE366" s="467">
        <f t="shared" si="1402"/>
        <v>0</v>
      </c>
      <c r="DF366" s="467">
        <f t="shared" si="1402"/>
        <v>0</v>
      </c>
      <c r="DG366" s="467">
        <f t="shared" si="1402"/>
        <v>0</v>
      </c>
      <c r="DH366" s="467">
        <f t="shared" si="1402"/>
        <v>0</v>
      </c>
      <c r="DI366" s="467">
        <f t="shared" si="1402"/>
        <v>0</v>
      </c>
    </row>
    <row r="367" spans="1:113" ht="16.05" customHeight="1" x14ac:dyDescent="0.3">
      <c r="A367" s="455" t="str">
        <f>IF(COUNTIF(A368:A378,"Imprimir")&gt;0,"Imprimir","")</f>
        <v>Imprimir</v>
      </c>
      <c r="B367" s="455"/>
      <c r="C367" s="459"/>
      <c r="D367" s="459"/>
      <c r="E367" s="460" t="s">
        <v>2005</v>
      </c>
      <c r="F367" s="460"/>
      <c r="G367" s="460"/>
      <c r="H367" s="465"/>
      <c r="I367" s="465">
        <f>SUBTOTAL(9,I368:I379)</f>
        <v>77823.906949724987</v>
      </c>
      <c r="J367" s="259"/>
      <c r="K367" s="465"/>
      <c r="L367" s="465">
        <f>SUBTOTAL(9,L368:L379)</f>
        <v>0</v>
      </c>
      <c r="M367" s="257"/>
      <c r="N367" s="465">
        <f>SUMPRODUCT(N368:N379,$H368:$H379)</f>
        <v>0</v>
      </c>
      <c r="O367" s="465">
        <f t="shared" ref="O367:AM367" si="1403">SUMPRODUCT(O368:O379,$H368:$H379)</f>
        <v>0</v>
      </c>
      <c r="P367" s="465">
        <f t="shared" si="1403"/>
        <v>0</v>
      </c>
      <c r="Q367" s="465">
        <f t="shared" si="1403"/>
        <v>0</v>
      </c>
      <c r="R367" s="465">
        <f t="shared" si="1403"/>
        <v>0</v>
      </c>
      <c r="S367" s="465">
        <f t="shared" si="1403"/>
        <v>0</v>
      </c>
      <c r="T367" s="465">
        <f t="shared" si="1403"/>
        <v>0</v>
      </c>
      <c r="U367" s="465">
        <f t="shared" si="1403"/>
        <v>0</v>
      </c>
      <c r="V367" s="465">
        <f t="shared" si="1403"/>
        <v>0</v>
      </c>
      <c r="W367" s="465">
        <f t="shared" si="1403"/>
        <v>0</v>
      </c>
      <c r="X367" s="465">
        <f t="shared" si="1403"/>
        <v>0</v>
      </c>
      <c r="Y367" s="465">
        <f t="shared" si="1403"/>
        <v>0</v>
      </c>
      <c r="Z367" s="465">
        <f t="shared" si="1403"/>
        <v>0</v>
      </c>
      <c r="AA367" s="465">
        <f t="shared" si="1403"/>
        <v>0</v>
      </c>
      <c r="AB367" s="465">
        <f t="shared" si="1403"/>
        <v>0</v>
      </c>
      <c r="AC367" s="465">
        <f t="shared" si="1403"/>
        <v>0</v>
      </c>
      <c r="AD367" s="465">
        <f t="shared" si="1403"/>
        <v>0</v>
      </c>
      <c r="AE367" s="465">
        <f t="shared" si="1403"/>
        <v>0</v>
      </c>
      <c r="AF367" s="465">
        <f t="shared" si="1403"/>
        <v>0</v>
      </c>
      <c r="AG367" s="465">
        <f t="shared" si="1403"/>
        <v>0</v>
      </c>
      <c r="AH367" s="465">
        <f t="shared" si="1403"/>
        <v>0</v>
      </c>
      <c r="AI367" s="465">
        <f t="shared" si="1403"/>
        <v>0</v>
      </c>
      <c r="AJ367" s="465">
        <f t="shared" si="1403"/>
        <v>0</v>
      </c>
      <c r="AK367" s="465">
        <f t="shared" si="1403"/>
        <v>0</v>
      </c>
      <c r="AL367" s="465">
        <f t="shared" si="1403"/>
        <v>0</v>
      </c>
      <c r="AM367" s="465">
        <f t="shared" si="1403"/>
        <v>0</v>
      </c>
      <c r="AN367" s="465">
        <f t="shared" ref="AN367:BI367" si="1404">SUMPRODUCT(AN368:AN425,$H368:$H425)</f>
        <v>0</v>
      </c>
      <c r="AO367" s="465">
        <f t="shared" si="1404"/>
        <v>0</v>
      </c>
      <c r="AP367" s="465">
        <f t="shared" si="1404"/>
        <v>0</v>
      </c>
      <c r="AQ367" s="465">
        <f t="shared" si="1404"/>
        <v>0</v>
      </c>
      <c r="AR367" s="465">
        <f t="shared" si="1404"/>
        <v>0</v>
      </c>
      <c r="AS367" s="465">
        <f t="shared" si="1404"/>
        <v>0</v>
      </c>
      <c r="AT367" s="465">
        <f t="shared" si="1404"/>
        <v>0</v>
      </c>
      <c r="AU367" s="465">
        <f t="shared" si="1404"/>
        <v>0</v>
      </c>
      <c r="AV367" s="465">
        <f t="shared" si="1404"/>
        <v>0</v>
      </c>
      <c r="AW367" s="465">
        <f t="shared" si="1404"/>
        <v>0</v>
      </c>
      <c r="AX367" s="465">
        <f t="shared" si="1404"/>
        <v>0</v>
      </c>
      <c r="AY367" s="465">
        <f t="shared" si="1404"/>
        <v>0</v>
      </c>
      <c r="AZ367" s="465">
        <f t="shared" si="1404"/>
        <v>0</v>
      </c>
      <c r="BA367" s="465">
        <f t="shared" si="1404"/>
        <v>0</v>
      </c>
      <c r="BB367" s="465">
        <f t="shared" si="1404"/>
        <v>0</v>
      </c>
      <c r="BC367" s="465">
        <f t="shared" si="1404"/>
        <v>0</v>
      </c>
      <c r="BD367" s="465">
        <f t="shared" si="1404"/>
        <v>0</v>
      </c>
      <c r="BE367" s="465">
        <f t="shared" si="1404"/>
        <v>0</v>
      </c>
      <c r="BF367" s="465">
        <f t="shared" si="1404"/>
        <v>0</v>
      </c>
      <c r="BG367" s="465">
        <f t="shared" si="1404"/>
        <v>0</v>
      </c>
      <c r="BH367" s="465">
        <f t="shared" si="1404"/>
        <v>0</v>
      </c>
      <c r="BI367" s="543">
        <f t="shared" si="1404"/>
        <v>0</v>
      </c>
      <c r="BJ367" s="546"/>
      <c r="BK367" s="475">
        <f t="shared" ref="BK367" si="1405">IFERROR(BL367/I367,0)</f>
        <v>0</v>
      </c>
      <c r="BL367" s="465">
        <f>SUBTOTAL(9,BL368:BL379)</f>
        <v>0</v>
      </c>
      <c r="BM367" s="257"/>
      <c r="BN367" s="465">
        <f>SUMPRODUCT(BN368:BN379,$H368:$H379)</f>
        <v>0</v>
      </c>
      <c r="BO367" s="465">
        <f t="shared" ref="BO367:DI367" si="1406">SUMPRODUCT(BO368:BO379,$H368:$H379)</f>
        <v>0</v>
      </c>
      <c r="BP367" s="465">
        <f t="shared" si="1406"/>
        <v>0</v>
      </c>
      <c r="BQ367" s="465">
        <f t="shared" si="1406"/>
        <v>0</v>
      </c>
      <c r="BR367" s="465">
        <f t="shared" si="1406"/>
        <v>0</v>
      </c>
      <c r="BS367" s="465">
        <f t="shared" si="1406"/>
        <v>0</v>
      </c>
      <c r="BT367" s="465">
        <f t="shared" si="1406"/>
        <v>0</v>
      </c>
      <c r="BU367" s="465">
        <f t="shared" si="1406"/>
        <v>0</v>
      </c>
      <c r="BV367" s="465">
        <f t="shared" si="1406"/>
        <v>0</v>
      </c>
      <c r="BW367" s="465">
        <f t="shared" si="1406"/>
        <v>0</v>
      </c>
      <c r="BX367" s="465">
        <f t="shared" si="1406"/>
        <v>0</v>
      </c>
      <c r="BY367" s="465">
        <f t="shared" si="1406"/>
        <v>0</v>
      </c>
      <c r="BZ367" s="465">
        <f t="shared" si="1406"/>
        <v>0</v>
      </c>
      <c r="CA367" s="465">
        <f t="shared" si="1406"/>
        <v>0</v>
      </c>
      <c r="CB367" s="465">
        <f t="shared" si="1406"/>
        <v>0</v>
      </c>
      <c r="CC367" s="465">
        <f t="shared" si="1406"/>
        <v>0</v>
      </c>
      <c r="CD367" s="465">
        <f t="shared" si="1406"/>
        <v>0</v>
      </c>
      <c r="CE367" s="465">
        <f t="shared" si="1406"/>
        <v>0</v>
      </c>
      <c r="CF367" s="465">
        <f t="shared" si="1406"/>
        <v>0</v>
      </c>
      <c r="CG367" s="465">
        <f t="shared" si="1406"/>
        <v>0</v>
      </c>
      <c r="CH367" s="465">
        <f t="shared" si="1406"/>
        <v>0</v>
      </c>
      <c r="CI367" s="465">
        <f t="shared" si="1406"/>
        <v>0</v>
      </c>
      <c r="CJ367" s="465">
        <f t="shared" si="1406"/>
        <v>0</v>
      </c>
      <c r="CK367" s="465">
        <f t="shared" si="1406"/>
        <v>0</v>
      </c>
      <c r="CL367" s="465">
        <f t="shared" si="1406"/>
        <v>0</v>
      </c>
      <c r="CM367" s="465">
        <f t="shared" si="1406"/>
        <v>0</v>
      </c>
      <c r="CN367" s="465">
        <f t="shared" si="1406"/>
        <v>0</v>
      </c>
      <c r="CO367" s="465">
        <f t="shared" si="1406"/>
        <v>0</v>
      </c>
      <c r="CP367" s="465">
        <f t="shared" si="1406"/>
        <v>0</v>
      </c>
      <c r="CQ367" s="465">
        <f t="shared" si="1406"/>
        <v>0</v>
      </c>
      <c r="CR367" s="465">
        <f t="shared" si="1406"/>
        <v>0</v>
      </c>
      <c r="CS367" s="465">
        <f t="shared" si="1406"/>
        <v>0</v>
      </c>
      <c r="CT367" s="465">
        <f t="shared" si="1406"/>
        <v>0</v>
      </c>
      <c r="CU367" s="465">
        <f t="shared" si="1406"/>
        <v>0</v>
      </c>
      <c r="CV367" s="465">
        <f t="shared" si="1406"/>
        <v>0</v>
      </c>
      <c r="CW367" s="465">
        <f t="shared" si="1406"/>
        <v>0</v>
      </c>
      <c r="CX367" s="465">
        <f t="shared" si="1406"/>
        <v>0</v>
      </c>
      <c r="CY367" s="465">
        <f t="shared" si="1406"/>
        <v>0</v>
      </c>
      <c r="CZ367" s="465">
        <f t="shared" si="1406"/>
        <v>0</v>
      </c>
      <c r="DA367" s="465">
        <f t="shared" si="1406"/>
        <v>0</v>
      </c>
      <c r="DB367" s="465">
        <f t="shared" si="1406"/>
        <v>0</v>
      </c>
      <c r="DC367" s="465">
        <f t="shared" si="1406"/>
        <v>0</v>
      </c>
      <c r="DD367" s="465">
        <f t="shared" si="1406"/>
        <v>0</v>
      </c>
      <c r="DE367" s="465">
        <f t="shared" si="1406"/>
        <v>0</v>
      </c>
      <c r="DF367" s="465">
        <f t="shared" si="1406"/>
        <v>0</v>
      </c>
      <c r="DG367" s="465">
        <f t="shared" si="1406"/>
        <v>0</v>
      </c>
      <c r="DH367" s="465">
        <f t="shared" si="1406"/>
        <v>0</v>
      </c>
      <c r="DI367" s="465">
        <f t="shared" si="1406"/>
        <v>0</v>
      </c>
    </row>
    <row r="368" spans="1:113" ht="16.05" customHeight="1" outlineLevel="1" x14ac:dyDescent="0.3">
      <c r="A368" s="455" t="str">
        <f t="shared" ref="A368:A402" si="1407">IF(E368="","","Imprimir")</f>
        <v>Imprimir</v>
      </c>
      <c r="B368" s="455"/>
      <c r="C368" s="481"/>
      <c r="D368" s="463" t="str">
        <f t="shared" ref="D368:D378" si="1408">CONCATENATE("EXT-",MID($E$367,1,3),"-",IF((ROW(D368)-ROW($D$368)+1)&lt;10,CONCATENATE("0",(ROW(D368)-ROW($D$368)+1)),(ROW(D368)-ROW($D$368)+1)))</f>
        <v>EXT-TAM-01</v>
      </c>
      <c r="E368" s="482" t="s">
        <v>3705</v>
      </c>
      <c r="F368" s="483" t="s">
        <v>663</v>
      </c>
      <c r="G368" s="484">
        <v>1</v>
      </c>
      <c r="H368" s="485">
        <v>36025.33</v>
      </c>
      <c r="I368" s="466">
        <f t="shared" ref="I368:I375" si="1409">G368*H368</f>
        <v>36025.33</v>
      </c>
      <c r="J368" s="259"/>
      <c r="K368" s="478">
        <f t="shared" ref="K368:K375" si="1410">SUM(N368:BI368)</f>
        <v>0</v>
      </c>
      <c r="L368" s="466">
        <f t="shared" ref="L368:L375" si="1411">K368*$H368</f>
        <v>0</v>
      </c>
      <c r="M368" s="257"/>
      <c r="N368" s="478"/>
      <c r="O368" s="478"/>
      <c r="P368" s="478"/>
      <c r="Q368" s="478"/>
      <c r="R368" s="478"/>
      <c r="S368" s="478"/>
      <c r="T368" s="478"/>
      <c r="U368" s="478"/>
      <c r="V368" s="478"/>
      <c r="W368" s="478"/>
      <c r="X368" s="478"/>
      <c r="Y368" s="478"/>
      <c r="Z368" s="478"/>
      <c r="AA368" s="478"/>
      <c r="AB368" s="478"/>
      <c r="AC368" s="478"/>
      <c r="AD368" s="478"/>
      <c r="AE368" s="478"/>
      <c r="AF368" s="478"/>
      <c r="AG368" s="478"/>
      <c r="AH368" s="478"/>
      <c r="AI368" s="478"/>
      <c r="AJ368" s="478"/>
      <c r="AK368" s="478"/>
      <c r="AL368" s="478"/>
      <c r="AM368" s="478"/>
      <c r="AN368" s="478"/>
      <c r="AO368" s="478"/>
      <c r="AP368" s="478"/>
      <c r="AQ368" s="478"/>
      <c r="AR368" s="478"/>
      <c r="AS368" s="478"/>
      <c r="AT368" s="478"/>
      <c r="AU368" s="478"/>
      <c r="AV368" s="478"/>
      <c r="AW368" s="478"/>
      <c r="AX368" s="478"/>
      <c r="AY368" s="478"/>
      <c r="AZ368" s="478"/>
      <c r="BA368" s="478"/>
      <c r="BB368" s="478"/>
      <c r="BC368" s="478"/>
      <c r="BD368" s="478"/>
      <c r="BE368" s="478"/>
      <c r="BF368" s="478"/>
      <c r="BG368" s="478"/>
      <c r="BH368" s="478"/>
      <c r="BI368" s="478"/>
      <c r="BJ368" s="245"/>
      <c r="BK368" s="477">
        <f t="shared" ref="BK368:BK375" si="1412">IFERROR(BL368/I368,0)</f>
        <v>0</v>
      </c>
      <c r="BL368" s="466">
        <f t="shared" ref="BL368:BL375" si="1413">SUM(BN368:DJ368)*$H368</f>
        <v>0</v>
      </c>
      <c r="BM368" s="257"/>
      <c r="BN368" s="478"/>
      <c r="BO368" s="478"/>
      <c r="BP368" s="478"/>
      <c r="BQ368" s="478"/>
      <c r="BR368" s="478"/>
      <c r="BS368" s="478"/>
      <c r="BT368" s="478"/>
      <c r="BU368" s="478"/>
      <c r="BV368" s="478"/>
      <c r="BW368" s="478"/>
      <c r="BX368" s="478"/>
      <c r="BY368" s="478"/>
      <c r="BZ368" s="478"/>
      <c r="CA368" s="478"/>
      <c r="CB368" s="478"/>
      <c r="CC368" s="478"/>
      <c r="CD368" s="478"/>
      <c r="CE368" s="478"/>
      <c r="CF368" s="478"/>
      <c r="CG368" s="478"/>
      <c r="CH368" s="478"/>
      <c r="CI368" s="478"/>
      <c r="CJ368" s="478"/>
      <c r="CK368" s="478"/>
      <c r="CL368" s="478"/>
      <c r="CM368" s="478"/>
      <c r="CN368" s="478"/>
      <c r="CO368" s="478"/>
      <c r="CP368" s="478"/>
      <c r="CQ368" s="478"/>
      <c r="CR368" s="478"/>
      <c r="CS368" s="478"/>
      <c r="CT368" s="478"/>
      <c r="CU368" s="478"/>
      <c r="CV368" s="478"/>
      <c r="CW368" s="478"/>
      <c r="CX368" s="478"/>
      <c r="CY368" s="478"/>
      <c r="CZ368" s="478"/>
      <c r="DA368" s="478"/>
      <c r="DB368" s="478"/>
      <c r="DC368" s="478"/>
      <c r="DD368" s="478"/>
      <c r="DE368" s="478"/>
      <c r="DF368" s="478"/>
      <c r="DG368" s="478"/>
      <c r="DH368" s="478"/>
      <c r="DI368" s="478"/>
    </row>
    <row r="369" spans="1:113" ht="16.05" customHeight="1" outlineLevel="1" x14ac:dyDescent="0.3">
      <c r="A369" s="455" t="str">
        <f t="shared" si="1407"/>
        <v>Imprimir</v>
      </c>
      <c r="B369" s="455"/>
      <c r="C369" s="481"/>
      <c r="D369" s="463" t="str">
        <f t="shared" si="1408"/>
        <v>EXT-TAM-02</v>
      </c>
      <c r="E369" s="482" t="s">
        <v>668</v>
      </c>
      <c r="F369" s="483" t="s">
        <v>669</v>
      </c>
      <c r="G369" s="484">
        <v>3.9760874999999998</v>
      </c>
      <c r="H369" s="485">
        <v>3586.42</v>
      </c>
      <c r="I369" s="466">
        <f t="shared" si="1409"/>
        <v>14259.91973175</v>
      </c>
      <c r="J369" s="259"/>
      <c r="K369" s="478">
        <f t="shared" si="1410"/>
        <v>0</v>
      </c>
      <c r="L369" s="466">
        <f t="shared" si="1411"/>
        <v>0</v>
      </c>
      <c r="M369" s="257"/>
      <c r="N369" s="478"/>
      <c r="O369" s="478"/>
      <c r="P369" s="478"/>
      <c r="Q369" s="478"/>
      <c r="R369" s="478"/>
      <c r="S369" s="478"/>
      <c r="T369" s="478"/>
      <c r="U369" s="478"/>
      <c r="V369" s="478"/>
      <c r="W369" s="478"/>
      <c r="X369" s="478"/>
      <c r="Y369" s="478"/>
      <c r="Z369" s="478"/>
      <c r="AA369" s="478"/>
      <c r="AB369" s="478"/>
      <c r="AC369" s="478"/>
      <c r="AD369" s="478"/>
      <c r="AE369" s="478"/>
      <c r="AF369" s="478"/>
      <c r="AG369" s="478"/>
      <c r="AH369" s="478"/>
      <c r="AI369" s="478"/>
      <c r="AJ369" s="478"/>
      <c r="AK369" s="478"/>
      <c r="AL369" s="478"/>
      <c r="AM369" s="478"/>
      <c r="AN369" s="478"/>
      <c r="AO369" s="478"/>
      <c r="AP369" s="478"/>
      <c r="AQ369" s="478"/>
      <c r="AR369" s="478"/>
      <c r="AS369" s="478"/>
      <c r="AT369" s="478"/>
      <c r="AU369" s="478"/>
      <c r="AV369" s="478"/>
      <c r="AW369" s="478"/>
      <c r="AX369" s="478"/>
      <c r="AY369" s="478"/>
      <c r="AZ369" s="478"/>
      <c r="BA369" s="478"/>
      <c r="BB369" s="478"/>
      <c r="BC369" s="478"/>
      <c r="BD369" s="478"/>
      <c r="BE369" s="478"/>
      <c r="BF369" s="478"/>
      <c r="BG369" s="478"/>
      <c r="BH369" s="478"/>
      <c r="BI369" s="478"/>
      <c r="BJ369" s="245"/>
      <c r="BK369" s="477">
        <f t="shared" si="1412"/>
        <v>0</v>
      </c>
      <c r="BL369" s="466">
        <f t="shared" si="1413"/>
        <v>0</v>
      </c>
      <c r="BM369" s="257"/>
      <c r="BN369" s="478"/>
      <c r="BO369" s="478"/>
      <c r="BP369" s="478"/>
      <c r="BQ369" s="478"/>
      <c r="BR369" s="478"/>
      <c r="BS369" s="478"/>
      <c r="BT369" s="478"/>
      <c r="BU369" s="478"/>
      <c r="BV369" s="478"/>
      <c r="BW369" s="478"/>
      <c r="BX369" s="478"/>
      <c r="BY369" s="478"/>
      <c r="BZ369" s="478"/>
      <c r="CA369" s="478"/>
      <c r="CB369" s="478"/>
      <c r="CC369" s="478"/>
      <c r="CD369" s="478"/>
      <c r="CE369" s="478"/>
      <c r="CF369" s="478"/>
      <c r="CG369" s="478"/>
      <c r="CH369" s="478"/>
      <c r="CI369" s="478"/>
      <c r="CJ369" s="478"/>
      <c r="CK369" s="478"/>
      <c r="CL369" s="478"/>
      <c r="CM369" s="478"/>
      <c r="CN369" s="478"/>
      <c r="CO369" s="478"/>
      <c r="CP369" s="478"/>
      <c r="CQ369" s="478"/>
      <c r="CR369" s="478"/>
      <c r="CS369" s="478"/>
      <c r="CT369" s="478"/>
      <c r="CU369" s="478"/>
      <c r="CV369" s="478"/>
      <c r="CW369" s="478"/>
      <c r="CX369" s="478"/>
      <c r="CY369" s="478"/>
      <c r="CZ369" s="478"/>
      <c r="DA369" s="478"/>
      <c r="DB369" s="478"/>
      <c r="DC369" s="478"/>
      <c r="DD369" s="478"/>
      <c r="DE369" s="478"/>
      <c r="DF369" s="478"/>
      <c r="DG369" s="478"/>
      <c r="DH369" s="478"/>
      <c r="DI369" s="478"/>
    </row>
    <row r="370" spans="1:113" ht="16.05" customHeight="1" outlineLevel="1" x14ac:dyDescent="0.3">
      <c r="A370" s="455" t="str">
        <f t="shared" si="1407"/>
        <v>Imprimir</v>
      </c>
      <c r="B370" s="455"/>
      <c r="C370" s="481"/>
      <c r="D370" s="463" t="str">
        <f t="shared" si="1408"/>
        <v>EXT-TAM-03</v>
      </c>
      <c r="E370" s="482" t="s">
        <v>3706</v>
      </c>
      <c r="F370" s="483" t="s">
        <v>669</v>
      </c>
      <c r="G370" s="484">
        <v>2.7390824999999999</v>
      </c>
      <c r="H370" s="485">
        <v>6658.98</v>
      </c>
      <c r="I370" s="466">
        <f t="shared" si="1409"/>
        <v>18239.495585849996</v>
      </c>
      <c r="J370" s="259"/>
      <c r="K370" s="478">
        <f t="shared" si="1410"/>
        <v>0</v>
      </c>
      <c r="L370" s="466">
        <f t="shared" si="1411"/>
        <v>0</v>
      </c>
      <c r="M370" s="257"/>
      <c r="N370" s="478"/>
      <c r="O370" s="478"/>
      <c r="P370" s="478"/>
      <c r="Q370" s="478"/>
      <c r="R370" s="478"/>
      <c r="S370" s="478"/>
      <c r="T370" s="478"/>
      <c r="U370" s="478"/>
      <c r="V370" s="478"/>
      <c r="W370" s="478"/>
      <c r="X370" s="478"/>
      <c r="Y370" s="478"/>
      <c r="Z370" s="478"/>
      <c r="AA370" s="478"/>
      <c r="AB370" s="478"/>
      <c r="AC370" s="478"/>
      <c r="AD370" s="478"/>
      <c r="AE370" s="478"/>
      <c r="AF370" s="478"/>
      <c r="AG370" s="478"/>
      <c r="AH370" s="478"/>
      <c r="AI370" s="478"/>
      <c r="AJ370" s="478"/>
      <c r="AK370" s="478"/>
      <c r="AL370" s="478"/>
      <c r="AM370" s="478"/>
      <c r="AN370" s="478"/>
      <c r="AO370" s="478"/>
      <c r="AP370" s="478"/>
      <c r="AQ370" s="478"/>
      <c r="AR370" s="478"/>
      <c r="AS370" s="478"/>
      <c r="AT370" s="478"/>
      <c r="AU370" s="478"/>
      <c r="AV370" s="478"/>
      <c r="AW370" s="478"/>
      <c r="AX370" s="478"/>
      <c r="AY370" s="478"/>
      <c r="AZ370" s="478"/>
      <c r="BA370" s="478"/>
      <c r="BB370" s="478"/>
      <c r="BC370" s="478"/>
      <c r="BD370" s="478"/>
      <c r="BE370" s="478"/>
      <c r="BF370" s="478"/>
      <c r="BG370" s="478"/>
      <c r="BH370" s="478"/>
      <c r="BI370" s="478"/>
      <c r="BJ370" s="245"/>
      <c r="BK370" s="477">
        <f t="shared" si="1412"/>
        <v>0</v>
      </c>
      <c r="BL370" s="466">
        <f t="shared" si="1413"/>
        <v>0</v>
      </c>
      <c r="BM370" s="257"/>
      <c r="BN370" s="478"/>
      <c r="BO370" s="478"/>
      <c r="BP370" s="478"/>
      <c r="BQ370" s="478"/>
      <c r="BR370" s="478"/>
      <c r="BS370" s="478"/>
      <c r="BT370" s="478"/>
      <c r="BU370" s="478"/>
      <c r="BV370" s="478"/>
      <c r="BW370" s="478"/>
      <c r="BX370" s="478"/>
      <c r="BY370" s="478"/>
      <c r="BZ370" s="478"/>
      <c r="CA370" s="478"/>
      <c r="CB370" s="478"/>
      <c r="CC370" s="478"/>
      <c r="CD370" s="478"/>
      <c r="CE370" s="478"/>
      <c r="CF370" s="478"/>
      <c r="CG370" s="478"/>
      <c r="CH370" s="478"/>
      <c r="CI370" s="478"/>
      <c r="CJ370" s="478"/>
      <c r="CK370" s="478"/>
      <c r="CL370" s="478"/>
      <c r="CM370" s="478"/>
      <c r="CN370" s="478"/>
      <c r="CO370" s="478"/>
      <c r="CP370" s="478"/>
      <c r="CQ370" s="478"/>
      <c r="CR370" s="478"/>
      <c r="CS370" s="478"/>
      <c r="CT370" s="478"/>
      <c r="CU370" s="478"/>
      <c r="CV370" s="478"/>
      <c r="CW370" s="478"/>
      <c r="CX370" s="478"/>
      <c r="CY370" s="478"/>
      <c r="CZ370" s="478"/>
      <c r="DA370" s="478"/>
      <c r="DB370" s="478"/>
      <c r="DC370" s="478"/>
      <c r="DD370" s="478"/>
      <c r="DE370" s="478"/>
      <c r="DF370" s="478"/>
      <c r="DG370" s="478"/>
      <c r="DH370" s="478"/>
      <c r="DI370" s="478"/>
    </row>
    <row r="371" spans="1:113" ht="16.05" customHeight="1" outlineLevel="1" x14ac:dyDescent="0.3">
      <c r="A371" s="455" t="str">
        <f t="shared" si="1407"/>
        <v>Imprimir</v>
      </c>
      <c r="B371" s="455"/>
      <c r="C371" s="481"/>
      <c r="D371" s="463" t="str">
        <f t="shared" si="1408"/>
        <v>EXT-TAM-04</v>
      </c>
      <c r="E371" s="482" t="s">
        <v>3707</v>
      </c>
      <c r="F371" s="483" t="s">
        <v>669</v>
      </c>
      <c r="G371" s="484">
        <v>2.7390824999999999</v>
      </c>
      <c r="H371" s="485">
        <v>2123.23</v>
      </c>
      <c r="I371" s="466">
        <f t="shared" si="1409"/>
        <v>5815.7021364749999</v>
      </c>
      <c r="J371" s="259"/>
      <c r="K371" s="478">
        <f t="shared" si="1410"/>
        <v>0</v>
      </c>
      <c r="L371" s="466">
        <f t="shared" si="1411"/>
        <v>0</v>
      </c>
      <c r="M371" s="257"/>
      <c r="N371" s="478"/>
      <c r="O371" s="478"/>
      <c r="P371" s="478"/>
      <c r="Q371" s="478"/>
      <c r="R371" s="478"/>
      <c r="S371" s="478"/>
      <c r="T371" s="478"/>
      <c r="U371" s="478"/>
      <c r="V371" s="478"/>
      <c r="W371" s="478"/>
      <c r="X371" s="478"/>
      <c r="Y371" s="478"/>
      <c r="Z371" s="478"/>
      <c r="AA371" s="478"/>
      <c r="AB371" s="478"/>
      <c r="AC371" s="478"/>
      <c r="AD371" s="478"/>
      <c r="AE371" s="478"/>
      <c r="AF371" s="478"/>
      <c r="AG371" s="478"/>
      <c r="AH371" s="478"/>
      <c r="AI371" s="478"/>
      <c r="AJ371" s="478"/>
      <c r="AK371" s="478"/>
      <c r="AL371" s="478"/>
      <c r="AM371" s="478"/>
      <c r="AN371" s="478"/>
      <c r="AO371" s="478"/>
      <c r="AP371" s="478"/>
      <c r="AQ371" s="478"/>
      <c r="AR371" s="478"/>
      <c r="AS371" s="478"/>
      <c r="AT371" s="478"/>
      <c r="AU371" s="478"/>
      <c r="AV371" s="478"/>
      <c r="AW371" s="478"/>
      <c r="AX371" s="478"/>
      <c r="AY371" s="478"/>
      <c r="AZ371" s="478"/>
      <c r="BA371" s="478"/>
      <c r="BB371" s="478"/>
      <c r="BC371" s="478"/>
      <c r="BD371" s="478"/>
      <c r="BE371" s="478"/>
      <c r="BF371" s="478"/>
      <c r="BG371" s="478"/>
      <c r="BH371" s="478"/>
      <c r="BI371" s="478"/>
      <c r="BJ371" s="245"/>
      <c r="BK371" s="477">
        <f t="shared" si="1412"/>
        <v>0</v>
      </c>
      <c r="BL371" s="466">
        <f t="shared" si="1413"/>
        <v>0</v>
      </c>
      <c r="BM371" s="257"/>
      <c r="BN371" s="478"/>
      <c r="BO371" s="478"/>
      <c r="BP371" s="478"/>
      <c r="BQ371" s="478"/>
      <c r="BR371" s="478"/>
      <c r="BS371" s="478"/>
      <c r="BT371" s="478"/>
      <c r="BU371" s="478"/>
      <c r="BV371" s="478"/>
      <c r="BW371" s="478"/>
      <c r="BX371" s="478"/>
      <c r="BY371" s="478"/>
      <c r="BZ371" s="478"/>
      <c r="CA371" s="478"/>
      <c r="CB371" s="478"/>
      <c r="CC371" s="478"/>
      <c r="CD371" s="478"/>
      <c r="CE371" s="478"/>
      <c r="CF371" s="478"/>
      <c r="CG371" s="478"/>
      <c r="CH371" s="478"/>
      <c r="CI371" s="478"/>
      <c r="CJ371" s="478"/>
      <c r="CK371" s="478"/>
      <c r="CL371" s="478"/>
      <c r="CM371" s="478"/>
      <c r="CN371" s="478"/>
      <c r="CO371" s="478"/>
      <c r="CP371" s="478"/>
      <c r="CQ371" s="478"/>
      <c r="CR371" s="478"/>
      <c r="CS371" s="478"/>
      <c r="CT371" s="478"/>
      <c r="CU371" s="478"/>
      <c r="CV371" s="478"/>
      <c r="CW371" s="478"/>
      <c r="CX371" s="478"/>
      <c r="CY371" s="478"/>
      <c r="CZ371" s="478"/>
      <c r="DA371" s="478"/>
      <c r="DB371" s="478"/>
      <c r="DC371" s="478"/>
      <c r="DD371" s="478"/>
      <c r="DE371" s="478"/>
      <c r="DF371" s="478"/>
      <c r="DG371" s="478"/>
      <c r="DH371" s="478"/>
      <c r="DI371" s="478"/>
    </row>
    <row r="372" spans="1:113" ht="16.05" customHeight="1" outlineLevel="1" x14ac:dyDescent="0.3">
      <c r="A372" s="455" t="str">
        <f t="shared" si="1407"/>
        <v>Imprimir</v>
      </c>
      <c r="B372" s="455"/>
      <c r="C372" s="481"/>
      <c r="D372" s="463" t="str">
        <f t="shared" si="1408"/>
        <v>EXT-TAM-05</v>
      </c>
      <c r="E372" s="482" t="s">
        <v>3708</v>
      </c>
      <c r="F372" s="483" t="s">
        <v>669</v>
      </c>
      <c r="G372" s="484">
        <v>0</v>
      </c>
      <c r="H372" s="485">
        <v>3586.42</v>
      </c>
      <c r="I372" s="466">
        <f t="shared" si="1409"/>
        <v>0</v>
      </c>
      <c r="J372" s="259"/>
      <c r="K372" s="478">
        <f t="shared" si="1410"/>
        <v>0</v>
      </c>
      <c r="L372" s="466">
        <f t="shared" si="1411"/>
        <v>0</v>
      </c>
      <c r="M372" s="257"/>
      <c r="N372" s="478"/>
      <c r="O372" s="478"/>
      <c r="P372" s="478"/>
      <c r="Q372" s="478"/>
      <c r="R372" s="478"/>
      <c r="S372" s="478"/>
      <c r="T372" s="478"/>
      <c r="U372" s="478"/>
      <c r="V372" s="478"/>
      <c r="W372" s="478"/>
      <c r="X372" s="478"/>
      <c r="Y372" s="478"/>
      <c r="Z372" s="478"/>
      <c r="AA372" s="478"/>
      <c r="AB372" s="478"/>
      <c r="AC372" s="478"/>
      <c r="AD372" s="478"/>
      <c r="AE372" s="478"/>
      <c r="AF372" s="478"/>
      <c r="AG372" s="478"/>
      <c r="AH372" s="478"/>
      <c r="AI372" s="478"/>
      <c r="AJ372" s="478"/>
      <c r="AK372" s="478"/>
      <c r="AL372" s="478"/>
      <c r="AM372" s="478"/>
      <c r="AN372" s="478"/>
      <c r="AO372" s="478"/>
      <c r="AP372" s="478"/>
      <c r="AQ372" s="478"/>
      <c r="AR372" s="478"/>
      <c r="AS372" s="478"/>
      <c r="AT372" s="478"/>
      <c r="AU372" s="478"/>
      <c r="AV372" s="478"/>
      <c r="AW372" s="478"/>
      <c r="AX372" s="478"/>
      <c r="AY372" s="478"/>
      <c r="AZ372" s="478"/>
      <c r="BA372" s="478"/>
      <c r="BB372" s="478"/>
      <c r="BC372" s="478"/>
      <c r="BD372" s="478"/>
      <c r="BE372" s="478"/>
      <c r="BF372" s="478"/>
      <c r="BG372" s="478"/>
      <c r="BH372" s="478"/>
      <c r="BI372" s="478"/>
      <c r="BJ372" s="245"/>
      <c r="BK372" s="477">
        <f t="shared" si="1412"/>
        <v>0</v>
      </c>
      <c r="BL372" s="466">
        <f t="shared" si="1413"/>
        <v>0</v>
      </c>
      <c r="BM372" s="257"/>
      <c r="BN372" s="478"/>
      <c r="BO372" s="478"/>
      <c r="BP372" s="478"/>
      <c r="BQ372" s="478"/>
      <c r="BR372" s="478"/>
      <c r="BS372" s="478"/>
      <c r="BT372" s="478"/>
      <c r="BU372" s="478"/>
      <c r="BV372" s="478"/>
      <c r="BW372" s="478"/>
      <c r="BX372" s="478"/>
      <c r="BY372" s="478"/>
      <c r="BZ372" s="478"/>
      <c r="CA372" s="478"/>
      <c r="CB372" s="478"/>
      <c r="CC372" s="478"/>
      <c r="CD372" s="478"/>
      <c r="CE372" s="478"/>
      <c r="CF372" s="478"/>
      <c r="CG372" s="478"/>
      <c r="CH372" s="478"/>
      <c r="CI372" s="478"/>
      <c r="CJ372" s="478"/>
      <c r="CK372" s="478"/>
      <c r="CL372" s="478"/>
      <c r="CM372" s="478"/>
      <c r="CN372" s="478"/>
      <c r="CO372" s="478"/>
      <c r="CP372" s="478"/>
      <c r="CQ372" s="478"/>
      <c r="CR372" s="478"/>
      <c r="CS372" s="478"/>
      <c r="CT372" s="478"/>
      <c r="CU372" s="478"/>
      <c r="CV372" s="478"/>
      <c r="CW372" s="478"/>
      <c r="CX372" s="478"/>
      <c r="CY372" s="478"/>
      <c r="CZ372" s="478"/>
      <c r="DA372" s="478"/>
      <c r="DB372" s="478"/>
      <c r="DC372" s="478"/>
      <c r="DD372" s="478"/>
      <c r="DE372" s="478"/>
      <c r="DF372" s="478"/>
      <c r="DG372" s="478"/>
      <c r="DH372" s="478"/>
      <c r="DI372" s="478"/>
    </row>
    <row r="373" spans="1:113" ht="16.05" customHeight="1" outlineLevel="1" x14ac:dyDescent="0.3">
      <c r="A373" s="455" t="str">
        <f t="shared" si="1407"/>
        <v>Imprimir</v>
      </c>
      <c r="B373" s="455"/>
      <c r="C373" s="481"/>
      <c r="D373" s="463" t="str">
        <f t="shared" si="1408"/>
        <v>EXT-TAM-06</v>
      </c>
      <c r="E373" s="482" t="s">
        <v>3706</v>
      </c>
      <c r="F373" s="483" t="s">
        <v>669</v>
      </c>
      <c r="G373" s="484">
        <v>0</v>
      </c>
      <c r="H373" s="485">
        <v>6658.98</v>
      </c>
      <c r="I373" s="466">
        <f t="shared" si="1409"/>
        <v>0</v>
      </c>
      <c r="J373" s="259"/>
      <c r="K373" s="478">
        <f t="shared" si="1410"/>
        <v>0</v>
      </c>
      <c r="L373" s="466">
        <f t="shared" si="1411"/>
        <v>0</v>
      </c>
      <c r="M373" s="257"/>
      <c r="N373" s="478"/>
      <c r="O373" s="478"/>
      <c r="P373" s="478"/>
      <c r="Q373" s="478"/>
      <c r="R373" s="478"/>
      <c r="S373" s="478"/>
      <c r="T373" s="478"/>
      <c r="U373" s="478"/>
      <c r="V373" s="478"/>
      <c r="W373" s="478"/>
      <c r="X373" s="478"/>
      <c r="Y373" s="478"/>
      <c r="Z373" s="478"/>
      <c r="AA373" s="478"/>
      <c r="AB373" s="478"/>
      <c r="AC373" s="478"/>
      <c r="AD373" s="478"/>
      <c r="AE373" s="478"/>
      <c r="AF373" s="478"/>
      <c r="AG373" s="478"/>
      <c r="AH373" s="478"/>
      <c r="AI373" s="478"/>
      <c r="AJ373" s="478"/>
      <c r="AK373" s="478"/>
      <c r="AL373" s="478"/>
      <c r="AM373" s="478"/>
      <c r="AN373" s="478"/>
      <c r="AO373" s="478"/>
      <c r="AP373" s="478"/>
      <c r="AQ373" s="478"/>
      <c r="AR373" s="478"/>
      <c r="AS373" s="478"/>
      <c r="AT373" s="478"/>
      <c r="AU373" s="478"/>
      <c r="AV373" s="478"/>
      <c r="AW373" s="478"/>
      <c r="AX373" s="478"/>
      <c r="AY373" s="478"/>
      <c r="AZ373" s="478"/>
      <c r="BA373" s="478"/>
      <c r="BB373" s="478"/>
      <c r="BC373" s="478"/>
      <c r="BD373" s="478"/>
      <c r="BE373" s="478"/>
      <c r="BF373" s="478"/>
      <c r="BG373" s="478"/>
      <c r="BH373" s="478"/>
      <c r="BI373" s="478"/>
      <c r="BJ373" s="245"/>
      <c r="BK373" s="477">
        <f t="shared" si="1412"/>
        <v>0</v>
      </c>
      <c r="BL373" s="466">
        <f t="shared" si="1413"/>
        <v>0</v>
      </c>
      <c r="BM373" s="257"/>
      <c r="BN373" s="478"/>
      <c r="BO373" s="478"/>
      <c r="BP373" s="478"/>
      <c r="BQ373" s="478"/>
      <c r="BR373" s="478"/>
      <c r="BS373" s="478"/>
      <c r="BT373" s="478"/>
      <c r="BU373" s="478"/>
      <c r="BV373" s="478"/>
      <c r="BW373" s="478"/>
      <c r="BX373" s="478"/>
      <c r="BY373" s="478"/>
      <c r="BZ373" s="478"/>
      <c r="CA373" s="478"/>
      <c r="CB373" s="478"/>
      <c r="CC373" s="478"/>
      <c r="CD373" s="478"/>
      <c r="CE373" s="478"/>
      <c r="CF373" s="478"/>
      <c r="CG373" s="478"/>
      <c r="CH373" s="478"/>
      <c r="CI373" s="478"/>
      <c r="CJ373" s="478"/>
      <c r="CK373" s="478"/>
      <c r="CL373" s="478"/>
      <c r="CM373" s="478"/>
      <c r="CN373" s="478"/>
      <c r="CO373" s="478"/>
      <c r="CP373" s="478"/>
      <c r="CQ373" s="478"/>
      <c r="CR373" s="478"/>
      <c r="CS373" s="478"/>
      <c r="CT373" s="478"/>
      <c r="CU373" s="478"/>
      <c r="CV373" s="478"/>
      <c r="CW373" s="478"/>
      <c r="CX373" s="478"/>
      <c r="CY373" s="478"/>
      <c r="CZ373" s="478"/>
      <c r="DA373" s="478"/>
      <c r="DB373" s="478"/>
      <c r="DC373" s="478"/>
      <c r="DD373" s="478"/>
      <c r="DE373" s="478"/>
      <c r="DF373" s="478"/>
      <c r="DG373" s="478"/>
      <c r="DH373" s="478"/>
      <c r="DI373" s="478"/>
    </row>
    <row r="374" spans="1:113" ht="16.05" customHeight="1" outlineLevel="1" x14ac:dyDescent="0.3">
      <c r="A374" s="455" t="str">
        <f t="shared" si="1407"/>
        <v>Imprimir</v>
      </c>
      <c r="B374" s="455"/>
      <c r="C374" s="481"/>
      <c r="D374" s="463" t="str">
        <f t="shared" si="1408"/>
        <v>EXT-TAM-07</v>
      </c>
      <c r="E374" s="482" t="s">
        <v>3709</v>
      </c>
      <c r="F374" s="483" t="s">
        <v>669</v>
      </c>
      <c r="G374" s="484">
        <v>0</v>
      </c>
      <c r="H374" s="485">
        <v>2123.23</v>
      </c>
      <c r="I374" s="466">
        <f t="shared" si="1409"/>
        <v>0</v>
      </c>
      <c r="J374" s="259"/>
      <c r="K374" s="478">
        <f t="shared" si="1410"/>
        <v>0</v>
      </c>
      <c r="L374" s="466">
        <f t="shared" si="1411"/>
        <v>0</v>
      </c>
      <c r="M374" s="257"/>
      <c r="N374" s="478"/>
      <c r="O374" s="478"/>
      <c r="P374" s="478"/>
      <c r="Q374" s="478"/>
      <c r="R374" s="478"/>
      <c r="S374" s="478"/>
      <c r="T374" s="478"/>
      <c r="U374" s="478"/>
      <c r="V374" s="478"/>
      <c r="W374" s="478"/>
      <c r="X374" s="478"/>
      <c r="Y374" s="478"/>
      <c r="Z374" s="478"/>
      <c r="AA374" s="478"/>
      <c r="AB374" s="478"/>
      <c r="AC374" s="478"/>
      <c r="AD374" s="478"/>
      <c r="AE374" s="478"/>
      <c r="AF374" s="478"/>
      <c r="AG374" s="478"/>
      <c r="AH374" s="478"/>
      <c r="AI374" s="478"/>
      <c r="AJ374" s="478"/>
      <c r="AK374" s="478"/>
      <c r="AL374" s="478"/>
      <c r="AM374" s="478"/>
      <c r="AN374" s="478"/>
      <c r="AO374" s="478"/>
      <c r="AP374" s="478"/>
      <c r="AQ374" s="478"/>
      <c r="AR374" s="478"/>
      <c r="AS374" s="478"/>
      <c r="AT374" s="478"/>
      <c r="AU374" s="478"/>
      <c r="AV374" s="478"/>
      <c r="AW374" s="478"/>
      <c r="AX374" s="478"/>
      <c r="AY374" s="478"/>
      <c r="AZ374" s="478"/>
      <c r="BA374" s="478"/>
      <c r="BB374" s="478"/>
      <c r="BC374" s="478"/>
      <c r="BD374" s="478"/>
      <c r="BE374" s="478"/>
      <c r="BF374" s="478"/>
      <c r="BG374" s="478"/>
      <c r="BH374" s="478"/>
      <c r="BI374" s="478"/>
      <c r="BJ374" s="245"/>
      <c r="BK374" s="477">
        <f t="shared" si="1412"/>
        <v>0</v>
      </c>
      <c r="BL374" s="466">
        <f t="shared" si="1413"/>
        <v>0</v>
      </c>
      <c r="BM374" s="257"/>
      <c r="BN374" s="478"/>
      <c r="BO374" s="478"/>
      <c r="BP374" s="478"/>
      <c r="BQ374" s="478"/>
      <c r="BR374" s="478"/>
      <c r="BS374" s="478"/>
      <c r="BT374" s="478"/>
      <c r="BU374" s="478"/>
      <c r="BV374" s="478"/>
      <c r="BW374" s="478"/>
      <c r="BX374" s="478"/>
      <c r="BY374" s="478"/>
      <c r="BZ374" s="478"/>
      <c r="CA374" s="478"/>
      <c r="CB374" s="478"/>
      <c r="CC374" s="478"/>
      <c r="CD374" s="478"/>
      <c r="CE374" s="478"/>
      <c r="CF374" s="478"/>
      <c r="CG374" s="478"/>
      <c r="CH374" s="478"/>
      <c r="CI374" s="478"/>
      <c r="CJ374" s="478"/>
      <c r="CK374" s="478"/>
      <c r="CL374" s="478"/>
      <c r="CM374" s="478"/>
      <c r="CN374" s="478"/>
      <c r="CO374" s="478"/>
      <c r="CP374" s="478"/>
      <c r="CQ374" s="478"/>
      <c r="CR374" s="478"/>
      <c r="CS374" s="478"/>
      <c r="CT374" s="478"/>
      <c r="CU374" s="478"/>
      <c r="CV374" s="478"/>
      <c r="CW374" s="478"/>
      <c r="CX374" s="478"/>
      <c r="CY374" s="478"/>
      <c r="CZ374" s="478"/>
      <c r="DA374" s="478"/>
      <c r="DB374" s="478"/>
      <c r="DC374" s="478"/>
      <c r="DD374" s="478"/>
      <c r="DE374" s="478"/>
      <c r="DF374" s="478"/>
      <c r="DG374" s="478"/>
      <c r="DH374" s="478"/>
      <c r="DI374" s="478"/>
    </row>
    <row r="375" spans="1:113" ht="16.05" customHeight="1" outlineLevel="1" x14ac:dyDescent="0.3">
      <c r="A375" s="455" t="str">
        <f t="shared" si="1407"/>
        <v>Imprimir</v>
      </c>
      <c r="B375" s="455"/>
      <c r="C375" s="481"/>
      <c r="D375" s="463" t="str">
        <f t="shared" si="1408"/>
        <v>EXT-TAM-08</v>
      </c>
      <c r="E375" s="482" t="s">
        <v>3710</v>
      </c>
      <c r="F375" s="483" t="s">
        <v>3713</v>
      </c>
      <c r="G375" s="484">
        <v>0</v>
      </c>
      <c r="H375" s="485">
        <v>3542</v>
      </c>
      <c r="I375" s="466">
        <f t="shared" si="1409"/>
        <v>0</v>
      </c>
      <c r="J375" s="259"/>
      <c r="K375" s="478">
        <f t="shared" si="1410"/>
        <v>0</v>
      </c>
      <c r="L375" s="466">
        <f t="shared" si="1411"/>
        <v>0</v>
      </c>
      <c r="M375" s="257"/>
      <c r="N375" s="478"/>
      <c r="O375" s="478"/>
      <c r="P375" s="478"/>
      <c r="Q375" s="478"/>
      <c r="R375" s="478"/>
      <c r="S375" s="478"/>
      <c r="T375" s="478"/>
      <c r="U375" s="478"/>
      <c r="V375" s="478"/>
      <c r="W375" s="478"/>
      <c r="X375" s="478"/>
      <c r="Y375" s="478"/>
      <c r="Z375" s="478"/>
      <c r="AA375" s="478"/>
      <c r="AB375" s="478"/>
      <c r="AC375" s="478"/>
      <c r="AD375" s="478"/>
      <c r="AE375" s="478"/>
      <c r="AF375" s="478"/>
      <c r="AG375" s="478"/>
      <c r="AH375" s="478"/>
      <c r="AI375" s="478"/>
      <c r="AJ375" s="478"/>
      <c r="AK375" s="478"/>
      <c r="AL375" s="478"/>
      <c r="AM375" s="478"/>
      <c r="AN375" s="478"/>
      <c r="AO375" s="478"/>
      <c r="AP375" s="478"/>
      <c r="AQ375" s="478"/>
      <c r="AR375" s="478"/>
      <c r="AS375" s="478"/>
      <c r="AT375" s="478"/>
      <c r="AU375" s="478"/>
      <c r="AV375" s="478"/>
      <c r="AW375" s="478"/>
      <c r="AX375" s="478"/>
      <c r="AY375" s="478"/>
      <c r="AZ375" s="478"/>
      <c r="BA375" s="478"/>
      <c r="BB375" s="478"/>
      <c r="BC375" s="478"/>
      <c r="BD375" s="478"/>
      <c r="BE375" s="478"/>
      <c r="BF375" s="478"/>
      <c r="BG375" s="478"/>
      <c r="BH375" s="478"/>
      <c r="BI375" s="478"/>
      <c r="BJ375" s="245"/>
      <c r="BK375" s="477">
        <f t="shared" si="1412"/>
        <v>0</v>
      </c>
      <c r="BL375" s="466">
        <f t="shared" si="1413"/>
        <v>0</v>
      </c>
      <c r="BM375" s="257"/>
      <c r="BN375" s="478"/>
      <c r="BO375" s="478"/>
      <c r="BP375" s="478"/>
      <c r="BQ375" s="478"/>
      <c r="BR375" s="478"/>
      <c r="BS375" s="478"/>
      <c r="BT375" s="478"/>
      <c r="BU375" s="478"/>
      <c r="BV375" s="478"/>
      <c r="BW375" s="478"/>
      <c r="BX375" s="478"/>
      <c r="BY375" s="478"/>
      <c r="BZ375" s="478"/>
      <c r="CA375" s="478"/>
      <c r="CB375" s="478"/>
      <c r="CC375" s="478"/>
      <c r="CD375" s="478"/>
      <c r="CE375" s="478"/>
      <c r="CF375" s="478"/>
      <c r="CG375" s="478"/>
      <c r="CH375" s="478"/>
      <c r="CI375" s="478"/>
      <c r="CJ375" s="478"/>
      <c r="CK375" s="478"/>
      <c r="CL375" s="478"/>
      <c r="CM375" s="478"/>
      <c r="CN375" s="478"/>
      <c r="CO375" s="478"/>
      <c r="CP375" s="478"/>
      <c r="CQ375" s="478"/>
      <c r="CR375" s="478"/>
      <c r="CS375" s="478"/>
      <c r="CT375" s="478"/>
      <c r="CU375" s="478"/>
      <c r="CV375" s="478"/>
      <c r="CW375" s="478"/>
      <c r="CX375" s="478"/>
      <c r="CY375" s="478"/>
      <c r="CZ375" s="478"/>
      <c r="DA375" s="478"/>
      <c r="DB375" s="478"/>
      <c r="DC375" s="478"/>
      <c r="DD375" s="478"/>
      <c r="DE375" s="478"/>
      <c r="DF375" s="478"/>
      <c r="DG375" s="478"/>
      <c r="DH375" s="478"/>
      <c r="DI375" s="478"/>
    </row>
    <row r="376" spans="1:113" ht="16.05" customHeight="1" outlineLevel="1" x14ac:dyDescent="0.3">
      <c r="A376" s="455" t="str">
        <f t="shared" si="1407"/>
        <v>Imprimir</v>
      </c>
      <c r="B376" s="455"/>
      <c r="C376" s="481"/>
      <c r="D376" s="463" t="str">
        <f t="shared" si="1408"/>
        <v>EXT-TAM-09</v>
      </c>
      <c r="E376" s="482" t="s">
        <v>668</v>
      </c>
      <c r="F376" s="483" t="s">
        <v>669</v>
      </c>
      <c r="G376" s="484">
        <v>-1.5999999999999999</v>
      </c>
      <c r="H376" s="485">
        <v>3586.42</v>
      </c>
      <c r="I376" s="466">
        <f t="shared" ref="I376:I378" si="1414">G376*H376</f>
        <v>-5738.2719999999999</v>
      </c>
      <c r="J376" s="259"/>
      <c r="K376" s="478">
        <f t="shared" ref="K376:K378" si="1415">SUM(N376:BI376)</f>
        <v>0</v>
      </c>
      <c r="L376" s="466">
        <f t="shared" ref="L376:L378" si="1416">K376*$H376</f>
        <v>0</v>
      </c>
      <c r="M376" s="257"/>
      <c r="N376" s="478"/>
      <c r="O376" s="478"/>
      <c r="P376" s="478"/>
      <c r="Q376" s="478"/>
      <c r="R376" s="478"/>
      <c r="S376" s="478"/>
      <c r="T376" s="478"/>
      <c r="U376" s="478"/>
      <c r="V376" s="478"/>
      <c r="W376" s="478"/>
      <c r="X376" s="478"/>
      <c r="Y376" s="478"/>
      <c r="Z376" s="478"/>
      <c r="AA376" s="478"/>
      <c r="AB376" s="478"/>
      <c r="AC376" s="478"/>
      <c r="AD376" s="478"/>
      <c r="AE376" s="478"/>
      <c r="AF376" s="478"/>
      <c r="AG376" s="478"/>
      <c r="AH376" s="478"/>
      <c r="AI376" s="478"/>
      <c r="AJ376" s="478"/>
      <c r="AK376" s="478"/>
      <c r="AL376" s="478"/>
      <c r="AM376" s="478"/>
      <c r="AN376" s="478"/>
      <c r="AO376" s="478"/>
      <c r="AP376" s="478"/>
      <c r="AQ376" s="478"/>
      <c r="AR376" s="478"/>
      <c r="AS376" s="478"/>
      <c r="AT376" s="478"/>
      <c r="AU376" s="478"/>
      <c r="AV376" s="478"/>
      <c r="AW376" s="478"/>
      <c r="AX376" s="478"/>
      <c r="AY376" s="478"/>
      <c r="AZ376" s="478"/>
      <c r="BA376" s="478"/>
      <c r="BB376" s="478"/>
      <c r="BC376" s="478"/>
      <c r="BD376" s="478"/>
      <c r="BE376" s="478"/>
      <c r="BF376" s="478"/>
      <c r="BG376" s="478"/>
      <c r="BH376" s="478"/>
      <c r="BI376" s="478"/>
      <c r="BJ376" s="245"/>
      <c r="BK376" s="477">
        <f t="shared" ref="BK376:BK378" si="1417">IFERROR(BL376/I376,0)</f>
        <v>0</v>
      </c>
      <c r="BL376" s="466">
        <f t="shared" ref="BL376:BL378" si="1418">SUM(BN376:DJ376)*$H376</f>
        <v>0</v>
      </c>
      <c r="BM376" s="257"/>
      <c r="BN376" s="478"/>
      <c r="BO376" s="478"/>
      <c r="BP376" s="478"/>
      <c r="BQ376" s="478"/>
      <c r="BR376" s="478"/>
      <c r="BS376" s="478"/>
      <c r="BT376" s="478"/>
      <c r="BU376" s="478"/>
      <c r="BV376" s="478"/>
      <c r="BW376" s="478"/>
      <c r="BX376" s="478"/>
      <c r="BY376" s="478"/>
      <c r="BZ376" s="478"/>
      <c r="CA376" s="478"/>
      <c r="CB376" s="478"/>
      <c r="CC376" s="478"/>
      <c r="CD376" s="478"/>
      <c r="CE376" s="478"/>
      <c r="CF376" s="478"/>
      <c r="CG376" s="478"/>
      <c r="CH376" s="478"/>
      <c r="CI376" s="478"/>
      <c r="CJ376" s="478"/>
      <c r="CK376" s="478"/>
      <c r="CL376" s="478"/>
      <c r="CM376" s="478"/>
      <c r="CN376" s="478"/>
      <c r="CO376" s="478"/>
      <c r="CP376" s="478"/>
      <c r="CQ376" s="478"/>
      <c r="CR376" s="478"/>
      <c r="CS376" s="478"/>
      <c r="CT376" s="478"/>
      <c r="CU376" s="478"/>
      <c r="CV376" s="478"/>
      <c r="CW376" s="478"/>
      <c r="CX376" s="478"/>
      <c r="CY376" s="478"/>
      <c r="CZ376" s="478"/>
      <c r="DA376" s="478"/>
      <c r="DB376" s="478"/>
      <c r="DC376" s="478"/>
      <c r="DD376" s="478"/>
      <c r="DE376" s="478"/>
      <c r="DF376" s="478"/>
      <c r="DG376" s="478"/>
      <c r="DH376" s="478"/>
      <c r="DI376" s="478"/>
    </row>
    <row r="377" spans="1:113" ht="16.05" customHeight="1" outlineLevel="1" x14ac:dyDescent="0.3">
      <c r="A377" s="455" t="str">
        <f t="shared" si="1407"/>
        <v>Imprimir</v>
      </c>
      <c r="B377" s="455"/>
      <c r="C377" s="481"/>
      <c r="D377" s="463" t="str">
        <f t="shared" si="1408"/>
        <v>EXT-TAM-10</v>
      </c>
      <c r="E377" s="482" t="s">
        <v>3711</v>
      </c>
      <c r="F377" s="483" t="s">
        <v>669</v>
      </c>
      <c r="G377" s="484">
        <v>1.2</v>
      </c>
      <c r="H377" s="485">
        <v>4981.05</v>
      </c>
      <c r="I377" s="466">
        <f t="shared" si="1414"/>
        <v>5977.26</v>
      </c>
      <c r="J377" s="259"/>
      <c r="K377" s="478">
        <f t="shared" si="1415"/>
        <v>0</v>
      </c>
      <c r="L377" s="466">
        <f t="shared" si="1416"/>
        <v>0</v>
      </c>
      <c r="M377" s="257"/>
      <c r="N377" s="478"/>
      <c r="O377" s="478"/>
      <c r="P377" s="478"/>
      <c r="Q377" s="478"/>
      <c r="R377" s="478"/>
      <c r="S377" s="478"/>
      <c r="T377" s="478"/>
      <c r="U377" s="478"/>
      <c r="V377" s="478"/>
      <c r="W377" s="478"/>
      <c r="X377" s="478"/>
      <c r="Y377" s="478"/>
      <c r="Z377" s="478"/>
      <c r="AA377" s="478"/>
      <c r="AB377" s="478"/>
      <c r="AC377" s="478"/>
      <c r="AD377" s="478"/>
      <c r="AE377" s="478"/>
      <c r="AF377" s="478"/>
      <c r="AG377" s="478"/>
      <c r="AH377" s="478"/>
      <c r="AI377" s="478"/>
      <c r="AJ377" s="478"/>
      <c r="AK377" s="478"/>
      <c r="AL377" s="478"/>
      <c r="AM377" s="478"/>
      <c r="AN377" s="478"/>
      <c r="AO377" s="478"/>
      <c r="AP377" s="478"/>
      <c r="AQ377" s="478"/>
      <c r="AR377" s="478"/>
      <c r="AS377" s="478"/>
      <c r="AT377" s="478"/>
      <c r="AU377" s="478"/>
      <c r="AV377" s="478"/>
      <c r="AW377" s="478"/>
      <c r="AX377" s="478"/>
      <c r="AY377" s="478"/>
      <c r="AZ377" s="478"/>
      <c r="BA377" s="478"/>
      <c r="BB377" s="478"/>
      <c r="BC377" s="478"/>
      <c r="BD377" s="478"/>
      <c r="BE377" s="478"/>
      <c r="BF377" s="478"/>
      <c r="BG377" s="478"/>
      <c r="BH377" s="478"/>
      <c r="BI377" s="478"/>
      <c r="BJ377" s="245"/>
      <c r="BK377" s="477">
        <f t="shared" si="1417"/>
        <v>0</v>
      </c>
      <c r="BL377" s="466">
        <f t="shared" si="1418"/>
        <v>0</v>
      </c>
      <c r="BM377" s="257"/>
      <c r="BN377" s="478"/>
      <c r="BO377" s="478"/>
      <c r="BP377" s="478"/>
      <c r="BQ377" s="478"/>
      <c r="BR377" s="478"/>
      <c r="BS377" s="478"/>
      <c r="BT377" s="478"/>
      <c r="BU377" s="478"/>
      <c r="BV377" s="478"/>
      <c r="BW377" s="478"/>
      <c r="BX377" s="478"/>
      <c r="BY377" s="478"/>
      <c r="BZ377" s="478"/>
      <c r="CA377" s="478"/>
      <c r="CB377" s="478"/>
      <c r="CC377" s="478"/>
      <c r="CD377" s="478"/>
      <c r="CE377" s="478"/>
      <c r="CF377" s="478"/>
      <c r="CG377" s="478"/>
      <c r="CH377" s="478"/>
      <c r="CI377" s="478"/>
      <c r="CJ377" s="478"/>
      <c r="CK377" s="478"/>
      <c r="CL377" s="478"/>
      <c r="CM377" s="478"/>
      <c r="CN377" s="478"/>
      <c r="CO377" s="478"/>
      <c r="CP377" s="478"/>
      <c r="CQ377" s="478"/>
      <c r="CR377" s="478"/>
      <c r="CS377" s="478"/>
      <c r="CT377" s="478"/>
      <c r="CU377" s="478"/>
      <c r="CV377" s="478"/>
      <c r="CW377" s="478"/>
      <c r="CX377" s="478"/>
      <c r="CY377" s="478"/>
      <c r="CZ377" s="478"/>
      <c r="DA377" s="478"/>
      <c r="DB377" s="478"/>
      <c r="DC377" s="478"/>
      <c r="DD377" s="478"/>
      <c r="DE377" s="478"/>
      <c r="DF377" s="478"/>
      <c r="DG377" s="478"/>
      <c r="DH377" s="478"/>
      <c r="DI377" s="478"/>
    </row>
    <row r="378" spans="1:113" ht="16.05" customHeight="1" outlineLevel="1" x14ac:dyDescent="0.3">
      <c r="A378" s="455" t="str">
        <f t="shared" si="1407"/>
        <v>Imprimir</v>
      </c>
      <c r="B378" s="455"/>
      <c r="C378" s="481"/>
      <c r="D378" s="463" t="str">
        <f t="shared" si="1408"/>
        <v>EXT-TAM-11</v>
      </c>
      <c r="E378" s="482" t="s">
        <v>3712</v>
      </c>
      <c r="F378" s="483" t="s">
        <v>669</v>
      </c>
      <c r="G378" s="484">
        <v>0.53014499999999998</v>
      </c>
      <c r="H378" s="485">
        <v>6119.97</v>
      </c>
      <c r="I378" s="466">
        <f t="shared" si="1414"/>
        <v>3244.4714956500002</v>
      </c>
      <c r="J378" s="259"/>
      <c r="K378" s="478">
        <f t="shared" si="1415"/>
        <v>0</v>
      </c>
      <c r="L378" s="466">
        <f t="shared" si="1416"/>
        <v>0</v>
      </c>
      <c r="M378" s="257"/>
      <c r="N378" s="478"/>
      <c r="O378" s="478"/>
      <c r="P378" s="478"/>
      <c r="Q378" s="478"/>
      <c r="R378" s="478"/>
      <c r="S378" s="478"/>
      <c r="T378" s="478"/>
      <c r="U378" s="478"/>
      <c r="V378" s="478"/>
      <c r="W378" s="478"/>
      <c r="X378" s="478"/>
      <c r="Y378" s="478"/>
      <c r="Z378" s="478"/>
      <c r="AA378" s="478"/>
      <c r="AB378" s="478"/>
      <c r="AC378" s="478"/>
      <c r="AD378" s="478"/>
      <c r="AE378" s="478"/>
      <c r="AF378" s="478"/>
      <c r="AG378" s="478"/>
      <c r="AH378" s="478"/>
      <c r="AI378" s="478"/>
      <c r="AJ378" s="478"/>
      <c r="AK378" s="478"/>
      <c r="AL378" s="478"/>
      <c r="AM378" s="478"/>
      <c r="AN378" s="478"/>
      <c r="AO378" s="478"/>
      <c r="AP378" s="478"/>
      <c r="AQ378" s="478"/>
      <c r="AR378" s="478"/>
      <c r="AS378" s="478"/>
      <c r="AT378" s="478"/>
      <c r="AU378" s="478"/>
      <c r="AV378" s="478"/>
      <c r="AW378" s="478"/>
      <c r="AX378" s="478"/>
      <c r="AY378" s="478"/>
      <c r="AZ378" s="478"/>
      <c r="BA378" s="478"/>
      <c r="BB378" s="478"/>
      <c r="BC378" s="478"/>
      <c r="BD378" s="478"/>
      <c r="BE378" s="478"/>
      <c r="BF378" s="478"/>
      <c r="BG378" s="478"/>
      <c r="BH378" s="478"/>
      <c r="BI378" s="478"/>
      <c r="BJ378" s="245"/>
      <c r="BK378" s="477">
        <f t="shared" si="1417"/>
        <v>0</v>
      </c>
      <c r="BL378" s="466">
        <f t="shared" si="1418"/>
        <v>0</v>
      </c>
      <c r="BM378" s="257"/>
      <c r="BN378" s="478"/>
      <c r="BO378" s="478"/>
      <c r="BP378" s="478"/>
      <c r="BQ378" s="478"/>
      <c r="BR378" s="478"/>
      <c r="BS378" s="478"/>
      <c r="BT378" s="478"/>
      <c r="BU378" s="478"/>
      <c r="BV378" s="478"/>
      <c r="BW378" s="478"/>
      <c r="BX378" s="478"/>
      <c r="BY378" s="478"/>
      <c r="BZ378" s="478"/>
      <c r="CA378" s="478"/>
      <c r="CB378" s="478"/>
      <c r="CC378" s="478"/>
      <c r="CD378" s="478"/>
      <c r="CE378" s="478"/>
      <c r="CF378" s="478"/>
      <c r="CG378" s="478"/>
      <c r="CH378" s="478"/>
      <c r="CI378" s="478"/>
      <c r="CJ378" s="478"/>
      <c r="CK378" s="478"/>
      <c r="CL378" s="478"/>
      <c r="CM378" s="478"/>
      <c r="CN378" s="478"/>
      <c r="CO378" s="478"/>
      <c r="CP378" s="478"/>
      <c r="CQ378" s="478"/>
      <c r="CR378" s="478"/>
      <c r="CS378" s="478"/>
      <c r="CT378" s="478"/>
      <c r="CU378" s="478"/>
      <c r="CV378" s="478"/>
      <c r="CW378" s="478"/>
      <c r="CX378" s="478"/>
      <c r="CY378" s="478"/>
      <c r="CZ378" s="478"/>
      <c r="DA378" s="478"/>
      <c r="DB378" s="478"/>
      <c r="DC378" s="478"/>
      <c r="DD378" s="478"/>
      <c r="DE378" s="478"/>
      <c r="DF378" s="478"/>
      <c r="DG378" s="478"/>
      <c r="DH378" s="478"/>
      <c r="DI378" s="478"/>
    </row>
    <row r="379" spans="1:113" ht="7.95" customHeight="1" outlineLevel="1" x14ac:dyDescent="0.3">
      <c r="A379" s="455" t="str">
        <f>IF(COUNTIF(A368:A378,"Imprimir")&gt;0,"Imprimir","")</f>
        <v>Imprimir</v>
      </c>
      <c r="B379" s="455"/>
      <c r="C379" s="464"/>
      <c r="D379" s="461"/>
      <c r="E379" s="462"/>
      <c r="F379" s="462"/>
      <c r="G379" s="461"/>
      <c r="H379" s="461"/>
      <c r="I379" s="461"/>
      <c r="J379" s="259"/>
      <c r="K379" s="255"/>
      <c r="L379" s="256"/>
      <c r="M379" s="257"/>
      <c r="N379" s="255"/>
      <c r="O379" s="255"/>
      <c r="P379" s="255"/>
      <c r="Q379" s="255"/>
      <c r="R379" s="255"/>
      <c r="S379" s="255"/>
      <c r="T379" s="255"/>
      <c r="U379" s="255"/>
      <c r="V379" s="255"/>
      <c r="W379" s="255"/>
      <c r="X379" s="255"/>
      <c r="Y379" s="255"/>
      <c r="Z379" s="255"/>
      <c r="AA379" s="255"/>
      <c r="AB379" s="255"/>
      <c r="AC379" s="255"/>
      <c r="AD379" s="255"/>
      <c r="AE379" s="255"/>
      <c r="AF379" s="255"/>
      <c r="AG379" s="255"/>
      <c r="AH379" s="255"/>
      <c r="AI379" s="255"/>
      <c r="AJ379" s="255"/>
      <c r="AK379" s="255"/>
      <c r="AL379" s="255"/>
      <c r="AM379" s="524"/>
      <c r="AN379" s="255"/>
      <c r="AO379" s="255"/>
      <c r="AP379" s="255"/>
      <c r="AQ379" s="255"/>
      <c r="AR379" s="255"/>
      <c r="AS379" s="255"/>
      <c r="AT379" s="255"/>
      <c r="AU379" s="255"/>
      <c r="AV379" s="255"/>
      <c r="AW379" s="255"/>
      <c r="AX379" s="255"/>
      <c r="AY379" s="255"/>
      <c r="AZ379" s="255"/>
      <c r="BA379" s="255"/>
      <c r="BB379" s="255"/>
      <c r="BC379" s="255"/>
      <c r="BD379" s="255"/>
      <c r="BE379" s="255"/>
      <c r="BF379" s="255"/>
      <c r="BG379" s="255"/>
      <c r="BH379" s="255"/>
      <c r="BI379" s="255"/>
      <c r="BJ379" s="245"/>
      <c r="BK379" s="256"/>
      <c r="BL379" s="256"/>
      <c r="BM379" s="257"/>
      <c r="BN379" s="255"/>
      <c r="BO379" s="255"/>
      <c r="BP379" s="255"/>
      <c r="BQ379" s="255"/>
      <c r="BR379" s="255"/>
      <c r="BS379" s="255"/>
      <c r="BT379" s="255"/>
      <c r="BU379" s="255"/>
      <c r="BV379" s="255"/>
      <c r="BW379" s="255"/>
      <c r="BX379" s="255"/>
      <c r="BY379" s="255"/>
      <c r="BZ379" s="255"/>
      <c r="CA379" s="255"/>
      <c r="CB379" s="255"/>
      <c r="CC379" s="255"/>
      <c r="CD379" s="255"/>
      <c r="CE379" s="255"/>
      <c r="CF379" s="255"/>
      <c r="CG379" s="255"/>
      <c r="CH379" s="255"/>
      <c r="CI379" s="255"/>
      <c r="CJ379" s="255"/>
      <c r="CK379" s="255"/>
      <c r="CL379" s="255"/>
      <c r="CM379" s="255"/>
      <c r="CN379" s="255"/>
      <c r="CO379" s="255"/>
      <c r="CP379" s="255"/>
      <c r="CQ379" s="255"/>
      <c r="CR379" s="255"/>
      <c r="CS379" s="255"/>
      <c r="CT379" s="255"/>
      <c r="CU379" s="255"/>
      <c r="CV379" s="255"/>
      <c r="CW379" s="255"/>
      <c r="CX379" s="255"/>
      <c r="CY379" s="255"/>
      <c r="CZ379" s="255"/>
      <c r="DA379" s="255"/>
      <c r="DB379" s="255"/>
      <c r="DC379" s="255"/>
      <c r="DD379" s="255"/>
      <c r="DE379" s="255"/>
      <c r="DF379" s="255"/>
      <c r="DG379" s="255"/>
      <c r="DH379" s="255"/>
      <c r="DI379" s="524"/>
    </row>
    <row r="380" spans="1:113" ht="16.05" hidden="1" customHeight="1" x14ac:dyDescent="0.3">
      <c r="A380" s="455" t="str">
        <f>IF(COUNTIF(A381:A390,"Imprimir")&gt;0,"Imprimir","")</f>
        <v/>
      </c>
      <c r="B380" s="455"/>
      <c r="C380" s="459"/>
      <c r="D380" s="459"/>
      <c r="E380" s="460" t="s">
        <v>2006</v>
      </c>
      <c r="F380" s="460"/>
      <c r="G380" s="460"/>
      <c r="H380" s="465"/>
      <c r="I380" s="465">
        <f>SUBTOTAL(9,I381:I391)</f>
        <v>0</v>
      </c>
      <c r="J380" s="259"/>
      <c r="K380" s="465"/>
      <c r="L380" s="465">
        <f>SUBTOTAL(9,L381:L391)</f>
        <v>0</v>
      </c>
      <c r="M380" s="257"/>
      <c r="N380" s="465">
        <f t="shared" ref="N380:AM380" si="1419">SUMPRODUCT(N381:N391,$H381:$H391)</f>
        <v>0</v>
      </c>
      <c r="O380" s="465">
        <f t="shared" si="1419"/>
        <v>0</v>
      </c>
      <c r="P380" s="465">
        <f t="shared" si="1419"/>
        <v>0</v>
      </c>
      <c r="Q380" s="465">
        <f t="shared" si="1419"/>
        <v>0</v>
      </c>
      <c r="R380" s="465">
        <f t="shared" si="1419"/>
        <v>0</v>
      </c>
      <c r="S380" s="465">
        <f t="shared" si="1419"/>
        <v>0</v>
      </c>
      <c r="T380" s="465">
        <f t="shared" si="1419"/>
        <v>0</v>
      </c>
      <c r="U380" s="465">
        <f t="shared" si="1419"/>
        <v>0</v>
      </c>
      <c r="V380" s="465">
        <f t="shared" si="1419"/>
        <v>0</v>
      </c>
      <c r="W380" s="465">
        <f t="shared" si="1419"/>
        <v>0</v>
      </c>
      <c r="X380" s="465">
        <f t="shared" si="1419"/>
        <v>0</v>
      </c>
      <c r="Y380" s="465">
        <f t="shared" si="1419"/>
        <v>0</v>
      </c>
      <c r="Z380" s="465">
        <f t="shared" si="1419"/>
        <v>0</v>
      </c>
      <c r="AA380" s="465">
        <f t="shared" si="1419"/>
        <v>0</v>
      </c>
      <c r="AB380" s="465">
        <f t="shared" si="1419"/>
        <v>0</v>
      </c>
      <c r="AC380" s="465">
        <f t="shared" si="1419"/>
        <v>0</v>
      </c>
      <c r="AD380" s="465">
        <f t="shared" si="1419"/>
        <v>0</v>
      </c>
      <c r="AE380" s="465">
        <f t="shared" si="1419"/>
        <v>0</v>
      </c>
      <c r="AF380" s="465">
        <f t="shared" si="1419"/>
        <v>0</v>
      </c>
      <c r="AG380" s="465">
        <f t="shared" si="1419"/>
        <v>0</v>
      </c>
      <c r="AH380" s="465">
        <f t="shared" si="1419"/>
        <v>0</v>
      </c>
      <c r="AI380" s="465">
        <f t="shared" si="1419"/>
        <v>0</v>
      </c>
      <c r="AJ380" s="465">
        <f t="shared" si="1419"/>
        <v>0</v>
      </c>
      <c r="AK380" s="465">
        <f t="shared" si="1419"/>
        <v>0</v>
      </c>
      <c r="AL380" s="465">
        <f t="shared" si="1419"/>
        <v>0</v>
      </c>
      <c r="AM380" s="465">
        <f t="shared" si="1419"/>
        <v>0</v>
      </c>
      <c r="AN380" s="465">
        <f t="shared" ref="AN380:BI380" si="1420">SUMPRODUCT(AN381:AN437,$H381:$H437)</f>
        <v>0</v>
      </c>
      <c r="AO380" s="465">
        <f t="shared" si="1420"/>
        <v>0</v>
      </c>
      <c r="AP380" s="465">
        <f t="shared" si="1420"/>
        <v>0</v>
      </c>
      <c r="AQ380" s="465">
        <f t="shared" si="1420"/>
        <v>0</v>
      </c>
      <c r="AR380" s="465">
        <f t="shared" si="1420"/>
        <v>0</v>
      </c>
      <c r="AS380" s="465">
        <f t="shared" si="1420"/>
        <v>0</v>
      </c>
      <c r="AT380" s="465">
        <f t="shared" si="1420"/>
        <v>0</v>
      </c>
      <c r="AU380" s="465">
        <f t="shared" si="1420"/>
        <v>0</v>
      </c>
      <c r="AV380" s="465">
        <f t="shared" si="1420"/>
        <v>0</v>
      </c>
      <c r="AW380" s="465">
        <f t="shared" si="1420"/>
        <v>0</v>
      </c>
      <c r="AX380" s="465">
        <f t="shared" si="1420"/>
        <v>0</v>
      </c>
      <c r="AY380" s="465">
        <f t="shared" si="1420"/>
        <v>0</v>
      </c>
      <c r="AZ380" s="465">
        <f t="shared" si="1420"/>
        <v>0</v>
      </c>
      <c r="BA380" s="465">
        <f t="shared" si="1420"/>
        <v>0</v>
      </c>
      <c r="BB380" s="465">
        <f t="shared" si="1420"/>
        <v>0</v>
      </c>
      <c r="BC380" s="465">
        <f t="shared" si="1420"/>
        <v>0</v>
      </c>
      <c r="BD380" s="465">
        <f t="shared" si="1420"/>
        <v>0</v>
      </c>
      <c r="BE380" s="465">
        <f t="shared" si="1420"/>
        <v>0</v>
      </c>
      <c r="BF380" s="465">
        <f t="shared" si="1420"/>
        <v>0</v>
      </c>
      <c r="BG380" s="465">
        <f t="shared" si="1420"/>
        <v>0</v>
      </c>
      <c r="BH380" s="465">
        <f t="shared" si="1420"/>
        <v>0</v>
      </c>
      <c r="BI380" s="543">
        <f t="shared" si="1420"/>
        <v>0</v>
      </c>
      <c r="BJ380" s="546"/>
      <c r="BK380" s="475">
        <f t="shared" ref="BK380:BK390" si="1421">IFERROR(BL380/I380,0)</f>
        <v>0</v>
      </c>
      <c r="BL380" s="465">
        <f>SUBTOTAL(9,BL381:BL391)</f>
        <v>0</v>
      </c>
      <c r="BM380" s="257"/>
      <c r="BN380" s="465">
        <f t="shared" ref="BN380:DI380" si="1422">SUMPRODUCT(BN381:BN391,$H381:$H391)</f>
        <v>0</v>
      </c>
      <c r="BO380" s="465">
        <f t="shared" si="1422"/>
        <v>0</v>
      </c>
      <c r="BP380" s="465">
        <f t="shared" si="1422"/>
        <v>0</v>
      </c>
      <c r="BQ380" s="465">
        <f t="shared" si="1422"/>
        <v>0</v>
      </c>
      <c r="BR380" s="465">
        <f t="shared" si="1422"/>
        <v>0</v>
      </c>
      <c r="BS380" s="465">
        <f t="shared" si="1422"/>
        <v>0</v>
      </c>
      <c r="BT380" s="465">
        <f t="shared" si="1422"/>
        <v>0</v>
      </c>
      <c r="BU380" s="465">
        <f t="shared" si="1422"/>
        <v>0</v>
      </c>
      <c r="BV380" s="465">
        <f t="shared" si="1422"/>
        <v>0</v>
      </c>
      <c r="BW380" s="465">
        <f t="shared" si="1422"/>
        <v>0</v>
      </c>
      <c r="BX380" s="465">
        <f t="shared" si="1422"/>
        <v>0</v>
      </c>
      <c r="BY380" s="465">
        <f t="shared" si="1422"/>
        <v>0</v>
      </c>
      <c r="BZ380" s="465">
        <f t="shared" si="1422"/>
        <v>0</v>
      </c>
      <c r="CA380" s="465">
        <f t="shared" si="1422"/>
        <v>0</v>
      </c>
      <c r="CB380" s="465">
        <f t="shared" si="1422"/>
        <v>0</v>
      </c>
      <c r="CC380" s="465">
        <f t="shared" si="1422"/>
        <v>0</v>
      </c>
      <c r="CD380" s="465">
        <f t="shared" si="1422"/>
        <v>0</v>
      </c>
      <c r="CE380" s="465">
        <f t="shared" si="1422"/>
        <v>0</v>
      </c>
      <c r="CF380" s="465">
        <f t="shared" si="1422"/>
        <v>0</v>
      </c>
      <c r="CG380" s="465">
        <f t="shared" si="1422"/>
        <v>0</v>
      </c>
      <c r="CH380" s="465">
        <f t="shared" si="1422"/>
        <v>0</v>
      </c>
      <c r="CI380" s="465">
        <f t="shared" si="1422"/>
        <v>0</v>
      </c>
      <c r="CJ380" s="465">
        <f t="shared" si="1422"/>
        <v>0</v>
      </c>
      <c r="CK380" s="465">
        <f t="shared" si="1422"/>
        <v>0</v>
      </c>
      <c r="CL380" s="465">
        <f t="shared" si="1422"/>
        <v>0</v>
      </c>
      <c r="CM380" s="465">
        <f t="shared" si="1422"/>
        <v>0</v>
      </c>
      <c r="CN380" s="465">
        <f t="shared" si="1422"/>
        <v>0</v>
      </c>
      <c r="CO380" s="465">
        <f t="shared" si="1422"/>
        <v>0</v>
      </c>
      <c r="CP380" s="465">
        <f t="shared" si="1422"/>
        <v>0</v>
      </c>
      <c r="CQ380" s="465">
        <f t="shared" si="1422"/>
        <v>0</v>
      </c>
      <c r="CR380" s="465">
        <f t="shared" si="1422"/>
        <v>0</v>
      </c>
      <c r="CS380" s="465">
        <f t="shared" si="1422"/>
        <v>0</v>
      </c>
      <c r="CT380" s="465">
        <f t="shared" si="1422"/>
        <v>0</v>
      </c>
      <c r="CU380" s="465">
        <f t="shared" si="1422"/>
        <v>0</v>
      </c>
      <c r="CV380" s="465">
        <f t="shared" si="1422"/>
        <v>0</v>
      </c>
      <c r="CW380" s="465">
        <f t="shared" si="1422"/>
        <v>0</v>
      </c>
      <c r="CX380" s="465">
        <f t="shared" si="1422"/>
        <v>0</v>
      </c>
      <c r="CY380" s="465">
        <f t="shared" si="1422"/>
        <v>0</v>
      </c>
      <c r="CZ380" s="465">
        <f t="shared" si="1422"/>
        <v>0</v>
      </c>
      <c r="DA380" s="465">
        <f t="shared" si="1422"/>
        <v>0</v>
      </c>
      <c r="DB380" s="465">
        <f t="shared" si="1422"/>
        <v>0</v>
      </c>
      <c r="DC380" s="465">
        <f t="shared" si="1422"/>
        <v>0</v>
      </c>
      <c r="DD380" s="465">
        <f t="shared" si="1422"/>
        <v>0</v>
      </c>
      <c r="DE380" s="465">
        <f t="shared" si="1422"/>
        <v>0</v>
      </c>
      <c r="DF380" s="465">
        <f t="shared" si="1422"/>
        <v>0</v>
      </c>
      <c r="DG380" s="465">
        <f t="shared" si="1422"/>
        <v>0</v>
      </c>
      <c r="DH380" s="465">
        <f t="shared" si="1422"/>
        <v>0</v>
      </c>
      <c r="DI380" s="465">
        <f t="shared" si="1422"/>
        <v>0</v>
      </c>
    </row>
    <row r="381" spans="1:113" ht="16.05" hidden="1" customHeight="1" outlineLevel="1" x14ac:dyDescent="0.3">
      <c r="A381" s="455" t="str">
        <f t="shared" si="1407"/>
        <v/>
      </c>
      <c r="B381" s="455"/>
      <c r="C381" s="481"/>
      <c r="D381" s="463" t="str">
        <f t="shared" ref="D381:D390" si="1423">CONCATENATE("EXT-",MID($E$380,1,3),"-",IF((ROW(D381)-ROW($D$381)+1)&lt;10,CONCATENATE("0",(ROW(D381)-ROW($D$381)+1)),(ROW(D381)-ROW($D$381)+1)))</f>
        <v>EXT-MAN-01</v>
      </c>
      <c r="E381" s="482"/>
      <c r="F381" s="483"/>
      <c r="G381" s="484"/>
      <c r="H381" s="485"/>
      <c r="I381" s="466">
        <f t="shared" ref="I381:I390" si="1424">G381*H381</f>
        <v>0</v>
      </c>
      <c r="J381" s="259"/>
      <c r="K381" s="478">
        <f t="shared" ref="K381:K390" si="1425">SUM(N381:BI381)</f>
        <v>0</v>
      </c>
      <c r="L381" s="466">
        <f t="shared" ref="L381:L390" si="1426">K381*$H381</f>
        <v>0</v>
      </c>
      <c r="M381" s="257"/>
      <c r="N381" s="478"/>
      <c r="O381" s="478"/>
      <c r="P381" s="478"/>
      <c r="Q381" s="478"/>
      <c r="R381" s="478"/>
      <c r="S381" s="478"/>
      <c r="T381" s="478"/>
      <c r="U381" s="478"/>
      <c r="V381" s="478"/>
      <c r="W381" s="478"/>
      <c r="X381" s="478"/>
      <c r="Y381" s="478"/>
      <c r="Z381" s="478"/>
      <c r="AA381" s="478"/>
      <c r="AB381" s="478"/>
      <c r="AC381" s="478"/>
      <c r="AD381" s="478"/>
      <c r="AE381" s="478"/>
      <c r="AF381" s="478"/>
      <c r="AG381" s="478"/>
      <c r="AH381" s="478"/>
      <c r="AI381" s="478"/>
      <c r="AJ381" s="478"/>
      <c r="AK381" s="478"/>
      <c r="AL381" s="478"/>
      <c r="AM381" s="478"/>
      <c r="AN381" s="478"/>
      <c r="AO381" s="478"/>
      <c r="AP381" s="478"/>
      <c r="AQ381" s="478"/>
      <c r="AR381" s="478"/>
      <c r="AS381" s="478"/>
      <c r="AT381" s="478"/>
      <c r="AU381" s="478"/>
      <c r="AV381" s="478"/>
      <c r="AW381" s="478"/>
      <c r="AX381" s="478"/>
      <c r="AY381" s="478"/>
      <c r="AZ381" s="478"/>
      <c r="BA381" s="478"/>
      <c r="BB381" s="478"/>
      <c r="BC381" s="478"/>
      <c r="BD381" s="478"/>
      <c r="BE381" s="478"/>
      <c r="BF381" s="478"/>
      <c r="BG381" s="478"/>
      <c r="BH381" s="478"/>
      <c r="BI381" s="478"/>
      <c r="BJ381" s="245"/>
      <c r="BK381" s="477">
        <f t="shared" si="1421"/>
        <v>0</v>
      </c>
      <c r="BL381" s="466">
        <f t="shared" ref="BL381:BL390" si="1427">SUM(BN381:DJ381)*$H381</f>
        <v>0</v>
      </c>
      <c r="BM381" s="257"/>
      <c r="BN381" s="478"/>
      <c r="BO381" s="478"/>
      <c r="BP381" s="478"/>
      <c r="BQ381" s="478"/>
      <c r="BR381" s="478"/>
      <c r="BS381" s="478"/>
      <c r="BT381" s="478"/>
      <c r="BU381" s="478"/>
      <c r="BV381" s="478"/>
      <c r="BW381" s="478"/>
      <c r="BX381" s="478"/>
      <c r="BY381" s="478"/>
      <c r="BZ381" s="478"/>
      <c r="CA381" s="478"/>
      <c r="CB381" s="478"/>
      <c r="CC381" s="478"/>
      <c r="CD381" s="478"/>
      <c r="CE381" s="478"/>
      <c r="CF381" s="478"/>
      <c r="CG381" s="478"/>
      <c r="CH381" s="478"/>
      <c r="CI381" s="478"/>
      <c r="CJ381" s="478"/>
      <c r="CK381" s="478"/>
      <c r="CL381" s="478"/>
      <c r="CM381" s="478"/>
      <c r="CN381" s="478"/>
      <c r="CO381" s="478"/>
      <c r="CP381" s="478"/>
      <c r="CQ381" s="478"/>
      <c r="CR381" s="478"/>
      <c r="CS381" s="478"/>
      <c r="CT381" s="478"/>
      <c r="CU381" s="478"/>
      <c r="CV381" s="478"/>
      <c r="CW381" s="478"/>
      <c r="CX381" s="478"/>
      <c r="CY381" s="478"/>
      <c r="CZ381" s="478"/>
      <c r="DA381" s="478"/>
      <c r="DB381" s="478"/>
      <c r="DC381" s="478"/>
      <c r="DD381" s="478"/>
      <c r="DE381" s="478"/>
      <c r="DF381" s="478"/>
      <c r="DG381" s="478"/>
      <c r="DH381" s="478"/>
      <c r="DI381" s="478"/>
    </row>
    <row r="382" spans="1:113" ht="16.05" hidden="1" customHeight="1" outlineLevel="1" x14ac:dyDescent="0.3">
      <c r="A382" s="455" t="str">
        <f t="shared" si="1407"/>
        <v/>
      </c>
      <c r="B382" s="455"/>
      <c r="C382" s="481"/>
      <c r="D382" s="463" t="str">
        <f t="shared" si="1423"/>
        <v>EXT-MAN-02</v>
      </c>
      <c r="E382" s="482"/>
      <c r="F382" s="483"/>
      <c r="G382" s="484"/>
      <c r="H382" s="485"/>
      <c r="I382" s="466">
        <f t="shared" si="1424"/>
        <v>0</v>
      </c>
      <c r="J382" s="259"/>
      <c r="K382" s="478">
        <f t="shared" si="1425"/>
        <v>0</v>
      </c>
      <c r="L382" s="466">
        <f t="shared" si="1426"/>
        <v>0</v>
      </c>
      <c r="M382" s="257"/>
      <c r="N382" s="478"/>
      <c r="O382" s="478"/>
      <c r="P382" s="478"/>
      <c r="Q382" s="478"/>
      <c r="R382" s="478"/>
      <c r="S382" s="478"/>
      <c r="T382" s="478"/>
      <c r="U382" s="478"/>
      <c r="V382" s="478"/>
      <c r="W382" s="478"/>
      <c r="X382" s="478"/>
      <c r="Y382" s="478"/>
      <c r="Z382" s="478"/>
      <c r="AA382" s="478"/>
      <c r="AB382" s="478"/>
      <c r="AC382" s="478"/>
      <c r="AD382" s="478"/>
      <c r="AE382" s="478"/>
      <c r="AF382" s="478"/>
      <c r="AG382" s="478"/>
      <c r="AH382" s="478"/>
      <c r="AI382" s="478"/>
      <c r="AJ382" s="478"/>
      <c r="AK382" s="478"/>
      <c r="AL382" s="478"/>
      <c r="AM382" s="478"/>
      <c r="AN382" s="478"/>
      <c r="AO382" s="478"/>
      <c r="AP382" s="478"/>
      <c r="AQ382" s="478"/>
      <c r="AR382" s="478"/>
      <c r="AS382" s="478"/>
      <c r="AT382" s="478"/>
      <c r="AU382" s="478"/>
      <c r="AV382" s="478"/>
      <c r="AW382" s="478"/>
      <c r="AX382" s="478"/>
      <c r="AY382" s="478"/>
      <c r="AZ382" s="478"/>
      <c r="BA382" s="478"/>
      <c r="BB382" s="478"/>
      <c r="BC382" s="478"/>
      <c r="BD382" s="478"/>
      <c r="BE382" s="478"/>
      <c r="BF382" s="478"/>
      <c r="BG382" s="478"/>
      <c r="BH382" s="478"/>
      <c r="BI382" s="478"/>
      <c r="BJ382" s="245"/>
      <c r="BK382" s="477">
        <f t="shared" si="1421"/>
        <v>0</v>
      </c>
      <c r="BL382" s="466">
        <f t="shared" si="1427"/>
        <v>0</v>
      </c>
      <c r="BM382" s="257"/>
      <c r="BN382" s="478"/>
      <c r="BO382" s="478"/>
      <c r="BP382" s="478"/>
      <c r="BQ382" s="478"/>
      <c r="BR382" s="478"/>
      <c r="BS382" s="478"/>
      <c r="BT382" s="478"/>
      <c r="BU382" s="478"/>
      <c r="BV382" s="478"/>
      <c r="BW382" s="478"/>
      <c r="BX382" s="478"/>
      <c r="BY382" s="478"/>
      <c r="BZ382" s="478"/>
      <c r="CA382" s="478"/>
      <c r="CB382" s="478"/>
      <c r="CC382" s="478"/>
      <c r="CD382" s="478"/>
      <c r="CE382" s="478"/>
      <c r="CF382" s="478"/>
      <c r="CG382" s="478"/>
      <c r="CH382" s="478"/>
      <c r="CI382" s="478"/>
      <c r="CJ382" s="478"/>
      <c r="CK382" s="478"/>
      <c r="CL382" s="478"/>
      <c r="CM382" s="478"/>
      <c r="CN382" s="478"/>
      <c r="CO382" s="478"/>
      <c r="CP382" s="478"/>
      <c r="CQ382" s="478"/>
      <c r="CR382" s="478"/>
      <c r="CS382" s="478"/>
      <c r="CT382" s="478"/>
      <c r="CU382" s="478"/>
      <c r="CV382" s="478"/>
      <c r="CW382" s="478"/>
      <c r="CX382" s="478"/>
      <c r="CY382" s="478"/>
      <c r="CZ382" s="478"/>
      <c r="DA382" s="478"/>
      <c r="DB382" s="478"/>
      <c r="DC382" s="478"/>
      <c r="DD382" s="478"/>
      <c r="DE382" s="478"/>
      <c r="DF382" s="478"/>
      <c r="DG382" s="478"/>
      <c r="DH382" s="478"/>
      <c r="DI382" s="478"/>
    </row>
    <row r="383" spans="1:113" ht="16.05" hidden="1" customHeight="1" outlineLevel="1" x14ac:dyDescent="0.3">
      <c r="A383" s="455" t="str">
        <f t="shared" si="1407"/>
        <v/>
      </c>
      <c r="B383" s="455"/>
      <c r="C383" s="481"/>
      <c r="D383" s="463" t="str">
        <f t="shared" si="1423"/>
        <v>EXT-MAN-03</v>
      </c>
      <c r="E383" s="482"/>
      <c r="F383" s="483"/>
      <c r="G383" s="484"/>
      <c r="H383" s="485"/>
      <c r="I383" s="466">
        <f t="shared" si="1424"/>
        <v>0</v>
      </c>
      <c r="J383" s="259"/>
      <c r="K383" s="478">
        <f t="shared" si="1425"/>
        <v>0</v>
      </c>
      <c r="L383" s="466">
        <f t="shared" si="1426"/>
        <v>0</v>
      </c>
      <c r="M383" s="257"/>
      <c r="N383" s="478"/>
      <c r="O383" s="478"/>
      <c r="P383" s="478"/>
      <c r="Q383" s="478"/>
      <c r="R383" s="478"/>
      <c r="S383" s="478"/>
      <c r="T383" s="478"/>
      <c r="U383" s="478"/>
      <c r="V383" s="478"/>
      <c r="W383" s="478"/>
      <c r="X383" s="478"/>
      <c r="Y383" s="478"/>
      <c r="Z383" s="478"/>
      <c r="AA383" s="478"/>
      <c r="AB383" s="478"/>
      <c r="AC383" s="478"/>
      <c r="AD383" s="478"/>
      <c r="AE383" s="478"/>
      <c r="AF383" s="478"/>
      <c r="AG383" s="478"/>
      <c r="AH383" s="478"/>
      <c r="AI383" s="478"/>
      <c r="AJ383" s="478"/>
      <c r="AK383" s="478"/>
      <c r="AL383" s="478"/>
      <c r="AM383" s="478"/>
      <c r="AN383" s="478"/>
      <c r="AO383" s="478"/>
      <c r="AP383" s="478"/>
      <c r="AQ383" s="478"/>
      <c r="AR383" s="478"/>
      <c r="AS383" s="478"/>
      <c r="AT383" s="478"/>
      <c r="AU383" s="478"/>
      <c r="AV383" s="478"/>
      <c r="AW383" s="478"/>
      <c r="AX383" s="478"/>
      <c r="AY383" s="478"/>
      <c r="AZ383" s="478"/>
      <c r="BA383" s="478"/>
      <c r="BB383" s="478"/>
      <c r="BC383" s="478"/>
      <c r="BD383" s="478"/>
      <c r="BE383" s="478"/>
      <c r="BF383" s="478"/>
      <c r="BG383" s="478"/>
      <c r="BH383" s="478"/>
      <c r="BI383" s="478"/>
      <c r="BJ383" s="245"/>
      <c r="BK383" s="477">
        <f t="shared" si="1421"/>
        <v>0</v>
      </c>
      <c r="BL383" s="466">
        <f t="shared" si="1427"/>
        <v>0</v>
      </c>
      <c r="BM383" s="257"/>
      <c r="BN383" s="478"/>
      <c r="BO383" s="478"/>
      <c r="BP383" s="478"/>
      <c r="BQ383" s="478"/>
      <c r="BR383" s="478"/>
      <c r="BS383" s="478"/>
      <c r="BT383" s="478"/>
      <c r="BU383" s="478"/>
      <c r="BV383" s="478"/>
      <c r="BW383" s="478"/>
      <c r="BX383" s="478"/>
      <c r="BY383" s="478"/>
      <c r="BZ383" s="478"/>
      <c r="CA383" s="478"/>
      <c r="CB383" s="478"/>
      <c r="CC383" s="478"/>
      <c r="CD383" s="478"/>
      <c r="CE383" s="478"/>
      <c r="CF383" s="478"/>
      <c r="CG383" s="478"/>
      <c r="CH383" s="478"/>
      <c r="CI383" s="478"/>
      <c r="CJ383" s="478"/>
      <c r="CK383" s="478"/>
      <c r="CL383" s="478"/>
      <c r="CM383" s="478"/>
      <c r="CN383" s="478"/>
      <c r="CO383" s="478"/>
      <c r="CP383" s="478"/>
      <c r="CQ383" s="478"/>
      <c r="CR383" s="478"/>
      <c r="CS383" s="478"/>
      <c r="CT383" s="478"/>
      <c r="CU383" s="478"/>
      <c r="CV383" s="478"/>
      <c r="CW383" s="478"/>
      <c r="CX383" s="478"/>
      <c r="CY383" s="478"/>
      <c r="CZ383" s="478"/>
      <c r="DA383" s="478"/>
      <c r="DB383" s="478"/>
      <c r="DC383" s="478"/>
      <c r="DD383" s="478"/>
      <c r="DE383" s="478"/>
      <c r="DF383" s="478"/>
      <c r="DG383" s="478"/>
      <c r="DH383" s="478"/>
      <c r="DI383" s="478"/>
    </row>
    <row r="384" spans="1:113" ht="16.05" hidden="1" customHeight="1" outlineLevel="1" x14ac:dyDescent="0.3">
      <c r="A384" s="455" t="str">
        <f t="shared" si="1407"/>
        <v/>
      </c>
      <c r="B384" s="455"/>
      <c r="C384" s="481"/>
      <c r="D384" s="463" t="str">
        <f t="shared" si="1423"/>
        <v>EXT-MAN-04</v>
      </c>
      <c r="E384" s="482"/>
      <c r="F384" s="483"/>
      <c r="G384" s="484"/>
      <c r="H384" s="485"/>
      <c r="I384" s="466">
        <f t="shared" si="1424"/>
        <v>0</v>
      </c>
      <c r="J384" s="259"/>
      <c r="K384" s="478">
        <f t="shared" si="1425"/>
        <v>0</v>
      </c>
      <c r="L384" s="466">
        <f t="shared" si="1426"/>
        <v>0</v>
      </c>
      <c r="M384" s="257"/>
      <c r="N384" s="478"/>
      <c r="O384" s="478"/>
      <c r="P384" s="478"/>
      <c r="Q384" s="478"/>
      <c r="R384" s="478"/>
      <c r="S384" s="478"/>
      <c r="T384" s="478"/>
      <c r="U384" s="478"/>
      <c r="V384" s="478"/>
      <c r="W384" s="478"/>
      <c r="X384" s="478"/>
      <c r="Y384" s="478"/>
      <c r="Z384" s="478"/>
      <c r="AA384" s="478"/>
      <c r="AB384" s="478"/>
      <c r="AC384" s="478"/>
      <c r="AD384" s="478"/>
      <c r="AE384" s="478"/>
      <c r="AF384" s="478"/>
      <c r="AG384" s="478"/>
      <c r="AH384" s="478"/>
      <c r="AI384" s="478"/>
      <c r="AJ384" s="478"/>
      <c r="AK384" s="478"/>
      <c r="AL384" s="478"/>
      <c r="AM384" s="478"/>
      <c r="AN384" s="478"/>
      <c r="AO384" s="478"/>
      <c r="AP384" s="478"/>
      <c r="AQ384" s="478"/>
      <c r="AR384" s="478"/>
      <c r="AS384" s="478"/>
      <c r="AT384" s="478"/>
      <c r="AU384" s="478"/>
      <c r="AV384" s="478"/>
      <c r="AW384" s="478"/>
      <c r="AX384" s="478"/>
      <c r="AY384" s="478"/>
      <c r="AZ384" s="478"/>
      <c r="BA384" s="478"/>
      <c r="BB384" s="478"/>
      <c r="BC384" s="478"/>
      <c r="BD384" s="478"/>
      <c r="BE384" s="478"/>
      <c r="BF384" s="478"/>
      <c r="BG384" s="478"/>
      <c r="BH384" s="478"/>
      <c r="BI384" s="478"/>
      <c r="BJ384" s="245"/>
      <c r="BK384" s="477">
        <f t="shared" si="1421"/>
        <v>0</v>
      </c>
      <c r="BL384" s="466">
        <f t="shared" si="1427"/>
        <v>0</v>
      </c>
      <c r="BM384" s="257"/>
      <c r="BN384" s="478"/>
      <c r="BO384" s="478"/>
      <c r="BP384" s="478"/>
      <c r="BQ384" s="478"/>
      <c r="BR384" s="478"/>
      <c r="BS384" s="478"/>
      <c r="BT384" s="478"/>
      <c r="BU384" s="478"/>
      <c r="BV384" s="478"/>
      <c r="BW384" s="478"/>
      <c r="BX384" s="478"/>
      <c r="BY384" s="478"/>
      <c r="BZ384" s="478"/>
      <c r="CA384" s="478"/>
      <c r="CB384" s="478"/>
      <c r="CC384" s="478"/>
      <c r="CD384" s="478"/>
      <c r="CE384" s="478"/>
      <c r="CF384" s="478"/>
      <c r="CG384" s="478"/>
      <c r="CH384" s="478"/>
      <c r="CI384" s="478"/>
      <c r="CJ384" s="478"/>
      <c r="CK384" s="478"/>
      <c r="CL384" s="478"/>
      <c r="CM384" s="478"/>
      <c r="CN384" s="478"/>
      <c r="CO384" s="478"/>
      <c r="CP384" s="478"/>
      <c r="CQ384" s="478"/>
      <c r="CR384" s="478"/>
      <c r="CS384" s="478"/>
      <c r="CT384" s="478"/>
      <c r="CU384" s="478"/>
      <c r="CV384" s="478"/>
      <c r="CW384" s="478"/>
      <c r="CX384" s="478"/>
      <c r="CY384" s="478"/>
      <c r="CZ384" s="478"/>
      <c r="DA384" s="478"/>
      <c r="DB384" s="478"/>
      <c r="DC384" s="478"/>
      <c r="DD384" s="478"/>
      <c r="DE384" s="478"/>
      <c r="DF384" s="478"/>
      <c r="DG384" s="478"/>
      <c r="DH384" s="478"/>
      <c r="DI384" s="478"/>
    </row>
    <row r="385" spans="1:113" ht="16.05" hidden="1" customHeight="1" outlineLevel="1" x14ac:dyDescent="0.3">
      <c r="A385" s="455" t="str">
        <f t="shared" si="1407"/>
        <v/>
      </c>
      <c r="B385" s="455"/>
      <c r="C385" s="481"/>
      <c r="D385" s="463" t="str">
        <f t="shared" si="1423"/>
        <v>EXT-MAN-05</v>
      </c>
      <c r="E385" s="482"/>
      <c r="F385" s="483"/>
      <c r="G385" s="484"/>
      <c r="H385" s="485"/>
      <c r="I385" s="466">
        <f t="shared" si="1424"/>
        <v>0</v>
      </c>
      <c r="J385" s="259"/>
      <c r="K385" s="478">
        <f t="shared" si="1425"/>
        <v>0</v>
      </c>
      <c r="L385" s="466">
        <f t="shared" si="1426"/>
        <v>0</v>
      </c>
      <c r="M385" s="257"/>
      <c r="N385" s="478"/>
      <c r="O385" s="478"/>
      <c r="P385" s="478"/>
      <c r="Q385" s="478"/>
      <c r="R385" s="478"/>
      <c r="S385" s="478"/>
      <c r="T385" s="478"/>
      <c r="U385" s="478"/>
      <c r="V385" s="478"/>
      <c r="W385" s="478"/>
      <c r="X385" s="478"/>
      <c r="Y385" s="478"/>
      <c r="Z385" s="478"/>
      <c r="AA385" s="478"/>
      <c r="AB385" s="478"/>
      <c r="AC385" s="478"/>
      <c r="AD385" s="478"/>
      <c r="AE385" s="478"/>
      <c r="AF385" s="478"/>
      <c r="AG385" s="478"/>
      <c r="AH385" s="478"/>
      <c r="AI385" s="478"/>
      <c r="AJ385" s="478"/>
      <c r="AK385" s="478"/>
      <c r="AL385" s="478"/>
      <c r="AM385" s="478"/>
      <c r="AN385" s="478"/>
      <c r="AO385" s="478"/>
      <c r="AP385" s="478"/>
      <c r="AQ385" s="478"/>
      <c r="AR385" s="478"/>
      <c r="AS385" s="478"/>
      <c r="AT385" s="478"/>
      <c r="AU385" s="478"/>
      <c r="AV385" s="478"/>
      <c r="AW385" s="478"/>
      <c r="AX385" s="478"/>
      <c r="AY385" s="478"/>
      <c r="AZ385" s="478"/>
      <c r="BA385" s="478"/>
      <c r="BB385" s="478"/>
      <c r="BC385" s="478"/>
      <c r="BD385" s="478"/>
      <c r="BE385" s="478"/>
      <c r="BF385" s="478"/>
      <c r="BG385" s="478"/>
      <c r="BH385" s="478"/>
      <c r="BI385" s="478"/>
      <c r="BJ385" s="245"/>
      <c r="BK385" s="477">
        <f t="shared" si="1421"/>
        <v>0</v>
      </c>
      <c r="BL385" s="466">
        <f t="shared" si="1427"/>
        <v>0</v>
      </c>
      <c r="BM385" s="257"/>
      <c r="BN385" s="478"/>
      <c r="BO385" s="478"/>
      <c r="BP385" s="478"/>
      <c r="BQ385" s="478"/>
      <c r="BR385" s="478"/>
      <c r="BS385" s="478"/>
      <c r="BT385" s="478"/>
      <c r="BU385" s="478"/>
      <c r="BV385" s="478"/>
      <c r="BW385" s="478"/>
      <c r="BX385" s="478"/>
      <c r="BY385" s="478"/>
      <c r="BZ385" s="478"/>
      <c r="CA385" s="478"/>
      <c r="CB385" s="478"/>
      <c r="CC385" s="478"/>
      <c r="CD385" s="478"/>
      <c r="CE385" s="478"/>
      <c r="CF385" s="478"/>
      <c r="CG385" s="478"/>
      <c r="CH385" s="478"/>
      <c r="CI385" s="478"/>
      <c r="CJ385" s="478"/>
      <c r="CK385" s="478"/>
      <c r="CL385" s="478"/>
      <c r="CM385" s="478"/>
      <c r="CN385" s="478"/>
      <c r="CO385" s="478"/>
      <c r="CP385" s="478"/>
      <c r="CQ385" s="478"/>
      <c r="CR385" s="478"/>
      <c r="CS385" s="478"/>
      <c r="CT385" s="478"/>
      <c r="CU385" s="478"/>
      <c r="CV385" s="478"/>
      <c r="CW385" s="478"/>
      <c r="CX385" s="478"/>
      <c r="CY385" s="478"/>
      <c r="CZ385" s="478"/>
      <c r="DA385" s="478"/>
      <c r="DB385" s="478"/>
      <c r="DC385" s="478"/>
      <c r="DD385" s="478"/>
      <c r="DE385" s="478"/>
      <c r="DF385" s="478"/>
      <c r="DG385" s="478"/>
      <c r="DH385" s="478"/>
      <c r="DI385" s="478"/>
    </row>
    <row r="386" spans="1:113" ht="16.05" hidden="1" customHeight="1" outlineLevel="1" x14ac:dyDescent="0.3">
      <c r="A386" s="455" t="str">
        <f t="shared" si="1407"/>
        <v/>
      </c>
      <c r="B386" s="455"/>
      <c r="C386" s="481"/>
      <c r="D386" s="463" t="str">
        <f t="shared" si="1423"/>
        <v>EXT-MAN-06</v>
      </c>
      <c r="E386" s="482"/>
      <c r="F386" s="483"/>
      <c r="G386" s="484"/>
      <c r="H386" s="485"/>
      <c r="I386" s="466">
        <f t="shared" si="1424"/>
        <v>0</v>
      </c>
      <c r="J386" s="259"/>
      <c r="K386" s="478">
        <f t="shared" si="1425"/>
        <v>0</v>
      </c>
      <c r="L386" s="466">
        <f t="shared" si="1426"/>
        <v>0</v>
      </c>
      <c r="M386" s="257"/>
      <c r="N386" s="478"/>
      <c r="O386" s="478"/>
      <c r="P386" s="478"/>
      <c r="Q386" s="478"/>
      <c r="R386" s="478"/>
      <c r="S386" s="478"/>
      <c r="T386" s="478"/>
      <c r="U386" s="478"/>
      <c r="V386" s="478"/>
      <c r="W386" s="478"/>
      <c r="X386" s="478"/>
      <c r="Y386" s="478"/>
      <c r="Z386" s="478"/>
      <c r="AA386" s="478"/>
      <c r="AB386" s="478"/>
      <c r="AC386" s="478"/>
      <c r="AD386" s="478"/>
      <c r="AE386" s="478"/>
      <c r="AF386" s="478"/>
      <c r="AG386" s="478"/>
      <c r="AH386" s="478"/>
      <c r="AI386" s="478"/>
      <c r="AJ386" s="478"/>
      <c r="AK386" s="478"/>
      <c r="AL386" s="478"/>
      <c r="AM386" s="478"/>
      <c r="AN386" s="478"/>
      <c r="AO386" s="478"/>
      <c r="AP386" s="478"/>
      <c r="AQ386" s="478"/>
      <c r="AR386" s="478"/>
      <c r="AS386" s="478"/>
      <c r="AT386" s="478"/>
      <c r="AU386" s="478"/>
      <c r="AV386" s="478"/>
      <c r="AW386" s="478"/>
      <c r="AX386" s="478"/>
      <c r="AY386" s="478"/>
      <c r="AZ386" s="478"/>
      <c r="BA386" s="478"/>
      <c r="BB386" s="478"/>
      <c r="BC386" s="478"/>
      <c r="BD386" s="478"/>
      <c r="BE386" s="478"/>
      <c r="BF386" s="478"/>
      <c r="BG386" s="478"/>
      <c r="BH386" s="478"/>
      <c r="BI386" s="478"/>
      <c r="BJ386" s="245"/>
      <c r="BK386" s="477">
        <f t="shared" si="1421"/>
        <v>0</v>
      </c>
      <c r="BL386" s="466">
        <f t="shared" si="1427"/>
        <v>0</v>
      </c>
      <c r="BM386" s="257"/>
      <c r="BN386" s="478"/>
      <c r="BO386" s="478"/>
      <c r="BP386" s="478"/>
      <c r="BQ386" s="478"/>
      <c r="BR386" s="478"/>
      <c r="BS386" s="478"/>
      <c r="BT386" s="478"/>
      <c r="BU386" s="478"/>
      <c r="BV386" s="478"/>
      <c r="BW386" s="478"/>
      <c r="BX386" s="478"/>
      <c r="BY386" s="478"/>
      <c r="BZ386" s="478"/>
      <c r="CA386" s="478"/>
      <c r="CB386" s="478"/>
      <c r="CC386" s="478"/>
      <c r="CD386" s="478"/>
      <c r="CE386" s="478"/>
      <c r="CF386" s="478"/>
      <c r="CG386" s="478"/>
      <c r="CH386" s="478"/>
      <c r="CI386" s="478"/>
      <c r="CJ386" s="478"/>
      <c r="CK386" s="478"/>
      <c r="CL386" s="478"/>
      <c r="CM386" s="478"/>
      <c r="CN386" s="478"/>
      <c r="CO386" s="478"/>
      <c r="CP386" s="478"/>
      <c r="CQ386" s="478"/>
      <c r="CR386" s="478"/>
      <c r="CS386" s="478"/>
      <c r="CT386" s="478"/>
      <c r="CU386" s="478"/>
      <c r="CV386" s="478"/>
      <c r="CW386" s="478"/>
      <c r="CX386" s="478"/>
      <c r="CY386" s="478"/>
      <c r="CZ386" s="478"/>
      <c r="DA386" s="478"/>
      <c r="DB386" s="478"/>
      <c r="DC386" s="478"/>
      <c r="DD386" s="478"/>
      <c r="DE386" s="478"/>
      <c r="DF386" s="478"/>
      <c r="DG386" s="478"/>
      <c r="DH386" s="478"/>
      <c r="DI386" s="478"/>
    </row>
    <row r="387" spans="1:113" ht="16.05" hidden="1" customHeight="1" outlineLevel="1" x14ac:dyDescent="0.3">
      <c r="A387" s="455" t="str">
        <f t="shared" si="1407"/>
        <v/>
      </c>
      <c r="B387" s="455"/>
      <c r="C387" s="481"/>
      <c r="D387" s="463" t="str">
        <f t="shared" si="1423"/>
        <v>EXT-MAN-07</v>
      </c>
      <c r="E387" s="482"/>
      <c r="F387" s="483"/>
      <c r="G387" s="484"/>
      <c r="H387" s="485"/>
      <c r="I387" s="466">
        <f t="shared" si="1424"/>
        <v>0</v>
      </c>
      <c r="J387" s="259"/>
      <c r="K387" s="478">
        <f t="shared" si="1425"/>
        <v>0</v>
      </c>
      <c r="L387" s="466">
        <f t="shared" si="1426"/>
        <v>0</v>
      </c>
      <c r="M387" s="257"/>
      <c r="N387" s="478"/>
      <c r="O387" s="478"/>
      <c r="P387" s="478"/>
      <c r="Q387" s="478"/>
      <c r="R387" s="478"/>
      <c r="S387" s="478"/>
      <c r="T387" s="478"/>
      <c r="U387" s="478"/>
      <c r="V387" s="478"/>
      <c r="W387" s="478"/>
      <c r="X387" s="478"/>
      <c r="Y387" s="478"/>
      <c r="Z387" s="478"/>
      <c r="AA387" s="478"/>
      <c r="AB387" s="478"/>
      <c r="AC387" s="478"/>
      <c r="AD387" s="478"/>
      <c r="AE387" s="478"/>
      <c r="AF387" s="478"/>
      <c r="AG387" s="478"/>
      <c r="AH387" s="478"/>
      <c r="AI387" s="478"/>
      <c r="AJ387" s="478"/>
      <c r="AK387" s="478"/>
      <c r="AL387" s="478"/>
      <c r="AM387" s="478"/>
      <c r="AN387" s="478"/>
      <c r="AO387" s="478"/>
      <c r="AP387" s="478"/>
      <c r="AQ387" s="478"/>
      <c r="AR387" s="478"/>
      <c r="AS387" s="478"/>
      <c r="AT387" s="478"/>
      <c r="AU387" s="478"/>
      <c r="AV387" s="478"/>
      <c r="AW387" s="478"/>
      <c r="AX387" s="478"/>
      <c r="AY387" s="478"/>
      <c r="AZ387" s="478"/>
      <c r="BA387" s="478"/>
      <c r="BB387" s="478"/>
      <c r="BC387" s="478"/>
      <c r="BD387" s="478"/>
      <c r="BE387" s="478"/>
      <c r="BF387" s="478"/>
      <c r="BG387" s="478"/>
      <c r="BH387" s="478"/>
      <c r="BI387" s="478"/>
      <c r="BJ387" s="245"/>
      <c r="BK387" s="477">
        <f t="shared" si="1421"/>
        <v>0</v>
      </c>
      <c r="BL387" s="466">
        <f t="shared" si="1427"/>
        <v>0</v>
      </c>
      <c r="BM387" s="257"/>
      <c r="BN387" s="478"/>
      <c r="BO387" s="478"/>
      <c r="BP387" s="478"/>
      <c r="BQ387" s="478"/>
      <c r="BR387" s="478"/>
      <c r="BS387" s="478"/>
      <c r="BT387" s="478"/>
      <c r="BU387" s="478"/>
      <c r="BV387" s="478"/>
      <c r="BW387" s="478"/>
      <c r="BX387" s="478"/>
      <c r="BY387" s="478"/>
      <c r="BZ387" s="478"/>
      <c r="CA387" s="478"/>
      <c r="CB387" s="478"/>
      <c r="CC387" s="478"/>
      <c r="CD387" s="478"/>
      <c r="CE387" s="478"/>
      <c r="CF387" s="478"/>
      <c r="CG387" s="478"/>
      <c r="CH387" s="478"/>
      <c r="CI387" s="478"/>
      <c r="CJ387" s="478"/>
      <c r="CK387" s="478"/>
      <c r="CL387" s="478"/>
      <c r="CM387" s="478"/>
      <c r="CN387" s="478"/>
      <c r="CO387" s="478"/>
      <c r="CP387" s="478"/>
      <c r="CQ387" s="478"/>
      <c r="CR387" s="478"/>
      <c r="CS387" s="478"/>
      <c r="CT387" s="478"/>
      <c r="CU387" s="478"/>
      <c r="CV387" s="478"/>
      <c r="CW387" s="478"/>
      <c r="CX387" s="478"/>
      <c r="CY387" s="478"/>
      <c r="CZ387" s="478"/>
      <c r="DA387" s="478"/>
      <c r="DB387" s="478"/>
      <c r="DC387" s="478"/>
      <c r="DD387" s="478"/>
      <c r="DE387" s="478"/>
      <c r="DF387" s="478"/>
      <c r="DG387" s="478"/>
      <c r="DH387" s="478"/>
      <c r="DI387" s="478"/>
    </row>
    <row r="388" spans="1:113" ht="16.05" hidden="1" customHeight="1" outlineLevel="1" x14ac:dyDescent="0.3">
      <c r="A388" s="455" t="str">
        <f t="shared" si="1407"/>
        <v/>
      </c>
      <c r="B388" s="455"/>
      <c r="C388" s="481"/>
      <c r="D388" s="463" t="str">
        <f t="shared" si="1423"/>
        <v>EXT-MAN-08</v>
      </c>
      <c r="E388" s="482"/>
      <c r="F388" s="483"/>
      <c r="G388" s="484"/>
      <c r="H388" s="485"/>
      <c r="I388" s="466">
        <f t="shared" si="1424"/>
        <v>0</v>
      </c>
      <c r="J388" s="259"/>
      <c r="K388" s="478">
        <f t="shared" si="1425"/>
        <v>0</v>
      </c>
      <c r="L388" s="466">
        <f t="shared" si="1426"/>
        <v>0</v>
      </c>
      <c r="M388" s="257"/>
      <c r="N388" s="478"/>
      <c r="O388" s="478"/>
      <c r="P388" s="478"/>
      <c r="Q388" s="478"/>
      <c r="R388" s="478"/>
      <c r="S388" s="478"/>
      <c r="T388" s="478"/>
      <c r="U388" s="478"/>
      <c r="V388" s="478"/>
      <c r="W388" s="478"/>
      <c r="X388" s="478"/>
      <c r="Y388" s="478"/>
      <c r="Z388" s="478"/>
      <c r="AA388" s="478"/>
      <c r="AB388" s="478"/>
      <c r="AC388" s="478"/>
      <c r="AD388" s="478"/>
      <c r="AE388" s="478"/>
      <c r="AF388" s="478"/>
      <c r="AG388" s="478"/>
      <c r="AH388" s="478"/>
      <c r="AI388" s="478"/>
      <c r="AJ388" s="478"/>
      <c r="AK388" s="478"/>
      <c r="AL388" s="478"/>
      <c r="AM388" s="478"/>
      <c r="AN388" s="478"/>
      <c r="AO388" s="478"/>
      <c r="AP388" s="478"/>
      <c r="AQ388" s="478"/>
      <c r="AR388" s="478"/>
      <c r="AS388" s="478"/>
      <c r="AT388" s="478"/>
      <c r="AU388" s="478"/>
      <c r="AV388" s="478"/>
      <c r="AW388" s="478"/>
      <c r="AX388" s="478"/>
      <c r="AY388" s="478"/>
      <c r="AZ388" s="478"/>
      <c r="BA388" s="478"/>
      <c r="BB388" s="478"/>
      <c r="BC388" s="478"/>
      <c r="BD388" s="478"/>
      <c r="BE388" s="478"/>
      <c r="BF388" s="478"/>
      <c r="BG388" s="478"/>
      <c r="BH388" s="478"/>
      <c r="BI388" s="478"/>
      <c r="BJ388" s="245"/>
      <c r="BK388" s="477">
        <f t="shared" si="1421"/>
        <v>0</v>
      </c>
      <c r="BL388" s="466">
        <f t="shared" si="1427"/>
        <v>0</v>
      </c>
      <c r="BM388" s="257"/>
      <c r="BN388" s="478"/>
      <c r="BO388" s="478"/>
      <c r="BP388" s="478"/>
      <c r="BQ388" s="478"/>
      <c r="BR388" s="478"/>
      <c r="BS388" s="478"/>
      <c r="BT388" s="478"/>
      <c r="BU388" s="478"/>
      <c r="BV388" s="478"/>
      <c r="BW388" s="478"/>
      <c r="BX388" s="478"/>
      <c r="BY388" s="478"/>
      <c r="BZ388" s="478"/>
      <c r="CA388" s="478"/>
      <c r="CB388" s="478"/>
      <c r="CC388" s="478"/>
      <c r="CD388" s="478"/>
      <c r="CE388" s="478"/>
      <c r="CF388" s="478"/>
      <c r="CG388" s="478"/>
      <c r="CH388" s="478"/>
      <c r="CI388" s="478"/>
      <c r="CJ388" s="478"/>
      <c r="CK388" s="478"/>
      <c r="CL388" s="478"/>
      <c r="CM388" s="478"/>
      <c r="CN388" s="478"/>
      <c r="CO388" s="478"/>
      <c r="CP388" s="478"/>
      <c r="CQ388" s="478"/>
      <c r="CR388" s="478"/>
      <c r="CS388" s="478"/>
      <c r="CT388" s="478"/>
      <c r="CU388" s="478"/>
      <c r="CV388" s="478"/>
      <c r="CW388" s="478"/>
      <c r="CX388" s="478"/>
      <c r="CY388" s="478"/>
      <c r="CZ388" s="478"/>
      <c r="DA388" s="478"/>
      <c r="DB388" s="478"/>
      <c r="DC388" s="478"/>
      <c r="DD388" s="478"/>
      <c r="DE388" s="478"/>
      <c r="DF388" s="478"/>
      <c r="DG388" s="478"/>
      <c r="DH388" s="478"/>
      <c r="DI388" s="478"/>
    </row>
    <row r="389" spans="1:113" ht="16.05" hidden="1" customHeight="1" outlineLevel="1" x14ac:dyDescent="0.3">
      <c r="A389" s="455" t="str">
        <f t="shared" si="1407"/>
        <v/>
      </c>
      <c r="B389" s="455"/>
      <c r="C389" s="481"/>
      <c r="D389" s="463" t="str">
        <f t="shared" si="1423"/>
        <v>EXT-MAN-09</v>
      </c>
      <c r="E389" s="482"/>
      <c r="F389" s="483"/>
      <c r="G389" s="484"/>
      <c r="H389" s="485"/>
      <c r="I389" s="466">
        <f t="shared" si="1424"/>
        <v>0</v>
      </c>
      <c r="J389" s="259"/>
      <c r="K389" s="478">
        <f t="shared" si="1425"/>
        <v>0</v>
      </c>
      <c r="L389" s="466">
        <f t="shared" si="1426"/>
        <v>0</v>
      </c>
      <c r="M389" s="257"/>
      <c r="N389" s="478"/>
      <c r="O389" s="478"/>
      <c r="P389" s="478"/>
      <c r="Q389" s="478"/>
      <c r="R389" s="478"/>
      <c r="S389" s="478"/>
      <c r="T389" s="478"/>
      <c r="U389" s="478"/>
      <c r="V389" s="478"/>
      <c r="W389" s="478"/>
      <c r="X389" s="478"/>
      <c r="Y389" s="478"/>
      <c r="Z389" s="478"/>
      <c r="AA389" s="478"/>
      <c r="AB389" s="478"/>
      <c r="AC389" s="478"/>
      <c r="AD389" s="478"/>
      <c r="AE389" s="478"/>
      <c r="AF389" s="478"/>
      <c r="AG389" s="478"/>
      <c r="AH389" s="478"/>
      <c r="AI389" s="478"/>
      <c r="AJ389" s="478"/>
      <c r="AK389" s="478"/>
      <c r="AL389" s="478"/>
      <c r="AM389" s="478"/>
      <c r="AN389" s="478"/>
      <c r="AO389" s="478"/>
      <c r="AP389" s="478"/>
      <c r="AQ389" s="478"/>
      <c r="AR389" s="478"/>
      <c r="AS389" s="478"/>
      <c r="AT389" s="478"/>
      <c r="AU389" s="478"/>
      <c r="AV389" s="478"/>
      <c r="AW389" s="478"/>
      <c r="AX389" s="478"/>
      <c r="AY389" s="478"/>
      <c r="AZ389" s="478"/>
      <c r="BA389" s="478"/>
      <c r="BB389" s="478"/>
      <c r="BC389" s="478"/>
      <c r="BD389" s="478"/>
      <c r="BE389" s="478"/>
      <c r="BF389" s="478"/>
      <c r="BG389" s="478"/>
      <c r="BH389" s="478"/>
      <c r="BI389" s="478"/>
      <c r="BJ389" s="245"/>
      <c r="BK389" s="477">
        <f t="shared" si="1421"/>
        <v>0</v>
      </c>
      <c r="BL389" s="466">
        <f t="shared" si="1427"/>
        <v>0</v>
      </c>
      <c r="BM389" s="257"/>
      <c r="BN389" s="478"/>
      <c r="BO389" s="478"/>
      <c r="BP389" s="478"/>
      <c r="BQ389" s="478"/>
      <c r="BR389" s="478"/>
      <c r="BS389" s="478"/>
      <c r="BT389" s="478"/>
      <c r="BU389" s="478"/>
      <c r="BV389" s="478"/>
      <c r="BW389" s="478"/>
      <c r="BX389" s="478"/>
      <c r="BY389" s="478"/>
      <c r="BZ389" s="478"/>
      <c r="CA389" s="478"/>
      <c r="CB389" s="478"/>
      <c r="CC389" s="478"/>
      <c r="CD389" s="478"/>
      <c r="CE389" s="478"/>
      <c r="CF389" s="478"/>
      <c r="CG389" s="478"/>
      <c r="CH389" s="478"/>
      <c r="CI389" s="478"/>
      <c r="CJ389" s="478"/>
      <c r="CK389" s="478"/>
      <c r="CL389" s="478"/>
      <c r="CM389" s="478"/>
      <c r="CN389" s="478"/>
      <c r="CO389" s="478"/>
      <c r="CP389" s="478"/>
      <c r="CQ389" s="478"/>
      <c r="CR389" s="478"/>
      <c r="CS389" s="478"/>
      <c r="CT389" s="478"/>
      <c r="CU389" s="478"/>
      <c r="CV389" s="478"/>
      <c r="CW389" s="478"/>
      <c r="CX389" s="478"/>
      <c r="CY389" s="478"/>
      <c r="CZ389" s="478"/>
      <c r="DA389" s="478"/>
      <c r="DB389" s="478"/>
      <c r="DC389" s="478"/>
      <c r="DD389" s="478"/>
      <c r="DE389" s="478"/>
      <c r="DF389" s="478"/>
      <c r="DG389" s="478"/>
      <c r="DH389" s="478"/>
      <c r="DI389" s="478"/>
    </row>
    <row r="390" spans="1:113" ht="16.05" hidden="1" customHeight="1" outlineLevel="1" x14ac:dyDescent="0.3">
      <c r="A390" s="455" t="str">
        <f t="shared" si="1407"/>
        <v/>
      </c>
      <c r="B390" s="455"/>
      <c r="C390" s="481"/>
      <c r="D390" s="463" t="str">
        <f t="shared" si="1423"/>
        <v>EXT-MAN-10</v>
      </c>
      <c r="E390" s="482"/>
      <c r="F390" s="483"/>
      <c r="G390" s="484"/>
      <c r="H390" s="485"/>
      <c r="I390" s="466">
        <f t="shared" si="1424"/>
        <v>0</v>
      </c>
      <c r="J390" s="259"/>
      <c r="K390" s="478">
        <f t="shared" si="1425"/>
        <v>0</v>
      </c>
      <c r="L390" s="466">
        <f t="shared" si="1426"/>
        <v>0</v>
      </c>
      <c r="M390" s="257"/>
      <c r="N390" s="478"/>
      <c r="O390" s="478"/>
      <c r="P390" s="478"/>
      <c r="Q390" s="478"/>
      <c r="R390" s="478"/>
      <c r="S390" s="478"/>
      <c r="T390" s="478"/>
      <c r="U390" s="478"/>
      <c r="V390" s="478"/>
      <c r="W390" s="478"/>
      <c r="X390" s="478"/>
      <c r="Y390" s="478"/>
      <c r="Z390" s="478"/>
      <c r="AA390" s="478"/>
      <c r="AB390" s="478"/>
      <c r="AC390" s="478"/>
      <c r="AD390" s="478"/>
      <c r="AE390" s="478"/>
      <c r="AF390" s="478"/>
      <c r="AG390" s="478"/>
      <c r="AH390" s="478"/>
      <c r="AI390" s="478"/>
      <c r="AJ390" s="478"/>
      <c r="AK390" s="478"/>
      <c r="AL390" s="478"/>
      <c r="AM390" s="478"/>
      <c r="AN390" s="478"/>
      <c r="AO390" s="478"/>
      <c r="AP390" s="478"/>
      <c r="AQ390" s="478"/>
      <c r="AR390" s="478"/>
      <c r="AS390" s="478"/>
      <c r="AT390" s="478"/>
      <c r="AU390" s="478"/>
      <c r="AV390" s="478"/>
      <c r="AW390" s="478"/>
      <c r="AX390" s="478"/>
      <c r="AY390" s="478"/>
      <c r="AZ390" s="478"/>
      <c r="BA390" s="478"/>
      <c r="BB390" s="478"/>
      <c r="BC390" s="478"/>
      <c r="BD390" s="478"/>
      <c r="BE390" s="478"/>
      <c r="BF390" s="478"/>
      <c r="BG390" s="478"/>
      <c r="BH390" s="478"/>
      <c r="BI390" s="478"/>
      <c r="BJ390" s="245"/>
      <c r="BK390" s="477">
        <f t="shared" si="1421"/>
        <v>0</v>
      </c>
      <c r="BL390" s="466">
        <f t="shared" si="1427"/>
        <v>0</v>
      </c>
      <c r="BM390" s="257"/>
      <c r="BN390" s="478"/>
      <c r="BO390" s="478"/>
      <c r="BP390" s="478"/>
      <c r="BQ390" s="478"/>
      <c r="BR390" s="478"/>
      <c r="BS390" s="478"/>
      <c r="BT390" s="478"/>
      <c r="BU390" s="478"/>
      <c r="BV390" s="478"/>
      <c r="BW390" s="478"/>
      <c r="BX390" s="478"/>
      <c r="BY390" s="478"/>
      <c r="BZ390" s="478"/>
      <c r="CA390" s="478"/>
      <c r="CB390" s="478"/>
      <c r="CC390" s="478"/>
      <c r="CD390" s="478"/>
      <c r="CE390" s="478"/>
      <c r="CF390" s="478"/>
      <c r="CG390" s="478"/>
      <c r="CH390" s="478"/>
      <c r="CI390" s="478"/>
      <c r="CJ390" s="478"/>
      <c r="CK390" s="478"/>
      <c r="CL390" s="478"/>
      <c r="CM390" s="478"/>
      <c r="CN390" s="478"/>
      <c r="CO390" s="478"/>
      <c r="CP390" s="478"/>
      <c r="CQ390" s="478"/>
      <c r="CR390" s="478"/>
      <c r="CS390" s="478"/>
      <c r="CT390" s="478"/>
      <c r="CU390" s="478"/>
      <c r="CV390" s="478"/>
      <c r="CW390" s="478"/>
      <c r="CX390" s="478"/>
      <c r="CY390" s="478"/>
      <c r="CZ390" s="478"/>
      <c r="DA390" s="478"/>
      <c r="DB390" s="478"/>
      <c r="DC390" s="478"/>
      <c r="DD390" s="478"/>
      <c r="DE390" s="478"/>
      <c r="DF390" s="478"/>
      <c r="DG390" s="478"/>
      <c r="DH390" s="478"/>
      <c r="DI390" s="478"/>
    </row>
    <row r="391" spans="1:113" ht="8.1" hidden="1" customHeight="1" outlineLevel="1" x14ac:dyDescent="0.3">
      <c r="A391" s="455" t="str">
        <f>IF(COUNTIF(A381:A390,"Imprimir")&gt;0,"Imprimir","")</f>
        <v/>
      </c>
      <c r="B391" s="625"/>
      <c r="C391" s="629"/>
      <c r="D391" s="630"/>
      <c r="E391" s="631"/>
      <c r="F391" s="631"/>
      <c r="G391" s="630"/>
      <c r="H391" s="630"/>
      <c r="I391" s="630"/>
      <c r="J391" s="626"/>
      <c r="K391" s="632"/>
      <c r="L391" s="633"/>
      <c r="M391" s="627"/>
      <c r="N391" s="632"/>
      <c r="O391" s="632"/>
      <c r="P391" s="632"/>
      <c r="Q391" s="632"/>
      <c r="R391" s="632"/>
      <c r="S391" s="632"/>
      <c r="T391" s="632"/>
      <c r="U391" s="632"/>
      <c r="V391" s="632"/>
      <c r="W391" s="632"/>
      <c r="X391" s="632"/>
      <c r="Y391" s="632"/>
      <c r="Z391" s="632"/>
      <c r="AA391" s="632"/>
      <c r="AB391" s="632"/>
      <c r="AC391" s="632"/>
      <c r="AD391" s="632"/>
      <c r="AE391" s="632"/>
      <c r="AF391" s="632"/>
      <c r="AG391" s="632"/>
      <c r="AH391" s="632"/>
      <c r="AI391" s="632"/>
      <c r="AJ391" s="632"/>
      <c r="AK391" s="632"/>
      <c r="AL391" s="632"/>
      <c r="AM391" s="634"/>
      <c r="AN391" s="632"/>
      <c r="AO391" s="632"/>
      <c r="AP391" s="632"/>
      <c r="AQ391" s="632"/>
      <c r="AR391" s="632"/>
      <c r="AS391" s="632"/>
      <c r="AT391" s="632"/>
      <c r="AU391" s="632"/>
      <c r="AV391" s="632"/>
      <c r="AW391" s="632"/>
      <c r="AX391" s="632"/>
      <c r="AY391" s="632"/>
      <c r="AZ391" s="632"/>
      <c r="BA391" s="632"/>
      <c r="BB391" s="632"/>
      <c r="BC391" s="632"/>
      <c r="BD391" s="632"/>
      <c r="BE391" s="632"/>
      <c r="BF391" s="632"/>
      <c r="BG391" s="632"/>
      <c r="BH391" s="632"/>
      <c r="BI391" s="632"/>
      <c r="BJ391" s="628"/>
      <c r="BK391" s="633"/>
      <c r="BL391" s="633"/>
      <c r="BM391" s="627"/>
      <c r="BN391" s="632"/>
      <c r="BO391" s="632"/>
      <c r="BP391" s="632"/>
      <c r="BQ391" s="632"/>
      <c r="BR391" s="632"/>
      <c r="BS391" s="632"/>
      <c r="BT391" s="632"/>
      <c r="BU391" s="632"/>
      <c r="BV391" s="632"/>
      <c r="BW391" s="632"/>
      <c r="BX391" s="632"/>
      <c r="BY391" s="632"/>
      <c r="BZ391" s="632"/>
      <c r="CA391" s="632"/>
      <c r="CB391" s="632"/>
      <c r="CC391" s="632"/>
      <c r="CD391" s="632"/>
      <c r="CE391" s="632"/>
      <c r="CF391" s="632"/>
      <c r="CG391" s="632"/>
      <c r="CH391" s="632"/>
      <c r="CI391" s="632"/>
      <c r="CJ391" s="632"/>
      <c r="CK391" s="632"/>
      <c r="CL391" s="632"/>
      <c r="CM391" s="632"/>
      <c r="CN391" s="632"/>
      <c r="CO391" s="632"/>
      <c r="CP391" s="632"/>
      <c r="CQ391" s="632"/>
      <c r="CR391" s="632"/>
      <c r="CS391" s="632"/>
      <c r="CT391" s="632"/>
      <c r="CU391" s="632"/>
      <c r="CV391" s="632"/>
      <c r="CW391" s="632"/>
      <c r="CX391" s="632"/>
      <c r="CY391" s="632"/>
      <c r="CZ391" s="632"/>
      <c r="DA391" s="632"/>
      <c r="DB391" s="632"/>
      <c r="DC391" s="632"/>
      <c r="DD391" s="632"/>
      <c r="DE391" s="632"/>
      <c r="DF391" s="632"/>
      <c r="DG391" s="632"/>
      <c r="DH391" s="632"/>
      <c r="DI391" s="634"/>
    </row>
    <row r="392" spans="1:113" ht="16.05" hidden="1" customHeight="1" collapsed="1" x14ac:dyDescent="0.3">
      <c r="A392" s="455" t="str">
        <f>IF(COUNTIF(A393:A402,"Imprimir")&gt;0,"Imprimir","")</f>
        <v/>
      </c>
      <c r="B392" s="455"/>
      <c r="C392" s="459"/>
      <c r="D392" s="459"/>
      <c r="E392" s="460" t="s">
        <v>2098</v>
      </c>
      <c r="F392" s="460"/>
      <c r="G392" s="460"/>
      <c r="H392" s="465"/>
      <c r="I392" s="465">
        <f>SUBTOTAL(9,I393:I403)</f>
        <v>0</v>
      </c>
      <c r="J392" s="259"/>
      <c r="K392" s="465"/>
      <c r="L392" s="465">
        <f>SUBTOTAL(9,L393:L403)</f>
        <v>0</v>
      </c>
      <c r="M392" s="257"/>
      <c r="N392" s="465">
        <f t="shared" ref="N392:AM392" si="1428">SUMPRODUCT(N393:N403,$H393:$H403)</f>
        <v>0</v>
      </c>
      <c r="O392" s="465">
        <f t="shared" si="1428"/>
        <v>0</v>
      </c>
      <c r="P392" s="465">
        <f t="shared" si="1428"/>
        <v>0</v>
      </c>
      <c r="Q392" s="465">
        <f t="shared" si="1428"/>
        <v>0</v>
      </c>
      <c r="R392" s="465">
        <f t="shared" si="1428"/>
        <v>0</v>
      </c>
      <c r="S392" s="465">
        <f t="shared" si="1428"/>
        <v>0</v>
      </c>
      <c r="T392" s="465">
        <f t="shared" si="1428"/>
        <v>0</v>
      </c>
      <c r="U392" s="465">
        <f t="shared" si="1428"/>
        <v>0</v>
      </c>
      <c r="V392" s="465">
        <f t="shared" si="1428"/>
        <v>0</v>
      </c>
      <c r="W392" s="465">
        <f t="shared" si="1428"/>
        <v>0</v>
      </c>
      <c r="X392" s="465">
        <f t="shared" si="1428"/>
        <v>0</v>
      </c>
      <c r="Y392" s="465">
        <f t="shared" si="1428"/>
        <v>0</v>
      </c>
      <c r="Z392" s="465">
        <f t="shared" si="1428"/>
        <v>0</v>
      </c>
      <c r="AA392" s="465">
        <f t="shared" si="1428"/>
        <v>0</v>
      </c>
      <c r="AB392" s="465">
        <f t="shared" si="1428"/>
        <v>0</v>
      </c>
      <c r="AC392" s="465">
        <f t="shared" si="1428"/>
        <v>0</v>
      </c>
      <c r="AD392" s="465">
        <f t="shared" si="1428"/>
        <v>0</v>
      </c>
      <c r="AE392" s="465">
        <f t="shared" si="1428"/>
        <v>0</v>
      </c>
      <c r="AF392" s="465">
        <f t="shared" si="1428"/>
        <v>0</v>
      </c>
      <c r="AG392" s="465">
        <f t="shared" si="1428"/>
        <v>0</v>
      </c>
      <c r="AH392" s="465">
        <f t="shared" si="1428"/>
        <v>0</v>
      </c>
      <c r="AI392" s="465">
        <f t="shared" si="1428"/>
        <v>0</v>
      </c>
      <c r="AJ392" s="465">
        <f t="shared" si="1428"/>
        <v>0</v>
      </c>
      <c r="AK392" s="465">
        <f t="shared" si="1428"/>
        <v>0</v>
      </c>
      <c r="AL392" s="465">
        <f t="shared" si="1428"/>
        <v>0</v>
      </c>
      <c r="AM392" s="465">
        <f t="shared" si="1428"/>
        <v>0</v>
      </c>
      <c r="AN392" s="465">
        <f t="shared" ref="AN392:BI392" si="1429">SUMPRODUCT(AN393:AN437,$H393:$H437)</f>
        <v>0</v>
      </c>
      <c r="AO392" s="465">
        <f t="shared" si="1429"/>
        <v>0</v>
      </c>
      <c r="AP392" s="465">
        <f t="shared" si="1429"/>
        <v>0</v>
      </c>
      <c r="AQ392" s="465">
        <f t="shared" si="1429"/>
        <v>0</v>
      </c>
      <c r="AR392" s="465">
        <f t="shared" si="1429"/>
        <v>0</v>
      </c>
      <c r="AS392" s="465">
        <f t="shared" si="1429"/>
        <v>0</v>
      </c>
      <c r="AT392" s="465">
        <f t="shared" si="1429"/>
        <v>0</v>
      </c>
      <c r="AU392" s="465">
        <f t="shared" si="1429"/>
        <v>0</v>
      </c>
      <c r="AV392" s="465">
        <f t="shared" si="1429"/>
        <v>0</v>
      </c>
      <c r="AW392" s="465">
        <f t="shared" si="1429"/>
        <v>0</v>
      </c>
      <c r="AX392" s="465">
        <f t="shared" si="1429"/>
        <v>0</v>
      </c>
      <c r="AY392" s="465">
        <f t="shared" si="1429"/>
        <v>0</v>
      </c>
      <c r="AZ392" s="465">
        <f t="shared" si="1429"/>
        <v>0</v>
      </c>
      <c r="BA392" s="465">
        <f t="shared" si="1429"/>
        <v>0</v>
      </c>
      <c r="BB392" s="465">
        <f t="shared" si="1429"/>
        <v>0</v>
      </c>
      <c r="BC392" s="465">
        <f t="shared" si="1429"/>
        <v>0</v>
      </c>
      <c r="BD392" s="465">
        <f t="shared" si="1429"/>
        <v>0</v>
      </c>
      <c r="BE392" s="465">
        <f t="shared" si="1429"/>
        <v>0</v>
      </c>
      <c r="BF392" s="465">
        <f t="shared" si="1429"/>
        <v>0</v>
      </c>
      <c r="BG392" s="465">
        <f t="shared" si="1429"/>
        <v>0</v>
      </c>
      <c r="BH392" s="465">
        <f t="shared" si="1429"/>
        <v>0</v>
      </c>
      <c r="BI392" s="543">
        <f t="shared" si="1429"/>
        <v>0</v>
      </c>
      <c r="BJ392" s="546"/>
      <c r="BK392" s="475">
        <f t="shared" ref="BK392:BK402" si="1430">IFERROR(BL392/I392,0)</f>
        <v>0</v>
      </c>
      <c r="BL392" s="465">
        <f>SUBTOTAL(9,BL393:BL403)</f>
        <v>0</v>
      </c>
      <c r="BM392" s="257"/>
      <c r="BN392" s="465">
        <f t="shared" ref="BN392:DI392" si="1431">SUMPRODUCT(BN393:BN403,$H393:$H403)</f>
        <v>0</v>
      </c>
      <c r="BO392" s="465">
        <f t="shared" si="1431"/>
        <v>0</v>
      </c>
      <c r="BP392" s="465">
        <f t="shared" si="1431"/>
        <v>0</v>
      </c>
      <c r="BQ392" s="465">
        <f t="shared" si="1431"/>
        <v>0</v>
      </c>
      <c r="BR392" s="465">
        <f t="shared" si="1431"/>
        <v>0</v>
      </c>
      <c r="BS392" s="465">
        <f t="shared" si="1431"/>
        <v>0</v>
      </c>
      <c r="BT392" s="465">
        <f t="shared" si="1431"/>
        <v>0</v>
      </c>
      <c r="BU392" s="465">
        <f t="shared" si="1431"/>
        <v>0</v>
      </c>
      <c r="BV392" s="465">
        <f t="shared" si="1431"/>
        <v>0</v>
      </c>
      <c r="BW392" s="465">
        <f t="shared" si="1431"/>
        <v>0</v>
      </c>
      <c r="BX392" s="465">
        <f t="shared" si="1431"/>
        <v>0</v>
      </c>
      <c r="BY392" s="465">
        <f t="shared" si="1431"/>
        <v>0</v>
      </c>
      <c r="BZ392" s="465">
        <f t="shared" si="1431"/>
        <v>0</v>
      </c>
      <c r="CA392" s="465">
        <f t="shared" si="1431"/>
        <v>0</v>
      </c>
      <c r="CB392" s="465">
        <f t="shared" si="1431"/>
        <v>0</v>
      </c>
      <c r="CC392" s="465">
        <f t="shared" si="1431"/>
        <v>0</v>
      </c>
      <c r="CD392" s="465">
        <f t="shared" si="1431"/>
        <v>0</v>
      </c>
      <c r="CE392" s="465">
        <f t="shared" si="1431"/>
        <v>0</v>
      </c>
      <c r="CF392" s="465">
        <f t="shared" si="1431"/>
        <v>0</v>
      </c>
      <c r="CG392" s="465">
        <f t="shared" si="1431"/>
        <v>0</v>
      </c>
      <c r="CH392" s="465">
        <f t="shared" si="1431"/>
        <v>0</v>
      </c>
      <c r="CI392" s="465">
        <f t="shared" si="1431"/>
        <v>0</v>
      </c>
      <c r="CJ392" s="465">
        <f t="shared" si="1431"/>
        <v>0</v>
      </c>
      <c r="CK392" s="465">
        <f t="shared" si="1431"/>
        <v>0</v>
      </c>
      <c r="CL392" s="465">
        <f t="shared" si="1431"/>
        <v>0</v>
      </c>
      <c r="CM392" s="465">
        <f t="shared" si="1431"/>
        <v>0</v>
      </c>
      <c r="CN392" s="465">
        <f t="shared" si="1431"/>
        <v>0</v>
      </c>
      <c r="CO392" s="465">
        <f t="shared" si="1431"/>
        <v>0</v>
      </c>
      <c r="CP392" s="465">
        <f t="shared" si="1431"/>
        <v>0</v>
      </c>
      <c r="CQ392" s="465">
        <f t="shared" si="1431"/>
        <v>0</v>
      </c>
      <c r="CR392" s="465">
        <f t="shared" si="1431"/>
        <v>0</v>
      </c>
      <c r="CS392" s="465">
        <f t="shared" si="1431"/>
        <v>0</v>
      </c>
      <c r="CT392" s="465">
        <f t="shared" si="1431"/>
        <v>0</v>
      </c>
      <c r="CU392" s="465">
        <f t="shared" si="1431"/>
        <v>0</v>
      </c>
      <c r="CV392" s="465">
        <f t="shared" si="1431"/>
        <v>0</v>
      </c>
      <c r="CW392" s="465">
        <f t="shared" si="1431"/>
        <v>0</v>
      </c>
      <c r="CX392" s="465">
        <f t="shared" si="1431"/>
        <v>0</v>
      </c>
      <c r="CY392" s="465">
        <f t="shared" si="1431"/>
        <v>0</v>
      </c>
      <c r="CZ392" s="465">
        <f t="shared" si="1431"/>
        <v>0</v>
      </c>
      <c r="DA392" s="465">
        <f t="shared" si="1431"/>
        <v>0</v>
      </c>
      <c r="DB392" s="465">
        <f t="shared" si="1431"/>
        <v>0</v>
      </c>
      <c r="DC392" s="465">
        <f t="shared" si="1431"/>
        <v>0</v>
      </c>
      <c r="DD392" s="465">
        <f t="shared" si="1431"/>
        <v>0</v>
      </c>
      <c r="DE392" s="465">
        <f t="shared" si="1431"/>
        <v>0</v>
      </c>
      <c r="DF392" s="465">
        <f t="shared" si="1431"/>
        <v>0</v>
      </c>
      <c r="DG392" s="465">
        <f t="shared" si="1431"/>
        <v>0</v>
      </c>
      <c r="DH392" s="465">
        <f t="shared" si="1431"/>
        <v>0</v>
      </c>
      <c r="DI392" s="465">
        <f t="shared" si="1431"/>
        <v>0</v>
      </c>
    </row>
    <row r="393" spans="1:113" ht="16.05" hidden="1" customHeight="1" outlineLevel="1" x14ac:dyDescent="0.3">
      <c r="A393" s="455" t="str">
        <f t="shared" si="1407"/>
        <v/>
      </c>
      <c r="B393" s="455"/>
      <c r="C393" s="481"/>
      <c r="D393" s="463" t="str">
        <f t="shared" ref="D393:D402" si="1432">CONCATENATE("EXT-",MID($E$392,8,3),"-",IF((ROW(D393)-ROW($D$393)+1)&lt;10,CONCATENATE("0",(ROW(D393)-ROW($D$393)+1)),(ROW(D393)-ROW($D$393)+1)))</f>
        <v>EXT-VIC-01</v>
      </c>
      <c r="E393" s="482"/>
      <c r="F393" s="483"/>
      <c r="G393" s="484"/>
      <c r="H393" s="485"/>
      <c r="I393" s="466">
        <f t="shared" ref="I393:I402" si="1433">G393*H393</f>
        <v>0</v>
      </c>
      <c r="J393" s="259"/>
      <c r="K393" s="478">
        <f t="shared" ref="K393:K402" si="1434">SUM(N393:BI393)</f>
        <v>0</v>
      </c>
      <c r="L393" s="466">
        <f t="shared" ref="L393:L402" si="1435">K393*$H393</f>
        <v>0</v>
      </c>
      <c r="M393" s="257"/>
      <c r="N393" s="478"/>
      <c r="O393" s="478"/>
      <c r="P393" s="478"/>
      <c r="Q393" s="478"/>
      <c r="R393" s="478"/>
      <c r="S393" s="478"/>
      <c r="T393" s="478"/>
      <c r="U393" s="478"/>
      <c r="V393" s="478"/>
      <c r="W393" s="478"/>
      <c r="X393" s="478"/>
      <c r="Y393" s="478"/>
      <c r="Z393" s="478"/>
      <c r="AA393" s="478"/>
      <c r="AB393" s="478"/>
      <c r="AC393" s="478"/>
      <c r="AD393" s="478"/>
      <c r="AE393" s="478"/>
      <c r="AF393" s="478"/>
      <c r="AG393" s="478"/>
      <c r="AH393" s="478"/>
      <c r="AI393" s="478"/>
      <c r="AJ393" s="478"/>
      <c r="AK393" s="478"/>
      <c r="AL393" s="478"/>
      <c r="AM393" s="478"/>
      <c r="AN393" s="478"/>
      <c r="AO393" s="478"/>
      <c r="AP393" s="478"/>
      <c r="AQ393" s="478"/>
      <c r="AR393" s="478"/>
      <c r="AS393" s="478"/>
      <c r="AT393" s="478"/>
      <c r="AU393" s="478"/>
      <c r="AV393" s="478"/>
      <c r="AW393" s="478"/>
      <c r="AX393" s="478"/>
      <c r="AY393" s="478"/>
      <c r="AZ393" s="478"/>
      <c r="BA393" s="478"/>
      <c r="BB393" s="478"/>
      <c r="BC393" s="478"/>
      <c r="BD393" s="478"/>
      <c r="BE393" s="478"/>
      <c r="BF393" s="478"/>
      <c r="BG393" s="478"/>
      <c r="BH393" s="478"/>
      <c r="BI393" s="478"/>
      <c r="BJ393" s="245"/>
      <c r="BK393" s="477">
        <f t="shared" si="1430"/>
        <v>0</v>
      </c>
      <c r="BL393" s="466">
        <f t="shared" ref="BL393:BL402" si="1436">SUM(BN393:DJ393)*$H393</f>
        <v>0</v>
      </c>
      <c r="BM393" s="257"/>
      <c r="BN393" s="478"/>
      <c r="BO393" s="478"/>
      <c r="BP393" s="478"/>
      <c r="BQ393" s="478"/>
      <c r="BR393" s="478"/>
      <c r="BS393" s="478"/>
      <c r="BT393" s="478"/>
      <c r="BU393" s="478"/>
      <c r="BV393" s="478"/>
      <c r="BW393" s="478"/>
      <c r="BX393" s="478"/>
      <c r="BY393" s="478"/>
      <c r="BZ393" s="478"/>
      <c r="CA393" s="478"/>
      <c r="CB393" s="478"/>
      <c r="CC393" s="478"/>
      <c r="CD393" s="478"/>
      <c r="CE393" s="478"/>
      <c r="CF393" s="478"/>
      <c r="CG393" s="478"/>
      <c r="CH393" s="478"/>
      <c r="CI393" s="478"/>
      <c r="CJ393" s="478"/>
      <c r="CK393" s="478"/>
      <c r="CL393" s="478"/>
      <c r="CM393" s="478"/>
      <c r="CN393" s="478"/>
      <c r="CO393" s="478"/>
      <c r="CP393" s="478"/>
      <c r="CQ393" s="478"/>
      <c r="CR393" s="478"/>
      <c r="CS393" s="478"/>
      <c r="CT393" s="478"/>
      <c r="CU393" s="478"/>
      <c r="CV393" s="478"/>
      <c r="CW393" s="478"/>
      <c r="CX393" s="478"/>
      <c r="CY393" s="478"/>
      <c r="CZ393" s="478"/>
      <c r="DA393" s="478"/>
      <c r="DB393" s="478"/>
      <c r="DC393" s="478"/>
      <c r="DD393" s="478"/>
      <c r="DE393" s="478"/>
      <c r="DF393" s="478"/>
      <c r="DG393" s="478"/>
      <c r="DH393" s="478"/>
      <c r="DI393" s="478"/>
    </row>
    <row r="394" spans="1:113" ht="16.05" hidden="1" customHeight="1" outlineLevel="1" x14ac:dyDescent="0.3">
      <c r="A394" s="455" t="str">
        <f t="shared" si="1407"/>
        <v/>
      </c>
      <c r="B394" s="455"/>
      <c r="C394" s="481"/>
      <c r="D394" s="463" t="str">
        <f t="shared" si="1432"/>
        <v>EXT-VIC-02</v>
      </c>
      <c r="E394" s="482"/>
      <c r="F394" s="483"/>
      <c r="G394" s="484"/>
      <c r="H394" s="485"/>
      <c r="I394" s="466">
        <f t="shared" si="1433"/>
        <v>0</v>
      </c>
      <c r="J394" s="259"/>
      <c r="K394" s="478">
        <f t="shared" si="1434"/>
        <v>0</v>
      </c>
      <c r="L394" s="466">
        <f t="shared" si="1435"/>
        <v>0</v>
      </c>
      <c r="M394" s="257"/>
      <c r="N394" s="478"/>
      <c r="O394" s="478"/>
      <c r="P394" s="478"/>
      <c r="Q394" s="478"/>
      <c r="R394" s="478"/>
      <c r="S394" s="478"/>
      <c r="T394" s="478"/>
      <c r="U394" s="478"/>
      <c r="V394" s="478"/>
      <c r="W394" s="478"/>
      <c r="X394" s="478"/>
      <c r="Y394" s="478"/>
      <c r="Z394" s="478"/>
      <c r="AA394" s="478"/>
      <c r="AB394" s="478"/>
      <c r="AC394" s="478"/>
      <c r="AD394" s="478"/>
      <c r="AE394" s="478"/>
      <c r="AF394" s="478"/>
      <c r="AG394" s="478"/>
      <c r="AH394" s="478"/>
      <c r="AI394" s="478"/>
      <c r="AJ394" s="478"/>
      <c r="AK394" s="478"/>
      <c r="AL394" s="478"/>
      <c r="AM394" s="478"/>
      <c r="AN394" s="478"/>
      <c r="AO394" s="478"/>
      <c r="AP394" s="478"/>
      <c r="AQ394" s="478"/>
      <c r="AR394" s="478"/>
      <c r="AS394" s="478"/>
      <c r="AT394" s="478"/>
      <c r="AU394" s="478"/>
      <c r="AV394" s="478"/>
      <c r="AW394" s="478"/>
      <c r="AX394" s="478"/>
      <c r="AY394" s="478"/>
      <c r="AZ394" s="478"/>
      <c r="BA394" s="478"/>
      <c r="BB394" s="478"/>
      <c r="BC394" s="478"/>
      <c r="BD394" s="478"/>
      <c r="BE394" s="478"/>
      <c r="BF394" s="478"/>
      <c r="BG394" s="478"/>
      <c r="BH394" s="478"/>
      <c r="BI394" s="478"/>
      <c r="BJ394" s="245"/>
      <c r="BK394" s="477">
        <f t="shared" si="1430"/>
        <v>0</v>
      </c>
      <c r="BL394" s="466">
        <f t="shared" si="1436"/>
        <v>0</v>
      </c>
      <c r="BM394" s="257"/>
      <c r="BN394" s="478"/>
      <c r="BO394" s="478"/>
      <c r="BP394" s="478"/>
      <c r="BQ394" s="478"/>
      <c r="BR394" s="478"/>
      <c r="BS394" s="478"/>
      <c r="BT394" s="478"/>
      <c r="BU394" s="478"/>
      <c r="BV394" s="478"/>
      <c r="BW394" s="478"/>
      <c r="BX394" s="478"/>
      <c r="BY394" s="478"/>
      <c r="BZ394" s="478"/>
      <c r="CA394" s="478"/>
      <c r="CB394" s="478"/>
      <c r="CC394" s="478"/>
      <c r="CD394" s="478"/>
      <c r="CE394" s="478"/>
      <c r="CF394" s="478"/>
      <c r="CG394" s="478"/>
      <c r="CH394" s="478"/>
      <c r="CI394" s="478"/>
      <c r="CJ394" s="478"/>
      <c r="CK394" s="478"/>
      <c r="CL394" s="478"/>
      <c r="CM394" s="478"/>
      <c r="CN394" s="478"/>
      <c r="CO394" s="478"/>
      <c r="CP394" s="478"/>
      <c r="CQ394" s="478"/>
      <c r="CR394" s="478"/>
      <c r="CS394" s="478"/>
      <c r="CT394" s="478"/>
      <c r="CU394" s="478"/>
      <c r="CV394" s="478"/>
      <c r="CW394" s="478"/>
      <c r="CX394" s="478"/>
      <c r="CY394" s="478"/>
      <c r="CZ394" s="478"/>
      <c r="DA394" s="478"/>
      <c r="DB394" s="478"/>
      <c r="DC394" s="478"/>
      <c r="DD394" s="478"/>
      <c r="DE394" s="478"/>
      <c r="DF394" s="478"/>
      <c r="DG394" s="478"/>
      <c r="DH394" s="478"/>
      <c r="DI394" s="478"/>
    </row>
    <row r="395" spans="1:113" ht="16.05" hidden="1" customHeight="1" outlineLevel="1" x14ac:dyDescent="0.3">
      <c r="A395" s="455" t="str">
        <f t="shared" si="1407"/>
        <v/>
      </c>
      <c r="B395" s="455"/>
      <c r="C395" s="481"/>
      <c r="D395" s="463" t="str">
        <f t="shared" si="1432"/>
        <v>EXT-VIC-03</v>
      </c>
      <c r="E395" s="482"/>
      <c r="F395" s="483"/>
      <c r="G395" s="484"/>
      <c r="H395" s="485"/>
      <c r="I395" s="466">
        <f t="shared" si="1433"/>
        <v>0</v>
      </c>
      <c r="J395" s="259"/>
      <c r="K395" s="478">
        <f t="shared" si="1434"/>
        <v>0</v>
      </c>
      <c r="L395" s="466">
        <f t="shared" si="1435"/>
        <v>0</v>
      </c>
      <c r="M395" s="257"/>
      <c r="N395" s="478"/>
      <c r="O395" s="478"/>
      <c r="P395" s="478"/>
      <c r="Q395" s="478"/>
      <c r="R395" s="478"/>
      <c r="S395" s="478"/>
      <c r="T395" s="478"/>
      <c r="U395" s="478"/>
      <c r="V395" s="478"/>
      <c r="W395" s="478"/>
      <c r="X395" s="478"/>
      <c r="Y395" s="478"/>
      <c r="Z395" s="478"/>
      <c r="AA395" s="478"/>
      <c r="AB395" s="478"/>
      <c r="AC395" s="478"/>
      <c r="AD395" s="478"/>
      <c r="AE395" s="478"/>
      <c r="AF395" s="478"/>
      <c r="AG395" s="478"/>
      <c r="AH395" s="478"/>
      <c r="AI395" s="478"/>
      <c r="AJ395" s="478"/>
      <c r="AK395" s="478"/>
      <c r="AL395" s="478"/>
      <c r="AM395" s="478"/>
      <c r="AN395" s="478"/>
      <c r="AO395" s="478"/>
      <c r="AP395" s="478"/>
      <c r="AQ395" s="478"/>
      <c r="AR395" s="478"/>
      <c r="AS395" s="478"/>
      <c r="AT395" s="478"/>
      <c r="AU395" s="478"/>
      <c r="AV395" s="478"/>
      <c r="AW395" s="478"/>
      <c r="AX395" s="478"/>
      <c r="AY395" s="478"/>
      <c r="AZ395" s="478"/>
      <c r="BA395" s="478"/>
      <c r="BB395" s="478"/>
      <c r="BC395" s="478"/>
      <c r="BD395" s="478"/>
      <c r="BE395" s="478"/>
      <c r="BF395" s="478"/>
      <c r="BG395" s="478"/>
      <c r="BH395" s="478"/>
      <c r="BI395" s="478"/>
      <c r="BJ395" s="245"/>
      <c r="BK395" s="477">
        <f t="shared" si="1430"/>
        <v>0</v>
      </c>
      <c r="BL395" s="466">
        <f t="shared" si="1436"/>
        <v>0</v>
      </c>
      <c r="BM395" s="257"/>
      <c r="BN395" s="478"/>
      <c r="BO395" s="478"/>
      <c r="BP395" s="478"/>
      <c r="BQ395" s="478"/>
      <c r="BR395" s="478"/>
      <c r="BS395" s="478"/>
      <c r="BT395" s="478"/>
      <c r="BU395" s="478"/>
      <c r="BV395" s="478"/>
      <c r="BW395" s="478"/>
      <c r="BX395" s="478"/>
      <c r="BY395" s="478"/>
      <c r="BZ395" s="478"/>
      <c r="CA395" s="478"/>
      <c r="CB395" s="478"/>
      <c r="CC395" s="478"/>
      <c r="CD395" s="478"/>
      <c r="CE395" s="478"/>
      <c r="CF395" s="478"/>
      <c r="CG395" s="478"/>
      <c r="CH395" s="478"/>
      <c r="CI395" s="478"/>
      <c r="CJ395" s="478"/>
      <c r="CK395" s="478"/>
      <c r="CL395" s="478"/>
      <c r="CM395" s="478"/>
      <c r="CN395" s="478"/>
      <c r="CO395" s="478"/>
      <c r="CP395" s="478"/>
      <c r="CQ395" s="478"/>
      <c r="CR395" s="478"/>
      <c r="CS395" s="478"/>
      <c r="CT395" s="478"/>
      <c r="CU395" s="478"/>
      <c r="CV395" s="478"/>
      <c r="CW395" s="478"/>
      <c r="CX395" s="478"/>
      <c r="CY395" s="478"/>
      <c r="CZ395" s="478"/>
      <c r="DA395" s="478"/>
      <c r="DB395" s="478"/>
      <c r="DC395" s="478"/>
      <c r="DD395" s="478"/>
      <c r="DE395" s="478"/>
      <c r="DF395" s="478"/>
      <c r="DG395" s="478"/>
      <c r="DH395" s="478"/>
      <c r="DI395" s="478"/>
    </row>
    <row r="396" spans="1:113" ht="16.05" hidden="1" customHeight="1" outlineLevel="1" x14ac:dyDescent="0.3">
      <c r="A396" s="455" t="str">
        <f t="shared" si="1407"/>
        <v/>
      </c>
      <c r="B396" s="455"/>
      <c r="C396" s="481"/>
      <c r="D396" s="463" t="str">
        <f t="shared" si="1432"/>
        <v>EXT-VIC-04</v>
      </c>
      <c r="E396" s="482"/>
      <c r="F396" s="483"/>
      <c r="G396" s="484"/>
      <c r="H396" s="485"/>
      <c r="I396" s="466">
        <f t="shared" si="1433"/>
        <v>0</v>
      </c>
      <c r="J396" s="259"/>
      <c r="K396" s="478">
        <f t="shared" si="1434"/>
        <v>0</v>
      </c>
      <c r="L396" s="466">
        <f t="shared" si="1435"/>
        <v>0</v>
      </c>
      <c r="M396" s="257"/>
      <c r="N396" s="478"/>
      <c r="O396" s="478"/>
      <c r="P396" s="478"/>
      <c r="Q396" s="478"/>
      <c r="R396" s="478"/>
      <c r="S396" s="478"/>
      <c r="T396" s="478"/>
      <c r="U396" s="478"/>
      <c r="V396" s="478"/>
      <c r="W396" s="478"/>
      <c r="X396" s="478"/>
      <c r="Y396" s="478"/>
      <c r="Z396" s="478"/>
      <c r="AA396" s="478"/>
      <c r="AB396" s="478"/>
      <c r="AC396" s="478"/>
      <c r="AD396" s="478"/>
      <c r="AE396" s="478"/>
      <c r="AF396" s="478"/>
      <c r="AG396" s="478"/>
      <c r="AH396" s="478"/>
      <c r="AI396" s="478"/>
      <c r="AJ396" s="478"/>
      <c r="AK396" s="478"/>
      <c r="AL396" s="478"/>
      <c r="AM396" s="478"/>
      <c r="AN396" s="478"/>
      <c r="AO396" s="478"/>
      <c r="AP396" s="478"/>
      <c r="AQ396" s="478"/>
      <c r="AR396" s="478"/>
      <c r="AS396" s="478"/>
      <c r="AT396" s="478"/>
      <c r="AU396" s="478"/>
      <c r="AV396" s="478"/>
      <c r="AW396" s="478"/>
      <c r="AX396" s="478"/>
      <c r="AY396" s="478"/>
      <c r="AZ396" s="478"/>
      <c r="BA396" s="478"/>
      <c r="BB396" s="478"/>
      <c r="BC396" s="478"/>
      <c r="BD396" s="478"/>
      <c r="BE396" s="478"/>
      <c r="BF396" s="478"/>
      <c r="BG396" s="478"/>
      <c r="BH396" s="478"/>
      <c r="BI396" s="478"/>
      <c r="BJ396" s="245"/>
      <c r="BK396" s="477">
        <f t="shared" si="1430"/>
        <v>0</v>
      </c>
      <c r="BL396" s="466">
        <f t="shared" si="1436"/>
        <v>0</v>
      </c>
      <c r="BM396" s="257"/>
      <c r="BN396" s="478"/>
      <c r="BO396" s="478"/>
      <c r="BP396" s="478"/>
      <c r="BQ396" s="478"/>
      <c r="BR396" s="478"/>
      <c r="BS396" s="478"/>
      <c r="BT396" s="478"/>
      <c r="BU396" s="478"/>
      <c r="BV396" s="478"/>
      <c r="BW396" s="478"/>
      <c r="BX396" s="478"/>
      <c r="BY396" s="478"/>
      <c r="BZ396" s="478"/>
      <c r="CA396" s="478"/>
      <c r="CB396" s="478"/>
      <c r="CC396" s="478"/>
      <c r="CD396" s="478"/>
      <c r="CE396" s="478"/>
      <c r="CF396" s="478"/>
      <c r="CG396" s="478"/>
      <c r="CH396" s="478"/>
      <c r="CI396" s="478"/>
      <c r="CJ396" s="478"/>
      <c r="CK396" s="478"/>
      <c r="CL396" s="478"/>
      <c r="CM396" s="478"/>
      <c r="CN396" s="478"/>
      <c r="CO396" s="478"/>
      <c r="CP396" s="478"/>
      <c r="CQ396" s="478"/>
      <c r="CR396" s="478"/>
      <c r="CS396" s="478"/>
      <c r="CT396" s="478"/>
      <c r="CU396" s="478"/>
      <c r="CV396" s="478"/>
      <c r="CW396" s="478"/>
      <c r="CX396" s="478"/>
      <c r="CY396" s="478"/>
      <c r="CZ396" s="478"/>
      <c r="DA396" s="478"/>
      <c r="DB396" s="478"/>
      <c r="DC396" s="478"/>
      <c r="DD396" s="478"/>
      <c r="DE396" s="478"/>
      <c r="DF396" s="478"/>
      <c r="DG396" s="478"/>
      <c r="DH396" s="478"/>
      <c r="DI396" s="478"/>
    </row>
    <row r="397" spans="1:113" ht="16.05" hidden="1" customHeight="1" outlineLevel="1" x14ac:dyDescent="0.3">
      <c r="A397" s="455" t="str">
        <f t="shared" si="1407"/>
        <v/>
      </c>
      <c r="B397" s="455"/>
      <c r="C397" s="481"/>
      <c r="D397" s="463" t="str">
        <f t="shared" si="1432"/>
        <v>EXT-VIC-05</v>
      </c>
      <c r="E397" s="482"/>
      <c r="F397" s="483"/>
      <c r="G397" s="484"/>
      <c r="H397" s="485"/>
      <c r="I397" s="466">
        <f t="shared" si="1433"/>
        <v>0</v>
      </c>
      <c r="J397" s="259"/>
      <c r="K397" s="478">
        <f t="shared" si="1434"/>
        <v>0</v>
      </c>
      <c r="L397" s="466">
        <f t="shared" si="1435"/>
        <v>0</v>
      </c>
      <c r="M397" s="257"/>
      <c r="N397" s="478"/>
      <c r="O397" s="478"/>
      <c r="P397" s="478"/>
      <c r="Q397" s="478"/>
      <c r="R397" s="478"/>
      <c r="S397" s="478"/>
      <c r="T397" s="478"/>
      <c r="U397" s="478"/>
      <c r="V397" s="478"/>
      <c r="W397" s="478"/>
      <c r="X397" s="478"/>
      <c r="Y397" s="478"/>
      <c r="Z397" s="478"/>
      <c r="AA397" s="478"/>
      <c r="AB397" s="478"/>
      <c r="AC397" s="478"/>
      <c r="AD397" s="478"/>
      <c r="AE397" s="478"/>
      <c r="AF397" s="478"/>
      <c r="AG397" s="478"/>
      <c r="AH397" s="478"/>
      <c r="AI397" s="478"/>
      <c r="AJ397" s="478"/>
      <c r="AK397" s="478"/>
      <c r="AL397" s="478"/>
      <c r="AM397" s="478"/>
      <c r="AN397" s="478"/>
      <c r="AO397" s="478"/>
      <c r="AP397" s="478"/>
      <c r="AQ397" s="478"/>
      <c r="AR397" s="478"/>
      <c r="AS397" s="478"/>
      <c r="AT397" s="478"/>
      <c r="AU397" s="478"/>
      <c r="AV397" s="478"/>
      <c r="AW397" s="478"/>
      <c r="AX397" s="478"/>
      <c r="AY397" s="478"/>
      <c r="AZ397" s="478"/>
      <c r="BA397" s="478"/>
      <c r="BB397" s="478"/>
      <c r="BC397" s="478"/>
      <c r="BD397" s="478"/>
      <c r="BE397" s="478"/>
      <c r="BF397" s="478"/>
      <c r="BG397" s="478"/>
      <c r="BH397" s="478"/>
      <c r="BI397" s="478"/>
      <c r="BJ397" s="245"/>
      <c r="BK397" s="477">
        <f t="shared" si="1430"/>
        <v>0</v>
      </c>
      <c r="BL397" s="466">
        <f t="shared" si="1436"/>
        <v>0</v>
      </c>
      <c r="BM397" s="257"/>
      <c r="BN397" s="478"/>
      <c r="BO397" s="478"/>
      <c r="BP397" s="478"/>
      <c r="BQ397" s="478"/>
      <c r="BR397" s="478"/>
      <c r="BS397" s="478"/>
      <c r="BT397" s="478"/>
      <c r="BU397" s="478"/>
      <c r="BV397" s="478"/>
      <c r="BW397" s="478"/>
      <c r="BX397" s="478"/>
      <c r="BY397" s="478"/>
      <c r="BZ397" s="478"/>
      <c r="CA397" s="478"/>
      <c r="CB397" s="478"/>
      <c r="CC397" s="478"/>
      <c r="CD397" s="478"/>
      <c r="CE397" s="478"/>
      <c r="CF397" s="478"/>
      <c r="CG397" s="478"/>
      <c r="CH397" s="478"/>
      <c r="CI397" s="478"/>
      <c r="CJ397" s="478"/>
      <c r="CK397" s="478"/>
      <c r="CL397" s="478"/>
      <c r="CM397" s="478"/>
      <c r="CN397" s="478"/>
      <c r="CO397" s="478"/>
      <c r="CP397" s="478"/>
      <c r="CQ397" s="478"/>
      <c r="CR397" s="478"/>
      <c r="CS397" s="478"/>
      <c r="CT397" s="478"/>
      <c r="CU397" s="478"/>
      <c r="CV397" s="478"/>
      <c r="CW397" s="478"/>
      <c r="CX397" s="478"/>
      <c r="CY397" s="478"/>
      <c r="CZ397" s="478"/>
      <c r="DA397" s="478"/>
      <c r="DB397" s="478"/>
      <c r="DC397" s="478"/>
      <c r="DD397" s="478"/>
      <c r="DE397" s="478"/>
      <c r="DF397" s="478"/>
      <c r="DG397" s="478"/>
      <c r="DH397" s="478"/>
      <c r="DI397" s="478"/>
    </row>
    <row r="398" spans="1:113" ht="16.05" hidden="1" customHeight="1" outlineLevel="1" x14ac:dyDescent="0.3">
      <c r="A398" s="455" t="str">
        <f t="shared" si="1407"/>
        <v/>
      </c>
      <c r="B398" s="455"/>
      <c r="C398" s="481"/>
      <c r="D398" s="463" t="str">
        <f t="shared" si="1432"/>
        <v>EXT-VIC-06</v>
      </c>
      <c r="E398" s="482"/>
      <c r="F398" s="483"/>
      <c r="G398" s="484"/>
      <c r="H398" s="485"/>
      <c r="I398" s="466">
        <f t="shared" si="1433"/>
        <v>0</v>
      </c>
      <c r="J398" s="259"/>
      <c r="K398" s="478">
        <f t="shared" si="1434"/>
        <v>0</v>
      </c>
      <c r="L398" s="466">
        <f t="shared" si="1435"/>
        <v>0</v>
      </c>
      <c r="M398" s="257"/>
      <c r="N398" s="478"/>
      <c r="O398" s="478"/>
      <c r="P398" s="478"/>
      <c r="Q398" s="478"/>
      <c r="R398" s="478"/>
      <c r="S398" s="478"/>
      <c r="T398" s="478"/>
      <c r="U398" s="478"/>
      <c r="V398" s="478"/>
      <c r="W398" s="478"/>
      <c r="X398" s="478"/>
      <c r="Y398" s="478"/>
      <c r="Z398" s="478"/>
      <c r="AA398" s="478"/>
      <c r="AB398" s="478"/>
      <c r="AC398" s="478"/>
      <c r="AD398" s="478"/>
      <c r="AE398" s="478"/>
      <c r="AF398" s="478"/>
      <c r="AG398" s="478"/>
      <c r="AH398" s="478"/>
      <c r="AI398" s="478"/>
      <c r="AJ398" s="478"/>
      <c r="AK398" s="478"/>
      <c r="AL398" s="478"/>
      <c r="AM398" s="478"/>
      <c r="AN398" s="478"/>
      <c r="AO398" s="478"/>
      <c r="AP398" s="478"/>
      <c r="AQ398" s="478"/>
      <c r="AR398" s="478"/>
      <c r="AS398" s="478"/>
      <c r="AT398" s="478"/>
      <c r="AU398" s="478"/>
      <c r="AV398" s="478"/>
      <c r="AW398" s="478"/>
      <c r="AX398" s="478"/>
      <c r="AY398" s="478"/>
      <c r="AZ398" s="478"/>
      <c r="BA398" s="478"/>
      <c r="BB398" s="478"/>
      <c r="BC398" s="478"/>
      <c r="BD398" s="478"/>
      <c r="BE398" s="478"/>
      <c r="BF398" s="478"/>
      <c r="BG398" s="478"/>
      <c r="BH398" s="478"/>
      <c r="BI398" s="478"/>
      <c r="BJ398" s="245"/>
      <c r="BK398" s="477">
        <f t="shared" si="1430"/>
        <v>0</v>
      </c>
      <c r="BL398" s="466">
        <f t="shared" si="1436"/>
        <v>0</v>
      </c>
      <c r="BM398" s="257"/>
      <c r="BN398" s="478"/>
      <c r="BO398" s="478"/>
      <c r="BP398" s="478"/>
      <c r="BQ398" s="478"/>
      <c r="BR398" s="478"/>
      <c r="BS398" s="478"/>
      <c r="BT398" s="478"/>
      <c r="BU398" s="478"/>
      <c r="BV398" s="478"/>
      <c r="BW398" s="478"/>
      <c r="BX398" s="478"/>
      <c r="BY398" s="478"/>
      <c r="BZ398" s="478"/>
      <c r="CA398" s="478"/>
      <c r="CB398" s="478"/>
      <c r="CC398" s="478"/>
      <c r="CD398" s="478"/>
      <c r="CE398" s="478"/>
      <c r="CF398" s="478"/>
      <c r="CG398" s="478"/>
      <c r="CH398" s="478"/>
      <c r="CI398" s="478"/>
      <c r="CJ398" s="478"/>
      <c r="CK398" s="478"/>
      <c r="CL398" s="478"/>
      <c r="CM398" s="478"/>
      <c r="CN398" s="478"/>
      <c r="CO398" s="478"/>
      <c r="CP398" s="478"/>
      <c r="CQ398" s="478"/>
      <c r="CR398" s="478"/>
      <c r="CS398" s="478"/>
      <c r="CT398" s="478"/>
      <c r="CU398" s="478"/>
      <c r="CV398" s="478"/>
      <c r="CW398" s="478"/>
      <c r="CX398" s="478"/>
      <c r="CY398" s="478"/>
      <c r="CZ398" s="478"/>
      <c r="DA398" s="478"/>
      <c r="DB398" s="478"/>
      <c r="DC398" s="478"/>
      <c r="DD398" s="478"/>
      <c r="DE398" s="478"/>
      <c r="DF398" s="478"/>
      <c r="DG398" s="478"/>
      <c r="DH398" s="478"/>
      <c r="DI398" s="478"/>
    </row>
    <row r="399" spans="1:113" ht="16.05" hidden="1" customHeight="1" outlineLevel="1" x14ac:dyDescent="0.3">
      <c r="A399" s="455" t="str">
        <f t="shared" si="1407"/>
        <v/>
      </c>
      <c r="B399" s="455"/>
      <c r="C399" s="481"/>
      <c r="D399" s="463" t="str">
        <f t="shared" si="1432"/>
        <v>EXT-VIC-07</v>
      </c>
      <c r="E399" s="482"/>
      <c r="F399" s="483"/>
      <c r="G399" s="484"/>
      <c r="H399" s="485"/>
      <c r="I399" s="466">
        <f t="shared" si="1433"/>
        <v>0</v>
      </c>
      <c r="J399" s="259"/>
      <c r="K399" s="478">
        <f t="shared" si="1434"/>
        <v>0</v>
      </c>
      <c r="L399" s="466">
        <f t="shared" si="1435"/>
        <v>0</v>
      </c>
      <c r="M399" s="257"/>
      <c r="N399" s="478"/>
      <c r="O399" s="478"/>
      <c r="P399" s="478"/>
      <c r="Q399" s="478"/>
      <c r="R399" s="478"/>
      <c r="S399" s="478"/>
      <c r="T399" s="478"/>
      <c r="U399" s="478"/>
      <c r="V399" s="478"/>
      <c r="W399" s="478"/>
      <c r="X399" s="478"/>
      <c r="Y399" s="478"/>
      <c r="Z399" s="478"/>
      <c r="AA399" s="478"/>
      <c r="AB399" s="478"/>
      <c r="AC399" s="478"/>
      <c r="AD399" s="478"/>
      <c r="AE399" s="478"/>
      <c r="AF399" s="478"/>
      <c r="AG399" s="478"/>
      <c r="AH399" s="478"/>
      <c r="AI399" s="478"/>
      <c r="AJ399" s="478"/>
      <c r="AK399" s="478"/>
      <c r="AL399" s="478"/>
      <c r="AM399" s="478"/>
      <c r="AN399" s="478"/>
      <c r="AO399" s="478"/>
      <c r="AP399" s="478"/>
      <c r="AQ399" s="478"/>
      <c r="AR399" s="478"/>
      <c r="AS399" s="478"/>
      <c r="AT399" s="478"/>
      <c r="AU399" s="478"/>
      <c r="AV399" s="478"/>
      <c r="AW399" s="478"/>
      <c r="AX399" s="478"/>
      <c r="AY399" s="478"/>
      <c r="AZ399" s="478"/>
      <c r="BA399" s="478"/>
      <c r="BB399" s="478"/>
      <c r="BC399" s="478"/>
      <c r="BD399" s="478"/>
      <c r="BE399" s="478"/>
      <c r="BF399" s="478"/>
      <c r="BG399" s="478"/>
      <c r="BH399" s="478"/>
      <c r="BI399" s="478"/>
      <c r="BJ399" s="245"/>
      <c r="BK399" s="477">
        <f t="shared" si="1430"/>
        <v>0</v>
      </c>
      <c r="BL399" s="466">
        <f t="shared" si="1436"/>
        <v>0</v>
      </c>
      <c r="BM399" s="257"/>
      <c r="BN399" s="478"/>
      <c r="BO399" s="478"/>
      <c r="BP399" s="478"/>
      <c r="BQ399" s="478"/>
      <c r="BR399" s="478"/>
      <c r="BS399" s="478"/>
      <c r="BT399" s="478"/>
      <c r="BU399" s="478"/>
      <c r="BV399" s="478"/>
      <c r="BW399" s="478"/>
      <c r="BX399" s="478"/>
      <c r="BY399" s="478"/>
      <c r="BZ399" s="478"/>
      <c r="CA399" s="478"/>
      <c r="CB399" s="478"/>
      <c r="CC399" s="478"/>
      <c r="CD399" s="478"/>
      <c r="CE399" s="478"/>
      <c r="CF399" s="478"/>
      <c r="CG399" s="478"/>
      <c r="CH399" s="478"/>
      <c r="CI399" s="478"/>
      <c r="CJ399" s="478"/>
      <c r="CK399" s="478"/>
      <c r="CL399" s="478"/>
      <c r="CM399" s="478"/>
      <c r="CN399" s="478"/>
      <c r="CO399" s="478"/>
      <c r="CP399" s="478"/>
      <c r="CQ399" s="478"/>
      <c r="CR399" s="478"/>
      <c r="CS399" s="478"/>
      <c r="CT399" s="478"/>
      <c r="CU399" s="478"/>
      <c r="CV399" s="478"/>
      <c r="CW399" s="478"/>
      <c r="CX399" s="478"/>
      <c r="CY399" s="478"/>
      <c r="CZ399" s="478"/>
      <c r="DA399" s="478"/>
      <c r="DB399" s="478"/>
      <c r="DC399" s="478"/>
      <c r="DD399" s="478"/>
      <c r="DE399" s="478"/>
      <c r="DF399" s="478"/>
      <c r="DG399" s="478"/>
      <c r="DH399" s="478"/>
      <c r="DI399" s="478"/>
    </row>
    <row r="400" spans="1:113" ht="16.05" hidden="1" customHeight="1" outlineLevel="1" x14ac:dyDescent="0.3">
      <c r="A400" s="455" t="str">
        <f t="shared" si="1407"/>
        <v/>
      </c>
      <c r="B400" s="455"/>
      <c r="C400" s="481"/>
      <c r="D400" s="463" t="str">
        <f t="shared" si="1432"/>
        <v>EXT-VIC-08</v>
      </c>
      <c r="E400" s="482"/>
      <c r="F400" s="483"/>
      <c r="G400" s="484"/>
      <c r="H400" s="485"/>
      <c r="I400" s="466">
        <f t="shared" si="1433"/>
        <v>0</v>
      </c>
      <c r="J400" s="259"/>
      <c r="K400" s="478">
        <f t="shared" si="1434"/>
        <v>0</v>
      </c>
      <c r="L400" s="466">
        <f t="shared" si="1435"/>
        <v>0</v>
      </c>
      <c r="M400" s="257"/>
      <c r="N400" s="478"/>
      <c r="O400" s="478"/>
      <c r="P400" s="478"/>
      <c r="Q400" s="478"/>
      <c r="R400" s="478"/>
      <c r="S400" s="478"/>
      <c r="T400" s="478"/>
      <c r="U400" s="478"/>
      <c r="V400" s="478"/>
      <c r="W400" s="478"/>
      <c r="X400" s="478"/>
      <c r="Y400" s="478"/>
      <c r="Z400" s="478"/>
      <c r="AA400" s="478"/>
      <c r="AB400" s="478"/>
      <c r="AC400" s="478"/>
      <c r="AD400" s="478"/>
      <c r="AE400" s="478"/>
      <c r="AF400" s="478"/>
      <c r="AG400" s="478"/>
      <c r="AH400" s="478"/>
      <c r="AI400" s="478"/>
      <c r="AJ400" s="478"/>
      <c r="AK400" s="478"/>
      <c r="AL400" s="478"/>
      <c r="AM400" s="478"/>
      <c r="AN400" s="478"/>
      <c r="AO400" s="478"/>
      <c r="AP400" s="478"/>
      <c r="AQ400" s="478"/>
      <c r="AR400" s="478"/>
      <c r="AS400" s="478"/>
      <c r="AT400" s="478"/>
      <c r="AU400" s="478"/>
      <c r="AV400" s="478"/>
      <c r="AW400" s="478"/>
      <c r="AX400" s="478"/>
      <c r="AY400" s="478"/>
      <c r="AZ400" s="478"/>
      <c r="BA400" s="478"/>
      <c r="BB400" s="478"/>
      <c r="BC400" s="478"/>
      <c r="BD400" s="478"/>
      <c r="BE400" s="478"/>
      <c r="BF400" s="478"/>
      <c r="BG400" s="478"/>
      <c r="BH400" s="478"/>
      <c r="BI400" s="478"/>
      <c r="BJ400" s="245"/>
      <c r="BK400" s="477">
        <f t="shared" si="1430"/>
        <v>0</v>
      </c>
      <c r="BL400" s="466">
        <f t="shared" si="1436"/>
        <v>0</v>
      </c>
      <c r="BM400" s="257"/>
      <c r="BN400" s="478"/>
      <c r="BO400" s="478"/>
      <c r="BP400" s="478"/>
      <c r="BQ400" s="478"/>
      <c r="BR400" s="478"/>
      <c r="BS400" s="478"/>
      <c r="BT400" s="478"/>
      <c r="BU400" s="478"/>
      <c r="BV400" s="478"/>
      <c r="BW400" s="478"/>
      <c r="BX400" s="478"/>
      <c r="BY400" s="478"/>
      <c r="BZ400" s="478"/>
      <c r="CA400" s="478"/>
      <c r="CB400" s="478"/>
      <c r="CC400" s="478"/>
      <c r="CD400" s="478"/>
      <c r="CE400" s="478"/>
      <c r="CF400" s="478"/>
      <c r="CG400" s="478"/>
      <c r="CH400" s="478"/>
      <c r="CI400" s="478"/>
      <c r="CJ400" s="478"/>
      <c r="CK400" s="478"/>
      <c r="CL400" s="478"/>
      <c r="CM400" s="478"/>
      <c r="CN400" s="478"/>
      <c r="CO400" s="478"/>
      <c r="CP400" s="478"/>
      <c r="CQ400" s="478"/>
      <c r="CR400" s="478"/>
      <c r="CS400" s="478"/>
      <c r="CT400" s="478"/>
      <c r="CU400" s="478"/>
      <c r="CV400" s="478"/>
      <c r="CW400" s="478"/>
      <c r="CX400" s="478"/>
      <c r="CY400" s="478"/>
      <c r="CZ400" s="478"/>
      <c r="DA400" s="478"/>
      <c r="DB400" s="478"/>
      <c r="DC400" s="478"/>
      <c r="DD400" s="478"/>
      <c r="DE400" s="478"/>
      <c r="DF400" s="478"/>
      <c r="DG400" s="478"/>
      <c r="DH400" s="478"/>
      <c r="DI400" s="478"/>
    </row>
    <row r="401" spans="1:113" ht="16.05" hidden="1" customHeight="1" outlineLevel="1" x14ac:dyDescent="0.3">
      <c r="A401" s="455" t="str">
        <f t="shared" si="1407"/>
        <v/>
      </c>
      <c r="B401" s="455"/>
      <c r="C401" s="481"/>
      <c r="D401" s="463" t="str">
        <f t="shared" si="1432"/>
        <v>EXT-VIC-09</v>
      </c>
      <c r="E401" s="482"/>
      <c r="F401" s="483"/>
      <c r="G401" s="484"/>
      <c r="H401" s="485"/>
      <c r="I401" s="466">
        <f t="shared" si="1433"/>
        <v>0</v>
      </c>
      <c r="J401" s="259"/>
      <c r="K401" s="478">
        <f t="shared" si="1434"/>
        <v>0</v>
      </c>
      <c r="L401" s="466">
        <f t="shared" si="1435"/>
        <v>0</v>
      </c>
      <c r="M401" s="257"/>
      <c r="N401" s="478"/>
      <c r="O401" s="478"/>
      <c r="P401" s="478"/>
      <c r="Q401" s="478"/>
      <c r="R401" s="478"/>
      <c r="S401" s="478"/>
      <c r="T401" s="478"/>
      <c r="U401" s="478"/>
      <c r="V401" s="478"/>
      <c r="W401" s="478"/>
      <c r="X401" s="478"/>
      <c r="Y401" s="478"/>
      <c r="Z401" s="478"/>
      <c r="AA401" s="478"/>
      <c r="AB401" s="478"/>
      <c r="AC401" s="478"/>
      <c r="AD401" s="478"/>
      <c r="AE401" s="478"/>
      <c r="AF401" s="478"/>
      <c r="AG401" s="478"/>
      <c r="AH401" s="478"/>
      <c r="AI401" s="478"/>
      <c r="AJ401" s="478"/>
      <c r="AK401" s="478"/>
      <c r="AL401" s="478"/>
      <c r="AM401" s="478"/>
      <c r="AN401" s="478"/>
      <c r="AO401" s="478"/>
      <c r="AP401" s="478"/>
      <c r="AQ401" s="478"/>
      <c r="AR401" s="478"/>
      <c r="AS401" s="478"/>
      <c r="AT401" s="478"/>
      <c r="AU401" s="478"/>
      <c r="AV401" s="478"/>
      <c r="AW401" s="478"/>
      <c r="AX401" s="478"/>
      <c r="AY401" s="478"/>
      <c r="AZ401" s="478"/>
      <c r="BA401" s="478"/>
      <c r="BB401" s="478"/>
      <c r="BC401" s="478"/>
      <c r="BD401" s="478"/>
      <c r="BE401" s="478"/>
      <c r="BF401" s="478"/>
      <c r="BG401" s="478"/>
      <c r="BH401" s="478"/>
      <c r="BI401" s="478"/>
      <c r="BJ401" s="245"/>
      <c r="BK401" s="477">
        <f t="shared" si="1430"/>
        <v>0</v>
      </c>
      <c r="BL401" s="466">
        <f t="shared" si="1436"/>
        <v>0</v>
      </c>
      <c r="BM401" s="257"/>
      <c r="BN401" s="478"/>
      <c r="BO401" s="478"/>
      <c r="BP401" s="478"/>
      <c r="BQ401" s="478"/>
      <c r="BR401" s="478"/>
      <c r="BS401" s="478"/>
      <c r="BT401" s="478"/>
      <c r="BU401" s="478"/>
      <c r="BV401" s="478"/>
      <c r="BW401" s="478"/>
      <c r="BX401" s="478"/>
      <c r="BY401" s="478"/>
      <c r="BZ401" s="478"/>
      <c r="CA401" s="478"/>
      <c r="CB401" s="478"/>
      <c r="CC401" s="478"/>
      <c r="CD401" s="478"/>
      <c r="CE401" s="478"/>
      <c r="CF401" s="478"/>
      <c r="CG401" s="478"/>
      <c r="CH401" s="478"/>
      <c r="CI401" s="478"/>
      <c r="CJ401" s="478"/>
      <c r="CK401" s="478"/>
      <c r="CL401" s="478"/>
      <c r="CM401" s="478"/>
      <c r="CN401" s="478"/>
      <c r="CO401" s="478"/>
      <c r="CP401" s="478"/>
      <c r="CQ401" s="478"/>
      <c r="CR401" s="478"/>
      <c r="CS401" s="478"/>
      <c r="CT401" s="478"/>
      <c r="CU401" s="478"/>
      <c r="CV401" s="478"/>
      <c r="CW401" s="478"/>
      <c r="CX401" s="478"/>
      <c r="CY401" s="478"/>
      <c r="CZ401" s="478"/>
      <c r="DA401" s="478"/>
      <c r="DB401" s="478"/>
      <c r="DC401" s="478"/>
      <c r="DD401" s="478"/>
      <c r="DE401" s="478"/>
      <c r="DF401" s="478"/>
      <c r="DG401" s="478"/>
      <c r="DH401" s="478"/>
      <c r="DI401" s="478"/>
    </row>
    <row r="402" spans="1:113" ht="16.05" hidden="1" customHeight="1" outlineLevel="1" x14ac:dyDescent="0.3">
      <c r="A402" s="455" t="str">
        <f t="shared" si="1407"/>
        <v/>
      </c>
      <c r="B402" s="455"/>
      <c r="C402" s="481"/>
      <c r="D402" s="463" t="str">
        <f t="shared" si="1432"/>
        <v>EXT-VIC-10</v>
      </c>
      <c r="E402" s="482"/>
      <c r="F402" s="483"/>
      <c r="G402" s="484"/>
      <c r="H402" s="485"/>
      <c r="I402" s="466">
        <f t="shared" si="1433"/>
        <v>0</v>
      </c>
      <c r="J402" s="259"/>
      <c r="K402" s="478">
        <f t="shared" si="1434"/>
        <v>0</v>
      </c>
      <c r="L402" s="466">
        <f t="shared" si="1435"/>
        <v>0</v>
      </c>
      <c r="M402" s="257"/>
      <c r="N402" s="478"/>
      <c r="O402" s="478"/>
      <c r="P402" s="478"/>
      <c r="Q402" s="478"/>
      <c r="R402" s="478"/>
      <c r="S402" s="478"/>
      <c r="T402" s="478"/>
      <c r="U402" s="478"/>
      <c r="V402" s="478"/>
      <c r="W402" s="478"/>
      <c r="X402" s="478"/>
      <c r="Y402" s="478"/>
      <c r="Z402" s="478"/>
      <c r="AA402" s="478"/>
      <c r="AB402" s="478"/>
      <c r="AC402" s="478"/>
      <c r="AD402" s="478"/>
      <c r="AE402" s="478"/>
      <c r="AF402" s="478"/>
      <c r="AG402" s="478"/>
      <c r="AH402" s="478"/>
      <c r="AI402" s="478"/>
      <c r="AJ402" s="478"/>
      <c r="AK402" s="478"/>
      <c r="AL402" s="478"/>
      <c r="AM402" s="478"/>
      <c r="AN402" s="478"/>
      <c r="AO402" s="478"/>
      <c r="AP402" s="478"/>
      <c r="AQ402" s="478"/>
      <c r="AR402" s="478"/>
      <c r="AS402" s="478"/>
      <c r="AT402" s="478"/>
      <c r="AU402" s="478"/>
      <c r="AV402" s="478"/>
      <c r="AW402" s="478"/>
      <c r="AX402" s="478"/>
      <c r="AY402" s="478"/>
      <c r="AZ402" s="478"/>
      <c r="BA402" s="478"/>
      <c r="BB402" s="478"/>
      <c r="BC402" s="478"/>
      <c r="BD402" s="478"/>
      <c r="BE402" s="478"/>
      <c r="BF402" s="478"/>
      <c r="BG402" s="478"/>
      <c r="BH402" s="478"/>
      <c r="BI402" s="478"/>
      <c r="BJ402" s="245"/>
      <c r="BK402" s="477">
        <f t="shared" si="1430"/>
        <v>0</v>
      </c>
      <c r="BL402" s="466">
        <f t="shared" si="1436"/>
        <v>0</v>
      </c>
      <c r="BM402" s="257"/>
      <c r="BN402" s="478"/>
      <c r="BO402" s="478"/>
      <c r="BP402" s="478"/>
      <c r="BQ402" s="478"/>
      <c r="BR402" s="478"/>
      <c r="BS402" s="478"/>
      <c r="BT402" s="478"/>
      <c r="BU402" s="478"/>
      <c r="BV402" s="478"/>
      <c r="BW402" s="478"/>
      <c r="BX402" s="478"/>
      <c r="BY402" s="478"/>
      <c r="BZ402" s="478"/>
      <c r="CA402" s="478"/>
      <c r="CB402" s="478"/>
      <c r="CC402" s="478"/>
      <c r="CD402" s="478"/>
      <c r="CE402" s="478"/>
      <c r="CF402" s="478"/>
      <c r="CG402" s="478"/>
      <c r="CH402" s="478"/>
      <c r="CI402" s="478"/>
      <c r="CJ402" s="478"/>
      <c r="CK402" s="478"/>
      <c r="CL402" s="478"/>
      <c r="CM402" s="478"/>
      <c r="CN402" s="478"/>
      <c r="CO402" s="478"/>
      <c r="CP402" s="478"/>
      <c r="CQ402" s="478"/>
      <c r="CR402" s="478"/>
      <c r="CS402" s="478"/>
      <c r="CT402" s="478"/>
      <c r="CU402" s="478"/>
      <c r="CV402" s="478"/>
      <c r="CW402" s="478"/>
      <c r="CX402" s="478"/>
      <c r="CY402" s="478"/>
      <c r="CZ402" s="478"/>
      <c r="DA402" s="478"/>
      <c r="DB402" s="478"/>
      <c r="DC402" s="478"/>
      <c r="DD402" s="478"/>
      <c r="DE402" s="478"/>
      <c r="DF402" s="478"/>
      <c r="DG402" s="478"/>
      <c r="DH402" s="478"/>
      <c r="DI402" s="478"/>
    </row>
    <row r="403" spans="1:113" ht="8.1" hidden="1" customHeight="1" outlineLevel="1" x14ac:dyDescent="0.3">
      <c r="A403" s="455" t="str">
        <f>IF(COUNTIF(A393:A402,"Imprimir")&gt;0,"Imprimir","")</f>
        <v/>
      </c>
      <c r="B403" s="625"/>
      <c r="C403" s="629"/>
      <c r="D403" s="630"/>
      <c r="E403" s="631"/>
      <c r="F403" s="631"/>
      <c r="G403" s="630"/>
      <c r="H403" s="630"/>
      <c r="I403" s="630"/>
      <c r="J403" s="626"/>
      <c r="K403" s="632"/>
      <c r="L403" s="633"/>
      <c r="M403" s="627"/>
      <c r="N403" s="632"/>
      <c r="O403" s="632"/>
      <c r="P403" s="632"/>
      <c r="Q403" s="632"/>
      <c r="R403" s="632"/>
      <c r="S403" s="632"/>
      <c r="T403" s="632"/>
      <c r="U403" s="632"/>
      <c r="V403" s="632"/>
      <c r="W403" s="632"/>
      <c r="X403" s="632"/>
      <c r="Y403" s="632"/>
      <c r="Z403" s="632"/>
      <c r="AA403" s="632"/>
      <c r="AB403" s="632"/>
      <c r="AC403" s="632"/>
      <c r="AD403" s="632"/>
      <c r="AE403" s="632"/>
      <c r="AF403" s="632"/>
      <c r="AG403" s="632"/>
      <c r="AH403" s="632"/>
      <c r="AI403" s="632"/>
      <c r="AJ403" s="632"/>
      <c r="AK403" s="632"/>
      <c r="AL403" s="632"/>
      <c r="AM403" s="634"/>
      <c r="AN403" s="632"/>
      <c r="AO403" s="632"/>
      <c r="AP403" s="632"/>
      <c r="AQ403" s="632"/>
      <c r="AR403" s="632"/>
      <c r="AS403" s="632"/>
      <c r="AT403" s="632"/>
      <c r="AU403" s="632"/>
      <c r="AV403" s="632"/>
      <c r="AW403" s="632"/>
      <c r="AX403" s="632"/>
      <c r="AY403" s="632"/>
      <c r="AZ403" s="632"/>
      <c r="BA403" s="632"/>
      <c r="BB403" s="632"/>
      <c r="BC403" s="632"/>
      <c r="BD403" s="632"/>
      <c r="BE403" s="632"/>
      <c r="BF403" s="632"/>
      <c r="BG403" s="632"/>
      <c r="BH403" s="632"/>
      <c r="BI403" s="632"/>
      <c r="BJ403" s="628"/>
      <c r="BK403" s="633"/>
      <c r="BL403" s="633"/>
      <c r="BM403" s="627"/>
      <c r="BN403" s="632"/>
      <c r="BO403" s="632"/>
      <c r="BP403" s="632"/>
      <c r="BQ403" s="632"/>
      <c r="BR403" s="632"/>
      <c r="BS403" s="632"/>
      <c r="BT403" s="632"/>
      <c r="BU403" s="632"/>
      <c r="BV403" s="632"/>
      <c r="BW403" s="632"/>
      <c r="BX403" s="632"/>
      <c r="BY403" s="632"/>
      <c r="BZ403" s="632"/>
      <c r="CA403" s="632"/>
      <c r="CB403" s="632"/>
      <c r="CC403" s="632"/>
      <c r="CD403" s="632"/>
      <c r="CE403" s="632"/>
      <c r="CF403" s="632"/>
      <c r="CG403" s="632"/>
      <c r="CH403" s="632"/>
      <c r="CI403" s="632"/>
      <c r="CJ403" s="632"/>
      <c r="CK403" s="632"/>
      <c r="CL403" s="632"/>
      <c r="CM403" s="632"/>
      <c r="CN403" s="632"/>
      <c r="CO403" s="632"/>
      <c r="CP403" s="632"/>
      <c r="CQ403" s="632"/>
      <c r="CR403" s="632"/>
      <c r="CS403" s="632"/>
      <c r="CT403" s="632"/>
      <c r="CU403" s="632"/>
      <c r="CV403" s="632"/>
      <c r="CW403" s="632"/>
      <c r="CX403" s="632"/>
      <c r="CY403" s="632"/>
      <c r="CZ403" s="632"/>
      <c r="DA403" s="632"/>
      <c r="DB403" s="632"/>
      <c r="DC403" s="632"/>
      <c r="DD403" s="632"/>
      <c r="DE403" s="632"/>
      <c r="DF403" s="632"/>
      <c r="DG403" s="632"/>
      <c r="DH403" s="632"/>
      <c r="DI403" s="634"/>
    </row>
    <row r="404" spans="1:113" ht="16.05" hidden="1" customHeight="1" collapsed="1" x14ac:dyDescent="0.3">
      <c r="A404" s="455" t="str">
        <f>IF(COUNTIF(A405:A414,"Imprimir")&gt;0,"Imprimir","")</f>
        <v/>
      </c>
      <c r="B404" s="455"/>
      <c r="C404" s="459"/>
      <c r="D404" s="459"/>
      <c r="E404" s="460" t="s">
        <v>2099</v>
      </c>
      <c r="F404" s="460"/>
      <c r="G404" s="460"/>
      <c r="H404" s="465"/>
      <c r="I404" s="465">
        <f>SUBTOTAL(9,I405:I415)</f>
        <v>0</v>
      </c>
      <c r="J404" s="259"/>
      <c r="K404" s="465"/>
      <c r="L404" s="465">
        <f>SUBTOTAL(9,L405:L415)</f>
        <v>0</v>
      </c>
      <c r="M404" s="257"/>
      <c r="N404" s="465">
        <f t="shared" ref="N404:AM404" si="1437">SUMPRODUCT(N405:N415,$H405:$H415)</f>
        <v>0</v>
      </c>
      <c r="O404" s="465">
        <f t="shared" si="1437"/>
        <v>0</v>
      </c>
      <c r="P404" s="465">
        <f t="shared" si="1437"/>
        <v>0</v>
      </c>
      <c r="Q404" s="465">
        <f t="shared" si="1437"/>
        <v>0</v>
      </c>
      <c r="R404" s="465">
        <f t="shared" si="1437"/>
        <v>0</v>
      </c>
      <c r="S404" s="465">
        <f t="shared" si="1437"/>
        <v>0</v>
      </c>
      <c r="T404" s="465">
        <f t="shared" si="1437"/>
        <v>0</v>
      </c>
      <c r="U404" s="465">
        <f t="shared" si="1437"/>
        <v>0</v>
      </c>
      <c r="V404" s="465">
        <f t="shared" si="1437"/>
        <v>0</v>
      </c>
      <c r="W404" s="465">
        <f t="shared" si="1437"/>
        <v>0</v>
      </c>
      <c r="X404" s="465">
        <f t="shared" si="1437"/>
        <v>0</v>
      </c>
      <c r="Y404" s="465">
        <f t="shared" si="1437"/>
        <v>0</v>
      </c>
      <c r="Z404" s="465">
        <f t="shared" si="1437"/>
        <v>0</v>
      </c>
      <c r="AA404" s="465">
        <f t="shared" si="1437"/>
        <v>0</v>
      </c>
      <c r="AB404" s="465">
        <f t="shared" si="1437"/>
        <v>0</v>
      </c>
      <c r="AC404" s="465">
        <f t="shared" si="1437"/>
        <v>0</v>
      </c>
      <c r="AD404" s="465">
        <f t="shared" si="1437"/>
        <v>0</v>
      </c>
      <c r="AE404" s="465">
        <f t="shared" si="1437"/>
        <v>0</v>
      </c>
      <c r="AF404" s="465">
        <f t="shared" si="1437"/>
        <v>0</v>
      </c>
      <c r="AG404" s="465">
        <f t="shared" si="1437"/>
        <v>0</v>
      </c>
      <c r="AH404" s="465">
        <f t="shared" si="1437"/>
        <v>0</v>
      </c>
      <c r="AI404" s="465">
        <f t="shared" si="1437"/>
        <v>0</v>
      </c>
      <c r="AJ404" s="465">
        <f t="shared" si="1437"/>
        <v>0</v>
      </c>
      <c r="AK404" s="465">
        <f t="shared" si="1437"/>
        <v>0</v>
      </c>
      <c r="AL404" s="465">
        <f t="shared" si="1437"/>
        <v>0</v>
      </c>
      <c r="AM404" s="465">
        <f t="shared" si="1437"/>
        <v>0</v>
      </c>
      <c r="AN404" s="465">
        <f t="shared" ref="AN404:BI404" si="1438">SUMPRODUCT(AN405:AN449,$H405:$H449)</f>
        <v>0</v>
      </c>
      <c r="AO404" s="465">
        <f t="shared" si="1438"/>
        <v>0</v>
      </c>
      <c r="AP404" s="465">
        <f t="shared" si="1438"/>
        <v>0</v>
      </c>
      <c r="AQ404" s="465">
        <f t="shared" si="1438"/>
        <v>0</v>
      </c>
      <c r="AR404" s="465">
        <f t="shared" si="1438"/>
        <v>0</v>
      </c>
      <c r="AS404" s="465">
        <f t="shared" si="1438"/>
        <v>0</v>
      </c>
      <c r="AT404" s="465">
        <f t="shared" si="1438"/>
        <v>0</v>
      </c>
      <c r="AU404" s="465">
        <f t="shared" si="1438"/>
        <v>0</v>
      </c>
      <c r="AV404" s="465">
        <f t="shared" si="1438"/>
        <v>0</v>
      </c>
      <c r="AW404" s="465">
        <f t="shared" si="1438"/>
        <v>0</v>
      </c>
      <c r="AX404" s="465">
        <f t="shared" si="1438"/>
        <v>0</v>
      </c>
      <c r="AY404" s="465">
        <f t="shared" si="1438"/>
        <v>0</v>
      </c>
      <c r="AZ404" s="465">
        <f t="shared" si="1438"/>
        <v>0</v>
      </c>
      <c r="BA404" s="465">
        <f t="shared" si="1438"/>
        <v>0</v>
      </c>
      <c r="BB404" s="465">
        <f t="shared" si="1438"/>
        <v>0</v>
      </c>
      <c r="BC404" s="465">
        <f t="shared" si="1438"/>
        <v>0</v>
      </c>
      <c r="BD404" s="465">
        <f t="shared" si="1438"/>
        <v>0</v>
      </c>
      <c r="BE404" s="465">
        <f t="shared" si="1438"/>
        <v>0</v>
      </c>
      <c r="BF404" s="465">
        <f t="shared" si="1438"/>
        <v>0</v>
      </c>
      <c r="BG404" s="465">
        <f t="shared" si="1438"/>
        <v>0</v>
      </c>
      <c r="BH404" s="465">
        <f t="shared" si="1438"/>
        <v>0</v>
      </c>
      <c r="BI404" s="543">
        <f t="shared" si="1438"/>
        <v>0</v>
      </c>
      <c r="BJ404" s="546"/>
      <c r="BK404" s="475">
        <f t="shared" ref="BK404:BK414" si="1439">IFERROR(BL404/I404,0)</f>
        <v>0</v>
      </c>
      <c r="BL404" s="465">
        <f>SUBTOTAL(9,BL405:BL415)</f>
        <v>0</v>
      </c>
      <c r="BM404" s="257"/>
      <c r="BN404" s="465">
        <f t="shared" ref="BN404:DI404" si="1440">SUMPRODUCT(BN405:BN415,$H405:$H415)</f>
        <v>0</v>
      </c>
      <c r="BO404" s="465">
        <f t="shared" si="1440"/>
        <v>0</v>
      </c>
      <c r="BP404" s="465">
        <f t="shared" si="1440"/>
        <v>0</v>
      </c>
      <c r="BQ404" s="465">
        <f t="shared" si="1440"/>
        <v>0</v>
      </c>
      <c r="BR404" s="465">
        <f t="shared" si="1440"/>
        <v>0</v>
      </c>
      <c r="BS404" s="465">
        <f t="shared" si="1440"/>
        <v>0</v>
      </c>
      <c r="BT404" s="465">
        <f t="shared" si="1440"/>
        <v>0</v>
      </c>
      <c r="BU404" s="465">
        <f t="shared" si="1440"/>
        <v>0</v>
      </c>
      <c r="BV404" s="465">
        <f t="shared" si="1440"/>
        <v>0</v>
      </c>
      <c r="BW404" s="465">
        <f t="shared" si="1440"/>
        <v>0</v>
      </c>
      <c r="BX404" s="465">
        <f t="shared" si="1440"/>
        <v>0</v>
      </c>
      <c r="BY404" s="465">
        <f t="shared" si="1440"/>
        <v>0</v>
      </c>
      <c r="BZ404" s="465">
        <f t="shared" si="1440"/>
        <v>0</v>
      </c>
      <c r="CA404" s="465">
        <f t="shared" si="1440"/>
        <v>0</v>
      </c>
      <c r="CB404" s="465">
        <f t="shared" si="1440"/>
        <v>0</v>
      </c>
      <c r="CC404" s="465">
        <f t="shared" si="1440"/>
        <v>0</v>
      </c>
      <c r="CD404" s="465">
        <f t="shared" si="1440"/>
        <v>0</v>
      </c>
      <c r="CE404" s="465">
        <f t="shared" si="1440"/>
        <v>0</v>
      </c>
      <c r="CF404" s="465">
        <f t="shared" si="1440"/>
        <v>0</v>
      </c>
      <c r="CG404" s="465">
        <f t="shared" si="1440"/>
        <v>0</v>
      </c>
      <c r="CH404" s="465">
        <f t="shared" si="1440"/>
        <v>0</v>
      </c>
      <c r="CI404" s="465">
        <f t="shared" si="1440"/>
        <v>0</v>
      </c>
      <c r="CJ404" s="465">
        <f t="shared" si="1440"/>
        <v>0</v>
      </c>
      <c r="CK404" s="465">
        <f t="shared" si="1440"/>
        <v>0</v>
      </c>
      <c r="CL404" s="465">
        <f t="shared" si="1440"/>
        <v>0</v>
      </c>
      <c r="CM404" s="465">
        <f t="shared" si="1440"/>
        <v>0</v>
      </c>
      <c r="CN404" s="465">
        <f t="shared" si="1440"/>
        <v>0</v>
      </c>
      <c r="CO404" s="465">
        <f t="shared" si="1440"/>
        <v>0</v>
      </c>
      <c r="CP404" s="465">
        <f t="shared" si="1440"/>
        <v>0</v>
      </c>
      <c r="CQ404" s="465">
        <f t="shared" si="1440"/>
        <v>0</v>
      </c>
      <c r="CR404" s="465">
        <f t="shared" si="1440"/>
        <v>0</v>
      </c>
      <c r="CS404" s="465">
        <f t="shared" si="1440"/>
        <v>0</v>
      </c>
      <c r="CT404" s="465">
        <f t="shared" si="1440"/>
        <v>0</v>
      </c>
      <c r="CU404" s="465">
        <f t="shared" si="1440"/>
        <v>0</v>
      </c>
      <c r="CV404" s="465">
        <f t="shared" si="1440"/>
        <v>0</v>
      </c>
      <c r="CW404" s="465">
        <f t="shared" si="1440"/>
        <v>0</v>
      </c>
      <c r="CX404" s="465">
        <f t="shared" si="1440"/>
        <v>0</v>
      </c>
      <c r="CY404" s="465">
        <f t="shared" si="1440"/>
        <v>0</v>
      </c>
      <c r="CZ404" s="465">
        <f t="shared" si="1440"/>
        <v>0</v>
      </c>
      <c r="DA404" s="465">
        <f t="shared" si="1440"/>
        <v>0</v>
      </c>
      <c r="DB404" s="465">
        <f t="shared" si="1440"/>
        <v>0</v>
      </c>
      <c r="DC404" s="465">
        <f t="shared" si="1440"/>
        <v>0</v>
      </c>
      <c r="DD404" s="465">
        <f t="shared" si="1440"/>
        <v>0</v>
      </c>
      <c r="DE404" s="465">
        <f t="shared" si="1440"/>
        <v>0</v>
      </c>
      <c r="DF404" s="465">
        <f t="shared" si="1440"/>
        <v>0</v>
      </c>
      <c r="DG404" s="465">
        <f t="shared" si="1440"/>
        <v>0</v>
      </c>
      <c r="DH404" s="465">
        <f t="shared" si="1440"/>
        <v>0</v>
      </c>
      <c r="DI404" s="465">
        <f t="shared" si="1440"/>
        <v>0</v>
      </c>
    </row>
    <row r="405" spans="1:113" ht="16.05" hidden="1" customHeight="1" outlineLevel="1" x14ac:dyDescent="0.3">
      <c r="A405" s="455" t="str">
        <f t="shared" ref="A405:A414" si="1441">IF(E405="","","Imprimir")</f>
        <v/>
      </c>
      <c r="B405" s="455"/>
      <c r="C405" s="481"/>
      <c r="D405" s="463" t="str">
        <f t="shared" ref="D405:D414" si="1442">CONCATENATE("EXT-",MID($E$404,1,3),"-",IF((ROW(D405)-ROW($D$405)+1)&lt;10,CONCATENATE("0",(ROW(D405)-ROW($D$405)+1)),(ROW(D405)-ROW($D$405)+1)))</f>
        <v>EXT-MAT-01</v>
      </c>
      <c r="E405" s="482"/>
      <c r="F405" s="483"/>
      <c r="G405" s="484"/>
      <c r="H405" s="485"/>
      <c r="I405" s="466">
        <f t="shared" ref="I405:I414" si="1443">G405*H405</f>
        <v>0</v>
      </c>
      <c r="J405" s="259"/>
      <c r="K405" s="478">
        <f t="shared" ref="K405:K414" si="1444">SUM(N405:BI405)</f>
        <v>0</v>
      </c>
      <c r="L405" s="466">
        <f t="shared" ref="L405:L414" si="1445">K405*$H405</f>
        <v>0</v>
      </c>
      <c r="M405" s="257"/>
      <c r="N405" s="478"/>
      <c r="O405" s="478"/>
      <c r="P405" s="478"/>
      <c r="Q405" s="478"/>
      <c r="R405" s="478"/>
      <c r="S405" s="478"/>
      <c r="T405" s="478"/>
      <c r="U405" s="478"/>
      <c r="V405" s="478"/>
      <c r="W405" s="478"/>
      <c r="X405" s="478"/>
      <c r="Y405" s="478"/>
      <c r="Z405" s="478"/>
      <c r="AA405" s="478"/>
      <c r="AB405" s="478"/>
      <c r="AC405" s="478"/>
      <c r="AD405" s="478"/>
      <c r="AE405" s="478"/>
      <c r="AF405" s="478"/>
      <c r="AG405" s="478"/>
      <c r="AH405" s="478"/>
      <c r="AI405" s="478"/>
      <c r="AJ405" s="478"/>
      <c r="AK405" s="478"/>
      <c r="AL405" s="478"/>
      <c r="AM405" s="478"/>
      <c r="AN405" s="478"/>
      <c r="AO405" s="478"/>
      <c r="AP405" s="478"/>
      <c r="AQ405" s="478"/>
      <c r="AR405" s="478"/>
      <c r="AS405" s="478"/>
      <c r="AT405" s="478"/>
      <c r="AU405" s="478"/>
      <c r="AV405" s="478"/>
      <c r="AW405" s="478"/>
      <c r="AX405" s="478"/>
      <c r="AY405" s="478"/>
      <c r="AZ405" s="478"/>
      <c r="BA405" s="478"/>
      <c r="BB405" s="478"/>
      <c r="BC405" s="478"/>
      <c r="BD405" s="478"/>
      <c r="BE405" s="478"/>
      <c r="BF405" s="478"/>
      <c r="BG405" s="478"/>
      <c r="BH405" s="478"/>
      <c r="BI405" s="478"/>
      <c r="BJ405" s="245"/>
      <c r="BK405" s="477">
        <f t="shared" si="1439"/>
        <v>0</v>
      </c>
      <c r="BL405" s="466">
        <f t="shared" ref="BL405:BL414" si="1446">SUM(BN405:DJ405)*$H405</f>
        <v>0</v>
      </c>
      <c r="BM405" s="257"/>
      <c r="BN405" s="478"/>
      <c r="BO405" s="478"/>
      <c r="BP405" s="478"/>
      <c r="BQ405" s="478"/>
      <c r="BR405" s="478"/>
      <c r="BS405" s="478"/>
      <c r="BT405" s="478"/>
      <c r="BU405" s="478"/>
      <c r="BV405" s="478"/>
      <c r="BW405" s="478"/>
      <c r="BX405" s="478"/>
      <c r="BY405" s="478"/>
      <c r="BZ405" s="478"/>
      <c r="CA405" s="478"/>
      <c r="CB405" s="478"/>
      <c r="CC405" s="478"/>
      <c r="CD405" s="478"/>
      <c r="CE405" s="478"/>
      <c r="CF405" s="478"/>
      <c r="CG405" s="478"/>
      <c r="CH405" s="478"/>
      <c r="CI405" s="478"/>
      <c r="CJ405" s="478"/>
      <c r="CK405" s="478"/>
      <c r="CL405" s="478"/>
      <c r="CM405" s="478"/>
      <c r="CN405" s="478"/>
      <c r="CO405" s="478"/>
      <c r="CP405" s="478"/>
      <c r="CQ405" s="478"/>
      <c r="CR405" s="478"/>
      <c r="CS405" s="478"/>
      <c r="CT405" s="478"/>
      <c r="CU405" s="478"/>
      <c r="CV405" s="478"/>
      <c r="CW405" s="478"/>
      <c r="CX405" s="478"/>
      <c r="CY405" s="478"/>
      <c r="CZ405" s="478"/>
      <c r="DA405" s="478"/>
      <c r="DB405" s="478"/>
      <c r="DC405" s="478"/>
      <c r="DD405" s="478"/>
      <c r="DE405" s="478"/>
      <c r="DF405" s="478"/>
      <c r="DG405" s="478"/>
      <c r="DH405" s="478"/>
      <c r="DI405" s="478"/>
    </row>
    <row r="406" spans="1:113" ht="16.05" hidden="1" customHeight="1" outlineLevel="1" x14ac:dyDescent="0.3">
      <c r="A406" s="455" t="str">
        <f t="shared" si="1441"/>
        <v/>
      </c>
      <c r="B406" s="455"/>
      <c r="C406" s="481"/>
      <c r="D406" s="463" t="str">
        <f t="shared" si="1442"/>
        <v>EXT-MAT-02</v>
      </c>
      <c r="E406" s="482"/>
      <c r="F406" s="483"/>
      <c r="G406" s="484"/>
      <c r="H406" s="485"/>
      <c r="I406" s="466">
        <f t="shared" si="1443"/>
        <v>0</v>
      </c>
      <c r="J406" s="259"/>
      <c r="K406" s="478">
        <f t="shared" si="1444"/>
        <v>0</v>
      </c>
      <c r="L406" s="466">
        <f t="shared" si="1445"/>
        <v>0</v>
      </c>
      <c r="M406" s="257"/>
      <c r="N406" s="478"/>
      <c r="O406" s="478"/>
      <c r="P406" s="478"/>
      <c r="Q406" s="478"/>
      <c r="R406" s="478"/>
      <c r="S406" s="478"/>
      <c r="T406" s="478"/>
      <c r="U406" s="478"/>
      <c r="V406" s="478"/>
      <c r="W406" s="478"/>
      <c r="X406" s="478"/>
      <c r="Y406" s="478"/>
      <c r="Z406" s="478"/>
      <c r="AA406" s="478"/>
      <c r="AB406" s="478"/>
      <c r="AC406" s="478"/>
      <c r="AD406" s="478"/>
      <c r="AE406" s="478"/>
      <c r="AF406" s="478"/>
      <c r="AG406" s="478"/>
      <c r="AH406" s="478"/>
      <c r="AI406" s="478"/>
      <c r="AJ406" s="478"/>
      <c r="AK406" s="478"/>
      <c r="AL406" s="478"/>
      <c r="AM406" s="478"/>
      <c r="AN406" s="478"/>
      <c r="AO406" s="478"/>
      <c r="AP406" s="478"/>
      <c r="AQ406" s="478"/>
      <c r="AR406" s="478"/>
      <c r="AS406" s="478"/>
      <c r="AT406" s="478"/>
      <c r="AU406" s="478"/>
      <c r="AV406" s="478"/>
      <c r="AW406" s="478"/>
      <c r="AX406" s="478"/>
      <c r="AY406" s="478"/>
      <c r="AZ406" s="478"/>
      <c r="BA406" s="478"/>
      <c r="BB406" s="478"/>
      <c r="BC406" s="478"/>
      <c r="BD406" s="478"/>
      <c r="BE406" s="478"/>
      <c r="BF406" s="478"/>
      <c r="BG406" s="478"/>
      <c r="BH406" s="478"/>
      <c r="BI406" s="478"/>
      <c r="BJ406" s="245"/>
      <c r="BK406" s="477">
        <f t="shared" si="1439"/>
        <v>0</v>
      </c>
      <c r="BL406" s="466">
        <f t="shared" si="1446"/>
        <v>0</v>
      </c>
      <c r="BM406" s="257"/>
      <c r="BN406" s="478"/>
      <c r="BO406" s="478"/>
      <c r="BP406" s="478"/>
      <c r="BQ406" s="478"/>
      <c r="BR406" s="478"/>
      <c r="BS406" s="478"/>
      <c r="BT406" s="478"/>
      <c r="BU406" s="478"/>
      <c r="BV406" s="478"/>
      <c r="BW406" s="478"/>
      <c r="BX406" s="478"/>
      <c r="BY406" s="478"/>
      <c r="BZ406" s="478"/>
      <c r="CA406" s="478"/>
      <c r="CB406" s="478"/>
      <c r="CC406" s="478"/>
      <c r="CD406" s="478"/>
      <c r="CE406" s="478"/>
      <c r="CF406" s="478"/>
      <c r="CG406" s="478"/>
      <c r="CH406" s="478"/>
      <c r="CI406" s="478"/>
      <c r="CJ406" s="478"/>
      <c r="CK406" s="478"/>
      <c r="CL406" s="478"/>
      <c r="CM406" s="478"/>
      <c r="CN406" s="478"/>
      <c r="CO406" s="478"/>
      <c r="CP406" s="478"/>
      <c r="CQ406" s="478"/>
      <c r="CR406" s="478"/>
      <c r="CS406" s="478"/>
      <c r="CT406" s="478"/>
      <c r="CU406" s="478"/>
      <c r="CV406" s="478"/>
      <c r="CW406" s="478"/>
      <c r="CX406" s="478"/>
      <c r="CY406" s="478"/>
      <c r="CZ406" s="478"/>
      <c r="DA406" s="478"/>
      <c r="DB406" s="478"/>
      <c r="DC406" s="478"/>
      <c r="DD406" s="478"/>
      <c r="DE406" s="478"/>
      <c r="DF406" s="478"/>
      <c r="DG406" s="478"/>
      <c r="DH406" s="478"/>
      <c r="DI406" s="478"/>
    </row>
    <row r="407" spans="1:113" ht="16.05" hidden="1" customHeight="1" outlineLevel="1" x14ac:dyDescent="0.3">
      <c r="A407" s="455" t="str">
        <f t="shared" si="1441"/>
        <v/>
      </c>
      <c r="B407" s="455"/>
      <c r="C407" s="481"/>
      <c r="D407" s="463" t="str">
        <f t="shared" si="1442"/>
        <v>EXT-MAT-03</v>
      </c>
      <c r="E407" s="482"/>
      <c r="F407" s="483"/>
      <c r="G407" s="484"/>
      <c r="H407" s="485"/>
      <c r="I407" s="466">
        <f t="shared" si="1443"/>
        <v>0</v>
      </c>
      <c r="J407" s="259"/>
      <c r="K407" s="478">
        <f t="shared" si="1444"/>
        <v>0</v>
      </c>
      <c r="L407" s="466">
        <f t="shared" si="1445"/>
        <v>0</v>
      </c>
      <c r="M407" s="257"/>
      <c r="N407" s="478"/>
      <c r="O407" s="478"/>
      <c r="P407" s="478"/>
      <c r="Q407" s="478"/>
      <c r="R407" s="478"/>
      <c r="S407" s="478"/>
      <c r="T407" s="478"/>
      <c r="U407" s="478"/>
      <c r="V407" s="478"/>
      <c r="W407" s="478"/>
      <c r="X407" s="478"/>
      <c r="Y407" s="478"/>
      <c r="Z407" s="478"/>
      <c r="AA407" s="478"/>
      <c r="AB407" s="478"/>
      <c r="AC407" s="478"/>
      <c r="AD407" s="478"/>
      <c r="AE407" s="478"/>
      <c r="AF407" s="478"/>
      <c r="AG407" s="478"/>
      <c r="AH407" s="478"/>
      <c r="AI407" s="478"/>
      <c r="AJ407" s="478"/>
      <c r="AK407" s="478"/>
      <c r="AL407" s="478"/>
      <c r="AM407" s="478"/>
      <c r="AN407" s="478"/>
      <c r="AO407" s="478"/>
      <c r="AP407" s="478"/>
      <c r="AQ407" s="478"/>
      <c r="AR407" s="478"/>
      <c r="AS407" s="478"/>
      <c r="AT407" s="478"/>
      <c r="AU407" s="478"/>
      <c r="AV407" s="478"/>
      <c r="AW407" s="478"/>
      <c r="AX407" s="478"/>
      <c r="AY407" s="478"/>
      <c r="AZ407" s="478"/>
      <c r="BA407" s="478"/>
      <c r="BB407" s="478"/>
      <c r="BC407" s="478"/>
      <c r="BD407" s="478"/>
      <c r="BE407" s="478"/>
      <c r="BF407" s="478"/>
      <c r="BG407" s="478"/>
      <c r="BH407" s="478"/>
      <c r="BI407" s="478"/>
      <c r="BJ407" s="245"/>
      <c r="BK407" s="477">
        <f t="shared" si="1439"/>
        <v>0</v>
      </c>
      <c r="BL407" s="466">
        <f t="shared" si="1446"/>
        <v>0</v>
      </c>
      <c r="BM407" s="257"/>
      <c r="BN407" s="478"/>
      <c r="BO407" s="478"/>
      <c r="BP407" s="478"/>
      <c r="BQ407" s="478"/>
      <c r="BR407" s="478"/>
      <c r="BS407" s="478"/>
      <c r="BT407" s="478"/>
      <c r="BU407" s="478"/>
      <c r="BV407" s="478"/>
      <c r="BW407" s="478"/>
      <c r="BX407" s="478"/>
      <c r="BY407" s="478"/>
      <c r="BZ407" s="478"/>
      <c r="CA407" s="478"/>
      <c r="CB407" s="478"/>
      <c r="CC407" s="478"/>
      <c r="CD407" s="478"/>
      <c r="CE407" s="478"/>
      <c r="CF407" s="478"/>
      <c r="CG407" s="478"/>
      <c r="CH407" s="478"/>
      <c r="CI407" s="478"/>
      <c r="CJ407" s="478"/>
      <c r="CK407" s="478"/>
      <c r="CL407" s="478"/>
      <c r="CM407" s="478"/>
      <c r="CN407" s="478"/>
      <c r="CO407" s="478"/>
      <c r="CP407" s="478"/>
      <c r="CQ407" s="478"/>
      <c r="CR407" s="478"/>
      <c r="CS407" s="478"/>
      <c r="CT407" s="478"/>
      <c r="CU407" s="478"/>
      <c r="CV407" s="478"/>
      <c r="CW407" s="478"/>
      <c r="CX407" s="478"/>
      <c r="CY407" s="478"/>
      <c r="CZ407" s="478"/>
      <c r="DA407" s="478"/>
      <c r="DB407" s="478"/>
      <c r="DC407" s="478"/>
      <c r="DD407" s="478"/>
      <c r="DE407" s="478"/>
      <c r="DF407" s="478"/>
      <c r="DG407" s="478"/>
      <c r="DH407" s="478"/>
      <c r="DI407" s="478"/>
    </row>
    <row r="408" spans="1:113" ht="16.05" hidden="1" customHeight="1" outlineLevel="1" x14ac:dyDescent="0.3">
      <c r="A408" s="455" t="str">
        <f t="shared" si="1441"/>
        <v/>
      </c>
      <c r="B408" s="455"/>
      <c r="C408" s="481"/>
      <c r="D408" s="463" t="str">
        <f t="shared" si="1442"/>
        <v>EXT-MAT-04</v>
      </c>
      <c r="E408" s="482"/>
      <c r="F408" s="483"/>
      <c r="G408" s="484"/>
      <c r="H408" s="485"/>
      <c r="I408" s="466">
        <f t="shared" si="1443"/>
        <v>0</v>
      </c>
      <c r="J408" s="259"/>
      <c r="K408" s="478">
        <f t="shared" si="1444"/>
        <v>0</v>
      </c>
      <c r="L408" s="466">
        <f t="shared" si="1445"/>
        <v>0</v>
      </c>
      <c r="M408" s="257"/>
      <c r="N408" s="478"/>
      <c r="O408" s="478"/>
      <c r="P408" s="478"/>
      <c r="Q408" s="478"/>
      <c r="R408" s="478"/>
      <c r="S408" s="478"/>
      <c r="T408" s="478"/>
      <c r="U408" s="478"/>
      <c r="V408" s="478"/>
      <c r="W408" s="478"/>
      <c r="X408" s="478"/>
      <c r="Y408" s="478"/>
      <c r="Z408" s="478"/>
      <c r="AA408" s="478"/>
      <c r="AB408" s="478"/>
      <c r="AC408" s="478"/>
      <c r="AD408" s="478"/>
      <c r="AE408" s="478"/>
      <c r="AF408" s="478"/>
      <c r="AG408" s="478"/>
      <c r="AH408" s="478"/>
      <c r="AI408" s="478"/>
      <c r="AJ408" s="478"/>
      <c r="AK408" s="478"/>
      <c r="AL408" s="478"/>
      <c r="AM408" s="478"/>
      <c r="AN408" s="478"/>
      <c r="AO408" s="478"/>
      <c r="AP408" s="478"/>
      <c r="AQ408" s="478"/>
      <c r="AR408" s="478"/>
      <c r="AS408" s="478"/>
      <c r="AT408" s="478"/>
      <c r="AU408" s="478"/>
      <c r="AV408" s="478"/>
      <c r="AW408" s="478"/>
      <c r="AX408" s="478"/>
      <c r="AY408" s="478"/>
      <c r="AZ408" s="478"/>
      <c r="BA408" s="478"/>
      <c r="BB408" s="478"/>
      <c r="BC408" s="478"/>
      <c r="BD408" s="478"/>
      <c r="BE408" s="478"/>
      <c r="BF408" s="478"/>
      <c r="BG408" s="478"/>
      <c r="BH408" s="478"/>
      <c r="BI408" s="478"/>
      <c r="BJ408" s="245"/>
      <c r="BK408" s="477">
        <f t="shared" si="1439"/>
        <v>0</v>
      </c>
      <c r="BL408" s="466">
        <f t="shared" si="1446"/>
        <v>0</v>
      </c>
      <c r="BM408" s="257"/>
      <c r="BN408" s="478"/>
      <c r="BO408" s="478"/>
      <c r="BP408" s="478"/>
      <c r="BQ408" s="478"/>
      <c r="BR408" s="478"/>
      <c r="BS408" s="478"/>
      <c r="BT408" s="478"/>
      <c r="BU408" s="478"/>
      <c r="BV408" s="478"/>
      <c r="BW408" s="478"/>
      <c r="BX408" s="478"/>
      <c r="BY408" s="478"/>
      <c r="BZ408" s="478"/>
      <c r="CA408" s="478"/>
      <c r="CB408" s="478"/>
      <c r="CC408" s="478"/>
      <c r="CD408" s="478"/>
      <c r="CE408" s="478"/>
      <c r="CF408" s="478"/>
      <c r="CG408" s="478"/>
      <c r="CH408" s="478"/>
      <c r="CI408" s="478"/>
      <c r="CJ408" s="478"/>
      <c r="CK408" s="478"/>
      <c r="CL408" s="478"/>
      <c r="CM408" s="478"/>
      <c r="CN408" s="478"/>
      <c r="CO408" s="478"/>
      <c r="CP408" s="478"/>
      <c r="CQ408" s="478"/>
      <c r="CR408" s="478"/>
      <c r="CS408" s="478"/>
      <c r="CT408" s="478"/>
      <c r="CU408" s="478"/>
      <c r="CV408" s="478"/>
      <c r="CW408" s="478"/>
      <c r="CX408" s="478"/>
      <c r="CY408" s="478"/>
      <c r="CZ408" s="478"/>
      <c r="DA408" s="478"/>
      <c r="DB408" s="478"/>
      <c r="DC408" s="478"/>
      <c r="DD408" s="478"/>
      <c r="DE408" s="478"/>
      <c r="DF408" s="478"/>
      <c r="DG408" s="478"/>
      <c r="DH408" s="478"/>
      <c r="DI408" s="478"/>
    </row>
    <row r="409" spans="1:113" ht="16.05" hidden="1" customHeight="1" outlineLevel="1" x14ac:dyDescent="0.3">
      <c r="A409" s="455" t="str">
        <f t="shared" si="1441"/>
        <v/>
      </c>
      <c r="B409" s="455"/>
      <c r="C409" s="481"/>
      <c r="D409" s="463" t="str">
        <f t="shared" si="1442"/>
        <v>EXT-MAT-05</v>
      </c>
      <c r="E409" s="482"/>
      <c r="F409" s="483"/>
      <c r="G409" s="484"/>
      <c r="H409" s="485"/>
      <c r="I409" s="466">
        <f t="shared" si="1443"/>
        <v>0</v>
      </c>
      <c r="J409" s="259"/>
      <c r="K409" s="478">
        <f t="shared" si="1444"/>
        <v>0</v>
      </c>
      <c r="L409" s="466">
        <f t="shared" si="1445"/>
        <v>0</v>
      </c>
      <c r="M409" s="257"/>
      <c r="N409" s="478"/>
      <c r="O409" s="478"/>
      <c r="P409" s="478"/>
      <c r="Q409" s="478"/>
      <c r="R409" s="478"/>
      <c r="S409" s="478"/>
      <c r="T409" s="478"/>
      <c r="U409" s="478"/>
      <c r="V409" s="478"/>
      <c r="W409" s="478"/>
      <c r="X409" s="478"/>
      <c r="Y409" s="478"/>
      <c r="Z409" s="478"/>
      <c r="AA409" s="478"/>
      <c r="AB409" s="478"/>
      <c r="AC409" s="478"/>
      <c r="AD409" s="478"/>
      <c r="AE409" s="478"/>
      <c r="AF409" s="478"/>
      <c r="AG409" s="478"/>
      <c r="AH409" s="478"/>
      <c r="AI409" s="478"/>
      <c r="AJ409" s="478"/>
      <c r="AK409" s="478"/>
      <c r="AL409" s="478"/>
      <c r="AM409" s="478"/>
      <c r="AN409" s="478"/>
      <c r="AO409" s="478"/>
      <c r="AP409" s="478"/>
      <c r="AQ409" s="478"/>
      <c r="AR409" s="478"/>
      <c r="AS409" s="478"/>
      <c r="AT409" s="478"/>
      <c r="AU409" s="478"/>
      <c r="AV409" s="478"/>
      <c r="AW409" s="478"/>
      <c r="AX409" s="478"/>
      <c r="AY409" s="478"/>
      <c r="AZ409" s="478"/>
      <c r="BA409" s="478"/>
      <c r="BB409" s="478"/>
      <c r="BC409" s="478"/>
      <c r="BD409" s="478"/>
      <c r="BE409" s="478"/>
      <c r="BF409" s="478"/>
      <c r="BG409" s="478"/>
      <c r="BH409" s="478"/>
      <c r="BI409" s="478"/>
      <c r="BJ409" s="245"/>
      <c r="BK409" s="477">
        <f t="shared" si="1439"/>
        <v>0</v>
      </c>
      <c r="BL409" s="466">
        <f t="shared" si="1446"/>
        <v>0</v>
      </c>
      <c r="BM409" s="257"/>
      <c r="BN409" s="478"/>
      <c r="BO409" s="478"/>
      <c r="BP409" s="478"/>
      <c r="BQ409" s="478"/>
      <c r="BR409" s="478"/>
      <c r="BS409" s="478"/>
      <c r="BT409" s="478"/>
      <c r="BU409" s="478"/>
      <c r="BV409" s="478"/>
      <c r="BW409" s="478"/>
      <c r="BX409" s="478"/>
      <c r="BY409" s="478"/>
      <c r="BZ409" s="478"/>
      <c r="CA409" s="478"/>
      <c r="CB409" s="478"/>
      <c r="CC409" s="478"/>
      <c r="CD409" s="478"/>
      <c r="CE409" s="478"/>
      <c r="CF409" s="478"/>
      <c r="CG409" s="478"/>
      <c r="CH409" s="478"/>
      <c r="CI409" s="478"/>
      <c r="CJ409" s="478"/>
      <c r="CK409" s="478"/>
      <c r="CL409" s="478"/>
      <c r="CM409" s="478"/>
      <c r="CN409" s="478"/>
      <c r="CO409" s="478"/>
      <c r="CP409" s="478"/>
      <c r="CQ409" s="478"/>
      <c r="CR409" s="478"/>
      <c r="CS409" s="478"/>
      <c r="CT409" s="478"/>
      <c r="CU409" s="478"/>
      <c r="CV409" s="478"/>
      <c r="CW409" s="478"/>
      <c r="CX409" s="478"/>
      <c r="CY409" s="478"/>
      <c r="CZ409" s="478"/>
      <c r="DA409" s="478"/>
      <c r="DB409" s="478"/>
      <c r="DC409" s="478"/>
      <c r="DD409" s="478"/>
      <c r="DE409" s="478"/>
      <c r="DF409" s="478"/>
      <c r="DG409" s="478"/>
      <c r="DH409" s="478"/>
      <c r="DI409" s="478"/>
    </row>
    <row r="410" spans="1:113" ht="16.05" hidden="1" customHeight="1" outlineLevel="1" x14ac:dyDescent="0.3">
      <c r="A410" s="455" t="str">
        <f t="shared" si="1441"/>
        <v/>
      </c>
      <c r="B410" s="455"/>
      <c r="C410" s="481"/>
      <c r="D410" s="463" t="str">
        <f t="shared" si="1442"/>
        <v>EXT-MAT-06</v>
      </c>
      <c r="E410" s="482"/>
      <c r="F410" s="483"/>
      <c r="G410" s="484"/>
      <c r="H410" s="485"/>
      <c r="I410" s="466">
        <f t="shared" si="1443"/>
        <v>0</v>
      </c>
      <c r="J410" s="259"/>
      <c r="K410" s="478">
        <f t="shared" si="1444"/>
        <v>0</v>
      </c>
      <c r="L410" s="466">
        <f t="shared" si="1445"/>
        <v>0</v>
      </c>
      <c r="M410" s="257"/>
      <c r="N410" s="478"/>
      <c r="O410" s="478"/>
      <c r="P410" s="478"/>
      <c r="Q410" s="478"/>
      <c r="R410" s="478"/>
      <c r="S410" s="478"/>
      <c r="T410" s="478"/>
      <c r="U410" s="478"/>
      <c r="V410" s="478"/>
      <c r="W410" s="478"/>
      <c r="X410" s="478"/>
      <c r="Y410" s="478"/>
      <c r="Z410" s="478"/>
      <c r="AA410" s="478"/>
      <c r="AB410" s="478"/>
      <c r="AC410" s="478"/>
      <c r="AD410" s="478"/>
      <c r="AE410" s="478"/>
      <c r="AF410" s="478"/>
      <c r="AG410" s="478"/>
      <c r="AH410" s="478"/>
      <c r="AI410" s="478"/>
      <c r="AJ410" s="478"/>
      <c r="AK410" s="478"/>
      <c r="AL410" s="478"/>
      <c r="AM410" s="478"/>
      <c r="AN410" s="478"/>
      <c r="AO410" s="478"/>
      <c r="AP410" s="478"/>
      <c r="AQ410" s="478"/>
      <c r="AR410" s="478"/>
      <c r="AS410" s="478"/>
      <c r="AT410" s="478"/>
      <c r="AU410" s="478"/>
      <c r="AV410" s="478"/>
      <c r="AW410" s="478"/>
      <c r="AX410" s="478"/>
      <c r="AY410" s="478"/>
      <c r="AZ410" s="478"/>
      <c r="BA410" s="478"/>
      <c r="BB410" s="478"/>
      <c r="BC410" s="478"/>
      <c r="BD410" s="478"/>
      <c r="BE410" s="478"/>
      <c r="BF410" s="478"/>
      <c r="BG410" s="478"/>
      <c r="BH410" s="478"/>
      <c r="BI410" s="478"/>
      <c r="BJ410" s="245"/>
      <c r="BK410" s="477">
        <f t="shared" si="1439"/>
        <v>0</v>
      </c>
      <c r="BL410" s="466">
        <f t="shared" si="1446"/>
        <v>0</v>
      </c>
      <c r="BM410" s="257"/>
      <c r="BN410" s="478"/>
      <c r="BO410" s="478"/>
      <c r="BP410" s="478"/>
      <c r="BQ410" s="478"/>
      <c r="BR410" s="478"/>
      <c r="BS410" s="478"/>
      <c r="BT410" s="478"/>
      <c r="BU410" s="478"/>
      <c r="BV410" s="478"/>
      <c r="BW410" s="478"/>
      <c r="BX410" s="478"/>
      <c r="BY410" s="478"/>
      <c r="BZ410" s="478"/>
      <c r="CA410" s="478"/>
      <c r="CB410" s="478"/>
      <c r="CC410" s="478"/>
      <c r="CD410" s="478"/>
      <c r="CE410" s="478"/>
      <c r="CF410" s="478"/>
      <c r="CG410" s="478"/>
      <c r="CH410" s="478"/>
      <c r="CI410" s="478"/>
      <c r="CJ410" s="478"/>
      <c r="CK410" s="478"/>
      <c r="CL410" s="478"/>
      <c r="CM410" s="478"/>
      <c r="CN410" s="478"/>
      <c r="CO410" s="478"/>
      <c r="CP410" s="478"/>
      <c r="CQ410" s="478"/>
      <c r="CR410" s="478"/>
      <c r="CS410" s="478"/>
      <c r="CT410" s="478"/>
      <c r="CU410" s="478"/>
      <c r="CV410" s="478"/>
      <c r="CW410" s="478"/>
      <c r="CX410" s="478"/>
      <c r="CY410" s="478"/>
      <c r="CZ410" s="478"/>
      <c r="DA410" s="478"/>
      <c r="DB410" s="478"/>
      <c r="DC410" s="478"/>
      <c r="DD410" s="478"/>
      <c r="DE410" s="478"/>
      <c r="DF410" s="478"/>
      <c r="DG410" s="478"/>
      <c r="DH410" s="478"/>
      <c r="DI410" s="478"/>
    </row>
    <row r="411" spans="1:113" ht="16.05" hidden="1" customHeight="1" outlineLevel="1" x14ac:dyDescent="0.3">
      <c r="A411" s="455" t="str">
        <f t="shared" si="1441"/>
        <v/>
      </c>
      <c r="B411" s="455"/>
      <c r="C411" s="481"/>
      <c r="D411" s="463" t="str">
        <f t="shared" si="1442"/>
        <v>EXT-MAT-07</v>
      </c>
      <c r="E411" s="482"/>
      <c r="F411" s="483"/>
      <c r="G411" s="484"/>
      <c r="H411" s="485"/>
      <c r="I411" s="466">
        <f t="shared" si="1443"/>
        <v>0</v>
      </c>
      <c r="J411" s="259"/>
      <c r="K411" s="478">
        <f t="shared" si="1444"/>
        <v>0</v>
      </c>
      <c r="L411" s="466">
        <f t="shared" si="1445"/>
        <v>0</v>
      </c>
      <c r="M411" s="257"/>
      <c r="N411" s="478"/>
      <c r="O411" s="478"/>
      <c r="P411" s="478"/>
      <c r="Q411" s="478"/>
      <c r="R411" s="478"/>
      <c r="S411" s="478"/>
      <c r="T411" s="478"/>
      <c r="U411" s="478"/>
      <c r="V411" s="478"/>
      <c r="W411" s="478"/>
      <c r="X411" s="478"/>
      <c r="Y411" s="478"/>
      <c r="Z411" s="478"/>
      <c r="AA411" s="478"/>
      <c r="AB411" s="478"/>
      <c r="AC411" s="478"/>
      <c r="AD411" s="478"/>
      <c r="AE411" s="478"/>
      <c r="AF411" s="478"/>
      <c r="AG411" s="478"/>
      <c r="AH411" s="478"/>
      <c r="AI411" s="478"/>
      <c r="AJ411" s="478"/>
      <c r="AK411" s="478"/>
      <c r="AL411" s="478"/>
      <c r="AM411" s="478"/>
      <c r="AN411" s="478"/>
      <c r="AO411" s="478"/>
      <c r="AP411" s="478"/>
      <c r="AQ411" s="478"/>
      <c r="AR411" s="478"/>
      <c r="AS411" s="478"/>
      <c r="AT411" s="478"/>
      <c r="AU411" s="478"/>
      <c r="AV411" s="478"/>
      <c r="AW411" s="478"/>
      <c r="AX411" s="478"/>
      <c r="AY411" s="478"/>
      <c r="AZ411" s="478"/>
      <c r="BA411" s="478"/>
      <c r="BB411" s="478"/>
      <c r="BC411" s="478"/>
      <c r="BD411" s="478"/>
      <c r="BE411" s="478"/>
      <c r="BF411" s="478"/>
      <c r="BG411" s="478"/>
      <c r="BH411" s="478"/>
      <c r="BI411" s="478"/>
      <c r="BJ411" s="245"/>
      <c r="BK411" s="477">
        <f t="shared" si="1439"/>
        <v>0</v>
      </c>
      <c r="BL411" s="466">
        <f t="shared" si="1446"/>
        <v>0</v>
      </c>
      <c r="BM411" s="257"/>
      <c r="BN411" s="478"/>
      <c r="BO411" s="478"/>
      <c r="BP411" s="478"/>
      <c r="BQ411" s="478"/>
      <c r="BR411" s="478"/>
      <c r="BS411" s="478"/>
      <c r="BT411" s="478"/>
      <c r="BU411" s="478"/>
      <c r="BV411" s="478"/>
      <c r="BW411" s="478"/>
      <c r="BX411" s="478"/>
      <c r="BY411" s="478"/>
      <c r="BZ411" s="478"/>
      <c r="CA411" s="478"/>
      <c r="CB411" s="478"/>
      <c r="CC411" s="478"/>
      <c r="CD411" s="478"/>
      <c r="CE411" s="478"/>
      <c r="CF411" s="478"/>
      <c r="CG411" s="478"/>
      <c r="CH411" s="478"/>
      <c r="CI411" s="478"/>
      <c r="CJ411" s="478"/>
      <c r="CK411" s="478"/>
      <c r="CL411" s="478"/>
      <c r="CM411" s="478"/>
      <c r="CN411" s="478"/>
      <c r="CO411" s="478"/>
      <c r="CP411" s="478"/>
      <c r="CQ411" s="478"/>
      <c r="CR411" s="478"/>
      <c r="CS411" s="478"/>
      <c r="CT411" s="478"/>
      <c r="CU411" s="478"/>
      <c r="CV411" s="478"/>
      <c r="CW411" s="478"/>
      <c r="CX411" s="478"/>
      <c r="CY411" s="478"/>
      <c r="CZ411" s="478"/>
      <c r="DA411" s="478"/>
      <c r="DB411" s="478"/>
      <c r="DC411" s="478"/>
      <c r="DD411" s="478"/>
      <c r="DE411" s="478"/>
      <c r="DF411" s="478"/>
      <c r="DG411" s="478"/>
      <c r="DH411" s="478"/>
      <c r="DI411" s="478"/>
    </row>
    <row r="412" spans="1:113" ht="16.05" hidden="1" customHeight="1" outlineLevel="1" x14ac:dyDescent="0.3">
      <c r="A412" s="455" t="str">
        <f t="shared" si="1441"/>
        <v/>
      </c>
      <c r="B412" s="455"/>
      <c r="C412" s="481"/>
      <c r="D412" s="463" t="str">
        <f t="shared" si="1442"/>
        <v>EXT-MAT-08</v>
      </c>
      <c r="E412" s="482"/>
      <c r="F412" s="483"/>
      <c r="G412" s="484"/>
      <c r="H412" s="485"/>
      <c r="I412" s="466">
        <f t="shared" si="1443"/>
        <v>0</v>
      </c>
      <c r="J412" s="259"/>
      <c r="K412" s="478">
        <f t="shared" si="1444"/>
        <v>0</v>
      </c>
      <c r="L412" s="466">
        <f t="shared" si="1445"/>
        <v>0</v>
      </c>
      <c r="M412" s="257"/>
      <c r="N412" s="478"/>
      <c r="O412" s="478"/>
      <c r="P412" s="478"/>
      <c r="Q412" s="478"/>
      <c r="R412" s="478"/>
      <c r="S412" s="478"/>
      <c r="T412" s="478"/>
      <c r="U412" s="478"/>
      <c r="V412" s="478"/>
      <c r="W412" s="478"/>
      <c r="X412" s="478"/>
      <c r="Y412" s="478"/>
      <c r="Z412" s="478"/>
      <c r="AA412" s="478"/>
      <c r="AB412" s="478"/>
      <c r="AC412" s="478"/>
      <c r="AD412" s="478"/>
      <c r="AE412" s="478"/>
      <c r="AF412" s="478"/>
      <c r="AG412" s="478"/>
      <c r="AH412" s="478"/>
      <c r="AI412" s="478"/>
      <c r="AJ412" s="478"/>
      <c r="AK412" s="478"/>
      <c r="AL412" s="478"/>
      <c r="AM412" s="478"/>
      <c r="AN412" s="478"/>
      <c r="AO412" s="478"/>
      <c r="AP412" s="478"/>
      <c r="AQ412" s="478"/>
      <c r="AR412" s="478"/>
      <c r="AS412" s="478"/>
      <c r="AT412" s="478"/>
      <c r="AU412" s="478"/>
      <c r="AV412" s="478"/>
      <c r="AW412" s="478"/>
      <c r="AX412" s="478"/>
      <c r="AY412" s="478"/>
      <c r="AZ412" s="478"/>
      <c r="BA412" s="478"/>
      <c r="BB412" s="478"/>
      <c r="BC412" s="478"/>
      <c r="BD412" s="478"/>
      <c r="BE412" s="478"/>
      <c r="BF412" s="478"/>
      <c r="BG412" s="478"/>
      <c r="BH412" s="478"/>
      <c r="BI412" s="478"/>
      <c r="BJ412" s="245"/>
      <c r="BK412" s="477">
        <f t="shared" si="1439"/>
        <v>0</v>
      </c>
      <c r="BL412" s="466">
        <f t="shared" si="1446"/>
        <v>0</v>
      </c>
      <c r="BM412" s="257"/>
      <c r="BN412" s="478"/>
      <c r="BO412" s="478"/>
      <c r="BP412" s="478"/>
      <c r="BQ412" s="478"/>
      <c r="BR412" s="478"/>
      <c r="BS412" s="478"/>
      <c r="BT412" s="478"/>
      <c r="BU412" s="478"/>
      <c r="BV412" s="478"/>
      <c r="BW412" s="478"/>
      <c r="BX412" s="478"/>
      <c r="BY412" s="478"/>
      <c r="BZ412" s="478"/>
      <c r="CA412" s="478"/>
      <c r="CB412" s="478"/>
      <c r="CC412" s="478"/>
      <c r="CD412" s="478"/>
      <c r="CE412" s="478"/>
      <c r="CF412" s="478"/>
      <c r="CG412" s="478"/>
      <c r="CH412" s="478"/>
      <c r="CI412" s="478"/>
      <c r="CJ412" s="478"/>
      <c r="CK412" s="478"/>
      <c r="CL412" s="478"/>
      <c r="CM412" s="478"/>
      <c r="CN412" s="478"/>
      <c r="CO412" s="478"/>
      <c r="CP412" s="478"/>
      <c r="CQ412" s="478"/>
      <c r="CR412" s="478"/>
      <c r="CS412" s="478"/>
      <c r="CT412" s="478"/>
      <c r="CU412" s="478"/>
      <c r="CV412" s="478"/>
      <c r="CW412" s="478"/>
      <c r="CX412" s="478"/>
      <c r="CY412" s="478"/>
      <c r="CZ412" s="478"/>
      <c r="DA412" s="478"/>
      <c r="DB412" s="478"/>
      <c r="DC412" s="478"/>
      <c r="DD412" s="478"/>
      <c r="DE412" s="478"/>
      <c r="DF412" s="478"/>
      <c r="DG412" s="478"/>
      <c r="DH412" s="478"/>
      <c r="DI412" s="478"/>
    </row>
    <row r="413" spans="1:113" ht="16.05" hidden="1" customHeight="1" outlineLevel="1" x14ac:dyDescent="0.3">
      <c r="A413" s="455" t="str">
        <f t="shared" si="1441"/>
        <v/>
      </c>
      <c r="B413" s="455"/>
      <c r="C413" s="481"/>
      <c r="D413" s="463" t="str">
        <f t="shared" si="1442"/>
        <v>EXT-MAT-09</v>
      </c>
      <c r="E413" s="482"/>
      <c r="F413" s="483"/>
      <c r="G413" s="484"/>
      <c r="H413" s="485"/>
      <c r="I413" s="466">
        <f t="shared" si="1443"/>
        <v>0</v>
      </c>
      <c r="J413" s="259"/>
      <c r="K413" s="478">
        <f t="shared" si="1444"/>
        <v>0</v>
      </c>
      <c r="L413" s="466">
        <f t="shared" si="1445"/>
        <v>0</v>
      </c>
      <c r="M413" s="257"/>
      <c r="N413" s="478"/>
      <c r="O413" s="478"/>
      <c r="P413" s="478"/>
      <c r="Q413" s="478"/>
      <c r="R413" s="478"/>
      <c r="S413" s="478"/>
      <c r="T413" s="478"/>
      <c r="U413" s="478"/>
      <c r="V413" s="478"/>
      <c r="W413" s="478"/>
      <c r="X413" s="478"/>
      <c r="Y413" s="478"/>
      <c r="Z413" s="478"/>
      <c r="AA413" s="478"/>
      <c r="AB413" s="478"/>
      <c r="AC413" s="478"/>
      <c r="AD413" s="478"/>
      <c r="AE413" s="478"/>
      <c r="AF413" s="478"/>
      <c r="AG413" s="478"/>
      <c r="AH413" s="478"/>
      <c r="AI413" s="478"/>
      <c r="AJ413" s="478"/>
      <c r="AK413" s="478"/>
      <c r="AL413" s="478"/>
      <c r="AM413" s="478"/>
      <c r="AN413" s="478"/>
      <c r="AO413" s="478"/>
      <c r="AP413" s="478"/>
      <c r="AQ413" s="478"/>
      <c r="AR413" s="478"/>
      <c r="AS413" s="478"/>
      <c r="AT413" s="478"/>
      <c r="AU413" s="478"/>
      <c r="AV413" s="478"/>
      <c r="AW413" s="478"/>
      <c r="AX413" s="478"/>
      <c r="AY413" s="478"/>
      <c r="AZ413" s="478"/>
      <c r="BA413" s="478"/>
      <c r="BB413" s="478"/>
      <c r="BC413" s="478"/>
      <c r="BD413" s="478"/>
      <c r="BE413" s="478"/>
      <c r="BF413" s="478"/>
      <c r="BG413" s="478"/>
      <c r="BH413" s="478"/>
      <c r="BI413" s="478"/>
      <c r="BJ413" s="245"/>
      <c r="BK413" s="477">
        <f t="shared" si="1439"/>
        <v>0</v>
      </c>
      <c r="BL413" s="466">
        <f t="shared" si="1446"/>
        <v>0</v>
      </c>
      <c r="BM413" s="257"/>
      <c r="BN413" s="478"/>
      <c r="BO413" s="478"/>
      <c r="BP413" s="478"/>
      <c r="BQ413" s="478"/>
      <c r="BR413" s="478"/>
      <c r="BS413" s="478"/>
      <c r="BT413" s="478"/>
      <c r="BU413" s="478"/>
      <c r="BV413" s="478"/>
      <c r="BW413" s="478"/>
      <c r="BX413" s="478"/>
      <c r="BY413" s="478"/>
      <c r="BZ413" s="478"/>
      <c r="CA413" s="478"/>
      <c r="CB413" s="478"/>
      <c r="CC413" s="478"/>
      <c r="CD413" s="478"/>
      <c r="CE413" s="478"/>
      <c r="CF413" s="478"/>
      <c r="CG413" s="478"/>
      <c r="CH413" s="478"/>
      <c r="CI413" s="478"/>
      <c r="CJ413" s="478"/>
      <c r="CK413" s="478"/>
      <c r="CL413" s="478"/>
      <c r="CM413" s="478"/>
      <c r="CN413" s="478"/>
      <c r="CO413" s="478"/>
      <c r="CP413" s="478"/>
      <c r="CQ413" s="478"/>
      <c r="CR413" s="478"/>
      <c r="CS413" s="478"/>
      <c r="CT413" s="478"/>
      <c r="CU413" s="478"/>
      <c r="CV413" s="478"/>
      <c r="CW413" s="478"/>
      <c r="CX413" s="478"/>
      <c r="CY413" s="478"/>
      <c r="CZ413" s="478"/>
      <c r="DA413" s="478"/>
      <c r="DB413" s="478"/>
      <c r="DC413" s="478"/>
      <c r="DD413" s="478"/>
      <c r="DE413" s="478"/>
      <c r="DF413" s="478"/>
      <c r="DG413" s="478"/>
      <c r="DH413" s="478"/>
      <c r="DI413" s="478"/>
    </row>
    <row r="414" spans="1:113" ht="16.05" hidden="1" customHeight="1" outlineLevel="1" x14ac:dyDescent="0.3">
      <c r="A414" s="455" t="str">
        <f t="shared" si="1441"/>
        <v/>
      </c>
      <c r="B414" s="455"/>
      <c r="C414" s="481"/>
      <c r="D414" s="463" t="str">
        <f t="shared" si="1442"/>
        <v>EXT-MAT-10</v>
      </c>
      <c r="E414" s="482"/>
      <c r="F414" s="483"/>
      <c r="G414" s="484"/>
      <c r="H414" s="485"/>
      <c r="I414" s="466">
        <f t="shared" si="1443"/>
        <v>0</v>
      </c>
      <c r="J414" s="259"/>
      <c r="K414" s="478">
        <f t="shared" si="1444"/>
        <v>0</v>
      </c>
      <c r="L414" s="466">
        <f t="shared" si="1445"/>
        <v>0</v>
      </c>
      <c r="M414" s="257"/>
      <c r="N414" s="478"/>
      <c r="O414" s="478"/>
      <c r="P414" s="478"/>
      <c r="Q414" s="478"/>
      <c r="R414" s="478"/>
      <c r="S414" s="478"/>
      <c r="T414" s="478"/>
      <c r="U414" s="478"/>
      <c r="V414" s="478"/>
      <c r="W414" s="478"/>
      <c r="X414" s="478"/>
      <c r="Y414" s="478"/>
      <c r="Z414" s="478"/>
      <c r="AA414" s="478"/>
      <c r="AB414" s="478"/>
      <c r="AC414" s="478"/>
      <c r="AD414" s="478"/>
      <c r="AE414" s="478"/>
      <c r="AF414" s="478"/>
      <c r="AG414" s="478"/>
      <c r="AH414" s="478"/>
      <c r="AI414" s="478"/>
      <c r="AJ414" s="478"/>
      <c r="AK414" s="478"/>
      <c r="AL414" s="478"/>
      <c r="AM414" s="478"/>
      <c r="AN414" s="478"/>
      <c r="AO414" s="478"/>
      <c r="AP414" s="478"/>
      <c r="AQ414" s="478"/>
      <c r="AR414" s="478"/>
      <c r="AS414" s="478"/>
      <c r="AT414" s="478"/>
      <c r="AU414" s="478"/>
      <c r="AV414" s="478"/>
      <c r="AW414" s="478"/>
      <c r="AX414" s="478"/>
      <c r="AY414" s="478"/>
      <c r="AZ414" s="478"/>
      <c r="BA414" s="478"/>
      <c r="BB414" s="478"/>
      <c r="BC414" s="478"/>
      <c r="BD414" s="478"/>
      <c r="BE414" s="478"/>
      <c r="BF414" s="478"/>
      <c r="BG414" s="478"/>
      <c r="BH414" s="478"/>
      <c r="BI414" s="478"/>
      <c r="BJ414" s="245"/>
      <c r="BK414" s="477">
        <f t="shared" si="1439"/>
        <v>0</v>
      </c>
      <c r="BL414" s="466">
        <f t="shared" si="1446"/>
        <v>0</v>
      </c>
      <c r="BM414" s="257"/>
      <c r="BN414" s="478"/>
      <c r="BO414" s="478"/>
      <c r="BP414" s="478"/>
      <c r="BQ414" s="478"/>
      <c r="BR414" s="478"/>
      <c r="BS414" s="478"/>
      <c r="BT414" s="478"/>
      <c r="BU414" s="478"/>
      <c r="BV414" s="478"/>
      <c r="BW414" s="478"/>
      <c r="BX414" s="478"/>
      <c r="BY414" s="478"/>
      <c r="BZ414" s="478"/>
      <c r="CA414" s="478"/>
      <c r="CB414" s="478"/>
      <c r="CC414" s="478"/>
      <c r="CD414" s="478"/>
      <c r="CE414" s="478"/>
      <c r="CF414" s="478"/>
      <c r="CG414" s="478"/>
      <c r="CH414" s="478"/>
      <c r="CI414" s="478"/>
      <c r="CJ414" s="478"/>
      <c r="CK414" s="478"/>
      <c r="CL414" s="478"/>
      <c r="CM414" s="478"/>
      <c r="CN414" s="478"/>
      <c r="CO414" s="478"/>
      <c r="CP414" s="478"/>
      <c r="CQ414" s="478"/>
      <c r="CR414" s="478"/>
      <c r="CS414" s="478"/>
      <c r="CT414" s="478"/>
      <c r="CU414" s="478"/>
      <c r="CV414" s="478"/>
      <c r="CW414" s="478"/>
      <c r="CX414" s="478"/>
      <c r="CY414" s="478"/>
      <c r="CZ414" s="478"/>
      <c r="DA414" s="478"/>
      <c r="DB414" s="478"/>
      <c r="DC414" s="478"/>
      <c r="DD414" s="478"/>
      <c r="DE414" s="478"/>
      <c r="DF414" s="478"/>
      <c r="DG414" s="478"/>
      <c r="DH414" s="478"/>
      <c r="DI414" s="478"/>
    </row>
    <row r="415" spans="1:113" ht="8.1" hidden="1" customHeight="1" outlineLevel="1" x14ac:dyDescent="0.3">
      <c r="A415" s="455" t="str">
        <f>IF(COUNTIF(A405:A414,"Imprimir")&gt;0,"Imprimir","")</f>
        <v/>
      </c>
      <c r="B415" s="625"/>
      <c r="C415" s="629"/>
      <c r="D415" s="630"/>
      <c r="E415" s="631"/>
      <c r="F415" s="631"/>
      <c r="G415" s="630"/>
      <c r="H415" s="630"/>
      <c r="I415" s="630"/>
      <c r="J415" s="626"/>
      <c r="K415" s="632"/>
      <c r="L415" s="633"/>
      <c r="M415" s="627"/>
      <c r="N415" s="632"/>
      <c r="O415" s="632"/>
      <c r="P415" s="632"/>
      <c r="Q415" s="632"/>
      <c r="R415" s="632"/>
      <c r="S415" s="632"/>
      <c r="T415" s="632"/>
      <c r="U415" s="632"/>
      <c r="V415" s="632"/>
      <c r="W415" s="632"/>
      <c r="X415" s="632"/>
      <c r="Y415" s="632"/>
      <c r="Z415" s="632"/>
      <c r="AA415" s="632"/>
      <c r="AB415" s="632"/>
      <c r="AC415" s="632"/>
      <c r="AD415" s="632"/>
      <c r="AE415" s="632"/>
      <c r="AF415" s="632"/>
      <c r="AG415" s="632"/>
      <c r="AH415" s="632"/>
      <c r="AI415" s="632"/>
      <c r="AJ415" s="632"/>
      <c r="AK415" s="632"/>
      <c r="AL415" s="632"/>
      <c r="AM415" s="634"/>
      <c r="AN415" s="632"/>
      <c r="AO415" s="632"/>
      <c r="AP415" s="632"/>
      <c r="AQ415" s="632"/>
      <c r="AR415" s="632"/>
      <c r="AS415" s="632"/>
      <c r="AT415" s="632"/>
      <c r="AU415" s="632"/>
      <c r="AV415" s="632"/>
      <c r="AW415" s="632"/>
      <c r="AX415" s="632"/>
      <c r="AY415" s="632"/>
      <c r="AZ415" s="632"/>
      <c r="BA415" s="632"/>
      <c r="BB415" s="632"/>
      <c r="BC415" s="632"/>
      <c r="BD415" s="632"/>
      <c r="BE415" s="632"/>
      <c r="BF415" s="632"/>
      <c r="BG415" s="632"/>
      <c r="BH415" s="632"/>
      <c r="BI415" s="632"/>
      <c r="BJ415" s="628"/>
      <c r="BK415" s="633"/>
      <c r="BL415" s="633"/>
      <c r="BM415" s="627"/>
      <c r="BN415" s="632"/>
      <c r="BO415" s="632"/>
      <c r="BP415" s="632"/>
      <c r="BQ415" s="632"/>
      <c r="BR415" s="632"/>
      <c r="BS415" s="632"/>
      <c r="BT415" s="632"/>
      <c r="BU415" s="632"/>
      <c r="BV415" s="632"/>
      <c r="BW415" s="632"/>
      <c r="BX415" s="632"/>
      <c r="BY415" s="632"/>
      <c r="BZ415" s="632"/>
      <c r="CA415" s="632"/>
      <c r="CB415" s="632"/>
      <c r="CC415" s="632"/>
      <c r="CD415" s="632"/>
      <c r="CE415" s="632"/>
      <c r="CF415" s="632"/>
      <c r="CG415" s="632"/>
      <c r="CH415" s="632"/>
      <c r="CI415" s="632"/>
      <c r="CJ415" s="632"/>
      <c r="CK415" s="632"/>
      <c r="CL415" s="632"/>
      <c r="CM415" s="632"/>
      <c r="CN415" s="632"/>
      <c r="CO415" s="632"/>
      <c r="CP415" s="632"/>
      <c r="CQ415" s="632"/>
      <c r="CR415" s="632"/>
      <c r="CS415" s="632"/>
      <c r="CT415" s="632"/>
      <c r="CU415" s="632"/>
      <c r="CV415" s="632"/>
      <c r="CW415" s="632"/>
      <c r="CX415" s="632"/>
      <c r="CY415" s="632"/>
      <c r="CZ415" s="632"/>
      <c r="DA415" s="632"/>
      <c r="DB415" s="632"/>
      <c r="DC415" s="632"/>
      <c r="DD415" s="632"/>
      <c r="DE415" s="632"/>
      <c r="DF415" s="632"/>
      <c r="DG415" s="632"/>
      <c r="DH415" s="632"/>
      <c r="DI415" s="634"/>
    </row>
    <row r="416" spans="1:113" ht="16.05" hidden="1" customHeight="1" collapsed="1" x14ac:dyDescent="0.3">
      <c r="A416" s="455" t="str">
        <f>IF(COUNTIF(A417:A426,"Imprimir")&gt;0,"Imprimir","")</f>
        <v/>
      </c>
      <c r="B416" s="455"/>
      <c r="C416" s="459"/>
      <c r="D416" s="459"/>
      <c r="E416" s="460"/>
      <c r="F416" s="460"/>
      <c r="G416" s="460"/>
      <c r="H416" s="465"/>
      <c r="I416" s="465">
        <f>SUBTOTAL(9,I417:I427)</f>
        <v>0</v>
      </c>
      <c r="J416" s="259"/>
      <c r="K416" s="465"/>
      <c r="L416" s="465">
        <f>SUBTOTAL(9,L417:L427)</f>
        <v>0</v>
      </c>
      <c r="M416" s="257"/>
      <c r="N416" s="465">
        <f>SUMPRODUCT(N417:N427,$H417:$H427)</f>
        <v>0</v>
      </c>
      <c r="O416" s="465">
        <f t="shared" ref="O416:AM416" si="1447">SUMPRODUCT(O417:O427,$H417:$H427)</f>
        <v>0</v>
      </c>
      <c r="P416" s="465">
        <f t="shared" si="1447"/>
        <v>0</v>
      </c>
      <c r="Q416" s="465">
        <f t="shared" si="1447"/>
        <v>0</v>
      </c>
      <c r="R416" s="465">
        <f t="shared" si="1447"/>
        <v>0</v>
      </c>
      <c r="S416" s="465">
        <f t="shared" si="1447"/>
        <v>0</v>
      </c>
      <c r="T416" s="465">
        <f t="shared" si="1447"/>
        <v>0</v>
      </c>
      <c r="U416" s="465">
        <f t="shared" si="1447"/>
        <v>0</v>
      </c>
      <c r="V416" s="465">
        <f t="shared" si="1447"/>
        <v>0</v>
      </c>
      <c r="W416" s="465">
        <f t="shared" si="1447"/>
        <v>0</v>
      </c>
      <c r="X416" s="465">
        <f t="shared" si="1447"/>
        <v>0</v>
      </c>
      <c r="Y416" s="465">
        <f t="shared" si="1447"/>
        <v>0</v>
      </c>
      <c r="Z416" s="465">
        <f t="shared" si="1447"/>
        <v>0</v>
      </c>
      <c r="AA416" s="465">
        <f t="shared" si="1447"/>
        <v>0</v>
      </c>
      <c r="AB416" s="465">
        <f t="shared" si="1447"/>
        <v>0</v>
      </c>
      <c r="AC416" s="465">
        <f t="shared" si="1447"/>
        <v>0</v>
      </c>
      <c r="AD416" s="465">
        <f t="shared" si="1447"/>
        <v>0</v>
      </c>
      <c r="AE416" s="465">
        <f t="shared" si="1447"/>
        <v>0</v>
      </c>
      <c r="AF416" s="465">
        <f t="shared" si="1447"/>
        <v>0</v>
      </c>
      <c r="AG416" s="465">
        <f t="shared" si="1447"/>
        <v>0</v>
      </c>
      <c r="AH416" s="465">
        <f t="shared" si="1447"/>
        <v>0</v>
      </c>
      <c r="AI416" s="465">
        <f t="shared" si="1447"/>
        <v>0</v>
      </c>
      <c r="AJ416" s="465">
        <f t="shared" si="1447"/>
        <v>0</v>
      </c>
      <c r="AK416" s="465">
        <f t="shared" si="1447"/>
        <v>0</v>
      </c>
      <c r="AL416" s="465">
        <f t="shared" si="1447"/>
        <v>0</v>
      </c>
      <c r="AM416" s="465">
        <f t="shared" si="1447"/>
        <v>0</v>
      </c>
      <c r="AN416" s="465">
        <f t="shared" ref="AN416:BI416" si="1448">SUMPRODUCT(AN417:AN437,$H417:$H437)</f>
        <v>0</v>
      </c>
      <c r="AO416" s="465">
        <f t="shared" si="1448"/>
        <v>0</v>
      </c>
      <c r="AP416" s="465">
        <f t="shared" si="1448"/>
        <v>0</v>
      </c>
      <c r="AQ416" s="465">
        <f t="shared" si="1448"/>
        <v>0</v>
      </c>
      <c r="AR416" s="465">
        <f t="shared" si="1448"/>
        <v>0</v>
      </c>
      <c r="AS416" s="465">
        <f t="shared" si="1448"/>
        <v>0</v>
      </c>
      <c r="AT416" s="465">
        <f t="shared" si="1448"/>
        <v>0</v>
      </c>
      <c r="AU416" s="465">
        <f t="shared" si="1448"/>
        <v>0</v>
      </c>
      <c r="AV416" s="465">
        <f t="shared" si="1448"/>
        <v>0</v>
      </c>
      <c r="AW416" s="465">
        <f t="shared" si="1448"/>
        <v>0</v>
      </c>
      <c r="AX416" s="465">
        <f t="shared" si="1448"/>
        <v>0</v>
      </c>
      <c r="AY416" s="465">
        <f t="shared" si="1448"/>
        <v>0</v>
      </c>
      <c r="AZ416" s="465">
        <f t="shared" si="1448"/>
        <v>0</v>
      </c>
      <c r="BA416" s="465">
        <f t="shared" si="1448"/>
        <v>0</v>
      </c>
      <c r="BB416" s="465">
        <f t="shared" si="1448"/>
        <v>0</v>
      </c>
      <c r="BC416" s="465">
        <f t="shared" si="1448"/>
        <v>0</v>
      </c>
      <c r="BD416" s="465">
        <f t="shared" si="1448"/>
        <v>0</v>
      </c>
      <c r="BE416" s="465">
        <f t="shared" si="1448"/>
        <v>0</v>
      </c>
      <c r="BF416" s="465">
        <f t="shared" si="1448"/>
        <v>0</v>
      </c>
      <c r="BG416" s="465">
        <f t="shared" si="1448"/>
        <v>0</v>
      </c>
      <c r="BH416" s="465">
        <f t="shared" si="1448"/>
        <v>0</v>
      </c>
      <c r="BI416" s="543">
        <f t="shared" si="1448"/>
        <v>0</v>
      </c>
      <c r="BJ416" s="546"/>
      <c r="BK416" s="475">
        <f t="shared" ref="BK416" si="1449">IFERROR(BL416/I416,0)</f>
        <v>0</v>
      </c>
      <c r="BL416" s="465">
        <f>SUBTOTAL(9,BL417:BL427)</f>
        <v>0</v>
      </c>
      <c r="BM416" s="257"/>
      <c r="BN416" s="465">
        <f>SUMPRODUCT(BN417:BN427,$H417:$H427)</f>
        <v>0</v>
      </c>
      <c r="BO416" s="465">
        <f t="shared" ref="BO416:DI416" si="1450">SUMPRODUCT(BO417:BO427,$H417:$H427)</f>
        <v>0</v>
      </c>
      <c r="BP416" s="465">
        <f t="shared" si="1450"/>
        <v>0</v>
      </c>
      <c r="BQ416" s="465">
        <f t="shared" si="1450"/>
        <v>0</v>
      </c>
      <c r="BR416" s="465">
        <f t="shared" si="1450"/>
        <v>0</v>
      </c>
      <c r="BS416" s="465">
        <f t="shared" si="1450"/>
        <v>0</v>
      </c>
      <c r="BT416" s="465">
        <f t="shared" si="1450"/>
        <v>0</v>
      </c>
      <c r="BU416" s="465">
        <f t="shared" si="1450"/>
        <v>0</v>
      </c>
      <c r="BV416" s="465">
        <f t="shared" si="1450"/>
        <v>0</v>
      </c>
      <c r="BW416" s="465">
        <f t="shared" si="1450"/>
        <v>0</v>
      </c>
      <c r="BX416" s="465">
        <f t="shared" si="1450"/>
        <v>0</v>
      </c>
      <c r="BY416" s="465">
        <f t="shared" si="1450"/>
        <v>0</v>
      </c>
      <c r="BZ416" s="465">
        <f t="shared" si="1450"/>
        <v>0</v>
      </c>
      <c r="CA416" s="465">
        <f t="shared" si="1450"/>
        <v>0</v>
      </c>
      <c r="CB416" s="465">
        <f t="shared" si="1450"/>
        <v>0</v>
      </c>
      <c r="CC416" s="465">
        <f t="shared" si="1450"/>
        <v>0</v>
      </c>
      <c r="CD416" s="465">
        <f t="shared" si="1450"/>
        <v>0</v>
      </c>
      <c r="CE416" s="465">
        <f t="shared" si="1450"/>
        <v>0</v>
      </c>
      <c r="CF416" s="465">
        <f t="shared" si="1450"/>
        <v>0</v>
      </c>
      <c r="CG416" s="465">
        <f t="shared" si="1450"/>
        <v>0</v>
      </c>
      <c r="CH416" s="465">
        <f t="shared" si="1450"/>
        <v>0</v>
      </c>
      <c r="CI416" s="465">
        <f t="shared" si="1450"/>
        <v>0</v>
      </c>
      <c r="CJ416" s="465">
        <f t="shared" si="1450"/>
        <v>0</v>
      </c>
      <c r="CK416" s="465">
        <f t="shared" si="1450"/>
        <v>0</v>
      </c>
      <c r="CL416" s="465">
        <f t="shared" si="1450"/>
        <v>0</v>
      </c>
      <c r="CM416" s="465">
        <f t="shared" si="1450"/>
        <v>0</v>
      </c>
      <c r="CN416" s="465">
        <f t="shared" si="1450"/>
        <v>0</v>
      </c>
      <c r="CO416" s="465">
        <f t="shared" si="1450"/>
        <v>0</v>
      </c>
      <c r="CP416" s="465">
        <f t="shared" si="1450"/>
        <v>0</v>
      </c>
      <c r="CQ416" s="465">
        <f t="shared" si="1450"/>
        <v>0</v>
      </c>
      <c r="CR416" s="465">
        <f t="shared" si="1450"/>
        <v>0</v>
      </c>
      <c r="CS416" s="465">
        <f t="shared" si="1450"/>
        <v>0</v>
      </c>
      <c r="CT416" s="465">
        <f t="shared" si="1450"/>
        <v>0</v>
      </c>
      <c r="CU416" s="465">
        <f t="shared" si="1450"/>
        <v>0</v>
      </c>
      <c r="CV416" s="465">
        <f t="shared" si="1450"/>
        <v>0</v>
      </c>
      <c r="CW416" s="465">
        <f t="shared" si="1450"/>
        <v>0</v>
      </c>
      <c r="CX416" s="465">
        <f t="shared" si="1450"/>
        <v>0</v>
      </c>
      <c r="CY416" s="465">
        <f t="shared" si="1450"/>
        <v>0</v>
      </c>
      <c r="CZ416" s="465">
        <f t="shared" si="1450"/>
        <v>0</v>
      </c>
      <c r="DA416" s="465">
        <f t="shared" si="1450"/>
        <v>0</v>
      </c>
      <c r="DB416" s="465">
        <f t="shared" si="1450"/>
        <v>0</v>
      </c>
      <c r="DC416" s="465">
        <f t="shared" si="1450"/>
        <v>0</v>
      </c>
      <c r="DD416" s="465">
        <f t="shared" si="1450"/>
        <v>0</v>
      </c>
      <c r="DE416" s="465">
        <f t="shared" si="1450"/>
        <v>0</v>
      </c>
      <c r="DF416" s="465">
        <f t="shared" si="1450"/>
        <v>0</v>
      </c>
      <c r="DG416" s="465">
        <f t="shared" si="1450"/>
        <v>0</v>
      </c>
      <c r="DH416" s="465">
        <f t="shared" si="1450"/>
        <v>0</v>
      </c>
      <c r="DI416" s="465">
        <f t="shared" si="1450"/>
        <v>0</v>
      </c>
    </row>
    <row r="417" spans="1:113" ht="16.05" hidden="1" customHeight="1" outlineLevel="1" x14ac:dyDescent="0.3">
      <c r="A417" s="455" t="str">
        <f t="shared" ref="A417:A426" si="1451">IF(E417="","","Imprimir")</f>
        <v/>
      </c>
      <c r="B417" s="455"/>
      <c r="C417" s="481"/>
      <c r="D417" s="463" t="str">
        <f t="shared" ref="D417:D426" si="1452">CONCATENATE("EXT-",MID($E$416,1,3),"-",IF((ROW(D417)-ROW($D$417)+1)&lt;10,CONCATENATE("0",(ROW(D417)-ROW($D$417)+1)),(ROW(D417)-ROW($D$417)+1)))</f>
        <v>EXT--01</v>
      </c>
      <c r="E417" s="482"/>
      <c r="F417" s="483"/>
      <c r="G417" s="484"/>
      <c r="H417" s="485"/>
      <c r="I417" s="466">
        <f t="shared" ref="I417:I426" si="1453">G417*H417</f>
        <v>0</v>
      </c>
      <c r="J417" s="259"/>
      <c r="K417" s="478">
        <f t="shared" ref="K417:K426" si="1454">SUM(N417:BI417)</f>
        <v>0</v>
      </c>
      <c r="L417" s="466">
        <f t="shared" ref="L417:L426" si="1455">K417*$H417</f>
        <v>0</v>
      </c>
      <c r="M417" s="257"/>
      <c r="N417" s="478"/>
      <c r="O417" s="478"/>
      <c r="P417" s="478"/>
      <c r="Q417" s="478"/>
      <c r="R417" s="478"/>
      <c r="S417" s="478"/>
      <c r="T417" s="478"/>
      <c r="U417" s="478"/>
      <c r="V417" s="478"/>
      <c r="W417" s="478"/>
      <c r="X417" s="478"/>
      <c r="Y417" s="478"/>
      <c r="Z417" s="478"/>
      <c r="AA417" s="478"/>
      <c r="AB417" s="478"/>
      <c r="AC417" s="478"/>
      <c r="AD417" s="478"/>
      <c r="AE417" s="478"/>
      <c r="AF417" s="478"/>
      <c r="AG417" s="478"/>
      <c r="AH417" s="478"/>
      <c r="AI417" s="478"/>
      <c r="AJ417" s="478"/>
      <c r="AK417" s="478"/>
      <c r="AL417" s="478"/>
      <c r="AM417" s="478"/>
      <c r="AN417" s="478"/>
      <c r="AO417" s="478"/>
      <c r="AP417" s="478"/>
      <c r="AQ417" s="478"/>
      <c r="AR417" s="478"/>
      <c r="AS417" s="478"/>
      <c r="AT417" s="478"/>
      <c r="AU417" s="478"/>
      <c r="AV417" s="478"/>
      <c r="AW417" s="478"/>
      <c r="AX417" s="478"/>
      <c r="AY417" s="478"/>
      <c r="AZ417" s="478"/>
      <c r="BA417" s="478"/>
      <c r="BB417" s="478"/>
      <c r="BC417" s="478"/>
      <c r="BD417" s="478"/>
      <c r="BE417" s="478"/>
      <c r="BF417" s="478"/>
      <c r="BG417" s="478"/>
      <c r="BH417" s="478"/>
      <c r="BI417" s="478"/>
      <c r="BJ417" s="245"/>
      <c r="BK417" s="477">
        <f t="shared" ref="BK417:BK426" si="1456">IFERROR(BL417/I417,0)</f>
        <v>0</v>
      </c>
      <c r="BL417" s="466">
        <f t="shared" ref="BL417:BL426" si="1457">SUM(BN417:DJ417)*$H417</f>
        <v>0</v>
      </c>
      <c r="BM417" s="257"/>
      <c r="BN417" s="478"/>
      <c r="BO417" s="478"/>
      <c r="BP417" s="478"/>
      <c r="BQ417" s="478"/>
      <c r="BR417" s="478"/>
      <c r="BS417" s="478"/>
      <c r="BT417" s="478"/>
      <c r="BU417" s="478"/>
      <c r="BV417" s="478"/>
      <c r="BW417" s="478"/>
      <c r="BX417" s="478"/>
      <c r="BY417" s="478"/>
      <c r="BZ417" s="478"/>
      <c r="CA417" s="478"/>
      <c r="CB417" s="478"/>
      <c r="CC417" s="478"/>
      <c r="CD417" s="478"/>
      <c r="CE417" s="478"/>
      <c r="CF417" s="478"/>
      <c r="CG417" s="478"/>
      <c r="CH417" s="478"/>
      <c r="CI417" s="478"/>
      <c r="CJ417" s="478"/>
      <c r="CK417" s="478"/>
      <c r="CL417" s="478"/>
      <c r="CM417" s="478"/>
      <c r="CN417" s="478"/>
      <c r="CO417" s="478"/>
      <c r="CP417" s="478"/>
      <c r="CQ417" s="478"/>
      <c r="CR417" s="478"/>
      <c r="CS417" s="478"/>
      <c r="CT417" s="478"/>
      <c r="CU417" s="478"/>
      <c r="CV417" s="478"/>
      <c r="CW417" s="478"/>
      <c r="CX417" s="478"/>
      <c r="CY417" s="478"/>
      <c r="CZ417" s="478"/>
      <c r="DA417" s="478"/>
      <c r="DB417" s="478"/>
      <c r="DC417" s="478"/>
      <c r="DD417" s="478"/>
      <c r="DE417" s="478"/>
      <c r="DF417" s="478"/>
      <c r="DG417" s="478"/>
      <c r="DH417" s="478"/>
      <c r="DI417" s="478"/>
    </row>
    <row r="418" spans="1:113" ht="16.05" hidden="1" customHeight="1" outlineLevel="1" x14ac:dyDescent="0.3">
      <c r="A418" s="455" t="str">
        <f t="shared" si="1451"/>
        <v/>
      </c>
      <c r="B418" s="455"/>
      <c r="C418" s="481"/>
      <c r="D418" s="463" t="str">
        <f t="shared" si="1452"/>
        <v>EXT--02</v>
      </c>
      <c r="E418" s="482"/>
      <c r="F418" s="483"/>
      <c r="G418" s="484"/>
      <c r="H418" s="485"/>
      <c r="I418" s="466">
        <f t="shared" si="1453"/>
        <v>0</v>
      </c>
      <c r="J418" s="259"/>
      <c r="K418" s="478">
        <f t="shared" si="1454"/>
        <v>0</v>
      </c>
      <c r="L418" s="466">
        <f t="shared" si="1455"/>
        <v>0</v>
      </c>
      <c r="M418" s="257"/>
      <c r="N418" s="478"/>
      <c r="O418" s="478"/>
      <c r="P418" s="478"/>
      <c r="Q418" s="478"/>
      <c r="R418" s="478"/>
      <c r="S418" s="478"/>
      <c r="T418" s="478"/>
      <c r="U418" s="478"/>
      <c r="V418" s="478"/>
      <c r="W418" s="478"/>
      <c r="X418" s="478"/>
      <c r="Y418" s="478"/>
      <c r="Z418" s="478"/>
      <c r="AA418" s="478"/>
      <c r="AB418" s="478"/>
      <c r="AC418" s="478"/>
      <c r="AD418" s="478"/>
      <c r="AE418" s="478"/>
      <c r="AF418" s="478"/>
      <c r="AG418" s="478"/>
      <c r="AH418" s="478"/>
      <c r="AI418" s="478"/>
      <c r="AJ418" s="478"/>
      <c r="AK418" s="478"/>
      <c r="AL418" s="478"/>
      <c r="AM418" s="478"/>
      <c r="AN418" s="478"/>
      <c r="AO418" s="478"/>
      <c r="AP418" s="478"/>
      <c r="AQ418" s="478"/>
      <c r="AR418" s="478"/>
      <c r="AS418" s="478"/>
      <c r="AT418" s="478"/>
      <c r="AU418" s="478"/>
      <c r="AV418" s="478"/>
      <c r="AW418" s="478"/>
      <c r="AX418" s="478"/>
      <c r="AY418" s="478"/>
      <c r="AZ418" s="478"/>
      <c r="BA418" s="478"/>
      <c r="BB418" s="478"/>
      <c r="BC418" s="478"/>
      <c r="BD418" s="478"/>
      <c r="BE418" s="478"/>
      <c r="BF418" s="478"/>
      <c r="BG418" s="478"/>
      <c r="BH418" s="478"/>
      <c r="BI418" s="478"/>
      <c r="BJ418" s="245"/>
      <c r="BK418" s="477">
        <f t="shared" si="1456"/>
        <v>0</v>
      </c>
      <c r="BL418" s="466">
        <f t="shared" si="1457"/>
        <v>0</v>
      </c>
      <c r="BM418" s="257"/>
      <c r="BN418" s="478"/>
      <c r="BO418" s="478"/>
      <c r="BP418" s="478"/>
      <c r="BQ418" s="478"/>
      <c r="BR418" s="478"/>
      <c r="BS418" s="478"/>
      <c r="BT418" s="478"/>
      <c r="BU418" s="478"/>
      <c r="BV418" s="478"/>
      <c r="BW418" s="478"/>
      <c r="BX418" s="478"/>
      <c r="BY418" s="478"/>
      <c r="BZ418" s="478"/>
      <c r="CA418" s="478"/>
      <c r="CB418" s="478"/>
      <c r="CC418" s="478"/>
      <c r="CD418" s="478"/>
      <c r="CE418" s="478"/>
      <c r="CF418" s="478"/>
      <c r="CG418" s="478"/>
      <c r="CH418" s="478"/>
      <c r="CI418" s="478"/>
      <c r="CJ418" s="478"/>
      <c r="CK418" s="478"/>
      <c r="CL418" s="478"/>
      <c r="CM418" s="478"/>
      <c r="CN418" s="478"/>
      <c r="CO418" s="478"/>
      <c r="CP418" s="478"/>
      <c r="CQ418" s="478"/>
      <c r="CR418" s="478"/>
      <c r="CS418" s="478"/>
      <c r="CT418" s="478"/>
      <c r="CU418" s="478"/>
      <c r="CV418" s="478"/>
      <c r="CW418" s="478"/>
      <c r="CX418" s="478"/>
      <c r="CY418" s="478"/>
      <c r="CZ418" s="478"/>
      <c r="DA418" s="478"/>
      <c r="DB418" s="478"/>
      <c r="DC418" s="478"/>
      <c r="DD418" s="478"/>
      <c r="DE418" s="478"/>
      <c r="DF418" s="478"/>
      <c r="DG418" s="478"/>
      <c r="DH418" s="478"/>
      <c r="DI418" s="478"/>
    </row>
    <row r="419" spans="1:113" ht="16.05" hidden="1" customHeight="1" outlineLevel="1" x14ac:dyDescent="0.3">
      <c r="A419" s="455" t="str">
        <f t="shared" si="1451"/>
        <v/>
      </c>
      <c r="B419" s="455"/>
      <c r="C419" s="481"/>
      <c r="D419" s="463" t="str">
        <f t="shared" si="1452"/>
        <v>EXT--03</v>
      </c>
      <c r="E419" s="482"/>
      <c r="F419" s="483"/>
      <c r="G419" s="484"/>
      <c r="H419" s="485"/>
      <c r="I419" s="466">
        <f t="shared" si="1453"/>
        <v>0</v>
      </c>
      <c r="J419" s="259"/>
      <c r="K419" s="478">
        <f t="shared" si="1454"/>
        <v>0</v>
      </c>
      <c r="L419" s="466">
        <f t="shared" si="1455"/>
        <v>0</v>
      </c>
      <c r="M419" s="257"/>
      <c r="N419" s="478"/>
      <c r="O419" s="478"/>
      <c r="P419" s="478"/>
      <c r="Q419" s="478"/>
      <c r="R419" s="478"/>
      <c r="S419" s="478"/>
      <c r="T419" s="478"/>
      <c r="U419" s="478"/>
      <c r="V419" s="478"/>
      <c r="W419" s="478"/>
      <c r="X419" s="478"/>
      <c r="Y419" s="478"/>
      <c r="Z419" s="478"/>
      <c r="AA419" s="478"/>
      <c r="AB419" s="478"/>
      <c r="AC419" s="478"/>
      <c r="AD419" s="478"/>
      <c r="AE419" s="478"/>
      <c r="AF419" s="478"/>
      <c r="AG419" s="478"/>
      <c r="AH419" s="478"/>
      <c r="AI419" s="478"/>
      <c r="AJ419" s="478"/>
      <c r="AK419" s="478"/>
      <c r="AL419" s="478"/>
      <c r="AM419" s="478"/>
      <c r="AN419" s="478"/>
      <c r="AO419" s="478"/>
      <c r="AP419" s="478"/>
      <c r="AQ419" s="478"/>
      <c r="AR419" s="478"/>
      <c r="AS419" s="478"/>
      <c r="AT419" s="478"/>
      <c r="AU419" s="478"/>
      <c r="AV419" s="478"/>
      <c r="AW419" s="478"/>
      <c r="AX419" s="478"/>
      <c r="AY419" s="478"/>
      <c r="AZ419" s="478"/>
      <c r="BA419" s="478"/>
      <c r="BB419" s="478"/>
      <c r="BC419" s="478"/>
      <c r="BD419" s="478"/>
      <c r="BE419" s="478"/>
      <c r="BF419" s="478"/>
      <c r="BG419" s="478"/>
      <c r="BH419" s="478"/>
      <c r="BI419" s="478"/>
      <c r="BJ419" s="245"/>
      <c r="BK419" s="477">
        <f t="shared" si="1456"/>
        <v>0</v>
      </c>
      <c r="BL419" s="466">
        <f t="shared" si="1457"/>
        <v>0</v>
      </c>
      <c r="BM419" s="257"/>
      <c r="BN419" s="478"/>
      <c r="BO419" s="478"/>
      <c r="BP419" s="478"/>
      <c r="BQ419" s="478"/>
      <c r="BR419" s="478"/>
      <c r="BS419" s="478"/>
      <c r="BT419" s="478"/>
      <c r="BU419" s="478"/>
      <c r="BV419" s="478"/>
      <c r="BW419" s="478"/>
      <c r="BX419" s="478"/>
      <c r="BY419" s="478"/>
      <c r="BZ419" s="478"/>
      <c r="CA419" s="478"/>
      <c r="CB419" s="478"/>
      <c r="CC419" s="478"/>
      <c r="CD419" s="478"/>
      <c r="CE419" s="478"/>
      <c r="CF419" s="478"/>
      <c r="CG419" s="478"/>
      <c r="CH419" s="478"/>
      <c r="CI419" s="478"/>
      <c r="CJ419" s="478"/>
      <c r="CK419" s="478"/>
      <c r="CL419" s="478"/>
      <c r="CM419" s="478"/>
      <c r="CN419" s="478"/>
      <c r="CO419" s="478"/>
      <c r="CP419" s="478"/>
      <c r="CQ419" s="478"/>
      <c r="CR419" s="478"/>
      <c r="CS419" s="478"/>
      <c r="CT419" s="478"/>
      <c r="CU419" s="478"/>
      <c r="CV419" s="478"/>
      <c r="CW419" s="478"/>
      <c r="CX419" s="478"/>
      <c r="CY419" s="478"/>
      <c r="CZ419" s="478"/>
      <c r="DA419" s="478"/>
      <c r="DB419" s="478"/>
      <c r="DC419" s="478"/>
      <c r="DD419" s="478"/>
      <c r="DE419" s="478"/>
      <c r="DF419" s="478"/>
      <c r="DG419" s="478"/>
      <c r="DH419" s="478"/>
      <c r="DI419" s="478"/>
    </row>
    <row r="420" spans="1:113" ht="16.05" hidden="1" customHeight="1" outlineLevel="1" x14ac:dyDescent="0.3">
      <c r="A420" s="455" t="str">
        <f t="shared" si="1451"/>
        <v/>
      </c>
      <c r="B420" s="455"/>
      <c r="C420" s="481"/>
      <c r="D420" s="463" t="str">
        <f t="shared" si="1452"/>
        <v>EXT--04</v>
      </c>
      <c r="E420" s="482"/>
      <c r="F420" s="483"/>
      <c r="G420" s="484"/>
      <c r="H420" s="485"/>
      <c r="I420" s="466">
        <f t="shared" si="1453"/>
        <v>0</v>
      </c>
      <c r="J420" s="259"/>
      <c r="K420" s="478">
        <f t="shared" si="1454"/>
        <v>0</v>
      </c>
      <c r="L420" s="466">
        <f t="shared" si="1455"/>
        <v>0</v>
      </c>
      <c r="M420" s="257"/>
      <c r="N420" s="478"/>
      <c r="O420" s="478"/>
      <c r="P420" s="478"/>
      <c r="Q420" s="478"/>
      <c r="R420" s="478"/>
      <c r="S420" s="478"/>
      <c r="T420" s="478"/>
      <c r="U420" s="478"/>
      <c r="V420" s="478"/>
      <c r="W420" s="478"/>
      <c r="X420" s="478"/>
      <c r="Y420" s="478"/>
      <c r="Z420" s="478"/>
      <c r="AA420" s="478"/>
      <c r="AB420" s="478"/>
      <c r="AC420" s="478"/>
      <c r="AD420" s="478"/>
      <c r="AE420" s="478"/>
      <c r="AF420" s="478"/>
      <c r="AG420" s="478"/>
      <c r="AH420" s="478"/>
      <c r="AI420" s="478"/>
      <c r="AJ420" s="478"/>
      <c r="AK420" s="478"/>
      <c r="AL420" s="478"/>
      <c r="AM420" s="478"/>
      <c r="AN420" s="478"/>
      <c r="AO420" s="478"/>
      <c r="AP420" s="478"/>
      <c r="AQ420" s="478"/>
      <c r="AR420" s="478"/>
      <c r="AS420" s="478"/>
      <c r="AT420" s="478"/>
      <c r="AU420" s="478"/>
      <c r="AV420" s="478"/>
      <c r="AW420" s="478"/>
      <c r="AX420" s="478"/>
      <c r="AY420" s="478"/>
      <c r="AZ420" s="478"/>
      <c r="BA420" s="478"/>
      <c r="BB420" s="478"/>
      <c r="BC420" s="478"/>
      <c r="BD420" s="478"/>
      <c r="BE420" s="478"/>
      <c r="BF420" s="478"/>
      <c r="BG420" s="478"/>
      <c r="BH420" s="478"/>
      <c r="BI420" s="478"/>
      <c r="BJ420" s="245"/>
      <c r="BK420" s="477">
        <f t="shared" si="1456"/>
        <v>0</v>
      </c>
      <c r="BL420" s="466">
        <f t="shared" si="1457"/>
        <v>0</v>
      </c>
      <c r="BM420" s="257"/>
      <c r="BN420" s="478"/>
      <c r="BO420" s="478"/>
      <c r="BP420" s="478"/>
      <c r="BQ420" s="478"/>
      <c r="BR420" s="478"/>
      <c r="BS420" s="478"/>
      <c r="BT420" s="478"/>
      <c r="BU420" s="478"/>
      <c r="BV420" s="478"/>
      <c r="BW420" s="478"/>
      <c r="BX420" s="478"/>
      <c r="BY420" s="478"/>
      <c r="BZ420" s="478"/>
      <c r="CA420" s="478"/>
      <c r="CB420" s="478"/>
      <c r="CC420" s="478"/>
      <c r="CD420" s="478"/>
      <c r="CE420" s="478"/>
      <c r="CF420" s="478"/>
      <c r="CG420" s="478"/>
      <c r="CH420" s="478"/>
      <c r="CI420" s="478"/>
      <c r="CJ420" s="478"/>
      <c r="CK420" s="478"/>
      <c r="CL420" s="478"/>
      <c r="CM420" s="478"/>
      <c r="CN420" s="478"/>
      <c r="CO420" s="478"/>
      <c r="CP420" s="478"/>
      <c r="CQ420" s="478"/>
      <c r="CR420" s="478"/>
      <c r="CS420" s="478"/>
      <c r="CT420" s="478"/>
      <c r="CU420" s="478"/>
      <c r="CV420" s="478"/>
      <c r="CW420" s="478"/>
      <c r="CX420" s="478"/>
      <c r="CY420" s="478"/>
      <c r="CZ420" s="478"/>
      <c r="DA420" s="478"/>
      <c r="DB420" s="478"/>
      <c r="DC420" s="478"/>
      <c r="DD420" s="478"/>
      <c r="DE420" s="478"/>
      <c r="DF420" s="478"/>
      <c r="DG420" s="478"/>
      <c r="DH420" s="478"/>
      <c r="DI420" s="478"/>
    </row>
    <row r="421" spans="1:113" ht="16.05" hidden="1" customHeight="1" outlineLevel="1" x14ac:dyDescent="0.3">
      <c r="A421" s="455" t="str">
        <f t="shared" si="1451"/>
        <v/>
      </c>
      <c r="B421" s="455"/>
      <c r="C421" s="481"/>
      <c r="D421" s="463" t="str">
        <f t="shared" si="1452"/>
        <v>EXT--05</v>
      </c>
      <c r="E421" s="482"/>
      <c r="F421" s="483"/>
      <c r="G421" s="484"/>
      <c r="H421" s="485"/>
      <c r="I421" s="466">
        <f t="shared" si="1453"/>
        <v>0</v>
      </c>
      <c r="J421" s="259"/>
      <c r="K421" s="478">
        <f t="shared" si="1454"/>
        <v>0</v>
      </c>
      <c r="L421" s="466">
        <f t="shared" si="1455"/>
        <v>0</v>
      </c>
      <c r="M421" s="257"/>
      <c r="N421" s="478"/>
      <c r="O421" s="478"/>
      <c r="P421" s="478"/>
      <c r="Q421" s="478"/>
      <c r="R421" s="478"/>
      <c r="S421" s="478"/>
      <c r="T421" s="478"/>
      <c r="U421" s="478"/>
      <c r="V421" s="478"/>
      <c r="W421" s="478"/>
      <c r="X421" s="478"/>
      <c r="Y421" s="478"/>
      <c r="Z421" s="478"/>
      <c r="AA421" s="478"/>
      <c r="AB421" s="478"/>
      <c r="AC421" s="478"/>
      <c r="AD421" s="478"/>
      <c r="AE421" s="478"/>
      <c r="AF421" s="478"/>
      <c r="AG421" s="478"/>
      <c r="AH421" s="478"/>
      <c r="AI421" s="478"/>
      <c r="AJ421" s="478"/>
      <c r="AK421" s="478"/>
      <c r="AL421" s="478"/>
      <c r="AM421" s="478"/>
      <c r="AN421" s="478"/>
      <c r="AO421" s="478"/>
      <c r="AP421" s="478"/>
      <c r="AQ421" s="478"/>
      <c r="AR421" s="478"/>
      <c r="AS421" s="478"/>
      <c r="AT421" s="478"/>
      <c r="AU421" s="478"/>
      <c r="AV421" s="478"/>
      <c r="AW421" s="478"/>
      <c r="AX421" s="478"/>
      <c r="AY421" s="478"/>
      <c r="AZ421" s="478"/>
      <c r="BA421" s="478"/>
      <c r="BB421" s="478"/>
      <c r="BC421" s="478"/>
      <c r="BD421" s="478"/>
      <c r="BE421" s="478"/>
      <c r="BF421" s="478"/>
      <c r="BG421" s="478"/>
      <c r="BH421" s="478"/>
      <c r="BI421" s="478"/>
      <c r="BJ421" s="245"/>
      <c r="BK421" s="477">
        <f t="shared" si="1456"/>
        <v>0</v>
      </c>
      <c r="BL421" s="466">
        <f t="shared" si="1457"/>
        <v>0</v>
      </c>
      <c r="BM421" s="257"/>
      <c r="BN421" s="478"/>
      <c r="BO421" s="478"/>
      <c r="BP421" s="478"/>
      <c r="BQ421" s="478"/>
      <c r="BR421" s="478"/>
      <c r="BS421" s="478"/>
      <c r="BT421" s="478"/>
      <c r="BU421" s="478"/>
      <c r="BV421" s="478"/>
      <c r="BW421" s="478"/>
      <c r="BX421" s="478"/>
      <c r="BY421" s="478"/>
      <c r="BZ421" s="478"/>
      <c r="CA421" s="478"/>
      <c r="CB421" s="478"/>
      <c r="CC421" s="478"/>
      <c r="CD421" s="478"/>
      <c r="CE421" s="478"/>
      <c r="CF421" s="478"/>
      <c r="CG421" s="478"/>
      <c r="CH421" s="478"/>
      <c r="CI421" s="478"/>
      <c r="CJ421" s="478"/>
      <c r="CK421" s="478"/>
      <c r="CL421" s="478"/>
      <c r="CM421" s="478"/>
      <c r="CN421" s="478"/>
      <c r="CO421" s="478"/>
      <c r="CP421" s="478"/>
      <c r="CQ421" s="478"/>
      <c r="CR421" s="478"/>
      <c r="CS421" s="478"/>
      <c r="CT421" s="478"/>
      <c r="CU421" s="478"/>
      <c r="CV421" s="478"/>
      <c r="CW421" s="478"/>
      <c r="CX421" s="478"/>
      <c r="CY421" s="478"/>
      <c r="CZ421" s="478"/>
      <c r="DA421" s="478"/>
      <c r="DB421" s="478"/>
      <c r="DC421" s="478"/>
      <c r="DD421" s="478"/>
      <c r="DE421" s="478"/>
      <c r="DF421" s="478"/>
      <c r="DG421" s="478"/>
      <c r="DH421" s="478"/>
      <c r="DI421" s="478"/>
    </row>
    <row r="422" spans="1:113" ht="16.05" hidden="1" customHeight="1" outlineLevel="1" x14ac:dyDescent="0.3">
      <c r="A422" s="455" t="str">
        <f t="shared" si="1451"/>
        <v/>
      </c>
      <c r="B422" s="455"/>
      <c r="C422" s="481"/>
      <c r="D422" s="463" t="str">
        <f t="shared" si="1452"/>
        <v>EXT--06</v>
      </c>
      <c r="E422" s="482"/>
      <c r="F422" s="483"/>
      <c r="G422" s="484"/>
      <c r="H422" s="485"/>
      <c r="I422" s="466">
        <f t="shared" si="1453"/>
        <v>0</v>
      </c>
      <c r="J422" s="259"/>
      <c r="K422" s="478">
        <f t="shared" si="1454"/>
        <v>0</v>
      </c>
      <c r="L422" s="466">
        <f t="shared" si="1455"/>
        <v>0</v>
      </c>
      <c r="M422" s="257"/>
      <c r="N422" s="478"/>
      <c r="O422" s="478"/>
      <c r="P422" s="478"/>
      <c r="Q422" s="478"/>
      <c r="R422" s="478"/>
      <c r="S422" s="478"/>
      <c r="T422" s="478"/>
      <c r="U422" s="478"/>
      <c r="V422" s="478"/>
      <c r="W422" s="478"/>
      <c r="X422" s="478"/>
      <c r="Y422" s="478"/>
      <c r="Z422" s="478"/>
      <c r="AA422" s="478"/>
      <c r="AB422" s="478"/>
      <c r="AC422" s="478"/>
      <c r="AD422" s="478"/>
      <c r="AE422" s="478"/>
      <c r="AF422" s="478"/>
      <c r="AG422" s="478"/>
      <c r="AH422" s="478"/>
      <c r="AI422" s="478"/>
      <c r="AJ422" s="478"/>
      <c r="AK422" s="478"/>
      <c r="AL422" s="478"/>
      <c r="AM422" s="478"/>
      <c r="AN422" s="478"/>
      <c r="AO422" s="478"/>
      <c r="AP422" s="478"/>
      <c r="AQ422" s="478"/>
      <c r="AR422" s="478"/>
      <c r="AS422" s="478"/>
      <c r="AT422" s="478"/>
      <c r="AU422" s="478"/>
      <c r="AV422" s="478"/>
      <c r="AW422" s="478"/>
      <c r="AX422" s="478"/>
      <c r="AY422" s="478"/>
      <c r="AZ422" s="478"/>
      <c r="BA422" s="478"/>
      <c r="BB422" s="478"/>
      <c r="BC422" s="478"/>
      <c r="BD422" s="478"/>
      <c r="BE422" s="478"/>
      <c r="BF422" s="478"/>
      <c r="BG422" s="478"/>
      <c r="BH422" s="478"/>
      <c r="BI422" s="478"/>
      <c r="BJ422" s="245"/>
      <c r="BK422" s="477">
        <f t="shared" si="1456"/>
        <v>0</v>
      </c>
      <c r="BL422" s="466">
        <f t="shared" si="1457"/>
        <v>0</v>
      </c>
      <c r="BM422" s="257"/>
      <c r="BN422" s="478"/>
      <c r="BO422" s="478"/>
      <c r="BP422" s="478"/>
      <c r="BQ422" s="478"/>
      <c r="BR422" s="478"/>
      <c r="BS422" s="478"/>
      <c r="BT422" s="478"/>
      <c r="BU422" s="478"/>
      <c r="BV422" s="478"/>
      <c r="BW422" s="478"/>
      <c r="BX422" s="478"/>
      <c r="BY422" s="478"/>
      <c r="BZ422" s="478"/>
      <c r="CA422" s="478"/>
      <c r="CB422" s="478"/>
      <c r="CC422" s="478"/>
      <c r="CD422" s="478"/>
      <c r="CE422" s="478"/>
      <c r="CF422" s="478"/>
      <c r="CG422" s="478"/>
      <c r="CH422" s="478"/>
      <c r="CI422" s="478"/>
      <c r="CJ422" s="478"/>
      <c r="CK422" s="478"/>
      <c r="CL422" s="478"/>
      <c r="CM422" s="478"/>
      <c r="CN422" s="478"/>
      <c r="CO422" s="478"/>
      <c r="CP422" s="478"/>
      <c r="CQ422" s="478"/>
      <c r="CR422" s="478"/>
      <c r="CS422" s="478"/>
      <c r="CT422" s="478"/>
      <c r="CU422" s="478"/>
      <c r="CV422" s="478"/>
      <c r="CW422" s="478"/>
      <c r="CX422" s="478"/>
      <c r="CY422" s="478"/>
      <c r="CZ422" s="478"/>
      <c r="DA422" s="478"/>
      <c r="DB422" s="478"/>
      <c r="DC422" s="478"/>
      <c r="DD422" s="478"/>
      <c r="DE422" s="478"/>
      <c r="DF422" s="478"/>
      <c r="DG422" s="478"/>
      <c r="DH422" s="478"/>
      <c r="DI422" s="478"/>
    </row>
    <row r="423" spans="1:113" ht="16.05" hidden="1" customHeight="1" outlineLevel="1" x14ac:dyDescent="0.3">
      <c r="A423" s="455" t="str">
        <f t="shared" si="1451"/>
        <v/>
      </c>
      <c r="B423" s="455"/>
      <c r="C423" s="481"/>
      <c r="D423" s="463" t="str">
        <f t="shared" si="1452"/>
        <v>EXT--07</v>
      </c>
      <c r="E423" s="482"/>
      <c r="F423" s="483"/>
      <c r="G423" s="484"/>
      <c r="H423" s="485"/>
      <c r="I423" s="466">
        <f t="shared" si="1453"/>
        <v>0</v>
      </c>
      <c r="J423" s="259"/>
      <c r="K423" s="478">
        <f t="shared" si="1454"/>
        <v>0</v>
      </c>
      <c r="L423" s="466">
        <f t="shared" si="1455"/>
        <v>0</v>
      </c>
      <c r="M423" s="257"/>
      <c r="N423" s="478"/>
      <c r="O423" s="478"/>
      <c r="P423" s="478"/>
      <c r="Q423" s="478"/>
      <c r="R423" s="478"/>
      <c r="S423" s="478"/>
      <c r="T423" s="478"/>
      <c r="U423" s="478"/>
      <c r="V423" s="478"/>
      <c r="W423" s="478"/>
      <c r="X423" s="478"/>
      <c r="Y423" s="478"/>
      <c r="Z423" s="478"/>
      <c r="AA423" s="478"/>
      <c r="AB423" s="478"/>
      <c r="AC423" s="478"/>
      <c r="AD423" s="478"/>
      <c r="AE423" s="478"/>
      <c r="AF423" s="478"/>
      <c r="AG423" s="478"/>
      <c r="AH423" s="478"/>
      <c r="AI423" s="478"/>
      <c r="AJ423" s="478"/>
      <c r="AK423" s="478"/>
      <c r="AL423" s="478"/>
      <c r="AM423" s="478"/>
      <c r="AN423" s="478"/>
      <c r="AO423" s="478"/>
      <c r="AP423" s="478"/>
      <c r="AQ423" s="478"/>
      <c r="AR423" s="478"/>
      <c r="AS423" s="478"/>
      <c r="AT423" s="478"/>
      <c r="AU423" s="478"/>
      <c r="AV423" s="478"/>
      <c r="AW423" s="478"/>
      <c r="AX423" s="478"/>
      <c r="AY423" s="478"/>
      <c r="AZ423" s="478"/>
      <c r="BA423" s="478"/>
      <c r="BB423" s="478"/>
      <c r="BC423" s="478"/>
      <c r="BD423" s="478"/>
      <c r="BE423" s="478"/>
      <c r="BF423" s="478"/>
      <c r="BG423" s="478"/>
      <c r="BH423" s="478"/>
      <c r="BI423" s="478"/>
      <c r="BJ423" s="245"/>
      <c r="BK423" s="477">
        <f t="shared" si="1456"/>
        <v>0</v>
      </c>
      <c r="BL423" s="466">
        <f t="shared" si="1457"/>
        <v>0</v>
      </c>
      <c r="BM423" s="257"/>
      <c r="BN423" s="478"/>
      <c r="BO423" s="478"/>
      <c r="BP423" s="478"/>
      <c r="BQ423" s="478"/>
      <c r="BR423" s="478"/>
      <c r="BS423" s="478"/>
      <c r="BT423" s="478"/>
      <c r="BU423" s="478"/>
      <c r="BV423" s="478"/>
      <c r="BW423" s="478"/>
      <c r="BX423" s="478"/>
      <c r="BY423" s="478"/>
      <c r="BZ423" s="478"/>
      <c r="CA423" s="478"/>
      <c r="CB423" s="478"/>
      <c r="CC423" s="478"/>
      <c r="CD423" s="478"/>
      <c r="CE423" s="478"/>
      <c r="CF423" s="478"/>
      <c r="CG423" s="478"/>
      <c r="CH423" s="478"/>
      <c r="CI423" s="478"/>
      <c r="CJ423" s="478"/>
      <c r="CK423" s="478"/>
      <c r="CL423" s="478"/>
      <c r="CM423" s="478"/>
      <c r="CN423" s="478"/>
      <c r="CO423" s="478"/>
      <c r="CP423" s="478"/>
      <c r="CQ423" s="478"/>
      <c r="CR423" s="478"/>
      <c r="CS423" s="478"/>
      <c r="CT423" s="478"/>
      <c r="CU423" s="478"/>
      <c r="CV423" s="478"/>
      <c r="CW423" s="478"/>
      <c r="CX423" s="478"/>
      <c r="CY423" s="478"/>
      <c r="CZ423" s="478"/>
      <c r="DA423" s="478"/>
      <c r="DB423" s="478"/>
      <c r="DC423" s="478"/>
      <c r="DD423" s="478"/>
      <c r="DE423" s="478"/>
      <c r="DF423" s="478"/>
      <c r="DG423" s="478"/>
      <c r="DH423" s="478"/>
      <c r="DI423" s="478"/>
    </row>
    <row r="424" spans="1:113" ht="16.05" hidden="1" customHeight="1" outlineLevel="1" x14ac:dyDescent="0.3">
      <c r="A424" s="455" t="str">
        <f t="shared" si="1451"/>
        <v/>
      </c>
      <c r="B424" s="455"/>
      <c r="C424" s="481"/>
      <c r="D424" s="463" t="str">
        <f t="shared" si="1452"/>
        <v>EXT--08</v>
      </c>
      <c r="E424" s="482"/>
      <c r="F424" s="483"/>
      <c r="G424" s="484"/>
      <c r="H424" s="485"/>
      <c r="I424" s="466">
        <f t="shared" si="1453"/>
        <v>0</v>
      </c>
      <c r="J424" s="259"/>
      <c r="K424" s="478">
        <f t="shared" si="1454"/>
        <v>0</v>
      </c>
      <c r="L424" s="466">
        <f t="shared" si="1455"/>
        <v>0</v>
      </c>
      <c r="M424" s="257"/>
      <c r="N424" s="478"/>
      <c r="O424" s="478"/>
      <c r="P424" s="478"/>
      <c r="Q424" s="478"/>
      <c r="R424" s="478"/>
      <c r="S424" s="478"/>
      <c r="T424" s="478"/>
      <c r="U424" s="478"/>
      <c r="V424" s="478"/>
      <c r="W424" s="478"/>
      <c r="X424" s="478"/>
      <c r="Y424" s="478"/>
      <c r="Z424" s="478"/>
      <c r="AA424" s="478"/>
      <c r="AB424" s="478"/>
      <c r="AC424" s="478"/>
      <c r="AD424" s="478"/>
      <c r="AE424" s="478"/>
      <c r="AF424" s="478"/>
      <c r="AG424" s="478"/>
      <c r="AH424" s="478"/>
      <c r="AI424" s="478"/>
      <c r="AJ424" s="478"/>
      <c r="AK424" s="478"/>
      <c r="AL424" s="478"/>
      <c r="AM424" s="478"/>
      <c r="AN424" s="478"/>
      <c r="AO424" s="478"/>
      <c r="AP424" s="478"/>
      <c r="AQ424" s="478"/>
      <c r="AR424" s="478"/>
      <c r="AS424" s="478"/>
      <c r="AT424" s="478"/>
      <c r="AU424" s="478"/>
      <c r="AV424" s="478"/>
      <c r="AW424" s="478"/>
      <c r="AX424" s="478"/>
      <c r="AY424" s="478"/>
      <c r="AZ424" s="478"/>
      <c r="BA424" s="478"/>
      <c r="BB424" s="478"/>
      <c r="BC424" s="478"/>
      <c r="BD424" s="478"/>
      <c r="BE424" s="478"/>
      <c r="BF424" s="478"/>
      <c r="BG424" s="478"/>
      <c r="BH424" s="478"/>
      <c r="BI424" s="478"/>
      <c r="BJ424" s="245"/>
      <c r="BK424" s="477">
        <f t="shared" si="1456"/>
        <v>0</v>
      </c>
      <c r="BL424" s="466">
        <f t="shared" si="1457"/>
        <v>0</v>
      </c>
      <c r="BM424" s="257"/>
      <c r="BN424" s="478"/>
      <c r="BO424" s="478"/>
      <c r="BP424" s="478"/>
      <c r="BQ424" s="478"/>
      <c r="BR424" s="478"/>
      <c r="BS424" s="478"/>
      <c r="BT424" s="478"/>
      <c r="BU424" s="478"/>
      <c r="BV424" s="478"/>
      <c r="BW424" s="478"/>
      <c r="BX424" s="478"/>
      <c r="BY424" s="478"/>
      <c r="BZ424" s="478"/>
      <c r="CA424" s="478"/>
      <c r="CB424" s="478"/>
      <c r="CC424" s="478"/>
      <c r="CD424" s="478"/>
      <c r="CE424" s="478"/>
      <c r="CF424" s="478"/>
      <c r="CG424" s="478"/>
      <c r="CH424" s="478"/>
      <c r="CI424" s="478"/>
      <c r="CJ424" s="478"/>
      <c r="CK424" s="478"/>
      <c r="CL424" s="478"/>
      <c r="CM424" s="478"/>
      <c r="CN424" s="478"/>
      <c r="CO424" s="478"/>
      <c r="CP424" s="478"/>
      <c r="CQ424" s="478"/>
      <c r="CR424" s="478"/>
      <c r="CS424" s="478"/>
      <c r="CT424" s="478"/>
      <c r="CU424" s="478"/>
      <c r="CV424" s="478"/>
      <c r="CW424" s="478"/>
      <c r="CX424" s="478"/>
      <c r="CY424" s="478"/>
      <c r="CZ424" s="478"/>
      <c r="DA424" s="478"/>
      <c r="DB424" s="478"/>
      <c r="DC424" s="478"/>
      <c r="DD424" s="478"/>
      <c r="DE424" s="478"/>
      <c r="DF424" s="478"/>
      <c r="DG424" s="478"/>
      <c r="DH424" s="478"/>
      <c r="DI424" s="478"/>
    </row>
    <row r="425" spans="1:113" ht="16.05" hidden="1" customHeight="1" outlineLevel="1" x14ac:dyDescent="0.3">
      <c r="A425" s="455" t="str">
        <f t="shared" si="1451"/>
        <v/>
      </c>
      <c r="B425" s="455"/>
      <c r="C425" s="481"/>
      <c r="D425" s="463" t="str">
        <f t="shared" si="1452"/>
        <v>EXT--09</v>
      </c>
      <c r="E425" s="482"/>
      <c r="F425" s="483"/>
      <c r="G425" s="484"/>
      <c r="H425" s="485"/>
      <c r="I425" s="466">
        <f t="shared" si="1453"/>
        <v>0</v>
      </c>
      <c r="J425" s="259"/>
      <c r="K425" s="478">
        <f t="shared" si="1454"/>
        <v>0</v>
      </c>
      <c r="L425" s="466">
        <f t="shared" si="1455"/>
        <v>0</v>
      </c>
      <c r="M425" s="257"/>
      <c r="N425" s="478"/>
      <c r="O425" s="478"/>
      <c r="P425" s="478"/>
      <c r="Q425" s="478"/>
      <c r="R425" s="478"/>
      <c r="S425" s="478"/>
      <c r="T425" s="478"/>
      <c r="U425" s="478"/>
      <c r="V425" s="478"/>
      <c r="W425" s="478"/>
      <c r="X425" s="478"/>
      <c r="Y425" s="478"/>
      <c r="Z425" s="478"/>
      <c r="AA425" s="478"/>
      <c r="AB425" s="478"/>
      <c r="AC425" s="478"/>
      <c r="AD425" s="478"/>
      <c r="AE425" s="478"/>
      <c r="AF425" s="478"/>
      <c r="AG425" s="478"/>
      <c r="AH425" s="478"/>
      <c r="AI425" s="478"/>
      <c r="AJ425" s="478"/>
      <c r="AK425" s="478"/>
      <c r="AL425" s="478"/>
      <c r="AM425" s="478"/>
      <c r="AN425" s="478"/>
      <c r="AO425" s="478"/>
      <c r="AP425" s="478"/>
      <c r="AQ425" s="478"/>
      <c r="AR425" s="478"/>
      <c r="AS425" s="478"/>
      <c r="AT425" s="478"/>
      <c r="AU425" s="478"/>
      <c r="AV425" s="478"/>
      <c r="AW425" s="478"/>
      <c r="AX425" s="478"/>
      <c r="AY425" s="478"/>
      <c r="AZ425" s="478"/>
      <c r="BA425" s="478"/>
      <c r="BB425" s="478"/>
      <c r="BC425" s="478"/>
      <c r="BD425" s="478"/>
      <c r="BE425" s="478"/>
      <c r="BF425" s="478"/>
      <c r="BG425" s="478"/>
      <c r="BH425" s="478"/>
      <c r="BI425" s="478"/>
      <c r="BJ425" s="245"/>
      <c r="BK425" s="477">
        <f t="shared" si="1456"/>
        <v>0</v>
      </c>
      <c r="BL425" s="466">
        <f t="shared" si="1457"/>
        <v>0</v>
      </c>
      <c r="BM425" s="257"/>
      <c r="BN425" s="478"/>
      <c r="BO425" s="478"/>
      <c r="BP425" s="478"/>
      <c r="BQ425" s="478"/>
      <c r="BR425" s="478"/>
      <c r="BS425" s="478"/>
      <c r="BT425" s="478"/>
      <c r="BU425" s="478"/>
      <c r="BV425" s="478"/>
      <c r="BW425" s="478"/>
      <c r="BX425" s="478"/>
      <c r="BY425" s="478"/>
      <c r="BZ425" s="478"/>
      <c r="CA425" s="478"/>
      <c r="CB425" s="478"/>
      <c r="CC425" s="478"/>
      <c r="CD425" s="478"/>
      <c r="CE425" s="478"/>
      <c r="CF425" s="478"/>
      <c r="CG425" s="478"/>
      <c r="CH425" s="478"/>
      <c r="CI425" s="478"/>
      <c r="CJ425" s="478"/>
      <c r="CK425" s="478"/>
      <c r="CL425" s="478"/>
      <c r="CM425" s="478"/>
      <c r="CN425" s="478"/>
      <c r="CO425" s="478"/>
      <c r="CP425" s="478"/>
      <c r="CQ425" s="478"/>
      <c r="CR425" s="478"/>
      <c r="CS425" s="478"/>
      <c r="CT425" s="478"/>
      <c r="CU425" s="478"/>
      <c r="CV425" s="478"/>
      <c r="CW425" s="478"/>
      <c r="CX425" s="478"/>
      <c r="CY425" s="478"/>
      <c r="CZ425" s="478"/>
      <c r="DA425" s="478"/>
      <c r="DB425" s="478"/>
      <c r="DC425" s="478"/>
      <c r="DD425" s="478"/>
      <c r="DE425" s="478"/>
      <c r="DF425" s="478"/>
      <c r="DG425" s="478"/>
      <c r="DH425" s="478"/>
      <c r="DI425" s="478"/>
    </row>
    <row r="426" spans="1:113" ht="16.05" hidden="1" customHeight="1" outlineLevel="1" x14ac:dyDescent="0.3">
      <c r="A426" s="455" t="str">
        <f t="shared" si="1451"/>
        <v/>
      </c>
      <c r="B426" s="455"/>
      <c r="C426" s="481"/>
      <c r="D426" s="463" t="str">
        <f t="shared" si="1452"/>
        <v>EXT--10</v>
      </c>
      <c r="E426" s="482"/>
      <c r="F426" s="483"/>
      <c r="G426" s="484"/>
      <c r="H426" s="485"/>
      <c r="I426" s="466">
        <f t="shared" si="1453"/>
        <v>0</v>
      </c>
      <c r="J426" s="259"/>
      <c r="K426" s="478">
        <f t="shared" si="1454"/>
        <v>0</v>
      </c>
      <c r="L426" s="466">
        <f t="shared" si="1455"/>
        <v>0</v>
      </c>
      <c r="M426" s="257"/>
      <c r="N426" s="478"/>
      <c r="O426" s="478"/>
      <c r="P426" s="478"/>
      <c r="Q426" s="478"/>
      <c r="R426" s="478"/>
      <c r="S426" s="478"/>
      <c r="T426" s="478"/>
      <c r="U426" s="478"/>
      <c r="V426" s="478"/>
      <c r="W426" s="478"/>
      <c r="X426" s="478"/>
      <c r="Y426" s="478"/>
      <c r="Z426" s="478"/>
      <c r="AA426" s="478"/>
      <c r="AB426" s="478"/>
      <c r="AC426" s="478"/>
      <c r="AD426" s="478"/>
      <c r="AE426" s="478"/>
      <c r="AF426" s="478"/>
      <c r="AG426" s="478"/>
      <c r="AH426" s="478"/>
      <c r="AI426" s="478"/>
      <c r="AJ426" s="478"/>
      <c r="AK426" s="478"/>
      <c r="AL426" s="478"/>
      <c r="AM426" s="478"/>
      <c r="AN426" s="478"/>
      <c r="AO426" s="478"/>
      <c r="AP426" s="478"/>
      <c r="AQ426" s="478"/>
      <c r="AR426" s="478"/>
      <c r="AS426" s="478"/>
      <c r="AT426" s="478"/>
      <c r="AU426" s="478"/>
      <c r="AV426" s="478"/>
      <c r="AW426" s="478"/>
      <c r="AX426" s="478"/>
      <c r="AY426" s="478"/>
      <c r="AZ426" s="478"/>
      <c r="BA426" s="478"/>
      <c r="BB426" s="478"/>
      <c r="BC426" s="478"/>
      <c r="BD426" s="478"/>
      <c r="BE426" s="478"/>
      <c r="BF426" s="478"/>
      <c r="BG426" s="478"/>
      <c r="BH426" s="478"/>
      <c r="BI426" s="478"/>
      <c r="BJ426" s="245"/>
      <c r="BK426" s="477">
        <f t="shared" si="1456"/>
        <v>0</v>
      </c>
      <c r="BL426" s="466">
        <f t="shared" si="1457"/>
        <v>0</v>
      </c>
      <c r="BM426" s="257"/>
      <c r="BN426" s="478"/>
      <c r="BO426" s="478"/>
      <c r="BP426" s="478"/>
      <c r="BQ426" s="478"/>
      <c r="BR426" s="478"/>
      <c r="BS426" s="478"/>
      <c r="BT426" s="478"/>
      <c r="BU426" s="478"/>
      <c r="BV426" s="478"/>
      <c r="BW426" s="478"/>
      <c r="BX426" s="478"/>
      <c r="BY426" s="478"/>
      <c r="BZ426" s="478"/>
      <c r="CA426" s="478"/>
      <c r="CB426" s="478"/>
      <c r="CC426" s="478"/>
      <c r="CD426" s="478"/>
      <c r="CE426" s="478"/>
      <c r="CF426" s="478"/>
      <c r="CG426" s="478"/>
      <c r="CH426" s="478"/>
      <c r="CI426" s="478"/>
      <c r="CJ426" s="478"/>
      <c r="CK426" s="478"/>
      <c r="CL426" s="478"/>
      <c r="CM426" s="478"/>
      <c r="CN426" s="478"/>
      <c r="CO426" s="478"/>
      <c r="CP426" s="478"/>
      <c r="CQ426" s="478"/>
      <c r="CR426" s="478"/>
      <c r="CS426" s="478"/>
      <c r="CT426" s="478"/>
      <c r="CU426" s="478"/>
      <c r="CV426" s="478"/>
      <c r="CW426" s="478"/>
      <c r="CX426" s="478"/>
      <c r="CY426" s="478"/>
      <c r="CZ426" s="478"/>
      <c r="DA426" s="478"/>
      <c r="DB426" s="478"/>
      <c r="DC426" s="478"/>
      <c r="DD426" s="478"/>
      <c r="DE426" s="478"/>
      <c r="DF426" s="478"/>
      <c r="DG426" s="478"/>
      <c r="DH426" s="478"/>
      <c r="DI426" s="478"/>
    </row>
    <row r="427" spans="1:113" ht="8.1" hidden="1" customHeight="1" outlineLevel="1" x14ac:dyDescent="0.3">
      <c r="A427" s="455" t="str">
        <f>IF(COUNTIF(A417:A426,"Imprimir")&gt;0,"Imprimir","")</f>
        <v/>
      </c>
      <c r="B427" s="455"/>
      <c r="C427" s="464"/>
      <c r="D427" s="461"/>
      <c r="E427" s="462"/>
      <c r="F427" s="462"/>
      <c r="G427" s="461"/>
      <c r="H427" s="461"/>
      <c r="I427" s="461"/>
      <c r="J427" s="259"/>
      <c r="K427" s="255"/>
      <c r="L427" s="256"/>
      <c r="M427" s="257"/>
      <c r="N427" s="255"/>
      <c r="O427" s="255"/>
      <c r="P427" s="255"/>
      <c r="Q427" s="255"/>
      <c r="R427" s="255"/>
      <c r="S427" s="255"/>
      <c r="T427" s="255"/>
      <c r="U427" s="255"/>
      <c r="V427" s="255"/>
      <c r="W427" s="255"/>
      <c r="X427" s="255"/>
      <c r="Y427" s="255"/>
      <c r="Z427" s="255"/>
      <c r="AA427" s="255"/>
      <c r="AB427" s="255"/>
      <c r="AC427" s="255"/>
      <c r="AD427" s="255"/>
      <c r="AE427" s="255"/>
      <c r="AF427" s="255"/>
      <c r="AG427" s="255"/>
      <c r="AH427" s="255"/>
      <c r="AI427" s="255"/>
      <c r="AJ427" s="255"/>
      <c r="AK427" s="255"/>
      <c r="AL427" s="255"/>
      <c r="AM427" s="524"/>
      <c r="AN427" s="255"/>
      <c r="AO427" s="255"/>
      <c r="AP427" s="255"/>
      <c r="AQ427" s="255"/>
      <c r="AR427" s="255"/>
      <c r="AS427" s="255"/>
      <c r="AT427" s="255"/>
      <c r="AU427" s="255"/>
      <c r="AV427" s="255"/>
      <c r="AW427" s="255"/>
      <c r="AX427" s="255"/>
      <c r="AY427" s="255"/>
      <c r="AZ427" s="255"/>
      <c r="BA427" s="255"/>
      <c r="BB427" s="255"/>
      <c r="BC427" s="255"/>
      <c r="BD427" s="255"/>
      <c r="BE427" s="255"/>
      <c r="BF427" s="255"/>
      <c r="BG427" s="255"/>
      <c r="BH427" s="255"/>
      <c r="BI427" s="255"/>
      <c r="BJ427" s="245"/>
      <c r="BK427" s="256"/>
      <c r="BL427" s="256"/>
      <c r="BM427" s="257"/>
      <c r="BN427" s="255"/>
      <c r="BO427" s="255"/>
      <c r="BP427" s="255"/>
      <c r="BQ427" s="255"/>
      <c r="BR427" s="255"/>
      <c r="BS427" s="255"/>
      <c r="BT427" s="255"/>
      <c r="BU427" s="255"/>
      <c r="BV427" s="255"/>
      <c r="BW427" s="255"/>
      <c r="BX427" s="255"/>
      <c r="BY427" s="255"/>
      <c r="BZ427" s="255"/>
      <c r="CA427" s="255"/>
      <c r="CB427" s="255"/>
      <c r="CC427" s="255"/>
      <c r="CD427" s="255"/>
      <c r="CE427" s="255"/>
      <c r="CF427" s="255"/>
      <c r="CG427" s="255"/>
      <c r="CH427" s="255"/>
      <c r="CI427" s="255"/>
      <c r="CJ427" s="255"/>
      <c r="CK427" s="255"/>
      <c r="CL427" s="255"/>
      <c r="CM427" s="255"/>
      <c r="CN427" s="255"/>
      <c r="CO427" s="255"/>
      <c r="CP427" s="255"/>
      <c r="CQ427" s="255"/>
      <c r="CR427" s="255"/>
      <c r="CS427" s="255"/>
      <c r="CT427" s="255"/>
      <c r="CU427" s="255"/>
      <c r="CV427" s="255"/>
      <c r="CW427" s="255"/>
      <c r="CX427" s="255"/>
      <c r="CY427" s="255"/>
      <c r="CZ427" s="255"/>
      <c r="DA427" s="255"/>
      <c r="DB427" s="255"/>
      <c r="DC427" s="255"/>
      <c r="DD427" s="255"/>
      <c r="DE427" s="255"/>
      <c r="DF427" s="255"/>
      <c r="DG427" s="255"/>
      <c r="DH427" s="255"/>
      <c r="DI427" s="524"/>
    </row>
    <row r="428" spans="1:113" collapsed="1" x14ac:dyDescent="0.3">
      <c r="A428" s="320" t="s">
        <v>516</v>
      </c>
      <c r="M428" s="468"/>
    </row>
    <row r="429" spans="1:113" x14ac:dyDescent="0.3">
      <c r="A429" s="320" t="s">
        <v>516</v>
      </c>
      <c r="M429" s="468"/>
    </row>
    <row r="430" spans="1:113" x14ac:dyDescent="0.3">
      <c r="A430" s="320" t="s">
        <v>516</v>
      </c>
      <c r="M430" s="525" t="s">
        <v>982</v>
      </c>
      <c r="N430" s="469">
        <f>N9</f>
        <v>42321.076000000001</v>
      </c>
      <c r="O430" s="469">
        <f t="shared" ref="O430:BI430" si="1458">O9+N430</f>
        <v>186139.45600000001</v>
      </c>
      <c r="P430" s="469">
        <f t="shared" si="1458"/>
        <v>345067.68959999998</v>
      </c>
      <c r="Q430" s="469">
        <f t="shared" si="1458"/>
        <v>495206.06959999999</v>
      </c>
      <c r="R430" s="469">
        <f t="shared" si="1458"/>
        <v>645344.44959999993</v>
      </c>
      <c r="S430" s="469">
        <f t="shared" si="1458"/>
        <v>655998.13959999988</v>
      </c>
      <c r="T430" s="469">
        <f t="shared" si="1458"/>
        <v>655998.13959999988</v>
      </c>
      <c r="U430" s="469">
        <f t="shared" si="1458"/>
        <v>1183887.3395999998</v>
      </c>
      <c r="V430" s="469">
        <f t="shared" si="1458"/>
        <v>1334025.7195999997</v>
      </c>
      <c r="W430" s="469">
        <f t="shared" si="1458"/>
        <v>1480612.8695999996</v>
      </c>
      <c r="X430" s="469">
        <f t="shared" si="1458"/>
        <v>1616510.0475999997</v>
      </c>
      <c r="Y430" s="469">
        <f t="shared" si="1458"/>
        <v>1646537.0515999997</v>
      </c>
      <c r="Z430" s="469">
        <f t="shared" si="1458"/>
        <v>1646537.0515999997</v>
      </c>
      <c r="AA430" s="469">
        <f t="shared" si="1458"/>
        <v>1651065.1579999996</v>
      </c>
      <c r="AB430" s="469">
        <f t="shared" si="1458"/>
        <v>1766069.2579999997</v>
      </c>
      <c r="AC430" s="469">
        <f t="shared" si="1458"/>
        <v>1887393.3579999998</v>
      </c>
      <c r="AD430" s="469">
        <f t="shared" si="1458"/>
        <v>2008717.4579999999</v>
      </c>
      <c r="AE430" s="469">
        <f t="shared" si="1458"/>
        <v>2115357.2119999998</v>
      </c>
      <c r="AF430" s="469">
        <f t="shared" si="1458"/>
        <v>2147113.4549999996</v>
      </c>
      <c r="AG430" s="469">
        <f t="shared" si="1458"/>
        <v>2147113.4549999996</v>
      </c>
      <c r="AH430" s="469">
        <f t="shared" si="1458"/>
        <v>2147113.4549999996</v>
      </c>
      <c r="AI430" s="469">
        <f t="shared" si="1458"/>
        <v>2147113.4549999996</v>
      </c>
      <c r="AJ430" s="469">
        <f t="shared" si="1458"/>
        <v>2147113.4549999996</v>
      </c>
      <c r="AK430" s="469">
        <f t="shared" si="1458"/>
        <v>2147113.4549999996</v>
      </c>
      <c r="AL430" s="469">
        <f t="shared" si="1458"/>
        <v>2147113.4549999996</v>
      </c>
      <c r="AM430" s="469">
        <f t="shared" si="1458"/>
        <v>2147113.4549999996</v>
      </c>
      <c r="AN430" s="469">
        <f t="shared" si="1458"/>
        <v>2147113.4549999996</v>
      </c>
      <c r="AO430" s="469">
        <f t="shared" si="1458"/>
        <v>2147113.4549999996</v>
      </c>
      <c r="AP430" s="469">
        <f t="shared" si="1458"/>
        <v>2147113.4549999996</v>
      </c>
      <c r="AQ430" s="469">
        <f t="shared" si="1458"/>
        <v>2147113.4549999996</v>
      </c>
      <c r="AR430" s="469">
        <f t="shared" si="1458"/>
        <v>2147113.4549999996</v>
      </c>
      <c r="AS430" s="469">
        <f t="shared" si="1458"/>
        <v>2147113.4549999996</v>
      </c>
      <c r="AT430" s="469">
        <f t="shared" si="1458"/>
        <v>2147113.4549999996</v>
      </c>
      <c r="AU430" s="469">
        <f t="shared" si="1458"/>
        <v>2147113.4549999996</v>
      </c>
      <c r="AV430" s="469">
        <f t="shared" si="1458"/>
        <v>2147113.4549999996</v>
      </c>
      <c r="AW430" s="469">
        <f t="shared" si="1458"/>
        <v>2147113.4549999996</v>
      </c>
      <c r="AX430" s="469">
        <f t="shared" si="1458"/>
        <v>2147113.4549999996</v>
      </c>
      <c r="AY430" s="469">
        <f t="shared" si="1458"/>
        <v>2147113.4549999996</v>
      </c>
      <c r="AZ430" s="469">
        <f t="shared" si="1458"/>
        <v>2147113.4549999996</v>
      </c>
      <c r="BA430" s="469">
        <f t="shared" si="1458"/>
        <v>2147113.4549999996</v>
      </c>
      <c r="BB430" s="469">
        <f t="shared" si="1458"/>
        <v>2147113.4549999996</v>
      </c>
      <c r="BC430" s="469">
        <f t="shared" si="1458"/>
        <v>2147113.4549999996</v>
      </c>
      <c r="BD430" s="469">
        <f t="shared" si="1458"/>
        <v>2147113.4549999996</v>
      </c>
      <c r="BE430" s="469">
        <f t="shared" si="1458"/>
        <v>2147113.4549999996</v>
      </c>
      <c r="BF430" s="469">
        <f t="shared" si="1458"/>
        <v>2147113.4549999996</v>
      </c>
      <c r="BG430" s="469">
        <f t="shared" si="1458"/>
        <v>2147113.4549999996</v>
      </c>
      <c r="BH430" s="469">
        <f t="shared" si="1458"/>
        <v>2147113.4549999996</v>
      </c>
      <c r="BI430" s="469">
        <f t="shared" si="1458"/>
        <v>2147113.4549999996</v>
      </c>
      <c r="BM430" s="525" t="s">
        <v>983</v>
      </c>
      <c r="BN430" s="469">
        <f>BN9</f>
        <v>0</v>
      </c>
      <c r="BO430" s="469">
        <f t="shared" ref="BO430:DI430" si="1459">BO9+BN430</f>
        <v>0</v>
      </c>
      <c r="BP430" s="469">
        <f t="shared" si="1459"/>
        <v>0</v>
      </c>
      <c r="BQ430" s="469">
        <f t="shared" si="1459"/>
        <v>0</v>
      </c>
      <c r="BR430" s="469">
        <f t="shared" si="1459"/>
        <v>1386220.9787999999</v>
      </c>
      <c r="BS430" s="469">
        <f t="shared" si="1459"/>
        <v>1769362.6349999998</v>
      </c>
      <c r="BT430" s="469">
        <f t="shared" si="1459"/>
        <v>1769362.6349999998</v>
      </c>
      <c r="BU430" s="469">
        <f t="shared" si="1459"/>
        <v>2130897.3449999997</v>
      </c>
      <c r="BV430" s="469">
        <f t="shared" si="1459"/>
        <v>3040735.3205999997</v>
      </c>
      <c r="BW430" s="469">
        <f t="shared" si="1459"/>
        <v>3362307.8306</v>
      </c>
      <c r="BX430" s="469">
        <f t="shared" si="1459"/>
        <v>4796549.6270000003</v>
      </c>
      <c r="BY430" s="469">
        <f t="shared" si="1459"/>
        <v>4796549.6270000003</v>
      </c>
      <c r="BZ430" s="469">
        <f t="shared" si="1459"/>
        <v>5505796.0610000007</v>
      </c>
      <c r="CA430" s="469">
        <f t="shared" si="1459"/>
        <v>5505796.0610000007</v>
      </c>
      <c r="CB430" s="469">
        <f t="shared" si="1459"/>
        <v>5505796.0610000007</v>
      </c>
      <c r="CC430" s="469">
        <f t="shared" si="1459"/>
        <v>5505796.0610000007</v>
      </c>
      <c r="CD430" s="469">
        <f t="shared" si="1459"/>
        <v>5505796.0610000007</v>
      </c>
      <c r="CE430" s="469">
        <f t="shared" si="1459"/>
        <v>5505796.0610000007</v>
      </c>
      <c r="CF430" s="469">
        <f t="shared" si="1459"/>
        <v>5505796.0610000007</v>
      </c>
      <c r="CG430" s="469">
        <f t="shared" si="1459"/>
        <v>5505796.0610000007</v>
      </c>
      <c r="CH430" s="469">
        <f t="shared" si="1459"/>
        <v>5505796.0610000007</v>
      </c>
      <c r="CI430" s="469">
        <f t="shared" si="1459"/>
        <v>5505796.0610000007</v>
      </c>
      <c r="CJ430" s="469">
        <f t="shared" si="1459"/>
        <v>5505796.0610000007</v>
      </c>
      <c r="CK430" s="469">
        <f t="shared" si="1459"/>
        <v>5505796.0610000007</v>
      </c>
      <c r="CL430" s="469">
        <f t="shared" si="1459"/>
        <v>5505796.0610000007</v>
      </c>
      <c r="CM430" s="469">
        <f t="shared" si="1459"/>
        <v>5505796.0610000007</v>
      </c>
      <c r="CN430" s="469">
        <f t="shared" si="1459"/>
        <v>5505796.0610000007</v>
      </c>
      <c r="CO430" s="469">
        <f t="shared" si="1459"/>
        <v>5505796.0610000007</v>
      </c>
      <c r="CP430" s="469">
        <f t="shared" si="1459"/>
        <v>5505796.0610000007</v>
      </c>
      <c r="CQ430" s="469">
        <f t="shared" si="1459"/>
        <v>5505796.0610000007</v>
      </c>
      <c r="CR430" s="469">
        <f t="shared" si="1459"/>
        <v>5505796.0610000007</v>
      </c>
      <c r="CS430" s="469">
        <f t="shared" si="1459"/>
        <v>5505796.0610000007</v>
      </c>
      <c r="CT430" s="469">
        <f t="shared" si="1459"/>
        <v>5505796.0610000007</v>
      </c>
      <c r="CU430" s="469">
        <f t="shared" si="1459"/>
        <v>5505796.0610000007</v>
      </c>
      <c r="CV430" s="469">
        <f t="shared" si="1459"/>
        <v>5505796.0610000007</v>
      </c>
      <c r="CW430" s="469">
        <f t="shared" si="1459"/>
        <v>5505796.0610000007</v>
      </c>
      <c r="CX430" s="469">
        <f t="shared" si="1459"/>
        <v>5505796.0610000007</v>
      </c>
      <c r="CY430" s="469">
        <f t="shared" si="1459"/>
        <v>5505796.0610000007</v>
      </c>
      <c r="CZ430" s="469">
        <f t="shared" si="1459"/>
        <v>5505796.0610000007</v>
      </c>
      <c r="DA430" s="469">
        <f t="shared" si="1459"/>
        <v>5505796.0610000007</v>
      </c>
      <c r="DB430" s="469">
        <f t="shared" si="1459"/>
        <v>5505796.0610000007</v>
      </c>
      <c r="DC430" s="469">
        <f t="shared" si="1459"/>
        <v>5505796.0610000007</v>
      </c>
      <c r="DD430" s="469">
        <f t="shared" si="1459"/>
        <v>5505796.0610000007</v>
      </c>
      <c r="DE430" s="469">
        <f t="shared" si="1459"/>
        <v>5505796.0610000007</v>
      </c>
      <c r="DF430" s="469">
        <f t="shared" si="1459"/>
        <v>5505796.0610000007</v>
      </c>
      <c r="DG430" s="469">
        <f t="shared" si="1459"/>
        <v>5505796.0610000007</v>
      </c>
      <c r="DH430" s="469">
        <f t="shared" si="1459"/>
        <v>5505796.0610000007</v>
      </c>
      <c r="DI430" s="469">
        <f t="shared" si="1459"/>
        <v>5505796.0610000007</v>
      </c>
    </row>
    <row r="431" spans="1:113" x14ac:dyDescent="0.3">
      <c r="A431" s="320" t="s">
        <v>516</v>
      </c>
      <c r="M431" s="468"/>
      <c r="N431" s="635"/>
      <c r="O431" s="635"/>
      <c r="P431" s="635"/>
      <c r="Q431" s="635"/>
      <c r="R431" s="635"/>
      <c r="S431" s="635"/>
      <c r="T431" s="635"/>
      <c r="U431" s="635"/>
      <c r="V431" s="635"/>
      <c r="W431" s="635"/>
      <c r="X431" s="635"/>
      <c r="Y431" s="635"/>
      <c r="Z431" s="635"/>
      <c r="AA431" s="635"/>
      <c r="AB431" s="635"/>
      <c r="AC431" s="635"/>
      <c r="AD431" s="635"/>
      <c r="AE431" s="635"/>
      <c r="AF431" s="635"/>
      <c r="AG431" s="635"/>
      <c r="AH431" s="635"/>
      <c r="AI431" s="635"/>
      <c r="AJ431" s="635"/>
      <c r="AK431" s="635"/>
      <c r="AL431" s="635"/>
      <c r="AM431" s="635"/>
      <c r="AN431" s="479"/>
      <c r="AO431" s="479"/>
      <c r="AP431" s="479"/>
      <c r="AQ431" s="479"/>
      <c r="AR431" s="479"/>
      <c r="AS431" s="479"/>
      <c r="AT431" s="479"/>
      <c r="AU431" s="479"/>
      <c r="AV431" s="479"/>
      <c r="AW431" s="479"/>
      <c r="AX431" s="479"/>
      <c r="AY431" s="479"/>
      <c r="AZ431" s="479"/>
      <c r="BA431" s="479"/>
      <c r="BB431" s="479"/>
      <c r="BC431" s="479"/>
      <c r="BD431" s="479"/>
      <c r="BE431" s="479"/>
      <c r="BF431" s="479"/>
      <c r="BG431" s="479"/>
      <c r="BH431" s="479"/>
      <c r="BI431" s="479"/>
      <c r="BM431" s="468"/>
      <c r="BN431" s="635"/>
      <c r="BO431" s="635"/>
      <c r="BP431" s="635"/>
      <c r="BQ431" s="635"/>
      <c r="BR431" s="635"/>
      <c r="BS431" s="635"/>
      <c r="BT431" s="635"/>
      <c r="BU431" s="635"/>
      <c r="BV431" s="635"/>
      <c r="BW431" s="635"/>
      <c r="BX431" s="635"/>
      <c r="BY431" s="635"/>
      <c r="BZ431" s="635"/>
      <c r="CA431" s="635"/>
      <c r="CB431" s="635"/>
      <c r="CC431" s="635"/>
      <c r="CD431" s="635"/>
      <c r="CE431" s="635"/>
      <c r="CF431" s="635"/>
      <c r="CG431" s="635"/>
      <c r="CH431" s="635"/>
      <c r="CI431" s="635"/>
      <c r="CJ431" s="635"/>
      <c r="CK431" s="635"/>
      <c r="CL431" s="635"/>
      <c r="CM431" s="635"/>
      <c r="CN431" s="635"/>
      <c r="CO431" s="635"/>
      <c r="CP431" s="635"/>
      <c r="CQ431" s="635"/>
      <c r="CR431" s="635"/>
      <c r="CS431" s="635"/>
      <c r="CT431" s="635"/>
      <c r="CU431" s="635"/>
      <c r="CV431" s="635"/>
      <c r="CW431" s="635"/>
      <c r="CX431" s="635"/>
      <c r="CY431" s="635"/>
      <c r="CZ431" s="635"/>
      <c r="DA431" s="635"/>
      <c r="DB431" s="635"/>
      <c r="DC431" s="635"/>
      <c r="DD431" s="635"/>
      <c r="DE431" s="635"/>
      <c r="DF431" s="635"/>
      <c r="DG431" s="635"/>
      <c r="DH431" s="635"/>
      <c r="DI431" s="635"/>
    </row>
    <row r="432" spans="1:113" x14ac:dyDescent="0.3">
      <c r="A432" s="320" t="s">
        <v>516</v>
      </c>
      <c r="L432" s="541" t="s">
        <v>984</v>
      </c>
      <c r="N432" s="540">
        <f t="shared" ref="N432:AM432" si="1460">(N9)*1.16</f>
        <v>49092.44816</v>
      </c>
      <c r="O432" s="540">
        <f t="shared" si="1460"/>
        <v>166829.32079999999</v>
      </c>
      <c r="P432" s="540">
        <f t="shared" si="1460"/>
        <v>184356.75097599995</v>
      </c>
      <c r="Q432" s="540">
        <f t="shared" si="1460"/>
        <v>174160.5208</v>
      </c>
      <c r="R432" s="540">
        <f t="shared" si="1460"/>
        <v>174160.5208</v>
      </c>
      <c r="S432" s="540">
        <f t="shared" si="1460"/>
        <v>12358.2804</v>
      </c>
      <c r="T432" s="540">
        <f t="shared" si="1460"/>
        <v>0</v>
      </c>
      <c r="U432" s="540">
        <f t="shared" si="1460"/>
        <v>612351.47199999995</v>
      </c>
      <c r="V432" s="540">
        <f t="shared" si="1460"/>
        <v>174160.52079999997</v>
      </c>
      <c r="W432" s="540">
        <f t="shared" si="1460"/>
        <v>170041.09399999998</v>
      </c>
      <c r="X432" s="540">
        <f t="shared" si="1460"/>
        <v>157640.72647999998</v>
      </c>
      <c r="Y432" s="540">
        <f t="shared" si="1460"/>
        <v>34831.324639999999</v>
      </c>
      <c r="Z432" s="540">
        <f t="shared" si="1460"/>
        <v>0</v>
      </c>
      <c r="AA432" s="540">
        <f t="shared" si="1460"/>
        <v>5252.603423999999</v>
      </c>
      <c r="AB432" s="540">
        <f t="shared" si="1460"/>
        <v>133404.75599999999</v>
      </c>
      <c r="AC432" s="540">
        <f t="shared" si="1460"/>
        <v>140735.95600000001</v>
      </c>
      <c r="AD432" s="540">
        <f t="shared" si="1460"/>
        <v>140735.95600000001</v>
      </c>
      <c r="AE432" s="540">
        <f t="shared" si="1460"/>
        <v>123702.11463999999</v>
      </c>
      <c r="AF432" s="540">
        <f t="shared" si="1460"/>
        <v>36837.241879999994</v>
      </c>
      <c r="AG432" s="540">
        <f t="shared" si="1460"/>
        <v>0</v>
      </c>
      <c r="AH432" s="540">
        <f t="shared" si="1460"/>
        <v>0</v>
      </c>
      <c r="AI432" s="540">
        <f t="shared" si="1460"/>
        <v>0</v>
      </c>
      <c r="AJ432" s="540">
        <f t="shared" si="1460"/>
        <v>0</v>
      </c>
      <c r="AK432" s="540">
        <f t="shared" si="1460"/>
        <v>0</v>
      </c>
      <c r="AL432" s="540">
        <f t="shared" si="1460"/>
        <v>0</v>
      </c>
      <c r="AM432" s="540">
        <f t="shared" si="1460"/>
        <v>0</v>
      </c>
      <c r="AN432" s="540">
        <f t="shared" ref="AN432:BI432" si="1461">AN9*1.16</f>
        <v>0</v>
      </c>
      <c r="AO432" s="540">
        <f t="shared" si="1461"/>
        <v>0</v>
      </c>
      <c r="AP432" s="540">
        <f t="shared" si="1461"/>
        <v>0</v>
      </c>
      <c r="AQ432" s="540">
        <f t="shared" si="1461"/>
        <v>0</v>
      </c>
      <c r="AR432" s="540">
        <f t="shared" si="1461"/>
        <v>0</v>
      </c>
      <c r="AS432" s="540">
        <f t="shared" si="1461"/>
        <v>0</v>
      </c>
      <c r="AT432" s="540">
        <f t="shared" si="1461"/>
        <v>0</v>
      </c>
      <c r="AU432" s="540">
        <f t="shared" si="1461"/>
        <v>0</v>
      </c>
      <c r="AV432" s="540">
        <f t="shared" si="1461"/>
        <v>0</v>
      </c>
      <c r="AW432" s="540">
        <f t="shared" si="1461"/>
        <v>0</v>
      </c>
      <c r="AX432" s="540">
        <f t="shared" si="1461"/>
        <v>0</v>
      </c>
      <c r="AY432" s="540">
        <f t="shared" si="1461"/>
        <v>0</v>
      </c>
      <c r="AZ432" s="540">
        <f t="shared" si="1461"/>
        <v>0</v>
      </c>
      <c r="BA432" s="540">
        <f t="shared" si="1461"/>
        <v>0</v>
      </c>
      <c r="BB432" s="540">
        <f t="shared" si="1461"/>
        <v>0</v>
      </c>
      <c r="BC432" s="540">
        <f t="shared" si="1461"/>
        <v>0</v>
      </c>
      <c r="BD432" s="540">
        <f t="shared" si="1461"/>
        <v>0</v>
      </c>
      <c r="BE432" s="540">
        <f t="shared" si="1461"/>
        <v>0</v>
      </c>
      <c r="BF432" s="540">
        <f t="shared" si="1461"/>
        <v>0</v>
      </c>
      <c r="BG432" s="540">
        <f t="shared" si="1461"/>
        <v>0</v>
      </c>
      <c r="BH432" s="540">
        <f t="shared" si="1461"/>
        <v>0</v>
      </c>
      <c r="BI432" s="540">
        <f t="shared" si="1461"/>
        <v>0</v>
      </c>
      <c r="BL432" s="541" t="s">
        <v>984</v>
      </c>
      <c r="BN432" s="540">
        <f t="shared" ref="BN432:DI432" si="1462">(BN9)*1.16</f>
        <v>0</v>
      </c>
      <c r="BO432" s="540">
        <f t="shared" si="1462"/>
        <v>0</v>
      </c>
      <c r="BP432" s="540">
        <f t="shared" si="1462"/>
        <v>0</v>
      </c>
      <c r="BQ432" s="540">
        <f t="shared" si="1462"/>
        <v>0</v>
      </c>
      <c r="BR432" s="540">
        <f t="shared" si="1462"/>
        <v>1608016.3354079998</v>
      </c>
      <c r="BS432" s="540">
        <f t="shared" si="1462"/>
        <v>444444.32119199994</v>
      </c>
      <c r="BT432" s="540">
        <f t="shared" si="1462"/>
        <v>0</v>
      </c>
      <c r="BU432" s="540">
        <f t="shared" si="1462"/>
        <v>419380.26360000001</v>
      </c>
      <c r="BV432" s="540">
        <f t="shared" si="1462"/>
        <v>1055412.0516960002</v>
      </c>
      <c r="BW432" s="540">
        <f t="shared" si="1462"/>
        <v>373024.1116</v>
      </c>
      <c r="BX432" s="540">
        <f t="shared" si="1462"/>
        <v>1663720.4838239998</v>
      </c>
      <c r="BY432" s="540">
        <f t="shared" si="1462"/>
        <v>0</v>
      </c>
      <c r="BZ432" s="540">
        <f t="shared" si="1462"/>
        <v>822725.86343999987</v>
      </c>
      <c r="CA432" s="540">
        <f t="shared" si="1462"/>
        <v>0</v>
      </c>
      <c r="CB432" s="540">
        <f t="shared" si="1462"/>
        <v>0</v>
      </c>
      <c r="CC432" s="540">
        <f t="shared" si="1462"/>
        <v>0</v>
      </c>
      <c r="CD432" s="540">
        <f t="shared" si="1462"/>
        <v>0</v>
      </c>
      <c r="CE432" s="540">
        <f t="shared" si="1462"/>
        <v>0</v>
      </c>
      <c r="CF432" s="540">
        <f t="shared" si="1462"/>
        <v>0</v>
      </c>
      <c r="CG432" s="540">
        <f t="shared" si="1462"/>
        <v>0</v>
      </c>
      <c r="CH432" s="540">
        <f t="shared" si="1462"/>
        <v>0</v>
      </c>
      <c r="CI432" s="540">
        <f t="shared" si="1462"/>
        <v>0</v>
      </c>
      <c r="CJ432" s="540">
        <f t="shared" si="1462"/>
        <v>0</v>
      </c>
      <c r="CK432" s="540">
        <f t="shared" si="1462"/>
        <v>0</v>
      </c>
      <c r="CL432" s="540">
        <f t="shared" si="1462"/>
        <v>0</v>
      </c>
      <c r="CM432" s="540">
        <f t="shared" si="1462"/>
        <v>0</v>
      </c>
      <c r="CN432" s="540">
        <f t="shared" si="1462"/>
        <v>0</v>
      </c>
      <c r="CO432" s="540">
        <f t="shared" si="1462"/>
        <v>0</v>
      </c>
      <c r="CP432" s="540">
        <f t="shared" si="1462"/>
        <v>0</v>
      </c>
      <c r="CQ432" s="540">
        <f t="shared" si="1462"/>
        <v>0</v>
      </c>
      <c r="CR432" s="540">
        <f t="shared" si="1462"/>
        <v>0</v>
      </c>
      <c r="CS432" s="540">
        <f t="shared" si="1462"/>
        <v>0</v>
      </c>
      <c r="CT432" s="540">
        <f t="shared" si="1462"/>
        <v>0</v>
      </c>
      <c r="CU432" s="540">
        <f t="shared" si="1462"/>
        <v>0</v>
      </c>
      <c r="CV432" s="540">
        <f t="shared" si="1462"/>
        <v>0</v>
      </c>
      <c r="CW432" s="540">
        <f t="shared" si="1462"/>
        <v>0</v>
      </c>
      <c r="CX432" s="540">
        <f t="shared" si="1462"/>
        <v>0</v>
      </c>
      <c r="CY432" s="540">
        <f t="shared" si="1462"/>
        <v>0</v>
      </c>
      <c r="CZ432" s="540">
        <f t="shared" si="1462"/>
        <v>0</v>
      </c>
      <c r="DA432" s="540">
        <f t="shared" si="1462"/>
        <v>0</v>
      </c>
      <c r="DB432" s="540">
        <f t="shared" si="1462"/>
        <v>0</v>
      </c>
      <c r="DC432" s="540">
        <f t="shared" si="1462"/>
        <v>0</v>
      </c>
      <c r="DD432" s="540">
        <f t="shared" si="1462"/>
        <v>0</v>
      </c>
      <c r="DE432" s="540">
        <f t="shared" si="1462"/>
        <v>0</v>
      </c>
      <c r="DF432" s="540">
        <f t="shared" si="1462"/>
        <v>0</v>
      </c>
      <c r="DG432" s="540">
        <f t="shared" si="1462"/>
        <v>0</v>
      </c>
      <c r="DH432" s="540">
        <f t="shared" si="1462"/>
        <v>0</v>
      </c>
      <c r="DI432" s="540">
        <f t="shared" si="1462"/>
        <v>0</v>
      </c>
    </row>
    <row r="433" spans="1:113" x14ac:dyDescent="0.3">
      <c r="A433" s="320" t="s">
        <v>516</v>
      </c>
      <c r="L433" s="541" t="s">
        <v>985</v>
      </c>
      <c r="N433" s="540">
        <f>N432</f>
        <v>49092.44816</v>
      </c>
      <c r="O433" s="540">
        <f t="shared" ref="O433" si="1463">N433+O432</f>
        <v>215921.76895999999</v>
      </c>
      <c r="P433" s="540">
        <f t="shared" ref="P433" si="1464">O433+P432</f>
        <v>400278.51993599994</v>
      </c>
      <c r="Q433" s="540">
        <f t="shared" ref="Q433" si="1465">P433+Q432</f>
        <v>574439.04073599994</v>
      </c>
      <c r="R433" s="540">
        <f t="shared" ref="R433" si="1466">Q433+R432</f>
        <v>748599.56153599988</v>
      </c>
      <c r="S433" s="540">
        <f t="shared" ref="S433" si="1467">R433+S432</f>
        <v>760957.84193599992</v>
      </c>
      <c r="T433" s="540">
        <f t="shared" ref="T433" si="1468">S433+T432</f>
        <v>760957.84193599992</v>
      </c>
      <c r="U433" s="540">
        <f t="shared" ref="U433" si="1469">T433+U432</f>
        <v>1373309.3139359998</v>
      </c>
      <c r="V433" s="540">
        <f t="shared" ref="V433" si="1470">U433+V432</f>
        <v>1547469.8347359998</v>
      </c>
      <c r="W433" s="540">
        <f t="shared" ref="W433" si="1471">V433+W432</f>
        <v>1717510.9287359999</v>
      </c>
      <c r="X433" s="540">
        <f t="shared" ref="X433" si="1472">W433+X432</f>
        <v>1875151.6552159998</v>
      </c>
      <c r="Y433" s="540">
        <f t="shared" ref="Y433" si="1473">X433+Y432</f>
        <v>1909982.9798559998</v>
      </c>
      <c r="Z433" s="540">
        <f t="shared" ref="Z433" si="1474">Y433+Z432</f>
        <v>1909982.9798559998</v>
      </c>
      <c r="AA433" s="540">
        <f t="shared" ref="AA433" si="1475">Z433+AA432</f>
        <v>1915235.5832799999</v>
      </c>
      <c r="AB433" s="540">
        <f t="shared" ref="AB433" si="1476">AA433+AB432</f>
        <v>2048640.33928</v>
      </c>
      <c r="AC433" s="540">
        <f t="shared" ref="AC433" si="1477">AB433+AC432</f>
        <v>2189376.2952800002</v>
      </c>
      <c r="AD433" s="540">
        <f t="shared" ref="AD433" si="1478">AC433+AD432</f>
        <v>2330112.2512800004</v>
      </c>
      <c r="AE433" s="540">
        <f t="shared" ref="AE433" si="1479">AD433+AE432</f>
        <v>2453814.3659200002</v>
      </c>
      <c r="AF433" s="540">
        <f t="shared" ref="AF433" si="1480">AE433+AF432</f>
        <v>2490651.6078000003</v>
      </c>
      <c r="AG433" s="540">
        <f t="shared" ref="AG433" si="1481">AF433+AG432</f>
        <v>2490651.6078000003</v>
      </c>
      <c r="AH433" s="540">
        <f t="shared" ref="AH433" si="1482">AG433+AH432</f>
        <v>2490651.6078000003</v>
      </c>
      <c r="AI433" s="540">
        <f t="shared" ref="AI433" si="1483">AH433+AI432</f>
        <v>2490651.6078000003</v>
      </c>
      <c r="AJ433" s="540">
        <f t="shared" ref="AJ433" si="1484">AI433+AJ432</f>
        <v>2490651.6078000003</v>
      </c>
      <c r="AK433" s="540">
        <f t="shared" ref="AK433" si="1485">AJ433+AK432</f>
        <v>2490651.6078000003</v>
      </c>
      <c r="AL433" s="540">
        <f t="shared" ref="AL433" si="1486">AK433+AL432</f>
        <v>2490651.6078000003</v>
      </c>
      <c r="AM433" s="540">
        <f t="shared" ref="AM433" si="1487">AL433+AM432</f>
        <v>2490651.6078000003</v>
      </c>
      <c r="AN433" s="540">
        <f t="shared" ref="AN433:BI433" si="1488">AM433+AN432</f>
        <v>2490651.6078000003</v>
      </c>
      <c r="AO433" s="540">
        <f t="shared" si="1488"/>
        <v>2490651.6078000003</v>
      </c>
      <c r="AP433" s="540">
        <f t="shared" si="1488"/>
        <v>2490651.6078000003</v>
      </c>
      <c r="AQ433" s="540">
        <f t="shared" si="1488"/>
        <v>2490651.6078000003</v>
      </c>
      <c r="AR433" s="540">
        <f t="shared" si="1488"/>
        <v>2490651.6078000003</v>
      </c>
      <c r="AS433" s="540">
        <f t="shared" si="1488"/>
        <v>2490651.6078000003</v>
      </c>
      <c r="AT433" s="540">
        <f t="shared" si="1488"/>
        <v>2490651.6078000003</v>
      </c>
      <c r="AU433" s="540">
        <f t="shared" si="1488"/>
        <v>2490651.6078000003</v>
      </c>
      <c r="AV433" s="540">
        <f t="shared" si="1488"/>
        <v>2490651.6078000003</v>
      </c>
      <c r="AW433" s="540">
        <f t="shared" si="1488"/>
        <v>2490651.6078000003</v>
      </c>
      <c r="AX433" s="540">
        <f t="shared" si="1488"/>
        <v>2490651.6078000003</v>
      </c>
      <c r="AY433" s="540">
        <f t="shared" si="1488"/>
        <v>2490651.6078000003</v>
      </c>
      <c r="AZ433" s="540">
        <f t="shared" si="1488"/>
        <v>2490651.6078000003</v>
      </c>
      <c r="BA433" s="540">
        <f t="shared" si="1488"/>
        <v>2490651.6078000003</v>
      </c>
      <c r="BB433" s="540">
        <f t="shared" si="1488"/>
        <v>2490651.6078000003</v>
      </c>
      <c r="BC433" s="540">
        <f t="shared" si="1488"/>
        <v>2490651.6078000003</v>
      </c>
      <c r="BD433" s="540">
        <f t="shared" si="1488"/>
        <v>2490651.6078000003</v>
      </c>
      <c r="BE433" s="540">
        <f t="shared" si="1488"/>
        <v>2490651.6078000003</v>
      </c>
      <c r="BF433" s="540">
        <f t="shared" si="1488"/>
        <v>2490651.6078000003</v>
      </c>
      <c r="BG433" s="540">
        <f t="shared" si="1488"/>
        <v>2490651.6078000003</v>
      </c>
      <c r="BH433" s="540">
        <f t="shared" si="1488"/>
        <v>2490651.6078000003</v>
      </c>
      <c r="BI433" s="540">
        <f t="shared" si="1488"/>
        <v>2490651.6078000003</v>
      </c>
      <c r="BL433" s="541" t="s">
        <v>985</v>
      </c>
      <c r="BN433" s="540">
        <f>BN432</f>
        <v>0</v>
      </c>
      <c r="BO433" s="540">
        <f t="shared" ref="BO433" si="1489">BN433+BO432</f>
        <v>0</v>
      </c>
      <c r="BP433" s="540">
        <f t="shared" ref="BP433" si="1490">BO433+BP432</f>
        <v>0</v>
      </c>
      <c r="BQ433" s="540">
        <f t="shared" ref="BQ433" si="1491">BP433+BQ432</f>
        <v>0</v>
      </c>
      <c r="BR433" s="540">
        <f t="shared" ref="BR433" si="1492">BQ433+BR432</f>
        <v>1608016.3354079998</v>
      </c>
      <c r="BS433" s="540">
        <f t="shared" ref="BS433" si="1493">BR433+BS432</f>
        <v>2052460.6565999999</v>
      </c>
      <c r="BT433" s="540">
        <f t="shared" ref="BT433" si="1494">BS433+BT432</f>
        <v>2052460.6565999999</v>
      </c>
      <c r="BU433" s="540">
        <f t="shared" ref="BU433" si="1495">BT433+BU432</f>
        <v>2471840.9202000001</v>
      </c>
      <c r="BV433" s="540">
        <f t="shared" ref="BV433" si="1496">BU433+BV432</f>
        <v>3527252.9718960002</v>
      </c>
      <c r="BW433" s="540">
        <f t="shared" ref="BW433" si="1497">BV433+BW432</f>
        <v>3900277.0834960002</v>
      </c>
      <c r="BX433" s="540">
        <f t="shared" ref="BX433" si="1498">BW433+BX432</f>
        <v>5563997.5673200004</v>
      </c>
      <c r="BY433" s="540">
        <f t="shared" ref="BY433" si="1499">BX433+BY432</f>
        <v>5563997.5673200004</v>
      </c>
      <c r="BZ433" s="540">
        <f t="shared" ref="BZ433" si="1500">BY433+BZ432</f>
        <v>6386723.4307599999</v>
      </c>
      <c r="CA433" s="540">
        <f t="shared" ref="CA433" si="1501">BZ433+CA432</f>
        <v>6386723.4307599999</v>
      </c>
      <c r="CB433" s="540">
        <f t="shared" ref="CB433" si="1502">CA433+CB432</f>
        <v>6386723.4307599999</v>
      </c>
      <c r="CC433" s="540">
        <f t="shared" ref="CC433" si="1503">CB433+CC432</f>
        <v>6386723.4307599999</v>
      </c>
      <c r="CD433" s="540">
        <f t="shared" ref="CD433" si="1504">CC433+CD432</f>
        <v>6386723.4307599999</v>
      </c>
      <c r="CE433" s="540">
        <f t="shared" ref="CE433" si="1505">CD433+CE432</f>
        <v>6386723.4307599999</v>
      </c>
      <c r="CF433" s="540">
        <f t="shared" ref="CF433" si="1506">CE433+CF432</f>
        <v>6386723.4307599999</v>
      </c>
      <c r="CG433" s="540">
        <f t="shared" ref="CG433" si="1507">CF433+CG432</f>
        <v>6386723.4307599999</v>
      </c>
      <c r="CH433" s="540">
        <f t="shared" ref="CH433" si="1508">CG433+CH432</f>
        <v>6386723.4307599999</v>
      </c>
      <c r="CI433" s="540">
        <f t="shared" ref="CI433" si="1509">CH433+CI432</f>
        <v>6386723.4307599999</v>
      </c>
      <c r="CJ433" s="540">
        <f t="shared" ref="CJ433" si="1510">CI433+CJ432</f>
        <v>6386723.4307599999</v>
      </c>
      <c r="CK433" s="540">
        <f t="shared" ref="CK433" si="1511">CJ433+CK432</f>
        <v>6386723.4307599999</v>
      </c>
      <c r="CL433" s="540">
        <f t="shared" ref="CL433" si="1512">CK433+CL432</f>
        <v>6386723.4307599999</v>
      </c>
      <c r="CM433" s="540">
        <f t="shared" ref="CM433" si="1513">CL433+CM432</f>
        <v>6386723.4307599999</v>
      </c>
      <c r="CN433" s="540">
        <f t="shared" ref="CN433" si="1514">CM433+CN432</f>
        <v>6386723.4307599999</v>
      </c>
      <c r="CO433" s="540">
        <f t="shared" ref="CO433" si="1515">CN433+CO432</f>
        <v>6386723.4307599999</v>
      </c>
      <c r="CP433" s="540">
        <f t="shared" ref="CP433" si="1516">CO433+CP432</f>
        <v>6386723.4307599999</v>
      </c>
      <c r="CQ433" s="540">
        <f t="shared" ref="CQ433" si="1517">CP433+CQ432</f>
        <v>6386723.4307599999</v>
      </c>
      <c r="CR433" s="540">
        <f t="shared" ref="CR433" si="1518">CQ433+CR432</f>
        <v>6386723.4307599999</v>
      </c>
      <c r="CS433" s="540">
        <f t="shared" ref="CS433" si="1519">CR433+CS432</f>
        <v>6386723.4307599999</v>
      </c>
      <c r="CT433" s="540">
        <f t="shared" ref="CT433" si="1520">CS433+CT432</f>
        <v>6386723.4307599999</v>
      </c>
      <c r="CU433" s="540">
        <f t="shared" ref="CU433" si="1521">CT433+CU432</f>
        <v>6386723.4307599999</v>
      </c>
      <c r="CV433" s="540">
        <f t="shared" ref="CV433" si="1522">CU433+CV432</f>
        <v>6386723.4307599999</v>
      </c>
      <c r="CW433" s="540">
        <f t="shared" ref="CW433" si="1523">CV433+CW432</f>
        <v>6386723.4307599999</v>
      </c>
      <c r="CX433" s="540">
        <f t="shared" ref="CX433" si="1524">CW433+CX432</f>
        <v>6386723.4307599999</v>
      </c>
      <c r="CY433" s="540">
        <f t="shared" ref="CY433" si="1525">CX433+CY432</f>
        <v>6386723.4307599999</v>
      </c>
      <c r="CZ433" s="540">
        <f t="shared" ref="CZ433" si="1526">CY433+CZ432</f>
        <v>6386723.4307599999</v>
      </c>
      <c r="DA433" s="540">
        <f t="shared" ref="DA433" si="1527">CZ433+DA432</f>
        <v>6386723.4307599999</v>
      </c>
      <c r="DB433" s="540">
        <f t="shared" ref="DB433" si="1528">DA433+DB432</f>
        <v>6386723.4307599999</v>
      </c>
      <c r="DC433" s="540">
        <f t="shared" ref="DC433" si="1529">DB433+DC432</f>
        <v>6386723.4307599999</v>
      </c>
      <c r="DD433" s="540">
        <f t="shared" ref="DD433" si="1530">DC433+DD432</f>
        <v>6386723.4307599999</v>
      </c>
      <c r="DE433" s="540">
        <f t="shared" ref="DE433" si="1531">DD433+DE432</f>
        <v>6386723.4307599999</v>
      </c>
      <c r="DF433" s="540">
        <f t="shared" ref="DF433" si="1532">DE433+DF432</f>
        <v>6386723.4307599999</v>
      </c>
      <c r="DG433" s="540">
        <f t="shared" ref="DG433" si="1533">DF433+DG432</f>
        <v>6386723.4307599999</v>
      </c>
      <c r="DH433" s="540">
        <f t="shared" ref="DH433" si="1534">DG433+DH432</f>
        <v>6386723.4307599999</v>
      </c>
      <c r="DI433" s="540">
        <f t="shared" ref="DI433" si="1535">DH433+DI432</f>
        <v>6386723.4307599999</v>
      </c>
    </row>
    <row r="434" spans="1:113" x14ac:dyDescent="0.3">
      <c r="A434" s="320" t="s">
        <v>516</v>
      </c>
    </row>
  </sheetData>
  <autoFilter ref="A9:DJ434" xr:uid="{FDCA6751-C8EC-470C-88D0-38543CA22661}">
    <filterColumn colId="0">
      <customFilters>
        <customFilter operator="notEqual" val=" "/>
      </customFilters>
    </filterColumn>
  </autoFilter>
  <mergeCells count="5">
    <mergeCell ref="E2:L2"/>
    <mergeCell ref="E3:L3"/>
    <mergeCell ref="K6:L6"/>
    <mergeCell ref="G6:I6"/>
    <mergeCell ref="E4:L4"/>
  </mergeCells>
  <phoneticPr fontId="6" type="noConversion"/>
  <conditionalFormatting sqref="BN13:DI22">
    <cfRule type="cellIs" dxfId="9" priority="6" operator="equal">
      <formula>0</formula>
    </cfRule>
  </conditionalFormatting>
  <conditionalFormatting sqref="BN35:DI44">
    <cfRule type="cellIs" dxfId="8" priority="3" operator="equal">
      <formula>0</formula>
    </cfRule>
  </conditionalFormatting>
  <conditionalFormatting sqref="BN57:DI66">
    <cfRule type="cellIs" dxfId="7" priority="5" operator="equal">
      <formula>0</formula>
    </cfRule>
  </conditionalFormatting>
  <conditionalFormatting sqref="BN79:DI88">
    <cfRule type="cellIs" dxfId="6" priority="2" operator="equal">
      <formula>0</formula>
    </cfRule>
  </conditionalFormatting>
  <conditionalFormatting sqref="BN101:DI110">
    <cfRule type="cellIs" dxfId="5" priority="4" operator="equal">
      <formula>0</formula>
    </cfRule>
  </conditionalFormatting>
  <conditionalFormatting sqref="BN123:DI132">
    <cfRule type="cellIs" dxfId="4" priority="1" operator="equal">
      <formula>0</formula>
    </cfRule>
  </conditionalFormatting>
  <printOptions horizontalCentered="1"/>
  <pageMargins left="0" right="0" top="0.35" bottom="0.11" header="0.35433070866141736" footer="0"/>
  <pageSetup paperSize="119" scale="72" fitToHeight="0" orientation="portrait" horizontalDpi="300" verticalDpi="300" r:id="rId1"/>
  <headerFooter alignWithMargins="0">
    <oddFooter>&amp;R&amp;8&amp;PDE&amp;N</oddFooter>
  </headerFooter>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0946-9D14-4F2A-9FCD-48F6913FD41A}">
  <sheetPr codeName="Hoja4">
    <pageSetUpPr fitToPage="1"/>
  </sheetPr>
  <dimension ref="A2:DF140"/>
  <sheetViews>
    <sheetView zoomScale="90" zoomScaleNormal="90" workbookViewId="0">
      <pane xSplit="9" ySplit="10" topLeftCell="J11" activePane="bottomRight" state="frozen"/>
      <selection pane="topRight" activeCell="J1" sqref="J1"/>
      <selection pane="bottomLeft" activeCell="A11" sqref="A11"/>
      <selection pane="bottomRight" activeCell="C21" sqref="C21"/>
    </sheetView>
  </sheetViews>
  <sheetFormatPr baseColWidth="10" defaultColWidth="8.44140625" defaultRowHeight="13.8" outlineLevelRow="1" outlineLevelCol="1" x14ac:dyDescent="0.25"/>
  <cols>
    <col min="1" max="1" width="10.21875" style="28" customWidth="1"/>
    <col min="2" max="2" width="15.88671875" style="25" customWidth="1"/>
    <col min="3" max="3" width="18" style="25" customWidth="1"/>
    <col min="4" max="6" width="36.33203125" style="25" customWidth="1"/>
    <col min="7" max="8" width="15.5546875" style="25" customWidth="1"/>
    <col min="9" max="9" width="19" style="25" customWidth="1"/>
    <col min="10" max="10" width="4.77734375" style="26" customWidth="1"/>
    <col min="11" max="18" width="21.88671875" style="127" customWidth="1" outlineLevel="1"/>
    <col min="19" max="58" width="15.21875" style="127" customWidth="1" outlineLevel="1"/>
    <col min="59" max="59" width="2.44140625" style="26" customWidth="1"/>
    <col min="60" max="60" width="14.21875" style="131" bestFit="1" customWidth="1"/>
    <col min="61" max="61" width="21.6640625" style="25" bestFit="1" customWidth="1"/>
    <col min="62" max="62" width="2.44140625" style="26" customWidth="1"/>
    <col min="63" max="63" width="21" style="127" bestFit="1" customWidth="1"/>
    <col min="64" max="64" width="21.44140625" style="127" bestFit="1" customWidth="1"/>
    <col min="65" max="65" width="20.88671875" style="127" bestFit="1" customWidth="1"/>
    <col min="66" max="66" width="21.21875" style="127" bestFit="1" customWidth="1"/>
    <col min="67" max="67" width="21.44140625" style="127" bestFit="1" customWidth="1"/>
    <col min="68" max="68" width="21.77734375" style="127" bestFit="1" customWidth="1"/>
    <col min="69" max="69" width="21" style="127" bestFit="1" customWidth="1"/>
    <col min="70" max="71" width="21.44140625" style="127" bestFit="1" customWidth="1"/>
    <col min="72" max="72" width="21.77734375" style="127" bestFit="1" customWidth="1"/>
    <col min="73" max="73" width="20.6640625" style="127" bestFit="1" customWidth="1"/>
    <col min="74" max="74" width="21" style="127" bestFit="1" customWidth="1"/>
    <col min="75" max="75" width="20.44140625" style="127" bestFit="1" customWidth="1"/>
    <col min="76" max="76" width="20.88671875" style="127" bestFit="1" customWidth="1"/>
    <col min="77" max="77" width="21.44140625" style="127" bestFit="1" customWidth="1"/>
    <col min="78" max="78" width="21.77734375" style="127" bestFit="1" customWidth="1"/>
    <col min="79" max="80" width="18.109375" style="127" bestFit="1" customWidth="1"/>
    <col min="81" max="84" width="18.21875" style="127" bestFit="1" customWidth="1"/>
    <col min="85" max="86" width="17.109375" style="127" bestFit="1" customWidth="1"/>
    <col min="87" max="88" width="18.109375" style="127" bestFit="1" customWidth="1"/>
    <col min="89" max="90" width="17.88671875" style="127" bestFit="1" customWidth="1"/>
    <col min="91" max="92" width="18.44140625" style="127" bestFit="1" customWidth="1"/>
    <col min="93" max="94" width="18.109375" style="127" bestFit="1" customWidth="1"/>
    <col min="95" max="96" width="18.44140625" style="127" bestFit="1" customWidth="1"/>
    <col min="97" max="98" width="17.6640625" style="127" bestFit="1" customWidth="1"/>
    <col min="99" max="100" width="17.5546875" style="127" bestFit="1" customWidth="1"/>
    <col min="101" max="102" width="18.44140625" style="127" bestFit="1" customWidth="1"/>
    <col min="103" max="104" width="18.109375" style="127" bestFit="1" customWidth="1"/>
    <col min="105" max="108" width="18.21875" style="127" bestFit="1" customWidth="1"/>
    <col min="109" max="110" width="17.109375" style="127" bestFit="1" customWidth="1"/>
    <col min="111" max="16384" width="8.44140625" style="28"/>
  </cols>
  <sheetData>
    <row r="2" spans="1:110" ht="42.6" customHeight="1" x14ac:dyDescent="0.25">
      <c r="B2" s="29"/>
      <c r="C2" s="588" t="str">
        <f>'Resumen Ejecutivo'!C2</f>
        <v>PROYECTO:</v>
      </c>
      <c r="D2" s="1004" t="str">
        <f>IF('Resumen Ejecutivo'!D2=0,"",'Resumen Ejecutivo'!D2)</f>
        <v>CONSTRUCCIÓN DE 50 PILAS DE CONCRETO ARMADO PARA PMI'S EN EL ESTADO DE TAMAULIPAS (TAMPICO Y MANTE)</v>
      </c>
      <c r="E2" s="1004"/>
      <c r="F2" s="1004"/>
      <c r="G2" s="168"/>
      <c r="H2" s="23" t="s">
        <v>84</v>
      </c>
      <c r="I2" s="167">
        <f>Imput!P3</f>
        <v>20</v>
      </c>
    </row>
    <row r="3" spans="1:110" ht="17.100000000000001" customHeight="1" thickBot="1" x14ac:dyDescent="0.3">
      <c r="C3" s="587" t="str">
        <f>'Resumen Ejecutivo'!C3</f>
        <v>CLIENTE:</v>
      </c>
      <c r="D3" s="1004" t="str">
        <f>IF('Resumen Ejecutivo'!D3=0,"",'Resumen Ejecutivo'!D3)</f>
        <v>SYM KABAT</v>
      </c>
      <c r="E3" s="1004"/>
      <c r="F3" s="1004"/>
    </row>
    <row r="4" spans="1:110" ht="14.4" thickBot="1" x14ac:dyDescent="0.3">
      <c r="G4" s="1005" t="s">
        <v>518</v>
      </c>
      <c r="H4" s="1006"/>
      <c r="I4" s="33">
        <v>3</v>
      </c>
      <c r="BH4" s="132"/>
      <c r="BI4" s="129"/>
    </row>
    <row r="5" spans="1:110" ht="14.85" hidden="1" customHeight="1" x14ac:dyDescent="0.3">
      <c r="H5" s="31"/>
      <c r="I5" s="32"/>
      <c r="BH5" s="133"/>
      <c r="BI5" s="130"/>
    </row>
    <row r="6" spans="1:110" ht="14.4" thickBot="1" x14ac:dyDescent="0.3">
      <c r="B6" s="34"/>
      <c r="G6" s="27"/>
      <c r="H6" s="27"/>
      <c r="I6" s="35"/>
      <c r="BH6" s="134"/>
      <c r="BI6" s="35"/>
    </row>
    <row r="7" spans="1:110" ht="14.4" thickBot="1" x14ac:dyDescent="0.3">
      <c r="K7" s="1007" t="s">
        <v>462</v>
      </c>
      <c r="L7" s="1008"/>
      <c r="M7" s="1008"/>
      <c r="N7" s="1008"/>
      <c r="O7" s="1008"/>
      <c r="P7" s="1008"/>
      <c r="Q7" s="1008"/>
      <c r="R7" s="1008"/>
      <c r="S7" s="1008"/>
      <c r="T7" s="1008"/>
      <c r="U7" s="1008"/>
      <c r="V7" s="1008"/>
      <c r="W7" s="1008"/>
      <c r="X7" s="1008"/>
      <c r="Y7" s="1008"/>
      <c r="Z7" s="1009"/>
      <c r="AA7" s="1009"/>
      <c r="AB7" s="1009"/>
      <c r="AC7" s="1009"/>
      <c r="AD7" s="1009"/>
      <c r="AE7" s="1009"/>
      <c r="AF7" s="1009"/>
      <c r="AG7" s="1009"/>
      <c r="AH7" s="1009"/>
      <c r="AI7" s="1009"/>
      <c r="AJ7" s="1009"/>
      <c r="AK7" s="1009"/>
      <c r="AL7" s="1009"/>
      <c r="AM7" s="1009"/>
      <c r="AN7" s="1009"/>
      <c r="AO7" s="1009"/>
      <c r="AP7" s="1009"/>
      <c r="AQ7" s="1009"/>
      <c r="AR7" s="1009"/>
      <c r="AS7" s="1009"/>
      <c r="AT7" s="1009"/>
      <c r="AU7" s="1009"/>
      <c r="AV7" s="1009"/>
      <c r="AW7" s="1009"/>
      <c r="AX7" s="1009"/>
      <c r="AY7" s="1009"/>
      <c r="AZ7" s="1009"/>
      <c r="BA7" s="1009"/>
      <c r="BB7" s="1009"/>
      <c r="BC7" s="1009"/>
      <c r="BD7" s="1009"/>
      <c r="BE7" s="1009"/>
      <c r="BF7" s="1010"/>
      <c r="BH7" s="1011" t="s">
        <v>519</v>
      </c>
      <c r="BI7" s="1012"/>
      <c r="BJ7" s="1012"/>
      <c r="BK7" s="1012"/>
      <c r="BL7" s="1012"/>
      <c r="BM7" s="1012"/>
      <c r="BN7" s="1012"/>
      <c r="BO7" s="1012"/>
      <c r="BP7" s="1012"/>
      <c r="BQ7" s="1012"/>
      <c r="BR7" s="1012"/>
      <c r="BS7" s="1012"/>
      <c r="BT7" s="1012"/>
      <c r="BU7" s="1012"/>
      <c r="BV7" s="1012"/>
      <c r="BW7" s="1012"/>
      <c r="BX7" s="1012"/>
      <c r="BY7" s="1012"/>
      <c r="BZ7" s="1013"/>
      <c r="CA7" s="1013"/>
      <c r="CB7" s="1013"/>
      <c r="CC7" s="1013"/>
      <c r="CD7" s="1013"/>
      <c r="CE7" s="1013"/>
      <c r="CF7" s="1013"/>
      <c r="CG7" s="1013"/>
      <c r="CH7" s="1013"/>
      <c r="CI7" s="1013"/>
      <c r="CJ7" s="1013"/>
      <c r="CK7" s="1013"/>
      <c r="CL7" s="1013"/>
      <c r="CM7" s="1013"/>
      <c r="CN7" s="1013"/>
      <c r="CO7" s="1013"/>
      <c r="CP7" s="1013"/>
      <c r="CQ7" s="1013"/>
      <c r="CR7" s="1013"/>
      <c r="CS7" s="1013"/>
      <c r="CT7" s="1013"/>
      <c r="CU7" s="1013"/>
      <c r="CV7" s="1013"/>
      <c r="CW7" s="1013"/>
      <c r="CX7" s="1013"/>
      <c r="CY7" s="1013"/>
      <c r="CZ7" s="1013"/>
      <c r="DA7" s="1013"/>
      <c r="DB7" s="1013"/>
      <c r="DC7" s="1013"/>
      <c r="DD7" s="1013"/>
      <c r="DE7" s="1013"/>
      <c r="DF7" s="1014"/>
    </row>
    <row r="8" spans="1:110" ht="54" customHeight="1" thickBot="1" x14ac:dyDescent="0.3">
      <c r="A8" s="28" t="s">
        <v>469</v>
      </c>
      <c r="B8" s="40" t="s">
        <v>313</v>
      </c>
      <c r="C8" s="61" t="s">
        <v>87</v>
      </c>
      <c r="D8" s="41" t="s">
        <v>520</v>
      </c>
      <c r="E8" s="42" t="s">
        <v>521</v>
      </c>
      <c r="F8" s="43" t="s">
        <v>522</v>
      </c>
      <c r="G8" s="44" t="s">
        <v>523</v>
      </c>
      <c r="H8" s="43" t="s">
        <v>474</v>
      </c>
      <c r="I8" s="128" t="s">
        <v>524</v>
      </c>
      <c r="J8" s="45"/>
      <c r="K8" s="522" t="str">
        <f>'Costo Directo'!L9</f>
        <v>JUN 2025 Q1</v>
      </c>
      <c r="L8" s="523" t="str">
        <f>'Costo Directo'!M9</f>
        <v>JUN 2025 Q2</v>
      </c>
      <c r="M8" s="523" t="str">
        <f>'Costo Directo'!N9</f>
        <v>JUL 2025 Q1</v>
      </c>
      <c r="N8" s="523" t="str">
        <f>'Costo Directo'!O9</f>
        <v>JUL 2025 Q2</v>
      </c>
      <c r="O8" s="523" t="str">
        <f>'Costo Directo'!P9</f>
        <v>AGO 2025 Q1</v>
      </c>
      <c r="P8" s="523" t="str">
        <f>'Costo Directo'!Q9</f>
        <v>AGO 2025 Q2</v>
      </c>
      <c r="Q8" s="523" t="str">
        <f>'Costo Directo'!R9</f>
        <v>SEP 2025 Q1</v>
      </c>
      <c r="R8" s="523" t="str">
        <f>'Costo Directo'!S9</f>
        <v>SEP 2025 Q2</v>
      </c>
      <c r="S8" s="523" t="str">
        <f>'Costo Directo'!T9</f>
        <v>OCT 2025 Q1</v>
      </c>
      <c r="T8" s="523" t="str">
        <f>'Costo Directo'!U9</f>
        <v>OCT 2025 Q2</v>
      </c>
      <c r="U8" s="523" t="str">
        <f>'Costo Directo'!V9</f>
        <v>NOV 2025 Q1</v>
      </c>
      <c r="V8" s="523" t="str">
        <f>'Costo Directo'!W9</f>
        <v>NOV 2025 Q2</v>
      </c>
      <c r="W8" s="523" t="str">
        <f>'Costo Directo'!X9</f>
        <v>DIC 2025 Q1</v>
      </c>
      <c r="X8" s="523" t="str">
        <f>'Costo Directo'!Y9</f>
        <v>DIC 2025 Q2</v>
      </c>
      <c r="Y8" s="523" t="str">
        <f>'Costo Directo'!Z9</f>
        <v>ENE 2026 Q1</v>
      </c>
      <c r="Z8" s="432" t="str">
        <f>'Costo Directo'!AA9</f>
        <v>ENE 2026 Q2</v>
      </c>
      <c r="AA8" s="432" t="str">
        <f>'Costo Directo'!AB9</f>
        <v>FEB 2026 Q1</v>
      </c>
      <c r="AB8" s="432" t="str">
        <f>'Costo Directo'!AC9</f>
        <v>FEB 2026 Q2</v>
      </c>
      <c r="AC8" s="432" t="str">
        <f>'Costo Directo'!AD9</f>
        <v>MAR 2026 Q1</v>
      </c>
      <c r="AD8" s="432" t="str">
        <f>'Costo Directo'!AE9</f>
        <v>MAR 2026 Q2</v>
      </c>
      <c r="AE8" s="432" t="str">
        <f>'Costo Directo'!AF9</f>
        <v>ABR 2026 Q1</v>
      </c>
      <c r="AF8" s="432" t="str">
        <f>'Costo Directo'!AG9</f>
        <v>ABR 2026 Q2</v>
      </c>
      <c r="AG8" s="432" t="str">
        <f>'Costo Directo'!AH9</f>
        <v>MAY 2026 Q1</v>
      </c>
      <c r="AH8" s="432" t="str">
        <f>'Costo Directo'!AI9</f>
        <v>MAY 2026 Q2</v>
      </c>
      <c r="AI8" s="433" t="str">
        <f>'Costo Directo'!AJ9</f>
        <v>JUN 2026 Q1</v>
      </c>
      <c r="AJ8" s="432" t="str">
        <f>'Costo Directo'!AK9</f>
        <v>JUN 2026 Q2</v>
      </c>
      <c r="AK8" s="432" t="str">
        <f>'Costo Directo'!AL9</f>
        <v>JUL 2026 Q1</v>
      </c>
      <c r="AL8" s="432" t="str">
        <f>'Costo Directo'!AM9</f>
        <v>JUL 2026 Q2</v>
      </c>
      <c r="AM8" s="432" t="str">
        <f>'Costo Directo'!AN9</f>
        <v>AGO 2026 Q1</v>
      </c>
      <c r="AN8" s="432" t="str">
        <f>'Costo Directo'!AO9</f>
        <v>AGO 2026 Q2</v>
      </c>
      <c r="AO8" s="432" t="str">
        <f>'Costo Directo'!AP9</f>
        <v>SEP 2026 Q1</v>
      </c>
      <c r="AP8" s="432" t="str">
        <f>'Costo Directo'!AQ9</f>
        <v>SEP 2026 Q2</v>
      </c>
      <c r="AQ8" s="432" t="str">
        <f>'Costo Directo'!AR9</f>
        <v>OCT 2026 Q1</v>
      </c>
      <c r="AR8" s="432" t="str">
        <f>'Costo Directo'!AS9</f>
        <v>OCT 2026 Q2</v>
      </c>
      <c r="AS8" s="432" t="str">
        <f>'Costo Directo'!AT9</f>
        <v>NOV 2026 Q1</v>
      </c>
      <c r="AT8" s="432" t="str">
        <f>'Costo Directo'!AU9</f>
        <v>NOV 2026 Q2</v>
      </c>
      <c r="AU8" s="432" t="str">
        <f>'Costo Directo'!AV9</f>
        <v>DIC 2026 Q1</v>
      </c>
      <c r="AV8" s="432" t="str">
        <f>'Costo Directo'!AW9</f>
        <v>DIC 2026 Q2</v>
      </c>
      <c r="AW8" s="432" t="str">
        <f>'Costo Directo'!AX9</f>
        <v>ENE 2027 Q1</v>
      </c>
      <c r="AX8" s="432" t="str">
        <f>'Costo Directo'!AY9</f>
        <v>ENE 2027 Q2</v>
      </c>
      <c r="AY8" s="432" t="str">
        <f>'Costo Directo'!AZ9</f>
        <v>FEB 2027 Q1</v>
      </c>
      <c r="AZ8" s="432" t="str">
        <f>'Costo Directo'!BA9</f>
        <v>FEB 2027 Q2</v>
      </c>
      <c r="BA8" s="432" t="str">
        <f>'Costo Directo'!BB9</f>
        <v>MAR 2027 Q1</v>
      </c>
      <c r="BB8" s="432" t="str">
        <f>'Costo Directo'!BC9</f>
        <v>MAR 2027 Q2</v>
      </c>
      <c r="BC8" s="432" t="str">
        <f>'Costo Directo'!BD9</f>
        <v>ABR 2027 Q1</v>
      </c>
      <c r="BD8" s="432" t="str">
        <f>'Costo Directo'!BE9</f>
        <v>ABR 2027 Q2</v>
      </c>
      <c r="BE8" s="432" t="str">
        <f>'Costo Directo'!BF9</f>
        <v>MAY 2027 Q1</v>
      </c>
      <c r="BF8" s="435" t="str">
        <f>'Costo Directo'!BG9</f>
        <v>MAY 2027 Q2</v>
      </c>
      <c r="BG8" s="45"/>
      <c r="BH8" s="164" t="s">
        <v>467</v>
      </c>
      <c r="BI8" s="136" t="s">
        <v>468</v>
      </c>
      <c r="BJ8" s="45"/>
      <c r="BK8" s="434" t="str">
        <f>K8</f>
        <v>JUN 2025 Q1</v>
      </c>
      <c r="BL8" s="434" t="str">
        <f t="shared" ref="BL8:DF8" si="0">L8</f>
        <v>JUN 2025 Q2</v>
      </c>
      <c r="BM8" s="434" t="str">
        <f t="shared" si="0"/>
        <v>JUL 2025 Q1</v>
      </c>
      <c r="BN8" s="434" t="str">
        <f t="shared" si="0"/>
        <v>JUL 2025 Q2</v>
      </c>
      <c r="BO8" s="434" t="str">
        <f t="shared" si="0"/>
        <v>AGO 2025 Q1</v>
      </c>
      <c r="BP8" s="434" t="str">
        <f t="shared" si="0"/>
        <v>AGO 2025 Q2</v>
      </c>
      <c r="BQ8" s="434" t="str">
        <f t="shared" si="0"/>
        <v>SEP 2025 Q1</v>
      </c>
      <c r="BR8" s="434" t="str">
        <f t="shared" si="0"/>
        <v>SEP 2025 Q2</v>
      </c>
      <c r="BS8" s="434" t="str">
        <f t="shared" si="0"/>
        <v>OCT 2025 Q1</v>
      </c>
      <c r="BT8" s="434" t="str">
        <f t="shared" si="0"/>
        <v>OCT 2025 Q2</v>
      </c>
      <c r="BU8" s="434" t="str">
        <f t="shared" si="0"/>
        <v>NOV 2025 Q1</v>
      </c>
      <c r="BV8" s="434" t="str">
        <f t="shared" si="0"/>
        <v>NOV 2025 Q2</v>
      </c>
      <c r="BW8" s="434" t="str">
        <f t="shared" si="0"/>
        <v>DIC 2025 Q1</v>
      </c>
      <c r="BX8" s="434" t="str">
        <f t="shared" si="0"/>
        <v>DIC 2025 Q2</v>
      </c>
      <c r="BY8" s="434" t="str">
        <f t="shared" si="0"/>
        <v>ENE 2026 Q1</v>
      </c>
      <c r="BZ8" s="434" t="str">
        <f t="shared" si="0"/>
        <v>ENE 2026 Q2</v>
      </c>
      <c r="CA8" s="434" t="str">
        <f t="shared" si="0"/>
        <v>FEB 2026 Q1</v>
      </c>
      <c r="CB8" s="434" t="str">
        <f t="shared" si="0"/>
        <v>FEB 2026 Q2</v>
      </c>
      <c r="CC8" s="434" t="str">
        <f t="shared" si="0"/>
        <v>MAR 2026 Q1</v>
      </c>
      <c r="CD8" s="434" t="str">
        <f t="shared" si="0"/>
        <v>MAR 2026 Q2</v>
      </c>
      <c r="CE8" s="434" t="str">
        <f t="shared" si="0"/>
        <v>ABR 2026 Q1</v>
      </c>
      <c r="CF8" s="434" t="str">
        <f t="shared" si="0"/>
        <v>ABR 2026 Q2</v>
      </c>
      <c r="CG8" s="434" t="str">
        <f t="shared" si="0"/>
        <v>MAY 2026 Q1</v>
      </c>
      <c r="CH8" s="434" t="str">
        <f t="shared" si="0"/>
        <v>MAY 2026 Q2</v>
      </c>
      <c r="CI8" s="434" t="str">
        <f t="shared" si="0"/>
        <v>JUN 2026 Q1</v>
      </c>
      <c r="CJ8" s="434" t="str">
        <f t="shared" si="0"/>
        <v>JUN 2026 Q2</v>
      </c>
      <c r="CK8" s="434" t="str">
        <f t="shared" si="0"/>
        <v>JUL 2026 Q1</v>
      </c>
      <c r="CL8" s="434" t="str">
        <f t="shared" si="0"/>
        <v>JUL 2026 Q2</v>
      </c>
      <c r="CM8" s="434" t="str">
        <f t="shared" si="0"/>
        <v>AGO 2026 Q1</v>
      </c>
      <c r="CN8" s="434" t="str">
        <f t="shared" si="0"/>
        <v>AGO 2026 Q2</v>
      </c>
      <c r="CO8" s="434" t="str">
        <f t="shared" si="0"/>
        <v>SEP 2026 Q1</v>
      </c>
      <c r="CP8" s="434" t="str">
        <f t="shared" si="0"/>
        <v>SEP 2026 Q2</v>
      </c>
      <c r="CQ8" s="434" t="str">
        <f t="shared" si="0"/>
        <v>OCT 2026 Q1</v>
      </c>
      <c r="CR8" s="434" t="str">
        <f t="shared" si="0"/>
        <v>OCT 2026 Q2</v>
      </c>
      <c r="CS8" s="434" t="str">
        <f t="shared" si="0"/>
        <v>NOV 2026 Q1</v>
      </c>
      <c r="CT8" s="434" t="str">
        <f t="shared" si="0"/>
        <v>NOV 2026 Q2</v>
      </c>
      <c r="CU8" s="434" t="str">
        <f t="shared" si="0"/>
        <v>DIC 2026 Q1</v>
      </c>
      <c r="CV8" s="434" t="str">
        <f t="shared" si="0"/>
        <v>DIC 2026 Q2</v>
      </c>
      <c r="CW8" s="434" t="str">
        <f t="shared" si="0"/>
        <v>ENE 2027 Q1</v>
      </c>
      <c r="CX8" s="434" t="str">
        <f t="shared" si="0"/>
        <v>ENE 2027 Q2</v>
      </c>
      <c r="CY8" s="434" t="str">
        <f t="shared" si="0"/>
        <v>FEB 2027 Q1</v>
      </c>
      <c r="CZ8" s="434" t="str">
        <f t="shared" si="0"/>
        <v>FEB 2027 Q2</v>
      </c>
      <c r="DA8" s="434" t="str">
        <f t="shared" si="0"/>
        <v>MAR 2027 Q1</v>
      </c>
      <c r="DB8" s="434" t="str">
        <f t="shared" si="0"/>
        <v>MAR 2027 Q2</v>
      </c>
      <c r="DC8" s="434" t="str">
        <f t="shared" si="0"/>
        <v>ABR 2027 Q1</v>
      </c>
      <c r="DD8" s="434" t="str">
        <f t="shared" si="0"/>
        <v>ABR 2027 Q2</v>
      </c>
      <c r="DE8" s="434" t="str">
        <f t="shared" si="0"/>
        <v>MAY 2027 Q1</v>
      </c>
      <c r="DF8" s="435" t="str">
        <f t="shared" si="0"/>
        <v>MAY 2027 Q2</v>
      </c>
    </row>
    <row r="9" spans="1:110" ht="14.4" collapsed="1" thickBot="1" x14ac:dyDescent="0.3">
      <c r="A9" s="28" t="str">
        <f>IFERROR(IF(I9&gt;0,"Imprimir",""),"")</f>
        <v>Imprimir</v>
      </c>
      <c r="B9" s="208"/>
      <c r="C9" s="212"/>
      <c r="D9" s="213"/>
      <c r="E9" s="212"/>
      <c r="F9" s="214"/>
      <c r="G9" s="215"/>
      <c r="H9" s="216"/>
      <c r="I9" s="211">
        <f>SUBTOTAL(9,I11:I138)</f>
        <v>779074.19200000004</v>
      </c>
      <c r="J9" s="45"/>
      <c r="K9" s="249">
        <f>K11+K52+K63+K71+K82+K91+K116+K132</f>
        <v>181257.52533333332</v>
      </c>
      <c r="L9" s="249">
        <f t="shared" ref="L9:BF9" si="1">L11+L52+L63+L71+L82+L91+L116+L132</f>
        <v>65833.333333333328</v>
      </c>
      <c r="M9" s="249">
        <f t="shared" si="1"/>
        <v>65833.333333333328</v>
      </c>
      <c r="N9" s="249">
        <f t="shared" si="1"/>
        <v>65833.333333333328</v>
      </c>
      <c r="O9" s="249">
        <f t="shared" si="1"/>
        <v>65833.333333333328</v>
      </c>
      <c r="P9" s="249">
        <f t="shared" si="1"/>
        <v>65833.333333333328</v>
      </c>
      <c r="Q9" s="249">
        <f t="shared" si="1"/>
        <v>137650</v>
      </c>
      <c r="R9" s="249">
        <f t="shared" si="1"/>
        <v>379869.27799999999</v>
      </c>
      <c r="S9" s="249">
        <f t="shared" si="1"/>
        <v>0</v>
      </c>
      <c r="T9" s="249">
        <f t="shared" si="1"/>
        <v>75000</v>
      </c>
      <c r="U9" s="249">
        <f t="shared" si="1"/>
        <v>0</v>
      </c>
      <c r="V9" s="249">
        <f t="shared" si="1"/>
        <v>0</v>
      </c>
      <c r="W9" s="249">
        <f t="shared" si="1"/>
        <v>0</v>
      </c>
      <c r="X9" s="249">
        <f t="shared" si="1"/>
        <v>0</v>
      </c>
      <c r="Y9" s="249">
        <f t="shared" si="1"/>
        <v>0</v>
      </c>
      <c r="Z9" s="249">
        <f t="shared" si="1"/>
        <v>0</v>
      </c>
      <c r="AA9" s="249">
        <f t="shared" si="1"/>
        <v>0</v>
      </c>
      <c r="AB9" s="249">
        <f t="shared" si="1"/>
        <v>0</v>
      </c>
      <c r="AC9" s="249">
        <f t="shared" si="1"/>
        <v>0</v>
      </c>
      <c r="AD9" s="249">
        <f t="shared" si="1"/>
        <v>0</v>
      </c>
      <c r="AE9" s="249">
        <f t="shared" si="1"/>
        <v>0</v>
      </c>
      <c r="AF9" s="249">
        <f t="shared" si="1"/>
        <v>0</v>
      </c>
      <c r="AG9" s="249">
        <f t="shared" si="1"/>
        <v>0</v>
      </c>
      <c r="AH9" s="249">
        <f t="shared" si="1"/>
        <v>0</v>
      </c>
      <c r="AI9" s="249">
        <f t="shared" si="1"/>
        <v>0</v>
      </c>
      <c r="AJ9" s="249">
        <f t="shared" si="1"/>
        <v>0</v>
      </c>
      <c r="AK9" s="249">
        <f t="shared" si="1"/>
        <v>0</v>
      </c>
      <c r="AL9" s="249">
        <f t="shared" si="1"/>
        <v>0</v>
      </c>
      <c r="AM9" s="249">
        <f t="shared" si="1"/>
        <v>0</v>
      </c>
      <c r="AN9" s="249">
        <f t="shared" si="1"/>
        <v>0</v>
      </c>
      <c r="AO9" s="249">
        <f t="shared" si="1"/>
        <v>0</v>
      </c>
      <c r="AP9" s="249">
        <f t="shared" si="1"/>
        <v>0</v>
      </c>
      <c r="AQ9" s="249">
        <f t="shared" si="1"/>
        <v>0</v>
      </c>
      <c r="AR9" s="249">
        <f t="shared" si="1"/>
        <v>0</v>
      </c>
      <c r="AS9" s="249">
        <f t="shared" si="1"/>
        <v>0</v>
      </c>
      <c r="AT9" s="249">
        <f t="shared" si="1"/>
        <v>0</v>
      </c>
      <c r="AU9" s="249">
        <f t="shared" si="1"/>
        <v>0</v>
      </c>
      <c r="AV9" s="249">
        <f t="shared" si="1"/>
        <v>0</v>
      </c>
      <c r="AW9" s="249">
        <f t="shared" si="1"/>
        <v>0</v>
      </c>
      <c r="AX9" s="249">
        <f t="shared" si="1"/>
        <v>0</v>
      </c>
      <c r="AY9" s="249">
        <f t="shared" si="1"/>
        <v>0</v>
      </c>
      <c r="AZ9" s="249">
        <f t="shared" si="1"/>
        <v>0</v>
      </c>
      <c r="BA9" s="249">
        <f t="shared" si="1"/>
        <v>0</v>
      </c>
      <c r="BB9" s="249">
        <f t="shared" si="1"/>
        <v>0</v>
      </c>
      <c r="BC9" s="249">
        <f t="shared" si="1"/>
        <v>0</v>
      </c>
      <c r="BD9" s="249">
        <f t="shared" si="1"/>
        <v>0</v>
      </c>
      <c r="BE9" s="249">
        <f t="shared" si="1"/>
        <v>0</v>
      </c>
      <c r="BF9" s="436">
        <f t="shared" si="1"/>
        <v>0</v>
      </c>
      <c r="BG9" s="45"/>
      <c r="BH9" s="210">
        <f>IFERROR(BI9/I9,0)</f>
        <v>2.2782531430269648</v>
      </c>
      <c r="BI9" s="211">
        <f>SUBTOTAL(9,BI11:BI139)</f>
        <v>1774928.226575193</v>
      </c>
      <c r="BJ9" s="45"/>
      <c r="BK9" s="209">
        <f>SUM(BK11,BK52,BK63,BK71,BK82,BK91,BK116,BK132)</f>
        <v>0</v>
      </c>
      <c r="BL9" s="209">
        <f t="shared" ref="BL9:DF9" si="2">SUM(BL11,BL52,BL63,BL71,BL82,BL91,BL116,BL132)</f>
        <v>33668.747122487926</v>
      </c>
      <c r="BM9" s="209">
        <f t="shared" si="2"/>
        <v>126342.04956221201</v>
      </c>
      <c r="BN9" s="209">
        <f t="shared" si="2"/>
        <v>198042.38925269651</v>
      </c>
      <c r="BO9" s="209">
        <f t="shared" si="2"/>
        <v>264341.56770028092</v>
      </c>
      <c r="BP9" s="209">
        <f t="shared" si="2"/>
        <v>173343.77958296236</v>
      </c>
      <c r="BQ9" s="209">
        <f t="shared" si="2"/>
        <v>171585.19878228902</v>
      </c>
      <c r="BR9" s="209">
        <f t="shared" si="2"/>
        <v>92328.027920706605</v>
      </c>
      <c r="BS9" s="209">
        <f t="shared" si="2"/>
        <v>53636.654730376002</v>
      </c>
      <c r="BT9" s="209">
        <f t="shared" si="2"/>
        <v>81252.226145837994</v>
      </c>
      <c r="BU9" s="209">
        <f t="shared" si="2"/>
        <v>99700.925287585036</v>
      </c>
      <c r="BV9" s="209">
        <f t="shared" si="2"/>
        <v>144723.82007595384</v>
      </c>
      <c r="BW9" s="209">
        <f t="shared" si="2"/>
        <v>85987.654486234809</v>
      </c>
      <c r="BX9" s="209">
        <f t="shared" si="2"/>
        <v>79341.468170720022</v>
      </c>
      <c r="BY9" s="209">
        <f t="shared" si="2"/>
        <v>163091.66931658384</v>
      </c>
      <c r="BZ9" s="209">
        <f t="shared" si="2"/>
        <v>4300.8513234161319</v>
      </c>
      <c r="CA9" s="209">
        <f t="shared" si="2"/>
        <v>3241.1971148501307</v>
      </c>
      <c r="CB9" s="209">
        <f t="shared" si="2"/>
        <v>0</v>
      </c>
      <c r="CC9" s="209">
        <f t="shared" si="2"/>
        <v>0</v>
      </c>
      <c r="CD9" s="209">
        <f t="shared" si="2"/>
        <v>0</v>
      </c>
      <c r="CE9" s="209">
        <f t="shared" si="2"/>
        <v>0</v>
      </c>
      <c r="CF9" s="209">
        <f t="shared" si="2"/>
        <v>0</v>
      </c>
      <c r="CG9" s="209">
        <f t="shared" si="2"/>
        <v>0</v>
      </c>
      <c r="CH9" s="209">
        <f t="shared" si="2"/>
        <v>0</v>
      </c>
      <c r="CI9" s="209">
        <f t="shared" si="2"/>
        <v>0</v>
      </c>
      <c r="CJ9" s="209">
        <f t="shared" si="2"/>
        <v>0</v>
      </c>
      <c r="CK9" s="209">
        <f t="shared" si="2"/>
        <v>0</v>
      </c>
      <c r="CL9" s="209">
        <f t="shared" si="2"/>
        <v>0</v>
      </c>
      <c r="CM9" s="209">
        <f t="shared" si="2"/>
        <v>0</v>
      </c>
      <c r="CN9" s="209">
        <f t="shared" si="2"/>
        <v>0</v>
      </c>
      <c r="CO9" s="209">
        <f t="shared" si="2"/>
        <v>0</v>
      </c>
      <c r="CP9" s="209">
        <f t="shared" si="2"/>
        <v>0</v>
      </c>
      <c r="CQ9" s="209">
        <f t="shared" si="2"/>
        <v>0</v>
      </c>
      <c r="CR9" s="209">
        <f t="shared" si="2"/>
        <v>0</v>
      </c>
      <c r="CS9" s="209">
        <f t="shared" si="2"/>
        <v>0</v>
      </c>
      <c r="CT9" s="209">
        <f t="shared" si="2"/>
        <v>0</v>
      </c>
      <c r="CU9" s="209">
        <f t="shared" si="2"/>
        <v>0</v>
      </c>
      <c r="CV9" s="209">
        <f t="shared" si="2"/>
        <v>0</v>
      </c>
      <c r="CW9" s="209">
        <f t="shared" si="2"/>
        <v>0</v>
      </c>
      <c r="CX9" s="209">
        <f t="shared" si="2"/>
        <v>0</v>
      </c>
      <c r="CY9" s="209">
        <f t="shared" si="2"/>
        <v>0</v>
      </c>
      <c r="CZ9" s="209">
        <f t="shared" si="2"/>
        <v>0</v>
      </c>
      <c r="DA9" s="209">
        <f t="shared" si="2"/>
        <v>0</v>
      </c>
      <c r="DB9" s="209">
        <f t="shared" si="2"/>
        <v>0</v>
      </c>
      <c r="DC9" s="209">
        <f t="shared" si="2"/>
        <v>0</v>
      </c>
      <c r="DD9" s="209">
        <f t="shared" si="2"/>
        <v>0</v>
      </c>
      <c r="DE9" s="209">
        <f t="shared" si="2"/>
        <v>0</v>
      </c>
      <c r="DF9" s="437">
        <f t="shared" si="2"/>
        <v>0</v>
      </c>
    </row>
    <row r="10" spans="1:110" ht="6" customHeight="1" thickBot="1" x14ac:dyDescent="0.35">
      <c r="A10" s="28" t="s">
        <v>516</v>
      </c>
      <c r="B10" s="203"/>
      <c r="C10" s="203"/>
      <c r="D10" s="204"/>
      <c r="E10" s="205"/>
      <c r="F10" s="206"/>
      <c r="G10" s="207"/>
      <c r="H10" s="206"/>
      <c r="I10" s="206"/>
      <c r="J10" s="45"/>
      <c r="K10" s="176"/>
      <c r="L10" s="176"/>
      <c r="M10" s="176"/>
      <c r="N10" s="176"/>
      <c r="O10" s="176"/>
      <c r="P10" s="176"/>
      <c r="Q10" s="176"/>
      <c r="R10" s="176"/>
      <c r="S10" s="176"/>
      <c r="T10" s="176"/>
      <c r="U10" s="176"/>
      <c r="V10" s="176"/>
      <c r="W10" s="176"/>
      <c r="X10" s="176"/>
      <c r="Y10" s="176"/>
      <c r="Z10" s="176"/>
      <c r="AA10" s="176"/>
      <c r="AB10" s="176"/>
      <c r="AC10" s="176"/>
      <c r="AD10" s="176"/>
      <c r="AE10" s="176"/>
      <c r="AF10" s="176"/>
      <c r="AG10" s="176"/>
      <c r="AH10" s="176"/>
      <c r="AI10" s="176"/>
      <c r="AJ10" s="176"/>
      <c r="AK10" s="176"/>
      <c r="AL10" s="176"/>
      <c r="AM10" s="176"/>
      <c r="AN10" s="176"/>
      <c r="AO10" s="176"/>
      <c r="AP10" s="176"/>
      <c r="AQ10" s="176"/>
      <c r="AR10" s="176"/>
      <c r="AS10" s="176"/>
      <c r="AT10" s="176"/>
      <c r="AU10" s="176"/>
      <c r="AV10" s="176"/>
      <c r="AW10" s="176"/>
      <c r="AX10" s="176"/>
      <c r="AY10" s="176"/>
      <c r="AZ10" s="176"/>
      <c r="BA10" s="176"/>
      <c r="BB10" s="176"/>
      <c r="BC10" s="176"/>
      <c r="BD10" s="176"/>
      <c r="BE10" s="176"/>
      <c r="BF10" s="176"/>
      <c r="BG10" s="45"/>
      <c r="BH10" s="266"/>
      <c r="BI10" s="266"/>
      <c r="BJ10" s="45"/>
      <c r="BK10" s="176"/>
      <c r="BL10" s="176"/>
      <c r="BM10" s="176"/>
      <c r="BN10" s="176"/>
      <c r="BO10" s="176"/>
      <c r="BP10" s="176"/>
      <c r="BQ10" s="176"/>
      <c r="BR10" s="176"/>
      <c r="BS10" s="176"/>
      <c r="BT10" s="176"/>
      <c r="BU10" s="176"/>
      <c r="BV10" s="176"/>
      <c r="BW10" s="176"/>
      <c r="BX10" s="176"/>
      <c r="BY10" s="176"/>
      <c r="BZ10" s="176"/>
      <c r="CA10" s="176"/>
      <c r="CB10" s="176"/>
      <c r="CC10" s="176"/>
      <c r="CD10" s="176"/>
      <c r="CE10" s="176"/>
      <c r="CF10" s="176"/>
      <c r="CG10" s="176"/>
      <c r="CH10" s="176"/>
      <c r="CI10" s="176"/>
      <c r="CJ10" s="176"/>
      <c r="CK10" s="176"/>
      <c r="CL10" s="176"/>
      <c r="CM10" s="176"/>
      <c r="CN10" s="176"/>
      <c r="CO10" s="176"/>
      <c r="CP10" s="176"/>
      <c r="CQ10" s="176"/>
      <c r="CR10" s="176"/>
      <c r="CS10" s="176"/>
      <c r="CT10" s="176"/>
      <c r="CU10" s="176"/>
      <c r="CV10" s="176"/>
      <c r="CW10" s="176"/>
      <c r="CX10" s="176"/>
      <c r="CY10" s="176"/>
      <c r="CZ10" s="176"/>
      <c r="DA10" s="176"/>
      <c r="DB10" s="176"/>
      <c r="DC10" s="176"/>
      <c r="DD10" s="176"/>
      <c r="DE10" s="176"/>
      <c r="DF10" s="176"/>
    </row>
    <row r="11" spans="1:110" ht="14.4" collapsed="1" thickBot="1" x14ac:dyDescent="0.3">
      <c r="A11" s="28" t="str">
        <f t="shared" ref="A11:A73" si="3">IFERROR(IF(I11&gt;0,"Imprimir",""),"")</f>
        <v>Imprimir</v>
      </c>
      <c r="B11" s="54"/>
      <c r="C11" s="36" t="s">
        <v>525</v>
      </c>
      <c r="D11" s="54" t="s">
        <v>526</v>
      </c>
      <c r="E11" s="36"/>
      <c r="F11" s="37"/>
      <c r="G11" s="55"/>
      <c r="H11" s="38"/>
      <c r="I11" s="39">
        <f>SUBTOTAL(9,I12:I51)</f>
        <v>231000</v>
      </c>
      <c r="J11" s="45"/>
      <c r="K11" s="250">
        <f>SUMPRODUCT($F12:$F51,$G12:$G51,K12:K51)</f>
        <v>23250</v>
      </c>
      <c r="L11" s="251">
        <f t="shared" ref="L11:BF11" si="4">SUMPRODUCT($F12:$F51,$G12:$G51,L12:L51)</f>
        <v>23250</v>
      </c>
      <c r="M11" s="251">
        <f t="shared" si="4"/>
        <v>23250</v>
      </c>
      <c r="N11" s="251">
        <f t="shared" si="4"/>
        <v>23250</v>
      </c>
      <c r="O11" s="251">
        <f t="shared" si="4"/>
        <v>23250</v>
      </c>
      <c r="P11" s="251">
        <f t="shared" si="4"/>
        <v>23250</v>
      </c>
      <c r="Q11" s="251">
        <f t="shared" si="4"/>
        <v>79150</v>
      </c>
      <c r="R11" s="251">
        <f t="shared" si="4"/>
        <v>122350</v>
      </c>
      <c r="S11" s="251">
        <f t="shared" si="4"/>
        <v>0</v>
      </c>
      <c r="T11" s="251">
        <f t="shared" si="4"/>
        <v>0</v>
      </c>
      <c r="U11" s="251">
        <f t="shared" si="4"/>
        <v>0</v>
      </c>
      <c r="V11" s="251">
        <f t="shared" si="4"/>
        <v>0</v>
      </c>
      <c r="W11" s="251">
        <f t="shared" si="4"/>
        <v>0</v>
      </c>
      <c r="X11" s="251">
        <f t="shared" si="4"/>
        <v>0</v>
      </c>
      <c r="Y11" s="251">
        <f t="shared" si="4"/>
        <v>0</v>
      </c>
      <c r="Z11" s="251">
        <f t="shared" si="4"/>
        <v>0</v>
      </c>
      <c r="AA11" s="251">
        <f t="shared" si="4"/>
        <v>0</v>
      </c>
      <c r="AB11" s="251">
        <f t="shared" si="4"/>
        <v>0</v>
      </c>
      <c r="AC11" s="251">
        <f t="shared" si="4"/>
        <v>0</v>
      </c>
      <c r="AD11" s="251">
        <f t="shared" si="4"/>
        <v>0</v>
      </c>
      <c r="AE11" s="251">
        <f t="shared" si="4"/>
        <v>0</v>
      </c>
      <c r="AF11" s="251">
        <f t="shared" si="4"/>
        <v>0</v>
      </c>
      <c r="AG11" s="251">
        <f t="shared" si="4"/>
        <v>0</v>
      </c>
      <c r="AH11" s="251">
        <f t="shared" si="4"/>
        <v>0</v>
      </c>
      <c r="AI11" s="251">
        <f t="shared" si="4"/>
        <v>0</v>
      </c>
      <c r="AJ11" s="251">
        <f t="shared" si="4"/>
        <v>0</v>
      </c>
      <c r="AK11" s="251">
        <f t="shared" si="4"/>
        <v>0</v>
      </c>
      <c r="AL11" s="251">
        <f t="shared" si="4"/>
        <v>0</v>
      </c>
      <c r="AM11" s="251">
        <f t="shared" si="4"/>
        <v>0</v>
      </c>
      <c r="AN11" s="251">
        <f t="shared" si="4"/>
        <v>0</v>
      </c>
      <c r="AO11" s="251">
        <f t="shared" si="4"/>
        <v>0</v>
      </c>
      <c r="AP11" s="251">
        <f t="shared" si="4"/>
        <v>0</v>
      </c>
      <c r="AQ11" s="251">
        <f t="shared" si="4"/>
        <v>0</v>
      </c>
      <c r="AR11" s="251">
        <f t="shared" si="4"/>
        <v>0</v>
      </c>
      <c r="AS11" s="251">
        <f t="shared" si="4"/>
        <v>0</v>
      </c>
      <c r="AT11" s="251">
        <f t="shared" si="4"/>
        <v>0</v>
      </c>
      <c r="AU11" s="251">
        <f t="shared" si="4"/>
        <v>0</v>
      </c>
      <c r="AV11" s="251">
        <f t="shared" si="4"/>
        <v>0</v>
      </c>
      <c r="AW11" s="251">
        <f t="shared" si="4"/>
        <v>0</v>
      </c>
      <c r="AX11" s="251">
        <f t="shared" si="4"/>
        <v>0</v>
      </c>
      <c r="AY11" s="251">
        <f t="shared" si="4"/>
        <v>0</v>
      </c>
      <c r="AZ11" s="251">
        <f t="shared" si="4"/>
        <v>0</v>
      </c>
      <c r="BA11" s="251">
        <f t="shared" si="4"/>
        <v>0</v>
      </c>
      <c r="BB11" s="251">
        <f t="shared" si="4"/>
        <v>0</v>
      </c>
      <c r="BC11" s="251">
        <f t="shared" si="4"/>
        <v>0</v>
      </c>
      <c r="BD11" s="251">
        <f t="shared" si="4"/>
        <v>0</v>
      </c>
      <c r="BE11" s="251">
        <f t="shared" si="4"/>
        <v>0</v>
      </c>
      <c r="BF11" s="566">
        <f t="shared" si="4"/>
        <v>0</v>
      </c>
      <c r="BG11" s="45"/>
      <c r="BH11" s="165">
        <f>IFERROR(BI11/I11,0)</f>
        <v>4.3547975731601731</v>
      </c>
      <c r="BI11" s="39">
        <f>SUBTOTAL(9,BI12:BI51)</f>
        <v>1005958.2394000001</v>
      </c>
      <c r="BJ11" s="45"/>
      <c r="BK11" s="137">
        <f>SUM(BK12:BK51)</f>
        <v>0</v>
      </c>
      <c r="BL11" s="138">
        <f t="shared" ref="BL11:DF11" si="5">SUM(BL12:BL51)</f>
        <v>0</v>
      </c>
      <c r="BM11" s="138">
        <f t="shared" si="5"/>
        <v>116024.28300000001</v>
      </c>
      <c r="BN11" s="138">
        <f t="shared" si="5"/>
        <v>99824.28300000001</v>
      </c>
      <c r="BO11" s="138">
        <f t="shared" si="5"/>
        <v>89024.28300000001</v>
      </c>
      <c r="BP11" s="138">
        <f t="shared" si="5"/>
        <v>70217.808000000005</v>
      </c>
      <c r="BQ11" s="138">
        <f t="shared" si="5"/>
        <v>66929.208000000013</v>
      </c>
      <c r="BR11" s="138">
        <f t="shared" si="5"/>
        <v>68549.208000000013</v>
      </c>
      <c r="BS11" s="138">
        <f t="shared" si="5"/>
        <v>49014.168000000005</v>
      </c>
      <c r="BT11" s="138">
        <f t="shared" si="5"/>
        <v>51269.207999999999</v>
      </c>
      <c r="BU11" s="138">
        <f t="shared" si="5"/>
        <v>77866.168000000005</v>
      </c>
      <c r="BV11" s="138">
        <f t="shared" si="5"/>
        <v>79554.648000000016</v>
      </c>
      <c r="BW11" s="138">
        <f t="shared" si="5"/>
        <v>79554.648000000016</v>
      </c>
      <c r="BX11" s="138">
        <f t="shared" si="5"/>
        <v>77772.648000000016</v>
      </c>
      <c r="BY11" s="138">
        <f t="shared" si="5"/>
        <v>80357.678400000004</v>
      </c>
      <c r="BZ11" s="138">
        <f t="shared" si="5"/>
        <v>0</v>
      </c>
      <c r="CA11" s="138">
        <f t="shared" si="5"/>
        <v>0</v>
      </c>
      <c r="CB11" s="138">
        <f t="shared" si="5"/>
        <v>0</v>
      </c>
      <c r="CC11" s="138">
        <f t="shared" si="5"/>
        <v>0</v>
      </c>
      <c r="CD11" s="138">
        <f t="shared" si="5"/>
        <v>0</v>
      </c>
      <c r="CE11" s="138">
        <f t="shared" si="5"/>
        <v>0</v>
      </c>
      <c r="CF11" s="138">
        <f t="shared" si="5"/>
        <v>0</v>
      </c>
      <c r="CG11" s="138">
        <f t="shared" si="5"/>
        <v>0</v>
      </c>
      <c r="CH11" s="138">
        <f t="shared" si="5"/>
        <v>0</v>
      </c>
      <c r="CI11" s="138">
        <f t="shared" si="5"/>
        <v>0</v>
      </c>
      <c r="CJ11" s="138">
        <f t="shared" si="5"/>
        <v>0</v>
      </c>
      <c r="CK11" s="138">
        <f t="shared" si="5"/>
        <v>0</v>
      </c>
      <c r="CL11" s="138">
        <f t="shared" si="5"/>
        <v>0</v>
      </c>
      <c r="CM11" s="138">
        <f t="shared" si="5"/>
        <v>0</v>
      </c>
      <c r="CN11" s="138">
        <f t="shared" si="5"/>
        <v>0</v>
      </c>
      <c r="CO11" s="138">
        <f t="shared" si="5"/>
        <v>0</v>
      </c>
      <c r="CP11" s="138">
        <f t="shared" si="5"/>
        <v>0</v>
      </c>
      <c r="CQ11" s="138">
        <f t="shared" si="5"/>
        <v>0</v>
      </c>
      <c r="CR11" s="138">
        <f t="shared" si="5"/>
        <v>0</v>
      </c>
      <c r="CS11" s="138">
        <f t="shared" si="5"/>
        <v>0</v>
      </c>
      <c r="CT11" s="138">
        <f t="shared" si="5"/>
        <v>0</v>
      </c>
      <c r="CU11" s="138">
        <f t="shared" si="5"/>
        <v>0</v>
      </c>
      <c r="CV11" s="138">
        <f t="shared" si="5"/>
        <v>0</v>
      </c>
      <c r="CW11" s="138">
        <f t="shared" si="5"/>
        <v>0</v>
      </c>
      <c r="CX11" s="138">
        <f t="shared" si="5"/>
        <v>0</v>
      </c>
      <c r="CY11" s="138">
        <f t="shared" si="5"/>
        <v>0</v>
      </c>
      <c r="CZ11" s="138">
        <f t="shared" si="5"/>
        <v>0</v>
      </c>
      <c r="DA11" s="138">
        <f t="shared" si="5"/>
        <v>0</v>
      </c>
      <c r="DB11" s="138">
        <f t="shared" si="5"/>
        <v>0</v>
      </c>
      <c r="DC11" s="138">
        <f t="shared" si="5"/>
        <v>0</v>
      </c>
      <c r="DD11" s="138">
        <f t="shared" si="5"/>
        <v>0</v>
      </c>
      <c r="DE11" s="138">
        <f t="shared" si="5"/>
        <v>0</v>
      </c>
      <c r="DF11" s="139">
        <f t="shared" si="5"/>
        <v>0</v>
      </c>
    </row>
    <row r="12" spans="1:110" ht="22.5" customHeight="1" outlineLevel="1" x14ac:dyDescent="0.3">
      <c r="A12" s="28" t="str">
        <f>IFERROR(IF(SUM(I13:I17)&gt;0,"Imprimir",""),"")</f>
        <v>Imprimir</v>
      </c>
      <c r="B12" s="497"/>
      <c r="C12" s="499"/>
      <c r="D12" s="498" t="s">
        <v>527</v>
      </c>
      <c r="E12" s="499"/>
      <c r="F12" s="501"/>
      <c r="G12" s="502"/>
      <c r="H12" s="496"/>
      <c r="I12" s="494"/>
      <c r="J12" s="47"/>
      <c r="K12" s="493"/>
      <c r="L12" s="503"/>
      <c r="M12" s="503"/>
      <c r="N12" s="503"/>
      <c r="O12" s="503"/>
      <c r="P12" s="503"/>
      <c r="Q12" s="503"/>
      <c r="R12" s="503"/>
      <c r="S12" s="503"/>
      <c r="T12" s="503"/>
      <c r="U12" s="503"/>
      <c r="V12" s="503"/>
      <c r="W12" s="503"/>
      <c r="X12" s="503"/>
      <c r="Y12" s="503"/>
      <c r="Z12" s="503"/>
      <c r="AA12" s="503"/>
      <c r="AB12" s="503"/>
      <c r="AC12" s="503"/>
      <c r="AD12" s="503"/>
      <c r="AE12" s="503"/>
      <c r="AF12" s="503"/>
      <c r="AG12" s="503"/>
      <c r="AH12" s="503"/>
      <c r="AI12" s="503"/>
      <c r="AJ12" s="503"/>
      <c r="AK12" s="503"/>
      <c r="AL12" s="503"/>
      <c r="AM12" s="503"/>
      <c r="AN12" s="503"/>
      <c r="AO12" s="503"/>
      <c r="AP12" s="503"/>
      <c r="AQ12" s="503"/>
      <c r="AR12" s="503"/>
      <c r="AS12" s="503"/>
      <c r="AT12" s="503"/>
      <c r="AU12" s="503"/>
      <c r="AV12" s="503"/>
      <c r="AW12" s="503"/>
      <c r="AX12" s="503"/>
      <c r="AY12" s="503"/>
      <c r="AZ12" s="503"/>
      <c r="BA12" s="503"/>
      <c r="BB12" s="503"/>
      <c r="BC12" s="503"/>
      <c r="BD12" s="503"/>
      <c r="BE12" s="503"/>
      <c r="BF12" s="500"/>
      <c r="BG12" s="47"/>
      <c r="BH12" s="508"/>
      <c r="BI12" s="507">
        <f t="shared" ref="BI12:BI75" si="6">SUM(BK12:DF12)</f>
        <v>0</v>
      </c>
      <c r="BJ12" s="47"/>
      <c r="BK12" s="140"/>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141"/>
    </row>
    <row r="13" spans="1:110" outlineLevel="1" x14ac:dyDescent="0.25">
      <c r="A13" s="28" t="str">
        <f t="shared" si="3"/>
        <v>Imprimir</v>
      </c>
      <c r="B13" s="50">
        <v>1</v>
      </c>
      <c r="C13" s="57" t="s">
        <v>1749</v>
      </c>
      <c r="D13" s="56" t="s">
        <v>528</v>
      </c>
      <c r="E13" s="57" t="s">
        <v>3303</v>
      </c>
      <c r="F13" s="58">
        <v>21600</v>
      </c>
      <c r="G13" s="49">
        <v>1</v>
      </c>
      <c r="H13" s="51">
        <v>1</v>
      </c>
      <c r="I13" s="505">
        <f t="shared" ref="I13:I76" si="7">F13*G13*H13</f>
        <v>21600</v>
      </c>
      <c r="J13" s="47"/>
      <c r="K13" s="142">
        <v>0.16666666666666666</v>
      </c>
      <c r="L13" s="48">
        <v>0.16666666666666666</v>
      </c>
      <c r="M13" s="48">
        <v>0.16666666666666666</v>
      </c>
      <c r="N13" s="48">
        <v>0.16666666666666666</v>
      </c>
      <c r="O13" s="48">
        <v>0.16666666666666666</v>
      </c>
      <c r="P13" s="48">
        <v>0.16666666666666666</v>
      </c>
      <c r="Q13" s="48"/>
      <c r="R13" s="48">
        <v>1</v>
      </c>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143"/>
      <c r="BG13" s="47"/>
      <c r="BH13" s="509"/>
      <c r="BI13" s="505">
        <f t="shared" si="6"/>
        <v>0</v>
      </c>
      <c r="BJ13" s="47"/>
      <c r="BK13" s="142">
        <f>SUMIFS(Imput[[Importe Neto]:[Importe Neto]],Imput[[C. Imp.]:[C. Imp.]],'Indirect Costs'!$C13,Imput[[PERIODO Imp.]:[PERIODO Imp.]],'Indirect Costs'!BK$8)</f>
        <v>0</v>
      </c>
      <c r="BL13" s="48">
        <f>SUMIFS(Imput[[Importe Neto]:[Importe Neto]],Imput[[C. Imp.]:[C. Imp.]],'Indirect Costs'!$C13,Imput[[PERIODO Imp.]:[PERIODO Imp.]],'Indirect Costs'!BL$8)</f>
        <v>0</v>
      </c>
      <c r="BM13" s="48">
        <f>SUMIFS(Imput[[Importe Neto]:[Importe Neto]],Imput[[C. Imp.]:[C. Imp.]],'Indirect Costs'!$C13,Imput[[PERIODO Imp.]:[PERIODO Imp.]],'Indirect Costs'!BM$8)</f>
        <v>0</v>
      </c>
      <c r="BN13" s="48">
        <f>SUMIFS(Imput[[Importe Neto]:[Importe Neto]],Imput[[C. Imp.]:[C. Imp.]],'Indirect Costs'!$C13,Imput[[PERIODO Imp.]:[PERIODO Imp.]],'Indirect Costs'!BN$8)</f>
        <v>0</v>
      </c>
      <c r="BO13" s="48">
        <f>SUMIFS(Imput[[Importe Neto]:[Importe Neto]],Imput[[C. Imp.]:[C. Imp.]],'Indirect Costs'!$C13,Imput[[PERIODO Imp.]:[PERIODO Imp.]],'Indirect Costs'!BO$8)</f>
        <v>0</v>
      </c>
      <c r="BP13" s="48">
        <f>SUMIFS(Imput[[Importe Neto]:[Importe Neto]],Imput[[C. Imp.]:[C. Imp.]],'Indirect Costs'!$C13,Imput[[PERIODO Imp.]:[PERIODO Imp.]],'Indirect Costs'!BP$8)</f>
        <v>0</v>
      </c>
      <c r="BQ13" s="48">
        <f>SUMIFS(Imput[[Importe Neto]:[Importe Neto]],Imput[[C. Imp.]:[C. Imp.]],'Indirect Costs'!$C13,Imput[[PERIODO Imp.]:[PERIODO Imp.]],'Indirect Costs'!BQ$8)</f>
        <v>0</v>
      </c>
      <c r="BR13" s="48">
        <f>SUMIFS(Imput[[Importe Neto]:[Importe Neto]],Imput[[C. Imp.]:[C. Imp.]],'Indirect Costs'!$C13,Imput[[PERIODO Imp.]:[PERIODO Imp.]],'Indirect Costs'!BR$8)</f>
        <v>0</v>
      </c>
      <c r="BS13" s="48">
        <f>SUMIFS(Imput[[Importe Neto]:[Importe Neto]],Imput[[C. Imp.]:[C. Imp.]],'Indirect Costs'!$C13,Imput[[PERIODO Imp.]:[PERIODO Imp.]],'Indirect Costs'!BS$8)</f>
        <v>0</v>
      </c>
      <c r="BT13" s="48">
        <f>SUMIFS(Imput[[Importe Neto]:[Importe Neto]],Imput[[C. Imp.]:[C. Imp.]],'Indirect Costs'!$C13,Imput[[PERIODO Imp.]:[PERIODO Imp.]],'Indirect Costs'!BT$8)</f>
        <v>0</v>
      </c>
      <c r="BU13" s="48">
        <f>SUMIFS(Imput[[Importe Neto]:[Importe Neto]],Imput[[C. Imp.]:[C. Imp.]],'Indirect Costs'!$C13,Imput[[PERIODO Imp.]:[PERIODO Imp.]],'Indirect Costs'!BU$8)</f>
        <v>0</v>
      </c>
      <c r="BV13" s="48">
        <f>SUMIFS(Imput[[Importe Neto]:[Importe Neto]],Imput[[C. Imp.]:[C. Imp.]],'Indirect Costs'!$C13,Imput[[PERIODO Imp.]:[PERIODO Imp.]],'Indirect Costs'!BV$8)</f>
        <v>0</v>
      </c>
      <c r="BW13" s="48">
        <f>SUMIFS(Imput[[Importe Neto]:[Importe Neto]],Imput[[C. Imp.]:[C. Imp.]],'Indirect Costs'!$C13,Imput[[PERIODO Imp.]:[PERIODO Imp.]],'Indirect Costs'!BW$8)</f>
        <v>0</v>
      </c>
      <c r="BX13" s="48">
        <f>SUMIFS(Imput[[Importe Neto]:[Importe Neto]],Imput[[C. Imp.]:[C. Imp.]],'Indirect Costs'!$C13,Imput[[PERIODO Imp.]:[PERIODO Imp.]],'Indirect Costs'!BX$8)</f>
        <v>0</v>
      </c>
      <c r="BY13" s="48">
        <f>SUMIFS(Imput[[Importe Neto]:[Importe Neto]],Imput[[C. Imp.]:[C. Imp.]],'Indirect Costs'!$C13,Imput[[PERIODO Imp.]:[PERIODO Imp.]],'Indirect Costs'!BY$8)</f>
        <v>0</v>
      </c>
      <c r="BZ13" s="48">
        <f>SUMIFS(Imput[[Importe Neto]:[Importe Neto]],Imput[[C. Imp.]:[C. Imp.]],'Indirect Costs'!$C13,Imput[[PERIODO Imp.]:[PERIODO Imp.]],'Indirect Costs'!BZ$8)</f>
        <v>0</v>
      </c>
      <c r="CA13" s="48">
        <f>SUMIFS(Imput[[Importe Neto]:[Importe Neto]],Imput[[C. Imp.]:[C. Imp.]],'Indirect Costs'!$C13,Imput[[PERIODO Imp.]:[PERIODO Imp.]],'Indirect Costs'!CA$8)</f>
        <v>0</v>
      </c>
      <c r="CB13" s="48">
        <f>SUMIFS(Imput[[Importe Neto]:[Importe Neto]],Imput[[C. Imp.]:[C. Imp.]],'Indirect Costs'!$C13,Imput[[PERIODO Imp.]:[PERIODO Imp.]],'Indirect Costs'!CB$8)</f>
        <v>0</v>
      </c>
      <c r="CC13" s="48">
        <f>SUMIFS(Imput[[Importe Neto]:[Importe Neto]],Imput[[C. Imp.]:[C. Imp.]],'Indirect Costs'!$C13,Imput[[PERIODO Imp.]:[PERIODO Imp.]],'Indirect Costs'!CC$8)</f>
        <v>0</v>
      </c>
      <c r="CD13" s="48">
        <f>SUMIFS(Imput[[Importe Neto]:[Importe Neto]],Imput[[C. Imp.]:[C. Imp.]],'Indirect Costs'!$C13,Imput[[PERIODO Imp.]:[PERIODO Imp.]],'Indirect Costs'!CD$8)</f>
        <v>0</v>
      </c>
      <c r="CE13" s="48">
        <f>SUMIFS(Imput[[Importe Neto]:[Importe Neto]],Imput[[C. Imp.]:[C. Imp.]],'Indirect Costs'!$C13,Imput[[PERIODO Imp.]:[PERIODO Imp.]],'Indirect Costs'!CE$8)</f>
        <v>0</v>
      </c>
      <c r="CF13" s="48">
        <f>SUMIFS(Imput[[Importe Neto]:[Importe Neto]],Imput[[C. Imp.]:[C. Imp.]],'Indirect Costs'!$C13,Imput[[PERIODO Imp.]:[PERIODO Imp.]],'Indirect Costs'!CF$8)</f>
        <v>0</v>
      </c>
      <c r="CG13" s="48">
        <f>SUMIFS(Imput[[Importe Neto]:[Importe Neto]],Imput[[C. Imp.]:[C. Imp.]],'Indirect Costs'!$C13,Imput[[PERIODO Imp.]:[PERIODO Imp.]],'Indirect Costs'!CG$8)</f>
        <v>0</v>
      </c>
      <c r="CH13" s="48">
        <f>SUMIFS(Imput[[Importe Neto]:[Importe Neto]],Imput[[C. Imp.]:[C. Imp.]],'Indirect Costs'!$C13,Imput[[PERIODO Imp.]:[PERIODO Imp.]],'Indirect Costs'!CH$8)</f>
        <v>0</v>
      </c>
      <c r="CI13" s="48">
        <f>SUMIFS(Imput[[Importe Neto]:[Importe Neto]],Imput[[C. Imp.]:[C. Imp.]],'Indirect Costs'!$C13,Imput[[PERIODO Imp.]:[PERIODO Imp.]],'Indirect Costs'!CI$8)</f>
        <v>0</v>
      </c>
      <c r="CJ13" s="48">
        <f>SUMIFS(Imput[[Importe Neto]:[Importe Neto]],Imput[[C. Imp.]:[C. Imp.]],'Indirect Costs'!$C13,Imput[[PERIODO Imp.]:[PERIODO Imp.]],'Indirect Costs'!CJ$8)</f>
        <v>0</v>
      </c>
      <c r="CK13" s="48">
        <f>SUMIFS(Imput[[Importe Neto]:[Importe Neto]],Imput[[C. Imp.]:[C. Imp.]],'Indirect Costs'!$C13,Imput[[PERIODO Imp.]:[PERIODO Imp.]],'Indirect Costs'!CK$8)</f>
        <v>0</v>
      </c>
      <c r="CL13" s="48">
        <f>SUMIFS(Imput[[Importe Neto]:[Importe Neto]],Imput[[C. Imp.]:[C. Imp.]],'Indirect Costs'!$C13,Imput[[PERIODO Imp.]:[PERIODO Imp.]],'Indirect Costs'!CL$8)</f>
        <v>0</v>
      </c>
      <c r="CM13" s="48">
        <f>SUMIFS(Imput[[Importe Neto]:[Importe Neto]],Imput[[C. Imp.]:[C. Imp.]],'Indirect Costs'!$C13,Imput[[PERIODO Imp.]:[PERIODO Imp.]],'Indirect Costs'!CM$8)</f>
        <v>0</v>
      </c>
      <c r="CN13" s="48">
        <f>SUMIFS(Imput[[Importe Neto]:[Importe Neto]],Imput[[C. Imp.]:[C. Imp.]],'Indirect Costs'!$C13,Imput[[PERIODO Imp.]:[PERIODO Imp.]],'Indirect Costs'!CN$8)</f>
        <v>0</v>
      </c>
      <c r="CO13" s="48">
        <f>SUMIFS(Imput[[Importe Neto]:[Importe Neto]],Imput[[C. Imp.]:[C. Imp.]],'Indirect Costs'!$C13,Imput[[PERIODO Imp.]:[PERIODO Imp.]],'Indirect Costs'!CO$8)</f>
        <v>0</v>
      </c>
      <c r="CP13" s="48">
        <f>SUMIFS(Imput[[Importe Neto]:[Importe Neto]],Imput[[C. Imp.]:[C. Imp.]],'Indirect Costs'!$C13,Imput[[PERIODO Imp.]:[PERIODO Imp.]],'Indirect Costs'!CP$8)</f>
        <v>0</v>
      </c>
      <c r="CQ13" s="48">
        <f>SUMIFS(Imput[[Importe Neto]:[Importe Neto]],Imput[[C. Imp.]:[C. Imp.]],'Indirect Costs'!$C13,Imput[[PERIODO Imp.]:[PERIODO Imp.]],'Indirect Costs'!CQ$8)</f>
        <v>0</v>
      </c>
      <c r="CR13" s="48">
        <f>SUMIFS(Imput[[Importe Neto]:[Importe Neto]],Imput[[C. Imp.]:[C. Imp.]],'Indirect Costs'!$C13,Imput[[PERIODO Imp.]:[PERIODO Imp.]],'Indirect Costs'!CR$8)</f>
        <v>0</v>
      </c>
      <c r="CS13" s="48">
        <f>SUMIFS(Imput[[Importe Neto]:[Importe Neto]],Imput[[C. Imp.]:[C. Imp.]],'Indirect Costs'!$C13,Imput[[PERIODO Imp.]:[PERIODO Imp.]],'Indirect Costs'!CS$8)</f>
        <v>0</v>
      </c>
      <c r="CT13" s="48">
        <f>SUMIFS(Imput[[Importe Neto]:[Importe Neto]],Imput[[C. Imp.]:[C. Imp.]],'Indirect Costs'!$C13,Imput[[PERIODO Imp.]:[PERIODO Imp.]],'Indirect Costs'!CT$8)</f>
        <v>0</v>
      </c>
      <c r="CU13" s="48">
        <f>SUMIFS(Imput[[Importe Neto]:[Importe Neto]],Imput[[C. Imp.]:[C. Imp.]],'Indirect Costs'!$C13,Imput[[PERIODO Imp.]:[PERIODO Imp.]],'Indirect Costs'!CU$8)</f>
        <v>0</v>
      </c>
      <c r="CV13" s="48">
        <f>SUMIFS(Imput[[Importe Neto]:[Importe Neto]],Imput[[C. Imp.]:[C. Imp.]],'Indirect Costs'!$C13,Imput[[PERIODO Imp.]:[PERIODO Imp.]],'Indirect Costs'!CV$8)</f>
        <v>0</v>
      </c>
      <c r="CW13" s="48">
        <f>SUMIFS(Imput[[Importe Neto]:[Importe Neto]],Imput[[C. Imp.]:[C. Imp.]],'Indirect Costs'!$C13,Imput[[PERIODO Imp.]:[PERIODO Imp.]],'Indirect Costs'!CW$8)</f>
        <v>0</v>
      </c>
      <c r="CX13" s="48">
        <f>SUMIFS(Imput[[Importe Neto]:[Importe Neto]],Imput[[C. Imp.]:[C. Imp.]],'Indirect Costs'!$C13,Imput[[PERIODO Imp.]:[PERIODO Imp.]],'Indirect Costs'!CX$8)</f>
        <v>0</v>
      </c>
      <c r="CY13" s="48">
        <f>SUMIFS(Imput[[Importe Neto]:[Importe Neto]],Imput[[C. Imp.]:[C. Imp.]],'Indirect Costs'!$C13,Imput[[PERIODO Imp.]:[PERIODO Imp.]],'Indirect Costs'!CY$8)</f>
        <v>0</v>
      </c>
      <c r="CZ13" s="48">
        <f>SUMIFS(Imput[[Importe Neto]:[Importe Neto]],Imput[[C. Imp.]:[C. Imp.]],'Indirect Costs'!$C13,Imput[[PERIODO Imp.]:[PERIODO Imp.]],'Indirect Costs'!CZ$8)</f>
        <v>0</v>
      </c>
      <c r="DA13" s="48">
        <f>SUMIFS(Imput[[Importe Neto]:[Importe Neto]],Imput[[C. Imp.]:[C. Imp.]],'Indirect Costs'!$C13,Imput[[PERIODO Imp.]:[PERIODO Imp.]],'Indirect Costs'!DA$8)</f>
        <v>0</v>
      </c>
      <c r="DB13" s="48">
        <f>SUMIFS(Imput[[Importe Neto]:[Importe Neto]],Imput[[C. Imp.]:[C. Imp.]],'Indirect Costs'!$C13,Imput[[PERIODO Imp.]:[PERIODO Imp.]],'Indirect Costs'!DB$8)</f>
        <v>0</v>
      </c>
      <c r="DC13" s="48">
        <f>SUMIFS(Imput[[Importe Neto]:[Importe Neto]],Imput[[C. Imp.]:[C. Imp.]],'Indirect Costs'!$C13,Imput[[PERIODO Imp.]:[PERIODO Imp.]],'Indirect Costs'!DC$8)</f>
        <v>0</v>
      </c>
      <c r="DD13" s="48">
        <f>SUMIFS(Imput[[Importe Neto]:[Importe Neto]],Imput[[C. Imp.]:[C. Imp.]],'Indirect Costs'!$C13,Imput[[PERIODO Imp.]:[PERIODO Imp.]],'Indirect Costs'!DD$8)</f>
        <v>0</v>
      </c>
      <c r="DE13" s="48">
        <f>SUMIFS(Imput[[Importe Neto]:[Importe Neto]],Imput[[C. Imp.]:[C. Imp.]],'Indirect Costs'!$C13,Imput[[PERIODO Imp.]:[PERIODO Imp.]],'Indirect Costs'!DE$8)</f>
        <v>0</v>
      </c>
      <c r="DF13" s="143">
        <f>SUMIFS(Imput[[Importe Neto]:[Importe Neto]],Imput[[C. Imp.]:[C. Imp.]],'Indirect Costs'!$C13,Imput[[PERIODO Imp.]:[PERIODO Imp.]],'Indirect Costs'!DF$8)</f>
        <v>0</v>
      </c>
    </row>
    <row r="14" spans="1:110" outlineLevel="1" x14ac:dyDescent="0.25">
      <c r="A14" s="28" t="str">
        <f t="shared" si="3"/>
        <v/>
      </c>
      <c r="B14" s="50">
        <v>2</v>
      </c>
      <c r="C14" s="57" t="s">
        <v>1771</v>
      </c>
      <c r="D14" s="56" t="s">
        <v>529</v>
      </c>
      <c r="E14" s="57" t="s">
        <v>529</v>
      </c>
      <c r="F14" s="58">
        <v>60000</v>
      </c>
      <c r="G14" s="49"/>
      <c r="H14" s="51">
        <v>1</v>
      </c>
      <c r="I14" s="505">
        <f t="shared" si="7"/>
        <v>0</v>
      </c>
      <c r="J14" s="47"/>
      <c r="K14" s="142"/>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143"/>
      <c r="BG14" s="47"/>
      <c r="BH14" s="509"/>
      <c r="BI14" s="505">
        <f t="shared" si="6"/>
        <v>27000</v>
      </c>
      <c r="BJ14" s="47"/>
      <c r="BK14" s="142">
        <f>SUMIFS(Imput[[Importe Neto]:[Importe Neto]],Imput[[C. Imp.]:[C. Imp.]],'Indirect Costs'!$C14,Imput[[PERIODO Imp.]:[PERIODO Imp.]],'Indirect Costs'!BK$8)</f>
        <v>0</v>
      </c>
      <c r="BL14" s="48">
        <f>SUMIFS(Imput[[Importe Neto]:[Importe Neto]],Imput[[C. Imp.]:[C. Imp.]],'Indirect Costs'!$C14,Imput[[PERIODO Imp.]:[PERIODO Imp.]],'Indirect Costs'!BL$8)</f>
        <v>0</v>
      </c>
      <c r="BM14" s="48">
        <f>SUMIFS(Imput[[Importe Neto]:[Importe Neto]],Imput[[C. Imp.]:[C. Imp.]],'Indirect Costs'!$C14,Imput[[PERIODO Imp.]:[PERIODO Imp.]],'Indirect Costs'!BM$8)</f>
        <v>27000</v>
      </c>
      <c r="BN14" s="48">
        <f>SUMIFS(Imput[[Importe Neto]:[Importe Neto]],Imput[[C. Imp.]:[C. Imp.]],'Indirect Costs'!$C14,Imput[[PERIODO Imp.]:[PERIODO Imp.]],'Indirect Costs'!BN$8)</f>
        <v>0</v>
      </c>
      <c r="BO14" s="48">
        <f>SUMIFS(Imput[[Importe Neto]:[Importe Neto]],Imput[[C. Imp.]:[C. Imp.]],'Indirect Costs'!$C14,Imput[[PERIODO Imp.]:[PERIODO Imp.]],'Indirect Costs'!BO$8)</f>
        <v>0</v>
      </c>
      <c r="BP14" s="48">
        <f>SUMIFS(Imput[[Importe Neto]:[Importe Neto]],Imput[[C. Imp.]:[C. Imp.]],'Indirect Costs'!$C14,Imput[[PERIODO Imp.]:[PERIODO Imp.]],'Indirect Costs'!BP$8)</f>
        <v>0</v>
      </c>
      <c r="BQ14" s="48">
        <f>SUMIFS(Imput[[Importe Neto]:[Importe Neto]],Imput[[C. Imp.]:[C. Imp.]],'Indirect Costs'!$C14,Imput[[PERIODO Imp.]:[PERIODO Imp.]],'Indirect Costs'!BQ$8)</f>
        <v>0</v>
      </c>
      <c r="BR14" s="48">
        <f>SUMIFS(Imput[[Importe Neto]:[Importe Neto]],Imput[[C. Imp.]:[C. Imp.]],'Indirect Costs'!$C14,Imput[[PERIODO Imp.]:[PERIODO Imp.]],'Indirect Costs'!BR$8)</f>
        <v>0</v>
      </c>
      <c r="BS14" s="48">
        <f>SUMIFS(Imput[[Importe Neto]:[Importe Neto]],Imput[[C. Imp.]:[C. Imp.]],'Indirect Costs'!$C14,Imput[[PERIODO Imp.]:[PERIODO Imp.]],'Indirect Costs'!BS$8)</f>
        <v>0</v>
      </c>
      <c r="BT14" s="48">
        <f>SUMIFS(Imput[[Importe Neto]:[Importe Neto]],Imput[[C. Imp.]:[C. Imp.]],'Indirect Costs'!$C14,Imput[[PERIODO Imp.]:[PERIODO Imp.]],'Indirect Costs'!BT$8)</f>
        <v>0</v>
      </c>
      <c r="BU14" s="48">
        <f>SUMIFS(Imput[[Importe Neto]:[Importe Neto]],Imput[[C. Imp.]:[C. Imp.]],'Indirect Costs'!$C14,Imput[[PERIODO Imp.]:[PERIODO Imp.]],'Indirect Costs'!BU$8)</f>
        <v>0</v>
      </c>
      <c r="BV14" s="48">
        <f>SUMIFS(Imput[[Importe Neto]:[Importe Neto]],Imput[[C. Imp.]:[C. Imp.]],'Indirect Costs'!$C14,Imput[[PERIODO Imp.]:[PERIODO Imp.]],'Indirect Costs'!BV$8)</f>
        <v>0</v>
      </c>
      <c r="BW14" s="48">
        <f>SUMIFS(Imput[[Importe Neto]:[Importe Neto]],Imput[[C. Imp.]:[C. Imp.]],'Indirect Costs'!$C14,Imput[[PERIODO Imp.]:[PERIODO Imp.]],'Indirect Costs'!BW$8)</f>
        <v>0</v>
      </c>
      <c r="BX14" s="48">
        <f>SUMIFS(Imput[[Importe Neto]:[Importe Neto]],Imput[[C. Imp.]:[C. Imp.]],'Indirect Costs'!$C14,Imput[[PERIODO Imp.]:[PERIODO Imp.]],'Indirect Costs'!BX$8)</f>
        <v>0</v>
      </c>
      <c r="BY14" s="48">
        <f>SUMIFS(Imput[[Importe Neto]:[Importe Neto]],Imput[[C. Imp.]:[C. Imp.]],'Indirect Costs'!$C14,Imput[[PERIODO Imp.]:[PERIODO Imp.]],'Indirect Costs'!BY$8)</f>
        <v>0</v>
      </c>
      <c r="BZ14" s="48">
        <f>SUMIFS(Imput[[Importe Neto]:[Importe Neto]],Imput[[C. Imp.]:[C. Imp.]],'Indirect Costs'!$C14,Imput[[PERIODO Imp.]:[PERIODO Imp.]],'Indirect Costs'!BZ$8)</f>
        <v>0</v>
      </c>
      <c r="CA14" s="48">
        <f>SUMIFS(Imput[[Importe Neto]:[Importe Neto]],Imput[[C. Imp.]:[C. Imp.]],'Indirect Costs'!$C14,Imput[[PERIODO Imp.]:[PERIODO Imp.]],'Indirect Costs'!CA$8)</f>
        <v>0</v>
      </c>
      <c r="CB14" s="48">
        <f>SUMIFS(Imput[[Importe Neto]:[Importe Neto]],Imput[[C. Imp.]:[C. Imp.]],'Indirect Costs'!$C14,Imput[[PERIODO Imp.]:[PERIODO Imp.]],'Indirect Costs'!CB$8)</f>
        <v>0</v>
      </c>
      <c r="CC14" s="48">
        <f>SUMIFS(Imput[[Importe Neto]:[Importe Neto]],Imput[[C. Imp.]:[C. Imp.]],'Indirect Costs'!$C14,Imput[[PERIODO Imp.]:[PERIODO Imp.]],'Indirect Costs'!CC$8)</f>
        <v>0</v>
      </c>
      <c r="CD14" s="48">
        <f>SUMIFS(Imput[[Importe Neto]:[Importe Neto]],Imput[[C. Imp.]:[C. Imp.]],'Indirect Costs'!$C14,Imput[[PERIODO Imp.]:[PERIODO Imp.]],'Indirect Costs'!CD$8)</f>
        <v>0</v>
      </c>
      <c r="CE14" s="48">
        <f>SUMIFS(Imput[[Importe Neto]:[Importe Neto]],Imput[[C. Imp.]:[C. Imp.]],'Indirect Costs'!$C14,Imput[[PERIODO Imp.]:[PERIODO Imp.]],'Indirect Costs'!CE$8)</f>
        <v>0</v>
      </c>
      <c r="CF14" s="48">
        <f>SUMIFS(Imput[[Importe Neto]:[Importe Neto]],Imput[[C. Imp.]:[C. Imp.]],'Indirect Costs'!$C14,Imput[[PERIODO Imp.]:[PERIODO Imp.]],'Indirect Costs'!CF$8)</f>
        <v>0</v>
      </c>
      <c r="CG14" s="48">
        <f>SUMIFS(Imput[[Importe Neto]:[Importe Neto]],Imput[[C. Imp.]:[C. Imp.]],'Indirect Costs'!$C14,Imput[[PERIODO Imp.]:[PERIODO Imp.]],'Indirect Costs'!CG$8)</f>
        <v>0</v>
      </c>
      <c r="CH14" s="48">
        <f>SUMIFS(Imput[[Importe Neto]:[Importe Neto]],Imput[[C. Imp.]:[C. Imp.]],'Indirect Costs'!$C14,Imput[[PERIODO Imp.]:[PERIODO Imp.]],'Indirect Costs'!CH$8)</f>
        <v>0</v>
      </c>
      <c r="CI14" s="48">
        <f>SUMIFS(Imput[[Importe Neto]:[Importe Neto]],Imput[[C. Imp.]:[C. Imp.]],'Indirect Costs'!$C14,Imput[[PERIODO Imp.]:[PERIODO Imp.]],'Indirect Costs'!CI$8)</f>
        <v>0</v>
      </c>
      <c r="CJ14" s="48">
        <f>SUMIFS(Imput[[Importe Neto]:[Importe Neto]],Imput[[C. Imp.]:[C. Imp.]],'Indirect Costs'!$C14,Imput[[PERIODO Imp.]:[PERIODO Imp.]],'Indirect Costs'!CJ$8)</f>
        <v>0</v>
      </c>
      <c r="CK14" s="48">
        <f>SUMIFS(Imput[[Importe Neto]:[Importe Neto]],Imput[[C. Imp.]:[C. Imp.]],'Indirect Costs'!$C14,Imput[[PERIODO Imp.]:[PERIODO Imp.]],'Indirect Costs'!CK$8)</f>
        <v>0</v>
      </c>
      <c r="CL14" s="48">
        <f>SUMIFS(Imput[[Importe Neto]:[Importe Neto]],Imput[[C. Imp.]:[C. Imp.]],'Indirect Costs'!$C14,Imput[[PERIODO Imp.]:[PERIODO Imp.]],'Indirect Costs'!CL$8)</f>
        <v>0</v>
      </c>
      <c r="CM14" s="48">
        <f>SUMIFS(Imput[[Importe Neto]:[Importe Neto]],Imput[[C. Imp.]:[C. Imp.]],'Indirect Costs'!$C14,Imput[[PERIODO Imp.]:[PERIODO Imp.]],'Indirect Costs'!CM$8)</f>
        <v>0</v>
      </c>
      <c r="CN14" s="48">
        <f>SUMIFS(Imput[[Importe Neto]:[Importe Neto]],Imput[[C. Imp.]:[C. Imp.]],'Indirect Costs'!$C14,Imput[[PERIODO Imp.]:[PERIODO Imp.]],'Indirect Costs'!CN$8)</f>
        <v>0</v>
      </c>
      <c r="CO14" s="48">
        <f>SUMIFS(Imput[[Importe Neto]:[Importe Neto]],Imput[[C. Imp.]:[C. Imp.]],'Indirect Costs'!$C14,Imput[[PERIODO Imp.]:[PERIODO Imp.]],'Indirect Costs'!CO$8)</f>
        <v>0</v>
      </c>
      <c r="CP14" s="48">
        <f>SUMIFS(Imput[[Importe Neto]:[Importe Neto]],Imput[[C. Imp.]:[C. Imp.]],'Indirect Costs'!$C14,Imput[[PERIODO Imp.]:[PERIODO Imp.]],'Indirect Costs'!CP$8)</f>
        <v>0</v>
      </c>
      <c r="CQ14" s="48">
        <f>SUMIFS(Imput[[Importe Neto]:[Importe Neto]],Imput[[C. Imp.]:[C. Imp.]],'Indirect Costs'!$C14,Imput[[PERIODO Imp.]:[PERIODO Imp.]],'Indirect Costs'!CQ$8)</f>
        <v>0</v>
      </c>
      <c r="CR14" s="48">
        <f>SUMIFS(Imput[[Importe Neto]:[Importe Neto]],Imput[[C. Imp.]:[C. Imp.]],'Indirect Costs'!$C14,Imput[[PERIODO Imp.]:[PERIODO Imp.]],'Indirect Costs'!CR$8)</f>
        <v>0</v>
      </c>
      <c r="CS14" s="48">
        <f>SUMIFS(Imput[[Importe Neto]:[Importe Neto]],Imput[[C. Imp.]:[C. Imp.]],'Indirect Costs'!$C14,Imput[[PERIODO Imp.]:[PERIODO Imp.]],'Indirect Costs'!CS$8)</f>
        <v>0</v>
      </c>
      <c r="CT14" s="48">
        <f>SUMIFS(Imput[[Importe Neto]:[Importe Neto]],Imput[[C. Imp.]:[C. Imp.]],'Indirect Costs'!$C14,Imput[[PERIODO Imp.]:[PERIODO Imp.]],'Indirect Costs'!CT$8)</f>
        <v>0</v>
      </c>
      <c r="CU14" s="48">
        <f>SUMIFS(Imput[[Importe Neto]:[Importe Neto]],Imput[[C. Imp.]:[C. Imp.]],'Indirect Costs'!$C14,Imput[[PERIODO Imp.]:[PERIODO Imp.]],'Indirect Costs'!CU$8)</f>
        <v>0</v>
      </c>
      <c r="CV14" s="48">
        <f>SUMIFS(Imput[[Importe Neto]:[Importe Neto]],Imput[[C. Imp.]:[C. Imp.]],'Indirect Costs'!$C14,Imput[[PERIODO Imp.]:[PERIODO Imp.]],'Indirect Costs'!CV$8)</f>
        <v>0</v>
      </c>
      <c r="CW14" s="48">
        <f>SUMIFS(Imput[[Importe Neto]:[Importe Neto]],Imput[[C. Imp.]:[C. Imp.]],'Indirect Costs'!$C14,Imput[[PERIODO Imp.]:[PERIODO Imp.]],'Indirect Costs'!CW$8)</f>
        <v>0</v>
      </c>
      <c r="CX14" s="48">
        <f>SUMIFS(Imput[[Importe Neto]:[Importe Neto]],Imput[[C. Imp.]:[C. Imp.]],'Indirect Costs'!$C14,Imput[[PERIODO Imp.]:[PERIODO Imp.]],'Indirect Costs'!CX$8)</f>
        <v>0</v>
      </c>
      <c r="CY14" s="48">
        <f>SUMIFS(Imput[[Importe Neto]:[Importe Neto]],Imput[[C. Imp.]:[C. Imp.]],'Indirect Costs'!$C14,Imput[[PERIODO Imp.]:[PERIODO Imp.]],'Indirect Costs'!CY$8)</f>
        <v>0</v>
      </c>
      <c r="CZ14" s="48">
        <f>SUMIFS(Imput[[Importe Neto]:[Importe Neto]],Imput[[C. Imp.]:[C. Imp.]],'Indirect Costs'!$C14,Imput[[PERIODO Imp.]:[PERIODO Imp.]],'Indirect Costs'!CZ$8)</f>
        <v>0</v>
      </c>
      <c r="DA14" s="48">
        <f>SUMIFS(Imput[[Importe Neto]:[Importe Neto]],Imput[[C. Imp.]:[C. Imp.]],'Indirect Costs'!$C14,Imput[[PERIODO Imp.]:[PERIODO Imp.]],'Indirect Costs'!DA$8)</f>
        <v>0</v>
      </c>
      <c r="DB14" s="48">
        <f>SUMIFS(Imput[[Importe Neto]:[Importe Neto]],Imput[[C. Imp.]:[C. Imp.]],'Indirect Costs'!$C14,Imput[[PERIODO Imp.]:[PERIODO Imp.]],'Indirect Costs'!DB$8)</f>
        <v>0</v>
      </c>
      <c r="DC14" s="48">
        <f>SUMIFS(Imput[[Importe Neto]:[Importe Neto]],Imput[[C. Imp.]:[C. Imp.]],'Indirect Costs'!$C14,Imput[[PERIODO Imp.]:[PERIODO Imp.]],'Indirect Costs'!DC$8)</f>
        <v>0</v>
      </c>
      <c r="DD14" s="48">
        <f>SUMIFS(Imput[[Importe Neto]:[Importe Neto]],Imput[[C. Imp.]:[C. Imp.]],'Indirect Costs'!$C14,Imput[[PERIODO Imp.]:[PERIODO Imp.]],'Indirect Costs'!DD$8)</f>
        <v>0</v>
      </c>
      <c r="DE14" s="48">
        <f>SUMIFS(Imput[[Importe Neto]:[Importe Neto]],Imput[[C. Imp.]:[C. Imp.]],'Indirect Costs'!$C14,Imput[[PERIODO Imp.]:[PERIODO Imp.]],'Indirect Costs'!DE$8)</f>
        <v>0</v>
      </c>
      <c r="DF14" s="143">
        <f>SUMIFS(Imput[[Importe Neto]:[Importe Neto]],Imput[[C. Imp.]:[C. Imp.]],'Indirect Costs'!$C14,Imput[[PERIODO Imp.]:[PERIODO Imp.]],'Indirect Costs'!DF$8)</f>
        <v>0</v>
      </c>
    </row>
    <row r="15" spans="1:110" outlineLevel="1" x14ac:dyDescent="0.25">
      <c r="A15" s="28" t="str">
        <f t="shared" si="3"/>
        <v>Imprimir</v>
      </c>
      <c r="B15" s="50">
        <v>3</v>
      </c>
      <c r="C15" s="57" t="s">
        <v>1772</v>
      </c>
      <c r="D15" s="56" t="s">
        <v>530</v>
      </c>
      <c r="E15" s="57" t="s">
        <v>3302</v>
      </c>
      <c r="F15" s="58">
        <v>21600</v>
      </c>
      <c r="G15" s="49">
        <v>1</v>
      </c>
      <c r="H15" s="51">
        <v>1</v>
      </c>
      <c r="I15" s="505">
        <f t="shared" si="7"/>
        <v>21600</v>
      </c>
      <c r="J15" s="47"/>
      <c r="K15" s="142">
        <v>0.16666666666666666</v>
      </c>
      <c r="L15" s="48">
        <v>0.16666666666666666</v>
      </c>
      <c r="M15" s="48">
        <v>0.16666666666666666</v>
      </c>
      <c r="N15" s="48">
        <v>0.16666666666666666</v>
      </c>
      <c r="O15" s="48">
        <v>0.16666666666666666</v>
      </c>
      <c r="P15" s="48">
        <v>0.16666666666666666</v>
      </c>
      <c r="Q15" s="48"/>
      <c r="R15" s="48">
        <v>1</v>
      </c>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143"/>
      <c r="BG15" s="47"/>
      <c r="BH15" s="509"/>
      <c r="BI15" s="505">
        <f t="shared" si="6"/>
        <v>0</v>
      </c>
      <c r="BJ15" s="47"/>
      <c r="BK15" s="142">
        <f>SUMIFS(Imput[[Importe Neto]:[Importe Neto]],Imput[[C. Imp.]:[C. Imp.]],'Indirect Costs'!$C15,Imput[[PERIODO Imp.]:[PERIODO Imp.]],'Indirect Costs'!BK$8)</f>
        <v>0</v>
      </c>
      <c r="BL15" s="48">
        <f>SUMIFS(Imput[[Importe Neto]:[Importe Neto]],Imput[[C. Imp.]:[C. Imp.]],'Indirect Costs'!$C15,Imput[[PERIODO Imp.]:[PERIODO Imp.]],'Indirect Costs'!BL$8)</f>
        <v>0</v>
      </c>
      <c r="BM15" s="48">
        <f>SUMIFS(Imput[[Importe Neto]:[Importe Neto]],Imput[[C. Imp.]:[C. Imp.]],'Indirect Costs'!$C15,Imput[[PERIODO Imp.]:[PERIODO Imp.]],'Indirect Costs'!BM$8)</f>
        <v>0</v>
      </c>
      <c r="BN15" s="48">
        <f>SUMIFS(Imput[[Importe Neto]:[Importe Neto]],Imput[[C. Imp.]:[C. Imp.]],'Indirect Costs'!$C15,Imput[[PERIODO Imp.]:[PERIODO Imp.]],'Indirect Costs'!BN$8)</f>
        <v>0</v>
      </c>
      <c r="BO15" s="48">
        <f>SUMIFS(Imput[[Importe Neto]:[Importe Neto]],Imput[[C. Imp.]:[C. Imp.]],'Indirect Costs'!$C15,Imput[[PERIODO Imp.]:[PERIODO Imp.]],'Indirect Costs'!BO$8)</f>
        <v>0</v>
      </c>
      <c r="BP15" s="48">
        <f>SUMIFS(Imput[[Importe Neto]:[Importe Neto]],Imput[[C. Imp.]:[C. Imp.]],'Indirect Costs'!$C15,Imput[[PERIODO Imp.]:[PERIODO Imp.]],'Indirect Costs'!BP$8)</f>
        <v>0</v>
      </c>
      <c r="BQ15" s="48">
        <f>SUMIFS(Imput[[Importe Neto]:[Importe Neto]],Imput[[C. Imp.]:[C. Imp.]],'Indirect Costs'!$C15,Imput[[PERIODO Imp.]:[PERIODO Imp.]],'Indirect Costs'!BQ$8)</f>
        <v>0</v>
      </c>
      <c r="BR15" s="48">
        <f>SUMIFS(Imput[[Importe Neto]:[Importe Neto]],Imput[[C. Imp.]:[C. Imp.]],'Indirect Costs'!$C15,Imput[[PERIODO Imp.]:[PERIODO Imp.]],'Indirect Costs'!BR$8)</f>
        <v>0</v>
      </c>
      <c r="BS15" s="48">
        <f>SUMIFS(Imput[[Importe Neto]:[Importe Neto]],Imput[[C. Imp.]:[C. Imp.]],'Indirect Costs'!$C15,Imput[[PERIODO Imp.]:[PERIODO Imp.]],'Indirect Costs'!BS$8)</f>
        <v>0</v>
      </c>
      <c r="BT15" s="48">
        <f>SUMIFS(Imput[[Importe Neto]:[Importe Neto]],Imput[[C. Imp.]:[C. Imp.]],'Indirect Costs'!$C15,Imput[[PERIODO Imp.]:[PERIODO Imp.]],'Indirect Costs'!BT$8)</f>
        <v>0</v>
      </c>
      <c r="BU15" s="48">
        <f>SUMIFS(Imput[[Importe Neto]:[Importe Neto]],Imput[[C. Imp.]:[C. Imp.]],'Indirect Costs'!$C15,Imput[[PERIODO Imp.]:[PERIODO Imp.]],'Indirect Costs'!BU$8)</f>
        <v>0</v>
      </c>
      <c r="BV15" s="48">
        <f>SUMIFS(Imput[[Importe Neto]:[Importe Neto]],Imput[[C. Imp.]:[C. Imp.]],'Indirect Costs'!$C15,Imput[[PERIODO Imp.]:[PERIODO Imp.]],'Indirect Costs'!BV$8)</f>
        <v>0</v>
      </c>
      <c r="BW15" s="48">
        <f>SUMIFS(Imput[[Importe Neto]:[Importe Neto]],Imput[[C. Imp.]:[C. Imp.]],'Indirect Costs'!$C15,Imput[[PERIODO Imp.]:[PERIODO Imp.]],'Indirect Costs'!BW$8)</f>
        <v>0</v>
      </c>
      <c r="BX15" s="48">
        <f>SUMIFS(Imput[[Importe Neto]:[Importe Neto]],Imput[[C. Imp.]:[C. Imp.]],'Indirect Costs'!$C15,Imput[[PERIODO Imp.]:[PERIODO Imp.]],'Indirect Costs'!BX$8)</f>
        <v>0</v>
      </c>
      <c r="BY15" s="48">
        <f>SUMIFS(Imput[[Importe Neto]:[Importe Neto]],Imput[[C. Imp.]:[C. Imp.]],'Indirect Costs'!$C15,Imput[[PERIODO Imp.]:[PERIODO Imp.]],'Indirect Costs'!BY$8)</f>
        <v>0</v>
      </c>
      <c r="BZ15" s="48">
        <f>SUMIFS(Imput[[Importe Neto]:[Importe Neto]],Imput[[C. Imp.]:[C. Imp.]],'Indirect Costs'!$C15,Imput[[PERIODO Imp.]:[PERIODO Imp.]],'Indirect Costs'!BZ$8)</f>
        <v>0</v>
      </c>
      <c r="CA15" s="48">
        <f>SUMIFS(Imput[[Importe Neto]:[Importe Neto]],Imput[[C. Imp.]:[C. Imp.]],'Indirect Costs'!$C15,Imput[[PERIODO Imp.]:[PERIODO Imp.]],'Indirect Costs'!CA$8)</f>
        <v>0</v>
      </c>
      <c r="CB15" s="48">
        <f>SUMIFS(Imput[[Importe Neto]:[Importe Neto]],Imput[[C. Imp.]:[C. Imp.]],'Indirect Costs'!$C15,Imput[[PERIODO Imp.]:[PERIODO Imp.]],'Indirect Costs'!CB$8)</f>
        <v>0</v>
      </c>
      <c r="CC15" s="48">
        <f>SUMIFS(Imput[[Importe Neto]:[Importe Neto]],Imput[[C. Imp.]:[C. Imp.]],'Indirect Costs'!$C15,Imput[[PERIODO Imp.]:[PERIODO Imp.]],'Indirect Costs'!CC$8)</f>
        <v>0</v>
      </c>
      <c r="CD15" s="48">
        <f>SUMIFS(Imput[[Importe Neto]:[Importe Neto]],Imput[[C. Imp.]:[C. Imp.]],'Indirect Costs'!$C15,Imput[[PERIODO Imp.]:[PERIODO Imp.]],'Indirect Costs'!CD$8)</f>
        <v>0</v>
      </c>
      <c r="CE15" s="48">
        <f>SUMIFS(Imput[[Importe Neto]:[Importe Neto]],Imput[[C. Imp.]:[C. Imp.]],'Indirect Costs'!$C15,Imput[[PERIODO Imp.]:[PERIODO Imp.]],'Indirect Costs'!CE$8)</f>
        <v>0</v>
      </c>
      <c r="CF15" s="48">
        <f>SUMIFS(Imput[[Importe Neto]:[Importe Neto]],Imput[[C. Imp.]:[C. Imp.]],'Indirect Costs'!$C15,Imput[[PERIODO Imp.]:[PERIODO Imp.]],'Indirect Costs'!CF$8)</f>
        <v>0</v>
      </c>
      <c r="CG15" s="48">
        <f>SUMIFS(Imput[[Importe Neto]:[Importe Neto]],Imput[[C. Imp.]:[C. Imp.]],'Indirect Costs'!$C15,Imput[[PERIODO Imp.]:[PERIODO Imp.]],'Indirect Costs'!CG$8)</f>
        <v>0</v>
      </c>
      <c r="CH15" s="48">
        <f>SUMIFS(Imput[[Importe Neto]:[Importe Neto]],Imput[[C. Imp.]:[C. Imp.]],'Indirect Costs'!$C15,Imput[[PERIODO Imp.]:[PERIODO Imp.]],'Indirect Costs'!CH$8)</f>
        <v>0</v>
      </c>
      <c r="CI15" s="48">
        <f>SUMIFS(Imput[[Importe Neto]:[Importe Neto]],Imput[[C. Imp.]:[C. Imp.]],'Indirect Costs'!$C15,Imput[[PERIODO Imp.]:[PERIODO Imp.]],'Indirect Costs'!CI$8)</f>
        <v>0</v>
      </c>
      <c r="CJ15" s="48">
        <f>SUMIFS(Imput[[Importe Neto]:[Importe Neto]],Imput[[C. Imp.]:[C. Imp.]],'Indirect Costs'!$C15,Imput[[PERIODO Imp.]:[PERIODO Imp.]],'Indirect Costs'!CJ$8)</f>
        <v>0</v>
      </c>
      <c r="CK15" s="48">
        <f>SUMIFS(Imput[[Importe Neto]:[Importe Neto]],Imput[[C. Imp.]:[C. Imp.]],'Indirect Costs'!$C15,Imput[[PERIODO Imp.]:[PERIODO Imp.]],'Indirect Costs'!CK$8)</f>
        <v>0</v>
      </c>
      <c r="CL15" s="48">
        <f>SUMIFS(Imput[[Importe Neto]:[Importe Neto]],Imput[[C. Imp.]:[C. Imp.]],'Indirect Costs'!$C15,Imput[[PERIODO Imp.]:[PERIODO Imp.]],'Indirect Costs'!CL$8)</f>
        <v>0</v>
      </c>
      <c r="CM15" s="48">
        <f>SUMIFS(Imput[[Importe Neto]:[Importe Neto]],Imput[[C. Imp.]:[C. Imp.]],'Indirect Costs'!$C15,Imput[[PERIODO Imp.]:[PERIODO Imp.]],'Indirect Costs'!CM$8)</f>
        <v>0</v>
      </c>
      <c r="CN15" s="48">
        <f>SUMIFS(Imput[[Importe Neto]:[Importe Neto]],Imput[[C. Imp.]:[C. Imp.]],'Indirect Costs'!$C15,Imput[[PERIODO Imp.]:[PERIODO Imp.]],'Indirect Costs'!CN$8)</f>
        <v>0</v>
      </c>
      <c r="CO15" s="48">
        <f>SUMIFS(Imput[[Importe Neto]:[Importe Neto]],Imput[[C. Imp.]:[C. Imp.]],'Indirect Costs'!$C15,Imput[[PERIODO Imp.]:[PERIODO Imp.]],'Indirect Costs'!CO$8)</f>
        <v>0</v>
      </c>
      <c r="CP15" s="48">
        <f>SUMIFS(Imput[[Importe Neto]:[Importe Neto]],Imput[[C. Imp.]:[C. Imp.]],'Indirect Costs'!$C15,Imput[[PERIODO Imp.]:[PERIODO Imp.]],'Indirect Costs'!CP$8)</f>
        <v>0</v>
      </c>
      <c r="CQ15" s="48">
        <f>SUMIFS(Imput[[Importe Neto]:[Importe Neto]],Imput[[C. Imp.]:[C. Imp.]],'Indirect Costs'!$C15,Imput[[PERIODO Imp.]:[PERIODO Imp.]],'Indirect Costs'!CQ$8)</f>
        <v>0</v>
      </c>
      <c r="CR15" s="48">
        <f>SUMIFS(Imput[[Importe Neto]:[Importe Neto]],Imput[[C. Imp.]:[C. Imp.]],'Indirect Costs'!$C15,Imput[[PERIODO Imp.]:[PERIODO Imp.]],'Indirect Costs'!CR$8)</f>
        <v>0</v>
      </c>
      <c r="CS15" s="48">
        <f>SUMIFS(Imput[[Importe Neto]:[Importe Neto]],Imput[[C. Imp.]:[C. Imp.]],'Indirect Costs'!$C15,Imput[[PERIODO Imp.]:[PERIODO Imp.]],'Indirect Costs'!CS$8)</f>
        <v>0</v>
      </c>
      <c r="CT15" s="48">
        <f>SUMIFS(Imput[[Importe Neto]:[Importe Neto]],Imput[[C. Imp.]:[C. Imp.]],'Indirect Costs'!$C15,Imput[[PERIODO Imp.]:[PERIODO Imp.]],'Indirect Costs'!CT$8)</f>
        <v>0</v>
      </c>
      <c r="CU15" s="48">
        <f>SUMIFS(Imput[[Importe Neto]:[Importe Neto]],Imput[[C. Imp.]:[C. Imp.]],'Indirect Costs'!$C15,Imput[[PERIODO Imp.]:[PERIODO Imp.]],'Indirect Costs'!CU$8)</f>
        <v>0</v>
      </c>
      <c r="CV15" s="48">
        <f>SUMIFS(Imput[[Importe Neto]:[Importe Neto]],Imput[[C. Imp.]:[C. Imp.]],'Indirect Costs'!$C15,Imput[[PERIODO Imp.]:[PERIODO Imp.]],'Indirect Costs'!CV$8)</f>
        <v>0</v>
      </c>
      <c r="CW15" s="48">
        <f>SUMIFS(Imput[[Importe Neto]:[Importe Neto]],Imput[[C. Imp.]:[C. Imp.]],'Indirect Costs'!$C15,Imput[[PERIODO Imp.]:[PERIODO Imp.]],'Indirect Costs'!CW$8)</f>
        <v>0</v>
      </c>
      <c r="CX15" s="48">
        <f>SUMIFS(Imput[[Importe Neto]:[Importe Neto]],Imput[[C. Imp.]:[C. Imp.]],'Indirect Costs'!$C15,Imput[[PERIODO Imp.]:[PERIODO Imp.]],'Indirect Costs'!CX$8)</f>
        <v>0</v>
      </c>
      <c r="CY15" s="48">
        <f>SUMIFS(Imput[[Importe Neto]:[Importe Neto]],Imput[[C. Imp.]:[C. Imp.]],'Indirect Costs'!$C15,Imput[[PERIODO Imp.]:[PERIODO Imp.]],'Indirect Costs'!CY$8)</f>
        <v>0</v>
      </c>
      <c r="CZ15" s="48">
        <f>SUMIFS(Imput[[Importe Neto]:[Importe Neto]],Imput[[C. Imp.]:[C. Imp.]],'Indirect Costs'!$C15,Imput[[PERIODO Imp.]:[PERIODO Imp.]],'Indirect Costs'!CZ$8)</f>
        <v>0</v>
      </c>
      <c r="DA15" s="48">
        <f>SUMIFS(Imput[[Importe Neto]:[Importe Neto]],Imput[[C. Imp.]:[C. Imp.]],'Indirect Costs'!$C15,Imput[[PERIODO Imp.]:[PERIODO Imp.]],'Indirect Costs'!DA$8)</f>
        <v>0</v>
      </c>
      <c r="DB15" s="48">
        <f>SUMIFS(Imput[[Importe Neto]:[Importe Neto]],Imput[[C. Imp.]:[C. Imp.]],'Indirect Costs'!$C15,Imput[[PERIODO Imp.]:[PERIODO Imp.]],'Indirect Costs'!DB$8)</f>
        <v>0</v>
      </c>
      <c r="DC15" s="48">
        <f>SUMIFS(Imput[[Importe Neto]:[Importe Neto]],Imput[[C. Imp.]:[C. Imp.]],'Indirect Costs'!$C15,Imput[[PERIODO Imp.]:[PERIODO Imp.]],'Indirect Costs'!DC$8)</f>
        <v>0</v>
      </c>
      <c r="DD15" s="48">
        <f>SUMIFS(Imput[[Importe Neto]:[Importe Neto]],Imput[[C. Imp.]:[C. Imp.]],'Indirect Costs'!$C15,Imput[[PERIODO Imp.]:[PERIODO Imp.]],'Indirect Costs'!DD$8)</f>
        <v>0</v>
      </c>
      <c r="DE15" s="48">
        <f>SUMIFS(Imput[[Importe Neto]:[Importe Neto]],Imput[[C. Imp.]:[C. Imp.]],'Indirect Costs'!$C15,Imput[[PERIODO Imp.]:[PERIODO Imp.]],'Indirect Costs'!DE$8)</f>
        <v>0</v>
      </c>
      <c r="DF15" s="143">
        <f>SUMIFS(Imput[[Importe Neto]:[Importe Neto]],Imput[[C. Imp.]:[C. Imp.]],'Indirect Costs'!$C15,Imput[[PERIODO Imp.]:[PERIODO Imp.]],'Indirect Costs'!DF$8)</f>
        <v>0</v>
      </c>
    </row>
    <row r="16" spans="1:110" outlineLevel="1" x14ac:dyDescent="0.25">
      <c r="A16" s="28" t="str">
        <f t="shared" si="3"/>
        <v>Imprimir</v>
      </c>
      <c r="B16" s="50">
        <v>4</v>
      </c>
      <c r="C16" s="57" t="s">
        <v>1773</v>
      </c>
      <c r="D16" s="56" t="s">
        <v>531</v>
      </c>
      <c r="E16" s="57" t="s">
        <v>3300</v>
      </c>
      <c r="F16" s="58">
        <v>5400</v>
      </c>
      <c r="G16" s="49">
        <v>1</v>
      </c>
      <c r="H16" s="51">
        <v>1</v>
      </c>
      <c r="I16" s="505">
        <f t="shared" si="7"/>
        <v>5400</v>
      </c>
      <c r="J16" s="47"/>
      <c r="K16" s="142">
        <v>0.16666666666666666</v>
      </c>
      <c r="L16" s="48">
        <v>0.16666666666666666</v>
      </c>
      <c r="M16" s="48">
        <v>0.16666666666666666</v>
      </c>
      <c r="N16" s="48">
        <v>0.16666666666666666</v>
      </c>
      <c r="O16" s="48">
        <v>0.16666666666666666</v>
      </c>
      <c r="P16" s="48">
        <v>0.16666666666666666</v>
      </c>
      <c r="Q16" s="48">
        <v>0.5</v>
      </c>
      <c r="R16" s="48">
        <v>0.5</v>
      </c>
      <c r="S16" s="48"/>
      <c r="T16" s="48"/>
      <c r="U16" s="48"/>
      <c r="V16" s="48"/>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143"/>
      <c r="BG16" s="47"/>
      <c r="BH16" s="509"/>
      <c r="BI16" s="505">
        <f t="shared" si="6"/>
        <v>109502.30700000003</v>
      </c>
      <c r="BJ16" s="47"/>
      <c r="BK16" s="142">
        <f>SUMIFS(Imput[[Importe Neto]:[Importe Neto]],Imput[[C. Imp.]:[C. Imp.]],'Indirect Costs'!$C16,Imput[[PERIODO Imp.]:[PERIODO Imp.]],'Indirect Costs'!BK$8)</f>
        <v>0</v>
      </c>
      <c r="BL16" s="48">
        <f>SUMIFS(Imput[[Importe Neto]:[Importe Neto]],Imput[[C. Imp.]:[C. Imp.]],'Indirect Costs'!$C16,Imput[[PERIODO Imp.]:[PERIODO Imp.]],'Indirect Costs'!BL$8)</f>
        <v>0</v>
      </c>
      <c r="BM16" s="48">
        <f>SUMIFS(Imput[[Importe Neto]:[Importe Neto]],Imput[[C. Imp.]:[C. Imp.]],'Indirect Costs'!$C16,Imput[[PERIODO Imp.]:[PERIODO Imp.]],'Indirect Costs'!BM$8)</f>
        <v>6685.4400000000005</v>
      </c>
      <c r="BN16" s="48">
        <f>SUMIFS(Imput[[Importe Neto]:[Importe Neto]],Imput[[C. Imp.]:[C. Imp.]],'Indirect Costs'!$C16,Imput[[PERIODO Imp.]:[PERIODO Imp.]],'Indirect Costs'!BN$8)</f>
        <v>6685.4400000000005</v>
      </c>
      <c r="BO16" s="48">
        <f>SUMIFS(Imput[[Importe Neto]:[Importe Neto]],Imput[[C. Imp.]:[C. Imp.]],'Indirect Costs'!$C16,Imput[[PERIODO Imp.]:[PERIODO Imp.]],'Indirect Costs'!BO$8)</f>
        <v>29320.514999999999</v>
      </c>
      <c r="BP16" s="48">
        <f>SUMIFS(Imput[[Importe Neto]:[Importe Neto]],Imput[[C. Imp.]:[C. Imp.]],'Indirect Costs'!$C16,Imput[[PERIODO Imp.]:[PERIODO Imp.]],'Indirect Costs'!BP$8)</f>
        <v>6685.4400000000005</v>
      </c>
      <c r="BQ16" s="48">
        <f>SUMIFS(Imput[[Importe Neto]:[Importe Neto]],Imput[[C. Imp.]:[C. Imp.]],'Indirect Costs'!$C16,Imput[[PERIODO Imp.]:[PERIODO Imp.]],'Indirect Costs'!BQ$8)</f>
        <v>6685.4400000000005</v>
      </c>
      <c r="BR16" s="48">
        <f>SUMIFS(Imput[[Importe Neto]:[Importe Neto]],Imput[[C. Imp.]:[C. Imp.]],'Indirect Costs'!$C16,Imput[[PERIODO Imp.]:[PERIODO Imp.]],'Indirect Costs'!BR$8)</f>
        <v>6685.4400000000005</v>
      </c>
      <c r="BS16" s="48">
        <f>SUMIFS(Imput[[Importe Neto]:[Importe Neto]],Imput[[C. Imp.]:[C. Imp.]],'Indirect Costs'!$C16,Imput[[PERIODO Imp.]:[PERIODO Imp.]],'Indirect Costs'!BS$8)</f>
        <v>6685.4400000000005</v>
      </c>
      <c r="BT16" s="48">
        <f>SUMIFS(Imput[[Importe Neto]:[Importe Neto]],Imput[[C. Imp.]:[C. Imp.]],'Indirect Costs'!$C16,Imput[[PERIODO Imp.]:[PERIODO Imp.]],'Indirect Costs'!BT$8)</f>
        <v>6685.4400000000005</v>
      </c>
      <c r="BU16" s="48">
        <f>SUMIFS(Imput[[Importe Neto]:[Importe Neto]],Imput[[C. Imp.]:[C. Imp.]],'Indirect Costs'!$C16,Imput[[PERIODO Imp.]:[PERIODO Imp.]],'Indirect Costs'!BU$8)</f>
        <v>6685.4400000000005</v>
      </c>
      <c r="BV16" s="48">
        <f>SUMIFS(Imput[[Importe Neto]:[Importe Neto]],Imput[[C. Imp.]:[C. Imp.]],'Indirect Costs'!$C16,Imput[[PERIODO Imp.]:[PERIODO Imp.]],'Indirect Costs'!BV$8)</f>
        <v>6685.4400000000005</v>
      </c>
      <c r="BW16" s="48">
        <f>SUMIFS(Imput[[Importe Neto]:[Importe Neto]],Imput[[C. Imp.]:[C. Imp.]],'Indirect Costs'!$C16,Imput[[PERIODO Imp.]:[PERIODO Imp.]],'Indirect Costs'!BW$8)</f>
        <v>6685.4400000000005</v>
      </c>
      <c r="BX16" s="48">
        <f>SUMIFS(Imput[[Importe Neto]:[Importe Neto]],Imput[[C. Imp.]:[C. Imp.]],'Indirect Costs'!$C16,Imput[[PERIODO Imp.]:[PERIODO Imp.]],'Indirect Costs'!BX$8)</f>
        <v>6685.4400000000005</v>
      </c>
      <c r="BY16" s="48">
        <f>SUMIFS(Imput[[Importe Neto]:[Importe Neto]],Imput[[C. Imp.]:[C. Imp.]],'Indirect Costs'!$C16,Imput[[PERIODO Imp.]:[PERIODO Imp.]],'Indirect Costs'!BY$8)</f>
        <v>6641.9520000000002</v>
      </c>
      <c r="BZ16" s="48">
        <f>SUMIFS(Imput[[Importe Neto]:[Importe Neto]],Imput[[C. Imp.]:[C. Imp.]],'Indirect Costs'!$C16,Imput[[PERIODO Imp.]:[PERIODO Imp.]],'Indirect Costs'!BZ$8)</f>
        <v>0</v>
      </c>
      <c r="CA16" s="48">
        <f>SUMIFS(Imput[[Importe Neto]:[Importe Neto]],Imput[[C. Imp.]:[C. Imp.]],'Indirect Costs'!$C16,Imput[[PERIODO Imp.]:[PERIODO Imp.]],'Indirect Costs'!CA$8)</f>
        <v>0</v>
      </c>
      <c r="CB16" s="48">
        <f>SUMIFS(Imput[[Importe Neto]:[Importe Neto]],Imput[[C. Imp.]:[C. Imp.]],'Indirect Costs'!$C16,Imput[[PERIODO Imp.]:[PERIODO Imp.]],'Indirect Costs'!CB$8)</f>
        <v>0</v>
      </c>
      <c r="CC16" s="48">
        <f>SUMIFS(Imput[[Importe Neto]:[Importe Neto]],Imput[[C. Imp.]:[C. Imp.]],'Indirect Costs'!$C16,Imput[[PERIODO Imp.]:[PERIODO Imp.]],'Indirect Costs'!CC$8)</f>
        <v>0</v>
      </c>
      <c r="CD16" s="48">
        <f>SUMIFS(Imput[[Importe Neto]:[Importe Neto]],Imput[[C. Imp.]:[C. Imp.]],'Indirect Costs'!$C16,Imput[[PERIODO Imp.]:[PERIODO Imp.]],'Indirect Costs'!CD$8)</f>
        <v>0</v>
      </c>
      <c r="CE16" s="48">
        <f>SUMIFS(Imput[[Importe Neto]:[Importe Neto]],Imput[[C. Imp.]:[C. Imp.]],'Indirect Costs'!$C16,Imput[[PERIODO Imp.]:[PERIODO Imp.]],'Indirect Costs'!CE$8)</f>
        <v>0</v>
      </c>
      <c r="CF16" s="48">
        <f>SUMIFS(Imput[[Importe Neto]:[Importe Neto]],Imput[[C. Imp.]:[C. Imp.]],'Indirect Costs'!$C16,Imput[[PERIODO Imp.]:[PERIODO Imp.]],'Indirect Costs'!CF$8)</f>
        <v>0</v>
      </c>
      <c r="CG16" s="48">
        <f>SUMIFS(Imput[[Importe Neto]:[Importe Neto]],Imput[[C. Imp.]:[C. Imp.]],'Indirect Costs'!$C16,Imput[[PERIODO Imp.]:[PERIODO Imp.]],'Indirect Costs'!CG$8)</f>
        <v>0</v>
      </c>
      <c r="CH16" s="48">
        <f>SUMIFS(Imput[[Importe Neto]:[Importe Neto]],Imput[[C. Imp.]:[C. Imp.]],'Indirect Costs'!$C16,Imput[[PERIODO Imp.]:[PERIODO Imp.]],'Indirect Costs'!CH$8)</f>
        <v>0</v>
      </c>
      <c r="CI16" s="48">
        <f>SUMIFS(Imput[[Importe Neto]:[Importe Neto]],Imput[[C. Imp.]:[C. Imp.]],'Indirect Costs'!$C16,Imput[[PERIODO Imp.]:[PERIODO Imp.]],'Indirect Costs'!CI$8)</f>
        <v>0</v>
      </c>
      <c r="CJ16" s="48">
        <f>SUMIFS(Imput[[Importe Neto]:[Importe Neto]],Imput[[C. Imp.]:[C. Imp.]],'Indirect Costs'!$C16,Imput[[PERIODO Imp.]:[PERIODO Imp.]],'Indirect Costs'!CJ$8)</f>
        <v>0</v>
      </c>
      <c r="CK16" s="48">
        <f>SUMIFS(Imput[[Importe Neto]:[Importe Neto]],Imput[[C. Imp.]:[C. Imp.]],'Indirect Costs'!$C16,Imput[[PERIODO Imp.]:[PERIODO Imp.]],'Indirect Costs'!CK$8)</f>
        <v>0</v>
      </c>
      <c r="CL16" s="48">
        <f>SUMIFS(Imput[[Importe Neto]:[Importe Neto]],Imput[[C. Imp.]:[C. Imp.]],'Indirect Costs'!$C16,Imput[[PERIODO Imp.]:[PERIODO Imp.]],'Indirect Costs'!CL$8)</f>
        <v>0</v>
      </c>
      <c r="CM16" s="48">
        <f>SUMIFS(Imput[[Importe Neto]:[Importe Neto]],Imput[[C. Imp.]:[C. Imp.]],'Indirect Costs'!$C16,Imput[[PERIODO Imp.]:[PERIODO Imp.]],'Indirect Costs'!CM$8)</f>
        <v>0</v>
      </c>
      <c r="CN16" s="48">
        <f>SUMIFS(Imput[[Importe Neto]:[Importe Neto]],Imput[[C. Imp.]:[C. Imp.]],'Indirect Costs'!$C16,Imput[[PERIODO Imp.]:[PERIODO Imp.]],'Indirect Costs'!CN$8)</f>
        <v>0</v>
      </c>
      <c r="CO16" s="48">
        <f>SUMIFS(Imput[[Importe Neto]:[Importe Neto]],Imput[[C. Imp.]:[C. Imp.]],'Indirect Costs'!$C16,Imput[[PERIODO Imp.]:[PERIODO Imp.]],'Indirect Costs'!CO$8)</f>
        <v>0</v>
      </c>
      <c r="CP16" s="48">
        <f>SUMIFS(Imput[[Importe Neto]:[Importe Neto]],Imput[[C. Imp.]:[C. Imp.]],'Indirect Costs'!$C16,Imput[[PERIODO Imp.]:[PERIODO Imp.]],'Indirect Costs'!CP$8)</f>
        <v>0</v>
      </c>
      <c r="CQ16" s="48">
        <f>SUMIFS(Imput[[Importe Neto]:[Importe Neto]],Imput[[C. Imp.]:[C. Imp.]],'Indirect Costs'!$C16,Imput[[PERIODO Imp.]:[PERIODO Imp.]],'Indirect Costs'!CQ$8)</f>
        <v>0</v>
      </c>
      <c r="CR16" s="48">
        <f>SUMIFS(Imput[[Importe Neto]:[Importe Neto]],Imput[[C. Imp.]:[C. Imp.]],'Indirect Costs'!$C16,Imput[[PERIODO Imp.]:[PERIODO Imp.]],'Indirect Costs'!CR$8)</f>
        <v>0</v>
      </c>
      <c r="CS16" s="48">
        <f>SUMIFS(Imput[[Importe Neto]:[Importe Neto]],Imput[[C. Imp.]:[C. Imp.]],'Indirect Costs'!$C16,Imput[[PERIODO Imp.]:[PERIODO Imp.]],'Indirect Costs'!CS$8)</f>
        <v>0</v>
      </c>
      <c r="CT16" s="48">
        <f>SUMIFS(Imput[[Importe Neto]:[Importe Neto]],Imput[[C. Imp.]:[C. Imp.]],'Indirect Costs'!$C16,Imput[[PERIODO Imp.]:[PERIODO Imp.]],'Indirect Costs'!CT$8)</f>
        <v>0</v>
      </c>
      <c r="CU16" s="48">
        <f>SUMIFS(Imput[[Importe Neto]:[Importe Neto]],Imput[[C. Imp.]:[C. Imp.]],'Indirect Costs'!$C16,Imput[[PERIODO Imp.]:[PERIODO Imp.]],'Indirect Costs'!CU$8)</f>
        <v>0</v>
      </c>
      <c r="CV16" s="48">
        <f>SUMIFS(Imput[[Importe Neto]:[Importe Neto]],Imput[[C. Imp.]:[C. Imp.]],'Indirect Costs'!$C16,Imput[[PERIODO Imp.]:[PERIODO Imp.]],'Indirect Costs'!CV$8)</f>
        <v>0</v>
      </c>
      <c r="CW16" s="48">
        <f>SUMIFS(Imput[[Importe Neto]:[Importe Neto]],Imput[[C. Imp.]:[C. Imp.]],'Indirect Costs'!$C16,Imput[[PERIODO Imp.]:[PERIODO Imp.]],'Indirect Costs'!CW$8)</f>
        <v>0</v>
      </c>
      <c r="CX16" s="48">
        <f>SUMIFS(Imput[[Importe Neto]:[Importe Neto]],Imput[[C. Imp.]:[C. Imp.]],'Indirect Costs'!$C16,Imput[[PERIODO Imp.]:[PERIODO Imp.]],'Indirect Costs'!CX$8)</f>
        <v>0</v>
      </c>
      <c r="CY16" s="48">
        <f>SUMIFS(Imput[[Importe Neto]:[Importe Neto]],Imput[[C. Imp.]:[C. Imp.]],'Indirect Costs'!$C16,Imput[[PERIODO Imp.]:[PERIODO Imp.]],'Indirect Costs'!CY$8)</f>
        <v>0</v>
      </c>
      <c r="CZ16" s="48">
        <f>SUMIFS(Imput[[Importe Neto]:[Importe Neto]],Imput[[C. Imp.]:[C. Imp.]],'Indirect Costs'!$C16,Imput[[PERIODO Imp.]:[PERIODO Imp.]],'Indirect Costs'!CZ$8)</f>
        <v>0</v>
      </c>
      <c r="DA16" s="48">
        <f>SUMIFS(Imput[[Importe Neto]:[Importe Neto]],Imput[[C. Imp.]:[C. Imp.]],'Indirect Costs'!$C16,Imput[[PERIODO Imp.]:[PERIODO Imp.]],'Indirect Costs'!DA$8)</f>
        <v>0</v>
      </c>
      <c r="DB16" s="48">
        <f>SUMIFS(Imput[[Importe Neto]:[Importe Neto]],Imput[[C. Imp.]:[C. Imp.]],'Indirect Costs'!$C16,Imput[[PERIODO Imp.]:[PERIODO Imp.]],'Indirect Costs'!DB$8)</f>
        <v>0</v>
      </c>
      <c r="DC16" s="48">
        <f>SUMIFS(Imput[[Importe Neto]:[Importe Neto]],Imput[[C. Imp.]:[C. Imp.]],'Indirect Costs'!$C16,Imput[[PERIODO Imp.]:[PERIODO Imp.]],'Indirect Costs'!DC$8)</f>
        <v>0</v>
      </c>
      <c r="DD16" s="48">
        <f>SUMIFS(Imput[[Importe Neto]:[Importe Neto]],Imput[[C. Imp.]:[C. Imp.]],'Indirect Costs'!$C16,Imput[[PERIODO Imp.]:[PERIODO Imp.]],'Indirect Costs'!DD$8)</f>
        <v>0</v>
      </c>
      <c r="DE16" s="48">
        <f>SUMIFS(Imput[[Importe Neto]:[Importe Neto]],Imput[[C. Imp.]:[C. Imp.]],'Indirect Costs'!$C16,Imput[[PERIODO Imp.]:[PERIODO Imp.]],'Indirect Costs'!DE$8)</f>
        <v>0</v>
      </c>
      <c r="DF16" s="143">
        <f>SUMIFS(Imput[[Importe Neto]:[Importe Neto]],Imput[[C. Imp.]:[C. Imp.]],'Indirect Costs'!$C16,Imput[[PERIODO Imp.]:[PERIODO Imp.]],'Indirect Costs'!DF$8)</f>
        <v>0</v>
      </c>
    </row>
    <row r="17" spans="1:110" outlineLevel="1" x14ac:dyDescent="0.25">
      <c r="A17" s="28" t="str">
        <f t="shared" si="3"/>
        <v>Imprimir</v>
      </c>
      <c r="B17" s="50">
        <v>5</v>
      </c>
      <c r="C17" s="57" t="s">
        <v>1743</v>
      </c>
      <c r="D17" s="56" t="s">
        <v>532</v>
      </c>
      <c r="E17" s="57" t="s">
        <v>3301</v>
      </c>
      <c r="F17" s="58">
        <v>16200.000000000002</v>
      </c>
      <c r="G17" s="49">
        <v>1</v>
      </c>
      <c r="H17" s="51">
        <v>1</v>
      </c>
      <c r="I17" s="505">
        <f t="shared" si="7"/>
        <v>16200.000000000002</v>
      </c>
      <c r="J17" s="47"/>
      <c r="K17" s="142">
        <v>0.16666666666666666</v>
      </c>
      <c r="L17" s="48">
        <v>0.16666666666666666</v>
      </c>
      <c r="M17" s="48">
        <v>0.16666666666666666</v>
      </c>
      <c r="N17" s="48">
        <v>0.16666666666666666</v>
      </c>
      <c r="O17" s="48">
        <v>0.16666666666666666</v>
      </c>
      <c r="P17" s="48">
        <v>0.16666666666666666</v>
      </c>
      <c r="Q17" s="48">
        <v>0.5</v>
      </c>
      <c r="R17" s="48">
        <v>0.5</v>
      </c>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143"/>
      <c r="BG17" s="47"/>
      <c r="BH17" s="509"/>
      <c r="BI17" s="505">
        <f t="shared" si="6"/>
        <v>131214.47039999999</v>
      </c>
      <c r="BJ17" s="47"/>
      <c r="BK17" s="142">
        <f>SUMIFS(Imput[[Importe Neto]:[Importe Neto]],Imput[[C. Imp.]:[C. Imp.]],'Indirect Costs'!$C17,Imput[[PERIODO Imp.]:[PERIODO Imp.]],'Indirect Costs'!BK$8)</f>
        <v>0</v>
      </c>
      <c r="BL17" s="48">
        <f>SUMIFS(Imput[[Importe Neto]:[Importe Neto]],Imput[[C. Imp.]:[C. Imp.]],'Indirect Costs'!$C17,Imput[[PERIODO Imp.]:[PERIODO Imp.]],'Indirect Costs'!BL$8)</f>
        <v>0</v>
      </c>
      <c r="BM17" s="48">
        <f>SUMIFS(Imput[[Importe Neto]:[Importe Neto]],Imput[[C. Imp.]:[C. Imp.]],'Indirect Costs'!$C17,Imput[[PERIODO Imp.]:[PERIODO Imp.]],'Indirect Costs'!BM$8)</f>
        <v>10800</v>
      </c>
      <c r="BN17" s="48">
        <f>SUMIFS(Imput[[Importe Neto]:[Importe Neto]],Imput[[C. Imp.]:[C. Imp.]],'Indirect Costs'!$C17,Imput[[PERIODO Imp.]:[PERIODO Imp.]],'Indirect Costs'!BN$8)</f>
        <v>21600</v>
      </c>
      <c r="BO17" s="48">
        <f>SUMIFS(Imput[[Importe Neto]:[Importe Neto]],Imput[[C. Imp.]:[C. Imp.]],'Indirect Costs'!$C17,Imput[[PERIODO Imp.]:[PERIODO Imp.]],'Indirect Costs'!BO$8)</f>
        <v>10800</v>
      </c>
      <c r="BP17" s="48">
        <f>SUMIFS(Imput[[Importe Neto]:[Importe Neto]],Imput[[C. Imp.]:[C. Imp.]],'Indirect Costs'!$C17,Imput[[PERIODO Imp.]:[PERIODO Imp.]],'Indirect Costs'!BP$8)</f>
        <v>10800</v>
      </c>
      <c r="BQ17" s="48">
        <f>SUMIFS(Imput[[Importe Neto]:[Importe Neto]],Imput[[C. Imp.]:[C. Imp.]],'Indirect Costs'!$C17,Imput[[PERIODO Imp.]:[PERIODO Imp.]],'Indirect Costs'!BQ$8)</f>
        <v>10800</v>
      </c>
      <c r="BR17" s="48">
        <f>SUMIFS(Imput[[Importe Neto]:[Importe Neto]],Imput[[C. Imp.]:[C. Imp.]],'Indirect Costs'!$C17,Imput[[PERIODO Imp.]:[PERIODO Imp.]],'Indirect Costs'!BR$8)</f>
        <v>10800</v>
      </c>
      <c r="BS17" s="48">
        <f>SUMIFS(Imput[[Importe Neto]:[Importe Neto]],Imput[[C. Imp.]:[C. Imp.]],'Indirect Costs'!$C17,Imput[[PERIODO Imp.]:[PERIODO Imp.]],'Indirect Costs'!BS$8)</f>
        <v>0</v>
      </c>
      <c r="BT17" s="48">
        <f>SUMIFS(Imput[[Importe Neto]:[Importe Neto]],Imput[[C. Imp.]:[C. Imp.]],'Indirect Costs'!$C17,Imput[[PERIODO Imp.]:[PERIODO Imp.]],'Indirect Costs'!BT$8)</f>
        <v>0</v>
      </c>
      <c r="BU17" s="48">
        <f>SUMIFS(Imput[[Importe Neto]:[Importe Neto]],Imput[[C. Imp.]:[C. Imp.]],'Indirect Costs'!$C17,Imput[[PERIODO Imp.]:[PERIODO Imp.]],'Indirect Costs'!BU$8)</f>
        <v>10800</v>
      </c>
      <c r="BV17" s="48">
        <f>SUMIFS(Imput[[Importe Neto]:[Importe Neto]],Imput[[C. Imp.]:[C. Imp.]],'Indirect Costs'!$C17,Imput[[PERIODO Imp.]:[PERIODO Imp.]],'Indirect Costs'!BV$8)</f>
        <v>10800</v>
      </c>
      <c r="BW17" s="48">
        <f>SUMIFS(Imput[[Importe Neto]:[Importe Neto]],Imput[[C. Imp.]:[C. Imp.]],'Indirect Costs'!$C17,Imput[[PERIODO Imp.]:[PERIODO Imp.]],'Indirect Costs'!BW$8)</f>
        <v>10800</v>
      </c>
      <c r="BX17" s="48">
        <f>SUMIFS(Imput[[Importe Neto]:[Importe Neto]],Imput[[C. Imp.]:[C. Imp.]],'Indirect Costs'!$C17,Imput[[PERIODO Imp.]:[PERIODO Imp.]],'Indirect Costs'!BX$8)</f>
        <v>10800</v>
      </c>
      <c r="BY17" s="48">
        <f>SUMIFS(Imput[[Importe Neto]:[Importe Neto]],Imput[[C. Imp.]:[C. Imp.]],'Indirect Costs'!$C17,Imput[[PERIODO Imp.]:[PERIODO Imp.]],'Indirect Costs'!BY$8)</f>
        <v>12414.4704</v>
      </c>
      <c r="BZ17" s="48">
        <f>SUMIFS(Imput[[Importe Neto]:[Importe Neto]],Imput[[C. Imp.]:[C. Imp.]],'Indirect Costs'!$C17,Imput[[PERIODO Imp.]:[PERIODO Imp.]],'Indirect Costs'!BZ$8)</f>
        <v>0</v>
      </c>
      <c r="CA17" s="48">
        <f>SUMIFS(Imput[[Importe Neto]:[Importe Neto]],Imput[[C. Imp.]:[C. Imp.]],'Indirect Costs'!$C17,Imput[[PERIODO Imp.]:[PERIODO Imp.]],'Indirect Costs'!CA$8)</f>
        <v>0</v>
      </c>
      <c r="CB17" s="48">
        <f>SUMIFS(Imput[[Importe Neto]:[Importe Neto]],Imput[[C. Imp.]:[C. Imp.]],'Indirect Costs'!$C17,Imput[[PERIODO Imp.]:[PERIODO Imp.]],'Indirect Costs'!CB$8)</f>
        <v>0</v>
      </c>
      <c r="CC17" s="48">
        <f>SUMIFS(Imput[[Importe Neto]:[Importe Neto]],Imput[[C. Imp.]:[C. Imp.]],'Indirect Costs'!$C17,Imput[[PERIODO Imp.]:[PERIODO Imp.]],'Indirect Costs'!CC$8)</f>
        <v>0</v>
      </c>
      <c r="CD17" s="48">
        <f>SUMIFS(Imput[[Importe Neto]:[Importe Neto]],Imput[[C. Imp.]:[C. Imp.]],'Indirect Costs'!$C17,Imput[[PERIODO Imp.]:[PERIODO Imp.]],'Indirect Costs'!CD$8)</f>
        <v>0</v>
      </c>
      <c r="CE17" s="48">
        <f>SUMIFS(Imput[[Importe Neto]:[Importe Neto]],Imput[[C. Imp.]:[C. Imp.]],'Indirect Costs'!$C17,Imput[[PERIODO Imp.]:[PERIODO Imp.]],'Indirect Costs'!CE$8)</f>
        <v>0</v>
      </c>
      <c r="CF17" s="48">
        <f>SUMIFS(Imput[[Importe Neto]:[Importe Neto]],Imput[[C. Imp.]:[C. Imp.]],'Indirect Costs'!$C17,Imput[[PERIODO Imp.]:[PERIODO Imp.]],'Indirect Costs'!CF$8)</f>
        <v>0</v>
      </c>
      <c r="CG17" s="48">
        <f>SUMIFS(Imput[[Importe Neto]:[Importe Neto]],Imput[[C. Imp.]:[C. Imp.]],'Indirect Costs'!$C17,Imput[[PERIODO Imp.]:[PERIODO Imp.]],'Indirect Costs'!CG$8)</f>
        <v>0</v>
      </c>
      <c r="CH17" s="48">
        <f>SUMIFS(Imput[[Importe Neto]:[Importe Neto]],Imput[[C. Imp.]:[C. Imp.]],'Indirect Costs'!$C17,Imput[[PERIODO Imp.]:[PERIODO Imp.]],'Indirect Costs'!CH$8)</f>
        <v>0</v>
      </c>
      <c r="CI17" s="48">
        <f>SUMIFS(Imput[[Importe Neto]:[Importe Neto]],Imput[[C. Imp.]:[C. Imp.]],'Indirect Costs'!$C17,Imput[[PERIODO Imp.]:[PERIODO Imp.]],'Indirect Costs'!CI$8)</f>
        <v>0</v>
      </c>
      <c r="CJ17" s="48">
        <f>SUMIFS(Imput[[Importe Neto]:[Importe Neto]],Imput[[C. Imp.]:[C. Imp.]],'Indirect Costs'!$C17,Imput[[PERIODO Imp.]:[PERIODO Imp.]],'Indirect Costs'!CJ$8)</f>
        <v>0</v>
      </c>
      <c r="CK17" s="48">
        <f>SUMIFS(Imput[[Importe Neto]:[Importe Neto]],Imput[[C. Imp.]:[C. Imp.]],'Indirect Costs'!$C17,Imput[[PERIODO Imp.]:[PERIODO Imp.]],'Indirect Costs'!CK$8)</f>
        <v>0</v>
      </c>
      <c r="CL17" s="48">
        <f>SUMIFS(Imput[[Importe Neto]:[Importe Neto]],Imput[[C. Imp.]:[C. Imp.]],'Indirect Costs'!$C17,Imput[[PERIODO Imp.]:[PERIODO Imp.]],'Indirect Costs'!CL$8)</f>
        <v>0</v>
      </c>
      <c r="CM17" s="48">
        <f>SUMIFS(Imput[[Importe Neto]:[Importe Neto]],Imput[[C. Imp.]:[C. Imp.]],'Indirect Costs'!$C17,Imput[[PERIODO Imp.]:[PERIODO Imp.]],'Indirect Costs'!CM$8)</f>
        <v>0</v>
      </c>
      <c r="CN17" s="48">
        <f>SUMIFS(Imput[[Importe Neto]:[Importe Neto]],Imput[[C. Imp.]:[C. Imp.]],'Indirect Costs'!$C17,Imput[[PERIODO Imp.]:[PERIODO Imp.]],'Indirect Costs'!CN$8)</f>
        <v>0</v>
      </c>
      <c r="CO17" s="48">
        <f>SUMIFS(Imput[[Importe Neto]:[Importe Neto]],Imput[[C. Imp.]:[C. Imp.]],'Indirect Costs'!$C17,Imput[[PERIODO Imp.]:[PERIODO Imp.]],'Indirect Costs'!CO$8)</f>
        <v>0</v>
      </c>
      <c r="CP17" s="48">
        <f>SUMIFS(Imput[[Importe Neto]:[Importe Neto]],Imput[[C. Imp.]:[C. Imp.]],'Indirect Costs'!$C17,Imput[[PERIODO Imp.]:[PERIODO Imp.]],'Indirect Costs'!CP$8)</f>
        <v>0</v>
      </c>
      <c r="CQ17" s="48">
        <f>SUMIFS(Imput[[Importe Neto]:[Importe Neto]],Imput[[C. Imp.]:[C. Imp.]],'Indirect Costs'!$C17,Imput[[PERIODO Imp.]:[PERIODO Imp.]],'Indirect Costs'!CQ$8)</f>
        <v>0</v>
      </c>
      <c r="CR17" s="48">
        <f>SUMIFS(Imput[[Importe Neto]:[Importe Neto]],Imput[[C. Imp.]:[C. Imp.]],'Indirect Costs'!$C17,Imput[[PERIODO Imp.]:[PERIODO Imp.]],'Indirect Costs'!CR$8)</f>
        <v>0</v>
      </c>
      <c r="CS17" s="48">
        <f>SUMIFS(Imput[[Importe Neto]:[Importe Neto]],Imput[[C. Imp.]:[C. Imp.]],'Indirect Costs'!$C17,Imput[[PERIODO Imp.]:[PERIODO Imp.]],'Indirect Costs'!CS$8)</f>
        <v>0</v>
      </c>
      <c r="CT17" s="48">
        <f>SUMIFS(Imput[[Importe Neto]:[Importe Neto]],Imput[[C. Imp.]:[C. Imp.]],'Indirect Costs'!$C17,Imput[[PERIODO Imp.]:[PERIODO Imp.]],'Indirect Costs'!CT$8)</f>
        <v>0</v>
      </c>
      <c r="CU17" s="48">
        <f>SUMIFS(Imput[[Importe Neto]:[Importe Neto]],Imput[[C. Imp.]:[C. Imp.]],'Indirect Costs'!$C17,Imput[[PERIODO Imp.]:[PERIODO Imp.]],'Indirect Costs'!CU$8)</f>
        <v>0</v>
      </c>
      <c r="CV17" s="48">
        <f>SUMIFS(Imput[[Importe Neto]:[Importe Neto]],Imput[[C. Imp.]:[C. Imp.]],'Indirect Costs'!$C17,Imput[[PERIODO Imp.]:[PERIODO Imp.]],'Indirect Costs'!CV$8)</f>
        <v>0</v>
      </c>
      <c r="CW17" s="48">
        <f>SUMIFS(Imput[[Importe Neto]:[Importe Neto]],Imput[[C. Imp.]:[C. Imp.]],'Indirect Costs'!$C17,Imput[[PERIODO Imp.]:[PERIODO Imp.]],'Indirect Costs'!CW$8)</f>
        <v>0</v>
      </c>
      <c r="CX17" s="48">
        <f>SUMIFS(Imput[[Importe Neto]:[Importe Neto]],Imput[[C. Imp.]:[C. Imp.]],'Indirect Costs'!$C17,Imput[[PERIODO Imp.]:[PERIODO Imp.]],'Indirect Costs'!CX$8)</f>
        <v>0</v>
      </c>
      <c r="CY17" s="48">
        <f>SUMIFS(Imput[[Importe Neto]:[Importe Neto]],Imput[[C. Imp.]:[C. Imp.]],'Indirect Costs'!$C17,Imput[[PERIODO Imp.]:[PERIODO Imp.]],'Indirect Costs'!CY$8)</f>
        <v>0</v>
      </c>
      <c r="CZ17" s="48">
        <f>SUMIFS(Imput[[Importe Neto]:[Importe Neto]],Imput[[C. Imp.]:[C. Imp.]],'Indirect Costs'!$C17,Imput[[PERIODO Imp.]:[PERIODO Imp.]],'Indirect Costs'!CZ$8)</f>
        <v>0</v>
      </c>
      <c r="DA17" s="48">
        <f>SUMIFS(Imput[[Importe Neto]:[Importe Neto]],Imput[[C. Imp.]:[C. Imp.]],'Indirect Costs'!$C17,Imput[[PERIODO Imp.]:[PERIODO Imp.]],'Indirect Costs'!DA$8)</f>
        <v>0</v>
      </c>
      <c r="DB17" s="48">
        <f>SUMIFS(Imput[[Importe Neto]:[Importe Neto]],Imput[[C. Imp.]:[C. Imp.]],'Indirect Costs'!$C17,Imput[[PERIODO Imp.]:[PERIODO Imp.]],'Indirect Costs'!DB$8)</f>
        <v>0</v>
      </c>
      <c r="DC17" s="48">
        <f>SUMIFS(Imput[[Importe Neto]:[Importe Neto]],Imput[[C. Imp.]:[C. Imp.]],'Indirect Costs'!$C17,Imput[[PERIODO Imp.]:[PERIODO Imp.]],'Indirect Costs'!DC$8)</f>
        <v>0</v>
      </c>
      <c r="DD17" s="48">
        <f>SUMIFS(Imput[[Importe Neto]:[Importe Neto]],Imput[[C. Imp.]:[C. Imp.]],'Indirect Costs'!$C17,Imput[[PERIODO Imp.]:[PERIODO Imp.]],'Indirect Costs'!DD$8)</f>
        <v>0</v>
      </c>
      <c r="DE17" s="48">
        <f>SUMIFS(Imput[[Importe Neto]:[Importe Neto]],Imput[[C. Imp.]:[C. Imp.]],'Indirect Costs'!$C17,Imput[[PERIODO Imp.]:[PERIODO Imp.]],'Indirect Costs'!DE$8)</f>
        <v>0</v>
      </c>
      <c r="DF17" s="143">
        <f>SUMIFS(Imput[[Importe Neto]:[Importe Neto]],Imput[[C. Imp.]:[C. Imp.]],'Indirect Costs'!$C17,Imput[[PERIODO Imp.]:[PERIODO Imp.]],'Indirect Costs'!DF$8)</f>
        <v>0</v>
      </c>
    </row>
    <row r="18" spans="1:110" ht="22.5" customHeight="1" outlineLevel="1" x14ac:dyDescent="0.3">
      <c r="A18" s="28" t="str">
        <f>IFERROR(IF(SUM(I19:I23)&gt;0,"Imprimir",""),"")</f>
        <v>Imprimir</v>
      </c>
      <c r="B18" s="504"/>
      <c r="C18" s="559"/>
      <c r="D18" s="564" t="s">
        <v>533</v>
      </c>
      <c r="E18" s="559"/>
      <c r="F18" s="560"/>
      <c r="G18" s="561"/>
      <c r="H18" s="562"/>
      <c r="I18" s="563"/>
      <c r="J18" s="47"/>
      <c r="K18" s="144"/>
      <c r="L18" s="52"/>
      <c r="M18" s="52"/>
      <c r="N18" s="52"/>
      <c r="O18" s="52"/>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145"/>
      <c r="BG18" s="47"/>
      <c r="BH18" s="508"/>
      <c r="BI18" s="507">
        <f t="shared" si="6"/>
        <v>0</v>
      </c>
      <c r="BJ18" s="47"/>
      <c r="BK18" s="140"/>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141"/>
    </row>
    <row r="19" spans="1:110" outlineLevel="1" x14ac:dyDescent="0.25">
      <c r="A19" s="28" t="str">
        <f t="shared" si="3"/>
        <v>Imprimir</v>
      </c>
      <c r="B19" s="50">
        <v>1</v>
      </c>
      <c r="C19" s="57" t="s">
        <v>1754</v>
      </c>
      <c r="D19" s="56" t="s">
        <v>2111</v>
      </c>
      <c r="E19" s="57" t="s">
        <v>2110</v>
      </c>
      <c r="F19" s="58">
        <f>29000*1.3</f>
        <v>37700</v>
      </c>
      <c r="G19" s="49">
        <v>1</v>
      </c>
      <c r="H19" s="51">
        <v>1</v>
      </c>
      <c r="I19" s="505">
        <f t="shared" si="7"/>
        <v>37700</v>
      </c>
      <c r="J19" s="47"/>
      <c r="K19" s="142">
        <v>0.16666666666666666</v>
      </c>
      <c r="L19" s="48">
        <v>0.16666666666666666</v>
      </c>
      <c r="M19" s="48">
        <v>0.16666666666666666</v>
      </c>
      <c r="N19" s="48">
        <v>0.16666666666666666</v>
      </c>
      <c r="O19" s="48">
        <v>0.16666666666666666</v>
      </c>
      <c r="P19" s="48">
        <v>0.16666666666666666</v>
      </c>
      <c r="Q19" s="48">
        <v>0.5</v>
      </c>
      <c r="R19" s="48">
        <v>0.5</v>
      </c>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143"/>
      <c r="BG19" s="47"/>
      <c r="BH19" s="509"/>
      <c r="BI19" s="505">
        <f t="shared" si="6"/>
        <v>237437.38200000001</v>
      </c>
      <c r="BJ19" s="47"/>
      <c r="BK19" s="142">
        <f>SUMIFS(Imput[[Importe Neto]:[Importe Neto]],Imput[[C. Imp.]:[C. Imp.]],'Indirect Costs'!$C19,Imput[[PERIODO Imp.]:[PERIODO Imp.]],'Indirect Costs'!BK$8)</f>
        <v>0</v>
      </c>
      <c r="BL19" s="48">
        <f>SUMIFS(Imput[[Importe Neto]:[Importe Neto]],Imput[[C. Imp.]:[C. Imp.]],'Indirect Costs'!$C19,Imput[[PERIODO Imp.]:[PERIODO Imp.]],'Indirect Costs'!BL$8)</f>
        <v>0</v>
      </c>
      <c r="BM19" s="48">
        <f>SUMIFS(Imput[[Importe Neto]:[Importe Neto]],Imput[[C. Imp.]:[C. Imp.]],'Indirect Costs'!$C19,Imput[[PERIODO Imp.]:[PERIODO Imp.]],'Indirect Costs'!BM$8)</f>
        <v>37420.514999999999</v>
      </c>
      <c r="BN19" s="48">
        <f>SUMIFS(Imput[[Importe Neto]:[Importe Neto]],Imput[[C. Imp.]:[C. Imp.]],'Indirect Costs'!$C19,Imput[[PERIODO Imp.]:[PERIODO Imp.]],'Indirect Costs'!BN$8)</f>
        <v>37420.514999999999</v>
      </c>
      <c r="BO19" s="48">
        <f>SUMIFS(Imput[[Importe Neto]:[Importe Neto]],Imput[[C. Imp.]:[C. Imp.]],'Indirect Costs'!$C19,Imput[[PERIODO Imp.]:[PERIODO Imp.]],'Indirect Costs'!BO$8)</f>
        <v>14785.44</v>
      </c>
      <c r="BP19" s="48">
        <f>SUMIFS(Imput[[Importe Neto]:[Importe Neto]],Imput[[C. Imp.]:[C. Imp.]],'Indirect Costs'!$C19,Imput[[PERIODO Imp.]:[PERIODO Imp.]],'Indirect Costs'!BP$8)</f>
        <v>14785.44</v>
      </c>
      <c r="BQ19" s="48">
        <f>SUMIFS(Imput[[Importe Neto]:[Importe Neto]],Imput[[C. Imp.]:[C. Imp.]],'Indirect Costs'!$C19,Imput[[PERIODO Imp.]:[PERIODO Imp.]],'Indirect Costs'!BQ$8)</f>
        <v>14785.44</v>
      </c>
      <c r="BR19" s="48">
        <f>SUMIFS(Imput[[Importe Neto]:[Importe Neto]],Imput[[C. Imp.]:[C. Imp.]],'Indirect Costs'!$C19,Imput[[PERIODO Imp.]:[PERIODO Imp.]],'Indirect Costs'!BR$8)</f>
        <v>14785.44</v>
      </c>
      <c r="BS19" s="48">
        <f>SUMIFS(Imput[[Importe Neto]:[Importe Neto]],Imput[[C. Imp.]:[C. Imp.]],'Indirect Costs'!$C19,Imput[[PERIODO Imp.]:[PERIODO Imp.]],'Indirect Costs'!BS$8)</f>
        <v>14785.44</v>
      </c>
      <c r="BT19" s="48">
        <f>SUMIFS(Imput[[Importe Neto]:[Importe Neto]],Imput[[C. Imp.]:[C. Imp.]],'Indirect Costs'!$C19,Imput[[PERIODO Imp.]:[PERIODO Imp.]],'Indirect Costs'!BT$8)</f>
        <v>14785.44</v>
      </c>
      <c r="BU19" s="48">
        <f>SUMIFS(Imput[[Importe Neto]:[Importe Neto]],Imput[[C. Imp.]:[C. Imp.]],'Indirect Costs'!$C19,Imput[[PERIODO Imp.]:[PERIODO Imp.]],'Indirect Costs'!BU$8)</f>
        <v>14785.44</v>
      </c>
      <c r="BV19" s="48">
        <f>SUMIFS(Imput[[Importe Neto]:[Importe Neto]],Imput[[C. Imp.]:[C. Imp.]],'Indirect Costs'!$C19,Imput[[PERIODO Imp.]:[PERIODO Imp.]],'Indirect Costs'!BV$8)</f>
        <v>14785.44</v>
      </c>
      <c r="BW19" s="48">
        <f>SUMIFS(Imput[[Importe Neto]:[Importe Neto]],Imput[[C. Imp.]:[C. Imp.]],'Indirect Costs'!$C19,Imput[[PERIODO Imp.]:[PERIODO Imp.]],'Indirect Costs'!BW$8)</f>
        <v>14785.44</v>
      </c>
      <c r="BX19" s="48">
        <f>SUMIFS(Imput[[Importe Neto]:[Importe Neto]],Imput[[C. Imp.]:[C. Imp.]],'Indirect Costs'!$C19,Imput[[PERIODO Imp.]:[PERIODO Imp.]],'Indirect Costs'!BX$8)</f>
        <v>14785.44</v>
      </c>
      <c r="BY19" s="48">
        <f>SUMIFS(Imput[[Importe Neto]:[Importe Neto]],Imput[[C. Imp.]:[C. Imp.]],'Indirect Costs'!$C19,Imput[[PERIODO Imp.]:[PERIODO Imp.]],'Indirect Costs'!BY$8)</f>
        <v>14741.951999999999</v>
      </c>
      <c r="BZ19" s="48">
        <f>SUMIFS(Imput[[Importe Neto]:[Importe Neto]],Imput[[C. Imp.]:[C. Imp.]],'Indirect Costs'!$C19,Imput[[PERIODO Imp.]:[PERIODO Imp.]],'Indirect Costs'!BZ$8)</f>
        <v>0</v>
      </c>
      <c r="CA19" s="48">
        <f>SUMIFS(Imput[[Importe Neto]:[Importe Neto]],Imput[[C. Imp.]:[C. Imp.]],'Indirect Costs'!$C19,Imput[[PERIODO Imp.]:[PERIODO Imp.]],'Indirect Costs'!CA$8)</f>
        <v>0</v>
      </c>
      <c r="CB19" s="48">
        <f>SUMIFS(Imput[[Importe Neto]:[Importe Neto]],Imput[[C. Imp.]:[C. Imp.]],'Indirect Costs'!$C19,Imput[[PERIODO Imp.]:[PERIODO Imp.]],'Indirect Costs'!CB$8)</f>
        <v>0</v>
      </c>
      <c r="CC19" s="48">
        <f>SUMIFS(Imput[[Importe Neto]:[Importe Neto]],Imput[[C. Imp.]:[C. Imp.]],'Indirect Costs'!$C19,Imput[[PERIODO Imp.]:[PERIODO Imp.]],'Indirect Costs'!CC$8)</f>
        <v>0</v>
      </c>
      <c r="CD19" s="48">
        <f>SUMIFS(Imput[[Importe Neto]:[Importe Neto]],Imput[[C. Imp.]:[C. Imp.]],'Indirect Costs'!$C19,Imput[[PERIODO Imp.]:[PERIODO Imp.]],'Indirect Costs'!CD$8)</f>
        <v>0</v>
      </c>
      <c r="CE19" s="48">
        <f>SUMIFS(Imput[[Importe Neto]:[Importe Neto]],Imput[[C. Imp.]:[C. Imp.]],'Indirect Costs'!$C19,Imput[[PERIODO Imp.]:[PERIODO Imp.]],'Indirect Costs'!CE$8)</f>
        <v>0</v>
      </c>
      <c r="CF19" s="48">
        <f>SUMIFS(Imput[[Importe Neto]:[Importe Neto]],Imput[[C. Imp.]:[C. Imp.]],'Indirect Costs'!$C19,Imput[[PERIODO Imp.]:[PERIODO Imp.]],'Indirect Costs'!CF$8)</f>
        <v>0</v>
      </c>
      <c r="CG19" s="48">
        <f>SUMIFS(Imput[[Importe Neto]:[Importe Neto]],Imput[[C. Imp.]:[C. Imp.]],'Indirect Costs'!$C19,Imput[[PERIODO Imp.]:[PERIODO Imp.]],'Indirect Costs'!CG$8)</f>
        <v>0</v>
      </c>
      <c r="CH19" s="48">
        <f>SUMIFS(Imput[[Importe Neto]:[Importe Neto]],Imput[[C. Imp.]:[C. Imp.]],'Indirect Costs'!$C19,Imput[[PERIODO Imp.]:[PERIODO Imp.]],'Indirect Costs'!CH$8)</f>
        <v>0</v>
      </c>
      <c r="CI19" s="48">
        <f>SUMIFS(Imput[[Importe Neto]:[Importe Neto]],Imput[[C. Imp.]:[C. Imp.]],'Indirect Costs'!$C19,Imput[[PERIODO Imp.]:[PERIODO Imp.]],'Indirect Costs'!CI$8)</f>
        <v>0</v>
      </c>
      <c r="CJ19" s="48">
        <f>SUMIFS(Imput[[Importe Neto]:[Importe Neto]],Imput[[C. Imp.]:[C. Imp.]],'Indirect Costs'!$C19,Imput[[PERIODO Imp.]:[PERIODO Imp.]],'Indirect Costs'!CJ$8)</f>
        <v>0</v>
      </c>
      <c r="CK19" s="48">
        <f>SUMIFS(Imput[[Importe Neto]:[Importe Neto]],Imput[[C. Imp.]:[C. Imp.]],'Indirect Costs'!$C19,Imput[[PERIODO Imp.]:[PERIODO Imp.]],'Indirect Costs'!CK$8)</f>
        <v>0</v>
      </c>
      <c r="CL19" s="48">
        <f>SUMIFS(Imput[[Importe Neto]:[Importe Neto]],Imput[[C. Imp.]:[C. Imp.]],'Indirect Costs'!$C19,Imput[[PERIODO Imp.]:[PERIODO Imp.]],'Indirect Costs'!CL$8)</f>
        <v>0</v>
      </c>
      <c r="CM19" s="48">
        <f>SUMIFS(Imput[[Importe Neto]:[Importe Neto]],Imput[[C. Imp.]:[C. Imp.]],'Indirect Costs'!$C19,Imput[[PERIODO Imp.]:[PERIODO Imp.]],'Indirect Costs'!CM$8)</f>
        <v>0</v>
      </c>
      <c r="CN19" s="48">
        <f>SUMIFS(Imput[[Importe Neto]:[Importe Neto]],Imput[[C. Imp.]:[C. Imp.]],'Indirect Costs'!$C19,Imput[[PERIODO Imp.]:[PERIODO Imp.]],'Indirect Costs'!CN$8)</f>
        <v>0</v>
      </c>
      <c r="CO19" s="48">
        <f>SUMIFS(Imput[[Importe Neto]:[Importe Neto]],Imput[[C. Imp.]:[C. Imp.]],'Indirect Costs'!$C19,Imput[[PERIODO Imp.]:[PERIODO Imp.]],'Indirect Costs'!CO$8)</f>
        <v>0</v>
      </c>
      <c r="CP19" s="48">
        <f>SUMIFS(Imput[[Importe Neto]:[Importe Neto]],Imput[[C. Imp.]:[C. Imp.]],'Indirect Costs'!$C19,Imput[[PERIODO Imp.]:[PERIODO Imp.]],'Indirect Costs'!CP$8)</f>
        <v>0</v>
      </c>
      <c r="CQ19" s="48">
        <f>SUMIFS(Imput[[Importe Neto]:[Importe Neto]],Imput[[C. Imp.]:[C. Imp.]],'Indirect Costs'!$C19,Imput[[PERIODO Imp.]:[PERIODO Imp.]],'Indirect Costs'!CQ$8)</f>
        <v>0</v>
      </c>
      <c r="CR19" s="48">
        <f>SUMIFS(Imput[[Importe Neto]:[Importe Neto]],Imput[[C. Imp.]:[C. Imp.]],'Indirect Costs'!$C19,Imput[[PERIODO Imp.]:[PERIODO Imp.]],'Indirect Costs'!CR$8)</f>
        <v>0</v>
      </c>
      <c r="CS19" s="48">
        <f>SUMIFS(Imput[[Importe Neto]:[Importe Neto]],Imput[[C. Imp.]:[C. Imp.]],'Indirect Costs'!$C19,Imput[[PERIODO Imp.]:[PERIODO Imp.]],'Indirect Costs'!CS$8)</f>
        <v>0</v>
      </c>
      <c r="CT19" s="48">
        <f>SUMIFS(Imput[[Importe Neto]:[Importe Neto]],Imput[[C. Imp.]:[C. Imp.]],'Indirect Costs'!$C19,Imput[[PERIODO Imp.]:[PERIODO Imp.]],'Indirect Costs'!CT$8)</f>
        <v>0</v>
      </c>
      <c r="CU19" s="48">
        <f>SUMIFS(Imput[[Importe Neto]:[Importe Neto]],Imput[[C. Imp.]:[C. Imp.]],'Indirect Costs'!$C19,Imput[[PERIODO Imp.]:[PERIODO Imp.]],'Indirect Costs'!CU$8)</f>
        <v>0</v>
      </c>
      <c r="CV19" s="48">
        <f>SUMIFS(Imput[[Importe Neto]:[Importe Neto]],Imput[[C. Imp.]:[C. Imp.]],'Indirect Costs'!$C19,Imput[[PERIODO Imp.]:[PERIODO Imp.]],'Indirect Costs'!CV$8)</f>
        <v>0</v>
      </c>
      <c r="CW19" s="48">
        <f>SUMIFS(Imput[[Importe Neto]:[Importe Neto]],Imput[[C. Imp.]:[C. Imp.]],'Indirect Costs'!$C19,Imput[[PERIODO Imp.]:[PERIODO Imp.]],'Indirect Costs'!CW$8)</f>
        <v>0</v>
      </c>
      <c r="CX19" s="48">
        <f>SUMIFS(Imput[[Importe Neto]:[Importe Neto]],Imput[[C. Imp.]:[C. Imp.]],'Indirect Costs'!$C19,Imput[[PERIODO Imp.]:[PERIODO Imp.]],'Indirect Costs'!CX$8)</f>
        <v>0</v>
      </c>
      <c r="CY19" s="48">
        <f>SUMIFS(Imput[[Importe Neto]:[Importe Neto]],Imput[[C. Imp.]:[C. Imp.]],'Indirect Costs'!$C19,Imput[[PERIODO Imp.]:[PERIODO Imp.]],'Indirect Costs'!CY$8)</f>
        <v>0</v>
      </c>
      <c r="CZ19" s="48">
        <f>SUMIFS(Imput[[Importe Neto]:[Importe Neto]],Imput[[C. Imp.]:[C. Imp.]],'Indirect Costs'!$C19,Imput[[PERIODO Imp.]:[PERIODO Imp.]],'Indirect Costs'!CZ$8)</f>
        <v>0</v>
      </c>
      <c r="DA19" s="48">
        <f>SUMIFS(Imput[[Importe Neto]:[Importe Neto]],Imput[[C. Imp.]:[C. Imp.]],'Indirect Costs'!$C19,Imput[[PERIODO Imp.]:[PERIODO Imp.]],'Indirect Costs'!DA$8)</f>
        <v>0</v>
      </c>
      <c r="DB19" s="48">
        <f>SUMIFS(Imput[[Importe Neto]:[Importe Neto]],Imput[[C. Imp.]:[C. Imp.]],'Indirect Costs'!$C19,Imput[[PERIODO Imp.]:[PERIODO Imp.]],'Indirect Costs'!DB$8)</f>
        <v>0</v>
      </c>
      <c r="DC19" s="48">
        <f>SUMIFS(Imput[[Importe Neto]:[Importe Neto]],Imput[[C. Imp.]:[C. Imp.]],'Indirect Costs'!$C19,Imput[[PERIODO Imp.]:[PERIODO Imp.]],'Indirect Costs'!DC$8)</f>
        <v>0</v>
      </c>
      <c r="DD19" s="48">
        <f>SUMIFS(Imput[[Importe Neto]:[Importe Neto]],Imput[[C. Imp.]:[C. Imp.]],'Indirect Costs'!$C19,Imput[[PERIODO Imp.]:[PERIODO Imp.]],'Indirect Costs'!DD$8)</f>
        <v>0</v>
      </c>
      <c r="DE19" s="48">
        <f>SUMIFS(Imput[[Importe Neto]:[Importe Neto]],Imput[[C. Imp.]:[C. Imp.]],'Indirect Costs'!$C19,Imput[[PERIODO Imp.]:[PERIODO Imp.]],'Indirect Costs'!DE$8)</f>
        <v>0</v>
      </c>
      <c r="DF19" s="143">
        <f>SUMIFS(Imput[[Importe Neto]:[Importe Neto]],Imput[[C. Imp.]:[C. Imp.]],'Indirect Costs'!$C19,Imput[[PERIODO Imp.]:[PERIODO Imp.]],'Indirect Costs'!DF$8)</f>
        <v>0</v>
      </c>
    </row>
    <row r="20" spans="1:110" outlineLevel="1" x14ac:dyDescent="0.25">
      <c r="A20" s="28" t="str">
        <f t="shared" si="3"/>
        <v>Imprimir</v>
      </c>
      <c r="B20" s="50">
        <v>2</v>
      </c>
      <c r="C20" s="57" t="s">
        <v>1774</v>
      </c>
      <c r="D20" s="56" t="s">
        <v>534</v>
      </c>
      <c r="E20" s="57" t="s">
        <v>2112</v>
      </c>
      <c r="F20" s="58">
        <v>45000</v>
      </c>
      <c r="G20" s="49">
        <v>1</v>
      </c>
      <c r="H20" s="51">
        <v>1</v>
      </c>
      <c r="I20" s="505">
        <f t="shared" si="7"/>
        <v>45000</v>
      </c>
      <c r="J20" s="47"/>
      <c r="K20" s="142"/>
      <c r="L20" s="48"/>
      <c r="M20" s="48"/>
      <c r="N20" s="48"/>
      <c r="O20" s="48"/>
      <c r="P20" s="48"/>
      <c r="Q20" s="48">
        <v>0.5</v>
      </c>
      <c r="R20" s="48">
        <v>0.5</v>
      </c>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143"/>
      <c r="BG20" s="47"/>
      <c r="BH20" s="509"/>
      <c r="BI20" s="505">
        <f t="shared" si="6"/>
        <v>212854.416</v>
      </c>
      <c r="BJ20" s="47"/>
      <c r="BK20" s="142">
        <f>SUMIFS(Imput[[Importe Neto]:[Importe Neto]],Imput[[C. Imp.]:[C. Imp.]],'Indirect Costs'!$C20,Imput[[PERIODO Imp.]:[PERIODO Imp.]],'Indirect Costs'!BK$8)</f>
        <v>0</v>
      </c>
      <c r="BL20" s="48">
        <f>SUMIFS(Imput[[Importe Neto]:[Importe Neto]],Imput[[C. Imp.]:[C. Imp.]],'Indirect Costs'!$C20,Imput[[PERIODO Imp.]:[PERIODO Imp.]],'Indirect Costs'!BL$8)</f>
        <v>0</v>
      </c>
      <c r="BM20" s="48">
        <f>SUMIFS(Imput[[Importe Neto]:[Importe Neto]],Imput[[C. Imp.]:[C. Imp.]],'Indirect Costs'!$C20,Imput[[PERIODO Imp.]:[PERIODO Imp.]],'Indirect Costs'!BM$8)</f>
        <v>16400.688000000002</v>
      </c>
      <c r="BN20" s="48">
        <f>SUMIFS(Imput[[Importe Neto]:[Importe Neto]],Imput[[C. Imp.]:[C. Imp.]],'Indirect Costs'!$C20,Imput[[PERIODO Imp.]:[PERIODO Imp.]],'Indirect Costs'!BN$8)</f>
        <v>16400.688000000002</v>
      </c>
      <c r="BO20" s="48">
        <f>SUMIFS(Imput[[Importe Neto]:[Importe Neto]],Imput[[C. Imp.]:[C. Imp.]],'Indirect Costs'!$C20,Imput[[PERIODO Imp.]:[PERIODO Imp.]],'Indirect Costs'!BO$8)</f>
        <v>16400.688000000002</v>
      </c>
      <c r="BP20" s="48">
        <f>SUMIFS(Imput[[Importe Neto]:[Importe Neto]],Imput[[C. Imp.]:[C. Imp.]],'Indirect Costs'!$C20,Imput[[PERIODO Imp.]:[PERIODO Imp.]],'Indirect Costs'!BP$8)</f>
        <v>15212.688</v>
      </c>
      <c r="BQ20" s="48">
        <f>SUMIFS(Imput[[Importe Neto]:[Importe Neto]],Imput[[C. Imp.]:[C. Imp.]],'Indirect Costs'!$C20,Imput[[PERIODO Imp.]:[PERIODO Imp.]],'Indirect Costs'!BQ$8)</f>
        <v>16400.688000000002</v>
      </c>
      <c r="BR20" s="48">
        <f>SUMIFS(Imput[[Importe Neto]:[Importe Neto]],Imput[[C. Imp.]:[C. Imp.]],'Indirect Costs'!$C20,Imput[[PERIODO Imp.]:[PERIODO Imp.]],'Indirect Costs'!BR$8)</f>
        <v>18560.688000000002</v>
      </c>
      <c r="BS20" s="48">
        <f>SUMIFS(Imput[[Importe Neto]:[Importe Neto]],Imput[[C. Imp.]:[C. Imp.]],'Indirect Costs'!$C20,Imput[[PERIODO Imp.]:[PERIODO Imp.]],'Indirect Costs'!BS$8)</f>
        <v>16305.648000000001</v>
      </c>
      <c r="BT20" s="48">
        <f>SUMIFS(Imput[[Importe Neto]:[Importe Neto]],Imput[[C. Imp.]:[C. Imp.]],'Indirect Costs'!$C20,Imput[[PERIODO Imp.]:[PERIODO Imp.]],'Indirect Costs'!BT$8)</f>
        <v>16400.688000000002</v>
      </c>
      <c r="BU20" s="48">
        <f>SUMIFS(Imput[[Importe Neto]:[Importe Neto]],Imput[[C. Imp.]:[C. Imp.]],'Indirect Costs'!$C20,Imput[[PERIODO Imp.]:[PERIODO Imp.]],'Indirect Costs'!BU$8)</f>
        <v>16400.688000000002</v>
      </c>
      <c r="BV20" s="48">
        <f>SUMIFS(Imput[[Importe Neto]:[Importe Neto]],Imput[[C. Imp.]:[C. Imp.]],'Indirect Costs'!$C20,Imput[[PERIODO Imp.]:[PERIODO Imp.]],'Indirect Costs'!BV$8)</f>
        <v>16400.688000000002</v>
      </c>
      <c r="BW20" s="48">
        <f>SUMIFS(Imput[[Importe Neto]:[Importe Neto]],Imput[[C. Imp.]:[C. Imp.]],'Indirect Costs'!$C20,Imput[[PERIODO Imp.]:[PERIODO Imp.]],'Indirect Costs'!BW$8)</f>
        <v>16400.688000000002</v>
      </c>
      <c r="BX20" s="48">
        <f>SUMIFS(Imput[[Importe Neto]:[Importe Neto]],Imput[[C. Imp.]:[C. Imp.]],'Indirect Costs'!$C20,Imput[[PERIODO Imp.]:[PERIODO Imp.]],'Indirect Costs'!BX$8)</f>
        <v>15509.688</v>
      </c>
      <c r="BY20" s="48">
        <f>SUMIFS(Imput[[Importe Neto]:[Importe Neto]],Imput[[C. Imp.]:[C. Imp.]],'Indirect Costs'!$C20,Imput[[PERIODO Imp.]:[PERIODO Imp.]],'Indirect Costs'!BY$8)</f>
        <v>16060.2</v>
      </c>
      <c r="BZ20" s="48">
        <f>SUMIFS(Imput[[Importe Neto]:[Importe Neto]],Imput[[C. Imp.]:[C. Imp.]],'Indirect Costs'!$C20,Imput[[PERIODO Imp.]:[PERIODO Imp.]],'Indirect Costs'!BZ$8)</f>
        <v>0</v>
      </c>
      <c r="CA20" s="48">
        <f>SUMIFS(Imput[[Importe Neto]:[Importe Neto]],Imput[[C. Imp.]:[C. Imp.]],'Indirect Costs'!$C20,Imput[[PERIODO Imp.]:[PERIODO Imp.]],'Indirect Costs'!CA$8)</f>
        <v>0</v>
      </c>
      <c r="CB20" s="48">
        <f>SUMIFS(Imput[[Importe Neto]:[Importe Neto]],Imput[[C. Imp.]:[C. Imp.]],'Indirect Costs'!$C20,Imput[[PERIODO Imp.]:[PERIODO Imp.]],'Indirect Costs'!CB$8)</f>
        <v>0</v>
      </c>
      <c r="CC20" s="48">
        <f>SUMIFS(Imput[[Importe Neto]:[Importe Neto]],Imput[[C. Imp.]:[C. Imp.]],'Indirect Costs'!$C20,Imput[[PERIODO Imp.]:[PERIODO Imp.]],'Indirect Costs'!CC$8)</f>
        <v>0</v>
      </c>
      <c r="CD20" s="48">
        <f>SUMIFS(Imput[[Importe Neto]:[Importe Neto]],Imput[[C. Imp.]:[C. Imp.]],'Indirect Costs'!$C20,Imput[[PERIODO Imp.]:[PERIODO Imp.]],'Indirect Costs'!CD$8)</f>
        <v>0</v>
      </c>
      <c r="CE20" s="48">
        <f>SUMIFS(Imput[[Importe Neto]:[Importe Neto]],Imput[[C. Imp.]:[C. Imp.]],'Indirect Costs'!$C20,Imput[[PERIODO Imp.]:[PERIODO Imp.]],'Indirect Costs'!CE$8)</f>
        <v>0</v>
      </c>
      <c r="CF20" s="48">
        <f>SUMIFS(Imput[[Importe Neto]:[Importe Neto]],Imput[[C. Imp.]:[C. Imp.]],'Indirect Costs'!$C20,Imput[[PERIODO Imp.]:[PERIODO Imp.]],'Indirect Costs'!CF$8)</f>
        <v>0</v>
      </c>
      <c r="CG20" s="48">
        <f>SUMIFS(Imput[[Importe Neto]:[Importe Neto]],Imput[[C. Imp.]:[C. Imp.]],'Indirect Costs'!$C20,Imput[[PERIODO Imp.]:[PERIODO Imp.]],'Indirect Costs'!CG$8)</f>
        <v>0</v>
      </c>
      <c r="CH20" s="48">
        <f>SUMIFS(Imput[[Importe Neto]:[Importe Neto]],Imput[[C. Imp.]:[C. Imp.]],'Indirect Costs'!$C20,Imput[[PERIODO Imp.]:[PERIODO Imp.]],'Indirect Costs'!CH$8)</f>
        <v>0</v>
      </c>
      <c r="CI20" s="48">
        <f>SUMIFS(Imput[[Importe Neto]:[Importe Neto]],Imput[[C. Imp.]:[C. Imp.]],'Indirect Costs'!$C20,Imput[[PERIODO Imp.]:[PERIODO Imp.]],'Indirect Costs'!CI$8)</f>
        <v>0</v>
      </c>
      <c r="CJ20" s="48">
        <f>SUMIFS(Imput[[Importe Neto]:[Importe Neto]],Imput[[C. Imp.]:[C. Imp.]],'Indirect Costs'!$C20,Imput[[PERIODO Imp.]:[PERIODO Imp.]],'Indirect Costs'!CJ$8)</f>
        <v>0</v>
      </c>
      <c r="CK20" s="48">
        <f>SUMIFS(Imput[[Importe Neto]:[Importe Neto]],Imput[[C. Imp.]:[C. Imp.]],'Indirect Costs'!$C20,Imput[[PERIODO Imp.]:[PERIODO Imp.]],'Indirect Costs'!CK$8)</f>
        <v>0</v>
      </c>
      <c r="CL20" s="48">
        <f>SUMIFS(Imput[[Importe Neto]:[Importe Neto]],Imput[[C. Imp.]:[C. Imp.]],'Indirect Costs'!$C20,Imput[[PERIODO Imp.]:[PERIODO Imp.]],'Indirect Costs'!CL$8)</f>
        <v>0</v>
      </c>
      <c r="CM20" s="48">
        <f>SUMIFS(Imput[[Importe Neto]:[Importe Neto]],Imput[[C. Imp.]:[C. Imp.]],'Indirect Costs'!$C20,Imput[[PERIODO Imp.]:[PERIODO Imp.]],'Indirect Costs'!CM$8)</f>
        <v>0</v>
      </c>
      <c r="CN20" s="48">
        <f>SUMIFS(Imput[[Importe Neto]:[Importe Neto]],Imput[[C. Imp.]:[C. Imp.]],'Indirect Costs'!$C20,Imput[[PERIODO Imp.]:[PERIODO Imp.]],'Indirect Costs'!CN$8)</f>
        <v>0</v>
      </c>
      <c r="CO20" s="48">
        <f>SUMIFS(Imput[[Importe Neto]:[Importe Neto]],Imput[[C. Imp.]:[C. Imp.]],'Indirect Costs'!$C20,Imput[[PERIODO Imp.]:[PERIODO Imp.]],'Indirect Costs'!CO$8)</f>
        <v>0</v>
      </c>
      <c r="CP20" s="48">
        <f>SUMIFS(Imput[[Importe Neto]:[Importe Neto]],Imput[[C. Imp.]:[C. Imp.]],'Indirect Costs'!$C20,Imput[[PERIODO Imp.]:[PERIODO Imp.]],'Indirect Costs'!CP$8)</f>
        <v>0</v>
      </c>
      <c r="CQ20" s="48">
        <f>SUMIFS(Imput[[Importe Neto]:[Importe Neto]],Imput[[C. Imp.]:[C. Imp.]],'Indirect Costs'!$C20,Imput[[PERIODO Imp.]:[PERIODO Imp.]],'Indirect Costs'!CQ$8)</f>
        <v>0</v>
      </c>
      <c r="CR20" s="48">
        <f>SUMIFS(Imput[[Importe Neto]:[Importe Neto]],Imput[[C. Imp.]:[C. Imp.]],'Indirect Costs'!$C20,Imput[[PERIODO Imp.]:[PERIODO Imp.]],'Indirect Costs'!CR$8)</f>
        <v>0</v>
      </c>
      <c r="CS20" s="48">
        <f>SUMIFS(Imput[[Importe Neto]:[Importe Neto]],Imput[[C. Imp.]:[C. Imp.]],'Indirect Costs'!$C20,Imput[[PERIODO Imp.]:[PERIODO Imp.]],'Indirect Costs'!CS$8)</f>
        <v>0</v>
      </c>
      <c r="CT20" s="48">
        <f>SUMIFS(Imput[[Importe Neto]:[Importe Neto]],Imput[[C. Imp.]:[C. Imp.]],'Indirect Costs'!$C20,Imput[[PERIODO Imp.]:[PERIODO Imp.]],'Indirect Costs'!CT$8)</f>
        <v>0</v>
      </c>
      <c r="CU20" s="48">
        <f>SUMIFS(Imput[[Importe Neto]:[Importe Neto]],Imput[[C. Imp.]:[C. Imp.]],'Indirect Costs'!$C20,Imput[[PERIODO Imp.]:[PERIODO Imp.]],'Indirect Costs'!CU$8)</f>
        <v>0</v>
      </c>
      <c r="CV20" s="48">
        <f>SUMIFS(Imput[[Importe Neto]:[Importe Neto]],Imput[[C. Imp.]:[C. Imp.]],'Indirect Costs'!$C20,Imput[[PERIODO Imp.]:[PERIODO Imp.]],'Indirect Costs'!CV$8)</f>
        <v>0</v>
      </c>
      <c r="CW20" s="48">
        <f>SUMIFS(Imput[[Importe Neto]:[Importe Neto]],Imput[[C. Imp.]:[C. Imp.]],'Indirect Costs'!$C20,Imput[[PERIODO Imp.]:[PERIODO Imp.]],'Indirect Costs'!CW$8)</f>
        <v>0</v>
      </c>
      <c r="CX20" s="48">
        <f>SUMIFS(Imput[[Importe Neto]:[Importe Neto]],Imput[[C. Imp.]:[C. Imp.]],'Indirect Costs'!$C20,Imput[[PERIODO Imp.]:[PERIODO Imp.]],'Indirect Costs'!CX$8)</f>
        <v>0</v>
      </c>
      <c r="CY20" s="48">
        <f>SUMIFS(Imput[[Importe Neto]:[Importe Neto]],Imput[[C. Imp.]:[C. Imp.]],'Indirect Costs'!$C20,Imput[[PERIODO Imp.]:[PERIODO Imp.]],'Indirect Costs'!CY$8)</f>
        <v>0</v>
      </c>
      <c r="CZ20" s="48">
        <f>SUMIFS(Imput[[Importe Neto]:[Importe Neto]],Imput[[C. Imp.]:[C. Imp.]],'Indirect Costs'!$C20,Imput[[PERIODO Imp.]:[PERIODO Imp.]],'Indirect Costs'!CZ$8)</f>
        <v>0</v>
      </c>
      <c r="DA20" s="48">
        <f>SUMIFS(Imput[[Importe Neto]:[Importe Neto]],Imput[[C. Imp.]:[C. Imp.]],'Indirect Costs'!$C20,Imput[[PERIODO Imp.]:[PERIODO Imp.]],'Indirect Costs'!DA$8)</f>
        <v>0</v>
      </c>
      <c r="DB20" s="48">
        <f>SUMIFS(Imput[[Importe Neto]:[Importe Neto]],Imput[[C. Imp.]:[C. Imp.]],'Indirect Costs'!$C20,Imput[[PERIODO Imp.]:[PERIODO Imp.]],'Indirect Costs'!DB$8)</f>
        <v>0</v>
      </c>
      <c r="DC20" s="48">
        <f>SUMIFS(Imput[[Importe Neto]:[Importe Neto]],Imput[[C. Imp.]:[C. Imp.]],'Indirect Costs'!$C20,Imput[[PERIODO Imp.]:[PERIODO Imp.]],'Indirect Costs'!DC$8)</f>
        <v>0</v>
      </c>
      <c r="DD20" s="48">
        <f>SUMIFS(Imput[[Importe Neto]:[Importe Neto]],Imput[[C. Imp.]:[C. Imp.]],'Indirect Costs'!$C20,Imput[[PERIODO Imp.]:[PERIODO Imp.]],'Indirect Costs'!DD$8)</f>
        <v>0</v>
      </c>
      <c r="DE20" s="48">
        <f>SUMIFS(Imput[[Importe Neto]:[Importe Neto]],Imput[[C. Imp.]:[C. Imp.]],'Indirect Costs'!$C20,Imput[[PERIODO Imp.]:[PERIODO Imp.]],'Indirect Costs'!DE$8)</f>
        <v>0</v>
      </c>
      <c r="DF20" s="143">
        <f>SUMIFS(Imput[[Importe Neto]:[Importe Neto]],Imput[[C. Imp.]:[C. Imp.]],'Indirect Costs'!$C20,Imput[[PERIODO Imp.]:[PERIODO Imp.]],'Indirect Costs'!DF$8)</f>
        <v>0</v>
      </c>
    </row>
    <row r="21" spans="1:110" outlineLevel="1" x14ac:dyDescent="0.25">
      <c r="A21" s="28" t="str">
        <f t="shared" si="3"/>
        <v>Imprimir</v>
      </c>
      <c r="B21" s="50">
        <v>3</v>
      </c>
      <c r="C21" s="57" t="s">
        <v>1775</v>
      </c>
      <c r="D21" s="56" t="s">
        <v>535</v>
      </c>
      <c r="E21" s="57" t="s">
        <v>2113</v>
      </c>
      <c r="F21" s="58">
        <v>27000</v>
      </c>
      <c r="G21" s="49">
        <v>1</v>
      </c>
      <c r="H21" s="51">
        <v>1</v>
      </c>
      <c r="I21" s="505">
        <f t="shared" si="7"/>
        <v>27000</v>
      </c>
      <c r="J21" s="47"/>
      <c r="K21" s="142">
        <v>0.16666666666666666</v>
      </c>
      <c r="L21" s="48">
        <v>0.16666666666666666</v>
      </c>
      <c r="M21" s="48">
        <v>0.16666666666666666</v>
      </c>
      <c r="N21" s="48">
        <v>0.16666666666666666</v>
      </c>
      <c r="O21" s="48">
        <v>0.16666666666666666</v>
      </c>
      <c r="P21" s="48">
        <v>0.16666666666666666</v>
      </c>
      <c r="Q21" s="48">
        <v>0.5</v>
      </c>
      <c r="R21" s="48">
        <v>0.5</v>
      </c>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143"/>
      <c r="BG21" s="47"/>
      <c r="BH21" s="509"/>
      <c r="BI21" s="505">
        <f t="shared" si="6"/>
        <v>58851.832000000009</v>
      </c>
      <c r="BJ21" s="47"/>
      <c r="BK21" s="142">
        <f>SUMIFS(Imput[[Importe Neto]:[Importe Neto]],Imput[[C. Imp.]:[C. Imp.]],'Indirect Costs'!$C21,Imput[[PERIODO Imp.]:[PERIODO Imp.]],'Indirect Costs'!BK$8)</f>
        <v>0</v>
      </c>
      <c r="BL21" s="48">
        <f>SUMIFS(Imput[[Importe Neto]:[Importe Neto]],Imput[[C. Imp.]:[C. Imp.]],'Indirect Costs'!$C21,Imput[[PERIODO Imp.]:[PERIODO Imp.]],'Indirect Costs'!BL$8)</f>
        <v>0</v>
      </c>
      <c r="BM21" s="48">
        <f>SUMIFS(Imput[[Importe Neto]:[Importe Neto]],Imput[[C. Imp.]:[C. Imp.]],'Indirect Costs'!$C21,Imput[[PERIODO Imp.]:[PERIODO Imp.]],'Indirect Costs'!BM$8)</f>
        <v>0</v>
      </c>
      <c r="BN21" s="48">
        <f>SUMIFS(Imput[[Importe Neto]:[Importe Neto]],Imput[[C. Imp.]:[C. Imp.]],'Indirect Costs'!$C21,Imput[[PERIODO Imp.]:[PERIODO Imp.]],'Indirect Costs'!BN$8)</f>
        <v>0</v>
      </c>
      <c r="BO21" s="48">
        <f>SUMIFS(Imput[[Importe Neto]:[Importe Neto]],Imput[[C. Imp.]:[C. Imp.]],'Indirect Costs'!$C21,Imput[[PERIODO Imp.]:[PERIODO Imp.]],'Indirect Costs'!BO$8)</f>
        <v>0</v>
      </c>
      <c r="BP21" s="48">
        <f>SUMIFS(Imput[[Importe Neto]:[Importe Neto]],Imput[[C. Imp.]:[C. Imp.]],'Indirect Costs'!$C21,Imput[[PERIODO Imp.]:[PERIODO Imp.]],'Indirect Costs'!BP$8)</f>
        <v>5016.6000000000004</v>
      </c>
      <c r="BQ21" s="48">
        <f>SUMIFS(Imput[[Importe Neto]:[Importe Neto]],Imput[[C. Imp.]:[C. Imp.]],'Indirect Costs'!$C21,Imput[[PERIODO Imp.]:[PERIODO Imp.]],'Indirect Costs'!BQ$8)</f>
        <v>0</v>
      </c>
      <c r="BR21" s="48">
        <f>SUMIFS(Imput[[Importe Neto]:[Importe Neto]],Imput[[C. Imp.]:[C. Imp.]],'Indirect Costs'!$C21,Imput[[PERIODO Imp.]:[PERIODO Imp.]],'Indirect Costs'!BR$8)</f>
        <v>0</v>
      </c>
      <c r="BS21" s="48">
        <f>SUMIFS(Imput[[Importe Neto]:[Importe Neto]],Imput[[C. Imp.]:[C. Imp.]],'Indirect Costs'!$C21,Imput[[PERIODO Imp.]:[PERIODO Imp.]],'Indirect Costs'!BS$8)</f>
        <v>0</v>
      </c>
      <c r="BT21" s="48">
        <f>SUMIFS(Imput[[Importe Neto]:[Importe Neto]],Imput[[C. Imp.]:[C. Imp.]],'Indirect Costs'!$C21,Imput[[PERIODO Imp.]:[PERIODO Imp.]],'Indirect Costs'!BT$8)</f>
        <v>0</v>
      </c>
      <c r="BU21" s="48">
        <f>SUMIFS(Imput[[Importe Neto]:[Importe Neto]],Imput[[C. Imp.]:[C. Imp.]],'Indirect Costs'!$C21,Imput[[PERIODO Imp.]:[PERIODO Imp.]],'Indirect Costs'!BU$8)</f>
        <v>7696.9600000000009</v>
      </c>
      <c r="BV21" s="48">
        <f>SUMIFS(Imput[[Importe Neto]:[Importe Neto]],Imput[[C. Imp.]:[C. Imp.]],'Indirect Costs'!$C21,Imput[[PERIODO Imp.]:[PERIODO Imp.]],'Indirect Costs'!BV$8)</f>
        <v>11545.44</v>
      </c>
      <c r="BW21" s="48">
        <f>SUMIFS(Imput[[Importe Neto]:[Importe Neto]],Imput[[C. Imp.]:[C. Imp.]],'Indirect Costs'!$C21,Imput[[PERIODO Imp.]:[PERIODO Imp.]],'Indirect Costs'!BW$8)</f>
        <v>11545.44</v>
      </c>
      <c r="BX21" s="48">
        <f>SUMIFS(Imput[[Importe Neto]:[Importe Neto]],Imput[[C. Imp.]:[C. Imp.]],'Indirect Costs'!$C21,Imput[[PERIODO Imp.]:[PERIODO Imp.]],'Indirect Costs'!BX$8)</f>
        <v>11545.44</v>
      </c>
      <c r="BY21" s="48">
        <f>SUMIFS(Imput[[Importe Neto]:[Importe Neto]],Imput[[C. Imp.]:[C. Imp.]],'Indirect Costs'!$C21,Imput[[PERIODO Imp.]:[PERIODO Imp.]],'Indirect Costs'!BY$8)</f>
        <v>11501.952000000001</v>
      </c>
      <c r="BZ21" s="48">
        <f>SUMIFS(Imput[[Importe Neto]:[Importe Neto]],Imput[[C. Imp.]:[C. Imp.]],'Indirect Costs'!$C21,Imput[[PERIODO Imp.]:[PERIODO Imp.]],'Indirect Costs'!BZ$8)</f>
        <v>0</v>
      </c>
      <c r="CA21" s="48">
        <f>SUMIFS(Imput[[Importe Neto]:[Importe Neto]],Imput[[C. Imp.]:[C. Imp.]],'Indirect Costs'!$C21,Imput[[PERIODO Imp.]:[PERIODO Imp.]],'Indirect Costs'!CA$8)</f>
        <v>0</v>
      </c>
      <c r="CB21" s="48">
        <f>SUMIFS(Imput[[Importe Neto]:[Importe Neto]],Imput[[C. Imp.]:[C. Imp.]],'Indirect Costs'!$C21,Imput[[PERIODO Imp.]:[PERIODO Imp.]],'Indirect Costs'!CB$8)</f>
        <v>0</v>
      </c>
      <c r="CC21" s="48">
        <f>SUMIFS(Imput[[Importe Neto]:[Importe Neto]],Imput[[C. Imp.]:[C. Imp.]],'Indirect Costs'!$C21,Imput[[PERIODO Imp.]:[PERIODO Imp.]],'Indirect Costs'!CC$8)</f>
        <v>0</v>
      </c>
      <c r="CD21" s="48">
        <f>SUMIFS(Imput[[Importe Neto]:[Importe Neto]],Imput[[C. Imp.]:[C. Imp.]],'Indirect Costs'!$C21,Imput[[PERIODO Imp.]:[PERIODO Imp.]],'Indirect Costs'!CD$8)</f>
        <v>0</v>
      </c>
      <c r="CE21" s="48">
        <f>SUMIFS(Imput[[Importe Neto]:[Importe Neto]],Imput[[C. Imp.]:[C. Imp.]],'Indirect Costs'!$C21,Imput[[PERIODO Imp.]:[PERIODO Imp.]],'Indirect Costs'!CE$8)</f>
        <v>0</v>
      </c>
      <c r="CF21" s="48">
        <f>SUMIFS(Imput[[Importe Neto]:[Importe Neto]],Imput[[C. Imp.]:[C. Imp.]],'Indirect Costs'!$C21,Imput[[PERIODO Imp.]:[PERIODO Imp.]],'Indirect Costs'!CF$8)</f>
        <v>0</v>
      </c>
      <c r="CG21" s="48">
        <f>SUMIFS(Imput[[Importe Neto]:[Importe Neto]],Imput[[C. Imp.]:[C. Imp.]],'Indirect Costs'!$C21,Imput[[PERIODO Imp.]:[PERIODO Imp.]],'Indirect Costs'!CG$8)</f>
        <v>0</v>
      </c>
      <c r="CH21" s="48">
        <f>SUMIFS(Imput[[Importe Neto]:[Importe Neto]],Imput[[C. Imp.]:[C. Imp.]],'Indirect Costs'!$C21,Imput[[PERIODO Imp.]:[PERIODO Imp.]],'Indirect Costs'!CH$8)</f>
        <v>0</v>
      </c>
      <c r="CI21" s="48">
        <f>SUMIFS(Imput[[Importe Neto]:[Importe Neto]],Imput[[C. Imp.]:[C. Imp.]],'Indirect Costs'!$C21,Imput[[PERIODO Imp.]:[PERIODO Imp.]],'Indirect Costs'!CI$8)</f>
        <v>0</v>
      </c>
      <c r="CJ21" s="48">
        <f>SUMIFS(Imput[[Importe Neto]:[Importe Neto]],Imput[[C. Imp.]:[C. Imp.]],'Indirect Costs'!$C21,Imput[[PERIODO Imp.]:[PERIODO Imp.]],'Indirect Costs'!CJ$8)</f>
        <v>0</v>
      </c>
      <c r="CK21" s="48">
        <f>SUMIFS(Imput[[Importe Neto]:[Importe Neto]],Imput[[C. Imp.]:[C. Imp.]],'Indirect Costs'!$C21,Imput[[PERIODO Imp.]:[PERIODO Imp.]],'Indirect Costs'!CK$8)</f>
        <v>0</v>
      </c>
      <c r="CL21" s="48">
        <f>SUMIFS(Imput[[Importe Neto]:[Importe Neto]],Imput[[C. Imp.]:[C. Imp.]],'Indirect Costs'!$C21,Imput[[PERIODO Imp.]:[PERIODO Imp.]],'Indirect Costs'!CL$8)</f>
        <v>0</v>
      </c>
      <c r="CM21" s="48">
        <f>SUMIFS(Imput[[Importe Neto]:[Importe Neto]],Imput[[C. Imp.]:[C. Imp.]],'Indirect Costs'!$C21,Imput[[PERIODO Imp.]:[PERIODO Imp.]],'Indirect Costs'!CM$8)</f>
        <v>0</v>
      </c>
      <c r="CN21" s="48">
        <f>SUMIFS(Imput[[Importe Neto]:[Importe Neto]],Imput[[C. Imp.]:[C. Imp.]],'Indirect Costs'!$C21,Imput[[PERIODO Imp.]:[PERIODO Imp.]],'Indirect Costs'!CN$8)</f>
        <v>0</v>
      </c>
      <c r="CO21" s="48">
        <f>SUMIFS(Imput[[Importe Neto]:[Importe Neto]],Imput[[C. Imp.]:[C. Imp.]],'Indirect Costs'!$C21,Imput[[PERIODO Imp.]:[PERIODO Imp.]],'Indirect Costs'!CO$8)</f>
        <v>0</v>
      </c>
      <c r="CP21" s="48">
        <f>SUMIFS(Imput[[Importe Neto]:[Importe Neto]],Imput[[C. Imp.]:[C. Imp.]],'Indirect Costs'!$C21,Imput[[PERIODO Imp.]:[PERIODO Imp.]],'Indirect Costs'!CP$8)</f>
        <v>0</v>
      </c>
      <c r="CQ21" s="48">
        <f>SUMIFS(Imput[[Importe Neto]:[Importe Neto]],Imput[[C. Imp.]:[C. Imp.]],'Indirect Costs'!$C21,Imput[[PERIODO Imp.]:[PERIODO Imp.]],'Indirect Costs'!CQ$8)</f>
        <v>0</v>
      </c>
      <c r="CR21" s="48">
        <f>SUMIFS(Imput[[Importe Neto]:[Importe Neto]],Imput[[C. Imp.]:[C. Imp.]],'Indirect Costs'!$C21,Imput[[PERIODO Imp.]:[PERIODO Imp.]],'Indirect Costs'!CR$8)</f>
        <v>0</v>
      </c>
      <c r="CS21" s="48">
        <f>SUMIFS(Imput[[Importe Neto]:[Importe Neto]],Imput[[C. Imp.]:[C. Imp.]],'Indirect Costs'!$C21,Imput[[PERIODO Imp.]:[PERIODO Imp.]],'Indirect Costs'!CS$8)</f>
        <v>0</v>
      </c>
      <c r="CT21" s="48">
        <f>SUMIFS(Imput[[Importe Neto]:[Importe Neto]],Imput[[C. Imp.]:[C. Imp.]],'Indirect Costs'!$C21,Imput[[PERIODO Imp.]:[PERIODO Imp.]],'Indirect Costs'!CT$8)</f>
        <v>0</v>
      </c>
      <c r="CU21" s="48">
        <f>SUMIFS(Imput[[Importe Neto]:[Importe Neto]],Imput[[C. Imp.]:[C. Imp.]],'Indirect Costs'!$C21,Imput[[PERIODO Imp.]:[PERIODO Imp.]],'Indirect Costs'!CU$8)</f>
        <v>0</v>
      </c>
      <c r="CV21" s="48">
        <f>SUMIFS(Imput[[Importe Neto]:[Importe Neto]],Imput[[C. Imp.]:[C. Imp.]],'Indirect Costs'!$C21,Imput[[PERIODO Imp.]:[PERIODO Imp.]],'Indirect Costs'!CV$8)</f>
        <v>0</v>
      </c>
      <c r="CW21" s="48">
        <f>SUMIFS(Imput[[Importe Neto]:[Importe Neto]],Imput[[C. Imp.]:[C. Imp.]],'Indirect Costs'!$C21,Imput[[PERIODO Imp.]:[PERIODO Imp.]],'Indirect Costs'!CW$8)</f>
        <v>0</v>
      </c>
      <c r="CX21" s="48">
        <f>SUMIFS(Imput[[Importe Neto]:[Importe Neto]],Imput[[C. Imp.]:[C. Imp.]],'Indirect Costs'!$C21,Imput[[PERIODO Imp.]:[PERIODO Imp.]],'Indirect Costs'!CX$8)</f>
        <v>0</v>
      </c>
      <c r="CY21" s="48">
        <f>SUMIFS(Imput[[Importe Neto]:[Importe Neto]],Imput[[C. Imp.]:[C. Imp.]],'Indirect Costs'!$C21,Imput[[PERIODO Imp.]:[PERIODO Imp.]],'Indirect Costs'!CY$8)</f>
        <v>0</v>
      </c>
      <c r="CZ21" s="48">
        <f>SUMIFS(Imput[[Importe Neto]:[Importe Neto]],Imput[[C. Imp.]:[C. Imp.]],'Indirect Costs'!$C21,Imput[[PERIODO Imp.]:[PERIODO Imp.]],'Indirect Costs'!CZ$8)</f>
        <v>0</v>
      </c>
      <c r="DA21" s="48">
        <f>SUMIFS(Imput[[Importe Neto]:[Importe Neto]],Imput[[C. Imp.]:[C. Imp.]],'Indirect Costs'!$C21,Imput[[PERIODO Imp.]:[PERIODO Imp.]],'Indirect Costs'!DA$8)</f>
        <v>0</v>
      </c>
      <c r="DB21" s="48">
        <f>SUMIFS(Imput[[Importe Neto]:[Importe Neto]],Imput[[C. Imp.]:[C. Imp.]],'Indirect Costs'!$C21,Imput[[PERIODO Imp.]:[PERIODO Imp.]],'Indirect Costs'!DB$8)</f>
        <v>0</v>
      </c>
      <c r="DC21" s="48">
        <f>SUMIFS(Imput[[Importe Neto]:[Importe Neto]],Imput[[C. Imp.]:[C. Imp.]],'Indirect Costs'!$C21,Imput[[PERIODO Imp.]:[PERIODO Imp.]],'Indirect Costs'!DC$8)</f>
        <v>0</v>
      </c>
      <c r="DD21" s="48">
        <f>SUMIFS(Imput[[Importe Neto]:[Importe Neto]],Imput[[C. Imp.]:[C. Imp.]],'Indirect Costs'!$C21,Imput[[PERIODO Imp.]:[PERIODO Imp.]],'Indirect Costs'!DD$8)</f>
        <v>0</v>
      </c>
      <c r="DE21" s="48">
        <f>SUMIFS(Imput[[Importe Neto]:[Importe Neto]],Imput[[C. Imp.]:[C. Imp.]],'Indirect Costs'!$C21,Imput[[PERIODO Imp.]:[PERIODO Imp.]],'Indirect Costs'!DE$8)</f>
        <v>0</v>
      </c>
      <c r="DF21" s="143">
        <f>SUMIFS(Imput[[Importe Neto]:[Importe Neto]],Imput[[C. Imp.]:[C. Imp.]],'Indirect Costs'!$C21,Imput[[PERIODO Imp.]:[PERIODO Imp.]],'Indirect Costs'!DF$8)</f>
        <v>0</v>
      </c>
    </row>
    <row r="22" spans="1:110" outlineLevel="1" x14ac:dyDescent="0.25">
      <c r="A22" s="28" t="str">
        <f t="shared" si="3"/>
        <v>Imprimir</v>
      </c>
      <c r="B22" s="50">
        <v>4</v>
      </c>
      <c r="C22" s="57" t="s">
        <v>1756</v>
      </c>
      <c r="D22" s="56" t="s">
        <v>536</v>
      </c>
      <c r="E22" s="57" t="s">
        <v>2114</v>
      </c>
      <c r="F22" s="58">
        <v>27000</v>
      </c>
      <c r="G22" s="49">
        <v>1</v>
      </c>
      <c r="H22" s="51">
        <v>1</v>
      </c>
      <c r="I22" s="505">
        <f t="shared" si="7"/>
        <v>27000</v>
      </c>
      <c r="J22" s="47"/>
      <c r="K22" s="142"/>
      <c r="L22" s="48"/>
      <c r="M22" s="48"/>
      <c r="N22" s="48"/>
      <c r="O22" s="48"/>
      <c r="P22" s="48"/>
      <c r="Q22" s="48">
        <v>0.5</v>
      </c>
      <c r="R22" s="48">
        <v>0.5</v>
      </c>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143"/>
      <c r="BG22" s="47"/>
      <c r="BH22" s="509"/>
      <c r="BI22" s="505">
        <f t="shared" si="6"/>
        <v>149717.83199999999</v>
      </c>
      <c r="BJ22" s="47"/>
      <c r="BK22" s="142">
        <f>SUMIFS(Imput[[Importe Neto]:[Importe Neto]],Imput[[C. Imp.]:[C. Imp.]],'Indirect Costs'!$C22,Imput[[PERIODO Imp.]:[PERIODO Imp.]],'Indirect Costs'!BK$8)</f>
        <v>0</v>
      </c>
      <c r="BL22" s="48">
        <f>SUMIFS(Imput[[Importe Neto]:[Importe Neto]],Imput[[C. Imp.]:[C. Imp.]],'Indirect Costs'!$C22,Imput[[PERIODO Imp.]:[PERIODO Imp.]],'Indirect Costs'!BL$8)</f>
        <v>0</v>
      </c>
      <c r="BM22" s="48">
        <f>SUMIFS(Imput[[Importe Neto]:[Importe Neto]],Imput[[C. Imp.]:[C. Imp.]],'Indirect Costs'!$C22,Imput[[PERIODO Imp.]:[PERIODO Imp.]],'Indirect Costs'!BM$8)</f>
        <v>11237.64</v>
      </c>
      <c r="BN22" s="48">
        <f>SUMIFS(Imput[[Importe Neto]:[Importe Neto]],Imput[[C. Imp.]:[C. Imp.]],'Indirect Costs'!$C22,Imput[[PERIODO Imp.]:[PERIODO Imp.]],'Indirect Costs'!BN$8)</f>
        <v>11237.64</v>
      </c>
      <c r="BO22" s="48">
        <f>SUMIFS(Imput[[Importe Neto]:[Importe Neto]],Imput[[C. Imp.]:[C. Imp.]],'Indirect Costs'!$C22,Imput[[PERIODO Imp.]:[PERIODO Imp.]],'Indirect Costs'!BO$8)</f>
        <v>11237.64</v>
      </c>
      <c r="BP22" s="48">
        <f>SUMIFS(Imput[[Importe Neto]:[Importe Neto]],Imput[[C. Imp.]:[C. Imp.]],'Indirect Costs'!$C22,Imput[[PERIODO Imp.]:[PERIODO Imp.]],'Indirect Costs'!BP$8)</f>
        <v>11237.64</v>
      </c>
      <c r="BQ22" s="48">
        <f>SUMIFS(Imput[[Importe Neto]:[Importe Neto]],Imput[[C. Imp.]:[C. Imp.]],'Indirect Costs'!$C22,Imput[[PERIODO Imp.]:[PERIODO Imp.]],'Indirect Costs'!BQ$8)</f>
        <v>11777.64</v>
      </c>
      <c r="BR22" s="48">
        <f>SUMIFS(Imput[[Importe Neto]:[Importe Neto]],Imput[[C. Imp.]:[C. Imp.]],'Indirect Costs'!$C22,Imput[[PERIODO Imp.]:[PERIODO Imp.]],'Indirect Costs'!BR$8)</f>
        <v>11237.64</v>
      </c>
      <c r="BS22" s="48">
        <f>SUMIFS(Imput[[Importe Neto]:[Importe Neto]],Imput[[C. Imp.]:[C. Imp.]],'Indirect Costs'!$C22,Imput[[PERIODO Imp.]:[PERIODO Imp.]],'Indirect Costs'!BS$8)</f>
        <v>11237.64</v>
      </c>
      <c r="BT22" s="48">
        <f>SUMIFS(Imput[[Importe Neto]:[Importe Neto]],Imput[[C. Imp.]:[C. Imp.]],'Indirect Costs'!$C22,Imput[[PERIODO Imp.]:[PERIODO Imp.]],'Indirect Costs'!BT$8)</f>
        <v>13397.64</v>
      </c>
      <c r="BU22" s="48">
        <f>SUMIFS(Imput[[Importe Neto]:[Importe Neto]],Imput[[C. Imp.]:[C. Imp.]],'Indirect Costs'!$C22,Imput[[PERIODO Imp.]:[PERIODO Imp.]],'Indirect Costs'!BU$8)</f>
        <v>13397.64</v>
      </c>
      <c r="BV22" s="48">
        <f>SUMIFS(Imput[[Importe Neto]:[Importe Neto]],Imput[[C. Imp.]:[C. Imp.]],'Indirect Costs'!$C22,Imput[[PERIODO Imp.]:[PERIODO Imp.]],'Indirect Costs'!BV$8)</f>
        <v>11237.64</v>
      </c>
      <c r="BW22" s="48">
        <f>SUMIFS(Imput[[Importe Neto]:[Importe Neto]],Imput[[C. Imp.]:[C. Imp.]],'Indirect Costs'!$C22,Imput[[PERIODO Imp.]:[PERIODO Imp.]],'Indirect Costs'!BW$8)</f>
        <v>11237.64</v>
      </c>
      <c r="BX22" s="48">
        <f>SUMIFS(Imput[[Importe Neto]:[Importe Neto]],Imput[[C. Imp.]:[C. Imp.]],'Indirect Costs'!$C22,Imput[[PERIODO Imp.]:[PERIODO Imp.]],'Indirect Costs'!BX$8)</f>
        <v>10346.64</v>
      </c>
      <c r="BY22" s="48">
        <f>SUMIFS(Imput[[Importe Neto]:[Importe Neto]],Imput[[C. Imp.]:[C. Imp.]],'Indirect Costs'!$C22,Imput[[PERIODO Imp.]:[PERIODO Imp.]],'Indirect Costs'!BY$8)</f>
        <v>10897.152</v>
      </c>
      <c r="BZ22" s="48">
        <f>SUMIFS(Imput[[Importe Neto]:[Importe Neto]],Imput[[C. Imp.]:[C. Imp.]],'Indirect Costs'!$C22,Imput[[PERIODO Imp.]:[PERIODO Imp.]],'Indirect Costs'!BZ$8)</f>
        <v>0</v>
      </c>
      <c r="CA22" s="48">
        <f>SUMIFS(Imput[[Importe Neto]:[Importe Neto]],Imput[[C. Imp.]:[C. Imp.]],'Indirect Costs'!$C22,Imput[[PERIODO Imp.]:[PERIODO Imp.]],'Indirect Costs'!CA$8)</f>
        <v>0</v>
      </c>
      <c r="CB22" s="48">
        <f>SUMIFS(Imput[[Importe Neto]:[Importe Neto]],Imput[[C. Imp.]:[C. Imp.]],'Indirect Costs'!$C22,Imput[[PERIODO Imp.]:[PERIODO Imp.]],'Indirect Costs'!CB$8)</f>
        <v>0</v>
      </c>
      <c r="CC22" s="48">
        <f>SUMIFS(Imput[[Importe Neto]:[Importe Neto]],Imput[[C. Imp.]:[C. Imp.]],'Indirect Costs'!$C22,Imput[[PERIODO Imp.]:[PERIODO Imp.]],'Indirect Costs'!CC$8)</f>
        <v>0</v>
      </c>
      <c r="CD22" s="48">
        <f>SUMIFS(Imput[[Importe Neto]:[Importe Neto]],Imput[[C. Imp.]:[C. Imp.]],'Indirect Costs'!$C22,Imput[[PERIODO Imp.]:[PERIODO Imp.]],'Indirect Costs'!CD$8)</f>
        <v>0</v>
      </c>
      <c r="CE22" s="48">
        <f>SUMIFS(Imput[[Importe Neto]:[Importe Neto]],Imput[[C. Imp.]:[C. Imp.]],'Indirect Costs'!$C22,Imput[[PERIODO Imp.]:[PERIODO Imp.]],'Indirect Costs'!CE$8)</f>
        <v>0</v>
      </c>
      <c r="CF22" s="48">
        <f>SUMIFS(Imput[[Importe Neto]:[Importe Neto]],Imput[[C. Imp.]:[C. Imp.]],'Indirect Costs'!$C22,Imput[[PERIODO Imp.]:[PERIODO Imp.]],'Indirect Costs'!CF$8)</f>
        <v>0</v>
      </c>
      <c r="CG22" s="48">
        <f>SUMIFS(Imput[[Importe Neto]:[Importe Neto]],Imput[[C. Imp.]:[C. Imp.]],'Indirect Costs'!$C22,Imput[[PERIODO Imp.]:[PERIODO Imp.]],'Indirect Costs'!CG$8)</f>
        <v>0</v>
      </c>
      <c r="CH22" s="48">
        <f>SUMIFS(Imput[[Importe Neto]:[Importe Neto]],Imput[[C. Imp.]:[C. Imp.]],'Indirect Costs'!$C22,Imput[[PERIODO Imp.]:[PERIODO Imp.]],'Indirect Costs'!CH$8)</f>
        <v>0</v>
      </c>
      <c r="CI22" s="48">
        <f>SUMIFS(Imput[[Importe Neto]:[Importe Neto]],Imput[[C. Imp.]:[C. Imp.]],'Indirect Costs'!$C22,Imput[[PERIODO Imp.]:[PERIODO Imp.]],'Indirect Costs'!CI$8)</f>
        <v>0</v>
      </c>
      <c r="CJ22" s="48">
        <f>SUMIFS(Imput[[Importe Neto]:[Importe Neto]],Imput[[C. Imp.]:[C. Imp.]],'Indirect Costs'!$C22,Imput[[PERIODO Imp.]:[PERIODO Imp.]],'Indirect Costs'!CJ$8)</f>
        <v>0</v>
      </c>
      <c r="CK22" s="48">
        <f>SUMIFS(Imput[[Importe Neto]:[Importe Neto]],Imput[[C. Imp.]:[C. Imp.]],'Indirect Costs'!$C22,Imput[[PERIODO Imp.]:[PERIODO Imp.]],'Indirect Costs'!CK$8)</f>
        <v>0</v>
      </c>
      <c r="CL22" s="48">
        <f>SUMIFS(Imput[[Importe Neto]:[Importe Neto]],Imput[[C. Imp.]:[C. Imp.]],'Indirect Costs'!$C22,Imput[[PERIODO Imp.]:[PERIODO Imp.]],'Indirect Costs'!CL$8)</f>
        <v>0</v>
      </c>
      <c r="CM22" s="48">
        <f>SUMIFS(Imput[[Importe Neto]:[Importe Neto]],Imput[[C. Imp.]:[C. Imp.]],'Indirect Costs'!$C22,Imput[[PERIODO Imp.]:[PERIODO Imp.]],'Indirect Costs'!CM$8)</f>
        <v>0</v>
      </c>
      <c r="CN22" s="48">
        <f>SUMIFS(Imput[[Importe Neto]:[Importe Neto]],Imput[[C. Imp.]:[C. Imp.]],'Indirect Costs'!$C22,Imput[[PERIODO Imp.]:[PERIODO Imp.]],'Indirect Costs'!CN$8)</f>
        <v>0</v>
      </c>
      <c r="CO22" s="48">
        <f>SUMIFS(Imput[[Importe Neto]:[Importe Neto]],Imput[[C. Imp.]:[C. Imp.]],'Indirect Costs'!$C22,Imput[[PERIODO Imp.]:[PERIODO Imp.]],'Indirect Costs'!CO$8)</f>
        <v>0</v>
      </c>
      <c r="CP22" s="48">
        <f>SUMIFS(Imput[[Importe Neto]:[Importe Neto]],Imput[[C. Imp.]:[C. Imp.]],'Indirect Costs'!$C22,Imput[[PERIODO Imp.]:[PERIODO Imp.]],'Indirect Costs'!CP$8)</f>
        <v>0</v>
      </c>
      <c r="CQ22" s="48">
        <f>SUMIFS(Imput[[Importe Neto]:[Importe Neto]],Imput[[C. Imp.]:[C. Imp.]],'Indirect Costs'!$C22,Imput[[PERIODO Imp.]:[PERIODO Imp.]],'Indirect Costs'!CQ$8)</f>
        <v>0</v>
      </c>
      <c r="CR22" s="48">
        <f>SUMIFS(Imput[[Importe Neto]:[Importe Neto]],Imput[[C. Imp.]:[C. Imp.]],'Indirect Costs'!$C22,Imput[[PERIODO Imp.]:[PERIODO Imp.]],'Indirect Costs'!CR$8)</f>
        <v>0</v>
      </c>
      <c r="CS22" s="48">
        <f>SUMIFS(Imput[[Importe Neto]:[Importe Neto]],Imput[[C. Imp.]:[C. Imp.]],'Indirect Costs'!$C22,Imput[[PERIODO Imp.]:[PERIODO Imp.]],'Indirect Costs'!CS$8)</f>
        <v>0</v>
      </c>
      <c r="CT22" s="48">
        <f>SUMIFS(Imput[[Importe Neto]:[Importe Neto]],Imput[[C. Imp.]:[C. Imp.]],'Indirect Costs'!$C22,Imput[[PERIODO Imp.]:[PERIODO Imp.]],'Indirect Costs'!CT$8)</f>
        <v>0</v>
      </c>
      <c r="CU22" s="48">
        <f>SUMIFS(Imput[[Importe Neto]:[Importe Neto]],Imput[[C. Imp.]:[C. Imp.]],'Indirect Costs'!$C22,Imput[[PERIODO Imp.]:[PERIODO Imp.]],'Indirect Costs'!CU$8)</f>
        <v>0</v>
      </c>
      <c r="CV22" s="48">
        <f>SUMIFS(Imput[[Importe Neto]:[Importe Neto]],Imput[[C. Imp.]:[C. Imp.]],'Indirect Costs'!$C22,Imput[[PERIODO Imp.]:[PERIODO Imp.]],'Indirect Costs'!CV$8)</f>
        <v>0</v>
      </c>
      <c r="CW22" s="48">
        <f>SUMIFS(Imput[[Importe Neto]:[Importe Neto]],Imput[[C. Imp.]:[C. Imp.]],'Indirect Costs'!$C22,Imput[[PERIODO Imp.]:[PERIODO Imp.]],'Indirect Costs'!CW$8)</f>
        <v>0</v>
      </c>
      <c r="CX22" s="48">
        <f>SUMIFS(Imput[[Importe Neto]:[Importe Neto]],Imput[[C. Imp.]:[C. Imp.]],'Indirect Costs'!$C22,Imput[[PERIODO Imp.]:[PERIODO Imp.]],'Indirect Costs'!CX$8)</f>
        <v>0</v>
      </c>
      <c r="CY22" s="48">
        <f>SUMIFS(Imput[[Importe Neto]:[Importe Neto]],Imput[[C. Imp.]:[C. Imp.]],'Indirect Costs'!$C22,Imput[[PERIODO Imp.]:[PERIODO Imp.]],'Indirect Costs'!CY$8)</f>
        <v>0</v>
      </c>
      <c r="CZ22" s="48">
        <f>SUMIFS(Imput[[Importe Neto]:[Importe Neto]],Imput[[C. Imp.]:[C. Imp.]],'Indirect Costs'!$C22,Imput[[PERIODO Imp.]:[PERIODO Imp.]],'Indirect Costs'!CZ$8)</f>
        <v>0</v>
      </c>
      <c r="DA22" s="48">
        <f>SUMIFS(Imput[[Importe Neto]:[Importe Neto]],Imput[[C. Imp.]:[C. Imp.]],'Indirect Costs'!$C22,Imput[[PERIODO Imp.]:[PERIODO Imp.]],'Indirect Costs'!DA$8)</f>
        <v>0</v>
      </c>
      <c r="DB22" s="48">
        <f>SUMIFS(Imput[[Importe Neto]:[Importe Neto]],Imput[[C. Imp.]:[C. Imp.]],'Indirect Costs'!$C22,Imput[[PERIODO Imp.]:[PERIODO Imp.]],'Indirect Costs'!DB$8)</f>
        <v>0</v>
      </c>
      <c r="DC22" s="48">
        <f>SUMIFS(Imput[[Importe Neto]:[Importe Neto]],Imput[[C. Imp.]:[C. Imp.]],'Indirect Costs'!$C22,Imput[[PERIODO Imp.]:[PERIODO Imp.]],'Indirect Costs'!DC$8)</f>
        <v>0</v>
      </c>
      <c r="DD22" s="48">
        <f>SUMIFS(Imput[[Importe Neto]:[Importe Neto]],Imput[[C. Imp.]:[C. Imp.]],'Indirect Costs'!$C22,Imput[[PERIODO Imp.]:[PERIODO Imp.]],'Indirect Costs'!DD$8)</f>
        <v>0</v>
      </c>
      <c r="DE22" s="48">
        <f>SUMIFS(Imput[[Importe Neto]:[Importe Neto]],Imput[[C. Imp.]:[C. Imp.]],'Indirect Costs'!$C22,Imput[[PERIODO Imp.]:[PERIODO Imp.]],'Indirect Costs'!DE$8)</f>
        <v>0</v>
      </c>
      <c r="DF22" s="143">
        <f>SUMIFS(Imput[[Importe Neto]:[Importe Neto]],Imput[[C. Imp.]:[C. Imp.]],'Indirect Costs'!$C22,Imput[[PERIODO Imp.]:[PERIODO Imp.]],'Indirect Costs'!DF$8)</f>
        <v>0</v>
      </c>
    </row>
    <row r="23" spans="1:110" outlineLevel="1" x14ac:dyDescent="0.25">
      <c r="A23" s="28" t="str">
        <f t="shared" si="3"/>
        <v/>
      </c>
      <c r="B23" s="50">
        <v>5</v>
      </c>
      <c r="C23" s="57" t="s">
        <v>1776</v>
      </c>
      <c r="D23" s="56" t="s">
        <v>537</v>
      </c>
      <c r="E23" s="57" t="s">
        <v>537</v>
      </c>
      <c r="F23" s="58">
        <v>30000</v>
      </c>
      <c r="G23" s="49"/>
      <c r="H23" s="51">
        <v>1</v>
      </c>
      <c r="I23" s="505">
        <f t="shared" si="7"/>
        <v>0</v>
      </c>
      <c r="J23" s="47"/>
      <c r="K23" s="142"/>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143"/>
      <c r="BG23" s="47"/>
      <c r="BH23" s="509"/>
      <c r="BI23" s="505">
        <f t="shared" si="6"/>
        <v>0</v>
      </c>
      <c r="BJ23" s="47"/>
      <c r="BK23" s="142">
        <f>SUMIFS(Imput[[Importe Neto]:[Importe Neto]],Imput[[C. Imp.]:[C. Imp.]],'Indirect Costs'!$C23,Imput[[PERIODO Imp.]:[PERIODO Imp.]],'Indirect Costs'!BK$8)</f>
        <v>0</v>
      </c>
      <c r="BL23" s="48">
        <f>SUMIFS(Imput[[Importe Neto]:[Importe Neto]],Imput[[C. Imp.]:[C. Imp.]],'Indirect Costs'!$C23,Imput[[PERIODO Imp.]:[PERIODO Imp.]],'Indirect Costs'!BL$8)</f>
        <v>0</v>
      </c>
      <c r="BM23" s="48">
        <f>SUMIFS(Imput[[Importe Neto]:[Importe Neto]],Imput[[C. Imp.]:[C. Imp.]],'Indirect Costs'!$C23,Imput[[PERIODO Imp.]:[PERIODO Imp.]],'Indirect Costs'!BM$8)</f>
        <v>0</v>
      </c>
      <c r="BN23" s="48">
        <f>SUMIFS(Imput[[Importe Neto]:[Importe Neto]],Imput[[C. Imp.]:[C. Imp.]],'Indirect Costs'!$C23,Imput[[PERIODO Imp.]:[PERIODO Imp.]],'Indirect Costs'!BN$8)</f>
        <v>0</v>
      </c>
      <c r="BO23" s="48">
        <f>SUMIFS(Imput[[Importe Neto]:[Importe Neto]],Imput[[C. Imp.]:[C. Imp.]],'Indirect Costs'!$C23,Imput[[PERIODO Imp.]:[PERIODO Imp.]],'Indirect Costs'!BO$8)</f>
        <v>0</v>
      </c>
      <c r="BP23" s="48">
        <f>SUMIFS(Imput[[Importe Neto]:[Importe Neto]],Imput[[C. Imp.]:[C. Imp.]],'Indirect Costs'!$C23,Imput[[PERIODO Imp.]:[PERIODO Imp.]],'Indirect Costs'!BP$8)</f>
        <v>0</v>
      </c>
      <c r="BQ23" s="48">
        <f>SUMIFS(Imput[[Importe Neto]:[Importe Neto]],Imput[[C. Imp.]:[C. Imp.]],'Indirect Costs'!$C23,Imput[[PERIODO Imp.]:[PERIODO Imp.]],'Indirect Costs'!BQ$8)</f>
        <v>0</v>
      </c>
      <c r="BR23" s="48">
        <f>SUMIFS(Imput[[Importe Neto]:[Importe Neto]],Imput[[C. Imp.]:[C. Imp.]],'Indirect Costs'!$C23,Imput[[PERIODO Imp.]:[PERIODO Imp.]],'Indirect Costs'!BR$8)</f>
        <v>0</v>
      </c>
      <c r="BS23" s="48">
        <f>SUMIFS(Imput[[Importe Neto]:[Importe Neto]],Imput[[C. Imp.]:[C. Imp.]],'Indirect Costs'!$C23,Imput[[PERIODO Imp.]:[PERIODO Imp.]],'Indirect Costs'!BS$8)</f>
        <v>0</v>
      </c>
      <c r="BT23" s="48">
        <f>SUMIFS(Imput[[Importe Neto]:[Importe Neto]],Imput[[C. Imp.]:[C. Imp.]],'Indirect Costs'!$C23,Imput[[PERIODO Imp.]:[PERIODO Imp.]],'Indirect Costs'!BT$8)</f>
        <v>0</v>
      </c>
      <c r="BU23" s="48">
        <f>SUMIFS(Imput[[Importe Neto]:[Importe Neto]],Imput[[C. Imp.]:[C. Imp.]],'Indirect Costs'!$C23,Imput[[PERIODO Imp.]:[PERIODO Imp.]],'Indirect Costs'!BU$8)</f>
        <v>0</v>
      </c>
      <c r="BV23" s="48">
        <f>SUMIFS(Imput[[Importe Neto]:[Importe Neto]],Imput[[C. Imp.]:[C. Imp.]],'Indirect Costs'!$C23,Imput[[PERIODO Imp.]:[PERIODO Imp.]],'Indirect Costs'!BV$8)</f>
        <v>0</v>
      </c>
      <c r="BW23" s="48">
        <f>SUMIFS(Imput[[Importe Neto]:[Importe Neto]],Imput[[C. Imp.]:[C. Imp.]],'Indirect Costs'!$C23,Imput[[PERIODO Imp.]:[PERIODO Imp.]],'Indirect Costs'!BW$8)</f>
        <v>0</v>
      </c>
      <c r="BX23" s="48">
        <f>SUMIFS(Imput[[Importe Neto]:[Importe Neto]],Imput[[C. Imp.]:[C. Imp.]],'Indirect Costs'!$C23,Imput[[PERIODO Imp.]:[PERIODO Imp.]],'Indirect Costs'!BX$8)</f>
        <v>0</v>
      </c>
      <c r="BY23" s="48">
        <f>SUMIFS(Imput[[Importe Neto]:[Importe Neto]],Imput[[C. Imp.]:[C. Imp.]],'Indirect Costs'!$C23,Imput[[PERIODO Imp.]:[PERIODO Imp.]],'Indirect Costs'!BY$8)</f>
        <v>0</v>
      </c>
      <c r="BZ23" s="48">
        <f>SUMIFS(Imput[[Importe Neto]:[Importe Neto]],Imput[[C. Imp.]:[C. Imp.]],'Indirect Costs'!$C23,Imput[[PERIODO Imp.]:[PERIODO Imp.]],'Indirect Costs'!BZ$8)</f>
        <v>0</v>
      </c>
      <c r="CA23" s="48">
        <f>SUMIFS(Imput[[Importe Neto]:[Importe Neto]],Imput[[C. Imp.]:[C. Imp.]],'Indirect Costs'!$C23,Imput[[PERIODO Imp.]:[PERIODO Imp.]],'Indirect Costs'!CA$8)</f>
        <v>0</v>
      </c>
      <c r="CB23" s="48">
        <f>SUMIFS(Imput[[Importe Neto]:[Importe Neto]],Imput[[C. Imp.]:[C. Imp.]],'Indirect Costs'!$C23,Imput[[PERIODO Imp.]:[PERIODO Imp.]],'Indirect Costs'!CB$8)</f>
        <v>0</v>
      </c>
      <c r="CC23" s="48">
        <f>SUMIFS(Imput[[Importe Neto]:[Importe Neto]],Imput[[C. Imp.]:[C. Imp.]],'Indirect Costs'!$C23,Imput[[PERIODO Imp.]:[PERIODO Imp.]],'Indirect Costs'!CC$8)</f>
        <v>0</v>
      </c>
      <c r="CD23" s="48">
        <f>SUMIFS(Imput[[Importe Neto]:[Importe Neto]],Imput[[C. Imp.]:[C. Imp.]],'Indirect Costs'!$C23,Imput[[PERIODO Imp.]:[PERIODO Imp.]],'Indirect Costs'!CD$8)</f>
        <v>0</v>
      </c>
      <c r="CE23" s="48">
        <f>SUMIFS(Imput[[Importe Neto]:[Importe Neto]],Imput[[C. Imp.]:[C. Imp.]],'Indirect Costs'!$C23,Imput[[PERIODO Imp.]:[PERIODO Imp.]],'Indirect Costs'!CE$8)</f>
        <v>0</v>
      </c>
      <c r="CF23" s="48">
        <f>SUMIFS(Imput[[Importe Neto]:[Importe Neto]],Imput[[C. Imp.]:[C. Imp.]],'Indirect Costs'!$C23,Imput[[PERIODO Imp.]:[PERIODO Imp.]],'Indirect Costs'!CF$8)</f>
        <v>0</v>
      </c>
      <c r="CG23" s="48">
        <f>SUMIFS(Imput[[Importe Neto]:[Importe Neto]],Imput[[C. Imp.]:[C. Imp.]],'Indirect Costs'!$C23,Imput[[PERIODO Imp.]:[PERIODO Imp.]],'Indirect Costs'!CG$8)</f>
        <v>0</v>
      </c>
      <c r="CH23" s="48">
        <f>SUMIFS(Imput[[Importe Neto]:[Importe Neto]],Imput[[C. Imp.]:[C. Imp.]],'Indirect Costs'!$C23,Imput[[PERIODO Imp.]:[PERIODO Imp.]],'Indirect Costs'!CH$8)</f>
        <v>0</v>
      </c>
      <c r="CI23" s="48">
        <f>SUMIFS(Imput[[Importe Neto]:[Importe Neto]],Imput[[C. Imp.]:[C. Imp.]],'Indirect Costs'!$C23,Imput[[PERIODO Imp.]:[PERIODO Imp.]],'Indirect Costs'!CI$8)</f>
        <v>0</v>
      </c>
      <c r="CJ23" s="48">
        <f>SUMIFS(Imput[[Importe Neto]:[Importe Neto]],Imput[[C. Imp.]:[C. Imp.]],'Indirect Costs'!$C23,Imput[[PERIODO Imp.]:[PERIODO Imp.]],'Indirect Costs'!CJ$8)</f>
        <v>0</v>
      </c>
      <c r="CK23" s="48">
        <f>SUMIFS(Imput[[Importe Neto]:[Importe Neto]],Imput[[C. Imp.]:[C. Imp.]],'Indirect Costs'!$C23,Imput[[PERIODO Imp.]:[PERIODO Imp.]],'Indirect Costs'!CK$8)</f>
        <v>0</v>
      </c>
      <c r="CL23" s="48">
        <f>SUMIFS(Imput[[Importe Neto]:[Importe Neto]],Imput[[C. Imp.]:[C. Imp.]],'Indirect Costs'!$C23,Imput[[PERIODO Imp.]:[PERIODO Imp.]],'Indirect Costs'!CL$8)</f>
        <v>0</v>
      </c>
      <c r="CM23" s="48">
        <f>SUMIFS(Imput[[Importe Neto]:[Importe Neto]],Imput[[C. Imp.]:[C. Imp.]],'Indirect Costs'!$C23,Imput[[PERIODO Imp.]:[PERIODO Imp.]],'Indirect Costs'!CM$8)</f>
        <v>0</v>
      </c>
      <c r="CN23" s="48">
        <f>SUMIFS(Imput[[Importe Neto]:[Importe Neto]],Imput[[C. Imp.]:[C. Imp.]],'Indirect Costs'!$C23,Imput[[PERIODO Imp.]:[PERIODO Imp.]],'Indirect Costs'!CN$8)</f>
        <v>0</v>
      </c>
      <c r="CO23" s="48">
        <f>SUMIFS(Imput[[Importe Neto]:[Importe Neto]],Imput[[C. Imp.]:[C. Imp.]],'Indirect Costs'!$C23,Imput[[PERIODO Imp.]:[PERIODO Imp.]],'Indirect Costs'!CO$8)</f>
        <v>0</v>
      </c>
      <c r="CP23" s="48">
        <f>SUMIFS(Imput[[Importe Neto]:[Importe Neto]],Imput[[C. Imp.]:[C. Imp.]],'Indirect Costs'!$C23,Imput[[PERIODO Imp.]:[PERIODO Imp.]],'Indirect Costs'!CP$8)</f>
        <v>0</v>
      </c>
      <c r="CQ23" s="48">
        <f>SUMIFS(Imput[[Importe Neto]:[Importe Neto]],Imput[[C. Imp.]:[C. Imp.]],'Indirect Costs'!$C23,Imput[[PERIODO Imp.]:[PERIODO Imp.]],'Indirect Costs'!CQ$8)</f>
        <v>0</v>
      </c>
      <c r="CR23" s="48">
        <f>SUMIFS(Imput[[Importe Neto]:[Importe Neto]],Imput[[C. Imp.]:[C. Imp.]],'Indirect Costs'!$C23,Imput[[PERIODO Imp.]:[PERIODO Imp.]],'Indirect Costs'!CR$8)</f>
        <v>0</v>
      </c>
      <c r="CS23" s="48">
        <f>SUMIFS(Imput[[Importe Neto]:[Importe Neto]],Imput[[C. Imp.]:[C. Imp.]],'Indirect Costs'!$C23,Imput[[PERIODO Imp.]:[PERIODO Imp.]],'Indirect Costs'!CS$8)</f>
        <v>0</v>
      </c>
      <c r="CT23" s="48">
        <f>SUMIFS(Imput[[Importe Neto]:[Importe Neto]],Imput[[C. Imp.]:[C. Imp.]],'Indirect Costs'!$C23,Imput[[PERIODO Imp.]:[PERIODO Imp.]],'Indirect Costs'!CT$8)</f>
        <v>0</v>
      </c>
      <c r="CU23" s="48">
        <f>SUMIFS(Imput[[Importe Neto]:[Importe Neto]],Imput[[C. Imp.]:[C. Imp.]],'Indirect Costs'!$C23,Imput[[PERIODO Imp.]:[PERIODO Imp.]],'Indirect Costs'!CU$8)</f>
        <v>0</v>
      </c>
      <c r="CV23" s="48">
        <f>SUMIFS(Imput[[Importe Neto]:[Importe Neto]],Imput[[C. Imp.]:[C. Imp.]],'Indirect Costs'!$C23,Imput[[PERIODO Imp.]:[PERIODO Imp.]],'Indirect Costs'!CV$8)</f>
        <v>0</v>
      </c>
      <c r="CW23" s="48">
        <f>SUMIFS(Imput[[Importe Neto]:[Importe Neto]],Imput[[C. Imp.]:[C. Imp.]],'Indirect Costs'!$C23,Imput[[PERIODO Imp.]:[PERIODO Imp.]],'Indirect Costs'!CW$8)</f>
        <v>0</v>
      </c>
      <c r="CX23" s="48">
        <f>SUMIFS(Imput[[Importe Neto]:[Importe Neto]],Imput[[C. Imp.]:[C. Imp.]],'Indirect Costs'!$C23,Imput[[PERIODO Imp.]:[PERIODO Imp.]],'Indirect Costs'!CX$8)</f>
        <v>0</v>
      </c>
      <c r="CY23" s="48">
        <f>SUMIFS(Imput[[Importe Neto]:[Importe Neto]],Imput[[C. Imp.]:[C. Imp.]],'Indirect Costs'!$C23,Imput[[PERIODO Imp.]:[PERIODO Imp.]],'Indirect Costs'!CY$8)</f>
        <v>0</v>
      </c>
      <c r="CZ23" s="48">
        <f>SUMIFS(Imput[[Importe Neto]:[Importe Neto]],Imput[[C. Imp.]:[C. Imp.]],'Indirect Costs'!$C23,Imput[[PERIODO Imp.]:[PERIODO Imp.]],'Indirect Costs'!CZ$8)</f>
        <v>0</v>
      </c>
      <c r="DA23" s="48">
        <f>SUMIFS(Imput[[Importe Neto]:[Importe Neto]],Imput[[C. Imp.]:[C. Imp.]],'Indirect Costs'!$C23,Imput[[PERIODO Imp.]:[PERIODO Imp.]],'Indirect Costs'!DA$8)</f>
        <v>0</v>
      </c>
      <c r="DB23" s="48">
        <f>SUMIFS(Imput[[Importe Neto]:[Importe Neto]],Imput[[C. Imp.]:[C. Imp.]],'Indirect Costs'!$C23,Imput[[PERIODO Imp.]:[PERIODO Imp.]],'Indirect Costs'!DB$8)</f>
        <v>0</v>
      </c>
      <c r="DC23" s="48">
        <f>SUMIFS(Imput[[Importe Neto]:[Importe Neto]],Imput[[C. Imp.]:[C. Imp.]],'Indirect Costs'!$C23,Imput[[PERIODO Imp.]:[PERIODO Imp.]],'Indirect Costs'!DC$8)</f>
        <v>0</v>
      </c>
      <c r="DD23" s="48">
        <f>SUMIFS(Imput[[Importe Neto]:[Importe Neto]],Imput[[C. Imp.]:[C. Imp.]],'Indirect Costs'!$C23,Imput[[PERIODO Imp.]:[PERIODO Imp.]],'Indirect Costs'!DD$8)</f>
        <v>0</v>
      </c>
      <c r="DE23" s="48">
        <f>SUMIFS(Imput[[Importe Neto]:[Importe Neto]],Imput[[C. Imp.]:[C. Imp.]],'Indirect Costs'!$C23,Imput[[PERIODO Imp.]:[PERIODO Imp.]],'Indirect Costs'!DE$8)</f>
        <v>0</v>
      </c>
      <c r="DF23" s="143">
        <f>SUMIFS(Imput[[Importe Neto]:[Importe Neto]],Imput[[C. Imp.]:[C. Imp.]],'Indirect Costs'!$C23,Imput[[PERIODO Imp.]:[PERIODO Imp.]],'Indirect Costs'!DF$8)</f>
        <v>0</v>
      </c>
    </row>
    <row r="24" spans="1:110" ht="22.5" customHeight="1" outlineLevel="1" x14ac:dyDescent="0.3">
      <c r="A24" s="28" t="str">
        <f>IFERROR(IF(SUM(I25:I33)&gt;0,"Imprimir",""),"")</f>
        <v>Imprimir</v>
      </c>
      <c r="B24" s="504"/>
      <c r="C24" s="559"/>
      <c r="D24" s="564" t="s">
        <v>538</v>
      </c>
      <c r="E24" s="559"/>
      <c r="F24" s="560"/>
      <c r="G24" s="561"/>
      <c r="H24" s="562"/>
      <c r="I24" s="563"/>
      <c r="J24" s="47"/>
      <c r="K24" s="144"/>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145"/>
      <c r="BG24" s="47"/>
      <c r="BH24" s="508"/>
      <c r="BI24" s="507">
        <f t="shared" si="6"/>
        <v>0</v>
      </c>
      <c r="BJ24" s="47"/>
      <c r="BK24" s="140"/>
      <c r="BL24" s="46"/>
      <c r="BM24" s="46"/>
      <c r="BN24" s="46"/>
      <c r="BO24" s="46"/>
      <c r="BP24" s="46"/>
      <c r="BQ24" s="46"/>
      <c r="BR24" s="46"/>
      <c r="BS24" s="46"/>
      <c r="BT24" s="46"/>
      <c r="BU24" s="46"/>
      <c r="BV24" s="46"/>
      <c r="BW24" s="46"/>
      <c r="BX24" s="46"/>
      <c r="BY24" s="46"/>
      <c r="BZ24" s="46"/>
      <c r="CA24" s="46"/>
      <c r="CB24" s="46"/>
      <c r="CC24" s="46"/>
      <c r="CD24" s="46"/>
      <c r="CE24" s="46"/>
      <c r="CF24" s="46"/>
      <c r="CG24" s="46"/>
      <c r="CH24" s="46"/>
      <c r="CI24" s="46"/>
      <c r="CJ24" s="46"/>
      <c r="CK24" s="46"/>
      <c r="CL24" s="46"/>
      <c r="CM24" s="46"/>
      <c r="CN24" s="46"/>
      <c r="CO24" s="46"/>
      <c r="CP24" s="46"/>
      <c r="CQ24" s="46"/>
      <c r="CR24" s="46"/>
      <c r="CS24" s="46"/>
      <c r="CT24" s="46"/>
      <c r="CU24" s="46"/>
      <c r="CV24" s="46"/>
      <c r="CW24" s="46"/>
      <c r="CX24" s="46"/>
      <c r="CY24" s="46"/>
      <c r="CZ24" s="46"/>
      <c r="DA24" s="46"/>
      <c r="DB24" s="46"/>
      <c r="DC24" s="46"/>
      <c r="DD24" s="46"/>
      <c r="DE24" s="46"/>
      <c r="DF24" s="141"/>
    </row>
    <row r="25" spans="1:110" outlineLevel="1" x14ac:dyDescent="0.25">
      <c r="A25" s="28" t="str">
        <f t="shared" si="3"/>
        <v/>
      </c>
      <c r="B25" s="50">
        <v>1</v>
      </c>
      <c r="C25" s="57" t="s">
        <v>1777</v>
      </c>
      <c r="D25" s="56" t="s">
        <v>539</v>
      </c>
      <c r="E25" s="57" t="s">
        <v>539</v>
      </c>
      <c r="F25" s="58">
        <v>100000</v>
      </c>
      <c r="G25" s="49"/>
      <c r="H25" s="51">
        <v>1</v>
      </c>
      <c r="I25" s="505">
        <f t="shared" si="7"/>
        <v>0</v>
      </c>
      <c r="J25" s="47"/>
      <c r="K25" s="142"/>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143"/>
      <c r="BG25" s="47"/>
      <c r="BH25" s="509"/>
      <c r="BI25" s="505">
        <f t="shared" si="6"/>
        <v>0</v>
      </c>
      <c r="BJ25" s="47"/>
      <c r="BK25" s="142">
        <f>SUMIFS(Imput[[Importe Neto]:[Importe Neto]],Imput[[C. Imp.]:[C. Imp.]],'Indirect Costs'!$C25,Imput[[PERIODO Imp.]:[PERIODO Imp.]],'Indirect Costs'!BK$8)</f>
        <v>0</v>
      </c>
      <c r="BL25" s="48">
        <f>SUMIFS(Imput[[Importe Neto]:[Importe Neto]],Imput[[C. Imp.]:[C. Imp.]],'Indirect Costs'!$C25,Imput[[PERIODO Imp.]:[PERIODO Imp.]],'Indirect Costs'!BL$8)</f>
        <v>0</v>
      </c>
      <c r="BM25" s="48">
        <f>SUMIFS(Imput[[Importe Neto]:[Importe Neto]],Imput[[C. Imp.]:[C. Imp.]],'Indirect Costs'!$C25,Imput[[PERIODO Imp.]:[PERIODO Imp.]],'Indirect Costs'!BM$8)</f>
        <v>0</v>
      </c>
      <c r="BN25" s="48">
        <f>SUMIFS(Imput[[Importe Neto]:[Importe Neto]],Imput[[C. Imp.]:[C. Imp.]],'Indirect Costs'!$C25,Imput[[PERIODO Imp.]:[PERIODO Imp.]],'Indirect Costs'!BN$8)</f>
        <v>0</v>
      </c>
      <c r="BO25" s="48">
        <f>SUMIFS(Imput[[Importe Neto]:[Importe Neto]],Imput[[C. Imp.]:[C. Imp.]],'Indirect Costs'!$C25,Imput[[PERIODO Imp.]:[PERIODO Imp.]],'Indirect Costs'!BO$8)</f>
        <v>0</v>
      </c>
      <c r="BP25" s="48">
        <f>SUMIFS(Imput[[Importe Neto]:[Importe Neto]],Imput[[C. Imp.]:[C. Imp.]],'Indirect Costs'!$C25,Imput[[PERIODO Imp.]:[PERIODO Imp.]],'Indirect Costs'!BP$8)</f>
        <v>0</v>
      </c>
      <c r="BQ25" s="48">
        <f>SUMIFS(Imput[[Importe Neto]:[Importe Neto]],Imput[[C. Imp.]:[C. Imp.]],'Indirect Costs'!$C25,Imput[[PERIODO Imp.]:[PERIODO Imp.]],'Indirect Costs'!BQ$8)</f>
        <v>0</v>
      </c>
      <c r="BR25" s="48">
        <f>SUMIFS(Imput[[Importe Neto]:[Importe Neto]],Imput[[C. Imp.]:[C. Imp.]],'Indirect Costs'!$C25,Imput[[PERIODO Imp.]:[PERIODO Imp.]],'Indirect Costs'!BR$8)</f>
        <v>0</v>
      </c>
      <c r="BS25" s="48">
        <f>SUMIFS(Imput[[Importe Neto]:[Importe Neto]],Imput[[C. Imp.]:[C. Imp.]],'Indirect Costs'!$C25,Imput[[PERIODO Imp.]:[PERIODO Imp.]],'Indirect Costs'!BS$8)</f>
        <v>0</v>
      </c>
      <c r="BT25" s="48">
        <f>SUMIFS(Imput[[Importe Neto]:[Importe Neto]],Imput[[C. Imp.]:[C. Imp.]],'Indirect Costs'!$C25,Imput[[PERIODO Imp.]:[PERIODO Imp.]],'Indirect Costs'!BT$8)</f>
        <v>0</v>
      </c>
      <c r="BU25" s="48">
        <f>SUMIFS(Imput[[Importe Neto]:[Importe Neto]],Imput[[C. Imp.]:[C. Imp.]],'Indirect Costs'!$C25,Imput[[PERIODO Imp.]:[PERIODO Imp.]],'Indirect Costs'!BU$8)</f>
        <v>0</v>
      </c>
      <c r="BV25" s="48">
        <f>SUMIFS(Imput[[Importe Neto]:[Importe Neto]],Imput[[C. Imp.]:[C. Imp.]],'Indirect Costs'!$C25,Imput[[PERIODO Imp.]:[PERIODO Imp.]],'Indirect Costs'!BV$8)</f>
        <v>0</v>
      </c>
      <c r="BW25" s="48">
        <f>SUMIFS(Imput[[Importe Neto]:[Importe Neto]],Imput[[C. Imp.]:[C. Imp.]],'Indirect Costs'!$C25,Imput[[PERIODO Imp.]:[PERIODO Imp.]],'Indirect Costs'!BW$8)</f>
        <v>0</v>
      </c>
      <c r="BX25" s="48">
        <f>SUMIFS(Imput[[Importe Neto]:[Importe Neto]],Imput[[C. Imp.]:[C. Imp.]],'Indirect Costs'!$C25,Imput[[PERIODO Imp.]:[PERIODO Imp.]],'Indirect Costs'!BX$8)</f>
        <v>0</v>
      </c>
      <c r="BY25" s="48">
        <f>SUMIFS(Imput[[Importe Neto]:[Importe Neto]],Imput[[C. Imp.]:[C. Imp.]],'Indirect Costs'!$C25,Imput[[PERIODO Imp.]:[PERIODO Imp.]],'Indirect Costs'!BY$8)</f>
        <v>0</v>
      </c>
      <c r="BZ25" s="48">
        <f>SUMIFS(Imput[[Importe Neto]:[Importe Neto]],Imput[[C. Imp.]:[C. Imp.]],'Indirect Costs'!$C25,Imput[[PERIODO Imp.]:[PERIODO Imp.]],'Indirect Costs'!BZ$8)</f>
        <v>0</v>
      </c>
      <c r="CA25" s="48">
        <f>SUMIFS(Imput[[Importe Neto]:[Importe Neto]],Imput[[C. Imp.]:[C. Imp.]],'Indirect Costs'!$C25,Imput[[PERIODO Imp.]:[PERIODO Imp.]],'Indirect Costs'!CA$8)</f>
        <v>0</v>
      </c>
      <c r="CB25" s="48">
        <f>SUMIFS(Imput[[Importe Neto]:[Importe Neto]],Imput[[C. Imp.]:[C. Imp.]],'Indirect Costs'!$C25,Imput[[PERIODO Imp.]:[PERIODO Imp.]],'Indirect Costs'!CB$8)</f>
        <v>0</v>
      </c>
      <c r="CC25" s="48">
        <f>SUMIFS(Imput[[Importe Neto]:[Importe Neto]],Imput[[C. Imp.]:[C. Imp.]],'Indirect Costs'!$C25,Imput[[PERIODO Imp.]:[PERIODO Imp.]],'Indirect Costs'!CC$8)</f>
        <v>0</v>
      </c>
      <c r="CD25" s="48">
        <f>SUMIFS(Imput[[Importe Neto]:[Importe Neto]],Imput[[C. Imp.]:[C. Imp.]],'Indirect Costs'!$C25,Imput[[PERIODO Imp.]:[PERIODO Imp.]],'Indirect Costs'!CD$8)</f>
        <v>0</v>
      </c>
      <c r="CE25" s="48">
        <f>SUMIFS(Imput[[Importe Neto]:[Importe Neto]],Imput[[C. Imp.]:[C. Imp.]],'Indirect Costs'!$C25,Imput[[PERIODO Imp.]:[PERIODO Imp.]],'Indirect Costs'!CE$8)</f>
        <v>0</v>
      </c>
      <c r="CF25" s="48">
        <f>SUMIFS(Imput[[Importe Neto]:[Importe Neto]],Imput[[C. Imp.]:[C. Imp.]],'Indirect Costs'!$C25,Imput[[PERIODO Imp.]:[PERIODO Imp.]],'Indirect Costs'!CF$8)</f>
        <v>0</v>
      </c>
      <c r="CG25" s="48">
        <f>SUMIFS(Imput[[Importe Neto]:[Importe Neto]],Imput[[C. Imp.]:[C. Imp.]],'Indirect Costs'!$C25,Imput[[PERIODO Imp.]:[PERIODO Imp.]],'Indirect Costs'!CG$8)</f>
        <v>0</v>
      </c>
      <c r="CH25" s="48">
        <f>SUMIFS(Imput[[Importe Neto]:[Importe Neto]],Imput[[C. Imp.]:[C. Imp.]],'Indirect Costs'!$C25,Imput[[PERIODO Imp.]:[PERIODO Imp.]],'Indirect Costs'!CH$8)</f>
        <v>0</v>
      </c>
      <c r="CI25" s="48">
        <f>SUMIFS(Imput[[Importe Neto]:[Importe Neto]],Imput[[C. Imp.]:[C. Imp.]],'Indirect Costs'!$C25,Imput[[PERIODO Imp.]:[PERIODO Imp.]],'Indirect Costs'!CI$8)</f>
        <v>0</v>
      </c>
      <c r="CJ25" s="48">
        <f>SUMIFS(Imput[[Importe Neto]:[Importe Neto]],Imput[[C. Imp.]:[C. Imp.]],'Indirect Costs'!$C25,Imput[[PERIODO Imp.]:[PERIODO Imp.]],'Indirect Costs'!CJ$8)</f>
        <v>0</v>
      </c>
      <c r="CK25" s="48">
        <f>SUMIFS(Imput[[Importe Neto]:[Importe Neto]],Imput[[C. Imp.]:[C. Imp.]],'Indirect Costs'!$C25,Imput[[PERIODO Imp.]:[PERIODO Imp.]],'Indirect Costs'!CK$8)</f>
        <v>0</v>
      </c>
      <c r="CL25" s="48">
        <f>SUMIFS(Imput[[Importe Neto]:[Importe Neto]],Imput[[C. Imp.]:[C. Imp.]],'Indirect Costs'!$C25,Imput[[PERIODO Imp.]:[PERIODO Imp.]],'Indirect Costs'!CL$8)</f>
        <v>0</v>
      </c>
      <c r="CM25" s="48">
        <f>SUMIFS(Imput[[Importe Neto]:[Importe Neto]],Imput[[C. Imp.]:[C. Imp.]],'Indirect Costs'!$C25,Imput[[PERIODO Imp.]:[PERIODO Imp.]],'Indirect Costs'!CM$8)</f>
        <v>0</v>
      </c>
      <c r="CN25" s="48">
        <f>SUMIFS(Imput[[Importe Neto]:[Importe Neto]],Imput[[C. Imp.]:[C. Imp.]],'Indirect Costs'!$C25,Imput[[PERIODO Imp.]:[PERIODO Imp.]],'Indirect Costs'!CN$8)</f>
        <v>0</v>
      </c>
      <c r="CO25" s="48">
        <f>SUMIFS(Imput[[Importe Neto]:[Importe Neto]],Imput[[C. Imp.]:[C. Imp.]],'Indirect Costs'!$C25,Imput[[PERIODO Imp.]:[PERIODO Imp.]],'Indirect Costs'!CO$8)</f>
        <v>0</v>
      </c>
      <c r="CP25" s="48">
        <f>SUMIFS(Imput[[Importe Neto]:[Importe Neto]],Imput[[C. Imp.]:[C. Imp.]],'Indirect Costs'!$C25,Imput[[PERIODO Imp.]:[PERIODO Imp.]],'Indirect Costs'!CP$8)</f>
        <v>0</v>
      </c>
      <c r="CQ25" s="48">
        <f>SUMIFS(Imput[[Importe Neto]:[Importe Neto]],Imput[[C. Imp.]:[C. Imp.]],'Indirect Costs'!$C25,Imput[[PERIODO Imp.]:[PERIODO Imp.]],'Indirect Costs'!CQ$8)</f>
        <v>0</v>
      </c>
      <c r="CR25" s="48">
        <f>SUMIFS(Imput[[Importe Neto]:[Importe Neto]],Imput[[C. Imp.]:[C. Imp.]],'Indirect Costs'!$C25,Imput[[PERIODO Imp.]:[PERIODO Imp.]],'Indirect Costs'!CR$8)</f>
        <v>0</v>
      </c>
      <c r="CS25" s="48">
        <f>SUMIFS(Imput[[Importe Neto]:[Importe Neto]],Imput[[C. Imp.]:[C. Imp.]],'Indirect Costs'!$C25,Imput[[PERIODO Imp.]:[PERIODO Imp.]],'Indirect Costs'!CS$8)</f>
        <v>0</v>
      </c>
      <c r="CT25" s="48">
        <f>SUMIFS(Imput[[Importe Neto]:[Importe Neto]],Imput[[C. Imp.]:[C. Imp.]],'Indirect Costs'!$C25,Imput[[PERIODO Imp.]:[PERIODO Imp.]],'Indirect Costs'!CT$8)</f>
        <v>0</v>
      </c>
      <c r="CU25" s="48">
        <f>SUMIFS(Imput[[Importe Neto]:[Importe Neto]],Imput[[C. Imp.]:[C. Imp.]],'Indirect Costs'!$C25,Imput[[PERIODO Imp.]:[PERIODO Imp.]],'Indirect Costs'!CU$8)</f>
        <v>0</v>
      </c>
      <c r="CV25" s="48">
        <f>SUMIFS(Imput[[Importe Neto]:[Importe Neto]],Imput[[C. Imp.]:[C. Imp.]],'Indirect Costs'!$C25,Imput[[PERIODO Imp.]:[PERIODO Imp.]],'Indirect Costs'!CV$8)</f>
        <v>0</v>
      </c>
      <c r="CW25" s="48">
        <f>SUMIFS(Imput[[Importe Neto]:[Importe Neto]],Imput[[C. Imp.]:[C. Imp.]],'Indirect Costs'!$C25,Imput[[PERIODO Imp.]:[PERIODO Imp.]],'Indirect Costs'!CW$8)</f>
        <v>0</v>
      </c>
      <c r="CX25" s="48">
        <f>SUMIFS(Imput[[Importe Neto]:[Importe Neto]],Imput[[C. Imp.]:[C. Imp.]],'Indirect Costs'!$C25,Imput[[PERIODO Imp.]:[PERIODO Imp.]],'Indirect Costs'!CX$8)</f>
        <v>0</v>
      </c>
      <c r="CY25" s="48">
        <f>SUMIFS(Imput[[Importe Neto]:[Importe Neto]],Imput[[C. Imp.]:[C. Imp.]],'Indirect Costs'!$C25,Imput[[PERIODO Imp.]:[PERIODO Imp.]],'Indirect Costs'!CY$8)</f>
        <v>0</v>
      </c>
      <c r="CZ25" s="48">
        <f>SUMIFS(Imput[[Importe Neto]:[Importe Neto]],Imput[[C. Imp.]:[C. Imp.]],'Indirect Costs'!$C25,Imput[[PERIODO Imp.]:[PERIODO Imp.]],'Indirect Costs'!CZ$8)</f>
        <v>0</v>
      </c>
      <c r="DA25" s="48">
        <f>SUMIFS(Imput[[Importe Neto]:[Importe Neto]],Imput[[C. Imp.]:[C. Imp.]],'Indirect Costs'!$C25,Imput[[PERIODO Imp.]:[PERIODO Imp.]],'Indirect Costs'!DA$8)</f>
        <v>0</v>
      </c>
      <c r="DB25" s="48">
        <f>SUMIFS(Imput[[Importe Neto]:[Importe Neto]],Imput[[C. Imp.]:[C. Imp.]],'Indirect Costs'!$C25,Imput[[PERIODO Imp.]:[PERIODO Imp.]],'Indirect Costs'!DB$8)</f>
        <v>0</v>
      </c>
      <c r="DC25" s="48">
        <f>SUMIFS(Imput[[Importe Neto]:[Importe Neto]],Imput[[C. Imp.]:[C. Imp.]],'Indirect Costs'!$C25,Imput[[PERIODO Imp.]:[PERIODO Imp.]],'Indirect Costs'!DC$8)</f>
        <v>0</v>
      </c>
      <c r="DD25" s="48">
        <f>SUMIFS(Imput[[Importe Neto]:[Importe Neto]],Imput[[C. Imp.]:[C. Imp.]],'Indirect Costs'!$C25,Imput[[PERIODO Imp.]:[PERIODO Imp.]],'Indirect Costs'!DD$8)</f>
        <v>0</v>
      </c>
      <c r="DE25" s="48">
        <f>SUMIFS(Imput[[Importe Neto]:[Importe Neto]],Imput[[C. Imp.]:[C. Imp.]],'Indirect Costs'!$C25,Imput[[PERIODO Imp.]:[PERIODO Imp.]],'Indirect Costs'!DE$8)</f>
        <v>0</v>
      </c>
      <c r="DF25" s="143">
        <f>SUMIFS(Imput[[Importe Neto]:[Importe Neto]],Imput[[C. Imp.]:[C. Imp.]],'Indirect Costs'!$C25,Imput[[PERIODO Imp.]:[PERIODO Imp.]],'Indirect Costs'!DF$8)</f>
        <v>0</v>
      </c>
    </row>
    <row r="26" spans="1:110" outlineLevel="1" x14ac:dyDescent="0.25">
      <c r="A26" s="28" t="str">
        <f t="shared" si="3"/>
        <v/>
      </c>
      <c r="B26" s="50">
        <v>2</v>
      </c>
      <c r="C26" s="57" t="s">
        <v>1778</v>
      </c>
      <c r="D26" s="56" t="s">
        <v>540</v>
      </c>
      <c r="E26" s="57" t="s">
        <v>540</v>
      </c>
      <c r="F26" s="58">
        <v>70000</v>
      </c>
      <c r="G26" s="49"/>
      <c r="H26" s="51">
        <v>1</v>
      </c>
      <c r="I26" s="505">
        <f t="shared" si="7"/>
        <v>0</v>
      </c>
      <c r="J26" s="47"/>
      <c r="K26" s="142"/>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143"/>
      <c r="BG26" s="47"/>
      <c r="BH26" s="509"/>
      <c r="BI26" s="505">
        <f t="shared" si="6"/>
        <v>0</v>
      </c>
      <c r="BJ26" s="47"/>
      <c r="BK26" s="142">
        <f>SUMIFS(Imput[[Importe Neto]:[Importe Neto]],Imput[[C. Imp.]:[C. Imp.]],'Indirect Costs'!$C26,Imput[[PERIODO Imp.]:[PERIODO Imp.]],'Indirect Costs'!BK$8)</f>
        <v>0</v>
      </c>
      <c r="BL26" s="48">
        <f>SUMIFS(Imput[[Importe Neto]:[Importe Neto]],Imput[[C. Imp.]:[C. Imp.]],'Indirect Costs'!$C26,Imput[[PERIODO Imp.]:[PERIODO Imp.]],'Indirect Costs'!BL$8)</f>
        <v>0</v>
      </c>
      <c r="BM26" s="48">
        <f>SUMIFS(Imput[[Importe Neto]:[Importe Neto]],Imput[[C. Imp.]:[C. Imp.]],'Indirect Costs'!$C26,Imput[[PERIODO Imp.]:[PERIODO Imp.]],'Indirect Costs'!BM$8)</f>
        <v>0</v>
      </c>
      <c r="BN26" s="48">
        <f>SUMIFS(Imput[[Importe Neto]:[Importe Neto]],Imput[[C. Imp.]:[C. Imp.]],'Indirect Costs'!$C26,Imput[[PERIODO Imp.]:[PERIODO Imp.]],'Indirect Costs'!BN$8)</f>
        <v>0</v>
      </c>
      <c r="BO26" s="48">
        <f>SUMIFS(Imput[[Importe Neto]:[Importe Neto]],Imput[[C. Imp.]:[C. Imp.]],'Indirect Costs'!$C26,Imput[[PERIODO Imp.]:[PERIODO Imp.]],'Indirect Costs'!BO$8)</f>
        <v>0</v>
      </c>
      <c r="BP26" s="48">
        <f>SUMIFS(Imput[[Importe Neto]:[Importe Neto]],Imput[[C. Imp.]:[C. Imp.]],'Indirect Costs'!$C26,Imput[[PERIODO Imp.]:[PERIODO Imp.]],'Indirect Costs'!BP$8)</f>
        <v>0</v>
      </c>
      <c r="BQ26" s="48">
        <f>SUMIFS(Imput[[Importe Neto]:[Importe Neto]],Imput[[C. Imp.]:[C. Imp.]],'Indirect Costs'!$C26,Imput[[PERIODO Imp.]:[PERIODO Imp.]],'Indirect Costs'!BQ$8)</f>
        <v>0</v>
      </c>
      <c r="BR26" s="48">
        <f>SUMIFS(Imput[[Importe Neto]:[Importe Neto]],Imput[[C. Imp.]:[C. Imp.]],'Indirect Costs'!$C26,Imput[[PERIODO Imp.]:[PERIODO Imp.]],'Indirect Costs'!BR$8)</f>
        <v>0</v>
      </c>
      <c r="BS26" s="48">
        <f>SUMIFS(Imput[[Importe Neto]:[Importe Neto]],Imput[[C. Imp.]:[C. Imp.]],'Indirect Costs'!$C26,Imput[[PERIODO Imp.]:[PERIODO Imp.]],'Indirect Costs'!BS$8)</f>
        <v>0</v>
      </c>
      <c r="BT26" s="48">
        <f>SUMIFS(Imput[[Importe Neto]:[Importe Neto]],Imput[[C. Imp.]:[C. Imp.]],'Indirect Costs'!$C26,Imput[[PERIODO Imp.]:[PERIODO Imp.]],'Indirect Costs'!BT$8)</f>
        <v>0</v>
      </c>
      <c r="BU26" s="48">
        <f>SUMIFS(Imput[[Importe Neto]:[Importe Neto]],Imput[[C. Imp.]:[C. Imp.]],'Indirect Costs'!$C26,Imput[[PERIODO Imp.]:[PERIODO Imp.]],'Indirect Costs'!BU$8)</f>
        <v>0</v>
      </c>
      <c r="BV26" s="48">
        <f>SUMIFS(Imput[[Importe Neto]:[Importe Neto]],Imput[[C. Imp.]:[C. Imp.]],'Indirect Costs'!$C26,Imput[[PERIODO Imp.]:[PERIODO Imp.]],'Indirect Costs'!BV$8)</f>
        <v>0</v>
      </c>
      <c r="BW26" s="48">
        <f>SUMIFS(Imput[[Importe Neto]:[Importe Neto]],Imput[[C. Imp.]:[C. Imp.]],'Indirect Costs'!$C26,Imput[[PERIODO Imp.]:[PERIODO Imp.]],'Indirect Costs'!BW$8)</f>
        <v>0</v>
      </c>
      <c r="BX26" s="48">
        <f>SUMIFS(Imput[[Importe Neto]:[Importe Neto]],Imput[[C. Imp.]:[C. Imp.]],'Indirect Costs'!$C26,Imput[[PERIODO Imp.]:[PERIODO Imp.]],'Indirect Costs'!BX$8)</f>
        <v>0</v>
      </c>
      <c r="BY26" s="48">
        <f>SUMIFS(Imput[[Importe Neto]:[Importe Neto]],Imput[[C. Imp.]:[C. Imp.]],'Indirect Costs'!$C26,Imput[[PERIODO Imp.]:[PERIODO Imp.]],'Indirect Costs'!BY$8)</f>
        <v>0</v>
      </c>
      <c r="BZ26" s="48">
        <f>SUMIFS(Imput[[Importe Neto]:[Importe Neto]],Imput[[C. Imp.]:[C. Imp.]],'Indirect Costs'!$C26,Imput[[PERIODO Imp.]:[PERIODO Imp.]],'Indirect Costs'!BZ$8)</f>
        <v>0</v>
      </c>
      <c r="CA26" s="48">
        <f>SUMIFS(Imput[[Importe Neto]:[Importe Neto]],Imput[[C. Imp.]:[C. Imp.]],'Indirect Costs'!$C26,Imput[[PERIODO Imp.]:[PERIODO Imp.]],'Indirect Costs'!CA$8)</f>
        <v>0</v>
      </c>
      <c r="CB26" s="48">
        <f>SUMIFS(Imput[[Importe Neto]:[Importe Neto]],Imput[[C. Imp.]:[C. Imp.]],'Indirect Costs'!$C26,Imput[[PERIODO Imp.]:[PERIODO Imp.]],'Indirect Costs'!CB$8)</f>
        <v>0</v>
      </c>
      <c r="CC26" s="48">
        <f>SUMIFS(Imput[[Importe Neto]:[Importe Neto]],Imput[[C. Imp.]:[C. Imp.]],'Indirect Costs'!$C26,Imput[[PERIODO Imp.]:[PERIODO Imp.]],'Indirect Costs'!CC$8)</f>
        <v>0</v>
      </c>
      <c r="CD26" s="48">
        <f>SUMIFS(Imput[[Importe Neto]:[Importe Neto]],Imput[[C. Imp.]:[C. Imp.]],'Indirect Costs'!$C26,Imput[[PERIODO Imp.]:[PERIODO Imp.]],'Indirect Costs'!CD$8)</f>
        <v>0</v>
      </c>
      <c r="CE26" s="48">
        <f>SUMIFS(Imput[[Importe Neto]:[Importe Neto]],Imput[[C. Imp.]:[C. Imp.]],'Indirect Costs'!$C26,Imput[[PERIODO Imp.]:[PERIODO Imp.]],'Indirect Costs'!CE$8)</f>
        <v>0</v>
      </c>
      <c r="CF26" s="48">
        <f>SUMIFS(Imput[[Importe Neto]:[Importe Neto]],Imput[[C. Imp.]:[C. Imp.]],'Indirect Costs'!$C26,Imput[[PERIODO Imp.]:[PERIODO Imp.]],'Indirect Costs'!CF$8)</f>
        <v>0</v>
      </c>
      <c r="CG26" s="48">
        <f>SUMIFS(Imput[[Importe Neto]:[Importe Neto]],Imput[[C. Imp.]:[C. Imp.]],'Indirect Costs'!$C26,Imput[[PERIODO Imp.]:[PERIODO Imp.]],'Indirect Costs'!CG$8)</f>
        <v>0</v>
      </c>
      <c r="CH26" s="48">
        <f>SUMIFS(Imput[[Importe Neto]:[Importe Neto]],Imput[[C. Imp.]:[C. Imp.]],'Indirect Costs'!$C26,Imput[[PERIODO Imp.]:[PERIODO Imp.]],'Indirect Costs'!CH$8)</f>
        <v>0</v>
      </c>
      <c r="CI26" s="48">
        <f>SUMIFS(Imput[[Importe Neto]:[Importe Neto]],Imput[[C. Imp.]:[C. Imp.]],'Indirect Costs'!$C26,Imput[[PERIODO Imp.]:[PERIODO Imp.]],'Indirect Costs'!CI$8)</f>
        <v>0</v>
      </c>
      <c r="CJ26" s="48">
        <f>SUMIFS(Imput[[Importe Neto]:[Importe Neto]],Imput[[C. Imp.]:[C. Imp.]],'Indirect Costs'!$C26,Imput[[PERIODO Imp.]:[PERIODO Imp.]],'Indirect Costs'!CJ$8)</f>
        <v>0</v>
      </c>
      <c r="CK26" s="48">
        <f>SUMIFS(Imput[[Importe Neto]:[Importe Neto]],Imput[[C. Imp.]:[C. Imp.]],'Indirect Costs'!$C26,Imput[[PERIODO Imp.]:[PERIODO Imp.]],'Indirect Costs'!CK$8)</f>
        <v>0</v>
      </c>
      <c r="CL26" s="48">
        <f>SUMIFS(Imput[[Importe Neto]:[Importe Neto]],Imput[[C. Imp.]:[C. Imp.]],'Indirect Costs'!$C26,Imput[[PERIODO Imp.]:[PERIODO Imp.]],'Indirect Costs'!CL$8)</f>
        <v>0</v>
      </c>
      <c r="CM26" s="48">
        <f>SUMIFS(Imput[[Importe Neto]:[Importe Neto]],Imput[[C. Imp.]:[C. Imp.]],'Indirect Costs'!$C26,Imput[[PERIODO Imp.]:[PERIODO Imp.]],'Indirect Costs'!CM$8)</f>
        <v>0</v>
      </c>
      <c r="CN26" s="48">
        <f>SUMIFS(Imput[[Importe Neto]:[Importe Neto]],Imput[[C. Imp.]:[C. Imp.]],'Indirect Costs'!$C26,Imput[[PERIODO Imp.]:[PERIODO Imp.]],'Indirect Costs'!CN$8)</f>
        <v>0</v>
      </c>
      <c r="CO26" s="48">
        <f>SUMIFS(Imput[[Importe Neto]:[Importe Neto]],Imput[[C. Imp.]:[C. Imp.]],'Indirect Costs'!$C26,Imput[[PERIODO Imp.]:[PERIODO Imp.]],'Indirect Costs'!CO$8)</f>
        <v>0</v>
      </c>
      <c r="CP26" s="48">
        <f>SUMIFS(Imput[[Importe Neto]:[Importe Neto]],Imput[[C. Imp.]:[C. Imp.]],'Indirect Costs'!$C26,Imput[[PERIODO Imp.]:[PERIODO Imp.]],'Indirect Costs'!CP$8)</f>
        <v>0</v>
      </c>
      <c r="CQ26" s="48">
        <f>SUMIFS(Imput[[Importe Neto]:[Importe Neto]],Imput[[C. Imp.]:[C. Imp.]],'Indirect Costs'!$C26,Imput[[PERIODO Imp.]:[PERIODO Imp.]],'Indirect Costs'!CQ$8)</f>
        <v>0</v>
      </c>
      <c r="CR26" s="48">
        <f>SUMIFS(Imput[[Importe Neto]:[Importe Neto]],Imput[[C. Imp.]:[C. Imp.]],'Indirect Costs'!$C26,Imput[[PERIODO Imp.]:[PERIODO Imp.]],'Indirect Costs'!CR$8)</f>
        <v>0</v>
      </c>
      <c r="CS26" s="48">
        <f>SUMIFS(Imput[[Importe Neto]:[Importe Neto]],Imput[[C. Imp.]:[C. Imp.]],'Indirect Costs'!$C26,Imput[[PERIODO Imp.]:[PERIODO Imp.]],'Indirect Costs'!CS$8)</f>
        <v>0</v>
      </c>
      <c r="CT26" s="48">
        <f>SUMIFS(Imput[[Importe Neto]:[Importe Neto]],Imput[[C. Imp.]:[C. Imp.]],'Indirect Costs'!$C26,Imput[[PERIODO Imp.]:[PERIODO Imp.]],'Indirect Costs'!CT$8)</f>
        <v>0</v>
      </c>
      <c r="CU26" s="48">
        <f>SUMIFS(Imput[[Importe Neto]:[Importe Neto]],Imput[[C. Imp.]:[C. Imp.]],'Indirect Costs'!$C26,Imput[[PERIODO Imp.]:[PERIODO Imp.]],'Indirect Costs'!CU$8)</f>
        <v>0</v>
      </c>
      <c r="CV26" s="48">
        <f>SUMIFS(Imput[[Importe Neto]:[Importe Neto]],Imput[[C. Imp.]:[C. Imp.]],'Indirect Costs'!$C26,Imput[[PERIODO Imp.]:[PERIODO Imp.]],'Indirect Costs'!CV$8)</f>
        <v>0</v>
      </c>
      <c r="CW26" s="48">
        <f>SUMIFS(Imput[[Importe Neto]:[Importe Neto]],Imput[[C. Imp.]:[C. Imp.]],'Indirect Costs'!$C26,Imput[[PERIODO Imp.]:[PERIODO Imp.]],'Indirect Costs'!CW$8)</f>
        <v>0</v>
      </c>
      <c r="CX26" s="48">
        <f>SUMIFS(Imput[[Importe Neto]:[Importe Neto]],Imput[[C. Imp.]:[C. Imp.]],'Indirect Costs'!$C26,Imput[[PERIODO Imp.]:[PERIODO Imp.]],'Indirect Costs'!CX$8)</f>
        <v>0</v>
      </c>
      <c r="CY26" s="48">
        <f>SUMIFS(Imput[[Importe Neto]:[Importe Neto]],Imput[[C. Imp.]:[C. Imp.]],'Indirect Costs'!$C26,Imput[[PERIODO Imp.]:[PERIODO Imp.]],'Indirect Costs'!CY$8)</f>
        <v>0</v>
      </c>
      <c r="CZ26" s="48">
        <f>SUMIFS(Imput[[Importe Neto]:[Importe Neto]],Imput[[C. Imp.]:[C. Imp.]],'Indirect Costs'!$C26,Imput[[PERIODO Imp.]:[PERIODO Imp.]],'Indirect Costs'!CZ$8)</f>
        <v>0</v>
      </c>
      <c r="DA26" s="48">
        <f>SUMIFS(Imput[[Importe Neto]:[Importe Neto]],Imput[[C. Imp.]:[C. Imp.]],'Indirect Costs'!$C26,Imput[[PERIODO Imp.]:[PERIODO Imp.]],'Indirect Costs'!DA$8)</f>
        <v>0</v>
      </c>
      <c r="DB26" s="48">
        <f>SUMIFS(Imput[[Importe Neto]:[Importe Neto]],Imput[[C. Imp.]:[C. Imp.]],'Indirect Costs'!$C26,Imput[[PERIODO Imp.]:[PERIODO Imp.]],'Indirect Costs'!DB$8)</f>
        <v>0</v>
      </c>
      <c r="DC26" s="48">
        <f>SUMIFS(Imput[[Importe Neto]:[Importe Neto]],Imput[[C. Imp.]:[C. Imp.]],'Indirect Costs'!$C26,Imput[[PERIODO Imp.]:[PERIODO Imp.]],'Indirect Costs'!DC$8)</f>
        <v>0</v>
      </c>
      <c r="DD26" s="48">
        <f>SUMIFS(Imput[[Importe Neto]:[Importe Neto]],Imput[[C. Imp.]:[C. Imp.]],'Indirect Costs'!$C26,Imput[[PERIODO Imp.]:[PERIODO Imp.]],'Indirect Costs'!DD$8)</f>
        <v>0</v>
      </c>
      <c r="DE26" s="48">
        <f>SUMIFS(Imput[[Importe Neto]:[Importe Neto]],Imput[[C. Imp.]:[C. Imp.]],'Indirect Costs'!$C26,Imput[[PERIODO Imp.]:[PERIODO Imp.]],'Indirect Costs'!DE$8)</f>
        <v>0</v>
      </c>
      <c r="DF26" s="143">
        <f>SUMIFS(Imput[[Importe Neto]:[Importe Neto]],Imput[[C. Imp.]:[C. Imp.]],'Indirect Costs'!$C26,Imput[[PERIODO Imp.]:[PERIODO Imp.]],'Indirect Costs'!DF$8)</f>
        <v>0</v>
      </c>
    </row>
    <row r="27" spans="1:110" outlineLevel="1" x14ac:dyDescent="0.25">
      <c r="A27" s="28" t="str">
        <f t="shared" si="3"/>
        <v/>
      </c>
      <c r="B27" s="50">
        <v>3</v>
      </c>
      <c r="C27" s="57" t="s">
        <v>1779</v>
      </c>
      <c r="D27" s="56" t="s">
        <v>541</v>
      </c>
      <c r="E27" s="57" t="s">
        <v>541</v>
      </c>
      <c r="F27" s="58">
        <v>50000</v>
      </c>
      <c r="G27" s="49"/>
      <c r="H27" s="51">
        <v>1</v>
      </c>
      <c r="I27" s="505">
        <f t="shared" si="7"/>
        <v>0</v>
      </c>
      <c r="J27" s="47"/>
      <c r="K27" s="142"/>
      <c r="L27" s="48"/>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143"/>
      <c r="BG27" s="47"/>
      <c r="BH27" s="509"/>
      <c r="BI27" s="505">
        <f t="shared" si="6"/>
        <v>0</v>
      </c>
      <c r="BJ27" s="47"/>
      <c r="BK27" s="142">
        <f>SUMIFS(Imput[[Importe Neto]:[Importe Neto]],Imput[[C. Imp.]:[C. Imp.]],'Indirect Costs'!$C27,Imput[[PERIODO Imp.]:[PERIODO Imp.]],'Indirect Costs'!BK$8)</f>
        <v>0</v>
      </c>
      <c r="BL27" s="48">
        <f>SUMIFS(Imput[[Importe Neto]:[Importe Neto]],Imput[[C. Imp.]:[C. Imp.]],'Indirect Costs'!$C27,Imput[[PERIODO Imp.]:[PERIODO Imp.]],'Indirect Costs'!BL$8)</f>
        <v>0</v>
      </c>
      <c r="BM27" s="48">
        <f>SUMIFS(Imput[[Importe Neto]:[Importe Neto]],Imput[[C. Imp.]:[C. Imp.]],'Indirect Costs'!$C27,Imput[[PERIODO Imp.]:[PERIODO Imp.]],'Indirect Costs'!BM$8)</f>
        <v>0</v>
      </c>
      <c r="BN27" s="48">
        <f>SUMIFS(Imput[[Importe Neto]:[Importe Neto]],Imput[[C. Imp.]:[C. Imp.]],'Indirect Costs'!$C27,Imput[[PERIODO Imp.]:[PERIODO Imp.]],'Indirect Costs'!BN$8)</f>
        <v>0</v>
      </c>
      <c r="BO27" s="48">
        <f>SUMIFS(Imput[[Importe Neto]:[Importe Neto]],Imput[[C. Imp.]:[C. Imp.]],'Indirect Costs'!$C27,Imput[[PERIODO Imp.]:[PERIODO Imp.]],'Indirect Costs'!BO$8)</f>
        <v>0</v>
      </c>
      <c r="BP27" s="48">
        <f>SUMIFS(Imput[[Importe Neto]:[Importe Neto]],Imput[[C. Imp.]:[C. Imp.]],'Indirect Costs'!$C27,Imput[[PERIODO Imp.]:[PERIODO Imp.]],'Indirect Costs'!BP$8)</f>
        <v>0</v>
      </c>
      <c r="BQ27" s="48">
        <f>SUMIFS(Imput[[Importe Neto]:[Importe Neto]],Imput[[C. Imp.]:[C. Imp.]],'Indirect Costs'!$C27,Imput[[PERIODO Imp.]:[PERIODO Imp.]],'Indirect Costs'!BQ$8)</f>
        <v>0</v>
      </c>
      <c r="BR27" s="48">
        <f>SUMIFS(Imput[[Importe Neto]:[Importe Neto]],Imput[[C. Imp.]:[C. Imp.]],'Indirect Costs'!$C27,Imput[[PERIODO Imp.]:[PERIODO Imp.]],'Indirect Costs'!BR$8)</f>
        <v>0</v>
      </c>
      <c r="BS27" s="48">
        <f>SUMIFS(Imput[[Importe Neto]:[Importe Neto]],Imput[[C. Imp.]:[C. Imp.]],'Indirect Costs'!$C27,Imput[[PERIODO Imp.]:[PERIODO Imp.]],'Indirect Costs'!BS$8)</f>
        <v>0</v>
      </c>
      <c r="BT27" s="48">
        <f>SUMIFS(Imput[[Importe Neto]:[Importe Neto]],Imput[[C. Imp.]:[C. Imp.]],'Indirect Costs'!$C27,Imput[[PERIODO Imp.]:[PERIODO Imp.]],'Indirect Costs'!BT$8)</f>
        <v>0</v>
      </c>
      <c r="BU27" s="48">
        <f>SUMIFS(Imput[[Importe Neto]:[Importe Neto]],Imput[[C. Imp.]:[C. Imp.]],'Indirect Costs'!$C27,Imput[[PERIODO Imp.]:[PERIODO Imp.]],'Indirect Costs'!BU$8)</f>
        <v>0</v>
      </c>
      <c r="BV27" s="48">
        <f>SUMIFS(Imput[[Importe Neto]:[Importe Neto]],Imput[[C. Imp.]:[C. Imp.]],'Indirect Costs'!$C27,Imput[[PERIODO Imp.]:[PERIODO Imp.]],'Indirect Costs'!BV$8)</f>
        <v>0</v>
      </c>
      <c r="BW27" s="48">
        <f>SUMIFS(Imput[[Importe Neto]:[Importe Neto]],Imput[[C. Imp.]:[C. Imp.]],'Indirect Costs'!$C27,Imput[[PERIODO Imp.]:[PERIODO Imp.]],'Indirect Costs'!BW$8)</f>
        <v>0</v>
      </c>
      <c r="BX27" s="48">
        <f>SUMIFS(Imput[[Importe Neto]:[Importe Neto]],Imput[[C. Imp.]:[C. Imp.]],'Indirect Costs'!$C27,Imput[[PERIODO Imp.]:[PERIODO Imp.]],'Indirect Costs'!BX$8)</f>
        <v>0</v>
      </c>
      <c r="BY27" s="48">
        <f>SUMIFS(Imput[[Importe Neto]:[Importe Neto]],Imput[[C. Imp.]:[C. Imp.]],'Indirect Costs'!$C27,Imput[[PERIODO Imp.]:[PERIODO Imp.]],'Indirect Costs'!BY$8)</f>
        <v>0</v>
      </c>
      <c r="BZ27" s="48">
        <f>SUMIFS(Imput[[Importe Neto]:[Importe Neto]],Imput[[C. Imp.]:[C. Imp.]],'Indirect Costs'!$C27,Imput[[PERIODO Imp.]:[PERIODO Imp.]],'Indirect Costs'!BZ$8)</f>
        <v>0</v>
      </c>
      <c r="CA27" s="48">
        <f>SUMIFS(Imput[[Importe Neto]:[Importe Neto]],Imput[[C. Imp.]:[C. Imp.]],'Indirect Costs'!$C27,Imput[[PERIODO Imp.]:[PERIODO Imp.]],'Indirect Costs'!CA$8)</f>
        <v>0</v>
      </c>
      <c r="CB27" s="48">
        <f>SUMIFS(Imput[[Importe Neto]:[Importe Neto]],Imput[[C. Imp.]:[C. Imp.]],'Indirect Costs'!$C27,Imput[[PERIODO Imp.]:[PERIODO Imp.]],'Indirect Costs'!CB$8)</f>
        <v>0</v>
      </c>
      <c r="CC27" s="48">
        <f>SUMIFS(Imput[[Importe Neto]:[Importe Neto]],Imput[[C. Imp.]:[C. Imp.]],'Indirect Costs'!$C27,Imput[[PERIODO Imp.]:[PERIODO Imp.]],'Indirect Costs'!CC$8)</f>
        <v>0</v>
      </c>
      <c r="CD27" s="48">
        <f>SUMIFS(Imput[[Importe Neto]:[Importe Neto]],Imput[[C. Imp.]:[C. Imp.]],'Indirect Costs'!$C27,Imput[[PERIODO Imp.]:[PERIODO Imp.]],'Indirect Costs'!CD$8)</f>
        <v>0</v>
      </c>
      <c r="CE27" s="48">
        <f>SUMIFS(Imput[[Importe Neto]:[Importe Neto]],Imput[[C. Imp.]:[C. Imp.]],'Indirect Costs'!$C27,Imput[[PERIODO Imp.]:[PERIODO Imp.]],'Indirect Costs'!CE$8)</f>
        <v>0</v>
      </c>
      <c r="CF27" s="48">
        <f>SUMIFS(Imput[[Importe Neto]:[Importe Neto]],Imput[[C. Imp.]:[C. Imp.]],'Indirect Costs'!$C27,Imput[[PERIODO Imp.]:[PERIODO Imp.]],'Indirect Costs'!CF$8)</f>
        <v>0</v>
      </c>
      <c r="CG27" s="48">
        <f>SUMIFS(Imput[[Importe Neto]:[Importe Neto]],Imput[[C. Imp.]:[C. Imp.]],'Indirect Costs'!$C27,Imput[[PERIODO Imp.]:[PERIODO Imp.]],'Indirect Costs'!CG$8)</f>
        <v>0</v>
      </c>
      <c r="CH27" s="48">
        <f>SUMIFS(Imput[[Importe Neto]:[Importe Neto]],Imput[[C. Imp.]:[C. Imp.]],'Indirect Costs'!$C27,Imput[[PERIODO Imp.]:[PERIODO Imp.]],'Indirect Costs'!CH$8)</f>
        <v>0</v>
      </c>
      <c r="CI27" s="48">
        <f>SUMIFS(Imput[[Importe Neto]:[Importe Neto]],Imput[[C. Imp.]:[C. Imp.]],'Indirect Costs'!$C27,Imput[[PERIODO Imp.]:[PERIODO Imp.]],'Indirect Costs'!CI$8)</f>
        <v>0</v>
      </c>
      <c r="CJ27" s="48">
        <f>SUMIFS(Imput[[Importe Neto]:[Importe Neto]],Imput[[C. Imp.]:[C. Imp.]],'Indirect Costs'!$C27,Imput[[PERIODO Imp.]:[PERIODO Imp.]],'Indirect Costs'!CJ$8)</f>
        <v>0</v>
      </c>
      <c r="CK27" s="48">
        <f>SUMIFS(Imput[[Importe Neto]:[Importe Neto]],Imput[[C. Imp.]:[C. Imp.]],'Indirect Costs'!$C27,Imput[[PERIODO Imp.]:[PERIODO Imp.]],'Indirect Costs'!CK$8)</f>
        <v>0</v>
      </c>
      <c r="CL27" s="48">
        <f>SUMIFS(Imput[[Importe Neto]:[Importe Neto]],Imput[[C. Imp.]:[C. Imp.]],'Indirect Costs'!$C27,Imput[[PERIODO Imp.]:[PERIODO Imp.]],'Indirect Costs'!CL$8)</f>
        <v>0</v>
      </c>
      <c r="CM27" s="48">
        <f>SUMIFS(Imput[[Importe Neto]:[Importe Neto]],Imput[[C. Imp.]:[C. Imp.]],'Indirect Costs'!$C27,Imput[[PERIODO Imp.]:[PERIODO Imp.]],'Indirect Costs'!CM$8)</f>
        <v>0</v>
      </c>
      <c r="CN27" s="48">
        <f>SUMIFS(Imput[[Importe Neto]:[Importe Neto]],Imput[[C. Imp.]:[C. Imp.]],'Indirect Costs'!$C27,Imput[[PERIODO Imp.]:[PERIODO Imp.]],'Indirect Costs'!CN$8)</f>
        <v>0</v>
      </c>
      <c r="CO27" s="48">
        <f>SUMIFS(Imput[[Importe Neto]:[Importe Neto]],Imput[[C. Imp.]:[C. Imp.]],'Indirect Costs'!$C27,Imput[[PERIODO Imp.]:[PERIODO Imp.]],'Indirect Costs'!CO$8)</f>
        <v>0</v>
      </c>
      <c r="CP27" s="48">
        <f>SUMIFS(Imput[[Importe Neto]:[Importe Neto]],Imput[[C. Imp.]:[C. Imp.]],'Indirect Costs'!$C27,Imput[[PERIODO Imp.]:[PERIODO Imp.]],'Indirect Costs'!CP$8)</f>
        <v>0</v>
      </c>
      <c r="CQ27" s="48">
        <f>SUMIFS(Imput[[Importe Neto]:[Importe Neto]],Imput[[C. Imp.]:[C. Imp.]],'Indirect Costs'!$C27,Imput[[PERIODO Imp.]:[PERIODO Imp.]],'Indirect Costs'!CQ$8)</f>
        <v>0</v>
      </c>
      <c r="CR27" s="48">
        <f>SUMIFS(Imput[[Importe Neto]:[Importe Neto]],Imput[[C. Imp.]:[C. Imp.]],'Indirect Costs'!$C27,Imput[[PERIODO Imp.]:[PERIODO Imp.]],'Indirect Costs'!CR$8)</f>
        <v>0</v>
      </c>
      <c r="CS27" s="48">
        <f>SUMIFS(Imput[[Importe Neto]:[Importe Neto]],Imput[[C. Imp.]:[C. Imp.]],'Indirect Costs'!$C27,Imput[[PERIODO Imp.]:[PERIODO Imp.]],'Indirect Costs'!CS$8)</f>
        <v>0</v>
      </c>
      <c r="CT27" s="48">
        <f>SUMIFS(Imput[[Importe Neto]:[Importe Neto]],Imput[[C. Imp.]:[C. Imp.]],'Indirect Costs'!$C27,Imput[[PERIODO Imp.]:[PERIODO Imp.]],'Indirect Costs'!CT$8)</f>
        <v>0</v>
      </c>
      <c r="CU27" s="48">
        <f>SUMIFS(Imput[[Importe Neto]:[Importe Neto]],Imput[[C. Imp.]:[C. Imp.]],'Indirect Costs'!$C27,Imput[[PERIODO Imp.]:[PERIODO Imp.]],'Indirect Costs'!CU$8)</f>
        <v>0</v>
      </c>
      <c r="CV27" s="48">
        <f>SUMIFS(Imput[[Importe Neto]:[Importe Neto]],Imput[[C. Imp.]:[C. Imp.]],'Indirect Costs'!$C27,Imput[[PERIODO Imp.]:[PERIODO Imp.]],'Indirect Costs'!CV$8)</f>
        <v>0</v>
      </c>
      <c r="CW27" s="48">
        <f>SUMIFS(Imput[[Importe Neto]:[Importe Neto]],Imput[[C. Imp.]:[C. Imp.]],'Indirect Costs'!$C27,Imput[[PERIODO Imp.]:[PERIODO Imp.]],'Indirect Costs'!CW$8)</f>
        <v>0</v>
      </c>
      <c r="CX27" s="48">
        <f>SUMIFS(Imput[[Importe Neto]:[Importe Neto]],Imput[[C. Imp.]:[C. Imp.]],'Indirect Costs'!$C27,Imput[[PERIODO Imp.]:[PERIODO Imp.]],'Indirect Costs'!CX$8)</f>
        <v>0</v>
      </c>
      <c r="CY27" s="48">
        <f>SUMIFS(Imput[[Importe Neto]:[Importe Neto]],Imput[[C. Imp.]:[C. Imp.]],'Indirect Costs'!$C27,Imput[[PERIODO Imp.]:[PERIODO Imp.]],'Indirect Costs'!CY$8)</f>
        <v>0</v>
      </c>
      <c r="CZ27" s="48">
        <f>SUMIFS(Imput[[Importe Neto]:[Importe Neto]],Imput[[C. Imp.]:[C. Imp.]],'Indirect Costs'!$C27,Imput[[PERIODO Imp.]:[PERIODO Imp.]],'Indirect Costs'!CZ$8)</f>
        <v>0</v>
      </c>
      <c r="DA27" s="48">
        <f>SUMIFS(Imput[[Importe Neto]:[Importe Neto]],Imput[[C. Imp.]:[C. Imp.]],'Indirect Costs'!$C27,Imput[[PERIODO Imp.]:[PERIODO Imp.]],'Indirect Costs'!DA$8)</f>
        <v>0</v>
      </c>
      <c r="DB27" s="48">
        <f>SUMIFS(Imput[[Importe Neto]:[Importe Neto]],Imput[[C. Imp.]:[C. Imp.]],'Indirect Costs'!$C27,Imput[[PERIODO Imp.]:[PERIODO Imp.]],'Indirect Costs'!DB$8)</f>
        <v>0</v>
      </c>
      <c r="DC27" s="48">
        <f>SUMIFS(Imput[[Importe Neto]:[Importe Neto]],Imput[[C. Imp.]:[C. Imp.]],'Indirect Costs'!$C27,Imput[[PERIODO Imp.]:[PERIODO Imp.]],'Indirect Costs'!DC$8)</f>
        <v>0</v>
      </c>
      <c r="DD27" s="48">
        <f>SUMIFS(Imput[[Importe Neto]:[Importe Neto]],Imput[[C. Imp.]:[C. Imp.]],'Indirect Costs'!$C27,Imput[[PERIODO Imp.]:[PERIODO Imp.]],'Indirect Costs'!DD$8)</f>
        <v>0</v>
      </c>
      <c r="DE27" s="48">
        <f>SUMIFS(Imput[[Importe Neto]:[Importe Neto]],Imput[[C. Imp.]:[C. Imp.]],'Indirect Costs'!$C27,Imput[[PERIODO Imp.]:[PERIODO Imp.]],'Indirect Costs'!DE$8)</f>
        <v>0</v>
      </c>
      <c r="DF27" s="143">
        <f>SUMIFS(Imput[[Importe Neto]:[Importe Neto]],Imput[[C. Imp.]:[C. Imp.]],'Indirect Costs'!$C27,Imput[[PERIODO Imp.]:[PERIODO Imp.]],'Indirect Costs'!DF$8)</f>
        <v>0</v>
      </c>
    </row>
    <row r="28" spans="1:110" outlineLevel="1" x14ac:dyDescent="0.25">
      <c r="A28" s="28" t="str">
        <f t="shared" si="3"/>
        <v/>
      </c>
      <c r="B28" s="50">
        <v>4</v>
      </c>
      <c r="C28" s="57" t="s">
        <v>1780</v>
      </c>
      <c r="D28" s="56" t="s">
        <v>542</v>
      </c>
      <c r="E28" s="57" t="s">
        <v>542</v>
      </c>
      <c r="F28" s="58">
        <v>60000</v>
      </c>
      <c r="G28" s="49"/>
      <c r="H28" s="51">
        <v>1</v>
      </c>
      <c r="I28" s="505">
        <f t="shared" si="7"/>
        <v>0</v>
      </c>
      <c r="J28" s="47"/>
      <c r="K28" s="142"/>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143"/>
      <c r="BG28" s="47"/>
      <c r="BH28" s="509"/>
      <c r="BI28" s="505">
        <f t="shared" si="6"/>
        <v>0</v>
      </c>
      <c r="BJ28" s="47"/>
      <c r="BK28" s="142">
        <f>SUMIFS(Imput[[Importe Neto]:[Importe Neto]],Imput[[C. Imp.]:[C. Imp.]],'Indirect Costs'!$C28,Imput[[PERIODO Imp.]:[PERIODO Imp.]],'Indirect Costs'!BK$8)</f>
        <v>0</v>
      </c>
      <c r="BL28" s="48">
        <f>SUMIFS(Imput[[Importe Neto]:[Importe Neto]],Imput[[C. Imp.]:[C. Imp.]],'Indirect Costs'!$C28,Imput[[PERIODO Imp.]:[PERIODO Imp.]],'Indirect Costs'!BL$8)</f>
        <v>0</v>
      </c>
      <c r="BM28" s="48">
        <f>SUMIFS(Imput[[Importe Neto]:[Importe Neto]],Imput[[C. Imp.]:[C. Imp.]],'Indirect Costs'!$C28,Imput[[PERIODO Imp.]:[PERIODO Imp.]],'Indirect Costs'!BM$8)</f>
        <v>0</v>
      </c>
      <c r="BN28" s="48">
        <f>SUMIFS(Imput[[Importe Neto]:[Importe Neto]],Imput[[C. Imp.]:[C. Imp.]],'Indirect Costs'!$C28,Imput[[PERIODO Imp.]:[PERIODO Imp.]],'Indirect Costs'!BN$8)</f>
        <v>0</v>
      </c>
      <c r="BO28" s="48">
        <f>SUMIFS(Imput[[Importe Neto]:[Importe Neto]],Imput[[C. Imp.]:[C. Imp.]],'Indirect Costs'!$C28,Imput[[PERIODO Imp.]:[PERIODO Imp.]],'Indirect Costs'!BO$8)</f>
        <v>0</v>
      </c>
      <c r="BP28" s="48">
        <f>SUMIFS(Imput[[Importe Neto]:[Importe Neto]],Imput[[C. Imp.]:[C. Imp.]],'Indirect Costs'!$C28,Imput[[PERIODO Imp.]:[PERIODO Imp.]],'Indirect Costs'!BP$8)</f>
        <v>0</v>
      </c>
      <c r="BQ28" s="48">
        <f>SUMIFS(Imput[[Importe Neto]:[Importe Neto]],Imput[[C. Imp.]:[C. Imp.]],'Indirect Costs'!$C28,Imput[[PERIODO Imp.]:[PERIODO Imp.]],'Indirect Costs'!BQ$8)</f>
        <v>0</v>
      </c>
      <c r="BR28" s="48">
        <f>SUMIFS(Imput[[Importe Neto]:[Importe Neto]],Imput[[C. Imp.]:[C. Imp.]],'Indirect Costs'!$C28,Imput[[PERIODO Imp.]:[PERIODO Imp.]],'Indirect Costs'!BR$8)</f>
        <v>0</v>
      </c>
      <c r="BS28" s="48">
        <f>SUMIFS(Imput[[Importe Neto]:[Importe Neto]],Imput[[C. Imp.]:[C. Imp.]],'Indirect Costs'!$C28,Imput[[PERIODO Imp.]:[PERIODO Imp.]],'Indirect Costs'!BS$8)</f>
        <v>0</v>
      </c>
      <c r="BT28" s="48">
        <f>SUMIFS(Imput[[Importe Neto]:[Importe Neto]],Imput[[C. Imp.]:[C. Imp.]],'Indirect Costs'!$C28,Imput[[PERIODO Imp.]:[PERIODO Imp.]],'Indirect Costs'!BT$8)</f>
        <v>0</v>
      </c>
      <c r="BU28" s="48">
        <f>SUMIFS(Imput[[Importe Neto]:[Importe Neto]],Imput[[C. Imp.]:[C. Imp.]],'Indirect Costs'!$C28,Imput[[PERIODO Imp.]:[PERIODO Imp.]],'Indirect Costs'!BU$8)</f>
        <v>0</v>
      </c>
      <c r="BV28" s="48">
        <f>SUMIFS(Imput[[Importe Neto]:[Importe Neto]],Imput[[C. Imp.]:[C. Imp.]],'Indirect Costs'!$C28,Imput[[PERIODO Imp.]:[PERIODO Imp.]],'Indirect Costs'!BV$8)</f>
        <v>0</v>
      </c>
      <c r="BW28" s="48">
        <f>SUMIFS(Imput[[Importe Neto]:[Importe Neto]],Imput[[C. Imp.]:[C. Imp.]],'Indirect Costs'!$C28,Imput[[PERIODO Imp.]:[PERIODO Imp.]],'Indirect Costs'!BW$8)</f>
        <v>0</v>
      </c>
      <c r="BX28" s="48">
        <f>SUMIFS(Imput[[Importe Neto]:[Importe Neto]],Imput[[C. Imp.]:[C. Imp.]],'Indirect Costs'!$C28,Imput[[PERIODO Imp.]:[PERIODO Imp.]],'Indirect Costs'!BX$8)</f>
        <v>0</v>
      </c>
      <c r="BY28" s="48">
        <f>SUMIFS(Imput[[Importe Neto]:[Importe Neto]],Imput[[C. Imp.]:[C. Imp.]],'Indirect Costs'!$C28,Imput[[PERIODO Imp.]:[PERIODO Imp.]],'Indirect Costs'!BY$8)</f>
        <v>0</v>
      </c>
      <c r="BZ28" s="48">
        <f>SUMIFS(Imput[[Importe Neto]:[Importe Neto]],Imput[[C. Imp.]:[C. Imp.]],'Indirect Costs'!$C28,Imput[[PERIODO Imp.]:[PERIODO Imp.]],'Indirect Costs'!BZ$8)</f>
        <v>0</v>
      </c>
      <c r="CA28" s="48">
        <f>SUMIFS(Imput[[Importe Neto]:[Importe Neto]],Imput[[C. Imp.]:[C. Imp.]],'Indirect Costs'!$C28,Imput[[PERIODO Imp.]:[PERIODO Imp.]],'Indirect Costs'!CA$8)</f>
        <v>0</v>
      </c>
      <c r="CB28" s="48">
        <f>SUMIFS(Imput[[Importe Neto]:[Importe Neto]],Imput[[C. Imp.]:[C. Imp.]],'Indirect Costs'!$C28,Imput[[PERIODO Imp.]:[PERIODO Imp.]],'Indirect Costs'!CB$8)</f>
        <v>0</v>
      </c>
      <c r="CC28" s="48">
        <f>SUMIFS(Imput[[Importe Neto]:[Importe Neto]],Imput[[C. Imp.]:[C. Imp.]],'Indirect Costs'!$C28,Imput[[PERIODO Imp.]:[PERIODO Imp.]],'Indirect Costs'!CC$8)</f>
        <v>0</v>
      </c>
      <c r="CD28" s="48">
        <f>SUMIFS(Imput[[Importe Neto]:[Importe Neto]],Imput[[C. Imp.]:[C. Imp.]],'Indirect Costs'!$C28,Imput[[PERIODO Imp.]:[PERIODO Imp.]],'Indirect Costs'!CD$8)</f>
        <v>0</v>
      </c>
      <c r="CE28" s="48">
        <f>SUMIFS(Imput[[Importe Neto]:[Importe Neto]],Imput[[C. Imp.]:[C. Imp.]],'Indirect Costs'!$C28,Imput[[PERIODO Imp.]:[PERIODO Imp.]],'Indirect Costs'!CE$8)</f>
        <v>0</v>
      </c>
      <c r="CF28" s="48">
        <f>SUMIFS(Imput[[Importe Neto]:[Importe Neto]],Imput[[C. Imp.]:[C. Imp.]],'Indirect Costs'!$C28,Imput[[PERIODO Imp.]:[PERIODO Imp.]],'Indirect Costs'!CF$8)</f>
        <v>0</v>
      </c>
      <c r="CG28" s="48">
        <f>SUMIFS(Imput[[Importe Neto]:[Importe Neto]],Imput[[C. Imp.]:[C. Imp.]],'Indirect Costs'!$C28,Imput[[PERIODO Imp.]:[PERIODO Imp.]],'Indirect Costs'!CG$8)</f>
        <v>0</v>
      </c>
      <c r="CH28" s="48">
        <f>SUMIFS(Imput[[Importe Neto]:[Importe Neto]],Imput[[C. Imp.]:[C. Imp.]],'Indirect Costs'!$C28,Imput[[PERIODO Imp.]:[PERIODO Imp.]],'Indirect Costs'!CH$8)</f>
        <v>0</v>
      </c>
      <c r="CI28" s="48">
        <f>SUMIFS(Imput[[Importe Neto]:[Importe Neto]],Imput[[C. Imp.]:[C. Imp.]],'Indirect Costs'!$C28,Imput[[PERIODO Imp.]:[PERIODO Imp.]],'Indirect Costs'!CI$8)</f>
        <v>0</v>
      </c>
      <c r="CJ28" s="48">
        <f>SUMIFS(Imput[[Importe Neto]:[Importe Neto]],Imput[[C. Imp.]:[C. Imp.]],'Indirect Costs'!$C28,Imput[[PERIODO Imp.]:[PERIODO Imp.]],'Indirect Costs'!CJ$8)</f>
        <v>0</v>
      </c>
      <c r="CK28" s="48">
        <f>SUMIFS(Imput[[Importe Neto]:[Importe Neto]],Imput[[C. Imp.]:[C. Imp.]],'Indirect Costs'!$C28,Imput[[PERIODO Imp.]:[PERIODO Imp.]],'Indirect Costs'!CK$8)</f>
        <v>0</v>
      </c>
      <c r="CL28" s="48">
        <f>SUMIFS(Imput[[Importe Neto]:[Importe Neto]],Imput[[C. Imp.]:[C. Imp.]],'Indirect Costs'!$C28,Imput[[PERIODO Imp.]:[PERIODO Imp.]],'Indirect Costs'!CL$8)</f>
        <v>0</v>
      </c>
      <c r="CM28" s="48">
        <f>SUMIFS(Imput[[Importe Neto]:[Importe Neto]],Imput[[C. Imp.]:[C. Imp.]],'Indirect Costs'!$C28,Imput[[PERIODO Imp.]:[PERIODO Imp.]],'Indirect Costs'!CM$8)</f>
        <v>0</v>
      </c>
      <c r="CN28" s="48">
        <f>SUMIFS(Imput[[Importe Neto]:[Importe Neto]],Imput[[C. Imp.]:[C. Imp.]],'Indirect Costs'!$C28,Imput[[PERIODO Imp.]:[PERIODO Imp.]],'Indirect Costs'!CN$8)</f>
        <v>0</v>
      </c>
      <c r="CO28" s="48">
        <f>SUMIFS(Imput[[Importe Neto]:[Importe Neto]],Imput[[C. Imp.]:[C. Imp.]],'Indirect Costs'!$C28,Imput[[PERIODO Imp.]:[PERIODO Imp.]],'Indirect Costs'!CO$8)</f>
        <v>0</v>
      </c>
      <c r="CP28" s="48">
        <f>SUMIFS(Imput[[Importe Neto]:[Importe Neto]],Imput[[C. Imp.]:[C. Imp.]],'Indirect Costs'!$C28,Imput[[PERIODO Imp.]:[PERIODO Imp.]],'Indirect Costs'!CP$8)</f>
        <v>0</v>
      </c>
      <c r="CQ28" s="48">
        <f>SUMIFS(Imput[[Importe Neto]:[Importe Neto]],Imput[[C. Imp.]:[C. Imp.]],'Indirect Costs'!$C28,Imput[[PERIODO Imp.]:[PERIODO Imp.]],'Indirect Costs'!CQ$8)</f>
        <v>0</v>
      </c>
      <c r="CR28" s="48">
        <f>SUMIFS(Imput[[Importe Neto]:[Importe Neto]],Imput[[C. Imp.]:[C. Imp.]],'Indirect Costs'!$C28,Imput[[PERIODO Imp.]:[PERIODO Imp.]],'Indirect Costs'!CR$8)</f>
        <v>0</v>
      </c>
      <c r="CS28" s="48">
        <f>SUMIFS(Imput[[Importe Neto]:[Importe Neto]],Imput[[C. Imp.]:[C. Imp.]],'Indirect Costs'!$C28,Imput[[PERIODO Imp.]:[PERIODO Imp.]],'Indirect Costs'!CS$8)</f>
        <v>0</v>
      </c>
      <c r="CT28" s="48">
        <f>SUMIFS(Imput[[Importe Neto]:[Importe Neto]],Imput[[C. Imp.]:[C. Imp.]],'Indirect Costs'!$C28,Imput[[PERIODO Imp.]:[PERIODO Imp.]],'Indirect Costs'!CT$8)</f>
        <v>0</v>
      </c>
      <c r="CU28" s="48">
        <f>SUMIFS(Imput[[Importe Neto]:[Importe Neto]],Imput[[C. Imp.]:[C. Imp.]],'Indirect Costs'!$C28,Imput[[PERIODO Imp.]:[PERIODO Imp.]],'Indirect Costs'!CU$8)</f>
        <v>0</v>
      </c>
      <c r="CV28" s="48">
        <f>SUMIFS(Imput[[Importe Neto]:[Importe Neto]],Imput[[C. Imp.]:[C. Imp.]],'Indirect Costs'!$C28,Imput[[PERIODO Imp.]:[PERIODO Imp.]],'Indirect Costs'!CV$8)</f>
        <v>0</v>
      </c>
      <c r="CW28" s="48">
        <f>SUMIFS(Imput[[Importe Neto]:[Importe Neto]],Imput[[C. Imp.]:[C. Imp.]],'Indirect Costs'!$C28,Imput[[PERIODO Imp.]:[PERIODO Imp.]],'Indirect Costs'!CW$8)</f>
        <v>0</v>
      </c>
      <c r="CX28" s="48">
        <f>SUMIFS(Imput[[Importe Neto]:[Importe Neto]],Imput[[C. Imp.]:[C. Imp.]],'Indirect Costs'!$C28,Imput[[PERIODO Imp.]:[PERIODO Imp.]],'Indirect Costs'!CX$8)</f>
        <v>0</v>
      </c>
      <c r="CY28" s="48">
        <f>SUMIFS(Imput[[Importe Neto]:[Importe Neto]],Imput[[C. Imp.]:[C. Imp.]],'Indirect Costs'!$C28,Imput[[PERIODO Imp.]:[PERIODO Imp.]],'Indirect Costs'!CY$8)</f>
        <v>0</v>
      </c>
      <c r="CZ28" s="48">
        <f>SUMIFS(Imput[[Importe Neto]:[Importe Neto]],Imput[[C. Imp.]:[C. Imp.]],'Indirect Costs'!$C28,Imput[[PERIODO Imp.]:[PERIODO Imp.]],'Indirect Costs'!CZ$8)</f>
        <v>0</v>
      </c>
      <c r="DA28" s="48">
        <f>SUMIFS(Imput[[Importe Neto]:[Importe Neto]],Imput[[C. Imp.]:[C. Imp.]],'Indirect Costs'!$C28,Imput[[PERIODO Imp.]:[PERIODO Imp.]],'Indirect Costs'!DA$8)</f>
        <v>0</v>
      </c>
      <c r="DB28" s="48">
        <f>SUMIFS(Imput[[Importe Neto]:[Importe Neto]],Imput[[C. Imp.]:[C. Imp.]],'Indirect Costs'!$C28,Imput[[PERIODO Imp.]:[PERIODO Imp.]],'Indirect Costs'!DB$8)</f>
        <v>0</v>
      </c>
      <c r="DC28" s="48">
        <f>SUMIFS(Imput[[Importe Neto]:[Importe Neto]],Imput[[C. Imp.]:[C. Imp.]],'Indirect Costs'!$C28,Imput[[PERIODO Imp.]:[PERIODO Imp.]],'Indirect Costs'!DC$8)</f>
        <v>0</v>
      </c>
      <c r="DD28" s="48">
        <f>SUMIFS(Imput[[Importe Neto]:[Importe Neto]],Imput[[C. Imp.]:[C. Imp.]],'Indirect Costs'!$C28,Imput[[PERIODO Imp.]:[PERIODO Imp.]],'Indirect Costs'!DD$8)</f>
        <v>0</v>
      </c>
      <c r="DE28" s="48">
        <f>SUMIFS(Imput[[Importe Neto]:[Importe Neto]],Imput[[C. Imp.]:[C. Imp.]],'Indirect Costs'!$C28,Imput[[PERIODO Imp.]:[PERIODO Imp.]],'Indirect Costs'!DE$8)</f>
        <v>0</v>
      </c>
      <c r="DF28" s="143">
        <f>SUMIFS(Imput[[Importe Neto]:[Importe Neto]],Imput[[C. Imp.]:[C. Imp.]],'Indirect Costs'!$C28,Imput[[PERIODO Imp.]:[PERIODO Imp.]],'Indirect Costs'!DF$8)</f>
        <v>0</v>
      </c>
    </row>
    <row r="29" spans="1:110" outlineLevel="1" x14ac:dyDescent="0.25">
      <c r="A29" s="28" t="str">
        <f t="shared" si="3"/>
        <v/>
      </c>
      <c r="B29" s="50">
        <v>5</v>
      </c>
      <c r="C29" s="57" t="s">
        <v>1781</v>
      </c>
      <c r="D29" s="56" t="s">
        <v>543</v>
      </c>
      <c r="E29" s="57" t="s">
        <v>543</v>
      </c>
      <c r="F29" s="58">
        <v>80000</v>
      </c>
      <c r="G29" s="49"/>
      <c r="H29" s="51">
        <v>1</v>
      </c>
      <c r="I29" s="505">
        <f t="shared" si="7"/>
        <v>0</v>
      </c>
      <c r="J29" s="47"/>
      <c r="K29" s="142"/>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143"/>
      <c r="BG29" s="47"/>
      <c r="BH29" s="509"/>
      <c r="BI29" s="505">
        <f t="shared" si="6"/>
        <v>0</v>
      </c>
      <c r="BJ29" s="47"/>
      <c r="BK29" s="142">
        <f>SUMIFS(Imput[[Importe Neto]:[Importe Neto]],Imput[[C. Imp.]:[C. Imp.]],'Indirect Costs'!$C29,Imput[[PERIODO Imp.]:[PERIODO Imp.]],'Indirect Costs'!BK$8)</f>
        <v>0</v>
      </c>
      <c r="BL29" s="48">
        <f>SUMIFS(Imput[[Importe Neto]:[Importe Neto]],Imput[[C. Imp.]:[C. Imp.]],'Indirect Costs'!$C29,Imput[[PERIODO Imp.]:[PERIODO Imp.]],'Indirect Costs'!BL$8)</f>
        <v>0</v>
      </c>
      <c r="BM29" s="48">
        <f>SUMIFS(Imput[[Importe Neto]:[Importe Neto]],Imput[[C. Imp.]:[C. Imp.]],'Indirect Costs'!$C29,Imput[[PERIODO Imp.]:[PERIODO Imp.]],'Indirect Costs'!BM$8)</f>
        <v>0</v>
      </c>
      <c r="BN29" s="48">
        <f>SUMIFS(Imput[[Importe Neto]:[Importe Neto]],Imput[[C. Imp.]:[C. Imp.]],'Indirect Costs'!$C29,Imput[[PERIODO Imp.]:[PERIODO Imp.]],'Indirect Costs'!BN$8)</f>
        <v>0</v>
      </c>
      <c r="BO29" s="48">
        <f>SUMIFS(Imput[[Importe Neto]:[Importe Neto]],Imput[[C. Imp.]:[C. Imp.]],'Indirect Costs'!$C29,Imput[[PERIODO Imp.]:[PERIODO Imp.]],'Indirect Costs'!BO$8)</f>
        <v>0</v>
      </c>
      <c r="BP29" s="48">
        <f>SUMIFS(Imput[[Importe Neto]:[Importe Neto]],Imput[[C. Imp.]:[C. Imp.]],'Indirect Costs'!$C29,Imput[[PERIODO Imp.]:[PERIODO Imp.]],'Indirect Costs'!BP$8)</f>
        <v>0</v>
      </c>
      <c r="BQ29" s="48">
        <f>SUMIFS(Imput[[Importe Neto]:[Importe Neto]],Imput[[C. Imp.]:[C. Imp.]],'Indirect Costs'!$C29,Imput[[PERIODO Imp.]:[PERIODO Imp.]],'Indirect Costs'!BQ$8)</f>
        <v>0</v>
      </c>
      <c r="BR29" s="48">
        <f>SUMIFS(Imput[[Importe Neto]:[Importe Neto]],Imput[[C. Imp.]:[C. Imp.]],'Indirect Costs'!$C29,Imput[[PERIODO Imp.]:[PERIODO Imp.]],'Indirect Costs'!BR$8)</f>
        <v>0</v>
      </c>
      <c r="BS29" s="48">
        <f>SUMIFS(Imput[[Importe Neto]:[Importe Neto]],Imput[[C. Imp.]:[C. Imp.]],'Indirect Costs'!$C29,Imput[[PERIODO Imp.]:[PERIODO Imp.]],'Indirect Costs'!BS$8)</f>
        <v>0</v>
      </c>
      <c r="BT29" s="48">
        <f>SUMIFS(Imput[[Importe Neto]:[Importe Neto]],Imput[[C. Imp.]:[C. Imp.]],'Indirect Costs'!$C29,Imput[[PERIODO Imp.]:[PERIODO Imp.]],'Indirect Costs'!BT$8)</f>
        <v>0</v>
      </c>
      <c r="BU29" s="48">
        <f>SUMIFS(Imput[[Importe Neto]:[Importe Neto]],Imput[[C. Imp.]:[C. Imp.]],'Indirect Costs'!$C29,Imput[[PERIODO Imp.]:[PERIODO Imp.]],'Indirect Costs'!BU$8)</f>
        <v>0</v>
      </c>
      <c r="BV29" s="48">
        <f>SUMIFS(Imput[[Importe Neto]:[Importe Neto]],Imput[[C. Imp.]:[C. Imp.]],'Indirect Costs'!$C29,Imput[[PERIODO Imp.]:[PERIODO Imp.]],'Indirect Costs'!BV$8)</f>
        <v>0</v>
      </c>
      <c r="BW29" s="48">
        <f>SUMIFS(Imput[[Importe Neto]:[Importe Neto]],Imput[[C. Imp.]:[C. Imp.]],'Indirect Costs'!$C29,Imput[[PERIODO Imp.]:[PERIODO Imp.]],'Indirect Costs'!BW$8)</f>
        <v>0</v>
      </c>
      <c r="BX29" s="48">
        <f>SUMIFS(Imput[[Importe Neto]:[Importe Neto]],Imput[[C. Imp.]:[C. Imp.]],'Indirect Costs'!$C29,Imput[[PERIODO Imp.]:[PERIODO Imp.]],'Indirect Costs'!BX$8)</f>
        <v>0</v>
      </c>
      <c r="BY29" s="48">
        <f>SUMIFS(Imput[[Importe Neto]:[Importe Neto]],Imput[[C. Imp.]:[C. Imp.]],'Indirect Costs'!$C29,Imput[[PERIODO Imp.]:[PERIODO Imp.]],'Indirect Costs'!BY$8)</f>
        <v>0</v>
      </c>
      <c r="BZ29" s="48">
        <f>SUMIFS(Imput[[Importe Neto]:[Importe Neto]],Imput[[C. Imp.]:[C. Imp.]],'Indirect Costs'!$C29,Imput[[PERIODO Imp.]:[PERIODO Imp.]],'Indirect Costs'!BZ$8)</f>
        <v>0</v>
      </c>
      <c r="CA29" s="48">
        <f>SUMIFS(Imput[[Importe Neto]:[Importe Neto]],Imput[[C. Imp.]:[C. Imp.]],'Indirect Costs'!$C29,Imput[[PERIODO Imp.]:[PERIODO Imp.]],'Indirect Costs'!CA$8)</f>
        <v>0</v>
      </c>
      <c r="CB29" s="48">
        <f>SUMIFS(Imput[[Importe Neto]:[Importe Neto]],Imput[[C. Imp.]:[C. Imp.]],'Indirect Costs'!$C29,Imput[[PERIODO Imp.]:[PERIODO Imp.]],'Indirect Costs'!CB$8)</f>
        <v>0</v>
      </c>
      <c r="CC29" s="48">
        <f>SUMIFS(Imput[[Importe Neto]:[Importe Neto]],Imput[[C. Imp.]:[C. Imp.]],'Indirect Costs'!$C29,Imput[[PERIODO Imp.]:[PERIODO Imp.]],'Indirect Costs'!CC$8)</f>
        <v>0</v>
      </c>
      <c r="CD29" s="48">
        <f>SUMIFS(Imput[[Importe Neto]:[Importe Neto]],Imput[[C. Imp.]:[C. Imp.]],'Indirect Costs'!$C29,Imput[[PERIODO Imp.]:[PERIODO Imp.]],'Indirect Costs'!CD$8)</f>
        <v>0</v>
      </c>
      <c r="CE29" s="48">
        <f>SUMIFS(Imput[[Importe Neto]:[Importe Neto]],Imput[[C. Imp.]:[C. Imp.]],'Indirect Costs'!$C29,Imput[[PERIODO Imp.]:[PERIODO Imp.]],'Indirect Costs'!CE$8)</f>
        <v>0</v>
      </c>
      <c r="CF29" s="48">
        <f>SUMIFS(Imput[[Importe Neto]:[Importe Neto]],Imput[[C. Imp.]:[C. Imp.]],'Indirect Costs'!$C29,Imput[[PERIODO Imp.]:[PERIODO Imp.]],'Indirect Costs'!CF$8)</f>
        <v>0</v>
      </c>
      <c r="CG29" s="48">
        <f>SUMIFS(Imput[[Importe Neto]:[Importe Neto]],Imput[[C. Imp.]:[C. Imp.]],'Indirect Costs'!$C29,Imput[[PERIODO Imp.]:[PERIODO Imp.]],'Indirect Costs'!CG$8)</f>
        <v>0</v>
      </c>
      <c r="CH29" s="48">
        <f>SUMIFS(Imput[[Importe Neto]:[Importe Neto]],Imput[[C. Imp.]:[C. Imp.]],'Indirect Costs'!$C29,Imput[[PERIODO Imp.]:[PERIODO Imp.]],'Indirect Costs'!CH$8)</f>
        <v>0</v>
      </c>
      <c r="CI29" s="48">
        <f>SUMIFS(Imput[[Importe Neto]:[Importe Neto]],Imput[[C. Imp.]:[C. Imp.]],'Indirect Costs'!$C29,Imput[[PERIODO Imp.]:[PERIODO Imp.]],'Indirect Costs'!CI$8)</f>
        <v>0</v>
      </c>
      <c r="CJ29" s="48">
        <f>SUMIFS(Imput[[Importe Neto]:[Importe Neto]],Imput[[C. Imp.]:[C. Imp.]],'Indirect Costs'!$C29,Imput[[PERIODO Imp.]:[PERIODO Imp.]],'Indirect Costs'!CJ$8)</f>
        <v>0</v>
      </c>
      <c r="CK29" s="48">
        <f>SUMIFS(Imput[[Importe Neto]:[Importe Neto]],Imput[[C. Imp.]:[C. Imp.]],'Indirect Costs'!$C29,Imput[[PERIODO Imp.]:[PERIODO Imp.]],'Indirect Costs'!CK$8)</f>
        <v>0</v>
      </c>
      <c r="CL29" s="48">
        <f>SUMIFS(Imput[[Importe Neto]:[Importe Neto]],Imput[[C. Imp.]:[C. Imp.]],'Indirect Costs'!$C29,Imput[[PERIODO Imp.]:[PERIODO Imp.]],'Indirect Costs'!CL$8)</f>
        <v>0</v>
      </c>
      <c r="CM29" s="48">
        <f>SUMIFS(Imput[[Importe Neto]:[Importe Neto]],Imput[[C. Imp.]:[C. Imp.]],'Indirect Costs'!$C29,Imput[[PERIODO Imp.]:[PERIODO Imp.]],'Indirect Costs'!CM$8)</f>
        <v>0</v>
      </c>
      <c r="CN29" s="48">
        <f>SUMIFS(Imput[[Importe Neto]:[Importe Neto]],Imput[[C. Imp.]:[C. Imp.]],'Indirect Costs'!$C29,Imput[[PERIODO Imp.]:[PERIODO Imp.]],'Indirect Costs'!CN$8)</f>
        <v>0</v>
      </c>
      <c r="CO29" s="48">
        <f>SUMIFS(Imput[[Importe Neto]:[Importe Neto]],Imput[[C. Imp.]:[C. Imp.]],'Indirect Costs'!$C29,Imput[[PERIODO Imp.]:[PERIODO Imp.]],'Indirect Costs'!CO$8)</f>
        <v>0</v>
      </c>
      <c r="CP29" s="48">
        <f>SUMIFS(Imput[[Importe Neto]:[Importe Neto]],Imput[[C. Imp.]:[C. Imp.]],'Indirect Costs'!$C29,Imput[[PERIODO Imp.]:[PERIODO Imp.]],'Indirect Costs'!CP$8)</f>
        <v>0</v>
      </c>
      <c r="CQ29" s="48">
        <f>SUMIFS(Imput[[Importe Neto]:[Importe Neto]],Imput[[C. Imp.]:[C. Imp.]],'Indirect Costs'!$C29,Imput[[PERIODO Imp.]:[PERIODO Imp.]],'Indirect Costs'!CQ$8)</f>
        <v>0</v>
      </c>
      <c r="CR29" s="48">
        <f>SUMIFS(Imput[[Importe Neto]:[Importe Neto]],Imput[[C. Imp.]:[C. Imp.]],'Indirect Costs'!$C29,Imput[[PERIODO Imp.]:[PERIODO Imp.]],'Indirect Costs'!CR$8)</f>
        <v>0</v>
      </c>
      <c r="CS29" s="48">
        <f>SUMIFS(Imput[[Importe Neto]:[Importe Neto]],Imput[[C. Imp.]:[C. Imp.]],'Indirect Costs'!$C29,Imput[[PERIODO Imp.]:[PERIODO Imp.]],'Indirect Costs'!CS$8)</f>
        <v>0</v>
      </c>
      <c r="CT29" s="48">
        <f>SUMIFS(Imput[[Importe Neto]:[Importe Neto]],Imput[[C. Imp.]:[C. Imp.]],'Indirect Costs'!$C29,Imput[[PERIODO Imp.]:[PERIODO Imp.]],'Indirect Costs'!CT$8)</f>
        <v>0</v>
      </c>
      <c r="CU29" s="48">
        <f>SUMIFS(Imput[[Importe Neto]:[Importe Neto]],Imput[[C. Imp.]:[C. Imp.]],'Indirect Costs'!$C29,Imput[[PERIODO Imp.]:[PERIODO Imp.]],'Indirect Costs'!CU$8)</f>
        <v>0</v>
      </c>
      <c r="CV29" s="48">
        <f>SUMIFS(Imput[[Importe Neto]:[Importe Neto]],Imput[[C. Imp.]:[C. Imp.]],'Indirect Costs'!$C29,Imput[[PERIODO Imp.]:[PERIODO Imp.]],'Indirect Costs'!CV$8)</f>
        <v>0</v>
      </c>
      <c r="CW29" s="48">
        <f>SUMIFS(Imput[[Importe Neto]:[Importe Neto]],Imput[[C. Imp.]:[C. Imp.]],'Indirect Costs'!$C29,Imput[[PERIODO Imp.]:[PERIODO Imp.]],'Indirect Costs'!CW$8)</f>
        <v>0</v>
      </c>
      <c r="CX29" s="48">
        <f>SUMIFS(Imput[[Importe Neto]:[Importe Neto]],Imput[[C. Imp.]:[C. Imp.]],'Indirect Costs'!$C29,Imput[[PERIODO Imp.]:[PERIODO Imp.]],'Indirect Costs'!CX$8)</f>
        <v>0</v>
      </c>
      <c r="CY29" s="48">
        <f>SUMIFS(Imput[[Importe Neto]:[Importe Neto]],Imput[[C. Imp.]:[C. Imp.]],'Indirect Costs'!$C29,Imput[[PERIODO Imp.]:[PERIODO Imp.]],'Indirect Costs'!CY$8)</f>
        <v>0</v>
      </c>
      <c r="CZ29" s="48">
        <f>SUMIFS(Imput[[Importe Neto]:[Importe Neto]],Imput[[C. Imp.]:[C. Imp.]],'Indirect Costs'!$C29,Imput[[PERIODO Imp.]:[PERIODO Imp.]],'Indirect Costs'!CZ$8)</f>
        <v>0</v>
      </c>
      <c r="DA29" s="48">
        <f>SUMIFS(Imput[[Importe Neto]:[Importe Neto]],Imput[[C. Imp.]:[C. Imp.]],'Indirect Costs'!$C29,Imput[[PERIODO Imp.]:[PERIODO Imp.]],'Indirect Costs'!DA$8)</f>
        <v>0</v>
      </c>
      <c r="DB29" s="48">
        <f>SUMIFS(Imput[[Importe Neto]:[Importe Neto]],Imput[[C. Imp.]:[C. Imp.]],'Indirect Costs'!$C29,Imput[[PERIODO Imp.]:[PERIODO Imp.]],'Indirect Costs'!DB$8)</f>
        <v>0</v>
      </c>
      <c r="DC29" s="48">
        <f>SUMIFS(Imput[[Importe Neto]:[Importe Neto]],Imput[[C. Imp.]:[C. Imp.]],'Indirect Costs'!$C29,Imput[[PERIODO Imp.]:[PERIODO Imp.]],'Indirect Costs'!DC$8)</f>
        <v>0</v>
      </c>
      <c r="DD29" s="48">
        <f>SUMIFS(Imput[[Importe Neto]:[Importe Neto]],Imput[[C. Imp.]:[C. Imp.]],'Indirect Costs'!$C29,Imput[[PERIODO Imp.]:[PERIODO Imp.]],'Indirect Costs'!DD$8)</f>
        <v>0</v>
      </c>
      <c r="DE29" s="48">
        <f>SUMIFS(Imput[[Importe Neto]:[Importe Neto]],Imput[[C. Imp.]:[C. Imp.]],'Indirect Costs'!$C29,Imput[[PERIODO Imp.]:[PERIODO Imp.]],'Indirect Costs'!DE$8)</f>
        <v>0</v>
      </c>
      <c r="DF29" s="143">
        <f>SUMIFS(Imput[[Importe Neto]:[Importe Neto]],Imput[[C. Imp.]:[C. Imp.]],'Indirect Costs'!$C29,Imput[[PERIODO Imp.]:[PERIODO Imp.]],'Indirect Costs'!DF$8)</f>
        <v>0</v>
      </c>
    </row>
    <row r="30" spans="1:110" outlineLevel="1" x14ac:dyDescent="0.25">
      <c r="A30" s="28" t="str">
        <f t="shared" si="3"/>
        <v/>
      </c>
      <c r="B30" s="50">
        <v>6</v>
      </c>
      <c r="C30" s="57" t="s">
        <v>1782</v>
      </c>
      <c r="D30" s="56" t="s">
        <v>544</v>
      </c>
      <c r="E30" s="57" t="s">
        <v>544</v>
      </c>
      <c r="F30" s="58">
        <v>90000</v>
      </c>
      <c r="G30" s="49"/>
      <c r="H30" s="51">
        <v>1</v>
      </c>
      <c r="I30" s="505">
        <f t="shared" si="7"/>
        <v>0</v>
      </c>
      <c r="J30" s="47"/>
      <c r="K30" s="142"/>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143"/>
      <c r="BG30" s="47"/>
      <c r="BH30" s="509"/>
      <c r="BI30" s="505">
        <f t="shared" si="6"/>
        <v>0</v>
      </c>
      <c r="BJ30" s="47"/>
      <c r="BK30" s="142">
        <f>SUMIFS(Imput[[Importe Neto]:[Importe Neto]],Imput[[C. Imp.]:[C. Imp.]],'Indirect Costs'!$C30,Imput[[PERIODO Imp.]:[PERIODO Imp.]],'Indirect Costs'!BK$8)</f>
        <v>0</v>
      </c>
      <c r="BL30" s="48">
        <f>SUMIFS(Imput[[Importe Neto]:[Importe Neto]],Imput[[C. Imp.]:[C. Imp.]],'Indirect Costs'!$C30,Imput[[PERIODO Imp.]:[PERIODO Imp.]],'Indirect Costs'!BL$8)</f>
        <v>0</v>
      </c>
      <c r="BM30" s="48">
        <f>SUMIFS(Imput[[Importe Neto]:[Importe Neto]],Imput[[C. Imp.]:[C. Imp.]],'Indirect Costs'!$C30,Imput[[PERIODO Imp.]:[PERIODO Imp.]],'Indirect Costs'!BM$8)</f>
        <v>0</v>
      </c>
      <c r="BN30" s="48">
        <f>SUMIFS(Imput[[Importe Neto]:[Importe Neto]],Imput[[C. Imp.]:[C. Imp.]],'Indirect Costs'!$C30,Imput[[PERIODO Imp.]:[PERIODO Imp.]],'Indirect Costs'!BN$8)</f>
        <v>0</v>
      </c>
      <c r="BO30" s="48">
        <f>SUMIFS(Imput[[Importe Neto]:[Importe Neto]],Imput[[C. Imp.]:[C. Imp.]],'Indirect Costs'!$C30,Imput[[PERIODO Imp.]:[PERIODO Imp.]],'Indirect Costs'!BO$8)</f>
        <v>0</v>
      </c>
      <c r="BP30" s="48">
        <f>SUMIFS(Imput[[Importe Neto]:[Importe Neto]],Imput[[C. Imp.]:[C. Imp.]],'Indirect Costs'!$C30,Imput[[PERIODO Imp.]:[PERIODO Imp.]],'Indirect Costs'!BP$8)</f>
        <v>0</v>
      </c>
      <c r="BQ30" s="48">
        <f>SUMIFS(Imput[[Importe Neto]:[Importe Neto]],Imput[[C. Imp.]:[C. Imp.]],'Indirect Costs'!$C30,Imput[[PERIODO Imp.]:[PERIODO Imp.]],'Indirect Costs'!BQ$8)</f>
        <v>0</v>
      </c>
      <c r="BR30" s="48">
        <f>SUMIFS(Imput[[Importe Neto]:[Importe Neto]],Imput[[C. Imp.]:[C. Imp.]],'Indirect Costs'!$C30,Imput[[PERIODO Imp.]:[PERIODO Imp.]],'Indirect Costs'!BR$8)</f>
        <v>0</v>
      </c>
      <c r="BS30" s="48">
        <f>SUMIFS(Imput[[Importe Neto]:[Importe Neto]],Imput[[C. Imp.]:[C. Imp.]],'Indirect Costs'!$C30,Imput[[PERIODO Imp.]:[PERIODO Imp.]],'Indirect Costs'!BS$8)</f>
        <v>0</v>
      </c>
      <c r="BT30" s="48">
        <f>SUMIFS(Imput[[Importe Neto]:[Importe Neto]],Imput[[C. Imp.]:[C. Imp.]],'Indirect Costs'!$C30,Imput[[PERIODO Imp.]:[PERIODO Imp.]],'Indirect Costs'!BT$8)</f>
        <v>0</v>
      </c>
      <c r="BU30" s="48">
        <f>SUMIFS(Imput[[Importe Neto]:[Importe Neto]],Imput[[C. Imp.]:[C. Imp.]],'Indirect Costs'!$C30,Imput[[PERIODO Imp.]:[PERIODO Imp.]],'Indirect Costs'!BU$8)</f>
        <v>0</v>
      </c>
      <c r="BV30" s="48">
        <f>SUMIFS(Imput[[Importe Neto]:[Importe Neto]],Imput[[C. Imp.]:[C. Imp.]],'Indirect Costs'!$C30,Imput[[PERIODO Imp.]:[PERIODO Imp.]],'Indirect Costs'!BV$8)</f>
        <v>0</v>
      </c>
      <c r="BW30" s="48">
        <f>SUMIFS(Imput[[Importe Neto]:[Importe Neto]],Imput[[C. Imp.]:[C. Imp.]],'Indirect Costs'!$C30,Imput[[PERIODO Imp.]:[PERIODO Imp.]],'Indirect Costs'!BW$8)</f>
        <v>0</v>
      </c>
      <c r="BX30" s="48">
        <f>SUMIFS(Imput[[Importe Neto]:[Importe Neto]],Imput[[C. Imp.]:[C. Imp.]],'Indirect Costs'!$C30,Imput[[PERIODO Imp.]:[PERIODO Imp.]],'Indirect Costs'!BX$8)</f>
        <v>0</v>
      </c>
      <c r="BY30" s="48">
        <f>SUMIFS(Imput[[Importe Neto]:[Importe Neto]],Imput[[C. Imp.]:[C. Imp.]],'Indirect Costs'!$C30,Imput[[PERIODO Imp.]:[PERIODO Imp.]],'Indirect Costs'!BY$8)</f>
        <v>0</v>
      </c>
      <c r="BZ30" s="48">
        <f>SUMIFS(Imput[[Importe Neto]:[Importe Neto]],Imput[[C. Imp.]:[C. Imp.]],'Indirect Costs'!$C30,Imput[[PERIODO Imp.]:[PERIODO Imp.]],'Indirect Costs'!BZ$8)</f>
        <v>0</v>
      </c>
      <c r="CA30" s="48">
        <f>SUMIFS(Imput[[Importe Neto]:[Importe Neto]],Imput[[C. Imp.]:[C. Imp.]],'Indirect Costs'!$C30,Imput[[PERIODO Imp.]:[PERIODO Imp.]],'Indirect Costs'!CA$8)</f>
        <v>0</v>
      </c>
      <c r="CB30" s="48">
        <f>SUMIFS(Imput[[Importe Neto]:[Importe Neto]],Imput[[C. Imp.]:[C. Imp.]],'Indirect Costs'!$C30,Imput[[PERIODO Imp.]:[PERIODO Imp.]],'Indirect Costs'!CB$8)</f>
        <v>0</v>
      </c>
      <c r="CC30" s="48">
        <f>SUMIFS(Imput[[Importe Neto]:[Importe Neto]],Imput[[C. Imp.]:[C. Imp.]],'Indirect Costs'!$C30,Imput[[PERIODO Imp.]:[PERIODO Imp.]],'Indirect Costs'!CC$8)</f>
        <v>0</v>
      </c>
      <c r="CD30" s="48">
        <f>SUMIFS(Imput[[Importe Neto]:[Importe Neto]],Imput[[C. Imp.]:[C. Imp.]],'Indirect Costs'!$C30,Imput[[PERIODO Imp.]:[PERIODO Imp.]],'Indirect Costs'!CD$8)</f>
        <v>0</v>
      </c>
      <c r="CE30" s="48">
        <f>SUMIFS(Imput[[Importe Neto]:[Importe Neto]],Imput[[C. Imp.]:[C. Imp.]],'Indirect Costs'!$C30,Imput[[PERIODO Imp.]:[PERIODO Imp.]],'Indirect Costs'!CE$8)</f>
        <v>0</v>
      </c>
      <c r="CF30" s="48">
        <f>SUMIFS(Imput[[Importe Neto]:[Importe Neto]],Imput[[C. Imp.]:[C. Imp.]],'Indirect Costs'!$C30,Imput[[PERIODO Imp.]:[PERIODO Imp.]],'Indirect Costs'!CF$8)</f>
        <v>0</v>
      </c>
      <c r="CG30" s="48">
        <f>SUMIFS(Imput[[Importe Neto]:[Importe Neto]],Imput[[C. Imp.]:[C. Imp.]],'Indirect Costs'!$C30,Imput[[PERIODO Imp.]:[PERIODO Imp.]],'Indirect Costs'!CG$8)</f>
        <v>0</v>
      </c>
      <c r="CH30" s="48">
        <f>SUMIFS(Imput[[Importe Neto]:[Importe Neto]],Imput[[C. Imp.]:[C. Imp.]],'Indirect Costs'!$C30,Imput[[PERIODO Imp.]:[PERIODO Imp.]],'Indirect Costs'!CH$8)</f>
        <v>0</v>
      </c>
      <c r="CI30" s="48">
        <f>SUMIFS(Imput[[Importe Neto]:[Importe Neto]],Imput[[C. Imp.]:[C. Imp.]],'Indirect Costs'!$C30,Imput[[PERIODO Imp.]:[PERIODO Imp.]],'Indirect Costs'!CI$8)</f>
        <v>0</v>
      </c>
      <c r="CJ30" s="48">
        <f>SUMIFS(Imput[[Importe Neto]:[Importe Neto]],Imput[[C. Imp.]:[C. Imp.]],'Indirect Costs'!$C30,Imput[[PERIODO Imp.]:[PERIODO Imp.]],'Indirect Costs'!CJ$8)</f>
        <v>0</v>
      </c>
      <c r="CK30" s="48">
        <f>SUMIFS(Imput[[Importe Neto]:[Importe Neto]],Imput[[C. Imp.]:[C. Imp.]],'Indirect Costs'!$C30,Imput[[PERIODO Imp.]:[PERIODO Imp.]],'Indirect Costs'!CK$8)</f>
        <v>0</v>
      </c>
      <c r="CL30" s="48">
        <f>SUMIFS(Imput[[Importe Neto]:[Importe Neto]],Imput[[C. Imp.]:[C. Imp.]],'Indirect Costs'!$C30,Imput[[PERIODO Imp.]:[PERIODO Imp.]],'Indirect Costs'!CL$8)</f>
        <v>0</v>
      </c>
      <c r="CM30" s="48">
        <f>SUMIFS(Imput[[Importe Neto]:[Importe Neto]],Imput[[C. Imp.]:[C. Imp.]],'Indirect Costs'!$C30,Imput[[PERIODO Imp.]:[PERIODO Imp.]],'Indirect Costs'!CM$8)</f>
        <v>0</v>
      </c>
      <c r="CN30" s="48">
        <f>SUMIFS(Imput[[Importe Neto]:[Importe Neto]],Imput[[C. Imp.]:[C. Imp.]],'Indirect Costs'!$C30,Imput[[PERIODO Imp.]:[PERIODO Imp.]],'Indirect Costs'!CN$8)</f>
        <v>0</v>
      </c>
      <c r="CO30" s="48">
        <f>SUMIFS(Imput[[Importe Neto]:[Importe Neto]],Imput[[C. Imp.]:[C. Imp.]],'Indirect Costs'!$C30,Imput[[PERIODO Imp.]:[PERIODO Imp.]],'Indirect Costs'!CO$8)</f>
        <v>0</v>
      </c>
      <c r="CP30" s="48">
        <f>SUMIFS(Imput[[Importe Neto]:[Importe Neto]],Imput[[C. Imp.]:[C. Imp.]],'Indirect Costs'!$C30,Imput[[PERIODO Imp.]:[PERIODO Imp.]],'Indirect Costs'!CP$8)</f>
        <v>0</v>
      </c>
      <c r="CQ30" s="48">
        <f>SUMIFS(Imput[[Importe Neto]:[Importe Neto]],Imput[[C. Imp.]:[C. Imp.]],'Indirect Costs'!$C30,Imput[[PERIODO Imp.]:[PERIODO Imp.]],'Indirect Costs'!CQ$8)</f>
        <v>0</v>
      </c>
      <c r="CR30" s="48">
        <f>SUMIFS(Imput[[Importe Neto]:[Importe Neto]],Imput[[C. Imp.]:[C. Imp.]],'Indirect Costs'!$C30,Imput[[PERIODO Imp.]:[PERIODO Imp.]],'Indirect Costs'!CR$8)</f>
        <v>0</v>
      </c>
      <c r="CS30" s="48">
        <f>SUMIFS(Imput[[Importe Neto]:[Importe Neto]],Imput[[C. Imp.]:[C. Imp.]],'Indirect Costs'!$C30,Imput[[PERIODO Imp.]:[PERIODO Imp.]],'Indirect Costs'!CS$8)</f>
        <v>0</v>
      </c>
      <c r="CT30" s="48">
        <f>SUMIFS(Imput[[Importe Neto]:[Importe Neto]],Imput[[C. Imp.]:[C. Imp.]],'Indirect Costs'!$C30,Imput[[PERIODO Imp.]:[PERIODO Imp.]],'Indirect Costs'!CT$8)</f>
        <v>0</v>
      </c>
      <c r="CU30" s="48">
        <f>SUMIFS(Imput[[Importe Neto]:[Importe Neto]],Imput[[C. Imp.]:[C. Imp.]],'Indirect Costs'!$C30,Imput[[PERIODO Imp.]:[PERIODO Imp.]],'Indirect Costs'!CU$8)</f>
        <v>0</v>
      </c>
      <c r="CV30" s="48">
        <f>SUMIFS(Imput[[Importe Neto]:[Importe Neto]],Imput[[C. Imp.]:[C. Imp.]],'Indirect Costs'!$C30,Imput[[PERIODO Imp.]:[PERIODO Imp.]],'Indirect Costs'!CV$8)</f>
        <v>0</v>
      </c>
      <c r="CW30" s="48">
        <f>SUMIFS(Imput[[Importe Neto]:[Importe Neto]],Imput[[C. Imp.]:[C. Imp.]],'Indirect Costs'!$C30,Imput[[PERIODO Imp.]:[PERIODO Imp.]],'Indirect Costs'!CW$8)</f>
        <v>0</v>
      </c>
      <c r="CX30" s="48">
        <f>SUMIFS(Imput[[Importe Neto]:[Importe Neto]],Imput[[C. Imp.]:[C. Imp.]],'Indirect Costs'!$C30,Imput[[PERIODO Imp.]:[PERIODO Imp.]],'Indirect Costs'!CX$8)</f>
        <v>0</v>
      </c>
      <c r="CY30" s="48">
        <f>SUMIFS(Imput[[Importe Neto]:[Importe Neto]],Imput[[C. Imp.]:[C. Imp.]],'Indirect Costs'!$C30,Imput[[PERIODO Imp.]:[PERIODO Imp.]],'Indirect Costs'!CY$8)</f>
        <v>0</v>
      </c>
      <c r="CZ30" s="48">
        <f>SUMIFS(Imput[[Importe Neto]:[Importe Neto]],Imput[[C. Imp.]:[C. Imp.]],'Indirect Costs'!$C30,Imput[[PERIODO Imp.]:[PERIODO Imp.]],'Indirect Costs'!CZ$8)</f>
        <v>0</v>
      </c>
      <c r="DA30" s="48">
        <f>SUMIFS(Imput[[Importe Neto]:[Importe Neto]],Imput[[C. Imp.]:[C. Imp.]],'Indirect Costs'!$C30,Imput[[PERIODO Imp.]:[PERIODO Imp.]],'Indirect Costs'!DA$8)</f>
        <v>0</v>
      </c>
      <c r="DB30" s="48">
        <f>SUMIFS(Imput[[Importe Neto]:[Importe Neto]],Imput[[C. Imp.]:[C. Imp.]],'Indirect Costs'!$C30,Imput[[PERIODO Imp.]:[PERIODO Imp.]],'Indirect Costs'!DB$8)</f>
        <v>0</v>
      </c>
      <c r="DC30" s="48">
        <f>SUMIFS(Imput[[Importe Neto]:[Importe Neto]],Imput[[C. Imp.]:[C. Imp.]],'Indirect Costs'!$C30,Imput[[PERIODO Imp.]:[PERIODO Imp.]],'Indirect Costs'!DC$8)</f>
        <v>0</v>
      </c>
      <c r="DD30" s="48">
        <f>SUMIFS(Imput[[Importe Neto]:[Importe Neto]],Imput[[C. Imp.]:[C. Imp.]],'Indirect Costs'!$C30,Imput[[PERIODO Imp.]:[PERIODO Imp.]],'Indirect Costs'!DD$8)</f>
        <v>0</v>
      </c>
      <c r="DE30" s="48">
        <f>SUMIFS(Imput[[Importe Neto]:[Importe Neto]],Imput[[C. Imp.]:[C. Imp.]],'Indirect Costs'!$C30,Imput[[PERIODO Imp.]:[PERIODO Imp.]],'Indirect Costs'!DE$8)</f>
        <v>0</v>
      </c>
      <c r="DF30" s="143">
        <f>SUMIFS(Imput[[Importe Neto]:[Importe Neto]],Imput[[C. Imp.]:[C. Imp.]],'Indirect Costs'!$C30,Imput[[PERIODO Imp.]:[PERIODO Imp.]],'Indirect Costs'!DF$8)</f>
        <v>0</v>
      </c>
    </row>
    <row r="31" spans="1:110" outlineLevel="1" x14ac:dyDescent="0.25">
      <c r="A31" s="28" t="str">
        <f t="shared" si="3"/>
        <v/>
      </c>
      <c r="B31" s="50">
        <v>7</v>
      </c>
      <c r="C31" s="57" t="s">
        <v>1783</v>
      </c>
      <c r="D31" s="56" t="s">
        <v>545</v>
      </c>
      <c r="E31" s="57" t="s">
        <v>545</v>
      </c>
      <c r="F31" s="58">
        <v>30000</v>
      </c>
      <c r="G31" s="49"/>
      <c r="H31" s="51">
        <v>1</v>
      </c>
      <c r="I31" s="505">
        <f t="shared" si="7"/>
        <v>0</v>
      </c>
      <c r="J31" s="47"/>
      <c r="K31" s="142"/>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143"/>
      <c r="BG31" s="47"/>
      <c r="BH31" s="509"/>
      <c r="BI31" s="505">
        <f t="shared" si="6"/>
        <v>0</v>
      </c>
      <c r="BJ31" s="47"/>
      <c r="BK31" s="142">
        <f>SUMIFS(Imput[[Importe Neto]:[Importe Neto]],Imput[[C. Imp.]:[C. Imp.]],'Indirect Costs'!$C31,Imput[[PERIODO Imp.]:[PERIODO Imp.]],'Indirect Costs'!BK$8)</f>
        <v>0</v>
      </c>
      <c r="BL31" s="48">
        <f>SUMIFS(Imput[[Importe Neto]:[Importe Neto]],Imput[[C. Imp.]:[C. Imp.]],'Indirect Costs'!$C31,Imput[[PERIODO Imp.]:[PERIODO Imp.]],'Indirect Costs'!BL$8)</f>
        <v>0</v>
      </c>
      <c r="BM31" s="48">
        <f>SUMIFS(Imput[[Importe Neto]:[Importe Neto]],Imput[[C. Imp.]:[C. Imp.]],'Indirect Costs'!$C31,Imput[[PERIODO Imp.]:[PERIODO Imp.]],'Indirect Costs'!BM$8)</f>
        <v>0</v>
      </c>
      <c r="BN31" s="48">
        <f>SUMIFS(Imput[[Importe Neto]:[Importe Neto]],Imput[[C. Imp.]:[C. Imp.]],'Indirect Costs'!$C31,Imput[[PERIODO Imp.]:[PERIODO Imp.]],'Indirect Costs'!BN$8)</f>
        <v>0</v>
      </c>
      <c r="BO31" s="48">
        <f>SUMIFS(Imput[[Importe Neto]:[Importe Neto]],Imput[[C. Imp.]:[C. Imp.]],'Indirect Costs'!$C31,Imput[[PERIODO Imp.]:[PERIODO Imp.]],'Indirect Costs'!BO$8)</f>
        <v>0</v>
      </c>
      <c r="BP31" s="48">
        <f>SUMIFS(Imput[[Importe Neto]:[Importe Neto]],Imput[[C. Imp.]:[C. Imp.]],'Indirect Costs'!$C31,Imput[[PERIODO Imp.]:[PERIODO Imp.]],'Indirect Costs'!BP$8)</f>
        <v>0</v>
      </c>
      <c r="BQ31" s="48">
        <f>SUMIFS(Imput[[Importe Neto]:[Importe Neto]],Imput[[C. Imp.]:[C. Imp.]],'Indirect Costs'!$C31,Imput[[PERIODO Imp.]:[PERIODO Imp.]],'Indirect Costs'!BQ$8)</f>
        <v>0</v>
      </c>
      <c r="BR31" s="48">
        <f>SUMIFS(Imput[[Importe Neto]:[Importe Neto]],Imput[[C. Imp.]:[C. Imp.]],'Indirect Costs'!$C31,Imput[[PERIODO Imp.]:[PERIODO Imp.]],'Indirect Costs'!BR$8)</f>
        <v>0</v>
      </c>
      <c r="BS31" s="48">
        <f>SUMIFS(Imput[[Importe Neto]:[Importe Neto]],Imput[[C. Imp.]:[C. Imp.]],'Indirect Costs'!$C31,Imput[[PERIODO Imp.]:[PERIODO Imp.]],'Indirect Costs'!BS$8)</f>
        <v>0</v>
      </c>
      <c r="BT31" s="48">
        <f>SUMIFS(Imput[[Importe Neto]:[Importe Neto]],Imput[[C. Imp.]:[C. Imp.]],'Indirect Costs'!$C31,Imput[[PERIODO Imp.]:[PERIODO Imp.]],'Indirect Costs'!BT$8)</f>
        <v>0</v>
      </c>
      <c r="BU31" s="48">
        <f>SUMIFS(Imput[[Importe Neto]:[Importe Neto]],Imput[[C. Imp.]:[C. Imp.]],'Indirect Costs'!$C31,Imput[[PERIODO Imp.]:[PERIODO Imp.]],'Indirect Costs'!BU$8)</f>
        <v>0</v>
      </c>
      <c r="BV31" s="48">
        <f>SUMIFS(Imput[[Importe Neto]:[Importe Neto]],Imput[[C. Imp.]:[C. Imp.]],'Indirect Costs'!$C31,Imput[[PERIODO Imp.]:[PERIODO Imp.]],'Indirect Costs'!BV$8)</f>
        <v>0</v>
      </c>
      <c r="BW31" s="48">
        <f>SUMIFS(Imput[[Importe Neto]:[Importe Neto]],Imput[[C. Imp.]:[C. Imp.]],'Indirect Costs'!$C31,Imput[[PERIODO Imp.]:[PERIODO Imp.]],'Indirect Costs'!BW$8)</f>
        <v>0</v>
      </c>
      <c r="BX31" s="48">
        <f>SUMIFS(Imput[[Importe Neto]:[Importe Neto]],Imput[[C. Imp.]:[C. Imp.]],'Indirect Costs'!$C31,Imput[[PERIODO Imp.]:[PERIODO Imp.]],'Indirect Costs'!BX$8)</f>
        <v>0</v>
      </c>
      <c r="BY31" s="48">
        <f>SUMIFS(Imput[[Importe Neto]:[Importe Neto]],Imput[[C. Imp.]:[C. Imp.]],'Indirect Costs'!$C31,Imput[[PERIODO Imp.]:[PERIODO Imp.]],'Indirect Costs'!BY$8)</f>
        <v>0</v>
      </c>
      <c r="BZ31" s="48">
        <f>SUMIFS(Imput[[Importe Neto]:[Importe Neto]],Imput[[C. Imp.]:[C. Imp.]],'Indirect Costs'!$C31,Imput[[PERIODO Imp.]:[PERIODO Imp.]],'Indirect Costs'!BZ$8)</f>
        <v>0</v>
      </c>
      <c r="CA31" s="48">
        <f>SUMIFS(Imput[[Importe Neto]:[Importe Neto]],Imput[[C. Imp.]:[C. Imp.]],'Indirect Costs'!$C31,Imput[[PERIODO Imp.]:[PERIODO Imp.]],'Indirect Costs'!CA$8)</f>
        <v>0</v>
      </c>
      <c r="CB31" s="48">
        <f>SUMIFS(Imput[[Importe Neto]:[Importe Neto]],Imput[[C. Imp.]:[C. Imp.]],'Indirect Costs'!$C31,Imput[[PERIODO Imp.]:[PERIODO Imp.]],'Indirect Costs'!CB$8)</f>
        <v>0</v>
      </c>
      <c r="CC31" s="48">
        <f>SUMIFS(Imput[[Importe Neto]:[Importe Neto]],Imput[[C. Imp.]:[C. Imp.]],'Indirect Costs'!$C31,Imput[[PERIODO Imp.]:[PERIODO Imp.]],'Indirect Costs'!CC$8)</f>
        <v>0</v>
      </c>
      <c r="CD31" s="48">
        <f>SUMIFS(Imput[[Importe Neto]:[Importe Neto]],Imput[[C. Imp.]:[C. Imp.]],'Indirect Costs'!$C31,Imput[[PERIODO Imp.]:[PERIODO Imp.]],'Indirect Costs'!CD$8)</f>
        <v>0</v>
      </c>
      <c r="CE31" s="48">
        <f>SUMIFS(Imput[[Importe Neto]:[Importe Neto]],Imput[[C. Imp.]:[C. Imp.]],'Indirect Costs'!$C31,Imput[[PERIODO Imp.]:[PERIODO Imp.]],'Indirect Costs'!CE$8)</f>
        <v>0</v>
      </c>
      <c r="CF31" s="48">
        <f>SUMIFS(Imput[[Importe Neto]:[Importe Neto]],Imput[[C. Imp.]:[C. Imp.]],'Indirect Costs'!$C31,Imput[[PERIODO Imp.]:[PERIODO Imp.]],'Indirect Costs'!CF$8)</f>
        <v>0</v>
      </c>
      <c r="CG31" s="48">
        <f>SUMIFS(Imput[[Importe Neto]:[Importe Neto]],Imput[[C. Imp.]:[C. Imp.]],'Indirect Costs'!$C31,Imput[[PERIODO Imp.]:[PERIODO Imp.]],'Indirect Costs'!CG$8)</f>
        <v>0</v>
      </c>
      <c r="CH31" s="48">
        <f>SUMIFS(Imput[[Importe Neto]:[Importe Neto]],Imput[[C. Imp.]:[C. Imp.]],'Indirect Costs'!$C31,Imput[[PERIODO Imp.]:[PERIODO Imp.]],'Indirect Costs'!CH$8)</f>
        <v>0</v>
      </c>
      <c r="CI31" s="48">
        <f>SUMIFS(Imput[[Importe Neto]:[Importe Neto]],Imput[[C. Imp.]:[C. Imp.]],'Indirect Costs'!$C31,Imput[[PERIODO Imp.]:[PERIODO Imp.]],'Indirect Costs'!CI$8)</f>
        <v>0</v>
      </c>
      <c r="CJ31" s="48">
        <f>SUMIFS(Imput[[Importe Neto]:[Importe Neto]],Imput[[C. Imp.]:[C. Imp.]],'Indirect Costs'!$C31,Imput[[PERIODO Imp.]:[PERIODO Imp.]],'Indirect Costs'!CJ$8)</f>
        <v>0</v>
      </c>
      <c r="CK31" s="48">
        <f>SUMIFS(Imput[[Importe Neto]:[Importe Neto]],Imput[[C. Imp.]:[C. Imp.]],'Indirect Costs'!$C31,Imput[[PERIODO Imp.]:[PERIODO Imp.]],'Indirect Costs'!CK$8)</f>
        <v>0</v>
      </c>
      <c r="CL31" s="48">
        <f>SUMIFS(Imput[[Importe Neto]:[Importe Neto]],Imput[[C. Imp.]:[C. Imp.]],'Indirect Costs'!$C31,Imput[[PERIODO Imp.]:[PERIODO Imp.]],'Indirect Costs'!CL$8)</f>
        <v>0</v>
      </c>
      <c r="CM31" s="48">
        <f>SUMIFS(Imput[[Importe Neto]:[Importe Neto]],Imput[[C. Imp.]:[C. Imp.]],'Indirect Costs'!$C31,Imput[[PERIODO Imp.]:[PERIODO Imp.]],'Indirect Costs'!CM$8)</f>
        <v>0</v>
      </c>
      <c r="CN31" s="48">
        <f>SUMIFS(Imput[[Importe Neto]:[Importe Neto]],Imput[[C. Imp.]:[C. Imp.]],'Indirect Costs'!$C31,Imput[[PERIODO Imp.]:[PERIODO Imp.]],'Indirect Costs'!CN$8)</f>
        <v>0</v>
      </c>
      <c r="CO31" s="48">
        <f>SUMIFS(Imput[[Importe Neto]:[Importe Neto]],Imput[[C. Imp.]:[C. Imp.]],'Indirect Costs'!$C31,Imput[[PERIODO Imp.]:[PERIODO Imp.]],'Indirect Costs'!CO$8)</f>
        <v>0</v>
      </c>
      <c r="CP31" s="48">
        <f>SUMIFS(Imput[[Importe Neto]:[Importe Neto]],Imput[[C. Imp.]:[C. Imp.]],'Indirect Costs'!$C31,Imput[[PERIODO Imp.]:[PERIODO Imp.]],'Indirect Costs'!CP$8)</f>
        <v>0</v>
      </c>
      <c r="CQ31" s="48">
        <f>SUMIFS(Imput[[Importe Neto]:[Importe Neto]],Imput[[C. Imp.]:[C. Imp.]],'Indirect Costs'!$C31,Imput[[PERIODO Imp.]:[PERIODO Imp.]],'Indirect Costs'!CQ$8)</f>
        <v>0</v>
      </c>
      <c r="CR31" s="48">
        <f>SUMIFS(Imput[[Importe Neto]:[Importe Neto]],Imput[[C. Imp.]:[C. Imp.]],'Indirect Costs'!$C31,Imput[[PERIODO Imp.]:[PERIODO Imp.]],'Indirect Costs'!CR$8)</f>
        <v>0</v>
      </c>
      <c r="CS31" s="48">
        <f>SUMIFS(Imput[[Importe Neto]:[Importe Neto]],Imput[[C. Imp.]:[C. Imp.]],'Indirect Costs'!$C31,Imput[[PERIODO Imp.]:[PERIODO Imp.]],'Indirect Costs'!CS$8)</f>
        <v>0</v>
      </c>
      <c r="CT31" s="48">
        <f>SUMIFS(Imput[[Importe Neto]:[Importe Neto]],Imput[[C. Imp.]:[C. Imp.]],'Indirect Costs'!$C31,Imput[[PERIODO Imp.]:[PERIODO Imp.]],'Indirect Costs'!CT$8)</f>
        <v>0</v>
      </c>
      <c r="CU31" s="48">
        <f>SUMIFS(Imput[[Importe Neto]:[Importe Neto]],Imput[[C. Imp.]:[C. Imp.]],'Indirect Costs'!$C31,Imput[[PERIODO Imp.]:[PERIODO Imp.]],'Indirect Costs'!CU$8)</f>
        <v>0</v>
      </c>
      <c r="CV31" s="48">
        <f>SUMIFS(Imput[[Importe Neto]:[Importe Neto]],Imput[[C. Imp.]:[C. Imp.]],'Indirect Costs'!$C31,Imput[[PERIODO Imp.]:[PERIODO Imp.]],'Indirect Costs'!CV$8)</f>
        <v>0</v>
      </c>
      <c r="CW31" s="48">
        <f>SUMIFS(Imput[[Importe Neto]:[Importe Neto]],Imput[[C. Imp.]:[C. Imp.]],'Indirect Costs'!$C31,Imput[[PERIODO Imp.]:[PERIODO Imp.]],'Indirect Costs'!CW$8)</f>
        <v>0</v>
      </c>
      <c r="CX31" s="48">
        <f>SUMIFS(Imput[[Importe Neto]:[Importe Neto]],Imput[[C. Imp.]:[C. Imp.]],'Indirect Costs'!$C31,Imput[[PERIODO Imp.]:[PERIODO Imp.]],'Indirect Costs'!CX$8)</f>
        <v>0</v>
      </c>
      <c r="CY31" s="48">
        <f>SUMIFS(Imput[[Importe Neto]:[Importe Neto]],Imput[[C. Imp.]:[C. Imp.]],'Indirect Costs'!$C31,Imput[[PERIODO Imp.]:[PERIODO Imp.]],'Indirect Costs'!CY$8)</f>
        <v>0</v>
      </c>
      <c r="CZ31" s="48">
        <f>SUMIFS(Imput[[Importe Neto]:[Importe Neto]],Imput[[C. Imp.]:[C. Imp.]],'Indirect Costs'!$C31,Imput[[PERIODO Imp.]:[PERIODO Imp.]],'Indirect Costs'!CZ$8)</f>
        <v>0</v>
      </c>
      <c r="DA31" s="48">
        <f>SUMIFS(Imput[[Importe Neto]:[Importe Neto]],Imput[[C. Imp.]:[C. Imp.]],'Indirect Costs'!$C31,Imput[[PERIODO Imp.]:[PERIODO Imp.]],'Indirect Costs'!DA$8)</f>
        <v>0</v>
      </c>
      <c r="DB31" s="48">
        <f>SUMIFS(Imput[[Importe Neto]:[Importe Neto]],Imput[[C. Imp.]:[C. Imp.]],'Indirect Costs'!$C31,Imput[[PERIODO Imp.]:[PERIODO Imp.]],'Indirect Costs'!DB$8)</f>
        <v>0</v>
      </c>
      <c r="DC31" s="48">
        <f>SUMIFS(Imput[[Importe Neto]:[Importe Neto]],Imput[[C. Imp.]:[C. Imp.]],'Indirect Costs'!$C31,Imput[[PERIODO Imp.]:[PERIODO Imp.]],'Indirect Costs'!DC$8)</f>
        <v>0</v>
      </c>
      <c r="DD31" s="48">
        <f>SUMIFS(Imput[[Importe Neto]:[Importe Neto]],Imput[[C. Imp.]:[C. Imp.]],'Indirect Costs'!$C31,Imput[[PERIODO Imp.]:[PERIODO Imp.]],'Indirect Costs'!DD$8)</f>
        <v>0</v>
      </c>
      <c r="DE31" s="48">
        <f>SUMIFS(Imput[[Importe Neto]:[Importe Neto]],Imput[[C. Imp.]:[C. Imp.]],'Indirect Costs'!$C31,Imput[[PERIODO Imp.]:[PERIODO Imp.]],'Indirect Costs'!DE$8)</f>
        <v>0</v>
      </c>
      <c r="DF31" s="143">
        <f>SUMIFS(Imput[[Importe Neto]:[Importe Neto]],Imput[[C. Imp.]:[C. Imp.]],'Indirect Costs'!$C31,Imput[[PERIODO Imp.]:[PERIODO Imp.]],'Indirect Costs'!DF$8)</f>
        <v>0</v>
      </c>
    </row>
    <row r="32" spans="1:110" outlineLevel="1" x14ac:dyDescent="0.25">
      <c r="A32" s="28" t="str">
        <f t="shared" si="3"/>
        <v>Imprimir</v>
      </c>
      <c r="B32" s="50">
        <v>8</v>
      </c>
      <c r="C32" s="57" t="s">
        <v>1784</v>
      </c>
      <c r="D32" s="56" t="s">
        <v>546</v>
      </c>
      <c r="E32" s="57" t="s">
        <v>3304</v>
      </c>
      <c r="F32" s="58">
        <f>15000*1.3</f>
        <v>19500</v>
      </c>
      <c r="G32" s="49">
        <v>1</v>
      </c>
      <c r="H32" s="51">
        <v>1</v>
      </c>
      <c r="I32" s="505">
        <f t="shared" si="7"/>
        <v>19500</v>
      </c>
      <c r="J32" s="47"/>
      <c r="K32" s="142"/>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143"/>
      <c r="BG32" s="47"/>
      <c r="BH32" s="509"/>
      <c r="BI32" s="505">
        <f t="shared" si="6"/>
        <v>79380</v>
      </c>
      <c r="BJ32" s="47"/>
      <c r="BK32" s="142">
        <f>SUMIFS(Imput[[Importe Neto]:[Importe Neto]],Imput[[C. Imp.]:[C. Imp.]],'Indirect Costs'!$C32,Imput[[PERIODO Imp.]:[PERIODO Imp.]],'Indirect Costs'!BK$8)</f>
        <v>0</v>
      </c>
      <c r="BL32" s="48">
        <f>SUMIFS(Imput[[Importe Neto]:[Importe Neto]],Imput[[C. Imp.]:[C. Imp.]],'Indirect Costs'!$C32,Imput[[PERIODO Imp.]:[PERIODO Imp.]],'Indirect Costs'!BL$8)</f>
        <v>0</v>
      </c>
      <c r="BM32" s="48">
        <f>SUMIFS(Imput[[Importe Neto]:[Importe Neto]],Imput[[C. Imp.]:[C. Imp.]],'Indirect Costs'!$C32,Imput[[PERIODO Imp.]:[PERIODO Imp.]],'Indirect Costs'!BM$8)</f>
        <v>6480</v>
      </c>
      <c r="BN32" s="48">
        <f>SUMIFS(Imput[[Importe Neto]:[Importe Neto]],Imput[[C. Imp.]:[C. Imp.]],'Indirect Costs'!$C32,Imput[[PERIODO Imp.]:[PERIODO Imp.]],'Indirect Costs'!BN$8)</f>
        <v>6480</v>
      </c>
      <c r="BO32" s="48">
        <f>SUMIFS(Imput[[Importe Neto]:[Importe Neto]],Imput[[C. Imp.]:[C. Imp.]],'Indirect Costs'!$C32,Imput[[PERIODO Imp.]:[PERIODO Imp.]],'Indirect Costs'!BO$8)</f>
        <v>6480</v>
      </c>
      <c r="BP32" s="48">
        <f>SUMIFS(Imput[[Importe Neto]:[Importe Neto]],Imput[[C. Imp.]:[C. Imp.]],'Indirect Costs'!$C32,Imput[[PERIODO Imp.]:[PERIODO Imp.]],'Indirect Costs'!BP$8)</f>
        <v>6480</v>
      </c>
      <c r="BQ32" s="48">
        <f>SUMIFS(Imput[[Importe Neto]:[Importe Neto]],Imput[[C. Imp.]:[C. Imp.]],'Indirect Costs'!$C32,Imput[[PERIODO Imp.]:[PERIODO Imp.]],'Indirect Costs'!BQ$8)</f>
        <v>6480</v>
      </c>
      <c r="BR32" s="48">
        <f>SUMIFS(Imput[[Importe Neto]:[Importe Neto]],Imput[[C. Imp.]:[C. Imp.]],'Indirect Costs'!$C32,Imput[[PERIODO Imp.]:[PERIODO Imp.]],'Indirect Costs'!BR$8)</f>
        <v>6480</v>
      </c>
      <c r="BS32" s="48">
        <f>SUMIFS(Imput[[Importe Neto]:[Importe Neto]],Imput[[C. Imp.]:[C. Imp.]],'Indirect Costs'!$C32,Imput[[PERIODO Imp.]:[PERIODO Imp.]],'Indirect Costs'!BS$8)</f>
        <v>0</v>
      </c>
      <c r="BT32" s="48">
        <f>SUMIFS(Imput[[Importe Neto]:[Importe Neto]],Imput[[C. Imp.]:[C. Imp.]],'Indirect Costs'!$C32,Imput[[PERIODO Imp.]:[PERIODO Imp.]],'Indirect Costs'!BT$8)</f>
        <v>0</v>
      </c>
      <c r="BU32" s="48">
        <f>SUMIFS(Imput[[Importe Neto]:[Importe Neto]],Imput[[C. Imp.]:[C. Imp.]],'Indirect Costs'!$C32,Imput[[PERIODO Imp.]:[PERIODO Imp.]],'Indirect Costs'!BU$8)</f>
        <v>8100</v>
      </c>
      <c r="BV32" s="48">
        <f>SUMIFS(Imput[[Importe Neto]:[Importe Neto]],Imput[[C. Imp.]:[C. Imp.]],'Indirect Costs'!$C32,Imput[[PERIODO Imp.]:[PERIODO Imp.]],'Indirect Costs'!BV$8)</f>
        <v>8100</v>
      </c>
      <c r="BW32" s="48">
        <f>SUMIFS(Imput[[Importe Neto]:[Importe Neto]],Imput[[C. Imp.]:[C. Imp.]],'Indirect Costs'!$C32,Imput[[PERIODO Imp.]:[PERIODO Imp.]],'Indirect Costs'!BW$8)</f>
        <v>8100</v>
      </c>
      <c r="BX32" s="48">
        <f>SUMIFS(Imput[[Importe Neto]:[Importe Neto]],Imput[[C. Imp.]:[C. Imp.]],'Indirect Costs'!$C32,Imput[[PERIODO Imp.]:[PERIODO Imp.]],'Indirect Costs'!BX$8)</f>
        <v>8100</v>
      </c>
      <c r="BY32" s="48">
        <f>SUMIFS(Imput[[Importe Neto]:[Importe Neto]],Imput[[C. Imp.]:[C. Imp.]],'Indirect Costs'!$C32,Imput[[PERIODO Imp.]:[PERIODO Imp.]],'Indirect Costs'!BY$8)</f>
        <v>8100</v>
      </c>
      <c r="BZ32" s="48">
        <f>SUMIFS(Imput[[Importe Neto]:[Importe Neto]],Imput[[C. Imp.]:[C. Imp.]],'Indirect Costs'!$C32,Imput[[PERIODO Imp.]:[PERIODO Imp.]],'Indirect Costs'!BZ$8)</f>
        <v>0</v>
      </c>
      <c r="CA32" s="48">
        <f>SUMIFS(Imput[[Importe Neto]:[Importe Neto]],Imput[[C. Imp.]:[C. Imp.]],'Indirect Costs'!$C32,Imput[[PERIODO Imp.]:[PERIODO Imp.]],'Indirect Costs'!CA$8)</f>
        <v>0</v>
      </c>
      <c r="CB32" s="48">
        <f>SUMIFS(Imput[[Importe Neto]:[Importe Neto]],Imput[[C. Imp.]:[C. Imp.]],'Indirect Costs'!$C32,Imput[[PERIODO Imp.]:[PERIODO Imp.]],'Indirect Costs'!CB$8)</f>
        <v>0</v>
      </c>
      <c r="CC32" s="48">
        <f>SUMIFS(Imput[[Importe Neto]:[Importe Neto]],Imput[[C. Imp.]:[C. Imp.]],'Indirect Costs'!$C32,Imput[[PERIODO Imp.]:[PERIODO Imp.]],'Indirect Costs'!CC$8)</f>
        <v>0</v>
      </c>
      <c r="CD32" s="48">
        <f>SUMIFS(Imput[[Importe Neto]:[Importe Neto]],Imput[[C. Imp.]:[C. Imp.]],'Indirect Costs'!$C32,Imput[[PERIODO Imp.]:[PERIODO Imp.]],'Indirect Costs'!CD$8)</f>
        <v>0</v>
      </c>
      <c r="CE32" s="48">
        <f>SUMIFS(Imput[[Importe Neto]:[Importe Neto]],Imput[[C. Imp.]:[C. Imp.]],'Indirect Costs'!$C32,Imput[[PERIODO Imp.]:[PERIODO Imp.]],'Indirect Costs'!CE$8)</f>
        <v>0</v>
      </c>
      <c r="CF32" s="48">
        <f>SUMIFS(Imput[[Importe Neto]:[Importe Neto]],Imput[[C. Imp.]:[C. Imp.]],'Indirect Costs'!$C32,Imput[[PERIODO Imp.]:[PERIODO Imp.]],'Indirect Costs'!CF$8)</f>
        <v>0</v>
      </c>
      <c r="CG32" s="48">
        <f>SUMIFS(Imput[[Importe Neto]:[Importe Neto]],Imput[[C. Imp.]:[C. Imp.]],'Indirect Costs'!$C32,Imput[[PERIODO Imp.]:[PERIODO Imp.]],'Indirect Costs'!CG$8)</f>
        <v>0</v>
      </c>
      <c r="CH32" s="48">
        <f>SUMIFS(Imput[[Importe Neto]:[Importe Neto]],Imput[[C. Imp.]:[C. Imp.]],'Indirect Costs'!$C32,Imput[[PERIODO Imp.]:[PERIODO Imp.]],'Indirect Costs'!CH$8)</f>
        <v>0</v>
      </c>
      <c r="CI32" s="48">
        <f>SUMIFS(Imput[[Importe Neto]:[Importe Neto]],Imput[[C. Imp.]:[C. Imp.]],'Indirect Costs'!$C32,Imput[[PERIODO Imp.]:[PERIODO Imp.]],'Indirect Costs'!CI$8)</f>
        <v>0</v>
      </c>
      <c r="CJ32" s="48">
        <f>SUMIFS(Imput[[Importe Neto]:[Importe Neto]],Imput[[C. Imp.]:[C. Imp.]],'Indirect Costs'!$C32,Imput[[PERIODO Imp.]:[PERIODO Imp.]],'Indirect Costs'!CJ$8)</f>
        <v>0</v>
      </c>
      <c r="CK32" s="48">
        <f>SUMIFS(Imput[[Importe Neto]:[Importe Neto]],Imput[[C. Imp.]:[C. Imp.]],'Indirect Costs'!$C32,Imput[[PERIODO Imp.]:[PERIODO Imp.]],'Indirect Costs'!CK$8)</f>
        <v>0</v>
      </c>
      <c r="CL32" s="48">
        <f>SUMIFS(Imput[[Importe Neto]:[Importe Neto]],Imput[[C. Imp.]:[C. Imp.]],'Indirect Costs'!$C32,Imput[[PERIODO Imp.]:[PERIODO Imp.]],'Indirect Costs'!CL$8)</f>
        <v>0</v>
      </c>
      <c r="CM32" s="48">
        <f>SUMIFS(Imput[[Importe Neto]:[Importe Neto]],Imput[[C. Imp.]:[C. Imp.]],'Indirect Costs'!$C32,Imput[[PERIODO Imp.]:[PERIODO Imp.]],'Indirect Costs'!CM$8)</f>
        <v>0</v>
      </c>
      <c r="CN32" s="48">
        <f>SUMIFS(Imput[[Importe Neto]:[Importe Neto]],Imput[[C. Imp.]:[C. Imp.]],'Indirect Costs'!$C32,Imput[[PERIODO Imp.]:[PERIODO Imp.]],'Indirect Costs'!CN$8)</f>
        <v>0</v>
      </c>
      <c r="CO32" s="48">
        <f>SUMIFS(Imput[[Importe Neto]:[Importe Neto]],Imput[[C. Imp.]:[C. Imp.]],'Indirect Costs'!$C32,Imput[[PERIODO Imp.]:[PERIODO Imp.]],'Indirect Costs'!CO$8)</f>
        <v>0</v>
      </c>
      <c r="CP32" s="48">
        <f>SUMIFS(Imput[[Importe Neto]:[Importe Neto]],Imput[[C. Imp.]:[C. Imp.]],'Indirect Costs'!$C32,Imput[[PERIODO Imp.]:[PERIODO Imp.]],'Indirect Costs'!CP$8)</f>
        <v>0</v>
      </c>
      <c r="CQ32" s="48">
        <f>SUMIFS(Imput[[Importe Neto]:[Importe Neto]],Imput[[C. Imp.]:[C. Imp.]],'Indirect Costs'!$C32,Imput[[PERIODO Imp.]:[PERIODO Imp.]],'Indirect Costs'!CQ$8)</f>
        <v>0</v>
      </c>
      <c r="CR32" s="48">
        <f>SUMIFS(Imput[[Importe Neto]:[Importe Neto]],Imput[[C. Imp.]:[C. Imp.]],'Indirect Costs'!$C32,Imput[[PERIODO Imp.]:[PERIODO Imp.]],'Indirect Costs'!CR$8)</f>
        <v>0</v>
      </c>
      <c r="CS32" s="48">
        <f>SUMIFS(Imput[[Importe Neto]:[Importe Neto]],Imput[[C. Imp.]:[C. Imp.]],'Indirect Costs'!$C32,Imput[[PERIODO Imp.]:[PERIODO Imp.]],'Indirect Costs'!CS$8)</f>
        <v>0</v>
      </c>
      <c r="CT32" s="48">
        <f>SUMIFS(Imput[[Importe Neto]:[Importe Neto]],Imput[[C. Imp.]:[C. Imp.]],'Indirect Costs'!$C32,Imput[[PERIODO Imp.]:[PERIODO Imp.]],'Indirect Costs'!CT$8)</f>
        <v>0</v>
      </c>
      <c r="CU32" s="48">
        <f>SUMIFS(Imput[[Importe Neto]:[Importe Neto]],Imput[[C. Imp.]:[C. Imp.]],'Indirect Costs'!$C32,Imput[[PERIODO Imp.]:[PERIODO Imp.]],'Indirect Costs'!CU$8)</f>
        <v>0</v>
      </c>
      <c r="CV32" s="48">
        <f>SUMIFS(Imput[[Importe Neto]:[Importe Neto]],Imput[[C. Imp.]:[C. Imp.]],'Indirect Costs'!$C32,Imput[[PERIODO Imp.]:[PERIODO Imp.]],'Indirect Costs'!CV$8)</f>
        <v>0</v>
      </c>
      <c r="CW32" s="48">
        <f>SUMIFS(Imput[[Importe Neto]:[Importe Neto]],Imput[[C. Imp.]:[C. Imp.]],'Indirect Costs'!$C32,Imput[[PERIODO Imp.]:[PERIODO Imp.]],'Indirect Costs'!CW$8)</f>
        <v>0</v>
      </c>
      <c r="CX32" s="48">
        <f>SUMIFS(Imput[[Importe Neto]:[Importe Neto]],Imput[[C. Imp.]:[C. Imp.]],'Indirect Costs'!$C32,Imput[[PERIODO Imp.]:[PERIODO Imp.]],'Indirect Costs'!CX$8)</f>
        <v>0</v>
      </c>
      <c r="CY32" s="48">
        <f>SUMIFS(Imput[[Importe Neto]:[Importe Neto]],Imput[[C. Imp.]:[C. Imp.]],'Indirect Costs'!$C32,Imput[[PERIODO Imp.]:[PERIODO Imp.]],'Indirect Costs'!CY$8)</f>
        <v>0</v>
      </c>
      <c r="CZ32" s="48">
        <f>SUMIFS(Imput[[Importe Neto]:[Importe Neto]],Imput[[C. Imp.]:[C. Imp.]],'Indirect Costs'!$C32,Imput[[PERIODO Imp.]:[PERIODO Imp.]],'Indirect Costs'!CZ$8)</f>
        <v>0</v>
      </c>
      <c r="DA32" s="48">
        <f>SUMIFS(Imput[[Importe Neto]:[Importe Neto]],Imput[[C. Imp.]:[C. Imp.]],'Indirect Costs'!$C32,Imput[[PERIODO Imp.]:[PERIODO Imp.]],'Indirect Costs'!DA$8)</f>
        <v>0</v>
      </c>
      <c r="DB32" s="48">
        <f>SUMIFS(Imput[[Importe Neto]:[Importe Neto]],Imput[[C. Imp.]:[C. Imp.]],'Indirect Costs'!$C32,Imput[[PERIODO Imp.]:[PERIODO Imp.]],'Indirect Costs'!DB$8)</f>
        <v>0</v>
      </c>
      <c r="DC32" s="48">
        <f>SUMIFS(Imput[[Importe Neto]:[Importe Neto]],Imput[[C. Imp.]:[C. Imp.]],'Indirect Costs'!$C32,Imput[[PERIODO Imp.]:[PERIODO Imp.]],'Indirect Costs'!DC$8)</f>
        <v>0</v>
      </c>
      <c r="DD32" s="48">
        <f>SUMIFS(Imput[[Importe Neto]:[Importe Neto]],Imput[[C. Imp.]:[C. Imp.]],'Indirect Costs'!$C32,Imput[[PERIODO Imp.]:[PERIODO Imp.]],'Indirect Costs'!DD$8)</f>
        <v>0</v>
      </c>
      <c r="DE32" s="48">
        <f>SUMIFS(Imput[[Importe Neto]:[Importe Neto]],Imput[[C. Imp.]:[C. Imp.]],'Indirect Costs'!$C32,Imput[[PERIODO Imp.]:[PERIODO Imp.]],'Indirect Costs'!DE$8)</f>
        <v>0</v>
      </c>
      <c r="DF32" s="143">
        <f>SUMIFS(Imput[[Importe Neto]:[Importe Neto]],Imput[[C. Imp.]:[C. Imp.]],'Indirect Costs'!$C32,Imput[[PERIODO Imp.]:[PERIODO Imp.]],'Indirect Costs'!DF$8)</f>
        <v>0</v>
      </c>
    </row>
    <row r="33" spans="1:110" outlineLevel="1" x14ac:dyDescent="0.25">
      <c r="A33" s="28" t="str">
        <f t="shared" si="3"/>
        <v/>
      </c>
      <c r="B33" s="50">
        <v>9</v>
      </c>
      <c r="C33" s="57" t="s">
        <v>1785</v>
      </c>
      <c r="D33" s="56" t="s">
        <v>547</v>
      </c>
      <c r="E33" s="57" t="s">
        <v>547</v>
      </c>
      <c r="F33" s="58">
        <v>20000</v>
      </c>
      <c r="G33" s="49"/>
      <c r="H33" s="51">
        <v>1</v>
      </c>
      <c r="I33" s="505">
        <f t="shared" si="7"/>
        <v>0</v>
      </c>
      <c r="J33" s="47"/>
      <c r="K33" s="142"/>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143"/>
      <c r="BG33" s="47"/>
      <c r="BH33" s="509"/>
      <c r="BI33" s="505">
        <f t="shared" si="6"/>
        <v>0</v>
      </c>
      <c r="BJ33" s="47"/>
      <c r="BK33" s="142">
        <f>SUMIFS(Imput[[Importe Neto]:[Importe Neto]],Imput[[C. Imp.]:[C. Imp.]],'Indirect Costs'!$C33,Imput[[PERIODO Imp.]:[PERIODO Imp.]],'Indirect Costs'!BK$8)</f>
        <v>0</v>
      </c>
      <c r="BL33" s="48">
        <f>SUMIFS(Imput[[Importe Neto]:[Importe Neto]],Imput[[C. Imp.]:[C. Imp.]],'Indirect Costs'!$C33,Imput[[PERIODO Imp.]:[PERIODO Imp.]],'Indirect Costs'!BL$8)</f>
        <v>0</v>
      </c>
      <c r="BM33" s="48">
        <f>SUMIFS(Imput[[Importe Neto]:[Importe Neto]],Imput[[C. Imp.]:[C. Imp.]],'Indirect Costs'!$C33,Imput[[PERIODO Imp.]:[PERIODO Imp.]],'Indirect Costs'!BM$8)</f>
        <v>0</v>
      </c>
      <c r="BN33" s="48">
        <f>SUMIFS(Imput[[Importe Neto]:[Importe Neto]],Imput[[C. Imp.]:[C. Imp.]],'Indirect Costs'!$C33,Imput[[PERIODO Imp.]:[PERIODO Imp.]],'Indirect Costs'!BN$8)</f>
        <v>0</v>
      </c>
      <c r="BO33" s="48">
        <f>SUMIFS(Imput[[Importe Neto]:[Importe Neto]],Imput[[C. Imp.]:[C. Imp.]],'Indirect Costs'!$C33,Imput[[PERIODO Imp.]:[PERIODO Imp.]],'Indirect Costs'!BO$8)</f>
        <v>0</v>
      </c>
      <c r="BP33" s="48">
        <f>SUMIFS(Imput[[Importe Neto]:[Importe Neto]],Imput[[C. Imp.]:[C. Imp.]],'Indirect Costs'!$C33,Imput[[PERIODO Imp.]:[PERIODO Imp.]],'Indirect Costs'!BP$8)</f>
        <v>0</v>
      </c>
      <c r="BQ33" s="48">
        <f>SUMIFS(Imput[[Importe Neto]:[Importe Neto]],Imput[[C. Imp.]:[C. Imp.]],'Indirect Costs'!$C33,Imput[[PERIODO Imp.]:[PERIODO Imp.]],'Indirect Costs'!BQ$8)</f>
        <v>0</v>
      </c>
      <c r="BR33" s="48">
        <f>SUMIFS(Imput[[Importe Neto]:[Importe Neto]],Imput[[C. Imp.]:[C. Imp.]],'Indirect Costs'!$C33,Imput[[PERIODO Imp.]:[PERIODO Imp.]],'Indirect Costs'!BR$8)</f>
        <v>0</v>
      </c>
      <c r="BS33" s="48">
        <f>SUMIFS(Imput[[Importe Neto]:[Importe Neto]],Imput[[C. Imp.]:[C. Imp.]],'Indirect Costs'!$C33,Imput[[PERIODO Imp.]:[PERIODO Imp.]],'Indirect Costs'!BS$8)</f>
        <v>0</v>
      </c>
      <c r="BT33" s="48">
        <f>SUMIFS(Imput[[Importe Neto]:[Importe Neto]],Imput[[C. Imp.]:[C. Imp.]],'Indirect Costs'!$C33,Imput[[PERIODO Imp.]:[PERIODO Imp.]],'Indirect Costs'!BT$8)</f>
        <v>0</v>
      </c>
      <c r="BU33" s="48">
        <f>SUMIFS(Imput[[Importe Neto]:[Importe Neto]],Imput[[C. Imp.]:[C. Imp.]],'Indirect Costs'!$C33,Imput[[PERIODO Imp.]:[PERIODO Imp.]],'Indirect Costs'!BU$8)</f>
        <v>0</v>
      </c>
      <c r="BV33" s="48">
        <f>SUMIFS(Imput[[Importe Neto]:[Importe Neto]],Imput[[C. Imp.]:[C. Imp.]],'Indirect Costs'!$C33,Imput[[PERIODO Imp.]:[PERIODO Imp.]],'Indirect Costs'!BV$8)</f>
        <v>0</v>
      </c>
      <c r="BW33" s="48">
        <f>SUMIFS(Imput[[Importe Neto]:[Importe Neto]],Imput[[C. Imp.]:[C. Imp.]],'Indirect Costs'!$C33,Imput[[PERIODO Imp.]:[PERIODO Imp.]],'Indirect Costs'!BW$8)</f>
        <v>0</v>
      </c>
      <c r="BX33" s="48">
        <f>SUMIFS(Imput[[Importe Neto]:[Importe Neto]],Imput[[C. Imp.]:[C. Imp.]],'Indirect Costs'!$C33,Imput[[PERIODO Imp.]:[PERIODO Imp.]],'Indirect Costs'!BX$8)</f>
        <v>0</v>
      </c>
      <c r="BY33" s="48">
        <f>SUMIFS(Imput[[Importe Neto]:[Importe Neto]],Imput[[C. Imp.]:[C. Imp.]],'Indirect Costs'!$C33,Imput[[PERIODO Imp.]:[PERIODO Imp.]],'Indirect Costs'!BY$8)</f>
        <v>0</v>
      </c>
      <c r="BZ33" s="48">
        <f>SUMIFS(Imput[[Importe Neto]:[Importe Neto]],Imput[[C. Imp.]:[C. Imp.]],'Indirect Costs'!$C33,Imput[[PERIODO Imp.]:[PERIODO Imp.]],'Indirect Costs'!BZ$8)</f>
        <v>0</v>
      </c>
      <c r="CA33" s="48">
        <f>SUMIFS(Imput[[Importe Neto]:[Importe Neto]],Imput[[C. Imp.]:[C. Imp.]],'Indirect Costs'!$C33,Imput[[PERIODO Imp.]:[PERIODO Imp.]],'Indirect Costs'!CA$8)</f>
        <v>0</v>
      </c>
      <c r="CB33" s="48">
        <f>SUMIFS(Imput[[Importe Neto]:[Importe Neto]],Imput[[C. Imp.]:[C. Imp.]],'Indirect Costs'!$C33,Imput[[PERIODO Imp.]:[PERIODO Imp.]],'Indirect Costs'!CB$8)</f>
        <v>0</v>
      </c>
      <c r="CC33" s="48">
        <f>SUMIFS(Imput[[Importe Neto]:[Importe Neto]],Imput[[C. Imp.]:[C. Imp.]],'Indirect Costs'!$C33,Imput[[PERIODO Imp.]:[PERIODO Imp.]],'Indirect Costs'!CC$8)</f>
        <v>0</v>
      </c>
      <c r="CD33" s="48">
        <f>SUMIFS(Imput[[Importe Neto]:[Importe Neto]],Imput[[C. Imp.]:[C. Imp.]],'Indirect Costs'!$C33,Imput[[PERIODO Imp.]:[PERIODO Imp.]],'Indirect Costs'!CD$8)</f>
        <v>0</v>
      </c>
      <c r="CE33" s="48">
        <f>SUMIFS(Imput[[Importe Neto]:[Importe Neto]],Imput[[C. Imp.]:[C. Imp.]],'Indirect Costs'!$C33,Imput[[PERIODO Imp.]:[PERIODO Imp.]],'Indirect Costs'!CE$8)</f>
        <v>0</v>
      </c>
      <c r="CF33" s="48">
        <f>SUMIFS(Imput[[Importe Neto]:[Importe Neto]],Imput[[C. Imp.]:[C. Imp.]],'Indirect Costs'!$C33,Imput[[PERIODO Imp.]:[PERIODO Imp.]],'Indirect Costs'!CF$8)</f>
        <v>0</v>
      </c>
      <c r="CG33" s="48">
        <f>SUMIFS(Imput[[Importe Neto]:[Importe Neto]],Imput[[C. Imp.]:[C. Imp.]],'Indirect Costs'!$C33,Imput[[PERIODO Imp.]:[PERIODO Imp.]],'Indirect Costs'!CG$8)</f>
        <v>0</v>
      </c>
      <c r="CH33" s="48">
        <f>SUMIFS(Imput[[Importe Neto]:[Importe Neto]],Imput[[C. Imp.]:[C. Imp.]],'Indirect Costs'!$C33,Imput[[PERIODO Imp.]:[PERIODO Imp.]],'Indirect Costs'!CH$8)</f>
        <v>0</v>
      </c>
      <c r="CI33" s="48">
        <f>SUMIFS(Imput[[Importe Neto]:[Importe Neto]],Imput[[C. Imp.]:[C. Imp.]],'Indirect Costs'!$C33,Imput[[PERIODO Imp.]:[PERIODO Imp.]],'Indirect Costs'!CI$8)</f>
        <v>0</v>
      </c>
      <c r="CJ33" s="48">
        <f>SUMIFS(Imput[[Importe Neto]:[Importe Neto]],Imput[[C. Imp.]:[C. Imp.]],'Indirect Costs'!$C33,Imput[[PERIODO Imp.]:[PERIODO Imp.]],'Indirect Costs'!CJ$8)</f>
        <v>0</v>
      </c>
      <c r="CK33" s="48">
        <f>SUMIFS(Imput[[Importe Neto]:[Importe Neto]],Imput[[C. Imp.]:[C. Imp.]],'Indirect Costs'!$C33,Imput[[PERIODO Imp.]:[PERIODO Imp.]],'Indirect Costs'!CK$8)</f>
        <v>0</v>
      </c>
      <c r="CL33" s="48">
        <f>SUMIFS(Imput[[Importe Neto]:[Importe Neto]],Imput[[C. Imp.]:[C. Imp.]],'Indirect Costs'!$C33,Imput[[PERIODO Imp.]:[PERIODO Imp.]],'Indirect Costs'!CL$8)</f>
        <v>0</v>
      </c>
      <c r="CM33" s="48">
        <f>SUMIFS(Imput[[Importe Neto]:[Importe Neto]],Imput[[C. Imp.]:[C. Imp.]],'Indirect Costs'!$C33,Imput[[PERIODO Imp.]:[PERIODO Imp.]],'Indirect Costs'!CM$8)</f>
        <v>0</v>
      </c>
      <c r="CN33" s="48">
        <f>SUMIFS(Imput[[Importe Neto]:[Importe Neto]],Imput[[C. Imp.]:[C. Imp.]],'Indirect Costs'!$C33,Imput[[PERIODO Imp.]:[PERIODO Imp.]],'Indirect Costs'!CN$8)</f>
        <v>0</v>
      </c>
      <c r="CO33" s="48">
        <f>SUMIFS(Imput[[Importe Neto]:[Importe Neto]],Imput[[C. Imp.]:[C. Imp.]],'Indirect Costs'!$C33,Imput[[PERIODO Imp.]:[PERIODO Imp.]],'Indirect Costs'!CO$8)</f>
        <v>0</v>
      </c>
      <c r="CP33" s="48">
        <f>SUMIFS(Imput[[Importe Neto]:[Importe Neto]],Imput[[C. Imp.]:[C. Imp.]],'Indirect Costs'!$C33,Imput[[PERIODO Imp.]:[PERIODO Imp.]],'Indirect Costs'!CP$8)</f>
        <v>0</v>
      </c>
      <c r="CQ33" s="48">
        <f>SUMIFS(Imput[[Importe Neto]:[Importe Neto]],Imput[[C. Imp.]:[C. Imp.]],'Indirect Costs'!$C33,Imput[[PERIODO Imp.]:[PERIODO Imp.]],'Indirect Costs'!CQ$8)</f>
        <v>0</v>
      </c>
      <c r="CR33" s="48">
        <f>SUMIFS(Imput[[Importe Neto]:[Importe Neto]],Imput[[C. Imp.]:[C. Imp.]],'Indirect Costs'!$C33,Imput[[PERIODO Imp.]:[PERIODO Imp.]],'Indirect Costs'!CR$8)</f>
        <v>0</v>
      </c>
      <c r="CS33" s="48">
        <f>SUMIFS(Imput[[Importe Neto]:[Importe Neto]],Imput[[C. Imp.]:[C. Imp.]],'Indirect Costs'!$C33,Imput[[PERIODO Imp.]:[PERIODO Imp.]],'Indirect Costs'!CS$8)</f>
        <v>0</v>
      </c>
      <c r="CT33" s="48">
        <f>SUMIFS(Imput[[Importe Neto]:[Importe Neto]],Imput[[C. Imp.]:[C. Imp.]],'Indirect Costs'!$C33,Imput[[PERIODO Imp.]:[PERIODO Imp.]],'Indirect Costs'!CT$8)</f>
        <v>0</v>
      </c>
      <c r="CU33" s="48">
        <f>SUMIFS(Imput[[Importe Neto]:[Importe Neto]],Imput[[C. Imp.]:[C. Imp.]],'Indirect Costs'!$C33,Imput[[PERIODO Imp.]:[PERIODO Imp.]],'Indirect Costs'!CU$8)</f>
        <v>0</v>
      </c>
      <c r="CV33" s="48">
        <f>SUMIFS(Imput[[Importe Neto]:[Importe Neto]],Imput[[C. Imp.]:[C. Imp.]],'Indirect Costs'!$C33,Imput[[PERIODO Imp.]:[PERIODO Imp.]],'Indirect Costs'!CV$8)</f>
        <v>0</v>
      </c>
      <c r="CW33" s="48">
        <f>SUMIFS(Imput[[Importe Neto]:[Importe Neto]],Imput[[C. Imp.]:[C. Imp.]],'Indirect Costs'!$C33,Imput[[PERIODO Imp.]:[PERIODO Imp.]],'Indirect Costs'!CW$8)</f>
        <v>0</v>
      </c>
      <c r="CX33" s="48">
        <f>SUMIFS(Imput[[Importe Neto]:[Importe Neto]],Imput[[C. Imp.]:[C. Imp.]],'Indirect Costs'!$C33,Imput[[PERIODO Imp.]:[PERIODO Imp.]],'Indirect Costs'!CX$8)</f>
        <v>0</v>
      </c>
      <c r="CY33" s="48">
        <f>SUMIFS(Imput[[Importe Neto]:[Importe Neto]],Imput[[C. Imp.]:[C. Imp.]],'Indirect Costs'!$C33,Imput[[PERIODO Imp.]:[PERIODO Imp.]],'Indirect Costs'!CY$8)</f>
        <v>0</v>
      </c>
      <c r="CZ33" s="48">
        <f>SUMIFS(Imput[[Importe Neto]:[Importe Neto]],Imput[[C. Imp.]:[C. Imp.]],'Indirect Costs'!$C33,Imput[[PERIODO Imp.]:[PERIODO Imp.]],'Indirect Costs'!CZ$8)</f>
        <v>0</v>
      </c>
      <c r="DA33" s="48">
        <f>SUMIFS(Imput[[Importe Neto]:[Importe Neto]],Imput[[C. Imp.]:[C. Imp.]],'Indirect Costs'!$C33,Imput[[PERIODO Imp.]:[PERIODO Imp.]],'Indirect Costs'!DA$8)</f>
        <v>0</v>
      </c>
      <c r="DB33" s="48">
        <f>SUMIFS(Imput[[Importe Neto]:[Importe Neto]],Imput[[C. Imp.]:[C. Imp.]],'Indirect Costs'!$C33,Imput[[PERIODO Imp.]:[PERIODO Imp.]],'Indirect Costs'!DB$8)</f>
        <v>0</v>
      </c>
      <c r="DC33" s="48">
        <f>SUMIFS(Imput[[Importe Neto]:[Importe Neto]],Imput[[C. Imp.]:[C. Imp.]],'Indirect Costs'!$C33,Imput[[PERIODO Imp.]:[PERIODO Imp.]],'Indirect Costs'!DC$8)</f>
        <v>0</v>
      </c>
      <c r="DD33" s="48">
        <f>SUMIFS(Imput[[Importe Neto]:[Importe Neto]],Imput[[C. Imp.]:[C. Imp.]],'Indirect Costs'!$C33,Imput[[PERIODO Imp.]:[PERIODO Imp.]],'Indirect Costs'!DD$8)</f>
        <v>0</v>
      </c>
      <c r="DE33" s="48">
        <f>SUMIFS(Imput[[Importe Neto]:[Importe Neto]],Imput[[C. Imp.]:[C. Imp.]],'Indirect Costs'!$C33,Imput[[PERIODO Imp.]:[PERIODO Imp.]],'Indirect Costs'!DE$8)</f>
        <v>0</v>
      </c>
      <c r="DF33" s="143">
        <f>SUMIFS(Imput[[Importe Neto]:[Importe Neto]],Imput[[C. Imp.]:[C. Imp.]],'Indirect Costs'!$C33,Imput[[PERIODO Imp.]:[PERIODO Imp.]],'Indirect Costs'!DF$8)</f>
        <v>0</v>
      </c>
    </row>
    <row r="34" spans="1:110" ht="22.5" customHeight="1" outlineLevel="1" x14ac:dyDescent="0.3">
      <c r="A34" s="28" t="str">
        <f>IFERROR(IF(SUM(I35:I39)&gt;0,"Imprimir",""),"")</f>
        <v/>
      </c>
      <c r="B34" s="504"/>
      <c r="C34" s="559"/>
      <c r="D34" s="564" t="s">
        <v>548</v>
      </c>
      <c r="E34" s="559"/>
      <c r="F34" s="560"/>
      <c r="G34" s="561"/>
      <c r="H34" s="562"/>
      <c r="I34" s="563"/>
      <c r="J34" s="47"/>
      <c r="K34" s="144"/>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145"/>
      <c r="BG34" s="47"/>
      <c r="BH34" s="508"/>
      <c r="BI34" s="507">
        <f t="shared" si="6"/>
        <v>0</v>
      </c>
      <c r="BJ34" s="47"/>
      <c r="BK34" s="140"/>
      <c r="BL34" s="46"/>
      <c r="BM34" s="46"/>
      <c r="BN34" s="46"/>
      <c r="BO34" s="46"/>
      <c r="BP34" s="46"/>
      <c r="BQ34" s="46"/>
      <c r="BR34" s="46"/>
      <c r="BS34" s="46"/>
      <c r="BT34" s="46"/>
      <c r="BU34" s="46"/>
      <c r="BV34" s="46"/>
      <c r="BW34" s="46"/>
      <c r="BX34" s="46"/>
      <c r="BY34" s="46"/>
      <c r="BZ34" s="46"/>
      <c r="CA34" s="46"/>
      <c r="CB34" s="46"/>
      <c r="CC34" s="46"/>
      <c r="CD34" s="46"/>
      <c r="CE34" s="46"/>
      <c r="CF34" s="46"/>
      <c r="CG34" s="46"/>
      <c r="CH34" s="46"/>
      <c r="CI34" s="46"/>
      <c r="CJ34" s="46"/>
      <c r="CK34" s="46"/>
      <c r="CL34" s="46"/>
      <c r="CM34" s="46"/>
      <c r="CN34" s="46"/>
      <c r="CO34" s="46"/>
      <c r="CP34" s="46"/>
      <c r="CQ34" s="46"/>
      <c r="CR34" s="46"/>
      <c r="CS34" s="46"/>
      <c r="CT34" s="46"/>
      <c r="CU34" s="46"/>
      <c r="CV34" s="46"/>
      <c r="CW34" s="46"/>
      <c r="CX34" s="46"/>
      <c r="CY34" s="46"/>
      <c r="CZ34" s="46"/>
      <c r="DA34" s="46"/>
      <c r="DB34" s="46"/>
      <c r="DC34" s="46"/>
      <c r="DD34" s="46"/>
      <c r="DE34" s="46"/>
      <c r="DF34" s="141"/>
    </row>
    <row r="35" spans="1:110" outlineLevel="1" x14ac:dyDescent="0.25">
      <c r="A35" s="28" t="str">
        <f t="shared" si="3"/>
        <v/>
      </c>
      <c r="B35" s="50">
        <v>1</v>
      </c>
      <c r="C35" s="57" t="s">
        <v>1786</v>
      </c>
      <c r="D35" s="56" t="s">
        <v>549</v>
      </c>
      <c r="E35" s="57" t="s">
        <v>549</v>
      </c>
      <c r="F35" s="58">
        <v>38000</v>
      </c>
      <c r="G35" s="49"/>
      <c r="H35" s="51">
        <v>1</v>
      </c>
      <c r="I35" s="505">
        <f t="shared" si="7"/>
        <v>0</v>
      </c>
      <c r="J35" s="47"/>
      <c r="K35" s="142"/>
      <c r="L35" s="48"/>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143"/>
      <c r="BG35" s="47"/>
      <c r="BH35" s="509"/>
      <c r="BI35" s="505">
        <f t="shared" si="6"/>
        <v>0</v>
      </c>
      <c r="BJ35" s="47"/>
      <c r="BK35" s="142">
        <f>SUMIFS(Imput[[Importe Neto]:[Importe Neto]],Imput[[C. Imp.]:[C. Imp.]],'Indirect Costs'!$C35,Imput[[PERIODO Imp.]:[PERIODO Imp.]],'Indirect Costs'!BK$8)</f>
        <v>0</v>
      </c>
      <c r="BL35" s="48">
        <f>SUMIFS(Imput[[Importe Neto]:[Importe Neto]],Imput[[C. Imp.]:[C. Imp.]],'Indirect Costs'!$C35,Imput[[PERIODO Imp.]:[PERIODO Imp.]],'Indirect Costs'!BL$8)</f>
        <v>0</v>
      </c>
      <c r="BM35" s="48">
        <f>SUMIFS(Imput[[Importe Neto]:[Importe Neto]],Imput[[C. Imp.]:[C. Imp.]],'Indirect Costs'!$C35,Imput[[PERIODO Imp.]:[PERIODO Imp.]],'Indirect Costs'!BM$8)</f>
        <v>0</v>
      </c>
      <c r="BN35" s="48">
        <f>SUMIFS(Imput[[Importe Neto]:[Importe Neto]],Imput[[C. Imp.]:[C. Imp.]],'Indirect Costs'!$C35,Imput[[PERIODO Imp.]:[PERIODO Imp.]],'Indirect Costs'!BN$8)</f>
        <v>0</v>
      </c>
      <c r="BO35" s="48">
        <f>SUMIFS(Imput[[Importe Neto]:[Importe Neto]],Imput[[C. Imp.]:[C. Imp.]],'Indirect Costs'!$C35,Imput[[PERIODO Imp.]:[PERIODO Imp.]],'Indirect Costs'!BO$8)</f>
        <v>0</v>
      </c>
      <c r="BP35" s="48">
        <f>SUMIFS(Imput[[Importe Neto]:[Importe Neto]],Imput[[C. Imp.]:[C. Imp.]],'Indirect Costs'!$C35,Imput[[PERIODO Imp.]:[PERIODO Imp.]],'Indirect Costs'!BP$8)</f>
        <v>0</v>
      </c>
      <c r="BQ35" s="48">
        <f>SUMIFS(Imput[[Importe Neto]:[Importe Neto]],Imput[[C. Imp.]:[C. Imp.]],'Indirect Costs'!$C35,Imput[[PERIODO Imp.]:[PERIODO Imp.]],'Indirect Costs'!BQ$8)</f>
        <v>0</v>
      </c>
      <c r="BR35" s="48">
        <f>SUMIFS(Imput[[Importe Neto]:[Importe Neto]],Imput[[C. Imp.]:[C. Imp.]],'Indirect Costs'!$C35,Imput[[PERIODO Imp.]:[PERIODO Imp.]],'Indirect Costs'!BR$8)</f>
        <v>0</v>
      </c>
      <c r="BS35" s="48">
        <f>SUMIFS(Imput[[Importe Neto]:[Importe Neto]],Imput[[C. Imp.]:[C. Imp.]],'Indirect Costs'!$C35,Imput[[PERIODO Imp.]:[PERIODO Imp.]],'Indirect Costs'!BS$8)</f>
        <v>0</v>
      </c>
      <c r="BT35" s="48">
        <f>SUMIFS(Imput[[Importe Neto]:[Importe Neto]],Imput[[C. Imp.]:[C. Imp.]],'Indirect Costs'!$C35,Imput[[PERIODO Imp.]:[PERIODO Imp.]],'Indirect Costs'!BT$8)</f>
        <v>0</v>
      </c>
      <c r="BU35" s="48">
        <f>SUMIFS(Imput[[Importe Neto]:[Importe Neto]],Imput[[C. Imp.]:[C. Imp.]],'Indirect Costs'!$C35,Imput[[PERIODO Imp.]:[PERIODO Imp.]],'Indirect Costs'!BU$8)</f>
        <v>0</v>
      </c>
      <c r="BV35" s="48">
        <f>SUMIFS(Imput[[Importe Neto]:[Importe Neto]],Imput[[C. Imp.]:[C. Imp.]],'Indirect Costs'!$C35,Imput[[PERIODO Imp.]:[PERIODO Imp.]],'Indirect Costs'!BV$8)</f>
        <v>0</v>
      </c>
      <c r="BW35" s="48">
        <f>SUMIFS(Imput[[Importe Neto]:[Importe Neto]],Imput[[C. Imp.]:[C. Imp.]],'Indirect Costs'!$C35,Imput[[PERIODO Imp.]:[PERIODO Imp.]],'Indirect Costs'!BW$8)</f>
        <v>0</v>
      </c>
      <c r="BX35" s="48">
        <f>SUMIFS(Imput[[Importe Neto]:[Importe Neto]],Imput[[C. Imp.]:[C. Imp.]],'Indirect Costs'!$C35,Imput[[PERIODO Imp.]:[PERIODO Imp.]],'Indirect Costs'!BX$8)</f>
        <v>0</v>
      </c>
      <c r="BY35" s="48">
        <f>SUMIFS(Imput[[Importe Neto]:[Importe Neto]],Imput[[C. Imp.]:[C. Imp.]],'Indirect Costs'!$C35,Imput[[PERIODO Imp.]:[PERIODO Imp.]],'Indirect Costs'!BY$8)</f>
        <v>0</v>
      </c>
      <c r="BZ35" s="48">
        <f>SUMIFS(Imput[[Importe Neto]:[Importe Neto]],Imput[[C. Imp.]:[C. Imp.]],'Indirect Costs'!$C35,Imput[[PERIODO Imp.]:[PERIODO Imp.]],'Indirect Costs'!BZ$8)</f>
        <v>0</v>
      </c>
      <c r="CA35" s="48">
        <f>SUMIFS(Imput[[Importe Neto]:[Importe Neto]],Imput[[C. Imp.]:[C. Imp.]],'Indirect Costs'!$C35,Imput[[PERIODO Imp.]:[PERIODO Imp.]],'Indirect Costs'!CA$8)</f>
        <v>0</v>
      </c>
      <c r="CB35" s="48">
        <f>SUMIFS(Imput[[Importe Neto]:[Importe Neto]],Imput[[C. Imp.]:[C. Imp.]],'Indirect Costs'!$C35,Imput[[PERIODO Imp.]:[PERIODO Imp.]],'Indirect Costs'!CB$8)</f>
        <v>0</v>
      </c>
      <c r="CC35" s="48">
        <f>SUMIFS(Imput[[Importe Neto]:[Importe Neto]],Imput[[C. Imp.]:[C. Imp.]],'Indirect Costs'!$C35,Imput[[PERIODO Imp.]:[PERIODO Imp.]],'Indirect Costs'!CC$8)</f>
        <v>0</v>
      </c>
      <c r="CD35" s="48">
        <f>SUMIFS(Imput[[Importe Neto]:[Importe Neto]],Imput[[C. Imp.]:[C. Imp.]],'Indirect Costs'!$C35,Imput[[PERIODO Imp.]:[PERIODO Imp.]],'Indirect Costs'!CD$8)</f>
        <v>0</v>
      </c>
      <c r="CE35" s="48">
        <f>SUMIFS(Imput[[Importe Neto]:[Importe Neto]],Imput[[C. Imp.]:[C. Imp.]],'Indirect Costs'!$C35,Imput[[PERIODO Imp.]:[PERIODO Imp.]],'Indirect Costs'!CE$8)</f>
        <v>0</v>
      </c>
      <c r="CF35" s="48">
        <f>SUMIFS(Imput[[Importe Neto]:[Importe Neto]],Imput[[C. Imp.]:[C. Imp.]],'Indirect Costs'!$C35,Imput[[PERIODO Imp.]:[PERIODO Imp.]],'Indirect Costs'!CF$8)</f>
        <v>0</v>
      </c>
      <c r="CG35" s="48">
        <f>SUMIFS(Imput[[Importe Neto]:[Importe Neto]],Imput[[C. Imp.]:[C. Imp.]],'Indirect Costs'!$C35,Imput[[PERIODO Imp.]:[PERIODO Imp.]],'Indirect Costs'!CG$8)</f>
        <v>0</v>
      </c>
      <c r="CH35" s="48">
        <f>SUMIFS(Imput[[Importe Neto]:[Importe Neto]],Imput[[C. Imp.]:[C. Imp.]],'Indirect Costs'!$C35,Imput[[PERIODO Imp.]:[PERIODO Imp.]],'Indirect Costs'!CH$8)</f>
        <v>0</v>
      </c>
      <c r="CI35" s="48">
        <f>SUMIFS(Imput[[Importe Neto]:[Importe Neto]],Imput[[C. Imp.]:[C. Imp.]],'Indirect Costs'!$C35,Imput[[PERIODO Imp.]:[PERIODO Imp.]],'Indirect Costs'!CI$8)</f>
        <v>0</v>
      </c>
      <c r="CJ35" s="48">
        <f>SUMIFS(Imput[[Importe Neto]:[Importe Neto]],Imput[[C. Imp.]:[C. Imp.]],'Indirect Costs'!$C35,Imput[[PERIODO Imp.]:[PERIODO Imp.]],'Indirect Costs'!CJ$8)</f>
        <v>0</v>
      </c>
      <c r="CK35" s="48">
        <f>SUMIFS(Imput[[Importe Neto]:[Importe Neto]],Imput[[C. Imp.]:[C. Imp.]],'Indirect Costs'!$C35,Imput[[PERIODO Imp.]:[PERIODO Imp.]],'Indirect Costs'!CK$8)</f>
        <v>0</v>
      </c>
      <c r="CL35" s="48">
        <f>SUMIFS(Imput[[Importe Neto]:[Importe Neto]],Imput[[C. Imp.]:[C. Imp.]],'Indirect Costs'!$C35,Imput[[PERIODO Imp.]:[PERIODO Imp.]],'Indirect Costs'!CL$8)</f>
        <v>0</v>
      </c>
      <c r="CM35" s="48">
        <f>SUMIFS(Imput[[Importe Neto]:[Importe Neto]],Imput[[C. Imp.]:[C. Imp.]],'Indirect Costs'!$C35,Imput[[PERIODO Imp.]:[PERIODO Imp.]],'Indirect Costs'!CM$8)</f>
        <v>0</v>
      </c>
      <c r="CN35" s="48">
        <f>SUMIFS(Imput[[Importe Neto]:[Importe Neto]],Imput[[C. Imp.]:[C. Imp.]],'Indirect Costs'!$C35,Imput[[PERIODO Imp.]:[PERIODO Imp.]],'Indirect Costs'!CN$8)</f>
        <v>0</v>
      </c>
      <c r="CO35" s="48">
        <f>SUMIFS(Imput[[Importe Neto]:[Importe Neto]],Imput[[C. Imp.]:[C. Imp.]],'Indirect Costs'!$C35,Imput[[PERIODO Imp.]:[PERIODO Imp.]],'Indirect Costs'!CO$8)</f>
        <v>0</v>
      </c>
      <c r="CP35" s="48">
        <f>SUMIFS(Imput[[Importe Neto]:[Importe Neto]],Imput[[C. Imp.]:[C. Imp.]],'Indirect Costs'!$C35,Imput[[PERIODO Imp.]:[PERIODO Imp.]],'Indirect Costs'!CP$8)</f>
        <v>0</v>
      </c>
      <c r="CQ35" s="48">
        <f>SUMIFS(Imput[[Importe Neto]:[Importe Neto]],Imput[[C. Imp.]:[C. Imp.]],'Indirect Costs'!$C35,Imput[[PERIODO Imp.]:[PERIODO Imp.]],'Indirect Costs'!CQ$8)</f>
        <v>0</v>
      </c>
      <c r="CR35" s="48">
        <f>SUMIFS(Imput[[Importe Neto]:[Importe Neto]],Imput[[C. Imp.]:[C. Imp.]],'Indirect Costs'!$C35,Imput[[PERIODO Imp.]:[PERIODO Imp.]],'Indirect Costs'!CR$8)</f>
        <v>0</v>
      </c>
      <c r="CS35" s="48">
        <f>SUMIFS(Imput[[Importe Neto]:[Importe Neto]],Imput[[C. Imp.]:[C. Imp.]],'Indirect Costs'!$C35,Imput[[PERIODO Imp.]:[PERIODO Imp.]],'Indirect Costs'!CS$8)</f>
        <v>0</v>
      </c>
      <c r="CT35" s="48">
        <f>SUMIFS(Imput[[Importe Neto]:[Importe Neto]],Imput[[C. Imp.]:[C. Imp.]],'Indirect Costs'!$C35,Imput[[PERIODO Imp.]:[PERIODO Imp.]],'Indirect Costs'!CT$8)</f>
        <v>0</v>
      </c>
      <c r="CU35" s="48">
        <f>SUMIFS(Imput[[Importe Neto]:[Importe Neto]],Imput[[C. Imp.]:[C. Imp.]],'Indirect Costs'!$C35,Imput[[PERIODO Imp.]:[PERIODO Imp.]],'Indirect Costs'!CU$8)</f>
        <v>0</v>
      </c>
      <c r="CV35" s="48">
        <f>SUMIFS(Imput[[Importe Neto]:[Importe Neto]],Imput[[C. Imp.]:[C. Imp.]],'Indirect Costs'!$C35,Imput[[PERIODO Imp.]:[PERIODO Imp.]],'Indirect Costs'!CV$8)</f>
        <v>0</v>
      </c>
      <c r="CW35" s="48">
        <f>SUMIFS(Imput[[Importe Neto]:[Importe Neto]],Imput[[C. Imp.]:[C. Imp.]],'Indirect Costs'!$C35,Imput[[PERIODO Imp.]:[PERIODO Imp.]],'Indirect Costs'!CW$8)</f>
        <v>0</v>
      </c>
      <c r="CX35" s="48">
        <f>SUMIFS(Imput[[Importe Neto]:[Importe Neto]],Imput[[C. Imp.]:[C. Imp.]],'Indirect Costs'!$C35,Imput[[PERIODO Imp.]:[PERIODO Imp.]],'Indirect Costs'!CX$8)</f>
        <v>0</v>
      </c>
      <c r="CY35" s="48">
        <f>SUMIFS(Imput[[Importe Neto]:[Importe Neto]],Imput[[C. Imp.]:[C. Imp.]],'Indirect Costs'!$C35,Imput[[PERIODO Imp.]:[PERIODO Imp.]],'Indirect Costs'!CY$8)</f>
        <v>0</v>
      </c>
      <c r="CZ35" s="48">
        <f>SUMIFS(Imput[[Importe Neto]:[Importe Neto]],Imput[[C. Imp.]:[C. Imp.]],'Indirect Costs'!$C35,Imput[[PERIODO Imp.]:[PERIODO Imp.]],'Indirect Costs'!CZ$8)</f>
        <v>0</v>
      </c>
      <c r="DA35" s="48">
        <f>SUMIFS(Imput[[Importe Neto]:[Importe Neto]],Imput[[C. Imp.]:[C. Imp.]],'Indirect Costs'!$C35,Imput[[PERIODO Imp.]:[PERIODO Imp.]],'Indirect Costs'!DA$8)</f>
        <v>0</v>
      </c>
      <c r="DB35" s="48">
        <f>SUMIFS(Imput[[Importe Neto]:[Importe Neto]],Imput[[C. Imp.]:[C. Imp.]],'Indirect Costs'!$C35,Imput[[PERIODO Imp.]:[PERIODO Imp.]],'Indirect Costs'!DB$8)</f>
        <v>0</v>
      </c>
      <c r="DC35" s="48">
        <f>SUMIFS(Imput[[Importe Neto]:[Importe Neto]],Imput[[C. Imp.]:[C. Imp.]],'Indirect Costs'!$C35,Imput[[PERIODO Imp.]:[PERIODO Imp.]],'Indirect Costs'!DC$8)</f>
        <v>0</v>
      </c>
      <c r="DD35" s="48">
        <f>SUMIFS(Imput[[Importe Neto]:[Importe Neto]],Imput[[C. Imp.]:[C. Imp.]],'Indirect Costs'!$C35,Imput[[PERIODO Imp.]:[PERIODO Imp.]],'Indirect Costs'!DD$8)</f>
        <v>0</v>
      </c>
      <c r="DE35" s="48">
        <f>SUMIFS(Imput[[Importe Neto]:[Importe Neto]],Imput[[C. Imp.]:[C. Imp.]],'Indirect Costs'!$C35,Imput[[PERIODO Imp.]:[PERIODO Imp.]],'Indirect Costs'!DE$8)</f>
        <v>0</v>
      </c>
      <c r="DF35" s="143">
        <f>SUMIFS(Imput[[Importe Neto]:[Importe Neto]],Imput[[C. Imp.]:[C. Imp.]],'Indirect Costs'!$C35,Imput[[PERIODO Imp.]:[PERIODO Imp.]],'Indirect Costs'!DF$8)</f>
        <v>0</v>
      </c>
    </row>
    <row r="36" spans="1:110" outlineLevel="1" x14ac:dyDescent="0.25">
      <c r="A36" s="28" t="str">
        <f t="shared" si="3"/>
        <v/>
      </c>
      <c r="B36" s="50">
        <v>2</v>
      </c>
      <c r="C36" s="57" t="s">
        <v>1789</v>
      </c>
      <c r="D36" s="56" t="s">
        <v>550</v>
      </c>
      <c r="E36" s="57" t="s">
        <v>550</v>
      </c>
      <c r="F36" s="58">
        <v>50000</v>
      </c>
      <c r="G36" s="49"/>
      <c r="H36" s="51">
        <v>1</v>
      </c>
      <c r="I36" s="505">
        <f t="shared" si="7"/>
        <v>0</v>
      </c>
      <c r="J36" s="47"/>
      <c r="K36" s="142"/>
      <c r="L36" s="48"/>
      <c r="M36" s="48"/>
      <c r="N36" s="48"/>
      <c r="O36" s="48"/>
      <c r="P36" s="48"/>
      <c r="Q36" s="48"/>
      <c r="R36" s="48"/>
      <c r="S36" s="48"/>
      <c r="T36" s="48"/>
      <c r="U36" s="48"/>
      <c r="V36" s="48"/>
      <c r="W36" s="48"/>
      <c r="X36" s="48"/>
      <c r="Y36" s="48"/>
      <c r="Z36" s="48"/>
      <c r="AA36" s="48"/>
      <c r="AB36" s="48"/>
      <c r="AC36" s="48"/>
      <c r="AD36" s="48"/>
      <c r="AE36" s="48"/>
      <c r="AF36" s="48"/>
      <c r="AG36" s="48"/>
      <c r="AH36" s="48"/>
      <c r="AI36" s="48"/>
      <c r="AJ36" s="48"/>
      <c r="AK36" s="48"/>
      <c r="AL36" s="48"/>
      <c r="AM36" s="48"/>
      <c r="AN36" s="48"/>
      <c r="AO36" s="48"/>
      <c r="AP36" s="48"/>
      <c r="AQ36" s="48"/>
      <c r="AR36" s="48"/>
      <c r="AS36" s="48"/>
      <c r="AT36" s="48"/>
      <c r="AU36" s="48"/>
      <c r="AV36" s="48"/>
      <c r="AW36" s="48"/>
      <c r="AX36" s="48"/>
      <c r="AY36" s="48"/>
      <c r="AZ36" s="48"/>
      <c r="BA36" s="48"/>
      <c r="BB36" s="48"/>
      <c r="BC36" s="48"/>
      <c r="BD36" s="48"/>
      <c r="BE36" s="48"/>
      <c r="BF36" s="143"/>
      <c r="BG36" s="47"/>
      <c r="BH36" s="509"/>
      <c r="BI36" s="505">
        <f t="shared" si="6"/>
        <v>0</v>
      </c>
      <c r="BJ36" s="47"/>
      <c r="BK36" s="142">
        <f>SUMIFS(Imput[[Importe Neto]:[Importe Neto]],Imput[[C. Imp.]:[C. Imp.]],'Indirect Costs'!$C36,Imput[[PERIODO Imp.]:[PERIODO Imp.]],'Indirect Costs'!BK$8)</f>
        <v>0</v>
      </c>
      <c r="BL36" s="48">
        <f>SUMIFS(Imput[[Importe Neto]:[Importe Neto]],Imput[[C. Imp.]:[C. Imp.]],'Indirect Costs'!$C36,Imput[[PERIODO Imp.]:[PERIODO Imp.]],'Indirect Costs'!BL$8)</f>
        <v>0</v>
      </c>
      <c r="BM36" s="48">
        <f>SUMIFS(Imput[[Importe Neto]:[Importe Neto]],Imput[[C. Imp.]:[C. Imp.]],'Indirect Costs'!$C36,Imput[[PERIODO Imp.]:[PERIODO Imp.]],'Indirect Costs'!BM$8)</f>
        <v>0</v>
      </c>
      <c r="BN36" s="48">
        <f>SUMIFS(Imput[[Importe Neto]:[Importe Neto]],Imput[[C. Imp.]:[C. Imp.]],'Indirect Costs'!$C36,Imput[[PERIODO Imp.]:[PERIODO Imp.]],'Indirect Costs'!BN$8)</f>
        <v>0</v>
      </c>
      <c r="BO36" s="48">
        <f>SUMIFS(Imput[[Importe Neto]:[Importe Neto]],Imput[[C. Imp.]:[C. Imp.]],'Indirect Costs'!$C36,Imput[[PERIODO Imp.]:[PERIODO Imp.]],'Indirect Costs'!BO$8)</f>
        <v>0</v>
      </c>
      <c r="BP36" s="48">
        <f>SUMIFS(Imput[[Importe Neto]:[Importe Neto]],Imput[[C. Imp.]:[C. Imp.]],'Indirect Costs'!$C36,Imput[[PERIODO Imp.]:[PERIODO Imp.]],'Indirect Costs'!BP$8)</f>
        <v>0</v>
      </c>
      <c r="BQ36" s="48">
        <f>SUMIFS(Imput[[Importe Neto]:[Importe Neto]],Imput[[C. Imp.]:[C. Imp.]],'Indirect Costs'!$C36,Imput[[PERIODO Imp.]:[PERIODO Imp.]],'Indirect Costs'!BQ$8)</f>
        <v>0</v>
      </c>
      <c r="BR36" s="48">
        <f>SUMIFS(Imput[[Importe Neto]:[Importe Neto]],Imput[[C. Imp.]:[C. Imp.]],'Indirect Costs'!$C36,Imput[[PERIODO Imp.]:[PERIODO Imp.]],'Indirect Costs'!BR$8)</f>
        <v>0</v>
      </c>
      <c r="BS36" s="48">
        <f>SUMIFS(Imput[[Importe Neto]:[Importe Neto]],Imput[[C. Imp.]:[C. Imp.]],'Indirect Costs'!$C36,Imput[[PERIODO Imp.]:[PERIODO Imp.]],'Indirect Costs'!BS$8)</f>
        <v>0</v>
      </c>
      <c r="BT36" s="48">
        <f>SUMIFS(Imput[[Importe Neto]:[Importe Neto]],Imput[[C. Imp.]:[C. Imp.]],'Indirect Costs'!$C36,Imput[[PERIODO Imp.]:[PERIODO Imp.]],'Indirect Costs'!BT$8)</f>
        <v>0</v>
      </c>
      <c r="BU36" s="48">
        <f>SUMIFS(Imput[[Importe Neto]:[Importe Neto]],Imput[[C. Imp.]:[C. Imp.]],'Indirect Costs'!$C36,Imput[[PERIODO Imp.]:[PERIODO Imp.]],'Indirect Costs'!BU$8)</f>
        <v>0</v>
      </c>
      <c r="BV36" s="48">
        <f>SUMIFS(Imput[[Importe Neto]:[Importe Neto]],Imput[[C. Imp.]:[C. Imp.]],'Indirect Costs'!$C36,Imput[[PERIODO Imp.]:[PERIODO Imp.]],'Indirect Costs'!BV$8)</f>
        <v>0</v>
      </c>
      <c r="BW36" s="48">
        <f>SUMIFS(Imput[[Importe Neto]:[Importe Neto]],Imput[[C. Imp.]:[C. Imp.]],'Indirect Costs'!$C36,Imput[[PERIODO Imp.]:[PERIODO Imp.]],'Indirect Costs'!BW$8)</f>
        <v>0</v>
      </c>
      <c r="BX36" s="48">
        <f>SUMIFS(Imput[[Importe Neto]:[Importe Neto]],Imput[[C. Imp.]:[C. Imp.]],'Indirect Costs'!$C36,Imput[[PERIODO Imp.]:[PERIODO Imp.]],'Indirect Costs'!BX$8)</f>
        <v>0</v>
      </c>
      <c r="BY36" s="48">
        <f>SUMIFS(Imput[[Importe Neto]:[Importe Neto]],Imput[[C. Imp.]:[C. Imp.]],'Indirect Costs'!$C36,Imput[[PERIODO Imp.]:[PERIODO Imp.]],'Indirect Costs'!BY$8)</f>
        <v>0</v>
      </c>
      <c r="BZ36" s="48">
        <f>SUMIFS(Imput[[Importe Neto]:[Importe Neto]],Imput[[C. Imp.]:[C. Imp.]],'Indirect Costs'!$C36,Imput[[PERIODO Imp.]:[PERIODO Imp.]],'Indirect Costs'!BZ$8)</f>
        <v>0</v>
      </c>
      <c r="CA36" s="48">
        <f>SUMIFS(Imput[[Importe Neto]:[Importe Neto]],Imput[[C. Imp.]:[C. Imp.]],'Indirect Costs'!$C36,Imput[[PERIODO Imp.]:[PERIODO Imp.]],'Indirect Costs'!CA$8)</f>
        <v>0</v>
      </c>
      <c r="CB36" s="48">
        <f>SUMIFS(Imput[[Importe Neto]:[Importe Neto]],Imput[[C. Imp.]:[C. Imp.]],'Indirect Costs'!$C36,Imput[[PERIODO Imp.]:[PERIODO Imp.]],'Indirect Costs'!CB$8)</f>
        <v>0</v>
      </c>
      <c r="CC36" s="48">
        <f>SUMIFS(Imput[[Importe Neto]:[Importe Neto]],Imput[[C. Imp.]:[C. Imp.]],'Indirect Costs'!$C36,Imput[[PERIODO Imp.]:[PERIODO Imp.]],'Indirect Costs'!CC$8)</f>
        <v>0</v>
      </c>
      <c r="CD36" s="48">
        <f>SUMIFS(Imput[[Importe Neto]:[Importe Neto]],Imput[[C. Imp.]:[C. Imp.]],'Indirect Costs'!$C36,Imput[[PERIODO Imp.]:[PERIODO Imp.]],'Indirect Costs'!CD$8)</f>
        <v>0</v>
      </c>
      <c r="CE36" s="48">
        <f>SUMIFS(Imput[[Importe Neto]:[Importe Neto]],Imput[[C. Imp.]:[C. Imp.]],'Indirect Costs'!$C36,Imput[[PERIODO Imp.]:[PERIODO Imp.]],'Indirect Costs'!CE$8)</f>
        <v>0</v>
      </c>
      <c r="CF36" s="48">
        <f>SUMIFS(Imput[[Importe Neto]:[Importe Neto]],Imput[[C. Imp.]:[C. Imp.]],'Indirect Costs'!$C36,Imput[[PERIODO Imp.]:[PERIODO Imp.]],'Indirect Costs'!CF$8)</f>
        <v>0</v>
      </c>
      <c r="CG36" s="48">
        <f>SUMIFS(Imput[[Importe Neto]:[Importe Neto]],Imput[[C. Imp.]:[C. Imp.]],'Indirect Costs'!$C36,Imput[[PERIODO Imp.]:[PERIODO Imp.]],'Indirect Costs'!CG$8)</f>
        <v>0</v>
      </c>
      <c r="CH36" s="48">
        <f>SUMIFS(Imput[[Importe Neto]:[Importe Neto]],Imput[[C. Imp.]:[C. Imp.]],'Indirect Costs'!$C36,Imput[[PERIODO Imp.]:[PERIODO Imp.]],'Indirect Costs'!CH$8)</f>
        <v>0</v>
      </c>
      <c r="CI36" s="48">
        <f>SUMIFS(Imput[[Importe Neto]:[Importe Neto]],Imput[[C. Imp.]:[C. Imp.]],'Indirect Costs'!$C36,Imput[[PERIODO Imp.]:[PERIODO Imp.]],'Indirect Costs'!CI$8)</f>
        <v>0</v>
      </c>
      <c r="CJ36" s="48">
        <f>SUMIFS(Imput[[Importe Neto]:[Importe Neto]],Imput[[C. Imp.]:[C. Imp.]],'Indirect Costs'!$C36,Imput[[PERIODO Imp.]:[PERIODO Imp.]],'Indirect Costs'!CJ$8)</f>
        <v>0</v>
      </c>
      <c r="CK36" s="48">
        <f>SUMIFS(Imput[[Importe Neto]:[Importe Neto]],Imput[[C. Imp.]:[C. Imp.]],'Indirect Costs'!$C36,Imput[[PERIODO Imp.]:[PERIODO Imp.]],'Indirect Costs'!CK$8)</f>
        <v>0</v>
      </c>
      <c r="CL36" s="48">
        <f>SUMIFS(Imput[[Importe Neto]:[Importe Neto]],Imput[[C. Imp.]:[C. Imp.]],'Indirect Costs'!$C36,Imput[[PERIODO Imp.]:[PERIODO Imp.]],'Indirect Costs'!CL$8)</f>
        <v>0</v>
      </c>
      <c r="CM36" s="48">
        <f>SUMIFS(Imput[[Importe Neto]:[Importe Neto]],Imput[[C. Imp.]:[C. Imp.]],'Indirect Costs'!$C36,Imput[[PERIODO Imp.]:[PERIODO Imp.]],'Indirect Costs'!CM$8)</f>
        <v>0</v>
      </c>
      <c r="CN36" s="48">
        <f>SUMIFS(Imput[[Importe Neto]:[Importe Neto]],Imput[[C. Imp.]:[C. Imp.]],'Indirect Costs'!$C36,Imput[[PERIODO Imp.]:[PERIODO Imp.]],'Indirect Costs'!CN$8)</f>
        <v>0</v>
      </c>
      <c r="CO36" s="48">
        <f>SUMIFS(Imput[[Importe Neto]:[Importe Neto]],Imput[[C. Imp.]:[C. Imp.]],'Indirect Costs'!$C36,Imput[[PERIODO Imp.]:[PERIODO Imp.]],'Indirect Costs'!CO$8)</f>
        <v>0</v>
      </c>
      <c r="CP36" s="48">
        <f>SUMIFS(Imput[[Importe Neto]:[Importe Neto]],Imput[[C. Imp.]:[C. Imp.]],'Indirect Costs'!$C36,Imput[[PERIODO Imp.]:[PERIODO Imp.]],'Indirect Costs'!CP$8)</f>
        <v>0</v>
      </c>
      <c r="CQ36" s="48">
        <f>SUMIFS(Imput[[Importe Neto]:[Importe Neto]],Imput[[C. Imp.]:[C. Imp.]],'Indirect Costs'!$C36,Imput[[PERIODO Imp.]:[PERIODO Imp.]],'Indirect Costs'!CQ$8)</f>
        <v>0</v>
      </c>
      <c r="CR36" s="48">
        <f>SUMIFS(Imput[[Importe Neto]:[Importe Neto]],Imput[[C. Imp.]:[C. Imp.]],'Indirect Costs'!$C36,Imput[[PERIODO Imp.]:[PERIODO Imp.]],'Indirect Costs'!CR$8)</f>
        <v>0</v>
      </c>
      <c r="CS36" s="48">
        <f>SUMIFS(Imput[[Importe Neto]:[Importe Neto]],Imput[[C. Imp.]:[C. Imp.]],'Indirect Costs'!$C36,Imput[[PERIODO Imp.]:[PERIODO Imp.]],'Indirect Costs'!CS$8)</f>
        <v>0</v>
      </c>
      <c r="CT36" s="48">
        <f>SUMIFS(Imput[[Importe Neto]:[Importe Neto]],Imput[[C. Imp.]:[C. Imp.]],'Indirect Costs'!$C36,Imput[[PERIODO Imp.]:[PERIODO Imp.]],'Indirect Costs'!CT$8)</f>
        <v>0</v>
      </c>
      <c r="CU36" s="48">
        <f>SUMIFS(Imput[[Importe Neto]:[Importe Neto]],Imput[[C. Imp.]:[C. Imp.]],'Indirect Costs'!$C36,Imput[[PERIODO Imp.]:[PERIODO Imp.]],'Indirect Costs'!CU$8)</f>
        <v>0</v>
      </c>
      <c r="CV36" s="48">
        <f>SUMIFS(Imput[[Importe Neto]:[Importe Neto]],Imput[[C. Imp.]:[C. Imp.]],'Indirect Costs'!$C36,Imput[[PERIODO Imp.]:[PERIODO Imp.]],'Indirect Costs'!CV$8)</f>
        <v>0</v>
      </c>
      <c r="CW36" s="48">
        <f>SUMIFS(Imput[[Importe Neto]:[Importe Neto]],Imput[[C. Imp.]:[C. Imp.]],'Indirect Costs'!$C36,Imput[[PERIODO Imp.]:[PERIODO Imp.]],'Indirect Costs'!CW$8)</f>
        <v>0</v>
      </c>
      <c r="CX36" s="48">
        <f>SUMIFS(Imput[[Importe Neto]:[Importe Neto]],Imput[[C. Imp.]:[C. Imp.]],'Indirect Costs'!$C36,Imput[[PERIODO Imp.]:[PERIODO Imp.]],'Indirect Costs'!CX$8)</f>
        <v>0</v>
      </c>
      <c r="CY36" s="48">
        <f>SUMIFS(Imput[[Importe Neto]:[Importe Neto]],Imput[[C. Imp.]:[C. Imp.]],'Indirect Costs'!$C36,Imput[[PERIODO Imp.]:[PERIODO Imp.]],'Indirect Costs'!CY$8)</f>
        <v>0</v>
      </c>
      <c r="CZ36" s="48">
        <f>SUMIFS(Imput[[Importe Neto]:[Importe Neto]],Imput[[C. Imp.]:[C. Imp.]],'Indirect Costs'!$C36,Imput[[PERIODO Imp.]:[PERIODO Imp.]],'Indirect Costs'!CZ$8)</f>
        <v>0</v>
      </c>
      <c r="DA36" s="48">
        <f>SUMIFS(Imput[[Importe Neto]:[Importe Neto]],Imput[[C. Imp.]:[C. Imp.]],'Indirect Costs'!$C36,Imput[[PERIODO Imp.]:[PERIODO Imp.]],'Indirect Costs'!DA$8)</f>
        <v>0</v>
      </c>
      <c r="DB36" s="48">
        <f>SUMIFS(Imput[[Importe Neto]:[Importe Neto]],Imput[[C. Imp.]:[C. Imp.]],'Indirect Costs'!$C36,Imput[[PERIODO Imp.]:[PERIODO Imp.]],'Indirect Costs'!DB$8)</f>
        <v>0</v>
      </c>
      <c r="DC36" s="48">
        <f>SUMIFS(Imput[[Importe Neto]:[Importe Neto]],Imput[[C. Imp.]:[C. Imp.]],'Indirect Costs'!$C36,Imput[[PERIODO Imp.]:[PERIODO Imp.]],'Indirect Costs'!DC$8)</f>
        <v>0</v>
      </c>
      <c r="DD36" s="48">
        <f>SUMIFS(Imput[[Importe Neto]:[Importe Neto]],Imput[[C. Imp.]:[C. Imp.]],'Indirect Costs'!$C36,Imput[[PERIODO Imp.]:[PERIODO Imp.]],'Indirect Costs'!DD$8)</f>
        <v>0</v>
      </c>
      <c r="DE36" s="48">
        <f>SUMIFS(Imput[[Importe Neto]:[Importe Neto]],Imput[[C. Imp.]:[C. Imp.]],'Indirect Costs'!$C36,Imput[[PERIODO Imp.]:[PERIODO Imp.]],'Indirect Costs'!DE$8)</f>
        <v>0</v>
      </c>
      <c r="DF36" s="143">
        <f>SUMIFS(Imput[[Importe Neto]:[Importe Neto]],Imput[[C. Imp.]:[C. Imp.]],'Indirect Costs'!$C36,Imput[[PERIODO Imp.]:[PERIODO Imp.]],'Indirect Costs'!DF$8)</f>
        <v>0</v>
      </c>
    </row>
    <row r="37" spans="1:110" outlineLevel="1" x14ac:dyDescent="0.25">
      <c r="A37" s="28" t="str">
        <f t="shared" si="3"/>
        <v/>
      </c>
      <c r="B37" s="50">
        <v>3</v>
      </c>
      <c r="C37" s="57" t="s">
        <v>1790</v>
      </c>
      <c r="D37" s="56" t="s">
        <v>551</v>
      </c>
      <c r="E37" s="57" t="s">
        <v>551</v>
      </c>
      <c r="F37" s="58">
        <v>60000</v>
      </c>
      <c r="G37" s="49"/>
      <c r="H37" s="51">
        <v>1</v>
      </c>
      <c r="I37" s="505">
        <f t="shared" si="7"/>
        <v>0</v>
      </c>
      <c r="J37" s="47"/>
      <c r="K37" s="142"/>
      <c r="L37" s="48"/>
      <c r="M37" s="48"/>
      <c r="N37" s="48"/>
      <c r="O37" s="48"/>
      <c r="P37" s="48"/>
      <c r="Q37" s="48"/>
      <c r="R37" s="48"/>
      <c r="S37" s="48"/>
      <c r="T37" s="48"/>
      <c r="U37" s="48"/>
      <c r="V37" s="48"/>
      <c r="W37" s="48"/>
      <c r="X37" s="48"/>
      <c r="Y37" s="48"/>
      <c r="Z37" s="48"/>
      <c r="AA37" s="48"/>
      <c r="AB37" s="48"/>
      <c r="AC37" s="48"/>
      <c r="AD37" s="48"/>
      <c r="AE37" s="48"/>
      <c r="AF37" s="48"/>
      <c r="AG37" s="48"/>
      <c r="AH37" s="48"/>
      <c r="AI37" s="48"/>
      <c r="AJ37" s="48"/>
      <c r="AK37" s="48"/>
      <c r="AL37" s="48"/>
      <c r="AM37" s="48"/>
      <c r="AN37" s="48"/>
      <c r="AO37" s="48"/>
      <c r="AP37" s="48"/>
      <c r="AQ37" s="48"/>
      <c r="AR37" s="48"/>
      <c r="AS37" s="48"/>
      <c r="AT37" s="48"/>
      <c r="AU37" s="48"/>
      <c r="AV37" s="48"/>
      <c r="AW37" s="48"/>
      <c r="AX37" s="48"/>
      <c r="AY37" s="48"/>
      <c r="AZ37" s="48"/>
      <c r="BA37" s="48"/>
      <c r="BB37" s="48"/>
      <c r="BC37" s="48"/>
      <c r="BD37" s="48"/>
      <c r="BE37" s="48"/>
      <c r="BF37" s="143"/>
      <c r="BG37" s="47"/>
      <c r="BH37" s="509"/>
      <c r="BI37" s="505">
        <f t="shared" si="6"/>
        <v>0</v>
      </c>
      <c r="BJ37" s="47"/>
      <c r="BK37" s="142">
        <f>SUMIFS(Imput[[Importe Neto]:[Importe Neto]],Imput[[C. Imp.]:[C. Imp.]],'Indirect Costs'!$C37,Imput[[PERIODO Imp.]:[PERIODO Imp.]],'Indirect Costs'!BK$8)</f>
        <v>0</v>
      </c>
      <c r="BL37" s="48">
        <f>SUMIFS(Imput[[Importe Neto]:[Importe Neto]],Imput[[C. Imp.]:[C. Imp.]],'Indirect Costs'!$C37,Imput[[PERIODO Imp.]:[PERIODO Imp.]],'Indirect Costs'!BL$8)</f>
        <v>0</v>
      </c>
      <c r="BM37" s="48">
        <f>SUMIFS(Imput[[Importe Neto]:[Importe Neto]],Imput[[C. Imp.]:[C. Imp.]],'Indirect Costs'!$C37,Imput[[PERIODO Imp.]:[PERIODO Imp.]],'Indirect Costs'!BM$8)</f>
        <v>0</v>
      </c>
      <c r="BN37" s="48">
        <f>SUMIFS(Imput[[Importe Neto]:[Importe Neto]],Imput[[C. Imp.]:[C. Imp.]],'Indirect Costs'!$C37,Imput[[PERIODO Imp.]:[PERIODO Imp.]],'Indirect Costs'!BN$8)</f>
        <v>0</v>
      </c>
      <c r="BO37" s="48">
        <f>SUMIFS(Imput[[Importe Neto]:[Importe Neto]],Imput[[C. Imp.]:[C. Imp.]],'Indirect Costs'!$C37,Imput[[PERIODO Imp.]:[PERIODO Imp.]],'Indirect Costs'!BO$8)</f>
        <v>0</v>
      </c>
      <c r="BP37" s="48">
        <f>SUMIFS(Imput[[Importe Neto]:[Importe Neto]],Imput[[C. Imp.]:[C. Imp.]],'Indirect Costs'!$C37,Imput[[PERIODO Imp.]:[PERIODO Imp.]],'Indirect Costs'!BP$8)</f>
        <v>0</v>
      </c>
      <c r="BQ37" s="48">
        <f>SUMIFS(Imput[[Importe Neto]:[Importe Neto]],Imput[[C. Imp.]:[C. Imp.]],'Indirect Costs'!$C37,Imput[[PERIODO Imp.]:[PERIODO Imp.]],'Indirect Costs'!BQ$8)</f>
        <v>0</v>
      </c>
      <c r="BR37" s="48">
        <f>SUMIFS(Imput[[Importe Neto]:[Importe Neto]],Imput[[C. Imp.]:[C. Imp.]],'Indirect Costs'!$C37,Imput[[PERIODO Imp.]:[PERIODO Imp.]],'Indirect Costs'!BR$8)</f>
        <v>0</v>
      </c>
      <c r="BS37" s="48">
        <f>SUMIFS(Imput[[Importe Neto]:[Importe Neto]],Imput[[C. Imp.]:[C. Imp.]],'Indirect Costs'!$C37,Imput[[PERIODO Imp.]:[PERIODO Imp.]],'Indirect Costs'!BS$8)</f>
        <v>0</v>
      </c>
      <c r="BT37" s="48">
        <f>SUMIFS(Imput[[Importe Neto]:[Importe Neto]],Imput[[C. Imp.]:[C. Imp.]],'Indirect Costs'!$C37,Imput[[PERIODO Imp.]:[PERIODO Imp.]],'Indirect Costs'!BT$8)</f>
        <v>0</v>
      </c>
      <c r="BU37" s="48">
        <f>SUMIFS(Imput[[Importe Neto]:[Importe Neto]],Imput[[C. Imp.]:[C. Imp.]],'Indirect Costs'!$C37,Imput[[PERIODO Imp.]:[PERIODO Imp.]],'Indirect Costs'!BU$8)</f>
        <v>0</v>
      </c>
      <c r="BV37" s="48">
        <f>SUMIFS(Imput[[Importe Neto]:[Importe Neto]],Imput[[C. Imp.]:[C. Imp.]],'Indirect Costs'!$C37,Imput[[PERIODO Imp.]:[PERIODO Imp.]],'Indirect Costs'!BV$8)</f>
        <v>0</v>
      </c>
      <c r="BW37" s="48">
        <f>SUMIFS(Imput[[Importe Neto]:[Importe Neto]],Imput[[C. Imp.]:[C. Imp.]],'Indirect Costs'!$C37,Imput[[PERIODO Imp.]:[PERIODO Imp.]],'Indirect Costs'!BW$8)</f>
        <v>0</v>
      </c>
      <c r="BX37" s="48">
        <f>SUMIFS(Imput[[Importe Neto]:[Importe Neto]],Imput[[C. Imp.]:[C. Imp.]],'Indirect Costs'!$C37,Imput[[PERIODO Imp.]:[PERIODO Imp.]],'Indirect Costs'!BX$8)</f>
        <v>0</v>
      </c>
      <c r="BY37" s="48">
        <f>SUMIFS(Imput[[Importe Neto]:[Importe Neto]],Imput[[C. Imp.]:[C. Imp.]],'Indirect Costs'!$C37,Imput[[PERIODO Imp.]:[PERIODO Imp.]],'Indirect Costs'!BY$8)</f>
        <v>0</v>
      </c>
      <c r="BZ37" s="48">
        <f>SUMIFS(Imput[[Importe Neto]:[Importe Neto]],Imput[[C. Imp.]:[C. Imp.]],'Indirect Costs'!$C37,Imput[[PERIODO Imp.]:[PERIODO Imp.]],'Indirect Costs'!BZ$8)</f>
        <v>0</v>
      </c>
      <c r="CA37" s="48">
        <f>SUMIFS(Imput[[Importe Neto]:[Importe Neto]],Imput[[C. Imp.]:[C. Imp.]],'Indirect Costs'!$C37,Imput[[PERIODO Imp.]:[PERIODO Imp.]],'Indirect Costs'!CA$8)</f>
        <v>0</v>
      </c>
      <c r="CB37" s="48">
        <f>SUMIFS(Imput[[Importe Neto]:[Importe Neto]],Imput[[C. Imp.]:[C. Imp.]],'Indirect Costs'!$C37,Imput[[PERIODO Imp.]:[PERIODO Imp.]],'Indirect Costs'!CB$8)</f>
        <v>0</v>
      </c>
      <c r="CC37" s="48">
        <f>SUMIFS(Imput[[Importe Neto]:[Importe Neto]],Imput[[C. Imp.]:[C. Imp.]],'Indirect Costs'!$C37,Imput[[PERIODO Imp.]:[PERIODO Imp.]],'Indirect Costs'!CC$8)</f>
        <v>0</v>
      </c>
      <c r="CD37" s="48">
        <f>SUMIFS(Imput[[Importe Neto]:[Importe Neto]],Imput[[C. Imp.]:[C. Imp.]],'Indirect Costs'!$C37,Imput[[PERIODO Imp.]:[PERIODO Imp.]],'Indirect Costs'!CD$8)</f>
        <v>0</v>
      </c>
      <c r="CE37" s="48">
        <f>SUMIFS(Imput[[Importe Neto]:[Importe Neto]],Imput[[C. Imp.]:[C. Imp.]],'Indirect Costs'!$C37,Imput[[PERIODO Imp.]:[PERIODO Imp.]],'Indirect Costs'!CE$8)</f>
        <v>0</v>
      </c>
      <c r="CF37" s="48">
        <f>SUMIFS(Imput[[Importe Neto]:[Importe Neto]],Imput[[C. Imp.]:[C. Imp.]],'Indirect Costs'!$C37,Imput[[PERIODO Imp.]:[PERIODO Imp.]],'Indirect Costs'!CF$8)</f>
        <v>0</v>
      </c>
      <c r="CG37" s="48">
        <f>SUMIFS(Imput[[Importe Neto]:[Importe Neto]],Imput[[C. Imp.]:[C. Imp.]],'Indirect Costs'!$C37,Imput[[PERIODO Imp.]:[PERIODO Imp.]],'Indirect Costs'!CG$8)</f>
        <v>0</v>
      </c>
      <c r="CH37" s="48">
        <f>SUMIFS(Imput[[Importe Neto]:[Importe Neto]],Imput[[C. Imp.]:[C. Imp.]],'Indirect Costs'!$C37,Imput[[PERIODO Imp.]:[PERIODO Imp.]],'Indirect Costs'!CH$8)</f>
        <v>0</v>
      </c>
      <c r="CI37" s="48">
        <f>SUMIFS(Imput[[Importe Neto]:[Importe Neto]],Imput[[C. Imp.]:[C. Imp.]],'Indirect Costs'!$C37,Imput[[PERIODO Imp.]:[PERIODO Imp.]],'Indirect Costs'!CI$8)</f>
        <v>0</v>
      </c>
      <c r="CJ37" s="48">
        <f>SUMIFS(Imput[[Importe Neto]:[Importe Neto]],Imput[[C. Imp.]:[C. Imp.]],'Indirect Costs'!$C37,Imput[[PERIODO Imp.]:[PERIODO Imp.]],'Indirect Costs'!CJ$8)</f>
        <v>0</v>
      </c>
      <c r="CK37" s="48">
        <f>SUMIFS(Imput[[Importe Neto]:[Importe Neto]],Imput[[C. Imp.]:[C. Imp.]],'Indirect Costs'!$C37,Imput[[PERIODO Imp.]:[PERIODO Imp.]],'Indirect Costs'!CK$8)</f>
        <v>0</v>
      </c>
      <c r="CL37" s="48">
        <f>SUMIFS(Imput[[Importe Neto]:[Importe Neto]],Imput[[C. Imp.]:[C. Imp.]],'Indirect Costs'!$C37,Imput[[PERIODO Imp.]:[PERIODO Imp.]],'Indirect Costs'!CL$8)</f>
        <v>0</v>
      </c>
      <c r="CM37" s="48">
        <f>SUMIFS(Imput[[Importe Neto]:[Importe Neto]],Imput[[C. Imp.]:[C. Imp.]],'Indirect Costs'!$C37,Imput[[PERIODO Imp.]:[PERIODO Imp.]],'Indirect Costs'!CM$8)</f>
        <v>0</v>
      </c>
      <c r="CN37" s="48">
        <f>SUMIFS(Imput[[Importe Neto]:[Importe Neto]],Imput[[C. Imp.]:[C. Imp.]],'Indirect Costs'!$C37,Imput[[PERIODO Imp.]:[PERIODO Imp.]],'Indirect Costs'!CN$8)</f>
        <v>0</v>
      </c>
      <c r="CO37" s="48">
        <f>SUMIFS(Imput[[Importe Neto]:[Importe Neto]],Imput[[C. Imp.]:[C. Imp.]],'Indirect Costs'!$C37,Imput[[PERIODO Imp.]:[PERIODO Imp.]],'Indirect Costs'!CO$8)</f>
        <v>0</v>
      </c>
      <c r="CP37" s="48">
        <f>SUMIFS(Imput[[Importe Neto]:[Importe Neto]],Imput[[C. Imp.]:[C. Imp.]],'Indirect Costs'!$C37,Imput[[PERIODO Imp.]:[PERIODO Imp.]],'Indirect Costs'!CP$8)</f>
        <v>0</v>
      </c>
      <c r="CQ37" s="48">
        <f>SUMIFS(Imput[[Importe Neto]:[Importe Neto]],Imput[[C. Imp.]:[C. Imp.]],'Indirect Costs'!$C37,Imput[[PERIODO Imp.]:[PERIODO Imp.]],'Indirect Costs'!CQ$8)</f>
        <v>0</v>
      </c>
      <c r="CR37" s="48">
        <f>SUMIFS(Imput[[Importe Neto]:[Importe Neto]],Imput[[C. Imp.]:[C. Imp.]],'Indirect Costs'!$C37,Imput[[PERIODO Imp.]:[PERIODO Imp.]],'Indirect Costs'!CR$8)</f>
        <v>0</v>
      </c>
      <c r="CS37" s="48">
        <f>SUMIFS(Imput[[Importe Neto]:[Importe Neto]],Imput[[C. Imp.]:[C. Imp.]],'Indirect Costs'!$C37,Imput[[PERIODO Imp.]:[PERIODO Imp.]],'Indirect Costs'!CS$8)</f>
        <v>0</v>
      </c>
      <c r="CT37" s="48">
        <f>SUMIFS(Imput[[Importe Neto]:[Importe Neto]],Imput[[C. Imp.]:[C. Imp.]],'Indirect Costs'!$C37,Imput[[PERIODO Imp.]:[PERIODO Imp.]],'Indirect Costs'!CT$8)</f>
        <v>0</v>
      </c>
      <c r="CU37" s="48">
        <f>SUMIFS(Imput[[Importe Neto]:[Importe Neto]],Imput[[C. Imp.]:[C. Imp.]],'Indirect Costs'!$C37,Imput[[PERIODO Imp.]:[PERIODO Imp.]],'Indirect Costs'!CU$8)</f>
        <v>0</v>
      </c>
      <c r="CV37" s="48">
        <f>SUMIFS(Imput[[Importe Neto]:[Importe Neto]],Imput[[C. Imp.]:[C. Imp.]],'Indirect Costs'!$C37,Imput[[PERIODO Imp.]:[PERIODO Imp.]],'Indirect Costs'!CV$8)</f>
        <v>0</v>
      </c>
      <c r="CW37" s="48">
        <f>SUMIFS(Imput[[Importe Neto]:[Importe Neto]],Imput[[C. Imp.]:[C. Imp.]],'Indirect Costs'!$C37,Imput[[PERIODO Imp.]:[PERIODO Imp.]],'Indirect Costs'!CW$8)</f>
        <v>0</v>
      </c>
      <c r="CX37" s="48">
        <f>SUMIFS(Imput[[Importe Neto]:[Importe Neto]],Imput[[C. Imp.]:[C. Imp.]],'Indirect Costs'!$C37,Imput[[PERIODO Imp.]:[PERIODO Imp.]],'Indirect Costs'!CX$8)</f>
        <v>0</v>
      </c>
      <c r="CY37" s="48">
        <f>SUMIFS(Imput[[Importe Neto]:[Importe Neto]],Imput[[C. Imp.]:[C. Imp.]],'Indirect Costs'!$C37,Imput[[PERIODO Imp.]:[PERIODO Imp.]],'Indirect Costs'!CY$8)</f>
        <v>0</v>
      </c>
      <c r="CZ37" s="48">
        <f>SUMIFS(Imput[[Importe Neto]:[Importe Neto]],Imput[[C. Imp.]:[C. Imp.]],'Indirect Costs'!$C37,Imput[[PERIODO Imp.]:[PERIODO Imp.]],'Indirect Costs'!CZ$8)</f>
        <v>0</v>
      </c>
      <c r="DA37" s="48">
        <f>SUMIFS(Imput[[Importe Neto]:[Importe Neto]],Imput[[C. Imp.]:[C. Imp.]],'Indirect Costs'!$C37,Imput[[PERIODO Imp.]:[PERIODO Imp.]],'Indirect Costs'!DA$8)</f>
        <v>0</v>
      </c>
      <c r="DB37" s="48">
        <f>SUMIFS(Imput[[Importe Neto]:[Importe Neto]],Imput[[C. Imp.]:[C. Imp.]],'Indirect Costs'!$C37,Imput[[PERIODO Imp.]:[PERIODO Imp.]],'Indirect Costs'!DB$8)</f>
        <v>0</v>
      </c>
      <c r="DC37" s="48">
        <f>SUMIFS(Imput[[Importe Neto]:[Importe Neto]],Imput[[C. Imp.]:[C. Imp.]],'Indirect Costs'!$C37,Imput[[PERIODO Imp.]:[PERIODO Imp.]],'Indirect Costs'!DC$8)</f>
        <v>0</v>
      </c>
      <c r="DD37" s="48">
        <f>SUMIFS(Imput[[Importe Neto]:[Importe Neto]],Imput[[C. Imp.]:[C. Imp.]],'Indirect Costs'!$C37,Imput[[PERIODO Imp.]:[PERIODO Imp.]],'Indirect Costs'!DD$8)</f>
        <v>0</v>
      </c>
      <c r="DE37" s="48">
        <f>SUMIFS(Imput[[Importe Neto]:[Importe Neto]],Imput[[C. Imp.]:[C. Imp.]],'Indirect Costs'!$C37,Imput[[PERIODO Imp.]:[PERIODO Imp.]],'Indirect Costs'!DE$8)</f>
        <v>0</v>
      </c>
      <c r="DF37" s="143">
        <f>SUMIFS(Imput[[Importe Neto]:[Importe Neto]],Imput[[C. Imp.]:[C. Imp.]],'Indirect Costs'!$C37,Imput[[PERIODO Imp.]:[PERIODO Imp.]],'Indirect Costs'!DF$8)</f>
        <v>0</v>
      </c>
    </row>
    <row r="38" spans="1:110" outlineLevel="1" x14ac:dyDescent="0.25">
      <c r="A38" s="28" t="str">
        <f t="shared" si="3"/>
        <v/>
      </c>
      <c r="B38" s="50">
        <v>4</v>
      </c>
      <c r="C38" s="57" t="s">
        <v>1791</v>
      </c>
      <c r="D38" s="56" t="s">
        <v>552</v>
      </c>
      <c r="E38" s="57" t="s">
        <v>552</v>
      </c>
      <c r="F38" s="58">
        <v>40000</v>
      </c>
      <c r="G38" s="49"/>
      <c r="H38" s="51">
        <v>1</v>
      </c>
      <c r="I38" s="505">
        <f t="shared" si="7"/>
        <v>0</v>
      </c>
      <c r="J38" s="47"/>
      <c r="K38" s="142"/>
      <c r="L38" s="48"/>
      <c r="M38" s="48"/>
      <c r="N38" s="48"/>
      <c r="O38" s="48"/>
      <c r="P38" s="48"/>
      <c r="Q38" s="48"/>
      <c r="R38" s="48"/>
      <c r="S38" s="48"/>
      <c r="T38" s="48"/>
      <c r="U38" s="48"/>
      <c r="V38" s="48"/>
      <c r="W38" s="48"/>
      <c r="X38" s="48"/>
      <c r="Y38" s="48"/>
      <c r="Z38" s="48"/>
      <c r="AA38" s="48"/>
      <c r="AB38" s="48"/>
      <c r="AC38" s="48"/>
      <c r="AD38" s="48"/>
      <c r="AE38" s="48"/>
      <c r="AF38" s="48"/>
      <c r="AG38" s="48"/>
      <c r="AH38" s="48"/>
      <c r="AI38" s="48"/>
      <c r="AJ38" s="48"/>
      <c r="AK38" s="48"/>
      <c r="AL38" s="48"/>
      <c r="AM38" s="48"/>
      <c r="AN38" s="48"/>
      <c r="AO38" s="48"/>
      <c r="AP38" s="48"/>
      <c r="AQ38" s="48"/>
      <c r="AR38" s="48"/>
      <c r="AS38" s="48"/>
      <c r="AT38" s="48"/>
      <c r="AU38" s="48"/>
      <c r="AV38" s="48"/>
      <c r="AW38" s="48"/>
      <c r="AX38" s="48"/>
      <c r="AY38" s="48"/>
      <c r="AZ38" s="48"/>
      <c r="BA38" s="48"/>
      <c r="BB38" s="48"/>
      <c r="BC38" s="48"/>
      <c r="BD38" s="48"/>
      <c r="BE38" s="48"/>
      <c r="BF38" s="143"/>
      <c r="BG38" s="47"/>
      <c r="BH38" s="509"/>
      <c r="BI38" s="505">
        <f t="shared" si="6"/>
        <v>0</v>
      </c>
      <c r="BJ38" s="47"/>
      <c r="BK38" s="142">
        <f>SUMIFS(Imput[[Importe Neto]:[Importe Neto]],Imput[[C. Imp.]:[C. Imp.]],'Indirect Costs'!$C38,Imput[[PERIODO Imp.]:[PERIODO Imp.]],'Indirect Costs'!BK$8)</f>
        <v>0</v>
      </c>
      <c r="BL38" s="48">
        <f>SUMIFS(Imput[[Importe Neto]:[Importe Neto]],Imput[[C. Imp.]:[C. Imp.]],'Indirect Costs'!$C38,Imput[[PERIODO Imp.]:[PERIODO Imp.]],'Indirect Costs'!BL$8)</f>
        <v>0</v>
      </c>
      <c r="BM38" s="48">
        <f>SUMIFS(Imput[[Importe Neto]:[Importe Neto]],Imput[[C. Imp.]:[C. Imp.]],'Indirect Costs'!$C38,Imput[[PERIODO Imp.]:[PERIODO Imp.]],'Indirect Costs'!BM$8)</f>
        <v>0</v>
      </c>
      <c r="BN38" s="48">
        <f>SUMIFS(Imput[[Importe Neto]:[Importe Neto]],Imput[[C. Imp.]:[C. Imp.]],'Indirect Costs'!$C38,Imput[[PERIODO Imp.]:[PERIODO Imp.]],'Indirect Costs'!BN$8)</f>
        <v>0</v>
      </c>
      <c r="BO38" s="48">
        <f>SUMIFS(Imput[[Importe Neto]:[Importe Neto]],Imput[[C. Imp.]:[C. Imp.]],'Indirect Costs'!$C38,Imput[[PERIODO Imp.]:[PERIODO Imp.]],'Indirect Costs'!BO$8)</f>
        <v>0</v>
      </c>
      <c r="BP38" s="48">
        <f>SUMIFS(Imput[[Importe Neto]:[Importe Neto]],Imput[[C. Imp.]:[C. Imp.]],'Indirect Costs'!$C38,Imput[[PERIODO Imp.]:[PERIODO Imp.]],'Indirect Costs'!BP$8)</f>
        <v>0</v>
      </c>
      <c r="BQ38" s="48">
        <f>SUMIFS(Imput[[Importe Neto]:[Importe Neto]],Imput[[C. Imp.]:[C. Imp.]],'Indirect Costs'!$C38,Imput[[PERIODO Imp.]:[PERIODO Imp.]],'Indirect Costs'!BQ$8)</f>
        <v>0</v>
      </c>
      <c r="BR38" s="48">
        <f>SUMIFS(Imput[[Importe Neto]:[Importe Neto]],Imput[[C. Imp.]:[C. Imp.]],'Indirect Costs'!$C38,Imput[[PERIODO Imp.]:[PERIODO Imp.]],'Indirect Costs'!BR$8)</f>
        <v>0</v>
      </c>
      <c r="BS38" s="48">
        <f>SUMIFS(Imput[[Importe Neto]:[Importe Neto]],Imput[[C. Imp.]:[C. Imp.]],'Indirect Costs'!$C38,Imput[[PERIODO Imp.]:[PERIODO Imp.]],'Indirect Costs'!BS$8)</f>
        <v>0</v>
      </c>
      <c r="BT38" s="48">
        <f>SUMIFS(Imput[[Importe Neto]:[Importe Neto]],Imput[[C. Imp.]:[C. Imp.]],'Indirect Costs'!$C38,Imput[[PERIODO Imp.]:[PERIODO Imp.]],'Indirect Costs'!BT$8)</f>
        <v>0</v>
      </c>
      <c r="BU38" s="48">
        <f>SUMIFS(Imput[[Importe Neto]:[Importe Neto]],Imput[[C. Imp.]:[C. Imp.]],'Indirect Costs'!$C38,Imput[[PERIODO Imp.]:[PERIODO Imp.]],'Indirect Costs'!BU$8)</f>
        <v>0</v>
      </c>
      <c r="BV38" s="48">
        <f>SUMIFS(Imput[[Importe Neto]:[Importe Neto]],Imput[[C. Imp.]:[C. Imp.]],'Indirect Costs'!$C38,Imput[[PERIODO Imp.]:[PERIODO Imp.]],'Indirect Costs'!BV$8)</f>
        <v>0</v>
      </c>
      <c r="BW38" s="48">
        <f>SUMIFS(Imput[[Importe Neto]:[Importe Neto]],Imput[[C. Imp.]:[C. Imp.]],'Indirect Costs'!$C38,Imput[[PERIODO Imp.]:[PERIODO Imp.]],'Indirect Costs'!BW$8)</f>
        <v>0</v>
      </c>
      <c r="BX38" s="48">
        <f>SUMIFS(Imput[[Importe Neto]:[Importe Neto]],Imput[[C. Imp.]:[C. Imp.]],'Indirect Costs'!$C38,Imput[[PERIODO Imp.]:[PERIODO Imp.]],'Indirect Costs'!BX$8)</f>
        <v>0</v>
      </c>
      <c r="BY38" s="48">
        <f>SUMIFS(Imput[[Importe Neto]:[Importe Neto]],Imput[[C. Imp.]:[C. Imp.]],'Indirect Costs'!$C38,Imput[[PERIODO Imp.]:[PERIODO Imp.]],'Indirect Costs'!BY$8)</f>
        <v>0</v>
      </c>
      <c r="BZ38" s="48">
        <f>SUMIFS(Imput[[Importe Neto]:[Importe Neto]],Imput[[C. Imp.]:[C. Imp.]],'Indirect Costs'!$C38,Imput[[PERIODO Imp.]:[PERIODO Imp.]],'Indirect Costs'!BZ$8)</f>
        <v>0</v>
      </c>
      <c r="CA38" s="48">
        <f>SUMIFS(Imput[[Importe Neto]:[Importe Neto]],Imput[[C. Imp.]:[C. Imp.]],'Indirect Costs'!$C38,Imput[[PERIODO Imp.]:[PERIODO Imp.]],'Indirect Costs'!CA$8)</f>
        <v>0</v>
      </c>
      <c r="CB38" s="48">
        <f>SUMIFS(Imput[[Importe Neto]:[Importe Neto]],Imput[[C. Imp.]:[C. Imp.]],'Indirect Costs'!$C38,Imput[[PERIODO Imp.]:[PERIODO Imp.]],'Indirect Costs'!CB$8)</f>
        <v>0</v>
      </c>
      <c r="CC38" s="48">
        <f>SUMIFS(Imput[[Importe Neto]:[Importe Neto]],Imput[[C. Imp.]:[C. Imp.]],'Indirect Costs'!$C38,Imput[[PERIODO Imp.]:[PERIODO Imp.]],'Indirect Costs'!CC$8)</f>
        <v>0</v>
      </c>
      <c r="CD38" s="48">
        <f>SUMIFS(Imput[[Importe Neto]:[Importe Neto]],Imput[[C. Imp.]:[C. Imp.]],'Indirect Costs'!$C38,Imput[[PERIODO Imp.]:[PERIODO Imp.]],'Indirect Costs'!CD$8)</f>
        <v>0</v>
      </c>
      <c r="CE38" s="48">
        <f>SUMIFS(Imput[[Importe Neto]:[Importe Neto]],Imput[[C. Imp.]:[C. Imp.]],'Indirect Costs'!$C38,Imput[[PERIODO Imp.]:[PERIODO Imp.]],'Indirect Costs'!CE$8)</f>
        <v>0</v>
      </c>
      <c r="CF38" s="48">
        <f>SUMIFS(Imput[[Importe Neto]:[Importe Neto]],Imput[[C. Imp.]:[C. Imp.]],'Indirect Costs'!$C38,Imput[[PERIODO Imp.]:[PERIODO Imp.]],'Indirect Costs'!CF$8)</f>
        <v>0</v>
      </c>
      <c r="CG38" s="48">
        <f>SUMIFS(Imput[[Importe Neto]:[Importe Neto]],Imput[[C. Imp.]:[C. Imp.]],'Indirect Costs'!$C38,Imput[[PERIODO Imp.]:[PERIODO Imp.]],'Indirect Costs'!CG$8)</f>
        <v>0</v>
      </c>
      <c r="CH38" s="48">
        <f>SUMIFS(Imput[[Importe Neto]:[Importe Neto]],Imput[[C. Imp.]:[C. Imp.]],'Indirect Costs'!$C38,Imput[[PERIODO Imp.]:[PERIODO Imp.]],'Indirect Costs'!CH$8)</f>
        <v>0</v>
      </c>
      <c r="CI38" s="48">
        <f>SUMIFS(Imput[[Importe Neto]:[Importe Neto]],Imput[[C. Imp.]:[C. Imp.]],'Indirect Costs'!$C38,Imput[[PERIODO Imp.]:[PERIODO Imp.]],'Indirect Costs'!CI$8)</f>
        <v>0</v>
      </c>
      <c r="CJ38" s="48">
        <f>SUMIFS(Imput[[Importe Neto]:[Importe Neto]],Imput[[C. Imp.]:[C. Imp.]],'Indirect Costs'!$C38,Imput[[PERIODO Imp.]:[PERIODO Imp.]],'Indirect Costs'!CJ$8)</f>
        <v>0</v>
      </c>
      <c r="CK38" s="48">
        <f>SUMIFS(Imput[[Importe Neto]:[Importe Neto]],Imput[[C. Imp.]:[C. Imp.]],'Indirect Costs'!$C38,Imput[[PERIODO Imp.]:[PERIODO Imp.]],'Indirect Costs'!CK$8)</f>
        <v>0</v>
      </c>
      <c r="CL38" s="48">
        <f>SUMIFS(Imput[[Importe Neto]:[Importe Neto]],Imput[[C. Imp.]:[C. Imp.]],'Indirect Costs'!$C38,Imput[[PERIODO Imp.]:[PERIODO Imp.]],'Indirect Costs'!CL$8)</f>
        <v>0</v>
      </c>
      <c r="CM38" s="48">
        <f>SUMIFS(Imput[[Importe Neto]:[Importe Neto]],Imput[[C. Imp.]:[C. Imp.]],'Indirect Costs'!$C38,Imput[[PERIODO Imp.]:[PERIODO Imp.]],'Indirect Costs'!CM$8)</f>
        <v>0</v>
      </c>
      <c r="CN38" s="48">
        <f>SUMIFS(Imput[[Importe Neto]:[Importe Neto]],Imput[[C. Imp.]:[C. Imp.]],'Indirect Costs'!$C38,Imput[[PERIODO Imp.]:[PERIODO Imp.]],'Indirect Costs'!CN$8)</f>
        <v>0</v>
      </c>
      <c r="CO38" s="48">
        <f>SUMIFS(Imput[[Importe Neto]:[Importe Neto]],Imput[[C. Imp.]:[C. Imp.]],'Indirect Costs'!$C38,Imput[[PERIODO Imp.]:[PERIODO Imp.]],'Indirect Costs'!CO$8)</f>
        <v>0</v>
      </c>
      <c r="CP38" s="48">
        <f>SUMIFS(Imput[[Importe Neto]:[Importe Neto]],Imput[[C. Imp.]:[C. Imp.]],'Indirect Costs'!$C38,Imput[[PERIODO Imp.]:[PERIODO Imp.]],'Indirect Costs'!CP$8)</f>
        <v>0</v>
      </c>
      <c r="CQ38" s="48">
        <f>SUMIFS(Imput[[Importe Neto]:[Importe Neto]],Imput[[C. Imp.]:[C. Imp.]],'Indirect Costs'!$C38,Imput[[PERIODO Imp.]:[PERIODO Imp.]],'Indirect Costs'!CQ$8)</f>
        <v>0</v>
      </c>
      <c r="CR38" s="48">
        <f>SUMIFS(Imput[[Importe Neto]:[Importe Neto]],Imput[[C. Imp.]:[C. Imp.]],'Indirect Costs'!$C38,Imput[[PERIODO Imp.]:[PERIODO Imp.]],'Indirect Costs'!CR$8)</f>
        <v>0</v>
      </c>
      <c r="CS38" s="48">
        <f>SUMIFS(Imput[[Importe Neto]:[Importe Neto]],Imput[[C. Imp.]:[C. Imp.]],'Indirect Costs'!$C38,Imput[[PERIODO Imp.]:[PERIODO Imp.]],'Indirect Costs'!CS$8)</f>
        <v>0</v>
      </c>
      <c r="CT38" s="48">
        <f>SUMIFS(Imput[[Importe Neto]:[Importe Neto]],Imput[[C. Imp.]:[C. Imp.]],'Indirect Costs'!$C38,Imput[[PERIODO Imp.]:[PERIODO Imp.]],'Indirect Costs'!CT$8)</f>
        <v>0</v>
      </c>
      <c r="CU38" s="48">
        <f>SUMIFS(Imput[[Importe Neto]:[Importe Neto]],Imput[[C. Imp.]:[C. Imp.]],'Indirect Costs'!$C38,Imput[[PERIODO Imp.]:[PERIODO Imp.]],'Indirect Costs'!CU$8)</f>
        <v>0</v>
      </c>
      <c r="CV38" s="48">
        <f>SUMIFS(Imput[[Importe Neto]:[Importe Neto]],Imput[[C. Imp.]:[C. Imp.]],'Indirect Costs'!$C38,Imput[[PERIODO Imp.]:[PERIODO Imp.]],'Indirect Costs'!CV$8)</f>
        <v>0</v>
      </c>
      <c r="CW38" s="48">
        <f>SUMIFS(Imput[[Importe Neto]:[Importe Neto]],Imput[[C. Imp.]:[C. Imp.]],'Indirect Costs'!$C38,Imput[[PERIODO Imp.]:[PERIODO Imp.]],'Indirect Costs'!CW$8)</f>
        <v>0</v>
      </c>
      <c r="CX38" s="48">
        <f>SUMIFS(Imput[[Importe Neto]:[Importe Neto]],Imput[[C. Imp.]:[C. Imp.]],'Indirect Costs'!$C38,Imput[[PERIODO Imp.]:[PERIODO Imp.]],'Indirect Costs'!CX$8)</f>
        <v>0</v>
      </c>
      <c r="CY38" s="48">
        <f>SUMIFS(Imput[[Importe Neto]:[Importe Neto]],Imput[[C. Imp.]:[C. Imp.]],'Indirect Costs'!$C38,Imput[[PERIODO Imp.]:[PERIODO Imp.]],'Indirect Costs'!CY$8)</f>
        <v>0</v>
      </c>
      <c r="CZ38" s="48">
        <f>SUMIFS(Imput[[Importe Neto]:[Importe Neto]],Imput[[C. Imp.]:[C. Imp.]],'Indirect Costs'!$C38,Imput[[PERIODO Imp.]:[PERIODO Imp.]],'Indirect Costs'!CZ$8)</f>
        <v>0</v>
      </c>
      <c r="DA38" s="48">
        <f>SUMIFS(Imput[[Importe Neto]:[Importe Neto]],Imput[[C. Imp.]:[C. Imp.]],'Indirect Costs'!$C38,Imput[[PERIODO Imp.]:[PERIODO Imp.]],'Indirect Costs'!DA$8)</f>
        <v>0</v>
      </c>
      <c r="DB38" s="48">
        <f>SUMIFS(Imput[[Importe Neto]:[Importe Neto]],Imput[[C. Imp.]:[C. Imp.]],'Indirect Costs'!$C38,Imput[[PERIODO Imp.]:[PERIODO Imp.]],'Indirect Costs'!DB$8)</f>
        <v>0</v>
      </c>
      <c r="DC38" s="48">
        <f>SUMIFS(Imput[[Importe Neto]:[Importe Neto]],Imput[[C. Imp.]:[C. Imp.]],'Indirect Costs'!$C38,Imput[[PERIODO Imp.]:[PERIODO Imp.]],'Indirect Costs'!DC$8)</f>
        <v>0</v>
      </c>
      <c r="DD38" s="48">
        <f>SUMIFS(Imput[[Importe Neto]:[Importe Neto]],Imput[[C. Imp.]:[C. Imp.]],'Indirect Costs'!$C38,Imput[[PERIODO Imp.]:[PERIODO Imp.]],'Indirect Costs'!DD$8)</f>
        <v>0</v>
      </c>
      <c r="DE38" s="48">
        <f>SUMIFS(Imput[[Importe Neto]:[Importe Neto]],Imput[[C. Imp.]:[C. Imp.]],'Indirect Costs'!$C38,Imput[[PERIODO Imp.]:[PERIODO Imp.]],'Indirect Costs'!DE$8)</f>
        <v>0</v>
      </c>
      <c r="DF38" s="143">
        <f>SUMIFS(Imput[[Importe Neto]:[Importe Neto]],Imput[[C. Imp.]:[C. Imp.]],'Indirect Costs'!$C38,Imput[[PERIODO Imp.]:[PERIODO Imp.]],'Indirect Costs'!DF$8)</f>
        <v>0</v>
      </c>
    </row>
    <row r="39" spans="1:110" outlineLevel="1" x14ac:dyDescent="0.25">
      <c r="A39" s="28" t="str">
        <f t="shared" si="3"/>
        <v/>
      </c>
      <c r="B39" s="50">
        <v>5</v>
      </c>
      <c r="C39" s="57" t="s">
        <v>1792</v>
      </c>
      <c r="D39" s="56" t="s">
        <v>553</v>
      </c>
      <c r="E39" s="57" t="s">
        <v>553</v>
      </c>
      <c r="F39" s="58">
        <v>45000</v>
      </c>
      <c r="G39" s="49"/>
      <c r="H39" s="51">
        <v>1</v>
      </c>
      <c r="I39" s="505">
        <f t="shared" si="7"/>
        <v>0</v>
      </c>
      <c r="J39" s="47"/>
      <c r="K39" s="142"/>
      <c r="L39" s="48"/>
      <c r="M39" s="48"/>
      <c r="N39" s="48"/>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143"/>
      <c r="BG39" s="47"/>
      <c r="BH39" s="509"/>
      <c r="BI39" s="505">
        <f t="shared" si="6"/>
        <v>0</v>
      </c>
      <c r="BJ39" s="47"/>
      <c r="BK39" s="142">
        <f>SUMIFS(Imput[[Importe Neto]:[Importe Neto]],Imput[[C. Imp.]:[C. Imp.]],'Indirect Costs'!$C39,Imput[[PERIODO Imp.]:[PERIODO Imp.]],'Indirect Costs'!BK$8)</f>
        <v>0</v>
      </c>
      <c r="BL39" s="48">
        <f>SUMIFS(Imput[[Importe Neto]:[Importe Neto]],Imput[[C. Imp.]:[C. Imp.]],'Indirect Costs'!$C39,Imput[[PERIODO Imp.]:[PERIODO Imp.]],'Indirect Costs'!BL$8)</f>
        <v>0</v>
      </c>
      <c r="BM39" s="48">
        <f>SUMIFS(Imput[[Importe Neto]:[Importe Neto]],Imput[[C. Imp.]:[C. Imp.]],'Indirect Costs'!$C39,Imput[[PERIODO Imp.]:[PERIODO Imp.]],'Indirect Costs'!BM$8)</f>
        <v>0</v>
      </c>
      <c r="BN39" s="48">
        <f>SUMIFS(Imput[[Importe Neto]:[Importe Neto]],Imput[[C. Imp.]:[C. Imp.]],'Indirect Costs'!$C39,Imput[[PERIODO Imp.]:[PERIODO Imp.]],'Indirect Costs'!BN$8)</f>
        <v>0</v>
      </c>
      <c r="BO39" s="48">
        <f>SUMIFS(Imput[[Importe Neto]:[Importe Neto]],Imput[[C. Imp.]:[C. Imp.]],'Indirect Costs'!$C39,Imput[[PERIODO Imp.]:[PERIODO Imp.]],'Indirect Costs'!BO$8)</f>
        <v>0</v>
      </c>
      <c r="BP39" s="48">
        <f>SUMIFS(Imput[[Importe Neto]:[Importe Neto]],Imput[[C. Imp.]:[C. Imp.]],'Indirect Costs'!$C39,Imput[[PERIODO Imp.]:[PERIODO Imp.]],'Indirect Costs'!BP$8)</f>
        <v>0</v>
      </c>
      <c r="BQ39" s="48">
        <f>SUMIFS(Imput[[Importe Neto]:[Importe Neto]],Imput[[C. Imp.]:[C. Imp.]],'Indirect Costs'!$C39,Imput[[PERIODO Imp.]:[PERIODO Imp.]],'Indirect Costs'!BQ$8)</f>
        <v>0</v>
      </c>
      <c r="BR39" s="48">
        <f>SUMIFS(Imput[[Importe Neto]:[Importe Neto]],Imput[[C. Imp.]:[C. Imp.]],'Indirect Costs'!$C39,Imput[[PERIODO Imp.]:[PERIODO Imp.]],'Indirect Costs'!BR$8)</f>
        <v>0</v>
      </c>
      <c r="BS39" s="48">
        <f>SUMIFS(Imput[[Importe Neto]:[Importe Neto]],Imput[[C. Imp.]:[C. Imp.]],'Indirect Costs'!$C39,Imput[[PERIODO Imp.]:[PERIODO Imp.]],'Indirect Costs'!BS$8)</f>
        <v>0</v>
      </c>
      <c r="BT39" s="48">
        <f>SUMIFS(Imput[[Importe Neto]:[Importe Neto]],Imput[[C. Imp.]:[C. Imp.]],'Indirect Costs'!$C39,Imput[[PERIODO Imp.]:[PERIODO Imp.]],'Indirect Costs'!BT$8)</f>
        <v>0</v>
      </c>
      <c r="BU39" s="48">
        <f>SUMIFS(Imput[[Importe Neto]:[Importe Neto]],Imput[[C. Imp.]:[C. Imp.]],'Indirect Costs'!$C39,Imput[[PERIODO Imp.]:[PERIODO Imp.]],'Indirect Costs'!BU$8)</f>
        <v>0</v>
      </c>
      <c r="BV39" s="48">
        <f>SUMIFS(Imput[[Importe Neto]:[Importe Neto]],Imput[[C. Imp.]:[C. Imp.]],'Indirect Costs'!$C39,Imput[[PERIODO Imp.]:[PERIODO Imp.]],'Indirect Costs'!BV$8)</f>
        <v>0</v>
      </c>
      <c r="BW39" s="48">
        <f>SUMIFS(Imput[[Importe Neto]:[Importe Neto]],Imput[[C. Imp.]:[C. Imp.]],'Indirect Costs'!$C39,Imput[[PERIODO Imp.]:[PERIODO Imp.]],'Indirect Costs'!BW$8)</f>
        <v>0</v>
      </c>
      <c r="BX39" s="48">
        <f>SUMIFS(Imput[[Importe Neto]:[Importe Neto]],Imput[[C. Imp.]:[C. Imp.]],'Indirect Costs'!$C39,Imput[[PERIODO Imp.]:[PERIODO Imp.]],'Indirect Costs'!BX$8)</f>
        <v>0</v>
      </c>
      <c r="BY39" s="48">
        <f>SUMIFS(Imput[[Importe Neto]:[Importe Neto]],Imput[[C. Imp.]:[C. Imp.]],'Indirect Costs'!$C39,Imput[[PERIODO Imp.]:[PERIODO Imp.]],'Indirect Costs'!BY$8)</f>
        <v>0</v>
      </c>
      <c r="BZ39" s="48">
        <f>SUMIFS(Imput[[Importe Neto]:[Importe Neto]],Imput[[C. Imp.]:[C. Imp.]],'Indirect Costs'!$C39,Imput[[PERIODO Imp.]:[PERIODO Imp.]],'Indirect Costs'!BZ$8)</f>
        <v>0</v>
      </c>
      <c r="CA39" s="48">
        <f>SUMIFS(Imput[[Importe Neto]:[Importe Neto]],Imput[[C. Imp.]:[C. Imp.]],'Indirect Costs'!$C39,Imput[[PERIODO Imp.]:[PERIODO Imp.]],'Indirect Costs'!CA$8)</f>
        <v>0</v>
      </c>
      <c r="CB39" s="48">
        <f>SUMIFS(Imput[[Importe Neto]:[Importe Neto]],Imput[[C. Imp.]:[C. Imp.]],'Indirect Costs'!$C39,Imput[[PERIODO Imp.]:[PERIODO Imp.]],'Indirect Costs'!CB$8)</f>
        <v>0</v>
      </c>
      <c r="CC39" s="48">
        <f>SUMIFS(Imput[[Importe Neto]:[Importe Neto]],Imput[[C. Imp.]:[C. Imp.]],'Indirect Costs'!$C39,Imput[[PERIODO Imp.]:[PERIODO Imp.]],'Indirect Costs'!CC$8)</f>
        <v>0</v>
      </c>
      <c r="CD39" s="48">
        <f>SUMIFS(Imput[[Importe Neto]:[Importe Neto]],Imput[[C. Imp.]:[C. Imp.]],'Indirect Costs'!$C39,Imput[[PERIODO Imp.]:[PERIODO Imp.]],'Indirect Costs'!CD$8)</f>
        <v>0</v>
      </c>
      <c r="CE39" s="48">
        <f>SUMIFS(Imput[[Importe Neto]:[Importe Neto]],Imput[[C. Imp.]:[C. Imp.]],'Indirect Costs'!$C39,Imput[[PERIODO Imp.]:[PERIODO Imp.]],'Indirect Costs'!CE$8)</f>
        <v>0</v>
      </c>
      <c r="CF39" s="48">
        <f>SUMIFS(Imput[[Importe Neto]:[Importe Neto]],Imput[[C. Imp.]:[C. Imp.]],'Indirect Costs'!$C39,Imput[[PERIODO Imp.]:[PERIODO Imp.]],'Indirect Costs'!CF$8)</f>
        <v>0</v>
      </c>
      <c r="CG39" s="48">
        <f>SUMIFS(Imput[[Importe Neto]:[Importe Neto]],Imput[[C. Imp.]:[C. Imp.]],'Indirect Costs'!$C39,Imput[[PERIODO Imp.]:[PERIODO Imp.]],'Indirect Costs'!CG$8)</f>
        <v>0</v>
      </c>
      <c r="CH39" s="48">
        <f>SUMIFS(Imput[[Importe Neto]:[Importe Neto]],Imput[[C. Imp.]:[C. Imp.]],'Indirect Costs'!$C39,Imput[[PERIODO Imp.]:[PERIODO Imp.]],'Indirect Costs'!CH$8)</f>
        <v>0</v>
      </c>
      <c r="CI39" s="48">
        <f>SUMIFS(Imput[[Importe Neto]:[Importe Neto]],Imput[[C. Imp.]:[C. Imp.]],'Indirect Costs'!$C39,Imput[[PERIODO Imp.]:[PERIODO Imp.]],'Indirect Costs'!CI$8)</f>
        <v>0</v>
      </c>
      <c r="CJ39" s="48">
        <f>SUMIFS(Imput[[Importe Neto]:[Importe Neto]],Imput[[C. Imp.]:[C. Imp.]],'Indirect Costs'!$C39,Imput[[PERIODO Imp.]:[PERIODO Imp.]],'Indirect Costs'!CJ$8)</f>
        <v>0</v>
      </c>
      <c r="CK39" s="48">
        <f>SUMIFS(Imput[[Importe Neto]:[Importe Neto]],Imput[[C. Imp.]:[C. Imp.]],'Indirect Costs'!$C39,Imput[[PERIODO Imp.]:[PERIODO Imp.]],'Indirect Costs'!CK$8)</f>
        <v>0</v>
      </c>
      <c r="CL39" s="48">
        <f>SUMIFS(Imput[[Importe Neto]:[Importe Neto]],Imput[[C. Imp.]:[C. Imp.]],'Indirect Costs'!$C39,Imput[[PERIODO Imp.]:[PERIODO Imp.]],'Indirect Costs'!CL$8)</f>
        <v>0</v>
      </c>
      <c r="CM39" s="48">
        <f>SUMIFS(Imput[[Importe Neto]:[Importe Neto]],Imput[[C. Imp.]:[C. Imp.]],'Indirect Costs'!$C39,Imput[[PERIODO Imp.]:[PERIODO Imp.]],'Indirect Costs'!CM$8)</f>
        <v>0</v>
      </c>
      <c r="CN39" s="48">
        <f>SUMIFS(Imput[[Importe Neto]:[Importe Neto]],Imput[[C. Imp.]:[C. Imp.]],'Indirect Costs'!$C39,Imput[[PERIODO Imp.]:[PERIODO Imp.]],'Indirect Costs'!CN$8)</f>
        <v>0</v>
      </c>
      <c r="CO39" s="48">
        <f>SUMIFS(Imput[[Importe Neto]:[Importe Neto]],Imput[[C. Imp.]:[C. Imp.]],'Indirect Costs'!$C39,Imput[[PERIODO Imp.]:[PERIODO Imp.]],'Indirect Costs'!CO$8)</f>
        <v>0</v>
      </c>
      <c r="CP39" s="48">
        <f>SUMIFS(Imput[[Importe Neto]:[Importe Neto]],Imput[[C. Imp.]:[C. Imp.]],'Indirect Costs'!$C39,Imput[[PERIODO Imp.]:[PERIODO Imp.]],'Indirect Costs'!CP$8)</f>
        <v>0</v>
      </c>
      <c r="CQ39" s="48">
        <f>SUMIFS(Imput[[Importe Neto]:[Importe Neto]],Imput[[C. Imp.]:[C. Imp.]],'Indirect Costs'!$C39,Imput[[PERIODO Imp.]:[PERIODO Imp.]],'Indirect Costs'!CQ$8)</f>
        <v>0</v>
      </c>
      <c r="CR39" s="48">
        <f>SUMIFS(Imput[[Importe Neto]:[Importe Neto]],Imput[[C. Imp.]:[C. Imp.]],'Indirect Costs'!$C39,Imput[[PERIODO Imp.]:[PERIODO Imp.]],'Indirect Costs'!CR$8)</f>
        <v>0</v>
      </c>
      <c r="CS39" s="48">
        <f>SUMIFS(Imput[[Importe Neto]:[Importe Neto]],Imput[[C. Imp.]:[C. Imp.]],'Indirect Costs'!$C39,Imput[[PERIODO Imp.]:[PERIODO Imp.]],'Indirect Costs'!CS$8)</f>
        <v>0</v>
      </c>
      <c r="CT39" s="48">
        <f>SUMIFS(Imput[[Importe Neto]:[Importe Neto]],Imput[[C. Imp.]:[C. Imp.]],'Indirect Costs'!$C39,Imput[[PERIODO Imp.]:[PERIODO Imp.]],'Indirect Costs'!CT$8)</f>
        <v>0</v>
      </c>
      <c r="CU39" s="48">
        <f>SUMIFS(Imput[[Importe Neto]:[Importe Neto]],Imput[[C. Imp.]:[C. Imp.]],'Indirect Costs'!$C39,Imput[[PERIODO Imp.]:[PERIODO Imp.]],'Indirect Costs'!CU$8)</f>
        <v>0</v>
      </c>
      <c r="CV39" s="48">
        <f>SUMIFS(Imput[[Importe Neto]:[Importe Neto]],Imput[[C. Imp.]:[C. Imp.]],'Indirect Costs'!$C39,Imput[[PERIODO Imp.]:[PERIODO Imp.]],'Indirect Costs'!CV$8)</f>
        <v>0</v>
      </c>
      <c r="CW39" s="48">
        <f>SUMIFS(Imput[[Importe Neto]:[Importe Neto]],Imput[[C. Imp.]:[C. Imp.]],'Indirect Costs'!$C39,Imput[[PERIODO Imp.]:[PERIODO Imp.]],'Indirect Costs'!CW$8)</f>
        <v>0</v>
      </c>
      <c r="CX39" s="48">
        <f>SUMIFS(Imput[[Importe Neto]:[Importe Neto]],Imput[[C. Imp.]:[C. Imp.]],'Indirect Costs'!$C39,Imput[[PERIODO Imp.]:[PERIODO Imp.]],'Indirect Costs'!CX$8)</f>
        <v>0</v>
      </c>
      <c r="CY39" s="48">
        <f>SUMIFS(Imput[[Importe Neto]:[Importe Neto]],Imput[[C. Imp.]:[C. Imp.]],'Indirect Costs'!$C39,Imput[[PERIODO Imp.]:[PERIODO Imp.]],'Indirect Costs'!CY$8)</f>
        <v>0</v>
      </c>
      <c r="CZ39" s="48">
        <f>SUMIFS(Imput[[Importe Neto]:[Importe Neto]],Imput[[C. Imp.]:[C. Imp.]],'Indirect Costs'!$C39,Imput[[PERIODO Imp.]:[PERIODO Imp.]],'Indirect Costs'!CZ$8)</f>
        <v>0</v>
      </c>
      <c r="DA39" s="48">
        <f>SUMIFS(Imput[[Importe Neto]:[Importe Neto]],Imput[[C. Imp.]:[C. Imp.]],'Indirect Costs'!$C39,Imput[[PERIODO Imp.]:[PERIODO Imp.]],'Indirect Costs'!DA$8)</f>
        <v>0</v>
      </c>
      <c r="DB39" s="48">
        <f>SUMIFS(Imput[[Importe Neto]:[Importe Neto]],Imput[[C. Imp.]:[C. Imp.]],'Indirect Costs'!$C39,Imput[[PERIODO Imp.]:[PERIODO Imp.]],'Indirect Costs'!DB$8)</f>
        <v>0</v>
      </c>
      <c r="DC39" s="48">
        <f>SUMIFS(Imput[[Importe Neto]:[Importe Neto]],Imput[[C. Imp.]:[C. Imp.]],'Indirect Costs'!$C39,Imput[[PERIODO Imp.]:[PERIODO Imp.]],'Indirect Costs'!DC$8)</f>
        <v>0</v>
      </c>
      <c r="DD39" s="48">
        <f>SUMIFS(Imput[[Importe Neto]:[Importe Neto]],Imput[[C. Imp.]:[C. Imp.]],'Indirect Costs'!$C39,Imput[[PERIODO Imp.]:[PERIODO Imp.]],'Indirect Costs'!DD$8)</f>
        <v>0</v>
      </c>
      <c r="DE39" s="48">
        <f>SUMIFS(Imput[[Importe Neto]:[Importe Neto]],Imput[[C. Imp.]:[C. Imp.]],'Indirect Costs'!$C39,Imput[[PERIODO Imp.]:[PERIODO Imp.]],'Indirect Costs'!DE$8)</f>
        <v>0</v>
      </c>
      <c r="DF39" s="143">
        <f>SUMIFS(Imput[[Importe Neto]:[Importe Neto]],Imput[[C. Imp.]:[C. Imp.]],'Indirect Costs'!$C39,Imput[[PERIODO Imp.]:[PERIODO Imp.]],'Indirect Costs'!DF$8)</f>
        <v>0</v>
      </c>
    </row>
    <row r="40" spans="1:110" ht="22.5" customHeight="1" outlineLevel="1" x14ac:dyDescent="0.3">
      <c r="A40" s="28" t="str">
        <f>IFERROR(IF(SUM(I41:I51)&gt;0,"Imprimir",""),"")</f>
        <v>Imprimir</v>
      </c>
      <c r="B40" s="504"/>
      <c r="C40" s="559"/>
      <c r="D40" s="564" t="s">
        <v>554</v>
      </c>
      <c r="E40" s="559"/>
      <c r="F40" s="560"/>
      <c r="G40" s="561"/>
      <c r="H40" s="562"/>
      <c r="I40" s="563"/>
      <c r="J40" s="47"/>
      <c r="K40" s="144"/>
      <c r="L40" s="52"/>
      <c r="M40" s="52"/>
      <c r="N40" s="52"/>
      <c r="O40" s="52"/>
      <c r="P40" s="52"/>
      <c r="Q40" s="52"/>
      <c r="R40" s="52"/>
      <c r="S40" s="52"/>
      <c r="T40" s="52"/>
      <c r="U40" s="52"/>
      <c r="V40" s="52"/>
      <c r="W40" s="52"/>
      <c r="X40" s="52"/>
      <c r="Y40" s="52"/>
      <c r="Z40" s="52"/>
      <c r="AA40" s="52"/>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145"/>
      <c r="BG40" s="47"/>
      <c r="BH40" s="508"/>
      <c r="BI40" s="507">
        <f t="shared" si="6"/>
        <v>0</v>
      </c>
      <c r="BJ40" s="47"/>
      <c r="BK40" s="140"/>
      <c r="BL40" s="46"/>
      <c r="BM40" s="46"/>
      <c r="BN40" s="46"/>
      <c r="BO40" s="46"/>
      <c r="BP40" s="46"/>
      <c r="BQ40" s="46"/>
      <c r="BR40" s="46"/>
      <c r="BS40" s="46"/>
      <c r="BT40" s="46"/>
      <c r="BU40" s="46"/>
      <c r="BV40" s="46"/>
      <c r="BW40" s="46"/>
      <c r="BX40" s="46"/>
      <c r="BY40" s="46"/>
      <c r="BZ40" s="46"/>
      <c r="CA40" s="46"/>
      <c r="CB40" s="46"/>
      <c r="CC40" s="46"/>
      <c r="CD40" s="46"/>
      <c r="CE40" s="46"/>
      <c r="CF40" s="46"/>
      <c r="CG40" s="46"/>
      <c r="CH40" s="46"/>
      <c r="CI40" s="46"/>
      <c r="CJ40" s="46"/>
      <c r="CK40" s="46"/>
      <c r="CL40" s="46"/>
      <c r="CM40" s="46"/>
      <c r="CN40" s="46"/>
      <c r="CO40" s="46"/>
      <c r="CP40" s="46"/>
      <c r="CQ40" s="46"/>
      <c r="CR40" s="46"/>
      <c r="CS40" s="46"/>
      <c r="CT40" s="46"/>
      <c r="CU40" s="46"/>
      <c r="CV40" s="46"/>
      <c r="CW40" s="46"/>
      <c r="CX40" s="46"/>
      <c r="CY40" s="46"/>
      <c r="CZ40" s="46"/>
      <c r="DA40" s="46"/>
      <c r="DB40" s="46"/>
      <c r="DC40" s="46"/>
      <c r="DD40" s="46"/>
      <c r="DE40" s="46"/>
      <c r="DF40" s="141"/>
    </row>
    <row r="41" spans="1:110" outlineLevel="1" x14ac:dyDescent="0.25">
      <c r="A41" s="28" t="str">
        <f t="shared" si="3"/>
        <v/>
      </c>
      <c r="B41" s="50">
        <v>1</v>
      </c>
      <c r="C41" s="57" t="s">
        <v>1793</v>
      </c>
      <c r="D41" s="56" t="s">
        <v>555</v>
      </c>
      <c r="E41" s="57" t="s">
        <v>555</v>
      </c>
      <c r="F41" s="58">
        <v>60000</v>
      </c>
      <c r="G41" s="49"/>
      <c r="H41" s="51">
        <v>2</v>
      </c>
      <c r="I41" s="505">
        <f t="shared" si="7"/>
        <v>0</v>
      </c>
      <c r="J41" s="47"/>
      <c r="K41" s="142"/>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143"/>
      <c r="BG41" s="47"/>
      <c r="BH41" s="509"/>
      <c r="BI41" s="505">
        <f t="shared" si="6"/>
        <v>0</v>
      </c>
      <c r="BJ41" s="47"/>
      <c r="BK41" s="142">
        <f>SUMIFS(Imput[[Importe Neto]:[Importe Neto]],Imput[[C. Imp.]:[C. Imp.]],'Indirect Costs'!$C41,Imput[[PERIODO Imp.]:[PERIODO Imp.]],'Indirect Costs'!BK$8)</f>
        <v>0</v>
      </c>
      <c r="BL41" s="48">
        <f>SUMIFS(Imput[[Importe Neto]:[Importe Neto]],Imput[[C. Imp.]:[C. Imp.]],'Indirect Costs'!$C41,Imput[[PERIODO Imp.]:[PERIODO Imp.]],'Indirect Costs'!BL$8)</f>
        <v>0</v>
      </c>
      <c r="BM41" s="48">
        <f>SUMIFS(Imput[[Importe Neto]:[Importe Neto]],Imput[[C. Imp.]:[C. Imp.]],'Indirect Costs'!$C41,Imput[[PERIODO Imp.]:[PERIODO Imp.]],'Indirect Costs'!BM$8)</f>
        <v>0</v>
      </c>
      <c r="BN41" s="48">
        <f>SUMIFS(Imput[[Importe Neto]:[Importe Neto]],Imput[[C. Imp.]:[C. Imp.]],'Indirect Costs'!$C41,Imput[[PERIODO Imp.]:[PERIODO Imp.]],'Indirect Costs'!BN$8)</f>
        <v>0</v>
      </c>
      <c r="BO41" s="48">
        <f>SUMIFS(Imput[[Importe Neto]:[Importe Neto]],Imput[[C. Imp.]:[C. Imp.]],'Indirect Costs'!$C41,Imput[[PERIODO Imp.]:[PERIODO Imp.]],'Indirect Costs'!BO$8)</f>
        <v>0</v>
      </c>
      <c r="BP41" s="48">
        <f>SUMIFS(Imput[[Importe Neto]:[Importe Neto]],Imput[[C. Imp.]:[C. Imp.]],'Indirect Costs'!$C41,Imput[[PERIODO Imp.]:[PERIODO Imp.]],'Indirect Costs'!BP$8)</f>
        <v>0</v>
      </c>
      <c r="BQ41" s="48">
        <f>SUMIFS(Imput[[Importe Neto]:[Importe Neto]],Imput[[C. Imp.]:[C. Imp.]],'Indirect Costs'!$C41,Imput[[PERIODO Imp.]:[PERIODO Imp.]],'Indirect Costs'!BQ$8)</f>
        <v>0</v>
      </c>
      <c r="BR41" s="48">
        <f>SUMIFS(Imput[[Importe Neto]:[Importe Neto]],Imput[[C. Imp.]:[C. Imp.]],'Indirect Costs'!$C41,Imput[[PERIODO Imp.]:[PERIODO Imp.]],'Indirect Costs'!BR$8)</f>
        <v>0</v>
      </c>
      <c r="BS41" s="48">
        <f>SUMIFS(Imput[[Importe Neto]:[Importe Neto]],Imput[[C. Imp.]:[C. Imp.]],'Indirect Costs'!$C41,Imput[[PERIODO Imp.]:[PERIODO Imp.]],'Indirect Costs'!BS$8)</f>
        <v>0</v>
      </c>
      <c r="BT41" s="48">
        <f>SUMIFS(Imput[[Importe Neto]:[Importe Neto]],Imput[[C. Imp.]:[C. Imp.]],'Indirect Costs'!$C41,Imput[[PERIODO Imp.]:[PERIODO Imp.]],'Indirect Costs'!BT$8)</f>
        <v>0</v>
      </c>
      <c r="BU41" s="48">
        <f>SUMIFS(Imput[[Importe Neto]:[Importe Neto]],Imput[[C. Imp.]:[C. Imp.]],'Indirect Costs'!$C41,Imput[[PERIODO Imp.]:[PERIODO Imp.]],'Indirect Costs'!BU$8)</f>
        <v>0</v>
      </c>
      <c r="BV41" s="48">
        <f>SUMIFS(Imput[[Importe Neto]:[Importe Neto]],Imput[[C. Imp.]:[C. Imp.]],'Indirect Costs'!$C41,Imput[[PERIODO Imp.]:[PERIODO Imp.]],'Indirect Costs'!BV$8)</f>
        <v>0</v>
      </c>
      <c r="BW41" s="48">
        <f>SUMIFS(Imput[[Importe Neto]:[Importe Neto]],Imput[[C. Imp.]:[C. Imp.]],'Indirect Costs'!$C41,Imput[[PERIODO Imp.]:[PERIODO Imp.]],'Indirect Costs'!BW$8)</f>
        <v>0</v>
      </c>
      <c r="BX41" s="48">
        <f>SUMIFS(Imput[[Importe Neto]:[Importe Neto]],Imput[[C. Imp.]:[C. Imp.]],'Indirect Costs'!$C41,Imput[[PERIODO Imp.]:[PERIODO Imp.]],'Indirect Costs'!BX$8)</f>
        <v>0</v>
      </c>
      <c r="BY41" s="48">
        <f>SUMIFS(Imput[[Importe Neto]:[Importe Neto]],Imput[[C. Imp.]:[C. Imp.]],'Indirect Costs'!$C41,Imput[[PERIODO Imp.]:[PERIODO Imp.]],'Indirect Costs'!BY$8)</f>
        <v>0</v>
      </c>
      <c r="BZ41" s="48">
        <f>SUMIFS(Imput[[Importe Neto]:[Importe Neto]],Imput[[C. Imp.]:[C. Imp.]],'Indirect Costs'!$C41,Imput[[PERIODO Imp.]:[PERIODO Imp.]],'Indirect Costs'!BZ$8)</f>
        <v>0</v>
      </c>
      <c r="CA41" s="48">
        <f>SUMIFS(Imput[[Importe Neto]:[Importe Neto]],Imput[[C. Imp.]:[C. Imp.]],'Indirect Costs'!$C41,Imput[[PERIODO Imp.]:[PERIODO Imp.]],'Indirect Costs'!CA$8)</f>
        <v>0</v>
      </c>
      <c r="CB41" s="48">
        <f>SUMIFS(Imput[[Importe Neto]:[Importe Neto]],Imput[[C. Imp.]:[C. Imp.]],'Indirect Costs'!$C41,Imput[[PERIODO Imp.]:[PERIODO Imp.]],'Indirect Costs'!CB$8)</f>
        <v>0</v>
      </c>
      <c r="CC41" s="48">
        <f>SUMIFS(Imput[[Importe Neto]:[Importe Neto]],Imput[[C. Imp.]:[C. Imp.]],'Indirect Costs'!$C41,Imput[[PERIODO Imp.]:[PERIODO Imp.]],'Indirect Costs'!CC$8)</f>
        <v>0</v>
      </c>
      <c r="CD41" s="48">
        <f>SUMIFS(Imput[[Importe Neto]:[Importe Neto]],Imput[[C. Imp.]:[C. Imp.]],'Indirect Costs'!$C41,Imput[[PERIODO Imp.]:[PERIODO Imp.]],'Indirect Costs'!CD$8)</f>
        <v>0</v>
      </c>
      <c r="CE41" s="48">
        <f>SUMIFS(Imput[[Importe Neto]:[Importe Neto]],Imput[[C. Imp.]:[C. Imp.]],'Indirect Costs'!$C41,Imput[[PERIODO Imp.]:[PERIODO Imp.]],'Indirect Costs'!CE$8)</f>
        <v>0</v>
      </c>
      <c r="CF41" s="48">
        <f>SUMIFS(Imput[[Importe Neto]:[Importe Neto]],Imput[[C. Imp.]:[C. Imp.]],'Indirect Costs'!$C41,Imput[[PERIODO Imp.]:[PERIODO Imp.]],'Indirect Costs'!CF$8)</f>
        <v>0</v>
      </c>
      <c r="CG41" s="48">
        <f>SUMIFS(Imput[[Importe Neto]:[Importe Neto]],Imput[[C. Imp.]:[C. Imp.]],'Indirect Costs'!$C41,Imput[[PERIODO Imp.]:[PERIODO Imp.]],'Indirect Costs'!CG$8)</f>
        <v>0</v>
      </c>
      <c r="CH41" s="48">
        <f>SUMIFS(Imput[[Importe Neto]:[Importe Neto]],Imput[[C. Imp.]:[C. Imp.]],'Indirect Costs'!$C41,Imput[[PERIODO Imp.]:[PERIODO Imp.]],'Indirect Costs'!CH$8)</f>
        <v>0</v>
      </c>
      <c r="CI41" s="48">
        <f>SUMIFS(Imput[[Importe Neto]:[Importe Neto]],Imput[[C. Imp.]:[C. Imp.]],'Indirect Costs'!$C41,Imput[[PERIODO Imp.]:[PERIODO Imp.]],'Indirect Costs'!CI$8)</f>
        <v>0</v>
      </c>
      <c r="CJ41" s="48">
        <f>SUMIFS(Imput[[Importe Neto]:[Importe Neto]],Imput[[C. Imp.]:[C. Imp.]],'Indirect Costs'!$C41,Imput[[PERIODO Imp.]:[PERIODO Imp.]],'Indirect Costs'!CJ$8)</f>
        <v>0</v>
      </c>
      <c r="CK41" s="48">
        <f>SUMIFS(Imput[[Importe Neto]:[Importe Neto]],Imput[[C. Imp.]:[C. Imp.]],'Indirect Costs'!$C41,Imput[[PERIODO Imp.]:[PERIODO Imp.]],'Indirect Costs'!CK$8)</f>
        <v>0</v>
      </c>
      <c r="CL41" s="48">
        <f>SUMIFS(Imput[[Importe Neto]:[Importe Neto]],Imput[[C. Imp.]:[C. Imp.]],'Indirect Costs'!$C41,Imput[[PERIODO Imp.]:[PERIODO Imp.]],'Indirect Costs'!CL$8)</f>
        <v>0</v>
      </c>
      <c r="CM41" s="48">
        <f>SUMIFS(Imput[[Importe Neto]:[Importe Neto]],Imput[[C. Imp.]:[C. Imp.]],'Indirect Costs'!$C41,Imput[[PERIODO Imp.]:[PERIODO Imp.]],'Indirect Costs'!CM$8)</f>
        <v>0</v>
      </c>
      <c r="CN41" s="48">
        <f>SUMIFS(Imput[[Importe Neto]:[Importe Neto]],Imput[[C. Imp.]:[C. Imp.]],'Indirect Costs'!$C41,Imput[[PERIODO Imp.]:[PERIODO Imp.]],'Indirect Costs'!CN$8)</f>
        <v>0</v>
      </c>
      <c r="CO41" s="48">
        <f>SUMIFS(Imput[[Importe Neto]:[Importe Neto]],Imput[[C. Imp.]:[C. Imp.]],'Indirect Costs'!$C41,Imput[[PERIODO Imp.]:[PERIODO Imp.]],'Indirect Costs'!CO$8)</f>
        <v>0</v>
      </c>
      <c r="CP41" s="48">
        <f>SUMIFS(Imput[[Importe Neto]:[Importe Neto]],Imput[[C. Imp.]:[C. Imp.]],'Indirect Costs'!$C41,Imput[[PERIODO Imp.]:[PERIODO Imp.]],'Indirect Costs'!CP$8)</f>
        <v>0</v>
      </c>
      <c r="CQ41" s="48">
        <f>SUMIFS(Imput[[Importe Neto]:[Importe Neto]],Imput[[C. Imp.]:[C. Imp.]],'Indirect Costs'!$C41,Imput[[PERIODO Imp.]:[PERIODO Imp.]],'Indirect Costs'!CQ$8)</f>
        <v>0</v>
      </c>
      <c r="CR41" s="48">
        <f>SUMIFS(Imput[[Importe Neto]:[Importe Neto]],Imput[[C. Imp.]:[C. Imp.]],'Indirect Costs'!$C41,Imput[[PERIODO Imp.]:[PERIODO Imp.]],'Indirect Costs'!CR$8)</f>
        <v>0</v>
      </c>
      <c r="CS41" s="48">
        <f>SUMIFS(Imput[[Importe Neto]:[Importe Neto]],Imput[[C. Imp.]:[C. Imp.]],'Indirect Costs'!$C41,Imput[[PERIODO Imp.]:[PERIODO Imp.]],'Indirect Costs'!CS$8)</f>
        <v>0</v>
      </c>
      <c r="CT41" s="48">
        <f>SUMIFS(Imput[[Importe Neto]:[Importe Neto]],Imput[[C. Imp.]:[C. Imp.]],'Indirect Costs'!$C41,Imput[[PERIODO Imp.]:[PERIODO Imp.]],'Indirect Costs'!CT$8)</f>
        <v>0</v>
      </c>
      <c r="CU41" s="48">
        <f>SUMIFS(Imput[[Importe Neto]:[Importe Neto]],Imput[[C. Imp.]:[C. Imp.]],'Indirect Costs'!$C41,Imput[[PERIODO Imp.]:[PERIODO Imp.]],'Indirect Costs'!CU$8)</f>
        <v>0</v>
      </c>
      <c r="CV41" s="48">
        <f>SUMIFS(Imput[[Importe Neto]:[Importe Neto]],Imput[[C. Imp.]:[C. Imp.]],'Indirect Costs'!$C41,Imput[[PERIODO Imp.]:[PERIODO Imp.]],'Indirect Costs'!CV$8)</f>
        <v>0</v>
      </c>
      <c r="CW41" s="48">
        <f>SUMIFS(Imput[[Importe Neto]:[Importe Neto]],Imput[[C. Imp.]:[C. Imp.]],'Indirect Costs'!$C41,Imput[[PERIODO Imp.]:[PERIODO Imp.]],'Indirect Costs'!CW$8)</f>
        <v>0</v>
      </c>
      <c r="CX41" s="48">
        <f>SUMIFS(Imput[[Importe Neto]:[Importe Neto]],Imput[[C. Imp.]:[C. Imp.]],'Indirect Costs'!$C41,Imput[[PERIODO Imp.]:[PERIODO Imp.]],'Indirect Costs'!CX$8)</f>
        <v>0</v>
      </c>
      <c r="CY41" s="48">
        <f>SUMIFS(Imput[[Importe Neto]:[Importe Neto]],Imput[[C. Imp.]:[C. Imp.]],'Indirect Costs'!$C41,Imput[[PERIODO Imp.]:[PERIODO Imp.]],'Indirect Costs'!CY$8)</f>
        <v>0</v>
      </c>
      <c r="CZ41" s="48">
        <f>SUMIFS(Imput[[Importe Neto]:[Importe Neto]],Imput[[C. Imp.]:[C. Imp.]],'Indirect Costs'!$C41,Imput[[PERIODO Imp.]:[PERIODO Imp.]],'Indirect Costs'!CZ$8)</f>
        <v>0</v>
      </c>
      <c r="DA41" s="48">
        <f>SUMIFS(Imput[[Importe Neto]:[Importe Neto]],Imput[[C. Imp.]:[C. Imp.]],'Indirect Costs'!$C41,Imput[[PERIODO Imp.]:[PERIODO Imp.]],'Indirect Costs'!DA$8)</f>
        <v>0</v>
      </c>
      <c r="DB41" s="48">
        <f>SUMIFS(Imput[[Importe Neto]:[Importe Neto]],Imput[[C. Imp.]:[C. Imp.]],'Indirect Costs'!$C41,Imput[[PERIODO Imp.]:[PERIODO Imp.]],'Indirect Costs'!DB$8)</f>
        <v>0</v>
      </c>
      <c r="DC41" s="48">
        <f>SUMIFS(Imput[[Importe Neto]:[Importe Neto]],Imput[[C. Imp.]:[C. Imp.]],'Indirect Costs'!$C41,Imput[[PERIODO Imp.]:[PERIODO Imp.]],'Indirect Costs'!DC$8)</f>
        <v>0</v>
      </c>
      <c r="DD41" s="48">
        <f>SUMIFS(Imput[[Importe Neto]:[Importe Neto]],Imput[[C. Imp.]:[C. Imp.]],'Indirect Costs'!$C41,Imput[[PERIODO Imp.]:[PERIODO Imp.]],'Indirect Costs'!DD$8)</f>
        <v>0</v>
      </c>
      <c r="DE41" s="48">
        <f>SUMIFS(Imput[[Importe Neto]:[Importe Neto]],Imput[[C. Imp.]:[C. Imp.]],'Indirect Costs'!$C41,Imput[[PERIODO Imp.]:[PERIODO Imp.]],'Indirect Costs'!DE$8)</f>
        <v>0</v>
      </c>
      <c r="DF41" s="143">
        <f>SUMIFS(Imput[[Importe Neto]:[Importe Neto]],Imput[[C. Imp.]:[C. Imp.]],'Indirect Costs'!$C41,Imput[[PERIODO Imp.]:[PERIODO Imp.]],'Indirect Costs'!DF$8)</f>
        <v>0</v>
      </c>
    </row>
    <row r="42" spans="1:110" outlineLevel="1" x14ac:dyDescent="0.25">
      <c r="A42" s="28" t="str">
        <f t="shared" si="3"/>
        <v/>
      </c>
      <c r="B42" s="50">
        <v>2</v>
      </c>
      <c r="C42" s="57" t="s">
        <v>1788</v>
      </c>
      <c r="D42" s="56" t="s">
        <v>556</v>
      </c>
      <c r="E42" s="57" t="s">
        <v>556</v>
      </c>
      <c r="F42" s="58">
        <v>20000</v>
      </c>
      <c r="G42" s="49"/>
      <c r="H42" s="51">
        <v>1</v>
      </c>
      <c r="I42" s="505">
        <f t="shared" si="7"/>
        <v>0</v>
      </c>
      <c r="J42" s="47"/>
      <c r="K42" s="142"/>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8"/>
      <c r="AZ42" s="48"/>
      <c r="BA42" s="48"/>
      <c r="BB42" s="48"/>
      <c r="BC42" s="48"/>
      <c r="BD42" s="48"/>
      <c r="BE42" s="48"/>
      <c r="BF42" s="143"/>
      <c r="BG42" s="47"/>
      <c r="BH42" s="509"/>
      <c r="BI42" s="505">
        <f t="shared" si="6"/>
        <v>0</v>
      </c>
      <c r="BJ42" s="47"/>
      <c r="BK42" s="142">
        <f>SUMIFS(Imput[[Importe Neto]:[Importe Neto]],Imput[[C. Imp.]:[C. Imp.]],'Indirect Costs'!$C42,Imput[[PERIODO Imp.]:[PERIODO Imp.]],'Indirect Costs'!BK$8)</f>
        <v>0</v>
      </c>
      <c r="BL42" s="48">
        <f>SUMIFS(Imput[[Importe Neto]:[Importe Neto]],Imput[[C. Imp.]:[C. Imp.]],'Indirect Costs'!$C42,Imput[[PERIODO Imp.]:[PERIODO Imp.]],'Indirect Costs'!BL$8)</f>
        <v>0</v>
      </c>
      <c r="BM42" s="48">
        <f>SUMIFS(Imput[[Importe Neto]:[Importe Neto]],Imput[[C. Imp.]:[C. Imp.]],'Indirect Costs'!$C42,Imput[[PERIODO Imp.]:[PERIODO Imp.]],'Indirect Costs'!BM$8)</f>
        <v>0</v>
      </c>
      <c r="BN42" s="48">
        <f>SUMIFS(Imput[[Importe Neto]:[Importe Neto]],Imput[[C. Imp.]:[C. Imp.]],'Indirect Costs'!$C42,Imput[[PERIODO Imp.]:[PERIODO Imp.]],'Indirect Costs'!BN$8)</f>
        <v>0</v>
      </c>
      <c r="BO42" s="48">
        <f>SUMIFS(Imput[[Importe Neto]:[Importe Neto]],Imput[[C. Imp.]:[C. Imp.]],'Indirect Costs'!$C42,Imput[[PERIODO Imp.]:[PERIODO Imp.]],'Indirect Costs'!BO$8)</f>
        <v>0</v>
      </c>
      <c r="BP42" s="48">
        <f>SUMIFS(Imput[[Importe Neto]:[Importe Neto]],Imput[[C. Imp.]:[C. Imp.]],'Indirect Costs'!$C42,Imput[[PERIODO Imp.]:[PERIODO Imp.]],'Indirect Costs'!BP$8)</f>
        <v>0</v>
      </c>
      <c r="BQ42" s="48">
        <f>SUMIFS(Imput[[Importe Neto]:[Importe Neto]],Imput[[C. Imp.]:[C. Imp.]],'Indirect Costs'!$C42,Imput[[PERIODO Imp.]:[PERIODO Imp.]],'Indirect Costs'!BQ$8)</f>
        <v>0</v>
      </c>
      <c r="BR42" s="48">
        <f>SUMIFS(Imput[[Importe Neto]:[Importe Neto]],Imput[[C. Imp.]:[C. Imp.]],'Indirect Costs'!$C42,Imput[[PERIODO Imp.]:[PERIODO Imp.]],'Indirect Costs'!BR$8)</f>
        <v>0</v>
      </c>
      <c r="BS42" s="48">
        <f>SUMIFS(Imput[[Importe Neto]:[Importe Neto]],Imput[[C. Imp.]:[C. Imp.]],'Indirect Costs'!$C42,Imput[[PERIODO Imp.]:[PERIODO Imp.]],'Indirect Costs'!BS$8)</f>
        <v>0</v>
      </c>
      <c r="BT42" s="48">
        <f>SUMIFS(Imput[[Importe Neto]:[Importe Neto]],Imput[[C. Imp.]:[C. Imp.]],'Indirect Costs'!$C42,Imput[[PERIODO Imp.]:[PERIODO Imp.]],'Indirect Costs'!BT$8)</f>
        <v>0</v>
      </c>
      <c r="BU42" s="48">
        <f>SUMIFS(Imput[[Importe Neto]:[Importe Neto]],Imput[[C. Imp.]:[C. Imp.]],'Indirect Costs'!$C42,Imput[[PERIODO Imp.]:[PERIODO Imp.]],'Indirect Costs'!BU$8)</f>
        <v>0</v>
      </c>
      <c r="BV42" s="48">
        <f>SUMIFS(Imput[[Importe Neto]:[Importe Neto]],Imput[[C. Imp.]:[C. Imp.]],'Indirect Costs'!$C42,Imput[[PERIODO Imp.]:[PERIODO Imp.]],'Indirect Costs'!BV$8)</f>
        <v>0</v>
      </c>
      <c r="BW42" s="48">
        <f>SUMIFS(Imput[[Importe Neto]:[Importe Neto]],Imput[[C. Imp.]:[C. Imp.]],'Indirect Costs'!$C42,Imput[[PERIODO Imp.]:[PERIODO Imp.]],'Indirect Costs'!BW$8)</f>
        <v>0</v>
      </c>
      <c r="BX42" s="48">
        <f>SUMIFS(Imput[[Importe Neto]:[Importe Neto]],Imput[[C. Imp.]:[C. Imp.]],'Indirect Costs'!$C42,Imput[[PERIODO Imp.]:[PERIODO Imp.]],'Indirect Costs'!BX$8)</f>
        <v>0</v>
      </c>
      <c r="BY42" s="48">
        <f>SUMIFS(Imput[[Importe Neto]:[Importe Neto]],Imput[[C. Imp.]:[C. Imp.]],'Indirect Costs'!$C42,Imput[[PERIODO Imp.]:[PERIODO Imp.]],'Indirect Costs'!BY$8)</f>
        <v>0</v>
      </c>
      <c r="BZ42" s="48">
        <f>SUMIFS(Imput[[Importe Neto]:[Importe Neto]],Imput[[C. Imp.]:[C. Imp.]],'Indirect Costs'!$C42,Imput[[PERIODO Imp.]:[PERIODO Imp.]],'Indirect Costs'!BZ$8)</f>
        <v>0</v>
      </c>
      <c r="CA42" s="48">
        <f>SUMIFS(Imput[[Importe Neto]:[Importe Neto]],Imput[[C. Imp.]:[C. Imp.]],'Indirect Costs'!$C42,Imput[[PERIODO Imp.]:[PERIODO Imp.]],'Indirect Costs'!CA$8)</f>
        <v>0</v>
      </c>
      <c r="CB42" s="48">
        <f>SUMIFS(Imput[[Importe Neto]:[Importe Neto]],Imput[[C. Imp.]:[C. Imp.]],'Indirect Costs'!$C42,Imput[[PERIODO Imp.]:[PERIODO Imp.]],'Indirect Costs'!CB$8)</f>
        <v>0</v>
      </c>
      <c r="CC42" s="48">
        <f>SUMIFS(Imput[[Importe Neto]:[Importe Neto]],Imput[[C. Imp.]:[C. Imp.]],'Indirect Costs'!$C42,Imput[[PERIODO Imp.]:[PERIODO Imp.]],'Indirect Costs'!CC$8)</f>
        <v>0</v>
      </c>
      <c r="CD42" s="48">
        <f>SUMIFS(Imput[[Importe Neto]:[Importe Neto]],Imput[[C. Imp.]:[C. Imp.]],'Indirect Costs'!$C42,Imput[[PERIODO Imp.]:[PERIODO Imp.]],'Indirect Costs'!CD$8)</f>
        <v>0</v>
      </c>
      <c r="CE42" s="48">
        <f>SUMIFS(Imput[[Importe Neto]:[Importe Neto]],Imput[[C. Imp.]:[C. Imp.]],'Indirect Costs'!$C42,Imput[[PERIODO Imp.]:[PERIODO Imp.]],'Indirect Costs'!CE$8)</f>
        <v>0</v>
      </c>
      <c r="CF42" s="48">
        <f>SUMIFS(Imput[[Importe Neto]:[Importe Neto]],Imput[[C. Imp.]:[C. Imp.]],'Indirect Costs'!$C42,Imput[[PERIODO Imp.]:[PERIODO Imp.]],'Indirect Costs'!CF$8)</f>
        <v>0</v>
      </c>
      <c r="CG42" s="48">
        <f>SUMIFS(Imput[[Importe Neto]:[Importe Neto]],Imput[[C. Imp.]:[C. Imp.]],'Indirect Costs'!$C42,Imput[[PERIODO Imp.]:[PERIODO Imp.]],'Indirect Costs'!CG$8)</f>
        <v>0</v>
      </c>
      <c r="CH42" s="48">
        <f>SUMIFS(Imput[[Importe Neto]:[Importe Neto]],Imput[[C. Imp.]:[C. Imp.]],'Indirect Costs'!$C42,Imput[[PERIODO Imp.]:[PERIODO Imp.]],'Indirect Costs'!CH$8)</f>
        <v>0</v>
      </c>
      <c r="CI42" s="48">
        <f>SUMIFS(Imput[[Importe Neto]:[Importe Neto]],Imput[[C. Imp.]:[C. Imp.]],'Indirect Costs'!$C42,Imput[[PERIODO Imp.]:[PERIODO Imp.]],'Indirect Costs'!CI$8)</f>
        <v>0</v>
      </c>
      <c r="CJ42" s="48">
        <f>SUMIFS(Imput[[Importe Neto]:[Importe Neto]],Imput[[C. Imp.]:[C. Imp.]],'Indirect Costs'!$C42,Imput[[PERIODO Imp.]:[PERIODO Imp.]],'Indirect Costs'!CJ$8)</f>
        <v>0</v>
      </c>
      <c r="CK42" s="48">
        <f>SUMIFS(Imput[[Importe Neto]:[Importe Neto]],Imput[[C. Imp.]:[C. Imp.]],'Indirect Costs'!$C42,Imput[[PERIODO Imp.]:[PERIODO Imp.]],'Indirect Costs'!CK$8)</f>
        <v>0</v>
      </c>
      <c r="CL42" s="48">
        <f>SUMIFS(Imput[[Importe Neto]:[Importe Neto]],Imput[[C. Imp.]:[C. Imp.]],'Indirect Costs'!$C42,Imput[[PERIODO Imp.]:[PERIODO Imp.]],'Indirect Costs'!CL$8)</f>
        <v>0</v>
      </c>
      <c r="CM42" s="48">
        <f>SUMIFS(Imput[[Importe Neto]:[Importe Neto]],Imput[[C. Imp.]:[C. Imp.]],'Indirect Costs'!$C42,Imput[[PERIODO Imp.]:[PERIODO Imp.]],'Indirect Costs'!CM$8)</f>
        <v>0</v>
      </c>
      <c r="CN42" s="48">
        <f>SUMIFS(Imput[[Importe Neto]:[Importe Neto]],Imput[[C. Imp.]:[C. Imp.]],'Indirect Costs'!$C42,Imput[[PERIODO Imp.]:[PERIODO Imp.]],'Indirect Costs'!CN$8)</f>
        <v>0</v>
      </c>
      <c r="CO42" s="48">
        <f>SUMIFS(Imput[[Importe Neto]:[Importe Neto]],Imput[[C. Imp.]:[C. Imp.]],'Indirect Costs'!$C42,Imput[[PERIODO Imp.]:[PERIODO Imp.]],'Indirect Costs'!CO$8)</f>
        <v>0</v>
      </c>
      <c r="CP42" s="48">
        <f>SUMIFS(Imput[[Importe Neto]:[Importe Neto]],Imput[[C. Imp.]:[C. Imp.]],'Indirect Costs'!$C42,Imput[[PERIODO Imp.]:[PERIODO Imp.]],'Indirect Costs'!CP$8)</f>
        <v>0</v>
      </c>
      <c r="CQ42" s="48">
        <f>SUMIFS(Imput[[Importe Neto]:[Importe Neto]],Imput[[C. Imp.]:[C. Imp.]],'Indirect Costs'!$C42,Imput[[PERIODO Imp.]:[PERIODO Imp.]],'Indirect Costs'!CQ$8)</f>
        <v>0</v>
      </c>
      <c r="CR42" s="48">
        <f>SUMIFS(Imput[[Importe Neto]:[Importe Neto]],Imput[[C. Imp.]:[C. Imp.]],'Indirect Costs'!$C42,Imput[[PERIODO Imp.]:[PERIODO Imp.]],'Indirect Costs'!CR$8)</f>
        <v>0</v>
      </c>
      <c r="CS42" s="48">
        <f>SUMIFS(Imput[[Importe Neto]:[Importe Neto]],Imput[[C. Imp.]:[C. Imp.]],'Indirect Costs'!$C42,Imput[[PERIODO Imp.]:[PERIODO Imp.]],'Indirect Costs'!CS$8)</f>
        <v>0</v>
      </c>
      <c r="CT42" s="48">
        <f>SUMIFS(Imput[[Importe Neto]:[Importe Neto]],Imput[[C. Imp.]:[C. Imp.]],'Indirect Costs'!$C42,Imput[[PERIODO Imp.]:[PERIODO Imp.]],'Indirect Costs'!CT$8)</f>
        <v>0</v>
      </c>
      <c r="CU42" s="48">
        <f>SUMIFS(Imput[[Importe Neto]:[Importe Neto]],Imput[[C. Imp.]:[C. Imp.]],'Indirect Costs'!$C42,Imput[[PERIODO Imp.]:[PERIODO Imp.]],'Indirect Costs'!CU$8)</f>
        <v>0</v>
      </c>
      <c r="CV42" s="48">
        <f>SUMIFS(Imput[[Importe Neto]:[Importe Neto]],Imput[[C. Imp.]:[C. Imp.]],'Indirect Costs'!$C42,Imput[[PERIODO Imp.]:[PERIODO Imp.]],'Indirect Costs'!CV$8)</f>
        <v>0</v>
      </c>
      <c r="CW42" s="48">
        <f>SUMIFS(Imput[[Importe Neto]:[Importe Neto]],Imput[[C. Imp.]:[C. Imp.]],'Indirect Costs'!$C42,Imput[[PERIODO Imp.]:[PERIODO Imp.]],'Indirect Costs'!CW$8)</f>
        <v>0</v>
      </c>
      <c r="CX42" s="48">
        <f>SUMIFS(Imput[[Importe Neto]:[Importe Neto]],Imput[[C. Imp.]:[C. Imp.]],'Indirect Costs'!$C42,Imput[[PERIODO Imp.]:[PERIODO Imp.]],'Indirect Costs'!CX$8)</f>
        <v>0</v>
      </c>
      <c r="CY42" s="48">
        <f>SUMIFS(Imput[[Importe Neto]:[Importe Neto]],Imput[[C. Imp.]:[C. Imp.]],'Indirect Costs'!$C42,Imput[[PERIODO Imp.]:[PERIODO Imp.]],'Indirect Costs'!CY$8)</f>
        <v>0</v>
      </c>
      <c r="CZ42" s="48">
        <f>SUMIFS(Imput[[Importe Neto]:[Importe Neto]],Imput[[C. Imp.]:[C. Imp.]],'Indirect Costs'!$C42,Imput[[PERIODO Imp.]:[PERIODO Imp.]],'Indirect Costs'!CZ$8)</f>
        <v>0</v>
      </c>
      <c r="DA42" s="48">
        <f>SUMIFS(Imput[[Importe Neto]:[Importe Neto]],Imput[[C. Imp.]:[C. Imp.]],'Indirect Costs'!$C42,Imput[[PERIODO Imp.]:[PERIODO Imp.]],'Indirect Costs'!DA$8)</f>
        <v>0</v>
      </c>
      <c r="DB42" s="48">
        <f>SUMIFS(Imput[[Importe Neto]:[Importe Neto]],Imput[[C. Imp.]:[C. Imp.]],'Indirect Costs'!$C42,Imput[[PERIODO Imp.]:[PERIODO Imp.]],'Indirect Costs'!DB$8)</f>
        <v>0</v>
      </c>
      <c r="DC42" s="48">
        <f>SUMIFS(Imput[[Importe Neto]:[Importe Neto]],Imput[[C. Imp.]:[C. Imp.]],'Indirect Costs'!$C42,Imput[[PERIODO Imp.]:[PERIODO Imp.]],'Indirect Costs'!DC$8)</f>
        <v>0</v>
      </c>
      <c r="DD42" s="48">
        <f>SUMIFS(Imput[[Importe Neto]:[Importe Neto]],Imput[[C. Imp.]:[C. Imp.]],'Indirect Costs'!$C42,Imput[[PERIODO Imp.]:[PERIODO Imp.]],'Indirect Costs'!DD$8)</f>
        <v>0</v>
      </c>
      <c r="DE42" s="48">
        <f>SUMIFS(Imput[[Importe Neto]:[Importe Neto]],Imput[[C. Imp.]:[C. Imp.]],'Indirect Costs'!$C42,Imput[[PERIODO Imp.]:[PERIODO Imp.]],'Indirect Costs'!DE$8)</f>
        <v>0</v>
      </c>
      <c r="DF42" s="143">
        <f>SUMIFS(Imput[[Importe Neto]:[Importe Neto]],Imput[[C. Imp.]:[C. Imp.]],'Indirect Costs'!$C42,Imput[[PERIODO Imp.]:[PERIODO Imp.]],'Indirect Costs'!DF$8)</f>
        <v>0</v>
      </c>
    </row>
    <row r="43" spans="1:110" outlineLevel="1" x14ac:dyDescent="0.25">
      <c r="A43" s="28" t="str">
        <f t="shared" si="3"/>
        <v/>
      </c>
      <c r="B43" s="50">
        <v>3</v>
      </c>
      <c r="C43" s="57" t="s">
        <v>1794</v>
      </c>
      <c r="D43" s="56" t="s">
        <v>557</v>
      </c>
      <c r="E43" s="57" t="s">
        <v>557</v>
      </c>
      <c r="F43" s="58">
        <v>35750</v>
      </c>
      <c r="G43" s="49"/>
      <c r="H43" s="51">
        <v>1</v>
      </c>
      <c r="I43" s="505">
        <f t="shared" si="7"/>
        <v>0</v>
      </c>
      <c r="J43" s="47"/>
      <c r="K43" s="142"/>
      <c r="L43" s="48"/>
      <c r="M43" s="48"/>
      <c r="N43" s="48"/>
      <c r="O43" s="48"/>
      <c r="P43" s="48"/>
      <c r="Q43" s="48"/>
      <c r="R43" s="48"/>
      <c r="S43" s="48"/>
      <c r="T43" s="48"/>
      <c r="U43" s="48"/>
      <c r="V43" s="48"/>
      <c r="W43" s="48"/>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8"/>
      <c r="AZ43" s="48"/>
      <c r="BA43" s="48"/>
      <c r="BB43" s="48"/>
      <c r="BC43" s="48"/>
      <c r="BD43" s="48"/>
      <c r="BE43" s="48"/>
      <c r="BF43" s="143"/>
      <c r="BG43" s="47"/>
      <c r="BH43" s="509"/>
      <c r="BI43" s="505">
        <f t="shared" si="6"/>
        <v>0</v>
      </c>
      <c r="BJ43" s="47"/>
      <c r="BK43" s="142">
        <f>SUMIFS(Imput[[Importe Neto]:[Importe Neto]],Imput[[C. Imp.]:[C. Imp.]],'Indirect Costs'!$C43,Imput[[PERIODO Imp.]:[PERIODO Imp.]],'Indirect Costs'!BK$8)</f>
        <v>0</v>
      </c>
      <c r="BL43" s="48">
        <f>SUMIFS(Imput[[Importe Neto]:[Importe Neto]],Imput[[C. Imp.]:[C. Imp.]],'Indirect Costs'!$C43,Imput[[PERIODO Imp.]:[PERIODO Imp.]],'Indirect Costs'!BL$8)</f>
        <v>0</v>
      </c>
      <c r="BM43" s="48">
        <f>SUMIFS(Imput[[Importe Neto]:[Importe Neto]],Imput[[C. Imp.]:[C. Imp.]],'Indirect Costs'!$C43,Imput[[PERIODO Imp.]:[PERIODO Imp.]],'Indirect Costs'!BM$8)</f>
        <v>0</v>
      </c>
      <c r="BN43" s="48">
        <f>SUMIFS(Imput[[Importe Neto]:[Importe Neto]],Imput[[C. Imp.]:[C. Imp.]],'Indirect Costs'!$C43,Imput[[PERIODO Imp.]:[PERIODO Imp.]],'Indirect Costs'!BN$8)</f>
        <v>0</v>
      </c>
      <c r="BO43" s="48">
        <f>SUMIFS(Imput[[Importe Neto]:[Importe Neto]],Imput[[C. Imp.]:[C. Imp.]],'Indirect Costs'!$C43,Imput[[PERIODO Imp.]:[PERIODO Imp.]],'Indirect Costs'!BO$8)</f>
        <v>0</v>
      </c>
      <c r="BP43" s="48">
        <f>SUMIFS(Imput[[Importe Neto]:[Importe Neto]],Imput[[C. Imp.]:[C. Imp.]],'Indirect Costs'!$C43,Imput[[PERIODO Imp.]:[PERIODO Imp.]],'Indirect Costs'!BP$8)</f>
        <v>0</v>
      </c>
      <c r="BQ43" s="48">
        <f>SUMIFS(Imput[[Importe Neto]:[Importe Neto]],Imput[[C. Imp.]:[C. Imp.]],'Indirect Costs'!$C43,Imput[[PERIODO Imp.]:[PERIODO Imp.]],'Indirect Costs'!BQ$8)</f>
        <v>0</v>
      </c>
      <c r="BR43" s="48">
        <f>SUMIFS(Imput[[Importe Neto]:[Importe Neto]],Imput[[C. Imp.]:[C. Imp.]],'Indirect Costs'!$C43,Imput[[PERIODO Imp.]:[PERIODO Imp.]],'Indirect Costs'!BR$8)</f>
        <v>0</v>
      </c>
      <c r="BS43" s="48">
        <f>SUMIFS(Imput[[Importe Neto]:[Importe Neto]],Imput[[C. Imp.]:[C. Imp.]],'Indirect Costs'!$C43,Imput[[PERIODO Imp.]:[PERIODO Imp.]],'Indirect Costs'!BS$8)</f>
        <v>0</v>
      </c>
      <c r="BT43" s="48">
        <f>SUMIFS(Imput[[Importe Neto]:[Importe Neto]],Imput[[C. Imp.]:[C. Imp.]],'Indirect Costs'!$C43,Imput[[PERIODO Imp.]:[PERIODO Imp.]],'Indirect Costs'!BT$8)</f>
        <v>0</v>
      </c>
      <c r="BU43" s="48">
        <f>SUMIFS(Imput[[Importe Neto]:[Importe Neto]],Imput[[C. Imp.]:[C. Imp.]],'Indirect Costs'!$C43,Imput[[PERIODO Imp.]:[PERIODO Imp.]],'Indirect Costs'!BU$8)</f>
        <v>0</v>
      </c>
      <c r="BV43" s="48">
        <f>SUMIFS(Imput[[Importe Neto]:[Importe Neto]],Imput[[C. Imp.]:[C. Imp.]],'Indirect Costs'!$C43,Imput[[PERIODO Imp.]:[PERIODO Imp.]],'Indirect Costs'!BV$8)</f>
        <v>0</v>
      </c>
      <c r="BW43" s="48">
        <f>SUMIFS(Imput[[Importe Neto]:[Importe Neto]],Imput[[C. Imp.]:[C. Imp.]],'Indirect Costs'!$C43,Imput[[PERIODO Imp.]:[PERIODO Imp.]],'Indirect Costs'!BW$8)</f>
        <v>0</v>
      </c>
      <c r="BX43" s="48">
        <f>SUMIFS(Imput[[Importe Neto]:[Importe Neto]],Imput[[C. Imp.]:[C. Imp.]],'Indirect Costs'!$C43,Imput[[PERIODO Imp.]:[PERIODO Imp.]],'Indirect Costs'!BX$8)</f>
        <v>0</v>
      </c>
      <c r="BY43" s="48">
        <f>SUMIFS(Imput[[Importe Neto]:[Importe Neto]],Imput[[C. Imp.]:[C. Imp.]],'Indirect Costs'!$C43,Imput[[PERIODO Imp.]:[PERIODO Imp.]],'Indirect Costs'!BY$8)</f>
        <v>0</v>
      </c>
      <c r="BZ43" s="48">
        <f>SUMIFS(Imput[[Importe Neto]:[Importe Neto]],Imput[[C. Imp.]:[C. Imp.]],'Indirect Costs'!$C43,Imput[[PERIODO Imp.]:[PERIODO Imp.]],'Indirect Costs'!BZ$8)</f>
        <v>0</v>
      </c>
      <c r="CA43" s="48">
        <f>SUMIFS(Imput[[Importe Neto]:[Importe Neto]],Imput[[C. Imp.]:[C. Imp.]],'Indirect Costs'!$C43,Imput[[PERIODO Imp.]:[PERIODO Imp.]],'Indirect Costs'!CA$8)</f>
        <v>0</v>
      </c>
      <c r="CB43" s="48">
        <f>SUMIFS(Imput[[Importe Neto]:[Importe Neto]],Imput[[C. Imp.]:[C. Imp.]],'Indirect Costs'!$C43,Imput[[PERIODO Imp.]:[PERIODO Imp.]],'Indirect Costs'!CB$8)</f>
        <v>0</v>
      </c>
      <c r="CC43" s="48">
        <f>SUMIFS(Imput[[Importe Neto]:[Importe Neto]],Imput[[C. Imp.]:[C. Imp.]],'Indirect Costs'!$C43,Imput[[PERIODO Imp.]:[PERIODO Imp.]],'Indirect Costs'!CC$8)</f>
        <v>0</v>
      </c>
      <c r="CD43" s="48">
        <f>SUMIFS(Imput[[Importe Neto]:[Importe Neto]],Imput[[C. Imp.]:[C. Imp.]],'Indirect Costs'!$C43,Imput[[PERIODO Imp.]:[PERIODO Imp.]],'Indirect Costs'!CD$8)</f>
        <v>0</v>
      </c>
      <c r="CE43" s="48">
        <f>SUMIFS(Imput[[Importe Neto]:[Importe Neto]],Imput[[C. Imp.]:[C. Imp.]],'Indirect Costs'!$C43,Imput[[PERIODO Imp.]:[PERIODO Imp.]],'Indirect Costs'!CE$8)</f>
        <v>0</v>
      </c>
      <c r="CF43" s="48">
        <f>SUMIFS(Imput[[Importe Neto]:[Importe Neto]],Imput[[C. Imp.]:[C. Imp.]],'Indirect Costs'!$C43,Imput[[PERIODO Imp.]:[PERIODO Imp.]],'Indirect Costs'!CF$8)</f>
        <v>0</v>
      </c>
      <c r="CG43" s="48">
        <f>SUMIFS(Imput[[Importe Neto]:[Importe Neto]],Imput[[C. Imp.]:[C. Imp.]],'Indirect Costs'!$C43,Imput[[PERIODO Imp.]:[PERIODO Imp.]],'Indirect Costs'!CG$8)</f>
        <v>0</v>
      </c>
      <c r="CH43" s="48">
        <f>SUMIFS(Imput[[Importe Neto]:[Importe Neto]],Imput[[C. Imp.]:[C. Imp.]],'Indirect Costs'!$C43,Imput[[PERIODO Imp.]:[PERIODO Imp.]],'Indirect Costs'!CH$8)</f>
        <v>0</v>
      </c>
      <c r="CI43" s="48">
        <f>SUMIFS(Imput[[Importe Neto]:[Importe Neto]],Imput[[C. Imp.]:[C. Imp.]],'Indirect Costs'!$C43,Imput[[PERIODO Imp.]:[PERIODO Imp.]],'Indirect Costs'!CI$8)</f>
        <v>0</v>
      </c>
      <c r="CJ43" s="48">
        <f>SUMIFS(Imput[[Importe Neto]:[Importe Neto]],Imput[[C. Imp.]:[C. Imp.]],'Indirect Costs'!$C43,Imput[[PERIODO Imp.]:[PERIODO Imp.]],'Indirect Costs'!CJ$8)</f>
        <v>0</v>
      </c>
      <c r="CK43" s="48">
        <f>SUMIFS(Imput[[Importe Neto]:[Importe Neto]],Imput[[C. Imp.]:[C. Imp.]],'Indirect Costs'!$C43,Imput[[PERIODO Imp.]:[PERIODO Imp.]],'Indirect Costs'!CK$8)</f>
        <v>0</v>
      </c>
      <c r="CL43" s="48">
        <f>SUMIFS(Imput[[Importe Neto]:[Importe Neto]],Imput[[C. Imp.]:[C. Imp.]],'Indirect Costs'!$C43,Imput[[PERIODO Imp.]:[PERIODO Imp.]],'Indirect Costs'!CL$8)</f>
        <v>0</v>
      </c>
      <c r="CM43" s="48">
        <f>SUMIFS(Imput[[Importe Neto]:[Importe Neto]],Imput[[C. Imp.]:[C. Imp.]],'Indirect Costs'!$C43,Imput[[PERIODO Imp.]:[PERIODO Imp.]],'Indirect Costs'!CM$8)</f>
        <v>0</v>
      </c>
      <c r="CN43" s="48">
        <f>SUMIFS(Imput[[Importe Neto]:[Importe Neto]],Imput[[C. Imp.]:[C. Imp.]],'Indirect Costs'!$C43,Imput[[PERIODO Imp.]:[PERIODO Imp.]],'Indirect Costs'!CN$8)</f>
        <v>0</v>
      </c>
      <c r="CO43" s="48">
        <f>SUMIFS(Imput[[Importe Neto]:[Importe Neto]],Imput[[C. Imp.]:[C. Imp.]],'Indirect Costs'!$C43,Imput[[PERIODO Imp.]:[PERIODO Imp.]],'Indirect Costs'!CO$8)</f>
        <v>0</v>
      </c>
      <c r="CP43" s="48">
        <f>SUMIFS(Imput[[Importe Neto]:[Importe Neto]],Imput[[C. Imp.]:[C. Imp.]],'Indirect Costs'!$C43,Imput[[PERIODO Imp.]:[PERIODO Imp.]],'Indirect Costs'!CP$8)</f>
        <v>0</v>
      </c>
      <c r="CQ43" s="48">
        <f>SUMIFS(Imput[[Importe Neto]:[Importe Neto]],Imput[[C. Imp.]:[C. Imp.]],'Indirect Costs'!$C43,Imput[[PERIODO Imp.]:[PERIODO Imp.]],'Indirect Costs'!CQ$8)</f>
        <v>0</v>
      </c>
      <c r="CR43" s="48">
        <f>SUMIFS(Imput[[Importe Neto]:[Importe Neto]],Imput[[C. Imp.]:[C. Imp.]],'Indirect Costs'!$C43,Imput[[PERIODO Imp.]:[PERIODO Imp.]],'Indirect Costs'!CR$8)</f>
        <v>0</v>
      </c>
      <c r="CS43" s="48">
        <f>SUMIFS(Imput[[Importe Neto]:[Importe Neto]],Imput[[C. Imp.]:[C. Imp.]],'Indirect Costs'!$C43,Imput[[PERIODO Imp.]:[PERIODO Imp.]],'Indirect Costs'!CS$8)</f>
        <v>0</v>
      </c>
      <c r="CT43" s="48">
        <f>SUMIFS(Imput[[Importe Neto]:[Importe Neto]],Imput[[C. Imp.]:[C. Imp.]],'Indirect Costs'!$C43,Imput[[PERIODO Imp.]:[PERIODO Imp.]],'Indirect Costs'!CT$8)</f>
        <v>0</v>
      </c>
      <c r="CU43" s="48">
        <f>SUMIFS(Imput[[Importe Neto]:[Importe Neto]],Imput[[C. Imp.]:[C. Imp.]],'Indirect Costs'!$C43,Imput[[PERIODO Imp.]:[PERIODO Imp.]],'Indirect Costs'!CU$8)</f>
        <v>0</v>
      </c>
      <c r="CV43" s="48">
        <f>SUMIFS(Imput[[Importe Neto]:[Importe Neto]],Imput[[C. Imp.]:[C. Imp.]],'Indirect Costs'!$C43,Imput[[PERIODO Imp.]:[PERIODO Imp.]],'Indirect Costs'!CV$8)</f>
        <v>0</v>
      </c>
      <c r="CW43" s="48">
        <f>SUMIFS(Imput[[Importe Neto]:[Importe Neto]],Imput[[C. Imp.]:[C. Imp.]],'Indirect Costs'!$C43,Imput[[PERIODO Imp.]:[PERIODO Imp.]],'Indirect Costs'!CW$8)</f>
        <v>0</v>
      </c>
      <c r="CX43" s="48">
        <f>SUMIFS(Imput[[Importe Neto]:[Importe Neto]],Imput[[C. Imp.]:[C. Imp.]],'Indirect Costs'!$C43,Imput[[PERIODO Imp.]:[PERIODO Imp.]],'Indirect Costs'!CX$8)</f>
        <v>0</v>
      </c>
      <c r="CY43" s="48">
        <f>SUMIFS(Imput[[Importe Neto]:[Importe Neto]],Imput[[C. Imp.]:[C. Imp.]],'Indirect Costs'!$C43,Imput[[PERIODO Imp.]:[PERIODO Imp.]],'Indirect Costs'!CY$8)</f>
        <v>0</v>
      </c>
      <c r="CZ43" s="48">
        <f>SUMIFS(Imput[[Importe Neto]:[Importe Neto]],Imput[[C. Imp.]:[C. Imp.]],'Indirect Costs'!$C43,Imput[[PERIODO Imp.]:[PERIODO Imp.]],'Indirect Costs'!CZ$8)</f>
        <v>0</v>
      </c>
      <c r="DA43" s="48">
        <f>SUMIFS(Imput[[Importe Neto]:[Importe Neto]],Imput[[C. Imp.]:[C. Imp.]],'Indirect Costs'!$C43,Imput[[PERIODO Imp.]:[PERIODO Imp.]],'Indirect Costs'!DA$8)</f>
        <v>0</v>
      </c>
      <c r="DB43" s="48">
        <f>SUMIFS(Imput[[Importe Neto]:[Importe Neto]],Imput[[C. Imp.]:[C. Imp.]],'Indirect Costs'!$C43,Imput[[PERIODO Imp.]:[PERIODO Imp.]],'Indirect Costs'!DB$8)</f>
        <v>0</v>
      </c>
      <c r="DC43" s="48">
        <f>SUMIFS(Imput[[Importe Neto]:[Importe Neto]],Imput[[C. Imp.]:[C. Imp.]],'Indirect Costs'!$C43,Imput[[PERIODO Imp.]:[PERIODO Imp.]],'Indirect Costs'!DC$8)</f>
        <v>0</v>
      </c>
      <c r="DD43" s="48">
        <f>SUMIFS(Imput[[Importe Neto]:[Importe Neto]],Imput[[C. Imp.]:[C. Imp.]],'Indirect Costs'!$C43,Imput[[PERIODO Imp.]:[PERIODO Imp.]],'Indirect Costs'!DD$8)</f>
        <v>0</v>
      </c>
      <c r="DE43" s="48">
        <f>SUMIFS(Imput[[Importe Neto]:[Importe Neto]],Imput[[C. Imp.]:[C. Imp.]],'Indirect Costs'!$C43,Imput[[PERIODO Imp.]:[PERIODO Imp.]],'Indirect Costs'!DE$8)</f>
        <v>0</v>
      </c>
      <c r="DF43" s="143">
        <f>SUMIFS(Imput[[Importe Neto]:[Importe Neto]],Imput[[C. Imp.]:[C. Imp.]],'Indirect Costs'!$C43,Imput[[PERIODO Imp.]:[PERIODO Imp.]],'Indirect Costs'!DF$8)</f>
        <v>0</v>
      </c>
    </row>
    <row r="44" spans="1:110" outlineLevel="1" x14ac:dyDescent="0.25">
      <c r="A44" s="28" t="str">
        <f t="shared" si="3"/>
        <v/>
      </c>
      <c r="B44" s="50">
        <v>4</v>
      </c>
      <c r="C44" s="57" t="s">
        <v>1795</v>
      </c>
      <c r="D44" s="56" t="s">
        <v>558</v>
      </c>
      <c r="E44" s="57" t="s">
        <v>558</v>
      </c>
      <c r="F44" s="58">
        <v>75000</v>
      </c>
      <c r="G44" s="49"/>
      <c r="H44" s="51">
        <v>2</v>
      </c>
      <c r="I44" s="505">
        <f t="shared" si="7"/>
        <v>0</v>
      </c>
      <c r="J44" s="47"/>
      <c r="K44" s="142"/>
      <c r="L44" s="48"/>
      <c r="M44" s="48"/>
      <c r="N44" s="48"/>
      <c r="O44" s="48"/>
      <c r="P44" s="48"/>
      <c r="Q44" s="48"/>
      <c r="R44" s="48"/>
      <c r="S44" s="48"/>
      <c r="T44" s="48"/>
      <c r="U44" s="48"/>
      <c r="V44" s="48"/>
      <c r="W44" s="48"/>
      <c r="X44" s="48"/>
      <c r="Y44" s="48"/>
      <c r="Z44" s="48"/>
      <c r="AA44" s="48"/>
      <c r="AB44" s="48"/>
      <c r="AC44" s="48"/>
      <c r="AD44" s="48"/>
      <c r="AE44" s="48"/>
      <c r="AF44" s="48"/>
      <c r="AG44" s="48"/>
      <c r="AH44" s="48"/>
      <c r="AI44" s="48"/>
      <c r="AJ44" s="48"/>
      <c r="AK44" s="48"/>
      <c r="AL44" s="48"/>
      <c r="AM44" s="48"/>
      <c r="AN44" s="48"/>
      <c r="AO44" s="48"/>
      <c r="AP44" s="48"/>
      <c r="AQ44" s="48"/>
      <c r="AR44" s="48"/>
      <c r="AS44" s="48"/>
      <c r="AT44" s="48"/>
      <c r="AU44" s="48"/>
      <c r="AV44" s="48"/>
      <c r="AW44" s="48"/>
      <c r="AX44" s="48"/>
      <c r="AY44" s="48"/>
      <c r="AZ44" s="48"/>
      <c r="BA44" s="48"/>
      <c r="BB44" s="48"/>
      <c r="BC44" s="48"/>
      <c r="BD44" s="48"/>
      <c r="BE44" s="48"/>
      <c r="BF44" s="143"/>
      <c r="BG44" s="47"/>
      <c r="BH44" s="509"/>
      <c r="BI44" s="505">
        <f t="shared" si="6"/>
        <v>0</v>
      </c>
      <c r="BJ44" s="47"/>
      <c r="BK44" s="142">
        <f>SUMIFS(Imput[[Importe Neto]:[Importe Neto]],Imput[[C. Imp.]:[C. Imp.]],'Indirect Costs'!$C44,Imput[[PERIODO Imp.]:[PERIODO Imp.]],'Indirect Costs'!BK$8)</f>
        <v>0</v>
      </c>
      <c r="BL44" s="48">
        <f>SUMIFS(Imput[[Importe Neto]:[Importe Neto]],Imput[[C. Imp.]:[C. Imp.]],'Indirect Costs'!$C44,Imput[[PERIODO Imp.]:[PERIODO Imp.]],'Indirect Costs'!BL$8)</f>
        <v>0</v>
      </c>
      <c r="BM44" s="48">
        <f>SUMIFS(Imput[[Importe Neto]:[Importe Neto]],Imput[[C. Imp.]:[C. Imp.]],'Indirect Costs'!$C44,Imput[[PERIODO Imp.]:[PERIODO Imp.]],'Indirect Costs'!BM$8)</f>
        <v>0</v>
      </c>
      <c r="BN44" s="48">
        <f>SUMIFS(Imput[[Importe Neto]:[Importe Neto]],Imput[[C. Imp.]:[C. Imp.]],'Indirect Costs'!$C44,Imput[[PERIODO Imp.]:[PERIODO Imp.]],'Indirect Costs'!BN$8)</f>
        <v>0</v>
      </c>
      <c r="BO44" s="48">
        <f>SUMIFS(Imput[[Importe Neto]:[Importe Neto]],Imput[[C. Imp.]:[C. Imp.]],'Indirect Costs'!$C44,Imput[[PERIODO Imp.]:[PERIODO Imp.]],'Indirect Costs'!BO$8)</f>
        <v>0</v>
      </c>
      <c r="BP44" s="48">
        <f>SUMIFS(Imput[[Importe Neto]:[Importe Neto]],Imput[[C. Imp.]:[C. Imp.]],'Indirect Costs'!$C44,Imput[[PERIODO Imp.]:[PERIODO Imp.]],'Indirect Costs'!BP$8)</f>
        <v>0</v>
      </c>
      <c r="BQ44" s="48">
        <f>SUMIFS(Imput[[Importe Neto]:[Importe Neto]],Imput[[C. Imp.]:[C. Imp.]],'Indirect Costs'!$C44,Imput[[PERIODO Imp.]:[PERIODO Imp.]],'Indirect Costs'!BQ$8)</f>
        <v>0</v>
      </c>
      <c r="BR44" s="48">
        <f>SUMIFS(Imput[[Importe Neto]:[Importe Neto]],Imput[[C. Imp.]:[C. Imp.]],'Indirect Costs'!$C44,Imput[[PERIODO Imp.]:[PERIODO Imp.]],'Indirect Costs'!BR$8)</f>
        <v>0</v>
      </c>
      <c r="BS44" s="48">
        <f>SUMIFS(Imput[[Importe Neto]:[Importe Neto]],Imput[[C. Imp.]:[C. Imp.]],'Indirect Costs'!$C44,Imput[[PERIODO Imp.]:[PERIODO Imp.]],'Indirect Costs'!BS$8)</f>
        <v>0</v>
      </c>
      <c r="BT44" s="48">
        <f>SUMIFS(Imput[[Importe Neto]:[Importe Neto]],Imput[[C. Imp.]:[C. Imp.]],'Indirect Costs'!$C44,Imput[[PERIODO Imp.]:[PERIODO Imp.]],'Indirect Costs'!BT$8)</f>
        <v>0</v>
      </c>
      <c r="BU44" s="48">
        <f>SUMIFS(Imput[[Importe Neto]:[Importe Neto]],Imput[[C. Imp.]:[C. Imp.]],'Indirect Costs'!$C44,Imput[[PERIODO Imp.]:[PERIODO Imp.]],'Indirect Costs'!BU$8)</f>
        <v>0</v>
      </c>
      <c r="BV44" s="48">
        <f>SUMIFS(Imput[[Importe Neto]:[Importe Neto]],Imput[[C. Imp.]:[C. Imp.]],'Indirect Costs'!$C44,Imput[[PERIODO Imp.]:[PERIODO Imp.]],'Indirect Costs'!BV$8)</f>
        <v>0</v>
      </c>
      <c r="BW44" s="48">
        <f>SUMIFS(Imput[[Importe Neto]:[Importe Neto]],Imput[[C. Imp.]:[C. Imp.]],'Indirect Costs'!$C44,Imput[[PERIODO Imp.]:[PERIODO Imp.]],'Indirect Costs'!BW$8)</f>
        <v>0</v>
      </c>
      <c r="BX44" s="48">
        <f>SUMIFS(Imput[[Importe Neto]:[Importe Neto]],Imput[[C. Imp.]:[C. Imp.]],'Indirect Costs'!$C44,Imput[[PERIODO Imp.]:[PERIODO Imp.]],'Indirect Costs'!BX$8)</f>
        <v>0</v>
      </c>
      <c r="BY44" s="48">
        <f>SUMIFS(Imput[[Importe Neto]:[Importe Neto]],Imput[[C. Imp.]:[C. Imp.]],'Indirect Costs'!$C44,Imput[[PERIODO Imp.]:[PERIODO Imp.]],'Indirect Costs'!BY$8)</f>
        <v>0</v>
      </c>
      <c r="BZ44" s="48">
        <f>SUMIFS(Imput[[Importe Neto]:[Importe Neto]],Imput[[C. Imp.]:[C. Imp.]],'Indirect Costs'!$C44,Imput[[PERIODO Imp.]:[PERIODO Imp.]],'Indirect Costs'!BZ$8)</f>
        <v>0</v>
      </c>
      <c r="CA44" s="48">
        <f>SUMIFS(Imput[[Importe Neto]:[Importe Neto]],Imput[[C. Imp.]:[C. Imp.]],'Indirect Costs'!$C44,Imput[[PERIODO Imp.]:[PERIODO Imp.]],'Indirect Costs'!CA$8)</f>
        <v>0</v>
      </c>
      <c r="CB44" s="48">
        <f>SUMIFS(Imput[[Importe Neto]:[Importe Neto]],Imput[[C. Imp.]:[C. Imp.]],'Indirect Costs'!$C44,Imput[[PERIODO Imp.]:[PERIODO Imp.]],'Indirect Costs'!CB$8)</f>
        <v>0</v>
      </c>
      <c r="CC44" s="48">
        <f>SUMIFS(Imput[[Importe Neto]:[Importe Neto]],Imput[[C. Imp.]:[C. Imp.]],'Indirect Costs'!$C44,Imput[[PERIODO Imp.]:[PERIODO Imp.]],'Indirect Costs'!CC$8)</f>
        <v>0</v>
      </c>
      <c r="CD44" s="48">
        <f>SUMIFS(Imput[[Importe Neto]:[Importe Neto]],Imput[[C. Imp.]:[C. Imp.]],'Indirect Costs'!$C44,Imput[[PERIODO Imp.]:[PERIODO Imp.]],'Indirect Costs'!CD$8)</f>
        <v>0</v>
      </c>
      <c r="CE44" s="48">
        <f>SUMIFS(Imput[[Importe Neto]:[Importe Neto]],Imput[[C. Imp.]:[C. Imp.]],'Indirect Costs'!$C44,Imput[[PERIODO Imp.]:[PERIODO Imp.]],'Indirect Costs'!CE$8)</f>
        <v>0</v>
      </c>
      <c r="CF44" s="48">
        <f>SUMIFS(Imput[[Importe Neto]:[Importe Neto]],Imput[[C. Imp.]:[C. Imp.]],'Indirect Costs'!$C44,Imput[[PERIODO Imp.]:[PERIODO Imp.]],'Indirect Costs'!CF$8)</f>
        <v>0</v>
      </c>
      <c r="CG44" s="48">
        <f>SUMIFS(Imput[[Importe Neto]:[Importe Neto]],Imput[[C. Imp.]:[C. Imp.]],'Indirect Costs'!$C44,Imput[[PERIODO Imp.]:[PERIODO Imp.]],'Indirect Costs'!CG$8)</f>
        <v>0</v>
      </c>
      <c r="CH44" s="48">
        <f>SUMIFS(Imput[[Importe Neto]:[Importe Neto]],Imput[[C. Imp.]:[C. Imp.]],'Indirect Costs'!$C44,Imput[[PERIODO Imp.]:[PERIODO Imp.]],'Indirect Costs'!CH$8)</f>
        <v>0</v>
      </c>
      <c r="CI44" s="48">
        <f>SUMIFS(Imput[[Importe Neto]:[Importe Neto]],Imput[[C. Imp.]:[C. Imp.]],'Indirect Costs'!$C44,Imput[[PERIODO Imp.]:[PERIODO Imp.]],'Indirect Costs'!CI$8)</f>
        <v>0</v>
      </c>
      <c r="CJ44" s="48">
        <f>SUMIFS(Imput[[Importe Neto]:[Importe Neto]],Imput[[C. Imp.]:[C. Imp.]],'Indirect Costs'!$C44,Imput[[PERIODO Imp.]:[PERIODO Imp.]],'Indirect Costs'!CJ$8)</f>
        <v>0</v>
      </c>
      <c r="CK44" s="48">
        <f>SUMIFS(Imput[[Importe Neto]:[Importe Neto]],Imput[[C. Imp.]:[C. Imp.]],'Indirect Costs'!$C44,Imput[[PERIODO Imp.]:[PERIODO Imp.]],'Indirect Costs'!CK$8)</f>
        <v>0</v>
      </c>
      <c r="CL44" s="48">
        <f>SUMIFS(Imput[[Importe Neto]:[Importe Neto]],Imput[[C. Imp.]:[C. Imp.]],'Indirect Costs'!$C44,Imput[[PERIODO Imp.]:[PERIODO Imp.]],'Indirect Costs'!CL$8)</f>
        <v>0</v>
      </c>
      <c r="CM44" s="48">
        <f>SUMIFS(Imput[[Importe Neto]:[Importe Neto]],Imput[[C. Imp.]:[C. Imp.]],'Indirect Costs'!$C44,Imput[[PERIODO Imp.]:[PERIODO Imp.]],'Indirect Costs'!CM$8)</f>
        <v>0</v>
      </c>
      <c r="CN44" s="48">
        <f>SUMIFS(Imput[[Importe Neto]:[Importe Neto]],Imput[[C. Imp.]:[C. Imp.]],'Indirect Costs'!$C44,Imput[[PERIODO Imp.]:[PERIODO Imp.]],'Indirect Costs'!CN$8)</f>
        <v>0</v>
      </c>
      <c r="CO44" s="48">
        <f>SUMIFS(Imput[[Importe Neto]:[Importe Neto]],Imput[[C. Imp.]:[C. Imp.]],'Indirect Costs'!$C44,Imput[[PERIODO Imp.]:[PERIODO Imp.]],'Indirect Costs'!CO$8)</f>
        <v>0</v>
      </c>
      <c r="CP44" s="48">
        <f>SUMIFS(Imput[[Importe Neto]:[Importe Neto]],Imput[[C. Imp.]:[C. Imp.]],'Indirect Costs'!$C44,Imput[[PERIODO Imp.]:[PERIODO Imp.]],'Indirect Costs'!CP$8)</f>
        <v>0</v>
      </c>
      <c r="CQ44" s="48">
        <f>SUMIFS(Imput[[Importe Neto]:[Importe Neto]],Imput[[C. Imp.]:[C. Imp.]],'Indirect Costs'!$C44,Imput[[PERIODO Imp.]:[PERIODO Imp.]],'Indirect Costs'!CQ$8)</f>
        <v>0</v>
      </c>
      <c r="CR44" s="48">
        <f>SUMIFS(Imput[[Importe Neto]:[Importe Neto]],Imput[[C. Imp.]:[C. Imp.]],'Indirect Costs'!$C44,Imput[[PERIODO Imp.]:[PERIODO Imp.]],'Indirect Costs'!CR$8)</f>
        <v>0</v>
      </c>
      <c r="CS44" s="48">
        <f>SUMIFS(Imput[[Importe Neto]:[Importe Neto]],Imput[[C. Imp.]:[C. Imp.]],'Indirect Costs'!$C44,Imput[[PERIODO Imp.]:[PERIODO Imp.]],'Indirect Costs'!CS$8)</f>
        <v>0</v>
      </c>
      <c r="CT44" s="48">
        <f>SUMIFS(Imput[[Importe Neto]:[Importe Neto]],Imput[[C. Imp.]:[C. Imp.]],'Indirect Costs'!$C44,Imput[[PERIODO Imp.]:[PERIODO Imp.]],'Indirect Costs'!CT$8)</f>
        <v>0</v>
      </c>
      <c r="CU44" s="48">
        <f>SUMIFS(Imput[[Importe Neto]:[Importe Neto]],Imput[[C. Imp.]:[C. Imp.]],'Indirect Costs'!$C44,Imput[[PERIODO Imp.]:[PERIODO Imp.]],'Indirect Costs'!CU$8)</f>
        <v>0</v>
      </c>
      <c r="CV44" s="48">
        <f>SUMIFS(Imput[[Importe Neto]:[Importe Neto]],Imput[[C. Imp.]:[C. Imp.]],'Indirect Costs'!$C44,Imput[[PERIODO Imp.]:[PERIODO Imp.]],'Indirect Costs'!CV$8)</f>
        <v>0</v>
      </c>
      <c r="CW44" s="48">
        <f>SUMIFS(Imput[[Importe Neto]:[Importe Neto]],Imput[[C. Imp.]:[C. Imp.]],'Indirect Costs'!$C44,Imput[[PERIODO Imp.]:[PERIODO Imp.]],'Indirect Costs'!CW$8)</f>
        <v>0</v>
      </c>
      <c r="CX44" s="48">
        <f>SUMIFS(Imput[[Importe Neto]:[Importe Neto]],Imput[[C. Imp.]:[C. Imp.]],'Indirect Costs'!$C44,Imput[[PERIODO Imp.]:[PERIODO Imp.]],'Indirect Costs'!CX$8)</f>
        <v>0</v>
      </c>
      <c r="CY44" s="48">
        <f>SUMIFS(Imput[[Importe Neto]:[Importe Neto]],Imput[[C. Imp.]:[C. Imp.]],'Indirect Costs'!$C44,Imput[[PERIODO Imp.]:[PERIODO Imp.]],'Indirect Costs'!CY$8)</f>
        <v>0</v>
      </c>
      <c r="CZ44" s="48">
        <f>SUMIFS(Imput[[Importe Neto]:[Importe Neto]],Imput[[C. Imp.]:[C. Imp.]],'Indirect Costs'!$C44,Imput[[PERIODO Imp.]:[PERIODO Imp.]],'Indirect Costs'!CZ$8)</f>
        <v>0</v>
      </c>
      <c r="DA44" s="48">
        <f>SUMIFS(Imput[[Importe Neto]:[Importe Neto]],Imput[[C. Imp.]:[C. Imp.]],'Indirect Costs'!$C44,Imput[[PERIODO Imp.]:[PERIODO Imp.]],'Indirect Costs'!DA$8)</f>
        <v>0</v>
      </c>
      <c r="DB44" s="48">
        <f>SUMIFS(Imput[[Importe Neto]:[Importe Neto]],Imput[[C. Imp.]:[C. Imp.]],'Indirect Costs'!$C44,Imput[[PERIODO Imp.]:[PERIODO Imp.]],'Indirect Costs'!DB$8)</f>
        <v>0</v>
      </c>
      <c r="DC44" s="48">
        <f>SUMIFS(Imput[[Importe Neto]:[Importe Neto]],Imput[[C. Imp.]:[C. Imp.]],'Indirect Costs'!$C44,Imput[[PERIODO Imp.]:[PERIODO Imp.]],'Indirect Costs'!DC$8)</f>
        <v>0</v>
      </c>
      <c r="DD44" s="48">
        <f>SUMIFS(Imput[[Importe Neto]:[Importe Neto]],Imput[[C. Imp.]:[C. Imp.]],'Indirect Costs'!$C44,Imput[[PERIODO Imp.]:[PERIODO Imp.]],'Indirect Costs'!DD$8)</f>
        <v>0</v>
      </c>
      <c r="DE44" s="48">
        <f>SUMIFS(Imput[[Importe Neto]:[Importe Neto]],Imput[[C. Imp.]:[C. Imp.]],'Indirect Costs'!$C44,Imput[[PERIODO Imp.]:[PERIODO Imp.]],'Indirect Costs'!DE$8)</f>
        <v>0</v>
      </c>
      <c r="DF44" s="143">
        <f>SUMIFS(Imput[[Importe Neto]:[Importe Neto]],Imput[[C. Imp.]:[C. Imp.]],'Indirect Costs'!$C44,Imput[[PERIODO Imp.]:[PERIODO Imp.]],'Indirect Costs'!DF$8)</f>
        <v>0</v>
      </c>
    </row>
    <row r="45" spans="1:110" outlineLevel="1" x14ac:dyDescent="0.25">
      <c r="A45" s="28" t="str">
        <f t="shared" si="3"/>
        <v/>
      </c>
      <c r="B45" s="50">
        <v>5</v>
      </c>
      <c r="C45" s="57" t="s">
        <v>1796</v>
      </c>
      <c r="D45" s="56" t="s">
        <v>559</v>
      </c>
      <c r="E45" s="57" t="s">
        <v>559</v>
      </c>
      <c r="F45" s="58">
        <v>15000</v>
      </c>
      <c r="G45" s="49"/>
      <c r="H45" s="51">
        <v>1</v>
      </c>
      <c r="I45" s="505">
        <f t="shared" si="7"/>
        <v>0</v>
      </c>
      <c r="J45" s="47"/>
      <c r="K45" s="142"/>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143"/>
      <c r="BG45" s="47"/>
      <c r="BH45" s="509"/>
      <c r="BI45" s="505">
        <f t="shared" si="6"/>
        <v>0</v>
      </c>
      <c r="BJ45" s="47"/>
      <c r="BK45" s="142">
        <f>SUMIFS(Imput[[Importe Neto]:[Importe Neto]],Imput[[C. Imp.]:[C. Imp.]],'Indirect Costs'!$C45,Imput[[PERIODO Imp.]:[PERIODO Imp.]],'Indirect Costs'!BK$8)</f>
        <v>0</v>
      </c>
      <c r="BL45" s="48">
        <f>SUMIFS(Imput[[Importe Neto]:[Importe Neto]],Imput[[C. Imp.]:[C. Imp.]],'Indirect Costs'!$C45,Imput[[PERIODO Imp.]:[PERIODO Imp.]],'Indirect Costs'!BL$8)</f>
        <v>0</v>
      </c>
      <c r="BM45" s="48">
        <f>SUMIFS(Imput[[Importe Neto]:[Importe Neto]],Imput[[C. Imp.]:[C. Imp.]],'Indirect Costs'!$C45,Imput[[PERIODO Imp.]:[PERIODO Imp.]],'Indirect Costs'!BM$8)</f>
        <v>0</v>
      </c>
      <c r="BN45" s="48">
        <f>SUMIFS(Imput[[Importe Neto]:[Importe Neto]],Imput[[C. Imp.]:[C. Imp.]],'Indirect Costs'!$C45,Imput[[PERIODO Imp.]:[PERIODO Imp.]],'Indirect Costs'!BN$8)</f>
        <v>0</v>
      </c>
      <c r="BO45" s="48">
        <f>SUMIFS(Imput[[Importe Neto]:[Importe Neto]],Imput[[C. Imp.]:[C. Imp.]],'Indirect Costs'!$C45,Imput[[PERIODO Imp.]:[PERIODO Imp.]],'Indirect Costs'!BO$8)</f>
        <v>0</v>
      </c>
      <c r="BP45" s="48">
        <f>SUMIFS(Imput[[Importe Neto]:[Importe Neto]],Imput[[C. Imp.]:[C. Imp.]],'Indirect Costs'!$C45,Imput[[PERIODO Imp.]:[PERIODO Imp.]],'Indirect Costs'!BP$8)</f>
        <v>0</v>
      </c>
      <c r="BQ45" s="48">
        <f>SUMIFS(Imput[[Importe Neto]:[Importe Neto]],Imput[[C. Imp.]:[C. Imp.]],'Indirect Costs'!$C45,Imput[[PERIODO Imp.]:[PERIODO Imp.]],'Indirect Costs'!BQ$8)</f>
        <v>0</v>
      </c>
      <c r="BR45" s="48">
        <f>SUMIFS(Imput[[Importe Neto]:[Importe Neto]],Imput[[C. Imp.]:[C. Imp.]],'Indirect Costs'!$C45,Imput[[PERIODO Imp.]:[PERIODO Imp.]],'Indirect Costs'!BR$8)</f>
        <v>0</v>
      </c>
      <c r="BS45" s="48">
        <f>SUMIFS(Imput[[Importe Neto]:[Importe Neto]],Imput[[C. Imp.]:[C. Imp.]],'Indirect Costs'!$C45,Imput[[PERIODO Imp.]:[PERIODO Imp.]],'Indirect Costs'!BS$8)</f>
        <v>0</v>
      </c>
      <c r="BT45" s="48">
        <f>SUMIFS(Imput[[Importe Neto]:[Importe Neto]],Imput[[C. Imp.]:[C. Imp.]],'Indirect Costs'!$C45,Imput[[PERIODO Imp.]:[PERIODO Imp.]],'Indirect Costs'!BT$8)</f>
        <v>0</v>
      </c>
      <c r="BU45" s="48">
        <f>SUMIFS(Imput[[Importe Neto]:[Importe Neto]],Imput[[C. Imp.]:[C. Imp.]],'Indirect Costs'!$C45,Imput[[PERIODO Imp.]:[PERIODO Imp.]],'Indirect Costs'!BU$8)</f>
        <v>0</v>
      </c>
      <c r="BV45" s="48">
        <f>SUMIFS(Imput[[Importe Neto]:[Importe Neto]],Imput[[C. Imp.]:[C. Imp.]],'Indirect Costs'!$C45,Imput[[PERIODO Imp.]:[PERIODO Imp.]],'Indirect Costs'!BV$8)</f>
        <v>0</v>
      </c>
      <c r="BW45" s="48">
        <f>SUMIFS(Imput[[Importe Neto]:[Importe Neto]],Imput[[C. Imp.]:[C. Imp.]],'Indirect Costs'!$C45,Imput[[PERIODO Imp.]:[PERIODO Imp.]],'Indirect Costs'!BW$8)</f>
        <v>0</v>
      </c>
      <c r="BX45" s="48">
        <f>SUMIFS(Imput[[Importe Neto]:[Importe Neto]],Imput[[C. Imp.]:[C. Imp.]],'Indirect Costs'!$C45,Imput[[PERIODO Imp.]:[PERIODO Imp.]],'Indirect Costs'!BX$8)</f>
        <v>0</v>
      </c>
      <c r="BY45" s="48">
        <f>SUMIFS(Imput[[Importe Neto]:[Importe Neto]],Imput[[C. Imp.]:[C. Imp.]],'Indirect Costs'!$C45,Imput[[PERIODO Imp.]:[PERIODO Imp.]],'Indirect Costs'!BY$8)</f>
        <v>0</v>
      </c>
      <c r="BZ45" s="48">
        <f>SUMIFS(Imput[[Importe Neto]:[Importe Neto]],Imput[[C. Imp.]:[C. Imp.]],'Indirect Costs'!$C45,Imput[[PERIODO Imp.]:[PERIODO Imp.]],'Indirect Costs'!BZ$8)</f>
        <v>0</v>
      </c>
      <c r="CA45" s="48">
        <f>SUMIFS(Imput[[Importe Neto]:[Importe Neto]],Imput[[C. Imp.]:[C. Imp.]],'Indirect Costs'!$C45,Imput[[PERIODO Imp.]:[PERIODO Imp.]],'Indirect Costs'!CA$8)</f>
        <v>0</v>
      </c>
      <c r="CB45" s="48">
        <f>SUMIFS(Imput[[Importe Neto]:[Importe Neto]],Imput[[C. Imp.]:[C. Imp.]],'Indirect Costs'!$C45,Imput[[PERIODO Imp.]:[PERIODO Imp.]],'Indirect Costs'!CB$8)</f>
        <v>0</v>
      </c>
      <c r="CC45" s="48">
        <f>SUMIFS(Imput[[Importe Neto]:[Importe Neto]],Imput[[C. Imp.]:[C. Imp.]],'Indirect Costs'!$C45,Imput[[PERIODO Imp.]:[PERIODO Imp.]],'Indirect Costs'!CC$8)</f>
        <v>0</v>
      </c>
      <c r="CD45" s="48">
        <f>SUMIFS(Imput[[Importe Neto]:[Importe Neto]],Imput[[C. Imp.]:[C. Imp.]],'Indirect Costs'!$C45,Imput[[PERIODO Imp.]:[PERIODO Imp.]],'Indirect Costs'!CD$8)</f>
        <v>0</v>
      </c>
      <c r="CE45" s="48">
        <f>SUMIFS(Imput[[Importe Neto]:[Importe Neto]],Imput[[C. Imp.]:[C. Imp.]],'Indirect Costs'!$C45,Imput[[PERIODO Imp.]:[PERIODO Imp.]],'Indirect Costs'!CE$8)</f>
        <v>0</v>
      </c>
      <c r="CF45" s="48">
        <f>SUMIFS(Imput[[Importe Neto]:[Importe Neto]],Imput[[C. Imp.]:[C. Imp.]],'Indirect Costs'!$C45,Imput[[PERIODO Imp.]:[PERIODO Imp.]],'Indirect Costs'!CF$8)</f>
        <v>0</v>
      </c>
      <c r="CG45" s="48">
        <f>SUMIFS(Imput[[Importe Neto]:[Importe Neto]],Imput[[C. Imp.]:[C. Imp.]],'Indirect Costs'!$C45,Imput[[PERIODO Imp.]:[PERIODO Imp.]],'Indirect Costs'!CG$8)</f>
        <v>0</v>
      </c>
      <c r="CH45" s="48">
        <f>SUMIFS(Imput[[Importe Neto]:[Importe Neto]],Imput[[C. Imp.]:[C. Imp.]],'Indirect Costs'!$C45,Imput[[PERIODO Imp.]:[PERIODO Imp.]],'Indirect Costs'!CH$8)</f>
        <v>0</v>
      </c>
      <c r="CI45" s="48">
        <f>SUMIFS(Imput[[Importe Neto]:[Importe Neto]],Imput[[C. Imp.]:[C. Imp.]],'Indirect Costs'!$C45,Imput[[PERIODO Imp.]:[PERIODO Imp.]],'Indirect Costs'!CI$8)</f>
        <v>0</v>
      </c>
      <c r="CJ45" s="48">
        <f>SUMIFS(Imput[[Importe Neto]:[Importe Neto]],Imput[[C. Imp.]:[C. Imp.]],'Indirect Costs'!$C45,Imput[[PERIODO Imp.]:[PERIODO Imp.]],'Indirect Costs'!CJ$8)</f>
        <v>0</v>
      </c>
      <c r="CK45" s="48">
        <f>SUMIFS(Imput[[Importe Neto]:[Importe Neto]],Imput[[C. Imp.]:[C. Imp.]],'Indirect Costs'!$C45,Imput[[PERIODO Imp.]:[PERIODO Imp.]],'Indirect Costs'!CK$8)</f>
        <v>0</v>
      </c>
      <c r="CL45" s="48">
        <f>SUMIFS(Imput[[Importe Neto]:[Importe Neto]],Imput[[C. Imp.]:[C. Imp.]],'Indirect Costs'!$C45,Imput[[PERIODO Imp.]:[PERIODO Imp.]],'Indirect Costs'!CL$8)</f>
        <v>0</v>
      </c>
      <c r="CM45" s="48">
        <f>SUMIFS(Imput[[Importe Neto]:[Importe Neto]],Imput[[C. Imp.]:[C. Imp.]],'Indirect Costs'!$C45,Imput[[PERIODO Imp.]:[PERIODO Imp.]],'Indirect Costs'!CM$8)</f>
        <v>0</v>
      </c>
      <c r="CN45" s="48">
        <f>SUMIFS(Imput[[Importe Neto]:[Importe Neto]],Imput[[C. Imp.]:[C. Imp.]],'Indirect Costs'!$C45,Imput[[PERIODO Imp.]:[PERIODO Imp.]],'Indirect Costs'!CN$8)</f>
        <v>0</v>
      </c>
      <c r="CO45" s="48">
        <f>SUMIFS(Imput[[Importe Neto]:[Importe Neto]],Imput[[C. Imp.]:[C. Imp.]],'Indirect Costs'!$C45,Imput[[PERIODO Imp.]:[PERIODO Imp.]],'Indirect Costs'!CO$8)</f>
        <v>0</v>
      </c>
      <c r="CP45" s="48">
        <f>SUMIFS(Imput[[Importe Neto]:[Importe Neto]],Imput[[C. Imp.]:[C. Imp.]],'Indirect Costs'!$C45,Imput[[PERIODO Imp.]:[PERIODO Imp.]],'Indirect Costs'!CP$8)</f>
        <v>0</v>
      </c>
      <c r="CQ45" s="48">
        <f>SUMIFS(Imput[[Importe Neto]:[Importe Neto]],Imput[[C. Imp.]:[C. Imp.]],'Indirect Costs'!$C45,Imput[[PERIODO Imp.]:[PERIODO Imp.]],'Indirect Costs'!CQ$8)</f>
        <v>0</v>
      </c>
      <c r="CR45" s="48">
        <f>SUMIFS(Imput[[Importe Neto]:[Importe Neto]],Imput[[C. Imp.]:[C. Imp.]],'Indirect Costs'!$C45,Imput[[PERIODO Imp.]:[PERIODO Imp.]],'Indirect Costs'!CR$8)</f>
        <v>0</v>
      </c>
      <c r="CS45" s="48">
        <f>SUMIFS(Imput[[Importe Neto]:[Importe Neto]],Imput[[C. Imp.]:[C. Imp.]],'Indirect Costs'!$C45,Imput[[PERIODO Imp.]:[PERIODO Imp.]],'Indirect Costs'!CS$8)</f>
        <v>0</v>
      </c>
      <c r="CT45" s="48">
        <f>SUMIFS(Imput[[Importe Neto]:[Importe Neto]],Imput[[C. Imp.]:[C. Imp.]],'Indirect Costs'!$C45,Imput[[PERIODO Imp.]:[PERIODO Imp.]],'Indirect Costs'!CT$8)</f>
        <v>0</v>
      </c>
      <c r="CU45" s="48">
        <f>SUMIFS(Imput[[Importe Neto]:[Importe Neto]],Imput[[C. Imp.]:[C. Imp.]],'Indirect Costs'!$C45,Imput[[PERIODO Imp.]:[PERIODO Imp.]],'Indirect Costs'!CU$8)</f>
        <v>0</v>
      </c>
      <c r="CV45" s="48">
        <f>SUMIFS(Imput[[Importe Neto]:[Importe Neto]],Imput[[C. Imp.]:[C. Imp.]],'Indirect Costs'!$C45,Imput[[PERIODO Imp.]:[PERIODO Imp.]],'Indirect Costs'!CV$8)</f>
        <v>0</v>
      </c>
      <c r="CW45" s="48">
        <f>SUMIFS(Imput[[Importe Neto]:[Importe Neto]],Imput[[C. Imp.]:[C. Imp.]],'Indirect Costs'!$C45,Imput[[PERIODO Imp.]:[PERIODO Imp.]],'Indirect Costs'!CW$8)</f>
        <v>0</v>
      </c>
      <c r="CX45" s="48">
        <f>SUMIFS(Imput[[Importe Neto]:[Importe Neto]],Imput[[C. Imp.]:[C. Imp.]],'Indirect Costs'!$C45,Imput[[PERIODO Imp.]:[PERIODO Imp.]],'Indirect Costs'!CX$8)</f>
        <v>0</v>
      </c>
      <c r="CY45" s="48">
        <f>SUMIFS(Imput[[Importe Neto]:[Importe Neto]],Imput[[C. Imp.]:[C. Imp.]],'Indirect Costs'!$C45,Imput[[PERIODO Imp.]:[PERIODO Imp.]],'Indirect Costs'!CY$8)</f>
        <v>0</v>
      </c>
      <c r="CZ45" s="48">
        <f>SUMIFS(Imput[[Importe Neto]:[Importe Neto]],Imput[[C. Imp.]:[C. Imp.]],'Indirect Costs'!$C45,Imput[[PERIODO Imp.]:[PERIODO Imp.]],'Indirect Costs'!CZ$8)</f>
        <v>0</v>
      </c>
      <c r="DA45" s="48">
        <f>SUMIFS(Imput[[Importe Neto]:[Importe Neto]],Imput[[C. Imp.]:[C. Imp.]],'Indirect Costs'!$C45,Imput[[PERIODO Imp.]:[PERIODO Imp.]],'Indirect Costs'!DA$8)</f>
        <v>0</v>
      </c>
      <c r="DB45" s="48">
        <f>SUMIFS(Imput[[Importe Neto]:[Importe Neto]],Imput[[C. Imp.]:[C. Imp.]],'Indirect Costs'!$C45,Imput[[PERIODO Imp.]:[PERIODO Imp.]],'Indirect Costs'!DB$8)</f>
        <v>0</v>
      </c>
      <c r="DC45" s="48">
        <f>SUMIFS(Imput[[Importe Neto]:[Importe Neto]],Imput[[C. Imp.]:[C. Imp.]],'Indirect Costs'!$C45,Imput[[PERIODO Imp.]:[PERIODO Imp.]],'Indirect Costs'!DC$8)</f>
        <v>0</v>
      </c>
      <c r="DD45" s="48">
        <f>SUMIFS(Imput[[Importe Neto]:[Importe Neto]],Imput[[C. Imp.]:[C. Imp.]],'Indirect Costs'!$C45,Imput[[PERIODO Imp.]:[PERIODO Imp.]],'Indirect Costs'!DD$8)</f>
        <v>0</v>
      </c>
      <c r="DE45" s="48">
        <f>SUMIFS(Imput[[Importe Neto]:[Importe Neto]],Imput[[C. Imp.]:[C. Imp.]],'Indirect Costs'!$C45,Imput[[PERIODO Imp.]:[PERIODO Imp.]],'Indirect Costs'!DE$8)</f>
        <v>0</v>
      </c>
      <c r="DF45" s="143">
        <f>SUMIFS(Imput[[Importe Neto]:[Importe Neto]],Imput[[C. Imp.]:[C. Imp.]],'Indirect Costs'!$C45,Imput[[PERIODO Imp.]:[PERIODO Imp.]],'Indirect Costs'!DF$8)</f>
        <v>0</v>
      </c>
    </row>
    <row r="46" spans="1:110" outlineLevel="1" x14ac:dyDescent="0.25">
      <c r="A46" s="28" t="str">
        <f t="shared" si="3"/>
        <v/>
      </c>
      <c r="B46" s="50">
        <v>6</v>
      </c>
      <c r="C46" s="57" t="s">
        <v>1797</v>
      </c>
      <c r="D46" s="56" t="s">
        <v>560</v>
      </c>
      <c r="E46" s="57" t="s">
        <v>560</v>
      </c>
      <c r="F46" s="58">
        <v>10000</v>
      </c>
      <c r="G46" s="49"/>
      <c r="H46" s="51">
        <v>2</v>
      </c>
      <c r="I46" s="505">
        <f t="shared" si="7"/>
        <v>0</v>
      </c>
      <c r="J46" s="47"/>
      <c r="K46" s="142"/>
      <c r="L46" s="48"/>
      <c r="M46" s="48"/>
      <c r="N46" s="48"/>
      <c r="O46" s="48"/>
      <c r="P46" s="48"/>
      <c r="Q46" s="48"/>
      <c r="R46" s="48"/>
      <c r="S46" s="48"/>
      <c r="T46" s="48"/>
      <c r="U46" s="48"/>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8"/>
      <c r="BB46" s="48"/>
      <c r="BC46" s="48"/>
      <c r="BD46" s="48"/>
      <c r="BE46" s="48"/>
      <c r="BF46" s="143"/>
      <c r="BG46" s="47"/>
      <c r="BH46" s="509"/>
      <c r="BI46" s="505">
        <f t="shared" si="6"/>
        <v>0</v>
      </c>
      <c r="BJ46" s="47"/>
      <c r="BK46" s="142">
        <f>SUMIFS(Imput[[Importe Neto]:[Importe Neto]],Imput[[C. Imp.]:[C. Imp.]],'Indirect Costs'!$C46,Imput[[PERIODO Imp.]:[PERIODO Imp.]],'Indirect Costs'!BK$8)</f>
        <v>0</v>
      </c>
      <c r="BL46" s="48">
        <f>SUMIFS(Imput[[Importe Neto]:[Importe Neto]],Imput[[C. Imp.]:[C. Imp.]],'Indirect Costs'!$C46,Imput[[PERIODO Imp.]:[PERIODO Imp.]],'Indirect Costs'!BL$8)</f>
        <v>0</v>
      </c>
      <c r="BM46" s="48">
        <f>SUMIFS(Imput[[Importe Neto]:[Importe Neto]],Imput[[C. Imp.]:[C. Imp.]],'Indirect Costs'!$C46,Imput[[PERIODO Imp.]:[PERIODO Imp.]],'Indirect Costs'!BM$8)</f>
        <v>0</v>
      </c>
      <c r="BN46" s="48">
        <f>SUMIFS(Imput[[Importe Neto]:[Importe Neto]],Imput[[C. Imp.]:[C. Imp.]],'Indirect Costs'!$C46,Imput[[PERIODO Imp.]:[PERIODO Imp.]],'Indirect Costs'!BN$8)</f>
        <v>0</v>
      </c>
      <c r="BO46" s="48">
        <f>SUMIFS(Imput[[Importe Neto]:[Importe Neto]],Imput[[C. Imp.]:[C. Imp.]],'Indirect Costs'!$C46,Imput[[PERIODO Imp.]:[PERIODO Imp.]],'Indirect Costs'!BO$8)</f>
        <v>0</v>
      </c>
      <c r="BP46" s="48">
        <f>SUMIFS(Imput[[Importe Neto]:[Importe Neto]],Imput[[C. Imp.]:[C. Imp.]],'Indirect Costs'!$C46,Imput[[PERIODO Imp.]:[PERIODO Imp.]],'Indirect Costs'!BP$8)</f>
        <v>0</v>
      </c>
      <c r="BQ46" s="48">
        <f>SUMIFS(Imput[[Importe Neto]:[Importe Neto]],Imput[[C. Imp.]:[C. Imp.]],'Indirect Costs'!$C46,Imput[[PERIODO Imp.]:[PERIODO Imp.]],'Indirect Costs'!BQ$8)</f>
        <v>0</v>
      </c>
      <c r="BR46" s="48">
        <f>SUMIFS(Imput[[Importe Neto]:[Importe Neto]],Imput[[C. Imp.]:[C. Imp.]],'Indirect Costs'!$C46,Imput[[PERIODO Imp.]:[PERIODO Imp.]],'Indirect Costs'!BR$8)</f>
        <v>0</v>
      </c>
      <c r="BS46" s="48">
        <f>SUMIFS(Imput[[Importe Neto]:[Importe Neto]],Imput[[C. Imp.]:[C. Imp.]],'Indirect Costs'!$C46,Imput[[PERIODO Imp.]:[PERIODO Imp.]],'Indirect Costs'!BS$8)</f>
        <v>0</v>
      </c>
      <c r="BT46" s="48">
        <f>SUMIFS(Imput[[Importe Neto]:[Importe Neto]],Imput[[C. Imp.]:[C. Imp.]],'Indirect Costs'!$C46,Imput[[PERIODO Imp.]:[PERIODO Imp.]],'Indirect Costs'!BT$8)</f>
        <v>0</v>
      </c>
      <c r="BU46" s="48">
        <f>SUMIFS(Imput[[Importe Neto]:[Importe Neto]],Imput[[C. Imp.]:[C. Imp.]],'Indirect Costs'!$C46,Imput[[PERIODO Imp.]:[PERIODO Imp.]],'Indirect Costs'!BU$8)</f>
        <v>0</v>
      </c>
      <c r="BV46" s="48">
        <f>SUMIFS(Imput[[Importe Neto]:[Importe Neto]],Imput[[C. Imp.]:[C. Imp.]],'Indirect Costs'!$C46,Imput[[PERIODO Imp.]:[PERIODO Imp.]],'Indirect Costs'!BV$8)</f>
        <v>0</v>
      </c>
      <c r="BW46" s="48">
        <f>SUMIFS(Imput[[Importe Neto]:[Importe Neto]],Imput[[C. Imp.]:[C. Imp.]],'Indirect Costs'!$C46,Imput[[PERIODO Imp.]:[PERIODO Imp.]],'Indirect Costs'!BW$8)</f>
        <v>0</v>
      </c>
      <c r="BX46" s="48">
        <f>SUMIFS(Imput[[Importe Neto]:[Importe Neto]],Imput[[C. Imp.]:[C. Imp.]],'Indirect Costs'!$C46,Imput[[PERIODO Imp.]:[PERIODO Imp.]],'Indirect Costs'!BX$8)</f>
        <v>0</v>
      </c>
      <c r="BY46" s="48">
        <f>SUMIFS(Imput[[Importe Neto]:[Importe Neto]],Imput[[C. Imp.]:[C. Imp.]],'Indirect Costs'!$C46,Imput[[PERIODO Imp.]:[PERIODO Imp.]],'Indirect Costs'!BY$8)</f>
        <v>0</v>
      </c>
      <c r="BZ46" s="48">
        <f>SUMIFS(Imput[[Importe Neto]:[Importe Neto]],Imput[[C. Imp.]:[C. Imp.]],'Indirect Costs'!$C46,Imput[[PERIODO Imp.]:[PERIODO Imp.]],'Indirect Costs'!BZ$8)</f>
        <v>0</v>
      </c>
      <c r="CA46" s="48">
        <f>SUMIFS(Imput[[Importe Neto]:[Importe Neto]],Imput[[C. Imp.]:[C. Imp.]],'Indirect Costs'!$C46,Imput[[PERIODO Imp.]:[PERIODO Imp.]],'Indirect Costs'!CA$8)</f>
        <v>0</v>
      </c>
      <c r="CB46" s="48">
        <f>SUMIFS(Imput[[Importe Neto]:[Importe Neto]],Imput[[C. Imp.]:[C. Imp.]],'Indirect Costs'!$C46,Imput[[PERIODO Imp.]:[PERIODO Imp.]],'Indirect Costs'!CB$8)</f>
        <v>0</v>
      </c>
      <c r="CC46" s="48">
        <f>SUMIFS(Imput[[Importe Neto]:[Importe Neto]],Imput[[C. Imp.]:[C. Imp.]],'Indirect Costs'!$C46,Imput[[PERIODO Imp.]:[PERIODO Imp.]],'Indirect Costs'!CC$8)</f>
        <v>0</v>
      </c>
      <c r="CD46" s="48">
        <f>SUMIFS(Imput[[Importe Neto]:[Importe Neto]],Imput[[C. Imp.]:[C. Imp.]],'Indirect Costs'!$C46,Imput[[PERIODO Imp.]:[PERIODO Imp.]],'Indirect Costs'!CD$8)</f>
        <v>0</v>
      </c>
      <c r="CE46" s="48">
        <f>SUMIFS(Imput[[Importe Neto]:[Importe Neto]],Imput[[C. Imp.]:[C. Imp.]],'Indirect Costs'!$C46,Imput[[PERIODO Imp.]:[PERIODO Imp.]],'Indirect Costs'!CE$8)</f>
        <v>0</v>
      </c>
      <c r="CF46" s="48">
        <f>SUMIFS(Imput[[Importe Neto]:[Importe Neto]],Imput[[C. Imp.]:[C. Imp.]],'Indirect Costs'!$C46,Imput[[PERIODO Imp.]:[PERIODO Imp.]],'Indirect Costs'!CF$8)</f>
        <v>0</v>
      </c>
      <c r="CG46" s="48">
        <f>SUMIFS(Imput[[Importe Neto]:[Importe Neto]],Imput[[C. Imp.]:[C. Imp.]],'Indirect Costs'!$C46,Imput[[PERIODO Imp.]:[PERIODO Imp.]],'Indirect Costs'!CG$8)</f>
        <v>0</v>
      </c>
      <c r="CH46" s="48">
        <f>SUMIFS(Imput[[Importe Neto]:[Importe Neto]],Imput[[C. Imp.]:[C. Imp.]],'Indirect Costs'!$C46,Imput[[PERIODO Imp.]:[PERIODO Imp.]],'Indirect Costs'!CH$8)</f>
        <v>0</v>
      </c>
      <c r="CI46" s="48">
        <f>SUMIFS(Imput[[Importe Neto]:[Importe Neto]],Imput[[C. Imp.]:[C. Imp.]],'Indirect Costs'!$C46,Imput[[PERIODO Imp.]:[PERIODO Imp.]],'Indirect Costs'!CI$8)</f>
        <v>0</v>
      </c>
      <c r="CJ46" s="48">
        <f>SUMIFS(Imput[[Importe Neto]:[Importe Neto]],Imput[[C. Imp.]:[C. Imp.]],'Indirect Costs'!$C46,Imput[[PERIODO Imp.]:[PERIODO Imp.]],'Indirect Costs'!CJ$8)</f>
        <v>0</v>
      </c>
      <c r="CK46" s="48">
        <f>SUMIFS(Imput[[Importe Neto]:[Importe Neto]],Imput[[C. Imp.]:[C. Imp.]],'Indirect Costs'!$C46,Imput[[PERIODO Imp.]:[PERIODO Imp.]],'Indirect Costs'!CK$8)</f>
        <v>0</v>
      </c>
      <c r="CL46" s="48">
        <f>SUMIFS(Imput[[Importe Neto]:[Importe Neto]],Imput[[C. Imp.]:[C. Imp.]],'Indirect Costs'!$C46,Imput[[PERIODO Imp.]:[PERIODO Imp.]],'Indirect Costs'!CL$8)</f>
        <v>0</v>
      </c>
      <c r="CM46" s="48">
        <f>SUMIFS(Imput[[Importe Neto]:[Importe Neto]],Imput[[C. Imp.]:[C. Imp.]],'Indirect Costs'!$C46,Imput[[PERIODO Imp.]:[PERIODO Imp.]],'Indirect Costs'!CM$8)</f>
        <v>0</v>
      </c>
      <c r="CN46" s="48">
        <f>SUMIFS(Imput[[Importe Neto]:[Importe Neto]],Imput[[C. Imp.]:[C. Imp.]],'Indirect Costs'!$C46,Imput[[PERIODO Imp.]:[PERIODO Imp.]],'Indirect Costs'!CN$8)</f>
        <v>0</v>
      </c>
      <c r="CO46" s="48">
        <f>SUMIFS(Imput[[Importe Neto]:[Importe Neto]],Imput[[C. Imp.]:[C. Imp.]],'Indirect Costs'!$C46,Imput[[PERIODO Imp.]:[PERIODO Imp.]],'Indirect Costs'!CO$8)</f>
        <v>0</v>
      </c>
      <c r="CP46" s="48">
        <f>SUMIFS(Imput[[Importe Neto]:[Importe Neto]],Imput[[C. Imp.]:[C. Imp.]],'Indirect Costs'!$C46,Imput[[PERIODO Imp.]:[PERIODO Imp.]],'Indirect Costs'!CP$8)</f>
        <v>0</v>
      </c>
      <c r="CQ46" s="48">
        <f>SUMIFS(Imput[[Importe Neto]:[Importe Neto]],Imput[[C. Imp.]:[C. Imp.]],'Indirect Costs'!$C46,Imput[[PERIODO Imp.]:[PERIODO Imp.]],'Indirect Costs'!CQ$8)</f>
        <v>0</v>
      </c>
      <c r="CR46" s="48">
        <f>SUMIFS(Imput[[Importe Neto]:[Importe Neto]],Imput[[C. Imp.]:[C. Imp.]],'Indirect Costs'!$C46,Imput[[PERIODO Imp.]:[PERIODO Imp.]],'Indirect Costs'!CR$8)</f>
        <v>0</v>
      </c>
      <c r="CS46" s="48">
        <f>SUMIFS(Imput[[Importe Neto]:[Importe Neto]],Imput[[C. Imp.]:[C. Imp.]],'Indirect Costs'!$C46,Imput[[PERIODO Imp.]:[PERIODO Imp.]],'Indirect Costs'!CS$8)</f>
        <v>0</v>
      </c>
      <c r="CT46" s="48">
        <f>SUMIFS(Imput[[Importe Neto]:[Importe Neto]],Imput[[C. Imp.]:[C. Imp.]],'Indirect Costs'!$C46,Imput[[PERIODO Imp.]:[PERIODO Imp.]],'Indirect Costs'!CT$8)</f>
        <v>0</v>
      </c>
      <c r="CU46" s="48">
        <f>SUMIFS(Imput[[Importe Neto]:[Importe Neto]],Imput[[C. Imp.]:[C. Imp.]],'Indirect Costs'!$C46,Imput[[PERIODO Imp.]:[PERIODO Imp.]],'Indirect Costs'!CU$8)</f>
        <v>0</v>
      </c>
      <c r="CV46" s="48">
        <f>SUMIFS(Imput[[Importe Neto]:[Importe Neto]],Imput[[C. Imp.]:[C. Imp.]],'Indirect Costs'!$C46,Imput[[PERIODO Imp.]:[PERIODO Imp.]],'Indirect Costs'!CV$8)</f>
        <v>0</v>
      </c>
      <c r="CW46" s="48">
        <f>SUMIFS(Imput[[Importe Neto]:[Importe Neto]],Imput[[C. Imp.]:[C. Imp.]],'Indirect Costs'!$C46,Imput[[PERIODO Imp.]:[PERIODO Imp.]],'Indirect Costs'!CW$8)</f>
        <v>0</v>
      </c>
      <c r="CX46" s="48">
        <f>SUMIFS(Imput[[Importe Neto]:[Importe Neto]],Imput[[C. Imp.]:[C. Imp.]],'Indirect Costs'!$C46,Imput[[PERIODO Imp.]:[PERIODO Imp.]],'Indirect Costs'!CX$8)</f>
        <v>0</v>
      </c>
      <c r="CY46" s="48">
        <f>SUMIFS(Imput[[Importe Neto]:[Importe Neto]],Imput[[C. Imp.]:[C. Imp.]],'Indirect Costs'!$C46,Imput[[PERIODO Imp.]:[PERIODO Imp.]],'Indirect Costs'!CY$8)</f>
        <v>0</v>
      </c>
      <c r="CZ46" s="48">
        <f>SUMIFS(Imput[[Importe Neto]:[Importe Neto]],Imput[[C. Imp.]:[C. Imp.]],'Indirect Costs'!$C46,Imput[[PERIODO Imp.]:[PERIODO Imp.]],'Indirect Costs'!CZ$8)</f>
        <v>0</v>
      </c>
      <c r="DA46" s="48">
        <f>SUMIFS(Imput[[Importe Neto]:[Importe Neto]],Imput[[C. Imp.]:[C. Imp.]],'Indirect Costs'!$C46,Imput[[PERIODO Imp.]:[PERIODO Imp.]],'Indirect Costs'!DA$8)</f>
        <v>0</v>
      </c>
      <c r="DB46" s="48">
        <f>SUMIFS(Imput[[Importe Neto]:[Importe Neto]],Imput[[C. Imp.]:[C. Imp.]],'Indirect Costs'!$C46,Imput[[PERIODO Imp.]:[PERIODO Imp.]],'Indirect Costs'!DB$8)</f>
        <v>0</v>
      </c>
      <c r="DC46" s="48">
        <f>SUMIFS(Imput[[Importe Neto]:[Importe Neto]],Imput[[C. Imp.]:[C. Imp.]],'Indirect Costs'!$C46,Imput[[PERIODO Imp.]:[PERIODO Imp.]],'Indirect Costs'!DC$8)</f>
        <v>0</v>
      </c>
      <c r="DD46" s="48">
        <f>SUMIFS(Imput[[Importe Neto]:[Importe Neto]],Imput[[C. Imp.]:[C. Imp.]],'Indirect Costs'!$C46,Imput[[PERIODO Imp.]:[PERIODO Imp.]],'Indirect Costs'!DD$8)</f>
        <v>0</v>
      </c>
      <c r="DE46" s="48">
        <f>SUMIFS(Imput[[Importe Neto]:[Importe Neto]],Imput[[C. Imp.]:[C. Imp.]],'Indirect Costs'!$C46,Imput[[PERIODO Imp.]:[PERIODO Imp.]],'Indirect Costs'!DE$8)</f>
        <v>0</v>
      </c>
      <c r="DF46" s="143">
        <f>SUMIFS(Imput[[Importe Neto]:[Importe Neto]],Imput[[C. Imp.]:[C. Imp.]],'Indirect Costs'!$C46,Imput[[PERIODO Imp.]:[PERIODO Imp.]],'Indirect Costs'!DF$8)</f>
        <v>0</v>
      </c>
    </row>
    <row r="47" spans="1:110" outlineLevel="1" x14ac:dyDescent="0.25">
      <c r="A47" s="28" t="str">
        <f t="shared" si="3"/>
        <v/>
      </c>
      <c r="B47" s="50">
        <v>7</v>
      </c>
      <c r="C47" s="57" t="s">
        <v>1798</v>
      </c>
      <c r="D47" s="56" t="s">
        <v>561</v>
      </c>
      <c r="E47" s="57" t="s">
        <v>561</v>
      </c>
      <c r="F47" s="58">
        <v>40000</v>
      </c>
      <c r="G47" s="49"/>
      <c r="H47" s="51">
        <v>1</v>
      </c>
      <c r="I47" s="505">
        <f t="shared" si="7"/>
        <v>0</v>
      </c>
      <c r="J47" s="47"/>
      <c r="K47" s="142"/>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143"/>
      <c r="BG47" s="47"/>
      <c r="BH47" s="509"/>
      <c r="BI47" s="505">
        <f t="shared" si="6"/>
        <v>0</v>
      </c>
      <c r="BJ47" s="47"/>
      <c r="BK47" s="142">
        <f>SUMIFS(Imput[[Importe Neto]:[Importe Neto]],Imput[[C. Imp.]:[C. Imp.]],'Indirect Costs'!$C47,Imput[[PERIODO Imp.]:[PERIODO Imp.]],'Indirect Costs'!BK$8)</f>
        <v>0</v>
      </c>
      <c r="BL47" s="48">
        <f>SUMIFS(Imput[[Importe Neto]:[Importe Neto]],Imput[[C. Imp.]:[C. Imp.]],'Indirect Costs'!$C47,Imput[[PERIODO Imp.]:[PERIODO Imp.]],'Indirect Costs'!BL$8)</f>
        <v>0</v>
      </c>
      <c r="BM47" s="48">
        <f>SUMIFS(Imput[[Importe Neto]:[Importe Neto]],Imput[[C. Imp.]:[C. Imp.]],'Indirect Costs'!$C47,Imput[[PERIODO Imp.]:[PERIODO Imp.]],'Indirect Costs'!BM$8)</f>
        <v>0</v>
      </c>
      <c r="BN47" s="48">
        <f>SUMIFS(Imput[[Importe Neto]:[Importe Neto]],Imput[[C. Imp.]:[C. Imp.]],'Indirect Costs'!$C47,Imput[[PERIODO Imp.]:[PERIODO Imp.]],'Indirect Costs'!BN$8)</f>
        <v>0</v>
      </c>
      <c r="BO47" s="48">
        <f>SUMIFS(Imput[[Importe Neto]:[Importe Neto]],Imput[[C. Imp.]:[C. Imp.]],'Indirect Costs'!$C47,Imput[[PERIODO Imp.]:[PERIODO Imp.]],'Indirect Costs'!BO$8)</f>
        <v>0</v>
      </c>
      <c r="BP47" s="48">
        <f>SUMIFS(Imput[[Importe Neto]:[Importe Neto]],Imput[[C. Imp.]:[C. Imp.]],'Indirect Costs'!$C47,Imput[[PERIODO Imp.]:[PERIODO Imp.]],'Indirect Costs'!BP$8)</f>
        <v>0</v>
      </c>
      <c r="BQ47" s="48">
        <f>SUMIFS(Imput[[Importe Neto]:[Importe Neto]],Imput[[C. Imp.]:[C. Imp.]],'Indirect Costs'!$C47,Imput[[PERIODO Imp.]:[PERIODO Imp.]],'Indirect Costs'!BQ$8)</f>
        <v>0</v>
      </c>
      <c r="BR47" s="48">
        <f>SUMIFS(Imput[[Importe Neto]:[Importe Neto]],Imput[[C. Imp.]:[C. Imp.]],'Indirect Costs'!$C47,Imput[[PERIODO Imp.]:[PERIODO Imp.]],'Indirect Costs'!BR$8)</f>
        <v>0</v>
      </c>
      <c r="BS47" s="48">
        <f>SUMIFS(Imput[[Importe Neto]:[Importe Neto]],Imput[[C. Imp.]:[C. Imp.]],'Indirect Costs'!$C47,Imput[[PERIODO Imp.]:[PERIODO Imp.]],'Indirect Costs'!BS$8)</f>
        <v>0</v>
      </c>
      <c r="BT47" s="48">
        <f>SUMIFS(Imput[[Importe Neto]:[Importe Neto]],Imput[[C. Imp.]:[C. Imp.]],'Indirect Costs'!$C47,Imput[[PERIODO Imp.]:[PERIODO Imp.]],'Indirect Costs'!BT$8)</f>
        <v>0</v>
      </c>
      <c r="BU47" s="48">
        <f>SUMIFS(Imput[[Importe Neto]:[Importe Neto]],Imput[[C. Imp.]:[C. Imp.]],'Indirect Costs'!$C47,Imput[[PERIODO Imp.]:[PERIODO Imp.]],'Indirect Costs'!BU$8)</f>
        <v>0</v>
      </c>
      <c r="BV47" s="48">
        <f>SUMIFS(Imput[[Importe Neto]:[Importe Neto]],Imput[[C. Imp.]:[C. Imp.]],'Indirect Costs'!$C47,Imput[[PERIODO Imp.]:[PERIODO Imp.]],'Indirect Costs'!BV$8)</f>
        <v>0</v>
      </c>
      <c r="BW47" s="48">
        <f>SUMIFS(Imput[[Importe Neto]:[Importe Neto]],Imput[[C. Imp.]:[C. Imp.]],'Indirect Costs'!$C47,Imput[[PERIODO Imp.]:[PERIODO Imp.]],'Indirect Costs'!BW$8)</f>
        <v>0</v>
      </c>
      <c r="BX47" s="48">
        <f>SUMIFS(Imput[[Importe Neto]:[Importe Neto]],Imput[[C. Imp.]:[C. Imp.]],'Indirect Costs'!$C47,Imput[[PERIODO Imp.]:[PERIODO Imp.]],'Indirect Costs'!BX$8)</f>
        <v>0</v>
      </c>
      <c r="BY47" s="48">
        <f>SUMIFS(Imput[[Importe Neto]:[Importe Neto]],Imput[[C. Imp.]:[C. Imp.]],'Indirect Costs'!$C47,Imput[[PERIODO Imp.]:[PERIODO Imp.]],'Indirect Costs'!BY$8)</f>
        <v>0</v>
      </c>
      <c r="BZ47" s="48">
        <f>SUMIFS(Imput[[Importe Neto]:[Importe Neto]],Imput[[C. Imp.]:[C. Imp.]],'Indirect Costs'!$C47,Imput[[PERIODO Imp.]:[PERIODO Imp.]],'Indirect Costs'!BZ$8)</f>
        <v>0</v>
      </c>
      <c r="CA47" s="48">
        <f>SUMIFS(Imput[[Importe Neto]:[Importe Neto]],Imput[[C. Imp.]:[C. Imp.]],'Indirect Costs'!$C47,Imput[[PERIODO Imp.]:[PERIODO Imp.]],'Indirect Costs'!CA$8)</f>
        <v>0</v>
      </c>
      <c r="CB47" s="48">
        <f>SUMIFS(Imput[[Importe Neto]:[Importe Neto]],Imput[[C. Imp.]:[C. Imp.]],'Indirect Costs'!$C47,Imput[[PERIODO Imp.]:[PERIODO Imp.]],'Indirect Costs'!CB$8)</f>
        <v>0</v>
      </c>
      <c r="CC47" s="48">
        <f>SUMIFS(Imput[[Importe Neto]:[Importe Neto]],Imput[[C. Imp.]:[C. Imp.]],'Indirect Costs'!$C47,Imput[[PERIODO Imp.]:[PERIODO Imp.]],'Indirect Costs'!CC$8)</f>
        <v>0</v>
      </c>
      <c r="CD47" s="48">
        <f>SUMIFS(Imput[[Importe Neto]:[Importe Neto]],Imput[[C. Imp.]:[C. Imp.]],'Indirect Costs'!$C47,Imput[[PERIODO Imp.]:[PERIODO Imp.]],'Indirect Costs'!CD$8)</f>
        <v>0</v>
      </c>
      <c r="CE47" s="48">
        <f>SUMIFS(Imput[[Importe Neto]:[Importe Neto]],Imput[[C. Imp.]:[C. Imp.]],'Indirect Costs'!$C47,Imput[[PERIODO Imp.]:[PERIODO Imp.]],'Indirect Costs'!CE$8)</f>
        <v>0</v>
      </c>
      <c r="CF47" s="48">
        <f>SUMIFS(Imput[[Importe Neto]:[Importe Neto]],Imput[[C. Imp.]:[C. Imp.]],'Indirect Costs'!$C47,Imput[[PERIODO Imp.]:[PERIODO Imp.]],'Indirect Costs'!CF$8)</f>
        <v>0</v>
      </c>
      <c r="CG47" s="48">
        <f>SUMIFS(Imput[[Importe Neto]:[Importe Neto]],Imput[[C. Imp.]:[C. Imp.]],'Indirect Costs'!$C47,Imput[[PERIODO Imp.]:[PERIODO Imp.]],'Indirect Costs'!CG$8)</f>
        <v>0</v>
      </c>
      <c r="CH47" s="48">
        <f>SUMIFS(Imput[[Importe Neto]:[Importe Neto]],Imput[[C. Imp.]:[C. Imp.]],'Indirect Costs'!$C47,Imput[[PERIODO Imp.]:[PERIODO Imp.]],'Indirect Costs'!CH$8)</f>
        <v>0</v>
      </c>
      <c r="CI47" s="48">
        <f>SUMIFS(Imput[[Importe Neto]:[Importe Neto]],Imput[[C. Imp.]:[C. Imp.]],'Indirect Costs'!$C47,Imput[[PERIODO Imp.]:[PERIODO Imp.]],'Indirect Costs'!CI$8)</f>
        <v>0</v>
      </c>
      <c r="CJ47" s="48">
        <f>SUMIFS(Imput[[Importe Neto]:[Importe Neto]],Imput[[C. Imp.]:[C. Imp.]],'Indirect Costs'!$C47,Imput[[PERIODO Imp.]:[PERIODO Imp.]],'Indirect Costs'!CJ$8)</f>
        <v>0</v>
      </c>
      <c r="CK47" s="48">
        <f>SUMIFS(Imput[[Importe Neto]:[Importe Neto]],Imput[[C. Imp.]:[C. Imp.]],'Indirect Costs'!$C47,Imput[[PERIODO Imp.]:[PERIODO Imp.]],'Indirect Costs'!CK$8)</f>
        <v>0</v>
      </c>
      <c r="CL47" s="48">
        <f>SUMIFS(Imput[[Importe Neto]:[Importe Neto]],Imput[[C. Imp.]:[C. Imp.]],'Indirect Costs'!$C47,Imput[[PERIODO Imp.]:[PERIODO Imp.]],'Indirect Costs'!CL$8)</f>
        <v>0</v>
      </c>
      <c r="CM47" s="48">
        <f>SUMIFS(Imput[[Importe Neto]:[Importe Neto]],Imput[[C. Imp.]:[C. Imp.]],'Indirect Costs'!$C47,Imput[[PERIODO Imp.]:[PERIODO Imp.]],'Indirect Costs'!CM$8)</f>
        <v>0</v>
      </c>
      <c r="CN47" s="48">
        <f>SUMIFS(Imput[[Importe Neto]:[Importe Neto]],Imput[[C. Imp.]:[C. Imp.]],'Indirect Costs'!$C47,Imput[[PERIODO Imp.]:[PERIODO Imp.]],'Indirect Costs'!CN$8)</f>
        <v>0</v>
      </c>
      <c r="CO47" s="48">
        <f>SUMIFS(Imput[[Importe Neto]:[Importe Neto]],Imput[[C. Imp.]:[C. Imp.]],'Indirect Costs'!$C47,Imput[[PERIODO Imp.]:[PERIODO Imp.]],'Indirect Costs'!CO$8)</f>
        <v>0</v>
      </c>
      <c r="CP47" s="48">
        <f>SUMIFS(Imput[[Importe Neto]:[Importe Neto]],Imput[[C. Imp.]:[C. Imp.]],'Indirect Costs'!$C47,Imput[[PERIODO Imp.]:[PERIODO Imp.]],'Indirect Costs'!CP$8)</f>
        <v>0</v>
      </c>
      <c r="CQ47" s="48">
        <f>SUMIFS(Imput[[Importe Neto]:[Importe Neto]],Imput[[C. Imp.]:[C. Imp.]],'Indirect Costs'!$C47,Imput[[PERIODO Imp.]:[PERIODO Imp.]],'Indirect Costs'!CQ$8)</f>
        <v>0</v>
      </c>
      <c r="CR47" s="48">
        <f>SUMIFS(Imput[[Importe Neto]:[Importe Neto]],Imput[[C. Imp.]:[C. Imp.]],'Indirect Costs'!$C47,Imput[[PERIODO Imp.]:[PERIODO Imp.]],'Indirect Costs'!CR$8)</f>
        <v>0</v>
      </c>
      <c r="CS47" s="48">
        <f>SUMIFS(Imput[[Importe Neto]:[Importe Neto]],Imput[[C. Imp.]:[C. Imp.]],'Indirect Costs'!$C47,Imput[[PERIODO Imp.]:[PERIODO Imp.]],'Indirect Costs'!CS$8)</f>
        <v>0</v>
      </c>
      <c r="CT47" s="48">
        <f>SUMIFS(Imput[[Importe Neto]:[Importe Neto]],Imput[[C. Imp.]:[C. Imp.]],'Indirect Costs'!$C47,Imput[[PERIODO Imp.]:[PERIODO Imp.]],'Indirect Costs'!CT$8)</f>
        <v>0</v>
      </c>
      <c r="CU47" s="48">
        <f>SUMIFS(Imput[[Importe Neto]:[Importe Neto]],Imput[[C. Imp.]:[C. Imp.]],'Indirect Costs'!$C47,Imput[[PERIODO Imp.]:[PERIODO Imp.]],'Indirect Costs'!CU$8)</f>
        <v>0</v>
      </c>
      <c r="CV47" s="48">
        <f>SUMIFS(Imput[[Importe Neto]:[Importe Neto]],Imput[[C. Imp.]:[C. Imp.]],'Indirect Costs'!$C47,Imput[[PERIODO Imp.]:[PERIODO Imp.]],'Indirect Costs'!CV$8)</f>
        <v>0</v>
      </c>
      <c r="CW47" s="48">
        <f>SUMIFS(Imput[[Importe Neto]:[Importe Neto]],Imput[[C. Imp.]:[C. Imp.]],'Indirect Costs'!$C47,Imput[[PERIODO Imp.]:[PERIODO Imp.]],'Indirect Costs'!CW$8)</f>
        <v>0</v>
      </c>
      <c r="CX47" s="48">
        <f>SUMIFS(Imput[[Importe Neto]:[Importe Neto]],Imput[[C. Imp.]:[C. Imp.]],'Indirect Costs'!$C47,Imput[[PERIODO Imp.]:[PERIODO Imp.]],'Indirect Costs'!CX$8)</f>
        <v>0</v>
      </c>
      <c r="CY47" s="48">
        <f>SUMIFS(Imput[[Importe Neto]:[Importe Neto]],Imput[[C. Imp.]:[C. Imp.]],'Indirect Costs'!$C47,Imput[[PERIODO Imp.]:[PERIODO Imp.]],'Indirect Costs'!CY$8)</f>
        <v>0</v>
      </c>
      <c r="CZ47" s="48">
        <f>SUMIFS(Imput[[Importe Neto]:[Importe Neto]],Imput[[C. Imp.]:[C. Imp.]],'Indirect Costs'!$C47,Imput[[PERIODO Imp.]:[PERIODO Imp.]],'Indirect Costs'!CZ$8)</f>
        <v>0</v>
      </c>
      <c r="DA47" s="48">
        <f>SUMIFS(Imput[[Importe Neto]:[Importe Neto]],Imput[[C. Imp.]:[C. Imp.]],'Indirect Costs'!$C47,Imput[[PERIODO Imp.]:[PERIODO Imp.]],'Indirect Costs'!DA$8)</f>
        <v>0</v>
      </c>
      <c r="DB47" s="48">
        <f>SUMIFS(Imput[[Importe Neto]:[Importe Neto]],Imput[[C. Imp.]:[C. Imp.]],'Indirect Costs'!$C47,Imput[[PERIODO Imp.]:[PERIODO Imp.]],'Indirect Costs'!DB$8)</f>
        <v>0</v>
      </c>
      <c r="DC47" s="48">
        <f>SUMIFS(Imput[[Importe Neto]:[Importe Neto]],Imput[[C. Imp.]:[C. Imp.]],'Indirect Costs'!$C47,Imput[[PERIODO Imp.]:[PERIODO Imp.]],'Indirect Costs'!DC$8)</f>
        <v>0</v>
      </c>
      <c r="DD47" s="48">
        <f>SUMIFS(Imput[[Importe Neto]:[Importe Neto]],Imput[[C. Imp.]:[C. Imp.]],'Indirect Costs'!$C47,Imput[[PERIODO Imp.]:[PERIODO Imp.]],'Indirect Costs'!DD$8)</f>
        <v>0</v>
      </c>
      <c r="DE47" s="48">
        <f>SUMIFS(Imput[[Importe Neto]:[Importe Neto]],Imput[[C. Imp.]:[C. Imp.]],'Indirect Costs'!$C47,Imput[[PERIODO Imp.]:[PERIODO Imp.]],'Indirect Costs'!DE$8)</f>
        <v>0</v>
      </c>
      <c r="DF47" s="143">
        <f>SUMIFS(Imput[[Importe Neto]:[Importe Neto]],Imput[[C. Imp.]:[C. Imp.]],'Indirect Costs'!$C47,Imput[[PERIODO Imp.]:[PERIODO Imp.]],'Indirect Costs'!DF$8)</f>
        <v>0</v>
      </c>
    </row>
    <row r="48" spans="1:110" outlineLevel="1" x14ac:dyDescent="0.25">
      <c r="A48" s="28" t="str">
        <f t="shared" si="3"/>
        <v/>
      </c>
      <c r="B48" s="50">
        <v>8</v>
      </c>
      <c r="C48" s="57" t="s">
        <v>1799</v>
      </c>
      <c r="D48" s="56" t="s">
        <v>562</v>
      </c>
      <c r="E48" s="57" t="s">
        <v>562</v>
      </c>
      <c r="F48" s="58">
        <v>150000</v>
      </c>
      <c r="G48" s="49"/>
      <c r="H48" s="51">
        <v>1</v>
      </c>
      <c r="I48" s="505">
        <f t="shared" si="7"/>
        <v>0</v>
      </c>
      <c r="J48" s="47"/>
      <c r="K48" s="142"/>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8"/>
      <c r="BB48" s="48"/>
      <c r="BC48" s="48"/>
      <c r="BD48" s="48"/>
      <c r="BE48" s="48"/>
      <c r="BF48" s="143"/>
      <c r="BG48" s="47"/>
      <c r="BH48" s="509"/>
      <c r="BI48" s="505">
        <f t="shared" si="6"/>
        <v>0</v>
      </c>
      <c r="BJ48" s="47"/>
      <c r="BK48" s="142">
        <f>SUMIFS(Imput[[Importe Neto]:[Importe Neto]],Imput[[C. Imp.]:[C. Imp.]],'Indirect Costs'!$C48,Imput[[PERIODO Imp.]:[PERIODO Imp.]],'Indirect Costs'!BK$8)</f>
        <v>0</v>
      </c>
      <c r="BL48" s="48">
        <f>SUMIFS(Imput[[Importe Neto]:[Importe Neto]],Imput[[C. Imp.]:[C. Imp.]],'Indirect Costs'!$C48,Imput[[PERIODO Imp.]:[PERIODO Imp.]],'Indirect Costs'!BL$8)</f>
        <v>0</v>
      </c>
      <c r="BM48" s="48">
        <f>SUMIFS(Imput[[Importe Neto]:[Importe Neto]],Imput[[C. Imp.]:[C. Imp.]],'Indirect Costs'!$C48,Imput[[PERIODO Imp.]:[PERIODO Imp.]],'Indirect Costs'!BM$8)</f>
        <v>0</v>
      </c>
      <c r="BN48" s="48">
        <f>SUMIFS(Imput[[Importe Neto]:[Importe Neto]],Imput[[C. Imp.]:[C. Imp.]],'Indirect Costs'!$C48,Imput[[PERIODO Imp.]:[PERIODO Imp.]],'Indirect Costs'!BN$8)</f>
        <v>0</v>
      </c>
      <c r="BO48" s="48">
        <f>SUMIFS(Imput[[Importe Neto]:[Importe Neto]],Imput[[C. Imp.]:[C. Imp.]],'Indirect Costs'!$C48,Imput[[PERIODO Imp.]:[PERIODO Imp.]],'Indirect Costs'!BO$8)</f>
        <v>0</v>
      </c>
      <c r="BP48" s="48">
        <f>SUMIFS(Imput[[Importe Neto]:[Importe Neto]],Imput[[C. Imp.]:[C. Imp.]],'Indirect Costs'!$C48,Imput[[PERIODO Imp.]:[PERIODO Imp.]],'Indirect Costs'!BP$8)</f>
        <v>0</v>
      </c>
      <c r="BQ48" s="48">
        <f>SUMIFS(Imput[[Importe Neto]:[Importe Neto]],Imput[[C. Imp.]:[C. Imp.]],'Indirect Costs'!$C48,Imput[[PERIODO Imp.]:[PERIODO Imp.]],'Indirect Costs'!BQ$8)</f>
        <v>0</v>
      </c>
      <c r="BR48" s="48">
        <f>SUMIFS(Imput[[Importe Neto]:[Importe Neto]],Imput[[C. Imp.]:[C. Imp.]],'Indirect Costs'!$C48,Imput[[PERIODO Imp.]:[PERIODO Imp.]],'Indirect Costs'!BR$8)</f>
        <v>0</v>
      </c>
      <c r="BS48" s="48">
        <f>SUMIFS(Imput[[Importe Neto]:[Importe Neto]],Imput[[C. Imp.]:[C. Imp.]],'Indirect Costs'!$C48,Imput[[PERIODO Imp.]:[PERIODO Imp.]],'Indirect Costs'!BS$8)</f>
        <v>0</v>
      </c>
      <c r="BT48" s="48">
        <f>SUMIFS(Imput[[Importe Neto]:[Importe Neto]],Imput[[C. Imp.]:[C. Imp.]],'Indirect Costs'!$C48,Imput[[PERIODO Imp.]:[PERIODO Imp.]],'Indirect Costs'!BT$8)</f>
        <v>0</v>
      </c>
      <c r="BU48" s="48">
        <f>SUMIFS(Imput[[Importe Neto]:[Importe Neto]],Imput[[C. Imp.]:[C. Imp.]],'Indirect Costs'!$C48,Imput[[PERIODO Imp.]:[PERIODO Imp.]],'Indirect Costs'!BU$8)</f>
        <v>0</v>
      </c>
      <c r="BV48" s="48">
        <f>SUMIFS(Imput[[Importe Neto]:[Importe Neto]],Imput[[C. Imp.]:[C. Imp.]],'Indirect Costs'!$C48,Imput[[PERIODO Imp.]:[PERIODO Imp.]],'Indirect Costs'!BV$8)</f>
        <v>0</v>
      </c>
      <c r="BW48" s="48">
        <f>SUMIFS(Imput[[Importe Neto]:[Importe Neto]],Imput[[C. Imp.]:[C. Imp.]],'Indirect Costs'!$C48,Imput[[PERIODO Imp.]:[PERIODO Imp.]],'Indirect Costs'!BW$8)</f>
        <v>0</v>
      </c>
      <c r="BX48" s="48">
        <f>SUMIFS(Imput[[Importe Neto]:[Importe Neto]],Imput[[C. Imp.]:[C. Imp.]],'Indirect Costs'!$C48,Imput[[PERIODO Imp.]:[PERIODO Imp.]],'Indirect Costs'!BX$8)</f>
        <v>0</v>
      </c>
      <c r="BY48" s="48">
        <f>SUMIFS(Imput[[Importe Neto]:[Importe Neto]],Imput[[C. Imp.]:[C. Imp.]],'Indirect Costs'!$C48,Imput[[PERIODO Imp.]:[PERIODO Imp.]],'Indirect Costs'!BY$8)</f>
        <v>0</v>
      </c>
      <c r="BZ48" s="48">
        <f>SUMIFS(Imput[[Importe Neto]:[Importe Neto]],Imput[[C. Imp.]:[C. Imp.]],'Indirect Costs'!$C48,Imput[[PERIODO Imp.]:[PERIODO Imp.]],'Indirect Costs'!BZ$8)</f>
        <v>0</v>
      </c>
      <c r="CA48" s="48">
        <f>SUMIFS(Imput[[Importe Neto]:[Importe Neto]],Imput[[C. Imp.]:[C. Imp.]],'Indirect Costs'!$C48,Imput[[PERIODO Imp.]:[PERIODO Imp.]],'Indirect Costs'!CA$8)</f>
        <v>0</v>
      </c>
      <c r="CB48" s="48">
        <f>SUMIFS(Imput[[Importe Neto]:[Importe Neto]],Imput[[C. Imp.]:[C. Imp.]],'Indirect Costs'!$C48,Imput[[PERIODO Imp.]:[PERIODO Imp.]],'Indirect Costs'!CB$8)</f>
        <v>0</v>
      </c>
      <c r="CC48" s="48">
        <f>SUMIFS(Imput[[Importe Neto]:[Importe Neto]],Imput[[C. Imp.]:[C. Imp.]],'Indirect Costs'!$C48,Imput[[PERIODO Imp.]:[PERIODO Imp.]],'Indirect Costs'!CC$8)</f>
        <v>0</v>
      </c>
      <c r="CD48" s="48">
        <f>SUMIFS(Imput[[Importe Neto]:[Importe Neto]],Imput[[C. Imp.]:[C. Imp.]],'Indirect Costs'!$C48,Imput[[PERIODO Imp.]:[PERIODO Imp.]],'Indirect Costs'!CD$8)</f>
        <v>0</v>
      </c>
      <c r="CE48" s="48">
        <f>SUMIFS(Imput[[Importe Neto]:[Importe Neto]],Imput[[C. Imp.]:[C. Imp.]],'Indirect Costs'!$C48,Imput[[PERIODO Imp.]:[PERIODO Imp.]],'Indirect Costs'!CE$8)</f>
        <v>0</v>
      </c>
      <c r="CF48" s="48">
        <f>SUMIFS(Imput[[Importe Neto]:[Importe Neto]],Imput[[C. Imp.]:[C. Imp.]],'Indirect Costs'!$C48,Imput[[PERIODO Imp.]:[PERIODO Imp.]],'Indirect Costs'!CF$8)</f>
        <v>0</v>
      </c>
      <c r="CG48" s="48">
        <f>SUMIFS(Imput[[Importe Neto]:[Importe Neto]],Imput[[C. Imp.]:[C. Imp.]],'Indirect Costs'!$C48,Imput[[PERIODO Imp.]:[PERIODO Imp.]],'Indirect Costs'!CG$8)</f>
        <v>0</v>
      </c>
      <c r="CH48" s="48">
        <f>SUMIFS(Imput[[Importe Neto]:[Importe Neto]],Imput[[C. Imp.]:[C. Imp.]],'Indirect Costs'!$C48,Imput[[PERIODO Imp.]:[PERIODO Imp.]],'Indirect Costs'!CH$8)</f>
        <v>0</v>
      </c>
      <c r="CI48" s="48">
        <f>SUMIFS(Imput[[Importe Neto]:[Importe Neto]],Imput[[C. Imp.]:[C. Imp.]],'Indirect Costs'!$C48,Imput[[PERIODO Imp.]:[PERIODO Imp.]],'Indirect Costs'!CI$8)</f>
        <v>0</v>
      </c>
      <c r="CJ48" s="48">
        <f>SUMIFS(Imput[[Importe Neto]:[Importe Neto]],Imput[[C. Imp.]:[C. Imp.]],'Indirect Costs'!$C48,Imput[[PERIODO Imp.]:[PERIODO Imp.]],'Indirect Costs'!CJ$8)</f>
        <v>0</v>
      </c>
      <c r="CK48" s="48">
        <f>SUMIFS(Imput[[Importe Neto]:[Importe Neto]],Imput[[C. Imp.]:[C. Imp.]],'Indirect Costs'!$C48,Imput[[PERIODO Imp.]:[PERIODO Imp.]],'Indirect Costs'!CK$8)</f>
        <v>0</v>
      </c>
      <c r="CL48" s="48">
        <f>SUMIFS(Imput[[Importe Neto]:[Importe Neto]],Imput[[C. Imp.]:[C. Imp.]],'Indirect Costs'!$C48,Imput[[PERIODO Imp.]:[PERIODO Imp.]],'Indirect Costs'!CL$8)</f>
        <v>0</v>
      </c>
      <c r="CM48" s="48">
        <f>SUMIFS(Imput[[Importe Neto]:[Importe Neto]],Imput[[C. Imp.]:[C. Imp.]],'Indirect Costs'!$C48,Imput[[PERIODO Imp.]:[PERIODO Imp.]],'Indirect Costs'!CM$8)</f>
        <v>0</v>
      </c>
      <c r="CN48" s="48">
        <f>SUMIFS(Imput[[Importe Neto]:[Importe Neto]],Imput[[C. Imp.]:[C. Imp.]],'Indirect Costs'!$C48,Imput[[PERIODO Imp.]:[PERIODO Imp.]],'Indirect Costs'!CN$8)</f>
        <v>0</v>
      </c>
      <c r="CO48" s="48">
        <f>SUMIFS(Imput[[Importe Neto]:[Importe Neto]],Imput[[C. Imp.]:[C. Imp.]],'Indirect Costs'!$C48,Imput[[PERIODO Imp.]:[PERIODO Imp.]],'Indirect Costs'!CO$8)</f>
        <v>0</v>
      </c>
      <c r="CP48" s="48">
        <f>SUMIFS(Imput[[Importe Neto]:[Importe Neto]],Imput[[C. Imp.]:[C. Imp.]],'Indirect Costs'!$C48,Imput[[PERIODO Imp.]:[PERIODO Imp.]],'Indirect Costs'!CP$8)</f>
        <v>0</v>
      </c>
      <c r="CQ48" s="48">
        <f>SUMIFS(Imput[[Importe Neto]:[Importe Neto]],Imput[[C. Imp.]:[C. Imp.]],'Indirect Costs'!$C48,Imput[[PERIODO Imp.]:[PERIODO Imp.]],'Indirect Costs'!CQ$8)</f>
        <v>0</v>
      </c>
      <c r="CR48" s="48">
        <f>SUMIFS(Imput[[Importe Neto]:[Importe Neto]],Imput[[C. Imp.]:[C. Imp.]],'Indirect Costs'!$C48,Imput[[PERIODO Imp.]:[PERIODO Imp.]],'Indirect Costs'!CR$8)</f>
        <v>0</v>
      </c>
      <c r="CS48" s="48">
        <f>SUMIFS(Imput[[Importe Neto]:[Importe Neto]],Imput[[C. Imp.]:[C. Imp.]],'Indirect Costs'!$C48,Imput[[PERIODO Imp.]:[PERIODO Imp.]],'Indirect Costs'!CS$8)</f>
        <v>0</v>
      </c>
      <c r="CT48" s="48">
        <f>SUMIFS(Imput[[Importe Neto]:[Importe Neto]],Imput[[C. Imp.]:[C. Imp.]],'Indirect Costs'!$C48,Imput[[PERIODO Imp.]:[PERIODO Imp.]],'Indirect Costs'!CT$8)</f>
        <v>0</v>
      </c>
      <c r="CU48" s="48">
        <f>SUMIFS(Imput[[Importe Neto]:[Importe Neto]],Imput[[C. Imp.]:[C. Imp.]],'Indirect Costs'!$C48,Imput[[PERIODO Imp.]:[PERIODO Imp.]],'Indirect Costs'!CU$8)</f>
        <v>0</v>
      </c>
      <c r="CV48" s="48">
        <f>SUMIFS(Imput[[Importe Neto]:[Importe Neto]],Imput[[C. Imp.]:[C. Imp.]],'Indirect Costs'!$C48,Imput[[PERIODO Imp.]:[PERIODO Imp.]],'Indirect Costs'!CV$8)</f>
        <v>0</v>
      </c>
      <c r="CW48" s="48">
        <f>SUMIFS(Imput[[Importe Neto]:[Importe Neto]],Imput[[C. Imp.]:[C. Imp.]],'Indirect Costs'!$C48,Imput[[PERIODO Imp.]:[PERIODO Imp.]],'Indirect Costs'!CW$8)</f>
        <v>0</v>
      </c>
      <c r="CX48" s="48">
        <f>SUMIFS(Imput[[Importe Neto]:[Importe Neto]],Imput[[C. Imp.]:[C. Imp.]],'Indirect Costs'!$C48,Imput[[PERIODO Imp.]:[PERIODO Imp.]],'Indirect Costs'!CX$8)</f>
        <v>0</v>
      </c>
      <c r="CY48" s="48">
        <f>SUMIFS(Imput[[Importe Neto]:[Importe Neto]],Imput[[C. Imp.]:[C. Imp.]],'Indirect Costs'!$C48,Imput[[PERIODO Imp.]:[PERIODO Imp.]],'Indirect Costs'!CY$8)</f>
        <v>0</v>
      </c>
      <c r="CZ48" s="48">
        <f>SUMIFS(Imput[[Importe Neto]:[Importe Neto]],Imput[[C. Imp.]:[C. Imp.]],'Indirect Costs'!$C48,Imput[[PERIODO Imp.]:[PERIODO Imp.]],'Indirect Costs'!CZ$8)</f>
        <v>0</v>
      </c>
      <c r="DA48" s="48">
        <f>SUMIFS(Imput[[Importe Neto]:[Importe Neto]],Imput[[C. Imp.]:[C. Imp.]],'Indirect Costs'!$C48,Imput[[PERIODO Imp.]:[PERIODO Imp.]],'Indirect Costs'!DA$8)</f>
        <v>0</v>
      </c>
      <c r="DB48" s="48">
        <f>SUMIFS(Imput[[Importe Neto]:[Importe Neto]],Imput[[C. Imp.]:[C. Imp.]],'Indirect Costs'!$C48,Imput[[PERIODO Imp.]:[PERIODO Imp.]],'Indirect Costs'!DB$8)</f>
        <v>0</v>
      </c>
      <c r="DC48" s="48">
        <f>SUMIFS(Imput[[Importe Neto]:[Importe Neto]],Imput[[C. Imp.]:[C. Imp.]],'Indirect Costs'!$C48,Imput[[PERIODO Imp.]:[PERIODO Imp.]],'Indirect Costs'!DC$8)</f>
        <v>0</v>
      </c>
      <c r="DD48" s="48">
        <f>SUMIFS(Imput[[Importe Neto]:[Importe Neto]],Imput[[C. Imp.]:[C. Imp.]],'Indirect Costs'!$C48,Imput[[PERIODO Imp.]:[PERIODO Imp.]],'Indirect Costs'!DD$8)</f>
        <v>0</v>
      </c>
      <c r="DE48" s="48">
        <f>SUMIFS(Imput[[Importe Neto]:[Importe Neto]],Imput[[C. Imp.]:[C. Imp.]],'Indirect Costs'!$C48,Imput[[PERIODO Imp.]:[PERIODO Imp.]],'Indirect Costs'!DE$8)</f>
        <v>0</v>
      </c>
      <c r="DF48" s="143">
        <f>SUMIFS(Imput[[Importe Neto]:[Importe Neto]],Imput[[C. Imp.]:[C. Imp.]],'Indirect Costs'!$C48,Imput[[PERIODO Imp.]:[PERIODO Imp.]],'Indirect Costs'!DF$8)</f>
        <v>0</v>
      </c>
    </row>
    <row r="49" spans="1:110" outlineLevel="1" x14ac:dyDescent="0.25">
      <c r="A49" s="28" t="str">
        <f t="shared" si="3"/>
        <v/>
      </c>
      <c r="B49" s="50">
        <v>9</v>
      </c>
      <c r="C49" s="57" t="s">
        <v>1800</v>
      </c>
      <c r="D49" s="56" t="s">
        <v>563</v>
      </c>
      <c r="E49" s="57" t="s">
        <v>563</v>
      </c>
      <c r="F49" s="58">
        <v>60000</v>
      </c>
      <c r="G49" s="49"/>
      <c r="H49" s="51">
        <v>1</v>
      </c>
      <c r="I49" s="505">
        <f t="shared" si="7"/>
        <v>0</v>
      </c>
      <c r="J49" s="47"/>
      <c r="K49" s="142"/>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143"/>
      <c r="BG49" s="47"/>
      <c r="BH49" s="509"/>
      <c r="BI49" s="505">
        <f t="shared" si="6"/>
        <v>0</v>
      </c>
      <c r="BJ49" s="47"/>
      <c r="BK49" s="142">
        <f>SUMIFS(Imput[[Importe Neto]:[Importe Neto]],Imput[[C. Imp.]:[C. Imp.]],'Indirect Costs'!$C49,Imput[[PERIODO Imp.]:[PERIODO Imp.]],'Indirect Costs'!BK$8)</f>
        <v>0</v>
      </c>
      <c r="BL49" s="48">
        <f>SUMIFS(Imput[[Importe Neto]:[Importe Neto]],Imput[[C. Imp.]:[C. Imp.]],'Indirect Costs'!$C49,Imput[[PERIODO Imp.]:[PERIODO Imp.]],'Indirect Costs'!BL$8)</f>
        <v>0</v>
      </c>
      <c r="BM49" s="48">
        <f>SUMIFS(Imput[[Importe Neto]:[Importe Neto]],Imput[[C. Imp.]:[C. Imp.]],'Indirect Costs'!$C49,Imput[[PERIODO Imp.]:[PERIODO Imp.]],'Indirect Costs'!BM$8)</f>
        <v>0</v>
      </c>
      <c r="BN49" s="48">
        <f>SUMIFS(Imput[[Importe Neto]:[Importe Neto]],Imput[[C. Imp.]:[C. Imp.]],'Indirect Costs'!$C49,Imput[[PERIODO Imp.]:[PERIODO Imp.]],'Indirect Costs'!BN$8)</f>
        <v>0</v>
      </c>
      <c r="BO49" s="48">
        <f>SUMIFS(Imput[[Importe Neto]:[Importe Neto]],Imput[[C. Imp.]:[C. Imp.]],'Indirect Costs'!$C49,Imput[[PERIODO Imp.]:[PERIODO Imp.]],'Indirect Costs'!BO$8)</f>
        <v>0</v>
      </c>
      <c r="BP49" s="48">
        <f>SUMIFS(Imput[[Importe Neto]:[Importe Neto]],Imput[[C. Imp.]:[C. Imp.]],'Indirect Costs'!$C49,Imput[[PERIODO Imp.]:[PERIODO Imp.]],'Indirect Costs'!BP$8)</f>
        <v>0</v>
      </c>
      <c r="BQ49" s="48">
        <f>SUMIFS(Imput[[Importe Neto]:[Importe Neto]],Imput[[C. Imp.]:[C. Imp.]],'Indirect Costs'!$C49,Imput[[PERIODO Imp.]:[PERIODO Imp.]],'Indirect Costs'!BQ$8)</f>
        <v>0</v>
      </c>
      <c r="BR49" s="48">
        <f>SUMIFS(Imput[[Importe Neto]:[Importe Neto]],Imput[[C. Imp.]:[C. Imp.]],'Indirect Costs'!$C49,Imput[[PERIODO Imp.]:[PERIODO Imp.]],'Indirect Costs'!BR$8)</f>
        <v>0</v>
      </c>
      <c r="BS49" s="48">
        <f>SUMIFS(Imput[[Importe Neto]:[Importe Neto]],Imput[[C. Imp.]:[C. Imp.]],'Indirect Costs'!$C49,Imput[[PERIODO Imp.]:[PERIODO Imp.]],'Indirect Costs'!BS$8)</f>
        <v>0</v>
      </c>
      <c r="BT49" s="48">
        <f>SUMIFS(Imput[[Importe Neto]:[Importe Neto]],Imput[[C. Imp.]:[C. Imp.]],'Indirect Costs'!$C49,Imput[[PERIODO Imp.]:[PERIODO Imp.]],'Indirect Costs'!BT$8)</f>
        <v>0</v>
      </c>
      <c r="BU49" s="48">
        <f>SUMIFS(Imput[[Importe Neto]:[Importe Neto]],Imput[[C. Imp.]:[C. Imp.]],'Indirect Costs'!$C49,Imput[[PERIODO Imp.]:[PERIODO Imp.]],'Indirect Costs'!BU$8)</f>
        <v>0</v>
      </c>
      <c r="BV49" s="48">
        <f>SUMIFS(Imput[[Importe Neto]:[Importe Neto]],Imput[[C. Imp.]:[C. Imp.]],'Indirect Costs'!$C49,Imput[[PERIODO Imp.]:[PERIODO Imp.]],'Indirect Costs'!BV$8)</f>
        <v>0</v>
      </c>
      <c r="BW49" s="48">
        <f>SUMIFS(Imput[[Importe Neto]:[Importe Neto]],Imput[[C. Imp.]:[C. Imp.]],'Indirect Costs'!$C49,Imput[[PERIODO Imp.]:[PERIODO Imp.]],'Indirect Costs'!BW$8)</f>
        <v>0</v>
      </c>
      <c r="BX49" s="48">
        <f>SUMIFS(Imput[[Importe Neto]:[Importe Neto]],Imput[[C. Imp.]:[C. Imp.]],'Indirect Costs'!$C49,Imput[[PERIODO Imp.]:[PERIODO Imp.]],'Indirect Costs'!BX$8)</f>
        <v>0</v>
      </c>
      <c r="BY49" s="48">
        <f>SUMIFS(Imput[[Importe Neto]:[Importe Neto]],Imput[[C. Imp.]:[C. Imp.]],'Indirect Costs'!$C49,Imput[[PERIODO Imp.]:[PERIODO Imp.]],'Indirect Costs'!BY$8)</f>
        <v>0</v>
      </c>
      <c r="BZ49" s="48">
        <f>SUMIFS(Imput[[Importe Neto]:[Importe Neto]],Imput[[C. Imp.]:[C. Imp.]],'Indirect Costs'!$C49,Imput[[PERIODO Imp.]:[PERIODO Imp.]],'Indirect Costs'!BZ$8)</f>
        <v>0</v>
      </c>
      <c r="CA49" s="48">
        <f>SUMIFS(Imput[[Importe Neto]:[Importe Neto]],Imput[[C. Imp.]:[C. Imp.]],'Indirect Costs'!$C49,Imput[[PERIODO Imp.]:[PERIODO Imp.]],'Indirect Costs'!CA$8)</f>
        <v>0</v>
      </c>
      <c r="CB49" s="48">
        <f>SUMIFS(Imput[[Importe Neto]:[Importe Neto]],Imput[[C. Imp.]:[C. Imp.]],'Indirect Costs'!$C49,Imput[[PERIODO Imp.]:[PERIODO Imp.]],'Indirect Costs'!CB$8)</f>
        <v>0</v>
      </c>
      <c r="CC49" s="48">
        <f>SUMIFS(Imput[[Importe Neto]:[Importe Neto]],Imput[[C. Imp.]:[C. Imp.]],'Indirect Costs'!$C49,Imput[[PERIODO Imp.]:[PERIODO Imp.]],'Indirect Costs'!CC$8)</f>
        <v>0</v>
      </c>
      <c r="CD49" s="48">
        <f>SUMIFS(Imput[[Importe Neto]:[Importe Neto]],Imput[[C. Imp.]:[C. Imp.]],'Indirect Costs'!$C49,Imput[[PERIODO Imp.]:[PERIODO Imp.]],'Indirect Costs'!CD$8)</f>
        <v>0</v>
      </c>
      <c r="CE49" s="48">
        <f>SUMIFS(Imput[[Importe Neto]:[Importe Neto]],Imput[[C. Imp.]:[C. Imp.]],'Indirect Costs'!$C49,Imput[[PERIODO Imp.]:[PERIODO Imp.]],'Indirect Costs'!CE$8)</f>
        <v>0</v>
      </c>
      <c r="CF49" s="48">
        <f>SUMIFS(Imput[[Importe Neto]:[Importe Neto]],Imput[[C. Imp.]:[C. Imp.]],'Indirect Costs'!$C49,Imput[[PERIODO Imp.]:[PERIODO Imp.]],'Indirect Costs'!CF$8)</f>
        <v>0</v>
      </c>
      <c r="CG49" s="48">
        <f>SUMIFS(Imput[[Importe Neto]:[Importe Neto]],Imput[[C. Imp.]:[C. Imp.]],'Indirect Costs'!$C49,Imput[[PERIODO Imp.]:[PERIODO Imp.]],'Indirect Costs'!CG$8)</f>
        <v>0</v>
      </c>
      <c r="CH49" s="48">
        <f>SUMIFS(Imput[[Importe Neto]:[Importe Neto]],Imput[[C. Imp.]:[C. Imp.]],'Indirect Costs'!$C49,Imput[[PERIODO Imp.]:[PERIODO Imp.]],'Indirect Costs'!CH$8)</f>
        <v>0</v>
      </c>
      <c r="CI49" s="48">
        <f>SUMIFS(Imput[[Importe Neto]:[Importe Neto]],Imput[[C. Imp.]:[C. Imp.]],'Indirect Costs'!$C49,Imput[[PERIODO Imp.]:[PERIODO Imp.]],'Indirect Costs'!CI$8)</f>
        <v>0</v>
      </c>
      <c r="CJ49" s="48">
        <f>SUMIFS(Imput[[Importe Neto]:[Importe Neto]],Imput[[C. Imp.]:[C. Imp.]],'Indirect Costs'!$C49,Imput[[PERIODO Imp.]:[PERIODO Imp.]],'Indirect Costs'!CJ$8)</f>
        <v>0</v>
      </c>
      <c r="CK49" s="48">
        <f>SUMIFS(Imput[[Importe Neto]:[Importe Neto]],Imput[[C. Imp.]:[C. Imp.]],'Indirect Costs'!$C49,Imput[[PERIODO Imp.]:[PERIODO Imp.]],'Indirect Costs'!CK$8)</f>
        <v>0</v>
      </c>
      <c r="CL49" s="48">
        <f>SUMIFS(Imput[[Importe Neto]:[Importe Neto]],Imput[[C. Imp.]:[C. Imp.]],'Indirect Costs'!$C49,Imput[[PERIODO Imp.]:[PERIODO Imp.]],'Indirect Costs'!CL$8)</f>
        <v>0</v>
      </c>
      <c r="CM49" s="48">
        <f>SUMIFS(Imput[[Importe Neto]:[Importe Neto]],Imput[[C. Imp.]:[C. Imp.]],'Indirect Costs'!$C49,Imput[[PERIODO Imp.]:[PERIODO Imp.]],'Indirect Costs'!CM$8)</f>
        <v>0</v>
      </c>
      <c r="CN49" s="48">
        <f>SUMIFS(Imput[[Importe Neto]:[Importe Neto]],Imput[[C. Imp.]:[C. Imp.]],'Indirect Costs'!$C49,Imput[[PERIODO Imp.]:[PERIODO Imp.]],'Indirect Costs'!CN$8)</f>
        <v>0</v>
      </c>
      <c r="CO49" s="48">
        <f>SUMIFS(Imput[[Importe Neto]:[Importe Neto]],Imput[[C. Imp.]:[C. Imp.]],'Indirect Costs'!$C49,Imput[[PERIODO Imp.]:[PERIODO Imp.]],'Indirect Costs'!CO$8)</f>
        <v>0</v>
      </c>
      <c r="CP49" s="48">
        <f>SUMIFS(Imput[[Importe Neto]:[Importe Neto]],Imput[[C. Imp.]:[C. Imp.]],'Indirect Costs'!$C49,Imput[[PERIODO Imp.]:[PERIODO Imp.]],'Indirect Costs'!CP$8)</f>
        <v>0</v>
      </c>
      <c r="CQ49" s="48">
        <f>SUMIFS(Imput[[Importe Neto]:[Importe Neto]],Imput[[C. Imp.]:[C. Imp.]],'Indirect Costs'!$C49,Imput[[PERIODO Imp.]:[PERIODO Imp.]],'Indirect Costs'!CQ$8)</f>
        <v>0</v>
      </c>
      <c r="CR49" s="48">
        <f>SUMIFS(Imput[[Importe Neto]:[Importe Neto]],Imput[[C. Imp.]:[C. Imp.]],'Indirect Costs'!$C49,Imput[[PERIODO Imp.]:[PERIODO Imp.]],'Indirect Costs'!CR$8)</f>
        <v>0</v>
      </c>
      <c r="CS49" s="48">
        <f>SUMIFS(Imput[[Importe Neto]:[Importe Neto]],Imput[[C. Imp.]:[C. Imp.]],'Indirect Costs'!$C49,Imput[[PERIODO Imp.]:[PERIODO Imp.]],'Indirect Costs'!CS$8)</f>
        <v>0</v>
      </c>
      <c r="CT49" s="48">
        <f>SUMIFS(Imput[[Importe Neto]:[Importe Neto]],Imput[[C. Imp.]:[C. Imp.]],'Indirect Costs'!$C49,Imput[[PERIODO Imp.]:[PERIODO Imp.]],'Indirect Costs'!CT$8)</f>
        <v>0</v>
      </c>
      <c r="CU49" s="48">
        <f>SUMIFS(Imput[[Importe Neto]:[Importe Neto]],Imput[[C. Imp.]:[C. Imp.]],'Indirect Costs'!$C49,Imput[[PERIODO Imp.]:[PERIODO Imp.]],'Indirect Costs'!CU$8)</f>
        <v>0</v>
      </c>
      <c r="CV49" s="48">
        <f>SUMIFS(Imput[[Importe Neto]:[Importe Neto]],Imput[[C. Imp.]:[C. Imp.]],'Indirect Costs'!$C49,Imput[[PERIODO Imp.]:[PERIODO Imp.]],'Indirect Costs'!CV$8)</f>
        <v>0</v>
      </c>
      <c r="CW49" s="48">
        <f>SUMIFS(Imput[[Importe Neto]:[Importe Neto]],Imput[[C. Imp.]:[C. Imp.]],'Indirect Costs'!$C49,Imput[[PERIODO Imp.]:[PERIODO Imp.]],'Indirect Costs'!CW$8)</f>
        <v>0</v>
      </c>
      <c r="CX49" s="48">
        <f>SUMIFS(Imput[[Importe Neto]:[Importe Neto]],Imput[[C. Imp.]:[C. Imp.]],'Indirect Costs'!$C49,Imput[[PERIODO Imp.]:[PERIODO Imp.]],'Indirect Costs'!CX$8)</f>
        <v>0</v>
      </c>
      <c r="CY49" s="48">
        <f>SUMIFS(Imput[[Importe Neto]:[Importe Neto]],Imput[[C. Imp.]:[C. Imp.]],'Indirect Costs'!$C49,Imput[[PERIODO Imp.]:[PERIODO Imp.]],'Indirect Costs'!CY$8)</f>
        <v>0</v>
      </c>
      <c r="CZ49" s="48">
        <f>SUMIFS(Imput[[Importe Neto]:[Importe Neto]],Imput[[C. Imp.]:[C. Imp.]],'Indirect Costs'!$C49,Imput[[PERIODO Imp.]:[PERIODO Imp.]],'Indirect Costs'!CZ$8)</f>
        <v>0</v>
      </c>
      <c r="DA49" s="48">
        <f>SUMIFS(Imput[[Importe Neto]:[Importe Neto]],Imput[[C. Imp.]:[C. Imp.]],'Indirect Costs'!$C49,Imput[[PERIODO Imp.]:[PERIODO Imp.]],'Indirect Costs'!DA$8)</f>
        <v>0</v>
      </c>
      <c r="DB49" s="48">
        <f>SUMIFS(Imput[[Importe Neto]:[Importe Neto]],Imput[[C. Imp.]:[C. Imp.]],'Indirect Costs'!$C49,Imput[[PERIODO Imp.]:[PERIODO Imp.]],'Indirect Costs'!DB$8)</f>
        <v>0</v>
      </c>
      <c r="DC49" s="48">
        <f>SUMIFS(Imput[[Importe Neto]:[Importe Neto]],Imput[[C. Imp.]:[C. Imp.]],'Indirect Costs'!$C49,Imput[[PERIODO Imp.]:[PERIODO Imp.]],'Indirect Costs'!DC$8)</f>
        <v>0</v>
      </c>
      <c r="DD49" s="48">
        <f>SUMIFS(Imput[[Importe Neto]:[Importe Neto]],Imput[[C. Imp.]:[C. Imp.]],'Indirect Costs'!$C49,Imput[[PERIODO Imp.]:[PERIODO Imp.]],'Indirect Costs'!DD$8)</f>
        <v>0</v>
      </c>
      <c r="DE49" s="48">
        <f>SUMIFS(Imput[[Importe Neto]:[Importe Neto]],Imput[[C. Imp.]:[C. Imp.]],'Indirect Costs'!$C49,Imput[[PERIODO Imp.]:[PERIODO Imp.]],'Indirect Costs'!DE$8)</f>
        <v>0</v>
      </c>
      <c r="DF49" s="143">
        <f>SUMIFS(Imput[[Importe Neto]:[Importe Neto]],Imput[[C. Imp.]:[C. Imp.]],'Indirect Costs'!$C49,Imput[[PERIODO Imp.]:[PERIODO Imp.]],'Indirect Costs'!DF$8)</f>
        <v>0</v>
      </c>
    </row>
    <row r="50" spans="1:110" outlineLevel="1" x14ac:dyDescent="0.25">
      <c r="A50" s="28" t="str">
        <f t="shared" si="3"/>
        <v>Imprimir</v>
      </c>
      <c r="B50" s="50">
        <v>10</v>
      </c>
      <c r="C50" s="57" t="s">
        <v>1801</v>
      </c>
      <c r="D50" s="56" t="s">
        <v>564</v>
      </c>
      <c r="E50" s="57" t="s">
        <v>564</v>
      </c>
      <c r="F50" s="58">
        <v>10000</v>
      </c>
      <c r="G50" s="49">
        <v>1</v>
      </c>
      <c r="H50" s="51">
        <v>1</v>
      </c>
      <c r="I50" s="505">
        <f t="shared" si="7"/>
        <v>10000</v>
      </c>
      <c r="J50" s="47"/>
      <c r="K50" s="142">
        <v>0.16666666666666666</v>
      </c>
      <c r="L50" s="48">
        <v>0.16666666666666666</v>
      </c>
      <c r="M50" s="48">
        <v>0.16666666666666666</v>
      </c>
      <c r="N50" s="48">
        <v>0.16666666666666666</v>
      </c>
      <c r="O50" s="48">
        <v>0.16666666666666666</v>
      </c>
      <c r="P50" s="48">
        <v>0.16666666666666666</v>
      </c>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143"/>
      <c r="BG50" s="47"/>
      <c r="BH50" s="509"/>
      <c r="BI50" s="505">
        <f t="shared" si="6"/>
        <v>0</v>
      </c>
      <c r="BJ50" s="47"/>
      <c r="BK50" s="142">
        <f>SUMIFS(Imput[[Importe Neto]:[Importe Neto]],Imput[[C. Imp.]:[C. Imp.]],'Indirect Costs'!$C50,Imput[[PERIODO Imp.]:[PERIODO Imp.]],'Indirect Costs'!BK$8)</f>
        <v>0</v>
      </c>
      <c r="BL50" s="48">
        <f>SUMIFS(Imput[[Importe Neto]:[Importe Neto]],Imput[[C. Imp.]:[C. Imp.]],'Indirect Costs'!$C50,Imput[[PERIODO Imp.]:[PERIODO Imp.]],'Indirect Costs'!BL$8)</f>
        <v>0</v>
      </c>
      <c r="BM50" s="48">
        <f>SUMIFS(Imput[[Importe Neto]:[Importe Neto]],Imput[[C. Imp.]:[C. Imp.]],'Indirect Costs'!$C50,Imput[[PERIODO Imp.]:[PERIODO Imp.]],'Indirect Costs'!BM$8)</f>
        <v>0</v>
      </c>
      <c r="BN50" s="48">
        <f>SUMIFS(Imput[[Importe Neto]:[Importe Neto]],Imput[[C. Imp.]:[C. Imp.]],'Indirect Costs'!$C50,Imput[[PERIODO Imp.]:[PERIODO Imp.]],'Indirect Costs'!BN$8)</f>
        <v>0</v>
      </c>
      <c r="BO50" s="48">
        <f>SUMIFS(Imput[[Importe Neto]:[Importe Neto]],Imput[[C. Imp.]:[C. Imp.]],'Indirect Costs'!$C50,Imput[[PERIODO Imp.]:[PERIODO Imp.]],'Indirect Costs'!BO$8)</f>
        <v>0</v>
      </c>
      <c r="BP50" s="48">
        <f>SUMIFS(Imput[[Importe Neto]:[Importe Neto]],Imput[[C. Imp.]:[C. Imp.]],'Indirect Costs'!$C50,Imput[[PERIODO Imp.]:[PERIODO Imp.]],'Indirect Costs'!BP$8)</f>
        <v>0</v>
      </c>
      <c r="BQ50" s="48">
        <f>SUMIFS(Imput[[Importe Neto]:[Importe Neto]],Imput[[C. Imp.]:[C. Imp.]],'Indirect Costs'!$C50,Imput[[PERIODO Imp.]:[PERIODO Imp.]],'Indirect Costs'!BQ$8)</f>
        <v>0</v>
      </c>
      <c r="BR50" s="48">
        <f>SUMIFS(Imput[[Importe Neto]:[Importe Neto]],Imput[[C. Imp.]:[C. Imp.]],'Indirect Costs'!$C50,Imput[[PERIODO Imp.]:[PERIODO Imp.]],'Indirect Costs'!BR$8)</f>
        <v>0</v>
      </c>
      <c r="BS50" s="48">
        <f>SUMIFS(Imput[[Importe Neto]:[Importe Neto]],Imput[[C. Imp.]:[C. Imp.]],'Indirect Costs'!$C50,Imput[[PERIODO Imp.]:[PERIODO Imp.]],'Indirect Costs'!BS$8)</f>
        <v>0</v>
      </c>
      <c r="BT50" s="48">
        <f>SUMIFS(Imput[[Importe Neto]:[Importe Neto]],Imput[[C. Imp.]:[C. Imp.]],'Indirect Costs'!$C50,Imput[[PERIODO Imp.]:[PERIODO Imp.]],'Indirect Costs'!BT$8)</f>
        <v>0</v>
      </c>
      <c r="BU50" s="48">
        <f>SUMIFS(Imput[[Importe Neto]:[Importe Neto]],Imput[[C. Imp.]:[C. Imp.]],'Indirect Costs'!$C50,Imput[[PERIODO Imp.]:[PERIODO Imp.]],'Indirect Costs'!BU$8)</f>
        <v>0</v>
      </c>
      <c r="BV50" s="48">
        <f>SUMIFS(Imput[[Importe Neto]:[Importe Neto]],Imput[[C. Imp.]:[C. Imp.]],'Indirect Costs'!$C50,Imput[[PERIODO Imp.]:[PERIODO Imp.]],'Indirect Costs'!BV$8)</f>
        <v>0</v>
      </c>
      <c r="BW50" s="48">
        <f>SUMIFS(Imput[[Importe Neto]:[Importe Neto]],Imput[[C. Imp.]:[C. Imp.]],'Indirect Costs'!$C50,Imput[[PERIODO Imp.]:[PERIODO Imp.]],'Indirect Costs'!BW$8)</f>
        <v>0</v>
      </c>
      <c r="BX50" s="48">
        <f>SUMIFS(Imput[[Importe Neto]:[Importe Neto]],Imput[[C. Imp.]:[C. Imp.]],'Indirect Costs'!$C50,Imput[[PERIODO Imp.]:[PERIODO Imp.]],'Indirect Costs'!BX$8)</f>
        <v>0</v>
      </c>
      <c r="BY50" s="48">
        <f>SUMIFS(Imput[[Importe Neto]:[Importe Neto]],Imput[[C. Imp.]:[C. Imp.]],'Indirect Costs'!$C50,Imput[[PERIODO Imp.]:[PERIODO Imp.]],'Indirect Costs'!BY$8)</f>
        <v>0</v>
      </c>
      <c r="BZ50" s="48">
        <f>SUMIFS(Imput[[Importe Neto]:[Importe Neto]],Imput[[C. Imp.]:[C. Imp.]],'Indirect Costs'!$C50,Imput[[PERIODO Imp.]:[PERIODO Imp.]],'Indirect Costs'!BZ$8)</f>
        <v>0</v>
      </c>
      <c r="CA50" s="48">
        <f>SUMIFS(Imput[[Importe Neto]:[Importe Neto]],Imput[[C. Imp.]:[C. Imp.]],'Indirect Costs'!$C50,Imput[[PERIODO Imp.]:[PERIODO Imp.]],'Indirect Costs'!CA$8)</f>
        <v>0</v>
      </c>
      <c r="CB50" s="48">
        <f>SUMIFS(Imput[[Importe Neto]:[Importe Neto]],Imput[[C. Imp.]:[C. Imp.]],'Indirect Costs'!$C50,Imput[[PERIODO Imp.]:[PERIODO Imp.]],'Indirect Costs'!CB$8)</f>
        <v>0</v>
      </c>
      <c r="CC50" s="48">
        <f>SUMIFS(Imput[[Importe Neto]:[Importe Neto]],Imput[[C. Imp.]:[C. Imp.]],'Indirect Costs'!$C50,Imput[[PERIODO Imp.]:[PERIODO Imp.]],'Indirect Costs'!CC$8)</f>
        <v>0</v>
      </c>
      <c r="CD50" s="48">
        <f>SUMIFS(Imput[[Importe Neto]:[Importe Neto]],Imput[[C. Imp.]:[C. Imp.]],'Indirect Costs'!$C50,Imput[[PERIODO Imp.]:[PERIODO Imp.]],'Indirect Costs'!CD$8)</f>
        <v>0</v>
      </c>
      <c r="CE50" s="48">
        <f>SUMIFS(Imput[[Importe Neto]:[Importe Neto]],Imput[[C. Imp.]:[C. Imp.]],'Indirect Costs'!$C50,Imput[[PERIODO Imp.]:[PERIODO Imp.]],'Indirect Costs'!CE$8)</f>
        <v>0</v>
      </c>
      <c r="CF50" s="48">
        <f>SUMIFS(Imput[[Importe Neto]:[Importe Neto]],Imput[[C. Imp.]:[C. Imp.]],'Indirect Costs'!$C50,Imput[[PERIODO Imp.]:[PERIODO Imp.]],'Indirect Costs'!CF$8)</f>
        <v>0</v>
      </c>
      <c r="CG50" s="48">
        <f>SUMIFS(Imput[[Importe Neto]:[Importe Neto]],Imput[[C. Imp.]:[C. Imp.]],'Indirect Costs'!$C50,Imput[[PERIODO Imp.]:[PERIODO Imp.]],'Indirect Costs'!CG$8)</f>
        <v>0</v>
      </c>
      <c r="CH50" s="48">
        <f>SUMIFS(Imput[[Importe Neto]:[Importe Neto]],Imput[[C. Imp.]:[C. Imp.]],'Indirect Costs'!$C50,Imput[[PERIODO Imp.]:[PERIODO Imp.]],'Indirect Costs'!CH$8)</f>
        <v>0</v>
      </c>
      <c r="CI50" s="48">
        <f>SUMIFS(Imput[[Importe Neto]:[Importe Neto]],Imput[[C. Imp.]:[C. Imp.]],'Indirect Costs'!$C50,Imput[[PERIODO Imp.]:[PERIODO Imp.]],'Indirect Costs'!CI$8)</f>
        <v>0</v>
      </c>
      <c r="CJ50" s="48">
        <f>SUMIFS(Imput[[Importe Neto]:[Importe Neto]],Imput[[C. Imp.]:[C. Imp.]],'Indirect Costs'!$C50,Imput[[PERIODO Imp.]:[PERIODO Imp.]],'Indirect Costs'!CJ$8)</f>
        <v>0</v>
      </c>
      <c r="CK50" s="48">
        <f>SUMIFS(Imput[[Importe Neto]:[Importe Neto]],Imput[[C. Imp.]:[C. Imp.]],'Indirect Costs'!$C50,Imput[[PERIODO Imp.]:[PERIODO Imp.]],'Indirect Costs'!CK$8)</f>
        <v>0</v>
      </c>
      <c r="CL50" s="48">
        <f>SUMIFS(Imput[[Importe Neto]:[Importe Neto]],Imput[[C. Imp.]:[C. Imp.]],'Indirect Costs'!$C50,Imput[[PERIODO Imp.]:[PERIODO Imp.]],'Indirect Costs'!CL$8)</f>
        <v>0</v>
      </c>
      <c r="CM50" s="48">
        <f>SUMIFS(Imput[[Importe Neto]:[Importe Neto]],Imput[[C. Imp.]:[C. Imp.]],'Indirect Costs'!$C50,Imput[[PERIODO Imp.]:[PERIODO Imp.]],'Indirect Costs'!CM$8)</f>
        <v>0</v>
      </c>
      <c r="CN50" s="48">
        <f>SUMIFS(Imput[[Importe Neto]:[Importe Neto]],Imput[[C. Imp.]:[C. Imp.]],'Indirect Costs'!$C50,Imput[[PERIODO Imp.]:[PERIODO Imp.]],'Indirect Costs'!CN$8)</f>
        <v>0</v>
      </c>
      <c r="CO50" s="48">
        <f>SUMIFS(Imput[[Importe Neto]:[Importe Neto]],Imput[[C. Imp.]:[C. Imp.]],'Indirect Costs'!$C50,Imput[[PERIODO Imp.]:[PERIODO Imp.]],'Indirect Costs'!CO$8)</f>
        <v>0</v>
      </c>
      <c r="CP50" s="48">
        <f>SUMIFS(Imput[[Importe Neto]:[Importe Neto]],Imput[[C. Imp.]:[C. Imp.]],'Indirect Costs'!$C50,Imput[[PERIODO Imp.]:[PERIODO Imp.]],'Indirect Costs'!CP$8)</f>
        <v>0</v>
      </c>
      <c r="CQ50" s="48">
        <f>SUMIFS(Imput[[Importe Neto]:[Importe Neto]],Imput[[C. Imp.]:[C. Imp.]],'Indirect Costs'!$C50,Imput[[PERIODO Imp.]:[PERIODO Imp.]],'Indirect Costs'!CQ$8)</f>
        <v>0</v>
      </c>
      <c r="CR50" s="48">
        <f>SUMIFS(Imput[[Importe Neto]:[Importe Neto]],Imput[[C. Imp.]:[C. Imp.]],'Indirect Costs'!$C50,Imput[[PERIODO Imp.]:[PERIODO Imp.]],'Indirect Costs'!CR$8)</f>
        <v>0</v>
      </c>
      <c r="CS50" s="48">
        <f>SUMIFS(Imput[[Importe Neto]:[Importe Neto]],Imput[[C. Imp.]:[C. Imp.]],'Indirect Costs'!$C50,Imput[[PERIODO Imp.]:[PERIODO Imp.]],'Indirect Costs'!CS$8)</f>
        <v>0</v>
      </c>
      <c r="CT50" s="48">
        <f>SUMIFS(Imput[[Importe Neto]:[Importe Neto]],Imput[[C. Imp.]:[C. Imp.]],'Indirect Costs'!$C50,Imput[[PERIODO Imp.]:[PERIODO Imp.]],'Indirect Costs'!CT$8)</f>
        <v>0</v>
      </c>
      <c r="CU50" s="48">
        <f>SUMIFS(Imput[[Importe Neto]:[Importe Neto]],Imput[[C. Imp.]:[C. Imp.]],'Indirect Costs'!$C50,Imput[[PERIODO Imp.]:[PERIODO Imp.]],'Indirect Costs'!CU$8)</f>
        <v>0</v>
      </c>
      <c r="CV50" s="48">
        <f>SUMIFS(Imput[[Importe Neto]:[Importe Neto]],Imput[[C. Imp.]:[C. Imp.]],'Indirect Costs'!$C50,Imput[[PERIODO Imp.]:[PERIODO Imp.]],'Indirect Costs'!CV$8)</f>
        <v>0</v>
      </c>
      <c r="CW50" s="48">
        <f>SUMIFS(Imput[[Importe Neto]:[Importe Neto]],Imput[[C. Imp.]:[C. Imp.]],'Indirect Costs'!$C50,Imput[[PERIODO Imp.]:[PERIODO Imp.]],'Indirect Costs'!CW$8)</f>
        <v>0</v>
      </c>
      <c r="CX50" s="48">
        <f>SUMIFS(Imput[[Importe Neto]:[Importe Neto]],Imput[[C. Imp.]:[C. Imp.]],'Indirect Costs'!$C50,Imput[[PERIODO Imp.]:[PERIODO Imp.]],'Indirect Costs'!CX$8)</f>
        <v>0</v>
      </c>
      <c r="CY50" s="48">
        <f>SUMIFS(Imput[[Importe Neto]:[Importe Neto]],Imput[[C. Imp.]:[C. Imp.]],'Indirect Costs'!$C50,Imput[[PERIODO Imp.]:[PERIODO Imp.]],'Indirect Costs'!CY$8)</f>
        <v>0</v>
      </c>
      <c r="CZ50" s="48">
        <f>SUMIFS(Imput[[Importe Neto]:[Importe Neto]],Imput[[C. Imp.]:[C. Imp.]],'Indirect Costs'!$C50,Imput[[PERIODO Imp.]:[PERIODO Imp.]],'Indirect Costs'!CZ$8)</f>
        <v>0</v>
      </c>
      <c r="DA50" s="48">
        <f>SUMIFS(Imput[[Importe Neto]:[Importe Neto]],Imput[[C. Imp.]:[C. Imp.]],'Indirect Costs'!$C50,Imput[[PERIODO Imp.]:[PERIODO Imp.]],'Indirect Costs'!DA$8)</f>
        <v>0</v>
      </c>
      <c r="DB50" s="48">
        <f>SUMIFS(Imput[[Importe Neto]:[Importe Neto]],Imput[[C. Imp.]:[C. Imp.]],'Indirect Costs'!$C50,Imput[[PERIODO Imp.]:[PERIODO Imp.]],'Indirect Costs'!DB$8)</f>
        <v>0</v>
      </c>
      <c r="DC50" s="48">
        <f>SUMIFS(Imput[[Importe Neto]:[Importe Neto]],Imput[[C. Imp.]:[C. Imp.]],'Indirect Costs'!$C50,Imput[[PERIODO Imp.]:[PERIODO Imp.]],'Indirect Costs'!DC$8)</f>
        <v>0</v>
      </c>
      <c r="DD50" s="48">
        <f>SUMIFS(Imput[[Importe Neto]:[Importe Neto]],Imput[[C. Imp.]:[C. Imp.]],'Indirect Costs'!$C50,Imput[[PERIODO Imp.]:[PERIODO Imp.]],'Indirect Costs'!DD$8)</f>
        <v>0</v>
      </c>
      <c r="DE50" s="48">
        <f>SUMIFS(Imput[[Importe Neto]:[Importe Neto]],Imput[[C. Imp.]:[C. Imp.]],'Indirect Costs'!$C50,Imput[[PERIODO Imp.]:[PERIODO Imp.]],'Indirect Costs'!DE$8)</f>
        <v>0</v>
      </c>
      <c r="DF50" s="143">
        <f>SUMIFS(Imput[[Importe Neto]:[Importe Neto]],Imput[[C. Imp.]:[C. Imp.]],'Indirect Costs'!$C50,Imput[[PERIODO Imp.]:[PERIODO Imp.]],'Indirect Costs'!DF$8)</f>
        <v>0</v>
      </c>
    </row>
    <row r="51" spans="1:110" ht="14.4" outlineLevel="1" thickBot="1" x14ac:dyDescent="0.3">
      <c r="A51" s="28" t="str">
        <f t="shared" si="3"/>
        <v/>
      </c>
      <c r="B51" s="53">
        <v>11</v>
      </c>
      <c r="C51" s="57" t="s">
        <v>1802</v>
      </c>
      <c r="D51" s="59" t="s">
        <v>565</v>
      </c>
      <c r="E51" s="60" t="s">
        <v>565</v>
      </c>
      <c r="F51" s="62">
        <f>18000*1.3</f>
        <v>23400</v>
      </c>
      <c r="G51" s="63"/>
      <c r="H51" s="51">
        <v>1</v>
      </c>
      <c r="I51" s="506">
        <f t="shared" si="7"/>
        <v>0</v>
      </c>
      <c r="J51" s="47"/>
      <c r="K51" s="146"/>
      <c r="L51" s="147"/>
      <c r="M51" s="147"/>
      <c r="N51" s="147"/>
      <c r="O51" s="147"/>
      <c r="P51" s="147"/>
      <c r="Q51" s="147"/>
      <c r="R51" s="147">
        <v>1</v>
      </c>
      <c r="S51" s="147"/>
      <c r="T51" s="147"/>
      <c r="U51" s="147"/>
      <c r="V51" s="147"/>
      <c r="W51" s="147"/>
      <c r="X51" s="147"/>
      <c r="Y51" s="147"/>
      <c r="Z51" s="147"/>
      <c r="AA51" s="147"/>
      <c r="AB51" s="147"/>
      <c r="AC51" s="147"/>
      <c r="AD51" s="147"/>
      <c r="AE51" s="147"/>
      <c r="AF51" s="147"/>
      <c r="AG51" s="147"/>
      <c r="AH51" s="147"/>
      <c r="AI51" s="147"/>
      <c r="AJ51" s="147"/>
      <c r="AK51" s="147"/>
      <c r="AL51" s="147"/>
      <c r="AM51" s="147"/>
      <c r="AN51" s="147"/>
      <c r="AO51" s="147"/>
      <c r="AP51" s="147"/>
      <c r="AQ51" s="147"/>
      <c r="AR51" s="147"/>
      <c r="AS51" s="147"/>
      <c r="AT51" s="147"/>
      <c r="AU51" s="147"/>
      <c r="AV51" s="147"/>
      <c r="AW51" s="147"/>
      <c r="AX51" s="147"/>
      <c r="AY51" s="147"/>
      <c r="AZ51" s="147"/>
      <c r="BA51" s="147"/>
      <c r="BB51" s="147"/>
      <c r="BC51" s="147"/>
      <c r="BD51" s="147"/>
      <c r="BE51" s="147"/>
      <c r="BF51" s="148"/>
      <c r="BG51" s="47"/>
      <c r="BH51" s="509"/>
      <c r="BI51" s="505">
        <f t="shared" si="6"/>
        <v>0</v>
      </c>
      <c r="BJ51" s="47"/>
      <c r="BK51" s="142">
        <f>SUMIFS(Imput[[Importe Neto]:[Importe Neto]],Imput[[C. Imp.]:[C. Imp.]],'Indirect Costs'!$C51,Imput[[PERIODO Imp.]:[PERIODO Imp.]],'Indirect Costs'!BK$8)</f>
        <v>0</v>
      </c>
      <c r="BL51" s="48">
        <f>SUMIFS(Imput[[Importe Neto]:[Importe Neto]],Imput[[C. Imp.]:[C. Imp.]],'Indirect Costs'!$C51,Imput[[PERIODO Imp.]:[PERIODO Imp.]],'Indirect Costs'!BL$8)</f>
        <v>0</v>
      </c>
      <c r="BM51" s="48">
        <f>SUMIFS(Imput[[Importe Neto]:[Importe Neto]],Imput[[C. Imp.]:[C. Imp.]],'Indirect Costs'!$C51,Imput[[PERIODO Imp.]:[PERIODO Imp.]],'Indirect Costs'!BM$8)</f>
        <v>0</v>
      </c>
      <c r="BN51" s="48">
        <f>SUMIFS(Imput[[Importe Neto]:[Importe Neto]],Imput[[C. Imp.]:[C. Imp.]],'Indirect Costs'!$C51,Imput[[PERIODO Imp.]:[PERIODO Imp.]],'Indirect Costs'!BN$8)</f>
        <v>0</v>
      </c>
      <c r="BO51" s="48">
        <f>SUMIFS(Imput[[Importe Neto]:[Importe Neto]],Imput[[C. Imp.]:[C. Imp.]],'Indirect Costs'!$C51,Imput[[PERIODO Imp.]:[PERIODO Imp.]],'Indirect Costs'!BO$8)</f>
        <v>0</v>
      </c>
      <c r="BP51" s="48">
        <f>SUMIFS(Imput[[Importe Neto]:[Importe Neto]],Imput[[C. Imp.]:[C. Imp.]],'Indirect Costs'!$C51,Imput[[PERIODO Imp.]:[PERIODO Imp.]],'Indirect Costs'!BP$8)</f>
        <v>0</v>
      </c>
      <c r="BQ51" s="48">
        <f>SUMIFS(Imput[[Importe Neto]:[Importe Neto]],Imput[[C. Imp.]:[C. Imp.]],'Indirect Costs'!$C51,Imput[[PERIODO Imp.]:[PERIODO Imp.]],'Indirect Costs'!BQ$8)</f>
        <v>0</v>
      </c>
      <c r="BR51" s="48">
        <f>SUMIFS(Imput[[Importe Neto]:[Importe Neto]],Imput[[C. Imp.]:[C. Imp.]],'Indirect Costs'!$C51,Imput[[PERIODO Imp.]:[PERIODO Imp.]],'Indirect Costs'!BR$8)</f>
        <v>0</v>
      </c>
      <c r="BS51" s="48">
        <f>SUMIFS(Imput[[Importe Neto]:[Importe Neto]],Imput[[C. Imp.]:[C. Imp.]],'Indirect Costs'!$C51,Imput[[PERIODO Imp.]:[PERIODO Imp.]],'Indirect Costs'!BS$8)</f>
        <v>0</v>
      </c>
      <c r="BT51" s="48">
        <f>SUMIFS(Imput[[Importe Neto]:[Importe Neto]],Imput[[C. Imp.]:[C. Imp.]],'Indirect Costs'!$C51,Imput[[PERIODO Imp.]:[PERIODO Imp.]],'Indirect Costs'!BT$8)</f>
        <v>0</v>
      </c>
      <c r="BU51" s="48">
        <f>SUMIFS(Imput[[Importe Neto]:[Importe Neto]],Imput[[C. Imp.]:[C. Imp.]],'Indirect Costs'!$C51,Imput[[PERIODO Imp.]:[PERIODO Imp.]],'Indirect Costs'!BU$8)</f>
        <v>0</v>
      </c>
      <c r="BV51" s="48">
        <f>SUMIFS(Imput[[Importe Neto]:[Importe Neto]],Imput[[C. Imp.]:[C. Imp.]],'Indirect Costs'!$C51,Imput[[PERIODO Imp.]:[PERIODO Imp.]],'Indirect Costs'!BV$8)</f>
        <v>0</v>
      </c>
      <c r="BW51" s="48">
        <f>SUMIFS(Imput[[Importe Neto]:[Importe Neto]],Imput[[C. Imp.]:[C. Imp.]],'Indirect Costs'!$C51,Imput[[PERIODO Imp.]:[PERIODO Imp.]],'Indirect Costs'!BW$8)</f>
        <v>0</v>
      </c>
      <c r="BX51" s="48">
        <f>SUMIFS(Imput[[Importe Neto]:[Importe Neto]],Imput[[C. Imp.]:[C. Imp.]],'Indirect Costs'!$C51,Imput[[PERIODO Imp.]:[PERIODO Imp.]],'Indirect Costs'!BX$8)</f>
        <v>0</v>
      </c>
      <c r="BY51" s="48">
        <f>SUMIFS(Imput[[Importe Neto]:[Importe Neto]],Imput[[C. Imp.]:[C. Imp.]],'Indirect Costs'!$C51,Imput[[PERIODO Imp.]:[PERIODO Imp.]],'Indirect Costs'!BY$8)</f>
        <v>0</v>
      </c>
      <c r="BZ51" s="48">
        <f>SUMIFS(Imput[[Importe Neto]:[Importe Neto]],Imput[[C. Imp.]:[C. Imp.]],'Indirect Costs'!$C51,Imput[[PERIODO Imp.]:[PERIODO Imp.]],'Indirect Costs'!BZ$8)</f>
        <v>0</v>
      </c>
      <c r="CA51" s="48">
        <f>SUMIFS(Imput[[Importe Neto]:[Importe Neto]],Imput[[C. Imp.]:[C. Imp.]],'Indirect Costs'!$C51,Imput[[PERIODO Imp.]:[PERIODO Imp.]],'Indirect Costs'!CA$8)</f>
        <v>0</v>
      </c>
      <c r="CB51" s="48">
        <f>SUMIFS(Imput[[Importe Neto]:[Importe Neto]],Imput[[C. Imp.]:[C. Imp.]],'Indirect Costs'!$C51,Imput[[PERIODO Imp.]:[PERIODO Imp.]],'Indirect Costs'!CB$8)</f>
        <v>0</v>
      </c>
      <c r="CC51" s="48">
        <f>SUMIFS(Imput[[Importe Neto]:[Importe Neto]],Imput[[C. Imp.]:[C. Imp.]],'Indirect Costs'!$C51,Imput[[PERIODO Imp.]:[PERIODO Imp.]],'Indirect Costs'!CC$8)</f>
        <v>0</v>
      </c>
      <c r="CD51" s="48">
        <f>SUMIFS(Imput[[Importe Neto]:[Importe Neto]],Imput[[C. Imp.]:[C. Imp.]],'Indirect Costs'!$C51,Imput[[PERIODO Imp.]:[PERIODO Imp.]],'Indirect Costs'!CD$8)</f>
        <v>0</v>
      </c>
      <c r="CE51" s="48">
        <f>SUMIFS(Imput[[Importe Neto]:[Importe Neto]],Imput[[C. Imp.]:[C. Imp.]],'Indirect Costs'!$C51,Imput[[PERIODO Imp.]:[PERIODO Imp.]],'Indirect Costs'!CE$8)</f>
        <v>0</v>
      </c>
      <c r="CF51" s="48">
        <f>SUMIFS(Imput[[Importe Neto]:[Importe Neto]],Imput[[C. Imp.]:[C. Imp.]],'Indirect Costs'!$C51,Imput[[PERIODO Imp.]:[PERIODO Imp.]],'Indirect Costs'!CF$8)</f>
        <v>0</v>
      </c>
      <c r="CG51" s="48">
        <f>SUMIFS(Imput[[Importe Neto]:[Importe Neto]],Imput[[C. Imp.]:[C. Imp.]],'Indirect Costs'!$C51,Imput[[PERIODO Imp.]:[PERIODO Imp.]],'Indirect Costs'!CG$8)</f>
        <v>0</v>
      </c>
      <c r="CH51" s="48">
        <f>SUMIFS(Imput[[Importe Neto]:[Importe Neto]],Imput[[C. Imp.]:[C. Imp.]],'Indirect Costs'!$C51,Imput[[PERIODO Imp.]:[PERIODO Imp.]],'Indirect Costs'!CH$8)</f>
        <v>0</v>
      </c>
      <c r="CI51" s="48">
        <f>SUMIFS(Imput[[Importe Neto]:[Importe Neto]],Imput[[C. Imp.]:[C. Imp.]],'Indirect Costs'!$C51,Imput[[PERIODO Imp.]:[PERIODO Imp.]],'Indirect Costs'!CI$8)</f>
        <v>0</v>
      </c>
      <c r="CJ51" s="48">
        <f>SUMIFS(Imput[[Importe Neto]:[Importe Neto]],Imput[[C. Imp.]:[C. Imp.]],'Indirect Costs'!$C51,Imput[[PERIODO Imp.]:[PERIODO Imp.]],'Indirect Costs'!CJ$8)</f>
        <v>0</v>
      </c>
      <c r="CK51" s="48">
        <f>SUMIFS(Imput[[Importe Neto]:[Importe Neto]],Imput[[C. Imp.]:[C. Imp.]],'Indirect Costs'!$C51,Imput[[PERIODO Imp.]:[PERIODO Imp.]],'Indirect Costs'!CK$8)</f>
        <v>0</v>
      </c>
      <c r="CL51" s="48">
        <f>SUMIFS(Imput[[Importe Neto]:[Importe Neto]],Imput[[C. Imp.]:[C. Imp.]],'Indirect Costs'!$C51,Imput[[PERIODO Imp.]:[PERIODO Imp.]],'Indirect Costs'!CL$8)</f>
        <v>0</v>
      </c>
      <c r="CM51" s="48">
        <f>SUMIFS(Imput[[Importe Neto]:[Importe Neto]],Imput[[C. Imp.]:[C. Imp.]],'Indirect Costs'!$C51,Imput[[PERIODO Imp.]:[PERIODO Imp.]],'Indirect Costs'!CM$8)</f>
        <v>0</v>
      </c>
      <c r="CN51" s="48">
        <f>SUMIFS(Imput[[Importe Neto]:[Importe Neto]],Imput[[C. Imp.]:[C. Imp.]],'Indirect Costs'!$C51,Imput[[PERIODO Imp.]:[PERIODO Imp.]],'Indirect Costs'!CN$8)</f>
        <v>0</v>
      </c>
      <c r="CO51" s="48">
        <f>SUMIFS(Imput[[Importe Neto]:[Importe Neto]],Imput[[C. Imp.]:[C. Imp.]],'Indirect Costs'!$C51,Imput[[PERIODO Imp.]:[PERIODO Imp.]],'Indirect Costs'!CO$8)</f>
        <v>0</v>
      </c>
      <c r="CP51" s="48">
        <f>SUMIFS(Imput[[Importe Neto]:[Importe Neto]],Imput[[C. Imp.]:[C. Imp.]],'Indirect Costs'!$C51,Imput[[PERIODO Imp.]:[PERIODO Imp.]],'Indirect Costs'!CP$8)</f>
        <v>0</v>
      </c>
      <c r="CQ51" s="48">
        <f>SUMIFS(Imput[[Importe Neto]:[Importe Neto]],Imput[[C. Imp.]:[C. Imp.]],'Indirect Costs'!$C51,Imput[[PERIODO Imp.]:[PERIODO Imp.]],'Indirect Costs'!CQ$8)</f>
        <v>0</v>
      </c>
      <c r="CR51" s="48">
        <f>SUMIFS(Imput[[Importe Neto]:[Importe Neto]],Imput[[C. Imp.]:[C. Imp.]],'Indirect Costs'!$C51,Imput[[PERIODO Imp.]:[PERIODO Imp.]],'Indirect Costs'!CR$8)</f>
        <v>0</v>
      </c>
      <c r="CS51" s="48">
        <f>SUMIFS(Imput[[Importe Neto]:[Importe Neto]],Imput[[C. Imp.]:[C. Imp.]],'Indirect Costs'!$C51,Imput[[PERIODO Imp.]:[PERIODO Imp.]],'Indirect Costs'!CS$8)</f>
        <v>0</v>
      </c>
      <c r="CT51" s="48">
        <f>SUMIFS(Imput[[Importe Neto]:[Importe Neto]],Imput[[C. Imp.]:[C. Imp.]],'Indirect Costs'!$C51,Imput[[PERIODO Imp.]:[PERIODO Imp.]],'Indirect Costs'!CT$8)</f>
        <v>0</v>
      </c>
      <c r="CU51" s="48">
        <f>SUMIFS(Imput[[Importe Neto]:[Importe Neto]],Imput[[C. Imp.]:[C. Imp.]],'Indirect Costs'!$C51,Imput[[PERIODO Imp.]:[PERIODO Imp.]],'Indirect Costs'!CU$8)</f>
        <v>0</v>
      </c>
      <c r="CV51" s="48">
        <f>SUMIFS(Imput[[Importe Neto]:[Importe Neto]],Imput[[C. Imp.]:[C. Imp.]],'Indirect Costs'!$C51,Imput[[PERIODO Imp.]:[PERIODO Imp.]],'Indirect Costs'!CV$8)</f>
        <v>0</v>
      </c>
      <c r="CW51" s="48">
        <f>SUMIFS(Imput[[Importe Neto]:[Importe Neto]],Imput[[C. Imp.]:[C. Imp.]],'Indirect Costs'!$C51,Imput[[PERIODO Imp.]:[PERIODO Imp.]],'Indirect Costs'!CW$8)</f>
        <v>0</v>
      </c>
      <c r="CX51" s="48">
        <f>SUMIFS(Imput[[Importe Neto]:[Importe Neto]],Imput[[C. Imp.]:[C. Imp.]],'Indirect Costs'!$C51,Imput[[PERIODO Imp.]:[PERIODO Imp.]],'Indirect Costs'!CX$8)</f>
        <v>0</v>
      </c>
      <c r="CY51" s="48">
        <f>SUMIFS(Imput[[Importe Neto]:[Importe Neto]],Imput[[C. Imp.]:[C. Imp.]],'Indirect Costs'!$C51,Imput[[PERIODO Imp.]:[PERIODO Imp.]],'Indirect Costs'!CY$8)</f>
        <v>0</v>
      </c>
      <c r="CZ51" s="48">
        <f>SUMIFS(Imput[[Importe Neto]:[Importe Neto]],Imput[[C. Imp.]:[C. Imp.]],'Indirect Costs'!$C51,Imput[[PERIODO Imp.]:[PERIODO Imp.]],'Indirect Costs'!CZ$8)</f>
        <v>0</v>
      </c>
      <c r="DA51" s="48">
        <f>SUMIFS(Imput[[Importe Neto]:[Importe Neto]],Imput[[C. Imp.]:[C. Imp.]],'Indirect Costs'!$C51,Imput[[PERIODO Imp.]:[PERIODO Imp.]],'Indirect Costs'!DA$8)</f>
        <v>0</v>
      </c>
      <c r="DB51" s="48">
        <f>SUMIFS(Imput[[Importe Neto]:[Importe Neto]],Imput[[C. Imp.]:[C. Imp.]],'Indirect Costs'!$C51,Imput[[PERIODO Imp.]:[PERIODO Imp.]],'Indirect Costs'!DB$8)</f>
        <v>0</v>
      </c>
      <c r="DC51" s="48">
        <f>SUMIFS(Imput[[Importe Neto]:[Importe Neto]],Imput[[C. Imp.]:[C. Imp.]],'Indirect Costs'!$C51,Imput[[PERIODO Imp.]:[PERIODO Imp.]],'Indirect Costs'!DC$8)</f>
        <v>0</v>
      </c>
      <c r="DD51" s="48">
        <f>SUMIFS(Imput[[Importe Neto]:[Importe Neto]],Imput[[C. Imp.]:[C. Imp.]],'Indirect Costs'!$C51,Imput[[PERIODO Imp.]:[PERIODO Imp.]],'Indirect Costs'!DD$8)</f>
        <v>0</v>
      </c>
      <c r="DE51" s="48">
        <f>SUMIFS(Imput[[Importe Neto]:[Importe Neto]],Imput[[C. Imp.]:[C. Imp.]],'Indirect Costs'!$C51,Imput[[PERIODO Imp.]:[PERIODO Imp.]],'Indirect Costs'!DE$8)</f>
        <v>0</v>
      </c>
      <c r="DF51" s="143">
        <f>SUMIFS(Imput[[Importe Neto]:[Importe Neto]],Imput[[C. Imp.]:[C. Imp.]],'Indirect Costs'!$C51,Imput[[PERIODO Imp.]:[PERIODO Imp.]],'Indirect Costs'!DF$8)</f>
        <v>0</v>
      </c>
    </row>
    <row r="52" spans="1:110" ht="14.4" thickBot="1" x14ac:dyDescent="0.3">
      <c r="A52" s="28" t="str">
        <f t="shared" si="3"/>
        <v>Imprimir</v>
      </c>
      <c r="B52" s="54"/>
      <c r="C52" s="36" t="s">
        <v>130</v>
      </c>
      <c r="D52" s="54" t="s">
        <v>566</v>
      </c>
      <c r="E52" s="36"/>
      <c r="F52" s="37"/>
      <c r="G52" s="55"/>
      <c r="H52" s="38"/>
      <c r="I52" s="39">
        <f>SUBTOTAL(9,I53:I62)</f>
        <v>185750</v>
      </c>
      <c r="J52" s="45"/>
      <c r="K52" s="250">
        <f>SUMPRODUCT($F53:$F62,$G53:$G62,K53:K62)</f>
        <v>12166.666666666666</v>
      </c>
      <c r="L52" s="251">
        <f t="shared" ref="L52:BF52" si="8">SUMPRODUCT($F53:$F62,$G53:$G62,L53:L62)</f>
        <v>12166.666666666666</v>
      </c>
      <c r="M52" s="251">
        <f t="shared" si="8"/>
        <v>12166.666666666666</v>
      </c>
      <c r="N52" s="251">
        <f t="shared" si="8"/>
        <v>12166.666666666666</v>
      </c>
      <c r="O52" s="251">
        <f t="shared" si="8"/>
        <v>12166.666666666666</v>
      </c>
      <c r="P52" s="251">
        <f t="shared" si="8"/>
        <v>12166.666666666666</v>
      </c>
      <c r="Q52" s="251">
        <f t="shared" si="8"/>
        <v>0</v>
      </c>
      <c r="R52" s="251">
        <f t="shared" si="8"/>
        <v>165750</v>
      </c>
      <c r="S52" s="251">
        <f t="shared" si="8"/>
        <v>0</v>
      </c>
      <c r="T52" s="251">
        <f t="shared" si="8"/>
        <v>0</v>
      </c>
      <c r="U52" s="251">
        <f t="shared" si="8"/>
        <v>0</v>
      </c>
      <c r="V52" s="251">
        <f t="shared" si="8"/>
        <v>0</v>
      </c>
      <c r="W52" s="251">
        <f t="shared" si="8"/>
        <v>0</v>
      </c>
      <c r="X52" s="251">
        <f t="shared" si="8"/>
        <v>0</v>
      </c>
      <c r="Y52" s="251">
        <f t="shared" si="8"/>
        <v>0</v>
      </c>
      <c r="Z52" s="251">
        <f t="shared" si="8"/>
        <v>0</v>
      </c>
      <c r="AA52" s="251">
        <f t="shared" si="8"/>
        <v>0</v>
      </c>
      <c r="AB52" s="251">
        <f t="shared" si="8"/>
        <v>0</v>
      </c>
      <c r="AC52" s="251">
        <f t="shared" si="8"/>
        <v>0</v>
      </c>
      <c r="AD52" s="251">
        <f t="shared" si="8"/>
        <v>0</v>
      </c>
      <c r="AE52" s="251">
        <f t="shared" si="8"/>
        <v>0</v>
      </c>
      <c r="AF52" s="251">
        <f t="shared" si="8"/>
        <v>0</v>
      </c>
      <c r="AG52" s="251">
        <f t="shared" si="8"/>
        <v>0</v>
      </c>
      <c r="AH52" s="251">
        <f t="shared" si="8"/>
        <v>0</v>
      </c>
      <c r="AI52" s="251">
        <f t="shared" si="8"/>
        <v>0</v>
      </c>
      <c r="AJ52" s="251">
        <f t="shared" si="8"/>
        <v>0</v>
      </c>
      <c r="AK52" s="251">
        <f t="shared" si="8"/>
        <v>0</v>
      </c>
      <c r="AL52" s="251">
        <f t="shared" si="8"/>
        <v>0</v>
      </c>
      <c r="AM52" s="251">
        <f t="shared" si="8"/>
        <v>0</v>
      </c>
      <c r="AN52" s="251">
        <f t="shared" si="8"/>
        <v>0</v>
      </c>
      <c r="AO52" s="251">
        <f t="shared" si="8"/>
        <v>0</v>
      </c>
      <c r="AP52" s="251">
        <f t="shared" si="8"/>
        <v>0</v>
      </c>
      <c r="AQ52" s="251">
        <f t="shared" si="8"/>
        <v>0</v>
      </c>
      <c r="AR52" s="251">
        <f t="shared" si="8"/>
        <v>0</v>
      </c>
      <c r="AS52" s="251">
        <f t="shared" si="8"/>
        <v>0</v>
      </c>
      <c r="AT52" s="251">
        <f t="shared" si="8"/>
        <v>0</v>
      </c>
      <c r="AU52" s="251">
        <f t="shared" si="8"/>
        <v>0</v>
      </c>
      <c r="AV52" s="251">
        <f t="shared" si="8"/>
        <v>0</v>
      </c>
      <c r="AW52" s="251">
        <f t="shared" si="8"/>
        <v>0</v>
      </c>
      <c r="AX52" s="251">
        <f t="shared" si="8"/>
        <v>0</v>
      </c>
      <c r="AY52" s="251">
        <f t="shared" si="8"/>
        <v>0</v>
      </c>
      <c r="AZ52" s="251">
        <f t="shared" si="8"/>
        <v>0</v>
      </c>
      <c r="BA52" s="251">
        <f t="shared" si="8"/>
        <v>0</v>
      </c>
      <c r="BB52" s="251">
        <f t="shared" si="8"/>
        <v>0</v>
      </c>
      <c r="BC52" s="251">
        <f t="shared" si="8"/>
        <v>0</v>
      </c>
      <c r="BD52" s="251">
        <f t="shared" si="8"/>
        <v>0</v>
      </c>
      <c r="BE52" s="251">
        <f t="shared" si="8"/>
        <v>0</v>
      </c>
      <c r="BF52" s="566">
        <f t="shared" si="8"/>
        <v>0</v>
      </c>
      <c r="BG52" s="45"/>
      <c r="BH52" s="165">
        <f>IFERROR(BI52/I52,0)</f>
        <v>2.1352381852471765</v>
      </c>
      <c r="BI52" s="39">
        <f>SUBTOTAL(9,BI53:BI62)</f>
        <v>396620.49290966307</v>
      </c>
      <c r="BJ52" s="45"/>
      <c r="BK52" s="137">
        <f>SUM(BK53:BK62)</f>
        <v>0</v>
      </c>
      <c r="BL52" s="138">
        <f t="shared" ref="BL52:DF52" si="9">SUM(BL53:BL62)</f>
        <v>17569.406433657925</v>
      </c>
      <c r="BM52" s="138">
        <f t="shared" si="9"/>
        <v>4023.2673622119996</v>
      </c>
      <c r="BN52" s="138">
        <f t="shared" si="9"/>
        <v>38674.029945396527</v>
      </c>
      <c r="BO52" s="138">
        <f t="shared" si="9"/>
        <v>81230.771830920916</v>
      </c>
      <c r="BP52" s="138">
        <f t="shared" si="9"/>
        <v>34556.263334922347</v>
      </c>
      <c r="BQ52" s="138">
        <f t="shared" si="9"/>
        <v>22974.988182289009</v>
      </c>
      <c r="BR52" s="138">
        <f t="shared" si="9"/>
        <v>11749.49780870659</v>
      </c>
      <c r="BS52" s="138">
        <f t="shared" si="9"/>
        <v>4622.4867303759993</v>
      </c>
      <c r="BT52" s="138">
        <f t="shared" si="9"/>
        <v>24343.018145837999</v>
      </c>
      <c r="BU52" s="138">
        <f t="shared" si="9"/>
        <v>21834.757287585035</v>
      </c>
      <c r="BV52" s="138">
        <f t="shared" si="9"/>
        <v>46766.157675953844</v>
      </c>
      <c r="BW52" s="138">
        <f t="shared" si="9"/>
        <v>1696.0012862347958</v>
      </c>
      <c r="BX52" s="138">
        <f t="shared" si="9"/>
        <v>1568.8201707200001</v>
      </c>
      <c r="BY52" s="138">
        <f t="shared" si="9"/>
        <v>81038.978276583832</v>
      </c>
      <c r="BZ52" s="138">
        <f t="shared" si="9"/>
        <v>730.85132341613223</v>
      </c>
      <c r="CA52" s="138">
        <f t="shared" si="9"/>
        <v>3241.1971148501307</v>
      </c>
      <c r="CB52" s="138">
        <f t="shared" si="9"/>
        <v>0</v>
      </c>
      <c r="CC52" s="138">
        <f t="shared" si="9"/>
        <v>0</v>
      </c>
      <c r="CD52" s="138">
        <f t="shared" si="9"/>
        <v>0</v>
      </c>
      <c r="CE52" s="138">
        <f t="shared" si="9"/>
        <v>0</v>
      </c>
      <c r="CF52" s="138">
        <f t="shared" si="9"/>
        <v>0</v>
      </c>
      <c r="CG52" s="138">
        <f t="shared" si="9"/>
        <v>0</v>
      </c>
      <c r="CH52" s="138">
        <f t="shared" si="9"/>
        <v>0</v>
      </c>
      <c r="CI52" s="138">
        <f t="shared" si="9"/>
        <v>0</v>
      </c>
      <c r="CJ52" s="138">
        <f t="shared" si="9"/>
        <v>0</v>
      </c>
      <c r="CK52" s="138">
        <f t="shared" si="9"/>
        <v>0</v>
      </c>
      <c r="CL52" s="138">
        <f t="shared" si="9"/>
        <v>0</v>
      </c>
      <c r="CM52" s="138">
        <f t="shared" si="9"/>
        <v>0</v>
      </c>
      <c r="CN52" s="138">
        <f t="shared" si="9"/>
        <v>0</v>
      </c>
      <c r="CO52" s="138">
        <f t="shared" si="9"/>
        <v>0</v>
      </c>
      <c r="CP52" s="138">
        <f t="shared" si="9"/>
        <v>0</v>
      </c>
      <c r="CQ52" s="138">
        <f t="shared" si="9"/>
        <v>0</v>
      </c>
      <c r="CR52" s="138">
        <f t="shared" si="9"/>
        <v>0</v>
      </c>
      <c r="CS52" s="138">
        <f t="shared" si="9"/>
        <v>0</v>
      </c>
      <c r="CT52" s="138">
        <f t="shared" si="9"/>
        <v>0</v>
      </c>
      <c r="CU52" s="138">
        <f t="shared" si="9"/>
        <v>0</v>
      </c>
      <c r="CV52" s="138">
        <f t="shared" si="9"/>
        <v>0</v>
      </c>
      <c r="CW52" s="138">
        <f t="shared" si="9"/>
        <v>0</v>
      </c>
      <c r="CX52" s="138">
        <f t="shared" si="9"/>
        <v>0</v>
      </c>
      <c r="CY52" s="138">
        <f t="shared" si="9"/>
        <v>0</v>
      </c>
      <c r="CZ52" s="138">
        <f t="shared" si="9"/>
        <v>0</v>
      </c>
      <c r="DA52" s="138">
        <f t="shared" si="9"/>
        <v>0</v>
      </c>
      <c r="DB52" s="138">
        <f t="shared" si="9"/>
        <v>0</v>
      </c>
      <c r="DC52" s="138">
        <f t="shared" si="9"/>
        <v>0</v>
      </c>
      <c r="DD52" s="138">
        <f t="shared" si="9"/>
        <v>0</v>
      </c>
      <c r="DE52" s="138">
        <f t="shared" si="9"/>
        <v>0</v>
      </c>
      <c r="DF52" s="139">
        <f t="shared" si="9"/>
        <v>0</v>
      </c>
    </row>
    <row r="53" spans="1:110" outlineLevel="1" x14ac:dyDescent="0.25">
      <c r="A53" s="28" t="str">
        <f t="shared" si="3"/>
        <v>Imprimir</v>
      </c>
      <c r="B53" s="50">
        <v>1</v>
      </c>
      <c r="C53" s="57" t="s">
        <v>1739</v>
      </c>
      <c r="D53" s="56" t="s">
        <v>567</v>
      </c>
      <c r="E53" s="57" t="s">
        <v>2115</v>
      </c>
      <c r="F53" s="58">
        <v>16000</v>
      </c>
      <c r="G53" s="49">
        <v>1</v>
      </c>
      <c r="H53" s="51">
        <v>1</v>
      </c>
      <c r="I53" s="505">
        <f t="shared" si="7"/>
        <v>16000</v>
      </c>
      <c r="J53" s="47"/>
      <c r="K53" s="142">
        <v>0.16666666666666666</v>
      </c>
      <c r="L53" s="48">
        <v>0.16666666666666666</v>
      </c>
      <c r="M53" s="48">
        <v>0.16666666666666666</v>
      </c>
      <c r="N53" s="48">
        <v>0.16666666666666666</v>
      </c>
      <c r="O53" s="48">
        <v>0.16666666666666666</v>
      </c>
      <c r="P53" s="48">
        <v>0.16666666666666666</v>
      </c>
      <c r="Q53" s="48"/>
      <c r="R53" s="48">
        <v>1</v>
      </c>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143"/>
      <c r="BG53" s="47"/>
      <c r="BH53" s="509"/>
      <c r="BI53" s="505">
        <f t="shared" si="6"/>
        <v>631.99682321599994</v>
      </c>
      <c r="BJ53" s="47"/>
      <c r="BK53" s="142">
        <f>SUMIFS(Imput[[Importe Neto]:[Importe Neto]],Imput[[C. Imp.]:[C. Imp.]],'Indirect Costs'!$C53,Imput[[PERIODO Imp.]:[PERIODO Imp.]],'Indirect Costs'!BK$8)</f>
        <v>0</v>
      </c>
      <c r="BL53" s="48">
        <f>SUMIFS(Imput[[Importe Neto]:[Importe Neto]],Imput[[C. Imp.]:[C. Imp.]],'Indirect Costs'!$C53,Imput[[PERIODO Imp.]:[PERIODO Imp.]],'Indirect Costs'!BL$8)</f>
        <v>0</v>
      </c>
      <c r="BM53" s="48">
        <f>SUMIFS(Imput[[Importe Neto]:[Importe Neto]],Imput[[C. Imp.]:[C. Imp.]],'Indirect Costs'!$C53,Imput[[PERIODO Imp.]:[PERIODO Imp.]],'Indirect Costs'!BM$8)</f>
        <v>0</v>
      </c>
      <c r="BN53" s="48">
        <f>SUMIFS(Imput[[Importe Neto]:[Importe Neto]],Imput[[C. Imp.]:[C. Imp.]],'Indirect Costs'!$C53,Imput[[PERIODO Imp.]:[PERIODO Imp.]],'Indirect Costs'!BN$8)</f>
        <v>238.00110771600001</v>
      </c>
      <c r="BO53" s="48">
        <f>SUMIFS(Imput[[Importe Neto]:[Importe Neto]],Imput[[C. Imp.]:[C. Imp.]],'Indirect Costs'!$C53,Imput[[PERIODO Imp.]:[PERIODO Imp.]],'Indirect Costs'!BO$8)</f>
        <v>393.99571549999996</v>
      </c>
      <c r="BP53" s="48">
        <f>SUMIFS(Imput[[Importe Neto]:[Importe Neto]],Imput[[C. Imp.]:[C. Imp.]],'Indirect Costs'!$C53,Imput[[PERIODO Imp.]:[PERIODO Imp.]],'Indirect Costs'!BP$8)</f>
        <v>0</v>
      </c>
      <c r="BQ53" s="48">
        <f>SUMIFS(Imput[[Importe Neto]:[Importe Neto]],Imput[[C. Imp.]:[C. Imp.]],'Indirect Costs'!$C53,Imput[[PERIODO Imp.]:[PERIODO Imp.]],'Indirect Costs'!BQ$8)</f>
        <v>0</v>
      </c>
      <c r="BR53" s="48">
        <f>SUMIFS(Imput[[Importe Neto]:[Importe Neto]],Imput[[C. Imp.]:[C. Imp.]],'Indirect Costs'!$C53,Imput[[PERIODO Imp.]:[PERIODO Imp.]],'Indirect Costs'!BR$8)</f>
        <v>0</v>
      </c>
      <c r="BS53" s="48">
        <f>SUMIFS(Imput[[Importe Neto]:[Importe Neto]],Imput[[C. Imp.]:[C. Imp.]],'Indirect Costs'!$C53,Imput[[PERIODO Imp.]:[PERIODO Imp.]],'Indirect Costs'!BS$8)</f>
        <v>0</v>
      </c>
      <c r="BT53" s="48">
        <f>SUMIFS(Imput[[Importe Neto]:[Importe Neto]],Imput[[C. Imp.]:[C. Imp.]],'Indirect Costs'!$C53,Imput[[PERIODO Imp.]:[PERIODO Imp.]],'Indirect Costs'!BT$8)</f>
        <v>0</v>
      </c>
      <c r="BU53" s="48">
        <f>SUMIFS(Imput[[Importe Neto]:[Importe Neto]],Imput[[C. Imp.]:[C. Imp.]],'Indirect Costs'!$C53,Imput[[PERIODO Imp.]:[PERIODO Imp.]],'Indirect Costs'!BU$8)</f>
        <v>0</v>
      </c>
      <c r="BV53" s="48">
        <f>SUMIFS(Imput[[Importe Neto]:[Importe Neto]],Imput[[C. Imp.]:[C. Imp.]],'Indirect Costs'!$C53,Imput[[PERIODO Imp.]:[PERIODO Imp.]],'Indirect Costs'!BV$8)</f>
        <v>0</v>
      </c>
      <c r="BW53" s="48">
        <f>SUMIFS(Imput[[Importe Neto]:[Importe Neto]],Imput[[C. Imp.]:[C. Imp.]],'Indirect Costs'!$C53,Imput[[PERIODO Imp.]:[PERIODO Imp.]],'Indirect Costs'!BW$8)</f>
        <v>0</v>
      </c>
      <c r="BX53" s="48">
        <f>SUMIFS(Imput[[Importe Neto]:[Importe Neto]],Imput[[C. Imp.]:[C. Imp.]],'Indirect Costs'!$C53,Imput[[PERIODO Imp.]:[PERIODO Imp.]],'Indirect Costs'!BX$8)</f>
        <v>0</v>
      </c>
      <c r="BY53" s="48">
        <f>SUMIFS(Imput[[Importe Neto]:[Importe Neto]],Imput[[C. Imp.]:[C. Imp.]],'Indirect Costs'!$C53,Imput[[PERIODO Imp.]:[PERIODO Imp.]],'Indirect Costs'!BY$8)</f>
        <v>0</v>
      </c>
      <c r="BZ53" s="48">
        <f>SUMIFS(Imput[[Importe Neto]:[Importe Neto]],Imput[[C. Imp.]:[C. Imp.]],'Indirect Costs'!$C53,Imput[[PERIODO Imp.]:[PERIODO Imp.]],'Indirect Costs'!BZ$8)</f>
        <v>0</v>
      </c>
      <c r="CA53" s="48">
        <f>SUMIFS(Imput[[Importe Neto]:[Importe Neto]],Imput[[C. Imp.]:[C. Imp.]],'Indirect Costs'!$C53,Imput[[PERIODO Imp.]:[PERIODO Imp.]],'Indirect Costs'!CA$8)</f>
        <v>0</v>
      </c>
      <c r="CB53" s="48">
        <f>SUMIFS(Imput[[Importe Neto]:[Importe Neto]],Imput[[C. Imp.]:[C. Imp.]],'Indirect Costs'!$C53,Imput[[PERIODO Imp.]:[PERIODO Imp.]],'Indirect Costs'!CB$8)</f>
        <v>0</v>
      </c>
      <c r="CC53" s="48">
        <f>SUMIFS(Imput[[Importe Neto]:[Importe Neto]],Imput[[C. Imp.]:[C. Imp.]],'Indirect Costs'!$C53,Imput[[PERIODO Imp.]:[PERIODO Imp.]],'Indirect Costs'!CC$8)</f>
        <v>0</v>
      </c>
      <c r="CD53" s="48">
        <f>SUMIFS(Imput[[Importe Neto]:[Importe Neto]],Imput[[C. Imp.]:[C. Imp.]],'Indirect Costs'!$C53,Imput[[PERIODO Imp.]:[PERIODO Imp.]],'Indirect Costs'!CD$8)</f>
        <v>0</v>
      </c>
      <c r="CE53" s="48">
        <f>SUMIFS(Imput[[Importe Neto]:[Importe Neto]],Imput[[C. Imp.]:[C. Imp.]],'Indirect Costs'!$C53,Imput[[PERIODO Imp.]:[PERIODO Imp.]],'Indirect Costs'!CE$8)</f>
        <v>0</v>
      </c>
      <c r="CF53" s="48">
        <f>SUMIFS(Imput[[Importe Neto]:[Importe Neto]],Imput[[C. Imp.]:[C. Imp.]],'Indirect Costs'!$C53,Imput[[PERIODO Imp.]:[PERIODO Imp.]],'Indirect Costs'!CF$8)</f>
        <v>0</v>
      </c>
      <c r="CG53" s="48">
        <f>SUMIFS(Imput[[Importe Neto]:[Importe Neto]],Imput[[C. Imp.]:[C. Imp.]],'Indirect Costs'!$C53,Imput[[PERIODO Imp.]:[PERIODO Imp.]],'Indirect Costs'!CG$8)</f>
        <v>0</v>
      </c>
      <c r="CH53" s="48">
        <f>SUMIFS(Imput[[Importe Neto]:[Importe Neto]],Imput[[C. Imp.]:[C. Imp.]],'Indirect Costs'!$C53,Imput[[PERIODO Imp.]:[PERIODO Imp.]],'Indirect Costs'!CH$8)</f>
        <v>0</v>
      </c>
      <c r="CI53" s="48">
        <f>SUMIFS(Imput[[Importe Neto]:[Importe Neto]],Imput[[C. Imp.]:[C. Imp.]],'Indirect Costs'!$C53,Imput[[PERIODO Imp.]:[PERIODO Imp.]],'Indirect Costs'!CI$8)</f>
        <v>0</v>
      </c>
      <c r="CJ53" s="48">
        <f>SUMIFS(Imput[[Importe Neto]:[Importe Neto]],Imput[[C. Imp.]:[C. Imp.]],'Indirect Costs'!$C53,Imput[[PERIODO Imp.]:[PERIODO Imp.]],'Indirect Costs'!CJ$8)</f>
        <v>0</v>
      </c>
      <c r="CK53" s="48">
        <f>SUMIFS(Imput[[Importe Neto]:[Importe Neto]],Imput[[C. Imp.]:[C. Imp.]],'Indirect Costs'!$C53,Imput[[PERIODO Imp.]:[PERIODO Imp.]],'Indirect Costs'!CK$8)</f>
        <v>0</v>
      </c>
      <c r="CL53" s="48">
        <f>SUMIFS(Imput[[Importe Neto]:[Importe Neto]],Imput[[C. Imp.]:[C. Imp.]],'Indirect Costs'!$C53,Imput[[PERIODO Imp.]:[PERIODO Imp.]],'Indirect Costs'!CL$8)</f>
        <v>0</v>
      </c>
      <c r="CM53" s="48">
        <f>SUMIFS(Imput[[Importe Neto]:[Importe Neto]],Imput[[C. Imp.]:[C. Imp.]],'Indirect Costs'!$C53,Imput[[PERIODO Imp.]:[PERIODO Imp.]],'Indirect Costs'!CM$8)</f>
        <v>0</v>
      </c>
      <c r="CN53" s="48">
        <f>SUMIFS(Imput[[Importe Neto]:[Importe Neto]],Imput[[C. Imp.]:[C. Imp.]],'Indirect Costs'!$C53,Imput[[PERIODO Imp.]:[PERIODO Imp.]],'Indirect Costs'!CN$8)</f>
        <v>0</v>
      </c>
      <c r="CO53" s="48">
        <f>SUMIFS(Imput[[Importe Neto]:[Importe Neto]],Imput[[C. Imp.]:[C. Imp.]],'Indirect Costs'!$C53,Imput[[PERIODO Imp.]:[PERIODO Imp.]],'Indirect Costs'!CO$8)</f>
        <v>0</v>
      </c>
      <c r="CP53" s="48">
        <f>SUMIFS(Imput[[Importe Neto]:[Importe Neto]],Imput[[C. Imp.]:[C. Imp.]],'Indirect Costs'!$C53,Imput[[PERIODO Imp.]:[PERIODO Imp.]],'Indirect Costs'!CP$8)</f>
        <v>0</v>
      </c>
      <c r="CQ53" s="48">
        <f>SUMIFS(Imput[[Importe Neto]:[Importe Neto]],Imput[[C. Imp.]:[C. Imp.]],'Indirect Costs'!$C53,Imput[[PERIODO Imp.]:[PERIODO Imp.]],'Indirect Costs'!CQ$8)</f>
        <v>0</v>
      </c>
      <c r="CR53" s="48">
        <f>SUMIFS(Imput[[Importe Neto]:[Importe Neto]],Imput[[C. Imp.]:[C. Imp.]],'Indirect Costs'!$C53,Imput[[PERIODO Imp.]:[PERIODO Imp.]],'Indirect Costs'!CR$8)</f>
        <v>0</v>
      </c>
      <c r="CS53" s="48">
        <f>SUMIFS(Imput[[Importe Neto]:[Importe Neto]],Imput[[C. Imp.]:[C. Imp.]],'Indirect Costs'!$C53,Imput[[PERIODO Imp.]:[PERIODO Imp.]],'Indirect Costs'!CS$8)</f>
        <v>0</v>
      </c>
      <c r="CT53" s="48">
        <f>SUMIFS(Imput[[Importe Neto]:[Importe Neto]],Imput[[C. Imp.]:[C. Imp.]],'Indirect Costs'!$C53,Imput[[PERIODO Imp.]:[PERIODO Imp.]],'Indirect Costs'!CT$8)</f>
        <v>0</v>
      </c>
      <c r="CU53" s="48">
        <f>SUMIFS(Imput[[Importe Neto]:[Importe Neto]],Imput[[C. Imp.]:[C. Imp.]],'Indirect Costs'!$C53,Imput[[PERIODO Imp.]:[PERIODO Imp.]],'Indirect Costs'!CU$8)</f>
        <v>0</v>
      </c>
      <c r="CV53" s="48">
        <f>SUMIFS(Imput[[Importe Neto]:[Importe Neto]],Imput[[C. Imp.]:[C. Imp.]],'Indirect Costs'!$C53,Imput[[PERIODO Imp.]:[PERIODO Imp.]],'Indirect Costs'!CV$8)</f>
        <v>0</v>
      </c>
      <c r="CW53" s="48">
        <f>SUMIFS(Imput[[Importe Neto]:[Importe Neto]],Imput[[C. Imp.]:[C. Imp.]],'Indirect Costs'!$C53,Imput[[PERIODO Imp.]:[PERIODO Imp.]],'Indirect Costs'!CW$8)</f>
        <v>0</v>
      </c>
      <c r="CX53" s="48">
        <f>SUMIFS(Imput[[Importe Neto]:[Importe Neto]],Imput[[C. Imp.]:[C. Imp.]],'Indirect Costs'!$C53,Imput[[PERIODO Imp.]:[PERIODO Imp.]],'Indirect Costs'!CX$8)</f>
        <v>0</v>
      </c>
      <c r="CY53" s="48">
        <f>SUMIFS(Imput[[Importe Neto]:[Importe Neto]],Imput[[C. Imp.]:[C. Imp.]],'Indirect Costs'!$C53,Imput[[PERIODO Imp.]:[PERIODO Imp.]],'Indirect Costs'!CY$8)</f>
        <v>0</v>
      </c>
      <c r="CZ53" s="48">
        <f>SUMIFS(Imput[[Importe Neto]:[Importe Neto]],Imput[[C. Imp.]:[C. Imp.]],'Indirect Costs'!$C53,Imput[[PERIODO Imp.]:[PERIODO Imp.]],'Indirect Costs'!CZ$8)</f>
        <v>0</v>
      </c>
      <c r="DA53" s="48">
        <f>SUMIFS(Imput[[Importe Neto]:[Importe Neto]],Imput[[C. Imp.]:[C. Imp.]],'Indirect Costs'!$C53,Imput[[PERIODO Imp.]:[PERIODO Imp.]],'Indirect Costs'!DA$8)</f>
        <v>0</v>
      </c>
      <c r="DB53" s="48">
        <f>SUMIFS(Imput[[Importe Neto]:[Importe Neto]],Imput[[C. Imp.]:[C. Imp.]],'Indirect Costs'!$C53,Imput[[PERIODO Imp.]:[PERIODO Imp.]],'Indirect Costs'!DB$8)</f>
        <v>0</v>
      </c>
      <c r="DC53" s="48">
        <f>SUMIFS(Imput[[Importe Neto]:[Importe Neto]],Imput[[C. Imp.]:[C. Imp.]],'Indirect Costs'!$C53,Imput[[PERIODO Imp.]:[PERIODO Imp.]],'Indirect Costs'!DC$8)</f>
        <v>0</v>
      </c>
      <c r="DD53" s="48">
        <f>SUMIFS(Imput[[Importe Neto]:[Importe Neto]],Imput[[C. Imp.]:[C. Imp.]],'Indirect Costs'!$C53,Imput[[PERIODO Imp.]:[PERIODO Imp.]],'Indirect Costs'!DD$8)</f>
        <v>0</v>
      </c>
      <c r="DE53" s="48">
        <f>SUMIFS(Imput[[Importe Neto]:[Importe Neto]],Imput[[C. Imp.]:[C. Imp.]],'Indirect Costs'!$C53,Imput[[PERIODO Imp.]:[PERIODO Imp.]],'Indirect Costs'!DE$8)</f>
        <v>0</v>
      </c>
      <c r="DF53" s="143">
        <f>SUMIFS(Imput[[Importe Neto]:[Importe Neto]],Imput[[C. Imp.]:[C. Imp.]],'Indirect Costs'!$C53,Imput[[PERIODO Imp.]:[PERIODO Imp.]],'Indirect Costs'!DF$8)</f>
        <v>0</v>
      </c>
    </row>
    <row r="54" spans="1:110" outlineLevel="1" x14ac:dyDescent="0.25">
      <c r="A54" s="28" t="str">
        <f t="shared" si="3"/>
        <v>Imprimir</v>
      </c>
      <c r="B54" s="50">
        <v>2</v>
      </c>
      <c r="C54" s="57" t="s">
        <v>1763</v>
      </c>
      <c r="D54" s="56" t="s">
        <v>2116</v>
      </c>
      <c r="E54" s="56" t="s">
        <v>2116</v>
      </c>
      <c r="F54" s="58">
        <v>16000</v>
      </c>
      <c r="G54" s="49">
        <v>1</v>
      </c>
      <c r="H54" s="51">
        <v>1</v>
      </c>
      <c r="I54" s="505">
        <f t="shared" si="7"/>
        <v>16000</v>
      </c>
      <c r="J54" s="47"/>
      <c r="K54" s="142">
        <v>0.16666666666666666</v>
      </c>
      <c r="L54" s="48">
        <v>0.16666666666666666</v>
      </c>
      <c r="M54" s="48">
        <v>0.16666666666666666</v>
      </c>
      <c r="N54" s="48">
        <v>0.16666666666666666</v>
      </c>
      <c r="O54" s="48">
        <v>0.16666666666666666</v>
      </c>
      <c r="P54" s="48">
        <v>0.16666666666666666</v>
      </c>
      <c r="Q54" s="48"/>
      <c r="R54" s="48">
        <v>1</v>
      </c>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143"/>
      <c r="BG54" s="47"/>
      <c r="BH54" s="509"/>
      <c r="BI54" s="505">
        <f t="shared" si="6"/>
        <v>36465.002378716003</v>
      </c>
      <c r="BJ54" s="47"/>
      <c r="BK54" s="142">
        <f>SUMIFS(Imput[[Importe Neto]:[Importe Neto]],Imput[[C. Imp.]:[C. Imp.]],'Indirect Costs'!$C54,Imput[[PERIODO Imp.]:[PERIODO Imp.]],'Indirect Costs'!BK$8)</f>
        <v>0</v>
      </c>
      <c r="BL54" s="48">
        <f>SUMIFS(Imput[[Importe Neto]:[Importe Neto]],Imput[[C. Imp.]:[C. Imp.]],'Indirect Costs'!$C54,Imput[[PERIODO Imp.]:[PERIODO Imp.]],'Indirect Costs'!BL$8)</f>
        <v>14295.001524000001</v>
      </c>
      <c r="BM54" s="48">
        <f>SUMIFS(Imput[[Importe Neto]:[Importe Neto]],Imput[[C. Imp.]:[C. Imp.]],'Indirect Costs'!$C54,Imput[[PERIODO Imp.]:[PERIODO Imp.]],'Indirect Costs'!BM$8)</f>
        <v>0</v>
      </c>
      <c r="BN54" s="48">
        <f>SUMIFS(Imput[[Importe Neto]:[Importe Neto]],Imput[[C. Imp.]:[C. Imp.]],'Indirect Costs'!$C54,Imput[[PERIODO Imp.]:[PERIODO Imp.]],'Indirect Costs'!BN$8)</f>
        <v>538.00765471600005</v>
      </c>
      <c r="BO54" s="48">
        <f>SUMIFS(Imput[[Importe Neto]:[Importe Neto]],Imput[[C. Imp.]:[C. Imp.]],'Indirect Costs'!$C54,Imput[[PERIODO Imp.]:[PERIODO Imp.]],'Indirect Costs'!BO$8)</f>
        <v>0</v>
      </c>
      <c r="BP54" s="48">
        <f>SUMIFS(Imput[[Importe Neto]:[Importe Neto]],Imput[[C. Imp.]:[C. Imp.]],'Indirect Costs'!$C54,Imput[[PERIODO Imp.]:[PERIODO Imp.]],'Indirect Costs'!BP$8)</f>
        <v>21631.993200000001</v>
      </c>
      <c r="BQ54" s="48">
        <f>SUMIFS(Imput[[Importe Neto]:[Importe Neto]],Imput[[C. Imp.]:[C. Imp.]],'Indirect Costs'!$C54,Imput[[PERIODO Imp.]:[PERIODO Imp.]],'Indirect Costs'!BQ$8)</f>
        <v>0</v>
      </c>
      <c r="BR54" s="48">
        <f>SUMIFS(Imput[[Importe Neto]:[Importe Neto]],Imput[[C. Imp.]:[C. Imp.]],'Indirect Costs'!$C54,Imput[[PERIODO Imp.]:[PERIODO Imp.]],'Indirect Costs'!BR$8)</f>
        <v>0</v>
      </c>
      <c r="BS54" s="48">
        <f>SUMIFS(Imput[[Importe Neto]:[Importe Neto]],Imput[[C. Imp.]:[C. Imp.]],'Indirect Costs'!$C54,Imput[[PERIODO Imp.]:[PERIODO Imp.]],'Indirect Costs'!BS$8)</f>
        <v>0</v>
      </c>
      <c r="BT54" s="48">
        <f>SUMIFS(Imput[[Importe Neto]:[Importe Neto]],Imput[[C. Imp.]:[C. Imp.]],'Indirect Costs'!$C54,Imput[[PERIODO Imp.]:[PERIODO Imp.]],'Indirect Costs'!BT$8)</f>
        <v>0</v>
      </c>
      <c r="BU54" s="48">
        <f>SUMIFS(Imput[[Importe Neto]:[Importe Neto]],Imput[[C. Imp.]:[C. Imp.]],'Indirect Costs'!$C54,Imput[[PERIODO Imp.]:[PERIODO Imp.]],'Indirect Costs'!BU$8)</f>
        <v>0</v>
      </c>
      <c r="BV54" s="48">
        <f>SUMIFS(Imput[[Importe Neto]:[Importe Neto]],Imput[[C. Imp.]:[C. Imp.]],'Indirect Costs'!$C54,Imput[[PERIODO Imp.]:[PERIODO Imp.]],'Indirect Costs'!BV$8)</f>
        <v>0</v>
      </c>
      <c r="BW54" s="48">
        <f>SUMIFS(Imput[[Importe Neto]:[Importe Neto]],Imput[[C. Imp.]:[C. Imp.]],'Indirect Costs'!$C54,Imput[[PERIODO Imp.]:[PERIODO Imp.]],'Indirect Costs'!BW$8)</f>
        <v>0</v>
      </c>
      <c r="BX54" s="48">
        <f>SUMIFS(Imput[[Importe Neto]:[Importe Neto]],Imput[[C. Imp.]:[C. Imp.]],'Indirect Costs'!$C54,Imput[[PERIODO Imp.]:[PERIODO Imp.]],'Indirect Costs'!BX$8)</f>
        <v>0</v>
      </c>
      <c r="BY54" s="48">
        <f>SUMIFS(Imput[[Importe Neto]:[Importe Neto]],Imput[[C. Imp.]:[C. Imp.]],'Indirect Costs'!$C54,Imput[[PERIODO Imp.]:[PERIODO Imp.]],'Indirect Costs'!BY$8)</f>
        <v>0</v>
      </c>
      <c r="BZ54" s="48">
        <f>SUMIFS(Imput[[Importe Neto]:[Importe Neto]],Imput[[C. Imp.]:[C. Imp.]],'Indirect Costs'!$C54,Imput[[PERIODO Imp.]:[PERIODO Imp.]],'Indirect Costs'!BZ$8)</f>
        <v>0</v>
      </c>
      <c r="CA54" s="48">
        <f>SUMIFS(Imput[[Importe Neto]:[Importe Neto]],Imput[[C. Imp.]:[C. Imp.]],'Indirect Costs'!$C54,Imput[[PERIODO Imp.]:[PERIODO Imp.]],'Indirect Costs'!CA$8)</f>
        <v>0</v>
      </c>
      <c r="CB54" s="48">
        <f>SUMIFS(Imput[[Importe Neto]:[Importe Neto]],Imput[[C. Imp.]:[C. Imp.]],'Indirect Costs'!$C54,Imput[[PERIODO Imp.]:[PERIODO Imp.]],'Indirect Costs'!CB$8)</f>
        <v>0</v>
      </c>
      <c r="CC54" s="48">
        <f>SUMIFS(Imput[[Importe Neto]:[Importe Neto]],Imput[[C. Imp.]:[C. Imp.]],'Indirect Costs'!$C54,Imput[[PERIODO Imp.]:[PERIODO Imp.]],'Indirect Costs'!CC$8)</f>
        <v>0</v>
      </c>
      <c r="CD54" s="48">
        <f>SUMIFS(Imput[[Importe Neto]:[Importe Neto]],Imput[[C. Imp.]:[C. Imp.]],'Indirect Costs'!$C54,Imput[[PERIODO Imp.]:[PERIODO Imp.]],'Indirect Costs'!CD$8)</f>
        <v>0</v>
      </c>
      <c r="CE54" s="48">
        <f>SUMIFS(Imput[[Importe Neto]:[Importe Neto]],Imput[[C. Imp.]:[C. Imp.]],'Indirect Costs'!$C54,Imput[[PERIODO Imp.]:[PERIODO Imp.]],'Indirect Costs'!CE$8)</f>
        <v>0</v>
      </c>
      <c r="CF54" s="48">
        <f>SUMIFS(Imput[[Importe Neto]:[Importe Neto]],Imput[[C. Imp.]:[C. Imp.]],'Indirect Costs'!$C54,Imput[[PERIODO Imp.]:[PERIODO Imp.]],'Indirect Costs'!CF$8)</f>
        <v>0</v>
      </c>
      <c r="CG54" s="48">
        <f>SUMIFS(Imput[[Importe Neto]:[Importe Neto]],Imput[[C. Imp.]:[C. Imp.]],'Indirect Costs'!$C54,Imput[[PERIODO Imp.]:[PERIODO Imp.]],'Indirect Costs'!CG$8)</f>
        <v>0</v>
      </c>
      <c r="CH54" s="48">
        <f>SUMIFS(Imput[[Importe Neto]:[Importe Neto]],Imput[[C. Imp.]:[C. Imp.]],'Indirect Costs'!$C54,Imput[[PERIODO Imp.]:[PERIODO Imp.]],'Indirect Costs'!CH$8)</f>
        <v>0</v>
      </c>
      <c r="CI54" s="48">
        <f>SUMIFS(Imput[[Importe Neto]:[Importe Neto]],Imput[[C. Imp.]:[C. Imp.]],'Indirect Costs'!$C54,Imput[[PERIODO Imp.]:[PERIODO Imp.]],'Indirect Costs'!CI$8)</f>
        <v>0</v>
      </c>
      <c r="CJ54" s="48">
        <f>SUMIFS(Imput[[Importe Neto]:[Importe Neto]],Imput[[C. Imp.]:[C. Imp.]],'Indirect Costs'!$C54,Imput[[PERIODO Imp.]:[PERIODO Imp.]],'Indirect Costs'!CJ$8)</f>
        <v>0</v>
      </c>
      <c r="CK54" s="48">
        <f>SUMIFS(Imput[[Importe Neto]:[Importe Neto]],Imput[[C. Imp.]:[C. Imp.]],'Indirect Costs'!$C54,Imput[[PERIODO Imp.]:[PERIODO Imp.]],'Indirect Costs'!CK$8)</f>
        <v>0</v>
      </c>
      <c r="CL54" s="48">
        <f>SUMIFS(Imput[[Importe Neto]:[Importe Neto]],Imput[[C. Imp.]:[C. Imp.]],'Indirect Costs'!$C54,Imput[[PERIODO Imp.]:[PERIODO Imp.]],'Indirect Costs'!CL$8)</f>
        <v>0</v>
      </c>
      <c r="CM54" s="48">
        <f>SUMIFS(Imput[[Importe Neto]:[Importe Neto]],Imput[[C. Imp.]:[C. Imp.]],'Indirect Costs'!$C54,Imput[[PERIODO Imp.]:[PERIODO Imp.]],'Indirect Costs'!CM$8)</f>
        <v>0</v>
      </c>
      <c r="CN54" s="48">
        <f>SUMIFS(Imput[[Importe Neto]:[Importe Neto]],Imput[[C. Imp.]:[C. Imp.]],'Indirect Costs'!$C54,Imput[[PERIODO Imp.]:[PERIODO Imp.]],'Indirect Costs'!CN$8)</f>
        <v>0</v>
      </c>
      <c r="CO54" s="48">
        <f>SUMIFS(Imput[[Importe Neto]:[Importe Neto]],Imput[[C. Imp.]:[C. Imp.]],'Indirect Costs'!$C54,Imput[[PERIODO Imp.]:[PERIODO Imp.]],'Indirect Costs'!CO$8)</f>
        <v>0</v>
      </c>
      <c r="CP54" s="48">
        <f>SUMIFS(Imput[[Importe Neto]:[Importe Neto]],Imput[[C. Imp.]:[C. Imp.]],'Indirect Costs'!$C54,Imput[[PERIODO Imp.]:[PERIODO Imp.]],'Indirect Costs'!CP$8)</f>
        <v>0</v>
      </c>
      <c r="CQ54" s="48">
        <f>SUMIFS(Imput[[Importe Neto]:[Importe Neto]],Imput[[C. Imp.]:[C. Imp.]],'Indirect Costs'!$C54,Imput[[PERIODO Imp.]:[PERIODO Imp.]],'Indirect Costs'!CQ$8)</f>
        <v>0</v>
      </c>
      <c r="CR54" s="48">
        <f>SUMIFS(Imput[[Importe Neto]:[Importe Neto]],Imput[[C. Imp.]:[C. Imp.]],'Indirect Costs'!$C54,Imput[[PERIODO Imp.]:[PERIODO Imp.]],'Indirect Costs'!CR$8)</f>
        <v>0</v>
      </c>
      <c r="CS54" s="48">
        <f>SUMIFS(Imput[[Importe Neto]:[Importe Neto]],Imput[[C. Imp.]:[C. Imp.]],'Indirect Costs'!$C54,Imput[[PERIODO Imp.]:[PERIODO Imp.]],'Indirect Costs'!CS$8)</f>
        <v>0</v>
      </c>
      <c r="CT54" s="48">
        <f>SUMIFS(Imput[[Importe Neto]:[Importe Neto]],Imput[[C. Imp.]:[C. Imp.]],'Indirect Costs'!$C54,Imput[[PERIODO Imp.]:[PERIODO Imp.]],'Indirect Costs'!CT$8)</f>
        <v>0</v>
      </c>
      <c r="CU54" s="48">
        <f>SUMIFS(Imput[[Importe Neto]:[Importe Neto]],Imput[[C. Imp.]:[C. Imp.]],'Indirect Costs'!$C54,Imput[[PERIODO Imp.]:[PERIODO Imp.]],'Indirect Costs'!CU$8)</f>
        <v>0</v>
      </c>
      <c r="CV54" s="48">
        <f>SUMIFS(Imput[[Importe Neto]:[Importe Neto]],Imput[[C. Imp.]:[C. Imp.]],'Indirect Costs'!$C54,Imput[[PERIODO Imp.]:[PERIODO Imp.]],'Indirect Costs'!CV$8)</f>
        <v>0</v>
      </c>
      <c r="CW54" s="48">
        <f>SUMIFS(Imput[[Importe Neto]:[Importe Neto]],Imput[[C. Imp.]:[C. Imp.]],'Indirect Costs'!$C54,Imput[[PERIODO Imp.]:[PERIODO Imp.]],'Indirect Costs'!CW$8)</f>
        <v>0</v>
      </c>
      <c r="CX54" s="48">
        <f>SUMIFS(Imput[[Importe Neto]:[Importe Neto]],Imput[[C. Imp.]:[C. Imp.]],'Indirect Costs'!$C54,Imput[[PERIODO Imp.]:[PERIODO Imp.]],'Indirect Costs'!CX$8)</f>
        <v>0</v>
      </c>
      <c r="CY54" s="48">
        <f>SUMIFS(Imput[[Importe Neto]:[Importe Neto]],Imput[[C. Imp.]:[C. Imp.]],'Indirect Costs'!$C54,Imput[[PERIODO Imp.]:[PERIODO Imp.]],'Indirect Costs'!CY$8)</f>
        <v>0</v>
      </c>
      <c r="CZ54" s="48">
        <f>SUMIFS(Imput[[Importe Neto]:[Importe Neto]],Imput[[C. Imp.]:[C. Imp.]],'Indirect Costs'!$C54,Imput[[PERIODO Imp.]:[PERIODO Imp.]],'Indirect Costs'!CZ$8)</f>
        <v>0</v>
      </c>
      <c r="DA54" s="48">
        <f>SUMIFS(Imput[[Importe Neto]:[Importe Neto]],Imput[[C. Imp.]:[C. Imp.]],'Indirect Costs'!$C54,Imput[[PERIODO Imp.]:[PERIODO Imp.]],'Indirect Costs'!DA$8)</f>
        <v>0</v>
      </c>
      <c r="DB54" s="48">
        <f>SUMIFS(Imput[[Importe Neto]:[Importe Neto]],Imput[[C. Imp.]:[C. Imp.]],'Indirect Costs'!$C54,Imput[[PERIODO Imp.]:[PERIODO Imp.]],'Indirect Costs'!DB$8)</f>
        <v>0</v>
      </c>
      <c r="DC54" s="48">
        <f>SUMIFS(Imput[[Importe Neto]:[Importe Neto]],Imput[[C. Imp.]:[C. Imp.]],'Indirect Costs'!$C54,Imput[[PERIODO Imp.]:[PERIODO Imp.]],'Indirect Costs'!DC$8)</f>
        <v>0</v>
      </c>
      <c r="DD54" s="48">
        <f>SUMIFS(Imput[[Importe Neto]:[Importe Neto]],Imput[[C. Imp.]:[C. Imp.]],'Indirect Costs'!$C54,Imput[[PERIODO Imp.]:[PERIODO Imp.]],'Indirect Costs'!DD$8)</f>
        <v>0</v>
      </c>
      <c r="DE54" s="48">
        <f>SUMIFS(Imput[[Importe Neto]:[Importe Neto]],Imput[[C. Imp.]:[C. Imp.]],'Indirect Costs'!$C54,Imput[[PERIODO Imp.]:[PERIODO Imp.]],'Indirect Costs'!DE$8)</f>
        <v>0</v>
      </c>
      <c r="DF54" s="143">
        <f>SUMIFS(Imput[[Importe Neto]:[Importe Neto]],Imput[[C. Imp.]:[C. Imp.]],'Indirect Costs'!$C54,Imput[[PERIODO Imp.]:[PERIODO Imp.]],'Indirect Costs'!DF$8)</f>
        <v>0</v>
      </c>
    </row>
    <row r="55" spans="1:110" outlineLevel="1" x14ac:dyDescent="0.25">
      <c r="A55" s="28" t="str">
        <f t="shared" si="3"/>
        <v>Imprimir</v>
      </c>
      <c r="B55" s="50">
        <v>3</v>
      </c>
      <c r="C55" s="57" t="s">
        <v>1741</v>
      </c>
      <c r="D55" s="56" t="s">
        <v>2117</v>
      </c>
      <c r="E55" s="57" t="s">
        <v>2118</v>
      </c>
      <c r="F55" s="58">
        <v>7500</v>
      </c>
      <c r="G55" s="49">
        <v>1</v>
      </c>
      <c r="H55" s="51">
        <v>1</v>
      </c>
      <c r="I55" s="505">
        <f t="shared" si="7"/>
        <v>7500</v>
      </c>
      <c r="J55" s="47"/>
      <c r="K55" s="142"/>
      <c r="L55" s="48"/>
      <c r="M55" s="48"/>
      <c r="N55" s="48"/>
      <c r="O55" s="48"/>
      <c r="P55" s="48"/>
      <c r="Q55" s="48"/>
      <c r="R55" s="48">
        <v>1</v>
      </c>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143"/>
      <c r="BG55" s="47"/>
      <c r="BH55" s="509"/>
      <c r="BI55" s="505">
        <f t="shared" si="6"/>
        <v>654.00389391600004</v>
      </c>
      <c r="BJ55" s="47"/>
      <c r="BK55" s="142">
        <f>SUMIFS(Imput[[Importe Neto]:[Importe Neto]],Imput[[C. Imp.]:[C. Imp.]],'Indirect Costs'!$C55,Imput[[PERIODO Imp.]:[PERIODO Imp.]],'Indirect Costs'!BK$8)</f>
        <v>0</v>
      </c>
      <c r="BL55" s="48">
        <f>SUMIFS(Imput[[Importe Neto]:[Importe Neto]],Imput[[C. Imp.]:[C. Imp.]],'Indirect Costs'!$C55,Imput[[PERIODO Imp.]:[PERIODO Imp.]],'Indirect Costs'!BL$8)</f>
        <v>0</v>
      </c>
      <c r="BM55" s="48">
        <f>SUMIFS(Imput[[Importe Neto]:[Importe Neto]],Imput[[C. Imp.]:[C. Imp.]],'Indirect Costs'!$C55,Imput[[PERIODO Imp.]:[PERIODO Imp.]],'Indirect Costs'!BM$8)</f>
        <v>0</v>
      </c>
      <c r="BN55" s="48">
        <f>SUMIFS(Imput[[Importe Neto]:[Importe Neto]],Imput[[C. Imp.]:[C. Imp.]],'Indirect Costs'!$C55,Imput[[PERIODO Imp.]:[PERIODO Imp.]],'Indirect Costs'!BN$8)</f>
        <v>654.00389391600004</v>
      </c>
      <c r="BO55" s="48">
        <f>SUMIFS(Imput[[Importe Neto]:[Importe Neto]],Imput[[C. Imp.]:[C. Imp.]],'Indirect Costs'!$C55,Imput[[PERIODO Imp.]:[PERIODO Imp.]],'Indirect Costs'!BO$8)</f>
        <v>0</v>
      </c>
      <c r="BP55" s="48">
        <f>SUMIFS(Imput[[Importe Neto]:[Importe Neto]],Imput[[C. Imp.]:[C. Imp.]],'Indirect Costs'!$C55,Imput[[PERIODO Imp.]:[PERIODO Imp.]],'Indirect Costs'!BP$8)</f>
        <v>0</v>
      </c>
      <c r="BQ55" s="48">
        <f>SUMIFS(Imput[[Importe Neto]:[Importe Neto]],Imput[[C. Imp.]:[C. Imp.]],'Indirect Costs'!$C55,Imput[[PERIODO Imp.]:[PERIODO Imp.]],'Indirect Costs'!BQ$8)</f>
        <v>0</v>
      </c>
      <c r="BR55" s="48">
        <f>SUMIFS(Imput[[Importe Neto]:[Importe Neto]],Imput[[C. Imp.]:[C. Imp.]],'Indirect Costs'!$C55,Imput[[PERIODO Imp.]:[PERIODO Imp.]],'Indirect Costs'!BR$8)</f>
        <v>0</v>
      </c>
      <c r="BS55" s="48">
        <f>SUMIFS(Imput[[Importe Neto]:[Importe Neto]],Imput[[C. Imp.]:[C. Imp.]],'Indirect Costs'!$C55,Imput[[PERIODO Imp.]:[PERIODO Imp.]],'Indirect Costs'!BS$8)</f>
        <v>0</v>
      </c>
      <c r="BT55" s="48">
        <f>SUMIFS(Imput[[Importe Neto]:[Importe Neto]],Imput[[C. Imp.]:[C. Imp.]],'Indirect Costs'!$C55,Imput[[PERIODO Imp.]:[PERIODO Imp.]],'Indirect Costs'!BT$8)</f>
        <v>0</v>
      </c>
      <c r="BU55" s="48">
        <f>SUMIFS(Imput[[Importe Neto]:[Importe Neto]],Imput[[C. Imp.]:[C. Imp.]],'Indirect Costs'!$C55,Imput[[PERIODO Imp.]:[PERIODO Imp.]],'Indirect Costs'!BU$8)</f>
        <v>0</v>
      </c>
      <c r="BV55" s="48">
        <f>SUMIFS(Imput[[Importe Neto]:[Importe Neto]],Imput[[C. Imp.]:[C. Imp.]],'Indirect Costs'!$C55,Imput[[PERIODO Imp.]:[PERIODO Imp.]],'Indirect Costs'!BV$8)</f>
        <v>0</v>
      </c>
      <c r="BW55" s="48">
        <f>SUMIFS(Imput[[Importe Neto]:[Importe Neto]],Imput[[C. Imp.]:[C. Imp.]],'Indirect Costs'!$C55,Imput[[PERIODO Imp.]:[PERIODO Imp.]],'Indirect Costs'!BW$8)</f>
        <v>0</v>
      </c>
      <c r="BX55" s="48">
        <f>SUMIFS(Imput[[Importe Neto]:[Importe Neto]],Imput[[C. Imp.]:[C. Imp.]],'Indirect Costs'!$C55,Imput[[PERIODO Imp.]:[PERIODO Imp.]],'Indirect Costs'!BX$8)</f>
        <v>0</v>
      </c>
      <c r="BY55" s="48">
        <f>SUMIFS(Imput[[Importe Neto]:[Importe Neto]],Imput[[C. Imp.]:[C. Imp.]],'Indirect Costs'!$C55,Imput[[PERIODO Imp.]:[PERIODO Imp.]],'Indirect Costs'!BY$8)</f>
        <v>0</v>
      </c>
      <c r="BZ55" s="48">
        <f>SUMIFS(Imput[[Importe Neto]:[Importe Neto]],Imput[[C. Imp.]:[C. Imp.]],'Indirect Costs'!$C55,Imput[[PERIODO Imp.]:[PERIODO Imp.]],'Indirect Costs'!BZ$8)</f>
        <v>0</v>
      </c>
      <c r="CA55" s="48">
        <f>SUMIFS(Imput[[Importe Neto]:[Importe Neto]],Imput[[C. Imp.]:[C. Imp.]],'Indirect Costs'!$C55,Imput[[PERIODO Imp.]:[PERIODO Imp.]],'Indirect Costs'!CA$8)</f>
        <v>0</v>
      </c>
      <c r="CB55" s="48">
        <f>SUMIFS(Imput[[Importe Neto]:[Importe Neto]],Imput[[C. Imp.]:[C. Imp.]],'Indirect Costs'!$C55,Imput[[PERIODO Imp.]:[PERIODO Imp.]],'Indirect Costs'!CB$8)</f>
        <v>0</v>
      </c>
      <c r="CC55" s="48">
        <f>SUMIFS(Imput[[Importe Neto]:[Importe Neto]],Imput[[C. Imp.]:[C. Imp.]],'Indirect Costs'!$C55,Imput[[PERIODO Imp.]:[PERIODO Imp.]],'Indirect Costs'!CC$8)</f>
        <v>0</v>
      </c>
      <c r="CD55" s="48">
        <f>SUMIFS(Imput[[Importe Neto]:[Importe Neto]],Imput[[C. Imp.]:[C. Imp.]],'Indirect Costs'!$C55,Imput[[PERIODO Imp.]:[PERIODO Imp.]],'Indirect Costs'!CD$8)</f>
        <v>0</v>
      </c>
      <c r="CE55" s="48">
        <f>SUMIFS(Imput[[Importe Neto]:[Importe Neto]],Imput[[C. Imp.]:[C. Imp.]],'Indirect Costs'!$C55,Imput[[PERIODO Imp.]:[PERIODO Imp.]],'Indirect Costs'!CE$8)</f>
        <v>0</v>
      </c>
      <c r="CF55" s="48">
        <f>SUMIFS(Imput[[Importe Neto]:[Importe Neto]],Imput[[C. Imp.]:[C. Imp.]],'Indirect Costs'!$C55,Imput[[PERIODO Imp.]:[PERIODO Imp.]],'Indirect Costs'!CF$8)</f>
        <v>0</v>
      </c>
      <c r="CG55" s="48">
        <f>SUMIFS(Imput[[Importe Neto]:[Importe Neto]],Imput[[C. Imp.]:[C. Imp.]],'Indirect Costs'!$C55,Imput[[PERIODO Imp.]:[PERIODO Imp.]],'Indirect Costs'!CG$8)</f>
        <v>0</v>
      </c>
      <c r="CH55" s="48">
        <f>SUMIFS(Imput[[Importe Neto]:[Importe Neto]],Imput[[C. Imp.]:[C. Imp.]],'Indirect Costs'!$C55,Imput[[PERIODO Imp.]:[PERIODO Imp.]],'Indirect Costs'!CH$8)</f>
        <v>0</v>
      </c>
      <c r="CI55" s="48">
        <f>SUMIFS(Imput[[Importe Neto]:[Importe Neto]],Imput[[C. Imp.]:[C. Imp.]],'Indirect Costs'!$C55,Imput[[PERIODO Imp.]:[PERIODO Imp.]],'Indirect Costs'!CI$8)</f>
        <v>0</v>
      </c>
      <c r="CJ55" s="48">
        <f>SUMIFS(Imput[[Importe Neto]:[Importe Neto]],Imput[[C. Imp.]:[C. Imp.]],'Indirect Costs'!$C55,Imput[[PERIODO Imp.]:[PERIODO Imp.]],'Indirect Costs'!CJ$8)</f>
        <v>0</v>
      </c>
      <c r="CK55" s="48">
        <f>SUMIFS(Imput[[Importe Neto]:[Importe Neto]],Imput[[C. Imp.]:[C. Imp.]],'Indirect Costs'!$C55,Imput[[PERIODO Imp.]:[PERIODO Imp.]],'Indirect Costs'!CK$8)</f>
        <v>0</v>
      </c>
      <c r="CL55" s="48">
        <f>SUMIFS(Imput[[Importe Neto]:[Importe Neto]],Imput[[C. Imp.]:[C. Imp.]],'Indirect Costs'!$C55,Imput[[PERIODO Imp.]:[PERIODO Imp.]],'Indirect Costs'!CL$8)</f>
        <v>0</v>
      </c>
      <c r="CM55" s="48">
        <f>SUMIFS(Imput[[Importe Neto]:[Importe Neto]],Imput[[C. Imp.]:[C. Imp.]],'Indirect Costs'!$C55,Imput[[PERIODO Imp.]:[PERIODO Imp.]],'Indirect Costs'!CM$8)</f>
        <v>0</v>
      </c>
      <c r="CN55" s="48">
        <f>SUMIFS(Imput[[Importe Neto]:[Importe Neto]],Imput[[C. Imp.]:[C. Imp.]],'Indirect Costs'!$C55,Imput[[PERIODO Imp.]:[PERIODO Imp.]],'Indirect Costs'!CN$8)</f>
        <v>0</v>
      </c>
      <c r="CO55" s="48">
        <f>SUMIFS(Imput[[Importe Neto]:[Importe Neto]],Imput[[C. Imp.]:[C. Imp.]],'Indirect Costs'!$C55,Imput[[PERIODO Imp.]:[PERIODO Imp.]],'Indirect Costs'!CO$8)</f>
        <v>0</v>
      </c>
      <c r="CP55" s="48">
        <f>SUMIFS(Imput[[Importe Neto]:[Importe Neto]],Imput[[C. Imp.]:[C. Imp.]],'Indirect Costs'!$C55,Imput[[PERIODO Imp.]:[PERIODO Imp.]],'Indirect Costs'!CP$8)</f>
        <v>0</v>
      </c>
      <c r="CQ55" s="48">
        <f>SUMIFS(Imput[[Importe Neto]:[Importe Neto]],Imput[[C. Imp.]:[C. Imp.]],'Indirect Costs'!$C55,Imput[[PERIODO Imp.]:[PERIODO Imp.]],'Indirect Costs'!CQ$8)</f>
        <v>0</v>
      </c>
      <c r="CR55" s="48">
        <f>SUMIFS(Imput[[Importe Neto]:[Importe Neto]],Imput[[C. Imp.]:[C. Imp.]],'Indirect Costs'!$C55,Imput[[PERIODO Imp.]:[PERIODO Imp.]],'Indirect Costs'!CR$8)</f>
        <v>0</v>
      </c>
      <c r="CS55" s="48">
        <f>SUMIFS(Imput[[Importe Neto]:[Importe Neto]],Imput[[C. Imp.]:[C. Imp.]],'Indirect Costs'!$C55,Imput[[PERIODO Imp.]:[PERIODO Imp.]],'Indirect Costs'!CS$8)</f>
        <v>0</v>
      </c>
      <c r="CT55" s="48">
        <f>SUMIFS(Imput[[Importe Neto]:[Importe Neto]],Imput[[C. Imp.]:[C. Imp.]],'Indirect Costs'!$C55,Imput[[PERIODO Imp.]:[PERIODO Imp.]],'Indirect Costs'!CT$8)</f>
        <v>0</v>
      </c>
      <c r="CU55" s="48">
        <f>SUMIFS(Imput[[Importe Neto]:[Importe Neto]],Imput[[C. Imp.]:[C. Imp.]],'Indirect Costs'!$C55,Imput[[PERIODO Imp.]:[PERIODO Imp.]],'Indirect Costs'!CU$8)</f>
        <v>0</v>
      </c>
      <c r="CV55" s="48">
        <f>SUMIFS(Imput[[Importe Neto]:[Importe Neto]],Imput[[C. Imp.]:[C. Imp.]],'Indirect Costs'!$C55,Imput[[PERIODO Imp.]:[PERIODO Imp.]],'Indirect Costs'!CV$8)</f>
        <v>0</v>
      </c>
      <c r="CW55" s="48">
        <f>SUMIFS(Imput[[Importe Neto]:[Importe Neto]],Imput[[C. Imp.]:[C. Imp.]],'Indirect Costs'!$C55,Imput[[PERIODO Imp.]:[PERIODO Imp.]],'Indirect Costs'!CW$8)</f>
        <v>0</v>
      </c>
      <c r="CX55" s="48">
        <f>SUMIFS(Imput[[Importe Neto]:[Importe Neto]],Imput[[C. Imp.]:[C. Imp.]],'Indirect Costs'!$C55,Imput[[PERIODO Imp.]:[PERIODO Imp.]],'Indirect Costs'!CX$8)</f>
        <v>0</v>
      </c>
      <c r="CY55" s="48">
        <f>SUMIFS(Imput[[Importe Neto]:[Importe Neto]],Imput[[C. Imp.]:[C. Imp.]],'Indirect Costs'!$C55,Imput[[PERIODO Imp.]:[PERIODO Imp.]],'Indirect Costs'!CY$8)</f>
        <v>0</v>
      </c>
      <c r="CZ55" s="48">
        <f>SUMIFS(Imput[[Importe Neto]:[Importe Neto]],Imput[[C. Imp.]:[C. Imp.]],'Indirect Costs'!$C55,Imput[[PERIODO Imp.]:[PERIODO Imp.]],'Indirect Costs'!CZ$8)</f>
        <v>0</v>
      </c>
      <c r="DA55" s="48">
        <f>SUMIFS(Imput[[Importe Neto]:[Importe Neto]],Imput[[C. Imp.]:[C. Imp.]],'Indirect Costs'!$C55,Imput[[PERIODO Imp.]:[PERIODO Imp.]],'Indirect Costs'!DA$8)</f>
        <v>0</v>
      </c>
      <c r="DB55" s="48">
        <f>SUMIFS(Imput[[Importe Neto]:[Importe Neto]],Imput[[C. Imp.]:[C. Imp.]],'Indirect Costs'!$C55,Imput[[PERIODO Imp.]:[PERIODO Imp.]],'Indirect Costs'!DB$8)</f>
        <v>0</v>
      </c>
      <c r="DC55" s="48">
        <f>SUMIFS(Imput[[Importe Neto]:[Importe Neto]],Imput[[C. Imp.]:[C. Imp.]],'Indirect Costs'!$C55,Imput[[PERIODO Imp.]:[PERIODO Imp.]],'Indirect Costs'!DC$8)</f>
        <v>0</v>
      </c>
      <c r="DD55" s="48">
        <f>SUMIFS(Imput[[Importe Neto]:[Importe Neto]],Imput[[C. Imp.]:[C. Imp.]],'Indirect Costs'!$C55,Imput[[PERIODO Imp.]:[PERIODO Imp.]],'Indirect Costs'!DD$8)</f>
        <v>0</v>
      </c>
      <c r="DE55" s="48">
        <f>SUMIFS(Imput[[Importe Neto]:[Importe Neto]],Imput[[C. Imp.]:[C. Imp.]],'Indirect Costs'!$C55,Imput[[PERIODO Imp.]:[PERIODO Imp.]],'Indirect Costs'!DE$8)</f>
        <v>0</v>
      </c>
      <c r="DF55" s="143">
        <f>SUMIFS(Imput[[Importe Neto]:[Importe Neto]],Imput[[C. Imp.]:[C. Imp.]],'Indirect Costs'!$C55,Imput[[PERIODO Imp.]:[PERIODO Imp.]],'Indirect Costs'!DF$8)</f>
        <v>0</v>
      </c>
    </row>
    <row r="56" spans="1:110" outlineLevel="1" x14ac:dyDescent="0.25">
      <c r="A56" s="28" t="str">
        <f t="shared" si="3"/>
        <v>Imprimir</v>
      </c>
      <c r="B56" s="50">
        <v>4</v>
      </c>
      <c r="C56" s="57" t="s">
        <v>1764</v>
      </c>
      <c r="D56" s="56" t="s">
        <v>2119</v>
      </c>
      <c r="E56" s="57" t="s">
        <v>2120</v>
      </c>
      <c r="F56" s="58">
        <v>40000</v>
      </c>
      <c r="G56" s="49">
        <v>1</v>
      </c>
      <c r="H56" s="51">
        <v>1</v>
      </c>
      <c r="I56" s="505">
        <f t="shared" si="7"/>
        <v>40000</v>
      </c>
      <c r="J56" s="47"/>
      <c r="K56" s="142"/>
      <c r="L56" s="48"/>
      <c r="M56" s="48"/>
      <c r="N56" s="48"/>
      <c r="O56" s="48"/>
      <c r="P56" s="48"/>
      <c r="Q56" s="48"/>
      <c r="R56" s="48">
        <v>1</v>
      </c>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143"/>
      <c r="BG56" s="47"/>
      <c r="BH56" s="509"/>
      <c r="BI56" s="505">
        <f t="shared" si="6"/>
        <v>0</v>
      </c>
      <c r="BJ56" s="47"/>
      <c r="BK56" s="142">
        <f>SUMIFS(Imput[[Importe Neto]:[Importe Neto]],Imput[[C. Imp.]:[C. Imp.]],'Indirect Costs'!$C56,Imput[[PERIODO Imp.]:[PERIODO Imp.]],'Indirect Costs'!BK$8)</f>
        <v>0</v>
      </c>
      <c r="BL56" s="48">
        <f>SUMIFS(Imput[[Importe Neto]:[Importe Neto]],Imput[[C. Imp.]:[C. Imp.]],'Indirect Costs'!$C56,Imput[[PERIODO Imp.]:[PERIODO Imp.]],'Indirect Costs'!BL$8)</f>
        <v>0</v>
      </c>
      <c r="BM56" s="48">
        <f>SUMIFS(Imput[[Importe Neto]:[Importe Neto]],Imput[[C. Imp.]:[C. Imp.]],'Indirect Costs'!$C56,Imput[[PERIODO Imp.]:[PERIODO Imp.]],'Indirect Costs'!BM$8)</f>
        <v>0</v>
      </c>
      <c r="BN56" s="48">
        <f>SUMIFS(Imput[[Importe Neto]:[Importe Neto]],Imput[[C. Imp.]:[C. Imp.]],'Indirect Costs'!$C56,Imput[[PERIODO Imp.]:[PERIODO Imp.]],'Indirect Costs'!BN$8)</f>
        <v>0</v>
      </c>
      <c r="BO56" s="48">
        <f>SUMIFS(Imput[[Importe Neto]:[Importe Neto]],Imput[[C. Imp.]:[C. Imp.]],'Indirect Costs'!$C56,Imput[[PERIODO Imp.]:[PERIODO Imp.]],'Indirect Costs'!BO$8)</f>
        <v>0</v>
      </c>
      <c r="BP56" s="48">
        <f>SUMIFS(Imput[[Importe Neto]:[Importe Neto]],Imput[[C. Imp.]:[C. Imp.]],'Indirect Costs'!$C56,Imput[[PERIODO Imp.]:[PERIODO Imp.]],'Indirect Costs'!BP$8)</f>
        <v>0</v>
      </c>
      <c r="BQ56" s="48">
        <f>SUMIFS(Imput[[Importe Neto]:[Importe Neto]],Imput[[C. Imp.]:[C. Imp.]],'Indirect Costs'!$C56,Imput[[PERIODO Imp.]:[PERIODO Imp.]],'Indirect Costs'!BQ$8)</f>
        <v>0</v>
      </c>
      <c r="BR56" s="48">
        <f>SUMIFS(Imput[[Importe Neto]:[Importe Neto]],Imput[[C. Imp.]:[C. Imp.]],'Indirect Costs'!$C56,Imput[[PERIODO Imp.]:[PERIODO Imp.]],'Indirect Costs'!BR$8)</f>
        <v>0</v>
      </c>
      <c r="BS56" s="48">
        <f>SUMIFS(Imput[[Importe Neto]:[Importe Neto]],Imput[[C. Imp.]:[C. Imp.]],'Indirect Costs'!$C56,Imput[[PERIODO Imp.]:[PERIODO Imp.]],'Indirect Costs'!BS$8)</f>
        <v>0</v>
      </c>
      <c r="BT56" s="48">
        <f>SUMIFS(Imput[[Importe Neto]:[Importe Neto]],Imput[[C. Imp.]:[C. Imp.]],'Indirect Costs'!$C56,Imput[[PERIODO Imp.]:[PERIODO Imp.]],'Indirect Costs'!BT$8)</f>
        <v>0</v>
      </c>
      <c r="BU56" s="48">
        <f>SUMIFS(Imput[[Importe Neto]:[Importe Neto]],Imput[[C. Imp.]:[C. Imp.]],'Indirect Costs'!$C56,Imput[[PERIODO Imp.]:[PERIODO Imp.]],'Indirect Costs'!BU$8)</f>
        <v>0</v>
      </c>
      <c r="BV56" s="48">
        <f>SUMIFS(Imput[[Importe Neto]:[Importe Neto]],Imput[[C. Imp.]:[C. Imp.]],'Indirect Costs'!$C56,Imput[[PERIODO Imp.]:[PERIODO Imp.]],'Indirect Costs'!BV$8)</f>
        <v>0</v>
      </c>
      <c r="BW56" s="48">
        <f>SUMIFS(Imput[[Importe Neto]:[Importe Neto]],Imput[[C. Imp.]:[C. Imp.]],'Indirect Costs'!$C56,Imput[[PERIODO Imp.]:[PERIODO Imp.]],'Indirect Costs'!BW$8)</f>
        <v>0</v>
      </c>
      <c r="BX56" s="48">
        <f>SUMIFS(Imput[[Importe Neto]:[Importe Neto]],Imput[[C. Imp.]:[C. Imp.]],'Indirect Costs'!$C56,Imput[[PERIODO Imp.]:[PERIODO Imp.]],'Indirect Costs'!BX$8)</f>
        <v>0</v>
      </c>
      <c r="BY56" s="48">
        <f>SUMIFS(Imput[[Importe Neto]:[Importe Neto]],Imput[[C. Imp.]:[C. Imp.]],'Indirect Costs'!$C56,Imput[[PERIODO Imp.]:[PERIODO Imp.]],'Indirect Costs'!BY$8)</f>
        <v>0</v>
      </c>
      <c r="BZ56" s="48">
        <f>SUMIFS(Imput[[Importe Neto]:[Importe Neto]],Imput[[C. Imp.]:[C. Imp.]],'Indirect Costs'!$C56,Imput[[PERIODO Imp.]:[PERIODO Imp.]],'Indirect Costs'!BZ$8)</f>
        <v>0</v>
      </c>
      <c r="CA56" s="48">
        <f>SUMIFS(Imput[[Importe Neto]:[Importe Neto]],Imput[[C. Imp.]:[C. Imp.]],'Indirect Costs'!$C56,Imput[[PERIODO Imp.]:[PERIODO Imp.]],'Indirect Costs'!CA$8)</f>
        <v>0</v>
      </c>
      <c r="CB56" s="48">
        <f>SUMIFS(Imput[[Importe Neto]:[Importe Neto]],Imput[[C. Imp.]:[C. Imp.]],'Indirect Costs'!$C56,Imput[[PERIODO Imp.]:[PERIODO Imp.]],'Indirect Costs'!CB$8)</f>
        <v>0</v>
      </c>
      <c r="CC56" s="48">
        <f>SUMIFS(Imput[[Importe Neto]:[Importe Neto]],Imput[[C. Imp.]:[C. Imp.]],'Indirect Costs'!$C56,Imput[[PERIODO Imp.]:[PERIODO Imp.]],'Indirect Costs'!CC$8)</f>
        <v>0</v>
      </c>
      <c r="CD56" s="48">
        <f>SUMIFS(Imput[[Importe Neto]:[Importe Neto]],Imput[[C. Imp.]:[C. Imp.]],'Indirect Costs'!$C56,Imput[[PERIODO Imp.]:[PERIODO Imp.]],'Indirect Costs'!CD$8)</f>
        <v>0</v>
      </c>
      <c r="CE56" s="48">
        <f>SUMIFS(Imput[[Importe Neto]:[Importe Neto]],Imput[[C. Imp.]:[C. Imp.]],'Indirect Costs'!$C56,Imput[[PERIODO Imp.]:[PERIODO Imp.]],'Indirect Costs'!CE$8)</f>
        <v>0</v>
      </c>
      <c r="CF56" s="48">
        <f>SUMIFS(Imput[[Importe Neto]:[Importe Neto]],Imput[[C. Imp.]:[C. Imp.]],'Indirect Costs'!$C56,Imput[[PERIODO Imp.]:[PERIODO Imp.]],'Indirect Costs'!CF$8)</f>
        <v>0</v>
      </c>
      <c r="CG56" s="48">
        <f>SUMIFS(Imput[[Importe Neto]:[Importe Neto]],Imput[[C. Imp.]:[C. Imp.]],'Indirect Costs'!$C56,Imput[[PERIODO Imp.]:[PERIODO Imp.]],'Indirect Costs'!CG$8)</f>
        <v>0</v>
      </c>
      <c r="CH56" s="48">
        <f>SUMIFS(Imput[[Importe Neto]:[Importe Neto]],Imput[[C. Imp.]:[C. Imp.]],'Indirect Costs'!$C56,Imput[[PERIODO Imp.]:[PERIODO Imp.]],'Indirect Costs'!CH$8)</f>
        <v>0</v>
      </c>
      <c r="CI56" s="48">
        <f>SUMIFS(Imput[[Importe Neto]:[Importe Neto]],Imput[[C. Imp.]:[C. Imp.]],'Indirect Costs'!$C56,Imput[[PERIODO Imp.]:[PERIODO Imp.]],'Indirect Costs'!CI$8)</f>
        <v>0</v>
      </c>
      <c r="CJ56" s="48">
        <f>SUMIFS(Imput[[Importe Neto]:[Importe Neto]],Imput[[C. Imp.]:[C. Imp.]],'Indirect Costs'!$C56,Imput[[PERIODO Imp.]:[PERIODO Imp.]],'Indirect Costs'!CJ$8)</f>
        <v>0</v>
      </c>
      <c r="CK56" s="48">
        <f>SUMIFS(Imput[[Importe Neto]:[Importe Neto]],Imput[[C. Imp.]:[C. Imp.]],'Indirect Costs'!$C56,Imput[[PERIODO Imp.]:[PERIODO Imp.]],'Indirect Costs'!CK$8)</f>
        <v>0</v>
      </c>
      <c r="CL56" s="48">
        <f>SUMIFS(Imput[[Importe Neto]:[Importe Neto]],Imput[[C. Imp.]:[C. Imp.]],'Indirect Costs'!$C56,Imput[[PERIODO Imp.]:[PERIODO Imp.]],'Indirect Costs'!CL$8)</f>
        <v>0</v>
      </c>
      <c r="CM56" s="48">
        <f>SUMIFS(Imput[[Importe Neto]:[Importe Neto]],Imput[[C. Imp.]:[C. Imp.]],'Indirect Costs'!$C56,Imput[[PERIODO Imp.]:[PERIODO Imp.]],'Indirect Costs'!CM$8)</f>
        <v>0</v>
      </c>
      <c r="CN56" s="48">
        <f>SUMIFS(Imput[[Importe Neto]:[Importe Neto]],Imput[[C. Imp.]:[C. Imp.]],'Indirect Costs'!$C56,Imput[[PERIODO Imp.]:[PERIODO Imp.]],'Indirect Costs'!CN$8)</f>
        <v>0</v>
      </c>
      <c r="CO56" s="48">
        <f>SUMIFS(Imput[[Importe Neto]:[Importe Neto]],Imput[[C. Imp.]:[C. Imp.]],'Indirect Costs'!$C56,Imput[[PERIODO Imp.]:[PERIODO Imp.]],'Indirect Costs'!CO$8)</f>
        <v>0</v>
      </c>
      <c r="CP56" s="48">
        <f>SUMIFS(Imput[[Importe Neto]:[Importe Neto]],Imput[[C. Imp.]:[C. Imp.]],'Indirect Costs'!$C56,Imput[[PERIODO Imp.]:[PERIODO Imp.]],'Indirect Costs'!CP$8)</f>
        <v>0</v>
      </c>
      <c r="CQ56" s="48">
        <f>SUMIFS(Imput[[Importe Neto]:[Importe Neto]],Imput[[C. Imp.]:[C. Imp.]],'Indirect Costs'!$C56,Imput[[PERIODO Imp.]:[PERIODO Imp.]],'Indirect Costs'!CQ$8)</f>
        <v>0</v>
      </c>
      <c r="CR56" s="48">
        <f>SUMIFS(Imput[[Importe Neto]:[Importe Neto]],Imput[[C. Imp.]:[C. Imp.]],'Indirect Costs'!$C56,Imput[[PERIODO Imp.]:[PERIODO Imp.]],'Indirect Costs'!CR$8)</f>
        <v>0</v>
      </c>
      <c r="CS56" s="48">
        <f>SUMIFS(Imput[[Importe Neto]:[Importe Neto]],Imput[[C. Imp.]:[C. Imp.]],'Indirect Costs'!$C56,Imput[[PERIODO Imp.]:[PERIODO Imp.]],'Indirect Costs'!CS$8)</f>
        <v>0</v>
      </c>
      <c r="CT56" s="48">
        <f>SUMIFS(Imput[[Importe Neto]:[Importe Neto]],Imput[[C. Imp.]:[C. Imp.]],'Indirect Costs'!$C56,Imput[[PERIODO Imp.]:[PERIODO Imp.]],'Indirect Costs'!CT$8)</f>
        <v>0</v>
      </c>
      <c r="CU56" s="48">
        <f>SUMIFS(Imput[[Importe Neto]:[Importe Neto]],Imput[[C. Imp.]:[C. Imp.]],'Indirect Costs'!$C56,Imput[[PERIODO Imp.]:[PERIODO Imp.]],'Indirect Costs'!CU$8)</f>
        <v>0</v>
      </c>
      <c r="CV56" s="48">
        <f>SUMIFS(Imput[[Importe Neto]:[Importe Neto]],Imput[[C. Imp.]:[C. Imp.]],'Indirect Costs'!$C56,Imput[[PERIODO Imp.]:[PERIODO Imp.]],'Indirect Costs'!CV$8)</f>
        <v>0</v>
      </c>
      <c r="CW56" s="48">
        <f>SUMIFS(Imput[[Importe Neto]:[Importe Neto]],Imput[[C. Imp.]:[C. Imp.]],'Indirect Costs'!$C56,Imput[[PERIODO Imp.]:[PERIODO Imp.]],'Indirect Costs'!CW$8)</f>
        <v>0</v>
      </c>
      <c r="CX56" s="48">
        <f>SUMIFS(Imput[[Importe Neto]:[Importe Neto]],Imput[[C. Imp.]:[C. Imp.]],'Indirect Costs'!$C56,Imput[[PERIODO Imp.]:[PERIODO Imp.]],'Indirect Costs'!CX$8)</f>
        <v>0</v>
      </c>
      <c r="CY56" s="48">
        <f>SUMIFS(Imput[[Importe Neto]:[Importe Neto]],Imput[[C. Imp.]:[C. Imp.]],'Indirect Costs'!$C56,Imput[[PERIODO Imp.]:[PERIODO Imp.]],'Indirect Costs'!CY$8)</f>
        <v>0</v>
      </c>
      <c r="CZ56" s="48">
        <f>SUMIFS(Imput[[Importe Neto]:[Importe Neto]],Imput[[C. Imp.]:[C. Imp.]],'Indirect Costs'!$C56,Imput[[PERIODO Imp.]:[PERIODO Imp.]],'Indirect Costs'!CZ$8)</f>
        <v>0</v>
      </c>
      <c r="DA56" s="48">
        <f>SUMIFS(Imput[[Importe Neto]:[Importe Neto]],Imput[[C. Imp.]:[C. Imp.]],'Indirect Costs'!$C56,Imput[[PERIODO Imp.]:[PERIODO Imp.]],'Indirect Costs'!DA$8)</f>
        <v>0</v>
      </c>
      <c r="DB56" s="48">
        <f>SUMIFS(Imput[[Importe Neto]:[Importe Neto]],Imput[[C. Imp.]:[C. Imp.]],'Indirect Costs'!$C56,Imput[[PERIODO Imp.]:[PERIODO Imp.]],'Indirect Costs'!DB$8)</f>
        <v>0</v>
      </c>
      <c r="DC56" s="48">
        <f>SUMIFS(Imput[[Importe Neto]:[Importe Neto]],Imput[[C. Imp.]:[C. Imp.]],'Indirect Costs'!$C56,Imput[[PERIODO Imp.]:[PERIODO Imp.]],'Indirect Costs'!DC$8)</f>
        <v>0</v>
      </c>
      <c r="DD56" s="48">
        <f>SUMIFS(Imput[[Importe Neto]:[Importe Neto]],Imput[[C. Imp.]:[C. Imp.]],'Indirect Costs'!$C56,Imput[[PERIODO Imp.]:[PERIODO Imp.]],'Indirect Costs'!DD$8)</f>
        <v>0</v>
      </c>
      <c r="DE56" s="48">
        <f>SUMIFS(Imput[[Importe Neto]:[Importe Neto]],Imput[[C. Imp.]:[C. Imp.]],'Indirect Costs'!$C56,Imput[[PERIODO Imp.]:[PERIODO Imp.]],'Indirect Costs'!DE$8)</f>
        <v>0</v>
      </c>
      <c r="DF56" s="143">
        <f>SUMIFS(Imput[[Importe Neto]:[Importe Neto]],Imput[[C. Imp.]:[C. Imp.]],'Indirect Costs'!$C56,Imput[[PERIODO Imp.]:[PERIODO Imp.]],'Indirect Costs'!DF$8)</f>
        <v>0</v>
      </c>
    </row>
    <row r="57" spans="1:110" outlineLevel="1" x14ac:dyDescent="0.25">
      <c r="A57" s="28" t="str">
        <f t="shared" si="3"/>
        <v>Imprimir</v>
      </c>
      <c r="B57" s="50">
        <v>5</v>
      </c>
      <c r="C57" s="57" t="s">
        <v>1765</v>
      </c>
      <c r="D57" s="56" t="s">
        <v>2121</v>
      </c>
      <c r="E57" s="56" t="s">
        <v>2121</v>
      </c>
      <c r="F57" s="58">
        <v>15000</v>
      </c>
      <c r="G57" s="49">
        <v>1</v>
      </c>
      <c r="H57" s="51">
        <v>1</v>
      </c>
      <c r="I57" s="505">
        <f t="shared" si="7"/>
        <v>15000</v>
      </c>
      <c r="J57" s="47"/>
      <c r="K57" s="142"/>
      <c r="L57" s="48"/>
      <c r="M57" s="48"/>
      <c r="N57" s="48"/>
      <c r="O57" s="48"/>
      <c r="P57" s="48"/>
      <c r="Q57" s="48"/>
      <c r="R57" s="48">
        <v>1</v>
      </c>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143"/>
      <c r="BG57" s="47"/>
      <c r="BH57" s="509"/>
      <c r="BI57" s="505">
        <f t="shared" si="6"/>
        <v>12312</v>
      </c>
      <c r="BJ57" s="47"/>
      <c r="BK57" s="142">
        <f>SUMIFS(Imput[[Importe Neto]:[Importe Neto]],Imput[[C. Imp.]:[C. Imp.]],'Indirect Costs'!$C57,Imput[[PERIODO Imp.]:[PERIODO Imp.]],'Indirect Costs'!BK$8)</f>
        <v>0</v>
      </c>
      <c r="BL57" s="48">
        <f>SUMIFS(Imput[[Importe Neto]:[Importe Neto]],Imput[[C. Imp.]:[C. Imp.]],'Indirect Costs'!$C57,Imput[[PERIODO Imp.]:[PERIODO Imp.]],'Indirect Costs'!BL$8)</f>
        <v>0</v>
      </c>
      <c r="BM57" s="48">
        <f>SUMIFS(Imput[[Importe Neto]:[Importe Neto]],Imput[[C. Imp.]:[C. Imp.]],'Indirect Costs'!$C57,Imput[[PERIODO Imp.]:[PERIODO Imp.]],'Indirect Costs'!BM$8)</f>
        <v>0</v>
      </c>
      <c r="BN57" s="48">
        <f>SUMIFS(Imput[[Importe Neto]:[Importe Neto]],Imput[[C. Imp.]:[C. Imp.]],'Indirect Costs'!$C57,Imput[[PERIODO Imp.]:[PERIODO Imp.]],'Indirect Costs'!BN$8)</f>
        <v>0</v>
      </c>
      <c r="BO57" s="48">
        <f>SUMIFS(Imput[[Importe Neto]:[Importe Neto]],Imput[[C. Imp.]:[C. Imp.]],'Indirect Costs'!$C57,Imput[[PERIODO Imp.]:[PERIODO Imp.]],'Indirect Costs'!BO$8)</f>
        <v>12312</v>
      </c>
      <c r="BP57" s="48">
        <f>SUMIFS(Imput[[Importe Neto]:[Importe Neto]],Imput[[C. Imp.]:[C. Imp.]],'Indirect Costs'!$C57,Imput[[PERIODO Imp.]:[PERIODO Imp.]],'Indirect Costs'!BP$8)</f>
        <v>0</v>
      </c>
      <c r="BQ57" s="48">
        <f>SUMIFS(Imput[[Importe Neto]:[Importe Neto]],Imput[[C. Imp.]:[C. Imp.]],'Indirect Costs'!$C57,Imput[[PERIODO Imp.]:[PERIODO Imp.]],'Indirect Costs'!BQ$8)</f>
        <v>0</v>
      </c>
      <c r="BR57" s="48">
        <f>SUMIFS(Imput[[Importe Neto]:[Importe Neto]],Imput[[C. Imp.]:[C. Imp.]],'Indirect Costs'!$C57,Imput[[PERIODO Imp.]:[PERIODO Imp.]],'Indirect Costs'!BR$8)</f>
        <v>0</v>
      </c>
      <c r="BS57" s="48">
        <f>SUMIFS(Imput[[Importe Neto]:[Importe Neto]],Imput[[C. Imp.]:[C. Imp.]],'Indirect Costs'!$C57,Imput[[PERIODO Imp.]:[PERIODO Imp.]],'Indirect Costs'!BS$8)</f>
        <v>0</v>
      </c>
      <c r="BT57" s="48">
        <f>SUMIFS(Imput[[Importe Neto]:[Importe Neto]],Imput[[C. Imp.]:[C. Imp.]],'Indirect Costs'!$C57,Imput[[PERIODO Imp.]:[PERIODO Imp.]],'Indirect Costs'!BT$8)</f>
        <v>0</v>
      </c>
      <c r="BU57" s="48">
        <f>SUMIFS(Imput[[Importe Neto]:[Importe Neto]],Imput[[C. Imp.]:[C. Imp.]],'Indirect Costs'!$C57,Imput[[PERIODO Imp.]:[PERIODO Imp.]],'Indirect Costs'!BU$8)</f>
        <v>0</v>
      </c>
      <c r="BV57" s="48">
        <f>SUMIFS(Imput[[Importe Neto]:[Importe Neto]],Imput[[C. Imp.]:[C. Imp.]],'Indirect Costs'!$C57,Imput[[PERIODO Imp.]:[PERIODO Imp.]],'Indirect Costs'!BV$8)</f>
        <v>0</v>
      </c>
      <c r="BW57" s="48">
        <f>SUMIFS(Imput[[Importe Neto]:[Importe Neto]],Imput[[C. Imp.]:[C. Imp.]],'Indirect Costs'!$C57,Imput[[PERIODO Imp.]:[PERIODO Imp.]],'Indirect Costs'!BW$8)</f>
        <v>0</v>
      </c>
      <c r="BX57" s="48">
        <f>SUMIFS(Imput[[Importe Neto]:[Importe Neto]],Imput[[C. Imp.]:[C. Imp.]],'Indirect Costs'!$C57,Imput[[PERIODO Imp.]:[PERIODO Imp.]],'Indirect Costs'!BX$8)</f>
        <v>0</v>
      </c>
      <c r="BY57" s="48">
        <f>SUMIFS(Imput[[Importe Neto]:[Importe Neto]],Imput[[C. Imp.]:[C. Imp.]],'Indirect Costs'!$C57,Imput[[PERIODO Imp.]:[PERIODO Imp.]],'Indirect Costs'!BY$8)</f>
        <v>0</v>
      </c>
      <c r="BZ57" s="48">
        <f>SUMIFS(Imput[[Importe Neto]:[Importe Neto]],Imput[[C. Imp.]:[C. Imp.]],'Indirect Costs'!$C57,Imput[[PERIODO Imp.]:[PERIODO Imp.]],'Indirect Costs'!BZ$8)</f>
        <v>0</v>
      </c>
      <c r="CA57" s="48">
        <f>SUMIFS(Imput[[Importe Neto]:[Importe Neto]],Imput[[C. Imp.]:[C. Imp.]],'Indirect Costs'!$C57,Imput[[PERIODO Imp.]:[PERIODO Imp.]],'Indirect Costs'!CA$8)</f>
        <v>0</v>
      </c>
      <c r="CB57" s="48">
        <f>SUMIFS(Imput[[Importe Neto]:[Importe Neto]],Imput[[C. Imp.]:[C. Imp.]],'Indirect Costs'!$C57,Imput[[PERIODO Imp.]:[PERIODO Imp.]],'Indirect Costs'!CB$8)</f>
        <v>0</v>
      </c>
      <c r="CC57" s="48">
        <f>SUMIFS(Imput[[Importe Neto]:[Importe Neto]],Imput[[C. Imp.]:[C. Imp.]],'Indirect Costs'!$C57,Imput[[PERIODO Imp.]:[PERIODO Imp.]],'Indirect Costs'!CC$8)</f>
        <v>0</v>
      </c>
      <c r="CD57" s="48">
        <f>SUMIFS(Imput[[Importe Neto]:[Importe Neto]],Imput[[C. Imp.]:[C. Imp.]],'Indirect Costs'!$C57,Imput[[PERIODO Imp.]:[PERIODO Imp.]],'Indirect Costs'!CD$8)</f>
        <v>0</v>
      </c>
      <c r="CE57" s="48">
        <f>SUMIFS(Imput[[Importe Neto]:[Importe Neto]],Imput[[C. Imp.]:[C. Imp.]],'Indirect Costs'!$C57,Imput[[PERIODO Imp.]:[PERIODO Imp.]],'Indirect Costs'!CE$8)</f>
        <v>0</v>
      </c>
      <c r="CF57" s="48">
        <f>SUMIFS(Imput[[Importe Neto]:[Importe Neto]],Imput[[C. Imp.]:[C. Imp.]],'Indirect Costs'!$C57,Imput[[PERIODO Imp.]:[PERIODO Imp.]],'Indirect Costs'!CF$8)</f>
        <v>0</v>
      </c>
      <c r="CG57" s="48">
        <f>SUMIFS(Imput[[Importe Neto]:[Importe Neto]],Imput[[C. Imp.]:[C. Imp.]],'Indirect Costs'!$C57,Imput[[PERIODO Imp.]:[PERIODO Imp.]],'Indirect Costs'!CG$8)</f>
        <v>0</v>
      </c>
      <c r="CH57" s="48">
        <f>SUMIFS(Imput[[Importe Neto]:[Importe Neto]],Imput[[C. Imp.]:[C. Imp.]],'Indirect Costs'!$C57,Imput[[PERIODO Imp.]:[PERIODO Imp.]],'Indirect Costs'!CH$8)</f>
        <v>0</v>
      </c>
      <c r="CI57" s="48">
        <f>SUMIFS(Imput[[Importe Neto]:[Importe Neto]],Imput[[C. Imp.]:[C. Imp.]],'Indirect Costs'!$C57,Imput[[PERIODO Imp.]:[PERIODO Imp.]],'Indirect Costs'!CI$8)</f>
        <v>0</v>
      </c>
      <c r="CJ57" s="48">
        <f>SUMIFS(Imput[[Importe Neto]:[Importe Neto]],Imput[[C. Imp.]:[C. Imp.]],'Indirect Costs'!$C57,Imput[[PERIODO Imp.]:[PERIODO Imp.]],'Indirect Costs'!CJ$8)</f>
        <v>0</v>
      </c>
      <c r="CK57" s="48">
        <f>SUMIFS(Imput[[Importe Neto]:[Importe Neto]],Imput[[C. Imp.]:[C. Imp.]],'Indirect Costs'!$C57,Imput[[PERIODO Imp.]:[PERIODO Imp.]],'Indirect Costs'!CK$8)</f>
        <v>0</v>
      </c>
      <c r="CL57" s="48">
        <f>SUMIFS(Imput[[Importe Neto]:[Importe Neto]],Imput[[C. Imp.]:[C. Imp.]],'Indirect Costs'!$C57,Imput[[PERIODO Imp.]:[PERIODO Imp.]],'Indirect Costs'!CL$8)</f>
        <v>0</v>
      </c>
      <c r="CM57" s="48">
        <f>SUMIFS(Imput[[Importe Neto]:[Importe Neto]],Imput[[C. Imp.]:[C. Imp.]],'Indirect Costs'!$C57,Imput[[PERIODO Imp.]:[PERIODO Imp.]],'Indirect Costs'!CM$8)</f>
        <v>0</v>
      </c>
      <c r="CN57" s="48">
        <f>SUMIFS(Imput[[Importe Neto]:[Importe Neto]],Imput[[C. Imp.]:[C. Imp.]],'Indirect Costs'!$C57,Imput[[PERIODO Imp.]:[PERIODO Imp.]],'Indirect Costs'!CN$8)</f>
        <v>0</v>
      </c>
      <c r="CO57" s="48">
        <f>SUMIFS(Imput[[Importe Neto]:[Importe Neto]],Imput[[C. Imp.]:[C. Imp.]],'Indirect Costs'!$C57,Imput[[PERIODO Imp.]:[PERIODO Imp.]],'Indirect Costs'!CO$8)</f>
        <v>0</v>
      </c>
      <c r="CP57" s="48">
        <f>SUMIFS(Imput[[Importe Neto]:[Importe Neto]],Imput[[C. Imp.]:[C. Imp.]],'Indirect Costs'!$C57,Imput[[PERIODO Imp.]:[PERIODO Imp.]],'Indirect Costs'!CP$8)</f>
        <v>0</v>
      </c>
      <c r="CQ57" s="48">
        <f>SUMIFS(Imput[[Importe Neto]:[Importe Neto]],Imput[[C. Imp.]:[C. Imp.]],'Indirect Costs'!$C57,Imput[[PERIODO Imp.]:[PERIODO Imp.]],'Indirect Costs'!CQ$8)</f>
        <v>0</v>
      </c>
      <c r="CR57" s="48">
        <f>SUMIFS(Imput[[Importe Neto]:[Importe Neto]],Imput[[C. Imp.]:[C. Imp.]],'Indirect Costs'!$C57,Imput[[PERIODO Imp.]:[PERIODO Imp.]],'Indirect Costs'!CR$8)</f>
        <v>0</v>
      </c>
      <c r="CS57" s="48">
        <f>SUMIFS(Imput[[Importe Neto]:[Importe Neto]],Imput[[C. Imp.]:[C. Imp.]],'Indirect Costs'!$C57,Imput[[PERIODO Imp.]:[PERIODO Imp.]],'Indirect Costs'!CS$8)</f>
        <v>0</v>
      </c>
      <c r="CT57" s="48">
        <f>SUMIFS(Imput[[Importe Neto]:[Importe Neto]],Imput[[C. Imp.]:[C. Imp.]],'Indirect Costs'!$C57,Imput[[PERIODO Imp.]:[PERIODO Imp.]],'Indirect Costs'!CT$8)</f>
        <v>0</v>
      </c>
      <c r="CU57" s="48">
        <f>SUMIFS(Imput[[Importe Neto]:[Importe Neto]],Imput[[C. Imp.]:[C. Imp.]],'Indirect Costs'!$C57,Imput[[PERIODO Imp.]:[PERIODO Imp.]],'Indirect Costs'!CU$8)</f>
        <v>0</v>
      </c>
      <c r="CV57" s="48">
        <f>SUMIFS(Imput[[Importe Neto]:[Importe Neto]],Imput[[C. Imp.]:[C. Imp.]],'Indirect Costs'!$C57,Imput[[PERIODO Imp.]:[PERIODO Imp.]],'Indirect Costs'!CV$8)</f>
        <v>0</v>
      </c>
      <c r="CW57" s="48">
        <f>SUMIFS(Imput[[Importe Neto]:[Importe Neto]],Imput[[C. Imp.]:[C. Imp.]],'Indirect Costs'!$C57,Imput[[PERIODO Imp.]:[PERIODO Imp.]],'Indirect Costs'!CW$8)</f>
        <v>0</v>
      </c>
      <c r="CX57" s="48">
        <f>SUMIFS(Imput[[Importe Neto]:[Importe Neto]],Imput[[C. Imp.]:[C. Imp.]],'Indirect Costs'!$C57,Imput[[PERIODO Imp.]:[PERIODO Imp.]],'Indirect Costs'!CX$8)</f>
        <v>0</v>
      </c>
      <c r="CY57" s="48">
        <f>SUMIFS(Imput[[Importe Neto]:[Importe Neto]],Imput[[C. Imp.]:[C. Imp.]],'Indirect Costs'!$C57,Imput[[PERIODO Imp.]:[PERIODO Imp.]],'Indirect Costs'!CY$8)</f>
        <v>0</v>
      </c>
      <c r="CZ57" s="48">
        <f>SUMIFS(Imput[[Importe Neto]:[Importe Neto]],Imput[[C. Imp.]:[C. Imp.]],'Indirect Costs'!$C57,Imput[[PERIODO Imp.]:[PERIODO Imp.]],'Indirect Costs'!CZ$8)</f>
        <v>0</v>
      </c>
      <c r="DA57" s="48">
        <f>SUMIFS(Imput[[Importe Neto]:[Importe Neto]],Imput[[C. Imp.]:[C. Imp.]],'Indirect Costs'!$C57,Imput[[PERIODO Imp.]:[PERIODO Imp.]],'Indirect Costs'!DA$8)</f>
        <v>0</v>
      </c>
      <c r="DB57" s="48">
        <f>SUMIFS(Imput[[Importe Neto]:[Importe Neto]],Imput[[C. Imp.]:[C. Imp.]],'Indirect Costs'!$C57,Imput[[PERIODO Imp.]:[PERIODO Imp.]],'Indirect Costs'!DB$8)</f>
        <v>0</v>
      </c>
      <c r="DC57" s="48">
        <f>SUMIFS(Imput[[Importe Neto]:[Importe Neto]],Imput[[C. Imp.]:[C. Imp.]],'Indirect Costs'!$C57,Imput[[PERIODO Imp.]:[PERIODO Imp.]],'Indirect Costs'!DC$8)</f>
        <v>0</v>
      </c>
      <c r="DD57" s="48">
        <f>SUMIFS(Imput[[Importe Neto]:[Importe Neto]],Imput[[C. Imp.]:[C. Imp.]],'Indirect Costs'!$C57,Imput[[PERIODO Imp.]:[PERIODO Imp.]],'Indirect Costs'!DD$8)</f>
        <v>0</v>
      </c>
      <c r="DE57" s="48">
        <f>SUMIFS(Imput[[Importe Neto]:[Importe Neto]],Imput[[C. Imp.]:[C. Imp.]],'Indirect Costs'!$C57,Imput[[PERIODO Imp.]:[PERIODO Imp.]],'Indirect Costs'!DE$8)</f>
        <v>0</v>
      </c>
      <c r="DF57" s="143">
        <f>SUMIFS(Imput[[Importe Neto]:[Importe Neto]],Imput[[C. Imp.]:[C. Imp.]],'Indirect Costs'!$C57,Imput[[PERIODO Imp.]:[PERIODO Imp.]],'Indirect Costs'!DF$8)</f>
        <v>0</v>
      </c>
    </row>
    <row r="58" spans="1:110" outlineLevel="1" x14ac:dyDescent="0.25">
      <c r="A58" s="28" t="str">
        <f t="shared" si="3"/>
        <v>Imprimir</v>
      </c>
      <c r="B58" s="50">
        <v>6</v>
      </c>
      <c r="C58" s="57" t="s">
        <v>1766</v>
      </c>
      <c r="D58" s="56" t="s">
        <v>570</v>
      </c>
      <c r="E58" s="57" t="s">
        <v>570</v>
      </c>
      <c r="F58" s="58">
        <v>25250</v>
      </c>
      <c r="G58" s="49">
        <v>1</v>
      </c>
      <c r="H58" s="51">
        <v>1</v>
      </c>
      <c r="I58" s="505">
        <f t="shared" si="7"/>
        <v>25250</v>
      </c>
      <c r="J58" s="47"/>
      <c r="K58" s="142"/>
      <c r="L58" s="48"/>
      <c r="M58" s="48"/>
      <c r="N58" s="48"/>
      <c r="O58" s="48"/>
      <c r="P58" s="48"/>
      <c r="Q58" s="48"/>
      <c r="R58" s="48">
        <v>1</v>
      </c>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143"/>
      <c r="BG58" s="47"/>
      <c r="BH58" s="509"/>
      <c r="BI58" s="505">
        <f t="shared" si="6"/>
        <v>0</v>
      </c>
      <c r="BJ58" s="47"/>
      <c r="BK58" s="142">
        <f>SUMIFS(Imput[[Importe Neto]:[Importe Neto]],Imput[[C. Imp.]:[C. Imp.]],'Indirect Costs'!$C58,Imput[[PERIODO Imp.]:[PERIODO Imp.]],'Indirect Costs'!BK$8)</f>
        <v>0</v>
      </c>
      <c r="BL58" s="48">
        <f>SUMIFS(Imput[[Importe Neto]:[Importe Neto]],Imput[[C. Imp.]:[C. Imp.]],'Indirect Costs'!$C58,Imput[[PERIODO Imp.]:[PERIODO Imp.]],'Indirect Costs'!BL$8)</f>
        <v>0</v>
      </c>
      <c r="BM58" s="48">
        <f>SUMIFS(Imput[[Importe Neto]:[Importe Neto]],Imput[[C. Imp.]:[C. Imp.]],'Indirect Costs'!$C58,Imput[[PERIODO Imp.]:[PERIODO Imp.]],'Indirect Costs'!BM$8)</f>
        <v>0</v>
      </c>
      <c r="BN58" s="48">
        <f>SUMIFS(Imput[[Importe Neto]:[Importe Neto]],Imput[[C. Imp.]:[C. Imp.]],'Indirect Costs'!$C58,Imput[[PERIODO Imp.]:[PERIODO Imp.]],'Indirect Costs'!BN$8)</f>
        <v>0</v>
      </c>
      <c r="BO58" s="48">
        <f>SUMIFS(Imput[[Importe Neto]:[Importe Neto]],Imput[[C. Imp.]:[C. Imp.]],'Indirect Costs'!$C58,Imput[[PERIODO Imp.]:[PERIODO Imp.]],'Indirect Costs'!BO$8)</f>
        <v>0</v>
      </c>
      <c r="BP58" s="48">
        <f>SUMIFS(Imput[[Importe Neto]:[Importe Neto]],Imput[[C. Imp.]:[C. Imp.]],'Indirect Costs'!$C58,Imput[[PERIODO Imp.]:[PERIODO Imp.]],'Indirect Costs'!BP$8)</f>
        <v>0</v>
      </c>
      <c r="BQ58" s="48">
        <f>SUMIFS(Imput[[Importe Neto]:[Importe Neto]],Imput[[C. Imp.]:[C. Imp.]],'Indirect Costs'!$C58,Imput[[PERIODO Imp.]:[PERIODO Imp.]],'Indirect Costs'!BQ$8)</f>
        <v>0</v>
      </c>
      <c r="BR58" s="48">
        <f>SUMIFS(Imput[[Importe Neto]:[Importe Neto]],Imput[[C. Imp.]:[C. Imp.]],'Indirect Costs'!$C58,Imput[[PERIODO Imp.]:[PERIODO Imp.]],'Indirect Costs'!BR$8)</f>
        <v>0</v>
      </c>
      <c r="BS58" s="48">
        <f>SUMIFS(Imput[[Importe Neto]:[Importe Neto]],Imput[[C. Imp.]:[C. Imp.]],'Indirect Costs'!$C58,Imput[[PERIODO Imp.]:[PERIODO Imp.]],'Indirect Costs'!BS$8)</f>
        <v>0</v>
      </c>
      <c r="BT58" s="48">
        <f>SUMIFS(Imput[[Importe Neto]:[Importe Neto]],Imput[[C. Imp.]:[C. Imp.]],'Indirect Costs'!$C58,Imput[[PERIODO Imp.]:[PERIODO Imp.]],'Indirect Costs'!BT$8)</f>
        <v>0</v>
      </c>
      <c r="BU58" s="48">
        <f>SUMIFS(Imput[[Importe Neto]:[Importe Neto]],Imput[[C. Imp.]:[C. Imp.]],'Indirect Costs'!$C58,Imput[[PERIODO Imp.]:[PERIODO Imp.]],'Indirect Costs'!BU$8)</f>
        <v>0</v>
      </c>
      <c r="BV58" s="48">
        <f>SUMIFS(Imput[[Importe Neto]:[Importe Neto]],Imput[[C. Imp.]:[C. Imp.]],'Indirect Costs'!$C58,Imput[[PERIODO Imp.]:[PERIODO Imp.]],'Indirect Costs'!BV$8)</f>
        <v>0</v>
      </c>
      <c r="BW58" s="48">
        <f>SUMIFS(Imput[[Importe Neto]:[Importe Neto]],Imput[[C. Imp.]:[C. Imp.]],'Indirect Costs'!$C58,Imput[[PERIODO Imp.]:[PERIODO Imp.]],'Indirect Costs'!BW$8)</f>
        <v>0</v>
      </c>
      <c r="BX58" s="48">
        <f>SUMIFS(Imput[[Importe Neto]:[Importe Neto]],Imput[[C. Imp.]:[C. Imp.]],'Indirect Costs'!$C58,Imput[[PERIODO Imp.]:[PERIODO Imp.]],'Indirect Costs'!BX$8)</f>
        <v>0</v>
      </c>
      <c r="BY58" s="48">
        <f>SUMIFS(Imput[[Importe Neto]:[Importe Neto]],Imput[[C. Imp.]:[C. Imp.]],'Indirect Costs'!$C58,Imput[[PERIODO Imp.]:[PERIODO Imp.]],'Indirect Costs'!BY$8)</f>
        <v>0</v>
      </c>
      <c r="BZ58" s="48">
        <f>SUMIFS(Imput[[Importe Neto]:[Importe Neto]],Imput[[C. Imp.]:[C. Imp.]],'Indirect Costs'!$C58,Imput[[PERIODO Imp.]:[PERIODO Imp.]],'Indirect Costs'!BZ$8)</f>
        <v>0</v>
      </c>
      <c r="CA58" s="48">
        <f>SUMIFS(Imput[[Importe Neto]:[Importe Neto]],Imput[[C. Imp.]:[C. Imp.]],'Indirect Costs'!$C58,Imput[[PERIODO Imp.]:[PERIODO Imp.]],'Indirect Costs'!CA$8)</f>
        <v>0</v>
      </c>
      <c r="CB58" s="48">
        <f>SUMIFS(Imput[[Importe Neto]:[Importe Neto]],Imput[[C. Imp.]:[C. Imp.]],'Indirect Costs'!$C58,Imput[[PERIODO Imp.]:[PERIODO Imp.]],'Indirect Costs'!CB$8)</f>
        <v>0</v>
      </c>
      <c r="CC58" s="48">
        <f>SUMIFS(Imput[[Importe Neto]:[Importe Neto]],Imput[[C. Imp.]:[C. Imp.]],'Indirect Costs'!$C58,Imput[[PERIODO Imp.]:[PERIODO Imp.]],'Indirect Costs'!CC$8)</f>
        <v>0</v>
      </c>
      <c r="CD58" s="48">
        <f>SUMIFS(Imput[[Importe Neto]:[Importe Neto]],Imput[[C. Imp.]:[C. Imp.]],'Indirect Costs'!$C58,Imput[[PERIODO Imp.]:[PERIODO Imp.]],'Indirect Costs'!CD$8)</f>
        <v>0</v>
      </c>
      <c r="CE58" s="48">
        <f>SUMIFS(Imput[[Importe Neto]:[Importe Neto]],Imput[[C. Imp.]:[C. Imp.]],'Indirect Costs'!$C58,Imput[[PERIODO Imp.]:[PERIODO Imp.]],'Indirect Costs'!CE$8)</f>
        <v>0</v>
      </c>
      <c r="CF58" s="48">
        <f>SUMIFS(Imput[[Importe Neto]:[Importe Neto]],Imput[[C. Imp.]:[C. Imp.]],'Indirect Costs'!$C58,Imput[[PERIODO Imp.]:[PERIODO Imp.]],'Indirect Costs'!CF$8)</f>
        <v>0</v>
      </c>
      <c r="CG58" s="48">
        <f>SUMIFS(Imput[[Importe Neto]:[Importe Neto]],Imput[[C. Imp.]:[C. Imp.]],'Indirect Costs'!$C58,Imput[[PERIODO Imp.]:[PERIODO Imp.]],'Indirect Costs'!CG$8)</f>
        <v>0</v>
      </c>
      <c r="CH58" s="48">
        <f>SUMIFS(Imput[[Importe Neto]:[Importe Neto]],Imput[[C. Imp.]:[C. Imp.]],'Indirect Costs'!$C58,Imput[[PERIODO Imp.]:[PERIODO Imp.]],'Indirect Costs'!CH$8)</f>
        <v>0</v>
      </c>
      <c r="CI58" s="48">
        <f>SUMIFS(Imput[[Importe Neto]:[Importe Neto]],Imput[[C. Imp.]:[C. Imp.]],'Indirect Costs'!$C58,Imput[[PERIODO Imp.]:[PERIODO Imp.]],'Indirect Costs'!CI$8)</f>
        <v>0</v>
      </c>
      <c r="CJ58" s="48">
        <f>SUMIFS(Imput[[Importe Neto]:[Importe Neto]],Imput[[C. Imp.]:[C. Imp.]],'Indirect Costs'!$C58,Imput[[PERIODO Imp.]:[PERIODO Imp.]],'Indirect Costs'!CJ$8)</f>
        <v>0</v>
      </c>
      <c r="CK58" s="48">
        <f>SUMIFS(Imput[[Importe Neto]:[Importe Neto]],Imput[[C. Imp.]:[C. Imp.]],'Indirect Costs'!$C58,Imput[[PERIODO Imp.]:[PERIODO Imp.]],'Indirect Costs'!CK$8)</f>
        <v>0</v>
      </c>
      <c r="CL58" s="48">
        <f>SUMIFS(Imput[[Importe Neto]:[Importe Neto]],Imput[[C. Imp.]:[C. Imp.]],'Indirect Costs'!$C58,Imput[[PERIODO Imp.]:[PERIODO Imp.]],'Indirect Costs'!CL$8)</f>
        <v>0</v>
      </c>
      <c r="CM58" s="48">
        <f>SUMIFS(Imput[[Importe Neto]:[Importe Neto]],Imput[[C. Imp.]:[C. Imp.]],'Indirect Costs'!$C58,Imput[[PERIODO Imp.]:[PERIODO Imp.]],'Indirect Costs'!CM$8)</f>
        <v>0</v>
      </c>
      <c r="CN58" s="48">
        <f>SUMIFS(Imput[[Importe Neto]:[Importe Neto]],Imput[[C. Imp.]:[C. Imp.]],'Indirect Costs'!$C58,Imput[[PERIODO Imp.]:[PERIODO Imp.]],'Indirect Costs'!CN$8)</f>
        <v>0</v>
      </c>
      <c r="CO58" s="48">
        <f>SUMIFS(Imput[[Importe Neto]:[Importe Neto]],Imput[[C. Imp.]:[C. Imp.]],'Indirect Costs'!$C58,Imput[[PERIODO Imp.]:[PERIODO Imp.]],'Indirect Costs'!CO$8)</f>
        <v>0</v>
      </c>
      <c r="CP58" s="48">
        <f>SUMIFS(Imput[[Importe Neto]:[Importe Neto]],Imput[[C. Imp.]:[C. Imp.]],'Indirect Costs'!$C58,Imput[[PERIODO Imp.]:[PERIODO Imp.]],'Indirect Costs'!CP$8)</f>
        <v>0</v>
      </c>
      <c r="CQ58" s="48">
        <f>SUMIFS(Imput[[Importe Neto]:[Importe Neto]],Imput[[C. Imp.]:[C. Imp.]],'Indirect Costs'!$C58,Imput[[PERIODO Imp.]:[PERIODO Imp.]],'Indirect Costs'!CQ$8)</f>
        <v>0</v>
      </c>
      <c r="CR58" s="48">
        <f>SUMIFS(Imput[[Importe Neto]:[Importe Neto]],Imput[[C. Imp.]:[C. Imp.]],'Indirect Costs'!$C58,Imput[[PERIODO Imp.]:[PERIODO Imp.]],'Indirect Costs'!CR$8)</f>
        <v>0</v>
      </c>
      <c r="CS58" s="48">
        <f>SUMIFS(Imput[[Importe Neto]:[Importe Neto]],Imput[[C. Imp.]:[C. Imp.]],'Indirect Costs'!$C58,Imput[[PERIODO Imp.]:[PERIODO Imp.]],'Indirect Costs'!CS$8)</f>
        <v>0</v>
      </c>
      <c r="CT58" s="48">
        <f>SUMIFS(Imput[[Importe Neto]:[Importe Neto]],Imput[[C. Imp.]:[C. Imp.]],'Indirect Costs'!$C58,Imput[[PERIODO Imp.]:[PERIODO Imp.]],'Indirect Costs'!CT$8)</f>
        <v>0</v>
      </c>
      <c r="CU58" s="48">
        <f>SUMIFS(Imput[[Importe Neto]:[Importe Neto]],Imput[[C. Imp.]:[C. Imp.]],'Indirect Costs'!$C58,Imput[[PERIODO Imp.]:[PERIODO Imp.]],'Indirect Costs'!CU$8)</f>
        <v>0</v>
      </c>
      <c r="CV58" s="48">
        <f>SUMIFS(Imput[[Importe Neto]:[Importe Neto]],Imput[[C. Imp.]:[C. Imp.]],'Indirect Costs'!$C58,Imput[[PERIODO Imp.]:[PERIODO Imp.]],'Indirect Costs'!CV$8)</f>
        <v>0</v>
      </c>
      <c r="CW58" s="48">
        <f>SUMIFS(Imput[[Importe Neto]:[Importe Neto]],Imput[[C. Imp.]:[C. Imp.]],'Indirect Costs'!$C58,Imput[[PERIODO Imp.]:[PERIODO Imp.]],'Indirect Costs'!CW$8)</f>
        <v>0</v>
      </c>
      <c r="CX58" s="48">
        <f>SUMIFS(Imput[[Importe Neto]:[Importe Neto]],Imput[[C. Imp.]:[C. Imp.]],'Indirect Costs'!$C58,Imput[[PERIODO Imp.]:[PERIODO Imp.]],'Indirect Costs'!CX$8)</f>
        <v>0</v>
      </c>
      <c r="CY58" s="48">
        <f>SUMIFS(Imput[[Importe Neto]:[Importe Neto]],Imput[[C. Imp.]:[C. Imp.]],'Indirect Costs'!$C58,Imput[[PERIODO Imp.]:[PERIODO Imp.]],'Indirect Costs'!CY$8)</f>
        <v>0</v>
      </c>
      <c r="CZ58" s="48">
        <f>SUMIFS(Imput[[Importe Neto]:[Importe Neto]],Imput[[C. Imp.]:[C. Imp.]],'Indirect Costs'!$C58,Imput[[PERIODO Imp.]:[PERIODO Imp.]],'Indirect Costs'!CZ$8)</f>
        <v>0</v>
      </c>
      <c r="DA58" s="48">
        <f>SUMIFS(Imput[[Importe Neto]:[Importe Neto]],Imput[[C. Imp.]:[C. Imp.]],'Indirect Costs'!$C58,Imput[[PERIODO Imp.]:[PERIODO Imp.]],'Indirect Costs'!DA$8)</f>
        <v>0</v>
      </c>
      <c r="DB58" s="48">
        <f>SUMIFS(Imput[[Importe Neto]:[Importe Neto]],Imput[[C. Imp.]:[C. Imp.]],'Indirect Costs'!$C58,Imput[[PERIODO Imp.]:[PERIODO Imp.]],'Indirect Costs'!DB$8)</f>
        <v>0</v>
      </c>
      <c r="DC58" s="48">
        <f>SUMIFS(Imput[[Importe Neto]:[Importe Neto]],Imput[[C. Imp.]:[C. Imp.]],'Indirect Costs'!$C58,Imput[[PERIODO Imp.]:[PERIODO Imp.]],'Indirect Costs'!DC$8)</f>
        <v>0</v>
      </c>
      <c r="DD58" s="48">
        <f>SUMIFS(Imput[[Importe Neto]:[Importe Neto]],Imput[[C. Imp.]:[C. Imp.]],'Indirect Costs'!$C58,Imput[[PERIODO Imp.]:[PERIODO Imp.]],'Indirect Costs'!DD$8)</f>
        <v>0</v>
      </c>
      <c r="DE58" s="48">
        <f>SUMIFS(Imput[[Importe Neto]:[Importe Neto]],Imput[[C. Imp.]:[C. Imp.]],'Indirect Costs'!$C58,Imput[[PERIODO Imp.]:[PERIODO Imp.]],'Indirect Costs'!DE$8)</f>
        <v>0</v>
      </c>
      <c r="DF58" s="143">
        <f>SUMIFS(Imput[[Importe Neto]:[Importe Neto]],Imput[[C. Imp.]:[C. Imp.]],'Indirect Costs'!$C58,Imput[[PERIODO Imp.]:[PERIODO Imp.]],'Indirect Costs'!DF$8)</f>
        <v>0</v>
      </c>
    </row>
    <row r="59" spans="1:110" outlineLevel="1" x14ac:dyDescent="0.25">
      <c r="A59" s="28" t="str">
        <f t="shared" si="3"/>
        <v>Imprimir</v>
      </c>
      <c r="B59" s="50">
        <v>7</v>
      </c>
      <c r="C59" s="57" t="s">
        <v>1767</v>
      </c>
      <c r="D59" s="56" t="s">
        <v>571</v>
      </c>
      <c r="E59" s="57" t="s">
        <v>571</v>
      </c>
      <c r="F59" s="58">
        <v>40000</v>
      </c>
      <c r="G59" s="49">
        <v>1</v>
      </c>
      <c r="H59" s="51">
        <v>1</v>
      </c>
      <c r="I59" s="505">
        <v>60000</v>
      </c>
      <c r="J59" s="47"/>
      <c r="K59" s="142">
        <v>0.16666666666666666</v>
      </c>
      <c r="L59" s="48">
        <v>0.16666666666666666</v>
      </c>
      <c r="M59" s="48">
        <v>0.16666666666666666</v>
      </c>
      <c r="N59" s="48">
        <v>0.16666666666666666</v>
      </c>
      <c r="O59" s="48">
        <v>0.16666666666666666</v>
      </c>
      <c r="P59" s="48">
        <v>0.16666666666666666</v>
      </c>
      <c r="Q59" s="48"/>
      <c r="R59" s="48">
        <v>1</v>
      </c>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143"/>
      <c r="BG59" s="47"/>
      <c r="BH59" s="509"/>
      <c r="BI59" s="505">
        <f t="shared" si="6"/>
        <v>322924.19177211903</v>
      </c>
      <c r="BJ59" s="47"/>
      <c r="BK59" s="142">
        <f>SUMIFS(Imput[[Importe Neto]:[Importe Neto]],Imput[[C. Imp.]:[C. Imp.]],'Indirect Costs'!$C59,Imput[[PERIODO Imp.]:[PERIODO Imp.]],'Indirect Costs'!BK$8)</f>
        <v>0</v>
      </c>
      <c r="BL59" s="48">
        <f>SUMIFS(Imput[[Importe Neto]:[Importe Neto]],Imput[[C. Imp.]:[C. Imp.]],'Indirect Costs'!$C59,Imput[[PERIODO Imp.]:[PERIODO Imp.]],'Indirect Costs'!BL$8)</f>
        <v>3124.405309657925</v>
      </c>
      <c r="BM59" s="48">
        <f>SUMIFS(Imput[[Importe Neto]:[Importe Neto]],Imput[[C. Imp.]:[C. Imp.]],'Indirect Costs'!$C59,Imput[[PERIODO Imp.]:[PERIODO Imp.]],'Indirect Costs'!BM$8)</f>
        <v>3204.2574342119997</v>
      </c>
      <c r="BN59" s="48">
        <f>SUMIFS(Imput[[Importe Neto]:[Importe Neto]],Imput[[C. Imp.]:[C. Imp.]],'Indirect Costs'!$C59,Imput[[PERIODO Imp.]:[PERIODO Imp.]],'Indirect Costs'!BN$8)</f>
        <v>27531.122952048536</v>
      </c>
      <c r="BO59" s="48">
        <f>SUMIFS(Imput[[Importe Neto]:[Importe Neto]],Imput[[C. Imp.]:[C. Imp.]],'Indirect Costs'!$C59,Imput[[PERIODO Imp.]:[PERIODO Imp.]],'Indirect Costs'!BO$8)</f>
        <v>59850.376386724922</v>
      </c>
      <c r="BP59" s="48">
        <f>SUMIFS(Imput[[Importe Neto]:[Importe Neto]],Imput[[C. Imp.]:[C. Imp.]],'Indirect Costs'!$C59,Imput[[PERIODO Imp.]:[PERIODO Imp.]],'Indirect Costs'!BP$8)</f>
        <v>11532.275134922347</v>
      </c>
      <c r="BQ59" s="48">
        <f>SUMIFS(Imput[[Importe Neto]:[Importe Neto]],Imput[[C. Imp.]:[C. Imp.]],'Indirect Costs'!$C59,Imput[[PERIODO Imp.]:[PERIODO Imp.]],'Indirect Costs'!BQ$8)</f>
        <v>20089.988734289007</v>
      </c>
      <c r="BR59" s="48">
        <f>SUMIFS(Imput[[Importe Neto]:[Importe Neto]],Imput[[C. Imp.]:[C. Imp.]],'Indirect Costs'!$C59,Imput[[PERIODO Imp.]:[PERIODO Imp.]],'Indirect Costs'!BR$8)</f>
        <v>11749.49780870659</v>
      </c>
      <c r="BS59" s="48">
        <f>SUMIFS(Imput[[Importe Neto]:[Importe Neto]],Imput[[C. Imp.]:[C. Imp.]],'Indirect Costs'!$C59,Imput[[PERIODO Imp.]:[PERIODO Imp.]],'Indirect Costs'!BS$8)</f>
        <v>4622.4867303759993</v>
      </c>
      <c r="BT59" s="48">
        <f>SUMIFS(Imput[[Importe Neto]:[Importe Neto]],Imput[[C. Imp.]:[C. Imp.]],'Indirect Costs'!$C59,Imput[[PERIODO Imp.]:[PERIODO Imp.]],'Indirect Costs'!BT$8)</f>
        <v>24343.018145837999</v>
      </c>
      <c r="BU59" s="48">
        <f>SUMIFS(Imput[[Importe Neto]:[Importe Neto]],Imput[[C. Imp.]:[C. Imp.]],'Indirect Costs'!$C59,Imput[[PERIODO Imp.]:[PERIODO Imp.]],'Indirect Costs'!BU$8)</f>
        <v>21834.757287585035</v>
      </c>
      <c r="BV59" s="48">
        <f>SUMIFS(Imput[[Importe Neto]:[Importe Neto]],Imput[[C. Imp.]:[C. Imp.]],'Indirect Costs'!$C59,Imput[[PERIODO Imp.]:[PERIODO Imp.]],'Indirect Costs'!BV$8)</f>
        <v>46766.157675953844</v>
      </c>
      <c r="BW59" s="48">
        <f>SUMIFS(Imput[[Importe Neto]:[Importe Neto]],Imput[[C. Imp.]:[C. Imp.]],'Indirect Costs'!$C59,Imput[[PERIODO Imp.]:[PERIODO Imp.]],'Indirect Costs'!BW$8)</f>
        <v>1696.0012862347958</v>
      </c>
      <c r="BX59" s="48">
        <f>SUMIFS(Imput[[Importe Neto]:[Importe Neto]],Imput[[C. Imp.]:[C. Imp.]],'Indirect Costs'!$C59,Imput[[PERIODO Imp.]:[PERIODO Imp.]],'Indirect Costs'!BX$8)</f>
        <v>1568.8201707200001</v>
      </c>
      <c r="BY59" s="48">
        <f>SUMIFS(Imput[[Importe Neto]:[Importe Neto]],Imput[[C. Imp.]:[C. Imp.]],'Indirect Costs'!$C59,Imput[[PERIODO Imp.]:[PERIODO Imp.]],'Indirect Costs'!BY$8)</f>
        <v>81038.978276583832</v>
      </c>
      <c r="BZ59" s="48">
        <f>SUMIFS(Imput[[Importe Neto]:[Importe Neto]],Imput[[C. Imp.]:[C. Imp.]],'Indirect Costs'!$C59,Imput[[PERIODO Imp.]:[PERIODO Imp.]],'Indirect Costs'!BZ$8)</f>
        <v>730.85132341613223</v>
      </c>
      <c r="CA59" s="48">
        <f>SUMIFS(Imput[[Importe Neto]:[Importe Neto]],Imput[[C. Imp.]:[C. Imp.]],'Indirect Costs'!$C59,Imput[[PERIODO Imp.]:[PERIODO Imp.]],'Indirect Costs'!CA$8)</f>
        <v>3241.1971148501307</v>
      </c>
      <c r="CB59" s="48">
        <f>SUMIFS(Imput[[Importe Neto]:[Importe Neto]],Imput[[C. Imp.]:[C. Imp.]],'Indirect Costs'!$C59,Imput[[PERIODO Imp.]:[PERIODO Imp.]],'Indirect Costs'!CB$8)</f>
        <v>0</v>
      </c>
      <c r="CC59" s="48">
        <f>SUMIFS(Imput[[Importe Neto]:[Importe Neto]],Imput[[C. Imp.]:[C. Imp.]],'Indirect Costs'!$C59,Imput[[PERIODO Imp.]:[PERIODO Imp.]],'Indirect Costs'!CC$8)</f>
        <v>0</v>
      </c>
      <c r="CD59" s="48">
        <f>SUMIFS(Imput[[Importe Neto]:[Importe Neto]],Imput[[C. Imp.]:[C. Imp.]],'Indirect Costs'!$C59,Imput[[PERIODO Imp.]:[PERIODO Imp.]],'Indirect Costs'!CD$8)</f>
        <v>0</v>
      </c>
      <c r="CE59" s="48">
        <f>SUMIFS(Imput[[Importe Neto]:[Importe Neto]],Imput[[C. Imp.]:[C. Imp.]],'Indirect Costs'!$C59,Imput[[PERIODO Imp.]:[PERIODO Imp.]],'Indirect Costs'!CE$8)</f>
        <v>0</v>
      </c>
      <c r="CF59" s="48">
        <f>SUMIFS(Imput[[Importe Neto]:[Importe Neto]],Imput[[C. Imp.]:[C. Imp.]],'Indirect Costs'!$C59,Imput[[PERIODO Imp.]:[PERIODO Imp.]],'Indirect Costs'!CF$8)</f>
        <v>0</v>
      </c>
      <c r="CG59" s="48">
        <f>SUMIFS(Imput[[Importe Neto]:[Importe Neto]],Imput[[C. Imp.]:[C. Imp.]],'Indirect Costs'!$C59,Imput[[PERIODO Imp.]:[PERIODO Imp.]],'Indirect Costs'!CG$8)</f>
        <v>0</v>
      </c>
      <c r="CH59" s="48">
        <f>SUMIFS(Imput[[Importe Neto]:[Importe Neto]],Imput[[C. Imp.]:[C. Imp.]],'Indirect Costs'!$C59,Imput[[PERIODO Imp.]:[PERIODO Imp.]],'Indirect Costs'!CH$8)</f>
        <v>0</v>
      </c>
      <c r="CI59" s="48">
        <f>SUMIFS(Imput[[Importe Neto]:[Importe Neto]],Imput[[C. Imp.]:[C. Imp.]],'Indirect Costs'!$C59,Imput[[PERIODO Imp.]:[PERIODO Imp.]],'Indirect Costs'!CI$8)</f>
        <v>0</v>
      </c>
      <c r="CJ59" s="48">
        <f>SUMIFS(Imput[[Importe Neto]:[Importe Neto]],Imput[[C. Imp.]:[C. Imp.]],'Indirect Costs'!$C59,Imput[[PERIODO Imp.]:[PERIODO Imp.]],'Indirect Costs'!CJ$8)</f>
        <v>0</v>
      </c>
      <c r="CK59" s="48">
        <f>SUMIFS(Imput[[Importe Neto]:[Importe Neto]],Imput[[C. Imp.]:[C. Imp.]],'Indirect Costs'!$C59,Imput[[PERIODO Imp.]:[PERIODO Imp.]],'Indirect Costs'!CK$8)</f>
        <v>0</v>
      </c>
      <c r="CL59" s="48">
        <f>SUMIFS(Imput[[Importe Neto]:[Importe Neto]],Imput[[C. Imp.]:[C. Imp.]],'Indirect Costs'!$C59,Imput[[PERIODO Imp.]:[PERIODO Imp.]],'Indirect Costs'!CL$8)</f>
        <v>0</v>
      </c>
      <c r="CM59" s="48">
        <f>SUMIFS(Imput[[Importe Neto]:[Importe Neto]],Imput[[C. Imp.]:[C. Imp.]],'Indirect Costs'!$C59,Imput[[PERIODO Imp.]:[PERIODO Imp.]],'Indirect Costs'!CM$8)</f>
        <v>0</v>
      </c>
      <c r="CN59" s="48">
        <f>SUMIFS(Imput[[Importe Neto]:[Importe Neto]],Imput[[C. Imp.]:[C. Imp.]],'Indirect Costs'!$C59,Imput[[PERIODO Imp.]:[PERIODO Imp.]],'Indirect Costs'!CN$8)</f>
        <v>0</v>
      </c>
      <c r="CO59" s="48">
        <f>SUMIFS(Imput[[Importe Neto]:[Importe Neto]],Imput[[C. Imp.]:[C. Imp.]],'Indirect Costs'!$C59,Imput[[PERIODO Imp.]:[PERIODO Imp.]],'Indirect Costs'!CO$8)</f>
        <v>0</v>
      </c>
      <c r="CP59" s="48">
        <f>SUMIFS(Imput[[Importe Neto]:[Importe Neto]],Imput[[C. Imp.]:[C. Imp.]],'Indirect Costs'!$C59,Imput[[PERIODO Imp.]:[PERIODO Imp.]],'Indirect Costs'!CP$8)</f>
        <v>0</v>
      </c>
      <c r="CQ59" s="48">
        <f>SUMIFS(Imput[[Importe Neto]:[Importe Neto]],Imput[[C. Imp.]:[C. Imp.]],'Indirect Costs'!$C59,Imput[[PERIODO Imp.]:[PERIODO Imp.]],'Indirect Costs'!CQ$8)</f>
        <v>0</v>
      </c>
      <c r="CR59" s="48">
        <f>SUMIFS(Imput[[Importe Neto]:[Importe Neto]],Imput[[C. Imp.]:[C. Imp.]],'Indirect Costs'!$C59,Imput[[PERIODO Imp.]:[PERIODO Imp.]],'Indirect Costs'!CR$8)</f>
        <v>0</v>
      </c>
      <c r="CS59" s="48">
        <f>SUMIFS(Imput[[Importe Neto]:[Importe Neto]],Imput[[C. Imp.]:[C. Imp.]],'Indirect Costs'!$C59,Imput[[PERIODO Imp.]:[PERIODO Imp.]],'Indirect Costs'!CS$8)</f>
        <v>0</v>
      </c>
      <c r="CT59" s="48">
        <f>SUMIFS(Imput[[Importe Neto]:[Importe Neto]],Imput[[C. Imp.]:[C. Imp.]],'Indirect Costs'!$C59,Imput[[PERIODO Imp.]:[PERIODO Imp.]],'Indirect Costs'!CT$8)</f>
        <v>0</v>
      </c>
      <c r="CU59" s="48">
        <f>SUMIFS(Imput[[Importe Neto]:[Importe Neto]],Imput[[C. Imp.]:[C. Imp.]],'Indirect Costs'!$C59,Imput[[PERIODO Imp.]:[PERIODO Imp.]],'Indirect Costs'!CU$8)</f>
        <v>0</v>
      </c>
      <c r="CV59" s="48">
        <f>SUMIFS(Imput[[Importe Neto]:[Importe Neto]],Imput[[C. Imp.]:[C. Imp.]],'Indirect Costs'!$C59,Imput[[PERIODO Imp.]:[PERIODO Imp.]],'Indirect Costs'!CV$8)</f>
        <v>0</v>
      </c>
      <c r="CW59" s="48">
        <f>SUMIFS(Imput[[Importe Neto]:[Importe Neto]],Imput[[C. Imp.]:[C. Imp.]],'Indirect Costs'!$C59,Imput[[PERIODO Imp.]:[PERIODO Imp.]],'Indirect Costs'!CW$8)</f>
        <v>0</v>
      </c>
      <c r="CX59" s="48">
        <f>SUMIFS(Imput[[Importe Neto]:[Importe Neto]],Imput[[C. Imp.]:[C. Imp.]],'Indirect Costs'!$C59,Imput[[PERIODO Imp.]:[PERIODO Imp.]],'Indirect Costs'!CX$8)</f>
        <v>0</v>
      </c>
      <c r="CY59" s="48">
        <f>SUMIFS(Imput[[Importe Neto]:[Importe Neto]],Imput[[C. Imp.]:[C. Imp.]],'Indirect Costs'!$C59,Imput[[PERIODO Imp.]:[PERIODO Imp.]],'Indirect Costs'!CY$8)</f>
        <v>0</v>
      </c>
      <c r="CZ59" s="48">
        <f>SUMIFS(Imput[[Importe Neto]:[Importe Neto]],Imput[[C. Imp.]:[C. Imp.]],'Indirect Costs'!$C59,Imput[[PERIODO Imp.]:[PERIODO Imp.]],'Indirect Costs'!CZ$8)</f>
        <v>0</v>
      </c>
      <c r="DA59" s="48">
        <f>SUMIFS(Imput[[Importe Neto]:[Importe Neto]],Imput[[C. Imp.]:[C. Imp.]],'Indirect Costs'!$C59,Imput[[PERIODO Imp.]:[PERIODO Imp.]],'Indirect Costs'!DA$8)</f>
        <v>0</v>
      </c>
      <c r="DB59" s="48">
        <f>SUMIFS(Imput[[Importe Neto]:[Importe Neto]],Imput[[C. Imp.]:[C. Imp.]],'Indirect Costs'!$C59,Imput[[PERIODO Imp.]:[PERIODO Imp.]],'Indirect Costs'!DB$8)</f>
        <v>0</v>
      </c>
      <c r="DC59" s="48">
        <f>SUMIFS(Imput[[Importe Neto]:[Importe Neto]],Imput[[C. Imp.]:[C. Imp.]],'Indirect Costs'!$C59,Imput[[PERIODO Imp.]:[PERIODO Imp.]],'Indirect Costs'!DC$8)</f>
        <v>0</v>
      </c>
      <c r="DD59" s="48">
        <f>SUMIFS(Imput[[Importe Neto]:[Importe Neto]],Imput[[C. Imp.]:[C. Imp.]],'Indirect Costs'!$C59,Imput[[PERIODO Imp.]:[PERIODO Imp.]],'Indirect Costs'!DD$8)</f>
        <v>0</v>
      </c>
      <c r="DE59" s="48">
        <f>SUMIFS(Imput[[Importe Neto]:[Importe Neto]],Imput[[C. Imp.]:[C. Imp.]],'Indirect Costs'!$C59,Imput[[PERIODO Imp.]:[PERIODO Imp.]],'Indirect Costs'!DE$8)</f>
        <v>0</v>
      </c>
      <c r="DF59" s="143">
        <f>SUMIFS(Imput[[Importe Neto]:[Importe Neto]],Imput[[C. Imp.]:[C. Imp.]],'Indirect Costs'!$C59,Imput[[PERIODO Imp.]:[PERIODO Imp.]],'Indirect Costs'!DF$8)</f>
        <v>0</v>
      </c>
    </row>
    <row r="60" spans="1:110" outlineLevel="1" x14ac:dyDescent="0.25">
      <c r="A60" s="28" t="str">
        <f t="shared" si="3"/>
        <v>Imprimir</v>
      </c>
      <c r="B60" s="50">
        <v>8</v>
      </c>
      <c r="C60" s="57" t="s">
        <v>1768</v>
      </c>
      <c r="D60" s="56" t="s">
        <v>572</v>
      </c>
      <c r="E60" s="57" t="s">
        <v>572</v>
      </c>
      <c r="F60" s="58">
        <v>1000</v>
      </c>
      <c r="G60" s="49">
        <v>1</v>
      </c>
      <c r="H60" s="51">
        <v>1</v>
      </c>
      <c r="I60" s="505">
        <f t="shared" si="7"/>
        <v>1000</v>
      </c>
      <c r="J60" s="47"/>
      <c r="K60" s="142">
        <v>0.16666666666666666</v>
      </c>
      <c r="L60" s="48">
        <v>0.16666666666666666</v>
      </c>
      <c r="M60" s="48">
        <v>0.16666666666666666</v>
      </c>
      <c r="N60" s="48">
        <v>0.16666666666666666</v>
      </c>
      <c r="O60" s="48">
        <v>0.16666666666666666</v>
      </c>
      <c r="P60" s="48">
        <v>0.16666666666666666</v>
      </c>
      <c r="Q60" s="48"/>
      <c r="R60" s="48">
        <v>1</v>
      </c>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143"/>
      <c r="BG60" s="47"/>
      <c r="BH60" s="509"/>
      <c r="BI60" s="505">
        <f t="shared" si="6"/>
        <v>1148.9974</v>
      </c>
      <c r="BJ60" s="47"/>
      <c r="BK60" s="142">
        <f>SUMIFS(Imput[[Importe Neto]:[Importe Neto]],Imput[[C. Imp.]:[C. Imp.]],'Indirect Costs'!$C60,Imput[[PERIODO Imp.]:[PERIODO Imp.]],'Indirect Costs'!BK$8)</f>
        <v>0</v>
      </c>
      <c r="BL60" s="48">
        <f>SUMIFS(Imput[[Importe Neto]:[Importe Neto]],Imput[[C. Imp.]:[C. Imp.]],'Indirect Costs'!$C60,Imput[[PERIODO Imp.]:[PERIODO Imp.]],'Indirect Costs'!BL$8)</f>
        <v>149.99960000000002</v>
      </c>
      <c r="BM60" s="48">
        <f>SUMIFS(Imput[[Importe Neto]:[Importe Neto]],Imput[[C. Imp.]:[C. Imp.]],'Indirect Costs'!$C60,Imput[[PERIODO Imp.]:[PERIODO Imp.]],'Indirect Costs'!BM$8)</f>
        <v>0</v>
      </c>
      <c r="BN60" s="48">
        <f>SUMIFS(Imput[[Importe Neto]:[Importe Neto]],Imput[[C. Imp.]:[C. Imp.]],'Indirect Costs'!$C60,Imput[[PERIODO Imp.]:[PERIODO Imp.]],'Indirect Costs'!BN$8)</f>
        <v>0</v>
      </c>
      <c r="BO60" s="48">
        <f>SUMIFS(Imput[[Importe Neto]:[Importe Neto]],Imput[[C. Imp.]:[C. Imp.]],'Indirect Costs'!$C60,Imput[[PERIODO Imp.]:[PERIODO Imp.]],'Indirect Costs'!BO$8)</f>
        <v>0</v>
      </c>
      <c r="BP60" s="48">
        <f>SUMIFS(Imput[[Importe Neto]:[Importe Neto]],Imput[[C. Imp.]:[C. Imp.]],'Indirect Costs'!$C60,Imput[[PERIODO Imp.]:[PERIODO Imp.]],'Indirect Costs'!BP$8)</f>
        <v>998.99779999999998</v>
      </c>
      <c r="BQ60" s="48">
        <f>SUMIFS(Imput[[Importe Neto]:[Importe Neto]],Imput[[C. Imp.]:[C. Imp.]],'Indirect Costs'!$C60,Imput[[PERIODO Imp.]:[PERIODO Imp.]],'Indirect Costs'!BQ$8)</f>
        <v>0</v>
      </c>
      <c r="BR60" s="48">
        <f>SUMIFS(Imput[[Importe Neto]:[Importe Neto]],Imput[[C. Imp.]:[C. Imp.]],'Indirect Costs'!$C60,Imput[[PERIODO Imp.]:[PERIODO Imp.]],'Indirect Costs'!BR$8)</f>
        <v>0</v>
      </c>
      <c r="BS60" s="48">
        <f>SUMIFS(Imput[[Importe Neto]:[Importe Neto]],Imput[[C. Imp.]:[C. Imp.]],'Indirect Costs'!$C60,Imput[[PERIODO Imp.]:[PERIODO Imp.]],'Indirect Costs'!BS$8)</f>
        <v>0</v>
      </c>
      <c r="BT60" s="48">
        <f>SUMIFS(Imput[[Importe Neto]:[Importe Neto]],Imput[[C. Imp.]:[C. Imp.]],'Indirect Costs'!$C60,Imput[[PERIODO Imp.]:[PERIODO Imp.]],'Indirect Costs'!BT$8)</f>
        <v>0</v>
      </c>
      <c r="BU60" s="48">
        <f>SUMIFS(Imput[[Importe Neto]:[Importe Neto]],Imput[[C. Imp.]:[C. Imp.]],'Indirect Costs'!$C60,Imput[[PERIODO Imp.]:[PERIODO Imp.]],'Indirect Costs'!BU$8)</f>
        <v>0</v>
      </c>
      <c r="BV60" s="48">
        <f>SUMIFS(Imput[[Importe Neto]:[Importe Neto]],Imput[[C. Imp.]:[C. Imp.]],'Indirect Costs'!$C60,Imput[[PERIODO Imp.]:[PERIODO Imp.]],'Indirect Costs'!BV$8)</f>
        <v>0</v>
      </c>
      <c r="BW60" s="48">
        <f>SUMIFS(Imput[[Importe Neto]:[Importe Neto]],Imput[[C. Imp.]:[C. Imp.]],'Indirect Costs'!$C60,Imput[[PERIODO Imp.]:[PERIODO Imp.]],'Indirect Costs'!BW$8)</f>
        <v>0</v>
      </c>
      <c r="BX60" s="48">
        <f>SUMIFS(Imput[[Importe Neto]:[Importe Neto]],Imput[[C. Imp.]:[C. Imp.]],'Indirect Costs'!$C60,Imput[[PERIODO Imp.]:[PERIODO Imp.]],'Indirect Costs'!BX$8)</f>
        <v>0</v>
      </c>
      <c r="BY60" s="48">
        <f>SUMIFS(Imput[[Importe Neto]:[Importe Neto]],Imput[[C. Imp.]:[C. Imp.]],'Indirect Costs'!$C60,Imput[[PERIODO Imp.]:[PERIODO Imp.]],'Indirect Costs'!BY$8)</f>
        <v>0</v>
      </c>
      <c r="BZ60" s="48">
        <f>SUMIFS(Imput[[Importe Neto]:[Importe Neto]],Imput[[C. Imp.]:[C. Imp.]],'Indirect Costs'!$C60,Imput[[PERIODO Imp.]:[PERIODO Imp.]],'Indirect Costs'!BZ$8)</f>
        <v>0</v>
      </c>
      <c r="CA60" s="48">
        <f>SUMIFS(Imput[[Importe Neto]:[Importe Neto]],Imput[[C. Imp.]:[C. Imp.]],'Indirect Costs'!$C60,Imput[[PERIODO Imp.]:[PERIODO Imp.]],'Indirect Costs'!CA$8)</f>
        <v>0</v>
      </c>
      <c r="CB60" s="48">
        <f>SUMIFS(Imput[[Importe Neto]:[Importe Neto]],Imput[[C. Imp.]:[C. Imp.]],'Indirect Costs'!$C60,Imput[[PERIODO Imp.]:[PERIODO Imp.]],'Indirect Costs'!CB$8)</f>
        <v>0</v>
      </c>
      <c r="CC60" s="48">
        <f>SUMIFS(Imput[[Importe Neto]:[Importe Neto]],Imput[[C. Imp.]:[C. Imp.]],'Indirect Costs'!$C60,Imput[[PERIODO Imp.]:[PERIODO Imp.]],'Indirect Costs'!CC$8)</f>
        <v>0</v>
      </c>
      <c r="CD60" s="48">
        <f>SUMIFS(Imput[[Importe Neto]:[Importe Neto]],Imput[[C. Imp.]:[C. Imp.]],'Indirect Costs'!$C60,Imput[[PERIODO Imp.]:[PERIODO Imp.]],'Indirect Costs'!CD$8)</f>
        <v>0</v>
      </c>
      <c r="CE60" s="48">
        <f>SUMIFS(Imput[[Importe Neto]:[Importe Neto]],Imput[[C. Imp.]:[C. Imp.]],'Indirect Costs'!$C60,Imput[[PERIODO Imp.]:[PERIODO Imp.]],'Indirect Costs'!CE$8)</f>
        <v>0</v>
      </c>
      <c r="CF60" s="48">
        <f>SUMIFS(Imput[[Importe Neto]:[Importe Neto]],Imput[[C. Imp.]:[C. Imp.]],'Indirect Costs'!$C60,Imput[[PERIODO Imp.]:[PERIODO Imp.]],'Indirect Costs'!CF$8)</f>
        <v>0</v>
      </c>
      <c r="CG60" s="48">
        <f>SUMIFS(Imput[[Importe Neto]:[Importe Neto]],Imput[[C. Imp.]:[C. Imp.]],'Indirect Costs'!$C60,Imput[[PERIODO Imp.]:[PERIODO Imp.]],'Indirect Costs'!CG$8)</f>
        <v>0</v>
      </c>
      <c r="CH60" s="48">
        <f>SUMIFS(Imput[[Importe Neto]:[Importe Neto]],Imput[[C. Imp.]:[C. Imp.]],'Indirect Costs'!$C60,Imput[[PERIODO Imp.]:[PERIODO Imp.]],'Indirect Costs'!CH$8)</f>
        <v>0</v>
      </c>
      <c r="CI60" s="48">
        <f>SUMIFS(Imput[[Importe Neto]:[Importe Neto]],Imput[[C. Imp.]:[C. Imp.]],'Indirect Costs'!$C60,Imput[[PERIODO Imp.]:[PERIODO Imp.]],'Indirect Costs'!CI$8)</f>
        <v>0</v>
      </c>
      <c r="CJ60" s="48">
        <f>SUMIFS(Imput[[Importe Neto]:[Importe Neto]],Imput[[C. Imp.]:[C. Imp.]],'Indirect Costs'!$C60,Imput[[PERIODO Imp.]:[PERIODO Imp.]],'Indirect Costs'!CJ$8)</f>
        <v>0</v>
      </c>
      <c r="CK60" s="48">
        <f>SUMIFS(Imput[[Importe Neto]:[Importe Neto]],Imput[[C. Imp.]:[C. Imp.]],'Indirect Costs'!$C60,Imput[[PERIODO Imp.]:[PERIODO Imp.]],'Indirect Costs'!CK$8)</f>
        <v>0</v>
      </c>
      <c r="CL60" s="48">
        <f>SUMIFS(Imput[[Importe Neto]:[Importe Neto]],Imput[[C. Imp.]:[C. Imp.]],'Indirect Costs'!$C60,Imput[[PERIODO Imp.]:[PERIODO Imp.]],'Indirect Costs'!CL$8)</f>
        <v>0</v>
      </c>
      <c r="CM60" s="48">
        <f>SUMIFS(Imput[[Importe Neto]:[Importe Neto]],Imput[[C. Imp.]:[C. Imp.]],'Indirect Costs'!$C60,Imput[[PERIODO Imp.]:[PERIODO Imp.]],'Indirect Costs'!CM$8)</f>
        <v>0</v>
      </c>
      <c r="CN60" s="48">
        <f>SUMIFS(Imput[[Importe Neto]:[Importe Neto]],Imput[[C. Imp.]:[C. Imp.]],'Indirect Costs'!$C60,Imput[[PERIODO Imp.]:[PERIODO Imp.]],'Indirect Costs'!CN$8)</f>
        <v>0</v>
      </c>
      <c r="CO60" s="48">
        <f>SUMIFS(Imput[[Importe Neto]:[Importe Neto]],Imput[[C. Imp.]:[C. Imp.]],'Indirect Costs'!$C60,Imput[[PERIODO Imp.]:[PERIODO Imp.]],'Indirect Costs'!CO$8)</f>
        <v>0</v>
      </c>
      <c r="CP60" s="48">
        <f>SUMIFS(Imput[[Importe Neto]:[Importe Neto]],Imput[[C. Imp.]:[C. Imp.]],'Indirect Costs'!$C60,Imput[[PERIODO Imp.]:[PERIODO Imp.]],'Indirect Costs'!CP$8)</f>
        <v>0</v>
      </c>
      <c r="CQ60" s="48">
        <f>SUMIFS(Imput[[Importe Neto]:[Importe Neto]],Imput[[C. Imp.]:[C. Imp.]],'Indirect Costs'!$C60,Imput[[PERIODO Imp.]:[PERIODO Imp.]],'Indirect Costs'!CQ$8)</f>
        <v>0</v>
      </c>
      <c r="CR60" s="48">
        <f>SUMIFS(Imput[[Importe Neto]:[Importe Neto]],Imput[[C. Imp.]:[C. Imp.]],'Indirect Costs'!$C60,Imput[[PERIODO Imp.]:[PERIODO Imp.]],'Indirect Costs'!CR$8)</f>
        <v>0</v>
      </c>
      <c r="CS60" s="48">
        <f>SUMIFS(Imput[[Importe Neto]:[Importe Neto]],Imput[[C. Imp.]:[C. Imp.]],'Indirect Costs'!$C60,Imput[[PERIODO Imp.]:[PERIODO Imp.]],'Indirect Costs'!CS$8)</f>
        <v>0</v>
      </c>
      <c r="CT60" s="48">
        <f>SUMIFS(Imput[[Importe Neto]:[Importe Neto]],Imput[[C. Imp.]:[C. Imp.]],'Indirect Costs'!$C60,Imput[[PERIODO Imp.]:[PERIODO Imp.]],'Indirect Costs'!CT$8)</f>
        <v>0</v>
      </c>
      <c r="CU60" s="48">
        <f>SUMIFS(Imput[[Importe Neto]:[Importe Neto]],Imput[[C. Imp.]:[C. Imp.]],'Indirect Costs'!$C60,Imput[[PERIODO Imp.]:[PERIODO Imp.]],'Indirect Costs'!CU$8)</f>
        <v>0</v>
      </c>
      <c r="CV60" s="48">
        <f>SUMIFS(Imput[[Importe Neto]:[Importe Neto]],Imput[[C. Imp.]:[C. Imp.]],'Indirect Costs'!$C60,Imput[[PERIODO Imp.]:[PERIODO Imp.]],'Indirect Costs'!CV$8)</f>
        <v>0</v>
      </c>
      <c r="CW60" s="48">
        <f>SUMIFS(Imput[[Importe Neto]:[Importe Neto]],Imput[[C. Imp.]:[C. Imp.]],'Indirect Costs'!$C60,Imput[[PERIODO Imp.]:[PERIODO Imp.]],'Indirect Costs'!CW$8)</f>
        <v>0</v>
      </c>
      <c r="CX60" s="48">
        <f>SUMIFS(Imput[[Importe Neto]:[Importe Neto]],Imput[[C. Imp.]:[C. Imp.]],'Indirect Costs'!$C60,Imput[[PERIODO Imp.]:[PERIODO Imp.]],'Indirect Costs'!CX$8)</f>
        <v>0</v>
      </c>
      <c r="CY60" s="48">
        <f>SUMIFS(Imput[[Importe Neto]:[Importe Neto]],Imput[[C. Imp.]:[C. Imp.]],'Indirect Costs'!$C60,Imput[[PERIODO Imp.]:[PERIODO Imp.]],'Indirect Costs'!CY$8)</f>
        <v>0</v>
      </c>
      <c r="CZ60" s="48">
        <f>SUMIFS(Imput[[Importe Neto]:[Importe Neto]],Imput[[C. Imp.]:[C. Imp.]],'Indirect Costs'!$C60,Imput[[PERIODO Imp.]:[PERIODO Imp.]],'Indirect Costs'!CZ$8)</f>
        <v>0</v>
      </c>
      <c r="DA60" s="48">
        <f>SUMIFS(Imput[[Importe Neto]:[Importe Neto]],Imput[[C. Imp.]:[C. Imp.]],'Indirect Costs'!$C60,Imput[[PERIODO Imp.]:[PERIODO Imp.]],'Indirect Costs'!DA$8)</f>
        <v>0</v>
      </c>
      <c r="DB60" s="48">
        <f>SUMIFS(Imput[[Importe Neto]:[Importe Neto]],Imput[[C. Imp.]:[C. Imp.]],'Indirect Costs'!$C60,Imput[[PERIODO Imp.]:[PERIODO Imp.]],'Indirect Costs'!DB$8)</f>
        <v>0</v>
      </c>
      <c r="DC60" s="48">
        <f>SUMIFS(Imput[[Importe Neto]:[Importe Neto]],Imput[[C. Imp.]:[C. Imp.]],'Indirect Costs'!$C60,Imput[[PERIODO Imp.]:[PERIODO Imp.]],'Indirect Costs'!DC$8)</f>
        <v>0</v>
      </c>
      <c r="DD60" s="48">
        <f>SUMIFS(Imput[[Importe Neto]:[Importe Neto]],Imput[[C. Imp.]:[C. Imp.]],'Indirect Costs'!$C60,Imput[[PERIODO Imp.]:[PERIODO Imp.]],'Indirect Costs'!DD$8)</f>
        <v>0</v>
      </c>
      <c r="DE60" s="48">
        <f>SUMIFS(Imput[[Importe Neto]:[Importe Neto]],Imput[[C. Imp.]:[C. Imp.]],'Indirect Costs'!$C60,Imput[[PERIODO Imp.]:[PERIODO Imp.]],'Indirect Costs'!DE$8)</f>
        <v>0</v>
      </c>
      <c r="DF60" s="143">
        <f>SUMIFS(Imput[[Importe Neto]:[Importe Neto]],Imput[[C. Imp.]:[C. Imp.]],'Indirect Costs'!$C60,Imput[[PERIODO Imp.]:[PERIODO Imp.]],'Indirect Costs'!DF$8)</f>
        <v>0</v>
      </c>
    </row>
    <row r="61" spans="1:110" outlineLevel="1" x14ac:dyDescent="0.25">
      <c r="A61" s="28" t="str">
        <f t="shared" si="3"/>
        <v>Imprimir</v>
      </c>
      <c r="B61" s="50">
        <v>9</v>
      </c>
      <c r="C61" s="57" t="s">
        <v>1769</v>
      </c>
      <c r="D61" s="56" t="s">
        <v>2123</v>
      </c>
      <c r="E61" s="56" t="s">
        <v>2123</v>
      </c>
      <c r="F61" s="58">
        <v>5000</v>
      </c>
      <c r="G61" s="49">
        <v>1</v>
      </c>
      <c r="H61" s="51">
        <v>1</v>
      </c>
      <c r="I61" s="505">
        <f t="shared" si="7"/>
        <v>5000</v>
      </c>
      <c r="J61" s="47"/>
      <c r="K61" s="142"/>
      <c r="L61" s="48"/>
      <c r="M61" s="48"/>
      <c r="N61" s="48"/>
      <c r="O61" s="48"/>
      <c r="P61" s="48"/>
      <c r="Q61" s="48"/>
      <c r="R61" s="48">
        <v>1</v>
      </c>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143"/>
      <c r="BG61" s="47"/>
      <c r="BH61" s="509"/>
      <c r="BI61" s="505">
        <f t="shared" si="6"/>
        <v>22415.300593695993</v>
      </c>
      <c r="BJ61" s="47"/>
      <c r="BK61" s="142">
        <f>SUMIFS(Imput[[Importe Neto]:[Importe Neto]],Imput[[C. Imp.]:[C. Imp.]],'Indirect Costs'!$C61,Imput[[PERIODO Imp.]:[PERIODO Imp.]],'Indirect Costs'!BK$8)</f>
        <v>0</v>
      </c>
      <c r="BL61" s="48">
        <f>SUMIFS(Imput[[Importe Neto]:[Importe Neto]],Imput[[C. Imp.]:[C. Imp.]],'Indirect Costs'!$C61,Imput[[PERIODO Imp.]:[PERIODO Imp.]],'Indirect Costs'!BL$8)</f>
        <v>0</v>
      </c>
      <c r="BM61" s="48">
        <f>SUMIFS(Imput[[Importe Neto]:[Importe Neto]],Imput[[C. Imp.]:[C. Imp.]],'Indirect Costs'!$C61,Imput[[PERIODO Imp.]:[PERIODO Imp.]],'Indirect Costs'!BM$8)</f>
        <v>819.00992799999995</v>
      </c>
      <c r="BN61" s="48">
        <f>SUMIFS(Imput[[Importe Neto]:[Importe Neto]],Imput[[C. Imp.]:[C. Imp.]],'Indirect Costs'!$C61,Imput[[PERIODO Imp.]:[PERIODO Imp.]],'Indirect Costs'!BN$8)</f>
        <v>9712.8943369999943</v>
      </c>
      <c r="BO61" s="48">
        <f>SUMIFS(Imput[[Importe Neto]:[Importe Neto]],Imput[[C. Imp.]:[C. Imp.]],'Indirect Costs'!$C61,Imput[[PERIODO Imp.]:[PERIODO Imp.]],'Indirect Costs'!BO$8)</f>
        <v>8674.3997286959984</v>
      </c>
      <c r="BP61" s="48">
        <f>SUMIFS(Imput[[Importe Neto]:[Importe Neto]],Imput[[C. Imp.]:[C. Imp.]],'Indirect Costs'!$C61,Imput[[PERIODO Imp.]:[PERIODO Imp.]],'Indirect Costs'!BP$8)</f>
        <v>392.99719999999996</v>
      </c>
      <c r="BQ61" s="48">
        <f>SUMIFS(Imput[[Importe Neto]:[Importe Neto]],Imput[[C. Imp.]:[C. Imp.]],'Indirect Costs'!$C61,Imput[[PERIODO Imp.]:[PERIODO Imp.]],'Indirect Costs'!BQ$8)</f>
        <v>2815.9994000000002</v>
      </c>
      <c r="BR61" s="48">
        <f>SUMIFS(Imput[[Importe Neto]:[Importe Neto]],Imput[[C. Imp.]:[C. Imp.]],'Indirect Costs'!$C61,Imput[[PERIODO Imp.]:[PERIODO Imp.]],'Indirect Costs'!BR$8)</f>
        <v>0</v>
      </c>
      <c r="BS61" s="48">
        <f>SUMIFS(Imput[[Importe Neto]:[Importe Neto]],Imput[[C. Imp.]:[C. Imp.]],'Indirect Costs'!$C61,Imput[[PERIODO Imp.]:[PERIODO Imp.]],'Indirect Costs'!BS$8)</f>
        <v>0</v>
      </c>
      <c r="BT61" s="48">
        <f>SUMIFS(Imput[[Importe Neto]:[Importe Neto]],Imput[[C. Imp.]:[C. Imp.]],'Indirect Costs'!$C61,Imput[[PERIODO Imp.]:[PERIODO Imp.]],'Indirect Costs'!BT$8)</f>
        <v>0</v>
      </c>
      <c r="BU61" s="48">
        <f>SUMIFS(Imput[[Importe Neto]:[Importe Neto]],Imput[[C. Imp.]:[C. Imp.]],'Indirect Costs'!$C61,Imput[[PERIODO Imp.]:[PERIODO Imp.]],'Indirect Costs'!BU$8)</f>
        <v>0</v>
      </c>
      <c r="BV61" s="48">
        <f>SUMIFS(Imput[[Importe Neto]:[Importe Neto]],Imput[[C. Imp.]:[C. Imp.]],'Indirect Costs'!$C61,Imput[[PERIODO Imp.]:[PERIODO Imp.]],'Indirect Costs'!BV$8)</f>
        <v>0</v>
      </c>
      <c r="BW61" s="48">
        <f>SUMIFS(Imput[[Importe Neto]:[Importe Neto]],Imput[[C. Imp.]:[C. Imp.]],'Indirect Costs'!$C61,Imput[[PERIODO Imp.]:[PERIODO Imp.]],'Indirect Costs'!BW$8)</f>
        <v>0</v>
      </c>
      <c r="BX61" s="48">
        <f>SUMIFS(Imput[[Importe Neto]:[Importe Neto]],Imput[[C. Imp.]:[C. Imp.]],'Indirect Costs'!$C61,Imput[[PERIODO Imp.]:[PERIODO Imp.]],'Indirect Costs'!BX$8)</f>
        <v>0</v>
      </c>
      <c r="BY61" s="48">
        <f>SUMIFS(Imput[[Importe Neto]:[Importe Neto]],Imput[[C. Imp.]:[C. Imp.]],'Indirect Costs'!$C61,Imput[[PERIODO Imp.]:[PERIODO Imp.]],'Indirect Costs'!BY$8)</f>
        <v>0</v>
      </c>
      <c r="BZ61" s="48">
        <f>SUMIFS(Imput[[Importe Neto]:[Importe Neto]],Imput[[C. Imp.]:[C. Imp.]],'Indirect Costs'!$C61,Imput[[PERIODO Imp.]:[PERIODO Imp.]],'Indirect Costs'!BZ$8)</f>
        <v>0</v>
      </c>
      <c r="CA61" s="48">
        <f>SUMIFS(Imput[[Importe Neto]:[Importe Neto]],Imput[[C. Imp.]:[C. Imp.]],'Indirect Costs'!$C61,Imput[[PERIODO Imp.]:[PERIODO Imp.]],'Indirect Costs'!CA$8)</f>
        <v>0</v>
      </c>
      <c r="CB61" s="48">
        <f>SUMIFS(Imput[[Importe Neto]:[Importe Neto]],Imput[[C. Imp.]:[C. Imp.]],'Indirect Costs'!$C61,Imput[[PERIODO Imp.]:[PERIODO Imp.]],'Indirect Costs'!CB$8)</f>
        <v>0</v>
      </c>
      <c r="CC61" s="48">
        <f>SUMIFS(Imput[[Importe Neto]:[Importe Neto]],Imput[[C. Imp.]:[C. Imp.]],'Indirect Costs'!$C61,Imput[[PERIODO Imp.]:[PERIODO Imp.]],'Indirect Costs'!CC$8)</f>
        <v>0</v>
      </c>
      <c r="CD61" s="48">
        <f>SUMIFS(Imput[[Importe Neto]:[Importe Neto]],Imput[[C. Imp.]:[C. Imp.]],'Indirect Costs'!$C61,Imput[[PERIODO Imp.]:[PERIODO Imp.]],'Indirect Costs'!CD$8)</f>
        <v>0</v>
      </c>
      <c r="CE61" s="48">
        <f>SUMIFS(Imput[[Importe Neto]:[Importe Neto]],Imput[[C. Imp.]:[C. Imp.]],'Indirect Costs'!$C61,Imput[[PERIODO Imp.]:[PERIODO Imp.]],'Indirect Costs'!CE$8)</f>
        <v>0</v>
      </c>
      <c r="CF61" s="48">
        <f>SUMIFS(Imput[[Importe Neto]:[Importe Neto]],Imput[[C. Imp.]:[C. Imp.]],'Indirect Costs'!$C61,Imput[[PERIODO Imp.]:[PERIODO Imp.]],'Indirect Costs'!CF$8)</f>
        <v>0</v>
      </c>
      <c r="CG61" s="48">
        <f>SUMIFS(Imput[[Importe Neto]:[Importe Neto]],Imput[[C. Imp.]:[C. Imp.]],'Indirect Costs'!$C61,Imput[[PERIODO Imp.]:[PERIODO Imp.]],'Indirect Costs'!CG$8)</f>
        <v>0</v>
      </c>
      <c r="CH61" s="48">
        <f>SUMIFS(Imput[[Importe Neto]:[Importe Neto]],Imput[[C. Imp.]:[C. Imp.]],'Indirect Costs'!$C61,Imput[[PERIODO Imp.]:[PERIODO Imp.]],'Indirect Costs'!CH$8)</f>
        <v>0</v>
      </c>
      <c r="CI61" s="48">
        <f>SUMIFS(Imput[[Importe Neto]:[Importe Neto]],Imput[[C. Imp.]:[C. Imp.]],'Indirect Costs'!$C61,Imput[[PERIODO Imp.]:[PERIODO Imp.]],'Indirect Costs'!CI$8)</f>
        <v>0</v>
      </c>
      <c r="CJ61" s="48">
        <f>SUMIFS(Imput[[Importe Neto]:[Importe Neto]],Imput[[C. Imp.]:[C. Imp.]],'Indirect Costs'!$C61,Imput[[PERIODO Imp.]:[PERIODO Imp.]],'Indirect Costs'!CJ$8)</f>
        <v>0</v>
      </c>
      <c r="CK61" s="48">
        <f>SUMIFS(Imput[[Importe Neto]:[Importe Neto]],Imput[[C. Imp.]:[C. Imp.]],'Indirect Costs'!$C61,Imput[[PERIODO Imp.]:[PERIODO Imp.]],'Indirect Costs'!CK$8)</f>
        <v>0</v>
      </c>
      <c r="CL61" s="48">
        <f>SUMIFS(Imput[[Importe Neto]:[Importe Neto]],Imput[[C. Imp.]:[C. Imp.]],'Indirect Costs'!$C61,Imput[[PERIODO Imp.]:[PERIODO Imp.]],'Indirect Costs'!CL$8)</f>
        <v>0</v>
      </c>
      <c r="CM61" s="48">
        <f>SUMIFS(Imput[[Importe Neto]:[Importe Neto]],Imput[[C. Imp.]:[C. Imp.]],'Indirect Costs'!$C61,Imput[[PERIODO Imp.]:[PERIODO Imp.]],'Indirect Costs'!CM$8)</f>
        <v>0</v>
      </c>
      <c r="CN61" s="48">
        <f>SUMIFS(Imput[[Importe Neto]:[Importe Neto]],Imput[[C. Imp.]:[C. Imp.]],'Indirect Costs'!$C61,Imput[[PERIODO Imp.]:[PERIODO Imp.]],'Indirect Costs'!CN$8)</f>
        <v>0</v>
      </c>
      <c r="CO61" s="48">
        <f>SUMIFS(Imput[[Importe Neto]:[Importe Neto]],Imput[[C. Imp.]:[C. Imp.]],'Indirect Costs'!$C61,Imput[[PERIODO Imp.]:[PERIODO Imp.]],'Indirect Costs'!CO$8)</f>
        <v>0</v>
      </c>
      <c r="CP61" s="48">
        <f>SUMIFS(Imput[[Importe Neto]:[Importe Neto]],Imput[[C. Imp.]:[C. Imp.]],'Indirect Costs'!$C61,Imput[[PERIODO Imp.]:[PERIODO Imp.]],'Indirect Costs'!CP$8)</f>
        <v>0</v>
      </c>
      <c r="CQ61" s="48">
        <f>SUMIFS(Imput[[Importe Neto]:[Importe Neto]],Imput[[C. Imp.]:[C. Imp.]],'Indirect Costs'!$C61,Imput[[PERIODO Imp.]:[PERIODO Imp.]],'Indirect Costs'!CQ$8)</f>
        <v>0</v>
      </c>
      <c r="CR61" s="48">
        <f>SUMIFS(Imput[[Importe Neto]:[Importe Neto]],Imput[[C. Imp.]:[C. Imp.]],'Indirect Costs'!$C61,Imput[[PERIODO Imp.]:[PERIODO Imp.]],'Indirect Costs'!CR$8)</f>
        <v>0</v>
      </c>
      <c r="CS61" s="48">
        <f>SUMIFS(Imput[[Importe Neto]:[Importe Neto]],Imput[[C. Imp.]:[C. Imp.]],'Indirect Costs'!$C61,Imput[[PERIODO Imp.]:[PERIODO Imp.]],'Indirect Costs'!CS$8)</f>
        <v>0</v>
      </c>
      <c r="CT61" s="48">
        <f>SUMIFS(Imput[[Importe Neto]:[Importe Neto]],Imput[[C. Imp.]:[C. Imp.]],'Indirect Costs'!$C61,Imput[[PERIODO Imp.]:[PERIODO Imp.]],'Indirect Costs'!CT$8)</f>
        <v>0</v>
      </c>
      <c r="CU61" s="48">
        <f>SUMIFS(Imput[[Importe Neto]:[Importe Neto]],Imput[[C. Imp.]:[C. Imp.]],'Indirect Costs'!$C61,Imput[[PERIODO Imp.]:[PERIODO Imp.]],'Indirect Costs'!CU$8)</f>
        <v>0</v>
      </c>
      <c r="CV61" s="48">
        <f>SUMIFS(Imput[[Importe Neto]:[Importe Neto]],Imput[[C. Imp.]:[C. Imp.]],'Indirect Costs'!$C61,Imput[[PERIODO Imp.]:[PERIODO Imp.]],'Indirect Costs'!CV$8)</f>
        <v>0</v>
      </c>
      <c r="CW61" s="48">
        <f>SUMIFS(Imput[[Importe Neto]:[Importe Neto]],Imput[[C. Imp.]:[C. Imp.]],'Indirect Costs'!$C61,Imput[[PERIODO Imp.]:[PERIODO Imp.]],'Indirect Costs'!CW$8)</f>
        <v>0</v>
      </c>
      <c r="CX61" s="48">
        <f>SUMIFS(Imput[[Importe Neto]:[Importe Neto]],Imput[[C. Imp.]:[C. Imp.]],'Indirect Costs'!$C61,Imput[[PERIODO Imp.]:[PERIODO Imp.]],'Indirect Costs'!CX$8)</f>
        <v>0</v>
      </c>
      <c r="CY61" s="48">
        <f>SUMIFS(Imput[[Importe Neto]:[Importe Neto]],Imput[[C. Imp.]:[C. Imp.]],'Indirect Costs'!$C61,Imput[[PERIODO Imp.]:[PERIODO Imp.]],'Indirect Costs'!CY$8)</f>
        <v>0</v>
      </c>
      <c r="CZ61" s="48">
        <f>SUMIFS(Imput[[Importe Neto]:[Importe Neto]],Imput[[C. Imp.]:[C. Imp.]],'Indirect Costs'!$C61,Imput[[PERIODO Imp.]:[PERIODO Imp.]],'Indirect Costs'!CZ$8)</f>
        <v>0</v>
      </c>
      <c r="DA61" s="48">
        <f>SUMIFS(Imput[[Importe Neto]:[Importe Neto]],Imput[[C. Imp.]:[C. Imp.]],'Indirect Costs'!$C61,Imput[[PERIODO Imp.]:[PERIODO Imp.]],'Indirect Costs'!DA$8)</f>
        <v>0</v>
      </c>
      <c r="DB61" s="48">
        <f>SUMIFS(Imput[[Importe Neto]:[Importe Neto]],Imput[[C. Imp.]:[C. Imp.]],'Indirect Costs'!$C61,Imput[[PERIODO Imp.]:[PERIODO Imp.]],'Indirect Costs'!DB$8)</f>
        <v>0</v>
      </c>
      <c r="DC61" s="48">
        <f>SUMIFS(Imput[[Importe Neto]:[Importe Neto]],Imput[[C. Imp.]:[C. Imp.]],'Indirect Costs'!$C61,Imput[[PERIODO Imp.]:[PERIODO Imp.]],'Indirect Costs'!DC$8)</f>
        <v>0</v>
      </c>
      <c r="DD61" s="48">
        <f>SUMIFS(Imput[[Importe Neto]:[Importe Neto]],Imput[[C. Imp.]:[C. Imp.]],'Indirect Costs'!$C61,Imput[[PERIODO Imp.]:[PERIODO Imp.]],'Indirect Costs'!DD$8)</f>
        <v>0</v>
      </c>
      <c r="DE61" s="48">
        <f>SUMIFS(Imput[[Importe Neto]:[Importe Neto]],Imput[[C. Imp.]:[C. Imp.]],'Indirect Costs'!$C61,Imput[[PERIODO Imp.]:[PERIODO Imp.]],'Indirect Costs'!DE$8)</f>
        <v>0</v>
      </c>
      <c r="DF61" s="143">
        <f>SUMIFS(Imput[[Importe Neto]:[Importe Neto]],Imput[[C. Imp.]:[C. Imp.]],'Indirect Costs'!$C61,Imput[[PERIODO Imp.]:[PERIODO Imp.]],'Indirect Costs'!DF$8)</f>
        <v>0</v>
      </c>
    </row>
    <row r="62" spans="1:110" ht="14.4" outlineLevel="1" thickBot="1" x14ac:dyDescent="0.3">
      <c r="A62" s="28" t="str">
        <f t="shared" si="3"/>
        <v/>
      </c>
      <c r="B62" s="50">
        <v>10</v>
      </c>
      <c r="C62" s="57" t="s">
        <v>1770</v>
      </c>
      <c r="D62" s="56" t="s">
        <v>573</v>
      </c>
      <c r="E62" s="57" t="s">
        <v>573</v>
      </c>
      <c r="F62" s="58">
        <v>2000</v>
      </c>
      <c r="G62" s="49"/>
      <c r="H62" s="51">
        <v>1</v>
      </c>
      <c r="I62" s="505">
        <f t="shared" si="7"/>
        <v>0</v>
      </c>
      <c r="J62" s="47"/>
      <c r="K62" s="142"/>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143"/>
      <c r="BG62" s="47"/>
      <c r="BH62" s="509"/>
      <c r="BI62" s="505">
        <f t="shared" si="6"/>
        <v>69.000047999999992</v>
      </c>
      <c r="BJ62" s="47"/>
      <c r="BK62" s="142">
        <f>SUMIFS(Imput[[Importe Neto]:[Importe Neto]],Imput[[C. Imp.]:[C. Imp.]],'Indirect Costs'!$C62,Imput[[PERIODO Imp.]:[PERIODO Imp.]],'Indirect Costs'!BK$8)</f>
        <v>0</v>
      </c>
      <c r="BL62" s="48">
        <f>SUMIFS(Imput[[Importe Neto]:[Importe Neto]],Imput[[C. Imp.]:[C. Imp.]],'Indirect Costs'!$C62,Imput[[PERIODO Imp.]:[PERIODO Imp.]],'Indirect Costs'!BL$8)</f>
        <v>0</v>
      </c>
      <c r="BM62" s="48">
        <f>SUMIFS(Imput[[Importe Neto]:[Importe Neto]],Imput[[C. Imp.]:[C. Imp.]],'Indirect Costs'!$C62,Imput[[PERIODO Imp.]:[PERIODO Imp.]],'Indirect Costs'!BM$8)</f>
        <v>0</v>
      </c>
      <c r="BN62" s="48">
        <f>SUMIFS(Imput[[Importe Neto]:[Importe Neto]],Imput[[C. Imp.]:[C. Imp.]],'Indirect Costs'!$C62,Imput[[PERIODO Imp.]:[PERIODO Imp.]],'Indirect Costs'!BN$8)</f>
        <v>0</v>
      </c>
      <c r="BO62" s="48">
        <f>SUMIFS(Imput[[Importe Neto]:[Importe Neto]],Imput[[C. Imp.]:[C. Imp.]],'Indirect Costs'!$C62,Imput[[PERIODO Imp.]:[PERIODO Imp.]],'Indirect Costs'!BO$8)</f>
        <v>0</v>
      </c>
      <c r="BP62" s="48">
        <f>SUMIFS(Imput[[Importe Neto]:[Importe Neto]],Imput[[C. Imp.]:[C. Imp.]],'Indirect Costs'!$C62,Imput[[PERIODO Imp.]:[PERIODO Imp.]],'Indirect Costs'!BP$8)</f>
        <v>0</v>
      </c>
      <c r="BQ62" s="48">
        <f>SUMIFS(Imput[[Importe Neto]:[Importe Neto]],Imput[[C. Imp.]:[C. Imp.]],'Indirect Costs'!$C62,Imput[[PERIODO Imp.]:[PERIODO Imp.]],'Indirect Costs'!BQ$8)</f>
        <v>69.000047999999992</v>
      </c>
      <c r="BR62" s="48">
        <f>SUMIFS(Imput[[Importe Neto]:[Importe Neto]],Imput[[C. Imp.]:[C. Imp.]],'Indirect Costs'!$C62,Imput[[PERIODO Imp.]:[PERIODO Imp.]],'Indirect Costs'!BR$8)</f>
        <v>0</v>
      </c>
      <c r="BS62" s="48">
        <f>SUMIFS(Imput[[Importe Neto]:[Importe Neto]],Imput[[C. Imp.]:[C. Imp.]],'Indirect Costs'!$C62,Imput[[PERIODO Imp.]:[PERIODO Imp.]],'Indirect Costs'!BS$8)</f>
        <v>0</v>
      </c>
      <c r="BT62" s="48">
        <f>SUMIFS(Imput[[Importe Neto]:[Importe Neto]],Imput[[C. Imp.]:[C. Imp.]],'Indirect Costs'!$C62,Imput[[PERIODO Imp.]:[PERIODO Imp.]],'Indirect Costs'!BT$8)</f>
        <v>0</v>
      </c>
      <c r="BU62" s="48">
        <f>SUMIFS(Imput[[Importe Neto]:[Importe Neto]],Imput[[C. Imp.]:[C. Imp.]],'Indirect Costs'!$C62,Imput[[PERIODO Imp.]:[PERIODO Imp.]],'Indirect Costs'!BU$8)</f>
        <v>0</v>
      </c>
      <c r="BV62" s="48">
        <f>SUMIFS(Imput[[Importe Neto]:[Importe Neto]],Imput[[C. Imp.]:[C. Imp.]],'Indirect Costs'!$C62,Imput[[PERIODO Imp.]:[PERIODO Imp.]],'Indirect Costs'!BV$8)</f>
        <v>0</v>
      </c>
      <c r="BW62" s="48">
        <f>SUMIFS(Imput[[Importe Neto]:[Importe Neto]],Imput[[C. Imp.]:[C. Imp.]],'Indirect Costs'!$C62,Imput[[PERIODO Imp.]:[PERIODO Imp.]],'Indirect Costs'!BW$8)</f>
        <v>0</v>
      </c>
      <c r="BX62" s="48">
        <f>SUMIFS(Imput[[Importe Neto]:[Importe Neto]],Imput[[C. Imp.]:[C. Imp.]],'Indirect Costs'!$C62,Imput[[PERIODO Imp.]:[PERIODO Imp.]],'Indirect Costs'!BX$8)</f>
        <v>0</v>
      </c>
      <c r="BY62" s="48">
        <f>SUMIFS(Imput[[Importe Neto]:[Importe Neto]],Imput[[C. Imp.]:[C. Imp.]],'Indirect Costs'!$C62,Imput[[PERIODO Imp.]:[PERIODO Imp.]],'Indirect Costs'!BY$8)</f>
        <v>0</v>
      </c>
      <c r="BZ62" s="48">
        <f>SUMIFS(Imput[[Importe Neto]:[Importe Neto]],Imput[[C. Imp.]:[C. Imp.]],'Indirect Costs'!$C62,Imput[[PERIODO Imp.]:[PERIODO Imp.]],'Indirect Costs'!BZ$8)</f>
        <v>0</v>
      </c>
      <c r="CA62" s="48">
        <f>SUMIFS(Imput[[Importe Neto]:[Importe Neto]],Imput[[C. Imp.]:[C. Imp.]],'Indirect Costs'!$C62,Imput[[PERIODO Imp.]:[PERIODO Imp.]],'Indirect Costs'!CA$8)</f>
        <v>0</v>
      </c>
      <c r="CB62" s="48">
        <f>SUMIFS(Imput[[Importe Neto]:[Importe Neto]],Imput[[C. Imp.]:[C. Imp.]],'Indirect Costs'!$C62,Imput[[PERIODO Imp.]:[PERIODO Imp.]],'Indirect Costs'!CB$8)</f>
        <v>0</v>
      </c>
      <c r="CC62" s="48">
        <f>SUMIFS(Imput[[Importe Neto]:[Importe Neto]],Imput[[C. Imp.]:[C. Imp.]],'Indirect Costs'!$C62,Imput[[PERIODO Imp.]:[PERIODO Imp.]],'Indirect Costs'!CC$8)</f>
        <v>0</v>
      </c>
      <c r="CD62" s="48">
        <f>SUMIFS(Imput[[Importe Neto]:[Importe Neto]],Imput[[C. Imp.]:[C. Imp.]],'Indirect Costs'!$C62,Imput[[PERIODO Imp.]:[PERIODO Imp.]],'Indirect Costs'!CD$8)</f>
        <v>0</v>
      </c>
      <c r="CE62" s="48">
        <f>SUMIFS(Imput[[Importe Neto]:[Importe Neto]],Imput[[C. Imp.]:[C. Imp.]],'Indirect Costs'!$C62,Imput[[PERIODO Imp.]:[PERIODO Imp.]],'Indirect Costs'!CE$8)</f>
        <v>0</v>
      </c>
      <c r="CF62" s="48">
        <f>SUMIFS(Imput[[Importe Neto]:[Importe Neto]],Imput[[C. Imp.]:[C. Imp.]],'Indirect Costs'!$C62,Imput[[PERIODO Imp.]:[PERIODO Imp.]],'Indirect Costs'!CF$8)</f>
        <v>0</v>
      </c>
      <c r="CG62" s="48">
        <f>SUMIFS(Imput[[Importe Neto]:[Importe Neto]],Imput[[C. Imp.]:[C. Imp.]],'Indirect Costs'!$C62,Imput[[PERIODO Imp.]:[PERIODO Imp.]],'Indirect Costs'!CG$8)</f>
        <v>0</v>
      </c>
      <c r="CH62" s="48">
        <f>SUMIFS(Imput[[Importe Neto]:[Importe Neto]],Imput[[C. Imp.]:[C. Imp.]],'Indirect Costs'!$C62,Imput[[PERIODO Imp.]:[PERIODO Imp.]],'Indirect Costs'!CH$8)</f>
        <v>0</v>
      </c>
      <c r="CI62" s="48">
        <f>SUMIFS(Imput[[Importe Neto]:[Importe Neto]],Imput[[C. Imp.]:[C. Imp.]],'Indirect Costs'!$C62,Imput[[PERIODO Imp.]:[PERIODO Imp.]],'Indirect Costs'!CI$8)</f>
        <v>0</v>
      </c>
      <c r="CJ62" s="48">
        <f>SUMIFS(Imput[[Importe Neto]:[Importe Neto]],Imput[[C. Imp.]:[C. Imp.]],'Indirect Costs'!$C62,Imput[[PERIODO Imp.]:[PERIODO Imp.]],'Indirect Costs'!CJ$8)</f>
        <v>0</v>
      </c>
      <c r="CK62" s="48">
        <f>SUMIFS(Imput[[Importe Neto]:[Importe Neto]],Imput[[C. Imp.]:[C. Imp.]],'Indirect Costs'!$C62,Imput[[PERIODO Imp.]:[PERIODO Imp.]],'Indirect Costs'!CK$8)</f>
        <v>0</v>
      </c>
      <c r="CL62" s="48">
        <f>SUMIFS(Imput[[Importe Neto]:[Importe Neto]],Imput[[C. Imp.]:[C. Imp.]],'Indirect Costs'!$C62,Imput[[PERIODO Imp.]:[PERIODO Imp.]],'Indirect Costs'!CL$8)</f>
        <v>0</v>
      </c>
      <c r="CM62" s="48">
        <f>SUMIFS(Imput[[Importe Neto]:[Importe Neto]],Imput[[C. Imp.]:[C. Imp.]],'Indirect Costs'!$C62,Imput[[PERIODO Imp.]:[PERIODO Imp.]],'Indirect Costs'!CM$8)</f>
        <v>0</v>
      </c>
      <c r="CN62" s="48">
        <f>SUMIFS(Imput[[Importe Neto]:[Importe Neto]],Imput[[C. Imp.]:[C. Imp.]],'Indirect Costs'!$C62,Imput[[PERIODO Imp.]:[PERIODO Imp.]],'Indirect Costs'!CN$8)</f>
        <v>0</v>
      </c>
      <c r="CO62" s="48">
        <f>SUMIFS(Imput[[Importe Neto]:[Importe Neto]],Imput[[C. Imp.]:[C. Imp.]],'Indirect Costs'!$C62,Imput[[PERIODO Imp.]:[PERIODO Imp.]],'Indirect Costs'!CO$8)</f>
        <v>0</v>
      </c>
      <c r="CP62" s="48">
        <f>SUMIFS(Imput[[Importe Neto]:[Importe Neto]],Imput[[C. Imp.]:[C. Imp.]],'Indirect Costs'!$C62,Imput[[PERIODO Imp.]:[PERIODO Imp.]],'Indirect Costs'!CP$8)</f>
        <v>0</v>
      </c>
      <c r="CQ62" s="48">
        <f>SUMIFS(Imput[[Importe Neto]:[Importe Neto]],Imput[[C. Imp.]:[C. Imp.]],'Indirect Costs'!$C62,Imput[[PERIODO Imp.]:[PERIODO Imp.]],'Indirect Costs'!CQ$8)</f>
        <v>0</v>
      </c>
      <c r="CR62" s="48">
        <f>SUMIFS(Imput[[Importe Neto]:[Importe Neto]],Imput[[C. Imp.]:[C. Imp.]],'Indirect Costs'!$C62,Imput[[PERIODO Imp.]:[PERIODO Imp.]],'Indirect Costs'!CR$8)</f>
        <v>0</v>
      </c>
      <c r="CS62" s="48">
        <f>SUMIFS(Imput[[Importe Neto]:[Importe Neto]],Imput[[C. Imp.]:[C. Imp.]],'Indirect Costs'!$C62,Imput[[PERIODO Imp.]:[PERIODO Imp.]],'Indirect Costs'!CS$8)</f>
        <v>0</v>
      </c>
      <c r="CT62" s="48">
        <f>SUMIFS(Imput[[Importe Neto]:[Importe Neto]],Imput[[C. Imp.]:[C. Imp.]],'Indirect Costs'!$C62,Imput[[PERIODO Imp.]:[PERIODO Imp.]],'Indirect Costs'!CT$8)</f>
        <v>0</v>
      </c>
      <c r="CU62" s="48">
        <f>SUMIFS(Imput[[Importe Neto]:[Importe Neto]],Imput[[C. Imp.]:[C. Imp.]],'Indirect Costs'!$C62,Imput[[PERIODO Imp.]:[PERIODO Imp.]],'Indirect Costs'!CU$8)</f>
        <v>0</v>
      </c>
      <c r="CV62" s="48">
        <f>SUMIFS(Imput[[Importe Neto]:[Importe Neto]],Imput[[C. Imp.]:[C. Imp.]],'Indirect Costs'!$C62,Imput[[PERIODO Imp.]:[PERIODO Imp.]],'Indirect Costs'!CV$8)</f>
        <v>0</v>
      </c>
      <c r="CW62" s="48">
        <f>SUMIFS(Imput[[Importe Neto]:[Importe Neto]],Imput[[C. Imp.]:[C. Imp.]],'Indirect Costs'!$C62,Imput[[PERIODO Imp.]:[PERIODO Imp.]],'Indirect Costs'!CW$8)</f>
        <v>0</v>
      </c>
      <c r="CX62" s="48">
        <f>SUMIFS(Imput[[Importe Neto]:[Importe Neto]],Imput[[C. Imp.]:[C. Imp.]],'Indirect Costs'!$C62,Imput[[PERIODO Imp.]:[PERIODO Imp.]],'Indirect Costs'!CX$8)</f>
        <v>0</v>
      </c>
      <c r="CY62" s="48">
        <f>SUMIFS(Imput[[Importe Neto]:[Importe Neto]],Imput[[C. Imp.]:[C. Imp.]],'Indirect Costs'!$C62,Imput[[PERIODO Imp.]:[PERIODO Imp.]],'Indirect Costs'!CY$8)</f>
        <v>0</v>
      </c>
      <c r="CZ62" s="48">
        <f>SUMIFS(Imput[[Importe Neto]:[Importe Neto]],Imput[[C. Imp.]:[C. Imp.]],'Indirect Costs'!$C62,Imput[[PERIODO Imp.]:[PERIODO Imp.]],'Indirect Costs'!CZ$8)</f>
        <v>0</v>
      </c>
      <c r="DA62" s="48">
        <f>SUMIFS(Imput[[Importe Neto]:[Importe Neto]],Imput[[C. Imp.]:[C. Imp.]],'Indirect Costs'!$C62,Imput[[PERIODO Imp.]:[PERIODO Imp.]],'Indirect Costs'!DA$8)</f>
        <v>0</v>
      </c>
      <c r="DB62" s="48">
        <f>SUMIFS(Imput[[Importe Neto]:[Importe Neto]],Imput[[C. Imp.]:[C. Imp.]],'Indirect Costs'!$C62,Imput[[PERIODO Imp.]:[PERIODO Imp.]],'Indirect Costs'!DB$8)</f>
        <v>0</v>
      </c>
      <c r="DC62" s="48">
        <f>SUMIFS(Imput[[Importe Neto]:[Importe Neto]],Imput[[C. Imp.]:[C. Imp.]],'Indirect Costs'!$C62,Imput[[PERIODO Imp.]:[PERIODO Imp.]],'Indirect Costs'!DC$8)</f>
        <v>0</v>
      </c>
      <c r="DD62" s="48">
        <f>SUMIFS(Imput[[Importe Neto]:[Importe Neto]],Imput[[C. Imp.]:[C. Imp.]],'Indirect Costs'!$C62,Imput[[PERIODO Imp.]:[PERIODO Imp.]],'Indirect Costs'!DD$8)</f>
        <v>0</v>
      </c>
      <c r="DE62" s="48">
        <f>SUMIFS(Imput[[Importe Neto]:[Importe Neto]],Imput[[C. Imp.]:[C. Imp.]],'Indirect Costs'!$C62,Imput[[PERIODO Imp.]:[PERIODO Imp.]],'Indirect Costs'!DE$8)</f>
        <v>0</v>
      </c>
      <c r="DF62" s="143">
        <f>SUMIFS(Imput[[Importe Neto]:[Importe Neto]],Imput[[C. Imp.]:[C. Imp.]],'Indirect Costs'!$C62,Imput[[PERIODO Imp.]:[PERIODO Imp.]],'Indirect Costs'!DF$8)</f>
        <v>0</v>
      </c>
    </row>
    <row r="63" spans="1:110" ht="14.4" thickBot="1" x14ac:dyDescent="0.3">
      <c r="A63" s="28" t="str">
        <f t="shared" si="3"/>
        <v>Imprimir</v>
      </c>
      <c r="B63" s="54"/>
      <c r="C63" s="36" t="s">
        <v>574</v>
      </c>
      <c r="D63" s="54" t="s">
        <v>575</v>
      </c>
      <c r="E63" s="36"/>
      <c r="F63" s="37"/>
      <c r="G63" s="55"/>
      <c r="H63" s="38"/>
      <c r="I63" s="39">
        <f>SUBTOTAL(9,I64:I70)</f>
        <v>40000</v>
      </c>
      <c r="J63" s="45"/>
      <c r="K63" s="250">
        <f>SUMPRODUCT($F64:$F70,$G64:$G70,K64:K70)</f>
        <v>1000</v>
      </c>
      <c r="L63" s="251">
        <f t="shared" ref="L63:BF63" si="10">SUMPRODUCT($F64:$F70,$G64:$G70,L64:L70)</f>
        <v>1000</v>
      </c>
      <c r="M63" s="251">
        <f t="shared" si="10"/>
        <v>1000</v>
      </c>
      <c r="N63" s="251">
        <f t="shared" si="10"/>
        <v>1000</v>
      </c>
      <c r="O63" s="251">
        <f t="shared" si="10"/>
        <v>1000</v>
      </c>
      <c r="P63" s="251">
        <f t="shared" si="10"/>
        <v>1000</v>
      </c>
      <c r="Q63" s="251">
        <f t="shared" si="10"/>
        <v>40000</v>
      </c>
      <c r="R63" s="251">
        <f t="shared" si="10"/>
        <v>0</v>
      </c>
      <c r="S63" s="251">
        <f t="shared" si="10"/>
        <v>0</v>
      </c>
      <c r="T63" s="251">
        <f t="shared" si="10"/>
        <v>0</v>
      </c>
      <c r="U63" s="251">
        <f t="shared" si="10"/>
        <v>0</v>
      </c>
      <c r="V63" s="251">
        <f t="shared" si="10"/>
        <v>0</v>
      </c>
      <c r="W63" s="251">
        <f t="shared" si="10"/>
        <v>0</v>
      </c>
      <c r="X63" s="251">
        <f t="shared" si="10"/>
        <v>0</v>
      </c>
      <c r="Y63" s="251">
        <f t="shared" si="10"/>
        <v>0</v>
      </c>
      <c r="Z63" s="251">
        <f t="shared" si="10"/>
        <v>0</v>
      </c>
      <c r="AA63" s="251">
        <f t="shared" si="10"/>
        <v>0</v>
      </c>
      <c r="AB63" s="251">
        <f t="shared" si="10"/>
        <v>0</v>
      </c>
      <c r="AC63" s="251">
        <f t="shared" si="10"/>
        <v>0</v>
      </c>
      <c r="AD63" s="251">
        <f t="shared" si="10"/>
        <v>0</v>
      </c>
      <c r="AE63" s="251">
        <f t="shared" si="10"/>
        <v>0</v>
      </c>
      <c r="AF63" s="251">
        <f t="shared" si="10"/>
        <v>0</v>
      </c>
      <c r="AG63" s="251">
        <f t="shared" si="10"/>
        <v>0</v>
      </c>
      <c r="AH63" s="251">
        <f t="shared" si="10"/>
        <v>0</v>
      </c>
      <c r="AI63" s="251">
        <f t="shared" si="10"/>
        <v>0</v>
      </c>
      <c r="AJ63" s="251">
        <f t="shared" si="10"/>
        <v>0</v>
      </c>
      <c r="AK63" s="251">
        <f t="shared" si="10"/>
        <v>0</v>
      </c>
      <c r="AL63" s="251">
        <f t="shared" si="10"/>
        <v>0</v>
      </c>
      <c r="AM63" s="251">
        <f t="shared" si="10"/>
        <v>0</v>
      </c>
      <c r="AN63" s="251">
        <f t="shared" si="10"/>
        <v>0</v>
      </c>
      <c r="AO63" s="251">
        <f t="shared" si="10"/>
        <v>0</v>
      </c>
      <c r="AP63" s="251">
        <f t="shared" si="10"/>
        <v>0</v>
      </c>
      <c r="AQ63" s="251">
        <f t="shared" si="10"/>
        <v>0</v>
      </c>
      <c r="AR63" s="251">
        <f t="shared" si="10"/>
        <v>0</v>
      </c>
      <c r="AS63" s="251">
        <f t="shared" si="10"/>
        <v>0</v>
      </c>
      <c r="AT63" s="251">
        <f t="shared" si="10"/>
        <v>0</v>
      </c>
      <c r="AU63" s="251">
        <f t="shared" si="10"/>
        <v>0</v>
      </c>
      <c r="AV63" s="251">
        <f t="shared" si="10"/>
        <v>0</v>
      </c>
      <c r="AW63" s="251">
        <f t="shared" si="10"/>
        <v>0</v>
      </c>
      <c r="AX63" s="251">
        <f t="shared" si="10"/>
        <v>0</v>
      </c>
      <c r="AY63" s="251">
        <f t="shared" si="10"/>
        <v>0</v>
      </c>
      <c r="AZ63" s="251">
        <f t="shared" si="10"/>
        <v>0</v>
      </c>
      <c r="BA63" s="251">
        <f t="shared" si="10"/>
        <v>0</v>
      </c>
      <c r="BB63" s="251">
        <f t="shared" si="10"/>
        <v>0</v>
      </c>
      <c r="BC63" s="251">
        <f t="shared" si="10"/>
        <v>0</v>
      </c>
      <c r="BD63" s="251">
        <f t="shared" si="10"/>
        <v>0</v>
      </c>
      <c r="BE63" s="251">
        <f t="shared" si="10"/>
        <v>0</v>
      </c>
      <c r="BF63" s="566">
        <f t="shared" si="10"/>
        <v>0</v>
      </c>
      <c r="BG63" s="45"/>
      <c r="BH63" s="165">
        <f>IFERROR(BI63/I63,0)</f>
        <v>4.2827879586159998</v>
      </c>
      <c r="BI63" s="39">
        <f>SUBTOTAL(9,BI64:BI70)</f>
        <v>171311.51834464</v>
      </c>
      <c r="BJ63" s="45"/>
      <c r="BK63" s="137">
        <f>SUM(BK64:BK70)</f>
        <v>0</v>
      </c>
      <c r="BL63" s="138">
        <f t="shared" ref="BL63:DF63" si="11">SUM(BL64:BL70)</f>
        <v>12578.344608830001</v>
      </c>
      <c r="BM63" s="138">
        <f t="shared" si="11"/>
        <v>0</v>
      </c>
      <c r="BN63" s="138">
        <f t="shared" si="11"/>
        <v>43753.622354449995</v>
      </c>
      <c r="BO63" s="138">
        <f t="shared" si="11"/>
        <v>22283.996469360001</v>
      </c>
      <c r="BP63" s="138">
        <f t="shared" si="11"/>
        <v>18300.010399999999</v>
      </c>
      <c r="BQ63" s="138">
        <f t="shared" si="11"/>
        <v>29197.198400000001</v>
      </c>
      <c r="BR63" s="138">
        <f t="shared" si="11"/>
        <v>11702.318111999999</v>
      </c>
      <c r="BS63" s="138">
        <f t="shared" si="11"/>
        <v>0</v>
      </c>
      <c r="BT63" s="138">
        <f t="shared" si="11"/>
        <v>5640</v>
      </c>
      <c r="BU63" s="138">
        <f t="shared" si="11"/>
        <v>0</v>
      </c>
      <c r="BV63" s="138">
        <f t="shared" si="11"/>
        <v>18403.0144</v>
      </c>
      <c r="BW63" s="138">
        <f t="shared" si="11"/>
        <v>4403</v>
      </c>
      <c r="BX63" s="138">
        <f t="shared" si="11"/>
        <v>0</v>
      </c>
      <c r="BY63" s="138">
        <f t="shared" si="11"/>
        <v>1480.0136</v>
      </c>
      <c r="BZ63" s="138">
        <f t="shared" si="11"/>
        <v>3570</v>
      </c>
      <c r="CA63" s="138">
        <f t="shared" si="11"/>
        <v>0</v>
      </c>
      <c r="CB63" s="138">
        <f t="shared" si="11"/>
        <v>0</v>
      </c>
      <c r="CC63" s="138">
        <f t="shared" si="11"/>
        <v>0</v>
      </c>
      <c r="CD63" s="138">
        <f t="shared" si="11"/>
        <v>0</v>
      </c>
      <c r="CE63" s="138">
        <f t="shared" si="11"/>
        <v>0</v>
      </c>
      <c r="CF63" s="138">
        <f t="shared" si="11"/>
        <v>0</v>
      </c>
      <c r="CG63" s="138">
        <f t="shared" si="11"/>
        <v>0</v>
      </c>
      <c r="CH63" s="138">
        <f t="shared" si="11"/>
        <v>0</v>
      </c>
      <c r="CI63" s="138">
        <f t="shared" si="11"/>
        <v>0</v>
      </c>
      <c r="CJ63" s="138">
        <f t="shared" si="11"/>
        <v>0</v>
      </c>
      <c r="CK63" s="138">
        <f t="shared" si="11"/>
        <v>0</v>
      </c>
      <c r="CL63" s="138">
        <f t="shared" si="11"/>
        <v>0</v>
      </c>
      <c r="CM63" s="138">
        <f t="shared" si="11"/>
        <v>0</v>
      </c>
      <c r="CN63" s="138">
        <f t="shared" si="11"/>
        <v>0</v>
      </c>
      <c r="CO63" s="138">
        <f t="shared" si="11"/>
        <v>0</v>
      </c>
      <c r="CP63" s="138">
        <f t="shared" si="11"/>
        <v>0</v>
      </c>
      <c r="CQ63" s="138">
        <f t="shared" si="11"/>
        <v>0</v>
      </c>
      <c r="CR63" s="138">
        <f t="shared" si="11"/>
        <v>0</v>
      </c>
      <c r="CS63" s="138">
        <f t="shared" si="11"/>
        <v>0</v>
      </c>
      <c r="CT63" s="138">
        <f t="shared" si="11"/>
        <v>0</v>
      </c>
      <c r="CU63" s="138">
        <f t="shared" si="11"/>
        <v>0</v>
      </c>
      <c r="CV63" s="138">
        <f t="shared" si="11"/>
        <v>0</v>
      </c>
      <c r="CW63" s="138">
        <f t="shared" si="11"/>
        <v>0</v>
      </c>
      <c r="CX63" s="138">
        <f t="shared" si="11"/>
        <v>0</v>
      </c>
      <c r="CY63" s="138">
        <f t="shared" si="11"/>
        <v>0</v>
      </c>
      <c r="CZ63" s="138">
        <f t="shared" si="11"/>
        <v>0</v>
      </c>
      <c r="DA63" s="138">
        <f t="shared" si="11"/>
        <v>0</v>
      </c>
      <c r="DB63" s="138">
        <f t="shared" si="11"/>
        <v>0</v>
      </c>
      <c r="DC63" s="138">
        <f t="shared" si="11"/>
        <v>0</v>
      </c>
      <c r="DD63" s="138">
        <f t="shared" si="11"/>
        <v>0</v>
      </c>
      <c r="DE63" s="138">
        <f t="shared" si="11"/>
        <v>0</v>
      </c>
      <c r="DF63" s="139">
        <f t="shared" si="11"/>
        <v>0</v>
      </c>
    </row>
    <row r="64" spans="1:110" outlineLevel="1" x14ac:dyDescent="0.25">
      <c r="A64" s="28" t="str">
        <f t="shared" si="3"/>
        <v>Imprimir</v>
      </c>
      <c r="B64" s="50">
        <v>1</v>
      </c>
      <c r="C64" s="57" t="s">
        <v>1757</v>
      </c>
      <c r="D64" s="56" t="s">
        <v>2124</v>
      </c>
      <c r="E64" s="56" t="s">
        <v>2124</v>
      </c>
      <c r="F64" s="58">
        <v>6000</v>
      </c>
      <c r="G64" s="49">
        <v>1</v>
      </c>
      <c r="H64" s="51">
        <v>1</v>
      </c>
      <c r="I64" s="505">
        <f t="shared" si="7"/>
        <v>6000</v>
      </c>
      <c r="J64" s="47"/>
      <c r="K64" s="142">
        <v>0.16666666666666666</v>
      </c>
      <c r="L64" s="48">
        <v>0.16666666666666666</v>
      </c>
      <c r="M64" s="48">
        <v>0.16666666666666666</v>
      </c>
      <c r="N64" s="48">
        <v>0.16666666666666666</v>
      </c>
      <c r="O64" s="48">
        <v>0.16666666666666666</v>
      </c>
      <c r="P64" s="48">
        <v>0.16666666666666666</v>
      </c>
      <c r="Q64" s="48">
        <v>1</v>
      </c>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143"/>
      <c r="BG64" s="47"/>
      <c r="BH64" s="509"/>
      <c r="BI64" s="505">
        <f t="shared" si="6"/>
        <v>28836</v>
      </c>
      <c r="BJ64" s="47"/>
      <c r="BK64" s="142">
        <f>SUMIFS(Imput[[Importe Neto]:[Importe Neto]],Imput[[C. Imp.]:[C. Imp.]],'Indirect Costs'!$C64,Imput[[PERIODO Imp.]:[PERIODO Imp.]],'Indirect Costs'!BK$8)</f>
        <v>0</v>
      </c>
      <c r="BL64" s="48">
        <f>SUMIFS(Imput[[Importe Neto]:[Importe Neto]],Imput[[C. Imp.]:[C. Imp.]],'Indirect Costs'!$C64,Imput[[PERIODO Imp.]:[PERIODO Imp.]],'Indirect Costs'!BL$8)</f>
        <v>8316</v>
      </c>
      <c r="BM64" s="48">
        <f>SUMIFS(Imput[[Importe Neto]:[Importe Neto]],Imput[[C. Imp.]:[C. Imp.]],'Indirect Costs'!$C64,Imput[[PERIODO Imp.]:[PERIODO Imp.]],'Indirect Costs'!BM$8)</f>
        <v>0</v>
      </c>
      <c r="BN64" s="48">
        <f>SUMIFS(Imput[[Importe Neto]:[Importe Neto]],Imput[[C. Imp.]:[C. Imp.]],'Indirect Costs'!$C64,Imput[[PERIODO Imp.]:[PERIODO Imp.]],'Indirect Costs'!BN$8)</f>
        <v>8100</v>
      </c>
      <c r="BO64" s="48">
        <f>SUMIFS(Imput[[Importe Neto]:[Importe Neto]],Imput[[C. Imp.]:[C. Imp.]],'Indirect Costs'!$C64,Imput[[PERIODO Imp.]:[PERIODO Imp.]],'Indirect Costs'!BO$8)</f>
        <v>0</v>
      </c>
      <c r="BP64" s="48">
        <f>SUMIFS(Imput[[Importe Neto]:[Importe Neto]],Imput[[C. Imp.]:[C. Imp.]],'Indirect Costs'!$C64,Imput[[PERIODO Imp.]:[PERIODO Imp.]],'Indirect Costs'!BP$8)</f>
        <v>12420</v>
      </c>
      <c r="BQ64" s="48">
        <f>SUMIFS(Imput[[Importe Neto]:[Importe Neto]],Imput[[C. Imp.]:[C. Imp.]],'Indirect Costs'!$C64,Imput[[PERIODO Imp.]:[PERIODO Imp.]],'Indirect Costs'!BQ$8)</f>
        <v>0</v>
      </c>
      <c r="BR64" s="48">
        <f>SUMIFS(Imput[[Importe Neto]:[Importe Neto]],Imput[[C. Imp.]:[C. Imp.]],'Indirect Costs'!$C64,Imput[[PERIODO Imp.]:[PERIODO Imp.]],'Indirect Costs'!BR$8)</f>
        <v>0</v>
      </c>
      <c r="BS64" s="48">
        <f>SUMIFS(Imput[[Importe Neto]:[Importe Neto]],Imput[[C. Imp.]:[C. Imp.]],'Indirect Costs'!$C64,Imput[[PERIODO Imp.]:[PERIODO Imp.]],'Indirect Costs'!BS$8)</f>
        <v>0</v>
      </c>
      <c r="BT64" s="48">
        <f>SUMIFS(Imput[[Importe Neto]:[Importe Neto]],Imput[[C. Imp.]:[C. Imp.]],'Indirect Costs'!$C64,Imput[[PERIODO Imp.]:[PERIODO Imp.]],'Indirect Costs'!BT$8)</f>
        <v>0</v>
      </c>
      <c r="BU64" s="48">
        <f>SUMIFS(Imput[[Importe Neto]:[Importe Neto]],Imput[[C. Imp.]:[C. Imp.]],'Indirect Costs'!$C64,Imput[[PERIODO Imp.]:[PERIODO Imp.]],'Indirect Costs'!BU$8)</f>
        <v>0</v>
      </c>
      <c r="BV64" s="48">
        <f>SUMIFS(Imput[[Importe Neto]:[Importe Neto]],Imput[[C. Imp.]:[C. Imp.]],'Indirect Costs'!$C64,Imput[[PERIODO Imp.]:[PERIODO Imp.]],'Indirect Costs'!BV$8)</f>
        <v>0</v>
      </c>
      <c r="BW64" s="48">
        <f>SUMIFS(Imput[[Importe Neto]:[Importe Neto]],Imput[[C. Imp.]:[C. Imp.]],'Indirect Costs'!$C64,Imput[[PERIODO Imp.]:[PERIODO Imp.]],'Indirect Costs'!BW$8)</f>
        <v>0</v>
      </c>
      <c r="BX64" s="48">
        <f>SUMIFS(Imput[[Importe Neto]:[Importe Neto]],Imput[[C. Imp.]:[C. Imp.]],'Indirect Costs'!$C64,Imput[[PERIODO Imp.]:[PERIODO Imp.]],'Indirect Costs'!BX$8)</f>
        <v>0</v>
      </c>
      <c r="BY64" s="48">
        <f>SUMIFS(Imput[[Importe Neto]:[Importe Neto]],Imput[[C. Imp.]:[C. Imp.]],'Indirect Costs'!$C64,Imput[[PERIODO Imp.]:[PERIODO Imp.]],'Indirect Costs'!BY$8)</f>
        <v>0</v>
      </c>
      <c r="BZ64" s="48">
        <f>SUMIFS(Imput[[Importe Neto]:[Importe Neto]],Imput[[C. Imp.]:[C. Imp.]],'Indirect Costs'!$C64,Imput[[PERIODO Imp.]:[PERIODO Imp.]],'Indirect Costs'!BZ$8)</f>
        <v>0</v>
      </c>
      <c r="CA64" s="48">
        <f>SUMIFS(Imput[[Importe Neto]:[Importe Neto]],Imput[[C. Imp.]:[C. Imp.]],'Indirect Costs'!$C64,Imput[[PERIODO Imp.]:[PERIODO Imp.]],'Indirect Costs'!CA$8)</f>
        <v>0</v>
      </c>
      <c r="CB64" s="48">
        <f>SUMIFS(Imput[[Importe Neto]:[Importe Neto]],Imput[[C. Imp.]:[C. Imp.]],'Indirect Costs'!$C64,Imput[[PERIODO Imp.]:[PERIODO Imp.]],'Indirect Costs'!CB$8)</f>
        <v>0</v>
      </c>
      <c r="CC64" s="48">
        <f>SUMIFS(Imput[[Importe Neto]:[Importe Neto]],Imput[[C. Imp.]:[C. Imp.]],'Indirect Costs'!$C64,Imput[[PERIODO Imp.]:[PERIODO Imp.]],'Indirect Costs'!CC$8)</f>
        <v>0</v>
      </c>
      <c r="CD64" s="48">
        <f>SUMIFS(Imput[[Importe Neto]:[Importe Neto]],Imput[[C. Imp.]:[C. Imp.]],'Indirect Costs'!$C64,Imput[[PERIODO Imp.]:[PERIODO Imp.]],'Indirect Costs'!CD$8)</f>
        <v>0</v>
      </c>
      <c r="CE64" s="48">
        <f>SUMIFS(Imput[[Importe Neto]:[Importe Neto]],Imput[[C. Imp.]:[C. Imp.]],'Indirect Costs'!$C64,Imput[[PERIODO Imp.]:[PERIODO Imp.]],'Indirect Costs'!CE$8)</f>
        <v>0</v>
      </c>
      <c r="CF64" s="48">
        <f>SUMIFS(Imput[[Importe Neto]:[Importe Neto]],Imput[[C. Imp.]:[C. Imp.]],'Indirect Costs'!$C64,Imput[[PERIODO Imp.]:[PERIODO Imp.]],'Indirect Costs'!CF$8)</f>
        <v>0</v>
      </c>
      <c r="CG64" s="48">
        <f>SUMIFS(Imput[[Importe Neto]:[Importe Neto]],Imput[[C. Imp.]:[C. Imp.]],'Indirect Costs'!$C64,Imput[[PERIODO Imp.]:[PERIODO Imp.]],'Indirect Costs'!CG$8)</f>
        <v>0</v>
      </c>
      <c r="CH64" s="48">
        <f>SUMIFS(Imput[[Importe Neto]:[Importe Neto]],Imput[[C. Imp.]:[C. Imp.]],'Indirect Costs'!$C64,Imput[[PERIODO Imp.]:[PERIODO Imp.]],'Indirect Costs'!CH$8)</f>
        <v>0</v>
      </c>
      <c r="CI64" s="48">
        <f>SUMIFS(Imput[[Importe Neto]:[Importe Neto]],Imput[[C. Imp.]:[C. Imp.]],'Indirect Costs'!$C64,Imput[[PERIODO Imp.]:[PERIODO Imp.]],'Indirect Costs'!CI$8)</f>
        <v>0</v>
      </c>
      <c r="CJ64" s="48">
        <f>SUMIFS(Imput[[Importe Neto]:[Importe Neto]],Imput[[C. Imp.]:[C. Imp.]],'Indirect Costs'!$C64,Imput[[PERIODO Imp.]:[PERIODO Imp.]],'Indirect Costs'!CJ$8)</f>
        <v>0</v>
      </c>
      <c r="CK64" s="48">
        <f>SUMIFS(Imput[[Importe Neto]:[Importe Neto]],Imput[[C. Imp.]:[C. Imp.]],'Indirect Costs'!$C64,Imput[[PERIODO Imp.]:[PERIODO Imp.]],'Indirect Costs'!CK$8)</f>
        <v>0</v>
      </c>
      <c r="CL64" s="48">
        <f>SUMIFS(Imput[[Importe Neto]:[Importe Neto]],Imput[[C. Imp.]:[C. Imp.]],'Indirect Costs'!$C64,Imput[[PERIODO Imp.]:[PERIODO Imp.]],'Indirect Costs'!CL$8)</f>
        <v>0</v>
      </c>
      <c r="CM64" s="48">
        <f>SUMIFS(Imput[[Importe Neto]:[Importe Neto]],Imput[[C. Imp.]:[C. Imp.]],'Indirect Costs'!$C64,Imput[[PERIODO Imp.]:[PERIODO Imp.]],'Indirect Costs'!CM$8)</f>
        <v>0</v>
      </c>
      <c r="CN64" s="48">
        <f>SUMIFS(Imput[[Importe Neto]:[Importe Neto]],Imput[[C. Imp.]:[C. Imp.]],'Indirect Costs'!$C64,Imput[[PERIODO Imp.]:[PERIODO Imp.]],'Indirect Costs'!CN$8)</f>
        <v>0</v>
      </c>
      <c r="CO64" s="48">
        <f>SUMIFS(Imput[[Importe Neto]:[Importe Neto]],Imput[[C. Imp.]:[C. Imp.]],'Indirect Costs'!$C64,Imput[[PERIODO Imp.]:[PERIODO Imp.]],'Indirect Costs'!CO$8)</f>
        <v>0</v>
      </c>
      <c r="CP64" s="48">
        <f>SUMIFS(Imput[[Importe Neto]:[Importe Neto]],Imput[[C. Imp.]:[C. Imp.]],'Indirect Costs'!$C64,Imput[[PERIODO Imp.]:[PERIODO Imp.]],'Indirect Costs'!CP$8)</f>
        <v>0</v>
      </c>
      <c r="CQ64" s="48">
        <f>SUMIFS(Imput[[Importe Neto]:[Importe Neto]],Imput[[C. Imp.]:[C. Imp.]],'Indirect Costs'!$C64,Imput[[PERIODO Imp.]:[PERIODO Imp.]],'Indirect Costs'!CQ$8)</f>
        <v>0</v>
      </c>
      <c r="CR64" s="48">
        <f>SUMIFS(Imput[[Importe Neto]:[Importe Neto]],Imput[[C. Imp.]:[C. Imp.]],'Indirect Costs'!$C64,Imput[[PERIODO Imp.]:[PERIODO Imp.]],'Indirect Costs'!CR$8)</f>
        <v>0</v>
      </c>
      <c r="CS64" s="48">
        <f>SUMIFS(Imput[[Importe Neto]:[Importe Neto]],Imput[[C. Imp.]:[C. Imp.]],'Indirect Costs'!$C64,Imput[[PERIODO Imp.]:[PERIODO Imp.]],'Indirect Costs'!CS$8)</f>
        <v>0</v>
      </c>
      <c r="CT64" s="48">
        <f>SUMIFS(Imput[[Importe Neto]:[Importe Neto]],Imput[[C. Imp.]:[C. Imp.]],'Indirect Costs'!$C64,Imput[[PERIODO Imp.]:[PERIODO Imp.]],'Indirect Costs'!CT$8)</f>
        <v>0</v>
      </c>
      <c r="CU64" s="48">
        <f>SUMIFS(Imput[[Importe Neto]:[Importe Neto]],Imput[[C. Imp.]:[C. Imp.]],'Indirect Costs'!$C64,Imput[[PERIODO Imp.]:[PERIODO Imp.]],'Indirect Costs'!CU$8)</f>
        <v>0</v>
      </c>
      <c r="CV64" s="48">
        <f>SUMIFS(Imput[[Importe Neto]:[Importe Neto]],Imput[[C. Imp.]:[C. Imp.]],'Indirect Costs'!$C64,Imput[[PERIODO Imp.]:[PERIODO Imp.]],'Indirect Costs'!CV$8)</f>
        <v>0</v>
      </c>
      <c r="CW64" s="48">
        <f>SUMIFS(Imput[[Importe Neto]:[Importe Neto]],Imput[[C. Imp.]:[C. Imp.]],'Indirect Costs'!$C64,Imput[[PERIODO Imp.]:[PERIODO Imp.]],'Indirect Costs'!CW$8)</f>
        <v>0</v>
      </c>
      <c r="CX64" s="48">
        <f>SUMIFS(Imput[[Importe Neto]:[Importe Neto]],Imput[[C. Imp.]:[C. Imp.]],'Indirect Costs'!$C64,Imput[[PERIODO Imp.]:[PERIODO Imp.]],'Indirect Costs'!CX$8)</f>
        <v>0</v>
      </c>
      <c r="CY64" s="48">
        <f>SUMIFS(Imput[[Importe Neto]:[Importe Neto]],Imput[[C. Imp.]:[C. Imp.]],'Indirect Costs'!$C64,Imput[[PERIODO Imp.]:[PERIODO Imp.]],'Indirect Costs'!CY$8)</f>
        <v>0</v>
      </c>
      <c r="CZ64" s="48">
        <f>SUMIFS(Imput[[Importe Neto]:[Importe Neto]],Imput[[C. Imp.]:[C. Imp.]],'Indirect Costs'!$C64,Imput[[PERIODO Imp.]:[PERIODO Imp.]],'Indirect Costs'!CZ$8)</f>
        <v>0</v>
      </c>
      <c r="DA64" s="48">
        <f>SUMIFS(Imput[[Importe Neto]:[Importe Neto]],Imput[[C. Imp.]:[C. Imp.]],'Indirect Costs'!$C64,Imput[[PERIODO Imp.]:[PERIODO Imp.]],'Indirect Costs'!DA$8)</f>
        <v>0</v>
      </c>
      <c r="DB64" s="48">
        <f>SUMIFS(Imput[[Importe Neto]:[Importe Neto]],Imput[[C. Imp.]:[C. Imp.]],'Indirect Costs'!$C64,Imput[[PERIODO Imp.]:[PERIODO Imp.]],'Indirect Costs'!DB$8)</f>
        <v>0</v>
      </c>
      <c r="DC64" s="48">
        <f>SUMIFS(Imput[[Importe Neto]:[Importe Neto]],Imput[[C. Imp.]:[C. Imp.]],'Indirect Costs'!$C64,Imput[[PERIODO Imp.]:[PERIODO Imp.]],'Indirect Costs'!DC$8)</f>
        <v>0</v>
      </c>
      <c r="DD64" s="48">
        <f>SUMIFS(Imput[[Importe Neto]:[Importe Neto]],Imput[[C. Imp.]:[C. Imp.]],'Indirect Costs'!$C64,Imput[[PERIODO Imp.]:[PERIODO Imp.]],'Indirect Costs'!DD$8)</f>
        <v>0</v>
      </c>
      <c r="DE64" s="48">
        <f>SUMIFS(Imput[[Importe Neto]:[Importe Neto]],Imput[[C. Imp.]:[C. Imp.]],'Indirect Costs'!$C64,Imput[[PERIODO Imp.]:[PERIODO Imp.]],'Indirect Costs'!DE$8)</f>
        <v>0</v>
      </c>
      <c r="DF64" s="143">
        <f>SUMIFS(Imput[[Importe Neto]:[Importe Neto]],Imput[[C. Imp.]:[C. Imp.]],'Indirect Costs'!$C64,Imput[[PERIODO Imp.]:[PERIODO Imp.]],'Indirect Costs'!DF$8)</f>
        <v>0</v>
      </c>
    </row>
    <row r="65" spans="1:110" outlineLevel="1" x14ac:dyDescent="0.25">
      <c r="A65" s="28" t="str">
        <f t="shared" si="3"/>
        <v>Imprimir</v>
      </c>
      <c r="B65" s="50">
        <v>2</v>
      </c>
      <c r="C65" s="57" t="s">
        <v>1803</v>
      </c>
      <c r="D65" s="56" t="s">
        <v>2125</v>
      </c>
      <c r="E65" s="56" t="s">
        <v>2125</v>
      </c>
      <c r="F65" s="58">
        <v>8000</v>
      </c>
      <c r="G65" s="49">
        <v>1</v>
      </c>
      <c r="H65" s="51">
        <v>1</v>
      </c>
      <c r="I65" s="505">
        <f t="shared" si="7"/>
        <v>8000</v>
      </c>
      <c r="J65" s="47"/>
      <c r="K65" s="142"/>
      <c r="L65" s="48"/>
      <c r="M65" s="48"/>
      <c r="N65" s="48"/>
      <c r="O65" s="48"/>
      <c r="P65" s="48"/>
      <c r="Q65" s="48">
        <v>1</v>
      </c>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143"/>
      <c r="BG65" s="47"/>
      <c r="BH65" s="509"/>
      <c r="BI65" s="505">
        <f t="shared" si="6"/>
        <v>0</v>
      </c>
      <c r="BJ65" s="47"/>
      <c r="BK65" s="142">
        <f>SUMIFS(Imput[[Importe Neto]:[Importe Neto]],Imput[[C. Imp.]:[C. Imp.]],'Indirect Costs'!$C65,Imput[[PERIODO Imp.]:[PERIODO Imp.]],'Indirect Costs'!BK$8)</f>
        <v>0</v>
      </c>
      <c r="BL65" s="48">
        <f>SUMIFS(Imput[[Importe Neto]:[Importe Neto]],Imput[[C. Imp.]:[C. Imp.]],'Indirect Costs'!$C65,Imput[[PERIODO Imp.]:[PERIODO Imp.]],'Indirect Costs'!BL$8)</f>
        <v>0</v>
      </c>
      <c r="BM65" s="48">
        <f>SUMIFS(Imput[[Importe Neto]:[Importe Neto]],Imput[[C. Imp.]:[C. Imp.]],'Indirect Costs'!$C65,Imput[[PERIODO Imp.]:[PERIODO Imp.]],'Indirect Costs'!BM$8)</f>
        <v>0</v>
      </c>
      <c r="BN65" s="48">
        <f>SUMIFS(Imput[[Importe Neto]:[Importe Neto]],Imput[[C. Imp.]:[C. Imp.]],'Indirect Costs'!$C65,Imput[[PERIODO Imp.]:[PERIODO Imp.]],'Indirect Costs'!BN$8)</f>
        <v>0</v>
      </c>
      <c r="BO65" s="48">
        <f>SUMIFS(Imput[[Importe Neto]:[Importe Neto]],Imput[[C. Imp.]:[C. Imp.]],'Indirect Costs'!$C65,Imput[[PERIODO Imp.]:[PERIODO Imp.]],'Indirect Costs'!BO$8)</f>
        <v>0</v>
      </c>
      <c r="BP65" s="48">
        <f>SUMIFS(Imput[[Importe Neto]:[Importe Neto]],Imput[[C. Imp.]:[C. Imp.]],'Indirect Costs'!$C65,Imput[[PERIODO Imp.]:[PERIODO Imp.]],'Indirect Costs'!BP$8)</f>
        <v>0</v>
      </c>
      <c r="BQ65" s="48">
        <f>SUMIFS(Imput[[Importe Neto]:[Importe Neto]],Imput[[C. Imp.]:[C. Imp.]],'Indirect Costs'!$C65,Imput[[PERIODO Imp.]:[PERIODO Imp.]],'Indirect Costs'!BQ$8)</f>
        <v>0</v>
      </c>
      <c r="BR65" s="48">
        <f>SUMIFS(Imput[[Importe Neto]:[Importe Neto]],Imput[[C. Imp.]:[C. Imp.]],'Indirect Costs'!$C65,Imput[[PERIODO Imp.]:[PERIODO Imp.]],'Indirect Costs'!BR$8)</f>
        <v>0</v>
      </c>
      <c r="BS65" s="48">
        <f>SUMIFS(Imput[[Importe Neto]:[Importe Neto]],Imput[[C. Imp.]:[C. Imp.]],'Indirect Costs'!$C65,Imput[[PERIODO Imp.]:[PERIODO Imp.]],'Indirect Costs'!BS$8)</f>
        <v>0</v>
      </c>
      <c r="BT65" s="48">
        <f>SUMIFS(Imput[[Importe Neto]:[Importe Neto]],Imput[[C. Imp.]:[C. Imp.]],'Indirect Costs'!$C65,Imput[[PERIODO Imp.]:[PERIODO Imp.]],'Indirect Costs'!BT$8)</f>
        <v>0</v>
      </c>
      <c r="BU65" s="48">
        <f>SUMIFS(Imput[[Importe Neto]:[Importe Neto]],Imput[[C. Imp.]:[C. Imp.]],'Indirect Costs'!$C65,Imput[[PERIODO Imp.]:[PERIODO Imp.]],'Indirect Costs'!BU$8)</f>
        <v>0</v>
      </c>
      <c r="BV65" s="48">
        <f>SUMIFS(Imput[[Importe Neto]:[Importe Neto]],Imput[[C. Imp.]:[C. Imp.]],'Indirect Costs'!$C65,Imput[[PERIODO Imp.]:[PERIODO Imp.]],'Indirect Costs'!BV$8)</f>
        <v>0</v>
      </c>
      <c r="BW65" s="48">
        <f>SUMIFS(Imput[[Importe Neto]:[Importe Neto]],Imput[[C. Imp.]:[C. Imp.]],'Indirect Costs'!$C65,Imput[[PERIODO Imp.]:[PERIODO Imp.]],'Indirect Costs'!BW$8)</f>
        <v>0</v>
      </c>
      <c r="BX65" s="48">
        <f>SUMIFS(Imput[[Importe Neto]:[Importe Neto]],Imput[[C. Imp.]:[C. Imp.]],'Indirect Costs'!$C65,Imput[[PERIODO Imp.]:[PERIODO Imp.]],'Indirect Costs'!BX$8)</f>
        <v>0</v>
      </c>
      <c r="BY65" s="48">
        <f>SUMIFS(Imput[[Importe Neto]:[Importe Neto]],Imput[[C. Imp.]:[C. Imp.]],'Indirect Costs'!$C65,Imput[[PERIODO Imp.]:[PERIODO Imp.]],'Indirect Costs'!BY$8)</f>
        <v>0</v>
      </c>
      <c r="BZ65" s="48">
        <f>SUMIFS(Imput[[Importe Neto]:[Importe Neto]],Imput[[C. Imp.]:[C. Imp.]],'Indirect Costs'!$C65,Imput[[PERIODO Imp.]:[PERIODO Imp.]],'Indirect Costs'!BZ$8)</f>
        <v>0</v>
      </c>
      <c r="CA65" s="48">
        <f>SUMIFS(Imput[[Importe Neto]:[Importe Neto]],Imput[[C. Imp.]:[C. Imp.]],'Indirect Costs'!$C65,Imput[[PERIODO Imp.]:[PERIODO Imp.]],'Indirect Costs'!CA$8)</f>
        <v>0</v>
      </c>
      <c r="CB65" s="48">
        <f>SUMIFS(Imput[[Importe Neto]:[Importe Neto]],Imput[[C. Imp.]:[C. Imp.]],'Indirect Costs'!$C65,Imput[[PERIODO Imp.]:[PERIODO Imp.]],'Indirect Costs'!CB$8)</f>
        <v>0</v>
      </c>
      <c r="CC65" s="48">
        <f>SUMIFS(Imput[[Importe Neto]:[Importe Neto]],Imput[[C. Imp.]:[C. Imp.]],'Indirect Costs'!$C65,Imput[[PERIODO Imp.]:[PERIODO Imp.]],'Indirect Costs'!CC$8)</f>
        <v>0</v>
      </c>
      <c r="CD65" s="48">
        <f>SUMIFS(Imput[[Importe Neto]:[Importe Neto]],Imput[[C. Imp.]:[C. Imp.]],'Indirect Costs'!$C65,Imput[[PERIODO Imp.]:[PERIODO Imp.]],'Indirect Costs'!CD$8)</f>
        <v>0</v>
      </c>
      <c r="CE65" s="48">
        <f>SUMIFS(Imput[[Importe Neto]:[Importe Neto]],Imput[[C. Imp.]:[C. Imp.]],'Indirect Costs'!$C65,Imput[[PERIODO Imp.]:[PERIODO Imp.]],'Indirect Costs'!CE$8)</f>
        <v>0</v>
      </c>
      <c r="CF65" s="48">
        <f>SUMIFS(Imput[[Importe Neto]:[Importe Neto]],Imput[[C. Imp.]:[C. Imp.]],'Indirect Costs'!$C65,Imput[[PERIODO Imp.]:[PERIODO Imp.]],'Indirect Costs'!CF$8)</f>
        <v>0</v>
      </c>
      <c r="CG65" s="48">
        <f>SUMIFS(Imput[[Importe Neto]:[Importe Neto]],Imput[[C. Imp.]:[C. Imp.]],'Indirect Costs'!$C65,Imput[[PERIODO Imp.]:[PERIODO Imp.]],'Indirect Costs'!CG$8)</f>
        <v>0</v>
      </c>
      <c r="CH65" s="48">
        <f>SUMIFS(Imput[[Importe Neto]:[Importe Neto]],Imput[[C. Imp.]:[C. Imp.]],'Indirect Costs'!$C65,Imput[[PERIODO Imp.]:[PERIODO Imp.]],'Indirect Costs'!CH$8)</f>
        <v>0</v>
      </c>
      <c r="CI65" s="48">
        <f>SUMIFS(Imput[[Importe Neto]:[Importe Neto]],Imput[[C. Imp.]:[C. Imp.]],'Indirect Costs'!$C65,Imput[[PERIODO Imp.]:[PERIODO Imp.]],'Indirect Costs'!CI$8)</f>
        <v>0</v>
      </c>
      <c r="CJ65" s="48">
        <f>SUMIFS(Imput[[Importe Neto]:[Importe Neto]],Imput[[C. Imp.]:[C. Imp.]],'Indirect Costs'!$C65,Imput[[PERIODO Imp.]:[PERIODO Imp.]],'Indirect Costs'!CJ$8)</f>
        <v>0</v>
      </c>
      <c r="CK65" s="48">
        <f>SUMIFS(Imput[[Importe Neto]:[Importe Neto]],Imput[[C. Imp.]:[C. Imp.]],'Indirect Costs'!$C65,Imput[[PERIODO Imp.]:[PERIODO Imp.]],'Indirect Costs'!CK$8)</f>
        <v>0</v>
      </c>
      <c r="CL65" s="48">
        <f>SUMIFS(Imput[[Importe Neto]:[Importe Neto]],Imput[[C. Imp.]:[C. Imp.]],'Indirect Costs'!$C65,Imput[[PERIODO Imp.]:[PERIODO Imp.]],'Indirect Costs'!CL$8)</f>
        <v>0</v>
      </c>
      <c r="CM65" s="48">
        <f>SUMIFS(Imput[[Importe Neto]:[Importe Neto]],Imput[[C. Imp.]:[C. Imp.]],'Indirect Costs'!$C65,Imput[[PERIODO Imp.]:[PERIODO Imp.]],'Indirect Costs'!CM$8)</f>
        <v>0</v>
      </c>
      <c r="CN65" s="48">
        <f>SUMIFS(Imput[[Importe Neto]:[Importe Neto]],Imput[[C. Imp.]:[C. Imp.]],'Indirect Costs'!$C65,Imput[[PERIODO Imp.]:[PERIODO Imp.]],'Indirect Costs'!CN$8)</f>
        <v>0</v>
      </c>
      <c r="CO65" s="48">
        <f>SUMIFS(Imput[[Importe Neto]:[Importe Neto]],Imput[[C. Imp.]:[C. Imp.]],'Indirect Costs'!$C65,Imput[[PERIODO Imp.]:[PERIODO Imp.]],'Indirect Costs'!CO$8)</f>
        <v>0</v>
      </c>
      <c r="CP65" s="48">
        <f>SUMIFS(Imput[[Importe Neto]:[Importe Neto]],Imput[[C. Imp.]:[C. Imp.]],'Indirect Costs'!$C65,Imput[[PERIODO Imp.]:[PERIODO Imp.]],'Indirect Costs'!CP$8)</f>
        <v>0</v>
      </c>
      <c r="CQ65" s="48">
        <f>SUMIFS(Imput[[Importe Neto]:[Importe Neto]],Imput[[C. Imp.]:[C. Imp.]],'Indirect Costs'!$C65,Imput[[PERIODO Imp.]:[PERIODO Imp.]],'Indirect Costs'!CQ$8)</f>
        <v>0</v>
      </c>
      <c r="CR65" s="48">
        <f>SUMIFS(Imput[[Importe Neto]:[Importe Neto]],Imput[[C. Imp.]:[C. Imp.]],'Indirect Costs'!$C65,Imput[[PERIODO Imp.]:[PERIODO Imp.]],'Indirect Costs'!CR$8)</f>
        <v>0</v>
      </c>
      <c r="CS65" s="48">
        <f>SUMIFS(Imput[[Importe Neto]:[Importe Neto]],Imput[[C. Imp.]:[C. Imp.]],'Indirect Costs'!$C65,Imput[[PERIODO Imp.]:[PERIODO Imp.]],'Indirect Costs'!CS$8)</f>
        <v>0</v>
      </c>
      <c r="CT65" s="48">
        <f>SUMIFS(Imput[[Importe Neto]:[Importe Neto]],Imput[[C. Imp.]:[C. Imp.]],'Indirect Costs'!$C65,Imput[[PERIODO Imp.]:[PERIODO Imp.]],'Indirect Costs'!CT$8)</f>
        <v>0</v>
      </c>
      <c r="CU65" s="48">
        <f>SUMIFS(Imput[[Importe Neto]:[Importe Neto]],Imput[[C. Imp.]:[C. Imp.]],'Indirect Costs'!$C65,Imput[[PERIODO Imp.]:[PERIODO Imp.]],'Indirect Costs'!CU$8)</f>
        <v>0</v>
      </c>
      <c r="CV65" s="48">
        <f>SUMIFS(Imput[[Importe Neto]:[Importe Neto]],Imput[[C. Imp.]:[C. Imp.]],'Indirect Costs'!$C65,Imput[[PERIODO Imp.]:[PERIODO Imp.]],'Indirect Costs'!CV$8)</f>
        <v>0</v>
      </c>
      <c r="CW65" s="48">
        <f>SUMIFS(Imput[[Importe Neto]:[Importe Neto]],Imput[[C. Imp.]:[C. Imp.]],'Indirect Costs'!$C65,Imput[[PERIODO Imp.]:[PERIODO Imp.]],'Indirect Costs'!CW$8)</f>
        <v>0</v>
      </c>
      <c r="CX65" s="48">
        <f>SUMIFS(Imput[[Importe Neto]:[Importe Neto]],Imput[[C. Imp.]:[C. Imp.]],'Indirect Costs'!$C65,Imput[[PERIODO Imp.]:[PERIODO Imp.]],'Indirect Costs'!CX$8)</f>
        <v>0</v>
      </c>
      <c r="CY65" s="48">
        <f>SUMIFS(Imput[[Importe Neto]:[Importe Neto]],Imput[[C. Imp.]:[C. Imp.]],'Indirect Costs'!$C65,Imput[[PERIODO Imp.]:[PERIODO Imp.]],'Indirect Costs'!CY$8)</f>
        <v>0</v>
      </c>
      <c r="CZ65" s="48">
        <f>SUMIFS(Imput[[Importe Neto]:[Importe Neto]],Imput[[C. Imp.]:[C. Imp.]],'Indirect Costs'!$C65,Imput[[PERIODO Imp.]:[PERIODO Imp.]],'Indirect Costs'!CZ$8)</f>
        <v>0</v>
      </c>
      <c r="DA65" s="48">
        <f>SUMIFS(Imput[[Importe Neto]:[Importe Neto]],Imput[[C. Imp.]:[C. Imp.]],'Indirect Costs'!$C65,Imput[[PERIODO Imp.]:[PERIODO Imp.]],'Indirect Costs'!DA$8)</f>
        <v>0</v>
      </c>
      <c r="DB65" s="48">
        <f>SUMIFS(Imput[[Importe Neto]:[Importe Neto]],Imput[[C. Imp.]:[C. Imp.]],'Indirect Costs'!$C65,Imput[[PERIODO Imp.]:[PERIODO Imp.]],'Indirect Costs'!DB$8)</f>
        <v>0</v>
      </c>
      <c r="DC65" s="48">
        <f>SUMIFS(Imput[[Importe Neto]:[Importe Neto]],Imput[[C. Imp.]:[C. Imp.]],'Indirect Costs'!$C65,Imput[[PERIODO Imp.]:[PERIODO Imp.]],'Indirect Costs'!DC$8)</f>
        <v>0</v>
      </c>
      <c r="DD65" s="48">
        <f>SUMIFS(Imput[[Importe Neto]:[Importe Neto]],Imput[[C. Imp.]:[C. Imp.]],'Indirect Costs'!$C65,Imput[[PERIODO Imp.]:[PERIODO Imp.]],'Indirect Costs'!DD$8)</f>
        <v>0</v>
      </c>
      <c r="DE65" s="48">
        <f>SUMIFS(Imput[[Importe Neto]:[Importe Neto]],Imput[[C. Imp.]:[C. Imp.]],'Indirect Costs'!$C65,Imput[[PERIODO Imp.]:[PERIODO Imp.]],'Indirect Costs'!DE$8)</f>
        <v>0</v>
      </c>
      <c r="DF65" s="143">
        <f>SUMIFS(Imput[[Importe Neto]:[Importe Neto]],Imput[[C. Imp.]:[C. Imp.]],'Indirect Costs'!$C65,Imput[[PERIODO Imp.]:[PERIODO Imp.]],'Indirect Costs'!DF$8)</f>
        <v>0</v>
      </c>
    </row>
    <row r="66" spans="1:110" outlineLevel="1" x14ac:dyDescent="0.25">
      <c r="A66" s="28" t="str">
        <f t="shared" si="3"/>
        <v>Imprimir</v>
      </c>
      <c r="B66" s="50">
        <v>3</v>
      </c>
      <c r="C66" s="57" t="s">
        <v>1746</v>
      </c>
      <c r="D66" s="56" t="s">
        <v>2126</v>
      </c>
      <c r="E66" s="56" t="s">
        <v>2126</v>
      </c>
      <c r="F66" s="58">
        <v>6000</v>
      </c>
      <c r="G66" s="49">
        <v>1</v>
      </c>
      <c r="H66" s="51">
        <v>1</v>
      </c>
      <c r="I66" s="505">
        <f t="shared" si="7"/>
        <v>6000</v>
      </c>
      <c r="J66" s="47"/>
      <c r="K66" s="142"/>
      <c r="L66" s="48"/>
      <c r="M66" s="48"/>
      <c r="N66" s="48"/>
      <c r="O66" s="48"/>
      <c r="P66" s="48"/>
      <c r="Q66" s="48">
        <v>1</v>
      </c>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143"/>
      <c r="BG66" s="47"/>
      <c r="BH66" s="509"/>
      <c r="BI66" s="505">
        <f t="shared" si="6"/>
        <v>0</v>
      </c>
      <c r="BJ66" s="47"/>
      <c r="BK66" s="142">
        <f>SUMIFS(Imput[[Importe Neto]:[Importe Neto]],Imput[[C. Imp.]:[C. Imp.]],'Indirect Costs'!$C66,Imput[[PERIODO Imp.]:[PERIODO Imp.]],'Indirect Costs'!BK$8)</f>
        <v>0</v>
      </c>
      <c r="BL66" s="48">
        <f>SUMIFS(Imput[[Importe Neto]:[Importe Neto]],Imput[[C. Imp.]:[C. Imp.]],'Indirect Costs'!$C66,Imput[[PERIODO Imp.]:[PERIODO Imp.]],'Indirect Costs'!BL$8)</f>
        <v>0</v>
      </c>
      <c r="BM66" s="48">
        <f>SUMIFS(Imput[[Importe Neto]:[Importe Neto]],Imput[[C. Imp.]:[C. Imp.]],'Indirect Costs'!$C66,Imput[[PERIODO Imp.]:[PERIODO Imp.]],'Indirect Costs'!BM$8)</f>
        <v>0</v>
      </c>
      <c r="BN66" s="48">
        <f>SUMIFS(Imput[[Importe Neto]:[Importe Neto]],Imput[[C. Imp.]:[C. Imp.]],'Indirect Costs'!$C66,Imput[[PERIODO Imp.]:[PERIODO Imp.]],'Indirect Costs'!BN$8)</f>
        <v>0</v>
      </c>
      <c r="BO66" s="48">
        <f>SUMIFS(Imput[[Importe Neto]:[Importe Neto]],Imput[[C. Imp.]:[C. Imp.]],'Indirect Costs'!$C66,Imput[[PERIODO Imp.]:[PERIODO Imp.]],'Indirect Costs'!BO$8)</f>
        <v>0</v>
      </c>
      <c r="BP66" s="48">
        <f>SUMIFS(Imput[[Importe Neto]:[Importe Neto]],Imput[[C. Imp.]:[C. Imp.]],'Indirect Costs'!$C66,Imput[[PERIODO Imp.]:[PERIODO Imp.]],'Indirect Costs'!BP$8)</f>
        <v>0</v>
      </c>
      <c r="BQ66" s="48">
        <f>SUMIFS(Imput[[Importe Neto]:[Importe Neto]],Imput[[C. Imp.]:[C. Imp.]],'Indirect Costs'!$C66,Imput[[PERIODO Imp.]:[PERIODO Imp.]],'Indirect Costs'!BQ$8)</f>
        <v>0</v>
      </c>
      <c r="BR66" s="48">
        <f>SUMIFS(Imput[[Importe Neto]:[Importe Neto]],Imput[[C. Imp.]:[C. Imp.]],'Indirect Costs'!$C66,Imput[[PERIODO Imp.]:[PERIODO Imp.]],'Indirect Costs'!BR$8)</f>
        <v>0</v>
      </c>
      <c r="BS66" s="48">
        <f>SUMIFS(Imput[[Importe Neto]:[Importe Neto]],Imput[[C. Imp.]:[C. Imp.]],'Indirect Costs'!$C66,Imput[[PERIODO Imp.]:[PERIODO Imp.]],'Indirect Costs'!BS$8)</f>
        <v>0</v>
      </c>
      <c r="BT66" s="48">
        <f>SUMIFS(Imput[[Importe Neto]:[Importe Neto]],Imput[[C. Imp.]:[C. Imp.]],'Indirect Costs'!$C66,Imput[[PERIODO Imp.]:[PERIODO Imp.]],'Indirect Costs'!BT$8)</f>
        <v>0</v>
      </c>
      <c r="BU66" s="48">
        <f>SUMIFS(Imput[[Importe Neto]:[Importe Neto]],Imput[[C. Imp.]:[C. Imp.]],'Indirect Costs'!$C66,Imput[[PERIODO Imp.]:[PERIODO Imp.]],'Indirect Costs'!BU$8)</f>
        <v>0</v>
      </c>
      <c r="BV66" s="48">
        <f>SUMIFS(Imput[[Importe Neto]:[Importe Neto]],Imput[[C. Imp.]:[C. Imp.]],'Indirect Costs'!$C66,Imput[[PERIODO Imp.]:[PERIODO Imp.]],'Indirect Costs'!BV$8)</f>
        <v>0</v>
      </c>
      <c r="BW66" s="48">
        <f>SUMIFS(Imput[[Importe Neto]:[Importe Neto]],Imput[[C. Imp.]:[C. Imp.]],'Indirect Costs'!$C66,Imput[[PERIODO Imp.]:[PERIODO Imp.]],'Indirect Costs'!BW$8)</f>
        <v>0</v>
      </c>
      <c r="BX66" s="48">
        <f>SUMIFS(Imput[[Importe Neto]:[Importe Neto]],Imput[[C. Imp.]:[C. Imp.]],'Indirect Costs'!$C66,Imput[[PERIODO Imp.]:[PERIODO Imp.]],'Indirect Costs'!BX$8)</f>
        <v>0</v>
      </c>
      <c r="BY66" s="48">
        <f>SUMIFS(Imput[[Importe Neto]:[Importe Neto]],Imput[[C. Imp.]:[C. Imp.]],'Indirect Costs'!$C66,Imput[[PERIODO Imp.]:[PERIODO Imp.]],'Indirect Costs'!BY$8)</f>
        <v>0</v>
      </c>
      <c r="BZ66" s="48">
        <f>SUMIFS(Imput[[Importe Neto]:[Importe Neto]],Imput[[C. Imp.]:[C. Imp.]],'Indirect Costs'!$C66,Imput[[PERIODO Imp.]:[PERIODO Imp.]],'Indirect Costs'!BZ$8)</f>
        <v>0</v>
      </c>
      <c r="CA66" s="48">
        <f>SUMIFS(Imput[[Importe Neto]:[Importe Neto]],Imput[[C. Imp.]:[C. Imp.]],'Indirect Costs'!$C66,Imput[[PERIODO Imp.]:[PERIODO Imp.]],'Indirect Costs'!CA$8)</f>
        <v>0</v>
      </c>
      <c r="CB66" s="48">
        <f>SUMIFS(Imput[[Importe Neto]:[Importe Neto]],Imput[[C. Imp.]:[C. Imp.]],'Indirect Costs'!$C66,Imput[[PERIODO Imp.]:[PERIODO Imp.]],'Indirect Costs'!CB$8)</f>
        <v>0</v>
      </c>
      <c r="CC66" s="48">
        <f>SUMIFS(Imput[[Importe Neto]:[Importe Neto]],Imput[[C. Imp.]:[C. Imp.]],'Indirect Costs'!$C66,Imput[[PERIODO Imp.]:[PERIODO Imp.]],'Indirect Costs'!CC$8)</f>
        <v>0</v>
      </c>
      <c r="CD66" s="48">
        <f>SUMIFS(Imput[[Importe Neto]:[Importe Neto]],Imput[[C. Imp.]:[C. Imp.]],'Indirect Costs'!$C66,Imput[[PERIODO Imp.]:[PERIODO Imp.]],'Indirect Costs'!CD$8)</f>
        <v>0</v>
      </c>
      <c r="CE66" s="48">
        <f>SUMIFS(Imput[[Importe Neto]:[Importe Neto]],Imput[[C. Imp.]:[C. Imp.]],'Indirect Costs'!$C66,Imput[[PERIODO Imp.]:[PERIODO Imp.]],'Indirect Costs'!CE$8)</f>
        <v>0</v>
      </c>
      <c r="CF66" s="48">
        <f>SUMIFS(Imput[[Importe Neto]:[Importe Neto]],Imput[[C. Imp.]:[C. Imp.]],'Indirect Costs'!$C66,Imput[[PERIODO Imp.]:[PERIODO Imp.]],'Indirect Costs'!CF$8)</f>
        <v>0</v>
      </c>
      <c r="CG66" s="48">
        <f>SUMIFS(Imput[[Importe Neto]:[Importe Neto]],Imput[[C. Imp.]:[C. Imp.]],'Indirect Costs'!$C66,Imput[[PERIODO Imp.]:[PERIODO Imp.]],'Indirect Costs'!CG$8)</f>
        <v>0</v>
      </c>
      <c r="CH66" s="48">
        <f>SUMIFS(Imput[[Importe Neto]:[Importe Neto]],Imput[[C. Imp.]:[C. Imp.]],'Indirect Costs'!$C66,Imput[[PERIODO Imp.]:[PERIODO Imp.]],'Indirect Costs'!CH$8)</f>
        <v>0</v>
      </c>
      <c r="CI66" s="48">
        <f>SUMIFS(Imput[[Importe Neto]:[Importe Neto]],Imput[[C. Imp.]:[C. Imp.]],'Indirect Costs'!$C66,Imput[[PERIODO Imp.]:[PERIODO Imp.]],'Indirect Costs'!CI$8)</f>
        <v>0</v>
      </c>
      <c r="CJ66" s="48">
        <f>SUMIFS(Imput[[Importe Neto]:[Importe Neto]],Imput[[C. Imp.]:[C. Imp.]],'Indirect Costs'!$C66,Imput[[PERIODO Imp.]:[PERIODO Imp.]],'Indirect Costs'!CJ$8)</f>
        <v>0</v>
      </c>
      <c r="CK66" s="48">
        <f>SUMIFS(Imput[[Importe Neto]:[Importe Neto]],Imput[[C. Imp.]:[C. Imp.]],'Indirect Costs'!$C66,Imput[[PERIODO Imp.]:[PERIODO Imp.]],'Indirect Costs'!CK$8)</f>
        <v>0</v>
      </c>
      <c r="CL66" s="48">
        <f>SUMIFS(Imput[[Importe Neto]:[Importe Neto]],Imput[[C. Imp.]:[C. Imp.]],'Indirect Costs'!$C66,Imput[[PERIODO Imp.]:[PERIODO Imp.]],'Indirect Costs'!CL$8)</f>
        <v>0</v>
      </c>
      <c r="CM66" s="48">
        <f>SUMIFS(Imput[[Importe Neto]:[Importe Neto]],Imput[[C. Imp.]:[C. Imp.]],'Indirect Costs'!$C66,Imput[[PERIODO Imp.]:[PERIODO Imp.]],'Indirect Costs'!CM$8)</f>
        <v>0</v>
      </c>
      <c r="CN66" s="48">
        <f>SUMIFS(Imput[[Importe Neto]:[Importe Neto]],Imput[[C. Imp.]:[C. Imp.]],'Indirect Costs'!$C66,Imput[[PERIODO Imp.]:[PERIODO Imp.]],'Indirect Costs'!CN$8)</f>
        <v>0</v>
      </c>
      <c r="CO66" s="48">
        <f>SUMIFS(Imput[[Importe Neto]:[Importe Neto]],Imput[[C. Imp.]:[C. Imp.]],'Indirect Costs'!$C66,Imput[[PERIODO Imp.]:[PERIODO Imp.]],'Indirect Costs'!CO$8)</f>
        <v>0</v>
      </c>
      <c r="CP66" s="48">
        <f>SUMIFS(Imput[[Importe Neto]:[Importe Neto]],Imput[[C. Imp.]:[C. Imp.]],'Indirect Costs'!$C66,Imput[[PERIODO Imp.]:[PERIODO Imp.]],'Indirect Costs'!CP$8)</f>
        <v>0</v>
      </c>
      <c r="CQ66" s="48">
        <f>SUMIFS(Imput[[Importe Neto]:[Importe Neto]],Imput[[C. Imp.]:[C. Imp.]],'Indirect Costs'!$C66,Imput[[PERIODO Imp.]:[PERIODO Imp.]],'Indirect Costs'!CQ$8)</f>
        <v>0</v>
      </c>
      <c r="CR66" s="48">
        <f>SUMIFS(Imput[[Importe Neto]:[Importe Neto]],Imput[[C. Imp.]:[C. Imp.]],'Indirect Costs'!$C66,Imput[[PERIODO Imp.]:[PERIODO Imp.]],'Indirect Costs'!CR$8)</f>
        <v>0</v>
      </c>
      <c r="CS66" s="48">
        <f>SUMIFS(Imput[[Importe Neto]:[Importe Neto]],Imput[[C. Imp.]:[C. Imp.]],'Indirect Costs'!$C66,Imput[[PERIODO Imp.]:[PERIODO Imp.]],'Indirect Costs'!CS$8)</f>
        <v>0</v>
      </c>
      <c r="CT66" s="48">
        <f>SUMIFS(Imput[[Importe Neto]:[Importe Neto]],Imput[[C. Imp.]:[C. Imp.]],'Indirect Costs'!$C66,Imput[[PERIODO Imp.]:[PERIODO Imp.]],'Indirect Costs'!CT$8)</f>
        <v>0</v>
      </c>
      <c r="CU66" s="48">
        <f>SUMIFS(Imput[[Importe Neto]:[Importe Neto]],Imput[[C. Imp.]:[C. Imp.]],'Indirect Costs'!$C66,Imput[[PERIODO Imp.]:[PERIODO Imp.]],'Indirect Costs'!CU$8)</f>
        <v>0</v>
      </c>
      <c r="CV66" s="48">
        <f>SUMIFS(Imput[[Importe Neto]:[Importe Neto]],Imput[[C. Imp.]:[C. Imp.]],'Indirect Costs'!$C66,Imput[[PERIODO Imp.]:[PERIODO Imp.]],'Indirect Costs'!CV$8)</f>
        <v>0</v>
      </c>
      <c r="CW66" s="48">
        <f>SUMIFS(Imput[[Importe Neto]:[Importe Neto]],Imput[[C. Imp.]:[C. Imp.]],'Indirect Costs'!$C66,Imput[[PERIODO Imp.]:[PERIODO Imp.]],'Indirect Costs'!CW$8)</f>
        <v>0</v>
      </c>
      <c r="CX66" s="48">
        <f>SUMIFS(Imput[[Importe Neto]:[Importe Neto]],Imput[[C. Imp.]:[C. Imp.]],'Indirect Costs'!$C66,Imput[[PERIODO Imp.]:[PERIODO Imp.]],'Indirect Costs'!CX$8)</f>
        <v>0</v>
      </c>
      <c r="CY66" s="48">
        <f>SUMIFS(Imput[[Importe Neto]:[Importe Neto]],Imput[[C. Imp.]:[C. Imp.]],'Indirect Costs'!$C66,Imput[[PERIODO Imp.]:[PERIODO Imp.]],'Indirect Costs'!CY$8)</f>
        <v>0</v>
      </c>
      <c r="CZ66" s="48">
        <f>SUMIFS(Imput[[Importe Neto]:[Importe Neto]],Imput[[C. Imp.]:[C. Imp.]],'Indirect Costs'!$C66,Imput[[PERIODO Imp.]:[PERIODO Imp.]],'Indirect Costs'!CZ$8)</f>
        <v>0</v>
      </c>
      <c r="DA66" s="48">
        <f>SUMIFS(Imput[[Importe Neto]:[Importe Neto]],Imput[[C. Imp.]:[C. Imp.]],'Indirect Costs'!$C66,Imput[[PERIODO Imp.]:[PERIODO Imp.]],'Indirect Costs'!DA$8)</f>
        <v>0</v>
      </c>
      <c r="DB66" s="48">
        <f>SUMIFS(Imput[[Importe Neto]:[Importe Neto]],Imput[[C. Imp.]:[C. Imp.]],'Indirect Costs'!$C66,Imput[[PERIODO Imp.]:[PERIODO Imp.]],'Indirect Costs'!DB$8)</f>
        <v>0</v>
      </c>
      <c r="DC66" s="48">
        <f>SUMIFS(Imput[[Importe Neto]:[Importe Neto]],Imput[[C. Imp.]:[C. Imp.]],'Indirect Costs'!$C66,Imput[[PERIODO Imp.]:[PERIODO Imp.]],'Indirect Costs'!DC$8)</f>
        <v>0</v>
      </c>
      <c r="DD66" s="48">
        <f>SUMIFS(Imput[[Importe Neto]:[Importe Neto]],Imput[[C. Imp.]:[C. Imp.]],'Indirect Costs'!$C66,Imput[[PERIODO Imp.]:[PERIODO Imp.]],'Indirect Costs'!DD$8)</f>
        <v>0</v>
      </c>
      <c r="DE66" s="48">
        <f>SUMIFS(Imput[[Importe Neto]:[Importe Neto]],Imput[[C. Imp.]:[C. Imp.]],'Indirect Costs'!$C66,Imput[[PERIODO Imp.]:[PERIODO Imp.]],'Indirect Costs'!DE$8)</f>
        <v>0</v>
      </c>
      <c r="DF66" s="143">
        <f>SUMIFS(Imput[[Importe Neto]:[Importe Neto]],Imput[[C. Imp.]:[C. Imp.]],'Indirect Costs'!$C66,Imput[[PERIODO Imp.]:[PERIODO Imp.]],'Indirect Costs'!DF$8)</f>
        <v>0</v>
      </c>
    </row>
    <row r="67" spans="1:110" outlineLevel="1" x14ac:dyDescent="0.25">
      <c r="A67" s="28" t="str">
        <f t="shared" si="3"/>
        <v/>
      </c>
      <c r="B67" s="50">
        <v>4</v>
      </c>
      <c r="C67" s="57" t="s">
        <v>1747</v>
      </c>
      <c r="D67" s="56" t="s">
        <v>576</v>
      </c>
      <c r="E67" s="57" t="s">
        <v>576</v>
      </c>
      <c r="F67" s="58">
        <v>15000</v>
      </c>
      <c r="G67" s="49"/>
      <c r="H67" s="51">
        <v>1</v>
      </c>
      <c r="I67" s="505">
        <f t="shared" si="7"/>
        <v>0</v>
      </c>
      <c r="J67" s="47"/>
      <c r="K67" s="142"/>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143"/>
      <c r="BG67" s="47"/>
      <c r="BH67" s="509"/>
      <c r="BI67" s="505">
        <f t="shared" si="6"/>
        <v>129147.17533581</v>
      </c>
      <c r="BJ67" s="47"/>
      <c r="BK67" s="142">
        <f>SUMIFS(Imput[[Importe Neto]:[Importe Neto]],Imput[[C. Imp.]:[C. Imp.]],'Indirect Costs'!$C67,Imput[[PERIODO Imp.]:[PERIODO Imp.]],'Indirect Costs'!BK$8)</f>
        <v>0</v>
      </c>
      <c r="BL67" s="48">
        <f>SUMIFS(Imput[[Importe Neto]:[Importe Neto]],Imput[[C. Imp.]:[C. Imp.]],'Indirect Costs'!$C67,Imput[[PERIODO Imp.]:[PERIODO Imp.]],'Indirect Costs'!BL$8)</f>
        <v>0</v>
      </c>
      <c r="BM67" s="48">
        <f>SUMIFS(Imput[[Importe Neto]:[Importe Neto]],Imput[[C. Imp.]:[C. Imp.]],'Indirect Costs'!$C67,Imput[[PERIODO Imp.]:[PERIODO Imp.]],'Indirect Costs'!BM$8)</f>
        <v>0</v>
      </c>
      <c r="BN67" s="48">
        <f>SUMIFS(Imput[[Importe Neto]:[Importe Neto]],Imput[[C. Imp.]:[C. Imp.]],'Indirect Costs'!$C67,Imput[[PERIODO Imp.]:[PERIODO Imp.]],'Indirect Costs'!BN$8)</f>
        <v>35653.622354449995</v>
      </c>
      <c r="BO67" s="48">
        <f>SUMIFS(Imput[[Importe Neto]:[Importe Neto]],Imput[[C. Imp.]:[C. Imp.]],'Indirect Costs'!$C67,Imput[[PERIODO Imp.]:[PERIODO Imp.]],'Indirect Costs'!BO$8)</f>
        <v>22283.996469360001</v>
      </c>
      <c r="BP67" s="48">
        <f>SUMIFS(Imput[[Importe Neto]:[Importe Neto]],Imput[[C. Imp.]:[C. Imp.]],'Indirect Costs'!$C67,Imput[[PERIODO Imp.]:[PERIODO Imp.]],'Indirect Costs'!BP$8)</f>
        <v>5880.0103999999992</v>
      </c>
      <c r="BQ67" s="48">
        <f>SUMIFS(Imput[[Importe Neto]:[Importe Neto]],Imput[[C. Imp.]:[C. Imp.]],'Indirect Costs'!$C67,Imput[[PERIODO Imp.]:[PERIODO Imp.]],'Indirect Costs'!BQ$8)</f>
        <v>20131.2</v>
      </c>
      <c r="BR67" s="48">
        <f>SUMIFS(Imput[[Importe Neto]:[Importe Neto]],Imput[[C. Imp.]:[C. Imp.]],'Indirect Costs'!$C67,Imput[[PERIODO Imp.]:[PERIODO Imp.]],'Indirect Costs'!BR$8)</f>
        <v>11702.318111999999</v>
      </c>
      <c r="BS67" s="48">
        <f>SUMIFS(Imput[[Importe Neto]:[Importe Neto]],Imput[[C. Imp.]:[C. Imp.]],'Indirect Costs'!$C67,Imput[[PERIODO Imp.]:[PERIODO Imp.]],'Indirect Costs'!BS$8)</f>
        <v>0</v>
      </c>
      <c r="BT67" s="48">
        <f>SUMIFS(Imput[[Importe Neto]:[Importe Neto]],Imput[[C. Imp.]:[C. Imp.]],'Indirect Costs'!$C67,Imput[[PERIODO Imp.]:[PERIODO Imp.]],'Indirect Costs'!BT$8)</f>
        <v>5640</v>
      </c>
      <c r="BU67" s="48">
        <f>SUMIFS(Imput[[Importe Neto]:[Importe Neto]],Imput[[C. Imp.]:[C. Imp.]],'Indirect Costs'!$C67,Imput[[PERIODO Imp.]:[PERIODO Imp.]],'Indirect Costs'!BU$8)</f>
        <v>0</v>
      </c>
      <c r="BV67" s="48">
        <f>SUMIFS(Imput[[Importe Neto]:[Importe Neto]],Imput[[C. Imp.]:[C. Imp.]],'Indirect Costs'!$C67,Imput[[PERIODO Imp.]:[PERIODO Imp.]],'Indirect Costs'!BV$8)</f>
        <v>18403.0144</v>
      </c>
      <c r="BW67" s="48">
        <f>SUMIFS(Imput[[Importe Neto]:[Importe Neto]],Imput[[C. Imp.]:[C. Imp.]],'Indirect Costs'!$C67,Imput[[PERIODO Imp.]:[PERIODO Imp.]],'Indirect Costs'!BW$8)</f>
        <v>4403</v>
      </c>
      <c r="BX67" s="48">
        <f>SUMIFS(Imput[[Importe Neto]:[Importe Neto]],Imput[[C. Imp.]:[C. Imp.]],'Indirect Costs'!$C67,Imput[[PERIODO Imp.]:[PERIODO Imp.]],'Indirect Costs'!BX$8)</f>
        <v>0</v>
      </c>
      <c r="BY67" s="48">
        <f>SUMIFS(Imput[[Importe Neto]:[Importe Neto]],Imput[[C. Imp.]:[C. Imp.]],'Indirect Costs'!$C67,Imput[[PERIODO Imp.]:[PERIODO Imp.]],'Indirect Costs'!BY$8)</f>
        <v>1480.0136</v>
      </c>
      <c r="BZ67" s="48">
        <f>SUMIFS(Imput[[Importe Neto]:[Importe Neto]],Imput[[C. Imp.]:[C. Imp.]],'Indirect Costs'!$C67,Imput[[PERIODO Imp.]:[PERIODO Imp.]],'Indirect Costs'!BZ$8)</f>
        <v>3570</v>
      </c>
      <c r="CA67" s="48">
        <f>SUMIFS(Imput[[Importe Neto]:[Importe Neto]],Imput[[C. Imp.]:[C. Imp.]],'Indirect Costs'!$C67,Imput[[PERIODO Imp.]:[PERIODO Imp.]],'Indirect Costs'!CA$8)</f>
        <v>0</v>
      </c>
      <c r="CB67" s="48">
        <f>SUMIFS(Imput[[Importe Neto]:[Importe Neto]],Imput[[C. Imp.]:[C. Imp.]],'Indirect Costs'!$C67,Imput[[PERIODO Imp.]:[PERIODO Imp.]],'Indirect Costs'!CB$8)</f>
        <v>0</v>
      </c>
      <c r="CC67" s="48">
        <f>SUMIFS(Imput[[Importe Neto]:[Importe Neto]],Imput[[C. Imp.]:[C. Imp.]],'Indirect Costs'!$C67,Imput[[PERIODO Imp.]:[PERIODO Imp.]],'Indirect Costs'!CC$8)</f>
        <v>0</v>
      </c>
      <c r="CD67" s="48">
        <f>SUMIFS(Imput[[Importe Neto]:[Importe Neto]],Imput[[C. Imp.]:[C. Imp.]],'Indirect Costs'!$C67,Imput[[PERIODO Imp.]:[PERIODO Imp.]],'Indirect Costs'!CD$8)</f>
        <v>0</v>
      </c>
      <c r="CE67" s="48">
        <f>SUMIFS(Imput[[Importe Neto]:[Importe Neto]],Imput[[C. Imp.]:[C. Imp.]],'Indirect Costs'!$C67,Imput[[PERIODO Imp.]:[PERIODO Imp.]],'Indirect Costs'!CE$8)</f>
        <v>0</v>
      </c>
      <c r="CF67" s="48">
        <f>SUMIFS(Imput[[Importe Neto]:[Importe Neto]],Imput[[C. Imp.]:[C. Imp.]],'Indirect Costs'!$C67,Imput[[PERIODO Imp.]:[PERIODO Imp.]],'Indirect Costs'!CF$8)</f>
        <v>0</v>
      </c>
      <c r="CG67" s="48">
        <f>SUMIFS(Imput[[Importe Neto]:[Importe Neto]],Imput[[C. Imp.]:[C. Imp.]],'Indirect Costs'!$C67,Imput[[PERIODO Imp.]:[PERIODO Imp.]],'Indirect Costs'!CG$8)</f>
        <v>0</v>
      </c>
      <c r="CH67" s="48">
        <f>SUMIFS(Imput[[Importe Neto]:[Importe Neto]],Imput[[C. Imp.]:[C. Imp.]],'Indirect Costs'!$C67,Imput[[PERIODO Imp.]:[PERIODO Imp.]],'Indirect Costs'!CH$8)</f>
        <v>0</v>
      </c>
      <c r="CI67" s="48">
        <f>SUMIFS(Imput[[Importe Neto]:[Importe Neto]],Imput[[C. Imp.]:[C. Imp.]],'Indirect Costs'!$C67,Imput[[PERIODO Imp.]:[PERIODO Imp.]],'Indirect Costs'!CI$8)</f>
        <v>0</v>
      </c>
      <c r="CJ67" s="48">
        <f>SUMIFS(Imput[[Importe Neto]:[Importe Neto]],Imput[[C. Imp.]:[C. Imp.]],'Indirect Costs'!$C67,Imput[[PERIODO Imp.]:[PERIODO Imp.]],'Indirect Costs'!CJ$8)</f>
        <v>0</v>
      </c>
      <c r="CK67" s="48">
        <f>SUMIFS(Imput[[Importe Neto]:[Importe Neto]],Imput[[C. Imp.]:[C. Imp.]],'Indirect Costs'!$C67,Imput[[PERIODO Imp.]:[PERIODO Imp.]],'Indirect Costs'!CK$8)</f>
        <v>0</v>
      </c>
      <c r="CL67" s="48">
        <f>SUMIFS(Imput[[Importe Neto]:[Importe Neto]],Imput[[C. Imp.]:[C. Imp.]],'Indirect Costs'!$C67,Imput[[PERIODO Imp.]:[PERIODO Imp.]],'Indirect Costs'!CL$8)</f>
        <v>0</v>
      </c>
      <c r="CM67" s="48">
        <f>SUMIFS(Imput[[Importe Neto]:[Importe Neto]],Imput[[C. Imp.]:[C. Imp.]],'Indirect Costs'!$C67,Imput[[PERIODO Imp.]:[PERIODO Imp.]],'Indirect Costs'!CM$8)</f>
        <v>0</v>
      </c>
      <c r="CN67" s="48">
        <f>SUMIFS(Imput[[Importe Neto]:[Importe Neto]],Imput[[C. Imp.]:[C. Imp.]],'Indirect Costs'!$C67,Imput[[PERIODO Imp.]:[PERIODO Imp.]],'Indirect Costs'!CN$8)</f>
        <v>0</v>
      </c>
      <c r="CO67" s="48">
        <f>SUMIFS(Imput[[Importe Neto]:[Importe Neto]],Imput[[C. Imp.]:[C. Imp.]],'Indirect Costs'!$C67,Imput[[PERIODO Imp.]:[PERIODO Imp.]],'Indirect Costs'!CO$8)</f>
        <v>0</v>
      </c>
      <c r="CP67" s="48">
        <f>SUMIFS(Imput[[Importe Neto]:[Importe Neto]],Imput[[C. Imp.]:[C. Imp.]],'Indirect Costs'!$C67,Imput[[PERIODO Imp.]:[PERIODO Imp.]],'Indirect Costs'!CP$8)</f>
        <v>0</v>
      </c>
      <c r="CQ67" s="48">
        <f>SUMIFS(Imput[[Importe Neto]:[Importe Neto]],Imput[[C. Imp.]:[C. Imp.]],'Indirect Costs'!$C67,Imput[[PERIODO Imp.]:[PERIODO Imp.]],'Indirect Costs'!CQ$8)</f>
        <v>0</v>
      </c>
      <c r="CR67" s="48">
        <f>SUMIFS(Imput[[Importe Neto]:[Importe Neto]],Imput[[C. Imp.]:[C. Imp.]],'Indirect Costs'!$C67,Imput[[PERIODO Imp.]:[PERIODO Imp.]],'Indirect Costs'!CR$8)</f>
        <v>0</v>
      </c>
      <c r="CS67" s="48">
        <f>SUMIFS(Imput[[Importe Neto]:[Importe Neto]],Imput[[C. Imp.]:[C. Imp.]],'Indirect Costs'!$C67,Imput[[PERIODO Imp.]:[PERIODO Imp.]],'Indirect Costs'!CS$8)</f>
        <v>0</v>
      </c>
      <c r="CT67" s="48">
        <f>SUMIFS(Imput[[Importe Neto]:[Importe Neto]],Imput[[C. Imp.]:[C. Imp.]],'Indirect Costs'!$C67,Imput[[PERIODO Imp.]:[PERIODO Imp.]],'Indirect Costs'!CT$8)</f>
        <v>0</v>
      </c>
      <c r="CU67" s="48">
        <f>SUMIFS(Imput[[Importe Neto]:[Importe Neto]],Imput[[C. Imp.]:[C. Imp.]],'Indirect Costs'!$C67,Imput[[PERIODO Imp.]:[PERIODO Imp.]],'Indirect Costs'!CU$8)</f>
        <v>0</v>
      </c>
      <c r="CV67" s="48">
        <f>SUMIFS(Imput[[Importe Neto]:[Importe Neto]],Imput[[C. Imp.]:[C. Imp.]],'Indirect Costs'!$C67,Imput[[PERIODO Imp.]:[PERIODO Imp.]],'Indirect Costs'!CV$8)</f>
        <v>0</v>
      </c>
      <c r="CW67" s="48">
        <f>SUMIFS(Imput[[Importe Neto]:[Importe Neto]],Imput[[C. Imp.]:[C. Imp.]],'Indirect Costs'!$C67,Imput[[PERIODO Imp.]:[PERIODO Imp.]],'Indirect Costs'!CW$8)</f>
        <v>0</v>
      </c>
      <c r="CX67" s="48">
        <f>SUMIFS(Imput[[Importe Neto]:[Importe Neto]],Imput[[C. Imp.]:[C. Imp.]],'Indirect Costs'!$C67,Imput[[PERIODO Imp.]:[PERIODO Imp.]],'Indirect Costs'!CX$8)</f>
        <v>0</v>
      </c>
      <c r="CY67" s="48">
        <f>SUMIFS(Imput[[Importe Neto]:[Importe Neto]],Imput[[C. Imp.]:[C. Imp.]],'Indirect Costs'!$C67,Imput[[PERIODO Imp.]:[PERIODO Imp.]],'Indirect Costs'!CY$8)</f>
        <v>0</v>
      </c>
      <c r="CZ67" s="48">
        <f>SUMIFS(Imput[[Importe Neto]:[Importe Neto]],Imput[[C. Imp.]:[C. Imp.]],'Indirect Costs'!$C67,Imput[[PERIODO Imp.]:[PERIODO Imp.]],'Indirect Costs'!CZ$8)</f>
        <v>0</v>
      </c>
      <c r="DA67" s="48">
        <f>SUMIFS(Imput[[Importe Neto]:[Importe Neto]],Imput[[C. Imp.]:[C. Imp.]],'Indirect Costs'!$C67,Imput[[PERIODO Imp.]:[PERIODO Imp.]],'Indirect Costs'!DA$8)</f>
        <v>0</v>
      </c>
      <c r="DB67" s="48">
        <f>SUMIFS(Imput[[Importe Neto]:[Importe Neto]],Imput[[C. Imp.]:[C. Imp.]],'Indirect Costs'!$C67,Imput[[PERIODO Imp.]:[PERIODO Imp.]],'Indirect Costs'!DB$8)</f>
        <v>0</v>
      </c>
      <c r="DC67" s="48">
        <f>SUMIFS(Imput[[Importe Neto]:[Importe Neto]],Imput[[C. Imp.]:[C. Imp.]],'Indirect Costs'!$C67,Imput[[PERIODO Imp.]:[PERIODO Imp.]],'Indirect Costs'!DC$8)</f>
        <v>0</v>
      </c>
      <c r="DD67" s="48">
        <f>SUMIFS(Imput[[Importe Neto]:[Importe Neto]],Imput[[C. Imp.]:[C. Imp.]],'Indirect Costs'!$C67,Imput[[PERIODO Imp.]:[PERIODO Imp.]],'Indirect Costs'!DD$8)</f>
        <v>0</v>
      </c>
      <c r="DE67" s="48">
        <f>SUMIFS(Imput[[Importe Neto]:[Importe Neto]],Imput[[C. Imp.]:[C. Imp.]],'Indirect Costs'!$C67,Imput[[PERIODO Imp.]:[PERIODO Imp.]],'Indirect Costs'!DE$8)</f>
        <v>0</v>
      </c>
      <c r="DF67" s="143">
        <f>SUMIFS(Imput[[Importe Neto]:[Importe Neto]],Imput[[C. Imp.]:[C. Imp.]],'Indirect Costs'!$C67,Imput[[PERIODO Imp.]:[PERIODO Imp.]],'Indirect Costs'!DF$8)</f>
        <v>0</v>
      </c>
    </row>
    <row r="68" spans="1:110" outlineLevel="1" x14ac:dyDescent="0.25">
      <c r="A68" s="28" t="str">
        <f t="shared" si="3"/>
        <v/>
      </c>
      <c r="B68" s="50">
        <v>5</v>
      </c>
      <c r="C68" s="57" t="s">
        <v>1748</v>
      </c>
      <c r="D68" s="56" t="s">
        <v>577</v>
      </c>
      <c r="E68" s="57" t="s">
        <v>577</v>
      </c>
      <c r="F68" s="58">
        <v>40000</v>
      </c>
      <c r="G68" s="49"/>
      <c r="H68" s="51">
        <v>1</v>
      </c>
      <c r="I68" s="505">
        <f t="shared" si="7"/>
        <v>0</v>
      </c>
      <c r="J68" s="47"/>
      <c r="K68" s="142"/>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143"/>
      <c r="BG68" s="47"/>
      <c r="BH68" s="509"/>
      <c r="BI68" s="505">
        <f t="shared" si="6"/>
        <v>13328.343008830001</v>
      </c>
      <c r="BJ68" s="47"/>
      <c r="BK68" s="142">
        <f>SUMIFS(Imput[[Importe Neto]:[Importe Neto]],Imput[[C. Imp.]:[C. Imp.]],'Indirect Costs'!$C68,Imput[[PERIODO Imp.]:[PERIODO Imp.]],'Indirect Costs'!BK$8)</f>
        <v>0</v>
      </c>
      <c r="BL68" s="48">
        <f>SUMIFS(Imput[[Importe Neto]:[Importe Neto]],Imput[[C. Imp.]:[C. Imp.]],'Indirect Costs'!$C68,Imput[[PERIODO Imp.]:[PERIODO Imp.]],'Indirect Costs'!BL$8)</f>
        <v>4262.3446088299997</v>
      </c>
      <c r="BM68" s="48">
        <f>SUMIFS(Imput[[Importe Neto]:[Importe Neto]],Imput[[C. Imp.]:[C. Imp.]],'Indirect Costs'!$C68,Imput[[PERIODO Imp.]:[PERIODO Imp.]],'Indirect Costs'!BM$8)</f>
        <v>0</v>
      </c>
      <c r="BN68" s="48">
        <f>SUMIFS(Imput[[Importe Neto]:[Importe Neto]],Imput[[C. Imp.]:[C. Imp.]],'Indirect Costs'!$C68,Imput[[PERIODO Imp.]:[PERIODO Imp.]],'Indirect Costs'!BN$8)</f>
        <v>0</v>
      </c>
      <c r="BO68" s="48">
        <f>SUMIFS(Imput[[Importe Neto]:[Importe Neto]],Imput[[C. Imp.]:[C. Imp.]],'Indirect Costs'!$C68,Imput[[PERIODO Imp.]:[PERIODO Imp.]],'Indirect Costs'!BO$8)</f>
        <v>0</v>
      </c>
      <c r="BP68" s="48">
        <f>SUMIFS(Imput[[Importe Neto]:[Importe Neto]],Imput[[C. Imp.]:[C. Imp.]],'Indirect Costs'!$C68,Imput[[PERIODO Imp.]:[PERIODO Imp.]],'Indirect Costs'!BP$8)</f>
        <v>0</v>
      </c>
      <c r="BQ68" s="48">
        <f>SUMIFS(Imput[[Importe Neto]:[Importe Neto]],Imput[[C. Imp.]:[C. Imp.]],'Indirect Costs'!$C68,Imput[[PERIODO Imp.]:[PERIODO Imp.]],'Indirect Costs'!BQ$8)</f>
        <v>9065.9984000000004</v>
      </c>
      <c r="BR68" s="48">
        <f>SUMIFS(Imput[[Importe Neto]:[Importe Neto]],Imput[[C. Imp.]:[C. Imp.]],'Indirect Costs'!$C68,Imput[[PERIODO Imp.]:[PERIODO Imp.]],'Indirect Costs'!BR$8)</f>
        <v>0</v>
      </c>
      <c r="BS68" s="48">
        <f>SUMIFS(Imput[[Importe Neto]:[Importe Neto]],Imput[[C. Imp.]:[C. Imp.]],'Indirect Costs'!$C68,Imput[[PERIODO Imp.]:[PERIODO Imp.]],'Indirect Costs'!BS$8)</f>
        <v>0</v>
      </c>
      <c r="BT68" s="48">
        <f>SUMIFS(Imput[[Importe Neto]:[Importe Neto]],Imput[[C. Imp.]:[C. Imp.]],'Indirect Costs'!$C68,Imput[[PERIODO Imp.]:[PERIODO Imp.]],'Indirect Costs'!BT$8)</f>
        <v>0</v>
      </c>
      <c r="BU68" s="48">
        <f>SUMIFS(Imput[[Importe Neto]:[Importe Neto]],Imput[[C. Imp.]:[C. Imp.]],'Indirect Costs'!$C68,Imput[[PERIODO Imp.]:[PERIODO Imp.]],'Indirect Costs'!BU$8)</f>
        <v>0</v>
      </c>
      <c r="BV68" s="48">
        <f>SUMIFS(Imput[[Importe Neto]:[Importe Neto]],Imput[[C. Imp.]:[C. Imp.]],'Indirect Costs'!$C68,Imput[[PERIODO Imp.]:[PERIODO Imp.]],'Indirect Costs'!BV$8)</f>
        <v>0</v>
      </c>
      <c r="BW68" s="48">
        <f>SUMIFS(Imput[[Importe Neto]:[Importe Neto]],Imput[[C. Imp.]:[C. Imp.]],'Indirect Costs'!$C68,Imput[[PERIODO Imp.]:[PERIODO Imp.]],'Indirect Costs'!BW$8)</f>
        <v>0</v>
      </c>
      <c r="BX68" s="48">
        <f>SUMIFS(Imput[[Importe Neto]:[Importe Neto]],Imput[[C. Imp.]:[C. Imp.]],'Indirect Costs'!$C68,Imput[[PERIODO Imp.]:[PERIODO Imp.]],'Indirect Costs'!BX$8)</f>
        <v>0</v>
      </c>
      <c r="BY68" s="48">
        <f>SUMIFS(Imput[[Importe Neto]:[Importe Neto]],Imput[[C. Imp.]:[C. Imp.]],'Indirect Costs'!$C68,Imput[[PERIODO Imp.]:[PERIODO Imp.]],'Indirect Costs'!BY$8)</f>
        <v>0</v>
      </c>
      <c r="BZ68" s="48">
        <f>SUMIFS(Imput[[Importe Neto]:[Importe Neto]],Imput[[C. Imp.]:[C. Imp.]],'Indirect Costs'!$C68,Imput[[PERIODO Imp.]:[PERIODO Imp.]],'Indirect Costs'!BZ$8)</f>
        <v>0</v>
      </c>
      <c r="CA68" s="48">
        <f>SUMIFS(Imput[[Importe Neto]:[Importe Neto]],Imput[[C. Imp.]:[C. Imp.]],'Indirect Costs'!$C68,Imput[[PERIODO Imp.]:[PERIODO Imp.]],'Indirect Costs'!CA$8)</f>
        <v>0</v>
      </c>
      <c r="CB68" s="48">
        <f>SUMIFS(Imput[[Importe Neto]:[Importe Neto]],Imput[[C. Imp.]:[C. Imp.]],'Indirect Costs'!$C68,Imput[[PERIODO Imp.]:[PERIODO Imp.]],'Indirect Costs'!CB$8)</f>
        <v>0</v>
      </c>
      <c r="CC68" s="48">
        <f>SUMIFS(Imput[[Importe Neto]:[Importe Neto]],Imput[[C. Imp.]:[C. Imp.]],'Indirect Costs'!$C68,Imput[[PERIODO Imp.]:[PERIODO Imp.]],'Indirect Costs'!CC$8)</f>
        <v>0</v>
      </c>
      <c r="CD68" s="48">
        <f>SUMIFS(Imput[[Importe Neto]:[Importe Neto]],Imput[[C. Imp.]:[C. Imp.]],'Indirect Costs'!$C68,Imput[[PERIODO Imp.]:[PERIODO Imp.]],'Indirect Costs'!CD$8)</f>
        <v>0</v>
      </c>
      <c r="CE68" s="48">
        <f>SUMIFS(Imput[[Importe Neto]:[Importe Neto]],Imput[[C. Imp.]:[C. Imp.]],'Indirect Costs'!$C68,Imput[[PERIODO Imp.]:[PERIODO Imp.]],'Indirect Costs'!CE$8)</f>
        <v>0</v>
      </c>
      <c r="CF68" s="48">
        <f>SUMIFS(Imput[[Importe Neto]:[Importe Neto]],Imput[[C. Imp.]:[C. Imp.]],'Indirect Costs'!$C68,Imput[[PERIODO Imp.]:[PERIODO Imp.]],'Indirect Costs'!CF$8)</f>
        <v>0</v>
      </c>
      <c r="CG68" s="48">
        <f>SUMIFS(Imput[[Importe Neto]:[Importe Neto]],Imput[[C. Imp.]:[C. Imp.]],'Indirect Costs'!$C68,Imput[[PERIODO Imp.]:[PERIODO Imp.]],'Indirect Costs'!CG$8)</f>
        <v>0</v>
      </c>
      <c r="CH68" s="48">
        <f>SUMIFS(Imput[[Importe Neto]:[Importe Neto]],Imput[[C. Imp.]:[C. Imp.]],'Indirect Costs'!$C68,Imput[[PERIODO Imp.]:[PERIODO Imp.]],'Indirect Costs'!CH$8)</f>
        <v>0</v>
      </c>
      <c r="CI68" s="48">
        <f>SUMIFS(Imput[[Importe Neto]:[Importe Neto]],Imput[[C. Imp.]:[C. Imp.]],'Indirect Costs'!$C68,Imput[[PERIODO Imp.]:[PERIODO Imp.]],'Indirect Costs'!CI$8)</f>
        <v>0</v>
      </c>
      <c r="CJ68" s="48">
        <f>SUMIFS(Imput[[Importe Neto]:[Importe Neto]],Imput[[C. Imp.]:[C. Imp.]],'Indirect Costs'!$C68,Imput[[PERIODO Imp.]:[PERIODO Imp.]],'Indirect Costs'!CJ$8)</f>
        <v>0</v>
      </c>
      <c r="CK68" s="48">
        <f>SUMIFS(Imput[[Importe Neto]:[Importe Neto]],Imput[[C. Imp.]:[C. Imp.]],'Indirect Costs'!$C68,Imput[[PERIODO Imp.]:[PERIODO Imp.]],'Indirect Costs'!CK$8)</f>
        <v>0</v>
      </c>
      <c r="CL68" s="48">
        <f>SUMIFS(Imput[[Importe Neto]:[Importe Neto]],Imput[[C. Imp.]:[C. Imp.]],'Indirect Costs'!$C68,Imput[[PERIODO Imp.]:[PERIODO Imp.]],'Indirect Costs'!CL$8)</f>
        <v>0</v>
      </c>
      <c r="CM68" s="48">
        <f>SUMIFS(Imput[[Importe Neto]:[Importe Neto]],Imput[[C. Imp.]:[C. Imp.]],'Indirect Costs'!$C68,Imput[[PERIODO Imp.]:[PERIODO Imp.]],'Indirect Costs'!CM$8)</f>
        <v>0</v>
      </c>
      <c r="CN68" s="48">
        <f>SUMIFS(Imput[[Importe Neto]:[Importe Neto]],Imput[[C. Imp.]:[C. Imp.]],'Indirect Costs'!$C68,Imput[[PERIODO Imp.]:[PERIODO Imp.]],'Indirect Costs'!CN$8)</f>
        <v>0</v>
      </c>
      <c r="CO68" s="48">
        <f>SUMIFS(Imput[[Importe Neto]:[Importe Neto]],Imput[[C. Imp.]:[C. Imp.]],'Indirect Costs'!$C68,Imput[[PERIODO Imp.]:[PERIODO Imp.]],'Indirect Costs'!CO$8)</f>
        <v>0</v>
      </c>
      <c r="CP68" s="48">
        <f>SUMIFS(Imput[[Importe Neto]:[Importe Neto]],Imput[[C. Imp.]:[C. Imp.]],'Indirect Costs'!$C68,Imput[[PERIODO Imp.]:[PERIODO Imp.]],'Indirect Costs'!CP$8)</f>
        <v>0</v>
      </c>
      <c r="CQ68" s="48">
        <f>SUMIFS(Imput[[Importe Neto]:[Importe Neto]],Imput[[C. Imp.]:[C. Imp.]],'Indirect Costs'!$C68,Imput[[PERIODO Imp.]:[PERIODO Imp.]],'Indirect Costs'!CQ$8)</f>
        <v>0</v>
      </c>
      <c r="CR68" s="48">
        <f>SUMIFS(Imput[[Importe Neto]:[Importe Neto]],Imput[[C. Imp.]:[C. Imp.]],'Indirect Costs'!$C68,Imput[[PERIODO Imp.]:[PERIODO Imp.]],'Indirect Costs'!CR$8)</f>
        <v>0</v>
      </c>
      <c r="CS68" s="48">
        <f>SUMIFS(Imput[[Importe Neto]:[Importe Neto]],Imput[[C. Imp.]:[C. Imp.]],'Indirect Costs'!$C68,Imput[[PERIODO Imp.]:[PERIODO Imp.]],'Indirect Costs'!CS$8)</f>
        <v>0</v>
      </c>
      <c r="CT68" s="48">
        <f>SUMIFS(Imput[[Importe Neto]:[Importe Neto]],Imput[[C. Imp.]:[C. Imp.]],'Indirect Costs'!$C68,Imput[[PERIODO Imp.]:[PERIODO Imp.]],'Indirect Costs'!CT$8)</f>
        <v>0</v>
      </c>
      <c r="CU68" s="48">
        <f>SUMIFS(Imput[[Importe Neto]:[Importe Neto]],Imput[[C. Imp.]:[C. Imp.]],'Indirect Costs'!$C68,Imput[[PERIODO Imp.]:[PERIODO Imp.]],'Indirect Costs'!CU$8)</f>
        <v>0</v>
      </c>
      <c r="CV68" s="48">
        <f>SUMIFS(Imput[[Importe Neto]:[Importe Neto]],Imput[[C. Imp.]:[C. Imp.]],'Indirect Costs'!$C68,Imput[[PERIODO Imp.]:[PERIODO Imp.]],'Indirect Costs'!CV$8)</f>
        <v>0</v>
      </c>
      <c r="CW68" s="48">
        <f>SUMIFS(Imput[[Importe Neto]:[Importe Neto]],Imput[[C. Imp.]:[C. Imp.]],'Indirect Costs'!$C68,Imput[[PERIODO Imp.]:[PERIODO Imp.]],'Indirect Costs'!CW$8)</f>
        <v>0</v>
      </c>
      <c r="CX68" s="48">
        <f>SUMIFS(Imput[[Importe Neto]:[Importe Neto]],Imput[[C. Imp.]:[C. Imp.]],'Indirect Costs'!$C68,Imput[[PERIODO Imp.]:[PERIODO Imp.]],'Indirect Costs'!CX$8)</f>
        <v>0</v>
      </c>
      <c r="CY68" s="48">
        <f>SUMIFS(Imput[[Importe Neto]:[Importe Neto]],Imput[[C. Imp.]:[C. Imp.]],'Indirect Costs'!$C68,Imput[[PERIODO Imp.]:[PERIODO Imp.]],'Indirect Costs'!CY$8)</f>
        <v>0</v>
      </c>
      <c r="CZ68" s="48">
        <f>SUMIFS(Imput[[Importe Neto]:[Importe Neto]],Imput[[C. Imp.]:[C. Imp.]],'Indirect Costs'!$C68,Imput[[PERIODO Imp.]:[PERIODO Imp.]],'Indirect Costs'!CZ$8)</f>
        <v>0</v>
      </c>
      <c r="DA68" s="48">
        <f>SUMIFS(Imput[[Importe Neto]:[Importe Neto]],Imput[[C. Imp.]:[C. Imp.]],'Indirect Costs'!$C68,Imput[[PERIODO Imp.]:[PERIODO Imp.]],'Indirect Costs'!DA$8)</f>
        <v>0</v>
      </c>
      <c r="DB68" s="48">
        <f>SUMIFS(Imput[[Importe Neto]:[Importe Neto]],Imput[[C. Imp.]:[C. Imp.]],'Indirect Costs'!$C68,Imput[[PERIODO Imp.]:[PERIODO Imp.]],'Indirect Costs'!DB$8)</f>
        <v>0</v>
      </c>
      <c r="DC68" s="48">
        <f>SUMIFS(Imput[[Importe Neto]:[Importe Neto]],Imput[[C. Imp.]:[C. Imp.]],'Indirect Costs'!$C68,Imput[[PERIODO Imp.]:[PERIODO Imp.]],'Indirect Costs'!DC$8)</f>
        <v>0</v>
      </c>
      <c r="DD68" s="48">
        <f>SUMIFS(Imput[[Importe Neto]:[Importe Neto]],Imput[[C. Imp.]:[C. Imp.]],'Indirect Costs'!$C68,Imput[[PERIODO Imp.]:[PERIODO Imp.]],'Indirect Costs'!DD$8)</f>
        <v>0</v>
      </c>
      <c r="DE68" s="48">
        <f>SUMIFS(Imput[[Importe Neto]:[Importe Neto]],Imput[[C. Imp.]:[C. Imp.]],'Indirect Costs'!$C68,Imput[[PERIODO Imp.]:[PERIODO Imp.]],'Indirect Costs'!DE$8)</f>
        <v>0</v>
      </c>
      <c r="DF68" s="143">
        <f>SUMIFS(Imput[[Importe Neto]:[Importe Neto]],Imput[[C. Imp.]:[C. Imp.]],'Indirect Costs'!$C68,Imput[[PERIODO Imp.]:[PERIODO Imp.]],'Indirect Costs'!DF$8)</f>
        <v>0</v>
      </c>
    </row>
    <row r="69" spans="1:110" outlineLevel="1" x14ac:dyDescent="0.25">
      <c r="A69" s="28" t="str">
        <f t="shared" si="3"/>
        <v/>
      </c>
      <c r="B69" s="50">
        <v>6</v>
      </c>
      <c r="C69" s="57" t="s">
        <v>1804</v>
      </c>
      <c r="D69" s="56" t="s">
        <v>578</v>
      </c>
      <c r="E69" s="57" t="s">
        <v>578</v>
      </c>
      <c r="F69" s="58">
        <v>1000</v>
      </c>
      <c r="G69" s="49"/>
      <c r="H69" s="51">
        <v>1</v>
      </c>
      <c r="I69" s="505">
        <f t="shared" si="7"/>
        <v>0</v>
      </c>
      <c r="J69" s="47"/>
      <c r="K69" s="142"/>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143"/>
      <c r="BG69" s="47"/>
      <c r="BH69" s="509"/>
      <c r="BI69" s="505">
        <f t="shared" si="6"/>
        <v>0</v>
      </c>
      <c r="BJ69" s="47"/>
      <c r="BK69" s="142">
        <f>SUMIFS(Imput[[Importe Neto]:[Importe Neto]],Imput[[C. Imp.]:[C. Imp.]],'Indirect Costs'!$C69,Imput[[PERIODO Imp.]:[PERIODO Imp.]],'Indirect Costs'!BK$8)</f>
        <v>0</v>
      </c>
      <c r="BL69" s="48">
        <f>SUMIFS(Imput[[Importe Neto]:[Importe Neto]],Imput[[C. Imp.]:[C. Imp.]],'Indirect Costs'!$C69,Imput[[PERIODO Imp.]:[PERIODO Imp.]],'Indirect Costs'!BL$8)</f>
        <v>0</v>
      </c>
      <c r="BM69" s="48">
        <f>SUMIFS(Imput[[Importe Neto]:[Importe Neto]],Imput[[C. Imp.]:[C. Imp.]],'Indirect Costs'!$C69,Imput[[PERIODO Imp.]:[PERIODO Imp.]],'Indirect Costs'!BM$8)</f>
        <v>0</v>
      </c>
      <c r="BN69" s="48">
        <f>SUMIFS(Imput[[Importe Neto]:[Importe Neto]],Imput[[C. Imp.]:[C. Imp.]],'Indirect Costs'!$C69,Imput[[PERIODO Imp.]:[PERIODO Imp.]],'Indirect Costs'!BN$8)</f>
        <v>0</v>
      </c>
      <c r="BO69" s="48">
        <f>SUMIFS(Imput[[Importe Neto]:[Importe Neto]],Imput[[C. Imp.]:[C. Imp.]],'Indirect Costs'!$C69,Imput[[PERIODO Imp.]:[PERIODO Imp.]],'Indirect Costs'!BO$8)</f>
        <v>0</v>
      </c>
      <c r="BP69" s="48">
        <f>SUMIFS(Imput[[Importe Neto]:[Importe Neto]],Imput[[C. Imp.]:[C. Imp.]],'Indirect Costs'!$C69,Imput[[PERIODO Imp.]:[PERIODO Imp.]],'Indirect Costs'!BP$8)</f>
        <v>0</v>
      </c>
      <c r="BQ69" s="48">
        <f>SUMIFS(Imput[[Importe Neto]:[Importe Neto]],Imput[[C. Imp.]:[C. Imp.]],'Indirect Costs'!$C69,Imput[[PERIODO Imp.]:[PERIODO Imp.]],'Indirect Costs'!BQ$8)</f>
        <v>0</v>
      </c>
      <c r="BR69" s="48">
        <f>SUMIFS(Imput[[Importe Neto]:[Importe Neto]],Imput[[C. Imp.]:[C. Imp.]],'Indirect Costs'!$C69,Imput[[PERIODO Imp.]:[PERIODO Imp.]],'Indirect Costs'!BR$8)</f>
        <v>0</v>
      </c>
      <c r="BS69" s="48">
        <f>SUMIFS(Imput[[Importe Neto]:[Importe Neto]],Imput[[C. Imp.]:[C. Imp.]],'Indirect Costs'!$C69,Imput[[PERIODO Imp.]:[PERIODO Imp.]],'Indirect Costs'!BS$8)</f>
        <v>0</v>
      </c>
      <c r="BT69" s="48">
        <f>SUMIFS(Imput[[Importe Neto]:[Importe Neto]],Imput[[C. Imp.]:[C. Imp.]],'Indirect Costs'!$C69,Imput[[PERIODO Imp.]:[PERIODO Imp.]],'Indirect Costs'!BT$8)</f>
        <v>0</v>
      </c>
      <c r="BU69" s="48">
        <f>SUMIFS(Imput[[Importe Neto]:[Importe Neto]],Imput[[C. Imp.]:[C. Imp.]],'Indirect Costs'!$C69,Imput[[PERIODO Imp.]:[PERIODO Imp.]],'Indirect Costs'!BU$8)</f>
        <v>0</v>
      </c>
      <c r="BV69" s="48">
        <f>SUMIFS(Imput[[Importe Neto]:[Importe Neto]],Imput[[C. Imp.]:[C. Imp.]],'Indirect Costs'!$C69,Imput[[PERIODO Imp.]:[PERIODO Imp.]],'Indirect Costs'!BV$8)</f>
        <v>0</v>
      </c>
      <c r="BW69" s="48">
        <f>SUMIFS(Imput[[Importe Neto]:[Importe Neto]],Imput[[C. Imp.]:[C. Imp.]],'Indirect Costs'!$C69,Imput[[PERIODO Imp.]:[PERIODO Imp.]],'Indirect Costs'!BW$8)</f>
        <v>0</v>
      </c>
      <c r="BX69" s="48">
        <f>SUMIFS(Imput[[Importe Neto]:[Importe Neto]],Imput[[C. Imp.]:[C. Imp.]],'Indirect Costs'!$C69,Imput[[PERIODO Imp.]:[PERIODO Imp.]],'Indirect Costs'!BX$8)</f>
        <v>0</v>
      </c>
      <c r="BY69" s="48">
        <f>SUMIFS(Imput[[Importe Neto]:[Importe Neto]],Imput[[C. Imp.]:[C. Imp.]],'Indirect Costs'!$C69,Imput[[PERIODO Imp.]:[PERIODO Imp.]],'Indirect Costs'!BY$8)</f>
        <v>0</v>
      </c>
      <c r="BZ69" s="48">
        <f>SUMIFS(Imput[[Importe Neto]:[Importe Neto]],Imput[[C. Imp.]:[C. Imp.]],'Indirect Costs'!$C69,Imput[[PERIODO Imp.]:[PERIODO Imp.]],'Indirect Costs'!BZ$8)</f>
        <v>0</v>
      </c>
      <c r="CA69" s="48">
        <f>SUMIFS(Imput[[Importe Neto]:[Importe Neto]],Imput[[C. Imp.]:[C. Imp.]],'Indirect Costs'!$C69,Imput[[PERIODO Imp.]:[PERIODO Imp.]],'Indirect Costs'!CA$8)</f>
        <v>0</v>
      </c>
      <c r="CB69" s="48">
        <f>SUMIFS(Imput[[Importe Neto]:[Importe Neto]],Imput[[C. Imp.]:[C. Imp.]],'Indirect Costs'!$C69,Imput[[PERIODO Imp.]:[PERIODO Imp.]],'Indirect Costs'!CB$8)</f>
        <v>0</v>
      </c>
      <c r="CC69" s="48">
        <f>SUMIFS(Imput[[Importe Neto]:[Importe Neto]],Imput[[C. Imp.]:[C. Imp.]],'Indirect Costs'!$C69,Imput[[PERIODO Imp.]:[PERIODO Imp.]],'Indirect Costs'!CC$8)</f>
        <v>0</v>
      </c>
      <c r="CD69" s="48">
        <f>SUMIFS(Imput[[Importe Neto]:[Importe Neto]],Imput[[C. Imp.]:[C. Imp.]],'Indirect Costs'!$C69,Imput[[PERIODO Imp.]:[PERIODO Imp.]],'Indirect Costs'!CD$8)</f>
        <v>0</v>
      </c>
      <c r="CE69" s="48">
        <f>SUMIFS(Imput[[Importe Neto]:[Importe Neto]],Imput[[C. Imp.]:[C. Imp.]],'Indirect Costs'!$C69,Imput[[PERIODO Imp.]:[PERIODO Imp.]],'Indirect Costs'!CE$8)</f>
        <v>0</v>
      </c>
      <c r="CF69" s="48">
        <f>SUMIFS(Imput[[Importe Neto]:[Importe Neto]],Imput[[C. Imp.]:[C. Imp.]],'Indirect Costs'!$C69,Imput[[PERIODO Imp.]:[PERIODO Imp.]],'Indirect Costs'!CF$8)</f>
        <v>0</v>
      </c>
      <c r="CG69" s="48">
        <f>SUMIFS(Imput[[Importe Neto]:[Importe Neto]],Imput[[C. Imp.]:[C. Imp.]],'Indirect Costs'!$C69,Imput[[PERIODO Imp.]:[PERIODO Imp.]],'Indirect Costs'!CG$8)</f>
        <v>0</v>
      </c>
      <c r="CH69" s="48">
        <f>SUMIFS(Imput[[Importe Neto]:[Importe Neto]],Imput[[C. Imp.]:[C. Imp.]],'Indirect Costs'!$C69,Imput[[PERIODO Imp.]:[PERIODO Imp.]],'Indirect Costs'!CH$8)</f>
        <v>0</v>
      </c>
      <c r="CI69" s="48">
        <f>SUMIFS(Imput[[Importe Neto]:[Importe Neto]],Imput[[C. Imp.]:[C. Imp.]],'Indirect Costs'!$C69,Imput[[PERIODO Imp.]:[PERIODO Imp.]],'Indirect Costs'!CI$8)</f>
        <v>0</v>
      </c>
      <c r="CJ69" s="48">
        <f>SUMIFS(Imput[[Importe Neto]:[Importe Neto]],Imput[[C. Imp.]:[C. Imp.]],'Indirect Costs'!$C69,Imput[[PERIODO Imp.]:[PERIODO Imp.]],'Indirect Costs'!CJ$8)</f>
        <v>0</v>
      </c>
      <c r="CK69" s="48">
        <f>SUMIFS(Imput[[Importe Neto]:[Importe Neto]],Imput[[C. Imp.]:[C. Imp.]],'Indirect Costs'!$C69,Imput[[PERIODO Imp.]:[PERIODO Imp.]],'Indirect Costs'!CK$8)</f>
        <v>0</v>
      </c>
      <c r="CL69" s="48">
        <f>SUMIFS(Imput[[Importe Neto]:[Importe Neto]],Imput[[C. Imp.]:[C. Imp.]],'Indirect Costs'!$C69,Imput[[PERIODO Imp.]:[PERIODO Imp.]],'Indirect Costs'!CL$8)</f>
        <v>0</v>
      </c>
      <c r="CM69" s="48">
        <f>SUMIFS(Imput[[Importe Neto]:[Importe Neto]],Imput[[C. Imp.]:[C. Imp.]],'Indirect Costs'!$C69,Imput[[PERIODO Imp.]:[PERIODO Imp.]],'Indirect Costs'!CM$8)</f>
        <v>0</v>
      </c>
      <c r="CN69" s="48">
        <f>SUMIFS(Imput[[Importe Neto]:[Importe Neto]],Imput[[C. Imp.]:[C. Imp.]],'Indirect Costs'!$C69,Imput[[PERIODO Imp.]:[PERIODO Imp.]],'Indirect Costs'!CN$8)</f>
        <v>0</v>
      </c>
      <c r="CO69" s="48">
        <f>SUMIFS(Imput[[Importe Neto]:[Importe Neto]],Imput[[C. Imp.]:[C. Imp.]],'Indirect Costs'!$C69,Imput[[PERIODO Imp.]:[PERIODO Imp.]],'Indirect Costs'!CO$8)</f>
        <v>0</v>
      </c>
      <c r="CP69" s="48">
        <f>SUMIFS(Imput[[Importe Neto]:[Importe Neto]],Imput[[C. Imp.]:[C. Imp.]],'Indirect Costs'!$C69,Imput[[PERIODO Imp.]:[PERIODO Imp.]],'Indirect Costs'!CP$8)</f>
        <v>0</v>
      </c>
      <c r="CQ69" s="48">
        <f>SUMIFS(Imput[[Importe Neto]:[Importe Neto]],Imput[[C. Imp.]:[C. Imp.]],'Indirect Costs'!$C69,Imput[[PERIODO Imp.]:[PERIODO Imp.]],'Indirect Costs'!CQ$8)</f>
        <v>0</v>
      </c>
      <c r="CR69" s="48">
        <f>SUMIFS(Imput[[Importe Neto]:[Importe Neto]],Imput[[C. Imp.]:[C. Imp.]],'Indirect Costs'!$C69,Imput[[PERIODO Imp.]:[PERIODO Imp.]],'Indirect Costs'!CR$8)</f>
        <v>0</v>
      </c>
      <c r="CS69" s="48">
        <f>SUMIFS(Imput[[Importe Neto]:[Importe Neto]],Imput[[C. Imp.]:[C. Imp.]],'Indirect Costs'!$C69,Imput[[PERIODO Imp.]:[PERIODO Imp.]],'Indirect Costs'!CS$8)</f>
        <v>0</v>
      </c>
      <c r="CT69" s="48">
        <f>SUMIFS(Imput[[Importe Neto]:[Importe Neto]],Imput[[C. Imp.]:[C. Imp.]],'Indirect Costs'!$C69,Imput[[PERIODO Imp.]:[PERIODO Imp.]],'Indirect Costs'!CT$8)</f>
        <v>0</v>
      </c>
      <c r="CU69" s="48">
        <f>SUMIFS(Imput[[Importe Neto]:[Importe Neto]],Imput[[C. Imp.]:[C. Imp.]],'Indirect Costs'!$C69,Imput[[PERIODO Imp.]:[PERIODO Imp.]],'Indirect Costs'!CU$8)</f>
        <v>0</v>
      </c>
      <c r="CV69" s="48">
        <f>SUMIFS(Imput[[Importe Neto]:[Importe Neto]],Imput[[C. Imp.]:[C. Imp.]],'Indirect Costs'!$C69,Imput[[PERIODO Imp.]:[PERIODO Imp.]],'Indirect Costs'!CV$8)</f>
        <v>0</v>
      </c>
      <c r="CW69" s="48">
        <f>SUMIFS(Imput[[Importe Neto]:[Importe Neto]],Imput[[C. Imp.]:[C. Imp.]],'Indirect Costs'!$C69,Imput[[PERIODO Imp.]:[PERIODO Imp.]],'Indirect Costs'!CW$8)</f>
        <v>0</v>
      </c>
      <c r="CX69" s="48">
        <f>SUMIFS(Imput[[Importe Neto]:[Importe Neto]],Imput[[C. Imp.]:[C. Imp.]],'Indirect Costs'!$C69,Imput[[PERIODO Imp.]:[PERIODO Imp.]],'Indirect Costs'!CX$8)</f>
        <v>0</v>
      </c>
      <c r="CY69" s="48">
        <f>SUMIFS(Imput[[Importe Neto]:[Importe Neto]],Imput[[C. Imp.]:[C. Imp.]],'Indirect Costs'!$C69,Imput[[PERIODO Imp.]:[PERIODO Imp.]],'Indirect Costs'!CY$8)</f>
        <v>0</v>
      </c>
      <c r="CZ69" s="48">
        <f>SUMIFS(Imput[[Importe Neto]:[Importe Neto]],Imput[[C. Imp.]:[C. Imp.]],'Indirect Costs'!$C69,Imput[[PERIODO Imp.]:[PERIODO Imp.]],'Indirect Costs'!CZ$8)</f>
        <v>0</v>
      </c>
      <c r="DA69" s="48">
        <f>SUMIFS(Imput[[Importe Neto]:[Importe Neto]],Imput[[C. Imp.]:[C. Imp.]],'Indirect Costs'!$C69,Imput[[PERIODO Imp.]:[PERIODO Imp.]],'Indirect Costs'!DA$8)</f>
        <v>0</v>
      </c>
      <c r="DB69" s="48">
        <f>SUMIFS(Imput[[Importe Neto]:[Importe Neto]],Imput[[C. Imp.]:[C. Imp.]],'Indirect Costs'!$C69,Imput[[PERIODO Imp.]:[PERIODO Imp.]],'Indirect Costs'!DB$8)</f>
        <v>0</v>
      </c>
      <c r="DC69" s="48">
        <f>SUMIFS(Imput[[Importe Neto]:[Importe Neto]],Imput[[C. Imp.]:[C. Imp.]],'Indirect Costs'!$C69,Imput[[PERIODO Imp.]:[PERIODO Imp.]],'Indirect Costs'!DC$8)</f>
        <v>0</v>
      </c>
      <c r="DD69" s="48">
        <f>SUMIFS(Imput[[Importe Neto]:[Importe Neto]],Imput[[C. Imp.]:[C. Imp.]],'Indirect Costs'!$C69,Imput[[PERIODO Imp.]:[PERIODO Imp.]],'Indirect Costs'!DD$8)</f>
        <v>0</v>
      </c>
      <c r="DE69" s="48">
        <f>SUMIFS(Imput[[Importe Neto]:[Importe Neto]],Imput[[C. Imp.]:[C. Imp.]],'Indirect Costs'!$C69,Imput[[PERIODO Imp.]:[PERIODO Imp.]],'Indirect Costs'!DE$8)</f>
        <v>0</v>
      </c>
      <c r="DF69" s="143">
        <f>SUMIFS(Imput[[Importe Neto]:[Importe Neto]],Imput[[C. Imp.]:[C. Imp.]],'Indirect Costs'!$C69,Imput[[PERIODO Imp.]:[PERIODO Imp.]],'Indirect Costs'!DF$8)</f>
        <v>0</v>
      </c>
    </row>
    <row r="70" spans="1:110" ht="14.4" outlineLevel="1" thickBot="1" x14ac:dyDescent="0.3">
      <c r="A70" s="28" t="str">
        <f t="shared" si="3"/>
        <v>Imprimir</v>
      </c>
      <c r="B70" s="50">
        <v>7</v>
      </c>
      <c r="C70" s="57" t="s">
        <v>1755</v>
      </c>
      <c r="D70" s="56" t="s">
        <v>2127</v>
      </c>
      <c r="E70" s="56" t="s">
        <v>2127</v>
      </c>
      <c r="F70" s="58">
        <f>SUM(F64:F66)</f>
        <v>20000</v>
      </c>
      <c r="G70" s="49">
        <v>1</v>
      </c>
      <c r="H70" s="51">
        <v>1</v>
      </c>
      <c r="I70" s="505">
        <f t="shared" si="7"/>
        <v>20000</v>
      </c>
      <c r="J70" s="47"/>
      <c r="K70" s="142"/>
      <c r="L70" s="48"/>
      <c r="M70" s="48"/>
      <c r="N70" s="48"/>
      <c r="O70" s="48"/>
      <c r="P70" s="48"/>
      <c r="Q70" s="48">
        <v>1</v>
      </c>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143"/>
      <c r="BG70" s="47"/>
      <c r="BH70" s="509"/>
      <c r="BI70" s="505">
        <f t="shared" si="6"/>
        <v>0</v>
      </c>
      <c r="BJ70" s="47"/>
      <c r="BK70" s="142">
        <f>SUMIFS(Imput[[Importe Neto]:[Importe Neto]],Imput[[C. Imp.]:[C. Imp.]],'Indirect Costs'!$C70,Imput[[PERIODO Imp.]:[PERIODO Imp.]],'Indirect Costs'!BK$8)</f>
        <v>0</v>
      </c>
      <c r="BL70" s="48">
        <f>SUMIFS(Imput[[Importe Neto]:[Importe Neto]],Imput[[C. Imp.]:[C. Imp.]],'Indirect Costs'!$C70,Imput[[PERIODO Imp.]:[PERIODO Imp.]],'Indirect Costs'!BL$8)</f>
        <v>0</v>
      </c>
      <c r="BM70" s="48">
        <f>SUMIFS(Imput[[Importe Neto]:[Importe Neto]],Imput[[C. Imp.]:[C. Imp.]],'Indirect Costs'!$C70,Imput[[PERIODO Imp.]:[PERIODO Imp.]],'Indirect Costs'!BM$8)</f>
        <v>0</v>
      </c>
      <c r="BN70" s="48">
        <f>SUMIFS(Imput[[Importe Neto]:[Importe Neto]],Imput[[C. Imp.]:[C. Imp.]],'Indirect Costs'!$C70,Imput[[PERIODO Imp.]:[PERIODO Imp.]],'Indirect Costs'!BN$8)</f>
        <v>0</v>
      </c>
      <c r="BO70" s="48">
        <f>SUMIFS(Imput[[Importe Neto]:[Importe Neto]],Imput[[C. Imp.]:[C. Imp.]],'Indirect Costs'!$C70,Imput[[PERIODO Imp.]:[PERIODO Imp.]],'Indirect Costs'!BO$8)</f>
        <v>0</v>
      </c>
      <c r="BP70" s="48">
        <f>SUMIFS(Imput[[Importe Neto]:[Importe Neto]],Imput[[C. Imp.]:[C. Imp.]],'Indirect Costs'!$C70,Imput[[PERIODO Imp.]:[PERIODO Imp.]],'Indirect Costs'!BP$8)</f>
        <v>0</v>
      </c>
      <c r="BQ70" s="48">
        <f>SUMIFS(Imput[[Importe Neto]:[Importe Neto]],Imput[[C. Imp.]:[C. Imp.]],'Indirect Costs'!$C70,Imput[[PERIODO Imp.]:[PERIODO Imp.]],'Indirect Costs'!BQ$8)</f>
        <v>0</v>
      </c>
      <c r="BR70" s="48">
        <f>SUMIFS(Imput[[Importe Neto]:[Importe Neto]],Imput[[C. Imp.]:[C. Imp.]],'Indirect Costs'!$C70,Imput[[PERIODO Imp.]:[PERIODO Imp.]],'Indirect Costs'!BR$8)</f>
        <v>0</v>
      </c>
      <c r="BS70" s="48">
        <f>SUMIFS(Imput[[Importe Neto]:[Importe Neto]],Imput[[C. Imp.]:[C. Imp.]],'Indirect Costs'!$C70,Imput[[PERIODO Imp.]:[PERIODO Imp.]],'Indirect Costs'!BS$8)</f>
        <v>0</v>
      </c>
      <c r="BT70" s="48">
        <f>SUMIFS(Imput[[Importe Neto]:[Importe Neto]],Imput[[C. Imp.]:[C. Imp.]],'Indirect Costs'!$C70,Imput[[PERIODO Imp.]:[PERIODO Imp.]],'Indirect Costs'!BT$8)</f>
        <v>0</v>
      </c>
      <c r="BU70" s="48">
        <f>SUMIFS(Imput[[Importe Neto]:[Importe Neto]],Imput[[C. Imp.]:[C. Imp.]],'Indirect Costs'!$C70,Imput[[PERIODO Imp.]:[PERIODO Imp.]],'Indirect Costs'!BU$8)</f>
        <v>0</v>
      </c>
      <c r="BV70" s="48">
        <f>SUMIFS(Imput[[Importe Neto]:[Importe Neto]],Imput[[C. Imp.]:[C. Imp.]],'Indirect Costs'!$C70,Imput[[PERIODO Imp.]:[PERIODO Imp.]],'Indirect Costs'!BV$8)</f>
        <v>0</v>
      </c>
      <c r="BW70" s="48">
        <f>SUMIFS(Imput[[Importe Neto]:[Importe Neto]],Imput[[C. Imp.]:[C. Imp.]],'Indirect Costs'!$C70,Imput[[PERIODO Imp.]:[PERIODO Imp.]],'Indirect Costs'!BW$8)</f>
        <v>0</v>
      </c>
      <c r="BX70" s="48">
        <f>SUMIFS(Imput[[Importe Neto]:[Importe Neto]],Imput[[C. Imp.]:[C. Imp.]],'Indirect Costs'!$C70,Imput[[PERIODO Imp.]:[PERIODO Imp.]],'Indirect Costs'!BX$8)</f>
        <v>0</v>
      </c>
      <c r="BY70" s="48">
        <f>SUMIFS(Imput[[Importe Neto]:[Importe Neto]],Imput[[C. Imp.]:[C. Imp.]],'Indirect Costs'!$C70,Imput[[PERIODO Imp.]:[PERIODO Imp.]],'Indirect Costs'!BY$8)</f>
        <v>0</v>
      </c>
      <c r="BZ70" s="48">
        <f>SUMIFS(Imput[[Importe Neto]:[Importe Neto]],Imput[[C. Imp.]:[C. Imp.]],'Indirect Costs'!$C70,Imput[[PERIODO Imp.]:[PERIODO Imp.]],'Indirect Costs'!BZ$8)</f>
        <v>0</v>
      </c>
      <c r="CA70" s="48">
        <f>SUMIFS(Imput[[Importe Neto]:[Importe Neto]],Imput[[C. Imp.]:[C. Imp.]],'Indirect Costs'!$C70,Imput[[PERIODO Imp.]:[PERIODO Imp.]],'Indirect Costs'!CA$8)</f>
        <v>0</v>
      </c>
      <c r="CB70" s="48">
        <f>SUMIFS(Imput[[Importe Neto]:[Importe Neto]],Imput[[C. Imp.]:[C. Imp.]],'Indirect Costs'!$C70,Imput[[PERIODO Imp.]:[PERIODO Imp.]],'Indirect Costs'!CB$8)</f>
        <v>0</v>
      </c>
      <c r="CC70" s="48">
        <f>SUMIFS(Imput[[Importe Neto]:[Importe Neto]],Imput[[C. Imp.]:[C. Imp.]],'Indirect Costs'!$C70,Imput[[PERIODO Imp.]:[PERIODO Imp.]],'Indirect Costs'!CC$8)</f>
        <v>0</v>
      </c>
      <c r="CD70" s="48">
        <f>SUMIFS(Imput[[Importe Neto]:[Importe Neto]],Imput[[C. Imp.]:[C. Imp.]],'Indirect Costs'!$C70,Imput[[PERIODO Imp.]:[PERIODO Imp.]],'Indirect Costs'!CD$8)</f>
        <v>0</v>
      </c>
      <c r="CE70" s="48">
        <f>SUMIFS(Imput[[Importe Neto]:[Importe Neto]],Imput[[C. Imp.]:[C. Imp.]],'Indirect Costs'!$C70,Imput[[PERIODO Imp.]:[PERIODO Imp.]],'Indirect Costs'!CE$8)</f>
        <v>0</v>
      </c>
      <c r="CF70" s="48">
        <f>SUMIFS(Imput[[Importe Neto]:[Importe Neto]],Imput[[C. Imp.]:[C. Imp.]],'Indirect Costs'!$C70,Imput[[PERIODO Imp.]:[PERIODO Imp.]],'Indirect Costs'!CF$8)</f>
        <v>0</v>
      </c>
      <c r="CG70" s="48">
        <f>SUMIFS(Imput[[Importe Neto]:[Importe Neto]],Imput[[C. Imp.]:[C. Imp.]],'Indirect Costs'!$C70,Imput[[PERIODO Imp.]:[PERIODO Imp.]],'Indirect Costs'!CG$8)</f>
        <v>0</v>
      </c>
      <c r="CH70" s="48">
        <f>SUMIFS(Imput[[Importe Neto]:[Importe Neto]],Imput[[C. Imp.]:[C. Imp.]],'Indirect Costs'!$C70,Imput[[PERIODO Imp.]:[PERIODO Imp.]],'Indirect Costs'!CH$8)</f>
        <v>0</v>
      </c>
      <c r="CI70" s="48">
        <f>SUMIFS(Imput[[Importe Neto]:[Importe Neto]],Imput[[C. Imp.]:[C. Imp.]],'Indirect Costs'!$C70,Imput[[PERIODO Imp.]:[PERIODO Imp.]],'Indirect Costs'!CI$8)</f>
        <v>0</v>
      </c>
      <c r="CJ70" s="48">
        <f>SUMIFS(Imput[[Importe Neto]:[Importe Neto]],Imput[[C. Imp.]:[C. Imp.]],'Indirect Costs'!$C70,Imput[[PERIODO Imp.]:[PERIODO Imp.]],'Indirect Costs'!CJ$8)</f>
        <v>0</v>
      </c>
      <c r="CK70" s="48">
        <f>SUMIFS(Imput[[Importe Neto]:[Importe Neto]],Imput[[C. Imp.]:[C. Imp.]],'Indirect Costs'!$C70,Imput[[PERIODO Imp.]:[PERIODO Imp.]],'Indirect Costs'!CK$8)</f>
        <v>0</v>
      </c>
      <c r="CL70" s="48">
        <f>SUMIFS(Imput[[Importe Neto]:[Importe Neto]],Imput[[C. Imp.]:[C. Imp.]],'Indirect Costs'!$C70,Imput[[PERIODO Imp.]:[PERIODO Imp.]],'Indirect Costs'!CL$8)</f>
        <v>0</v>
      </c>
      <c r="CM70" s="48">
        <f>SUMIFS(Imput[[Importe Neto]:[Importe Neto]],Imput[[C. Imp.]:[C. Imp.]],'Indirect Costs'!$C70,Imput[[PERIODO Imp.]:[PERIODO Imp.]],'Indirect Costs'!CM$8)</f>
        <v>0</v>
      </c>
      <c r="CN70" s="48">
        <f>SUMIFS(Imput[[Importe Neto]:[Importe Neto]],Imput[[C. Imp.]:[C. Imp.]],'Indirect Costs'!$C70,Imput[[PERIODO Imp.]:[PERIODO Imp.]],'Indirect Costs'!CN$8)</f>
        <v>0</v>
      </c>
      <c r="CO70" s="48">
        <f>SUMIFS(Imput[[Importe Neto]:[Importe Neto]],Imput[[C. Imp.]:[C. Imp.]],'Indirect Costs'!$C70,Imput[[PERIODO Imp.]:[PERIODO Imp.]],'Indirect Costs'!CO$8)</f>
        <v>0</v>
      </c>
      <c r="CP70" s="48">
        <f>SUMIFS(Imput[[Importe Neto]:[Importe Neto]],Imput[[C. Imp.]:[C. Imp.]],'Indirect Costs'!$C70,Imput[[PERIODO Imp.]:[PERIODO Imp.]],'Indirect Costs'!CP$8)</f>
        <v>0</v>
      </c>
      <c r="CQ70" s="48">
        <f>SUMIFS(Imput[[Importe Neto]:[Importe Neto]],Imput[[C. Imp.]:[C. Imp.]],'Indirect Costs'!$C70,Imput[[PERIODO Imp.]:[PERIODO Imp.]],'Indirect Costs'!CQ$8)</f>
        <v>0</v>
      </c>
      <c r="CR70" s="48">
        <f>SUMIFS(Imput[[Importe Neto]:[Importe Neto]],Imput[[C. Imp.]:[C. Imp.]],'Indirect Costs'!$C70,Imput[[PERIODO Imp.]:[PERIODO Imp.]],'Indirect Costs'!CR$8)</f>
        <v>0</v>
      </c>
      <c r="CS70" s="48">
        <f>SUMIFS(Imput[[Importe Neto]:[Importe Neto]],Imput[[C. Imp.]:[C. Imp.]],'Indirect Costs'!$C70,Imput[[PERIODO Imp.]:[PERIODO Imp.]],'Indirect Costs'!CS$8)</f>
        <v>0</v>
      </c>
      <c r="CT70" s="48">
        <f>SUMIFS(Imput[[Importe Neto]:[Importe Neto]],Imput[[C. Imp.]:[C. Imp.]],'Indirect Costs'!$C70,Imput[[PERIODO Imp.]:[PERIODO Imp.]],'Indirect Costs'!CT$8)</f>
        <v>0</v>
      </c>
      <c r="CU70" s="48">
        <f>SUMIFS(Imput[[Importe Neto]:[Importe Neto]],Imput[[C. Imp.]:[C. Imp.]],'Indirect Costs'!$C70,Imput[[PERIODO Imp.]:[PERIODO Imp.]],'Indirect Costs'!CU$8)</f>
        <v>0</v>
      </c>
      <c r="CV70" s="48">
        <f>SUMIFS(Imput[[Importe Neto]:[Importe Neto]],Imput[[C. Imp.]:[C. Imp.]],'Indirect Costs'!$C70,Imput[[PERIODO Imp.]:[PERIODO Imp.]],'Indirect Costs'!CV$8)</f>
        <v>0</v>
      </c>
      <c r="CW70" s="48">
        <f>SUMIFS(Imput[[Importe Neto]:[Importe Neto]],Imput[[C. Imp.]:[C. Imp.]],'Indirect Costs'!$C70,Imput[[PERIODO Imp.]:[PERIODO Imp.]],'Indirect Costs'!CW$8)</f>
        <v>0</v>
      </c>
      <c r="CX70" s="48">
        <f>SUMIFS(Imput[[Importe Neto]:[Importe Neto]],Imput[[C. Imp.]:[C. Imp.]],'Indirect Costs'!$C70,Imput[[PERIODO Imp.]:[PERIODO Imp.]],'Indirect Costs'!CX$8)</f>
        <v>0</v>
      </c>
      <c r="CY70" s="48">
        <f>SUMIFS(Imput[[Importe Neto]:[Importe Neto]],Imput[[C. Imp.]:[C. Imp.]],'Indirect Costs'!$C70,Imput[[PERIODO Imp.]:[PERIODO Imp.]],'Indirect Costs'!CY$8)</f>
        <v>0</v>
      </c>
      <c r="CZ70" s="48">
        <f>SUMIFS(Imput[[Importe Neto]:[Importe Neto]],Imput[[C. Imp.]:[C. Imp.]],'Indirect Costs'!$C70,Imput[[PERIODO Imp.]:[PERIODO Imp.]],'Indirect Costs'!CZ$8)</f>
        <v>0</v>
      </c>
      <c r="DA70" s="48">
        <f>SUMIFS(Imput[[Importe Neto]:[Importe Neto]],Imput[[C. Imp.]:[C. Imp.]],'Indirect Costs'!$C70,Imput[[PERIODO Imp.]:[PERIODO Imp.]],'Indirect Costs'!DA$8)</f>
        <v>0</v>
      </c>
      <c r="DB70" s="48">
        <f>SUMIFS(Imput[[Importe Neto]:[Importe Neto]],Imput[[C. Imp.]:[C. Imp.]],'Indirect Costs'!$C70,Imput[[PERIODO Imp.]:[PERIODO Imp.]],'Indirect Costs'!DB$8)</f>
        <v>0</v>
      </c>
      <c r="DC70" s="48">
        <f>SUMIFS(Imput[[Importe Neto]:[Importe Neto]],Imput[[C. Imp.]:[C. Imp.]],'Indirect Costs'!$C70,Imput[[PERIODO Imp.]:[PERIODO Imp.]],'Indirect Costs'!DC$8)</f>
        <v>0</v>
      </c>
      <c r="DD70" s="48">
        <f>SUMIFS(Imput[[Importe Neto]:[Importe Neto]],Imput[[C. Imp.]:[C. Imp.]],'Indirect Costs'!$C70,Imput[[PERIODO Imp.]:[PERIODO Imp.]],'Indirect Costs'!DD$8)</f>
        <v>0</v>
      </c>
      <c r="DE70" s="48">
        <f>SUMIFS(Imput[[Importe Neto]:[Importe Neto]],Imput[[C. Imp.]:[C. Imp.]],'Indirect Costs'!$C70,Imput[[PERIODO Imp.]:[PERIODO Imp.]],'Indirect Costs'!DE$8)</f>
        <v>0</v>
      </c>
      <c r="DF70" s="143">
        <f>SUMIFS(Imput[[Importe Neto]:[Importe Neto]],Imput[[C. Imp.]:[C. Imp.]],'Indirect Costs'!$C70,Imput[[PERIODO Imp.]:[PERIODO Imp.]],'Indirect Costs'!DF$8)</f>
        <v>0</v>
      </c>
    </row>
    <row r="71" spans="1:110" ht="14.4" thickBot="1" x14ac:dyDescent="0.3">
      <c r="A71" s="28" t="str">
        <f t="shared" si="3"/>
        <v>Imprimir</v>
      </c>
      <c r="B71" s="54"/>
      <c r="C71" s="36" t="s">
        <v>120</v>
      </c>
      <c r="D71" s="54" t="s">
        <v>579</v>
      </c>
      <c r="E71" s="36"/>
      <c r="F71" s="37"/>
      <c r="G71" s="55"/>
      <c r="H71" s="38"/>
      <c r="I71" s="39">
        <f>SUBTOTAL(9,I72:I81)</f>
        <v>18500</v>
      </c>
      <c r="J71" s="45"/>
      <c r="K71" s="250">
        <f>SUMPRODUCT($F72:$F81,$G72:$G81,K72:K81)</f>
        <v>2833.333333333333</v>
      </c>
      <c r="L71" s="251">
        <f t="shared" ref="L71:BF71" si="12">SUMPRODUCT($F72:$F81,$G72:$G81,L72:L81)</f>
        <v>2833.333333333333</v>
      </c>
      <c r="M71" s="251">
        <f t="shared" si="12"/>
        <v>2833.333333333333</v>
      </c>
      <c r="N71" s="251">
        <f t="shared" si="12"/>
        <v>2833.333333333333</v>
      </c>
      <c r="O71" s="251">
        <f t="shared" si="12"/>
        <v>2833.333333333333</v>
      </c>
      <c r="P71" s="251">
        <f t="shared" si="12"/>
        <v>2833.333333333333</v>
      </c>
      <c r="Q71" s="251">
        <f t="shared" si="12"/>
        <v>18500</v>
      </c>
      <c r="R71" s="251">
        <f t="shared" si="12"/>
        <v>0</v>
      </c>
      <c r="S71" s="251">
        <f t="shared" si="12"/>
        <v>0</v>
      </c>
      <c r="T71" s="251">
        <f t="shared" si="12"/>
        <v>0</v>
      </c>
      <c r="U71" s="251">
        <f t="shared" si="12"/>
        <v>0</v>
      </c>
      <c r="V71" s="251">
        <f t="shared" si="12"/>
        <v>0</v>
      </c>
      <c r="W71" s="251">
        <f t="shared" si="12"/>
        <v>0</v>
      </c>
      <c r="X71" s="251">
        <f t="shared" si="12"/>
        <v>0</v>
      </c>
      <c r="Y71" s="251">
        <f t="shared" si="12"/>
        <v>0</v>
      </c>
      <c r="Z71" s="251">
        <f t="shared" si="12"/>
        <v>0</v>
      </c>
      <c r="AA71" s="251">
        <f t="shared" si="12"/>
        <v>0</v>
      </c>
      <c r="AB71" s="251">
        <f t="shared" si="12"/>
        <v>0</v>
      </c>
      <c r="AC71" s="251">
        <f t="shared" si="12"/>
        <v>0</v>
      </c>
      <c r="AD71" s="251">
        <f t="shared" si="12"/>
        <v>0</v>
      </c>
      <c r="AE71" s="251">
        <f t="shared" si="12"/>
        <v>0</v>
      </c>
      <c r="AF71" s="251">
        <f t="shared" si="12"/>
        <v>0</v>
      </c>
      <c r="AG71" s="251">
        <f t="shared" si="12"/>
        <v>0</v>
      </c>
      <c r="AH71" s="251">
        <f t="shared" si="12"/>
        <v>0</v>
      </c>
      <c r="AI71" s="251">
        <f t="shared" si="12"/>
        <v>0</v>
      </c>
      <c r="AJ71" s="251">
        <f t="shared" si="12"/>
        <v>0</v>
      </c>
      <c r="AK71" s="251">
        <f t="shared" si="12"/>
        <v>0</v>
      </c>
      <c r="AL71" s="251">
        <f t="shared" si="12"/>
        <v>0</v>
      </c>
      <c r="AM71" s="251">
        <f t="shared" si="12"/>
        <v>0</v>
      </c>
      <c r="AN71" s="251">
        <f t="shared" si="12"/>
        <v>0</v>
      </c>
      <c r="AO71" s="251">
        <f t="shared" si="12"/>
        <v>0</v>
      </c>
      <c r="AP71" s="251">
        <f t="shared" si="12"/>
        <v>0</v>
      </c>
      <c r="AQ71" s="251">
        <f t="shared" si="12"/>
        <v>0</v>
      </c>
      <c r="AR71" s="251">
        <f t="shared" si="12"/>
        <v>0</v>
      </c>
      <c r="AS71" s="251">
        <f t="shared" si="12"/>
        <v>0</v>
      </c>
      <c r="AT71" s="251">
        <f t="shared" si="12"/>
        <v>0</v>
      </c>
      <c r="AU71" s="251">
        <f t="shared" si="12"/>
        <v>0</v>
      </c>
      <c r="AV71" s="251">
        <f t="shared" si="12"/>
        <v>0</v>
      </c>
      <c r="AW71" s="251">
        <f t="shared" si="12"/>
        <v>0</v>
      </c>
      <c r="AX71" s="251">
        <f t="shared" si="12"/>
        <v>0</v>
      </c>
      <c r="AY71" s="251">
        <f t="shared" si="12"/>
        <v>0</v>
      </c>
      <c r="AZ71" s="251">
        <f t="shared" si="12"/>
        <v>0</v>
      </c>
      <c r="BA71" s="251">
        <f t="shared" si="12"/>
        <v>0</v>
      </c>
      <c r="BB71" s="251">
        <f t="shared" si="12"/>
        <v>0</v>
      </c>
      <c r="BC71" s="251">
        <f t="shared" si="12"/>
        <v>0</v>
      </c>
      <c r="BD71" s="251">
        <f t="shared" si="12"/>
        <v>0</v>
      </c>
      <c r="BE71" s="251">
        <f t="shared" si="12"/>
        <v>0</v>
      </c>
      <c r="BF71" s="566">
        <f t="shared" si="12"/>
        <v>0</v>
      </c>
      <c r="BG71" s="45"/>
      <c r="BH71" s="165">
        <f>IFERROR(BI71/I71,0)</f>
        <v>3.139558537991892</v>
      </c>
      <c r="BI71" s="39">
        <f>SUBTOTAL(9,BI72:BI81)</f>
        <v>58081.832952850003</v>
      </c>
      <c r="BJ71" s="45"/>
      <c r="BK71" s="137">
        <f>SUM(BK72:BK81)</f>
        <v>0</v>
      </c>
      <c r="BL71" s="138">
        <f t="shared" ref="BL71:DF71" si="13">SUM(BL72:BL81)</f>
        <v>3520.9960800000003</v>
      </c>
      <c r="BM71" s="138">
        <f t="shared" si="13"/>
        <v>5593.9984000000004</v>
      </c>
      <c r="BN71" s="138">
        <f t="shared" si="13"/>
        <v>7630.44995285</v>
      </c>
      <c r="BO71" s="138">
        <f t="shared" si="13"/>
        <v>27981.856399999997</v>
      </c>
      <c r="BP71" s="138">
        <f t="shared" si="13"/>
        <v>8108.039679999999</v>
      </c>
      <c r="BQ71" s="138">
        <f t="shared" si="13"/>
        <v>4370.4841999999999</v>
      </c>
      <c r="BR71" s="138">
        <f t="shared" si="13"/>
        <v>327.00399999999996</v>
      </c>
      <c r="BS71" s="138">
        <f t="shared" si="13"/>
        <v>0</v>
      </c>
      <c r="BT71" s="138">
        <f t="shared" si="13"/>
        <v>0</v>
      </c>
      <c r="BU71" s="138">
        <f t="shared" si="13"/>
        <v>0</v>
      </c>
      <c r="BV71" s="138">
        <f t="shared" si="13"/>
        <v>0</v>
      </c>
      <c r="BW71" s="138">
        <f t="shared" si="13"/>
        <v>334.00519999999995</v>
      </c>
      <c r="BX71" s="138">
        <f t="shared" si="13"/>
        <v>0</v>
      </c>
      <c r="BY71" s="138">
        <f t="shared" si="13"/>
        <v>214.99903999999998</v>
      </c>
      <c r="BZ71" s="138">
        <f t="shared" si="13"/>
        <v>0</v>
      </c>
      <c r="CA71" s="138">
        <f t="shared" si="13"/>
        <v>0</v>
      </c>
      <c r="CB71" s="138">
        <f t="shared" si="13"/>
        <v>0</v>
      </c>
      <c r="CC71" s="138">
        <f t="shared" si="13"/>
        <v>0</v>
      </c>
      <c r="CD71" s="138">
        <f t="shared" si="13"/>
        <v>0</v>
      </c>
      <c r="CE71" s="138">
        <f t="shared" si="13"/>
        <v>0</v>
      </c>
      <c r="CF71" s="138">
        <f t="shared" si="13"/>
        <v>0</v>
      </c>
      <c r="CG71" s="138">
        <f t="shared" si="13"/>
        <v>0</v>
      </c>
      <c r="CH71" s="138">
        <f t="shared" si="13"/>
        <v>0</v>
      </c>
      <c r="CI71" s="138">
        <f t="shared" si="13"/>
        <v>0</v>
      </c>
      <c r="CJ71" s="138">
        <f t="shared" si="13"/>
        <v>0</v>
      </c>
      <c r="CK71" s="138">
        <f t="shared" si="13"/>
        <v>0</v>
      </c>
      <c r="CL71" s="138">
        <f t="shared" si="13"/>
        <v>0</v>
      </c>
      <c r="CM71" s="138">
        <f t="shared" si="13"/>
        <v>0</v>
      </c>
      <c r="CN71" s="138">
        <f t="shared" si="13"/>
        <v>0</v>
      </c>
      <c r="CO71" s="138">
        <f t="shared" si="13"/>
        <v>0</v>
      </c>
      <c r="CP71" s="138">
        <f t="shared" si="13"/>
        <v>0</v>
      </c>
      <c r="CQ71" s="138">
        <f t="shared" si="13"/>
        <v>0</v>
      </c>
      <c r="CR71" s="138">
        <f t="shared" si="13"/>
        <v>0</v>
      </c>
      <c r="CS71" s="138">
        <f t="shared" si="13"/>
        <v>0</v>
      </c>
      <c r="CT71" s="138">
        <f t="shared" si="13"/>
        <v>0</v>
      </c>
      <c r="CU71" s="138">
        <f t="shared" si="13"/>
        <v>0</v>
      </c>
      <c r="CV71" s="138">
        <f t="shared" si="13"/>
        <v>0</v>
      </c>
      <c r="CW71" s="138">
        <f t="shared" si="13"/>
        <v>0</v>
      </c>
      <c r="CX71" s="138">
        <f t="shared" si="13"/>
        <v>0</v>
      </c>
      <c r="CY71" s="138">
        <f t="shared" si="13"/>
        <v>0</v>
      </c>
      <c r="CZ71" s="138">
        <f t="shared" si="13"/>
        <v>0</v>
      </c>
      <c r="DA71" s="138">
        <f t="shared" si="13"/>
        <v>0</v>
      </c>
      <c r="DB71" s="138">
        <f t="shared" si="13"/>
        <v>0</v>
      </c>
      <c r="DC71" s="138">
        <f t="shared" si="13"/>
        <v>0</v>
      </c>
      <c r="DD71" s="138">
        <f t="shared" si="13"/>
        <v>0</v>
      </c>
      <c r="DE71" s="138">
        <f t="shared" si="13"/>
        <v>0</v>
      </c>
      <c r="DF71" s="139">
        <f t="shared" si="13"/>
        <v>0</v>
      </c>
    </row>
    <row r="72" spans="1:110" outlineLevel="1" x14ac:dyDescent="0.25">
      <c r="A72" s="28" t="str">
        <f t="shared" si="3"/>
        <v>Imprimir</v>
      </c>
      <c r="B72" s="50">
        <v>1</v>
      </c>
      <c r="C72" s="57" t="s">
        <v>1744</v>
      </c>
      <c r="D72" s="56" t="s">
        <v>580</v>
      </c>
      <c r="E72" s="57" t="s">
        <v>580</v>
      </c>
      <c r="F72" s="58">
        <v>10000</v>
      </c>
      <c r="G72" s="49">
        <v>1</v>
      </c>
      <c r="H72" s="51">
        <v>1</v>
      </c>
      <c r="I72" s="505">
        <f t="shared" si="7"/>
        <v>10000</v>
      </c>
      <c r="J72" s="47"/>
      <c r="K72" s="142">
        <v>0.16666666666666666</v>
      </c>
      <c r="L72" s="48">
        <v>0.16666666666666666</v>
      </c>
      <c r="M72" s="48">
        <v>0.16666666666666666</v>
      </c>
      <c r="N72" s="48">
        <v>0.16666666666666666</v>
      </c>
      <c r="O72" s="48">
        <v>0.16666666666666666</v>
      </c>
      <c r="P72" s="48">
        <v>0.16666666666666666</v>
      </c>
      <c r="Q72" s="48">
        <v>1</v>
      </c>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143"/>
      <c r="BG72" s="47"/>
      <c r="BH72" s="509"/>
      <c r="BI72" s="505">
        <f t="shared" si="6"/>
        <v>0</v>
      </c>
      <c r="BJ72" s="47"/>
      <c r="BK72" s="142">
        <f>SUMIFS(Imput[[Importe Neto]:[Importe Neto]],Imput[[C. Imp.]:[C. Imp.]],'Indirect Costs'!$C72,Imput[[PERIODO Imp.]:[PERIODO Imp.]],'Indirect Costs'!BK$8)</f>
        <v>0</v>
      </c>
      <c r="BL72" s="48">
        <f>SUMIFS(Imput[[Importe Neto]:[Importe Neto]],Imput[[C. Imp.]:[C. Imp.]],'Indirect Costs'!$C72,Imput[[PERIODO Imp.]:[PERIODO Imp.]],'Indirect Costs'!BL$8)</f>
        <v>0</v>
      </c>
      <c r="BM72" s="48">
        <f>SUMIFS(Imput[[Importe Neto]:[Importe Neto]],Imput[[C. Imp.]:[C. Imp.]],'Indirect Costs'!$C72,Imput[[PERIODO Imp.]:[PERIODO Imp.]],'Indirect Costs'!BM$8)</f>
        <v>0</v>
      </c>
      <c r="BN72" s="48">
        <f>SUMIFS(Imput[[Importe Neto]:[Importe Neto]],Imput[[C. Imp.]:[C. Imp.]],'Indirect Costs'!$C72,Imput[[PERIODO Imp.]:[PERIODO Imp.]],'Indirect Costs'!BN$8)</f>
        <v>0</v>
      </c>
      <c r="BO72" s="48">
        <f>SUMIFS(Imput[[Importe Neto]:[Importe Neto]],Imput[[C. Imp.]:[C. Imp.]],'Indirect Costs'!$C72,Imput[[PERIODO Imp.]:[PERIODO Imp.]],'Indirect Costs'!BO$8)</f>
        <v>0</v>
      </c>
      <c r="BP72" s="48">
        <f>SUMIFS(Imput[[Importe Neto]:[Importe Neto]],Imput[[C. Imp.]:[C. Imp.]],'Indirect Costs'!$C72,Imput[[PERIODO Imp.]:[PERIODO Imp.]],'Indirect Costs'!BP$8)</f>
        <v>0</v>
      </c>
      <c r="BQ72" s="48">
        <f>SUMIFS(Imput[[Importe Neto]:[Importe Neto]],Imput[[C. Imp.]:[C. Imp.]],'Indirect Costs'!$C72,Imput[[PERIODO Imp.]:[PERIODO Imp.]],'Indirect Costs'!BQ$8)</f>
        <v>0</v>
      </c>
      <c r="BR72" s="48">
        <f>SUMIFS(Imput[[Importe Neto]:[Importe Neto]],Imput[[C. Imp.]:[C. Imp.]],'Indirect Costs'!$C72,Imput[[PERIODO Imp.]:[PERIODO Imp.]],'Indirect Costs'!BR$8)</f>
        <v>0</v>
      </c>
      <c r="BS72" s="48">
        <f>SUMIFS(Imput[[Importe Neto]:[Importe Neto]],Imput[[C. Imp.]:[C. Imp.]],'Indirect Costs'!$C72,Imput[[PERIODO Imp.]:[PERIODO Imp.]],'Indirect Costs'!BS$8)</f>
        <v>0</v>
      </c>
      <c r="BT72" s="48">
        <f>SUMIFS(Imput[[Importe Neto]:[Importe Neto]],Imput[[C. Imp.]:[C. Imp.]],'Indirect Costs'!$C72,Imput[[PERIODO Imp.]:[PERIODO Imp.]],'Indirect Costs'!BT$8)</f>
        <v>0</v>
      </c>
      <c r="BU72" s="48">
        <f>SUMIFS(Imput[[Importe Neto]:[Importe Neto]],Imput[[C. Imp.]:[C. Imp.]],'Indirect Costs'!$C72,Imput[[PERIODO Imp.]:[PERIODO Imp.]],'Indirect Costs'!BU$8)</f>
        <v>0</v>
      </c>
      <c r="BV72" s="48">
        <f>SUMIFS(Imput[[Importe Neto]:[Importe Neto]],Imput[[C. Imp.]:[C. Imp.]],'Indirect Costs'!$C72,Imput[[PERIODO Imp.]:[PERIODO Imp.]],'Indirect Costs'!BV$8)</f>
        <v>0</v>
      </c>
      <c r="BW72" s="48">
        <f>SUMIFS(Imput[[Importe Neto]:[Importe Neto]],Imput[[C. Imp.]:[C. Imp.]],'Indirect Costs'!$C72,Imput[[PERIODO Imp.]:[PERIODO Imp.]],'Indirect Costs'!BW$8)</f>
        <v>0</v>
      </c>
      <c r="BX72" s="48">
        <f>SUMIFS(Imput[[Importe Neto]:[Importe Neto]],Imput[[C. Imp.]:[C. Imp.]],'Indirect Costs'!$C72,Imput[[PERIODO Imp.]:[PERIODO Imp.]],'Indirect Costs'!BX$8)</f>
        <v>0</v>
      </c>
      <c r="BY72" s="48">
        <f>SUMIFS(Imput[[Importe Neto]:[Importe Neto]],Imput[[C. Imp.]:[C. Imp.]],'Indirect Costs'!$C72,Imput[[PERIODO Imp.]:[PERIODO Imp.]],'Indirect Costs'!BY$8)</f>
        <v>0</v>
      </c>
      <c r="BZ72" s="48">
        <f>SUMIFS(Imput[[Importe Neto]:[Importe Neto]],Imput[[C. Imp.]:[C. Imp.]],'Indirect Costs'!$C72,Imput[[PERIODO Imp.]:[PERIODO Imp.]],'Indirect Costs'!BZ$8)</f>
        <v>0</v>
      </c>
      <c r="CA72" s="48">
        <f>SUMIFS(Imput[[Importe Neto]:[Importe Neto]],Imput[[C. Imp.]:[C. Imp.]],'Indirect Costs'!$C72,Imput[[PERIODO Imp.]:[PERIODO Imp.]],'Indirect Costs'!CA$8)</f>
        <v>0</v>
      </c>
      <c r="CB72" s="48">
        <f>SUMIFS(Imput[[Importe Neto]:[Importe Neto]],Imput[[C. Imp.]:[C. Imp.]],'Indirect Costs'!$C72,Imput[[PERIODO Imp.]:[PERIODO Imp.]],'Indirect Costs'!CB$8)</f>
        <v>0</v>
      </c>
      <c r="CC72" s="48">
        <f>SUMIFS(Imput[[Importe Neto]:[Importe Neto]],Imput[[C. Imp.]:[C. Imp.]],'Indirect Costs'!$C72,Imput[[PERIODO Imp.]:[PERIODO Imp.]],'Indirect Costs'!CC$8)</f>
        <v>0</v>
      </c>
      <c r="CD72" s="48">
        <f>SUMIFS(Imput[[Importe Neto]:[Importe Neto]],Imput[[C. Imp.]:[C. Imp.]],'Indirect Costs'!$C72,Imput[[PERIODO Imp.]:[PERIODO Imp.]],'Indirect Costs'!CD$8)</f>
        <v>0</v>
      </c>
      <c r="CE72" s="48">
        <f>SUMIFS(Imput[[Importe Neto]:[Importe Neto]],Imput[[C. Imp.]:[C. Imp.]],'Indirect Costs'!$C72,Imput[[PERIODO Imp.]:[PERIODO Imp.]],'Indirect Costs'!CE$8)</f>
        <v>0</v>
      </c>
      <c r="CF72" s="48">
        <f>SUMIFS(Imput[[Importe Neto]:[Importe Neto]],Imput[[C. Imp.]:[C. Imp.]],'Indirect Costs'!$C72,Imput[[PERIODO Imp.]:[PERIODO Imp.]],'Indirect Costs'!CF$8)</f>
        <v>0</v>
      </c>
      <c r="CG72" s="48">
        <f>SUMIFS(Imput[[Importe Neto]:[Importe Neto]],Imput[[C. Imp.]:[C. Imp.]],'Indirect Costs'!$C72,Imput[[PERIODO Imp.]:[PERIODO Imp.]],'Indirect Costs'!CG$8)</f>
        <v>0</v>
      </c>
      <c r="CH72" s="48">
        <f>SUMIFS(Imput[[Importe Neto]:[Importe Neto]],Imput[[C. Imp.]:[C. Imp.]],'Indirect Costs'!$C72,Imput[[PERIODO Imp.]:[PERIODO Imp.]],'Indirect Costs'!CH$8)</f>
        <v>0</v>
      </c>
      <c r="CI72" s="48">
        <f>SUMIFS(Imput[[Importe Neto]:[Importe Neto]],Imput[[C. Imp.]:[C. Imp.]],'Indirect Costs'!$C72,Imput[[PERIODO Imp.]:[PERIODO Imp.]],'Indirect Costs'!CI$8)</f>
        <v>0</v>
      </c>
      <c r="CJ72" s="48">
        <f>SUMIFS(Imput[[Importe Neto]:[Importe Neto]],Imput[[C. Imp.]:[C. Imp.]],'Indirect Costs'!$C72,Imput[[PERIODO Imp.]:[PERIODO Imp.]],'Indirect Costs'!CJ$8)</f>
        <v>0</v>
      </c>
      <c r="CK72" s="48">
        <f>SUMIFS(Imput[[Importe Neto]:[Importe Neto]],Imput[[C. Imp.]:[C. Imp.]],'Indirect Costs'!$C72,Imput[[PERIODO Imp.]:[PERIODO Imp.]],'Indirect Costs'!CK$8)</f>
        <v>0</v>
      </c>
      <c r="CL72" s="48">
        <f>SUMIFS(Imput[[Importe Neto]:[Importe Neto]],Imput[[C. Imp.]:[C. Imp.]],'Indirect Costs'!$C72,Imput[[PERIODO Imp.]:[PERIODO Imp.]],'Indirect Costs'!CL$8)</f>
        <v>0</v>
      </c>
      <c r="CM72" s="48">
        <f>SUMIFS(Imput[[Importe Neto]:[Importe Neto]],Imput[[C. Imp.]:[C. Imp.]],'Indirect Costs'!$C72,Imput[[PERIODO Imp.]:[PERIODO Imp.]],'Indirect Costs'!CM$8)</f>
        <v>0</v>
      </c>
      <c r="CN72" s="48">
        <f>SUMIFS(Imput[[Importe Neto]:[Importe Neto]],Imput[[C. Imp.]:[C. Imp.]],'Indirect Costs'!$C72,Imput[[PERIODO Imp.]:[PERIODO Imp.]],'Indirect Costs'!CN$8)</f>
        <v>0</v>
      </c>
      <c r="CO72" s="48">
        <f>SUMIFS(Imput[[Importe Neto]:[Importe Neto]],Imput[[C. Imp.]:[C. Imp.]],'Indirect Costs'!$C72,Imput[[PERIODO Imp.]:[PERIODO Imp.]],'Indirect Costs'!CO$8)</f>
        <v>0</v>
      </c>
      <c r="CP72" s="48">
        <f>SUMIFS(Imput[[Importe Neto]:[Importe Neto]],Imput[[C. Imp.]:[C. Imp.]],'Indirect Costs'!$C72,Imput[[PERIODO Imp.]:[PERIODO Imp.]],'Indirect Costs'!CP$8)</f>
        <v>0</v>
      </c>
      <c r="CQ72" s="48">
        <f>SUMIFS(Imput[[Importe Neto]:[Importe Neto]],Imput[[C. Imp.]:[C. Imp.]],'Indirect Costs'!$C72,Imput[[PERIODO Imp.]:[PERIODO Imp.]],'Indirect Costs'!CQ$8)</f>
        <v>0</v>
      </c>
      <c r="CR72" s="48">
        <f>SUMIFS(Imput[[Importe Neto]:[Importe Neto]],Imput[[C. Imp.]:[C. Imp.]],'Indirect Costs'!$C72,Imput[[PERIODO Imp.]:[PERIODO Imp.]],'Indirect Costs'!CR$8)</f>
        <v>0</v>
      </c>
      <c r="CS72" s="48">
        <f>SUMIFS(Imput[[Importe Neto]:[Importe Neto]],Imput[[C. Imp.]:[C. Imp.]],'Indirect Costs'!$C72,Imput[[PERIODO Imp.]:[PERIODO Imp.]],'Indirect Costs'!CS$8)</f>
        <v>0</v>
      </c>
      <c r="CT72" s="48">
        <f>SUMIFS(Imput[[Importe Neto]:[Importe Neto]],Imput[[C. Imp.]:[C. Imp.]],'Indirect Costs'!$C72,Imput[[PERIODO Imp.]:[PERIODO Imp.]],'Indirect Costs'!CT$8)</f>
        <v>0</v>
      </c>
      <c r="CU72" s="48">
        <f>SUMIFS(Imput[[Importe Neto]:[Importe Neto]],Imput[[C. Imp.]:[C. Imp.]],'Indirect Costs'!$C72,Imput[[PERIODO Imp.]:[PERIODO Imp.]],'Indirect Costs'!CU$8)</f>
        <v>0</v>
      </c>
      <c r="CV72" s="48">
        <f>SUMIFS(Imput[[Importe Neto]:[Importe Neto]],Imput[[C. Imp.]:[C. Imp.]],'Indirect Costs'!$C72,Imput[[PERIODO Imp.]:[PERIODO Imp.]],'Indirect Costs'!CV$8)</f>
        <v>0</v>
      </c>
      <c r="CW72" s="48">
        <f>SUMIFS(Imput[[Importe Neto]:[Importe Neto]],Imput[[C. Imp.]:[C. Imp.]],'Indirect Costs'!$C72,Imput[[PERIODO Imp.]:[PERIODO Imp.]],'Indirect Costs'!CW$8)</f>
        <v>0</v>
      </c>
      <c r="CX72" s="48">
        <f>SUMIFS(Imput[[Importe Neto]:[Importe Neto]],Imput[[C. Imp.]:[C. Imp.]],'Indirect Costs'!$C72,Imput[[PERIODO Imp.]:[PERIODO Imp.]],'Indirect Costs'!CX$8)</f>
        <v>0</v>
      </c>
      <c r="CY72" s="48">
        <f>SUMIFS(Imput[[Importe Neto]:[Importe Neto]],Imput[[C. Imp.]:[C. Imp.]],'Indirect Costs'!$C72,Imput[[PERIODO Imp.]:[PERIODO Imp.]],'Indirect Costs'!CY$8)</f>
        <v>0</v>
      </c>
      <c r="CZ72" s="48">
        <f>SUMIFS(Imput[[Importe Neto]:[Importe Neto]],Imput[[C. Imp.]:[C. Imp.]],'Indirect Costs'!$C72,Imput[[PERIODO Imp.]:[PERIODO Imp.]],'Indirect Costs'!CZ$8)</f>
        <v>0</v>
      </c>
      <c r="DA72" s="48">
        <f>SUMIFS(Imput[[Importe Neto]:[Importe Neto]],Imput[[C. Imp.]:[C. Imp.]],'Indirect Costs'!$C72,Imput[[PERIODO Imp.]:[PERIODO Imp.]],'Indirect Costs'!DA$8)</f>
        <v>0</v>
      </c>
      <c r="DB72" s="48">
        <f>SUMIFS(Imput[[Importe Neto]:[Importe Neto]],Imput[[C. Imp.]:[C. Imp.]],'Indirect Costs'!$C72,Imput[[PERIODO Imp.]:[PERIODO Imp.]],'Indirect Costs'!DB$8)</f>
        <v>0</v>
      </c>
      <c r="DC72" s="48">
        <f>SUMIFS(Imput[[Importe Neto]:[Importe Neto]],Imput[[C. Imp.]:[C. Imp.]],'Indirect Costs'!$C72,Imput[[PERIODO Imp.]:[PERIODO Imp.]],'Indirect Costs'!DC$8)</f>
        <v>0</v>
      </c>
      <c r="DD72" s="48">
        <f>SUMIFS(Imput[[Importe Neto]:[Importe Neto]],Imput[[C. Imp.]:[C. Imp.]],'Indirect Costs'!$C72,Imput[[PERIODO Imp.]:[PERIODO Imp.]],'Indirect Costs'!DD$8)</f>
        <v>0</v>
      </c>
      <c r="DE72" s="48">
        <f>SUMIFS(Imput[[Importe Neto]:[Importe Neto]],Imput[[C. Imp.]:[C. Imp.]],'Indirect Costs'!$C72,Imput[[PERIODO Imp.]:[PERIODO Imp.]],'Indirect Costs'!DE$8)</f>
        <v>0</v>
      </c>
      <c r="DF72" s="143">
        <f>SUMIFS(Imput[[Importe Neto]:[Importe Neto]],Imput[[C. Imp.]:[C. Imp.]],'Indirect Costs'!$C72,Imput[[PERIODO Imp.]:[PERIODO Imp.]],'Indirect Costs'!DF$8)</f>
        <v>0</v>
      </c>
    </row>
    <row r="73" spans="1:110" outlineLevel="1" x14ac:dyDescent="0.25">
      <c r="A73" s="28" t="str">
        <f t="shared" si="3"/>
        <v>Imprimir</v>
      </c>
      <c r="B73" s="50">
        <v>2</v>
      </c>
      <c r="C73" s="57" t="s">
        <v>1745</v>
      </c>
      <c r="D73" s="56" t="s">
        <v>573</v>
      </c>
      <c r="E73" s="57" t="s">
        <v>573</v>
      </c>
      <c r="F73" s="58">
        <v>1000</v>
      </c>
      <c r="G73" s="49">
        <v>1</v>
      </c>
      <c r="H73" s="51">
        <v>1</v>
      </c>
      <c r="I73" s="505">
        <f t="shared" si="7"/>
        <v>1000</v>
      </c>
      <c r="J73" s="47"/>
      <c r="K73" s="142">
        <v>0.16666666666666666</v>
      </c>
      <c r="L73" s="48">
        <v>0.16666666666666666</v>
      </c>
      <c r="M73" s="48">
        <v>0.16666666666666666</v>
      </c>
      <c r="N73" s="48">
        <v>0.16666666666666666</v>
      </c>
      <c r="O73" s="48">
        <v>0.16666666666666666</v>
      </c>
      <c r="P73" s="48">
        <v>0.16666666666666666</v>
      </c>
      <c r="Q73" s="48">
        <v>1</v>
      </c>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143"/>
      <c r="BG73" s="47"/>
      <c r="BH73" s="509"/>
      <c r="BI73" s="505">
        <f t="shared" si="6"/>
        <v>0</v>
      </c>
      <c r="BJ73" s="47"/>
      <c r="BK73" s="142">
        <f>SUMIFS(Imput[[Importe Neto]:[Importe Neto]],Imput[[C. Imp.]:[C. Imp.]],'Indirect Costs'!$C73,Imput[[PERIODO Imp.]:[PERIODO Imp.]],'Indirect Costs'!BK$8)</f>
        <v>0</v>
      </c>
      <c r="BL73" s="48">
        <f>SUMIFS(Imput[[Importe Neto]:[Importe Neto]],Imput[[C. Imp.]:[C. Imp.]],'Indirect Costs'!$C73,Imput[[PERIODO Imp.]:[PERIODO Imp.]],'Indirect Costs'!BL$8)</f>
        <v>0</v>
      </c>
      <c r="BM73" s="48">
        <f>SUMIFS(Imput[[Importe Neto]:[Importe Neto]],Imput[[C. Imp.]:[C. Imp.]],'Indirect Costs'!$C73,Imput[[PERIODO Imp.]:[PERIODO Imp.]],'Indirect Costs'!BM$8)</f>
        <v>0</v>
      </c>
      <c r="BN73" s="48">
        <f>SUMIFS(Imput[[Importe Neto]:[Importe Neto]],Imput[[C. Imp.]:[C. Imp.]],'Indirect Costs'!$C73,Imput[[PERIODO Imp.]:[PERIODO Imp.]],'Indirect Costs'!BN$8)</f>
        <v>0</v>
      </c>
      <c r="BO73" s="48">
        <f>SUMIFS(Imput[[Importe Neto]:[Importe Neto]],Imput[[C. Imp.]:[C. Imp.]],'Indirect Costs'!$C73,Imput[[PERIODO Imp.]:[PERIODO Imp.]],'Indirect Costs'!BO$8)</f>
        <v>0</v>
      </c>
      <c r="BP73" s="48">
        <f>SUMIFS(Imput[[Importe Neto]:[Importe Neto]],Imput[[C. Imp.]:[C. Imp.]],'Indirect Costs'!$C73,Imput[[PERIODO Imp.]:[PERIODO Imp.]],'Indirect Costs'!BP$8)</f>
        <v>0</v>
      </c>
      <c r="BQ73" s="48">
        <f>SUMIFS(Imput[[Importe Neto]:[Importe Neto]],Imput[[C. Imp.]:[C. Imp.]],'Indirect Costs'!$C73,Imput[[PERIODO Imp.]:[PERIODO Imp.]],'Indirect Costs'!BQ$8)</f>
        <v>0</v>
      </c>
      <c r="BR73" s="48">
        <f>SUMIFS(Imput[[Importe Neto]:[Importe Neto]],Imput[[C. Imp.]:[C. Imp.]],'Indirect Costs'!$C73,Imput[[PERIODO Imp.]:[PERIODO Imp.]],'Indirect Costs'!BR$8)</f>
        <v>0</v>
      </c>
      <c r="BS73" s="48">
        <f>SUMIFS(Imput[[Importe Neto]:[Importe Neto]],Imput[[C. Imp.]:[C. Imp.]],'Indirect Costs'!$C73,Imput[[PERIODO Imp.]:[PERIODO Imp.]],'Indirect Costs'!BS$8)</f>
        <v>0</v>
      </c>
      <c r="BT73" s="48">
        <f>SUMIFS(Imput[[Importe Neto]:[Importe Neto]],Imput[[C. Imp.]:[C. Imp.]],'Indirect Costs'!$C73,Imput[[PERIODO Imp.]:[PERIODO Imp.]],'Indirect Costs'!BT$8)</f>
        <v>0</v>
      </c>
      <c r="BU73" s="48">
        <f>SUMIFS(Imput[[Importe Neto]:[Importe Neto]],Imput[[C. Imp.]:[C. Imp.]],'Indirect Costs'!$C73,Imput[[PERIODO Imp.]:[PERIODO Imp.]],'Indirect Costs'!BU$8)</f>
        <v>0</v>
      </c>
      <c r="BV73" s="48">
        <f>SUMIFS(Imput[[Importe Neto]:[Importe Neto]],Imput[[C. Imp.]:[C. Imp.]],'Indirect Costs'!$C73,Imput[[PERIODO Imp.]:[PERIODO Imp.]],'Indirect Costs'!BV$8)</f>
        <v>0</v>
      </c>
      <c r="BW73" s="48">
        <f>SUMIFS(Imput[[Importe Neto]:[Importe Neto]],Imput[[C. Imp.]:[C. Imp.]],'Indirect Costs'!$C73,Imput[[PERIODO Imp.]:[PERIODO Imp.]],'Indirect Costs'!BW$8)</f>
        <v>0</v>
      </c>
      <c r="BX73" s="48">
        <f>SUMIFS(Imput[[Importe Neto]:[Importe Neto]],Imput[[C. Imp.]:[C. Imp.]],'Indirect Costs'!$C73,Imput[[PERIODO Imp.]:[PERIODO Imp.]],'Indirect Costs'!BX$8)</f>
        <v>0</v>
      </c>
      <c r="BY73" s="48">
        <f>SUMIFS(Imput[[Importe Neto]:[Importe Neto]],Imput[[C. Imp.]:[C. Imp.]],'Indirect Costs'!$C73,Imput[[PERIODO Imp.]:[PERIODO Imp.]],'Indirect Costs'!BY$8)</f>
        <v>0</v>
      </c>
      <c r="BZ73" s="48">
        <f>SUMIFS(Imput[[Importe Neto]:[Importe Neto]],Imput[[C. Imp.]:[C. Imp.]],'Indirect Costs'!$C73,Imput[[PERIODO Imp.]:[PERIODO Imp.]],'Indirect Costs'!BZ$8)</f>
        <v>0</v>
      </c>
      <c r="CA73" s="48">
        <f>SUMIFS(Imput[[Importe Neto]:[Importe Neto]],Imput[[C. Imp.]:[C. Imp.]],'Indirect Costs'!$C73,Imput[[PERIODO Imp.]:[PERIODO Imp.]],'Indirect Costs'!CA$8)</f>
        <v>0</v>
      </c>
      <c r="CB73" s="48">
        <f>SUMIFS(Imput[[Importe Neto]:[Importe Neto]],Imput[[C. Imp.]:[C. Imp.]],'Indirect Costs'!$C73,Imput[[PERIODO Imp.]:[PERIODO Imp.]],'Indirect Costs'!CB$8)</f>
        <v>0</v>
      </c>
      <c r="CC73" s="48">
        <f>SUMIFS(Imput[[Importe Neto]:[Importe Neto]],Imput[[C. Imp.]:[C. Imp.]],'Indirect Costs'!$C73,Imput[[PERIODO Imp.]:[PERIODO Imp.]],'Indirect Costs'!CC$8)</f>
        <v>0</v>
      </c>
      <c r="CD73" s="48">
        <f>SUMIFS(Imput[[Importe Neto]:[Importe Neto]],Imput[[C. Imp.]:[C. Imp.]],'Indirect Costs'!$C73,Imput[[PERIODO Imp.]:[PERIODO Imp.]],'Indirect Costs'!CD$8)</f>
        <v>0</v>
      </c>
      <c r="CE73" s="48">
        <f>SUMIFS(Imput[[Importe Neto]:[Importe Neto]],Imput[[C. Imp.]:[C. Imp.]],'Indirect Costs'!$C73,Imput[[PERIODO Imp.]:[PERIODO Imp.]],'Indirect Costs'!CE$8)</f>
        <v>0</v>
      </c>
      <c r="CF73" s="48">
        <f>SUMIFS(Imput[[Importe Neto]:[Importe Neto]],Imput[[C. Imp.]:[C. Imp.]],'Indirect Costs'!$C73,Imput[[PERIODO Imp.]:[PERIODO Imp.]],'Indirect Costs'!CF$8)</f>
        <v>0</v>
      </c>
      <c r="CG73" s="48">
        <f>SUMIFS(Imput[[Importe Neto]:[Importe Neto]],Imput[[C. Imp.]:[C. Imp.]],'Indirect Costs'!$C73,Imput[[PERIODO Imp.]:[PERIODO Imp.]],'Indirect Costs'!CG$8)</f>
        <v>0</v>
      </c>
      <c r="CH73" s="48">
        <f>SUMIFS(Imput[[Importe Neto]:[Importe Neto]],Imput[[C. Imp.]:[C. Imp.]],'Indirect Costs'!$C73,Imput[[PERIODO Imp.]:[PERIODO Imp.]],'Indirect Costs'!CH$8)</f>
        <v>0</v>
      </c>
      <c r="CI73" s="48">
        <f>SUMIFS(Imput[[Importe Neto]:[Importe Neto]],Imput[[C. Imp.]:[C. Imp.]],'Indirect Costs'!$C73,Imput[[PERIODO Imp.]:[PERIODO Imp.]],'Indirect Costs'!CI$8)</f>
        <v>0</v>
      </c>
      <c r="CJ73" s="48">
        <f>SUMIFS(Imput[[Importe Neto]:[Importe Neto]],Imput[[C. Imp.]:[C. Imp.]],'Indirect Costs'!$C73,Imput[[PERIODO Imp.]:[PERIODO Imp.]],'Indirect Costs'!CJ$8)</f>
        <v>0</v>
      </c>
      <c r="CK73" s="48">
        <f>SUMIFS(Imput[[Importe Neto]:[Importe Neto]],Imput[[C. Imp.]:[C. Imp.]],'Indirect Costs'!$C73,Imput[[PERIODO Imp.]:[PERIODO Imp.]],'Indirect Costs'!CK$8)</f>
        <v>0</v>
      </c>
      <c r="CL73" s="48">
        <f>SUMIFS(Imput[[Importe Neto]:[Importe Neto]],Imput[[C. Imp.]:[C. Imp.]],'Indirect Costs'!$C73,Imput[[PERIODO Imp.]:[PERIODO Imp.]],'Indirect Costs'!CL$8)</f>
        <v>0</v>
      </c>
      <c r="CM73" s="48">
        <f>SUMIFS(Imput[[Importe Neto]:[Importe Neto]],Imput[[C. Imp.]:[C. Imp.]],'Indirect Costs'!$C73,Imput[[PERIODO Imp.]:[PERIODO Imp.]],'Indirect Costs'!CM$8)</f>
        <v>0</v>
      </c>
      <c r="CN73" s="48">
        <f>SUMIFS(Imput[[Importe Neto]:[Importe Neto]],Imput[[C. Imp.]:[C. Imp.]],'Indirect Costs'!$C73,Imput[[PERIODO Imp.]:[PERIODO Imp.]],'Indirect Costs'!CN$8)</f>
        <v>0</v>
      </c>
      <c r="CO73" s="48">
        <f>SUMIFS(Imput[[Importe Neto]:[Importe Neto]],Imput[[C. Imp.]:[C. Imp.]],'Indirect Costs'!$C73,Imput[[PERIODO Imp.]:[PERIODO Imp.]],'Indirect Costs'!CO$8)</f>
        <v>0</v>
      </c>
      <c r="CP73" s="48">
        <f>SUMIFS(Imput[[Importe Neto]:[Importe Neto]],Imput[[C. Imp.]:[C. Imp.]],'Indirect Costs'!$C73,Imput[[PERIODO Imp.]:[PERIODO Imp.]],'Indirect Costs'!CP$8)</f>
        <v>0</v>
      </c>
      <c r="CQ73" s="48">
        <f>SUMIFS(Imput[[Importe Neto]:[Importe Neto]],Imput[[C. Imp.]:[C. Imp.]],'Indirect Costs'!$C73,Imput[[PERIODO Imp.]:[PERIODO Imp.]],'Indirect Costs'!CQ$8)</f>
        <v>0</v>
      </c>
      <c r="CR73" s="48">
        <f>SUMIFS(Imput[[Importe Neto]:[Importe Neto]],Imput[[C. Imp.]:[C. Imp.]],'Indirect Costs'!$C73,Imput[[PERIODO Imp.]:[PERIODO Imp.]],'Indirect Costs'!CR$8)</f>
        <v>0</v>
      </c>
      <c r="CS73" s="48">
        <f>SUMIFS(Imput[[Importe Neto]:[Importe Neto]],Imput[[C. Imp.]:[C. Imp.]],'Indirect Costs'!$C73,Imput[[PERIODO Imp.]:[PERIODO Imp.]],'Indirect Costs'!CS$8)</f>
        <v>0</v>
      </c>
      <c r="CT73" s="48">
        <f>SUMIFS(Imput[[Importe Neto]:[Importe Neto]],Imput[[C. Imp.]:[C. Imp.]],'Indirect Costs'!$C73,Imput[[PERIODO Imp.]:[PERIODO Imp.]],'Indirect Costs'!CT$8)</f>
        <v>0</v>
      </c>
      <c r="CU73" s="48">
        <f>SUMIFS(Imput[[Importe Neto]:[Importe Neto]],Imput[[C. Imp.]:[C. Imp.]],'Indirect Costs'!$C73,Imput[[PERIODO Imp.]:[PERIODO Imp.]],'Indirect Costs'!CU$8)</f>
        <v>0</v>
      </c>
      <c r="CV73" s="48">
        <f>SUMIFS(Imput[[Importe Neto]:[Importe Neto]],Imput[[C. Imp.]:[C. Imp.]],'Indirect Costs'!$C73,Imput[[PERIODO Imp.]:[PERIODO Imp.]],'Indirect Costs'!CV$8)</f>
        <v>0</v>
      </c>
      <c r="CW73" s="48">
        <f>SUMIFS(Imput[[Importe Neto]:[Importe Neto]],Imput[[C. Imp.]:[C. Imp.]],'Indirect Costs'!$C73,Imput[[PERIODO Imp.]:[PERIODO Imp.]],'Indirect Costs'!CW$8)</f>
        <v>0</v>
      </c>
      <c r="CX73" s="48">
        <f>SUMIFS(Imput[[Importe Neto]:[Importe Neto]],Imput[[C. Imp.]:[C. Imp.]],'Indirect Costs'!$C73,Imput[[PERIODO Imp.]:[PERIODO Imp.]],'Indirect Costs'!CX$8)</f>
        <v>0</v>
      </c>
      <c r="CY73" s="48">
        <f>SUMIFS(Imput[[Importe Neto]:[Importe Neto]],Imput[[C. Imp.]:[C. Imp.]],'Indirect Costs'!$C73,Imput[[PERIODO Imp.]:[PERIODO Imp.]],'Indirect Costs'!CY$8)</f>
        <v>0</v>
      </c>
      <c r="CZ73" s="48">
        <f>SUMIFS(Imput[[Importe Neto]:[Importe Neto]],Imput[[C. Imp.]:[C. Imp.]],'Indirect Costs'!$C73,Imput[[PERIODO Imp.]:[PERIODO Imp.]],'Indirect Costs'!CZ$8)</f>
        <v>0</v>
      </c>
      <c r="DA73" s="48">
        <f>SUMIFS(Imput[[Importe Neto]:[Importe Neto]],Imput[[C. Imp.]:[C. Imp.]],'Indirect Costs'!$C73,Imput[[PERIODO Imp.]:[PERIODO Imp.]],'Indirect Costs'!DA$8)</f>
        <v>0</v>
      </c>
      <c r="DB73" s="48">
        <f>SUMIFS(Imput[[Importe Neto]:[Importe Neto]],Imput[[C. Imp.]:[C. Imp.]],'Indirect Costs'!$C73,Imput[[PERIODO Imp.]:[PERIODO Imp.]],'Indirect Costs'!DB$8)</f>
        <v>0</v>
      </c>
      <c r="DC73" s="48">
        <f>SUMIFS(Imput[[Importe Neto]:[Importe Neto]],Imput[[C. Imp.]:[C. Imp.]],'Indirect Costs'!$C73,Imput[[PERIODO Imp.]:[PERIODO Imp.]],'Indirect Costs'!DC$8)</f>
        <v>0</v>
      </c>
      <c r="DD73" s="48">
        <f>SUMIFS(Imput[[Importe Neto]:[Importe Neto]],Imput[[C. Imp.]:[C. Imp.]],'Indirect Costs'!$C73,Imput[[PERIODO Imp.]:[PERIODO Imp.]],'Indirect Costs'!DD$8)</f>
        <v>0</v>
      </c>
      <c r="DE73" s="48">
        <f>SUMIFS(Imput[[Importe Neto]:[Importe Neto]],Imput[[C. Imp.]:[C. Imp.]],'Indirect Costs'!$C73,Imput[[PERIODO Imp.]:[PERIODO Imp.]],'Indirect Costs'!DE$8)</f>
        <v>0</v>
      </c>
      <c r="DF73" s="143">
        <f>SUMIFS(Imput[[Importe Neto]:[Importe Neto]],Imput[[C. Imp.]:[C. Imp.]],'Indirect Costs'!$C73,Imput[[PERIODO Imp.]:[PERIODO Imp.]],'Indirect Costs'!DF$8)</f>
        <v>0</v>
      </c>
    </row>
    <row r="74" spans="1:110" outlineLevel="1" x14ac:dyDescent="0.25">
      <c r="A74" s="28" t="str">
        <f t="shared" ref="A74:A137" si="14">IFERROR(IF(I74&gt;0,"Imprimir",""),"")</f>
        <v/>
      </c>
      <c r="B74" s="50">
        <v>3</v>
      </c>
      <c r="C74" s="57" t="s">
        <v>1805</v>
      </c>
      <c r="D74" s="56" t="s">
        <v>568</v>
      </c>
      <c r="E74" s="57" t="s">
        <v>568</v>
      </c>
      <c r="F74" s="58">
        <v>15000</v>
      </c>
      <c r="G74" s="49"/>
      <c r="H74" s="51">
        <v>1</v>
      </c>
      <c r="I74" s="505">
        <f t="shared" si="7"/>
        <v>0</v>
      </c>
      <c r="J74" s="47"/>
      <c r="K74" s="142"/>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143"/>
      <c r="BG74" s="47"/>
      <c r="BH74" s="509"/>
      <c r="BI74" s="505">
        <f t="shared" si="6"/>
        <v>0</v>
      </c>
      <c r="BJ74" s="47"/>
      <c r="BK74" s="142">
        <f>SUMIFS(Imput[[Importe Neto]:[Importe Neto]],Imput[[C. Imp.]:[C. Imp.]],'Indirect Costs'!$C74,Imput[[PERIODO Imp.]:[PERIODO Imp.]],'Indirect Costs'!BK$8)</f>
        <v>0</v>
      </c>
      <c r="BL74" s="48">
        <f>SUMIFS(Imput[[Importe Neto]:[Importe Neto]],Imput[[C. Imp.]:[C. Imp.]],'Indirect Costs'!$C74,Imput[[PERIODO Imp.]:[PERIODO Imp.]],'Indirect Costs'!BL$8)</f>
        <v>0</v>
      </c>
      <c r="BM74" s="48">
        <f>SUMIFS(Imput[[Importe Neto]:[Importe Neto]],Imput[[C. Imp.]:[C. Imp.]],'Indirect Costs'!$C74,Imput[[PERIODO Imp.]:[PERIODO Imp.]],'Indirect Costs'!BM$8)</f>
        <v>0</v>
      </c>
      <c r="BN74" s="48">
        <f>SUMIFS(Imput[[Importe Neto]:[Importe Neto]],Imput[[C. Imp.]:[C. Imp.]],'Indirect Costs'!$C74,Imput[[PERIODO Imp.]:[PERIODO Imp.]],'Indirect Costs'!BN$8)</f>
        <v>0</v>
      </c>
      <c r="BO74" s="48">
        <f>SUMIFS(Imput[[Importe Neto]:[Importe Neto]],Imput[[C. Imp.]:[C. Imp.]],'Indirect Costs'!$C74,Imput[[PERIODO Imp.]:[PERIODO Imp.]],'Indirect Costs'!BO$8)</f>
        <v>0</v>
      </c>
      <c r="BP74" s="48">
        <f>SUMIFS(Imput[[Importe Neto]:[Importe Neto]],Imput[[C. Imp.]:[C. Imp.]],'Indirect Costs'!$C74,Imput[[PERIODO Imp.]:[PERIODO Imp.]],'Indirect Costs'!BP$8)</f>
        <v>0</v>
      </c>
      <c r="BQ74" s="48">
        <f>SUMIFS(Imput[[Importe Neto]:[Importe Neto]],Imput[[C. Imp.]:[C. Imp.]],'Indirect Costs'!$C74,Imput[[PERIODO Imp.]:[PERIODO Imp.]],'Indirect Costs'!BQ$8)</f>
        <v>0</v>
      </c>
      <c r="BR74" s="48">
        <f>SUMIFS(Imput[[Importe Neto]:[Importe Neto]],Imput[[C. Imp.]:[C. Imp.]],'Indirect Costs'!$C74,Imput[[PERIODO Imp.]:[PERIODO Imp.]],'Indirect Costs'!BR$8)</f>
        <v>0</v>
      </c>
      <c r="BS74" s="48">
        <f>SUMIFS(Imput[[Importe Neto]:[Importe Neto]],Imput[[C. Imp.]:[C. Imp.]],'Indirect Costs'!$C74,Imput[[PERIODO Imp.]:[PERIODO Imp.]],'Indirect Costs'!BS$8)</f>
        <v>0</v>
      </c>
      <c r="BT74" s="48">
        <f>SUMIFS(Imput[[Importe Neto]:[Importe Neto]],Imput[[C. Imp.]:[C. Imp.]],'Indirect Costs'!$C74,Imput[[PERIODO Imp.]:[PERIODO Imp.]],'Indirect Costs'!BT$8)</f>
        <v>0</v>
      </c>
      <c r="BU74" s="48">
        <f>SUMIFS(Imput[[Importe Neto]:[Importe Neto]],Imput[[C. Imp.]:[C. Imp.]],'Indirect Costs'!$C74,Imput[[PERIODO Imp.]:[PERIODO Imp.]],'Indirect Costs'!BU$8)</f>
        <v>0</v>
      </c>
      <c r="BV74" s="48">
        <f>SUMIFS(Imput[[Importe Neto]:[Importe Neto]],Imput[[C. Imp.]:[C. Imp.]],'Indirect Costs'!$C74,Imput[[PERIODO Imp.]:[PERIODO Imp.]],'Indirect Costs'!BV$8)</f>
        <v>0</v>
      </c>
      <c r="BW74" s="48">
        <f>SUMIFS(Imput[[Importe Neto]:[Importe Neto]],Imput[[C. Imp.]:[C. Imp.]],'Indirect Costs'!$C74,Imput[[PERIODO Imp.]:[PERIODO Imp.]],'Indirect Costs'!BW$8)</f>
        <v>0</v>
      </c>
      <c r="BX74" s="48">
        <f>SUMIFS(Imput[[Importe Neto]:[Importe Neto]],Imput[[C. Imp.]:[C. Imp.]],'Indirect Costs'!$C74,Imput[[PERIODO Imp.]:[PERIODO Imp.]],'Indirect Costs'!BX$8)</f>
        <v>0</v>
      </c>
      <c r="BY74" s="48">
        <f>SUMIFS(Imput[[Importe Neto]:[Importe Neto]],Imput[[C. Imp.]:[C. Imp.]],'Indirect Costs'!$C74,Imput[[PERIODO Imp.]:[PERIODO Imp.]],'Indirect Costs'!BY$8)</f>
        <v>0</v>
      </c>
      <c r="BZ74" s="48">
        <f>SUMIFS(Imput[[Importe Neto]:[Importe Neto]],Imput[[C. Imp.]:[C. Imp.]],'Indirect Costs'!$C74,Imput[[PERIODO Imp.]:[PERIODO Imp.]],'Indirect Costs'!BZ$8)</f>
        <v>0</v>
      </c>
      <c r="CA74" s="48">
        <f>SUMIFS(Imput[[Importe Neto]:[Importe Neto]],Imput[[C. Imp.]:[C. Imp.]],'Indirect Costs'!$C74,Imput[[PERIODO Imp.]:[PERIODO Imp.]],'Indirect Costs'!CA$8)</f>
        <v>0</v>
      </c>
      <c r="CB74" s="48">
        <f>SUMIFS(Imput[[Importe Neto]:[Importe Neto]],Imput[[C. Imp.]:[C. Imp.]],'Indirect Costs'!$C74,Imput[[PERIODO Imp.]:[PERIODO Imp.]],'Indirect Costs'!CB$8)</f>
        <v>0</v>
      </c>
      <c r="CC74" s="48">
        <f>SUMIFS(Imput[[Importe Neto]:[Importe Neto]],Imput[[C. Imp.]:[C. Imp.]],'Indirect Costs'!$C74,Imput[[PERIODO Imp.]:[PERIODO Imp.]],'Indirect Costs'!CC$8)</f>
        <v>0</v>
      </c>
      <c r="CD74" s="48">
        <f>SUMIFS(Imput[[Importe Neto]:[Importe Neto]],Imput[[C. Imp.]:[C. Imp.]],'Indirect Costs'!$C74,Imput[[PERIODO Imp.]:[PERIODO Imp.]],'Indirect Costs'!CD$8)</f>
        <v>0</v>
      </c>
      <c r="CE74" s="48">
        <f>SUMIFS(Imput[[Importe Neto]:[Importe Neto]],Imput[[C. Imp.]:[C. Imp.]],'Indirect Costs'!$C74,Imput[[PERIODO Imp.]:[PERIODO Imp.]],'Indirect Costs'!CE$8)</f>
        <v>0</v>
      </c>
      <c r="CF74" s="48">
        <f>SUMIFS(Imput[[Importe Neto]:[Importe Neto]],Imput[[C. Imp.]:[C. Imp.]],'Indirect Costs'!$C74,Imput[[PERIODO Imp.]:[PERIODO Imp.]],'Indirect Costs'!CF$8)</f>
        <v>0</v>
      </c>
      <c r="CG74" s="48">
        <f>SUMIFS(Imput[[Importe Neto]:[Importe Neto]],Imput[[C. Imp.]:[C. Imp.]],'Indirect Costs'!$C74,Imput[[PERIODO Imp.]:[PERIODO Imp.]],'Indirect Costs'!CG$8)</f>
        <v>0</v>
      </c>
      <c r="CH74" s="48">
        <f>SUMIFS(Imput[[Importe Neto]:[Importe Neto]],Imput[[C. Imp.]:[C. Imp.]],'Indirect Costs'!$C74,Imput[[PERIODO Imp.]:[PERIODO Imp.]],'Indirect Costs'!CH$8)</f>
        <v>0</v>
      </c>
      <c r="CI74" s="48">
        <f>SUMIFS(Imput[[Importe Neto]:[Importe Neto]],Imput[[C. Imp.]:[C. Imp.]],'Indirect Costs'!$C74,Imput[[PERIODO Imp.]:[PERIODO Imp.]],'Indirect Costs'!CI$8)</f>
        <v>0</v>
      </c>
      <c r="CJ74" s="48">
        <f>SUMIFS(Imput[[Importe Neto]:[Importe Neto]],Imput[[C. Imp.]:[C. Imp.]],'Indirect Costs'!$C74,Imput[[PERIODO Imp.]:[PERIODO Imp.]],'Indirect Costs'!CJ$8)</f>
        <v>0</v>
      </c>
      <c r="CK74" s="48">
        <f>SUMIFS(Imput[[Importe Neto]:[Importe Neto]],Imput[[C. Imp.]:[C. Imp.]],'Indirect Costs'!$C74,Imput[[PERIODO Imp.]:[PERIODO Imp.]],'Indirect Costs'!CK$8)</f>
        <v>0</v>
      </c>
      <c r="CL74" s="48">
        <f>SUMIFS(Imput[[Importe Neto]:[Importe Neto]],Imput[[C. Imp.]:[C. Imp.]],'Indirect Costs'!$C74,Imput[[PERIODO Imp.]:[PERIODO Imp.]],'Indirect Costs'!CL$8)</f>
        <v>0</v>
      </c>
      <c r="CM74" s="48">
        <f>SUMIFS(Imput[[Importe Neto]:[Importe Neto]],Imput[[C. Imp.]:[C. Imp.]],'Indirect Costs'!$C74,Imput[[PERIODO Imp.]:[PERIODO Imp.]],'Indirect Costs'!CM$8)</f>
        <v>0</v>
      </c>
      <c r="CN74" s="48">
        <f>SUMIFS(Imput[[Importe Neto]:[Importe Neto]],Imput[[C. Imp.]:[C. Imp.]],'Indirect Costs'!$C74,Imput[[PERIODO Imp.]:[PERIODO Imp.]],'Indirect Costs'!CN$8)</f>
        <v>0</v>
      </c>
      <c r="CO74" s="48">
        <f>SUMIFS(Imput[[Importe Neto]:[Importe Neto]],Imput[[C. Imp.]:[C. Imp.]],'Indirect Costs'!$C74,Imput[[PERIODO Imp.]:[PERIODO Imp.]],'Indirect Costs'!CO$8)</f>
        <v>0</v>
      </c>
      <c r="CP74" s="48">
        <f>SUMIFS(Imput[[Importe Neto]:[Importe Neto]],Imput[[C. Imp.]:[C. Imp.]],'Indirect Costs'!$C74,Imput[[PERIODO Imp.]:[PERIODO Imp.]],'Indirect Costs'!CP$8)</f>
        <v>0</v>
      </c>
      <c r="CQ74" s="48">
        <f>SUMIFS(Imput[[Importe Neto]:[Importe Neto]],Imput[[C. Imp.]:[C. Imp.]],'Indirect Costs'!$C74,Imput[[PERIODO Imp.]:[PERIODO Imp.]],'Indirect Costs'!CQ$8)</f>
        <v>0</v>
      </c>
      <c r="CR74" s="48">
        <f>SUMIFS(Imput[[Importe Neto]:[Importe Neto]],Imput[[C. Imp.]:[C. Imp.]],'Indirect Costs'!$C74,Imput[[PERIODO Imp.]:[PERIODO Imp.]],'Indirect Costs'!CR$8)</f>
        <v>0</v>
      </c>
      <c r="CS74" s="48">
        <f>SUMIFS(Imput[[Importe Neto]:[Importe Neto]],Imput[[C. Imp.]:[C. Imp.]],'Indirect Costs'!$C74,Imput[[PERIODO Imp.]:[PERIODO Imp.]],'Indirect Costs'!CS$8)</f>
        <v>0</v>
      </c>
      <c r="CT74" s="48">
        <f>SUMIFS(Imput[[Importe Neto]:[Importe Neto]],Imput[[C. Imp.]:[C. Imp.]],'Indirect Costs'!$C74,Imput[[PERIODO Imp.]:[PERIODO Imp.]],'Indirect Costs'!CT$8)</f>
        <v>0</v>
      </c>
      <c r="CU74" s="48">
        <f>SUMIFS(Imput[[Importe Neto]:[Importe Neto]],Imput[[C. Imp.]:[C. Imp.]],'Indirect Costs'!$C74,Imput[[PERIODO Imp.]:[PERIODO Imp.]],'Indirect Costs'!CU$8)</f>
        <v>0</v>
      </c>
      <c r="CV74" s="48">
        <f>SUMIFS(Imput[[Importe Neto]:[Importe Neto]],Imput[[C. Imp.]:[C. Imp.]],'Indirect Costs'!$C74,Imput[[PERIODO Imp.]:[PERIODO Imp.]],'Indirect Costs'!CV$8)</f>
        <v>0</v>
      </c>
      <c r="CW74" s="48">
        <f>SUMIFS(Imput[[Importe Neto]:[Importe Neto]],Imput[[C. Imp.]:[C. Imp.]],'Indirect Costs'!$C74,Imput[[PERIODO Imp.]:[PERIODO Imp.]],'Indirect Costs'!CW$8)</f>
        <v>0</v>
      </c>
      <c r="CX74" s="48">
        <f>SUMIFS(Imput[[Importe Neto]:[Importe Neto]],Imput[[C. Imp.]:[C. Imp.]],'Indirect Costs'!$C74,Imput[[PERIODO Imp.]:[PERIODO Imp.]],'Indirect Costs'!CX$8)</f>
        <v>0</v>
      </c>
      <c r="CY74" s="48">
        <f>SUMIFS(Imput[[Importe Neto]:[Importe Neto]],Imput[[C. Imp.]:[C. Imp.]],'Indirect Costs'!$C74,Imput[[PERIODO Imp.]:[PERIODO Imp.]],'Indirect Costs'!CY$8)</f>
        <v>0</v>
      </c>
      <c r="CZ74" s="48">
        <f>SUMIFS(Imput[[Importe Neto]:[Importe Neto]],Imput[[C. Imp.]:[C. Imp.]],'Indirect Costs'!$C74,Imput[[PERIODO Imp.]:[PERIODO Imp.]],'Indirect Costs'!CZ$8)</f>
        <v>0</v>
      </c>
      <c r="DA74" s="48">
        <f>SUMIFS(Imput[[Importe Neto]:[Importe Neto]],Imput[[C. Imp.]:[C. Imp.]],'Indirect Costs'!$C74,Imput[[PERIODO Imp.]:[PERIODO Imp.]],'Indirect Costs'!DA$8)</f>
        <v>0</v>
      </c>
      <c r="DB74" s="48">
        <f>SUMIFS(Imput[[Importe Neto]:[Importe Neto]],Imput[[C. Imp.]:[C. Imp.]],'Indirect Costs'!$C74,Imput[[PERIODO Imp.]:[PERIODO Imp.]],'Indirect Costs'!DB$8)</f>
        <v>0</v>
      </c>
      <c r="DC74" s="48">
        <f>SUMIFS(Imput[[Importe Neto]:[Importe Neto]],Imput[[C. Imp.]:[C. Imp.]],'Indirect Costs'!$C74,Imput[[PERIODO Imp.]:[PERIODO Imp.]],'Indirect Costs'!DC$8)</f>
        <v>0</v>
      </c>
      <c r="DD74" s="48">
        <f>SUMIFS(Imput[[Importe Neto]:[Importe Neto]],Imput[[C. Imp.]:[C. Imp.]],'Indirect Costs'!$C74,Imput[[PERIODO Imp.]:[PERIODO Imp.]],'Indirect Costs'!DD$8)</f>
        <v>0</v>
      </c>
      <c r="DE74" s="48">
        <f>SUMIFS(Imput[[Importe Neto]:[Importe Neto]],Imput[[C. Imp.]:[C. Imp.]],'Indirect Costs'!$C74,Imput[[PERIODO Imp.]:[PERIODO Imp.]],'Indirect Costs'!DE$8)</f>
        <v>0</v>
      </c>
      <c r="DF74" s="143">
        <f>SUMIFS(Imput[[Importe Neto]:[Importe Neto]],Imput[[C. Imp.]:[C. Imp.]],'Indirect Costs'!$C74,Imput[[PERIODO Imp.]:[PERIODO Imp.]],'Indirect Costs'!DF$8)</f>
        <v>0</v>
      </c>
    </row>
    <row r="75" spans="1:110" outlineLevel="1" x14ac:dyDescent="0.25">
      <c r="A75" s="28" t="str">
        <f t="shared" si="14"/>
        <v>Imprimir</v>
      </c>
      <c r="B75" s="50">
        <v>4</v>
      </c>
      <c r="C75" s="57" t="s">
        <v>1760</v>
      </c>
      <c r="D75" s="56" t="s">
        <v>569</v>
      </c>
      <c r="E75" s="57" t="s">
        <v>569</v>
      </c>
      <c r="F75" s="58">
        <v>1500</v>
      </c>
      <c r="G75" s="49">
        <v>1</v>
      </c>
      <c r="H75" s="51">
        <v>1</v>
      </c>
      <c r="I75" s="505">
        <f t="shared" si="7"/>
        <v>1500</v>
      </c>
      <c r="J75" s="47"/>
      <c r="K75" s="142"/>
      <c r="L75" s="48"/>
      <c r="M75" s="48"/>
      <c r="N75" s="48"/>
      <c r="O75" s="48"/>
      <c r="P75" s="48"/>
      <c r="Q75" s="48">
        <v>1</v>
      </c>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143"/>
      <c r="BG75" s="47"/>
      <c r="BH75" s="509"/>
      <c r="BI75" s="505">
        <f t="shared" si="6"/>
        <v>0</v>
      </c>
      <c r="BJ75" s="47"/>
      <c r="BK75" s="142">
        <f>SUMIFS(Imput[[Importe Neto]:[Importe Neto]],Imput[[C. Imp.]:[C. Imp.]],'Indirect Costs'!$C75,Imput[[PERIODO Imp.]:[PERIODO Imp.]],'Indirect Costs'!BK$8)</f>
        <v>0</v>
      </c>
      <c r="BL75" s="48">
        <f>SUMIFS(Imput[[Importe Neto]:[Importe Neto]],Imput[[C. Imp.]:[C. Imp.]],'Indirect Costs'!$C75,Imput[[PERIODO Imp.]:[PERIODO Imp.]],'Indirect Costs'!BL$8)</f>
        <v>0</v>
      </c>
      <c r="BM75" s="48">
        <f>SUMIFS(Imput[[Importe Neto]:[Importe Neto]],Imput[[C. Imp.]:[C. Imp.]],'Indirect Costs'!$C75,Imput[[PERIODO Imp.]:[PERIODO Imp.]],'Indirect Costs'!BM$8)</f>
        <v>0</v>
      </c>
      <c r="BN75" s="48">
        <f>SUMIFS(Imput[[Importe Neto]:[Importe Neto]],Imput[[C. Imp.]:[C. Imp.]],'Indirect Costs'!$C75,Imput[[PERIODO Imp.]:[PERIODO Imp.]],'Indirect Costs'!BN$8)</f>
        <v>0</v>
      </c>
      <c r="BO75" s="48">
        <f>SUMIFS(Imput[[Importe Neto]:[Importe Neto]],Imput[[C. Imp.]:[C. Imp.]],'Indirect Costs'!$C75,Imput[[PERIODO Imp.]:[PERIODO Imp.]],'Indirect Costs'!BO$8)</f>
        <v>0</v>
      </c>
      <c r="BP75" s="48">
        <f>SUMIFS(Imput[[Importe Neto]:[Importe Neto]],Imput[[C. Imp.]:[C. Imp.]],'Indirect Costs'!$C75,Imput[[PERIODO Imp.]:[PERIODO Imp.]],'Indirect Costs'!BP$8)</f>
        <v>0</v>
      </c>
      <c r="BQ75" s="48">
        <f>SUMIFS(Imput[[Importe Neto]:[Importe Neto]],Imput[[C. Imp.]:[C. Imp.]],'Indirect Costs'!$C75,Imput[[PERIODO Imp.]:[PERIODO Imp.]],'Indirect Costs'!BQ$8)</f>
        <v>0</v>
      </c>
      <c r="BR75" s="48">
        <f>SUMIFS(Imput[[Importe Neto]:[Importe Neto]],Imput[[C. Imp.]:[C. Imp.]],'Indirect Costs'!$C75,Imput[[PERIODO Imp.]:[PERIODO Imp.]],'Indirect Costs'!BR$8)</f>
        <v>0</v>
      </c>
      <c r="BS75" s="48">
        <f>SUMIFS(Imput[[Importe Neto]:[Importe Neto]],Imput[[C. Imp.]:[C. Imp.]],'Indirect Costs'!$C75,Imput[[PERIODO Imp.]:[PERIODO Imp.]],'Indirect Costs'!BS$8)</f>
        <v>0</v>
      </c>
      <c r="BT75" s="48">
        <f>SUMIFS(Imput[[Importe Neto]:[Importe Neto]],Imput[[C. Imp.]:[C. Imp.]],'Indirect Costs'!$C75,Imput[[PERIODO Imp.]:[PERIODO Imp.]],'Indirect Costs'!BT$8)</f>
        <v>0</v>
      </c>
      <c r="BU75" s="48">
        <f>SUMIFS(Imput[[Importe Neto]:[Importe Neto]],Imput[[C. Imp.]:[C. Imp.]],'Indirect Costs'!$C75,Imput[[PERIODO Imp.]:[PERIODO Imp.]],'Indirect Costs'!BU$8)</f>
        <v>0</v>
      </c>
      <c r="BV75" s="48">
        <f>SUMIFS(Imput[[Importe Neto]:[Importe Neto]],Imput[[C. Imp.]:[C. Imp.]],'Indirect Costs'!$C75,Imput[[PERIODO Imp.]:[PERIODO Imp.]],'Indirect Costs'!BV$8)</f>
        <v>0</v>
      </c>
      <c r="BW75" s="48">
        <f>SUMIFS(Imput[[Importe Neto]:[Importe Neto]],Imput[[C. Imp.]:[C. Imp.]],'Indirect Costs'!$C75,Imput[[PERIODO Imp.]:[PERIODO Imp.]],'Indirect Costs'!BW$8)</f>
        <v>0</v>
      </c>
      <c r="BX75" s="48">
        <f>SUMIFS(Imput[[Importe Neto]:[Importe Neto]],Imput[[C. Imp.]:[C. Imp.]],'Indirect Costs'!$C75,Imput[[PERIODO Imp.]:[PERIODO Imp.]],'Indirect Costs'!BX$8)</f>
        <v>0</v>
      </c>
      <c r="BY75" s="48">
        <f>SUMIFS(Imput[[Importe Neto]:[Importe Neto]],Imput[[C. Imp.]:[C. Imp.]],'Indirect Costs'!$C75,Imput[[PERIODO Imp.]:[PERIODO Imp.]],'Indirect Costs'!BY$8)</f>
        <v>0</v>
      </c>
      <c r="BZ75" s="48">
        <f>SUMIFS(Imput[[Importe Neto]:[Importe Neto]],Imput[[C. Imp.]:[C. Imp.]],'Indirect Costs'!$C75,Imput[[PERIODO Imp.]:[PERIODO Imp.]],'Indirect Costs'!BZ$8)</f>
        <v>0</v>
      </c>
      <c r="CA75" s="48">
        <f>SUMIFS(Imput[[Importe Neto]:[Importe Neto]],Imput[[C. Imp.]:[C. Imp.]],'Indirect Costs'!$C75,Imput[[PERIODO Imp.]:[PERIODO Imp.]],'Indirect Costs'!CA$8)</f>
        <v>0</v>
      </c>
      <c r="CB75" s="48">
        <f>SUMIFS(Imput[[Importe Neto]:[Importe Neto]],Imput[[C. Imp.]:[C. Imp.]],'Indirect Costs'!$C75,Imput[[PERIODO Imp.]:[PERIODO Imp.]],'Indirect Costs'!CB$8)</f>
        <v>0</v>
      </c>
      <c r="CC75" s="48">
        <f>SUMIFS(Imput[[Importe Neto]:[Importe Neto]],Imput[[C. Imp.]:[C. Imp.]],'Indirect Costs'!$C75,Imput[[PERIODO Imp.]:[PERIODO Imp.]],'Indirect Costs'!CC$8)</f>
        <v>0</v>
      </c>
      <c r="CD75" s="48">
        <f>SUMIFS(Imput[[Importe Neto]:[Importe Neto]],Imput[[C. Imp.]:[C. Imp.]],'Indirect Costs'!$C75,Imput[[PERIODO Imp.]:[PERIODO Imp.]],'Indirect Costs'!CD$8)</f>
        <v>0</v>
      </c>
      <c r="CE75" s="48">
        <f>SUMIFS(Imput[[Importe Neto]:[Importe Neto]],Imput[[C. Imp.]:[C. Imp.]],'Indirect Costs'!$C75,Imput[[PERIODO Imp.]:[PERIODO Imp.]],'Indirect Costs'!CE$8)</f>
        <v>0</v>
      </c>
      <c r="CF75" s="48">
        <f>SUMIFS(Imput[[Importe Neto]:[Importe Neto]],Imput[[C. Imp.]:[C. Imp.]],'Indirect Costs'!$C75,Imput[[PERIODO Imp.]:[PERIODO Imp.]],'Indirect Costs'!CF$8)</f>
        <v>0</v>
      </c>
      <c r="CG75" s="48">
        <f>SUMIFS(Imput[[Importe Neto]:[Importe Neto]],Imput[[C. Imp.]:[C. Imp.]],'Indirect Costs'!$C75,Imput[[PERIODO Imp.]:[PERIODO Imp.]],'Indirect Costs'!CG$8)</f>
        <v>0</v>
      </c>
      <c r="CH75" s="48">
        <f>SUMIFS(Imput[[Importe Neto]:[Importe Neto]],Imput[[C. Imp.]:[C. Imp.]],'Indirect Costs'!$C75,Imput[[PERIODO Imp.]:[PERIODO Imp.]],'Indirect Costs'!CH$8)</f>
        <v>0</v>
      </c>
      <c r="CI75" s="48">
        <f>SUMIFS(Imput[[Importe Neto]:[Importe Neto]],Imput[[C. Imp.]:[C. Imp.]],'Indirect Costs'!$C75,Imput[[PERIODO Imp.]:[PERIODO Imp.]],'Indirect Costs'!CI$8)</f>
        <v>0</v>
      </c>
      <c r="CJ75" s="48">
        <f>SUMIFS(Imput[[Importe Neto]:[Importe Neto]],Imput[[C. Imp.]:[C. Imp.]],'Indirect Costs'!$C75,Imput[[PERIODO Imp.]:[PERIODO Imp.]],'Indirect Costs'!CJ$8)</f>
        <v>0</v>
      </c>
      <c r="CK75" s="48">
        <f>SUMIFS(Imput[[Importe Neto]:[Importe Neto]],Imput[[C. Imp.]:[C. Imp.]],'Indirect Costs'!$C75,Imput[[PERIODO Imp.]:[PERIODO Imp.]],'Indirect Costs'!CK$8)</f>
        <v>0</v>
      </c>
      <c r="CL75" s="48">
        <f>SUMIFS(Imput[[Importe Neto]:[Importe Neto]],Imput[[C. Imp.]:[C. Imp.]],'Indirect Costs'!$C75,Imput[[PERIODO Imp.]:[PERIODO Imp.]],'Indirect Costs'!CL$8)</f>
        <v>0</v>
      </c>
      <c r="CM75" s="48">
        <f>SUMIFS(Imput[[Importe Neto]:[Importe Neto]],Imput[[C. Imp.]:[C. Imp.]],'Indirect Costs'!$C75,Imput[[PERIODO Imp.]:[PERIODO Imp.]],'Indirect Costs'!CM$8)</f>
        <v>0</v>
      </c>
      <c r="CN75" s="48">
        <f>SUMIFS(Imput[[Importe Neto]:[Importe Neto]],Imput[[C. Imp.]:[C. Imp.]],'Indirect Costs'!$C75,Imput[[PERIODO Imp.]:[PERIODO Imp.]],'Indirect Costs'!CN$8)</f>
        <v>0</v>
      </c>
      <c r="CO75" s="48">
        <f>SUMIFS(Imput[[Importe Neto]:[Importe Neto]],Imput[[C. Imp.]:[C. Imp.]],'Indirect Costs'!$C75,Imput[[PERIODO Imp.]:[PERIODO Imp.]],'Indirect Costs'!CO$8)</f>
        <v>0</v>
      </c>
      <c r="CP75" s="48">
        <f>SUMIFS(Imput[[Importe Neto]:[Importe Neto]],Imput[[C. Imp.]:[C. Imp.]],'Indirect Costs'!$C75,Imput[[PERIODO Imp.]:[PERIODO Imp.]],'Indirect Costs'!CP$8)</f>
        <v>0</v>
      </c>
      <c r="CQ75" s="48">
        <f>SUMIFS(Imput[[Importe Neto]:[Importe Neto]],Imput[[C. Imp.]:[C. Imp.]],'Indirect Costs'!$C75,Imput[[PERIODO Imp.]:[PERIODO Imp.]],'Indirect Costs'!CQ$8)</f>
        <v>0</v>
      </c>
      <c r="CR75" s="48">
        <f>SUMIFS(Imput[[Importe Neto]:[Importe Neto]],Imput[[C. Imp.]:[C. Imp.]],'Indirect Costs'!$C75,Imput[[PERIODO Imp.]:[PERIODO Imp.]],'Indirect Costs'!CR$8)</f>
        <v>0</v>
      </c>
      <c r="CS75" s="48">
        <f>SUMIFS(Imput[[Importe Neto]:[Importe Neto]],Imput[[C. Imp.]:[C. Imp.]],'Indirect Costs'!$C75,Imput[[PERIODO Imp.]:[PERIODO Imp.]],'Indirect Costs'!CS$8)</f>
        <v>0</v>
      </c>
      <c r="CT75" s="48">
        <f>SUMIFS(Imput[[Importe Neto]:[Importe Neto]],Imput[[C. Imp.]:[C. Imp.]],'Indirect Costs'!$C75,Imput[[PERIODO Imp.]:[PERIODO Imp.]],'Indirect Costs'!CT$8)</f>
        <v>0</v>
      </c>
      <c r="CU75" s="48">
        <f>SUMIFS(Imput[[Importe Neto]:[Importe Neto]],Imput[[C. Imp.]:[C. Imp.]],'Indirect Costs'!$C75,Imput[[PERIODO Imp.]:[PERIODO Imp.]],'Indirect Costs'!CU$8)</f>
        <v>0</v>
      </c>
      <c r="CV75" s="48">
        <f>SUMIFS(Imput[[Importe Neto]:[Importe Neto]],Imput[[C. Imp.]:[C. Imp.]],'Indirect Costs'!$C75,Imput[[PERIODO Imp.]:[PERIODO Imp.]],'Indirect Costs'!CV$8)</f>
        <v>0</v>
      </c>
      <c r="CW75" s="48">
        <f>SUMIFS(Imput[[Importe Neto]:[Importe Neto]],Imput[[C. Imp.]:[C. Imp.]],'Indirect Costs'!$C75,Imput[[PERIODO Imp.]:[PERIODO Imp.]],'Indirect Costs'!CW$8)</f>
        <v>0</v>
      </c>
      <c r="CX75" s="48">
        <f>SUMIFS(Imput[[Importe Neto]:[Importe Neto]],Imput[[C. Imp.]:[C. Imp.]],'Indirect Costs'!$C75,Imput[[PERIODO Imp.]:[PERIODO Imp.]],'Indirect Costs'!CX$8)</f>
        <v>0</v>
      </c>
      <c r="CY75" s="48">
        <f>SUMIFS(Imput[[Importe Neto]:[Importe Neto]],Imput[[C. Imp.]:[C. Imp.]],'Indirect Costs'!$C75,Imput[[PERIODO Imp.]:[PERIODO Imp.]],'Indirect Costs'!CY$8)</f>
        <v>0</v>
      </c>
      <c r="CZ75" s="48">
        <f>SUMIFS(Imput[[Importe Neto]:[Importe Neto]],Imput[[C. Imp.]:[C. Imp.]],'Indirect Costs'!$C75,Imput[[PERIODO Imp.]:[PERIODO Imp.]],'Indirect Costs'!CZ$8)</f>
        <v>0</v>
      </c>
      <c r="DA75" s="48">
        <f>SUMIFS(Imput[[Importe Neto]:[Importe Neto]],Imput[[C. Imp.]:[C. Imp.]],'Indirect Costs'!$C75,Imput[[PERIODO Imp.]:[PERIODO Imp.]],'Indirect Costs'!DA$8)</f>
        <v>0</v>
      </c>
      <c r="DB75" s="48">
        <f>SUMIFS(Imput[[Importe Neto]:[Importe Neto]],Imput[[C. Imp.]:[C. Imp.]],'Indirect Costs'!$C75,Imput[[PERIODO Imp.]:[PERIODO Imp.]],'Indirect Costs'!DB$8)</f>
        <v>0</v>
      </c>
      <c r="DC75" s="48">
        <f>SUMIFS(Imput[[Importe Neto]:[Importe Neto]],Imput[[C. Imp.]:[C. Imp.]],'Indirect Costs'!$C75,Imput[[PERIODO Imp.]:[PERIODO Imp.]],'Indirect Costs'!DC$8)</f>
        <v>0</v>
      </c>
      <c r="DD75" s="48">
        <f>SUMIFS(Imput[[Importe Neto]:[Importe Neto]],Imput[[C. Imp.]:[C. Imp.]],'Indirect Costs'!$C75,Imput[[PERIODO Imp.]:[PERIODO Imp.]],'Indirect Costs'!DD$8)</f>
        <v>0</v>
      </c>
      <c r="DE75" s="48">
        <f>SUMIFS(Imput[[Importe Neto]:[Importe Neto]],Imput[[C. Imp.]:[C. Imp.]],'Indirect Costs'!$C75,Imput[[PERIODO Imp.]:[PERIODO Imp.]],'Indirect Costs'!DE$8)</f>
        <v>0</v>
      </c>
      <c r="DF75" s="143">
        <f>SUMIFS(Imput[[Importe Neto]:[Importe Neto]],Imput[[C. Imp.]:[C. Imp.]],'Indirect Costs'!$C75,Imput[[PERIODO Imp.]:[PERIODO Imp.]],'Indirect Costs'!DF$8)</f>
        <v>0</v>
      </c>
    </row>
    <row r="76" spans="1:110" outlineLevel="1" x14ac:dyDescent="0.25">
      <c r="A76" s="28" t="str">
        <f t="shared" si="14"/>
        <v>Imprimir</v>
      </c>
      <c r="B76" s="50">
        <v>5</v>
      </c>
      <c r="C76" s="57" t="s">
        <v>1761</v>
      </c>
      <c r="D76" s="56" t="s">
        <v>571</v>
      </c>
      <c r="E76" s="57" t="s">
        <v>571</v>
      </c>
      <c r="F76" s="58">
        <v>3000</v>
      </c>
      <c r="G76" s="49">
        <v>2</v>
      </c>
      <c r="H76" s="51">
        <v>1</v>
      </c>
      <c r="I76" s="505">
        <f t="shared" si="7"/>
        <v>6000</v>
      </c>
      <c r="J76" s="47"/>
      <c r="K76" s="142">
        <v>0.16666666666666666</v>
      </c>
      <c r="L76" s="48">
        <v>0.16666666666666666</v>
      </c>
      <c r="M76" s="48">
        <v>0.16666666666666666</v>
      </c>
      <c r="N76" s="48">
        <v>0.16666666666666666</v>
      </c>
      <c r="O76" s="48">
        <v>0.16666666666666666</v>
      </c>
      <c r="P76" s="48">
        <v>0.16666666666666666</v>
      </c>
      <c r="Q76" s="48">
        <v>1</v>
      </c>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143"/>
      <c r="BG76" s="47"/>
      <c r="BH76" s="509"/>
      <c r="BI76" s="505">
        <f t="shared" ref="BI76:BI138" si="15">SUM(BK76:DF76)</f>
        <v>0</v>
      </c>
      <c r="BJ76" s="47"/>
      <c r="BK76" s="142">
        <f>SUMIFS(Imput[[Importe Neto]:[Importe Neto]],Imput[[C. Imp.]:[C. Imp.]],'Indirect Costs'!$C76,Imput[[PERIODO Imp.]:[PERIODO Imp.]],'Indirect Costs'!BK$8)</f>
        <v>0</v>
      </c>
      <c r="BL76" s="48">
        <f>SUMIFS(Imput[[Importe Neto]:[Importe Neto]],Imput[[C. Imp.]:[C. Imp.]],'Indirect Costs'!$C76,Imput[[PERIODO Imp.]:[PERIODO Imp.]],'Indirect Costs'!BL$8)</f>
        <v>0</v>
      </c>
      <c r="BM76" s="48">
        <f>SUMIFS(Imput[[Importe Neto]:[Importe Neto]],Imput[[C. Imp.]:[C. Imp.]],'Indirect Costs'!$C76,Imput[[PERIODO Imp.]:[PERIODO Imp.]],'Indirect Costs'!BM$8)</f>
        <v>0</v>
      </c>
      <c r="BN76" s="48">
        <f>SUMIFS(Imput[[Importe Neto]:[Importe Neto]],Imput[[C. Imp.]:[C. Imp.]],'Indirect Costs'!$C76,Imput[[PERIODO Imp.]:[PERIODO Imp.]],'Indirect Costs'!BN$8)</f>
        <v>0</v>
      </c>
      <c r="BO76" s="48">
        <f>SUMIFS(Imput[[Importe Neto]:[Importe Neto]],Imput[[C. Imp.]:[C. Imp.]],'Indirect Costs'!$C76,Imput[[PERIODO Imp.]:[PERIODO Imp.]],'Indirect Costs'!BO$8)</f>
        <v>0</v>
      </c>
      <c r="BP76" s="48">
        <f>SUMIFS(Imput[[Importe Neto]:[Importe Neto]],Imput[[C. Imp.]:[C. Imp.]],'Indirect Costs'!$C76,Imput[[PERIODO Imp.]:[PERIODO Imp.]],'Indirect Costs'!BP$8)</f>
        <v>0</v>
      </c>
      <c r="BQ76" s="48">
        <f>SUMIFS(Imput[[Importe Neto]:[Importe Neto]],Imput[[C. Imp.]:[C. Imp.]],'Indirect Costs'!$C76,Imput[[PERIODO Imp.]:[PERIODO Imp.]],'Indirect Costs'!BQ$8)</f>
        <v>0</v>
      </c>
      <c r="BR76" s="48">
        <f>SUMIFS(Imput[[Importe Neto]:[Importe Neto]],Imput[[C. Imp.]:[C. Imp.]],'Indirect Costs'!$C76,Imput[[PERIODO Imp.]:[PERIODO Imp.]],'Indirect Costs'!BR$8)</f>
        <v>0</v>
      </c>
      <c r="BS76" s="48">
        <f>SUMIFS(Imput[[Importe Neto]:[Importe Neto]],Imput[[C. Imp.]:[C. Imp.]],'Indirect Costs'!$C76,Imput[[PERIODO Imp.]:[PERIODO Imp.]],'Indirect Costs'!BS$8)</f>
        <v>0</v>
      </c>
      <c r="BT76" s="48">
        <f>SUMIFS(Imput[[Importe Neto]:[Importe Neto]],Imput[[C. Imp.]:[C. Imp.]],'Indirect Costs'!$C76,Imput[[PERIODO Imp.]:[PERIODO Imp.]],'Indirect Costs'!BT$8)</f>
        <v>0</v>
      </c>
      <c r="BU76" s="48">
        <f>SUMIFS(Imput[[Importe Neto]:[Importe Neto]],Imput[[C. Imp.]:[C. Imp.]],'Indirect Costs'!$C76,Imput[[PERIODO Imp.]:[PERIODO Imp.]],'Indirect Costs'!BU$8)</f>
        <v>0</v>
      </c>
      <c r="BV76" s="48">
        <f>SUMIFS(Imput[[Importe Neto]:[Importe Neto]],Imput[[C. Imp.]:[C. Imp.]],'Indirect Costs'!$C76,Imput[[PERIODO Imp.]:[PERIODO Imp.]],'Indirect Costs'!BV$8)</f>
        <v>0</v>
      </c>
      <c r="BW76" s="48">
        <f>SUMIFS(Imput[[Importe Neto]:[Importe Neto]],Imput[[C. Imp.]:[C. Imp.]],'Indirect Costs'!$C76,Imput[[PERIODO Imp.]:[PERIODO Imp.]],'Indirect Costs'!BW$8)</f>
        <v>0</v>
      </c>
      <c r="BX76" s="48">
        <f>SUMIFS(Imput[[Importe Neto]:[Importe Neto]],Imput[[C. Imp.]:[C. Imp.]],'Indirect Costs'!$C76,Imput[[PERIODO Imp.]:[PERIODO Imp.]],'Indirect Costs'!BX$8)</f>
        <v>0</v>
      </c>
      <c r="BY76" s="48">
        <f>SUMIFS(Imput[[Importe Neto]:[Importe Neto]],Imput[[C. Imp.]:[C. Imp.]],'Indirect Costs'!$C76,Imput[[PERIODO Imp.]:[PERIODO Imp.]],'Indirect Costs'!BY$8)</f>
        <v>0</v>
      </c>
      <c r="BZ76" s="48">
        <f>SUMIFS(Imput[[Importe Neto]:[Importe Neto]],Imput[[C. Imp.]:[C. Imp.]],'Indirect Costs'!$C76,Imput[[PERIODO Imp.]:[PERIODO Imp.]],'Indirect Costs'!BZ$8)</f>
        <v>0</v>
      </c>
      <c r="CA76" s="48">
        <f>SUMIFS(Imput[[Importe Neto]:[Importe Neto]],Imput[[C. Imp.]:[C. Imp.]],'Indirect Costs'!$C76,Imput[[PERIODO Imp.]:[PERIODO Imp.]],'Indirect Costs'!CA$8)</f>
        <v>0</v>
      </c>
      <c r="CB76" s="48">
        <f>SUMIFS(Imput[[Importe Neto]:[Importe Neto]],Imput[[C. Imp.]:[C. Imp.]],'Indirect Costs'!$C76,Imput[[PERIODO Imp.]:[PERIODO Imp.]],'Indirect Costs'!CB$8)</f>
        <v>0</v>
      </c>
      <c r="CC76" s="48">
        <f>SUMIFS(Imput[[Importe Neto]:[Importe Neto]],Imput[[C. Imp.]:[C. Imp.]],'Indirect Costs'!$C76,Imput[[PERIODO Imp.]:[PERIODO Imp.]],'Indirect Costs'!CC$8)</f>
        <v>0</v>
      </c>
      <c r="CD76" s="48">
        <f>SUMIFS(Imput[[Importe Neto]:[Importe Neto]],Imput[[C. Imp.]:[C. Imp.]],'Indirect Costs'!$C76,Imput[[PERIODO Imp.]:[PERIODO Imp.]],'Indirect Costs'!CD$8)</f>
        <v>0</v>
      </c>
      <c r="CE76" s="48">
        <f>SUMIFS(Imput[[Importe Neto]:[Importe Neto]],Imput[[C. Imp.]:[C. Imp.]],'Indirect Costs'!$C76,Imput[[PERIODO Imp.]:[PERIODO Imp.]],'Indirect Costs'!CE$8)</f>
        <v>0</v>
      </c>
      <c r="CF76" s="48">
        <f>SUMIFS(Imput[[Importe Neto]:[Importe Neto]],Imput[[C. Imp.]:[C. Imp.]],'Indirect Costs'!$C76,Imput[[PERIODO Imp.]:[PERIODO Imp.]],'Indirect Costs'!CF$8)</f>
        <v>0</v>
      </c>
      <c r="CG76" s="48">
        <f>SUMIFS(Imput[[Importe Neto]:[Importe Neto]],Imput[[C. Imp.]:[C. Imp.]],'Indirect Costs'!$C76,Imput[[PERIODO Imp.]:[PERIODO Imp.]],'Indirect Costs'!CG$8)</f>
        <v>0</v>
      </c>
      <c r="CH76" s="48">
        <f>SUMIFS(Imput[[Importe Neto]:[Importe Neto]],Imput[[C. Imp.]:[C. Imp.]],'Indirect Costs'!$C76,Imput[[PERIODO Imp.]:[PERIODO Imp.]],'Indirect Costs'!CH$8)</f>
        <v>0</v>
      </c>
      <c r="CI76" s="48">
        <f>SUMIFS(Imput[[Importe Neto]:[Importe Neto]],Imput[[C. Imp.]:[C. Imp.]],'Indirect Costs'!$C76,Imput[[PERIODO Imp.]:[PERIODO Imp.]],'Indirect Costs'!CI$8)</f>
        <v>0</v>
      </c>
      <c r="CJ76" s="48">
        <f>SUMIFS(Imput[[Importe Neto]:[Importe Neto]],Imput[[C. Imp.]:[C. Imp.]],'Indirect Costs'!$C76,Imput[[PERIODO Imp.]:[PERIODO Imp.]],'Indirect Costs'!CJ$8)</f>
        <v>0</v>
      </c>
      <c r="CK76" s="48">
        <f>SUMIFS(Imput[[Importe Neto]:[Importe Neto]],Imput[[C. Imp.]:[C. Imp.]],'Indirect Costs'!$C76,Imput[[PERIODO Imp.]:[PERIODO Imp.]],'Indirect Costs'!CK$8)</f>
        <v>0</v>
      </c>
      <c r="CL76" s="48">
        <f>SUMIFS(Imput[[Importe Neto]:[Importe Neto]],Imput[[C. Imp.]:[C. Imp.]],'Indirect Costs'!$C76,Imput[[PERIODO Imp.]:[PERIODO Imp.]],'Indirect Costs'!CL$8)</f>
        <v>0</v>
      </c>
      <c r="CM76" s="48">
        <f>SUMIFS(Imput[[Importe Neto]:[Importe Neto]],Imput[[C. Imp.]:[C. Imp.]],'Indirect Costs'!$C76,Imput[[PERIODO Imp.]:[PERIODO Imp.]],'Indirect Costs'!CM$8)</f>
        <v>0</v>
      </c>
      <c r="CN76" s="48">
        <f>SUMIFS(Imput[[Importe Neto]:[Importe Neto]],Imput[[C. Imp.]:[C. Imp.]],'Indirect Costs'!$C76,Imput[[PERIODO Imp.]:[PERIODO Imp.]],'Indirect Costs'!CN$8)</f>
        <v>0</v>
      </c>
      <c r="CO76" s="48">
        <f>SUMIFS(Imput[[Importe Neto]:[Importe Neto]],Imput[[C. Imp.]:[C. Imp.]],'Indirect Costs'!$C76,Imput[[PERIODO Imp.]:[PERIODO Imp.]],'Indirect Costs'!CO$8)</f>
        <v>0</v>
      </c>
      <c r="CP76" s="48">
        <f>SUMIFS(Imput[[Importe Neto]:[Importe Neto]],Imput[[C. Imp.]:[C. Imp.]],'Indirect Costs'!$C76,Imput[[PERIODO Imp.]:[PERIODO Imp.]],'Indirect Costs'!CP$8)</f>
        <v>0</v>
      </c>
      <c r="CQ76" s="48">
        <f>SUMIFS(Imput[[Importe Neto]:[Importe Neto]],Imput[[C. Imp.]:[C. Imp.]],'Indirect Costs'!$C76,Imput[[PERIODO Imp.]:[PERIODO Imp.]],'Indirect Costs'!CQ$8)</f>
        <v>0</v>
      </c>
      <c r="CR76" s="48">
        <f>SUMIFS(Imput[[Importe Neto]:[Importe Neto]],Imput[[C. Imp.]:[C. Imp.]],'Indirect Costs'!$C76,Imput[[PERIODO Imp.]:[PERIODO Imp.]],'Indirect Costs'!CR$8)</f>
        <v>0</v>
      </c>
      <c r="CS76" s="48">
        <f>SUMIFS(Imput[[Importe Neto]:[Importe Neto]],Imput[[C. Imp.]:[C. Imp.]],'Indirect Costs'!$C76,Imput[[PERIODO Imp.]:[PERIODO Imp.]],'Indirect Costs'!CS$8)</f>
        <v>0</v>
      </c>
      <c r="CT76" s="48">
        <f>SUMIFS(Imput[[Importe Neto]:[Importe Neto]],Imput[[C. Imp.]:[C. Imp.]],'Indirect Costs'!$C76,Imput[[PERIODO Imp.]:[PERIODO Imp.]],'Indirect Costs'!CT$8)</f>
        <v>0</v>
      </c>
      <c r="CU76" s="48">
        <f>SUMIFS(Imput[[Importe Neto]:[Importe Neto]],Imput[[C. Imp.]:[C. Imp.]],'Indirect Costs'!$C76,Imput[[PERIODO Imp.]:[PERIODO Imp.]],'Indirect Costs'!CU$8)</f>
        <v>0</v>
      </c>
      <c r="CV76" s="48">
        <f>SUMIFS(Imput[[Importe Neto]:[Importe Neto]],Imput[[C. Imp.]:[C. Imp.]],'Indirect Costs'!$C76,Imput[[PERIODO Imp.]:[PERIODO Imp.]],'Indirect Costs'!CV$8)</f>
        <v>0</v>
      </c>
      <c r="CW76" s="48">
        <f>SUMIFS(Imput[[Importe Neto]:[Importe Neto]],Imput[[C. Imp.]:[C. Imp.]],'Indirect Costs'!$C76,Imput[[PERIODO Imp.]:[PERIODO Imp.]],'Indirect Costs'!CW$8)</f>
        <v>0</v>
      </c>
      <c r="CX76" s="48">
        <f>SUMIFS(Imput[[Importe Neto]:[Importe Neto]],Imput[[C. Imp.]:[C. Imp.]],'Indirect Costs'!$C76,Imput[[PERIODO Imp.]:[PERIODO Imp.]],'Indirect Costs'!CX$8)</f>
        <v>0</v>
      </c>
      <c r="CY76" s="48">
        <f>SUMIFS(Imput[[Importe Neto]:[Importe Neto]],Imput[[C. Imp.]:[C. Imp.]],'Indirect Costs'!$C76,Imput[[PERIODO Imp.]:[PERIODO Imp.]],'Indirect Costs'!CY$8)</f>
        <v>0</v>
      </c>
      <c r="CZ76" s="48">
        <f>SUMIFS(Imput[[Importe Neto]:[Importe Neto]],Imput[[C. Imp.]:[C. Imp.]],'Indirect Costs'!$C76,Imput[[PERIODO Imp.]:[PERIODO Imp.]],'Indirect Costs'!CZ$8)</f>
        <v>0</v>
      </c>
      <c r="DA76" s="48">
        <f>SUMIFS(Imput[[Importe Neto]:[Importe Neto]],Imput[[C. Imp.]:[C. Imp.]],'Indirect Costs'!$C76,Imput[[PERIODO Imp.]:[PERIODO Imp.]],'Indirect Costs'!DA$8)</f>
        <v>0</v>
      </c>
      <c r="DB76" s="48">
        <f>SUMIFS(Imput[[Importe Neto]:[Importe Neto]],Imput[[C. Imp.]:[C. Imp.]],'Indirect Costs'!$C76,Imput[[PERIODO Imp.]:[PERIODO Imp.]],'Indirect Costs'!DB$8)</f>
        <v>0</v>
      </c>
      <c r="DC76" s="48">
        <f>SUMIFS(Imput[[Importe Neto]:[Importe Neto]],Imput[[C. Imp.]:[C. Imp.]],'Indirect Costs'!$C76,Imput[[PERIODO Imp.]:[PERIODO Imp.]],'Indirect Costs'!DC$8)</f>
        <v>0</v>
      </c>
      <c r="DD76" s="48">
        <f>SUMIFS(Imput[[Importe Neto]:[Importe Neto]],Imput[[C. Imp.]:[C. Imp.]],'Indirect Costs'!$C76,Imput[[PERIODO Imp.]:[PERIODO Imp.]],'Indirect Costs'!DD$8)</f>
        <v>0</v>
      </c>
      <c r="DE76" s="48">
        <f>SUMIFS(Imput[[Importe Neto]:[Importe Neto]],Imput[[C. Imp.]:[C. Imp.]],'Indirect Costs'!$C76,Imput[[PERIODO Imp.]:[PERIODO Imp.]],'Indirect Costs'!DE$8)</f>
        <v>0</v>
      </c>
      <c r="DF76" s="143">
        <f>SUMIFS(Imput[[Importe Neto]:[Importe Neto]],Imput[[C. Imp.]:[C. Imp.]],'Indirect Costs'!$C76,Imput[[PERIODO Imp.]:[PERIODO Imp.]],'Indirect Costs'!DF$8)</f>
        <v>0</v>
      </c>
    </row>
    <row r="77" spans="1:110" outlineLevel="1" x14ac:dyDescent="0.25">
      <c r="A77" s="28" t="str">
        <f t="shared" si="14"/>
        <v/>
      </c>
      <c r="B77" s="50">
        <v>6</v>
      </c>
      <c r="C77" s="57" t="s">
        <v>1806</v>
      </c>
      <c r="D77" s="56" t="s">
        <v>581</v>
      </c>
      <c r="E77" s="57" t="s">
        <v>581</v>
      </c>
      <c r="F77" s="58">
        <v>15000</v>
      </c>
      <c r="G77" s="49"/>
      <c r="H77" s="51">
        <v>1</v>
      </c>
      <c r="I77" s="505">
        <f t="shared" ref="I77:I81" si="16">F77*G77*H77</f>
        <v>0</v>
      </c>
      <c r="J77" s="47"/>
      <c r="K77" s="142"/>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143"/>
      <c r="BG77" s="47"/>
      <c r="BH77" s="509"/>
      <c r="BI77" s="505">
        <f t="shared" si="15"/>
        <v>39003.368952850004</v>
      </c>
      <c r="BJ77" s="47"/>
      <c r="BK77" s="142">
        <f>SUMIFS(Imput[[Importe Neto]:[Importe Neto]],Imput[[C. Imp.]:[C. Imp.]],'Indirect Costs'!$C77,Imput[[PERIODO Imp.]:[PERIODO Imp.]],'Indirect Costs'!BK$8)</f>
        <v>0</v>
      </c>
      <c r="BL77" s="48">
        <f>SUMIFS(Imput[[Importe Neto]:[Importe Neto]],Imput[[C. Imp.]:[C. Imp.]],'Indirect Costs'!$C77,Imput[[PERIODO Imp.]:[PERIODO Imp.]],'Indirect Costs'!BL$8)</f>
        <v>3520.9960800000003</v>
      </c>
      <c r="BM77" s="48">
        <f>SUMIFS(Imput[[Importe Neto]:[Importe Neto]],Imput[[C. Imp.]:[C. Imp.]],'Indirect Costs'!$C77,Imput[[PERIODO Imp.]:[PERIODO Imp.]],'Indirect Costs'!BM$8)</f>
        <v>193.9984</v>
      </c>
      <c r="BN77" s="48">
        <f>SUMIFS(Imput[[Importe Neto]:[Importe Neto]],Imput[[C. Imp.]:[C. Imp.]],'Indirect Costs'!$C77,Imput[[PERIODO Imp.]:[PERIODO Imp.]],'Indirect Costs'!BN$8)</f>
        <v>7630.44995285</v>
      </c>
      <c r="BO77" s="48">
        <f>SUMIFS(Imput[[Importe Neto]:[Importe Neto]],Imput[[C. Imp.]:[C. Imp.]],'Indirect Costs'!$C77,Imput[[PERIODO Imp.]:[PERIODO Imp.]],'Indirect Costs'!BO$8)</f>
        <v>18801.856399999997</v>
      </c>
      <c r="BP77" s="48">
        <f>SUMIFS(Imput[[Importe Neto]:[Importe Neto]],Imput[[C. Imp.]:[C. Imp.]],'Indirect Costs'!$C77,Imput[[PERIODO Imp.]:[PERIODO Imp.]],'Indirect Costs'!BP$8)</f>
        <v>5117.0536799999991</v>
      </c>
      <c r="BQ77" s="48">
        <f>SUMIFS(Imput[[Importe Neto]:[Importe Neto]],Imput[[C. Imp.]:[C. Imp.]],'Indirect Costs'!$C77,Imput[[PERIODO Imp.]:[PERIODO Imp.]],'Indirect Costs'!BQ$8)</f>
        <v>2863.0061999999998</v>
      </c>
      <c r="BR77" s="48">
        <f>SUMIFS(Imput[[Importe Neto]:[Importe Neto]],Imput[[C. Imp.]:[C. Imp.]],'Indirect Costs'!$C77,Imput[[PERIODO Imp.]:[PERIODO Imp.]],'Indirect Costs'!BR$8)</f>
        <v>327.00399999999996</v>
      </c>
      <c r="BS77" s="48">
        <f>SUMIFS(Imput[[Importe Neto]:[Importe Neto]],Imput[[C. Imp.]:[C. Imp.]],'Indirect Costs'!$C77,Imput[[PERIODO Imp.]:[PERIODO Imp.]],'Indirect Costs'!BS$8)</f>
        <v>0</v>
      </c>
      <c r="BT77" s="48">
        <f>SUMIFS(Imput[[Importe Neto]:[Importe Neto]],Imput[[C. Imp.]:[C. Imp.]],'Indirect Costs'!$C77,Imput[[PERIODO Imp.]:[PERIODO Imp.]],'Indirect Costs'!BT$8)</f>
        <v>0</v>
      </c>
      <c r="BU77" s="48">
        <f>SUMIFS(Imput[[Importe Neto]:[Importe Neto]],Imput[[C. Imp.]:[C. Imp.]],'Indirect Costs'!$C77,Imput[[PERIODO Imp.]:[PERIODO Imp.]],'Indirect Costs'!BU$8)</f>
        <v>0</v>
      </c>
      <c r="BV77" s="48">
        <f>SUMIFS(Imput[[Importe Neto]:[Importe Neto]],Imput[[C. Imp.]:[C. Imp.]],'Indirect Costs'!$C77,Imput[[PERIODO Imp.]:[PERIODO Imp.]],'Indirect Costs'!BV$8)</f>
        <v>0</v>
      </c>
      <c r="BW77" s="48">
        <f>SUMIFS(Imput[[Importe Neto]:[Importe Neto]],Imput[[C. Imp.]:[C. Imp.]],'Indirect Costs'!$C77,Imput[[PERIODO Imp.]:[PERIODO Imp.]],'Indirect Costs'!BW$8)</f>
        <v>334.00519999999995</v>
      </c>
      <c r="BX77" s="48">
        <f>SUMIFS(Imput[[Importe Neto]:[Importe Neto]],Imput[[C. Imp.]:[C. Imp.]],'Indirect Costs'!$C77,Imput[[PERIODO Imp.]:[PERIODO Imp.]],'Indirect Costs'!BX$8)</f>
        <v>0</v>
      </c>
      <c r="BY77" s="48">
        <f>SUMIFS(Imput[[Importe Neto]:[Importe Neto]],Imput[[C. Imp.]:[C. Imp.]],'Indirect Costs'!$C77,Imput[[PERIODO Imp.]:[PERIODO Imp.]],'Indirect Costs'!BY$8)</f>
        <v>214.99903999999998</v>
      </c>
      <c r="BZ77" s="48">
        <f>SUMIFS(Imput[[Importe Neto]:[Importe Neto]],Imput[[C. Imp.]:[C. Imp.]],'Indirect Costs'!$C77,Imput[[PERIODO Imp.]:[PERIODO Imp.]],'Indirect Costs'!BZ$8)</f>
        <v>0</v>
      </c>
      <c r="CA77" s="48">
        <f>SUMIFS(Imput[[Importe Neto]:[Importe Neto]],Imput[[C. Imp.]:[C. Imp.]],'Indirect Costs'!$C77,Imput[[PERIODO Imp.]:[PERIODO Imp.]],'Indirect Costs'!CA$8)</f>
        <v>0</v>
      </c>
      <c r="CB77" s="48">
        <f>SUMIFS(Imput[[Importe Neto]:[Importe Neto]],Imput[[C. Imp.]:[C. Imp.]],'Indirect Costs'!$C77,Imput[[PERIODO Imp.]:[PERIODO Imp.]],'Indirect Costs'!CB$8)</f>
        <v>0</v>
      </c>
      <c r="CC77" s="48">
        <f>SUMIFS(Imput[[Importe Neto]:[Importe Neto]],Imput[[C. Imp.]:[C. Imp.]],'Indirect Costs'!$C77,Imput[[PERIODO Imp.]:[PERIODO Imp.]],'Indirect Costs'!CC$8)</f>
        <v>0</v>
      </c>
      <c r="CD77" s="48">
        <f>SUMIFS(Imput[[Importe Neto]:[Importe Neto]],Imput[[C. Imp.]:[C. Imp.]],'Indirect Costs'!$C77,Imput[[PERIODO Imp.]:[PERIODO Imp.]],'Indirect Costs'!CD$8)</f>
        <v>0</v>
      </c>
      <c r="CE77" s="48">
        <f>SUMIFS(Imput[[Importe Neto]:[Importe Neto]],Imput[[C. Imp.]:[C. Imp.]],'Indirect Costs'!$C77,Imput[[PERIODO Imp.]:[PERIODO Imp.]],'Indirect Costs'!CE$8)</f>
        <v>0</v>
      </c>
      <c r="CF77" s="48">
        <f>SUMIFS(Imput[[Importe Neto]:[Importe Neto]],Imput[[C. Imp.]:[C. Imp.]],'Indirect Costs'!$C77,Imput[[PERIODO Imp.]:[PERIODO Imp.]],'Indirect Costs'!CF$8)</f>
        <v>0</v>
      </c>
      <c r="CG77" s="48">
        <f>SUMIFS(Imput[[Importe Neto]:[Importe Neto]],Imput[[C. Imp.]:[C. Imp.]],'Indirect Costs'!$C77,Imput[[PERIODO Imp.]:[PERIODO Imp.]],'Indirect Costs'!CG$8)</f>
        <v>0</v>
      </c>
      <c r="CH77" s="48">
        <f>SUMIFS(Imput[[Importe Neto]:[Importe Neto]],Imput[[C. Imp.]:[C. Imp.]],'Indirect Costs'!$C77,Imput[[PERIODO Imp.]:[PERIODO Imp.]],'Indirect Costs'!CH$8)</f>
        <v>0</v>
      </c>
      <c r="CI77" s="48">
        <f>SUMIFS(Imput[[Importe Neto]:[Importe Neto]],Imput[[C. Imp.]:[C. Imp.]],'Indirect Costs'!$C77,Imput[[PERIODO Imp.]:[PERIODO Imp.]],'Indirect Costs'!CI$8)</f>
        <v>0</v>
      </c>
      <c r="CJ77" s="48">
        <f>SUMIFS(Imput[[Importe Neto]:[Importe Neto]],Imput[[C. Imp.]:[C. Imp.]],'Indirect Costs'!$C77,Imput[[PERIODO Imp.]:[PERIODO Imp.]],'Indirect Costs'!CJ$8)</f>
        <v>0</v>
      </c>
      <c r="CK77" s="48">
        <f>SUMIFS(Imput[[Importe Neto]:[Importe Neto]],Imput[[C. Imp.]:[C. Imp.]],'Indirect Costs'!$C77,Imput[[PERIODO Imp.]:[PERIODO Imp.]],'Indirect Costs'!CK$8)</f>
        <v>0</v>
      </c>
      <c r="CL77" s="48">
        <f>SUMIFS(Imput[[Importe Neto]:[Importe Neto]],Imput[[C. Imp.]:[C. Imp.]],'Indirect Costs'!$C77,Imput[[PERIODO Imp.]:[PERIODO Imp.]],'Indirect Costs'!CL$8)</f>
        <v>0</v>
      </c>
      <c r="CM77" s="48">
        <f>SUMIFS(Imput[[Importe Neto]:[Importe Neto]],Imput[[C. Imp.]:[C. Imp.]],'Indirect Costs'!$C77,Imput[[PERIODO Imp.]:[PERIODO Imp.]],'Indirect Costs'!CM$8)</f>
        <v>0</v>
      </c>
      <c r="CN77" s="48">
        <f>SUMIFS(Imput[[Importe Neto]:[Importe Neto]],Imput[[C. Imp.]:[C. Imp.]],'Indirect Costs'!$C77,Imput[[PERIODO Imp.]:[PERIODO Imp.]],'Indirect Costs'!CN$8)</f>
        <v>0</v>
      </c>
      <c r="CO77" s="48">
        <f>SUMIFS(Imput[[Importe Neto]:[Importe Neto]],Imput[[C. Imp.]:[C. Imp.]],'Indirect Costs'!$C77,Imput[[PERIODO Imp.]:[PERIODO Imp.]],'Indirect Costs'!CO$8)</f>
        <v>0</v>
      </c>
      <c r="CP77" s="48">
        <f>SUMIFS(Imput[[Importe Neto]:[Importe Neto]],Imput[[C. Imp.]:[C. Imp.]],'Indirect Costs'!$C77,Imput[[PERIODO Imp.]:[PERIODO Imp.]],'Indirect Costs'!CP$8)</f>
        <v>0</v>
      </c>
      <c r="CQ77" s="48">
        <f>SUMIFS(Imput[[Importe Neto]:[Importe Neto]],Imput[[C. Imp.]:[C. Imp.]],'Indirect Costs'!$C77,Imput[[PERIODO Imp.]:[PERIODO Imp.]],'Indirect Costs'!CQ$8)</f>
        <v>0</v>
      </c>
      <c r="CR77" s="48">
        <f>SUMIFS(Imput[[Importe Neto]:[Importe Neto]],Imput[[C. Imp.]:[C. Imp.]],'Indirect Costs'!$C77,Imput[[PERIODO Imp.]:[PERIODO Imp.]],'Indirect Costs'!CR$8)</f>
        <v>0</v>
      </c>
      <c r="CS77" s="48">
        <f>SUMIFS(Imput[[Importe Neto]:[Importe Neto]],Imput[[C. Imp.]:[C. Imp.]],'Indirect Costs'!$C77,Imput[[PERIODO Imp.]:[PERIODO Imp.]],'Indirect Costs'!CS$8)</f>
        <v>0</v>
      </c>
      <c r="CT77" s="48">
        <f>SUMIFS(Imput[[Importe Neto]:[Importe Neto]],Imput[[C. Imp.]:[C. Imp.]],'Indirect Costs'!$C77,Imput[[PERIODO Imp.]:[PERIODO Imp.]],'Indirect Costs'!CT$8)</f>
        <v>0</v>
      </c>
      <c r="CU77" s="48">
        <f>SUMIFS(Imput[[Importe Neto]:[Importe Neto]],Imput[[C. Imp.]:[C. Imp.]],'Indirect Costs'!$C77,Imput[[PERIODO Imp.]:[PERIODO Imp.]],'Indirect Costs'!CU$8)</f>
        <v>0</v>
      </c>
      <c r="CV77" s="48">
        <f>SUMIFS(Imput[[Importe Neto]:[Importe Neto]],Imput[[C. Imp.]:[C. Imp.]],'Indirect Costs'!$C77,Imput[[PERIODO Imp.]:[PERIODO Imp.]],'Indirect Costs'!CV$8)</f>
        <v>0</v>
      </c>
      <c r="CW77" s="48">
        <f>SUMIFS(Imput[[Importe Neto]:[Importe Neto]],Imput[[C. Imp.]:[C. Imp.]],'Indirect Costs'!$C77,Imput[[PERIODO Imp.]:[PERIODO Imp.]],'Indirect Costs'!CW$8)</f>
        <v>0</v>
      </c>
      <c r="CX77" s="48">
        <f>SUMIFS(Imput[[Importe Neto]:[Importe Neto]],Imput[[C. Imp.]:[C. Imp.]],'Indirect Costs'!$C77,Imput[[PERIODO Imp.]:[PERIODO Imp.]],'Indirect Costs'!CX$8)</f>
        <v>0</v>
      </c>
      <c r="CY77" s="48">
        <f>SUMIFS(Imput[[Importe Neto]:[Importe Neto]],Imput[[C. Imp.]:[C. Imp.]],'Indirect Costs'!$C77,Imput[[PERIODO Imp.]:[PERIODO Imp.]],'Indirect Costs'!CY$8)</f>
        <v>0</v>
      </c>
      <c r="CZ77" s="48">
        <f>SUMIFS(Imput[[Importe Neto]:[Importe Neto]],Imput[[C. Imp.]:[C. Imp.]],'Indirect Costs'!$C77,Imput[[PERIODO Imp.]:[PERIODO Imp.]],'Indirect Costs'!CZ$8)</f>
        <v>0</v>
      </c>
      <c r="DA77" s="48">
        <f>SUMIFS(Imput[[Importe Neto]:[Importe Neto]],Imput[[C. Imp.]:[C. Imp.]],'Indirect Costs'!$C77,Imput[[PERIODO Imp.]:[PERIODO Imp.]],'Indirect Costs'!DA$8)</f>
        <v>0</v>
      </c>
      <c r="DB77" s="48">
        <f>SUMIFS(Imput[[Importe Neto]:[Importe Neto]],Imput[[C. Imp.]:[C. Imp.]],'Indirect Costs'!$C77,Imput[[PERIODO Imp.]:[PERIODO Imp.]],'Indirect Costs'!DB$8)</f>
        <v>0</v>
      </c>
      <c r="DC77" s="48">
        <f>SUMIFS(Imput[[Importe Neto]:[Importe Neto]],Imput[[C. Imp.]:[C. Imp.]],'Indirect Costs'!$C77,Imput[[PERIODO Imp.]:[PERIODO Imp.]],'Indirect Costs'!DC$8)</f>
        <v>0</v>
      </c>
      <c r="DD77" s="48">
        <f>SUMIFS(Imput[[Importe Neto]:[Importe Neto]],Imput[[C. Imp.]:[C. Imp.]],'Indirect Costs'!$C77,Imput[[PERIODO Imp.]:[PERIODO Imp.]],'Indirect Costs'!DD$8)</f>
        <v>0</v>
      </c>
      <c r="DE77" s="48">
        <f>SUMIFS(Imput[[Importe Neto]:[Importe Neto]],Imput[[C. Imp.]:[C. Imp.]],'Indirect Costs'!$C77,Imput[[PERIODO Imp.]:[PERIODO Imp.]],'Indirect Costs'!DE$8)</f>
        <v>0</v>
      </c>
      <c r="DF77" s="143">
        <f>SUMIFS(Imput[[Importe Neto]:[Importe Neto]],Imput[[C. Imp.]:[C. Imp.]],'Indirect Costs'!$C77,Imput[[PERIODO Imp.]:[PERIODO Imp.]],'Indirect Costs'!DF$8)</f>
        <v>0</v>
      </c>
    </row>
    <row r="78" spans="1:110" outlineLevel="1" x14ac:dyDescent="0.25">
      <c r="A78" s="28" t="str">
        <f t="shared" si="14"/>
        <v/>
      </c>
      <c r="B78" s="50">
        <v>7</v>
      </c>
      <c r="C78" s="57" t="s">
        <v>1807</v>
      </c>
      <c r="D78" s="56" t="s">
        <v>582</v>
      </c>
      <c r="E78" s="57" t="s">
        <v>582</v>
      </c>
      <c r="F78" s="58">
        <v>15000</v>
      </c>
      <c r="G78" s="49"/>
      <c r="H78" s="51">
        <v>1</v>
      </c>
      <c r="I78" s="505">
        <f t="shared" si="16"/>
        <v>0</v>
      </c>
      <c r="J78" s="47"/>
      <c r="K78" s="142"/>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143"/>
      <c r="BG78" s="47"/>
      <c r="BH78" s="509"/>
      <c r="BI78" s="505">
        <f t="shared" si="15"/>
        <v>17280</v>
      </c>
      <c r="BJ78" s="47"/>
      <c r="BK78" s="142">
        <f>SUMIFS(Imput[[Importe Neto]:[Importe Neto]],Imput[[C. Imp.]:[C. Imp.]],'Indirect Costs'!$C78,Imput[[PERIODO Imp.]:[PERIODO Imp.]],'Indirect Costs'!BK$8)</f>
        <v>0</v>
      </c>
      <c r="BL78" s="48">
        <f>SUMIFS(Imput[[Importe Neto]:[Importe Neto]],Imput[[C. Imp.]:[C. Imp.]],'Indirect Costs'!$C78,Imput[[PERIODO Imp.]:[PERIODO Imp.]],'Indirect Costs'!BL$8)</f>
        <v>0</v>
      </c>
      <c r="BM78" s="48">
        <f>SUMIFS(Imput[[Importe Neto]:[Importe Neto]],Imput[[C. Imp.]:[C. Imp.]],'Indirect Costs'!$C78,Imput[[PERIODO Imp.]:[PERIODO Imp.]],'Indirect Costs'!BM$8)</f>
        <v>5400</v>
      </c>
      <c r="BN78" s="48">
        <f>SUMIFS(Imput[[Importe Neto]:[Importe Neto]],Imput[[C. Imp.]:[C. Imp.]],'Indirect Costs'!$C78,Imput[[PERIODO Imp.]:[PERIODO Imp.]],'Indirect Costs'!BN$8)</f>
        <v>0</v>
      </c>
      <c r="BO78" s="48">
        <f>SUMIFS(Imput[[Importe Neto]:[Importe Neto]],Imput[[C. Imp.]:[C. Imp.]],'Indirect Costs'!$C78,Imput[[PERIODO Imp.]:[PERIODO Imp.]],'Indirect Costs'!BO$8)</f>
        <v>9180</v>
      </c>
      <c r="BP78" s="48">
        <f>SUMIFS(Imput[[Importe Neto]:[Importe Neto]],Imput[[C. Imp.]:[C. Imp.]],'Indirect Costs'!$C78,Imput[[PERIODO Imp.]:[PERIODO Imp.]],'Indirect Costs'!BP$8)</f>
        <v>2700</v>
      </c>
      <c r="BQ78" s="48">
        <f>SUMIFS(Imput[[Importe Neto]:[Importe Neto]],Imput[[C. Imp.]:[C. Imp.]],'Indirect Costs'!$C78,Imput[[PERIODO Imp.]:[PERIODO Imp.]],'Indirect Costs'!BQ$8)</f>
        <v>0</v>
      </c>
      <c r="BR78" s="48">
        <f>SUMIFS(Imput[[Importe Neto]:[Importe Neto]],Imput[[C. Imp.]:[C. Imp.]],'Indirect Costs'!$C78,Imput[[PERIODO Imp.]:[PERIODO Imp.]],'Indirect Costs'!BR$8)</f>
        <v>0</v>
      </c>
      <c r="BS78" s="48">
        <f>SUMIFS(Imput[[Importe Neto]:[Importe Neto]],Imput[[C. Imp.]:[C. Imp.]],'Indirect Costs'!$C78,Imput[[PERIODO Imp.]:[PERIODO Imp.]],'Indirect Costs'!BS$8)</f>
        <v>0</v>
      </c>
      <c r="BT78" s="48">
        <f>SUMIFS(Imput[[Importe Neto]:[Importe Neto]],Imput[[C. Imp.]:[C. Imp.]],'Indirect Costs'!$C78,Imput[[PERIODO Imp.]:[PERIODO Imp.]],'Indirect Costs'!BT$8)</f>
        <v>0</v>
      </c>
      <c r="BU78" s="48">
        <f>SUMIFS(Imput[[Importe Neto]:[Importe Neto]],Imput[[C. Imp.]:[C. Imp.]],'Indirect Costs'!$C78,Imput[[PERIODO Imp.]:[PERIODO Imp.]],'Indirect Costs'!BU$8)</f>
        <v>0</v>
      </c>
      <c r="BV78" s="48">
        <f>SUMIFS(Imput[[Importe Neto]:[Importe Neto]],Imput[[C. Imp.]:[C. Imp.]],'Indirect Costs'!$C78,Imput[[PERIODO Imp.]:[PERIODO Imp.]],'Indirect Costs'!BV$8)</f>
        <v>0</v>
      </c>
      <c r="BW78" s="48">
        <f>SUMIFS(Imput[[Importe Neto]:[Importe Neto]],Imput[[C. Imp.]:[C. Imp.]],'Indirect Costs'!$C78,Imput[[PERIODO Imp.]:[PERIODO Imp.]],'Indirect Costs'!BW$8)</f>
        <v>0</v>
      </c>
      <c r="BX78" s="48">
        <f>SUMIFS(Imput[[Importe Neto]:[Importe Neto]],Imput[[C. Imp.]:[C. Imp.]],'Indirect Costs'!$C78,Imput[[PERIODO Imp.]:[PERIODO Imp.]],'Indirect Costs'!BX$8)</f>
        <v>0</v>
      </c>
      <c r="BY78" s="48">
        <f>SUMIFS(Imput[[Importe Neto]:[Importe Neto]],Imput[[C. Imp.]:[C. Imp.]],'Indirect Costs'!$C78,Imput[[PERIODO Imp.]:[PERIODO Imp.]],'Indirect Costs'!BY$8)</f>
        <v>0</v>
      </c>
      <c r="BZ78" s="48">
        <f>SUMIFS(Imput[[Importe Neto]:[Importe Neto]],Imput[[C. Imp.]:[C. Imp.]],'Indirect Costs'!$C78,Imput[[PERIODO Imp.]:[PERIODO Imp.]],'Indirect Costs'!BZ$8)</f>
        <v>0</v>
      </c>
      <c r="CA78" s="48">
        <f>SUMIFS(Imput[[Importe Neto]:[Importe Neto]],Imput[[C. Imp.]:[C. Imp.]],'Indirect Costs'!$C78,Imput[[PERIODO Imp.]:[PERIODO Imp.]],'Indirect Costs'!CA$8)</f>
        <v>0</v>
      </c>
      <c r="CB78" s="48">
        <f>SUMIFS(Imput[[Importe Neto]:[Importe Neto]],Imput[[C. Imp.]:[C. Imp.]],'Indirect Costs'!$C78,Imput[[PERIODO Imp.]:[PERIODO Imp.]],'Indirect Costs'!CB$8)</f>
        <v>0</v>
      </c>
      <c r="CC78" s="48">
        <f>SUMIFS(Imput[[Importe Neto]:[Importe Neto]],Imput[[C. Imp.]:[C. Imp.]],'Indirect Costs'!$C78,Imput[[PERIODO Imp.]:[PERIODO Imp.]],'Indirect Costs'!CC$8)</f>
        <v>0</v>
      </c>
      <c r="CD78" s="48">
        <f>SUMIFS(Imput[[Importe Neto]:[Importe Neto]],Imput[[C. Imp.]:[C. Imp.]],'Indirect Costs'!$C78,Imput[[PERIODO Imp.]:[PERIODO Imp.]],'Indirect Costs'!CD$8)</f>
        <v>0</v>
      </c>
      <c r="CE78" s="48">
        <f>SUMIFS(Imput[[Importe Neto]:[Importe Neto]],Imput[[C. Imp.]:[C. Imp.]],'Indirect Costs'!$C78,Imput[[PERIODO Imp.]:[PERIODO Imp.]],'Indirect Costs'!CE$8)</f>
        <v>0</v>
      </c>
      <c r="CF78" s="48">
        <f>SUMIFS(Imput[[Importe Neto]:[Importe Neto]],Imput[[C. Imp.]:[C. Imp.]],'Indirect Costs'!$C78,Imput[[PERIODO Imp.]:[PERIODO Imp.]],'Indirect Costs'!CF$8)</f>
        <v>0</v>
      </c>
      <c r="CG78" s="48">
        <f>SUMIFS(Imput[[Importe Neto]:[Importe Neto]],Imput[[C. Imp.]:[C. Imp.]],'Indirect Costs'!$C78,Imput[[PERIODO Imp.]:[PERIODO Imp.]],'Indirect Costs'!CG$8)</f>
        <v>0</v>
      </c>
      <c r="CH78" s="48">
        <f>SUMIFS(Imput[[Importe Neto]:[Importe Neto]],Imput[[C. Imp.]:[C. Imp.]],'Indirect Costs'!$C78,Imput[[PERIODO Imp.]:[PERIODO Imp.]],'Indirect Costs'!CH$8)</f>
        <v>0</v>
      </c>
      <c r="CI78" s="48">
        <f>SUMIFS(Imput[[Importe Neto]:[Importe Neto]],Imput[[C. Imp.]:[C. Imp.]],'Indirect Costs'!$C78,Imput[[PERIODO Imp.]:[PERIODO Imp.]],'Indirect Costs'!CI$8)</f>
        <v>0</v>
      </c>
      <c r="CJ78" s="48">
        <f>SUMIFS(Imput[[Importe Neto]:[Importe Neto]],Imput[[C. Imp.]:[C. Imp.]],'Indirect Costs'!$C78,Imput[[PERIODO Imp.]:[PERIODO Imp.]],'Indirect Costs'!CJ$8)</f>
        <v>0</v>
      </c>
      <c r="CK78" s="48">
        <f>SUMIFS(Imput[[Importe Neto]:[Importe Neto]],Imput[[C. Imp.]:[C. Imp.]],'Indirect Costs'!$C78,Imput[[PERIODO Imp.]:[PERIODO Imp.]],'Indirect Costs'!CK$8)</f>
        <v>0</v>
      </c>
      <c r="CL78" s="48">
        <f>SUMIFS(Imput[[Importe Neto]:[Importe Neto]],Imput[[C. Imp.]:[C. Imp.]],'Indirect Costs'!$C78,Imput[[PERIODO Imp.]:[PERIODO Imp.]],'Indirect Costs'!CL$8)</f>
        <v>0</v>
      </c>
      <c r="CM78" s="48">
        <f>SUMIFS(Imput[[Importe Neto]:[Importe Neto]],Imput[[C. Imp.]:[C. Imp.]],'Indirect Costs'!$C78,Imput[[PERIODO Imp.]:[PERIODO Imp.]],'Indirect Costs'!CM$8)</f>
        <v>0</v>
      </c>
      <c r="CN78" s="48">
        <f>SUMIFS(Imput[[Importe Neto]:[Importe Neto]],Imput[[C. Imp.]:[C. Imp.]],'Indirect Costs'!$C78,Imput[[PERIODO Imp.]:[PERIODO Imp.]],'Indirect Costs'!CN$8)</f>
        <v>0</v>
      </c>
      <c r="CO78" s="48">
        <f>SUMIFS(Imput[[Importe Neto]:[Importe Neto]],Imput[[C. Imp.]:[C. Imp.]],'Indirect Costs'!$C78,Imput[[PERIODO Imp.]:[PERIODO Imp.]],'Indirect Costs'!CO$8)</f>
        <v>0</v>
      </c>
      <c r="CP78" s="48">
        <f>SUMIFS(Imput[[Importe Neto]:[Importe Neto]],Imput[[C. Imp.]:[C. Imp.]],'Indirect Costs'!$C78,Imput[[PERIODO Imp.]:[PERIODO Imp.]],'Indirect Costs'!CP$8)</f>
        <v>0</v>
      </c>
      <c r="CQ78" s="48">
        <f>SUMIFS(Imput[[Importe Neto]:[Importe Neto]],Imput[[C. Imp.]:[C. Imp.]],'Indirect Costs'!$C78,Imput[[PERIODO Imp.]:[PERIODO Imp.]],'Indirect Costs'!CQ$8)</f>
        <v>0</v>
      </c>
      <c r="CR78" s="48">
        <f>SUMIFS(Imput[[Importe Neto]:[Importe Neto]],Imput[[C. Imp.]:[C. Imp.]],'Indirect Costs'!$C78,Imput[[PERIODO Imp.]:[PERIODO Imp.]],'Indirect Costs'!CR$8)</f>
        <v>0</v>
      </c>
      <c r="CS78" s="48">
        <f>SUMIFS(Imput[[Importe Neto]:[Importe Neto]],Imput[[C. Imp.]:[C. Imp.]],'Indirect Costs'!$C78,Imput[[PERIODO Imp.]:[PERIODO Imp.]],'Indirect Costs'!CS$8)</f>
        <v>0</v>
      </c>
      <c r="CT78" s="48">
        <f>SUMIFS(Imput[[Importe Neto]:[Importe Neto]],Imput[[C. Imp.]:[C. Imp.]],'Indirect Costs'!$C78,Imput[[PERIODO Imp.]:[PERIODO Imp.]],'Indirect Costs'!CT$8)</f>
        <v>0</v>
      </c>
      <c r="CU78" s="48">
        <f>SUMIFS(Imput[[Importe Neto]:[Importe Neto]],Imput[[C. Imp.]:[C. Imp.]],'Indirect Costs'!$C78,Imput[[PERIODO Imp.]:[PERIODO Imp.]],'Indirect Costs'!CU$8)</f>
        <v>0</v>
      </c>
      <c r="CV78" s="48">
        <f>SUMIFS(Imput[[Importe Neto]:[Importe Neto]],Imput[[C. Imp.]:[C. Imp.]],'Indirect Costs'!$C78,Imput[[PERIODO Imp.]:[PERIODO Imp.]],'Indirect Costs'!CV$8)</f>
        <v>0</v>
      </c>
      <c r="CW78" s="48">
        <f>SUMIFS(Imput[[Importe Neto]:[Importe Neto]],Imput[[C. Imp.]:[C. Imp.]],'Indirect Costs'!$C78,Imput[[PERIODO Imp.]:[PERIODO Imp.]],'Indirect Costs'!CW$8)</f>
        <v>0</v>
      </c>
      <c r="CX78" s="48">
        <f>SUMIFS(Imput[[Importe Neto]:[Importe Neto]],Imput[[C. Imp.]:[C. Imp.]],'Indirect Costs'!$C78,Imput[[PERIODO Imp.]:[PERIODO Imp.]],'Indirect Costs'!CX$8)</f>
        <v>0</v>
      </c>
      <c r="CY78" s="48">
        <f>SUMIFS(Imput[[Importe Neto]:[Importe Neto]],Imput[[C. Imp.]:[C. Imp.]],'Indirect Costs'!$C78,Imput[[PERIODO Imp.]:[PERIODO Imp.]],'Indirect Costs'!CY$8)</f>
        <v>0</v>
      </c>
      <c r="CZ78" s="48">
        <f>SUMIFS(Imput[[Importe Neto]:[Importe Neto]],Imput[[C. Imp.]:[C. Imp.]],'Indirect Costs'!$C78,Imput[[PERIODO Imp.]:[PERIODO Imp.]],'Indirect Costs'!CZ$8)</f>
        <v>0</v>
      </c>
      <c r="DA78" s="48">
        <f>SUMIFS(Imput[[Importe Neto]:[Importe Neto]],Imput[[C. Imp.]:[C. Imp.]],'Indirect Costs'!$C78,Imput[[PERIODO Imp.]:[PERIODO Imp.]],'Indirect Costs'!DA$8)</f>
        <v>0</v>
      </c>
      <c r="DB78" s="48">
        <f>SUMIFS(Imput[[Importe Neto]:[Importe Neto]],Imput[[C. Imp.]:[C. Imp.]],'Indirect Costs'!$C78,Imput[[PERIODO Imp.]:[PERIODO Imp.]],'Indirect Costs'!DB$8)</f>
        <v>0</v>
      </c>
      <c r="DC78" s="48">
        <f>SUMIFS(Imput[[Importe Neto]:[Importe Neto]],Imput[[C. Imp.]:[C. Imp.]],'Indirect Costs'!$C78,Imput[[PERIODO Imp.]:[PERIODO Imp.]],'Indirect Costs'!DC$8)</f>
        <v>0</v>
      </c>
      <c r="DD78" s="48">
        <f>SUMIFS(Imput[[Importe Neto]:[Importe Neto]],Imput[[C. Imp.]:[C. Imp.]],'Indirect Costs'!$C78,Imput[[PERIODO Imp.]:[PERIODO Imp.]],'Indirect Costs'!DD$8)</f>
        <v>0</v>
      </c>
      <c r="DE78" s="48">
        <f>SUMIFS(Imput[[Importe Neto]:[Importe Neto]],Imput[[C. Imp.]:[C. Imp.]],'Indirect Costs'!$C78,Imput[[PERIODO Imp.]:[PERIODO Imp.]],'Indirect Costs'!DE$8)</f>
        <v>0</v>
      </c>
      <c r="DF78" s="143">
        <f>SUMIFS(Imput[[Importe Neto]:[Importe Neto]],Imput[[C. Imp.]:[C. Imp.]],'Indirect Costs'!$C78,Imput[[PERIODO Imp.]:[PERIODO Imp.]],'Indirect Costs'!DF$8)</f>
        <v>0</v>
      </c>
    </row>
    <row r="79" spans="1:110" outlineLevel="1" x14ac:dyDescent="0.25">
      <c r="A79" s="28" t="str">
        <f t="shared" si="14"/>
        <v/>
      </c>
      <c r="B79" s="50">
        <v>8</v>
      </c>
      <c r="C79" s="57" t="s">
        <v>1808</v>
      </c>
      <c r="D79" s="56" t="s">
        <v>583</v>
      </c>
      <c r="E79" s="57" t="s">
        <v>583</v>
      </c>
      <c r="F79" s="58">
        <v>30000</v>
      </c>
      <c r="G79" s="49"/>
      <c r="H79" s="51">
        <v>1</v>
      </c>
      <c r="I79" s="505">
        <f t="shared" si="16"/>
        <v>0</v>
      </c>
      <c r="J79" s="47"/>
      <c r="K79" s="142"/>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143"/>
      <c r="BG79" s="47"/>
      <c r="BH79" s="509"/>
      <c r="BI79" s="505">
        <f t="shared" si="15"/>
        <v>0</v>
      </c>
      <c r="BJ79" s="47"/>
      <c r="BK79" s="142">
        <f>SUMIFS(Imput[[Importe Neto]:[Importe Neto]],Imput[[C. Imp.]:[C. Imp.]],'Indirect Costs'!$C79,Imput[[PERIODO Imp.]:[PERIODO Imp.]],'Indirect Costs'!BK$8)</f>
        <v>0</v>
      </c>
      <c r="BL79" s="48">
        <f>SUMIFS(Imput[[Importe Neto]:[Importe Neto]],Imput[[C. Imp.]:[C. Imp.]],'Indirect Costs'!$C79,Imput[[PERIODO Imp.]:[PERIODO Imp.]],'Indirect Costs'!BL$8)</f>
        <v>0</v>
      </c>
      <c r="BM79" s="48">
        <f>SUMIFS(Imput[[Importe Neto]:[Importe Neto]],Imput[[C. Imp.]:[C. Imp.]],'Indirect Costs'!$C79,Imput[[PERIODO Imp.]:[PERIODO Imp.]],'Indirect Costs'!BM$8)</f>
        <v>0</v>
      </c>
      <c r="BN79" s="48">
        <f>SUMIFS(Imput[[Importe Neto]:[Importe Neto]],Imput[[C. Imp.]:[C. Imp.]],'Indirect Costs'!$C79,Imput[[PERIODO Imp.]:[PERIODO Imp.]],'Indirect Costs'!BN$8)</f>
        <v>0</v>
      </c>
      <c r="BO79" s="48">
        <f>SUMIFS(Imput[[Importe Neto]:[Importe Neto]],Imput[[C. Imp.]:[C. Imp.]],'Indirect Costs'!$C79,Imput[[PERIODO Imp.]:[PERIODO Imp.]],'Indirect Costs'!BO$8)</f>
        <v>0</v>
      </c>
      <c r="BP79" s="48">
        <f>SUMIFS(Imput[[Importe Neto]:[Importe Neto]],Imput[[C. Imp.]:[C. Imp.]],'Indirect Costs'!$C79,Imput[[PERIODO Imp.]:[PERIODO Imp.]],'Indirect Costs'!BP$8)</f>
        <v>0</v>
      </c>
      <c r="BQ79" s="48">
        <f>SUMIFS(Imput[[Importe Neto]:[Importe Neto]],Imput[[C. Imp.]:[C. Imp.]],'Indirect Costs'!$C79,Imput[[PERIODO Imp.]:[PERIODO Imp.]],'Indirect Costs'!BQ$8)</f>
        <v>0</v>
      </c>
      <c r="BR79" s="48">
        <f>SUMIFS(Imput[[Importe Neto]:[Importe Neto]],Imput[[C. Imp.]:[C. Imp.]],'Indirect Costs'!$C79,Imput[[PERIODO Imp.]:[PERIODO Imp.]],'Indirect Costs'!BR$8)</f>
        <v>0</v>
      </c>
      <c r="BS79" s="48">
        <f>SUMIFS(Imput[[Importe Neto]:[Importe Neto]],Imput[[C. Imp.]:[C. Imp.]],'Indirect Costs'!$C79,Imput[[PERIODO Imp.]:[PERIODO Imp.]],'Indirect Costs'!BS$8)</f>
        <v>0</v>
      </c>
      <c r="BT79" s="48">
        <f>SUMIFS(Imput[[Importe Neto]:[Importe Neto]],Imput[[C. Imp.]:[C. Imp.]],'Indirect Costs'!$C79,Imput[[PERIODO Imp.]:[PERIODO Imp.]],'Indirect Costs'!BT$8)</f>
        <v>0</v>
      </c>
      <c r="BU79" s="48">
        <f>SUMIFS(Imput[[Importe Neto]:[Importe Neto]],Imput[[C. Imp.]:[C. Imp.]],'Indirect Costs'!$C79,Imput[[PERIODO Imp.]:[PERIODO Imp.]],'Indirect Costs'!BU$8)</f>
        <v>0</v>
      </c>
      <c r="BV79" s="48">
        <f>SUMIFS(Imput[[Importe Neto]:[Importe Neto]],Imput[[C. Imp.]:[C. Imp.]],'Indirect Costs'!$C79,Imput[[PERIODO Imp.]:[PERIODO Imp.]],'Indirect Costs'!BV$8)</f>
        <v>0</v>
      </c>
      <c r="BW79" s="48">
        <f>SUMIFS(Imput[[Importe Neto]:[Importe Neto]],Imput[[C. Imp.]:[C. Imp.]],'Indirect Costs'!$C79,Imput[[PERIODO Imp.]:[PERIODO Imp.]],'Indirect Costs'!BW$8)</f>
        <v>0</v>
      </c>
      <c r="BX79" s="48">
        <f>SUMIFS(Imput[[Importe Neto]:[Importe Neto]],Imput[[C. Imp.]:[C. Imp.]],'Indirect Costs'!$C79,Imput[[PERIODO Imp.]:[PERIODO Imp.]],'Indirect Costs'!BX$8)</f>
        <v>0</v>
      </c>
      <c r="BY79" s="48">
        <f>SUMIFS(Imput[[Importe Neto]:[Importe Neto]],Imput[[C. Imp.]:[C. Imp.]],'Indirect Costs'!$C79,Imput[[PERIODO Imp.]:[PERIODO Imp.]],'Indirect Costs'!BY$8)</f>
        <v>0</v>
      </c>
      <c r="BZ79" s="48">
        <f>SUMIFS(Imput[[Importe Neto]:[Importe Neto]],Imput[[C. Imp.]:[C. Imp.]],'Indirect Costs'!$C79,Imput[[PERIODO Imp.]:[PERIODO Imp.]],'Indirect Costs'!BZ$8)</f>
        <v>0</v>
      </c>
      <c r="CA79" s="48">
        <f>SUMIFS(Imput[[Importe Neto]:[Importe Neto]],Imput[[C. Imp.]:[C. Imp.]],'Indirect Costs'!$C79,Imput[[PERIODO Imp.]:[PERIODO Imp.]],'Indirect Costs'!CA$8)</f>
        <v>0</v>
      </c>
      <c r="CB79" s="48">
        <f>SUMIFS(Imput[[Importe Neto]:[Importe Neto]],Imput[[C. Imp.]:[C. Imp.]],'Indirect Costs'!$C79,Imput[[PERIODO Imp.]:[PERIODO Imp.]],'Indirect Costs'!CB$8)</f>
        <v>0</v>
      </c>
      <c r="CC79" s="48">
        <f>SUMIFS(Imput[[Importe Neto]:[Importe Neto]],Imput[[C. Imp.]:[C. Imp.]],'Indirect Costs'!$C79,Imput[[PERIODO Imp.]:[PERIODO Imp.]],'Indirect Costs'!CC$8)</f>
        <v>0</v>
      </c>
      <c r="CD79" s="48">
        <f>SUMIFS(Imput[[Importe Neto]:[Importe Neto]],Imput[[C. Imp.]:[C. Imp.]],'Indirect Costs'!$C79,Imput[[PERIODO Imp.]:[PERIODO Imp.]],'Indirect Costs'!CD$8)</f>
        <v>0</v>
      </c>
      <c r="CE79" s="48">
        <f>SUMIFS(Imput[[Importe Neto]:[Importe Neto]],Imput[[C. Imp.]:[C. Imp.]],'Indirect Costs'!$C79,Imput[[PERIODO Imp.]:[PERIODO Imp.]],'Indirect Costs'!CE$8)</f>
        <v>0</v>
      </c>
      <c r="CF79" s="48">
        <f>SUMIFS(Imput[[Importe Neto]:[Importe Neto]],Imput[[C. Imp.]:[C. Imp.]],'Indirect Costs'!$C79,Imput[[PERIODO Imp.]:[PERIODO Imp.]],'Indirect Costs'!CF$8)</f>
        <v>0</v>
      </c>
      <c r="CG79" s="48">
        <f>SUMIFS(Imput[[Importe Neto]:[Importe Neto]],Imput[[C. Imp.]:[C. Imp.]],'Indirect Costs'!$C79,Imput[[PERIODO Imp.]:[PERIODO Imp.]],'Indirect Costs'!CG$8)</f>
        <v>0</v>
      </c>
      <c r="CH79" s="48">
        <f>SUMIFS(Imput[[Importe Neto]:[Importe Neto]],Imput[[C. Imp.]:[C. Imp.]],'Indirect Costs'!$C79,Imput[[PERIODO Imp.]:[PERIODO Imp.]],'Indirect Costs'!CH$8)</f>
        <v>0</v>
      </c>
      <c r="CI79" s="48">
        <f>SUMIFS(Imput[[Importe Neto]:[Importe Neto]],Imput[[C. Imp.]:[C. Imp.]],'Indirect Costs'!$C79,Imput[[PERIODO Imp.]:[PERIODO Imp.]],'Indirect Costs'!CI$8)</f>
        <v>0</v>
      </c>
      <c r="CJ79" s="48">
        <f>SUMIFS(Imput[[Importe Neto]:[Importe Neto]],Imput[[C. Imp.]:[C. Imp.]],'Indirect Costs'!$C79,Imput[[PERIODO Imp.]:[PERIODO Imp.]],'Indirect Costs'!CJ$8)</f>
        <v>0</v>
      </c>
      <c r="CK79" s="48">
        <f>SUMIFS(Imput[[Importe Neto]:[Importe Neto]],Imput[[C. Imp.]:[C. Imp.]],'Indirect Costs'!$C79,Imput[[PERIODO Imp.]:[PERIODO Imp.]],'Indirect Costs'!CK$8)</f>
        <v>0</v>
      </c>
      <c r="CL79" s="48">
        <f>SUMIFS(Imput[[Importe Neto]:[Importe Neto]],Imput[[C. Imp.]:[C. Imp.]],'Indirect Costs'!$C79,Imput[[PERIODO Imp.]:[PERIODO Imp.]],'Indirect Costs'!CL$8)</f>
        <v>0</v>
      </c>
      <c r="CM79" s="48">
        <f>SUMIFS(Imput[[Importe Neto]:[Importe Neto]],Imput[[C. Imp.]:[C. Imp.]],'Indirect Costs'!$C79,Imput[[PERIODO Imp.]:[PERIODO Imp.]],'Indirect Costs'!CM$8)</f>
        <v>0</v>
      </c>
      <c r="CN79" s="48">
        <f>SUMIFS(Imput[[Importe Neto]:[Importe Neto]],Imput[[C. Imp.]:[C. Imp.]],'Indirect Costs'!$C79,Imput[[PERIODO Imp.]:[PERIODO Imp.]],'Indirect Costs'!CN$8)</f>
        <v>0</v>
      </c>
      <c r="CO79" s="48">
        <f>SUMIFS(Imput[[Importe Neto]:[Importe Neto]],Imput[[C. Imp.]:[C. Imp.]],'Indirect Costs'!$C79,Imput[[PERIODO Imp.]:[PERIODO Imp.]],'Indirect Costs'!CO$8)</f>
        <v>0</v>
      </c>
      <c r="CP79" s="48">
        <f>SUMIFS(Imput[[Importe Neto]:[Importe Neto]],Imput[[C. Imp.]:[C. Imp.]],'Indirect Costs'!$C79,Imput[[PERIODO Imp.]:[PERIODO Imp.]],'Indirect Costs'!CP$8)</f>
        <v>0</v>
      </c>
      <c r="CQ79" s="48">
        <f>SUMIFS(Imput[[Importe Neto]:[Importe Neto]],Imput[[C. Imp.]:[C. Imp.]],'Indirect Costs'!$C79,Imput[[PERIODO Imp.]:[PERIODO Imp.]],'Indirect Costs'!CQ$8)</f>
        <v>0</v>
      </c>
      <c r="CR79" s="48">
        <f>SUMIFS(Imput[[Importe Neto]:[Importe Neto]],Imput[[C. Imp.]:[C. Imp.]],'Indirect Costs'!$C79,Imput[[PERIODO Imp.]:[PERIODO Imp.]],'Indirect Costs'!CR$8)</f>
        <v>0</v>
      </c>
      <c r="CS79" s="48">
        <f>SUMIFS(Imput[[Importe Neto]:[Importe Neto]],Imput[[C. Imp.]:[C. Imp.]],'Indirect Costs'!$C79,Imput[[PERIODO Imp.]:[PERIODO Imp.]],'Indirect Costs'!CS$8)</f>
        <v>0</v>
      </c>
      <c r="CT79" s="48">
        <f>SUMIFS(Imput[[Importe Neto]:[Importe Neto]],Imput[[C. Imp.]:[C. Imp.]],'Indirect Costs'!$C79,Imput[[PERIODO Imp.]:[PERIODO Imp.]],'Indirect Costs'!CT$8)</f>
        <v>0</v>
      </c>
      <c r="CU79" s="48">
        <f>SUMIFS(Imput[[Importe Neto]:[Importe Neto]],Imput[[C. Imp.]:[C. Imp.]],'Indirect Costs'!$C79,Imput[[PERIODO Imp.]:[PERIODO Imp.]],'Indirect Costs'!CU$8)</f>
        <v>0</v>
      </c>
      <c r="CV79" s="48">
        <f>SUMIFS(Imput[[Importe Neto]:[Importe Neto]],Imput[[C. Imp.]:[C. Imp.]],'Indirect Costs'!$C79,Imput[[PERIODO Imp.]:[PERIODO Imp.]],'Indirect Costs'!CV$8)</f>
        <v>0</v>
      </c>
      <c r="CW79" s="48">
        <f>SUMIFS(Imput[[Importe Neto]:[Importe Neto]],Imput[[C. Imp.]:[C. Imp.]],'Indirect Costs'!$C79,Imput[[PERIODO Imp.]:[PERIODO Imp.]],'Indirect Costs'!CW$8)</f>
        <v>0</v>
      </c>
      <c r="CX79" s="48">
        <f>SUMIFS(Imput[[Importe Neto]:[Importe Neto]],Imput[[C. Imp.]:[C. Imp.]],'Indirect Costs'!$C79,Imput[[PERIODO Imp.]:[PERIODO Imp.]],'Indirect Costs'!CX$8)</f>
        <v>0</v>
      </c>
      <c r="CY79" s="48">
        <f>SUMIFS(Imput[[Importe Neto]:[Importe Neto]],Imput[[C. Imp.]:[C. Imp.]],'Indirect Costs'!$C79,Imput[[PERIODO Imp.]:[PERIODO Imp.]],'Indirect Costs'!CY$8)</f>
        <v>0</v>
      </c>
      <c r="CZ79" s="48">
        <f>SUMIFS(Imput[[Importe Neto]:[Importe Neto]],Imput[[C. Imp.]:[C. Imp.]],'Indirect Costs'!$C79,Imput[[PERIODO Imp.]:[PERIODO Imp.]],'Indirect Costs'!CZ$8)</f>
        <v>0</v>
      </c>
      <c r="DA79" s="48">
        <f>SUMIFS(Imput[[Importe Neto]:[Importe Neto]],Imput[[C. Imp.]:[C. Imp.]],'Indirect Costs'!$C79,Imput[[PERIODO Imp.]:[PERIODO Imp.]],'Indirect Costs'!DA$8)</f>
        <v>0</v>
      </c>
      <c r="DB79" s="48">
        <f>SUMIFS(Imput[[Importe Neto]:[Importe Neto]],Imput[[C. Imp.]:[C. Imp.]],'Indirect Costs'!$C79,Imput[[PERIODO Imp.]:[PERIODO Imp.]],'Indirect Costs'!DB$8)</f>
        <v>0</v>
      </c>
      <c r="DC79" s="48">
        <f>SUMIFS(Imput[[Importe Neto]:[Importe Neto]],Imput[[C. Imp.]:[C. Imp.]],'Indirect Costs'!$C79,Imput[[PERIODO Imp.]:[PERIODO Imp.]],'Indirect Costs'!DC$8)</f>
        <v>0</v>
      </c>
      <c r="DD79" s="48">
        <f>SUMIFS(Imput[[Importe Neto]:[Importe Neto]],Imput[[C. Imp.]:[C. Imp.]],'Indirect Costs'!$C79,Imput[[PERIODO Imp.]:[PERIODO Imp.]],'Indirect Costs'!DD$8)</f>
        <v>0</v>
      </c>
      <c r="DE79" s="48">
        <f>SUMIFS(Imput[[Importe Neto]:[Importe Neto]],Imput[[C. Imp.]:[C. Imp.]],'Indirect Costs'!$C79,Imput[[PERIODO Imp.]:[PERIODO Imp.]],'Indirect Costs'!DE$8)</f>
        <v>0</v>
      </c>
      <c r="DF79" s="143">
        <f>SUMIFS(Imput[[Importe Neto]:[Importe Neto]],Imput[[C. Imp.]:[C. Imp.]],'Indirect Costs'!$C79,Imput[[PERIODO Imp.]:[PERIODO Imp.]],'Indirect Costs'!DF$8)</f>
        <v>0</v>
      </c>
    </row>
    <row r="80" spans="1:110" outlineLevel="1" x14ac:dyDescent="0.25">
      <c r="A80" s="28" t="str">
        <f t="shared" si="14"/>
        <v/>
      </c>
      <c r="B80" s="50">
        <v>9</v>
      </c>
      <c r="C80" s="57" t="s">
        <v>1809</v>
      </c>
      <c r="D80" s="56" t="s">
        <v>584</v>
      </c>
      <c r="E80" s="57" t="s">
        <v>584</v>
      </c>
      <c r="F80" s="58">
        <v>5000</v>
      </c>
      <c r="G80" s="49"/>
      <c r="H80" s="51">
        <v>1</v>
      </c>
      <c r="I80" s="505">
        <f t="shared" si="16"/>
        <v>0</v>
      </c>
      <c r="J80" s="47"/>
      <c r="K80" s="142"/>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143"/>
      <c r="BG80" s="47"/>
      <c r="BH80" s="509"/>
      <c r="BI80" s="505">
        <f t="shared" si="15"/>
        <v>0</v>
      </c>
      <c r="BJ80" s="47"/>
      <c r="BK80" s="142">
        <f>SUMIFS(Imput[[Importe Neto]:[Importe Neto]],Imput[[C. Imp.]:[C. Imp.]],'Indirect Costs'!$C80,Imput[[PERIODO Imp.]:[PERIODO Imp.]],'Indirect Costs'!BK$8)</f>
        <v>0</v>
      </c>
      <c r="BL80" s="48">
        <f>SUMIFS(Imput[[Importe Neto]:[Importe Neto]],Imput[[C. Imp.]:[C. Imp.]],'Indirect Costs'!$C80,Imput[[PERIODO Imp.]:[PERIODO Imp.]],'Indirect Costs'!BL$8)</f>
        <v>0</v>
      </c>
      <c r="BM80" s="48">
        <f>SUMIFS(Imput[[Importe Neto]:[Importe Neto]],Imput[[C. Imp.]:[C. Imp.]],'Indirect Costs'!$C80,Imput[[PERIODO Imp.]:[PERIODO Imp.]],'Indirect Costs'!BM$8)</f>
        <v>0</v>
      </c>
      <c r="BN80" s="48">
        <f>SUMIFS(Imput[[Importe Neto]:[Importe Neto]],Imput[[C. Imp.]:[C. Imp.]],'Indirect Costs'!$C80,Imput[[PERIODO Imp.]:[PERIODO Imp.]],'Indirect Costs'!BN$8)</f>
        <v>0</v>
      </c>
      <c r="BO80" s="48">
        <f>SUMIFS(Imput[[Importe Neto]:[Importe Neto]],Imput[[C. Imp.]:[C. Imp.]],'Indirect Costs'!$C80,Imput[[PERIODO Imp.]:[PERIODO Imp.]],'Indirect Costs'!BO$8)</f>
        <v>0</v>
      </c>
      <c r="BP80" s="48">
        <f>SUMIFS(Imput[[Importe Neto]:[Importe Neto]],Imput[[C. Imp.]:[C. Imp.]],'Indirect Costs'!$C80,Imput[[PERIODO Imp.]:[PERIODO Imp.]],'Indirect Costs'!BP$8)</f>
        <v>0</v>
      </c>
      <c r="BQ80" s="48">
        <f>SUMIFS(Imput[[Importe Neto]:[Importe Neto]],Imput[[C. Imp.]:[C. Imp.]],'Indirect Costs'!$C80,Imput[[PERIODO Imp.]:[PERIODO Imp.]],'Indirect Costs'!BQ$8)</f>
        <v>0</v>
      </c>
      <c r="BR80" s="48">
        <f>SUMIFS(Imput[[Importe Neto]:[Importe Neto]],Imput[[C. Imp.]:[C. Imp.]],'Indirect Costs'!$C80,Imput[[PERIODO Imp.]:[PERIODO Imp.]],'Indirect Costs'!BR$8)</f>
        <v>0</v>
      </c>
      <c r="BS80" s="48">
        <f>SUMIFS(Imput[[Importe Neto]:[Importe Neto]],Imput[[C. Imp.]:[C. Imp.]],'Indirect Costs'!$C80,Imput[[PERIODO Imp.]:[PERIODO Imp.]],'Indirect Costs'!BS$8)</f>
        <v>0</v>
      </c>
      <c r="BT80" s="48">
        <f>SUMIFS(Imput[[Importe Neto]:[Importe Neto]],Imput[[C. Imp.]:[C. Imp.]],'Indirect Costs'!$C80,Imput[[PERIODO Imp.]:[PERIODO Imp.]],'Indirect Costs'!BT$8)</f>
        <v>0</v>
      </c>
      <c r="BU80" s="48">
        <f>SUMIFS(Imput[[Importe Neto]:[Importe Neto]],Imput[[C. Imp.]:[C. Imp.]],'Indirect Costs'!$C80,Imput[[PERIODO Imp.]:[PERIODO Imp.]],'Indirect Costs'!BU$8)</f>
        <v>0</v>
      </c>
      <c r="BV80" s="48">
        <f>SUMIFS(Imput[[Importe Neto]:[Importe Neto]],Imput[[C. Imp.]:[C. Imp.]],'Indirect Costs'!$C80,Imput[[PERIODO Imp.]:[PERIODO Imp.]],'Indirect Costs'!BV$8)</f>
        <v>0</v>
      </c>
      <c r="BW80" s="48">
        <f>SUMIFS(Imput[[Importe Neto]:[Importe Neto]],Imput[[C. Imp.]:[C. Imp.]],'Indirect Costs'!$C80,Imput[[PERIODO Imp.]:[PERIODO Imp.]],'Indirect Costs'!BW$8)</f>
        <v>0</v>
      </c>
      <c r="BX80" s="48">
        <f>SUMIFS(Imput[[Importe Neto]:[Importe Neto]],Imput[[C. Imp.]:[C. Imp.]],'Indirect Costs'!$C80,Imput[[PERIODO Imp.]:[PERIODO Imp.]],'Indirect Costs'!BX$8)</f>
        <v>0</v>
      </c>
      <c r="BY80" s="48">
        <f>SUMIFS(Imput[[Importe Neto]:[Importe Neto]],Imput[[C. Imp.]:[C. Imp.]],'Indirect Costs'!$C80,Imput[[PERIODO Imp.]:[PERIODO Imp.]],'Indirect Costs'!BY$8)</f>
        <v>0</v>
      </c>
      <c r="BZ80" s="48">
        <f>SUMIFS(Imput[[Importe Neto]:[Importe Neto]],Imput[[C. Imp.]:[C. Imp.]],'Indirect Costs'!$C80,Imput[[PERIODO Imp.]:[PERIODO Imp.]],'Indirect Costs'!BZ$8)</f>
        <v>0</v>
      </c>
      <c r="CA80" s="48">
        <f>SUMIFS(Imput[[Importe Neto]:[Importe Neto]],Imput[[C. Imp.]:[C. Imp.]],'Indirect Costs'!$C80,Imput[[PERIODO Imp.]:[PERIODO Imp.]],'Indirect Costs'!CA$8)</f>
        <v>0</v>
      </c>
      <c r="CB80" s="48">
        <f>SUMIFS(Imput[[Importe Neto]:[Importe Neto]],Imput[[C. Imp.]:[C. Imp.]],'Indirect Costs'!$C80,Imput[[PERIODO Imp.]:[PERIODO Imp.]],'Indirect Costs'!CB$8)</f>
        <v>0</v>
      </c>
      <c r="CC80" s="48">
        <f>SUMIFS(Imput[[Importe Neto]:[Importe Neto]],Imput[[C. Imp.]:[C. Imp.]],'Indirect Costs'!$C80,Imput[[PERIODO Imp.]:[PERIODO Imp.]],'Indirect Costs'!CC$8)</f>
        <v>0</v>
      </c>
      <c r="CD80" s="48">
        <f>SUMIFS(Imput[[Importe Neto]:[Importe Neto]],Imput[[C. Imp.]:[C. Imp.]],'Indirect Costs'!$C80,Imput[[PERIODO Imp.]:[PERIODO Imp.]],'Indirect Costs'!CD$8)</f>
        <v>0</v>
      </c>
      <c r="CE80" s="48">
        <f>SUMIFS(Imput[[Importe Neto]:[Importe Neto]],Imput[[C. Imp.]:[C. Imp.]],'Indirect Costs'!$C80,Imput[[PERIODO Imp.]:[PERIODO Imp.]],'Indirect Costs'!CE$8)</f>
        <v>0</v>
      </c>
      <c r="CF80" s="48">
        <f>SUMIFS(Imput[[Importe Neto]:[Importe Neto]],Imput[[C. Imp.]:[C. Imp.]],'Indirect Costs'!$C80,Imput[[PERIODO Imp.]:[PERIODO Imp.]],'Indirect Costs'!CF$8)</f>
        <v>0</v>
      </c>
      <c r="CG80" s="48">
        <f>SUMIFS(Imput[[Importe Neto]:[Importe Neto]],Imput[[C. Imp.]:[C. Imp.]],'Indirect Costs'!$C80,Imput[[PERIODO Imp.]:[PERIODO Imp.]],'Indirect Costs'!CG$8)</f>
        <v>0</v>
      </c>
      <c r="CH80" s="48">
        <f>SUMIFS(Imput[[Importe Neto]:[Importe Neto]],Imput[[C. Imp.]:[C. Imp.]],'Indirect Costs'!$C80,Imput[[PERIODO Imp.]:[PERIODO Imp.]],'Indirect Costs'!CH$8)</f>
        <v>0</v>
      </c>
      <c r="CI80" s="48">
        <f>SUMIFS(Imput[[Importe Neto]:[Importe Neto]],Imput[[C. Imp.]:[C. Imp.]],'Indirect Costs'!$C80,Imput[[PERIODO Imp.]:[PERIODO Imp.]],'Indirect Costs'!CI$8)</f>
        <v>0</v>
      </c>
      <c r="CJ80" s="48">
        <f>SUMIFS(Imput[[Importe Neto]:[Importe Neto]],Imput[[C. Imp.]:[C. Imp.]],'Indirect Costs'!$C80,Imput[[PERIODO Imp.]:[PERIODO Imp.]],'Indirect Costs'!CJ$8)</f>
        <v>0</v>
      </c>
      <c r="CK80" s="48">
        <f>SUMIFS(Imput[[Importe Neto]:[Importe Neto]],Imput[[C. Imp.]:[C. Imp.]],'Indirect Costs'!$C80,Imput[[PERIODO Imp.]:[PERIODO Imp.]],'Indirect Costs'!CK$8)</f>
        <v>0</v>
      </c>
      <c r="CL80" s="48">
        <f>SUMIFS(Imput[[Importe Neto]:[Importe Neto]],Imput[[C. Imp.]:[C. Imp.]],'Indirect Costs'!$C80,Imput[[PERIODO Imp.]:[PERIODO Imp.]],'Indirect Costs'!CL$8)</f>
        <v>0</v>
      </c>
      <c r="CM80" s="48">
        <f>SUMIFS(Imput[[Importe Neto]:[Importe Neto]],Imput[[C. Imp.]:[C. Imp.]],'Indirect Costs'!$C80,Imput[[PERIODO Imp.]:[PERIODO Imp.]],'Indirect Costs'!CM$8)</f>
        <v>0</v>
      </c>
      <c r="CN80" s="48">
        <f>SUMIFS(Imput[[Importe Neto]:[Importe Neto]],Imput[[C. Imp.]:[C. Imp.]],'Indirect Costs'!$C80,Imput[[PERIODO Imp.]:[PERIODO Imp.]],'Indirect Costs'!CN$8)</f>
        <v>0</v>
      </c>
      <c r="CO80" s="48">
        <f>SUMIFS(Imput[[Importe Neto]:[Importe Neto]],Imput[[C. Imp.]:[C. Imp.]],'Indirect Costs'!$C80,Imput[[PERIODO Imp.]:[PERIODO Imp.]],'Indirect Costs'!CO$8)</f>
        <v>0</v>
      </c>
      <c r="CP80" s="48">
        <f>SUMIFS(Imput[[Importe Neto]:[Importe Neto]],Imput[[C. Imp.]:[C. Imp.]],'Indirect Costs'!$C80,Imput[[PERIODO Imp.]:[PERIODO Imp.]],'Indirect Costs'!CP$8)</f>
        <v>0</v>
      </c>
      <c r="CQ80" s="48">
        <f>SUMIFS(Imput[[Importe Neto]:[Importe Neto]],Imput[[C. Imp.]:[C. Imp.]],'Indirect Costs'!$C80,Imput[[PERIODO Imp.]:[PERIODO Imp.]],'Indirect Costs'!CQ$8)</f>
        <v>0</v>
      </c>
      <c r="CR80" s="48">
        <f>SUMIFS(Imput[[Importe Neto]:[Importe Neto]],Imput[[C. Imp.]:[C. Imp.]],'Indirect Costs'!$C80,Imput[[PERIODO Imp.]:[PERIODO Imp.]],'Indirect Costs'!CR$8)</f>
        <v>0</v>
      </c>
      <c r="CS80" s="48">
        <f>SUMIFS(Imput[[Importe Neto]:[Importe Neto]],Imput[[C. Imp.]:[C. Imp.]],'Indirect Costs'!$C80,Imput[[PERIODO Imp.]:[PERIODO Imp.]],'Indirect Costs'!CS$8)</f>
        <v>0</v>
      </c>
      <c r="CT80" s="48">
        <f>SUMIFS(Imput[[Importe Neto]:[Importe Neto]],Imput[[C. Imp.]:[C. Imp.]],'Indirect Costs'!$C80,Imput[[PERIODO Imp.]:[PERIODO Imp.]],'Indirect Costs'!CT$8)</f>
        <v>0</v>
      </c>
      <c r="CU80" s="48">
        <f>SUMIFS(Imput[[Importe Neto]:[Importe Neto]],Imput[[C. Imp.]:[C. Imp.]],'Indirect Costs'!$C80,Imput[[PERIODO Imp.]:[PERIODO Imp.]],'Indirect Costs'!CU$8)</f>
        <v>0</v>
      </c>
      <c r="CV80" s="48">
        <f>SUMIFS(Imput[[Importe Neto]:[Importe Neto]],Imput[[C. Imp.]:[C. Imp.]],'Indirect Costs'!$C80,Imput[[PERIODO Imp.]:[PERIODO Imp.]],'Indirect Costs'!CV$8)</f>
        <v>0</v>
      </c>
      <c r="CW80" s="48">
        <f>SUMIFS(Imput[[Importe Neto]:[Importe Neto]],Imput[[C. Imp.]:[C. Imp.]],'Indirect Costs'!$C80,Imput[[PERIODO Imp.]:[PERIODO Imp.]],'Indirect Costs'!CW$8)</f>
        <v>0</v>
      </c>
      <c r="CX80" s="48">
        <f>SUMIFS(Imput[[Importe Neto]:[Importe Neto]],Imput[[C. Imp.]:[C. Imp.]],'Indirect Costs'!$C80,Imput[[PERIODO Imp.]:[PERIODO Imp.]],'Indirect Costs'!CX$8)</f>
        <v>0</v>
      </c>
      <c r="CY80" s="48">
        <f>SUMIFS(Imput[[Importe Neto]:[Importe Neto]],Imput[[C. Imp.]:[C. Imp.]],'Indirect Costs'!$C80,Imput[[PERIODO Imp.]:[PERIODO Imp.]],'Indirect Costs'!CY$8)</f>
        <v>0</v>
      </c>
      <c r="CZ80" s="48">
        <f>SUMIFS(Imput[[Importe Neto]:[Importe Neto]],Imput[[C. Imp.]:[C. Imp.]],'Indirect Costs'!$C80,Imput[[PERIODO Imp.]:[PERIODO Imp.]],'Indirect Costs'!CZ$8)</f>
        <v>0</v>
      </c>
      <c r="DA80" s="48">
        <f>SUMIFS(Imput[[Importe Neto]:[Importe Neto]],Imput[[C. Imp.]:[C. Imp.]],'Indirect Costs'!$C80,Imput[[PERIODO Imp.]:[PERIODO Imp.]],'Indirect Costs'!DA$8)</f>
        <v>0</v>
      </c>
      <c r="DB80" s="48">
        <f>SUMIFS(Imput[[Importe Neto]:[Importe Neto]],Imput[[C. Imp.]:[C. Imp.]],'Indirect Costs'!$C80,Imput[[PERIODO Imp.]:[PERIODO Imp.]],'Indirect Costs'!DB$8)</f>
        <v>0</v>
      </c>
      <c r="DC80" s="48">
        <f>SUMIFS(Imput[[Importe Neto]:[Importe Neto]],Imput[[C. Imp.]:[C. Imp.]],'Indirect Costs'!$C80,Imput[[PERIODO Imp.]:[PERIODO Imp.]],'Indirect Costs'!DC$8)</f>
        <v>0</v>
      </c>
      <c r="DD80" s="48">
        <f>SUMIFS(Imput[[Importe Neto]:[Importe Neto]],Imput[[C. Imp.]:[C. Imp.]],'Indirect Costs'!$C80,Imput[[PERIODO Imp.]:[PERIODO Imp.]],'Indirect Costs'!DD$8)</f>
        <v>0</v>
      </c>
      <c r="DE80" s="48">
        <f>SUMIFS(Imput[[Importe Neto]:[Importe Neto]],Imput[[C. Imp.]:[C. Imp.]],'Indirect Costs'!$C80,Imput[[PERIODO Imp.]:[PERIODO Imp.]],'Indirect Costs'!DE$8)</f>
        <v>0</v>
      </c>
      <c r="DF80" s="143">
        <f>SUMIFS(Imput[[Importe Neto]:[Importe Neto]],Imput[[C. Imp.]:[C. Imp.]],'Indirect Costs'!$C80,Imput[[PERIODO Imp.]:[PERIODO Imp.]],'Indirect Costs'!DF$8)</f>
        <v>0</v>
      </c>
    </row>
    <row r="81" spans="1:110" ht="14.4" outlineLevel="1" thickBot="1" x14ac:dyDescent="0.3">
      <c r="A81" s="28" t="str">
        <f t="shared" si="14"/>
        <v/>
      </c>
      <c r="B81" s="50">
        <v>10</v>
      </c>
      <c r="C81" s="57" t="s">
        <v>1810</v>
      </c>
      <c r="D81" s="56" t="s">
        <v>585</v>
      </c>
      <c r="E81" s="57" t="s">
        <v>585</v>
      </c>
      <c r="F81" s="58">
        <v>20000</v>
      </c>
      <c r="G81" s="49"/>
      <c r="H81" s="51">
        <v>1</v>
      </c>
      <c r="I81" s="505">
        <f t="shared" si="16"/>
        <v>0</v>
      </c>
      <c r="J81" s="47"/>
      <c r="K81" s="142"/>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143"/>
      <c r="BG81" s="47"/>
      <c r="BH81" s="509"/>
      <c r="BI81" s="505">
        <f t="shared" si="15"/>
        <v>1798.4640000000004</v>
      </c>
      <c r="BJ81" s="47"/>
      <c r="BK81" s="142">
        <f>SUMIFS(Imput[[Importe Neto]:[Importe Neto]],Imput[[C. Imp.]:[C. Imp.]],'Indirect Costs'!$C81,Imput[[PERIODO Imp.]:[PERIODO Imp.]],'Indirect Costs'!BK$8)</f>
        <v>0</v>
      </c>
      <c r="BL81" s="48">
        <f>SUMIFS(Imput[[Importe Neto]:[Importe Neto]],Imput[[C. Imp.]:[C. Imp.]],'Indirect Costs'!$C81,Imput[[PERIODO Imp.]:[PERIODO Imp.]],'Indirect Costs'!BL$8)</f>
        <v>0</v>
      </c>
      <c r="BM81" s="48">
        <f>SUMIFS(Imput[[Importe Neto]:[Importe Neto]],Imput[[C. Imp.]:[C. Imp.]],'Indirect Costs'!$C81,Imput[[PERIODO Imp.]:[PERIODO Imp.]],'Indirect Costs'!BM$8)</f>
        <v>0</v>
      </c>
      <c r="BN81" s="48">
        <f>SUMIFS(Imput[[Importe Neto]:[Importe Neto]],Imput[[C. Imp.]:[C. Imp.]],'Indirect Costs'!$C81,Imput[[PERIODO Imp.]:[PERIODO Imp.]],'Indirect Costs'!BN$8)</f>
        <v>0</v>
      </c>
      <c r="BO81" s="48">
        <f>SUMIFS(Imput[[Importe Neto]:[Importe Neto]],Imput[[C. Imp.]:[C. Imp.]],'Indirect Costs'!$C81,Imput[[PERIODO Imp.]:[PERIODO Imp.]],'Indirect Costs'!BO$8)</f>
        <v>0</v>
      </c>
      <c r="BP81" s="48">
        <f>SUMIFS(Imput[[Importe Neto]:[Importe Neto]],Imput[[C. Imp.]:[C. Imp.]],'Indirect Costs'!$C81,Imput[[PERIODO Imp.]:[PERIODO Imp.]],'Indirect Costs'!BP$8)</f>
        <v>290.98599999999999</v>
      </c>
      <c r="BQ81" s="48">
        <f>SUMIFS(Imput[[Importe Neto]:[Importe Neto]],Imput[[C. Imp.]:[C. Imp.]],'Indirect Costs'!$C81,Imput[[PERIODO Imp.]:[PERIODO Imp.]],'Indirect Costs'!BQ$8)</f>
        <v>1507.4780000000003</v>
      </c>
      <c r="BR81" s="48">
        <f>SUMIFS(Imput[[Importe Neto]:[Importe Neto]],Imput[[C. Imp.]:[C. Imp.]],'Indirect Costs'!$C81,Imput[[PERIODO Imp.]:[PERIODO Imp.]],'Indirect Costs'!BR$8)</f>
        <v>0</v>
      </c>
      <c r="BS81" s="48">
        <f>SUMIFS(Imput[[Importe Neto]:[Importe Neto]],Imput[[C. Imp.]:[C. Imp.]],'Indirect Costs'!$C81,Imput[[PERIODO Imp.]:[PERIODO Imp.]],'Indirect Costs'!BS$8)</f>
        <v>0</v>
      </c>
      <c r="BT81" s="48">
        <f>SUMIFS(Imput[[Importe Neto]:[Importe Neto]],Imput[[C. Imp.]:[C. Imp.]],'Indirect Costs'!$C81,Imput[[PERIODO Imp.]:[PERIODO Imp.]],'Indirect Costs'!BT$8)</f>
        <v>0</v>
      </c>
      <c r="BU81" s="48">
        <f>SUMIFS(Imput[[Importe Neto]:[Importe Neto]],Imput[[C. Imp.]:[C. Imp.]],'Indirect Costs'!$C81,Imput[[PERIODO Imp.]:[PERIODO Imp.]],'Indirect Costs'!BU$8)</f>
        <v>0</v>
      </c>
      <c r="BV81" s="48">
        <f>SUMIFS(Imput[[Importe Neto]:[Importe Neto]],Imput[[C. Imp.]:[C. Imp.]],'Indirect Costs'!$C81,Imput[[PERIODO Imp.]:[PERIODO Imp.]],'Indirect Costs'!BV$8)</f>
        <v>0</v>
      </c>
      <c r="BW81" s="48">
        <f>SUMIFS(Imput[[Importe Neto]:[Importe Neto]],Imput[[C. Imp.]:[C. Imp.]],'Indirect Costs'!$C81,Imput[[PERIODO Imp.]:[PERIODO Imp.]],'Indirect Costs'!BW$8)</f>
        <v>0</v>
      </c>
      <c r="BX81" s="48">
        <f>SUMIFS(Imput[[Importe Neto]:[Importe Neto]],Imput[[C. Imp.]:[C. Imp.]],'Indirect Costs'!$C81,Imput[[PERIODO Imp.]:[PERIODO Imp.]],'Indirect Costs'!BX$8)</f>
        <v>0</v>
      </c>
      <c r="BY81" s="48">
        <f>SUMIFS(Imput[[Importe Neto]:[Importe Neto]],Imput[[C. Imp.]:[C. Imp.]],'Indirect Costs'!$C81,Imput[[PERIODO Imp.]:[PERIODO Imp.]],'Indirect Costs'!BY$8)</f>
        <v>0</v>
      </c>
      <c r="BZ81" s="48">
        <f>SUMIFS(Imput[[Importe Neto]:[Importe Neto]],Imput[[C. Imp.]:[C. Imp.]],'Indirect Costs'!$C81,Imput[[PERIODO Imp.]:[PERIODO Imp.]],'Indirect Costs'!BZ$8)</f>
        <v>0</v>
      </c>
      <c r="CA81" s="48">
        <f>SUMIFS(Imput[[Importe Neto]:[Importe Neto]],Imput[[C. Imp.]:[C. Imp.]],'Indirect Costs'!$C81,Imput[[PERIODO Imp.]:[PERIODO Imp.]],'Indirect Costs'!CA$8)</f>
        <v>0</v>
      </c>
      <c r="CB81" s="48">
        <f>SUMIFS(Imput[[Importe Neto]:[Importe Neto]],Imput[[C. Imp.]:[C. Imp.]],'Indirect Costs'!$C81,Imput[[PERIODO Imp.]:[PERIODO Imp.]],'Indirect Costs'!CB$8)</f>
        <v>0</v>
      </c>
      <c r="CC81" s="48">
        <f>SUMIFS(Imput[[Importe Neto]:[Importe Neto]],Imput[[C. Imp.]:[C. Imp.]],'Indirect Costs'!$C81,Imput[[PERIODO Imp.]:[PERIODO Imp.]],'Indirect Costs'!CC$8)</f>
        <v>0</v>
      </c>
      <c r="CD81" s="48">
        <f>SUMIFS(Imput[[Importe Neto]:[Importe Neto]],Imput[[C. Imp.]:[C. Imp.]],'Indirect Costs'!$C81,Imput[[PERIODO Imp.]:[PERIODO Imp.]],'Indirect Costs'!CD$8)</f>
        <v>0</v>
      </c>
      <c r="CE81" s="48">
        <f>SUMIFS(Imput[[Importe Neto]:[Importe Neto]],Imput[[C. Imp.]:[C. Imp.]],'Indirect Costs'!$C81,Imput[[PERIODO Imp.]:[PERIODO Imp.]],'Indirect Costs'!CE$8)</f>
        <v>0</v>
      </c>
      <c r="CF81" s="48">
        <f>SUMIFS(Imput[[Importe Neto]:[Importe Neto]],Imput[[C. Imp.]:[C. Imp.]],'Indirect Costs'!$C81,Imput[[PERIODO Imp.]:[PERIODO Imp.]],'Indirect Costs'!CF$8)</f>
        <v>0</v>
      </c>
      <c r="CG81" s="48">
        <f>SUMIFS(Imput[[Importe Neto]:[Importe Neto]],Imput[[C. Imp.]:[C. Imp.]],'Indirect Costs'!$C81,Imput[[PERIODO Imp.]:[PERIODO Imp.]],'Indirect Costs'!CG$8)</f>
        <v>0</v>
      </c>
      <c r="CH81" s="48">
        <f>SUMIFS(Imput[[Importe Neto]:[Importe Neto]],Imput[[C. Imp.]:[C. Imp.]],'Indirect Costs'!$C81,Imput[[PERIODO Imp.]:[PERIODO Imp.]],'Indirect Costs'!CH$8)</f>
        <v>0</v>
      </c>
      <c r="CI81" s="48">
        <f>SUMIFS(Imput[[Importe Neto]:[Importe Neto]],Imput[[C. Imp.]:[C. Imp.]],'Indirect Costs'!$C81,Imput[[PERIODO Imp.]:[PERIODO Imp.]],'Indirect Costs'!CI$8)</f>
        <v>0</v>
      </c>
      <c r="CJ81" s="48">
        <f>SUMIFS(Imput[[Importe Neto]:[Importe Neto]],Imput[[C. Imp.]:[C. Imp.]],'Indirect Costs'!$C81,Imput[[PERIODO Imp.]:[PERIODO Imp.]],'Indirect Costs'!CJ$8)</f>
        <v>0</v>
      </c>
      <c r="CK81" s="48">
        <f>SUMIFS(Imput[[Importe Neto]:[Importe Neto]],Imput[[C. Imp.]:[C. Imp.]],'Indirect Costs'!$C81,Imput[[PERIODO Imp.]:[PERIODO Imp.]],'Indirect Costs'!CK$8)</f>
        <v>0</v>
      </c>
      <c r="CL81" s="48">
        <f>SUMIFS(Imput[[Importe Neto]:[Importe Neto]],Imput[[C. Imp.]:[C. Imp.]],'Indirect Costs'!$C81,Imput[[PERIODO Imp.]:[PERIODO Imp.]],'Indirect Costs'!CL$8)</f>
        <v>0</v>
      </c>
      <c r="CM81" s="48">
        <f>SUMIFS(Imput[[Importe Neto]:[Importe Neto]],Imput[[C. Imp.]:[C. Imp.]],'Indirect Costs'!$C81,Imput[[PERIODO Imp.]:[PERIODO Imp.]],'Indirect Costs'!CM$8)</f>
        <v>0</v>
      </c>
      <c r="CN81" s="48">
        <f>SUMIFS(Imput[[Importe Neto]:[Importe Neto]],Imput[[C. Imp.]:[C. Imp.]],'Indirect Costs'!$C81,Imput[[PERIODO Imp.]:[PERIODO Imp.]],'Indirect Costs'!CN$8)</f>
        <v>0</v>
      </c>
      <c r="CO81" s="48">
        <f>SUMIFS(Imput[[Importe Neto]:[Importe Neto]],Imput[[C. Imp.]:[C. Imp.]],'Indirect Costs'!$C81,Imput[[PERIODO Imp.]:[PERIODO Imp.]],'Indirect Costs'!CO$8)</f>
        <v>0</v>
      </c>
      <c r="CP81" s="48">
        <f>SUMIFS(Imput[[Importe Neto]:[Importe Neto]],Imput[[C. Imp.]:[C. Imp.]],'Indirect Costs'!$C81,Imput[[PERIODO Imp.]:[PERIODO Imp.]],'Indirect Costs'!CP$8)</f>
        <v>0</v>
      </c>
      <c r="CQ81" s="48">
        <f>SUMIFS(Imput[[Importe Neto]:[Importe Neto]],Imput[[C. Imp.]:[C. Imp.]],'Indirect Costs'!$C81,Imput[[PERIODO Imp.]:[PERIODO Imp.]],'Indirect Costs'!CQ$8)</f>
        <v>0</v>
      </c>
      <c r="CR81" s="48">
        <f>SUMIFS(Imput[[Importe Neto]:[Importe Neto]],Imput[[C. Imp.]:[C. Imp.]],'Indirect Costs'!$C81,Imput[[PERIODO Imp.]:[PERIODO Imp.]],'Indirect Costs'!CR$8)</f>
        <v>0</v>
      </c>
      <c r="CS81" s="48">
        <f>SUMIFS(Imput[[Importe Neto]:[Importe Neto]],Imput[[C. Imp.]:[C. Imp.]],'Indirect Costs'!$C81,Imput[[PERIODO Imp.]:[PERIODO Imp.]],'Indirect Costs'!CS$8)</f>
        <v>0</v>
      </c>
      <c r="CT81" s="48">
        <f>SUMIFS(Imput[[Importe Neto]:[Importe Neto]],Imput[[C. Imp.]:[C. Imp.]],'Indirect Costs'!$C81,Imput[[PERIODO Imp.]:[PERIODO Imp.]],'Indirect Costs'!CT$8)</f>
        <v>0</v>
      </c>
      <c r="CU81" s="48">
        <f>SUMIFS(Imput[[Importe Neto]:[Importe Neto]],Imput[[C. Imp.]:[C. Imp.]],'Indirect Costs'!$C81,Imput[[PERIODO Imp.]:[PERIODO Imp.]],'Indirect Costs'!CU$8)</f>
        <v>0</v>
      </c>
      <c r="CV81" s="48">
        <f>SUMIFS(Imput[[Importe Neto]:[Importe Neto]],Imput[[C. Imp.]:[C. Imp.]],'Indirect Costs'!$C81,Imput[[PERIODO Imp.]:[PERIODO Imp.]],'Indirect Costs'!CV$8)</f>
        <v>0</v>
      </c>
      <c r="CW81" s="48">
        <f>SUMIFS(Imput[[Importe Neto]:[Importe Neto]],Imput[[C. Imp.]:[C. Imp.]],'Indirect Costs'!$C81,Imput[[PERIODO Imp.]:[PERIODO Imp.]],'Indirect Costs'!CW$8)</f>
        <v>0</v>
      </c>
      <c r="CX81" s="48">
        <f>SUMIFS(Imput[[Importe Neto]:[Importe Neto]],Imput[[C. Imp.]:[C. Imp.]],'Indirect Costs'!$C81,Imput[[PERIODO Imp.]:[PERIODO Imp.]],'Indirect Costs'!CX$8)</f>
        <v>0</v>
      </c>
      <c r="CY81" s="48">
        <f>SUMIFS(Imput[[Importe Neto]:[Importe Neto]],Imput[[C. Imp.]:[C. Imp.]],'Indirect Costs'!$C81,Imput[[PERIODO Imp.]:[PERIODO Imp.]],'Indirect Costs'!CY$8)</f>
        <v>0</v>
      </c>
      <c r="CZ81" s="48">
        <f>SUMIFS(Imput[[Importe Neto]:[Importe Neto]],Imput[[C. Imp.]:[C. Imp.]],'Indirect Costs'!$C81,Imput[[PERIODO Imp.]:[PERIODO Imp.]],'Indirect Costs'!CZ$8)</f>
        <v>0</v>
      </c>
      <c r="DA81" s="48">
        <f>SUMIFS(Imput[[Importe Neto]:[Importe Neto]],Imput[[C. Imp.]:[C. Imp.]],'Indirect Costs'!$C81,Imput[[PERIODO Imp.]:[PERIODO Imp.]],'Indirect Costs'!DA$8)</f>
        <v>0</v>
      </c>
      <c r="DB81" s="48">
        <f>SUMIFS(Imput[[Importe Neto]:[Importe Neto]],Imput[[C. Imp.]:[C. Imp.]],'Indirect Costs'!$C81,Imput[[PERIODO Imp.]:[PERIODO Imp.]],'Indirect Costs'!DB$8)</f>
        <v>0</v>
      </c>
      <c r="DC81" s="48">
        <f>SUMIFS(Imput[[Importe Neto]:[Importe Neto]],Imput[[C. Imp.]:[C. Imp.]],'Indirect Costs'!$C81,Imput[[PERIODO Imp.]:[PERIODO Imp.]],'Indirect Costs'!DC$8)</f>
        <v>0</v>
      </c>
      <c r="DD81" s="48">
        <f>SUMIFS(Imput[[Importe Neto]:[Importe Neto]],Imput[[C. Imp.]:[C. Imp.]],'Indirect Costs'!$C81,Imput[[PERIODO Imp.]:[PERIODO Imp.]],'Indirect Costs'!DD$8)</f>
        <v>0</v>
      </c>
      <c r="DE81" s="48">
        <f>SUMIFS(Imput[[Importe Neto]:[Importe Neto]],Imput[[C. Imp.]:[C. Imp.]],'Indirect Costs'!$C81,Imput[[PERIODO Imp.]:[PERIODO Imp.]],'Indirect Costs'!DE$8)</f>
        <v>0</v>
      </c>
      <c r="DF81" s="143">
        <f>SUMIFS(Imput[[Importe Neto]:[Importe Neto]],Imput[[C. Imp.]:[C. Imp.]],'Indirect Costs'!$C81,Imput[[PERIODO Imp.]:[PERIODO Imp.]],'Indirect Costs'!DF$8)</f>
        <v>0</v>
      </c>
    </row>
    <row r="82" spans="1:110" ht="14.4" thickBot="1" x14ac:dyDescent="0.3">
      <c r="A82" s="28" t="str">
        <f t="shared" si="14"/>
        <v/>
      </c>
      <c r="B82" s="54"/>
      <c r="C82" s="36" t="s">
        <v>586</v>
      </c>
      <c r="D82" s="54" t="s">
        <v>587</v>
      </c>
      <c r="E82" s="36"/>
      <c r="F82" s="37"/>
      <c r="G82" s="55"/>
      <c r="H82" s="38"/>
      <c r="I82" s="39">
        <f>SUBTOTAL(9,I83:I90)</f>
        <v>0</v>
      </c>
      <c r="J82" s="45" t="s">
        <v>588</v>
      </c>
      <c r="K82" s="250">
        <f>SUMPRODUCT($F83:$F90,$G83:$G90,K83:K90)</f>
        <v>0</v>
      </c>
      <c r="L82" s="251">
        <f t="shared" ref="L82:BF82" si="17">SUMPRODUCT($F83:$F90,$G83:$G90,L83:L90)</f>
        <v>0</v>
      </c>
      <c r="M82" s="251">
        <f t="shared" si="17"/>
        <v>0</v>
      </c>
      <c r="N82" s="251">
        <f t="shared" si="17"/>
        <v>0</v>
      </c>
      <c r="O82" s="251">
        <f t="shared" si="17"/>
        <v>0</v>
      </c>
      <c r="P82" s="251">
        <f t="shared" si="17"/>
        <v>0</v>
      </c>
      <c r="Q82" s="251">
        <f t="shared" si="17"/>
        <v>0</v>
      </c>
      <c r="R82" s="251">
        <f t="shared" si="17"/>
        <v>0</v>
      </c>
      <c r="S82" s="251">
        <f t="shared" si="17"/>
        <v>0</v>
      </c>
      <c r="T82" s="251">
        <f t="shared" si="17"/>
        <v>0</v>
      </c>
      <c r="U82" s="251">
        <f t="shared" si="17"/>
        <v>0</v>
      </c>
      <c r="V82" s="251">
        <f t="shared" si="17"/>
        <v>0</v>
      </c>
      <c r="W82" s="251">
        <f t="shared" si="17"/>
        <v>0</v>
      </c>
      <c r="X82" s="251">
        <f t="shared" si="17"/>
        <v>0</v>
      </c>
      <c r="Y82" s="251">
        <f t="shared" si="17"/>
        <v>0</v>
      </c>
      <c r="Z82" s="251">
        <f t="shared" si="17"/>
        <v>0</v>
      </c>
      <c r="AA82" s="251">
        <f t="shared" si="17"/>
        <v>0</v>
      </c>
      <c r="AB82" s="251">
        <f t="shared" si="17"/>
        <v>0</v>
      </c>
      <c r="AC82" s="251">
        <f t="shared" si="17"/>
        <v>0</v>
      </c>
      <c r="AD82" s="251">
        <f t="shared" si="17"/>
        <v>0</v>
      </c>
      <c r="AE82" s="251">
        <f t="shared" si="17"/>
        <v>0</v>
      </c>
      <c r="AF82" s="251">
        <f t="shared" si="17"/>
        <v>0</v>
      </c>
      <c r="AG82" s="251">
        <f t="shared" si="17"/>
        <v>0</v>
      </c>
      <c r="AH82" s="251">
        <f t="shared" si="17"/>
        <v>0</v>
      </c>
      <c r="AI82" s="251">
        <f t="shared" si="17"/>
        <v>0</v>
      </c>
      <c r="AJ82" s="251">
        <f t="shared" si="17"/>
        <v>0</v>
      </c>
      <c r="AK82" s="251">
        <f t="shared" si="17"/>
        <v>0</v>
      </c>
      <c r="AL82" s="251">
        <f t="shared" si="17"/>
        <v>0</v>
      </c>
      <c r="AM82" s="251">
        <f t="shared" si="17"/>
        <v>0</v>
      </c>
      <c r="AN82" s="251">
        <f t="shared" si="17"/>
        <v>0</v>
      </c>
      <c r="AO82" s="251">
        <f t="shared" si="17"/>
        <v>0</v>
      </c>
      <c r="AP82" s="251">
        <f t="shared" si="17"/>
        <v>0</v>
      </c>
      <c r="AQ82" s="251">
        <f t="shared" si="17"/>
        <v>0</v>
      </c>
      <c r="AR82" s="251">
        <f t="shared" si="17"/>
        <v>0</v>
      </c>
      <c r="AS82" s="251">
        <f t="shared" si="17"/>
        <v>0</v>
      </c>
      <c r="AT82" s="251">
        <f t="shared" si="17"/>
        <v>0</v>
      </c>
      <c r="AU82" s="251">
        <f t="shared" si="17"/>
        <v>0</v>
      </c>
      <c r="AV82" s="251">
        <f t="shared" si="17"/>
        <v>0</v>
      </c>
      <c r="AW82" s="251">
        <f t="shared" si="17"/>
        <v>0</v>
      </c>
      <c r="AX82" s="251">
        <f t="shared" si="17"/>
        <v>0</v>
      </c>
      <c r="AY82" s="251">
        <f t="shared" si="17"/>
        <v>0</v>
      </c>
      <c r="AZ82" s="251">
        <f t="shared" si="17"/>
        <v>0</v>
      </c>
      <c r="BA82" s="251">
        <f t="shared" si="17"/>
        <v>0</v>
      </c>
      <c r="BB82" s="251">
        <f t="shared" si="17"/>
        <v>0</v>
      </c>
      <c r="BC82" s="251">
        <f t="shared" si="17"/>
        <v>0</v>
      </c>
      <c r="BD82" s="251">
        <f t="shared" si="17"/>
        <v>0</v>
      </c>
      <c r="BE82" s="251">
        <f t="shared" si="17"/>
        <v>0</v>
      </c>
      <c r="BF82" s="566">
        <f t="shared" si="17"/>
        <v>0</v>
      </c>
      <c r="BH82" s="165">
        <f>IFERROR(BI82/I82,0)</f>
        <v>0</v>
      </c>
      <c r="BI82" s="39">
        <f>SUBTOTAL(9,BI83:BI90)</f>
        <v>0</v>
      </c>
      <c r="BK82" s="137">
        <f>SUM(BK83:BK90)</f>
        <v>0</v>
      </c>
      <c r="BL82" s="138">
        <f t="shared" ref="BL82:DF82" si="18">SUM(BL83:BL90)</f>
        <v>0</v>
      </c>
      <c r="BM82" s="138">
        <f t="shared" si="18"/>
        <v>0</v>
      </c>
      <c r="BN82" s="138">
        <f t="shared" si="18"/>
        <v>0</v>
      </c>
      <c r="BO82" s="138">
        <f t="shared" si="18"/>
        <v>0</v>
      </c>
      <c r="BP82" s="138">
        <f t="shared" si="18"/>
        <v>0</v>
      </c>
      <c r="BQ82" s="138">
        <f t="shared" si="18"/>
        <v>0</v>
      </c>
      <c r="BR82" s="138">
        <f t="shared" si="18"/>
        <v>0</v>
      </c>
      <c r="BS82" s="138">
        <f t="shared" si="18"/>
        <v>0</v>
      </c>
      <c r="BT82" s="138">
        <f t="shared" si="18"/>
        <v>0</v>
      </c>
      <c r="BU82" s="138">
        <f t="shared" si="18"/>
        <v>0</v>
      </c>
      <c r="BV82" s="138">
        <f t="shared" si="18"/>
        <v>0</v>
      </c>
      <c r="BW82" s="138">
        <f t="shared" si="18"/>
        <v>0</v>
      </c>
      <c r="BX82" s="138">
        <f t="shared" si="18"/>
        <v>0</v>
      </c>
      <c r="BY82" s="138">
        <f t="shared" si="18"/>
        <v>0</v>
      </c>
      <c r="BZ82" s="138">
        <f t="shared" si="18"/>
        <v>0</v>
      </c>
      <c r="CA82" s="138">
        <f t="shared" si="18"/>
        <v>0</v>
      </c>
      <c r="CB82" s="138">
        <f t="shared" si="18"/>
        <v>0</v>
      </c>
      <c r="CC82" s="138">
        <f t="shared" si="18"/>
        <v>0</v>
      </c>
      <c r="CD82" s="138">
        <f t="shared" si="18"/>
        <v>0</v>
      </c>
      <c r="CE82" s="138">
        <f t="shared" si="18"/>
        <v>0</v>
      </c>
      <c r="CF82" s="138">
        <f t="shared" si="18"/>
        <v>0</v>
      </c>
      <c r="CG82" s="138">
        <f t="shared" si="18"/>
        <v>0</v>
      </c>
      <c r="CH82" s="138">
        <f t="shared" si="18"/>
        <v>0</v>
      </c>
      <c r="CI82" s="138">
        <f t="shared" si="18"/>
        <v>0</v>
      </c>
      <c r="CJ82" s="138">
        <f t="shared" si="18"/>
        <v>0</v>
      </c>
      <c r="CK82" s="138">
        <f t="shared" si="18"/>
        <v>0</v>
      </c>
      <c r="CL82" s="138">
        <f t="shared" si="18"/>
        <v>0</v>
      </c>
      <c r="CM82" s="138">
        <f t="shared" si="18"/>
        <v>0</v>
      </c>
      <c r="CN82" s="138">
        <f t="shared" si="18"/>
        <v>0</v>
      </c>
      <c r="CO82" s="138">
        <f t="shared" si="18"/>
        <v>0</v>
      </c>
      <c r="CP82" s="138">
        <f t="shared" si="18"/>
        <v>0</v>
      </c>
      <c r="CQ82" s="138">
        <f t="shared" si="18"/>
        <v>0</v>
      </c>
      <c r="CR82" s="138">
        <f t="shared" si="18"/>
        <v>0</v>
      </c>
      <c r="CS82" s="138">
        <f t="shared" si="18"/>
        <v>0</v>
      </c>
      <c r="CT82" s="138">
        <f t="shared" si="18"/>
        <v>0</v>
      </c>
      <c r="CU82" s="138">
        <f t="shared" si="18"/>
        <v>0</v>
      </c>
      <c r="CV82" s="138">
        <f t="shared" si="18"/>
        <v>0</v>
      </c>
      <c r="CW82" s="138">
        <f t="shared" si="18"/>
        <v>0</v>
      </c>
      <c r="CX82" s="138">
        <f t="shared" si="18"/>
        <v>0</v>
      </c>
      <c r="CY82" s="138">
        <f t="shared" si="18"/>
        <v>0</v>
      </c>
      <c r="CZ82" s="138">
        <f t="shared" si="18"/>
        <v>0</v>
      </c>
      <c r="DA82" s="138">
        <f t="shared" si="18"/>
        <v>0</v>
      </c>
      <c r="DB82" s="138">
        <f t="shared" si="18"/>
        <v>0</v>
      </c>
      <c r="DC82" s="138">
        <f t="shared" si="18"/>
        <v>0</v>
      </c>
      <c r="DD82" s="138">
        <f t="shared" si="18"/>
        <v>0</v>
      </c>
      <c r="DE82" s="138">
        <f t="shared" si="18"/>
        <v>0</v>
      </c>
      <c r="DF82" s="139">
        <f t="shared" si="18"/>
        <v>0</v>
      </c>
    </row>
    <row r="83" spans="1:110" outlineLevel="1" x14ac:dyDescent="0.25">
      <c r="A83" s="28" t="str">
        <f t="shared" si="14"/>
        <v/>
      </c>
      <c r="B83" s="50">
        <v>1</v>
      </c>
      <c r="C83" s="57" t="s">
        <v>1811</v>
      </c>
      <c r="D83" s="56" t="s">
        <v>589</v>
      </c>
      <c r="E83" s="57" t="s">
        <v>589</v>
      </c>
      <c r="F83" s="58">
        <v>30000</v>
      </c>
      <c r="G83" s="49"/>
      <c r="H83" s="51">
        <v>1</v>
      </c>
      <c r="I83" s="505">
        <f t="shared" ref="I83:I90" si="19">F83*G83*H83</f>
        <v>0</v>
      </c>
      <c r="J83" s="47"/>
      <c r="K83" s="142"/>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143"/>
      <c r="BG83" s="47"/>
      <c r="BH83" s="509"/>
      <c r="BI83" s="505">
        <f t="shared" si="15"/>
        <v>0</v>
      </c>
      <c r="BJ83" s="47"/>
      <c r="BK83" s="142">
        <f>SUMIFS(Imput[[Importe Neto]:[Importe Neto]],Imput[[C. Imp.]:[C. Imp.]],'Indirect Costs'!$C83,Imput[[PERIODO Imp.]:[PERIODO Imp.]],'Indirect Costs'!BK$8)</f>
        <v>0</v>
      </c>
      <c r="BL83" s="48">
        <f>SUMIFS(Imput[[Importe Neto]:[Importe Neto]],Imput[[C. Imp.]:[C. Imp.]],'Indirect Costs'!$C83,Imput[[PERIODO Imp.]:[PERIODO Imp.]],'Indirect Costs'!BL$8)</f>
        <v>0</v>
      </c>
      <c r="BM83" s="48">
        <f>SUMIFS(Imput[[Importe Neto]:[Importe Neto]],Imput[[C. Imp.]:[C. Imp.]],'Indirect Costs'!$C83,Imput[[PERIODO Imp.]:[PERIODO Imp.]],'Indirect Costs'!BM$8)</f>
        <v>0</v>
      </c>
      <c r="BN83" s="48">
        <f>SUMIFS(Imput[[Importe Neto]:[Importe Neto]],Imput[[C. Imp.]:[C. Imp.]],'Indirect Costs'!$C83,Imput[[PERIODO Imp.]:[PERIODO Imp.]],'Indirect Costs'!BN$8)</f>
        <v>0</v>
      </c>
      <c r="BO83" s="48">
        <f>SUMIFS(Imput[[Importe Neto]:[Importe Neto]],Imput[[C. Imp.]:[C. Imp.]],'Indirect Costs'!$C83,Imput[[PERIODO Imp.]:[PERIODO Imp.]],'Indirect Costs'!BO$8)</f>
        <v>0</v>
      </c>
      <c r="BP83" s="48">
        <f>SUMIFS(Imput[[Importe Neto]:[Importe Neto]],Imput[[C. Imp.]:[C. Imp.]],'Indirect Costs'!$C83,Imput[[PERIODO Imp.]:[PERIODO Imp.]],'Indirect Costs'!BP$8)</f>
        <v>0</v>
      </c>
      <c r="BQ83" s="48">
        <f>SUMIFS(Imput[[Importe Neto]:[Importe Neto]],Imput[[C. Imp.]:[C. Imp.]],'Indirect Costs'!$C83,Imput[[PERIODO Imp.]:[PERIODO Imp.]],'Indirect Costs'!BQ$8)</f>
        <v>0</v>
      </c>
      <c r="BR83" s="48">
        <f>SUMIFS(Imput[[Importe Neto]:[Importe Neto]],Imput[[C. Imp.]:[C. Imp.]],'Indirect Costs'!$C83,Imput[[PERIODO Imp.]:[PERIODO Imp.]],'Indirect Costs'!BR$8)</f>
        <v>0</v>
      </c>
      <c r="BS83" s="48">
        <f>SUMIFS(Imput[[Importe Neto]:[Importe Neto]],Imput[[C. Imp.]:[C. Imp.]],'Indirect Costs'!$C83,Imput[[PERIODO Imp.]:[PERIODO Imp.]],'Indirect Costs'!BS$8)</f>
        <v>0</v>
      </c>
      <c r="BT83" s="48">
        <f>SUMIFS(Imput[[Importe Neto]:[Importe Neto]],Imput[[C. Imp.]:[C. Imp.]],'Indirect Costs'!$C83,Imput[[PERIODO Imp.]:[PERIODO Imp.]],'Indirect Costs'!BT$8)</f>
        <v>0</v>
      </c>
      <c r="BU83" s="48">
        <f>SUMIFS(Imput[[Importe Neto]:[Importe Neto]],Imput[[C. Imp.]:[C. Imp.]],'Indirect Costs'!$C83,Imput[[PERIODO Imp.]:[PERIODO Imp.]],'Indirect Costs'!BU$8)</f>
        <v>0</v>
      </c>
      <c r="BV83" s="48">
        <f>SUMIFS(Imput[[Importe Neto]:[Importe Neto]],Imput[[C. Imp.]:[C. Imp.]],'Indirect Costs'!$C83,Imput[[PERIODO Imp.]:[PERIODO Imp.]],'Indirect Costs'!BV$8)</f>
        <v>0</v>
      </c>
      <c r="BW83" s="48">
        <f>SUMIFS(Imput[[Importe Neto]:[Importe Neto]],Imput[[C. Imp.]:[C. Imp.]],'Indirect Costs'!$C83,Imput[[PERIODO Imp.]:[PERIODO Imp.]],'Indirect Costs'!BW$8)</f>
        <v>0</v>
      </c>
      <c r="BX83" s="48">
        <f>SUMIFS(Imput[[Importe Neto]:[Importe Neto]],Imput[[C. Imp.]:[C. Imp.]],'Indirect Costs'!$C83,Imput[[PERIODO Imp.]:[PERIODO Imp.]],'Indirect Costs'!BX$8)</f>
        <v>0</v>
      </c>
      <c r="BY83" s="48">
        <f>SUMIFS(Imput[[Importe Neto]:[Importe Neto]],Imput[[C. Imp.]:[C. Imp.]],'Indirect Costs'!$C83,Imput[[PERIODO Imp.]:[PERIODO Imp.]],'Indirect Costs'!BY$8)</f>
        <v>0</v>
      </c>
      <c r="BZ83" s="48">
        <f>SUMIFS(Imput[[Importe Neto]:[Importe Neto]],Imput[[C. Imp.]:[C. Imp.]],'Indirect Costs'!$C83,Imput[[PERIODO Imp.]:[PERIODO Imp.]],'Indirect Costs'!BZ$8)</f>
        <v>0</v>
      </c>
      <c r="CA83" s="48">
        <f>SUMIFS(Imput[[Importe Neto]:[Importe Neto]],Imput[[C. Imp.]:[C. Imp.]],'Indirect Costs'!$C83,Imput[[PERIODO Imp.]:[PERIODO Imp.]],'Indirect Costs'!CA$8)</f>
        <v>0</v>
      </c>
      <c r="CB83" s="48">
        <f>SUMIFS(Imput[[Importe Neto]:[Importe Neto]],Imput[[C. Imp.]:[C. Imp.]],'Indirect Costs'!$C83,Imput[[PERIODO Imp.]:[PERIODO Imp.]],'Indirect Costs'!CB$8)</f>
        <v>0</v>
      </c>
      <c r="CC83" s="48">
        <f>SUMIFS(Imput[[Importe Neto]:[Importe Neto]],Imput[[C. Imp.]:[C. Imp.]],'Indirect Costs'!$C83,Imput[[PERIODO Imp.]:[PERIODO Imp.]],'Indirect Costs'!CC$8)</f>
        <v>0</v>
      </c>
      <c r="CD83" s="48">
        <f>SUMIFS(Imput[[Importe Neto]:[Importe Neto]],Imput[[C. Imp.]:[C. Imp.]],'Indirect Costs'!$C83,Imput[[PERIODO Imp.]:[PERIODO Imp.]],'Indirect Costs'!CD$8)</f>
        <v>0</v>
      </c>
      <c r="CE83" s="48">
        <f>SUMIFS(Imput[[Importe Neto]:[Importe Neto]],Imput[[C. Imp.]:[C. Imp.]],'Indirect Costs'!$C83,Imput[[PERIODO Imp.]:[PERIODO Imp.]],'Indirect Costs'!CE$8)</f>
        <v>0</v>
      </c>
      <c r="CF83" s="48">
        <f>SUMIFS(Imput[[Importe Neto]:[Importe Neto]],Imput[[C. Imp.]:[C. Imp.]],'Indirect Costs'!$C83,Imput[[PERIODO Imp.]:[PERIODO Imp.]],'Indirect Costs'!CF$8)</f>
        <v>0</v>
      </c>
      <c r="CG83" s="48">
        <f>SUMIFS(Imput[[Importe Neto]:[Importe Neto]],Imput[[C. Imp.]:[C. Imp.]],'Indirect Costs'!$C83,Imput[[PERIODO Imp.]:[PERIODO Imp.]],'Indirect Costs'!CG$8)</f>
        <v>0</v>
      </c>
      <c r="CH83" s="48">
        <f>SUMIFS(Imput[[Importe Neto]:[Importe Neto]],Imput[[C. Imp.]:[C. Imp.]],'Indirect Costs'!$C83,Imput[[PERIODO Imp.]:[PERIODO Imp.]],'Indirect Costs'!CH$8)</f>
        <v>0</v>
      </c>
      <c r="CI83" s="48">
        <f>SUMIFS(Imput[[Importe Neto]:[Importe Neto]],Imput[[C. Imp.]:[C. Imp.]],'Indirect Costs'!$C83,Imput[[PERIODO Imp.]:[PERIODO Imp.]],'Indirect Costs'!CI$8)</f>
        <v>0</v>
      </c>
      <c r="CJ83" s="48">
        <f>SUMIFS(Imput[[Importe Neto]:[Importe Neto]],Imput[[C. Imp.]:[C. Imp.]],'Indirect Costs'!$C83,Imput[[PERIODO Imp.]:[PERIODO Imp.]],'Indirect Costs'!CJ$8)</f>
        <v>0</v>
      </c>
      <c r="CK83" s="48">
        <f>SUMIFS(Imput[[Importe Neto]:[Importe Neto]],Imput[[C. Imp.]:[C. Imp.]],'Indirect Costs'!$C83,Imput[[PERIODO Imp.]:[PERIODO Imp.]],'Indirect Costs'!CK$8)</f>
        <v>0</v>
      </c>
      <c r="CL83" s="48">
        <f>SUMIFS(Imput[[Importe Neto]:[Importe Neto]],Imput[[C. Imp.]:[C. Imp.]],'Indirect Costs'!$C83,Imput[[PERIODO Imp.]:[PERIODO Imp.]],'Indirect Costs'!CL$8)</f>
        <v>0</v>
      </c>
      <c r="CM83" s="48">
        <f>SUMIFS(Imput[[Importe Neto]:[Importe Neto]],Imput[[C. Imp.]:[C. Imp.]],'Indirect Costs'!$C83,Imput[[PERIODO Imp.]:[PERIODO Imp.]],'Indirect Costs'!CM$8)</f>
        <v>0</v>
      </c>
      <c r="CN83" s="48">
        <f>SUMIFS(Imput[[Importe Neto]:[Importe Neto]],Imput[[C. Imp.]:[C. Imp.]],'Indirect Costs'!$C83,Imput[[PERIODO Imp.]:[PERIODO Imp.]],'Indirect Costs'!CN$8)</f>
        <v>0</v>
      </c>
      <c r="CO83" s="48">
        <f>SUMIFS(Imput[[Importe Neto]:[Importe Neto]],Imput[[C. Imp.]:[C. Imp.]],'Indirect Costs'!$C83,Imput[[PERIODO Imp.]:[PERIODO Imp.]],'Indirect Costs'!CO$8)</f>
        <v>0</v>
      </c>
      <c r="CP83" s="48">
        <f>SUMIFS(Imput[[Importe Neto]:[Importe Neto]],Imput[[C. Imp.]:[C. Imp.]],'Indirect Costs'!$C83,Imput[[PERIODO Imp.]:[PERIODO Imp.]],'Indirect Costs'!CP$8)</f>
        <v>0</v>
      </c>
      <c r="CQ83" s="48">
        <f>SUMIFS(Imput[[Importe Neto]:[Importe Neto]],Imput[[C. Imp.]:[C. Imp.]],'Indirect Costs'!$C83,Imput[[PERIODO Imp.]:[PERIODO Imp.]],'Indirect Costs'!CQ$8)</f>
        <v>0</v>
      </c>
      <c r="CR83" s="48">
        <f>SUMIFS(Imput[[Importe Neto]:[Importe Neto]],Imput[[C. Imp.]:[C. Imp.]],'Indirect Costs'!$C83,Imput[[PERIODO Imp.]:[PERIODO Imp.]],'Indirect Costs'!CR$8)</f>
        <v>0</v>
      </c>
      <c r="CS83" s="48">
        <f>SUMIFS(Imput[[Importe Neto]:[Importe Neto]],Imput[[C. Imp.]:[C. Imp.]],'Indirect Costs'!$C83,Imput[[PERIODO Imp.]:[PERIODO Imp.]],'Indirect Costs'!CS$8)</f>
        <v>0</v>
      </c>
      <c r="CT83" s="48">
        <f>SUMIFS(Imput[[Importe Neto]:[Importe Neto]],Imput[[C. Imp.]:[C. Imp.]],'Indirect Costs'!$C83,Imput[[PERIODO Imp.]:[PERIODO Imp.]],'Indirect Costs'!CT$8)</f>
        <v>0</v>
      </c>
      <c r="CU83" s="48">
        <f>SUMIFS(Imput[[Importe Neto]:[Importe Neto]],Imput[[C. Imp.]:[C. Imp.]],'Indirect Costs'!$C83,Imput[[PERIODO Imp.]:[PERIODO Imp.]],'Indirect Costs'!CU$8)</f>
        <v>0</v>
      </c>
      <c r="CV83" s="48">
        <f>SUMIFS(Imput[[Importe Neto]:[Importe Neto]],Imput[[C. Imp.]:[C. Imp.]],'Indirect Costs'!$C83,Imput[[PERIODO Imp.]:[PERIODO Imp.]],'Indirect Costs'!CV$8)</f>
        <v>0</v>
      </c>
      <c r="CW83" s="48">
        <f>SUMIFS(Imput[[Importe Neto]:[Importe Neto]],Imput[[C. Imp.]:[C. Imp.]],'Indirect Costs'!$C83,Imput[[PERIODO Imp.]:[PERIODO Imp.]],'Indirect Costs'!CW$8)</f>
        <v>0</v>
      </c>
      <c r="CX83" s="48">
        <f>SUMIFS(Imput[[Importe Neto]:[Importe Neto]],Imput[[C. Imp.]:[C. Imp.]],'Indirect Costs'!$C83,Imput[[PERIODO Imp.]:[PERIODO Imp.]],'Indirect Costs'!CX$8)</f>
        <v>0</v>
      </c>
      <c r="CY83" s="48">
        <f>SUMIFS(Imput[[Importe Neto]:[Importe Neto]],Imput[[C. Imp.]:[C. Imp.]],'Indirect Costs'!$C83,Imput[[PERIODO Imp.]:[PERIODO Imp.]],'Indirect Costs'!CY$8)</f>
        <v>0</v>
      </c>
      <c r="CZ83" s="48">
        <f>SUMIFS(Imput[[Importe Neto]:[Importe Neto]],Imput[[C. Imp.]:[C. Imp.]],'Indirect Costs'!$C83,Imput[[PERIODO Imp.]:[PERIODO Imp.]],'Indirect Costs'!CZ$8)</f>
        <v>0</v>
      </c>
      <c r="DA83" s="48">
        <f>SUMIFS(Imput[[Importe Neto]:[Importe Neto]],Imput[[C. Imp.]:[C. Imp.]],'Indirect Costs'!$C83,Imput[[PERIODO Imp.]:[PERIODO Imp.]],'Indirect Costs'!DA$8)</f>
        <v>0</v>
      </c>
      <c r="DB83" s="48">
        <f>SUMIFS(Imput[[Importe Neto]:[Importe Neto]],Imput[[C. Imp.]:[C. Imp.]],'Indirect Costs'!$C83,Imput[[PERIODO Imp.]:[PERIODO Imp.]],'Indirect Costs'!DB$8)</f>
        <v>0</v>
      </c>
      <c r="DC83" s="48">
        <f>SUMIFS(Imput[[Importe Neto]:[Importe Neto]],Imput[[C. Imp.]:[C. Imp.]],'Indirect Costs'!$C83,Imput[[PERIODO Imp.]:[PERIODO Imp.]],'Indirect Costs'!DC$8)</f>
        <v>0</v>
      </c>
      <c r="DD83" s="48">
        <f>SUMIFS(Imput[[Importe Neto]:[Importe Neto]],Imput[[C. Imp.]:[C. Imp.]],'Indirect Costs'!$C83,Imput[[PERIODO Imp.]:[PERIODO Imp.]],'Indirect Costs'!DD$8)</f>
        <v>0</v>
      </c>
      <c r="DE83" s="48">
        <f>SUMIFS(Imput[[Importe Neto]:[Importe Neto]],Imput[[C. Imp.]:[C. Imp.]],'Indirect Costs'!$C83,Imput[[PERIODO Imp.]:[PERIODO Imp.]],'Indirect Costs'!DE$8)</f>
        <v>0</v>
      </c>
      <c r="DF83" s="143">
        <f>SUMIFS(Imput[[Importe Neto]:[Importe Neto]],Imput[[C. Imp.]:[C. Imp.]],'Indirect Costs'!$C83,Imput[[PERIODO Imp.]:[PERIODO Imp.]],'Indirect Costs'!DF$8)</f>
        <v>0</v>
      </c>
    </row>
    <row r="84" spans="1:110" outlineLevel="1" x14ac:dyDescent="0.25">
      <c r="A84" s="28" t="str">
        <f t="shared" si="14"/>
        <v/>
      </c>
      <c r="B84" s="50">
        <v>2</v>
      </c>
      <c r="C84" s="57" t="s">
        <v>1758</v>
      </c>
      <c r="D84" s="56" t="s">
        <v>590</v>
      </c>
      <c r="E84" s="57" t="s">
        <v>590</v>
      </c>
      <c r="F84" s="58">
        <v>30000</v>
      </c>
      <c r="G84" s="49"/>
      <c r="H84" s="51">
        <v>1</v>
      </c>
      <c r="I84" s="505">
        <f t="shared" si="19"/>
        <v>0</v>
      </c>
      <c r="J84" s="47"/>
      <c r="K84" s="142"/>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143"/>
      <c r="BG84" s="47"/>
      <c r="BH84" s="509"/>
      <c r="BI84" s="505">
        <f t="shared" si="15"/>
        <v>0</v>
      </c>
      <c r="BJ84" s="47"/>
      <c r="BK84" s="142">
        <f>SUMIFS(Imput[[Importe Neto]:[Importe Neto]],Imput[[C. Imp.]:[C. Imp.]],'Indirect Costs'!$C84,Imput[[PERIODO Imp.]:[PERIODO Imp.]],'Indirect Costs'!BK$8)</f>
        <v>0</v>
      </c>
      <c r="BL84" s="48">
        <f>SUMIFS(Imput[[Importe Neto]:[Importe Neto]],Imput[[C. Imp.]:[C. Imp.]],'Indirect Costs'!$C84,Imput[[PERIODO Imp.]:[PERIODO Imp.]],'Indirect Costs'!BL$8)</f>
        <v>0</v>
      </c>
      <c r="BM84" s="48">
        <f>SUMIFS(Imput[[Importe Neto]:[Importe Neto]],Imput[[C. Imp.]:[C. Imp.]],'Indirect Costs'!$C84,Imput[[PERIODO Imp.]:[PERIODO Imp.]],'Indirect Costs'!BM$8)</f>
        <v>0</v>
      </c>
      <c r="BN84" s="48">
        <f>SUMIFS(Imput[[Importe Neto]:[Importe Neto]],Imput[[C. Imp.]:[C. Imp.]],'Indirect Costs'!$C84,Imput[[PERIODO Imp.]:[PERIODO Imp.]],'Indirect Costs'!BN$8)</f>
        <v>0</v>
      </c>
      <c r="BO84" s="48">
        <f>SUMIFS(Imput[[Importe Neto]:[Importe Neto]],Imput[[C. Imp.]:[C. Imp.]],'Indirect Costs'!$C84,Imput[[PERIODO Imp.]:[PERIODO Imp.]],'Indirect Costs'!BO$8)</f>
        <v>0</v>
      </c>
      <c r="BP84" s="48">
        <f>SUMIFS(Imput[[Importe Neto]:[Importe Neto]],Imput[[C. Imp.]:[C. Imp.]],'Indirect Costs'!$C84,Imput[[PERIODO Imp.]:[PERIODO Imp.]],'Indirect Costs'!BP$8)</f>
        <v>0</v>
      </c>
      <c r="BQ84" s="48">
        <f>SUMIFS(Imput[[Importe Neto]:[Importe Neto]],Imput[[C. Imp.]:[C. Imp.]],'Indirect Costs'!$C84,Imput[[PERIODO Imp.]:[PERIODO Imp.]],'Indirect Costs'!BQ$8)</f>
        <v>0</v>
      </c>
      <c r="BR84" s="48">
        <f>SUMIFS(Imput[[Importe Neto]:[Importe Neto]],Imput[[C. Imp.]:[C. Imp.]],'Indirect Costs'!$C84,Imput[[PERIODO Imp.]:[PERIODO Imp.]],'Indirect Costs'!BR$8)</f>
        <v>0</v>
      </c>
      <c r="BS84" s="48">
        <f>SUMIFS(Imput[[Importe Neto]:[Importe Neto]],Imput[[C. Imp.]:[C. Imp.]],'Indirect Costs'!$C84,Imput[[PERIODO Imp.]:[PERIODO Imp.]],'Indirect Costs'!BS$8)</f>
        <v>0</v>
      </c>
      <c r="BT84" s="48">
        <f>SUMIFS(Imput[[Importe Neto]:[Importe Neto]],Imput[[C. Imp.]:[C. Imp.]],'Indirect Costs'!$C84,Imput[[PERIODO Imp.]:[PERIODO Imp.]],'Indirect Costs'!BT$8)</f>
        <v>0</v>
      </c>
      <c r="BU84" s="48">
        <f>SUMIFS(Imput[[Importe Neto]:[Importe Neto]],Imput[[C. Imp.]:[C. Imp.]],'Indirect Costs'!$C84,Imput[[PERIODO Imp.]:[PERIODO Imp.]],'Indirect Costs'!BU$8)</f>
        <v>0</v>
      </c>
      <c r="BV84" s="48">
        <f>SUMIFS(Imput[[Importe Neto]:[Importe Neto]],Imput[[C. Imp.]:[C. Imp.]],'Indirect Costs'!$C84,Imput[[PERIODO Imp.]:[PERIODO Imp.]],'Indirect Costs'!BV$8)</f>
        <v>0</v>
      </c>
      <c r="BW84" s="48">
        <f>SUMIFS(Imput[[Importe Neto]:[Importe Neto]],Imput[[C. Imp.]:[C. Imp.]],'Indirect Costs'!$C84,Imput[[PERIODO Imp.]:[PERIODO Imp.]],'Indirect Costs'!BW$8)</f>
        <v>0</v>
      </c>
      <c r="BX84" s="48">
        <f>SUMIFS(Imput[[Importe Neto]:[Importe Neto]],Imput[[C. Imp.]:[C. Imp.]],'Indirect Costs'!$C84,Imput[[PERIODO Imp.]:[PERIODO Imp.]],'Indirect Costs'!BX$8)</f>
        <v>0</v>
      </c>
      <c r="BY84" s="48">
        <f>SUMIFS(Imput[[Importe Neto]:[Importe Neto]],Imput[[C. Imp.]:[C. Imp.]],'Indirect Costs'!$C84,Imput[[PERIODO Imp.]:[PERIODO Imp.]],'Indirect Costs'!BY$8)</f>
        <v>0</v>
      </c>
      <c r="BZ84" s="48">
        <f>SUMIFS(Imput[[Importe Neto]:[Importe Neto]],Imput[[C. Imp.]:[C. Imp.]],'Indirect Costs'!$C84,Imput[[PERIODO Imp.]:[PERIODO Imp.]],'Indirect Costs'!BZ$8)</f>
        <v>0</v>
      </c>
      <c r="CA84" s="48">
        <f>SUMIFS(Imput[[Importe Neto]:[Importe Neto]],Imput[[C. Imp.]:[C. Imp.]],'Indirect Costs'!$C84,Imput[[PERIODO Imp.]:[PERIODO Imp.]],'Indirect Costs'!CA$8)</f>
        <v>0</v>
      </c>
      <c r="CB84" s="48">
        <f>SUMIFS(Imput[[Importe Neto]:[Importe Neto]],Imput[[C. Imp.]:[C. Imp.]],'Indirect Costs'!$C84,Imput[[PERIODO Imp.]:[PERIODO Imp.]],'Indirect Costs'!CB$8)</f>
        <v>0</v>
      </c>
      <c r="CC84" s="48">
        <f>SUMIFS(Imput[[Importe Neto]:[Importe Neto]],Imput[[C. Imp.]:[C. Imp.]],'Indirect Costs'!$C84,Imput[[PERIODO Imp.]:[PERIODO Imp.]],'Indirect Costs'!CC$8)</f>
        <v>0</v>
      </c>
      <c r="CD84" s="48">
        <f>SUMIFS(Imput[[Importe Neto]:[Importe Neto]],Imput[[C. Imp.]:[C. Imp.]],'Indirect Costs'!$C84,Imput[[PERIODO Imp.]:[PERIODO Imp.]],'Indirect Costs'!CD$8)</f>
        <v>0</v>
      </c>
      <c r="CE84" s="48">
        <f>SUMIFS(Imput[[Importe Neto]:[Importe Neto]],Imput[[C. Imp.]:[C. Imp.]],'Indirect Costs'!$C84,Imput[[PERIODO Imp.]:[PERIODO Imp.]],'Indirect Costs'!CE$8)</f>
        <v>0</v>
      </c>
      <c r="CF84" s="48">
        <f>SUMIFS(Imput[[Importe Neto]:[Importe Neto]],Imput[[C. Imp.]:[C. Imp.]],'Indirect Costs'!$C84,Imput[[PERIODO Imp.]:[PERIODO Imp.]],'Indirect Costs'!CF$8)</f>
        <v>0</v>
      </c>
      <c r="CG84" s="48">
        <f>SUMIFS(Imput[[Importe Neto]:[Importe Neto]],Imput[[C. Imp.]:[C. Imp.]],'Indirect Costs'!$C84,Imput[[PERIODO Imp.]:[PERIODO Imp.]],'Indirect Costs'!CG$8)</f>
        <v>0</v>
      </c>
      <c r="CH84" s="48">
        <f>SUMIFS(Imput[[Importe Neto]:[Importe Neto]],Imput[[C. Imp.]:[C. Imp.]],'Indirect Costs'!$C84,Imput[[PERIODO Imp.]:[PERIODO Imp.]],'Indirect Costs'!CH$8)</f>
        <v>0</v>
      </c>
      <c r="CI84" s="48">
        <f>SUMIFS(Imput[[Importe Neto]:[Importe Neto]],Imput[[C. Imp.]:[C. Imp.]],'Indirect Costs'!$C84,Imput[[PERIODO Imp.]:[PERIODO Imp.]],'Indirect Costs'!CI$8)</f>
        <v>0</v>
      </c>
      <c r="CJ84" s="48">
        <f>SUMIFS(Imput[[Importe Neto]:[Importe Neto]],Imput[[C. Imp.]:[C. Imp.]],'Indirect Costs'!$C84,Imput[[PERIODO Imp.]:[PERIODO Imp.]],'Indirect Costs'!CJ$8)</f>
        <v>0</v>
      </c>
      <c r="CK84" s="48">
        <f>SUMIFS(Imput[[Importe Neto]:[Importe Neto]],Imput[[C. Imp.]:[C. Imp.]],'Indirect Costs'!$C84,Imput[[PERIODO Imp.]:[PERIODO Imp.]],'Indirect Costs'!CK$8)</f>
        <v>0</v>
      </c>
      <c r="CL84" s="48">
        <f>SUMIFS(Imput[[Importe Neto]:[Importe Neto]],Imput[[C. Imp.]:[C. Imp.]],'Indirect Costs'!$C84,Imput[[PERIODO Imp.]:[PERIODO Imp.]],'Indirect Costs'!CL$8)</f>
        <v>0</v>
      </c>
      <c r="CM84" s="48">
        <f>SUMIFS(Imput[[Importe Neto]:[Importe Neto]],Imput[[C. Imp.]:[C. Imp.]],'Indirect Costs'!$C84,Imput[[PERIODO Imp.]:[PERIODO Imp.]],'Indirect Costs'!CM$8)</f>
        <v>0</v>
      </c>
      <c r="CN84" s="48">
        <f>SUMIFS(Imput[[Importe Neto]:[Importe Neto]],Imput[[C. Imp.]:[C. Imp.]],'Indirect Costs'!$C84,Imput[[PERIODO Imp.]:[PERIODO Imp.]],'Indirect Costs'!CN$8)</f>
        <v>0</v>
      </c>
      <c r="CO84" s="48">
        <f>SUMIFS(Imput[[Importe Neto]:[Importe Neto]],Imput[[C. Imp.]:[C. Imp.]],'Indirect Costs'!$C84,Imput[[PERIODO Imp.]:[PERIODO Imp.]],'Indirect Costs'!CO$8)</f>
        <v>0</v>
      </c>
      <c r="CP84" s="48">
        <f>SUMIFS(Imput[[Importe Neto]:[Importe Neto]],Imput[[C. Imp.]:[C. Imp.]],'Indirect Costs'!$C84,Imput[[PERIODO Imp.]:[PERIODO Imp.]],'Indirect Costs'!CP$8)</f>
        <v>0</v>
      </c>
      <c r="CQ84" s="48">
        <f>SUMIFS(Imput[[Importe Neto]:[Importe Neto]],Imput[[C. Imp.]:[C. Imp.]],'Indirect Costs'!$C84,Imput[[PERIODO Imp.]:[PERIODO Imp.]],'Indirect Costs'!CQ$8)</f>
        <v>0</v>
      </c>
      <c r="CR84" s="48">
        <f>SUMIFS(Imput[[Importe Neto]:[Importe Neto]],Imput[[C. Imp.]:[C. Imp.]],'Indirect Costs'!$C84,Imput[[PERIODO Imp.]:[PERIODO Imp.]],'Indirect Costs'!CR$8)</f>
        <v>0</v>
      </c>
      <c r="CS84" s="48">
        <f>SUMIFS(Imput[[Importe Neto]:[Importe Neto]],Imput[[C. Imp.]:[C. Imp.]],'Indirect Costs'!$C84,Imput[[PERIODO Imp.]:[PERIODO Imp.]],'Indirect Costs'!CS$8)</f>
        <v>0</v>
      </c>
      <c r="CT84" s="48">
        <f>SUMIFS(Imput[[Importe Neto]:[Importe Neto]],Imput[[C. Imp.]:[C. Imp.]],'Indirect Costs'!$C84,Imput[[PERIODO Imp.]:[PERIODO Imp.]],'Indirect Costs'!CT$8)</f>
        <v>0</v>
      </c>
      <c r="CU84" s="48">
        <f>SUMIFS(Imput[[Importe Neto]:[Importe Neto]],Imput[[C. Imp.]:[C. Imp.]],'Indirect Costs'!$C84,Imput[[PERIODO Imp.]:[PERIODO Imp.]],'Indirect Costs'!CU$8)</f>
        <v>0</v>
      </c>
      <c r="CV84" s="48">
        <f>SUMIFS(Imput[[Importe Neto]:[Importe Neto]],Imput[[C. Imp.]:[C. Imp.]],'Indirect Costs'!$C84,Imput[[PERIODO Imp.]:[PERIODO Imp.]],'Indirect Costs'!CV$8)</f>
        <v>0</v>
      </c>
      <c r="CW84" s="48">
        <f>SUMIFS(Imput[[Importe Neto]:[Importe Neto]],Imput[[C. Imp.]:[C. Imp.]],'Indirect Costs'!$C84,Imput[[PERIODO Imp.]:[PERIODO Imp.]],'Indirect Costs'!CW$8)</f>
        <v>0</v>
      </c>
      <c r="CX84" s="48">
        <f>SUMIFS(Imput[[Importe Neto]:[Importe Neto]],Imput[[C. Imp.]:[C. Imp.]],'Indirect Costs'!$C84,Imput[[PERIODO Imp.]:[PERIODO Imp.]],'Indirect Costs'!CX$8)</f>
        <v>0</v>
      </c>
      <c r="CY84" s="48">
        <f>SUMIFS(Imput[[Importe Neto]:[Importe Neto]],Imput[[C. Imp.]:[C. Imp.]],'Indirect Costs'!$C84,Imput[[PERIODO Imp.]:[PERIODO Imp.]],'Indirect Costs'!CY$8)</f>
        <v>0</v>
      </c>
      <c r="CZ84" s="48">
        <f>SUMIFS(Imput[[Importe Neto]:[Importe Neto]],Imput[[C. Imp.]:[C. Imp.]],'Indirect Costs'!$C84,Imput[[PERIODO Imp.]:[PERIODO Imp.]],'Indirect Costs'!CZ$8)</f>
        <v>0</v>
      </c>
      <c r="DA84" s="48">
        <f>SUMIFS(Imput[[Importe Neto]:[Importe Neto]],Imput[[C. Imp.]:[C. Imp.]],'Indirect Costs'!$C84,Imput[[PERIODO Imp.]:[PERIODO Imp.]],'Indirect Costs'!DA$8)</f>
        <v>0</v>
      </c>
      <c r="DB84" s="48">
        <f>SUMIFS(Imput[[Importe Neto]:[Importe Neto]],Imput[[C. Imp.]:[C. Imp.]],'Indirect Costs'!$C84,Imput[[PERIODO Imp.]:[PERIODO Imp.]],'Indirect Costs'!DB$8)</f>
        <v>0</v>
      </c>
      <c r="DC84" s="48">
        <f>SUMIFS(Imput[[Importe Neto]:[Importe Neto]],Imput[[C. Imp.]:[C. Imp.]],'Indirect Costs'!$C84,Imput[[PERIODO Imp.]:[PERIODO Imp.]],'Indirect Costs'!DC$8)</f>
        <v>0</v>
      </c>
      <c r="DD84" s="48">
        <f>SUMIFS(Imput[[Importe Neto]:[Importe Neto]],Imput[[C. Imp.]:[C. Imp.]],'Indirect Costs'!$C84,Imput[[PERIODO Imp.]:[PERIODO Imp.]],'Indirect Costs'!DD$8)</f>
        <v>0</v>
      </c>
      <c r="DE84" s="48">
        <f>SUMIFS(Imput[[Importe Neto]:[Importe Neto]],Imput[[C. Imp.]:[C. Imp.]],'Indirect Costs'!$C84,Imput[[PERIODO Imp.]:[PERIODO Imp.]],'Indirect Costs'!DE$8)</f>
        <v>0</v>
      </c>
      <c r="DF84" s="143">
        <f>SUMIFS(Imput[[Importe Neto]:[Importe Neto]],Imput[[C. Imp.]:[C. Imp.]],'Indirect Costs'!$C84,Imput[[PERIODO Imp.]:[PERIODO Imp.]],'Indirect Costs'!DF$8)</f>
        <v>0</v>
      </c>
    </row>
    <row r="85" spans="1:110" outlineLevel="1" x14ac:dyDescent="0.25">
      <c r="A85" s="28" t="str">
        <f t="shared" si="14"/>
        <v/>
      </c>
      <c r="B85" s="50">
        <v>3</v>
      </c>
      <c r="C85" s="57" t="s">
        <v>1751</v>
      </c>
      <c r="D85" s="56" t="s">
        <v>591</v>
      </c>
      <c r="E85" s="57" t="s">
        <v>591</v>
      </c>
      <c r="F85" s="58">
        <v>30000</v>
      </c>
      <c r="G85" s="49"/>
      <c r="H85" s="51">
        <v>1</v>
      </c>
      <c r="I85" s="505">
        <f t="shared" si="19"/>
        <v>0</v>
      </c>
      <c r="J85" s="47"/>
      <c r="K85" s="142"/>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143"/>
      <c r="BG85" s="47"/>
      <c r="BH85" s="509"/>
      <c r="BI85" s="505">
        <f t="shared" si="15"/>
        <v>0</v>
      </c>
      <c r="BJ85" s="47"/>
      <c r="BK85" s="142">
        <f>SUMIFS(Imput[[Importe Neto]:[Importe Neto]],Imput[[C. Imp.]:[C. Imp.]],'Indirect Costs'!$C85,Imput[[PERIODO Imp.]:[PERIODO Imp.]],'Indirect Costs'!BK$8)</f>
        <v>0</v>
      </c>
      <c r="BL85" s="48">
        <f>SUMIFS(Imput[[Importe Neto]:[Importe Neto]],Imput[[C. Imp.]:[C. Imp.]],'Indirect Costs'!$C85,Imput[[PERIODO Imp.]:[PERIODO Imp.]],'Indirect Costs'!BL$8)</f>
        <v>0</v>
      </c>
      <c r="BM85" s="48">
        <f>SUMIFS(Imput[[Importe Neto]:[Importe Neto]],Imput[[C. Imp.]:[C. Imp.]],'Indirect Costs'!$C85,Imput[[PERIODO Imp.]:[PERIODO Imp.]],'Indirect Costs'!BM$8)</f>
        <v>0</v>
      </c>
      <c r="BN85" s="48">
        <f>SUMIFS(Imput[[Importe Neto]:[Importe Neto]],Imput[[C. Imp.]:[C. Imp.]],'Indirect Costs'!$C85,Imput[[PERIODO Imp.]:[PERIODO Imp.]],'Indirect Costs'!BN$8)</f>
        <v>0</v>
      </c>
      <c r="BO85" s="48">
        <f>SUMIFS(Imput[[Importe Neto]:[Importe Neto]],Imput[[C. Imp.]:[C. Imp.]],'Indirect Costs'!$C85,Imput[[PERIODO Imp.]:[PERIODO Imp.]],'Indirect Costs'!BO$8)</f>
        <v>0</v>
      </c>
      <c r="BP85" s="48">
        <f>SUMIFS(Imput[[Importe Neto]:[Importe Neto]],Imput[[C. Imp.]:[C. Imp.]],'Indirect Costs'!$C85,Imput[[PERIODO Imp.]:[PERIODO Imp.]],'Indirect Costs'!BP$8)</f>
        <v>0</v>
      </c>
      <c r="BQ85" s="48">
        <f>SUMIFS(Imput[[Importe Neto]:[Importe Neto]],Imput[[C. Imp.]:[C. Imp.]],'Indirect Costs'!$C85,Imput[[PERIODO Imp.]:[PERIODO Imp.]],'Indirect Costs'!BQ$8)</f>
        <v>0</v>
      </c>
      <c r="BR85" s="48">
        <f>SUMIFS(Imput[[Importe Neto]:[Importe Neto]],Imput[[C. Imp.]:[C. Imp.]],'Indirect Costs'!$C85,Imput[[PERIODO Imp.]:[PERIODO Imp.]],'Indirect Costs'!BR$8)</f>
        <v>0</v>
      </c>
      <c r="BS85" s="48">
        <f>SUMIFS(Imput[[Importe Neto]:[Importe Neto]],Imput[[C. Imp.]:[C. Imp.]],'Indirect Costs'!$C85,Imput[[PERIODO Imp.]:[PERIODO Imp.]],'Indirect Costs'!BS$8)</f>
        <v>0</v>
      </c>
      <c r="BT85" s="48">
        <f>SUMIFS(Imput[[Importe Neto]:[Importe Neto]],Imput[[C. Imp.]:[C. Imp.]],'Indirect Costs'!$C85,Imput[[PERIODO Imp.]:[PERIODO Imp.]],'Indirect Costs'!BT$8)</f>
        <v>0</v>
      </c>
      <c r="BU85" s="48">
        <f>SUMIFS(Imput[[Importe Neto]:[Importe Neto]],Imput[[C. Imp.]:[C. Imp.]],'Indirect Costs'!$C85,Imput[[PERIODO Imp.]:[PERIODO Imp.]],'Indirect Costs'!BU$8)</f>
        <v>0</v>
      </c>
      <c r="BV85" s="48">
        <f>SUMIFS(Imput[[Importe Neto]:[Importe Neto]],Imput[[C. Imp.]:[C. Imp.]],'Indirect Costs'!$C85,Imput[[PERIODO Imp.]:[PERIODO Imp.]],'Indirect Costs'!BV$8)</f>
        <v>0</v>
      </c>
      <c r="BW85" s="48">
        <f>SUMIFS(Imput[[Importe Neto]:[Importe Neto]],Imput[[C. Imp.]:[C. Imp.]],'Indirect Costs'!$C85,Imput[[PERIODO Imp.]:[PERIODO Imp.]],'Indirect Costs'!BW$8)</f>
        <v>0</v>
      </c>
      <c r="BX85" s="48">
        <f>SUMIFS(Imput[[Importe Neto]:[Importe Neto]],Imput[[C. Imp.]:[C. Imp.]],'Indirect Costs'!$C85,Imput[[PERIODO Imp.]:[PERIODO Imp.]],'Indirect Costs'!BX$8)</f>
        <v>0</v>
      </c>
      <c r="BY85" s="48">
        <f>SUMIFS(Imput[[Importe Neto]:[Importe Neto]],Imput[[C. Imp.]:[C. Imp.]],'Indirect Costs'!$C85,Imput[[PERIODO Imp.]:[PERIODO Imp.]],'Indirect Costs'!BY$8)</f>
        <v>0</v>
      </c>
      <c r="BZ85" s="48">
        <f>SUMIFS(Imput[[Importe Neto]:[Importe Neto]],Imput[[C. Imp.]:[C. Imp.]],'Indirect Costs'!$C85,Imput[[PERIODO Imp.]:[PERIODO Imp.]],'Indirect Costs'!BZ$8)</f>
        <v>0</v>
      </c>
      <c r="CA85" s="48">
        <f>SUMIFS(Imput[[Importe Neto]:[Importe Neto]],Imput[[C. Imp.]:[C. Imp.]],'Indirect Costs'!$C85,Imput[[PERIODO Imp.]:[PERIODO Imp.]],'Indirect Costs'!CA$8)</f>
        <v>0</v>
      </c>
      <c r="CB85" s="48">
        <f>SUMIFS(Imput[[Importe Neto]:[Importe Neto]],Imput[[C. Imp.]:[C. Imp.]],'Indirect Costs'!$C85,Imput[[PERIODO Imp.]:[PERIODO Imp.]],'Indirect Costs'!CB$8)</f>
        <v>0</v>
      </c>
      <c r="CC85" s="48">
        <f>SUMIFS(Imput[[Importe Neto]:[Importe Neto]],Imput[[C. Imp.]:[C. Imp.]],'Indirect Costs'!$C85,Imput[[PERIODO Imp.]:[PERIODO Imp.]],'Indirect Costs'!CC$8)</f>
        <v>0</v>
      </c>
      <c r="CD85" s="48">
        <f>SUMIFS(Imput[[Importe Neto]:[Importe Neto]],Imput[[C. Imp.]:[C. Imp.]],'Indirect Costs'!$C85,Imput[[PERIODO Imp.]:[PERIODO Imp.]],'Indirect Costs'!CD$8)</f>
        <v>0</v>
      </c>
      <c r="CE85" s="48">
        <f>SUMIFS(Imput[[Importe Neto]:[Importe Neto]],Imput[[C. Imp.]:[C. Imp.]],'Indirect Costs'!$C85,Imput[[PERIODO Imp.]:[PERIODO Imp.]],'Indirect Costs'!CE$8)</f>
        <v>0</v>
      </c>
      <c r="CF85" s="48">
        <f>SUMIFS(Imput[[Importe Neto]:[Importe Neto]],Imput[[C. Imp.]:[C. Imp.]],'Indirect Costs'!$C85,Imput[[PERIODO Imp.]:[PERIODO Imp.]],'Indirect Costs'!CF$8)</f>
        <v>0</v>
      </c>
      <c r="CG85" s="48">
        <f>SUMIFS(Imput[[Importe Neto]:[Importe Neto]],Imput[[C. Imp.]:[C. Imp.]],'Indirect Costs'!$C85,Imput[[PERIODO Imp.]:[PERIODO Imp.]],'Indirect Costs'!CG$8)</f>
        <v>0</v>
      </c>
      <c r="CH85" s="48">
        <f>SUMIFS(Imput[[Importe Neto]:[Importe Neto]],Imput[[C. Imp.]:[C. Imp.]],'Indirect Costs'!$C85,Imput[[PERIODO Imp.]:[PERIODO Imp.]],'Indirect Costs'!CH$8)</f>
        <v>0</v>
      </c>
      <c r="CI85" s="48">
        <f>SUMIFS(Imput[[Importe Neto]:[Importe Neto]],Imput[[C. Imp.]:[C. Imp.]],'Indirect Costs'!$C85,Imput[[PERIODO Imp.]:[PERIODO Imp.]],'Indirect Costs'!CI$8)</f>
        <v>0</v>
      </c>
      <c r="CJ85" s="48">
        <f>SUMIFS(Imput[[Importe Neto]:[Importe Neto]],Imput[[C. Imp.]:[C. Imp.]],'Indirect Costs'!$C85,Imput[[PERIODO Imp.]:[PERIODO Imp.]],'Indirect Costs'!CJ$8)</f>
        <v>0</v>
      </c>
      <c r="CK85" s="48">
        <f>SUMIFS(Imput[[Importe Neto]:[Importe Neto]],Imput[[C. Imp.]:[C. Imp.]],'Indirect Costs'!$C85,Imput[[PERIODO Imp.]:[PERIODO Imp.]],'Indirect Costs'!CK$8)</f>
        <v>0</v>
      </c>
      <c r="CL85" s="48">
        <f>SUMIFS(Imput[[Importe Neto]:[Importe Neto]],Imput[[C. Imp.]:[C. Imp.]],'Indirect Costs'!$C85,Imput[[PERIODO Imp.]:[PERIODO Imp.]],'Indirect Costs'!CL$8)</f>
        <v>0</v>
      </c>
      <c r="CM85" s="48">
        <f>SUMIFS(Imput[[Importe Neto]:[Importe Neto]],Imput[[C. Imp.]:[C. Imp.]],'Indirect Costs'!$C85,Imput[[PERIODO Imp.]:[PERIODO Imp.]],'Indirect Costs'!CM$8)</f>
        <v>0</v>
      </c>
      <c r="CN85" s="48">
        <f>SUMIFS(Imput[[Importe Neto]:[Importe Neto]],Imput[[C. Imp.]:[C. Imp.]],'Indirect Costs'!$C85,Imput[[PERIODO Imp.]:[PERIODO Imp.]],'Indirect Costs'!CN$8)</f>
        <v>0</v>
      </c>
      <c r="CO85" s="48">
        <f>SUMIFS(Imput[[Importe Neto]:[Importe Neto]],Imput[[C. Imp.]:[C. Imp.]],'Indirect Costs'!$C85,Imput[[PERIODO Imp.]:[PERIODO Imp.]],'Indirect Costs'!CO$8)</f>
        <v>0</v>
      </c>
      <c r="CP85" s="48">
        <f>SUMIFS(Imput[[Importe Neto]:[Importe Neto]],Imput[[C. Imp.]:[C. Imp.]],'Indirect Costs'!$C85,Imput[[PERIODO Imp.]:[PERIODO Imp.]],'Indirect Costs'!CP$8)</f>
        <v>0</v>
      </c>
      <c r="CQ85" s="48">
        <f>SUMIFS(Imput[[Importe Neto]:[Importe Neto]],Imput[[C. Imp.]:[C. Imp.]],'Indirect Costs'!$C85,Imput[[PERIODO Imp.]:[PERIODO Imp.]],'Indirect Costs'!CQ$8)</f>
        <v>0</v>
      </c>
      <c r="CR85" s="48">
        <f>SUMIFS(Imput[[Importe Neto]:[Importe Neto]],Imput[[C. Imp.]:[C. Imp.]],'Indirect Costs'!$C85,Imput[[PERIODO Imp.]:[PERIODO Imp.]],'Indirect Costs'!CR$8)</f>
        <v>0</v>
      </c>
      <c r="CS85" s="48">
        <f>SUMIFS(Imput[[Importe Neto]:[Importe Neto]],Imput[[C. Imp.]:[C. Imp.]],'Indirect Costs'!$C85,Imput[[PERIODO Imp.]:[PERIODO Imp.]],'Indirect Costs'!CS$8)</f>
        <v>0</v>
      </c>
      <c r="CT85" s="48">
        <f>SUMIFS(Imput[[Importe Neto]:[Importe Neto]],Imput[[C. Imp.]:[C. Imp.]],'Indirect Costs'!$C85,Imput[[PERIODO Imp.]:[PERIODO Imp.]],'Indirect Costs'!CT$8)</f>
        <v>0</v>
      </c>
      <c r="CU85" s="48">
        <f>SUMIFS(Imput[[Importe Neto]:[Importe Neto]],Imput[[C. Imp.]:[C. Imp.]],'Indirect Costs'!$C85,Imput[[PERIODO Imp.]:[PERIODO Imp.]],'Indirect Costs'!CU$8)</f>
        <v>0</v>
      </c>
      <c r="CV85" s="48">
        <f>SUMIFS(Imput[[Importe Neto]:[Importe Neto]],Imput[[C. Imp.]:[C. Imp.]],'Indirect Costs'!$C85,Imput[[PERIODO Imp.]:[PERIODO Imp.]],'Indirect Costs'!CV$8)</f>
        <v>0</v>
      </c>
      <c r="CW85" s="48">
        <f>SUMIFS(Imput[[Importe Neto]:[Importe Neto]],Imput[[C. Imp.]:[C. Imp.]],'Indirect Costs'!$C85,Imput[[PERIODO Imp.]:[PERIODO Imp.]],'Indirect Costs'!CW$8)</f>
        <v>0</v>
      </c>
      <c r="CX85" s="48">
        <f>SUMIFS(Imput[[Importe Neto]:[Importe Neto]],Imput[[C. Imp.]:[C. Imp.]],'Indirect Costs'!$C85,Imput[[PERIODO Imp.]:[PERIODO Imp.]],'Indirect Costs'!CX$8)</f>
        <v>0</v>
      </c>
      <c r="CY85" s="48">
        <f>SUMIFS(Imput[[Importe Neto]:[Importe Neto]],Imput[[C. Imp.]:[C. Imp.]],'Indirect Costs'!$C85,Imput[[PERIODO Imp.]:[PERIODO Imp.]],'Indirect Costs'!CY$8)</f>
        <v>0</v>
      </c>
      <c r="CZ85" s="48">
        <f>SUMIFS(Imput[[Importe Neto]:[Importe Neto]],Imput[[C. Imp.]:[C. Imp.]],'Indirect Costs'!$C85,Imput[[PERIODO Imp.]:[PERIODO Imp.]],'Indirect Costs'!CZ$8)</f>
        <v>0</v>
      </c>
      <c r="DA85" s="48">
        <f>SUMIFS(Imput[[Importe Neto]:[Importe Neto]],Imput[[C. Imp.]:[C. Imp.]],'Indirect Costs'!$C85,Imput[[PERIODO Imp.]:[PERIODO Imp.]],'Indirect Costs'!DA$8)</f>
        <v>0</v>
      </c>
      <c r="DB85" s="48">
        <f>SUMIFS(Imput[[Importe Neto]:[Importe Neto]],Imput[[C. Imp.]:[C. Imp.]],'Indirect Costs'!$C85,Imput[[PERIODO Imp.]:[PERIODO Imp.]],'Indirect Costs'!DB$8)</f>
        <v>0</v>
      </c>
      <c r="DC85" s="48">
        <f>SUMIFS(Imput[[Importe Neto]:[Importe Neto]],Imput[[C. Imp.]:[C. Imp.]],'Indirect Costs'!$C85,Imput[[PERIODO Imp.]:[PERIODO Imp.]],'Indirect Costs'!DC$8)</f>
        <v>0</v>
      </c>
      <c r="DD85" s="48">
        <f>SUMIFS(Imput[[Importe Neto]:[Importe Neto]],Imput[[C. Imp.]:[C. Imp.]],'Indirect Costs'!$C85,Imput[[PERIODO Imp.]:[PERIODO Imp.]],'Indirect Costs'!DD$8)</f>
        <v>0</v>
      </c>
      <c r="DE85" s="48">
        <f>SUMIFS(Imput[[Importe Neto]:[Importe Neto]],Imput[[C. Imp.]:[C. Imp.]],'Indirect Costs'!$C85,Imput[[PERIODO Imp.]:[PERIODO Imp.]],'Indirect Costs'!DE$8)</f>
        <v>0</v>
      </c>
      <c r="DF85" s="143">
        <f>SUMIFS(Imput[[Importe Neto]:[Importe Neto]],Imput[[C. Imp.]:[C. Imp.]],'Indirect Costs'!$C85,Imput[[PERIODO Imp.]:[PERIODO Imp.]],'Indirect Costs'!DF$8)</f>
        <v>0</v>
      </c>
    </row>
    <row r="86" spans="1:110" outlineLevel="1" x14ac:dyDescent="0.25">
      <c r="A86" s="28" t="str">
        <f t="shared" si="14"/>
        <v/>
      </c>
      <c r="B86" s="50">
        <v>4</v>
      </c>
      <c r="C86" s="57" t="s">
        <v>1742</v>
      </c>
      <c r="D86" s="56" t="s">
        <v>592</v>
      </c>
      <c r="E86" s="57" t="s">
        <v>592</v>
      </c>
      <c r="F86" s="58">
        <v>30000</v>
      </c>
      <c r="G86" s="49"/>
      <c r="H86" s="51">
        <v>1</v>
      </c>
      <c r="I86" s="505">
        <f t="shared" si="19"/>
        <v>0</v>
      </c>
      <c r="J86" s="47"/>
      <c r="K86" s="142"/>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143"/>
      <c r="BG86" s="47"/>
      <c r="BH86" s="509"/>
      <c r="BI86" s="505">
        <f t="shared" si="15"/>
        <v>0</v>
      </c>
      <c r="BJ86" s="47"/>
      <c r="BK86" s="142">
        <f>SUMIFS(Imput[[Importe Neto]:[Importe Neto]],Imput[[C. Imp.]:[C. Imp.]],'Indirect Costs'!$C86,Imput[[PERIODO Imp.]:[PERIODO Imp.]],'Indirect Costs'!BK$8)</f>
        <v>0</v>
      </c>
      <c r="BL86" s="48">
        <f>SUMIFS(Imput[[Importe Neto]:[Importe Neto]],Imput[[C. Imp.]:[C. Imp.]],'Indirect Costs'!$C86,Imput[[PERIODO Imp.]:[PERIODO Imp.]],'Indirect Costs'!BL$8)</f>
        <v>0</v>
      </c>
      <c r="BM86" s="48">
        <f>SUMIFS(Imput[[Importe Neto]:[Importe Neto]],Imput[[C. Imp.]:[C. Imp.]],'Indirect Costs'!$C86,Imput[[PERIODO Imp.]:[PERIODO Imp.]],'Indirect Costs'!BM$8)</f>
        <v>0</v>
      </c>
      <c r="BN86" s="48">
        <f>SUMIFS(Imput[[Importe Neto]:[Importe Neto]],Imput[[C. Imp.]:[C. Imp.]],'Indirect Costs'!$C86,Imput[[PERIODO Imp.]:[PERIODO Imp.]],'Indirect Costs'!BN$8)</f>
        <v>0</v>
      </c>
      <c r="BO86" s="48">
        <f>SUMIFS(Imput[[Importe Neto]:[Importe Neto]],Imput[[C. Imp.]:[C. Imp.]],'Indirect Costs'!$C86,Imput[[PERIODO Imp.]:[PERIODO Imp.]],'Indirect Costs'!BO$8)</f>
        <v>0</v>
      </c>
      <c r="BP86" s="48">
        <f>SUMIFS(Imput[[Importe Neto]:[Importe Neto]],Imput[[C. Imp.]:[C. Imp.]],'Indirect Costs'!$C86,Imput[[PERIODO Imp.]:[PERIODO Imp.]],'Indirect Costs'!BP$8)</f>
        <v>0</v>
      </c>
      <c r="BQ86" s="48">
        <f>SUMIFS(Imput[[Importe Neto]:[Importe Neto]],Imput[[C. Imp.]:[C. Imp.]],'Indirect Costs'!$C86,Imput[[PERIODO Imp.]:[PERIODO Imp.]],'Indirect Costs'!BQ$8)</f>
        <v>0</v>
      </c>
      <c r="BR86" s="48">
        <f>SUMIFS(Imput[[Importe Neto]:[Importe Neto]],Imput[[C. Imp.]:[C. Imp.]],'Indirect Costs'!$C86,Imput[[PERIODO Imp.]:[PERIODO Imp.]],'Indirect Costs'!BR$8)</f>
        <v>0</v>
      </c>
      <c r="BS86" s="48">
        <f>SUMIFS(Imput[[Importe Neto]:[Importe Neto]],Imput[[C. Imp.]:[C. Imp.]],'Indirect Costs'!$C86,Imput[[PERIODO Imp.]:[PERIODO Imp.]],'Indirect Costs'!BS$8)</f>
        <v>0</v>
      </c>
      <c r="BT86" s="48">
        <f>SUMIFS(Imput[[Importe Neto]:[Importe Neto]],Imput[[C. Imp.]:[C. Imp.]],'Indirect Costs'!$C86,Imput[[PERIODO Imp.]:[PERIODO Imp.]],'Indirect Costs'!BT$8)</f>
        <v>0</v>
      </c>
      <c r="BU86" s="48">
        <f>SUMIFS(Imput[[Importe Neto]:[Importe Neto]],Imput[[C. Imp.]:[C. Imp.]],'Indirect Costs'!$C86,Imput[[PERIODO Imp.]:[PERIODO Imp.]],'Indirect Costs'!BU$8)</f>
        <v>0</v>
      </c>
      <c r="BV86" s="48">
        <f>SUMIFS(Imput[[Importe Neto]:[Importe Neto]],Imput[[C. Imp.]:[C. Imp.]],'Indirect Costs'!$C86,Imput[[PERIODO Imp.]:[PERIODO Imp.]],'Indirect Costs'!BV$8)</f>
        <v>0</v>
      </c>
      <c r="BW86" s="48">
        <f>SUMIFS(Imput[[Importe Neto]:[Importe Neto]],Imput[[C. Imp.]:[C. Imp.]],'Indirect Costs'!$C86,Imput[[PERIODO Imp.]:[PERIODO Imp.]],'Indirect Costs'!BW$8)</f>
        <v>0</v>
      </c>
      <c r="BX86" s="48">
        <f>SUMIFS(Imput[[Importe Neto]:[Importe Neto]],Imput[[C. Imp.]:[C. Imp.]],'Indirect Costs'!$C86,Imput[[PERIODO Imp.]:[PERIODO Imp.]],'Indirect Costs'!BX$8)</f>
        <v>0</v>
      </c>
      <c r="BY86" s="48">
        <f>SUMIFS(Imput[[Importe Neto]:[Importe Neto]],Imput[[C. Imp.]:[C. Imp.]],'Indirect Costs'!$C86,Imput[[PERIODO Imp.]:[PERIODO Imp.]],'Indirect Costs'!BY$8)</f>
        <v>0</v>
      </c>
      <c r="BZ86" s="48">
        <f>SUMIFS(Imput[[Importe Neto]:[Importe Neto]],Imput[[C. Imp.]:[C. Imp.]],'Indirect Costs'!$C86,Imput[[PERIODO Imp.]:[PERIODO Imp.]],'Indirect Costs'!BZ$8)</f>
        <v>0</v>
      </c>
      <c r="CA86" s="48">
        <f>SUMIFS(Imput[[Importe Neto]:[Importe Neto]],Imput[[C. Imp.]:[C. Imp.]],'Indirect Costs'!$C86,Imput[[PERIODO Imp.]:[PERIODO Imp.]],'Indirect Costs'!CA$8)</f>
        <v>0</v>
      </c>
      <c r="CB86" s="48">
        <f>SUMIFS(Imput[[Importe Neto]:[Importe Neto]],Imput[[C. Imp.]:[C. Imp.]],'Indirect Costs'!$C86,Imput[[PERIODO Imp.]:[PERIODO Imp.]],'Indirect Costs'!CB$8)</f>
        <v>0</v>
      </c>
      <c r="CC86" s="48">
        <f>SUMIFS(Imput[[Importe Neto]:[Importe Neto]],Imput[[C. Imp.]:[C. Imp.]],'Indirect Costs'!$C86,Imput[[PERIODO Imp.]:[PERIODO Imp.]],'Indirect Costs'!CC$8)</f>
        <v>0</v>
      </c>
      <c r="CD86" s="48">
        <f>SUMIFS(Imput[[Importe Neto]:[Importe Neto]],Imput[[C. Imp.]:[C. Imp.]],'Indirect Costs'!$C86,Imput[[PERIODO Imp.]:[PERIODO Imp.]],'Indirect Costs'!CD$8)</f>
        <v>0</v>
      </c>
      <c r="CE86" s="48">
        <f>SUMIFS(Imput[[Importe Neto]:[Importe Neto]],Imput[[C. Imp.]:[C. Imp.]],'Indirect Costs'!$C86,Imput[[PERIODO Imp.]:[PERIODO Imp.]],'Indirect Costs'!CE$8)</f>
        <v>0</v>
      </c>
      <c r="CF86" s="48">
        <f>SUMIFS(Imput[[Importe Neto]:[Importe Neto]],Imput[[C. Imp.]:[C. Imp.]],'Indirect Costs'!$C86,Imput[[PERIODO Imp.]:[PERIODO Imp.]],'Indirect Costs'!CF$8)</f>
        <v>0</v>
      </c>
      <c r="CG86" s="48">
        <f>SUMIFS(Imput[[Importe Neto]:[Importe Neto]],Imput[[C. Imp.]:[C. Imp.]],'Indirect Costs'!$C86,Imput[[PERIODO Imp.]:[PERIODO Imp.]],'Indirect Costs'!CG$8)</f>
        <v>0</v>
      </c>
      <c r="CH86" s="48">
        <f>SUMIFS(Imput[[Importe Neto]:[Importe Neto]],Imput[[C. Imp.]:[C. Imp.]],'Indirect Costs'!$C86,Imput[[PERIODO Imp.]:[PERIODO Imp.]],'Indirect Costs'!CH$8)</f>
        <v>0</v>
      </c>
      <c r="CI86" s="48">
        <f>SUMIFS(Imput[[Importe Neto]:[Importe Neto]],Imput[[C. Imp.]:[C. Imp.]],'Indirect Costs'!$C86,Imput[[PERIODO Imp.]:[PERIODO Imp.]],'Indirect Costs'!CI$8)</f>
        <v>0</v>
      </c>
      <c r="CJ86" s="48">
        <f>SUMIFS(Imput[[Importe Neto]:[Importe Neto]],Imput[[C. Imp.]:[C. Imp.]],'Indirect Costs'!$C86,Imput[[PERIODO Imp.]:[PERIODO Imp.]],'Indirect Costs'!CJ$8)</f>
        <v>0</v>
      </c>
      <c r="CK86" s="48">
        <f>SUMIFS(Imput[[Importe Neto]:[Importe Neto]],Imput[[C. Imp.]:[C. Imp.]],'Indirect Costs'!$C86,Imput[[PERIODO Imp.]:[PERIODO Imp.]],'Indirect Costs'!CK$8)</f>
        <v>0</v>
      </c>
      <c r="CL86" s="48">
        <f>SUMIFS(Imput[[Importe Neto]:[Importe Neto]],Imput[[C. Imp.]:[C. Imp.]],'Indirect Costs'!$C86,Imput[[PERIODO Imp.]:[PERIODO Imp.]],'Indirect Costs'!CL$8)</f>
        <v>0</v>
      </c>
      <c r="CM86" s="48">
        <f>SUMIFS(Imput[[Importe Neto]:[Importe Neto]],Imput[[C. Imp.]:[C. Imp.]],'Indirect Costs'!$C86,Imput[[PERIODO Imp.]:[PERIODO Imp.]],'Indirect Costs'!CM$8)</f>
        <v>0</v>
      </c>
      <c r="CN86" s="48">
        <f>SUMIFS(Imput[[Importe Neto]:[Importe Neto]],Imput[[C. Imp.]:[C. Imp.]],'Indirect Costs'!$C86,Imput[[PERIODO Imp.]:[PERIODO Imp.]],'Indirect Costs'!CN$8)</f>
        <v>0</v>
      </c>
      <c r="CO86" s="48">
        <f>SUMIFS(Imput[[Importe Neto]:[Importe Neto]],Imput[[C. Imp.]:[C. Imp.]],'Indirect Costs'!$C86,Imput[[PERIODO Imp.]:[PERIODO Imp.]],'Indirect Costs'!CO$8)</f>
        <v>0</v>
      </c>
      <c r="CP86" s="48">
        <f>SUMIFS(Imput[[Importe Neto]:[Importe Neto]],Imput[[C. Imp.]:[C. Imp.]],'Indirect Costs'!$C86,Imput[[PERIODO Imp.]:[PERIODO Imp.]],'Indirect Costs'!CP$8)</f>
        <v>0</v>
      </c>
      <c r="CQ86" s="48">
        <f>SUMIFS(Imput[[Importe Neto]:[Importe Neto]],Imput[[C. Imp.]:[C. Imp.]],'Indirect Costs'!$C86,Imput[[PERIODO Imp.]:[PERIODO Imp.]],'Indirect Costs'!CQ$8)</f>
        <v>0</v>
      </c>
      <c r="CR86" s="48">
        <f>SUMIFS(Imput[[Importe Neto]:[Importe Neto]],Imput[[C. Imp.]:[C. Imp.]],'Indirect Costs'!$C86,Imput[[PERIODO Imp.]:[PERIODO Imp.]],'Indirect Costs'!CR$8)</f>
        <v>0</v>
      </c>
      <c r="CS86" s="48">
        <f>SUMIFS(Imput[[Importe Neto]:[Importe Neto]],Imput[[C. Imp.]:[C. Imp.]],'Indirect Costs'!$C86,Imput[[PERIODO Imp.]:[PERIODO Imp.]],'Indirect Costs'!CS$8)</f>
        <v>0</v>
      </c>
      <c r="CT86" s="48">
        <f>SUMIFS(Imput[[Importe Neto]:[Importe Neto]],Imput[[C. Imp.]:[C. Imp.]],'Indirect Costs'!$C86,Imput[[PERIODO Imp.]:[PERIODO Imp.]],'Indirect Costs'!CT$8)</f>
        <v>0</v>
      </c>
      <c r="CU86" s="48">
        <f>SUMIFS(Imput[[Importe Neto]:[Importe Neto]],Imput[[C. Imp.]:[C. Imp.]],'Indirect Costs'!$C86,Imput[[PERIODO Imp.]:[PERIODO Imp.]],'Indirect Costs'!CU$8)</f>
        <v>0</v>
      </c>
      <c r="CV86" s="48">
        <f>SUMIFS(Imput[[Importe Neto]:[Importe Neto]],Imput[[C. Imp.]:[C. Imp.]],'Indirect Costs'!$C86,Imput[[PERIODO Imp.]:[PERIODO Imp.]],'Indirect Costs'!CV$8)</f>
        <v>0</v>
      </c>
      <c r="CW86" s="48">
        <f>SUMIFS(Imput[[Importe Neto]:[Importe Neto]],Imput[[C. Imp.]:[C. Imp.]],'Indirect Costs'!$C86,Imput[[PERIODO Imp.]:[PERIODO Imp.]],'Indirect Costs'!CW$8)</f>
        <v>0</v>
      </c>
      <c r="CX86" s="48">
        <f>SUMIFS(Imput[[Importe Neto]:[Importe Neto]],Imput[[C. Imp.]:[C. Imp.]],'Indirect Costs'!$C86,Imput[[PERIODO Imp.]:[PERIODO Imp.]],'Indirect Costs'!CX$8)</f>
        <v>0</v>
      </c>
      <c r="CY86" s="48">
        <f>SUMIFS(Imput[[Importe Neto]:[Importe Neto]],Imput[[C. Imp.]:[C. Imp.]],'Indirect Costs'!$C86,Imput[[PERIODO Imp.]:[PERIODO Imp.]],'Indirect Costs'!CY$8)</f>
        <v>0</v>
      </c>
      <c r="CZ86" s="48">
        <f>SUMIFS(Imput[[Importe Neto]:[Importe Neto]],Imput[[C. Imp.]:[C. Imp.]],'Indirect Costs'!$C86,Imput[[PERIODO Imp.]:[PERIODO Imp.]],'Indirect Costs'!CZ$8)</f>
        <v>0</v>
      </c>
      <c r="DA86" s="48">
        <f>SUMIFS(Imput[[Importe Neto]:[Importe Neto]],Imput[[C. Imp.]:[C. Imp.]],'Indirect Costs'!$C86,Imput[[PERIODO Imp.]:[PERIODO Imp.]],'Indirect Costs'!DA$8)</f>
        <v>0</v>
      </c>
      <c r="DB86" s="48">
        <f>SUMIFS(Imput[[Importe Neto]:[Importe Neto]],Imput[[C. Imp.]:[C. Imp.]],'Indirect Costs'!$C86,Imput[[PERIODO Imp.]:[PERIODO Imp.]],'Indirect Costs'!DB$8)</f>
        <v>0</v>
      </c>
      <c r="DC86" s="48">
        <f>SUMIFS(Imput[[Importe Neto]:[Importe Neto]],Imput[[C. Imp.]:[C. Imp.]],'Indirect Costs'!$C86,Imput[[PERIODO Imp.]:[PERIODO Imp.]],'Indirect Costs'!DC$8)</f>
        <v>0</v>
      </c>
      <c r="DD86" s="48">
        <f>SUMIFS(Imput[[Importe Neto]:[Importe Neto]],Imput[[C. Imp.]:[C. Imp.]],'Indirect Costs'!$C86,Imput[[PERIODO Imp.]:[PERIODO Imp.]],'Indirect Costs'!DD$8)</f>
        <v>0</v>
      </c>
      <c r="DE86" s="48">
        <f>SUMIFS(Imput[[Importe Neto]:[Importe Neto]],Imput[[C. Imp.]:[C. Imp.]],'Indirect Costs'!$C86,Imput[[PERIODO Imp.]:[PERIODO Imp.]],'Indirect Costs'!DE$8)</f>
        <v>0</v>
      </c>
      <c r="DF86" s="143">
        <f>SUMIFS(Imput[[Importe Neto]:[Importe Neto]],Imput[[C. Imp.]:[C. Imp.]],'Indirect Costs'!$C86,Imput[[PERIODO Imp.]:[PERIODO Imp.]],'Indirect Costs'!DF$8)</f>
        <v>0</v>
      </c>
    </row>
    <row r="87" spans="1:110" outlineLevel="1" x14ac:dyDescent="0.25">
      <c r="A87" s="28" t="str">
        <f t="shared" si="14"/>
        <v/>
      </c>
      <c r="B87" s="50">
        <v>5</v>
      </c>
      <c r="C87" s="57" t="s">
        <v>1812</v>
      </c>
      <c r="D87" s="56" t="s">
        <v>593</v>
      </c>
      <c r="E87" s="57" t="s">
        <v>593</v>
      </c>
      <c r="F87" s="58">
        <v>30000</v>
      </c>
      <c r="G87" s="49"/>
      <c r="H87" s="51">
        <v>1</v>
      </c>
      <c r="I87" s="505">
        <f t="shared" si="19"/>
        <v>0</v>
      </c>
      <c r="J87" s="47"/>
      <c r="K87" s="142"/>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143"/>
      <c r="BG87" s="47"/>
      <c r="BH87" s="509"/>
      <c r="BI87" s="505">
        <f t="shared" si="15"/>
        <v>0</v>
      </c>
      <c r="BJ87" s="47"/>
      <c r="BK87" s="142">
        <f>SUMIFS(Imput[[Importe Neto]:[Importe Neto]],Imput[[C. Imp.]:[C. Imp.]],'Indirect Costs'!$C87,Imput[[PERIODO Imp.]:[PERIODO Imp.]],'Indirect Costs'!BK$8)</f>
        <v>0</v>
      </c>
      <c r="BL87" s="48">
        <f>SUMIFS(Imput[[Importe Neto]:[Importe Neto]],Imput[[C. Imp.]:[C. Imp.]],'Indirect Costs'!$C87,Imput[[PERIODO Imp.]:[PERIODO Imp.]],'Indirect Costs'!BL$8)</f>
        <v>0</v>
      </c>
      <c r="BM87" s="48">
        <f>SUMIFS(Imput[[Importe Neto]:[Importe Neto]],Imput[[C. Imp.]:[C. Imp.]],'Indirect Costs'!$C87,Imput[[PERIODO Imp.]:[PERIODO Imp.]],'Indirect Costs'!BM$8)</f>
        <v>0</v>
      </c>
      <c r="BN87" s="48">
        <f>SUMIFS(Imput[[Importe Neto]:[Importe Neto]],Imput[[C. Imp.]:[C. Imp.]],'Indirect Costs'!$C87,Imput[[PERIODO Imp.]:[PERIODO Imp.]],'Indirect Costs'!BN$8)</f>
        <v>0</v>
      </c>
      <c r="BO87" s="48">
        <f>SUMIFS(Imput[[Importe Neto]:[Importe Neto]],Imput[[C. Imp.]:[C. Imp.]],'Indirect Costs'!$C87,Imput[[PERIODO Imp.]:[PERIODO Imp.]],'Indirect Costs'!BO$8)</f>
        <v>0</v>
      </c>
      <c r="BP87" s="48">
        <f>SUMIFS(Imput[[Importe Neto]:[Importe Neto]],Imput[[C. Imp.]:[C. Imp.]],'Indirect Costs'!$C87,Imput[[PERIODO Imp.]:[PERIODO Imp.]],'Indirect Costs'!BP$8)</f>
        <v>0</v>
      </c>
      <c r="BQ87" s="48">
        <f>SUMIFS(Imput[[Importe Neto]:[Importe Neto]],Imput[[C. Imp.]:[C. Imp.]],'Indirect Costs'!$C87,Imput[[PERIODO Imp.]:[PERIODO Imp.]],'Indirect Costs'!BQ$8)</f>
        <v>0</v>
      </c>
      <c r="BR87" s="48">
        <f>SUMIFS(Imput[[Importe Neto]:[Importe Neto]],Imput[[C. Imp.]:[C. Imp.]],'Indirect Costs'!$C87,Imput[[PERIODO Imp.]:[PERIODO Imp.]],'Indirect Costs'!BR$8)</f>
        <v>0</v>
      </c>
      <c r="BS87" s="48">
        <f>SUMIFS(Imput[[Importe Neto]:[Importe Neto]],Imput[[C. Imp.]:[C. Imp.]],'Indirect Costs'!$C87,Imput[[PERIODO Imp.]:[PERIODO Imp.]],'Indirect Costs'!BS$8)</f>
        <v>0</v>
      </c>
      <c r="BT87" s="48">
        <f>SUMIFS(Imput[[Importe Neto]:[Importe Neto]],Imput[[C. Imp.]:[C. Imp.]],'Indirect Costs'!$C87,Imput[[PERIODO Imp.]:[PERIODO Imp.]],'Indirect Costs'!BT$8)</f>
        <v>0</v>
      </c>
      <c r="BU87" s="48">
        <f>SUMIFS(Imput[[Importe Neto]:[Importe Neto]],Imput[[C. Imp.]:[C. Imp.]],'Indirect Costs'!$C87,Imput[[PERIODO Imp.]:[PERIODO Imp.]],'Indirect Costs'!BU$8)</f>
        <v>0</v>
      </c>
      <c r="BV87" s="48">
        <f>SUMIFS(Imput[[Importe Neto]:[Importe Neto]],Imput[[C. Imp.]:[C. Imp.]],'Indirect Costs'!$C87,Imput[[PERIODO Imp.]:[PERIODO Imp.]],'Indirect Costs'!BV$8)</f>
        <v>0</v>
      </c>
      <c r="BW87" s="48">
        <f>SUMIFS(Imput[[Importe Neto]:[Importe Neto]],Imput[[C. Imp.]:[C. Imp.]],'Indirect Costs'!$C87,Imput[[PERIODO Imp.]:[PERIODO Imp.]],'Indirect Costs'!BW$8)</f>
        <v>0</v>
      </c>
      <c r="BX87" s="48">
        <f>SUMIFS(Imput[[Importe Neto]:[Importe Neto]],Imput[[C. Imp.]:[C. Imp.]],'Indirect Costs'!$C87,Imput[[PERIODO Imp.]:[PERIODO Imp.]],'Indirect Costs'!BX$8)</f>
        <v>0</v>
      </c>
      <c r="BY87" s="48">
        <f>SUMIFS(Imput[[Importe Neto]:[Importe Neto]],Imput[[C. Imp.]:[C. Imp.]],'Indirect Costs'!$C87,Imput[[PERIODO Imp.]:[PERIODO Imp.]],'Indirect Costs'!BY$8)</f>
        <v>0</v>
      </c>
      <c r="BZ87" s="48">
        <f>SUMIFS(Imput[[Importe Neto]:[Importe Neto]],Imput[[C. Imp.]:[C. Imp.]],'Indirect Costs'!$C87,Imput[[PERIODO Imp.]:[PERIODO Imp.]],'Indirect Costs'!BZ$8)</f>
        <v>0</v>
      </c>
      <c r="CA87" s="48">
        <f>SUMIFS(Imput[[Importe Neto]:[Importe Neto]],Imput[[C. Imp.]:[C. Imp.]],'Indirect Costs'!$C87,Imput[[PERIODO Imp.]:[PERIODO Imp.]],'Indirect Costs'!CA$8)</f>
        <v>0</v>
      </c>
      <c r="CB87" s="48">
        <f>SUMIFS(Imput[[Importe Neto]:[Importe Neto]],Imput[[C. Imp.]:[C. Imp.]],'Indirect Costs'!$C87,Imput[[PERIODO Imp.]:[PERIODO Imp.]],'Indirect Costs'!CB$8)</f>
        <v>0</v>
      </c>
      <c r="CC87" s="48">
        <f>SUMIFS(Imput[[Importe Neto]:[Importe Neto]],Imput[[C. Imp.]:[C. Imp.]],'Indirect Costs'!$C87,Imput[[PERIODO Imp.]:[PERIODO Imp.]],'Indirect Costs'!CC$8)</f>
        <v>0</v>
      </c>
      <c r="CD87" s="48">
        <f>SUMIFS(Imput[[Importe Neto]:[Importe Neto]],Imput[[C. Imp.]:[C. Imp.]],'Indirect Costs'!$C87,Imput[[PERIODO Imp.]:[PERIODO Imp.]],'Indirect Costs'!CD$8)</f>
        <v>0</v>
      </c>
      <c r="CE87" s="48">
        <f>SUMIFS(Imput[[Importe Neto]:[Importe Neto]],Imput[[C. Imp.]:[C. Imp.]],'Indirect Costs'!$C87,Imput[[PERIODO Imp.]:[PERIODO Imp.]],'Indirect Costs'!CE$8)</f>
        <v>0</v>
      </c>
      <c r="CF87" s="48">
        <f>SUMIFS(Imput[[Importe Neto]:[Importe Neto]],Imput[[C. Imp.]:[C. Imp.]],'Indirect Costs'!$C87,Imput[[PERIODO Imp.]:[PERIODO Imp.]],'Indirect Costs'!CF$8)</f>
        <v>0</v>
      </c>
      <c r="CG87" s="48">
        <f>SUMIFS(Imput[[Importe Neto]:[Importe Neto]],Imput[[C. Imp.]:[C. Imp.]],'Indirect Costs'!$C87,Imput[[PERIODO Imp.]:[PERIODO Imp.]],'Indirect Costs'!CG$8)</f>
        <v>0</v>
      </c>
      <c r="CH87" s="48">
        <f>SUMIFS(Imput[[Importe Neto]:[Importe Neto]],Imput[[C. Imp.]:[C. Imp.]],'Indirect Costs'!$C87,Imput[[PERIODO Imp.]:[PERIODO Imp.]],'Indirect Costs'!CH$8)</f>
        <v>0</v>
      </c>
      <c r="CI87" s="48">
        <f>SUMIFS(Imput[[Importe Neto]:[Importe Neto]],Imput[[C. Imp.]:[C. Imp.]],'Indirect Costs'!$C87,Imput[[PERIODO Imp.]:[PERIODO Imp.]],'Indirect Costs'!CI$8)</f>
        <v>0</v>
      </c>
      <c r="CJ87" s="48">
        <f>SUMIFS(Imput[[Importe Neto]:[Importe Neto]],Imput[[C. Imp.]:[C. Imp.]],'Indirect Costs'!$C87,Imput[[PERIODO Imp.]:[PERIODO Imp.]],'Indirect Costs'!CJ$8)</f>
        <v>0</v>
      </c>
      <c r="CK87" s="48">
        <f>SUMIFS(Imput[[Importe Neto]:[Importe Neto]],Imput[[C. Imp.]:[C. Imp.]],'Indirect Costs'!$C87,Imput[[PERIODO Imp.]:[PERIODO Imp.]],'Indirect Costs'!CK$8)</f>
        <v>0</v>
      </c>
      <c r="CL87" s="48">
        <f>SUMIFS(Imput[[Importe Neto]:[Importe Neto]],Imput[[C. Imp.]:[C. Imp.]],'Indirect Costs'!$C87,Imput[[PERIODO Imp.]:[PERIODO Imp.]],'Indirect Costs'!CL$8)</f>
        <v>0</v>
      </c>
      <c r="CM87" s="48">
        <f>SUMIFS(Imput[[Importe Neto]:[Importe Neto]],Imput[[C. Imp.]:[C. Imp.]],'Indirect Costs'!$C87,Imput[[PERIODO Imp.]:[PERIODO Imp.]],'Indirect Costs'!CM$8)</f>
        <v>0</v>
      </c>
      <c r="CN87" s="48">
        <f>SUMIFS(Imput[[Importe Neto]:[Importe Neto]],Imput[[C. Imp.]:[C. Imp.]],'Indirect Costs'!$C87,Imput[[PERIODO Imp.]:[PERIODO Imp.]],'Indirect Costs'!CN$8)</f>
        <v>0</v>
      </c>
      <c r="CO87" s="48">
        <f>SUMIFS(Imput[[Importe Neto]:[Importe Neto]],Imput[[C. Imp.]:[C. Imp.]],'Indirect Costs'!$C87,Imput[[PERIODO Imp.]:[PERIODO Imp.]],'Indirect Costs'!CO$8)</f>
        <v>0</v>
      </c>
      <c r="CP87" s="48">
        <f>SUMIFS(Imput[[Importe Neto]:[Importe Neto]],Imput[[C. Imp.]:[C. Imp.]],'Indirect Costs'!$C87,Imput[[PERIODO Imp.]:[PERIODO Imp.]],'Indirect Costs'!CP$8)</f>
        <v>0</v>
      </c>
      <c r="CQ87" s="48">
        <f>SUMIFS(Imput[[Importe Neto]:[Importe Neto]],Imput[[C. Imp.]:[C. Imp.]],'Indirect Costs'!$C87,Imput[[PERIODO Imp.]:[PERIODO Imp.]],'Indirect Costs'!CQ$8)</f>
        <v>0</v>
      </c>
      <c r="CR87" s="48">
        <f>SUMIFS(Imput[[Importe Neto]:[Importe Neto]],Imput[[C. Imp.]:[C. Imp.]],'Indirect Costs'!$C87,Imput[[PERIODO Imp.]:[PERIODO Imp.]],'Indirect Costs'!CR$8)</f>
        <v>0</v>
      </c>
      <c r="CS87" s="48">
        <f>SUMIFS(Imput[[Importe Neto]:[Importe Neto]],Imput[[C. Imp.]:[C. Imp.]],'Indirect Costs'!$C87,Imput[[PERIODO Imp.]:[PERIODO Imp.]],'Indirect Costs'!CS$8)</f>
        <v>0</v>
      </c>
      <c r="CT87" s="48">
        <f>SUMIFS(Imput[[Importe Neto]:[Importe Neto]],Imput[[C. Imp.]:[C. Imp.]],'Indirect Costs'!$C87,Imput[[PERIODO Imp.]:[PERIODO Imp.]],'Indirect Costs'!CT$8)</f>
        <v>0</v>
      </c>
      <c r="CU87" s="48">
        <f>SUMIFS(Imput[[Importe Neto]:[Importe Neto]],Imput[[C. Imp.]:[C. Imp.]],'Indirect Costs'!$C87,Imput[[PERIODO Imp.]:[PERIODO Imp.]],'Indirect Costs'!CU$8)</f>
        <v>0</v>
      </c>
      <c r="CV87" s="48">
        <f>SUMIFS(Imput[[Importe Neto]:[Importe Neto]],Imput[[C. Imp.]:[C. Imp.]],'Indirect Costs'!$C87,Imput[[PERIODO Imp.]:[PERIODO Imp.]],'Indirect Costs'!CV$8)</f>
        <v>0</v>
      </c>
      <c r="CW87" s="48">
        <f>SUMIFS(Imput[[Importe Neto]:[Importe Neto]],Imput[[C. Imp.]:[C. Imp.]],'Indirect Costs'!$C87,Imput[[PERIODO Imp.]:[PERIODO Imp.]],'Indirect Costs'!CW$8)</f>
        <v>0</v>
      </c>
      <c r="CX87" s="48">
        <f>SUMIFS(Imput[[Importe Neto]:[Importe Neto]],Imput[[C. Imp.]:[C. Imp.]],'Indirect Costs'!$C87,Imput[[PERIODO Imp.]:[PERIODO Imp.]],'Indirect Costs'!CX$8)</f>
        <v>0</v>
      </c>
      <c r="CY87" s="48">
        <f>SUMIFS(Imput[[Importe Neto]:[Importe Neto]],Imput[[C. Imp.]:[C. Imp.]],'Indirect Costs'!$C87,Imput[[PERIODO Imp.]:[PERIODO Imp.]],'Indirect Costs'!CY$8)</f>
        <v>0</v>
      </c>
      <c r="CZ87" s="48">
        <f>SUMIFS(Imput[[Importe Neto]:[Importe Neto]],Imput[[C. Imp.]:[C. Imp.]],'Indirect Costs'!$C87,Imput[[PERIODO Imp.]:[PERIODO Imp.]],'Indirect Costs'!CZ$8)</f>
        <v>0</v>
      </c>
      <c r="DA87" s="48">
        <f>SUMIFS(Imput[[Importe Neto]:[Importe Neto]],Imput[[C. Imp.]:[C. Imp.]],'Indirect Costs'!$C87,Imput[[PERIODO Imp.]:[PERIODO Imp.]],'Indirect Costs'!DA$8)</f>
        <v>0</v>
      </c>
      <c r="DB87" s="48">
        <f>SUMIFS(Imput[[Importe Neto]:[Importe Neto]],Imput[[C. Imp.]:[C. Imp.]],'Indirect Costs'!$C87,Imput[[PERIODO Imp.]:[PERIODO Imp.]],'Indirect Costs'!DB$8)</f>
        <v>0</v>
      </c>
      <c r="DC87" s="48">
        <f>SUMIFS(Imput[[Importe Neto]:[Importe Neto]],Imput[[C. Imp.]:[C. Imp.]],'Indirect Costs'!$C87,Imput[[PERIODO Imp.]:[PERIODO Imp.]],'Indirect Costs'!DC$8)</f>
        <v>0</v>
      </c>
      <c r="DD87" s="48">
        <f>SUMIFS(Imput[[Importe Neto]:[Importe Neto]],Imput[[C. Imp.]:[C. Imp.]],'Indirect Costs'!$C87,Imput[[PERIODO Imp.]:[PERIODO Imp.]],'Indirect Costs'!DD$8)</f>
        <v>0</v>
      </c>
      <c r="DE87" s="48">
        <f>SUMIFS(Imput[[Importe Neto]:[Importe Neto]],Imput[[C. Imp.]:[C. Imp.]],'Indirect Costs'!$C87,Imput[[PERIODO Imp.]:[PERIODO Imp.]],'Indirect Costs'!DE$8)</f>
        <v>0</v>
      </c>
      <c r="DF87" s="143">
        <f>SUMIFS(Imput[[Importe Neto]:[Importe Neto]],Imput[[C. Imp.]:[C. Imp.]],'Indirect Costs'!$C87,Imput[[PERIODO Imp.]:[PERIODO Imp.]],'Indirect Costs'!DF$8)</f>
        <v>0</v>
      </c>
    </row>
    <row r="88" spans="1:110" outlineLevel="1" x14ac:dyDescent="0.25">
      <c r="A88" s="28" t="str">
        <f t="shared" si="14"/>
        <v/>
      </c>
      <c r="B88" s="50">
        <v>6</v>
      </c>
      <c r="C88" s="57" t="s">
        <v>1813</v>
      </c>
      <c r="D88" s="56" t="s">
        <v>594</v>
      </c>
      <c r="E88" s="57" t="s">
        <v>594</v>
      </c>
      <c r="F88" s="58">
        <v>30000</v>
      </c>
      <c r="G88" s="49"/>
      <c r="H88" s="51">
        <v>1</v>
      </c>
      <c r="I88" s="505">
        <f t="shared" si="19"/>
        <v>0</v>
      </c>
      <c r="J88" s="47"/>
      <c r="K88" s="142"/>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143"/>
      <c r="BG88" s="47"/>
      <c r="BH88" s="509"/>
      <c r="BI88" s="505">
        <f t="shared" si="15"/>
        <v>0</v>
      </c>
      <c r="BJ88" s="47"/>
      <c r="BK88" s="142">
        <f>SUMIFS(Imput[[Importe Neto]:[Importe Neto]],Imput[[C. Imp.]:[C. Imp.]],'Indirect Costs'!$C88,Imput[[PERIODO Imp.]:[PERIODO Imp.]],'Indirect Costs'!BK$8)</f>
        <v>0</v>
      </c>
      <c r="BL88" s="48">
        <f>SUMIFS(Imput[[Importe Neto]:[Importe Neto]],Imput[[C. Imp.]:[C. Imp.]],'Indirect Costs'!$C88,Imput[[PERIODO Imp.]:[PERIODO Imp.]],'Indirect Costs'!BL$8)</f>
        <v>0</v>
      </c>
      <c r="BM88" s="48">
        <f>SUMIFS(Imput[[Importe Neto]:[Importe Neto]],Imput[[C. Imp.]:[C. Imp.]],'Indirect Costs'!$C88,Imput[[PERIODO Imp.]:[PERIODO Imp.]],'Indirect Costs'!BM$8)</f>
        <v>0</v>
      </c>
      <c r="BN88" s="48">
        <f>SUMIFS(Imput[[Importe Neto]:[Importe Neto]],Imput[[C. Imp.]:[C. Imp.]],'Indirect Costs'!$C88,Imput[[PERIODO Imp.]:[PERIODO Imp.]],'Indirect Costs'!BN$8)</f>
        <v>0</v>
      </c>
      <c r="BO88" s="48">
        <f>SUMIFS(Imput[[Importe Neto]:[Importe Neto]],Imput[[C. Imp.]:[C. Imp.]],'Indirect Costs'!$C88,Imput[[PERIODO Imp.]:[PERIODO Imp.]],'Indirect Costs'!BO$8)</f>
        <v>0</v>
      </c>
      <c r="BP88" s="48">
        <f>SUMIFS(Imput[[Importe Neto]:[Importe Neto]],Imput[[C. Imp.]:[C. Imp.]],'Indirect Costs'!$C88,Imput[[PERIODO Imp.]:[PERIODO Imp.]],'Indirect Costs'!BP$8)</f>
        <v>0</v>
      </c>
      <c r="BQ88" s="48">
        <f>SUMIFS(Imput[[Importe Neto]:[Importe Neto]],Imput[[C. Imp.]:[C. Imp.]],'Indirect Costs'!$C88,Imput[[PERIODO Imp.]:[PERIODO Imp.]],'Indirect Costs'!BQ$8)</f>
        <v>0</v>
      </c>
      <c r="BR88" s="48">
        <f>SUMIFS(Imput[[Importe Neto]:[Importe Neto]],Imput[[C. Imp.]:[C. Imp.]],'Indirect Costs'!$C88,Imput[[PERIODO Imp.]:[PERIODO Imp.]],'Indirect Costs'!BR$8)</f>
        <v>0</v>
      </c>
      <c r="BS88" s="48">
        <f>SUMIFS(Imput[[Importe Neto]:[Importe Neto]],Imput[[C. Imp.]:[C. Imp.]],'Indirect Costs'!$C88,Imput[[PERIODO Imp.]:[PERIODO Imp.]],'Indirect Costs'!BS$8)</f>
        <v>0</v>
      </c>
      <c r="BT88" s="48">
        <f>SUMIFS(Imput[[Importe Neto]:[Importe Neto]],Imput[[C. Imp.]:[C. Imp.]],'Indirect Costs'!$C88,Imput[[PERIODO Imp.]:[PERIODO Imp.]],'Indirect Costs'!BT$8)</f>
        <v>0</v>
      </c>
      <c r="BU88" s="48">
        <f>SUMIFS(Imput[[Importe Neto]:[Importe Neto]],Imput[[C. Imp.]:[C. Imp.]],'Indirect Costs'!$C88,Imput[[PERIODO Imp.]:[PERIODO Imp.]],'Indirect Costs'!BU$8)</f>
        <v>0</v>
      </c>
      <c r="BV88" s="48">
        <f>SUMIFS(Imput[[Importe Neto]:[Importe Neto]],Imput[[C. Imp.]:[C. Imp.]],'Indirect Costs'!$C88,Imput[[PERIODO Imp.]:[PERIODO Imp.]],'Indirect Costs'!BV$8)</f>
        <v>0</v>
      </c>
      <c r="BW88" s="48">
        <f>SUMIFS(Imput[[Importe Neto]:[Importe Neto]],Imput[[C. Imp.]:[C. Imp.]],'Indirect Costs'!$C88,Imput[[PERIODO Imp.]:[PERIODO Imp.]],'Indirect Costs'!BW$8)</f>
        <v>0</v>
      </c>
      <c r="BX88" s="48">
        <f>SUMIFS(Imput[[Importe Neto]:[Importe Neto]],Imput[[C. Imp.]:[C. Imp.]],'Indirect Costs'!$C88,Imput[[PERIODO Imp.]:[PERIODO Imp.]],'Indirect Costs'!BX$8)</f>
        <v>0</v>
      </c>
      <c r="BY88" s="48">
        <f>SUMIFS(Imput[[Importe Neto]:[Importe Neto]],Imput[[C. Imp.]:[C. Imp.]],'Indirect Costs'!$C88,Imput[[PERIODO Imp.]:[PERIODO Imp.]],'Indirect Costs'!BY$8)</f>
        <v>0</v>
      </c>
      <c r="BZ88" s="48">
        <f>SUMIFS(Imput[[Importe Neto]:[Importe Neto]],Imput[[C. Imp.]:[C. Imp.]],'Indirect Costs'!$C88,Imput[[PERIODO Imp.]:[PERIODO Imp.]],'Indirect Costs'!BZ$8)</f>
        <v>0</v>
      </c>
      <c r="CA88" s="48">
        <f>SUMIFS(Imput[[Importe Neto]:[Importe Neto]],Imput[[C. Imp.]:[C. Imp.]],'Indirect Costs'!$C88,Imput[[PERIODO Imp.]:[PERIODO Imp.]],'Indirect Costs'!CA$8)</f>
        <v>0</v>
      </c>
      <c r="CB88" s="48">
        <f>SUMIFS(Imput[[Importe Neto]:[Importe Neto]],Imput[[C. Imp.]:[C. Imp.]],'Indirect Costs'!$C88,Imput[[PERIODO Imp.]:[PERIODO Imp.]],'Indirect Costs'!CB$8)</f>
        <v>0</v>
      </c>
      <c r="CC88" s="48">
        <f>SUMIFS(Imput[[Importe Neto]:[Importe Neto]],Imput[[C. Imp.]:[C. Imp.]],'Indirect Costs'!$C88,Imput[[PERIODO Imp.]:[PERIODO Imp.]],'Indirect Costs'!CC$8)</f>
        <v>0</v>
      </c>
      <c r="CD88" s="48">
        <f>SUMIFS(Imput[[Importe Neto]:[Importe Neto]],Imput[[C. Imp.]:[C. Imp.]],'Indirect Costs'!$C88,Imput[[PERIODO Imp.]:[PERIODO Imp.]],'Indirect Costs'!CD$8)</f>
        <v>0</v>
      </c>
      <c r="CE88" s="48">
        <f>SUMIFS(Imput[[Importe Neto]:[Importe Neto]],Imput[[C. Imp.]:[C. Imp.]],'Indirect Costs'!$C88,Imput[[PERIODO Imp.]:[PERIODO Imp.]],'Indirect Costs'!CE$8)</f>
        <v>0</v>
      </c>
      <c r="CF88" s="48">
        <f>SUMIFS(Imput[[Importe Neto]:[Importe Neto]],Imput[[C. Imp.]:[C. Imp.]],'Indirect Costs'!$C88,Imput[[PERIODO Imp.]:[PERIODO Imp.]],'Indirect Costs'!CF$8)</f>
        <v>0</v>
      </c>
      <c r="CG88" s="48">
        <f>SUMIFS(Imput[[Importe Neto]:[Importe Neto]],Imput[[C. Imp.]:[C. Imp.]],'Indirect Costs'!$C88,Imput[[PERIODO Imp.]:[PERIODO Imp.]],'Indirect Costs'!CG$8)</f>
        <v>0</v>
      </c>
      <c r="CH88" s="48">
        <f>SUMIFS(Imput[[Importe Neto]:[Importe Neto]],Imput[[C. Imp.]:[C. Imp.]],'Indirect Costs'!$C88,Imput[[PERIODO Imp.]:[PERIODO Imp.]],'Indirect Costs'!CH$8)</f>
        <v>0</v>
      </c>
      <c r="CI88" s="48">
        <f>SUMIFS(Imput[[Importe Neto]:[Importe Neto]],Imput[[C. Imp.]:[C. Imp.]],'Indirect Costs'!$C88,Imput[[PERIODO Imp.]:[PERIODO Imp.]],'Indirect Costs'!CI$8)</f>
        <v>0</v>
      </c>
      <c r="CJ88" s="48">
        <f>SUMIFS(Imput[[Importe Neto]:[Importe Neto]],Imput[[C. Imp.]:[C. Imp.]],'Indirect Costs'!$C88,Imput[[PERIODO Imp.]:[PERIODO Imp.]],'Indirect Costs'!CJ$8)</f>
        <v>0</v>
      </c>
      <c r="CK88" s="48">
        <f>SUMIFS(Imput[[Importe Neto]:[Importe Neto]],Imput[[C. Imp.]:[C. Imp.]],'Indirect Costs'!$C88,Imput[[PERIODO Imp.]:[PERIODO Imp.]],'Indirect Costs'!CK$8)</f>
        <v>0</v>
      </c>
      <c r="CL88" s="48">
        <f>SUMIFS(Imput[[Importe Neto]:[Importe Neto]],Imput[[C. Imp.]:[C. Imp.]],'Indirect Costs'!$C88,Imput[[PERIODO Imp.]:[PERIODO Imp.]],'Indirect Costs'!CL$8)</f>
        <v>0</v>
      </c>
      <c r="CM88" s="48">
        <f>SUMIFS(Imput[[Importe Neto]:[Importe Neto]],Imput[[C. Imp.]:[C. Imp.]],'Indirect Costs'!$C88,Imput[[PERIODO Imp.]:[PERIODO Imp.]],'Indirect Costs'!CM$8)</f>
        <v>0</v>
      </c>
      <c r="CN88" s="48">
        <f>SUMIFS(Imput[[Importe Neto]:[Importe Neto]],Imput[[C. Imp.]:[C. Imp.]],'Indirect Costs'!$C88,Imput[[PERIODO Imp.]:[PERIODO Imp.]],'Indirect Costs'!CN$8)</f>
        <v>0</v>
      </c>
      <c r="CO88" s="48">
        <f>SUMIFS(Imput[[Importe Neto]:[Importe Neto]],Imput[[C. Imp.]:[C. Imp.]],'Indirect Costs'!$C88,Imput[[PERIODO Imp.]:[PERIODO Imp.]],'Indirect Costs'!CO$8)</f>
        <v>0</v>
      </c>
      <c r="CP88" s="48">
        <f>SUMIFS(Imput[[Importe Neto]:[Importe Neto]],Imput[[C. Imp.]:[C. Imp.]],'Indirect Costs'!$C88,Imput[[PERIODO Imp.]:[PERIODO Imp.]],'Indirect Costs'!CP$8)</f>
        <v>0</v>
      </c>
      <c r="CQ88" s="48">
        <f>SUMIFS(Imput[[Importe Neto]:[Importe Neto]],Imput[[C. Imp.]:[C. Imp.]],'Indirect Costs'!$C88,Imput[[PERIODO Imp.]:[PERIODO Imp.]],'Indirect Costs'!CQ$8)</f>
        <v>0</v>
      </c>
      <c r="CR88" s="48">
        <f>SUMIFS(Imput[[Importe Neto]:[Importe Neto]],Imput[[C. Imp.]:[C. Imp.]],'Indirect Costs'!$C88,Imput[[PERIODO Imp.]:[PERIODO Imp.]],'Indirect Costs'!CR$8)</f>
        <v>0</v>
      </c>
      <c r="CS88" s="48">
        <f>SUMIFS(Imput[[Importe Neto]:[Importe Neto]],Imput[[C. Imp.]:[C. Imp.]],'Indirect Costs'!$C88,Imput[[PERIODO Imp.]:[PERIODO Imp.]],'Indirect Costs'!CS$8)</f>
        <v>0</v>
      </c>
      <c r="CT88" s="48">
        <f>SUMIFS(Imput[[Importe Neto]:[Importe Neto]],Imput[[C. Imp.]:[C. Imp.]],'Indirect Costs'!$C88,Imput[[PERIODO Imp.]:[PERIODO Imp.]],'Indirect Costs'!CT$8)</f>
        <v>0</v>
      </c>
      <c r="CU88" s="48">
        <f>SUMIFS(Imput[[Importe Neto]:[Importe Neto]],Imput[[C. Imp.]:[C. Imp.]],'Indirect Costs'!$C88,Imput[[PERIODO Imp.]:[PERIODO Imp.]],'Indirect Costs'!CU$8)</f>
        <v>0</v>
      </c>
      <c r="CV88" s="48">
        <f>SUMIFS(Imput[[Importe Neto]:[Importe Neto]],Imput[[C. Imp.]:[C. Imp.]],'Indirect Costs'!$C88,Imput[[PERIODO Imp.]:[PERIODO Imp.]],'Indirect Costs'!CV$8)</f>
        <v>0</v>
      </c>
      <c r="CW88" s="48">
        <f>SUMIFS(Imput[[Importe Neto]:[Importe Neto]],Imput[[C. Imp.]:[C. Imp.]],'Indirect Costs'!$C88,Imput[[PERIODO Imp.]:[PERIODO Imp.]],'Indirect Costs'!CW$8)</f>
        <v>0</v>
      </c>
      <c r="CX88" s="48">
        <f>SUMIFS(Imput[[Importe Neto]:[Importe Neto]],Imput[[C. Imp.]:[C. Imp.]],'Indirect Costs'!$C88,Imput[[PERIODO Imp.]:[PERIODO Imp.]],'Indirect Costs'!CX$8)</f>
        <v>0</v>
      </c>
      <c r="CY88" s="48">
        <f>SUMIFS(Imput[[Importe Neto]:[Importe Neto]],Imput[[C. Imp.]:[C. Imp.]],'Indirect Costs'!$C88,Imput[[PERIODO Imp.]:[PERIODO Imp.]],'Indirect Costs'!CY$8)</f>
        <v>0</v>
      </c>
      <c r="CZ88" s="48">
        <f>SUMIFS(Imput[[Importe Neto]:[Importe Neto]],Imput[[C. Imp.]:[C. Imp.]],'Indirect Costs'!$C88,Imput[[PERIODO Imp.]:[PERIODO Imp.]],'Indirect Costs'!CZ$8)</f>
        <v>0</v>
      </c>
      <c r="DA88" s="48">
        <f>SUMIFS(Imput[[Importe Neto]:[Importe Neto]],Imput[[C. Imp.]:[C. Imp.]],'Indirect Costs'!$C88,Imput[[PERIODO Imp.]:[PERIODO Imp.]],'Indirect Costs'!DA$8)</f>
        <v>0</v>
      </c>
      <c r="DB88" s="48">
        <f>SUMIFS(Imput[[Importe Neto]:[Importe Neto]],Imput[[C. Imp.]:[C. Imp.]],'Indirect Costs'!$C88,Imput[[PERIODO Imp.]:[PERIODO Imp.]],'Indirect Costs'!DB$8)</f>
        <v>0</v>
      </c>
      <c r="DC88" s="48">
        <f>SUMIFS(Imput[[Importe Neto]:[Importe Neto]],Imput[[C. Imp.]:[C. Imp.]],'Indirect Costs'!$C88,Imput[[PERIODO Imp.]:[PERIODO Imp.]],'Indirect Costs'!DC$8)</f>
        <v>0</v>
      </c>
      <c r="DD88" s="48">
        <f>SUMIFS(Imput[[Importe Neto]:[Importe Neto]],Imput[[C. Imp.]:[C. Imp.]],'Indirect Costs'!$C88,Imput[[PERIODO Imp.]:[PERIODO Imp.]],'Indirect Costs'!DD$8)</f>
        <v>0</v>
      </c>
      <c r="DE88" s="48">
        <f>SUMIFS(Imput[[Importe Neto]:[Importe Neto]],Imput[[C. Imp.]:[C. Imp.]],'Indirect Costs'!$C88,Imput[[PERIODO Imp.]:[PERIODO Imp.]],'Indirect Costs'!DE$8)</f>
        <v>0</v>
      </c>
      <c r="DF88" s="143">
        <f>SUMIFS(Imput[[Importe Neto]:[Importe Neto]],Imput[[C. Imp.]:[C. Imp.]],'Indirect Costs'!$C88,Imput[[PERIODO Imp.]:[PERIODO Imp.]],'Indirect Costs'!DF$8)</f>
        <v>0</v>
      </c>
    </row>
    <row r="89" spans="1:110" outlineLevel="1" x14ac:dyDescent="0.25">
      <c r="A89" s="28" t="str">
        <f t="shared" si="14"/>
        <v/>
      </c>
      <c r="B89" s="50">
        <v>7</v>
      </c>
      <c r="C89" s="57" t="s">
        <v>1814</v>
      </c>
      <c r="D89" s="56" t="s">
        <v>595</v>
      </c>
      <c r="E89" s="57" t="s">
        <v>595</v>
      </c>
      <c r="F89" s="58">
        <v>30000</v>
      </c>
      <c r="G89" s="49"/>
      <c r="H89" s="51">
        <v>1</v>
      </c>
      <c r="I89" s="505">
        <f t="shared" si="19"/>
        <v>0</v>
      </c>
      <c r="J89" s="47"/>
      <c r="K89" s="142"/>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143"/>
      <c r="BG89" s="47"/>
      <c r="BH89" s="509"/>
      <c r="BI89" s="505">
        <f t="shared" si="15"/>
        <v>0</v>
      </c>
      <c r="BJ89" s="47"/>
      <c r="BK89" s="142">
        <f>SUMIFS(Imput[[Importe Neto]:[Importe Neto]],Imput[[C. Imp.]:[C. Imp.]],'Indirect Costs'!$C89,Imput[[PERIODO Imp.]:[PERIODO Imp.]],'Indirect Costs'!BK$8)</f>
        <v>0</v>
      </c>
      <c r="BL89" s="48">
        <f>SUMIFS(Imput[[Importe Neto]:[Importe Neto]],Imput[[C. Imp.]:[C. Imp.]],'Indirect Costs'!$C89,Imput[[PERIODO Imp.]:[PERIODO Imp.]],'Indirect Costs'!BL$8)</f>
        <v>0</v>
      </c>
      <c r="BM89" s="48">
        <f>SUMIFS(Imput[[Importe Neto]:[Importe Neto]],Imput[[C. Imp.]:[C. Imp.]],'Indirect Costs'!$C89,Imput[[PERIODO Imp.]:[PERIODO Imp.]],'Indirect Costs'!BM$8)</f>
        <v>0</v>
      </c>
      <c r="BN89" s="48">
        <f>SUMIFS(Imput[[Importe Neto]:[Importe Neto]],Imput[[C. Imp.]:[C. Imp.]],'Indirect Costs'!$C89,Imput[[PERIODO Imp.]:[PERIODO Imp.]],'Indirect Costs'!BN$8)</f>
        <v>0</v>
      </c>
      <c r="BO89" s="48">
        <f>SUMIFS(Imput[[Importe Neto]:[Importe Neto]],Imput[[C. Imp.]:[C. Imp.]],'Indirect Costs'!$C89,Imput[[PERIODO Imp.]:[PERIODO Imp.]],'Indirect Costs'!BO$8)</f>
        <v>0</v>
      </c>
      <c r="BP89" s="48">
        <f>SUMIFS(Imput[[Importe Neto]:[Importe Neto]],Imput[[C. Imp.]:[C. Imp.]],'Indirect Costs'!$C89,Imput[[PERIODO Imp.]:[PERIODO Imp.]],'Indirect Costs'!BP$8)</f>
        <v>0</v>
      </c>
      <c r="BQ89" s="48">
        <f>SUMIFS(Imput[[Importe Neto]:[Importe Neto]],Imput[[C. Imp.]:[C. Imp.]],'Indirect Costs'!$C89,Imput[[PERIODO Imp.]:[PERIODO Imp.]],'Indirect Costs'!BQ$8)</f>
        <v>0</v>
      </c>
      <c r="BR89" s="48">
        <f>SUMIFS(Imput[[Importe Neto]:[Importe Neto]],Imput[[C. Imp.]:[C. Imp.]],'Indirect Costs'!$C89,Imput[[PERIODO Imp.]:[PERIODO Imp.]],'Indirect Costs'!BR$8)</f>
        <v>0</v>
      </c>
      <c r="BS89" s="48">
        <f>SUMIFS(Imput[[Importe Neto]:[Importe Neto]],Imput[[C. Imp.]:[C. Imp.]],'Indirect Costs'!$C89,Imput[[PERIODO Imp.]:[PERIODO Imp.]],'Indirect Costs'!BS$8)</f>
        <v>0</v>
      </c>
      <c r="BT89" s="48">
        <f>SUMIFS(Imput[[Importe Neto]:[Importe Neto]],Imput[[C. Imp.]:[C. Imp.]],'Indirect Costs'!$C89,Imput[[PERIODO Imp.]:[PERIODO Imp.]],'Indirect Costs'!BT$8)</f>
        <v>0</v>
      </c>
      <c r="BU89" s="48">
        <f>SUMIFS(Imput[[Importe Neto]:[Importe Neto]],Imput[[C. Imp.]:[C. Imp.]],'Indirect Costs'!$C89,Imput[[PERIODO Imp.]:[PERIODO Imp.]],'Indirect Costs'!BU$8)</f>
        <v>0</v>
      </c>
      <c r="BV89" s="48">
        <f>SUMIFS(Imput[[Importe Neto]:[Importe Neto]],Imput[[C. Imp.]:[C. Imp.]],'Indirect Costs'!$C89,Imput[[PERIODO Imp.]:[PERIODO Imp.]],'Indirect Costs'!BV$8)</f>
        <v>0</v>
      </c>
      <c r="BW89" s="48">
        <f>SUMIFS(Imput[[Importe Neto]:[Importe Neto]],Imput[[C. Imp.]:[C. Imp.]],'Indirect Costs'!$C89,Imput[[PERIODO Imp.]:[PERIODO Imp.]],'Indirect Costs'!BW$8)</f>
        <v>0</v>
      </c>
      <c r="BX89" s="48">
        <f>SUMIFS(Imput[[Importe Neto]:[Importe Neto]],Imput[[C. Imp.]:[C. Imp.]],'Indirect Costs'!$C89,Imput[[PERIODO Imp.]:[PERIODO Imp.]],'Indirect Costs'!BX$8)</f>
        <v>0</v>
      </c>
      <c r="BY89" s="48">
        <f>SUMIFS(Imput[[Importe Neto]:[Importe Neto]],Imput[[C. Imp.]:[C. Imp.]],'Indirect Costs'!$C89,Imput[[PERIODO Imp.]:[PERIODO Imp.]],'Indirect Costs'!BY$8)</f>
        <v>0</v>
      </c>
      <c r="BZ89" s="48">
        <f>SUMIFS(Imput[[Importe Neto]:[Importe Neto]],Imput[[C. Imp.]:[C. Imp.]],'Indirect Costs'!$C89,Imput[[PERIODO Imp.]:[PERIODO Imp.]],'Indirect Costs'!BZ$8)</f>
        <v>0</v>
      </c>
      <c r="CA89" s="48">
        <f>SUMIFS(Imput[[Importe Neto]:[Importe Neto]],Imput[[C. Imp.]:[C. Imp.]],'Indirect Costs'!$C89,Imput[[PERIODO Imp.]:[PERIODO Imp.]],'Indirect Costs'!CA$8)</f>
        <v>0</v>
      </c>
      <c r="CB89" s="48">
        <f>SUMIFS(Imput[[Importe Neto]:[Importe Neto]],Imput[[C. Imp.]:[C. Imp.]],'Indirect Costs'!$C89,Imput[[PERIODO Imp.]:[PERIODO Imp.]],'Indirect Costs'!CB$8)</f>
        <v>0</v>
      </c>
      <c r="CC89" s="48">
        <f>SUMIFS(Imput[[Importe Neto]:[Importe Neto]],Imput[[C. Imp.]:[C. Imp.]],'Indirect Costs'!$C89,Imput[[PERIODO Imp.]:[PERIODO Imp.]],'Indirect Costs'!CC$8)</f>
        <v>0</v>
      </c>
      <c r="CD89" s="48">
        <f>SUMIFS(Imput[[Importe Neto]:[Importe Neto]],Imput[[C. Imp.]:[C. Imp.]],'Indirect Costs'!$C89,Imput[[PERIODO Imp.]:[PERIODO Imp.]],'Indirect Costs'!CD$8)</f>
        <v>0</v>
      </c>
      <c r="CE89" s="48">
        <f>SUMIFS(Imput[[Importe Neto]:[Importe Neto]],Imput[[C. Imp.]:[C. Imp.]],'Indirect Costs'!$C89,Imput[[PERIODO Imp.]:[PERIODO Imp.]],'Indirect Costs'!CE$8)</f>
        <v>0</v>
      </c>
      <c r="CF89" s="48">
        <f>SUMIFS(Imput[[Importe Neto]:[Importe Neto]],Imput[[C. Imp.]:[C. Imp.]],'Indirect Costs'!$C89,Imput[[PERIODO Imp.]:[PERIODO Imp.]],'Indirect Costs'!CF$8)</f>
        <v>0</v>
      </c>
      <c r="CG89" s="48">
        <f>SUMIFS(Imput[[Importe Neto]:[Importe Neto]],Imput[[C. Imp.]:[C. Imp.]],'Indirect Costs'!$C89,Imput[[PERIODO Imp.]:[PERIODO Imp.]],'Indirect Costs'!CG$8)</f>
        <v>0</v>
      </c>
      <c r="CH89" s="48">
        <f>SUMIFS(Imput[[Importe Neto]:[Importe Neto]],Imput[[C. Imp.]:[C. Imp.]],'Indirect Costs'!$C89,Imput[[PERIODO Imp.]:[PERIODO Imp.]],'Indirect Costs'!CH$8)</f>
        <v>0</v>
      </c>
      <c r="CI89" s="48">
        <f>SUMIFS(Imput[[Importe Neto]:[Importe Neto]],Imput[[C. Imp.]:[C. Imp.]],'Indirect Costs'!$C89,Imput[[PERIODO Imp.]:[PERIODO Imp.]],'Indirect Costs'!CI$8)</f>
        <v>0</v>
      </c>
      <c r="CJ89" s="48">
        <f>SUMIFS(Imput[[Importe Neto]:[Importe Neto]],Imput[[C. Imp.]:[C. Imp.]],'Indirect Costs'!$C89,Imput[[PERIODO Imp.]:[PERIODO Imp.]],'Indirect Costs'!CJ$8)</f>
        <v>0</v>
      </c>
      <c r="CK89" s="48">
        <f>SUMIFS(Imput[[Importe Neto]:[Importe Neto]],Imput[[C. Imp.]:[C. Imp.]],'Indirect Costs'!$C89,Imput[[PERIODO Imp.]:[PERIODO Imp.]],'Indirect Costs'!CK$8)</f>
        <v>0</v>
      </c>
      <c r="CL89" s="48">
        <f>SUMIFS(Imput[[Importe Neto]:[Importe Neto]],Imput[[C. Imp.]:[C. Imp.]],'Indirect Costs'!$C89,Imput[[PERIODO Imp.]:[PERIODO Imp.]],'Indirect Costs'!CL$8)</f>
        <v>0</v>
      </c>
      <c r="CM89" s="48">
        <f>SUMIFS(Imput[[Importe Neto]:[Importe Neto]],Imput[[C. Imp.]:[C. Imp.]],'Indirect Costs'!$C89,Imput[[PERIODO Imp.]:[PERIODO Imp.]],'Indirect Costs'!CM$8)</f>
        <v>0</v>
      </c>
      <c r="CN89" s="48">
        <f>SUMIFS(Imput[[Importe Neto]:[Importe Neto]],Imput[[C. Imp.]:[C. Imp.]],'Indirect Costs'!$C89,Imput[[PERIODO Imp.]:[PERIODO Imp.]],'Indirect Costs'!CN$8)</f>
        <v>0</v>
      </c>
      <c r="CO89" s="48">
        <f>SUMIFS(Imput[[Importe Neto]:[Importe Neto]],Imput[[C. Imp.]:[C. Imp.]],'Indirect Costs'!$C89,Imput[[PERIODO Imp.]:[PERIODO Imp.]],'Indirect Costs'!CO$8)</f>
        <v>0</v>
      </c>
      <c r="CP89" s="48">
        <f>SUMIFS(Imput[[Importe Neto]:[Importe Neto]],Imput[[C. Imp.]:[C. Imp.]],'Indirect Costs'!$C89,Imput[[PERIODO Imp.]:[PERIODO Imp.]],'Indirect Costs'!CP$8)</f>
        <v>0</v>
      </c>
      <c r="CQ89" s="48">
        <f>SUMIFS(Imput[[Importe Neto]:[Importe Neto]],Imput[[C. Imp.]:[C. Imp.]],'Indirect Costs'!$C89,Imput[[PERIODO Imp.]:[PERIODO Imp.]],'Indirect Costs'!CQ$8)</f>
        <v>0</v>
      </c>
      <c r="CR89" s="48">
        <f>SUMIFS(Imput[[Importe Neto]:[Importe Neto]],Imput[[C. Imp.]:[C. Imp.]],'Indirect Costs'!$C89,Imput[[PERIODO Imp.]:[PERIODO Imp.]],'Indirect Costs'!CR$8)</f>
        <v>0</v>
      </c>
      <c r="CS89" s="48">
        <f>SUMIFS(Imput[[Importe Neto]:[Importe Neto]],Imput[[C. Imp.]:[C. Imp.]],'Indirect Costs'!$C89,Imput[[PERIODO Imp.]:[PERIODO Imp.]],'Indirect Costs'!CS$8)</f>
        <v>0</v>
      </c>
      <c r="CT89" s="48">
        <f>SUMIFS(Imput[[Importe Neto]:[Importe Neto]],Imput[[C. Imp.]:[C. Imp.]],'Indirect Costs'!$C89,Imput[[PERIODO Imp.]:[PERIODO Imp.]],'Indirect Costs'!CT$8)</f>
        <v>0</v>
      </c>
      <c r="CU89" s="48">
        <f>SUMIFS(Imput[[Importe Neto]:[Importe Neto]],Imput[[C. Imp.]:[C. Imp.]],'Indirect Costs'!$C89,Imput[[PERIODO Imp.]:[PERIODO Imp.]],'Indirect Costs'!CU$8)</f>
        <v>0</v>
      </c>
      <c r="CV89" s="48">
        <f>SUMIFS(Imput[[Importe Neto]:[Importe Neto]],Imput[[C. Imp.]:[C. Imp.]],'Indirect Costs'!$C89,Imput[[PERIODO Imp.]:[PERIODO Imp.]],'Indirect Costs'!CV$8)</f>
        <v>0</v>
      </c>
      <c r="CW89" s="48">
        <f>SUMIFS(Imput[[Importe Neto]:[Importe Neto]],Imput[[C. Imp.]:[C. Imp.]],'Indirect Costs'!$C89,Imput[[PERIODO Imp.]:[PERIODO Imp.]],'Indirect Costs'!CW$8)</f>
        <v>0</v>
      </c>
      <c r="CX89" s="48">
        <f>SUMIFS(Imput[[Importe Neto]:[Importe Neto]],Imput[[C. Imp.]:[C. Imp.]],'Indirect Costs'!$C89,Imput[[PERIODO Imp.]:[PERIODO Imp.]],'Indirect Costs'!CX$8)</f>
        <v>0</v>
      </c>
      <c r="CY89" s="48">
        <f>SUMIFS(Imput[[Importe Neto]:[Importe Neto]],Imput[[C. Imp.]:[C. Imp.]],'Indirect Costs'!$C89,Imput[[PERIODO Imp.]:[PERIODO Imp.]],'Indirect Costs'!CY$8)</f>
        <v>0</v>
      </c>
      <c r="CZ89" s="48">
        <f>SUMIFS(Imput[[Importe Neto]:[Importe Neto]],Imput[[C. Imp.]:[C. Imp.]],'Indirect Costs'!$C89,Imput[[PERIODO Imp.]:[PERIODO Imp.]],'Indirect Costs'!CZ$8)</f>
        <v>0</v>
      </c>
      <c r="DA89" s="48">
        <f>SUMIFS(Imput[[Importe Neto]:[Importe Neto]],Imput[[C. Imp.]:[C. Imp.]],'Indirect Costs'!$C89,Imput[[PERIODO Imp.]:[PERIODO Imp.]],'Indirect Costs'!DA$8)</f>
        <v>0</v>
      </c>
      <c r="DB89" s="48">
        <f>SUMIFS(Imput[[Importe Neto]:[Importe Neto]],Imput[[C. Imp.]:[C. Imp.]],'Indirect Costs'!$C89,Imput[[PERIODO Imp.]:[PERIODO Imp.]],'Indirect Costs'!DB$8)</f>
        <v>0</v>
      </c>
      <c r="DC89" s="48">
        <f>SUMIFS(Imput[[Importe Neto]:[Importe Neto]],Imput[[C. Imp.]:[C. Imp.]],'Indirect Costs'!$C89,Imput[[PERIODO Imp.]:[PERIODO Imp.]],'Indirect Costs'!DC$8)</f>
        <v>0</v>
      </c>
      <c r="DD89" s="48">
        <f>SUMIFS(Imput[[Importe Neto]:[Importe Neto]],Imput[[C. Imp.]:[C. Imp.]],'Indirect Costs'!$C89,Imput[[PERIODO Imp.]:[PERIODO Imp.]],'Indirect Costs'!DD$8)</f>
        <v>0</v>
      </c>
      <c r="DE89" s="48">
        <f>SUMIFS(Imput[[Importe Neto]:[Importe Neto]],Imput[[C. Imp.]:[C. Imp.]],'Indirect Costs'!$C89,Imput[[PERIODO Imp.]:[PERIODO Imp.]],'Indirect Costs'!DE$8)</f>
        <v>0</v>
      </c>
      <c r="DF89" s="143">
        <f>SUMIFS(Imput[[Importe Neto]:[Importe Neto]],Imput[[C. Imp.]:[C. Imp.]],'Indirect Costs'!$C89,Imput[[PERIODO Imp.]:[PERIODO Imp.]],'Indirect Costs'!DF$8)</f>
        <v>0</v>
      </c>
    </row>
    <row r="90" spans="1:110" ht="14.4" outlineLevel="1" thickBot="1" x14ac:dyDescent="0.3">
      <c r="A90" s="28" t="str">
        <f t="shared" si="14"/>
        <v/>
      </c>
      <c r="B90" s="50">
        <v>8</v>
      </c>
      <c r="C90" s="57" t="s">
        <v>1815</v>
      </c>
      <c r="D90" s="56" t="s">
        <v>596</v>
      </c>
      <c r="E90" s="57" t="s">
        <v>596</v>
      </c>
      <c r="F90" s="58">
        <v>30000</v>
      </c>
      <c r="G90" s="49"/>
      <c r="H90" s="51">
        <v>1</v>
      </c>
      <c r="I90" s="505">
        <f t="shared" si="19"/>
        <v>0</v>
      </c>
      <c r="J90" s="47"/>
      <c r="K90" s="142"/>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143"/>
      <c r="BG90" s="47"/>
      <c r="BH90" s="509"/>
      <c r="BI90" s="505">
        <f t="shared" si="15"/>
        <v>0</v>
      </c>
      <c r="BJ90" s="47"/>
      <c r="BK90" s="142">
        <f>SUMIFS(Imput[[Importe Neto]:[Importe Neto]],Imput[[C. Imp.]:[C. Imp.]],'Indirect Costs'!$C90,Imput[[PERIODO Imp.]:[PERIODO Imp.]],'Indirect Costs'!BK$8)</f>
        <v>0</v>
      </c>
      <c r="BL90" s="48">
        <f>SUMIFS(Imput[[Importe Neto]:[Importe Neto]],Imput[[C. Imp.]:[C. Imp.]],'Indirect Costs'!$C90,Imput[[PERIODO Imp.]:[PERIODO Imp.]],'Indirect Costs'!BL$8)</f>
        <v>0</v>
      </c>
      <c r="BM90" s="48">
        <f>SUMIFS(Imput[[Importe Neto]:[Importe Neto]],Imput[[C. Imp.]:[C. Imp.]],'Indirect Costs'!$C90,Imput[[PERIODO Imp.]:[PERIODO Imp.]],'Indirect Costs'!BM$8)</f>
        <v>0</v>
      </c>
      <c r="BN90" s="48">
        <f>SUMIFS(Imput[[Importe Neto]:[Importe Neto]],Imput[[C. Imp.]:[C. Imp.]],'Indirect Costs'!$C90,Imput[[PERIODO Imp.]:[PERIODO Imp.]],'Indirect Costs'!BN$8)</f>
        <v>0</v>
      </c>
      <c r="BO90" s="48">
        <f>SUMIFS(Imput[[Importe Neto]:[Importe Neto]],Imput[[C. Imp.]:[C. Imp.]],'Indirect Costs'!$C90,Imput[[PERIODO Imp.]:[PERIODO Imp.]],'Indirect Costs'!BO$8)</f>
        <v>0</v>
      </c>
      <c r="BP90" s="48">
        <f>SUMIFS(Imput[[Importe Neto]:[Importe Neto]],Imput[[C. Imp.]:[C. Imp.]],'Indirect Costs'!$C90,Imput[[PERIODO Imp.]:[PERIODO Imp.]],'Indirect Costs'!BP$8)</f>
        <v>0</v>
      </c>
      <c r="BQ90" s="48">
        <f>SUMIFS(Imput[[Importe Neto]:[Importe Neto]],Imput[[C. Imp.]:[C. Imp.]],'Indirect Costs'!$C90,Imput[[PERIODO Imp.]:[PERIODO Imp.]],'Indirect Costs'!BQ$8)</f>
        <v>0</v>
      </c>
      <c r="BR90" s="48">
        <f>SUMIFS(Imput[[Importe Neto]:[Importe Neto]],Imput[[C. Imp.]:[C. Imp.]],'Indirect Costs'!$C90,Imput[[PERIODO Imp.]:[PERIODO Imp.]],'Indirect Costs'!BR$8)</f>
        <v>0</v>
      </c>
      <c r="BS90" s="48">
        <f>SUMIFS(Imput[[Importe Neto]:[Importe Neto]],Imput[[C. Imp.]:[C. Imp.]],'Indirect Costs'!$C90,Imput[[PERIODO Imp.]:[PERIODO Imp.]],'Indirect Costs'!BS$8)</f>
        <v>0</v>
      </c>
      <c r="BT90" s="48">
        <f>SUMIFS(Imput[[Importe Neto]:[Importe Neto]],Imput[[C. Imp.]:[C. Imp.]],'Indirect Costs'!$C90,Imput[[PERIODO Imp.]:[PERIODO Imp.]],'Indirect Costs'!BT$8)</f>
        <v>0</v>
      </c>
      <c r="BU90" s="48">
        <f>SUMIFS(Imput[[Importe Neto]:[Importe Neto]],Imput[[C. Imp.]:[C. Imp.]],'Indirect Costs'!$C90,Imput[[PERIODO Imp.]:[PERIODO Imp.]],'Indirect Costs'!BU$8)</f>
        <v>0</v>
      </c>
      <c r="BV90" s="48">
        <f>SUMIFS(Imput[[Importe Neto]:[Importe Neto]],Imput[[C. Imp.]:[C. Imp.]],'Indirect Costs'!$C90,Imput[[PERIODO Imp.]:[PERIODO Imp.]],'Indirect Costs'!BV$8)</f>
        <v>0</v>
      </c>
      <c r="BW90" s="48">
        <f>SUMIFS(Imput[[Importe Neto]:[Importe Neto]],Imput[[C. Imp.]:[C. Imp.]],'Indirect Costs'!$C90,Imput[[PERIODO Imp.]:[PERIODO Imp.]],'Indirect Costs'!BW$8)</f>
        <v>0</v>
      </c>
      <c r="BX90" s="48">
        <f>SUMIFS(Imput[[Importe Neto]:[Importe Neto]],Imput[[C. Imp.]:[C. Imp.]],'Indirect Costs'!$C90,Imput[[PERIODO Imp.]:[PERIODO Imp.]],'Indirect Costs'!BX$8)</f>
        <v>0</v>
      </c>
      <c r="BY90" s="48">
        <f>SUMIFS(Imput[[Importe Neto]:[Importe Neto]],Imput[[C. Imp.]:[C. Imp.]],'Indirect Costs'!$C90,Imput[[PERIODO Imp.]:[PERIODO Imp.]],'Indirect Costs'!BY$8)</f>
        <v>0</v>
      </c>
      <c r="BZ90" s="48">
        <f>SUMIFS(Imput[[Importe Neto]:[Importe Neto]],Imput[[C. Imp.]:[C. Imp.]],'Indirect Costs'!$C90,Imput[[PERIODO Imp.]:[PERIODO Imp.]],'Indirect Costs'!BZ$8)</f>
        <v>0</v>
      </c>
      <c r="CA90" s="48">
        <f>SUMIFS(Imput[[Importe Neto]:[Importe Neto]],Imput[[C. Imp.]:[C. Imp.]],'Indirect Costs'!$C90,Imput[[PERIODO Imp.]:[PERIODO Imp.]],'Indirect Costs'!CA$8)</f>
        <v>0</v>
      </c>
      <c r="CB90" s="48">
        <f>SUMIFS(Imput[[Importe Neto]:[Importe Neto]],Imput[[C. Imp.]:[C. Imp.]],'Indirect Costs'!$C90,Imput[[PERIODO Imp.]:[PERIODO Imp.]],'Indirect Costs'!CB$8)</f>
        <v>0</v>
      </c>
      <c r="CC90" s="48">
        <f>SUMIFS(Imput[[Importe Neto]:[Importe Neto]],Imput[[C. Imp.]:[C. Imp.]],'Indirect Costs'!$C90,Imput[[PERIODO Imp.]:[PERIODO Imp.]],'Indirect Costs'!CC$8)</f>
        <v>0</v>
      </c>
      <c r="CD90" s="48">
        <f>SUMIFS(Imput[[Importe Neto]:[Importe Neto]],Imput[[C. Imp.]:[C. Imp.]],'Indirect Costs'!$C90,Imput[[PERIODO Imp.]:[PERIODO Imp.]],'Indirect Costs'!CD$8)</f>
        <v>0</v>
      </c>
      <c r="CE90" s="48">
        <f>SUMIFS(Imput[[Importe Neto]:[Importe Neto]],Imput[[C. Imp.]:[C. Imp.]],'Indirect Costs'!$C90,Imput[[PERIODO Imp.]:[PERIODO Imp.]],'Indirect Costs'!CE$8)</f>
        <v>0</v>
      </c>
      <c r="CF90" s="48">
        <f>SUMIFS(Imput[[Importe Neto]:[Importe Neto]],Imput[[C. Imp.]:[C. Imp.]],'Indirect Costs'!$C90,Imput[[PERIODO Imp.]:[PERIODO Imp.]],'Indirect Costs'!CF$8)</f>
        <v>0</v>
      </c>
      <c r="CG90" s="48">
        <f>SUMIFS(Imput[[Importe Neto]:[Importe Neto]],Imput[[C. Imp.]:[C. Imp.]],'Indirect Costs'!$C90,Imput[[PERIODO Imp.]:[PERIODO Imp.]],'Indirect Costs'!CG$8)</f>
        <v>0</v>
      </c>
      <c r="CH90" s="48">
        <f>SUMIFS(Imput[[Importe Neto]:[Importe Neto]],Imput[[C. Imp.]:[C. Imp.]],'Indirect Costs'!$C90,Imput[[PERIODO Imp.]:[PERIODO Imp.]],'Indirect Costs'!CH$8)</f>
        <v>0</v>
      </c>
      <c r="CI90" s="48">
        <f>SUMIFS(Imput[[Importe Neto]:[Importe Neto]],Imput[[C. Imp.]:[C. Imp.]],'Indirect Costs'!$C90,Imput[[PERIODO Imp.]:[PERIODO Imp.]],'Indirect Costs'!CI$8)</f>
        <v>0</v>
      </c>
      <c r="CJ90" s="48">
        <f>SUMIFS(Imput[[Importe Neto]:[Importe Neto]],Imput[[C. Imp.]:[C. Imp.]],'Indirect Costs'!$C90,Imput[[PERIODO Imp.]:[PERIODO Imp.]],'Indirect Costs'!CJ$8)</f>
        <v>0</v>
      </c>
      <c r="CK90" s="48">
        <f>SUMIFS(Imput[[Importe Neto]:[Importe Neto]],Imput[[C. Imp.]:[C. Imp.]],'Indirect Costs'!$C90,Imput[[PERIODO Imp.]:[PERIODO Imp.]],'Indirect Costs'!CK$8)</f>
        <v>0</v>
      </c>
      <c r="CL90" s="48">
        <f>SUMIFS(Imput[[Importe Neto]:[Importe Neto]],Imput[[C. Imp.]:[C. Imp.]],'Indirect Costs'!$C90,Imput[[PERIODO Imp.]:[PERIODO Imp.]],'Indirect Costs'!CL$8)</f>
        <v>0</v>
      </c>
      <c r="CM90" s="48">
        <f>SUMIFS(Imput[[Importe Neto]:[Importe Neto]],Imput[[C. Imp.]:[C. Imp.]],'Indirect Costs'!$C90,Imput[[PERIODO Imp.]:[PERIODO Imp.]],'Indirect Costs'!CM$8)</f>
        <v>0</v>
      </c>
      <c r="CN90" s="48">
        <f>SUMIFS(Imput[[Importe Neto]:[Importe Neto]],Imput[[C. Imp.]:[C. Imp.]],'Indirect Costs'!$C90,Imput[[PERIODO Imp.]:[PERIODO Imp.]],'Indirect Costs'!CN$8)</f>
        <v>0</v>
      </c>
      <c r="CO90" s="48">
        <f>SUMIFS(Imput[[Importe Neto]:[Importe Neto]],Imput[[C. Imp.]:[C. Imp.]],'Indirect Costs'!$C90,Imput[[PERIODO Imp.]:[PERIODO Imp.]],'Indirect Costs'!CO$8)</f>
        <v>0</v>
      </c>
      <c r="CP90" s="48">
        <f>SUMIFS(Imput[[Importe Neto]:[Importe Neto]],Imput[[C. Imp.]:[C. Imp.]],'Indirect Costs'!$C90,Imput[[PERIODO Imp.]:[PERIODO Imp.]],'Indirect Costs'!CP$8)</f>
        <v>0</v>
      </c>
      <c r="CQ90" s="48">
        <f>SUMIFS(Imput[[Importe Neto]:[Importe Neto]],Imput[[C. Imp.]:[C. Imp.]],'Indirect Costs'!$C90,Imput[[PERIODO Imp.]:[PERIODO Imp.]],'Indirect Costs'!CQ$8)</f>
        <v>0</v>
      </c>
      <c r="CR90" s="48">
        <f>SUMIFS(Imput[[Importe Neto]:[Importe Neto]],Imput[[C. Imp.]:[C. Imp.]],'Indirect Costs'!$C90,Imput[[PERIODO Imp.]:[PERIODO Imp.]],'Indirect Costs'!CR$8)</f>
        <v>0</v>
      </c>
      <c r="CS90" s="48">
        <f>SUMIFS(Imput[[Importe Neto]:[Importe Neto]],Imput[[C. Imp.]:[C. Imp.]],'Indirect Costs'!$C90,Imput[[PERIODO Imp.]:[PERIODO Imp.]],'Indirect Costs'!CS$8)</f>
        <v>0</v>
      </c>
      <c r="CT90" s="48">
        <f>SUMIFS(Imput[[Importe Neto]:[Importe Neto]],Imput[[C. Imp.]:[C. Imp.]],'Indirect Costs'!$C90,Imput[[PERIODO Imp.]:[PERIODO Imp.]],'Indirect Costs'!CT$8)</f>
        <v>0</v>
      </c>
      <c r="CU90" s="48">
        <f>SUMIFS(Imput[[Importe Neto]:[Importe Neto]],Imput[[C. Imp.]:[C. Imp.]],'Indirect Costs'!$C90,Imput[[PERIODO Imp.]:[PERIODO Imp.]],'Indirect Costs'!CU$8)</f>
        <v>0</v>
      </c>
      <c r="CV90" s="48">
        <f>SUMIFS(Imput[[Importe Neto]:[Importe Neto]],Imput[[C. Imp.]:[C. Imp.]],'Indirect Costs'!$C90,Imput[[PERIODO Imp.]:[PERIODO Imp.]],'Indirect Costs'!CV$8)</f>
        <v>0</v>
      </c>
      <c r="CW90" s="48">
        <f>SUMIFS(Imput[[Importe Neto]:[Importe Neto]],Imput[[C. Imp.]:[C. Imp.]],'Indirect Costs'!$C90,Imput[[PERIODO Imp.]:[PERIODO Imp.]],'Indirect Costs'!CW$8)</f>
        <v>0</v>
      </c>
      <c r="CX90" s="48">
        <f>SUMIFS(Imput[[Importe Neto]:[Importe Neto]],Imput[[C. Imp.]:[C. Imp.]],'Indirect Costs'!$C90,Imput[[PERIODO Imp.]:[PERIODO Imp.]],'Indirect Costs'!CX$8)</f>
        <v>0</v>
      </c>
      <c r="CY90" s="48">
        <f>SUMIFS(Imput[[Importe Neto]:[Importe Neto]],Imput[[C. Imp.]:[C. Imp.]],'Indirect Costs'!$C90,Imput[[PERIODO Imp.]:[PERIODO Imp.]],'Indirect Costs'!CY$8)</f>
        <v>0</v>
      </c>
      <c r="CZ90" s="48">
        <f>SUMIFS(Imput[[Importe Neto]:[Importe Neto]],Imput[[C. Imp.]:[C. Imp.]],'Indirect Costs'!$C90,Imput[[PERIODO Imp.]:[PERIODO Imp.]],'Indirect Costs'!CZ$8)</f>
        <v>0</v>
      </c>
      <c r="DA90" s="48">
        <f>SUMIFS(Imput[[Importe Neto]:[Importe Neto]],Imput[[C. Imp.]:[C. Imp.]],'Indirect Costs'!$C90,Imput[[PERIODO Imp.]:[PERIODO Imp.]],'Indirect Costs'!DA$8)</f>
        <v>0</v>
      </c>
      <c r="DB90" s="48">
        <f>SUMIFS(Imput[[Importe Neto]:[Importe Neto]],Imput[[C. Imp.]:[C. Imp.]],'Indirect Costs'!$C90,Imput[[PERIODO Imp.]:[PERIODO Imp.]],'Indirect Costs'!DB$8)</f>
        <v>0</v>
      </c>
      <c r="DC90" s="48">
        <f>SUMIFS(Imput[[Importe Neto]:[Importe Neto]],Imput[[C. Imp.]:[C. Imp.]],'Indirect Costs'!$C90,Imput[[PERIODO Imp.]:[PERIODO Imp.]],'Indirect Costs'!DC$8)</f>
        <v>0</v>
      </c>
      <c r="DD90" s="48">
        <f>SUMIFS(Imput[[Importe Neto]:[Importe Neto]],Imput[[C. Imp.]:[C. Imp.]],'Indirect Costs'!$C90,Imput[[PERIODO Imp.]:[PERIODO Imp.]],'Indirect Costs'!DD$8)</f>
        <v>0</v>
      </c>
      <c r="DE90" s="48">
        <f>SUMIFS(Imput[[Importe Neto]:[Importe Neto]],Imput[[C. Imp.]:[C. Imp.]],'Indirect Costs'!$C90,Imput[[PERIODO Imp.]:[PERIODO Imp.]],'Indirect Costs'!DE$8)</f>
        <v>0</v>
      </c>
      <c r="DF90" s="143">
        <f>SUMIFS(Imput[[Importe Neto]:[Importe Neto]],Imput[[C. Imp.]:[C. Imp.]],'Indirect Costs'!$C90,Imput[[PERIODO Imp.]:[PERIODO Imp.]],'Indirect Costs'!DF$8)</f>
        <v>0</v>
      </c>
    </row>
    <row r="91" spans="1:110" ht="14.4" thickBot="1" x14ac:dyDescent="0.3">
      <c r="A91" s="28" t="str">
        <f t="shared" si="14"/>
        <v>Imprimir</v>
      </c>
      <c r="B91" s="54"/>
      <c r="C91" s="36" t="s">
        <v>147</v>
      </c>
      <c r="D91" s="54" t="s">
        <v>597</v>
      </c>
      <c r="E91" s="36"/>
      <c r="F91" s="37"/>
      <c r="G91" s="55"/>
      <c r="H91" s="38"/>
      <c r="I91" s="39">
        <f>SUBTOTAL(9,I92:I115)</f>
        <v>99500</v>
      </c>
      <c r="J91" s="45" t="s">
        <v>588</v>
      </c>
      <c r="K91" s="250">
        <f>SUMPRODUCT($F92:$F115,$G92:$G115,K92:K115)</f>
        <v>14916.666666666666</v>
      </c>
      <c r="L91" s="251">
        <f t="shared" ref="L91:BF91" si="20">SUMPRODUCT($F92:$F115,$G92:$G115,L92:L115)</f>
        <v>14916.666666666666</v>
      </c>
      <c r="M91" s="251">
        <f t="shared" si="20"/>
        <v>14916.666666666666</v>
      </c>
      <c r="N91" s="251">
        <f t="shared" si="20"/>
        <v>14916.666666666666</v>
      </c>
      <c r="O91" s="251">
        <f t="shared" si="20"/>
        <v>14916.666666666666</v>
      </c>
      <c r="P91" s="251">
        <f t="shared" si="20"/>
        <v>14916.666666666666</v>
      </c>
      <c r="Q91" s="251">
        <f t="shared" si="20"/>
        <v>0</v>
      </c>
      <c r="R91" s="251">
        <f t="shared" si="20"/>
        <v>20000</v>
      </c>
      <c r="S91" s="251">
        <f t="shared" si="20"/>
        <v>0</v>
      </c>
      <c r="T91" s="251">
        <f t="shared" si="20"/>
        <v>0</v>
      </c>
      <c r="U91" s="251">
        <f t="shared" si="20"/>
        <v>0</v>
      </c>
      <c r="V91" s="251">
        <f t="shared" si="20"/>
        <v>0</v>
      </c>
      <c r="W91" s="251">
        <f t="shared" si="20"/>
        <v>0</v>
      </c>
      <c r="X91" s="251">
        <f t="shared" si="20"/>
        <v>0</v>
      </c>
      <c r="Y91" s="251">
        <f t="shared" si="20"/>
        <v>0</v>
      </c>
      <c r="Z91" s="251">
        <f t="shared" si="20"/>
        <v>0</v>
      </c>
      <c r="AA91" s="251">
        <f t="shared" si="20"/>
        <v>0</v>
      </c>
      <c r="AB91" s="251">
        <f t="shared" si="20"/>
        <v>0</v>
      </c>
      <c r="AC91" s="251">
        <f t="shared" si="20"/>
        <v>0</v>
      </c>
      <c r="AD91" s="251">
        <f t="shared" si="20"/>
        <v>0</v>
      </c>
      <c r="AE91" s="251">
        <f t="shared" si="20"/>
        <v>0</v>
      </c>
      <c r="AF91" s="251">
        <f t="shared" si="20"/>
        <v>0</v>
      </c>
      <c r="AG91" s="251">
        <f t="shared" si="20"/>
        <v>0</v>
      </c>
      <c r="AH91" s="251">
        <f t="shared" si="20"/>
        <v>0</v>
      </c>
      <c r="AI91" s="251">
        <f t="shared" si="20"/>
        <v>0</v>
      </c>
      <c r="AJ91" s="251">
        <f t="shared" si="20"/>
        <v>0</v>
      </c>
      <c r="AK91" s="251">
        <f t="shared" si="20"/>
        <v>0</v>
      </c>
      <c r="AL91" s="251">
        <f t="shared" si="20"/>
        <v>0</v>
      </c>
      <c r="AM91" s="251">
        <f t="shared" si="20"/>
        <v>0</v>
      </c>
      <c r="AN91" s="251">
        <f t="shared" si="20"/>
        <v>0</v>
      </c>
      <c r="AO91" s="251">
        <f t="shared" si="20"/>
        <v>0</v>
      </c>
      <c r="AP91" s="251">
        <f t="shared" si="20"/>
        <v>0</v>
      </c>
      <c r="AQ91" s="251">
        <f t="shared" si="20"/>
        <v>0</v>
      </c>
      <c r="AR91" s="251">
        <f t="shared" si="20"/>
        <v>0</v>
      </c>
      <c r="AS91" s="251">
        <f t="shared" si="20"/>
        <v>0</v>
      </c>
      <c r="AT91" s="251">
        <f t="shared" si="20"/>
        <v>0</v>
      </c>
      <c r="AU91" s="251">
        <f t="shared" si="20"/>
        <v>0</v>
      </c>
      <c r="AV91" s="251">
        <f t="shared" si="20"/>
        <v>0</v>
      </c>
      <c r="AW91" s="251">
        <f t="shared" si="20"/>
        <v>0</v>
      </c>
      <c r="AX91" s="251">
        <f t="shared" si="20"/>
        <v>0</v>
      </c>
      <c r="AY91" s="251">
        <f t="shared" si="20"/>
        <v>0</v>
      </c>
      <c r="AZ91" s="251">
        <f t="shared" si="20"/>
        <v>0</v>
      </c>
      <c r="BA91" s="251">
        <f t="shared" si="20"/>
        <v>0</v>
      </c>
      <c r="BB91" s="251">
        <f t="shared" si="20"/>
        <v>0</v>
      </c>
      <c r="BC91" s="251">
        <f t="shared" si="20"/>
        <v>0</v>
      </c>
      <c r="BD91" s="251">
        <f t="shared" si="20"/>
        <v>0</v>
      </c>
      <c r="BE91" s="251">
        <f t="shared" si="20"/>
        <v>0</v>
      </c>
      <c r="BF91" s="566">
        <f t="shared" si="20"/>
        <v>0</v>
      </c>
      <c r="BH91" s="165">
        <f>IFERROR(BI91/I91,0)</f>
        <v>0.1939447534476382</v>
      </c>
      <c r="BI91" s="39">
        <f>SUBTOTAL(9,BI92:BI115)</f>
        <v>19297.50296804</v>
      </c>
      <c r="BK91" s="137">
        <f>SUM(BK92:BK115)</f>
        <v>0</v>
      </c>
      <c r="BL91" s="138">
        <f t="shared" ref="BL91:DF91" si="21">SUM(BL92:BL115)</f>
        <v>0</v>
      </c>
      <c r="BM91" s="138">
        <f t="shared" si="21"/>
        <v>700.50080000000003</v>
      </c>
      <c r="BN91" s="138">
        <f t="shared" si="21"/>
        <v>2328.0039999999999</v>
      </c>
      <c r="BO91" s="138">
        <f t="shared" si="21"/>
        <v>10800</v>
      </c>
      <c r="BP91" s="138">
        <f t="shared" si="21"/>
        <v>5468.9981680399997</v>
      </c>
      <c r="BQ91" s="138">
        <f t="shared" si="21"/>
        <v>0</v>
      </c>
      <c r="BR91" s="138">
        <f t="shared" si="21"/>
        <v>0</v>
      </c>
      <c r="BS91" s="138">
        <f t="shared" si="21"/>
        <v>0</v>
      </c>
      <c r="BT91" s="138">
        <f t="shared" si="21"/>
        <v>0</v>
      </c>
      <c r="BU91" s="138">
        <f t="shared" si="21"/>
        <v>0</v>
      </c>
      <c r="BV91" s="138">
        <f t="shared" si="21"/>
        <v>0</v>
      </c>
      <c r="BW91" s="138">
        <f t="shared" si="21"/>
        <v>0</v>
      </c>
      <c r="BX91" s="138">
        <f t="shared" si="21"/>
        <v>0</v>
      </c>
      <c r="BY91" s="138">
        <f t="shared" si="21"/>
        <v>0</v>
      </c>
      <c r="BZ91" s="138">
        <f t="shared" si="21"/>
        <v>0</v>
      </c>
      <c r="CA91" s="138">
        <f t="shared" si="21"/>
        <v>0</v>
      </c>
      <c r="CB91" s="138">
        <f t="shared" si="21"/>
        <v>0</v>
      </c>
      <c r="CC91" s="138">
        <f t="shared" si="21"/>
        <v>0</v>
      </c>
      <c r="CD91" s="138">
        <f t="shared" si="21"/>
        <v>0</v>
      </c>
      <c r="CE91" s="138">
        <f t="shared" si="21"/>
        <v>0</v>
      </c>
      <c r="CF91" s="138">
        <f t="shared" si="21"/>
        <v>0</v>
      </c>
      <c r="CG91" s="138">
        <f t="shared" si="21"/>
        <v>0</v>
      </c>
      <c r="CH91" s="138">
        <f t="shared" si="21"/>
        <v>0</v>
      </c>
      <c r="CI91" s="138">
        <f t="shared" si="21"/>
        <v>0</v>
      </c>
      <c r="CJ91" s="138">
        <f t="shared" si="21"/>
        <v>0</v>
      </c>
      <c r="CK91" s="138">
        <f t="shared" si="21"/>
        <v>0</v>
      </c>
      <c r="CL91" s="138">
        <f t="shared" si="21"/>
        <v>0</v>
      </c>
      <c r="CM91" s="138">
        <f t="shared" si="21"/>
        <v>0</v>
      </c>
      <c r="CN91" s="138">
        <f t="shared" si="21"/>
        <v>0</v>
      </c>
      <c r="CO91" s="138">
        <f t="shared" si="21"/>
        <v>0</v>
      </c>
      <c r="CP91" s="138">
        <f t="shared" si="21"/>
        <v>0</v>
      </c>
      <c r="CQ91" s="138">
        <f t="shared" si="21"/>
        <v>0</v>
      </c>
      <c r="CR91" s="138">
        <f t="shared" si="21"/>
        <v>0</v>
      </c>
      <c r="CS91" s="138">
        <f t="shared" si="21"/>
        <v>0</v>
      </c>
      <c r="CT91" s="138">
        <f t="shared" si="21"/>
        <v>0</v>
      </c>
      <c r="CU91" s="138">
        <f t="shared" si="21"/>
        <v>0</v>
      </c>
      <c r="CV91" s="138">
        <f t="shared" si="21"/>
        <v>0</v>
      </c>
      <c r="CW91" s="138">
        <f t="shared" si="21"/>
        <v>0</v>
      </c>
      <c r="CX91" s="138">
        <f t="shared" si="21"/>
        <v>0</v>
      </c>
      <c r="CY91" s="138">
        <f t="shared" si="21"/>
        <v>0</v>
      </c>
      <c r="CZ91" s="138">
        <f t="shared" si="21"/>
        <v>0</v>
      </c>
      <c r="DA91" s="138">
        <f t="shared" si="21"/>
        <v>0</v>
      </c>
      <c r="DB91" s="138">
        <f t="shared" si="21"/>
        <v>0</v>
      </c>
      <c r="DC91" s="138">
        <f t="shared" si="21"/>
        <v>0</v>
      </c>
      <c r="DD91" s="138">
        <f t="shared" si="21"/>
        <v>0</v>
      </c>
      <c r="DE91" s="138">
        <f t="shared" si="21"/>
        <v>0</v>
      </c>
      <c r="DF91" s="139">
        <f t="shared" si="21"/>
        <v>0</v>
      </c>
    </row>
    <row r="92" spans="1:110" outlineLevel="1" x14ac:dyDescent="0.25">
      <c r="A92" s="28" t="str">
        <f t="shared" si="14"/>
        <v/>
      </c>
      <c r="B92" s="50">
        <v>1</v>
      </c>
      <c r="C92" s="57" t="s">
        <v>1762</v>
      </c>
      <c r="D92" s="56" t="s">
        <v>598</v>
      </c>
      <c r="E92" s="57" t="s">
        <v>598</v>
      </c>
      <c r="F92" s="58">
        <v>10000</v>
      </c>
      <c r="G92" s="49"/>
      <c r="H92" s="51">
        <v>1</v>
      </c>
      <c r="I92" s="505">
        <f t="shared" ref="I92:I115" si="22">F92*G92*H92</f>
        <v>0</v>
      </c>
      <c r="J92" s="47"/>
      <c r="K92" s="142"/>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143"/>
      <c r="BG92" s="47"/>
      <c r="BH92" s="509"/>
      <c r="BI92" s="505">
        <f t="shared" si="15"/>
        <v>0</v>
      </c>
      <c r="BJ92" s="47"/>
      <c r="BK92" s="142">
        <f>SUMIFS(Imput[[Importe Neto]:[Importe Neto]],Imput[[C. Imp.]:[C. Imp.]],'Indirect Costs'!$C92,Imput[[PERIODO Imp.]:[PERIODO Imp.]],'Indirect Costs'!BK$8)</f>
        <v>0</v>
      </c>
      <c r="BL92" s="48">
        <f>SUMIFS(Imput[[Importe Neto]:[Importe Neto]],Imput[[C. Imp.]:[C. Imp.]],'Indirect Costs'!$C92,Imput[[PERIODO Imp.]:[PERIODO Imp.]],'Indirect Costs'!BL$8)</f>
        <v>0</v>
      </c>
      <c r="BM92" s="48">
        <f>SUMIFS(Imput[[Importe Neto]:[Importe Neto]],Imput[[C. Imp.]:[C. Imp.]],'Indirect Costs'!$C92,Imput[[PERIODO Imp.]:[PERIODO Imp.]],'Indirect Costs'!BM$8)</f>
        <v>0</v>
      </c>
      <c r="BN92" s="48">
        <f>SUMIFS(Imput[[Importe Neto]:[Importe Neto]],Imput[[C. Imp.]:[C. Imp.]],'Indirect Costs'!$C92,Imput[[PERIODO Imp.]:[PERIODO Imp.]],'Indirect Costs'!BN$8)</f>
        <v>0</v>
      </c>
      <c r="BO92" s="48">
        <f>SUMIFS(Imput[[Importe Neto]:[Importe Neto]],Imput[[C. Imp.]:[C. Imp.]],'Indirect Costs'!$C92,Imput[[PERIODO Imp.]:[PERIODO Imp.]],'Indirect Costs'!BO$8)</f>
        <v>0</v>
      </c>
      <c r="BP92" s="48">
        <f>SUMIFS(Imput[[Importe Neto]:[Importe Neto]],Imput[[C. Imp.]:[C. Imp.]],'Indirect Costs'!$C92,Imput[[PERIODO Imp.]:[PERIODO Imp.]],'Indirect Costs'!BP$8)</f>
        <v>0</v>
      </c>
      <c r="BQ92" s="48">
        <f>SUMIFS(Imput[[Importe Neto]:[Importe Neto]],Imput[[C. Imp.]:[C. Imp.]],'Indirect Costs'!$C92,Imput[[PERIODO Imp.]:[PERIODO Imp.]],'Indirect Costs'!BQ$8)</f>
        <v>0</v>
      </c>
      <c r="BR92" s="48">
        <f>SUMIFS(Imput[[Importe Neto]:[Importe Neto]],Imput[[C. Imp.]:[C. Imp.]],'Indirect Costs'!$C92,Imput[[PERIODO Imp.]:[PERIODO Imp.]],'Indirect Costs'!BR$8)</f>
        <v>0</v>
      </c>
      <c r="BS92" s="48">
        <f>SUMIFS(Imput[[Importe Neto]:[Importe Neto]],Imput[[C. Imp.]:[C. Imp.]],'Indirect Costs'!$C92,Imput[[PERIODO Imp.]:[PERIODO Imp.]],'Indirect Costs'!BS$8)</f>
        <v>0</v>
      </c>
      <c r="BT92" s="48">
        <f>SUMIFS(Imput[[Importe Neto]:[Importe Neto]],Imput[[C. Imp.]:[C. Imp.]],'Indirect Costs'!$C92,Imput[[PERIODO Imp.]:[PERIODO Imp.]],'Indirect Costs'!BT$8)</f>
        <v>0</v>
      </c>
      <c r="BU92" s="48">
        <f>SUMIFS(Imput[[Importe Neto]:[Importe Neto]],Imput[[C. Imp.]:[C. Imp.]],'Indirect Costs'!$C92,Imput[[PERIODO Imp.]:[PERIODO Imp.]],'Indirect Costs'!BU$8)</f>
        <v>0</v>
      </c>
      <c r="BV92" s="48">
        <f>SUMIFS(Imput[[Importe Neto]:[Importe Neto]],Imput[[C. Imp.]:[C. Imp.]],'Indirect Costs'!$C92,Imput[[PERIODO Imp.]:[PERIODO Imp.]],'Indirect Costs'!BV$8)</f>
        <v>0</v>
      </c>
      <c r="BW92" s="48">
        <f>SUMIFS(Imput[[Importe Neto]:[Importe Neto]],Imput[[C. Imp.]:[C. Imp.]],'Indirect Costs'!$C92,Imput[[PERIODO Imp.]:[PERIODO Imp.]],'Indirect Costs'!BW$8)</f>
        <v>0</v>
      </c>
      <c r="BX92" s="48">
        <f>SUMIFS(Imput[[Importe Neto]:[Importe Neto]],Imput[[C. Imp.]:[C. Imp.]],'Indirect Costs'!$C92,Imput[[PERIODO Imp.]:[PERIODO Imp.]],'Indirect Costs'!BX$8)</f>
        <v>0</v>
      </c>
      <c r="BY92" s="48">
        <f>SUMIFS(Imput[[Importe Neto]:[Importe Neto]],Imput[[C. Imp.]:[C. Imp.]],'Indirect Costs'!$C92,Imput[[PERIODO Imp.]:[PERIODO Imp.]],'Indirect Costs'!BY$8)</f>
        <v>0</v>
      </c>
      <c r="BZ92" s="48">
        <f>SUMIFS(Imput[[Importe Neto]:[Importe Neto]],Imput[[C. Imp.]:[C. Imp.]],'Indirect Costs'!$C92,Imput[[PERIODO Imp.]:[PERIODO Imp.]],'Indirect Costs'!BZ$8)</f>
        <v>0</v>
      </c>
      <c r="CA92" s="48">
        <f>SUMIFS(Imput[[Importe Neto]:[Importe Neto]],Imput[[C. Imp.]:[C. Imp.]],'Indirect Costs'!$C92,Imput[[PERIODO Imp.]:[PERIODO Imp.]],'Indirect Costs'!CA$8)</f>
        <v>0</v>
      </c>
      <c r="CB92" s="48">
        <f>SUMIFS(Imput[[Importe Neto]:[Importe Neto]],Imput[[C. Imp.]:[C. Imp.]],'Indirect Costs'!$C92,Imput[[PERIODO Imp.]:[PERIODO Imp.]],'Indirect Costs'!CB$8)</f>
        <v>0</v>
      </c>
      <c r="CC92" s="48">
        <f>SUMIFS(Imput[[Importe Neto]:[Importe Neto]],Imput[[C. Imp.]:[C. Imp.]],'Indirect Costs'!$C92,Imput[[PERIODO Imp.]:[PERIODO Imp.]],'Indirect Costs'!CC$8)</f>
        <v>0</v>
      </c>
      <c r="CD92" s="48">
        <f>SUMIFS(Imput[[Importe Neto]:[Importe Neto]],Imput[[C. Imp.]:[C. Imp.]],'Indirect Costs'!$C92,Imput[[PERIODO Imp.]:[PERIODO Imp.]],'Indirect Costs'!CD$8)</f>
        <v>0</v>
      </c>
      <c r="CE92" s="48">
        <f>SUMIFS(Imput[[Importe Neto]:[Importe Neto]],Imput[[C. Imp.]:[C. Imp.]],'Indirect Costs'!$C92,Imput[[PERIODO Imp.]:[PERIODO Imp.]],'Indirect Costs'!CE$8)</f>
        <v>0</v>
      </c>
      <c r="CF92" s="48">
        <f>SUMIFS(Imput[[Importe Neto]:[Importe Neto]],Imput[[C. Imp.]:[C. Imp.]],'Indirect Costs'!$C92,Imput[[PERIODO Imp.]:[PERIODO Imp.]],'Indirect Costs'!CF$8)</f>
        <v>0</v>
      </c>
      <c r="CG92" s="48">
        <f>SUMIFS(Imput[[Importe Neto]:[Importe Neto]],Imput[[C. Imp.]:[C. Imp.]],'Indirect Costs'!$C92,Imput[[PERIODO Imp.]:[PERIODO Imp.]],'Indirect Costs'!CG$8)</f>
        <v>0</v>
      </c>
      <c r="CH92" s="48">
        <f>SUMIFS(Imput[[Importe Neto]:[Importe Neto]],Imput[[C. Imp.]:[C. Imp.]],'Indirect Costs'!$C92,Imput[[PERIODO Imp.]:[PERIODO Imp.]],'Indirect Costs'!CH$8)</f>
        <v>0</v>
      </c>
      <c r="CI92" s="48">
        <f>SUMIFS(Imput[[Importe Neto]:[Importe Neto]],Imput[[C. Imp.]:[C. Imp.]],'Indirect Costs'!$C92,Imput[[PERIODO Imp.]:[PERIODO Imp.]],'Indirect Costs'!CI$8)</f>
        <v>0</v>
      </c>
      <c r="CJ92" s="48">
        <f>SUMIFS(Imput[[Importe Neto]:[Importe Neto]],Imput[[C. Imp.]:[C. Imp.]],'Indirect Costs'!$C92,Imput[[PERIODO Imp.]:[PERIODO Imp.]],'Indirect Costs'!CJ$8)</f>
        <v>0</v>
      </c>
      <c r="CK92" s="48">
        <f>SUMIFS(Imput[[Importe Neto]:[Importe Neto]],Imput[[C. Imp.]:[C. Imp.]],'Indirect Costs'!$C92,Imput[[PERIODO Imp.]:[PERIODO Imp.]],'Indirect Costs'!CK$8)</f>
        <v>0</v>
      </c>
      <c r="CL92" s="48">
        <f>SUMIFS(Imput[[Importe Neto]:[Importe Neto]],Imput[[C. Imp.]:[C. Imp.]],'Indirect Costs'!$C92,Imput[[PERIODO Imp.]:[PERIODO Imp.]],'Indirect Costs'!CL$8)</f>
        <v>0</v>
      </c>
      <c r="CM92" s="48">
        <f>SUMIFS(Imput[[Importe Neto]:[Importe Neto]],Imput[[C. Imp.]:[C. Imp.]],'Indirect Costs'!$C92,Imput[[PERIODO Imp.]:[PERIODO Imp.]],'Indirect Costs'!CM$8)</f>
        <v>0</v>
      </c>
      <c r="CN92" s="48">
        <f>SUMIFS(Imput[[Importe Neto]:[Importe Neto]],Imput[[C. Imp.]:[C. Imp.]],'Indirect Costs'!$C92,Imput[[PERIODO Imp.]:[PERIODO Imp.]],'Indirect Costs'!CN$8)</f>
        <v>0</v>
      </c>
      <c r="CO92" s="48">
        <f>SUMIFS(Imput[[Importe Neto]:[Importe Neto]],Imput[[C. Imp.]:[C. Imp.]],'Indirect Costs'!$C92,Imput[[PERIODO Imp.]:[PERIODO Imp.]],'Indirect Costs'!CO$8)</f>
        <v>0</v>
      </c>
      <c r="CP92" s="48">
        <f>SUMIFS(Imput[[Importe Neto]:[Importe Neto]],Imput[[C. Imp.]:[C. Imp.]],'Indirect Costs'!$C92,Imput[[PERIODO Imp.]:[PERIODO Imp.]],'Indirect Costs'!CP$8)</f>
        <v>0</v>
      </c>
      <c r="CQ92" s="48">
        <f>SUMIFS(Imput[[Importe Neto]:[Importe Neto]],Imput[[C. Imp.]:[C. Imp.]],'Indirect Costs'!$C92,Imput[[PERIODO Imp.]:[PERIODO Imp.]],'Indirect Costs'!CQ$8)</f>
        <v>0</v>
      </c>
      <c r="CR92" s="48">
        <f>SUMIFS(Imput[[Importe Neto]:[Importe Neto]],Imput[[C. Imp.]:[C. Imp.]],'Indirect Costs'!$C92,Imput[[PERIODO Imp.]:[PERIODO Imp.]],'Indirect Costs'!CR$8)</f>
        <v>0</v>
      </c>
      <c r="CS92" s="48">
        <f>SUMIFS(Imput[[Importe Neto]:[Importe Neto]],Imput[[C. Imp.]:[C. Imp.]],'Indirect Costs'!$C92,Imput[[PERIODO Imp.]:[PERIODO Imp.]],'Indirect Costs'!CS$8)</f>
        <v>0</v>
      </c>
      <c r="CT92" s="48">
        <f>SUMIFS(Imput[[Importe Neto]:[Importe Neto]],Imput[[C. Imp.]:[C. Imp.]],'Indirect Costs'!$C92,Imput[[PERIODO Imp.]:[PERIODO Imp.]],'Indirect Costs'!CT$8)</f>
        <v>0</v>
      </c>
      <c r="CU92" s="48">
        <f>SUMIFS(Imput[[Importe Neto]:[Importe Neto]],Imput[[C. Imp.]:[C. Imp.]],'Indirect Costs'!$C92,Imput[[PERIODO Imp.]:[PERIODO Imp.]],'Indirect Costs'!CU$8)</f>
        <v>0</v>
      </c>
      <c r="CV92" s="48">
        <f>SUMIFS(Imput[[Importe Neto]:[Importe Neto]],Imput[[C. Imp.]:[C. Imp.]],'Indirect Costs'!$C92,Imput[[PERIODO Imp.]:[PERIODO Imp.]],'Indirect Costs'!CV$8)</f>
        <v>0</v>
      </c>
      <c r="CW92" s="48">
        <f>SUMIFS(Imput[[Importe Neto]:[Importe Neto]],Imput[[C. Imp.]:[C. Imp.]],'Indirect Costs'!$C92,Imput[[PERIODO Imp.]:[PERIODO Imp.]],'Indirect Costs'!CW$8)</f>
        <v>0</v>
      </c>
      <c r="CX92" s="48">
        <f>SUMIFS(Imput[[Importe Neto]:[Importe Neto]],Imput[[C. Imp.]:[C. Imp.]],'Indirect Costs'!$C92,Imput[[PERIODO Imp.]:[PERIODO Imp.]],'Indirect Costs'!CX$8)</f>
        <v>0</v>
      </c>
      <c r="CY92" s="48">
        <f>SUMIFS(Imput[[Importe Neto]:[Importe Neto]],Imput[[C. Imp.]:[C. Imp.]],'Indirect Costs'!$C92,Imput[[PERIODO Imp.]:[PERIODO Imp.]],'Indirect Costs'!CY$8)</f>
        <v>0</v>
      </c>
      <c r="CZ92" s="48">
        <f>SUMIFS(Imput[[Importe Neto]:[Importe Neto]],Imput[[C. Imp.]:[C. Imp.]],'Indirect Costs'!$C92,Imput[[PERIODO Imp.]:[PERIODO Imp.]],'Indirect Costs'!CZ$8)</f>
        <v>0</v>
      </c>
      <c r="DA92" s="48">
        <f>SUMIFS(Imput[[Importe Neto]:[Importe Neto]],Imput[[C. Imp.]:[C. Imp.]],'Indirect Costs'!$C92,Imput[[PERIODO Imp.]:[PERIODO Imp.]],'Indirect Costs'!DA$8)</f>
        <v>0</v>
      </c>
      <c r="DB92" s="48">
        <f>SUMIFS(Imput[[Importe Neto]:[Importe Neto]],Imput[[C. Imp.]:[C. Imp.]],'Indirect Costs'!$C92,Imput[[PERIODO Imp.]:[PERIODO Imp.]],'Indirect Costs'!DB$8)</f>
        <v>0</v>
      </c>
      <c r="DC92" s="48">
        <f>SUMIFS(Imput[[Importe Neto]:[Importe Neto]],Imput[[C. Imp.]:[C. Imp.]],'Indirect Costs'!$C92,Imput[[PERIODO Imp.]:[PERIODO Imp.]],'Indirect Costs'!DC$8)</f>
        <v>0</v>
      </c>
      <c r="DD92" s="48">
        <f>SUMIFS(Imput[[Importe Neto]:[Importe Neto]],Imput[[C. Imp.]:[C. Imp.]],'Indirect Costs'!$C92,Imput[[PERIODO Imp.]:[PERIODO Imp.]],'Indirect Costs'!DD$8)</f>
        <v>0</v>
      </c>
      <c r="DE92" s="48">
        <f>SUMIFS(Imput[[Importe Neto]:[Importe Neto]],Imput[[C. Imp.]:[C. Imp.]],'Indirect Costs'!$C92,Imput[[PERIODO Imp.]:[PERIODO Imp.]],'Indirect Costs'!DE$8)</f>
        <v>0</v>
      </c>
      <c r="DF92" s="143">
        <f>SUMIFS(Imput[[Importe Neto]:[Importe Neto]],Imput[[C. Imp.]:[C. Imp.]],'Indirect Costs'!$C92,Imput[[PERIODO Imp.]:[PERIODO Imp.]],'Indirect Costs'!DF$8)</f>
        <v>0</v>
      </c>
    </row>
    <row r="93" spans="1:110" outlineLevel="1" x14ac:dyDescent="0.25">
      <c r="A93" s="28" t="str">
        <f t="shared" si="14"/>
        <v/>
      </c>
      <c r="B93" s="50">
        <v>2</v>
      </c>
      <c r="C93" s="57" t="s">
        <v>1740</v>
      </c>
      <c r="D93" s="56" t="s">
        <v>599</v>
      </c>
      <c r="E93" s="57" t="s">
        <v>599</v>
      </c>
      <c r="F93" s="58">
        <v>15000</v>
      </c>
      <c r="G93" s="49"/>
      <c r="H93" s="51">
        <v>1</v>
      </c>
      <c r="I93" s="505">
        <f t="shared" si="22"/>
        <v>0</v>
      </c>
      <c r="J93" s="47"/>
      <c r="K93" s="142"/>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143"/>
      <c r="BG93" s="47"/>
      <c r="BH93" s="509"/>
      <c r="BI93" s="505">
        <f t="shared" si="15"/>
        <v>0</v>
      </c>
      <c r="BJ93" s="47"/>
      <c r="BK93" s="142">
        <f>SUMIFS(Imput[[Importe Neto]:[Importe Neto]],Imput[[C. Imp.]:[C. Imp.]],'Indirect Costs'!$C93,Imput[[PERIODO Imp.]:[PERIODO Imp.]],'Indirect Costs'!BK$8)</f>
        <v>0</v>
      </c>
      <c r="BL93" s="48">
        <f>SUMIFS(Imput[[Importe Neto]:[Importe Neto]],Imput[[C. Imp.]:[C. Imp.]],'Indirect Costs'!$C93,Imput[[PERIODO Imp.]:[PERIODO Imp.]],'Indirect Costs'!BL$8)</f>
        <v>0</v>
      </c>
      <c r="BM93" s="48">
        <f>SUMIFS(Imput[[Importe Neto]:[Importe Neto]],Imput[[C. Imp.]:[C. Imp.]],'Indirect Costs'!$C93,Imput[[PERIODO Imp.]:[PERIODO Imp.]],'Indirect Costs'!BM$8)</f>
        <v>0</v>
      </c>
      <c r="BN93" s="48">
        <f>SUMIFS(Imput[[Importe Neto]:[Importe Neto]],Imput[[C. Imp.]:[C. Imp.]],'Indirect Costs'!$C93,Imput[[PERIODO Imp.]:[PERIODO Imp.]],'Indirect Costs'!BN$8)</f>
        <v>0</v>
      </c>
      <c r="BO93" s="48">
        <f>SUMIFS(Imput[[Importe Neto]:[Importe Neto]],Imput[[C. Imp.]:[C. Imp.]],'Indirect Costs'!$C93,Imput[[PERIODO Imp.]:[PERIODO Imp.]],'Indirect Costs'!BO$8)</f>
        <v>0</v>
      </c>
      <c r="BP93" s="48">
        <f>SUMIFS(Imput[[Importe Neto]:[Importe Neto]],Imput[[C. Imp.]:[C. Imp.]],'Indirect Costs'!$C93,Imput[[PERIODO Imp.]:[PERIODO Imp.]],'Indirect Costs'!BP$8)</f>
        <v>0</v>
      </c>
      <c r="BQ93" s="48">
        <f>SUMIFS(Imput[[Importe Neto]:[Importe Neto]],Imput[[C. Imp.]:[C. Imp.]],'Indirect Costs'!$C93,Imput[[PERIODO Imp.]:[PERIODO Imp.]],'Indirect Costs'!BQ$8)</f>
        <v>0</v>
      </c>
      <c r="BR93" s="48">
        <f>SUMIFS(Imput[[Importe Neto]:[Importe Neto]],Imput[[C. Imp.]:[C. Imp.]],'Indirect Costs'!$C93,Imput[[PERIODO Imp.]:[PERIODO Imp.]],'Indirect Costs'!BR$8)</f>
        <v>0</v>
      </c>
      <c r="BS93" s="48">
        <f>SUMIFS(Imput[[Importe Neto]:[Importe Neto]],Imput[[C. Imp.]:[C. Imp.]],'Indirect Costs'!$C93,Imput[[PERIODO Imp.]:[PERIODO Imp.]],'Indirect Costs'!BS$8)</f>
        <v>0</v>
      </c>
      <c r="BT93" s="48">
        <f>SUMIFS(Imput[[Importe Neto]:[Importe Neto]],Imput[[C. Imp.]:[C. Imp.]],'Indirect Costs'!$C93,Imput[[PERIODO Imp.]:[PERIODO Imp.]],'Indirect Costs'!BT$8)</f>
        <v>0</v>
      </c>
      <c r="BU93" s="48">
        <f>SUMIFS(Imput[[Importe Neto]:[Importe Neto]],Imput[[C. Imp.]:[C. Imp.]],'Indirect Costs'!$C93,Imput[[PERIODO Imp.]:[PERIODO Imp.]],'Indirect Costs'!BU$8)</f>
        <v>0</v>
      </c>
      <c r="BV93" s="48">
        <f>SUMIFS(Imput[[Importe Neto]:[Importe Neto]],Imput[[C. Imp.]:[C. Imp.]],'Indirect Costs'!$C93,Imput[[PERIODO Imp.]:[PERIODO Imp.]],'Indirect Costs'!BV$8)</f>
        <v>0</v>
      </c>
      <c r="BW93" s="48">
        <f>SUMIFS(Imput[[Importe Neto]:[Importe Neto]],Imput[[C. Imp.]:[C. Imp.]],'Indirect Costs'!$C93,Imput[[PERIODO Imp.]:[PERIODO Imp.]],'Indirect Costs'!BW$8)</f>
        <v>0</v>
      </c>
      <c r="BX93" s="48">
        <f>SUMIFS(Imput[[Importe Neto]:[Importe Neto]],Imput[[C. Imp.]:[C. Imp.]],'Indirect Costs'!$C93,Imput[[PERIODO Imp.]:[PERIODO Imp.]],'Indirect Costs'!BX$8)</f>
        <v>0</v>
      </c>
      <c r="BY93" s="48">
        <f>SUMIFS(Imput[[Importe Neto]:[Importe Neto]],Imput[[C. Imp.]:[C. Imp.]],'Indirect Costs'!$C93,Imput[[PERIODO Imp.]:[PERIODO Imp.]],'Indirect Costs'!BY$8)</f>
        <v>0</v>
      </c>
      <c r="BZ93" s="48">
        <f>SUMIFS(Imput[[Importe Neto]:[Importe Neto]],Imput[[C. Imp.]:[C. Imp.]],'Indirect Costs'!$C93,Imput[[PERIODO Imp.]:[PERIODO Imp.]],'Indirect Costs'!BZ$8)</f>
        <v>0</v>
      </c>
      <c r="CA93" s="48">
        <f>SUMIFS(Imput[[Importe Neto]:[Importe Neto]],Imput[[C. Imp.]:[C. Imp.]],'Indirect Costs'!$C93,Imput[[PERIODO Imp.]:[PERIODO Imp.]],'Indirect Costs'!CA$8)</f>
        <v>0</v>
      </c>
      <c r="CB93" s="48">
        <f>SUMIFS(Imput[[Importe Neto]:[Importe Neto]],Imput[[C. Imp.]:[C. Imp.]],'Indirect Costs'!$C93,Imput[[PERIODO Imp.]:[PERIODO Imp.]],'Indirect Costs'!CB$8)</f>
        <v>0</v>
      </c>
      <c r="CC93" s="48">
        <f>SUMIFS(Imput[[Importe Neto]:[Importe Neto]],Imput[[C. Imp.]:[C. Imp.]],'Indirect Costs'!$C93,Imput[[PERIODO Imp.]:[PERIODO Imp.]],'Indirect Costs'!CC$8)</f>
        <v>0</v>
      </c>
      <c r="CD93" s="48">
        <f>SUMIFS(Imput[[Importe Neto]:[Importe Neto]],Imput[[C. Imp.]:[C. Imp.]],'Indirect Costs'!$C93,Imput[[PERIODO Imp.]:[PERIODO Imp.]],'Indirect Costs'!CD$8)</f>
        <v>0</v>
      </c>
      <c r="CE93" s="48">
        <f>SUMIFS(Imput[[Importe Neto]:[Importe Neto]],Imput[[C. Imp.]:[C. Imp.]],'Indirect Costs'!$C93,Imput[[PERIODO Imp.]:[PERIODO Imp.]],'Indirect Costs'!CE$8)</f>
        <v>0</v>
      </c>
      <c r="CF93" s="48">
        <f>SUMIFS(Imput[[Importe Neto]:[Importe Neto]],Imput[[C. Imp.]:[C. Imp.]],'Indirect Costs'!$C93,Imput[[PERIODO Imp.]:[PERIODO Imp.]],'Indirect Costs'!CF$8)</f>
        <v>0</v>
      </c>
      <c r="CG93" s="48">
        <f>SUMIFS(Imput[[Importe Neto]:[Importe Neto]],Imput[[C. Imp.]:[C. Imp.]],'Indirect Costs'!$C93,Imput[[PERIODO Imp.]:[PERIODO Imp.]],'Indirect Costs'!CG$8)</f>
        <v>0</v>
      </c>
      <c r="CH93" s="48">
        <f>SUMIFS(Imput[[Importe Neto]:[Importe Neto]],Imput[[C. Imp.]:[C. Imp.]],'Indirect Costs'!$C93,Imput[[PERIODO Imp.]:[PERIODO Imp.]],'Indirect Costs'!CH$8)</f>
        <v>0</v>
      </c>
      <c r="CI93" s="48">
        <f>SUMIFS(Imput[[Importe Neto]:[Importe Neto]],Imput[[C. Imp.]:[C. Imp.]],'Indirect Costs'!$C93,Imput[[PERIODO Imp.]:[PERIODO Imp.]],'Indirect Costs'!CI$8)</f>
        <v>0</v>
      </c>
      <c r="CJ93" s="48">
        <f>SUMIFS(Imput[[Importe Neto]:[Importe Neto]],Imput[[C. Imp.]:[C. Imp.]],'Indirect Costs'!$C93,Imput[[PERIODO Imp.]:[PERIODO Imp.]],'Indirect Costs'!CJ$8)</f>
        <v>0</v>
      </c>
      <c r="CK93" s="48">
        <f>SUMIFS(Imput[[Importe Neto]:[Importe Neto]],Imput[[C. Imp.]:[C. Imp.]],'Indirect Costs'!$C93,Imput[[PERIODO Imp.]:[PERIODO Imp.]],'Indirect Costs'!CK$8)</f>
        <v>0</v>
      </c>
      <c r="CL93" s="48">
        <f>SUMIFS(Imput[[Importe Neto]:[Importe Neto]],Imput[[C. Imp.]:[C. Imp.]],'Indirect Costs'!$C93,Imput[[PERIODO Imp.]:[PERIODO Imp.]],'Indirect Costs'!CL$8)</f>
        <v>0</v>
      </c>
      <c r="CM93" s="48">
        <f>SUMIFS(Imput[[Importe Neto]:[Importe Neto]],Imput[[C. Imp.]:[C. Imp.]],'Indirect Costs'!$C93,Imput[[PERIODO Imp.]:[PERIODO Imp.]],'Indirect Costs'!CM$8)</f>
        <v>0</v>
      </c>
      <c r="CN93" s="48">
        <f>SUMIFS(Imput[[Importe Neto]:[Importe Neto]],Imput[[C. Imp.]:[C. Imp.]],'Indirect Costs'!$C93,Imput[[PERIODO Imp.]:[PERIODO Imp.]],'Indirect Costs'!CN$8)</f>
        <v>0</v>
      </c>
      <c r="CO93" s="48">
        <f>SUMIFS(Imput[[Importe Neto]:[Importe Neto]],Imput[[C. Imp.]:[C. Imp.]],'Indirect Costs'!$C93,Imput[[PERIODO Imp.]:[PERIODO Imp.]],'Indirect Costs'!CO$8)</f>
        <v>0</v>
      </c>
      <c r="CP93" s="48">
        <f>SUMIFS(Imput[[Importe Neto]:[Importe Neto]],Imput[[C. Imp.]:[C. Imp.]],'Indirect Costs'!$C93,Imput[[PERIODO Imp.]:[PERIODO Imp.]],'Indirect Costs'!CP$8)</f>
        <v>0</v>
      </c>
      <c r="CQ93" s="48">
        <f>SUMIFS(Imput[[Importe Neto]:[Importe Neto]],Imput[[C. Imp.]:[C. Imp.]],'Indirect Costs'!$C93,Imput[[PERIODO Imp.]:[PERIODO Imp.]],'Indirect Costs'!CQ$8)</f>
        <v>0</v>
      </c>
      <c r="CR93" s="48">
        <f>SUMIFS(Imput[[Importe Neto]:[Importe Neto]],Imput[[C. Imp.]:[C. Imp.]],'Indirect Costs'!$C93,Imput[[PERIODO Imp.]:[PERIODO Imp.]],'Indirect Costs'!CR$8)</f>
        <v>0</v>
      </c>
      <c r="CS93" s="48">
        <f>SUMIFS(Imput[[Importe Neto]:[Importe Neto]],Imput[[C. Imp.]:[C. Imp.]],'Indirect Costs'!$C93,Imput[[PERIODO Imp.]:[PERIODO Imp.]],'Indirect Costs'!CS$8)</f>
        <v>0</v>
      </c>
      <c r="CT93" s="48">
        <f>SUMIFS(Imput[[Importe Neto]:[Importe Neto]],Imput[[C. Imp.]:[C. Imp.]],'Indirect Costs'!$C93,Imput[[PERIODO Imp.]:[PERIODO Imp.]],'Indirect Costs'!CT$8)</f>
        <v>0</v>
      </c>
      <c r="CU93" s="48">
        <f>SUMIFS(Imput[[Importe Neto]:[Importe Neto]],Imput[[C. Imp.]:[C. Imp.]],'Indirect Costs'!$C93,Imput[[PERIODO Imp.]:[PERIODO Imp.]],'Indirect Costs'!CU$8)</f>
        <v>0</v>
      </c>
      <c r="CV93" s="48">
        <f>SUMIFS(Imput[[Importe Neto]:[Importe Neto]],Imput[[C. Imp.]:[C. Imp.]],'Indirect Costs'!$C93,Imput[[PERIODO Imp.]:[PERIODO Imp.]],'Indirect Costs'!CV$8)</f>
        <v>0</v>
      </c>
      <c r="CW93" s="48">
        <f>SUMIFS(Imput[[Importe Neto]:[Importe Neto]],Imput[[C. Imp.]:[C. Imp.]],'Indirect Costs'!$C93,Imput[[PERIODO Imp.]:[PERIODO Imp.]],'Indirect Costs'!CW$8)</f>
        <v>0</v>
      </c>
      <c r="CX93" s="48">
        <f>SUMIFS(Imput[[Importe Neto]:[Importe Neto]],Imput[[C. Imp.]:[C. Imp.]],'Indirect Costs'!$C93,Imput[[PERIODO Imp.]:[PERIODO Imp.]],'Indirect Costs'!CX$8)</f>
        <v>0</v>
      </c>
      <c r="CY93" s="48">
        <f>SUMIFS(Imput[[Importe Neto]:[Importe Neto]],Imput[[C. Imp.]:[C. Imp.]],'Indirect Costs'!$C93,Imput[[PERIODO Imp.]:[PERIODO Imp.]],'Indirect Costs'!CY$8)</f>
        <v>0</v>
      </c>
      <c r="CZ93" s="48">
        <f>SUMIFS(Imput[[Importe Neto]:[Importe Neto]],Imput[[C. Imp.]:[C. Imp.]],'Indirect Costs'!$C93,Imput[[PERIODO Imp.]:[PERIODO Imp.]],'Indirect Costs'!CZ$8)</f>
        <v>0</v>
      </c>
      <c r="DA93" s="48">
        <f>SUMIFS(Imput[[Importe Neto]:[Importe Neto]],Imput[[C. Imp.]:[C. Imp.]],'Indirect Costs'!$C93,Imput[[PERIODO Imp.]:[PERIODO Imp.]],'Indirect Costs'!DA$8)</f>
        <v>0</v>
      </c>
      <c r="DB93" s="48">
        <f>SUMIFS(Imput[[Importe Neto]:[Importe Neto]],Imput[[C. Imp.]:[C. Imp.]],'Indirect Costs'!$C93,Imput[[PERIODO Imp.]:[PERIODO Imp.]],'Indirect Costs'!DB$8)</f>
        <v>0</v>
      </c>
      <c r="DC93" s="48">
        <f>SUMIFS(Imput[[Importe Neto]:[Importe Neto]],Imput[[C. Imp.]:[C. Imp.]],'Indirect Costs'!$C93,Imput[[PERIODO Imp.]:[PERIODO Imp.]],'Indirect Costs'!DC$8)</f>
        <v>0</v>
      </c>
      <c r="DD93" s="48">
        <f>SUMIFS(Imput[[Importe Neto]:[Importe Neto]],Imput[[C. Imp.]:[C. Imp.]],'Indirect Costs'!$C93,Imput[[PERIODO Imp.]:[PERIODO Imp.]],'Indirect Costs'!DD$8)</f>
        <v>0</v>
      </c>
      <c r="DE93" s="48">
        <f>SUMIFS(Imput[[Importe Neto]:[Importe Neto]],Imput[[C. Imp.]:[C. Imp.]],'Indirect Costs'!$C93,Imput[[PERIODO Imp.]:[PERIODO Imp.]],'Indirect Costs'!DE$8)</f>
        <v>0</v>
      </c>
      <c r="DF93" s="143">
        <f>SUMIFS(Imput[[Importe Neto]:[Importe Neto]],Imput[[C. Imp.]:[C. Imp.]],'Indirect Costs'!$C93,Imput[[PERIODO Imp.]:[PERIODO Imp.]],'Indirect Costs'!DF$8)</f>
        <v>0</v>
      </c>
    </row>
    <row r="94" spans="1:110" outlineLevel="1" x14ac:dyDescent="0.25">
      <c r="A94" s="28" t="str">
        <f t="shared" si="14"/>
        <v>Imprimir</v>
      </c>
      <c r="B94" s="50">
        <v>3</v>
      </c>
      <c r="C94" s="57" t="s">
        <v>1759</v>
      </c>
      <c r="D94" s="56" t="s">
        <v>600</v>
      </c>
      <c r="E94" s="57" t="s">
        <v>600</v>
      </c>
      <c r="F94" s="58">
        <v>20000</v>
      </c>
      <c r="G94" s="49">
        <v>2</v>
      </c>
      <c r="H94" s="51">
        <v>1</v>
      </c>
      <c r="I94" s="505">
        <f t="shared" si="22"/>
        <v>40000</v>
      </c>
      <c r="J94" s="47"/>
      <c r="K94" s="142">
        <v>0.16666666666666666</v>
      </c>
      <c r="L94" s="48">
        <v>0.16666666666666666</v>
      </c>
      <c r="M94" s="48">
        <v>0.16666666666666666</v>
      </c>
      <c r="N94" s="48">
        <v>0.16666666666666666</v>
      </c>
      <c r="O94" s="48">
        <v>0.16666666666666666</v>
      </c>
      <c r="P94" s="48">
        <v>0.16666666666666666</v>
      </c>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143"/>
      <c r="BG94" s="47"/>
      <c r="BH94" s="509"/>
      <c r="BI94" s="505">
        <f t="shared" si="15"/>
        <v>16200</v>
      </c>
      <c r="BJ94" s="47"/>
      <c r="BK94" s="142">
        <f>SUMIFS(Imput[[Importe Neto]:[Importe Neto]],Imput[[C. Imp.]:[C. Imp.]],'Indirect Costs'!$C94,Imput[[PERIODO Imp.]:[PERIODO Imp.]],'Indirect Costs'!BK$8)</f>
        <v>0</v>
      </c>
      <c r="BL94" s="48">
        <f>SUMIFS(Imput[[Importe Neto]:[Importe Neto]],Imput[[C. Imp.]:[C. Imp.]],'Indirect Costs'!$C94,Imput[[PERIODO Imp.]:[PERIODO Imp.]],'Indirect Costs'!BL$8)</f>
        <v>0</v>
      </c>
      <c r="BM94" s="48">
        <f>SUMIFS(Imput[[Importe Neto]:[Importe Neto]],Imput[[C. Imp.]:[C. Imp.]],'Indirect Costs'!$C94,Imput[[PERIODO Imp.]:[PERIODO Imp.]],'Indirect Costs'!BM$8)</f>
        <v>0</v>
      </c>
      <c r="BN94" s="48">
        <f>SUMIFS(Imput[[Importe Neto]:[Importe Neto]],Imput[[C. Imp.]:[C. Imp.]],'Indirect Costs'!$C94,Imput[[PERIODO Imp.]:[PERIODO Imp.]],'Indirect Costs'!BN$8)</f>
        <v>0</v>
      </c>
      <c r="BO94" s="48">
        <f>SUMIFS(Imput[[Importe Neto]:[Importe Neto]],Imput[[C. Imp.]:[C. Imp.]],'Indirect Costs'!$C94,Imput[[PERIODO Imp.]:[PERIODO Imp.]],'Indirect Costs'!BO$8)</f>
        <v>10800</v>
      </c>
      <c r="BP94" s="48">
        <f>SUMIFS(Imput[[Importe Neto]:[Importe Neto]],Imput[[C. Imp.]:[C. Imp.]],'Indirect Costs'!$C94,Imput[[PERIODO Imp.]:[PERIODO Imp.]],'Indirect Costs'!BP$8)</f>
        <v>5400</v>
      </c>
      <c r="BQ94" s="48">
        <f>SUMIFS(Imput[[Importe Neto]:[Importe Neto]],Imput[[C. Imp.]:[C. Imp.]],'Indirect Costs'!$C94,Imput[[PERIODO Imp.]:[PERIODO Imp.]],'Indirect Costs'!BQ$8)</f>
        <v>0</v>
      </c>
      <c r="BR94" s="48">
        <f>SUMIFS(Imput[[Importe Neto]:[Importe Neto]],Imput[[C. Imp.]:[C. Imp.]],'Indirect Costs'!$C94,Imput[[PERIODO Imp.]:[PERIODO Imp.]],'Indirect Costs'!BR$8)</f>
        <v>0</v>
      </c>
      <c r="BS94" s="48">
        <f>SUMIFS(Imput[[Importe Neto]:[Importe Neto]],Imput[[C. Imp.]:[C. Imp.]],'Indirect Costs'!$C94,Imput[[PERIODO Imp.]:[PERIODO Imp.]],'Indirect Costs'!BS$8)</f>
        <v>0</v>
      </c>
      <c r="BT94" s="48">
        <f>SUMIFS(Imput[[Importe Neto]:[Importe Neto]],Imput[[C. Imp.]:[C. Imp.]],'Indirect Costs'!$C94,Imput[[PERIODO Imp.]:[PERIODO Imp.]],'Indirect Costs'!BT$8)</f>
        <v>0</v>
      </c>
      <c r="BU94" s="48">
        <f>SUMIFS(Imput[[Importe Neto]:[Importe Neto]],Imput[[C. Imp.]:[C. Imp.]],'Indirect Costs'!$C94,Imput[[PERIODO Imp.]:[PERIODO Imp.]],'Indirect Costs'!BU$8)</f>
        <v>0</v>
      </c>
      <c r="BV94" s="48">
        <f>SUMIFS(Imput[[Importe Neto]:[Importe Neto]],Imput[[C. Imp.]:[C. Imp.]],'Indirect Costs'!$C94,Imput[[PERIODO Imp.]:[PERIODO Imp.]],'Indirect Costs'!BV$8)</f>
        <v>0</v>
      </c>
      <c r="BW94" s="48">
        <f>SUMIFS(Imput[[Importe Neto]:[Importe Neto]],Imput[[C. Imp.]:[C. Imp.]],'Indirect Costs'!$C94,Imput[[PERIODO Imp.]:[PERIODO Imp.]],'Indirect Costs'!BW$8)</f>
        <v>0</v>
      </c>
      <c r="BX94" s="48">
        <f>SUMIFS(Imput[[Importe Neto]:[Importe Neto]],Imput[[C. Imp.]:[C. Imp.]],'Indirect Costs'!$C94,Imput[[PERIODO Imp.]:[PERIODO Imp.]],'Indirect Costs'!BX$8)</f>
        <v>0</v>
      </c>
      <c r="BY94" s="48">
        <f>SUMIFS(Imput[[Importe Neto]:[Importe Neto]],Imput[[C. Imp.]:[C. Imp.]],'Indirect Costs'!$C94,Imput[[PERIODO Imp.]:[PERIODO Imp.]],'Indirect Costs'!BY$8)</f>
        <v>0</v>
      </c>
      <c r="BZ94" s="48">
        <f>SUMIFS(Imput[[Importe Neto]:[Importe Neto]],Imput[[C. Imp.]:[C. Imp.]],'Indirect Costs'!$C94,Imput[[PERIODO Imp.]:[PERIODO Imp.]],'Indirect Costs'!BZ$8)</f>
        <v>0</v>
      </c>
      <c r="CA94" s="48">
        <f>SUMIFS(Imput[[Importe Neto]:[Importe Neto]],Imput[[C. Imp.]:[C. Imp.]],'Indirect Costs'!$C94,Imput[[PERIODO Imp.]:[PERIODO Imp.]],'Indirect Costs'!CA$8)</f>
        <v>0</v>
      </c>
      <c r="CB94" s="48">
        <f>SUMIFS(Imput[[Importe Neto]:[Importe Neto]],Imput[[C. Imp.]:[C. Imp.]],'Indirect Costs'!$C94,Imput[[PERIODO Imp.]:[PERIODO Imp.]],'Indirect Costs'!CB$8)</f>
        <v>0</v>
      </c>
      <c r="CC94" s="48">
        <f>SUMIFS(Imput[[Importe Neto]:[Importe Neto]],Imput[[C. Imp.]:[C. Imp.]],'Indirect Costs'!$C94,Imput[[PERIODO Imp.]:[PERIODO Imp.]],'Indirect Costs'!CC$8)</f>
        <v>0</v>
      </c>
      <c r="CD94" s="48">
        <f>SUMIFS(Imput[[Importe Neto]:[Importe Neto]],Imput[[C. Imp.]:[C. Imp.]],'Indirect Costs'!$C94,Imput[[PERIODO Imp.]:[PERIODO Imp.]],'Indirect Costs'!CD$8)</f>
        <v>0</v>
      </c>
      <c r="CE94" s="48">
        <f>SUMIFS(Imput[[Importe Neto]:[Importe Neto]],Imput[[C. Imp.]:[C. Imp.]],'Indirect Costs'!$C94,Imput[[PERIODO Imp.]:[PERIODO Imp.]],'Indirect Costs'!CE$8)</f>
        <v>0</v>
      </c>
      <c r="CF94" s="48">
        <f>SUMIFS(Imput[[Importe Neto]:[Importe Neto]],Imput[[C. Imp.]:[C. Imp.]],'Indirect Costs'!$C94,Imput[[PERIODO Imp.]:[PERIODO Imp.]],'Indirect Costs'!CF$8)</f>
        <v>0</v>
      </c>
      <c r="CG94" s="48">
        <f>SUMIFS(Imput[[Importe Neto]:[Importe Neto]],Imput[[C. Imp.]:[C. Imp.]],'Indirect Costs'!$C94,Imput[[PERIODO Imp.]:[PERIODO Imp.]],'Indirect Costs'!CG$8)</f>
        <v>0</v>
      </c>
      <c r="CH94" s="48">
        <f>SUMIFS(Imput[[Importe Neto]:[Importe Neto]],Imput[[C. Imp.]:[C. Imp.]],'Indirect Costs'!$C94,Imput[[PERIODO Imp.]:[PERIODO Imp.]],'Indirect Costs'!CH$8)</f>
        <v>0</v>
      </c>
      <c r="CI94" s="48">
        <f>SUMIFS(Imput[[Importe Neto]:[Importe Neto]],Imput[[C. Imp.]:[C. Imp.]],'Indirect Costs'!$C94,Imput[[PERIODO Imp.]:[PERIODO Imp.]],'Indirect Costs'!CI$8)</f>
        <v>0</v>
      </c>
      <c r="CJ94" s="48">
        <f>SUMIFS(Imput[[Importe Neto]:[Importe Neto]],Imput[[C. Imp.]:[C. Imp.]],'Indirect Costs'!$C94,Imput[[PERIODO Imp.]:[PERIODO Imp.]],'Indirect Costs'!CJ$8)</f>
        <v>0</v>
      </c>
      <c r="CK94" s="48">
        <f>SUMIFS(Imput[[Importe Neto]:[Importe Neto]],Imput[[C. Imp.]:[C. Imp.]],'Indirect Costs'!$C94,Imput[[PERIODO Imp.]:[PERIODO Imp.]],'Indirect Costs'!CK$8)</f>
        <v>0</v>
      </c>
      <c r="CL94" s="48">
        <f>SUMIFS(Imput[[Importe Neto]:[Importe Neto]],Imput[[C. Imp.]:[C. Imp.]],'Indirect Costs'!$C94,Imput[[PERIODO Imp.]:[PERIODO Imp.]],'Indirect Costs'!CL$8)</f>
        <v>0</v>
      </c>
      <c r="CM94" s="48">
        <f>SUMIFS(Imput[[Importe Neto]:[Importe Neto]],Imput[[C. Imp.]:[C. Imp.]],'Indirect Costs'!$C94,Imput[[PERIODO Imp.]:[PERIODO Imp.]],'Indirect Costs'!CM$8)</f>
        <v>0</v>
      </c>
      <c r="CN94" s="48">
        <f>SUMIFS(Imput[[Importe Neto]:[Importe Neto]],Imput[[C. Imp.]:[C. Imp.]],'Indirect Costs'!$C94,Imput[[PERIODO Imp.]:[PERIODO Imp.]],'Indirect Costs'!CN$8)</f>
        <v>0</v>
      </c>
      <c r="CO94" s="48">
        <f>SUMIFS(Imput[[Importe Neto]:[Importe Neto]],Imput[[C. Imp.]:[C. Imp.]],'Indirect Costs'!$C94,Imput[[PERIODO Imp.]:[PERIODO Imp.]],'Indirect Costs'!CO$8)</f>
        <v>0</v>
      </c>
      <c r="CP94" s="48">
        <f>SUMIFS(Imput[[Importe Neto]:[Importe Neto]],Imput[[C. Imp.]:[C. Imp.]],'Indirect Costs'!$C94,Imput[[PERIODO Imp.]:[PERIODO Imp.]],'Indirect Costs'!CP$8)</f>
        <v>0</v>
      </c>
      <c r="CQ94" s="48">
        <f>SUMIFS(Imput[[Importe Neto]:[Importe Neto]],Imput[[C. Imp.]:[C. Imp.]],'Indirect Costs'!$C94,Imput[[PERIODO Imp.]:[PERIODO Imp.]],'Indirect Costs'!CQ$8)</f>
        <v>0</v>
      </c>
      <c r="CR94" s="48">
        <f>SUMIFS(Imput[[Importe Neto]:[Importe Neto]],Imput[[C. Imp.]:[C. Imp.]],'Indirect Costs'!$C94,Imput[[PERIODO Imp.]:[PERIODO Imp.]],'Indirect Costs'!CR$8)</f>
        <v>0</v>
      </c>
      <c r="CS94" s="48">
        <f>SUMIFS(Imput[[Importe Neto]:[Importe Neto]],Imput[[C. Imp.]:[C. Imp.]],'Indirect Costs'!$C94,Imput[[PERIODO Imp.]:[PERIODO Imp.]],'Indirect Costs'!CS$8)</f>
        <v>0</v>
      </c>
      <c r="CT94" s="48">
        <f>SUMIFS(Imput[[Importe Neto]:[Importe Neto]],Imput[[C. Imp.]:[C. Imp.]],'Indirect Costs'!$C94,Imput[[PERIODO Imp.]:[PERIODO Imp.]],'Indirect Costs'!CT$8)</f>
        <v>0</v>
      </c>
      <c r="CU94" s="48">
        <f>SUMIFS(Imput[[Importe Neto]:[Importe Neto]],Imput[[C. Imp.]:[C. Imp.]],'Indirect Costs'!$C94,Imput[[PERIODO Imp.]:[PERIODO Imp.]],'Indirect Costs'!CU$8)</f>
        <v>0</v>
      </c>
      <c r="CV94" s="48">
        <f>SUMIFS(Imput[[Importe Neto]:[Importe Neto]],Imput[[C. Imp.]:[C. Imp.]],'Indirect Costs'!$C94,Imput[[PERIODO Imp.]:[PERIODO Imp.]],'Indirect Costs'!CV$8)</f>
        <v>0</v>
      </c>
      <c r="CW94" s="48">
        <f>SUMIFS(Imput[[Importe Neto]:[Importe Neto]],Imput[[C. Imp.]:[C. Imp.]],'Indirect Costs'!$C94,Imput[[PERIODO Imp.]:[PERIODO Imp.]],'Indirect Costs'!CW$8)</f>
        <v>0</v>
      </c>
      <c r="CX94" s="48">
        <f>SUMIFS(Imput[[Importe Neto]:[Importe Neto]],Imput[[C. Imp.]:[C. Imp.]],'Indirect Costs'!$C94,Imput[[PERIODO Imp.]:[PERIODO Imp.]],'Indirect Costs'!CX$8)</f>
        <v>0</v>
      </c>
      <c r="CY94" s="48">
        <f>SUMIFS(Imput[[Importe Neto]:[Importe Neto]],Imput[[C. Imp.]:[C. Imp.]],'Indirect Costs'!$C94,Imput[[PERIODO Imp.]:[PERIODO Imp.]],'Indirect Costs'!CY$8)</f>
        <v>0</v>
      </c>
      <c r="CZ94" s="48">
        <f>SUMIFS(Imput[[Importe Neto]:[Importe Neto]],Imput[[C. Imp.]:[C. Imp.]],'Indirect Costs'!$C94,Imput[[PERIODO Imp.]:[PERIODO Imp.]],'Indirect Costs'!CZ$8)</f>
        <v>0</v>
      </c>
      <c r="DA94" s="48">
        <f>SUMIFS(Imput[[Importe Neto]:[Importe Neto]],Imput[[C. Imp.]:[C. Imp.]],'Indirect Costs'!$C94,Imput[[PERIODO Imp.]:[PERIODO Imp.]],'Indirect Costs'!DA$8)</f>
        <v>0</v>
      </c>
      <c r="DB94" s="48">
        <f>SUMIFS(Imput[[Importe Neto]:[Importe Neto]],Imput[[C. Imp.]:[C. Imp.]],'Indirect Costs'!$C94,Imput[[PERIODO Imp.]:[PERIODO Imp.]],'Indirect Costs'!DB$8)</f>
        <v>0</v>
      </c>
      <c r="DC94" s="48">
        <f>SUMIFS(Imput[[Importe Neto]:[Importe Neto]],Imput[[C. Imp.]:[C. Imp.]],'Indirect Costs'!$C94,Imput[[PERIODO Imp.]:[PERIODO Imp.]],'Indirect Costs'!DC$8)</f>
        <v>0</v>
      </c>
      <c r="DD94" s="48">
        <f>SUMIFS(Imput[[Importe Neto]:[Importe Neto]],Imput[[C. Imp.]:[C. Imp.]],'Indirect Costs'!$C94,Imput[[PERIODO Imp.]:[PERIODO Imp.]],'Indirect Costs'!DD$8)</f>
        <v>0</v>
      </c>
      <c r="DE94" s="48">
        <f>SUMIFS(Imput[[Importe Neto]:[Importe Neto]],Imput[[C. Imp.]:[C. Imp.]],'Indirect Costs'!$C94,Imput[[PERIODO Imp.]:[PERIODO Imp.]],'Indirect Costs'!DE$8)</f>
        <v>0</v>
      </c>
      <c r="DF94" s="143">
        <f>SUMIFS(Imput[[Importe Neto]:[Importe Neto]],Imput[[C. Imp.]:[C. Imp.]],'Indirect Costs'!$C94,Imput[[PERIODO Imp.]:[PERIODO Imp.]],'Indirect Costs'!DF$8)</f>
        <v>0</v>
      </c>
    </row>
    <row r="95" spans="1:110" outlineLevel="1" x14ac:dyDescent="0.25">
      <c r="A95" s="28" t="str">
        <f t="shared" si="14"/>
        <v/>
      </c>
      <c r="B95" s="50">
        <v>4</v>
      </c>
      <c r="C95" s="57" t="s">
        <v>1752</v>
      </c>
      <c r="D95" s="56" t="s">
        <v>601</v>
      </c>
      <c r="E95" s="57" t="s">
        <v>601</v>
      </c>
      <c r="F95" s="58">
        <v>5000</v>
      </c>
      <c r="G95" s="49"/>
      <c r="H95" s="51">
        <v>1</v>
      </c>
      <c r="I95" s="505">
        <f t="shared" si="22"/>
        <v>0</v>
      </c>
      <c r="J95" s="47"/>
      <c r="K95" s="142"/>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143"/>
      <c r="BG95" s="47"/>
      <c r="BH95" s="509"/>
      <c r="BI95" s="505">
        <f t="shared" si="15"/>
        <v>0</v>
      </c>
      <c r="BJ95" s="47"/>
      <c r="BK95" s="142">
        <f>SUMIFS(Imput[[Importe Neto]:[Importe Neto]],Imput[[C. Imp.]:[C. Imp.]],'Indirect Costs'!$C95,Imput[[PERIODO Imp.]:[PERIODO Imp.]],'Indirect Costs'!BK$8)</f>
        <v>0</v>
      </c>
      <c r="BL95" s="48">
        <f>SUMIFS(Imput[[Importe Neto]:[Importe Neto]],Imput[[C. Imp.]:[C. Imp.]],'Indirect Costs'!$C95,Imput[[PERIODO Imp.]:[PERIODO Imp.]],'Indirect Costs'!BL$8)</f>
        <v>0</v>
      </c>
      <c r="BM95" s="48">
        <f>SUMIFS(Imput[[Importe Neto]:[Importe Neto]],Imput[[C. Imp.]:[C. Imp.]],'Indirect Costs'!$C95,Imput[[PERIODO Imp.]:[PERIODO Imp.]],'Indirect Costs'!BM$8)</f>
        <v>0</v>
      </c>
      <c r="BN95" s="48">
        <f>SUMIFS(Imput[[Importe Neto]:[Importe Neto]],Imput[[C. Imp.]:[C. Imp.]],'Indirect Costs'!$C95,Imput[[PERIODO Imp.]:[PERIODO Imp.]],'Indirect Costs'!BN$8)</f>
        <v>0</v>
      </c>
      <c r="BO95" s="48">
        <f>SUMIFS(Imput[[Importe Neto]:[Importe Neto]],Imput[[C. Imp.]:[C. Imp.]],'Indirect Costs'!$C95,Imput[[PERIODO Imp.]:[PERIODO Imp.]],'Indirect Costs'!BO$8)</f>
        <v>0</v>
      </c>
      <c r="BP95" s="48">
        <f>SUMIFS(Imput[[Importe Neto]:[Importe Neto]],Imput[[C. Imp.]:[C. Imp.]],'Indirect Costs'!$C95,Imput[[PERIODO Imp.]:[PERIODO Imp.]],'Indirect Costs'!BP$8)</f>
        <v>0</v>
      </c>
      <c r="BQ95" s="48">
        <f>SUMIFS(Imput[[Importe Neto]:[Importe Neto]],Imput[[C. Imp.]:[C. Imp.]],'Indirect Costs'!$C95,Imput[[PERIODO Imp.]:[PERIODO Imp.]],'Indirect Costs'!BQ$8)</f>
        <v>0</v>
      </c>
      <c r="BR95" s="48">
        <f>SUMIFS(Imput[[Importe Neto]:[Importe Neto]],Imput[[C. Imp.]:[C. Imp.]],'Indirect Costs'!$C95,Imput[[PERIODO Imp.]:[PERIODO Imp.]],'Indirect Costs'!BR$8)</f>
        <v>0</v>
      </c>
      <c r="BS95" s="48">
        <f>SUMIFS(Imput[[Importe Neto]:[Importe Neto]],Imput[[C. Imp.]:[C. Imp.]],'Indirect Costs'!$C95,Imput[[PERIODO Imp.]:[PERIODO Imp.]],'Indirect Costs'!BS$8)</f>
        <v>0</v>
      </c>
      <c r="BT95" s="48">
        <f>SUMIFS(Imput[[Importe Neto]:[Importe Neto]],Imput[[C. Imp.]:[C. Imp.]],'Indirect Costs'!$C95,Imput[[PERIODO Imp.]:[PERIODO Imp.]],'Indirect Costs'!BT$8)</f>
        <v>0</v>
      </c>
      <c r="BU95" s="48">
        <f>SUMIFS(Imput[[Importe Neto]:[Importe Neto]],Imput[[C. Imp.]:[C. Imp.]],'Indirect Costs'!$C95,Imput[[PERIODO Imp.]:[PERIODO Imp.]],'Indirect Costs'!BU$8)</f>
        <v>0</v>
      </c>
      <c r="BV95" s="48">
        <f>SUMIFS(Imput[[Importe Neto]:[Importe Neto]],Imput[[C. Imp.]:[C. Imp.]],'Indirect Costs'!$C95,Imput[[PERIODO Imp.]:[PERIODO Imp.]],'Indirect Costs'!BV$8)</f>
        <v>0</v>
      </c>
      <c r="BW95" s="48">
        <f>SUMIFS(Imput[[Importe Neto]:[Importe Neto]],Imput[[C. Imp.]:[C. Imp.]],'Indirect Costs'!$C95,Imput[[PERIODO Imp.]:[PERIODO Imp.]],'Indirect Costs'!BW$8)</f>
        <v>0</v>
      </c>
      <c r="BX95" s="48">
        <f>SUMIFS(Imput[[Importe Neto]:[Importe Neto]],Imput[[C. Imp.]:[C. Imp.]],'Indirect Costs'!$C95,Imput[[PERIODO Imp.]:[PERIODO Imp.]],'Indirect Costs'!BX$8)</f>
        <v>0</v>
      </c>
      <c r="BY95" s="48">
        <f>SUMIFS(Imput[[Importe Neto]:[Importe Neto]],Imput[[C. Imp.]:[C. Imp.]],'Indirect Costs'!$C95,Imput[[PERIODO Imp.]:[PERIODO Imp.]],'Indirect Costs'!BY$8)</f>
        <v>0</v>
      </c>
      <c r="BZ95" s="48">
        <f>SUMIFS(Imput[[Importe Neto]:[Importe Neto]],Imput[[C. Imp.]:[C. Imp.]],'Indirect Costs'!$C95,Imput[[PERIODO Imp.]:[PERIODO Imp.]],'Indirect Costs'!BZ$8)</f>
        <v>0</v>
      </c>
      <c r="CA95" s="48">
        <f>SUMIFS(Imput[[Importe Neto]:[Importe Neto]],Imput[[C. Imp.]:[C. Imp.]],'Indirect Costs'!$C95,Imput[[PERIODO Imp.]:[PERIODO Imp.]],'Indirect Costs'!CA$8)</f>
        <v>0</v>
      </c>
      <c r="CB95" s="48">
        <f>SUMIFS(Imput[[Importe Neto]:[Importe Neto]],Imput[[C. Imp.]:[C. Imp.]],'Indirect Costs'!$C95,Imput[[PERIODO Imp.]:[PERIODO Imp.]],'Indirect Costs'!CB$8)</f>
        <v>0</v>
      </c>
      <c r="CC95" s="48">
        <f>SUMIFS(Imput[[Importe Neto]:[Importe Neto]],Imput[[C. Imp.]:[C. Imp.]],'Indirect Costs'!$C95,Imput[[PERIODO Imp.]:[PERIODO Imp.]],'Indirect Costs'!CC$8)</f>
        <v>0</v>
      </c>
      <c r="CD95" s="48">
        <f>SUMIFS(Imput[[Importe Neto]:[Importe Neto]],Imput[[C. Imp.]:[C. Imp.]],'Indirect Costs'!$C95,Imput[[PERIODO Imp.]:[PERIODO Imp.]],'Indirect Costs'!CD$8)</f>
        <v>0</v>
      </c>
      <c r="CE95" s="48">
        <f>SUMIFS(Imput[[Importe Neto]:[Importe Neto]],Imput[[C. Imp.]:[C. Imp.]],'Indirect Costs'!$C95,Imput[[PERIODO Imp.]:[PERIODO Imp.]],'Indirect Costs'!CE$8)</f>
        <v>0</v>
      </c>
      <c r="CF95" s="48">
        <f>SUMIFS(Imput[[Importe Neto]:[Importe Neto]],Imput[[C. Imp.]:[C. Imp.]],'Indirect Costs'!$C95,Imput[[PERIODO Imp.]:[PERIODO Imp.]],'Indirect Costs'!CF$8)</f>
        <v>0</v>
      </c>
      <c r="CG95" s="48">
        <f>SUMIFS(Imput[[Importe Neto]:[Importe Neto]],Imput[[C. Imp.]:[C. Imp.]],'Indirect Costs'!$C95,Imput[[PERIODO Imp.]:[PERIODO Imp.]],'Indirect Costs'!CG$8)</f>
        <v>0</v>
      </c>
      <c r="CH95" s="48">
        <f>SUMIFS(Imput[[Importe Neto]:[Importe Neto]],Imput[[C. Imp.]:[C. Imp.]],'Indirect Costs'!$C95,Imput[[PERIODO Imp.]:[PERIODO Imp.]],'Indirect Costs'!CH$8)</f>
        <v>0</v>
      </c>
      <c r="CI95" s="48">
        <f>SUMIFS(Imput[[Importe Neto]:[Importe Neto]],Imput[[C. Imp.]:[C. Imp.]],'Indirect Costs'!$C95,Imput[[PERIODO Imp.]:[PERIODO Imp.]],'Indirect Costs'!CI$8)</f>
        <v>0</v>
      </c>
      <c r="CJ95" s="48">
        <f>SUMIFS(Imput[[Importe Neto]:[Importe Neto]],Imput[[C. Imp.]:[C. Imp.]],'Indirect Costs'!$C95,Imput[[PERIODO Imp.]:[PERIODO Imp.]],'Indirect Costs'!CJ$8)</f>
        <v>0</v>
      </c>
      <c r="CK95" s="48">
        <f>SUMIFS(Imput[[Importe Neto]:[Importe Neto]],Imput[[C. Imp.]:[C. Imp.]],'Indirect Costs'!$C95,Imput[[PERIODO Imp.]:[PERIODO Imp.]],'Indirect Costs'!CK$8)</f>
        <v>0</v>
      </c>
      <c r="CL95" s="48">
        <f>SUMIFS(Imput[[Importe Neto]:[Importe Neto]],Imput[[C. Imp.]:[C. Imp.]],'Indirect Costs'!$C95,Imput[[PERIODO Imp.]:[PERIODO Imp.]],'Indirect Costs'!CL$8)</f>
        <v>0</v>
      </c>
      <c r="CM95" s="48">
        <f>SUMIFS(Imput[[Importe Neto]:[Importe Neto]],Imput[[C. Imp.]:[C. Imp.]],'Indirect Costs'!$C95,Imput[[PERIODO Imp.]:[PERIODO Imp.]],'Indirect Costs'!CM$8)</f>
        <v>0</v>
      </c>
      <c r="CN95" s="48">
        <f>SUMIFS(Imput[[Importe Neto]:[Importe Neto]],Imput[[C. Imp.]:[C. Imp.]],'Indirect Costs'!$C95,Imput[[PERIODO Imp.]:[PERIODO Imp.]],'Indirect Costs'!CN$8)</f>
        <v>0</v>
      </c>
      <c r="CO95" s="48">
        <f>SUMIFS(Imput[[Importe Neto]:[Importe Neto]],Imput[[C. Imp.]:[C. Imp.]],'Indirect Costs'!$C95,Imput[[PERIODO Imp.]:[PERIODO Imp.]],'Indirect Costs'!CO$8)</f>
        <v>0</v>
      </c>
      <c r="CP95" s="48">
        <f>SUMIFS(Imput[[Importe Neto]:[Importe Neto]],Imput[[C. Imp.]:[C. Imp.]],'Indirect Costs'!$C95,Imput[[PERIODO Imp.]:[PERIODO Imp.]],'Indirect Costs'!CP$8)</f>
        <v>0</v>
      </c>
      <c r="CQ95" s="48">
        <f>SUMIFS(Imput[[Importe Neto]:[Importe Neto]],Imput[[C. Imp.]:[C. Imp.]],'Indirect Costs'!$C95,Imput[[PERIODO Imp.]:[PERIODO Imp.]],'Indirect Costs'!CQ$8)</f>
        <v>0</v>
      </c>
      <c r="CR95" s="48">
        <f>SUMIFS(Imput[[Importe Neto]:[Importe Neto]],Imput[[C. Imp.]:[C. Imp.]],'Indirect Costs'!$C95,Imput[[PERIODO Imp.]:[PERIODO Imp.]],'Indirect Costs'!CR$8)</f>
        <v>0</v>
      </c>
      <c r="CS95" s="48">
        <f>SUMIFS(Imput[[Importe Neto]:[Importe Neto]],Imput[[C. Imp.]:[C. Imp.]],'Indirect Costs'!$C95,Imput[[PERIODO Imp.]:[PERIODO Imp.]],'Indirect Costs'!CS$8)</f>
        <v>0</v>
      </c>
      <c r="CT95" s="48">
        <f>SUMIFS(Imput[[Importe Neto]:[Importe Neto]],Imput[[C. Imp.]:[C. Imp.]],'Indirect Costs'!$C95,Imput[[PERIODO Imp.]:[PERIODO Imp.]],'Indirect Costs'!CT$8)</f>
        <v>0</v>
      </c>
      <c r="CU95" s="48">
        <f>SUMIFS(Imput[[Importe Neto]:[Importe Neto]],Imput[[C. Imp.]:[C. Imp.]],'Indirect Costs'!$C95,Imput[[PERIODO Imp.]:[PERIODO Imp.]],'Indirect Costs'!CU$8)</f>
        <v>0</v>
      </c>
      <c r="CV95" s="48">
        <f>SUMIFS(Imput[[Importe Neto]:[Importe Neto]],Imput[[C. Imp.]:[C. Imp.]],'Indirect Costs'!$C95,Imput[[PERIODO Imp.]:[PERIODO Imp.]],'Indirect Costs'!CV$8)</f>
        <v>0</v>
      </c>
      <c r="CW95" s="48">
        <f>SUMIFS(Imput[[Importe Neto]:[Importe Neto]],Imput[[C. Imp.]:[C. Imp.]],'Indirect Costs'!$C95,Imput[[PERIODO Imp.]:[PERIODO Imp.]],'Indirect Costs'!CW$8)</f>
        <v>0</v>
      </c>
      <c r="CX95" s="48">
        <f>SUMIFS(Imput[[Importe Neto]:[Importe Neto]],Imput[[C. Imp.]:[C. Imp.]],'Indirect Costs'!$C95,Imput[[PERIODO Imp.]:[PERIODO Imp.]],'Indirect Costs'!CX$8)</f>
        <v>0</v>
      </c>
      <c r="CY95" s="48">
        <f>SUMIFS(Imput[[Importe Neto]:[Importe Neto]],Imput[[C. Imp.]:[C. Imp.]],'Indirect Costs'!$C95,Imput[[PERIODO Imp.]:[PERIODO Imp.]],'Indirect Costs'!CY$8)</f>
        <v>0</v>
      </c>
      <c r="CZ95" s="48">
        <f>SUMIFS(Imput[[Importe Neto]:[Importe Neto]],Imput[[C. Imp.]:[C. Imp.]],'Indirect Costs'!$C95,Imput[[PERIODO Imp.]:[PERIODO Imp.]],'Indirect Costs'!CZ$8)</f>
        <v>0</v>
      </c>
      <c r="DA95" s="48">
        <f>SUMIFS(Imput[[Importe Neto]:[Importe Neto]],Imput[[C. Imp.]:[C. Imp.]],'Indirect Costs'!$C95,Imput[[PERIODO Imp.]:[PERIODO Imp.]],'Indirect Costs'!DA$8)</f>
        <v>0</v>
      </c>
      <c r="DB95" s="48">
        <f>SUMIFS(Imput[[Importe Neto]:[Importe Neto]],Imput[[C. Imp.]:[C. Imp.]],'Indirect Costs'!$C95,Imput[[PERIODO Imp.]:[PERIODO Imp.]],'Indirect Costs'!DB$8)</f>
        <v>0</v>
      </c>
      <c r="DC95" s="48">
        <f>SUMIFS(Imput[[Importe Neto]:[Importe Neto]],Imput[[C. Imp.]:[C. Imp.]],'Indirect Costs'!$C95,Imput[[PERIODO Imp.]:[PERIODO Imp.]],'Indirect Costs'!DC$8)</f>
        <v>0</v>
      </c>
      <c r="DD95" s="48">
        <f>SUMIFS(Imput[[Importe Neto]:[Importe Neto]],Imput[[C. Imp.]:[C. Imp.]],'Indirect Costs'!$C95,Imput[[PERIODO Imp.]:[PERIODO Imp.]],'Indirect Costs'!DD$8)</f>
        <v>0</v>
      </c>
      <c r="DE95" s="48">
        <f>SUMIFS(Imput[[Importe Neto]:[Importe Neto]],Imput[[C. Imp.]:[C. Imp.]],'Indirect Costs'!$C95,Imput[[PERIODO Imp.]:[PERIODO Imp.]],'Indirect Costs'!DE$8)</f>
        <v>0</v>
      </c>
      <c r="DF95" s="143">
        <f>SUMIFS(Imput[[Importe Neto]:[Importe Neto]],Imput[[C. Imp.]:[C. Imp.]],'Indirect Costs'!$C95,Imput[[PERIODO Imp.]:[PERIODO Imp.]],'Indirect Costs'!DF$8)</f>
        <v>0</v>
      </c>
    </row>
    <row r="96" spans="1:110" outlineLevel="1" x14ac:dyDescent="0.25">
      <c r="A96" s="28" t="str">
        <f t="shared" si="14"/>
        <v/>
      </c>
      <c r="B96" s="50">
        <v>5</v>
      </c>
      <c r="C96" s="57" t="s">
        <v>1816</v>
      </c>
      <c r="D96" s="56" t="s">
        <v>602</v>
      </c>
      <c r="E96" s="57" t="s">
        <v>602</v>
      </c>
      <c r="F96" s="58">
        <v>15000</v>
      </c>
      <c r="G96" s="49"/>
      <c r="H96" s="51">
        <v>1</v>
      </c>
      <c r="I96" s="505">
        <f t="shared" si="22"/>
        <v>0</v>
      </c>
      <c r="J96" s="47"/>
      <c r="K96" s="142"/>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143"/>
      <c r="BG96" s="47"/>
      <c r="BH96" s="509"/>
      <c r="BI96" s="505">
        <f t="shared" si="15"/>
        <v>0</v>
      </c>
      <c r="BJ96" s="47"/>
      <c r="BK96" s="142">
        <f>SUMIFS(Imput[[Importe Neto]:[Importe Neto]],Imput[[C. Imp.]:[C. Imp.]],'Indirect Costs'!$C96,Imput[[PERIODO Imp.]:[PERIODO Imp.]],'Indirect Costs'!BK$8)</f>
        <v>0</v>
      </c>
      <c r="BL96" s="48">
        <f>SUMIFS(Imput[[Importe Neto]:[Importe Neto]],Imput[[C. Imp.]:[C. Imp.]],'Indirect Costs'!$C96,Imput[[PERIODO Imp.]:[PERIODO Imp.]],'Indirect Costs'!BL$8)</f>
        <v>0</v>
      </c>
      <c r="BM96" s="48">
        <f>SUMIFS(Imput[[Importe Neto]:[Importe Neto]],Imput[[C. Imp.]:[C. Imp.]],'Indirect Costs'!$C96,Imput[[PERIODO Imp.]:[PERIODO Imp.]],'Indirect Costs'!BM$8)</f>
        <v>0</v>
      </c>
      <c r="BN96" s="48">
        <f>SUMIFS(Imput[[Importe Neto]:[Importe Neto]],Imput[[C. Imp.]:[C. Imp.]],'Indirect Costs'!$C96,Imput[[PERIODO Imp.]:[PERIODO Imp.]],'Indirect Costs'!BN$8)</f>
        <v>0</v>
      </c>
      <c r="BO96" s="48">
        <f>SUMIFS(Imput[[Importe Neto]:[Importe Neto]],Imput[[C. Imp.]:[C. Imp.]],'Indirect Costs'!$C96,Imput[[PERIODO Imp.]:[PERIODO Imp.]],'Indirect Costs'!BO$8)</f>
        <v>0</v>
      </c>
      <c r="BP96" s="48">
        <f>SUMIFS(Imput[[Importe Neto]:[Importe Neto]],Imput[[C. Imp.]:[C. Imp.]],'Indirect Costs'!$C96,Imput[[PERIODO Imp.]:[PERIODO Imp.]],'Indirect Costs'!BP$8)</f>
        <v>0</v>
      </c>
      <c r="BQ96" s="48">
        <f>SUMIFS(Imput[[Importe Neto]:[Importe Neto]],Imput[[C. Imp.]:[C. Imp.]],'Indirect Costs'!$C96,Imput[[PERIODO Imp.]:[PERIODO Imp.]],'Indirect Costs'!BQ$8)</f>
        <v>0</v>
      </c>
      <c r="BR96" s="48">
        <f>SUMIFS(Imput[[Importe Neto]:[Importe Neto]],Imput[[C. Imp.]:[C. Imp.]],'Indirect Costs'!$C96,Imput[[PERIODO Imp.]:[PERIODO Imp.]],'Indirect Costs'!BR$8)</f>
        <v>0</v>
      </c>
      <c r="BS96" s="48">
        <f>SUMIFS(Imput[[Importe Neto]:[Importe Neto]],Imput[[C. Imp.]:[C. Imp.]],'Indirect Costs'!$C96,Imput[[PERIODO Imp.]:[PERIODO Imp.]],'Indirect Costs'!BS$8)</f>
        <v>0</v>
      </c>
      <c r="BT96" s="48">
        <f>SUMIFS(Imput[[Importe Neto]:[Importe Neto]],Imput[[C. Imp.]:[C. Imp.]],'Indirect Costs'!$C96,Imput[[PERIODO Imp.]:[PERIODO Imp.]],'Indirect Costs'!BT$8)</f>
        <v>0</v>
      </c>
      <c r="BU96" s="48">
        <f>SUMIFS(Imput[[Importe Neto]:[Importe Neto]],Imput[[C. Imp.]:[C. Imp.]],'Indirect Costs'!$C96,Imput[[PERIODO Imp.]:[PERIODO Imp.]],'Indirect Costs'!BU$8)</f>
        <v>0</v>
      </c>
      <c r="BV96" s="48">
        <f>SUMIFS(Imput[[Importe Neto]:[Importe Neto]],Imput[[C. Imp.]:[C. Imp.]],'Indirect Costs'!$C96,Imput[[PERIODO Imp.]:[PERIODO Imp.]],'Indirect Costs'!BV$8)</f>
        <v>0</v>
      </c>
      <c r="BW96" s="48">
        <f>SUMIFS(Imput[[Importe Neto]:[Importe Neto]],Imput[[C. Imp.]:[C. Imp.]],'Indirect Costs'!$C96,Imput[[PERIODO Imp.]:[PERIODO Imp.]],'Indirect Costs'!BW$8)</f>
        <v>0</v>
      </c>
      <c r="BX96" s="48">
        <f>SUMIFS(Imput[[Importe Neto]:[Importe Neto]],Imput[[C. Imp.]:[C. Imp.]],'Indirect Costs'!$C96,Imput[[PERIODO Imp.]:[PERIODO Imp.]],'Indirect Costs'!BX$8)</f>
        <v>0</v>
      </c>
      <c r="BY96" s="48">
        <f>SUMIFS(Imput[[Importe Neto]:[Importe Neto]],Imput[[C. Imp.]:[C. Imp.]],'Indirect Costs'!$C96,Imput[[PERIODO Imp.]:[PERIODO Imp.]],'Indirect Costs'!BY$8)</f>
        <v>0</v>
      </c>
      <c r="BZ96" s="48">
        <f>SUMIFS(Imput[[Importe Neto]:[Importe Neto]],Imput[[C. Imp.]:[C. Imp.]],'Indirect Costs'!$C96,Imput[[PERIODO Imp.]:[PERIODO Imp.]],'Indirect Costs'!BZ$8)</f>
        <v>0</v>
      </c>
      <c r="CA96" s="48">
        <f>SUMIFS(Imput[[Importe Neto]:[Importe Neto]],Imput[[C. Imp.]:[C. Imp.]],'Indirect Costs'!$C96,Imput[[PERIODO Imp.]:[PERIODO Imp.]],'Indirect Costs'!CA$8)</f>
        <v>0</v>
      </c>
      <c r="CB96" s="48">
        <f>SUMIFS(Imput[[Importe Neto]:[Importe Neto]],Imput[[C. Imp.]:[C. Imp.]],'Indirect Costs'!$C96,Imput[[PERIODO Imp.]:[PERIODO Imp.]],'Indirect Costs'!CB$8)</f>
        <v>0</v>
      </c>
      <c r="CC96" s="48">
        <f>SUMIFS(Imput[[Importe Neto]:[Importe Neto]],Imput[[C. Imp.]:[C. Imp.]],'Indirect Costs'!$C96,Imput[[PERIODO Imp.]:[PERIODO Imp.]],'Indirect Costs'!CC$8)</f>
        <v>0</v>
      </c>
      <c r="CD96" s="48">
        <f>SUMIFS(Imput[[Importe Neto]:[Importe Neto]],Imput[[C. Imp.]:[C. Imp.]],'Indirect Costs'!$C96,Imput[[PERIODO Imp.]:[PERIODO Imp.]],'Indirect Costs'!CD$8)</f>
        <v>0</v>
      </c>
      <c r="CE96" s="48">
        <f>SUMIFS(Imput[[Importe Neto]:[Importe Neto]],Imput[[C. Imp.]:[C. Imp.]],'Indirect Costs'!$C96,Imput[[PERIODO Imp.]:[PERIODO Imp.]],'Indirect Costs'!CE$8)</f>
        <v>0</v>
      </c>
      <c r="CF96" s="48">
        <f>SUMIFS(Imput[[Importe Neto]:[Importe Neto]],Imput[[C. Imp.]:[C. Imp.]],'Indirect Costs'!$C96,Imput[[PERIODO Imp.]:[PERIODO Imp.]],'Indirect Costs'!CF$8)</f>
        <v>0</v>
      </c>
      <c r="CG96" s="48">
        <f>SUMIFS(Imput[[Importe Neto]:[Importe Neto]],Imput[[C. Imp.]:[C. Imp.]],'Indirect Costs'!$C96,Imput[[PERIODO Imp.]:[PERIODO Imp.]],'Indirect Costs'!CG$8)</f>
        <v>0</v>
      </c>
      <c r="CH96" s="48">
        <f>SUMIFS(Imput[[Importe Neto]:[Importe Neto]],Imput[[C. Imp.]:[C. Imp.]],'Indirect Costs'!$C96,Imput[[PERIODO Imp.]:[PERIODO Imp.]],'Indirect Costs'!CH$8)</f>
        <v>0</v>
      </c>
      <c r="CI96" s="48">
        <f>SUMIFS(Imput[[Importe Neto]:[Importe Neto]],Imput[[C. Imp.]:[C. Imp.]],'Indirect Costs'!$C96,Imput[[PERIODO Imp.]:[PERIODO Imp.]],'Indirect Costs'!CI$8)</f>
        <v>0</v>
      </c>
      <c r="CJ96" s="48">
        <f>SUMIFS(Imput[[Importe Neto]:[Importe Neto]],Imput[[C. Imp.]:[C. Imp.]],'Indirect Costs'!$C96,Imput[[PERIODO Imp.]:[PERIODO Imp.]],'Indirect Costs'!CJ$8)</f>
        <v>0</v>
      </c>
      <c r="CK96" s="48">
        <f>SUMIFS(Imput[[Importe Neto]:[Importe Neto]],Imput[[C. Imp.]:[C. Imp.]],'Indirect Costs'!$C96,Imput[[PERIODO Imp.]:[PERIODO Imp.]],'Indirect Costs'!CK$8)</f>
        <v>0</v>
      </c>
      <c r="CL96" s="48">
        <f>SUMIFS(Imput[[Importe Neto]:[Importe Neto]],Imput[[C. Imp.]:[C. Imp.]],'Indirect Costs'!$C96,Imput[[PERIODO Imp.]:[PERIODO Imp.]],'Indirect Costs'!CL$8)</f>
        <v>0</v>
      </c>
      <c r="CM96" s="48">
        <f>SUMIFS(Imput[[Importe Neto]:[Importe Neto]],Imput[[C. Imp.]:[C. Imp.]],'Indirect Costs'!$C96,Imput[[PERIODO Imp.]:[PERIODO Imp.]],'Indirect Costs'!CM$8)</f>
        <v>0</v>
      </c>
      <c r="CN96" s="48">
        <f>SUMIFS(Imput[[Importe Neto]:[Importe Neto]],Imput[[C. Imp.]:[C. Imp.]],'Indirect Costs'!$C96,Imput[[PERIODO Imp.]:[PERIODO Imp.]],'Indirect Costs'!CN$8)</f>
        <v>0</v>
      </c>
      <c r="CO96" s="48">
        <f>SUMIFS(Imput[[Importe Neto]:[Importe Neto]],Imput[[C. Imp.]:[C. Imp.]],'Indirect Costs'!$C96,Imput[[PERIODO Imp.]:[PERIODO Imp.]],'Indirect Costs'!CO$8)</f>
        <v>0</v>
      </c>
      <c r="CP96" s="48">
        <f>SUMIFS(Imput[[Importe Neto]:[Importe Neto]],Imput[[C. Imp.]:[C. Imp.]],'Indirect Costs'!$C96,Imput[[PERIODO Imp.]:[PERIODO Imp.]],'Indirect Costs'!CP$8)</f>
        <v>0</v>
      </c>
      <c r="CQ96" s="48">
        <f>SUMIFS(Imput[[Importe Neto]:[Importe Neto]],Imput[[C. Imp.]:[C. Imp.]],'Indirect Costs'!$C96,Imput[[PERIODO Imp.]:[PERIODO Imp.]],'Indirect Costs'!CQ$8)</f>
        <v>0</v>
      </c>
      <c r="CR96" s="48">
        <f>SUMIFS(Imput[[Importe Neto]:[Importe Neto]],Imput[[C. Imp.]:[C. Imp.]],'Indirect Costs'!$C96,Imput[[PERIODO Imp.]:[PERIODO Imp.]],'Indirect Costs'!CR$8)</f>
        <v>0</v>
      </c>
      <c r="CS96" s="48">
        <f>SUMIFS(Imput[[Importe Neto]:[Importe Neto]],Imput[[C. Imp.]:[C. Imp.]],'Indirect Costs'!$C96,Imput[[PERIODO Imp.]:[PERIODO Imp.]],'Indirect Costs'!CS$8)</f>
        <v>0</v>
      </c>
      <c r="CT96" s="48">
        <f>SUMIFS(Imput[[Importe Neto]:[Importe Neto]],Imput[[C. Imp.]:[C. Imp.]],'Indirect Costs'!$C96,Imput[[PERIODO Imp.]:[PERIODO Imp.]],'Indirect Costs'!CT$8)</f>
        <v>0</v>
      </c>
      <c r="CU96" s="48">
        <f>SUMIFS(Imput[[Importe Neto]:[Importe Neto]],Imput[[C. Imp.]:[C. Imp.]],'Indirect Costs'!$C96,Imput[[PERIODO Imp.]:[PERIODO Imp.]],'Indirect Costs'!CU$8)</f>
        <v>0</v>
      </c>
      <c r="CV96" s="48">
        <f>SUMIFS(Imput[[Importe Neto]:[Importe Neto]],Imput[[C. Imp.]:[C. Imp.]],'Indirect Costs'!$C96,Imput[[PERIODO Imp.]:[PERIODO Imp.]],'Indirect Costs'!CV$8)</f>
        <v>0</v>
      </c>
      <c r="CW96" s="48">
        <f>SUMIFS(Imput[[Importe Neto]:[Importe Neto]],Imput[[C. Imp.]:[C. Imp.]],'Indirect Costs'!$C96,Imput[[PERIODO Imp.]:[PERIODO Imp.]],'Indirect Costs'!CW$8)</f>
        <v>0</v>
      </c>
      <c r="CX96" s="48">
        <f>SUMIFS(Imput[[Importe Neto]:[Importe Neto]],Imput[[C. Imp.]:[C. Imp.]],'Indirect Costs'!$C96,Imput[[PERIODO Imp.]:[PERIODO Imp.]],'Indirect Costs'!CX$8)</f>
        <v>0</v>
      </c>
      <c r="CY96" s="48">
        <f>SUMIFS(Imput[[Importe Neto]:[Importe Neto]],Imput[[C. Imp.]:[C. Imp.]],'Indirect Costs'!$C96,Imput[[PERIODO Imp.]:[PERIODO Imp.]],'Indirect Costs'!CY$8)</f>
        <v>0</v>
      </c>
      <c r="CZ96" s="48">
        <f>SUMIFS(Imput[[Importe Neto]:[Importe Neto]],Imput[[C. Imp.]:[C. Imp.]],'Indirect Costs'!$C96,Imput[[PERIODO Imp.]:[PERIODO Imp.]],'Indirect Costs'!CZ$8)</f>
        <v>0</v>
      </c>
      <c r="DA96" s="48">
        <f>SUMIFS(Imput[[Importe Neto]:[Importe Neto]],Imput[[C. Imp.]:[C. Imp.]],'Indirect Costs'!$C96,Imput[[PERIODO Imp.]:[PERIODO Imp.]],'Indirect Costs'!DA$8)</f>
        <v>0</v>
      </c>
      <c r="DB96" s="48">
        <f>SUMIFS(Imput[[Importe Neto]:[Importe Neto]],Imput[[C. Imp.]:[C. Imp.]],'Indirect Costs'!$C96,Imput[[PERIODO Imp.]:[PERIODO Imp.]],'Indirect Costs'!DB$8)</f>
        <v>0</v>
      </c>
      <c r="DC96" s="48">
        <f>SUMIFS(Imput[[Importe Neto]:[Importe Neto]],Imput[[C. Imp.]:[C. Imp.]],'Indirect Costs'!$C96,Imput[[PERIODO Imp.]:[PERIODO Imp.]],'Indirect Costs'!DC$8)</f>
        <v>0</v>
      </c>
      <c r="DD96" s="48">
        <f>SUMIFS(Imput[[Importe Neto]:[Importe Neto]],Imput[[C. Imp.]:[C. Imp.]],'Indirect Costs'!$C96,Imput[[PERIODO Imp.]:[PERIODO Imp.]],'Indirect Costs'!DD$8)</f>
        <v>0</v>
      </c>
      <c r="DE96" s="48">
        <f>SUMIFS(Imput[[Importe Neto]:[Importe Neto]],Imput[[C. Imp.]:[C. Imp.]],'Indirect Costs'!$C96,Imput[[PERIODO Imp.]:[PERIODO Imp.]],'Indirect Costs'!DE$8)</f>
        <v>0</v>
      </c>
      <c r="DF96" s="143">
        <f>SUMIFS(Imput[[Importe Neto]:[Importe Neto]],Imput[[C. Imp.]:[C. Imp.]],'Indirect Costs'!$C96,Imput[[PERIODO Imp.]:[PERIODO Imp.]],'Indirect Costs'!DF$8)</f>
        <v>0</v>
      </c>
    </row>
    <row r="97" spans="1:110" outlineLevel="1" x14ac:dyDescent="0.25">
      <c r="A97" s="28" t="str">
        <f t="shared" si="14"/>
        <v/>
      </c>
      <c r="B97" s="50">
        <v>6</v>
      </c>
      <c r="C97" s="57" t="s">
        <v>1817</v>
      </c>
      <c r="D97" s="56" t="s">
        <v>603</v>
      </c>
      <c r="E97" s="57" t="s">
        <v>603</v>
      </c>
      <c r="F97" s="58">
        <v>15000</v>
      </c>
      <c r="G97" s="49"/>
      <c r="H97" s="51">
        <v>1</v>
      </c>
      <c r="I97" s="505">
        <f t="shared" si="22"/>
        <v>0</v>
      </c>
      <c r="J97" s="47"/>
      <c r="K97" s="142"/>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143"/>
      <c r="BG97" s="47"/>
      <c r="BH97" s="509"/>
      <c r="BI97" s="505">
        <f t="shared" si="15"/>
        <v>0</v>
      </c>
      <c r="BJ97" s="47"/>
      <c r="BK97" s="142">
        <f>SUMIFS(Imput[[Importe Neto]:[Importe Neto]],Imput[[C. Imp.]:[C. Imp.]],'Indirect Costs'!$C97,Imput[[PERIODO Imp.]:[PERIODO Imp.]],'Indirect Costs'!BK$8)</f>
        <v>0</v>
      </c>
      <c r="BL97" s="127">
        <f>SUMIFS(Imput[[Importe Neto]:[Importe Neto]],Imput[[C. Imp.]:[C. Imp.]],'Indirect Costs'!$C97,Imput[[PERIODO Imp.]:[PERIODO Imp.]],'Indirect Costs'!BL$8)</f>
        <v>0</v>
      </c>
      <c r="BM97" s="127">
        <f>SUMIFS(Imput[[Importe Neto]:[Importe Neto]],Imput[[C. Imp.]:[C. Imp.]],'Indirect Costs'!$C97,Imput[[PERIODO Imp.]:[PERIODO Imp.]],'Indirect Costs'!BM$8)</f>
        <v>0</v>
      </c>
      <c r="BN97" s="127">
        <f>SUMIFS(Imput[[Importe Neto]:[Importe Neto]],Imput[[C. Imp.]:[C. Imp.]],'Indirect Costs'!$C97,Imput[[PERIODO Imp.]:[PERIODO Imp.]],'Indirect Costs'!BN$8)</f>
        <v>0</v>
      </c>
      <c r="BO97" s="127">
        <f>SUMIFS(Imput[[Importe Neto]:[Importe Neto]],Imput[[C. Imp.]:[C. Imp.]],'Indirect Costs'!$C97,Imput[[PERIODO Imp.]:[PERIODO Imp.]],'Indirect Costs'!BO$8)</f>
        <v>0</v>
      </c>
      <c r="BP97" s="127">
        <f>SUMIFS(Imput[[Importe Neto]:[Importe Neto]],Imput[[C. Imp.]:[C. Imp.]],'Indirect Costs'!$C97,Imput[[PERIODO Imp.]:[PERIODO Imp.]],'Indirect Costs'!BP$8)</f>
        <v>0</v>
      </c>
      <c r="BQ97" s="127">
        <f>SUMIFS(Imput[[Importe Neto]:[Importe Neto]],Imput[[C. Imp.]:[C. Imp.]],'Indirect Costs'!$C97,Imput[[PERIODO Imp.]:[PERIODO Imp.]],'Indirect Costs'!BQ$8)</f>
        <v>0</v>
      </c>
      <c r="BR97" s="127">
        <f>SUMIFS(Imput[[Importe Neto]:[Importe Neto]],Imput[[C. Imp.]:[C. Imp.]],'Indirect Costs'!$C97,Imput[[PERIODO Imp.]:[PERIODO Imp.]],'Indirect Costs'!BR$8)</f>
        <v>0</v>
      </c>
      <c r="BS97" s="127">
        <f>SUMIFS(Imput[[Importe Neto]:[Importe Neto]],Imput[[C. Imp.]:[C. Imp.]],'Indirect Costs'!$C97,Imput[[PERIODO Imp.]:[PERIODO Imp.]],'Indirect Costs'!BS$8)</f>
        <v>0</v>
      </c>
      <c r="BT97" s="127">
        <f>SUMIFS(Imput[[Importe Neto]:[Importe Neto]],Imput[[C. Imp.]:[C. Imp.]],'Indirect Costs'!$C97,Imput[[PERIODO Imp.]:[PERIODO Imp.]],'Indirect Costs'!BT$8)</f>
        <v>0</v>
      </c>
      <c r="BU97" s="127">
        <f>SUMIFS(Imput[[Importe Neto]:[Importe Neto]],Imput[[C. Imp.]:[C. Imp.]],'Indirect Costs'!$C97,Imput[[PERIODO Imp.]:[PERIODO Imp.]],'Indirect Costs'!BU$8)</f>
        <v>0</v>
      </c>
      <c r="BV97" s="127">
        <f>SUMIFS(Imput[[Importe Neto]:[Importe Neto]],Imput[[C. Imp.]:[C. Imp.]],'Indirect Costs'!$C97,Imput[[PERIODO Imp.]:[PERIODO Imp.]],'Indirect Costs'!BV$8)</f>
        <v>0</v>
      </c>
      <c r="BW97" s="127">
        <f>SUMIFS(Imput[[Importe Neto]:[Importe Neto]],Imput[[C. Imp.]:[C. Imp.]],'Indirect Costs'!$C97,Imput[[PERIODO Imp.]:[PERIODO Imp.]],'Indirect Costs'!BW$8)</f>
        <v>0</v>
      </c>
      <c r="BX97" s="127">
        <f>SUMIFS(Imput[[Importe Neto]:[Importe Neto]],Imput[[C. Imp.]:[C. Imp.]],'Indirect Costs'!$C97,Imput[[PERIODO Imp.]:[PERIODO Imp.]],'Indirect Costs'!BX$8)</f>
        <v>0</v>
      </c>
      <c r="BY97" s="127">
        <f>SUMIFS(Imput[[Importe Neto]:[Importe Neto]],Imput[[C. Imp.]:[C. Imp.]],'Indirect Costs'!$C97,Imput[[PERIODO Imp.]:[PERIODO Imp.]],'Indirect Costs'!BY$8)</f>
        <v>0</v>
      </c>
      <c r="BZ97" s="127">
        <f>SUMIFS(Imput[[Importe Neto]:[Importe Neto]],Imput[[C. Imp.]:[C. Imp.]],'Indirect Costs'!$C97,Imput[[PERIODO Imp.]:[PERIODO Imp.]],'Indirect Costs'!BZ$8)</f>
        <v>0</v>
      </c>
      <c r="CA97" s="127">
        <f>SUMIFS(Imput[[Importe Neto]:[Importe Neto]],Imput[[C. Imp.]:[C. Imp.]],'Indirect Costs'!$C97,Imput[[PERIODO Imp.]:[PERIODO Imp.]],'Indirect Costs'!CA$8)</f>
        <v>0</v>
      </c>
      <c r="CB97" s="127">
        <f>SUMIFS(Imput[[Importe Neto]:[Importe Neto]],Imput[[C. Imp.]:[C. Imp.]],'Indirect Costs'!$C97,Imput[[PERIODO Imp.]:[PERIODO Imp.]],'Indirect Costs'!CB$8)</f>
        <v>0</v>
      </c>
      <c r="CC97" s="127">
        <f>SUMIFS(Imput[[Importe Neto]:[Importe Neto]],Imput[[C. Imp.]:[C. Imp.]],'Indirect Costs'!$C97,Imput[[PERIODO Imp.]:[PERIODO Imp.]],'Indirect Costs'!CC$8)</f>
        <v>0</v>
      </c>
      <c r="CD97" s="127">
        <f>SUMIFS(Imput[[Importe Neto]:[Importe Neto]],Imput[[C. Imp.]:[C. Imp.]],'Indirect Costs'!$C97,Imput[[PERIODO Imp.]:[PERIODO Imp.]],'Indirect Costs'!CD$8)</f>
        <v>0</v>
      </c>
      <c r="CE97" s="127">
        <f>SUMIFS(Imput[[Importe Neto]:[Importe Neto]],Imput[[C. Imp.]:[C. Imp.]],'Indirect Costs'!$C97,Imput[[PERIODO Imp.]:[PERIODO Imp.]],'Indirect Costs'!CE$8)</f>
        <v>0</v>
      </c>
      <c r="CF97" s="127">
        <f>SUMIFS(Imput[[Importe Neto]:[Importe Neto]],Imput[[C. Imp.]:[C. Imp.]],'Indirect Costs'!$C97,Imput[[PERIODO Imp.]:[PERIODO Imp.]],'Indirect Costs'!CF$8)</f>
        <v>0</v>
      </c>
      <c r="CG97" s="127">
        <f>SUMIFS(Imput[[Importe Neto]:[Importe Neto]],Imput[[C. Imp.]:[C. Imp.]],'Indirect Costs'!$C97,Imput[[PERIODO Imp.]:[PERIODO Imp.]],'Indirect Costs'!CG$8)</f>
        <v>0</v>
      </c>
      <c r="CH97" s="127">
        <f>SUMIFS(Imput[[Importe Neto]:[Importe Neto]],Imput[[C. Imp.]:[C. Imp.]],'Indirect Costs'!$C97,Imput[[PERIODO Imp.]:[PERIODO Imp.]],'Indirect Costs'!CH$8)</f>
        <v>0</v>
      </c>
      <c r="CI97" s="127">
        <f>SUMIFS(Imput[[Importe Neto]:[Importe Neto]],Imput[[C. Imp.]:[C. Imp.]],'Indirect Costs'!$C97,Imput[[PERIODO Imp.]:[PERIODO Imp.]],'Indirect Costs'!CI$8)</f>
        <v>0</v>
      </c>
      <c r="CJ97" s="127">
        <f>SUMIFS(Imput[[Importe Neto]:[Importe Neto]],Imput[[C. Imp.]:[C. Imp.]],'Indirect Costs'!$C97,Imput[[PERIODO Imp.]:[PERIODO Imp.]],'Indirect Costs'!CJ$8)</f>
        <v>0</v>
      </c>
      <c r="CK97" s="127">
        <f>SUMIFS(Imput[[Importe Neto]:[Importe Neto]],Imput[[C. Imp.]:[C. Imp.]],'Indirect Costs'!$C97,Imput[[PERIODO Imp.]:[PERIODO Imp.]],'Indirect Costs'!CK$8)</f>
        <v>0</v>
      </c>
      <c r="CL97" s="127">
        <f>SUMIFS(Imput[[Importe Neto]:[Importe Neto]],Imput[[C. Imp.]:[C. Imp.]],'Indirect Costs'!$C97,Imput[[PERIODO Imp.]:[PERIODO Imp.]],'Indirect Costs'!CL$8)</f>
        <v>0</v>
      </c>
      <c r="CM97" s="127">
        <f>SUMIFS(Imput[[Importe Neto]:[Importe Neto]],Imput[[C. Imp.]:[C. Imp.]],'Indirect Costs'!$C97,Imput[[PERIODO Imp.]:[PERIODO Imp.]],'Indirect Costs'!CM$8)</f>
        <v>0</v>
      </c>
      <c r="CN97" s="127">
        <f>SUMIFS(Imput[[Importe Neto]:[Importe Neto]],Imput[[C. Imp.]:[C. Imp.]],'Indirect Costs'!$C97,Imput[[PERIODO Imp.]:[PERIODO Imp.]],'Indirect Costs'!CN$8)</f>
        <v>0</v>
      </c>
      <c r="CO97" s="127">
        <f>SUMIFS(Imput[[Importe Neto]:[Importe Neto]],Imput[[C. Imp.]:[C. Imp.]],'Indirect Costs'!$C97,Imput[[PERIODO Imp.]:[PERIODO Imp.]],'Indirect Costs'!CO$8)</f>
        <v>0</v>
      </c>
      <c r="CP97" s="127">
        <f>SUMIFS(Imput[[Importe Neto]:[Importe Neto]],Imput[[C. Imp.]:[C. Imp.]],'Indirect Costs'!$C97,Imput[[PERIODO Imp.]:[PERIODO Imp.]],'Indirect Costs'!CP$8)</f>
        <v>0</v>
      </c>
      <c r="CQ97" s="127">
        <f>SUMIFS(Imput[[Importe Neto]:[Importe Neto]],Imput[[C. Imp.]:[C. Imp.]],'Indirect Costs'!$C97,Imput[[PERIODO Imp.]:[PERIODO Imp.]],'Indirect Costs'!CQ$8)</f>
        <v>0</v>
      </c>
      <c r="CR97" s="127">
        <f>SUMIFS(Imput[[Importe Neto]:[Importe Neto]],Imput[[C. Imp.]:[C. Imp.]],'Indirect Costs'!$C97,Imput[[PERIODO Imp.]:[PERIODO Imp.]],'Indirect Costs'!CR$8)</f>
        <v>0</v>
      </c>
      <c r="CS97" s="127">
        <f>SUMIFS(Imput[[Importe Neto]:[Importe Neto]],Imput[[C. Imp.]:[C. Imp.]],'Indirect Costs'!$C97,Imput[[PERIODO Imp.]:[PERIODO Imp.]],'Indirect Costs'!CS$8)</f>
        <v>0</v>
      </c>
      <c r="CT97" s="127">
        <f>SUMIFS(Imput[[Importe Neto]:[Importe Neto]],Imput[[C. Imp.]:[C. Imp.]],'Indirect Costs'!$C97,Imput[[PERIODO Imp.]:[PERIODO Imp.]],'Indirect Costs'!CT$8)</f>
        <v>0</v>
      </c>
      <c r="CU97" s="127">
        <f>SUMIFS(Imput[[Importe Neto]:[Importe Neto]],Imput[[C. Imp.]:[C. Imp.]],'Indirect Costs'!$C97,Imput[[PERIODO Imp.]:[PERIODO Imp.]],'Indirect Costs'!CU$8)</f>
        <v>0</v>
      </c>
      <c r="CV97" s="127">
        <f>SUMIFS(Imput[[Importe Neto]:[Importe Neto]],Imput[[C. Imp.]:[C. Imp.]],'Indirect Costs'!$C97,Imput[[PERIODO Imp.]:[PERIODO Imp.]],'Indirect Costs'!CV$8)</f>
        <v>0</v>
      </c>
      <c r="CW97" s="127">
        <f>SUMIFS(Imput[[Importe Neto]:[Importe Neto]],Imput[[C. Imp.]:[C. Imp.]],'Indirect Costs'!$C97,Imput[[PERIODO Imp.]:[PERIODO Imp.]],'Indirect Costs'!CW$8)</f>
        <v>0</v>
      </c>
      <c r="CX97" s="127">
        <f>SUMIFS(Imput[[Importe Neto]:[Importe Neto]],Imput[[C. Imp.]:[C. Imp.]],'Indirect Costs'!$C97,Imput[[PERIODO Imp.]:[PERIODO Imp.]],'Indirect Costs'!CX$8)</f>
        <v>0</v>
      </c>
      <c r="CY97" s="127">
        <f>SUMIFS(Imput[[Importe Neto]:[Importe Neto]],Imput[[C. Imp.]:[C. Imp.]],'Indirect Costs'!$C97,Imput[[PERIODO Imp.]:[PERIODO Imp.]],'Indirect Costs'!CY$8)</f>
        <v>0</v>
      </c>
      <c r="CZ97" s="127">
        <f>SUMIFS(Imput[[Importe Neto]:[Importe Neto]],Imput[[C. Imp.]:[C. Imp.]],'Indirect Costs'!$C97,Imput[[PERIODO Imp.]:[PERIODO Imp.]],'Indirect Costs'!CZ$8)</f>
        <v>0</v>
      </c>
      <c r="DA97" s="127">
        <f>SUMIFS(Imput[[Importe Neto]:[Importe Neto]],Imput[[C. Imp.]:[C. Imp.]],'Indirect Costs'!$C97,Imput[[PERIODO Imp.]:[PERIODO Imp.]],'Indirect Costs'!DA$8)</f>
        <v>0</v>
      </c>
      <c r="DB97" s="127">
        <f>SUMIFS(Imput[[Importe Neto]:[Importe Neto]],Imput[[C. Imp.]:[C. Imp.]],'Indirect Costs'!$C97,Imput[[PERIODO Imp.]:[PERIODO Imp.]],'Indirect Costs'!DB$8)</f>
        <v>0</v>
      </c>
      <c r="DC97" s="127">
        <f>SUMIFS(Imput[[Importe Neto]:[Importe Neto]],Imput[[C. Imp.]:[C. Imp.]],'Indirect Costs'!$C97,Imput[[PERIODO Imp.]:[PERIODO Imp.]],'Indirect Costs'!DC$8)</f>
        <v>0</v>
      </c>
      <c r="DD97" s="127">
        <f>SUMIFS(Imput[[Importe Neto]:[Importe Neto]],Imput[[C. Imp.]:[C. Imp.]],'Indirect Costs'!$C97,Imput[[PERIODO Imp.]:[PERIODO Imp.]],'Indirect Costs'!DD$8)</f>
        <v>0</v>
      </c>
      <c r="DE97" s="127">
        <f>SUMIFS(Imput[[Importe Neto]:[Importe Neto]],Imput[[C. Imp.]:[C. Imp.]],'Indirect Costs'!$C97,Imput[[PERIODO Imp.]:[PERIODO Imp.]],'Indirect Costs'!DE$8)</f>
        <v>0</v>
      </c>
      <c r="DF97" s="127">
        <f>SUMIFS(Imput[[Importe Neto]:[Importe Neto]],Imput[[C. Imp.]:[C. Imp.]],'Indirect Costs'!$C97,Imput[[PERIODO Imp.]:[PERIODO Imp.]],'Indirect Costs'!DF$8)</f>
        <v>0</v>
      </c>
    </row>
    <row r="98" spans="1:110" outlineLevel="1" x14ac:dyDescent="0.25">
      <c r="A98" s="28" t="str">
        <f t="shared" si="14"/>
        <v>Imprimir</v>
      </c>
      <c r="B98" s="50">
        <v>7</v>
      </c>
      <c r="C98" s="57" t="s">
        <v>1818</v>
      </c>
      <c r="D98" s="56" t="s">
        <v>604</v>
      </c>
      <c r="E98" s="57" t="s">
        <v>604</v>
      </c>
      <c r="F98" s="58">
        <v>10000</v>
      </c>
      <c r="G98" s="49">
        <v>1</v>
      </c>
      <c r="H98" s="51">
        <v>1</v>
      </c>
      <c r="I98" s="505">
        <f t="shared" si="22"/>
        <v>10000</v>
      </c>
      <c r="J98" s="47"/>
      <c r="K98" s="142"/>
      <c r="L98" s="48"/>
      <c r="M98" s="48"/>
      <c r="N98" s="48"/>
      <c r="O98" s="48"/>
      <c r="P98" s="48"/>
      <c r="Q98" s="48"/>
      <c r="R98" s="48">
        <v>1</v>
      </c>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143"/>
      <c r="BG98" s="47"/>
      <c r="BH98" s="509"/>
      <c r="BI98" s="505">
        <f t="shared" si="15"/>
        <v>0</v>
      </c>
      <c r="BJ98" s="47"/>
      <c r="BK98" s="142">
        <f>SUMIFS(Imput[[Importe Neto]:[Importe Neto]],Imput[[C. Imp.]:[C. Imp.]],'Indirect Costs'!$C98,Imput[[PERIODO Imp.]:[PERIODO Imp.]],'Indirect Costs'!BK$8)</f>
        <v>0</v>
      </c>
      <c r="BL98" s="48">
        <f>SUMIFS(Imput[[Importe Neto]:[Importe Neto]],Imput[[C. Imp.]:[C. Imp.]],'Indirect Costs'!$C98,Imput[[PERIODO Imp.]:[PERIODO Imp.]],'Indirect Costs'!BL$8)</f>
        <v>0</v>
      </c>
      <c r="BM98" s="48">
        <f>SUMIFS(Imput[[Importe Neto]:[Importe Neto]],Imput[[C. Imp.]:[C. Imp.]],'Indirect Costs'!$C98,Imput[[PERIODO Imp.]:[PERIODO Imp.]],'Indirect Costs'!BM$8)</f>
        <v>0</v>
      </c>
      <c r="BN98" s="48">
        <f>SUMIFS(Imput[[Importe Neto]:[Importe Neto]],Imput[[C. Imp.]:[C. Imp.]],'Indirect Costs'!$C98,Imput[[PERIODO Imp.]:[PERIODO Imp.]],'Indirect Costs'!BN$8)</f>
        <v>0</v>
      </c>
      <c r="BO98" s="48">
        <f>SUMIFS(Imput[[Importe Neto]:[Importe Neto]],Imput[[C. Imp.]:[C. Imp.]],'Indirect Costs'!$C98,Imput[[PERIODO Imp.]:[PERIODO Imp.]],'Indirect Costs'!BO$8)</f>
        <v>0</v>
      </c>
      <c r="BP98" s="48">
        <f>SUMIFS(Imput[[Importe Neto]:[Importe Neto]],Imput[[C. Imp.]:[C. Imp.]],'Indirect Costs'!$C98,Imput[[PERIODO Imp.]:[PERIODO Imp.]],'Indirect Costs'!BP$8)</f>
        <v>0</v>
      </c>
      <c r="BQ98" s="48">
        <f>SUMIFS(Imput[[Importe Neto]:[Importe Neto]],Imput[[C. Imp.]:[C. Imp.]],'Indirect Costs'!$C98,Imput[[PERIODO Imp.]:[PERIODO Imp.]],'Indirect Costs'!BQ$8)</f>
        <v>0</v>
      </c>
      <c r="BR98" s="48">
        <f>SUMIFS(Imput[[Importe Neto]:[Importe Neto]],Imput[[C. Imp.]:[C. Imp.]],'Indirect Costs'!$C98,Imput[[PERIODO Imp.]:[PERIODO Imp.]],'Indirect Costs'!BR$8)</f>
        <v>0</v>
      </c>
      <c r="BS98" s="48">
        <f>SUMIFS(Imput[[Importe Neto]:[Importe Neto]],Imput[[C. Imp.]:[C. Imp.]],'Indirect Costs'!$C98,Imput[[PERIODO Imp.]:[PERIODO Imp.]],'Indirect Costs'!BS$8)</f>
        <v>0</v>
      </c>
      <c r="BT98" s="48">
        <f>SUMIFS(Imput[[Importe Neto]:[Importe Neto]],Imput[[C. Imp.]:[C. Imp.]],'Indirect Costs'!$C98,Imput[[PERIODO Imp.]:[PERIODO Imp.]],'Indirect Costs'!BT$8)</f>
        <v>0</v>
      </c>
      <c r="BU98" s="48">
        <f>SUMIFS(Imput[[Importe Neto]:[Importe Neto]],Imput[[C. Imp.]:[C. Imp.]],'Indirect Costs'!$C98,Imput[[PERIODO Imp.]:[PERIODO Imp.]],'Indirect Costs'!BU$8)</f>
        <v>0</v>
      </c>
      <c r="BV98" s="48">
        <f>SUMIFS(Imput[[Importe Neto]:[Importe Neto]],Imput[[C. Imp.]:[C. Imp.]],'Indirect Costs'!$C98,Imput[[PERIODO Imp.]:[PERIODO Imp.]],'Indirect Costs'!BV$8)</f>
        <v>0</v>
      </c>
      <c r="BW98" s="48">
        <f>SUMIFS(Imput[[Importe Neto]:[Importe Neto]],Imput[[C. Imp.]:[C. Imp.]],'Indirect Costs'!$C98,Imput[[PERIODO Imp.]:[PERIODO Imp.]],'Indirect Costs'!BW$8)</f>
        <v>0</v>
      </c>
      <c r="BX98" s="48">
        <f>SUMIFS(Imput[[Importe Neto]:[Importe Neto]],Imput[[C. Imp.]:[C. Imp.]],'Indirect Costs'!$C98,Imput[[PERIODO Imp.]:[PERIODO Imp.]],'Indirect Costs'!BX$8)</f>
        <v>0</v>
      </c>
      <c r="BY98" s="48">
        <f>SUMIFS(Imput[[Importe Neto]:[Importe Neto]],Imput[[C. Imp.]:[C. Imp.]],'Indirect Costs'!$C98,Imput[[PERIODO Imp.]:[PERIODO Imp.]],'Indirect Costs'!BY$8)</f>
        <v>0</v>
      </c>
      <c r="BZ98" s="48">
        <f>SUMIFS(Imput[[Importe Neto]:[Importe Neto]],Imput[[C. Imp.]:[C. Imp.]],'Indirect Costs'!$C98,Imput[[PERIODO Imp.]:[PERIODO Imp.]],'Indirect Costs'!BZ$8)</f>
        <v>0</v>
      </c>
      <c r="CA98" s="48">
        <f>SUMIFS(Imput[[Importe Neto]:[Importe Neto]],Imput[[C. Imp.]:[C. Imp.]],'Indirect Costs'!$C98,Imput[[PERIODO Imp.]:[PERIODO Imp.]],'Indirect Costs'!CA$8)</f>
        <v>0</v>
      </c>
      <c r="CB98" s="48">
        <f>SUMIFS(Imput[[Importe Neto]:[Importe Neto]],Imput[[C. Imp.]:[C. Imp.]],'Indirect Costs'!$C98,Imput[[PERIODO Imp.]:[PERIODO Imp.]],'Indirect Costs'!CB$8)</f>
        <v>0</v>
      </c>
      <c r="CC98" s="48">
        <f>SUMIFS(Imput[[Importe Neto]:[Importe Neto]],Imput[[C. Imp.]:[C. Imp.]],'Indirect Costs'!$C98,Imput[[PERIODO Imp.]:[PERIODO Imp.]],'Indirect Costs'!CC$8)</f>
        <v>0</v>
      </c>
      <c r="CD98" s="48">
        <f>SUMIFS(Imput[[Importe Neto]:[Importe Neto]],Imput[[C. Imp.]:[C. Imp.]],'Indirect Costs'!$C98,Imput[[PERIODO Imp.]:[PERIODO Imp.]],'Indirect Costs'!CD$8)</f>
        <v>0</v>
      </c>
      <c r="CE98" s="48">
        <f>SUMIFS(Imput[[Importe Neto]:[Importe Neto]],Imput[[C. Imp.]:[C. Imp.]],'Indirect Costs'!$C98,Imput[[PERIODO Imp.]:[PERIODO Imp.]],'Indirect Costs'!CE$8)</f>
        <v>0</v>
      </c>
      <c r="CF98" s="48">
        <f>SUMIFS(Imput[[Importe Neto]:[Importe Neto]],Imput[[C. Imp.]:[C. Imp.]],'Indirect Costs'!$C98,Imput[[PERIODO Imp.]:[PERIODO Imp.]],'Indirect Costs'!CF$8)</f>
        <v>0</v>
      </c>
      <c r="CG98" s="48">
        <f>SUMIFS(Imput[[Importe Neto]:[Importe Neto]],Imput[[C. Imp.]:[C. Imp.]],'Indirect Costs'!$C98,Imput[[PERIODO Imp.]:[PERIODO Imp.]],'Indirect Costs'!CG$8)</f>
        <v>0</v>
      </c>
      <c r="CH98" s="48">
        <f>SUMIFS(Imput[[Importe Neto]:[Importe Neto]],Imput[[C. Imp.]:[C. Imp.]],'Indirect Costs'!$C98,Imput[[PERIODO Imp.]:[PERIODO Imp.]],'Indirect Costs'!CH$8)</f>
        <v>0</v>
      </c>
      <c r="CI98" s="48">
        <f>SUMIFS(Imput[[Importe Neto]:[Importe Neto]],Imput[[C. Imp.]:[C. Imp.]],'Indirect Costs'!$C98,Imput[[PERIODO Imp.]:[PERIODO Imp.]],'Indirect Costs'!CI$8)</f>
        <v>0</v>
      </c>
      <c r="CJ98" s="48">
        <f>SUMIFS(Imput[[Importe Neto]:[Importe Neto]],Imput[[C. Imp.]:[C. Imp.]],'Indirect Costs'!$C98,Imput[[PERIODO Imp.]:[PERIODO Imp.]],'Indirect Costs'!CJ$8)</f>
        <v>0</v>
      </c>
      <c r="CK98" s="48">
        <f>SUMIFS(Imput[[Importe Neto]:[Importe Neto]],Imput[[C. Imp.]:[C. Imp.]],'Indirect Costs'!$C98,Imput[[PERIODO Imp.]:[PERIODO Imp.]],'Indirect Costs'!CK$8)</f>
        <v>0</v>
      </c>
      <c r="CL98" s="48">
        <f>SUMIFS(Imput[[Importe Neto]:[Importe Neto]],Imput[[C. Imp.]:[C. Imp.]],'Indirect Costs'!$C98,Imput[[PERIODO Imp.]:[PERIODO Imp.]],'Indirect Costs'!CL$8)</f>
        <v>0</v>
      </c>
      <c r="CM98" s="48">
        <f>SUMIFS(Imput[[Importe Neto]:[Importe Neto]],Imput[[C. Imp.]:[C. Imp.]],'Indirect Costs'!$C98,Imput[[PERIODO Imp.]:[PERIODO Imp.]],'Indirect Costs'!CM$8)</f>
        <v>0</v>
      </c>
      <c r="CN98" s="48">
        <f>SUMIFS(Imput[[Importe Neto]:[Importe Neto]],Imput[[C. Imp.]:[C. Imp.]],'Indirect Costs'!$C98,Imput[[PERIODO Imp.]:[PERIODO Imp.]],'Indirect Costs'!CN$8)</f>
        <v>0</v>
      </c>
      <c r="CO98" s="48">
        <f>SUMIFS(Imput[[Importe Neto]:[Importe Neto]],Imput[[C. Imp.]:[C. Imp.]],'Indirect Costs'!$C98,Imput[[PERIODO Imp.]:[PERIODO Imp.]],'Indirect Costs'!CO$8)</f>
        <v>0</v>
      </c>
      <c r="CP98" s="48">
        <f>SUMIFS(Imput[[Importe Neto]:[Importe Neto]],Imput[[C. Imp.]:[C. Imp.]],'Indirect Costs'!$C98,Imput[[PERIODO Imp.]:[PERIODO Imp.]],'Indirect Costs'!CP$8)</f>
        <v>0</v>
      </c>
      <c r="CQ98" s="48">
        <f>SUMIFS(Imput[[Importe Neto]:[Importe Neto]],Imput[[C. Imp.]:[C. Imp.]],'Indirect Costs'!$C98,Imput[[PERIODO Imp.]:[PERIODO Imp.]],'Indirect Costs'!CQ$8)</f>
        <v>0</v>
      </c>
      <c r="CR98" s="48">
        <f>SUMIFS(Imput[[Importe Neto]:[Importe Neto]],Imput[[C. Imp.]:[C. Imp.]],'Indirect Costs'!$C98,Imput[[PERIODO Imp.]:[PERIODO Imp.]],'Indirect Costs'!CR$8)</f>
        <v>0</v>
      </c>
      <c r="CS98" s="48">
        <f>SUMIFS(Imput[[Importe Neto]:[Importe Neto]],Imput[[C. Imp.]:[C. Imp.]],'Indirect Costs'!$C98,Imput[[PERIODO Imp.]:[PERIODO Imp.]],'Indirect Costs'!CS$8)</f>
        <v>0</v>
      </c>
      <c r="CT98" s="48">
        <f>SUMIFS(Imput[[Importe Neto]:[Importe Neto]],Imput[[C. Imp.]:[C. Imp.]],'Indirect Costs'!$C98,Imput[[PERIODO Imp.]:[PERIODO Imp.]],'Indirect Costs'!CT$8)</f>
        <v>0</v>
      </c>
      <c r="CU98" s="48">
        <f>SUMIFS(Imput[[Importe Neto]:[Importe Neto]],Imput[[C. Imp.]:[C. Imp.]],'Indirect Costs'!$C98,Imput[[PERIODO Imp.]:[PERIODO Imp.]],'Indirect Costs'!CU$8)</f>
        <v>0</v>
      </c>
      <c r="CV98" s="48">
        <f>SUMIFS(Imput[[Importe Neto]:[Importe Neto]],Imput[[C. Imp.]:[C. Imp.]],'Indirect Costs'!$C98,Imput[[PERIODO Imp.]:[PERIODO Imp.]],'Indirect Costs'!CV$8)</f>
        <v>0</v>
      </c>
      <c r="CW98" s="48">
        <f>SUMIFS(Imput[[Importe Neto]:[Importe Neto]],Imput[[C. Imp.]:[C. Imp.]],'Indirect Costs'!$C98,Imput[[PERIODO Imp.]:[PERIODO Imp.]],'Indirect Costs'!CW$8)</f>
        <v>0</v>
      </c>
      <c r="CX98" s="48">
        <f>SUMIFS(Imput[[Importe Neto]:[Importe Neto]],Imput[[C. Imp.]:[C. Imp.]],'Indirect Costs'!$C98,Imput[[PERIODO Imp.]:[PERIODO Imp.]],'Indirect Costs'!CX$8)</f>
        <v>0</v>
      </c>
      <c r="CY98" s="48">
        <f>SUMIFS(Imput[[Importe Neto]:[Importe Neto]],Imput[[C. Imp.]:[C. Imp.]],'Indirect Costs'!$C98,Imput[[PERIODO Imp.]:[PERIODO Imp.]],'Indirect Costs'!CY$8)</f>
        <v>0</v>
      </c>
      <c r="CZ98" s="48">
        <f>SUMIFS(Imput[[Importe Neto]:[Importe Neto]],Imput[[C. Imp.]:[C. Imp.]],'Indirect Costs'!$C98,Imput[[PERIODO Imp.]:[PERIODO Imp.]],'Indirect Costs'!CZ$8)</f>
        <v>0</v>
      </c>
      <c r="DA98" s="48">
        <f>SUMIFS(Imput[[Importe Neto]:[Importe Neto]],Imput[[C. Imp.]:[C. Imp.]],'Indirect Costs'!$C98,Imput[[PERIODO Imp.]:[PERIODO Imp.]],'Indirect Costs'!DA$8)</f>
        <v>0</v>
      </c>
      <c r="DB98" s="48">
        <f>SUMIFS(Imput[[Importe Neto]:[Importe Neto]],Imput[[C. Imp.]:[C. Imp.]],'Indirect Costs'!$C98,Imput[[PERIODO Imp.]:[PERIODO Imp.]],'Indirect Costs'!DB$8)</f>
        <v>0</v>
      </c>
      <c r="DC98" s="48">
        <f>SUMIFS(Imput[[Importe Neto]:[Importe Neto]],Imput[[C. Imp.]:[C. Imp.]],'Indirect Costs'!$C98,Imput[[PERIODO Imp.]:[PERIODO Imp.]],'Indirect Costs'!DC$8)</f>
        <v>0</v>
      </c>
      <c r="DD98" s="48">
        <f>SUMIFS(Imput[[Importe Neto]:[Importe Neto]],Imput[[C. Imp.]:[C. Imp.]],'Indirect Costs'!$C98,Imput[[PERIODO Imp.]:[PERIODO Imp.]],'Indirect Costs'!DD$8)</f>
        <v>0</v>
      </c>
      <c r="DE98" s="48">
        <f>SUMIFS(Imput[[Importe Neto]:[Importe Neto]],Imput[[C. Imp.]:[C. Imp.]],'Indirect Costs'!$C98,Imput[[PERIODO Imp.]:[PERIODO Imp.]],'Indirect Costs'!DE$8)</f>
        <v>0</v>
      </c>
      <c r="DF98" s="143">
        <f>SUMIFS(Imput[[Importe Neto]:[Importe Neto]],Imput[[C. Imp.]:[C. Imp.]],'Indirect Costs'!$C98,Imput[[PERIODO Imp.]:[PERIODO Imp.]],'Indirect Costs'!DF$8)</f>
        <v>0</v>
      </c>
    </row>
    <row r="99" spans="1:110" outlineLevel="1" x14ac:dyDescent="0.25">
      <c r="A99" s="28" t="str">
        <f t="shared" si="14"/>
        <v>Imprimir</v>
      </c>
      <c r="B99" s="50">
        <v>8</v>
      </c>
      <c r="C99" s="57" t="s">
        <v>1819</v>
      </c>
      <c r="D99" s="56" t="s">
        <v>605</v>
      </c>
      <c r="E99" s="57" t="s">
        <v>605</v>
      </c>
      <c r="F99" s="58">
        <v>1500</v>
      </c>
      <c r="G99" s="49">
        <v>1</v>
      </c>
      <c r="H99" s="51">
        <v>1</v>
      </c>
      <c r="I99" s="505">
        <f t="shared" si="22"/>
        <v>1500</v>
      </c>
      <c r="J99" s="47"/>
      <c r="K99" s="142">
        <v>0.16666666666666666</v>
      </c>
      <c r="L99" s="48">
        <v>0.16666666666666666</v>
      </c>
      <c r="M99" s="48">
        <v>0.16666666666666666</v>
      </c>
      <c r="N99" s="48">
        <v>0.16666666666666666</v>
      </c>
      <c r="O99" s="48">
        <v>0.16666666666666666</v>
      </c>
      <c r="P99" s="48">
        <v>0.16666666666666666</v>
      </c>
      <c r="Q99" s="48"/>
      <c r="R99" s="48">
        <v>1</v>
      </c>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143"/>
      <c r="BG99" s="47"/>
      <c r="BH99" s="509"/>
      <c r="BI99" s="505">
        <f t="shared" si="15"/>
        <v>0</v>
      </c>
      <c r="BJ99" s="47"/>
      <c r="BK99" s="142">
        <f>SUMIFS(Imput[[Importe Neto]:[Importe Neto]],Imput[[C. Imp.]:[C. Imp.]],'Indirect Costs'!$C99,Imput[[PERIODO Imp.]:[PERIODO Imp.]],'Indirect Costs'!BK$8)</f>
        <v>0</v>
      </c>
      <c r="BL99" s="48">
        <f>SUMIFS(Imput[[Importe Neto]:[Importe Neto]],Imput[[C. Imp.]:[C. Imp.]],'Indirect Costs'!$C99,Imput[[PERIODO Imp.]:[PERIODO Imp.]],'Indirect Costs'!BL$8)</f>
        <v>0</v>
      </c>
      <c r="BM99" s="48">
        <f>SUMIFS(Imput[[Importe Neto]:[Importe Neto]],Imput[[C. Imp.]:[C. Imp.]],'Indirect Costs'!$C99,Imput[[PERIODO Imp.]:[PERIODO Imp.]],'Indirect Costs'!BM$8)</f>
        <v>0</v>
      </c>
      <c r="BN99" s="48">
        <f>SUMIFS(Imput[[Importe Neto]:[Importe Neto]],Imput[[C. Imp.]:[C. Imp.]],'Indirect Costs'!$C99,Imput[[PERIODO Imp.]:[PERIODO Imp.]],'Indirect Costs'!BN$8)</f>
        <v>0</v>
      </c>
      <c r="BO99" s="48">
        <f>SUMIFS(Imput[[Importe Neto]:[Importe Neto]],Imput[[C. Imp.]:[C. Imp.]],'Indirect Costs'!$C99,Imput[[PERIODO Imp.]:[PERIODO Imp.]],'Indirect Costs'!BO$8)</f>
        <v>0</v>
      </c>
      <c r="BP99" s="48">
        <f>SUMIFS(Imput[[Importe Neto]:[Importe Neto]],Imput[[C. Imp.]:[C. Imp.]],'Indirect Costs'!$C99,Imput[[PERIODO Imp.]:[PERIODO Imp.]],'Indirect Costs'!BP$8)</f>
        <v>0</v>
      </c>
      <c r="BQ99" s="48">
        <f>SUMIFS(Imput[[Importe Neto]:[Importe Neto]],Imput[[C. Imp.]:[C. Imp.]],'Indirect Costs'!$C99,Imput[[PERIODO Imp.]:[PERIODO Imp.]],'Indirect Costs'!BQ$8)</f>
        <v>0</v>
      </c>
      <c r="BR99" s="48">
        <f>SUMIFS(Imput[[Importe Neto]:[Importe Neto]],Imput[[C. Imp.]:[C. Imp.]],'Indirect Costs'!$C99,Imput[[PERIODO Imp.]:[PERIODO Imp.]],'Indirect Costs'!BR$8)</f>
        <v>0</v>
      </c>
      <c r="BS99" s="48">
        <f>SUMIFS(Imput[[Importe Neto]:[Importe Neto]],Imput[[C. Imp.]:[C. Imp.]],'Indirect Costs'!$C99,Imput[[PERIODO Imp.]:[PERIODO Imp.]],'Indirect Costs'!BS$8)</f>
        <v>0</v>
      </c>
      <c r="BT99" s="48">
        <f>SUMIFS(Imput[[Importe Neto]:[Importe Neto]],Imput[[C. Imp.]:[C. Imp.]],'Indirect Costs'!$C99,Imput[[PERIODO Imp.]:[PERIODO Imp.]],'Indirect Costs'!BT$8)</f>
        <v>0</v>
      </c>
      <c r="BU99" s="48">
        <f>SUMIFS(Imput[[Importe Neto]:[Importe Neto]],Imput[[C. Imp.]:[C. Imp.]],'Indirect Costs'!$C99,Imput[[PERIODO Imp.]:[PERIODO Imp.]],'Indirect Costs'!BU$8)</f>
        <v>0</v>
      </c>
      <c r="BV99" s="48">
        <f>SUMIFS(Imput[[Importe Neto]:[Importe Neto]],Imput[[C. Imp.]:[C. Imp.]],'Indirect Costs'!$C99,Imput[[PERIODO Imp.]:[PERIODO Imp.]],'Indirect Costs'!BV$8)</f>
        <v>0</v>
      </c>
      <c r="BW99" s="48">
        <f>SUMIFS(Imput[[Importe Neto]:[Importe Neto]],Imput[[C. Imp.]:[C. Imp.]],'Indirect Costs'!$C99,Imput[[PERIODO Imp.]:[PERIODO Imp.]],'Indirect Costs'!BW$8)</f>
        <v>0</v>
      </c>
      <c r="BX99" s="48">
        <f>SUMIFS(Imput[[Importe Neto]:[Importe Neto]],Imput[[C. Imp.]:[C. Imp.]],'Indirect Costs'!$C99,Imput[[PERIODO Imp.]:[PERIODO Imp.]],'Indirect Costs'!BX$8)</f>
        <v>0</v>
      </c>
      <c r="BY99" s="48">
        <f>SUMIFS(Imput[[Importe Neto]:[Importe Neto]],Imput[[C. Imp.]:[C. Imp.]],'Indirect Costs'!$C99,Imput[[PERIODO Imp.]:[PERIODO Imp.]],'Indirect Costs'!BY$8)</f>
        <v>0</v>
      </c>
      <c r="BZ99" s="48">
        <f>SUMIFS(Imput[[Importe Neto]:[Importe Neto]],Imput[[C. Imp.]:[C. Imp.]],'Indirect Costs'!$C99,Imput[[PERIODO Imp.]:[PERIODO Imp.]],'Indirect Costs'!BZ$8)</f>
        <v>0</v>
      </c>
      <c r="CA99" s="48">
        <f>SUMIFS(Imput[[Importe Neto]:[Importe Neto]],Imput[[C. Imp.]:[C. Imp.]],'Indirect Costs'!$C99,Imput[[PERIODO Imp.]:[PERIODO Imp.]],'Indirect Costs'!CA$8)</f>
        <v>0</v>
      </c>
      <c r="CB99" s="48">
        <f>SUMIFS(Imput[[Importe Neto]:[Importe Neto]],Imput[[C. Imp.]:[C. Imp.]],'Indirect Costs'!$C99,Imput[[PERIODO Imp.]:[PERIODO Imp.]],'Indirect Costs'!CB$8)</f>
        <v>0</v>
      </c>
      <c r="CC99" s="48">
        <f>SUMIFS(Imput[[Importe Neto]:[Importe Neto]],Imput[[C. Imp.]:[C. Imp.]],'Indirect Costs'!$C99,Imput[[PERIODO Imp.]:[PERIODO Imp.]],'Indirect Costs'!CC$8)</f>
        <v>0</v>
      </c>
      <c r="CD99" s="48">
        <f>SUMIFS(Imput[[Importe Neto]:[Importe Neto]],Imput[[C. Imp.]:[C. Imp.]],'Indirect Costs'!$C99,Imput[[PERIODO Imp.]:[PERIODO Imp.]],'Indirect Costs'!CD$8)</f>
        <v>0</v>
      </c>
      <c r="CE99" s="48">
        <f>SUMIFS(Imput[[Importe Neto]:[Importe Neto]],Imput[[C. Imp.]:[C. Imp.]],'Indirect Costs'!$C99,Imput[[PERIODO Imp.]:[PERIODO Imp.]],'Indirect Costs'!CE$8)</f>
        <v>0</v>
      </c>
      <c r="CF99" s="48">
        <f>SUMIFS(Imput[[Importe Neto]:[Importe Neto]],Imput[[C. Imp.]:[C. Imp.]],'Indirect Costs'!$C99,Imput[[PERIODO Imp.]:[PERIODO Imp.]],'Indirect Costs'!CF$8)</f>
        <v>0</v>
      </c>
      <c r="CG99" s="48">
        <f>SUMIFS(Imput[[Importe Neto]:[Importe Neto]],Imput[[C. Imp.]:[C. Imp.]],'Indirect Costs'!$C99,Imput[[PERIODO Imp.]:[PERIODO Imp.]],'Indirect Costs'!CG$8)</f>
        <v>0</v>
      </c>
      <c r="CH99" s="48">
        <f>SUMIFS(Imput[[Importe Neto]:[Importe Neto]],Imput[[C. Imp.]:[C. Imp.]],'Indirect Costs'!$C99,Imput[[PERIODO Imp.]:[PERIODO Imp.]],'Indirect Costs'!CH$8)</f>
        <v>0</v>
      </c>
      <c r="CI99" s="48">
        <f>SUMIFS(Imput[[Importe Neto]:[Importe Neto]],Imput[[C. Imp.]:[C. Imp.]],'Indirect Costs'!$C99,Imput[[PERIODO Imp.]:[PERIODO Imp.]],'Indirect Costs'!CI$8)</f>
        <v>0</v>
      </c>
      <c r="CJ99" s="48">
        <f>SUMIFS(Imput[[Importe Neto]:[Importe Neto]],Imput[[C. Imp.]:[C. Imp.]],'Indirect Costs'!$C99,Imput[[PERIODO Imp.]:[PERIODO Imp.]],'Indirect Costs'!CJ$8)</f>
        <v>0</v>
      </c>
      <c r="CK99" s="48">
        <f>SUMIFS(Imput[[Importe Neto]:[Importe Neto]],Imput[[C. Imp.]:[C. Imp.]],'Indirect Costs'!$C99,Imput[[PERIODO Imp.]:[PERIODO Imp.]],'Indirect Costs'!CK$8)</f>
        <v>0</v>
      </c>
      <c r="CL99" s="48">
        <f>SUMIFS(Imput[[Importe Neto]:[Importe Neto]],Imput[[C. Imp.]:[C. Imp.]],'Indirect Costs'!$C99,Imput[[PERIODO Imp.]:[PERIODO Imp.]],'Indirect Costs'!CL$8)</f>
        <v>0</v>
      </c>
      <c r="CM99" s="48">
        <f>SUMIFS(Imput[[Importe Neto]:[Importe Neto]],Imput[[C. Imp.]:[C. Imp.]],'Indirect Costs'!$C99,Imput[[PERIODO Imp.]:[PERIODO Imp.]],'Indirect Costs'!CM$8)</f>
        <v>0</v>
      </c>
      <c r="CN99" s="48">
        <f>SUMIFS(Imput[[Importe Neto]:[Importe Neto]],Imput[[C. Imp.]:[C. Imp.]],'Indirect Costs'!$C99,Imput[[PERIODO Imp.]:[PERIODO Imp.]],'Indirect Costs'!CN$8)</f>
        <v>0</v>
      </c>
      <c r="CO99" s="48">
        <f>SUMIFS(Imput[[Importe Neto]:[Importe Neto]],Imput[[C. Imp.]:[C. Imp.]],'Indirect Costs'!$C99,Imput[[PERIODO Imp.]:[PERIODO Imp.]],'Indirect Costs'!CO$8)</f>
        <v>0</v>
      </c>
      <c r="CP99" s="48">
        <f>SUMIFS(Imput[[Importe Neto]:[Importe Neto]],Imput[[C. Imp.]:[C. Imp.]],'Indirect Costs'!$C99,Imput[[PERIODO Imp.]:[PERIODO Imp.]],'Indirect Costs'!CP$8)</f>
        <v>0</v>
      </c>
      <c r="CQ99" s="48">
        <f>SUMIFS(Imput[[Importe Neto]:[Importe Neto]],Imput[[C. Imp.]:[C. Imp.]],'Indirect Costs'!$C99,Imput[[PERIODO Imp.]:[PERIODO Imp.]],'Indirect Costs'!CQ$8)</f>
        <v>0</v>
      </c>
      <c r="CR99" s="48">
        <f>SUMIFS(Imput[[Importe Neto]:[Importe Neto]],Imput[[C. Imp.]:[C. Imp.]],'Indirect Costs'!$C99,Imput[[PERIODO Imp.]:[PERIODO Imp.]],'Indirect Costs'!CR$8)</f>
        <v>0</v>
      </c>
      <c r="CS99" s="48">
        <f>SUMIFS(Imput[[Importe Neto]:[Importe Neto]],Imput[[C. Imp.]:[C. Imp.]],'Indirect Costs'!$C99,Imput[[PERIODO Imp.]:[PERIODO Imp.]],'Indirect Costs'!CS$8)</f>
        <v>0</v>
      </c>
      <c r="CT99" s="48">
        <f>SUMIFS(Imput[[Importe Neto]:[Importe Neto]],Imput[[C. Imp.]:[C. Imp.]],'Indirect Costs'!$C99,Imput[[PERIODO Imp.]:[PERIODO Imp.]],'Indirect Costs'!CT$8)</f>
        <v>0</v>
      </c>
      <c r="CU99" s="48">
        <f>SUMIFS(Imput[[Importe Neto]:[Importe Neto]],Imput[[C. Imp.]:[C. Imp.]],'Indirect Costs'!$C99,Imput[[PERIODO Imp.]:[PERIODO Imp.]],'Indirect Costs'!CU$8)</f>
        <v>0</v>
      </c>
      <c r="CV99" s="48">
        <f>SUMIFS(Imput[[Importe Neto]:[Importe Neto]],Imput[[C. Imp.]:[C. Imp.]],'Indirect Costs'!$C99,Imput[[PERIODO Imp.]:[PERIODO Imp.]],'Indirect Costs'!CV$8)</f>
        <v>0</v>
      </c>
      <c r="CW99" s="48">
        <f>SUMIFS(Imput[[Importe Neto]:[Importe Neto]],Imput[[C. Imp.]:[C. Imp.]],'Indirect Costs'!$C99,Imput[[PERIODO Imp.]:[PERIODO Imp.]],'Indirect Costs'!CW$8)</f>
        <v>0</v>
      </c>
      <c r="CX99" s="48">
        <f>SUMIFS(Imput[[Importe Neto]:[Importe Neto]],Imput[[C. Imp.]:[C. Imp.]],'Indirect Costs'!$C99,Imput[[PERIODO Imp.]:[PERIODO Imp.]],'Indirect Costs'!CX$8)</f>
        <v>0</v>
      </c>
      <c r="CY99" s="48">
        <f>SUMIFS(Imput[[Importe Neto]:[Importe Neto]],Imput[[C. Imp.]:[C. Imp.]],'Indirect Costs'!$C99,Imput[[PERIODO Imp.]:[PERIODO Imp.]],'Indirect Costs'!CY$8)</f>
        <v>0</v>
      </c>
      <c r="CZ99" s="48">
        <f>SUMIFS(Imput[[Importe Neto]:[Importe Neto]],Imput[[C. Imp.]:[C. Imp.]],'Indirect Costs'!$C99,Imput[[PERIODO Imp.]:[PERIODO Imp.]],'Indirect Costs'!CZ$8)</f>
        <v>0</v>
      </c>
      <c r="DA99" s="48">
        <f>SUMIFS(Imput[[Importe Neto]:[Importe Neto]],Imput[[C. Imp.]:[C. Imp.]],'Indirect Costs'!$C99,Imput[[PERIODO Imp.]:[PERIODO Imp.]],'Indirect Costs'!DA$8)</f>
        <v>0</v>
      </c>
      <c r="DB99" s="48">
        <f>SUMIFS(Imput[[Importe Neto]:[Importe Neto]],Imput[[C. Imp.]:[C. Imp.]],'Indirect Costs'!$C99,Imput[[PERIODO Imp.]:[PERIODO Imp.]],'Indirect Costs'!DB$8)</f>
        <v>0</v>
      </c>
      <c r="DC99" s="48">
        <f>SUMIFS(Imput[[Importe Neto]:[Importe Neto]],Imput[[C. Imp.]:[C. Imp.]],'Indirect Costs'!$C99,Imput[[PERIODO Imp.]:[PERIODO Imp.]],'Indirect Costs'!DC$8)</f>
        <v>0</v>
      </c>
      <c r="DD99" s="48">
        <f>SUMIFS(Imput[[Importe Neto]:[Importe Neto]],Imput[[C. Imp.]:[C. Imp.]],'Indirect Costs'!$C99,Imput[[PERIODO Imp.]:[PERIODO Imp.]],'Indirect Costs'!DD$8)</f>
        <v>0</v>
      </c>
      <c r="DE99" s="48">
        <f>SUMIFS(Imput[[Importe Neto]:[Importe Neto]],Imput[[C. Imp.]:[C. Imp.]],'Indirect Costs'!$C99,Imput[[PERIODO Imp.]:[PERIODO Imp.]],'Indirect Costs'!DE$8)</f>
        <v>0</v>
      </c>
      <c r="DF99" s="143">
        <f>SUMIFS(Imput[[Importe Neto]:[Importe Neto]],Imput[[C. Imp.]:[C. Imp.]],'Indirect Costs'!$C99,Imput[[PERIODO Imp.]:[PERIODO Imp.]],'Indirect Costs'!DF$8)</f>
        <v>0</v>
      </c>
    </row>
    <row r="100" spans="1:110" outlineLevel="1" x14ac:dyDescent="0.25">
      <c r="A100" s="28" t="str">
        <f t="shared" si="14"/>
        <v>Imprimir</v>
      </c>
      <c r="B100" s="50">
        <v>9</v>
      </c>
      <c r="C100" s="57" t="s">
        <v>1820</v>
      </c>
      <c r="D100" s="56" t="s">
        <v>606</v>
      </c>
      <c r="E100" s="57" t="s">
        <v>606</v>
      </c>
      <c r="F100" s="58">
        <v>2000</v>
      </c>
      <c r="G100" s="49">
        <v>1</v>
      </c>
      <c r="H100" s="51">
        <v>1</v>
      </c>
      <c r="I100" s="505">
        <f t="shared" si="22"/>
        <v>2000</v>
      </c>
      <c r="J100" s="47"/>
      <c r="K100" s="142">
        <v>0.16666666666666666</v>
      </c>
      <c r="L100" s="48">
        <v>0.16666666666666666</v>
      </c>
      <c r="M100" s="48">
        <v>0.16666666666666666</v>
      </c>
      <c r="N100" s="48">
        <v>0.16666666666666666</v>
      </c>
      <c r="O100" s="48">
        <v>0.16666666666666666</v>
      </c>
      <c r="P100" s="48">
        <v>0.16666666666666666</v>
      </c>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143"/>
      <c r="BG100" s="47"/>
      <c r="BH100" s="509"/>
      <c r="BI100" s="505">
        <f t="shared" si="15"/>
        <v>0</v>
      </c>
      <c r="BJ100" s="47"/>
      <c r="BK100" s="142">
        <f>SUMIFS(Imput[[Importe Neto]:[Importe Neto]],Imput[[C. Imp.]:[C. Imp.]],'Indirect Costs'!$C100,Imput[[PERIODO Imp.]:[PERIODO Imp.]],'Indirect Costs'!BK$8)</f>
        <v>0</v>
      </c>
      <c r="BL100" s="48">
        <f>SUMIFS(Imput[[Importe Neto]:[Importe Neto]],Imput[[C. Imp.]:[C. Imp.]],'Indirect Costs'!$C100,Imput[[PERIODO Imp.]:[PERIODO Imp.]],'Indirect Costs'!BL$8)</f>
        <v>0</v>
      </c>
      <c r="BM100" s="48">
        <f>SUMIFS(Imput[[Importe Neto]:[Importe Neto]],Imput[[C. Imp.]:[C. Imp.]],'Indirect Costs'!$C100,Imput[[PERIODO Imp.]:[PERIODO Imp.]],'Indirect Costs'!BM$8)</f>
        <v>0</v>
      </c>
      <c r="BN100" s="48">
        <f>SUMIFS(Imput[[Importe Neto]:[Importe Neto]],Imput[[C. Imp.]:[C. Imp.]],'Indirect Costs'!$C100,Imput[[PERIODO Imp.]:[PERIODO Imp.]],'Indirect Costs'!BN$8)</f>
        <v>0</v>
      </c>
      <c r="BO100" s="48">
        <f>SUMIFS(Imput[[Importe Neto]:[Importe Neto]],Imput[[C. Imp.]:[C. Imp.]],'Indirect Costs'!$C100,Imput[[PERIODO Imp.]:[PERIODO Imp.]],'Indirect Costs'!BO$8)</f>
        <v>0</v>
      </c>
      <c r="BP100" s="48">
        <f>SUMIFS(Imput[[Importe Neto]:[Importe Neto]],Imput[[C. Imp.]:[C. Imp.]],'Indirect Costs'!$C100,Imput[[PERIODO Imp.]:[PERIODO Imp.]],'Indirect Costs'!BP$8)</f>
        <v>0</v>
      </c>
      <c r="BQ100" s="48">
        <f>SUMIFS(Imput[[Importe Neto]:[Importe Neto]],Imput[[C. Imp.]:[C. Imp.]],'Indirect Costs'!$C100,Imput[[PERIODO Imp.]:[PERIODO Imp.]],'Indirect Costs'!BQ$8)</f>
        <v>0</v>
      </c>
      <c r="BR100" s="48">
        <f>SUMIFS(Imput[[Importe Neto]:[Importe Neto]],Imput[[C. Imp.]:[C. Imp.]],'Indirect Costs'!$C100,Imput[[PERIODO Imp.]:[PERIODO Imp.]],'Indirect Costs'!BR$8)</f>
        <v>0</v>
      </c>
      <c r="BS100" s="48">
        <f>SUMIFS(Imput[[Importe Neto]:[Importe Neto]],Imput[[C. Imp.]:[C. Imp.]],'Indirect Costs'!$C100,Imput[[PERIODO Imp.]:[PERIODO Imp.]],'Indirect Costs'!BS$8)</f>
        <v>0</v>
      </c>
      <c r="BT100" s="48">
        <f>SUMIFS(Imput[[Importe Neto]:[Importe Neto]],Imput[[C. Imp.]:[C. Imp.]],'Indirect Costs'!$C100,Imput[[PERIODO Imp.]:[PERIODO Imp.]],'Indirect Costs'!BT$8)</f>
        <v>0</v>
      </c>
      <c r="BU100" s="48">
        <f>SUMIFS(Imput[[Importe Neto]:[Importe Neto]],Imput[[C. Imp.]:[C. Imp.]],'Indirect Costs'!$C100,Imput[[PERIODO Imp.]:[PERIODO Imp.]],'Indirect Costs'!BU$8)</f>
        <v>0</v>
      </c>
      <c r="BV100" s="48">
        <f>SUMIFS(Imput[[Importe Neto]:[Importe Neto]],Imput[[C. Imp.]:[C. Imp.]],'Indirect Costs'!$C100,Imput[[PERIODO Imp.]:[PERIODO Imp.]],'Indirect Costs'!BV$8)</f>
        <v>0</v>
      </c>
      <c r="BW100" s="48">
        <f>SUMIFS(Imput[[Importe Neto]:[Importe Neto]],Imput[[C. Imp.]:[C. Imp.]],'Indirect Costs'!$C100,Imput[[PERIODO Imp.]:[PERIODO Imp.]],'Indirect Costs'!BW$8)</f>
        <v>0</v>
      </c>
      <c r="BX100" s="48">
        <f>SUMIFS(Imput[[Importe Neto]:[Importe Neto]],Imput[[C. Imp.]:[C. Imp.]],'Indirect Costs'!$C100,Imput[[PERIODO Imp.]:[PERIODO Imp.]],'Indirect Costs'!BX$8)</f>
        <v>0</v>
      </c>
      <c r="BY100" s="48">
        <f>SUMIFS(Imput[[Importe Neto]:[Importe Neto]],Imput[[C. Imp.]:[C. Imp.]],'Indirect Costs'!$C100,Imput[[PERIODO Imp.]:[PERIODO Imp.]],'Indirect Costs'!BY$8)</f>
        <v>0</v>
      </c>
      <c r="BZ100" s="48">
        <f>SUMIFS(Imput[[Importe Neto]:[Importe Neto]],Imput[[C. Imp.]:[C. Imp.]],'Indirect Costs'!$C100,Imput[[PERIODO Imp.]:[PERIODO Imp.]],'Indirect Costs'!BZ$8)</f>
        <v>0</v>
      </c>
      <c r="CA100" s="48">
        <f>SUMIFS(Imput[[Importe Neto]:[Importe Neto]],Imput[[C. Imp.]:[C. Imp.]],'Indirect Costs'!$C100,Imput[[PERIODO Imp.]:[PERIODO Imp.]],'Indirect Costs'!CA$8)</f>
        <v>0</v>
      </c>
      <c r="CB100" s="48">
        <f>SUMIFS(Imput[[Importe Neto]:[Importe Neto]],Imput[[C. Imp.]:[C. Imp.]],'Indirect Costs'!$C100,Imput[[PERIODO Imp.]:[PERIODO Imp.]],'Indirect Costs'!CB$8)</f>
        <v>0</v>
      </c>
      <c r="CC100" s="48">
        <f>SUMIFS(Imput[[Importe Neto]:[Importe Neto]],Imput[[C. Imp.]:[C. Imp.]],'Indirect Costs'!$C100,Imput[[PERIODO Imp.]:[PERIODO Imp.]],'Indirect Costs'!CC$8)</f>
        <v>0</v>
      </c>
      <c r="CD100" s="48">
        <f>SUMIFS(Imput[[Importe Neto]:[Importe Neto]],Imput[[C. Imp.]:[C. Imp.]],'Indirect Costs'!$C100,Imput[[PERIODO Imp.]:[PERIODO Imp.]],'Indirect Costs'!CD$8)</f>
        <v>0</v>
      </c>
      <c r="CE100" s="48">
        <f>SUMIFS(Imput[[Importe Neto]:[Importe Neto]],Imput[[C. Imp.]:[C. Imp.]],'Indirect Costs'!$C100,Imput[[PERIODO Imp.]:[PERIODO Imp.]],'Indirect Costs'!CE$8)</f>
        <v>0</v>
      </c>
      <c r="CF100" s="48">
        <f>SUMIFS(Imput[[Importe Neto]:[Importe Neto]],Imput[[C. Imp.]:[C. Imp.]],'Indirect Costs'!$C100,Imput[[PERIODO Imp.]:[PERIODO Imp.]],'Indirect Costs'!CF$8)</f>
        <v>0</v>
      </c>
      <c r="CG100" s="48">
        <f>SUMIFS(Imput[[Importe Neto]:[Importe Neto]],Imput[[C. Imp.]:[C. Imp.]],'Indirect Costs'!$C100,Imput[[PERIODO Imp.]:[PERIODO Imp.]],'Indirect Costs'!CG$8)</f>
        <v>0</v>
      </c>
      <c r="CH100" s="48">
        <f>SUMIFS(Imput[[Importe Neto]:[Importe Neto]],Imput[[C. Imp.]:[C. Imp.]],'Indirect Costs'!$C100,Imput[[PERIODO Imp.]:[PERIODO Imp.]],'Indirect Costs'!CH$8)</f>
        <v>0</v>
      </c>
      <c r="CI100" s="48">
        <f>SUMIFS(Imput[[Importe Neto]:[Importe Neto]],Imput[[C. Imp.]:[C. Imp.]],'Indirect Costs'!$C100,Imput[[PERIODO Imp.]:[PERIODO Imp.]],'Indirect Costs'!CI$8)</f>
        <v>0</v>
      </c>
      <c r="CJ100" s="48">
        <f>SUMIFS(Imput[[Importe Neto]:[Importe Neto]],Imput[[C. Imp.]:[C. Imp.]],'Indirect Costs'!$C100,Imput[[PERIODO Imp.]:[PERIODO Imp.]],'Indirect Costs'!CJ$8)</f>
        <v>0</v>
      </c>
      <c r="CK100" s="48">
        <f>SUMIFS(Imput[[Importe Neto]:[Importe Neto]],Imput[[C. Imp.]:[C. Imp.]],'Indirect Costs'!$C100,Imput[[PERIODO Imp.]:[PERIODO Imp.]],'Indirect Costs'!CK$8)</f>
        <v>0</v>
      </c>
      <c r="CL100" s="48">
        <f>SUMIFS(Imput[[Importe Neto]:[Importe Neto]],Imput[[C. Imp.]:[C. Imp.]],'Indirect Costs'!$C100,Imput[[PERIODO Imp.]:[PERIODO Imp.]],'Indirect Costs'!CL$8)</f>
        <v>0</v>
      </c>
      <c r="CM100" s="48">
        <f>SUMIFS(Imput[[Importe Neto]:[Importe Neto]],Imput[[C. Imp.]:[C. Imp.]],'Indirect Costs'!$C100,Imput[[PERIODO Imp.]:[PERIODO Imp.]],'Indirect Costs'!CM$8)</f>
        <v>0</v>
      </c>
      <c r="CN100" s="48">
        <f>SUMIFS(Imput[[Importe Neto]:[Importe Neto]],Imput[[C. Imp.]:[C. Imp.]],'Indirect Costs'!$C100,Imput[[PERIODO Imp.]:[PERIODO Imp.]],'Indirect Costs'!CN$8)</f>
        <v>0</v>
      </c>
      <c r="CO100" s="48">
        <f>SUMIFS(Imput[[Importe Neto]:[Importe Neto]],Imput[[C. Imp.]:[C. Imp.]],'Indirect Costs'!$C100,Imput[[PERIODO Imp.]:[PERIODO Imp.]],'Indirect Costs'!CO$8)</f>
        <v>0</v>
      </c>
      <c r="CP100" s="48">
        <f>SUMIFS(Imput[[Importe Neto]:[Importe Neto]],Imput[[C. Imp.]:[C. Imp.]],'Indirect Costs'!$C100,Imput[[PERIODO Imp.]:[PERIODO Imp.]],'Indirect Costs'!CP$8)</f>
        <v>0</v>
      </c>
      <c r="CQ100" s="48">
        <f>SUMIFS(Imput[[Importe Neto]:[Importe Neto]],Imput[[C. Imp.]:[C. Imp.]],'Indirect Costs'!$C100,Imput[[PERIODO Imp.]:[PERIODO Imp.]],'Indirect Costs'!CQ$8)</f>
        <v>0</v>
      </c>
      <c r="CR100" s="48">
        <f>SUMIFS(Imput[[Importe Neto]:[Importe Neto]],Imput[[C. Imp.]:[C. Imp.]],'Indirect Costs'!$C100,Imput[[PERIODO Imp.]:[PERIODO Imp.]],'Indirect Costs'!CR$8)</f>
        <v>0</v>
      </c>
      <c r="CS100" s="48">
        <f>SUMIFS(Imput[[Importe Neto]:[Importe Neto]],Imput[[C. Imp.]:[C. Imp.]],'Indirect Costs'!$C100,Imput[[PERIODO Imp.]:[PERIODO Imp.]],'Indirect Costs'!CS$8)</f>
        <v>0</v>
      </c>
      <c r="CT100" s="48">
        <f>SUMIFS(Imput[[Importe Neto]:[Importe Neto]],Imput[[C. Imp.]:[C. Imp.]],'Indirect Costs'!$C100,Imput[[PERIODO Imp.]:[PERIODO Imp.]],'Indirect Costs'!CT$8)</f>
        <v>0</v>
      </c>
      <c r="CU100" s="48">
        <f>SUMIFS(Imput[[Importe Neto]:[Importe Neto]],Imput[[C. Imp.]:[C. Imp.]],'Indirect Costs'!$C100,Imput[[PERIODO Imp.]:[PERIODO Imp.]],'Indirect Costs'!CU$8)</f>
        <v>0</v>
      </c>
      <c r="CV100" s="48">
        <f>SUMIFS(Imput[[Importe Neto]:[Importe Neto]],Imput[[C. Imp.]:[C. Imp.]],'Indirect Costs'!$C100,Imput[[PERIODO Imp.]:[PERIODO Imp.]],'Indirect Costs'!CV$8)</f>
        <v>0</v>
      </c>
      <c r="CW100" s="48">
        <f>SUMIFS(Imput[[Importe Neto]:[Importe Neto]],Imput[[C. Imp.]:[C. Imp.]],'Indirect Costs'!$C100,Imput[[PERIODO Imp.]:[PERIODO Imp.]],'Indirect Costs'!CW$8)</f>
        <v>0</v>
      </c>
      <c r="CX100" s="48">
        <f>SUMIFS(Imput[[Importe Neto]:[Importe Neto]],Imput[[C. Imp.]:[C. Imp.]],'Indirect Costs'!$C100,Imput[[PERIODO Imp.]:[PERIODO Imp.]],'Indirect Costs'!CX$8)</f>
        <v>0</v>
      </c>
      <c r="CY100" s="48">
        <f>SUMIFS(Imput[[Importe Neto]:[Importe Neto]],Imput[[C. Imp.]:[C. Imp.]],'Indirect Costs'!$C100,Imput[[PERIODO Imp.]:[PERIODO Imp.]],'Indirect Costs'!CY$8)</f>
        <v>0</v>
      </c>
      <c r="CZ100" s="48">
        <f>SUMIFS(Imput[[Importe Neto]:[Importe Neto]],Imput[[C. Imp.]:[C. Imp.]],'Indirect Costs'!$C100,Imput[[PERIODO Imp.]:[PERIODO Imp.]],'Indirect Costs'!CZ$8)</f>
        <v>0</v>
      </c>
      <c r="DA100" s="48">
        <f>SUMIFS(Imput[[Importe Neto]:[Importe Neto]],Imput[[C. Imp.]:[C. Imp.]],'Indirect Costs'!$C100,Imput[[PERIODO Imp.]:[PERIODO Imp.]],'Indirect Costs'!DA$8)</f>
        <v>0</v>
      </c>
      <c r="DB100" s="48">
        <f>SUMIFS(Imput[[Importe Neto]:[Importe Neto]],Imput[[C. Imp.]:[C. Imp.]],'Indirect Costs'!$C100,Imput[[PERIODO Imp.]:[PERIODO Imp.]],'Indirect Costs'!DB$8)</f>
        <v>0</v>
      </c>
      <c r="DC100" s="48">
        <f>SUMIFS(Imput[[Importe Neto]:[Importe Neto]],Imput[[C. Imp.]:[C. Imp.]],'Indirect Costs'!$C100,Imput[[PERIODO Imp.]:[PERIODO Imp.]],'Indirect Costs'!DC$8)</f>
        <v>0</v>
      </c>
      <c r="DD100" s="48">
        <f>SUMIFS(Imput[[Importe Neto]:[Importe Neto]],Imput[[C. Imp.]:[C. Imp.]],'Indirect Costs'!$C100,Imput[[PERIODO Imp.]:[PERIODO Imp.]],'Indirect Costs'!DD$8)</f>
        <v>0</v>
      </c>
      <c r="DE100" s="48">
        <f>SUMIFS(Imput[[Importe Neto]:[Importe Neto]],Imput[[C. Imp.]:[C. Imp.]],'Indirect Costs'!$C100,Imput[[PERIODO Imp.]:[PERIODO Imp.]],'Indirect Costs'!DE$8)</f>
        <v>0</v>
      </c>
      <c r="DF100" s="143">
        <f>SUMIFS(Imput[[Importe Neto]:[Importe Neto]],Imput[[C. Imp.]:[C. Imp.]],'Indirect Costs'!$C100,Imput[[PERIODO Imp.]:[PERIODO Imp.]],'Indirect Costs'!DF$8)</f>
        <v>0</v>
      </c>
    </row>
    <row r="101" spans="1:110" outlineLevel="1" x14ac:dyDescent="0.25">
      <c r="A101" s="28" t="str">
        <f t="shared" si="14"/>
        <v>Imprimir</v>
      </c>
      <c r="B101" s="50">
        <v>10</v>
      </c>
      <c r="C101" s="57" t="s">
        <v>1821</v>
      </c>
      <c r="D101" s="56" t="s">
        <v>607</v>
      </c>
      <c r="E101" s="57" t="s">
        <v>607</v>
      </c>
      <c r="F101" s="58">
        <v>8500</v>
      </c>
      <c r="G101" s="49">
        <v>1</v>
      </c>
      <c r="H101" s="51">
        <v>1</v>
      </c>
      <c r="I101" s="505">
        <f t="shared" si="22"/>
        <v>8500</v>
      </c>
      <c r="J101" s="47"/>
      <c r="K101" s="142">
        <v>0.16666666666666666</v>
      </c>
      <c r="L101" s="48">
        <v>0.16666666666666666</v>
      </c>
      <c r="M101" s="48">
        <v>0.16666666666666666</v>
      </c>
      <c r="N101" s="48">
        <v>0.16666666666666666</v>
      </c>
      <c r="O101" s="48">
        <v>0.16666666666666666</v>
      </c>
      <c r="P101" s="48">
        <v>0.16666666666666666</v>
      </c>
      <c r="Q101" s="48"/>
      <c r="R101" s="48">
        <v>1</v>
      </c>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143"/>
      <c r="BG101" s="47"/>
      <c r="BH101" s="509"/>
      <c r="BI101" s="505">
        <f t="shared" si="15"/>
        <v>0</v>
      </c>
      <c r="BJ101" s="47"/>
      <c r="BK101" s="142">
        <f>SUMIFS(Imput[[Importe Neto]:[Importe Neto]],Imput[[C. Imp.]:[C. Imp.]],'Indirect Costs'!$C101,Imput[[PERIODO Imp.]:[PERIODO Imp.]],'Indirect Costs'!BK$8)</f>
        <v>0</v>
      </c>
      <c r="BL101" s="48">
        <f>SUMIFS(Imput[[Importe Neto]:[Importe Neto]],Imput[[C. Imp.]:[C. Imp.]],'Indirect Costs'!$C101,Imput[[PERIODO Imp.]:[PERIODO Imp.]],'Indirect Costs'!BL$8)</f>
        <v>0</v>
      </c>
      <c r="BM101" s="48">
        <f>SUMIFS(Imput[[Importe Neto]:[Importe Neto]],Imput[[C. Imp.]:[C. Imp.]],'Indirect Costs'!$C101,Imput[[PERIODO Imp.]:[PERIODO Imp.]],'Indirect Costs'!BM$8)</f>
        <v>0</v>
      </c>
      <c r="BN101" s="48">
        <f>SUMIFS(Imput[[Importe Neto]:[Importe Neto]],Imput[[C. Imp.]:[C. Imp.]],'Indirect Costs'!$C101,Imput[[PERIODO Imp.]:[PERIODO Imp.]],'Indirect Costs'!BN$8)</f>
        <v>0</v>
      </c>
      <c r="BO101" s="48">
        <f>SUMIFS(Imput[[Importe Neto]:[Importe Neto]],Imput[[C. Imp.]:[C. Imp.]],'Indirect Costs'!$C101,Imput[[PERIODO Imp.]:[PERIODO Imp.]],'Indirect Costs'!BO$8)</f>
        <v>0</v>
      </c>
      <c r="BP101" s="48">
        <f>SUMIFS(Imput[[Importe Neto]:[Importe Neto]],Imput[[C. Imp.]:[C. Imp.]],'Indirect Costs'!$C101,Imput[[PERIODO Imp.]:[PERIODO Imp.]],'Indirect Costs'!BP$8)</f>
        <v>0</v>
      </c>
      <c r="BQ101" s="48">
        <f>SUMIFS(Imput[[Importe Neto]:[Importe Neto]],Imput[[C. Imp.]:[C. Imp.]],'Indirect Costs'!$C101,Imput[[PERIODO Imp.]:[PERIODO Imp.]],'Indirect Costs'!BQ$8)</f>
        <v>0</v>
      </c>
      <c r="BR101" s="48">
        <f>SUMIFS(Imput[[Importe Neto]:[Importe Neto]],Imput[[C. Imp.]:[C. Imp.]],'Indirect Costs'!$C101,Imput[[PERIODO Imp.]:[PERIODO Imp.]],'Indirect Costs'!BR$8)</f>
        <v>0</v>
      </c>
      <c r="BS101" s="48">
        <f>SUMIFS(Imput[[Importe Neto]:[Importe Neto]],Imput[[C. Imp.]:[C. Imp.]],'Indirect Costs'!$C101,Imput[[PERIODO Imp.]:[PERIODO Imp.]],'Indirect Costs'!BS$8)</f>
        <v>0</v>
      </c>
      <c r="BT101" s="48">
        <f>SUMIFS(Imput[[Importe Neto]:[Importe Neto]],Imput[[C. Imp.]:[C. Imp.]],'Indirect Costs'!$C101,Imput[[PERIODO Imp.]:[PERIODO Imp.]],'Indirect Costs'!BT$8)</f>
        <v>0</v>
      </c>
      <c r="BU101" s="48">
        <f>SUMIFS(Imput[[Importe Neto]:[Importe Neto]],Imput[[C. Imp.]:[C. Imp.]],'Indirect Costs'!$C101,Imput[[PERIODO Imp.]:[PERIODO Imp.]],'Indirect Costs'!BU$8)</f>
        <v>0</v>
      </c>
      <c r="BV101" s="48">
        <f>SUMIFS(Imput[[Importe Neto]:[Importe Neto]],Imput[[C. Imp.]:[C. Imp.]],'Indirect Costs'!$C101,Imput[[PERIODO Imp.]:[PERIODO Imp.]],'Indirect Costs'!BV$8)</f>
        <v>0</v>
      </c>
      <c r="BW101" s="48">
        <f>SUMIFS(Imput[[Importe Neto]:[Importe Neto]],Imput[[C. Imp.]:[C. Imp.]],'Indirect Costs'!$C101,Imput[[PERIODO Imp.]:[PERIODO Imp.]],'Indirect Costs'!BW$8)</f>
        <v>0</v>
      </c>
      <c r="BX101" s="48">
        <f>SUMIFS(Imput[[Importe Neto]:[Importe Neto]],Imput[[C. Imp.]:[C. Imp.]],'Indirect Costs'!$C101,Imput[[PERIODO Imp.]:[PERIODO Imp.]],'Indirect Costs'!BX$8)</f>
        <v>0</v>
      </c>
      <c r="BY101" s="48">
        <f>SUMIFS(Imput[[Importe Neto]:[Importe Neto]],Imput[[C. Imp.]:[C. Imp.]],'Indirect Costs'!$C101,Imput[[PERIODO Imp.]:[PERIODO Imp.]],'Indirect Costs'!BY$8)</f>
        <v>0</v>
      </c>
      <c r="BZ101" s="48">
        <f>SUMIFS(Imput[[Importe Neto]:[Importe Neto]],Imput[[C. Imp.]:[C. Imp.]],'Indirect Costs'!$C101,Imput[[PERIODO Imp.]:[PERIODO Imp.]],'Indirect Costs'!BZ$8)</f>
        <v>0</v>
      </c>
      <c r="CA101" s="48">
        <f>SUMIFS(Imput[[Importe Neto]:[Importe Neto]],Imput[[C. Imp.]:[C. Imp.]],'Indirect Costs'!$C101,Imput[[PERIODO Imp.]:[PERIODO Imp.]],'Indirect Costs'!CA$8)</f>
        <v>0</v>
      </c>
      <c r="CB101" s="48">
        <f>SUMIFS(Imput[[Importe Neto]:[Importe Neto]],Imput[[C. Imp.]:[C. Imp.]],'Indirect Costs'!$C101,Imput[[PERIODO Imp.]:[PERIODO Imp.]],'Indirect Costs'!CB$8)</f>
        <v>0</v>
      </c>
      <c r="CC101" s="48">
        <f>SUMIFS(Imput[[Importe Neto]:[Importe Neto]],Imput[[C. Imp.]:[C. Imp.]],'Indirect Costs'!$C101,Imput[[PERIODO Imp.]:[PERIODO Imp.]],'Indirect Costs'!CC$8)</f>
        <v>0</v>
      </c>
      <c r="CD101" s="48">
        <f>SUMIFS(Imput[[Importe Neto]:[Importe Neto]],Imput[[C. Imp.]:[C. Imp.]],'Indirect Costs'!$C101,Imput[[PERIODO Imp.]:[PERIODO Imp.]],'Indirect Costs'!CD$8)</f>
        <v>0</v>
      </c>
      <c r="CE101" s="48">
        <f>SUMIFS(Imput[[Importe Neto]:[Importe Neto]],Imput[[C. Imp.]:[C. Imp.]],'Indirect Costs'!$C101,Imput[[PERIODO Imp.]:[PERIODO Imp.]],'Indirect Costs'!CE$8)</f>
        <v>0</v>
      </c>
      <c r="CF101" s="48">
        <f>SUMIFS(Imput[[Importe Neto]:[Importe Neto]],Imput[[C. Imp.]:[C. Imp.]],'Indirect Costs'!$C101,Imput[[PERIODO Imp.]:[PERIODO Imp.]],'Indirect Costs'!CF$8)</f>
        <v>0</v>
      </c>
      <c r="CG101" s="48">
        <f>SUMIFS(Imput[[Importe Neto]:[Importe Neto]],Imput[[C. Imp.]:[C. Imp.]],'Indirect Costs'!$C101,Imput[[PERIODO Imp.]:[PERIODO Imp.]],'Indirect Costs'!CG$8)</f>
        <v>0</v>
      </c>
      <c r="CH101" s="48">
        <f>SUMIFS(Imput[[Importe Neto]:[Importe Neto]],Imput[[C. Imp.]:[C. Imp.]],'Indirect Costs'!$C101,Imput[[PERIODO Imp.]:[PERIODO Imp.]],'Indirect Costs'!CH$8)</f>
        <v>0</v>
      </c>
      <c r="CI101" s="48">
        <f>SUMIFS(Imput[[Importe Neto]:[Importe Neto]],Imput[[C. Imp.]:[C. Imp.]],'Indirect Costs'!$C101,Imput[[PERIODO Imp.]:[PERIODO Imp.]],'Indirect Costs'!CI$8)</f>
        <v>0</v>
      </c>
      <c r="CJ101" s="48">
        <f>SUMIFS(Imput[[Importe Neto]:[Importe Neto]],Imput[[C. Imp.]:[C. Imp.]],'Indirect Costs'!$C101,Imput[[PERIODO Imp.]:[PERIODO Imp.]],'Indirect Costs'!CJ$8)</f>
        <v>0</v>
      </c>
      <c r="CK101" s="48">
        <f>SUMIFS(Imput[[Importe Neto]:[Importe Neto]],Imput[[C. Imp.]:[C. Imp.]],'Indirect Costs'!$C101,Imput[[PERIODO Imp.]:[PERIODO Imp.]],'Indirect Costs'!CK$8)</f>
        <v>0</v>
      </c>
      <c r="CL101" s="48">
        <f>SUMIFS(Imput[[Importe Neto]:[Importe Neto]],Imput[[C. Imp.]:[C. Imp.]],'Indirect Costs'!$C101,Imput[[PERIODO Imp.]:[PERIODO Imp.]],'Indirect Costs'!CL$8)</f>
        <v>0</v>
      </c>
      <c r="CM101" s="48">
        <f>SUMIFS(Imput[[Importe Neto]:[Importe Neto]],Imput[[C. Imp.]:[C. Imp.]],'Indirect Costs'!$C101,Imput[[PERIODO Imp.]:[PERIODO Imp.]],'Indirect Costs'!CM$8)</f>
        <v>0</v>
      </c>
      <c r="CN101" s="48">
        <f>SUMIFS(Imput[[Importe Neto]:[Importe Neto]],Imput[[C. Imp.]:[C. Imp.]],'Indirect Costs'!$C101,Imput[[PERIODO Imp.]:[PERIODO Imp.]],'Indirect Costs'!CN$8)</f>
        <v>0</v>
      </c>
      <c r="CO101" s="48">
        <f>SUMIFS(Imput[[Importe Neto]:[Importe Neto]],Imput[[C. Imp.]:[C. Imp.]],'Indirect Costs'!$C101,Imput[[PERIODO Imp.]:[PERIODO Imp.]],'Indirect Costs'!CO$8)</f>
        <v>0</v>
      </c>
      <c r="CP101" s="48">
        <f>SUMIFS(Imput[[Importe Neto]:[Importe Neto]],Imput[[C. Imp.]:[C. Imp.]],'Indirect Costs'!$C101,Imput[[PERIODO Imp.]:[PERIODO Imp.]],'Indirect Costs'!CP$8)</f>
        <v>0</v>
      </c>
      <c r="CQ101" s="48">
        <f>SUMIFS(Imput[[Importe Neto]:[Importe Neto]],Imput[[C. Imp.]:[C. Imp.]],'Indirect Costs'!$C101,Imput[[PERIODO Imp.]:[PERIODO Imp.]],'Indirect Costs'!CQ$8)</f>
        <v>0</v>
      </c>
      <c r="CR101" s="48">
        <f>SUMIFS(Imput[[Importe Neto]:[Importe Neto]],Imput[[C. Imp.]:[C. Imp.]],'Indirect Costs'!$C101,Imput[[PERIODO Imp.]:[PERIODO Imp.]],'Indirect Costs'!CR$8)</f>
        <v>0</v>
      </c>
      <c r="CS101" s="48">
        <f>SUMIFS(Imput[[Importe Neto]:[Importe Neto]],Imput[[C. Imp.]:[C. Imp.]],'Indirect Costs'!$C101,Imput[[PERIODO Imp.]:[PERIODO Imp.]],'Indirect Costs'!CS$8)</f>
        <v>0</v>
      </c>
      <c r="CT101" s="48">
        <f>SUMIFS(Imput[[Importe Neto]:[Importe Neto]],Imput[[C. Imp.]:[C. Imp.]],'Indirect Costs'!$C101,Imput[[PERIODO Imp.]:[PERIODO Imp.]],'Indirect Costs'!CT$8)</f>
        <v>0</v>
      </c>
      <c r="CU101" s="48">
        <f>SUMIFS(Imput[[Importe Neto]:[Importe Neto]],Imput[[C. Imp.]:[C. Imp.]],'Indirect Costs'!$C101,Imput[[PERIODO Imp.]:[PERIODO Imp.]],'Indirect Costs'!CU$8)</f>
        <v>0</v>
      </c>
      <c r="CV101" s="48">
        <f>SUMIFS(Imput[[Importe Neto]:[Importe Neto]],Imput[[C. Imp.]:[C. Imp.]],'Indirect Costs'!$C101,Imput[[PERIODO Imp.]:[PERIODO Imp.]],'Indirect Costs'!CV$8)</f>
        <v>0</v>
      </c>
      <c r="CW101" s="48">
        <f>SUMIFS(Imput[[Importe Neto]:[Importe Neto]],Imput[[C. Imp.]:[C. Imp.]],'Indirect Costs'!$C101,Imput[[PERIODO Imp.]:[PERIODO Imp.]],'Indirect Costs'!CW$8)</f>
        <v>0</v>
      </c>
      <c r="CX101" s="48">
        <f>SUMIFS(Imput[[Importe Neto]:[Importe Neto]],Imput[[C. Imp.]:[C. Imp.]],'Indirect Costs'!$C101,Imput[[PERIODO Imp.]:[PERIODO Imp.]],'Indirect Costs'!CX$8)</f>
        <v>0</v>
      </c>
      <c r="CY101" s="48">
        <f>SUMIFS(Imput[[Importe Neto]:[Importe Neto]],Imput[[C. Imp.]:[C. Imp.]],'Indirect Costs'!$C101,Imput[[PERIODO Imp.]:[PERIODO Imp.]],'Indirect Costs'!CY$8)</f>
        <v>0</v>
      </c>
      <c r="CZ101" s="48">
        <f>SUMIFS(Imput[[Importe Neto]:[Importe Neto]],Imput[[C. Imp.]:[C. Imp.]],'Indirect Costs'!$C101,Imput[[PERIODO Imp.]:[PERIODO Imp.]],'Indirect Costs'!CZ$8)</f>
        <v>0</v>
      </c>
      <c r="DA101" s="48">
        <f>SUMIFS(Imput[[Importe Neto]:[Importe Neto]],Imput[[C. Imp.]:[C. Imp.]],'Indirect Costs'!$C101,Imput[[PERIODO Imp.]:[PERIODO Imp.]],'Indirect Costs'!DA$8)</f>
        <v>0</v>
      </c>
      <c r="DB101" s="48">
        <f>SUMIFS(Imput[[Importe Neto]:[Importe Neto]],Imput[[C. Imp.]:[C. Imp.]],'Indirect Costs'!$C101,Imput[[PERIODO Imp.]:[PERIODO Imp.]],'Indirect Costs'!DB$8)</f>
        <v>0</v>
      </c>
      <c r="DC101" s="48">
        <f>SUMIFS(Imput[[Importe Neto]:[Importe Neto]],Imput[[C. Imp.]:[C. Imp.]],'Indirect Costs'!$C101,Imput[[PERIODO Imp.]:[PERIODO Imp.]],'Indirect Costs'!DC$8)</f>
        <v>0</v>
      </c>
      <c r="DD101" s="48">
        <f>SUMIFS(Imput[[Importe Neto]:[Importe Neto]],Imput[[C. Imp.]:[C. Imp.]],'Indirect Costs'!$C101,Imput[[PERIODO Imp.]:[PERIODO Imp.]],'Indirect Costs'!DD$8)</f>
        <v>0</v>
      </c>
      <c r="DE101" s="48">
        <f>SUMIFS(Imput[[Importe Neto]:[Importe Neto]],Imput[[C. Imp.]:[C. Imp.]],'Indirect Costs'!$C101,Imput[[PERIODO Imp.]:[PERIODO Imp.]],'Indirect Costs'!DE$8)</f>
        <v>0</v>
      </c>
      <c r="DF101" s="143">
        <f>SUMIFS(Imput[[Importe Neto]:[Importe Neto]],Imput[[C. Imp.]:[C. Imp.]],'Indirect Costs'!$C101,Imput[[PERIODO Imp.]:[PERIODO Imp.]],'Indirect Costs'!DF$8)</f>
        <v>0</v>
      </c>
    </row>
    <row r="102" spans="1:110" outlineLevel="1" x14ac:dyDescent="0.25">
      <c r="A102" s="28" t="str">
        <f t="shared" si="14"/>
        <v/>
      </c>
      <c r="B102" s="50">
        <v>11</v>
      </c>
      <c r="C102" s="57" t="s">
        <v>1822</v>
      </c>
      <c r="D102" s="56" t="s">
        <v>608</v>
      </c>
      <c r="E102" s="57" t="s">
        <v>608</v>
      </c>
      <c r="F102" s="58">
        <v>3000</v>
      </c>
      <c r="G102" s="49"/>
      <c r="H102" s="51">
        <v>1</v>
      </c>
      <c r="I102" s="505">
        <f t="shared" si="22"/>
        <v>0</v>
      </c>
      <c r="J102" s="47"/>
      <c r="K102" s="142"/>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143"/>
      <c r="BG102" s="47"/>
      <c r="BH102" s="509"/>
      <c r="BI102" s="505">
        <f t="shared" si="15"/>
        <v>0</v>
      </c>
      <c r="BJ102" s="47"/>
      <c r="BK102" s="142">
        <f>SUMIFS(Imput[[Importe Neto]:[Importe Neto]],Imput[[C. Imp.]:[C. Imp.]],'Indirect Costs'!$C102,Imput[[PERIODO Imp.]:[PERIODO Imp.]],'Indirect Costs'!BK$8)</f>
        <v>0</v>
      </c>
      <c r="BL102" s="48">
        <f>SUMIFS(Imput[[Importe Neto]:[Importe Neto]],Imput[[C. Imp.]:[C. Imp.]],'Indirect Costs'!$C102,Imput[[PERIODO Imp.]:[PERIODO Imp.]],'Indirect Costs'!BL$8)</f>
        <v>0</v>
      </c>
      <c r="BM102" s="48">
        <f>SUMIFS(Imput[[Importe Neto]:[Importe Neto]],Imput[[C. Imp.]:[C. Imp.]],'Indirect Costs'!$C102,Imput[[PERIODO Imp.]:[PERIODO Imp.]],'Indirect Costs'!BM$8)</f>
        <v>0</v>
      </c>
      <c r="BN102" s="48">
        <f>SUMIFS(Imput[[Importe Neto]:[Importe Neto]],Imput[[C. Imp.]:[C. Imp.]],'Indirect Costs'!$C102,Imput[[PERIODO Imp.]:[PERIODO Imp.]],'Indirect Costs'!BN$8)</f>
        <v>0</v>
      </c>
      <c r="BO102" s="48">
        <f>SUMIFS(Imput[[Importe Neto]:[Importe Neto]],Imput[[C. Imp.]:[C. Imp.]],'Indirect Costs'!$C102,Imput[[PERIODO Imp.]:[PERIODO Imp.]],'Indirect Costs'!BO$8)</f>
        <v>0</v>
      </c>
      <c r="BP102" s="48">
        <f>SUMIFS(Imput[[Importe Neto]:[Importe Neto]],Imput[[C. Imp.]:[C. Imp.]],'Indirect Costs'!$C102,Imput[[PERIODO Imp.]:[PERIODO Imp.]],'Indirect Costs'!BP$8)</f>
        <v>0</v>
      </c>
      <c r="BQ102" s="48">
        <f>SUMIFS(Imput[[Importe Neto]:[Importe Neto]],Imput[[C. Imp.]:[C. Imp.]],'Indirect Costs'!$C102,Imput[[PERIODO Imp.]:[PERIODO Imp.]],'Indirect Costs'!BQ$8)</f>
        <v>0</v>
      </c>
      <c r="BR102" s="48">
        <f>SUMIFS(Imput[[Importe Neto]:[Importe Neto]],Imput[[C. Imp.]:[C. Imp.]],'Indirect Costs'!$C102,Imput[[PERIODO Imp.]:[PERIODO Imp.]],'Indirect Costs'!BR$8)</f>
        <v>0</v>
      </c>
      <c r="BS102" s="48">
        <f>SUMIFS(Imput[[Importe Neto]:[Importe Neto]],Imput[[C. Imp.]:[C. Imp.]],'Indirect Costs'!$C102,Imput[[PERIODO Imp.]:[PERIODO Imp.]],'Indirect Costs'!BS$8)</f>
        <v>0</v>
      </c>
      <c r="BT102" s="48">
        <f>SUMIFS(Imput[[Importe Neto]:[Importe Neto]],Imput[[C. Imp.]:[C. Imp.]],'Indirect Costs'!$C102,Imput[[PERIODO Imp.]:[PERIODO Imp.]],'Indirect Costs'!BT$8)</f>
        <v>0</v>
      </c>
      <c r="BU102" s="48">
        <f>SUMIFS(Imput[[Importe Neto]:[Importe Neto]],Imput[[C. Imp.]:[C. Imp.]],'Indirect Costs'!$C102,Imput[[PERIODO Imp.]:[PERIODO Imp.]],'Indirect Costs'!BU$8)</f>
        <v>0</v>
      </c>
      <c r="BV102" s="48">
        <f>SUMIFS(Imput[[Importe Neto]:[Importe Neto]],Imput[[C. Imp.]:[C. Imp.]],'Indirect Costs'!$C102,Imput[[PERIODO Imp.]:[PERIODO Imp.]],'Indirect Costs'!BV$8)</f>
        <v>0</v>
      </c>
      <c r="BW102" s="48">
        <f>SUMIFS(Imput[[Importe Neto]:[Importe Neto]],Imput[[C. Imp.]:[C. Imp.]],'Indirect Costs'!$C102,Imput[[PERIODO Imp.]:[PERIODO Imp.]],'Indirect Costs'!BW$8)</f>
        <v>0</v>
      </c>
      <c r="BX102" s="48">
        <f>SUMIFS(Imput[[Importe Neto]:[Importe Neto]],Imput[[C. Imp.]:[C. Imp.]],'Indirect Costs'!$C102,Imput[[PERIODO Imp.]:[PERIODO Imp.]],'Indirect Costs'!BX$8)</f>
        <v>0</v>
      </c>
      <c r="BY102" s="48">
        <f>SUMIFS(Imput[[Importe Neto]:[Importe Neto]],Imput[[C. Imp.]:[C. Imp.]],'Indirect Costs'!$C102,Imput[[PERIODO Imp.]:[PERIODO Imp.]],'Indirect Costs'!BY$8)</f>
        <v>0</v>
      </c>
      <c r="BZ102" s="48">
        <f>SUMIFS(Imput[[Importe Neto]:[Importe Neto]],Imput[[C. Imp.]:[C. Imp.]],'Indirect Costs'!$C102,Imput[[PERIODO Imp.]:[PERIODO Imp.]],'Indirect Costs'!BZ$8)</f>
        <v>0</v>
      </c>
      <c r="CA102" s="48">
        <f>SUMIFS(Imput[[Importe Neto]:[Importe Neto]],Imput[[C. Imp.]:[C. Imp.]],'Indirect Costs'!$C102,Imput[[PERIODO Imp.]:[PERIODO Imp.]],'Indirect Costs'!CA$8)</f>
        <v>0</v>
      </c>
      <c r="CB102" s="48">
        <f>SUMIFS(Imput[[Importe Neto]:[Importe Neto]],Imput[[C. Imp.]:[C. Imp.]],'Indirect Costs'!$C102,Imput[[PERIODO Imp.]:[PERIODO Imp.]],'Indirect Costs'!CB$8)</f>
        <v>0</v>
      </c>
      <c r="CC102" s="48">
        <f>SUMIFS(Imput[[Importe Neto]:[Importe Neto]],Imput[[C. Imp.]:[C. Imp.]],'Indirect Costs'!$C102,Imput[[PERIODO Imp.]:[PERIODO Imp.]],'Indirect Costs'!CC$8)</f>
        <v>0</v>
      </c>
      <c r="CD102" s="48">
        <f>SUMIFS(Imput[[Importe Neto]:[Importe Neto]],Imput[[C. Imp.]:[C. Imp.]],'Indirect Costs'!$C102,Imput[[PERIODO Imp.]:[PERIODO Imp.]],'Indirect Costs'!CD$8)</f>
        <v>0</v>
      </c>
      <c r="CE102" s="48">
        <f>SUMIFS(Imput[[Importe Neto]:[Importe Neto]],Imput[[C. Imp.]:[C. Imp.]],'Indirect Costs'!$C102,Imput[[PERIODO Imp.]:[PERIODO Imp.]],'Indirect Costs'!CE$8)</f>
        <v>0</v>
      </c>
      <c r="CF102" s="48">
        <f>SUMIFS(Imput[[Importe Neto]:[Importe Neto]],Imput[[C. Imp.]:[C. Imp.]],'Indirect Costs'!$C102,Imput[[PERIODO Imp.]:[PERIODO Imp.]],'Indirect Costs'!CF$8)</f>
        <v>0</v>
      </c>
      <c r="CG102" s="48">
        <f>SUMIFS(Imput[[Importe Neto]:[Importe Neto]],Imput[[C. Imp.]:[C. Imp.]],'Indirect Costs'!$C102,Imput[[PERIODO Imp.]:[PERIODO Imp.]],'Indirect Costs'!CG$8)</f>
        <v>0</v>
      </c>
      <c r="CH102" s="48">
        <f>SUMIFS(Imput[[Importe Neto]:[Importe Neto]],Imput[[C. Imp.]:[C. Imp.]],'Indirect Costs'!$C102,Imput[[PERIODO Imp.]:[PERIODO Imp.]],'Indirect Costs'!CH$8)</f>
        <v>0</v>
      </c>
      <c r="CI102" s="48">
        <f>SUMIFS(Imput[[Importe Neto]:[Importe Neto]],Imput[[C. Imp.]:[C. Imp.]],'Indirect Costs'!$C102,Imput[[PERIODO Imp.]:[PERIODO Imp.]],'Indirect Costs'!CI$8)</f>
        <v>0</v>
      </c>
      <c r="CJ102" s="48">
        <f>SUMIFS(Imput[[Importe Neto]:[Importe Neto]],Imput[[C. Imp.]:[C. Imp.]],'Indirect Costs'!$C102,Imput[[PERIODO Imp.]:[PERIODO Imp.]],'Indirect Costs'!CJ$8)</f>
        <v>0</v>
      </c>
      <c r="CK102" s="48">
        <f>SUMIFS(Imput[[Importe Neto]:[Importe Neto]],Imput[[C. Imp.]:[C. Imp.]],'Indirect Costs'!$C102,Imput[[PERIODO Imp.]:[PERIODO Imp.]],'Indirect Costs'!CK$8)</f>
        <v>0</v>
      </c>
      <c r="CL102" s="48">
        <f>SUMIFS(Imput[[Importe Neto]:[Importe Neto]],Imput[[C. Imp.]:[C. Imp.]],'Indirect Costs'!$C102,Imput[[PERIODO Imp.]:[PERIODO Imp.]],'Indirect Costs'!CL$8)</f>
        <v>0</v>
      </c>
      <c r="CM102" s="48">
        <f>SUMIFS(Imput[[Importe Neto]:[Importe Neto]],Imput[[C. Imp.]:[C. Imp.]],'Indirect Costs'!$C102,Imput[[PERIODO Imp.]:[PERIODO Imp.]],'Indirect Costs'!CM$8)</f>
        <v>0</v>
      </c>
      <c r="CN102" s="48">
        <f>SUMIFS(Imput[[Importe Neto]:[Importe Neto]],Imput[[C. Imp.]:[C. Imp.]],'Indirect Costs'!$C102,Imput[[PERIODO Imp.]:[PERIODO Imp.]],'Indirect Costs'!CN$8)</f>
        <v>0</v>
      </c>
      <c r="CO102" s="48">
        <f>SUMIFS(Imput[[Importe Neto]:[Importe Neto]],Imput[[C. Imp.]:[C. Imp.]],'Indirect Costs'!$C102,Imput[[PERIODO Imp.]:[PERIODO Imp.]],'Indirect Costs'!CO$8)</f>
        <v>0</v>
      </c>
      <c r="CP102" s="48">
        <f>SUMIFS(Imput[[Importe Neto]:[Importe Neto]],Imput[[C. Imp.]:[C. Imp.]],'Indirect Costs'!$C102,Imput[[PERIODO Imp.]:[PERIODO Imp.]],'Indirect Costs'!CP$8)</f>
        <v>0</v>
      </c>
      <c r="CQ102" s="48">
        <f>SUMIFS(Imput[[Importe Neto]:[Importe Neto]],Imput[[C. Imp.]:[C. Imp.]],'Indirect Costs'!$C102,Imput[[PERIODO Imp.]:[PERIODO Imp.]],'Indirect Costs'!CQ$8)</f>
        <v>0</v>
      </c>
      <c r="CR102" s="48">
        <f>SUMIFS(Imput[[Importe Neto]:[Importe Neto]],Imput[[C. Imp.]:[C. Imp.]],'Indirect Costs'!$C102,Imput[[PERIODO Imp.]:[PERIODO Imp.]],'Indirect Costs'!CR$8)</f>
        <v>0</v>
      </c>
      <c r="CS102" s="48">
        <f>SUMIFS(Imput[[Importe Neto]:[Importe Neto]],Imput[[C. Imp.]:[C. Imp.]],'Indirect Costs'!$C102,Imput[[PERIODO Imp.]:[PERIODO Imp.]],'Indirect Costs'!CS$8)</f>
        <v>0</v>
      </c>
      <c r="CT102" s="48">
        <f>SUMIFS(Imput[[Importe Neto]:[Importe Neto]],Imput[[C. Imp.]:[C. Imp.]],'Indirect Costs'!$C102,Imput[[PERIODO Imp.]:[PERIODO Imp.]],'Indirect Costs'!CT$8)</f>
        <v>0</v>
      </c>
      <c r="CU102" s="48">
        <f>SUMIFS(Imput[[Importe Neto]:[Importe Neto]],Imput[[C. Imp.]:[C. Imp.]],'Indirect Costs'!$C102,Imput[[PERIODO Imp.]:[PERIODO Imp.]],'Indirect Costs'!CU$8)</f>
        <v>0</v>
      </c>
      <c r="CV102" s="48">
        <f>SUMIFS(Imput[[Importe Neto]:[Importe Neto]],Imput[[C. Imp.]:[C. Imp.]],'Indirect Costs'!$C102,Imput[[PERIODO Imp.]:[PERIODO Imp.]],'Indirect Costs'!CV$8)</f>
        <v>0</v>
      </c>
      <c r="CW102" s="48">
        <f>SUMIFS(Imput[[Importe Neto]:[Importe Neto]],Imput[[C. Imp.]:[C. Imp.]],'Indirect Costs'!$C102,Imput[[PERIODO Imp.]:[PERIODO Imp.]],'Indirect Costs'!CW$8)</f>
        <v>0</v>
      </c>
      <c r="CX102" s="48">
        <f>SUMIFS(Imput[[Importe Neto]:[Importe Neto]],Imput[[C. Imp.]:[C. Imp.]],'Indirect Costs'!$C102,Imput[[PERIODO Imp.]:[PERIODO Imp.]],'Indirect Costs'!CX$8)</f>
        <v>0</v>
      </c>
      <c r="CY102" s="48">
        <f>SUMIFS(Imput[[Importe Neto]:[Importe Neto]],Imput[[C. Imp.]:[C. Imp.]],'Indirect Costs'!$C102,Imput[[PERIODO Imp.]:[PERIODO Imp.]],'Indirect Costs'!CY$8)</f>
        <v>0</v>
      </c>
      <c r="CZ102" s="48">
        <f>SUMIFS(Imput[[Importe Neto]:[Importe Neto]],Imput[[C. Imp.]:[C. Imp.]],'Indirect Costs'!$C102,Imput[[PERIODO Imp.]:[PERIODO Imp.]],'Indirect Costs'!CZ$8)</f>
        <v>0</v>
      </c>
      <c r="DA102" s="48">
        <f>SUMIFS(Imput[[Importe Neto]:[Importe Neto]],Imput[[C. Imp.]:[C. Imp.]],'Indirect Costs'!$C102,Imput[[PERIODO Imp.]:[PERIODO Imp.]],'Indirect Costs'!DA$8)</f>
        <v>0</v>
      </c>
      <c r="DB102" s="48">
        <f>SUMIFS(Imput[[Importe Neto]:[Importe Neto]],Imput[[C. Imp.]:[C. Imp.]],'Indirect Costs'!$C102,Imput[[PERIODO Imp.]:[PERIODO Imp.]],'Indirect Costs'!DB$8)</f>
        <v>0</v>
      </c>
      <c r="DC102" s="48">
        <f>SUMIFS(Imput[[Importe Neto]:[Importe Neto]],Imput[[C. Imp.]:[C. Imp.]],'Indirect Costs'!$C102,Imput[[PERIODO Imp.]:[PERIODO Imp.]],'Indirect Costs'!DC$8)</f>
        <v>0</v>
      </c>
      <c r="DD102" s="48">
        <f>SUMIFS(Imput[[Importe Neto]:[Importe Neto]],Imput[[C. Imp.]:[C. Imp.]],'Indirect Costs'!$C102,Imput[[PERIODO Imp.]:[PERIODO Imp.]],'Indirect Costs'!DD$8)</f>
        <v>0</v>
      </c>
      <c r="DE102" s="48">
        <f>SUMIFS(Imput[[Importe Neto]:[Importe Neto]],Imput[[C. Imp.]:[C. Imp.]],'Indirect Costs'!$C102,Imput[[PERIODO Imp.]:[PERIODO Imp.]],'Indirect Costs'!DE$8)</f>
        <v>0</v>
      </c>
      <c r="DF102" s="143">
        <f>SUMIFS(Imput[[Importe Neto]:[Importe Neto]],Imput[[C. Imp.]:[C. Imp.]],'Indirect Costs'!$C102,Imput[[PERIODO Imp.]:[PERIODO Imp.]],'Indirect Costs'!DF$8)</f>
        <v>0</v>
      </c>
    </row>
    <row r="103" spans="1:110" outlineLevel="1" x14ac:dyDescent="0.25">
      <c r="A103" s="28" t="str">
        <f t="shared" si="14"/>
        <v/>
      </c>
      <c r="B103" s="50">
        <v>12</v>
      </c>
      <c r="C103" s="57" t="s">
        <v>1823</v>
      </c>
      <c r="D103" s="56" t="s">
        <v>609</v>
      </c>
      <c r="E103" s="57" t="s">
        <v>609</v>
      </c>
      <c r="F103" s="58">
        <v>10000</v>
      </c>
      <c r="G103" s="49"/>
      <c r="H103" s="51">
        <v>1</v>
      </c>
      <c r="I103" s="505">
        <f t="shared" si="22"/>
        <v>0</v>
      </c>
      <c r="J103" s="47"/>
      <c r="K103" s="142"/>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143"/>
      <c r="BG103" s="47"/>
      <c r="BH103" s="509"/>
      <c r="BI103" s="505">
        <f t="shared" si="15"/>
        <v>0</v>
      </c>
      <c r="BJ103" s="47"/>
      <c r="BK103" s="142">
        <f>SUMIFS(Imput[[Importe Neto]:[Importe Neto]],Imput[[C. Imp.]:[C. Imp.]],'Indirect Costs'!$C103,Imput[[PERIODO Imp.]:[PERIODO Imp.]],'Indirect Costs'!BK$8)</f>
        <v>0</v>
      </c>
      <c r="BL103" s="48">
        <f>SUMIFS(Imput[[Importe Neto]:[Importe Neto]],Imput[[C. Imp.]:[C. Imp.]],'Indirect Costs'!$C103,Imput[[PERIODO Imp.]:[PERIODO Imp.]],'Indirect Costs'!BL$8)</f>
        <v>0</v>
      </c>
      <c r="BM103" s="48">
        <f>SUMIFS(Imput[[Importe Neto]:[Importe Neto]],Imput[[C. Imp.]:[C. Imp.]],'Indirect Costs'!$C103,Imput[[PERIODO Imp.]:[PERIODO Imp.]],'Indirect Costs'!BM$8)</f>
        <v>0</v>
      </c>
      <c r="BN103" s="48">
        <f>SUMIFS(Imput[[Importe Neto]:[Importe Neto]],Imput[[C. Imp.]:[C. Imp.]],'Indirect Costs'!$C103,Imput[[PERIODO Imp.]:[PERIODO Imp.]],'Indirect Costs'!BN$8)</f>
        <v>0</v>
      </c>
      <c r="BO103" s="48">
        <f>SUMIFS(Imput[[Importe Neto]:[Importe Neto]],Imput[[C. Imp.]:[C. Imp.]],'Indirect Costs'!$C103,Imput[[PERIODO Imp.]:[PERIODO Imp.]],'Indirect Costs'!BO$8)</f>
        <v>0</v>
      </c>
      <c r="BP103" s="48">
        <f>SUMIFS(Imput[[Importe Neto]:[Importe Neto]],Imput[[C. Imp.]:[C. Imp.]],'Indirect Costs'!$C103,Imput[[PERIODO Imp.]:[PERIODO Imp.]],'Indirect Costs'!BP$8)</f>
        <v>0</v>
      </c>
      <c r="BQ103" s="48">
        <f>SUMIFS(Imput[[Importe Neto]:[Importe Neto]],Imput[[C. Imp.]:[C. Imp.]],'Indirect Costs'!$C103,Imput[[PERIODO Imp.]:[PERIODO Imp.]],'Indirect Costs'!BQ$8)</f>
        <v>0</v>
      </c>
      <c r="BR103" s="48">
        <f>SUMIFS(Imput[[Importe Neto]:[Importe Neto]],Imput[[C. Imp.]:[C. Imp.]],'Indirect Costs'!$C103,Imput[[PERIODO Imp.]:[PERIODO Imp.]],'Indirect Costs'!BR$8)</f>
        <v>0</v>
      </c>
      <c r="BS103" s="48">
        <f>SUMIFS(Imput[[Importe Neto]:[Importe Neto]],Imput[[C. Imp.]:[C. Imp.]],'Indirect Costs'!$C103,Imput[[PERIODO Imp.]:[PERIODO Imp.]],'Indirect Costs'!BS$8)</f>
        <v>0</v>
      </c>
      <c r="BT103" s="48">
        <f>SUMIFS(Imput[[Importe Neto]:[Importe Neto]],Imput[[C. Imp.]:[C. Imp.]],'Indirect Costs'!$C103,Imput[[PERIODO Imp.]:[PERIODO Imp.]],'Indirect Costs'!BT$8)</f>
        <v>0</v>
      </c>
      <c r="BU103" s="48">
        <f>SUMIFS(Imput[[Importe Neto]:[Importe Neto]],Imput[[C. Imp.]:[C. Imp.]],'Indirect Costs'!$C103,Imput[[PERIODO Imp.]:[PERIODO Imp.]],'Indirect Costs'!BU$8)</f>
        <v>0</v>
      </c>
      <c r="BV103" s="48">
        <f>SUMIFS(Imput[[Importe Neto]:[Importe Neto]],Imput[[C. Imp.]:[C. Imp.]],'Indirect Costs'!$C103,Imput[[PERIODO Imp.]:[PERIODO Imp.]],'Indirect Costs'!BV$8)</f>
        <v>0</v>
      </c>
      <c r="BW103" s="48">
        <f>SUMIFS(Imput[[Importe Neto]:[Importe Neto]],Imput[[C. Imp.]:[C. Imp.]],'Indirect Costs'!$C103,Imput[[PERIODO Imp.]:[PERIODO Imp.]],'Indirect Costs'!BW$8)</f>
        <v>0</v>
      </c>
      <c r="BX103" s="48">
        <f>SUMIFS(Imput[[Importe Neto]:[Importe Neto]],Imput[[C. Imp.]:[C. Imp.]],'Indirect Costs'!$C103,Imput[[PERIODO Imp.]:[PERIODO Imp.]],'Indirect Costs'!BX$8)</f>
        <v>0</v>
      </c>
      <c r="BY103" s="48">
        <f>SUMIFS(Imput[[Importe Neto]:[Importe Neto]],Imput[[C. Imp.]:[C. Imp.]],'Indirect Costs'!$C103,Imput[[PERIODO Imp.]:[PERIODO Imp.]],'Indirect Costs'!BY$8)</f>
        <v>0</v>
      </c>
      <c r="BZ103" s="48">
        <f>SUMIFS(Imput[[Importe Neto]:[Importe Neto]],Imput[[C. Imp.]:[C. Imp.]],'Indirect Costs'!$C103,Imput[[PERIODO Imp.]:[PERIODO Imp.]],'Indirect Costs'!BZ$8)</f>
        <v>0</v>
      </c>
      <c r="CA103" s="48">
        <f>SUMIFS(Imput[[Importe Neto]:[Importe Neto]],Imput[[C. Imp.]:[C. Imp.]],'Indirect Costs'!$C103,Imput[[PERIODO Imp.]:[PERIODO Imp.]],'Indirect Costs'!CA$8)</f>
        <v>0</v>
      </c>
      <c r="CB103" s="48">
        <f>SUMIFS(Imput[[Importe Neto]:[Importe Neto]],Imput[[C. Imp.]:[C. Imp.]],'Indirect Costs'!$C103,Imput[[PERIODO Imp.]:[PERIODO Imp.]],'Indirect Costs'!CB$8)</f>
        <v>0</v>
      </c>
      <c r="CC103" s="48">
        <f>SUMIFS(Imput[[Importe Neto]:[Importe Neto]],Imput[[C. Imp.]:[C. Imp.]],'Indirect Costs'!$C103,Imput[[PERIODO Imp.]:[PERIODO Imp.]],'Indirect Costs'!CC$8)</f>
        <v>0</v>
      </c>
      <c r="CD103" s="48">
        <f>SUMIFS(Imput[[Importe Neto]:[Importe Neto]],Imput[[C. Imp.]:[C. Imp.]],'Indirect Costs'!$C103,Imput[[PERIODO Imp.]:[PERIODO Imp.]],'Indirect Costs'!CD$8)</f>
        <v>0</v>
      </c>
      <c r="CE103" s="48">
        <f>SUMIFS(Imput[[Importe Neto]:[Importe Neto]],Imput[[C. Imp.]:[C. Imp.]],'Indirect Costs'!$C103,Imput[[PERIODO Imp.]:[PERIODO Imp.]],'Indirect Costs'!CE$8)</f>
        <v>0</v>
      </c>
      <c r="CF103" s="48">
        <f>SUMIFS(Imput[[Importe Neto]:[Importe Neto]],Imput[[C. Imp.]:[C. Imp.]],'Indirect Costs'!$C103,Imput[[PERIODO Imp.]:[PERIODO Imp.]],'Indirect Costs'!CF$8)</f>
        <v>0</v>
      </c>
      <c r="CG103" s="48">
        <f>SUMIFS(Imput[[Importe Neto]:[Importe Neto]],Imput[[C. Imp.]:[C. Imp.]],'Indirect Costs'!$C103,Imput[[PERIODO Imp.]:[PERIODO Imp.]],'Indirect Costs'!CG$8)</f>
        <v>0</v>
      </c>
      <c r="CH103" s="48">
        <f>SUMIFS(Imput[[Importe Neto]:[Importe Neto]],Imput[[C. Imp.]:[C. Imp.]],'Indirect Costs'!$C103,Imput[[PERIODO Imp.]:[PERIODO Imp.]],'Indirect Costs'!CH$8)</f>
        <v>0</v>
      </c>
      <c r="CI103" s="48">
        <f>SUMIFS(Imput[[Importe Neto]:[Importe Neto]],Imput[[C. Imp.]:[C. Imp.]],'Indirect Costs'!$C103,Imput[[PERIODO Imp.]:[PERIODO Imp.]],'Indirect Costs'!CI$8)</f>
        <v>0</v>
      </c>
      <c r="CJ103" s="48">
        <f>SUMIFS(Imput[[Importe Neto]:[Importe Neto]],Imput[[C. Imp.]:[C. Imp.]],'Indirect Costs'!$C103,Imput[[PERIODO Imp.]:[PERIODO Imp.]],'Indirect Costs'!CJ$8)</f>
        <v>0</v>
      </c>
      <c r="CK103" s="48">
        <f>SUMIFS(Imput[[Importe Neto]:[Importe Neto]],Imput[[C. Imp.]:[C. Imp.]],'Indirect Costs'!$C103,Imput[[PERIODO Imp.]:[PERIODO Imp.]],'Indirect Costs'!CK$8)</f>
        <v>0</v>
      </c>
      <c r="CL103" s="48">
        <f>SUMIFS(Imput[[Importe Neto]:[Importe Neto]],Imput[[C. Imp.]:[C. Imp.]],'Indirect Costs'!$C103,Imput[[PERIODO Imp.]:[PERIODO Imp.]],'Indirect Costs'!CL$8)</f>
        <v>0</v>
      </c>
      <c r="CM103" s="48">
        <f>SUMIFS(Imput[[Importe Neto]:[Importe Neto]],Imput[[C. Imp.]:[C. Imp.]],'Indirect Costs'!$C103,Imput[[PERIODO Imp.]:[PERIODO Imp.]],'Indirect Costs'!CM$8)</f>
        <v>0</v>
      </c>
      <c r="CN103" s="48">
        <f>SUMIFS(Imput[[Importe Neto]:[Importe Neto]],Imput[[C. Imp.]:[C. Imp.]],'Indirect Costs'!$C103,Imput[[PERIODO Imp.]:[PERIODO Imp.]],'Indirect Costs'!CN$8)</f>
        <v>0</v>
      </c>
      <c r="CO103" s="48">
        <f>SUMIFS(Imput[[Importe Neto]:[Importe Neto]],Imput[[C. Imp.]:[C. Imp.]],'Indirect Costs'!$C103,Imput[[PERIODO Imp.]:[PERIODO Imp.]],'Indirect Costs'!CO$8)</f>
        <v>0</v>
      </c>
      <c r="CP103" s="48">
        <f>SUMIFS(Imput[[Importe Neto]:[Importe Neto]],Imput[[C. Imp.]:[C. Imp.]],'Indirect Costs'!$C103,Imput[[PERIODO Imp.]:[PERIODO Imp.]],'Indirect Costs'!CP$8)</f>
        <v>0</v>
      </c>
      <c r="CQ103" s="48">
        <f>SUMIFS(Imput[[Importe Neto]:[Importe Neto]],Imput[[C. Imp.]:[C. Imp.]],'Indirect Costs'!$C103,Imput[[PERIODO Imp.]:[PERIODO Imp.]],'Indirect Costs'!CQ$8)</f>
        <v>0</v>
      </c>
      <c r="CR103" s="48">
        <f>SUMIFS(Imput[[Importe Neto]:[Importe Neto]],Imput[[C. Imp.]:[C. Imp.]],'Indirect Costs'!$C103,Imput[[PERIODO Imp.]:[PERIODO Imp.]],'Indirect Costs'!CR$8)</f>
        <v>0</v>
      </c>
      <c r="CS103" s="48">
        <f>SUMIFS(Imput[[Importe Neto]:[Importe Neto]],Imput[[C. Imp.]:[C. Imp.]],'Indirect Costs'!$C103,Imput[[PERIODO Imp.]:[PERIODO Imp.]],'Indirect Costs'!CS$8)</f>
        <v>0</v>
      </c>
      <c r="CT103" s="48">
        <f>SUMIFS(Imput[[Importe Neto]:[Importe Neto]],Imput[[C. Imp.]:[C. Imp.]],'Indirect Costs'!$C103,Imput[[PERIODO Imp.]:[PERIODO Imp.]],'Indirect Costs'!CT$8)</f>
        <v>0</v>
      </c>
      <c r="CU103" s="48">
        <f>SUMIFS(Imput[[Importe Neto]:[Importe Neto]],Imput[[C. Imp.]:[C. Imp.]],'Indirect Costs'!$C103,Imput[[PERIODO Imp.]:[PERIODO Imp.]],'Indirect Costs'!CU$8)</f>
        <v>0</v>
      </c>
      <c r="CV103" s="48">
        <f>SUMIFS(Imput[[Importe Neto]:[Importe Neto]],Imput[[C. Imp.]:[C. Imp.]],'Indirect Costs'!$C103,Imput[[PERIODO Imp.]:[PERIODO Imp.]],'Indirect Costs'!CV$8)</f>
        <v>0</v>
      </c>
      <c r="CW103" s="48">
        <f>SUMIFS(Imput[[Importe Neto]:[Importe Neto]],Imput[[C. Imp.]:[C. Imp.]],'Indirect Costs'!$C103,Imput[[PERIODO Imp.]:[PERIODO Imp.]],'Indirect Costs'!CW$8)</f>
        <v>0</v>
      </c>
      <c r="CX103" s="48">
        <f>SUMIFS(Imput[[Importe Neto]:[Importe Neto]],Imput[[C. Imp.]:[C. Imp.]],'Indirect Costs'!$C103,Imput[[PERIODO Imp.]:[PERIODO Imp.]],'Indirect Costs'!CX$8)</f>
        <v>0</v>
      </c>
      <c r="CY103" s="48">
        <f>SUMIFS(Imput[[Importe Neto]:[Importe Neto]],Imput[[C. Imp.]:[C. Imp.]],'Indirect Costs'!$C103,Imput[[PERIODO Imp.]:[PERIODO Imp.]],'Indirect Costs'!CY$8)</f>
        <v>0</v>
      </c>
      <c r="CZ103" s="48">
        <f>SUMIFS(Imput[[Importe Neto]:[Importe Neto]],Imput[[C. Imp.]:[C. Imp.]],'Indirect Costs'!$C103,Imput[[PERIODO Imp.]:[PERIODO Imp.]],'Indirect Costs'!CZ$8)</f>
        <v>0</v>
      </c>
      <c r="DA103" s="48">
        <f>SUMIFS(Imput[[Importe Neto]:[Importe Neto]],Imput[[C. Imp.]:[C. Imp.]],'Indirect Costs'!$C103,Imput[[PERIODO Imp.]:[PERIODO Imp.]],'Indirect Costs'!DA$8)</f>
        <v>0</v>
      </c>
      <c r="DB103" s="48">
        <f>SUMIFS(Imput[[Importe Neto]:[Importe Neto]],Imput[[C. Imp.]:[C. Imp.]],'Indirect Costs'!$C103,Imput[[PERIODO Imp.]:[PERIODO Imp.]],'Indirect Costs'!DB$8)</f>
        <v>0</v>
      </c>
      <c r="DC103" s="48">
        <f>SUMIFS(Imput[[Importe Neto]:[Importe Neto]],Imput[[C. Imp.]:[C. Imp.]],'Indirect Costs'!$C103,Imput[[PERIODO Imp.]:[PERIODO Imp.]],'Indirect Costs'!DC$8)</f>
        <v>0</v>
      </c>
      <c r="DD103" s="48">
        <f>SUMIFS(Imput[[Importe Neto]:[Importe Neto]],Imput[[C. Imp.]:[C. Imp.]],'Indirect Costs'!$C103,Imput[[PERIODO Imp.]:[PERIODO Imp.]],'Indirect Costs'!DD$8)</f>
        <v>0</v>
      </c>
      <c r="DE103" s="48">
        <f>SUMIFS(Imput[[Importe Neto]:[Importe Neto]],Imput[[C. Imp.]:[C. Imp.]],'Indirect Costs'!$C103,Imput[[PERIODO Imp.]:[PERIODO Imp.]],'Indirect Costs'!DE$8)</f>
        <v>0</v>
      </c>
      <c r="DF103" s="143">
        <f>SUMIFS(Imput[[Importe Neto]:[Importe Neto]],Imput[[C. Imp.]:[C. Imp.]],'Indirect Costs'!$C103,Imput[[PERIODO Imp.]:[PERIODO Imp.]],'Indirect Costs'!DF$8)</f>
        <v>0</v>
      </c>
    </row>
    <row r="104" spans="1:110" outlineLevel="1" x14ac:dyDescent="0.25">
      <c r="A104" s="28" t="str">
        <f t="shared" si="14"/>
        <v>Imprimir</v>
      </c>
      <c r="B104" s="50">
        <v>13</v>
      </c>
      <c r="C104" s="57" t="s">
        <v>1824</v>
      </c>
      <c r="D104" s="56" t="s">
        <v>610</v>
      </c>
      <c r="E104" s="57" t="s">
        <v>610</v>
      </c>
      <c r="F104" s="58">
        <v>2000</v>
      </c>
      <c r="G104" s="49">
        <v>1</v>
      </c>
      <c r="H104" s="51">
        <v>1</v>
      </c>
      <c r="I104" s="505">
        <f t="shared" si="22"/>
        <v>2000</v>
      </c>
      <c r="J104" s="47"/>
      <c r="K104" s="142">
        <v>0.16666666666666666</v>
      </c>
      <c r="L104" s="48">
        <v>0.16666666666666666</v>
      </c>
      <c r="M104" s="48">
        <v>0.16666666666666666</v>
      </c>
      <c r="N104" s="48">
        <v>0.16666666666666666</v>
      </c>
      <c r="O104" s="48">
        <v>0.16666666666666666</v>
      </c>
      <c r="P104" s="48">
        <v>0.16666666666666666</v>
      </c>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143"/>
      <c r="BG104" s="47"/>
      <c r="BH104" s="509"/>
      <c r="BI104" s="505">
        <f t="shared" si="15"/>
        <v>700.50080000000003</v>
      </c>
      <c r="BJ104" s="47"/>
      <c r="BK104" s="142">
        <f>SUMIFS(Imput[[Importe Neto]:[Importe Neto]],Imput[[C. Imp.]:[C. Imp.]],'Indirect Costs'!$C104,Imput[[PERIODO Imp.]:[PERIODO Imp.]],'Indirect Costs'!BK$8)</f>
        <v>0</v>
      </c>
      <c r="BL104" s="48">
        <f>SUMIFS(Imput[[Importe Neto]:[Importe Neto]],Imput[[C. Imp.]:[C. Imp.]],'Indirect Costs'!$C104,Imput[[PERIODO Imp.]:[PERIODO Imp.]],'Indirect Costs'!BL$8)</f>
        <v>0</v>
      </c>
      <c r="BM104" s="48">
        <f>SUMIFS(Imput[[Importe Neto]:[Importe Neto]],Imput[[C. Imp.]:[C. Imp.]],'Indirect Costs'!$C104,Imput[[PERIODO Imp.]:[PERIODO Imp.]],'Indirect Costs'!BM$8)</f>
        <v>700.50080000000003</v>
      </c>
      <c r="BN104" s="48">
        <f>SUMIFS(Imput[[Importe Neto]:[Importe Neto]],Imput[[C. Imp.]:[C. Imp.]],'Indirect Costs'!$C104,Imput[[PERIODO Imp.]:[PERIODO Imp.]],'Indirect Costs'!BN$8)</f>
        <v>0</v>
      </c>
      <c r="BO104" s="48">
        <f>SUMIFS(Imput[[Importe Neto]:[Importe Neto]],Imput[[C. Imp.]:[C. Imp.]],'Indirect Costs'!$C104,Imput[[PERIODO Imp.]:[PERIODO Imp.]],'Indirect Costs'!BO$8)</f>
        <v>0</v>
      </c>
      <c r="BP104" s="48">
        <f>SUMIFS(Imput[[Importe Neto]:[Importe Neto]],Imput[[C. Imp.]:[C. Imp.]],'Indirect Costs'!$C104,Imput[[PERIODO Imp.]:[PERIODO Imp.]],'Indirect Costs'!BP$8)</f>
        <v>0</v>
      </c>
      <c r="BQ104" s="48">
        <f>SUMIFS(Imput[[Importe Neto]:[Importe Neto]],Imput[[C. Imp.]:[C. Imp.]],'Indirect Costs'!$C104,Imput[[PERIODO Imp.]:[PERIODO Imp.]],'Indirect Costs'!BQ$8)</f>
        <v>0</v>
      </c>
      <c r="BR104" s="48">
        <f>SUMIFS(Imput[[Importe Neto]:[Importe Neto]],Imput[[C. Imp.]:[C. Imp.]],'Indirect Costs'!$C104,Imput[[PERIODO Imp.]:[PERIODO Imp.]],'Indirect Costs'!BR$8)</f>
        <v>0</v>
      </c>
      <c r="BS104" s="48">
        <f>SUMIFS(Imput[[Importe Neto]:[Importe Neto]],Imput[[C. Imp.]:[C. Imp.]],'Indirect Costs'!$C104,Imput[[PERIODO Imp.]:[PERIODO Imp.]],'Indirect Costs'!BS$8)</f>
        <v>0</v>
      </c>
      <c r="BT104" s="48">
        <f>SUMIFS(Imput[[Importe Neto]:[Importe Neto]],Imput[[C. Imp.]:[C. Imp.]],'Indirect Costs'!$C104,Imput[[PERIODO Imp.]:[PERIODO Imp.]],'Indirect Costs'!BT$8)</f>
        <v>0</v>
      </c>
      <c r="BU104" s="48">
        <f>SUMIFS(Imput[[Importe Neto]:[Importe Neto]],Imput[[C. Imp.]:[C. Imp.]],'Indirect Costs'!$C104,Imput[[PERIODO Imp.]:[PERIODO Imp.]],'Indirect Costs'!BU$8)</f>
        <v>0</v>
      </c>
      <c r="BV104" s="48">
        <f>SUMIFS(Imput[[Importe Neto]:[Importe Neto]],Imput[[C. Imp.]:[C. Imp.]],'Indirect Costs'!$C104,Imput[[PERIODO Imp.]:[PERIODO Imp.]],'Indirect Costs'!BV$8)</f>
        <v>0</v>
      </c>
      <c r="BW104" s="48">
        <f>SUMIFS(Imput[[Importe Neto]:[Importe Neto]],Imput[[C. Imp.]:[C. Imp.]],'Indirect Costs'!$C104,Imput[[PERIODO Imp.]:[PERIODO Imp.]],'Indirect Costs'!BW$8)</f>
        <v>0</v>
      </c>
      <c r="BX104" s="48">
        <f>SUMIFS(Imput[[Importe Neto]:[Importe Neto]],Imput[[C. Imp.]:[C. Imp.]],'Indirect Costs'!$C104,Imput[[PERIODO Imp.]:[PERIODO Imp.]],'Indirect Costs'!BX$8)</f>
        <v>0</v>
      </c>
      <c r="BY104" s="48">
        <f>SUMIFS(Imput[[Importe Neto]:[Importe Neto]],Imput[[C. Imp.]:[C. Imp.]],'Indirect Costs'!$C104,Imput[[PERIODO Imp.]:[PERIODO Imp.]],'Indirect Costs'!BY$8)</f>
        <v>0</v>
      </c>
      <c r="BZ104" s="48">
        <f>SUMIFS(Imput[[Importe Neto]:[Importe Neto]],Imput[[C. Imp.]:[C. Imp.]],'Indirect Costs'!$C104,Imput[[PERIODO Imp.]:[PERIODO Imp.]],'Indirect Costs'!BZ$8)</f>
        <v>0</v>
      </c>
      <c r="CA104" s="48">
        <f>SUMIFS(Imput[[Importe Neto]:[Importe Neto]],Imput[[C. Imp.]:[C. Imp.]],'Indirect Costs'!$C104,Imput[[PERIODO Imp.]:[PERIODO Imp.]],'Indirect Costs'!CA$8)</f>
        <v>0</v>
      </c>
      <c r="CB104" s="48">
        <f>SUMIFS(Imput[[Importe Neto]:[Importe Neto]],Imput[[C. Imp.]:[C. Imp.]],'Indirect Costs'!$C104,Imput[[PERIODO Imp.]:[PERIODO Imp.]],'Indirect Costs'!CB$8)</f>
        <v>0</v>
      </c>
      <c r="CC104" s="48">
        <f>SUMIFS(Imput[[Importe Neto]:[Importe Neto]],Imput[[C. Imp.]:[C. Imp.]],'Indirect Costs'!$C104,Imput[[PERIODO Imp.]:[PERIODO Imp.]],'Indirect Costs'!CC$8)</f>
        <v>0</v>
      </c>
      <c r="CD104" s="48">
        <f>SUMIFS(Imput[[Importe Neto]:[Importe Neto]],Imput[[C. Imp.]:[C. Imp.]],'Indirect Costs'!$C104,Imput[[PERIODO Imp.]:[PERIODO Imp.]],'Indirect Costs'!CD$8)</f>
        <v>0</v>
      </c>
      <c r="CE104" s="48">
        <f>SUMIFS(Imput[[Importe Neto]:[Importe Neto]],Imput[[C. Imp.]:[C. Imp.]],'Indirect Costs'!$C104,Imput[[PERIODO Imp.]:[PERIODO Imp.]],'Indirect Costs'!CE$8)</f>
        <v>0</v>
      </c>
      <c r="CF104" s="48">
        <f>SUMIFS(Imput[[Importe Neto]:[Importe Neto]],Imput[[C. Imp.]:[C. Imp.]],'Indirect Costs'!$C104,Imput[[PERIODO Imp.]:[PERIODO Imp.]],'Indirect Costs'!CF$8)</f>
        <v>0</v>
      </c>
      <c r="CG104" s="48">
        <f>SUMIFS(Imput[[Importe Neto]:[Importe Neto]],Imput[[C. Imp.]:[C. Imp.]],'Indirect Costs'!$C104,Imput[[PERIODO Imp.]:[PERIODO Imp.]],'Indirect Costs'!CG$8)</f>
        <v>0</v>
      </c>
      <c r="CH104" s="48">
        <f>SUMIFS(Imput[[Importe Neto]:[Importe Neto]],Imput[[C. Imp.]:[C. Imp.]],'Indirect Costs'!$C104,Imput[[PERIODO Imp.]:[PERIODO Imp.]],'Indirect Costs'!CH$8)</f>
        <v>0</v>
      </c>
      <c r="CI104" s="48">
        <f>SUMIFS(Imput[[Importe Neto]:[Importe Neto]],Imput[[C. Imp.]:[C. Imp.]],'Indirect Costs'!$C104,Imput[[PERIODO Imp.]:[PERIODO Imp.]],'Indirect Costs'!CI$8)</f>
        <v>0</v>
      </c>
      <c r="CJ104" s="48">
        <f>SUMIFS(Imput[[Importe Neto]:[Importe Neto]],Imput[[C. Imp.]:[C. Imp.]],'Indirect Costs'!$C104,Imput[[PERIODO Imp.]:[PERIODO Imp.]],'Indirect Costs'!CJ$8)</f>
        <v>0</v>
      </c>
      <c r="CK104" s="48">
        <f>SUMIFS(Imput[[Importe Neto]:[Importe Neto]],Imput[[C. Imp.]:[C. Imp.]],'Indirect Costs'!$C104,Imput[[PERIODO Imp.]:[PERIODO Imp.]],'Indirect Costs'!CK$8)</f>
        <v>0</v>
      </c>
      <c r="CL104" s="48">
        <f>SUMIFS(Imput[[Importe Neto]:[Importe Neto]],Imput[[C. Imp.]:[C. Imp.]],'Indirect Costs'!$C104,Imput[[PERIODO Imp.]:[PERIODO Imp.]],'Indirect Costs'!CL$8)</f>
        <v>0</v>
      </c>
      <c r="CM104" s="48">
        <f>SUMIFS(Imput[[Importe Neto]:[Importe Neto]],Imput[[C. Imp.]:[C. Imp.]],'Indirect Costs'!$C104,Imput[[PERIODO Imp.]:[PERIODO Imp.]],'Indirect Costs'!CM$8)</f>
        <v>0</v>
      </c>
      <c r="CN104" s="48">
        <f>SUMIFS(Imput[[Importe Neto]:[Importe Neto]],Imput[[C. Imp.]:[C. Imp.]],'Indirect Costs'!$C104,Imput[[PERIODO Imp.]:[PERIODO Imp.]],'Indirect Costs'!CN$8)</f>
        <v>0</v>
      </c>
      <c r="CO104" s="48">
        <f>SUMIFS(Imput[[Importe Neto]:[Importe Neto]],Imput[[C. Imp.]:[C. Imp.]],'Indirect Costs'!$C104,Imput[[PERIODO Imp.]:[PERIODO Imp.]],'Indirect Costs'!CO$8)</f>
        <v>0</v>
      </c>
      <c r="CP104" s="48">
        <f>SUMIFS(Imput[[Importe Neto]:[Importe Neto]],Imput[[C. Imp.]:[C. Imp.]],'Indirect Costs'!$C104,Imput[[PERIODO Imp.]:[PERIODO Imp.]],'Indirect Costs'!CP$8)</f>
        <v>0</v>
      </c>
      <c r="CQ104" s="48">
        <f>SUMIFS(Imput[[Importe Neto]:[Importe Neto]],Imput[[C. Imp.]:[C. Imp.]],'Indirect Costs'!$C104,Imput[[PERIODO Imp.]:[PERIODO Imp.]],'Indirect Costs'!CQ$8)</f>
        <v>0</v>
      </c>
      <c r="CR104" s="48">
        <f>SUMIFS(Imput[[Importe Neto]:[Importe Neto]],Imput[[C. Imp.]:[C. Imp.]],'Indirect Costs'!$C104,Imput[[PERIODO Imp.]:[PERIODO Imp.]],'Indirect Costs'!CR$8)</f>
        <v>0</v>
      </c>
      <c r="CS104" s="48">
        <f>SUMIFS(Imput[[Importe Neto]:[Importe Neto]],Imput[[C. Imp.]:[C. Imp.]],'Indirect Costs'!$C104,Imput[[PERIODO Imp.]:[PERIODO Imp.]],'Indirect Costs'!CS$8)</f>
        <v>0</v>
      </c>
      <c r="CT104" s="48">
        <f>SUMIFS(Imput[[Importe Neto]:[Importe Neto]],Imput[[C. Imp.]:[C. Imp.]],'Indirect Costs'!$C104,Imput[[PERIODO Imp.]:[PERIODO Imp.]],'Indirect Costs'!CT$8)</f>
        <v>0</v>
      </c>
      <c r="CU104" s="48">
        <f>SUMIFS(Imput[[Importe Neto]:[Importe Neto]],Imput[[C. Imp.]:[C. Imp.]],'Indirect Costs'!$C104,Imput[[PERIODO Imp.]:[PERIODO Imp.]],'Indirect Costs'!CU$8)</f>
        <v>0</v>
      </c>
      <c r="CV104" s="48">
        <f>SUMIFS(Imput[[Importe Neto]:[Importe Neto]],Imput[[C. Imp.]:[C. Imp.]],'Indirect Costs'!$C104,Imput[[PERIODO Imp.]:[PERIODO Imp.]],'Indirect Costs'!CV$8)</f>
        <v>0</v>
      </c>
      <c r="CW104" s="48">
        <f>SUMIFS(Imput[[Importe Neto]:[Importe Neto]],Imput[[C. Imp.]:[C. Imp.]],'Indirect Costs'!$C104,Imput[[PERIODO Imp.]:[PERIODO Imp.]],'Indirect Costs'!CW$8)</f>
        <v>0</v>
      </c>
      <c r="CX104" s="48">
        <f>SUMIFS(Imput[[Importe Neto]:[Importe Neto]],Imput[[C. Imp.]:[C. Imp.]],'Indirect Costs'!$C104,Imput[[PERIODO Imp.]:[PERIODO Imp.]],'Indirect Costs'!CX$8)</f>
        <v>0</v>
      </c>
      <c r="CY104" s="48">
        <f>SUMIFS(Imput[[Importe Neto]:[Importe Neto]],Imput[[C. Imp.]:[C. Imp.]],'Indirect Costs'!$C104,Imput[[PERIODO Imp.]:[PERIODO Imp.]],'Indirect Costs'!CY$8)</f>
        <v>0</v>
      </c>
      <c r="CZ104" s="48">
        <f>SUMIFS(Imput[[Importe Neto]:[Importe Neto]],Imput[[C. Imp.]:[C. Imp.]],'Indirect Costs'!$C104,Imput[[PERIODO Imp.]:[PERIODO Imp.]],'Indirect Costs'!CZ$8)</f>
        <v>0</v>
      </c>
      <c r="DA104" s="48">
        <f>SUMIFS(Imput[[Importe Neto]:[Importe Neto]],Imput[[C. Imp.]:[C. Imp.]],'Indirect Costs'!$C104,Imput[[PERIODO Imp.]:[PERIODO Imp.]],'Indirect Costs'!DA$8)</f>
        <v>0</v>
      </c>
      <c r="DB104" s="48">
        <f>SUMIFS(Imput[[Importe Neto]:[Importe Neto]],Imput[[C. Imp.]:[C. Imp.]],'Indirect Costs'!$C104,Imput[[PERIODO Imp.]:[PERIODO Imp.]],'Indirect Costs'!DB$8)</f>
        <v>0</v>
      </c>
      <c r="DC104" s="48">
        <f>SUMIFS(Imput[[Importe Neto]:[Importe Neto]],Imput[[C. Imp.]:[C. Imp.]],'Indirect Costs'!$C104,Imput[[PERIODO Imp.]:[PERIODO Imp.]],'Indirect Costs'!DC$8)</f>
        <v>0</v>
      </c>
      <c r="DD104" s="48">
        <f>SUMIFS(Imput[[Importe Neto]:[Importe Neto]],Imput[[C. Imp.]:[C. Imp.]],'Indirect Costs'!$C104,Imput[[PERIODO Imp.]:[PERIODO Imp.]],'Indirect Costs'!DD$8)</f>
        <v>0</v>
      </c>
      <c r="DE104" s="48">
        <f>SUMIFS(Imput[[Importe Neto]:[Importe Neto]],Imput[[C. Imp.]:[C. Imp.]],'Indirect Costs'!$C104,Imput[[PERIODO Imp.]:[PERIODO Imp.]],'Indirect Costs'!DE$8)</f>
        <v>0</v>
      </c>
      <c r="DF104" s="143">
        <f>SUMIFS(Imput[[Importe Neto]:[Importe Neto]],Imput[[C. Imp.]:[C. Imp.]],'Indirect Costs'!$C104,Imput[[PERIODO Imp.]:[PERIODO Imp.]],'Indirect Costs'!DF$8)</f>
        <v>0</v>
      </c>
    </row>
    <row r="105" spans="1:110" outlineLevel="1" x14ac:dyDescent="0.25">
      <c r="A105" s="28" t="str">
        <f t="shared" si="14"/>
        <v>Imprimir</v>
      </c>
      <c r="B105" s="50">
        <v>14</v>
      </c>
      <c r="C105" s="57" t="s">
        <v>1825</v>
      </c>
      <c r="D105" s="56" t="s">
        <v>611</v>
      </c>
      <c r="E105" s="57" t="s">
        <v>611</v>
      </c>
      <c r="F105" s="58">
        <v>8500</v>
      </c>
      <c r="G105" s="49">
        <v>1</v>
      </c>
      <c r="H105" s="51">
        <v>1</v>
      </c>
      <c r="I105" s="505">
        <f t="shared" si="22"/>
        <v>8500</v>
      </c>
      <c r="J105" s="47"/>
      <c r="K105" s="142">
        <v>0.16666666666666666</v>
      </c>
      <c r="L105" s="48">
        <v>0.16666666666666666</v>
      </c>
      <c r="M105" s="48">
        <v>0.16666666666666666</v>
      </c>
      <c r="N105" s="48">
        <v>0.16666666666666666</v>
      </c>
      <c r="O105" s="48">
        <v>0.16666666666666666</v>
      </c>
      <c r="P105" s="48">
        <v>0.16666666666666666</v>
      </c>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143"/>
      <c r="BG105" s="47"/>
      <c r="BH105" s="509"/>
      <c r="BI105" s="505">
        <f t="shared" si="15"/>
        <v>0</v>
      </c>
      <c r="BJ105" s="47"/>
      <c r="BK105" s="142">
        <f>SUMIFS(Imput[[Importe Neto]:[Importe Neto]],Imput[[C. Imp.]:[C. Imp.]],'Indirect Costs'!$C105,Imput[[PERIODO Imp.]:[PERIODO Imp.]],'Indirect Costs'!BK$8)</f>
        <v>0</v>
      </c>
      <c r="BL105" s="48">
        <f>SUMIFS(Imput[[Importe Neto]:[Importe Neto]],Imput[[C. Imp.]:[C. Imp.]],'Indirect Costs'!$C105,Imput[[PERIODO Imp.]:[PERIODO Imp.]],'Indirect Costs'!BL$8)</f>
        <v>0</v>
      </c>
      <c r="BM105" s="48">
        <f>SUMIFS(Imput[[Importe Neto]:[Importe Neto]],Imput[[C. Imp.]:[C. Imp.]],'Indirect Costs'!$C105,Imput[[PERIODO Imp.]:[PERIODO Imp.]],'Indirect Costs'!BM$8)</f>
        <v>0</v>
      </c>
      <c r="BN105" s="48">
        <f>SUMIFS(Imput[[Importe Neto]:[Importe Neto]],Imput[[C. Imp.]:[C. Imp.]],'Indirect Costs'!$C105,Imput[[PERIODO Imp.]:[PERIODO Imp.]],'Indirect Costs'!BN$8)</f>
        <v>0</v>
      </c>
      <c r="BO105" s="48">
        <f>SUMIFS(Imput[[Importe Neto]:[Importe Neto]],Imput[[C. Imp.]:[C. Imp.]],'Indirect Costs'!$C105,Imput[[PERIODO Imp.]:[PERIODO Imp.]],'Indirect Costs'!BO$8)</f>
        <v>0</v>
      </c>
      <c r="BP105" s="48">
        <f>SUMIFS(Imput[[Importe Neto]:[Importe Neto]],Imput[[C. Imp.]:[C. Imp.]],'Indirect Costs'!$C105,Imput[[PERIODO Imp.]:[PERIODO Imp.]],'Indirect Costs'!BP$8)</f>
        <v>0</v>
      </c>
      <c r="BQ105" s="48">
        <f>SUMIFS(Imput[[Importe Neto]:[Importe Neto]],Imput[[C. Imp.]:[C. Imp.]],'Indirect Costs'!$C105,Imput[[PERIODO Imp.]:[PERIODO Imp.]],'Indirect Costs'!BQ$8)</f>
        <v>0</v>
      </c>
      <c r="BR105" s="48">
        <f>SUMIFS(Imput[[Importe Neto]:[Importe Neto]],Imput[[C. Imp.]:[C. Imp.]],'Indirect Costs'!$C105,Imput[[PERIODO Imp.]:[PERIODO Imp.]],'Indirect Costs'!BR$8)</f>
        <v>0</v>
      </c>
      <c r="BS105" s="48">
        <f>SUMIFS(Imput[[Importe Neto]:[Importe Neto]],Imput[[C. Imp.]:[C. Imp.]],'Indirect Costs'!$C105,Imput[[PERIODO Imp.]:[PERIODO Imp.]],'Indirect Costs'!BS$8)</f>
        <v>0</v>
      </c>
      <c r="BT105" s="48">
        <f>SUMIFS(Imput[[Importe Neto]:[Importe Neto]],Imput[[C. Imp.]:[C. Imp.]],'Indirect Costs'!$C105,Imput[[PERIODO Imp.]:[PERIODO Imp.]],'Indirect Costs'!BT$8)</f>
        <v>0</v>
      </c>
      <c r="BU105" s="48">
        <f>SUMIFS(Imput[[Importe Neto]:[Importe Neto]],Imput[[C. Imp.]:[C. Imp.]],'Indirect Costs'!$C105,Imput[[PERIODO Imp.]:[PERIODO Imp.]],'Indirect Costs'!BU$8)</f>
        <v>0</v>
      </c>
      <c r="BV105" s="48">
        <f>SUMIFS(Imput[[Importe Neto]:[Importe Neto]],Imput[[C. Imp.]:[C. Imp.]],'Indirect Costs'!$C105,Imput[[PERIODO Imp.]:[PERIODO Imp.]],'Indirect Costs'!BV$8)</f>
        <v>0</v>
      </c>
      <c r="BW105" s="48">
        <f>SUMIFS(Imput[[Importe Neto]:[Importe Neto]],Imput[[C. Imp.]:[C. Imp.]],'Indirect Costs'!$C105,Imput[[PERIODO Imp.]:[PERIODO Imp.]],'Indirect Costs'!BW$8)</f>
        <v>0</v>
      </c>
      <c r="BX105" s="48">
        <f>SUMIFS(Imput[[Importe Neto]:[Importe Neto]],Imput[[C. Imp.]:[C. Imp.]],'Indirect Costs'!$C105,Imput[[PERIODO Imp.]:[PERIODO Imp.]],'Indirect Costs'!BX$8)</f>
        <v>0</v>
      </c>
      <c r="BY105" s="48">
        <f>SUMIFS(Imput[[Importe Neto]:[Importe Neto]],Imput[[C. Imp.]:[C. Imp.]],'Indirect Costs'!$C105,Imput[[PERIODO Imp.]:[PERIODO Imp.]],'Indirect Costs'!BY$8)</f>
        <v>0</v>
      </c>
      <c r="BZ105" s="48">
        <f>SUMIFS(Imput[[Importe Neto]:[Importe Neto]],Imput[[C. Imp.]:[C. Imp.]],'Indirect Costs'!$C105,Imput[[PERIODO Imp.]:[PERIODO Imp.]],'Indirect Costs'!BZ$8)</f>
        <v>0</v>
      </c>
      <c r="CA105" s="48">
        <f>SUMIFS(Imput[[Importe Neto]:[Importe Neto]],Imput[[C. Imp.]:[C. Imp.]],'Indirect Costs'!$C105,Imput[[PERIODO Imp.]:[PERIODO Imp.]],'Indirect Costs'!CA$8)</f>
        <v>0</v>
      </c>
      <c r="CB105" s="48">
        <f>SUMIFS(Imput[[Importe Neto]:[Importe Neto]],Imput[[C. Imp.]:[C. Imp.]],'Indirect Costs'!$C105,Imput[[PERIODO Imp.]:[PERIODO Imp.]],'Indirect Costs'!CB$8)</f>
        <v>0</v>
      </c>
      <c r="CC105" s="48">
        <f>SUMIFS(Imput[[Importe Neto]:[Importe Neto]],Imput[[C. Imp.]:[C. Imp.]],'Indirect Costs'!$C105,Imput[[PERIODO Imp.]:[PERIODO Imp.]],'Indirect Costs'!CC$8)</f>
        <v>0</v>
      </c>
      <c r="CD105" s="48">
        <f>SUMIFS(Imput[[Importe Neto]:[Importe Neto]],Imput[[C. Imp.]:[C. Imp.]],'Indirect Costs'!$C105,Imput[[PERIODO Imp.]:[PERIODO Imp.]],'Indirect Costs'!CD$8)</f>
        <v>0</v>
      </c>
      <c r="CE105" s="48">
        <f>SUMIFS(Imput[[Importe Neto]:[Importe Neto]],Imput[[C. Imp.]:[C. Imp.]],'Indirect Costs'!$C105,Imput[[PERIODO Imp.]:[PERIODO Imp.]],'Indirect Costs'!CE$8)</f>
        <v>0</v>
      </c>
      <c r="CF105" s="48">
        <f>SUMIFS(Imput[[Importe Neto]:[Importe Neto]],Imput[[C. Imp.]:[C. Imp.]],'Indirect Costs'!$C105,Imput[[PERIODO Imp.]:[PERIODO Imp.]],'Indirect Costs'!CF$8)</f>
        <v>0</v>
      </c>
      <c r="CG105" s="48">
        <f>SUMIFS(Imput[[Importe Neto]:[Importe Neto]],Imput[[C. Imp.]:[C. Imp.]],'Indirect Costs'!$C105,Imput[[PERIODO Imp.]:[PERIODO Imp.]],'Indirect Costs'!CG$8)</f>
        <v>0</v>
      </c>
      <c r="CH105" s="48">
        <f>SUMIFS(Imput[[Importe Neto]:[Importe Neto]],Imput[[C. Imp.]:[C. Imp.]],'Indirect Costs'!$C105,Imput[[PERIODO Imp.]:[PERIODO Imp.]],'Indirect Costs'!CH$8)</f>
        <v>0</v>
      </c>
      <c r="CI105" s="48">
        <f>SUMIFS(Imput[[Importe Neto]:[Importe Neto]],Imput[[C. Imp.]:[C. Imp.]],'Indirect Costs'!$C105,Imput[[PERIODO Imp.]:[PERIODO Imp.]],'Indirect Costs'!CI$8)</f>
        <v>0</v>
      </c>
      <c r="CJ105" s="48">
        <f>SUMIFS(Imput[[Importe Neto]:[Importe Neto]],Imput[[C. Imp.]:[C. Imp.]],'Indirect Costs'!$C105,Imput[[PERIODO Imp.]:[PERIODO Imp.]],'Indirect Costs'!CJ$8)</f>
        <v>0</v>
      </c>
      <c r="CK105" s="48">
        <f>SUMIFS(Imput[[Importe Neto]:[Importe Neto]],Imput[[C. Imp.]:[C. Imp.]],'Indirect Costs'!$C105,Imput[[PERIODO Imp.]:[PERIODO Imp.]],'Indirect Costs'!CK$8)</f>
        <v>0</v>
      </c>
      <c r="CL105" s="48">
        <f>SUMIFS(Imput[[Importe Neto]:[Importe Neto]],Imput[[C. Imp.]:[C. Imp.]],'Indirect Costs'!$C105,Imput[[PERIODO Imp.]:[PERIODO Imp.]],'Indirect Costs'!CL$8)</f>
        <v>0</v>
      </c>
      <c r="CM105" s="48">
        <f>SUMIFS(Imput[[Importe Neto]:[Importe Neto]],Imput[[C. Imp.]:[C. Imp.]],'Indirect Costs'!$C105,Imput[[PERIODO Imp.]:[PERIODO Imp.]],'Indirect Costs'!CM$8)</f>
        <v>0</v>
      </c>
      <c r="CN105" s="48">
        <f>SUMIFS(Imput[[Importe Neto]:[Importe Neto]],Imput[[C. Imp.]:[C. Imp.]],'Indirect Costs'!$C105,Imput[[PERIODO Imp.]:[PERIODO Imp.]],'Indirect Costs'!CN$8)</f>
        <v>0</v>
      </c>
      <c r="CO105" s="48">
        <f>SUMIFS(Imput[[Importe Neto]:[Importe Neto]],Imput[[C. Imp.]:[C. Imp.]],'Indirect Costs'!$C105,Imput[[PERIODO Imp.]:[PERIODO Imp.]],'Indirect Costs'!CO$8)</f>
        <v>0</v>
      </c>
      <c r="CP105" s="48">
        <f>SUMIFS(Imput[[Importe Neto]:[Importe Neto]],Imput[[C. Imp.]:[C. Imp.]],'Indirect Costs'!$C105,Imput[[PERIODO Imp.]:[PERIODO Imp.]],'Indirect Costs'!CP$8)</f>
        <v>0</v>
      </c>
      <c r="CQ105" s="48">
        <f>SUMIFS(Imput[[Importe Neto]:[Importe Neto]],Imput[[C. Imp.]:[C. Imp.]],'Indirect Costs'!$C105,Imput[[PERIODO Imp.]:[PERIODO Imp.]],'Indirect Costs'!CQ$8)</f>
        <v>0</v>
      </c>
      <c r="CR105" s="48">
        <f>SUMIFS(Imput[[Importe Neto]:[Importe Neto]],Imput[[C. Imp.]:[C. Imp.]],'Indirect Costs'!$C105,Imput[[PERIODO Imp.]:[PERIODO Imp.]],'Indirect Costs'!CR$8)</f>
        <v>0</v>
      </c>
      <c r="CS105" s="48">
        <f>SUMIFS(Imput[[Importe Neto]:[Importe Neto]],Imput[[C. Imp.]:[C. Imp.]],'Indirect Costs'!$C105,Imput[[PERIODO Imp.]:[PERIODO Imp.]],'Indirect Costs'!CS$8)</f>
        <v>0</v>
      </c>
      <c r="CT105" s="48">
        <f>SUMIFS(Imput[[Importe Neto]:[Importe Neto]],Imput[[C. Imp.]:[C. Imp.]],'Indirect Costs'!$C105,Imput[[PERIODO Imp.]:[PERIODO Imp.]],'Indirect Costs'!CT$8)</f>
        <v>0</v>
      </c>
      <c r="CU105" s="48">
        <f>SUMIFS(Imput[[Importe Neto]:[Importe Neto]],Imput[[C. Imp.]:[C. Imp.]],'Indirect Costs'!$C105,Imput[[PERIODO Imp.]:[PERIODO Imp.]],'Indirect Costs'!CU$8)</f>
        <v>0</v>
      </c>
      <c r="CV105" s="48">
        <f>SUMIFS(Imput[[Importe Neto]:[Importe Neto]],Imput[[C. Imp.]:[C. Imp.]],'Indirect Costs'!$C105,Imput[[PERIODO Imp.]:[PERIODO Imp.]],'Indirect Costs'!CV$8)</f>
        <v>0</v>
      </c>
      <c r="CW105" s="48">
        <f>SUMIFS(Imput[[Importe Neto]:[Importe Neto]],Imput[[C. Imp.]:[C. Imp.]],'Indirect Costs'!$C105,Imput[[PERIODO Imp.]:[PERIODO Imp.]],'Indirect Costs'!CW$8)</f>
        <v>0</v>
      </c>
      <c r="CX105" s="48">
        <f>SUMIFS(Imput[[Importe Neto]:[Importe Neto]],Imput[[C. Imp.]:[C. Imp.]],'Indirect Costs'!$C105,Imput[[PERIODO Imp.]:[PERIODO Imp.]],'Indirect Costs'!CX$8)</f>
        <v>0</v>
      </c>
      <c r="CY105" s="48">
        <f>SUMIFS(Imput[[Importe Neto]:[Importe Neto]],Imput[[C. Imp.]:[C. Imp.]],'Indirect Costs'!$C105,Imput[[PERIODO Imp.]:[PERIODO Imp.]],'Indirect Costs'!CY$8)</f>
        <v>0</v>
      </c>
      <c r="CZ105" s="48">
        <f>SUMIFS(Imput[[Importe Neto]:[Importe Neto]],Imput[[C. Imp.]:[C. Imp.]],'Indirect Costs'!$C105,Imput[[PERIODO Imp.]:[PERIODO Imp.]],'Indirect Costs'!CZ$8)</f>
        <v>0</v>
      </c>
      <c r="DA105" s="48">
        <f>SUMIFS(Imput[[Importe Neto]:[Importe Neto]],Imput[[C. Imp.]:[C. Imp.]],'Indirect Costs'!$C105,Imput[[PERIODO Imp.]:[PERIODO Imp.]],'Indirect Costs'!DA$8)</f>
        <v>0</v>
      </c>
      <c r="DB105" s="48">
        <f>SUMIFS(Imput[[Importe Neto]:[Importe Neto]],Imput[[C. Imp.]:[C. Imp.]],'Indirect Costs'!$C105,Imput[[PERIODO Imp.]:[PERIODO Imp.]],'Indirect Costs'!DB$8)</f>
        <v>0</v>
      </c>
      <c r="DC105" s="48">
        <f>SUMIFS(Imput[[Importe Neto]:[Importe Neto]],Imput[[C. Imp.]:[C. Imp.]],'Indirect Costs'!$C105,Imput[[PERIODO Imp.]:[PERIODO Imp.]],'Indirect Costs'!DC$8)</f>
        <v>0</v>
      </c>
      <c r="DD105" s="48">
        <f>SUMIFS(Imput[[Importe Neto]:[Importe Neto]],Imput[[C. Imp.]:[C. Imp.]],'Indirect Costs'!$C105,Imput[[PERIODO Imp.]:[PERIODO Imp.]],'Indirect Costs'!DD$8)</f>
        <v>0</v>
      </c>
      <c r="DE105" s="48">
        <f>SUMIFS(Imput[[Importe Neto]:[Importe Neto]],Imput[[C. Imp.]:[C. Imp.]],'Indirect Costs'!$C105,Imput[[PERIODO Imp.]:[PERIODO Imp.]],'Indirect Costs'!DE$8)</f>
        <v>0</v>
      </c>
      <c r="DF105" s="143">
        <f>SUMIFS(Imput[[Importe Neto]:[Importe Neto]],Imput[[C. Imp.]:[C. Imp.]],'Indirect Costs'!$C105,Imput[[PERIODO Imp.]:[PERIODO Imp.]],'Indirect Costs'!DF$8)</f>
        <v>0</v>
      </c>
    </row>
    <row r="106" spans="1:110" outlineLevel="1" x14ac:dyDescent="0.25">
      <c r="A106" s="28" t="str">
        <f t="shared" si="14"/>
        <v>Imprimir</v>
      </c>
      <c r="B106" s="50">
        <v>15</v>
      </c>
      <c r="C106" s="57" t="s">
        <v>1826</v>
      </c>
      <c r="D106" s="56" t="s">
        <v>612</v>
      </c>
      <c r="E106" s="57" t="s">
        <v>612</v>
      </c>
      <c r="F106" s="58">
        <v>12000</v>
      </c>
      <c r="G106" s="49">
        <v>1</v>
      </c>
      <c r="H106" s="51">
        <v>1</v>
      </c>
      <c r="I106" s="505">
        <f t="shared" si="22"/>
        <v>12000</v>
      </c>
      <c r="J106" s="47"/>
      <c r="K106" s="142">
        <v>0.16666666666666666</v>
      </c>
      <c r="L106" s="48">
        <v>0.16666666666666666</v>
      </c>
      <c r="M106" s="48">
        <v>0.16666666666666666</v>
      </c>
      <c r="N106" s="48">
        <v>0.16666666666666666</v>
      </c>
      <c r="O106" s="48">
        <v>0.16666666666666666</v>
      </c>
      <c r="P106" s="48">
        <v>0.16666666666666666</v>
      </c>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143"/>
      <c r="BG106" s="47"/>
      <c r="BH106" s="509"/>
      <c r="BI106" s="505">
        <f t="shared" si="15"/>
        <v>0</v>
      </c>
      <c r="BJ106" s="47"/>
      <c r="BK106" s="142">
        <f>SUMIFS(Imput[[Importe Neto]:[Importe Neto]],Imput[[C. Imp.]:[C. Imp.]],'Indirect Costs'!$C106,Imput[[PERIODO Imp.]:[PERIODO Imp.]],'Indirect Costs'!BK$8)</f>
        <v>0</v>
      </c>
      <c r="BL106" s="48">
        <f>SUMIFS(Imput[[Importe Neto]:[Importe Neto]],Imput[[C. Imp.]:[C. Imp.]],'Indirect Costs'!$C106,Imput[[PERIODO Imp.]:[PERIODO Imp.]],'Indirect Costs'!BL$8)</f>
        <v>0</v>
      </c>
      <c r="BM106" s="48">
        <f>SUMIFS(Imput[[Importe Neto]:[Importe Neto]],Imput[[C. Imp.]:[C. Imp.]],'Indirect Costs'!$C106,Imput[[PERIODO Imp.]:[PERIODO Imp.]],'Indirect Costs'!BM$8)</f>
        <v>0</v>
      </c>
      <c r="BN106" s="48">
        <f>SUMIFS(Imput[[Importe Neto]:[Importe Neto]],Imput[[C. Imp.]:[C. Imp.]],'Indirect Costs'!$C106,Imput[[PERIODO Imp.]:[PERIODO Imp.]],'Indirect Costs'!BN$8)</f>
        <v>0</v>
      </c>
      <c r="BO106" s="48">
        <f>SUMIFS(Imput[[Importe Neto]:[Importe Neto]],Imput[[C. Imp.]:[C. Imp.]],'Indirect Costs'!$C106,Imput[[PERIODO Imp.]:[PERIODO Imp.]],'Indirect Costs'!BO$8)</f>
        <v>0</v>
      </c>
      <c r="BP106" s="48">
        <f>SUMIFS(Imput[[Importe Neto]:[Importe Neto]],Imput[[C. Imp.]:[C. Imp.]],'Indirect Costs'!$C106,Imput[[PERIODO Imp.]:[PERIODO Imp.]],'Indirect Costs'!BP$8)</f>
        <v>0</v>
      </c>
      <c r="BQ106" s="48">
        <f>SUMIFS(Imput[[Importe Neto]:[Importe Neto]],Imput[[C. Imp.]:[C. Imp.]],'Indirect Costs'!$C106,Imput[[PERIODO Imp.]:[PERIODO Imp.]],'Indirect Costs'!BQ$8)</f>
        <v>0</v>
      </c>
      <c r="BR106" s="48">
        <f>SUMIFS(Imput[[Importe Neto]:[Importe Neto]],Imput[[C. Imp.]:[C. Imp.]],'Indirect Costs'!$C106,Imput[[PERIODO Imp.]:[PERIODO Imp.]],'Indirect Costs'!BR$8)</f>
        <v>0</v>
      </c>
      <c r="BS106" s="48">
        <f>SUMIFS(Imput[[Importe Neto]:[Importe Neto]],Imput[[C. Imp.]:[C. Imp.]],'Indirect Costs'!$C106,Imput[[PERIODO Imp.]:[PERIODO Imp.]],'Indirect Costs'!BS$8)</f>
        <v>0</v>
      </c>
      <c r="BT106" s="48">
        <f>SUMIFS(Imput[[Importe Neto]:[Importe Neto]],Imput[[C. Imp.]:[C. Imp.]],'Indirect Costs'!$C106,Imput[[PERIODO Imp.]:[PERIODO Imp.]],'Indirect Costs'!BT$8)</f>
        <v>0</v>
      </c>
      <c r="BU106" s="48">
        <f>SUMIFS(Imput[[Importe Neto]:[Importe Neto]],Imput[[C. Imp.]:[C. Imp.]],'Indirect Costs'!$C106,Imput[[PERIODO Imp.]:[PERIODO Imp.]],'Indirect Costs'!BU$8)</f>
        <v>0</v>
      </c>
      <c r="BV106" s="48">
        <f>SUMIFS(Imput[[Importe Neto]:[Importe Neto]],Imput[[C. Imp.]:[C. Imp.]],'Indirect Costs'!$C106,Imput[[PERIODO Imp.]:[PERIODO Imp.]],'Indirect Costs'!BV$8)</f>
        <v>0</v>
      </c>
      <c r="BW106" s="48">
        <f>SUMIFS(Imput[[Importe Neto]:[Importe Neto]],Imput[[C. Imp.]:[C. Imp.]],'Indirect Costs'!$C106,Imput[[PERIODO Imp.]:[PERIODO Imp.]],'Indirect Costs'!BW$8)</f>
        <v>0</v>
      </c>
      <c r="BX106" s="48">
        <f>SUMIFS(Imput[[Importe Neto]:[Importe Neto]],Imput[[C. Imp.]:[C. Imp.]],'Indirect Costs'!$C106,Imput[[PERIODO Imp.]:[PERIODO Imp.]],'Indirect Costs'!BX$8)</f>
        <v>0</v>
      </c>
      <c r="BY106" s="48">
        <f>SUMIFS(Imput[[Importe Neto]:[Importe Neto]],Imput[[C. Imp.]:[C. Imp.]],'Indirect Costs'!$C106,Imput[[PERIODO Imp.]:[PERIODO Imp.]],'Indirect Costs'!BY$8)</f>
        <v>0</v>
      </c>
      <c r="BZ106" s="48">
        <f>SUMIFS(Imput[[Importe Neto]:[Importe Neto]],Imput[[C. Imp.]:[C. Imp.]],'Indirect Costs'!$C106,Imput[[PERIODO Imp.]:[PERIODO Imp.]],'Indirect Costs'!BZ$8)</f>
        <v>0</v>
      </c>
      <c r="CA106" s="48">
        <f>SUMIFS(Imput[[Importe Neto]:[Importe Neto]],Imput[[C. Imp.]:[C. Imp.]],'Indirect Costs'!$C106,Imput[[PERIODO Imp.]:[PERIODO Imp.]],'Indirect Costs'!CA$8)</f>
        <v>0</v>
      </c>
      <c r="CB106" s="48">
        <f>SUMIFS(Imput[[Importe Neto]:[Importe Neto]],Imput[[C. Imp.]:[C. Imp.]],'Indirect Costs'!$C106,Imput[[PERIODO Imp.]:[PERIODO Imp.]],'Indirect Costs'!CB$8)</f>
        <v>0</v>
      </c>
      <c r="CC106" s="48">
        <f>SUMIFS(Imput[[Importe Neto]:[Importe Neto]],Imput[[C. Imp.]:[C. Imp.]],'Indirect Costs'!$C106,Imput[[PERIODO Imp.]:[PERIODO Imp.]],'Indirect Costs'!CC$8)</f>
        <v>0</v>
      </c>
      <c r="CD106" s="48">
        <f>SUMIFS(Imput[[Importe Neto]:[Importe Neto]],Imput[[C. Imp.]:[C. Imp.]],'Indirect Costs'!$C106,Imput[[PERIODO Imp.]:[PERIODO Imp.]],'Indirect Costs'!CD$8)</f>
        <v>0</v>
      </c>
      <c r="CE106" s="48">
        <f>SUMIFS(Imput[[Importe Neto]:[Importe Neto]],Imput[[C. Imp.]:[C. Imp.]],'Indirect Costs'!$C106,Imput[[PERIODO Imp.]:[PERIODO Imp.]],'Indirect Costs'!CE$8)</f>
        <v>0</v>
      </c>
      <c r="CF106" s="48">
        <f>SUMIFS(Imput[[Importe Neto]:[Importe Neto]],Imput[[C. Imp.]:[C. Imp.]],'Indirect Costs'!$C106,Imput[[PERIODO Imp.]:[PERIODO Imp.]],'Indirect Costs'!CF$8)</f>
        <v>0</v>
      </c>
      <c r="CG106" s="48">
        <f>SUMIFS(Imput[[Importe Neto]:[Importe Neto]],Imput[[C. Imp.]:[C. Imp.]],'Indirect Costs'!$C106,Imput[[PERIODO Imp.]:[PERIODO Imp.]],'Indirect Costs'!CG$8)</f>
        <v>0</v>
      </c>
      <c r="CH106" s="48">
        <f>SUMIFS(Imput[[Importe Neto]:[Importe Neto]],Imput[[C. Imp.]:[C. Imp.]],'Indirect Costs'!$C106,Imput[[PERIODO Imp.]:[PERIODO Imp.]],'Indirect Costs'!CH$8)</f>
        <v>0</v>
      </c>
      <c r="CI106" s="48">
        <f>SUMIFS(Imput[[Importe Neto]:[Importe Neto]],Imput[[C. Imp.]:[C. Imp.]],'Indirect Costs'!$C106,Imput[[PERIODO Imp.]:[PERIODO Imp.]],'Indirect Costs'!CI$8)</f>
        <v>0</v>
      </c>
      <c r="CJ106" s="48">
        <f>SUMIFS(Imput[[Importe Neto]:[Importe Neto]],Imput[[C. Imp.]:[C. Imp.]],'Indirect Costs'!$C106,Imput[[PERIODO Imp.]:[PERIODO Imp.]],'Indirect Costs'!CJ$8)</f>
        <v>0</v>
      </c>
      <c r="CK106" s="48">
        <f>SUMIFS(Imput[[Importe Neto]:[Importe Neto]],Imput[[C. Imp.]:[C. Imp.]],'Indirect Costs'!$C106,Imput[[PERIODO Imp.]:[PERIODO Imp.]],'Indirect Costs'!CK$8)</f>
        <v>0</v>
      </c>
      <c r="CL106" s="48">
        <f>SUMIFS(Imput[[Importe Neto]:[Importe Neto]],Imput[[C. Imp.]:[C. Imp.]],'Indirect Costs'!$C106,Imput[[PERIODO Imp.]:[PERIODO Imp.]],'Indirect Costs'!CL$8)</f>
        <v>0</v>
      </c>
      <c r="CM106" s="48">
        <f>SUMIFS(Imput[[Importe Neto]:[Importe Neto]],Imput[[C. Imp.]:[C. Imp.]],'Indirect Costs'!$C106,Imput[[PERIODO Imp.]:[PERIODO Imp.]],'Indirect Costs'!CM$8)</f>
        <v>0</v>
      </c>
      <c r="CN106" s="48">
        <f>SUMIFS(Imput[[Importe Neto]:[Importe Neto]],Imput[[C. Imp.]:[C. Imp.]],'Indirect Costs'!$C106,Imput[[PERIODO Imp.]:[PERIODO Imp.]],'Indirect Costs'!CN$8)</f>
        <v>0</v>
      </c>
      <c r="CO106" s="48">
        <f>SUMIFS(Imput[[Importe Neto]:[Importe Neto]],Imput[[C. Imp.]:[C. Imp.]],'Indirect Costs'!$C106,Imput[[PERIODO Imp.]:[PERIODO Imp.]],'Indirect Costs'!CO$8)</f>
        <v>0</v>
      </c>
      <c r="CP106" s="48">
        <f>SUMIFS(Imput[[Importe Neto]:[Importe Neto]],Imput[[C. Imp.]:[C. Imp.]],'Indirect Costs'!$C106,Imput[[PERIODO Imp.]:[PERIODO Imp.]],'Indirect Costs'!CP$8)</f>
        <v>0</v>
      </c>
      <c r="CQ106" s="48">
        <f>SUMIFS(Imput[[Importe Neto]:[Importe Neto]],Imput[[C. Imp.]:[C. Imp.]],'Indirect Costs'!$C106,Imput[[PERIODO Imp.]:[PERIODO Imp.]],'Indirect Costs'!CQ$8)</f>
        <v>0</v>
      </c>
      <c r="CR106" s="48">
        <f>SUMIFS(Imput[[Importe Neto]:[Importe Neto]],Imput[[C. Imp.]:[C. Imp.]],'Indirect Costs'!$C106,Imput[[PERIODO Imp.]:[PERIODO Imp.]],'Indirect Costs'!CR$8)</f>
        <v>0</v>
      </c>
      <c r="CS106" s="48">
        <f>SUMIFS(Imput[[Importe Neto]:[Importe Neto]],Imput[[C. Imp.]:[C. Imp.]],'Indirect Costs'!$C106,Imput[[PERIODO Imp.]:[PERIODO Imp.]],'Indirect Costs'!CS$8)</f>
        <v>0</v>
      </c>
      <c r="CT106" s="48">
        <f>SUMIFS(Imput[[Importe Neto]:[Importe Neto]],Imput[[C. Imp.]:[C. Imp.]],'Indirect Costs'!$C106,Imput[[PERIODO Imp.]:[PERIODO Imp.]],'Indirect Costs'!CT$8)</f>
        <v>0</v>
      </c>
      <c r="CU106" s="48">
        <f>SUMIFS(Imput[[Importe Neto]:[Importe Neto]],Imput[[C. Imp.]:[C. Imp.]],'Indirect Costs'!$C106,Imput[[PERIODO Imp.]:[PERIODO Imp.]],'Indirect Costs'!CU$8)</f>
        <v>0</v>
      </c>
      <c r="CV106" s="48">
        <f>SUMIFS(Imput[[Importe Neto]:[Importe Neto]],Imput[[C. Imp.]:[C. Imp.]],'Indirect Costs'!$C106,Imput[[PERIODO Imp.]:[PERIODO Imp.]],'Indirect Costs'!CV$8)</f>
        <v>0</v>
      </c>
      <c r="CW106" s="48">
        <f>SUMIFS(Imput[[Importe Neto]:[Importe Neto]],Imput[[C. Imp.]:[C. Imp.]],'Indirect Costs'!$C106,Imput[[PERIODO Imp.]:[PERIODO Imp.]],'Indirect Costs'!CW$8)</f>
        <v>0</v>
      </c>
      <c r="CX106" s="48">
        <f>SUMIFS(Imput[[Importe Neto]:[Importe Neto]],Imput[[C. Imp.]:[C. Imp.]],'Indirect Costs'!$C106,Imput[[PERIODO Imp.]:[PERIODO Imp.]],'Indirect Costs'!CX$8)</f>
        <v>0</v>
      </c>
      <c r="CY106" s="48">
        <f>SUMIFS(Imput[[Importe Neto]:[Importe Neto]],Imput[[C. Imp.]:[C. Imp.]],'Indirect Costs'!$C106,Imput[[PERIODO Imp.]:[PERIODO Imp.]],'Indirect Costs'!CY$8)</f>
        <v>0</v>
      </c>
      <c r="CZ106" s="48">
        <f>SUMIFS(Imput[[Importe Neto]:[Importe Neto]],Imput[[C. Imp.]:[C. Imp.]],'Indirect Costs'!$C106,Imput[[PERIODO Imp.]:[PERIODO Imp.]],'Indirect Costs'!CZ$8)</f>
        <v>0</v>
      </c>
      <c r="DA106" s="48">
        <f>SUMIFS(Imput[[Importe Neto]:[Importe Neto]],Imput[[C. Imp.]:[C. Imp.]],'Indirect Costs'!$C106,Imput[[PERIODO Imp.]:[PERIODO Imp.]],'Indirect Costs'!DA$8)</f>
        <v>0</v>
      </c>
      <c r="DB106" s="48">
        <f>SUMIFS(Imput[[Importe Neto]:[Importe Neto]],Imput[[C. Imp.]:[C. Imp.]],'Indirect Costs'!$C106,Imput[[PERIODO Imp.]:[PERIODO Imp.]],'Indirect Costs'!DB$8)</f>
        <v>0</v>
      </c>
      <c r="DC106" s="48">
        <f>SUMIFS(Imput[[Importe Neto]:[Importe Neto]],Imput[[C. Imp.]:[C. Imp.]],'Indirect Costs'!$C106,Imput[[PERIODO Imp.]:[PERIODO Imp.]],'Indirect Costs'!DC$8)</f>
        <v>0</v>
      </c>
      <c r="DD106" s="48">
        <f>SUMIFS(Imput[[Importe Neto]:[Importe Neto]],Imput[[C. Imp.]:[C. Imp.]],'Indirect Costs'!$C106,Imput[[PERIODO Imp.]:[PERIODO Imp.]],'Indirect Costs'!DD$8)</f>
        <v>0</v>
      </c>
      <c r="DE106" s="48">
        <f>SUMIFS(Imput[[Importe Neto]:[Importe Neto]],Imput[[C. Imp.]:[C. Imp.]],'Indirect Costs'!$C106,Imput[[PERIODO Imp.]:[PERIODO Imp.]],'Indirect Costs'!DE$8)</f>
        <v>0</v>
      </c>
      <c r="DF106" s="143">
        <f>SUMIFS(Imput[[Importe Neto]:[Importe Neto]],Imput[[C. Imp.]:[C. Imp.]],'Indirect Costs'!$C106,Imput[[PERIODO Imp.]:[PERIODO Imp.]],'Indirect Costs'!DF$8)</f>
        <v>0</v>
      </c>
    </row>
    <row r="107" spans="1:110" outlineLevel="1" x14ac:dyDescent="0.25">
      <c r="A107" s="28" t="str">
        <f t="shared" si="14"/>
        <v/>
      </c>
      <c r="B107" s="50">
        <v>16</v>
      </c>
      <c r="C107" s="57" t="s">
        <v>1827</v>
      </c>
      <c r="D107" s="56" t="s">
        <v>613</v>
      </c>
      <c r="E107" s="57" t="s">
        <v>613</v>
      </c>
      <c r="F107" s="58">
        <v>6000</v>
      </c>
      <c r="G107" s="49"/>
      <c r="H107" s="51">
        <v>1</v>
      </c>
      <c r="I107" s="505">
        <f t="shared" si="22"/>
        <v>0</v>
      </c>
      <c r="J107" s="47"/>
      <c r="K107" s="142"/>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143"/>
      <c r="BG107" s="47"/>
      <c r="BH107" s="509"/>
      <c r="BI107" s="505">
        <f t="shared" si="15"/>
        <v>0</v>
      </c>
      <c r="BJ107" s="47"/>
      <c r="BK107" s="142">
        <f>SUMIFS(Imput[[Importe Neto]:[Importe Neto]],Imput[[C. Imp.]:[C. Imp.]],'Indirect Costs'!$C107,Imput[[PERIODO Imp.]:[PERIODO Imp.]],'Indirect Costs'!BK$8)</f>
        <v>0</v>
      </c>
      <c r="BL107" s="48">
        <f>SUMIFS(Imput[[Importe Neto]:[Importe Neto]],Imput[[C. Imp.]:[C. Imp.]],'Indirect Costs'!$C107,Imput[[PERIODO Imp.]:[PERIODO Imp.]],'Indirect Costs'!BL$8)</f>
        <v>0</v>
      </c>
      <c r="BM107" s="48">
        <f>SUMIFS(Imput[[Importe Neto]:[Importe Neto]],Imput[[C. Imp.]:[C. Imp.]],'Indirect Costs'!$C107,Imput[[PERIODO Imp.]:[PERIODO Imp.]],'Indirect Costs'!BM$8)</f>
        <v>0</v>
      </c>
      <c r="BN107" s="48">
        <f>SUMIFS(Imput[[Importe Neto]:[Importe Neto]],Imput[[C. Imp.]:[C. Imp.]],'Indirect Costs'!$C107,Imput[[PERIODO Imp.]:[PERIODO Imp.]],'Indirect Costs'!BN$8)</f>
        <v>0</v>
      </c>
      <c r="BO107" s="48">
        <f>SUMIFS(Imput[[Importe Neto]:[Importe Neto]],Imput[[C. Imp.]:[C. Imp.]],'Indirect Costs'!$C107,Imput[[PERIODO Imp.]:[PERIODO Imp.]],'Indirect Costs'!BO$8)</f>
        <v>0</v>
      </c>
      <c r="BP107" s="48">
        <f>SUMIFS(Imput[[Importe Neto]:[Importe Neto]],Imput[[C. Imp.]:[C. Imp.]],'Indirect Costs'!$C107,Imput[[PERIODO Imp.]:[PERIODO Imp.]],'Indirect Costs'!BP$8)</f>
        <v>0</v>
      </c>
      <c r="BQ107" s="48">
        <f>SUMIFS(Imput[[Importe Neto]:[Importe Neto]],Imput[[C. Imp.]:[C. Imp.]],'Indirect Costs'!$C107,Imput[[PERIODO Imp.]:[PERIODO Imp.]],'Indirect Costs'!BQ$8)</f>
        <v>0</v>
      </c>
      <c r="BR107" s="48">
        <f>SUMIFS(Imput[[Importe Neto]:[Importe Neto]],Imput[[C. Imp.]:[C. Imp.]],'Indirect Costs'!$C107,Imput[[PERIODO Imp.]:[PERIODO Imp.]],'Indirect Costs'!BR$8)</f>
        <v>0</v>
      </c>
      <c r="BS107" s="48">
        <f>SUMIFS(Imput[[Importe Neto]:[Importe Neto]],Imput[[C. Imp.]:[C. Imp.]],'Indirect Costs'!$C107,Imput[[PERIODO Imp.]:[PERIODO Imp.]],'Indirect Costs'!BS$8)</f>
        <v>0</v>
      </c>
      <c r="BT107" s="48">
        <f>SUMIFS(Imput[[Importe Neto]:[Importe Neto]],Imput[[C. Imp.]:[C. Imp.]],'Indirect Costs'!$C107,Imput[[PERIODO Imp.]:[PERIODO Imp.]],'Indirect Costs'!BT$8)</f>
        <v>0</v>
      </c>
      <c r="BU107" s="48">
        <f>SUMIFS(Imput[[Importe Neto]:[Importe Neto]],Imput[[C. Imp.]:[C. Imp.]],'Indirect Costs'!$C107,Imput[[PERIODO Imp.]:[PERIODO Imp.]],'Indirect Costs'!BU$8)</f>
        <v>0</v>
      </c>
      <c r="BV107" s="48">
        <f>SUMIFS(Imput[[Importe Neto]:[Importe Neto]],Imput[[C. Imp.]:[C. Imp.]],'Indirect Costs'!$C107,Imput[[PERIODO Imp.]:[PERIODO Imp.]],'Indirect Costs'!BV$8)</f>
        <v>0</v>
      </c>
      <c r="BW107" s="48">
        <f>SUMIFS(Imput[[Importe Neto]:[Importe Neto]],Imput[[C. Imp.]:[C. Imp.]],'Indirect Costs'!$C107,Imput[[PERIODO Imp.]:[PERIODO Imp.]],'Indirect Costs'!BW$8)</f>
        <v>0</v>
      </c>
      <c r="BX107" s="48">
        <f>SUMIFS(Imput[[Importe Neto]:[Importe Neto]],Imput[[C. Imp.]:[C. Imp.]],'Indirect Costs'!$C107,Imput[[PERIODO Imp.]:[PERIODO Imp.]],'Indirect Costs'!BX$8)</f>
        <v>0</v>
      </c>
      <c r="BY107" s="48">
        <f>SUMIFS(Imput[[Importe Neto]:[Importe Neto]],Imput[[C. Imp.]:[C. Imp.]],'Indirect Costs'!$C107,Imput[[PERIODO Imp.]:[PERIODO Imp.]],'Indirect Costs'!BY$8)</f>
        <v>0</v>
      </c>
      <c r="BZ107" s="48">
        <f>SUMIFS(Imput[[Importe Neto]:[Importe Neto]],Imput[[C. Imp.]:[C. Imp.]],'Indirect Costs'!$C107,Imput[[PERIODO Imp.]:[PERIODO Imp.]],'Indirect Costs'!BZ$8)</f>
        <v>0</v>
      </c>
      <c r="CA107" s="48">
        <f>SUMIFS(Imput[[Importe Neto]:[Importe Neto]],Imput[[C. Imp.]:[C. Imp.]],'Indirect Costs'!$C107,Imput[[PERIODO Imp.]:[PERIODO Imp.]],'Indirect Costs'!CA$8)</f>
        <v>0</v>
      </c>
      <c r="CB107" s="48">
        <f>SUMIFS(Imput[[Importe Neto]:[Importe Neto]],Imput[[C. Imp.]:[C. Imp.]],'Indirect Costs'!$C107,Imput[[PERIODO Imp.]:[PERIODO Imp.]],'Indirect Costs'!CB$8)</f>
        <v>0</v>
      </c>
      <c r="CC107" s="48">
        <f>SUMIFS(Imput[[Importe Neto]:[Importe Neto]],Imput[[C. Imp.]:[C. Imp.]],'Indirect Costs'!$C107,Imput[[PERIODO Imp.]:[PERIODO Imp.]],'Indirect Costs'!CC$8)</f>
        <v>0</v>
      </c>
      <c r="CD107" s="48">
        <f>SUMIFS(Imput[[Importe Neto]:[Importe Neto]],Imput[[C. Imp.]:[C. Imp.]],'Indirect Costs'!$C107,Imput[[PERIODO Imp.]:[PERIODO Imp.]],'Indirect Costs'!CD$8)</f>
        <v>0</v>
      </c>
      <c r="CE107" s="48">
        <f>SUMIFS(Imput[[Importe Neto]:[Importe Neto]],Imput[[C. Imp.]:[C. Imp.]],'Indirect Costs'!$C107,Imput[[PERIODO Imp.]:[PERIODO Imp.]],'Indirect Costs'!CE$8)</f>
        <v>0</v>
      </c>
      <c r="CF107" s="48">
        <f>SUMIFS(Imput[[Importe Neto]:[Importe Neto]],Imput[[C. Imp.]:[C. Imp.]],'Indirect Costs'!$C107,Imput[[PERIODO Imp.]:[PERIODO Imp.]],'Indirect Costs'!CF$8)</f>
        <v>0</v>
      </c>
      <c r="CG107" s="48">
        <f>SUMIFS(Imput[[Importe Neto]:[Importe Neto]],Imput[[C. Imp.]:[C. Imp.]],'Indirect Costs'!$C107,Imput[[PERIODO Imp.]:[PERIODO Imp.]],'Indirect Costs'!CG$8)</f>
        <v>0</v>
      </c>
      <c r="CH107" s="48">
        <f>SUMIFS(Imput[[Importe Neto]:[Importe Neto]],Imput[[C. Imp.]:[C. Imp.]],'Indirect Costs'!$C107,Imput[[PERIODO Imp.]:[PERIODO Imp.]],'Indirect Costs'!CH$8)</f>
        <v>0</v>
      </c>
      <c r="CI107" s="48">
        <f>SUMIFS(Imput[[Importe Neto]:[Importe Neto]],Imput[[C. Imp.]:[C. Imp.]],'Indirect Costs'!$C107,Imput[[PERIODO Imp.]:[PERIODO Imp.]],'Indirect Costs'!CI$8)</f>
        <v>0</v>
      </c>
      <c r="CJ107" s="48">
        <f>SUMIFS(Imput[[Importe Neto]:[Importe Neto]],Imput[[C. Imp.]:[C. Imp.]],'Indirect Costs'!$C107,Imput[[PERIODO Imp.]:[PERIODO Imp.]],'Indirect Costs'!CJ$8)</f>
        <v>0</v>
      </c>
      <c r="CK107" s="48">
        <f>SUMIFS(Imput[[Importe Neto]:[Importe Neto]],Imput[[C. Imp.]:[C. Imp.]],'Indirect Costs'!$C107,Imput[[PERIODO Imp.]:[PERIODO Imp.]],'Indirect Costs'!CK$8)</f>
        <v>0</v>
      </c>
      <c r="CL107" s="48">
        <f>SUMIFS(Imput[[Importe Neto]:[Importe Neto]],Imput[[C. Imp.]:[C. Imp.]],'Indirect Costs'!$C107,Imput[[PERIODO Imp.]:[PERIODO Imp.]],'Indirect Costs'!CL$8)</f>
        <v>0</v>
      </c>
      <c r="CM107" s="48">
        <f>SUMIFS(Imput[[Importe Neto]:[Importe Neto]],Imput[[C. Imp.]:[C. Imp.]],'Indirect Costs'!$C107,Imput[[PERIODO Imp.]:[PERIODO Imp.]],'Indirect Costs'!CM$8)</f>
        <v>0</v>
      </c>
      <c r="CN107" s="48">
        <f>SUMIFS(Imput[[Importe Neto]:[Importe Neto]],Imput[[C. Imp.]:[C. Imp.]],'Indirect Costs'!$C107,Imput[[PERIODO Imp.]:[PERIODO Imp.]],'Indirect Costs'!CN$8)</f>
        <v>0</v>
      </c>
      <c r="CO107" s="48">
        <f>SUMIFS(Imput[[Importe Neto]:[Importe Neto]],Imput[[C. Imp.]:[C. Imp.]],'Indirect Costs'!$C107,Imput[[PERIODO Imp.]:[PERIODO Imp.]],'Indirect Costs'!CO$8)</f>
        <v>0</v>
      </c>
      <c r="CP107" s="48">
        <f>SUMIFS(Imput[[Importe Neto]:[Importe Neto]],Imput[[C. Imp.]:[C. Imp.]],'Indirect Costs'!$C107,Imput[[PERIODO Imp.]:[PERIODO Imp.]],'Indirect Costs'!CP$8)</f>
        <v>0</v>
      </c>
      <c r="CQ107" s="48">
        <f>SUMIFS(Imput[[Importe Neto]:[Importe Neto]],Imput[[C. Imp.]:[C. Imp.]],'Indirect Costs'!$C107,Imput[[PERIODO Imp.]:[PERIODO Imp.]],'Indirect Costs'!CQ$8)</f>
        <v>0</v>
      </c>
      <c r="CR107" s="48">
        <f>SUMIFS(Imput[[Importe Neto]:[Importe Neto]],Imput[[C. Imp.]:[C. Imp.]],'Indirect Costs'!$C107,Imput[[PERIODO Imp.]:[PERIODO Imp.]],'Indirect Costs'!CR$8)</f>
        <v>0</v>
      </c>
      <c r="CS107" s="48">
        <f>SUMIFS(Imput[[Importe Neto]:[Importe Neto]],Imput[[C. Imp.]:[C. Imp.]],'Indirect Costs'!$C107,Imput[[PERIODO Imp.]:[PERIODO Imp.]],'Indirect Costs'!CS$8)</f>
        <v>0</v>
      </c>
      <c r="CT107" s="48">
        <f>SUMIFS(Imput[[Importe Neto]:[Importe Neto]],Imput[[C. Imp.]:[C. Imp.]],'Indirect Costs'!$C107,Imput[[PERIODO Imp.]:[PERIODO Imp.]],'Indirect Costs'!CT$8)</f>
        <v>0</v>
      </c>
      <c r="CU107" s="48">
        <f>SUMIFS(Imput[[Importe Neto]:[Importe Neto]],Imput[[C. Imp.]:[C. Imp.]],'Indirect Costs'!$C107,Imput[[PERIODO Imp.]:[PERIODO Imp.]],'Indirect Costs'!CU$8)</f>
        <v>0</v>
      </c>
      <c r="CV107" s="48">
        <f>SUMIFS(Imput[[Importe Neto]:[Importe Neto]],Imput[[C. Imp.]:[C. Imp.]],'Indirect Costs'!$C107,Imput[[PERIODO Imp.]:[PERIODO Imp.]],'Indirect Costs'!CV$8)</f>
        <v>0</v>
      </c>
      <c r="CW107" s="48">
        <f>SUMIFS(Imput[[Importe Neto]:[Importe Neto]],Imput[[C. Imp.]:[C. Imp.]],'Indirect Costs'!$C107,Imput[[PERIODO Imp.]:[PERIODO Imp.]],'Indirect Costs'!CW$8)</f>
        <v>0</v>
      </c>
      <c r="CX107" s="48">
        <f>SUMIFS(Imput[[Importe Neto]:[Importe Neto]],Imput[[C. Imp.]:[C. Imp.]],'Indirect Costs'!$C107,Imput[[PERIODO Imp.]:[PERIODO Imp.]],'Indirect Costs'!CX$8)</f>
        <v>0</v>
      </c>
      <c r="CY107" s="48">
        <f>SUMIFS(Imput[[Importe Neto]:[Importe Neto]],Imput[[C. Imp.]:[C. Imp.]],'Indirect Costs'!$C107,Imput[[PERIODO Imp.]:[PERIODO Imp.]],'Indirect Costs'!CY$8)</f>
        <v>0</v>
      </c>
      <c r="CZ107" s="48">
        <f>SUMIFS(Imput[[Importe Neto]:[Importe Neto]],Imput[[C. Imp.]:[C. Imp.]],'Indirect Costs'!$C107,Imput[[PERIODO Imp.]:[PERIODO Imp.]],'Indirect Costs'!CZ$8)</f>
        <v>0</v>
      </c>
      <c r="DA107" s="48">
        <f>SUMIFS(Imput[[Importe Neto]:[Importe Neto]],Imput[[C. Imp.]:[C. Imp.]],'Indirect Costs'!$C107,Imput[[PERIODO Imp.]:[PERIODO Imp.]],'Indirect Costs'!DA$8)</f>
        <v>0</v>
      </c>
      <c r="DB107" s="48">
        <f>SUMIFS(Imput[[Importe Neto]:[Importe Neto]],Imput[[C. Imp.]:[C. Imp.]],'Indirect Costs'!$C107,Imput[[PERIODO Imp.]:[PERIODO Imp.]],'Indirect Costs'!DB$8)</f>
        <v>0</v>
      </c>
      <c r="DC107" s="48">
        <f>SUMIFS(Imput[[Importe Neto]:[Importe Neto]],Imput[[C. Imp.]:[C. Imp.]],'Indirect Costs'!$C107,Imput[[PERIODO Imp.]:[PERIODO Imp.]],'Indirect Costs'!DC$8)</f>
        <v>0</v>
      </c>
      <c r="DD107" s="48">
        <f>SUMIFS(Imput[[Importe Neto]:[Importe Neto]],Imput[[C. Imp.]:[C. Imp.]],'Indirect Costs'!$C107,Imput[[PERIODO Imp.]:[PERIODO Imp.]],'Indirect Costs'!DD$8)</f>
        <v>0</v>
      </c>
      <c r="DE107" s="48">
        <f>SUMIFS(Imput[[Importe Neto]:[Importe Neto]],Imput[[C. Imp.]:[C. Imp.]],'Indirect Costs'!$C107,Imput[[PERIODO Imp.]:[PERIODO Imp.]],'Indirect Costs'!DE$8)</f>
        <v>0</v>
      </c>
      <c r="DF107" s="143">
        <f>SUMIFS(Imput[[Importe Neto]:[Importe Neto]],Imput[[C. Imp.]:[C. Imp.]],'Indirect Costs'!$C107,Imput[[PERIODO Imp.]:[PERIODO Imp.]],'Indirect Costs'!DF$8)</f>
        <v>0</v>
      </c>
    </row>
    <row r="108" spans="1:110" outlineLevel="1" x14ac:dyDescent="0.25">
      <c r="A108" s="28" t="str">
        <f t="shared" si="14"/>
        <v>Imprimir</v>
      </c>
      <c r="B108" s="50">
        <v>17</v>
      </c>
      <c r="C108" s="57" t="s">
        <v>1828</v>
      </c>
      <c r="D108" s="56" t="s">
        <v>614</v>
      </c>
      <c r="E108" s="57" t="s">
        <v>614</v>
      </c>
      <c r="F108" s="58">
        <v>5000</v>
      </c>
      <c r="G108" s="49">
        <v>1</v>
      </c>
      <c r="H108" s="51">
        <v>1</v>
      </c>
      <c r="I108" s="505">
        <f t="shared" si="22"/>
        <v>5000</v>
      </c>
      <c r="J108" s="47"/>
      <c r="K108" s="142">
        <v>0.16666666666666666</v>
      </c>
      <c r="L108" s="48">
        <v>0.16666666666666666</v>
      </c>
      <c r="M108" s="48">
        <v>0.16666666666666666</v>
      </c>
      <c r="N108" s="48">
        <v>0.16666666666666666</v>
      </c>
      <c r="O108" s="48">
        <v>0.16666666666666666</v>
      </c>
      <c r="P108" s="48">
        <v>0.16666666666666666</v>
      </c>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143"/>
      <c r="BG108" s="47"/>
      <c r="BH108" s="509"/>
      <c r="BI108" s="505">
        <f t="shared" si="15"/>
        <v>0</v>
      </c>
      <c r="BJ108" s="47"/>
      <c r="BK108" s="142">
        <f>SUMIFS(Imput[[Importe Neto]:[Importe Neto]],Imput[[C. Imp.]:[C. Imp.]],'Indirect Costs'!$C108,Imput[[PERIODO Imp.]:[PERIODO Imp.]],'Indirect Costs'!BK$8)</f>
        <v>0</v>
      </c>
      <c r="BL108" s="48">
        <f>SUMIFS(Imput[[Importe Neto]:[Importe Neto]],Imput[[C. Imp.]:[C. Imp.]],'Indirect Costs'!$C108,Imput[[PERIODO Imp.]:[PERIODO Imp.]],'Indirect Costs'!BL$8)</f>
        <v>0</v>
      </c>
      <c r="BM108" s="48">
        <f>SUMIFS(Imput[[Importe Neto]:[Importe Neto]],Imput[[C. Imp.]:[C. Imp.]],'Indirect Costs'!$C108,Imput[[PERIODO Imp.]:[PERIODO Imp.]],'Indirect Costs'!BM$8)</f>
        <v>0</v>
      </c>
      <c r="BN108" s="48">
        <f>SUMIFS(Imput[[Importe Neto]:[Importe Neto]],Imput[[C. Imp.]:[C. Imp.]],'Indirect Costs'!$C108,Imput[[PERIODO Imp.]:[PERIODO Imp.]],'Indirect Costs'!BN$8)</f>
        <v>0</v>
      </c>
      <c r="BO108" s="48">
        <f>SUMIFS(Imput[[Importe Neto]:[Importe Neto]],Imput[[C. Imp.]:[C. Imp.]],'Indirect Costs'!$C108,Imput[[PERIODO Imp.]:[PERIODO Imp.]],'Indirect Costs'!BO$8)</f>
        <v>0</v>
      </c>
      <c r="BP108" s="48">
        <f>SUMIFS(Imput[[Importe Neto]:[Importe Neto]],Imput[[C. Imp.]:[C. Imp.]],'Indirect Costs'!$C108,Imput[[PERIODO Imp.]:[PERIODO Imp.]],'Indirect Costs'!BP$8)</f>
        <v>0</v>
      </c>
      <c r="BQ108" s="48">
        <f>SUMIFS(Imput[[Importe Neto]:[Importe Neto]],Imput[[C. Imp.]:[C. Imp.]],'Indirect Costs'!$C108,Imput[[PERIODO Imp.]:[PERIODO Imp.]],'Indirect Costs'!BQ$8)</f>
        <v>0</v>
      </c>
      <c r="BR108" s="48">
        <f>SUMIFS(Imput[[Importe Neto]:[Importe Neto]],Imput[[C. Imp.]:[C. Imp.]],'Indirect Costs'!$C108,Imput[[PERIODO Imp.]:[PERIODO Imp.]],'Indirect Costs'!BR$8)</f>
        <v>0</v>
      </c>
      <c r="BS108" s="48">
        <f>SUMIFS(Imput[[Importe Neto]:[Importe Neto]],Imput[[C. Imp.]:[C. Imp.]],'Indirect Costs'!$C108,Imput[[PERIODO Imp.]:[PERIODO Imp.]],'Indirect Costs'!BS$8)</f>
        <v>0</v>
      </c>
      <c r="BT108" s="48">
        <f>SUMIFS(Imput[[Importe Neto]:[Importe Neto]],Imput[[C. Imp.]:[C. Imp.]],'Indirect Costs'!$C108,Imput[[PERIODO Imp.]:[PERIODO Imp.]],'Indirect Costs'!BT$8)</f>
        <v>0</v>
      </c>
      <c r="BU108" s="48">
        <f>SUMIFS(Imput[[Importe Neto]:[Importe Neto]],Imput[[C. Imp.]:[C. Imp.]],'Indirect Costs'!$C108,Imput[[PERIODO Imp.]:[PERIODO Imp.]],'Indirect Costs'!BU$8)</f>
        <v>0</v>
      </c>
      <c r="BV108" s="48">
        <f>SUMIFS(Imput[[Importe Neto]:[Importe Neto]],Imput[[C. Imp.]:[C. Imp.]],'Indirect Costs'!$C108,Imput[[PERIODO Imp.]:[PERIODO Imp.]],'Indirect Costs'!BV$8)</f>
        <v>0</v>
      </c>
      <c r="BW108" s="48">
        <f>SUMIFS(Imput[[Importe Neto]:[Importe Neto]],Imput[[C. Imp.]:[C. Imp.]],'Indirect Costs'!$C108,Imput[[PERIODO Imp.]:[PERIODO Imp.]],'Indirect Costs'!BW$8)</f>
        <v>0</v>
      </c>
      <c r="BX108" s="48">
        <f>SUMIFS(Imput[[Importe Neto]:[Importe Neto]],Imput[[C. Imp.]:[C. Imp.]],'Indirect Costs'!$C108,Imput[[PERIODO Imp.]:[PERIODO Imp.]],'Indirect Costs'!BX$8)</f>
        <v>0</v>
      </c>
      <c r="BY108" s="48">
        <f>SUMIFS(Imput[[Importe Neto]:[Importe Neto]],Imput[[C. Imp.]:[C. Imp.]],'Indirect Costs'!$C108,Imput[[PERIODO Imp.]:[PERIODO Imp.]],'Indirect Costs'!BY$8)</f>
        <v>0</v>
      </c>
      <c r="BZ108" s="48">
        <f>SUMIFS(Imput[[Importe Neto]:[Importe Neto]],Imput[[C. Imp.]:[C. Imp.]],'Indirect Costs'!$C108,Imput[[PERIODO Imp.]:[PERIODO Imp.]],'Indirect Costs'!BZ$8)</f>
        <v>0</v>
      </c>
      <c r="CA108" s="48">
        <f>SUMIFS(Imput[[Importe Neto]:[Importe Neto]],Imput[[C. Imp.]:[C. Imp.]],'Indirect Costs'!$C108,Imput[[PERIODO Imp.]:[PERIODO Imp.]],'Indirect Costs'!CA$8)</f>
        <v>0</v>
      </c>
      <c r="CB108" s="48">
        <f>SUMIFS(Imput[[Importe Neto]:[Importe Neto]],Imput[[C. Imp.]:[C. Imp.]],'Indirect Costs'!$C108,Imput[[PERIODO Imp.]:[PERIODO Imp.]],'Indirect Costs'!CB$8)</f>
        <v>0</v>
      </c>
      <c r="CC108" s="48">
        <f>SUMIFS(Imput[[Importe Neto]:[Importe Neto]],Imput[[C. Imp.]:[C. Imp.]],'Indirect Costs'!$C108,Imput[[PERIODO Imp.]:[PERIODO Imp.]],'Indirect Costs'!CC$8)</f>
        <v>0</v>
      </c>
      <c r="CD108" s="48">
        <f>SUMIFS(Imput[[Importe Neto]:[Importe Neto]],Imput[[C. Imp.]:[C. Imp.]],'Indirect Costs'!$C108,Imput[[PERIODO Imp.]:[PERIODO Imp.]],'Indirect Costs'!CD$8)</f>
        <v>0</v>
      </c>
      <c r="CE108" s="48">
        <f>SUMIFS(Imput[[Importe Neto]:[Importe Neto]],Imput[[C. Imp.]:[C. Imp.]],'Indirect Costs'!$C108,Imput[[PERIODO Imp.]:[PERIODO Imp.]],'Indirect Costs'!CE$8)</f>
        <v>0</v>
      </c>
      <c r="CF108" s="48">
        <f>SUMIFS(Imput[[Importe Neto]:[Importe Neto]],Imput[[C. Imp.]:[C. Imp.]],'Indirect Costs'!$C108,Imput[[PERIODO Imp.]:[PERIODO Imp.]],'Indirect Costs'!CF$8)</f>
        <v>0</v>
      </c>
      <c r="CG108" s="48">
        <f>SUMIFS(Imput[[Importe Neto]:[Importe Neto]],Imput[[C. Imp.]:[C. Imp.]],'Indirect Costs'!$C108,Imput[[PERIODO Imp.]:[PERIODO Imp.]],'Indirect Costs'!CG$8)</f>
        <v>0</v>
      </c>
      <c r="CH108" s="48">
        <f>SUMIFS(Imput[[Importe Neto]:[Importe Neto]],Imput[[C. Imp.]:[C. Imp.]],'Indirect Costs'!$C108,Imput[[PERIODO Imp.]:[PERIODO Imp.]],'Indirect Costs'!CH$8)</f>
        <v>0</v>
      </c>
      <c r="CI108" s="48">
        <f>SUMIFS(Imput[[Importe Neto]:[Importe Neto]],Imput[[C. Imp.]:[C. Imp.]],'Indirect Costs'!$C108,Imput[[PERIODO Imp.]:[PERIODO Imp.]],'Indirect Costs'!CI$8)</f>
        <v>0</v>
      </c>
      <c r="CJ108" s="48">
        <f>SUMIFS(Imput[[Importe Neto]:[Importe Neto]],Imput[[C. Imp.]:[C. Imp.]],'Indirect Costs'!$C108,Imput[[PERIODO Imp.]:[PERIODO Imp.]],'Indirect Costs'!CJ$8)</f>
        <v>0</v>
      </c>
      <c r="CK108" s="48">
        <f>SUMIFS(Imput[[Importe Neto]:[Importe Neto]],Imput[[C. Imp.]:[C. Imp.]],'Indirect Costs'!$C108,Imput[[PERIODO Imp.]:[PERIODO Imp.]],'Indirect Costs'!CK$8)</f>
        <v>0</v>
      </c>
      <c r="CL108" s="48">
        <f>SUMIFS(Imput[[Importe Neto]:[Importe Neto]],Imput[[C. Imp.]:[C. Imp.]],'Indirect Costs'!$C108,Imput[[PERIODO Imp.]:[PERIODO Imp.]],'Indirect Costs'!CL$8)</f>
        <v>0</v>
      </c>
      <c r="CM108" s="48">
        <f>SUMIFS(Imput[[Importe Neto]:[Importe Neto]],Imput[[C. Imp.]:[C. Imp.]],'Indirect Costs'!$C108,Imput[[PERIODO Imp.]:[PERIODO Imp.]],'Indirect Costs'!CM$8)</f>
        <v>0</v>
      </c>
      <c r="CN108" s="48">
        <f>SUMIFS(Imput[[Importe Neto]:[Importe Neto]],Imput[[C. Imp.]:[C. Imp.]],'Indirect Costs'!$C108,Imput[[PERIODO Imp.]:[PERIODO Imp.]],'Indirect Costs'!CN$8)</f>
        <v>0</v>
      </c>
      <c r="CO108" s="48">
        <f>SUMIFS(Imput[[Importe Neto]:[Importe Neto]],Imput[[C. Imp.]:[C. Imp.]],'Indirect Costs'!$C108,Imput[[PERIODO Imp.]:[PERIODO Imp.]],'Indirect Costs'!CO$8)</f>
        <v>0</v>
      </c>
      <c r="CP108" s="48">
        <f>SUMIFS(Imput[[Importe Neto]:[Importe Neto]],Imput[[C. Imp.]:[C. Imp.]],'Indirect Costs'!$C108,Imput[[PERIODO Imp.]:[PERIODO Imp.]],'Indirect Costs'!CP$8)</f>
        <v>0</v>
      </c>
      <c r="CQ108" s="48">
        <f>SUMIFS(Imput[[Importe Neto]:[Importe Neto]],Imput[[C. Imp.]:[C. Imp.]],'Indirect Costs'!$C108,Imput[[PERIODO Imp.]:[PERIODO Imp.]],'Indirect Costs'!CQ$8)</f>
        <v>0</v>
      </c>
      <c r="CR108" s="48">
        <f>SUMIFS(Imput[[Importe Neto]:[Importe Neto]],Imput[[C. Imp.]:[C. Imp.]],'Indirect Costs'!$C108,Imput[[PERIODO Imp.]:[PERIODO Imp.]],'Indirect Costs'!CR$8)</f>
        <v>0</v>
      </c>
      <c r="CS108" s="48">
        <f>SUMIFS(Imput[[Importe Neto]:[Importe Neto]],Imput[[C. Imp.]:[C. Imp.]],'Indirect Costs'!$C108,Imput[[PERIODO Imp.]:[PERIODO Imp.]],'Indirect Costs'!CS$8)</f>
        <v>0</v>
      </c>
      <c r="CT108" s="48">
        <f>SUMIFS(Imput[[Importe Neto]:[Importe Neto]],Imput[[C. Imp.]:[C. Imp.]],'Indirect Costs'!$C108,Imput[[PERIODO Imp.]:[PERIODO Imp.]],'Indirect Costs'!CT$8)</f>
        <v>0</v>
      </c>
      <c r="CU108" s="48">
        <f>SUMIFS(Imput[[Importe Neto]:[Importe Neto]],Imput[[C. Imp.]:[C. Imp.]],'Indirect Costs'!$C108,Imput[[PERIODO Imp.]:[PERIODO Imp.]],'Indirect Costs'!CU$8)</f>
        <v>0</v>
      </c>
      <c r="CV108" s="48">
        <f>SUMIFS(Imput[[Importe Neto]:[Importe Neto]],Imput[[C. Imp.]:[C. Imp.]],'Indirect Costs'!$C108,Imput[[PERIODO Imp.]:[PERIODO Imp.]],'Indirect Costs'!CV$8)</f>
        <v>0</v>
      </c>
      <c r="CW108" s="48">
        <f>SUMIFS(Imput[[Importe Neto]:[Importe Neto]],Imput[[C. Imp.]:[C. Imp.]],'Indirect Costs'!$C108,Imput[[PERIODO Imp.]:[PERIODO Imp.]],'Indirect Costs'!CW$8)</f>
        <v>0</v>
      </c>
      <c r="CX108" s="48">
        <f>SUMIFS(Imput[[Importe Neto]:[Importe Neto]],Imput[[C. Imp.]:[C. Imp.]],'Indirect Costs'!$C108,Imput[[PERIODO Imp.]:[PERIODO Imp.]],'Indirect Costs'!CX$8)</f>
        <v>0</v>
      </c>
      <c r="CY108" s="48">
        <f>SUMIFS(Imput[[Importe Neto]:[Importe Neto]],Imput[[C. Imp.]:[C. Imp.]],'Indirect Costs'!$C108,Imput[[PERIODO Imp.]:[PERIODO Imp.]],'Indirect Costs'!CY$8)</f>
        <v>0</v>
      </c>
      <c r="CZ108" s="48">
        <f>SUMIFS(Imput[[Importe Neto]:[Importe Neto]],Imput[[C. Imp.]:[C. Imp.]],'Indirect Costs'!$C108,Imput[[PERIODO Imp.]:[PERIODO Imp.]],'Indirect Costs'!CZ$8)</f>
        <v>0</v>
      </c>
      <c r="DA108" s="48">
        <f>SUMIFS(Imput[[Importe Neto]:[Importe Neto]],Imput[[C. Imp.]:[C. Imp.]],'Indirect Costs'!$C108,Imput[[PERIODO Imp.]:[PERIODO Imp.]],'Indirect Costs'!DA$8)</f>
        <v>0</v>
      </c>
      <c r="DB108" s="48">
        <f>SUMIFS(Imput[[Importe Neto]:[Importe Neto]],Imput[[C. Imp.]:[C. Imp.]],'Indirect Costs'!$C108,Imput[[PERIODO Imp.]:[PERIODO Imp.]],'Indirect Costs'!DB$8)</f>
        <v>0</v>
      </c>
      <c r="DC108" s="48">
        <f>SUMIFS(Imput[[Importe Neto]:[Importe Neto]],Imput[[C. Imp.]:[C. Imp.]],'Indirect Costs'!$C108,Imput[[PERIODO Imp.]:[PERIODO Imp.]],'Indirect Costs'!DC$8)</f>
        <v>0</v>
      </c>
      <c r="DD108" s="48">
        <f>SUMIFS(Imput[[Importe Neto]:[Importe Neto]],Imput[[C. Imp.]:[C. Imp.]],'Indirect Costs'!$C108,Imput[[PERIODO Imp.]:[PERIODO Imp.]],'Indirect Costs'!DD$8)</f>
        <v>0</v>
      </c>
      <c r="DE108" s="48">
        <f>SUMIFS(Imput[[Importe Neto]:[Importe Neto]],Imput[[C. Imp.]:[C. Imp.]],'Indirect Costs'!$C108,Imput[[PERIODO Imp.]:[PERIODO Imp.]],'Indirect Costs'!DE$8)</f>
        <v>0</v>
      </c>
      <c r="DF108" s="143">
        <f>SUMIFS(Imput[[Importe Neto]:[Importe Neto]],Imput[[C. Imp.]:[C. Imp.]],'Indirect Costs'!$C108,Imput[[PERIODO Imp.]:[PERIODO Imp.]],'Indirect Costs'!DF$8)</f>
        <v>0</v>
      </c>
    </row>
    <row r="109" spans="1:110" outlineLevel="1" x14ac:dyDescent="0.25">
      <c r="A109" s="28" t="str">
        <f t="shared" si="14"/>
        <v/>
      </c>
      <c r="B109" s="50">
        <v>18</v>
      </c>
      <c r="C109" s="57" t="s">
        <v>1829</v>
      </c>
      <c r="D109" s="56"/>
      <c r="E109" s="57"/>
      <c r="F109" s="58">
        <v>20000</v>
      </c>
      <c r="G109" s="49"/>
      <c r="H109" s="51">
        <v>1</v>
      </c>
      <c r="I109" s="505">
        <f t="shared" si="22"/>
        <v>0</v>
      </c>
      <c r="J109" s="47"/>
      <c r="K109" s="142"/>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143"/>
      <c r="BG109" s="47"/>
      <c r="BH109" s="509"/>
      <c r="BI109" s="505">
        <f t="shared" si="15"/>
        <v>0</v>
      </c>
      <c r="BJ109" s="47"/>
      <c r="BK109" s="142">
        <f>SUMIFS(Imput[[Importe Neto]:[Importe Neto]],Imput[[C. Imp.]:[C. Imp.]],'Indirect Costs'!$C109,Imput[[PERIODO Imp.]:[PERIODO Imp.]],'Indirect Costs'!BK$8)</f>
        <v>0</v>
      </c>
      <c r="BL109" s="48">
        <f>SUMIFS(Imput[[Importe Neto]:[Importe Neto]],Imput[[C. Imp.]:[C. Imp.]],'Indirect Costs'!$C109,Imput[[PERIODO Imp.]:[PERIODO Imp.]],'Indirect Costs'!BL$8)</f>
        <v>0</v>
      </c>
      <c r="BM109" s="48">
        <f>SUMIFS(Imput[[Importe Neto]:[Importe Neto]],Imput[[C. Imp.]:[C. Imp.]],'Indirect Costs'!$C109,Imput[[PERIODO Imp.]:[PERIODO Imp.]],'Indirect Costs'!BM$8)</f>
        <v>0</v>
      </c>
      <c r="BN109" s="48">
        <f>SUMIFS(Imput[[Importe Neto]:[Importe Neto]],Imput[[C. Imp.]:[C. Imp.]],'Indirect Costs'!$C109,Imput[[PERIODO Imp.]:[PERIODO Imp.]],'Indirect Costs'!BN$8)</f>
        <v>0</v>
      </c>
      <c r="BO109" s="48">
        <f>SUMIFS(Imput[[Importe Neto]:[Importe Neto]],Imput[[C. Imp.]:[C. Imp.]],'Indirect Costs'!$C109,Imput[[PERIODO Imp.]:[PERIODO Imp.]],'Indirect Costs'!BO$8)</f>
        <v>0</v>
      </c>
      <c r="BP109" s="48">
        <f>SUMIFS(Imput[[Importe Neto]:[Importe Neto]],Imput[[C. Imp.]:[C. Imp.]],'Indirect Costs'!$C109,Imput[[PERIODO Imp.]:[PERIODO Imp.]],'Indirect Costs'!BP$8)</f>
        <v>0</v>
      </c>
      <c r="BQ109" s="48">
        <f>SUMIFS(Imput[[Importe Neto]:[Importe Neto]],Imput[[C. Imp.]:[C. Imp.]],'Indirect Costs'!$C109,Imput[[PERIODO Imp.]:[PERIODO Imp.]],'Indirect Costs'!BQ$8)</f>
        <v>0</v>
      </c>
      <c r="BR109" s="48">
        <f>SUMIFS(Imput[[Importe Neto]:[Importe Neto]],Imput[[C. Imp.]:[C. Imp.]],'Indirect Costs'!$C109,Imput[[PERIODO Imp.]:[PERIODO Imp.]],'Indirect Costs'!BR$8)</f>
        <v>0</v>
      </c>
      <c r="BS109" s="48">
        <f>SUMIFS(Imput[[Importe Neto]:[Importe Neto]],Imput[[C. Imp.]:[C. Imp.]],'Indirect Costs'!$C109,Imput[[PERIODO Imp.]:[PERIODO Imp.]],'Indirect Costs'!BS$8)</f>
        <v>0</v>
      </c>
      <c r="BT109" s="48">
        <f>SUMIFS(Imput[[Importe Neto]:[Importe Neto]],Imput[[C. Imp.]:[C. Imp.]],'Indirect Costs'!$C109,Imput[[PERIODO Imp.]:[PERIODO Imp.]],'Indirect Costs'!BT$8)</f>
        <v>0</v>
      </c>
      <c r="BU109" s="48">
        <f>SUMIFS(Imput[[Importe Neto]:[Importe Neto]],Imput[[C. Imp.]:[C. Imp.]],'Indirect Costs'!$C109,Imput[[PERIODO Imp.]:[PERIODO Imp.]],'Indirect Costs'!BU$8)</f>
        <v>0</v>
      </c>
      <c r="BV109" s="48">
        <f>SUMIFS(Imput[[Importe Neto]:[Importe Neto]],Imput[[C. Imp.]:[C. Imp.]],'Indirect Costs'!$C109,Imput[[PERIODO Imp.]:[PERIODO Imp.]],'Indirect Costs'!BV$8)</f>
        <v>0</v>
      </c>
      <c r="BW109" s="48">
        <f>SUMIFS(Imput[[Importe Neto]:[Importe Neto]],Imput[[C. Imp.]:[C. Imp.]],'Indirect Costs'!$C109,Imput[[PERIODO Imp.]:[PERIODO Imp.]],'Indirect Costs'!BW$8)</f>
        <v>0</v>
      </c>
      <c r="BX109" s="48">
        <f>SUMIFS(Imput[[Importe Neto]:[Importe Neto]],Imput[[C. Imp.]:[C. Imp.]],'Indirect Costs'!$C109,Imput[[PERIODO Imp.]:[PERIODO Imp.]],'Indirect Costs'!BX$8)</f>
        <v>0</v>
      </c>
      <c r="BY109" s="48">
        <f>SUMIFS(Imput[[Importe Neto]:[Importe Neto]],Imput[[C. Imp.]:[C. Imp.]],'Indirect Costs'!$C109,Imput[[PERIODO Imp.]:[PERIODO Imp.]],'Indirect Costs'!BY$8)</f>
        <v>0</v>
      </c>
      <c r="BZ109" s="48">
        <f>SUMIFS(Imput[[Importe Neto]:[Importe Neto]],Imput[[C. Imp.]:[C. Imp.]],'Indirect Costs'!$C109,Imput[[PERIODO Imp.]:[PERIODO Imp.]],'Indirect Costs'!BZ$8)</f>
        <v>0</v>
      </c>
      <c r="CA109" s="48">
        <f>SUMIFS(Imput[[Importe Neto]:[Importe Neto]],Imput[[C. Imp.]:[C. Imp.]],'Indirect Costs'!$C109,Imput[[PERIODO Imp.]:[PERIODO Imp.]],'Indirect Costs'!CA$8)</f>
        <v>0</v>
      </c>
      <c r="CB109" s="48">
        <f>SUMIFS(Imput[[Importe Neto]:[Importe Neto]],Imput[[C. Imp.]:[C. Imp.]],'Indirect Costs'!$C109,Imput[[PERIODO Imp.]:[PERIODO Imp.]],'Indirect Costs'!CB$8)</f>
        <v>0</v>
      </c>
      <c r="CC109" s="48">
        <f>SUMIFS(Imput[[Importe Neto]:[Importe Neto]],Imput[[C. Imp.]:[C. Imp.]],'Indirect Costs'!$C109,Imput[[PERIODO Imp.]:[PERIODO Imp.]],'Indirect Costs'!CC$8)</f>
        <v>0</v>
      </c>
      <c r="CD109" s="48">
        <f>SUMIFS(Imput[[Importe Neto]:[Importe Neto]],Imput[[C. Imp.]:[C. Imp.]],'Indirect Costs'!$C109,Imput[[PERIODO Imp.]:[PERIODO Imp.]],'Indirect Costs'!CD$8)</f>
        <v>0</v>
      </c>
      <c r="CE109" s="48">
        <f>SUMIFS(Imput[[Importe Neto]:[Importe Neto]],Imput[[C. Imp.]:[C. Imp.]],'Indirect Costs'!$C109,Imput[[PERIODO Imp.]:[PERIODO Imp.]],'Indirect Costs'!CE$8)</f>
        <v>0</v>
      </c>
      <c r="CF109" s="48">
        <f>SUMIFS(Imput[[Importe Neto]:[Importe Neto]],Imput[[C. Imp.]:[C. Imp.]],'Indirect Costs'!$C109,Imput[[PERIODO Imp.]:[PERIODO Imp.]],'Indirect Costs'!CF$8)</f>
        <v>0</v>
      </c>
      <c r="CG109" s="48">
        <f>SUMIFS(Imput[[Importe Neto]:[Importe Neto]],Imput[[C. Imp.]:[C. Imp.]],'Indirect Costs'!$C109,Imput[[PERIODO Imp.]:[PERIODO Imp.]],'Indirect Costs'!CG$8)</f>
        <v>0</v>
      </c>
      <c r="CH109" s="48">
        <f>SUMIFS(Imput[[Importe Neto]:[Importe Neto]],Imput[[C. Imp.]:[C. Imp.]],'Indirect Costs'!$C109,Imput[[PERIODO Imp.]:[PERIODO Imp.]],'Indirect Costs'!CH$8)</f>
        <v>0</v>
      </c>
      <c r="CI109" s="48">
        <f>SUMIFS(Imput[[Importe Neto]:[Importe Neto]],Imput[[C. Imp.]:[C. Imp.]],'Indirect Costs'!$C109,Imput[[PERIODO Imp.]:[PERIODO Imp.]],'Indirect Costs'!CI$8)</f>
        <v>0</v>
      </c>
      <c r="CJ109" s="48">
        <f>SUMIFS(Imput[[Importe Neto]:[Importe Neto]],Imput[[C. Imp.]:[C. Imp.]],'Indirect Costs'!$C109,Imput[[PERIODO Imp.]:[PERIODO Imp.]],'Indirect Costs'!CJ$8)</f>
        <v>0</v>
      </c>
      <c r="CK109" s="48">
        <f>SUMIFS(Imput[[Importe Neto]:[Importe Neto]],Imput[[C. Imp.]:[C. Imp.]],'Indirect Costs'!$C109,Imput[[PERIODO Imp.]:[PERIODO Imp.]],'Indirect Costs'!CK$8)</f>
        <v>0</v>
      </c>
      <c r="CL109" s="48">
        <f>SUMIFS(Imput[[Importe Neto]:[Importe Neto]],Imput[[C. Imp.]:[C. Imp.]],'Indirect Costs'!$C109,Imput[[PERIODO Imp.]:[PERIODO Imp.]],'Indirect Costs'!CL$8)</f>
        <v>0</v>
      </c>
      <c r="CM109" s="48">
        <f>SUMIFS(Imput[[Importe Neto]:[Importe Neto]],Imput[[C. Imp.]:[C. Imp.]],'Indirect Costs'!$C109,Imput[[PERIODO Imp.]:[PERIODO Imp.]],'Indirect Costs'!CM$8)</f>
        <v>0</v>
      </c>
      <c r="CN109" s="48">
        <f>SUMIFS(Imput[[Importe Neto]:[Importe Neto]],Imput[[C. Imp.]:[C. Imp.]],'Indirect Costs'!$C109,Imput[[PERIODO Imp.]:[PERIODO Imp.]],'Indirect Costs'!CN$8)</f>
        <v>0</v>
      </c>
      <c r="CO109" s="48">
        <f>SUMIFS(Imput[[Importe Neto]:[Importe Neto]],Imput[[C. Imp.]:[C. Imp.]],'Indirect Costs'!$C109,Imput[[PERIODO Imp.]:[PERIODO Imp.]],'Indirect Costs'!CO$8)</f>
        <v>0</v>
      </c>
      <c r="CP109" s="48">
        <f>SUMIFS(Imput[[Importe Neto]:[Importe Neto]],Imput[[C. Imp.]:[C. Imp.]],'Indirect Costs'!$C109,Imput[[PERIODO Imp.]:[PERIODO Imp.]],'Indirect Costs'!CP$8)</f>
        <v>0</v>
      </c>
      <c r="CQ109" s="48">
        <f>SUMIFS(Imput[[Importe Neto]:[Importe Neto]],Imput[[C. Imp.]:[C. Imp.]],'Indirect Costs'!$C109,Imput[[PERIODO Imp.]:[PERIODO Imp.]],'Indirect Costs'!CQ$8)</f>
        <v>0</v>
      </c>
      <c r="CR109" s="48">
        <f>SUMIFS(Imput[[Importe Neto]:[Importe Neto]],Imput[[C. Imp.]:[C. Imp.]],'Indirect Costs'!$C109,Imput[[PERIODO Imp.]:[PERIODO Imp.]],'Indirect Costs'!CR$8)</f>
        <v>0</v>
      </c>
      <c r="CS109" s="48">
        <f>SUMIFS(Imput[[Importe Neto]:[Importe Neto]],Imput[[C. Imp.]:[C. Imp.]],'Indirect Costs'!$C109,Imput[[PERIODO Imp.]:[PERIODO Imp.]],'Indirect Costs'!CS$8)</f>
        <v>0</v>
      </c>
      <c r="CT109" s="48">
        <f>SUMIFS(Imput[[Importe Neto]:[Importe Neto]],Imput[[C. Imp.]:[C. Imp.]],'Indirect Costs'!$C109,Imput[[PERIODO Imp.]:[PERIODO Imp.]],'Indirect Costs'!CT$8)</f>
        <v>0</v>
      </c>
      <c r="CU109" s="48">
        <f>SUMIFS(Imput[[Importe Neto]:[Importe Neto]],Imput[[C. Imp.]:[C. Imp.]],'Indirect Costs'!$C109,Imput[[PERIODO Imp.]:[PERIODO Imp.]],'Indirect Costs'!CU$8)</f>
        <v>0</v>
      </c>
      <c r="CV109" s="48">
        <f>SUMIFS(Imput[[Importe Neto]:[Importe Neto]],Imput[[C. Imp.]:[C. Imp.]],'Indirect Costs'!$C109,Imput[[PERIODO Imp.]:[PERIODO Imp.]],'Indirect Costs'!CV$8)</f>
        <v>0</v>
      </c>
      <c r="CW109" s="48">
        <f>SUMIFS(Imput[[Importe Neto]:[Importe Neto]],Imput[[C. Imp.]:[C. Imp.]],'Indirect Costs'!$C109,Imput[[PERIODO Imp.]:[PERIODO Imp.]],'Indirect Costs'!CW$8)</f>
        <v>0</v>
      </c>
      <c r="CX109" s="48">
        <f>SUMIFS(Imput[[Importe Neto]:[Importe Neto]],Imput[[C. Imp.]:[C. Imp.]],'Indirect Costs'!$C109,Imput[[PERIODO Imp.]:[PERIODO Imp.]],'Indirect Costs'!CX$8)</f>
        <v>0</v>
      </c>
      <c r="CY109" s="48">
        <f>SUMIFS(Imput[[Importe Neto]:[Importe Neto]],Imput[[C. Imp.]:[C. Imp.]],'Indirect Costs'!$C109,Imput[[PERIODO Imp.]:[PERIODO Imp.]],'Indirect Costs'!CY$8)</f>
        <v>0</v>
      </c>
      <c r="CZ109" s="48">
        <f>SUMIFS(Imput[[Importe Neto]:[Importe Neto]],Imput[[C. Imp.]:[C. Imp.]],'Indirect Costs'!$C109,Imput[[PERIODO Imp.]:[PERIODO Imp.]],'Indirect Costs'!CZ$8)</f>
        <v>0</v>
      </c>
      <c r="DA109" s="48">
        <f>SUMIFS(Imput[[Importe Neto]:[Importe Neto]],Imput[[C. Imp.]:[C. Imp.]],'Indirect Costs'!$C109,Imput[[PERIODO Imp.]:[PERIODO Imp.]],'Indirect Costs'!DA$8)</f>
        <v>0</v>
      </c>
      <c r="DB109" s="48">
        <f>SUMIFS(Imput[[Importe Neto]:[Importe Neto]],Imput[[C. Imp.]:[C. Imp.]],'Indirect Costs'!$C109,Imput[[PERIODO Imp.]:[PERIODO Imp.]],'Indirect Costs'!DB$8)</f>
        <v>0</v>
      </c>
      <c r="DC109" s="48">
        <f>SUMIFS(Imput[[Importe Neto]:[Importe Neto]],Imput[[C. Imp.]:[C. Imp.]],'Indirect Costs'!$C109,Imput[[PERIODO Imp.]:[PERIODO Imp.]],'Indirect Costs'!DC$8)</f>
        <v>0</v>
      </c>
      <c r="DD109" s="48">
        <f>SUMIFS(Imput[[Importe Neto]:[Importe Neto]],Imput[[C. Imp.]:[C. Imp.]],'Indirect Costs'!$C109,Imput[[PERIODO Imp.]:[PERIODO Imp.]],'Indirect Costs'!DD$8)</f>
        <v>0</v>
      </c>
      <c r="DE109" s="48">
        <f>SUMIFS(Imput[[Importe Neto]:[Importe Neto]],Imput[[C. Imp.]:[C. Imp.]],'Indirect Costs'!$C109,Imput[[PERIODO Imp.]:[PERIODO Imp.]],'Indirect Costs'!DE$8)</f>
        <v>0</v>
      </c>
      <c r="DF109" s="143">
        <f>SUMIFS(Imput[[Importe Neto]:[Importe Neto]],Imput[[C. Imp.]:[C. Imp.]],'Indirect Costs'!$C109,Imput[[PERIODO Imp.]:[PERIODO Imp.]],'Indirect Costs'!DF$8)</f>
        <v>0</v>
      </c>
    </row>
    <row r="110" spans="1:110" outlineLevel="1" x14ac:dyDescent="0.25">
      <c r="A110" s="28" t="str">
        <f t="shared" si="14"/>
        <v>Imprimir</v>
      </c>
      <c r="B110" s="50">
        <v>19</v>
      </c>
      <c r="C110" s="57" t="s">
        <v>1830</v>
      </c>
      <c r="D110" s="56" t="s">
        <v>615</v>
      </c>
      <c r="E110" s="57" t="s">
        <v>615</v>
      </c>
      <c r="F110" s="58">
        <v>10000</v>
      </c>
      <c r="G110" s="49">
        <v>1</v>
      </c>
      <c r="H110" s="51">
        <v>1</v>
      </c>
      <c r="I110" s="505">
        <f t="shared" si="22"/>
        <v>10000</v>
      </c>
      <c r="J110" s="47"/>
      <c r="K110" s="142">
        <v>0.16666666666666666</v>
      </c>
      <c r="L110" s="48">
        <v>0.16666666666666666</v>
      </c>
      <c r="M110" s="48">
        <v>0.16666666666666666</v>
      </c>
      <c r="N110" s="48">
        <v>0.16666666666666666</v>
      </c>
      <c r="O110" s="48">
        <v>0.16666666666666666</v>
      </c>
      <c r="P110" s="48">
        <v>0.16666666666666666</v>
      </c>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143"/>
      <c r="BG110" s="47"/>
      <c r="BH110" s="509"/>
      <c r="BI110" s="505">
        <f t="shared" si="15"/>
        <v>2397.00216804</v>
      </c>
      <c r="BJ110" s="47"/>
      <c r="BK110" s="142">
        <f>SUMIFS(Imput[[Importe Neto]:[Importe Neto]],Imput[[C. Imp.]:[C. Imp.]],'Indirect Costs'!$C110,Imput[[PERIODO Imp.]:[PERIODO Imp.]],'Indirect Costs'!BK$8)</f>
        <v>0</v>
      </c>
      <c r="BL110" s="48">
        <f>SUMIFS(Imput[[Importe Neto]:[Importe Neto]],Imput[[C. Imp.]:[C. Imp.]],'Indirect Costs'!$C110,Imput[[PERIODO Imp.]:[PERIODO Imp.]],'Indirect Costs'!BL$8)</f>
        <v>0</v>
      </c>
      <c r="BM110" s="48">
        <f>SUMIFS(Imput[[Importe Neto]:[Importe Neto]],Imput[[C. Imp.]:[C. Imp.]],'Indirect Costs'!$C110,Imput[[PERIODO Imp.]:[PERIODO Imp.]],'Indirect Costs'!BM$8)</f>
        <v>0</v>
      </c>
      <c r="BN110" s="48">
        <f>SUMIFS(Imput[[Importe Neto]:[Importe Neto]],Imput[[C. Imp.]:[C. Imp.]],'Indirect Costs'!$C110,Imput[[PERIODO Imp.]:[PERIODO Imp.]],'Indirect Costs'!BN$8)</f>
        <v>2328.0039999999999</v>
      </c>
      <c r="BO110" s="48">
        <f>SUMIFS(Imput[[Importe Neto]:[Importe Neto]],Imput[[C. Imp.]:[C. Imp.]],'Indirect Costs'!$C110,Imput[[PERIODO Imp.]:[PERIODO Imp.]],'Indirect Costs'!BO$8)</f>
        <v>0</v>
      </c>
      <c r="BP110" s="48">
        <f>SUMIFS(Imput[[Importe Neto]:[Importe Neto]],Imput[[C. Imp.]:[C. Imp.]],'Indirect Costs'!$C110,Imput[[PERIODO Imp.]:[PERIODO Imp.]],'Indirect Costs'!BP$8)</f>
        <v>68.998168039999996</v>
      </c>
      <c r="BQ110" s="48">
        <f>SUMIFS(Imput[[Importe Neto]:[Importe Neto]],Imput[[C. Imp.]:[C. Imp.]],'Indirect Costs'!$C110,Imput[[PERIODO Imp.]:[PERIODO Imp.]],'Indirect Costs'!BQ$8)</f>
        <v>0</v>
      </c>
      <c r="BR110" s="48">
        <f>SUMIFS(Imput[[Importe Neto]:[Importe Neto]],Imput[[C. Imp.]:[C. Imp.]],'Indirect Costs'!$C110,Imput[[PERIODO Imp.]:[PERIODO Imp.]],'Indirect Costs'!BR$8)</f>
        <v>0</v>
      </c>
      <c r="BS110" s="48">
        <f>SUMIFS(Imput[[Importe Neto]:[Importe Neto]],Imput[[C. Imp.]:[C. Imp.]],'Indirect Costs'!$C110,Imput[[PERIODO Imp.]:[PERIODO Imp.]],'Indirect Costs'!BS$8)</f>
        <v>0</v>
      </c>
      <c r="BT110" s="48">
        <f>SUMIFS(Imput[[Importe Neto]:[Importe Neto]],Imput[[C. Imp.]:[C. Imp.]],'Indirect Costs'!$C110,Imput[[PERIODO Imp.]:[PERIODO Imp.]],'Indirect Costs'!BT$8)</f>
        <v>0</v>
      </c>
      <c r="BU110" s="48">
        <f>SUMIFS(Imput[[Importe Neto]:[Importe Neto]],Imput[[C. Imp.]:[C. Imp.]],'Indirect Costs'!$C110,Imput[[PERIODO Imp.]:[PERIODO Imp.]],'Indirect Costs'!BU$8)</f>
        <v>0</v>
      </c>
      <c r="BV110" s="48">
        <f>SUMIFS(Imput[[Importe Neto]:[Importe Neto]],Imput[[C. Imp.]:[C. Imp.]],'Indirect Costs'!$C110,Imput[[PERIODO Imp.]:[PERIODO Imp.]],'Indirect Costs'!BV$8)</f>
        <v>0</v>
      </c>
      <c r="BW110" s="48">
        <f>SUMIFS(Imput[[Importe Neto]:[Importe Neto]],Imput[[C. Imp.]:[C. Imp.]],'Indirect Costs'!$C110,Imput[[PERIODO Imp.]:[PERIODO Imp.]],'Indirect Costs'!BW$8)</f>
        <v>0</v>
      </c>
      <c r="BX110" s="48">
        <f>SUMIFS(Imput[[Importe Neto]:[Importe Neto]],Imput[[C. Imp.]:[C. Imp.]],'Indirect Costs'!$C110,Imput[[PERIODO Imp.]:[PERIODO Imp.]],'Indirect Costs'!BX$8)</f>
        <v>0</v>
      </c>
      <c r="BY110" s="48">
        <f>SUMIFS(Imput[[Importe Neto]:[Importe Neto]],Imput[[C. Imp.]:[C. Imp.]],'Indirect Costs'!$C110,Imput[[PERIODO Imp.]:[PERIODO Imp.]],'Indirect Costs'!BY$8)</f>
        <v>0</v>
      </c>
      <c r="BZ110" s="48">
        <f>SUMIFS(Imput[[Importe Neto]:[Importe Neto]],Imput[[C. Imp.]:[C. Imp.]],'Indirect Costs'!$C110,Imput[[PERIODO Imp.]:[PERIODO Imp.]],'Indirect Costs'!BZ$8)</f>
        <v>0</v>
      </c>
      <c r="CA110" s="48">
        <f>SUMIFS(Imput[[Importe Neto]:[Importe Neto]],Imput[[C. Imp.]:[C. Imp.]],'Indirect Costs'!$C110,Imput[[PERIODO Imp.]:[PERIODO Imp.]],'Indirect Costs'!CA$8)</f>
        <v>0</v>
      </c>
      <c r="CB110" s="48">
        <f>SUMIFS(Imput[[Importe Neto]:[Importe Neto]],Imput[[C. Imp.]:[C. Imp.]],'Indirect Costs'!$C110,Imput[[PERIODO Imp.]:[PERIODO Imp.]],'Indirect Costs'!CB$8)</f>
        <v>0</v>
      </c>
      <c r="CC110" s="48">
        <f>SUMIFS(Imput[[Importe Neto]:[Importe Neto]],Imput[[C. Imp.]:[C. Imp.]],'Indirect Costs'!$C110,Imput[[PERIODO Imp.]:[PERIODO Imp.]],'Indirect Costs'!CC$8)</f>
        <v>0</v>
      </c>
      <c r="CD110" s="48">
        <f>SUMIFS(Imput[[Importe Neto]:[Importe Neto]],Imput[[C. Imp.]:[C. Imp.]],'Indirect Costs'!$C110,Imput[[PERIODO Imp.]:[PERIODO Imp.]],'Indirect Costs'!CD$8)</f>
        <v>0</v>
      </c>
      <c r="CE110" s="48">
        <f>SUMIFS(Imput[[Importe Neto]:[Importe Neto]],Imput[[C. Imp.]:[C. Imp.]],'Indirect Costs'!$C110,Imput[[PERIODO Imp.]:[PERIODO Imp.]],'Indirect Costs'!CE$8)</f>
        <v>0</v>
      </c>
      <c r="CF110" s="48">
        <f>SUMIFS(Imput[[Importe Neto]:[Importe Neto]],Imput[[C. Imp.]:[C. Imp.]],'Indirect Costs'!$C110,Imput[[PERIODO Imp.]:[PERIODO Imp.]],'Indirect Costs'!CF$8)</f>
        <v>0</v>
      </c>
      <c r="CG110" s="48">
        <f>SUMIFS(Imput[[Importe Neto]:[Importe Neto]],Imput[[C. Imp.]:[C. Imp.]],'Indirect Costs'!$C110,Imput[[PERIODO Imp.]:[PERIODO Imp.]],'Indirect Costs'!CG$8)</f>
        <v>0</v>
      </c>
      <c r="CH110" s="48">
        <f>SUMIFS(Imput[[Importe Neto]:[Importe Neto]],Imput[[C. Imp.]:[C. Imp.]],'Indirect Costs'!$C110,Imput[[PERIODO Imp.]:[PERIODO Imp.]],'Indirect Costs'!CH$8)</f>
        <v>0</v>
      </c>
      <c r="CI110" s="48">
        <f>SUMIFS(Imput[[Importe Neto]:[Importe Neto]],Imput[[C. Imp.]:[C. Imp.]],'Indirect Costs'!$C110,Imput[[PERIODO Imp.]:[PERIODO Imp.]],'Indirect Costs'!CI$8)</f>
        <v>0</v>
      </c>
      <c r="CJ110" s="48">
        <f>SUMIFS(Imput[[Importe Neto]:[Importe Neto]],Imput[[C. Imp.]:[C. Imp.]],'Indirect Costs'!$C110,Imput[[PERIODO Imp.]:[PERIODO Imp.]],'Indirect Costs'!CJ$8)</f>
        <v>0</v>
      </c>
      <c r="CK110" s="48">
        <f>SUMIFS(Imput[[Importe Neto]:[Importe Neto]],Imput[[C. Imp.]:[C. Imp.]],'Indirect Costs'!$C110,Imput[[PERIODO Imp.]:[PERIODO Imp.]],'Indirect Costs'!CK$8)</f>
        <v>0</v>
      </c>
      <c r="CL110" s="48">
        <f>SUMIFS(Imput[[Importe Neto]:[Importe Neto]],Imput[[C. Imp.]:[C. Imp.]],'Indirect Costs'!$C110,Imput[[PERIODO Imp.]:[PERIODO Imp.]],'Indirect Costs'!CL$8)</f>
        <v>0</v>
      </c>
      <c r="CM110" s="48">
        <f>SUMIFS(Imput[[Importe Neto]:[Importe Neto]],Imput[[C. Imp.]:[C. Imp.]],'Indirect Costs'!$C110,Imput[[PERIODO Imp.]:[PERIODO Imp.]],'Indirect Costs'!CM$8)</f>
        <v>0</v>
      </c>
      <c r="CN110" s="48">
        <f>SUMIFS(Imput[[Importe Neto]:[Importe Neto]],Imput[[C. Imp.]:[C. Imp.]],'Indirect Costs'!$C110,Imput[[PERIODO Imp.]:[PERIODO Imp.]],'Indirect Costs'!CN$8)</f>
        <v>0</v>
      </c>
      <c r="CO110" s="48">
        <f>SUMIFS(Imput[[Importe Neto]:[Importe Neto]],Imput[[C. Imp.]:[C. Imp.]],'Indirect Costs'!$C110,Imput[[PERIODO Imp.]:[PERIODO Imp.]],'Indirect Costs'!CO$8)</f>
        <v>0</v>
      </c>
      <c r="CP110" s="48">
        <f>SUMIFS(Imput[[Importe Neto]:[Importe Neto]],Imput[[C. Imp.]:[C. Imp.]],'Indirect Costs'!$C110,Imput[[PERIODO Imp.]:[PERIODO Imp.]],'Indirect Costs'!CP$8)</f>
        <v>0</v>
      </c>
      <c r="CQ110" s="48">
        <f>SUMIFS(Imput[[Importe Neto]:[Importe Neto]],Imput[[C. Imp.]:[C. Imp.]],'Indirect Costs'!$C110,Imput[[PERIODO Imp.]:[PERIODO Imp.]],'Indirect Costs'!CQ$8)</f>
        <v>0</v>
      </c>
      <c r="CR110" s="48">
        <f>SUMIFS(Imput[[Importe Neto]:[Importe Neto]],Imput[[C. Imp.]:[C. Imp.]],'Indirect Costs'!$C110,Imput[[PERIODO Imp.]:[PERIODO Imp.]],'Indirect Costs'!CR$8)</f>
        <v>0</v>
      </c>
      <c r="CS110" s="48">
        <f>SUMIFS(Imput[[Importe Neto]:[Importe Neto]],Imput[[C. Imp.]:[C. Imp.]],'Indirect Costs'!$C110,Imput[[PERIODO Imp.]:[PERIODO Imp.]],'Indirect Costs'!CS$8)</f>
        <v>0</v>
      </c>
      <c r="CT110" s="48">
        <f>SUMIFS(Imput[[Importe Neto]:[Importe Neto]],Imput[[C. Imp.]:[C. Imp.]],'Indirect Costs'!$C110,Imput[[PERIODO Imp.]:[PERIODO Imp.]],'Indirect Costs'!CT$8)</f>
        <v>0</v>
      </c>
      <c r="CU110" s="48">
        <f>SUMIFS(Imput[[Importe Neto]:[Importe Neto]],Imput[[C. Imp.]:[C. Imp.]],'Indirect Costs'!$C110,Imput[[PERIODO Imp.]:[PERIODO Imp.]],'Indirect Costs'!CU$8)</f>
        <v>0</v>
      </c>
      <c r="CV110" s="48">
        <f>SUMIFS(Imput[[Importe Neto]:[Importe Neto]],Imput[[C. Imp.]:[C. Imp.]],'Indirect Costs'!$C110,Imput[[PERIODO Imp.]:[PERIODO Imp.]],'Indirect Costs'!CV$8)</f>
        <v>0</v>
      </c>
      <c r="CW110" s="48">
        <f>SUMIFS(Imput[[Importe Neto]:[Importe Neto]],Imput[[C. Imp.]:[C. Imp.]],'Indirect Costs'!$C110,Imput[[PERIODO Imp.]:[PERIODO Imp.]],'Indirect Costs'!CW$8)</f>
        <v>0</v>
      </c>
      <c r="CX110" s="48">
        <f>SUMIFS(Imput[[Importe Neto]:[Importe Neto]],Imput[[C. Imp.]:[C. Imp.]],'Indirect Costs'!$C110,Imput[[PERIODO Imp.]:[PERIODO Imp.]],'Indirect Costs'!CX$8)</f>
        <v>0</v>
      </c>
      <c r="CY110" s="48">
        <f>SUMIFS(Imput[[Importe Neto]:[Importe Neto]],Imput[[C. Imp.]:[C. Imp.]],'Indirect Costs'!$C110,Imput[[PERIODO Imp.]:[PERIODO Imp.]],'Indirect Costs'!CY$8)</f>
        <v>0</v>
      </c>
      <c r="CZ110" s="48">
        <f>SUMIFS(Imput[[Importe Neto]:[Importe Neto]],Imput[[C. Imp.]:[C. Imp.]],'Indirect Costs'!$C110,Imput[[PERIODO Imp.]:[PERIODO Imp.]],'Indirect Costs'!CZ$8)</f>
        <v>0</v>
      </c>
      <c r="DA110" s="48">
        <f>SUMIFS(Imput[[Importe Neto]:[Importe Neto]],Imput[[C. Imp.]:[C. Imp.]],'Indirect Costs'!$C110,Imput[[PERIODO Imp.]:[PERIODO Imp.]],'Indirect Costs'!DA$8)</f>
        <v>0</v>
      </c>
      <c r="DB110" s="48">
        <f>SUMIFS(Imput[[Importe Neto]:[Importe Neto]],Imput[[C. Imp.]:[C. Imp.]],'Indirect Costs'!$C110,Imput[[PERIODO Imp.]:[PERIODO Imp.]],'Indirect Costs'!DB$8)</f>
        <v>0</v>
      </c>
      <c r="DC110" s="48">
        <f>SUMIFS(Imput[[Importe Neto]:[Importe Neto]],Imput[[C. Imp.]:[C. Imp.]],'Indirect Costs'!$C110,Imput[[PERIODO Imp.]:[PERIODO Imp.]],'Indirect Costs'!DC$8)</f>
        <v>0</v>
      </c>
      <c r="DD110" s="48">
        <f>SUMIFS(Imput[[Importe Neto]:[Importe Neto]],Imput[[C. Imp.]:[C. Imp.]],'Indirect Costs'!$C110,Imput[[PERIODO Imp.]:[PERIODO Imp.]],'Indirect Costs'!DD$8)</f>
        <v>0</v>
      </c>
      <c r="DE110" s="48">
        <f>SUMIFS(Imput[[Importe Neto]:[Importe Neto]],Imput[[C. Imp.]:[C. Imp.]],'Indirect Costs'!$C110,Imput[[PERIODO Imp.]:[PERIODO Imp.]],'Indirect Costs'!DE$8)</f>
        <v>0</v>
      </c>
      <c r="DF110" s="143">
        <f>SUMIFS(Imput[[Importe Neto]:[Importe Neto]],Imput[[C. Imp.]:[C. Imp.]],'Indirect Costs'!$C110,Imput[[PERIODO Imp.]:[PERIODO Imp.]],'Indirect Costs'!DF$8)</f>
        <v>0</v>
      </c>
    </row>
    <row r="111" spans="1:110" outlineLevel="1" x14ac:dyDescent="0.25">
      <c r="A111" s="28" t="str">
        <f t="shared" si="14"/>
        <v/>
      </c>
      <c r="B111" s="50">
        <v>20</v>
      </c>
      <c r="C111" s="57" t="s">
        <v>1787</v>
      </c>
      <c r="D111" s="56" t="s">
        <v>616</v>
      </c>
      <c r="E111" s="57" t="s">
        <v>616</v>
      </c>
      <c r="F111" s="58">
        <v>2500</v>
      </c>
      <c r="G111" s="49"/>
      <c r="H111" s="51">
        <v>2</v>
      </c>
      <c r="I111" s="505">
        <f t="shared" si="22"/>
        <v>0</v>
      </c>
      <c r="J111" s="47"/>
      <c r="K111" s="142"/>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143"/>
      <c r="BG111" s="47"/>
      <c r="BH111" s="509"/>
      <c r="BI111" s="505">
        <f t="shared" si="15"/>
        <v>0</v>
      </c>
      <c r="BJ111" s="47"/>
      <c r="BK111" s="142">
        <f>SUMIFS(Imput[[Importe Neto]:[Importe Neto]],Imput[[C. Imp.]:[C. Imp.]],'Indirect Costs'!$C111,Imput[[PERIODO Imp.]:[PERIODO Imp.]],'Indirect Costs'!BK$8)</f>
        <v>0</v>
      </c>
      <c r="BL111" s="48">
        <f>SUMIFS(Imput[[Importe Neto]:[Importe Neto]],Imput[[C. Imp.]:[C. Imp.]],'Indirect Costs'!$C111,Imput[[PERIODO Imp.]:[PERIODO Imp.]],'Indirect Costs'!BL$8)</f>
        <v>0</v>
      </c>
      <c r="BM111" s="48">
        <f>SUMIFS(Imput[[Importe Neto]:[Importe Neto]],Imput[[C. Imp.]:[C. Imp.]],'Indirect Costs'!$C111,Imput[[PERIODO Imp.]:[PERIODO Imp.]],'Indirect Costs'!BM$8)</f>
        <v>0</v>
      </c>
      <c r="BN111" s="48">
        <f>SUMIFS(Imput[[Importe Neto]:[Importe Neto]],Imput[[C. Imp.]:[C. Imp.]],'Indirect Costs'!$C111,Imput[[PERIODO Imp.]:[PERIODO Imp.]],'Indirect Costs'!BN$8)</f>
        <v>0</v>
      </c>
      <c r="BO111" s="48">
        <f>SUMIFS(Imput[[Importe Neto]:[Importe Neto]],Imput[[C. Imp.]:[C. Imp.]],'Indirect Costs'!$C111,Imput[[PERIODO Imp.]:[PERIODO Imp.]],'Indirect Costs'!BO$8)</f>
        <v>0</v>
      </c>
      <c r="BP111" s="48">
        <f>SUMIFS(Imput[[Importe Neto]:[Importe Neto]],Imput[[C. Imp.]:[C. Imp.]],'Indirect Costs'!$C111,Imput[[PERIODO Imp.]:[PERIODO Imp.]],'Indirect Costs'!BP$8)</f>
        <v>0</v>
      </c>
      <c r="BQ111" s="48">
        <f>SUMIFS(Imput[[Importe Neto]:[Importe Neto]],Imput[[C. Imp.]:[C. Imp.]],'Indirect Costs'!$C111,Imput[[PERIODO Imp.]:[PERIODO Imp.]],'Indirect Costs'!BQ$8)</f>
        <v>0</v>
      </c>
      <c r="BR111" s="48">
        <f>SUMIFS(Imput[[Importe Neto]:[Importe Neto]],Imput[[C. Imp.]:[C. Imp.]],'Indirect Costs'!$C111,Imput[[PERIODO Imp.]:[PERIODO Imp.]],'Indirect Costs'!BR$8)</f>
        <v>0</v>
      </c>
      <c r="BS111" s="48">
        <f>SUMIFS(Imput[[Importe Neto]:[Importe Neto]],Imput[[C. Imp.]:[C. Imp.]],'Indirect Costs'!$C111,Imput[[PERIODO Imp.]:[PERIODO Imp.]],'Indirect Costs'!BS$8)</f>
        <v>0</v>
      </c>
      <c r="BT111" s="48">
        <f>SUMIFS(Imput[[Importe Neto]:[Importe Neto]],Imput[[C. Imp.]:[C. Imp.]],'Indirect Costs'!$C111,Imput[[PERIODO Imp.]:[PERIODO Imp.]],'Indirect Costs'!BT$8)</f>
        <v>0</v>
      </c>
      <c r="BU111" s="48">
        <f>SUMIFS(Imput[[Importe Neto]:[Importe Neto]],Imput[[C. Imp.]:[C. Imp.]],'Indirect Costs'!$C111,Imput[[PERIODO Imp.]:[PERIODO Imp.]],'Indirect Costs'!BU$8)</f>
        <v>0</v>
      </c>
      <c r="BV111" s="48">
        <f>SUMIFS(Imput[[Importe Neto]:[Importe Neto]],Imput[[C. Imp.]:[C. Imp.]],'Indirect Costs'!$C111,Imput[[PERIODO Imp.]:[PERIODO Imp.]],'Indirect Costs'!BV$8)</f>
        <v>0</v>
      </c>
      <c r="BW111" s="48">
        <f>SUMIFS(Imput[[Importe Neto]:[Importe Neto]],Imput[[C. Imp.]:[C. Imp.]],'Indirect Costs'!$C111,Imput[[PERIODO Imp.]:[PERIODO Imp.]],'Indirect Costs'!BW$8)</f>
        <v>0</v>
      </c>
      <c r="BX111" s="48">
        <f>SUMIFS(Imput[[Importe Neto]:[Importe Neto]],Imput[[C. Imp.]:[C. Imp.]],'Indirect Costs'!$C111,Imput[[PERIODO Imp.]:[PERIODO Imp.]],'Indirect Costs'!BX$8)</f>
        <v>0</v>
      </c>
      <c r="BY111" s="48">
        <f>SUMIFS(Imput[[Importe Neto]:[Importe Neto]],Imput[[C. Imp.]:[C. Imp.]],'Indirect Costs'!$C111,Imput[[PERIODO Imp.]:[PERIODO Imp.]],'Indirect Costs'!BY$8)</f>
        <v>0</v>
      </c>
      <c r="BZ111" s="48">
        <f>SUMIFS(Imput[[Importe Neto]:[Importe Neto]],Imput[[C. Imp.]:[C. Imp.]],'Indirect Costs'!$C111,Imput[[PERIODO Imp.]:[PERIODO Imp.]],'Indirect Costs'!BZ$8)</f>
        <v>0</v>
      </c>
      <c r="CA111" s="48">
        <f>SUMIFS(Imput[[Importe Neto]:[Importe Neto]],Imput[[C. Imp.]:[C. Imp.]],'Indirect Costs'!$C111,Imput[[PERIODO Imp.]:[PERIODO Imp.]],'Indirect Costs'!CA$8)</f>
        <v>0</v>
      </c>
      <c r="CB111" s="48">
        <f>SUMIFS(Imput[[Importe Neto]:[Importe Neto]],Imput[[C. Imp.]:[C. Imp.]],'Indirect Costs'!$C111,Imput[[PERIODO Imp.]:[PERIODO Imp.]],'Indirect Costs'!CB$8)</f>
        <v>0</v>
      </c>
      <c r="CC111" s="48">
        <f>SUMIFS(Imput[[Importe Neto]:[Importe Neto]],Imput[[C. Imp.]:[C. Imp.]],'Indirect Costs'!$C111,Imput[[PERIODO Imp.]:[PERIODO Imp.]],'Indirect Costs'!CC$8)</f>
        <v>0</v>
      </c>
      <c r="CD111" s="48">
        <f>SUMIFS(Imput[[Importe Neto]:[Importe Neto]],Imput[[C. Imp.]:[C. Imp.]],'Indirect Costs'!$C111,Imput[[PERIODO Imp.]:[PERIODO Imp.]],'Indirect Costs'!CD$8)</f>
        <v>0</v>
      </c>
      <c r="CE111" s="48">
        <f>SUMIFS(Imput[[Importe Neto]:[Importe Neto]],Imput[[C. Imp.]:[C. Imp.]],'Indirect Costs'!$C111,Imput[[PERIODO Imp.]:[PERIODO Imp.]],'Indirect Costs'!CE$8)</f>
        <v>0</v>
      </c>
      <c r="CF111" s="48">
        <f>SUMIFS(Imput[[Importe Neto]:[Importe Neto]],Imput[[C. Imp.]:[C. Imp.]],'Indirect Costs'!$C111,Imput[[PERIODO Imp.]:[PERIODO Imp.]],'Indirect Costs'!CF$8)</f>
        <v>0</v>
      </c>
      <c r="CG111" s="48">
        <f>SUMIFS(Imput[[Importe Neto]:[Importe Neto]],Imput[[C. Imp.]:[C. Imp.]],'Indirect Costs'!$C111,Imput[[PERIODO Imp.]:[PERIODO Imp.]],'Indirect Costs'!CG$8)</f>
        <v>0</v>
      </c>
      <c r="CH111" s="48">
        <f>SUMIFS(Imput[[Importe Neto]:[Importe Neto]],Imput[[C. Imp.]:[C. Imp.]],'Indirect Costs'!$C111,Imput[[PERIODO Imp.]:[PERIODO Imp.]],'Indirect Costs'!CH$8)</f>
        <v>0</v>
      </c>
      <c r="CI111" s="48">
        <f>SUMIFS(Imput[[Importe Neto]:[Importe Neto]],Imput[[C. Imp.]:[C. Imp.]],'Indirect Costs'!$C111,Imput[[PERIODO Imp.]:[PERIODO Imp.]],'Indirect Costs'!CI$8)</f>
        <v>0</v>
      </c>
      <c r="CJ111" s="48">
        <f>SUMIFS(Imput[[Importe Neto]:[Importe Neto]],Imput[[C. Imp.]:[C. Imp.]],'Indirect Costs'!$C111,Imput[[PERIODO Imp.]:[PERIODO Imp.]],'Indirect Costs'!CJ$8)</f>
        <v>0</v>
      </c>
      <c r="CK111" s="48">
        <f>SUMIFS(Imput[[Importe Neto]:[Importe Neto]],Imput[[C. Imp.]:[C. Imp.]],'Indirect Costs'!$C111,Imput[[PERIODO Imp.]:[PERIODO Imp.]],'Indirect Costs'!CK$8)</f>
        <v>0</v>
      </c>
      <c r="CL111" s="48">
        <f>SUMIFS(Imput[[Importe Neto]:[Importe Neto]],Imput[[C. Imp.]:[C. Imp.]],'Indirect Costs'!$C111,Imput[[PERIODO Imp.]:[PERIODO Imp.]],'Indirect Costs'!CL$8)</f>
        <v>0</v>
      </c>
      <c r="CM111" s="48">
        <f>SUMIFS(Imput[[Importe Neto]:[Importe Neto]],Imput[[C. Imp.]:[C. Imp.]],'Indirect Costs'!$C111,Imput[[PERIODO Imp.]:[PERIODO Imp.]],'Indirect Costs'!CM$8)</f>
        <v>0</v>
      </c>
      <c r="CN111" s="48">
        <f>SUMIFS(Imput[[Importe Neto]:[Importe Neto]],Imput[[C. Imp.]:[C. Imp.]],'Indirect Costs'!$C111,Imput[[PERIODO Imp.]:[PERIODO Imp.]],'Indirect Costs'!CN$8)</f>
        <v>0</v>
      </c>
      <c r="CO111" s="48">
        <f>SUMIFS(Imput[[Importe Neto]:[Importe Neto]],Imput[[C. Imp.]:[C. Imp.]],'Indirect Costs'!$C111,Imput[[PERIODO Imp.]:[PERIODO Imp.]],'Indirect Costs'!CO$8)</f>
        <v>0</v>
      </c>
      <c r="CP111" s="48">
        <f>SUMIFS(Imput[[Importe Neto]:[Importe Neto]],Imput[[C. Imp.]:[C. Imp.]],'Indirect Costs'!$C111,Imput[[PERIODO Imp.]:[PERIODO Imp.]],'Indirect Costs'!CP$8)</f>
        <v>0</v>
      </c>
      <c r="CQ111" s="48">
        <f>SUMIFS(Imput[[Importe Neto]:[Importe Neto]],Imput[[C. Imp.]:[C. Imp.]],'Indirect Costs'!$C111,Imput[[PERIODO Imp.]:[PERIODO Imp.]],'Indirect Costs'!CQ$8)</f>
        <v>0</v>
      </c>
      <c r="CR111" s="48">
        <f>SUMIFS(Imput[[Importe Neto]:[Importe Neto]],Imput[[C. Imp.]:[C. Imp.]],'Indirect Costs'!$C111,Imput[[PERIODO Imp.]:[PERIODO Imp.]],'Indirect Costs'!CR$8)</f>
        <v>0</v>
      </c>
      <c r="CS111" s="48">
        <f>SUMIFS(Imput[[Importe Neto]:[Importe Neto]],Imput[[C. Imp.]:[C. Imp.]],'Indirect Costs'!$C111,Imput[[PERIODO Imp.]:[PERIODO Imp.]],'Indirect Costs'!CS$8)</f>
        <v>0</v>
      </c>
      <c r="CT111" s="48">
        <f>SUMIFS(Imput[[Importe Neto]:[Importe Neto]],Imput[[C. Imp.]:[C. Imp.]],'Indirect Costs'!$C111,Imput[[PERIODO Imp.]:[PERIODO Imp.]],'Indirect Costs'!CT$8)</f>
        <v>0</v>
      </c>
      <c r="CU111" s="48">
        <f>SUMIFS(Imput[[Importe Neto]:[Importe Neto]],Imput[[C. Imp.]:[C. Imp.]],'Indirect Costs'!$C111,Imput[[PERIODO Imp.]:[PERIODO Imp.]],'Indirect Costs'!CU$8)</f>
        <v>0</v>
      </c>
      <c r="CV111" s="48">
        <f>SUMIFS(Imput[[Importe Neto]:[Importe Neto]],Imput[[C. Imp.]:[C. Imp.]],'Indirect Costs'!$C111,Imput[[PERIODO Imp.]:[PERIODO Imp.]],'Indirect Costs'!CV$8)</f>
        <v>0</v>
      </c>
      <c r="CW111" s="48">
        <f>SUMIFS(Imput[[Importe Neto]:[Importe Neto]],Imput[[C. Imp.]:[C. Imp.]],'Indirect Costs'!$C111,Imput[[PERIODO Imp.]:[PERIODO Imp.]],'Indirect Costs'!CW$8)</f>
        <v>0</v>
      </c>
      <c r="CX111" s="48">
        <f>SUMIFS(Imput[[Importe Neto]:[Importe Neto]],Imput[[C. Imp.]:[C. Imp.]],'Indirect Costs'!$C111,Imput[[PERIODO Imp.]:[PERIODO Imp.]],'Indirect Costs'!CX$8)</f>
        <v>0</v>
      </c>
      <c r="CY111" s="48">
        <f>SUMIFS(Imput[[Importe Neto]:[Importe Neto]],Imput[[C. Imp.]:[C. Imp.]],'Indirect Costs'!$C111,Imput[[PERIODO Imp.]:[PERIODO Imp.]],'Indirect Costs'!CY$8)</f>
        <v>0</v>
      </c>
      <c r="CZ111" s="48">
        <f>SUMIFS(Imput[[Importe Neto]:[Importe Neto]],Imput[[C. Imp.]:[C. Imp.]],'Indirect Costs'!$C111,Imput[[PERIODO Imp.]:[PERIODO Imp.]],'Indirect Costs'!CZ$8)</f>
        <v>0</v>
      </c>
      <c r="DA111" s="48">
        <f>SUMIFS(Imput[[Importe Neto]:[Importe Neto]],Imput[[C. Imp.]:[C. Imp.]],'Indirect Costs'!$C111,Imput[[PERIODO Imp.]:[PERIODO Imp.]],'Indirect Costs'!DA$8)</f>
        <v>0</v>
      </c>
      <c r="DB111" s="48">
        <f>SUMIFS(Imput[[Importe Neto]:[Importe Neto]],Imput[[C. Imp.]:[C. Imp.]],'Indirect Costs'!$C111,Imput[[PERIODO Imp.]:[PERIODO Imp.]],'Indirect Costs'!DB$8)</f>
        <v>0</v>
      </c>
      <c r="DC111" s="48">
        <f>SUMIFS(Imput[[Importe Neto]:[Importe Neto]],Imput[[C. Imp.]:[C. Imp.]],'Indirect Costs'!$C111,Imput[[PERIODO Imp.]:[PERIODO Imp.]],'Indirect Costs'!DC$8)</f>
        <v>0</v>
      </c>
      <c r="DD111" s="48">
        <f>SUMIFS(Imput[[Importe Neto]:[Importe Neto]],Imput[[C. Imp.]:[C. Imp.]],'Indirect Costs'!$C111,Imput[[PERIODO Imp.]:[PERIODO Imp.]],'Indirect Costs'!DD$8)</f>
        <v>0</v>
      </c>
      <c r="DE111" s="48">
        <f>SUMIFS(Imput[[Importe Neto]:[Importe Neto]],Imput[[C. Imp.]:[C. Imp.]],'Indirect Costs'!$C111,Imput[[PERIODO Imp.]:[PERIODO Imp.]],'Indirect Costs'!DE$8)</f>
        <v>0</v>
      </c>
      <c r="DF111" s="143">
        <f>SUMIFS(Imput[[Importe Neto]:[Importe Neto]],Imput[[C. Imp.]:[C. Imp.]],'Indirect Costs'!$C111,Imput[[PERIODO Imp.]:[PERIODO Imp.]],'Indirect Costs'!DF$8)</f>
        <v>0</v>
      </c>
    </row>
    <row r="112" spans="1:110" outlineLevel="1" x14ac:dyDescent="0.25">
      <c r="A112" s="28" t="str">
        <f t="shared" si="14"/>
        <v/>
      </c>
      <c r="B112" s="50">
        <v>21</v>
      </c>
      <c r="C112" s="57" t="s">
        <v>1831</v>
      </c>
      <c r="D112" s="56" t="s">
        <v>617</v>
      </c>
      <c r="E112" s="57" t="s">
        <v>617</v>
      </c>
      <c r="F112" s="58">
        <v>20000</v>
      </c>
      <c r="G112" s="49"/>
      <c r="H112" s="51">
        <v>1</v>
      </c>
      <c r="I112" s="505">
        <f t="shared" si="22"/>
        <v>0</v>
      </c>
      <c r="J112" s="47"/>
      <c r="K112" s="142"/>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143"/>
      <c r="BG112" s="47"/>
      <c r="BH112" s="509"/>
      <c r="BI112" s="505">
        <f t="shared" si="15"/>
        <v>0</v>
      </c>
      <c r="BJ112" s="47"/>
      <c r="BK112" s="142">
        <f>SUMIFS(Imput[[Importe Neto]:[Importe Neto]],Imput[[C. Imp.]:[C. Imp.]],'Indirect Costs'!$C112,Imput[[PERIODO Imp.]:[PERIODO Imp.]],'Indirect Costs'!BK$8)</f>
        <v>0</v>
      </c>
      <c r="BL112" s="48">
        <f>SUMIFS(Imput[[Importe Neto]:[Importe Neto]],Imput[[C. Imp.]:[C. Imp.]],'Indirect Costs'!$C112,Imput[[PERIODO Imp.]:[PERIODO Imp.]],'Indirect Costs'!BL$8)</f>
        <v>0</v>
      </c>
      <c r="BM112" s="48">
        <f>SUMIFS(Imput[[Importe Neto]:[Importe Neto]],Imput[[C. Imp.]:[C. Imp.]],'Indirect Costs'!$C112,Imput[[PERIODO Imp.]:[PERIODO Imp.]],'Indirect Costs'!BM$8)</f>
        <v>0</v>
      </c>
      <c r="BN112" s="48">
        <f>SUMIFS(Imput[[Importe Neto]:[Importe Neto]],Imput[[C. Imp.]:[C. Imp.]],'Indirect Costs'!$C112,Imput[[PERIODO Imp.]:[PERIODO Imp.]],'Indirect Costs'!BN$8)</f>
        <v>0</v>
      </c>
      <c r="BO112" s="48">
        <f>SUMIFS(Imput[[Importe Neto]:[Importe Neto]],Imput[[C. Imp.]:[C. Imp.]],'Indirect Costs'!$C112,Imput[[PERIODO Imp.]:[PERIODO Imp.]],'Indirect Costs'!BO$8)</f>
        <v>0</v>
      </c>
      <c r="BP112" s="48">
        <f>SUMIFS(Imput[[Importe Neto]:[Importe Neto]],Imput[[C. Imp.]:[C. Imp.]],'Indirect Costs'!$C112,Imput[[PERIODO Imp.]:[PERIODO Imp.]],'Indirect Costs'!BP$8)</f>
        <v>0</v>
      </c>
      <c r="BQ112" s="48">
        <f>SUMIFS(Imput[[Importe Neto]:[Importe Neto]],Imput[[C. Imp.]:[C. Imp.]],'Indirect Costs'!$C112,Imput[[PERIODO Imp.]:[PERIODO Imp.]],'Indirect Costs'!BQ$8)</f>
        <v>0</v>
      </c>
      <c r="BR112" s="48">
        <f>SUMIFS(Imput[[Importe Neto]:[Importe Neto]],Imput[[C. Imp.]:[C. Imp.]],'Indirect Costs'!$C112,Imput[[PERIODO Imp.]:[PERIODO Imp.]],'Indirect Costs'!BR$8)</f>
        <v>0</v>
      </c>
      <c r="BS112" s="48">
        <f>SUMIFS(Imput[[Importe Neto]:[Importe Neto]],Imput[[C. Imp.]:[C. Imp.]],'Indirect Costs'!$C112,Imput[[PERIODO Imp.]:[PERIODO Imp.]],'Indirect Costs'!BS$8)</f>
        <v>0</v>
      </c>
      <c r="BT112" s="48">
        <f>SUMIFS(Imput[[Importe Neto]:[Importe Neto]],Imput[[C. Imp.]:[C. Imp.]],'Indirect Costs'!$C112,Imput[[PERIODO Imp.]:[PERIODO Imp.]],'Indirect Costs'!BT$8)</f>
        <v>0</v>
      </c>
      <c r="BU112" s="48">
        <f>SUMIFS(Imput[[Importe Neto]:[Importe Neto]],Imput[[C. Imp.]:[C. Imp.]],'Indirect Costs'!$C112,Imput[[PERIODO Imp.]:[PERIODO Imp.]],'Indirect Costs'!BU$8)</f>
        <v>0</v>
      </c>
      <c r="BV112" s="48">
        <f>SUMIFS(Imput[[Importe Neto]:[Importe Neto]],Imput[[C. Imp.]:[C. Imp.]],'Indirect Costs'!$C112,Imput[[PERIODO Imp.]:[PERIODO Imp.]],'Indirect Costs'!BV$8)</f>
        <v>0</v>
      </c>
      <c r="BW112" s="48">
        <f>SUMIFS(Imput[[Importe Neto]:[Importe Neto]],Imput[[C. Imp.]:[C. Imp.]],'Indirect Costs'!$C112,Imput[[PERIODO Imp.]:[PERIODO Imp.]],'Indirect Costs'!BW$8)</f>
        <v>0</v>
      </c>
      <c r="BX112" s="48">
        <f>SUMIFS(Imput[[Importe Neto]:[Importe Neto]],Imput[[C. Imp.]:[C. Imp.]],'Indirect Costs'!$C112,Imput[[PERIODO Imp.]:[PERIODO Imp.]],'Indirect Costs'!BX$8)</f>
        <v>0</v>
      </c>
      <c r="BY112" s="48">
        <f>SUMIFS(Imput[[Importe Neto]:[Importe Neto]],Imput[[C. Imp.]:[C. Imp.]],'Indirect Costs'!$C112,Imput[[PERIODO Imp.]:[PERIODO Imp.]],'Indirect Costs'!BY$8)</f>
        <v>0</v>
      </c>
      <c r="BZ112" s="48">
        <f>SUMIFS(Imput[[Importe Neto]:[Importe Neto]],Imput[[C. Imp.]:[C. Imp.]],'Indirect Costs'!$C112,Imput[[PERIODO Imp.]:[PERIODO Imp.]],'Indirect Costs'!BZ$8)</f>
        <v>0</v>
      </c>
      <c r="CA112" s="48">
        <f>SUMIFS(Imput[[Importe Neto]:[Importe Neto]],Imput[[C. Imp.]:[C. Imp.]],'Indirect Costs'!$C112,Imput[[PERIODO Imp.]:[PERIODO Imp.]],'Indirect Costs'!CA$8)</f>
        <v>0</v>
      </c>
      <c r="CB112" s="48">
        <f>SUMIFS(Imput[[Importe Neto]:[Importe Neto]],Imput[[C. Imp.]:[C. Imp.]],'Indirect Costs'!$C112,Imput[[PERIODO Imp.]:[PERIODO Imp.]],'Indirect Costs'!CB$8)</f>
        <v>0</v>
      </c>
      <c r="CC112" s="48">
        <f>SUMIFS(Imput[[Importe Neto]:[Importe Neto]],Imput[[C. Imp.]:[C. Imp.]],'Indirect Costs'!$C112,Imput[[PERIODO Imp.]:[PERIODO Imp.]],'Indirect Costs'!CC$8)</f>
        <v>0</v>
      </c>
      <c r="CD112" s="48">
        <f>SUMIFS(Imput[[Importe Neto]:[Importe Neto]],Imput[[C. Imp.]:[C. Imp.]],'Indirect Costs'!$C112,Imput[[PERIODO Imp.]:[PERIODO Imp.]],'Indirect Costs'!CD$8)</f>
        <v>0</v>
      </c>
      <c r="CE112" s="48">
        <f>SUMIFS(Imput[[Importe Neto]:[Importe Neto]],Imput[[C. Imp.]:[C. Imp.]],'Indirect Costs'!$C112,Imput[[PERIODO Imp.]:[PERIODO Imp.]],'Indirect Costs'!CE$8)</f>
        <v>0</v>
      </c>
      <c r="CF112" s="48">
        <f>SUMIFS(Imput[[Importe Neto]:[Importe Neto]],Imput[[C. Imp.]:[C. Imp.]],'Indirect Costs'!$C112,Imput[[PERIODO Imp.]:[PERIODO Imp.]],'Indirect Costs'!CF$8)</f>
        <v>0</v>
      </c>
      <c r="CG112" s="48">
        <f>SUMIFS(Imput[[Importe Neto]:[Importe Neto]],Imput[[C. Imp.]:[C. Imp.]],'Indirect Costs'!$C112,Imput[[PERIODO Imp.]:[PERIODO Imp.]],'Indirect Costs'!CG$8)</f>
        <v>0</v>
      </c>
      <c r="CH112" s="48">
        <f>SUMIFS(Imput[[Importe Neto]:[Importe Neto]],Imput[[C. Imp.]:[C. Imp.]],'Indirect Costs'!$C112,Imput[[PERIODO Imp.]:[PERIODO Imp.]],'Indirect Costs'!CH$8)</f>
        <v>0</v>
      </c>
      <c r="CI112" s="48">
        <f>SUMIFS(Imput[[Importe Neto]:[Importe Neto]],Imput[[C. Imp.]:[C. Imp.]],'Indirect Costs'!$C112,Imput[[PERIODO Imp.]:[PERIODO Imp.]],'Indirect Costs'!CI$8)</f>
        <v>0</v>
      </c>
      <c r="CJ112" s="48">
        <f>SUMIFS(Imput[[Importe Neto]:[Importe Neto]],Imput[[C. Imp.]:[C. Imp.]],'Indirect Costs'!$C112,Imput[[PERIODO Imp.]:[PERIODO Imp.]],'Indirect Costs'!CJ$8)</f>
        <v>0</v>
      </c>
      <c r="CK112" s="48">
        <f>SUMIFS(Imput[[Importe Neto]:[Importe Neto]],Imput[[C. Imp.]:[C. Imp.]],'Indirect Costs'!$C112,Imput[[PERIODO Imp.]:[PERIODO Imp.]],'Indirect Costs'!CK$8)</f>
        <v>0</v>
      </c>
      <c r="CL112" s="48">
        <f>SUMIFS(Imput[[Importe Neto]:[Importe Neto]],Imput[[C. Imp.]:[C. Imp.]],'Indirect Costs'!$C112,Imput[[PERIODO Imp.]:[PERIODO Imp.]],'Indirect Costs'!CL$8)</f>
        <v>0</v>
      </c>
      <c r="CM112" s="48">
        <f>SUMIFS(Imput[[Importe Neto]:[Importe Neto]],Imput[[C. Imp.]:[C. Imp.]],'Indirect Costs'!$C112,Imput[[PERIODO Imp.]:[PERIODO Imp.]],'Indirect Costs'!CM$8)</f>
        <v>0</v>
      </c>
      <c r="CN112" s="48">
        <f>SUMIFS(Imput[[Importe Neto]:[Importe Neto]],Imput[[C. Imp.]:[C. Imp.]],'Indirect Costs'!$C112,Imput[[PERIODO Imp.]:[PERIODO Imp.]],'Indirect Costs'!CN$8)</f>
        <v>0</v>
      </c>
      <c r="CO112" s="48">
        <f>SUMIFS(Imput[[Importe Neto]:[Importe Neto]],Imput[[C. Imp.]:[C. Imp.]],'Indirect Costs'!$C112,Imput[[PERIODO Imp.]:[PERIODO Imp.]],'Indirect Costs'!CO$8)</f>
        <v>0</v>
      </c>
      <c r="CP112" s="48">
        <f>SUMIFS(Imput[[Importe Neto]:[Importe Neto]],Imput[[C. Imp.]:[C. Imp.]],'Indirect Costs'!$C112,Imput[[PERIODO Imp.]:[PERIODO Imp.]],'Indirect Costs'!CP$8)</f>
        <v>0</v>
      </c>
      <c r="CQ112" s="48">
        <f>SUMIFS(Imput[[Importe Neto]:[Importe Neto]],Imput[[C. Imp.]:[C. Imp.]],'Indirect Costs'!$C112,Imput[[PERIODO Imp.]:[PERIODO Imp.]],'Indirect Costs'!CQ$8)</f>
        <v>0</v>
      </c>
      <c r="CR112" s="48">
        <f>SUMIFS(Imput[[Importe Neto]:[Importe Neto]],Imput[[C. Imp.]:[C. Imp.]],'Indirect Costs'!$C112,Imput[[PERIODO Imp.]:[PERIODO Imp.]],'Indirect Costs'!CR$8)</f>
        <v>0</v>
      </c>
      <c r="CS112" s="48">
        <f>SUMIFS(Imput[[Importe Neto]:[Importe Neto]],Imput[[C. Imp.]:[C. Imp.]],'Indirect Costs'!$C112,Imput[[PERIODO Imp.]:[PERIODO Imp.]],'Indirect Costs'!CS$8)</f>
        <v>0</v>
      </c>
      <c r="CT112" s="48">
        <f>SUMIFS(Imput[[Importe Neto]:[Importe Neto]],Imput[[C. Imp.]:[C. Imp.]],'Indirect Costs'!$C112,Imput[[PERIODO Imp.]:[PERIODO Imp.]],'Indirect Costs'!CT$8)</f>
        <v>0</v>
      </c>
      <c r="CU112" s="48">
        <f>SUMIFS(Imput[[Importe Neto]:[Importe Neto]],Imput[[C. Imp.]:[C. Imp.]],'Indirect Costs'!$C112,Imput[[PERIODO Imp.]:[PERIODO Imp.]],'Indirect Costs'!CU$8)</f>
        <v>0</v>
      </c>
      <c r="CV112" s="48">
        <f>SUMIFS(Imput[[Importe Neto]:[Importe Neto]],Imput[[C. Imp.]:[C. Imp.]],'Indirect Costs'!$C112,Imput[[PERIODO Imp.]:[PERIODO Imp.]],'Indirect Costs'!CV$8)</f>
        <v>0</v>
      </c>
      <c r="CW112" s="48">
        <f>SUMIFS(Imput[[Importe Neto]:[Importe Neto]],Imput[[C. Imp.]:[C. Imp.]],'Indirect Costs'!$C112,Imput[[PERIODO Imp.]:[PERIODO Imp.]],'Indirect Costs'!CW$8)</f>
        <v>0</v>
      </c>
      <c r="CX112" s="48">
        <f>SUMIFS(Imput[[Importe Neto]:[Importe Neto]],Imput[[C. Imp.]:[C. Imp.]],'Indirect Costs'!$C112,Imput[[PERIODO Imp.]:[PERIODO Imp.]],'Indirect Costs'!CX$8)</f>
        <v>0</v>
      </c>
      <c r="CY112" s="48">
        <f>SUMIFS(Imput[[Importe Neto]:[Importe Neto]],Imput[[C. Imp.]:[C. Imp.]],'Indirect Costs'!$C112,Imput[[PERIODO Imp.]:[PERIODO Imp.]],'Indirect Costs'!CY$8)</f>
        <v>0</v>
      </c>
      <c r="CZ112" s="48">
        <f>SUMIFS(Imput[[Importe Neto]:[Importe Neto]],Imput[[C. Imp.]:[C. Imp.]],'Indirect Costs'!$C112,Imput[[PERIODO Imp.]:[PERIODO Imp.]],'Indirect Costs'!CZ$8)</f>
        <v>0</v>
      </c>
      <c r="DA112" s="48">
        <f>SUMIFS(Imput[[Importe Neto]:[Importe Neto]],Imput[[C. Imp.]:[C. Imp.]],'Indirect Costs'!$C112,Imput[[PERIODO Imp.]:[PERIODO Imp.]],'Indirect Costs'!DA$8)</f>
        <v>0</v>
      </c>
      <c r="DB112" s="48">
        <f>SUMIFS(Imput[[Importe Neto]:[Importe Neto]],Imput[[C. Imp.]:[C. Imp.]],'Indirect Costs'!$C112,Imput[[PERIODO Imp.]:[PERIODO Imp.]],'Indirect Costs'!DB$8)</f>
        <v>0</v>
      </c>
      <c r="DC112" s="48">
        <f>SUMIFS(Imput[[Importe Neto]:[Importe Neto]],Imput[[C. Imp.]:[C. Imp.]],'Indirect Costs'!$C112,Imput[[PERIODO Imp.]:[PERIODO Imp.]],'Indirect Costs'!DC$8)</f>
        <v>0</v>
      </c>
      <c r="DD112" s="48">
        <f>SUMIFS(Imput[[Importe Neto]:[Importe Neto]],Imput[[C. Imp.]:[C. Imp.]],'Indirect Costs'!$C112,Imput[[PERIODO Imp.]:[PERIODO Imp.]],'Indirect Costs'!DD$8)</f>
        <v>0</v>
      </c>
      <c r="DE112" s="48">
        <f>SUMIFS(Imput[[Importe Neto]:[Importe Neto]],Imput[[C. Imp.]:[C. Imp.]],'Indirect Costs'!$C112,Imput[[PERIODO Imp.]:[PERIODO Imp.]],'Indirect Costs'!DE$8)</f>
        <v>0</v>
      </c>
      <c r="DF112" s="143">
        <f>SUMIFS(Imput[[Importe Neto]:[Importe Neto]],Imput[[C. Imp.]:[C. Imp.]],'Indirect Costs'!$C112,Imput[[PERIODO Imp.]:[PERIODO Imp.]],'Indirect Costs'!DF$8)</f>
        <v>0</v>
      </c>
    </row>
    <row r="113" spans="1:110" outlineLevel="1" x14ac:dyDescent="0.25">
      <c r="A113" s="28" t="str">
        <f t="shared" si="14"/>
        <v/>
      </c>
      <c r="B113" s="50">
        <v>22</v>
      </c>
      <c r="C113" s="57" t="s">
        <v>1832</v>
      </c>
      <c r="D113" s="56" t="s">
        <v>618</v>
      </c>
      <c r="E113" s="57" t="s">
        <v>618</v>
      </c>
      <c r="F113" s="58">
        <v>20000</v>
      </c>
      <c r="G113" s="49"/>
      <c r="H113" s="51">
        <v>1</v>
      </c>
      <c r="I113" s="505">
        <f t="shared" si="22"/>
        <v>0</v>
      </c>
      <c r="J113" s="47"/>
      <c r="K113" s="142"/>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143"/>
      <c r="BG113" s="47"/>
      <c r="BH113" s="509"/>
      <c r="BI113" s="505">
        <f t="shared" si="15"/>
        <v>0</v>
      </c>
      <c r="BJ113" s="47"/>
      <c r="BK113" s="142">
        <f>SUMIFS(Imput[[Importe Neto]:[Importe Neto]],Imput[[C. Imp.]:[C. Imp.]],'Indirect Costs'!$C113,Imput[[PERIODO Imp.]:[PERIODO Imp.]],'Indirect Costs'!BK$8)</f>
        <v>0</v>
      </c>
      <c r="BL113" s="48">
        <f>SUMIFS(Imput[[Importe Neto]:[Importe Neto]],Imput[[C. Imp.]:[C. Imp.]],'Indirect Costs'!$C113,Imput[[PERIODO Imp.]:[PERIODO Imp.]],'Indirect Costs'!BL$8)</f>
        <v>0</v>
      </c>
      <c r="BM113" s="48">
        <f>SUMIFS(Imput[[Importe Neto]:[Importe Neto]],Imput[[C. Imp.]:[C. Imp.]],'Indirect Costs'!$C113,Imput[[PERIODO Imp.]:[PERIODO Imp.]],'Indirect Costs'!BM$8)</f>
        <v>0</v>
      </c>
      <c r="BN113" s="48">
        <f>SUMIFS(Imput[[Importe Neto]:[Importe Neto]],Imput[[C. Imp.]:[C. Imp.]],'Indirect Costs'!$C113,Imput[[PERIODO Imp.]:[PERIODO Imp.]],'Indirect Costs'!BN$8)</f>
        <v>0</v>
      </c>
      <c r="BO113" s="48">
        <f>SUMIFS(Imput[[Importe Neto]:[Importe Neto]],Imput[[C. Imp.]:[C. Imp.]],'Indirect Costs'!$C113,Imput[[PERIODO Imp.]:[PERIODO Imp.]],'Indirect Costs'!BO$8)</f>
        <v>0</v>
      </c>
      <c r="BP113" s="48">
        <f>SUMIFS(Imput[[Importe Neto]:[Importe Neto]],Imput[[C. Imp.]:[C. Imp.]],'Indirect Costs'!$C113,Imput[[PERIODO Imp.]:[PERIODO Imp.]],'Indirect Costs'!BP$8)</f>
        <v>0</v>
      </c>
      <c r="BQ113" s="48">
        <f>SUMIFS(Imput[[Importe Neto]:[Importe Neto]],Imput[[C. Imp.]:[C. Imp.]],'Indirect Costs'!$C113,Imput[[PERIODO Imp.]:[PERIODO Imp.]],'Indirect Costs'!BQ$8)</f>
        <v>0</v>
      </c>
      <c r="BR113" s="48">
        <f>SUMIFS(Imput[[Importe Neto]:[Importe Neto]],Imput[[C. Imp.]:[C. Imp.]],'Indirect Costs'!$C113,Imput[[PERIODO Imp.]:[PERIODO Imp.]],'Indirect Costs'!BR$8)</f>
        <v>0</v>
      </c>
      <c r="BS113" s="48">
        <f>SUMIFS(Imput[[Importe Neto]:[Importe Neto]],Imput[[C. Imp.]:[C. Imp.]],'Indirect Costs'!$C113,Imput[[PERIODO Imp.]:[PERIODO Imp.]],'Indirect Costs'!BS$8)</f>
        <v>0</v>
      </c>
      <c r="BT113" s="48">
        <f>SUMIFS(Imput[[Importe Neto]:[Importe Neto]],Imput[[C. Imp.]:[C. Imp.]],'Indirect Costs'!$C113,Imput[[PERIODO Imp.]:[PERIODO Imp.]],'Indirect Costs'!BT$8)</f>
        <v>0</v>
      </c>
      <c r="BU113" s="48">
        <f>SUMIFS(Imput[[Importe Neto]:[Importe Neto]],Imput[[C. Imp.]:[C. Imp.]],'Indirect Costs'!$C113,Imput[[PERIODO Imp.]:[PERIODO Imp.]],'Indirect Costs'!BU$8)</f>
        <v>0</v>
      </c>
      <c r="BV113" s="48">
        <f>SUMIFS(Imput[[Importe Neto]:[Importe Neto]],Imput[[C. Imp.]:[C. Imp.]],'Indirect Costs'!$C113,Imput[[PERIODO Imp.]:[PERIODO Imp.]],'Indirect Costs'!BV$8)</f>
        <v>0</v>
      </c>
      <c r="BW113" s="48">
        <f>SUMIFS(Imput[[Importe Neto]:[Importe Neto]],Imput[[C. Imp.]:[C. Imp.]],'Indirect Costs'!$C113,Imput[[PERIODO Imp.]:[PERIODO Imp.]],'Indirect Costs'!BW$8)</f>
        <v>0</v>
      </c>
      <c r="BX113" s="48">
        <f>SUMIFS(Imput[[Importe Neto]:[Importe Neto]],Imput[[C. Imp.]:[C. Imp.]],'Indirect Costs'!$C113,Imput[[PERIODO Imp.]:[PERIODO Imp.]],'Indirect Costs'!BX$8)</f>
        <v>0</v>
      </c>
      <c r="BY113" s="48">
        <f>SUMIFS(Imput[[Importe Neto]:[Importe Neto]],Imput[[C. Imp.]:[C. Imp.]],'Indirect Costs'!$C113,Imput[[PERIODO Imp.]:[PERIODO Imp.]],'Indirect Costs'!BY$8)</f>
        <v>0</v>
      </c>
      <c r="BZ113" s="48">
        <f>SUMIFS(Imput[[Importe Neto]:[Importe Neto]],Imput[[C. Imp.]:[C. Imp.]],'Indirect Costs'!$C113,Imput[[PERIODO Imp.]:[PERIODO Imp.]],'Indirect Costs'!BZ$8)</f>
        <v>0</v>
      </c>
      <c r="CA113" s="48">
        <f>SUMIFS(Imput[[Importe Neto]:[Importe Neto]],Imput[[C. Imp.]:[C. Imp.]],'Indirect Costs'!$C113,Imput[[PERIODO Imp.]:[PERIODO Imp.]],'Indirect Costs'!CA$8)</f>
        <v>0</v>
      </c>
      <c r="CB113" s="48">
        <f>SUMIFS(Imput[[Importe Neto]:[Importe Neto]],Imput[[C. Imp.]:[C. Imp.]],'Indirect Costs'!$C113,Imput[[PERIODO Imp.]:[PERIODO Imp.]],'Indirect Costs'!CB$8)</f>
        <v>0</v>
      </c>
      <c r="CC113" s="48">
        <f>SUMIFS(Imput[[Importe Neto]:[Importe Neto]],Imput[[C. Imp.]:[C. Imp.]],'Indirect Costs'!$C113,Imput[[PERIODO Imp.]:[PERIODO Imp.]],'Indirect Costs'!CC$8)</f>
        <v>0</v>
      </c>
      <c r="CD113" s="48">
        <f>SUMIFS(Imput[[Importe Neto]:[Importe Neto]],Imput[[C. Imp.]:[C. Imp.]],'Indirect Costs'!$C113,Imput[[PERIODO Imp.]:[PERIODO Imp.]],'Indirect Costs'!CD$8)</f>
        <v>0</v>
      </c>
      <c r="CE113" s="48">
        <f>SUMIFS(Imput[[Importe Neto]:[Importe Neto]],Imput[[C. Imp.]:[C. Imp.]],'Indirect Costs'!$C113,Imput[[PERIODO Imp.]:[PERIODO Imp.]],'Indirect Costs'!CE$8)</f>
        <v>0</v>
      </c>
      <c r="CF113" s="48">
        <f>SUMIFS(Imput[[Importe Neto]:[Importe Neto]],Imput[[C. Imp.]:[C. Imp.]],'Indirect Costs'!$C113,Imput[[PERIODO Imp.]:[PERIODO Imp.]],'Indirect Costs'!CF$8)</f>
        <v>0</v>
      </c>
      <c r="CG113" s="48">
        <f>SUMIFS(Imput[[Importe Neto]:[Importe Neto]],Imput[[C. Imp.]:[C. Imp.]],'Indirect Costs'!$C113,Imput[[PERIODO Imp.]:[PERIODO Imp.]],'Indirect Costs'!CG$8)</f>
        <v>0</v>
      </c>
      <c r="CH113" s="48">
        <f>SUMIFS(Imput[[Importe Neto]:[Importe Neto]],Imput[[C. Imp.]:[C. Imp.]],'Indirect Costs'!$C113,Imput[[PERIODO Imp.]:[PERIODO Imp.]],'Indirect Costs'!CH$8)</f>
        <v>0</v>
      </c>
      <c r="CI113" s="48">
        <f>SUMIFS(Imput[[Importe Neto]:[Importe Neto]],Imput[[C. Imp.]:[C. Imp.]],'Indirect Costs'!$C113,Imput[[PERIODO Imp.]:[PERIODO Imp.]],'Indirect Costs'!CI$8)</f>
        <v>0</v>
      </c>
      <c r="CJ113" s="48">
        <f>SUMIFS(Imput[[Importe Neto]:[Importe Neto]],Imput[[C. Imp.]:[C. Imp.]],'Indirect Costs'!$C113,Imput[[PERIODO Imp.]:[PERIODO Imp.]],'Indirect Costs'!CJ$8)</f>
        <v>0</v>
      </c>
      <c r="CK113" s="48">
        <f>SUMIFS(Imput[[Importe Neto]:[Importe Neto]],Imput[[C. Imp.]:[C. Imp.]],'Indirect Costs'!$C113,Imput[[PERIODO Imp.]:[PERIODO Imp.]],'Indirect Costs'!CK$8)</f>
        <v>0</v>
      </c>
      <c r="CL113" s="48">
        <f>SUMIFS(Imput[[Importe Neto]:[Importe Neto]],Imput[[C. Imp.]:[C. Imp.]],'Indirect Costs'!$C113,Imput[[PERIODO Imp.]:[PERIODO Imp.]],'Indirect Costs'!CL$8)</f>
        <v>0</v>
      </c>
      <c r="CM113" s="48">
        <f>SUMIFS(Imput[[Importe Neto]:[Importe Neto]],Imput[[C. Imp.]:[C. Imp.]],'Indirect Costs'!$C113,Imput[[PERIODO Imp.]:[PERIODO Imp.]],'Indirect Costs'!CM$8)</f>
        <v>0</v>
      </c>
      <c r="CN113" s="48">
        <f>SUMIFS(Imput[[Importe Neto]:[Importe Neto]],Imput[[C. Imp.]:[C. Imp.]],'Indirect Costs'!$C113,Imput[[PERIODO Imp.]:[PERIODO Imp.]],'Indirect Costs'!CN$8)</f>
        <v>0</v>
      </c>
      <c r="CO113" s="48">
        <f>SUMIFS(Imput[[Importe Neto]:[Importe Neto]],Imput[[C. Imp.]:[C. Imp.]],'Indirect Costs'!$C113,Imput[[PERIODO Imp.]:[PERIODO Imp.]],'Indirect Costs'!CO$8)</f>
        <v>0</v>
      </c>
      <c r="CP113" s="48">
        <f>SUMIFS(Imput[[Importe Neto]:[Importe Neto]],Imput[[C. Imp.]:[C. Imp.]],'Indirect Costs'!$C113,Imput[[PERIODO Imp.]:[PERIODO Imp.]],'Indirect Costs'!CP$8)</f>
        <v>0</v>
      </c>
      <c r="CQ113" s="48">
        <f>SUMIFS(Imput[[Importe Neto]:[Importe Neto]],Imput[[C. Imp.]:[C. Imp.]],'Indirect Costs'!$C113,Imput[[PERIODO Imp.]:[PERIODO Imp.]],'Indirect Costs'!CQ$8)</f>
        <v>0</v>
      </c>
      <c r="CR113" s="48">
        <f>SUMIFS(Imput[[Importe Neto]:[Importe Neto]],Imput[[C. Imp.]:[C. Imp.]],'Indirect Costs'!$C113,Imput[[PERIODO Imp.]:[PERIODO Imp.]],'Indirect Costs'!CR$8)</f>
        <v>0</v>
      </c>
      <c r="CS113" s="48">
        <f>SUMIFS(Imput[[Importe Neto]:[Importe Neto]],Imput[[C. Imp.]:[C. Imp.]],'Indirect Costs'!$C113,Imput[[PERIODO Imp.]:[PERIODO Imp.]],'Indirect Costs'!CS$8)</f>
        <v>0</v>
      </c>
      <c r="CT113" s="48">
        <f>SUMIFS(Imput[[Importe Neto]:[Importe Neto]],Imput[[C. Imp.]:[C. Imp.]],'Indirect Costs'!$C113,Imput[[PERIODO Imp.]:[PERIODO Imp.]],'Indirect Costs'!CT$8)</f>
        <v>0</v>
      </c>
      <c r="CU113" s="48">
        <f>SUMIFS(Imput[[Importe Neto]:[Importe Neto]],Imput[[C. Imp.]:[C. Imp.]],'Indirect Costs'!$C113,Imput[[PERIODO Imp.]:[PERIODO Imp.]],'Indirect Costs'!CU$8)</f>
        <v>0</v>
      </c>
      <c r="CV113" s="48">
        <f>SUMIFS(Imput[[Importe Neto]:[Importe Neto]],Imput[[C. Imp.]:[C. Imp.]],'Indirect Costs'!$C113,Imput[[PERIODO Imp.]:[PERIODO Imp.]],'Indirect Costs'!CV$8)</f>
        <v>0</v>
      </c>
      <c r="CW113" s="48">
        <f>SUMIFS(Imput[[Importe Neto]:[Importe Neto]],Imput[[C. Imp.]:[C. Imp.]],'Indirect Costs'!$C113,Imput[[PERIODO Imp.]:[PERIODO Imp.]],'Indirect Costs'!CW$8)</f>
        <v>0</v>
      </c>
      <c r="CX113" s="48">
        <f>SUMIFS(Imput[[Importe Neto]:[Importe Neto]],Imput[[C. Imp.]:[C. Imp.]],'Indirect Costs'!$C113,Imput[[PERIODO Imp.]:[PERIODO Imp.]],'Indirect Costs'!CX$8)</f>
        <v>0</v>
      </c>
      <c r="CY113" s="48">
        <f>SUMIFS(Imput[[Importe Neto]:[Importe Neto]],Imput[[C. Imp.]:[C. Imp.]],'Indirect Costs'!$C113,Imput[[PERIODO Imp.]:[PERIODO Imp.]],'Indirect Costs'!CY$8)</f>
        <v>0</v>
      </c>
      <c r="CZ113" s="48">
        <f>SUMIFS(Imput[[Importe Neto]:[Importe Neto]],Imput[[C. Imp.]:[C. Imp.]],'Indirect Costs'!$C113,Imput[[PERIODO Imp.]:[PERIODO Imp.]],'Indirect Costs'!CZ$8)</f>
        <v>0</v>
      </c>
      <c r="DA113" s="48">
        <f>SUMIFS(Imput[[Importe Neto]:[Importe Neto]],Imput[[C. Imp.]:[C. Imp.]],'Indirect Costs'!$C113,Imput[[PERIODO Imp.]:[PERIODO Imp.]],'Indirect Costs'!DA$8)</f>
        <v>0</v>
      </c>
      <c r="DB113" s="48">
        <f>SUMIFS(Imput[[Importe Neto]:[Importe Neto]],Imput[[C. Imp.]:[C. Imp.]],'Indirect Costs'!$C113,Imput[[PERIODO Imp.]:[PERIODO Imp.]],'Indirect Costs'!DB$8)</f>
        <v>0</v>
      </c>
      <c r="DC113" s="48">
        <f>SUMIFS(Imput[[Importe Neto]:[Importe Neto]],Imput[[C. Imp.]:[C. Imp.]],'Indirect Costs'!$C113,Imput[[PERIODO Imp.]:[PERIODO Imp.]],'Indirect Costs'!DC$8)</f>
        <v>0</v>
      </c>
      <c r="DD113" s="48">
        <f>SUMIFS(Imput[[Importe Neto]:[Importe Neto]],Imput[[C. Imp.]:[C. Imp.]],'Indirect Costs'!$C113,Imput[[PERIODO Imp.]:[PERIODO Imp.]],'Indirect Costs'!DD$8)</f>
        <v>0</v>
      </c>
      <c r="DE113" s="48">
        <f>SUMIFS(Imput[[Importe Neto]:[Importe Neto]],Imput[[C. Imp.]:[C. Imp.]],'Indirect Costs'!$C113,Imput[[PERIODO Imp.]:[PERIODO Imp.]],'Indirect Costs'!DE$8)</f>
        <v>0</v>
      </c>
      <c r="DF113" s="143">
        <f>SUMIFS(Imput[[Importe Neto]:[Importe Neto]],Imput[[C. Imp.]:[C. Imp.]],'Indirect Costs'!$C113,Imput[[PERIODO Imp.]:[PERIODO Imp.]],'Indirect Costs'!DF$8)</f>
        <v>0</v>
      </c>
    </row>
    <row r="114" spans="1:110" outlineLevel="1" x14ac:dyDescent="0.25">
      <c r="A114" s="28" t="str">
        <f t="shared" si="14"/>
        <v/>
      </c>
      <c r="B114" s="50">
        <v>23</v>
      </c>
      <c r="C114" s="57" t="s">
        <v>1833</v>
      </c>
      <c r="D114" s="56" t="s">
        <v>513</v>
      </c>
      <c r="E114" s="57" t="s">
        <v>513</v>
      </c>
      <c r="F114" s="58">
        <v>20000</v>
      </c>
      <c r="G114" s="49"/>
      <c r="H114" s="51">
        <v>1</v>
      </c>
      <c r="I114" s="505">
        <f t="shared" si="22"/>
        <v>0</v>
      </c>
      <c r="J114" s="47"/>
      <c r="K114" s="142"/>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143"/>
      <c r="BG114" s="47"/>
      <c r="BH114" s="509"/>
      <c r="BI114" s="505">
        <f t="shared" si="15"/>
        <v>0</v>
      </c>
      <c r="BJ114" s="47"/>
      <c r="BK114" s="142">
        <f>SUMIFS(Imput[[Importe Neto]:[Importe Neto]],Imput[[C. Imp.]:[C. Imp.]],'Indirect Costs'!$C114,Imput[[PERIODO Imp.]:[PERIODO Imp.]],'Indirect Costs'!BK$8)</f>
        <v>0</v>
      </c>
      <c r="BL114" s="48">
        <f>SUMIFS(Imput[[Importe Neto]:[Importe Neto]],Imput[[C. Imp.]:[C. Imp.]],'Indirect Costs'!$C114,Imput[[PERIODO Imp.]:[PERIODO Imp.]],'Indirect Costs'!BL$8)</f>
        <v>0</v>
      </c>
      <c r="BM114" s="48">
        <f>SUMIFS(Imput[[Importe Neto]:[Importe Neto]],Imput[[C. Imp.]:[C. Imp.]],'Indirect Costs'!$C114,Imput[[PERIODO Imp.]:[PERIODO Imp.]],'Indirect Costs'!BM$8)</f>
        <v>0</v>
      </c>
      <c r="BN114" s="48">
        <f>SUMIFS(Imput[[Importe Neto]:[Importe Neto]],Imput[[C. Imp.]:[C. Imp.]],'Indirect Costs'!$C114,Imput[[PERIODO Imp.]:[PERIODO Imp.]],'Indirect Costs'!BN$8)</f>
        <v>0</v>
      </c>
      <c r="BO114" s="48">
        <f>SUMIFS(Imput[[Importe Neto]:[Importe Neto]],Imput[[C. Imp.]:[C. Imp.]],'Indirect Costs'!$C114,Imput[[PERIODO Imp.]:[PERIODO Imp.]],'Indirect Costs'!BO$8)</f>
        <v>0</v>
      </c>
      <c r="BP114" s="48">
        <f>SUMIFS(Imput[[Importe Neto]:[Importe Neto]],Imput[[C. Imp.]:[C. Imp.]],'Indirect Costs'!$C114,Imput[[PERIODO Imp.]:[PERIODO Imp.]],'Indirect Costs'!BP$8)</f>
        <v>0</v>
      </c>
      <c r="BQ114" s="48">
        <f>SUMIFS(Imput[[Importe Neto]:[Importe Neto]],Imput[[C. Imp.]:[C. Imp.]],'Indirect Costs'!$C114,Imput[[PERIODO Imp.]:[PERIODO Imp.]],'Indirect Costs'!BQ$8)</f>
        <v>0</v>
      </c>
      <c r="BR114" s="48">
        <f>SUMIFS(Imput[[Importe Neto]:[Importe Neto]],Imput[[C. Imp.]:[C. Imp.]],'Indirect Costs'!$C114,Imput[[PERIODO Imp.]:[PERIODO Imp.]],'Indirect Costs'!BR$8)</f>
        <v>0</v>
      </c>
      <c r="BS114" s="48">
        <f>SUMIFS(Imput[[Importe Neto]:[Importe Neto]],Imput[[C. Imp.]:[C. Imp.]],'Indirect Costs'!$C114,Imput[[PERIODO Imp.]:[PERIODO Imp.]],'Indirect Costs'!BS$8)</f>
        <v>0</v>
      </c>
      <c r="BT114" s="48">
        <f>SUMIFS(Imput[[Importe Neto]:[Importe Neto]],Imput[[C. Imp.]:[C. Imp.]],'Indirect Costs'!$C114,Imput[[PERIODO Imp.]:[PERIODO Imp.]],'Indirect Costs'!BT$8)</f>
        <v>0</v>
      </c>
      <c r="BU114" s="48">
        <f>SUMIFS(Imput[[Importe Neto]:[Importe Neto]],Imput[[C. Imp.]:[C. Imp.]],'Indirect Costs'!$C114,Imput[[PERIODO Imp.]:[PERIODO Imp.]],'Indirect Costs'!BU$8)</f>
        <v>0</v>
      </c>
      <c r="BV114" s="48">
        <f>SUMIFS(Imput[[Importe Neto]:[Importe Neto]],Imput[[C. Imp.]:[C. Imp.]],'Indirect Costs'!$C114,Imput[[PERIODO Imp.]:[PERIODO Imp.]],'Indirect Costs'!BV$8)</f>
        <v>0</v>
      </c>
      <c r="BW114" s="48">
        <f>SUMIFS(Imput[[Importe Neto]:[Importe Neto]],Imput[[C. Imp.]:[C. Imp.]],'Indirect Costs'!$C114,Imput[[PERIODO Imp.]:[PERIODO Imp.]],'Indirect Costs'!BW$8)</f>
        <v>0</v>
      </c>
      <c r="BX114" s="48">
        <f>SUMIFS(Imput[[Importe Neto]:[Importe Neto]],Imput[[C. Imp.]:[C. Imp.]],'Indirect Costs'!$C114,Imput[[PERIODO Imp.]:[PERIODO Imp.]],'Indirect Costs'!BX$8)</f>
        <v>0</v>
      </c>
      <c r="BY114" s="48">
        <f>SUMIFS(Imput[[Importe Neto]:[Importe Neto]],Imput[[C. Imp.]:[C. Imp.]],'Indirect Costs'!$C114,Imput[[PERIODO Imp.]:[PERIODO Imp.]],'Indirect Costs'!BY$8)</f>
        <v>0</v>
      </c>
      <c r="BZ114" s="48">
        <f>SUMIFS(Imput[[Importe Neto]:[Importe Neto]],Imput[[C. Imp.]:[C. Imp.]],'Indirect Costs'!$C114,Imput[[PERIODO Imp.]:[PERIODO Imp.]],'Indirect Costs'!BZ$8)</f>
        <v>0</v>
      </c>
      <c r="CA114" s="48">
        <f>SUMIFS(Imput[[Importe Neto]:[Importe Neto]],Imput[[C. Imp.]:[C. Imp.]],'Indirect Costs'!$C114,Imput[[PERIODO Imp.]:[PERIODO Imp.]],'Indirect Costs'!CA$8)</f>
        <v>0</v>
      </c>
      <c r="CB114" s="48">
        <f>SUMIFS(Imput[[Importe Neto]:[Importe Neto]],Imput[[C. Imp.]:[C. Imp.]],'Indirect Costs'!$C114,Imput[[PERIODO Imp.]:[PERIODO Imp.]],'Indirect Costs'!CB$8)</f>
        <v>0</v>
      </c>
      <c r="CC114" s="48">
        <f>SUMIFS(Imput[[Importe Neto]:[Importe Neto]],Imput[[C. Imp.]:[C. Imp.]],'Indirect Costs'!$C114,Imput[[PERIODO Imp.]:[PERIODO Imp.]],'Indirect Costs'!CC$8)</f>
        <v>0</v>
      </c>
      <c r="CD114" s="48">
        <f>SUMIFS(Imput[[Importe Neto]:[Importe Neto]],Imput[[C. Imp.]:[C. Imp.]],'Indirect Costs'!$C114,Imput[[PERIODO Imp.]:[PERIODO Imp.]],'Indirect Costs'!CD$8)</f>
        <v>0</v>
      </c>
      <c r="CE114" s="48">
        <f>SUMIFS(Imput[[Importe Neto]:[Importe Neto]],Imput[[C. Imp.]:[C. Imp.]],'Indirect Costs'!$C114,Imput[[PERIODO Imp.]:[PERIODO Imp.]],'Indirect Costs'!CE$8)</f>
        <v>0</v>
      </c>
      <c r="CF114" s="48">
        <f>SUMIFS(Imput[[Importe Neto]:[Importe Neto]],Imput[[C. Imp.]:[C. Imp.]],'Indirect Costs'!$C114,Imput[[PERIODO Imp.]:[PERIODO Imp.]],'Indirect Costs'!CF$8)</f>
        <v>0</v>
      </c>
      <c r="CG114" s="48">
        <f>SUMIFS(Imput[[Importe Neto]:[Importe Neto]],Imput[[C. Imp.]:[C. Imp.]],'Indirect Costs'!$C114,Imput[[PERIODO Imp.]:[PERIODO Imp.]],'Indirect Costs'!CG$8)</f>
        <v>0</v>
      </c>
      <c r="CH114" s="48">
        <f>SUMIFS(Imput[[Importe Neto]:[Importe Neto]],Imput[[C. Imp.]:[C. Imp.]],'Indirect Costs'!$C114,Imput[[PERIODO Imp.]:[PERIODO Imp.]],'Indirect Costs'!CH$8)</f>
        <v>0</v>
      </c>
      <c r="CI114" s="48">
        <f>SUMIFS(Imput[[Importe Neto]:[Importe Neto]],Imput[[C. Imp.]:[C. Imp.]],'Indirect Costs'!$C114,Imput[[PERIODO Imp.]:[PERIODO Imp.]],'Indirect Costs'!CI$8)</f>
        <v>0</v>
      </c>
      <c r="CJ114" s="48">
        <f>SUMIFS(Imput[[Importe Neto]:[Importe Neto]],Imput[[C. Imp.]:[C. Imp.]],'Indirect Costs'!$C114,Imput[[PERIODO Imp.]:[PERIODO Imp.]],'Indirect Costs'!CJ$8)</f>
        <v>0</v>
      </c>
      <c r="CK114" s="48">
        <f>SUMIFS(Imput[[Importe Neto]:[Importe Neto]],Imput[[C. Imp.]:[C. Imp.]],'Indirect Costs'!$C114,Imput[[PERIODO Imp.]:[PERIODO Imp.]],'Indirect Costs'!CK$8)</f>
        <v>0</v>
      </c>
      <c r="CL114" s="48">
        <f>SUMIFS(Imput[[Importe Neto]:[Importe Neto]],Imput[[C. Imp.]:[C. Imp.]],'Indirect Costs'!$C114,Imput[[PERIODO Imp.]:[PERIODO Imp.]],'Indirect Costs'!CL$8)</f>
        <v>0</v>
      </c>
      <c r="CM114" s="48">
        <f>SUMIFS(Imput[[Importe Neto]:[Importe Neto]],Imput[[C. Imp.]:[C. Imp.]],'Indirect Costs'!$C114,Imput[[PERIODO Imp.]:[PERIODO Imp.]],'Indirect Costs'!CM$8)</f>
        <v>0</v>
      </c>
      <c r="CN114" s="48">
        <f>SUMIFS(Imput[[Importe Neto]:[Importe Neto]],Imput[[C. Imp.]:[C. Imp.]],'Indirect Costs'!$C114,Imput[[PERIODO Imp.]:[PERIODO Imp.]],'Indirect Costs'!CN$8)</f>
        <v>0</v>
      </c>
      <c r="CO114" s="48">
        <f>SUMIFS(Imput[[Importe Neto]:[Importe Neto]],Imput[[C. Imp.]:[C. Imp.]],'Indirect Costs'!$C114,Imput[[PERIODO Imp.]:[PERIODO Imp.]],'Indirect Costs'!CO$8)</f>
        <v>0</v>
      </c>
      <c r="CP114" s="48">
        <f>SUMIFS(Imput[[Importe Neto]:[Importe Neto]],Imput[[C. Imp.]:[C. Imp.]],'Indirect Costs'!$C114,Imput[[PERIODO Imp.]:[PERIODO Imp.]],'Indirect Costs'!CP$8)</f>
        <v>0</v>
      </c>
      <c r="CQ114" s="48">
        <f>SUMIFS(Imput[[Importe Neto]:[Importe Neto]],Imput[[C. Imp.]:[C. Imp.]],'Indirect Costs'!$C114,Imput[[PERIODO Imp.]:[PERIODO Imp.]],'Indirect Costs'!CQ$8)</f>
        <v>0</v>
      </c>
      <c r="CR114" s="48">
        <f>SUMIFS(Imput[[Importe Neto]:[Importe Neto]],Imput[[C. Imp.]:[C. Imp.]],'Indirect Costs'!$C114,Imput[[PERIODO Imp.]:[PERIODO Imp.]],'Indirect Costs'!CR$8)</f>
        <v>0</v>
      </c>
      <c r="CS114" s="48">
        <f>SUMIFS(Imput[[Importe Neto]:[Importe Neto]],Imput[[C. Imp.]:[C. Imp.]],'Indirect Costs'!$C114,Imput[[PERIODO Imp.]:[PERIODO Imp.]],'Indirect Costs'!CS$8)</f>
        <v>0</v>
      </c>
      <c r="CT114" s="48">
        <f>SUMIFS(Imput[[Importe Neto]:[Importe Neto]],Imput[[C. Imp.]:[C. Imp.]],'Indirect Costs'!$C114,Imput[[PERIODO Imp.]:[PERIODO Imp.]],'Indirect Costs'!CT$8)</f>
        <v>0</v>
      </c>
      <c r="CU114" s="48">
        <f>SUMIFS(Imput[[Importe Neto]:[Importe Neto]],Imput[[C. Imp.]:[C. Imp.]],'Indirect Costs'!$C114,Imput[[PERIODO Imp.]:[PERIODO Imp.]],'Indirect Costs'!CU$8)</f>
        <v>0</v>
      </c>
      <c r="CV114" s="48">
        <f>SUMIFS(Imput[[Importe Neto]:[Importe Neto]],Imput[[C. Imp.]:[C. Imp.]],'Indirect Costs'!$C114,Imput[[PERIODO Imp.]:[PERIODO Imp.]],'Indirect Costs'!CV$8)</f>
        <v>0</v>
      </c>
      <c r="CW114" s="48">
        <f>SUMIFS(Imput[[Importe Neto]:[Importe Neto]],Imput[[C. Imp.]:[C. Imp.]],'Indirect Costs'!$C114,Imput[[PERIODO Imp.]:[PERIODO Imp.]],'Indirect Costs'!CW$8)</f>
        <v>0</v>
      </c>
      <c r="CX114" s="48">
        <f>SUMIFS(Imput[[Importe Neto]:[Importe Neto]],Imput[[C. Imp.]:[C. Imp.]],'Indirect Costs'!$C114,Imput[[PERIODO Imp.]:[PERIODO Imp.]],'Indirect Costs'!CX$8)</f>
        <v>0</v>
      </c>
      <c r="CY114" s="48">
        <f>SUMIFS(Imput[[Importe Neto]:[Importe Neto]],Imput[[C. Imp.]:[C. Imp.]],'Indirect Costs'!$C114,Imput[[PERIODO Imp.]:[PERIODO Imp.]],'Indirect Costs'!CY$8)</f>
        <v>0</v>
      </c>
      <c r="CZ114" s="48">
        <f>SUMIFS(Imput[[Importe Neto]:[Importe Neto]],Imput[[C. Imp.]:[C. Imp.]],'Indirect Costs'!$C114,Imput[[PERIODO Imp.]:[PERIODO Imp.]],'Indirect Costs'!CZ$8)</f>
        <v>0</v>
      </c>
      <c r="DA114" s="48">
        <f>SUMIFS(Imput[[Importe Neto]:[Importe Neto]],Imput[[C. Imp.]:[C. Imp.]],'Indirect Costs'!$C114,Imput[[PERIODO Imp.]:[PERIODO Imp.]],'Indirect Costs'!DA$8)</f>
        <v>0</v>
      </c>
      <c r="DB114" s="48">
        <f>SUMIFS(Imput[[Importe Neto]:[Importe Neto]],Imput[[C. Imp.]:[C. Imp.]],'Indirect Costs'!$C114,Imput[[PERIODO Imp.]:[PERIODO Imp.]],'Indirect Costs'!DB$8)</f>
        <v>0</v>
      </c>
      <c r="DC114" s="48">
        <f>SUMIFS(Imput[[Importe Neto]:[Importe Neto]],Imput[[C. Imp.]:[C. Imp.]],'Indirect Costs'!$C114,Imput[[PERIODO Imp.]:[PERIODO Imp.]],'Indirect Costs'!DC$8)</f>
        <v>0</v>
      </c>
      <c r="DD114" s="48">
        <f>SUMIFS(Imput[[Importe Neto]:[Importe Neto]],Imput[[C. Imp.]:[C. Imp.]],'Indirect Costs'!$C114,Imput[[PERIODO Imp.]:[PERIODO Imp.]],'Indirect Costs'!DD$8)</f>
        <v>0</v>
      </c>
      <c r="DE114" s="48">
        <f>SUMIFS(Imput[[Importe Neto]:[Importe Neto]],Imput[[C. Imp.]:[C. Imp.]],'Indirect Costs'!$C114,Imput[[PERIODO Imp.]:[PERIODO Imp.]],'Indirect Costs'!DE$8)</f>
        <v>0</v>
      </c>
      <c r="DF114" s="143">
        <f>SUMIFS(Imput[[Importe Neto]:[Importe Neto]],Imput[[C. Imp.]:[C. Imp.]],'Indirect Costs'!$C114,Imput[[PERIODO Imp.]:[PERIODO Imp.]],'Indirect Costs'!DF$8)</f>
        <v>0</v>
      </c>
    </row>
    <row r="115" spans="1:110" ht="14.4" outlineLevel="1" thickBot="1" x14ac:dyDescent="0.3">
      <c r="A115" s="28" t="str">
        <f t="shared" si="14"/>
        <v/>
      </c>
      <c r="B115" s="50">
        <v>24</v>
      </c>
      <c r="C115" s="57" t="s">
        <v>1834</v>
      </c>
      <c r="D115" s="56" t="s">
        <v>619</v>
      </c>
      <c r="E115" s="57" t="s">
        <v>619</v>
      </c>
      <c r="F115" s="58">
        <v>20000</v>
      </c>
      <c r="G115" s="49"/>
      <c r="H115" s="51">
        <v>1</v>
      </c>
      <c r="I115" s="505">
        <f t="shared" si="22"/>
        <v>0</v>
      </c>
      <c r="J115" s="47"/>
      <c r="K115" s="142"/>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143"/>
      <c r="BG115" s="47"/>
      <c r="BH115" s="509"/>
      <c r="BI115" s="505">
        <f t="shared" si="15"/>
        <v>0</v>
      </c>
      <c r="BJ115" s="47"/>
      <c r="BK115" s="142">
        <f>SUMIFS(Imput[[Importe Neto]:[Importe Neto]],Imput[[C. Imp.]:[C. Imp.]],'Indirect Costs'!$C115,Imput[[PERIODO Imp.]:[PERIODO Imp.]],'Indirect Costs'!BK$8)</f>
        <v>0</v>
      </c>
      <c r="BL115" s="48">
        <f>SUMIFS(Imput[[Importe Neto]:[Importe Neto]],Imput[[C. Imp.]:[C. Imp.]],'Indirect Costs'!$C115,Imput[[PERIODO Imp.]:[PERIODO Imp.]],'Indirect Costs'!BL$8)</f>
        <v>0</v>
      </c>
      <c r="BM115" s="48">
        <f>SUMIFS(Imput[[Importe Neto]:[Importe Neto]],Imput[[C. Imp.]:[C. Imp.]],'Indirect Costs'!$C115,Imput[[PERIODO Imp.]:[PERIODO Imp.]],'Indirect Costs'!BM$8)</f>
        <v>0</v>
      </c>
      <c r="BN115" s="48">
        <f>SUMIFS(Imput[[Importe Neto]:[Importe Neto]],Imput[[C. Imp.]:[C. Imp.]],'Indirect Costs'!$C115,Imput[[PERIODO Imp.]:[PERIODO Imp.]],'Indirect Costs'!BN$8)</f>
        <v>0</v>
      </c>
      <c r="BO115" s="48">
        <f>SUMIFS(Imput[[Importe Neto]:[Importe Neto]],Imput[[C. Imp.]:[C. Imp.]],'Indirect Costs'!$C115,Imput[[PERIODO Imp.]:[PERIODO Imp.]],'Indirect Costs'!BO$8)</f>
        <v>0</v>
      </c>
      <c r="BP115" s="48">
        <f>SUMIFS(Imput[[Importe Neto]:[Importe Neto]],Imput[[C. Imp.]:[C. Imp.]],'Indirect Costs'!$C115,Imput[[PERIODO Imp.]:[PERIODO Imp.]],'Indirect Costs'!BP$8)</f>
        <v>0</v>
      </c>
      <c r="BQ115" s="48">
        <f>SUMIFS(Imput[[Importe Neto]:[Importe Neto]],Imput[[C. Imp.]:[C. Imp.]],'Indirect Costs'!$C115,Imput[[PERIODO Imp.]:[PERIODO Imp.]],'Indirect Costs'!BQ$8)</f>
        <v>0</v>
      </c>
      <c r="BR115" s="48">
        <f>SUMIFS(Imput[[Importe Neto]:[Importe Neto]],Imput[[C. Imp.]:[C. Imp.]],'Indirect Costs'!$C115,Imput[[PERIODO Imp.]:[PERIODO Imp.]],'Indirect Costs'!BR$8)</f>
        <v>0</v>
      </c>
      <c r="BS115" s="48">
        <f>SUMIFS(Imput[[Importe Neto]:[Importe Neto]],Imput[[C. Imp.]:[C. Imp.]],'Indirect Costs'!$C115,Imput[[PERIODO Imp.]:[PERIODO Imp.]],'Indirect Costs'!BS$8)</f>
        <v>0</v>
      </c>
      <c r="BT115" s="48">
        <f>SUMIFS(Imput[[Importe Neto]:[Importe Neto]],Imput[[C. Imp.]:[C. Imp.]],'Indirect Costs'!$C115,Imput[[PERIODO Imp.]:[PERIODO Imp.]],'Indirect Costs'!BT$8)</f>
        <v>0</v>
      </c>
      <c r="BU115" s="48">
        <f>SUMIFS(Imput[[Importe Neto]:[Importe Neto]],Imput[[C. Imp.]:[C. Imp.]],'Indirect Costs'!$C115,Imput[[PERIODO Imp.]:[PERIODO Imp.]],'Indirect Costs'!BU$8)</f>
        <v>0</v>
      </c>
      <c r="BV115" s="48">
        <f>SUMIFS(Imput[[Importe Neto]:[Importe Neto]],Imput[[C. Imp.]:[C. Imp.]],'Indirect Costs'!$C115,Imput[[PERIODO Imp.]:[PERIODO Imp.]],'Indirect Costs'!BV$8)</f>
        <v>0</v>
      </c>
      <c r="BW115" s="48">
        <f>SUMIFS(Imput[[Importe Neto]:[Importe Neto]],Imput[[C. Imp.]:[C. Imp.]],'Indirect Costs'!$C115,Imput[[PERIODO Imp.]:[PERIODO Imp.]],'Indirect Costs'!BW$8)</f>
        <v>0</v>
      </c>
      <c r="BX115" s="48">
        <f>SUMIFS(Imput[[Importe Neto]:[Importe Neto]],Imput[[C. Imp.]:[C. Imp.]],'Indirect Costs'!$C115,Imput[[PERIODO Imp.]:[PERIODO Imp.]],'Indirect Costs'!BX$8)</f>
        <v>0</v>
      </c>
      <c r="BY115" s="48">
        <f>SUMIFS(Imput[[Importe Neto]:[Importe Neto]],Imput[[C. Imp.]:[C. Imp.]],'Indirect Costs'!$C115,Imput[[PERIODO Imp.]:[PERIODO Imp.]],'Indirect Costs'!BY$8)</f>
        <v>0</v>
      </c>
      <c r="BZ115" s="48">
        <f>SUMIFS(Imput[[Importe Neto]:[Importe Neto]],Imput[[C. Imp.]:[C. Imp.]],'Indirect Costs'!$C115,Imput[[PERIODO Imp.]:[PERIODO Imp.]],'Indirect Costs'!BZ$8)</f>
        <v>0</v>
      </c>
      <c r="CA115" s="48">
        <f>SUMIFS(Imput[[Importe Neto]:[Importe Neto]],Imput[[C. Imp.]:[C. Imp.]],'Indirect Costs'!$C115,Imput[[PERIODO Imp.]:[PERIODO Imp.]],'Indirect Costs'!CA$8)</f>
        <v>0</v>
      </c>
      <c r="CB115" s="48">
        <f>SUMIFS(Imput[[Importe Neto]:[Importe Neto]],Imput[[C. Imp.]:[C. Imp.]],'Indirect Costs'!$C115,Imput[[PERIODO Imp.]:[PERIODO Imp.]],'Indirect Costs'!CB$8)</f>
        <v>0</v>
      </c>
      <c r="CC115" s="48">
        <f>SUMIFS(Imput[[Importe Neto]:[Importe Neto]],Imput[[C. Imp.]:[C. Imp.]],'Indirect Costs'!$C115,Imput[[PERIODO Imp.]:[PERIODO Imp.]],'Indirect Costs'!CC$8)</f>
        <v>0</v>
      </c>
      <c r="CD115" s="48">
        <f>SUMIFS(Imput[[Importe Neto]:[Importe Neto]],Imput[[C. Imp.]:[C. Imp.]],'Indirect Costs'!$C115,Imput[[PERIODO Imp.]:[PERIODO Imp.]],'Indirect Costs'!CD$8)</f>
        <v>0</v>
      </c>
      <c r="CE115" s="48">
        <f>SUMIFS(Imput[[Importe Neto]:[Importe Neto]],Imput[[C. Imp.]:[C. Imp.]],'Indirect Costs'!$C115,Imput[[PERIODO Imp.]:[PERIODO Imp.]],'Indirect Costs'!CE$8)</f>
        <v>0</v>
      </c>
      <c r="CF115" s="48">
        <f>SUMIFS(Imput[[Importe Neto]:[Importe Neto]],Imput[[C. Imp.]:[C. Imp.]],'Indirect Costs'!$C115,Imput[[PERIODO Imp.]:[PERIODO Imp.]],'Indirect Costs'!CF$8)</f>
        <v>0</v>
      </c>
      <c r="CG115" s="48">
        <f>SUMIFS(Imput[[Importe Neto]:[Importe Neto]],Imput[[C. Imp.]:[C. Imp.]],'Indirect Costs'!$C115,Imput[[PERIODO Imp.]:[PERIODO Imp.]],'Indirect Costs'!CG$8)</f>
        <v>0</v>
      </c>
      <c r="CH115" s="48">
        <f>SUMIFS(Imput[[Importe Neto]:[Importe Neto]],Imput[[C. Imp.]:[C. Imp.]],'Indirect Costs'!$C115,Imput[[PERIODO Imp.]:[PERIODO Imp.]],'Indirect Costs'!CH$8)</f>
        <v>0</v>
      </c>
      <c r="CI115" s="48">
        <f>SUMIFS(Imput[[Importe Neto]:[Importe Neto]],Imput[[C. Imp.]:[C. Imp.]],'Indirect Costs'!$C115,Imput[[PERIODO Imp.]:[PERIODO Imp.]],'Indirect Costs'!CI$8)</f>
        <v>0</v>
      </c>
      <c r="CJ115" s="48">
        <f>SUMIFS(Imput[[Importe Neto]:[Importe Neto]],Imput[[C. Imp.]:[C. Imp.]],'Indirect Costs'!$C115,Imput[[PERIODO Imp.]:[PERIODO Imp.]],'Indirect Costs'!CJ$8)</f>
        <v>0</v>
      </c>
      <c r="CK115" s="48">
        <f>SUMIFS(Imput[[Importe Neto]:[Importe Neto]],Imput[[C. Imp.]:[C. Imp.]],'Indirect Costs'!$C115,Imput[[PERIODO Imp.]:[PERIODO Imp.]],'Indirect Costs'!CK$8)</f>
        <v>0</v>
      </c>
      <c r="CL115" s="48">
        <f>SUMIFS(Imput[[Importe Neto]:[Importe Neto]],Imput[[C. Imp.]:[C. Imp.]],'Indirect Costs'!$C115,Imput[[PERIODO Imp.]:[PERIODO Imp.]],'Indirect Costs'!CL$8)</f>
        <v>0</v>
      </c>
      <c r="CM115" s="48">
        <f>SUMIFS(Imput[[Importe Neto]:[Importe Neto]],Imput[[C. Imp.]:[C. Imp.]],'Indirect Costs'!$C115,Imput[[PERIODO Imp.]:[PERIODO Imp.]],'Indirect Costs'!CM$8)</f>
        <v>0</v>
      </c>
      <c r="CN115" s="48">
        <f>SUMIFS(Imput[[Importe Neto]:[Importe Neto]],Imput[[C. Imp.]:[C. Imp.]],'Indirect Costs'!$C115,Imput[[PERIODO Imp.]:[PERIODO Imp.]],'Indirect Costs'!CN$8)</f>
        <v>0</v>
      </c>
      <c r="CO115" s="48">
        <f>SUMIFS(Imput[[Importe Neto]:[Importe Neto]],Imput[[C. Imp.]:[C. Imp.]],'Indirect Costs'!$C115,Imput[[PERIODO Imp.]:[PERIODO Imp.]],'Indirect Costs'!CO$8)</f>
        <v>0</v>
      </c>
      <c r="CP115" s="48">
        <f>SUMIFS(Imput[[Importe Neto]:[Importe Neto]],Imput[[C. Imp.]:[C. Imp.]],'Indirect Costs'!$C115,Imput[[PERIODO Imp.]:[PERIODO Imp.]],'Indirect Costs'!CP$8)</f>
        <v>0</v>
      </c>
      <c r="CQ115" s="48">
        <f>SUMIFS(Imput[[Importe Neto]:[Importe Neto]],Imput[[C. Imp.]:[C. Imp.]],'Indirect Costs'!$C115,Imput[[PERIODO Imp.]:[PERIODO Imp.]],'Indirect Costs'!CQ$8)</f>
        <v>0</v>
      </c>
      <c r="CR115" s="48">
        <f>SUMIFS(Imput[[Importe Neto]:[Importe Neto]],Imput[[C. Imp.]:[C. Imp.]],'Indirect Costs'!$C115,Imput[[PERIODO Imp.]:[PERIODO Imp.]],'Indirect Costs'!CR$8)</f>
        <v>0</v>
      </c>
      <c r="CS115" s="48">
        <f>SUMIFS(Imput[[Importe Neto]:[Importe Neto]],Imput[[C. Imp.]:[C. Imp.]],'Indirect Costs'!$C115,Imput[[PERIODO Imp.]:[PERIODO Imp.]],'Indirect Costs'!CS$8)</f>
        <v>0</v>
      </c>
      <c r="CT115" s="48">
        <f>SUMIFS(Imput[[Importe Neto]:[Importe Neto]],Imput[[C. Imp.]:[C. Imp.]],'Indirect Costs'!$C115,Imput[[PERIODO Imp.]:[PERIODO Imp.]],'Indirect Costs'!CT$8)</f>
        <v>0</v>
      </c>
      <c r="CU115" s="48">
        <f>SUMIFS(Imput[[Importe Neto]:[Importe Neto]],Imput[[C. Imp.]:[C. Imp.]],'Indirect Costs'!$C115,Imput[[PERIODO Imp.]:[PERIODO Imp.]],'Indirect Costs'!CU$8)</f>
        <v>0</v>
      </c>
      <c r="CV115" s="48">
        <f>SUMIFS(Imput[[Importe Neto]:[Importe Neto]],Imput[[C. Imp.]:[C. Imp.]],'Indirect Costs'!$C115,Imput[[PERIODO Imp.]:[PERIODO Imp.]],'Indirect Costs'!CV$8)</f>
        <v>0</v>
      </c>
      <c r="CW115" s="48">
        <f>SUMIFS(Imput[[Importe Neto]:[Importe Neto]],Imput[[C. Imp.]:[C. Imp.]],'Indirect Costs'!$C115,Imput[[PERIODO Imp.]:[PERIODO Imp.]],'Indirect Costs'!CW$8)</f>
        <v>0</v>
      </c>
      <c r="CX115" s="48">
        <f>SUMIFS(Imput[[Importe Neto]:[Importe Neto]],Imput[[C. Imp.]:[C. Imp.]],'Indirect Costs'!$C115,Imput[[PERIODO Imp.]:[PERIODO Imp.]],'Indirect Costs'!CX$8)</f>
        <v>0</v>
      </c>
      <c r="CY115" s="48">
        <f>SUMIFS(Imput[[Importe Neto]:[Importe Neto]],Imput[[C. Imp.]:[C. Imp.]],'Indirect Costs'!$C115,Imput[[PERIODO Imp.]:[PERIODO Imp.]],'Indirect Costs'!CY$8)</f>
        <v>0</v>
      </c>
      <c r="CZ115" s="48">
        <f>SUMIFS(Imput[[Importe Neto]:[Importe Neto]],Imput[[C. Imp.]:[C. Imp.]],'Indirect Costs'!$C115,Imput[[PERIODO Imp.]:[PERIODO Imp.]],'Indirect Costs'!CZ$8)</f>
        <v>0</v>
      </c>
      <c r="DA115" s="48">
        <f>SUMIFS(Imput[[Importe Neto]:[Importe Neto]],Imput[[C. Imp.]:[C. Imp.]],'Indirect Costs'!$C115,Imput[[PERIODO Imp.]:[PERIODO Imp.]],'Indirect Costs'!DA$8)</f>
        <v>0</v>
      </c>
      <c r="DB115" s="48">
        <f>SUMIFS(Imput[[Importe Neto]:[Importe Neto]],Imput[[C. Imp.]:[C. Imp.]],'Indirect Costs'!$C115,Imput[[PERIODO Imp.]:[PERIODO Imp.]],'Indirect Costs'!DB$8)</f>
        <v>0</v>
      </c>
      <c r="DC115" s="48">
        <f>SUMIFS(Imput[[Importe Neto]:[Importe Neto]],Imput[[C. Imp.]:[C. Imp.]],'Indirect Costs'!$C115,Imput[[PERIODO Imp.]:[PERIODO Imp.]],'Indirect Costs'!DC$8)</f>
        <v>0</v>
      </c>
      <c r="DD115" s="48">
        <f>SUMIFS(Imput[[Importe Neto]:[Importe Neto]],Imput[[C. Imp.]:[C. Imp.]],'Indirect Costs'!$C115,Imput[[PERIODO Imp.]:[PERIODO Imp.]],'Indirect Costs'!DD$8)</f>
        <v>0</v>
      </c>
      <c r="DE115" s="48">
        <f>SUMIFS(Imput[[Importe Neto]:[Importe Neto]],Imput[[C. Imp.]:[C. Imp.]],'Indirect Costs'!$C115,Imput[[PERIODO Imp.]:[PERIODO Imp.]],'Indirect Costs'!DE$8)</f>
        <v>0</v>
      </c>
      <c r="DF115" s="143">
        <f>SUMIFS(Imput[[Importe Neto]:[Importe Neto]],Imput[[C. Imp.]:[C. Imp.]],'Indirect Costs'!$C115,Imput[[PERIODO Imp.]:[PERIODO Imp.]],'Indirect Costs'!DF$8)</f>
        <v>0</v>
      </c>
    </row>
    <row r="116" spans="1:110" ht="14.4" thickBot="1" x14ac:dyDescent="0.3">
      <c r="A116" s="28" t="str">
        <f t="shared" si="14"/>
        <v>Imprimir</v>
      </c>
      <c r="B116" s="54"/>
      <c r="C116" s="36" t="s">
        <v>620</v>
      </c>
      <c r="D116" s="54" t="s">
        <v>621</v>
      </c>
      <c r="E116" s="36"/>
      <c r="F116" s="37"/>
      <c r="G116" s="55"/>
      <c r="H116" s="38"/>
      <c r="I116" s="39">
        <f>SUBTOTAL(9,I117:I131)</f>
        <v>129324.19200000001</v>
      </c>
      <c r="J116" s="45" t="s">
        <v>588</v>
      </c>
      <c r="K116" s="250">
        <f>SUMPRODUCT($F117:$F131,$G117:$G131,K117:K131)</f>
        <v>52090.858666666667</v>
      </c>
      <c r="L116" s="251">
        <f t="shared" ref="L116:BF116" si="23">SUMPRODUCT($F117:$F131,$G117:$G131,L117:L131)</f>
        <v>11666.666666666666</v>
      </c>
      <c r="M116" s="251">
        <f t="shared" si="23"/>
        <v>11666.666666666666</v>
      </c>
      <c r="N116" s="251">
        <f t="shared" si="23"/>
        <v>11666.666666666666</v>
      </c>
      <c r="O116" s="251">
        <f t="shared" si="23"/>
        <v>11666.666666666666</v>
      </c>
      <c r="P116" s="251">
        <f t="shared" si="23"/>
        <v>11666.666666666666</v>
      </c>
      <c r="Q116" s="251">
        <f t="shared" si="23"/>
        <v>0</v>
      </c>
      <c r="R116" s="251">
        <f t="shared" si="23"/>
        <v>71769.278000000006</v>
      </c>
      <c r="S116" s="251">
        <f t="shared" si="23"/>
        <v>0</v>
      </c>
      <c r="T116" s="251">
        <f t="shared" si="23"/>
        <v>0</v>
      </c>
      <c r="U116" s="251">
        <f t="shared" si="23"/>
        <v>0</v>
      </c>
      <c r="V116" s="251">
        <f t="shared" si="23"/>
        <v>0</v>
      </c>
      <c r="W116" s="251">
        <f t="shared" si="23"/>
        <v>0</v>
      </c>
      <c r="X116" s="251">
        <f t="shared" si="23"/>
        <v>0</v>
      </c>
      <c r="Y116" s="251">
        <f t="shared" si="23"/>
        <v>0</v>
      </c>
      <c r="Z116" s="251">
        <f t="shared" si="23"/>
        <v>0</v>
      </c>
      <c r="AA116" s="251">
        <f t="shared" si="23"/>
        <v>0</v>
      </c>
      <c r="AB116" s="251">
        <f t="shared" si="23"/>
        <v>0</v>
      </c>
      <c r="AC116" s="251">
        <f t="shared" si="23"/>
        <v>0</v>
      </c>
      <c r="AD116" s="251">
        <f t="shared" si="23"/>
        <v>0</v>
      </c>
      <c r="AE116" s="251">
        <f t="shared" si="23"/>
        <v>0</v>
      </c>
      <c r="AF116" s="251">
        <f t="shared" si="23"/>
        <v>0</v>
      </c>
      <c r="AG116" s="251">
        <f t="shared" si="23"/>
        <v>0</v>
      </c>
      <c r="AH116" s="251">
        <f t="shared" si="23"/>
        <v>0</v>
      </c>
      <c r="AI116" s="251">
        <f t="shared" si="23"/>
        <v>0</v>
      </c>
      <c r="AJ116" s="251">
        <f t="shared" si="23"/>
        <v>0</v>
      </c>
      <c r="AK116" s="251">
        <f t="shared" si="23"/>
        <v>0</v>
      </c>
      <c r="AL116" s="251">
        <f t="shared" si="23"/>
        <v>0</v>
      </c>
      <c r="AM116" s="251">
        <f t="shared" si="23"/>
        <v>0</v>
      </c>
      <c r="AN116" s="251">
        <f t="shared" si="23"/>
        <v>0</v>
      </c>
      <c r="AO116" s="251">
        <f t="shared" si="23"/>
        <v>0</v>
      </c>
      <c r="AP116" s="251">
        <f t="shared" si="23"/>
        <v>0</v>
      </c>
      <c r="AQ116" s="251">
        <f t="shared" si="23"/>
        <v>0</v>
      </c>
      <c r="AR116" s="251">
        <f t="shared" si="23"/>
        <v>0</v>
      </c>
      <c r="AS116" s="251">
        <f t="shared" si="23"/>
        <v>0</v>
      </c>
      <c r="AT116" s="251">
        <f t="shared" si="23"/>
        <v>0</v>
      </c>
      <c r="AU116" s="251">
        <f t="shared" si="23"/>
        <v>0</v>
      </c>
      <c r="AV116" s="251">
        <f t="shared" si="23"/>
        <v>0</v>
      </c>
      <c r="AW116" s="251">
        <f t="shared" si="23"/>
        <v>0</v>
      </c>
      <c r="AX116" s="251">
        <f t="shared" si="23"/>
        <v>0</v>
      </c>
      <c r="AY116" s="251">
        <f t="shared" si="23"/>
        <v>0</v>
      </c>
      <c r="AZ116" s="251">
        <f t="shared" si="23"/>
        <v>0</v>
      </c>
      <c r="BA116" s="251">
        <f t="shared" si="23"/>
        <v>0</v>
      </c>
      <c r="BB116" s="251">
        <f t="shared" si="23"/>
        <v>0</v>
      </c>
      <c r="BC116" s="251">
        <f t="shared" si="23"/>
        <v>0</v>
      </c>
      <c r="BD116" s="251">
        <f t="shared" si="23"/>
        <v>0</v>
      </c>
      <c r="BE116" s="251">
        <f t="shared" si="23"/>
        <v>0</v>
      </c>
      <c r="BF116" s="566">
        <f t="shared" si="23"/>
        <v>0</v>
      </c>
      <c r="BH116" s="165">
        <f>IFERROR(BI116/I116,0)</f>
        <v>0.28310248402711841</v>
      </c>
      <c r="BI116" s="39">
        <f>SUBTOTAL(9,BI117:BI131)</f>
        <v>36612</v>
      </c>
      <c r="BK116" s="137">
        <f>SUM(BK117:BK131)</f>
        <v>0</v>
      </c>
      <c r="BL116" s="138">
        <f t="shared" ref="BL116:DF116" si="24">SUM(BL117:BL131)</f>
        <v>0</v>
      </c>
      <c r="BM116" s="138">
        <f t="shared" si="24"/>
        <v>0</v>
      </c>
      <c r="BN116" s="138">
        <f t="shared" si="24"/>
        <v>5832</v>
      </c>
      <c r="BO116" s="138">
        <f t="shared" si="24"/>
        <v>12204</v>
      </c>
      <c r="BP116" s="138">
        <f t="shared" si="24"/>
        <v>12096</v>
      </c>
      <c r="BQ116" s="138">
        <f t="shared" si="24"/>
        <v>6480</v>
      </c>
      <c r="BR116" s="138">
        <f t="shared" si="24"/>
        <v>0</v>
      </c>
      <c r="BS116" s="138">
        <f t="shared" si="24"/>
        <v>0</v>
      </c>
      <c r="BT116" s="138">
        <f t="shared" si="24"/>
        <v>0</v>
      </c>
      <c r="BU116" s="138">
        <f t="shared" si="24"/>
        <v>0</v>
      </c>
      <c r="BV116" s="138">
        <f t="shared" si="24"/>
        <v>0</v>
      </c>
      <c r="BW116" s="138">
        <f t="shared" si="24"/>
        <v>0</v>
      </c>
      <c r="BX116" s="138">
        <f t="shared" si="24"/>
        <v>0</v>
      </c>
      <c r="BY116" s="138">
        <f t="shared" si="24"/>
        <v>0</v>
      </c>
      <c r="BZ116" s="138">
        <f t="shared" si="24"/>
        <v>0</v>
      </c>
      <c r="CA116" s="138">
        <f t="shared" si="24"/>
        <v>0</v>
      </c>
      <c r="CB116" s="138">
        <f t="shared" si="24"/>
        <v>0</v>
      </c>
      <c r="CC116" s="138">
        <f t="shared" si="24"/>
        <v>0</v>
      </c>
      <c r="CD116" s="138">
        <f t="shared" si="24"/>
        <v>0</v>
      </c>
      <c r="CE116" s="138">
        <f t="shared" si="24"/>
        <v>0</v>
      </c>
      <c r="CF116" s="138">
        <f t="shared" si="24"/>
        <v>0</v>
      </c>
      <c r="CG116" s="138">
        <f t="shared" si="24"/>
        <v>0</v>
      </c>
      <c r="CH116" s="138">
        <f t="shared" si="24"/>
        <v>0</v>
      </c>
      <c r="CI116" s="138">
        <f t="shared" si="24"/>
        <v>0</v>
      </c>
      <c r="CJ116" s="138">
        <f t="shared" si="24"/>
        <v>0</v>
      </c>
      <c r="CK116" s="138">
        <f t="shared" si="24"/>
        <v>0</v>
      </c>
      <c r="CL116" s="138">
        <f t="shared" si="24"/>
        <v>0</v>
      </c>
      <c r="CM116" s="138">
        <f t="shared" si="24"/>
        <v>0</v>
      </c>
      <c r="CN116" s="138">
        <f t="shared" si="24"/>
        <v>0</v>
      </c>
      <c r="CO116" s="138">
        <f t="shared" si="24"/>
        <v>0</v>
      </c>
      <c r="CP116" s="138">
        <f t="shared" si="24"/>
        <v>0</v>
      </c>
      <c r="CQ116" s="138">
        <f t="shared" si="24"/>
        <v>0</v>
      </c>
      <c r="CR116" s="138">
        <f t="shared" si="24"/>
        <v>0</v>
      </c>
      <c r="CS116" s="138">
        <f t="shared" si="24"/>
        <v>0</v>
      </c>
      <c r="CT116" s="138">
        <f t="shared" si="24"/>
        <v>0</v>
      </c>
      <c r="CU116" s="138">
        <f t="shared" si="24"/>
        <v>0</v>
      </c>
      <c r="CV116" s="138">
        <f t="shared" si="24"/>
        <v>0</v>
      </c>
      <c r="CW116" s="138">
        <f t="shared" si="24"/>
        <v>0</v>
      </c>
      <c r="CX116" s="138">
        <f t="shared" si="24"/>
        <v>0</v>
      </c>
      <c r="CY116" s="138">
        <f t="shared" si="24"/>
        <v>0</v>
      </c>
      <c r="CZ116" s="138">
        <f t="shared" si="24"/>
        <v>0</v>
      </c>
      <c r="DA116" s="138">
        <f t="shared" si="24"/>
        <v>0</v>
      </c>
      <c r="DB116" s="138">
        <f t="shared" si="24"/>
        <v>0</v>
      </c>
      <c r="DC116" s="138">
        <f t="shared" si="24"/>
        <v>0</v>
      </c>
      <c r="DD116" s="138">
        <f t="shared" si="24"/>
        <v>0</v>
      </c>
      <c r="DE116" s="138">
        <f t="shared" si="24"/>
        <v>0</v>
      </c>
      <c r="DF116" s="139">
        <f t="shared" si="24"/>
        <v>0</v>
      </c>
    </row>
    <row r="117" spans="1:110" outlineLevel="1" x14ac:dyDescent="0.25">
      <c r="A117" s="28" t="str">
        <f t="shared" si="14"/>
        <v>Imprimir</v>
      </c>
      <c r="B117" s="50">
        <v>1</v>
      </c>
      <c r="C117" s="57" t="s">
        <v>1835</v>
      </c>
      <c r="D117" s="56" t="s">
        <v>622</v>
      </c>
      <c r="E117" s="57" t="s">
        <v>622</v>
      </c>
      <c r="F117" s="58">
        <f>3000000*0.3*0.021</f>
        <v>18900</v>
      </c>
      <c r="G117" s="49">
        <v>1</v>
      </c>
      <c r="H117" s="51">
        <v>1</v>
      </c>
      <c r="I117" s="505">
        <f t="shared" ref="I117:I131" si="25">F117*G117*H117</f>
        <v>18900</v>
      </c>
      <c r="J117" s="47"/>
      <c r="K117" s="142"/>
      <c r="L117" s="48"/>
      <c r="M117" s="48"/>
      <c r="N117" s="48"/>
      <c r="O117" s="48"/>
      <c r="P117" s="48"/>
      <c r="Q117" s="48"/>
      <c r="R117" s="48">
        <v>1</v>
      </c>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143"/>
      <c r="BG117" s="47"/>
      <c r="BH117" s="509"/>
      <c r="BI117" s="505">
        <f t="shared" si="15"/>
        <v>0</v>
      </c>
      <c r="BJ117" s="47"/>
      <c r="BK117" s="142">
        <f>SUMIFS(Imput[[Importe Neto]:[Importe Neto]],Imput[[C. Imp.]:[C. Imp.]],'Indirect Costs'!$C117,Imput[[PERIODO Imp.]:[PERIODO Imp.]],'Indirect Costs'!BK$8)</f>
        <v>0</v>
      </c>
      <c r="BL117" s="48">
        <f>SUMIFS(Imput[[Importe Neto]:[Importe Neto]],Imput[[C. Imp.]:[C. Imp.]],'Indirect Costs'!$C117,Imput[[PERIODO Imp.]:[PERIODO Imp.]],'Indirect Costs'!BL$8)</f>
        <v>0</v>
      </c>
      <c r="BM117" s="48">
        <f>SUMIFS(Imput[[Importe Neto]:[Importe Neto]],Imput[[C. Imp.]:[C. Imp.]],'Indirect Costs'!$C117,Imput[[PERIODO Imp.]:[PERIODO Imp.]],'Indirect Costs'!BM$8)</f>
        <v>0</v>
      </c>
      <c r="BN117" s="48">
        <f>SUMIFS(Imput[[Importe Neto]:[Importe Neto]],Imput[[C. Imp.]:[C. Imp.]],'Indirect Costs'!$C117,Imput[[PERIODO Imp.]:[PERIODO Imp.]],'Indirect Costs'!BN$8)</f>
        <v>0</v>
      </c>
      <c r="BO117" s="48">
        <f>SUMIFS(Imput[[Importe Neto]:[Importe Neto]],Imput[[C. Imp.]:[C. Imp.]],'Indirect Costs'!$C117,Imput[[PERIODO Imp.]:[PERIODO Imp.]],'Indirect Costs'!BO$8)</f>
        <v>0</v>
      </c>
      <c r="BP117" s="48">
        <f>SUMIFS(Imput[[Importe Neto]:[Importe Neto]],Imput[[C. Imp.]:[C. Imp.]],'Indirect Costs'!$C117,Imput[[PERIODO Imp.]:[PERIODO Imp.]],'Indirect Costs'!BP$8)</f>
        <v>0</v>
      </c>
      <c r="BQ117" s="48">
        <f>SUMIFS(Imput[[Importe Neto]:[Importe Neto]],Imput[[C. Imp.]:[C. Imp.]],'Indirect Costs'!$C117,Imput[[PERIODO Imp.]:[PERIODO Imp.]],'Indirect Costs'!BQ$8)</f>
        <v>0</v>
      </c>
      <c r="BR117" s="48">
        <f>SUMIFS(Imput[[Importe Neto]:[Importe Neto]],Imput[[C. Imp.]:[C. Imp.]],'Indirect Costs'!$C117,Imput[[PERIODO Imp.]:[PERIODO Imp.]],'Indirect Costs'!BR$8)</f>
        <v>0</v>
      </c>
      <c r="BS117" s="48">
        <f>SUMIFS(Imput[[Importe Neto]:[Importe Neto]],Imput[[C. Imp.]:[C. Imp.]],'Indirect Costs'!$C117,Imput[[PERIODO Imp.]:[PERIODO Imp.]],'Indirect Costs'!BS$8)</f>
        <v>0</v>
      </c>
      <c r="BT117" s="48">
        <f>SUMIFS(Imput[[Importe Neto]:[Importe Neto]],Imput[[C. Imp.]:[C. Imp.]],'Indirect Costs'!$C117,Imput[[PERIODO Imp.]:[PERIODO Imp.]],'Indirect Costs'!BT$8)</f>
        <v>0</v>
      </c>
      <c r="BU117" s="48">
        <f>SUMIFS(Imput[[Importe Neto]:[Importe Neto]],Imput[[C. Imp.]:[C. Imp.]],'Indirect Costs'!$C117,Imput[[PERIODO Imp.]:[PERIODO Imp.]],'Indirect Costs'!BU$8)</f>
        <v>0</v>
      </c>
      <c r="BV117" s="48">
        <f>SUMIFS(Imput[[Importe Neto]:[Importe Neto]],Imput[[C. Imp.]:[C. Imp.]],'Indirect Costs'!$C117,Imput[[PERIODO Imp.]:[PERIODO Imp.]],'Indirect Costs'!BV$8)</f>
        <v>0</v>
      </c>
      <c r="BW117" s="48">
        <f>SUMIFS(Imput[[Importe Neto]:[Importe Neto]],Imput[[C. Imp.]:[C. Imp.]],'Indirect Costs'!$C117,Imput[[PERIODO Imp.]:[PERIODO Imp.]],'Indirect Costs'!BW$8)</f>
        <v>0</v>
      </c>
      <c r="BX117" s="48">
        <f>SUMIFS(Imput[[Importe Neto]:[Importe Neto]],Imput[[C. Imp.]:[C. Imp.]],'Indirect Costs'!$C117,Imput[[PERIODO Imp.]:[PERIODO Imp.]],'Indirect Costs'!BX$8)</f>
        <v>0</v>
      </c>
      <c r="BY117" s="48">
        <f>SUMIFS(Imput[[Importe Neto]:[Importe Neto]],Imput[[C. Imp.]:[C. Imp.]],'Indirect Costs'!$C117,Imput[[PERIODO Imp.]:[PERIODO Imp.]],'Indirect Costs'!BY$8)</f>
        <v>0</v>
      </c>
      <c r="BZ117" s="48">
        <f>SUMIFS(Imput[[Importe Neto]:[Importe Neto]],Imput[[C. Imp.]:[C. Imp.]],'Indirect Costs'!$C117,Imput[[PERIODO Imp.]:[PERIODO Imp.]],'Indirect Costs'!BZ$8)</f>
        <v>0</v>
      </c>
      <c r="CA117" s="48">
        <f>SUMIFS(Imput[[Importe Neto]:[Importe Neto]],Imput[[C. Imp.]:[C. Imp.]],'Indirect Costs'!$C117,Imput[[PERIODO Imp.]:[PERIODO Imp.]],'Indirect Costs'!CA$8)</f>
        <v>0</v>
      </c>
      <c r="CB117" s="48">
        <f>SUMIFS(Imput[[Importe Neto]:[Importe Neto]],Imput[[C. Imp.]:[C. Imp.]],'Indirect Costs'!$C117,Imput[[PERIODO Imp.]:[PERIODO Imp.]],'Indirect Costs'!CB$8)</f>
        <v>0</v>
      </c>
      <c r="CC117" s="48">
        <f>SUMIFS(Imput[[Importe Neto]:[Importe Neto]],Imput[[C. Imp.]:[C. Imp.]],'Indirect Costs'!$C117,Imput[[PERIODO Imp.]:[PERIODO Imp.]],'Indirect Costs'!CC$8)</f>
        <v>0</v>
      </c>
      <c r="CD117" s="48">
        <f>SUMIFS(Imput[[Importe Neto]:[Importe Neto]],Imput[[C. Imp.]:[C. Imp.]],'Indirect Costs'!$C117,Imput[[PERIODO Imp.]:[PERIODO Imp.]],'Indirect Costs'!CD$8)</f>
        <v>0</v>
      </c>
      <c r="CE117" s="48">
        <f>SUMIFS(Imput[[Importe Neto]:[Importe Neto]],Imput[[C. Imp.]:[C. Imp.]],'Indirect Costs'!$C117,Imput[[PERIODO Imp.]:[PERIODO Imp.]],'Indirect Costs'!CE$8)</f>
        <v>0</v>
      </c>
      <c r="CF117" s="48">
        <f>SUMIFS(Imput[[Importe Neto]:[Importe Neto]],Imput[[C. Imp.]:[C. Imp.]],'Indirect Costs'!$C117,Imput[[PERIODO Imp.]:[PERIODO Imp.]],'Indirect Costs'!CF$8)</f>
        <v>0</v>
      </c>
      <c r="CG117" s="48">
        <f>SUMIFS(Imput[[Importe Neto]:[Importe Neto]],Imput[[C. Imp.]:[C. Imp.]],'Indirect Costs'!$C117,Imput[[PERIODO Imp.]:[PERIODO Imp.]],'Indirect Costs'!CG$8)</f>
        <v>0</v>
      </c>
      <c r="CH117" s="48">
        <f>SUMIFS(Imput[[Importe Neto]:[Importe Neto]],Imput[[C. Imp.]:[C. Imp.]],'Indirect Costs'!$C117,Imput[[PERIODO Imp.]:[PERIODO Imp.]],'Indirect Costs'!CH$8)</f>
        <v>0</v>
      </c>
      <c r="CI117" s="48">
        <f>SUMIFS(Imput[[Importe Neto]:[Importe Neto]],Imput[[C. Imp.]:[C. Imp.]],'Indirect Costs'!$C117,Imput[[PERIODO Imp.]:[PERIODO Imp.]],'Indirect Costs'!CI$8)</f>
        <v>0</v>
      </c>
      <c r="CJ117" s="48">
        <f>SUMIFS(Imput[[Importe Neto]:[Importe Neto]],Imput[[C. Imp.]:[C. Imp.]],'Indirect Costs'!$C117,Imput[[PERIODO Imp.]:[PERIODO Imp.]],'Indirect Costs'!CJ$8)</f>
        <v>0</v>
      </c>
      <c r="CK117" s="48">
        <f>SUMIFS(Imput[[Importe Neto]:[Importe Neto]],Imput[[C. Imp.]:[C. Imp.]],'Indirect Costs'!$C117,Imput[[PERIODO Imp.]:[PERIODO Imp.]],'Indirect Costs'!CK$8)</f>
        <v>0</v>
      </c>
      <c r="CL117" s="48">
        <f>SUMIFS(Imput[[Importe Neto]:[Importe Neto]],Imput[[C. Imp.]:[C. Imp.]],'Indirect Costs'!$C117,Imput[[PERIODO Imp.]:[PERIODO Imp.]],'Indirect Costs'!CL$8)</f>
        <v>0</v>
      </c>
      <c r="CM117" s="48">
        <f>SUMIFS(Imput[[Importe Neto]:[Importe Neto]],Imput[[C. Imp.]:[C. Imp.]],'Indirect Costs'!$C117,Imput[[PERIODO Imp.]:[PERIODO Imp.]],'Indirect Costs'!CM$8)</f>
        <v>0</v>
      </c>
      <c r="CN117" s="48">
        <f>SUMIFS(Imput[[Importe Neto]:[Importe Neto]],Imput[[C. Imp.]:[C. Imp.]],'Indirect Costs'!$C117,Imput[[PERIODO Imp.]:[PERIODO Imp.]],'Indirect Costs'!CN$8)</f>
        <v>0</v>
      </c>
      <c r="CO117" s="48">
        <f>SUMIFS(Imput[[Importe Neto]:[Importe Neto]],Imput[[C. Imp.]:[C. Imp.]],'Indirect Costs'!$C117,Imput[[PERIODO Imp.]:[PERIODO Imp.]],'Indirect Costs'!CO$8)</f>
        <v>0</v>
      </c>
      <c r="CP117" s="48">
        <f>SUMIFS(Imput[[Importe Neto]:[Importe Neto]],Imput[[C. Imp.]:[C. Imp.]],'Indirect Costs'!$C117,Imput[[PERIODO Imp.]:[PERIODO Imp.]],'Indirect Costs'!CP$8)</f>
        <v>0</v>
      </c>
      <c r="CQ117" s="48">
        <f>SUMIFS(Imput[[Importe Neto]:[Importe Neto]],Imput[[C. Imp.]:[C. Imp.]],'Indirect Costs'!$C117,Imput[[PERIODO Imp.]:[PERIODO Imp.]],'Indirect Costs'!CQ$8)</f>
        <v>0</v>
      </c>
      <c r="CR117" s="48">
        <f>SUMIFS(Imput[[Importe Neto]:[Importe Neto]],Imput[[C. Imp.]:[C. Imp.]],'Indirect Costs'!$C117,Imput[[PERIODO Imp.]:[PERIODO Imp.]],'Indirect Costs'!CR$8)</f>
        <v>0</v>
      </c>
      <c r="CS117" s="48">
        <f>SUMIFS(Imput[[Importe Neto]:[Importe Neto]],Imput[[C. Imp.]:[C. Imp.]],'Indirect Costs'!$C117,Imput[[PERIODO Imp.]:[PERIODO Imp.]],'Indirect Costs'!CS$8)</f>
        <v>0</v>
      </c>
      <c r="CT117" s="48">
        <f>SUMIFS(Imput[[Importe Neto]:[Importe Neto]],Imput[[C. Imp.]:[C. Imp.]],'Indirect Costs'!$C117,Imput[[PERIODO Imp.]:[PERIODO Imp.]],'Indirect Costs'!CT$8)</f>
        <v>0</v>
      </c>
      <c r="CU117" s="48">
        <f>SUMIFS(Imput[[Importe Neto]:[Importe Neto]],Imput[[C. Imp.]:[C. Imp.]],'Indirect Costs'!$C117,Imput[[PERIODO Imp.]:[PERIODO Imp.]],'Indirect Costs'!CU$8)</f>
        <v>0</v>
      </c>
      <c r="CV117" s="48">
        <f>SUMIFS(Imput[[Importe Neto]:[Importe Neto]],Imput[[C. Imp.]:[C. Imp.]],'Indirect Costs'!$C117,Imput[[PERIODO Imp.]:[PERIODO Imp.]],'Indirect Costs'!CV$8)</f>
        <v>0</v>
      </c>
      <c r="CW117" s="48">
        <f>SUMIFS(Imput[[Importe Neto]:[Importe Neto]],Imput[[C. Imp.]:[C. Imp.]],'Indirect Costs'!$C117,Imput[[PERIODO Imp.]:[PERIODO Imp.]],'Indirect Costs'!CW$8)</f>
        <v>0</v>
      </c>
      <c r="CX117" s="48">
        <f>SUMIFS(Imput[[Importe Neto]:[Importe Neto]],Imput[[C. Imp.]:[C. Imp.]],'Indirect Costs'!$C117,Imput[[PERIODO Imp.]:[PERIODO Imp.]],'Indirect Costs'!CX$8)</f>
        <v>0</v>
      </c>
      <c r="CY117" s="48">
        <f>SUMIFS(Imput[[Importe Neto]:[Importe Neto]],Imput[[C. Imp.]:[C. Imp.]],'Indirect Costs'!$C117,Imput[[PERIODO Imp.]:[PERIODO Imp.]],'Indirect Costs'!CY$8)</f>
        <v>0</v>
      </c>
      <c r="CZ117" s="48">
        <f>SUMIFS(Imput[[Importe Neto]:[Importe Neto]],Imput[[C. Imp.]:[C. Imp.]],'Indirect Costs'!$C117,Imput[[PERIODO Imp.]:[PERIODO Imp.]],'Indirect Costs'!CZ$8)</f>
        <v>0</v>
      </c>
      <c r="DA117" s="48">
        <f>SUMIFS(Imput[[Importe Neto]:[Importe Neto]],Imput[[C. Imp.]:[C. Imp.]],'Indirect Costs'!$C117,Imput[[PERIODO Imp.]:[PERIODO Imp.]],'Indirect Costs'!DA$8)</f>
        <v>0</v>
      </c>
      <c r="DB117" s="48">
        <f>SUMIFS(Imput[[Importe Neto]:[Importe Neto]],Imput[[C. Imp.]:[C. Imp.]],'Indirect Costs'!$C117,Imput[[PERIODO Imp.]:[PERIODO Imp.]],'Indirect Costs'!DB$8)</f>
        <v>0</v>
      </c>
      <c r="DC117" s="48">
        <f>SUMIFS(Imput[[Importe Neto]:[Importe Neto]],Imput[[C. Imp.]:[C. Imp.]],'Indirect Costs'!$C117,Imput[[PERIODO Imp.]:[PERIODO Imp.]],'Indirect Costs'!DC$8)</f>
        <v>0</v>
      </c>
      <c r="DD117" s="48">
        <f>SUMIFS(Imput[[Importe Neto]:[Importe Neto]],Imput[[C. Imp.]:[C. Imp.]],'Indirect Costs'!$C117,Imput[[PERIODO Imp.]:[PERIODO Imp.]],'Indirect Costs'!DD$8)</f>
        <v>0</v>
      </c>
      <c r="DE117" s="48">
        <f>SUMIFS(Imput[[Importe Neto]:[Importe Neto]],Imput[[C. Imp.]:[C. Imp.]],'Indirect Costs'!$C117,Imput[[PERIODO Imp.]:[PERIODO Imp.]],'Indirect Costs'!DE$8)</f>
        <v>0</v>
      </c>
      <c r="DF117" s="143">
        <f>SUMIFS(Imput[[Importe Neto]:[Importe Neto]],Imput[[C. Imp.]:[C. Imp.]],'Indirect Costs'!$C117,Imput[[PERIODO Imp.]:[PERIODO Imp.]],'Indirect Costs'!DF$8)</f>
        <v>0</v>
      </c>
    </row>
    <row r="118" spans="1:110" outlineLevel="1" x14ac:dyDescent="0.25">
      <c r="A118" s="28" t="str">
        <f t="shared" si="14"/>
        <v>Imprimir</v>
      </c>
      <c r="B118" s="50">
        <v>2</v>
      </c>
      <c r="C118" s="57" t="s">
        <v>1750</v>
      </c>
      <c r="D118" s="56" t="s">
        <v>623</v>
      </c>
      <c r="E118" s="57" t="s">
        <v>623</v>
      </c>
      <c r="F118" s="58">
        <v>17869.278000000002</v>
      </c>
      <c r="G118" s="49">
        <v>1</v>
      </c>
      <c r="H118" s="51">
        <v>1</v>
      </c>
      <c r="I118" s="505">
        <f t="shared" si="25"/>
        <v>17869.278000000002</v>
      </c>
      <c r="J118" s="47"/>
      <c r="K118" s="142">
        <v>1</v>
      </c>
      <c r="L118" s="48"/>
      <c r="M118" s="48"/>
      <c r="N118" s="48"/>
      <c r="O118" s="48"/>
      <c r="P118" s="48"/>
      <c r="Q118" s="48"/>
      <c r="R118" s="48">
        <v>1</v>
      </c>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143"/>
      <c r="BG118" s="47"/>
      <c r="BH118" s="509"/>
      <c r="BI118" s="505">
        <f t="shared" si="15"/>
        <v>0</v>
      </c>
      <c r="BJ118" s="47"/>
      <c r="BK118" s="142">
        <f>SUMIFS(Imput[[Importe Neto]:[Importe Neto]],Imput[[C. Imp.]:[C. Imp.]],'Indirect Costs'!$C118,Imput[[PERIODO Imp.]:[PERIODO Imp.]],'Indirect Costs'!BK$8)</f>
        <v>0</v>
      </c>
      <c r="BL118" s="48">
        <f>SUMIFS(Imput[[Importe Neto]:[Importe Neto]],Imput[[C. Imp.]:[C. Imp.]],'Indirect Costs'!$C118,Imput[[PERIODO Imp.]:[PERIODO Imp.]],'Indirect Costs'!BL$8)</f>
        <v>0</v>
      </c>
      <c r="BM118" s="48">
        <f>SUMIFS(Imput[[Importe Neto]:[Importe Neto]],Imput[[C. Imp.]:[C. Imp.]],'Indirect Costs'!$C118,Imput[[PERIODO Imp.]:[PERIODO Imp.]],'Indirect Costs'!BM$8)</f>
        <v>0</v>
      </c>
      <c r="BN118" s="48">
        <f>SUMIFS(Imput[[Importe Neto]:[Importe Neto]],Imput[[C. Imp.]:[C. Imp.]],'Indirect Costs'!$C118,Imput[[PERIODO Imp.]:[PERIODO Imp.]],'Indirect Costs'!BN$8)</f>
        <v>0</v>
      </c>
      <c r="BO118" s="48">
        <f>SUMIFS(Imput[[Importe Neto]:[Importe Neto]],Imput[[C. Imp.]:[C. Imp.]],'Indirect Costs'!$C118,Imput[[PERIODO Imp.]:[PERIODO Imp.]],'Indirect Costs'!BO$8)</f>
        <v>0</v>
      </c>
      <c r="BP118" s="48">
        <f>SUMIFS(Imput[[Importe Neto]:[Importe Neto]],Imput[[C. Imp.]:[C. Imp.]],'Indirect Costs'!$C118,Imput[[PERIODO Imp.]:[PERIODO Imp.]],'Indirect Costs'!BP$8)</f>
        <v>0</v>
      </c>
      <c r="BQ118" s="48">
        <f>SUMIFS(Imput[[Importe Neto]:[Importe Neto]],Imput[[C. Imp.]:[C. Imp.]],'Indirect Costs'!$C118,Imput[[PERIODO Imp.]:[PERIODO Imp.]],'Indirect Costs'!BQ$8)</f>
        <v>0</v>
      </c>
      <c r="BR118" s="48">
        <f>SUMIFS(Imput[[Importe Neto]:[Importe Neto]],Imput[[C. Imp.]:[C. Imp.]],'Indirect Costs'!$C118,Imput[[PERIODO Imp.]:[PERIODO Imp.]],'Indirect Costs'!BR$8)</f>
        <v>0</v>
      </c>
      <c r="BS118" s="48">
        <f>SUMIFS(Imput[[Importe Neto]:[Importe Neto]],Imput[[C. Imp.]:[C. Imp.]],'Indirect Costs'!$C118,Imput[[PERIODO Imp.]:[PERIODO Imp.]],'Indirect Costs'!BS$8)</f>
        <v>0</v>
      </c>
      <c r="BT118" s="48">
        <f>SUMIFS(Imput[[Importe Neto]:[Importe Neto]],Imput[[C. Imp.]:[C. Imp.]],'Indirect Costs'!$C118,Imput[[PERIODO Imp.]:[PERIODO Imp.]],'Indirect Costs'!BT$8)</f>
        <v>0</v>
      </c>
      <c r="BU118" s="48">
        <f>SUMIFS(Imput[[Importe Neto]:[Importe Neto]],Imput[[C. Imp.]:[C. Imp.]],'Indirect Costs'!$C118,Imput[[PERIODO Imp.]:[PERIODO Imp.]],'Indirect Costs'!BU$8)</f>
        <v>0</v>
      </c>
      <c r="BV118" s="48">
        <f>SUMIFS(Imput[[Importe Neto]:[Importe Neto]],Imput[[C. Imp.]:[C. Imp.]],'Indirect Costs'!$C118,Imput[[PERIODO Imp.]:[PERIODO Imp.]],'Indirect Costs'!BV$8)</f>
        <v>0</v>
      </c>
      <c r="BW118" s="48">
        <f>SUMIFS(Imput[[Importe Neto]:[Importe Neto]],Imput[[C. Imp.]:[C. Imp.]],'Indirect Costs'!$C118,Imput[[PERIODO Imp.]:[PERIODO Imp.]],'Indirect Costs'!BW$8)</f>
        <v>0</v>
      </c>
      <c r="BX118" s="48">
        <f>SUMIFS(Imput[[Importe Neto]:[Importe Neto]],Imput[[C. Imp.]:[C. Imp.]],'Indirect Costs'!$C118,Imput[[PERIODO Imp.]:[PERIODO Imp.]],'Indirect Costs'!BX$8)</f>
        <v>0</v>
      </c>
      <c r="BY118" s="48">
        <f>SUMIFS(Imput[[Importe Neto]:[Importe Neto]],Imput[[C. Imp.]:[C. Imp.]],'Indirect Costs'!$C118,Imput[[PERIODO Imp.]:[PERIODO Imp.]],'Indirect Costs'!BY$8)</f>
        <v>0</v>
      </c>
      <c r="BZ118" s="48">
        <f>SUMIFS(Imput[[Importe Neto]:[Importe Neto]],Imput[[C. Imp.]:[C. Imp.]],'Indirect Costs'!$C118,Imput[[PERIODO Imp.]:[PERIODO Imp.]],'Indirect Costs'!BZ$8)</f>
        <v>0</v>
      </c>
      <c r="CA118" s="48">
        <f>SUMIFS(Imput[[Importe Neto]:[Importe Neto]],Imput[[C. Imp.]:[C. Imp.]],'Indirect Costs'!$C118,Imput[[PERIODO Imp.]:[PERIODO Imp.]],'Indirect Costs'!CA$8)</f>
        <v>0</v>
      </c>
      <c r="CB118" s="48">
        <f>SUMIFS(Imput[[Importe Neto]:[Importe Neto]],Imput[[C. Imp.]:[C. Imp.]],'Indirect Costs'!$C118,Imput[[PERIODO Imp.]:[PERIODO Imp.]],'Indirect Costs'!CB$8)</f>
        <v>0</v>
      </c>
      <c r="CC118" s="48">
        <f>SUMIFS(Imput[[Importe Neto]:[Importe Neto]],Imput[[C. Imp.]:[C. Imp.]],'Indirect Costs'!$C118,Imput[[PERIODO Imp.]:[PERIODO Imp.]],'Indirect Costs'!CC$8)</f>
        <v>0</v>
      </c>
      <c r="CD118" s="48">
        <f>SUMIFS(Imput[[Importe Neto]:[Importe Neto]],Imput[[C. Imp.]:[C. Imp.]],'Indirect Costs'!$C118,Imput[[PERIODO Imp.]:[PERIODO Imp.]],'Indirect Costs'!CD$8)</f>
        <v>0</v>
      </c>
      <c r="CE118" s="48">
        <f>SUMIFS(Imput[[Importe Neto]:[Importe Neto]],Imput[[C. Imp.]:[C. Imp.]],'Indirect Costs'!$C118,Imput[[PERIODO Imp.]:[PERIODO Imp.]],'Indirect Costs'!CE$8)</f>
        <v>0</v>
      </c>
      <c r="CF118" s="48">
        <f>SUMIFS(Imput[[Importe Neto]:[Importe Neto]],Imput[[C. Imp.]:[C. Imp.]],'Indirect Costs'!$C118,Imput[[PERIODO Imp.]:[PERIODO Imp.]],'Indirect Costs'!CF$8)</f>
        <v>0</v>
      </c>
      <c r="CG118" s="48">
        <f>SUMIFS(Imput[[Importe Neto]:[Importe Neto]],Imput[[C. Imp.]:[C. Imp.]],'Indirect Costs'!$C118,Imput[[PERIODO Imp.]:[PERIODO Imp.]],'Indirect Costs'!CG$8)</f>
        <v>0</v>
      </c>
      <c r="CH118" s="48">
        <f>SUMIFS(Imput[[Importe Neto]:[Importe Neto]],Imput[[C. Imp.]:[C. Imp.]],'Indirect Costs'!$C118,Imput[[PERIODO Imp.]:[PERIODO Imp.]],'Indirect Costs'!CH$8)</f>
        <v>0</v>
      </c>
      <c r="CI118" s="48">
        <f>SUMIFS(Imput[[Importe Neto]:[Importe Neto]],Imput[[C. Imp.]:[C. Imp.]],'Indirect Costs'!$C118,Imput[[PERIODO Imp.]:[PERIODO Imp.]],'Indirect Costs'!CI$8)</f>
        <v>0</v>
      </c>
      <c r="CJ118" s="48">
        <f>SUMIFS(Imput[[Importe Neto]:[Importe Neto]],Imput[[C. Imp.]:[C. Imp.]],'Indirect Costs'!$C118,Imput[[PERIODO Imp.]:[PERIODO Imp.]],'Indirect Costs'!CJ$8)</f>
        <v>0</v>
      </c>
      <c r="CK118" s="48">
        <f>SUMIFS(Imput[[Importe Neto]:[Importe Neto]],Imput[[C. Imp.]:[C. Imp.]],'Indirect Costs'!$C118,Imput[[PERIODO Imp.]:[PERIODO Imp.]],'Indirect Costs'!CK$8)</f>
        <v>0</v>
      </c>
      <c r="CL118" s="48">
        <f>SUMIFS(Imput[[Importe Neto]:[Importe Neto]],Imput[[C. Imp.]:[C. Imp.]],'Indirect Costs'!$C118,Imput[[PERIODO Imp.]:[PERIODO Imp.]],'Indirect Costs'!CL$8)</f>
        <v>0</v>
      </c>
      <c r="CM118" s="48">
        <f>SUMIFS(Imput[[Importe Neto]:[Importe Neto]],Imput[[C. Imp.]:[C. Imp.]],'Indirect Costs'!$C118,Imput[[PERIODO Imp.]:[PERIODO Imp.]],'Indirect Costs'!CM$8)</f>
        <v>0</v>
      </c>
      <c r="CN118" s="48">
        <f>SUMIFS(Imput[[Importe Neto]:[Importe Neto]],Imput[[C. Imp.]:[C. Imp.]],'Indirect Costs'!$C118,Imput[[PERIODO Imp.]:[PERIODO Imp.]],'Indirect Costs'!CN$8)</f>
        <v>0</v>
      </c>
      <c r="CO118" s="48">
        <f>SUMIFS(Imput[[Importe Neto]:[Importe Neto]],Imput[[C. Imp.]:[C. Imp.]],'Indirect Costs'!$C118,Imput[[PERIODO Imp.]:[PERIODO Imp.]],'Indirect Costs'!CO$8)</f>
        <v>0</v>
      </c>
      <c r="CP118" s="48">
        <f>SUMIFS(Imput[[Importe Neto]:[Importe Neto]],Imput[[C. Imp.]:[C. Imp.]],'Indirect Costs'!$C118,Imput[[PERIODO Imp.]:[PERIODO Imp.]],'Indirect Costs'!CP$8)</f>
        <v>0</v>
      </c>
      <c r="CQ118" s="48">
        <f>SUMIFS(Imput[[Importe Neto]:[Importe Neto]],Imput[[C. Imp.]:[C. Imp.]],'Indirect Costs'!$C118,Imput[[PERIODO Imp.]:[PERIODO Imp.]],'Indirect Costs'!CQ$8)</f>
        <v>0</v>
      </c>
      <c r="CR118" s="48">
        <f>SUMIFS(Imput[[Importe Neto]:[Importe Neto]],Imput[[C. Imp.]:[C. Imp.]],'Indirect Costs'!$C118,Imput[[PERIODO Imp.]:[PERIODO Imp.]],'Indirect Costs'!CR$8)</f>
        <v>0</v>
      </c>
      <c r="CS118" s="48">
        <f>SUMIFS(Imput[[Importe Neto]:[Importe Neto]],Imput[[C. Imp.]:[C. Imp.]],'Indirect Costs'!$C118,Imput[[PERIODO Imp.]:[PERIODO Imp.]],'Indirect Costs'!CS$8)</f>
        <v>0</v>
      </c>
      <c r="CT118" s="48">
        <f>SUMIFS(Imput[[Importe Neto]:[Importe Neto]],Imput[[C. Imp.]:[C. Imp.]],'Indirect Costs'!$C118,Imput[[PERIODO Imp.]:[PERIODO Imp.]],'Indirect Costs'!CT$8)</f>
        <v>0</v>
      </c>
      <c r="CU118" s="48">
        <f>SUMIFS(Imput[[Importe Neto]:[Importe Neto]],Imput[[C. Imp.]:[C. Imp.]],'Indirect Costs'!$C118,Imput[[PERIODO Imp.]:[PERIODO Imp.]],'Indirect Costs'!CU$8)</f>
        <v>0</v>
      </c>
      <c r="CV118" s="48">
        <f>SUMIFS(Imput[[Importe Neto]:[Importe Neto]],Imput[[C. Imp.]:[C. Imp.]],'Indirect Costs'!$C118,Imput[[PERIODO Imp.]:[PERIODO Imp.]],'Indirect Costs'!CV$8)</f>
        <v>0</v>
      </c>
      <c r="CW118" s="48">
        <f>SUMIFS(Imput[[Importe Neto]:[Importe Neto]],Imput[[C. Imp.]:[C. Imp.]],'Indirect Costs'!$C118,Imput[[PERIODO Imp.]:[PERIODO Imp.]],'Indirect Costs'!CW$8)</f>
        <v>0</v>
      </c>
      <c r="CX118" s="48">
        <f>SUMIFS(Imput[[Importe Neto]:[Importe Neto]],Imput[[C. Imp.]:[C. Imp.]],'Indirect Costs'!$C118,Imput[[PERIODO Imp.]:[PERIODO Imp.]],'Indirect Costs'!CX$8)</f>
        <v>0</v>
      </c>
      <c r="CY118" s="48">
        <f>SUMIFS(Imput[[Importe Neto]:[Importe Neto]],Imput[[C. Imp.]:[C. Imp.]],'Indirect Costs'!$C118,Imput[[PERIODO Imp.]:[PERIODO Imp.]],'Indirect Costs'!CY$8)</f>
        <v>0</v>
      </c>
      <c r="CZ118" s="48">
        <f>SUMIFS(Imput[[Importe Neto]:[Importe Neto]],Imput[[C. Imp.]:[C. Imp.]],'Indirect Costs'!$C118,Imput[[PERIODO Imp.]:[PERIODO Imp.]],'Indirect Costs'!CZ$8)</f>
        <v>0</v>
      </c>
      <c r="DA118" s="48">
        <f>SUMIFS(Imput[[Importe Neto]:[Importe Neto]],Imput[[C. Imp.]:[C. Imp.]],'Indirect Costs'!$C118,Imput[[PERIODO Imp.]:[PERIODO Imp.]],'Indirect Costs'!DA$8)</f>
        <v>0</v>
      </c>
      <c r="DB118" s="48">
        <f>SUMIFS(Imput[[Importe Neto]:[Importe Neto]],Imput[[C. Imp.]:[C. Imp.]],'Indirect Costs'!$C118,Imput[[PERIODO Imp.]:[PERIODO Imp.]],'Indirect Costs'!DB$8)</f>
        <v>0</v>
      </c>
      <c r="DC118" s="48">
        <f>SUMIFS(Imput[[Importe Neto]:[Importe Neto]],Imput[[C. Imp.]:[C. Imp.]],'Indirect Costs'!$C118,Imput[[PERIODO Imp.]:[PERIODO Imp.]],'Indirect Costs'!DC$8)</f>
        <v>0</v>
      </c>
      <c r="DD118" s="48">
        <f>SUMIFS(Imput[[Importe Neto]:[Importe Neto]],Imput[[C. Imp.]:[C. Imp.]],'Indirect Costs'!$C118,Imput[[PERIODO Imp.]:[PERIODO Imp.]],'Indirect Costs'!DD$8)</f>
        <v>0</v>
      </c>
      <c r="DE118" s="48">
        <f>SUMIFS(Imput[[Importe Neto]:[Importe Neto]],Imput[[C. Imp.]:[C. Imp.]],'Indirect Costs'!$C118,Imput[[PERIODO Imp.]:[PERIODO Imp.]],'Indirect Costs'!DE$8)</f>
        <v>0</v>
      </c>
      <c r="DF118" s="143">
        <f>SUMIFS(Imput[[Importe Neto]:[Importe Neto]],Imput[[C. Imp.]:[C. Imp.]],'Indirect Costs'!$C118,Imput[[PERIODO Imp.]:[PERIODO Imp.]],'Indirect Costs'!DF$8)</f>
        <v>0</v>
      </c>
    </row>
    <row r="119" spans="1:110" outlineLevel="1" x14ac:dyDescent="0.25">
      <c r="A119" s="28" t="str">
        <f t="shared" si="14"/>
        <v/>
      </c>
      <c r="B119" s="50">
        <v>3</v>
      </c>
      <c r="C119" s="57" t="s">
        <v>1836</v>
      </c>
      <c r="D119" s="56" t="s">
        <v>624</v>
      </c>
      <c r="E119" s="57" t="s">
        <v>624</v>
      </c>
      <c r="F119" s="58">
        <v>13664.742</v>
      </c>
      <c r="G119" s="49"/>
      <c r="H119" s="51">
        <v>1</v>
      </c>
      <c r="I119" s="505">
        <f t="shared" si="25"/>
        <v>0</v>
      </c>
      <c r="J119" s="47"/>
      <c r="K119" s="142">
        <v>1</v>
      </c>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143"/>
      <c r="BG119" s="47"/>
      <c r="BH119" s="509"/>
      <c r="BI119" s="505">
        <f t="shared" si="15"/>
        <v>0</v>
      </c>
      <c r="BJ119" s="47"/>
      <c r="BK119" s="142">
        <f>SUMIFS(Imput[[Importe Neto]:[Importe Neto]],Imput[[C. Imp.]:[C. Imp.]],'Indirect Costs'!$C119,Imput[[PERIODO Imp.]:[PERIODO Imp.]],'Indirect Costs'!BK$8)</f>
        <v>0</v>
      </c>
      <c r="BL119" s="48">
        <f>SUMIFS(Imput[[Importe Neto]:[Importe Neto]],Imput[[C. Imp.]:[C. Imp.]],'Indirect Costs'!$C119,Imput[[PERIODO Imp.]:[PERIODO Imp.]],'Indirect Costs'!BL$8)</f>
        <v>0</v>
      </c>
      <c r="BM119" s="48">
        <f>SUMIFS(Imput[[Importe Neto]:[Importe Neto]],Imput[[C. Imp.]:[C. Imp.]],'Indirect Costs'!$C119,Imput[[PERIODO Imp.]:[PERIODO Imp.]],'Indirect Costs'!BM$8)</f>
        <v>0</v>
      </c>
      <c r="BN119" s="48">
        <f>SUMIFS(Imput[[Importe Neto]:[Importe Neto]],Imput[[C. Imp.]:[C. Imp.]],'Indirect Costs'!$C119,Imput[[PERIODO Imp.]:[PERIODO Imp.]],'Indirect Costs'!BN$8)</f>
        <v>0</v>
      </c>
      <c r="BO119" s="48">
        <f>SUMIFS(Imput[[Importe Neto]:[Importe Neto]],Imput[[C. Imp.]:[C. Imp.]],'Indirect Costs'!$C119,Imput[[PERIODO Imp.]:[PERIODO Imp.]],'Indirect Costs'!BO$8)</f>
        <v>0</v>
      </c>
      <c r="BP119" s="48">
        <f>SUMIFS(Imput[[Importe Neto]:[Importe Neto]],Imput[[C. Imp.]:[C. Imp.]],'Indirect Costs'!$C119,Imput[[PERIODO Imp.]:[PERIODO Imp.]],'Indirect Costs'!BP$8)</f>
        <v>0</v>
      </c>
      <c r="BQ119" s="48">
        <f>SUMIFS(Imput[[Importe Neto]:[Importe Neto]],Imput[[C. Imp.]:[C. Imp.]],'Indirect Costs'!$C119,Imput[[PERIODO Imp.]:[PERIODO Imp.]],'Indirect Costs'!BQ$8)</f>
        <v>0</v>
      </c>
      <c r="BR119" s="48">
        <f>SUMIFS(Imput[[Importe Neto]:[Importe Neto]],Imput[[C. Imp.]:[C. Imp.]],'Indirect Costs'!$C119,Imput[[PERIODO Imp.]:[PERIODO Imp.]],'Indirect Costs'!BR$8)</f>
        <v>0</v>
      </c>
      <c r="BS119" s="48">
        <f>SUMIFS(Imput[[Importe Neto]:[Importe Neto]],Imput[[C. Imp.]:[C. Imp.]],'Indirect Costs'!$C119,Imput[[PERIODO Imp.]:[PERIODO Imp.]],'Indirect Costs'!BS$8)</f>
        <v>0</v>
      </c>
      <c r="BT119" s="48">
        <f>SUMIFS(Imput[[Importe Neto]:[Importe Neto]],Imput[[C. Imp.]:[C. Imp.]],'Indirect Costs'!$C119,Imput[[PERIODO Imp.]:[PERIODO Imp.]],'Indirect Costs'!BT$8)</f>
        <v>0</v>
      </c>
      <c r="BU119" s="48">
        <f>SUMIFS(Imput[[Importe Neto]:[Importe Neto]],Imput[[C. Imp.]:[C. Imp.]],'Indirect Costs'!$C119,Imput[[PERIODO Imp.]:[PERIODO Imp.]],'Indirect Costs'!BU$8)</f>
        <v>0</v>
      </c>
      <c r="BV119" s="48">
        <f>SUMIFS(Imput[[Importe Neto]:[Importe Neto]],Imput[[C. Imp.]:[C. Imp.]],'Indirect Costs'!$C119,Imput[[PERIODO Imp.]:[PERIODO Imp.]],'Indirect Costs'!BV$8)</f>
        <v>0</v>
      </c>
      <c r="BW119" s="48">
        <f>SUMIFS(Imput[[Importe Neto]:[Importe Neto]],Imput[[C. Imp.]:[C. Imp.]],'Indirect Costs'!$C119,Imput[[PERIODO Imp.]:[PERIODO Imp.]],'Indirect Costs'!BW$8)</f>
        <v>0</v>
      </c>
      <c r="BX119" s="48">
        <f>SUMIFS(Imput[[Importe Neto]:[Importe Neto]],Imput[[C. Imp.]:[C. Imp.]],'Indirect Costs'!$C119,Imput[[PERIODO Imp.]:[PERIODO Imp.]],'Indirect Costs'!BX$8)</f>
        <v>0</v>
      </c>
      <c r="BY119" s="48">
        <f>SUMIFS(Imput[[Importe Neto]:[Importe Neto]],Imput[[C. Imp.]:[C. Imp.]],'Indirect Costs'!$C119,Imput[[PERIODO Imp.]:[PERIODO Imp.]],'Indirect Costs'!BY$8)</f>
        <v>0</v>
      </c>
      <c r="BZ119" s="48">
        <f>SUMIFS(Imput[[Importe Neto]:[Importe Neto]],Imput[[C. Imp.]:[C. Imp.]],'Indirect Costs'!$C119,Imput[[PERIODO Imp.]:[PERIODO Imp.]],'Indirect Costs'!BZ$8)</f>
        <v>0</v>
      </c>
      <c r="CA119" s="48">
        <f>SUMIFS(Imput[[Importe Neto]:[Importe Neto]],Imput[[C. Imp.]:[C. Imp.]],'Indirect Costs'!$C119,Imput[[PERIODO Imp.]:[PERIODO Imp.]],'Indirect Costs'!CA$8)</f>
        <v>0</v>
      </c>
      <c r="CB119" s="48">
        <f>SUMIFS(Imput[[Importe Neto]:[Importe Neto]],Imput[[C. Imp.]:[C. Imp.]],'Indirect Costs'!$C119,Imput[[PERIODO Imp.]:[PERIODO Imp.]],'Indirect Costs'!CB$8)</f>
        <v>0</v>
      </c>
      <c r="CC119" s="48">
        <f>SUMIFS(Imput[[Importe Neto]:[Importe Neto]],Imput[[C. Imp.]:[C. Imp.]],'Indirect Costs'!$C119,Imput[[PERIODO Imp.]:[PERIODO Imp.]],'Indirect Costs'!CC$8)</f>
        <v>0</v>
      </c>
      <c r="CD119" s="48">
        <f>SUMIFS(Imput[[Importe Neto]:[Importe Neto]],Imput[[C. Imp.]:[C. Imp.]],'Indirect Costs'!$C119,Imput[[PERIODO Imp.]:[PERIODO Imp.]],'Indirect Costs'!CD$8)</f>
        <v>0</v>
      </c>
      <c r="CE119" s="48">
        <f>SUMIFS(Imput[[Importe Neto]:[Importe Neto]],Imput[[C. Imp.]:[C. Imp.]],'Indirect Costs'!$C119,Imput[[PERIODO Imp.]:[PERIODO Imp.]],'Indirect Costs'!CE$8)</f>
        <v>0</v>
      </c>
      <c r="CF119" s="48">
        <f>SUMIFS(Imput[[Importe Neto]:[Importe Neto]],Imput[[C. Imp.]:[C. Imp.]],'Indirect Costs'!$C119,Imput[[PERIODO Imp.]:[PERIODO Imp.]],'Indirect Costs'!CF$8)</f>
        <v>0</v>
      </c>
      <c r="CG119" s="48">
        <f>SUMIFS(Imput[[Importe Neto]:[Importe Neto]],Imput[[C. Imp.]:[C. Imp.]],'Indirect Costs'!$C119,Imput[[PERIODO Imp.]:[PERIODO Imp.]],'Indirect Costs'!CG$8)</f>
        <v>0</v>
      </c>
      <c r="CH119" s="48">
        <f>SUMIFS(Imput[[Importe Neto]:[Importe Neto]],Imput[[C. Imp.]:[C. Imp.]],'Indirect Costs'!$C119,Imput[[PERIODO Imp.]:[PERIODO Imp.]],'Indirect Costs'!CH$8)</f>
        <v>0</v>
      </c>
      <c r="CI119" s="48">
        <f>SUMIFS(Imput[[Importe Neto]:[Importe Neto]],Imput[[C. Imp.]:[C. Imp.]],'Indirect Costs'!$C119,Imput[[PERIODO Imp.]:[PERIODO Imp.]],'Indirect Costs'!CI$8)</f>
        <v>0</v>
      </c>
      <c r="CJ119" s="48">
        <f>SUMIFS(Imput[[Importe Neto]:[Importe Neto]],Imput[[C. Imp.]:[C. Imp.]],'Indirect Costs'!$C119,Imput[[PERIODO Imp.]:[PERIODO Imp.]],'Indirect Costs'!CJ$8)</f>
        <v>0</v>
      </c>
      <c r="CK119" s="48">
        <f>SUMIFS(Imput[[Importe Neto]:[Importe Neto]],Imput[[C. Imp.]:[C. Imp.]],'Indirect Costs'!$C119,Imput[[PERIODO Imp.]:[PERIODO Imp.]],'Indirect Costs'!CK$8)</f>
        <v>0</v>
      </c>
      <c r="CL119" s="48">
        <f>SUMIFS(Imput[[Importe Neto]:[Importe Neto]],Imput[[C. Imp.]:[C. Imp.]],'Indirect Costs'!$C119,Imput[[PERIODO Imp.]:[PERIODO Imp.]],'Indirect Costs'!CL$8)</f>
        <v>0</v>
      </c>
      <c r="CM119" s="48">
        <f>SUMIFS(Imput[[Importe Neto]:[Importe Neto]],Imput[[C. Imp.]:[C. Imp.]],'Indirect Costs'!$C119,Imput[[PERIODO Imp.]:[PERIODO Imp.]],'Indirect Costs'!CM$8)</f>
        <v>0</v>
      </c>
      <c r="CN119" s="48">
        <f>SUMIFS(Imput[[Importe Neto]:[Importe Neto]],Imput[[C. Imp.]:[C. Imp.]],'Indirect Costs'!$C119,Imput[[PERIODO Imp.]:[PERIODO Imp.]],'Indirect Costs'!CN$8)</f>
        <v>0</v>
      </c>
      <c r="CO119" s="48">
        <f>SUMIFS(Imput[[Importe Neto]:[Importe Neto]],Imput[[C. Imp.]:[C. Imp.]],'Indirect Costs'!$C119,Imput[[PERIODO Imp.]:[PERIODO Imp.]],'Indirect Costs'!CO$8)</f>
        <v>0</v>
      </c>
      <c r="CP119" s="48">
        <f>SUMIFS(Imput[[Importe Neto]:[Importe Neto]],Imput[[C. Imp.]:[C. Imp.]],'Indirect Costs'!$C119,Imput[[PERIODO Imp.]:[PERIODO Imp.]],'Indirect Costs'!CP$8)</f>
        <v>0</v>
      </c>
      <c r="CQ119" s="48">
        <f>SUMIFS(Imput[[Importe Neto]:[Importe Neto]],Imput[[C. Imp.]:[C. Imp.]],'Indirect Costs'!$C119,Imput[[PERIODO Imp.]:[PERIODO Imp.]],'Indirect Costs'!CQ$8)</f>
        <v>0</v>
      </c>
      <c r="CR119" s="48">
        <f>SUMIFS(Imput[[Importe Neto]:[Importe Neto]],Imput[[C. Imp.]:[C. Imp.]],'Indirect Costs'!$C119,Imput[[PERIODO Imp.]:[PERIODO Imp.]],'Indirect Costs'!CR$8)</f>
        <v>0</v>
      </c>
      <c r="CS119" s="48">
        <f>SUMIFS(Imput[[Importe Neto]:[Importe Neto]],Imput[[C. Imp.]:[C. Imp.]],'Indirect Costs'!$C119,Imput[[PERIODO Imp.]:[PERIODO Imp.]],'Indirect Costs'!CS$8)</f>
        <v>0</v>
      </c>
      <c r="CT119" s="48">
        <f>SUMIFS(Imput[[Importe Neto]:[Importe Neto]],Imput[[C. Imp.]:[C. Imp.]],'Indirect Costs'!$C119,Imput[[PERIODO Imp.]:[PERIODO Imp.]],'Indirect Costs'!CT$8)</f>
        <v>0</v>
      </c>
      <c r="CU119" s="48">
        <f>SUMIFS(Imput[[Importe Neto]:[Importe Neto]],Imput[[C. Imp.]:[C. Imp.]],'Indirect Costs'!$C119,Imput[[PERIODO Imp.]:[PERIODO Imp.]],'Indirect Costs'!CU$8)</f>
        <v>0</v>
      </c>
      <c r="CV119" s="48">
        <f>SUMIFS(Imput[[Importe Neto]:[Importe Neto]],Imput[[C. Imp.]:[C. Imp.]],'Indirect Costs'!$C119,Imput[[PERIODO Imp.]:[PERIODO Imp.]],'Indirect Costs'!CV$8)</f>
        <v>0</v>
      </c>
      <c r="CW119" s="48">
        <f>SUMIFS(Imput[[Importe Neto]:[Importe Neto]],Imput[[C. Imp.]:[C. Imp.]],'Indirect Costs'!$C119,Imput[[PERIODO Imp.]:[PERIODO Imp.]],'Indirect Costs'!CW$8)</f>
        <v>0</v>
      </c>
      <c r="CX119" s="48">
        <f>SUMIFS(Imput[[Importe Neto]:[Importe Neto]],Imput[[C. Imp.]:[C. Imp.]],'Indirect Costs'!$C119,Imput[[PERIODO Imp.]:[PERIODO Imp.]],'Indirect Costs'!CX$8)</f>
        <v>0</v>
      </c>
      <c r="CY119" s="48">
        <f>SUMIFS(Imput[[Importe Neto]:[Importe Neto]],Imput[[C. Imp.]:[C. Imp.]],'Indirect Costs'!$C119,Imput[[PERIODO Imp.]:[PERIODO Imp.]],'Indirect Costs'!CY$8)</f>
        <v>0</v>
      </c>
      <c r="CZ119" s="48">
        <f>SUMIFS(Imput[[Importe Neto]:[Importe Neto]],Imput[[C. Imp.]:[C. Imp.]],'Indirect Costs'!$C119,Imput[[PERIODO Imp.]:[PERIODO Imp.]],'Indirect Costs'!CZ$8)</f>
        <v>0</v>
      </c>
      <c r="DA119" s="48">
        <f>SUMIFS(Imput[[Importe Neto]:[Importe Neto]],Imput[[C. Imp.]:[C. Imp.]],'Indirect Costs'!$C119,Imput[[PERIODO Imp.]:[PERIODO Imp.]],'Indirect Costs'!DA$8)</f>
        <v>0</v>
      </c>
      <c r="DB119" s="48">
        <f>SUMIFS(Imput[[Importe Neto]:[Importe Neto]],Imput[[C. Imp.]:[C. Imp.]],'Indirect Costs'!$C119,Imput[[PERIODO Imp.]:[PERIODO Imp.]],'Indirect Costs'!DB$8)</f>
        <v>0</v>
      </c>
      <c r="DC119" s="48">
        <f>SUMIFS(Imput[[Importe Neto]:[Importe Neto]],Imput[[C. Imp.]:[C. Imp.]],'Indirect Costs'!$C119,Imput[[PERIODO Imp.]:[PERIODO Imp.]],'Indirect Costs'!DC$8)</f>
        <v>0</v>
      </c>
      <c r="DD119" s="48">
        <f>SUMIFS(Imput[[Importe Neto]:[Importe Neto]],Imput[[C. Imp.]:[C. Imp.]],'Indirect Costs'!$C119,Imput[[PERIODO Imp.]:[PERIODO Imp.]],'Indirect Costs'!DD$8)</f>
        <v>0</v>
      </c>
      <c r="DE119" s="48">
        <f>SUMIFS(Imput[[Importe Neto]:[Importe Neto]],Imput[[C. Imp.]:[C. Imp.]],'Indirect Costs'!$C119,Imput[[PERIODO Imp.]:[PERIODO Imp.]],'Indirect Costs'!DE$8)</f>
        <v>0</v>
      </c>
      <c r="DF119" s="143">
        <f>SUMIFS(Imput[[Importe Neto]:[Importe Neto]],Imput[[C. Imp.]:[C. Imp.]],'Indirect Costs'!$C119,Imput[[PERIODO Imp.]:[PERIODO Imp.]],'Indirect Costs'!DF$8)</f>
        <v>0</v>
      </c>
    </row>
    <row r="120" spans="1:110" outlineLevel="1" x14ac:dyDescent="0.25">
      <c r="A120" s="28" t="str">
        <f t="shared" si="14"/>
        <v>Imprimir</v>
      </c>
      <c r="B120" s="50">
        <v>4</v>
      </c>
      <c r="C120" s="57" t="s">
        <v>1837</v>
      </c>
      <c r="D120" s="56" t="s">
        <v>625</v>
      </c>
      <c r="E120" s="57" t="s">
        <v>625</v>
      </c>
      <c r="F120" s="58">
        <v>7554.9139999999989</v>
      </c>
      <c r="G120" s="49">
        <v>1</v>
      </c>
      <c r="H120" s="51">
        <v>1</v>
      </c>
      <c r="I120" s="505">
        <f t="shared" si="25"/>
        <v>7554.9139999999989</v>
      </c>
      <c r="J120" s="47"/>
      <c r="K120" s="142">
        <v>1</v>
      </c>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143"/>
      <c r="BG120" s="47"/>
      <c r="BH120" s="509"/>
      <c r="BI120" s="505">
        <f t="shared" si="15"/>
        <v>0</v>
      </c>
      <c r="BJ120" s="47"/>
      <c r="BK120" s="142">
        <f>SUMIFS(Imput[[Importe Neto]:[Importe Neto]],Imput[[C. Imp.]:[C. Imp.]],'Indirect Costs'!$C120,Imput[[PERIODO Imp.]:[PERIODO Imp.]],'Indirect Costs'!BK$8)</f>
        <v>0</v>
      </c>
      <c r="BL120" s="48">
        <f>SUMIFS(Imput[[Importe Neto]:[Importe Neto]],Imput[[C. Imp.]:[C. Imp.]],'Indirect Costs'!$C120,Imput[[PERIODO Imp.]:[PERIODO Imp.]],'Indirect Costs'!BL$8)</f>
        <v>0</v>
      </c>
      <c r="BM120" s="48">
        <f>SUMIFS(Imput[[Importe Neto]:[Importe Neto]],Imput[[C. Imp.]:[C. Imp.]],'Indirect Costs'!$C120,Imput[[PERIODO Imp.]:[PERIODO Imp.]],'Indirect Costs'!BM$8)</f>
        <v>0</v>
      </c>
      <c r="BN120" s="48">
        <f>SUMIFS(Imput[[Importe Neto]:[Importe Neto]],Imput[[C. Imp.]:[C. Imp.]],'Indirect Costs'!$C120,Imput[[PERIODO Imp.]:[PERIODO Imp.]],'Indirect Costs'!BN$8)</f>
        <v>0</v>
      </c>
      <c r="BO120" s="48">
        <f>SUMIFS(Imput[[Importe Neto]:[Importe Neto]],Imput[[C. Imp.]:[C. Imp.]],'Indirect Costs'!$C120,Imput[[PERIODO Imp.]:[PERIODO Imp.]],'Indirect Costs'!BO$8)</f>
        <v>0</v>
      </c>
      <c r="BP120" s="48">
        <f>SUMIFS(Imput[[Importe Neto]:[Importe Neto]],Imput[[C. Imp.]:[C. Imp.]],'Indirect Costs'!$C120,Imput[[PERIODO Imp.]:[PERIODO Imp.]],'Indirect Costs'!BP$8)</f>
        <v>0</v>
      </c>
      <c r="BQ120" s="48">
        <f>SUMIFS(Imput[[Importe Neto]:[Importe Neto]],Imput[[C. Imp.]:[C. Imp.]],'Indirect Costs'!$C120,Imput[[PERIODO Imp.]:[PERIODO Imp.]],'Indirect Costs'!BQ$8)</f>
        <v>0</v>
      </c>
      <c r="BR120" s="48">
        <f>SUMIFS(Imput[[Importe Neto]:[Importe Neto]],Imput[[C. Imp.]:[C. Imp.]],'Indirect Costs'!$C120,Imput[[PERIODO Imp.]:[PERIODO Imp.]],'Indirect Costs'!BR$8)</f>
        <v>0</v>
      </c>
      <c r="BS120" s="48">
        <f>SUMIFS(Imput[[Importe Neto]:[Importe Neto]],Imput[[C. Imp.]:[C. Imp.]],'Indirect Costs'!$C120,Imput[[PERIODO Imp.]:[PERIODO Imp.]],'Indirect Costs'!BS$8)</f>
        <v>0</v>
      </c>
      <c r="BT120" s="48">
        <f>SUMIFS(Imput[[Importe Neto]:[Importe Neto]],Imput[[C. Imp.]:[C. Imp.]],'Indirect Costs'!$C120,Imput[[PERIODO Imp.]:[PERIODO Imp.]],'Indirect Costs'!BT$8)</f>
        <v>0</v>
      </c>
      <c r="BU120" s="48">
        <f>SUMIFS(Imput[[Importe Neto]:[Importe Neto]],Imput[[C. Imp.]:[C. Imp.]],'Indirect Costs'!$C120,Imput[[PERIODO Imp.]:[PERIODO Imp.]],'Indirect Costs'!BU$8)</f>
        <v>0</v>
      </c>
      <c r="BV120" s="48">
        <f>SUMIFS(Imput[[Importe Neto]:[Importe Neto]],Imput[[C. Imp.]:[C. Imp.]],'Indirect Costs'!$C120,Imput[[PERIODO Imp.]:[PERIODO Imp.]],'Indirect Costs'!BV$8)</f>
        <v>0</v>
      </c>
      <c r="BW120" s="48">
        <f>SUMIFS(Imput[[Importe Neto]:[Importe Neto]],Imput[[C. Imp.]:[C. Imp.]],'Indirect Costs'!$C120,Imput[[PERIODO Imp.]:[PERIODO Imp.]],'Indirect Costs'!BW$8)</f>
        <v>0</v>
      </c>
      <c r="BX120" s="48">
        <f>SUMIFS(Imput[[Importe Neto]:[Importe Neto]],Imput[[C. Imp.]:[C. Imp.]],'Indirect Costs'!$C120,Imput[[PERIODO Imp.]:[PERIODO Imp.]],'Indirect Costs'!BX$8)</f>
        <v>0</v>
      </c>
      <c r="BY120" s="48">
        <f>SUMIFS(Imput[[Importe Neto]:[Importe Neto]],Imput[[C. Imp.]:[C. Imp.]],'Indirect Costs'!$C120,Imput[[PERIODO Imp.]:[PERIODO Imp.]],'Indirect Costs'!BY$8)</f>
        <v>0</v>
      </c>
      <c r="BZ120" s="48">
        <f>SUMIFS(Imput[[Importe Neto]:[Importe Neto]],Imput[[C. Imp.]:[C. Imp.]],'Indirect Costs'!$C120,Imput[[PERIODO Imp.]:[PERIODO Imp.]],'Indirect Costs'!BZ$8)</f>
        <v>0</v>
      </c>
      <c r="CA120" s="48">
        <f>SUMIFS(Imput[[Importe Neto]:[Importe Neto]],Imput[[C. Imp.]:[C. Imp.]],'Indirect Costs'!$C120,Imput[[PERIODO Imp.]:[PERIODO Imp.]],'Indirect Costs'!CA$8)</f>
        <v>0</v>
      </c>
      <c r="CB120" s="48">
        <f>SUMIFS(Imput[[Importe Neto]:[Importe Neto]],Imput[[C. Imp.]:[C. Imp.]],'Indirect Costs'!$C120,Imput[[PERIODO Imp.]:[PERIODO Imp.]],'Indirect Costs'!CB$8)</f>
        <v>0</v>
      </c>
      <c r="CC120" s="48">
        <f>SUMIFS(Imput[[Importe Neto]:[Importe Neto]],Imput[[C. Imp.]:[C. Imp.]],'Indirect Costs'!$C120,Imput[[PERIODO Imp.]:[PERIODO Imp.]],'Indirect Costs'!CC$8)</f>
        <v>0</v>
      </c>
      <c r="CD120" s="48">
        <f>SUMIFS(Imput[[Importe Neto]:[Importe Neto]],Imput[[C. Imp.]:[C. Imp.]],'Indirect Costs'!$C120,Imput[[PERIODO Imp.]:[PERIODO Imp.]],'Indirect Costs'!CD$8)</f>
        <v>0</v>
      </c>
      <c r="CE120" s="48">
        <f>SUMIFS(Imput[[Importe Neto]:[Importe Neto]],Imput[[C. Imp.]:[C. Imp.]],'Indirect Costs'!$C120,Imput[[PERIODO Imp.]:[PERIODO Imp.]],'Indirect Costs'!CE$8)</f>
        <v>0</v>
      </c>
      <c r="CF120" s="48">
        <f>SUMIFS(Imput[[Importe Neto]:[Importe Neto]],Imput[[C. Imp.]:[C. Imp.]],'Indirect Costs'!$C120,Imput[[PERIODO Imp.]:[PERIODO Imp.]],'Indirect Costs'!CF$8)</f>
        <v>0</v>
      </c>
      <c r="CG120" s="48">
        <f>SUMIFS(Imput[[Importe Neto]:[Importe Neto]],Imput[[C. Imp.]:[C. Imp.]],'Indirect Costs'!$C120,Imput[[PERIODO Imp.]:[PERIODO Imp.]],'Indirect Costs'!CG$8)</f>
        <v>0</v>
      </c>
      <c r="CH120" s="48">
        <f>SUMIFS(Imput[[Importe Neto]:[Importe Neto]],Imput[[C. Imp.]:[C. Imp.]],'Indirect Costs'!$C120,Imput[[PERIODO Imp.]:[PERIODO Imp.]],'Indirect Costs'!CH$8)</f>
        <v>0</v>
      </c>
      <c r="CI120" s="48">
        <f>SUMIFS(Imput[[Importe Neto]:[Importe Neto]],Imput[[C. Imp.]:[C. Imp.]],'Indirect Costs'!$C120,Imput[[PERIODO Imp.]:[PERIODO Imp.]],'Indirect Costs'!CI$8)</f>
        <v>0</v>
      </c>
      <c r="CJ120" s="48">
        <f>SUMIFS(Imput[[Importe Neto]:[Importe Neto]],Imput[[C. Imp.]:[C. Imp.]],'Indirect Costs'!$C120,Imput[[PERIODO Imp.]:[PERIODO Imp.]],'Indirect Costs'!CJ$8)</f>
        <v>0</v>
      </c>
      <c r="CK120" s="48">
        <f>SUMIFS(Imput[[Importe Neto]:[Importe Neto]],Imput[[C. Imp.]:[C. Imp.]],'Indirect Costs'!$C120,Imput[[PERIODO Imp.]:[PERIODO Imp.]],'Indirect Costs'!CK$8)</f>
        <v>0</v>
      </c>
      <c r="CL120" s="48">
        <f>SUMIFS(Imput[[Importe Neto]:[Importe Neto]],Imput[[C. Imp.]:[C. Imp.]],'Indirect Costs'!$C120,Imput[[PERIODO Imp.]:[PERIODO Imp.]],'Indirect Costs'!CL$8)</f>
        <v>0</v>
      </c>
      <c r="CM120" s="48">
        <f>SUMIFS(Imput[[Importe Neto]:[Importe Neto]],Imput[[C. Imp.]:[C. Imp.]],'Indirect Costs'!$C120,Imput[[PERIODO Imp.]:[PERIODO Imp.]],'Indirect Costs'!CM$8)</f>
        <v>0</v>
      </c>
      <c r="CN120" s="48">
        <f>SUMIFS(Imput[[Importe Neto]:[Importe Neto]],Imput[[C. Imp.]:[C. Imp.]],'Indirect Costs'!$C120,Imput[[PERIODO Imp.]:[PERIODO Imp.]],'Indirect Costs'!CN$8)</f>
        <v>0</v>
      </c>
      <c r="CO120" s="48">
        <f>SUMIFS(Imput[[Importe Neto]:[Importe Neto]],Imput[[C. Imp.]:[C. Imp.]],'Indirect Costs'!$C120,Imput[[PERIODO Imp.]:[PERIODO Imp.]],'Indirect Costs'!CO$8)</f>
        <v>0</v>
      </c>
      <c r="CP120" s="48">
        <f>SUMIFS(Imput[[Importe Neto]:[Importe Neto]],Imput[[C. Imp.]:[C. Imp.]],'Indirect Costs'!$C120,Imput[[PERIODO Imp.]:[PERIODO Imp.]],'Indirect Costs'!CP$8)</f>
        <v>0</v>
      </c>
      <c r="CQ120" s="48">
        <f>SUMIFS(Imput[[Importe Neto]:[Importe Neto]],Imput[[C. Imp.]:[C. Imp.]],'Indirect Costs'!$C120,Imput[[PERIODO Imp.]:[PERIODO Imp.]],'Indirect Costs'!CQ$8)</f>
        <v>0</v>
      </c>
      <c r="CR120" s="48">
        <f>SUMIFS(Imput[[Importe Neto]:[Importe Neto]],Imput[[C. Imp.]:[C. Imp.]],'Indirect Costs'!$C120,Imput[[PERIODO Imp.]:[PERIODO Imp.]],'Indirect Costs'!CR$8)</f>
        <v>0</v>
      </c>
      <c r="CS120" s="48">
        <f>SUMIFS(Imput[[Importe Neto]:[Importe Neto]],Imput[[C. Imp.]:[C. Imp.]],'Indirect Costs'!$C120,Imput[[PERIODO Imp.]:[PERIODO Imp.]],'Indirect Costs'!CS$8)</f>
        <v>0</v>
      </c>
      <c r="CT120" s="48">
        <f>SUMIFS(Imput[[Importe Neto]:[Importe Neto]],Imput[[C. Imp.]:[C. Imp.]],'Indirect Costs'!$C120,Imput[[PERIODO Imp.]:[PERIODO Imp.]],'Indirect Costs'!CT$8)</f>
        <v>0</v>
      </c>
      <c r="CU120" s="48">
        <f>SUMIFS(Imput[[Importe Neto]:[Importe Neto]],Imput[[C. Imp.]:[C. Imp.]],'Indirect Costs'!$C120,Imput[[PERIODO Imp.]:[PERIODO Imp.]],'Indirect Costs'!CU$8)</f>
        <v>0</v>
      </c>
      <c r="CV120" s="48">
        <f>SUMIFS(Imput[[Importe Neto]:[Importe Neto]],Imput[[C. Imp.]:[C. Imp.]],'Indirect Costs'!$C120,Imput[[PERIODO Imp.]:[PERIODO Imp.]],'Indirect Costs'!CV$8)</f>
        <v>0</v>
      </c>
      <c r="CW120" s="48">
        <f>SUMIFS(Imput[[Importe Neto]:[Importe Neto]],Imput[[C. Imp.]:[C. Imp.]],'Indirect Costs'!$C120,Imput[[PERIODO Imp.]:[PERIODO Imp.]],'Indirect Costs'!CW$8)</f>
        <v>0</v>
      </c>
      <c r="CX120" s="48">
        <f>SUMIFS(Imput[[Importe Neto]:[Importe Neto]],Imput[[C. Imp.]:[C. Imp.]],'Indirect Costs'!$C120,Imput[[PERIODO Imp.]:[PERIODO Imp.]],'Indirect Costs'!CX$8)</f>
        <v>0</v>
      </c>
      <c r="CY120" s="48">
        <f>SUMIFS(Imput[[Importe Neto]:[Importe Neto]],Imput[[C. Imp.]:[C. Imp.]],'Indirect Costs'!$C120,Imput[[PERIODO Imp.]:[PERIODO Imp.]],'Indirect Costs'!CY$8)</f>
        <v>0</v>
      </c>
      <c r="CZ120" s="48">
        <f>SUMIFS(Imput[[Importe Neto]:[Importe Neto]],Imput[[C. Imp.]:[C. Imp.]],'Indirect Costs'!$C120,Imput[[PERIODO Imp.]:[PERIODO Imp.]],'Indirect Costs'!CZ$8)</f>
        <v>0</v>
      </c>
      <c r="DA120" s="48">
        <f>SUMIFS(Imput[[Importe Neto]:[Importe Neto]],Imput[[C. Imp.]:[C. Imp.]],'Indirect Costs'!$C120,Imput[[PERIODO Imp.]:[PERIODO Imp.]],'Indirect Costs'!DA$8)</f>
        <v>0</v>
      </c>
      <c r="DB120" s="48">
        <f>SUMIFS(Imput[[Importe Neto]:[Importe Neto]],Imput[[C. Imp.]:[C. Imp.]],'Indirect Costs'!$C120,Imput[[PERIODO Imp.]:[PERIODO Imp.]],'Indirect Costs'!DB$8)</f>
        <v>0</v>
      </c>
      <c r="DC120" s="48">
        <f>SUMIFS(Imput[[Importe Neto]:[Importe Neto]],Imput[[C. Imp.]:[C. Imp.]],'Indirect Costs'!$C120,Imput[[PERIODO Imp.]:[PERIODO Imp.]],'Indirect Costs'!DC$8)</f>
        <v>0</v>
      </c>
      <c r="DD120" s="48">
        <f>SUMIFS(Imput[[Importe Neto]:[Importe Neto]],Imput[[C. Imp.]:[C. Imp.]],'Indirect Costs'!$C120,Imput[[PERIODO Imp.]:[PERIODO Imp.]],'Indirect Costs'!DD$8)</f>
        <v>0</v>
      </c>
      <c r="DE120" s="48">
        <f>SUMIFS(Imput[[Importe Neto]:[Importe Neto]],Imput[[C. Imp.]:[C. Imp.]],'Indirect Costs'!$C120,Imput[[PERIODO Imp.]:[PERIODO Imp.]],'Indirect Costs'!DE$8)</f>
        <v>0</v>
      </c>
      <c r="DF120" s="143">
        <f>SUMIFS(Imput[[Importe Neto]:[Importe Neto]],Imput[[C. Imp.]:[C. Imp.]],'Indirect Costs'!$C120,Imput[[PERIODO Imp.]:[PERIODO Imp.]],'Indirect Costs'!DF$8)</f>
        <v>0</v>
      </c>
    </row>
    <row r="121" spans="1:110" outlineLevel="1" x14ac:dyDescent="0.25">
      <c r="A121" s="28" t="str">
        <f t="shared" si="14"/>
        <v/>
      </c>
      <c r="B121" s="50">
        <v>5</v>
      </c>
      <c r="C121" s="57" t="s">
        <v>1838</v>
      </c>
      <c r="D121" s="56" t="s">
        <v>626</v>
      </c>
      <c r="E121" s="57" t="s">
        <v>626</v>
      </c>
      <c r="F121" s="58"/>
      <c r="G121" s="49"/>
      <c r="H121" s="51">
        <v>1</v>
      </c>
      <c r="I121" s="505">
        <f t="shared" si="25"/>
        <v>0</v>
      </c>
      <c r="J121" s="47"/>
      <c r="K121" s="142"/>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143"/>
      <c r="BG121" s="47"/>
      <c r="BH121" s="509"/>
      <c r="BI121" s="505">
        <f t="shared" si="15"/>
        <v>0</v>
      </c>
      <c r="BJ121" s="47"/>
      <c r="BK121" s="142">
        <f>SUMIFS(Imput[[Importe Neto]:[Importe Neto]],Imput[[C. Imp.]:[C. Imp.]],'Indirect Costs'!$C121,Imput[[PERIODO Imp.]:[PERIODO Imp.]],'Indirect Costs'!BK$8)</f>
        <v>0</v>
      </c>
      <c r="BL121" s="48">
        <f>SUMIFS(Imput[[Importe Neto]:[Importe Neto]],Imput[[C. Imp.]:[C. Imp.]],'Indirect Costs'!$C121,Imput[[PERIODO Imp.]:[PERIODO Imp.]],'Indirect Costs'!BL$8)</f>
        <v>0</v>
      </c>
      <c r="BM121" s="48">
        <f>SUMIFS(Imput[[Importe Neto]:[Importe Neto]],Imput[[C. Imp.]:[C. Imp.]],'Indirect Costs'!$C121,Imput[[PERIODO Imp.]:[PERIODO Imp.]],'Indirect Costs'!BM$8)</f>
        <v>0</v>
      </c>
      <c r="BN121" s="48">
        <f>SUMIFS(Imput[[Importe Neto]:[Importe Neto]],Imput[[C. Imp.]:[C. Imp.]],'Indirect Costs'!$C121,Imput[[PERIODO Imp.]:[PERIODO Imp.]],'Indirect Costs'!BN$8)</f>
        <v>0</v>
      </c>
      <c r="BO121" s="48">
        <f>SUMIFS(Imput[[Importe Neto]:[Importe Neto]],Imput[[C. Imp.]:[C. Imp.]],'Indirect Costs'!$C121,Imput[[PERIODO Imp.]:[PERIODO Imp.]],'Indirect Costs'!BO$8)</f>
        <v>0</v>
      </c>
      <c r="BP121" s="48">
        <f>SUMIFS(Imput[[Importe Neto]:[Importe Neto]],Imput[[C. Imp.]:[C. Imp.]],'Indirect Costs'!$C121,Imput[[PERIODO Imp.]:[PERIODO Imp.]],'Indirect Costs'!BP$8)</f>
        <v>0</v>
      </c>
      <c r="BQ121" s="48">
        <f>SUMIFS(Imput[[Importe Neto]:[Importe Neto]],Imput[[C. Imp.]:[C. Imp.]],'Indirect Costs'!$C121,Imput[[PERIODO Imp.]:[PERIODO Imp.]],'Indirect Costs'!BQ$8)</f>
        <v>0</v>
      </c>
      <c r="BR121" s="48">
        <f>SUMIFS(Imput[[Importe Neto]:[Importe Neto]],Imput[[C. Imp.]:[C. Imp.]],'Indirect Costs'!$C121,Imput[[PERIODO Imp.]:[PERIODO Imp.]],'Indirect Costs'!BR$8)</f>
        <v>0</v>
      </c>
      <c r="BS121" s="48">
        <f>SUMIFS(Imput[[Importe Neto]:[Importe Neto]],Imput[[C. Imp.]:[C. Imp.]],'Indirect Costs'!$C121,Imput[[PERIODO Imp.]:[PERIODO Imp.]],'Indirect Costs'!BS$8)</f>
        <v>0</v>
      </c>
      <c r="BT121" s="48">
        <f>SUMIFS(Imput[[Importe Neto]:[Importe Neto]],Imput[[C. Imp.]:[C. Imp.]],'Indirect Costs'!$C121,Imput[[PERIODO Imp.]:[PERIODO Imp.]],'Indirect Costs'!BT$8)</f>
        <v>0</v>
      </c>
      <c r="BU121" s="48">
        <f>SUMIFS(Imput[[Importe Neto]:[Importe Neto]],Imput[[C. Imp.]:[C. Imp.]],'Indirect Costs'!$C121,Imput[[PERIODO Imp.]:[PERIODO Imp.]],'Indirect Costs'!BU$8)</f>
        <v>0</v>
      </c>
      <c r="BV121" s="48">
        <f>SUMIFS(Imput[[Importe Neto]:[Importe Neto]],Imput[[C. Imp.]:[C. Imp.]],'Indirect Costs'!$C121,Imput[[PERIODO Imp.]:[PERIODO Imp.]],'Indirect Costs'!BV$8)</f>
        <v>0</v>
      </c>
      <c r="BW121" s="48">
        <f>SUMIFS(Imput[[Importe Neto]:[Importe Neto]],Imput[[C. Imp.]:[C. Imp.]],'Indirect Costs'!$C121,Imput[[PERIODO Imp.]:[PERIODO Imp.]],'Indirect Costs'!BW$8)</f>
        <v>0</v>
      </c>
      <c r="BX121" s="48">
        <f>SUMIFS(Imput[[Importe Neto]:[Importe Neto]],Imput[[C. Imp.]:[C. Imp.]],'Indirect Costs'!$C121,Imput[[PERIODO Imp.]:[PERIODO Imp.]],'Indirect Costs'!BX$8)</f>
        <v>0</v>
      </c>
      <c r="BY121" s="48">
        <f>SUMIFS(Imput[[Importe Neto]:[Importe Neto]],Imput[[C. Imp.]:[C. Imp.]],'Indirect Costs'!$C121,Imput[[PERIODO Imp.]:[PERIODO Imp.]],'Indirect Costs'!BY$8)</f>
        <v>0</v>
      </c>
      <c r="BZ121" s="48">
        <f>SUMIFS(Imput[[Importe Neto]:[Importe Neto]],Imput[[C. Imp.]:[C. Imp.]],'Indirect Costs'!$C121,Imput[[PERIODO Imp.]:[PERIODO Imp.]],'Indirect Costs'!BZ$8)</f>
        <v>0</v>
      </c>
      <c r="CA121" s="48">
        <f>SUMIFS(Imput[[Importe Neto]:[Importe Neto]],Imput[[C. Imp.]:[C. Imp.]],'Indirect Costs'!$C121,Imput[[PERIODO Imp.]:[PERIODO Imp.]],'Indirect Costs'!CA$8)</f>
        <v>0</v>
      </c>
      <c r="CB121" s="48">
        <f>SUMIFS(Imput[[Importe Neto]:[Importe Neto]],Imput[[C. Imp.]:[C. Imp.]],'Indirect Costs'!$C121,Imput[[PERIODO Imp.]:[PERIODO Imp.]],'Indirect Costs'!CB$8)</f>
        <v>0</v>
      </c>
      <c r="CC121" s="48">
        <f>SUMIFS(Imput[[Importe Neto]:[Importe Neto]],Imput[[C. Imp.]:[C. Imp.]],'Indirect Costs'!$C121,Imput[[PERIODO Imp.]:[PERIODO Imp.]],'Indirect Costs'!CC$8)</f>
        <v>0</v>
      </c>
      <c r="CD121" s="48">
        <f>SUMIFS(Imput[[Importe Neto]:[Importe Neto]],Imput[[C. Imp.]:[C. Imp.]],'Indirect Costs'!$C121,Imput[[PERIODO Imp.]:[PERIODO Imp.]],'Indirect Costs'!CD$8)</f>
        <v>0</v>
      </c>
      <c r="CE121" s="48">
        <f>SUMIFS(Imput[[Importe Neto]:[Importe Neto]],Imput[[C. Imp.]:[C. Imp.]],'Indirect Costs'!$C121,Imput[[PERIODO Imp.]:[PERIODO Imp.]],'Indirect Costs'!CE$8)</f>
        <v>0</v>
      </c>
      <c r="CF121" s="48">
        <f>SUMIFS(Imput[[Importe Neto]:[Importe Neto]],Imput[[C. Imp.]:[C. Imp.]],'Indirect Costs'!$C121,Imput[[PERIODO Imp.]:[PERIODO Imp.]],'Indirect Costs'!CF$8)</f>
        <v>0</v>
      </c>
      <c r="CG121" s="48">
        <f>SUMIFS(Imput[[Importe Neto]:[Importe Neto]],Imput[[C. Imp.]:[C. Imp.]],'Indirect Costs'!$C121,Imput[[PERIODO Imp.]:[PERIODO Imp.]],'Indirect Costs'!CG$8)</f>
        <v>0</v>
      </c>
      <c r="CH121" s="48">
        <f>SUMIFS(Imput[[Importe Neto]:[Importe Neto]],Imput[[C. Imp.]:[C. Imp.]],'Indirect Costs'!$C121,Imput[[PERIODO Imp.]:[PERIODO Imp.]],'Indirect Costs'!CH$8)</f>
        <v>0</v>
      </c>
      <c r="CI121" s="48">
        <f>SUMIFS(Imput[[Importe Neto]:[Importe Neto]],Imput[[C. Imp.]:[C. Imp.]],'Indirect Costs'!$C121,Imput[[PERIODO Imp.]:[PERIODO Imp.]],'Indirect Costs'!CI$8)</f>
        <v>0</v>
      </c>
      <c r="CJ121" s="48">
        <f>SUMIFS(Imput[[Importe Neto]:[Importe Neto]],Imput[[C. Imp.]:[C. Imp.]],'Indirect Costs'!$C121,Imput[[PERIODO Imp.]:[PERIODO Imp.]],'Indirect Costs'!CJ$8)</f>
        <v>0</v>
      </c>
      <c r="CK121" s="48">
        <f>SUMIFS(Imput[[Importe Neto]:[Importe Neto]],Imput[[C. Imp.]:[C. Imp.]],'Indirect Costs'!$C121,Imput[[PERIODO Imp.]:[PERIODO Imp.]],'Indirect Costs'!CK$8)</f>
        <v>0</v>
      </c>
      <c r="CL121" s="48">
        <f>SUMIFS(Imput[[Importe Neto]:[Importe Neto]],Imput[[C. Imp.]:[C. Imp.]],'Indirect Costs'!$C121,Imput[[PERIODO Imp.]:[PERIODO Imp.]],'Indirect Costs'!CL$8)</f>
        <v>0</v>
      </c>
      <c r="CM121" s="48">
        <f>SUMIFS(Imput[[Importe Neto]:[Importe Neto]],Imput[[C. Imp.]:[C. Imp.]],'Indirect Costs'!$C121,Imput[[PERIODO Imp.]:[PERIODO Imp.]],'Indirect Costs'!CM$8)</f>
        <v>0</v>
      </c>
      <c r="CN121" s="48">
        <f>SUMIFS(Imput[[Importe Neto]:[Importe Neto]],Imput[[C. Imp.]:[C. Imp.]],'Indirect Costs'!$C121,Imput[[PERIODO Imp.]:[PERIODO Imp.]],'Indirect Costs'!CN$8)</f>
        <v>0</v>
      </c>
      <c r="CO121" s="48">
        <f>SUMIFS(Imput[[Importe Neto]:[Importe Neto]],Imput[[C. Imp.]:[C. Imp.]],'Indirect Costs'!$C121,Imput[[PERIODO Imp.]:[PERIODO Imp.]],'Indirect Costs'!CO$8)</f>
        <v>0</v>
      </c>
      <c r="CP121" s="48">
        <f>SUMIFS(Imput[[Importe Neto]:[Importe Neto]],Imput[[C. Imp.]:[C. Imp.]],'Indirect Costs'!$C121,Imput[[PERIODO Imp.]:[PERIODO Imp.]],'Indirect Costs'!CP$8)</f>
        <v>0</v>
      </c>
      <c r="CQ121" s="48">
        <f>SUMIFS(Imput[[Importe Neto]:[Importe Neto]],Imput[[C. Imp.]:[C. Imp.]],'Indirect Costs'!$C121,Imput[[PERIODO Imp.]:[PERIODO Imp.]],'Indirect Costs'!CQ$8)</f>
        <v>0</v>
      </c>
      <c r="CR121" s="48">
        <f>SUMIFS(Imput[[Importe Neto]:[Importe Neto]],Imput[[C. Imp.]:[C. Imp.]],'Indirect Costs'!$C121,Imput[[PERIODO Imp.]:[PERIODO Imp.]],'Indirect Costs'!CR$8)</f>
        <v>0</v>
      </c>
      <c r="CS121" s="48">
        <f>SUMIFS(Imput[[Importe Neto]:[Importe Neto]],Imput[[C. Imp.]:[C. Imp.]],'Indirect Costs'!$C121,Imput[[PERIODO Imp.]:[PERIODO Imp.]],'Indirect Costs'!CS$8)</f>
        <v>0</v>
      </c>
      <c r="CT121" s="48">
        <f>SUMIFS(Imput[[Importe Neto]:[Importe Neto]],Imput[[C. Imp.]:[C. Imp.]],'Indirect Costs'!$C121,Imput[[PERIODO Imp.]:[PERIODO Imp.]],'Indirect Costs'!CT$8)</f>
        <v>0</v>
      </c>
      <c r="CU121" s="48">
        <f>SUMIFS(Imput[[Importe Neto]:[Importe Neto]],Imput[[C. Imp.]:[C. Imp.]],'Indirect Costs'!$C121,Imput[[PERIODO Imp.]:[PERIODO Imp.]],'Indirect Costs'!CU$8)</f>
        <v>0</v>
      </c>
      <c r="CV121" s="48">
        <f>SUMIFS(Imput[[Importe Neto]:[Importe Neto]],Imput[[C. Imp.]:[C. Imp.]],'Indirect Costs'!$C121,Imput[[PERIODO Imp.]:[PERIODO Imp.]],'Indirect Costs'!CV$8)</f>
        <v>0</v>
      </c>
      <c r="CW121" s="48">
        <f>SUMIFS(Imput[[Importe Neto]:[Importe Neto]],Imput[[C. Imp.]:[C. Imp.]],'Indirect Costs'!$C121,Imput[[PERIODO Imp.]:[PERIODO Imp.]],'Indirect Costs'!CW$8)</f>
        <v>0</v>
      </c>
      <c r="CX121" s="48">
        <f>SUMIFS(Imput[[Importe Neto]:[Importe Neto]],Imput[[C. Imp.]:[C. Imp.]],'Indirect Costs'!$C121,Imput[[PERIODO Imp.]:[PERIODO Imp.]],'Indirect Costs'!CX$8)</f>
        <v>0</v>
      </c>
      <c r="CY121" s="48">
        <f>SUMIFS(Imput[[Importe Neto]:[Importe Neto]],Imput[[C. Imp.]:[C. Imp.]],'Indirect Costs'!$C121,Imput[[PERIODO Imp.]:[PERIODO Imp.]],'Indirect Costs'!CY$8)</f>
        <v>0</v>
      </c>
      <c r="CZ121" s="48">
        <f>SUMIFS(Imput[[Importe Neto]:[Importe Neto]],Imput[[C. Imp.]:[C. Imp.]],'Indirect Costs'!$C121,Imput[[PERIODO Imp.]:[PERIODO Imp.]],'Indirect Costs'!CZ$8)</f>
        <v>0</v>
      </c>
      <c r="DA121" s="48">
        <f>SUMIFS(Imput[[Importe Neto]:[Importe Neto]],Imput[[C. Imp.]:[C. Imp.]],'Indirect Costs'!$C121,Imput[[PERIODO Imp.]:[PERIODO Imp.]],'Indirect Costs'!DA$8)</f>
        <v>0</v>
      </c>
      <c r="DB121" s="48">
        <f>SUMIFS(Imput[[Importe Neto]:[Importe Neto]],Imput[[C. Imp.]:[C. Imp.]],'Indirect Costs'!$C121,Imput[[PERIODO Imp.]:[PERIODO Imp.]],'Indirect Costs'!DB$8)</f>
        <v>0</v>
      </c>
      <c r="DC121" s="48">
        <f>SUMIFS(Imput[[Importe Neto]:[Importe Neto]],Imput[[C. Imp.]:[C. Imp.]],'Indirect Costs'!$C121,Imput[[PERIODO Imp.]:[PERIODO Imp.]],'Indirect Costs'!DC$8)</f>
        <v>0</v>
      </c>
      <c r="DD121" s="48">
        <f>SUMIFS(Imput[[Importe Neto]:[Importe Neto]],Imput[[C. Imp.]:[C. Imp.]],'Indirect Costs'!$C121,Imput[[PERIODO Imp.]:[PERIODO Imp.]],'Indirect Costs'!DD$8)</f>
        <v>0</v>
      </c>
      <c r="DE121" s="48">
        <f>SUMIFS(Imput[[Importe Neto]:[Importe Neto]],Imput[[C. Imp.]:[C. Imp.]],'Indirect Costs'!$C121,Imput[[PERIODO Imp.]:[PERIODO Imp.]],'Indirect Costs'!DE$8)</f>
        <v>0</v>
      </c>
      <c r="DF121" s="143">
        <f>SUMIFS(Imput[[Importe Neto]:[Importe Neto]],Imput[[C. Imp.]:[C. Imp.]],'Indirect Costs'!$C121,Imput[[PERIODO Imp.]:[PERIODO Imp.]],'Indirect Costs'!DF$8)</f>
        <v>0</v>
      </c>
    </row>
    <row r="122" spans="1:110" outlineLevel="1" x14ac:dyDescent="0.25">
      <c r="A122" s="28" t="str">
        <f t="shared" si="14"/>
        <v/>
      </c>
      <c r="B122" s="50">
        <v>6</v>
      </c>
      <c r="C122" s="57" t="s">
        <v>1839</v>
      </c>
      <c r="D122" s="56" t="s">
        <v>627</v>
      </c>
      <c r="E122" s="57" t="s">
        <v>627</v>
      </c>
      <c r="F122" s="58"/>
      <c r="G122" s="49"/>
      <c r="H122" s="51">
        <v>1</v>
      </c>
      <c r="I122" s="505">
        <f t="shared" si="25"/>
        <v>0</v>
      </c>
      <c r="J122" s="47"/>
      <c r="K122" s="142"/>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143"/>
      <c r="BG122" s="47"/>
      <c r="BH122" s="509"/>
      <c r="BI122" s="505">
        <f t="shared" si="15"/>
        <v>0</v>
      </c>
      <c r="BJ122" s="47"/>
      <c r="BK122" s="142">
        <f>SUMIFS(Imput[[Importe Neto]:[Importe Neto]],Imput[[C. Imp.]:[C. Imp.]],'Indirect Costs'!$C122,Imput[[PERIODO Imp.]:[PERIODO Imp.]],'Indirect Costs'!BK$8)</f>
        <v>0</v>
      </c>
      <c r="BL122" s="48">
        <f>SUMIFS(Imput[[Importe Neto]:[Importe Neto]],Imput[[C. Imp.]:[C. Imp.]],'Indirect Costs'!$C122,Imput[[PERIODO Imp.]:[PERIODO Imp.]],'Indirect Costs'!BL$8)</f>
        <v>0</v>
      </c>
      <c r="BM122" s="48">
        <f>SUMIFS(Imput[[Importe Neto]:[Importe Neto]],Imput[[C. Imp.]:[C. Imp.]],'Indirect Costs'!$C122,Imput[[PERIODO Imp.]:[PERIODO Imp.]],'Indirect Costs'!BM$8)</f>
        <v>0</v>
      </c>
      <c r="BN122" s="48">
        <f>SUMIFS(Imput[[Importe Neto]:[Importe Neto]],Imput[[C. Imp.]:[C. Imp.]],'Indirect Costs'!$C122,Imput[[PERIODO Imp.]:[PERIODO Imp.]],'Indirect Costs'!BN$8)</f>
        <v>0</v>
      </c>
      <c r="BO122" s="48">
        <f>SUMIFS(Imput[[Importe Neto]:[Importe Neto]],Imput[[C. Imp.]:[C. Imp.]],'Indirect Costs'!$C122,Imput[[PERIODO Imp.]:[PERIODO Imp.]],'Indirect Costs'!BO$8)</f>
        <v>0</v>
      </c>
      <c r="BP122" s="48">
        <f>SUMIFS(Imput[[Importe Neto]:[Importe Neto]],Imput[[C. Imp.]:[C. Imp.]],'Indirect Costs'!$C122,Imput[[PERIODO Imp.]:[PERIODO Imp.]],'Indirect Costs'!BP$8)</f>
        <v>0</v>
      </c>
      <c r="BQ122" s="48">
        <f>SUMIFS(Imput[[Importe Neto]:[Importe Neto]],Imput[[C. Imp.]:[C. Imp.]],'Indirect Costs'!$C122,Imput[[PERIODO Imp.]:[PERIODO Imp.]],'Indirect Costs'!BQ$8)</f>
        <v>0</v>
      </c>
      <c r="BR122" s="48">
        <f>SUMIFS(Imput[[Importe Neto]:[Importe Neto]],Imput[[C. Imp.]:[C. Imp.]],'Indirect Costs'!$C122,Imput[[PERIODO Imp.]:[PERIODO Imp.]],'Indirect Costs'!BR$8)</f>
        <v>0</v>
      </c>
      <c r="BS122" s="48">
        <f>SUMIFS(Imput[[Importe Neto]:[Importe Neto]],Imput[[C. Imp.]:[C. Imp.]],'Indirect Costs'!$C122,Imput[[PERIODO Imp.]:[PERIODO Imp.]],'Indirect Costs'!BS$8)</f>
        <v>0</v>
      </c>
      <c r="BT122" s="48">
        <f>SUMIFS(Imput[[Importe Neto]:[Importe Neto]],Imput[[C. Imp.]:[C. Imp.]],'Indirect Costs'!$C122,Imput[[PERIODO Imp.]:[PERIODO Imp.]],'Indirect Costs'!BT$8)</f>
        <v>0</v>
      </c>
      <c r="BU122" s="48">
        <f>SUMIFS(Imput[[Importe Neto]:[Importe Neto]],Imput[[C. Imp.]:[C. Imp.]],'Indirect Costs'!$C122,Imput[[PERIODO Imp.]:[PERIODO Imp.]],'Indirect Costs'!BU$8)</f>
        <v>0</v>
      </c>
      <c r="BV122" s="48">
        <f>SUMIFS(Imput[[Importe Neto]:[Importe Neto]],Imput[[C. Imp.]:[C. Imp.]],'Indirect Costs'!$C122,Imput[[PERIODO Imp.]:[PERIODO Imp.]],'Indirect Costs'!BV$8)</f>
        <v>0</v>
      </c>
      <c r="BW122" s="48">
        <f>SUMIFS(Imput[[Importe Neto]:[Importe Neto]],Imput[[C. Imp.]:[C. Imp.]],'Indirect Costs'!$C122,Imput[[PERIODO Imp.]:[PERIODO Imp.]],'Indirect Costs'!BW$8)</f>
        <v>0</v>
      </c>
      <c r="BX122" s="48">
        <f>SUMIFS(Imput[[Importe Neto]:[Importe Neto]],Imput[[C. Imp.]:[C. Imp.]],'Indirect Costs'!$C122,Imput[[PERIODO Imp.]:[PERIODO Imp.]],'Indirect Costs'!BX$8)</f>
        <v>0</v>
      </c>
      <c r="BY122" s="48">
        <f>SUMIFS(Imput[[Importe Neto]:[Importe Neto]],Imput[[C. Imp.]:[C. Imp.]],'Indirect Costs'!$C122,Imput[[PERIODO Imp.]:[PERIODO Imp.]],'Indirect Costs'!BY$8)</f>
        <v>0</v>
      </c>
      <c r="BZ122" s="48">
        <f>SUMIFS(Imput[[Importe Neto]:[Importe Neto]],Imput[[C. Imp.]:[C. Imp.]],'Indirect Costs'!$C122,Imput[[PERIODO Imp.]:[PERIODO Imp.]],'Indirect Costs'!BZ$8)</f>
        <v>0</v>
      </c>
      <c r="CA122" s="48">
        <f>SUMIFS(Imput[[Importe Neto]:[Importe Neto]],Imput[[C. Imp.]:[C. Imp.]],'Indirect Costs'!$C122,Imput[[PERIODO Imp.]:[PERIODO Imp.]],'Indirect Costs'!CA$8)</f>
        <v>0</v>
      </c>
      <c r="CB122" s="48">
        <f>SUMIFS(Imput[[Importe Neto]:[Importe Neto]],Imput[[C. Imp.]:[C. Imp.]],'Indirect Costs'!$C122,Imput[[PERIODO Imp.]:[PERIODO Imp.]],'Indirect Costs'!CB$8)</f>
        <v>0</v>
      </c>
      <c r="CC122" s="48">
        <f>SUMIFS(Imput[[Importe Neto]:[Importe Neto]],Imput[[C. Imp.]:[C. Imp.]],'Indirect Costs'!$C122,Imput[[PERIODO Imp.]:[PERIODO Imp.]],'Indirect Costs'!CC$8)</f>
        <v>0</v>
      </c>
      <c r="CD122" s="48">
        <f>SUMIFS(Imput[[Importe Neto]:[Importe Neto]],Imput[[C. Imp.]:[C. Imp.]],'Indirect Costs'!$C122,Imput[[PERIODO Imp.]:[PERIODO Imp.]],'Indirect Costs'!CD$8)</f>
        <v>0</v>
      </c>
      <c r="CE122" s="48">
        <f>SUMIFS(Imput[[Importe Neto]:[Importe Neto]],Imput[[C. Imp.]:[C. Imp.]],'Indirect Costs'!$C122,Imput[[PERIODO Imp.]:[PERIODO Imp.]],'Indirect Costs'!CE$8)</f>
        <v>0</v>
      </c>
      <c r="CF122" s="48">
        <f>SUMIFS(Imput[[Importe Neto]:[Importe Neto]],Imput[[C. Imp.]:[C. Imp.]],'Indirect Costs'!$C122,Imput[[PERIODO Imp.]:[PERIODO Imp.]],'Indirect Costs'!CF$8)</f>
        <v>0</v>
      </c>
      <c r="CG122" s="48">
        <f>SUMIFS(Imput[[Importe Neto]:[Importe Neto]],Imput[[C. Imp.]:[C. Imp.]],'Indirect Costs'!$C122,Imput[[PERIODO Imp.]:[PERIODO Imp.]],'Indirect Costs'!CG$8)</f>
        <v>0</v>
      </c>
      <c r="CH122" s="48">
        <f>SUMIFS(Imput[[Importe Neto]:[Importe Neto]],Imput[[C. Imp.]:[C. Imp.]],'Indirect Costs'!$C122,Imput[[PERIODO Imp.]:[PERIODO Imp.]],'Indirect Costs'!CH$8)</f>
        <v>0</v>
      </c>
      <c r="CI122" s="48">
        <f>SUMIFS(Imput[[Importe Neto]:[Importe Neto]],Imput[[C. Imp.]:[C. Imp.]],'Indirect Costs'!$C122,Imput[[PERIODO Imp.]:[PERIODO Imp.]],'Indirect Costs'!CI$8)</f>
        <v>0</v>
      </c>
      <c r="CJ122" s="48">
        <f>SUMIFS(Imput[[Importe Neto]:[Importe Neto]],Imput[[C. Imp.]:[C. Imp.]],'Indirect Costs'!$C122,Imput[[PERIODO Imp.]:[PERIODO Imp.]],'Indirect Costs'!CJ$8)</f>
        <v>0</v>
      </c>
      <c r="CK122" s="48">
        <f>SUMIFS(Imput[[Importe Neto]:[Importe Neto]],Imput[[C. Imp.]:[C. Imp.]],'Indirect Costs'!$C122,Imput[[PERIODO Imp.]:[PERIODO Imp.]],'Indirect Costs'!CK$8)</f>
        <v>0</v>
      </c>
      <c r="CL122" s="48">
        <f>SUMIFS(Imput[[Importe Neto]:[Importe Neto]],Imput[[C. Imp.]:[C. Imp.]],'Indirect Costs'!$C122,Imput[[PERIODO Imp.]:[PERIODO Imp.]],'Indirect Costs'!CL$8)</f>
        <v>0</v>
      </c>
      <c r="CM122" s="48">
        <f>SUMIFS(Imput[[Importe Neto]:[Importe Neto]],Imput[[C. Imp.]:[C. Imp.]],'Indirect Costs'!$C122,Imput[[PERIODO Imp.]:[PERIODO Imp.]],'Indirect Costs'!CM$8)</f>
        <v>0</v>
      </c>
      <c r="CN122" s="48">
        <f>SUMIFS(Imput[[Importe Neto]:[Importe Neto]],Imput[[C. Imp.]:[C. Imp.]],'Indirect Costs'!$C122,Imput[[PERIODO Imp.]:[PERIODO Imp.]],'Indirect Costs'!CN$8)</f>
        <v>0</v>
      </c>
      <c r="CO122" s="48">
        <f>SUMIFS(Imput[[Importe Neto]:[Importe Neto]],Imput[[C. Imp.]:[C. Imp.]],'Indirect Costs'!$C122,Imput[[PERIODO Imp.]:[PERIODO Imp.]],'Indirect Costs'!CO$8)</f>
        <v>0</v>
      </c>
      <c r="CP122" s="48">
        <f>SUMIFS(Imput[[Importe Neto]:[Importe Neto]],Imput[[C. Imp.]:[C. Imp.]],'Indirect Costs'!$C122,Imput[[PERIODO Imp.]:[PERIODO Imp.]],'Indirect Costs'!CP$8)</f>
        <v>0</v>
      </c>
      <c r="CQ122" s="48">
        <f>SUMIFS(Imput[[Importe Neto]:[Importe Neto]],Imput[[C. Imp.]:[C. Imp.]],'Indirect Costs'!$C122,Imput[[PERIODO Imp.]:[PERIODO Imp.]],'Indirect Costs'!CQ$8)</f>
        <v>0</v>
      </c>
      <c r="CR122" s="48">
        <f>SUMIFS(Imput[[Importe Neto]:[Importe Neto]],Imput[[C. Imp.]:[C. Imp.]],'Indirect Costs'!$C122,Imput[[PERIODO Imp.]:[PERIODO Imp.]],'Indirect Costs'!CR$8)</f>
        <v>0</v>
      </c>
      <c r="CS122" s="48">
        <f>SUMIFS(Imput[[Importe Neto]:[Importe Neto]],Imput[[C. Imp.]:[C. Imp.]],'Indirect Costs'!$C122,Imput[[PERIODO Imp.]:[PERIODO Imp.]],'Indirect Costs'!CS$8)</f>
        <v>0</v>
      </c>
      <c r="CT122" s="48">
        <f>SUMIFS(Imput[[Importe Neto]:[Importe Neto]],Imput[[C. Imp.]:[C. Imp.]],'Indirect Costs'!$C122,Imput[[PERIODO Imp.]:[PERIODO Imp.]],'Indirect Costs'!CT$8)</f>
        <v>0</v>
      </c>
      <c r="CU122" s="48">
        <f>SUMIFS(Imput[[Importe Neto]:[Importe Neto]],Imput[[C. Imp.]:[C. Imp.]],'Indirect Costs'!$C122,Imput[[PERIODO Imp.]:[PERIODO Imp.]],'Indirect Costs'!CU$8)</f>
        <v>0</v>
      </c>
      <c r="CV122" s="48">
        <f>SUMIFS(Imput[[Importe Neto]:[Importe Neto]],Imput[[C. Imp.]:[C. Imp.]],'Indirect Costs'!$C122,Imput[[PERIODO Imp.]:[PERIODO Imp.]],'Indirect Costs'!CV$8)</f>
        <v>0</v>
      </c>
      <c r="CW122" s="48">
        <f>SUMIFS(Imput[[Importe Neto]:[Importe Neto]],Imput[[C. Imp.]:[C. Imp.]],'Indirect Costs'!$C122,Imput[[PERIODO Imp.]:[PERIODO Imp.]],'Indirect Costs'!CW$8)</f>
        <v>0</v>
      </c>
      <c r="CX122" s="48">
        <f>SUMIFS(Imput[[Importe Neto]:[Importe Neto]],Imput[[C. Imp.]:[C. Imp.]],'Indirect Costs'!$C122,Imput[[PERIODO Imp.]:[PERIODO Imp.]],'Indirect Costs'!CX$8)</f>
        <v>0</v>
      </c>
      <c r="CY122" s="48">
        <f>SUMIFS(Imput[[Importe Neto]:[Importe Neto]],Imput[[C. Imp.]:[C. Imp.]],'Indirect Costs'!$C122,Imput[[PERIODO Imp.]:[PERIODO Imp.]],'Indirect Costs'!CY$8)</f>
        <v>0</v>
      </c>
      <c r="CZ122" s="48">
        <f>SUMIFS(Imput[[Importe Neto]:[Importe Neto]],Imput[[C. Imp.]:[C. Imp.]],'Indirect Costs'!$C122,Imput[[PERIODO Imp.]:[PERIODO Imp.]],'Indirect Costs'!CZ$8)</f>
        <v>0</v>
      </c>
      <c r="DA122" s="48">
        <f>SUMIFS(Imput[[Importe Neto]:[Importe Neto]],Imput[[C. Imp.]:[C. Imp.]],'Indirect Costs'!$C122,Imput[[PERIODO Imp.]:[PERIODO Imp.]],'Indirect Costs'!DA$8)</f>
        <v>0</v>
      </c>
      <c r="DB122" s="48">
        <f>SUMIFS(Imput[[Importe Neto]:[Importe Neto]],Imput[[C. Imp.]:[C. Imp.]],'Indirect Costs'!$C122,Imput[[PERIODO Imp.]:[PERIODO Imp.]],'Indirect Costs'!DB$8)</f>
        <v>0</v>
      </c>
      <c r="DC122" s="48">
        <f>SUMIFS(Imput[[Importe Neto]:[Importe Neto]],Imput[[C. Imp.]:[C. Imp.]],'Indirect Costs'!$C122,Imput[[PERIODO Imp.]:[PERIODO Imp.]],'Indirect Costs'!DC$8)</f>
        <v>0</v>
      </c>
      <c r="DD122" s="48">
        <f>SUMIFS(Imput[[Importe Neto]:[Importe Neto]],Imput[[C. Imp.]:[C. Imp.]],'Indirect Costs'!$C122,Imput[[PERIODO Imp.]:[PERIODO Imp.]],'Indirect Costs'!DD$8)</f>
        <v>0</v>
      </c>
      <c r="DE122" s="48">
        <f>SUMIFS(Imput[[Importe Neto]:[Importe Neto]],Imput[[C. Imp.]:[C. Imp.]],'Indirect Costs'!$C122,Imput[[PERIODO Imp.]:[PERIODO Imp.]],'Indirect Costs'!DE$8)</f>
        <v>0</v>
      </c>
      <c r="DF122" s="143">
        <f>SUMIFS(Imput[[Importe Neto]:[Importe Neto]],Imput[[C. Imp.]:[C. Imp.]],'Indirect Costs'!$C122,Imput[[PERIODO Imp.]:[PERIODO Imp.]],'Indirect Costs'!DF$8)</f>
        <v>0</v>
      </c>
    </row>
    <row r="123" spans="1:110" outlineLevel="1" x14ac:dyDescent="0.25">
      <c r="A123" s="28" t="str">
        <f t="shared" si="14"/>
        <v/>
      </c>
      <c r="B123" s="50">
        <v>7</v>
      </c>
      <c r="C123" s="57" t="s">
        <v>1840</v>
      </c>
      <c r="D123" s="56" t="s">
        <v>628</v>
      </c>
      <c r="E123" s="57" t="s">
        <v>628</v>
      </c>
      <c r="F123" s="58"/>
      <c r="G123" s="49"/>
      <c r="H123" s="51">
        <v>1</v>
      </c>
      <c r="I123" s="505">
        <f t="shared" si="25"/>
        <v>0</v>
      </c>
      <c r="J123" s="47"/>
      <c r="K123" s="142"/>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143"/>
      <c r="BG123" s="47"/>
      <c r="BH123" s="509"/>
      <c r="BI123" s="505">
        <f t="shared" si="15"/>
        <v>0</v>
      </c>
      <c r="BJ123" s="47"/>
      <c r="BK123" s="142">
        <f>SUMIFS(Imput[[Importe Neto]:[Importe Neto]],Imput[[C. Imp.]:[C. Imp.]],'Indirect Costs'!$C123,Imput[[PERIODO Imp.]:[PERIODO Imp.]],'Indirect Costs'!BK$8)</f>
        <v>0</v>
      </c>
      <c r="BL123" s="48">
        <f>SUMIFS(Imput[[Importe Neto]:[Importe Neto]],Imput[[C. Imp.]:[C. Imp.]],'Indirect Costs'!$C123,Imput[[PERIODO Imp.]:[PERIODO Imp.]],'Indirect Costs'!BL$8)</f>
        <v>0</v>
      </c>
      <c r="BM123" s="48">
        <f>SUMIFS(Imput[[Importe Neto]:[Importe Neto]],Imput[[C. Imp.]:[C. Imp.]],'Indirect Costs'!$C123,Imput[[PERIODO Imp.]:[PERIODO Imp.]],'Indirect Costs'!BM$8)</f>
        <v>0</v>
      </c>
      <c r="BN123" s="48">
        <f>SUMIFS(Imput[[Importe Neto]:[Importe Neto]],Imput[[C. Imp.]:[C. Imp.]],'Indirect Costs'!$C123,Imput[[PERIODO Imp.]:[PERIODO Imp.]],'Indirect Costs'!BN$8)</f>
        <v>0</v>
      </c>
      <c r="BO123" s="48">
        <f>SUMIFS(Imput[[Importe Neto]:[Importe Neto]],Imput[[C. Imp.]:[C. Imp.]],'Indirect Costs'!$C123,Imput[[PERIODO Imp.]:[PERIODO Imp.]],'Indirect Costs'!BO$8)</f>
        <v>0</v>
      </c>
      <c r="BP123" s="48">
        <f>SUMIFS(Imput[[Importe Neto]:[Importe Neto]],Imput[[C. Imp.]:[C. Imp.]],'Indirect Costs'!$C123,Imput[[PERIODO Imp.]:[PERIODO Imp.]],'Indirect Costs'!BP$8)</f>
        <v>0</v>
      </c>
      <c r="BQ123" s="48">
        <f>SUMIFS(Imput[[Importe Neto]:[Importe Neto]],Imput[[C. Imp.]:[C. Imp.]],'Indirect Costs'!$C123,Imput[[PERIODO Imp.]:[PERIODO Imp.]],'Indirect Costs'!BQ$8)</f>
        <v>0</v>
      </c>
      <c r="BR123" s="48">
        <f>SUMIFS(Imput[[Importe Neto]:[Importe Neto]],Imput[[C. Imp.]:[C. Imp.]],'Indirect Costs'!$C123,Imput[[PERIODO Imp.]:[PERIODO Imp.]],'Indirect Costs'!BR$8)</f>
        <v>0</v>
      </c>
      <c r="BS123" s="48">
        <f>SUMIFS(Imput[[Importe Neto]:[Importe Neto]],Imput[[C. Imp.]:[C. Imp.]],'Indirect Costs'!$C123,Imput[[PERIODO Imp.]:[PERIODO Imp.]],'Indirect Costs'!BS$8)</f>
        <v>0</v>
      </c>
      <c r="BT123" s="48">
        <f>SUMIFS(Imput[[Importe Neto]:[Importe Neto]],Imput[[C. Imp.]:[C. Imp.]],'Indirect Costs'!$C123,Imput[[PERIODO Imp.]:[PERIODO Imp.]],'Indirect Costs'!BT$8)</f>
        <v>0</v>
      </c>
      <c r="BU123" s="48">
        <f>SUMIFS(Imput[[Importe Neto]:[Importe Neto]],Imput[[C. Imp.]:[C. Imp.]],'Indirect Costs'!$C123,Imput[[PERIODO Imp.]:[PERIODO Imp.]],'Indirect Costs'!BU$8)</f>
        <v>0</v>
      </c>
      <c r="BV123" s="48">
        <f>SUMIFS(Imput[[Importe Neto]:[Importe Neto]],Imput[[C. Imp.]:[C. Imp.]],'Indirect Costs'!$C123,Imput[[PERIODO Imp.]:[PERIODO Imp.]],'Indirect Costs'!BV$8)</f>
        <v>0</v>
      </c>
      <c r="BW123" s="48">
        <f>SUMIFS(Imput[[Importe Neto]:[Importe Neto]],Imput[[C. Imp.]:[C. Imp.]],'Indirect Costs'!$C123,Imput[[PERIODO Imp.]:[PERIODO Imp.]],'Indirect Costs'!BW$8)</f>
        <v>0</v>
      </c>
      <c r="BX123" s="48">
        <f>SUMIFS(Imput[[Importe Neto]:[Importe Neto]],Imput[[C. Imp.]:[C. Imp.]],'Indirect Costs'!$C123,Imput[[PERIODO Imp.]:[PERIODO Imp.]],'Indirect Costs'!BX$8)</f>
        <v>0</v>
      </c>
      <c r="BY123" s="48">
        <f>SUMIFS(Imput[[Importe Neto]:[Importe Neto]],Imput[[C. Imp.]:[C. Imp.]],'Indirect Costs'!$C123,Imput[[PERIODO Imp.]:[PERIODO Imp.]],'Indirect Costs'!BY$8)</f>
        <v>0</v>
      </c>
      <c r="BZ123" s="48">
        <f>SUMIFS(Imput[[Importe Neto]:[Importe Neto]],Imput[[C. Imp.]:[C. Imp.]],'Indirect Costs'!$C123,Imput[[PERIODO Imp.]:[PERIODO Imp.]],'Indirect Costs'!BZ$8)</f>
        <v>0</v>
      </c>
      <c r="CA123" s="48">
        <f>SUMIFS(Imput[[Importe Neto]:[Importe Neto]],Imput[[C. Imp.]:[C. Imp.]],'Indirect Costs'!$C123,Imput[[PERIODO Imp.]:[PERIODO Imp.]],'Indirect Costs'!CA$8)</f>
        <v>0</v>
      </c>
      <c r="CB123" s="48">
        <f>SUMIFS(Imput[[Importe Neto]:[Importe Neto]],Imput[[C. Imp.]:[C. Imp.]],'Indirect Costs'!$C123,Imput[[PERIODO Imp.]:[PERIODO Imp.]],'Indirect Costs'!CB$8)</f>
        <v>0</v>
      </c>
      <c r="CC123" s="48">
        <f>SUMIFS(Imput[[Importe Neto]:[Importe Neto]],Imput[[C. Imp.]:[C. Imp.]],'Indirect Costs'!$C123,Imput[[PERIODO Imp.]:[PERIODO Imp.]],'Indirect Costs'!CC$8)</f>
        <v>0</v>
      </c>
      <c r="CD123" s="48">
        <f>SUMIFS(Imput[[Importe Neto]:[Importe Neto]],Imput[[C. Imp.]:[C. Imp.]],'Indirect Costs'!$C123,Imput[[PERIODO Imp.]:[PERIODO Imp.]],'Indirect Costs'!CD$8)</f>
        <v>0</v>
      </c>
      <c r="CE123" s="48">
        <f>SUMIFS(Imput[[Importe Neto]:[Importe Neto]],Imput[[C. Imp.]:[C. Imp.]],'Indirect Costs'!$C123,Imput[[PERIODO Imp.]:[PERIODO Imp.]],'Indirect Costs'!CE$8)</f>
        <v>0</v>
      </c>
      <c r="CF123" s="48">
        <f>SUMIFS(Imput[[Importe Neto]:[Importe Neto]],Imput[[C. Imp.]:[C. Imp.]],'Indirect Costs'!$C123,Imput[[PERIODO Imp.]:[PERIODO Imp.]],'Indirect Costs'!CF$8)</f>
        <v>0</v>
      </c>
      <c r="CG123" s="48">
        <f>SUMIFS(Imput[[Importe Neto]:[Importe Neto]],Imput[[C. Imp.]:[C. Imp.]],'Indirect Costs'!$C123,Imput[[PERIODO Imp.]:[PERIODO Imp.]],'Indirect Costs'!CG$8)</f>
        <v>0</v>
      </c>
      <c r="CH123" s="48">
        <f>SUMIFS(Imput[[Importe Neto]:[Importe Neto]],Imput[[C. Imp.]:[C. Imp.]],'Indirect Costs'!$C123,Imput[[PERIODO Imp.]:[PERIODO Imp.]],'Indirect Costs'!CH$8)</f>
        <v>0</v>
      </c>
      <c r="CI123" s="48">
        <f>SUMIFS(Imput[[Importe Neto]:[Importe Neto]],Imput[[C. Imp.]:[C. Imp.]],'Indirect Costs'!$C123,Imput[[PERIODO Imp.]:[PERIODO Imp.]],'Indirect Costs'!CI$8)</f>
        <v>0</v>
      </c>
      <c r="CJ123" s="48">
        <f>SUMIFS(Imput[[Importe Neto]:[Importe Neto]],Imput[[C. Imp.]:[C. Imp.]],'Indirect Costs'!$C123,Imput[[PERIODO Imp.]:[PERIODO Imp.]],'Indirect Costs'!CJ$8)</f>
        <v>0</v>
      </c>
      <c r="CK123" s="48">
        <f>SUMIFS(Imput[[Importe Neto]:[Importe Neto]],Imput[[C. Imp.]:[C. Imp.]],'Indirect Costs'!$C123,Imput[[PERIODO Imp.]:[PERIODO Imp.]],'Indirect Costs'!CK$8)</f>
        <v>0</v>
      </c>
      <c r="CL123" s="48">
        <f>SUMIFS(Imput[[Importe Neto]:[Importe Neto]],Imput[[C. Imp.]:[C. Imp.]],'Indirect Costs'!$C123,Imput[[PERIODO Imp.]:[PERIODO Imp.]],'Indirect Costs'!CL$8)</f>
        <v>0</v>
      </c>
      <c r="CM123" s="48">
        <f>SUMIFS(Imput[[Importe Neto]:[Importe Neto]],Imput[[C. Imp.]:[C. Imp.]],'Indirect Costs'!$C123,Imput[[PERIODO Imp.]:[PERIODO Imp.]],'Indirect Costs'!CM$8)</f>
        <v>0</v>
      </c>
      <c r="CN123" s="48">
        <f>SUMIFS(Imput[[Importe Neto]:[Importe Neto]],Imput[[C. Imp.]:[C. Imp.]],'Indirect Costs'!$C123,Imput[[PERIODO Imp.]:[PERIODO Imp.]],'Indirect Costs'!CN$8)</f>
        <v>0</v>
      </c>
      <c r="CO123" s="48">
        <f>SUMIFS(Imput[[Importe Neto]:[Importe Neto]],Imput[[C. Imp.]:[C. Imp.]],'Indirect Costs'!$C123,Imput[[PERIODO Imp.]:[PERIODO Imp.]],'Indirect Costs'!CO$8)</f>
        <v>0</v>
      </c>
      <c r="CP123" s="48">
        <f>SUMIFS(Imput[[Importe Neto]:[Importe Neto]],Imput[[C. Imp.]:[C. Imp.]],'Indirect Costs'!$C123,Imput[[PERIODO Imp.]:[PERIODO Imp.]],'Indirect Costs'!CP$8)</f>
        <v>0</v>
      </c>
      <c r="CQ123" s="48">
        <f>SUMIFS(Imput[[Importe Neto]:[Importe Neto]],Imput[[C. Imp.]:[C. Imp.]],'Indirect Costs'!$C123,Imput[[PERIODO Imp.]:[PERIODO Imp.]],'Indirect Costs'!CQ$8)</f>
        <v>0</v>
      </c>
      <c r="CR123" s="48">
        <f>SUMIFS(Imput[[Importe Neto]:[Importe Neto]],Imput[[C. Imp.]:[C. Imp.]],'Indirect Costs'!$C123,Imput[[PERIODO Imp.]:[PERIODO Imp.]],'Indirect Costs'!CR$8)</f>
        <v>0</v>
      </c>
      <c r="CS123" s="48">
        <f>SUMIFS(Imput[[Importe Neto]:[Importe Neto]],Imput[[C. Imp.]:[C. Imp.]],'Indirect Costs'!$C123,Imput[[PERIODO Imp.]:[PERIODO Imp.]],'Indirect Costs'!CS$8)</f>
        <v>0</v>
      </c>
      <c r="CT123" s="48">
        <f>SUMIFS(Imput[[Importe Neto]:[Importe Neto]],Imput[[C. Imp.]:[C. Imp.]],'Indirect Costs'!$C123,Imput[[PERIODO Imp.]:[PERIODO Imp.]],'Indirect Costs'!CT$8)</f>
        <v>0</v>
      </c>
      <c r="CU123" s="48">
        <f>SUMIFS(Imput[[Importe Neto]:[Importe Neto]],Imput[[C. Imp.]:[C. Imp.]],'Indirect Costs'!$C123,Imput[[PERIODO Imp.]:[PERIODO Imp.]],'Indirect Costs'!CU$8)</f>
        <v>0</v>
      </c>
      <c r="CV123" s="48">
        <f>SUMIFS(Imput[[Importe Neto]:[Importe Neto]],Imput[[C. Imp.]:[C. Imp.]],'Indirect Costs'!$C123,Imput[[PERIODO Imp.]:[PERIODO Imp.]],'Indirect Costs'!CV$8)</f>
        <v>0</v>
      </c>
      <c r="CW123" s="48">
        <f>SUMIFS(Imput[[Importe Neto]:[Importe Neto]],Imput[[C. Imp.]:[C. Imp.]],'Indirect Costs'!$C123,Imput[[PERIODO Imp.]:[PERIODO Imp.]],'Indirect Costs'!CW$8)</f>
        <v>0</v>
      </c>
      <c r="CX123" s="48">
        <f>SUMIFS(Imput[[Importe Neto]:[Importe Neto]],Imput[[C. Imp.]:[C. Imp.]],'Indirect Costs'!$C123,Imput[[PERIODO Imp.]:[PERIODO Imp.]],'Indirect Costs'!CX$8)</f>
        <v>0</v>
      </c>
      <c r="CY123" s="48">
        <f>SUMIFS(Imput[[Importe Neto]:[Importe Neto]],Imput[[C. Imp.]:[C. Imp.]],'Indirect Costs'!$C123,Imput[[PERIODO Imp.]:[PERIODO Imp.]],'Indirect Costs'!CY$8)</f>
        <v>0</v>
      </c>
      <c r="CZ123" s="48">
        <f>SUMIFS(Imput[[Importe Neto]:[Importe Neto]],Imput[[C. Imp.]:[C. Imp.]],'Indirect Costs'!$C123,Imput[[PERIODO Imp.]:[PERIODO Imp.]],'Indirect Costs'!CZ$8)</f>
        <v>0</v>
      </c>
      <c r="DA123" s="48">
        <f>SUMIFS(Imput[[Importe Neto]:[Importe Neto]],Imput[[C. Imp.]:[C. Imp.]],'Indirect Costs'!$C123,Imput[[PERIODO Imp.]:[PERIODO Imp.]],'Indirect Costs'!DA$8)</f>
        <v>0</v>
      </c>
      <c r="DB123" s="48">
        <f>SUMIFS(Imput[[Importe Neto]:[Importe Neto]],Imput[[C. Imp.]:[C. Imp.]],'Indirect Costs'!$C123,Imput[[PERIODO Imp.]:[PERIODO Imp.]],'Indirect Costs'!DB$8)</f>
        <v>0</v>
      </c>
      <c r="DC123" s="48">
        <f>SUMIFS(Imput[[Importe Neto]:[Importe Neto]],Imput[[C. Imp.]:[C. Imp.]],'Indirect Costs'!$C123,Imput[[PERIODO Imp.]:[PERIODO Imp.]],'Indirect Costs'!DC$8)</f>
        <v>0</v>
      </c>
      <c r="DD123" s="48">
        <f>SUMIFS(Imput[[Importe Neto]:[Importe Neto]],Imput[[C. Imp.]:[C. Imp.]],'Indirect Costs'!$C123,Imput[[PERIODO Imp.]:[PERIODO Imp.]],'Indirect Costs'!DD$8)</f>
        <v>0</v>
      </c>
      <c r="DE123" s="48">
        <f>SUMIFS(Imput[[Importe Neto]:[Importe Neto]],Imput[[C. Imp.]:[C. Imp.]],'Indirect Costs'!$C123,Imput[[PERIODO Imp.]:[PERIODO Imp.]],'Indirect Costs'!DE$8)</f>
        <v>0</v>
      </c>
      <c r="DF123" s="143">
        <f>SUMIFS(Imput[[Importe Neto]:[Importe Neto]],Imput[[C. Imp.]:[C. Imp.]],'Indirect Costs'!$C123,Imput[[PERIODO Imp.]:[PERIODO Imp.]],'Indirect Costs'!DF$8)</f>
        <v>0</v>
      </c>
    </row>
    <row r="124" spans="1:110" outlineLevel="1" x14ac:dyDescent="0.25">
      <c r="A124" s="28" t="str">
        <f t="shared" si="14"/>
        <v/>
      </c>
      <c r="B124" s="50">
        <v>8</v>
      </c>
      <c r="C124" s="57" t="s">
        <v>1841</v>
      </c>
      <c r="D124" s="56" t="s">
        <v>629</v>
      </c>
      <c r="E124" s="57" t="s">
        <v>629</v>
      </c>
      <c r="F124" s="58"/>
      <c r="G124" s="49"/>
      <c r="H124" s="51">
        <v>1</v>
      </c>
      <c r="I124" s="505">
        <f t="shared" si="25"/>
        <v>0</v>
      </c>
      <c r="J124" s="47"/>
      <c r="K124" s="142"/>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143"/>
      <c r="BG124" s="47"/>
      <c r="BH124" s="509"/>
      <c r="BI124" s="505">
        <f t="shared" si="15"/>
        <v>0</v>
      </c>
      <c r="BJ124" s="47"/>
      <c r="BK124" s="142">
        <f>SUMIFS(Imput[[Importe Neto]:[Importe Neto]],Imput[[C. Imp.]:[C. Imp.]],'Indirect Costs'!$C124,Imput[[PERIODO Imp.]:[PERIODO Imp.]],'Indirect Costs'!BK$8)</f>
        <v>0</v>
      </c>
      <c r="BL124" s="48">
        <f>SUMIFS(Imput[[Importe Neto]:[Importe Neto]],Imput[[C. Imp.]:[C. Imp.]],'Indirect Costs'!$C124,Imput[[PERIODO Imp.]:[PERIODO Imp.]],'Indirect Costs'!BL$8)</f>
        <v>0</v>
      </c>
      <c r="BM124" s="48">
        <f>SUMIFS(Imput[[Importe Neto]:[Importe Neto]],Imput[[C. Imp.]:[C. Imp.]],'Indirect Costs'!$C124,Imput[[PERIODO Imp.]:[PERIODO Imp.]],'Indirect Costs'!BM$8)</f>
        <v>0</v>
      </c>
      <c r="BN124" s="48">
        <f>SUMIFS(Imput[[Importe Neto]:[Importe Neto]],Imput[[C. Imp.]:[C. Imp.]],'Indirect Costs'!$C124,Imput[[PERIODO Imp.]:[PERIODO Imp.]],'Indirect Costs'!BN$8)</f>
        <v>0</v>
      </c>
      <c r="BO124" s="48">
        <f>SUMIFS(Imput[[Importe Neto]:[Importe Neto]],Imput[[C. Imp.]:[C. Imp.]],'Indirect Costs'!$C124,Imput[[PERIODO Imp.]:[PERIODO Imp.]],'Indirect Costs'!BO$8)</f>
        <v>0</v>
      </c>
      <c r="BP124" s="48">
        <f>SUMIFS(Imput[[Importe Neto]:[Importe Neto]],Imput[[C. Imp.]:[C. Imp.]],'Indirect Costs'!$C124,Imput[[PERIODO Imp.]:[PERIODO Imp.]],'Indirect Costs'!BP$8)</f>
        <v>0</v>
      </c>
      <c r="BQ124" s="48">
        <f>SUMIFS(Imput[[Importe Neto]:[Importe Neto]],Imput[[C. Imp.]:[C. Imp.]],'Indirect Costs'!$C124,Imput[[PERIODO Imp.]:[PERIODO Imp.]],'Indirect Costs'!BQ$8)</f>
        <v>0</v>
      </c>
      <c r="BR124" s="48">
        <f>SUMIFS(Imput[[Importe Neto]:[Importe Neto]],Imput[[C. Imp.]:[C. Imp.]],'Indirect Costs'!$C124,Imput[[PERIODO Imp.]:[PERIODO Imp.]],'Indirect Costs'!BR$8)</f>
        <v>0</v>
      </c>
      <c r="BS124" s="48">
        <f>SUMIFS(Imput[[Importe Neto]:[Importe Neto]],Imput[[C. Imp.]:[C. Imp.]],'Indirect Costs'!$C124,Imput[[PERIODO Imp.]:[PERIODO Imp.]],'Indirect Costs'!BS$8)</f>
        <v>0</v>
      </c>
      <c r="BT124" s="48">
        <f>SUMIFS(Imput[[Importe Neto]:[Importe Neto]],Imput[[C. Imp.]:[C. Imp.]],'Indirect Costs'!$C124,Imput[[PERIODO Imp.]:[PERIODO Imp.]],'Indirect Costs'!BT$8)</f>
        <v>0</v>
      </c>
      <c r="BU124" s="48">
        <f>SUMIFS(Imput[[Importe Neto]:[Importe Neto]],Imput[[C. Imp.]:[C. Imp.]],'Indirect Costs'!$C124,Imput[[PERIODO Imp.]:[PERIODO Imp.]],'Indirect Costs'!BU$8)</f>
        <v>0</v>
      </c>
      <c r="BV124" s="48">
        <f>SUMIFS(Imput[[Importe Neto]:[Importe Neto]],Imput[[C. Imp.]:[C. Imp.]],'Indirect Costs'!$C124,Imput[[PERIODO Imp.]:[PERIODO Imp.]],'Indirect Costs'!BV$8)</f>
        <v>0</v>
      </c>
      <c r="BW124" s="48">
        <f>SUMIFS(Imput[[Importe Neto]:[Importe Neto]],Imput[[C. Imp.]:[C. Imp.]],'Indirect Costs'!$C124,Imput[[PERIODO Imp.]:[PERIODO Imp.]],'Indirect Costs'!BW$8)</f>
        <v>0</v>
      </c>
      <c r="BX124" s="48">
        <f>SUMIFS(Imput[[Importe Neto]:[Importe Neto]],Imput[[C. Imp.]:[C. Imp.]],'Indirect Costs'!$C124,Imput[[PERIODO Imp.]:[PERIODO Imp.]],'Indirect Costs'!BX$8)</f>
        <v>0</v>
      </c>
      <c r="BY124" s="48">
        <f>SUMIFS(Imput[[Importe Neto]:[Importe Neto]],Imput[[C. Imp.]:[C. Imp.]],'Indirect Costs'!$C124,Imput[[PERIODO Imp.]:[PERIODO Imp.]],'Indirect Costs'!BY$8)</f>
        <v>0</v>
      </c>
      <c r="BZ124" s="48">
        <f>SUMIFS(Imput[[Importe Neto]:[Importe Neto]],Imput[[C. Imp.]:[C. Imp.]],'Indirect Costs'!$C124,Imput[[PERIODO Imp.]:[PERIODO Imp.]],'Indirect Costs'!BZ$8)</f>
        <v>0</v>
      </c>
      <c r="CA124" s="48">
        <f>SUMIFS(Imput[[Importe Neto]:[Importe Neto]],Imput[[C. Imp.]:[C. Imp.]],'Indirect Costs'!$C124,Imput[[PERIODO Imp.]:[PERIODO Imp.]],'Indirect Costs'!CA$8)</f>
        <v>0</v>
      </c>
      <c r="CB124" s="48">
        <f>SUMIFS(Imput[[Importe Neto]:[Importe Neto]],Imput[[C. Imp.]:[C. Imp.]],'Indirect Costs'!$C124,Imput[[PERIODO Imp.]:[PERIODO Imp.]],'Indirect Costs'!CB$8)</f>
        <v>0</v>
      </c>
      <c r="CC124" s="48">
        <f>SUMIFS(Imput[[Importe Neto]:[Importe Neto]],Imput[[C. Imp.]:[C. Imp.]],'Indirect Costs'!$C124,Imput[[PERIODO Imp.]:[PERIODO Imp.]],'Indirect Costs'!CC$8)</f>
        <v>0</v>
      </c>
      <c r="CD124" s="48">
        <f>SUMIFS(Imput[[Importe Neto]:[Importe Neto]],Imput[[C. Imp.]:[C. Imp.]],'Indirect Costs'!$C124,Imput[[PERIODO Imp.]:[PERIODO Imp.]],'Indirect Costs'!CD$8)</f>
        <v>0</v>
      </c>
      <c r="CE124" s="48">
        <f>SUMIFS(Imput[[Importe Neto]:[Importe Neto]],Imput[[C. Imp.]:[C. Imp.]],'Indirect Costs'!$C124,Imput[[PERIODO Imp.]:[PERIODO Imp.]],'Indirect Costs'!CE$8)</f>
        <v>0</v>
      </c>
      <c r="CF124" s="48">
        <f>SUMIFS(Imput[[Importe Neto]:[Importe Neto]],Imput[[C. Imp.]:[C. Imp.]],'Indirect Costs'!$C124,Imput[[PERIODO Imp.]:[PERIODO Imp.]],'Indirect Costs'!CF$8)</f>
        <v>0</v>
      </c>
      <c r="CG124" s="48">
        <f>SUMIFS(Imput[[Importe Neto]:[Importe Neto]],Imput[[C. Imp.]:[C. Imp.]],'Indirect Costs'!$C124,Imput[[PERIODO Imp.]:[PERIODO Imp.]],'Indirect Costs'!CG$8)</f>
        <v>0</v>
      </c>
      <c r="CH124" s="48">
        <f>SUMIFS(Imput[[Importe Neto]:[Importe Neto]],Imput[[C. Imp.]:[C. Imp.]],'Indirect Costs'!$C124,Imput[[PERIODO Imp.]:[PERIODO Imp.]],'Indirect Costs'!CH$8)</f>
        <v>0</v>
      </c>
      <c r="CI124" s="48">
        <f>SUMIFS(Imput[[Importe Neto]:[Importe Neto]],Imput[[C. Imp.]:[C. Imp.]],'Indirect Costs'!$C124,Imput[[PERIODO Imp.]:[PERIODO Imp.]],'Indirect Costs'!CI$8)</f>
        <v>0</v>
      </c>
      <c r="CJ124" s="48">
        <f>SUMIFS(Imput[[Importe Neto]:[Importe Neto]],Imput[[C. Imp.]:[C. Imp.]],'Indirect Costs'!$C124,Imput[[PERIODO Imp.]:[PERIODO Imp.]],'Indirect Costs'!CJ$8)</f>
        <v>0</v>
      </c>
      <c r="CK124" s="48">
        <f>SUMIFS(Imput[[Importe Neto]:[Importe Neto]],Imput[[C. Imp.]:[C. Imp.]],'Indirect Costs'!$C124,Imput[[PERIODO Imp.]:[PERIODO Imp.]],'Indirect Costs'!CK$8)</f>
        <v>0</v>
      </c>
      <c r="CL124" s="48">
        <f>SUMIFS(Imput[[Importe Neto]:[Importe Neto]],Imput[[C. Imp.]:[C. Imp.]],'Indirect Costs'!$C124,Imput[[PERIODO Imp.]:[PERIODO Imp.]],'Indirect Costs'!CL$8)</f>
        <v>0</v>
      </c>
      <c r="CM124" s="48">
        <f>SUMIFS(Imput[[Importe Neto]:[Importe Neto]],Imput[[C. Imp.]:[C. Imp.]],'Indirect Costs'!$C124,Imput[[PERIODO Imp.]:[PERIODO Imp.]],'Indirect Costs'!CM$8)</f>
        <v>0</v>
      </c>
      <c r="CN124" s="48">
        <f>SUMIFS(Imput[[Importe Neto]:[Importe Neto]],Imput[[C. Imp.]:[C. Imp.]],'Indirect Costs'!$C124,Imput[[PERIODO Imp.]:[PERIODO Imp.]],'Indirect Costs'!CN$8)</f>
        <v>0</v>
      </c>
      <c r="CO124" s="48">
        <f>SUMIFS(Imput[[Importe Neto]:[Importe Neto]],Imput[[C. Imp.]:[C. Imp.]],'Indirect Costs'!$C124,Imput[[PERIODO Imp.]:[PERIODO Imp.]],'Indirect Costs'!CO$8)</f>
        <v>0</v>
      </c>
      <c r="CP124" s="48">
        <f>SUMIFS(Imput[[Importe Neto]:[Importe Neto]],Imput[[C. Imp.]:[C. Imp.]],'Indirect Costs'!$C124,Imput[[PERIODO Imp.]:[PERIODO Imp.]],'Indirect Costs'!CP$8)</f>
        <v>0</v>
      </c>
      <c r="CQ124" s="48">
        <f>SUMIFS(Imput[[Importe Neto]:[Importe Neto]],Imput[[C. Imp.]:[C. Imp.]],'Indirect Costs'!$C124,Imput[[PERIODO Imp.]:[PERIODO Imp.]],'Indirect Costs'!CQ$8)</f>
        <v>0</v>
      </c>
      <c r="CR124" s="48">
        <f>SUMIFS(Imput[[Importe Neto]:[Importe Neto]],Imput[[C. Imp.]:[C. Imp.]],'Indirect Costs'!$C124,Imput[[PERIODO Imp.]:[PERIODO Imp.]],'Indirect Costs'!CR$8)</f>
        <v>0</v>
      </c>
      <c r="CS124" s="48">
        <f>SUMIFS(Imput[[Importe Neto]:[Importe Neto]],Imput[[C. Imp.]:[C. Imp.]],'Indirect Costs'!$C124,Imput[[PERIODO Imp.]:[PERIODO Imp.]],'Indirect Costs'!CS$8)</f>
        <v>0</v>
      </c>
      <c r="CT124" s="48">
        <f>SUMIFS(Imput[[Importe Neto]:[Importe Neto]],Imput[[C. Imp.]:[C. Imp.]],'Indirect Costs'!$C124,Imput[[PERIODO Imp.]:[PERIODO Imp.]],'Indirect Costs'!CT$8)</f>
        <v>0</v>
      </c>
      <c r="CU124" s="48">
        <f>SUMIFS(Imput[[Importe Neto]:[Importe Neto]],Imput[[C. Imp.]:[C. Imp.]],'Indirect Costs'!$C124,Imput[[PERIODO Imp.]:[PERIODO Imp.]],'Indirect Costs'!CU$8)</f>
        <v>0</v>
      </c>
      <c r="CV124" s="48">
        <f>SUMIFS(Imput[[Importe Neto]:[Importe Neto]],Imput[[C. Imp.]:[C. Imp.]],'Indirect Costs'!$C124,Imput[[PERIODO Imp.]:[PERIODO Imp.]],'Indirect Costs'!CV$8)</f>
        <v>0</v>
      </c>
      <c r="CW124" s="48">
        <f>SUMIFS(Imput[[Importe Neto]:[Importe Neto]],Imput[[C. Imp.]:[C. Imp.]],'Indirect Costs'!$C124,Imput[[PERIODO Imp.]:[PERIODO Imp.]],'Indirect Costs'!CW$8)</f>
        <v>0</v>
      </c>
      <c r="CX124" s="48">
        <f>SUMIFS(Imput[[Importe Neto]:[Importe Neto]],Imput[[C. Imp.]:[C. Imp.]],'Indirect Costs'!$C124,Imput[[PERIODO Imp.]:[PERIODO Imp.]],'Indirect Costs'!CX$8)</f>
        <v>0</v>
      </c>
      <c r="CY124" s="48">
        <f>SUMIFS(Imput[[Importe Neto]:[Importe Neto]],Imput[[C. Imp.]:[C. Imp.]],'Indirect Costs'!$C124,Imput[[PERIODO Imp.]:[PERIODO Imp.]],'Indirect Costs'!CY$8)</f>
        <v>0</v>
      </c>
      <c r="CZ124" s="48">
        <f>SUMIFS(Imput[[Importe Neto]:[Importe Neto]],Imput[[C. Imp.]:[C. Imp.]],'Indirect Costs'!$C124,Imput[[PERIODO Imp.]:[PERIODO Imp.]],'Indirect Costs'!CZ$8)</f>
        <v>0</v>
      </c>
      <c r="DA124" s="48">
        <f>SUMIFS(Imput[[Importe Neto]:[Importe Neto]],Imput[[C. Imp.]:[C. Imp.]],'Indirect Costs'!$C124,Imput[[PERIODO Imp.]:[PERIODO Imp.]],'Indirect Costs'!DA$8)</f>
        <v>0</v>
      </c>
      <c r="DB124" s="48">
        <f>SUMIFS(Imput[[Importe Neto]:[Importe Neto]],Imput[[C. Imp.]:[C. Imp.]],'Indirect Costs'!$C124,Imput[[PERIODO Imp.]:[PERIODO Imp.]],'Indirect Costs'!DB$8)</f>
        <v>0</v>
      </c>
      <c r="DC124" s="48">
        <f>SUMIFS(Imput[[Importe Neto]:[Importe Neto]],Imput[[C. Imp.]:[C. Imp.]],'Indirect Costs'!$C124,Imput[[PERIODO Imp.]:[PERIODO Imp.]],'Indirect Costs'!DC$8)</f>
        <v>0</v>
      </c>
      <c r="DD124" s="48">
        <f>SUMIFS(Imput[[Importe Neto]:[Importe Neto]],Imput[[C. Imp.]:[C. Imp.]],'Indirect Costs'!$C124,Imput[[PERIODO Imp.]:[PERIODO Imp.]],'Indirect Costs'!DD$8)</f>
        <v>0</v>
      </c>
      <c r="DE124" s="48">
        <f>SUMIFS(Imput[[Importe Neto]:[Importe Neto]],Imput[[C. Imp.]:[C. Imp.]],'Indirect Costs'!$C124,Imput[[PERIODO Imp.]:[PERIODO Imp.]],'Indirect Costs'!DE$8)</f>
        <v>0</v>
      </c>
      <c r="DF124" s="143">
        <f>SUMIFS(Imput[[Importe Neto]:[Importe Neto]],Imput[[C. Imp.]:[C. Imp.]],'Indirect Costs'!$C124,Imput[[PERIODO Imp.]:[PERIODO Imp.]],'Indirect Costs'!DF$8)</f>
        <v>0</v>
      </c>
    </row>
    <row r="125" spans="1:110" outlineLevel="1" x14ac:dyDescent="0.25">
      <c r="A125" s="28" t="str">
        <f t="shared" si="14"/>
        <v/>
      </c>
      <c r="B125" s="50">
        <v>9</v>
      </c>
      <c r="C125" s="57" t="s">
        <v>1842</v>
      </c>
      <c r="D125" s="56" t="s">
        <v>630</v>
      </c>
      <c r="E125" s="57" t="s">
        <v>630</v>
      </c>
      <c r="F125" s="58"/>
      <c r="G125" s="49"/>
      <c r="H125" s="51">
        <v>1</v>
      </c>
      <c r="I125" s="505">
        <f t="shared" si="25"/>
        <v>0</v>
      </c>
      <c r="J125" s="47"/>
      <c r="K125" s="142"/>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143"/>
      <c r="BG125" s="47"/>
      <c r="BH125" s="509"/>
      <c r="BI125" s="505">
        <f t="shared" si="15"/>
        <v>0</v>
      </c>
      <c r="BJ125" s="47"/>
      <c r="BK125" s="142">
        <f>SUMIFS(Imput[[Importe Neto]:[Importe Neto]],Imput[[C. Imp.]:[C. Imp.]],'Indirect Costs'!$C125,Imput[[PERIODO Imp.]:[PERIODO Imp.]],'Indirect Costs'!BK$8)</f>
        <v>0</v>
      </c>
      <c r="BL125" s="48">
        <f>SUMIFS(Imput[[Importe Neto]:[Importe Neto]],Imput[[C. Imp.]:[C. Imp.]],'Indirect Costs'!$C125,Imput[[PERIODO Imp.]:[PERIODO Imp.]],'Indirect Costs'!BL$8)</f>
        <v>0</v>
      </c>
      <c r="BM125" s="48">
        <f>SUMIFS(Imput[[Importe Neto]:[Importe Neto]],Imput[[C. Imp.]:[C. Imp.]],'Indirect Costs'!$C125,Imput[[PERIODO Imp.]:[PERIODO Imp.]],'Indirect Costs'!BM$8)</f>
        <v>0</v>
      </c>
      <c r="BN125" s="48">
        <f>SUMIFS(Imput[[Importe Neto]:[Importe Neto]],Imput[[C. Imp.]:[C. Imp.]],'Indirect Costs'!$C125,Imput[[PERIODO Imp.]:[PERIODO Imp.]],'Indirect Costs'!BN$8)</f>
        <v>0</v>
      </c>
      <c r="BO125" s="48">
        <f>SUMIFS(Imput[[Importe Neto]:[Importe Neto]],Imput[[C. Imp.]:[C. Imp.]],'Indirect Costs'!$C125,Imput[[PERIODO Imp.]:[PERIODO Imp.]],'Indirect Costs'!BO$8)</f>
        <v>0</v>
      </c>
      <c r="BP125" s="48">
        <f>SUMIFS(Imput[[Importe Neto]:[Importe Neto]],Imput[[C. Imp.]:[C. Imp.]],'Indirect Costs'!$C125,Imput[[PERIODO Imp.]:[PERIODO Imp.]],'Indirect Costs'!BP$8)</f>
        <v>0</v>
      </c>
      <c r="BQ125" s="48">
        <f>SUMIFS(Imput[[Importe Neto]:[Importe Neto]],Imput[[C. Imp.]:[C. Imp.]],'Indirect Costs'!$C125,Imput[[PERIODO Imp.]:[PERIODO Imp.]],'Indirect Costs'!BQ$8)</f>
        <v>0</v>
      </c>
      <c r="BR125" s="48">
        <f>SUMIFS(Imput[[Importe Neto]:[Importe Neto]],Imput[[C. Imp.]:[C. Imp.]],'Indirect Costs'!$C125,Imput[[PERIODO Imp.]:[PERIODO Imp.]],'Indirect Costs'!BR$8)</f>
        <v>0</v>
      </c>
      <c r="BS125" s="48">
        <f>SUMIFS(Imput[[Importe Neto]:[Importe Neto]],Imput[[C. Imp.]:[C. Imp.]],'Indirect Costs'!$C125,Imput[[PERIODO Imp.]:[PERIODO Imp.]],'Indirect Costs'!BS$8)</f>
        <v>0</v>
      </c>
      <c r="BT125" s="48">
        <f>SUMIFS(Imput[[Importe Neto]:[Importe Neto]],Imput[[C. Imp.]:[C. Imp.]],'Indirect Costs'!$C125,Imput[[PERIODO Imp.]:[PERIODO Imp.]],'Indirect Costs'!BT$8)</f>
        <v>0</v>
      </c>
      <c r="BU125" s="48">
        <f>SUMIFS(Imput[[Importe Neto]:[Importe Neto]],Imput[[C. Imp.]:[C. Imp.]],'Indirect Costs'!$C125,Imput[[PERIODO Imp.]:[PERIODO Imp.]],'Indirect Costs'!BU$8)</f>
        <v>0</v>
      </c>
      <c r="BV125" s="48">
        <f>SUMIFS(Imput[[Importe Neto]:[Importe Neto]],Imput[[C. Imp.]:[C. Imp.]],'Indirect Costs'!$C125,Imput[[PERIODO Imp.]:[PERIODO Imp.]],'Indirect Costs'!BV$8)</f>
        <v>0</v>
      </c>
      <c r="BW125" s="48">
        <f>SUMIFS(Imput[[Importe Neto]:[Importe Neto]],Imput[[C. Imp.]:[C. Imp.]],'Indirect Costs'!$C125,Imput[[PERIODO Imp.]:[PERIODO Imp.]],'Indirect Costs'!BW$8)</f>
        <v>0</v>
      </c>
      <c r="BX125" s="48">
        <f>SUMIFS(Imput[[Importe Neto]:[Importe Neto]],Imput[[C. Imp.]:[C. Imp.]],'Indirect Costs'!$C125,Imput[[PERIODO Imp.]:[PERIODO Imp.]],'Indirect Costs'!BX$8)</f>
        <v>0</v>
      </c>
      <c r="BY125" s="48">
        <f>SUMIFS(Imput[[Importe Neto]:[Importe Neto]],Imput[[C. Imp.]:[C. Imp.]],'Indirect Costs'!$C125,Imput[[PERIODO Imp.]:[PERIODO Imp.]],'Indirect Costs'!BY$8)</f>
        <v>0</v>
      </c>
      <c r="BZ125" s="48">
        <f>SUMIFS(Imput[[Importe Neto]:[Importe Neto]],Imput[[C. Imp.]:[C. Imp.]],'Indirect Costs'!$C125,Imput[[PERIODO Imp.]:[PERIODO Imp.]],'Indirect Costs'!BZ$8)</f>
        <v>0</v>
      </c>
      <c r="CA125" s="48">
        <f>SUMIFS(Imput[[Importe Neto]:[Importe Neto]],Imput[[C. Imp.]:[C. Imp.]],'Indirect Costs'!$C125,Imput[[PERIODO Imp.]:[PERIODO Imp.]],'Indirect Costs'!CA$8)</f>
        <v>0</v>
      </c>
      <c r="CB125" s="48">
        <f>SUMIFS(Imput[[Importe Neto]:[Importe Neto]],Imput[[C. Imp.]:[C. Imp.]],'Indirect Costs'!$C125,Imput[[PERIODO Imp.]:[PERIODO Imp.]],'Indirect Costs'!CB$8)</f>
        <v>0</v>
      </c>
      <c r="CC125" s="48">
        <f>SUMIFS(Imput[[Importe Neto]:[Importe Neto]],Imput[[C. Imp.]:[C. Imp.]],'Indirect Costs'!$C125,Imput[[PERIODO Imp.]:[PERIODO Imp.]],'Indirect Costs'!CC$8)</f>
        <v>0</v>
      </c>
      <c r="CD125" s="48">
        <f>SUMIFS(Imput[[Importe Neto]:[Importe Neto]],Imput[[C. Imp.]:[C. Imp.]],'Indirect Costs'!$C125,Imput[[PERIODO Imp.]:[PERIODO Imp.]],'Indirect Costs'!CD$8)</f>
        <v>0</v>
      </c>
      <c r="CE125" s="48">
        <f>SUMIFS(Imput[[Importe Neto]:[Importe Neto]],Imput[[C. Imp.]:[C. Imp.]],'Indirect Costs'!$C125,Imput[[PERIODO Imp.]:[PERIODO Imp.]],'Indirect Costs'!CE$8)</f>
        <v>0</v>
      </c>
      <c r="CF125" s="48">
        <f>SUMIFS(Imput[[Importe Neto]:[Importe Neto]],Imput[[C. Imp.]:[C. Imp.]],'Indirect Costs'!$C125,Imput[[PERIODO Imp.]:[PERIODO Imp.]],'Indirect Costs'!CF$8)</f>
        <v>0</v>
      </c>
      <c r="CG125" s="48">
        <f>SUMIFS(Imput[[Importe Neto]:[Importe Neto]],Imput[[C. Imp.]:[C. Imp.]],'Indirect Costs'!$C125,Imput[[PERIODO Imp.]:[PERIODO Imp.]],'Indirect Costs'!CG$8)</f>
        <v>0</v>
      </c>
      <c r="CH125" s="48">
        <f>SUMIFS(Imput[[Importe Neto]:[Importe Neto]],Imput[[C. Imp.]:[C. Imp.]],'Indirect Costs'!$C125,Imput[[PERIODO Imp.]:[PERIODO Imp.]],'Indirect Costs'!CH$8)</f>
        <v>0</v>
      </c>
      <c r="CI125" s="48">
        <f>SUMIFS(Imput[[Importe Neto]:[Importe Neto]],Imput[[C. Imp.]:[C. Imp.]],'Indirect Costs'!$C125,Imput[[PERIODO Imp.]:[PERIODO Imp.]],'Indirect Costs'!CI$8)</f>
        <v>0</v>
      </c>
      <c r="CJ125" s="48">
        <f>SUMIFS(Imput[[Importe Neto]:[Importe Neto]],Imput[[C. Imp.]:[C. Imp.]],'Indirect Costs'!$C125,Imput[[PERIODO Imp.]:[PERIODO Imp.]],'Indirect Costs'!CJ$8)</f>
        <v>0</v>
      </c>
      <c r="CK125" s="48">
        <f>SUMIFS(Imput[[Importe Neto]:[Importe Neto]],Imput[[C. Imp.]:[C. Imp.]],'Indirect Costs'!$C125,Imput[[PERIODO Imp.]:[PERIODO Imp.]],'Indirect Costs'!CK$8)</f>
        <v>0</v>
      </c>
      <c r="CL125" s="48">
        <f>SUMIFS(Imput[[Importe Neto]:[Importe Neto]],Imput[[C. Imp.]:[C. Imp.]],'Indirect Costs'!$C125,Imput[[PERIODO Imp.]:[PERIODO Imp.]],'Indirect Costs'!CL$8)</f>
        <v>0</v>
      </c>
      <c r="CM125" s="48">
        <f>SUMIFS(Imput[[Importe Neto]:[Importe Neto]],Imput[[C. Imp.]:[C. Imp.]],'Indirect Costs'!$C125,Imput[[PERIODO Imp.]:[PERIODO Imp.]],'Indirect Costs'!CM$8)</f>
        <v>0</v>
      </c>
      <c r="CN125" s="48">
        <f>SUMIFS(Imput[[Importe Neto]:[Importe Neto]],Imput[[C. Imp.]:[C. Imp.]],'Indirect Costs'!$C125,Imput[[PERIODO Imp.]:[PERIODO Imp.]],'Indirect Costs'!CN$8)</f>
        <v>0</v>
      </c>
      <c r="CO125" s="48">
        <f>SUMIFS(Imput[[Importe Neto]:[Importe Neto]],Imput[[C. Imp.]:[C. Imp.]],'Indirect Costs'!$C125,Imput[[PERIODO Imp.]:[PERIODO Imp.]],'Indirect Costs'!CO$8)</f>
        <v>0</v>
      </c>
      <c r="CP125" s="48">
        <f>SUMIFS(Imput[[Importe Neto]:[Importe Neto]],Imput[[C. Imp.]:[C. Imp.]],'Indirect Costs'!$C125,Imput[[PERIODO Imp.]:[PERIODO Imp.]],'Indirect Costs'!CP$8)</f>
        <v>0</v>
      </c>
      <c r="CQ125" s="48">
        <f>SUMIFS(Imput[[Importe Neto]:[Importe Neto]],Imput[[C. Imp.]:[C. Imp.]],'Indirect Costs'!$C125,Imput[[PERIODO Imp.]:[PERIODO Imp.]],'Indirect Costs'!CQ$8)</f>
        <v>0</v>
      </c>
      <c r="CR125" s="48">
        <f>SUMIFS(Imput[[Importe Neto]:[Importe Neto]],Imput[[C. Imp.]:[C. Imp.]],'Indirect Costs'!$C125,Imput[[PERIODO Imp.]:[PERIODO Imp.]],'Indirect Costs'!CR$8)</f>
        <v>0</v>
      </c>
      <c r="CS125" s="48">
        <f>SUMIFS(Imput[[Importe Neto]:[Importe Neto]],Imput[[C. Imp.]:[C. Imp.]],'Indirect Costs'!$C125,Imput[[PERIODO Imp.]:[PERIODO Imp.]],'Indirect Costs'!CS$8)</f>
        <v>0</v>
      </c>
      <c r="CT125" s="48">
        <f>SUMIFS(Imput[[Importe Neto]:[Importe Neto]],Imput[[C. Imp.]:[C. Imp.]],'Indirect Costs'!$C125,Imput[[PERIODO Imp.]:[PERIODO Imp.]],'Indirect Costs'!CT$8)</f>
        <v>0</v>
      </c>
      <c r="CU125" s="48">
        <f>SUMIFS(Imput[[Importe Neto]:[Importe Neto]],Imput[[C. Imp.]:[C. Imp.]],'Indirect Costs'!$C125,Imput[[PERIODO Imp.]:[PERIODO Imp.]],'Indirect Costs'!CU$8)</f>
        <v>0</v>
      </c>
      <c r="CV125" s="48">
        <f>SUMIFS(Imput[[Importe Neto]:[Importe Neto]],Imput[[C. Imp.]:[C. Imp.]],'Indirect Costs'!$C125,Imput[[PERIODO Imp.]:[PERIODO Imp.]],'Indirect Costs'!CV$8)</f>
        <v>0</v>
      </c>
      <c r="CW125" s="48">
        <f>SUMIFS(Imput[[Importe Neto]:[Importe Neto]],Imput[[C. Imp.]:[C. Imp.]],'Indirect Costs'!$C125,Imput[[PERIODO Imp.]:[PERIODO Imp.]],'Indirect Costs'!CW$8)</f>
        <v>0</v>
      </c>
      <c r="CX125" s="48">
        <f>SUMIFS(Imput[[Importe Neto]:[Importe Neto]],Imput[[C. Imp.]:[C. Imp.]],'Indirect Costs'!$C125,Imput[[PERIODO Imp.]:[PERIODO Imp.]],'Indirect Costs'!CX$8)</f>
        <v>0</v>
      </c>
      <c r="CY125" s="48">
        <f>SUMIFS(Imput[[Importe Neto]:[Importe Neto]],Imput[[C. Imp.]:[C. Imp.]],'Indirect Costs'!$C125,Imput[[PERIODO Imp.]:[PERIODO Imp.]],'Indirect Costs'!CY$8)</f>
        <v>0</v>
      </c>
      <c r="CZ125" s="48">
        <f>SUMIFS(Imput[[Importe Neto]:[Importe Neto]],Imput[[C. Imp.]:[C. Imp.]],'Indirect Costs'!$C125,Imput[[PERIODO Imp.]:[PERIODO Imp.]],'Indirect Costs'!CZ$8)</f>
        <v>0</v>
      </c>
      <c r="DA125" s="48">
        <f>SUMIFS(Imput[[Importe Neto]:[Importe Neto]],Imput[[C. Imp.]:[C. Imp.]],'Indirect Costs'!$C125,Imput[[PERIODO Imp.]:[PERIODO Imp.]],'Indirect Costs'!DA$8)</f>
        <v>0</v>
      </c>
      <c r="DB125" s="48">
        <f>SUMIFS(Imput[[Importe Neto]:[Importe Neto]],Imput[[C. Imp.]:[C. Imp.]],'Indirect Costs'!$C125,Imput[[PERIODO Imp.]:[PERIODO Imp.]],'Indirect Costs'!DB$8)</f>
        <v>0</v>
      </c>
      <c r="DC125" s="48">
        <f>SUMIFS(Imput[[Importe Neto]:[Importe Neto]],Imput[[C. Imp.]:[C. Imp.]],'Indirect Costs'!$C125,Imput[[PERIODO Imp.]:[PERIODO Imp.]],'Indirect Costs'!DC$8)</f>
        <v>0</v>
      </c>
      <c r="DD125" s="48">
        <f>SUMIFS(Imput[[Importe Neto]:[Importe Neto]],Imput[[C. Imp.]:[C. Imp.]],'Indirect Costs'!$C125,Imput[[PERIODO Imp.]:[PERIODO Imp.]],'Indirect Costs'!DD$8)</f>
        <v>0</v>
      </c>
      <c r="DE125" s="48">
        <f>SUMIFS(Imput[[Importe Neto]:[Importe Neto]],Imput[[C. Imp.]:[C. Imp.]],'Indirect Costs'!$C125,Imput[[PERIODO Imp.]:[PERIODO Imp.]],'Indirect Costs'!DE$8)</f>
        <v>0</v>
      </c>
      <c r="DF125" s="143">
        <f>SUMIFS(Imput[[Importe Neto]:[Importe Neto]],Imput[[C. Imp.]:[C. Imp.]],'Indirect Costs'!$C125,Imput[[PERIODO Imp.]:[PERIODO Imp.]],'Indirect Costs'!DF$8)</f>
        <v>0</v>
      </c>
    </row>
    <row r="126" spans="1:110" outlineLevel="1" x14ac:dyDescent="0.25">
      <c r="A126" s="28" t="str">
        <f t="shared" si="14"/>
        <v/>
      </c>
      <c r="B126" s="50">
        <v>10</v>
      </c>
      <c r="C126" s="57" t="s">
        <v>1843</v>
      </c>
      <c r="D126" s="56" t="s">
        <v>631</v>
      </c>
      <c r="E126" s="57" t="s">
        <v>631</v>
      </c>
      <c r="F126" s="58"/>
      <c r="G126" s="49"/>
      <c r="H126" s="51">
        <v>1</v>
      </c>
      <c r="I126" s="505">
        <f t="shared" si="25"/>
        <v>0</v>
      </c>
      <c r="J126" s="47"/>
      <c r="K126" s="142"/>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143"/>
      <c r="BG126" s="47"/>
      <c r="BH126" s="509"/>
      <c r="BI126" s="505">
        <f t="shared" si="15"/>
        <v>0</v>
      </c>
      <c r="BJ126" s="47"/>
      <c r="BK126" s="142">
        <f>SUMIFS(Imput[[Importe Neto]:[Importe Neto]],Imput[[C. Imp.]:[C. Imp.]],'Indirect Costs'!$C126,Imput[[PERIODO Imp.]:[PERIODO Imp.]],'Indirect Costs'!BK$8)</f>
        <v>0</v>
      </c>
      <c r="BL126" s="48">
        <f>SUMIFS(Imput[[Importe Neto]:[Importe Neto]],Imput[[C. Imp.]:[C. Imp.]],'Indirect Costs'!$C126,Imput[[PERIODO Imp.]:[PERIODO Imp.]],'Indirect Costs'!BL$8)</f>
        <v>0</v>
      </c>
      <c r="BM126" s="48">
        <f>SUMIFS(Imput[[Importe Neto]:[Importe Neto]],Imput[[C. Imp.]:[C. Imp.]],'Indirect Costs'!$C126,Imput[[PERIODO Imp.]:[PERIODO Imp.]],'Indirect Costs'!BM$8)</f>
        <v>0</v>
      </c>
      <c r="BN126" s="48">
        <f>SUMIFS(Imput[[Importe Neto]:[Importe Neto]],Imput[[C. Imp.]:[C. Imp.]],'Indirect Costs'!$C126,Imput[[PERIODO Imp.]:[PERIODO Imp.]],'Indirect Costs'!BN$8)</f>
        <v>0</v>
      </c>
      <c r="BO126" s="48">
        <f>SUMIFS(Imput[[Importe Neto]:[Importe Neto]],Imput[[C. Imp.]:[C. Imp.]],'Indirect Costs'!$C126,Imput[[PERIODO Imp.]:[PERIODO Imp.]],'Indirect Costs'!BO$8)</f>
        <v>0</v>
      </c>
      <c r="BP126" s="48">
        <f>SUMIFS(Imput[[Importe Neto]:[Importe Neto]],Imput[[C. Imp.]:[C. Imp.]],'Indirect Costs'!$C126,Imput[[PERIODO Imp.]:[PERIODO Imp.]],'Indirect Costs'!BP$8)</f>
        <v>0</v>
      </c>
      <c r="BQ126" s="48">
        <f>SUMIFS(Imput[[Importe Neto]:[Importe Neto]],Imput[[C. Imp.]:[C. Imp.]],'Indirect Costs'!$C126,Imput[[PERIODO Imp.]:[PERIODO Imp.]],'Indirect Costs'!BQ$8)</f>
        <v>0</v>
      </c>
      <c r="BR126" s="48">
        <f>SUMIFS(Imput[[Importe Neto]:[Importe Neto]],Imput[[C. Imp.]:[C. Imp.]],'Indirect Costs'!$C126,Imput[[PERIODO Imp.]:[PERIODO Imp.]],'Indirect Costs'!BR$8)</f>
        <v>0</v>
      </c>
      <c r="BS126" s="48">
        <f>SUMIFS(Imput[[Importe Neto]:[Importe Neto]],Imput[[C. Imp.]:[C. Imp.]],'Indirect Costs'!$C126,Imput[[PERIODO Imp.]:[PERIODO Imp.]],'Indirect Costs'!BS$8)</f>
        <v>0</v>
      </c>
      <c r="BT126" s="48">
        <f>SUMIFS(Imput[[Importe Neto]:[Importe Neto]],Imput[[C. Imp.]:[C. Imp.]],'Indirect Costs'!$C126,Imput[[PERIODO Imp.]:[PERIODO Imp.]],'Indirect Costs'!BT$8)</f>
        <v>0</v>
      </c>
      <c r="BU126" s="48">
        <f>SUMIFS(Imput[[Importe Neto]:[Importe Neto]],Imput[[C. Imp.]:[C. Imp.]],'Indirect Costs'!$C126,Imput[[PERIODO Imp.]:[PERIODO Imp.]],'Indirect Costs'!BU$8)</f>
        <v>0</v>
      </c>
      <c r="BV126" s="48">
        <f>SUMIFS(Imput[[Importe Neto]:[Importe Neto]],Imput[[C. Imp.]:[C. Imp.]],'Indirect Costs'!$C126,Imput[[PERIODO Imp.]:[PERIODO Imp.]],'Indirect Costs'!BV$8)</f>
        <v>0</v>
      </c>
      <c r="BW126" s="48">
        <f>SUMIFS(Imput[[Importe Neto]:[Importe Neto]],Imput[[C. Imp.]:[C. Imp.]],'Indirect Costs'!$C126,Imput[[PERIODO Imp.]:[PERIODO Imp.]],'Indirect Costs'!BW$8)</f>
        <v>0</v>
      </c>
      <c r="BX126" s="48">
        <f>SUMIFS(Imput[[Importe Neto]:[Importe Neto]],Imput[[C. Imp.]:[C. Imp.]],'Indirect Costs'!$C126,Imput[[PERIODO Imp.]:[PERIODO Imp.]],'Indirect Costs'!BX$8)</f>
        <v>0</v>
      </c>
      <c r="BY126" s="48">
        <f>SUMIFS(Imput[[Importe Neto]:[Importe Neto]],Imput[[C. Imp.]:[C. Imp.]],'Indirect Costs'!$C126,Imput[[PERIODO Imp.]:[PERIODO Imp.]],'Indirect Costs'!BY$8)</f>
        <v>0</v>
      </c>
      <c r="BZ126" s="48">
        <f>SUMIFS(Imput[[Importe Neto]:[Importe Neto]],Imput[[C. Imp.]:[C. Imp.]],'Indirect Costs'!$C126,Imput[[PERIODO Imp.]:[PERIODO Imp.]],'Indirect Costs'!BZ$8)</f>
        <v>0</v>
      </c>
      <c r="CA126" s="48">
        <f>SUMIFS(Imput[[Importe Neto]:[Importe Neto]],Imput[[C. Imp.]:[C. Imp.]],'Indirect Costs'!$C126,Imput[[PERIODO Imp.]:[PERIODO Imp.]],'Indirect Costs'!CA$8)</f>
        <v>0</v>
      </c>
      <c r="CB126" s="48">
        <f>SUMIFS(Imput[[Importe Neto]:[Importe Neto]],Imput[[C. Imp.]:[C. Imp.]],'Indirect Costs'!$C126,Imput[[PERIODO Imp.]:[PERIODO Imp.]],'Indirect Costs'!CB$8)</f>
        <v>0</v>
      </c>
      <c r="CC126" s="48">
        <f>SUMIFS(Imput[[Importe Neto]:[Importe Neto]],Imput[[C. Imp.]:[C. Imp.]],'Indirect Costs'!$C126,Imput[[PERIODO Imp.]:[PERIODO Imp.]],'Indirect Costs'!CC$8)</f>
        <v>0</v>
      </c>
      <c r="CD126" s="48">
        <f>SUMIFS(Imput[[Importe Neto]:[Importe Neto]],Imput[[C. Imp.]:[C. Imp.]],'Indirect Costs'!$C126,Imput[[PERIODO Imp.]:[PERIODO Imp.]],'Indirect Costs'!CD$8)</f>
        <v>0</v>
      </c>
      <c r="CE126" s="48">
        <f>SUMIFS(Imput[[Importe Neto]:[Importe Neto]],Imput[[C. Imp.]:[C. Imp.]],'Indirect Costs'!$C126,Imput[[PERIODO Imp.]:[PERIODO Imp.]],'Indirect Costs'!CE$8)</f>
        <v>0</v>
      </c>
      <c r="CF126" s="48">
        <f>SUMIFS(Imput[[Importe Neto]:[Importe Neto]],Imput[[C. Imp.]:[C. Imp.]],'Indirect Costs'!$C126,Imput[[PERIODO Imp.]:[PERIODO Imp.]],'Indirect Costs'!CF$8)</f>
        <v>0</v>
      </c>
      <c r="CG126" s="48">
        <f>SUMIFS(Imput[[Importe Neto]:[Importe Neto]],Imput[[C. Imp.]:[C. Imp.]],'Indirect Costs'!$C126,Imput[[PERIODO Imp.]:[PERIODO Imp.]],'Indirect Costs'!CG$8)</f>
        <v>0</v>
      </c>
      <c r="CH126" s="48">
        <f>SUMIFS(Imput[[Importe Neto]:[Importe Neto]],Imput[[C. Imp.]:[C. Imp.]],'Indirect Costs'!$C126,Imput[[PERIODO Imp.]:[PERIODO Imp.]],'Indirect Costs'!CH$8)</f>
        <v>0</v>
      </c>
      <c r="CI126" s="48">
        <f>SUMIFS(Imput[[Importe Neto]:[Importe Neto]],Imput[[C. Imp.]:[C. Imp.]],'Indirect Costs'!$C126,Imput[[PERIODO Imp.]:[PERIODO Imp.]],'Indirect Costs'!CI$8)</f>
        <v>0</v>
      </c>
      <c r="CJ126" s="48">
        <f>SUMIFS(Imput[[Importe Neto]:[Importe Neto]],Imput[[C. Imp.]:[C. Imp.]],'Indirect Costs'!$C126,Imput[[PERIODO Imp.]:[PERIODO Imp.]],'Indirect Costs'!CJ$8)</f>
        <v>0</v>
      </c>
      <c r="CK126" s="48">
        <f>SUMIFS(Imput[[Importe Neto]:[Importe Neto]],Imput[[C. Imp.]:[C. Imp.]],'Indirect Costs'!$C126,Imput[[PERIODO Imp.]:[PERIODO Imp.]],'Indirect Costs'!CK$8)</f>
        <v>0</v>
      </c>
      <c r="CL126" s="48">
        <f>SUMIFS(Imput[[Importe Neto]:[Importe Neto]],Imput[[C. Imp.]:[C. Imp.]],'Indirect Costs'!$C126,Imput[[PERIODO Imp.]:[PERIODO Imp.]],'Indirect Costs'!CL$8)</f>
        <v>0</v>
      </c>
      <c r="CM126" s="48">
        <f>SUMIFS(Imput[[Importe Neto]:[Importe Neto]],Imput[[C. Imp.]:[C. Imp.]],'Indirect Costs'!$C126,Imput[[PERIODO Imp.]:[PERIODO Imp.]],'Indirect Costs'!CM$8)</f>
        <v>0</v>
      </c>
      <c r="CN126" s="48">
        <f>SUMIFS(Imput[[Importe Neto]:[Importe Neto]],Imput[[C. Imp.]:[C. Imp.]],'Indirect Costs'!$C126,Imput[[PERIODO Imp.]:[PERIODO Imp.]],'Indirect Costs'!CN$8)</f>
        <v>0</v>
      </c>
      <c r="CO126" s="48">
        <f>SUMIFS(Imput[[Importe Neto]:[Importe Neto]],Imput[[C. Imp.]:[C. Imp.]],'Indirect Costs'!$C126,Imput[[PERIODO Imp.]:[PERIODO Imp.]],'Indirect Costs'!CO$8)</f>
        <v>0</v>
      </c>
      <c r="CP126" s="48">
        <f>SUMIFS(Imput[[Importe Neto]:[Importe Neto]],Imput[[C. Imp.]:[C. Imp.]],'Indirect Costs'!$C126,Imput[[PERIODO Imp.]:[PERIODO Imp.]],'Indirect Costs'!CP$8)</f>
        <v>0</v>
      </c>
      <c r="CQ126" s="48">
        <f>SUMIFS(Imput[[Importe Neto]:[Importe Neto]],Imput[[C. Imp.]:[C. Imp.]],'Indirect Costs'!$C126,Imput[[PERIODO Imp.]:[PERIODO Imp.]],'Indirect Costs'!CQ$8)</f>
        <v>0</v>
      </c>
      <c r="CR126" s="48">
        <f>SUMIFS(Imput[[Importe Neto]:[Importe Neto]],Imput[[C. Imp.]:[C. Imp.]],'Indirect Costs'!$C126,Imput[[PERIODO Imp.]:[PERIODO Imp.]],'Indirect Costs'!CR$8)</f>
        <v>0</v>
      </c>
      <c r="CS126" s="48">
        <f>SUMIFS(Imput[[Importe Neto]:[Importe Neto]],Imput[[C. Imp.]:[C. Imp.]],'Indirect Costs'!$C126,Imput[[PERIODO Imp.]:[PERIODO Imp.]],'Indirect Costs'!CS$8)</f>
        <v>0</v>
      </c>
      <c r="CT126" s="48">
        <f>SUMIFS(Imput[[Importe Neto]:[Importe Neto]],Imput[[C. Imp.]:[C. Imp.]],'Indirect Costs'!$C126,Imput[[PERIODO Imp.]:[PERIODO Imp.]],'Indirect Costs'!CT$8)</f>
        <v>0</v>
      </c>
      <c r="CU126" s="48">
        <f>SUMIFS(Imput[[Importe Neto]:[Importe Neto]],Imput[[C. Imp.]:[C. Imp.]],'Indirect Costs'!$C126,Imput[[PERIODO Imp.]:[PERIODO Imp.]],'Indirect Costs'!CU$8)</f>
        <v>0</v>
      </c>
      <c r="CV126" s="48">
        <f>SUMIFS(Imput[[Importe Neto]:[Importe Neto]],Imput[[C. Imp.]:[C. Imp.]],'Indirect Costs'!$C126,Imput[[PERIODO Imp.]:[PERIODO Imp.]],'Indirect Costs'!CV$8)</f>
        <v>0</v>
      </c>
      <c r="CW126" s="48">
        <f>SUMIFS(Imput[[Importe Neto]:[Importe Neto]],Imput[[C. Imp.]:[C. Imp.]],'Indirect Costs'!$C126,Imput[[PERIODO Imp.]:[PERIODO Imp.]],'Indirect Costs'!CW$8)</f>
        <v>0</v>
      </c>
      <c r="CX126" s="48">
        <f>SUMIFS(Imput[[Importe Neto]:[Importe Neto]],Imput[[C. Imp.]:[C. Imp.]],'Indirect Costs'!$C126,Imput[[PERIODO Imp.]:[PERIODO Imp.]],'Indirect Costs'!CX$8)</f>
        <v>0</v>
      </c>
      <c r="CY126" s="48">
        <f>SUMIFS(Imput[[Importe Neto]:[Importe Neto]],Imput[[C. Imp.]:[C. Imp.]],'Indirect Costs'!$C126,Imput[[PERIODO Imp.]:[PERIODO Imp.]],'Indirect Costs'!CY$8)</f>
        <v>0</v>
      </c>
      <c r="CZ126" s="48">
        <f>SUMIFS(Imput[[Importe Neto]:[Importe Neto]],Imput[[C. Imp.]:[C. Imp.]],'Indirect Costs'!$C126,Imput[[PERIODO Imp.]:[PERIODO Imp.]],'Indirect Costs'!CZ$8)</f>
        <v>0</v>
      </c>
      <c r="DA126" s="48">
        <f>SUMIFS(Imput[[Importe Neto]:[Importe Neto]],Imput[[C. Imp.]:[C. Imp.]],'Indirect Costs'!$C126,Imput[[PERIODO Imp.]:[PERIODO Imp.]],'Indirect Costs'!DA$8)</f>
        <v>0</v>
      </c>
      <c r="DB126" s="48">
        <f>SUMIFS(Imput[[Importe Neto]:[Importe Neto]],Imput[[C. Imp.]:[C. Imp.]],'Indirect Costs'!$C126,Imput[[PERIODO Imp.]:[PERIODO Imp.]],'Indirect Costs'!DB$8)</f>
        <v>0</v>
      </c>
      <c r="DC126" s="48">
        <f>SUMIFS(Imput[[Importe Neto]:[Importe Neto]],Imput[[C. Imp.]:[C. Imp.]],'Indirect Costs'!$C126,Imput[[PERIODO Imp.]:[PERIODO Imp.]],'Indirect Costs'!DC$8)</f>
        <v>0</v>
      </c>
      <c r="DD126" s="48">
        <f>SUMIFS(Imput[[Importe Neto]:[Importe Neto]],Imput[[C. Imp.]:[C. Imp.]],'Indirect Costs'!$C126,Imput[[PERIODO Imp.]:[PERIODO Imp.]],'Indirect Costs'!DD$8)</f>
        <v>0</v>
      </c>
      <c r="DE126" s="48">
        <f>SUMIFS(Imput[[Importe Neto]:[Importe Neto]],Imput[[C. Imp.]:[C. Imp.]],'Indirect Costs'!$C126,Imput[[PERIODO Imp.]:[PERIODO Imp.]],'Indirect Costs'!DE$8)</f>
        <v>0</v>
      </c>
      <c r="DF126" s="143">
        <f>SUMIFS(Imput[[Importe Neto]:[Importe Neto]],Imput[[C. Imp.]:[C. Imp.]],'Indirect Costs'!$C126,Imput[[PERIODO Imp.]:[PERIODO Imp.]],'Indirect Costs'!DF$8)</f>
        <v>0</v>
      </c>
    </row>
    <row r="127" spans="1:110" outlineLevel="1" x14ac:dyDescent="0.25">
      <c r="A127" s="28" t="str">
        <f t="shared" si="14"/>
        <v/>
      </c>
      <c r="B127" s="50">
        <v>11</v>
      </c>
      <c r="C127" s="57" t="s">
        <v>1844</v>
      </c>
      <c r="D127" s="56" t="s">
        <v>632</v>
      </c>
      <c r="E127" s="57" t="s">
        <v>632</v>
      </c>
      <c r="F127" s="58"/>
      <c r="G127" s="49"/>
      <c r="H127" s="51">
        <v>1</v>
      </c>
      <c r="I127" s="505">
        <f t="shared" si="25"/>
        <v>0</v>
      </c>
      <c r="J127" s="47"/>
      <c r="K127" s="142"/>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143"/>
      <c r="BG127" s="47"/>
      <c r="BH127" s="509"/>
      <c r="BI127" s="505">
        <f t="shared" si="15"/>
        <v>0</v>
      </c>
      <c r="BJ127" s="47"/>
      <c r="BK127" s="142">
        <f>SUMIFS(Imput[[Importe Neto]:[Importe Neto]],Imput[[C. Imp.]:[C. Imp.]],'Indirect Costs'!$C127,Imput[[PERIODO Imp.]:[PERIODO Imp.]],'Indirect Costs'!BK$8)</f>
        <v>0</v>
      </c>
      <c r="BL127" s="48">
        <f>SUMIFS(Imput[[Importe Neto]:[Importe Neto]],Imput[[C. Imp.]:[C. Imp.]],'Indirect Costs'!$C127,Imput[[PERIODO Imp.]:[PERIODO Imp.]],'Indirect Costs'!BL$8)</f>
        <v>0</v>
      </c>
      <c r="BM127" s="48">
        <f>SUMIFS(Imput[[Importe Neto]:[Importe Neto]],Imput[[C. Imp.]:[C. Imp.]],'Indirect Costs'!$C127,Imput[[PERIODO Imp.]:[PERIODO Imp.]],'Indirect Costs'!BM$8)</f>
        <v>0</v>
      </c>
      <c r="BN127" s="48">
        <f>SUMIFS(Imput[[Importe Neto]:[Importe Neto]],Imput[[C. Imp.]:[C. Imp.]],'Indirect Costs'!$C127,Imput[[PERIODO Imp.]:[PERIODO Imp.]],'Indirect Costs'!BN$8)</f>
        <v>0</v>
      </c>
      <c r="BO127" s="48">
        <f>SUMIFS(Imput[[Importe Neto]:[Importe Neto]],Imput[[C. Imp.]:[C. Imp.]],'Indirect Costs'!$C127,Imput[[PERIODO Imp.]:[PERIODO Imp.]],'Indirect Costs'!BO$8)</f>
        <v>0</v>
      </c>
      <c r="BP127" s="48">
        <f>SUMIFS(Imput[[Importe Neto]:[Importe Neto]],Imput[[C. Imp.]:[C. Imp.]],'Indirect Costs'!$C127,Imput[[PERIODO Imp.]:[PERIODO Imp.]],'Indirect Costs'!BP$8)</f>
        <v>0</v>
      </c>
      <c r="BQ127" s="48">
        <f>SUMIFS(Imput[[Importe Neto]:[Importe Neto]],Imput[[C. Imp.]:[C. Imp.]],'Indirect Costs'!$C127,Imput[[PERIODO Imp.]:[PERIODO Imp.]],'Indirect Costs'!BQ$8)</f>
        <v>0</v>
      </c>
      <c r="BR127" s="48">
        <f>SUMIFS(Imput[[Importe Neto]:[Importe Neto]],Imput[[C. Imp.]:[C. Imp.]],'Indirect Costs'!$C127,Imput[[PERIODO Imp.]:[PERIODO Imp.]],'Indirect Costs'!BR$8)</f>
        <v>0</v>
      </c>
      <c r="BS127" s="48">
        <f>SUMIFS(Imput[[Importe Neto]:[Importe Neto]],Imput[[C. Imp.]:[C. Imp.]],'Indirect Costs'!$C127,Imput[[PERIODO Imp.]:[PERIODO Imp.]],'Indirect Costs'!BS$8)</f>
        <v>0</v>
      </c>
      <c r="BT127" s="48">
        <f>SUMIFS(Imput[[Importe Neto]:[Importe Neto]],Imput[[C. Imp.]:[C. Imp.]],'Indirect Costs'!$C127,Imput[[PERIODO Imp.]:[PERIODO Imp.]],'Indirect Costs'!BT$8)</f>
        <v>0</v>
      </c>
      <c r="BU127" s="48">
        <f>SUMIFS(Imput[[Importe Neto]:[Importe Neto]],Imput[[C. Imp.]:[C. Imp.]],'Indirect Costs'!$C127,Imput[[PERIODO Imp.]:[PERIODO Imp.]],'Indirect Costs'!BU$8)</f>
        <v>0</v>
      </c>
      <c r="BV127" s="48">
        <f>SUMIFS(Imput[[Importe Neto]:[Importe Neto]],Imput[[C. Imp.]:[C. Imp.]],'Indirect Costs'!$C127,Imput[[PERIODO Imp.]:[PERIODO Imp.]],'Indirect Costs'!BV$8)</f>
        <v>0</v>
      </c>
      <c r="BW127" s="48">
        <f>SUMIFS(Imput[[Importe Neto]:[Importe Neto]],Imput[[C. Imp.]:[C. Imp.]],'Indirect Costs'!$C127,Imput[[PERIODO Imp.]:[PERIODO Imp.]],'Indirect Costs'!BW$8)</f>
        <v>0</v>
      </c>
      <c r="BX127" s="48">
        <f>SUMIFS(Imput[[Importe Neto]:[Importe Neto]],Imput[[C. Imp.]:[C. Imp.]],'Indirect Costs'!$C127,Imput[[PERIODO Imp.]:[PERIODO Imp.]],'Indirect Costs'!BX$8)</f>
        <v>0</v>
      </c>
      <c r="BY127" s="48">
        <f>SUMIFS(Imput[[Importe Neto]:[Importe Neto]],Imput[[C. Imp.]:[C. Imp.]],'Indirect Costs'!$C127,Imput[[PERIODO Imp.]:[PERIODO Imp.]],'Indirect Costs'!BY$8)</f>
        <v>0</v>
      </c>
      <c r="BZ127" s="48">
        <f>SUMIFS(Imput[[Importe Neto]:[Importe Neto]],Imput[[C. Imp.]:[C. Imp.]],'Indirect Costs'!$C127,Imput[[PERIODO Imp.]:[PERIODO Imp.]],'Indirect Costs'!BZ$8)</f>
        <v>0</v>
      </c>
      <c r="CA127" s="48">
        <f>SUMIFS(Imput[[Importe Neto]:[Importe Neto]],Imput[[C. Imp.]:[C. Imp.]],'Indirect Costs'!$C127,Imput[[PERIODO Imp.]:[PERIODO Imp.]],'Indirect Costs'!CA$8)</f>
        <v>0</v>
      </c>
      <c r="CB127" s="48">
        <f>SUMIFS(Imput[[Importe Neto]:[Importe Neto]],Imput[[C. Imp.]:[C. Imp.]],'Indirect Costs'!$C127,Imput[[PERIODO Imp.]:[PERIODO Imp.]],'Indirect Costs'!CB$8)</f>
        <v>0</v>
      </c>
      <c r="CC127" s="48">
        <f>SUMIFS(Imput[[Importe Neto]:[Importe Neto]],Imput[[C. Imp.]:[C. Imp.]],'Indirect Costs'!$C127,Imput[[PERIODO Imp.]:[PERIODO Imp.]],'Indirect Costs'!CC$8)</f>
        <v>0</v>
      </c>
      <c r="CD127" s="48">
        <f>SUMIFS(Imput[[Importe Neto]:[Importe Neto]],Imput[[C. Imp.]:[C. Imp.]],'Indirect Costs'!$C127,Imput[[PERIODO Imp.]:[PERIODO Imp.]],'Indirect Costs'!CD$8)</f>
        <v>0</v>
      </c>
      <c r="CE127" s="48">
        <f>SUMIFS(Imput[[Importe Neto]:[Importe Neto]],Imput[[C. Imp.]:[C. Imp.]],'Indirect Costs'!$C127,Imput[[PERIODO Imp.]:[PERIODO Imp.]],'Indirect Costs'!CE$8)</f>
        <v>0</v>
      </c>
      <c r="CF127" s="48">
        <f>SUMIFS(Imput[[Importe Neto]:[Importe Neto]],Imput[[C. Imp.]:[C. Imp.]],'Indirect Costs'!$C127,Imput[[PERIODO Imp.]:[PERIODO Imp.]],'Indirect Costs'!CF$8)</f>
        <v>0</v>
      </c>
      <c r="CG127" s="48">
        <f>SUMIFS(Imput[[Importe Neto]:[Importe Neto]],Imput[[C. Imp.]:[C. Imp.]],'Indirect Costs'!$C127,Imput[[PERIODO Imp.]:[PERIODO Imp.]],'Indirect Costs'!CG$8)</f>
        <v>0</v>
      </c>
      <c r="CH127" s="48">
        <f>SUMIFS(Imput[[Importe Neto]:[Importe Neto]],Imput[[C. Imp.]:[C. Imp.]],'Indirect Costs'!$C127,Imput[[PERIODO Imp.]:[PERIODO Imp.]],'Indirect Costs'!CH$8)</f>
        <v>0</v>
      </c>
      <c r="CI127" s="48">
        <f>SUMIFS(Imput[[Importe Neto]:[Importe Neto]],Imput[[C. Imp.]:[C. Imp.]],'Indirect Costs'!$C127,Imput[[PERIODO Imp.]:[PERIODO Imp.]],'Indirect Costs'!CI$8)</f>
        <v>0</v>
      </c>
      <c r="CJ127" s="48">
        <f>SUMIFS(Imput[[Importe Neto]:[Importe Neto]],Imput[[C. Imp.]:[C. Imp.]],'Indirect Costs'!$C127,Imput[[PERIODO Imp.]:[PERIODO Imp.]],'Indirect Costs'!CJ$8)</f>
        <v>0</v>
      </c>
      <c r="CK127" s="48">
        <f>SUMIFS(Imput[[Importe Neto]:[Importe Neto]],Imput[[C. Imp.]:[C. Imp.]],'Indirect Costs'!$C127,Imput[[PERIODO Imp.]:[PERIODO Imp.]],'Indirect Costs'!CK$8)</f>
        <v>0</v>
      </c>
      <c r="CL127" s="48">
        <f>SUMIFS(Imput[[Importe Neto]:[Importe Neto]],Imput[[C. Imp.]:[C. Imp.]],'Indirect Costs'!$C127,Imput[[PERIODO Imp.]:[PERIODO Imp.]],'Indirect Costs'!CL$8)</f>
        <v>0</v>
      </c>
      <c r="CM127" s="48">
        <f>SUMIFS(Imput[[Importe Neto]:[Importe Neto]],Imput[[C. Imp.]:[C. Imp.]],'Indirect Costs'!$C127,Imput[[PERIODO Imp.]:[PERIODO Imp.]],'Indirect Costs'!CM$8)</f>
        <v>0</v>
      </c>
      <c r="CN127" s="48">
        <f>SUMIFS(Imput[[Importe Neto]:[Importe Neto]],Imput[[C. Imp.]:[C. Imp.]],'Indirect Costs'!$C127,Imput[[PERIODO Imp.]:[PERIODO Imp.]],'Indirect Costs'!CN$8)</f>
        <v>0</v>
      </c>
      <c r="CO127" s="48">
        <f>SUMIFS(Imput[[Importe Neto]:[Importe Neto]],Imput[[C. Imp.]:[C. Imp.]],'Indirect Costs'!$C127,Imput[[PERIODO Imp.]:[PERIODO Imp.]],'Indirect Costs'!CO$8)</f>
        <v>0</v>
      </c>
      <c r="CP127" s="48">
        <f>SUMIFS(Imput[[Importe Neto]:[Importe Neto]],Imput[[C. Imp.]:[C. Imp.]],'Indirect Costs'!$C127,Imput[[PERIODO Imp.]:[PERIODO Imp.]],'Indirect Costs'!CP$8)</f>
        <v>0</v>
      </c>
      <c r="CQ127" s="48">
        <f>SUMIFS(Imput[[Importe Neto]:[Importe Neto]],Imput[[C. Imp.]:[C. Imp.]],'Indirect Costs'!$C127,Imput[[PERIODO Imp.]:[PERIODO Imp.]],'Indirect Costs'!CQ$8)</f>
        <v>0</v>
      </c>
      <c r="CR127" s="48">
        <f>SUMIFS(Imput[[Importe Neto]:[Importe Neto]],Imput[[C. Imp.]:[C. Imp.]],'Indirect Costs'!$C127,Imput[[PERIODO Imp.]:[PERIODO Imp.]],'Indirect Costs'!CR$8)</f>
        <v>0</v>
      </c>
      <c r="CS127" s="48">
        <f>SUMIFS(Imput[[Importe Neto]:[Importe Neto]],Imput[[C. Imp.]:[C. Imp.]],'Indirect Costs'!$C127,Imput[[PERIODO Imp.]:[PERIODO Imp.]],'Indirect Costs'!CS$8)</f>
        <v>0</v>
      </c>
      <c r="CT127" s="48">
        <f>SUMIFS(Imput[[Importe Neto]:[Importe Neto]],Imput[[C. Imp.]:[C. Imp.]],'Indirect Costs'!$C127,Imput[[PERIODO Imp.]:[PERIODO Imp.]],'Indirect Costs'!CT$8)</f>
        <v>0</v>
      </c>
      <c r="CU127" s="48">
        <f>SUMIFS(Imput[[Importe Neto]:[Importe Neto]],Imput[[C. Imp.]:[C. Imp.]],'Indirect Costs'!$C127,Imput[[PERIODO Imp.]:[PERIODO Imp.]],'Indirect Costs'!CU$8)</f>
        <v>0</v>
      </c>
      <c r="CV127" s="48">
        <f>SUMIFS(Imput[[Importe Neto]:[Importe Neto]],Imput[[C. Imp.]:[C. Imp.]],'Indirect Costs'!$C127,Imput[[PERIODO Imp.]:[PERIODO Imp.]],'Indirect Costs'!CV$8)</f>
        <v>0</v>
      </c>
      <c r="CW127" s="48">
        <f>SUMIFS(Imput[[Importe Neto]:[Importe Neto]],Imput[[C. Imp.]:[C. Imp.]],'Indirect Costs'!$C127,Imput[[PERIODO Imp.]:[PERIODO Imp.]],'Indirect Costs'!CW$8)</f>
        <v>0</v>
      </c>
      <c r="CX127" s="48">
        <f>SUMIFS(Imput[[Importe Neto]:[Importe Neto]],Imput[[C. Imp.]:[C. Imp.]],'Indirect Costs'!$C127,Imput[[PERIODO Imp.]:[PERIODO Imp.]],'Indirect Costs'!CX$8)</f>
        <v>0</v>
      </c>
      <c r="CY127" s="48">
        <f>SUMIFS(Imput[[Importe Neto]:[Importe Neto]],Imput[[C. Imp.]:[C. Imp.]],'Indirect Costs'!$C127,Imput[[PERIODO Imp.]:[PERIODO Imp.]],'Indirect Costs'!CY$8)</f>
        <v>0</v>
      </c>
      <c r="CZ127" s="48">
        <f>SUMIFS(Imput[[Importe Neto]:[Importe Neto]],Imput[[C. Imp.]:[C. Imp.]],'Indirect Costs'!$C127,Imput[[PERIODO Imp.]:[PERIODO Imp.]],'Indirect Costs'!CZ$8)</f>
        <v>0</v>
      </c>
      <c r="DA127" s="48">
        <f>SUMIFS(Imput[[Importe Neto]:[Importe Neto]],Imput[[C. Imp.]:[C. Imp.]],'Indirect Costs'!$C127,Imput[[PERIODO Imp.]:[PERIODO Imp.]],'Indirect Costs'!DA$8)</f>
        <v>0</v>
      </c>
      <c r="DB127" s="48">
        <f>SUMIFS(Imput[[Importe Neto]:[Importe Neto]],Imput[[C. Imp.]:[C. Imp.]],'Indirect Costs'!$C127,Imput[[PERIODO Imp.]:[PERIODO Imp.]],'Indirect Costs'!DB$8)</f>
        <v>0</v>
      </c>
      <c r="DC127" s="48">
        <f>SUMIFS(Imput[[Importe Neto]:[Importe Neto]],Imput[[C. Imp.]:[C. Imp.]],'Indirect Costs'!$C127,Imput[[PERIODO Imp.]:[PERIODO Imp.]],'Indirect Costs'!DC$8)</f>
        <v>0</v>
      </c>
      <c r="DD127" s="48">
        <f>SUMIFS(Imput[[Importe Neto]:[Importe Neto]],Imput[[C. Imp.]:[C. Imp.]],'Indirect Costs'!$C127,Imput[[PERIODO Imp.]:[PERIODO Imp.]],'Indirect Costs'!DD$8)</f>
        <v>0</v>
      </c>
      <c r="DE127" s="48">
        <f>SUMIFS(Imput[[Importe Neto]:[Importe Neto]],Imput[[C. Imp.]:[C. Imp.]],'Indirect Costs'!$C127,Imput[[PERIODO Imp.]:[PERIODO Imp.]],'Indirect Costs'!DE$8)</f>
        <v>0</v>
      </c>
      <c r="DF127" s="143">
        <f>SUMIFS(Imput[[Importe Neto]:[Importe Neto]],Imput[[C. Imp.]:[C. Imp.]],'Indirect Costs'!$C127,Imput[[PERIODO Imp.]:[PERIODO Imp.]],'Indirect Costs'!DF$8)</f>
        <v>0</v>
      </c>
    </row>
    <row r="128" spans="1:110" outlineLevel="1" x14ac:dyDescent="0.25">
      <c r="A128" s="28" t="str">
        <f t="shared" si="14"/>
        <v>Imprimir</v>
      </c>
      <c r="B128" s="50">
        <v>12</v>
      </c>
      <c r="C128" s="57" t="s">
        <v>1845</v>
      </c>
      <c r="D128" s="56" t="s">
        <v>633</v>
      </c>
      <c r="E128" s="57" t="s">
        <v>633</v>
      </c>
      <c r="F128" s="58">
        <v>70000</v>
      </c>
      <c r="G128" s="49">
        <v>1</v>
      </c>
      <c r="H128" s="51">
        <v>1</v>
      </c>
      <c r="I128" s="505">
        <f t="shared" si="25"/>
        <v>70000</v>
      </c>
      <c r="J128" s="47"/>
      <c r="K128" s="142">
        <v>0.16666666666666666</v>
      </c>
      <c r="L128" s="48">
        <v>0.16666666666666666</v>
      </c>
      <c r="M128" s="48">
        <v>0.16666666666666666</v>
      </c>
      <c r="N128" s="48">
        <v>0.16666666666666666</v>
      </c>
      <c r="O128" s="48">
        <v>0.16666666666666666</v>
      </c>
      <c r="P128" s="48">
        <v>0.16666666666666666</v>
      </c>
      <c r="Q128" s="48"/>
      <c r="R128" s="48">
        <v>0.5</v>
      </c>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143"/>
      <c r="BG128" s="47"/>
      <c r="BH128" s="509"/>
      <c r="BI128" s="505">
        <f t="shared" si="15"/>
        <v>36612</v>
      </c>
      <c r="BJ128" s="47"/>
      <c r="BK128" s="142">
        <f>SUMIFS(Imput[[Importe Neto]:[Importe Neto]],Imput[[C. Imp.]:[C. Imp.]],'Indirect Costs'!$C128,Imput[[PERIODO Imp.]:[PERIODO Imp.]],'Indirect Costs'!BK$8)</f>
        <v>0</v>
      </c>
      <c r="BL128" s="48">
        <f>SUMIFS(Imput[[Importe Neto]:[Importe Neto]],Imput[[C. Imp.]:[C. Imp.]],'Indirect Costs'!$C128,Imput[[PERIODO Imp.]:[PERIODO Imp.]],'Indirect Costs'!BL$8)</f>
        <v>0</v>
      </c>
      <c r="BM128" s="48">
        <f>SUMIFS(Imput[[Importe Neto]:[Importe Neto]],Imput[[C. Imp.]:[C. Imp.]],'Indirect Costs'!$C128,Imput[[PERIODO Imp.]:[PERIODO Imp.]],'Indirect Costs'!BM$8)</f>
        <v>0</v>
      </c>
      <c r="BN128" s="48">
        <f>SUMIFS(Imput[[Importe Neto]:[Importe Neto]],Imput[[C. Imp.]:[C. Imp.]],'Indirect Costs'!$C128,Imput[[PERIODO Imp.]:[PERIODO Imp.]],'Indirect Costs'!BN$8)</f>
        <v>5832</v>
      </c>
      <c r="BO128" s="48">
        <f>SUMIFS(Imput[[Importe Neto]:[Importe Neto]],Imput[[C. Imp.]:[C. Imp.]],'Indirect Costs'!$C128,Imput[[PERIODO Imp.]:[PERIODO Imp.]],'Indirect Costs'!BO$8)</f>
        <v>12204</v>
      </c>
      <c r="BP128" s="48">
        <f>SUMIFS(Imput[[Importe Neto]:[Importe Neto]],Imput[[C. Imp.]:[C. Imp.]],'Indirect Costs'!$C128,Imput[[PERIODO Imp.]:[PERIODO Imp.]],'Indirect Costs'!BP$8)</f>
        <v>12096</v>
      </c>
      <c r="BQ128" s="48">
        <f>SUMIFS(Imput[[Importe Neto]:[Importe Neto]],Imput[[C. Imp.]:[C. Imp.]],'Indirect Costs'!$C128,Imput[[PERIODO Imp.]:[PERIODO Imp.]],'Indirect Costs'!BQ$8)</f>
        <v>6480</v>
      </c>
      <c r="BR128" s="48">
        <f>SUMIFS(Imput[[Importe Neto]:[Importe Neto]],Imput[[C. Imp.]:[C. Imp.]],'Indirect Costs'!$C128,Imput[[PERIODO Imp.]:[PERIODO Imp.]],'Indirect Costs'!BR$8)</f>
        <v>0</v>
      </c>
      <c r="BS128" s="48">
        <f>SUMIFS(Imput[[Importe Neto]:[Importe Neto]],Imput[[C. Imp.]:[C. Imp.]],'Indirect Costs'!$C128,Imput[[PERIODO Imp.]:[PERIODO Imp.]],'Indirect Costs'!BS$8)</f>
        <v>0</v>
      </c>
      <c r="BT128" s="48">
        <f>SUMIFS(Imput[[Importe Neto]:[Importe Neto]],Imput[[C. Imp.]:[C. Imp.]],'Indirect Costs'!$C128,Imput[[PERIODO Imp.]:[PERIODO Imp.]],'Indirect Costs'!BT$8)</f>
        <v>0</v>
      </c>
      <c r="BU128" s="48">
        <f>SUMIFS(Imput[[Importe Neto]:[Importe Neto]],Imput[[C. Imp.]:[C. Imp.]],'Indirect Costs'!$C128,Imput[[PERIODO Imp.]:[PERIODO Imp.]],'Indirect Costs'!BU$8)</f>
        <v>0</v>
      </c>
      <c r="BV128" s="48">
        <f>SUMIFS(Imput[[Importe Neto]:[Importe Neto]],Imput[[C. Imp.]:[C. Imp.]],'Indirect Costs'!$C128,Imput[[PERIODO Imp.]:[PERIODO Imp.]],'Indirect Costs'!BV$8)</f>
        <v>0</v>
      </c>
      <c r="BW128" s="48">
        <f>SUMIFS(Imput[[Importe Neto]:[Importe Neto]],Imput[[C. Imp.]:[C. Imp.]],'Indirect Costs'!$C128,Imput[[PERIODO Imp.]:[PERIODO Imp.]],'Indirect Costs'!BW$8)</f>
        <v>0</v>
      </c>
      <c r="BX128" s="48">
        <f>SUMIFS(Imput[[Importe Neto]:[Importe Neto]],Imput[[C. Imp.]:[C. Imp.]],'Indirect Costs'!$C128,Imput[[PERIODO Imp.]:[PERIODO Imp.]],'Indirect Costs'!BX$8)</f>
        <v>0</v>
      </c>
      <c r="BY128" s="48">
        <f>SUMIFS(Imput[[Importe Neto]:[Importe Neto]],Imput[[C. Imp.]:[C. Imp.]],'Indirect Costs'!$C128,Imput[[PERIODO Imp.]:[PERIODO Imp.]],'Indirect Costs'!BY$8)</f>
        <v>0</v>
      </c>
      <c r="BZ128" s="48">
        <f>SUMIFS(Imput[[Importe Neto]:[Importe Neto]],Imput[[C. Imp.]:[C. Imp.]],'Indirect Costs'!$C128,Imput[[PERIODO Imp.]:[PERIODO Imp.]],'Indirect Costs'!BZ$8)</f>
        <v>0</v>
      </c>
      <c r="CA128" s="48">
        <f>SUMIFS(Imput[[Importe Neto]:[Importe Neto]],Imput[[C. Imp.]:[C. Imp.]],'Indirect Costs'!$C128,Imput[[PERIODO Imp.]:[PERIODO Imp.]],'Indirect Costs'!CA$8)</f>
        <v>0</v>
      </c>
      <c r="CB128" s="48">
        <f>SUMIFS(Imput[[Importe Neto]:[Importe Neto]],Imput[[C. Imp.]:[C. Imp.]],'Indirect Costs'!$C128,Imput[[PERIODO Imp.]:[PERIODO Imp.]],'Indirect Costs'!CB$8)</f>
        <v>0</v>
      </c>
      <c r="CC128" s="48">
        <f>SUMIFS(Imput[[Importe Neto]:[Importe Neto]],Imput[[C. Imp.]:[C. Imp.]],'Indirect Costs'!$C128,Imput[[PERIODO Imp.]:[PERIODO Imp.]],'Indirect Costs'!CC$8)</f>
        <v>0</v>
      </c>
      <c r="CD128" s="48">
        <f>SUMIFS(Imput[[Importe Neto]:[Importe Neto]],Imput[[C. Imp.]:[C. Imp.]],'Indirect Costs'!$C128,Imput[[PERIODO Imp.]:[PERIODO Imp.]],'Indirect Costs'!CD$8)</f>
        <v>0</v>
      </c>
      <c r="CE128" s="48">
        <f>SUMIFS(Imput[[Importe Neto]:[Importe Neto]],Imput[[C. Imp.]:[C. Imp.]],'Indirect Costs'!$C128,Imput[[PERIODO Imp.]:[PERIODO Imp.]],'Indirect Costs'!CE$8)</f>
        <v>0</v>
      </c>
      <c r="CF128" s="48">
        <f>SUMIFS(Imput[[Importe Neto]:[Importe Neto]],Imput[[C. Imp.]:[C. Imp.]],'Indirect Costs'!$C128,Imput[[PERIODO Imp.]:[PERIODO Imp.]],'Indirect Costs'!CF$8)</f>
        <v>0</v>
      </c>
      <c r="CG128" s="48">
        <f>SUMIFS(Imput[[Importe Neto]:[Importe Neto]],Imput[[C. Imp.]:[C. Imp.]],'Indirect Costs'!$C128,Imput[[PERIODO Imp.]:[PERIODO Imp.]],'Indirect Costs'!CG$8)</f>
        <v>0</v>
      </c>
      <c r="CH128" s="48">
        <f>SUMIFS(Imput[[Importe Neto]:[Importe Neto]],Imput[[C. Imp.]:[C. Imp.]],'Indirect Costs'!$C128,Imput[[PERIODO Imp.]:[PERIODO Imp.]],'Indirect Costs'!CH$8)</f>
        <v>0</v>
      </c>
      <c r="CI128" s="48">
        <f>SUMIFS(Imput[[Importe Neto]:[Importe Neto]],Imput[[C. Imp.]:[C. Imp.]],'Indirect Costs'!$C128,Imput[[PERIODO Imp.]:[PERIODO Imp.]],'Indirect Costs'!CI$8)</f>
        <v>0</v>
      </c>
      <c r="CJ128" s="48">
        <f>SUMIFS(Imput[[Importe Neto]:[Importe Neto]],Imput[[C. Imp.]:[C. Imp.]],'Indirect Costs'!$C128,Imput[[PERIODO Imp.]:[PERIODO Imp.]],'Indirect Costs'!CJ$8)</f>
        <v>0</v>
      </c>
      <c r="CK128" s="48">
        <f>SUMIFS(Imput[[Importe Neto]:[Importe Neto]],Imput[[C. Imp.]:[C. Imp.]],'Indirect Costs'!$C128,Imput[[PERIODO Imp.]:[PERIODO Imp.]],'Indirect Costs'!CK$8)</f>
        <v>0</v>
      </c>
      <c r="CL128" s="48">
        <f>SUMIFS(Imput[[Importe Neto]:[Importe Neto]],Imput[[C. Imp.]:[C. Imp.]],'Indirect Costs'!$C128,Imput[[PERIODO Imp.]:[PERIODO Imp.]],'Indirect Costs'!CL$8)</f>
        <v>0</v>
      </c>
      <c r="CM128" s="48">
        <f>SUMIFS(Imput[[Importe Neto]:[Importe Neto]],Imput[[C. Imp.]:[C. Imp.]],'Indirect Costs'!$C128,Imput[[PERIODO Imp.]:[PERIODO Imp.]],'Indirect Costs'!CM$8)</f>
        <v>0</v>
      </c>
      <c r="CN128" s="48">
        <f>SUMIFS(Imput[[Importe Neto]:[Importe Neto]],Imput[[C. Imp.]:[C. Imp.]],'Indirect Costs'!$C128,Imput[[PERIODO Imp.]:[PERIODO Imp.]],'Indirect Costs'!CN$8)</f>
        <v>0</v>
      </c>
      <c r="CO128" s="48">
        <f>SUMIFS(Imput[[Importe Neto]:[Importe Neto]],Imput[[C. Imp.]:[C. Imp.]],'Indirect Costs'!$C128,Imput[[PERIODO Imp.]:[PERIODO Imp.]],'Indirect Costs'!CO$8)</f>
        <v>0</v>
      </c>
      <c r="CP128" s="48">
        <f>SUMIFS(Imput[[Importe Neto]:[Importe Neto]],Imput[[C. Imp.]:[C. Imp.]],'Indirect Costs'!$C128,Imput[[PERIODO Imp.]:[PERIODO Imp.]],'Indirect Costs'!CP$8)</f>
        <v>0</v>
      </c>
      <c r="CQ128" s="48">
        <f>SUMIFS(Imput[[Importe Neto]:[Importe Neto]],Imput[[C. Imp.]:[C. Imp.]],'Indirect Costs'!$C128,Imput[[PERIODO Imp.]:[PERIODO Imp.]],'Indirect Costs'!CQ$8)</f>
        <v>0</v>
      </c>
      <c r="CR128" s="48">
        <f>SUMIFS(Imput[[Importe Neto]:[Importe Neto]],Imput[[C. Imp.]:[C. Imp.]],'Indirect Costs'!$C128,Imput[[PERIODO Imp.]:[PERIODO Imp.]],'Indirect Costs'!CR$8)</f>
        <v>0</v>
      </c>
      <c r="CS128" s="48">
        <f>SUMIFS(Imput[[Importe Neto]:[Importe Neto]],Imput[[C. Imp.]:[C. Imp.]],'Indirect Costs'!$C128,Imput[[PERIODO Imp.]:[PERIODO Imp.]],'Indirect Costs'!CS$8)</f>
        <v>0</v>
      </c>
      <c r="CT128" s="48">
        <f>SUMIFS(Imput[[Importe Neto]:[Importe Neto]],Imput[[C. Imp.]:[C. Imp.]],'Indirect Costs'!$C128,Imput[[PERIODO Imp.]:[PERIODO Imp.]],'Indirect Costs'!CT$8)</f>
        <v>0</v>
      </c>
      <c r="CU128" s="48">
        <f>SUMIFS(Imput[[Importe Neto]:[Importe Neto]],Imput[[C. Imp.]:[C. Imp.]],'Indirect Costs'!$C128,Imput[[PERIODO Imp.]:[PERIODO Imp.]],'Indirect Costs'!CU$8)</f>
        <v>0</v>
      </c>
      <c r="CV128" s="48">
        <f>SUMIFS(Imput[[Importe Neto]:[Importe Neto]],Imput[[C. Imp.]:[C. Imp.]],'Indirect Costs'!$C128,Imput[[PERIODO Imp.]:[PERIODO Imp.]],'Indirect Costs'!CV$8)</f>
        <v>0</v>
      </c>
      <c r="CW128" s="48">
        <f>SUMIFS(Imput[[Importe Neto]:[Importe Neto]],Imput[[C. Imp.]:[C. Imp.]],'Indirect Costs'!$C128,Imput[[PERIODO Imp.]:[PERIODO Imp.]],'Indirect Costs'!CW$8)</f>
        <v>0</v>
      </c>
      <c r="CX128" s="48">
        <f>SUMIFS(Imput[[Importe Neto]:[Importe Neto]],Imput[[C. Imp.]:[C. Imp.]],'Indirect Costs'!$C128,Imput[[PERIODO Imp.]:[PERIODO Imp.]],'Indirect Costs'!CX$8)</f>
        <v>0</v>
      </c>
      <c r="CY128" s="48">
        <f>SUMIFS(Imput[[Importe Neto]:[Importe Neto]],Imput[[C. Imp.]:[C. Imp.]],'Indirect Costs'!$C128,Imput[[PERIODO Imp.]:[PERIODO Imp.]],'Indirect Costs'!CY$8)</f>
        <v>0</v>
      </c>
      <c r="CZ128" s="48">
        <f>SUMIFS(Imput[[Importe Neto]:[Importe Neto]],Imput[[C. Imp.]:[C. Imp.]],'Indirect Costs'!$C128,Imput[[PERIODO Imp.]:[PERIODO Imp.]],'Indirect Costs'!CZ$8)</f>
        <v>0</v>
      </c>
      <c r="DA128" s="48">
        <f>SUMIFS(Imput[[Importe Neto]:[Importe Neto]],Imput[[C. Imp.]:[C. Imp.]],'Indirect Costs'!$C128,Imput[[PERIODO Imp.]:[PERIODO Imp.]],'Indirect Costs'!DA$8)</f>
        <v>0</v>
      </c>
      <c r="DB128" s="48">
        <f>SUMIFS(Imput[[Importe Neto]:[Importe Neto]],Imput[[C. Imp.]:[C. Imp.]],'Indirect Costs'!$C128,Imput[[PERIODO Imp.]:[PERIODO Imp.]],'Indirect Costs'!DB$8)</f>
        <v>0</v>
      </c>
      <c r="DC128" s="48">
        <f>SUMIFS(Imput[[Importe Neto]:[Importe Neto]],Imput[[C. Imp.]:[C. Imp.]],'Indirect Costs'!$C128,Imput[[PERIODO Imp.]:[PERIODO Imp.]],'Indirect Costs'!DC$8)</f>
        <v>0</v>
      </c>
      <c r="DD128" s="48">
        <f>SUMIFS(Imput[[Importe Neto]:[Importe Neto]],Imput[[C. Imp.]:[C. Imp.]],'Indirect Costs'!$C128,Imput[[PERIODO Imp.]:[PERIODO Imp.]],'Indirect Costs'!DD$8)</f>
        <v>0</v>
      </c>
      <c r="DE128" s="48">
        <f>SUMIFS(Imput[[Importe Neto]:[Importe Neto]],Imput[[C. Imp.]:[C. Imp.]],'Indirect Costs'!$C128,Imput[[PERIODO Imp.]:[PERIODO Imp.]],'Indirect Costs'!DE$8)</f>
        <v>0</v>
      </c>
      <c r="DF128" s="143">
        <f>SUMIFS(Imput[[Importe Neto]:[Importe Neto]],Imput[[C. Imp.]:[C. Imp.]],'Indirect Costs'!$C128,Imput[[PERIODO Imp.]:[PERIODO Imp.]],'Indirect Costs'!DF$8)</f>
        <v>0</v>
      </c>
    </row>
    <row r="129" spans="1:110" outlineLevel="1" x14ac:dyDescent="0.25">
      <c r="A129" s="28" t="str">
        <f t="shared" si="14"/>
        <v/>
      </c>
      <c r="B129" s="50">
        <v>13</v>
      </c>
      <c r="C129" s="57" t="s">
        <v>1846</v>
      </c>
      <c r="D129" s="56" t="s">
        <v>634</v>
      </c>
      <c r="E129" s="57" t="s">
        <v>634</v>
      </c>
      <c r="F129" s="58"/>
      <c r="G129" s="49"/>
      <c r="H129" s="51">
        <v>1</v>
      </c>
      <c r="I129" s="505">
        <f t="shared" si="25"/>
        <v>0</v>
      </c>
      <c r="J129" s="47"/>
      <c r="K129" s="142"/>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143"/>
      <c r="BG129" s="47"/>
      <c r="BH129" s="509"/>
      <c r="BI129" s="505">
        <f t="shared" si="15"/>
        <v>0</v>
      </c>
      <c r="BJ129" s="47"/>
      <c r="BK129" s="142">
        <f>SUMIFS(Imput[[Importe Neto]:[Importe Neto]],Imput[[C. Imp.]:[C. Imp.]],'Indirect Costs'!$C129,Imput[[PERIODO Imp.]:[PERIODO Imp.]],'Indirect Costs'!BK$8)</f>
        <v>0</v>
      </c>
      <c r="BL129" s="48">
        <f>SUMIFS(Imput[[Importe Neto]:[Importe Neto]],Imput[[C. Imp.]:[C. Imp.]],'Indirect Costs'!$C129,Imput[[PERIODO Imp.]:[PERIODO Imp.]],'Indirect Costs'!BL$8)</f>
        <v>0</v>
      </c>
      <c r="BM129" s="48">
        <f>SUMIFS(Imput[[Importe Neto]:[Importe Neto]],Imput[[C. Imp.]:[C. Imp.]],'Indirect Costs'!$C129,Imput[[PERIODO Imp.]:[PERIODO Imp.]],'Indirect Costs'!BM$8)</f>
        <v>0</v>
      </c>
      <c r="BN129" s="48">
        <f>SUMIFS(Imput[[Importe Neto]:[Importe Neto]],Imput[[C. Imp.]:[C. Imp.]],'Indirect Costs'!$C129,Imput[[PERIODO Imp.]:[PERIODO Imp.]],'Indirect Costs'!BN$8)</f>
        <v>0</v>
      </c>
      <c r="BO129" s="48">
        <f>SUMIFS(Imput[[Importe Neto]:[Importe Neto]],Imput[[C. Imp.]:[C. Imp.]],'Indirect Costs'!$C129,Imput[[PERIODO Imp.]:[PERIODO Imp.]],'Indirect Costs'!BO$8)</f>
        <v>0</v>
      </c>
      <c r="BP129" s="48">
        <f>SUMIFS(Imput[[Importe Neto]:[Importe Neto]],Imput[[C. Imp.]:[C. Imp.]],'Indirect Costs'!$C129,Imput[[PERIODO Imp.]:[PERIODO Imp.]],'Indirect Costs'!BP$8)</f>
        <v>0</v>
      </c>
      <c r="BQ129" s="48">
        <f>SUMIFS(Imput[[Importe Neto]:[Importe Neto]],Imput[[C. Imp.]:[C. Imp.]],'Indirect Costs'!$C129,Imput[[PERIODO Imp.]:[PERIODO Imp.]],'Indirect Costs'!BQ$8)</f>
        <v>0</v>
      </c>
      <c r="BR129" s="48">
        <f>SUMIFS(Imput[[Importe Neto]:[Importe Neto]],Imput[[C. Imp.]:[C. Imp.]],'Indirect Costs'!$C129,Imput[[PERIODO Imp.]:[PERIODO Imp.]],'Indirect Costs'!BR$8)</f>
        <v>0</v>
      </c>
      <c r="BS129" s="48">
        <f>SUMIFS(Imput[[Importe Neto]:[Importe Neto]],Imput[[C. Imp.]:[C. Imp.]],'Indirect Costs'!$C129,Imput[[PERIODO Imp.]:[PERIODO Imp.]],'Indirect Costs'!BS$8)</f>
        <v>0</v>
      </c>
      <c r="BT129" s="48">
        <f>SUMIFS(Imput[[Importe Neto]:[Importe Neto]],Imput[[C. Imp.]:[C. Imp.]],'Indirect Costs'!$C129,Imput[[PERIODO Imp.]:[PERIODO Imp.]],'Indirect Costs'!BT$8)</f>
        <v>0</v>
      </c>
      <c r="BU129" s="48">
        <f>SUMIFS(Imput[[Importe Neto]:[Importe Neto]],Imput[[C. Imp.]:[C. Imp.]],'Indirect Costs'!$C129,Imput[[PERIODO Imp.]:[PERIODO Imp.]],'Indirect Costs'!BU$8)</f>
        <v>0</v>
      </c>
      <c r="BV129" s="48">
        <f>SUMIFS(Imput[[Importe Neto]:[Importe Neto]],Imput[[C. Imp.]:[C. Imp.]],'Indirect Costs'!$C129,Imput[[PERIODO Imp.]:[PERIODO Imp.]],'Indirect Costs'!BV$8)</f>
        <v>0</v>
      </c>
      <c r="BW129" s="48">
        <f>SUMIFS(Imput[[Importe Neto]:[Importe Neto]],Imput[[C. Imp.]:[C. Imp.]],'Indirect Costs'!$C129,Imput[[PERIODO Imp.]:[PERIODO Imp.]],'Indirect Costs'!BW$8)</f>
        <v>0</v>
      </c>
      <c r="BX129" s="48">
        <f>SUMIFS(Imput[[Importe Neto]:[Importe Neto]],Imput[[C. Imp.]:[C. Imp.]],'Indirect Costs'!$C129,Imput[[PERIODO Imp.]:[PERIODO Imp.]],'Indirect Costs'!BX$8)</f>
        <v>0</v>
      </c>
      <c r="BY129" s="48">
        <f>SUMIFS(Imput[[Importe Neto]:[Importe Neto]],Imput[[C. Imp.]:[C. Imp.]],'Indirect Costs'!$C129,Imput[[PERIODO Imp.]:[PERIODO Imp.]],'Indirect Costs'!BY$8)</f>
        <v>0</v>
      </c>
      <c r="BZ129" s="48">
        <f>SUMIFS(Imput[[Importe Neto]:[Importe Neto]],Imput[[C. Imp.]:[C. Imp.]],'Indirect Costs'!$C129,Imput[[PERIODO Imp.]:[PERIODO Imp.]],'Indirect Costs'!BZ$8)</f>
        <v>0</v>
      </c>
      <c r="CA129" s="48">
        <f>SUMIFS(Imput[[Importe Neto]:[Importe Neto]],Imput[[C. Imp.]:[C. Imp.]],'Indirect Costs'!$C129,Imput[[PERIODO Imp.]:[PERIODO Imp.]],'Indirect Costs'!CA$8)</f>
        <v>0</v>
      </c>
      <c r="CB129" s="48">
        <f>SUMIFS(Imput[[Importe Neto]:[Importe Neto]],Imput[[C. Imp.]:[C. Imp.]],'Indirect Costs'!$C129,Imput[[PERIODO Imp.]:[PERIODO Imp.]],'Indirect Costs'!CB$8)</f>
        <v>0</v>
      </c>
      <c r="CC129" s="48">
        <f>SUMIFS(Imput[[Importe Neto]:[Importe Neto]],Imput[[C. Imp.]:[C. Imp.]],'Indirect Costs'!$C129,Imput[[PERIODO Imp.]:[PERIODO Imp.]],'Indirect Costs'!CC$8)</f>
        <v>0</v>
      </c>
      <c r="CD129" s="48">
        <f>SUMIFS(Imput[[Importe Neto]:[Importe Neto]],Imput[[C. Imp.]:[C. Imp.]],'Indirect Costs'!$C129,Imput[[PERIODO Imp.]:[PERIODO Imp.]],'Indirect Costs'!CD$8)</f>
        <v>0</v>
      </c>
      <c r="CE129" s="48">
        <f>SUMIFS(Imput[[Importe Neto]:[Importe Neto]],Imput[[C. Imp.]:[C. Imp.]],'Indirect Costs'!$C129,Imput[[PERIODO Imp.]:[PERIODO Imp.]],'Indirect Costs'!CE$8)</f>
        <v>0</v>
      </c>
      <c r="CF129" s="48">
        <f>SUMIFS(Imput[[Importe Neto]:[Importe Neto]],Imput[[C. Imp.]:[C. Imp.]],'Indirect Costs'!$C129,Imput[[PERIODO Imp.]:[PERIODO Imp.]],'Indirect Costs'!CF$8)</f>
        <v>0</v>
      </c>
      <c r="CG129" s="48">
        <f>SUMIFS(Imput[[Importe Neto]:[Importe Neto]],Imput[[C. Imp.]:[C. Imp.]],'Indirect Costs'!$C129,Imput[[PERIODO Imp.]:[PERIODO Imp.]],'Indirect Costs'!CG$8)</f>
        <v>0</v>
      </c>
      <c r="CH129" s="48">
        <f>SUMIFS(Imput[[Importe Neto]:[Importe Neto]],Imput[[C. Imp.]:[C. Imp.]],'Indirect Costs'!$C129,Imput[[PERIODO Imp.]:[PERIODO Imp.]],'Indirect Costs'!CH$8)</f>
        <v>0</v>
      </c>
      <c r="CI129" s="48">
        <f>SUMIFS(Imput[[Importe Neto]:[Importe Neto]],Imput[[C. Imp.]:[C. Imp.]],'Indirect Costs'!$C129,Imput[[PERIODO Imp.]:[PERIODO Imp.]],'Indirect Costs'!CI$8)</f>
        <v>0</v>
      </c>
      <c r="CJ129" s="48">
        <f>SUMIFS(Imput[[Importe Neto]:[Importe Neto]],Imput[[C. Imp.]:[C. Imp.]],'Indirect Costs'!$C129,Imput[[PERIODO Imp.]:[PERIODO Imp.]],'Indirect Costs'!CJ$8)</f>
        <v>0</v>
      </c>
      <c r="CK129" s="48">
        <f>SUMIFS(Imput[[Importe Neto]:[Importe Neto]],Imput[[C. Imp.]:[C. Imp.]],'Indirect Costs'!$C129,Imput[[PERIODO Imp.]:[PERIODO Imp.]],'Indirect Costs'!CK$8)</f>
        <v>0</v>
      </c>
      <c r="CL129" s="48">
        <f>SUMIFS(Imput[[Importe Neto]:[Importe Neto]],Imput[[C. Imp.]:[C. Imp.]],'Indirect Costs'!$C129,Imput[[PERIODO Imp.]:[PERIODO Imp.]],'Indirect Costs'!CL$8)</f>
        <v>0</v>
      </c>
      <c r="CM129" s="48">
        <f>SUMIFS(Imput[[Importe Neto]:[Importe Neto]],Imput[[C. Imp.]:[C. Imp.]],'Indirect Costs'!$C129,Imput[[PERIODO Imp.]:[PERIODO Imp.]],'Indirect Costs'!CM$8)</f>
        <v>0</v>
      </c>
      <c r="CN129" s="48">
        <f>SUMIFS(Imput[[Importe Neto]:[Importe Neto]],Imput[[C. Imp.]:[C. Imp.]],'Indirect Costs'!$C129,Imput[[PERIODO Imp.]:[PERIODO Imp.]],'Indirect Costs'!CN$8)</f>
        <v>0</v>
      </c>
      <c r="CO129" s="48">
        <f>SUMIFS(Imput[[Importe Neto]:[Importe Neto]],Imput[[C. Imp.]:[C. Imp.]],'Indirect Costs'!$C129,Imput[[PERIODO Imp.]:[PERIODO Imp.]],'Indirect Costs'!CO$8)</f>
        <v>0</v>
      </c>
      <c r="CP129" s="48">
        <f>SUMIFS(Imput[[Importe Neto]:[Importe Neto]],Imput[[C. Imp.]:[C. Imp.]],'Indirect Costs'!$C129,Imput[[PERIODO Imp.]:[PERIODO Imp.]],'Indirect Costs'!CP$8)</f>
        <v>0</v>
      </c>
      <c r="CQ129" s="48">
        <f>SUMIFS(Imput[[Importe Neto]:[Importe Neto]],Imput[[C. Imp.]:[C. Imp.]],'Indirect Costs'!$C129,Imput[[PERIODO Imp.]:[PERIODO Imp.]],'Indirect Costs'!CQ$8)</f>
        <v>0</v>
      </c>
      <c r="CR129" s="48">
        <f>SUMIFS(Imput[[Importe Neto]:[Importe Neto]],Imput[[C. Imp.]:[C. Imp.]],'Indirect Costs'!$C129,Imput[[PERIODO Imp.]:[PERIODO Imp.]],'Indirect Costs'!CR$8)</f>
        <v>0</v>
      </c>
      <c r="CS129" s="48">
        <f>SUMIFS(Imput[[Importe Neto]:[Importe Neto]],Imput[[C. Imp.]:[C. Imp.]],'Indirect Costs'!$C129,Imput[[PERIODO Imp.]:[PERIODO Imp.]],'Indirect Costs'!CS$8)</f>
        <v>0</v>
      </c>
      <c r="CT129" s="48">
        <f>SUMIFS(Imput[[Importe Neto]:[Importe Neto]],Imput[[C. Imp.]:[C. Imp.]],'Indirect Costs'!$C129,Imput[[PERIODO Imp.]:[PERIODO Imp.]],'Indirect Costs'!CT$8)</f>
        <v>0</v>
      </c>
      <c r="CU129" s="48">
        <f>SUMIFS(Imput[[Importe Neto]:[Importe Neto]],Imput[[C. Imp.]:[C. Imp.]],'Indirect Costs'!$C129,Imput[[PERIODO Imp.]:[PERIODO Imp.]],'Indirect Costs'!CU$8)</f>
        <v>0</v>
      </c>
      <c r="CV129" s="48">
        <f>SUMIFS(Imput[[Importe Neto]:[Importe Neto]],Imput[[C. Imp.]:[C. Imp.]],'Indirect Costs'!$C129,Imput[[PERIODO Imp.]:[PERIODO Imp.]],'Indirect Costs'!CV$8)</f>
        <v>0</v>
      </c>
      <c r="CW129" s="48">
        <f>SUMIFS(Imput[[Importe Neto]:[Importe Neto]],Imput[[C. Imp.]:[C. Imp.]],'Indirect Costs'!$C129,Imput[[PERIODO Imp.]:[PERIODO Imp.]],'Indirect Costs'!CW$8)</f>
        <v>0</v>
      </c>
      <c r="CX129" s="48">
        <f>SUMIFS(Imput[[Importe Neto]:[Importe Neto]],Imput[[C. Imp.]:[C. Imp.]],'Indirect Costs'!$C129,Imput[[PERIODO Imp.]:[PERIODO Imp.]],'Indirect Costs'!CX$8)</f>
        <v>0</v>
      </c>
      <c r="CY129" s="48">
        <f>SUMIFS(Imput[[Importe Neto]:[Importe Neto]],Imput[[C. Imp.]:[C. Imp.]],'Indirect Costs'!$C129,Imput[[PERIODO Imp.]:[PERIODO Imp.]],'Indirect Costs'!CY$8)</f>
        <v>0</v>
      </c>
      <c r="CZ129" s="48">
        <f>SUMIFS(Imput[[Importe Neto]:[Importe Neto]],Imput[[C. Imp.]:[C. Imp.]],'Indirect Costs'!$C129,Imput[[PERIODO Imp.]:[PERIODO Imp.]],'Indirect Costs'!CZ$8)</f>
        <v>0</v>
      </c>
      <c r="DA129" s="48">
        <f>SUMIFS(Imput[[Importe Neto]:[Importe Neto]],Imput[[C. Imp.]:[C. Imp.]],'Indirect Costs'!$C129,Imput[[PERIODO Imp.]:[PERIODO Imp.]],'Indirect Costs'!DA$8)</f>
        <v>0</v>
      </c>
      <c r="DB129" s="48">
        <f>SUMIFS(Imput[[Importe Neto]:[Importe Neto]],Imput[[C. Imp.]:[C. Imp.]],'Indirect Costs'!$C129,Imput[[PERIODO Imp.]:[PERIODO Imp.]],'Indirect Costs'!DB$8)</f>
        <v>0</v>
      </c>
      <c r="DC129" s="48">
        <f>SUMIFS(Imput[[Importe Neto]:[Importe Neto]],Imput[[C. Imp.]:[C. Imp.]],'Indirect Costs'!$C129,Imput[[PERIODO Imp.]:[PERIODO Imp.]],'Indirect Costs'!DC$8)</f>
        <v>0</v>
      </c>
      <c r="DD129" s="48">
        <f>SUMIFS(Imput[[Importe Neto]:[Importe Neto]],Imput[[C. Imp.]:[C. Imp.]],'Indirect Costs'!$C129,Imput[[PERIODO Imp.]:[PERIODO Imp.]],'Indirect Costs'!DD$8)</f>
        <v>0</v>
      </c>
      <c r="DE129" s="48">
        <f>SUMIFS(Imput[[Importe Neto]:[Importe Neto]],Imput[[C. Imp.]:[C. Imp.]],'Indirect Costs'!$C129,Imput[[PERIODO Imp.]:[PERIODO Imp.]],'Indirect Costs'!DE$8)</f>
        <v>0</v>
      </c>
      <c r="DF129" s="143">
        <f>SUMIFS(Imput[[Importe Neto]:[Importe Neto]],Imput[[C. Imp.]:[C. Imp.]],'Indirect Costs'!$C129,Imput[[PERIODO Imp.]:[PERIODO Imp.]],'Indirect Costs'!DF$8)</f>
        <v>0</v>
      </c>
    </row>
    <row r="130" spans="1:110" outlineLevel="1" x14ac:dyDescent="0.25">
      <c r="A130" s="28" t="str">
        <f t="shared" si="14"/>
        <v/>
      </c>
      <c r="B130" s="50">
        <v>14</v>
      </c>
      <c r="C130" s="57" t="s">
        <v>1847</v>
      </c>
      <c r="D130" s="56" t="s">
        <v>635</v>
      </c>
      <c r="E130" s="57" t="s">
        <v>635</v>
      </c>
      <c r="F130" s="58">
        <v>9000</v>
      </c>
      <c r="G130" s="49"/>
      <c r="H130" s="51">
        <v>1</v>
      </c>
      <c r="I130" s="505">
        <f t="shared" si="25"/>
        <v>0</v>
      </c>
      <c r="J130" s="47"/>
      <c r="K130" s="142"/>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143"/>
      <c r="BG130" s="47"/>
      <c r="BH130" s="509"/>
      <c r="BI130" s="505">
        <f t="shared" si="15"/>
        <v>0</v>
      </c>
      <c r="BJ130" s="47"/>
      <c r="BK130" s="142">
        <f>SUMIFS(Imput[[Importe Neto]:[Importe Neto]],Imput[[C. Imp.]:[C. Imp.]],'Indirect Costs'!$C130,Imput[[PERIODO Imp.]:[PERIODO Imp.]],'Indirect Costs'!BK$8)</f>
        <v>0</v>
      </c>
      <c r="BL130" s="48">
        <f>SUMIFS(Imput[[Importe Neto]:[Importe Neto]],Imput[[C. Imp.]:[C. Imp.]],'Indirect Costs'!$C130,Imput[[PERIODO Imp.]:[PERIODO Imp.]],'Indirect Costs'!BL$8)</f>
        <v>0</v>
      </c>
      <c r="BM130" s="48">
        <f>SUMIFS(Imput[[Importe Neto]:[Importe Neto]],Imput[[C. Imp.]:[C. Imp.]],'Indirect Costs'!$C130,Imput[[PERIODO Imp.]:[PERIODO Imp.]],'Indirect Costs'!BM$8)</f>
        <v>0</v>
      </c>
      <c r="BN130" s="48">
        <f>SUMIFS(Imput[[Importe Neto]:[Importe Neto]],Imput[[C. Imp.]:[C. Imp.]],'Indirect Costs'!$C130,Imput[[PERIODO Imp.]:[PERIODO Imp.]],'Indirect Costs'!BN$8)</f>
        <v>0</v>
      </c>
      <c r="BO130" s="48">
        <f>SUMIFS(Imput[[Importe Neto]:[Importe Neto]],Imput[[C. Imp.]:[C. Imp.]],'Indirect Costs'!$C130,Imput[[PERIODO Imp.]:[PERIODO Imp.]],'Indirect Costs'!BO$8)</f>
        <v>0</v>
      </c>
      <c r="BP130" s="48">
        <f>SUMIFS(Imput[[Importe Neto]:[Importe Neto]],Imput[[C. Imp.]:[C. Imp.]],'Indirect Costs'!$C130,Imput[[PERIODO Imp.]:[PERIODO Imp.]],'Indirect Costs'!BP$8)</f>
        <v>0</v>
      </c>
      <c r="BQ130" s="48">
        <f>SUMIFS(Imput[[Importe Neto]:[Importe Neto]],Imput[[C. Imp.]:[C. Imp.]],'Indirect Costs'!$C130,Imput[[PERIODO Imp.]:[PERIODO Imp.]],'Indirect Costs'!BQ$8)</f>
        <v>0</v>
      </c>
      <c r="BR130" s="48">
        <f>SUMIFS(Imput[[Importe Neto]:[Importe Neto]],Imput[[C. Imp.]:[C. Imp.]],'Indirect Costs'!$C130,Imput[[PERIODO Imp.]:[PERIODO Imp.]],'Indirect Costs'!BR$8)</f>
        <v>0</v>
      </c>
      <c r="BS130" s="48">
        <f>SUMIFS(Imput[[Importe Neto]:[Importe Neto]],Imput[[C. Imp.]:[C. Imp.]],'Indirect Costs'!$C130,Imput[[PERIODO Imp.]:[PERIODO Imp.]],'Indirect Costs'!BS$8)</f>
        <v>0</v>
      </c>
      <c r="BT130" s="48">
        <f>SUMIFS(Imput[[Importe Neto]:[Importe Neto]],Imput[[C. Imp.]:[C. Imp.]],'Indirect Costs'!$C130,Imput[[PERIODO Imp.]:[PERIODO Imp.]],'Indirect Costs'!BT$8)</f>
        <v>0</v>
      </c>
      <c r="BU130" s="48">
        <f>SUMIFS(Imput[[Importe Neto]:[Importe Neto]],Imput[[C. Imp.]:[C. Imp.]],'Indirect Costs'!$C130,Imput[[PERIODO Imp.]:[PERIODO Imp.]],'Indirect Costs'!BU$8)</f>
        <v>0</v>
      </c>
      <c r="BV130" s="48">
        <f>SUMIFS(Imput[[Importe Neto]:[Importe Neto]],Imput[[C. Imp.]:[C. Imp.]],'Indirect Costs'!$C130,Imput[[PERIODO Imp.]:[PERIODO Imp.]],'Indirect Costs'!BV$8)</f>
        <v>0</v>
      </c>
      <c r="BW130" s="48">
        <f>SUMIFS(Imput[[Importe Neto]:[Importe Neto]],Imput[[C. Imp.]:[C. Imp.]],'Indirect Costs'!$C130,Imput[[PERIODO Imp.]:[PERIODO Imp.]],'Indirect Costs'!BW$8)</f>
        <v>0</v>
      </c>
      <c r="BX130" s="48">
        <f>SUMIFS(Imput[[Importe Neto]:[Importe Neto]],Imput[[C. Imp.]:[C. Imp.]],'Indirect Costs'!$C130,Imput[[PERIODO Imp.]:[PERIODO Imp.]],'Indirect Costs'!BX$8)</f>
        <v>0</v>
      </c>
      <c r="BY130" s="48">
        <f>SUMIFS(Imput[[Importe Neto]:[Importe Neto]],Imput[[C. Imp.]:[C. Imp.]],'Indirect Costs'!$C130,Imput[[PERIODO Imp.]:[PERIODO Imp.]],'Indirect Costs'!BY$8)</f>
        <v>0</v>
      </c>
      <c r="BZ130" s="48">
        <f>SUMIFS(Imput[[Importe Neto]:[Importe Neto]],Imput[[C. Imp.]:[C. Imp.]],'Indirect Costs'!$C130,Imput[[PERIODO Imp.]:[PERIODO Imp.]],'Indirect Costs'!BZ$8)</f>
        <v>0</v>
      </c>
      <c r="CA130" s="48">
        <f>SUMIFS(Imput[[Importe Neto]:[Importe Neto]],Imput[[C. Imp.]:[C. Imp.]],'Indirect Costs'!$C130,Imput[[PERIODO Imp.]:[PERIODO Imp.]],'Indirect Costs'!CA$8)</f>
        <v>0</v>
      </c>
      <c r="CB130" s="48">
        <f>SUMIFS(Imput[[Importe Neto]:[Importe Neto]],Imput[[C. Imp.]:[C. Imp.]],'Indirect Costs'!$C130,Imput[[PERIODO Imp.]:[PERIODO Imp.]],'Indirect Costs'!CB$8)</f>
        <v>0</v>
      </c>
      <c r="CC130" s="48">
        <f>SUMIFS(Imput[[Importe Neto]:[Importe Neto]],Imput[[C. Imp.]:[C. Imp.]],'Indirect Costs'!$C130,Imput[[PERIODO Imp.]:[PERIODO Imp.]],'Indirect Costs'!CC$8)</f>
        <v>0</v>
      </c>
      <c r="CD130" s="48">
        <f>SUMIFS(Imput[[Importe Neto]:[Importe Neto]],Imput[[C. Imp.]:[C. Imp.]],'Indirect Costs'!$C130,Imput[[PERIODO Imp.]:[PERIODO Imp.]],'Indirect Costs'!CD$8)</f>
        <v>0</v>
      </c>
      <c r="CE130" s="48">
        <f>SUMIFS(Imput[[Importe Neto]:[Importe Neto]],Imput[[C. Imp.]:[C. Imp.]],'Indirect Costs'!$C130,Imput[[PERIODO Imp.]:[PERIODO Imp.]],'Indirect Costs'!CE$8)</f>
        <v>0</v>
      </c>
      <c r="CF130" s="48">
        <f>SUMIFS(Imput[[Importe Neto]:[Importe Neto]],Imput[[C. Imp.]:[C. Imp.]],'Indirect Costs'!$C130,Imput[[PERIODO Imp.]:[PERIODO Imp.]],'Indirect Costs'!CF$8)</f>
        <v>0</v>
      </c>
      <c r="CG130" s="48">
        <f>SUMIFS(Imput[[Importe Neto]:[Importe Neto]],Imput[[C. Imp.]:[C. Imp.]],'Indirect Costs'!$C130,Imput[[PERIODO Imp.]:[PERIODO Imp.]],'Indirect Costs'!CG$8)</f>
        <v>0</v>
      </c>
      <c r="CH130" s="48">
        <f>SUMIFS(Imput[[Importe Neto]:[Importe Neto]],Imput[[C. Imp.]:[C. Imp.]],'Indirect Costs'!$C130,Imput[[PERIODO Imp.]:[PERIODO Imp.]],'Indirect Costs'!CH$8)</f>
        <v>0</v>
      </c>
      <c r="CI130" s="48">
        <f>SUMIFS(Imput[[Importe Neto]:[Importe Neto]],Imput[[C. Imp.]:[C. Imp.]],'Indirect Costs'!$C130,Imput[[PERIODO Imp.]:[PERIODO Imp.]],'Indirect Costs'!CI$8)</f>
        <v>0</v>
      </c>
      <c r="CJ130" s="48">
        <f>SUMIFS(Imput[[Importe Neto]:[Importe Neto]],Imput[[C. Imp.]:[C. Imp.]],'Indirect Costs'!$C130,Imput[[PERIODO Imp.]:[PERIODO Imp.]],'Indirect Costs'!CJ$8)</f>
        <v>0</v>
      </c>
      <c r="CK130" s="48">
        <f>SUMIFS(Imput[[Importe Neto]:[Importe Neto]],Imput[[C. Imp.]:[C. Imp.]],'Indirect Costs'!$C130,Imput[[PERIODO Imp.]:[PERIODO Imp.]],'Indirect Costs'!CK$8)</f>
        <v>0</v>
      </c>
      <c r="CL130" s="48">
        <f>SUMIFS(Imput[[Importe Neto]:[Importe Neto]],Imput[[C. Imp.]:[C. Imp.]],'Indirect Costs'!$C130,Imput[[PERIODO Imp.]:[PERIODO Imp.]],'Indirect Costs'!CL$8)</f>
        <v>0</v>
      </c>
      <c r="CM130" s="48">
        <f>SUMIFS(Imput[[Importe Neto]:[Importe Neto]],Imput[[C. Imp.]:[C. Imp.]],'Indirect Costs'!$C130,Imput[[PERIODO Imp.]:[PERIODO Imp.]],'Indirect Costs'!CM$8)</f>
        <v>0</v>
      </c>
      <c r="CN130" s="48">
        <f>SUMIFS(Imput[[Importe Neto]:[Importe Neto]],Imput[[C. Imp.]:[C. Imp.]],'Indirect Costs'!$C130,Imput[[PERIODO Imp.]:[PERIODO Imp.]],'Indirect Costs'!CN$8)</f>
        <v>0</v>
      </c>
      <c r="CO130" s="48">
        <f>SUMIFS(Imput[[Importe Neto]:[Importe Neto]],Imput[[C. Imp.]:[C. Imp.]],'Indirect Costs'!$C130,Imput[[PERIODO Imp.]:[PERIODO Imp.]],'Indirect Costs'!CO$8)</f>
        <v>0</v>
      </c>
      <c r="CP130" s="48">
        <f>SUMIFS(Imput[[Importe Neto]:[Importe Neto]],Imput[[C. Imp.]:[C. Imp.]],'Indirect Costs'!$C130,Imput[[PERIODO Imp.]:[PERIODO Imp.]],'Indirect Costs'!CP$8)</f>
        <v>0</v>
      </c>
      <c r="CQ130" s="48">
        <f>SUMIFS(Imput[[Importe Neto]:[Importe Neto]],Imput[[C. Imp.]:[C. Imp.]],'Indirect Costs'!$C130,Imput[[PERIODO Imp.]:[PERIODO Imp.]],'Indirect Costs'!CQ$8)</f>
        <v>0</v>
      </c>
      <c r="CR130" s="48">
        <f>SUMIFS(Imput[[Importe Neto]:[Importe Neto]],Imput[[C. Imp.]:[C. Imp.]],'Indirect Costs'!$C130,Imput[[PERIODO Imp.]:[PERIODO Imp.]],'Indirect Costs'!CR$8)</f>
        <v>0</v>
      </c>
      <c r="CS130" s="48">
        <f>SUMIFS(Imput[[Importe Neto]:[Importe Neto]],Imput[[C. Imp.]:[C. Imp.]],'Indirect Costs'!$C130,Imput[[PERIODO Imp.]:[PERIODO Imp.]],'Indirect Costs'!CS$8)</f>
        <v>0</v>
      </c>
      <c r="CT130" s="48">
        <f>SUMIFS(Imput[[Importe Neto]:[Importe Neto]],Imput[[C. Imp.]:[C. Imp.]],'Indirect Costs'!$C130,Imput[[PERIODO Imp.]:[PERIODO Imp.]],'Indirect Costs'!CT$8)</f>
        <v>0</v>
      </c>
      <c r="CU130" s="48">
        <f>SUMIFS(Imput[[Importe Neto]:[Importe Neto]],Imput[[C. Imp.]:[C. Imp.]],'Indirect Costs'!$C130,Imput[[PERIODO Imp.]:[PERIODO Imp.]],'Indirect Costs'!CU$8)</f>
        <v>0</v>
      </c>
      <c r="CV130" s="48">
        <f>SUMIFS(Imput[[Importe Neto]:[Importe Neto]],Imput[[C. Imp.]:[C. Imp.]],'Indirect Costs'!$C130,Imput[[PERIODO Imp.]:[PERIODO Imp.]],'Indirect Costs'!CV$8)</f>
        <v>0</v>
      </c>
      <c r="CW130" s="48">
        <f>SUMIFS(Imput[[Importe Neto]:[Importe Neto]],Imput[[C. Imp.]:[C. Imp.]],'Indirect Costs'!$C130,Imput[[PERIODO Imp.]:[PERIODO Imp.]],'Indirect Costs'!CW$8)</f>
        <v>0</v>
      </c>
      <c r="CX130" s="48">
        <f>SUMIFS(Imput[[Importe Neto]:[Importe Neto]],Imput[[C. Imp.]:[C. Imp.]],'Indirect Costs'!$C130,Imput[[PERIODO Imp.]:[PERIODO Imp.]],'Indirect Costs'!CX$8)</f>
        <v>0</v>
      </c>
      <c r="CY130" s="48">
        <f>SUMIFS(Imput[[Importe Neto]:[Importe Neto]],Imput[[C. Imp.]:[C. Imp.]],'Indirect Costs'!$C130,Imput[[PERIODO Imp.]:[PERIODO Imp.]],'Indirect Costs'!CY$8)</f>
        <v>0</v>
      </c>
      <c r="CZ130" s="48">
        <f>SUMIFS(Imput[[Importe Neto]:[Importe Neto]],Imput[[C. Imp.]:[C. Imp.]],'Indirect Costs'!$C130,Imput[[PERIODO Imp.]:[PERIODO Imp.]],'Indirect Costs'!CZ$8)</f>
        <v>0</v>
      </c>
      <c r="DA130" s="48">
        <f>SUMIFS(Imput[[Importe Neto]:[Importe Neto]],Imput[[C. Imp.]:[C. Imp.]],'Indirect Costs'!$C130,Imput[[PERIODO Imp.]:[PERIODO Imp.]],'Indirect Costs'!DA$8)</f>
        <v>0</v>
      </c>
      <c r="DB130" s="48">
        <f>SUMIFS(Imput[[Importe Neto]:[Importe Neto]],Imput[[C. Imp.]:[C. Imp.]],'Indirect Costs'!$C130,Imput[[PERIODO Imp.]:[PERIODO Imp.]],'Indirect Costs'!DB$8)</f>
        <v>0</v>
      </c>
      <c r="DC130" s="48">
        <f>SUMIFS(Imput[[Importe Neto]:[Importe Neto]],Imput[[C. Imp.]:[C. Imp.]],'Indirect Costs'!$C130,Imput[[PERIODO Imp.]:[PERIODO Imp.]],'Indirect Costs'!DC$8)</f>
        <v>0</v>
      </c>
      <c r="DD130" s="48">
        <f>SUMIFS(Imput[[Importe Neto]:[Importe Neto]],Imput[[C. Imp.]:[C. Imp.]],'Indirect Costs'!$C130,Imput[[PERIODO Imp.]:[PERIODO Imp.]],'Indirect Costs'!DD$8)</f>
        <v>0</v>
      </c>
      <c r="DE130" s="48">
        <f>SUMIFS(Imput[[Importe Neto]:[Importe Neto]],Imput[[C. Imp.]:[C. Imp.]],'Indirect Costs'!$C130,Imput[[PERIODO Imp.]:[PERIODO Imp.]],'Indirect Costs'!DE$8)</f>
        <v>0</v>
      </c>
      <c r="DF130" s="143">
        <f>SUMIFS(Imput[[Importe Neto]:[Importe Neto]],Imput[[C. Imp.]:[C. Imp.]],'Indirect Costs'!$C130,Imput[[PERIODO Imp.]:[PERIODO Imp.]],'Indirect Costs'!DF$8)</f>
        <v>0</v>
      </c>
    </row>
    <row r="131" spans="1:110" ht="14.4" outlineLevel="1" thickBot="1" x14ac:dyDescent="0.3">
      <c r="A131" s="28" t="str">
        <f t="shared" si="14"/>
        <v>Imprimir</v>
      </c>
      <c r="B131" s="50">
        <v>15</v>
      </c>
      <c r="C131" s="57" t="s">
        <v>1848</v>
      </c>
      <c r="D131" s="56" t="s">
        <v>636</v>
      </c>
      <c r="E131" s="57" t="s">
        <v>636</v>
      </c>
      <c r="F131" s="58">
        <v>15000</v>
      </c>
      <c r="G131" s="49">
        <v>1</v>
      </c>
      <c r="H131" s="51">
        <v>1</v>
      </c>
      <c r="I131" s="505">
        <f t="shared" si="25"/>
        <v>15000</v>
      </c>
      <c r="J131" s="47"/>
      <c r="K131" s="142">
        <v>1</v>
      </c>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143"/>
      <c r="BG131" s="47"/>
      <c r="BH131" s="509"/>
      <c r="BI131" s="505">
        <f t="shared" si="15"/>
        <v>0</v>
      </c>
      <c r="BJ131" s="47"/>
      <c r="BK131" s="142">
        <f>SUMIFS(Imput[[Importe Neto]:[Importe Neto]],Imput[[C. Imp.]:[C. Imp.]],'Indirect Costs'!$C131,Imput[[PERIODO Imp.]:[PERIODO Imp.]],'Indirect Costs'!BK$8)</f>
        <v>0</v>
      </c>
      <c r="BL131" s="48">
        <f>SUMIFS(Imput[[Importe Neto]:[Importe Neto]],Imput[[C. Imp.]:[C. Imp.]],'Indirect Costs'!$C131,Imput[[PERIODO Imp.]:[PERIODO Imp.]],'Indirect Costs'!BL$8)</f>
        <v>0</v>
      </c>
      <c r="BM131" s="48">
        <f>SUMIFS(Imput[[Importe Neto]:[Importe Neto]],Imput[[C. Imp.]:[C. Imp.]],'Indirect Costs'!$C131,Imput[[PERIODO Imp.]:[PERIODO Imp.]],'Indirect Costs'!BM$8)</f>
        <v>0</v>
      </c>
      <c r="BN131" s="48">
        <f>SUMIFS(Imput[[Importe Neto]:[Importe Neto]],Imput[[C. Imp.]:[C. Imp.]],'Indirect Costs'!$C131,Imput[[PERIODO Imp.]:[PERIODO Imp.]],'Indirect Costs'!BN$8)</f>
        <v>0</v>
      </c>
      <c r="BO131" s="48">
        <f>SUMIFS(Imput[[Importe Neto]:[Importe Neto]],Imput[[C. Imp.]:[C. Imp.]],'Indirect Costs'!$C131,Imput[[PERIODO Imp.]:[PERIODO Imp.]],'Indirect Costs'!BO$8)</f>
        <v>0</v>
      </c>
      <c r="BP131" s="48">
        <f>SUMIFS(Imput[[Importe Neto]:[Importe Neto]],Imput[[C. Imp.]:[C. Imp.]],'Indirect Costs'!$C131,Imput[[PERIODO Imp.]:[PERIODO Imp.]],'Indirect Costs'!BP$8)</f>
        <v>0</v>
      </c>
      <c r="BQ131" s="48">
        <f>SUMIFS(Imput[[Importe Neto]:[Importe Neto]],Imput[[C. Imp.]:[C. Imp.]],'Indirect Costs'!$C131,Imput[[PERIODO Imp.]:[PERIODO Imp.]],'Indirect Costs'!BQ$8)</f>
        <v>0</v>
      </c>
      <c r="BR131" s="48">
        <f>SUMIFS(Imput[[Importe Neto]:[Importe Neto]],Imput[[C. Imp.]:[C. Imp.]],'Indirect Costs'!$C131,Imput[[PERIODO Imp.]:[PERIODO Imp.]],'Indirect Costs'!BR$8)</f>
        <v>0</v>
      </c>
      <c r="BS131" s="48">
        <f>SUMIFS(Imput[[Importe Neto]:[Importe Neto]],Imput[[C. Imp.]:[C. Imp.]],'Indirect Costs'!$C131,Imput[[PERIODO Imp.]:[PERIODO Imp.]],'Indirect Costs'!BS$8)</f>
        <v>0</v>
      </c>
      <c r="BT131" s="48">
        <f>SUMIFS(Imput[[Importe Neto]:[Importe Neto]],Imput[[C. Imp.]:[C. Imp.]],'Indirect Costs'!$C131,Imput[[PERIODO Imp.]:[PERIODO Imp.]],'Indirect Costs'!BT$8)</f>
        <v>0</v>
      </c>
      <c r="BU131" s="48">
        <f>SUMIFS(Imput[[Importe Neto]:[Importe Neto]],Imput[[C. Imp.]:[C. Imp.]],'Indirect Costs'!$C131,Imput[[PERIODO Imp.]:[PERIODO Imp.]],'Indirect Costs'!BU$8)</f>
        <v>0</v>
      </c>
      <c r="BV131" s="48">
        <f>SUMIFS(Imput[[Importe Neto]:[Importe Neto]],Imput[[C. Imp.]:[C. Imp.]],'Indirect Costs'!$C131,Imput[[PERIODO Imp.]:[PERIODO Imp.]],'Indirect Costs'!BV$8)</f>
        <v>0</v>
      </c>
      <c r="BW131" s="48">
        <f>SUMIFS(Imput[[Importe Neto]:[Importe Neto]],Imput[[C. Imp.]:[C. Imp.]],'Indirect Costs'!$C131,Imput[[PERIODO Imp.]:[PERIODO Imp.]],'Indirect Costs'!BW$8)</f>
        <v>0</v>
      </c>
      <c r="BX131" s="48">
        <f>SUMIFS(Imput[[Importe Neto]:[Importe Neto]],Imput[[C. Imp.]:[C. Imp.]],'Indirect Costs'!$C131,Imput[[PERIODO Imp.]:[PERIODO Imp.]],'Indirect Costs'!BX$8)</f>
        <v>0</v>
      </c>
      <c r="BY131" s="48">
        <f>SUMIFS(Imput[[Importe Neto]:[Importe Neto]],Imput[[C. Imp.]:[C. Imp.]],'Indirect Costs'!$C131,Imput[[PERIODO Imp.]:[PERIODO Imp.]],'Indirect Costs'!BY$8)</f>
        <v>0</v>
      </c>
      <c r="BZ131" s="48">
        <f>SUMIFS(Imput[[Importe Neto]:[Importe Neto]],Imput[[C. Imp.]:[C. Imp.]],'Indirect Costs'!$C131,Imput[[PERIODO Imp.]:[PERIODO Imp.]],'Indirect Costs'!BZ$8)</f>
        <v>0</v>
      </c>
      <c r="CA131" s="48">
        <f>SUMIFS(Imput[[Importe Neto]:[Importe Neto]],Imput[[C. Imp.]:[C. Imp.]],'Indirect Costs'!$C131,Imput[[PERIODO Imp.]:[PERIODO Imp.]],'Indirect Costs'!CA$8)</f>
        <v>0</v>
      </c>
      <c r="CB131" s="48">
        <f>SUMIFS(Imput[[Importe Neto]:[Importe Neto]],Imput[[C. Imp.]:[C. Imp.]],'Indirect Costs'!$C131,Imput[[PERIODO Imp.]:[PERIODO Imp.]],'Indirect Costs'!CB$8)</f>
        <v>0</v>
      </c>
      <c r="CC131" s="48">
        <f>SUMIFS(Imput[[Importe Neto]:[Importe Neto]],Imput[[C. Imp.]:[C. Imp.]],'Indirect Costs'!$C131,Imput[[PERIODO Imp.]:[PERIODO Imp.]],'Indirect Costs'!CC$8)</f>
        <v>0</v>
      </c>
      <c r="CD131" s="48">
        <f>SUMIFS(Imput[[Importe Neto]:[Importe Neto]],Imput[[C. Imp.]:[C. Imp.]],'Indirect Costs'!$C131,Imput[[PERIODO Imp.]:[PERIODO Imp.]],'Indirect Costs'!CD$8)</f>
        <v>0</v>
      </c>
      <c r="CE131" s="48">
        <f>SUMIFS(Imput[[Importe Neto]:[Importe Neto]],Imput[[C. Imp.]:[C. Imp.]],'Indirect Costs'!$C131,Imput[[PERIODO Imp.]:[PERIODO Imp.]],'Indirect Costs'!CE$8)</f>
        <v>0</v>
      </c>
      <c r="CF131" s="48">
        <f>SUMIFS(Imput[[Importe Neto]:[Importe Neto]],Imput[[C. Imp.]:[C. Imp.]],'Indirect Costs'!$C131,Imput[[PERIODO Imp.]:[PERIODO Imp.]],'Indirect Costs'!CF$8)</f>
        <v>0</v>
      </c>
      <c r="CG131" s="48">
        <f>SUMIFS(Imput[[Importe Neto]:[Importe Neto]],Imput[[C. Imp.]:[C. Imp.]],'Indirect Costs'!$C131,Imput[[PERIODO Imp.]:[PERIODO Imp.]],'Indirect Costs'!CG$8)</f>
        <v>0</v>
      </c>
      <c r="CH131" s="48">
        <f>SUMIFS(Imput[[Importe Neto]:[Importe Neto]],Imput[[C. Imp.]:[C. Imp.]],'Indirect Costs'!$C131,Imput[[PERIODO Imp.]:[PERIODO Imp.]],'Indirect Costs'!CH$8)</f>
        <v>0</v>
      </c>
      <c r="CI131" s="48">
        <f>SUMIFS(Imput[[Importe Neto]:[Importe Neto]],Imput[[C. Imp.]:[C. Imp.]],'Indirect Costs'!$C131,Imput[[PERIODO Imp.]:[PERIODO Imp.]],'Indirect Costs'!CI$8)</f>
        <v>0</v>
      </c>
      <c r="CJ131" s="48">
        <f>SUMIFS(Imput[[Importe Neto]:[Importe Neto]],Imput[[C. Imp.]:[C. Imp.]],'Indirect Costs'!$C131,Imput[[PERIODO Imp.]:[PERIODO Imp.]],'Indirect Costs'!CJ$8)</f>
        <v>0</v>
      </c>
      <c r="CK131" s="48">
        <f>SUMIFS(Imput[[Importe Neto]:[Importe Neto]],Imput[[C. Imp.]:[C. Imp.]],'Indirect Costs'!$C131,Imput[[PERIODO Imp.]:[PERIODO Imp.]],'Indirect Costs'!CK$8)</f>
        <v>0</v>
      </c>
      <c r="CL131" s="48">
        <f>SUMIFS(Imput[[Importe Neto]:[Importe Neto]],Imput[[C. Imp.]:[C. Imp.]],'Indirect Costs'!$C131,Imput[[PERIODO Imp.]:[PERIODO Imp.]],'Indirect Costs'!CL$8)</f>
        <v>0</v>
      </c>
      <c r="CM131" s="48">
        <f>SUMIFS(Imput[[Importe Neto]:[Importe Neto]],Imput[[C. Imp.]:[C. Imp.]],'Indirect Costs'!$C131,Imput[[PERIODO Imp.]:[PERIODO Imp.]],'Indirect Costs'!CM$8)</f>
        <v>0</v>
      </c>
      <c r="CN131" s="48">
        <f>SUMIFS(Imput[[Importe Neto]:[Importe Neto]],Imput[[C. Imp.]:[C. Imp.]],'Indirect Costs'!$C131,Imput[[PERIODO Imp.]:[PERIODO Imp.]],'Indirect Costs'!CN$8)</f>
        <v>0</v>
      </c>
      <c r="CO131" s="48">
        <f>SUMIFS(Imput[[Importe Neto]:[Importe Neto]],Imput[[C. Imp.]:[C. Imp.]],'Indirect Costs'!$C131,Imput[[PERIODO Imp.]:[PERIODO Imp.]],'Indirect Costs'!CO$8)</f>
        <v>0</v>
      </c>
      <c r="CP131" s="48">
        <f>SUMIFS(Imput[[Importe Neto]:[Importe Neto]],Imput[[C. Imp.]:[C. Imp.]],'Indirect Costs'!$C131,Imput[[PERIODO Imp.]:[PERIODO Imp.]],'Indirect Costs'!CP$8)</f>
        <v>0</v>
      </c>
      <c r="CQ131" s="48">
        <f>SUMIFS(Imput[[Importe Neto]:[Importe Neto]],Imput[[C. Imp.]:[C. Imp.]],'Indirect Costs'!$C131,Imput[[PERIODO Imp.]:[PERIODO Imp.]],'Indirect Costs'!CQ$8)</f>
        <v>0</v>
      </c>
      <c r="CR131" s="48">
        <f>SUMIFS(Imput[[Importe Neto]:[Importe Neto]],Imput[[C. Imp.]:[C. Imp.]],'Indirect Costs'!$C131,Imput[[PERIODO Imp.]:[PERIODO Imp.]],'Indirect Costs'!CR$8)</f>
        <v>0</v>
      </c>
      <c r="CS131" s="48">
        <f>SUMIFS(Imput[[Importe Neto]:[Importe Neto]],Imput[[C. Imp.]:[C. Imp.]],'Indirect Costs'!$C131,Imput[[PERIODO Imp.]:[PERIODO Imp.]],'Indirect Costs'!CS$8)</f>
        <v>0</v>
      </c>
      <c r="CT131" s="48">
        <f>SUMIFS(Imput[[Importe Neto]:[Importe Neto]],Imput[[C. Imp.]:[C. Imp.]],'Indirect Costs'!$C131,Imput[[PERIODO Imp.]:[PERIODO Imp.]],'Indirect Costs'!CT$8)</f>
        <v>0</v>
      </c>
      <c r="CU131" s="48">
        <f>SUMIFS(Imput[[Importe Neto]:[Importe Neto]],Imput[[C. Imp.]:[C. Imp.]],'Indirect Costs'!$C131,Imput[[PERIODO Imp.]:[PERIODO Imp.]],'Indirect Costs'!CU$8)</f>
        <v>0</v>
      </c>
      <c r="CV131" s="48">
        <f>SUMIFS(Imput[[Importe Neto]:[Importe Neto]],Imput[[C. Imp.]:[C. Imp.]],'Indirect Costs'!$C131,Imput[[PERIODO Imp.]:[PERIODO Imp.]],'Indirect Costs'!CV$8)</f>
        <v>0</v>
      </c>
      <c r="CW131" s="48">
        <f>SUMIFS(Imput[[Importe Neto]:[Importe Neto]],Imput[[C. Imp.]:[C. Imp.]],'Indirect Costs'!$C131,Imput[[PERIODO Imp.]:[PERIODO Imp.]],'Indirect Costs'!CW$8)</f>
        <v>0</v>
      </c>
      <c r="CX131" s="48">
        <f>SUMIFS(Imput[[Importe Neto]:[Importe Neto]],Imput[[C. Imp.]:[C. Imp.]],'Indirect Costs'!$C131,Imput[[PERIODO Imp.]:[PERIODO Imp.]],'Indirect Costs'!CX$8)</f>
        <v>0</v>
      </c>
      <c r="CY131" s="48">
        <f>SUMIFS(Imput[[Importe Neto]:[Importe Neto]],Imput[[C. Imp.]:[C. Imp.]],'Indirect Costs'!$C131,Imput[[PERIODO Imp.]:[PERIODO Imp.]],'Indirect Costs'!CY$8)</f>
        <v>0</v>
      </c>
      <c r="CZ131" s="48">
        <f>SUMIFS(Imput[[Importe Neto]:[Importe Neto]],Imput[[C. Imp.]:[C. Imp.]],'Indirect Costs'!$C131,Imput[[PERIODO Imp.]:[PERIODO Imp.]],'Indirect Costs'!CZ$8)</f>
        <v>0</v>
      </c>
      <c r="DA131" s="48">
        <f>SUMIFS(Imput[[Importe Neto]:[Importe Neto]],Imput[[C. Imp.]:[C. Imp.]],'Indirect Costs'!$C131,Imput[[PERIODO Imp.]:[PERIODO Imp.]],'Indirect Costs'!DA$8)</f>
        <v>0</v>
      </c>
      <c r="DB131" s="48">
        <f>SUMIFS(Imput[[Importe Neto]:[Importe Neto]],Imput[[C. Imp.]:[C. Imp.]],'Indirect Costs'!$C131,Imput[[PERIODO Imp.]:[PERIODO Imp.]],'Indirect Costs'!DB$8)</f>
        <v>0</v>
      </c>
      <c r="DC131" s="48">
        <f>SUMIFS(Imput[[Importe Neto]:[Importe Neto]],Imput[[C. Imp.]:[C. Imp.]],'Indirect Costs'!$C131,Imput[[PERIODO Imp.]:[PERIODO Imp.]],'Indirect Costs'!DC$8)</f>
        <v>0</v>
      </c>
      <c r="DD131" s="48">
        <f>SUMIFS(Imput[[Importe Neto]:[Importe Neto]],Imput[[C. Imp.]:[C. Imp.]],'Indirect Costs'!$C131,Imput[[PERIODO Imp.]:[PERIODO Imp.]],'Indirect Costs'!DD$8)</f>
        <v>0</v>
      </c>
      <c r="DE131" s="48">
        <f>SUMIFS(Imput[[Importe Neto]:[Importe Neto]],Imput[[C. Imp.]:[C. Imp.]],'Indirect Costs'!$C131,Imput[[PERIODO Imp.]:[PERIODO Imp.]],'Indirect Costs'!DE$8)</f>
        <v>0</v>
      </c>
      <c r="DF131" s="143">
        <f>SUMIFS(Imput[[Importe Neto]:[Importe Neto]],Imput[[C. Imp.]:[C. Imp.]],'Indirect Costs'!$C131,Imput[[PERIODO Imp.]:[PERIODO Imp.]],'Indirect Costs'!DF$8)</f>
        <v>0</v>
      </c>
    </row>
    <row r="132" spans="1:110" ht="14.4" thickBot="1" x14ac:dyDescent="0.3">
      <c r="A132" s="28" t="str">
        <f t="shared" si="14"/>
        <v>Imprimir</v>
      </c>
      <c r="B132" s="54"/>
      <c r="C132" s="36" t="s">
        <v>637</v>
      </c>
      <c r="D132" s="54" t="s">
        <v>638</v>
      </c>
      <c r="E132" s="36"/>
      <c r="F132" s="37"/>
      <c r="G132" s="64"/>
      <c r="H132" s="38"/>
      <c r="I132" s="39">
        <f>SUBTOTAL(9,I133:I138)</f>
        <v>75000</v>
      </c>
      <c r="J132" s="45" t="s">
        <v>588</v>
      </c>
      <c r="K132" s="250">
        <f>SUMPRODUCT($F133:$F138,$G133:$G138,K133:K138)</f>
        <v>75000</v>
      </c>
      <c r="L132" s="251">
        <f t="shared" ref="L132:BF132" si="26">SUMPRODUCT($F133:$F138,$G133:$G138,L133:L138)</f>
        <v>0</v>
      </c>
      <c r="M132" s="251">
        <f t="shared" si="26"/>
        <v>0</v>
      </c>
      <c r="N132" s="251">
        <f t="shared" si="26"/>
        <v>0</v>
      </c>
      <c r="O132" s="251">
        <f t="shared" si="26"/>
        <v>0</v>
      </c>
      <c r="P132" s="251">
        <f t="shared" si="26"/>
        <v>0</v>
      </c>
      <c r="Q132" s="251">
        <f t="shared" si="26"/>
        <v>0</v>
      </c>
      <c r="R132" s="251">
        <f t="shared" si="26"/>
        <v>0</v>
      </c>
      <c r="S132" s="251">
        <f t="shared" si="26"/>
        <v>0</v>
      </c>
      <c r="T132" s="251">
        <f t="shared" si="26"/>
        <v>75000</v>
      </c>
      <c r="U132" s="251">
        <f t="shared" si="26"/>
        <v>0</v>
      </c>
      <c r="V132" s="251">
        <f t="shared" si="26"/>
        <v>0</v>
      </c>
      <c r="W132" s="251">
        <f t="shared" si="26"/>
        <v>0</v>
      </c>
      <c r="X132" s="251">
        <f t="shared" si="26"/>
        <v>0</v>
      </c>
      <c r="Y132" s="251">
        <f t="shared" si="26"/>
        <v>0</v>
      </c>
      <c r="Z132" s="251">
        <f t="shared" si="26"/>
        <v>0</v>
      </c>
      <c r="AA132" s="251">
        <f t="shared" si="26"/>
        <v>0</v>
      </c>
      <c r="AB132" s="251">
        <f t="shared" si="26"/>
        <v>0</v>
      </c>
      <c r="AC132" s="251">
        <f t="shared" si="26"/>
        <v>0</v>
      </c>
      <c r="AD132" s="251">
        <f t="shared" si="26"/>
        <v>0</v>
      </c>
      <c r="AE132" s="251">
        <f t="shared" si="26"/>
        <v>0</v>
      </c>
      <c r="AF132" s="251">
        <f t="shared" si="26"/>
        <v>0</v>
      </c>
      <c r="AG132" s="251">
        <f t="shared" si="26"/>
        <v>0</v>
      </c>
      <c r="AH132" s="251">
        <f t="shared" si="26"/>
        <v>0</v>
      </c>
      <c r="AI132" s="251">
        <f t="shared" si="26"/>
        <v>0</v>
      </c>
      <c r="AJ132" s="251">
        <f t="shared" si="26"/>
        <v>0</v>
      </c>
      <c r="AK132" s="251">
        <f t="shared" si="26"/>
        <v>0</v>
      </c>
      <c r="AL132" s="251">
        <f t="shared" si="26"/>
        <v>0</v>
      </c>
      <c r="AM132" s="251">
        <f t="shared" si="26"/>
        <v>0</v>
      </c>
      <c r="AN132" s="251">
        <f t="shared" si="26"/>
        <v>0</v>
      </c>
      <c r="AO132" s="251">
        <f t="shared" si="26"/>
        <v>0</v>
      </c>
      <c r="AP132" s="251">
        <f t="shared" si="26"/>
        <v>0</v>
      </c>
      <c r="AQ132" s="251">
        <f t="shared" si="26"/>
        <v>0</v>
      </c>
      <c r="AR132" s="251">
        <f t="shared" si="26"/>
        <v>0</v>
      </c>
      <c r="AS132" s="251">
        <f t="shared" si="26"/>
        <v>0</v>
      </c>
      <c r="AT132" s="251">
        <f t="shared" si="26"/>
        <v>0</v>
      </c>
      <c r="AU132" s="251">
        <f t="shared" si="26"/>
        <v>0</v>
      </c>
      <c r="AV132" s="251">
        <f t="shared" si="26"/>
        <v>0</v>
      </c>
      <c r="AW132" s="251">
        <f t="shared" si="26"/>
        <v>0</v>
      </c>
      <c r="AX132" s="251">
        <f t="shared" si="26"/>
        <v>0</v>
      </c>
      <c r="AY132" s="251">
        <f t="shared" si="26"/>
        <v>0</v>
      </c>
      <c r="AZ132" s="251">
        <f t="shared" si="26"/>
        <v>0</v>
      </c>
      <c r="BA132" s="251">
        <f t="shared" si="26"/>
        <v>0</v>
      </c>
      <c r="BB132" s="251">
        <f t="shared" si="26"/>
        <v>0</v>
      </c>
      <c r="BC132" s="251">
        <f t="shared" si="26"/>
        <v>0</v>
      </c>
      <c r="BD132" s="251">
        <f t="shared" si="26"/>
        <v>0</v>
      </c>
      <c r="BE132" s="251">
        <f t="shared" si="26"/>
        <v>0</v>
      </c>
      <c r="BF132" s="566">
        <f t="shared" si="26"/>
        <v>0</v>
      </c>
      <c r="BH132" s="165">
        <f>IFERROR(BI132/I132,0)</f>
        <v>1.1606218666666666</v>
      </c>
      <c r="BI132" s="39">
        <f>SUBTOTAL(9,BI133:BI138)</f>
        <v>87046.64</v>
      </c>
      <c r="BK132" s="137">
        <f>SUM(BK133:BK138)</f>
        <v>0</v>
      </c>
      <c r="BL132" s="138">
        <f t="shared" ref="BL132:DF132" si="27">SUM(BL133:BL138)</f>
        <v>0</v>
      </c>
      <c r="BM132" s="138">
        <f t="shared" si="27"/>
        <v>0</v>
      </c>
      <c r="BN132" s="138">
        <f t="shared" si="27"/>
        <v>0</v>
      </c>
      <c r="BO132" s="138">
        <f t="shared" si="27"/>
        <v>20816.66</v>
      </c>
      <c r="BP132" s="138">
        <f t="shared" si="27"/>
        <v>24596.66</v>
      </c>
      <c r="BQ132" s="138">
        <f t="shared" si="27"/>
        <v>41633.32</v>
      </c>
      <c r="BR132" s="138">
        <f t="shared" si="27"/>
        <v>0</v>
      </c>
      <c r="BS132" s="138">
        <f t="shared" si="27"/>
        <v>0</v>
      </c>
      <c r="BT132" s="138">
        <f t="shared" si="27"/>
        <v>0</v>
      </c>
      <c r="BU132" s="138">
        <f t="shared" si="27"/>
        <v>0</v>
      </c>
      <c r="BV132" s="138">
        <f t="shared" si="27"/>
        <v>0</v>
      </c>
      <c r="BW132" s="138">
        <f t="shared" si="27"/>
        <v>0</v>
      </c>
      <c r="BX132" s="138">
        <f t="shared" si="27"/>
        <v>0</v>
      </c>
      <c r="BY132" s="138">
        <f t="shared" si="27"/>
        <v>0</v>
      </c>
      <c r="BZ132" s="138">
        <f t="shared" si="27"/>
        <v>0</v>
      </c>
      <c r="CA132" s="138">
        <f t="shared" si="27"/>
        <v>0</v>
      </c>
      <c r="CB132" s="138">
        <f t="shared" si="27"/>
        <v>0</v>
      </c>
      <c r="CC132" s="138">
        <f t="shared" si="27"/>
        <v>0</v>
      </c>
      <c r="CD132" s="138">
        <f t="shared" si="27"/>
        <v>0</v>
      </c>
      <c r="CE132" s="138">
        <f t="shared" si="27"/>
        <v>0</v>
      </c>
      <c r="CF132" s="138">
        <f t="shared" si="27"/>
        <v>0</v>
      </c>
      <c r="CG132" s="138">
        <f t="shared" si="27"/>
        <v>0</v>
      </c>
      <c r="CH132" s="138">
        <f t="shared" si="27"/>
        <v>0</v>
      </c>
      <c r="CI132" s="138">
        <f t="shared" si="27"/>
        <v>0</v>
      </c>
      <c r="CJ132" s="138">
        <f t="shared" si="27"/>
        <v>0</v>
      </c>
      <c r="CK132" s="138">
        <f t="shared" si="27"/>
        <v>0</v>
      </c>
      <c r="CL132" s="138">
        <f t="shared" si="27"/>
        <v>0</v>
      </c>
      <c r="CM132" s="138">
        <f t="shared" si="27"/>
        <v>0</v>
      </c>
      <c r="CN132" s="138">
        <f t="shared" si="27"/>
        <v>0</v>
      </c>
      <c r="CO132" s="138">
        <f t="shared" si="27"/>
        <v>0</v>
      </c>
      <c r="CP132" s="138">
        <f t="shared" si="27"/>
        <v>0</v>
      </c>
      <c r="CQ132" s="138">
        <f t="shared" si="27"/>
        <v>0</v>
      </c>
      <c r="CR132" s="138">
        <f t="shared" si="27"/>
        <v>0</v>
      </c>
      <c r="CS132" s="138">
        <f t="shared" si="27"/>
        <v>0</v>
      </c>
      <c r="CT132" s="138">
        <f t="shared" si="27"/>
        <v>0</v>
      </c>
      <c r="CU132" s="138">
        <f t="shared" si="27"/>
        <v>0</v>
      </c>
      <c r="CV132" s="138">
        <f t="shared" si="27"/>
        <v>0</v>
      </c>
      <c r="CW132" s="138">
        <f t="shared" si="27"/>
        <v>0</v>
      </c>
      <c r="CX132" s="138">
        <f t="shared" si="27"/>
        <v>0</v>
      </c>
      <c r="CY132" s="138">
        <f t="shared" si="27"/>
        <v>0</v>
      </c>
      <c r="CZ132" s="138">
        <f t="shared" si="27"/>
        <v>0</v>
      </c>
      <c r="DA132" s="138">
        <f t="shared" si="27"/>
        <v>0</v>
      </c>
      <c r="DB132" s="138">
        <f t="shared" si="27"/>
        <v>0</v>
      </c>
      <c r="DC132" s="138">
        <f t="shared" si="27"/>
        <v>0</v>
      </c>
      <c r="DD132" s="138">
        <f t="shared" si="27"/>
        <v>0</v>
      </c>
      <c r="DE132" s="138">
        <f t="shared" si="27"/>
        <v>0</v>
      </c>
      <c r="DF132" s="139">
        <f t="shared" si="27"/>
        <v>0</v>
      </c>
    </row>
    <row r="133" spans="1:110" outlineLevel="1" x14ac:dyDescent="0.25">
      <c r="A133" s="28" t="str">
        <f t="shared" si="14"/>
        <v/>
      </c>
      <c r="B133" s="567">
        <v>1</v>
      </c>
      <c r="C133" s="568" t="s">
        <v>1849</v>
      </c>
      <c r="D133" s="569" t="s">
        <v>639</v>
      </c>
      <c r="E133" s="568" t="s">
        <v>639</v>
      </c>
      <c r="F133" s="570">
        <v>15000</v>
      </c>
      <c r="G133" s="571"/>
      <c r="H133" s="572">
        <v>1</v>
      </c>
      <c r="I133" s="573">
        <f t="shared" ref="I133:I138" si="28">F133*G133*H133</f>
        <v>0</v>
      </c>
      <c r="J133" s="47"/>
      <c r="K133" s="142"/>
      <c r="L133" s="48"/>
      <c r="M133" s="48"/>
      <c r="N133" s="48"/>
      <c r="O133" s="48"/>
      <c r="P133" s="48"/>
      <c r="Q133" s="48"/>
      <c r="R133" s="48">
        <v>1</v>
      </c>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143"/>
      <c r="BG133" s="47"/>
      <c r="BH133" s="509"/>
      <c r="BI133" s="505">
        <f t="shared" si="15"/>
        <v>87046.64</v>
      </c>
      <c r="BJ133" s="47"/>
      <c r="BK133" s="142">
        <f>SUMIFS(Imput[[Importe Neto]:[Importe Neto]],Imput[[C. Imp.]:[C. Imp.]],'Indirect Costs'!$C133,Imput[[PERIODO Imp.]:[PERIODO Imp.]],'Indirect Costs'!BK$8)</f>
        <v>0</v>
      </c>
      <c r="BL133" s="48">
        <f>SUMIFS(Imput[[Importe Neto]:[Importe Neto]],Imput[[C. Imp.]:[C. Imp.]],'Indirect Costs'!$C133,Imput[[PERIODO Imp.]:[PERIODO Imp.]],'Indirect Costs'!BL$8)</f>
        <v>0</v>
      </c>
      <c r="BM133" s="48">
        <f>SUMIFS(Imput[[Importe Neto]:[Importe Neto]],Imput[[C. Imp.]:[C. Imp.]],'Indirect Costs'!$C133,Imput[[PERIODO Imp.]:[PERIODO Imp.]],'Indirect Costs'!BM$8)</f>
        <v>0</v>
      </c>
      <c r="BN133" s="48">
        <f>SUMIFS(Imput[[Importe Neto]:[Importe Neto]],Imput[[C. Imp.]:[C. Imp.]],'Indirect Costs'!$C133,Imput[[PERIODO Imp.]:[PERIODO Imp.]],'Indirect Costs'!BN$8)</f>
        <v>0</v>
      </c>
      <c r="BO133" s="48">
        <f>SUMIFS(Imput[[Importe Neto]:[Importe Neto]],Imput[[C. Imp.]:[C. Imp.]],'Indirect Costs'!$C133,Imput[[PERIODO Imp.]:[PERIODO Imp.]],'Indirect Costs'!BO$8)</f>
        <v>20816.66</v>
      </c>
      <c r="BP133" s="48">
        <f>SUMIFS(Imput[[Importe Neto]:[Importe Neto]],Imput[[C. Imp.]:[C. Imp.]],'Indirect Costs'!$C133,Imput[[PERIODO Imp.]:[PERIODO Imp.]],'Indirect Costs'!BP$8)</f>
        <v>24596.66</v>
      </c>
      <c r="BQ133" s="48">
        <f>SUMIFS(Imput[[Importe Neto]:[Importe Neto]],Imput[[C. Imp.]:[C. Imp.]],'Indirect Costs'!$C133,Imput[[PERIODO Imp.]:[PERIODO Imp.]],'Indirect Costs'!BQ$8)</f>
        <v>41633.32</v>
      </c>
      <c r="BR133" s="48">
        <f>SUMIFS(Imput[[Importe Neto]:[Importe Neto]],Imput[[C. Imp.]:[C. Imp.]],'Indirect Costs'!$C133,Imput[[PERIODO Imp.]:[PERIODO Imp.]],'Indirect Costs'!BR$8)</f>
        <v>0</v>
      </c>
      <c r="BS133" s="48">
        <f>SUMIFS(Imput[[Importe Neto]:[Importe Neto]],Imput[[C. Imp.]:[C. Imp.]],'Indirect Costs'!$C133,Imput[[PERIODO Imp.]:[PERIODO Imp.]],'Indirect Costs'!BS$8)</f>
        <v>0</v>
      </c>
      <c r="BT133" s="48">
        <f>SUMIFS(Imput[[Importe Neto]:[Importe Neto]],Imput[[C. Imp.]:[C. Imp.]],'Indirect Costs'!$C133,Imput[[PERIODO Imp.]:[PERIODO Imp.]],'Indirect Costs'!BT$8)</f>
        <v>0</v>
      </c>
      <c r="BU133" s="48">
        <f>SUMIFS(Imput[[Importe Neto]:[Importe Neto]],Imput[[C. Imp.]:[C. Imp.]],'Indirect Costs'!$C133,Imput[[PERIODO Imp.]:[PERIODO Imp.]],'Indirect Costs'!BU$8)</f>
        <v>0</v>
      </c>
      <c r="BV133" s="48">
        <f>SUMIFS(Imput[[Importe Neto]:[Importe Neto]],Imput[[C. Imp.]:[C. Imp.]],'Indirect Costs'!$C133,Imput[[PERIODO Imp.]:[PERIODO Imp.]],'Indirect Costs'!BV$8)</f>
        <v>0</v>
      </c>
      <c r="BW133" s="48">
        <f>SUMIFS(Imput[[Importe Neto]:[Importe Neto]],Imput[[C. Imp.]:[C. Imp.]],'Indirect Costs'!$C133,Imput[[PERIODO Imp.]:[PERIODO Imp.]],'Indirect Costs'!BW$8)</f>
        <v>0</v>
      </c>
      <c r="BX133" s="48">
        <f>SUMIFS(Imput[[Importe Neto]:[Importe Neto]],Imput[[C. Imp.]:[C. Imp.]],'Indirect Costs'!$C133,Imput[[PERIODO Imp.]:[PERIODO Imp.]],'Indirect Costs'!BX$8)</f>
        <v>0</v>
      </c>
      <c r="BY133" s="48">
        <f>SUMIFS(Imput[[Importe Neto]:[Importe Neto]],Imput[[C. Imp.]:[C. Imp.]],'Indirect Costs'!$C133,Imput[[PERIODO Imp.]:[PERIODO Imp.]],'Indirect Costs'!BY$8)</f>
        <v>0</v>
      </c>
      <c r="BZ133" s="48">
        <f>SUMIFS(Imput[[Importe Neto]:[Importe Neto]],Imput[[C. Imp.]:[C. Imp.]],'Indirect Costs'!$C133,Imput[[PERIODO Imp.]:[PERIODO Imp.]],'Indirect Costs'!BZ$8)</f>
        <v>0</v>
      </c>
      <c r="CA133" s="48">
        <f>SUMIFS(Imput[[Importe Neto]:[Importe Neto]],Imput[[C. Imp.]:[C. Imp.]],'Indirect Costs'!$C133,Imput[[PERIODO Imp.]:[PERIODO Imp.]],'Indirect Costs'!CA$8)</f>
        <v>0</v>
      </c>
      <c r="CB133" s="48">
        <f>SUMIFS(Imput[[Importe Neto]:[Importe Neto]],Imput[[C. Imp.]:[C. Imp.]],'Indirect Costs'!$C133,Imput[[PERIODO Imp.]:[PERIODO Imp.]],'Indirect Costs'!CB$8)</f>
        <v>0</v>
      </c>
      <c r="CC133" s="48">
        <f>SUMIFS(Imput[[Importe Neto]:[Importe Neto]],Imput[[C. Imp.]:[C. Imp.]],'Indirect Costs'!$C133,Imput[[PERIODO Imp.]:[PERIODO Imp.]],'Indirect Costs'!CC$8)</f>
        <v>0</v>
      </c>
      <c r="CD133" s="48">
        <f>SUMIFS(Imput[[Importe Neto]:[Importe Neto]],Imput[[C. Imp.]:[C. Imp.]],'Indirect Costs'!$C133,Imput[[PERIODO Imp.]:[PERIODO Imp.]],'Indirect Costs'!CD$8)</f>
        <v>0</v>
      </c>
      <c r="CE133" s="48">
        <f>SUMIFS(Imput[[Importe Neto]:[Importe Neto]],Imput[[C. Imp.]:[C. Imp.]],'Indirect Costs'!$C133,Imput[[PERIODO Imp.]:[PERIODO Imp.]],'Indirect Costs'!CE$8)</f>
        <v>0</v>
      </c>
      <c r="CF133" s="48">
        <f>SUMIFS(Imput[[Importe Neto]:[Importe Neto]],Imput[[C. Imp.]:[C. Imp.]],'Indirect Costs'!$C133,Imput[[PERIODO Imp.]:[PERIODO Imp.]],'Indirect Costs'!CF$8)</f>
        <v>0</v>
      </c>
      <c r="CG133" s="48">
        <f>SUMIFS(Imput[[Importe Neto]:[Importe Neto]],Imput[[C. Imp.]:[C. Imp.]],'Indirect Costs'!$C133,Imput[[PERIODO Imp.]:[PERIODO Imp.]],'Indirect Costs'!CG$8)</f>
        <v>0</v>
      </c>
      <c r="CH133" s="48">
        <f>SUMIFS(Imput[[Importe Neto]:[Importe Neto]],Imput[[C. Imp.]:[C. Imp.]],'Indirect Costs'!$C133,Imput[[PERIODO Imp.]:[PERIODO Imp.]],'Indirect Costs'!CH$8)</f>
        <v>0</v>
      </c>
      <c r="CI133" s="48">
        <f>SUMIFS(Imput[[Importe Neto]:[Importe Neto]],Imput[[C. Imp.]:[C. Imp.]],'Indirect Costs'!$C133,Imput[[PERIODO Imp.]:[PERIODO Imp.]],'Indirect Costs'!CI$8)</f>
        <v>0</v>
      </c>
      <c r="CJ133" s="48">
        <f>SUMIFS(Imput[[Importe Neto]:[Importe Neto]],Imput[[C. Imp.]:[C. Imp.]],'Indirect Costs'!$C133,Imput[[PERIODO Imp.]:[PERIODO Imp.]],'Indirect Costs'!CJ$8)</f>
        <v>0</v>
      </c>
      <c r="CK133" s="48">
        <f>SUMIFS(Imput[[Importe Neto]:[Importe Neto]],Imput[[C. Imp.]:[C. Imp.]],'Indirect Costs'!$C133,Imput[[PERIODO Imp.]:[PERIODO Imp.]],'Indirect Costs'!CK$8)</f>
        <v>0</v>
      </c>
      <c r="CL133" s="48">
        <f>SUMIFS(Imput[[Importe Neto]:[Importe Neto]],Imput[[C. Imp.]:[C. Imp.]],'Indirect Costs'!$C133,Imput[[PERIODO Imp.]:[PERIODO Imp.]],'Indirect Costs'!CL$8)</f>
        <v>0</v>
      </c>
      <c r="CM133" s="48">
        <f>SUMIFS(Imput[[Importe Neto]:[Importe Neto]],Imput[[C. Imp.]:[C. Imp.]],'Indirect Costs'!$C133,Imput[[PERIODO Imp.]:[PERIODO Imp.]],'Indirect Costs'!CM$8)</f>
        <v>0</v>
      </c>
      <c r="CN133" s="48">
        <f>SUMIFS(Imput[[Importe Neto]:[Importe Neto]],Imput[[C. Imp.]:[C. Imp.]],'Indirect Costs'!$C133,Imput[[PERIODO Imp.]:[PERIODO Imp.]],'Indirect Costs'!CN$8)</f>
        <v>0</v>
      </c>
      <c r="CO133" s="48">
        <f>SUMIFS(Imput[[Importe Neto]:[Importe Neto]],Imput[[C. Imp.]:[C. Imp.]],'Indirect Costs'!$C133,Imput[[PERIODO Imp.]:[PERIODO Imp.]],'Indirect Costs'!CO$8)</f>
        <v>0</v>
      </c>
      <c r="CP133" s="48">
        <f>SUMIFS(Imput[[Importe Neto]:[Importe Neto]],Imput[[C. Imp.]:[C. Imp.]],'Indirect Costs'!$C133,Imput[[PERIODO Imp.]:[PERIODO Imp.]],'Indirect Costs'!CP$8)</f>
        <v>0</v>
      </c>
      <c r="CQ133" s="48">
        <f>SUMIFS(Imput[[Importe Neto]:[Importe Neto]],Imput[[C. Imp.]:[C. Imp.]],'Indirect Costs'!$C133,Imput[[PERIODO Imp.]:[PERIODO Imp.]],'Indirect Costs'!CQ$8)</f>
        <v>0</v>
      </c>
      <c r="CR133" s="48">
        <f>SUMIFS(Imput[[Importe Neto]:[Importe Neto]],Imput[[C. Imp.]:[C. Imp.]],'Indirect Costs'!$C133,Imput[[PERIODO Imp.]:[PERIODO Imp.]],'Indirect Costs'!CR$8)</f>
        <v>0</v>
      </c>
      <c r="CS133" s="48">
        <f>SUMIFS(Imput[[Importe Neto]:[Importe Neto]],Imput[[C. Imp.]:[C. Imp.]],'Indirect Costs'!$C133,Imput[[PERIODO Imp.]:[PERIODO Imp.]],'Indirect Costs'!CS$8)</f>
        <v>0</v>
      </c>
      <c r="CT133" s="48">
        <f>SUMIFS(Imput[[Importe Neto]:[Importe Neto]],Imput[[C. Imp.]:[C. Imp.]],'Indirect Costs'!$C133,Imput[[PERIODO Imp.]:[PERIODO Imp.]],'Indirect Costs'!CT$8)</f>
        <v>0</v>
      </c>
      <c r="CU133" s="48">
        <f>SUMIFS(Imput[[Importe Neto]:[Importe Neto]],Imput[[C. Imp.]:[C. Imp.]],'Indirect Costs'!$C133,Imput[[PERIODO Imp.]:[PERIODO Imp.]],'Indirect Costs'!CU$8)</f>
        <v>0</v>
      </c>
      <c r="CV133" s="48">
        <f>SUMIFS(Imput[[Importe Neto]:[Importe Neto]],Imput[[C. Imp.]:[C. Imp.]],'Indirect Costs'!$C133,Imput[[PERIODO Imp.]:[PERIODO Imp.]],'Indirect Costs'!CV$8)</f>
        <v>0</v>
      </c>
      <c r="CW133" s="48">
        <f>SUMIFS(Imput[[Importe Neto]:[Importe Neto]],Imput[[C. Imp.]:[C. Imp.]],'Indirect Costs'!$C133,Imput[[PERIODO Imp.]:[PERIODO Imp.]],'Indirect Costs'!CW$8)</f>
        <v>0</v>
      </c>
      <c r="CX133" s="48">
        <f>SUMIFS(Imput[[Importe Neto]:[Importe Neto]],Imput[[C. Imp.]:[C. Imp.]],'Indirect Costs'!$C133,Imput[[PERIODO Imp.]:[PERIODO Imp.]],'Indirect Costs'!CX$8)</f>
        <v>0</v>
      </c>
      <c r="CY133" s="48">
        <f>SUMIFS(Imput[[Importe Neto]:[Importe Neto]],Imput[[C. Imp.]:[C. Imp.]],'Indirect Costs'!$C133,Imput[[PERIODO Imp.]:[PERIODO Imp.]],'Indirect Costs'!CY$8)</f>
        <v>0</v>
      </c>
      <c r="CZ133" s="48">
        <f>SUMIFS(Imput[[Importe Neto]:[Importe Neto]],Imput[[C. Imp.]:[C. Imp.]],'Indirect Costs'!$C133,Imput[[PERIODO Imp.]:[PERIODO Imp.]],'Indirect Costs'!CZ$8)</f>
        <v>0</v>
      </c>
      <c r="DA133" s="48">
        <f>SUMIFS(Imput[[Importe Neto]:[Importe Neto]],Imput[[C. Imp.]:[C. Imp.]],'Indirect Costs'!$C133,Imput[[PERIODO Imp.]:[PERIODO Imp.]],'Indirect Costs'!DA$8)</f>
        <v>0</v>
      </c>
      <c r="DB133" s="48">
        <f>SUMIFS(Imput[[Importe Neto]:[Importe Neto]],Imput[[C. Imp.]:[C. Imp.]],'Indirect Costs'!$C133,Imput[[PERIODO Imp.]:[PERIODO Imp.]],'Indirect Costs'!DB$8)</f>
        <v>0</v>
      </c>
      <c r="DC133" s="48">
        <f>SUMIFS(Imput[[Importe Neto]:[Importe Neto]],Imput[[C. Imp.]:[C. Imp.]],'Indirect Costs'!$C133,Imput[[PERIODO Imp.]:[PERIODO Imp.]],'Indirect Costs'!DC$8)</f>
        <v>0</v>
      </c>
      <c r="DD133" s="48">
        <f>SUMIFS(Imput[[Importe Neto]:[Importe Neto]],Imput[[C. Imp.]:[C. Imp.]],'Indirect Costs'!$C133,Imput[[PERIODO Imp.]:[PERIODO Imp.]],'Indirect Costs'!DD$8)</f>
        <v>0</v>
      </c>
      <c r="DE133" s="48">
        <f>SUMIFS(Imput[[Importe Neto]:[Importe Neto]],Imput[[C. Imp.]:[C. Imp.]],'Indirect Costs'!$C133,Imput[[PERIODO Imp.]:[PERIODO Imp.]],'Indirect Costs'!DE$8)</f>
        <v>0</v>
      </c>
      <c r="DF133" s="143">
        <f>SUMIFS(Imput[[Importe Neto]:[Importe Neto]],Imput[[C. Imp.]:[C. Imp.]],'Indirect Costs'!$C133,Imput[[PERIODO Imp.]:[PERIODO Imp.]],'Indirect Costs'!DF$8)</f>
        <v>0</v>
      </c>
    </row>
    <row r="134" spans="1:110" outlineLevel="1" x14ac:dyDescent="0.25">
      <c r="A134" s="28" t="str">
        <f t="shared" si="14"/>
        <v>Imprimir</v>
      </c>
      <c r="B134" s="50">
        <v>2</v>
      </c>
      <c r="C134" s="57" t="s">
        <v>1850</v>
      </c>
      <c r="D134" s="56" t="s">
        <v>640</v>
      </c>
      <c r="E134" s="57" t="s">
        <v>640</v>
      </c>
      <c r="F134" s="58">
        <v>75000</v>
      </c>
      <c r="G134" s="49">
        <v>1</v>
      </c>
      <c r="H134" s="51">
        <v>1</v>
      </c>
      <c r="I134" s="505">
        <f t="shared" si="28"/>
        <v>75000</v>
      </c>
      <c r="J134" s="47"/>
      <c r="K134" s="142">
        <v>1</v>
      </c>
      <c r="L134" s="48"/>
      <c r="M134" s="48"/>
      <c r="N134" s="48"/>
      <c r="O134" s="48"/>
      <c r="P134" s="48"/>
      <c r="Q134" s="48"/>
      <c r="R134" s="48"/>
      <c r="S134" s="48"/>
      <c r="T134" s="48">
        <v>1</v>
      </c>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143"/>
      <c r="BG134" s="47"/>
      <c r="BH134" s="509"/>
      <c r="BI134" s="505">
        <f t="shared" si="15"/>
        <v>0</v>
      </c>
      <c r="BJ134" s="47"/>
      <c r="BK134" s="142">
        <f>SUMIFS(Imput[[Importe Neto]:[Importe Neto]],Imput[[C. Imp.]:[C. Imp.]],'Indirect Costs'!$C134,Imput[[PERIODO Imp.]:[PERIODO Imp.]],'Indirect Costs'!BK$8)</f>
        <v>0</v>
      </c>
      <c r="BL134" s="48">
        <f>SUMIFS(Imput[[Importe Neto]:[Importe Neto]],Imput[[C. Imp.]:[C. Imp.]],'Indirect Costs'!$C134,Imput[[PERIODO Imp.]:[PERIODO Imp.]],'Indirect Costs'!BL$8)</f>
        <v>0</v>
      </c>
      <c r="BM134" s="48">
        <f>SUMIFS(Imput[[Importe Neto]:[Importe Neto]],Imput[[C. Imp.]:[C. Imp.]],'Indirect Costs'!$C134,Imput[[PERIODO Imp.]:[PERIODO Imp.]],'Indirect Costs'!BM$8)</f>
        <v>0</v>
      </c>
      <c r="BN134" s="48">
        <f>SUMIFS(Imput[[Importe Neto]:[Importe Neto]],Imput[[C. Imp.]:[C. Imp.]],'Indirect Costs'!$C134,Imput[[PERIODO Imp.]:[PERIODO Imp.]],'Indirect Costs'!BN$8)</f>
        <v>0</v>
      </c>
      <c r="BO134" s="48">
        <f>SUMIFS(Imput[[Importe Neto]:[Importe Neto]],Imput[[C. Imp.]:[C. Imp.]],'Indirect Costs'!$C134,Imput[[PERIODO Imp.]:[PERIODO Imp.]],'Indirect Costs'!BO$8)</f>
        <v>0</v>
      </c>
      <c r="BP134" s="48">
        <f>SUMIFS(Imput[[Importe Neto]:[Importe Neto]],Imput[[C. Imp.]:[C. Imp.]],'Indirect Costs'!$C134,Imput[[PERIODO Imp.]:[PERIODO Imp.]],'Indirect Costs'!BP$8)</f>
        <v>0</v>
      </c>
      <c r="BQ134" s="48">
        <f>SUMIFS(Imput[[Importe Neto]:[Importe Neto]],Imput[[C. Imp.]:[C. Imp.]],'Indirect Costs'!$C134,Imput[[PERIODO Imp.]:[PERIODO Imp.]],'Indirect Costs'!BQ$8)</f>
        <v>0</v>
      </c>
      <c r="BR134" s="48">
        <f>SUMIFS(Imput[[Importe Neto]:[Importe Neto]],Imput[[C. Imp.]:[C. Imp.]],'Indirect Costs'!$C134,Imput[[PERIODO Imp.]:[PERIODO Imp.]],'Indirect Costs'!BR$8)</f>
        <v>0</v>
      </c>
      <c r="BS134" s="48">
        <f>SUMIFS(Imput[[Importe Neto]:[Importe Neto]],Imput[[C. Imp.]:[C. Imp.]],'Indirect Costs'!$C134,Imput[[PERIODO Imp.]:[PERIODO Imp.]],'Indirect Costs'!BS$8)</f>
        <v>0</v>
      </c>
      <c r="BT134" s="48">
        <f>SUMIFS(Imput[[Importe Neto]:[Importe Neto]],Imput[[C. Imp.]:[C. Imp.]],'Indirect Costs'!$C134,Imput[[PERIODO Imp.]:[PERIODO Imp.]],'Indirect Costs'!BT$8)</f>
        <v>0</v>
      </c>
      <c r="BU134" s="48">
        <f>SUMIFS(Imput[[Importe Neto]:[Importe Neto]],Imput[[C. Imp.]:[C. Imp.]],'Indirect Costs'!$C134,Imput[[PERIODO Imp.]:[PERIODO Imp.]],'Indirect Costs'!BU$8)</f>
        <v>0</v>
      </c>
      <c r="BV134" s="48">
        <f>SUMIFS(Imput[[Importe Neto]:[Importe Neto]],Imput[[C. Imp.]:[C. Imp.]],'Indirect Costs'!$C134,Imput[[PERIODO Imp.]:[PERIODO Imp.]],'Indirect Costs'!BV$8)</f>
        <v>0</v>
      </c>
      <c r="BW134" s="48">
        <f>SUMIFS(Imput[[Importe Neto]:[Importe Neto]],Imput[[C. Imp.]:[C. Imp.]],'Indirect Costs'!$C134,Imput[[PERIODO Imp.]:[PERIODO Imp.]],'Indirect Costs'!BW$8)</f>
        <v>0</v>
      </c>
      <c r="BX134" s="48">
        <f>SUMIFS(Imput[[Importe Neto]:[Importe Neto]],Imput[[C. Imp.]:[C. Imp.]],'Indirect Costs'!$C134,Imput[[PERIODO Imp.]:[PERIODO Imp.]],'Indirect Costs'!BX$8)</f>
        <v>0</v>
      </c>
      <c r="BY134" s="48">
        <f>SUMIFS(Imput[[Importe Neto]:[Importe Neto]],Imput[[C. Imp.]:[C. Imp.]],'Indirect Costs'!$C134,Imput[[PERIODO Imp.]:[PERIODO Imp.]],'Indirect Costs'!BY$8)</f>
        <v>0</v>
      </c>
      <c r="BZ134" s="48">
        <f>SUMIFS(Imput[[Importe Neto]:[Importe Neto]],Imput[[C. Imp.]:[C. Imp.]],'Indirect Costs'!$C134,Imput[[PERIODO Imp.]:[PERIODO Imp.]],'Indirect Costs'!BZ$8)</f>
        <v>0</v>
      </c>
      <c r="CA134" s="48">
        <f>SUMIFS(Imput[[Importe Neto]:[Importe Neto]],Imput[[C. Imp.]:[C. Imp.]],'Indirect Costs'!$C134,Imput[[PERIODO Imp.]:[PERIODO Imp.]],'Indirect Costs'!CA$8)</f>
        <v>0</v>
      </c>
      <c r="CB134" s="48">
        <f>SUMIFS(Imput[[Importe Neto]:[Importe Neto]],Imput[[C. Imp.]:[C. Imp.]],'Indirect Costs'!$C134,Imput[[PERIODO Imp.]:[PERIODO Imp.]],'Indirect Costs'!CB$8)</f>
        <v>0</v>
      </c>
      <c r="CC134" s="48">
        <f>SUMIFS(Imput[[Importe Neto]:[Importe Neto]],Imput[[C. Imp.]:[C. Imp.]],'Indirect Costs'!$C134,Imput[[PERIODO Imp.]:[PERIODO Imp.]],'Indirect Costs'!CC$8)</f>
        <v>0</v>
      </c>
      <c r="CD134" s="48">
        <f>SUMIFS(Imput[[Importe Neto]:[Importe Neto]],Imput[[C. Imp.]:[C. Imp.]],'Indirect Costs'!$C134,Imput[[PERIODO Imp.]:[PERIODO Imp.]],'Indirect Costs'!CD$8)</f>
        <v>0</v>
      </c>
      <c r="CE134" s="48">
        <f>SUMIFS(Imput[[Importe Neto]:[Importe Neto]],Imput[[C. Imp.]:[C. Imp.]],'Indirect Costs'!$C134,Imput[[PERIODO Imp.]:[PERIODO Imp.]],'Indirect Costs'!CE$8)</f>
        <v>0</v>
      </c>
      <c r="CF134" s="48">
        <f>SUMIFS(Imput[[Importe Neto]:[Importe Neto]],Imput[[C. Imp.]:[C. Imp.]],'Indirect Costs'!$C134,Imput[[PERIODO Imp.]:[PERIODO Imp.]],'Indirect Costs'!CF$8)</f>
        <v>0</v>
      </c>
      <c r="CG134" s="48">
        <f>SUMIFS(Imput[[Importe Neto]:[Importe Neto]],Imput[[C. Imp.]:[C. Imp.]],'Indirect Costs'!$C134,Imput[[PERIODO Imp.]:[PERIODO Imp.]],'Indirect Costs'!CG$8)</f>
        <v>0</v>
      </c>
      <c r="CH134" s="48">
        <f>SUMIFS(Imput[[Importe Neto]:[Importe Neto]],Imput[[C. Imp.]:[C. Imp.]],'Indirect Costs'!$C134,Imput[[PERIODO Imp.]:[PERIODO Imp.]],'Indirect Costs'!CH$8)</f>
        <v>0</v>
      </c>
      <c r="CI134" s="48">
        <f>SUMIFS(Imput[[Importe Neto]:[Importe Neto]],Imput[[C. Imp.]:[C. Imp.]],'Indirect Costs'!$C134,Imput[[PERIODO Imp.]:[PERIODO Imp.]],'Indirect Costs'!CI$8)</f>
        <v>0</v>
      </c>
      <c r="CJ134" s="48">
        <f>SUMIFS(Imput[[Importe Neto]:[Importe Neto]],Imput[[C. Imp.]:[C. Imp.]],'Indirect Costs'!$C134,Imput[[PERIODO Imp.]:[PERIODO Imp.]],'Indirect Costs'!CJ$8)</f>
        <v>0</v>
      </c>
      <c r="CK134" s="48">
        <f>SUMIFS(Imput[[Importe Neto]:[Importe Neto]],Imput[[C. Imp.]:[C. Imp.]],'Indirect Costs'!$C134,Imput[[PERIODO Imp.]:[PERIODO Imp.]],'Indirect Costs'!CK$8)</f>
        <v>0</v>
      </c>
      <c r="CL134" s="48">
        <f>SUMIFS(Imput[[Importe Neto]:[Importe Neto]],Imput[[C. Imp.]:[C. Imp.]],'Indirect Costs'!$C134,Imput[[PERIODO Imp.]:[PERIODO Imp.]],'Indirect Costs'!CL$8)</f>
        <v>0</v>
      </c>
      <c r="CM134" s="48">
        <f>SUMIFS(Imput[[Importe Neto]:[Importe Neto]],Imput[[C. Imp.]:[C. Imp.]],'Indirect Costs'!$C134,Imput[[PERIODO Imp.]:[PERIODO Imp.]],'Indirect Costs'!CM$8)</f>
        <v>0</v>
      </c>
      <c r="CN134" s="48">
        <f>SUMIFS(Imput[[Importe Neto]:[Importe Neto]],Imput[[C. Imp.]:[C. Imp.]],'Indirect Costs'!$C134,Imput[[PERIODO Imp.]:[PERIODO Imp.]],'Indirect Costs'!CN$8)</f>
        <v>0</v>
      </c>
      <c r="CO134" s="48">
        <f>SUMIFS(Imput[[Importe Neto]:[Importe Neto]],Imput[[C. Imp.]:[C. Imp.]],'Indirect Costs'!$C134,Imput[[PERIODO Imp.]:[PERIODO Imp.]],'Indirect Costs'!CO$8)</f>
        <v>0</v>
      </c>
      <c r="CP134" s="48">
        <f>SUMIFS(Imput[[Importe Neto]:[Importe Neto]],Imput[[C. Imp.]:[C. Imp.]],'Indirect Costs'!$C134,Imput[[PERIODO Imp.]:[PERIODO Imp.]],'Indirect Costs'!CP$8)</f>
        <v>0</v>
      </c>
      <c r="CQ134" s="48">
        <f>SUMIFS(Imput[[Importe Neto]:[Importe Neto]],Imput[[C. Imp.]:[C. Imp.]],'Indirect Costs'!$C134,Imput[[PERIODO Imp.]:[PERIODO Imp.]],'Indirect Costs'!CQ$8)</f>
        <v>0</v>
      </c>
      <c r="CR134" s="48">
        <f>SUMIFS(Imput[[Importe Neto]:[Importe Neto]],Imput[[C. Imp.]:[C. Imp.]],'Indirect Costs'!$C134,Imput[[PERIODO Imp.]:[PERIODO Imp.]],'Indirect Costs'!CR$8)</f>
        <v>0</v>
      </c>
      <c r="CS134" s="48">
        <f>SUMIFS(Imput[[Importe Neto]:[Importe Neto]],Imput[[C. Imp.]:[C. Imp.]],'Indirect Costs'!$C134,Imput[[PERIODO Imp.]:[PERIODO Imp.]],'Indirect Costs'!CS$8)</f>
        <v>0</v>
      </c>
      <c r="CT134" s="48">
        <f>SUMIFS(Imput[[Importe Neto]:[Importe Neto]],Imput[[C. Imp.]:[C. Imp.]],'Indirect Costs'!$C134,Imput[[PERIODO Imp.]:[PERIODO Imp.]],'Indirect Costs'!CT$8)</f>
        <v>0</v>
      </c>
      <c r="CU134" s="48">
        <f>SUMIFS(Imput[[Importe Neto]:[Importe Neto]],Imput[[C. Imp.]:[C. Imp.]],'Indirect Costs'!$C134,Imput[[PERIODO Imp.]:[PERIODO Imp.]],'Indirect Costs'!CU$8)</f>
        <v>0</v>
      </c>
      <c r="CV134" s="48">
        <f>SUMIFS(Imput[[Importe Neto]:[Importe Neto]],Imput[[C. Imp.]:[C. Imp.]],'Indirect Costs'!$C134,Imput[[PERIODO Imp.]:[PERIODO Imp.]],'Indirect Costs'!CV$8)</f>
        <v>0</v>
      </c>
      <c r="CW134" s="48">
        <f>SUMIFS(Imput[[Importe Neto]:[Importe Neto]],Imput[[C. Imp.]:[C. Imp.]],'Indirect Costs'!$C134,Imput[[PERIODO Imp.]:[PERIODO Imp.]],'Indirect Costs'!CW$8)</f>
        <v>0</v>
      </c>
      <c r="CX134" s="48">
        <f>SUMIFS(Imput[[Importe Neto]:[Importe Neto]],Imput[[C. Imp.]:[C. Imp.]],'Indirect Costs'!$C134,Imput[[PERIODO Imp.]:[PERIODO Imp.]],'Indirect Costs'!CX$8)</f>
        <v>0</v>
      </c>
      <c r="CY134" s="48">
        <f>SUMIFS(Imput[[Importe Neto]:[Importe Neto]],Imput[[C. Imp.]:[C. Imp.]],'Indirect Costs'!$C134,Imput[[PERIODO Imp.]:[PERIODO Imp.]],'Indirect Costs'!CY$8)</f>
        <v>0</v>
      </c>
      <c r="CZ134" s="48">
        <f>SUMIFS(Imput[[Importe Neto]:[Importe Neto]],Imput[[C. Imp.]:[C. Imp.]],'Indirect Costs'!$C134,Imput[[PERIODO Imp.]:[PERIODO Imp.]],'Indirect Costs'!CZ$8)</f>
        <v>0</v>
      </c>
      <c r="DA134" s="48">
        <f>SUMIFS(Imput[[Importe Neto]:[Importe Neto]],Imput[[C. Imp.]:[C. Imp.]],'Indirect Costs'!$C134,Imput[[PERIODO Imp.]:[PERIODO Imp.]],'Indirect Costs'!DA$8)</f>
        <v>0</v>
      </c>
      <c r="DB134" s="48">
        <f>SUMIFS(Imput[[Importe Neto]:[Importe Neto]],Imput[[C. Imp.]:[C. Imp.]],'Indirect Costs'!$C134,Imput[[PERIODO Imp.]:[PERIODO Imp.]],'Indirect Costs'!DB$8)</f>
        <v>0</v>
      </c>
      <c r="DC134" s="48">
        <f>SUMIFS(Imput[[Importe Neto]:[Importe Neto]],Imput[[C. Imp.]:[C. Imp.]],'Indirect Costs'!$C134,Imput[[PERIODO Imp.]:[PERIODO Imp.]],'Indirect Costs'!DC$8)</f>
        <v>0</v>
      </c>
      <c r="DD134" s="48">
        <f>SUMIFS(Imput[[Importe Neto]:[Importe Neto]],Imput[[C. Imp.]:[C. Imp.]],'Indirect Costs'!$C134,Imput[[PERIODO Imp.]:[PERIODO Imp.]],'Indirect Costs'!DD$8)</f>
        <v>0</v>
      </c>
      <c r="DE134" s="48">
        <f>SUMIFS(Imput[[Importe Neto]:[Importe Neto]],Imput[[C. Imp.]:[C. Imp.]],'Indirect Costs'!$C134,Imput[[PERIODO Imp.]:[PERIODO Imp.]],'Indirect Costs'!DE$8)</f>
        <v>0</v>
      </c>
      <c r="DF134" s="143">
        <f>SUMIFS(Imput[[Importe Neto]:[Importe Neto]],Imput[[C. Imp.]:[C. Imp.]],'Indirect Costs'!$C134,Imput[[PERIODO Imp.]:[PERIODO Imp.]],'Indirect Costs'!DF$8)</f>
        <v>0</v>
      </c>
    </row>
    <row r="135" spans="1:110" outlineLevel="1" x14ac:dyDescent="0.25">
      <c r="A135" s="28" t="str">
        <f t="shared" si="14"/>
        <v/>
      </c>
      <c r="B135" s="50">
        <v>3</v>
      </c>
      <c r="C135" s="57" t="s">
        <v>1851</v>
      </c>
      <c r="D135" s="56" t="s">
        <v>641</v>
      </c>
      <c r="E135" s="57" t="s">
        <v>641</v>
      </c>
      <c r="F135" s="58"/>
      <c r="G135" s="49"/>
      <c r="H135" s="51">
        <v>1</v>
      </c>
      <c r="I135" s="505">
        <f t="shared" si="28"/>
        <v>0</v>
      </c>
      <c r="J135" s="47"/>
      <c r="K135" s="142"/>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143"/>
      <c r="BG135" s="47"/>
      <c r="BH135" s="509"/>
      <c r="BI135" s="505">
        <f t="shared" si="15"/>
        <v>0</v>
      </c>
      <c r="BJ135" s="47"/>
      <c r="BK135" s="142">
        <f>SUMIFS(Imput[[Importe Neto]:[Importe Neto]],Imput[[C. Imp.]:[C. Imp.]],'Indirect Costs'!$C135,Imput[[PERIODO Imp.]:[PERIODO Imp.]],'Indirect Costs'!BK$8)</f>
        <v>0</v>
      </c>
      <c r="BL135" s="48">
        <f>SUMIFS(Imput[[Importe Neto]:[Importe Neto]],Imput[[C. Imp.]:[C. Imp.]],'Indirect Costs'!$C135,Imput[[PERIODO Imp.]:[PERIODO Imp.]],'Indirect Costs'!BL$8)</f>
        <v>0</v>
      </c>
      <c r="BM135" s="48">
        <f>SUMIFS(Imput[[Importe Neto]:[Importe Neto]],Imput[[C. Imp.]:[C. Imp.]],'Indirect Costs'!$C135,Imput[[PERIODO Imp.]:[PERIODO Imp.]],'Indirect Costs'!BM$8)</f>
        <v>0</v>
      </c>
      <c r="BN135" s="48">
        <f>SUMIFS(Imput[[Importe Neto]:[Importe Neto]],Imput[[C. Imp.]:[C. Imp.]],'Indirect Costs'!$C135,Imput[[PERIODO Imp.]:[PERIODO Imp.]],'Indirect Costs'!BN$8)</f>
        <v>0</v>
      </c>
      <c r="BO135" s="48">
        <f>SUMIFS(Imput[[Importe Neto]:[Importe Neto]],Imput[[C. Imp.]:[C. Imp.]],'Indirect Costs'!$C135,Imput[[PERIODO Imp.]:[PERIODO Imp.]],'Indirect Costs'!BO$8)</f>
        <v>0</v>
      </c>
      <c r="BP135" s="48">
        <f>SUMIFS(Imput[[Importe Neto]:[Importe Neto]],Imput[[C. Imp.]:[C. Imp.]],'Indirect Costs'!$C135,Imput[[PERIODO Imp.]:[PERIODO Imp.]],'Indirect Costs'!BP$8)</f>
        <v>0</v>
      </c>
      <c r="BQ135" s="48">
        <f>SUMIFS(Imput[[Importe Neto]:[Importe Neto]],Imput[[C. Imp.]:[C. Imp.]],'Indirect Costs'!$C135,Imput[[PERIODO Imp.]:[PERIODO Imp.]],'Indirect Costs'!BQ$8)</f>
        <v>0</v>
      </c>
      <c r="BR135" s="48">
        <f>SUMIFS(Imput[[Importe Neto]:[Importe Neto]],Imput[[C. Imp.]:[C. Imp.]],'Indirect Costs'!$C135,Imput[[PERIODO Imp.]:[PERIODO Imp.]],'Indirect Costs'!BR$8)</f>
        <v>0</v>
      </c>
      <c r="BS135" s="48">
        <f>SUMIFS(Imput[[Importe Neto]:[Importe Neto]],Imput[[C. Imp.]:[C. Imp.]],'Indirect Costs'!$C135,Imput[[PERIODO Imp.]:[PERIODO Imp.]],'Indirect Costs'!BS$8)</f>
        <v>0</v>
      </c>
      <c r="BT135" s="48">
        <f>SUMIFS(Imput[[Importe Neto]:[Importe Neto]],Imput[[C. Imp.]:[C. Imp.]],'Indirect Costs'!$C135,Imput[[PERIODO Imp.]:[PERIODO Imp.]],'Indirect Costs'!BT$8)</f>
        <v>0</v>
      </c>
      <c r="BU135" s="48">
        <f>SUMIFS(Imput[[Importe Neto]:[Importe Neto]],Imput[[C. Imp.]:[C. Imp.]],'Indirect Costs'!$C135,Imput[[PERIODO Imp.]:[PERIODO Imp.]],'Indirect Costs'!BU$8)</f>
        <v>0</v>
      </c>
      <c r="BV135" s="48">
        <f>SUMIFS(Imput[[Importe Neto]:[Importe Neto]],Imput[[C. Imp.]:[C. Imp.]],'Indirect Costs'!$C135,Imput[[PERIODO Imp.]:[PERIODO Imp.]],'Indirect Costs'!BV$8)</f>
        <v>0</v>
      </c>
      <c r="BW135" s="48">
        <f>SUMIFS(Imput[[Importe Neto]:[Importe Neto]],Imput[[C. Imp.]:[C. Imp.]],'Indirect Costs'!$C135,Imput[[PERIODO Imp.]:[PERIODO Imp.]],'Indirect Costs'!BW$8)</f>
        <v>0</v>
      </c>
      <c r="BX135" s="48">
        <f>SUMIFS(Imput[[Importe Neto]:[Importe Neto]],Imput[[C. Imp.]:[C. Imp.]],'Indirect Costs'!$C135,Imput[[PERIODO Imp.]:[PERIODO Imp.]],'Indirect Costs'!BX$8)</f>
        <v>0</v>
      </c>
      <c r="BY135" s="48">
        <f>SUMIFS(Imput[[Importe Neto]:[Importe Neto]],Imput[[C. Imp.]:[C. Imp.]],'Indirect Costs'!$C135,Imput[[PERIODO Imp.]:[PERIODO Imp.]],'Indirect Costs'!BY$8)</f>
        <v>0</v>
      </c>
      <c r="BZ135" s="48">
        <f>SUMIFS(Imput[[Importe Neto]:[Importe Neto]],Imput[[C. Imp.]:[C. Imp.]],'Indirect Costs'!$C135,Imput[[PERIODO Imp.]:[PERIODO Imp.]],'Indirect Costs'!BZ$8)</f>
        <v>0</v>
      </c>
      <c r="CA135" s="48">
        <f>SUMIFS(Imput[[Importe Neto]:[Importe Neto]],Imput[[C. Imp.]:[C. Imp.]],'Indirect Costs'!$C135,Imput[[PERIODO Imp.]:[PERIODO Imp.]],'Indirect Costs'!CA$8)</f>
        <v>0</v>
      </c>
      <c r="CB135" s="48">
        <f>SUMIFS(Imput[[Importe Neto]:[Importe Neto]],Imput[[C. Imp.]:[C. Imp.]],'Indirect Costs'!$C135,Imput[[PERIODO Imp.]:[PERIODO Imp.]],'Indirect Costs'!CB$8)</f>
        <v>0</v>
      </c>
      <c r="CC135" s="48">
        <f>SUMIFS(Imput[[Importe Neto]:[Importe Neto]],Imput[[C. Imp.]:[C. Imp.]],'Indirect Costs'!$C135,Imput[[PERIODO Imp.]:[PERIODO Imp.]],'Indirect Costs'!CC$8)</f>
        <v>0</v>
      </c>
      <c r="CD135" s="48">
        <f>SUMIFS(Imput[[Importe Neto]:[Importe Neto]],Imput[[C. Imp.]:[C. Imp.]],'Indirect Costs'!$C135,Imput[[PERIODO Imp.]:[PERIODO Imp.]],'Indirect Costs'!CD$8)</f>
        <v>0</v>
      </c>
      <c r="CE135" s="48">
        <f>SUMIFS(Imput[[Importe Neto]:[Importe Neto]],Imput[[C. Imp.]:[C. Imp.]],'Indirect Costs'!$C135,Imput[[PERIODO Imp.]:[PERIODO Imp.]],'Indirect Costs'!CE$8)</f>
        <v>0</v>
      </c>
      <c r="CF135" s="48">
        <f>SUMIFS(Imput[[Importe Neto]:[Importe Neto]],Imput[[C. Imp.]:[C. Imp.]],'Indirect Costs'!$C135,Imput[[PERIODO Imp.]:[PERIODO Imp.]],'Indirect Costs'!CF$8)</f>
        <v>0</v>
      </c>
      <c r="CG135" s="48">
        <f>SUMIFS(Imput[[Importe Neto]:[Importe Neto]],Imput[[C. Imp.]:[C. Imp.]],'Indirect Costs'!$C135,Imput[[PERIODO Imp.]:[PERIODO Imp.]],'Indirect Costs'!CG$8)</f>
        <v>0</v>
      </c>
      <c r="CH135" s="48">
        <f>SUMIFS(Imput[[Importe Neto]:[Importe Neto]],Imput[[C. Imp.]:[C. Imp.]],'Indirect Costs'!$C135,Imput[[PERIODO Imp.]:[PERIODO Imp.]],'Indirect Costs'!CH$8)</f>
        <v>0</v>
      </c>
      <c r="CI135" s="48">
        <f>SUMIFS(Imput[[Importe Neto]:[Importe Neto]],Imput[[C. Imp.]:[C. Imp.]],'Indirect Costs'!$C135,Imput[[PERIODO Imp.]:[PERIODO Imp.]],'Indirect Costs'!CI$8)</f>
        <v>0</v>
      </c>
      <c r="CJ135" s="48">
        <f>SUMIFS(Imput[[Importe Neto]:[Importe Neto]],Imput[[C. Imp.]:[C. Imp.]],'Indirect Costs'!$C135,Imput[[PERIODO Imp.]:[PERIODO Imp.]],'Indirect Costs'!CJ$8)</f>
        <v>0</v>
      </c>
      <c r="CK135" s="48">
        <f>SUMIFS(Imput[[Importe Neto]:[Importe Neto]],Imput[[C. Imp.]:[C. Imp.]],'Indirect Costs'!$C135,Imput[[PERIODO Imp.]:[PERIODO Imp.]],'Indirect Costs'!CK$8)</f>
        <v>0</v>
      </c>
      <c r="CL135" s="48">
        <f>SUMIFS(Imput[[Importe Neto]:[Importe Neto]],Imput[[C. Imp.]:[C. Imp.]],'Indirect Costs'!$C135,Imput[[PERIODO Imp.]:[PERIODO Imp.]],'Indirect Costs'!CL$8)</f>
        <v>0</v>
      </c>
      <c r="CM135" s="48">
        <f>SUMIFS(Imput[[Importe Neto]:[Importe Neto]],Imput[[C. Imp.]:[C. Imp.]],'Indirect Costs'!$C135,Imput[[PERIODO Imp.]:[PERIODO Imp.]],'Indirect Costs'!CM$8)</f>
        <v>0</v>
      </c>
      <c r="CN135" s="48">
        <f>SUMIFS(Imput[[Importe Neto]:[Importe Neto]],Imput[[C. Imp.]:[C. Imp.]],'Indirect Costs'!$C135,Imput[[PERIODO Imp.]:[PERIODO Imp.]],'Indirect Costs'!CN$8)</f>
        <v>0</v>
      </c>
      <c r="CO135" s="48">
        <f>SUMIFS(Imput[[Importe Neto]:[Importe Neto]],Imput[[C. Imp.]:[C. Imp.]],'Indirect Costs'!$C135,Imput[[PERIODO Imp.]:[PERIODO Imp.]],'Indirect Costs'!CO$8)</f>
        <v>0</v>
      </c>
      <c r="CP135" s="48">
        <f>SUMIFS(Imput[[Importe Neto]:[Importe Neto]],Imput[[C. Imp.]:[C. Imp.]],'Indirect Costs'!$C135,Imput[[PERIODO Imp.]:[PERIODO Imp.]],'Indirect Costs'!CP$8)</f>
        <v>0</v>
      </c>
      <c r="CQ135" s="48">
        <f>SUMIFS(Imput[[Importe Neto]:[Importe Neto]],Imput[[C. Imp.]:[C. Imp.]],'Indirect Costs'!$C135,Imput[[PERIODO Imp.]:[PERIODO Imp.]],'Indirect Costs'!CQ$8)</f>
        <v>0</v>
      </c>
      <c r="CR135" s="48">
        <f>SUMIFS(Imput[[Importe Neto]:[Importe Neto]],Imput[[C. Imp.]:[C. Imp.]],'Indirect Costs'!$C135,Imput[[PERIODO Imp.]:[PERIODO Imp.]],'Indirect Costs'!CR$8)</f>
        <v>0</v>
      </c>
      <c r="CS135" s="48">
        <f>SUMIFS(Imput[[Importe Neto]:[Importe Neto]],Imput[[C. Imp.]:[C. Imp.]],'Indirect Costs'!$C135,Imput[[PERIODO Imp.]:[PERIODO Imp.]],'Indirect Costs'!CS$8)</f>
        <v>0</v>
      </c>
      <c r="CT135" s="48">
        <f>SUMIFS(Imput[[Importe Neto]:[Importe Neto]],Imput[[C. Imp.]:[C. Imp.]],'Indirect Costs'!$C135,Imput[[PERIODO Imp.]:[PERIODO Imp.]],'Indirect Costs'!CT$8)</f>
        <v>0</v>
      </c>
      <c r="CU135" s="48">
        <f>SUMIFS(Imput[[Importe Neto]:[Importe Neto]],Imput[[C. Imp.]:[C. Imp.]],'Indirect Costs'!$C135,Imput[[PERIODO Imp.]:[PERIODO Imp.]],'Indirect Costs'!CU$8)</f>
        <v>0</v>
      </c>
      <c r="CV135" s="48">
        <f>SUMIFS(Imput[[Importe Neto]:[Importe Neto]],Imput[[C. Imp.]:[C. Imp.]],'Indirect Costs'!$C135,Imput[[PERIODO Imp.]:[PERIODO Imp.]],'Indirect Costs'!CV$8)</f>
        <v>0</v>
      </c>
      <c r="CW135" s="48">
        <f>SUMIFS(Imput[[Importe Neto]:[Importe Neto]],Imput[[C. Imp.]:[C. Imp.]],'Indirect Costs'!$C135,Imput[[PERIODO Imp.]:[PERIODO Imp.]],'Indirect Costs'!CW$8)</f>
        <v>0</v>
      </c>
      <c r="CX135" s="48">
        <f>SUMIFS(Imput[[Importe Neto]:[Importe Neto]],Imput[[C. Imp.]:[C. Imp.]],'Indirect Costs'!$C135,Imput[[PERIODO Imp.]:[PERIODO Imp.]],'Indirect Costs'!CX$8)</f>
        <v>0</v>
      </c>
      <c r="CY135" s="48">
        <f>SUMIFS(Imput[[Importe Neto]:[Importe Neto]],Imput[[C. Imp.]:[C. Imp.]],'Indirect Costs'!$C135,Imput[[PERIODO Imp.]:[PERIODO Imp.]],'Indirect Costs'!CY$8)</f>
        <v>0</v>
      </c>
      <c r="CZ135" s="48">
        <f>SUMIFS(Imput[[Importe Neto]:[Importe Neto]],Imput[[C. Imp.]:[C. Imp.]],'Indirect Costs'!$C135,Imput[[PERIODO Imp.]:[PERIODO Imp.]],'Indirect Costs'!CZ$8)</f>
        <v>0</v>
      </c>
      <c r="DA135" s="48">
        <f>SUMIFS(Imput[[Importe Neto]:[Importe Neto]],Imput[[C. Imp.]:[C. Imp.]],'Indirect Costs'!$C135,Imput[[PERIODO Imp.]:[PERIODO Imp.]],'Indirect Costs'!DA$8)</f>
        <v>0</v>
      </c>
      <c r="DB135" s="48">
        <f>SUMIFS(Imput[[Importe Neto]:[Importe Neto]],Imput[[C. Imp.]:[C. Imp.]],'Indirect Costs'!$C135,Imput[[PERIODO Imp.]:[PERIODO Imp.]],'Indirect Costs'!DB$8)</f>
        <v>0</v>
      </c>
      <c r="DC135" s="48">
        <f>SUMIFS(Imput[[Importe Neto]:[Importe Neto]],Imput[[C. Imp.]:[C. Imp.]],'Indirect Costs'!$C135,Imput[[PERIODO Imp.]:[PERIODO Imp.]],'Indirect Costs'!DC$8)</f>
        <v>0</v>
      </c>
      <c r="DD135" s="48">
        <f>SUMIFS(Imput[[Importe Neto]:[Importe Neto]],Imput[[C. Imp.]:[C. Imp.]],'Indirect Costs'!$C135,Imput[[PERIODO Imp.]:[PERIODO Imp.]],'Indirect Costs'!DD$8)</f>
        <v>0</v>
      </c>
      <c r="DE135" s="48">
        <f>SUMIFS(Imput[[Importe Neto]:[Importe Neto]],Imput[[C. Imp.]:[C. Imp.]],'Indirect Costs'!$C135,Imput[[PERIODO Imp.]:[PERIODO Imp.]],'Indirect Costs'!DE$8)</f>
        <v>0</v>
      </c>
      <c r="DF135" s="143">
        <f>SUMIFS(Imput[[Importe Neto]:[Importe Neto]],Imput[[C. Imp.]:[C. Imp.]],'Indirect Costs'!$C135,Imput[[PERIODO Imp.]:[PERIODO Imp.]],'Indirect Costs'!DF$8)</f>
        <v>0</v>
      </c>
    </row>
    <row r="136" spans="1:110" outlineLevel="1" x14ac:dyDescent="0.25">
      <c r="A136" s="28" t="str">
        <f t="shared" si="14"/>
        <v/>
      </c>
      <c r="B136" s="50">
        <v>4</v>
      </c>
      <c r="C136" s="57" t="s">
        <v>1852</v>
      </c>
      <c r="D136" s="56" t="s">
        <v>642</v>
      </c>
      <c r="E136" s="57" t="s">
        <v>642</v>
      </c>
      <c r="F136" s="58"/>
      <c r="G136" s="49"/>
      <c r="H136" s="51">
        <v>1</v>
      </c>
      <c r="I136" s="505">
        <f t="shared" si="28"/>
        <v>0</v>
      </c>
      <c r="J136" s="47"/>
      <c r="K136" s="142"/>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143"/>
      <c r="BG136" s="47"/>
      <c r="BH136" s="509"/>
      <c r="BI136" s="505">
        <f t="shared" si="15"/>
        <v>0</v>
      </c>
      <c r="BJ136" s="47"/>
      <c r="BK136" s="142">
        <f>SUMIFS(Imput[[Importe Neto]:[Importe Neto]],Imput[[C. Imp.]:[C. Imp.]],'Indirect Costs'!$C136,Imput[[PERIODO Imp.]:[PERIODO Imp.]],'Indirect Costs'!BK$8)</f>
        <v>0</v>
      </c>
      <c r="BL136" s="48">
        <f>SUMIFS(Imput[[Importe Neto]:[Importe Neto]],Imput[[C. Imp.]:[C. Imp.]],'Indirect Costs'!$C136,Imput[[PERIODO Imp.]:[PERIODO Imp.]],'Indirect Costs'!BL$8)</f>
        <v>0</v>
      </c>
      <c r="BM136" s="48">
        <f>SUMIFS(Imput[[Importe Neto]:[Importe Neto]],Imput[[C. Imp.]:[C. Imp.]],'Indirect Costs'!$C136,Imput[[PERIODO Imp.]:[PERIODO Imp.]],'Indirect Costs'!BM$8)</f>
        <v>0</v>
      </c>
      <c r="BN136" s="48">
        <f>SUMIFS(Imput[[Importe Neto]:[Importe Neto]],Imput[[C. Imp.]:[C. Imp.]],'Indirect Costs'!$C136,Imput[[PERIODO Imp.]:[PERIODO Imp.]],'Indirect Costs'!BN$8)</f>
        <v>0</v>
      </c>
      <c r="BO136" s="48">
        <f>SUMIFS(Imput[[Importe Neto]:[Importe Neto]],Imput[[C. Imp.]:[C. Imp.]],'Indirect Costs'!$C136,Imput[[PERIODO Imp.]:[PERIODO Imp.]],'Indirect Costs'!BO$8)</f>
        <v>0</v>
      </c>
      <c r="BP136" s="48">
        <f>SUMIFS(Imput[[Importe Neto]:[Importe Neto]],Imput[[C. Imp.]:[C. Imp.]],'Indirect Costs'!$C136,Imput[[PERIODO Imp.]:[PERIODO Imp.]],'Indirect Costs'!BP$8)</f>
        <v>0</v>
      </c>
      <c r="BQ136" s="48">
        <f>SUMIFS(Imput[[Importe Neto]:[Importe Neto]],Imput[[C. Imp.]:[C. Imp.]],'Indirect Costs'!$C136,Imput[[PERIODO Imp.]:[PERIODO Imp.]],'Indirect Costs'!BQ$8)</f>
        <v>0</v>
      </c>
      <c r="BR136" s="48">
        <f>SUMIFS(Imput[[Importe Neto]:[Importe Neto]],Imput[[C. Imp.]:[C. Imp.]],'Indirect Costs'!$C136,Imput[[PERIODO Imp.]:[PERIODO Imp.]],'Indirect Costs'!BR$8)</f>
        <v>0</v>
      </c>
      <c r="BS136" s="48">
        <f>SUMIFS(Imput[[Importe Neto]:[Importe Neto]],Imput[[C. Imp.]:[C. Imp.]],'Indirect Costs'!$C136,Imput[[PERIODO Imp.]:[PERIODO Imp.]],'Indirect Costs'!BS$8)</f>
        <v>0</v>
      </c>
      <c r="BT136" s="48">
        <f>SUMIFS(Imput[[Importe Neto]:[Importe Neto]],Imput[[C. Imp.]:[C. Imp.]],'Indirect Costs'!$C136,Imput[[PERIODO Imp.]:[PERIODO Imp.]],'Indirect Costs'!BT$8)</f>
        <v>0</v>
      </c>
      <c r="BU136" s="48">
        <f>SUMIFS(Imput[[Importe Neto]:[Importe Neto]],Imput[[C. Imp.]:[C. Imp.]],'Indirect Costs'!$C136,Imput[[PERIODO Imp.]:[PERIODO Imp.]],'Indirect Costs'!BU$8)</f>
        <v>0</v>
      </c>
      <c r="BV136" s="48">
        <f>SUMIFS(Imput[[Importe Neto]:[Importe Neto]],Imput[[C. Imp.]:[C. Imp.]],'Indirect Costs'!$C136,Imput[[PERIODO Imp.]:[PERIODO Imp.]],'Indirect Costs'!BV$8)</f>
        <v>0</v>
      </c>
      <c r="BW136" s="48">
        <f>SUMIFS(Imput[[Importe Neto]:[Importe Neto]],Imput[[C. Imp.]:[C. Imp.]],'Indirect Costs'!$C136,Imput[[PERIODO Imp.]:[PERIODO Imp.]],'Indirect Costs'!BW$8)</f>
        <v>0</v>
      </c>
      <c r="BX136" s="48">
        <f>SUMIFS(Imput[[Importe Neto]:[Importe Neto]],Imput[[C. Imp.]:[C. Imp.]],'Indirect Costs'!$C136,Imput[[PERIODO Imp.]:[PERIODO Imp.]],'Indirect Costs'!BX$8)</f>
        <v>0</v>
      </c>
      <c r="BY136" s="48">
        <f>SUMIFS(Imput[[Importe Neto]:[Importe Neto]],Imput[[C. Imp.]:[C. Imp.]],'Indirect Costs'!$C136,Imput[[PERIODO Imp.]:[PERIODO Imp.]],'Indirect Costs'!BY$8)</f>
        <v>0</v>
      </c>
      <c r="BZ136" s="48">
        <f>SUMIFS(Imput[[Importe Neto]:[Importe Neto]],Imput[[C. Imp.]:[C. Imp.]],'Indirect Costs'!$C136,Imput[[PERIODO Imp.]:[PERIODO Imp.]],'Indirect Costs'!BZ$8)</f>
        <v>0</v>
      </c>
      <c r="CA136" s="48">
        <f>SUMIFS(Imput[[Importe Neto]:[Importe Neto]],Imput[[C. Imp.]:[C. Imp.]],'Indirect Costs'!$C136,Imput[[PERIODO Imp.]:[PERIODO Imp.]],'Indirect Costs'!CA$8)</f>
        <v>0</v>
      </c>
      <c r="CB136" s="48">
        <f>SUMIFS(Imput[[Importe Neto]:[Importe Neto]],Imput[[C. Imp.]:[C. Imp.]],'Indirect Costs'!$C136,Imput[[PERIODO Imp.]:[PERIODO Imp.]],'Indirect Costs'!CB$8)</f>
        <v>0</v>
      </c>
      <c r="CC136" s="48">
        <f>SUMIFS(Imput[[Importe Neto]:[Importe Neto]],Imput[[C. Imp.]:[C. Imp.]],'Indirect Costs'!$C136,Imput[[PERIODO Imp.]:[PERIODO Imp.]],'Indirect Costs'!CC$8)</f>
        <v>0</v>
      </c>
      <c r="CD136" s="48">
        <f>SUMIFS(Imput[[Importe Neto]:[Importe Neto]],Imput[[C. Imp.]:[C. Imp.]],'Indirect Costs'!$C136,Imput[[PERIODO Imp.]:[PERIODO Imp.]],'Indirect Costs'!CD$8)</f>
        <v>0</v>
      </c>
      <c r="CE136" s="48">
        <f>SUMIFS(Imput[[Importe Neto]:[Importe Neto]],Imput[[C. Imp.]:[C. Imp.]],'Indirect Costs'!$C136,Imput[[PERIODO Imp.]:[PERIODO Imp.]],'Indirect Costs'!CE$8)</f>
        <v>0</v>
      </c>
      <c r="CF136" s="48">
        <f>SUMIFS(Imput[[Importe Neto]:[Importe Neto]],Imput[[C. Imp.]:[C. Imp.]],'Indirect Costs'!$C136,Imput[[PERIODO Imp.]:[PERIODO Imp.]],'Indirect Costs'!CF$8)</f>
        <v>0</v>
      </c>
      <c r="CG136" s="48">
        <f>SUMIFS(Imput[[Importe Neto]:[Importe Neto]],Imput[[C. Imp.]:[C. Imp.]],'Indirect Costs'!$C136,Imput[[PERIODO Imp.]:[PERIODO Imp.]],'Indirect Costs'!CG$8)</f>
        <v>0</v>
      </c>
      <c r="CH136" s="48">
        <f>SUMIFS(Imput[[Importe Neto]:[Importe Neto]],Imput[[C. Imp.]:[C. Imp.]],'Indirect Costs'!$C136,Imput[[PERIODO Imp.]:[PERIODO Imp.]],'Indirect Costs'!CH$8)</f>
        <v>0</v>
      </c>
      <c r="CI136" s="48">
        <f>SUMIFS(Imput[[Importe Neto]:[Importe Neto]],Imput[[C. Imp.]:[C. Imp.]],'Indirect Costs'!$C136,Imput[[PERIODO Imp.]:[PERIODO Imp.]],'Indirect Costs'!CI$8)</f>
        <v>0</v>
      </c>
      <c r="CJ136" s="48">
        <f>SUMIFS(Imput[[Importe Neto]:[Importe Neto]],Imput[[C. Imp.]:[C. Imp.]],'Indirect Costs'!$C136,Imput[[PERIODO Imp.]:[PERIODO Imp.]],'Indirect Costs'!CJ$8)</f>
        <v>0</v>
      </c>
      <c r="CK136" s="48">
        <f>SUMIFS(Imput[[Importe Neto]:[Importe Neto]],Imput[[C. Imp.]:[C. Imp.]],'Indirect Costs'!$C136,Imput[[PERIODO Imp.]:[PERIODO Imp.]],'Indirect Costs'!CK$8)</f>
        <v>0</v>
      </c>
      <c r="CL136" s="48">
        <f>SUMIFS(Imput[[Importe Neto]:[Importe Neto]],Imput[[C. Imp.]:[C. Imp.]],'Indirect Costs'!$C136,Imput[[PERIODO Imp.]:[PERIODO Imp.]],'Indirect Costs'!CL$8)</f>
        <v>0</v>
      </c>
      <c r="CM136" s="48">
        <f>SUMIFS(Imput[[Importe Neto]:[Importe Neto]],Imput[[C. Imp.]:[C. Imp.]],'Indirect Costs'!$C136,Imput[[PERIODO Imp.]:[PERIODO Imp.]],'Indirect Costs'!CM$8)</f>
        <v>0</v>
      </c>
      <c r="CN136" s="48">
        <f>SUMIFS(Imput[[Importe Neto]:[Importe Neto]],Imput[[C. Imp.]:[C. Imp.]],'Indirect Costs'!$C136,Imput[[PERIODO Imp.]:[PERIODO Imp.]],'Indirect Costs'!CN$8)</f>
        <v>0</v>
      </c>
      <c r="CO136" s="48">
        <f>SUMIFS(Imput[[Importe Neto]:[Importe Neto]],Imput[[C. Imp.]:[C. Imp.]],'Indirect Costs'!$C136,Imput[[PERIODO Imp.]:[PERIODO Imp.]],'Indirect Costs'!CO$8)</f>
        <v>0</v>
      </c>
      <c r="CP136" s="48">
        <f>SUMIFS(Imput[[Importe Neto]:[Importe Neto]],Imput[[C. Imp.]:[C. Imp.]],'Indirect Costs'!$C136,Imput[[PERIODO Imp.]:[PERIODO Imp.]],'Indirect Costs'!CP$8)</f>
        <v>0</v>
      </c>
      <c r="CQ136" s="48">
        <f>SUMIFS(Imput[[Importe Neto]:[Importe Neto]],Imput[[C. Imp.]:[C. Imp.]],'Indirect Costs'!$C136,Imput[[PERIODO Imp.]:[PERIODO Imp.]],'Indirect Costs'!CQ$8)</f>
        <v>0</v>
      </c>
      <c r="CR136" s="48">
        <f>SUMIFS(Imput[[Importe Neto]:[Importe Neto]],Imput[[C. Imp.]:[C. Imp.]],'Indirect Costs'!$C136,Imput[[PERIODO Imp.]:[PERIODO Imp.]],'Indirect Costs'!CR$8)</f>
        <v>0</v>
      </c>
      <c r="CS136" s="48">
        <f>SUMIFS(Imput[[Importe Neto]:[Importe Neto]],Imput[[C. Imp.]:[C. Imp.]],'Indirect Costs'!$C136,Imput[[PERIODO Imp.]:[PERIODO Imp.]],'Indirect Costs'!CS$8)</f>
        <v>0</v>
      </c>
      <c r="CT136" s="48">
        <f>SUMIFS(Imput[[Importe Neto]:[Importe Neto]],Imput[[C. Imp.]:[C. Imp.]],'Indirect Costs'!$C136,Imput[[PERIODO Imp.]:[PERIODO Imp.]],'Indirect Costs'!CT$8)</f>
        <v>0</v>
      </c>
      <c r="CU136" s="48">
        <f>SUMIFS(Imput[[Importe Neto]:[Importe Neto]],Imput[[C. Imp.]:[C. Imp.]],'Indirect Costs'!$C136,Imput[[PERIODO Imp.]:[PERIODO Imp.]],'Indirect Costs'!CU$8)</f>
        <v>0</v>
      </c>
      <c r="CV136" s="48">
        <f>SUMIFS(Imput[[Importe Neto]:[Importe Neto]],Imput[[C. Imp.]:[C. Imp.]],'Indirect Costs'!$C136,Imput[[PERIODO Imp.]:[PERIODO Imp.]],'Indirect Costs'!CV$8)</f>
        <v>0</v>
      </c>
      <c r="CW136" s="48">
        <f>SUMIFS(Imput[[Importe Neto]:[Importe Neto]],Imput[[C. Imp.]:[C. Imp.]],'Indirect Costs'!$C136,Imput[[PERIODO Imp.]:[PERIODO Imp.]],'Indirect Costs'!CW$8)</f>
        <v>0</v>
      </c>
      <c r="CX136" s="48">
        <f>SUMIFS(Imput[[Importe Neto]:[Importe Neto]],Imput[[C. Imp.]:[C. Imp.]],'Indirect Costs'!$C136,Imput[[PERIODO Imp.]:[PERIODO Imp.]],'Indirect Costs'!CX$8)</f>
        <v>0</v>
      </c>
      <c r="CY136" s="48">
        <f>SUMIFS(Imput[[Importe Neto]:[Importe Neto]],Imput[[C. Imp.]:[C. Imp.]],'Indirect Costs'!$C136,Imput[[PERIODO Imp.]:[PERIODO Imp.]],'Indirect Costs'!CY$8)</f>
        <v>0</v>
      </c>
      <c r="CZ136" s="48">
        <f>SUMIFS(Imput[[Importe Neto]:[Importe Neto]],Imput[[C. Imp.]:[C. Imp.]],'Indirect Costs'!$C136,Imput[[PERIODO Imp.]:[PERIODO Imp.]],'Indirect Costs'!CZ$8)</f>
        <v>0</v>
      </c>
      <c r="DA136" s="48">
        <f>SUMIFS(Imput[[Importe Neto]:[Importe Neto]],Imput[[C. Imp.]:[C. Imp.]],'Indirect Costs'!$C136,Imput[[PERIODO Imp.]:[PERIODO Imp.]],'Indirect Costs'!DA$8)</f>
        <v>0</v>
      </c>
      <c r="DB136" s="48">
        <f>SUMIFS(Imput[[Importe Neto]:[Importe Neto]],Imput[[C. Imp.]:[C. Imp.]],'Indirect Costs'!$C136,Imput[[PERIODO Imp.]:[PERIODO Imp.]],'Indirect Costs'!DB$8)</f>
        <v>0</v>
      </c>
      <c r="DC136" s="48">
        <f>SUMIFS(Imput[[Importe Neto]:[Importe Neto]],Imput[[C. Imp.]:[C. Imp.]],'Indirect Costs'!$C136,Imput[[PERIODO Imp.]:[PERIODO Imp.]],'Indirect Costs'!DC$8)</f>
        <v>0</v>
      </c>
      <c r="DD136" s="48">
        <f>SUMIFS(Imput[[Importe Neto]:[Importe Neto]],Imput[[C. Imp.]:[C. Imp.]],'Indirect Costs'!$C136,Imput[[PERIODO Imp.]:[PERIODO Imp.]],'Indirect Costs'!DD$8)</f>
        <v>0</v>
      </c>
      <c r="DE136" s="48">
        <f>SUMIFS(Imput[[Importe Neto]:[Importe Neto]],Imput[[C. Imp.]:[C. Imp.]],'Indirect Costs'!$C136,Imput[[PERIODO Imp.]:[PERIODO Imp.]],'Indirect Costs'!DE$8)</f>
        <v>0</v>
      </c>
      <c r="DF136" s="143">
        <f>SUMIFS(Imput[[Importe Neto]:[Importe Neto]],Imput[[C. Imp.]:[C. Imp.]],'Indirect Costs'!$C136,Imput[[PERIODO Imp.]:[PERIODO Imp.]],'Indirect Costs'!DF$8)</f>
        <v>0</v>
      </c>
    </row>
    <row r="137" spans="1:110" outlineLevel="1" x14ac:dyDescent="0.25">
      <c r="A137" s="28" t="str">
        <f t="shared" si="14"/>
        <v/>
      </c>
      <c r="B137" s="50">
        <v>5</v>
      </c>
      <c r="C137" s="57" t="s">
        <v>1753</v>
      </c>
      <c r="D137" s="56" t="s">
        <v>643</v>
      </c>
      <c r="E137" s="57" t="s">
        <v>643</v>
      </c>
      <c r="F137" s="58"/>
      <c r="G137" s="49"/>
      <c r="H137" s="51">
        <v>1</v>
      </c>
      <c r="I137" s="505">
        <f t="shared" si="28"/>
        <v>0</v>
      </c>
      <c r="J137" s="47"/>
      <c r="K137" s="142"/>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143"/>
      <c r="BG137" s="47"/>
      <c r="BH137" s="509"/>
      <c r="BI137" s="505">
        <f t="shared" si="15"/>
        <v>0</v>
      </c>
      <c r="BJ137" s="47"/>
      <c r="BK137" s="142">
        <f>SUMIFS(Imput[[Importe Neto]:[Importe Neto]],Imput[[C. Imp.]:[C. Imp.]],'Indirect Costs'!$C137,Imput[[PERIODO Imp.]:[PERIODO Imp.]],'Indirect Costs'!BK$8)</f>
        <v>0</v>
      </c>
      <c r="BL137" s="48">
        <f>SUMIFS(Imput[[Importe Neto]:[Importe Neto]],Imput[[C. Imp.]:[C. Imp.]],'Indirect Costs'!$C137,Imput[[PERIODO Imp.]:[PERIODO Imp.]],'Indirect Costs'!BL$8)</f>
        <v>0</v>
      </c>
      <c r="BM137" s="48">
        <f>SUMIFS(Imput[[Importe Neto]:[Importe Neto]],Imput[[C. Imp.]:[C. Imp.]],'Indirect Costs'!$C137,Imput[[PERIODO Imp.]:[PERIODO Imp.]],'Indirect Costs'!BM$8)</f>
        <v>0</v>
      </c>
      <c r="BN137" s="48">
        <f>SUMIFS(Imput[[Importe Neto]:[Importe Neto]],Imput[[C. Imp.]:[C. Imp.]],'Indirect Costs'!$C137,Imput[[PERIODO Imp.]:[PERIODO Imp.]],'Indirect Costs'!BN$8)</f>
        <v>0</v>
      </c>
      <c r="BO137" s="48">
        <f>SUMIFS(Imput[[Importe Neto]:[Importe Neto]],Imput[[C. Imp.]:[C. Imp.]],'Indirect Costs'!$C137,Imput[[PERIODO Imp.]:[PERIODO Imp.]],'Indirect Costs'!BO$8)</f>
        <v>0</v>
      </c>
      <c r="BP137" s="48">
        <f>SUMIFS(Imput[[Importe Neto]:[Importe Neto]],Imput[[C. Imp.]:[C. Imp.]],'Indirect Costs'!$C137,Imput[[PERIODO Imp.]:[PERIODO Imp.]],'Indirect Costs'!BP$8)</f>
        <v>0</v>
      </c>
      <c r="BQ137" s="48">
        <f>SUMIFS(Imput[[Importe Neto]:[Importe Neto]],Imput[[C. Imp.]:[C. Imp.]],'Indirect Costs'!$C137,Imput[[PERIODO Imp.]:[PERIODO Imp.]],'Indirect Costs'!BQ$8)</f>
        <v>0</v>
      </c>
      <c r="BR137" s="48">
        <f>SUMIFS(Imput[[Importe Neto]:[Importe Neto]],Imput[[C. Imp.]:[C. Imp.]],'Indirect Costs'!$C137,Imput[[PERIODO Imp.]:[PERIODO Imp.]],'Indirect Costs'!BR$8)</f>
        <v>0</v>
      </c>
      <c r="BS137" s="48">
        <f>SUMIFS(Imput[[Importe Neto]:[Importe Neto]],Imput[[C. Imp.]:[C. Imp.]],'Indirect Costs'!$C137,Imput[[PERIODO Imp.]:[PERIODO Imp.]],'Indirect Costs'!BS$8)</f>
        <v>0</v>
      </c>
      <c r="BT137" s="48">
        <f>SUMIFS(Imput[[Importe Neto]:[Importe Neto]],Imput[[C. Imp.]:[C. Imp.]],'Indirect Costs'!$C137,Imput[[PERIODO Imp.]:[PERIODO Imp.]],'Indirect Costs'!BT$8)</f>
        <v>0</v>
      </c>
      <c r="BU137" s="48">
        <f>SUMIFS(Imput[[Importe Neto]:[Importe Neto]],Imput[[C. Imp.]:[C. Imp.]],'Indirect Costs'!$C137,Imput[[PERIODO Imp.]:[PERIODO Imp.]],'Indirect Costs'!BU$8)</f>
        <v>0</v>
      </c>
      <c r="BV137" s="48">
        <f>SUMIFS(Imput[[Importe Neto]:[Importe Neto]],Imput[[C. Imp.]:[C. Imp.]],'Indirect Costs'!$C137,Imput[[PERIODO Imp.]:[PERIODO Imp.]],'Indirect Costs'!BV$8)</f>
        <v>0</v>
      </c>
      <c r="BW137" s="48">
        <f>SUMIFS(Imput[[Importe Neto]:[Importe Neto]],Imput[[C. Imp.]:[C. Imp.]],'Indirect Costs'!$C137,Imput[[PERIODO Imp.]:[PERIODO Imp.]],'Indirect Costs'!BW$8)</f>
        <v>0</v>
      </c>
      <c r="BX137" s="48">
        <f>SUMIFS(Imput[[Importe Neto]:[Importe Neto]],Imput[[C. Imp.]:[C. Imp.]],'Indirect Costs'!$C137,Imput[[PERIODO Imp.]:[PERIODO Imp.]],'Indirect Costs'!BX$8)</f>
        <v>0</v>
      </c>
      <c r="BY137" s="48">
        <f>SUMIFS(Imput[[Importe Neto]:[Importe Neto]],Imput[[C. Imp.]:[C. Imp.]],'Indirect Costs'!$C137,Imput[[PERIODO Imp.]:[PERIODO Imp.]],'Indirect Costs'!BY$8)</f>
        <v>0</v>
      </c>
      <c r="BZ137" s="48">
        <f>SUMIFS(Imput[[Importe Neto]:[Importe Neto]],Imput[[C. Imp.]:[C. Imp.]],'Indirect Costs'!$C137,Imput[[PERIODO Imp.]:[PERIODO Imp.]],'Indirect Costs'!BZ$8)</f>
        <v>0</v>
      </c>
      <c r="CA137" s="48">
        <f>SUMIFS(Imput[[Importe Neto]:[Importe Neto]],Imput[[C. Imp.]:[C. Imp.]],'Indirect Costs'!$C137,Imput[[PERIODO Imp.]:[PERIODO Imp.]],'Indirect Costs'!CA$8)</f>
        <v>0</v>
      </c>
      <c r="CB137" s="48">
        <f>SUMIFS(Imput[[Importe Neto]:[Importe Neto]],Imput[[C. Imp.]:[C. Imp.]],'Indirect Costs'!$C137,Imput[[PERIODO Imp.]:[PERIODO Imp.]],'Indirect Costs'!CB$8)</f>
        <v>0</v>
      </c>
      <c r="CC137" s="48">
        <f>SUMIFS(Imput[[Importe Neto]:[Importe Neto]],Imput[[C. Imp.]:[C. Imp.]],'Indirect Costs'!$C137,Imput[[PERIODO Imp.]:[PERIODO Imp.]],'Indirect Costs'!CC$8)</f>
        <v>0</v>
      </c>
      <c r="CD137" s="48">
        <f>SUMIFS(Imput[[Importe Neto]:[Importe Neto]],Imput[[C. Imp.]:[C. Imp.]],'Indirect Costs'!$C137,Imput[[PERIODO Imp.]:[PERIODO Imp.]],'Indirect Costs'!CD$8)</f>
        <v>0</v>
      </c>
      <c r="CE137" s="48">
        <f>SUMIFS(Imput[[Importe Neto]:[Importe Neto]],Imput[[C. Imp.]:[C. Imp.]],'Indirect Costs'!$C137,Imput[[PERIODO Imp.]:[PERIODO Imp.]],'Indirect Costs'!CE$8)</f>
        <v>0</v>
      </c>
      <c r="CF137" s="48">
        <f>SUMIFS(Imput[[Importe Neto]:[Importe Neto]],Imput[[C. Imp.]:[C. Imp.]],'Indirect Costs'!$C137,Imput[[PERIODO Imp.]:[PERIODO Imp.]],'Indirect Costs'!CF$8)</f>
        <v>0</v>
      </c>
      <c r="CG137" s="48">
        <f>SUMIFS(Imput[[Importe Neto]:[Importe Neto]],Imput[[C. Imp.]:[C. Imp.]],'Indirect Costs'!$C137,Imput[[PERIODO Imp.]:[PERIODO Imp.]],'Indirect Costs'!CG$8)</f>
        <v>0</v>
      </c>
      <c r="CH137" s="48">
        <f>SUMIFS(Imput[[Importe Neto]:[Importe Neto]],Imput[[C. Imp.]:[C. Imp.]],'Indirect Costs'!$C137,Imput[[PERIODO Imp.]:[PERIODO Imp.]],'Indirect Costs'!CH$8)</f>
        <v>0</v>
      </c>
      <c r="CI137" s="48">
        <f>SUMIFS(Imput[[Importe Neto]:[Importe Neto]],Imput[[C. Imp.]:[C. Imp.]],'Indirect Costs'!$C137,Imput[[PERIODO Imp.]:[PERIODO Imp.]],'Indirect Costs'!CI$8)</f>
        <v>0</v>
      </c>
      <c r="CJ137" s="48">
        <f>SUMIFS(Imput[[Importe Neto]:[Importe Neto]],Imput[[C. Imp.]:[C. Imp.]],'Indirect Costs'!$C137,Imput[[PERIODO Imp.]:[PERIODO Imp.]],'Indirect Costs'!CJ$8)</f>
        <v>0</v>
      </c>
      <c r="CK137" s="48">
        <f>SUMIFS(Imput[[Importe Neto]:[Importe Neto]],Imput[[C. Imp.]:[C. Imp.]],'Indirect Costs'!$C137,Imput[[PERIODO Imp.]:[PERIODO Imp.]],'Indirect Costs'!CK$8)</f>
        <v>0</v>
      </c>
      <c r="CL137" s="48">
        <f>SUMIFS(Imput[[Importe Neto]:[Importe Neto]],Imput[[C. Imp.]:[C. Imp.]],'Indirect Costs'!$C137,Imput[[PERIODO Imp.]:[PERIODO Imp.]],'Indirect Costs'!CL$8)</f>
        <v>0</v>
      </c>
      <c r="CM137" s="48">
        <f>SUMIFS(Imput[[Importe Neto]:[Importe Neto]],Imput[[C. Imp.]:[C. Imp.]],'Indirect Costs'!$C137,Imput[[PERIODO Imp.]:[PERIODO Imp.]],'Indirect Costs'!CM$8)</f>
        <v>0</v>
      </c>
      <c r="CN137" s="48">
        <f>SUMIFS(Imput[[Importe Neto]:[Importe Neto]],Imput[[C. Imp.]:[C. Imp.]],'Indirect Costs'!$C137,Imput[[PERIODO Imp.]:[PERIODO Imp.]],'Indirect Costs'!CN$8)</f>
        <v>0</v>
      </c>
      <c r="CO137" s="48">
        <f>SUMIFS(Imput[[Importe Neto]:[Importe Neto]],Imput[[C. Imp.]:[C. Imp.]],'Indirect Costs'!$C137,Imput[[PERIODO Imp.]:[PERIODO Imp.]],'Indirect Costs'!CO$8)</f>
        <v>0</v>
      </c>
      <c r="CP137" s="48">
        <f>SUMIFS(Imput[[Importe Neto]:[Importe Neto]],Imput[[C. Imp.]:[C. Imp.]],'Indirect Costs'!$C137,Imput[[PERIODO Imp.]:[PERIODO Imp.]],'Indirect Costs'!CP$8)</f>
        <v>0</v>
      </c>
      <c r="CQ137" s="48">
        <f>SUMIFS(Imput[[Importe Neto]:[Importe Neto]],Imput[[C. Imp.]:[C. Imp.]],'Indirect Costs'!$C137,Imput[[PERIODO Imp.]:[PERIODO Imp.]],'Indirect Costs'!CQ$8)</f>
        <v>0</v>
      </c>
      <c r="CR137" s="48">
        <f>SUMIFS(Imput[[Importe Neto]:[Importe Neto]],Imput[[C. Imp.]:[C. Imp.]],'Indirect Costs'!$C137,Imput[[PERIODO Imp.]:[PERIODO Imp.]],'Indirect Costs'!CR$8)</f>
        <v>0</v>
      </c>
      <c r="CS137" s="48">
        <f>SUMIFS(Imput[[Importe Neto]:[Importe Neto]],Imput[[C. Imp.]:[C. Imp.]],'Indirect Costs'!$C137,Imput[[PERIODO Imp.]:[PERIODO Imp.]],'Indirect Costs'!CS$8)</f>
        <v>0</v>
      </c>
      <c r="CT137" s="48">
        <f>SUMIFS(Imput[[Importe Neto]:[Importe Neto]],Imput[[C. Imp.]:[C. Imp.]],'Indirect Costs'!$C137,Imput[[PERIODO Imp.]:[PERIODO Imp.]],'Indirect Costs'!CT$8)</f>
        <v>0</v>
      </c>
      <c r="CU137" s="48">
        <f>SUMIFS(Imput[[Importe Neto]:[Importe Neto]],Imput[[C. Imp.]:[C. Imp.]],'Indirect Costs'!$C137,Imput[[PERIODO Imp.]:[PERIODO Imp.]],'Indirect Costs'!CU$8)</f>
        <v>0</v>
      </c>
      <c r="CV137" s="48">
        <f>SUMIFS(Imput[[Importe Neto]:[Importe Neto]],Imput[[C. Imp.]:[C. Imp.]],'Indirect Costs'!$C137,Imput[[PERIODO Imp.]:[PERIODO Imp.]],'Indirect Costs'!CV$8)</f>
        <v>0</v>
      </c>
      <c r="CW137" s="48">
        <f>SUMIFS(Imput[[Importe Neto]:[Importe Neto]],Imput[[C. Imp.]:[C. Imp.]],'Indirect Costs'!$C137,Imput[[PERIODO Imp.]:[PERIODO Imp.]],'Indirect Costs'!CW$8)</f>
        <v>0</v>
      </c>
      <c r="CX137" s="48">
        <f>SUMIFS(Imput[[Importe Neto]:[Importe Neto]],Imput[[C. Imp.]:[C. Imp.]],'Indirect Costs'!$C137,Imput[[PERIODO Imp.]:[PERIODO Imp.]],'Indirect Costs'!CX$8)</f>
        <v>0</v>
      </c>
      <c r="CY137" s="48">
        <f>SUMIFS(Imput[[Importe Neto]:[Importe Neto]],Imput[[C. Imp.]:[C. Imp.]],'Indirect Costs'!$C137,Imput[[PERIODO Imp.]:[PERIODO Imp.]],'Indirect Costs'!CY$8)</f>
        <v>0</v>
      </c>
      <c r="CZ137" s="48">
        <f>SUMIFS(Imput[[Importe Neto]:[Importe Neto]],Imput[[C. Imp.]:[C. Imp.]],'Indirect Costs'!$C137,Imput[[PERIODO Imp.]:[PERIODO Imp.]],'Indirect Costs'!CZ$8)</f>
        <v>0</v>
      </c>
      <c r="DA137" s="48">
        <f>SUMIFS(Imput[[Importe Neto]:[Importe Neto]],Imput[[C. Imp.]:[C. Imp.]],'Indirect Costs'!$C137,Imput[[PERIODO Imp.]:[PERIODO Imp.]],'Indirect Costs'!DA$8)</f>
        <v>0</v>
      </c>
      <c r="DB137" s="48">
        <f>SUMIFS(Imput[[Importe Neto]:[Importe Neto]],Imput[[C. Imp.]:[C. Imp.]],'Indirect Costs'!$C137,Imput[[PERIODO Imp.]:[PERIODO Imp.]],'Indirect Costs'!DB$8)</f>
        <v>0</v>
      </c>
      <c r="DC137" s="48">
        <f>SUMIFS(Imput[[Importe Neto]:[Importe Neto]],Imput[[C. Imp.]:[C. Imp.]],'Indirect Costs'!$C137,Imput[[PERIODO Imp.]:[PERIODO Imp.]],'Indirect Costs'!DC$8)</f>
        <v>0</v>
      </c>
      <c r="DD137" s="48">
        <f>SUMIFS(Imput[[Importe Neto]:[Importe Neto]],Imput[[C. Imp.]:[C. Imp.]],'Indirect Costs'!$C137,Imput[[PERIODO Imp.]:[PERIODO Imp.]],'Indirect Costs'!DD$8)</f>
        <v>0</v>
      </c>
      <c r="DE137" s="48">
        <f>SUMIFS(Imput[[Importe Neto]:[Importe Neto]],Imput[[C. Imp.]:[C. Imp.]],'Indirect Costs'!$C137,Imput[[PERIODO Imp.]:[PERIODO Imp.]],'Indirect Costs'!DE$8)</f>
        <v>0</v>
      </c>
      <c r="DF137" s="143">
        <f>SUMIFS(Imput[[Importe Neto]:[Importe Neto]],Imput[[C. Imp.]:[C. Imp.]],'Indirect Costs'!$C137,Imput[[PERIODO Imp.]:[PERIODO Imp.]],'Indirect Costs'!DF$8)</f>
        <v>0</v>
      </c>
    </row>
    <row r="138" spans="1:110" ht="14.4" outlineLevel="1" thickBot="1" x14ac:dyDescent="0.3">
      <c r="A138" s="28" t="str">
        <f t="shared" ref="A138" si="29">IFERROR(IF(I138&gt;0,"Imprimir",""),"")</f>
        <v/>
      </c>
      <c r="B138" s="53">
        <v>6</v>
      </c>
      <c r="C138" s="60" t="s">
        <v>1853</v>
      </c>
      <c r="D138" s="59" t="s">
        <v>644</v>
      </c>
      <c r="E138" s="60" t="s">
        <v>644</v>
      </c>
      <c r="F138" s="62"/>
      <c r="G138" s="63"/>
      <c r="H138" s="495">
        <v>1</v>
      </c>
      <c r="I138" s="506">
        <f t="shared" si="28"/>
        <v>0</v>
      </c>
      <c r="J138" s="47"/>
      <c r="K138" s="146"/>
      <c r="L138" s="147"/>
      <c r="M138" s="147"/>
      <c r="N138" s="147"/>
      <c r="O138" s="147"/>
      <c r="P138" s="147"/>
      <c r="Q138" s="147"/>
      <c r="R138" s="147"/>
      <c r="S138" s="147"/>
      <c r="T138" s="147"/>
      <c r="U138" s="147"/>
      <c r="V138" s="147"/>
      <c r="W138" s="147"/>
      <c r="X138" s="147"/>
      <c r="Y138" s="147"/>
      <c r="Z138" s="147"/>
      <c r="AA138" s="147"/>
      <c r="AB138" s="147"/>
      <c r="AC138" s="147"/>
      <c r="AD138" s="147"/>
      <c r="AE138" s="147"/>
      <c r="AF138" s="147"/>
      <c r="AG138" s="147"/>
      <c r="AH138" s="147"/>
      <c r="AI138" s="147"/>
      <c r="AJ138" s="147"/>
      <c r="AK138" s="147"/>
      <c r="AL138" s="147"/>
      <c r="AM138" s="147"/>
      <c r="AN138" s="147"/>
      <c r="AO138" s="147"/>
      <c r="AP138" s="147"/>
      <c r="AQ138" s="147"/>
      <c r="AR138" s="147"/>
      <c r="AS138" s="147"/>
      <c r="AT138" s="147"/>
      <c r="AU138" s="147"/>
      <c r="AV138" s="147"/>
      <c r="AW138" s="147"/>
      <c r="AX138" s="147"/>
      <c r="AY138" s="147"/>
      <c r="AZ138" s="147"/>
      <c r="BA138" s="147"/>
      <c r="BB138" s="147"/>
      <c r="BC138" s="147"/>
      <c r="BD138" s="147"/>
      <c r="BE138" s="147"/>
      <c r="BF138" s="148"/>
      <c r="BG138" s="47"/>
      <c r="BH138" s="510"/>
      <c r="BI138" s="506">
        <f t="shared" si="15"/>
        <v>0</v>
      </c>
      <c r="BJ138" s="47"/>
      <c r="BK138" s="146">
        <f>SUMIFS(Imput[[Importe Neto]:[Importe Neto]],Imput[[C. Imp.]:[C. Imp.]],'Indirect Costs'!$C138,Imput[[PERIODO Imp.]:[PERIODO Imp.]],'Indirect Costs'!BK$8)</f>
        <v>0</v>
      </c>
      <c r="BL138" s="147">
        <f>SUMIFS(Imput[[Importe Neto]:[Importe Neto]],Imput[[C. Imp.]:[C. Imp.]],'Indirect Costs'!$C138,Imput[[PERIODO Imp.]:[PERIODO Imp.]],'Indirect Costs'!BL$8)</f>
        <v>0</v>
      </c>
      <c r="BM138" s="147">
        <f>SUMIFS(Imput[[Importe Neto]:[Importe Neto]],Imput[[C. Imp.]:[C. Imp.]],'Indirect Costs'!$C138,Imput[[PERIODO Imp.]:[PERIODO Imp.]],'Indirect Costs'!BM$8)</f>
        <v>0</v>
      </c>
      <c r="BN138" s="147">
        <f>SUMIFS(Imput[[Importe Neto]:[Importe Neto]],Imput[[C. Imp.]:[C. Imp.]],'Indirect Costs'!$C138,Imput[[PERIODO Imp.]:[PERIODO Imp.]],'Indirect Costs'!BN$8)</f>
        <v>0</v>
      </c>
      <c r="BO138" s="147">
        <f>SUMIFS(Imput[[Importe Neto]:[Importe Neto]],Imput[[C. Imp.]:[C. Imp.]],'Indirect Costs'!$C138,Imput[[PERIODO Imp.]:[PERIODO Imp.]],'Indirect Costs'!BO$8)</f>
        <v>0</v>
      </c>
      <c r="BP138" s="147">
        <f>SUMIFS(Imput[[Importe Neto]:[Importe Neto]],Imput[[C. Imp.]:[C. Imp.]],'Indirect Costs'!$C138,Imput[[PERIODO Imp.]:[PERIODO Imp.]],'Indirect Costs'!BP$8)</f>
        <v>0</v>
      </c>
      <c r="BQ138" s="147">
        <f>SUMIFS(Imput[[Importe Neto]:[Importe Neto]],Imput[[C. Imp.]:[C. Imp.]],'Indirect Costs'!$C138,Imput[[PERIODO Imp.]:[PERIODO Imp.]],'Indirect Costs'!BQ$8)</f>
        <v>0</v>
      </c>
      <c r="BR138" s="147">
        <f>SUMIFS(Imput[[Importe Neto]:[Importe Neto]],Imput[[C. Imp.]:[C. Imp.]],'Indirect Costs'!$C138,Imput[[PERIODO Imp.]:[PERIODO Imp.]],'Indirect Costs'!BR$8)</f>
        <v>0</v>
      </c>
      <c r="BS138" s="147">
        <f>SUMIFS(Imput[[Importe Neto]:[Importe Neto]],Imput[[C. Imp.]:[C. Imp.]],'Indirect Costs'!$C138,Imput[[PERIODO Imp.]:[PERIODO Imp.]],'Indirect Costs'!BS$8)</f>
        <v>0</v>
      </c>
      <c r="BT138" s="147">
        <f>SUMIFS(Imput[[Importe Neto]:[Importe Neto]],Imput[[C. Imp.]:[C. Imp.]],'Indirect Costs'!$C138,Imput[[PERIODO Imp.]:[PERIODO Imp.]],'Indirect Costs'!BT$8)</f>
        <v>0</v>
      </c>
      <c r="BU138" s="147">
        <f>SUMIFS(Imput[[Importe Neto]:[Importe Neto]],Imput[[C. Imp.]:[C. Imp.]],'Indirect Costs'!$C138,Imput[[PERIODO Imp.]:[PERIODO Imp.]],'Indirect Costs'!BU$8)</f>
        <v>0</v>
      </c>
      <c r="BV138" s="147">
        <f>SUMIFS(Imput[[Importe Neto]:[Importe Neto]],Imput[[C. Imp.]:[C. Imp.]],'Indirect Costs'!$C138,Imput[[PERIODO Imp.]:[PERIODO Imp.]],'Indirect Costs'!BV$8)</f>
        <v>0</v>
      </c>
      <c r="BW138" s="147">
        <f>SUMIFS(Imput[[Importe Neto]:[Importe Neto]],Imput[[C. Imp.]:[C. Imp.]],'Indirect Costs'!$C138,Imput[[PERIODO Imp.]:[PERIODO Imp.]],'Indirect Costs'!BW$8)</f>
        <v>0</v>
      </c>
      <c r="BX138" s="147">
        <f>SUMIFS(Imput[[Importe Neto]:[Importe Neto]],Imput[[C. Imp.]:[C. Imp.]],'Indirect Costs'!$C138,Imput[[PERIODO Imp.]:[PERIODO Imp.]],'Indirect Costs'!BX$8)</f>
        <v>0</v>
      </c>
      <c r="BY138" s="147">
        <f>SUMIFS(Imput[[Importe Neto]:[Importe Neto]],Imput[[C. Imp.]:[C. Imp.]],'Indirect Costs'!$C138,Imput[[PERIODO Imp.]:[PERIODO Imp.]],'Indirect Costs'!BY$8)</f>
        <v>0</v>
      </c>
      <c r="BZ138" s="147">
        <f>SUMIFS(Imput[[Importe Neto]:[Importe Neto]],Imput[[C. Imp.]:[C. Imp.]],'Indirect Costs'!$C138,Imput[[PERIODO Imp.]:[PERIODO Imp.]],'Indirect Costs'!BZ$8)</f>
        <v>0</v>
      </c>
      <c r="CA138" s="147">
        <f>SUMIFS(Imput[[Importe Neto]:[Importe Neto]],Imput[[C. Imp.]:[C. Imp.]],'Indirect Costs'!$C138,Imput[[PERIODO Imp.]:[PERIODO Imp.]],'Indirect Costs'!CA$8)</f>
        <v>0</v>
      </c>
      <c r="CB138" s="147">
        <f>SUMIFS(Imput[[Importe Neto]:[Importe Neto]],Imput[[C. Imp.]:[C. Imp.]],'Indirect Costs'!$C138,Imput[[PERIODO Imp.]:[PERIODO Imp.]],'Indirect Costs'!CB$8)</f>
        <v>0</v>
      </c>
      <c r="CC138" s="147">
        <f>SUMIFS(Imput[[Importe Neto]:[Importe Neto]],Imput[[C. Imp.]:[C. Imp.]],'Indirect Costs'!$C138,Imput[[PERIODO Imp.]:[PERIODO Imp.]],'Indirect Costs'!CC$8)</f>
        <v>0</v>
      </c>
      <c r="CD138" s="147">
        <f>SUMIFS(Imput[[Importe Neto]:[Importe Neto]],Imput[[C. Imp.]:[C. Imp.]],'Indirect Costs'!$C138,Imput[[PERIODO Imp.]:[PERIODO Imp.]],'Indirect Costs'!CD$8)</f>
        <v>0</v>
      </c>
      <c r="CE138" s="147">
        <f>SUMIFS(Imput[[Importe Neto]:[Importe Neto]],Imput[[C. Imp.]:[C. Imp.]],'Indirect Costs'!$C138,Imput[[PERIODO Imp.]:[PERIODO Imp.]],'Indirect Costs'!CE$8)</f>
        <v>0</v>
      </c>
      <c r="CF138" s="147">
        <f>SUMIFS(Imput[[Importe Neto]:[Importe Neto]],Imput[[C. Imp.]:[C. Imp.]],'Indirect Costs'!$C138,Imput[[PERIODO Imp.]:[PERIODO Imp.]],'Indirect Costs'!CF$8)</f>
        <v>0</v>
      </c>
      <c r="CG138" s="147">
        <f>SUMIFS(Imput[[Importe Neto]:[Importe Neto]],Imput[[C. Imp.]:[C. Imp.]],'Indirect Costs'!$C138,Imput[[PERIODO Imp.]:[PERIODO Imp.]],'Indirect Costs'!CG$8)</f>
        <v>0</v>
      </c>
      <c r="CH138" s="147">
        <f>SUMIFS(Imput[[Importe Neto]:[Importe Neto]],Imput[[C. Imp.]:[C. Imp.]],'Indirect Costs'!$C138,Imput[[PERIODO Imp.]:[PERIODO Imp.]],'Indirect Costs'!CH$8)</f>
        <v>0</v>
      </c>
      <c r="CI138" s="147">
        <f>SUMIFS(Imput[[Importe Neto]:[Importe Neto]],Imput[[C. Imp.]:[C. Imp.]],'Indirect Costs'!$C138,Imput[[PERIODO Imp.]:[PERIODO Imp.]],'Indirect Costs'!CI$8)</f>
        <v>0</v>
      </c>
      <c r="CJ138" s="147">
        <f>SUMIFS(Imput[[Importe Neto]:[Importe Neto]],Imput[[C. Imp.]:[C. Imp.]],'Indirect Costs'!$C138,Imput[[PERIODO Imp.]:[PERIODO Imp.]],'Indirect Costs'!CJ$8)</f>
        <v>0</v>
      </c>
      <c r="CK138" s="147">
        <f>SUMIFS(Imput[[Importe Neto]:[Importe Neto]],Imput[[C. Imp.]:[C. Imp.]],'Indirect Costs'!$C138,Imput[[PERIODO Imp.]:[PERIODO Imp.]],'Indirect Costs'!CK$8)</f>
        <v>0</v>
      </c>
      <c r="CL138" s="147">
        <f>SUMIFS(Imput[[Importe Neto]:[Importe Neto]],Imput[[C. Imp.]:[C. Imp.]],'Indirect Costs'!$C138,Imput[[PERIODO Imp.]:[PERIODO Imp.]],'Indirect Costs'!CL$8)</f>
        <v>0</v>
      </c>
      <c r="CM138" s="147">
        <f>SUMIFS(Imput[[Importe Neto]:[Importe Neto]],Imput[[C. Imp.]:[C. Imp.]],'Indirect Costs'!$C138,Imput[[PERIODO Imp.]:[PERIODO Imp.]],'Indirect Costs'!CM$8)</f>
        <v>0</v>
      </c>
      <c r="CN138" s="147">
        <f>SUMIFS(Imput[[Importe Neto]:[Importe Neto]],Imput[[C. Imp.]:[C. Imp.]],'Indirect Costs'!$C138,Imput[[PERIODO Imp.]:[PERIODO Imp.]],'Indirect Costs'!CN$8)</f>
        <v>0</v>
      </c>
      <c r="CO138" s="147">
        <f>SUMIFS(Imput[[Importe Neto]:[Importe Neto]],Imput[[C. Imp.]:[C. Imp.]],'Indirect Costs'!$C138,Imput[[PERIODO Imp.]:[PERIODO Imp.]],'Indirect Costs'!CO$8)</f>
        <v>0</v>
      </c>
      <c r="CP138" s="147">
        <f>SUMIFS(Imput[[Importe Neto]:[Importe Neto]],Imput[[C. Imp.]:[C. Imp.]],'Indirect Costs'!$C138,Imput[[PERIODO Imp.]:[PERIODO Imp.]],'Indirect Costs'!CP$8)</f>
        <v>0</v>
      </c>
      <c r="CQ138" s="147">
        <f>SUMIFS(Imput[[Importe Neto]:[Importe Neto]],Imput[[C. Imp.]:[C. Imp.]],'Indirect Costs'!$C138,Imput[[PERIODO Imp.]:[PERIODO Imp.]],'Indirect Costs'!CQ$8)</f>
        <v>0</v>
      </c>
      <c r="CR138" s="147">
        <f>SUMIFS(Imput[[Importe Neto]:[Importe Neto]],Imput[[C. Imp.]:[C. Imp.]],'Indirect Costs'!$C138,Imput[[PERIODO Imp.]:[PERIODO Imp.]],'Indirect Costs'!CR$8)</f>
        <v>0</v>
      </c>
      <c r="CS138" s="147">
        <f>SUMIFS(Imput[[Importe Neto]:[Importe Neto]],Imput[[C. Imp.]:[C. Imp.]],'Indirect Costs'!$C138,Imput[[PERIODO Imp.]:[PERIODO Imp.]],'Indirect Costs'!CS$8)</f>
        <v>0</v>
      </c>
      <c r="CT138" s="147">
        <f>SUMIFS(Imput[[Importe Neto]:[Importe Neto]],Imput[[C. Imp.]:[C. Imp.]],'Indirect Costs'!$C138,Imput[[PERIODO Imp.]:[PERIODO Imp.]],'Indirect Costs'!CT$8)</f>
        <v>0</v>
      </c>
      <c r="CU138" s="147">
        <f>SUMIFS(Imput[[Importe Neto]:[Importe Neto]],Imput[[C. Imp.]:[C. Imp.]],'Indirect Costs'!$C138,Imput[[PERIODO Imp.]:[PERIODO Imp.]],'Indirect Costs'!CU$8)</f>
        <v>0</v>
      </c>
      <c r="CV138" s="147">
        <f>SUMIFS(Imput[[Importe Neto]:[Importe Neto]],Imput[[C. Imp.]:[C. Imp.]],'Indirect Costs'!$C138,Imput[[PERIODO Imp.]:[PERIODO Imp.]],'Indirect Costs'!CV$8)</f>
        <v>0</v>
      </c>
      <c r="CW138" s="147">
        <f>SUMIFS(Imput[[Importe Neto]:[Importe Neto]],Imput[[C. Imp.]:[C. Imp.]],'Indirect Costs'!$C138,Imput[[PERIODO Imp.]:[PERIODO Imp.]],'Indirect Costs'!CW$8)</f>
        <v>0</v>
      </c>
      <c r="CX138" s="147">
        <f>SUMIFS(Imput[[Importe Neto]:[Importe Neto]],Imput[[C. Imp.]:[C. Imp.]],'Indirect Costs'!$C138,Imput[[PERIODO Imp.]:[PERIODO Imp.]],'Indirect Costs'!CX$8)</f>
        <v>0</v>
      </c>
      <c r="CY138" s="147">
        <f>SUMIFS(Imput[[Importe Neto]:[Importe Neto]],Imput[[C. Imp.]:[C. Imp.]],'Indirect Costs'!$C138,Imput[[PERIODO Imp.]:[PERIODO Imp.]],'Indirect Costs'!CY$8)</f>
        <v>0</v>
      </c>
      <c r="CZ138" s="147">
        <f>SUMIFS(Imput[[Importe Neto]:[Importe Neto]],Imput[[C. Imp.]:[C. Imp.]],'Indirect Costs'!$C138,Imput[[PERIODO Imp.]:[PERIODO Imp.]],'Indirect Costs'!CZ$8)</f>
        <v>0</v>
      </c>
      <c r="DA138" s="147">
        <f>SUMIFS(Imput[[Importe Neto]:[Importe Neto]],Imput[[C. Imp.]:[C. Imp.]],'Indirect Costs'!$C138,Imput[[PERIODO Imp.]:[PERIODO Imp.]],'Indirect Costs'!DA$8)</f>
        <v>0</v>
      </c>
      <c r="DB138" s="147">
        <f>SUMIFS(Imput[[Importe Neto]:[Importe Neto]],Imput[[C. Imp.]:[C. Imp.]],'Indirect Costs'!$C138,Imput[[PERIODO Imp.]:[PERIODO Imp.]],'Indirect Costs'!DB$8)</f>
        <v>0</v>
      </c>
      <c r="DC138" s="147">
        <f>SUMIFS(Imput[[Importe Neto]:[Importe Neto]],Imput[[C. Imp.]:[C. Imp.]],'Indirect Costs'!$C138,Imput[[PERIODO Imp.]:[PERIODO Imp.]],'Indirect Costs'!DC$8)</f>
        <v>0</v>
      </c>
      <c r="DD138" s="147">
        <f>SUMIFS(Imput[[Importe Neto]:[Importe Neto]],Imput[[C. Imp.]:[C. Imp.]],'Indirect Costs'!$C138,Imput[[PERIODO Imp.]:[PERIODO Imp.]],'Indirect Costs'!DD$8)</f>
        <v>0</v>
      </c>
      <c r="DE138" s="147">
        <f>SUMIFS(Imput[[Importe Neto]:[Importe Neto]],Imput[[C. Imp.]:[C. Imp.]],'Indirect Costs'!$C138,Imput[[PERIODO Imp.]:[PERIODO Imp.]],'Indirect Costs'!DE$8)</f>
        <v>0</v>
      </c>
      <c r="DF138" s="148">
        <f>SUMIFS(Imput[[Importe Neto]:[Importe Neto]],Imput[[C. Imp.]:[C. Imp.]],'Indirect Costs'!$C138,Imput[[PERIODO Imp.]:[PERIODO Imp.]],'Indirect Costs'!DF$8)</f>
        <v>0</v>
      </c>
    </row>
    <row r="139" spans="1:110" ht="15.6" x14ac:dyDescent="0.25">
      <c r="H139" s="65"/>
      <c r="I139" s="65"/>
      <c r="BH139" s="135"/>
      <c r="BI139" s="65"/>
    </row>
    <row r="140" spans="1:110" x14ac:dyDescent="0.25">
      <c r="J140" s="253" t="s">
        <v>645</v>
      </c>
      <c r="K140" s="252">
        <f>K9</f>
        <v>181257.52533333332</v>
      </c>
      <c r="L140" s="252">
        <f>K140+L9</f>
        <v>247090.85866666667</v>
      </c>
      <c r="M140" s="252">
        <f t="shared" ref="M140:BF140" si="30">L140+M9</f>
        <v>312924.19199999998</v>
      </c>
      <c r="N140" s="252">
        <f t="shared" si="30"/>
        <v>378757.52533333329</v>
      </c>
      <c r="O140" s="252">
        <f t="shared" si="30"/>
        <v>444590.85866666661</v>
      </c>
      <c r="P140" s="252">
        <f t="shared" si="30"/>
        <v>510424.19199999992</v>
      </c>
      <c r="Q140" s="252">
        <f t="shared" si="30"/>
        <v>648074.19199999992</v>
      </c>
      <c r="R140" s="252">
        <f t="shared" si="30"/>
        <v>1027943.47</v>
      </c>
      <c r="S140" s="252">
        <f t="shared" si="30"/>
        <v>1027943.47</v>
      </c>
      <c r="T140" s="252">
        <f t="shared" si="30"/>
        <v>1102943.47</v>
      </c>
      <c r="U140" s="252">
        <f t="shared" si="30"/>
        <v>1102943.47</v>
      </c>
      <c r="V140" s="252">
        <f t="shared" si="30"/>
        <v>1102943.47</v>
      </c>
      <c r="W140" s="252">
        <f t="shared" si="30"/>
        <v>1102943.47</v>
      </c>
      <c r="X140" s="252">
        <f t="shared" si="30"/>
        <v>1102943.47</v>
      </c>
      <c r="Y140" s="252">
        <f t="shared" si="30"/>
        <v>1102943.47</v>
      </c>
      <c r="Z140" s="252">
        <f t="shared" si="30"/>
        <v>1102943.47</v>
      </c>
      <c r="AA140" s="252">
        <f t="shared" si="30"/>
        <v>1102943.47</v>
      </c>
      <c r="AB140" s="252">
        <f t="shared" si="30"/>
        <v>1102943.47</v>
      </c>
      <c r="AC140" s="252">
        <f t="shared" si="30"/>
        <v>1102943.47</v>
      </c>
      <c r="AD140" s="252">
        <f t="shared" si="30"/>
        <v>1102943.47</v>
      </c>
      <c r="AE140" s="252">
        <f t="shared" si="30"/>
        <v>1102943.47</v>
      </c>
      <c r="AF140" s="252">
        <f t="shared" si="30"/>
        <v>1102943.47</v>
      </c>
      <c r="AG140" s="252">
        <f t="shared" si="30"/>
        <v>1102943.47</v>
      </c>
      <c r="AH140" s="252">
        <f t="shared" si="30"/>
        <v>1102943.47</v>
      </c>
      <c r="AI140" s="252">
        <f t="shared" si="30"/>
        <v>1102943.47</v>
      </c>
      <c r="AJ140" s="252">
        <f t="shared" si="30"/>
        <v>1102943.47</v>
      </c>
      <c r="AK140" s="252">
        <f t="shared" si="30"/>
        <v>1102943.47</v>
      </c>
      <c r="AL140" s="252">
        <f t="shared" si="30"/>
        <v>1102943.47</v>
      </c>
      <c r="AM140" s="252">
        <f t="shared" si="30"/>
        <v>1102943.47</v>
      </c>
      <c r="AN140" s="252">
        <f t="shared" si="30"/>
        <v>1102943.47</v>
      </c>
      <c r="AO140" s="252">
        <f t="shared" si="30"/>
        <v>1102943.47</v>
      </c>
      <c r="AP140" s="252">
        <f t="shared" si="30"/>
        <v>1102943.47</v>
      </c>
      <c r="AQ140" s="252">
        <f t="shared" si="30"/>
        <v>1102943.47</v>
      </c>
      <c r="AR140" s="252">
        <f t="shared" si="30"/>
        <v>1102943.47</v>
      </c>
      <c r="AS140" s="252">
        <f t="shared" si="30"/>
        <v>1102943.47</v>
      </c>
      <c r="AT140" s="252">
        <f t="shared" si="30"/>
        <v>1102943.47</v>
      </c>
      <c r="AU140" s="252">
        <f t="shared" si="30"/>
        <v>1102943.47</v>
      </c>
      <c r="AV140" s="252">
        <f t="shared" si="30"/>
        <v>1102943.47</v>
      </c>
      <c r="AW140" s="252">
        <f t="shared" si="30"/>
        <v>1102943.47</v>
      </c>
      <c r="AX140" s="252">
        <f t="shared" si="30"/>
        <v>1102943.47</v>
      </c>
      <c r="AY140" s="252">
        <f t="shared" si="30"/>
        <v>1102943.47</v>
      </c>
      <c r="AZ140" s="252">
        <f t="shared" si="30"/>
        <v>1102943.47</v>
      </c>
      <c r="BA140" s="252">
        <f t="shared" si="30"/>
        <v>1102943.47</v>
      </c>
      <c r="BB140" s="252">
        <f t="shared" si="30"/>
        <v>1102943.47</v>
      </c>
      <c r="BC140" s="252">
        <f t="shared" si="30"/>
        <v>1102943.47</v>
      </c>
      <c r="BD140" s="252">
        <f t="shared" si="30"/>
        <v>1102943.47</v>
      </c>
      <c r="BE140" s="252">
        <f t="shared" si="30"/>
        <v>1102943.47</v>
      </c>
      <c r="BF140" s="252">
        <f t="shared" si="30"/>
        <v>1102943.47</v>
      </c>
      <c r="BJ140" s="253" t="s">
        <v>646</v>
      </c>
      <c r="BK140" s="252">
        <f>BK9</f>
        <v>0</v>
      </c>
      <c r="BL140" s="252">
        <f t="shared" ref="BL140:DF140" si="31">BK140+BL9</f>
        <v>33668.747122487926</v>
      </c>
      <c r="BM140" s="252">
        <f t="shared" si="31"/>
        <v>160010.79668469995</v>
      </c>
      <c r="BN140" s="252">
        <f t="shared" si="31"/>
        <v>358053.18593739648</v>
      </c>
      <c r="BO140" s="252">
        <f t="shared" si="31"/>
        <v>622394.75363767741</v>
      </c>
      <c r="BP140" s="252">
        <f t="shared" si="31"/>
        <v>795738.5332206398</v>
      </c>
      <c r="BQ140" s="252">
        <f t="shared" si="31"/>
        <v>967323.73200292885</v>
      </c>
      <c r="BR140" s="252">
        <f t="shared" si="31"/>
        <v>1059651.7599236355</v>
      </c>
      <c r="BS140" s="252">
        <f t="shared" si="31"/>
        <v>1113288.4146540116</v>
      </c>
      <c r="BT140" s="252">
        <f t="shared" si="31"/>
        <v>1194540.6407998495</v>
      </c>
      <c r="BU140" s="252">
        <f t="shared" si="31"/>
        <v>1294241.5660874345</v>
      </c>
      <c r="BV140" s="252">
        <f t="shared" si="31"/>
        <v>1438965.3861633884</v>
      </c>
      <c r="BW140" s="252">
        <f t="shared" si="31"/>
        <v>1524953.0406496231</v>
      </c>
      <c r="BX140" s="252">
        <f t="shared" si="31"/>
        <v>1604294.5088203431</v>
      </c>
      <c r="BY140" s="252">
        <f t="shared" si="31"/>
        <v>1767386.1781369268</v>
      </c>
      <c r="BZ140" s="252">
        <f t="shared" si="31"/>
        <v>1771687.0294603431</v>
      </c>
      <c r="CA140" s="252">
        <f t="shared" si="31"/>
        <v>1774928.2265751932</v>
      </c>
      <c r="CB140" s="252">
        <f t="shared" si="31"/>
        <v>1774928.2265751932</v>
      </c>
      <c r="CC140" s="252">
        <f t="shared" si="31"/>
        <v>1774928.2265751932</v>
      </c>
      <c r="CD140" s="252">
        <f t="shared" si="31"/>
        <v>1774928.2265751932</v>
      </c>
      <c r="CE140" s="252">
        <f t="shared" si="31"/>
        <v>1774928.2265751932</v>
      </c>
      <c r="CF140" s="252">
        <f t="shared" si="31"/>
        <v>1774928.2265751932</v>
      </c>
      <c r="CG140" s="252">
        <f t="shared" si="31"/>
        <v>1774928.2265751932</v>
      </c>
      <c r="CH140" s="252">
        <f t="shared" si="31"/>
        <v>1774928.2265751932</v>
      </c>
      <c r="CI140" s="252">
        <f t="shared" si="31"/>
        <v>1774928.2265751932</v>
      </c>
      <c r="CJ140" s="252">
        <f t="shared" si="31"/>
        <v>1774928.2265751932</v>
      </c>
      <c r="CK140" s="252">
        <f t="shared" si="31"/>
        <v>1774928.2265751932</v>
      </c>
      <c r="CL140" s="252">
        <f t="shared" si="31"/>
        <v>1774928.2265751932</v>
      </c>
      <c r="CM140" s="252">
        <f t="shared" si="31"/>
        <v>1774928.2265751932</v>
      </c>
      <c r="CN140" s="252">
        <f t="shared" si="31"/>
        <v>1774928.2265751932</v>
      </c>
      <c r="CO140" s="252">
        <f t="shared" si="31"/>
        <v>1774928.2265751932</v>
      </c>
      <c r="CP140" s="252">
        <f t="shared" si="31"/>
        <v>1774928.2265751932</v>
      </c>
      <c r="CQ140" s="252">
        <f t="shared" si="31"/>
        <v>1774928.2265751932</v>
      </c>
      <c r="CR140" s="252">
        <f t="shared" si="31"/>
        <v>1774928.2265751932</v>
      </c>
      <c r="CS140" s="252">
        <f t="shared" si="31"/>
        <v>1774928.2265751932</v>
      </c>
      <c r="CT140" s="252">
        <f t="shared" si="31"/>
        <v>1774928.2265751932</v>
      </c>
      <c r="CU140" s="252">
        <f t="shared" si="31"/>
        <v>1774928.2265751932</v>
      </c>
      <c r="CV140" s="252">
        <f t="shared" si="31"/>
        <v>1774928.2265751932</v>
      </c>
      <c r="CW140" s="252">
        <f t="shared" si="31"/>
        <v>1774928.2265751932</v>
      </c>
      <c r="CX140" s="252">
        <f t="shared" si="31"/>
        <v>1774928.2265751932</v>
      </c>
      <c r="CY140" s="252">
        <f t="shared" si="31"/>
        <v>1774928.2265751932</v>
      </c>
      <c r="CZ140" s="252">
        <f t="shared" si="31"/>
        <v>1774928.2265751932</v>
      </c>
      <c r="DA140" s="252">
        <f t="shared" si="31"/>
        <v>1774928.2265751932</v>
      </c>
      <c r="DB140" s="252">
        <f t="shared" si="31"/>
        <v>1774928.2265751932</v>
      </c>
      <c r="DC140" s="252">
        <f t="shared" si="31"/>
        <v>1774928.2265751932</v>
      </c>
      <c r="DD140" s="252">
        <f t="shared" si="31"/>
        <v>1774928.2265751932</v>
      </c>
      <c r="DE140" s="252">
        <f t="shared" si="31"/>
        <v>1774928.2265751932</v>
      </c>
      <c r="DF140" s="252">
        <f t="shared" si="31"/>
        <v>1774928.2265751932</v>
      </c>
    </row>
  </sheetData>
  <autoFilter ref="A8:DF138" xr:uid="{B0F20946-9D14-4F2A-9FCD-48F6913FD41A}"/>
  <mergeCells count="5">
    <mergeCell ref="D2:F2"/>
    <mergeCell ref="G4:H4"/>
    <mergeCell ref="K7:BF7"/>
    <mergeCell ref="BH7:DF7"/>
    <mergeCell ref="D3:F3"/>
  </mergeCells>
  <phoneticPr fontId="6" type="noConversion"/>
  <conditionalFormatting sqref="BH11 BH52 BH63 BH71 BH82 BH91 BH116 BH132">
    <cfRule type="cellIs" dxfId="3" priority="1" operator="greaterThanOrEqual">
      <formula>1</formula>
    </cfRule>
  </conditionalFormatting>
  <pageMargins left="0.7" right="0.7" top="0.75" bottom="0.75" header="0.3" footer="0.3"/>
  <pageSetup scale="10" fitToHeight="0"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21F09-EA18-408A-9AFE-EA34DA25E9EC}">
  <sheetPr codeName="Hoja9">
    <pageSetUpPr fitToPage="1"/>
  </sheetPr>
  <dimension ref="B2:AD95"/>
  <sheetViews>
    <sheetView zoomScale="87" zoomScaleNormal="60" workbookViewId="0">
      <pane xSplit="6" ySplit="14" topLeftCell="G15" activePane="bottomRight" state="frozen"/>
      <selection pane="topRight" activeCell="G1" sqref="G1"/>
      <selection pane="bottomLeft" activeCell="A15" sqref="A15"/>
      <selection pane="bottomRight" activeCell="F39" sqref="F39"/>
    </sheetView>
  </sheetViews>
  <sheetFormatPr baseColWidth="10" defaultColWidth="10.77734375" defaultRowHeight="14.4" x14ac:dyDescent="0.3"/>
  <cols>
    <col min="1" max="1" width="1.44140625" style="21" customWidth="1"/>
    <col min="2" max="2" width="7.77734375" style="21" customWidth="1"/>
    <col min="3" max="3" width="9.5546875" style="21" customWidth="1"/>
    <col min="4" max="4" width="16" style="21" customWidth="1"/>
    <col min="5" max="5" width="12.44140625" style="21" bestFit="1" customWidth="1"/>
    <col min="6" max="6" width="26.77734375" style="21" customWidth="1"/>
    <col min="7" max="7" width="21.21875" style="21" customWidth="1"/>
    <col min="8" max="8" width="12" style="21" customWidth="1"/>
    <col min="9" max="9" width="14.44140625" style="21" customWidth="1"/>
    <col min="10" max="10" width="13.77734375" style="21" bestFit="1" customWidth="1"/>
    <col min="11" max="12" width="13.21875" style="21" customWidth="1"/>
    <col min="13" max="13" width="18.77734375" style="21" bestFit="1" customWidth="1"/>
    <col min="14" max="16" width="13.44140625" style="21" customWidth="1"/>
    <col min="17" max="17" width="27.44140625" style="21" customWidth="1"/>
    <col min="18" max="18" width="10.77734375" style="21"/>
    <col min="19" max="19" width="15.44140625" style="21" customWidth="1"/>
    <col min="20" max="20" width="6.21875" style="21" customWidth="1"/>
    <col min="21" max="16384" width="10.77734375" style="21"/>
  </cols>
  <sheetData>
    <row r="2" spans="2:30" ht="10.050000000000001" customHeight="1" x14ac:dyDescent="0.3">
      <c r="C2" s="1015" t="s">
        <v>987</v>
      </c>
      <c r="D2" s="1015"/>
      <c r="E2" s="1015"/>
      <c r="F2" s="1015"/>
      <c r="S2" s="279" t="s">
        <v>986</v>
      </c>
    </row>
    <row r="3" spans="2:30" ht="3" customHeight="1" thickBot="1" x14ac:dyDescent="0.35">
      <c r="X3" s="21">
        <v>43508882.0995</v>
      </c>
      <c r="AD3" s="21">
        <v>12786334.5</v>
      </c>
    </row>
    <row r="4" spans="2:30" ht="13.05" customHeight="1" thickBot="1" x14ac:dyDescent="0.35">
      <c r="C4" s="1031" t="str">
        <f>CONCATENATE('Resumen Ejecutivo'!C2," ",'Resumen Ejecutivo'!D2)</f>
        <v>PROYECTO: CONSTRUCCIÓN DE 50 PILAS DE CONCRETO ARMADO PARA PMI'S EN EL ESTADO DE TAMAULIPAS (TAMPICO Y MANTE)</v>
      </c>
      <c r="D4" s="1031"/>
      <c r="E4" s="1031"/>
      <c r="F4" s="1031"/>
      <c r="G4" s="23" t="s">
        <v>84</v>
      </c>
      <c r="H4" s="1025">
        <f>Imput!P3</f>
        <v>20</v>
      </c>
      <c r="I4" s="1026"/>
      <c r="J4" s="23" t="s">
        <v>988</v>
      </c>
      <c r="K4" s="1018">
        <f>Producción!I9</f>
        <v>7818391.4547497248</v>
      </c>
      <c r="L4" s="1024"/>
      <c r="N4" s="23" t="s">
        <v>989</v>
      </c>
      <c r="O4" s="1018">
        <f>SUMIF(Certificacion[ESTATUS],"Pagado",Certificacion[IMPORTE])</f>
        <v>0</v>
      </c>
      <c r="P4" s="1019"/>
      <c r="Q4" s="23" t="s">
        <v>990</v>
      </c>
      <c r="R4" s="1018">
        <f>SUMIF(Certificacion[ESTATUS],"Pagado",Certificacion[LIQUIDO A PAGAR])</f>
        <v>0</v>
      </c>
      <c r="S4" s="1019"/>
      <c r="T4" s="299"/>
      <c r="W4" s="276"/>
      <c r="X4" s="276"/>
      <c r="Y4" s="276"/>
      <c r="Z4" s="276"/>
      <c r="AA4" s="276"/>
    </row>
    <row r="5" spans="2:30" ht="3" customHeight="1" thickBot="1" x14ac:dyDescent="0.35">
      <c r="C5" s="1031"/>
      <c r="D5" s="1031"/>
      <c r="E5" s="1031"/>
      <c r="F5" s="1031"/>
      <c r="G5" s="271"/>
      <c r="H5" s="271"/>
      <c r="X5" s="21">
        <v>8701776.4199000001</v>
      </c>
    </row>
    <row r="6" spans="2:30" ht="13.05" customHeight="1" thickBot="1" x14ac:dyDescent="0.35">
      <c r="C6" s="1031"/>
      <c r="D6" s="1031"/>
      <c r="E6" s="1031"/>
      <c r="F6" s="1031"/>
      <c r="G6" s="23" t="s">
        <v>991</v>
      </c>
      <c r="H6" s="1027">
        <f ca="1">TODAY()</f>
        <v>46076</v>
      </c>
      <c r="I6" s="1028"/>
      <c r="J6" s="23" t="s">
        <v>33</v>
      </c>
      <c r="K6" s="1018">
        <f>SUM(Certificacion[ANTICIPO])</f>
        <v>929236.37</v>
      </c>
      <c r="L6" s="1019"/>
      <c r="N6" s="23" t="s">
        <v>992</v>
      </c>
      <c r="O6" s="1018">
        <f>SUMIFS(Certificacion[AMORTIZACION DE ANTICIPO],Certificacion[ESTATUS],"Pagado")</f>
        <v>0</v>
      </c>
      <c r="P6" s="1019"/>
      <c r="Q6" s="308" t="s">
        <v>993</v>
      </c>
      <c r="R6" s="1020">
        <f>SUMIF(Certificacion[ESTATUS],"Pendiente",Certificacion[LIQUIDO A PAGAR])</f>
        <v>6845137.3545830399</v>
      </c>
      <c r="S6" s="1021"/>
      <c r="T6" s="299"/>
    </row>
    <row r="7" spans="2:30" ht="3" customHeight="1" thickBot="1" x14ac:dyDescent="0.35">
      <c r="C7" s="589"/>
      <c r="D7" s="589"/>
      <c r="E7" s="351"/>
      <c r="F7" s="351"/>
      <c r="G7" s="271"/>
      <c r="H7" s="271"/>
      <c r="Q7" s="269"/>
      <c r="R7" s="269"/>
      <c r="X7" s="21" t="s">
        <v>994</v>
      </c>
    </row>
    <row r="8" spans="2:30" ht="13.05" customHeight="1" thickBot="1" x14ac:dyDescent="0.35">
      <c r="C8" s="1015" t="str">
        <f>CONCATENATE('Resumen Ejecutivo'!C3," ",'Resumen Ejecutivo'!D3)</f>
        <v>CLIENTE: SYM KABAT</v>
      </c>
      <c r="D8" s="1015"/>
      <c r="E8" s="1015"/>
      <c r="F8" s="1015"/>
      <c r="G8" s="271"/>
      <c r="H8" s="271"/>
      <c r="N8" s="308" t="s">
        <v>995</v>
      </c>
      <c r="O8" s="1020">
        <f>SUMIF(Certificacion[ESTATUS],"Pendiente",Certificacion[IMPORTE])</f>
        <v>5685234.120000001</v>
      </c>
      <c r="P8" s="1021"/>
      <c r="Q8" s="308" t="s">
        <v>996</v>
      </c>
      <c r="R8" s="1022" t="str" cm="1">
        <f t="array" aca="1" ref="R8" ca="1">IFERROR(CONCATENATE(H6-IF(MIN(IF(Certificacion[ESTATUS]="Pendiente",Certificacion[FECHA FACTURA])),MIN(IF(Certificacion[ESTATUS]="Pendiente",Certificacion[FECHA FACTURA])),""),"  días"),"0   días")</f>
        <v>192  días</v>
      </c>
      <c r="S8" s="1023"/>
      <c r="T8" s="299"/>
    </row>
    <row r="9" spans="2:30" ht="3" customHeight="1" x14ac:dyDescent="0.3">
      <c r="I9" s="269"/>
      <c r="J9" s="269"/>
      <c r="K9" s="269"/>
      <c r="L9" s="270"/>
      <c r="X9" s="21" t="s">
        <v>997</v>
      </c>
    </row>
    <row r="10" spans="2:30" ht="10.050000000000001" customHeight="1" thickBot="1" x14ac:dyDescent="0.35">
      <c r="F10" s="15"/>
      <c r="G10" s="20"/>
      <c r="H10" s="20"/>
      <c r="I10" s="20"/>
      <c r="J10" s="20"/>
      <c r="Q10" s="23"/>
    </row>
    <row r="11" spans="2:30" ht="11.55" customHeight="1" x14ac:dyDescent="0.3">
      <c r="B11" s="1032" t="s">
        <v>998</v>
      </c>
      <c r="C11" s="1029" t="s">
        <v>999</v>
      </c>
      <c r="D11" s="1029" t="s">
        <v>86</v>
      </c>
      <c r="E11" s="1029" t="s">
        <v>344</v>
      </c>
      <c r="F11" s="1029" t="s">
        <v>1000</v>
      </c>
      <c r="G11" s="1029" t="s">
        <v>1001</v>
      </c>
      <c r="H11" s="1029" t="s">
        <v>354</v>
      </c>
      <c r="I11" s="1029" t="s">
        <v>1002</v>
      </c>
      <c r="J11" s="1029"/>
      <c r="K11" s="1029"/>
      <c r="L11" s="1029"/>
      <c r="M11" s="1029" t="s">
        <v>1003</v>
      </c>
      <c r="N11" s="1034" t="s">
        <v>1004</v>
      </c>
      <c r="O11" s="1029" t="s">
        <v>1005</v>
      </c>
      <c r="P11" s="1029" t="s">
        <v>1006</v>
      </c>
      <c r="Q11" s="1029" t="s">
        <v>1007</v>
      </c>
      <c r="R11" s="1029" t="s">
        <v>1008</v>
      </c>
      <c r="S11" s="1016" t="s">
        <v>1009</v>
      </c>
    </row>
    <row r="12" spans="2:30" ht="30.45" customHeight="1" thickBot="1" x14ac:dyDescent="0.35">
      <c r="B12" s="1033"/>
      <c r="C12" s="1030"/>
      <c r="D12" s="1030"/>
      <c r="E12" s="1030"/>
      <c r="F12" s="1030"/>
      <c r="G12" s="1030"/>
      <c r="H12" s="1030"/>
      <c r="I12" s="272" t="s">
        <v>1010</v>
      </c>
      <c r="J12" s="272" t="s">
        <v>1011</v>
      </c>
      <c r="K12" s="272" t="s">
        <v>1012</v>
      </c>
      <c r="L12" s="272" t="s">
        <v>1013</v>
      </c>
      <c r="M12" s="1030"/>
      <c r="N12" s="1035"/>
      <c r="O12" s="1030"/>
      <c r="P12" s="1030"/>
      <c r="Q12" s="1030"/>
      <c r="R12" s="1030"/>
      <c r="S12" s="1017"/>
    </row>
    <row r="13" spans="2:30" s="278" customFormat="1" ht="13.8" thickBot="1" x14ac:dyDescent="0.25">
      <c r="B13" s="277"/>
      <c r="C13" s="277"/>
      <c r="D13" s="565"/>
      <c r="E13" s="277"/>
      <c r="F13" s="277"/>
      <c r="G13" s="296">
        <f>SUBTOTAL(9,Certificacion[IMPORTE])</f>
        <v>5685234.120000001</v>
      </c>
      <c r="H13" s="296">
        <f>SUBTOTAL(9,Certificacion[ANTICIPO])</f>
        <v>929236.37</v>
      </c>
      <c r="I13" s="296">
        <f>SUBTOTAL(9,Certificacion[AMORTIZACION DE ANTICIPO])</f>
        <v>713490</v>
      </c>
      <c r="J13" s="296">
        <f>SUBTOTAL(9,Certificacion[OTROS])</f>
        <v>0</v>
      </c>
      <c r="K13" s="296">
        <f>SUBTOTAL(9,Certificacion[MATERIAL])</f>
        <v>0</v>
      </c>
      <c r="L13" s="296">
        <f>SUBTOTAL(9,Certificacion[OTROS (FONDO GARANTÍA)])</f>
        <v>0</v>
      </c>
      <c r="M13" s="296">
        <f>SUBTOTAL(9,Certificacion[TOTAL
DEDUCCIONES])</f>
        <v>713490</v>
      </c>
      <c r="N13" s="296">
        <f>SUBTOTAL(9,Certificacion[IMPORTE
SIN I.V.A.])</f>
        <v>5900980.4900000002</v>
      </c>
      <c r="O13" s="296">
        <f>SUBTOTAL(9,Certificacion[I.V.A.])</f>
        <v>944156.86458303907</v>
      </c>
      <c r="P13" s="296">
        <f>SUBTOTAL(9,Certificacion[I.V.A.R.])</f>
        <v>0</v>
      </c>
      <c r="Q13" s="296">
        <f>SUBTOTAL(9,Certificacion[LIQUIDO A PAGAR])</f>
        <v>6845137.3545830399</v>
      </c>
      <c r="R13" s="277"/>
      <c r="S13" s="277"/>
    </row>
    <row r="14" spans="2:30" ht="7.05" customHeight="1" thickBot="1" x14ac:dyDescent="0.35">
      <c r="B14" s="273" t="s">
        <v>998</v>
      </c>
      <c r="C14" s="274" t="s">
        <v>999</v>
      </c>
      <c r="D14" s="301" t="s">
        <v>86</v>
      </c>
      <c r="E14" s="274" t="s">
        <v>344</v>
      </c>
      <c r="F14" s="274" t="s">
        <v>1000</v>
      </c>
      <c r="G14" s="274" t="s">
        <v>657</v>
      </c>
      <c r="H14" s="274" t="s">
        <v>354</v>
      </c>
      <c r="I14" s="274" t="s">
        <v>1010</v>
      </c>
      <c r="J14" s="274" t="s">
        <v>1011</v>
      </c>
      <c r="K14" s="274" t="s">
        <v>1012</v>
      </c>
      <c r="L14" s="274" t="s">
        <v>1013</v>
      </c>
      <c r="M14" s="301" t="s">
        <v>1003</v>
      </c>
      <c r="N14" s="301" t="s">
        <v>1004</v>
      </c>
      <c r="O14" s="274" t="s">
        <v>1005</v>
      </c>
      <c r="P14" s="274" t="s">
        <v>1006</v>
      </c>
      <c r="Q14" s="274" t="s">
        <v>1007</v>
      </c>
      <c r="R14" s="274" t="s">
        <v>1008</v>
      </c>
      <c r="S14" s="275" t="s">
        <v>1009</v>
      </c>
    </row>
    <row r="15" spans="2:30" ht="15" customHeight="1" x14ac:dyDescent="0.3">
      <c r="B15" s="304" t="s">
        <v>2094</v>
      </c>
      <c r="C15" s="309">
        <v>45884</v>
      </c>
      <c r="D15" s="310" t="s">
        <v>290</v>
      </c>
      <c r="E15" s="319" t="s">
        <v>360</v>
      </c>
      <c r="F15" s="426" t="s">
        <v>4320</v>
      </c>
      <c r="G15" s="280">
        <v>1386220.67</v>
      </c>
      <c r="H15" s="280"/>
      <c r="I15" s="280"/>
      <c r="J15" s="280"/>
      <c r="K15" s="280"/>
      <c r="L15" s="280"/>
      <c r="M15" s="281">
        <f>SUM(Certificacion[[#This Row],[AMORTIZACION DE ANTICIPO]:[OTROS (FONDO GARANTÍA)]])</f>
        <v>0</v>
      </c>
      <c r="N15" s="281">
        <f>Certificacion[[#This Row],[IMPORTE]]+Certificacion[[#This Row],[ANTICIPO]]-Certificacion[[#This Row],[TOTAL
DEDUCCIONES]]</f>
        <v>1386220.67</v>
      </c>
      <c r="O15" s="282">
        <f>Certificacion[[#This Row],[IMPORTE
SIN I.V.A.]]*0.16</f>
        <v>221795.30719999998</v>
      </c>
      <c r="P15" s="302"/>
      <c r="Q15" s="282">
        <f>Certificacion[[#This Row],[IMPORTE
SIN I.V.A.]]+Certificacion[[#This Row],[I.V.A.]]-Certificacion[[#This Row],[I.V.A.R.]]</f>
        <v>1608015.9771999998</v>
      </c>
      <c r="R15" s="306"/>
      <c r="S15" s="283" t="str">
        <f>IF(Certificacion[[#This Row],[FACTURA No.]]="","",IF(Certificacion[[#This Row],[FECHA DE PAGO]]="","Pendiente",IF(Certificacion[[#This Row],[FECHA DE PAGO]]&gt;0,"Pagado")))</f>
        <v>Pendiente</v>
      </c>
    </row>
    <row r="16" spans="2:30" ht="14.55" customHeight="1" x14ac:dyDescent="0.3">
      <c r="B16" s="293" t="s">
        <v>3704</v>
      </c>
      <c r="C16" s="310">
        <v>45912</v>
      </c>
      <c r="D16" s="310" t="s">
        <v>383</v>
      </c>
      <c r="E16" s="290" t="s">
        <v>360</v>
      </c>
      <c r="F16" s="427" t="s">
        <v>4321</v>
      </c>
      <c r="G16" s="284">
        <v>383141.59</v>
      </c>
      <c r="H16" s="284"/>
      <c r="I16" s="284"/>
      <c r="J16" s="284"/>
      <c r="K16" s="284"/>
      <c r="L16" s="284"/>
      <c r="M16" s="285">
        <f>SUM(Certificacion[[#This Row],[AMORTIZACION DE ANTICIPO]:[OTROS (FONDO GARANTÍA)]])</f>
        <v>0</v>
      </c>
      <c r="N16" s="286">
        <f>Certificacion[[#This Row],[IMPORTE]]+Certificacion[[#This Row],[ANTICIPO]]-Certificacion[[#This Row],[TOTAL
DEDUCCIONES]]</f>
        <v>383141.59</v>
      </c>
      <c r="O16" s="287">
        <f>Certificacion[[#This Row],[IMPORTE
SIN I.V.A.]]*0.16</f>
        <v>61302.654400000007</v>
      </c>
      <c r="P16" s="303"/>
      <c r="Q16" s="288">
        <f>Certificacion[[#This Row],[IMPORTE
SIN I.V.A.]]+Certificacion[[#This Row],[I.V.A.]]-Certificacion[[#This Row],[I.V.A.R.]]</f>
        <v>444444.24440000003</v>
      </c>
      <c r="R16" s="307"/>
      <c r="S16" s="289" t="str">
        <f>IF(Certificacion[[#This Row],[FACTURA No.]]="","",IF(Certificacion[[#This Row],[FECHA DE PAGO]]="","Pendiente",IF(Certificacion[[#This Row],[FECHA DE PAGO]]&gt;0,"Pagado")))</f>
        <v>Pendiente</v>
      </c>
    </row>
    <row r="17" spans="2:19" x14ac:dyDescent="0.3">
      <c r="B17" s="293" t="s">
        <v>3717</v>
      </c>
      <c r="C17" s="310">
        <v>45936</v>
      </c>
      <c r="D17" s="310" t="s">
        <v>387</v>
      </c>
      <c r="E17" s="290" t="s">
        <v>360</v>
      </c>
      <c r="F17" s="427" t="s">
        <v>4322</v>
      </c>
      <c r="G17" s="284">
        <v>203549.86</v>
      </c>
      <c r="H17" s="284"/>
      <c r="I17" s="284"/>
      <c r="J17" s="284"/>
      <c r="K17" s="284"/>
      <c r="L17" s="284"/>
      <c r="M17" s="285">
        <f>SUM(Certificacion[[#This Row],[AMORTIZACION DE ANTICIPO]:[OTROS (FONDO GARANTÍA)]])</f>
        <v>0</v>
      </c>
      <c r="N17" s="286">
        <f>Certificacion[[#This Row],[IMPORTE]]+Certificacion[[#This Row],[ANTICIPO]]-Certificacion[[#This Row],[TOTAL
DEDUCCIONES]]</f>
        <v>203549.86</v>
      </c>
      <c r="O17" s="287">
        <f>Certificacion[[#This Row],[IMPORTE
SIN I.V.A.]]*0.15999995</f>
        <v>32567.967422506998</v>
      </c>
      <c r="P17" s="303"/>
      <c r="Q17" s="288">
        <f>Certificacion[[#This Row],[IMPORTE
SIN I.V.A.]]+Certificacion[[#This Row],[I.V.A.]]-Certificacion[[#This Row],[I.V.A.R.]]</f>
        <v>236117.82742250699</v>
      </c>
      <c r="R17" s="307"/>
      <c r="S17" s="289" t="str">
        <f>IF(Certificacion[[#This Row],[FACTURA No.]]="","",IF(Certificacion[[#This Row],[FECHA DE PAGO]]="","Pendiente",IF(Certificacion[[#This Row],[FECHA DE PAGO]]&gt;0,"Pagado")))</f>
        <v>Pendiente</v>
      </c>
    </row>
    <row r="18" spans="2:19" ht="14.55" customHeight="1" x14ac:dyDescent="0.3">
      <c r="B18" s="293" t="s">
        <v>3719</v>
      </c>
      <c r="C18" s="310">
        <v>45936</v>
      </c>
      <c r="D18" s="310" t="s">
        <v>387</v>
      </c>
      <c r="E18" s="290" t="s">
        <v>360</v>
      </c>
      <c r="F18" s="427" t="s">
        <v>4323</v>
      </c>
      <c r="G18" s="284">
        <v>205842.79</v>
      </c>
      <c r="H18" s="284"/>
      <c r="I18" s="284"/>
      <c r="J18" s="284"/>
      <c r="K18" s="284"/>
      <c r="L18" s="284"/>
      <c r="M18" s="285">
        <f>SUM(Certificacion[[#This Row],[AMORTIZACION DE ANTICIPO]:[OTROS (FONDO GARANTÍA)]])</f>
        <v>0</v>
      </c>
      <c r="N18" s="286">
        <f>Certificacion[[#This Row],[IMPORTE]]+Certificacion[[#This Row],[ANTICIPO]]-Certificacion[[#This Row],[TOTAL
DEDUCCIONES]]</f>
        <v>205842.79</v>
      </c>
      <c r="O18" s="287">
        <f>Certificacion[[#This Row],[IMPORTE
SIN I.V.A.]]*0.15999991</f>
        <v>32934.827874148898</v>
      </c>
      <c r="P18" s="303"/>
      <c r="Q18" s="288">
        <f>Certificacion[[#This Row],[IMPORTE
SIN I.V.A.]]+Certificacion[[#This Row],[I.V.A.]]-Certificacion[[#This Row],[I.V.A.R.]]</f>
        <v>238777.61787414891</v>
      </c>
      <c r="R18" s="307"/>
      <c r="S18" s="289" t="str">
        <f>IF(Certificacion[[#This Row],[FACTURA No.]]="","",IF(Certificacion[[#This Row],[FECHA DE PAGO]]="","Pendiente",IF(Certificacion[[#This Row],[FECHA DE PAGO]]&gt;0,"Pagado")))</f>
        <v>Pendiente</v>
      </c>
    </row>
    <row r="19" spans="2:19" ht="14.55" customHeight="1" x14ac:dyDescent="0.3">
      <c r="B19" s="293" t="s">
        <v>3717</v>
      </c>
      <c r="C19" s="310">
        <v>45936</v>
      </c>
      <c r="D19" s="310" t="s">
        <v>387</v>
      </c>
      <c r="E19" s="290" t="s">
        <v>360</v>
      </c>
      <c r="F19" s="427" t="s">
        <v>4337</v>
      </c>
      <c r="G19" s="284">
        <v>-203549.86</v>
      </c>
      <c r="H19" s="284"/>
      <c r="I19" s="284"/>
      <c r="J19" s="284"/>
      <c r="K19" s="284"/>
      <c r="L19" s="284"/>
      <c r="M19" s="285">
        <f>SUM(Certificacion[[#This Row],[AMORTIZACION DE ANTICIPO]:[OTROS (FONDO GARANTÍA)]])</f>
        <v>0</v>
      </c>
      <c r="N19" s="286">
        <f>Certificacion[[#This Row],[IMPORTE]]+Certificacion[[#This Row],[ANTICIPO]]-Certificacion[[#This Row],[TOTAL
DEDUCCIONES]]</f>
        <v>-203549.86</v>
      </c>
      <c r="O19" s="287">
        <f>Certificacion[[#This Row],[IMPORTE
SIN I.V.A.]]*0.15999995</f>
        <v>-32567.967422506998</v>
      </c>
      <c r="P19" s="303"/>
      <c r="Q19" s="288">
        <f>Certificacion[[#This Row],[IMPORTE
SIN I.V.A.]]+Certificacion[[#This Row],[I.V.A.]]-Certificacion[[#This Row],[I.V.A.R.]]</f>
        <v>-236117.82742250699</v>
      </c>
      <c r="R19" s="307"/>
      <c r="S19" s="289" t="str">
        <f>IF(Certificacion[[#This Row],[FACTURA No.]]="","",IF(Certificacion[[#This Row],[FECHA DE PAGO]]="","Pendiente",IF(Certificacion[[#This Row],[FECHA DE PAGO]]&gt;0,"Pagado")))</f>
        <v>Pendiente</v>
      </c>
    </row>
    <row r="20" spans="2:19" x14ac:dyDescent="0.3">
      <c r="B20" s="293" t="s">
        <v>3719</v>
      </c>
      <c r="C20" s="310">
        <v>45936</v>
      </c>
      <c r="D20" s="310" t="s">
        <v>387</v>
      </c>
      <c r="E20" s="290" t="s">
        <v>360</v>
      </c>
      <c r="F20" s="427" t="s">
        <v>4337</v>
      </c>
      <c r="G20" s="284">
        <v>-205842.79</v>
      </c>
      <c r="H20" s="284"/>
      <c r="I20" s="284"/>
      <c r="J20" s="284"/>
      <c r="K20" s="284"/>
      <c r="L20" s="284"/>
      <c r="M20" s="285">
        <f>SUM(Certificacion[[#This Row],[AMORTIZACION DE ANTICIPO]:[OTROS (FONDO GARANTÍA)]])</f>
        <v>0</v>
      </c>
      <c r="N20" s="286">
        <f>Certificacion[[#This Row],[IMPORTE]]+Certificacion[[#This Row],[ANTICIPO]]-Certificacion[[#This Row],[TOTAL
DEDUCCIONES]]</f>
        <v>-205842.79</v>
      </c>
      <c r="O20" s="287">
        <f>Certificacion[[#This Row],[IMPORTE
SIN I.V.A.]]*0.15999991</f>
        <v>-32934.827874148898</v>
      </c>
      <c r="P20" s="303"/>
      <c r="Q20" s="288">
        <f>Certificacion[[#This Row],[IMPORTE
SIN I.V.A.]]+Certificacion[[#This Row],[I.V.A.]]-Certificacion[[#This Row],[I.V.A.R.]]</f>
        <v>-238777.61787414891</v>
      </c>
      <c r="R20" s="307"/>
      <c r="S20" s="289" t="str">
        <f>IF(Certificacion[[#This Row],[FACTURA No.]]="","",IF(Certificacion[[#This Row],[FECHA DE PAGO]]="","Pendiente",IF(Certificacion[[#This Row],[FECHA DE PAGO]]&gt;0,"Pagado")))</f>
        <v>Pendiente</v>
      </c>
    </row>
    <row r="21" spans="2:19" ht="14.55" customHeight="1" x14ac:dyDescent="0.3">
      <c r="B21" s="293" t="s">
        <v>3720</v>
      </c>
      <c r="C21" s="310">
        <v>45936</v>
      </c>
      <c r="D21" s="310" t="s">
        <v>389</v>
      </c>
      <c r="E21" s="290" t="s">
        <v>360</v>
      </c>
      <c r="F21" s="427" t="s">
        <v>4324</v>
      </c>
      <c r="G21" s="284">
        <v>276339.21999999997</v>
      </c>
      <c r="H21" s="284"/>
      <c r="I21" s="284"/>
      <c r="J21" s="284"/>
      <c r="K21" s="284"/>
      <c r="L21" s="284"/>
      <c r="M21" s="285">
        <f>SUM(Certificacion[[#This Row],[AMORTIZACION DE ANTICIPO]:[OTROS (FONDO GARANTÍA)]])</f>
        <v>0</v>
      </c>
      <c r="N21" s="286">
        <f>Certificacion[[#This Row],[IMPORTE]]+Certificacion[[#This Row],[ANTICIPO]]-Certificacion[[#This Row],[TOTAL
DEDUCCIONES]]</f>
        <v>276339.21999999997</v>
      </c>
      <c r="O21" s="287">
        <f>Certificacion[[#This Row],[IMPORTE
SIN I.V.A.]]*0.15999995</f>
        <v>44214.261383038996</v>
      </c>
      <c r="P21" s="303"/>
      <c r="Q21" s="288">
        <f>Certificacion[[#This Row],[IMPORTE
SIN I.V.A.]]+Certificacion[[#This Row],[I.V.A.]]-Certificacion[[#This Row],[I.V.A.R.]]</f>
        <v>320553.48138303898</v>
      </c>
      <c r="R21" s="307"/>
      <c r="S21" s="289" t="str">
        <f>IF(Certificacion[[#This Row],[FACTURA No.]]="","",IF(Certificacion[[#This Row],[FECHA DE PAGO]]="","Pendiente",IF(Certificacion[[#This Row],[FECHA DE PAGO]]&gt;0,"Pagado")))</f>
        <v>Pendiente</v>
      </c>
    </row>
    <row r="22" spans="2:19" ht="14.55" customHeight="1" x14ac:dyDescent="0.3">
      <c r="B22" s="293" t="s">
        <v>3721</v>
      </c>
      <c r="C22" s="310">
        <v>45939</v>
      </c>
      <c r="D22" s="310" t="s">
        <v>387</v>
      </c>
      <c r="E22" s="290" t="s">
        <v>354</v>
      </c>
      <c r="F22" s="427" t="s">
        <v>3718</v>
      </c>
      <c r="G22" s="284"/>
      <c r="H22" s="284">
        <v>791460</v>
      </c>
      <c r="I22" s="284"/>
      <c r="J22" s="284"/>
      <c r="K22" s="284"/>
      <c r="L22" s="284"/>
      <c r="M22" s="285">
        <f>SUM(Certificacion[[#This Row],[AMORTIZACION DE ANTICIPO]:[OTROS (FONDO GARANTÍA)]])</f>
        <v>0</v>
      </c>
      <c r="N22" s="286">
        <f>Certificacion[[#This Row],[IMPORTE]]+Certificacion[[#This Row],[ANTICIPO]]-Certificacion[[#This Row],[TOTAL
DEDUCCIONES]]</f>
        <v>791460</v>
      </c>
      <c r="O22" s="287">
        <f>Certificacion[[#This Row],[IMPORTE
SIN I.V.A.]]*0.16</f>
        <v>126633.60000000001</v>
      </c>
      <c r="P22" s="303"/>
      <c r="Q22" s="288">
        <f>Certificacion[[#This Row],[IMPORTE
SIN I.V.A.]]+Certificacion[[#This Row],[I.V.A.]]-Certificacion[[#This Row],[I.V.A.R.]]</f>
        <v>918093.6</v>
      </c>
      <c r="R22" s="307"/>
      <c r="S22" s="289" t="str">
        <f>IF(Certificacion[[#This Row],[FACTURA No.]]="","",IF(Certificacion[[#This Row],[FECHA DE PAGO]]="","Pendiente",IF(Certificacion[[#This Row],[FECHA DE PAGO]]&gt;0,"Pagado")))</f>
        <v>Pendiente</v>
      </c>
    </row>
    <row r="23" spans="2:19" x14ac:dyDescent="0.3">
      <c r="B23" s="295" t="s">
        <v>4329</v>
      </c>
      <c r="C23" s="311">
        <v>45975</v>
      </c>
      <c r="D23" s="310" t="s">
        <v>396</v>
      </c>
      <c r="E23" s="290" t="s">
        <v>354</v>
      </c>
      <c r="F23" s="427" t="s">
        <v>4330</v>
      </c>
      <c r="G23" s="284"/>
      <c r="H23" s="284">
        <v>137776.37</v>
      </c>
      <c r="I23" s="284"/>
      <c r="J23" s="284"/>
      <c r="K23" s="284"/>
      <c r="L23" s="284"/>
      <c r="M23" s="285">
        <f>SUM(Certificacion[[#This Row],[AMORTIZACION DE ANTICIPO]:[OTROS (FONDO GARANTÍA)]])</f>
        <v>0</v>
      </c>
      <c r="N23" s="286">
        <f>Certificacion[[#This Row],[IMPORTE]]+Certificacion[[#This Row],[ANTICIPO]]-Certificacion[[#This Row],[TOTAL
DEDUCCIONES]]</f>
        <v>137776.37</v>
      </c>
      <c r="O23" s="287">
        <f>Certificacion[[#This Row],[IMPORTE
SIN I.V.A.]]*0.16</f>
        <v>22044.2192</v>
      </c>
      <c r="P23" s="303"/>
      <c r="Q23" s="288">
        <f>Certificacion[[#This Row],[IMPORTE
SIN I.V.A.]]+Certificacion[[#This Row],[I.V.A.]]-Certificacion[[#This Row],[I.V.A.R.]]</f>
        <v>159820.58919999999</v>
      </c>
      <c r="R23" s="307"/>
      <c r="S23" s="289" t="str">
        <f>IF(Certificacion[[#This Row],[FACTURA No.]]="","",IF(Certificacion[[#This Row],[FECHA DE PAGO]]="","Pendiente",IF(Certificacion[[#This Row],[FECHA DE PAGO]]&gt;0,"Pagado")))</f>
        <v>Pendiente</v>
      </c>
    </row>
    <row r="24" spans="2:19" x14ac:dyDescent="0.3">
      <c r="B24" s="873" t="s">
        <v>4329</v>
      </c>
      <c r="C24" s="874">
        <v>45975</v>
      </c>
      <c r="D24" s="875" t="s">
        <v>396</v>
      </c>
      <c r="E24" s="876" t="s">
        <v>354</v>
      </c>
      <c r="F24" s="877" t="s">
        <v>4337</v>
      </c>
      <c r="G24" s="878"/>
      <c r="H24" s="878">
        <v>-137776.37</v>
      </c>
      <c r="I24" s="878"/>
      <c r="J24" s="878"/>
      <c r="K24" s="878"/>
      <c r="L24" s="878"/>
      <c r="M24" s="879">
        <f>SUM(Certificacion[[#This Row],[AMORTIZACION DE ANTICIPO]:[OTROS (FONDO GARANTÍA)]])</f>
        <v>0</v>
      </c>
      <c r="N24" s="880">
        <f>Certificacion[[#This Row],[IMPORTE]]+Certificacion[[#This Row],[ANTICIPO]]-Certificacion[[#This Row],[TOTAL
DEDUCCIONES]]</f>
        <v>-137776.37</v>
      </c>
      <c r="O24" s="881">
        <f>Certificacion[[#This Row],[IMPORTE
SIN I.V.A.]]*0.16</f>
        <v>-22044.2192</v>
      </c>
      <c r="P24" s="882"/>
      <c r="Q24" s="883">
        <f>Certificacion[[#This Row],[IMPORTE
SIN I.V.A.]]+Certificacion[[#This Row],[I.V.A.]]-Certificacion[[#This Row],[I.V.A.R.]]</f>
        <v>-159820.58919999999</v>
      </c>
      <c r="R24" s="884"/>
      <c r="S24" s="885" t="str">
        <f>IF(Certificacion[[#This Row],[FACTURA No.]]="","",IF(Certificacion[[#This Row],[FECHA DE PAGO]]="","Pendiente",IF(Certificacion[[#This Row],[FECHA DE PAGO]]&gt;0,"Pagado")))</f>
        <v>Pendiente</v>
      </c>
    </row>
    <row r="25" spans="2:19" ht="14.55" customHeight="1" x14ac:dyDescent="0.3">
      <c r="B25" s="295" t="s">
        <v>4326</v>
      </c>
      <c r="C25" s="312">
        <v>45975</v>
      </c>
      <c r="D25" s="313" t="s">
        <v>396</v>
      </c>
      <c r="E25" s="290" t="s">
        <v>360</v>
      </c>
      <c r="F25" s="427" t="s">
        <v>4348</v>
      </c>
      <c r="G25" s="284">
        <v>203549.85500000001</v>
      </c>
      <c r="H25" s="284"/>
      <c r="I25" s="284"/>
      <c r="J25" s="284"/>
      <c r="K25" s="284"/>
      <c r="L25" s="284"/>
      <c r="M25" s="285">
        <f>SUM(Certificacion[[#This Row],[AMORTIZACION DE ANTICIPO]:[OTROS (FONDO GARANTÍA)]])</f>
        <v>0</v>
      </c>
      <c r="N25" s="286">
        <f>Certificacion[[#This Row],[IMPORTE]]+Certificacion[[#This Row],[ANTICIPO]]-Certificacion[[#This Row],[TOTAL
DEDUCCIONES]]</f>
        <v>203549.85500000001</v>
      </c>
      <c r="O25" s="287">
        <f>Certificacion[[#This Row],[IMPORTE
SIN I.V.A.]]*0.16</f>
        <v>32567.976800000004</v>
      </c>
      <c r="P25" s="303"/>
      <c r="Q25" s="288">
        <f>Certificacion[[#This Row],[IMPORTE
SIN I.V.A.]]+Certificacion[[#This Row],[I.V.A.]]-Certificacion[[#This Row],[I.V.A.R.]]</f>
        <v>236117.83180000001</v>
      </c>
      <c r="R25" s="307"/>
      <c r="S25" s="289" t="str">
        <f>IF(Certificacion[[#This Row],[FACTURA No.]]="","",IF(Certificacion[[#This Row],[FECHA DE PAGO]]="","Pendiente",IF(Certificacion[[#This Row],[FECHA DE PAGO]]&gt;0,"Pagado")))</f>
        <v>Pendiente</v>
      </c>
    </row>
    <row r="26" spans="2:19" x14ac:dyDescent="0.3">
      <c r="B26" s="295" t="s">
        <v>4346</v>
      </c>
      <c r="C26" s="312">
        <v>45975</v>
      </c>
      <c r="D26" s="313" t="s">
        <v>396</v>
      </c>
      <c r="E26" s="290" t="s">
        <v>360</v>
      </c>
      <c r="F26" s="427" t="s">
        <v>4347</v>
      </c>
      <c r="G26" s="284">
        <v>205842.785</v>
      </c>
      <c r="H26" s="284"/>
      <c r="I26" s="284"/>
      <c r="J26" s="284"/>
      <c r="K26" s="284"/>
      <c r="L26" s="284"/>
      <c r="M26" s="285">
        <f>SUM(Certificacion[[#This Row],[AMORTIZACION DE ANTICIPO]:[OTROS (FONDO GARANTÍA)]])</f>
        <v>0</v>
      </c>
      <c r="N26" s="286">
        <f>Certificacion[[#This Row],[IMPORTE]]+Certificacion[[#This Row],[ANTICIPO]]-Certificacion[[#This Row],[TOTAL
DEDUCCIONES]]</f>
        <v>205842.785</v>
      </c>
      <c r="O26" s="287">
        <f>Certificacion[[#This Row],[IMPORTE
SIN I.V.A.]]*0.16</f>
        <v>32934.845600000001</v>
      </c>
      <c r="P26" s="303"/>
      <c r="Q26" s="288">
        <f>Certificacion[[#This Row],[IMPORTE
SIN I.V.A.]]+Certificacion[[#This Row],[I.V.A.]]-Certificacion[[#This Row],[I.V.A.R.]]</f>
        <v>238777.6306</v>
      </c>
      <c r="R26" s="307"/>
      <c r="S26" s="289" t="str">
        <f>IF(Certificacion[[#This Row],[FACTURA No.]]="","",IF(Certificacion[[#This Row],[FECHA DE PAGO]]="","Pendiente",IF(Certificacion[[#This Row],[FECHA DE PAGO]]&gt;0,"Pagado")))</f>
        <v>Pendiente</v>
      </c>
    </row>
    <row r="27" spans="2:19" ht="14.55" customHeight="1" x14ac:dyDescent="0.3">
      <c r="B27" s="295" t="s">
        <v>4336</v>
      </c>
      <c r="C27" s="310">
        <v>45981</v>
      </c>
      <c r="D27" s="310" t="s">
        <v>398</v>
      </c>
      <c r="E27" s="290" t="s">
        <v>350</v>
      </c>
      <c r="F27" s="427"/>
      <c r="G27" s="284"/>
      <c r="H27" s="284"/>
      <c r="I27" s="284">
        <v>189540</v>
      </c>
      <c r="J27" s="284"/>
      <c r="K27" s="284"/>
      <c r="L27" s="284"/>
      <c r="M27" s="285">
        <f>SUM(Certificacion[[#This Row],[AMORTIZACION DE ANTICIPO]:[OTROS (FONDO GARANTÍA)]])</f>
        <v>189540</v>
      </c>
      <c r="N27" s="286">
        <f>Certificacion[[#This Row],[IMPORTE]]+Certificacion[[#This Row],[ANTICIPO]]-Certificacion[[#This Row],[TOTAL
DEDUCCIONES]]</f>
        <v>-189540</v>
      </c>
      <c r="O27" s="287">
        <f>Certificacion[[#This Row],[IMPORTE
SIN I.V.A.]]*0.16</f>
        <v>-30326.400000000001</v>
      </c>
      <c r="P27" s="303"/>
      <c r="Q27" s="288">
        <f>Certificacion[[#This Row],[IMPORTE
SIN I.V.A.]]+Certificacion[[#This Row],[I.V.A.]]-Certificacion[[#This Row],[I.V.A.R.]]</f>
        <v>-219866.4</v>
      </c>
      <c r="R27" s="307"/>
      <c r="S27" s="289" t="str">
        <f>IF(Certificacion[[#This Row],[FACTURA No.]]="","",IF(Certificacion[[#This Row],[FECHA DE PAGO]]="","Pendiente",IF(Certificacion[[#This Row],[FECHA DE PAGO]]&gt;0,"Pagado")))</f>
        <v>Pendiente</v>
      </c>
    </row>
    <row r="28" spans="2:19" ht="14.55" customHeight="1" x14ac:dyDescent="0.3">
      <c r="B28" s="873" t="s">
        <v>4336</v>
      </c>
      <c r="C28" s="874">
        <v>45981</v>
      </c>
      <c r="D28" s="875" t="s">
        <v>398</v>
      </c>
      <c r="E28" s="876" t="s">
        <v>350</v>
      </c>
      <c r="F28" s="877" t="s">
        <v>4337</v>
      </c>
      <c r="G28" s="878"/>
      <c r="H28" s="878"/>
      <c r="I28" s="878">
        <v>-189540</v>
      </c>
      <c r="J28" s="878"/>
      <c r="K28" s="878"/>
      <c r="L28" s="878"/>
      <c r="M28" s="879">
        <f>SUM(Certificacion[[#This Row],[AMORTIZACION DE ANTICIPO]:[OTROS (FONDO GARANTÍA)]])</f>
        <v>-189540</v>
      </c>
      <c r="N28" s="880">
        <f>Certificacion[[#This Row],[IMPORTE]]+Certificacion[[#This Row],[ANTICIPO]]-Certificacion[[#This Row],[TOTAL
DEDUCCIONES]]</f>
        <v>189540</v>
      </c>
      <c r="O28" s="881">
        <f>Certificacion[[#This Row],[IMPORTE
SIN I.V.A.]]*0.16</f>
        <v>30326.400000000001</v>
      </c>
      <c r="P28" s="882"/>
      <c r="Q28" s="883">
        <f>Certificacion[[#This Row],[IMPORTE
SIN I.V.A.]]+Certificacion[[#This Row],[I.V.A.]]-Certificacion[[#This Row],[I.V.A.R.]]</f>
        <v>219866.4</v>
      </c>
      <c r="R28" s="884"/>
      <c r="S28" s="885" t="str">
        <f>IF(Certificacion[[#This Row],[FACTURA No.]]="","",IF(Certificacion[[#This Row],[FECHA DE PAGO]]="","Pendiente",IF(Certificacion[[#This Row],[FECHA DE PAGO]]&gt;0,"Pagado")))</f>
        <v>Pendiente</v>
      </c>
    </row>
    <row r="29" spans="2:19" ht="14.55" customHeight="1" x14ac:dyDescent="0.3">
      <c r="B29" s="295" t="s">
        <v>4335</v>
      </c>
      <c r="C29" s="311">
        <v>45981</v>
      </c>
      <c r="D29" s="310" t="s">
        <v>398</v>
      </c>
      <c r="E29" s="290" t="s">
        <v>360</v>
      </c>
      <c r="F29" s="427" t="s">
        <v>4330</v>
      </c>
      <c r="G29" s="284">
        <v>631800</v>
      </c>
      <c r="H29" s="284"/>
      <c r="I29" s="284"/>
      <c r="J29" s="284"/>
      <c r="K29" s="284"/>
      <c r="L29" s="284"/>
      <c r="M29" s="285">
        <f>SUM(Certificacion[[#This Row],[AMORTIZACION DE ANTICIPO]:[OTROS (FONDO GARANTÍA)]])</f>
        <v>0</v>
      </c>
      <c r="N29" s="286">
        <f>Certificacion[[#This Row],[IMPORTE]]+Certificacion[[#This Row],[ANTICIPO]]-Certificacion[[#This Row],[TOTAL
DEDUCCIONES]]</f>
        <v>631800</v>
      </c>
      <c r="O29" s="287">
        <f>Certificacion[[#This Row],[IMPORTE
SIN I.V.A.]]*0.16</f>
        <v>101088</v>
      </c>
      <c r="P29" s="303"/>
      <c r="Q29" s="288">
        <f>Certificacion[[#This Row],[IMPORTE
SIN I.V.A.]]+Certificacion[[#This Row],[I.V.A.]]-Certificacion[[#This Row],[I.V.A.R.]]</f>
        <v>732888</v>
      </c>
      <c r="R29" s="307"/>
      <c r="S29" s="289" t="str">
        <f>IF(Certificacion[[#This Row],[FACTURA No.]]="","",IF(Certificacion[[#This Row],[FECHA DE PAGO]]="","Pendiente",IF(Certificacion[[#This Row],[FECHA DE PAGO]]&gt;0,"Pagado")))</f>
        <v>Pendiente</v>
      </c>
    </row>
    <row r="30" spans="2:19" ht="14.55" customHeight="1" x14ac:dyDescent="0.3">
      <c r="B30" s="873" t="s">
        <v>4335</v>
      </c>
      <c r="C30" s="886">
        <v>45981</v>
      </c>
      <c r="D30" s="875" t="s">
        <v>398</v>
      </c>
      <c r="E30" s="876" t="s">
        <v>360</v>
      </c>
      <c r="F30" s="877" t="s">
        <v>4337</v>
      </c>
      <c r="G30" s="878">
        <v>-631800</v>
      </c>
      <c r="H30" s="878"/>
      <c r="I30" s="878"/>
      <c r="J30" s="878"/>
      <c r="K30" s="878"/>
      <c r="L30" s="878"/>
      <c r="M30" s="879">
        <f>SUM(Certificacion[[#This Row],[AMORTIZACION DE ANTICIPO]:[OTROS (FONDO GARANTÍA)]])</f>
        <v>0</v>
      </c>
      <c r="N30" s="880">
        <f>Certificacion[[#This Row],[IMPORTE]]+Certificacion[[#This Row],[ANTICIPO]]-Certificacion[[#This Row],[TOTAL
DEDUCCIONES]]</f>
        <v>-631800</v>
      </c>
      <c r="O30" s="881">
        <f>Certificacion[[#This Row],[IMPORTE
SIN I.V.A.]]*0.16</f>
        <v>-101088</v>
      </c>
      <c r="P30" s="882"/>
      <c r="Q30" s="883">
        <f>Certificacion[[#This Row],[IMPORTE
SIN I.V.A.]]+Certificacion[[#This Row],[I.V.A.]]-Certificacion[[#This Row],[I.V.A.R.]]</f>
        <v>-732888</v>
      </c>
      <c r="R30" s="884"/>
      <c r="S30" s="885" t="str">
        <f>IF(Certificacion[[#This Row],[FACTURA No.]]="","",IF(Certificacion[[#This Row],[FECHA DE PAGO]]="","Pendiente",IF(Certificacion[[#This Row],[FECHA DE PAGO]]&gt;0,"Pagado")))</f>
        <v>Pendiente</v>
      </c>
    </row>
    <row r="31" spans="2:19" ht="14.55" customHeight="1" x14ac:dyDescent="0.3">
      <c r="B31" s="295" t="s">
        <v>4333</v>
      </c>
      <c r="C31" s="312">
        <v>45985</v>
      </c>
      <c r="D31" s="313" t="s">
        <v>398</v>
      </c>
      <c r="E31" s="290" t="s">
        <v>360</v>
      </c>
      <c r="F31" s="427" t="s">
        <v>4330</v>
      </c>
      <c r="G31" s="284">
        <v>631800</v>
      </c>
      <c r="H31" s="284"/>
      <c r="I31" s="284"/>
      <c r="J31" s="284"/>
      <c r="K31" s="284"/>
      <c r="L31" s="284"/>
      <c r="M31" s="285">
        <f>SUM(Certificacion[[#This Row],[AMORTIZACION DE ANTICIPO]:[OTROS (FONDO GARANTÍA)]])</f>
        <v>0</v>
      </c>
      <c r="N31" s="286">
        <f>Certificacion[[#This Row],[IMPORTE]]+Certificacion[[#This Row],[ANTICIPO]]-Certificacion[[#This Row],[TOTAL
DEDUCCIONES]]</f>
        <v>631800</v>
      </c>
      <c r="O31" s="287">
        <f>Certificacion[[#This Row],[IMPORTE
SIN I.V.A.]]*0.16</f>
        <v>101088</v>
      </c>
      <c r="P31" s="303"/>
      <c r="Q31" s="288">
        <f>Certificacion[[#This Row],[IMPORTE
SIN I.V.A.]]+Certificacion[[#This Row],[I.V.A.]]-Certificacion[[#This Row],[I.V.A.R.]]</f>
        <v>732888</v>
      </c>
      <c r="R31" s="307"/>
      <c r="S31" s="289" t="str">
        <f>IF(Certificacion[[#This Row],[FACTURA No.]]="","",IF(Certificacion[[#This Row],[FECHA DE PAGO]]="","Pendiente",IF(Certificacion[[#This Row],[FECHA DE PAGO]]&gt;0,"Pagado")))</f>
        <v>Pendiente</v>
      </c>
    </row>
    <row r="32" spans="2:19" ht="14.55" customHeight="1" x14ac:dyDescent="0.3">
      <c r="B32" s="295" t="s">
        <v>4334</v>
      </c>
      <c r="C32" s="312">
        <v>45985</v>
      </c>
      <c r="D32" s="313" t="s">
        <v>398</v>
      </c>
      <c r="E32" s="290" t="s">
        <v>360</v>
      </c>
      <c r="F32" s="427" t="s">
        <v>4330</v>
      </c>
      <c r="G32" s="284">
        <v>189540</v>
      </c>
      <c r="H32" s="284"/>
      <c r="I32" s="284"/>
      <c r="J32" s="284"/>
      <c r="K32" s="284"/>
      <c r="L32" s="284"/>
      <c r="M32" s="285">
        <f>SUM(Certificacion[[#This Row],[AMORTIZACION DE ANTICIPO]:[OTROS (FONDO GARANTÍA)]])</f>
        <v>0</v>
      </c>
      <c r="N32" s="286">
        <f>Certificacion[[#This Row],[IMPORTE]]+Certificacion[[#This Row],[ANTICIPO]]-Certificacion[[#This Row],[TOTAL
DEDUCCIONES]]</f>
        <v>189540</v>
      </c>
      <c r="O32" s="287">
        <f>Certificacion[[#This Row],[IMPORTE
SIN I.V.A.]]*0.16</f>
        <v>30326.400000000001</v>
      </c>
      <c r="P32" s="303"/>
      <c r="Q32" s="288">
        <f>Certificacion[[#This Row],[IMPORTE
SIN I.V.A.]]+Certificacion[[#This Row],[I.V.A.]]-Certificacion[[#This Row],[I.V.A.R.]]</f>
        <v>219866.4</v>
      </c>
      <c r="R32" s="307"/>
      <c r="S32" s="289" t="str">
        <f>IF(Certificacion[[#This Row],[FACTURA No.]]="","",IF(Certificacion[[#This Row],[FECHA DE PAGO]]="","Pendiente",IF(Certificacion[[#This Row],[FECHA DE PAGO]]&gt;0,"Pagado")))</f>
        <v>Pendiente</v>
      </c>
    </row>
    <row r="33" spans="2:19" ht="14.55" customHeight="1" x14ac:dyDescent="0.3">
      <c r="B33" s="295" t="s">
        <v>4331</v>
      </c>
      <c r="C33" s="312">
        <v>45992</v>
      </c>
      <c r="D33" s="313" t="s">
        <v>400</v>
      </c>
      <c r="E33" s="290" t="s">
        <v>360</v>
      </c>
      <c r="F33" s="427" t="s">
        <v>4332</v>
      </c>
      <c r="G33" s="284">
        <v>30500</v>
      </c>
      <c r="H33" s="284"/>
      <c r="I33" s="284"/>
      <c r="J33" s="284"/>
      <c r="K33" s="284"/>
      <c r="L33" s="284"/>
      <c r="M33" s="285">
        <f>SUM(Certificacion[[#This Row],[AMORTIZACION DE ANTICIPO]:[OTROS (FONDO GARANTÍA)]])</f>
        <v>0</v>
      </c>
      <c r="N33" s="286">
        <f>Certificacion[[#This Row],[IMPORTE]]+Certificacion[[#This Row],[ANTICIPO]]-Certificacion[[#This Row],[TOTAL
DEDUCCIONES]]</f>
        <v>30500</v>
      </c>
      <c r="O33" s="287">
        <f>Certificacion[[#This Row],[IMPORTE
SIN I.V.A.]]*0.16</f>
        <v>4880</v>
      </c>
      <c r="P33" s="303"/>
      <c r="Q33" s="288">
        <f>Certificacion[[#This Row],[IMPORTE
SIN I.V.A.]]+Certificacion[[#This Row],[I.V.A.]]-Certificacion[[#This Row],[I.V.A.R.]]</f>
        <v>35380</v>
      </c>
      <c r="R33" s="307"/>
      <c r="S33" s="289" t="str">
        <f>IF(Certificacion[[#This Row],[FACTURA No.]]="","",IF(Certificacion[[#This Row],[FECHA DE PAGO]]="","Pendiente",IF(Certificacion[[#This Row],[FECHA DE PAGO]]&gt;0,"Pagado")))</f>
        <v>Pendiente</v>
      </c>
    </row>
    <row r="34" spans="2:19" x14ac:dyDescent="0.3">
      <c r="B34" s="294" t="s">
        <v>4328</v>
      </c>
      <c r="C34" s="310">
        <v>45995</v>
      </c>
      <c r="D34" s="310" t="s">
        <v>400</v>
      </c>
      <c r="E34" s="290" t="s">
        <v>354</v>
      </c>
      <c r="F34" s="427" t="s">
        <v>4327</v>
      </c>
      <c r="G34" s="284"/>
      <c r="H34" s="284">
        <v>137776.37</v>
      </c>
      <c r="I34" s="284"/>
      <c r="J34" s="284"/>
      <c r="K34" s="284"/>
      <c r="L34" s="284"/>
      <c r="M34" s="285">
        <f>SUM(Certificacion[[#This Row],[AMORTIZACION DE ANTICIPO]:[OTROS (FONDO GARANTÍA)]])</f>
        <v>0</v>
      </c>
      <c r="N34" s="286">
        <f>Certificacion[[#This Row],[IMPORTE]]+Certificacion[[#This Row],[ANTICIPO]]-Certificacion[[#This Row],[TOTAL
DEDUCCIONES]]</f>
        <v>137776.37</v>
      </c>
      <c r="O34" s="287">
        <f>Certificacion[[#This Row],[IMPORTE
SIN I.V.A.]]*0.16</f>
        <v>22044.2192</v>
      </c>
      <c r="P34" s="303"/>
      <c r="Q34" s="288">
        <f>Certificacion[[#This Row],[IMPORTE
SIN I.V.A.]]+Certificacion[[#This Row],[I.V.A.]]-Certificacion[[#This Row],[I.V.A.R.]]</f>
        <v>159820.58919999999</v>
      </c>
      <c r="R34" s="307"/>
      <c r="S34" s="289" t="str">
        <f>IF(Certificacion[[#This Row],[FACTURA No.]]="","",IF(Certificacion[[#This Row],[FECHA DE PAGO]]="","Pendiente",IF(Certificacion[[#This Row],[FECHA DE PAGO]]&gt;0,"Pagado")))</f>
        <v>Pendiente</v>
      </c>
    </row>
    <row r="35" spans="2:19" ht="14.55" customHeight="1" x14ac:dyDescent="0.3">
      <c r="B35" s="295" t="s">
        <v>4343</v>
      </c>
      <c r="C35" s="313">
        <v>45999</v>
      </c>
      <c r="D35" s="313" t="s">
        <v>400</v>
      </c>
      <c r="E35" s="292" t="s">
        <v>360</v>
      </c>
      <c r="F35" s="427" t="s">
        <v>4341</v>
      </c>
      <c r="G35" s="284">
        <v>1474200</v>
      </c>
      <c r="H35" s="284"/>
      <c r="I35" s="284"/>
      <c r="J35" s="284"/>
      <c r="K35" s="284"/>
      <c r="L35" s="284"/>
      <c r="M35" s="285">
        <f>SUM(Certificacion[[#This Row],[AMORTIZACION DE ANTICIPO]:[OTROS (FONDO GARANTÍA)]])</f>
        <v>0</v>
      </c>
      <c r="N35" s="286">
        <f>Certificacion[[#This Row],[IMPORTE]]+Certificacion[[#This Row],[ANTICIPO]]-Certificacion[[#This Row],[TOTAL
DEDUCCIONES]]</f>
        <v>1474200</v>
      </c>
      <c r="O35" s="287">
        <f>Certificacion[[#This Row],[IMPORTE
SIN I.V.A.]]*0.16</f>
        <v>235872</v>
      </c>
      <c r="P35" s="303"/>
      <c r="Q35" s="288">
        <f>Certificacion[[#This Row],[IMPORTE
SIN I.V.A.]]+Certificacion[[#This Row],[I.V.A.]]-Certificacion[[#This Row],[I.V.A.R.]]</f>
        <v>1710072</v>
      </c>
      <c r="R35" s="307"/>
      <c r="S35" s="289" t="str">
        <f>IF(Certificacion[[#This Row],[FACTURA No.]]="","",IF(Certificacion[[#This Row],[FECHA DE PAGO]]="","Pendiente",IF(Certificacion[[#This Row],[FECHA DE PAGO]]&gt;0,"Pagado")))</f>
        <v>Pendiente</v>
      </c>
    </row>
    <row r="36" spans="2:19" ht="14.55" customHeight="1" x14ac:dyDescent="0.3">
      <c r="B36" s="295" t="s">
        <v>4344</v>
      </c>
      <c r="C36" s="312">
        <v>45999</v>
      </c>
      <c r="D36" s="313" t="s">
        <v>400</v>
      </c>
      <c r="E36" s="290" t="s">
        <v>350</v>
      </c>
      <c r="F36" s="427" t="s">
        <v>4341</v>
      </c>
      <c r="G36" s="284"/>
      <c r="H36" s="284"/>
      <c r="I36" s="284">
        <v>442260</v>
      </c>
      <c r="J36" s="284"/>
      <c r="K36" s="284"/>
      <c r="L36" s="284"/>
      <c r="M36" s="285">
        <f>SUM(Certificacion[[#This Row],[AMORTIZACION DE ANTICIPO]:[OTROS (FONDO GARANTÍA)]])</f>
        <v>442260</v>
      </c>
      <c r="N36" s="286">
        <f>Certificacion[[#This Row],[IMPORTE]]+Certificacion[[#This Row],[ANTICIPO]]-Certificacion[[#This Row],[TOTAL
DEDUCCIONES]]</f>
        <v>-442260</v>
      </c>
      <c r="O36" s="287">
        <f>Certificacion[[#This Row],[IMPORTE
SIN I.V.A.]]*0.16</f>
        <v>-70761.600000000006</v>
      </c>
      <c r="P36" s="303"/>
      <c r="Q36" s="288">
        <f>Certificacion[[#This Row],[IMPORTE
SIN I.V.A.]]+Certificacion[[#This Row],[I.V.A.]]-Certificacion[[#This Row],[I.V.A.R.]]</f>
        <v>-513021.6</v>
      </c>
      <c r="R36" s="307"/>
      <c r="S36" s="289" t="str">
        <f>IF(Certificacion[[#This Row],[FACTURA No.]]="","",IF(Certificacion[[#This Row],[FECHA DE PAGO]]="","Pendiente",IF(Certificacion[[#This Row],[FECHA DE PAGO]]&gt;0,"Pagado")))</f>
        <v>Pendiente</v>
      </c>
    </row>
    <row r="37" spans="2:19" x14ac:dyDescent="0.3">
      <c r="B37" s="294" t="s">
        <v>4342</v>
      </c>
      <c r="C37" s="313">
        <v>46364</v>
      </c>
      <c r="D37" s="313" t="s">
        <v>400</v>
      </c>
      <c r="E37" s="290" t="s">
        <v>360</v>
      </c>
      <c r="F37" s="427" t="s">
        <v>4341</v>
      </c>
      <c r="G37" s="284">
        <v>247600</v>
      </c>
      <c r="H37" s="284"/>
      <c r="I37" s="284"/>
      <c r="J37" s="284"/>
      <c r="K37" s="284"/>
      <c r="L37" s="284"/>
      <c r="M37" s="285">
        <f>SUM(Certificacion[[#This Row],[AMORTIZACION DE ANTICIPO]:[OTROS (FONDO GARANTÍA)]])</f>
        <v>0</v>
      </c>
      <c r="N37" s="286">
        <f>Certificacion[[#This Row],[IMPORTE]]+Certificacion[[#This Row],[ANTICIPO]]-Certificacion[[#This Row],[TOTAL
DEDUCCIONES]]</f>
        <v>247600</v>
      </c>
      <c r="O37" s="287">
        <f>Certificacion[[#This Row],[IMPORTE
SIN I.V.A.]]*0.16</f>
        <v>39616</v>
      </c>
      <c r="P37" s="303"/>
      <c r="Q37" s="288">
        <f>Certificacion[[#This Row],[IMPORTE
SIN I.V.A.]]+Certificacion[[#This Row],[I.V.A.]]-Certificacion[[#This Row],[I.V.A.R.]]</f>
        <v>287216</v>
      </c>
      <c r="R37" s="307"/>
      <c r="S37" s="289" t="str">
        <f>IF(Certificacion[[#This Row],[FACTURA No.]]="","",IF(Certificacion[[#This Row],[FECHA DE PAGO]]="","Pendiente",IF(Certificacion[[#This Row],[FECHA DE PAGO]]&gt;0,"Pagado")))</f>
        <v>Pendiente</v>
      </c>
    </row>
    <row r="38" spans="2:19" ht="14.55" customHeight="1" x14ac:dyDescent="0.3">
      <c r="B38" s="294" t="s">
        <v>4345</v>
      </c>
      <c r="C38" s="313">
        <v>46364</v>
      </c>
      <c r="D38" s="313" t="s">
        <v>400</v>
      </c>
      <c r="E38" s="290" t="s">
        <v>350</v>
      </c>
      <c r="F38" s="427" t="s">
        <v>4341</v>
      </c>
      <c r="G38" s="284"/>
      <c r="H38" s="284"/>
      <c r="I38" s="284">
        <v>74280</v>
      </c>
      <c r="J38" s="284"/>
      <c r="K38" s="284"/>
      <c r="L38" s="284"/>
      <c r="M38" s="285">
        <f>SUM(Certificacion[[#This Row],[AMORTIZACION DE ANTICIPO]:[OTROS (FONDO GARANTÍA)]])</f>
        <v>74280</v>
      </c>
      <c r="N38" s="286">
        <f>Certificacion[[#This Row],[IMPORTE]]+Certificacion[[#This Row],[ANTICIPO]]-Certificacion[[#This Row],[TOTAL
DEDUCCIONES]]</f>
        <v>-74280</v>
      </c>
      <c r="O38" s="287">
        <f>Certificacion[[#This Row],[IMPORTE
SIN I.V.A.]]*0.16</f>
        <v>-11884.800000000001</v>
      </c>
      <c r="P38" s="303"/>
      <c r="Q38" s="288">
        <f>Certificacion[[#This Row],[IMPORTE
SIN I.V.A.]]+Certificacion[[#This Row],[I.V.A.]]-Certificacion[[#This Row],[I.V.A.R.]]</f>
        <v>-86164.800000000003</v>
      </c>
      <c r="R38" s="307"/>
      <c r="S38" s="289" t="str">
        <f>IF(Certificacion[[#This Row],[FACTURA No.]]="","",IF(Certificacion[[#This Row],[FECHA DE PAGO]]="","Pendiente",IF(Certificacion[[#This Row],[FECHA DE PAGO]]&gt;0,"Pagado")))</f>
        <v>Pendiente</v>
      </c>
    </row>
    <row r="39" spans="2:19" ht="14.55" customHeight="1" x14ac:dyDescent="0.3">
      <c r="B39" s="294" t="s">
        <v>4338</v>
      </c>
      <c r="C39" s="312">
        <v>45999</v>
      </c>
      <c r="D39" s="313" t="s">
        <v>400</v>
      </c>
      <c r="E39" s="290" t="s">
        <v>360</v>
      </c>
      <c r="F39" s="427" t="s">
        <v>4340</v>
      </c>
      <c r="G39" s="284">
        <v>656500</v>
      </c>
      <c r="H39" s="284"/>
      <c r="I39" s="284"/>
      <c r="J39" s="284"/>
      <c r="K39" s="284"/>
      <c r="L39" s="284"/>
      <c r="M39" s="285">
        <f>SUM(Certificacion[[#This Row],[AMORTIZACION DE ANTICIPO]:[OTROS (FONDO GARANTÍA)]])</f>
        <v>0</v>
      </c>
      <c r="N39" s="286">
        <f>Certificacion[[#This Row],[IMPORTE]]+Certificacion[[#This Row],[ANTICIPO]]-Certificacion[[#This Row],[TOTAL
DEDUCCIONES]]</f>
        <v>656500</v>
      </c>
      <c r="O39" s="287">
        <f>Certificacion[[#This Row],[IMPORTE
SIN I.V.A.]]*0.16</f>
        <v>105040</v>
      </c>
      <c r="P39" s="303"/>
      <c r="Q39" s="288">
        <f>Certificacion[[#This Row],[IMPORTE
SIN I.V.A.]]+Certificacion[[#This Row],[I.V.A.]]-Certificacion[[#This Row],[I.V.A.R.]]</f>
        <v>761540</v>
      </c>
      <c r="R39" s="307"/>
      <c r="S39" s="289" t="str">
        <f>IF(Certificacion[[#This Row],[FACTURA No.]]="","",IF(Certificacion[[#This Row],[FECHA DE PAGO]]="","Pendiente",IF(Certificacion[[#This Row],[FECHA DE PAGO]]&gt;0,"Pagado")))</f>
        <v>Pendiente</v>
      </c>
    </row>
    <row r="40" spans="2:19" x14ac:dyDescent="0.3">
      <c r="B40" s="294" t="s">
        <v>4339</v>
      </c>
      <c r="C40" s="312">
        <v>45999</v>
      </c>
      <c r="D40" s="313" t="s">
        <v>400</v>
      </c>
      <c r="E40" s="291" t="s">
        <v>350</v>
      </c>
      <c r="F40" s="427" t="s">
        <v>4340</v>
      </c>
      <c r="G40" s="284"/>
      <c r="H40" s="284"/>
      <c r="I40" s="284">
        <v>196950</v>
      </c>
      <c r="J40" s="284"/>
      <c r="K40" s="284"/>
      <c r="L40" s="284"/>
      <c r="M40" s="285">
        <f>SUM(Certificacion[[#This Row],[AMORTIZACION DE ANTICIPO]:[OTROS (FONDO GARANTÍA)]])</f>
        <v>196950</v>
      </c>
      <c r="N40" s="286">
        <f>Certificacion[[#This Row],[IMPORTE]]+Certificacion[[#This Row],[ANTICIPO]]-Certificacion[[#This Row],[TOTAL
DEDUCCIONES]]</f>
        <v>-196950</v>
      </c>
      <c r="O40" s="287">
        <f>Certificacion[[#This Row],[IMPORTE
SIN I.V.A.]]*0.16</f>
        <v>-31512</v>
      </c>
      <c r="P40" s="303"/>
      <c r="Q40" s="288">
        <f>Certificacion[[#This Row],[IMPORTE
SIN I.V.A.]]+Certificacion[[#This Row],[I.V.A.]]-Certificacion[[#This Row],[I.V.A.R.]]</f>
        <v>-228462</v>
      </c>
      <c r="R40" s="307"/>
      <c r="S40" s="289" t="str">
        <f>IF(Certificacion[[#This Row],[FACTURA No.]]="","",IF(Certificacion[[#This Row],[FECHA DE PAGO]]="","Pendiente",IF(Certificacion[[#This Row],[FECHA DE PAGO]]&gt;0,"Pagado")))</f>
        <v>Pendiente</v>
      </c>
    </row>
    <row r="41" spans="2:19" ht="14.55" customHeight="1" x14ac:dyDescent="0.3">
      <c r="B41" s="295"/>
      <c r="C41" s="312"/>
      <c r="D41" s="313"/>
      <c r="E41" s="290"/>
      <c r="F41" s="427"/>
      <c r="G41" s="284"/>
      <c r="H41" s="284"/>
      <c r="I41" s="284"/>
      <c r="J41" s="284"/>
      <c r="K41" s="284"/>
      <c r="L41" s="284"/>
      <c r="M41" s="285">
        <f>SUM(Certificacion[[#This Row],[AMORTIZACION DE ANTICIPO]:[OTROS (FONDO GARANTÍA)]])</f>
        <v>0</v>
      </c>
      <c r="N41" s="286">
        <f>Certificacion[[#This Row],[IMPORTE]]+Certificacion[[#This Row],[ANTICIPO]]-Certificacion[[#This Row],[TOTAL
DEDUCCIONES]]</f>
        <v>0</v>
      </c>
      <c r="O41" s="287">
        <f>Certificacion[[#This Row],[IMPORTE
SIN I.V.A.]]*0.16</f>
        <v>0</v>
      </c>
      <c r="P41" s="303"/>
      <c r="Q41" s="288">
        <f>Certificacion[[#This Row],[IMPORTE
SIN I.V.A.]]+Certificacion[[#This Row],[I.V.A.]]-Certificacion[[#This Row],[I.V.A.R.]]</f>
        <v>0</v>
      </c>
      <c r="R41" s="307"/>
      <c r="S41" s="289" t="str">
        <f>IF(Certificacion[[#This Row],[FACTURA No.]]="","",IF(Certificacion[[#This Row],[FECHA DE PAGO]]="","Pendiente",IF(Certificacion[[#This Row],[FECHA DE PAGO]]&gt;0,"Pagado")))</f>
        <v/>
      </c>
    </row>
    <row r="42" spans="2:19" ht="14.55" customHeight="1" x14ac:dyDescent="0.3">
      <c r="B42" s="314"/>
      <c r="C42" s="312"/>
      <c r="D42" s="313"/>
      <c r="E42" s="290"/>
      <c r="F42" s="427"/>
      <c r="G42" s="284"/>
      <c r="H42" s="284"/>
      <c r="I42" s="284"/>
      <c r="J42" s="284"/>
      <c r="K42" s="284"/>
      <c r="L42" s="284"/>
      <c r="M42" s="285">
        <f>SUM(Certificacion[[#This Row],[AMORTIZACION DE ANTICIPO]:[OTROS (FONDO GARANTÍA)]])</f>
        <v>0</v>
      </c>
      <c r="N42" s="286">
        <f>Certificacion[[#This Row],[IMPORTE]]+Certificacion[[#This Row],[ANTICIPO]]-Certificacion[[#This Row],[TOTAL
DEDUCCIONES]]</f>
        <v>0</v>
      </c>
      <c r="O42" s="287">
        <f>Certificacion[[#This Row],[IMPORTE
SIN I.V.A.]]*0.16</f>
        <v>0</v>
      </c>
      <c r="P42" s="303"/>
      <c r="Q42" s="288">
        <f>Certificacion[[#This Row],[IMPORTE
SIN I.V.A.]]+Certificacion[[#This Row],[I.V.A.]]-Certificacion[[#This Row],[I.V.A.R.]]</f>
        <v>0</v>
      </c>
      <c r="R42" s="307"/>
      <c r="S42" s="289" t="str">
        <f>IF(Certificacion[[#This Row],[FACTURA No.]]="","",IF(Certificacion[[#This Row],[FECHA DE PAGO]]="","Pendiente",IF(Certificacion[[#This Row],[FECHA DE PAGO]]&gt;0,"Pagado")))</f>
        <v/>
      </c>
    </row>
    <row r="43" spans="2:19" x14ac:dyDescent="0.3">
      <c r="B43" s="314"/>
      <c r="C43" s="312"/>
      <c r="D43" s="313"/>
      <c r="E43" s="290"/>
      <c r="F43" s="427"/>
      <c r="G43" s="284"/>
      <c r="H43" s="284"/>
      <c r="I43" s="284"/>
      <c r="J43" s="284"/>
      <c r="K43" s="284"/>
      <c r="L43" s="284"/>
      <c r="M43" s="285">
        <f>SUM(Certificacion[[#This Row],[AMORTIZACION DE ANTICIPO]:[OTROS (FONDO GARANTÍA)]])</f>
        <v>0</v>
      </c>
      <c r="N43" s="286">
        <f>Certificacion[[#This Row],[IMPORTE]]+Certificacion[[#This Row],[ANTICIPO]]-Certificacion[[#This Row],[TOTAL
DEDUCCIONES]]</f>
        <v>0</v>
      </c>
      <c r="O43" s="287">
        <f>Certificacion[[#This Row],[IMPORTE
SIN I.V.A.]]*0.16</f>
        <v>0</v>
      </c>
      <c r="P43" s="303"/>
      <c r="Q43" s="288">
        <f>Certificacion[[#This Row],[IMPORTE
SIN I.V.A.]]+Certificacion[[#This Row],[I.V.A.]]-Certificacion[[#This Row],[I.V.A.R.]]</f>
        <v>0</v>
      </c>
      <c r="R43" s="307"/>
      <c r="S43" s="289" t="str">
        <f>IF(Certificacion[[#This Row],[FACTURA No.]]="","",IF(Certificacion[[#This Row],[FECHA DE PAGO]]="","Pendiente",IF(Certificacion[[#This Row],[FECHA DE PAGO]]&gt;0,"Pagado")))</f>
        <v/>
      </c>
    </row>
    <row r="44" spans="2:19" ht="14.55" customHeight="1" x14ac:dyDescent="0.3">
      <c r="B44" s="314"/>
      <c r="C44" s="312"/>
      <c r="D44" s="313"/>
      <c r="E44" s="290"/>
      <c r="F44" s="427"/>
      <c r="G44" s="284"/>
      <c r="H44" s="284"/>
      <c r="I44" s="284"/>
      <c r="J44" s="284"/>
      <c r="K44" s="284"/>
      <c r="L44" s="284"/>
      <c r="M44" s="285">
        <f>SUM(Certificacion[[#This Row],[AMORTIZACION DE ANTICIPO]:[OTROS (FONDO GARANTÍA)]])</f>
        <v>0</v>
      </c>
      <c r="N44" s="286">
        <f>Certificacion[[#This Row],[IMPORTE]]+Certificacion[[#This Row],[ANTICIPO]]-Certificacion[[#This Row],[TOTAL
DEDUCCIONES]]</f>
        <v>0</v>
      </c>
      <c r="O44" s="287">
        <f>Certificacion[[#This Row],[IMPORTE
SIN I.V.A.]]*0.16</f>
        <v>0</v>
      </c>
      <c r="P44" s="303"/>
      <c r="Q44" s="288">
        <f>Certificacion[[#This Row],[IMPORTE
SIN I.V.A.]]+Certificacion[[#This Row],[I.V.A.]]-Certificacion[[#This Row],[I.V.A.R.]]</f>
        <v>0</v>
      </c>
      <c r="R44" s="307"/>
      <c r="S44" s="289" t="str">
        <f>IF(Certificacion[[#This Row],[FACTURA No.]]="","",IF(Certificacion[[#This Row],[FECHA DE PAGO]]="","Pendiente",IF(Certificacion[[#This Row],[FECHA DE PAGO]]&gt;0,"Pagado")))</f>
        <v/>
      </c>
    </row>
    <row r="45" spans="2:19" ht="14.55" customHeight="1" x14ac:dyDescent="0.3">
      <c r="B45" s="295"/>
      <c r="C45" s="312"/>
      <c r="D45" s="312"/>
      <c r="E45" s="290"/>
      <c r="F45" s="427"/>
      <c r="G45" s="284"/>
      <c r="H45" s="284"/>
      <c r="I45" s="284"/>
      <c r="J45" s="284"/>
      <c r="K45" s="284"/>
      <c r="L45" s="284"/>
      <c r="M45" s="285">
        <f>SUM(Certificacion[[#This Row],[AMORTIZACION DE ANTICIPO]:[OTROS (FONDO GARANTÍA)]])</f>
        <v>0</v>
      </c>
      <c r="N45" s="286">
        <f>Certificacion[[#This Row],[IMPORTE]]+Certificacion[[#This Row],[ANTICIPO]]-Certificacion[[#This Row],[TOTAL
DEDUCCIONES]]</f>
        <v>0</v>
      </c>
      <c r="O45" s="287">
        <f>Certificacion[[#This Row],[IMPORTE
SIN I.V.A.]]*0.16</f>
        <v>0</v>
      </c>
      <c r="P45" s="303"/>
      <c r="Q45" s="288">
        <f>Certificacion[[#This Row],[IMPORTE
SIN I.V.A.]]+Certificacion[[#This Row],[I.V.A.]]-Certificacion[[#This Row],[I.V.A.R.]]</f>
        <v>0</v>
      </c>
      <c r="R45" s="307"/>
      <c r="S45" s="289" t="str">
        <f>IF(Certificacion[[#This Row],[FACTURA No.]]="","",IF(Certificacion[[#This Row],[FECHA DE PAGO]]="","Pendiente",IF(Certificacion[[#This Row],[FECHA DE PAGO]]&gt;0,"Pagado")))</f>
        <v/>
      </c>
    </row>
    <row r="46" spans="2:19" x14ac:dyDescent="0.3">
      <c r="B46" s="295"/>
      <c r="C46" s="312"/>
      <c r="D46" s="312"/>
      <c r="E46" s="290"/>
      <c r="F46" s="427"/>
      <c r="G46" s="284"/>
      <c r="H46" s="284"/>
      <c r="I46" s="284"/>
      <c r="J46" s="284"/>
      <c r="K46" s="284"/>
      <c r="L46" s="284"/>
      <c r="M46" s="285">
        <f>SUM(Certificacion[[#This Row],[AMORTIZACION DE ANTICIPO]:[OTROS (FONDO GARANTÍA)]])</f>
        <v>0</v>
      </c>
      <c r="N46" s="286">
        <f>Certificacion[[#This Row],[IMPORTE]]+Certificacion[[#This Row],[ANTICIPO]]-Certificacion[[#This Row],[TOTAL
DEDUCCIONES]]</f>
        <v>0</v>
      </c>
      <c r="O46" s="287">
        <f>Certificacion[[#This Row],[IMPORTE
SIN I.V.A.]]*0.16</f>
        <v>0</v>
      </c>
      <c r="P46" s="303"/>
      <c r="Q46" s="288">
        <f>Certificacion[[#This Row],[IMPORTE
SIN I.V.A.]]+Certificacion[[#This Row],[I.V.A.]]-Certificacion[[#This Row],[I.V.A.R.]]</f>
        <v>0</v>
      </c>
      <c r="R46" s="307"/>
      <c r="S46" s="289" t="str">
        <f>IF(Certificacion[[#This Row],[FACTURA No.]]="","",IF(Certificacion[[#This Row],[FECHA DE PAGO]]="","Pendiente",IF(Certificacion[[#This Row],[FECHA DE PAGO]]&gt;0,"Pagado")))</f>
        <v/>
      </c>
    </row>
    <row r="47" spans="2:19" ht="14.55" customHeight="1" x14ac:dyDescent="0.3">
      <c r="B47" s="294"/>
      <c r="C47" s="312"/>
      <c r="D47" s="312"/>
      <c r="E47" s="290"/>
      <c r="F47" s="427"/>
      <c r="G47" s="284"/>
      <c r="H47" s="284"/>
      <c r="I47" s="284"/>
      <c r="J47" s="284"/>
      <c r="K47" s="284"/>
      <c r="L47" s="284"/>
      <c r="M47" s="285">
        <f>SUM(Certificacion[[#This Row],[AMORTIZACION DE ANTICIPO]:[OTROS (FONDO GARANTÍA)]])</f>
        <v>0</v>
      </c>
      <c r="N47" s="286">
        <f>Certificacion[[#This Row],[IMPORTE]]+Certificacion[[#This Row],[ANTICIPO]]-Certificacion[[#This Row],[TOTAL
DEDUCCIONES]]</f>
        <v>0</v>
      </c>
      <c r="O47" s="287">
        <f>Certificacion[[#This Row],[IMPORTE
SIN I.V.A.]]*0.16</f>
        <v>0</v>
      </c>
      <c r="P47" s="303"/>
      <c r="Q47" s="288">
        <f>Certificacion[[#This Row],[IMPORTE
SIN I.V.A.]]+Certificacion[[#This Row],[I.V.A.]]-Certificacion[[#This Row],[I.V.A.R.]]</f>
        <v>0</v>
      </c>
      <c r="R47" s="307"/>
      <c r="S47" s="289" t="str">
        <f>IF(Certificacion[[#This Row],[FACTURA No.]]="","",IF(Certificacion[[#This Row],[FECHA DE PAGO]]="","Pendiente",IF(Certificacion[[#This Row],[FECHA DE PAGO]]&gt;0,"Pagado")))</f>
        <v/>
      </c>
    </row>
    <row r="48" spans="2:19" x14ac:dyDescent="0.3">
      <c r="B48" s="295"/>
      <c r="C48" s="312"/>
      <c r="D48" s="312"/>
      <c r="E48" s="292"/>
      <c r="F48" s="427"/>
      <c r="G48" s="284"/>
      <c r="H48" s="284"/>
      <c r="I48" s="284"/>
      <c r="J48" s="284"/>
      <c r="K48" s="284"/>
      <c r="L48" s="284"/>
      <c r="M48" s="285">
        <f>SUM(Certificacion[[#This Row],[AMORTIZACION DE ANTICIPO]:[OTROS (FONDO GARANTÍA)]])</f>
        <v>0</v>
      </c>
      <c r="N48" s="286">
        <f>Certificacion[[#This Row],[IMPORTE]]+Certificacion[[#This Row],[ANTICIPO]]-Certificacion[[#This Row],[TOTAL
DEDUCCIONES]]</f>
        <v>0</v>
      </c>
      <c r="O48" s="287">
        <f>Certificacion[[#This Row],[IMPORTE
SIN I.V.A.]]*0.16</f>
        <v>0</v>
      </c>
      <c r="P48" s="303"/>
      <c r="Q48" s="288">
        <f>Certificacion[[#This Row],[IMPORTE
SIN I.V.A.]]+Certificacion[[#This Row],[I.V.A.]]-Certificacion[[#This Row],[I.V.A.R.]]</f>
        <v>0</v>
      </c>
      <c r="R48" s="307"/>
      <c r="S48" s="289" t="str">
        <f>IF(Certificacion[[#This Row],[FACTURA No.]]="","",IF(Certificacion[[#This Row],[FECHA DE PAGO]]="","Pendiente",IF(Certificacion[[#This Row],[FECHA DE PAGO]]&gt;0,"Pagado")))</f>
        <v/>
      </c>
    </row>
    <row r="49" spans="2:19" x14ac:dyDescent="0.3">
      <c r="B49" s="295"/>
      <c r="C49" s="312"/>
      <c r="D49" s="312"/>
      <c r="E49" s="292"/>
      <c r="F49" s="427"/>
      <c r="G49" s="284"/>
      <c r="H49" s="284"/>
      <c r="I49" s="284"/>
      <c r="J49" s="284"/>
      <c r="K49" s="284"/>
      <c r="L49" s="284"/>
      <c r="M49" s="285">
        <f>SUM(Certificacion[[#This Row],[AMORTIZACION DE ANTICIPO]:[OTROS (FONDO GARANTÍA)]])</f>
        <v>0</v>
      </c>
      <c r="N49" s="286">
        <f>Certificacion[[#This Row],[IMPORTE]]+Certificacion[[#This Row],[ANTICIPO]]-Certificacion[[#This Row],[TOTAL
DEDUCCIONES]]</f>
        <v>0</v>
      </c>
      <c r="O49" s="287">
        <f>Certificacion[[#This Row],[IMPORTE
SIN I.V.A.]]*0.16</f>
        <v>0</v>
      </c>
      <c r="P49" s="303"/>
      <c r="Q49" s="288">
        <f>Certificacion[[#This Row],[IMPORTE
SIN I.V.A.]]+Certificacion[[#This Row],[I.V.A.]]-Certificacion[[#This Row],[I.V.A.R.]]</f>
        <v>0</v>
      </c>
      <c r="R49" s="307"/>
      <c r="S49" s="289" t="str">
        <f>IF(Certificacion[[#This Row],[FACTURA No.]]="","",IF(Certificacion[[#This Row],[FECHA DE PAGO]]="","Pendiente",IF(Certificacion[[#This Row],[FECHA DE PAGO]]&gt;0,"Pagado")))</f>
        <v/>
      </c>
    </row>
    <row r="50" spans="2:19" x14ac:dyDescent="0.3">
      <c r="B50" s="295"/>
      <c r="C50" s="312"/>
      <c r="D50" s="312"/>
      <c r="E50" s="290"/>
      <c r="F50" s="427"/>
      <c r="G50" s="284"/>
      <c r="H50" s="284"/>
      <c r="I50" s="284"/>
      <c r="J50" s="284"/>
      <c r="K50" s="284"/>
      <c r="L50" s="284"/>
      <c r="M50" s="285">
        <f>SUM(Certificacion[[#This Row],[AMORTIZACION DE ANTICIPO]:[OTROS (FONDO GARANTÍA)]])</f>
        <v>0</v>
      </c>
      <c r="N50" s="286">
        <f>Certificacion[[#This Row],[IMPORTE]]+Certificacion[[#This Row],[ANTICIPO]]-Certificacion[[#This Row],[TOTAL
DEDUCCIONES]]</f>
        <v>0</v>
      </c>
      <c r="O50" s="287">
        <f>Certificacion[[#This Row],[IMPORTE
SIN I.V.A.]]*0.16</f>
        <v>0</v>
      </c>
      <c r="P50" s="303"/>
      <c r="Q50" s="288">
        <f>Certificacion[[#This Row],[IMPORTE
SIN I.V.A.]]+Certificacion[[#This Row],[I.V.A.]]-Certificacion[[#This Row],[I.V.A.R.]]</f>
        <v>0</v>
      </c>
      <c r="R50" s="307"/>
      <c r="S50" s="289" t="str">
        <f>IF(Certificacion[[#This Row],[FACTURA No.]]="","",IF(Certificacion[[#This Row],[FECHA DE PAGO]]="","Pendiente",IF(Certificacion[[#This Row],[FECHA DE PAGO]]&gt;0,"Pagado")))</f>
        <v/>
      </c>
    </row>
    <row r="51" spans="2:19" x14ac:dyDescent="0.3">
      <c r="B51" s="295"/>
      <c r="C51" s="312"/>
      <c r="D51" s="312"/>
      <c r="E51" s="292"/>
      <c r="F51" s="427"/>
      <c r="G51" s="284"/>
      <c r="H51" s="284"/>
      <c r="I51" s="284"/>
      <c r="J51" s="284"/>
      <c r="K51" s="284"/>
      <c r="L51" s="284"/>
      <c r="M51" s="285">
        <f>SUM(Certificacion[[#This Row],[AMORTIZACION DE ANTICIPO]:[OTROS (FONDO GARANTÍA)]])</f>
        <v>0</v>
      </c>
      <c r="N51" s="286">
        <f>Certificacion[[#This Row],[IMPORTE]]+Certificacion[[#This Row],[ANTICIPO]]-Certificacion[[#This Row],[TOTAL
DEDUCCIONES]]</f>
        <v>0</v>
      </c>
      <c r="O51" s="287">
        <f>Certificacion[[#This Row],[IMPORTE
SIN I.V.A.]]*0.16</f>
        <v>0</v>
      </c>
      <c r="P51" s="303"/>
      <c r="Q51" s="288">
        <f>Certificacion[[#This Row],[IMPORTE
SIN I.V.A.]]+Certificacion[[#This Row],[I.V.A.]]-Certificacion[[#This Row],[I.V.A.R.]]</f>
        <v>0</v>
      </c>
      <c r="R51" s="307"/>
      <c r="S51" s="289" t="str">
        <f>IF(Certificacion[[#This Row],[FACTURA No.]]="","",IF(Certificacion[[#This Row],[FECHA DE PAGO]]="","Pendiente",IF(Certificacion[[#This Row],[FECHA DE PAGO]]&gt;0,"Pagado")))</f>
        <v/>
      </c>
    </row>
    <row r="52" spans="2:19" x14ac:dyDescent="0.3">
      <c r="B52" s="295"/>
      <c r="C52" s="312"/>
      <c r="D52" s="312"/>
      <c r="E52" s="292"/>
      <c r="F52" s="427"/>
      <c r="G52" s="284"/>
      <c r="H52" s="284"/>
      <c r="I52" s="284"/>
      <c r="J52" s="284"/>
      <c r="K52" s="284"/>
      <c r="L52" s="284"/>
      <c r="M52" s="285">
        <f>SUM(Certificacion[[#This Row],[AMORTIZACION DE ANTICIPO]:[OTROS (FONDO GARANTÍA)]])</f>
        <v>0</v>
      </c>
      <c r="N52" s="286">
        <f>Certificacion[[#This Row],[IMPORTE]]+Certificacion[[#This Row],[ANTICIPO]]-Certificacion[[#This Row],[TOTAL
DEDUCCIONES]]</f>
        <v>0</v>
      </c>
      <c r="O52" s="287">
        <f>Certificacion[[#This Row],[IMPORTE
SIN I.V.A.]]*0.16</f>
        <v>0</v>
      </c>
      <c r="P52" s="303"/>
      <c r="Q52" s="288">
        <f>Certificacion[[#This Row],[IMPORTE
SIN I.V.A.]]+Certificacion[[#This Row],[I.V.A.]]-Certificacion[[#This Row],[I.V.A.R.]]</f>
        <v>0</v>
      </c>
      <c r="R52" s="307"/>
      <c r="S52" s="289" t="str">
        <f>IF(Certificacion[[#This Row],[FACTURA No.]]="","",IF(Certificacion[[#This Row],[FECHA DE PAGO]]="","Pendiente",IF(Certificacion[[#This Row],[FECHA DE PAGO]]&gt;0,"Pagado")))</f>
        <v/>
      </c>
    </row>
    <row r="53" spans="2:19" x14ac:dyDescent="0.3">
      <c r="B53" s="295"/>
      <c r="C53" s="312"/>
      <c r="D53" s="312"/>
      <c r="E53" s="292"/>
      <c r="F53" s="427"/>
      <c r="G53" s="284"/>
      <c r="H53" s="284"/>
      <c r="I53" s="284"/>
      <c r="J53" s="284"/>
      <c r="K53" s="284"/>
      <c r="L53" s="284"/>
      <c r="M53" s="285">
        <f>SUM(Certificacion[[#This Row],[AMORTIZACION DE ANTICIPO]:[OTROS (FONDO GARANTÍA)]])</f>
        <v>0</v>
      </c>
      <c r="N53" s="286">
        <f>Certificacion[[#This Row],[IMPORTE]]+Certificacion[[#This Row],[ANTICIPO]]-Certificacion[[#This Row],[TOTAL
DEDUCCIONES]]</f>
        <v>0</v>
      </c>
      <c r="O53" s="287">
        <f>Certificacion[[#This Row],[IMPORTE
SIN I.V.A.]]*0.16</f>
        <v>0</v>
      </c>
      <c r="P53" s="303"/>
      <c r="Q53" s="288">
        <f>Certificacion[[#This Row],[IMPORTE
SIN I.V.A.]]+Certificacion[[#This Row],[I.V.A.]]-Certificacion[[#This Row],[I.V.A.R.]]</f>
        <v>0</v>
      </c>
      <c r="R53" s="307"/>
      <c r="S53" s="289" t="str">
        <f>IF(Certificacion[[#This Row],[FACTURA No.]]="","",IF(Certificacion[[#This Row],[FECHA DE PAGO]]="","Pendiente",IF(Certificacion[[#This Row],[FECHA DE PAGO]]&gt;0,"Pagado")))</f>
        <v/>
      </c>
    </row>
    <row r="54" spans="2:19" x14ac:dyDescent="0.3">
      <c r="B54" s="295"/>
      <c r="C54" s="312"/>
      <c r="D54" s="312"/>
      <c r="E54" s="292"/>
      <c r="F54" s="427"/>
      <c r="G54" s="284"/>
      <c r="H54" s="284"/>
      <c r="I54" s="284"/>
      <c r="J54" s="284"/>
      <c r="K54" s="284"/>
      <c r="L54" s="284"/>
      <c r="M54" s="285">
        <f>SUM(Certificacion[[#This Row],[AMORTIZACION DE ANTICIPO]:[OTROS (FONDO GARANTÍA)]])</f>
        <v>0</v>
      </c>
      <c r="N54" s="286">
        <f>Certificacion[[#This Row],[IMPORTE]]+Certificacion[[#This Row],[ANTICIPO]]-Certificacion[[#This Row],[TOTAL
DEDUCCIONES]]</f>
        <v>0</v>
      </c>
      <c r="O54" s="287">
        <f>Certificacion[[#This Row],[IMPORTE
SIN I.V.A.]]*0.16</f>
        <v>0</v>
      </c>
      <c r="P54" s="303"/>
      <c r="Q54" s="288">
        <f>Certificacion[[#This Row],[IMPORTE
SIN I.V.A.]]+Certificacion[[#This Row],[I.V.A.]]-Certificacion[[#This Row],[I.V.A.R.]]</f>
        <v>0</v>
      </c>
      <c r="R54" s="307"/>
      <c r="S54" s="289" t="str">
        <f>IF(Certificacion[[#This Row],[FACTURA No.]]="","",IF(Certificacion[[#This Row],[FECHA DE PAGO]]="","Pendiente",IF(Certificacion[[#This Row],[FECHA DE PAGO]]&gt;0,"Pagado")))</f>
        <v/>
      </c>
    </row>
    <row r="55" spans="2:19" x14ac:dyDescent="0.3">
      <c r="B55" s="295"/>
      <c r="C55" s="312"/>
      <c r="D55" s="312"/>
      <c r="E55" s="292"/>
      <c r="F55" s="427"/>
      <c r="G55" s="284"/>
      <c r="H55" s="284"/>
      <c r="I55" s="284"/>
      <c r="J55" s="284"/>
      <c r="K55" s="284"/>
      <c r="L55" s="284"/>
      <c r="M55" s="285">
        <f>SUM(Certificacion[[#This Row],[AMORTIZACION DE ANTICIPO]:[OTROS (FONDO GARANTÍA)]])</f>
        <v>0</v>
      </c>
      <c r="N55" s="286">
        <f>Certificacion[[#This Row],[IMPORTE]]+Certificacion[[#This Row],[ANTICIPO]]-Certificacion[[#This Row],[TOTAL
DEDUCCIONES]]</f>
        <v>0</v>
      </c>
      <c r="O55" s="287">
        <f>Certificacion[[#This Row],[IMPORTE
SIN I.V.A.]]*0.16</f>
        <v>0</v>
      </c>
      <c r="P55" s="303"/>
      <c r="Q55" s="288">
        <f>Certificacion[[#This Row],[IMPORTE
SIN I.V.A.]]+Certificacion[[#This Row],[I.V.A.]]-Certificacion[[#This Row],[I.V.A.R.]]</f>
        <v>0</v>
      </c>
      <c r="R55" s="307"/>
      <c r="S55" s="289" t="str">
        <f>IF(Certificacion[[#This Row],[FACTURA No.]]="","",IF(Certificacion[[#This Row],[FECHA DE PAGO]]="","Pendiente",IF(Certificacion[[#This Row],[FECHA DE PAGO]]&gt;0,"Pagado")))</f>
        <v/>
      </c>
    </row>
    <row r="56" spans="2:19" x14ac:dyDescent="0.3">
      <c r="B56" s="295"/>
      <c r="C56" s="312"/>
      <c r="D56" s="312"/>
      <c r="E56" s="292"/>
      <c r="F56" s="427"/>
      <c r="G56" s="284"/>
      <c r="H56" s="284"/>
      <c r="I56" s="284"/>
      <c r="J56" s="284"/>
      <c r="K56" s="284"/>
      <c r="L56" s="284"/>
      <c r="M56" s="285">
        <f>SUM(Certificacion[[#This Row],[AMORTIZACION DE ANTICIPO]:[OTROS (FONDO GARANTÍA)]])</f>
        <v>0</v>
      </c>
      <c r="N56" s="286">
        <f>Certificacion[[#This Row],[IMPORTE]]+Certificacion[[#This Row],[ANTICIPO]]-Certificacion[[#This Row],[TOTAL
DEDUCCIONES]]</f>
        <v>0</v>
      </c>
      <c r="O56" s="287">
        <f>Certificacion[[#This Row],[IMPORTE
SIN I.V.A.]]*0.16</f>
        <v>0</v>
      </c>
      <c r="P56" s="303"/>
      <c r="Q56" s="288">
        <f>Certificacion[[#This Row],[IMPORTE
SIN I.V.A.]]+Certificacion[[#This Row],[I.V.A.]]-Certificacion[[#This Row],[I.V.A.R.]]</f>
        <v>0</v>
      </c>
      <c r="R56" s="307"/>
      <c r="S56" s="289" t="str">
        <f>IF(Certificacion[[#This Row],[FACTURA No.]]="","",IF(Certificacion[[#This Row],[FECHA DE PAGO]]="","Pendiente",IF(Certificacion[[#This Row],[FECHA DE PAGO]]&gt;0,"Pagado")))</f>
        <v/>
      </c>
    </row>
    <row r="57" spans="2:19" x14ac:dyDescent="0.3">
      <c r="B57" s="295"/>
      <c r="C57" s="312"/>
      <c r="D57" s="312"/>
      <c r="E57" s="292"/>
      <c r="F57" s="427"/>
      <c r="G57" s="284"/>
      <c r="H57" s="284"/>
      <c r="I57" s="284"/>
      <c r="J57" s="284"/>
      <c r="K57" s="284"/>
      <c r="L57" s="284"/>
      <c r="M57" s="285">
        <f>SUM(Certificacion[[#This Row],[AMORTIZACION DE ANTICIPO]:[OTROS (FONDO GARANTÍA)]])</f>
        <v>0</v>
      </c>
      <c r="N57" s="286">
        <f>Certificacion[[#This Row],[IMPORTE]]+Certificacion[[#This Row],[ANTICIPO]]-Certificacion[[#This Row],[TOTAL
DEDUCCIONES]]</f>
        <v>0</v>
      </c>
      <c r="O57" s="287">
        <f>Certificacion[[#This Row],[IMPORTE
SIN I.V.A.]]*0.16</f>
        <v>0</v>
      </c>
      <c r="P57" s="303"/>
      <c r="Q57" s="288">
        <f>Certificacion[[#This Row],[IMPORTE
SIN I.V.A.]]+Certificacion[[#This Row],[I.V.A.]]-Certificacion[[#This Row],[I.V.A.R.]]</f>
        <v>0</v>
      </c>
      <c r="R57" s="307"/>
      <c r="S57" s="289" t="str">
        <f>IF(Certificacion[[#This Row],[FACTURA No.]]="","",IF(Certificacion[[#This Row],[FECHA DE PAGO]]="","Pendiente",IF(Certificacion[[#This Row],[FECHA DE PAGO]]&gt;0,"Pagado")))</f>
        <v/>
      </c>
    </row>
    <row r="58" spans="2:19" x14ac:dyDescent="0.3">
      <c r="B58" s="295"/>
      <c r="C58" s="312"/>
      <c r="D58" s="312"/>
      <c r="E58" s="292"/>
      <c r="F58" s="427"/>
      <c r="G58" s="284"/>
      <c r="H58" s="284"/>
      <c r="I58" s="284"/>
      <c r="J58" s="284"/>
      <c r="K58" s="284"/>
      <c r="L58" s="284"/>
      <c r="M58" s="285">
        <f>SUM(Certificacion[[#This Row],[AMORTIZACION DE ANTICIPO]:[OTROS (FONDO GARANTÍA)]])</f>
        <v>0</v>
      </c>
      <c r="N58" s="286">
        <f>Certificacion[[#This Row],[IMPORTE]]+Certificacion[[#This Row],[ANTICIPO]]-Certificacion[[#This Row],[TOTAL
DEDUCCIONES]]</f>
        <v>0</v>
      </c>
      <c r="O58" s="287">
        <f>Certificacion[[#This Row],[IMPORTE
SIN I.V.A.]]*0.16</f>
        <v>0</v>
      </c>
      <c r="P58" s="303"/>
      <c r="Q58" s="288">
        <f>Certificacion[[#This Row],[IMPORTE
SIN I.V.A.]]+Certificacion[[#This Row],[I.V.A.]]-Certificacion[[#This Row],[I.V.A.R.]]</f>
        <v>0</v>
      </c>
      <c r="R58" s="307"/>
      <c r="S58" s="289" t="str">
        <f>IF(Certificacion[[#This Row],[FACTURA No.]]="","",IF(Certificacion[[#This Row],[FECHA DE PAGO]]="","Pendiente",IF(Certificacion[[#This Row],[FECHA DE PAGO]]&gt;0,"Pagado")))</f>
        <v/>
      </c>
    </row>
    <row r="59" spans="2:19" x14ac:dyDescent="0.3">
      <c r="B59" s="295"/>
      <c r="C59" s="312"/>
      <c r="D59" s="312"/>
      <c r="E59" s="292"/>
      <c r="F59" s="427"/>
      <c r="G59" s="284"/>
      <c r="H59" s="284"/>
      <c r="I59" s="284"/>
      <c r="J59" s="284"/>
      <c r="K59" s="284"/>
      <c r="L59" s="284"/>
      <c r="M59" s="285">
        <f>SUM(Certificacion[[#This Row],[AMORTIZACION DE ANTICIPO]:[OTROS (FONDO GARANTÍA)]])</f>
        <v>0</v>
      </c>
      <c r="N59" s="286">
        <f>Certificacion[[#This Row],[IMPORTE]]+Certificacion[[#This Row],[ANTICIPO]]-Certificacion[[#This Row],[TOTAL
DEDUCCIONES]]</f>
        <v>0</v>
      </c>
      <c r="O59" s="287">
        <f>Certificacion[[#This Row],[IMPORTE
SIN I.V.A.]]*0.16</f>
        <v>0</v>
      </c>
      <c r="P59" s="303"/>
      <c r="Q59" s="288">
        <f>Certificacion[[#This Row],[IMPORTE
SIN I.V.A.]]+Certificacion[[#This Row],[I.V.A.]]-Certificacion[[#This Row],[I.V.A.R.]]</f>
        <v>0</v>
      </c>
      <c r="R59" s="307"/>
      <c r="S59" s="289" t="str">
        <f>IF(Certificacion[[#This Row],[FACTURA No.]]="","",IF(Certificacion[[#This Row],[FECHA DE PAGO]]="","Pendiente",IF(Certificacion[[#This Row],[FECHA DE PAGO]]&gt;0,"Pagado")))</f>
        <v/>
      </c>
    </row>
    <row r="60" spans="2:19" x14ac:dyDescent="0.3">
      <c r="B60" s="295"/>
      <c r="C60" s="312"/>
      <c r="D60" s="312"/>
      <c r="E60" s="292"/>
      <c r="F60" s="427"/>
      <c r="G60" s="284"/>
      <c r="H60" s="284"/>
      <c r="I60" s="284"/>
      <c r="J60" s="284"/>
      <c r="K60" s="284"/>
      <c r="L60" s="284"/>
      <c r="M60" s="285">
        <f>SUM(Certificacion[[#This Row],[AMORTIZACION DE ANTICIPO]:[OTROS (FONDO GARANTÍA)]])</f>
        <v>0</v>
      </c>
      <c r="N60" s="286">
        <f>Certificacion[[#This Row],[IMPORTE]]+Certificacion[[#This Row],[ANTICIPO]]-Certificacion[[#This Row],[TOTAL
DEDUCCIONES]]</f>
        <v>0</v>
      </c>
      <c r="O60" s="287">
        <f>Certificacion[[#This Row],[IMPORTE
SIN I.V.A.]]*0.16</f>
        <v>0</v>
      </c>
      <c r="P60" s="303"/>
      <c r="Q60" s="288">
        <f>Certificacion[[#This Row],[IMPORTE
SIN I.V.A.]]+Certificacion[[#This Row],[I.V.A.]]-Certificacion[[#This Row],[I.V.A.R.]]</f>
        <v>0</v>
      </c>
      <c r="R60" s="307"/>
      <c r="S60" s="289" t="str">
        <f>IF(Certificacion[[#This Row],[FACTURA No.]]="","",IF(Certificacion[[#This Row],[FECHA DE PAGO]]="","Pendiente",IF(Certificacion[[#This Row],[FECHA DE PAGO]]&gt;0,"Pagado")))</f>
        <v/>
      </c>
    </row>
    <row r="61" spans="2:19" x14ac:dyDescent="0.3">
      <c r="B61" s="295"/>
      <c r="C61" s="312"/>
      <c r="D61" s="312"/>
      <c r="E61" s="292"/>
      <c r="F61" s="427"/>
      <c r="G61" s="284"/>
      <c r="H61" s="284"/>
      <c r="I61" s="284"/>
      <c r="J61" s="284"/>
      <c r="K61" s="284"/>
      <c r="L61" s="284"/>
      <c r="M61" s="285">
        <f>SUM(Certificacion[[#This Row],[AMORTIZACION DE ANTICIPO]:[OTROS (FONDO GARANTÍA)]])</f>
        <v>0</v>
      </c>
      <c r="N61" s="286">
        <f>Certificacion[[#This Row],[IMPORTE]]+Certificacion[[#This Row],[ANTICIPO]]-Certificacion[[#This Row],[TOTAL
DEDUCCIONES]]</f>
        <v>0</v>
      </c>
      <c r="O61" s="287">
        <f>Certificacion[[#This Row],[IMPORTE
SIN I.V.A.]]*0.16</f>
        <v>0</v>
      </c>
      <c r="P61" s="303"/>
      <c r="Q61" s="288">
        <f>Certificacion[[#This Row],[IMPORTE
SIN I.V.A.]]+Certificacion[[#This Row],[I.V.A.]]-Certificacion[[#This Row],[I.V.A.R.]]</f>
        <v>0</v>
      </c>
      <c r="R61" s="307"/>
      <c r="S61" s="289" t="str">
        <f>IF(Certificacion[[#This Row],[FACTURA No.]]="","",IF(Certificacion[[#This Row],[FECHA DE PAGO]]="","Pendiente",IF(Certificacion[[#This Row],[FECHA DE PAGO]]&gt;0,"Pagado")))</f>
        <v/>
      </c>
    </row>
    <row r="62" spans="2:19" x14ac:dyDescent="0.3">
      <c r="B62" s="295"/>
      <c r="C62" s="312"/>
      <c r="D62" s="312"/>
      <c r="E62" s="292"/>
      <c r="F62" s="427"/>
      <c r="G62" s="284"/>
      <c r="H62" s="284"/>
      <c r="I62" s="284"/>
      <c r="J62" s="284"/>
      <c r="K62" s="284"/>
      <c r="L62" s="284"/>
      <c r="M62" s="285">
        <f>SUM(Certificacion[[#This Row],[AMORTIZACION DE ANTICIPO]:[OTROS (FONDO GARANTÍA)]])</f>
        <v>0</v>
      </c>
      <c r="N62" s="286">
        <f>Certificacion[[#This Row],[IMPORTE]]+Certificacion[[#This Row],[ANTICIPO]]-Certificacion[[#This Row],[TOTAL
DEDUCCIONES]]</f>
        <v>0</v>
      </c>
      <c r="O62" s="287">
        <f>Certificacion[[#This Row],[IMPORTE
SIN I.V.A.]]*0.16</f>
        <v>0</v>
      </c>
      <c r="P62" s="303"/>
      <c r="Q62" s="288">
        <f>Certificacion[[#This Row],[IMPORTE
SIN I.V.A.]]+Certificacion[[#This Row],[I.V.A.]]-Certificacion[[#This Row],[I.V.A.R.]]</f>
        <v>0</v>
      </c>
      <c r="R62" s="307"/>
      <c r="S62" s="289" t="str">
        <f>IF(Certificacion[[#This Row],[FACTURA No.]]="","",IF(Certificacion[[#This Row],[FECHA DE PAGO]]="","Pendiente",IF(Certificacion[[#This Row],[FECHA DE PAGO]]&gt;0,"Pagado")))</f>
        <v/>
      </c>
    </row>
    <row r="63" spans="2:19" x14ac:dyDescent="0.3">
      <c r="B63" s="295"/>
      <c r="C63" s="312"/>
      <c r="D63" s="312"/>
      <c r="E63" s="292"/>
      <c r="F63" s="427"/>
      <c r="G63" s="284"/>
      <c r="H63" s="284"/>
      <c r="I63" s="284"/>
      <c r="J63" s="284"/>
      <c r="K63" s="284"/>
      <c r="L63" s="284"/>
      <c r="M63" s="285">
        <f>SUM(Certificacion[[#This Row],[AMORTIZACION DE ANTICIPO]:[OTROS (FONDO GARANTÍA)]])</f>
        <v>0</v>
      </c>
      <c r="N63" s="286">
        <f>Certificacion[[#This Row],[IMPORTE]]+Certificacion[[#This Row],[ANTICIPO]]-Certificacion[[#This Row],[TOTAL
DEDUCCIONES]]</f>
        <v>0</v>
      </c>
      <c r="O63" s="287">
        <f>Certificacion[[#This Row],[IMPORTE
SIN I.V.A.]]*0.16</f>
        <v>0</v>
      </c>
      <c r="P63" s="303"/>
      <c r="Q63" s="288">
        <f>Certificacion[[#This Row],[IMPORTE
SIN I.V.A.]]+Certificacion[[#This Row],[I.V.A.]]-Certificacion[[#This Row],[I.V.A.R.]]</f>
        <v>0</v>
      </c>
      <c r="R63" s="307"/>
      <c r="S63" s="289" t="str">
        <f>IF(Certificacion[[#This Row],[FACTURA No.]]="","",IF(Certificacion[[#This Row],[FECHA DE PAGO]]="","Pendiente",IF(Certificacion[[#This Row],[FECHA DE PAGO]]&gt;0,"Pagado")))</f>
        <v/>
      </c>
    </row>
    <row r="64" spans="2:19" x14ac:dyDescent="0.3">
      <c r="B64" s="295"/>
      <c r="C64" s="312"/>
      <c r="D64" s="312"/>
      <c r="E64" s="292"/>
      <c r="F64" s="427"/>
      <c r="G64" s="284"/>
      <c r="H64" s="284"/>
      <c r="I64" s="284"/>
      <c r="J64" s="284"/>
      <c r="K64" s="284"/>
      <c r="L64" s="284"/>
      <c r="M64" s="285">
        <f>SUM(Certificacion[[#This Row],[AMORTIZACION DE ANTICIPO]:[OTROS (FONDO GARANTÍA)]])</f>
        <v>0</v>
      </c>
      <c r="N64" s="286">
        <f>Certificacion[[#This Row],[IMPORTE]]+Certificacion[[#This Row],[ANTICIPO]]-Certificacion[[#This Row],[TOTAL
DEDUCCIONES]]</f>
        <v>0</v>
      </c>
      <c r="O64" s="287">
        <f>Certificacion[[#This Row],[IMPORTE
SIN I.V.A.]]*0.16</f>
        <v>0</v>
      </c>
      <c r="P64" s="303"/>
      <c r="Q64" s="288">
        <f>Certificacion[[#This Row],[IMPORTE
SIN I.V.A.]]+Certificacion[[#This Row],[I.V.A.]]-Certificacion[[#This Row],[I.V.A.R.]]</f>
        <v>0</v>
      </c>
      <c r="R64" s="307"/>
      <c r="S64" s="289" t="str">
        <f>IF(Certificacion[[#This Row],[FACTURA No.]]="","",IF(Certificacion[[#This Row],[FECHA DE PAGO]]="","Pendiente",IF(Certificacion[[#This Row],[FECHA DE PAGO]]&gt;0,"Pagado")))</f>
        <v/>
      </c>
    </row>
    <row r="65" spans="2:19" x14ac:dyDescent="0.3">
      <c r="B65" s="295"/>
      <c r="C65" s="312"/>
      <c r="D65" s="312"/>
      <c r="E65" s="292"/>
      <c r="F65" s="427"/>
      <c r="G65" s="284"/>
      <c r="H65" s="284"/>
      <c r="I65" s="284"/>
      <c r="J65" s="284"/>
      <c r="K65" s="284"/>
      <c r="L65" s="284"/>
      <c r="M65" s="285">
        <f>SUM(Certificacion[[#This Row],[AMORTIZACION DE ANTICIPO]:[OTROS (FONDO GARANTÍA)]])</f>
        <v>0</v>
      </c>
      <c r="N65" s="286">
        <f>Certificacion[[#This Row],[IMPORTE]]+Certificacion[[#This Row],[ANTICIPO]]-Certificacion[[#This Row],[TOTAL
DEDUCCIONES]]</f>
        <v>0</v>
      </c>
      <c r="O65" s="287">
        <f>Certificacion[[#This Row],[IMPORTE
SIN I.V.A.]]*0.16</f>
        <v>0</v>
      </c>
      <c r="P65" s="303"/>
      <c r="Q65" s="288">
        <f>Certificacion[[#This Row],[IMPORTE
SIN I.V.A.]]+Certificacion[[#This Row],[I.V.A.]]-Certificacion[[#This Row],[I.V.A.R.]]</f>
        <v>0</v>
      </c>
      <c r="R65" s="307"/>
      <c r="S65" s="289" t="str">
        <f>IF(Certificacion[[#This Row],[FACTURA No.]]="","",IF(Certificacion[[#This Row],[FECHA DE PAGO]]="","Pendiente",IF(Certificacion[[#This Row],[FECHA DE PAGO]]&gt;0,"Pagado")))</f>
        <v/>
      </c>
    </row>
    <row r="66" spans="2:19" x14ac:dyDescent="0.3">
      <c r="B66" s="295"/>
      <c r="C66" s="312"/>
      <c r="D66" s="312"/>
      <c r="E66" s="292"/>
      <c r="F66" s="427"/>
      <c r="G66" s="284"/>
      <c r="H66" s="284"/>
      <c r="I66" s="284"/>
      <c r="J66" s="284"/>
      <c r="K66" s="284"/>
      <c r="L66" s="284"/>
      <c r="M66" s="285">
        <f>SUM(Certificacion[[#This Row],[AMORTIZACION DE ANTICIPO]:[OTROS (FONDO GARANTÍA)]])</f>
        <v>0</v>
      </c>
      <c r="N66" s="286">
        <f>Certificacion[[#This Row],[IMPORTE]]+Certificacion[[#This Row],[ANTICIPO]]-Certificacion[[#This Row],[TOTAL
DEDUCCIONES]]</f>
        <v>0</v>
      </c>
      <c r="O66" s="287">
        <f>Certificacion[[#This Row],[IMPORTE
SIN I.V.A.]]*0.16</f>
        <v>0</v>
      </c>
      <c r="P66" s="303"/>
      <c r="Q66" s="288">
        <f>Certificacion[[#This Row],[IMPORTE
SIN I.V.A.]]+Certificacion[[#This Row],[I.V.A.]]-Certificacion[[#This Row],[I.V.A.R.]]</f>
        <v>0</v>
      </c>
      <c r="R66" s="307"/>
      <c r="S66" s="289" t="str">
        <f>IF(Certificacion[[#This Row],[FACTURA No.]]="","",IF(Certificacion[[#This Row],[FECHA DE PAGO]]="","Pendiente",IF(Certificacion[[#This Row],[FECHA DE PAGO]]&gt;0,"Pagado")))</f>
        <v/>
      </c>
    </row>
    <row r="67" spans="2:19" x14ac:dyDescent="0.3">
      <c r="B67" s="295"/>
      <c r="C67" s="312"/>
      <c r="D67" s="312"/>
      <c r="E67" s="292"/>
      <c r="F67" s="427"/>
      <c r="G67" s="284"/>
      <c r="H67" s="284"/>
      <c r="I67" s="284"/>
      <c r="J67" s="284"/>
      <c r="K67" s="284"/>
      <c r="L67" s="284"/>
      <c r="M67" s="285">
        <f>SUM(Certificacion[[#This Row],[AMORTIZACION DE ANTICIPO]:[OTROS (FONDO GARANTÍA)]])</f>
        <v>0</v>
      </c>
      <c r="N67" s="286">
        <f>Certificacion[[#This Row],[IMPORTE]]+Certificacion[[#This Row],[ANTICIPO]]-Certificacion[[#This Row],[TOTAL
DEDUCCIONES]]</f>
        <v>0</v>
      </c>
      <c r="O67" s="287">
        <f>Certificacion[[#This Row],[IMPORTE
SIN I.V.A.]]*0.16</f>
        <v>0</v>
      </c>
      <c r="P67" s="303"/>
      <c r="Q67" s="288">
        <f>Certificacion[[#This Row],[IMPORTE
SIN I.V.A.]]+Certificacion[[#This Row],[I.V.A.]]-Certificacion[[#This Row],[I.V.A.R.]]</f>
        <v>0</v>
      </c>
      <c r="R67" s="307"/>
      <c r="S67" s="289" t="str">
        <f>IF(Certificacion[[#This Row],[FACTURA No.]]="","",IF(Certificacion[[#This Row],[FECHA DE PAGO]]="","Pendiente",IF(Certificacion[[#This Row],[FECHA DE PAGO]]&gt;0,"Pagado")))</f>
        <v/>
      </c>
    </row>
    <row r="68" spans="2:19" x14ac:dyDescent="0.3">
      <c r="B68" s="295"/>
      <c r="C68" s="312"/>
      <c r="D68" s="312"/>
      <c r="E68" s="292"/>
      <c r="F68" s="427"/>
      <c r="G68" s="284"/>
      <c r="H68" s="284"/>
      <c r="I68" s="284"/>
      <c r="J68" s="284"/>
      <c r="K68" s="284"/>
      <c r="L68" s="284"/>
      <c r="M68" s="285">
        <f>SUM(Certificacion[[#This Row],[AMORTIZACION DE ANTICIPO]:[OTROS (FONDO GARANTÍA)]])</f>
        <v>0</v>
      </c>
      <c r="N68" s="286">
        <f>Certificacion[[#This Row],[IMPORTE]]+Certificacion[[#This Row],[ANTICIPO]]-Certificacion[[#This Row],[TOTAL
DEDUCCIONES]]</f>
        <v>0</v>
      </c>
      <c r="O68" s="287">
        <f>Certificacion[[#This Row],[IMPORTE
SIN I.V.A.]]*0.16</f>
        <v>0</v>
      </c>
      <c r="P68" s="303"/>
      <c r="Q68" s="288">
        <f>Certificacion[[#This Row],[IMPORTE
SIN I.V.A.]]+Certificacion[[#This Row],[I.V.A.]]-Certificacion[[#This Row],[I.V.A.R.]]</f>
        <v>0</v>
      </c>
      <c r="R68" s="307"/>
      <c r="S68" s="289" t="str">
        <f>IF(Certificacion[[#This Row],[FACTURA No.]]="","",IF(Certificacion[[#This Row],[FECHA DE PAGO]]="","Pendiente",IF(Certificacion[[#This Row],[FECHA DE PAGO]]&gt;0,"Pagado")))</f>
        <v/>
      </c>
    </row>
    <row r="69" spans="2:19" x14ac:dyDescent="0.3">
      <c r="B69" s="295"/>
      <c r="C69" s="312"/>
      <c r="D69" s="312"/>
      <c r="E69" s="292"/>
      <c r="F69" s="427"/>
      <c r="G69" s="284"/>
      <c r="H69" s="284"/>
      <c r="I69" s="284"/>
      <c r="J69" s="284"/>
      <c r="K69" s="284"/>
      <c r="L69" s="284"/>
      <c r="M69" s="285">
        <f>SUM(Certificacion[[#This Row],[AMORTIZACION DE ANTICIPO]:[OTROS (FONDO GARANTÍA)]])</f>
        <v>0</v>
      </c>
      <c r="N69" s="286">
        <f>Certificacion[[#This Row],[IMPORTE]]+Certificacion[[#This Row],[ANTICIPO]]-Certificacion[[#This Row],[TOTAL
DEDUCCIONES]]</f>
        <v>0</v>
      </c>
      <c r="O69" s="287">
        <f>Certificacion[[#This Row],[IMPORTE
SIN I.V.A.]]*0.16</f>
        <v>0</v>
      </c>
      <c r="P69" s="303"/>
      <c r="Q69" s="288">
        <f>Certificacion[[#This Row],[IMPORTE
SIN I.V.A.]]+Certificacion[[#This Row],[I.V.A.]]-Certificacion[[#This Row],[I.V.A.R.]]</f>
        <v>0</v>
      </c>
      <c r="R69" s="307"/>
      <c r="S69" s="289" t="str">
        <f>IF(Certificacion[[#This Row],[FACTURA No.]]="","",IF(Certificacion[[#This Row],[FECHA DE PAGO]]="","Pendiente",IF(Certificacion[[#This Row],[FECHA DE PAGO]]&gt;0,"Pagado")))</f>
        <v/>
      </c>
    </row>
    <row r="70" spans="2:19" x14ac:dyDescent="0.3">
      <c r="B70" s="415"/>
      <c r="C70" s="416"/>
      <c r="D70" s="416"/>
      <c r="E70" s="417"/>
      <c r="F70" s="428"/>
      <c r="G70" s="418"/>
      <c r="H70" s="418"/>
      <c r="I70" s="418"/>
      <c r="J70" s="418"/>
      <c r="K70" s="418"/>
      <c r="L70" s="418"/>
      <c r="M70" s="419">
        <f>SUM(Certificacion[[#This Row],[AMORTIZACION DE ANTICIPO]:[OTROS (FONDO GARANTÍA)]])</f>
        <v>0</v>
      </c>
      <c r="N70" s="420">
        <f>Certificacion[[#This Row],[IMPORTE]]+Certificacion[[#This Row],[ANTICIPO]]-Certificacion[[#This Row],[TOTAL
DEDUCCIONES]]</f>
        <v>0</v>
      </c>
      <c r="O70" s="421">
        <f>Certificacion[[#This Row],[IMPORTE
SIN I.V.A.]]*0.16</f>
        <v>0</v>
      </c>
      <c r="P70" s="422"/>
      <c r="Q70" s="423">
        <f>Certificacion[[#This Row],[IMPORTE
SIN I.V.A.]]+Certificacion[[#This Row],[I.V.A.]]-Certificacion[[#This Row],[I.V.A.R.]]</f>
        <v>0</v>
      </c>
      <c r="R70" s="424"/>
      <c r="S70" s="425" t="str">
        <f>IF(Certificacion[[#This Row],[FACTURA No.]]="","",IF(Certificacion[[#This Row],[FECHA DE PAGO]]="","Pendiente",IF(Certificacion[[#This Row],[FECHA DE PAGO]]&gt;0,"Pagado")))</f>
        <v/>
      </c>
    </row>
    <row r="71" spans="2:19" x14ac:dyDescent="0.3">
      <c r="B71" s="415"/>
      <c r="C71" s="416"/>
      <c r="D71" s="416"/>
      <c r="E71" s="417"/>
      <c r="F71" s="428"/>
      <c r="G71" s="418"/>
      <c r="H71" s="418"/>
      <c r="I71" s="418"/>
      <c r="J71" s="418"/>
      <c r="K71" s="418"/>
      <c r="L71" s="418"/>
      <c r="M71" s="419">
        <f>SUM(Certificacion[[#This Row],[AMORTIZACION DE ANTICIPO]:[OTROS (FONDO GARANTÍA)]])</f>
        <v>0</v>
      </c>
      <c r="N71" s="420">
        <f>Certificacion[[#This Row],[IMPORTE]]+Certificacion[[#This Row],[ANTICIPO]]-Certificacion[[#This Row],[TOTAL
DEDUCCIONES]]</f>
        <v>0</v>
      </c>
      <c r="O71" s="421">
        <f>Certificacion[[#This Row],[IMPORTE
SIN I.V.A.]]*0.16</f>
        <v>0</v>
      </c>
      <c r="P71" s="422"/>
      <c r="Q71" s="423">
        <f>Certificacion[[#This Row],[IMPORTE
SIN I.V.A.]]+Certificacion[[#This Row],[I.V.A.]]-Certificacion[[#This Row],[I.V.A.R.]]</f>
        <v>0</v>
      </c>
      <c r="R71" s="424"/>
      <c r="S71" s="425" t="str">
        <f>IF(Certificacion[[#This Row],[FACTURA No.]]="","",IF(Certificacion[[#This Row],[FECHA DE PAGO]]="","Pendiente",IF(Certificacion[[#This Row],[FECHA DE PAGO]]&gt;0,"Pagado")))</f>
        <v/>
      </c>
    </row>
    <row r="72" spans="2:19" x14ac:dyDescent="0.3">
      <c r="B72" s="295"/>
      <c r="C72" s="312"/>
      <c r="D72" s="312"/>
      <c r="E72" s="292"/>
      <c r="F72" s="427"/>
      <c r="G72" s="284"/>
      <c r="H72" s="284"/>
      <c r="I72" s="284"/>
      <c r="J72" s="284"/>
      <c r="K72" s="284"/>
      <c r="L72" s="284"/>
      <c r="M72" s="285">
        <f>SUM(Certificacion[[#This Row],[AMORTIZACION DE ANTICIPO]:[OTROS (FONDO GARANTÍA)]])</f>
        <v>0</v>
      </c>
      <c r="N72" s="286">
        <f>Certificacion[[#This Row],[IMPORTE]]+Certificacion[[#This Row],[ANTICIPO]]-Certificacion[[#This Row],[TOTAL
DEDUCCIONES]]</f>
        <v>0</v>
      </c>
      <c r="O72" s="287">
        <f>Certificacion[[#This Row],[IMPORTE
SIN I.V.A.]]*0.16</f>
        <v>0</v>
      </c>
      <c r="P72" s="303"/>
      <c r="Q72" s="288">
        <f>Certificacion[[#This Row],[IMPORTE
SIN I.V.A.]]+Certificacion[[#This Row],[I.V.A.]]-Certificacion[[#This Row],[I.V.A.R.]]</f>
        <v>0</v>
      </c>
      <c r="R72" s="307"/>
      <c r="S72" s="289" t="str">
        <f>IF(Certificacion[[#This Row],[FACTURA No.]]="","",IF(Certificacion[[#This Row],[FECHA DE PAGO]]="","Pendiente",IF(Certificacion[[#This Row],[FECHA DE PAGO]]&gt;0,"Pagado")))</f>
        <v/>
      </c>
    </row>
    <row r="73" spans="2:19" x14ac:dyDescent="0.3">
      <c r="B73" s="295"/>
      <c r="C73" s="312"/>
      <c r="D73" s="312"/>
      <c r="E73" s="292"/>
      <c r="F73" s="427"/>
      <c r="G73" s="284"/>
      <c r="H73" s="284"/>
      <c r="I73" s="284"/>
      <c r="J73" s="284"/>
      <c r="K73" s="284"/>
      <c r="L73" s="284"/>
      <c r="M73" s="285">
        <f>SUM(Certificacion[[#This Row],[AMORTIZACION DE ANTICIPO]:[OTROS (FONDO GARANTÍA)]])</f>
        <v>0</v>
      </c>
      <c r="N73" s="286">
        <f>Certificacion[[#This Row],[IMPORTE]]+Certificacion[[#This Row],[ANTICIPO]]-Certificacion[[#This Row],[TOTAL
DEDUCCIONES]]</f>
        <v>0</v>
      </c>
      <c r="O73" s="287">
        <f>Certificacion[[#This Row],[IMPORTE
SIN I.V.A.]]*0.16</f>
        <v>0</v>
      </c>
      <c r="P73" s="303"/>
      <c r="Q73" s="288">
        <f>Certificacion[[#This Row],[IMPORTE
SIN I.V.A.]]+Certificacion[[#This Row],[I.V.A.]]-Certificacion[[#This Row],[I.V.A.R.]]</f>
        <v>0</v>
      </c>
      <c r="R73" s="307"/>
      <c r="S73" s="289" t="str">
        <f>IF(Certificacion[[#This Row],[FACTURA No.]]="","",IF(Certificacion[[#This Row],[FECHA DE PAGO]]="","Pendiente",IF(Certificacion[[#This Row],[FECHA DE PAGO]]&gt;0,"Pagado")))</f>
        <v/>
      </c>
    </row>
    <row r="74" spans="2:19" x14ac:dyDescent="0.3">
      <c r="B74" s="295"/>
      <c r="C74" s="312"/>
      <c r="D74" s="312"/>
      <c r="E74" s="292"/>
      <c r="F74" s="427"/>
      <c r="G74" s="284"/>
      <c r="H74" s="284"/>
      <c r="I74" s="284"/>
      <c r="J74" s="284"/>
      <c r="K74" s="284"/>
      <c r="L74" s="284"/>
      <c r="M74" s="285">
        <f>SUM(Certificacion[[#This Row],[AMORTIZACION DE ANTICIPO]:[OTROS (FONDO GARANTÍA)]])</f>
        <v>0</v>
      </c>
      <c r="N74" s="286">
        <f>Certificacion[[#This Row],[IMPORTE]]+Certificacion[[#This Row],[ANTICIPO]]-Certificacion[[#This Row],[TOTAL
DEDUCCIONES]]</f>
        <v>0</v>
      </c>
      <c r="O74" s="287">
        <f>Certificacion[[#This Row],[IMPORTE
SIN I.V.A.]]*0.16</f>
        <v>0</v>
      </c>
      <c r="P74" s="303"/>
      <c r="Q74" s="288">
        <f>Certificacion[[#This Row],[IMPORTE
SIN I.V.A.]]+Certificacion[[#This Row],[I.V.A.]]-Certificacion[[#This Row],[I.V.A.R.]]</f>
        <v>0</v>
      </c>
      <c r="R74" s="307"/>
      <c r="S74" s="289" t="str">
        <f>IF(Certificacion[[#This Row],[FACTURA No.]]="","",IF(Certificacion[[#This Row],[FECHA DE PAGO]]="","Pendiente",IF(Certificacion[[#This Row],[FECHA DE PAGO]]&gt;0,"Pagado")))</f>
        <v/>
      </c>
    </row>
    <row r="75" spans="2:19" x14ac:dyDescent="0.3">
      <c r="B75" s="295"/>
      <c r="C75" s="312"/>
      <c r="D75" s="312"/>
      <c r="E75" s="292"/>
      <c r="F75" s="427"/>
      <c r="G75" s="284"/>
      <c r="H75" s="284"/>
      <c r="I75" s="284"/>
      <c r="J75" s="284"/>
      <c r="K75" s="284"/>
      <c r="L75" s="284"/>
      <c r="M75" s="285">
        <f>SUM(Certificacion[[#This Row],[AMORTIZACION DE ANTICIPO]:[OTROS (FONDO GARANTÍA)]])</f>
        <v>0</v>
      </c>
      <c r="N75" s="286">
        <f>Certificacion[[#This Row],[IMPORTE]]+Certificacion[[#This Row],[ANTICIPO]]-Certificacion[[#This Row],[TOTAL
DEDUCCIONES]]</f>
        <v>0</v>
      </c>
      <c r="O75" s="287">
        <f>Certificacion[[#This Row],[IMPORTE
SIN I.V.A.]]*0.16</f>
        <v>0</v>
      </c>
      <c r="P75" s="303"/>
      <c r="Q75" s="288">
        <f>Certificacion[[#This Row],[IMPORTE
SIN I.V.A.]]+Certificacion[[#This Row],[I.V.A.]]-Certificacion[[#This Row],[I.V.A.R.]]</f>
        <v>0</v>
      </c>
      <c r="R75" s="307"/>
      <c r="S75" s="289" t="str">
        <f>IF(Certificacion[[#This Row],[FACTURA No.]]="","",IF(Certificacion[[#This Row],[FECHA DE PAGO]]="","Pendiente",IF(Certificacion[[#This Row],[FECHA DE PAGO]]&gt;0,"Pagado")))</f>
        <v/>
      </c>
    </row>
    <row r="76" spans="2:19" x14ac:dyDescent="0.3">
      <c r="B76" s="295"/>
      <c r="C76" s="312"/>
      <c r="D76" s="312"/>
      <c r="E76" s="292"/>
      <c r="F76" s="427"/>
      <c r="G76" s="284"/>
      <c r="H76" s="284"/>
      <c r="I76" s="284"/>
      <c r="J76" s="284"/>
      <c r="K76" s="284"/>
      <c r="L76" s="284"/>
      <c r="M76" s="285">
        <f>SUM(Certificacion[[#This Row],[AMORTIZACION DE ANTICIPO]:[OTROS (FONDO GARANTÍA)]])</f>
        <v>0</v>
      </c>
      <c r="N76" s="286">
        <f>Certificacion[[#This Row],[IMPORTE]]+Certificacion[[#This Row],[ANTICIPO]]-Certificacion[[#This Row],[TOTAL
DEDUCCIONES]]</f>
        <v>0</v>
      </c>
      <c r="O76" s="287">
        <f>Certificacion[[#This Row],[IMPORTE
SIN I.V.A.]]*0.16</f>
        <v>0</v>
      </c>
      <c r="P76" s="303"/>
      <c r="Q76" s="288">
        <f>Certificacion[[#This Row],[IMPORTE
SIN I.V.A.]]+Certificacion[[#This Row],[I.V.A.]]-Certificacion[[#This Row],[I.V.A.R.]]</f>
        <v>0</v>
      </c>
      <c r="R76" s="307"/>
      <c r="S76" s="289" t="str">
        <f>IF(Certificacion[[#This Row],[FACTURA No.]]="","",IF(Certificacion[[#This Row],[FECHA DE PAGO]]="","Pendiente",IF(Certificacion[[#This Row],[FECHA DE PAGO]]&gt;0,"Pagado")))</f>
        <v/>
      </c>
    </row>
    <row r="77" spans="2:19" x14ac:dyDescent="0.3">
      <c r="B77" s="295"/>
      <c r="C77" s="312"/>
      <c r="D77" s="312"/>
      <c r="E77" s="292"/>
      <c r="F77" s="427"/>
      <c r="G77" s="284"/>
      <c r="H77" s="284"/>
      <c r="I77" s="284"/>
      <c r="J77" s="284"/>
      <c r="K77" s="284"/>
      <c r="L77" s="284"/>
      <c r="M77" s="285">
        <f>SUM(Certificacion[[#This Row],[AMORTIZACION DE ANTICIPO]:[OTROS (FONDO GARANTÍA)]])</f>
        <v>0</v>
      </c>
      <c r="N77" s="286">
        <f>Certificacion[[#This Row],[IMPORTE]]+Certificacion[[#This Row],[ANTICIPO]]-Certificacion[[#This Row],[TOTAL
DEDUCCIONES]]</f>
        <v>0</v>
      </c>
      <c r="O77" s="287">
        <f>Certificacion[[#This Row],[IMPORTE
SIN I.V.A.]]*0.16</f>
        <v>0</v>
      </c>
      <c r="P77" s="303"/>
      <c r="Q77" s="288">
        <f>Certificacion[[#This Row],[IMPORTE
SIN I.V.A.]]+Certificacion[[#This Row],[I.V.A.]]-Certificacion[[#This Row],[I.V.A.R.]]</f>
        <v>0</v>
      </c>
      <c r="R77" s="307"/>
      <c r="S77" s="289" t="str">
        <f>IF(Certificacion[[#This Row],[FACTURA No.]]="","",IF(Certificacion[[#This Row],[FECHA DE PAGO]]="","Pendiente",IF(Certificacion[[#This Row],[FECHA DE PAGO]]&gt;0,"Pagado")))</f>
        <v/>
      </c>
    </row>
    <row r="78" spans="2:19" x14ac:dyDescent="0.3">
      <c r="B78" s="295"/>
      <c r="C78" s="312"/>
      <c r="D78" s="312"/>
      <c r="E78" s="292"/>
      <c r="F78" s="427"/>
      <c r="G78" s="284"/>
      <c r="H78" s="284"/>
      <c r="I78" s="284"/>
      <c r="J78" s="284"/>
      <c r="K78" s="284"/>
      <c r="L78" s="284"/>
      <c r="M78" s="285">
        <f>SUM(Certificacion[[#This Row],[AMORTIZACION DE ANTICIPO]:[OTROS (FONDO GARANTÍA)]])</f>
        <v>0</v>
      </c>
      <c r="N78" s="286">
        <f>Certificacion[[#This Row],[IMPORTE]]+Certificacion[[#This Row],[ANTICIPO]]-Certificacion[[#This Row],[TOTAL
DEDUCCIONES]]</f>
        <v>0</v>
      </c>
      <c r="O78" s="287">
        <f>Certificacion[[#This Row],[IMPORTE
SIN I.V.A.]]*0.16</f>
        <v>0</v>
      </c>
      <c r="P78" s="303"/>
      <c r="Q78" s="288">
        <f>Certificacion[[#This Row],[IMPORTE
SIN I.V.A.]]+Certificacion[[#This Row],[I.V.A.]]-Certificacion[[#This Row],[I.V.A.R.]]</f>
        <v>0</v>
      </c>
      <c r="R78" s="307"/>
      <c r="S78" s="289" t="str">
        <f>IF(Certificacion[[#This Row],[FACTURA No.]]="","",IF(Certificacion[[#This Row],[FECHA DE PAGO]]="","Pendiente",IF(Certificacion[[#This Row],[FECHA DE PAGO]]&gt;0,"Pagado")))</f>
        <v/>
      </c>
    </row>
    <row r="79" spans="2:19" x14ac:dyDescent="0.3">
      <c r="B79" s="295"/>
      <c r="C79" s="312"/>
      <c r="D79" s="312"/>
      <c r="E79" s="292"/>
      <c r="F79" s="427"/>
      <c r="G79" s="284"/>
      <c r="H79" s="284"/>
      <c r="I79" s="284"/>
      <c r="J79" s="284"/>
      <c r="K79" s="284"/>
      <c r="L79" s="284"/>
      <c r="M79" s="285">
        <f>SUM(Certificacion[[#This Row],[AMORTIZACION DE ANTICIPO]:[OTROS (FONDO GARANTÍA)]])</f>
        <v>0</v>
      </c>
      <c r="N79" s="286">
        <f>Certificacion[[#This Row],[IMPORTE]]+Certificacion[[#This Row],[ANTICIPO]]-Certificacion[[#This Row],[TOTAL
DEDUCCIONES]]</f>
        <v>0</v>
      </c>
      <c r="O79" s="287">
        <f>Certificacion[[#This Row],[IMPORTE
SIN I.V.A.]]*0.16</f>
        <v>0</v>
      </c>
      <c r="P79" s="303"/>
      <c r="Q79" s="288">
        <f>Certificacion[[#This Row],[IMPORTE
SIN I.V.A.]]+Certificacion[[#This Row],[I.V.A.]]-Certificacion[[#This Row],[I.V.A.R.]]</f>
        <v>0</v>
      </c>
      <c r="R79" s="307"/>
      <c r="S79" s="289" t="str">
        <f>IF(Certificacion[[#This Row],[FACTURA No.]]="","",IF(Certificacion[[#This Row],[FECHA DE PAGO]]="","Pendiente",IF(Certificacion[[#This Row],[FECHA DE PAGO]]&gt;0,"Pagado")))</f>
        <v/>
      </c>
    </row>
    <row r="80" spans="2:19" x14ac:dyDescent="0.3">
      <c r="B80" s="295"/>
      <c r="C80" s="312"/>
      <c r="D80" s="312"/>
      <c r="E80" s="292"/>
      <c r="F80" s="427"/>
      <c r="G80" s="284"/>
      <c r="H80" s="284"/>
      <c r="I80" s="284"/>
      <c r="J80" s="284"/>
      <c r="K80" s="284"/>
      <c r="L80" s="284"/>
      <c r="M80" s="285">
        <f>SUM(Certificacion[[#This Row],[AMORTIZACION DE ANTICIPO]:[OTROS (FONDO GARANTÍA)]])</f>
        <v>0</v>
      </c>
      <c r="N80" s="286">
        <f>Certificacion[[#This Row],[IMPORTE]]+Certificacion[[#This Row],[ANTICIPO]]-Certificacion[[#This Row],[TOTAL
DEDUCCIONES]]</f>
        <v>0</v>
      </c>
      <c r="O80" s="287">
        <f>Certificacion[[#This Row],[IMPORTE
SIN I.V.A.]]*0.16</f>
        <v>0</v>
      </c>
      <c r="P80" s="303"/>
      <c r="Q80" s="288">
        <f>Certificacion[[#This Row],[IMPORTE
SIN I.V.A.]]+Certificacion[[#This Row],[I.V.A.]]-Certificacion[[#This Row],[I.V.A.R.]]</f>
        <v>0</v>
      </c>
      <c r="R80" s="307"/>
      <c r="S80" s="289" t="str">
        <f>IF(Certificacion[[#This Row],[FACTURA No.]]="","",IF(Certificacion[[#This Row],[FECHA DE PAGO]]="","Pendiente",IF(Certificacion[[#This Row],[FECHA DE PAGO]]&gt;0,"Pagado")))</f>
        <v/>
      </c>
    </row>
    <row r="81" spans="2:19" x14ac:dyDescent="0.3">
      <c r="B81" s="295"/>
      <c r="C81" s="312"/>
      <c r="D81" s="312"/>
      <c r="E81" s="292"/>
      <c r="F81" s="427"/>
      <c r="G81" s="284"/>
      <c r="H81" s="284"/>
      <c r="I81" s="284"/>
      <c r="J81" s="284"/>
      <c r="K81" s="284"/>
      <c r="L81" s="284"/>
      <c r="M81" s="285">
        <f>SUM(Certificacion[[#This Row],[AMORTIZACION DE ANTICIPO]:[OTROS (FONDO GARANTÍA)]])</f>
        <v>0</v>
      </c>
      <c r="N81" s="286">
        <f>Certificacion[[#This Row],[IMPORTE]]+Certificacion[[#This Row],[ANTICIPO]]-Certificacion[[#This Row],[TOTAL
DEDUCCIONES]]</f>
        <v>0</v>
      </c>
      <c r="O81" s="287">
        <f>Certificacion[[#This Row],[IMPORTE
SIN I.V.A.]]*0.16</f>
        <v>0</v>
      </c>
      <c r="P81" s="303"/>
      <c r="Q81" s="288">
        <f>Certificacion[[#This Row],[IMPORTE
SIN I.V.A.]]+Certificacion[[#This Row],[I.V.A.]]-Certificacion[[#This Row],[I.V.A.R.]]</f>
        <v>0</v>
      </c>
      <c r="R81" s="431"/>
      <c r="S81" s="289" t="str">
        <f>IF(Certificacion[[#This Row],[FACTURA No.]]="","",IF(Certificacion[[#This Row],[FECHA DE PAGO]]="","Pendiente",IF(Certificacion[[#This Row],[FECHA DE PAGO]]&gt;0,"Pagado")))</f>
        <v/>
      </c>
    </row>
    <row r="82" spans="2:19" x14ac:dyDescent="0.3">
      <c r="B82" s="295"/>
      <c r="C82" s="312"/>
      <c r="D82" s="312"/>
      <c r="E82" s="292"/>
      <c r="F82" s="427"/>
      <c r="G82" s="284"/>
      <c r="H82" s="284"/>
      <c r="I82" s="284"/>
      <c r="J82" s="284"/>
      <c r="K82" s="284"/>
      <c r="L82" s="284"/>
      <c r="M82" s="285">
        <f>SUM(Certificacion[[#This Row],[AMORTIZACION DE ANTICIPO]:[OTROS (FONDO GARANTÍA)]])</f>
        <v>0</v>
      </c>
      <c r="N82" s="286">
        <f>Certificacion[[#This Row],[IMPORTE]]+Certificacion[[#This Row],[ANTICIPO]]-Certificacion[[#This Row],[TOTAL
DEDUCCIONES]]</f>
        <v>0</v>
      </c>
      <c r="O82" s="287">
        <f>Certificacion[[#This Row],[IMPORTE
SIN I.V.A.]]*0.16</f>
        <v>0</v>
      </c>
      <c r="P82" s="303"/>
      <c r="Q82" s="288">
        <f>Certificacion[[#This Row],[IMPORTE
SIN I.V.A.]]+Certificacion[[#This Row],[I.V.A.]]-Certificacion[[#This Row],[I.V.A.R.]]</f>
        <v>0</v>
      </c>
      <c r="R82" s="431"/>
      <c r="S82" s="289" t="str">
        <f>IF(Certificacion[[#This Row],[FACTURA No.]]="","",IF(Certificacion[[#This Row],[FECHA DE PAGO]]="","Pendiente",IF(Certificacion[[#This Row],[FECHA DE PAGO]]&gt;0,"Pagado")))</f>
        <v/>
      </c>
    </row>
    <row r="83" spans="2:19" x14ac:dyDescent="0.3">
      <c r="B83" s="295"/>
      <c r="C83" s="312"/>
      <c r="D83" s="312"/>
      <c r="E83" s="292"/>
      <c r="F83" s="427"/>
      <c r="G83" s="284"/>
      <c r="H83" s="284"/>
      <c r="I83" s="284"/>
      <c r="J83" s="284"/>
      <c r="K83" s="284"/>
      <c r="L83" s="284"/>
      <c r="M83" s="285">
        <f>SUM(Certificacion[[#This Row],[AMORTIZACION DE ANTICIPO]:[OTROS (FONDO GARANTÍA)]])</f>
        <v>0</v>
      </c>
      <c r="N83" s="286">
        <f>Certificacion[[#This Row],[IMPORTE]]+Certificacion[[#This Row],[ANTICIPO]]-Certificacion[[#This Row],[TOTAL
DEDUCCIONES]]</f>
        <v>0</v>
      </c>
      <c r="O83" s="287">
        <f>Certificacion[[#This Row],[IMPORTE
SIN I.V.A.]]*0.16</f>
        <v>0</v>
      </c>
      <c r="P83" s="303"/>
      <c r="Q83" s="288">
        <f>Certificacion[[#This Row],[IMPORTE
SIN I.V.A.]]+Certificacion[[#This Row],[I.V.A.]]-Certificacion[[#This Row],[I.V.A.R.]]</f>
        <v>0</v>
      </c>
      <c r="R83" s="431"/>
      <c r="S83" s="289" t="str">
        <f>IF(Certificacion[[#This Row],[FACTURA No.]]="","",IF(Certificacion[[#This Row],[FECHA DE PAGO]]="","Pendiente",IF(Certificacion[[#This Row],[FECHA DE PAGO]]&gt;0,"Pagado")))</f>
        <v/>
      </c>
    </row>
    <row r="84" spans="2:19" x14ac:dyDescent="0.3">
      <c r="B84" s="295"/>
      <c r="C84" s="312"/>
      <c r="D84" s="312"/>
      <c r="E84" s="292"/>
      <c r="F84" s="427"/>
      <c r="G84" s="284"/>
      <c r="H84" s="284"/>
      <c r="I84" s="284"/>
      <c r="J84" s="284"/>
      <c r="K84" s="284"/>
      <c r="L84" s="284"/>
      <c r="M84" s="285">
        <f>SUM(Certificacion[[#This Row],[AMORTIZACION DE ANTICIPO]:[OTROS (FONDO GARANTÍA)]])</f>
        <v>0</v>
      </c>
      <c r="N84" s="286">
        <f>Certificacion[[#This Row],[IMPORTE]]+Certificacion[[#This Row],[ANTICIPO]]-Certificacion[[#This Row],[TOTAL
DEDUCCIONES]]</f>
        <v>0</v>
      </c>
      <c r="O84" s="287">
        <f>Certificacion[[#This Row],[IMPORTE
SIN I.V.A.]]*0.16</f>
        <v>0</v>
      </c>
      <c r="P84" s="303"/>
      <c r="Q84" s="288">
        <f>Certificacion[[#This Row],[IMPORTE
SIN I.V.A.]]+Certificacion[[#This Row],[I.V.A.]]-Certificacion[[#This Row],[I.V.A.R.]]</f>
        <v>0</v>
      </c>
      <c r="R84" s="431"/>
      <c r="S84" s="289" t="str">
        <f>IF(Certificacion[[#This Row],[FACTURA No.]]="","",IF(Certificacion[[#This Row],[FECHA DE PAGO]]="","Pendiente",IF(Certificacion[[#This Row],[FECHA DE PAGO]]&gt;0,"Pagado")))</f>
        <v/>
      </c>
    </row>
    <row r="85" spans="2:19" x14ac:dyDescent="0.3">
      <c r="B85" s="295"/>
      <c r="C85" s="312"/>
      <c r="D85" s="312"/>
      <c r="E85" s="292"/>
      <c r="F85" s="427"/>
      <c r="G85" s="284"/>
      <c r="H85" s="284"/>
      <c r="I85" s="284"/>
      <c r="J85" s="284"/>
      <c r="K85" s="284"/>
      <c r="L85" s="284"/>
      <c r="M85" s="285">
        <f>SUM(Certificacion[[#This Row],[AMORTIZACION DE ANTICIPO]:[OTROS (FONDO GARANTÍA)]])</f>
        <v>0</v>
      </c>
      <c r="N85" s="286">
        <f>Certificacion[[#This Row],[IMPORTE]]+Certificacion[[#This Row],[ANTICIPO]]-Certificacion[[#This Row],[TOTAL
DEDUCCIONES]]</f>
        <v>0</v>
      </c>
      <c r="O85" s="287">
        <f>Certificacion[[#This Row],[IMPORTE
SIN I.V.A.]]*0.16</f>
        <v>0</v>
      </c>
      <c r="P85" s="303"/>
      <c r="Q85" s="288">
        <f>Certificacion[[#This Row],[IMPORTE
SIN I.V.A.]]+Certificacion[[#This Row],[I.V.A.]]-Certificacion[[#This Row],[I.V.A.R.]]</f>
        <v>0</v>
      </c>
      <c r="R85" s="431"/>
      <c r="S85" s="289" t="str">
        <f>IF(Certificacion[[#This Row],[FACTURA No.]]="","",IF(Certificacion[[#This Row],[FECHA DE PAGO]]="","Pendiente",IF(Certificacion[[#This Row],[FECHA DE PAGO]]&gt;0,"Pagado")))</f>
        <v/>
      </c>
    </row>
    <row r="86" spans="2:19" x14ac:dyDescent="0.3">
      <c r="B86" s="295"/>
      <c r="C86" s="312"/>
      <c r="D86" s="312"/>
      <c r="E86" s="292"/>
      <c r="F86" s="427"/>
      <c r="G86" s="284"/>
      <c r="H86" s="284"/>
      <c r="I86" s="284"/>
      <c r="J86" s="284"/>
      <c r="K86" s="284"/>
      <c r="L86" s="284"/>
      <c r="M86" s="285">
        <f>SUM(Certificacion[[#This Row],[AMORTIZACION DE ANTICIPO]:[OTROS (FONDO GARANTÍA)]])</f>
        <v>0</v>
      </c>
      <c r="N86" s="286">
        <f>Certificacion[[#This Row],[IMPORTE]]+Certificacion[[#This Row],[ANTICIPO]]-Certificacion[[#This Row],[TOTAL
DEDUCCIONES]]</f>
        <v>0</v>
      </c>
      <c r="O86" s="287">
        <f>Certificacion[[#This Row],[IMPORTE
SIN I.V.A.]]*0.16</f>
        <v>0</v>
      </c>
      <c r="P86" s="303"/>
      <c r="Q86" s="288">
        <f>Certificacion[[#This Row],[IMPORTE
SIN I.V.A.]]+Certificacion[[#This Row],[I.V.A.]]-Certificacion[[#This Row],[I.V.A.R.]]</f>
        <v>0</v>
      </c>
      <c r="R86" s="431"/>
      <c r="S86" s="289" t="str">
        <f>IF(Certificacion[[#This Row],[FACTURA No.]]="","",IF(Certificacion[[#This Row],[FECHA DE PAGO]]="","Pendiente",IF(Certificacion[[#This Row],[FECHA DE PAGO]]&gt;0,"Pagado")))</f>
        <v/>
      </c>
    </row>
    <row r="87" spans="2:19" x14ac:dyDescent="0.3">
      <c r="B87" s="295"/>
      <c r="C87" s="312"/>
      <c r="D87" s="312"/>
      <c r="E87" s="292"/>
      <c r="F87" s="427"/>
      <c r="G87" s="284"/>
      <c r="H87" s="284"/>
      <c r="I87" s="284"/>
      <c r="J87" s="284"/>
      <c r="K87" s="284"/>
      <c r="L87" s="284"/>
      <c r="M87" s="285">
        <f>SUM(Certificacion[[#This Row],[AMORTIZACION DE ANTICIPO]:[OTROS (FONDO GARANTÍA)]])</f>
        <v>0</v>
      </c>
      <c r="N87" s="286">
        <f>Certificacion[[#This Row],[IMPORTE]]+Certificacion[[#This Row],[ANTICIPO]]-Certificacion[[#This Row],[TOTAL
DEDUCCIONES]]</f>
        <v>0</v>
      </c>
      <c r="O87" s="287">
        <f>Certificacion[[#This Row],[IMPORTE
SIN I.V.A.]]*0.16</f>
        <v>0</v>
      </c>
      <c r="P87" s="303"/>
      <c r="Q87" s="288">
        <f>Certificacion[[#This Row],[IMPORTE
SIN I.V.A.]]+Certificacion[[#This Row],[I.V.A.]]-Certificacion[[#This Row],[I.V.A.R.]]</f>
        <v>0</v>
      </c>
      <c r="R87" s="431"/>
      <c r="S87" s="289" t="str">
        <f>IF(Certificacion[[#This Row],[FACTURA No.]]="","",IF(Certificacion[[#This Row],[FECHA DE PAGO]]="","Pendiente",IF(Certificacion[[#This Row],[FECHA DE PAGO]]&gt;0,"Pagado")))</f>
        <v/>
      </c>
    </row>
    <row r="88" spans="2:19" x14ac:dyDescent="0.3">
      <c r="B88" s="295"/>
      <c r="C88" s="312"/>
      <c r="D88" s="312"/>
      <c r="E88" s="430"/>
      <c r="F88" s="427"/>
      <c r="G88" s="284"/>
      <c r="H88" s="284"/>
      <c r="I88" s="284"/>
      <c r="J88" s="284"/>
      <c r="K88" s="284"/>
      <c r="L88" s="284"/>
      <c r="M88" s="285">
        <f>SUM(Certificacion[[#This Row],[AMORTIZACION DE ANTICIPO]:[OTROS (FONDO GARANTÍA)]])</f>
        <v>0</v>
      </c>
      <c r="N88" s="286">
        <f>Certificacion[[#This Row],[IMPORTE]]+Certificacion[[#This Row],[ANTICIPO]]-Certificacion[[#This Row],[TOTAL
DEDUCCIONES]]</f>
        <v>0</v>
      </c>
      <c r="O88" s="287">
        <f>Certificacion[[#This Row],[IMPORTE
SIN I.V.A.]]*0.16</f>
        <v>0</v>
      </c>
      <c r="P88" s="303"/>
      <c r="Q88" s="288">
        <f>Certificacion[[#This Row],[IMPORTE
SIN I.V.A.]]+Certificacion[[#This Row],[I.V.A.]]-Certificacion[[#This Row],[I.V.A.R.]]</f>
        <v>0</v>
      </c>
      <c r="R88" s="431"/>
      <c r="S88" s="289" t="str">
        <f>IF(Certificacion[[#This Row],[FACTURA No.]]="","",IF(Certificacion[[#This Row],[FECHA DE PAGO]]="","Pendiente",IF(Certificacion[[#This Row],[FECHA DE PAGO]]&gt;0,"Pagado")))</f>
        <v/>
      </c>
    </row>
    <row r="89" spans="2:19" x14ac:dyDescent="0.3">
      <c r="B89" s="295"/>
      <c r="C89" s="312"/>
      <c r="D89" s="312"/>
      <c r="E89" s="430"/>
      <c r="F89" s="427"/>
      <c r="G89" s="284"/>
      <c r="H89" s="284"/>
      <c r="I89" s="284"/>
      <c r="J89" s="284"/>
      <c r="K89" s="284"/>
      <c r="L89" s="284"/>
      <c r="M89" s="285">
        <f>SUM(Certificacion[[#This Row],[AMORTIZACION DE ANTICIPO]:[OTROS (FONDO GARANTÍA)]])</f>
        <v>0</v>
      </c>
      <c r="N89" s="286">
        <f>Certificacion[[#This Row],[IMPORTE]]+Certificacion[[#This Row],[ANTICIPO]]-Certificacion[[#This Row],[TOTAL
DEDUCCIONES]]</f>
        <v>0</v>
      </c>
      <c r="O89" s="287">
        <f>Certificacion[[#This Row],[IMPORTE
SIN I.V.A.]]*0.16</f>
        <v>0</v>
      </c>
      <c r="P89" s="303"/>
      <c r="Q89" s="288">
        <f>Certificacion[[#This Row],[IMPORTE
SIN I.V.A.]]+Certificacion[[#This Row],[I.V.A.]]-Certificacion[[#This Row],[I.V.A.R.]]</f>
        <v>0</v>
      </c>
      <c r="R89" s="431"/>
      <c r="S89" s="289" t="str">
        <f>IF(Certificacion[[#This Row],[FACTURA No.]]="","",IF(Certificacion[[#This Row],[FECHA DE PAGO]]="","Pendiente",IF(Certificacion[[#This Row],[FECHA DE PAGO]]&gt;0,"Pagado")))</f>
        <v/>
      </c>
    </row>
    <row r="90" spans="2:19" x14ac:dyDescent="0.3">
      <c r="B90" s="295"/>
      <c r="C90" s="312"/>
      <c r="D90" s="312"/>
      <c r="E90" s="430"/>
      <c r="F90" s="427"/>
      <c r="G90" s="284"/>
      <c r="H90" s="284"/>
      <c r="I90" s="284"/>
      <c r="J90" s="284"/>
      <c r="K90" s="284"/>
      <c r="L90" s="284"/>
      <c r="M90" s="285">
        <f>SUM(Certificacion[[#This Row],[AMORTIZACION DE ANTICIPO]:[OTROS (FONDO GARANTÍA)]])</f>
        <v>0</v>
      </c>
      <c r="N90" s="286">
        <f>Certificacion[[#This Row],[IMPORTE]]+Certificacion[[#This Row],[ANTICIPO]]-Certificacion[[#This Row],[TOTAL
DEDUCCIONES]]</f>
        <v>0</v>
      </c>
      <c r="O90" s="287">
        <f>Certificacion[[#This Row],[IMPORTE
SIN I.V.A.]]*0.16</f>
        <v>0</v>
      </c>
      <c r="P90" s="303"/>
      <c r="Q90" s="288">
        <f>Certificacion[[#This Row],[IMPORTE
SIN I.V.A.]]+Certificacion[[#This Row],[I.V.A.]]-Certificacion[[#This Row],[I.V.A.R.]]</f>
        <v>0</v>
      </c>
      <c r="R90" s="431"/>
      <c r="S90" s="289" t="str">
        <f>IF(Certificacion[[#This Row],[FACTURA No.]]="","",IF(Certificacion[[#This Row],[FECHA DE PAGO]]="","Pendiente",IF(Certificacion[[#This Row],[FECHA DE PAGO]]&gt;0,"Pagado")))</f>
        <v/>
      </c>
    </row>
    <row r="91" spans="2:19" x14ac:dyDescent="0.3">
      <c r="B91" s="295"/>
      <c r="C91" s="312"/>
      <c r="D91" s="312"/>
      <c r="E91" s="292"/>
      <c r="F91" s="427"/>
      <c r="G91" s="284"/>
      <c r="H91" s="284"/>
      <c r="I91" s="284"/>
      <c r="J91" s="284"/>
      <c r="K91" s="284"/>
      <c r="L91" s="284"/>
      <c r="M91" s="285">
        <f>SUM(Certificacion[[#This Row],[AMORTIZACION DE ANTICIPO]:[OTROS (FONDO GARANTÍA)]])</f>
        <v>0</v>
      </c>
      <c r="N91" s="286">
        <f>Certificacion[[#This Row],[IMPORTE]]+Certificacion[[#This Row],[ANTICIPO]]-Certificacion[[#This Row],[TOTAL
DEDUCCIONES]]</f>
        <v>0</v>
      </c>
      <c r="O91" s="287">
        <f>Certificacion[[#This Row],[IMPORTE
SIN I.V.A.]]*0.16</f>
        <v>0</v>
      </c>
      <c r="P91" s="303"/>
      <c r="Q91" s="288">
        <f>Certificacion[[#This Row],[IMPORTE
SIN I.V.A.]]+Certificacion[[#This Row],[I.V.A.]]-Certificacion[[#This Row],[I.V.A.R.]]</f>
        <v>0</v>
      </c>
      <c r="R91" s="307"/>
      <c r="S91" s="289" t="str">
        <f>IF(Certificacion[[#This Row],[FACTURA No.]]="","",IF(Certificacion[[#This Row],[FECHA DE PAGO]]="","Pendiente",IF(Certificacion[[#This Row],[FECHA DE PAGO]]&gt;0,"Pagado")))</f>
        <v/>
      </c>
    </row>
    <row r="92" spans="2:19" x14ac:dyDescent="0.3">
      <c r="B92" s="295"/>
      <c r="C92" s="312"/>
      <c r="D92" s="312"/>
      <c r="E92" s="292"/>
      <c r="F92" s="427"/>
      <c r="G92" s="284"/>
      <c r="H92" s="284"/>
      <c r="I92" s="284"/>
      <c r="J92" s="284"/>
      <c r="K92" s="284"/>
      <c r="L92" s="284"/>
      <c r="M92" s="285">
        <f>SUM(Certificacion[[#This Row],[AMORTIZACION DE ANTICIPO]:[OTROS (FONDO GARANTÍA)]])</f>
        <v>0</v>
      </c>
      <c r="N92" s="286">
        <f>Certificacion[[#This Row],[IMPORTE]]+Certificacion[[#This Row],[ANTICIPO]]-Certificacion[[#This Row],[TOTAL
DEDUCCIONES]]</f>
        <v>0</v>
      </c>
      <c r="O92" s="287">
        <f>Certificacion[[#This Row],[IMPORTE
SIN I.V.A.]]*0.16</f>
        <v>0</v>
      </c>
      <c r="P92" s="303"/>
      <c r="Q92" s="288">
        <f>Certificacion[[#This Row],[IMPORTE
SIN I.V.A.]]+Certificacion[[#This Row],[I.V.A.]]-Certificacion[[#This Row],[I.V.A.R.]]</f>
        <v>0</v>
      </c>
      <c r="R92" s="307"/>
      <c r="S92" s="289" t="str">
        <f>IF(Certificacion[[#This Row],[FACTURA No.]]="","",IF(Certificacion[[#This Row],[FECHA DE PAGO]]="","Pendiente",IF(Certificacion[[#This Row],[FECHA DE PAGO]]&gt;0,"Pagado")))</f>
        <v/>
      </c>
    </row>
    <row r="93" spans="2:19" x14ac:dyDescent="0.3">
      <c r="B93" s="295"/>
      <c r="C93" s="312"/>
      <c r="D93" s="312"/>
      <c r="E93" s="292"/>
      <c r="F93" s="427"/>
      <c r="G93" s="284"/>
      <c r="H93" s="284"/>
      <c r="I93" s="284"/>
      <c r="J93" s="284"/>
      <c r="K93" s="284"/>
      <c r="L93" s="284"/>
      <c r="M93" s="285">
        <f>SUM(Certificacion[[#This Row],[AMORTIZACION DE ANTICIPO]:[OTROS (FONDO GARANTÍA)]])</f>
        <v>0</v>
      </c>
      <c r="N93" s="286">
        <f>Certificacion[[#This Row],[IMPORTE]]+Certificacion[[#This Row],[ANTICIPO]]-Certificacion[[#This Row],[TOTAL
DEDUCCIONES]]</f>
        <v>0</v>
      </c>
      <c r="O93" s="287">
        <f>Certificacion[[#This Row],[IMPORTE
SIN I.V.A.]]*0.16</f>
        <v>0</v>
      </c>
      <c r="P93" s="303"/>
      <c r="Q93" s="288">
        <f>Certificacion[[#This Row],[IMPORTE
SIN I.V.A.]]+Certificacion[[#This Row],[I.V.A.]]-Certificacion[[#This Row],[I.V.A.R.]]</f>
        <v>0</v>
      </c>
      <c r="R93" s="307"/>
      <c r="S93" s="289" t="str">
        <f>IF(Certificacion[[#This Row],[FACTURA No.]]="","",IF(Certificacion[[#This Row],[FECHA DE PAGO]]="","Pendiente",IF(Certificacion[[#This Row],[FECHA DE PAGO]]&gt;0,"Pagado")))</f>
        <v/>
      </c>
    </row>
    <row r="94" spans="2:19" x14ac:dyDescent="0.3">
      <c r="B94" s="295"/>
      <c r="C94" s="312"/>
      <c r="D94" s="312"/>
      <c r="E94" s="292"/>
      <c r="F94" s="427"/>
      <c r="G94" s="284"/>
      <c r="H94" s="284"/>
      <c r="I94" s="284"/>
      <c r="J94" s="284"/>
      <c r="K94" s="284"/>
      <c r="L94" s="284"/>
      <c r="M94" s="285">
        <f>SUM(Certificacion[[#This Row],[AMORTIZACION DE ANTICIPO]:[OTROS (FONDO GARANTÍA)]])</f>
        <v>0</v>
      </c>
      <c r="N94" s="286">
        <f>Certificacion[[#This Row],[IMPORTE]]+Certificacion[[#This Row],[ANTICIPO]]-Certificacion[[#This Row],[TOTAL
DEDUCCIONES]]</f>
        <v>0</v>
      </c>
      <c r="O94" s="287">
        <f>Certificacion[[#This Row],[IMPORTE
SIN I.V.A.]]*0.16</f>
        <v>0</v>
      </c>
      <c r="P94" s="303"/>
      <c r="Q94" s="288">
        <f>Certificacion[[#This Row],[IMPORTE
SIN I.V.A.]]+Certificacion[[#This Row],[I.V.A.]]-Certificacion[[#This Row],[I.V.A.R.]]</f>
        <v>0</v>
      </c>
      <c r="R94" s="307"/>
      <c r="S94" s="289" t="str">
        <f>IF(Certificacion[[#This Row],[FACTURA No.]]="","",IF(Certificacion[[#This Row],[FECHA DE PAGO]]="","Pendiente",IF(Certificacion[[#This Row],[FECHA DE PAGO]]&gt;0,"Pagado")))</f>
        <v/>
      </c>
    </row>
    <row r="95" spans="2:19" x14ac:dyDescent="0.3">
      <c r="B95" s="295"/>
      <c r="C95" s="312"/>
      <c r="D95" s="312"/>
      <c r="E95" s="292"/>
      <c r="F95" s="427"/>
      <c r="G95" s="284"/>
      <c r="H95" s="284"/>
      <c r="I95" s="284"/>
      <c r="J95" s="284"/>
      <c r="K95" s="284"/>
      <c r="L95" s="284"/>
      <c r="M95" s="285">
        <f>SUM(Certificacion[[#This Row],[AMORTIZACION DE ANTICIPO]:[OTROS (FONDO GARANTÍA)]])</f>
        <v>0</v>
      </c>
      <c r="N95" s="286">
        <f>Certificacion[[#This Row],[IMPORTE]]+Certificacion[[#This Row],[ANTICIPO]]-Certificacion[[#This Row],[TOTAL
DEDUCCIONES]]</f>
        <v>0</v>
      </c>
      <c r="O95" s="287">
        <f>Certificacion[[#This Row],[IMPORTE
SIN I.V.A.]]*0.16</f>
        <v>0</v>
      </c>
      <c r="P95" s="303"/>
      <c r="Q95" s="288">
        <f>Certificacion[[#This Row],[IMPORTE
SIN I.V.A.]]+Certificacion[[#This Row],[I.V.A.]]-Certificacion[[#This Row],[I.V.A.R.]]</f>
        <v>0</v>
      </c>
      <c r="R95" s="307"/>
      <c r="S95" s="289" t="str">
        <f>IF(Certificacion[[#This Row],[FACTURA No.]]="","",IF(Certificacion[[#This Row],[FECHA DE PAGO]]="","Pendiente",IF(Certificacion[[#This Row],[FECHA DE PAGO]]&gt;0,"Pagado")))</f>
        <v/>
      </c>
    </row>
  </sheetData>
  <mergeCells count="28">
    <mergeCell ref="B11:B12"/>
    <mergeCell ref="R11:R12"/>
    <mergeCell ref="F11:F12"/>
    <mergeCell ref="M11:M12"/>
    <mergeCell ref="O11:O12"/>
    <mergeCell ref="Q11:Q12"/>
    <mergeCell ref="C11:C12"/>
    <mergeCell ref="G11:G12"/>
    <mergeCell ref="I11:L11"/>
    <mergeCell ref="N11:N12"/>
    <mergeCell ref="E11:E12"/>
    <mergeCell ref="H11:H12"/>
    <mergeCell ref="D11:D12"/>
    <mergeCell ref="C8:F8"/>
    <mergeCell ref="C2:F2"/>
    <mergeCell ref="S11:S12"/>
    <mergeCell ref="K6:L6"/>
    <mergeCell ref="R6:S6"/>
    <mergeCell ref="R4:S4"/>
    <mergeCell ref="R8:S8"/>
    <mergeCell ref="K4:L4"/>
    <mergeCell ref="H4:I4"/>
    <mergeCell ref="H6:I6"/>
    <mergeCell ref="P11:P12"/>
    <mergeCell ref="O4:P4"/>
    <mergeCell ref="O6:P6"/>
    <mergeCell ref="O8:P8"/>
    <mergeCell ref="C4:F6"/>
  </mergeCells>
  <phoneticPr fontId="6" type="noConversion"/>
  <conditionalFormatting sqref="B15:B95">
    <cfRule type="duplicateValues" dxfId="2" priority="414"/>
  </conditionalFormatting>
  <pageMargins left="0.25" right="0.25" top="0.75" bottom="0.75" header="0.3" footer="0.3"/>
  <pageSetup paperSize="9" scale="37" fitToHeight="0" orientation="landscape" horizontalDpi="300" verticalDpi="300" r:id="rId1"/>
  <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77D668A8-72E7-43FF-9876-A55A54DAA680}">
          <x14:formula1>
            <xm:f>'Hoja Auxiliar'!$P$5:$P$13</xm:f>
          </x14:formula1>
          <xm:sqref>E15:E95</xm:sqref>
        </x14:dataValidation>
        <x14:dataValidation type="list" allowBlank="1" showInputMessage="1" showErrorMessage="1" xr:uid="{5B8B91D7-5554-4C3C-B918-25ECDB227A07}">
          <x14:formula1>
            <xm:f>'Hoja Auxiliar'!$C$5:$C$52</xm:f>
          </x14:formula1>
          <xm:sqref>D15:D95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26361-6622-4441-BC83-3A90F0D4597F}">
  <sheetPr codeName="Hoja8"/>
  <dimension ref="B2:BB191"/>
  <sheetViews>
    <sheetView zoomScale="80" zoomScaleNormal="80" workbookViewId="0">
      <selection activeCell="A11" sqref="A11:XFD11"/>
    </sheetView>
  </sheetViews>
  <sheetFormatPr baseColWidth="10" defaultColWidth="10.5546875" defaultRowHeight="14.4" x14ac:dyDescent="0.3"/>
  <cols>
    <col min="1" max="1" width="2.5546875" style="21" customWidth="1"/>
    <col min="2" max="2" width="20.44140625" style="21" customWidth="1"/>
    <col min="3" max="3" width="19.44140625" style="21" customWidth="1"/>
    <col min="4" max="4" width="5.44140625" style="21" customWidth="1"/>
    <col min="5" max="5" width="17.44140625" style="21" customWidth="1"/>
    <col min="6" max="6" width="2.44140625" style="21" customWidth="1"/>
    <col min="7" max="17" width="15.44140625" style="21" customWidth="1"/>
    <col min="18" max="21" width="17.5546875" style="21" customWidth="1"/>
    <col min="22" max="54" width="15.44140625" style="21" customWidth="1"/>
    <col min="55" max="16384" width="10.5546875" style="21"/>
  </cols>
  <sheetData>
    <row r="2" spans="2:54" ht="18.600000000000001" customHeight="1" x14ac:dyDescent="0.3">
      <c r="B2" s="173"/>
      <c r="C2" s="998" t="s">
        <v>1014</v>
      </c>
      <c r="D2" s="998"/>
      <c r="E2" s="998"/>
      <c r="F2" s="998"/>
      <c r="G2" s="998"/>
      <c r="H2" s="998"/>
      <c r="I2" s="998"/>
      <c r="J2" s="246"/>
    </row>
    <row r="3" spans="2:54" ht="18.600000000000001" customHeight="1" x14ac:dyDescent="0.3">
      <c r="B3" s="171"/>
      <c r="C3" s="998" t="str">
        <f>CONCATENATE('Resumen Ejecutivo'!C2," ",'Resumen Ejecutivo'!D2)</f>
        <v>PROYECTO: CONSTRUCCIÓN DE 50 PILAS DE CONCRETO ARMADO PARA PMI'S EN EL ESTADO DE TAMAULIPAS (TAMPICO Y MANTE)</v>
      </c>
      <c r="D3" s="998"/>
      <c r="E3" s="998"/>
      <c r="F3" s="998"/>
      <c r="G3" s="998"/>
      <c r="H3" s="998"/>
      <c r="I3" s="998"/>
      <c r="J3" s="246"/>
    </row>
    <row r="4" spans="2:54" ht="18.600000000000001" customHeight="1" x14ac:dyDescent="0.3">
      <c r="B4" s="171"/>
      <c r="C4" s="998" t="str">
        <f>CONCATENATE('Resumen Ejecutivo'!C3," ",'Resumen Ejecutivo'!D3)</f>
        <v>CLIENTE: SYM KABAT</v>
      </c>
      <c r="D4" s="998"/>
      <c r="E4" s="998"/>
      <c r="F4" s="998"/>
      <c r="G4" s="998"/>
      <c r="H4" s="998"/>
      <c r="I4" s="998"/>
      <c r="J4" s="246"/>
    </row>
    <row r="5" spans="2:54" ht="14.85" customHeight="1" x14ac:dyDescent="0.3">
      <c r="B5" s="1044" t="s">
        <v>1015</v>
      </c>
      <c r="C5" s="1044"/>
      <c r="D5" s="1044"/>
      <c r="E5" s="1044"/>
      <c r="F5" s="1044"/>
      <c r="G5" s="1044"/>
      <c r="H5" s="1044"/>
      <c r="I5" s="1044"/>
      <c r="J5" s="1044"/>
      <c r="K5" s="1044"/>
      <c r="L5" s="1044"/>
      <c r="M5" s="1044"/>
      <c r="N5" s="1044"/>
      <c r="O5" s="1044"/>
      <c r="P5" s="1044"/>
      <c r="Q5" s="1044"/>
      <c r="R5" s="1044"/>
      <c r="S5" s="1044"/>
      <c r="T5" s="1044"/>
      <c r="U5" s="1044"/>
      <c r="V5" s="1044"/>
      <c r="W5" s="1044"/>
      <c r="X5" s="1044"/>
      <c r="Y5" s="1044"/>
      <c r="Z5" s="1044"/>
      <c r="AA5" s="1044"/>
      <c r="AB5" s="1044"/>
      <c r="AC5" s="1044"/>
      <c r="AD5" s="1044"/>
      <c r="AE5" s="1044"/>
      <c r="AF5" s="1044"/>
      <c r="AG5" s="1044"/>
      <c r="AH5" s="1044"/>
      <c r="AI5" s="1044"/>
      <c r="AJ5" s="1044"/>
      <c r="AK5" s="1044"/>
      <c r="AL5" s="1044"/>
      <c r="AM5" s="1044"/>
      <c r="AN5" s="1044"/>
      <c r="AO5" s="1044"/>
      <c r="AP5" s="1044"/>
      <c r="AQ5" s="1044"/>
      <c r="AR5" s="1044"/>
      <c r="AS5" s="1044"/>
      <c r="AT5" s="1044"/>
      <c r="AU5" s="1044"/>
      <c r="AV5" s="1044"/>
      <c r="AW5" s="1044"/>
      <c r="AX5" s="1044"/>
      <c r="AY5" s="1044"/>
      <c r="AZ5" s="1044"/>
      <c r="BA5" s="1044"/>
      <c r="BB5" s="1044"/>
    </row>
    <row r="6" spans="2:54" ht="14.85" customHeight="1" x14ac:dyDescent="0.3">
      <c r="B6" s="171"/>
      <c r="C6" s="171"/>
    </row>
    <row r="7" spans="2:54" s="225" customFormat="1" ht="14.85" customHeight="1" x14ac:dyDescent="0.3">
      <c r="E7" s="227" t="s">
        <v>1016</v>
      </c>
      <c r="F7" s="226"/>
      <c r="G7" s="228" t="str">
        <f>'Indirect Costs'!BK8</f>
        <v>JUN 2025 Q1</v>
      </c>
      <c r="H7" s="228" t="str">
        <f>'Indirect Costs'!BL8</f>
        <v>JUN 2025 Q2</v>
      </c>
      <c r="I7" s="228" t="str">
        <f>'Indirect Costs'!BM8</f>
        <v>JUL 2025 Q1</v>
      </c>
      <c r="J7" s="228" t="str">
        <f>'Indirect Costs'!BN8</f>
        <v>JUL 2025 Q2</v>
      </c>
      <c r="K7" s="228" t="str">
        <f>'Indirect Costs'!BO8</f>
        <v>AGO 2025 Q1</v>
      </c>
      <c r="L7" s="228" t="str">
        <f>'Indirect Costs'!BP8</f>
        <v>AGO 2025 Q2</v>
      </c>
      <c r="M7" s="228" t="str">
        <f>'Indirect Costs'!BQ8</f>
        <v>SEP 2025 Q1</v>
      </c>
      <c r="N7" s="228" t="str">
        <f>'Indirect Costs'!BR8</f>
        <v>SEP 2025 Q2</v>
      </c>
      <c r="O7" s="228" t="str">
        <f>'Indirect Costs'!BS8</f>
        <v>OCT 2025 Q1</v>
      </c>
      <c r="P7" s="228" t="str">
        <f>'Indirect Costs'!BT8</f>
        <v>OCT 2025 Q2</v>
      </c>
      <c r="Q7" s="228" t="str">
        <f>'Indirect Costs'!BU8</f>
        <v>NOV 2025 Q1</v>
      </c>
      <c r="R7" s="228" t="str">
        <f>'Indirect Costs'!BV8</f>
        <v>NOV 2025 Q2</v>
      </c>
      <c r="S7" s="228" t="str">
        <f>'Indirect Costs'!BW8</f>
        <v>DIC 2025 Q1</v>
      </c>
      <c r="T7" s="228" t="str">
        <f>'Indirect Costs'!BX8</f>
        <v>DIC 2025 Q2</v>
      </c>
      <c r="U7" s="228" t="str">
        <f>'Indirect Costs'!BY8</f>
        <v>ENE 2026 Q1</v>
      </c>
      <c r="V7" s="228" t="str">
        <f>'Indirect Costs'!BZ8</f>
        <v>ENE 2026 Q2</v>
      </c>
      <c r="W7" s="228" t="str">
        <f>'Indirect Costs'!CA8</f>
        <v>FEB 2026 Q1</v>
      </c>
      <c r="X7" s="228" t="str">
        <f>'Indirect Costs'!CB8</f>
        <v>FEB 2026 Q2</v>
      </c>
      <c r="Y7" s="228" t="str">
        <f>'Indirect Costs'!CC8</f>
        <v>MAR 2026 Q1</v>
      </c>
      <c r="Z7" s="228" t="str">
        <f>'Indirect Costs'!CD8</f>
        <v>MAR 2026 Q2</v>
      </c>
      <c r="AA7" s="228" t="str">
        <f>'Indirect Costs'!CE8</f>
        <v>ABR 2026 Q1</v>
      </c>
      <c r="AB7" s="228" t="str">
        <f>'Indirect Costs'!CF8</f>
        <v>ABR 2026 Q2</v>
      </c>
      <c r="AC7" s="228" t="str">
        <f>'Indirect Costs'!CG8</f>
        <v>MAY 2026 Q1</v>
      </c>
      <c r="AD7" s="228" t="str">
        <f>'Indirect Costs'!CH8</f>
        <v>MAY 2026 Q2</v>
      </c>
      <c r="AE7" s="228" t="str">
        <f>'Indirect Costs'!CI8</f>
        <v>JUN 2026 Q1</v>
      </c>
      <c r="AF7" s="228" t="str">
        <f>'Indirect Costs'!CJ8</f>
        <v>JUN 2026 Q2</v>
      </c>
      <c r="AG7" s="228" t="str">
        <f>'Indirect Costs'!CK8</f>
        <v>JUL 2026 Q1</v>
      </c>
      <c r="AH7" s="228" t="str">
        <f>'Indirect Costs'!CL8</f>
        <v>JUL 2026 Q2</v>
      </c>
      <c r="AI7" s="228" t="str">
        <f>'Indirect Costs'!CM8</f>
        <v>AGO 2026 Q1</v>
      </c>
      <c r="AJ7" s="228" t="str">
        <f>'Indirect Costs'!CN8</f>
        <v>AGO 2026 Q2</v>
      </c>
      <c r="AK7" s="228" t="str">
        <f>'Indirect Costs'!CO8</f>
        <v>SEP 2026 Q1</v>
      </c>
      <c r="AL7" s="228" t="str">
        <f>'Indirect Costs'!CP8</f>
        <v>SEP 2026 Q2</v>
      </c>
      <c r="AM7" s="228" t="str">
        <f>'Indirect Costs'!CQ8</f>
        <v>OCT 2026 Q1</v>
      </c>
      <c r="AN7" s="228" t="str">
        <f>'Indirect Costs'!CR8</f>
        <v>OCT 2026 Q2</v>
      </c>
      <c r="AO7" s="228" t="str">
        <f>'Indirect Costs'!CS8</f>
        <v>NOV 2026 Q1</v>
      </c>
      <c r="AP7" s="228" t="str">
        <f>'Indirect Costs'!CT8</f>
        <v>NOV 2026 Q2</v>
      </c>
      <c r="AQ7" s="228" t="str">
        <f>'Indirect Costs'!CU8</f>
        <v>DIC 2026 Q1</v>
      </c>
      <c r="AR7" s="228" t="str">
        <f>'Indirect Costs'!CV8</f>
        <v>DIC 2026 Q2</v>
      </c>
      <c r="AS7" s="228" t="str">
        <f>'Indirect Costs'!CW8</f>
        <v>ENE 2027 Q1</v>
      </c>
      <c r="AT7" s="228" t="str">
        <f>'Indirect Costs'!CX8</f>
        <v>ENE 2027 Q2</v>
      </c>
      <c r="AU7" s="228" t="str">
        <f>'Indirect Costs'!CY8</f>
        <v>FEB 2027 Q1</v>
      </c>
      <c r="AV7" s="228" t="str">
        <f>'Indirect Costs'!CZ8</f>
        <v>FEB 2027 Q2</v>
      </c>
      <c r="AW7" s="228" t="str">
        <f>'Indirect Costs'!DA8</f>
        <v>MAR 2027 Q1</v>
      </c>
      <c r="AX7" s="228" t="str">
        <f>'Indirect Costs'!DB8</f>
        <v>MAR 2027 Q2</v>
      </c>
      <c r="AY7" s="228" t="str">
        <f>'Indirect Costs'!DC8</f>
        <v>ABR 2027 Q1</v>
      </c>
      <c r="AZ7" s="228" t="str">
        <f>'Indirect Costs'!DD8</f>
        <v>ABR 2027 Q2</v>
      </c>
      <c r="BA7" s="228" t="str">
        <f>'Indirect Costs'!DE8</f>
        <v>MAY 2027 Q1</v>
      </c>
      <c r="BB7" s="228" t="str">
        <f>'Indirect Costs'!DF8</f>
        <v>MAY 2027 Q2</v>
      </c>
    </row>
    <row r="8" spans="2:54" s="221" customFormat="1" ht="6" customHeight="1" x14ac:dyDescent="0.3"/>
    <row r="9" spans="2:54" s="224" customFormat="1" ht="14.85" customHeight="1" x14ac:dyDescent="0.3">
      <c r="B9" s="1042" t="s">
        <v>1017</v>
      </c>
      <c r="C9" s="1043"/>
      <c r="D9" s="229"/>
      <c r="E9" s="230">
        <f>SUM(G9:BB9)</f>
        <v>6386723.4307599999</v>
      </c>
      <c r="G9" s="231">
        <f>SUM(Producción!BN432)</f>
        <v>0</v>
      </c>
      <c r="H9" s="231">
        <f>SUM(Producción!BO432)</f>
        <v>0</v>
      </c>
      <c r="I9" s="231">
        <f>SUM(Producción!BP432)</f>
        <v>0</v>
      </c>
      <c r="J9" s="231">
        <f>SUM(Producción!BQ432)</f>
        <v>0</v>
      </c>
      <c r="K9" s="231">
        <f>SUM(Producción!BR432)</f>
        <v>1608016.3354079998</v>
      </c>
      <c r="L9" s="231">
        <f>SUM(Producción!BS432)</f>
        <v>444444.32119199994</v>
      </c>
      <c r="M9" s="231">
        <f>SUM(Producción!BT432)</f>
        <v>0</v>
      </c>
      <c r="N9" s="231">
        <f>SUM(Producción!BU432)</f>
        <v>419380.26360000001</v>
      </c>
      <c r="O9" s="231">
        <f>SUM(Producción!BV432)</f>
        <v>1055412.0516960002</v>
      </c>
      <c r="P9" s="231">
        <f>SUM(Producción!BW432)</f>
        <v>373024.1116</v>
      </c>
      <c r="Q9" s="231">
        <f>SUM(Producción!BX432)</f>
        <v>1663720.4838239998</v>
      </c>
      <c r="R9" s="231">
        <f>SUM(Producción!BY432)</f>
        <v>0</v>
      </c>
      <c r="S9" s="231">
        <f>SUM(Producción!BZ432)</f>
        <v>822725.86343999987</v>
      </c>
      <c r="T9" s="231">
        <f>SUM(Producción!CA432)</f>
        <v>0</v>
      </c>
      <c r="U9" s="231">
        <f>SUM(Producción!CB432)</f>
        <v>0</v>
      </c>
      <c r="V9" s="231">
        <f>SUM(Producción!CC432)</f>
        <v>0</v>
      </c>
      <c r="W9" s="231">
        <f>SUM(Producción!CD432)</f>
        <v>0</v>
      </c>
      <c r="X9" s="231">
        <f>SUM(Producción!CE432)</f>
        <v>0</v>
      </c>
      <c r="Y9" s="231">
        <f>SUM(Producción!CF432)</f>
        <v>0</v>
      </c>
      <c r="Z9" s="231">
        <f>SUM(Producción!CG432)</f>
        <v>0</v>
      </c>
      <c r="AA9" s="231">
        <f>SUM(Producción!CH432)</f>
        <v>0</v>
      </c>
      <c r="AB9" s="231">
        <f>SUM(Producción!CI432)</f>
        <v>0</v>
      </c>
      <c r="AC9" s="231">
        <f>SUM(Producción!CJ432)</f>
        <v>0</v>
      </c>
      <c r="AD9" s="231">
        <f>SUM(Producción!CK432)</f>
        <v>0</v>
      </c>
      <c r="AE9" s="231">
        <f>SUM(Producción!CL432)</f>
        <v>0</v>
      </c>
      <c r="AF9" s="231">
        <f>SUM(Producción!CM432)</f>
        <v>0</v>
      </c>
      <c r="AG9" s="231">
        <f>SUM(Producción!CN432)</f>
        <v>0</v>
      </c>
      <c r="AH9" s="231">
        <f>SUM(Producción!CO432)</f>
        <v>0</v>
      </c>
      <c r="AI9" s="231">
        <f>SUM(Producción!CP432)</f>
        <v>0</v>
      </c>
      <c r="AJ9" s="231">
        <f>SUM(Producción!CQ432)</f>
        <v>0</v>
      </c>
      <c r="AK9" s="231">
        <f>SUM(Producción!CR432)</f>
        <v>0</v>
      </c>
      <c r="AL9" s="231">
        <f>SUM(Producción!CS432)</f>
        <v>0</v>
      </c>
      <c r="AM9" s="231">
        <f>SUM(Producción!CT432)</f>
        <v>0</v>
      </c>
      <c r="AN9" s="231">
        <f>SUM(Producción!CU432)</f>
        <v>0</v>
      </c>
      <c r="AO9" s="231">
        <f>SUM(Producción!CV432)</f>
        <v>0</v>
      </c>
      <c r="AP9" s="231">
        <f>SUM(Producción!CW432)</f>
        <v>0</v>
      </c>
      <c r="AQ9" s="231">
        <f>SUM(Producción!CX432)</f>
        <v>0</v>
      </c>
      <c r="AR9" s="231">
        <f>SUM(Producción!CY432)</f>
        <v>0</v>
      </c>
      <c r="AS9" s="231">
        <f>SUM(Producción!CZ432)</f>
        <v>0</v>
      </c>
      <c r="AT9" s="231">
        <f>SUM(Producción!DA432)</f>
        <v>0</v>
      </c>
      <c r="AU9" s="231">
        <f>SUM(Producción!DB432)</f>
        <v>0</v>
      </c>
      <c r="AV9" s="231">
        <f>SUM(Producción!DC432)</f>
        <v>0</v>
      </c>
      <c r="AW9" s="231">
        <f>SUM(Producción!DD432)</f>
        <v>0</v>
      </c>
      <c r="AX9" s="231">
        <f>SUM(Producción!DE432)</f>
        <v>0</v>
      </c>
      <c r="AY9" s="231">
        <f>SUM(Producción!DF432)</f>
        <v>0</v>
      </c>
      <c r="AZ9" s="231">
        <f>SUM(Producción!DG432)</f>
        <v>0</v>
      </c>
      <c r="BA9" s="231">
        <f>SUM(Producción!DH432)</f>
        <v>0</v>
      </c>
      <c r="BB9" s="231">
        <f>SUM(Producción!DI432)</f>
        <v>0</v>
      </c>
    </row>
    <row r="10" spans="2:54" s="221" customFormat="1" ht="6.6" customHeight="1" x14ac:dyDescent="0.3">
      <c r="B10" s="222"/>
      <c r="C10" s="222"/>
      <c r="D10" s="222"/>
    </row>
    <row r="11" spans="2:54" s="224" customFormat="1" ht="14.85" customHeight="1" x14ac:dyDescent="0.3">
      <c r="B11" s="1042" t="s">
        <v>1018</v>
      </c>
      <c r="C11" s="1043"/>
      <c r="D11" s="229"/>
      <c r="E11" s="230">
        <f>SUM(G11:BB11)</f>
        <v>6845137.3545830389</v>
      </c>
      <c r="G11" s="231">
        <f>SUMIFS(Certificacion[[LIQUIDO A PAGAR]:[LIQUIDO A PAGAR]],Certificacion[[PERIODO
Imp.]:[PERIODO
Imp.]],Resultado!G$7)</f>
        <v>0</v>
      </c>
      <c r="H11" s="231">
        <f>SUMIFS(Certificacion[[LIQUIDO A PAGAR]:[LIQUIDO A PAGAR]],Certificacion[[PERIODO
Imp.]:[PERIODO
Imp.]],Resultado!H$7)</f>
        <v>0</v>
      </c>
      <c r="I11" s="231">
        <f>SUMIFS(Certificacion[[LIQUIDO A PAGAR]:[LIQUIDO A PAGAR]],Certificacion[[PERIODO
Imp.]:[PERIODO
Imp.]],Resultado!I$7)</f>
        <v>0</v>
      </c>
      <c r="J11" s="231">
        <f>SUMIFS(Certificacion[[LIQUIDO A PAGAR]:[LIQUIDO A PAGAR]],Certificacion[[PERIODO
Imp.]:[PERIODO
Imp.]],Resultado!J$7)</f>
        <v>1608015.9771999998</v>
      </c>
      <c r="K11" s="231">
        <f>SUMIFS(Certificacion[[LIQUIDO A PAGAR]:[LIQUIDO A PAGAR]],Certificacion[[PERIODO
Imp.]:[PERIODO
Imp.]],Resultado!K$7)</f>
        <v>444444.24440000003</v>
      </c>
      <c r="L11" s="231">
        <f>SUMIFS(Certificacion[[LIQUIDO A PAGAR]:[LIQUIDO A PAGAR]],Certificacion[[PERIODO
Imp.]:[PERIODO
Imp.]],Resultado!L$7)</f>
        <v>0</v>
      </c>
      <c r="M11" s="231">
        <f>SUMIFS(Certificacion[[LIQUIDO A PAGAR]:[LIQUIDO A PAGAR]],Certificacion[[PERIODO
Imp.]:[PERIODO
Imp.]],Resultado!M$7)</f>
        <v>918093.6</v>
      </c>
      <c r="N11" s="231">
        <f>SUMIFS(Certificacion[[LIQUIDO A PAGAR]:[LIQUIDO A PAGAR]],Certificacion[[PERIODO
Imp.]:[PERIODO
Imp.]],Resultado!N$7)</f>
        <v>320553.48138303898</v>
      </c>
      <c r="O11" s="231">
        <f>SUMIFS(Certificacion[[LIQUIDO A PAGAR]:[LIQUIDO A PAGAR]],Certificacion[[PERIODO
Imp.]:[PERIODO
Imp.]],Resultado!O$7)</f>
        <v>0</v>
      </c>
      <c r="P11" s="231">
        <f>SUMIFS(Certificacion[[LIQUIDO A PAGAR]:[LIQUIDO A PAGAR]],Certificacion[[PERIODO
Imp.]:[PERIODO
Imp.]],Resultado!P$7)</f>
        <v>0</v>
      </c>
      <c r="Q11" s="231">
        <f>SUMIFS(Certificacion[[LIQUIDO A PAGAR]:[LIQUIDO A PAGAR]],Certificacion[[PERIODO
Imp.]:[PERIODO
Imp.]],Resultado!Q$7)</f>
        <v>474895.46240000002</v>
      </c>
      <c r="R11" s="231">
        <f>SUMIFS(Certificacion[[LIQUIDO A PAGAR]:[LIQUIDO A PAGAR]],Certificacion[[PERIODO
Imp.]:[PERIODO
Imp.]],Resultado!R$7)</f>
        <v>952754.4</v>
      </c>
      <c r="S11" s="231">
        <f>SUMIFS(Certificacion[[LIQUIDO A PAGAR]:[LIQUIDO A PAGAR]],Certificacion[[PERIODO
Imp.]:[PERIODO
Imp.]],Resultado!S$7)</f>
        <v>2126380.1891999999</v>
      </c>
      <c r="T11" s="231">
        <f>SUMIFS(Certificacion[[LIQUIDO A PAGAR]:[LIQUIDO A PAGAR]],Certificacion[[PERIODO
Imp.]:[PERIODO
Imp.]],Resultado!T$7)</f>
        <v>0</v>
      </c>
      <c r="U11" s="231">
        <f>SUMIFS(Certificacion[[LIQUIDO A PAGAR]:[LIQUIDO A PAGAR]],Certificacion[[PERIODO
Imp.]:[PERIODO
Imp.]],Resultado!U$7)</f>
        <v>0</v>
      </c>
      <c r="V11" s="231">
        <f>SUMIFS(Certificacion[[LIQUIDO A PAGAR]:[LIQUIDO A PAGAR]],Certificacion[[PERIODO
Imp.]:[PERIODO
Imp.]],Resultado!V$7)</f>
        <v>0</v>
      </c>
      <c r="W11" s="231">
        <f>SUMIFS(Certificacion[[LIQUIDO A PAGAR]:[LIQUIDO A PAGAR]],Certificacion[[PERIODO
Imp.]:[PERIODO
Imp.]],Resultado!W$7)</f>
        <v>0</v>
      </c>
      <c r="X11" s="231">
        <f>SUMIFS(Certificacion[[LIQUIDO A PAGAR]:[LIQUIDO A PAGAR]],Certificacion[[PERIODO
Imp.]:[PERIODO
Imp.]],Resultado!X$7)</f>
        <v>0</v>
      </c>
      <c r="Y11" s="231">
        <f>SUMIFS(Certificacion[[LIQUIDO A PAGAR]:[LIQUIDO A PAGAR]],Certificacion[[PERIODO
Imp.]:[PERIODO
Imp.]],Resultado!Y$7)</f>
        <v>0</v>
      </c>
      <c r="Z11" s="231">
        <f>SUMIFS(Certificacion[[LIQUIDO A PAGAR]:[LIQUIDO A PAGAR]],Certificacion[[PERIODO
Imp.]:[PERIODO
Imp.]],Resultado!Z$7)</f>
        <v>0</v>
      </c>
      <c r="AA11" s="231">
        <f>SUMIFS(Certificacion[[LIQUIDO A PAGAR]:[LIQUIDO A PAGAR]],Certificacion[[PERIODO
Imp.]:[PERIODO
Imp.]],Resultado!AA$7)</f>
        <v>0</v>
      </c>
      <c r="AB11" s="231">
        <f>SUMIFS(Certificacion[[LIQUIDO A PAGAR]:[LIQUIDO A PAGAR]],Certificacion[[PERIODO
Imp.]:[PERIODO
Imp.]],Resultado!AB$7)</f>
        <v>0</v>
      </c>
      <c r="AC11" s="231">
        <f>SUMIFS(Certificacion[[LIQUIDO A PAGAR]:[LIQUIDO A PAGAR]],Certificacion[[PERIODO
Imp.]:[PERIODO
Imp.]],Resultado!AC$7)</f>
        <v>0</v>
      </c>
      <c r="AD11" s="231">
        <f>SUMIFS(Certificacion[[LIQUIDO A PAGAR]:[LIQUIDO A PAGAR]],Certificacion[[PERIODO
Imp.]:[PERIODO
Imp.]],Resultado!AD$7)</f>
        <v>0</v>
      </c>
      <c r="AE11" s="231">
        <f>SUMIFS(Certificacion[[LIQUIDO A PAGAR]:[LIQUIDO A PAGAR]],Certificacion[[PERIODO
Imp.]:[PERIODO
Imp.]],Resultado!AE$7)</f>
        <v>0</v>
      </c>
      <c r="AF11" s="231">
        <f>SUMIFS(Certificacion[[LIQUIDO A PAGAR]:[LIQUIDO A PAGAR]],Certificacion[[PERIODO
Imp.]:[PERIODO
Imp.]],Resultado!AF$7)</f>
        <v>0</v>
      </c>
      <c r="AG11" s="231">
        <f>SUMIFS(Certificacion[[LIQUIDO A PAGAR]:[LIQUIDO A PAGAR]],Certificacion[[PERIODO
Imp.]:[PERIODO
Imp.]],Resultado!AG$7)</f>
        <v>0</v>
      </c>
      <c r="AH11" s="231">
        <f>SUMIFS(Certificacion[[LIQUIDO A PAGAR]:[LIQUIDO A PAGAR]],Certificacion[[PERIODO
Imp.]:[PERIODO
Imp.]],Resultado!AH$7)</f>
        <v>0</v>
      </c>
      <c r="AI11" s="231">
        <f>SUMIFS(Certificacion[[LIQUIDO A PAGAR]:[LIQUIDO A PAGAR]],Certificacion[[PERIODO
Imp.]:[PERIODO
Imp.]],Resultado!AI$7)</f>
        <v>0</v>
      </c>
      <c r="AJ11" s="231">
        <f>SUMIFS(Certificacion[[LIQUIDO A PAGAR]:[LIQUIDO A PAGAR]],Certificacion[[PERIODO
Imp.]:[PERIODO
Imp.]],Resultado!AJ$7)</f>
        <v>0</v>
      </c>
      <c r="AK11" s="231">
        <f>SUMIFS(Certificacion[[LIQUIDO A PAGAR]:[LIQUIDO A PAGAR]],Certificacion[[PERIODO
Imp.]:[PERIODO
Imp.]],Resultado!AK$7)</f>
        <v>0</v>
      </c>
      <c r="AL11" s="231">
        <f>SUMIFS(Certificacion[[LIQUIDO A PAGAR]:[LIQUIDO A PAGAR]],Certificacion[[PERIODO
Imp.]:[PERIODO
Imp.]],Resultado!AL$7)</f>
        <v>0</v>
      </c>
      <c r="AM11" s="231">
        <f>SUMIFS(Certificacion[[LIQUIDO A PAGAR]:[LIQUIDO A PAGAR]],Certificacion[[PERIODO
Imp.]:[PERIODO
Imp.]],Resultado!AM$7)</f>
        <v>0</v>
      </c>
      <c r="AN11" s="231">
        <f>SUMIFS(Certificacion[[LIQUIDO A PAGAR]:[LIQUIDO A PAGAR]],Certificacion[[PERIODO
Imp.]:[PERIODO
Imp.]],Resultado!AN$7)</f>
        <v>0</v>
      </c>
      <c r="AO11" s="231">
        <f>SUMIFS(Certificacion[[LIQUIDO A PAGAR]:[LIQUIDO A PAGAR]],Certificacion[[PERIODO
Imp.]:[PERIODO
Imp.]],Resultado!AO$7)</f>
        <v>0</v>
      </c>
      <c r="AP11" s="231">
        <f>SUMIFS(Certificacion[[LIQUIDO A PAGAR]:[LIQUIDO A PAGAR]],Certificacion[[PERIODO
Imp.]:[PERIODO
Imp.]],Resultado!AP$7)</f>
        <v>0</v>
      </c>
      <c r="AQ11" s="231">
        <f>SUMIFS(Certificacion[[LIQUIDO A PAGAR]:[LIQUIDO A PAGAR]],Certificacion[[PERIODO
Imp.]:[PERIODO
Imp.]],Resultado!AQ$7)</f>
        <v>0</v>
      </c>
      <c r="AR11" s="231">
        <f>SUMIFS(Certificacion[[LIQUIDO A PAGAR]:[LIQUIDO A PAGAR]],Certificacion[[PERIODO
Imp.]:[PERIODO
Imp.]],Resultado!AR$7)</f>
        <v>0</v>
      </c>
      <c r="AS11" s="231">
        <f>SUMIFS(Certificacion[[LIQUIDO A PAGAR]:[LIQUIDO A PAGAR]],Certificacion[[PERIODO
Imp.]:[PERIODO
Imp.]],Resultado!AS$7)</f>
        <v>0</v>
      </c>
      <c r="AT11" s="231">
        <f>SUMIFS(Certificacion[[LIQUIDO A PAGAR]:[LIQUIDO A PAGAR]],Certificacion[[PERIODO
Imp.]:[PERIODO
Imp.]],Resultado!AT$7)</f>
        <v>0</v>
      </c>
      <c r="AU11" s="231">
        <f>SUMIFS(Certificacion[[LIQUIDO A PAGAR]:[LIQUIDO A PAGAR]],Certificacion[[PERIODO
Imp.]:[PERIODO
Imp.]],Resultado!AU$7)</f>
        <v>0</v>
      </c>
      <c r="AV11" s="231">
        <f>SUMIFS(Certificacion[[LIQUIDO A PAGAR]:[LIQUIDO A PAGAR]],Certificacion[[PERIODO
Imp.]:[PERIODO
Imp.]],Resultado!AV$7)</f>
        <v>0</v>
      </c>
      <c r="AW11" s="231">
        <f>SUMIFS(Certificacion[[LIQUIDO A PAGAR]:[LIQUIDO A PAGAR]],Certificacion[[PERIODO
Imp.]:[PERIODO
Imp.]],Resultado!AW$7)</f>
        <v>0</v>
      </c>
      <c r="AX11" s="231">
        <f>SUMIFS(Certificacion[[LIQUIDO A PAGAR]:[LIQUIDO A PAGAR]],Certificacion[[PERIODO
Imp.]:[PERIODO
Imp.]],Resultado!AX$7)</f>
        <v>0</v>
      </c>
      <c r="AY11" s="231">
        <f>SUMIFS(Certificacion[[LIQUIDO A PAGAR]:[LIQUIDO A PAGAR]],Certificacion[[PERIODO
Imp.]:[PERIODO
Imp.]],Resultado!AY$7)</f>
        <v>0</v>
      </c>
      <c r="AZ11" s="231">
        <f>SUMIFS(Certificacion[[LIQUIDO A PAGAR]:[LIQUIDO A PAGAR]],Certificacion[[PERIODO
Imp.]:[PERIODO
Imp.]],Resultado!AZ$7)</f>
        <v>0</v>
      </c>
      <c r="BA11" s="231">
        <f>SUMIFS(Certificacion[[LIQUIDO A PAGAR]:[LIQUIDO A PAGAR]],Certificacion[[PERIODO
Imp.]:[PERIODO
Imp.]],Resultado!BA$7)</f>
        <v>0</v>
      </c>
      <c r="BB11" s="231">
        <f>SUMIFS(Certificacion[[LIQUIDO A PAGAR]:[LIQUIDO A PAGAR]],Certificacion[[PERIODO
Imp.]:[PERIODO
Imp.]],Resultado!BB$7)</f>
        <v>0</v>
      </c>
    </row>
    <row r="12" spans="2:54" s="221" customFormat="1" ht="6.6" customHeight="1" x14ac:dyDescent="0.3">
      <c r="B12" s="222"/>
      <c r="C12" s="222"/>
      <c r="D12" s="222"/>
    </row>
    <row r="13" spans="2:54" s="224" customFormat="1" ht="14.85" customHeight="1" x14ac:dyDescent="0.3">
      <c r="B13" s="1042" t="s">
        <v>1019</v>
      </c>
      <c r="C13" s="1043"/>
      <c r="D13" s="229"/>
      <c r="E13" s="230">
        <f>SUM(G13:BB13)</f>
        <v>3533925.0583210988</v>
      </c>
      <c r="G13" s="231">
        <f>SUM(G15,G24)</f>
        <v>0</v>
      </c>
      <c r="H13" s="231">
        <f t="shared" ref="H13:Q13" si="0">SUM(H15,H24)</f>
        <v>138564.34639448795</v>
      </c>
      <c r="I13" s="231">
        <f t="shared" si="0"/>
        <v>379928.18843396101</v>
      </c>
      <c r="J13" s="231">
        <f t="shared" si="0"/>
        <v>914707.58448546333</v>
      </c>
      <c r="K13" s="231">
        <f t="shared" si="0"/>
        <v>643327.05754495086</v>
      </c>
      <c r="L13" s="231">
        <f t="shared" si="0"/>
        <v>426663.69856208237</v>
      </c>
      <c r="M13" s="231">
        <f t="shared" si="0"/>
        <v>199929.68832788902</v>
      </c>
      <c r="N13" s="231">
        <f t="shared" si="0"/>
        <v>92328.027920706605</v>
      </c>
      <c r="O13" s="231">
        <f t="shared" si="0"/>
        <v>53636.654730376002</v>
      </c>
      <c r="P13" s="231">
        <f t="shared" si="0"/>
        <v>81252.226145837994</v>
      </c>
      <c r="Q13" s="231">
        <f t="shared" si="0"/>
        <v>99700.925287585036</v>
      </c>
      <c r="R13" s="231">
        <f t="shared" ref="R13:AB13" si="1">SUM(R15,R24)</f>
        <v>144723.82007595384</v>
      </c>
      <c r="S13" s="231">
        <f t="shared" si="1"/>
        <v>85987.654486234809</v>
      </c>
      <c r="T13" s="231">
        <f t="shared" si="1"/>
        <v>79341.468170720022</v>
      </c>
      <c r="U13" s="231">
        <f t="shared" si="1"/>
        <v>163091.66931658384</v>
      </c>
      <c r="V13" s="231">
        <f t="shared" si="1"/>
        <v>4300.8513234161319</v>
      </c>
      <c r="W13" s="231">
        <f t="shared" si="1"/>
        <v>26441.197114850132</v>
      </c>
      <c r="X13" s="231">
        <f t="shared" si="1"/>
        <v>0</v>
      </c>
      <c r="Y13" s="231">
        <f t="shared" si="1"/>
        <v>0</v>
      </c>
      <c r="Z13" s="231">
        <f t="shared" si="1"/>
        <v>0</v>
      </c>
      <c r="AA13" s="231">
        <f t="shared" si="1"/>
        <v>0</v>
      </c>
      <c r="AB13" s="231">
        <f t="shared" si="1"/>
        <v>0</v>
      </c>
      <c r="AC13" s="231">
        <f>SUM(AC15,AC24)</f>
        <v>0</v>
      </c>
      <c r="AD13" s="231">
        <f t="shared" ref="AD13:BB13" si="2">SUM(AD15,AD24)</f>
        <v>0</v>
      </c>
      <c r="AE13" s="231">
        <f t="shared" si="2"/>
        <v>0</v>
      </c>
      <c r="AF13" s="231">
        <f t="shared" si="2"/>
        <v>0</v>
      </c>
      <c r="AG13" s="231">
        <f t="shared" si="2"/>
        <v>0</v>
      </c>
      <c r="AH13" s="231">
        <f t="shared" si="2"/>
        <v>0</v>
      </c>
      <c r="AI13" s="231">
        <f t="shared" si="2"/>
        <v>0</v>
      </c>
      <c r="AJ13" s="231">
        <f t="shared" si="2"/>
        <v>0</v>
      </c>
      <c r="AK13" s="231">
        <f t="shared" si="2"/>
        <v>0</v>
      </c>
      <c r="AL13" s="231">
        <f t="shared" si="2"/>
        <v>0</v>
      </c>
      <c r="AM13" s="231">
        <f t="shared" si="2"/>
        <v>0</v>
      </c>
      <c r="AN13" s="231">
        <f t="shared" si="2"/>
        <v>0</v>
      </c>
      <c r="AO13" s="231">
        <f t="shared" si="2"/>
        <v>0</v>
      </c>
      <c r="AP13" s="231">
        <f t="shared" si="2"/>
        <v>0</v>
      </c>
      <c r="AQ13" s="231">
        <f t="shared" si="2"/>
        <v>0</v>
      </c>
      <c r="AR13" s="231">
        <f t="shared" si="2"/>
        <v>0</v>
      </c>
      <c r="AS13" s="231">
        <f t="shared" si="2"/>
        <v>0</v>
      </c>
      <c r="AT13" s="231">
        <f t="shared" si="2"/>
        <v>0</v>
      </c>
      <c r="AU13" s="231">
        <f t="shared" si="2"/>
        <v>0</v>
      </c>
      <c r="AV13" s="231">
        <f t="shared" si="2"/>
        <v>0</v>
      </c>
      <c r="AW13" s="231">
        <f t="shared" si="2"/>
        <v>0</v>
      </c>
      <c r="AX13" s="231">
        <f t="shared" si="2"/>
        <v>0</v>
      </c>
      <c r="AY13" s="231">
        <f t="shared" si="2"/>
        <v>0</v>
      </c>
      <c r="AZ13" s="231">
        <f t="shared" si="2"/>
        <v>0</v>
      </c>
      <c r="BA13" s="231">
        <f t="shared" si="2"/>
        <v>0</v>
      </c>
      <c r="BB13" s="231">
        <f t="shared" si="2"/>
        <v>0</v>
      </c>
    </row>
    <row r="14" spans="2:54" s="221" customFormat="1" ht="6.6" customHeight="1" x14ac:dyDescent="0.3">
      <c r="B14" s="222"/>
      <c r="C14" s="222"/>
      <c r="D14" s="222"/>
    </row>
    <row r="15" spans="2:54" s="224" customFormat="1" x14ac:dyDescent="0.3">
      <c r="B15" s="1040" t="s">
        <v>1020</v>
      </c>
      <c r="C15" s="1041"/>
      <c r="D15" s="232"/>
      <c r="E15" s="233">
        <f t="shared" ref="E15:E34" si="3">SUM(G15:BB15)</f>
        <v>1774928.2265751932</v>
      </c>
      <c r="G15" s="234">
        <f>SUM('Indirect Costs'!BK9)</f>
        <v>0</v>
      </c>
      <c r="H15" s="234">
        <f>SUM('Indirect Costs'!BL9)</f>
        <v>33668.747122487926</v>
      </c>
      <c r="I15" s="234">
        <f>SUM('Indirect Costs'!BM9)</f>
        <v>126342.04956221201</v>
      </c>
      <c r="J15" s="234">
        <f>SUM('Indirect Costs'!BN9)</f>
        <v>198042.38925269651</v>
      </c>
      <c r="K15" s="234">
        <f>SUM('Indirect Costs'!BO9)</f>
        <v>264341.56770028092</v>
      </c>
      <c r="L15" s="234">
        <f>SUM('Indirect Costs'!BP9)</f>
        <v>173343.77958296236</v>
      </c>
      <c r="M15" s="234">
        <f>SUM('Indirect Costs'!BQ9)</f>
        <v>171585.19878228902</v>
      </c>
      <c r="N15" s="234">
        <f>SUM('Indirect Costs'!BR9)</f>
        <v>92328.027920706605</v>
      </c>
      <c r="O15" s="234">
        <f>SUM('Indirect Costs'!BS9)</f>
        <v>53636.654730376002</v>
      </c>
      <c r="P15" s="234">
        <f>SUM('Indirect Costs'!BT9)</f>
        <v>81252.226145837994</v>
      </c>
      <c r="Q15" s="234">
        <f>SUM('Indirect Costs'!BU9)</f>
        <v>99700.925287585036</v>
      </c>
      <c r="R15" s="234">
        <f>SUM('Indirect Costs'!BV9)</f>
        <v>144723.82007595384</v>
      </c>
      <c r="S15" s="234">
        <f>SUM('Indirect Costs'!BW9)</f>
        <v>85987.654486234809</v>
      </c>
      <c r="T15" s="234">
        <f>SUM('Indirect Costs'!BX9)</f>
        <v>79341.468170720022</v>
      </c>
      <c r="U15" s="234">
        <f>SUM('Indirect Costs'!BY9)</f>
        <v>163091.66931658384</v>
      </c>
      <c r="V15" s="234">
        <f>SUM('Indirect Costs'!BZ9)</f>
        <v>4300.8513234161319</v>
      </c>
      <c r="W15" s="234">
        <f>SUM('Indirect Costs'!CA9)</f>
        <v>3241.1971148501307</v>
      </c>
      <c r="X15" s="234">
        <f>SUM('Indirect Costs'!CB9)</f>
        <v>0</v>
      </c>
      <c r="Y15" s="234">
        <f>SUM('Indirect Costs'!CC9)</f>
        <v>0</v>
      </c>
      <c r="Z15" s="234">
        <f>SUM('Indirect Costs'!CD9)</f>
        <v>0</v>
      </c>
      <c r="AA15" s="234">
        <f>SUM('Indirect Costs'!CE9)</f>
        <v>0</v>
      </c>
      <c r="AB15" s="234">
        <f>SUM('Indirect Costs'!CF9)</f>
        <v>0</v>
      </c>
      <c r="AC15" s="234">
        <f>SUM('Indirect Costs'!CG9)</f>
        <v>0</v>
      </c>
      <c r="AD15" s="234">
        <f>SUM('Indirect Costs'!CH9)</f>
        <v>0</v>
      </c>
      <c r="AE15" s="234">
        <f>SUM('Indirect Costs'!CI9)</f>
        <v>0</v>
      </c>
      <c r="AF15" s="234">
        <f>SUM('Indirect Costs'!CJ9)</f>
        <v>0</v>
      </c>
      <c r="AG15" s="234">
        <f>SUM('Indirect Costs'!CK9)</f>
        <v>0</v>
      </c>
      <c r="AH15" s="234">
        <f>SUM('Indirect Costs'!CL9)</f>
        <v>0</v>
      </c>
      <c r="AI15" s="234">
        <f>SUM('Indirect Costs'!CM9)</f>
        <v>0</v>
      </c>
      <c r="AJ15" s="234">
        <f>SUM('Indirect Costs'!CN9)</f>
        <v>0</v>
      </c>
      <c r="AK15" s="234">
        <f>SUM('Indirect Costs'!CO9)</f>
        <v>0</v>
      </c>
      <c r="AL15" s="234">
        <f>SUM('Indirect Costs'!CP9)</f>
        <v>0</v>
      </c>
      <c r="AM15" s="234">
        <f>SUM('Indirect Costs'!CQ9)</f>
        <v>0</v>
      </c>
      <c r="AN15" s="234">
        <f>SUM('Indirect Costs'!CR9)</f>
        <v>0</v>
      </c>
      <c r="AO15" s="234">
        <f>SUM('Indirect Costs'!CS9)</f>
        <v>0</v>
      </c>
      <c r="AP15" s="234">
        <f>SUM('Indirect Costs'!CT9)</f>
        <v>0</v>
      </c>
      <c r="AQ15" s="234">
        <f>SUM('Indirect Costs'!CU9)</f>
        <v>0</v>
      </c>
      <c r="AR15" s="234">
        <f>SUM('Indirect Costs'!CV9)</f>
        <v>0</v>
      </c>
      <c r="AS15" s="234">
        <f>SUM('Indirect Costs'!CW9)</f>
        <v>0</v>
      </c>
      <c r="AT15" s="234">
        <f>SUM('Indirect Costs'!CX9)</f>
        <v>0</v>
      </c>
      <c r="AU15" s="234">
        <f>SUM('Indirect Costs'!CY9)</f>
        <v>0</v>
      </c>
      <c r="AV15" s="234">
        <f>SUM('Indirect Costs'!CZ9)</f>
        <v>0</v>
      </c>
      <c r="AW15" s="234">
        <f>SUM('Indirect Costs'!DA9)</f>
        <v>0</v>
      </c>
      <c r="AX15" s="234">
        <f>SUM('Indirect Costs'!DB9)</f>
        <v>0</v>
      </c>
      <c r="AY15" s="234">
        <f>SUM('Indirect Costs'!DC9)</f>
        <v>0</v>
      </c>
      <c r="AZ15" s="234">
        <f>SUM('Indirect Costs'!DD9)</f>
        <v>0</v>
      </c>
      <c r="BA15" s="234">
        <f>SUM('Indirect Costs'!DE9)</f>
        <v>0</v>
      </c>
      <c r="BB15" s="234">
        <f>SUM('Indirect Costs'!DF9)</f>
        <v>0</v>
      </c>
    </row>
    <row r="16" spans="2:54" s="221" customFormat="1" x14ac:dyDescent="0.3">
      <c r="B16" s="1038" t="str">
        <f>'Indirect Costs'!D11</f>
        <v>PERSONAL</v>
      </c>
      <c r="C16" s="1039"/>
      <c r="D16" s="223"/>
      <c r="E16" s="235">
        <f t="shared" si="3"/>
        <v>1005958.2394000002</v>
      </c>
      <c r="G16" s="237">
        <f>SUM('Indirect Costs'!BK11)</f>
        <v>0</v>
      </c>
      <c r="H16" s="237">
        <f>SUM('Indirect Costs'!BL11)</f>
        <v>0</v>
      </c>
      <c r="I16" s="237">
        <f>SUM('Indirect Costs'!BM11)</f>
        <v>116024.28300000001</v>
      </c>
      <c r="J16" s="237">
        <f>SUM('Indirect Costs'!BN11)</f>
        <v>99824.28300000001</v>
      </c>
      <c r="K16" s="237">
        <f>SUM('Indirect Costs'!BO11)</f>
        <v>89024.28300000001</v>
      </c>
      <c r="L16" s="237">
        <f>SUM('Indirect Costs'!BP11)</f>
        <v>70217.808000000005</v>
      </c>
      <c r="M16" s="237">
        <f>SUM('Indirect Costs'!BQ11)</f>
        <v>66929.208000000013</v>
      </c>
      <c r="N16" s="237">
        <f>SUM('Indirect Costs'!BR11)</f>
        <v>68549.208000000013</v>
      </c>
      <c r="O16" s="237">
        <f>SUM('Indirect Costs'!BS11)</f>
        <v>49014.168000000005</v>
      </c>
      <c r="P16" s="237">
        <f>SUM('Indirect Costs'!BT11)</f>
        <v>51269.207999999999</v>
      </c>
      <c r="Q16" s="237">
        <f>SUM('Indirect Costs'!BU11)</f>
        <v>77866.168000000005</v>
      </c>
      <c r="R16" s="237">
        <f>SUM('Indirect Costs'!BV11)</f>
        <v>79554.648000000016</v>
      </c>
      <c r="S16" s="237">
        <f>SUM('Indirect Costs'!BW11)</f>
        <v>79554.648000000016</v>
      </c>
      <c r="T16" s="237">
        <f>SUM('Indirect Costs'!BX11)</f>
        <v>77772.648000000016</v>
      </c>
      <c r="U16" s="237">
        <f>SUM('Indirect Costs'!BY11)</f>
        <v>80357.678400000004</v>
      </c>
      <c r="V16" s="237">
        <f>SUM('Indirect Costs'!BZ11)</f>
        <v>0</v>
      </c>
      <c r="W16" s="237">
        <f>SUM('Indirect Costs'!CA11)</f>
        <v>0</v>
      </c>
      <c r="X16" s="237">
        <f>SUM('Indirect Costs'!CB11)</f>
        <v>0</v>
      </c>
      <c r="Y16" s="237">
        <f>SUM('Indirect Costs'!CC11)</f>
        <v>0</v>
      </c>
      <c r="Z16" s="237">
        <f>SUM('Indirect Costs'!CD11)</f>
        <v>0</v>
      </c>
      <c r="AA16" s="237">
        <f>SUM('Indirect Costs'!CE11)</f>
        <v>0</v>
      </c>
      <c r="AB16" s="237">
        <f>SUM('Indirect Costs'!CF11)</f>
        <v>0</v>
      </c>
      <c r="AC16" s="237">
        <f>SUM('Indirect Costs'!CG11)</f>
        <v>0</v>
      </c>
      <c r="AD16" s="237">
        <f>SUM('Indirect Costs'!CH11)</f>
        <v>0</v>
      </c>
      <c r="AE16" s="237">
        <f>SUM('Indirect Costs'!CI11)</f>
        <v>0</v>
      </c>
      <c r="AF16" s="237">
        <f>SUM('Indirect Costs'!CJ11)</f>
        <v>0</v>
      </c>
      <c r="AG16" s="237">
        <f>SUM('Indirect Costs'!CK11)</f>
        <v>0</v>
      </c>
      <c r="AH16" s="237">
        <f>SUM('Indirect Costs'!CL11)</f>
        <v>0</v>
      </c>
      <c r="AI16" s="237">
        <f>SUM('Indirect Costs'!CM11)</f>
        <v>0</v>
      </c>
      <c r="AJ16" s="237">
        <f>SUM('Indirect Costs'!CN11)</f>
        <v>0</v>
      </c>
      <c r="AK16" s="237">
        <f>SUM('Indirect Costs'!CO11)</f>
        <v>0</v>
      </c>
      <c r="AL16" s="237">
        <f>SUM('Indirect Costs'!CP11)</f>
        <v>0</v>
      </c>
      <c r="AM16" s="237">
        <f>SUM('Indirect Costs'!CQ11)</f>
        <v>0</v>
      </c>
      <c r="AN16" s="237">
        <f>SUM('Indirect Costs'!CR11)</f>
        <v>0</v>
      </c>
      <c r="AO16" s="237">
        <f>SUM('Indirect Costs'!CS11)</f>
        <v>0</v>
      </c>
      <c r="AP16" s="237">
        <f>SUM('Indirect Costs'!CT11)</f>
        <v>0</v>
      </c>
      <c r="AQ16" s="237">
        <f>SUM('Indirect Costs'!CU11)</f>
        <v>0</v>
      </c>
      <c r="AR16" s="237">
        <f>SUM('Indirect Costs'!CV11)</f>
        <v>0</v>
      </c>
      <c r="AS16" s="237">
        <f>SUM('Indirect Costs'!CW11)</f>
        <v>0</v>
      </c>
      <c r="AT16" s="237">
        <f>SUM('Indirect Costs'!CX11)</f>
        <v>0</v>
      </c>
      <c r="AU16" s="237">
        <f>SUM('Indirect Costs'!CY11)</f>
        <v>0</v>
      </c>
      <c r="AV16" s="237">
        <f>SUM('Indirect Costs'!CZ11)</f>
        <v>0</v>
      </c>
      <c r="AW16" s="237">
        <f>SUM('Indirect Costs'!DA11)</f>
        <v>0</v>
      </c>
      <c r="AX16" s="237">
        <f>SUM('Indirect Costs'!DB11)</f>
        <v>0</v>
      </c>
      <c r="AY16" s="237">
        <f>SUM('Indirect Costs'!DC11)</f>
        <v>0</v>
      </c>
      <c r="AZ16" s="237">
        <f>SUM('Indirect Costs'!DD11)</f>
        <v>0</v>
      </c>
      <c r="BA16" s="237">
        <f>SUM('Indirect Costs'!DE11)</f>
        <v>0</v>
      </c>
      <c r="BB16" s="237">
        <f>SUM('Indirect Costs'!DF11)</f>
        <v>0</v>
      </c>
    </row>
    <row r="17" spans="2:54" s="221" customFormat="1" x14ac:dyDescent="0.3">
      <c r="B17" s="1038" t="str">
        <f>'Indirect Costs'!D52</f>
        <v>EQUIPAMIENTO PARA PERSONAL DE OBRA</v>
      </c>
      <c r="C17" s="1039"/>
      <c r="D17" s="223"/>
      <c r="E17" s="235">
        <f t="shared" si="3"/>
        <v>396620.49290966307</v>
      </c>
      <c r="G17" s="237">
        <f>SUM('Indirect Costs'!BK52)</f>
        <v>0</v>
      </c>
      <c r="H17" s="237">
        <f>SUM('Indirect Costs'!BL52)</f>
        <v>17569.406433657925</v>
      </c>
      <c r="I17" s="237">
        <f>SUM('Indirect Costs'!BM52)</f>
        <v>4023.2673622119996</v>
      </c>
      <c r="J17" s="237">
        <f>SUM('Indirect Costs'!BN52)</f>
        <v>38674.029945396527</v>
      </c>
      <c r="K17" s="237">
        <f>SUM('Indirect Costs'!BO52)</f>
        <v>81230.771830920916</v>
      </c>
      <c r="L17" s="237">
        <f>SUM('Indirect Costs'!BP52)</f>
        <v>34556.263334922347</v>
      </c>
      <c r="M17" s="237">
        <f>SUM('Indirect Costs'!BQ52)</f>
        <v>22974.988182289009</v>
      </c>
      <c r="N17" s="237">
        <f>SUM('Indirect Costs'!BR52)</f>
        <v>11749.49780870659</v>
      </c>
      <c r="O17" s="237">
        <f>SUM('Indirect Costs'!BS52)</f>
        <v>4622.4867303759993</v>
      </c>
      <c r="P17" s="237">
        <f>SUM('Indirect Costs'!BT52)</f>
        <v>24343.018145837999</v>
      </c>
      <c r="Q17" s="237">
        <f>SUM('Indirect Costs'!BU52)</f>
        <v>21834.757287585035</v>
      </c>
      <c r="R17" s="237">
        <f>SUM('Indirect Costs'!BV52)</f>
        <v>46766.157675953844</v>
      </c>
      <c r="S17" s="237">
        <f>SUM('Indirect Costs'!BW52)</f>
        <v>1696.0012862347958</v>
      </c>
      <c r="T17" s="237">
        <f>SUM('Indirect Costs'!BX52)</f>
        <v>1568.8201707200001</v>
      </c>
      <c r="U17" s="237">
        <f>SUM('Indirect Costs'!BY52)</f>
        <v>81038.978276583832</v>
      </c>
      <c r="V17" s="237">
        <f>SUM('Indirect Costs'!BZ52)</f>
        <v>730.85132341613223</v>
      </c>
      <c r="W17" s="237">
        <f>SUM('Indirect Costs'!CA52)</f>
        <v>3241.1971148501307</v>
      </c>
      <c r="X17" s="237">
        <f>SUM('Indirect Costs'!CB52)</f>
        <v>0</v>
      </c>
      <c r="Y17" s="237">
        <f>SUM('Indirect Costs'!CC52)</f>
        <v>0</v>
      </c>
      <c r="Z17" s="237">
        <f>SUM('Indirect Costs'!CD52)</f>
        <v>0</v>
      </c>
      <c r="AA17" s="237">
        <f>SUM('Indirect Costs'!CE52)</f>
        <v>0</v>
      </c>
      <c r="AB17" s="237">
        <f>SUM('Indirect Costs'!CF52)</f>
        <v>0</v>
      </c>
      <c r="AC17" s="237">
        <f>SUM('Indirect Costs'!CG52)</f>
        <v>0</v>
      </c>
      <c r="AD17" s="237">
        <f>SUM('Indirect Costs'!CH52)</f>
        <v>0</v>
      </c>
      <c r="AE17" s="237">
        <f>SUM('Indirect Costs'!CI52)</f>
        <v>0</v>
      </c>
      <c r="AF17" s="237">
        <f>SUM('Indirect Costs'!CJ52)</f>
        <v>0</v>
      </c>
      <c r="AG17" s="237">
        <f>SUM('Indirect Costs'!CK52)</f>
        <v>0</v>
      </c>
      <c r="AH17" s="237">
        <f>SUM('Indirect Costs'!CL52)</f>
        <v>0</v>
      </c>
      <c r="AI17" s="237">
        <f>SUM('Indirect Costs'!CM52)</f>
        <v>0</v>
      </c>
      <c r="AJ17" s="237">
        <f>SUM('Indirect Costs'!CN52)</f>
        <v>0</v>
      </c>
      <c r="AK17" s="237">
        <f>SUM('Indirect Costs'!CO52)</f>
        <v>0</v>
      </c>
      <c r="AL17" s="237">
        <f>SUM('Indirect Costs'!CP52)</f>
        <v>0</v>
      </c>
      <c r="AM17" s="237">
        <f>SUM('Indirect Costs'!CQ52)</f>
        <v>0</v>
      </c>
      <c r="AN17" s="237">
        <f>SUM('Indirect Costs'!CR52)</f>
        <v>0</v>
      </c>
      <c r="AO17" s="237">
        <f>SUM('Indirect Costs'!CS52)</f>
        <v>0</v>
      </c>
      <c r="AP17" s="237">
        <f>SUM('Indirect Costs'!CT52)</f>
        <v>0</v>
      </c>
      <c r="AQ17" s="237">
        <f>SUM('Indirect Costs'!CU52)</f>
        <v>0</v>
      </c>
      <c r="AR17" s="237">
        <f>SUM('Indirect Costs'!CV52)</f>
        <v>0</v>
      </c>
      <c r="AS17" s="237">
        <f>SUM('Indirect Costs'!CW52)</f>
        <v>0</v>
      </c>
      <c r="AT17" s="237">
        <f>SUM('Indirect Costs'!CX52)</f>
        <v>0</v>
      </c>
      <c r="AU17" s="237">
        <f>SUM('Indirect Costs'!CY52)</f>
        <v>0</v>
      </c>
      <c r="AV17" s="237">
        <f>SUM('Indirect Costs'!CZ52)</f>
        <v>0</v>
      </c>
      <c r="AW17" s="237">
        <f>SUM('Indirect Costs'!DA52)</f>
        <v>0</v>
      </c>
      <c r="AX17" s="237">
        <f>SUM('Indirect Costs'!DB52)</f>
        <v>0</v>
      </c>
      <c r="AY17" s="237">
        <f>SUM('Indirect Costs'!DC52)</f>
        <v>0</v>
      </c>
      <c r="AZ17" s="237">
        <f>SUM('Indirect Costs'!DD52)</f>
        <v>0</v>
      </c>
      <c r="BA17" s="237">
        <f>SUM('Indirect Costs'!DE52)</f>
        <v>0</v>
      </c>
      <c r="BB17" s="237">
        <f>SUM('Indirect Costs'!DF52)</f>
        <v>0</v>
      </c>
    </row>
    <row r="18" spans="2:54" s="221" customFormat="1" x14ac:dyDescent="0.3">
      <c r="B18" s="1038" t="str">
        <f>'Indirect Costs'!D63</f>
        <v>TRASLADOS Y HOSPEDAJES</v>
      </c>
      <c r="C18" s="1039"/>
      <c r="D18" s="223"/>
      <c r="E18" s="235">
        <f t="shared" si="3"/>
        <v>171311.51834464003</v>
      </c>
      <c r="G18" s="237">
        <f>SUM('Indirect Costs'!BK63)</f>
        <v>0</v>
      </c>
      <c r="H18" s="237">
        <f>SUM('Indirect Costs'!BL63)</f>
        <v>12578.344608830001</v>
      </c>
      <c r="I18" s="237">
        <f>SUM('Indirect Costs'!BM63)</f>
        <v>0</v>
      </c>
      <c r="J18" s="237">
        <f>SUM('Indirect Costs'!BN63)</f>
        <v>43753.622354449995</v>
      </c>
      <c r="K18" s="237">
        <f>SUM('Indirect Costs'!BO63)</f>
        <v>22283.996469360001</v>
      </c>
      <c r="L18" s="237">
        <f>SUM('Indirect Costs'!BP63)</f>
        <v>18300.010399999999</v>
      </c>
      <c r="M18" s="237">
        <f>SUM('Indirect Costs'!BQ63)</f>
        <v>29197.198400000001</v>
      </c>
      <c r="N18" s="237">
        <f>SUM('Indirect Costs'!BR63)</f>
        <v>11702.318111999999</v>
      </c>
      <c r="O18" s="237">
        <f>SUM('Indirect Costs'!BS63)</f>
        <v>0</v>
      </c>
      <c r="P18" s="237">
        <f>SUM('Indirect Costs'!BT63)</f>
        <v>5640</v>
      </c>
      <c r="Q18" s="237">
        <f>SUM('Indirect Costs'!BU63)</f>
        <v>0</v>
      </c>
      <c r="R18" s="237">
        <f>SUM('Indirect Costs'!BV63)</f>
        <v>18403.0144</v>
      </c>
      <c r="S18" s="237">
        <f>SUM('Indirect Costs'!BW63)</f>
        <v>4403</v>
      </c>
      <c r="T18" s="237">
        <f>SUM('Indirect Costs'!BX63)</f>
        <v>0</v>
      </c>
      <c r="U18" s="237">
        <f>SUM('Indirect Costs'!BY63)</f>
        <v>1480.0136</v>
      </c>
      <c r="V18" s="237">
        <f>SUM('Indirect Costs'!BZ63)</f>
        <v>3570</v>
      </c>
      <c r="W18" s="237">
        <f>SUM('Indirect Costs'!CA63)</f>
        <v>0</v>
      </c>
      <c r="X18" s="237">
        <f>SUM('Indirect Costs'!CB63)</f>
        <v>0</v>
      </c>
      <c r="Y18" s="237">
        <f>SUM('Indirect Costs'!CC63)</f>
        <v>0</v>
      </c>
      <c r="Z18" s="237">
        <f>SUM('Indirect Costs'!CD63)</f>
        <v>0</v>
      </c>
      <c r="AA18" s="237">
        <f>SUM('Indirect Costs'!CE63)</f>
        <v>0</v>
      </c>
      <c r="AB18" s="237">
        <f>SUM('Indirect Costs'!CF63)</f>
        <v>0</v>
      </c>
      <c r="AC18" s="237">
        <f>SUM('Indirect Costs'!CG63)</f>
        <v>0</v>
      </c>
      <c r="AD18" s="237">
        <f>SUM('Indirect Costs'!CH63)</f>
        <v>0</v>
      </c>
      <c r="AE18" s="237">
        <f>SUM('Indirect Costs'!CI63)</f>
        <v>0</v>
      </c>
      <c r="AF18" s="237">
        <f>SUM('Indirect Costs'!CJ63)</f>
        <v>0</v>
      </c>
      <c r="AG18" s="237">
        <f>SUM('Indirect Costs'!CK63)</f>
        <v>0</v>
      </c>
      <c r="AH18" s="237">
        <f>SUM('Indirect Costs'!CL63)</f>
        <v>0</v>
      </c>
      <c r="AI18" s="237">
        <f>SUM('Indirect Costs'!CM63)</f>
        <v>0</v>
      </c>
      <c r="AJ18" s="237">
        <f>SUM('Indirect Costs'!CN63)</f>
        <v>0</v>
      </c>
      <c r="AK18" s="237">
        <f>SUM('Indirect Costs'!CO63)</f>
        <v>0</v>
      </c>
      <c r="AL18" s="237">
        <f>SUM('Indirect Costs'!CP63)</f>
        <v>0</v>
      </c>
      <c r="AM18" s="237">
        <f>SUM('Indirect Costs'!CQ63)</f>
        <v>0</v>
      </c>
      <c r="AN18" s="237">
        <f>SUM('Indirect Costs'!CR63)</f>
        <v>0</v>
      </c>
      <c r="AO18" s="237">
        <f>SUM('Indirect Costs'!CS63)</f>
        <v>0</v>
      </c>
      <c r="AP18" s="237">
        <f>SUM('Indirect Costs'!CT63)</f>
        <v>0</v>
      </c>
      <c r="AQ18" s="237">
        <f>SUM('Indirect Costs'!CU63)</f>
        <v>0</v>
      </c>
      <c r="AR18" s="237">
        <f>SUM('Indirect Costs'!CV63)</f>
        <v>0</v>
      </c>
      <c r="AS18" s="237">
        <f>SUM('Indirect Costs'!CW63)</f>
        <v>0</v>
      </c>
      <c r="AT18" s="237">
        <f>SUM('Indirect Costs'!CX63)</f>
        <v>0</v>
      </c>
      <c r="AU18" s="237">
        <f>SUM('Indirect Costs'!CY63)</f>
        <v>0</v>
      </c>
      <c r="AV18" s="237">
        <f>SUM('Indirect Costs'!CZ63)</f>
        <v>0</v>
      </c>
      <c r="AW18" s="237">
        <f>SUM('Indirect Costs'!DA63)</f>
        <v>0</v>
      </c>
      <c r="AX18" s="237">
        <f>SUM('Indirect Costs'!DB63)</f>
        <v>0</v>
      </c>
      <c r="AY18" s="237">
        <f>SUM('Indirect Costs'!DC63)</f>
        <v>0</v>
      </c>
      <c r="AZ18" s="237">
        <f>SUM('Indirect Costs'!DD63)</f>
        <v>0</v>
      </c>
      <c r="BA18" s="237">
        <f>SUM('Indirect Costs'!DE63)</f>
        <v>0</v>
      </c>
      <c r="BB18" s="237">
        <f>SUM('Indirect Costs'!DF63)</f>
        <v>0</v>
      </c>
    </row>
    <row r="19" spans="2:54" s="221" customFormat="1" x14ac:dyDescent="0.3">
      <c r="B19" s="1038" t="str">
        <f>'Indirect Costs'!D71</f>
        <v>GASTOS DE OFICINA CENTRAL</v>
      </c>
      <c r="C19" s="1039"/>
      <c r="D19" s="223"/>
      <c r="E19" s="235">
        <f t="shared" si="3"/>
        <v>58081.832952850003</v>
      </c>
      <c r="G19" s="237">
        <f>SUM('Indirect Costs'!BK71)</f>
        <v>0</v>
      </c>
      <c r="H19" s="237">
        <f>SUM('Indirect Costs'!BL71)</f>
        <v>3520.9960800000003</v>
      </c>
      <c r="I19" s="237">
        <f>SUM('Indirect Costs'!BM71)</f>
        <v>5593.9984000000004</v>
      </c>
      <c r="J19" s="237">
        <f>SUM('Indirect Costs'!BN71)</f>
        <v>7630.44995285</v>
      </c>
      <c r="K19" s="237">
        <f>SUM('Indirect Costs'!BO71)</f>
        <v>27981.856399999997</v>
      </c>
      <c r="L19" s="237">
        <f>SUM('Indirect Costs'!BP71)</f>
        <v>8108.039679999999</v>
      </c>
      <c r="M19" s="237">
        <f>SUM('Indirect Costs'!BQ71)</f>
        <v>4370.4841999999999</v>
      </c>
      <c r="N19" s="237">
        <f>SUM('Indirect Costs'!BR71)</f>
        <v>327.00399999999996</v>
      </c>
      <c r="O19" s="237">
        <f>SUM('Indirect Costs'!BS71)</f>
        <v>0</v>
      </c>
      <c r="P19" s="237">
        <f>SUM('Indirect Costs'!BT71)</f>
        <v>0</v>
      </c>
      <c r="Q19" s="237">
        <f>SUM('Indirect Costs'!BU71)</f>
        <v>0</v>
      </c>
      <c r="R19" s="237">
        <f>SUM('Indirect Costs'!BV71)</f>
        <v>0</v>
      </c>
      <c r="S19" s="237">
        <f>SUM('Indirect Costs'!BW71)</f>
        <v>334.00519999999995</v>
      </c>
      <c r="T19" s="237">
        <f>SUM('Indirect Costs'!BX71)</f>
        <v>0</v>
      </c>
      <c r="U19" s="237">
        <f>SUM('Indirect Costs'!BY71)</f>
        <v>214.99903999999998</v>
      </c>
      <c r="V19" s="237">
        <f>SUM('Indirect Costs'!BZ71)</f>
        <v>0</v>
      </c>
      <c r="W19" s="237">
        <f>SUM('Indirect Costs'!CA71)</f>
        <v>0</v>
      </c>
      <c r="X19" s="237">
        <f>SUM('Indirect Costs'!CB71)</f>
        <v>0</v>
      </c>
      <c r="Y19" s="237">
        <f>SUM('Indirect Costs'!CC71)</f>
        <v>0</v>
      </c>
      <c r="Z19" s="237">
        <f>SUM('Indirect Costs'!CD71)</f>
        <v>0</v>
      </c>
      <c r="AA19" s="237">
        <f>SUM('Indirect Costs'!CE71)</f>
        <v>0</v>
      </c>
      <c r="AB19" s="237">
        <f>SUM('Indirect Costs'!CF71)</f>
        <v>0</v>
      </c>
      <c r="AC19" s="237">
        <f>SUM('Indirect Costs'!CG71)</f>
        <v>0</v>
      </c>
      <c r="AD19" s="237">
        <f>SUM('Indirect Costs'!CH71)</f>
        <v>0</v>
      </c>
      <c r="AE19" s="237">
        <f>SUM('Indirect Costs'!CI71)</f>
        <v>0</v>
      </c>
      <c r="AF19" s="237">
        <f>SUM('Indirect Costs'!CJ71)</f>
        <v>0</v>
      </c>
      <c r="AG19" s="237">
        <f>SUM('Indirect Costs'!CK71)</f>
        <v>0</v>
      </c>
      <c r="AH19" s="237">
        <f>SUM('Indirect Costs'!CL71)</f>
        <v>0</v>
      </c>
      <c r="AI19" s="237">
        <f>SUM('Indirect Costs'!CM71)</f>
        <v>0</v>
      </c>
      <c r="AJ19" s="237">
        <f>SUM('Indirect Costs'!CN71)</f>
        <v>0</v>
      </c>
      <c r="AK19" s="237">
        <f>SUM('Indirect Costs'!CO71)</f>
        <v>0</v>
      </c>
      <c r="AL19" s="237">
        <f>SUM('Indirect Costs'!CP71)</f>
        <v>0</v>
      </c>
      <c r="AM19" s="237">
        <f>SUM('Indirect Costs'!CQ71)</f>
        <v>0</v>
      </c>
      <c r="AN19" s="237">
        <f>SUM('Indirect Costs'!CR71)</f>
        <v>0</v>
      </c>
      <c r="AO19" s="237">
        <f>SUM('Indirect Costs'!CS71)</f>
        <v>0</v>
      </c>
      <c r="AP19" s="237">
        <f>SUM('Indirect Costs'!CT71)</f>
        <v>0</v>
      </c>
      <c r="AQ19" s="237">
        <f>SUM('Indirect Costs'!CU71)</f>
        <v>0</v>
      </c>
      <c r="AR19" s="237">
        <f>SUM('Indirect Costs'!CV71)</f>
        <v>0</v>
      </c>
      <c r="AS19" s="237">
        <f>SUM('Indirect Costs'!CW71)</f>
        <v>0</v>
      </c>
      <c r="AT19" s="237">
        <f>SUM('Indirect Costs'!CX71)</f>
        <v>0</v>
      </c>
      <c r="AU19" s="237">
        <f>SUM('Indirect Costs'!CY71)</f>
        <v>0</v>
      </c>
      <c r="AV19" s="237">
        <f>SUM('Indirect Costs'!CZ71)</f>
        <v>0</v>
      </c>
      <c r="AW19" s="237">
        <f>SUM('Indirect Costs'!DA71)</f>
        <v>0</v>
      </c>
      <c r="AX19" s="237">
        <f>SUM('Indirect Costs'!DB71)</f>
        <v>0</v>
      </c>
      <c r="AY19" s="237">
        <f>SUM('Indirect Costs'!DC71)</f>
        <v>0</v>
      </c>
      <c r="AZ19" s="237">
        <f>SUM('Indirect Costs'!DD71)</f>
        <v>0</v>
      </c>
      <c r="BA19" s="237">
        <f>SUM('Indirect Costs'!DE71)</f>
        <v>0</v>
      </c>
      <c r="BB19" s="237">
        <f>SUM('Indirect Costs'!DF71)</f>
        <v>0</v>
      </c>
    </row>
    <row r="20" spans="2:54" s="221" customFormat="1" x14ac:dyDescent="0.3">
      <c r="B20" s="1038" t="str">
        <f>'Indirect Costs'!D82</f>
        <v>IMPLANTACION EN SITIO DE OBRA</v>
      </c>
      <c r="C20" s="1039"/>
      <c r="D20" s="223"/>
      <c r="E20" s="235">
        <f t="shared" si="3"/>
        <v>0</v>
      </c>
      <c r="G20" s="237">
        <f>SUM('Indirect Costs'!BK82)</f>
        <v>0</v>
      </c>
      <c r="H20" s="237">
        <f>SUM('Indirect Costs'!BL82)</f>
        <v>0</v>
      </c>
      <c r="I20" s="237">
        <f>SUM('Indirect Costs'!BM82)</f>
        <v>0</v>
      </c>
      <c r="J20" s="237">
        <f>SUM('Indirect Costs'!BN82)</f>
        <v>0</v>
      </c>
      <c r="K20" s="237">
        <f>SUM('Indirect Costs'!BO82)</f>
        <v>0</v>
      </c>
      <c r="L20" s="237">
        <f>SUM('Indirect Costs'!BP82)</f>
        <v>0</v>
      </c>
      <c r="M20" s="237">
        <f>SUM('Indirect Costs'!BQ82)</f>
        <v>0</v>
      </c>
      <c r="N20" s="237">
        <f>SUM('Indirect Costs'!BR82)</f>
        <v>0</v>
      </c>
      <c r="O20" s="237">
        <f>SUM('Indirect Costs'!BS82)</f>
        <v>0</v>
      </c>
      <c r="P20" s="237">
        <f>SUM('Indirect Costs'!BT82)</f>
        <v>0</v>
      </c>
      <c r="Q20" s="237">
        <f>SUM('Indirect Costs'!BU82)</f>
        <v>0</v>
      </c>
      <c r="R20" s="237">
        <f>SUM('Indirect Costs'!BV82)</f>
        <v>0</v>
      </c>
      <c r="S20" s="237">
        <f>SUM('Indirect Costs'!BW82)</f>
        <v>0</v>
      </c>
      <c r="T20" s="237">
        <f>SUM('Indirect Costs'!BX82)</f>
        <v>0</v>
      </c>
      <c r="U20" s="237">
        <f>SUM('Indirect Costs'!BY82)</f>
        <v>0</v>
      </c>
      <c r="V20" s="237">
        <f>SUM('Indirect Costs'!BZ82)</f>
        <v>0</v>
      </c>
      <c r="W20" s="237">
        <f>SUM('Indirect Costs'!CA82)</f>
        <v>0</v>
      </c>
      <c r="X20" s="237">
        <f>SUM('Indirect Costs'!CB82)</f>
        <v>0</v>
      </c>
      <c r="Y20" s="237">
        <f>SUM('Indirect Costs'!CC82)</f>
        <v>0</v>
      </c>
      <c r="Z20" s="237">
        <f>SUM('Indirect Costs'!CD82)</f>
        <v>0</v>
      </c>
      <c r="AA20" s="237">
        <f>SUM('Indirect Costs'!CE82)</f>
        <v>0</v>
      </c>
      <c r="AB20" s="237">
        <f>SUM('Indirect Costs'!CF82)</f>
        <v>0</v>
      </c>
      <c r="AC20" s="237">
        <f>SUM('Indirect Costs'!CG82)</f>
        <v>0</v>
      </c>
      <c r="AD20" s="237">
        <f>SUM('Indirect Costs'!CH82)</f>
        <v>0</v>
      </c>
      <c r="AE20" s="237">
        <f>SUM('Indirect Costs'!CI82)</f>
        <v>0</v>
      </c>
      <c r="AF20" s="237">
        <f>SUM('Indirect Costs'!CJ82)</f>
        <v>0</v>
      </c>
      <c r="AG20" s="237">
        <f>SUM('Indirect Costs'!CK82)</f>
        <v>0</v>
      </c>
      <c r="AH20" s="237">
        <f>SUM('Indirect Costs'!CL82)</f>
        <v>0</v>
      </c>
      <c r="AI20" s="237">
        <f>SUM('Indirect Costs'!CM82)</f>
        <v>0</v>
      </c>
      <c r="AJ20" s="237">
        <f>SUM('Indirect Costs'!CN82)</f>
        <v>0</v>
      </c>
      <c r="AK20" s="237">
        <f>SUM('Indirect Costs'!CO82)</f>
        <v>0</v>
      </c>
      <c r="AL20" s="237">
        <f>SUM('Indirect Costs'!CP82)</f>
        <v>0</v>
      </c>
      <c r="AM20" s="237">
        <f>SUM('Indirect Costs'!CQ82)</f>
        <v>0</v>
      </c>
      <c r="AN20" s="237">
        <f>SUM('Indirect Costs'!CR82)</f>
        <v>0</v>
      </c>
      <c r="AO20" s="237">
        <f>SUM('Indirect Costs'!CS82)</f>
        <v>0</v>
      </c>
      <c r="AP20" s="237">
        <f>SUM('Indirect Costs'!CT82)</f>
        <v>0</v>
      </c>
      <c r="AQ20" s="237">
        <f>SUM('Indirect Costs'!CU82)</f>
        <v>0</v>
      </c>
      <c r="AR20" s="237">
        <f>SUM('Indirect Costs'!CV82)</f>
        <v>0</v>
      </c>
      <c r="AS20" s="237">
        <f>SUM('Indirect Costs'!CW82)</f>
        <v>0</v>
      </c>
      <c r="AT20" s="237">
        <f>SUM('Indirect Costs'!CX82)</f>
        <v>0</v>
      </c>
      <c r="AU20" s="237">
        <f>SUM('Indirect Costs'!CY82)</f>
        <v>0</v>
      </c>
      <c r="AV20" s="237">
        <f>SUM('Indirect Costs'!CZ82)</f>
        <v>0</v>
      </c>
      <c r="AW20" s="237">
        <f>SUM('Indirect Costs'!DA82)</f>
        <v>0</v>
      </c>
      <c r="AX20" s="237">
        <f>SUM('Indirect Costs'!DB82)</f>
        <v>0</v>
      </c>
      <c r="AY20" s="237">
        <f>SUM('Indirect Costs'!DC82)</f>
        <v>0</v>
      </c>
      <c r="AZ20" s="237">
        <f>SUM('Indirect Costs'!DD82)</f>
        <v>0</v>
      </c>
      <c r="BA20" s="237">
        <f>SUM('Indirect Costs'!DE82)</f>
        <v>0</v>
      </c>
      <c r="BB20" s="237">
        <f>SUM('Indirect Costs'!DF82)</f>
        <v>0</v>
      </c>
    </row>
    <row r="21" spans="2:54" s="221" customFormat="1" x14ac:dyDescent="0.3">
      <c r="B21" s="1038" t="str">
        <f>'Indirect Costs'!D91</f>
        <v>OTROS COSTOS OPERATIVOS</v>
      </c>
      <c r="C21" s="1039"/>
      <c r="D21" s="223"/>
      <c r="E21" s="235">
        <f t="shared" si="3"/>
        <v>19297.502968039997</v>
      </c>
      <c r="G21" s="237">
        <f>SUM('Indirect Costs'!BK91)</f>
        <v>0</v>
      </c>
      <c r="H21" s="237">
        <f>SUM('Indirect Costs'!BL91)</f>
        <v>0</v>
      </c>
      <c r="I21" s="237">
        <f>SUM('Indirect Costs'!BM91)</f>
        <v>700.50080000000003</v>
      </c>
      <c r="J21" s="237">
        <f>SUM('Indirect Costs'!BN91)</f>
        <v>2328.0039999999999</v>
      </c>
      <c r="K21" s="237">
        <f>SUM('Indirect Costs'!BO91)</f>
        <v>10800</v>
      </c>
      <c r="L21" s="237">
        <f>SUM('Indirect Costs'!BP91)</f>
        <v>5468.9981680399997</v>
      </c>
      <c r="M21" s="237">
        <f>SUM('Indirect Costs'!BQ91)</f>
        <v>0</v>
      </c>
      <c r="N21" s="237">
        <f>SUM('Indirect Costs'!BR91)</f>
        <v>0</v>
      </c>
      <c r="O21" s="237">
        <f>SUM('Indirect Costs'!BS91)</f>
        <v>0</v>
      </c>
      <c r="P21" s="237">
        <f>SUM('Indirect Costs'!BT91)</f>
        <v>0</v>
      </c>
      <c r="Q21" s="237">
        <f>SUM('Indirect Costs'!BU91)</f>
        <v>0</v>
      </c>
      <c r="R21" s="237">
        <f>SUM('Indirect Costs'!BV91)</f>
        <v>0</v>
      </c>
      <c r="S21" s="237">
        <f>SUM('Indirect Costs'!BW91)</f>
        <v>0</v>
      </c>
      <c r="T21" s="237">
        <f>SUM('Indirect Costs'!BX91)</f>
        <v>0</v>
      </c>
      <c r="U21" s="237">
        <f>SUM('Indirect Costs'!BY91)</f>
        <v>0</v>
      </c>
      <c r="V21" s="237">
        <f>SUM('Indirect Costs'!BZ91)</f>
        <v>0</v>
      </c>
      <c r="W21" s="237">
        <f>SUM('Indirect Costs'!CA91)</f>
        <v>0</v>
      </c>
      <c r="X21" s="237">
        <f>SUM('Indirect Costs'!CB91)</f>
        <v>0</v>
      </c>
      <c r="Y21" s="237">
        <f>SUM('Indirect Costs'!CC91)</f>
        <v>0</v>
      </c>
      <c r="Z21" s="237">
        <f>SUM('Indirect Costs'!CD91)</f>
        <v>0</v>
      </c>
      <c r="AA21" s="237">
        <f>SUM('Indirect Costs'!CE91)</f>
        <v>0</v>
      </c>
      <c r="AB21" s="237">
        <f>SUM('Indirect Costs'!CF91)</f>
        <v>0</v>
      </c>
      <c r="AC21" s="237">
        <f>SUM('Indirect Costs'!CG91)</f>
        <v>0</v>
      </c>
      <c r="AD21" s="237">
        <f>SUM('Indirect Costs'!CH91)</f>
        <v>0</v>
      </c>
      <c r="AE21" s="237">
        <f>SUM('Indirect Costs'!CI91)</f>
        <v>0</v>
      </c>
      <c r="AF21" s="237">
        <f>SUM('Indirect Costs'!CJ91)</f>
        <v>0</v>
      </c>
      <c r="AG21" s="237">
        <f>SUM('Indirect Costs'!CK91)</f>
        <v>0</v>
      </c>
      <c r="AH21" s="237">
        <f>SUM('Indirect Costs'!CL91)</f>
        <v>0</v>
      </c>
      <c r="AI21" s="237">
        <f>SUM('Indirect Costs'!CM91)</f>
        <v>0</v>
      </c>
      <c r="AJ21" s="237">
        <f>SUM('Indirect Costs'!CN91)</f>
        <v>0</v>
      </c>
      <c r="AK21" s="237">
        <f>SUM('Indirect Costs'!CO91)</f>
        <v>0</v>
      </c>
      <c r="AL21" s="237">
        <f>SUM('Indirect Costs'!CP91)</f>
        <v>0</v>
      </c>
      <c r="AM21" s="237">
        <f>SUM('Indirect Costs'!CQ91)</f>
        <v>0</v>
      </c>
      <c r="AN21" s="237">
        <f>SUM('Indirect Costs'!CR91)</f>
        <v>0</v>
      </c>
      <c r="AO21" s="237">
        <f>SUM('Indirect Costs'!CS91)</f>
        <v>0</v>
      </c>
      <c r="AP21" s="237">
        <f>SUM('Indirect Costs'!CT91)</f>
        <v>0</v>
      </c>
      <c r="AQ21" s="237">
        <f>SUM('Indirect Costs'!CU91)</f>
        <v>0</v>
      </c>
      <c r="AR21" s="237">
        <f>SUM('Indirect Costs'!CV91)</f>
        <v>0</v>
      </c>
      <c r="AS21" s="237">
        <f>SUM('Indirect Costs'!CW91)</f>
        <v>0</v>
      </c>
      <c r="AT21" s="237">
        <f>SUM('Indirect Costs'!CX91)</f>
        <v>0</v>
      </c>
      <c r="AU21" s="237">
        <f>SUM('Indirect Costs'!CY91)</f>
        <v>0</v>
      </c>
      <c r="AV21" s="237">
        <f>SUM('Indirect Costs'!CZ91)</f>
        <v>0</v>
      </c>
      <c r="AW21" s="237">
        <f>SUM('Indirect Costs'!DA91)</f>
        <v>0</v>
      </c>
      <c r="AX21" s="237">
        <f>SUM('Indirect Costs'!DB91)</f>
        <v>0</v>
      </c>
      <c r="AY21" s="237">
        <f>SUM('Indirect Costs'!DC91)</f>
        <v>0</v>
      </c>
      <c r="AZ21" s="237">
        <f>SUM('Indirect Costs'!DD91)</f>
        <v>0</v>
      </c>
      <c r="BA21" s="237">
        <f>SUM('Indirect Costs'!DE91)</f>
        <v>0</v>
      </c>
      <c r="BB21" s="237">
        <f>SUM('Indirect Costs'!DF91)</f>
        <v>0</v>
      </c>
    </row>
    <row r="22" spans="2:54" s="221" customFormat="1" x14ac:dyDescent="0.3">
      <c r="B22" s="1038" t="str">
        <f>'Indirect Costs'!D116</f>
        <v>FIANZAS, SEGUROS Y OTROS PREVIOS</v>
      </c>
      <c r="C22" s="1039"/>
      <c r="D22" s="223"/>
      <c r="E22" s="235">
        <f t="shared" si="3"/>
        <v>36612</v>
      </c>
      <c r="G22" s="237">
        <f>SUM('Indirect Costs'!BK116)</f>
        <v>0</v>
      </c>
      <c r="H22" s="237">
        <f>SUM('Indirect Costs'!BL116)</f>
        <v>0</v>
      </c>
      <c r="I22" s="237">
        <f>SUM('Indirect Costs'!BM116)</f>
        <v>0</v>
      </c>
      <c r="J22" s="237">
        <f>SUM('Indirect Costs'!BN116)</f>
        <v>5832</v>
      </c>
      <c r="K22" s="237">
        <f>SUM('Indirect Costs'!BO116)</f>
        <v>12204</v>
      </c>
      <c r="L22" s="237">
        <f>SUM('Indirect Costs'!BP116)</f>
        <v>12096</v>
      </c>
      <c r="M22" s="237">
        <f>SUM('Indirect Costs'!BQ116)</f>
        <v>6480</v>
      </c>
      <c r="N22" s="237">
        <f>SUM('Indirect Costs'!BR116)</f>
        <v>0</v>
      </c>
      <c r="O22" s="237">
        <f>SUM('Indirect Costs'!BS116)</f>
        <v>0</v>
      </c>
      <c r="P22" s="237">
        <f>SUM('Indirect Costs'!BT116)</f>
        <v>0</v>
      </c>
      <c r="Q22" s="237">
        <f>SUM('Indirect Costs'!BU116)</f>
        <v>0</v>
      </c>
      <c r="R22" s="237">
        <f>SUM('Indirect Costs'!BV116)</f>
        <v>0</v>
      </c>
      <c r="S22" s="237">
        <f>SUM('Indirect Costs'!BW116)</f>
        <v>0</v>
      </c>
      <c r="T22" s="237">
        <f>SUM('Indirect Costs'!BX116)</f>
        <v>0</v>
      </c>
      <c r="U22" s="237">
        <f>SUM('Indirect Costs'!BY116)</f>
        <v>0</v>
      </c>
      <c r="V22" s="237">
        <f>SUM('Indirect Costs'!BZ116)</f>
        <v>0</v>
      </c>
      <c r="W22" s="237">
        <f>SUM('Indirect Costs'!CA116)</f>
        <v>0</v>
      </c>
      <c r="X22" s="237">
        <f>SUM('Indirect Costs'!CB116)</f>
        <v>0</v>
      </c>
      <c r="Y22" s="237">
        <f>SUM('Indirect Costs'!CC116)</f>
        <v>0</v>
      </c>
      <c r="Z22" s="237">
        <f>SUM('Indirect Costs'!CD116)</f>
        <v>0</v>
      </c>
      <c r="AA22" s="237">
        <f>SUM('Indirect Costs'!CE116)</f>
        <v>0</v>
      </c>
      <c r="AB22" s="237">
        <f>SUM('Indirect Costs'!CF116)</f>
        <v>0</v>
      </c>
      <c r="AC22" s="237">
        <f>SUM('Indirect Costs'!CG116)</f>
        <v>0</v>
      </c>
      <c r="AD22" s="237">
        <f>SUM('Indirect Costs'!CH116)</f>
        <v>0</v>
      </c>
      <c r="AE22" s="237">
        <f>SUM('Indirect Costs'!CI116)</f>
        <v>0</v>
      </c>
      <c r="AF22" s="237">
        <f>SUM('Indirect Costs'!CJ116)</f>
        <v>0</v>
      </c>
      <c r="AG22" s="237">
        <f>SUM('Indirect Costs'!CK116)</f>
        <v>0</v>
      </c>
      <c r="AH22" s="237">
        <f>SUM('Indirect Costs'!CL116)</f>
        <v>0</v>
      </c>
      <c r="AI22" s="237">
        <f>SUM('Indirect Costs'!CM116)</f>
        <v>0</v>
      </c>
      <c r="AJ22" s="237">
        <f>SUM('Indirect Costs'!CN116)</f>
        <v>0</v>
      </c>
      <c r="AK22" s="237">
        <f>SUM('Indirect Costs'!CO116)</f>
        <v>0</v>
      </c>
      <c r="AL22" s="237">
        <f>SUM('Indirect Costs'!CP116)</f>
        <v>0</v>
      </c>
      <c r="AM22" s="237">
        <f>SUM('Indirect Costs'!CQ116)</f>
        <v>0</v>
      </c>
      <c r="AN22" s="237">
        <f>SUM('Indirect Costs'!CR116)</f>
        <v>0</v>
      </c>
      <c r="AO22" s="237">
        <f>SUM('Indirect Costs'!CS116)</f>
        <v>0</v>
      </c>
      <c r="AP22" s="237">
        <f>SUM('Indirect Costs'!CT116)</f>
        <v>0</v>
      </c>
      <c r="AQ22" s="237">
        <f>SUM('Indirect Costs'!CU116)</f>
        <v>0</v>
      </c>
      <c r="AR22" s="237">
        <f>SUM('Indirect Costs'!CV116)</f>
        <v>0</v>
      </c>
      <c r="AS22" s="237">
        <f>SUM('Indirect Costs'!CW116)</f>
        <v>0</v>
      </c>
      <c r="AT22" s="237">
        <f>SUM('Indirect Costs'!CX116)</f>
        <v>0</v>
      </c>
      <c r="AU22" s="237">
        <f>SUM('Indirect Costs'!CY116)</f>
        <v>0</v>
      </c>
      <c r="AV22" s="237">
        <f>SUM('Indirect Costs'!CZ116)</f>
        <v>0</v>
      </c>
      <c r="AW22" s="237">
        <f>SUM('Indirect Costs'!DA116)</f>
        <v>0</v>
      </c>
      <c r="AX22" s="237">
        <f>SUM('Indirect Costs'!DB116)</f>
        <v>0</v>
      </c>
      <c r="AY22" s="237">
        <f>SUM('Indirect Costs'!DC116)</f>
        <v>0</v>
      </c>
      <c r="AZ22" s="237">
        <f>SUM('Indirect Costs'!DD116)</f>
        <v>0</v>
      </c>
      <c r="BA22" s="237">
        <f>SUM('Indirect Costs'!DE116)</f>
        <v>0</v>
      </c>
      <c r="BB22" s="237">
        <f>SUM('Indirect Costs'!DF116)</f>
        <v>0</v>
      </c>
    </row>
    <row r="23" spans="2:54" s="221" customFormat="1" x14ac:dyDescent="0.3">
      <c r="B23" s="1045" t="str">
        <f>'Indirect Costs'!D132</f>
        <v>PROYECTOS, GESTIONES E IMPUESTOS</v>
      </c>
      <c r="C23" s="1046"/>
      <c r="D23" s="223"/>
      <c r="E23" s="236">
        <f t="shared" si="3"/>
        <v>87046.64</v>
      </c>
      <c r="G23" s="238">
        <f>SUM('Indirect Costs'!BK132)</f>
        <v>0</v>
      </c>
      <c r="H23" s="238">
        <f>SUM('Indirect Costs'!BL132)</f>
        <v>0</v>
      </c>
      <c r="I23" s="238">
        <f>SUM('Indirect Costs'!BM132)</f>
        <v>0</v>
      </c>
      <c r="J23" s="238">
        <f>SUM('Indirect Costs'!BN132)</f>
        <v>0</v>
      </c>
      <c r="K23" s="238">
        <f>SUM('Indirect Costs'!BO132)</f>
        <v>20816.66</v>
      </c>
      <c r="L23" s="238">
        <f>SUM('Indirect Costs'!BP132)</f>
        <v>24596.66</v>
      </c>
      <c r="M23" s="238">
        <f>SUM('Indirect Costs'!BQ132)</f>
        <v>41633.32</v>
      </c>
      <c r="N23" s="238">
        <f>SUM('Indirect Costs'!BR132)</f>
        <v>0</v>
      </c>
      <c r="O23" s="238">
        <f>SUM('Indirect Costs'!BS132)</f>
        <v>0</v>
      </c>
      <c r="P23" s="238">
        <f>SUM('Indirect Costs'!BT132)</f>
        <v>0</v>
      </c>
      <c r="Q23" s="238">
        <f>SUM('Indirect Costs'!BU132)</f>
        <v>0</v>
      </c>
      <c r="R23" s="238">
        <f>SUM('Indirect Costs'!BV132)</f>
        <v>0</v>
      </c>
      <c r="S23" s="238">
        <f>SUM('Indirect Costs'!BW132)</f>
        <v>0</v>
      </c>
      <c r="T23" s="238">
        <f>SUM('Indirect Costs'!BX132)</f>
        <v>0</v>
      </c>
      <c r="U23" s="238">
        <f>SUM('Indirect Costs'!BY132)</f>
        <v>0</v>
      </c>
      <c r="V23" s="238">
        <f>SUM('Indirect Costs'!BZ132)</f>
        <v>0</v>
      </c>
      <c r="W23" s="238">
        <f>SUM('Indirect Costs'!CA132)</f>
        <v>0</v>
      </c>
      <c r="X23" s="238">
        <f>SUM('Indirect Costs'!CB132)</f>
        <v>0</v>
      </c>
      <c r="Y23" s="238">
        <f>SUM('Indirect Costs'!CC132)</f>
        <v>0</v>
      </c>
      <c r="Z23" s="238">
        <f>SUM('Indirect Costs'!CD132)</f>
        <v>0</v>
      </c>
      <c r="AA23" s="238">
        <f>SUM('Indirect Costs'!CE132)</f>
        <v>0</v>
      </c>
      <c r="AB23" s="238">
        <f>SUM('Indirect Costs'!CF132)</f>
        <v>0</v>
      </c>
      <c r="AC23" s="238">
        <f>SUM('Indirect Costs'!CG132)</f>
        <v>0</v>
      </c>
      <c r="AD23" s="238">
        <f>SUM('Indirect Costs'!CH132)</f>
        <v>0</v>
      </c>
      <c r="AE23" s="238">
        <f>SUM('Indirect Costs'!CI132)</f>
        <v>0</v>
      </c>
      <c r="AF23" s="238">
        <f>SUM('Indirect Costs'!CJ132)</f>
        <v>0</v>
      </c>
      <c r="AG23" s="238">
        <f>SUM('Indirect Costs'!CK132)</f>
        <v>0</v>
      </c>
      <c r="AH23" s="238">
        <f>SUM('Indirect Costs'!CL132)</f>
        <v>0</v>
      </c>
      <c r="AI23" s="238">
        <f>SUM('Indirect Costs'!CM132)</f>
        <v>0</v>
      </c>
      <c r="AJ23" s="238">
        <f>SUM('Indirect Costs'!CN132)</f>
        <v>0</v>
      </c>
      <c r="AK23" s="238">
        <f>SUM('Indirect Costs'!CO132)</f>
        <v>0</v>
      </c>
      <c r="AL23" s="238">
        <f>SUM('Indirect Costs'!CP132)</f>
        <v>0</v>
      </c>
      <c r="AM23" s="238">
        <f>SUM('Indirect Costs'!CQ132)</f>
        <v>0</v>
      </c>
      <c r="AN23" s="238">
        <f>SUM('Indirect Costs'!CR132)</f>
        <v>0</v>
      </c>
      <c r="AO23" s="238">
        <f>SUM('Indirect Costs'!CS132)</f>
        <v>0</v>
      </c>
      <c r="AP23" s="238">
        <f>SUM('Indirect Costs'!CT132)</f>
        <v>0</v>
      </c>
      <c r="AQ23" s="238">
        <f>SUM('Indirect Costs'!CU132)</f>
        <v>0</v>
      </c>
      <c r="AR23" s="238">
        <f>SUM('Indirect Costs'!CV132)</f>
        <v>0</v>
      </c>
      <c r="AS23" s="238">
        <f>SUM('Indirect Costs'!CW132)</f>
        <v>0</v>
      </c>
      <c r="AT23" s="238">
        <f>SUM('Indirect Costs'!CX132)</f>
        <v>0</v>
      </c>
      <c r="AU23" s="238">
        <f>SUM('Indirect Costs'!CY132)</f>
        <v>0</v>
      </c>
      <c r="AV23" s="238">
        <f>SUM('Indirect Costs'!CZ132)</f>
        <v>0</v>
      </c>
      <c r="AW23" s="238">
        <f>SUM('Indirect Costs'!DA132)</f>
        <v>0</v>
      </c>
      <c r="AX23" s="238">
        <f>SUM('Indirect Costs'!DB132)</f>
        <v>0</v>
      </c>
      <c r="AY23" s="238">
        <f>SUM('Indirect Costs'!DC132)</f>
        <v>0</v>
      </c>
      <c r="AZ23" s="238">
        <f>SUM('Indirect Costs'!DD132)</f>
        <v>0</v>
      </c>
      <c r="BA23" s="238">
        <f>SUM('Indirect Costs'!DE132)</f>
        <v>0</v>
      </c>
      <c r="BB23" s="238">
        <f>SUM('Indirect Costs'!DF132)</f>
        <v>0</v>
      </c>
    </row>
    <row r="24" spans="2:54" s="224" customFormat="1" x14ac:dyDescent="0.3">
      <c r="B24" s="1040" t="s">
        <v>1021</v>
      </c>
      <c r="C24" s="1041"/>
      <c r="D24" s="232"/>
      <c r="E24" s="233">
        <f t="shared" si="3"/>
        <v>1758996.8317459058</v>
      </c>
      <c r="G24" s="234">
        <f>SUM('Costo Directo'!BM10)</f>
        <v>0</v>
      </c>
      <c r="H24" s="234">
        <f>SUM('Costo Directo'!BN10)</f>
        <v>104895.59927200001</v>
      </c>
      <c r="I24" s="234">
        <f>SUM('Costo Directo'!BO10)</f>
        <v>253586.13887174899</v>
      </c>
      <c r="J24" s="234">
        <f>SUM('Costo Directo'!BP10)</f>
        <v>716665.1952327668</v>
      </c>
      <c r="K24" s="234">
        <f>SUM('Costo Directo'!BQ10)</f>
        <v>378985.48984466994</v>
      </c>
      <c r="L24" s="234">
        <f>SUM('Costo Directo'!BR10)</f>
        <v>253319.91897911998</v>
      </c>
      <c r="M24" s="234">
        <f>SUM('Costo Directo'!BS10)</f>
        <v>28344.489545600001</v>
      </c>
      <c r="N24" s="234">
        <f>SUM('Costo Directo'!BT10)</f>
        <v>0</v>
      </c>
      <c r="O24" s="234">
        <f>SUM('Costo Directo'!BU10)</f>
        <v>0</v>
      </c>
      <c r="P24" s="234">
        <f>SUM('Costo Directo'!BV10)</f>
        <v>0</v>
      </c>
      <c r="Q24" s="234">
        <f>SUM('Costo Directo'!BW10)</f>
        <v>0</v>
      </c>
      <c r="R24" s="234">
        <f>SUM('Costo Directo'!BX10)</f>
        <v>0</v>
      </c>
      <c r="S24" s="234">
        <f>SUM('Costo Directo'!BY10)</f>
        <v>0</v>
      </c>
      <c r="T24" s="234">
        <f>SUM('Costo Directo'!BZ10)</f>
        <v>0</v>
      </c>
      <c r="U24" s="234">
        <f>SUM('Costo Directo'!CA10)</f>
        <v>0</v>
      </c>
      <c r="V24" s="234">
        <f>SUM('Costo Directo'!CB10)</f>
        <v>0</v>
      </c>
      <c r="W24" s="234">
        <f>SUM('Costo Directo'!CC10)</f>
        <v>23200</v>
      </c>
      <c r="X24" s="234">
        <f>SUM('Costo Directo'!CD10)</f>
        <v>0</v>
      </c>
      <c r="Y24" s="234">
        <f>SUM('Costo Directo'!CE10)</f>
        <v>0</v>
      </c>
      <c r="Z24" s="234">
        <f>SUM('Costo Directo'!CF10)</f>
        <v>0</v>
      </c>
      <c r="AA24" s="234">
        <f>SUM('Costo Directo'!CG10)</f>
        <v>0</v>
      </c>
      <c r="AB24" s="234">
        <f>SUM('Costo Directo'!CH10)</f>
        <v>0</v>
      </c>
      <c r="AC24" s="234">
        <f>SUM('Costo Directo'!CI10)</f>
        <v>0</v>
      </c>
      <c r="AD24" s="234">
        <f>SUM('Costo Directo'!CJ10)</f>
        <v>0</v>
      </c>
      <c r="AE24" s="234">
        <f>SUM('Costo Directo'!CK10)</f>
        <v>0</v>
      </c>
      <c r="AF24" s="234">
        <f>SUM('Costo Directo'!CL10)</f>
        <v>0</v>
      </c>
      <c r="AG24" s="234">
        <f>SUM('Costo Directo'!CM10)</f>
        <v>0</v>
      </c>
      <c r="AH24" s="234">
        <f>SUM('Costo Directo'!CN10)</f>
        <v>0</v>
      </c>
      <c r="AI24" s="234">
        <f>SUM('Costo Directo'!CO10)</f>
        <v>0</v>
      </c>
      <c r="AJ24" s="234">
        <f>SUM('Costo Directo'!CP10)</f>
        <v>0</v>
      </c>
      <c r="AK24" s="234">
        <f>SUM('Costo Directo'!CQ10)</f>
        <v>0</v>
      </c>
      <c r="AL24" s="234">
        <f>SUM('Costo Directo'!CR10)</f>
        <v>0</v>
      </c>
      <c r="AM24" s="234">
        <f>SUM('Costo Directo'!CS10)</f>
        <v>0</v>
      </c>
      <c r="AN24" s="234">
        <f>SUM('Costo Directo'!CT10)</f>
        <v>0</v>
      </c>
      <c r="AO24" s="234">
        <f>SUM('Costo Directo'!CU10)</f>
        <v>0</v>
      </c>
      <c r="AP24" s="234">
        <f>SUM('Costo Directo'!CV10)</f>
        <v>0</v>
      </c>
      <c r="AQ24" s="234">
        <f>SUM('Costo Directo'!CW10)</f>
        <v>0</v>
      </c>
      <c r="AR24" s="234">
        <f>SUM('Costo Directo'!CX10)</f>
        <v>0</v>
      </c>
      <c r="AS24" s="234">
        <f>SUM('Costo Directo'!CY10)</f>
        <v>0</v>
      </c>
      <c r="AT24" s="234">
        <f>SUM('Costo Directo'!CZ10)</f>
        <v>0</v>
      </c>
      <c r="AU24" s="234">
        <f>SUM('Costo Directo'!DA10)</f>
        <v>0</v>
      </c>
      <c r="AV24" s="234">
        <f>SUM('Costo Directo'!DB10)</f>
        <v>0</v>
      </c>
      <c r="AW24" s="234">
        <f>SUM('Costo Directo'!DC10)</f>
        <v>0</v>
      </c>
      <c r="AX24" s="234">
        <f>SUM('Costo Directo'!DD10)</f>
        <v>0</v>
      </c>
      <c r="AY24" s="234">
        <f>SUM('Costo Directo'!DE10)</f>
        <v>0</v>
      </c>
      <c r="AZ24" s="234">
        <f>SUM('Costo Directo'!DF10)</f>
        <v>0</v>
      </c>
      <c r="BA24" s="234">
        <f>SUM('Costo Directo'!DG10)</f>
        <v>0</v>
      </c>
      <c r="BB24" s="234">
        <f>SUM('Costo Directo'!DH10)</f>
        <v>0</v>
      </c>
    </row>
    <row r="25" spans="2:54" s="221" customFormat="1" x14ac:dyDescent="0.3">
      <c r="B25" s="1038" t="str">
        <f>'Costo Directo'!E14</f>
        <v>SUBCONTRATOS</v>
      </c>
      <c r="C25" s="1039"/>
      <c r="D25" s="223"/>
      <c r="E25" s="235">
        <f t="shared" si="3"/>
        <v>946811.75920000009</v>
      </c>
      <c r="G25" s="237">
        <f>SUM('Costo Directo'!BM14,'Costo Directo'!BM250,'Costo Directo'!BM486,'Costo Directo'!BM722)</f>
        <v>0</v>
      </c>
      <c r="H25" s="237">
        <f>SUM('Costo Directo'!BN14,'Costo Directo'!BN250,'Costo Directo'!BN486,'Costo Directo'!BN722)</f>
        <v>59400</v>
      </c>
      <c r="I25" s="237">
        <f>SUM('Costo Directo'!BO14,'Costo Directo'!BO250,'Costo Directo'!BO486,'Costo Directo'!BO722)</f>
        <v>112352.4</v>
      </c>
      <c r="J25" s="237">
        <f>SUM('Costo Directo'!BP14,'Costo Directo'!BP250,'Costo Directo'!BP486,'Costo Directo'!BP722)</f>
        <v>392255.0008000001</v>
      </c>
      <c r="K25" s="237">
        <f>SUM('Costo Directo'!BQ14,'Costo Directo'!BQ250,'Costo Directo'!BQ486,'Costo Directo'!BQ722)</f>
        <v>241690.21919999999</v>
      </c>
      <c r="L25" s="237">
        <f>SUM('Costo Directo'!BR14,'Costo Directo'!BR250,'Costo Directo'!BR486,'Costo Directo'!BR722)</f>
        <v>120919.86720000001</v>
      </c>
      <c r="M25" s="237">
        <f>SUM('Costo Directo'!BS14,'Costo Directo'!BS250,'Costo Directo'!BS486,'Costo Directo'!BS722)</f>
        <v>20194.271999999997</v>
      </c>
      <c r="N25" s="237">
        <f>SUM('Costo Directo'!BT14,'Costo Directo'!BT250,'Costo Directo'!BT486,'Costo Directo'!BT722)</f>
        <v>0</v>
      </c>
      <c r="O25" s="237">
        <f>SUM('Costo Directo'!BU14,'Costo Directo'!BU250,'Costo Directo'!BU486,'Costo Directo'!BU722)</f>
        <v>0</v>
      </c>
      <c r="P25" s="237">
        <f>SUM('Costo Directo'!BV14,'Costo Directo'!BV250,'Costo Directo'!BV486,'Costo Directo'!BV722)</f>
        <v>0</v>
      </c>
      <c r="Q25" s="237">
        <f>SUM('Costo Directo'!BW14,'Costo Directo'!BW250,'Costo Directo'!BW486,'Costo Directo'!BW722)</f>
        <v>0</v>
      </c>
      <c r="R25" s="237">
        <f>SUM('Costo Directo'!BX14,'Costo Directo'!BX250,'Costo Directo'!BX486,'Costo Directo'!BX722)</f>
        <v>0</v>
      </c>
      <c r="S25" s="237">
        <f>SUM('Costo Directo'!BY14,'Costo Directo'!BY250,'Costo Directo'!BY486,'Costo Directo'!BY722)</f>
        <v>0</v>
      </c>
      <c r="T25" s="237">
        <f>SUM('Costo Directo'!BZ14,'Costo Directo'!BZ250,'Costo Directo'!BZ486,'Costo Directo'!BZ722)</f>
        <v>0</v>
      </c>
      <c r="U25" s="237">
        <f>SUM('Costo Directo'!CA14,'Costo Directo'!CA250,'Costo Directo'!CA486,'Costo Directo'!CA722)</f>
        <v>0</v>
      </c>
      <c r="V25" s="237">
        <f>SUM('Costo Directo'!CB14,'Costo Directo'!CB250,'Costo Directo'!CB486,'Costo Directo'!CB722)</f>
        <v>0</v>
      </c>
      <c r="W25" s="237">
        <f>SUM('Costo Directo'!CC14,'Costo Directo'!CC250,'Costo Directo'!CC486,'Costo Directo'!CC722)</f>
        <v>0</v>
      </c>
      <c r="X25" s="237">
        <f>SUM('Costo Directo'!CD14,'Costo Directo'!CD250,'Costo Directo'!CD486,'Costo Directo'!CD722)</f>
        <v>0</v>
      </c>
      <c r="Y25" s="237">
        <f>SUM('Costo Directo'!CE14,'Costo Directo'!CE250,'Costo Directo'!CE486,'Costo Directo'!CE722)</f>
        <v>0</v>
      </c>
      <c r="Z25" s="237">
        <f>SUM('Costo Directo'!CF14,'Costo Directo'!CF250,'Costo Directo'!CF486,'Costo Directo'!CF722)</f>
        <v>0</v>
      </c>
      <c r="AA25" s="237">
        <f>SUM('Costo Directo'!CG14,'Costo Directo'!CG250,'Costo Directo'!CG486,'Costo Directo'!CG722)</f>
        <v>0</v>
      </c>
      <c r="AB25" s="237">
        <f>SUM('Costo Directo'!CH14,'Costo Directo'!CH250,'Costo Directo'!CH486,'Costo Directo'!CH722)</f>
        <v>0</v>
      </c>
      <c r="AC25" s="237">
        <f>SUM('Costo Directo'!CI14,'Costo Directo'!CI250,'Costo Directo'!CI486,'Costo Directo'!CI722)</f>
        <v>0</v>
      </c>
      <c r="AD25" s="237">
        <f>SUM('Costo Directo'!CJ14,'Costo Directo'!CJ250,'Costo Directo'!CJ486,'Costo Directo'!CJ722)</f>
        <v>0</v>
      </c>
      <c r="AE25" s="237">
        <f>SUM('Costo Directo'!CK14,'Costo Directo'!CK250,'Costo Directo'!CK486,'Costo Directo'!CK722)</f>
        <v>0</v>
      </c>
      <c r="AF25" s="237">
        <f>SUM('Costo Directo'!CL14,'Costo Directo'!CL250,'Costo Directo'!CL486,'Costo Directo'!CL722)</f>
        <v>0</v>
      </c>
      <c r="AG25" s="237">
        <f>SUM('Costo Directo'!CM14,'Costo Directo'!CM250,'Costo Directo'!CM486,'Costo Directo'!CM722)</f>
        <v>0</v>
      </c>
      <c r="AH25" s="237">
        <f>SUM('Costo Directo'!CN14,'Costo Directo'!CN250,'Costo Directo'!CN486,'Costo Directo'!CN722)</f>
        <v>0</v>
      </c>
      <c r="AI25" s="237">
        <f>SUM('Costo Directo'!CO14,'Costo Directo'!CO250,'Costo Directo'!CO486,'Costo Directo'!CO722)</f>
        <v>0</v>
      </c>
      <c r="AJ25" s="237">
        <f>SUM('Costo Directo'!CP14,'Costo Directo'!CP250,'Costo Directo'!CP486,'Costo Directo'!CP722)</f>
        <v>0</v>
      </c>
      <c r="AK25" s="237">
        <f>SUM('Costo Directo'!CQ14,'Costo Directo'!CQ250,'Costo Directo'!CQ486,'Costo Directo'!CQ722)</f>
        <v>0</v>
      </c>
      <c r="AL25" s="237">
        <f>SUM('Costo Directo'!CR14,'Costo Directo'!CR250,'Costo Directo'!CR486,'Costo Directo'!CR722)</f>
        <v>0</v>
      </c>
      <c r="AM25" s="237">
        <f>SUM('Costo Directo'!CS14,'Costo Directo'!CS250,'Costo Directo'!CS486,'Costo Directo'!CS722)</f>
        <v>0</v>
      </c>
      <c r="AN25" s="237">
        <f>SUM('Costo Directo'!CT14,'Costo Directo'!CT250,'Costo Directo'!CT486,'Costo Directo'!CT722)</f>
        <v>0</v>
      </c>
      <c r="AO25" s="237">
        <f>SUM('Costo Directo'!CU14,'Costo Directo'!CU250,'Costo Directo'!CU486,'Costo Directo'!CU722)</f>
        <v>0</v>
      </c>
      <c r="AP25" s="237">
        <f>SUM('Costo Directo'!CV14,'Costo Directo'!CV250,'Costo Directo'!CV486,'Costo Directo'!CV722)</f>
        <v>0</v>
      </c>
      <c r="AQ25" s="237">
        <f>SUM('Costo Directo'!CW14,'Costo Directo'!CW250,'Costo Directo'!CW486,'Costo Directo'!CW722)</f>
        <v>0</v>
      </c>
      <c r="AR25" s="237">
        <f>SUM('Costo Directo'!CX14,'Costo Directo'!CX250,'Costo Directo'!CX486,'Costo Directo'!CX722)</f>
        <v>0</v>
      </c>
      <c r="AS25" s="237">
        <f>SUM('Costo Directo'!CY14,'Costo Directo'!CY250,'Costo Directo'!CY486,'Costo Directo'!CY722)</f>
        <v>0</v>
      </c>
      <c r="AT25" s="237">
        <f>SUM('Costo Directo'!CZ14,'Costo Directo'!CZ250,'Costo Directo'!CZ486,'Costo Directo'!CZ722)</f>
        <v>0</v>
      </c>
      <c r="AU25" s="237">
        <f>SUM('Costo Directo'!DA14,'Costo Directo'!DA250,'Costo Directo'!DA486,'Costo Directo'!DA722)</f>
        <v>0</v>
      </c>
      <c r="AV25" s="237">
        <f>SUM('Costo Directo'!DB14,'Costo Directo'!DB250,'Costo Directo'!DB486,'Costo Directo'!DB722)</f>
        <v>0</v>
      </c>
      <c r="AW25" s="237">
        <f>SUM('Costo Directo'!DC14,'Costo Directo'!DC250,'Costo Directo'!DC486,'Costo Directo'!DC722)</f>
        <v>0</v>
      </c>
      <c r="AX25" s="237">
        <f>SUM('Costo Directo'!DD14,'Costo Directo'!DD250,'Costo Directo'!DD486,'Costo Directo'!DD722)</f>
        <v>0</v>
      </c>
      <c r="AY25" s="237">
        <f>SUM('Costo Directo'!DE14,'Costo Directo'!DE250,'Costo Directo'!DE486,'Costo Directo'!DE722)</f>
        <v>0</v>
      </c>
      <c r="AZ25" s="237">
        <f>SUM('Costo Directo'!DF14,'Costo Directo'!DF250,'Costo Directo'!DF486,'Costo Directo'!DF722)</f>
        <v>0</v>
      </c>
      <c r="BA25" s="237">
        <f>SUM('Costo Directo'!DG14,'Costo Directo'!DG250,'Costo Directo'!DG486,'Costo Directo'!DG722)</f>
        <v>0</v>
      </c>
      <c r="BB25" s="237">
        <f>SUM('Costo Directo'!DH14,'Costo Directo'!DH250,'Costo Directo'!DH486,'Costo Directo'!DH722)</f>
        <v>0</v>
      </c>
    </row>
    <row r="26" spans="2:54" s="221" customFormat="1" x14ac:dyDescent="0.3">
      <c r="B26" s="1038" t="str">
        <f>'Costo Directo'!E26</f>
        <v>MAQUINARIA</v>
      </c>
      <c r="C26" s="1039"/>
      <c r="D26" s="223"/>
      <c r="E26" s="235">
        <f t="shared" si="3"/>
        <v>37232</v>
      </c>
      <c r="G26" s="237">
        <f>SUM('Costo Directo'!BM26,'Costo Directo'!BM262,'Costo Directo'!BM498,'Costo Directo'!BM734)</f>
        <v>0</v>
      </c>
      <c r="H26" s="237">
        <f>SUM('Costo Directo'!BN26,'Costo Directo'!BN262,'Costo Directo'!BN498,'Costo Directo'!BN734)</f>
        <v>0</v>
      </c>
      <c r="I26" s="237">
        <f>SUM('Costo Directo'!BO26,'Costo Directo'!BO262,'Costo Directo'!BO498,'Costo Directo'!BO734)</f>
        <v>9100</v>
      </c>
      <c r="J26" s="237">
        <f>SUM('Costo Directo'!BP26,'Costo Directo'!BP262,'Costo Directo'!BP498,'Costo Directo'!BP734)</f>
        <v>13282</v>
      </c>
      <c r="K26" s="237">
        <f>SUM('Costo Directo'!BQ26,'Costo Directo'!BQ262,'Costo Directo'!BQ498,'Costo Directo'!BQ734)</f>
        <v>0</v>
      </c>
      <c r="L26" s="237">
        <f>SUM('Costo Directo'!BR26,'Costo Directo'!BR262,'Costo Directo'!BR498,'Costo Directo'!BR734)</f>
        <v>14850</v>
      </c>
      <c r="M26" s="237">
        <f>SUM('Costo Directo'!BS26,'Costo Directo'!BS262,'Costo Directo'!BS498,'Costo Directo'!BS734)</f>
        <v>0</v>
      </c>
      <c r="N26" s="237">
        <f>SUM('Costo Directo'!BT26,'Costo Directo'!BT262,'Costo Directo'!BT498,'Costo Directo'!BT734)</f>
        <v>0</v>
      </c>
      <c r="O26" s="237">
        <f>SUM('Costo Directo'!BU26,'Costo Directo'!BU262,'Costo Directo'!BU498,'Costo Directo'!BU734)</f>
        <v>0</v>
      </c>
      <c r="P26" s="237">
        <f>SUM('Costo Directo'!BV26,'Costo Directo'!BV262,'Costo Directo'!BV498,'Costo Directo'!BV734)</f>
        <v>0</v>
      </c>
      <c r="Q26" s="237">
        <f>SUM('Costo Directo'!BW26,'Costo Directo'!BW262,'Costo Directo'!BW498,'Costo Directo'!BW734)</f>
        <v>0</v>
      </c>
      <c r="R26" s="237">
        <f>SUM('Costo Directo'!BX26,'Costo Directo'!BX262,'Costo Directo'!BX498,'Costo Directo'!BX734)</f>
        <v>0</v>
      </c>
      <c r="S26" s="237">
        <f>SUM('Costo Directo'!BY26,'Costo Directo'!BY262,'Costo Directo'!BY498,'Costo Directo'!BY734)</f>
        <v>0</v>
      </c>
      <c r="T26" s="237">
        <f>SUM('Costo Directo'!BZ26,'Costo Directo'!BZ262,'Costo Directo'!BZ498,'Costo Directo'!BZ734)</f>
        <v>0</v>
      </c>
      <c r="U26" s="237">
        <f>SUM('Costo Directo'!CA26,'Costo Directo'!CA262,'Costo Directo'!CA498,'Costo Directo'!CA734)</f>
        <v>0</v>
      </c>
      <c r="V26" s="237">
        <f>SUM('Costo Directo'!CB26,'Costo Directo'!CB262,'Costo Directo'!CB498,'Costo Directo'!CB734)</f>
        <v>0</v>
      </c>
      <c r="W26" s="237">
        <f>SUM('Costo Directo'!CC26,'Costo Directo'!CC262,'Costo Directo'!CC498,'Costo Directo'!CC734)</f>
        <v>0</v>
      </c>
      <c r="X26" s="237">
        <f>SUM('Costo Directo'!CD26,'Costo Directo'!CD262,'Costo Directo'!CD498,'Costo Directo'!CD734)</f>
        <v>0</v>
      </c>
      <c r="Y26" s="237">
        <f>SUM('Costo Directo'!CE26,'Costo Directo'!CE262,'Costo Directo'!CE498,'Costo Directo'!CE734)</f>
        <v>0</v>
      </c>
      <c r="Z26" s="237">
        <f>SUM('Costo Directo'!CF26,'Costo Directo'!CF262,'Costo Directo'!CF498,'Costo Directo'!CF734)</f>
        <v>0</v>
      </c>
      <c r="AA26" s="237">
        <f>SUM('Costo Directo'!CG26,'Costo Directo'!CG262,'Costo Directo'!CG498,'Costo Directo'!CG734)</f>
        <v>0</v>
      </c>
      <c r="AB26" s="237">
        <f>SUM('Costo Directo'!CH26,'Costo Directo'!CH262,'Costo Directo'!CH498,'Costo Directo'!CH734)</f>
        <v>0</v>
      </c>
      <c r="AC26" s="237">
        <f>SUM('Costo Directo'!CI26,'Costo Directo'!CI262,'Costo Directo'!CI498,'Costo Directo'!CI734)</f>
        <v>0</v>
      </c>
      <c r="AD26" s="237">
        <f>SUM('Costo Directo'!CJ26,'Costo Directo'!CJ262,'Costo Directo'!CJ498,'Costo Directo'!CJ734)</f>
        <v>0</v>
      </c>
      <c r="AE26" s="237">
        <f>SUM('Costo Directo'!CK26,'Costo Directo'!CK262,'Costo Directo'!CK498,'Costo Directo'!CK734)</f>
        <v>0</v>
      </c>
      <c r="AF26" s="237">
        <f>SUM('Costo Directo'!CL26,'Costo Directo'!CL262,'Costo Directo'!CL498,'Costo Directo'!CL734)</f>
        <v>0</v>
      </c>
      <c r="AG26" s="237">
        <f>SUM('Costo Directo'!CM26,'Costo Directo'!CM262,'Costo Directo'!CM498,'Costo Directo'!CM734)</f>
        <v>0</v>
      </c>
      <c r="AH26" s="237">
        <f>SUM('Costo Directo'!CN26,'Costo Directo'!CN262,'Costo Directo'!CN498,'Costo Directo'!CN734)</f>
        <v>0</v>
      </c>
      <c r="AI26" s="237">
        <f>SUM('Costo Directo'!CO26,'Costo Directo'!CO262,'Costo Directo'!CO498,'Costo Directo'!CO734)</f>
        <v>0</v>
      </c>
      <c r="AJ26" s="237">
        <f>SUM('Costo Directo'!CP26,'Costo Directo'!CP262,'Costo Directo'!CP498,'Costo Directo'!CP734)</f>
        <v>0</v>
      </c>
      <c r="AK26" s="237">
        <f>SUM('Costo Directo'!CQ26,'Costo Directo'!CQ262,'Costo Directo'!CQ498,'Costo Directo'!CQ734)</f>
        <v>0</v>
      </c>
      <c r="AL26" s="237">
        <f>SUM('Costo Directo'!CR26,'Costo Directo'!CR262,'Costo Directo'!CR498,'Costo Directo'!CR734)</f>
        <v>0</v>
      </c>
      <c r="AM26" s="237">
        <f>SUM('Costo Directo'!CS26,'Costo Directo'!CS262,'Costo Directo'!CS498,'Costo Directo'!CS734)</f>
        <v>0</v>
      </c>
      <c r="AN26" s="237">
        <f>SUM('Costo Directo'!CT26,'Costo Directo'!CT262,'Costo Directo'!CT498,'Costo Directo'!CT734)</f>
        <v>0</v>
      </c>
      <c r="AO26" s="237">
        <f>SUM('Costo Directo'!CU26,'Costo Directo'!CU262,'Costo Directo'!CU498,'Costo Directo'!CU734)</f>
        <v>0</v>
      </c>
      <c r="AP26" s="237">
        <f>SUM('Costo Directo'!CV26,'Costo Directo'!CV262,'Costo Directo'!CV498,'Costo Directo'!CV734)</f>
        <v>0</v>
      </c>
      <c r="AQ26" s="237">
        <f>SUM('Costo Directo'!CW26,'Costo Directo'!CW262,'Costo Directo'!CW498,'Costo Directo'!CW734)</f>
        <v>0</v>
      </c>
      <c r="AR26" s="237">
        <f>SUM('Costo Directo'!CX26,'Costo Directo'!CX262,'Costo Directo'!CX498,'Costo Directo'!CX734)</f>
        <v>0</v>
      </c>
      <c r="AS26" s="237">
        <f>SUM('Costo Directo'!CY26,'Costo Directo'!CY262,'Costo Directo'!CY498,'Costo Directo'!CY734)</f>
        <v>0</v>
      </c>
      <c r="AT26" s="237">
        <f>SUM('Costo Directo'!CZ26,'Costo Directo'!CZ262,'Costo Directo'!CZ498,'Costo Directo'!CZ734)</f>
        <v>0</v>
      </c>
      <c r="AU26" s="237">
        <f>SUM('Costo Directo'!DA26,'Costo Directo'!DA262,'Costo Directo'!DA498,'Costo Directo'!DA734)</f>
        <v>0</v>
      </c>
      <c r="AV26" s="237">
        <f>SUM('Costo Directo'!DB26,'Costo Directo'!DB262,'Costo Directo'!DB498,'Costo Directo'!DB734)</f>
        <v>0</v>
      </c>
      <c r="AW26" s="237">
        <f>SUM('Costo Directo'!DC26,'Costo Directo'!DC262,'Costo Directo'!DC498,'Costo Directo'!DC734)</f>
        <v>0</v>
      </c>
      <c r="AX26" s="237">
        <f>SUM('Costo Directo'!DD26,'Costo Directo'!DD262,'Costo Directo'!DD498,'Costo Directo'!DD734)</f>
        <v>0</v>
      </c>
      <c r="AY26" s="237">
        <f>SUM('Costo Directo'!DE26,'Costo Directo'!DE262,'Costo Directo'!DE498,'Costo Directo'!DE734)</f>
        <v>0</v>
      </c>
      <c r="AZ26" s="237">
        <f>SUM('Costo Directo'!DF26,'Costo Directo'!DF262,'Costo Directo'!DF498,'Costo Directo'!DF734)</f>
        <v>0</v>
      </c>
      <c r="BA26" s="237">
        <f>SUM('Costo Directo'!DG26,'Costo Directo'!DG262,'Costo Directo'!DG498,'Costo Directo'!DG734)</f>
        <v>0</v>
      </c>
      <c r="BB26" s="237">
        <f>SUM('Costo Directo'!DH26,'Costo Directo'!DH262,'Costo Directo'!DH498,'Costo Directo'!DH734)</f>
        <v>0</v>
      </c>
    </row>
    <row r="27" spans="2:54" s="221" customFormat="1" x14ac:dyDescent="0.3">
      <c r="B27" s="1038" t="str">
        <f>'Costo Directo'!E68</f>
        <v>MANO DE OBRA</v>
      </c>
      <c r="C27" s="1039"/>
      <c r="D27" s="223"/>
      <c r="E27" s="235">
        <f t="shared" si="3"/>
        <v>51129.284400000004</v>
      </c>
      <c r="G27" s="237">
        <f>SUM('Costo Directo'!BM68,'Costo Directo'!BM304,'Costo Directo'!BM540,'Costo Directo'!BM776)</f>
        <v>0</v>
      </c>
      <c r="H27" s="237">
        <f>SUM('Costo Directo'!BN68,'Costo Directo'!BN304,'Costo Directo'!BN540,'Costo Directo'!BN776)</f>
        <v>0</v>
      </c>
      <c r="I27" s="237">
        <f>SUM('Costo Directo'!BO68,'Costo Directo'!BO304,'Costo Directo'!BO540,'Costo Directo'!BO776)</f>
        <v>0</v>
      </c>
      <c r="J27" s="237">
        <f>SUM('Costo Directo'!BP68,'Costo Directo'!BP304,'Costo Directo'!BP540,'Costo Directo'!BP776)</f>
        <v>0</v>
      </c>
      <c r="K27" s="237">
        <f>SUM('Costo Directo'!BQ68,'Costo Directo'!BQ304,'Costo Directo'!BQ540,'Costo Directo'!BQ776)</f>
        <v>0</v>
      </c>
      <c r="L27" s="237">
        <f>SUM('Costo Directo'!BR68,'Costo Directo'!BR304,'Costo Directo'!BR540,'Costo Directo'!BR776)</f>
        <v>51129.284400000004</v>
      </c>
      <c r="M27" s="237">
        <f>SUM('Costo Directo'!BS68,'Costo Directo'!BS304,'Costo Directo'!BS540,'Costo Directo'!BS776)</f>
        <v>0</v>
      </c>
      <c r="N27" s="237">
        <f>SUM('Costo Directo'!BT68,'Costo Directo'!BT304,'Costo Directo'!BT540,'Costo Directo'!BT776)</f>
        <v>0</v>
      </c>
      <c r="O27" s="237">
        <f>SUM('Costo Directo'!BU68,'Costo Directo'!BU304,'Costo Directo'!BU540,'Costo Directo'!BU776)</f>
        <v>0</v>
      </c>
      <c r="P27" s="237">
        <f>SUM('Costo Directo'!BV68,'Costo Directo'!BV304,'Costo Directo'!BV540,'Costo Directo'!BV776)</f>
        <v>0</v>
      </c>
      <c r="Q27" s="237">
        <f>SUM('Costo Directo'!BW68,'Costo Directo'!BW304,'Costo Directo'!BW540,'Costo Directo'!BW776)</f>
        <v>0</v>
      </c>
      <c r="R27" s="237">
        <f>SUM('Costo Directo'!BX68,'Costo Directo'!BX304,'Costo Directo'!BX540,'Costo Directo'!BX776)</f>
        <v>0</v>
      </c>
      <c r="S27" s="237">
        <f>SUM('Costo Directo'!BY68,'Costo Directo'!BY304,'Costo Directo'!BY540,'Costo Directo'!BY776)</f>
        <v>0</v>
      </c>
      <c r="T27" s="237">
        <f>SUM('Costo Directo'!BZ68,'Costo Directo'!BZ304,'Costo Directo'!BZ540,'Costo Directo'!BZ776)</f>
        <v>0</v>
      </c>
      <c r="U27" s="237">
        <f>SUM('Costo Directo'!CA68,'Costo Directo'!CA304,'Costo Directo'!CA540,'Costo Directo'!CA776)</f>
        <v>0</v>
      </c>
      <c r="V27" s="237">
        <f>SUM('Costo Directo'!CB68,'Costo Directo'!CB304,'Costo Directo'!CB540,'Costo Directo'!CB776)</f>
        <v>0</v>
      </c>
      <c r="W27" s="237">
        <f>SUM('Costo Directo'!CC68,'Costo Directo'!CC304,'Costo Directo'!CC540,'Costo Directo'!CC776)</f>
        <v>0</v>
      </c>
      <c r="X27" s="237">
        <f>SUM('Costo Directo'!CD68,'Costo Directo'!CD304,'Costo Directo'!CD540,'Costo Directo'!CD776)</f>
        <v>0</v>
      </c>
      <c r="Y27" s="237">
        <f>SUM('Costo Directo'!CE68,'Costo Directo'!CE304,'Costo Directo'!CE540,'Costo Directo'!CE776)</f>
        <v>0</v>
      </c>
      <c r="Z27" s="237">
        <f>SUM('Costo Directo'!CF68,'Costo Directo'!CF304,'Costo Directo'!CF540,'Costo Directo'!CF776)</f>
        <v>0</v>
      </c>
      <c r="AA27" s="237">
        <f>SUM('Costo Directo'!CG68,'Costo Directo'!CG304,'Costo Directo'!CG540,'Costo Directo'!CG776)</f>
        <v>0</v>
      </c>
      <c r="AB27" s="237">
        <f>SUM('Costo Directo'!CH68,'Costo Directo'!CH304,'Costo Directo'!CH540,'Costo Directo'!CH776)</f>
        <v>0</v>
      </c>
      <c r="AC27" s="237">
        <f>SUM('Costo Directo'!CI68,'Costo Directo'!CI304,'Costo Directo'!CI540,'Costo Directo'!CI776)</f>
        <v>0</v>
      </c>
      <c r="AD27" s="237">
        <f>SUM('Costo Directo'!CJ68,'Costo Directo'!CJ304,'Costo Directo'!CJ540,'Costo Directo'!CJ776)</f>
        <v>0</v>
      </c>
      <c r="AE27" s="237">
        <f>SUM('Costo Directo'!CK68,'Costo Directo'!CK304,'Costo Directo'!CK540,'Costo Directo'!CK776)</f>
        <v>0</v>
      </c>
      <c r="AF27" s="237">
        <f>SUM('Costo Directo'!CL68,'Costo Directo'!CL304,'Costo Directo'!CL540,'Costo Directo'!CL776)</f>
        <v>0</v>
      </c>
      <c r="AG27" s="237">
        <f>SUM('Costo Directo'!CM68,'Costo Directo'!CM304,'Costo Directo'!CM540,'Costo Directo'!CM776)</f>
        <v>0</v>
      </c>
      <c r="AH27" s="237">
        <f>SUM('Costo Directo'!CN68,'Costo Directo'!CN304,'Costo Directo'!CN540,'Costo Directo'!CN776)</f>
        <v>0</v>
      </c>
      <c r="AI27" s="237">
        <f>SUM('Costo Directo'!CO68,'Costo Directo'!CO304,'Costo Directo'!CO540,'Costo Directo'!CO776)</f>
        <v>0</v>
      </c>
      <c r="AJ27" s="237">
        <f>SUM('Costo Directo'!CP68,'Costo Directo'!CP304,'Costo Directo'!CP540,'Costo Directo'!CP776)</f>
        <v>0</v>
      </c>
      <c r="AK27" s="237">
        <f>SUM('Costo Directo'!CQ68,'Costo Directo'!CQ304,'Costo Directo'!CQ540,'Costo Directo'!CQ776)</f>
        <v>0</v>
      </c>
      <c r="AL27" s="237">
        <f>SUM('Costo Directo'!CR68,'Costo Directo'!CR304,'Costo Directo'!CR540,'Costo Directo'!CR776)</f>
        <v>0</v>
      </c>
      <c r="AM27" s="237">
        <f>SUM('Costo Directo'!CS68,'Costo Directo'!CS304,'Costo Directo'!CS540,'Costo Directo'!CS776)</f>
        <v>0</v>
      </c>
      <c r="AN27" s="237">
        <f>SUM('Costo Directo'!CT68,'Costo Directo'!CT304,'Costo Directo'!CT540,'Costo Directo'!CT776)</f>
        <v>0</v>
      </c>
      <c r="AO27" s="237">
        <f>SUM('Costo Directo'!CU68,'Costo Directo'!CU304,'Costo Directo'!CU540,'Costo Directo'!CU776)</f>
        <v>0</v>
      </c>
      <c r="AP27" s="237">
        <f>SUM('Costo Directo'!CV68,'Costo Directo'!CV304,'Costo Directo'!CV540,'Costo Directo'!CV776)</f>
        <v>0</v>
      </c>
      <c r="AQ27" s="237">
        <f>SUM('Costo Directo'!CW68,'Costo Directo'!CW304,'Costo Directo'!CW540,'Costo Directo'!CW776)</f>
        <v>0</v>
      </c>
      <c r="AR27" s="237">
        <f>SUM('Costo Directo'!CX68,'Costo Directo'!CX304,'Costo Directo'!CX540,'Costo Directo'!CX776)</f>
        <v>0</v>
      </c>
      <c r="AS27" s="237">
        <f>SUM('Costo Directo'!CY68,'Costo Directo'!CY304,'Costo Directo'!CY540,'Costo Directo'!CY776)</f>
        <v>0</v>
      </c>
      <c r="AT27" s="237">
        <f>SUM('Costo Directo'!CZ68,'Costo Directo'!CZ304,'Costo Directo'!CZ540,'Costo Directo'!CZ776)</f>
        <v>0</v>
      </c>
      <c r="AU27" s="237">
        <f>SUM('Costo Directo'!DA68,'Costo Directo'!DA304,'Costo Directo'!DA540,'Costo Directo'!DA776)</f>
        <v>0</v>
      </c>
      <c r="AV27" s="237">
        <f>SUM('Costo Directo'!DB68,'Costo Directo'!DB304,'Costo Directo'!DB540,'Costo Directo'!DB776)</f>
        <v>0</v>
      </c>
      <c r="AW27" s="237">
        <f>SUM('Costo Directo'!DC68,'Costo Directo'!DC304,'Costo Directo'!DC540,'Costo Directo'!DC776)</f>
        <v>0</v>
      </c>
      <c r="AX27" s="237">
        <f>SUM('Costo Directo'!DD68,'Costo Directo'!DD304,'Costo Directo'!DD540,'Costo Directo'!DD776)</f>
        <v>0</v>
      </c>
      <c r="AY27" s="237">
        <f>SUM('Costo Directo'!DE68,'Costo Directo'!DE304,'Costo Directo'!DE540,'Costo Directo'!DE776)</f>
        <v>0</v>
      </c>
      <c r="AZ27" s="237">
        <f>SUM('Costo Directo'!DF68,'Costo Directo'!DF304,'Costo Directo'!DF540,'Costo Directo'!DF776)</f>
        <v>0</v>
      </c>
      <c r="BA27" s="237">
        <f>SUM('Costo Directo'!DG68,'Costo Directo'!DG304,'Costo Directo'!DG540,'Costo Directo'!DG776)</f>
        <v>0</v>
      </c>
      <c r="BB27" s="237">
        <f>SUM('Costo Directo'!DH68,'Costo Directo'!DH304,'Costo Directo'!DH540,'Costo Directo'!DH776)</f>
        <v>0</v>
      </c>
    </row>
    <row r="28" spans="2:54" s="221" customFormat="1" x14ac:dyDescent="0.3">
      <c r="B28" s="620" t="str">
        <f>'Costo Directo'!E121</f>
        <v>MATERIALES</v>
      </c>
      <c r="C28" s="621"/>
      <c r="D28" s="223"/>
      <c r="E28" s="235">
        <f t="shared" si="3"/>
        <v>450012.24824149592</v>
      </c>
      <c r="G28" s="237">
        <f>SUM('Costo Directo'!BM121,'Costo Directo'!BM357,'Costo Directo'!BM593,'Costo Directo'!BM829)</f>
        <v>0</v>
      </c>
      <c r="H28" s="237">
        <f>SUM('Costo Directo'!BN121,'Costo Directo'!BN357,'Costo Directo'!BN593,'Costo Directo'!BN829)</f>
        <v>44140.631691999995</v>
      </c>
      <c r="I28" s="237">
        <f>SUM('Costo Directo'!BO121,'Costo Directo'!BO357,'Costo Directo'!BO593,'Costo Directo'!BO829)</f>
        <v>111839.37157324901</v>
      </c>
      <c r="J28" s="237">
        <f>SUM('Costo Directo'!BP121,'Costo Directo'!BP357,'Costo Directo'!BP593,'Costo Directo'!BP829)</f>
        <v>234075.04636981693</v>
      </c>
      <c r="K28" s="237">
        <f>SUM('Costo Directo'!BQ121,'Costo Directo'!BQ357,'Costo Directo'!BQ593,'Costo Directo'!BQ829)</f>
        <v>43062.243860829993</v>
      </c>
      <c r="L28" s="237">
        <f>SUM('Costo Directo'!BR121,'Costo Directo'!BR357,'Costo Directo'!BR593,'Costo Directo'!BR829)</f>
        <v>16825.254799999999</v>
      </c>
      <c r="M28" s="237">
        <f>SUM('Costo Directo'!BS121,'Costo Directo'!BS357,'Costo Directo'!BS593,'Costo Directo'!BS829)</f>
        <v>69.699945600000007</v>
      </c>
      <c r="N28" s="237">
        <f>SUM('Costo Directo'!BT121,'Costo Directo'!BT357,'Costo Directo'!BT593,'Costo Directo'!BT829)</f>
        <v>0</v>
      </c>
      <c r="O28" s="237">
        <f>SUM('Costo Directo'!BU121,'Costo Directo'!BU357,'Costo Directo'!BU593,'Costo Directo'!BU829)</f>
        <v>0</v>
      </c>
      <c r="P28" s="237">
        <f>SUM('Costo Directo'!BV121,'Costo Directo'!BV357,'Costo Directo'!BV593,'Costo Directo'!BV829)</f>
        <v>0</v>
      </c>
      <c r="Q28" s="237">
        <f>SUM('Costo Directo'!BW121,'Costo Directo'!BW357,'Costo Directo'!BW593,'Costo Directo'!BW829)</f>
        <v>0</v>
      </c>
      <c r="R28" s="237">
        <f>SUM('Costo Directo'!BX121,'Costo Directo'!BX357,'Costo Directo'!BX593,'Costo Directo'!BX829)</f>
        <v>0</v>
      </c>
      <c r="S28" s="237">
        <f>SUM('Costo Directo'!BY121,'Costo Directo'!BY357,'Costo Directo'!BY593,'Costo Directo'!BY829)</f>
        <v>0</v>
      </c>
      <c r="T28" s="237">
        <f>SUM('Costo Directo'!BZ121,'Costo Directo'!BZ357,'Costo Directo'!BZ593,'Costo Directo'!BZ829)</f>
        <v>0</v>
      </c>
      <c r="U28" s="237">
        <f>SUM('Costo Directo'!CA121,'Costo Directo'!CA357,'Costo Directo'!CA593,'Costo Directo'!CA829)</f>
        <v>0</v>
      </c>
      <c r="V28" s="237">
        <f>SUM('Costo Directo'!CB121,'Costo Directo'!CB357,'Costo Directo'!CB593,'Costo Directo'!CB829)</f>
        <v>0</v>
      </c>
      <c r="W28" s="237">
        <f>SUM('Costo Directo'!CC121,'Costo Directo'!CC357,'Costo Directo'!CC593,'Costo Directo'!CC829)</f>
        <v>0</v>
      </c>
      <c r="X28" s="237">
        <f>SUM('Costo Directo'!CD121,'Costo Directo'!CD357,'Costo Directo'!CD593,'Costo Directo'!CD829)</f>
        <v>0</v>
      </c>
      <c r="Y28" s="237">
        <f>SUM('Costo Directo'!CE121,'Costo Directo'!CE357,'Costo Directo'!CE593,'Costo Directo'!CE829)</f>
        <v>0</v>
      </c>
      <c r="Z28" s="237">
        <f>SUM('Costo Directo'!CF121,'Costo Directo'!CF357,'Costo Directo'!CF593,'Costo Directo'!CF829)</f>
        <v>0</v>
      </c>
      <c r="AA28" s="237">
        <f>SUM('Costo Directo'!CG121,'Costo Directo'!CG357,'Costo Directo'!CG593,'Costo Directo'!CG829)</f>
        <v>0</v>
      </c>
      <c r="AB28" s="237">
        <f>SUM('Costo Directo'!CH121,'Costo Directo'!CH357,'Costo Directo'!CH593,'Costo Directo'!CH829)</f>
        <v>0</v>
      </c>
      <c r="AC28" s="237">
        <f>SUM('Costo Directo'!CI121,'Costo Directo'!CI357,'Costo Directo'!CI593,'Costo Directo'!CI829)</f>
        <v>0</v>
      </c>
      <c r="AD28" s="237">
        <f>SUM('Costo Directo'!CJ121,'Costo Directo'!CJ357,'Costo Directo'!CJ593,'Costo Directo'!CJ829)</f>
        <v>0</v>
      </c>
      <c r="AE28" s="237">
        <f>SUM('Costo Directo'!CK121,'Costo Directo'!CK357,'Costo Directo'!CK593,'Costo Directo'!CK829)</f>
        <v>0</v>
      </c>
      <c r="AF28" s="237">
        <f>SUM('Costo Directo'!CL121,'Costo Directo'!CL357,'Costo Directo'!CL593,'Costo Directo'!CL829)</f>
        <v>0</v>
      </c>
      <c r="AG28" s="237">
        <f>SUM('Costo Directo'!CM121,'Costo Directo'!CM357,'Costo Directo'!CM593,'Costo Directo'!CM829)</f>
        <v>0</v>
      </c>
      <c r="AH28" s="237">
        <f>SUM('Costo Directo'!CN121,'Costo Directo'!CN357,'Costo Directo'!CN593,'Costo Directo'!CN829)</f>
        <v>0</v>
      </c>
      <c r="AI28" s="237">
        <f>SUM('Costo Directo'!CO121,'Costo Directo'!CO357,'Costo Directo'!CO593,'Costo Directo'!CO829)</f>
        <v>0</v>
      </c>
      <c r="AJ28" s="237">
        <f>SUM('Costo Directo'!CP121,'Costo Directo'!CP357,'Costo Directo'!CP593,'Costo Directo'!CP829)</f>
        <v>0</v>
      </c>
      <c r="AK28" s="237">
        <f>SUM('Costo Directo'!CQ121,'Costo Directo'!CQ357,'Costo Directo'!CQ593,'Costo Directo'!CQ829)</f>
        <v>0</v>
      </c>
      <c r="AL28" s="237">
        <f>SUM('Costo Directo'!CR121,'Costo Directo'!CR357,'Costo Directo'!CR593,'Costo Directo'!CR829)</f>
        <v>0</v>
      </c>
      <c r="AM28" s="237">
        <f>SUM('Costo Directo'!CS121,'Costo Directo'!CS357,'Costo Directo'!CS593,'Costo Directo'!CS829)</f>
        <v>0</v>
      </c>
      <c r="AN28" s="237">
        <f>SUM('Costo Directo'!CT121,'Costo Directo'!CT357,'Costo Directo'!CT593,'Costo Directo'!CT829)</f>
        <v>0</v>
      </c>
      <c r="AO28" s="237">
        <f>SUM('Costo Directo'!CU121,'Costo Directo'!CU357,'Costo Directo'!CU593,'Costo Directo'!CU829)</f>
        <v>0</v>
      </c>
      <c r="AP28" s="237">
        <f>SUM('Costo Directo'!CV121,'Costo Directo'!CV357,'Costo Directo'!CV593,'Costo Directo'!CV829)</f>
        <v>0</v>
      </c>
      <c r="AQ28" s="237">
        <f>SUM('Costo Directo'!CW121,'Costo Directo'!CW357,'Costo Directo'!CW593,'Costo Directo'!CW829)</f>
        <v>0</v>
      </c>
      <c r="AR28" s="237">
        <f>SUM('Costo Directo'!CX121,'Costo Directo'!CX357,'Costo Directo'!CX593,'Costo Directo'!CX829)</f>
        <v>0</v>
      </c>
      <c r="AS28" s="237">
        <f>SUM('Costo Directo'!CY121,'Costo Directo'!CY357,'Costo Directo'!CY593,'Costo Directo'!CY829)</f>
        <v>0</v>
      </c>
      <c r="AT28" s="237">
        <f>SUM('Costo Directo'!CZ121,'Costo Directo'!CZ357,'Costo Directo'!CZ593,'Costo Directo'!CZ829)</f>
        <v>0</v>
      </c>
      <c r="AU28" s="237">
        <f>SUM('Costo Directo'!DA121,'Costo Directo'!DA357,'Costo Directo'!DA593,'Costo Directo'!DA829)</f>
        <v>0</v>
      </c>
      <c r="AV28" s="237">
        <f>SUM('Costo Directo'!DB121,'Costo Directo'!DB357,'Costo Directo'!DB593,'Costo Directo'!DB829)</f>
        <v>0</v>
      </c>
      <c r="AW28" s="237">
        <f>SUM('Costo Directo'!DC121,'Costo Directo'!DC357,'Costo Directo'!DC593,'Costo Directo'!DC829)</f>
        <v>0</v>
      </c>
      <c r="AX28" s="237">
        <f>SUM('Costo Directo'!DD121,'Costo Directo'!DD357,'Costo Directo'!DD593,'Costo Directo'!DD829)</f>
        <v>0</v>
      </c>
      <c r="AY28" s="237">
        <f>SUM('Costo Directo'!DE121,'Costo Directo'!DE357,'Costo Directo'!DE593,'Costo Directo'!DE829)</f>
        <v>0</v>
      </c>
      <c r="AZ28" s="237">
        <f>SUM('Costo Directo'!DF121,'Costo Directo'!DF357,'Costo Directo'!DF593,'Costo Directo'!DF829)</f>
        <v>0</v>
      </c>
      <c r="BA28" s="237">
        <f>SUM('Costo Directo'!DG121,'Costo Directo'!DG357,'Costo Directo'!DG593,'Costo Directo'!DG829)</f>
        <v>0</v>
      </c>
      <c r="BB28" s="237">
        <f>SUM('Costo Directo'!DH121,'Costo Directo'!DH357,'Costo Directo'!DH593,'Costo Directo'!DH829)</f>
        <v>0</v>
      </c>
    </row>
    <row r="29" spans="2:54" s="221" customFormat="1" x14ac:dyDescent="0.3">
      <c r="B29" s="1038" t="str">
        <f>'Costo Directo'!E174</f>
        <v>ACARREOS</v>
      </c>
      <c r="C29" s="1039"/>
      <c r="D29" s="223"/>
      <c r="E29" s="235">
        <f t="shared" si="3"/>
        <v>167670</v>
      </c>
      <c r="G29" s="237">
        <f>SUM('Costo Directo'!BM174,'Costo Directo'!BM410,'Costo Directo'!BM646,'Costo Directo'!BM882)</f>
        <v>0</v>
      </c>
      <c r="H29" s="237">
        <f>SUM('Costo Directo'!BN174,'Costo Directo'!BN410,'Costo Directo'!BN646,'Costo Directo'!BN882)</f>
        <v>0</v>
      </c>
      <c r="I29" s="237">
        <f>SUM('Costo Directo'!BO174,'Costo Directo'!BO410,'Costo Directo'!BO646,'Costo Directo'!BO882)</f>
        <v>0</v>
      </c>
      <c r="J29" s="237">
        <f>SUM('Costo Directo'!BP174,'Costo Directo'!BP410,'Costo Directo'!BP646,'Costo Directo'!BP882)</f>
        <v>38610</v>
      </c>
      <c r="K29" s="237">
        <f>SUM('Costo Directo'!BQ174,'Costo Directo'!BQ410,'Costo Directo'!BQ646,'Costo Directo'!BQ882)</f>
        <v>83700</v>
      </c>
      <c r="L29" s="237">
        <f>SUM('Costo Directo'!BR174,'Costo Directo'!BR410,'Costo Directo'!BR646,'Costo Directo'!BR882)</f>
        <v>45360</v>
      </c>
      <c r="M29" s="237">
        <f>SUM('Costo Directo'!BS174,'Costo Directo'!BS410,'Costo Directo'!BS646,'Costo Directo'!BS882)</f>
        <v>0</v>
      </c>
      <c r="N29" s="237">
        <f>SUM('Costo Directo'!BT174,'Costo Directo'!BT410,'Costo Directo'!BT646,'Costo Directo'!BT882)</f>
        <v>0</v>
      </c>
      <c r="O29" s="237">
        <f>SUM('Costo Directo'!BU174,'Costo Directo'!BU410,'Costo Directo'!BU646,'Costo Directo'!BU882)</f>
        <v>0</v>
      </c>
      <c r="P29" s="237">
        <f>SUM('Costo Directo'!BV174,'Costo Directo'!BV410,'Costo Directo'!BV646,'Costo Directo'!BV882)</f>
        <v>0</v>
      </c>
      <c r="Q29" s="237">
        <f>SUM('Costo Directo'!BW174,'Costo Directo'!BW410,'Costo Directo'!BW646,'Costo Directo'!BW882)</f>
        <v>0</v>
      </c>
      <c r="R29" s="237">
        <f>SUM('Costo Directo'!BX174,'Costo Directo'!BX410,'Costo Directo'!BX646,'Costo Directo'!BX882)</f>
        <v>0</v>
      </c>
      <c r="S29" s="237">
        <f>SUM('Costo Directo'!BY174,'Costo Directo'!BY410,'Costo Directo'!BY646,'Costo Directo'!BY882)</f>
        <v>0</v>
      </c>
      <c r="T29" s="237">
        <f>SUM('Costo Directo'!BZ174,'Costo Directo'!BZ410,'Costo Directo'!BZ646,'Costo Directo'!BZ882)</f>
        <v>0</v>
      </c>
      <c r="U29" s="237">
        <f>SUM('Costo Directo'!CA174,'Costo Directo'!CA410,'Costo Directo'!CA646,'Costo Directo'!CA882)</f>
        <v>0</v>
      </c>
      <c r="V29" s="237">
        <f>SUM('Costo Directo'!CB174,'Costo Directo'!CB410,'Costo Directo'!CB646,'Costo Directo'!CB882)</f>
        <v>0</v>
      </c>
      <c r="W29" s="237">
        <f>SUM('Costo Directo'!CC174,'Costo Directo'!CC410,'Costo Directo'!CC646,'Costo Directo'!CC882)</f>
        <v>0</v>
      </c>
      <c r="X29" s="237">
        <f>SUM('Costo Directo'!CD174,'Costo Directo'!CD410,'Costo Directo'!CD646,'Costo Directo'!CD882)</f>
        <v>0</v>
      </c>
      <c r="Y29" s="237">
        <f>SUM('Costo Directo'!CE174,'Costo Directo'!CE410,'Costo Directo'!CE646,'Costo Directo'!CE882)</f>
        <v>0</v>
      </c>
      <c r="Z29" s="237">
        <f>SUM('Costo Directo'!CF174,'Costo Directo'!CF410,'Costo Directo'!CF646,'Costo Directo'!CF882)</f>
        <v>0</v>
      </c>
      <c r="AA29" s="237">
        <f>SUM('Costo Directo'!CG174,'Costo Directo'!CG410,'Costo Directo'!CG646,'Costo Directo'!CG882)</f>
        <v>0</v>
      </c>
      <c r="AB29" s="237">
        <f>SUM('Costo Directo'!CH174,'Costo Directo'!CH410,'Costo Directo'!CH646,'Costo Directo'!CH882)</f>
        <v>0</v>
      </c>
      <c r="AC29" s="237">
        <f>SUM('Costo Directo'!CI174,'Costo Directo'!CI410,'Costo Directo'!CI646,'Costo Directo'!CI882)</f>
        <v>0</v>
      </c>
      <c r="AD29" s="237">
        <f>SUM('Costo Directo'!CJ174,'Costo Directo'!CJ410,'Costo Directo'!CJ646,'Costo Directo'!CJ882)</f>
        <v>0</v>
      </c>
      <c r="AE29" s="237">
        <f>SUM('Costo Directo'!CK174,'Costo Directo'!CK410,'Costo Directo'!CK646,'Costo Directo'!CK882)</f>
        <v>0</v>
      </c>
      <c r="AF29" s="237">
        <f>SUM('Costo Directo'!CL174,'Costo Directo'!CL410,'Costo Directo'!CL646,'Costo Directo'!CL882)</f>
        <v>0</v>
      </c>
      <c r="AG29" s="237">
        <f>SUM('Costo Directo'!CM174,'Costo Directo'!CM410,'Costo Directo'!CM646,'Costo Directo'!CM882)</f>
        <v>0</v>
      </c>
      <c r="AH29" s="237">
        <f>SUM('Costo Directo'!CN174,'Costo Directo'!CN410,'Costo Directo'!CN646,'Costo Directo'!CN882)</f>
        <v>0</v>
      </c>
      <c r="AI29" s="237">
        <f>SUM('Costo Directo'!CO174,'Costo Directo'!CO410,'Costo Directo'!CO646,'Costo Directo'!CO882)</f>
        <v>0</v>
      </c>
      <c r="AJ29" s="237">
        <f>SUM('Costo Directo'!CP174,'Costo Directo'!CP410,'Costo Directo'!CP646,'Costo Directo'!CP882)</f>
        <v>0</v>
      </c>
      <c r="AK29" s="237">
        <f>SUM('Costo Directo'!CQ174,'Costo Directo'!CQ410,'Costo Directo'!CQ646,'Costo Directo'!CQ882)</f>
        <v>0</v>
      </c>
      <c r="AL29" s="237">
        <f>SUM('Costo Directo'!CR174,'Costo Directo'!CR410,'Costo Directo'!CR646,'Costo Directo'!CR882)</f>
        <v>0</v>
      </c>
      <c r="AM29" s="237">
        <f>SUM('Costo Directo'!CS174,'Costo Directo'!CS410,'Costo Directo'!CS646,'Costo Directo'!CS882)</f>
        <v>0</v>
      </c>
      <c r="AN29" s="237">
        <f>SUM('Costo Directo'!CT174,'Costo Directo'!CT410,'Costo Directo'!CT646,'Costo Directo'!CT882)</f>
        <v>0</v>
      </c>
      <c r="AO29" s="237">
        <f>SUM('Costo Directo'!CU174,'Costo Directo'!CU410,'Costo Directo'!CU646,'Costo Directo'!CU882)</f>
        <v>0</v>
      </c>
      <c r="AP29" s="237">
        <f>SUM('Costo Directo'!CV174,'Costo Directo'!CV410,'Costo Directo'!CV646,'Costo Directo'!CV882)</f>
        <v>0</v>
      </c>
      <c r="AQ29" s="237">
        <f>SUM('Costo Directo'!CW174,'Costo Directo'!CW410,'Costo Directo'!CW646,'Costo Directo'!CW882)</f>
        <v>0</v>
      </c>
      <c r="AR29" s="237">
        <f>SUM('Costo Directo'!CX174,'Costo Directo'!CX410,'Costo Directo'!CX646,'Costo Directo'!CX882)</f>
        <v>0</v>
      </c>
      <c r="AS29" s="237">
        <f>SUM('Costo Directo'!CY174,'Costo Directo'!CY410,'Costo Directo'!CY646,'Costo Directo'!CY882)</f>
        <v>0</v>
      </c>
      <c r="AT29" s="237">
        <f>SUM('Costo Directo'!CZ174,'Costo Directo'!CZ410,'Costo Directo'!CZ646,'Costo Directo'!CZ882)</f>
        <v>0</v>
      </c>
      <c r="AU29" s="237">
        <f>SUM('Costo Directo'!DA174,'Costo Directo'!DA410,'Costo Directo'!DA646,'Costo Directo'!DA882)</f>
        <v>0</v>
      </c>
      <c r="AV29" s="237">
        <f>SUM('Costo Directo'!DB174,'Costo Directo'!DB410,'Costo Directo'!DB646,'Costo Directo'!DB882)</f>
        <v>0</v>
      </c>
      <c r="AW29" s="237">
        <f>SUM('Costo Directo'!DC174,'Costo Directo'!DC410,'Costo Directo'!DC646,'Costo Directo'!DC882)</f>
        <v>0</v>
      </c>
      <c r="AX29" s="237">
        <f>SUM('Costo Directo'!DD174,'Costo Directo'!DD410,'Costo Directo'!DD646,'Costo Directo'!DD882)</f>
        <v>0</v>
      </c>
      <c r="AY29" s="237">
        <f>SUM('Costo Directo'!DE174,'Costo Directo'!DE410,'Costo Directo'!DE646,'Costo Directo'!DE882)</f>
        <v>0</v>
      </c>
      <c r="AZ29" s="237">
        <f>SUM('Costo Directo'!DF174,'Costo Directo'!DF410,'Costo Directo'!DF646,'Costo Directo'!DF882)</f>
        <v>0</v>
      </c>
      <c r="BA29" s="237">
        <f>SUM('Costo Directo'!DG174,'Costo Directo'!DG410,'Costo Directo'!DG646,'Costo Directo'!DG882)</f>
        <v>0</v>
      </c>
      <c r="BB29" s="237">
        <f>SUM('Costo Directo'!DH174,'Costo Directo'!DH410,'Costo Directo'!DH646,'Costo Directo'!DH882)</f>
        <v>0</v>
      </c>
    </row>
    <row r="30" spans="2:54" s="221" customFormat="1" x14ac:dyDescent="0.3">
      <c r="B30" s="1038" t="str">
        <f>'Costo Directo'!E187</f>
        <v>Fletes</v>
      </c>
      <c r="C30" s="1039"/>
      <c r="D30" s="223"/>
      <c r="E30" s="235">
        <f t="shared" si="3"/>
        <v>0</v>
      </c>
      <c r="G30" s="237">
        <f>SUM('Costo Directo'!BM187,'Costo Directo'!BM423,'Costo Directo'!BM659,'Costo Directo'!BM895)</f>
        <v>0</v>
      </c>
      <c r="H30" s="237">
        <f>SUM('Costo Directo'!BN187,'Costo Directo'!BN423,'Costo Directo'!BN659,'Costo Directo'!BN895)</f>
        <v>0</v>
      </c>
      <c r="I30" s="237">
        <f>SUM('Costo Directo'!BO187,'Costo Directo'!BO423,'Costo Directo'!BO659,'Costo Directo'!BO895)</f>
        <v>0</v>
      </c>
      <c r="J30" s="237">
        <f>SUM('Costo Directo'!BP187,'Costo Directo'!BP423,'Costo Directo'!BP659,'Costo Directo'!BP895)</f>
        <v>0</v>
      </c>
      <c r="K30" s="237">
        <f>SUM('Costo Directo'!BQ187,'Costo Directo'!BQ423,'Costo Directo'!BQ659,'Costo Directo'!BQ895)</f>
        <v>0</v>
      </c>
      <c r="L30" s="237">
        <f>SUM('Costo Directo'!BR187,'Costo Directo'!BR423,'Costo Directo'!BR659,'Costo Directo'!BR895)</f>
        <v>0</v>
      </c>
      <c r="M30" s="237">
        <f>SUM('Costo Directo'!BS187,'Costo Directo'!BS423,'Costo Directo'!BS659,'Costo Directo'!BS895)</f>
        <v>0</v>
      </c>
      <c r="N30" s="237">
        <f>SUM('Costo Directo'!BT187,'Costo Directo'!BT423,'Costo Directo'!BT659,'Costo Directo'!BT895)</f>
        <v>0</v>
      </c>
      <c r="O30" s="237">
        <f>SUM('Costo Directo'!BU187,'Costo Directo'!BU423,'Costo Directo'!BU659,'Costo Directo'!BU895)</f>
        <v>0</v>
      </c>
      <c r="P30" s="237">
        <f>SUM('Costo Directo'!BV187,'Costo Directo'!BV423,'Costo Directo'!BV659,'Costo Directo'!BV895)</f>
        <v>0</v>
      </c>
      <c r="Q30" s="237">
        <f>SUM('Costo Directo'!BW187,'Costo Directo'!BW423,'Costo Directo'!BW659,'Costo Directo'!BW895)</f>
        <v>0</v>
      </c>
      <c r="R30" s="237">
        <f>SUM('Costo Directo'!BX187,'Costo Directo'!BX423,'Costo Directo'!BX659,'Costo Directo'!BX895)</f>
        <v>0</v>
      </c>
      <c r="S30" s="237">
        <f>SUM('Costo Directo'!BY187,'Costo Directo'!BY423,'Costo Directo'!BY659,'Costo Directo'!BY895)</f>
        <v>0</v>
      </c>
      <c r="T30" s="237">
        <f>SUM('Costo Directo'!BZ187,'Costo Directo'!BZ423,'Costo Directo'!BZ659,'Costo Directo'!BZ895)</f>
        <v>0</v>
      </c>
      <c r="U30" s="237">
        <f>SUM('Costo Directo'!CA187,'Costo Directo'!CA423,'Costo Directo'!CA659,'Costo Directo'!CA895)</f>
        <v>0</v>
      </c>
      <c r="V30" s="237">
        <f>SUM('Costo Directo'!CB187,'Costo Directo'!CB423,'Costo Directo'!CB659,'Costo Directo'!CB895)</f>
        <v>0</v>
      </c>
      <c r="W30" s="237">
        <f>SUM('Costo Directo'!CC187,'Costo Directo'!CC423,'Costo Directo'!CC659,'Costo Directo'!CC895)</f>
        <v>0</v>
      </c>
      <c r="X30" s="237">
        <f>SUM('Costo Directo'!CD187,'Costo Directo'!CD423,'Costo Directo'!CD659,'Costo Directo'!CD895)</f>
        <v>0</v>
      </c>
      <c r="Y30" s="237">
        <f>SUM('Costo Directo'!CE187,'Costo Directo'!CE423,'Costo Directo'!CE659,'Costo Directo'!CE895)</f>
        <v>0</v>
      </c>
      <c r="Z30" s="237">
        <f>SUM('Costo Directo'!CF187,'Costo Directo'!CF423,'Costo Directo'!CF659,'Costo Directo'!CF895)</f>
        <v>0</v>
      </c>
      <c r="AA30" s="237">
        <f>SUM('Costo Directo'!CG187,'Costo Directo'!CG423,'Costo Directo'!CG659,'Costo Directo'!CG895)</f>
        <v>0</v>
      </c>
      <c r="AB30" s="237">
        <f>SUM('Costo Directo'!CH187,'Costo Directo'!CH423,'Costo Directo'!CH659,'Costo Directo'!CH895)</f>
        <v>0</v>
      </c>
      <c r="AC30" s="237">
        <f>SUM('Costo Directo'!CI187,'Costo Directo'!CI423,'Costo Directo'!CI659,'Costo Directo'!CI895)</f>
        <v>0</v>
      </c>
      <c r="AD30" s="237">
        <f>SUM('Costo Directo'!CJ187,'Costo Directo'!CJ423,'Costo Directo'!CJ659,'Costo Directo'!CJ895)</f>
        <v>0</v>
      </c>
      <c r="AE30" s="237">
        <f>SUM('Costo Directo'!CK187,'Costo Directo'!CK423,'Costo Directo'!CK659,'Costo Directo'!CK895)</f>
        <v>0</v>
      </c>
      <c r="AF30" s="237">
        <f>SUM('Costo Directo'!CL187,'Costo Directo'!CL423,'Costo Directo'!CL659,'Costo Directo'!CL895)</f>
        <v>0</v>
      </c>
      <c r="AG30" s="237">
        <f>SUM('Costo Directo'!CM187,'Costo Directo'!CM423,'Costo Directo'!CM659,'Costo Directo'!CM895)</f>
        <v>0</v>
      </c>
      <c r="AH30" s="237">
        <f>SUM('Costo Directo'!CN187,'Costo Directo'!CN423,'Costo Directo'!CN659,'Costo Directo'!CN895)</f>
        <v>0</v>
      </c>
      <c r="AI30" s="237">
        <f>SUM('Costo Directo'!CO187,'Costo Directo'!CO423,'Costo Directo'!CO659,'Costo Directo'!CO895)</f>
        <v>0</v>
      </c>
      <c r="AJ30" s="237">
        <f>SUM('Costo Directo'!CP187,'Costo Directo'!CP423,'Costo Directo'!CP659,'Costo Directo'!CP895)</f>
        <v>0</v>
      </c>
      <c r="AK30" s="237">
        <f>SUM('Costo Directo'!CQ187,'Costo Directo'!CQ423,'Costo Directo'!CQ659,'Costo Directo'!CQ895)</f>
        <v>0</v>
      </c>
      <c r="AL30" s="237">
        <f>SUM('Costo Directo'!CR187,'Costo Directo'!CR423,'Costo Directo'!CR659,'Costo Directo'!CR895)</f>
        <v>0</v>
      </c>
      <c r="AM30" s="237">
        <f>SUM('Costo Directo'!CS187,'Costo Directo'!CS423,'Costo Directo'!CS659,'Costo Directo'!CS895)</f>
        <v>0</v>
      </c>
      <c r="AN30" s="237">
        <f>SUM('Costo Directo'!CT187,'Costo Directo'!CT423,'Costo Directo'!CT659,'Costo Directo'!CT895)</f>
        <v>0</v>
      </c>
      <c r="AO30" s="237">
        <f>SUM('Costo Directo'!CU187,'Costo Directo'!CU423,'Costo Directo'!CU659,'Costo Directo'!CU895)</f>
        <v>0</v>
      </c>
      <c r="AP30" s="237">
        <f>SUM('Costo Directo'!CV187,'Costo Directo'!CV423,'Costo Directo'!CV659,'Costo Directo'!CV895)</f>
        <v>0</v>
      </c>
      <c r="AQ30" s="237">
        <f>SUM('Costo Directo'!CW187,'Costo Directo'!CW423,'Costo Directo'!CW659,'Costo Directo'!CW895)</f>
        <v>0</v>
      </c>
      <c r="AR30" s="237">
        <f>SUM('Costo Directo'!CX187,'Costo Directo'!CX423,'Costo Directo'!CX659,'Costo Directo'!CX895)</f>
        <v>0</v>
      </c>
      <c r="AS30" s="237">
        <f>SUM('Costo Directo'!CY187,'Costo Directo'!CY423,'Costo Directo'!CY659,'Costo Directo'!CY895)</f>
        <v>0</v>
      </c>
      <c r="AT30" s="237">
        <f>SUM('Costo Directo'!CZ187,'Costo Directo'!CZ423,'Costo Directo'!CZ659,'Costo Directo'!CZ895)</f>
        <v>0</v>
      </c>
      <c r="AU30" s="237">
        <f>SUM('Costo Directo'!DA187,'Costo Directo'!DA423,'Costo Directo'!DA659,'Costo Directo'!DA895)</f>
        <v>0</v>
      </c>
      <c r="AV30" s="237">
        <f>SUM('Costo Directo'!DB187,'Costo Directo'!DB423,'Costo Directo'!DB659,'Costo Directo'!DB895)</f>
        <v>0</v>
      </c>
      <c r="AW30" s="237">
        <f>SUM('Costo Directo'!DC187,'Costo Directo'!DC423,'Costo Directo'!DC659,'Costo Directo'!DC895)</f>
        <v>0</v>
      </c>
      <c r="AX30" s="237">
        <f>SUM('Costo Directo'!DD187,'Costo Directo'!DD423,'Costo Directo'!DD659,'Costo Directo'!DD895)</f>
        <v>0</v>
      </c>
      <c r="AY30" s="237">
        <f>SUM('Costo Directo'!DE187,'Costo Directo'!DE423,'Costo Directo'!DE659,'Costo Directo'!DE895)</f>
        <v>0</v>
      </c>
      <c r="AZ30" s="237">
        <f>SUM('Costo Directo'!DF187,'Costo Directo'!DF423,'Costo Directo'!DF659,'Costo Directo'!DF895)</f>
        <v>0</v>
      </c>
      <c r="BA30" s="237">
        <f>SUM('Costo Directo'!DG187,'Costo Directo'!DG423,'Costo Directo'!DG659,'Costo Directo'!DG895)</f>
        <v>0</v>
      </c>
      <c r="BB30" s="237">
        <f>SUM('Costo Directo'!DH187,'Costo Directo'!DH423,'Costo Directo'!DH659,'Costo Directo'!DH895)</f>
        <v>0</v>
      </c>
    </row>
    <row r="31" spans="2:54" s="221" customFormat="1" x14ac:dyDescent="0.3">
      <c r="B31" s="1038" t="str">
        <f>'Costo Directo'!E210</f>
        <v>Combustibles</v>
      </c>
      <c r="C31" s="1039"/>
      <c r="D31" s="223"/>
      <c r="E31" s="235">
        <f t="shared" si="3"/>
        <v>0</v>
      </c>
      <c r="G31" s="237">
        <f>SUM('Costo Directo'!BM210)</f>
        <v>0</v>
      </c>
      <c r="H31" s="237">
        <f>SUM('Costo Directo'!BN210)</f>
        <v>0</v>
      </c>
      <c r="I31" s="237">
        <f>SUM('Costo Directo'!BO210)</f>
        <v>0</v>
      </c>
      <c r="J31" s="237">
        <f>SUM('Costo Directo'!BP210)</f>
        <v>0</v>
      </c>
      <c r="K31" s="237">
        <f>SUM('Costo Directo'!BQ210)</f>
        <v>0</v>
      </c>
      <c r="L31" s="237">
        <f>SUM('Costo Directo'!BR210)</f>
        <v>0</v>
      </c>
      <c r="M31" s="237">
        <f>SUM('Costo Directo'!BS210)</f>
        <v>0</v>
      </c>
      <c r="N31" s="237">
        <f>SUM('Costo Directo'!BT210)</f>
        <v>0</v>
      </c>
      <c r="O31" s="237">
        <f>SUM('Costo Directo'!BU210)</f>
        <v>0</v>
      </c>
      <c r="P31" s="237">
        <f>SUM('Costo Directo'!BV210)</f>
        <v>0</v>
      </c>
      <c r="Q31" s="237">
        <f>SUM('Costo Directo'!BW210)</f>
        <v>0</v>
      </c>
      <c r="R31" s="237">
        <f>SUM('Costo Directo'!BX210)</f>
        <v>0</v>
      </c>
      <c r="S31" s="237">
        <f>SUM('Costo Directo'!BY210)</f>
        <v>0</v>
      </c>
      <c r="T31" s="237">
        <f>SUM('Costo Directo'!BZ210)</f>
        <v>0</v>
      </c>
      <c r="U31" s="237">
        <f>SUM('Costo Directo'!CA210)</f>
        <v>0</v>
      </c>
      <c r="V31" s="237">
        <f>SUM('Costo Directo'!CB210)</f>
        <v>0</v>
      </c>
      <c r="W31" s="237">
        <f>SUM('Costo Directo'!CC210)</f>
        <v>0</v>
      </c>
      <c r="X31" s="237">
        <f>SUM('Costo Directo'!CD210)</f>
        <v>0</v>
      </c>
      <c r="Y31" s="237">
        <f>SUM('Costo Directo'!CE210)</f>
        <v>0</v>
      </c>
      <c r="Z31" s="237">
        <f>SUM('Costo Directo'!CF210)</f>
        <v>0</v>
      </c>
      <c r="AA31" s="237">
        <f>SUM('Costo Directo'!CG210)</f>
        <v>0</v>
      </c>
      <c r="AB31" s="237">
        <f>SUM('Costo Directo'!CH210)</f>
        <v>0</v>
      </c>
      <c r="AC31" s="237">
        <f>SUM('Costo Directo'!CI210)</f>
        <v>0</v>
      </c>
      <c r="AD31" s="237">
        <f>SUM('Costo Directo'!CJ210)</f>
        <v>0</v>
      </c>
      <c r="AE31" s="237">
        <f>SUM('Costo Directo'!CK210)</f>
        <v>0</v>
      </c>
      <c r="AF31" s="237">
        <f>SUM('Costo Directo'!CL210)</f>
        <v>0</v>
      </c>
      <c r="AG31" s="237">
        <f>SUM('Costo Directo'!CM210)</f>
        <v>0</v>
      </c>
      <c r="AH31" s="237">
        <f>SUM('Costo Directo'!CN210)</f>
        <v>0</v>
      </c>
      <c r="AI31" s="237">
        <f>SUM('Costo Directo'!CO210)</f>
        <v>0</v>
      </c>
      <c r="AJ31" s="237">
        <f>SUM('Costo Directo'!CP210)</f>
        <v>0</v>
      </c>
      <c r="AK31" s="237">
        <f>SUM('Costo Directo'!CQ210)</f>
        <v>0</v>
      </c>
      <c r="AL31" s="237">
        <f>SUM('Costo Directo'!CR210)</f>
        <v>0</v>
      </c>
      <c r="AM31" s="237">
        <f>SUM('Costo Directo'!CS210)</f>
        <v>0</v>
      </c>
      <c r="AN31" s="237">
        <f>SUM('Costo Directo'!CT210)</f>
        <v>0</v>
      </c>
      <c r="AO31" s="237">
        <f>SUM('Costo Directo'!CU210)</f>
        <v>0</v>
      </c>
      <c r="AP31" s="237">
        <f>SUM('Costo Directo'!CV210)</f>
        <v>0</v>
      </c>
      <c r="AQ31" s="237">
        <f>SUM('Costo Directo'!CW210)</f>
        <v>0</v>
      </c>
      <c r="AR31" s="237">
        <f>SUM('Costo Directo'!CX210)</f>
        <v>0</v>
      </c>
      <c r="AS31" s="237">
        <f>SUM('Costo Directo'!CY210)</f>
        <v>0</v>
      </c>
      <c r="AT31" s="237">
        <f>SUM('Costo Directo'!CZ210)</f>
        <v>0</v>
      </c>
      <c r="AU31" s="237">
        <f>SUM('Costo Directo'!DA210)</f>
        <v>0</v>
      </c>
      <c r="AV31" s="237">
        <f>SUM('Costo Directo'!DB210)</f>
        <v>0</v>
      </c>
      <c r="AW31" s="237">
        <f>SUM('Costo Directo'!DC210)</f>
        <v>0</v>
      </c>
      <c r="AX31" s="237">
        <f>SUM('Costo Directo'!DD210)</f>
        <v>0</v>
      </c>
      <c r="AY31" s="237">
        <f>SUM('Costo Directo'!DE210)</f>
        <v>0</v>
      </c>
      <c r="AZ31" s="237">
        <f>SUM('Costo Directo'!DF210)</f>
        <v>0</v>
      </c>
      <c r="BA31" s="237">
        <f>SUM('Costo Directo'!DG210)</f>
        <v>0</v>
      </c>
      <c r="BB31" s="237">
        <f>SUM('Costo Directo'!DH210)</f>
        <v>0</v>
      </c>
    </row>
    <row r="32" spans="2:54" s="221" customFormat="1" x14ac:dyDescent="0.3">
      <c r="B32" s="1038" t="str">
        <f>'Costo Directo'!E227</f>
        <v>Madera, Ferretería, Herramienta</v>
      </c>
      <c r="C32" s="1039"/>
      <c r="D32" s="223"/>
      <c r="E32" s="235">
        <f t="shared" si="3"/>
        <v>0</v>
      </c>
      <c r="G32" s="237">
        <f>SUM('Costo Directo'!BM227,'Costo Directo'!BM463,'Costo Directo'!BM699,'Costo Directo'!BM935)</f>
        <v>0</v>
      </c>
      <c r="H32" s="237">
        <f>SUM('Costo Directo'!BN227,'Costo Directo'!BN463,'Costo Directo'!BN699,'Costo Directo'!BN935)</f>
        <v>0</v>
      </c>
      <c r="I32" s="237">
        <f>SUM('Costo Directo'!BO227,'Costo Directo'!BO463,'Costo Directo'!BO699,'Costo Directo'!BO935)</f>
        <v>0</v>
      </c>
      <c r="J32" s="237">
        <f>SUM('Costo Directo'!BP227,'Costo Directo'!BP463,'Costo Directo'!BP699,'Costo Directo'!BP935)</f>
        <v>0</v>
      </c>
      <c r="K32" s="237">
        <f>SUM('Costo Directo'!BQ227,'Costo Directo'!BQ463,'Costo Directo'!BQ699,'Costo Directo'!BQ935)</f>
        <v>0</v>
      </c>
      <c r="L32" s="237">
        <f>SUM('Costo Directo'!BR227,'Costo Directo'!BR463,'Costo Directo'!BR699,'Costo Directo'!BR935)</f>
        <v>0</v>
      </c>
      <c r="M32" s="237">
        <f>SUM('Costo Directo'!BS227,'Costo Directo'!BS463,'Costo Directo'!BS699,'Costo Directo'!BS935)</f>
        <v>0</v>
      </c>
      <c r="N32" s="237">
        <f>SUM('Costo Directo'!BT227,'Costo Directo'!BT463,'Costo Directo'!BT699,'Costo Directo'!BT935)</f>
        <v>0</v>
      </c>
      <c r="O32" s="237">
        <f>SUM('Costo Directo'!BU227,'Costo Directo'!BU463,'Costo Directo'!BU699,'Costo Directo'!BU935)</f>
        <v>0</v>
      </c>
      <c r="P32" s="237">
        <f>SUM('Costo Directo'!BV227,'Costo Directo'!BV463,'Costo Directo'!BV699,'Costo Directo'!BV935)</f>
        <v>0</v>
      </c>
      <c r="Q32" s="237">
        <f>SUM('Costo Directo'!BW227,'Costo Directo'!BW463,'Costo Directo'!BW699,'Costo Directo'!BW935)</f>
        <v>0</v>
      </c>
      <c r="R32" s="237">
        <f>SUM('Costo Directo'!BX227,'Costo Directo'!BX463,'Costo Directo'!BX699,'Costo Directo'!BX935)</f>
        <v>0</v>
      </c>
      <c r="S32" s="237">
        <f>SUM('Costo Directo'!BY227,'Costo Directo'!BY463,'Costo Directo'!BY699,'Costo Directo'!BY935)</f>
        <v>0</v>
      </c>
      <c r="T32" s="237">
        <f>SUM('Costo Directo'!BZ227,'Costo Directo'!BZ463,'Costo Directo'!BZ699,'Costo Directo'!BZ935)</f>
        <v>0</v>
      </c>
      <c r="U32" s="237">
        <f>SUM('Costo Directo'!CA227,'Costo Directo'!CA463,'Costo Directo'!CA699,'Costo Directo'!CA935)</f>
        <v>0</v>
      </c>
      <c r="V32" s="237">
        <f>SUM('Costo Directo'!CB227,'Costo Directo'!CB463,'Costo Directo'!CB699,'Costo Directo'!CB935)</f>
        <v>0</v>
      </c>
      <c r="W32" s="237">
        <f>SUM('Costo Directo'!CC227,'Costo Directo'!CC463,'Costo Directo'!CC699,'Costo Directo'!CC935)</f>
        <v>0</v>
      </c>
      <c r="X32" s="237">
        <f>SUM('Costo Directo'!CD227,'Costo Directo'!CD463,'Costo Directo'!CD699,'Costo Directo'!CD935)</f>
        <v>0</v>
      </c>
      <c r="Y32" s="237">
        <f>SUM('Costo Directo'!CE227,'Costo Directo'!CE463,'Costo Directo'!CE699,'Costo Directo'!CE935)</f>
        <v>0</v>
      </c>
      <c r="Z32" s="237">
        <f>SUM('Costo Directo'!CF227,'Costo Directo'!CF463,'Costo Directo'!CF699,'Costo Directo'!CF935)</f>
        <v>0</v>
      </c>
      <c r="AA32" s="237">
        <f>SUM('Costo Directo'!CG227,'Costo Directo'!CG463,'Costo Directo'!CG699,'Costo Directo'!CG935)</f>
        <v>0</v>
      </c>
      <c r="AB32" s="237">
        <f>SUM('Costo Directo'!CH227,'Costo Directo'!CH463,'Costo Directo'!CH699,'Costo Directo'!CH935)</f>
        <v>0</v>
      </c>
      <c r="AC32" s="237">
        <f>SUM('Costo Directo'!CI227,'Costo Directo'!CI463,'Costo Directo'!CI699,'Costo Directo'!CI935)</f>
        <v>0</v>
      </c>
      <c r="AD32" s="237">
        <f>SUM('Costo Directo'!CJ227,'Costo Directo'!CJ463,'Costo Directo'!CJ699,'Costo Directo'!CJ935)</f>
        <v>0</v>
      </c>
      <c r="AE32" s="237">
        <f>SUM('Costo Directo'!CK227,'Costo Directo'!CK463,'Costo Directo'!CK699,'Costo Directo'!CK935)</f>
        <v>0</v>
      </c>
      <c r="AF32" s="237">
        <f>SUM('Costo Directo'!CL227,'Costo Directo'!CL463,'Costo Directo'!CL699,'Costo Directo'!CL935)</f>
        <v>0</v>
      </c>
      <c r="AG32" s="237">
        <f>SUM('Costo Directo'!CM227,'Costo Directo'!CM463,'Costo Directo'!CM699,'Costo Directo'!CM935)</f>
        <v>0</v>
      </c>
      <c r="AH32" s="237">
        <f>SUM('Costo Directo'!CN227,'Costo Directo'!CN463,'Costo Directo'!CN699,'Costo Directo'!CN935)</f>
        <v>0</v>
      </c>
      <c r="AI32" s="237">
        <f>SUM('Costo Directo'!CO227,'Costo Directo'!CO463,'Costo Directo'!CO699,'Costo Directo'!CO935)</f>
        <v>0</v>
      </c>
      <c r="AJ32" s="237">
        <f>SUM('Costo Directo'!CP227,'Costo Directo'!CP463,'Costo Directo'!CP699,'Costo Directo'!CP935)</f>
        <v>0</v>
      </c>
      <c r="AK32" s="237">
        <f>SUM('Costo Directo'!CQ227,'Costo Directo'!CQ463,'Costo Directo'!CQ699,'Costo Directo'!CQ935)</f>
        <v>0</v>
      </c>
      <c r="AL32" s="237">
        <f>SUM('Costo Directo'!CR227,'Costo Directo'!CR463,'Costo Directo'!CR699,'Costo Directo'!CR935)</f>
        <v>0</v>
      </c>
      <c r="AM32" s="237">
        <f>SUM('Costo Directo'!CS227,'Costo Directo'!CS463,'Costo Directo'!CS699,'Costo Directo'!CS935)</f>
        <v>0</v>
      </c>
      <c r="AN32" s="237">
        <f>SUM('Costo Directo'!CT227,'Costo Directo'!CT463,'Costo Directo'!CT699,'Costo Directo'!CT935)</f>
        <v>0</v>
      </c>
      <c r="AO32" s="237">
        <f>SUM('Costo Directo'!CU227,'Costo Directo'!CU463,'Costo Directo'!CU699,'Costo Directo'!CU935)</f>
        <v>0</v>
      </c>
      <c r="AP32" s="237">
        <f>SUM('Costo Directo'!CV227,'Costo Directo'!CV463,'Costo Directo'!CV699,'Costo Directo'!CV935)</f>
        <v>0</v>
      </c>
      <c r="AQ32" s="237">
        <f>SUM('Costo Directo'!CW227,'Costo Directo'!CW463,'Costo Directo'!CW699,'Costo Directo'!CW935)</f>
        <v>0</v>
      </c>
      <c r="AR32" s="237">
        <f>SUM('Costo Directo'!CX227,'Costo Directo'!CX463,'Costo Directo'!CX699,'Costo Directo'!CX935)</f>
        <v>0</v>
      </c>
      <c r="AS32" s="237">
        <f>SUM('Costo Directo'!CY227,'Costo Directo'!CY463,'Costo Directo'!CY699,'Costo Directo'!CY935)</f>
        <v>0</v>
      </c>
      <c r="AT32" s="237">
        <f>SUM('Costo Directo'!CZ227,'Costo Directo'!CZ463,'Costo Directo'!CZ699,'Costo Directo'!CZ935)</f>
        <v>0</v>
      </c>
      <c r="AU32" s="237">
        <f>SUM('Costo Directo'!DA227,'Costo Directo'!DA463,'Costo Directo'!DA699,'Costo Directo'!DA935)</f>
        <v>0</v>
      </c>
      <c r="AV32" s="237">
        <f>SUM('Costo Directo'!DB227,'Costo Directo'!DB463,'Costo Directo'!DB699,'Costo Directo'!DB935)</f>
        <v>0</v>
      </c>
      <c r="AW32" s="237">
        <f>SUM('Costo Directo'!DC227,'Costo Directo'!DC463,'Costo Directo'!DC699,'Costo Directo'!DC935)</f>
        <v>0</v>
      </c>
      <c r="AX32" s="237">
        <f>SUM('Costo Directo'!DD227,'Costo Directo'!DD463,'Costo Directo'!DD699,'Costo Directo'!DD935)</f>
        <v>0</v>
      </c>
      <c r="AY32" s="237">
        <f>SUM('Costo Directo'!DE227,'Costo Directo'!DE463,'Costo Directo'!DE699,'Costo Directo'!DE935)</f>
        <v>0</v>
      </c>
      <c r="AZ32" s="237">
        <f>SUM('Costo Directo'!DF227,'Costo Directo'!DF463,'Costo Directo'!DF699,'Costo Directo'!DF935)</f>
        <v>0</v>
      </c>
      <c r="BA32" s="237">
        <f>SUM('Costo Directo'!DG227,'Costo Directo'!DG463,'Costo Directo'!DG699,'Costo Directo'!DG935)</f>
        <v>0</v>
      </c>
      <c r="BB32" s="237">
        <f>SUM('Costo Directo'!DH227,'Costo Directo'!DH463,'Costo Directo'!DH699,'Costo Directo'!DH935)</f>
        <v>0</v>
      </c>
    </row>
    <row r="33" spans="2:54" s="221" customFormat="1" x14ac:dyDescent="0.3">
      <c r="B33" s="1038" t="str">
        <f>'Costo Directo'!E235</f>
        <v>HERRAMIENTA MENOR Y EPP</v>
      </c>
      <c r="C33" s="1039"/>
      <c r="D33" s="223"/>
      <c r="E33" s="235">
        <f t="shared" si="3"/>
        <v>106141.53990440993</v>
      </c>
      <c r="G33" s="237">
        <f>SUM('Costo Directo'!BM235,'Costo Directo'!BM471,'Costo Directo'!BM707,'Costo Directo'!BM943)</f>
        <v>0</v>
      </c>
      <c r="H33" s="237">
        <f>SUM('Costo Directo'!BN235,'Costo Directo'!BN471,'Costo Directo'!BN707,'Costo Directo'!BN943)</f>
        <v>1354.96758</v>
      </c>
      <c r="I33" s="237">
        <f>SUM('Costo Directo'!BO235,'Costo Directo'!BO471,'Costo Directo'!BO707,'Costo Directo'!BO943)</f>
        <v>20294.367298500005</v>
      </c>
      <c r="J33" s="237">
        <f>SUM('Costo Directo'!BP235,'Costo Directo'!BP471,'Costo Directo'!BP707,'Costo Directo'!BP943)</f>
        <v>38443.148062949927</v>
      </c>
      <c r="K33" s="237">
        <f>SUM('Costo Directo'!BQ235,'Costo Directo'!BQ471,'Costo Directo'!BQ707,'Costo Directo'!BQ943)</f>
        <v>10533.026783839998</v>
      </c>
      <c r="L33" s="237">
        <f>SUM('Costo Directo'!BR235,'Costo Directo'!BR471,'Costo Directo'!BR707,'Costo Directo'!BR943)</f>
        <v>4235.5125791199998</v>
      </c>
      <c r="M33" s="237">
        <f>SUM('Costo Directo'!BS235,'Costo Directo'!BS471,'Costo Directo'!BS707,'Costo Directo'!BS943)</f>
        <v>8080.517600000001</v>
      </c>
      <c r="N33" s="237">
        <f>SUM('Costo Directo'!BT235,'Costo Directo'!BT471,'Costo Directo'!BT707,'Costo Directo'!BT943)</f>
        <v>0</v>
      </c>
      <c r="O33" s="237">
        <f>SUM('Costo Directo'!BU235,'Costo Directo'!BU471,'Costo Directo'!BU707,'Costo Directo'!BU943)</f>
        <v>0</v>
      </c>
      <c r="P33" s="237">
        <f>SUM('Costo Directo'!BV235,'Costo Directo'!BV471,'Costo Directo'!BV707,'Costo Directo'!BV943)</f>
        <v>0</v>
      </c>
      <c r="Q33" s="237">
        <f>SUM('Costo Directo'!BW235,'Costo Directo'!BW471,'Costo Directo'!BW707,'Costo Directo'!BW943)</f>
        <v>0</v>
      </c>
      <c r="R33" s="237">
        <f>SUM('Costo Directo'!BX235,'Costo Directo'!BX471,'Costo Directo'!BX707,'Costo Directo'!BX943)</f>
        <v>0</v>
      </c>
      <c r="S33" s="237">
        <f>SUM('Costo Directo'!BY235,'Costo Directo'!BY471,'Costo Directo'!BY707,'Costo Directo'!BY943)</f>
        <v>0</v>
      </c>
      <c r="T33" s="237">
        <f>SUM('Costo Directo'!BZ235,'Costo Directo'!BZ471,'Costo Directo'!BZ707,'Costo Directo'!BZ943)</f>
        <v>0</v>
      </c>
      <c r="U33" s="237">
        <f>SUM('Costo Directo'!CA235,'Costo Directo'!CA471,'Costo Directo'!CA707,'Costo Directo'!CA943)</f>
        <v>0</v>
      </c>
      <c r="V33" s="237">
        <f>SUM('Costo Directo'!CB235,'Costo Directo'!CB471,'Costo Directo'!CB707,'Costo Directo'!CB943)</f>
        <v>0</v>
      </c>
      <c r="W33" s="237">
        <f>SUM('Costo Directo'!CC235,'Costo Directo'!CC471,'Costo Directo'!CC707,'Costo Directo'!CC943)</f>
        <v>23200</v>
      </c>
      <c r="X33" s="237">
        <f>SUM('Costo Directo'!CD235,'Costo Directo'!CD471,'Costo Directo'!CD707,'Costo Directo'!CD943)</f>
        <v>0</v>
      </c>
      <c r="Y33" s="237">
        <f>SUM('Costo Directo'!CE235,'Costo Directo'!CE471,'Costo Directo'!CE707,'Costo Directo'!CE943)</f>
        <v>0</v>
      </c>
      <c r="Z33" s="237">
        <f>SUM('Costo Directo'!CF235,'Costo Directo'!CF471,'Costo Directo'!CF707,'Costo Directo'!CF943)</f>
        <v>0</v>
      </c>
      <c r="AA33" s="237">
        <f>SUM('Costo Directo'!CG235,'Costo Directo'!CG471,'Costo Directo'!CG707,'Costo Directo'!CG943)</f>
        <v>0</v>
      </c>
      <c r="AB33" s="237">
        <f>SUM('Costo Directo'!CH235,'Costo Directo'!CH471,'Costo Directo'!CH707,'Costo Directo'!CH943)</f>
        <v>0</v>
      </c>
      <c r="AC33" s="237">
        <f>SUM('Costo Directo'!CI235,'Costo Directo'!CI471,'Costo Directo'!CI707,'Costo Directo'!CI943)</f>
        <v>0</v>
      </c>
      <c r="AD33" s="237">
        <f>SUM('Costo Directo'!CJ235,'Costo Directo'!CJ471,'Costo Directo'!CJ707,'Costo Directo'!CJ943)</f>
        <v>0</v>
      </c>
      <c r="AE33" s="237">
        <f>SUM('Costo Directo'!CK235,'Costo Directo'!CK471,'Costo Directo'!CK707,'Costo Directo'!CK943)</f>
        <v>0</v>
      </c>
      <c r="AF33" s="237">
        <f>SUM('Costo Directo'!CL235,'Costo Directo'!CL471,'Costo Directo'!CL707,'Costo Directo'!CL943)</f>
        <v>0</v>
      </c>
      <c r="AG33" s="237">
        <f>SUM('Costo Directo'!CM235,'Costo Directo'!CM471,'Costo Directo'!CM707,'Costo Directo'!CM943)</f>
        <v>0</v>
      </c>
      <c r="AH33" s="237">
        <f>SUM('Costo Directo'!CN235,'Costo Directo'!CN471,'Costo Directo'!CN707,'Costo Directo'!CN943)</f>
        <v>0</v>
      </c>
      <c r="AI33" s="237">
        <f>SUM('Costo Directo'!CO235,'Costo Directo'!CO471,'Costo Directo'!CO707,'Costo Directo'!CO943)</f>
        <v>0</v>
      </c>
      <c r="AJ33" s="237">
        <f>SUM('Costo Directo'!CP235,'Costo Directo'!CP471,'Costo Directo'!CP707,'Costo Directo'!CP943)</f>
        <v>0</v>
      </c>
      <c r="AK33" s="237">
        <f>SUM('Costo Directo'!CQ235,'Costo Directo'!CQ471,'Costo Directo'!CQ707,'Costo Directo'!CQ943)</f>
        <v>0</v>
      </c>
      <c r="AL33" s="237">
        <f>SUM('Costo Directo'!CR235,'Costo Directo'!CR471,'Costo Directo'!CR707,'Costo Directo'!CR943)</f>
        <v>0</v>
      </c>
      <c r="AM33" s="237">
        <f>SUM('Costo Directo'!CS235,'Costo Directo'!CS471,'Costo Directo'!CS707,'Costo Directo'!CS943)</f>
        <v>0</v>
      </c>
      <c r="AN33" s="237">
        <f>SUM('Costo Directo'!CT235,'Costo Directo'!CT471,'Costo Directo'!CT707,'Costo Directo'!CT943)</f>
        <v>0</v>
      </c>
      <c r="AO33" s="237">
        <f>SUM('Costo Directo'!CU235,'Costo Directo'!CU471,'Costo Directo'!CU707,'Costo Directo'!CU943)</f>
        <v>0</v>
      </c>
      <c r="AP33" s="237">
        <f>SUM('Costo Directo'!CV235,'Costo Directo'!CV471,'Costo Directo'!CV707,'Costo Directo'!CV943)</f>
        <v>0</v>
      </c>
      <c r="AQ33" s="237">
        <f>SUM('Costo Directo'!CW235,'Costo Directo'!CW471,'Costo Directo'!CW707,'Costo Directo'!CW943)</f>
        <v>0</v>
      </c>
      <c r="AR33" s="237">
        <f>SUM('Costo Directo'!CX235,'Costo Directo'!CX471,'Costo Directo'!CX707,'Costo Directo'!CX943)</f>
        <v>0</v>
      </c>
      <c r="AS33" s="237">
        <f>SUM('Costo Directo'!CY235,'Costo Directo'!CY471,'Costo Directo'!CY707,'Costo Directo'!CY943)</f>
        <v>0</v>
      </c>
      <c r="AT33" s="237">
        <f>SUM('Costo Directo'!CZ235,'Costo Directo'!CZ471,'Costo Directo'!CZ707,'Costo Directo'!CZ943)</f>
        <v>0</v>
      </c>
      <c r="AU33" s="237">
        <f>SUM('Costo Directo'!DA235,'Costo Directo'!DA471,'Costo Directo'!DA707,'Costo Directo'!DA943)</f>
        <v>0</v>
      </c>
      <c r="AV33" s="237">
        <f>SUM('Costo Directo'!DB235,'Costo Directo'!DB471,'Costo Directo'!DB707,'Costo Directo'!DB943)</f>
        <v>0</v>
      </c>
      <c r="AW33" s="237">
        <f>SUM('Costo Directo'!DC235,'Costo Directo'!DC471,'Costo Directo'!DC707,'Costo Directo'!DC943)</f>
        <v>0</v>
      </c>
      <c r="AX33" s="237">
        <f>SUM('Costo Directo'!DD235,'Costo Directo'!DD471,'Costo Directo'!DD707,'Costo Directo'!DD943)</f>
        <v>0</v>
      </c>
      <c r="AY33" s="237">
        <f>SUM('Costo Directo'!DE235,'Costo Directo'!DE471,'Costo Directo'!DE707,'Costo Directo'!DE943)</f>
        <v>0</v>
      </c>
      <c r="AZ33" s="237">
        <f>SUM('Costo Directo'!DF235,'Costo Directo'!DF471,'Costo Directo'!DF707,'Costo Directo'!DF943)</f>
        <v>0</v>
      </c>
      <c r="BA33" s="237">
        <f>SUM('Costo Directo'!DG235,'Costo Directo'!DG471,'Costo Directo'!DG707,'Costo Directo'!DG943)</f>
        <v>0</v>
      </c>
      <c r="BB33" s="237">
        <f>SUM('Costo Directo'!DH235,'Costo Directo'!DH471,'Costo Directo'!DH707,'Costo Directo'!DH943)</f>
        <v>0</v>
      </c>
    </row>
    <row r="34" spans="2:54" s="221" customFormat="1" x14ac:dyDescent="0.3">
      <c r="B34" s="1045" t="str">
        <f>'Costo Directo'!E241</f>
        <v>Mangueras y Reparaciones</v>
      </c>
      <c r="C34" s="1046"/>
      <c r="D34" s="223"/>
      <c r="E34" s="236">
        <f t="shared" si="3"/>
        <v>0</v>
      </c>
      <c r="G34" s="238">
        <f>SUM('Costo Directo'!BM241,'Costo Directo'!BM477,'Costo Directo'!BM713,'Costo Directo'!BM949)</f>
        <v>0</v>
      </c>
      <c r="H34" s="238">
        <f>SUM('Costo Directo'!BN241,'Costo Directo'!BN477,'Costo Directo'!BN713,'Costo Directo'!BN949)</f>
        <v>0</v>
      </c>
      <c r="I34" s="238">
        <f>SUM('Costo Directo'!BO241,'Costo Directo'!BO477,'Costo Directo'!BO713,'Costo Directo'!BO949)</f>
        <v>0</v>
      </c>
      <c r="J34" s="238">
        <f>SUM('Costo Directo'!BP241,'Costo Directo'!BP477,'Costo Directo'!BP713,'Costo Directo'!BP949)</f>
        <v>0</v>
      </c>
      <c r="K34" s="238">
        <f>SUM('Costo Directo'!BQ241,'Costo Directo'!BQ477,'Costo Directo'!BQ713,'Costo Directo'!BQ949)</f>
        <v>0</v>
      </c>
      <c r="L34" s="238">
        <f>SUM('Costo Directo'!BR241,'Costo Directo'!BR477,'Costo Directo'!BR713,'Costo Directo'!BR949)</f>
        <v>0</v>
      </c>
      <c r="M34" s="238">
        <f>SUM('Costo Directo'!BS241,'Costo Directo'!BS477,'Costo Directo'!BS713,'Costo Directo'!BS949)</f>
        <v>0</v>
      </c>
      <c r="N34" s="238">
        <f>SUM('Costo Directo'!BT241,'Costo Directo'!BT477,'Costo Directo'!BT713,'Costo Directo'!BT949)</f>
        <v>0</v>
      </c>
      <c r="O34" s="238">
        <f>SUM('Costo Directo'!BU241,'Costo Directo'!BU477,'Costo Directo'!BU713,'Costo Directo'!BU949)</f>
        <v>0</v>
      </c>
      <c r="P34" s="238">
        <f>SUM('Costo Directo'!BV241,'Costo Directo'!BV477,'Costo Directo'!BV713,'Costo Directo'!BV949)</f>
        <v>0</v>
      </c>
      <c r="Q34" s="238">
        <f>SUM('Costo Directo'!BW241,'Costo Directo'!BW477,'Costo Directo'!BW713,'Costo Directo'!BW949)</f>
        <v>0</v>
      </c>
      <c r="R34" s="238">
        <f>SUM('Costo Directo'!BX241,'Costo Directo'!BX477,'Costo Directo'!BX713,'Costo Directo'!BX949)</f>
        <v>0</v>
      </c>
      <c r="S34" s="238">
        <f>SUM('Costo Directo'!BY241,'Costo Directo'!BY477,'Costo Directo'!BY713,'Costo Directo'!BY949)</f>
        <v>0</v>
      </c>
      <c r="T34" s="238">
        <f>SUM('Costo Directo'!BZ241,'Costo Directo'!BZ477,'Costo Directo'!BZ713,'Costo Directo'!BZ949)</f>
        <v>0</v>
      </c>
      <c r="U34" s="238">
        <f>SUM('Costo Directo'!CA241,'Costo Directo'!CA477,'Costo Directo'!CA713,'Costo Directo'!CA949)</f>
        <v>0</v>
      </c>
      <c r="V34" s="238">
        <f>SUM('Costo Directo'!CB241,'Costo Directo'!CB477,'Costo Directo'!CB713,'Costo Directo'!CB949)</f>
        <v>0</v>
      </c>
      <c r="W34" s="238">
        <f>SUM('Costo Directo'!CC241,'Costo Directo'!CC477,'Costo Directo'!CC713,'Costo Directo'!CC949)</f>
        <v>0</v>
      </c>
      <c r="X34" s="238">
        <f>SUM('Costo Directo'!CD241,'Costo Directo'!CD477,'Costo Directo'!CD713,'Costo Directo'!CD949)</f>
        <v>0</v>
      </c>
      <c r="Y34" s="238">
        <f>SUM('Costo Directo'!CE241,'Costo Directo'!CE477,'Costo Directo'!CE713,'Costo Directo'!CE949)</f>
        <v>0</v>
      </c>
      <c r="Z34" s="238">
        <f>SUM('Costo Directo'!CF241,'Costo Directo'!CF477,'Costo Directo'!CF713,'Costo Directo'!CF949)</f>
        <v>0</v>
      </c>
      <c r="AA34" s="238">
        <f>SUM('Costo Directo'!CG241,'Costo Directo'!CG477,'Costo Directo'!CG713,'Costo Directo'!CG949)</f>
        <v>0</v>
      </c>
      <c r="AB34" s="238">
        <f>SUM('Costo Directo'!CH241,'Costo Directo'!CH477,'Costo Directo'!CH713,'Costo Directo'!CH949)</f>
        <v>0</v>
      </c>
      <c r="AC34" s="238">
        <f>SUM('Costo Directo'!CI241,'Costo Directo'!CI477,'Costo Directo'!CI713,'Costo Directo'!CI949)</f>
        <v>0</v>
      </c>
      <c r="AD34" s="238">
        <f>SUM('Costo Directo'!CJ241,'Costo Directo'!CJ477,'Costo Directo'!CJ713,'Costo Directo'!CJ949)</f>
        <v>0</v>
      </c>
      <c r="AE34" s="238">
        <f>SUM('Costo Directo'!CK241,'Costo Directo'!CK477,'Costo Directo'!CK713,'Costo Directo'!CK949)</f>
        <v>0</v>
      </c>
      <c r="AF34" s="238">
        <f>SUM('Costo Directo'!CL241,'Costo Directo'!CL477,'Costo Directo'!CL713,'Costo Directo'!CL949)</f>
        <v>0</v>
      </c>
      <c r="AG34" s="238">
        <f>SUM('Costo Directo'!CM241,'Costo Directo'!CM477,'Costo Directo'!CM713,'Costo Directo'!CM949)</f>
        <v>0</v>
      </c>
      <c r="AH34" s="238">
        <f>SUM('Costo Directo'!CN241,'Costo Directo'!CN477,'Costo Directo'!CN713,'Costo Directo'!CN949)</f>
        <v>0</v>
      </c>
      <c r="AI34" s="238">
        <f>SUM('Costo Directo'!CO241,'Costo Directo'!CO477,'Costo Directo'!CO713,'Costo Directo'!CO949)</f>
        <v>0</v>
      </c>
      <c r="AJ34" s="238">
        <f>SUM('Costo Directo'!CP241,'Costo Directo'!CP477,'Costo Directo'!CP713,'Costo Directo'!CP949)</f>
        <v>0</v>
      </c>
      <c r="AK34" s="238">
        <f>SUM('Costo Directo'!CQ241,'Costo Directo'!CQ477,'Costo Directo'!CQ713,'Costo Directo'!CQ949)</f>
        <v>0</v>
      </c>
      <c r="AL34" s="238">
        <f>SUM('Costo Directo'!CR241,'Costo Directo'!CR477,'Costo Directo'!CR713,'Costo Directo'!CR949)</f>
        <v>0</v>
      </c>
      <c r="AM34" s="238">
        <f>SUM('Costo Directo'!CS241,'Costo Directo'!CS477,'Costo Directo'!CS713,'Costo Directo'!CS949)</f>
        <v>0</v>
      </c>
      <c r="AN34" s="238">
        <f>SUM('Costo Directo'!CT241,'Costo Directo'!CT477,'Costo Directo'!CT713,'Costo Directo'!CT949)</f>
        <v>0</v>
      </c>
      <c r="AO34" s="238">
        <f>SUM('Costo Directo'!CU241,'Costo Directo'!CU477,'Costo Directo'!CU713,'Costo Directo'!CU949)</f>
        <v>0</v>
      </c>
      <c r="AP34" s="238">
        <f>SUM('Costo Directo'!CV241,'Costo Directo'!CV477,'Costo Directo'!CV713,'Costo Directo'!CV949)</f>
        <v>0</v>
      </c>
      <c r="AQ34" s="238">
        <f>SUM('Costo Directo'!CW241,'Costo Directo'!CW477,'Costo Directo'!CW713,'Costo Directo'!CW949)</f>
        <v>0</v>
      </c>
      <c r="AR34" s="238">
        <f>SUM('Costo Directo'!CX241,'Costo Directo'!CX477,'Costo Directo'!CX713,'Costo Directo'!CX949)</f>
        <v>0</v>
      </c>
      <c r="AS34" s="238">
        <f>SUM('Costo Directo'!CY241,'Costo Directo'!CY477,'Costo Directo'!CY713,'Costo Directo'!CY949)</f>
        <v>0</v>
      </c>
      <c r="AT34" s="238">
        <f>SUM('Costo Directo'!CZ241,'Costo Directo'!CZ477,'Costo Directo'!CZ713,'Costo Directo'!CZ949)</f>
        <v>0</v>
      </c>
      <c r="AU34" s="238">
        <f>SUM('Costo Directo'!DA241,'Costo Directo'!DA477,'Costo Directo'!DA713,'Costo Directo'!DA949)</f>
        <v>0</v>
      </c>
      <c r="AV34" s="238">
        <f>SUM('Costo Directo'!DB241,'Costo Directo'!DB477,'Costo Directo'!DB713,'Costo Directo'!DB949)</f>
        <v>0</v>
      </c>
      <c r="AW34" s="238">
        <f>SUM('Costo Directo'!DC241,'Costo Directo'!DC477,'Costo Directo'!DC713,'Costo Directo'!DC949)</f>
        <v>0</v>
      </c>
      <c r="AX34" s="238">
        <f>SUM('Costo Directo'!DD241,'Costo Directo'!DD477,'Costo Directo'!DD713,'Costo Directo'!DD949)</f>
        <v>0</v>
      </c>
      <c r="AY34" s="238">
        <f>SUM('Costo Directo'!DE241,'Costo Directo'!DE477,'Costo Directo'!DE713,'Costo Directo'!DE949)</f>
        <v>0</v>
      </c>
      <c r="AZ34" s="238">
        <f>SUM('Costo Directo'!DF241,'Costo Directo'!DF477,'Costo Directo'!DF713,'Costo Directo'!DF949)</f>
        <v>0</v>
      </c>
      <c r="BA34" s="238">
        <f>SUM('Costo Directo'!DG241,'Costo Directo'!DG477,'Costo Directo'!DG713,'Costo Directo'!DG949)</f>
        <v>0</v>
      </c>
      <c r="BB34" s="238">
        <f>SUM('Costo Directo'!DH241,'Costo Directo'!DH477,'Costo Directo'!DH713,'Costo Directo'!DH949)</f>
        <v>0</v>
      </c>
    </row>
    <row r="35" spans="2:54" s="221" customFormat="1" ht="6" customHeight="1" x14ac:dyDescent="0.3"/>
    <row r="36" spans="2:54" s="242" customFormat="1" ht="15" thickBot="1" x14ac:dyDescent="0.35">
      <c r="B36" s="1047" t="s">
        <v>1022</v>
      </c>
      <c r="C36" s="1047"/>
      <c r="D36" s="239"/>
      <c r="E36" s="240">
        <f>E9-E13</f>
        <v>2852798.3724389011</v>
      </c>
      <c r="F36" s="241"/>
      <c r="G36" s="240">
        <f t="shared" ref="G36:P36" si="4">G9-G13</f>
        <v>0</v>
      </c>
      <c r="H36" s="240">
        <f t="shared" si="4"/>
        <v>-138564.34639448795</v>
      </c>
      <c r="I36" s="240">
        <f t="shared" si="4"/>
        <v>-379928.18843396101</v>
      </c>
      <c r="J36" s="240">
        <f t="shared" si="4"/>
        <v>-914707.58448546333</v>
      </c>
      <c r="K36" s="240">
        <f t="shared" si="4"/>
        <v>964689.27786304895</v>
      </c>
      <c r="L36" s="240">
        <f t="shared" si="4"/>
        <v>17780.622629917576</v>
      </c>
      <c r="M36" s="240">
        <f t="shared" si="4"/>
        <v>-199929.68832788902</v>
      </c>
      <c r="N36" s="240">
        <f t="shared" si="4"/>
        <v>327052.2356792934</v>
      </c>
      <c r="O36" s="240">
        <f t="shared" si="4"/>
        <v>1001775.3969656242</v>
      </c>
      <c r="P36" s="240">
        <f t="shared" si="4"/>
        <v>291771.88545416202</v>
      </c>
      <c r="Q36" s="240">
        <f t="shared" ref="Q36:AC36" si="5">Q9-Q13</f>
        <v>1564019.5585364148</v>
      </c>
      <c r="R36" s="240">
        <f t="shared" si="5"/>
        <v>-144723.82007595384</v>
      </c>
      <c r="S36" s="240">
        <f t="shared" si="5"/>
        <v>736738.2089537651</v>
      </c>
      <c r="T36" s="240">
        <f t="shared" si="5"/>
        <v>-79341.468170720022</v>
      </c>
      <c r="U36" s="240">
        <f t="shared" si="5"/>
        <v>-163091.66931658384</v>
      </c>
      <c r="V36" s="240">
        <f t="shared" si="5"/>
        <v>-4300.8513234161319</v>
      </c>
      <c r="W36" s="240">
        <f t="shared" si="5"/>
        <v>-26441.197114850132</v>
      </c>
      <c r="X36" s="240">
        <f t="shared" si="5"/>
        <v>0</v>
      </c>
      <c r="Y36" s="240">
        <f t="shared" si="5"/>
        <v>0</v>
      </c>
      <c r="Z36" s="240">
        <f t="shared" si="5"/>
        <v>0</v>
      </c>
      <c r="AA36" s="240">
        <f t="shared" si="5"/>
        <v>0</v>
      </c>
      <c r="AB36" s="240">
        <f t="shared" si="5"/>
        <v>0</v>
      </c>
      <c r="AC36" s="240">
        <f t="shared" si="5"/>
        <v>0</v>
      </c>
      <c r="AD36" s="240">
        <f t="shared" ref="AD36:BB36" si="6">AD9-AD13</f>
        <v>0</v>
      </c>
      <c r="AE36" s="240">
        <f t="shared" si="6"/>
        <v>0</v>
      </c>
      <c r="AF36" s="240">
        <f t="shared" si="6"/>
        <v>0</v>
      </c>
      <c r="AG36" s="240">
        <f t="shared" si="6"/>
        <v>0</v>
      </c>
      <c r="AH36" s="240">
        <f t="shared" si="6"/>
        <v>0</v>
      </c>
      <c r="AI36" s="240">
        <f t="shared" si="6"/>
        <v>0</v>
      </c>
      <c r="AJ36" s="240">
        <f t="shared" si="6"/>
        <v>0</v>
      </c>
      <c r="AK36" s="240">
        <f t="shared" si="6"/>
        <v>0</v>
      </c>
      <c r="AL36" s="240">
        <f t="shared" si="6"/>
        <v>0</v>
      </c>
      <c r="AM36" s="240">
        <f t="shared" si="6"/>
        <v>0</v>
      </c>
      <c r="AN36" s="240">
        <f t="shared" si="6"/>
        <v>0</v>
      </c>
      <c r="AO36" s="240">
        <f t="shared" si="6"/>
        <v>0</v>
      </c>
      <c r="AP36" s="240">
        <f t="shared" si="6"/>
        <v>0</v>
      </c>
      <c r="AQ36" s="240">
        <f t="shared" si="6"/>
        <v>0</v>
      </c>
      <c r="AR36" s="240">
        <f t="shared" si="6"/>
        <v>0</v>
      </c>
      <c r="AS36" s="240">
        <f t="shared" si="6"/>
        <v>0</v>
      </c>
      <c r="AT36" s="240">
        <f t="shared" si="6"/>
        <v>0</v>
      </c>
      <c r="AU36" s="240">
        <f t="shared" si="6"/>
        <v>0</v>
      </c>
      <c r="AV36" s="240">
        <f t="shared" si="6"/>
        <v>0</v>
      </c>
      <c r="AW36" s="240">
        <f t="shared" si="6"/>
        <v>0</v>
      </c>
      <c r="AX36" s="240">
        <f t="shared" si="6"/>
        <v>0</v>
      </c>
      <c r="AY36" s="240">
        <f t="shared" si="6"/>
        <v>0</v>
      </c>
      <c r="AZ36" s="240">
        <f t="shared" si="6"/>
        <v>0</v>
      </c>
      <c r="BA36" s="240">
        <f t="shared" si="6"/>
        <v>0</v>
      </c>
      <c r="BB36" s="240">
        <f t="shared" si="6"/>
        <v>0</v>
      </c>
    </row>
    <row r="37" spans="2:54" s="242" customFormat="1" ht="15.6" thickTop="1" thickBot="1" x14ac:dyDescent="0.35">
      <c r="B37" s="1047" t="s">
        <v>1023</v>
      </c>
      <c r="C37" s="1047"/>
      <c r="D37" s="239"/>
      <c r="E37" s="240">
        <f>BB37</f>
        <v>2852798.3724389011</v>
      </c>
      <c r="F37" s="241"/>
      <c r="G37" s="240">
        <f>G36</f>
        <v>0</v>
      </c>
      <c r="H37" s="240">
        <f t="shared" ref="H37:L37" si="7">G37+H36</f>
        <v>-138564.34639448795</v>
      </c>
      <c r="I37" s="240">
        <f t="shared" si="7"/>
        <v>-518492.53482844896</v>
      </c>
      <c r="J37" s="240">
        <f t="shared" si="7"/>
        <v>-1433200.1193139122</v>
      </c>
      <c r="K37" s="240">
        <f t="shared" si="7"/>
        <v>-468510.84145086328</v>
      </c>
      <c r="L37" s="240">
        <f t="shared" si="7"/>
        <v>-450730.21882094571</v>
      </c>
      <c r="M37" s="240">
        <f t="shared" ref="M37:P37" si="8">L37+M36</f>
        <v>-650659.90714883478</v>
      </c>
      <c r="N37" s="240">
        <f t="shared" si="8"/>
        <v>-323607.67146954138</v>
      </c>
      <c r="O37" s="240">
        <f t="shared" si="8"/>
        <v>678167.7254960828</v>
      </c>
      <c r="P37" s="240">
        <f t="shared" si="8"/>
        <v>969939.61095024482</v>
      </c>
      <c r="Q37" s="240">
        <f t="shared" ref="Q37" si="9">P37+Q36</f>
        <v>2533959.1694866596</v>
      </c>
      <c r="R37" s="240">
        <f t="shared" ref="R37" si="10">Q37+R36</f>
        <v>2389235.3494107057</v>
      </c>
      <c r="S37" s="240">
        <f t="shared" ref="S37" si="11">R37+S36</f>
        <v>3125973.558364471</v>
      </c>
      <c r="T37" s="240">
        <f t="shared" ref="T37" si="12">S37+T36</f>
        <v>3046632.0901937508</v>
      </c>
      <c r="U37" s="240">
        <f t="shared" ref="U37" si="13">T37+U36</f>
        <v>2883540.420877167</v>
      </c>
      <c r="V37" s="240">
        <f t="shared" ref="V37" si="14">U37+V36</f>
        <v>2879239.569553751</v>
      </c>
      <c r="W37" s="240">
        <f t="shared" ref="W37" si="15">V37+W36</f>
        <v>2852798.3724389011</v>
      </c>
      <c r="X37" s="240">
        <f t="shared" ref="X37" si="16">W37+X36</f>
        <v>2852798.3724389011</v>
      </c>
      <c r="Y37" s="240">
        <f t="shared" ref="Y37" si="17">X37+Y36</f>
        <v>2852798.3724389011</v>
      </c>
      <c r="Z37" s="240">
        <f t="shared" ref="Z37" si="18">Y37+Z36</f>
        <v>2852798.3724389011</v>
      </c>
      <c r="AA37" s="240">
        <f t="shared" ref="AA37" si="19">Z37+AA36</f>
        <v>2852798.3724389011</v>
      </c>
      <c r="AB37" s="240">
        <f t="shared" ref="AB37" si="20">AA37+AB36</f>
        <v>2852798.3724389011</v>
      </c>
      <c r="AC37" s="240">
        <f t="shared" ref="AC37" si="21">AB37+AC36</f>
        <v>2852798.3724389011</v>
      </c>
      <c r="AD37" s="240">
        <f t="shared" ref="AD37" si="22">AC37+AD36</f>
        <v>2852798.3724389011</v>
      </c>
      <c r="AE37" s="240">
        <f t="shared" ref="AE37" si="23">AD37+AE36</f>
        <v>2852798.3724389011</v>
      </c>
      <c r="AF37" s="240">
        <f t="shared" ref="AF37" si="24">AE37+AF36</f>
        <v>2852798.3724389011</v>
      </c>
      <c r="AG37" s="240">
        <f t="shared" ref="AG37" si="25">AF37+AG36</f>
        <v>2852798.3724389011</v>
      </c>
      <c r="AH37" s="240">
        <f t="shared" ref="AH37" si="26">AG37+AH36</f>
        <v>2852798.3724389011</v>
      </c>
      <c r="AI37" s="240">
        <f t="shared" ref="AI37" si="27">AH37+AI36</f>
        <v>2852798.3724389011</v>
      </c>
      <c r="AJ37" s="240">
        <f t="shared" ref="AJ37" si="28">AI37+AJ36</f>
        <v>2852798.3724389011</v>
      </c>
      <c r="AK37" s="240">
        <f t="shared" ref="AK37" si="29">AJ37+AK36</f>
        <v>2852798.3724389011</v>
      </c>
      <c r="AL37" s="240">
        <f t="shared" ref="AL37" si="30">AK37+AL36</f>
        <v>2852798.3724389011</v>
      </c>
      <c r="AM37" s="240">
        <f t="shared" ref="AM37" si="31">AL37+AM36</f>
        <v>2852798.3724389011</v>
      </c>
      <c r="AN37" s="240">
        <f t="shared" ref="AN37" si="32">AM37+AN36</f>
        <v>2852798.3724389011</v>
      </c>
      <c r="AO37" s="240">
        <f t="shared" ref="AO37" si="33">AN37+AO36</f>
        <v>2852798.3724389011</v>
      </c>
      <c r="AP37" s="240">
        <f t="shared" ref="AP37" si="34">AO37+AP36</f>
        <v>2852798.3724389011</v>
      </c>
      <c r="AQ37" s="240">
        <f t="shared" ref="AQ37" si="35">AP37+AQ36</f>
        <v>2852798.3724389011</v>
      </c>
      <c r="AR37" s="240">
        <f t="shared" ref="AR37" si="36">AQ37+AR36</f>
        <v>2852798.3724389011</v>
      </c>
      <c r="AS37" s="240">
        <f t="shared" ref="AS37" si="37">AR37+AS36</f>
        <v>2852798.3724389011</v>
      </c>
      <c r="AT37" s="240">
        <f t="shared" ref="AT37" si="38">AS37+AT36</f>
        <v>2852798.3724389011</v>
      </c>
      <c r="AU37" s="240">
        <f t="shared" ref="AU37" si="39">AT37+AU36</f>
        <v>2852798.3724389011</v>
      </c>
      <c r="AV37" s="240">
        <f t="shared" ref="AV37" si="40">AU37+AV36</f>
        <v>2852798.3724389011</v>
      </c>
      <c r="AW37" s="240">
        <f t="shared" ref="AW37" si="41">AV37+AW36</f>
        <v>2852798.3724389011</v>
      </c>
      <c r="AX37" s="240">
        <f t="shared" ref="AX37" si="42">AW37+AX36</f>
        <v>2852798.3724389011</v>
      </c>
      <c r="AY37" s="240">
        <f t="shared" ref="AY37" si="43">AX37+AY36</f>
        <v>2852798.3724389011</v>
      </c>
      <c r="AZ37" s="240">
        <f t="shared" ref="AZ37" si="44">AY37+AZ36</f>
        <v>2852798.3724389011</v>
      </c>
      <c r="BA37" s="240">
        <f t="shared" ref="BA37" si="45">AZ37+BA36</f>
        <v>2852798.3724389011</v>
      </c>
      <c r="BB37" s="240">
        <f t="shared" ref="BB37" si="46">BA37+BB36</f>
        <v>2852798.3724389011</v>
      </c>
    </row>
    <row r="38" spans="2:54" s="221" customFormat="1" ht="15" customHeight="1" thickTop="1" x14ac:dyDescent="0.3">
      <c r="E38" s="298"/>
    </row>
    <row r="39" spans="2:54" s="242" customFormat="1" ht="15" thickBot="1" x14ac:dyDescent="0.35">
      <c r="B39" s="1047" t="s">
        <v>1024</v>
      </c>
      <c r="C39" s="1047"/>
      <c r="D39" s="239"/>
      <c r="E39" s="297">
        <f>E11-E13</f>
        <v>3311212.2962619402</v>
      </c>
      <c r="F39" s="241"/>
      <c r="G39" s="297">
        <f>G11-G13</f>
        <v>0</v>
      </c>
      <c r="H39" s="297">
        <f t="shared" ref="H39:P39" si="47">H11-H13</f>
        <v>-138564.34639448795</v>
      </c>
      <c r="I39" s="297">
        <f t="shared" si="47"/>
        <v>-379928.18843396101</v>
      </c>
      <c r="J39" s="297">
        <f t="shared" si="47"/>
        <v>693308.39271453652</v>
      </c>
      <c r="K39" s="297">
        <f t="shared" si="47"/>
        <v>-198882.81314495084</v>
      </c>
      <c r="L39" s="297">
        <f t="shared" si="47"/>
        <v>-426663.69856208237</v>
      </c>
      <c r="M39" s="297">
        <f t="shared" si="47"/>
        <v>718163.9116721109</v>
      </c>
      <c r="N39" s="297">
        <f t="shared" si="47"/>
        <v>228225.45346233237</v>
      </c>
      <c r="O39" s="297">
        <f t="shared" si="47"/>
        <v>-53636.654730376002</v>
      </c>
      <c r="P39" s="297">
        <f t="shared" si="47"/>
        <v>-81252.226145837994</v>
      </c>
      <c r="Q39" s="297">
        <f t="shared" ref="Q39:AC39" si="48">Q11-Q13</f>
        <v>375194.53711241495</v>
      </c>
      <c r="R39" s="297">
        <f t="shared" si="48"/>
        <v>808030.57992404618</v>
      </c>
      <c r="S39" s="297">
        <f t="shared" si="48"/>
        <v>2040392.5347137651</v>
      </c>
      <c r="T39" s="297">
        <f t="shared" si="48"/>
        <v>-79341.468170720022</v>
      </c>
      <c r="U39" s="297">
        <f t="shared" si="48"/>
        <v>-163091.66931658384</v>
      </c>
      <c r="V39" s="297">
        <f t="shared" si="48"/>
        <v>-4300.8513234161319</v>
      </c>
      <c r="W39" s="297">
        <f t="shared" si="48"/>
        <v>-26441.197114850132</v>
      </c>
      <c r="X39" s="297">
        <f t="shared" si="48"/>
        <v>0</v>
      </c>
      <c r="Y39" s="297">
        <f t="shared" si="48"/>
        <v>0</v>
      </c>
      <c r="Z39" s="297">
        <f t="shared" si="48"/>
        <v>0</v>
      </c>
      <c r="AA39" s="297">
        <f t="shared" si="48"/>
        <v>0</v>
      </c>
      <c r="AB39" s="297">
        <f t="shared" si="48"/>
        <v>0</v>
      </c>
      <c r="AC39" s="297">
        <f t="shared" si="48"/>
        <v>0</v>
      </c>
      <c r="AD39" s="297">
        <f t="shared" ref="AD39:BB39" si="49">AD11-AD13</f>
        <v>0</v>
      </c>
      <c r="AE39" s="297">
        <f t="shared" si="49"/>
        <v>0</v>
      </c>
      <c r="AF39" s="297">
        <f t="shared" si="49"/>
        <v>0</v>
      </c>
      <c r="AG39" s="297">
        <f t="shared" si="49"/>
        <v>0</v>
      </c>
      <c r="AH39" s="297">
        <f t="shared" si="49"/>
        <v>0</v>
      </c>
      <c r="AI39" s="297">
        <f t="shared" si="49"/>
        <v>0</v>
      </c>
      <c r="AJ39" s="297">
        <f t="shared" si="49"/>
        <v>0</v>
      </c>
      <c r="AK39" s="297">
        <f t="shared" si="49"/>
        <v>0</v>
      </c>
      <c r="AL39" s="297">
        <f t="shared" si="49"/>
        <v>0</v>
      </c>
      <c r="AM39" s="297">
        <f t="shared" si="49"/>
        <v>0</v>
      </c>
      <c r="AN39" s="297">
        <f t="shared" si="49"/>
        <v>0</v>
      </c>
      <c r="AO39" s="297">
        <f t="shared" si="49"/>
        <v>0</v>
      </c>
      <c r="AP39" s="297">
        <f t="shared" si="49"/>
        <v>0</v>
      </c>
      <c r="AQ39" s="297">
        <f t="shared" si="49"/>
        <v>0</v>
      </c>
      <c r="AR39" s="297">
        <f t="shared" si="49"/>
        <v>0</v>
      </c>
      <c r="AS39" s="297">
        <f t="shared" si="49"/>
        <v>0</v>
      </c>
      <c r="AT39" s="297">
        <f t="shared" si="49"/>
        <v>0</v>
      </c>
      <c r="AU39" s="297">
        <f t="shared" si="49"/>
        <v>0</v>
      </c>
      <c r="AV39" s="297">
        <f t="shared" si="49"/>
        <v>0</v>
      </c>
      <c r="AW39" s="297">
        <f t="shared" si="49"/>
        <v>0</v>
      </c>
      <c r="AX39" s="297">
        <f t="shared" si="49"/>
        <v>0</v>
      </c>
      <c r="AY39" s="297">
        <f t="shared" si="49"/>
        <v>0</v>
      </c>
      <c r="AZ39" s="297">
        <f t="shared" si="49"/>
        <v>0</v>
      </c>
      <c r="BA39" s="297">
        <f t="shared" si="49"/>
        <v>0</v>
      </c>
      <c r="BB39" s="297">
        <f t="shared" si="49"/>
        <v>0</v>
      </c>
    </row>
    <row r="40" spans="2:54" s="242" customFormat="1" ht="15.6" thickTop="1" thickBot="1" x14ac:dyDescent="0.35">
      <c r="B40" s="1047" t="s">
        <v>1025</v>
      </c>
      <c r="C40" s="1047"/>
      <c r="D40" s="239"/>
      <c r="E40" s="240">
        <f>BB40</f>
        <v>3311212.2962619402</v>
      </c>
      <c r="F40" s="241"/>
      <c r="G40" s="240">
        <f>G39</f>
        <v>0</v>
      </c>
      <c r="H40" s="240">
        <f>G40+H39</f>
        <v>-138564.34639448795</v>
      </c>
      <c r="I40" s="240">
        <f t="shared" ref="I40:P40" si="50">H40+I39</f>
        <v>-518492.53482844896</v>
      </c>
      <c r="J40" s="240">
        <f t="shared" si="50"/>
        <v>174815.85788608756</v>
      </c>
      <c r="K40" s="240">
        <f t="shared" si="50"/>
        <v>-24066.95525886328</v>
      </c>
      <c r="L40" s="240">
        <f t="shared" si="50"/>
        <v>-450730.65382094565</v>
      </c>
      <c r="M40" s="240">
        <f t="shared" si="50"/>
        <v>267433.25785116525</v>
      </c>
      <c r="N40" s="240">
        <f t="shared" si="50"/>
        <v>495658.71131349762</v>
      </c>
      <c r="O40" s="240">
        <f t="shared" si="50"/>
        <v>442022.05658312165</v>
      </c>
      <c r="P40" s="240">
        <f t="shared" si="50"/>
        <v>360769.83043728367</v>
      </c>
      <c r="Q40" s="240">
        <f t="shared" ref="Q40" si="51">P40+Q39</f>
        <v>735964.36754969857</v>
      </c>
      <c r="R40" s="240">
        <f t="shared" ref="R40" si="52">Q40+R39</f>
        <v>1543994.9474737449</v>
      </c>
      <c r="S40" s="240">
        <f t="shared" ref="S40" si="53">R40+S39</f>
        <v>3584387.48218751</v>
      </c>
      <c r="T40" s="240">
        <f t="shared" ref="T40" si="54">S40+T39</f>
        <v>3505046.0140167898</v>
      </c>
      <c r="U40" s="240">
        <f t="shared" ref="U40" si="55">T40+U39</f>
        <v>3341954.3447002061</v>
      </c>
      <c r="V40" s="240">
        <f t="shared" ref="V40" si="56">U40+V39</f>
        <v>3337653.4933767901</v>
      </c>
      <c r="W40" s="240">
        <f t="shared" ref="W40" si="57">V40+W39</f>
        <v>3311212.2962619402</v>
      </c>
      <c r="X40" s="240">
        <f t="shared" ref="X40" si="58">W40+X39</f>
        <v>3311212.2962619402</v>
      </c>
      <c r="Y40" s="240">
        <f t="shared" ref="Y40" si="59">X40+Y39</f>
        <v>3311212.2962619402</v>
      </c>
      <c r="Z40" s="240">
        <f t="shared" ref="Z40" si="60">Y40+Z39</f>
        <v>3311212.2962619402</v>
      </c>
      <c r="AA40" s="240">
        <f t="shared" ref="AA40" si="61">Z40+AA39</f>
        <v>3311212.2962619402</v>
      </c>
      <c r="AB40" s="240">
        <f t="shared" ref="AB40" si="62">AA40+AB39</f>
        <v>3311212.2962619402</v>
      </c>
      <c r="AC40" s="240">
        <f t="shared" ref="AC40" si="63">AB40+AC39</f>
        <v>3311212.2962619402</v>
      </c>
      <c r="AD40" s="240">
        <f t="shared" ref="AD40" si="64">AC40+AD39</f>
        <v>3311212.2962619402</v>
      </c>
      <c r="AE40" s="240">
        <f t="shared" ref="AE40" si="65">AD40+AE39</f>
        <v>3311212.2962619402</v>
      </c>
      <c r="AF40" s="240">
        <f t="shared" ref="AF40" si="66">AE40+AF39</f>
        <v>3311212.2962619402</v>
      </c>
      <c r="AG40" s="240">
        <f t="shared" ref="AG40" si="67">AF40+AG39</f>
        <v>3311212.2962619402</v>
      </c>
      <c r="AH40" s="240">
        <f t="shared" ref="AH40" si="68">AG40+AH39</f>
        <v>3311212.2962619402</v>
      </c>
      <c r="AI40" s="240">
        <f t="shared" ref="AI40" si="69">AH40+AI39</f>
        <v>3311212.2962619402</v>
      </c>
      <c r="AJ40" s="240">
        <f t="shared" ref="AJ40" si="70">AI40+AJ39</f>
        <v>3311212.2962619402</v>
      </c>
      <c r="AK40" s="240">
        <f t="shared" ref="AK40" si="71">AJ40+AK39</f>
        <v>3311212.2962619402</v>
      </c>
      <c r="AL40" s="240">
        <f t="shared" ref="AL40" si="72">AK40+AL39</f>
        <v>3311212.2962619402</v>
      </c>
      <c r="AM40" s="240">
        <f t="shared" ref="AM40" si="73">AL40+AM39</f>
        <v>3311212.2962619402</v>
      </c>
      <c r="AN40" s="240">
        <f t="shared" ref="AN40" si="74">AM40+AN39</f>
        <v>3311212.2962619402</v>
      </c>
      <c r="AO40" s="240">
        <f t="shared" ref="AO40" si="75">AN40+AO39</f>
        <v>3311212.2962619402</v>
      </c>
      <c r="AP40" s="240">
        <f t="shared" ref="AP40" si="76">AO40+AP39</f>
        <v>3311212.2962619402</v>
      </c>
      <c r="AQ40" s="240">
        <f t="shared" ref="AQ40" si="77">AP40+AQ39</f>
        <v>3311212.2962619402</v>
      </c>
      <c r="AR40" s="240">
        <f t="shared" ref="AR40" si="78">AQ40+AR39</f>
        <v>3311212.2962619402</v>
      </c>
      <c r="AS40" s="240">
        <f t="shared" ref="AS40" si="79">AR40+AS39</f>
        <v>3311212.2962619402</v>
      </c>
      <c r="AT40" s="240">
        <f t="shared" ref="AT40" si="80">AS40+AT39</f>
        <v>3311212.2962619402</v>
      </c>
      <c r="AU40" s="240">
        <f t="shared" ref="AU40" si="81">AT40+AU39</f>
        <v>3311212.2962619402</v>
      </c>
      <c r="AV40" s="240">
        <f t="shared" ref="AV40" si="82">AU40+AV39</f>
        <v>3311212.2962619402</v>
      </c>
      <c r="AW40" s="240">
        <f t="shared" ref="AW40" si="83">AV40+AW39</f>
        <v>3311212.2962619402</v>
      </c>
      <c r="AX40" s="240">
        <f t="shared" ref="AX40" si="84">AW40+AX39</f>
        <v>3311212.2962619402</v>
      </c>
      <c r="AY40" s="240">
        <f t="shared" ref="AY40" si="85">AX40+AY39</f>
        <v>3311212.2962619402</v>
      </c>
      <c r="AZ40" s="240">
        <f t="shared" ref="AZ40" si="86">AY40+AZ39</f>
        <v>3311212.2962619402</v>
      </c>
      <c r="BA40" s="240">
        <f t="shared" ref="BA40" si="87">AZ40+BA39</f>
        <v>3311212.2962619402</v>
      </c>
      <c r="BB40" s="240">
        <f t="shared" ref="BB40" si="88">BA40+BB39</f>
        <v>3311212.2962619402</v>
      </c>
    </row>
    <row r="41" spans="2:54" ht="15" thickTop="1" x14ac:dyDescent="0.3">
      <c r="B41" s="176"/>
      <c r="C41" s="176"/>
      <c r="D41" s="176"/>
    </row>
    <row r="42" spans="2:54" x14ac:dyDescent="0.3">
      <c r="B42" s="176"/>
      <c r="C42" s="176"/>
      <c r="D42" s="176"/>
    </row>
    <row r="43" spans="2:54" x14ac:dyDescent="0.3">
      <c r="B43" s="247" t="s">
        <v>1026</v>
      </c>
      <c r="C43" s="247"/>
      <c r="D43" s="247"/>
      <c r="E43" s="248"/>
      <c r="F43" s="248"/>
      <c r="G43" s="248"/>
      <c r="H43" s="248"/>
      <c r="I43" s="248"/>
      <c r="J43" s="248"/>
      <c r="K43" s="248"/>
      <c r="L43" s="248"/>
      <c r="M43" s="248"/>
      <c r="N43" s="248"/>
      <c r="O43" s="248"/>
    </row>
    <row r="76" spans="2:2" x14ac:dyDescent="0.3">
      <c r="B76" s="247" t="s">
        <v>1027</v>
      </c>
    </row>
    <row r="109" spans="2:2" x14ac:dyDescent="0.3">
      <c r="B109" s="247" t="s">
        <v>1028</v>
      </c>
    </row>
    <row r="142" spans="2:2" x14ac:dyDescent="0.3">
      <c r="B142" s="247" t="s">
        <v>1029</v>
      </c>
    </row>
    <row r="175" spans="7:54" x14ac:dyDescent="0.3">
      <c r="G175" s="228" t="str">
        <f t="shared" ref="G175:U175" si="89">G7</f>
        <v>JUN 2025 Q1</v>
      </c>
      <c r="H175" s="228" t="str">
        <f t="shared" si="89"/>
        <v>JUN 2025 Q2</v>
      </c>
      <c r="I175" s="228" t="str">
        <f t="shared" si="89"/>
        <v>JUL 2025 Q1</v>
      </c>
      <c r="J175" s="228" t="str">
        <f t="shared" si="89"/>
        <v>JUL 2025 Q2</v>
      </c>
      <c r="K175" s="228" t="str">
        <f t="shared" si="89"/>
        <v>AGO 2025 Q1</v>
      </c>
      <c r="L175" s="228" t="str">
        <f t="shared" si="89"/>
        <v>AGO 2025 Q2</v>
      </c>
      <c r="M175" s="228" t="str">
        <f t="shared" si="89"/>
        <v>SEP 2025 Q1</v>
      </c>
      <c r="N175" s="228" t="str">
        <f t="shared" si="89"/>
        <v>SEP 2025 Q2</v>
      </c>
      <c r="O175" s="228" t="str">
        <f t="shared" si="89"/>
        <v>OCT 2025 Q1</v>
      </c>
      <c r="P175" s="228" t="str">
        <f t="shared" si="89"/>
        <v>OCT 2025 Q2</v>
      </c>
      <c r="Q175" s="228" t="str">
        <f t="shared" si="89"/>
        <v>NOV 2025 Q1</v>
      </c>
      <c r="R175" s="228" t="str">
        <f t="shared" si="89"/>
        <v>NOV 2025 Q2</v>
      </c>
      <c r="S175" s="228" t="str">
        <f t="shared" si="89"/>
        <v>DIC 2025 Q1</v>
      </c>
      <c r="T175" s="228" t="str">
        <f t="shared" si="89"/>
        <v>DIC 2025 Q2</v>
      </c>
      <c r="U175" s="228" t="str">
        <f t="shared" si="89"/>
        <v>ENE 2026 Q1</v>
      </c>
      <c r="V175" s="228" t="str">
        <f t="shared" ref="V175:AC175" si="90">V7</f>
        <v>ENE 2026 Q2</v>
      </c>
      <c r="W175" s="228" t="str">
        <f t="shared" si="90"/>
        <v>FEB 2026 Q1</v>
      </c>
      <c r="X175" s="228" t="str">
        <f t="shared" si="90"/>
        <v>FEB 2026 Q2</v>
      </c>
      <c r="Y175" s="228" t="str">
        <f t="shared" si="90"/>
        <v>MAR 2026 Q1</v>
      </c>
      <c r="Z175" s="228" t="str">
        <f t="shared" si="90"/>
        <v>MAR 2026 Q2</v>
      </c>
      <c r="AA175" s="228" t="str">
        <f t="shared" si="90"/>
        <v>ABR 2026 Q1</v>
      </c>
      <c r="AB175" s="228" t="str">
        <f t="shared" si="90"/>
        <v>ABR 2026 Q2</v>
      </c>
      <c r="AC175" s="228" t="str">
        <f t="shared" si="90"/>
        <v>MAY 2026 Q1</v>
      </c>
      <c r="AD175" s="228" t="str">
        <f t="shared" ref="AD175:BB175" si="91">AD7</f>
        <v>MAY 2026 Q2</v>
      </c>
      <c r="AE175" s="228" t="str">
        <f t="shared" si="91"/>
        <v>JUN 2026 Q1</v>
      </c>
      <c r="AF175" s="228" t="str">
        <f t="shared" si="91"/>
        <v>JUN 2026 Q2</v>
      </c>
      <c r="AG175" s="228" t="str">
        <f t="shared" si="91"/>
        <v>JUL 2026 Q1</v>
      </c>
      <c r="AH175" s="228" t="str">
        <f t="shared" si="91"/>
        <v>JUL 2026 Q2</v>
      </c>
      <c r="AI175" s="228" t="str">
        <f t="shared" si="91"/>
        <v>AGO 2026 Q1</v>
      </c>
      <c r="AJ175" s="228" t="str">
        <f t="shared" si="91"/>
        <v>AGO 2026 Q2</v>
      </c>
      <c r="AK175" s="228" t="str">
        <f t="shared" si="91"/>
        <v>SEP 2026 Q1</v>
      </c>
      <c r="AL175" s="228" t="str">
        <f t="shared" si="91"/>
        <v>SEP 2026 Q2</v>
      </c>
      <c r="AM175" s="228" t="str">
        <f t="shared" si="91"/>
        <v>OCT 2026 Q1</v>
      </c>
      <c r="AN175" s="228" t="str">
        <f t="shared" si="91"/>
        <v>OCT 2026 Q2</v>
      </c>
      <c r="AO175" s="228" t="str">
        <f t="shared" si="91"/>
        <v>NOV 2026 Q1</v>
      </c>
      <c r="AP175" s="228" t="str">
        <f t="shared" si="91"/>
        <v>NOV 2026 Q2</v>
      </c>
      <c r="AQ175" s="228" t="str">
        <f t="shared" si="91"/>
        <v>DIC 2026 Q1</v>
      </c>
      <c r="AR175" s="228" t="str">
        <f t="shared" si="91"/>
        <v>DIC 2026 Q2</v>
      </c>
      <c r="AS175" s="228" t="str">
        <f t="shared" si="91"/>
        <v>ENE 2027 Q1</v>
      </c>
      <c r="AT175" s="228" t="str">
        <f t="shared" si="91"/>
        <v>ENE 2027 Q2</v>
      </c>
      <c r="AU175" s="228" t="str">
        <f t="shared" si="91"/>
        <v>FEB 2027 Q1</v>
      </c>
      <c r="AV175" s="228" t="str">
        <f t="shared" si="91"/>
        <v>FEB 2027 Q2</v>
      </c>
      <c r="AW175" s="228" t="str">
        <f t="shared" si="91"/>
        <v>MAR 2027 Q1</v>
      </c>
      <c r="AX175" s="228" t="str">
        <f t="shared" si="91"/>
        <v>MAR 2027 Q2</v>
      </c>
      <c r="AY175" s="228" t="str">
        <f t="shared" si="91"/>
        <v>ABR 2027 Q1</v>
      </c>
      <c r="AZ175" s="228" t="str">
        <f t="shared" si="91"/>
        <v>ABR 2027 Q2</v>
      </c>
      <c r="BA175" s="228" t="str">
        <f t="shared" si="91"/>
        <v>MAY 2027 Q1</v>
      </c>
      <c r="BB175" s="228" t="str">
        <f t="shared" si="91"/>
        <v>MAY 2027 Q2</v>
      </c>
    </row>
    <row r="177" spans="2:54" x14ac:dyDescent="0.3">
      <c r="B177" s="1036" t="s">
        <v>982</v>
      </c>
      <c r="C177" s="1036"/>
      <c r="D177" s="1036"/>
      <c r="E177" s="1036"/>
      <c r="G177" s="262">
        <f>Producción!N433</f>
        <v>49092.44816</v>
      </c>
      <c r="H177" s="263">
        <f>Producción!O433</f>
        <v>215921.76895999999</v>
      </c>
      <c r="I177" s="263">
        <f>Producción!P433</f>
        <v>400278.51993599994</v>
      </c>
      <c r="J177" s="263">
        <f>Producción!Q433</f>
        <v>574439.04073599994</v>
      </c>
      <c r="K177" s="263">
        <f>Producción!R433</f>
        <v>748599.56153599988</v>
      </c>
      <c r="L177" s="263">
        <f>Producción!S433</f>
        <v>760957.84193599992</v>
      </c>
      <c r="M177" s="263">
        <f>Producción!T433</f>
        <v>760957.84193599992</v>
      </c>
      <c r="N177" s="263">
        <f>Producción!U433</f>
        <v>1373309.3139359998</v>
      </c>
      <c r="O177" s="263">
        <f>Producción!V433</f>
        <v>1547469.8347359998</v>
      </c>
      <c r="P177" s="263">
        <f>Producción!W433</f>
        <v>1717510.9287359999</v>
      </c>
      <c r="Q177" s="263">
        <f>Producción!X433</f>
        <v>1875151.6552159998</v>
      </c>
      <c r="R177" s="263">
        <f>Producción!Y433</f>
        <v>1909982.9798559998</v>
      </c>
      <c r="S177" s="263">
        <f>Producción!Z433</f>
        <v>1909982.9798559998</v>
      </c>
      <c r="T177" s="263">
        <f>Producción!AA433</f>
        <v>1915235.5832799999</v>
      </c>
      <c r="U177" s="263">
        <f>Producción!AB433</f>
        <v>2048640.33928</v>
      </c>
      <c r="V177" s="263">
        <f>Producción!AC433</f>
        <v>2189376.2952800002</v>
      </c>
      <c r="W177" s="263">
        <f>Producción!AD433</f>
        <v>2330112.2512800004</v>
      </c>
      <c r="X177" s="263">
        <f>Producción!AE433</f>
        <v>2453814.3659200002</v>
      </c>
      <c r="Y177" s="263">
        <f>Producción!AF433</f>
        <v>2490651.6078000003</v>
      </c>
      <c r="Z177" s="263">
        <f>Producción!AG433</f>
        <v>2490651.6078000003</v>
      </c>
      <c r="AA177" s="263">
        <f>Producción!AH433</f>
        <v>2490651.6078000003</v>
      </c>
      <c r="AB177" s="263">
        <f>Producción!AI433</f>
        <v>2490651.6078000003</v>
      </c>
      <c r="AC177" s="263">
        <f>Producción!AJ433</f>
        <v>2490651.6078000003</v>
      </c>
      <c r="AD177" s="263">
        <f>Producción!AK433</f>
        <v>2490651.6078000003</v>
      </c>
      <c r="AE177" s="263">
        <f>Producción!AL433</f>
        <v>2490651.6078000003</v>
      </c>
      <c r="AF177" s="263">
        <f>Producción!AM433</f>
        <v>2490651.6078000003</v>
      </c>
      <c r="AG177" s="263">
        <f>Producción!AN433</f>
        <v>2490651.6078000003</v>
      </c>
      <c r="AH177" s="263">
        <f>Producción!AO433</f>
        <v>2490651.6078000003</v>
      </c>
      <c r="AI177" s="263">
        <f>Producción!AP433</f>
        <v>2490651.6078000003</v>
      </c>
      <c r="AJ177" s="263">
        <f>Producción!AQ433</f>
        <v>2490651.6078000003</v>
      </c>
      <c r="AK177" s="263">
        <f>Producción!AR433</f>
        <v>2490651.6078000003</v>
      </c>
      <c r="AL177" s="263">
        <f>Producción!AS433</f>
        <v>2490651.6078000003</v>
      </c>
      <c r="AM177" s="263">
        <f>Producción!AT433</f>
        <v>2490651.6078000003</v>
      </c>
      <c r="AN177" s="263">
        <f>Producción!AU433</f>
        <v>2490651.6078000003</v>
      </c>
      <c r="AO177" s="263">
        <f>Producción!AV433</f>
        <v>2490651.6078000003</v>
      </c>
      <c r="AP177" s="263">
        <f>Producción!AW433</f>
        <v>2490651.6078000003</v>
      </c>
      <c r="AQ177" s="263">
        <f>Producción!AX433</f>
        <v>2490651.6078000003</v>
      </c>
      <c r="AR177" s="263">
        <f>Producción!AY433</f>
        <v>2490651.6078000003</v>
      </c>
      <c r="AS177" s="263">
        <f>Producción!AZ433</f>
        <v>2490651.6078000003</v>
      </c>
      <c r="AT177" s="263">
        <f>Producción!BA433</f>
        <v>2490651.6078000003</v>
      </c>
      <c r="AU177" s="263">
        <f>Producción!BB433</f>
        <v>2490651.6078000003</v>
      </c>
      <c r="AV177" s="263">
        <f>Producción!BC433</f>
        <v>2490651.6078000003</v>
      </c>
      <c r="AW177" s="263">
        <f>Producción!BD433</f>
        <v>2490651.6078000003</v>
      </c>
      <c r="AX177" s="263">
        <f>Producción!BE433</f>
        <v>2490651.6078000003</v>
      </c>
      <c r="AY177" s="263">
        <f>Producción!BF433</f>
        <v>2490651.6078000003</v>
      </c>
      <c r="AZ177" s="263">
        <f>Producción!BG433</f>
        <v>2490651.6078000003</v>
      </c>
      <c r="BA177" s="263">
        <f>Producción!BH433</f>
        <v>2490651.6078000003</v>
      </c>
      <c r="BB177" s="263">
        <f>Producción!BI433</f>
        <v>2490651.6078000003</v>
      </c>
    </row>
    <row r="179" spans="2:54" x14ac:dyDescent="0.3">
      <c r="B179" s="1036" t="s">
        <v>1030</v>
      </c>
      <c r="C179" s="1036"/>
      <c r="D179" s="1036"/>
      <c r="E179" s="1036"/>
      <c r="G179" s="262">
        <f>G11</f>
        <v>0</v>
      </c>
      <c r="H179" s="263">
        <f t="shared" ref="H179:BB179" si="92">H11</f>
        <v>0</v>
      </c>
      <c r="I179" s="263">
        <f t="shared" si="92"/>
        <v>0</v>
      </c>
      <c r="J179" s="263">
        <f t="shared" si="92"/>
        <v>1608015.9771999998</v>
      </c>
      <c r="K179" s="263">
        <f t="shared" si="92"/>
        <v>444444.24440000003</v>
      </c>
      <c r="L179" s="263">
        <f t="shared" si="92"/>
        <v>0</v>
      </c>
      <c r="M179" s="263">
        <f t="shared" si="92"/>
        <v>918093.6</v>
      </c>
      <c r="N179" s="263">
        <f t="shared" si="92"/>
        <v>320553.48138303898</v>
      </c>
      <c r="O179" s="263">
        <f t="shared" si="92"/>
        <v>0</v>
      </c>
      <c r="P179" s="263">
        <f t="shared" si="92"/>
        <v>0</v>
      </c>
      <c r="Q179" s="263">
        <f t="shared" si="92"/>
        <v>474895.46240000002</v>
      </c>
      <c r="R179" s="263">
        <f t="shared" si="92"/>
        <v>952754.4</v>
      </c>
      <c r="S179" s="263">
        <f t="shared" si="92"/>
        <v>2126380.1891999999</v>
      </c>
      <c r="T179" s="263">
        <f t="shared" si="92"/>
        <v>0</v>
      </c>
      <c r="U179" s="263">
        <f t="shared" si="92"/>
        <v>0</v>
      </c>
      <c r="V179" s="263">
        <f t="shared" si="92"/>
        <v>0</v>
      </c>
      <c r="W179" s="263">
        <f t="shared" si="92"/>
        <v>0</v>
      </c>
      <c r="X179" s="263">
        <f t="shared" si="92"/>
        <v>0</v>
      </c>
      <c r="Y179" s="263">
        <f t="shared" si="92"/>
        <v>0</v>
      </c>
      <c r="Z179" s="263">
        <f t="shared" si="92"/>
        <v>0</v>
      </c>
      <c r="AA179" s="263">
        <f t="shared" si="92"/>
        <v>0</v>
      </c>
      <c r="AB179" s="263">
        <f t="shared" si="92"/>
        <v>0</v>
      </c>
      <c r="AC179" s="263">
        <f t="shared" si="92"/>
        <v>0</v>
      </c>
      <c r="AD179" s="263">
        <f t="shared" si="92"/>
        <v>0</v>
      </c>
      <c r="AE179" s="263">
        <f t="shared" si="92"/>
        <v>0</v>
      </c>
      <c r="AF179" s="263">
        <f t="shared" si="92"/>
        <v>0</v>
      </c>
      <c r="AG179" s="263">
        <f t="shared" si="92"/>
        <v>0</v>
      </c>
      <c r="AH179" s="263">
        <f t="shared" si="92"/>
        <v>0</v>
      </c>
      <c r="AI179" s="263">
        <f t="shared" si="92"/>
        <v>0</v>
      </c>
      <c r="AJ179" s="263">
        <f t="shared" si="92"/>
        <v>0</v>
      </c>
      <c r="AK179" s="263">
        <f t="shared" si="92"/>
        <v>0</v>
      </c>
      <c r="AL179" s="263">
        <f t="shared" si="92"/>
        <v>0</v>
      </c>
      <c r="AM179" s="263">
        <f t="shared" si="92"/>
        <v>0</v>
      </c>
      <c r="AN179" s="263">
        <f t="shared" si="92"/>
        <v>0</v>
      </c>
      <c r="AO179" s="263">
        <f t="shared" si="92"/>
        <v>0</v>
      </c>
      <c r="AP179" s="263">
        <f t="shared" si="92"/>
        <v>0</v>
      </c>
      <c r="AQ179" s="263">
        <f t="shared" si="92"/>
        <v>0</v>
      </c>
      <c r="AR179" s="263">
        <f t="shared" si="92"/>
        <v>0</v>
      </c>
      <c r="AS179" s="263">
        <f t="shared" si="92"/>
        <v>0</v>
      </c>
      <c r="AT179" s="263">
        <f t="shared" si="92"/>
        <v>0</v>
      </c>
      <c r="AU179" s="263">
        <f t="shared" si="92"/>
        <v>0</v>
      </c>
      <c r="AV179" s="263">
        <f t="shared" si="92"/>
        <v>0</v>
      </c>
      <c r="AW179" s="263">
        <f t="shared" si="92"/>
        <v>0</v>
      </c>
      <c r="AX179" s="263">
        <f t="shared" si="92"/>
        <v>0</v>
      </c>
      <c r="AY179" s="263">
        <f t="shared" si="92"/>
        <v>0</v>
      </c>
      <c r="AZ179" s="263">
        <f t="shared" si="92"/>
        <v>0</v>
      </c>
      <c r="BA179" s="263">
        <f t="shared" si="92"/>
        <v>0</v>
      </c>
      <c r="BB179" s="263">
        <f t="shared" si="92"/>
        <v>0</v>
      </c>
    </row>
    <row r="180" spans="2:54" x14ac:dyDescent="0.3">
      <c r="B180" s="22"/>
      <c r="G180" s="260"/>
      <c r="H180" s="260"/>
      <c r="I180" s="260"/>
      <c r="J180" s="260"/>
      <c r="K180" s="260"/>
      <c r="L180" s="260"/>
      <c r="M180" s="260"/>
      <c r="N180" s="260"/>
      <c r="O180" s="260"/>
      <c r="P180" s="260"/>
      <c r="Q180" s="260"/>
      <c r="R180" s="260"/>
      <c r="S180" s="260"/>
      <c r="T180" s="260"/>
      <c r="U180" s="260"/>
      <c r="V180" s="260"/>
      <c r="W180" s="260"/>
      <c r="X180" s="260"/>
      <c r="Y180" s="260"/>
      <c r="Z180" s="260"/>
      <c r="AA180" s="260"/>
      <c r="AB180" s="260"/>
      <c r="AC180" s="260"/>
      <c r="AD180" s="260"/>
      <c r="AE180" s="260"/>
      <c r="AF180" s="260"/>
      <c r="AG180" s="260"/>
      <c r="AH180" s="260"/>
      <c r="AI180" s="260"/>
      <c r="AJ180" s="260"/>
      <c r="AK180" s="260"/>
      <c r="AL180" s="260"/>
      <c r="AM180" s="260"/>
      <c r="AN180" s="260"/>
      <c r="AO180" s="260"/>
      <c r="AP180" s="260"/>
      <c r="AQ180" s="260"/>
      <c r="AR180" s="260"/>
      <c r="AS180" s="260"/>
      <c r="AT180" s="260"/>
      <c r="AU180" s="260"/>
      <c r="AV180" s="260"/>
      <c r="AW180" s="260"/>
      <c r="AX180" s="260"/>
      <c r="AY180" s="260"/>
      <c r="AZ180" s="260"/>
      <c r="BA180" s="260"/>
      <c r="BB180" s="260"/>
    </row>
    <row r="181" spans="2:54" x14ac:dyDescent="0.3">
      <c r="B181" s="1036" t="s">
        <v>983</v>
      </c>
      <c r="C181" s="1036"/>
      <c r="D181" s="1036"/>
      <c r="E181" s="1036"/>
      <c r="G181" s="262">
        <f>Producción!BN433</f>
        <v>0</v>
      </c>
      <c r="H181" s="263">
        <f>Producción!BO433</f>
        <v>0</v>
      </c>
      <c r="I181" s="263">
        <f>Producción!BP433</f>
        <v>0</v>
      </c>
      <c r="J181" s="263">
        <f>Producción!BQ433</f>
        <v>0</v>
      </c>
      <c r="K181" s="263">
        <f>Producción!BR433</f>
        <v>1608016.3354079998</v>
      </c>
      <c r="L181" s="263">
        <f>Producción!BS433</f>
        <v>2052460.6565999999</v>
      </c>
      <c r="M181" s="263">
        <f>Producción!BT433</f>
        <v>2052460.6565999999</v>
      </c>
      <c r="N181" s="263">
        <f>Producción!BU433</f>
        <v>2471840.9202000001</v>
      </c>
      <c r="O181" s="263">
        <f>Producción!BV433</f>
        <v>3527252.9718960002</v>
      </c>
      <c r="P181" s="263">
        <f>Producción!BW433</f>
        <v>3900277.0834960002</v>
      </c>
      <c r="Q181" s="263">
        <f>Producción!BX433</f>
        <v>5563997.5673200004</v>
      </c>
      <c r="R181" s="263">
        <f>Producción!BY433</f>
        <v>5563997.5673200004</v>
      </c>
      <c r="S181" s="263">
        <f>Producción!BZ433</f>
        <v>6386723.4307599999</v>
      </c>
      <c r="T181" s="263">
        <f>Producción!CA433</f>
        <v>6386723.4307599999</v>
      </c>
      <c r="U181" s="263">
        <f>Producción!CB433</f>
        <v>6386723.4307599999</v>
      </c>
      <c r="V181" s="263">
        <f>Producción!CC433</f>
        <v>6386723.4307599999</v>
      </c>
      <c r="W181" s="263">
        <f>Producción!CD433</f>
        <v>6386723.4307599999</v>
      </c>
      <c r="X181" s="263">
        <f>Producción!CE433</f>
        <v>6386723.4307599999</v>
      </c>
      <c r="Y181" s="263">
        <f>Producción!CF433</f>
        <v>6386723.4307599999</v>
      </c>
      <c r="Z181" s="263">
        <f>Producción!CG433</f>
        <v>6386723.4307599999</v>
      </c>
      <c r="AA181" s="263">
        <f>Producción!CH433</f>
        <v>6386723.4307599999</v>
      </c>
      <c r="AB181" s="263">
        <f>Producción!CI433</f>
        <v>6386723.4307599999</v>
      </c>
      <c r="AC181" s="263">
        <f>Producción!CJ433</f>
        <v>6386723.4307599999</v>
      </c>
      <c r="AD181" s="263">
        <f>Producción!CK433</f>
        <v>6386723.4307599999</v>
      </c>
      <c r="AE181" s="263">
        <f>Producción!CL433</f>
        <v>6386723.4307599999</v>
      </c>
      <c r="AF181" s="263">
        <f>Producción!CM433</f>
        <v>6386723.4307599999</v>
      </c>
      <c r="AG181" s="263">
        <f>Producción!CN433</f>
        <v>6386723.4307599999</v>
      </c>
      <c r="AH181" s="263">
        <f>Producción!CO433</f>
        <v>6386723.4307599999</v>
      </c>
      <c r="AI181" s="263">
        <f>Producción!CP433</f>
        <v>6386723.4307599999</v>
      </c>
      <c r="AJ181" s="263">
        <f>Producción!CQ433</f>
        <v>6386723.4307599999</v>
      </c>
      <c r="AK181" s="263">
        <f>Producción!CR433</f>
        <v>6386723.4307599999</v>
      </c>
      <c r="AL181" s="263">
        <f>Producción!CS433</f>
        <v>6386723.4307599999</v>
      </c>
      <c r="AM181" s="263">
        <f>Producción!CT433</f>
        <v>6386723.4307599999</v>
      </c>
      <c r="AN181" s="263">
        <f>Producción!CU433</f>
        <v>6386723.4307599999</v>
      </c>
      <c r="AO181" s="263">
        <f>Producción!CV433</f>
        <v>6386723.4307599999</v>
      </c>
      <c r="AP181" s="263">
        <f>Producción!CW433</f>
        <v>6386723.4307599999</v>
      </c>
      <c r="AQ181" s="263">
        <f>Producción!CX433</f>
        <v>6386723.4307599999</v>
      </c>
      <c r="AR181" s="263">
        <f>Producción!CY433</f>
        <v>6386723.4307599999</v>
      </c>
      <c r="AS181" s="263">
        <f>Producción!CZ433</f>
        <v>6386723.4307599999</v>
      </c>
      <c r="AT181" s="263">
        <f>Producción!DA433</f>
        <v>6386723.4307599999</v>
      </c>
      <c r="AU181" s="263">
        <f>Producción!DB433</f>
        <v>6386723.4307599999</v>
      </c>
      <c r="AV181" s="263">
        <f>Producción!DC433</f>
        <v>6386723.4307599999</v>
      </c>
      <c r="AW181" s="263">
        <f>Producción!DD433</f>
        <v>6386723.4307599999</v>
      </c>
      <c r="AX181" s="263">
        <f>Producción!DE433</f>
        <v>6386723.4307599999</v>
      </c>
      <c r="AY181" s="263">
        <f>Producción!DF433</f>
        <v>6386723.4307599999</v>
      </c>
      <c r="AZ181" s="263">
        <f>Producción!DG433</f>
        <v>6386723.4307599999</v>
      </c>
      <c r="BA181" s="263">
        <f>Producción!DH433</f>
        <v>6386723.4307599999</v>
      </c>
      <c r="BB181" s="263">
        <f>Producción!DI433</f>
        <v>6386723.4307599999</v>
      </c>
    </row>
    <row r="183" spans="2:54" x14ac:dyDescent="0.3">
      <c r="B183" s="1037" t="s">
        <v>645</v>
      </c>
      <c r="C183" s="1037"/>
      <c r="D183" s="1037"/>
      <c r="E183" s="1037"/>
      <c r="G183" s="261">
        <f>'Indirect Costs'!K140</f>
        <v>181257.52533333332</v>
      </c>
      <c r="H183" s="261">
        <f>'Indirect Costs'!L140</f>
        <v>247090.85866666667</v>
      </c>
      <c r="I183" s="261">
        <f>'Indirect Costs'!M140</f>
        <v>312924.19199999998</v>
      </c>
      <c r="J183" s="261">
        <f>'Indirect Costs'!N140</f>
        <v>378757.52533333329</v>
      </c>
      <c r="K183" s="261">
        <f>'Indirect Costs'!O140</f>
        <v>444590.85866666661</v>
      </c>
      <c r="L183" s="261">
        <f>'Indirect Costs'!P140</f>
        <v>510424.19199999992</v>
      </c>
      <c r="M183" s="261">
        <f>'Indirect Costs'!Q140</f>
        <v>648074.19199999992</v>
      </c>
      <c r="N183" s="261">
        <f>'Indirect Costs'!R140</f>
        <v>1027943.47</v>
      </c>
      <c r="O183" s="261">
        <f>'Indirect Costs'!S140</f>
        <v>1027943.47</v>
      </c>
      <c r="P183" s="261">
        <f>'Indirect Costs'!T140</f>
        <v>1102943.47</v>
      </c>
      <c r="Q183" s="261">
        <f>'Indirect Costs'!U140</f>
        <v>1102943.47</v>
      </c>
      <c r="R183" s="261">
        <f>'Indirect Costs'!V140</f>
        <v>1102943.47</v>
      </c>
      <c r="S183" s="261">
        <f>'Indirect Costs'!W140</f>
        <v>1102943.47</v>
      </c>
      <c r="T183" s="261">
        <f>'Indirect Costs'!X140</f>
        <v>1102943.47</v>
      </c>
      <c r="U183" s="261">
        <f>'Indirect Costs'!Y140</f>
        <v>1102943.47</v>
      </c>
      <c r="V183" s="261">
        <f>'Indirect Costs'!Z140</f>
        <v>1102943.47</v>
      </c>
      <c r="W183" s="261">
        <f>'Indirect Costs'!AA140</f>
        <v>1102943.47</v>
      </c>
      <c r="X183" s="261">
        <f>'Indirect Costs'!AB140</f>
        <v>1102943.47</v>
      </c>
      <c r="Y183" s="261">
        <f>'Indirect Costs'!AC140</f>
        <v>1102943.47</v>
      </c>
      <c r="Z183" s="261">
        <f>'Indirect Costs'!AD140</f>
        <v>1102943.47</v>
      </c>
      <c r="AA183" s="261">
        <f>'Indirect Costs'!AE140</f>
        <v>1102943.47</v>
      </c>
      <c r="AB183" s="261">
        <f>'Indirect Costs'!AF140</f>
        <v>1102943.47</v>
      </c>
      <c r="AC183" s="261">
        <f>'Indirect Costs'!AG140</f>
        <v>1102943.47</v>
      </c>
      <c r="AD183" s="261">
        <f>'Indirect Costs'!AH140</f>
        <v>1102943.47</v>
      </c>
      <c r="AE183" s="261">
        <f>'Indirect Costs'!AI140</f>
        <v>1102943.47</v>
      </c>
      <c r="AF183" s="261">
        <f>'Indirect Costs'!AJ140</f>
        <v>1102943.47</v>
      </c>
      <c r="AG183" s="261">
        <f>'Indirect Costs'!AK140</f>
        <v>1102943.47</v>
      </c>
      <c r="AH183" s="261">
        <f>'Indirect Costs'!AL140</f>
        <v>1102943.47</v>
      </c>
      <c r="AI183" s="261">
        <f>'Indirect Costs'!AM140</f>
        <v>1102943.47</v>
      </c>
      <c r="AJ183" s="261">
        <f>'Indirect Costs'!AN140</f>
        <v>1102943.47</v>
      </c>
      <c r="AK183" s="261">
        <f>'Indirect Costs'!AO140</f>
        <v>1102943.47</v>
      </c>
      <c r="AL183" s="261">
        <f>'Indirect Costs'!AP140</f>
        <v>1102943.47</v>
      </c>
      <c r="AM183" s="261">
        <f>'Indirect Costs'!AQ140</f>
        <v>1102943.47</v>
      </c>
      <c r="AN183" s="261">
        <f>'Indirect Costs'!AR140</f>
        <v>1102943.47</v>
      </c>
      <c r="AO183" s="261">
        <f>'Indirect Costs'!AS140</f>
        <v>1102943.47</v>
      </c>
      <c r="AP183" s="261">
        <f>'Indirect Costs'!AT140</f>
        <v>1102943.47</v>
      </c>
      <c r="AQ183" s="261">
        <f>'Indirect Costs'!AU140</f>
        <v>1102943.47</v>
      </c>
      <c r="AR183" s="261">
        <f>'Indirect Costs'!AV140</f>
        <v>1102943.47</v>
      </c>
      <c r="AS183" s="261">
        <f>'Indirect Costs'!AW140</f>
        <v>1102943.47</v>
      </c>
      <c r="AT183" s="261">
        <f>'Indirect Costs'!AX140</f>
        <v>1102943.47</v>
      </c>
      <c r="AU183" s="261">
        <f>'Indirect Costs'!AY140</f>
        <v>1102943.47</v>
      </c>
      <c r="AV183" s="261">
        <f>'Indirect Costs'!AZ140</f>
        <v>1102943.47</v>
      </c>
      <c r="AW183" s="261">
        <f>'Indirect Costs'!BA140</f>
        <v>1102943.47</v>
      </c>
      <c r="AX183" s="261">
        <f>'Indirect Costs'!BB140</f>
        <v>1102943.47</v>
      </c>
      <c r="AY183" s="261">
        <f>'Indirect Costs'!BC140</f>
        <v>1102943.47</v>
      </c>
      <c r="AZ183" s="261">
        <f>'Indirect Costs'!BD140</f>
        <v>1102943.47</v>
      </c>
      <c r="BA183" s="261">
        <f>'Indirect Costs'!BE140</f>
        <v>1102943.47</v>
      </c>
      <c r="BB183" s="261">
        <f>'Indirect Costs'!BF140</f>
        <v>1102943.47</v>
      </c>
    </row>
    <row r="184" spans="2:54" x14ac:dyDescent="0.3">
      <c r="B184" s="1037" t="s">
        <v>1031</v>
      </c>
      <c r="C184" s="1037"/>
      <c r="D184" s="1037"/>
      <c r="E184" s="1037"/>
      <c r="G184" s="261">
        <f>'Costo Directo'!L1195</f>
        <v>1068614.8850387796</v>
      </c>
      <c r="H184" s="261">
        <f>'Costo Directo'!M1195</f>
        <v>1091702.9623602082</v>
      </c>
      <c r="I184" s="261">
        <f>'Costo Directo'!N1195</f>
        <v>1144212.0025387795</v>
      </c>
      <c r="J184" s="261">
        <f>'Costo Directo'!O1195</f>
        <v>1203475.979860208</v>
      </c>
      <c r="K184" s="261">
        <f>'Costo Directo'!P1195</f>
        <v>1313691.9374787793</v>
      </c>
      <c r="L184" s="261">
        <f>'Costo Directo'!Q1195</f>
        <v>1336780.0148002079</v>
      </c>
      <c r="M184" s="261">
        <f>'Costo Directo'!R1195</f>
        <v>1407664.1621216366</v>
      </c>
      <c r="N184" s="261">
        <f>'Costo Directo'!S1195</f>
        <v>1455901.139443065</v>
      </c>
      <c r="O184" s="261">
        <f>'Costo Directo'!T1195</f>
        <v>1526785.2867644937</v>
      </c>
      <c r="P184" s="261">
        <f>'Costo Directo'!U1195</f>
        <v>1549873.3640859223</v>
      </c>
      <c r="Q184" s="261">
        <f>'Costo Directo'!V1195</f>
        <v>1620757.5114073509</v>
      </c>
      <c r="R184" s="261">
        <f>'Costo Directo'!W1195</f>
        <v>1698238.5757047795</v>
      </c>
      <c r="S184" s="261">
        <f>'Costo Directo'!X1195</f>
        <v>1769122.7230262081</v>
      </c>
      <c r="T184" s="261">
        <f>'Costo Directo'!Y1195</f>
        <v>1792718.7003476366</v>
      </c>
      <c r="U184" s="261">
        <f>'Costo Directo'!Z1195</f>
        <v>1902907.6173079878</v>
      </c>
      <c r="V184" s="261">
        <f>'Costo Directo'!AA1195</f>
        <v>1923077.4830222735</v>
      </c>
      <c r="W184" s="261">
        <f>'Costo Directo'!AB1195</f>
        <v>1979508.5187365592</v>
      </c>
      <c r="X184" s="261">
        <f>'Costo Directo'!AC1195</f>
        <v>1988651.384450845</v>
      </c>
      <c r="Y184" s="261">
        <f>'Costo Directo'!AD1195</f>
        <v>2045082.4201651306</v>
      </c>
      <c r="Z184" s="261">
        <f>'Costo Directo'!AE1195</f>
        <v>2095978.6858794163</v>
      </c>
      <c r="AA184" s="261">
        <f>'Costo Directo'!AF1195</f>
        <v>2152409.7215937022</v>
      </c>
      <c r="AB184" s="261">
        <f>'Costo Directo'!AG1195</f>
        <v>2161552.5873079877</v>
      </c>
      <c r="AC184" s="261">
        <f>'Costo Directo'!AH1195</f>
        <v>2199608.5158794164</v>
      </c>
      <c r="AD184" s="261">
        <f>'Costo Directo'!AI1195</f>
        <v>2233392.3815937019</v>
      </c>
      <c r="AE184" s="261">
        <f>'Costo Directo'!AJ1195</f>
        <v>2367040.4501651302</v>
      </c>
      <c r="AF184" s="261">
        <f>'Costo Directo'!AK1195</f>
        <v>2367040.4501651302</v>
      </c>
      <c r="AG184" s="261">
        <f>'Costo Directo'!AL1195</f>
        <v>2367040.4501651302</v>
      </c>
      <c r="AH184" s="261">
        <f>'Costo Directo'!AM1195</f>
        <v>2367040.4501651302</v>
      </c>
      <c r="AI184" s="261">
        <f>'Costo Directo'!AN1195</f>
        <v>2367040.4501651302</v>
      </c>
      <c r="AJ184" s="261">
        <f>'Costo Directo'!AO1195</f>
        <v>2367040.4501651302</v>
      </c>
      <c r="AK184" s="261">
        <f>'Costo Directo'!AP1195</f>
        <v>2367040.4501651302</v>
      </c>
      <c r="AL184" s="261">
        <f>'Costo Directo'!AQ1195</f>
        <v>2367040.4501651302</v>
      </c>
      <c r="AM184" s="261">
        <f>'Costo Directo'!AR1195</f>
        <v>2367040.4501651302</v>
      </c>
      <c r="AN184" s="261">
        <f>'Costo Directo'!AS1195</f>
        <v>2367040.4501651302</v>
      </c>
      <c r="AO184" s="261">
        <f>'Costo Directo'!AT1195</f>
        <v>2367040.4501651302</v>
      </c>
      <c r="AP184" s="261">
        <f>'Costo Directo'!AU1195</f>
        <v>2367040.4501651302</v>
      </c>
      <c r="AQ184" s="261">
        <f>'Costo Directo'!AV1195</f>
        <v>2367040.4501651302</v>
      </c>
      <c r="AR184" s="261">
        <f>'Costo Directo'!AW1195</f>
        <v>2367040.4501651302</v>
      </c>
      <c r="AS184" s="261">
        <f>'Costo Directo'!AX1195</f>
        <v>2367040.4501651302</v>
      </c>
      <c r="AT184" s="261">
        <f>'Costo Directo'!AY1195</f>
        <v>2367040.4501651302</v>
      </c>
      <c r="AU184" s="261">
        <f>'Costo Directo'!AZ1195</f>
        <v>2367040.4501651302</v>
      </c>
      <c r="AV184" s="261">
        <f>'Costo Directo'!BA1195</f>
        <v>2367040.4501651302</v>
      </c>
      <c r="AW184" s="261">
        <f>'Costo Directo'!BB1195</f>
        <v>2367040.4501651302</v>
      </c>
      <c r="AX184" s="261">
        <f>'Costo Directo'!BC1195</f>
        <v>2367040.4501651302</v>
      </c>
      <c r="AY184" s="261">
        <f>'Costo Directo'!BD1195</f>
        <v>2367040.4501651302</v>
      </c>
      <c r="AZ184" s="261">
        <f>'Costo Directo'!BE1195</f>
        <v>2367040.4501651302</v>
      </c>
      <c r="BA184" s="261">
        <f>'Costo Directo'!BF1195</f>
        <v>2367040.4501651302</v>
      </c>
      <c r="BB184" s="261">
        <f>'Costo Directo'!BG1195</f>
        <v>2367040.4501651302</v>
      </c>
    </row>
    <row r="185" spans="2:54" x14ac:dyDescent="0.3">
      <c r="B185" s="22"/>
      <c r="G185" s="260"/>
      <c r="H185" s="260"/>
      <c r="I185" s="260"/>
      <c r="J185" s="260"/>
      <c r="K185" s="260"/>
      <c r="L185" s="260"/>
      <c r="M185" s="260"/>
      <c r="N185" s="260"/>
      <c r="O185" s="260"/>
      <c r="P185" s="260"/>
      <c r="Q185" s="260"/>
      <c r="R185" s="260"/>
      <c r="S185" s="260"/>
      <c r="T185" s="260"/>
      <c r="U185" s="260"/>
      <c r="V185" s="260"/>
      <c r="W185" s="260"/>
      <c r="X185" s="260"/>
      <c r="Y185" s="260"/>
      <c r="Z185" s="260"/>
      <c r="AA185" s="260"/>
      <c r="AB185" s="260"/>
      <c r="AC185" s="260"/>
      <c r="AD185" s="260"/>
      <c r="AE185" s="260"/>
      <c r="AF185" s="260"/>
      <c r="AG185" s="260"/>
      <c r="AH185" s="260"/>
      <c r="AI185" s="260"/>
      <c r="AJ185" s="260"/>
      <c r="AK185" s="260"/>
      <c r="AL185" s="260"/>
      <c r="AM185" s="260"/>
      <c r="AN185" s="260"/>
      <c r="AO185" s="260"/>
      <c r="AP185" s="260"/>
      <c r="AQ185" s="260"/>
      <c r="AR185" s="260"/>
      <c r="AS185" s="260"/>
      <c r="AT185" s="260"/>
      <c r="AU185" s="260"/>
      <c r="AV185" s="260"/>
      <c r="AW185" s="260"/>
      <c r="AX185" s="260"/>
      <c r="AY185" s="260"/>
      <c r="AZ185" s="260"/>
      <c r="BA185" s="260"/>
      <c r="BB185" s="260"/>
    </row>
    <row r="186" spans="2:54" x14ac:dyDescent="0.3">
      <c r="B186" s="1036" t="s">
        <v>1032</v>
      </c>
      <c r="C186" s="1036"/>
      <c r="D186" s="1036"/>
      <c r="E186" s="1036"/>
      <c r="G186" s="262">
        <f>G183+G184</f>
        <v>1249872.4103721129</v>
      </c>
      <c r="H186" s="263">
        <f t="shared" ref="H186:U186" si="93">H183+H184</f>
        <v>1338793.8210268747</v>
      </c>
      <c r="I186" s="263">
        <f t="shared" si="93"/>
        <v>1457136.1945387796</v>
      </c>
      <c r="J186" s="263">
        <f t="shared" si="93"/>
        <v>1582233.5051935413</v>
      </c>
      <c r="K186" s="263">
        <f t="shared" si="93"/>
        <v>1758282.7961454459</v>
      </c>
      <c r="L186" s="263">
        <f t="shared" si="93"/>
        <v>1847204.206800208</v>
      </c>
      <c r="M186" s="263">
        <f t="shared" si="93"/>
        <v>2055738.3541216366</v>
      </c>
      <c r="N186" s="263">
        <f t="shared" si="93"/>
        <v>2483844.6094430648</v>
      </c>
      <c r="O186" s="263">
        <f t="shared" si="93"/>
        <v>2554728.7567644939</v>
      </c>
      <c r="P186" s="263">
        <f t="shared" si="93"/>
        <v>2652816.8340859222</v>
      </c>
      <c r="Q186" s="263">
        <f t="shared" si="93"/>
        <v>2723700.9814073509</v>
      </c>
      <c r="R186" s="263">
        <f t="shared" si="93"/>
        <v>2801182.0457047792</v>
      </c>
      <c r="S186" s="263">
        <f t="shared" si="93"/>
        <v>2872066.1930262083</v>
      </c>
      <c r="T186" s="263">
        <f t="shared" si="93"/>
        <v>2895662.1703476366</v>
      </c>
      <c r="U186" s="263">
        <f t="shared" si="93"/>
        <v>3005851.0873079877</v>
      </c>
      <c r="V186" s="263">
        <f t="shared" ref="V186:AC186" si="94">V183+V184</f>
        <v>3026020.9530222733</v>
      </c>
      <c r="W186" s="263">
        <f t="shared" si="94"/>
        <v>3082451.9887365592</v>
      </c>
      <c r="X186" s="263">
        <f t="shared" si="94"/>
        <v>3091594.8544508452</v>
      </c>
      <c r="Y186" s="263">
        <f t="shared" si="94"/>
        <v>3148025.8901651306</v>
      </c>
      <c r="Z186" s="263">
        <f t="shared" si="94"/>
        <v>3198922.1558794165</v>
      </c>
      <c r="AA186" s="263">
        <f t="shared" si="94"/>
        <v>3255353.191593702</v>
      </c>
      <c r="AB186" s="263">
        <f t="shared" si="94"/>
        <v>3264496.0573079875</v>
      </c>
      <c r="AC186" s="263">
        <f t="shared" si="94"/>
        <v>3302551.9858794166</v>
      </c>
      <c r="AD186" s="263">
        <f t="shared" ref="AD186:BB186" si="95">AD183+AD184</f>
        <v>3336335.8515937021</v>
      </c>
      <c r="AE186" s="263">
        <f t="shared" si="95"/>
        <v>3469983.9201651299</v>
      </c>
      <c r="AF186" s="263">
        <f t="shared" si="95"/>
        <v>3469983.9201651299</v>
      </c>
      <c r="AG186" s="263">
        <f t="shared" si="95"/>
        <v>3469983.9201651299</v>
      </c>
      <c r="AH186" s="263">
        <f t="shared" si="95"/>
        <v>3469983.9201651299</v>
      </c>
      <c r="AI186" s="263">
        <f t="shared" si="95"/>
        <v>3469983.9201651299</v>
      </c>
      <c r="AJ186" s="263">
        <f t="shared" si="95"/>
        <v>3469983.9201651299</v>
      </c>
      <c r="AK186" s="263">
        <f t="shared" si="95"/>
        <v>3469983.9201651299</v>
      </c>
      <c r="AL186" s="263">
        <f t="shared" si="95"/>
        <v>3469983.9201651299</v>
      </c>
      <c r="AM186" s="263">
        <f t="shared" si="95"/>
        <v>3469983.9201651299</v>
      </c>
      <c r="AN186" s="263">
        <f t="shared" si="95"/>
        <v>3469983.9201651299</v>
      </c>
      <c r="AO186" s="263">
        <f t="shared" si="95"/>
        <v>3469983.9201651299</v>
      </c>
      <c r="AP186" s="263">
        <f t="shared" si="95"/>
        <v>3469983.9201651299</v>
      </c>
      <c r="AQ186" s="263">
        <f t="shared" si="95"/>
        <v>3469983.9201651299</v>
      </c>
      <c r="AR186" s="263">
        <f t="shared" si="95"/>
        <v>3469983.9201651299</v>
      </c>
      <c r="AS186" s="263">
        <f t="shared" si="95"/>
        <v>3469983.9201651299</v>
      </c>
      <c r="AT186" s="263">
        <f t="shared" si="95"/>
        <v>3469983.9201651299</v>
      </c>
      <c r="AU186" s="263">
        <f t="shared" si="95"/>
        <v>3469983.9201651299</v>
      </c>
      <c r="AV186" s="263">
        <f t="shared" si="95"/>
        <v>3469983.9201651299</v>
      </c>
      <c r="AW186" s="263">
        <f t="shared" si="95"/>
        <v>3469983.9201651299</v>
      </c>
      <c r="AX186" s="263">
        <f t="shared" si="95"/>
        <v>3469983.9201651299</v>
      </c>
      <c r="AY186" s="263">
        <f t="shared" si="95"/>
        <v>3469983.9201651299</v>
      </c>
      <c r="AZ186" s="263">
        <f t="shared" si="95"/>
        <v>3469983.9201651299</v>
      </c>
      <c r="BA186" s="263">
        <f t="shared" si="95"/>
        <v>3469983.9201651299</v>
      </c>
      <c r="BB186" s="263">
        <f t="shared" si="95"/>
        <v>3469983.9201651299</v>
      </c>
    </row>
    <row r="188" spans="2:54" x14ac:dyDescent="0.3">
      <c r="B188" s="1037" t="s">
        <v>646</v>
      </c>
      <c r="C188" s="1037"/>
      <c r="D188" s="1037"/>
      <c r="E188" s="1037"/>
      <c r="G188" s="261">
        <f>'Indirect Costs'!BK140</f>
        <v>0</v>
      </c>
      <c r="H188" s="261">
        <f>'Indirect Costs'!BL140</f>
        <v>33668.747122487926</v>
      </c>
      <c r="I188" s="261">
        <f>'Indirect Costs'!BM140</f>
        <v>160010.79668469995</v>
      </c>
      <c r="J188" s="261">
        <f>'Indirect Costs'!BN140</f>
        <v>358053.18593739648</v>
      </c>
      <c r="K188" s="261">
        <f>'Indirect Costs'!BO140</f>
        <v>622394.75363767741</v>
      </c>
      <c r="L188" s="261">
        <f>'Indirect Costs'!BP140</f>
        <v>795738.5332206398</v>
      </c>
      <c r="M188" s="261">
        <f>'Indirect Costs'!BQ140</f>
        <v>967323.73200292885</v>
      </c>
      <c r="N188" s="261">
        <f>'Indirect Costs'!BR140</f>
        <v>1059651.7599236355</v>
      </c>
      <c r="O188" s="261">
        <f>'Indirect Costs'!BS140</f>
        <v>1113288.4146540116</v>
      </c>
      <c r="P188" s="261">
        <f>'Indirect Costs'!BT140</f>
        <v>1194540.6407998495</v>
      </c>
      <c r="Q188" s="261">
        <f>'Indirect Costs'!BU140</f>
        <v>1294241.5660874345</v>
      </c>
      <c r="R188" s="261">
        <f>'Indirect Costs'!BV140</f>
        <v>1438965.3861633884</v>
      </c>
      <c r="S188" s="261">
        <f>'Indirect Costs'!BW140</f>
        <v>1524953.0406496231</v>
      </c>
      <c r="T188" s="261">
        <f>'Indirect Costs'!BX140</f>
        <v>1604294.5088203431</v>
      </c>
      <c r="U188" s="261">
        <f>'Indirect Costs'!BY140</f>
        <v>1767386.1781369268</v>
      </c>
      <c r="V188" s="261">
        <f>'Indirect Costs'!BZ140</f>
        <v>1771687.0294603431</v>
      </c>
      <c r="W188" s="261">
        <f>'Indirect Costs'!CA140</f>
        <v>1774928.2265751932</v>
      </c>
      <c r="X188" s="261">
        <f>'Indirect Costs'!CB140</f>
        <v>1774928.2265751932</v>
      </c>
      <c r="Y188" s="261">
        <f>'Indirect Costs'!CC140</f>
        <v>1774928.2265751932</v>
      </c>
      <c r="Z188" s="261">
        <f>'Indirect Costs'!CD140</f>
        <v>1774928.2265751932</v>
      </c>
      <c r="AA188" s="261">
        <f>'Indirect Costs'!CE140</f>
        <v>1774928.2265751932</v>
      </c>
      <c r="AB188" s="261">
        <f>'Indirect Costs'!CF140</f>
        <v>1774928.2265751932</v>
      </c>
      <c r="AC188" s="261">
        <f>'Indirect Costs'!CG140</f>
        <v>1774928.2265751932</v>
      </c>
      <c r="AD188" s="261">
        <f>'Indirect Costs'!CH140</f>
        <v>1774928.2265751932</v>
      </c>
      <c r="AE188" s="261">
        <f>'Indirect Costs'!CI140</f>
        <v>1774928.2265751932</v>
      </c>
      <c r="AF188" s="261">
        <f>'Indirect Costs'!CJ140</f>
        <v>1774928.2265751932</v>
      </c>
      <c r="AG188" s="261">
        <f>'Indirect Costs'!CK140</f>
        <v>1774928.2265751932</v>
      </c>
      <c r="AH188" s="261">
        <f>'Indirect Costs'!CL140</f>
        <v>1774928.2265751932</v>
      </c>
      <c r="AI188" s="261">
        <f>'Indirect Costs'!CM140</f>
        <v>1774928.2265751932</v>
      </c>
      <c r="AJ188" s="261">
        <f>'Indirect Costs'!CN140</f>
        <v>1774928.2265751932</v>
      </c>
      <c r="AK188" s="261">
        <f>'Indirect Costs'!CO140</f>
        <v>1774928.2265751932</v>
      </c>
      <c r="AL188" s="261">
        <f>'Indirect Costs'!CP140</f>
        <v>1774928.2265751932</v>
      </c>
      <c r="AM188" s="261">
        <f>'Indirect Costs'!CQ140</f>
        <v>1774928.2265751932</v>
      </c>
      <c r="AN188" s="261">
        <f>'Indirect Costs'!CR140</f>
        <v>1774928.2265751932</v>
      </c>
      <c r="AO188" s="261">
        <f>'Indirect Costs'!CS140</f>
        <v>1774928.2265751932</v>
      </c>
      <c r="AP188" s="261">
        <f>'Indirect Costs'!CT140</f>
        <v>1774928.2265751932</v>
      </c>
      <c r="AQ188" s="261">
        <f>'Indirect Costs'!CU140</f>
        <v>1774928.2265751932</v>
      </c>
      <c r="AR188" s="261">
        <f>'Indirect Costs'!CV140</f>
        <v>1774928.2265751932</v>
      </c>
      <c r="AS188" s="261">
        <f>'Indirect Costs'!CW140</f>
        <v>1774928.2265751932</v>
      </c>
      <c r="AT188" s="261">
        <f>'Indirect Costs'!CX140</f>
        <v>1774928.2265751932</v>
      </c>
      <c r="AU188" s="261">
        <f>'Indirect Costs'!CY140</f>
        <v>1774928.2265751932</v>
      </c>
      <c r="AV188" s="261">
        <f>'Indirect Costs'!CZ140</f>
        <v>1774928.2265751932</v>
      </c>
      <c r="AW188" s="261">
        <f>'Indirect Costs'!DA140</f>
        <v>1774928.2265751932</v>
      </c>
      <c r="AX188" s="261">
        <f>'Indirect Costs'!DB140</f>
        <v>1774928.2265751932</v>
      </c>
      <c r="AY188" s="261">
        <f>'Indirect Costs'!DC140</f>
        <v>1774928.2265751932</v>
      </c>
      <c r="AZ188" s="261">
        <f>'Indirect Costs'!DD140</f>
        <v>1774928.2265751932</v>
      </c>
      <c r="BA188" s="261">
        <f>'Indirect Costs'!DE140</f>
        <v>1774928.2265751932</v>
      </c>
      <c r="BB188" s="261">
        <f>'Indirect Costs'!DF140</f>
        <v>1774928.2265751932</v>
      </c>
    </row>
    <row r="189" spans="2:54" x14ac:dyDescent="0.3">
      <c r="B189" s="1037" t="s">
        <v>517</v>
      </c>
      <c r="C189" s="1037"/>
      <c r="D189" s="1037"/>
      <c r="E189" s="1037"/>
      <c r="G189" s="261">
        <f>'Costo Directo'!BM1195</f>
        <v>0</v>
      </c>
      <c r="H189" s="261">
        <f>'Costo Directo'!BN1195</f>
        <v>104895.59927200001</v>
      </c>
      <c r="I189" s="261">
        <f>'Costo Directo'!BO1195</f>
        <v>358481.73814374895</v>
      </c>
      <c r="J189" s="261">
        <f>'Costo Directo'!BP1195</f>
        <v>1075146.933376516</v>
      </c>
      <c r="K189" s="261">
        <f>'Costo Directo'!BQ1195</f>
        <v>1454132.423221186</v>
      </c>
      <c r="L189" s="261">
        <f>'Costo Directo'!BR1195</f>
        <v>1707452.342200306</v>
      </c>
      <c r="M189" s="261">
        <f>'Costo Directo'!BS1195</f>
        <v>1735796.831745906</v>
      </c>
      <c r="N189" s="261">
        <f>'Costo Directo'!BT1195</f>
        <v>1735796.831745906</v>
      </c>
      <c r="O189" s="261">
        <f>'Costo Directo'!BU1195</f>
        <v>1735796.831745906</v>
      </c>
      <c r="P189" s="261">
        <f>'Costo Directo'!BV1195</f>
        <v>1735796.831745906</v>
      </c>
      <c r="Q189" s="261">
        <f>'Costo Directo'!BW1195</f>
        <v>1735796.831745906</v>
      </c>
      <c r="R189" s="261">
        <f>'Costo Directo'!BX1195</f>
        <v>1735796.831745906</v>
      </c>
      <c r="S189" s="261">
        <f>'Costo Directo'!BY1195</f>
        <v>1735796.831745906</v>
      </c>
      <c r="T189" s="261">
        <f>'Costo Directo'!BZ1195</f>
        <v>1735796.831745906</v>
      </c>
      <c r="U189" s="261">
        <f>'Costo Directo'!CA1195</f>
        <v>1735796.831745906</v>
      </c>
      <c r="V189" s="261">
        <f>'Costo Directo'!CB1195</f>
        <v>1735796.831745906</v>
      </c>
      <c r="W189" s="261">
        <f>'Costo Directo'!CC1195</f>
        <v>1758996.831745906</v>
      </c>
      <c r="X189" s="261">
        <f>'Costo Directo'!CD1195</f>
        <v>1758996.831745906</v>
      </c>
      <c r="Y189" s="261">
        <f>'Costo Directo'!CE1195</f>
        <v>1758996.831745906</v>
      </c>
      <c r="Z189" s="261">
        <f>'Costo Directo'!CF1195</f>
        <v>1758996.831745906</v>
      </c>
      <c r="AA189" s="261">
        <f>'Costo Directo'!CG1195</f>
        <v>1758996.831745906</v>
      </c>
      <c r="AB189" s="261">
        <f>'Costo Directo'!CH1195</f>
        <v>1758996.831745906</v>
      </c>
      <c r="AC189" s="261">
        <f>'Costo Directo'!CI1195</f>
        <v>1758996.831745906</v>
      </c>
      <c r="AD189" s="261">
        <f>'Costo Directo'!CJ1195</f>
        <v>1758996.831745906</v>
      </c>
      <c r="AE189" s="261">
        <f>'Costo Directo'!CK1195</f>
        <v>1758996.831745906</v>
      </c>
      <c r="AF189" s="261">
        <f>'Costo Directo'!CL1195</f>
        <v>1758996.831745906</v>
      </c>
      <c r="AG189" s="261">
        <f>'Costo Directo'!CM1195</f>
        <v>1758996.831745906</v>
      </c>
      <c r="AH189" s="261">
        <f>'Costo Directo'!CN1195</f>
        <v>1758996.831745906</v>
      </c>
      <c r="AI189" s="261">
        <f>'Costo Directo'!CO1195</f>
        <v>1758996.831745906</v>
      </c>
      <c r="AJ189" s="261">
        <f>'Costo Directo'!CP1195</f>
        <v>1758996.831745906</v>
      </c>
      <c r="AK189" s="261">
        <f>'Costo Directo'!CQ1195</f>
        <v>1758996.831745906</v>
      </c>
      <c r="AL189" s="261">
        <f>'Costo Directo'!CR1195</f>
        <v>1758996.831745906</v>
      </c>
      <c r="AM189" s="261">
        <f>'Costo Directo'!CS1195</f>
        <v>1758996.831745906</v>
      </c>
      <c r="AN189" s="261">
        <f>'Costo Directo'!CT1195</f>
        <v>1758996.831745906</v>
      </c>
      <c r="AO189" s="261">
        <f>'Costo Directo'!CU1195</f>
        <v>1758996.831745906</v>
      </c>
      <c r="AP189" s="261">
        <f>'Costo Directo'!CV1195</f>
        <v>1758996.831745906</v>
      </c>
      <c r="AQ189" s="261">
        <f>'Costo Directo'!CW1195</f>
        <v>1758996.831745906</v>
      </c>
      <c r="AR189" s="261">
        <f>'Costo Directo'!CX1195</f>
        <v>1758996.831745906</v>
      </c>
      <c r="AS189" s="261">
        <f>'Costo Directo'!CY1195</f>
        <v>1758996.831745906</v>
      </c>
      <c r="AT189" s="261">
        <f>'Costo Directo'!CZ1195</f>
        <v>1758996.831745906</v>
      </c>
      <c r="AU189" s="261">
        <f>'Costo Directo'!DA1195</f>
        <v>1758996.831745906</v>
      </c>
      <c r="AV189" s="261">
        <f>'Costo Directo'!DB1195</f>
        <v>1758996.831745906</v>
      </c>
      <c r="AW189" s="261">
        <f>'Costo Directo'!DC1195</f>
        <v>1758996.831745906</v>
      </c>
      <c r="AX189" s="261">
        <f>'Costo Directo'!DD1195</f>
        <v>1758996.831745906</v>
      </c>
      <c r="AY189" s="261">
        <f>'Costo Directo'!DE1195</f>
        <v>1758996.831745906</v>
      </c>
      <c r="AZ189" s="261">
        <f>'Costo Directo'!DF1195</f>
        <v>1758996.831745906</v>
      </c>
      <c r="BA189" s="261">
        <f>'Costo Directo'!DG1195</f>
        <v>1758996.831745906</v>
      </c>
      <c r="BB189" s="261">
        <f>'Costo Directo'!DH1195</f>
        <v>1758996.831745906</v>
      </c>
    </row>
    <row r="191" spans="2:54" x14ac:dyDescent="0.3">
      <c r="B191" s="1036" t="s">
        <v>1033</v>
      </c>
      <c r="C191" s="1036"/>
      <c r="D191" s="1036"/>
      <c r="E191" s="1036"/>
      <c r="G191" s="262">
        <f>G188+G189</f>
        <v>0</v>
      </c>
      <c r="H191" s="263">
        <f t="shared" ref="H191:U191" si="96">H188+H189</f>
        <v>138564.34639448795</v>
      </c>
      <c r="I191" s="263">
        <f t="shared" si="96"/>
        <v>518492.5348284489</v>
      </c>
      <c r="J191" s="263">
        <f t="shared" si="96"/>
        <v>1433200.1193139125</v>
      </c>
      <c r="K191" s="263">
        <f t="shared" si="96"/>
        <v>2076527.1768588633</v>
      </c>
      <c r="L191" s="263">
        <f t="shared" si="96"/>
        <v>2503190.8754209457</v>
      </c>
      <c r="M191" s="263">
        <f t="shared" si="96"/>
        <v>2703120.5637488347</v>
      </c>
      <c r="N191" s="263">
        <f t="shared" si="96"/>
        <v>2795448.5916695418</v>
      </c>
      <c r="O191" s="263">
        <f t="shared" si="96"/>
        <v>2849085.2463999176</v>
      </c>
      <c r="P191" s="263">
        <f t="shared" si="96"/>
        <v>2930337.4725457556</v>
      </c>
      <c r="Q191" s="263">
        <f t="shared" si="96"/>
        <v>3030038.3978333408</v>
      </c>
      <c r="R191" s="263">
        <f t="shared" si="96"/>
        <v>3174762.2179092942</v>
      </c>
      <c r="S191" s="263">
        <f t="shared" si="96"/>
        <v>3260749.8723955294</v>
      </c>
      <c r="T191" s="263">
        <f t="shared" si="96"/>
        <v>3340091.3405662491</v>
      </c>
      <c r="U191" s="263">
        <f t="shared" si="96"/>
        <v>3503183.0098828329</v>
      </c>
      <c r="V191" s="263">
        <f t="shared" ref="V191:AC191" si="97">V188+V189</f>
        <v>3507483.8612062493</v>
      </c>
      <c r="W191" s="263">
        <f t="shared" si="97"/>
        <v>3533925.0583210993</v>
      </c>
      <c r="X191" s="263">
        <f t="shared" si="97"/>
        <v>3533925.0583210993</v>
      </c>
      <c r="Y191" s="263">
        <f t="shared" si="97"/>
        <v>3533925.0583210993</v>
      </c>
      <c r="Z191" s="263">
        <f t="shared" si="97"/>
        <v>3533925.0583210993</v>
      </c>
      <c r="AA191" s="263">
        <f t="shared" si="97"/>
        <v>3533925.0583210993</v>
      </c>
      <c r="AB191" s="263">
        <f t="shared" si="97"/>
        <v>3533925.0583210993</v>
      </c>
      <c r="AC191" s="263">
        <f t="shared" si="97"/>
        <v>3533925.0583210993</v>
      </c>
      <c r="AD191" s="263">
        <f t="shared" ref="AD191:BB191" si="98">AD188+AD189</f>
        <v>3533925.0583210993</v>
      </c>
      <c r="AE191" s="263">
        <f t="shared" si="98"/>
        <v>3533925.0583210993</v>
      </c>
      <c r="AF191" s="263">
        <f t="shared" si="98"/>
        <v>3533925.0583210993</v>
      </c>
      <c r="AG191" s="263">
        <f t="shared" si="98"/>
        <v>3533925.0583210993</v>
      </c>
      <c r="AH191" s="263">
        <f t="shared" si="98"/>
        <v>3533925.0583210993</v>
      </c>
      <c r="AI191" s="263">
        <f t="shared" si="98"/>
        <v>3533925.0583210993</v>
      </c>
      <c r="AJ191" s="263">
        <f t="shared" si="98"/>
        <v>3533925.0583210993</v>
      </c>
      <c r="AK191" s="263">
        <f t="shared" si="98"/>
        <v>3533925.0583210993</v>
      </c>
      <c r="AL191" s="263">
        <f t="shared" si="98"/>
        <v>3533925.0583210993</v>
      </c>
      <c r="AM191" s="263">
        <f t="shared" si="98"/>
        <v>3533925.0583210993</v>
      </c>
      <c r="AN191" s="263">
        <f t="shared" si="98"/>
        <v>3533925.0583210993</v>
      </c>
      <c r="AO191" s="263">
        <f t="shared" si="98"/>
        <v>3533925.0583210993</v>
      </c>
      <c r="AP191" s="263">
        <f t="shared" si="98"/>
        <v>3533925.0583210993</v>
      </c>
      <c r="AQ191" s="263">
        <f t="shared" si="98"/>
        <v>3533925.0583210993</v>
      </c>
      <c r="AR191" s="263">
        <f t="shared" si="98"/>
        <v>3533925.0583210993</v>
      </c>
      <c r="AS191" s="263">
        <f t="shared" si="98"/>
        <v>3533925.0583210993</v>
      </c>
      <c r="AT191" s="263">
        <f t="shared" si="98"/>
        <v>3533925.0583210993</v>
      </c>
      <c r="AU191" s="263">
        <f t="shared" si="98"/>
        <v>3533925.0583210993</v>
      </c>
      <c r="AV191" s="263">
        <f t="shared" si="98"/>
        <v>3533925.0583210993</v>
      </c>
      <c r="AW191" s="263">
        <f t="shared" si="98"/>
        <v>3533925.0583210993</v>
      </c>
      <c r="AX191" s="263">
        <f t="shared" si="98"/>
        <v>3533925.0583210993</v>
      </c>
      <c r="AY191" s="263">
        <f t="shared" si="98"/>
        <v>3533925.0583210993</v>
      </c>
      <c r="AZ191" s="263">
        <f t="shared" si="98"/>
        <v>3533925.0583210993</v>
      </c>
      <c r="BA191" s="263">
        <f t="shared" si="98"/>
        <v>3533925.0583210993</v>
      </c>
      <c r="BB191" s="263">
        <f t="shared" si="98"/>
        <v>3533925.0583210993</v>
      </c>
    </row>
  </sheetData>
  <mergeCells count="39">
    <mergeCell ref="B36:C36"/>
    <mergeCell ref="B37:C37"/>
    <mergeCell ref="B39:C39"/>
    <mergeCell ref="B40:C40"/>
    <mergeCell ref="B34:C34"/>
    <mergeCell ref="B17:C17"/>
    <mergeCell ref="B18:C18"/>
    <mergeCell ref="B19:C19"/>
    <mergeCell ref="B20:C20"/>
    <mergeCell ref="B21:C21"/>
    <mergeCell ref="B32:C32"/>
    <mergeCell ref="B33:C33"/>
    <mergeCell ref="B22:C22"/>
    <mergeCell ref="B23:C23"/>
    <mergeCell ref="B25:C25"/>
    <mergeCell ref="B26:C26"/>
    <mergeCell ref="B27:C27"/>
    <mergeCell ref="B24:C24"/>
    <mergeCell ref="B29:C29"/>
    <mergeCell ref="B30:C30"/>
    <mergeCell ref="B31:C31"/>
    <mergeCell ref="C2:I2"/>
    <mergeCell ref="C3:I3"/>
    <mergeCell ref="C4:I4"/>
    <mergeCell ref="B16:C16"/>
    <mergeCell ref="B15:C15"/>
    <mergeCell ref="B9:C9"/>
    <mergeCell ref="B13:C13"/>
    <mergeCell ref="B11:C11"/>
    <mergeCell ref="B5:BB5"/>
    <mergeCell ref="B191:E191"/>
    <mergeCell ref="B177:E177"/>
    <mergeCell ref="B181:E181"/>
    <mergeCell ref="B183:E183"/>
    <mergeCell ref="B184:E184"/>
    <mergeCell ref="B186:E186"/>
    <mergeCell ref="B188:E188"/>
    <mergeCell ref="B189:E189"/>
    <mergeCell ref="B179:E179"/>
  </mergeCells>
  <conditionalFormatting sqref="E36:E37 G36:BB37 G39:BB40">
    <cfRule type="cellIs" dxfId="1" priority="5" operator="lessThan">
      <formula>0</formula>
    </cfRule>
  </conditionalFormatting>
  <conditionalFormatting sqref="E39:E40">
    <cfRule type="cellIs" dxfId="0" priority="1" operator="lessThan">
      <formula>0</formula>
    </cfRule>
  </conditionalFormatting>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9f76595-36f4-402c-ab8b-a3b7a7d870b7">
      <Terms xmlns="http://schemas.microsoft.com/office/infopath/2007/PartnerControls"/>
    </lcf76f155ced4ddcb4097134ff3c332f>
    <TaxCatchAll xmlns="ac56303e-3aa1-4555-a703-9b6d466d968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6007F818EA742945B9B23EBF33237673" ma:contentTypeVersion="14" ma:contentTypeDescription="Crear nuevo documento." ma:contentTypeScope="" ma:versionID="9ece29e25784badb39b02a769c8444a5">
  <xsd:schema xmlns:xsd="http://www.w3.org/2001/XMLSchema" xmlns:xs="http://www.w3.org/2001/XMLSchema" xmlns:p="http://schemas.microsoft.com/office/2006/metadata/properties" xmlns:ns2="59f76595-36f4-402c-ab8b-a3b7a7d870b7" xmlns:ns3="ac56303e-3aa1-4555-a703-9b6d466d968a" targetNamespace="http://schemas.microsoft.com/office/2006/metadata/properties" ma:root="true" ma:fieldsID="f20f8fd05b60111dfc00bf93d8c63c82" ns2:_="" ns3:_="">
    <xsd:import namespace="59f76595-36f4-402c-ab8b-a3b7a7d870b7"/>
    <xsd:import namespace="ac56303e-3aa1-4555-a703-9b6d466d968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f76595-36f4-402c-ab8b-a3b7a7d870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8d8dc184-fb41-45cf-ac28-7a1e6895e6c5"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c56303e-3aa1-4555-a703-9b6d466d968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c9e509a7-f4bf-416d-bf9b-0663d99b9c1d}" ma:internalName="TaxCatchAll" ma:showField="CatchAllData" ma:web="ac56303e-3aa1-4555-a703-9b6d466d96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8BCA10-99FF-4B5A-9891-F6CA4CB22FCC}">
  <ds:schemaRefs>
    <ds:schemaRef ds:uri="ac56303e-3aa1-4555-a703-9b6d466d968a"/>
    <ds:schemaRef ds:uri="http://schemas.openxmlformats.org/package/2006/metadata/core-properties"/>
    <ds:schemaRef ds:uri="http://schemas.microsoft.com/office/2006/documentManagement/types"/>
    <ds:schemaRef ds:uri="59f76595-36f4-402c-ab8b-a3b7a7d870b7"/>
    <ds:schemaRef ds:uri="http://schemas.microsoft.com/office/2006/metadata/properties"/>
    <ds:schemaRef ds:uri="http://www.w3.org/XML/1998/namespace"/>
    <ds:schemaRef ds:uri="http://purl.org/dc/terms/"/>
    <ds:schemaRef ds:uri="http://purl.org/dc/dcmitype/"/>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85B82AA9-0B01-4ECC-A7EB-67F9797C7B66}">
  <ds:schemaRefs>
    <ds:schemaRef ds:uri="http://schemas.microsoft.com/sharepoint/v3/contenttype/forms"/>
  </ds:schemaRefs>
</ds:datastoreItem>
</file>

<file path=customXml/itemProps3.xml><?xml version="1.0" encoding="utf-8"?>
<ds:datastoreItem xmlns:ds="http://schemas.openxmlformats.org/officeDocument/2006/customXml" ds:itemID="{CCA45717-DD93-4C3F-9744-A32B033B4B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f76595-36f4-402c-ab8b-a3b7a7d870b7"/>
    <ds:schemaRef ds:uri="ac56303e-3aa1-4555-a703-9b6d466d9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3</vt:i4>
      </vt:variant>
    </vt:vector>
  </HeadingPairs>
  <TitlesOfParts>
    <vt:vector size="12" baseType="lpstr">
      <vt:lpstr>Resumen Ejecutivo</vt:lpstr>
      <vt:lpstr>Imput</vt:lpstr>
      <vt:lpstr>Alta Proveedor</vt:lpstr>
      <vt:lpstr>Hoja Auxiliar</vt:lpstr>
      <vt:lpstr>Costo Directo</vt:lpstr>
      <vt:lpstr>Producción</vt:lpstr>
      <vt:lpstr>Indirect Costs</vt:lpstr>
      <vt:lpstr>Control Certificación</vt:lpstr>
      <vt:lpstr>Resultado</vt:lpstr>
      <vt:lpstr>Producción!Área_de_impresión</vt:lpstr>
      <vt:lpstr>'Resumen Ejecutivo'!Área_de_impresión</vt:lpstr>
      <vt:lpstr>'Resumen Ejecutivo'!Títulos_a_imprimir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 Díaz Fernández</dc:creator>
  <cp:keywords/>
  <dc:description/>
  <cp:lastModifiedBy>Ale Diaz</cp:lastModifiedBy>
  <cp:revision/>
  <dcterms:created xsi:type="dcterms:W3CDTF">2024-02-05T13:43:11Z</dcterms:created>
  <dcterms:modified xsi:type="dcterms:W3CDTF">2026-02-24T00:30:18Z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0x0101006007F818EA742945B9B23EBF33237673</vt:lpwstr>
  </property>
  <property fmtid="{D5CDD505-2E9C-101B-9397-08002B2CF9AE}" pid="3" name="MediaServiceImageTags">
    <vt:lpwstr/>
  </property>
  <property fmtid="{D5CDD505-2E9C-101B-9397-08002B2CF9AE}" pid="4" name="Order">
    <vt:r8>65100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